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Users\Patrick\Documents\DS\"/>
    </mc:Choice>
  </mc:AlternateContent>
  <bookViews>
    <workbookView xWindow="0" yWindow="0" windowWidth="20490" windowHeight="8340" tabRatio="795" activeTab="1"/>
  </bookViews>
  <sheets>
    <sheet name="Overview" sheetId="33" r:id="rId1"/>
    <sheet name="Construction Planner" sheetId="7" r:id="rId2"/>
    <sheet name="Formatierung" sheetId="32" r:id="rId3"/>
    <sheet name="Farm Planner" sheetId="34" r:id="rId4"/>
    <sheet name="Angriffsplaner_Abschickzeiten" sheetId="36" r:id="rId5"/>
    <sheet name="Angriffsplaner_Laufzeiten" sheetId="35" r:id="rId6"/>
    <sheet name="Befehlsplaner" sheetId="37" r:id="rId7"/>
    <sheet name="Noble Planner" sheetId="18" r:id="rId8"/>
    <sheet name="Recruting planner" sheetId="9" r:id="rId9"/>
    <sheet name="Village Planner" sheetId="28" r:id="rId10"/>
    <sheet name="Laufzeitrechner" sheetId="25" r:id="rId11"/>
    <sheet name="Bashpointrechner" sheetId="26" r:id="rId12"/>
    <sheet name="Techs times" sheetId="11" r:id="rId13"/>
    <sheet name="Amortisierung Minen" sheetId="27" r:id="rId14"/>
    <sheet name="Ram table" sheetId="17" r:id="rId15"/>
    <sheet name="Catapult table" sheetId="14" r:id="rId16"/>
    <sheet name="Catapult table_surviving" sheetId="30" r:id="rId17"/>
    <sheet name="Moralrechner" sheetId="31" r:id="rId18"/>
    <sheet name="Bauernhofregel" sheetId="15" r:id="rId19"/>
    <sheet name="Simulator alt" sheetId="24" r:id="rId20"/>
    <sheet name="Simulator neu" sheetId="23" state="hidden" r:id="rId21"/>
    <sheet name="Construction Times" sheetId="1" r:id="rId22"/>
    <sheet name="Construction Costs (timber)" sheetId="2" r:id="rId23"/>
    <sheet name="Construction Costs (clay)" sheetId="4" r:id="rId24"/>
    <sheet name="Construction Costs (iron)" sheetId="3" r:id="rId25"/>
    <sheet name="Villagers" sheetId="5" r:id="rId26"/>
    <sheet name="Points" sheetId="29" r:id="rId27"/>
    <sheet name="Miscelaneous" sheetId="6" r:id="rId28"/>
    <sheet name="Unit information" sheetId="8" r:id="rId29"/>
    <sheet name="Translation" sheetId="19" r:id="rId30"/>
    <sheet name="DSDörfer" sheetId="39" r:id="rId31"/>
    <sheet name="DSSpieler" sheetId="40" r:id="rId32"/>
  </sheets>
  <definedNames>
    <definedName name="_xlnm._FilterDatabase" localSheetId="4" hidden="1">Angriffsplaner_Abschickzeiten!$A$6:$P$79</definedName>
    <definedName name="_xlnm._FilterDatabase" localSheetId="5" hidden="1">Angriffsplaner_Laufzeiten!$A$6:$P$79</definedName>
    <definedName name="_xlnm._FilterDatabase" localSheetId="6" hidden="1">Befehlsplaner!$A$6:$Q$6</definedName>
    <definedName name="_xlnm._FilterDatabase" localSheetId="31" hidden="1">DSSpieler!$A$1:$F$8461</definedName>
    <definedName name="player" localSheetId="31">DSSpieler!$A$1:$A$8491</definedName>
    <definedName name="village" localSheetId="30">DSDörfer!$A$1:$A$18877</definedName>
  </definedNames>
  <calcPr calcId="152511"/>
  <fileRecoveryPr repairLoad="1"/>
</workbook>
</file>

<file path=xl/calcChain.xml><?xml version="1.0" encoding="utf-8"?>
<calcChain xmlns="http://schemas.openxmlformats.org/spreadsheetml/2006/main">
  <c r="B351" i="40" l="1"/>
  <c r="G1" i="40"/>
  <c r="G2" i="40"/>
  <c r="G3" i="40"/>
  <c r="G4" i="40"/>
  <c r="G5" i="40"/>
  <c r="G6" i="40"/>
  <c r="G7" i="40"/>
  <c r="G8" i="40"/>
  <c r="G9" i="40"/>
  <c r="G10" i="40"/>
  <c r="G11" i="40"/>
  <c r="G12" i="40"/>
  <c r="G13" i="40"/>
  <c r="G14" i="40"/>
  <c r="G15" i="40"/>
  <c r="G16" i="40"/>
  <c r="G17" i="40"/>
  <c r="G18" i="40"/>
  <c r="G19" i="40"/>
  <c r="G20" i="40"/>
  <c r="G21" i="40"/>
  <c r="G22" i="40"/>
  <c r="G23" i="40"/>
  <c r="G24" i="40"/>
  <c r="G25" i="40"/>
  <c r="G26" i="40"/>
  <c r="G27" i="40"/>
  <c r="G28" i="40"/>
  <c r="G29" i="40"/>
  <c r="G30" i="40"/>
  <c r="G31" i="40"/>
  <c r="G32" i="40"/>
  <c r="G33" i="40"/>
  <c r="G34" i="40"/>
  <c r="G35" i="40"/>
  <c r="G36" i="40"/>
  <c r="G37" i="40"/>
  <c r="G38" i="40"/>
  <c r="G39" i="40"/>
  <c r="G40" i="40"/>
  <c r="G41" i="40"/>
  <c r="G42" i="40"/>
  <c r="G43" i="40"/>
  <c r="G44" i="40"/>
  <c r="G45" i="40"/>
  <c r="G46" i="40"/>
  <c r="G47" i="40"/>
  <c r="G48" i="40"/>
  <c r="G49" i="40"/>
  <c r="G50" i="40"/>
  <c r="G51" i="40"/>
  <c r="G52" i="40"/>
  <c r="G53" i="40"/>
  <c r="G54" i="40"/>
  <c r="G55" i="40"/>
  <c r="G56" i="40"/>
  <c r="G57" i="40"/>
  <c r="G58" i="40"/>
  <c r="G59" i="40"/>
  <c r="G60" i="40"/>
  <c r="G61" i="40"/>
  <c r="G62" i="40"/>
  <c r="G63" i="40"/>
  <c r="G64" i="40"/>
  <c r="G65" i="40"/>
  <c r="G66" i="40"/>
  <c r="G67" i="40"/>
  <c r="G68" i="40"/>
  <c r="G69" i="40"/>
  <c r="G70" i="40"/>
  <c r="G71" i="40"/>
  <c r="G72" i="40"/>
  <c r="G73" i="40"/>
  <c r="G74" i="40"/>
  <c r="G75" i="40"/>
  <c r="G76" i="40"/>
  <c r="G77" i="40"/>
  <c r="G78" i="40"/>
  <c r="G79" i="40"/>
  <c r="G80" i="40"/>
  <c r="G81" i="40"/>
  <c r="G82" i="40"/>
  <c r="G83" i="40"/>
  <c r="G84" i="40"/>
  <c r="G85" i="40"/>
  <c r="G86" i="40"/>
  <c r="G87" i="40"/>
  <c r="G88" i="40"/>
  <c r="G89" i="40"/>
  <c r="G90" i="40"/>
  <c r="G91" i="40"/>
  <c r="G92" i="40"/>
  <c r="G93" i="40"/>
  <c r="G94" i="40"/>
  <c r="G95" i="40"/>
  <c r="G96" i="40"/>
  <c r="G97" i="40"/>
  <c r="G98" i="40"/>
  <c r="G99" i="40"/>
  <c r="G100" i="40"/>
  <c r="G101" i="40"/>
  <c r="G102" i="40"/>
  <c r="G103" i="40"/>
  <c r="G104" i="40"/>
  <c r="G105" i="40"/>
  <c r="G106" i="40"/>
  <c r="G107" i="40"/>
  <c r="G108" i="40"/>
  <c r="G109" i="40"/>
  <c r="G110" i="40"/>
  <c r="G111" i="40"/>
  <c r="G112" i="40"/>
  <c r="G113" i="40"/>
  <c r="G114" i="40"/>
  <c r="G115" i="40"/>
  <c r="G116" i="40"/>
  <c r="G117" i="40"/>
  <c r="G118" i="40"/>
  <c r="G119" i="40"/>
  <c r="G120" i="40"/>
  <c r="G121" i="40"/>
  <c r="G122" i="40"/>
  <c r="G123" i="40"/>
  <c r="G124" i="40"/>
  <c r="G125" i="40"/>
  <c r="G126" i="40"/>
  <c r="G127" i="40"/>
  <c r="G128" i="40"/>
  <c r="G129" i="40"/>
  <c r="G130" i="40"/>
  <c r="G131" i="40"/>
  <c r="G132" i="40"/>
  <c r="G133" i="40"/>
  <c r="G134" i="40"/>
  <c r="G135" i="40"/>
  <c r="G136" i="40"/>
  <c r="G137" i="40"/>
  <c r="G138" i="40"/>
  <c r="G139" i="40"/>
  <c r="G140" i="40"/>
  <c r="G141" i="40"/>
  <c r="G142" i="40"/>
  <c r="G143" i="40"/>
  <c r="G144" i="40"/>
  <c r="G145" i="40"/>
  <c r="G146" i="40"/>
  <c r="G147" i="40"/>
  <c r="G148" i="40"/>
  <c r="G149" i="40"/>
  <c r="G150" i="40"/>
  <c r="G151" i="40"/>
  <c r="G152" i="40"/>
  <c r="G153" i="40"/>
  <c r="G154" i="40"/>
  <c r="G155" i="40"/>
  <c r="G156" i="40"/>
  <c r="G157" i="40"/>
  <c r="G158" i="40"/>
  <c r="G159" i="40"/>
  <c r="G160" i="40"/>
  <c r="G161" i="40"/>
  <c r="G162" i="40"/>
  <c r="G163" i="40"/>
  <c r="G164" i="40"/>
  <c r="G165" i="40"/>
  <c r="G166" i="40"/>
  <c r="G167" i="40"/>
  <c r="G168" i="40"/>
  <c r="G169" i="40"/>
  <c r="G170" i="40"/>
  <c r="G171" i="40"/>
  <c r="G172" i="40"/>
  <c r="G173" i="40"/>
  <c r="G174" i="40"/>
  <c r="G175" i="40"/>
  <c r="G176" i="40"/>
  <c r="G177" i="40"/>
  <c r="G178" i="40"/>
  <c r="G179" i="40"/>
  <c r="G180" i="40"/>
  <c r="G181" i="40"/>
  <c r="G182" i="40"/>
  <c r="G183" i="40"/>
  <c r="G184" i="40"/>
  <c r="G185" i="40"/>
  <c r="G186" i="40"/>
  <c r="G187" i="40"/>
  <c r="G188" i="40"/>
  <c r="G189" i="40"/>
  <c r="G190" i="40"/>
  <c r="G191" i="40"/>
  <c r="G192" i="40"/>
  <c r="G193" i="40"/>
  <c r="G194" i="40"/>
  <c r="G195" i="40"/>
  <c r="G196" i="40"/>
  <c r="G197" i="40"/>
  <c r="G198" i="40"/>
  <c r="G199" i="40"/>
  <c r="G200" i="40"/>
  <c r="G201" i="40"/>
  <c r="G202" i="40"/>
  <c r="G203" i="40"/>
  <c r="G204" i="40"/>
  <c r="G205" i="40"/>
  <c r="G206" i="40"/>
  <c r="G207" i="40"/>
  <c r="G208" i="40"/>
  <c r="G209" i="40"/>
  <c r="G210" i="40"/>
  <c r="G211" i="40"/>
  <c r="G212" i="40"/>
  <c r="G213" i="40"/>
  <c r="G214" i="40"/>
  <c r="G215" i="40"/>
  <c r="G216" i="40"/>
  <c r="G217" i="40"/>
  <c r="G218" i="40"/>
  <c r="G219" i="40"/>
  <c r="G220" i="40"/>
  <c r="G221" i="40"/>
  <c r="G222" i="40"/>
  <c r="G223" i="40"/>
  <c r="G224" i="40"/>
  <c r="G225" i="40"/>
  <c r="G226" i="40"/>
  <c r="G227" i="40"/>
  <c r="G228" i="40"/>
  <c r="G229" i="40"/>
  <c r="G230" i="40"/>
  <c r="G231" i="40"/>
  <c r="G232" i="40"/>
  <c r="G233" i="40"/>
  <c r="G234" i="40"/>
  <c r="G235" i="40"/>
  <c r="G236" i="40"/>
  <c r="G237" i="40"/>
  <c r="G238" i="40"/>
  <c r="G239" i="40"/>
  <c r="G240" i="40"/>
  <c r="G241" i="40"/>
  <c r="G242" i="40"/>
  <c r="G243" i="40"/>
  <c r="G244" i="40"/>
  <c r="G245" i="40"/>
  <c r="G246" i="40"/>
  <c r="G247" i="40"/>
  <c r="G248" i="40"/>
  <c r="G249" i="40"/>
  <c r="G250" i="40"/>
  <c r="G251" i="40"/>
  <c r="G252" i="40"/>
  <c r="G253" i="40"/>
  <c r="G254" i="40"/>
  <c r="G255" i="40"/>
  <c r="G256" i="40"/>
  <c r="G257" i="40"/>
  <c r="G258" i="40"/>
  <c r="G259" i="40"/>
  <c r="G260" i="40"/>
  <c r="G261" i="40"/>
  <c r="G262" i="40"/>
  <c r="G263" i="40"/>
  <c r="G264" i="40"/>
  <c r="G265" i="40"/>
  <c r="G266" i="40"/>
  <c r="G267" i="40"/>
  <c r="G268" i="40"/>
  <c r="G269" i="40"/>
  <c r="G270" i="40"/>
  <c r="G271" i="40"/>
  <c r="G272" i="40"/>
  <c r="G273" i="40"/>
  <c r="G274" i="40"/>
  <c r="G275" i="40"/>
  <c r="G276" i="40"/>
  <c r="G277" i="40"/>
  <c r="G278" i="40"/>
  <c r="G279" i="40"/>
  <c r="G280" i="40"/>
  <c r="G281" i="40"/>
  <c r="G282" i="40"/>
  <c r="G283" i="40"/>
  <c r="G284" i="40"/>
  <c r="G285" i="40"/>
  <c r="G286" i="40"/>
  <c r="G287" i="40"/>
  <c r="G288" i="40"/>
  <c r="G289" i="40"/>
  <c r="G290" i="40"/>
  <c r="G291" i="40"/>
  <c r="G292" i="40"/>
  <c r="G293" i="40"/>
  <c r="G294" i="40"/>
  <c r="G295" i="40"/>
  <c r="G296" i="40"/>
  <c r="G297" i="40"/>
  <c r="G298" i="40"/>
  <c r="G299" i="40"/>
  <c r="G300" i="40"/>
  <c r="G301" i="40"/>
  <c r="G302" i="40"/>
  <c r="G303" i="40"/>
  <c r="G304" i="40"/>
  <c r="G305" i="40"/>
  <c r="G306" i="40"/>
  <c r="G307" i="40"/>
  <c r="G308" i="40"/>
  <c r="G309" i="40"/>
  <c r="G310" i="40"/>
  <c r="G311" i="40"/>
  <c r="G312" i="40"/>
  <c r="G313" i="40"/>
  <c r="G314" i="40"/>
  <c r="G315" i="40"/>
  <c r="G316" i="40"/>
  <c r="G317" i="40"/>
  <c r="G318" i="40"/>
  <c r="G319" i="40"/>
  <c r="G320" i="40"/>
  <c r="G321" i="40"/>
  <c r="G322" i="40"/>
  <c r="G323" i="40"/>
  <c r="G324" i="40"/>
  <c r="G325" i="40"/>
  <c r="G326" i="40"/>
  <c r="G327" i="40"/>
  <c r="G328" i="40"/>
  <c r="G329" i="40"/>
  <c r="G330" i="40"/>
  <c r="G331" i="40"/>
  <c r="G332" i="40"/>
  <c r="G333" i="40"/>
  <c r="G334" i="40"/>
  <c r="G335" i="40"/>
  <c r="G336" i="40"/>
  <c r="G337" i="40"/>
  <c r="G338" i="40"/>
  <c r="G339" i="40"/>
  <c r="G340" i="40"/>
  <c r="G341" i="40"/>
  <c r="G342" i="40"/>
  <c r="G343" i="40"/>
  <c r="G344" i="40"/>
  <c r="G345" i="40"/>
  <c r="G346" i="40"/>
  <c r="G347" i="40"/>
  <c r="G348" i="40"/>
  <c r="G349" i="40"/>
  <c r="G350" i="40"/>
  <c r="G351" i="40"/>
  <c r="G352" i="40"/>
  <c r="G353" i="40"/>
  <c r="G354" i="40"/>
  <c r="G355" i="40"/>
  <c r="G356" i="40"/>
  <c r="G357" i="40"/>
  <c r="G358" i="40"/>
  <c r="G359" i="40"/>
  <c r="G360" i="40"/>
  <c r="G361" i="40"/>
  <c r="G362" i="40"/>
  <c r="G363" i="40"/>
  <c r="G364" i="40"/>
  <c r="G365" i="40"/>
  <c r="G366" i="40"/>
  <c r="G367" i="40"/>
  <c r="G368" i="40"/>
  <c r="G369" i="40"/>
  <c r="G370" i="40"/>
  <c r="G371" i="40"/>
  <c r="G372" i="40"/>
  <c r="G373" i="40"/>
  <c r="G374" i="40"/>
  <c r="G375" i="40"/>
  <c r="G376" i="40"/>
  <c r="G377" i="40"/>
  <c r="G378" i="40"/>
  <c r="G379" i="40"/>
  <c r="G380" i="40"/>
  <c r="G381" i="40"/>
  <c r="G382" i="40"/>
  <c r="G383" i="40"/>
  <c r="G384" i="40"/>
  <c r="G385" i="40"/>
  <c r="G386" i="40"/>
  <c r="G387" i="40"/>
  <c r="G388" i="40"/>
  <c r="G389" i="40"/>
  <c r="G390" i="40"/>
  <c r="G391" i="40"/>
  <c r="G392" i="40"/>
  <c r="G393" i="40"/>
  <c r="G394" i="40"/>
  <c r="G395" i="40"/>
  <c r="G396" i="40"/>
  <c r="G397" i="40"/>
  <c r="G398" i="40"/>
  <c r="G399" i="40"/>
  <c r="G400" i="40"/>
  <c r="G401" i="40"/>
  <c r="G402" i="40"/>
  <c r="G403" i="40"/>
  <c r="G404" i="40"/>
  <c r="G405" i="40"/>
  <c r="G406" i="40"/>
  <c r="G407" i="40"/>
  <c r="G408" i="40"/>
  <c r="G409" i="40"/>
  <c r="G410" i="40"/>
  <c r="G411" i="40"/>
  <c r="G412" i="40"/>
  <c r="G413" i="40"/>
  <c r="G414" i="40"/>
  <c r="G415" i="40"/>
  <c r="G416" i="40"/>
  <c r="G417" i="40"/>
  <c r="G418" i="40"/>
  <c r="G419" i="40"/>
  <c r="G420" i="40"/>
  <c r="G421" i="40"/>
  <c r="G422" i="40"/>
  <c r="G423" i="40"/>
  <c r="G424" i="40"/>
  <c r="G425" i="40"/>
  <c r="G426" i="40"/>
  <c r="G427" i="40"/>
  <c r="G428" i="40"/>
  <c r="G429" i="40"/>
  <c r="G430" i="40"/>
  <c r="G431" i="40"/>
  <c r="G432" i="40"/>
  <c r="G433" i="40"/>
  <c r="G434" i="40"/>
  <c r="G435" i="40"/>
  <c r="G436" i="40"/>
  <c r="G437" i="40"/>
  <c r="G438" i="40"/>
  <c r="G439" i="40"/>
  <c r="G440" i="40"/>
  <c r="G441" i="40"/>
  <c r="G442" i="40"/>
  <c r="G443" i="40"/>
  <c r="G444" i="40"/>
  <c r="G445" i="40"/>
  <c r="G446" i="40"/>
  <c r="G447" i="40"/>
  <c r="G448" i="40"/>
  <c r="G449" i="40"/>
  <c r="G450" i="40"/>
  <c r="G451" i="40"/>
  <c r="G452" i="40"/>
  <c r="G453" i="40"/>
  <c r="G454" i="40"/>
  <c r="G455" i="40"/>
  <c r="G456" i="40"/>
  <c r="G457" i="40"/>
  <c r="G458" i="40"/>
  <c r="G459" i="40"/>
  <c r="G460" i="40"/>
  <c r="G461" i="40"/>
  <c r="G462" i="40"/>
  <c r="G463" i="40"/>
  <c r="G464" i="40"/>
  <c r="G465" i="40"/>
  <c r="G466" i="40"/>
  <c r="G467" i="40"/>
  <c r="G468" i="40"/>
  <c r="G469" i="40"/>
  <c r="G470" i="40"/>
  <c r="G471" i="40"/>
  <c r="G472" i="40"/>
  <c r="G473" i="40"/>
  <c r="G474" i="40"/>
  <c r="G475" i="40"/>
  <c r="G476" i="40"/>
  <c r="G477" i="40"/>
  <c r="G478" i="40"/>
  <c r="G479" i="40"/>
  <c r="G480" i="40"/>
  <c r="G481" i="40"/>
  <c r="G482" i="40"/>
  <c r="G483" i="40"/>
  <c r="G484" i="40"/>
  <c r="G485" i="40"/>
  <c r="G486" i="40"/>
  <c r="G487" i="40"/>
  <c r="G488" i="40"/>
  <c r="G489" i="40"/>
  <c r="G490" i="40"/>
  <c r="G491" i="40"/>
  <c r="G492" i="40"/>
  <c r="G493" i="40"/>
  <c r="G494" i="40"/>
  <c r="G495" i="40"/>
  <c r="G496" i="40"/>
  <c r="G497" i="40"/>
  <c r="G498" i="40"/>
  <c r="G499" i="40"/>
  <c r="G500" i="40"/>
  <c r="G501" i="40"/>
  <c r="G502" i="40"/>
  <c r="G503" i="40"/>
  <c r="G504" i="40"/>
  <c r="G505" i="40"/>
  <c r="G506" i="40"/>
  <c r="G507" i="40"/>
  <c r="G508" i="40"/>
  <c r="G509" i="40"/>
  <c r="G510" i="40"/>
  <c r="G511" i="40"/>
  <c r="G512" i="40"/>
  <c r="G513" i="40"/>
  <c r="G514" i="40"/>
  <c r="G515" i="40"/>
  <c r="G516" i="40"/>
  <c r="G517" i="40"/>
  <c r="G518" i="40"/>
  <c r="G519" i="40"/>
  <c r="G520" i="40"/>
  <c r="G521" i="40"/>
  <c r="G522" i="40"/>
  <c r="G523" i="40"/>
  <c r="G524" i="40"/>
  <c r="G525" i="40"/>
  <c r="G526" i="40"/>
  <c r="G527" i="40"/>
  <c r="G528" i="40"/>
  <c r="G529" i="40"/>
  <c r="G530" i="40"/>
  <c r="G531" i="40"/>
  <c r="G532" i="40"/>
  <c r="G533" i="40"/>
  <c r="G534" i="40"/>
  <c r="G535" i="40"/>
  <c r="G536" i="40"/>
  <c r="G537" i="40"/>
  <c r="G538" i="40"/>
  <c r="G539" i="40"/>
  <c r="G540" i="40"/>
  <c r="G541" i="40"/>
  <c r="G542" i="40"/>
  <c r="G543" i="40"/>
  <c r="G544" i="40"/>
  <c r="G545" i="40"/>
  <c r="G546" i="40"/>
  <c r="G547" i="40"/>
  <c r="G548" i="40"/>
  <c r="G549" i="40"/>
  <c r="G550" i="40"/>
  <c r="G551" i="40"/>
  <c r="G552" i="40"/>
  <c r="G553" i="40"/>
  <c r="G554" i="40"/>
  <c r="G555" i="40"/>
  <c r="G556" i="40"/>
  <c r="G557" i="40"/>
  <c r="G558" i="40"/>
  <c r="G559" i="40"/>
  <c r="G560" i="40"/>
  <c r="G561" i="40"/>
  <c r="G562" i="40"/>
  <c r="G563" i="40"/>
  <c r="G564" i="40"/>
  <c r="G565" i="40"/>
  <c r="G566" i="40"/>
  <c r="G567" i="40"/>
  <c r="G568" i="40"/>
  <c r="G569" i="40"/>
  <c r="G570" i="40"/>
  <c r="G571" i="40"/>
  <c r="G572" i="40"/>
  <c r="G573" i="40"/>
  <c r="G574" i="40"/>
  <c r="G575" i="40"/>
  <c r="G576" i="40"/>
  <c r="G577" i="40"/>
  <c r="G578" i="40"/>
  <c r="G579" i="40"/>
  <c r="G580" i="40"/>
  <c r="G581" i="40"/>
  <c r="G582" i="40"/>
  <c r="G583" i="40"/>
  <c r="G584" i="40"/>
  <c r="G585" i="40"/>
  <c r="G586" i="40"/>
  <c r="G587" i="40"/>
  <c r="G588" i="40"/>
  <c r="G589" i="40"/>
  <c r="G590" i="40"/>
  <c r="G591" i="40"/>
  <c r="G592" i="40"/>
  <c r="G593" i="40"/>
  <c r="G594" i="40"/>
  <c r="G595" i="40"/>
  <c r="G596" i="40"/>
  <c r="G597" i="40"/>
  <c r="G598" i="40"/>
  <c r="G599" i="40"/>
  <c r="G600" i="40"/>
  <c r="G601" i="40"/>
  <c r="G602" i="40"/>
  <c r="G603" i="40"/>
  <c r="G604" i="40"/>
  <c r="G605" i="40"/>
  <c r="G606" i="40"/>
  <c r="G607" i="40"/>
  <c r="G608" i="40"/>
  <c r="G609" i="40"/>
  <c r="G610" i="40"/>
  <c r="G611" i="40"/>
  <c r="G612" i="40"/>
  <c r="G613" i="40"/>
  <c r="G614" i="40"/>
  <c r="G615" i="40"/>
  <c r="G616" i="40"/>
  <c r="G617" i="40"/>
  <c r="G618" i="40"/>
  <c r="G619" i="40"/>
  <c r="G620" i="40"/>
  <c r="G621" i="40"/>
  <c r="G622" i="40"/>
  <c r="G623" i="40"/>
  <c r="G624" i="40"/>
  <c r="G625" i="40"/>
  <c r="G626" i="40"/>
  <c r="G627" i="40"/>
  <c r="G628" i="40"/>
  <c r="G629" i="40"/>
  <c r="G630" i="40"/>
  <c r="G631" i="40"/>
  <c r="G632" i="40"/>
  <c r="G633" i="40"/>
  <c r="G634" i="40"/>
  <c r="G635" i="40"/>
  <c r="G636" i="40"/>
  <c r="G637" i="40"/>
  <c r="G638" i="40"/>
  <c r="G639" i="40"/>
  <c r="G640" i="40"/>
  <c r="G641" i="40"/>
  <c r="G642" i="40"/>
  <c r="G643" i="40"/>
  <c r="G644" i="40"/>
  <c r="G645" i="40"/>
  <c r="G646" i="40"/>
  <c r="G647" i="40"/>
  <c r="G648" i="40"/>
  <c r="G649" i="40"/>
  <c r="G650" i="40"/>
  <c r="G651" i="40"/>
  <c r="G652" i="40"/>
  <c r="G653" i="40"/>
  <c r="G654" i="40"/>
  <c r="G655" i="40"/>
  <c r="G656" i="40"/>
  <c r="G657" i="40"/>
  <c r="G658" i="40"/>
  <c r="G659" i="40"/>
  <c r="G660" i="40"/>
  <c r="G661" i="40"/>
  <c r="G662" i="40"/>
  <c r="G663" i="40"/>
  <c r="G664" i="40"/>
  <c r="G665" i="40"/>
  <c r="G666" i="40"/>
  <c r="G667" i="40"/>
  <c r="G668" i="40"/>
  <c r="G669" i="40"/>
  <c r="G670" i="40"/>
  <c r="G671" i="40"/>
  <c r="G672" i="40"/>
  <c r="G673" i="40"/>
  <c r="G674" i="40"/>
  <c r="G675" i="40"/>
  <c r="G676" i="40"/>
  <c r="G677" i="40"/>
  <c r="G678" i="40"/>
  <c r="G679" i="40"/>
  <c r="G680" i="40"/>
  <c r="G681" i="40"/>
  <c r="G682" i="40"/>
  <c r="G683" i="40"/>
  <c r="G684" i="40"/>
  <c r="G685" i="40"/>
  <c r="G686" i="40"/>
  <c r="G687" i="40"/>
  <c r="G688" i="40"/>
  <c r="G689" i="40"/>
  <c r="G690" i="40"/>
  <c r="G691" i="40"/>
  <c r="G692" i="40"/>
  <c r="G693" i="40"/>
  <c r="G694" i="40"/>
  <c r="G695" i="40"/>
  <c r="G696" i="40"/>
  <c r="G697" i="40"/>
  <c r="G698" i="40"/>
  <c r="G699" i="40"/>
  <c r="G700" i="40"/>
  <c r="G701" i="40"/>
  <c r="G702" i="40"/>
  <c r="G703" i="40"/>
  <c r="G704" i="40"/>
  <c r="G705" i="40"/>
  <c r="G706" i="40"/>
  <c r="G707" i="40"/>
  <c r="G708" i="40"/>
  <c r="G709" i="40"/>
  <c r="G710" i="40"/>
  <c r="G711" i="40"/>
  <c r="G712" i="40"/>
  <c r="G713" i="40"/>
  <c r="G714" i="40"/>
  <c r="G715" i="40"/>
  <c r="G716" i="40"/>
  <c r="G717" i="40"/>
  <c r="G718" i="40"/>
  <c r="G719" i="40"/>
  <c r="G720" i="40"/>
  <c r="G721" i="40"/>
  <c r="G722" i="40"/>
  <c r="G723" i="40"/>
  <c r="G724" i="40"/>
  <c r="G725" i="40"/>
  <c r="G726" i="40"/>
  <c r="G727" i="40"/>
  <c r="G728" i="40"/>
  <c r="G729" i="40"/>
  <c r="G730" i="40"/>
  <c r="G731" i="40"/>
  <c r="G732" i="40"/>
  <c r="G733" i="40"/>
  <c r="G734" i="40"/>
  <c r="G735" i="40"/>
  <c r="G736" i="40"/>
  <c r="G737" i="40"/>
  <c r="G738" i="40"/>
  <c r="G739" i="40"/>
  <c r="G740" i="40"/>
  <c r="G741" i="40"/>
  <c r="G742" i="40"/>
  <c r="G743" i="40"/>
  <c r="G744" i="40"/>
  <c r="G745" i="40"/>
  <c r="G746" i="40"/>
  <c r="G747" i="40"/>
  <c r="G748" i="40"/>
  <c r="G749" i="40"/>
  <c r="G750" i="40"/>
  <c r="G751" i="40"/>
  <c r="G752" i="40"/>
  <c r="G753" i="40"/>
  <c r="G754" i="40"/>
  <c r="G755" i="40"/>
  <c r="G756" i="40"/>
  <c r="G757" i="40"/>
  <c r="G758" i="40"/>
  <c r="G759" i="40"/>
  <c r="G760" i="40"/>
  <c r="G761" i="40"/>
  <c r="G762" i="40"/>
  <c r="G763" i="40"/>
  <c r="G764" i="40"/>
  <c r="G765" i="40"/>
  <c r="G766" i="40"/>
  <c r="G767" i="40"/>
  <c r="G768" i="40"/>
  <c r="G769" i="40"/>
  <c r="G770" i="40"/>
  <c r="G771" i="40"/>
  <c r="G772" i="40"/>
  <c r="G773" i="40"/>
  <c r="G774" i="40"/>
  <c r="G775" i="40"/>
  <c r="G776" i="40"/>
  <c r="G777" i="40"/>
  <c r="G778" i="40"/>
  <c r="G779" i="40"/>
  <c r="G780" i="40"/>
  <c r="G781" i="40"/>
  <c r="G782" i="40"/>
  <c r="G783" i="40"/>
  <c r="G784" i="40"/>
  <c r="G785" i="40"/>
  <c r="G786" i="40"/>
  <c r="G787" i="40"/>
  <c r="G788" i="40"/>
  <c r="G789" i="40"/>
  <c r="G790" i="40"/>
  <c r="G791" i="40"/>
  <c r="G792" i="40"/>
  <c r="G793" i="40"/>
  <c r="G794" i="40"/>
  <c r="G795" i="40"/>
  <c r="G796" i="40"/>
  <c r="G797" i="40"/>
  <c r="G798" i="40"/>
  <c r="G799" i="40"/>
  <c r="G800" i="40"/>
  <c r="G801" i="40"/>
  <c r="G802" i="40"/>
  <c r="G803" i="40"/>
  <c r="G804" i="40"/>
  <c r="G805" i="40"/>
  <c r="G806" i="40"/>
  <c r="G807" i="40"/>
  <c r="G808" i="40"/>
  <c r="G809" i="40"/>
  <c r="G810" i="40"/>
  <c r="G811" i="40"/>
  <c r="G812" i="40"/>
  <c r="G813" i="40"/>
  <c r="G814" i="40"/>
  <c r="G815" i="40"/>
  <c r="G816" i="40"/>
  <c r="G817" i="40"/>
  <c r="G818" i="40"/>
  <c r="G819" i="40"/>
  <c r="G820" i="40"/>
  <c r="G821" i="40"/>
  <c r="G822" i="40"/>
  <c r="G823" i="40"/>
  <c r="G824" i="40"/>
  <c r="G825" i="40"/>
  <c r="G826" i="40"/>
  <c r="G827" i="40"/>
  <c r="G828" i="40"/>
  <c r="G829" i="40"/>
  <c r="G830" i="40"/>
  <c r="G831" i="40"/>
  <c r="G832" i="40"/>
  <c r="G833" i="40"/>
  <c r="G834" i="40"/>
  <c r="G835" i="40"/>
  <c r="G836" i="40"/>
  <c r="G837" i="40"/>
  <c r="G838" i="40"/>
  <c r="G839" i="40"/>
  <c r="G840" i="40"/>
  <c r="G841" i="40"/>
  <c r="G842" i="40"/>
  <c r="G843" i="40"/>
  <c r="G844" i="40"/>
  <c r="G845" i="40"/>
  <c r="G846" i="40"/>
  <c r="G847" i="40"/>
  <c r="G848" i="40"/>
  <c r="G849" i="40"/>
  <c r="G850" i="40"/>
  <c r="G851" i="40"/>
  <c r="G852" i="40"/>
  <c r="G853" i="40"/>
  <c r="G854" i="40"/>
  <c r="G855" i="40"/>
  <c r="G856" i="40"/>
  <c r="G857" i="40"/>
  <c r="G858" i="40"/>
  <c r="G859" i="40"/>
  <c r="G860" i="40"/>
  <c r="G861" i="40"/>
  <c r="G862" i="40"/>
  <c r="G863" i="40"/>
  <c r="G864" i="40"/>
  <c r="G865" i="40"/>
  <c r="G866" i="40"/>
  <c r="G867" i="40"/>
  <c r="G868" i="40"/>
  <c r="G869" i="40"/>
  <c r="G870" i="40"/>
  <c r="G871" i="40"/>
  <c r="G872" i="40"/>
  <c r="G873" i="40"/>
  <c r="G874" i="40"/>
  <c r="G875" i="40"/>
  <c r="G876" i="40"/>
  <c r="G877" i="40"/>
  <c r="G878" i="40"/>
  <c r="G879" i="40"/>
  <c r="G880" i="40"/>
  <c r="G881" i="40"/>
  <c r="G882" i="40"/>
  <c r="G883" i="40"/>
  <c r="G884" i="40"/>
  <c r="G885" i="40"/>
  <c r="G886" i="40"/>
  <c r="G887" i="40"/>
  <c r="G888" i="40"/>
  <c r="G889" i="40"/>
  <c r="G890" i="40"/>
  <c r="G891" i="40"/>
  <c r="G892" i="40"/>
  <c r="G893" i="40"/>
  <c r="G894" i="40"/>
  <c r="G895" i="40"/>
  <c r="G896" i="40"/>
  <c r="G897" i="40"/>
  <c r="G898" i="40"/>
  <c r="G899" i="40"/>
  <c r="G900" i="40"/>
  <c r="G901" i="40"/>
  <c r="G902" i="40"/>
  <c r="G903" i="40"/>
  <c r="G904" i="40"/>
  <c r="G905" i="40"/>
  <c r="G906" i="40"/>
  <c r="G907" i="40"/>
  <c r="G908" i="40"/>
  <c r="G909" i="40"/>
  <c r="G910" i="40"/>
  <c r="G911" i="40"/>
  <c r="G912" i="40"/>
  <c r="G913" i="40"/>
  <c r="G914" i="40"/>
  <c r="G915" i="40"/>
  <c r="G916" i="40"/>
  <c r="G917" i="40"/>
  <c r="G918" i="40"/>
  <c r="G919" i="40"/>
  <c r="G920" i="40"/>
  <c r="G921" i="40"/>
  <c r="G922" i="40"/>
  <c r="G923" i="40"/>
  <c r="G924" i="40"/>
  <c r="G925" i="40"/>
  <c r="G926" i="40"/>
  <c r="G927" i="40"/>
  <c r="G928" i="40"/>
  <c r="G929" i="40"/>
  <c r="G930" i="40"/>
  <c r="G931" i="40"/>
  <c r="G932" i="40"/>
  <c r="G933" i="40"/>
  <c r="G934" i="40"/>
  <c r="G935" i="40"/>
  <c r="G936" i="40"/>
  <c r="G937" i="40"/>
  <c r="G938" i="40"/>
  <c r="G939" i="40"/>
  <c r="G940" i="40"/>
  <c r="G941" i="40"/>
  <c r="G942" i="40"/>
  <c r="G943" i="40"/>
  <c r="G944" i="40"/>
  <c r="G945" i="40"/>
  <c r="G946" i="40"/>
  <c r="G947" i="40"/>
  <c r="G948" i="40"/>
  <c r="G949" i="40"/>
  <c r="G950" i="40"/>
  <c r="G951" i="40"/>
  <c r="G952" i="40"/>
  <c r="G953" i="40"/>
  <c r="G954" i="40"/>
  <c r="G955" i="40"/>
  <c r="G956" i="40"/>
  <c r="G957" i="40"/>
  <c r="G958" i="40"/>
  <c r="G959" i="40"/>
  <c r="G960" i="40"/>
  <c r="G961" i="40"/>
  <c r="G962" i="40"/>
  <c r="G963" i="40"/>
  <c r="G964" i="40"/>
  <c r="G965" i="40"/>
  <c r="G966" i="40"/>
  <c r="G967" i="40"/>
  <c r="G968" i="40"/>
  <c r="G969" i="40"/>
  <c r="G970" i="40"/>
  <c r="G971" i="40"/>
  <c r="G972" i="40"/>
  <c r="G973" i="40"/>
  <c r="G974" i="40"/>
  <c r="G975" i="40"/>
  <c r="G976" i="40"/>
  <c r="G977" i="40"/>
  <c r="G978" i="40"/>
  <c r="G979" i="40"/>
  <c r="G980" i="40"/>
  <c r="G981" i="40"/>
  <c r="G982" i="40"/>
  <c r="G983" i="40"/>
  <c r="G984" i="40"/>
  <c r="G985" i="40"/>
  <c r="G986" i="40"/>
  <c r="G987" i="40"/>
  <c r="G988" i="40"/>
  <c r="G989" i="40"/>
  <c r="G990" i="40"/>
  <c r="G991" i="40"/>
  <c r="G992" i="40"/>
  <c r="G993" i="40"/>
  <c r="G994" i="40"/>
  <c r="G995" i="40"/>
  <c r="G996" i="40"/>
  <c r="G997" i="40"/>
  <c r="G998" i="40"/>
  <c r="G999" i="40"/>
  <c r="G1000" i="40"/>
  <c r="G1001" i="40"/>
  <c r="G1002" i="40"/>
  <c r="G1003" i="40"/>
  <c r="G1004" i="40"/>
  <c r="G1005" i="40"/>
  <c r="G1006" i="40"/>
  <c r="G1007" i="40"/>
  <c r="G1008" i="40"/>
  <c r="G1009" i="40"/>
  <c r="G1010" i="40"/>
  <c r="G1011" i="40"/>
  <c r="G1012" i="40"/>
  <c r="G1013" i="40"/>
  <c r="G1014" i="40"/>
  <c r="G1015" i="40"/>
  <c r="G1016" i="40"/>
  <c r="G1017" i="40"/>
  <c r="G1018" i="40"/>
  <c r="G1019" i="40"/>
  <c r="G1020" i="40"/>
  <c r="G1021" i="40"/>
  <c r="G1022" i="40"/>
  <c r="G1023" i="40"/>
  <c r="G1024" i="40"/>
  <c r="G1025" i="40"/>
  <c r="G1026" i="40"/>
  <c r="G1027" i="40"/>
  <c r="G1028" i="40"/>
  <c r="G1029" i="40"/>
  <c r="G1030" i="40"/>
  <c r="G1031" i="40"/>
  <c r="G1032" i="40"/>
  <c r="G1033" i="40"/>
  <c r="G1034" i="40"/>
  <c r="G1035" i="40"/>
  <c r="G1036" i="40"/>
  <c r="G1037" i="40"/>
  <c r="G1038" i="40"/>
  <c r="G1039" i="40"/>
  <c r="G1040" i="40"/>
  <c r="G1041" i="40"/>
  <c r="G1042" i="40"/>
  <c r="G1043" i="40"/>
  <c r="G1044" i="40"/>
  <c r="G1045" i="40"/>
  <c r="G1046" i="40"/>
  <c r="G1047" i="40"/>
  <c r="G1048" i="40"/>
  <c r="G1049" i="40"/>
  <c r="G1050" i="40"/>
  <c r="G1051" i="40"/>
  <c r="G1052" i="40"/>
  <c r="G1053" i="40"/>
  <c r="G1054" i="40"/>
  <c r="G1055" i="40"/>
  <c r="G1056" i="40"/>
  <c r="G1057" i="40"/>
  <c r="G1058" i="40"/>
  <c r="G1059" i="40"/>
  <c r="G1060" i="40"/>
  <c r="G1061" i="40"/>
  <c r="G1062" i="40"/>
  <c r="G1063" i="40"/>
  <c r="G1064" i="40"/>
  <c r="G1065" i="40"/>
  <c r="G1066" i="40"/>
  <c r="G1067" i="40"/>
  <c r="G1068" i="40"/>
  <c r="G1069" i="40"/>
  <c r="G1070" i="40"/>
  <c r="G1071" i="40"/>
  <c r="G1072" i="40"/>
  <c r="G1073" i="40"/>
  <c r="G1074" i="40"/>
  <c r="G1075" i="40"/>
  <c r="G1076" i="40"/>
  <c r="G1077" i="40"/>
  <c r="G1078" i="40"/>
  <c r="G1079" i="40"/>
  <c r="G1080" i="40"/>
  <c r="G1081" i="40"/>
  <c r="G1082" i="40"/>
  <c r="G1083" i="40"/>
  <c r="G1084" i="40"/>
  <c r="G1085" i="40"/>
  <c r="G1086" i="40"/>
  <c r="G1087" i="40"/>
  <c r="G1088" i="40"/>
  <c r="G1089" i="40"/>
  <c r="G1090" i="40"/>
  <c r="G1091" i="40"/>
  <c r="G1092" i="40"/>
  <c r="G1093" i="40"/>
  <c r="G1094" i="40"/>
  <c r="G1095" i="40"/>
  <c r="G1096" i="40"/>
  <c r="G1097" i="40"/>
  <c r="G1098" i="40"/>
  <c r="G1099" i="40"/>
  <c r="G1100" i="40"/>
  <c r="G1101" i="40"/>
  <c r="G1102" i="40"/>
  <c r="G1103" i="40"/>
  <c r="G1104" i="40"/>
  <c r="G1105" i="40"/>
  <c r="G1106" i="40"/>
  <c r="G1107" i="40"/>
  <c r="G1108" i="40"/>
  <c r="G1109" i="40"/>
  <c r="G1110" i="40"/>
  <c r="G1111" i="40"/>
  <c r="G1112" i="40"/>
  <c r="G1113" i="40"/>
  <c r="G1114" i="40"/>
  <c r="G1115" i="40"/>
  <c r="G1116" i="40"/>
  <c r="G1117" i="40"/>
  <c r="G1118" i="40"/>
  <c r="G1119" i="40"/>
  <c r="G1120" i="40"/>
  <c r="G1121" i="40"/>
  <c r="G1122" i="40"/>
  <c r="G1123" i="40"/>
  <c r="G1124" i="40"/>
  <c r="G1125" i="40"/>
  <c r="G1126" i="40"/>
  <c r="G1127" i="40"/>
  <c r="G1128" i="40"/>
  <c r="G1129" i="40"/>
  <c r="G1130" i="40"/>
  <c r="G1131" i="40"/>
  <c r="G1132" i="40"/>
  <c r="G1133" i="40"/>
  <c r="G1134" i="40"/>
  <c r="G1135" i="40"/>
  <c r="G1136" i="40"/>
  <c r="G1137" i="40"/>
  <c r="G1138" i="40"/>
  <c r="G1139" i="40"/>
  <c r="G1140" i="40"/>
  <c r="G1141" i="40"/>
  <c r="G1142" i="40"/>
  <c r="G1143" i="40"/>
  <c r="G1144" i="40"/>
  <c r="G1145" i="40"/>
  <c r="G1146" i="40"/>
  <c r="G1147" i="40"/>
  <c r="G1148" i="40"/>
  <c r="G1149" i="40"/>
  <c r="G1150" i="40"/>
  <c r="G1151" i="40"/>
  <c r="G1152" i="40"/>
  <c r="G1153" i="40"/>
  <c r="G1154" i="40"/>
  <c r="G1155" i="40"/>
  <c r="G1156" i="40"/>
  <c r="G1157" i="40"/>
  <c r="G1158" i="40"/>
  <c r="G1159" i="40"/>
  <c r="G1160" i="40"/>
  <c r="G1161" i="40"/>
  <c r="G1162" i="40"/>
  <c r="G1163" i="40"/>
  <c r="G1164" i="40"/>
  <c r="G1165" i="40"/>
  <c r="G1166" i="40"/>
  <c r="G1167" i="40"/>
  <c r="G1168" i="40"/>
  <c r="G1169" i="40"/>
  <c r="G1170" i="40"/>
  <c r="G1171" i="40"/>
  <c r="G1172" i="40"/>
  <c r="G1173" i="40"/>
  <c r="G1174" i="40"/>
  <c r="G1175" i="40"/>
  <c r="G1176" i="40"/>
  <c r="G1177" i="40"/>
  <c r="G1178" i="40"/>
  <c r="G1179" i="40"/>
  <c r="G1180" i="40"/>
  <c r="G1181" i="40"/>
  <c r="G1182" i="40"/>
  <c r="G1183" i="40"/>
  <c r="G1184" i="40"/>
  <c r="G1185" i="40"/>
  <c r="G1186" i="40"/>
  <c r="G1187" i="40"/>
  <c r="G1188" i="40"/>
  <c r="G1189" i="40"/>
  <c r="G1190" i="40"/>
  <c r="G1191" i="40"/>
  <c r="G1192" i="40"/>
  <c r="G1193" i="40"/>
  <c r="G1194" i="40"/>
  <c r="G1195" i="40"/>
  <c r="G1196" i="40"/>
  <c r="G1197" i="40"/>
  <c r="G1198" i="40"/>
  <c r="G1199" i="40"/>
  <c r="G1200" i="40"/>
  <c r="G1201" i="40"/>
  <c r="G1202" i="40"/>
  <c r="G1203" i="40"/>
  <c r="G1204" i="40"/>
  <c r="G1205" i="40"/>
  <c r="G1206" i="40"/>
  <c r="G1207" i="40"/>
  <c r="G1208" i="40"/>
  <c r="G1209" i="40"/>
  <c r="G1210" i="40"/>
  <c r="G1211" i="40"/>
  <c r="G1212" i="40"/>
  <c r="G1213" i="40"/>
  <c r="G1214" i="40"/>
  <c r="G1215" i="40"/>
  <c r="G1216" i="40"/>
  <c r="G1217" i="40"/>
  <c r="G1218" i="40"/>
  <c r="G1219" i="40"/>
  <c r="G1220" i="40"/>
  <c r="G1221" i="40"/>
  <c r="G1222" i="40"/>
  <c r="G1223" i="40"/>
  <c r="G1224" i="40"/>
  <c r="G1225" i="40"/>
  <c r="G1226" i="40"/>
  <c r="G1227" i="40"/>
  <c r="G1228" i="40"/>
  <c r="G1229" i="40"/>
  <c r="G1230" i="40"/>
  <c r="G1231" i="40"/>
  <c r="G1232" i="40"/>
  <c r="G1233" i="40"/>
  <c r="G1234" i="40"/>
  <c r="G1235" i="40"/>
  <c r="G1236" i="40"/>
  <c r="G1237" i="40"/>
  <c r="G1238" i="40"/>
  <c r="G1239" i="40"/>
  <c r="G1240" i="40"/>
  <c r="G1241" i="40"/>
  <c r="G1242" i="40"/>
  <c r="G1243" i="40"/>
  <c r="G1244" i="40"/>
  <c r="G1245" i="40"/>
  <c r="G1246" i="40"/>
  <c r="G1247" i="40"/>
  <c r="G1248" i="40"/>
  <c r="G1249" i="40"/>
  <c r="G1250" i="40"/>
  <c r="G1251" i="40"/>
  <c r="G1252" i="40"/>
  <c r="G1253" i="40"/>
  <c r="G1254" i="40"/>
  <c r="G1255" i="40"/>
  <c r="G1256" i="40"/>
  <c r="G1257" i="40"/>
  <c r="G1258" i="40"/>
  <c r="G1259" i="40"/>
  <c r="G1260" i="40"/>
  <c r="G1261" i="40"/>
  <c r="G1262" i="40"/>
  <c r="G1263" i="40"/>
  <c r="G1264" i="40"/>
  <c r="G1265" i="40"/>
  <c r="G1266" i="40"/>
  <c r="G1267" i="40"/>
  <c r="G1268" i="40"/>
  <c r="G1269" i="40"/>
  <c r="G1270" i="40"/>
  <c r="G1271" i="40"/>
  <c r="G1272" i="40"/>
  <c r="G1273" i="40"/>
  <c r="G1274" i="40"/>
  <c r="G1275" i="40"/>
  <c r="G1276" i="40"/>
  <c r="G1277" i="40"/>
  <c r="G1278" i="40"/>
  <c r="G1279" i="40"/>
  <c r="G1280" i="40"/>
  <c r="G1281" i="40"/>
  <c r="G1282" i="40"/>
  <c r="G1283" i="40"/>
  <c r="G1284" i="40"/>
  <c r="G1285" i="40"/>
  <c r="G1286" i="40"/>
  <c r="G1287" i="40"/>
  <c r="G1288" i="40"/>
  <c r="G1289" i="40"/>
  <c r="G1290" i="40"/>
  <c r="G1291" i="40"/>
  <c r="G1292" i="40"/>
  <c r="G1293" i="40"/>
  <c r="G1294" i="40"/>
  <c r="G1295" i="40"/>
  <c r="G1296" i="40"/>
  <c r="G1297" i="40"/>
  <c r="G1298" i="40"/>
  <c r="G1299" i="40"/>
  <c r="G1300" i="40"/>
  <c r="G1301" i="40"/>
  <c r="G1302" i="40"/>
  <c r="G1303" i="40"/>
  <c r="G1304" i="40"/>
  <c r="G1305" i="40"/>
  <c r="G1306" i="40"/>
  <c r="G1307" i="40"/>
  <c r="G1308" i="40"/>
  <c r="G1309" i="40"/>
  <c r="G1310" i="40"/>
  <c r="G1311" i="40"/>
  <c r="G1312" i="40"/>
  <c r="G1313" i="40"/>
  <c r="G1314" i="40"/>
  <c r="G1315" i="40"/>
  <c r="G1316" i="40"/>
  <c r="G1317" i="40"/>
  <c r="G1318" i="40"/>
  <c r="G1319" i="40"/>
  <c r="G1320" i="40"/>
  <c r="G1321" i="40"/>
  <c r="G1322" i="40"/>
  <c r="G1323" i="40"/>
  <c r="G1324" i="40"/>
  <c r="G1325" i="40"/>
  <c r="G1326" i="40"/>
  <c r="G1327" i="40"/>
  <c r="G1328" i="40"/>
  <c r="G1329" i="40"/>
  <c r="G1330" i="40"/>
  <c r="G1331" i="40"/>
  <c r="G1332" i="40"/>
  <c r="G1333" i="40"/>
  <c r="G1334" i="40"/>
  <c r="G1335" i="40"/>
  <c r="G1336" i="40"/>
  <c r="G1337" i="40"/>
  <c r="G1338" i="40"/>
  <c r="G1339" i="40"/>
  <c r="G1340" i="40"/>
  <c r="G1341" i="40"/>
  <c r="G1342" i="40"/>
  <c r="G1343" i="40"/>
  <c r="G1344" i="40"/>
  <c r="G1345" i="40"/>
  <c r="G1346" i="40"/>
  <c r="G1347" i="40"/>
  <c r="G1348" i="40"/>
  <c r="G1349" i="40"/>
  <c r="G1350" i="40"/>
  <c r="G1351" i="40"/>
  <c r="G1352" i="40"/>
  <c r="G1353" i="40"/>
  <c r="G1354" i="40"/>
  <c r="G1355" i="40"/>
  <c r="G1356" i="40"/>
  <c r="G1357" i="40"/>
  <c r="G1358" i="40"/>
  <c r="G1359" i="40"/>
  <c r="G1360" i="40"/>
  <c r="G1361" i="40"/>
  <c r="G1362" i="40"/>
  <c r="G1363" i="40"/>
  <c r="G1364" i="40"/>
  <c r="G1365" i="40"/>
  <c r="G1366" i="40"/>
  <c r="G1367" i="40"/>
  <c r="G1368" i="40"/>
  <c r="G1369" i="40"/>
  <c r="G1370" i="40"/>
  <c r="G1371" i="40"/>
  <c r="G1372" i="40"/>
  <c r="G1373" i="40"/>
  <c r="G1374" i="40"/>
  <c r="G1375" i="40"/>
  <c r="G1376" i="40"/>
  <c r="G1377" i="40"/>
  <c r="G1378" i="40"/>
  <c r="G1379" i="40"/>
  <c r="G1380" i="40"/>
  <c r="G1381" i="40"/>
  <c r="G1382" i="40"/>
  <c r="G1383" i="40"/>
  <c r="G1384" i="40"/>
  <c r="G1385" i="40"/>
  <c r="G1386" i="40"/>
  <c r="G1387" i="40"/>
  <c r="G1388" i="40"/>
  <c r="G1389" i="40"/>
  <c r="G1390" i="40"/>
  <c r="G1391" i="40"/>
  <c r="G1392" i="40"/>
  <c r="G1393" i="40"/>
  <c r="G1394" i="40"/>
  <c r="G1395" i="40"/>
  <c r="G1396" i="40"/>
  <c r="G1397" i="40"/>
  <c r="G1398" i="40"/>
  <c r="G1399" i="40"/>
  <c r="G1400" i="40"/>
  <c r="G1401" i="40"/>
  <c r="G1402" i="40"/>
  <c r="G1403" i="40"/>
  <c r="G1404" i="40"/>
  <c r="G1405" i="40"/>
  <c r="G1406" i="40"/>
  <c r="G1407" i="40"/>
  <c r="G1408" i="40"/>
  <c r="G1409" i="40"/>
  <c r="G1410" i="40"/>
  <c r="G1411" i="40"/>
  <c r="G1412" i="40"/>
  <c r="G1413" i="40"/>
  <c r="G1414" i="40"/>
  <c r="G1415" i="40"/>
  <c r="G1416" i="40"/>
  <c r="G1417" i="40"/>
  <c r="G1418" i="40"/>
  <c r="G1419" i="40"/>
  <c r="G1420" i="40"/>
  <c r="G1421" i="40"/>
  <c r="G1422" i="40"/>
  <c r="G1423" i="40"/>
  <c r="G1424" i="40"/>
  <c r="G1425" i="40"/>
  <c r="G1426" i="40"/>
  <c r="G1427" i="40"/>
  <c r="G1428" i="40"/>
  <c r="G1429" i="40"/>
  <c r="G1430" i="40"/>
  <c r="G1431" i="40"/>
  <c r="G1432" i="40"/>
  <c r="G1433" i="40"/>
  <c r="G1434" i="40"/>
  <c r="G1435" i="40"/>
  <c r="G1436" i="40"/>
  <c r="G1437" i="40"/>
  <c r="G1438" i="40"/>
  <c r="G1439" i="40"/>
  <c r="G1440" i="40"/>
  <c r="G1441" i="40"/>
  <c r="G1442" i="40"/>
  <c r="G1443" i="40"/>
  <c r="G1444" i="40"/>
  <c r="G1445" i="40"/>
  <c r="G1446" i="40"/>
  <c r="G1447" i="40"/>
  <c r="G1448" i="40"/>
  <c r="G1449" i="40"/>
  <c r="G1450" i="40"/>
  <c r="G1451" i="40"/>
  <c r="G1452" i="40"/>
  <c r="G1453" i="40"/>
  <c r="G1454" i="40"/>
  <c r="G1455" i="40"/>
  <c r="G1456" i="40"/>
  <c r="G1457" i="40"/>
  <c r="G1458" i="40"/>
  <c r="G1459" i="40"/>
  <c r="G1460" i="40"/>
  <c r="G1461" i="40"/>
  <c r="G1462" i="40"/>
  <c r="G1463" i="40"/>
  <c r="G1464" i="40"/>
  <c r="G1465" i="40"/>
  <c r="G1466" i="40"/>
  <c r="G1467" i="40"/>
  <c r="G1468" i="40"/>
  <c r="G1469" i="40"/>
  <c r="G1470" i="40"/>
  <c r="G1471" i="40"/>
  <c r="G1472" i="40"/>
  <c r="G1473" i="40"/>
  <c r="G1474" i="40"/>
  <c r="G1475" i="40"/>
  <c r="G1476" i="40"/>
  <c r="G1477" i="40"/>
  <c r="G1478" i="40"/>
  <c r="G1479" i="40"/>
  <c r="G1480" i="40"/>
  <c r="G1481" i="40"/>
  <c r="G1482" i="40"/>
  <c r="G1483" i="40"/>
  <c r="G1484" i="40"/>
  <c r="G1485" i="40"/>
  <c r="G1486" i="40"/>
  <c r="G1487" i="40"/>
  <c r="G1488" i="40"/>
  <c r="G1489" i="40"/>
  <c r="G1490" i="40"/>
  <c r="G1491" i="40"/>
  <c r="G1492" i="40"/>
  <c r="G1493" i="40"/>
  <c r="G1494" i="40"/>
  <c r="G1495" i="40"/>
  <c r="G1496" i="40"/>
  <c r="G1497" i="40"/>
  <c r="G1498" i="40"/>
  <c r="G1499" i="40"/>
  <c r="G1500" i="40"/>
  <c r="G1501" i="40"/>
  <c r="G1502" i="40"/>
  <c r="G1503" i="40"/>
  <c r="G1504" i="40"/>
  <c r="G1505" i="40"/>
  <c r="G1506" i="40"/>
  <c r="G1507" i="40"/>
  <c r="G1508" i="40"/>
  <c r="G1509" i="40"/>
  <c r="G1510" i="40"/>
  <c r="G1511" i="40"/>
  <c r="G1512" i="40"/>
  <c r="G1513" i="40"/>
  <c r="G1514" i="40"/>
  <c r="G1515" i="40"/>
  <c r="G1516" i="40"/>
  <c r="G1517" i="40"/>
  <c r="G1518" i="40"/>
  <c r="G1519" i="40"/>
  <c r="G1520" i="40"/>
  <c r="G1521" i="40"/>
  <c r="G1522" i="40"/>
  <c r="G1523" i="40"/>
  <c r="G1524" i="40"/>
  <c r="G1525" i="40"/>
  <c r="G1526" i="40"/>
  <c r="G1527" i="40"/>
  <c r="G1528" i="40"/>
  <c r="G1529" i="40"/>
  <c r="G1530" i="40"/>
  <c r="G1531" i="40"/>
  <c r="G1532" i="40"/>
  <c r="G1533" i="40"/>
  <c r="G1534" i="40"/>
  <c r="G1535" i="40"/>
  <c r="G1536" i="40"/>
  <c r="G1537" i="40"/>
  <c r="G1538" i="40"/>
  <c r="G1539" i="40"/>
  <c r="G1540" i="40"/>
  <c r="G1541" i="40"/>
  <c r="G1542" i="40"/>
  <c r="G1543" i="40"/>
  <c r="G1544" i="40"/>
  <c r="G1545" i="40"/>
  <c r="G1546" i="40"/>
  <c r="G1547" i="40"/>
  <c r="G1548" i="40"/>
  <c r="G1549" i="40"/>
  <c r="G1550" i="40"/>
  <c r="G1551" i="40"/>
  <c r="G1552" i="40"/>
  <c r="G1553" i="40"/>
  <c r="G1554" i="40"/>
  <c r="G1555" i="40"/>
  <c r="G1556" i="40"/>
  <c r="G1557" i="40"/>
  <c r="G1558" i="40"/>
  <c r="G1559" i="40"/>
  <c r="G1560" i="40"/>
  <c r="G1561" i="40"/>
  <c r="G1562" i="40"/>
  <c r="G1563" i="40"/>
  <c r="G1564" i="40"/>
  <c r="G1565" i="40"/>
  <c r="G1566" i="40"/>
  <c r="G1567" i="40"/>
  <c r="G1568" i="40"/>
  <c r="G1569" i="40"/>
  <c r="G1570" i="40"/>
  <c r="G1571" i="40"/>
  <c r="G1572" i="40"/>
  <c r="G1573" i="40"/>
  <c r="G1574" i="40"/>
  <c r="G1575" i="40"/>
  <c r="G1576" i="40"/>
  <c r="G1577" i="40"/>
  <c r="G1578" i="40"/>
  <c r="G1579" i="40"/>
  <c r="G1580" i="40"/>
  <c r="G1581" i="40"/>
  <c r="G1582" i="40"/>
  <c r="G1583" i="40"/>
  <c r="G1584" i="40"/>
  <c r="G1585" i="40"/>
  <c r="G1586" i="40"/>
  <c r="G1587" i="40"/>
  <c r="G1588" i="40"/>
  <c r="G1589" i="40"/>
  <c r="G1590" i="40"/>
  <c r="G1591" i="40"/>
  <c r="G1592" i="40"/>
  <c r="G1593" i="40"/>
  <c r="G1594" i="40"/>
  <c r="G1595" i="40"/>
  <c r="G1596" i="40"/>
  <c r="G1597" i="40"/>
  <c r="G1598" i="40"/>
  <c r="G1599" i="40"/>
  <c r="G1600" i="40"/>
  <c r="G1601" i="40"/>
  <c r="G1602" i="40"/>
  <c r="G1603" i="40"/>
  <c r="G1604" i="40"/>
  <c r="G1605" i="40"/>
  <c r="G1606" i="40"/>
  <c r="G1607" i="40"/>
  <c r="G1608" i="40"/>
  <c r="G1609" i="40"/>
  <c r="G1610" i="40"/>
  <c r="G1611" i="40"/>
  <c r="G1612" i="40"/>
  <c r="G1613" i="40"/>
  <c r="G1614" i="40"/>
  <c r="G1615" i="40"/>
  <c r="G1616" i="40"/>
  <c r="G1617" i="40"/>
  <c r="G1618" i="40"/>
  <c r="G1619" i="40"/>
  <c r="G1620" i="40"/>
  <c r="G1621" i="40"/>
  <c r="G1622" i="40"/>
  <c r="G1623" i="40"/>
  <c r="G1624" i="40"/>
  <c r="G1625" i="40"/>
  <c r="G1626" i="40"/>
  <c r="G1627" i="40"/>
  <c r="G1628" i="40"/>
  <c r="G1629" i="40"/>
  <c r="G1630" i="40"/>
  <c r="G1631" i="40"/>
  <c r="G1632" i="40"/>
  <c r="G1633" i="40"/>
  <c r="G1634" i="40"/>
  <c r="G1635" i="40"/>
  <c r="G1636" i="40"/>
  <c r="G1637" i="40"/>
  <c r="G1638" i="40"/>
  <c r="G1639" i="40"/>
  <c r="G1640" i="40"/>
  <c r="G1641" i="40"/>
  <c r="G1642" i="40"/>
  <c r="G1643" i="40"/>
  <c r="G1644" i="40"/>
  <c r="G1645" i="40"/>
  <c r="G1646" i="40"/>
  <c r="G1647" i="40"/>
  <c r="G1648" i="40"/>
  <c r="G1649" i="40"/>
  <c r="G1650" i="40"/>
  <c r="G1651" i="40"/>
  <c r="G1652" i="40"/>
  <c r="G1653" i="40"/>
  <c r="G1654" i="40"/>
  <c r="G1655" i="40"/>
  <c r="G1656" i="40"/>
  <c r="G1657" i="40"/>
  <c r="G1658" i="40"/>
  <c r="G1659" i="40"/>
  <c r="G1660" i="40"/>
  <c r="G1661" i="40"/>
  <c r="G1662" i="40"/>
  <c r="G1663" i="40"/>
  <c r="G1664" i="40"/>
  <c r="G1665" i="40"/>
  <c r="G1666" i="40"/>
  <c r="G1667" i="40"/>
  <c r="G1668" i="40"/>
  <c r="G1669" i="40"/>
  <c r="G1670" i="40"/>
  <c r="G1671" i="40"/>
  <c r="G1672" i="40"/>
  <c r="G1673" i="40"/>
  <c r="G1674" i="40"/>
  <c r="G1675" i="40"/>
  <c r="G1676" i="40"/>
  <c r="G1677" i="40"/>
  <c r="G1678" i="40"/>
  <c r="G1679" i="40"/>
  <c r="G1680" i="40"/>
  <c r="G1681" i="40"/>
  <c r="G1682" i="40"/>
  <c r="G1683" i="40"/>
  <c r="G1684" i="40"/>
  <c r="G1685" i="40"/>
  <c r="G1686" i="40"/>
  <c r="G1687" i="40"/>
  <c r="G1688" i="40"/>
  <c r="G1689" i="40"/>
  <c r="G1690" i="40"/>
  <c r="G1691" i="40"/>
  <c r="G1692" i="40"/>
  <c r="G1693" i="40"/>
  <c r="G1694" i="40"/>
  <c r="G1695" i="40"/>
  <c r="G1696" i="40"/>
  <c r="G1697" i="40"/>
  <c r="G1698" i="40"/>
  <c r="G1699" i="40"/>
  <c r="G1700" i="40"/>
  <c r="G1701" i="40"/>
  <c r="G1702" i="40"/>
  <c r="G1703" i="40"/>
  <c r="G1704" i="40"/>
  <c r="G1705" i="40"/>
  <c r="G1706" i="40"/>
  <c r="G1707" i="40"/>
  <c r="G1708" i="40"/>
  <c r="G1709" i="40"/>
  <c r="G1710" i="40"/>
  <c r="G1711" i="40"/>
  <c r="G1712" i="40"/>
  <c r="G1713" i="40"/>
  <c r="G1714" i="40"/>
  <c r="G1715" i="40"/>
  <c r="G1716" i="40"/>
  <c r="G1717" i="40"/>
  <c r="G1718" i="40"/>
  <c r="G1719" i="40"/>
  <c r="G1720" i="40"/>
  <c r="G1721" i="40"/>
  <c r="G1722" i="40"/>
  <c r="G1723" i="40"/>
  <c r="G1724" i="40"/>
  <c r="G1725" i="40"/>
  <c r="G1726" i="40"/>
  <c r="G1727" i="40"/>
  <c r="G1728" i="40"/>
  <c r="G1729" i="40"/>
  <c r="G1730" i="40"/>
  <c r="G1731" i="40"/>
  <c r="G1732" i="40"/>
  <c r="G1733" i="40"/>
  <c r="G1734" i="40"/>
  <c r="G1735" i="40"/>
  <c r="G1736" i="40"/>
  <c r="G1737" i="40"/>
  <c r="G1738" i="40"/>
  <c r="G1739" i="40"/>
  <c r="G1740" i="40"/>
  <c r="G1741" i="40"/>
  <c r="G1742" i="40"/>
  <c r="G1743" i="40"/>
  <c r="G1744" i="40"/>
  <c r="G1745" i="40"/>
  <c r="G1746" i="40"/>
  <c r="G1747" i="40"/>
  <c r="G1748" i="40"/>
  <c r="G1749" i="40"/>
  <c r="G1750" i="40"/>
  <c r="G1751" i="40"/>
  <c r="G1752" i="40"/>
  <c r="G1753" i="40"/>
  <c r="G1754" i="40"/>
  <c r="G1755" i="40"/>
  <c r="G1756" i="40"/>
  <c r="G1757" i="40"/>
  <c r="G1758" i="40"/>
  <c r="G1759" i="40"/>
  <c r="G1760" i="40"/>
  <c r="G1761" i="40"/>
  <c r="G1762" i="40"/>
  <c r="G1763" i="40"/>
  <c r="G1764" i="40"/>
  <c r="G1765" i="40"/>
  <c r="G1766" i="40"/>
  <c r="G1767" i="40"/>
  <c r="G1768" i="40"/>
  <c r="G1769" i="40"/>
  <c r="G1770" i="40"/>
  <c r="G1771" i="40"/>
  <c r="G1772" i="40"/>
  <c r="G1773" i="40"/>
  <c r="G1774" i="40"/>
  <c r="G1775" i="40"/>
  <c r="G1776" i="40"/>
  <c r="G1777" i="40"/>
  <c r="G1778" i="40"/>
  <c r="G1779" i="40"/>
  <c r="G1780" i="40"/>
  <c r="G1781" i="40"/>
  <c r="G1782" i="40"/>
  <c r="G1783" i="40"/>
  <c r="G1784" i="40"/>
  <c r="G1785" i="40"/>
  <c r="G1786" i="40"/>
  <c r="G1787" i="40"/>
  <c r="G1788" i="40"/>
  <c r="G1789" i="40"/>
  <c r="G1790" i="40"/>
  <c r="G1791" i="40"/>
  <c r="G1792" i="40"/>
  <c r="G1793" i="40"/>
  <c r="G1794" i="40"/>
  <c r="G1795" i="40"/>
  <c r="G1796" i="40"/>
  <c r="G1797" i="40"/>
  <c r="G1798" i="40"/>
  <c r="G1799" i="40"/>
  <c r="G1800" i="40"/>
  <c r="G1801" i="40"/>
  <c r="G1802" i="40"/>
  <c r="G1803" i="40"/>
  <c r="G1804" i="40"/>
  <c r="G1805" i="40"/>
  <c r="G1806" i="40"/>
  <c r="G1807" i="40"/>
  <c r="G1808" i="40"/>
  <c r="G1809" i="40"/>
  <c r="G1810" i="40"/>
  <c r="G1811" i="40"/>
  <c r="G1812" i="40"/>
  <c r="G1813" i="40"/>
  <c r="G1814" i="40"/>
  <c r="G1815" i="40"/>
  <c r="G1816" i="40"/>
  <c r="G1817" i="40"/>
  <c r="G1818" i="40"/>
  <c r="G1819" i="40"/>
  <c r="G1820" i="40"/>
  <c r="G1821" i="40"/>
  <c r="G1822" i="40"/>
  <c r="G1823" i="40"/>
  <c r="G1824" i="40"/>
  <c r="G1825" i="40"/>
  <c r="G1826" i="40"/>
  <c r="G1827" i="40"/>
  <c r="G1828" i="40"/>
  <c r="G1829" i="40"/>
  <c r="G1830" i="40"/>
  <c r="G1831" i="40"/>
  <c r="G1832" i="40"/>
  <c r="G1833" i="40"/>
  <c r="G1834" i="40"/>
  <c r="G1835" i="40"/>
  <c r="G1836" i="40"/>
  <c r="G1837" i="40"/>
  <c r="G1838" i="40"/>
  <c r="G1839" i="40"/>
  <c r="G1840" i="40"/>
  <c r="G1841" i="40"/>
  <c r="G1842" i="40"/>
  <c r="G1843" i="40"/>
  <c r="G1844" i="40"/>
  <c r="G1845" i="40"/>
  <c r="G1846" i="40"/>
  <c r="G1847" i="40"/>
  <c r="G1848" i="40"/>
  <c r="G1849" i="40"/>
  <c r="G1850" i="40"/>
  <c r="G1851" i="40"/>
  <c r="G1852" i="40"/>
  <c r="G1853" i="40"/>
  <c r="G1854" i="40"/>
  <c r="G1855" i="40"/>
  <c r="G1856" i="40"/>
  <c r="G1857" i="40"/>
  <c r="G1858" i="40"/>
  <c r="G1859" i="40"/>
  <c r="G1860" i="40"/>
  <c r="G1861" i="40"/>
  <c r="G1862" i="40"/>
  <c r="G1863" i="40"/>
  <c r="G1864" i="40"/>
  <c r="G1865" i="40"/>
  <c r="G1866" i="40"/>
  <c r="G1867" i="40"/>
  <c r="G1868" i="40"/>
  <c r="G1869" i="40"/>
  <c r="G1870" i="40"/>
  <c r="G1871" i="40"/>
  <c r="G1872" i="40"/>
  <c r="G1873" i="40"/>
  <c r="G1874" i="40"/>
  <c r="G1875" i="40"/>
  <c r="G1876" i="40"/>
  <c r="G1877" i="40"/>
  <c r="G1878" i="40"/>
  <c r="G1879" i="40"/>
  <c r="G1880" i="40"/>
  <c r="G1881" i="40"/>
  <c r="G1882" i="40"/>
  <c r="G1883" i="40"/>
  <c r="G1884" i="40"/>
  <c r="G1885" i="40"/>
  <c r="G1886" i="40"/>
  <c r="G1887" i="40"/>
  <c r="G1888" i="40"/>
  <c r="G1889" i="40"/>
  <c r="G1890" i="40"/>
  <c r="G1891" i="40"/>
  <c r="G1892" i="40"/>
  <c r="G1893" i="40"/>
  <c r="G1894" i="40"/>
  <c r="G1895" i="40"/>
  <c r="G1896" i="40"/>
  <c r="G1897" i="40"/>
  <c r="G1898" i="40"/>
  <c r="G1899" i="40"/>
  <c r="G1900" i="40"/>
  <c r="G1901" i="40"/>
  <c r="G1902" i="40"/>
  <c r="G1903" i="40"/>
  <c r="G1904" i="40"/>
  <c r="G1905" i="40"/>
  <c r="G1906" i="40"/>
  <c r="G1907" i="40"/>
  <c r="G1908" i="40"/>
  <c r="G1909" i="40"/>
  <c r="G1910" i="40"/>
  <c r="G1911" i="40"/>
  <c r="G1912" i="40"/>
  <c r="G1913" i="40"/>
  <c r="G1914" i="40"/>
  <c r="G1915" i="40"/>
  <c r="G1916" i="40"/>
  <c r="G1917" i="40"/>
  <c r="G1918" i="40"/>
  <c r="G1919" i="40"/>
  <c r="G1920" i="40"/>
  <c r="G1921" i="40"/>
  <c r="G1922" i="40"/>
  <c r="G1923" i="40"/>
  <c r="G1924" i="40"/>
  <c r="G1925" i="40"/>
  <c r="G1926" i="40"/>
  <c r="G1927" i="40"/>
  <c r="G1928" i="40"/>
  <c r="G1929" i="40"/>
  <c r="G1930" i="40"/>
  <c r="G1931" i="40"/>
  <c r="G1932" i="40"/>
  <c r="G1933" i="40"/>
  <c r="G1934" i="40"/>
  <c r="G1935" i="40"/>
  <c r="G1936" i="40"/>
  <c r="G1937" i="40"/>
  <c r="G1938" i="40"/>
  <c r="G1939" i="40"/>
  <c r="G1940" i="40"/>
  <c r="G1941" i="40"/>
  <c r="G1942" i="40"/>
  <c r="G1943" i="40"/>
  <c r="G1944" i="40"/>
  <c r="G1945" i="40"/>
  <c r="G1946" i="40"/>
  <c r="G1947" i="40"/>
  <c r="G1948" i="40"/>
  <c r="G1949" i="40"/>
  <c r="G1950" i="40"/>
  <c r="G1951" i="40"/>
  <c r="G1952" i="40"/>
  <c r="G1953" i="40"/>
  <c r="G1954" i="40"/>
  <c r="G1955" i="40"/>
  <c r="G1956" i="40"/>
  <c r="G1957" i="40"/>
  <c r="G1958" i="40"/>
  <c r="G1959" i="40"/>
  <c r="G1960" i="40"/>
  <c r="G1961" i="40"/>
  <c r="G1962" i="40"/>
  <c r="G1963" i="40"/>
  <c r="G1964" i="40"/>
  <c r="G1965" i="40"/>
  <c r="G1966" i="40"/>
  <c r="G1967" i="40"/>
  <c r="G1968" i="40"/>
  <c r="G1969" i="40"/>
  <c r="G1970" i="40"/>
  <c r="G1971" i="40"/>
  <c r="G1972" i="40"/>
  <c r="G1973" i="40"/>
  <c r="G1974" i="40"/>
  <c r="G1975" i="40"/>
  <c r="G1976" i="40"/>
  <c r="G1977" i="40"/>
  <c r="G1978" i="40"/>
  <c r="G1979" i="40"/>
  <c r="G1980" i="40"/>
  <c r="G1981" i="40"/>
  <c r="G1982" i="40"/>
  <c r="G1983" i="40"/>
  <c r="G1984" i="40"/>
  <c r="G1985" i="40"/>
  <c r="G1986" i="40"/>
  <c r="G1987" i="40"/>
  <c r="G1988" i="40"/>
  <c r="G1989" i="40"/>
  <c r="G1990" i="40"/>
  <c r="G1991" i="40"/>
  <c r="G1992" i="40"/>
  <c r="G1993" i="40"/>
  <c r="G1994" i="40"/>
  <c r="G1995" i="40"/>
  <c r="G1996" i="40"/>
  <c r="G1997" i="40"/>
  <c r="G1998" i="40"/>
  <c r="G1999" i="40"/>
  <c r="G2000" i="40"/>
  <c r="G2001" i="40"/>
  <c r="G2002" i="40"/>
  <c r="G2003" i="40"/>
  <c r="G2004" i="40"/>
  <c r="G2005" i="40"/>
  <c r="G2006" i="40"/>
  <c r="G2007" i="40"/>
  <c r="G2008" i="40"/>
  <c r="G2009" i="40"/>
  <c r="G2010" i="40"/>
  <c r="G2011" i="40"/>
  <c r="G2012" i="40"/>
  <c r="G2013" i="40"/>
  <c r="G2014" i="40"/>
  <c r="G2015" i="40"/>
  <c r="G2016" i="40"/>
  <c r="G2017" i="40"/>
  <c r="G2018" i="40"/>
  <c r="G2019" i="40"/>
  <c r="G2020" i="40"/>
  <c r="G2021" i="40"/>
  <c r="G2022" i="40"/>
  <c r="G2023" i="40"/>
  <c r="G2024" i="40"/>
  <c r="G2025" i="40"/>
  <c r="G2026" i="40"/>
  <c r="G2027" i="40"/>
  <c r="G2028" i="40"/>
  <c r="G2029" i="40"/>
  <c r="G2030" i="40"/>
  <c r="G2031" i="40"/>
  <c r="G2032" i="40"/>
  <c r="G2033" i="40"/>
  <c r="G2034" i="40"/>
  <c r="G2035" i="40"/>
  <c r="G2036" i="40"/>
  <c r="G2037" i="40"/>
  <c r="G2038" i="40"/>
  <c r="G2039" i="40"/>
  <c r="G2040" i="40"/>
  <c r="G2041" i="40"/>
  <c r="G2042" i="40"/>
  <c r="G2043" i="40"/>
  <c r="G2044" i="40"/>
  <c r="G2045" i="40"/>
  <c r="G2046" i="40"/>
  <c r="G2047" i="40"/>
  <c r="G2048" i="40"/>
  <c r="G2049" i="40"/>
  <c r="G2050" i="40"/>
  <c r="G2051" i="40"/>
  <c r="G2052" i="40"/>
  <c r="G2053" i="40"/>
  <c r="G2054" i="40"/>
  <c r="G2055" i="40"/>
  <c r="G2056" i="40"/>
  <c r="G2057" i="40"/>
  <c r="G2058" i="40"/>
  <c r="G2059" i="40"/>
  <c r="G2060" i="40"/>
  <c r="G2061" i="40"/>
  <c r="G2062" i="40"/>
  <c r="G2063" i="40"/>
  <c r="G2064" i="40"/>
  <c r="G2065" i="40"/>
  <c r="G2066" i="40"/>
  <c r="G2067" i="40"/>
  <c r="G2068" i="40"/>
  <c r="G2069" i="40"/>
  <c r="G2070" i="40"/>
  <c r="G2071" i="40"/>
  <c r="G2072" i="40"/>
  <c r="G2073" i="40"/>
  <c r="G2074" i="40"/>
  <c r="G2075" i="40"/>
  <c r="G2076" i="40"/>
  <c r="G2077" i="40"/>
  <c r="G2078" i="40"/>
  <c r="G2079" i="40"/>
  <c r="G2080" i="40"/>
  <c r="G2081" i="40"/>
  <c r="G2082" i="40"/>
  <c r="G2083" i="40"/>
  <c r="G2084" i="40"/>
  <c r="G2085" i="40"/>
  <c r="G2086" i="40"/>
  <c r="G2087" i="40"/>
  <c r="G2088" i="40"/>
  <c r="G2089" i="40"/>
  <c r="G2090" i="40"/>
  <c r="G2091" i="40"/>
  <c r="G2092" i="40"/>
  <c r="G2093" i="40"/>
  <c r="G2094" i="40"/>
  <c r="G2095" i="40"/>
  <c r="G2096" i="40"/>
  <c r="G2097" i="40"/>
  <c r="G2098" i="40"/>
  <c r="G2099" i="40"/>
  <c r="G2100" i="40"/>
  <c r="G2101" i="40"/>
  <c r="G2102" i="40"/>
  <c r="G2103" i="40"/>
  <c r="G2104" i="40"/>
  <c r="G2105" i="40"/>
  <c r="G2106" i="40"/>
  <c r="G2107" i="40"/>
  <c r="G2108" i="40"/>
  <c r="G2109" i="40"/>
  <c r="G2110" i="40"/>
  <c r="G2111" i="40"/>
  <c r="G2112" i="40"/>
  <c r="G2113" i="40"/>
  <c r="G2114" i="40"/>
  <c r="G2115" i="40"/>
  <c r="G2116" i="40"/>
  <c r="G2117" i="40"/>
  <c r="G2118" i="40"/>
  <c r="G2119" i="40"/>
  <c r="G2120" i="40"/>
  <c r="G2121" i="40"/>
  <c r="G2122" i="40"/>
  <c r="G2123" i="40"/>
  <c r="G2124" i="40"/>
  <c r="G2125" i="40"/>
  <c r="G2126" i="40"/>
  <c r="G2127" i="40"/>
  <c r="G2128" i="40"/>
  <c r="G2129" i="40"/>
  <c r="G2130" i="40"/>
  <c r="G2131" i="40"/>
  <c r="G2132" i="40"/>
  <c r="G2133" i="40"/>
  <c r="G2134" i="40"/>
  <c r="G2135" i="40"/>
  <c r="G2136" i="40"/>
  <c r="G2137" i="40"/>
  <c r="G2138" i="40"/>
  <c r="G2139" i="40"/>
  <c r="G2140" i="40"/>
  <c r="G2141" i="40"/>
  <c r="G2142" i="40"/>
  <c r="G2143" i="40"/>
  <c r="G2144" i="40"/>
  <c r="G2145" i="40"/>
  <c r="G2146" i="40"/>
  <c r="G2147" i="40"/>
  <c r="G2148" i="40"/>
  <c r="G2149" i="40"/>
  <c r="G2150" i="40"/>
  <c r="G2151" i="40"/>
  <c r="G2152" i="40"/>
  <c r="G2153" i="40"/>
  <c r="G2154" i="40"/>
  <c r="G2155" i="40"/>
  <c r="G2156" i="40"/>
  <c r="G2157" i="40"/>
  <c r="G2158" i="40"/>
  <c r="G2159" i="40"/>
  <c r="G2160" i="40"/>
  <c r="G2161" i="40"/>
  <c r="G2162" i="40"/>
  <c r="G2163" i="40"/>
  <c r="G2164" i="40"/>
  <c r="G2165" i="40"/>
  <c r="G2166" i="40"/>
  <c r="G2167" i="40"/>
  <c r="G2168" i="40"/>
  <c r="G2169" i="40"/>
  <c r="G2170" i="40"/>
  <c r="G2171" i="40"/>
  <c r="G2172" i="40"/>
  <c r="G2173" i="40"/>
  <c r="G2174" i="40"/>
  <c r="G2175" i="40"/>
  <c r="G2176" i="40"/>
  <c r="G2177" i="40"/>
  <c r="G2178" i="40"/>
  <c r="G2179" i="40"/>
  <c r="G2180" i="40"/>
  <c r="G2181" i="40"/>
  <c r="G2182" i="40"/>
  <c r="G2183" i="40"/>
  <c r="G2184" i="40"/>
  <c r="G2185" i="40"/>
  <c r="G2186" i="40"/>
  <c r="G2187" i="40"/>
  <c r="G2188" i="40"/>
  <c r="G2189" i="40"/>
  <c r="G2190" i="40"/>
  <c r="G2191" i="40"/>
  <c r="G2192" i="40"/>
  <c r="G2193" i="40"/>
  <c r="G2194" i="40"/>
  <c r="G2195" i="40"/>
  <c r="G2196" i="40"/>
  <c r="G2197" i="40"/>
  <c r="G2198" i="40"/>
  <c r="G2199" i="40"/>
  <c r="G2200" i="40"/>
  <c r="G2201" i="40"/>
  <c r="G2202" i="40"/>
  <c r="G2203" i="40"/>
  <c r="G2204" i="40"/>
  <c r="G2205" i="40"/>
  <c r="G2206" i="40"/>
  <c r="G2207" i="40"/>
  <c r="G2208" i="40"/>
  <c r="G2209" i="40"/>
  <c r="G2210" i="40"/>
  <c r="G2211" i="40"/>
  <c r="G2212" i="40"/>
  <c r="G2213" i="40"/>
  <c r="G2214" i="40"/>
  <c r="G2215" i="40"/>
  <c r="G2216" i="40"/>
  <c r="G2217" i="40"/>
  <c r="G2218" i="40"/>
  <c r="G2219" i="40"/>
  <c r="G2220" i="40"/>
  <c r="G2221" i="40"/>
  <c r="G2222" i="40"/>
  <c r="G2223" i="40"/>
  <c r="G2224" i="40"/>
  <c r="G2225" i="40"/>
  <c r="G2226" i="40"/>
  <c r="G2227" i="40"/>
  <c r="G2228" i="40"/>
  <c r="G2229" i="40"/>
  <c r="G2230" i="40"/>
  <c r="G2231" i="40"/>
  <c r="G2232" i="40"/>
  <c r="G2233" i="40"/>
  <c r="G2234" i="40"/>
  <c r="G2235" i="40"/>
  <c r="G2236" i="40"/>
  <c r="G2237" i="40"/>
  <c r="G2238" i="40"/>
  <c r="G2239" i="40"/>
  <c r="G2240" i="40"/>
  <c r="G2241" i="40"/>
  <c r="G2242" i="40"/>
  <c r="G2243" i="40"/>
  <c r="G2244" i="40"/>
  <c r="G2245" i="40"/>
  <c r="G2246" i="40"/>
  <c r="G2247" i="40"/>
  <c r="G2248" i="40"/>
  <c r="G2249" i="40"/>
  <c r="G2250" i="40"/>
  <c r="G2251" i="40"/>
  <c r="G2252" i="40"/>
  <c r="G2253" i="40"/>
  <c r="G2254" i="40"/>
  <c r="G2255" i="40"/>
  <c r="G2256" i="40"/>
  <c r="G2257" i="40"/>
  <c r="G2258" i="40"/>
  <c r="G2259" i="40"/>
  <c r="G2260" i="40"/>
  <c r="G2261" i="40"/>
  <c r="G2262" i="40"/>
  <c r="G2263" i="40"/>
  <c r="G2264" i="40"/>
  <c r="G2265" i="40"/>
  <c r="G2266" i="40"/>
  <c r="G2267" i="40"/>
  <c r="G2268" i="40"/>
  <c r="G2269" i="40"/>
  <c r="G2270" i="40"/>
  <c r="G2271" i="40"/>
  <c r="G2272" i="40"/>
  <c r="G2273" i="40"/>
  <c r="G2274" i="40"/>
  <c r="G2275" i="40"/>
  <c r="G2276" i="40"/>
  <c r="G2277" i="40"/>
  <c r="G2278" i="40"/>
  <c r="G2279" i="40"/>
  <c r="G2280" i="40"/>
  <c r="G2281" i="40"/>
  <c r="G2282" i="40"/>
  <c r="G2283" i="40"/>
  <c r="G2284" i="40"/>
  <c r="G2285" i="40"/>
  <c r="G2286" i="40"/>
  <c r="G2287" i="40"/>
  <c r="G2288" i="40"/>
  <c r="G2289" i="40"/>
  <c r="G2290" i="40"/>
  <c r="G2291" i="40"/>
  <c r="G2292" i="40"/>
  <c r="G2293" i="40"/>
  <c r="G2294" i="40"/>
  <c r="G2295" i="40"/>
  <c r="G2296" i="40"/>
  <c r="G2297" i="40"/>
  <c r="G2298" i="40"/>
  <c r="G2299" i="40"/>
  <c r="G2300" i="40"/>
  <c r="G2301" i="40"/>
  <c r="G2302" i="40"/>
  <c r="G2303" i="40"/>
  <c r="G2304" i="40"/>
  <c r="G2305" i="40"/>
  <c r="G2306" i="40"/>
  <c r="G2307" i="40"/>
  <c r="G2308" i="40"/>
  <c r="G2309" i="40"/>
  <c r="G2310" i="40"/>
  <c r="G2311" i="40"/>
  <c r="G2312" i="40"/>
  <c r="G2313" i="40"/>
  <c r="G2314" i="40"/>
  <c r="G2315" i="40"/>
  <c r="G2316" i="40"/>
  <c r="G2317" i="40"/>
  <c r="G2318" i="40"/>
  <c r="G2319" i="40"/>
  <c r="G2320" i="40"/>
  <c r="G2321" i="40"/>
  <c r="G2322" i="40"/>
  <c r="G2323" i="40"/>
  <c r="G2324" i="40"/>
  <c r="G2325" i="40"/>
  <c r="G2326" i="40"/>
  <c r="G2327" i="40"/>
  <c r="G2328" i="40"/>
  <c r="G2329" i="40"/>
  <c r="G2330" i="40"/>
  <c r="G2331" i="40"/>
  <c r="G2332" i="40"/>
  <c r="G2333" i="40"/>
  <c r="G2334" i="40"/>
  <c r="G2335" i="40"/>
  <c r="G2336" i="40"/>
  <c r="G2337" i="40"/>
  <c r="G2338" i="40"/>
  <c r="G2339" i="40"/>
  <c r="G2340" i="40"/>
  <c r="G2341" i="40"/>
  <c r="G2342" i="40"/>
  <c r="G2343" i="40"/>
  <c r="G2344" i="40"/>
  <c r="G2345" i="40"/>
  <c r="G2346" i="40"/>
  <c r="G2347" i="40"/>
  <c r="G2348" i="40"/>
  <c r="G2349" i="40"/>
  <c r="G2350" i="40"/>
  <c r="G2351" i="40"/>
  <c r="G2352" i="40"/>
  <c r="G2353" i="40"/>
  <c r="G2354" i="40"/>
  <c r="G2355" i="40"/>
  <c r="G2356" i="40"/>
  <c r="G2357" i="40"/>
  <c r="G2358" i="40"/>
  <c r="G2359" i="40"/>
  <c r="G2360" i="40"/>
  <c r="G2361" i="40"/>
  <c r="G2362" i="40"/>
  <c r="G2363" i="40"/>
  <c r="G2364" i="40"/>
  <c r="G2365" i="40"/>
  <c r="G2366" i="40"/>
  <c r="G2367" i="40"/>
  <c r="G2368" i="40"/>
  <c r="G2369" i="40"/>
  <c r="G2370" i="40"/>
  <c r="G2371" i="40"/>
  <c r="G2372" i="40"/>
  <c r="G2373" i="40"/>
  <c r="G2374" i="40"/>
  <c r="G2375" i="40"/>
  <c r="G2376" i="40"/>
  <c r="G2377" i="40"/>
  <c r="G2378" i="40"/>
  <c r="G2379" i="40"/>
  <c r="G2380" i="40"/>
  <c r="G2381" i="40"/>
  <c r="G2382" i="40"/>
  <c r="G2383" i="40"/>
  <c r="G2384" i="40"/>
  <c r="G2385" i="40"/>
  <c r="G2386" i="40"/>
  <c r="G2387" i="40"/>
  <c r="G2388" i="40"/>
  <c r="G2389" i="40"/>
  <c r="G2390" i="40"/>
  <c r="G2391" i="40"/>
  <c r="G2392" i="40"/>
  <c r="G2393" i="40"/>
  <c r="G2394" i="40"/>
  <c r="G2395" i="40"/>
  <c r="G2396" i="40"/>
  <c r="G2397" i="40"/>
  <c r="G2398" i="40"/>
  <c r="G2399" i="40"/>
  <c r="G2400" i="40"/>
  <c r="G2401" i="40"/>
  <c r="G2402" i="40"/>
  <c r="G2403" i="40"/>
  <c r="G2404" i="40"/>
  <c r="G2405" i="40"/>
  <c r="G2406" i="40"/>
  <c r="G2407" i="40"/>
  <c r="G2408" i="40"/>
  <c r="G2409" i="40"/>
  <c r="G2410" i="40"/>
  <c r="G2411" i="40"/>
  <c r="G2412" i="40"/>
  <c r="G2413" i="40"/>
  <c r="G2414" i="40"/>
  <c r="G2415" i="40"/>
  <c r="G2416" i="40"/>
  <c r="G2417" i="40"/>
  <c r="G2418" i="40"/>
  <c r="G2419" i="40"/>
  <c r="G2420" i="40"/>
  <c r="G2421" i="40"/>
  <c r="G2422" i="40"/>
  <c r="G2423" i="40"/>
  <c r="G2424" i="40"/>
  <c r="G2425" i="40"/>
  <c r="G2426" i="40"/>
  <c r="G2427" i="40"/>
  <c r="G2428" i="40"/>
  <c r="G2429" i="40"/>
  <c r="G2430" i="40"/>
  <c r="G2431" i="40"/>
  <c r="G2432" i="40"/>
  <c r="G2433" i="40"/>
  <c r="G2434" i="40"/>
  <c r="G2435" i="40"/>
  <c r="G2436" i="40"/>
  <c r="G2437" i="40"/>
  <c r="G2438" i="40"/>
  <c r="G2439" i="40"/>
  <c r="G2440" i="40"/>
  <c r="G2441" i="40"/>
  <c r="G2442" i="40"/>
  <c r="G2443" i="40"/>
  <c r="G2444" i="40"/>
  <c r="G2445" i="40"/>
  <c r="G2446" i="40"/>
  <c r="G2447" i="40"/>
  <c r="G2448" i="40"/>
  <c r="G2449" i="40"/>
  <c r="G2450" i="40"/>
  <c r="G2451" i="40"/>
  <c r="G2452" i="40"/>
  <c r="G2453" i="40"/>
  <c r="G2454" i="40"/>
  <c r="G2455" i="40"/>
  <c r="G2456" i="40"/>
  <c r="G2457" i="40"/>
  <c r="G2458" i="40"/>
  <c r="G2459" i="40"/>
  <c r="G2460" i="40"/>
  <c r="G2461" i="40"/>
  <c r="G2462" i="40"/>
  <c r="G2463" i="40"/>
  <c r="G2464" i="40"/>
  <c r="G2465" i="40"/>
  <c r="G2466" i="40"/>
  <c r="G2467" i="40"/>
  <c r="G2468" i="40"/>
  <c r="G2469" i="40"/>
  <c r="G2470" i="40"/>
  <c r="G2471" i="40"/>
  <c r="G2472" i="40"/>
  <c r="G2473" i="40"/>
  <c r="G2474" i="40"/>
  <c r="G2475" i="40"/>
  <c r="G2476" i="40"/>
  <c r="G2477" i="40"/>
  <c r="G2478" i="40"/>
  <c r="G2479" i="40"/>
  <c r="G2480" i="40"/>
  <c r="G2481" i="40"/>
  <c r="G2482" i="40"/>
  <c r="G2483" i="40"/>
  <c r="G2484" i="40"/>
  <c r="G2485" i="40"/>
  <c r="G2486" i="40"/>
  <c r="G2487" i="40"/>
  <c r="G2488" i="40"/>
  <c r="G2489" i="40"/>
  <c r="G2490" i="40"/>
  <c r="G2491" i="40"/>
  <c r="G2492" i="40"/>
  <c r="G2493" i="40"/>
  <c r="G2494" i="40"/>
  <c r="G2495" i="40"/>
  <c r="G2496" i="40"/>
  <c r="G2497" i="40"/>
  <c r="G2498" i="40"/>
  <c r="G2499" i="40"/>
  <c r="G2500" i="40"/>
  <c r="G2501" i="40"/>
  <c r="G2502" i="40"/>
  <c r="G2503" i="40"/>
  <c r="G2504" i="40"/>
  <c r="G2505" i="40"/>
  <c r="G2506" i="40"/>
  <c r="G2507" i="40"/>
  <c r="G2508" i="40"/>
  <c r="G2509" i="40"/>
  <c r="G2510" i="40"/>
  <c r="G2511" i="40"/>
  <c r="G2512" i="40"/>
  <c r="G2513" i="40"/>
  <c r="G2514" i="40"/>
  <c r="G2515" i="40"/>
  <c r="G2516" i="40"/>
  <c r="G2517" i="40"/>
  <c r="G2518" i="40"/>
  <c r="G2519" i="40"/>
  <c r="G2520" i="40"/>
  <c r="G2521" i="40"/>
  <c r="G2522" i="40"/>
  <c r="G2523" i="40"/>
  <c r="G2524" i="40"/>
  <c r="G2525" i="40"/>
  <c r="G2526" i="40"/>
  <c r="G2527" i="40"/>
  <c r="G2528" i="40"/>
  <c r="G2529" i="40"/>
  <c r="G2530" i="40"/>
  <c r="G2531" i="40"/>
  <c r="G2532" i="40"/>
  <c r="G2533" i="40"/>
  <c r="G2534" i="40"/>
  <c r="G2535" i="40"/>
  <c r="G2536" i="40"/>
  <c r="G2537" i="40"/>
  <c r="G2538" i="40"/>
  <c r="G2539" i="40"/>
  <c r="G2540" i="40"/>
  <c r="G2541" i="40"/>
  <c r="G2542" i="40"/>
  <c r="G2543" i="40"/>
  <c r="G2544" i="40"/>
  <c r="G2545" i="40"/>
  <c r="G2546" i="40"/>
  <c r="G2547" i="40"/>
  <c r="G2548" i="40"/>
  <c r="G2549" i="40"/>
  <c r="G2550" i="40"/>
  <c r="G2551" i="40"/>
  <c r="G2552" i="40"/>
  <c r="G2553" i="40"/>
  <c r="G2554" i="40"/>
  <c r="G2555" i="40"/>
  <c r="G2556" i="40"/>
  <c r="G2557" i="40"/>
  <c r="G2558" i="40"/>
  <c r="G2559" i="40"/>
  <c r="G2560" i="40"/>
  <c r="G2561" i="40"/>
  <c r="G2562" i="40"/>
  <c r="G2563" i="40"/>
  <c r="G2564" i="40"/>
  <c r="G2565" i="40"/>
  <c r="G2566" i="40"/>
  <c r="G2567" i="40"/>
  <c r="G2568" i="40"/>
  <c r="G2569" i="40"/>
  <c r="G2570" i="40"/>
  <c r="G2571" i="40"/>
  <c r="G2572" i="40"/>
  <c r="G2573" i="40"/>
  <c r="G2574" i="40"/>
  <c r="G2575" i="40"/>
  <c r="G2576" i="40"/>
  <c r="G2577" i="40"/>
  <c r="G2578" i="40"/>
  <c r="G2579" i="40"/>
  <c r="G2580" i="40"/>
  <c r="G2581" i="40"/>
  <c r="G2582" i="40"/>
  <c r="G2583" i="40"/>
  <c r="G2584" i="40"/>
  <c r="G2585" i="40"/>
  <c r="G2586" i="40"/>
  <c r="G2587" i="40"/>
  <c r="G2588" i="40"/>
  <c r="G2589" i="40"/>
  <c r="G2590" i="40"/>
  <c r="G2591" i="40"/>
  <c r="G2592" i="40"/>
  <c r="G2593" i="40"/>
  <c r="G2594" i="40"/>
  <c r="G2595" i="40"/>
  <c r="G2596" i="40"/>
  <c r="G2597" i="40"/>
  <c r="G2598" i="40"/>
  <c r="G2599" i="40"/>
  <c r="G2600" i="40"/>
  <c r="G2601" i="40"/>
  <c r="G2602" i="40"/>
  <c r="G2603" i="40"/>
  <c r="G2604" i="40"/>
  <c r="G2605" i="40"/>
  <c r="G2606" i="40"/>
  <c r="G2607" i="40"/>
  <c r="G2608" i="40"/>
  <c r="G2609" i="40"/>
  <c r="G2610" i="40"/>
  <c r="G2611" i="40"/>
  <c r="G2612" i="40"/>
  <c r="G2613" i="40"/>
  <c r="G2614" i="40"/>
  <c r="G2615" i="40"/>
  <c r="G2616" i="40"/>
  <c r="G2617" i="40"/>
  <c r="G2618" i="40"/>
  <c r="G2619" i="40"/>
  <c r="G2620" i="40"/>
  <c r="G2621" i="40"/>
  <c r="G2622" i="40"/>
  <c r="G2623" i="40"/>
  <c r="G2624" i="40"/>
  <c r="G2625" i="40"/>
  <c r="G2626" i="40"/>
  <c r="G2627" i="40"/>
  <c r="G2628" i="40"/>
  <c r="G2629" i="40"/>
  <c r="G2630" i="40"/>
  <c r="G2631" i="40"/>
  <c r="G2632" i="40"/>
  <c r="G2633" i="40"/>
  <c r="G2634" i="40"/>
  <c r="G2635" i="40"/>
  <c r="G2636" i="40"/>
  <c r="G2637" i="40"/>
  <c r="G2638" i="40"/>
  <c r="G2639" i="40"/>
  <c r="G2640" i="40"/>
  <c r="G2641" i="40"/>
  <c r="G2642" i="40"/>
  <c r="G2643" i="40"/>
  <c r="G2644" i="40"/>
  <c r="G2645" i="40"/>
  <c r="G2646" i="40"/>
  <c r="G2647" i="40"/>
  <c r="G2648" i="40"/>
  <c r="G2649" i="40"/>
  <c r="G2650" i="40"/>
  <c r="G2651" i="40"/>
  <c r="G2652" i="40"/>
  <c r="G2653" i="40"/>
  <c r="G2654" i="40"/>
  <c r="G2655" i="40"/>
  <c r="G2656" i="40"/>
  <c r="G2657" i="40"/>
  <c r="G2658" i="40"/>
  <c r="G2659" i="40"/>
  <c r="G2660" i="40"/>
  <c r="G2661" i="40"/>
  <c r="G2662" i="40"/>
  <c r="G2663" i="40"/>
  <c r="G2664" i="40"/>
  <c r="G2665" i="40"/>
  <c r="G2666" i="40"/>
  <c r="G2667" i="40"/>
  <c r="G2668" i="40"/>
  <c r="G2669" i="40"/>
  <c r="G2670" i="40"/>
  <c r="G2671" i="40"/>
  <c r="G2672" i="40"/>
  <c r="G2673" i="40"/>
  <c r="G2674" i="40"/>
  <c r="G2675" i="40"/>
  <c r="G2676" i="40"/>
  <c r="G2677" i="40"/>
  <c r="G2678" i="40"/>
  <c r="G2679" i="40"/>
  <c r="G2680" i="40"/>
  <c r="G2681" i="40"/>
  <c r="G2682" i="40"/>
  <c r="G2683" i="40"/>
  <c r="G2684" i="40"/>
  <c r="G2685" i="40"/>
  <c r="G2686" i="40"/>
  <c r="G2687" i="40"/>
  <c r="G2688" i="40"/>
  <c r="G2689" i="40"/>
  <c r="G2690" i="40"/>
  <c r="G2691" i="40"/>
  <c r="G2692" i="40"/>
  <c r="G2693" i="40"/>
  <c r="G2694" i="40"/>
  <c r="G2695" i="40"/>
  <c r="G2696" i="40"/>
  <c r="G2697" i="40"/>
  <c r="G2698" i="40"/>
  <c r="G2699" i="40"/>
  <c r="G2700" i="40"/>
  <c r="G2701" i="40"/>
  <c r="G2702" i="40"/>
  <c r="G2703" i="40"/>
  <c r="G2704" i="40"/>
  <c r="G2705" i="40"/>
  <c r="G2706" i="40"/>
  <c r="G2707" i="40"/>
  <c r="G2708" i="40"/>
  <c r="G2709" i="40"/>
  <c r="G2710" i="40"/>
  <c r="G2711" i="40"/>
  <c r="G2712" i="40"/>
  <c r="G2713" i="40"/>
  <c r="G2714" i="40"/>
  <c r="G2715" i="40"/>
  <c r="G2716" i="40"/>
  <c r="G2717" i="40"/>
  <c r="G2718" i="40"/>
  <c r="G2719" i="40"/>
  <c r="G2720" i="40"/>
  <c r="G2721" i="40"/>
  <c r="G2722" i="40"/>
  <c r="G2723" i="40"/>
  <c r="G2724" i="40"/>
  <c r="G2725" i="40"/>
  <c r="G2726" i="40"/>
  <c r="G2727" i="40"/>
  <c r="G2728" i="40"/>
  <c r="G2729" i="40"/>
  <c r="G2730" i="40"/>
  <c r="G2731" i="40"/>
  <c r="G2732" i="40"/>
  <c r="G2733" i="40"/>
  <c r="G2734" i="40"/>
  <c r="G2735" i="40"/>
  <c r="G2736" i="40"/>
  <c r="G2737" i="40"/>
  <c r="G2738" i="40"/>
  <c r="G2739" i="40"/>
  <c r="G2740" i="40"/>
  <c r="G2741" i="40"/>
  <c r="G2742" i="40"/>
  <c r="G2743" i="40"/>
  <c r="G2744" i="40"/>
  <c r="G2745" i="40"/>
  <c r="G2746" i="40"/>
  <c r="G2747" i="40"/>
  <c r="G2748" i="40"/>
  <c r="G2749" i="40"/>
  <c r="G2750" i="40"/>
  <c r="G2751" i="40"/>
  <c r="G2752" i="40"/>
  <c r="G2753" i="40"/>
  <c r="G2754" i="40"/>
  <c r="G2755" i="40"/>
  <c r="G2756" i="40"/>
  <c r="G2757" i="40"/>
  <c r="G2758" i="40"/>
  <c r="G2759" i="40"/>
  <c r="G2760" i="40"/>
  <c r="G2761" i="40"/>
  <c r="G2762" i="40"/>
  <c r="G2763" i="40"/>
  <c r="G2764" i="40"/>
  <c r="G2765" i="40"/>
  <c r="G2766" i="40"/>
  <c r="G2767" i="40"/>
  <c r="G2768" i="40"/>
  <c r="G2769" i="40"/>
  <c r="G2770" i="40"/>
  <c r="G2771" i="40"/>
  <c r="G2772" i="40"/>
  <c r="G2773" i="40"/>
  <c r="G2774" i="40"/>
  <c r="G2775" i="40"/>
  <c r="G2776" i="40"/>
  <c r="G2777" i="40"/>
  <c r="G2778" i="40"/>
  <c r="G2779" i="40"/>
  <c r="G2780" i="40"/>
  <c r="G2781" i="40"/>
  <c r="G2782" i="40"/>
  <c r="G2783" i="40"/>
  <c r="G2784" i="40"/>
  <c r="G2785" i="40"/>
  <c r="G2786" i="40"/>
  <c r="G2787" i="40"/>
  <c r="G2788" i="40"/>
  <c r="G2789" i="40"/>
  <c r="G2790" i="40"/>
  <c r="G2791" i="40"/>
  <c r="G2792" i="40"/>
  <c r="G2793" i="40"/>
  <c r="G2794" i="40"/>
  <c r="G2795" i="40"/>
  <c r="G2796" i="40"/>
  <c r="G2797" i="40"/>
  <c r="G2798" i="40"/>
  <c r="G2799" i="40"/>
  <c r="G2800" i="40"/>
  <c r="G2801" i="40"/>
  <c r="G2802" i="40"/>
  <c r="G2803" i="40"/>
  <c r="G2804" i="40"/>
  <c r="G2805" i="40"/>
  <c r="G2806" i="40"/>
  <c r="G2807" i="40"/>
  <c r="G2808" i="40"/>
  <c r="G2809" i="40"/>
  <c r="G2810" i="40"/>
  <c r="G2811" i="40"/>
  <c r="G2812" i="40"/>
  <c r="G2813" i="40"/>
  <c r="G2814" i="40"/>
  <c r="G2815" i="40"/>
  <c r="G2816" i="40"/>
  <c r="G2817" i="40"/>
  <c r="G2818" i="40"/>
  <c r="G2819" i="40"/>
  <c r="G2820" i="40"/>
  <c r="G2821" i="40"/>
  <c r="G2822" i="40"/>
  <c r="G2823" i="40"/>
  <c r="G2824" i="40"/>
  <c r="G2825" i="40"/>
  <c r="G2826" i="40"/>
  <c r="G2827" i="40"/>
  <c r="G2828" i="40"/>
  <c r="G2829" i="40"/>
  <c r="G2830" i="40"/>
  <c r="G2831" i="40"/>
  <c r="G2832" i="40"/>
  <c r="G2833" i="40"/>
  <c r="G2834" i="40"/>
  <c r="G2835" i="40"/>
  <c r="G2836" i="40"/>
  <c r="G2837" i="40"/>
  <c r="G2838" i="40"/>
  <c r="G2839" i="40"/>
  <c r="G2840" i="40"/>
  <c r="G2841" i="40"/>
  <c r="G2842" i="40"/>
  <c r="G2843" i="40"/>
  <c r="G2844" i="40"/>
  <c r="G2845" i="40"/>
  <c r="G2846" i="40"/>
  <c r="G2847" i="40"/>
  <c r="G2848" i="40"/>
  <c r="G2849" i="40"/>
  <c r="G2850" i="40"/>
  <c r="G2851" i="40"/>
  <c r="G2852" i="40"/>
  <c r="G2853" i="40"/>
  <c r="G2854" i="40"/>
  <c r="G2855" i="40"/>
  <c r="G2856" i="40"/>
  <c r="G2857" i="40"/>
  <c r="G2858" i="40"/>
  <c r="G2859" i="40"/>
  <c r="G2860" i="40"/>
  <c r="G2861" i="40"/>
  <c r="G2862" i="40"/>
  <c r="G2863" i="40"/>
  <c r="G2864" i="40"/>
  <c r="G2865" i="40"/>
  <c r="G2866" i="40"/>
  <c r="G2867" i="40"/>
  <c r="G2868" i="40"/>
  <c r="G2869" i="40"/>
  <c r="G2870" i="40"/>
  <c r="G2871" i="40"/>
  <c r="G2872" i="40"/>
  <c r="G2873" i="40"/>
  <c r="G2874" i="40"/>
  <c r="G2875" i="40"/>
  <c r="G2876" i="40"/>
  <c r="G2877" i="40"/>
  <c r="G2878" i="40"/>
  <c r="G2879" i="40"/>
  <c r="G2880" i="40"/>
  <c r="G2881" i="40"/>
  <c r="G2882" i="40"/>
  <c r="G2883" i="40"/>
  <c r="G2884" i="40"/>
  <c r="G2885" i="40"/>
  <c r="G2886" i="40"/>
  <c r="G2887" i="40"/>
  <c r="G2888" i="40"/>
  <c r="G2889" i="40"/>
  <c r="G2890" i="40"/>
  <c r="G2891" i="40"/>
  <c r="G2892" i="40"/>
  <c r="G2893" i="40"/>
  <c r="G2894" i="40"/>
  <c r="G2895" i="40"/>
  <c r="G2896" i="40"/>
  <c r="G2897" i="40"/>
  <c r="G2898" i="40"/>
  <c r="G2899" i="40"/>
  <c r="G2900" i="40"/>
  <c r="G2901" i="40"/>
  <c r="G2902" i="40"/>
  <c r="G2903" i="40"/>
  <c r="G2904" i="40"/>
  <c r="G2905" i="40"/>
  <c r="G2906" i="40"/>
  <c r="G2907" i="40"/>
  <c r="G2908" i="40"/>
  <c r="G2909" i="40"/>
  <c r="G2910" i="40"/>
  <c r="G2911" i="40"/>
  <c r="G2912" i="40"/>
  <c r="G2913" i="40"/>
  <c r="G2914" i="40"/>
  <c r="G2915" i="40"/>
  <c r="G2916" i="40"/>
  <c r="G2917" i="40"/>
  <c r="G2918" i="40"/>
  <c r="G2919" i="40"/>
  <c r="G2920" i="40"/>
  <c r="G2921" i="40"/>
  <c r="G2922" i="40"/>
  <c r="G2923" i="40"/>
  <c r="G2924" i="40"/>
  <c r="G2925" i="40"/>
  <c r="G2926" i="40"/>
  <c r="G2927" i="40"/>
  <c r="G2928" i="40"/>
  <c r="G2929" i="40"/>
  <c r="G2930" i="40"/>
  <c r="G2931" i="40"/>
  <c r="G2932" i="40"/>
  <c r="G2933" i="40"/>
  <c r="G2934" i="40"/>
  <c r="G2935" i="40"/>
  <c r="G2936" i="40"/>
  <c r="G2937" i="40"/>
  <c r="G2938" i="40"/>
  <c r="G2939" i="40"/>
  <c r="G2940" i="40"/>
  <c r="G2941" i="40"/>
  <c r="G2942" i="40"/>
  <c r="G2943" i="40"/>
  <c r="G2944" i="40"/>
  <c r="G2945" i="40"/>
  <c r="G2946" i="40"/>
  <c r="G2947" i="40"/>
  <c r="G2948" i="40"/>
  <c r="G2949" i="40"/>
  <c r="G2950" i="40"/>
  <c r="G2951" i="40"/>
  <c r="G2952" i="40"/>
  <c r="G2953" i="40"/>
  <c r="G2954" i="40"/>
  <c r="G2955" i="40"/>
  <c r="G2956" i="40"/>
  <c r="G2957" i="40"/>
  <c r="G2958" i="40"/>
  <c r="G2959" i="40"/>
  <c r="G2960" i="40"/>
  <c r="G2961" i="40"/>
  <c r="G2962" i="40"/>
  <c r="G2963" i="40"/>
  <c r="G2964" i="40"/>
  <c r="G2965" i="40"/>
  <c r="G2966" i="40"/>
  <c r="G2967" i="40"/>
  <c r="G2968" i="40"/>
  <c r="G2969" i="40"/>
  <c r="G2970" i="40"/>
  <c r="G2971" i="40"/>
  <c r="G2972" i="40"/>
  <c r="G2973" i="40"/>
  <c r="G2974" i="40"/>
  <c r="G2975" i="40"/>
  <c r="G2976" i="40"/>
  <c r="G2977" i="40"/>
  <c r="G2978" i="40"/>
  <c r="G2979" i="40"/>
  <c r="G2980" i="40"/>
  <c r="G2981" i="40"/>
  <c r="G2982" i="40"/>
  <c r="G2983" i="40"/>
  <c r="G2984" i="40"/>
  <c r="G2985" i="40"/>
  <c r="G2986" i="40"/>
  <c r="G2987" i="40"/>
  <c r="G2988" i="40"/>
  <c r="G2989" i="40"/>
  <c r="G2990" i="40"/>
  <c r="G2991" i="40"/>
  <c r="G2992" i="40"/>
  <c r="G2993" i="40"/>
  <c r="G2994" i="40"/>
  <c r="G2995" i="40"/>
  <c r="G2996" i="40"/>
  <c r="G2997" i="40"/>
  <c r="G2998" i="40"/>
  <c r="G2999" i="40"/>
  <c r="G3000" i="40"/>
  <c r="G3001" i="40"/>
  <c r="G3002" i="40"/>
  <c r="G3003" i="40"/>
  <c r="G3004" i="40"/>
  <c r="G3005" i="40"/>
  <c r="G3006" i="40"/>
  <c r="G3007" i="40"/>
  <c r="G3008" i="40"/>
  <c r="G3009" i="40"/>
  <c r="G3010" i="40"/>
  <c r="G3011" i="40"/>
  <c r="G3012" i="40"/>
  <c r="G3013" i="40"/>
  <c r="G3014" i="40"/>
  <c r="G3015" i="40"/>
  <c r="G3016" i="40"/>
  <c r="G3017" i="40"/>
  <c r="G3018" i="40"/>
  <c r="G3019" i="40"/>
  <c r="G3020" i="40"/>
  <c r="G3021" i="40"/>
  <c r="G3022" i="40"/>
  <c r="G3023" i="40"/>
  <c r="G3024" i="40"/>
  <c r="G3025" i="40"/>
  <c r="G3026" i="40"/>
  <c r="G3027" i="40"/>
  <c r="G3028" i="40"/>
  <c r="G3029" i="40"/>
  <c r="G3030" i="40"/>
  <c r="G3031" i="40"/>
  <c r="G3032" i="40"/>
  <c r="G3033" i="40"/>
  <c r="G3034" i="40"/>
  <c r="G3035" i="40"/>
  <c r="G3036" i="40"/>
  <c r="G3037" i="40"/>
  <c r="G3038" i="40"/>
  <c r="G3039" i="40"/>
  <c r="G3040" i="40"/>
  <c r="G3041" i="40"/>
  <c r="G3042" i="40"/>
  <c r="G3043" i="40"/>
  <c r="G3044" i="40"/>
  <c r="G3045" i="40"/>
  <c r="G3046" i="40"/>
  <c r="G3047" i="40"/>
  <c r="G3048" i="40"/>
  <c r="G3049" i="40"/>
  <c r="G3050" i="40"/>
  <c r="G3051" i="40"/>
  <c r="G3052" i="40"/>
  <c r="G3053" i="40"/>
  <c r="G3054" i="40"/>
  <c r="G3055" i="40"/>
  <c r="G3056" i="40"/>
  <c r="G3057" i="40"/>
  <c r="G3058" i="40"/>
  <c r="G3059" i="40"/>
  <c r="G3060" i="40"/>
  <c r="G3061" i="40"/>
  <c r="G3062" i="40"/>
  <c r="G3063" i="40"/>
  <c r="G3064" i="40"/>
  <c r="G3065" i="40"/>
  <c r="G3066" i="40"/>
  <c r="G3067" i="40"/>
  <c r="G3068" i="40"/>
  <c r="G3069" i="40"/>
  <c r="G3070" i="40"/>
  <c r="G3071" i="40"/>
  <c r="G3072" i="40"/>
  <c r="G3073" i="40"/>
  <c r="G3074" i="40"/>
  <c r="G3075" i="40"/>
  <c r="G3076" i="40"/>
  <c r="G3077" i="40"/>
  <c r="G3078" i="40"/>
  <c r="G3079" i="40"/>
  <c r="G3080" i="40"/>
  <c r="G3081" i="40"/>
  <c r="G3082" i="40"/>
  <c r="G3083" i="40"/>
  <c r="G3084" i="40"/>
  <c r="G3085" i="40"/>
  <c r="G3086" i="40"/>
  <c r="G3087" i="40"/>
  <c r="G3088" i="40"/>
  <c r="G3089" i="40"/>
  <c r="G3090" i="40"/>
  <c r="G3091" i="40"/>
  <c r="G3092" i="40"/>
  <c r="G3093" i="40"/>
  <c r="G3094" i="40"/>
  <c r="G3095" i="40"/>
  <c r="G3096" i="40"/>
  <c r="G3097" i="40"/>
  <c r="G3098" i="40"/>
  <c r="G3099" i="40"/>
  <c r="G3100" i="40"/>
  <c r="G3101" i="40"/>
  <c r="G3102" i="40"/>
  <c r="G3103" i="40"/>
  <c r="G3104" i="40"/>
  <c r="G3105" i="40"/>
  <c r="G3106" i="40"/>
  <c r="G3107" i="40"/>
  <c r="G3108" i="40"/>
  <c r="G3109" i="40"/>
  <c r="G3110" i="40"/>
  <c r="G3111" i="40"/>
  <c r="G3112" i="40"/>
  <c r="G3113" i="40"/>
  <c r="G3114" i="40"/>
  <c r="G3115" i="40"/>
  <c r="G3116" i="40"/>
  <c r="G3117" i="40"/>
  <c r="G3118" i="40"/>
  <c r="G3119" i="40"/>
  <c r="G3120" i="40"/>
  <c r="G3121" i="40"/>
  <c r="G3122" i="40"/>
  <c r="G3123" i="40"/>
  <c r="G3124" i="40"/>
  <c r="G3125" i="40"/>
  <c r="G3126" i="40"/>
  <c r="G3127" i="40"/>
  <c r="G3128" i="40"/>
  <c r="G3129" i="40"/>
  <c r="G3130" i="40"/>
  <c r="G3131" i="40"/>
  <c r="G3132" i="40"/>
  <c r="G3133" i="40"/>
  <c r="G3134" i="40"/>
  <c r="G3135" i="40"/>
  <c r="G3136" i="40"/>
  <c r="G3137" i="40"/>
  <c r="G3138" i="40"/>
  <c r="G3139" i="40"/>
  <c r="G3140" i="40"/>
  <c r="G3141" i="40"/>
  <c r="G3142" i="40"/>
  <c r="G3143" i="40"/>
  <c r="G3144" i="40"/>
  <c r="G3145" i="40"/>
  <c r="G3146" i="40"/>
  <c r="G3147" i="40"/>
  <c r="G3148" i="40"/>
  <c r="G3149" i="40"/>
  <c r="G3150" i="40"/>
  <c r="G3151" i="40"/>
  <c r="G3152" i="40"/>
  <c r="G3153" i="40"/>
  <c r="G3154" i="40"/>
  <c r="G3155" i="40"/>
  <c r="G3156" i="40"/>
  <c r="G3157" i="40"/>
  <c r="G3158" i="40"/>
  <c r="G3159" i="40"/>
  <c r="G3160" i="40"/>
  <c r="G3161" i="40"/>
  <c r="G3162" i="40"/>
  <c r="G3163" i="40"/>
  <c r="G3164" i="40"/>
  <c r="G3165" i="40"/>
  <c r="G3166" i="40"/>
  <c r="G3167" i="40"/>
  <c r="G3168" i="40"/>
  <c r="G3169" i="40"/>
  <c r="G3170" i="40"/>
  <c r="G3171" i="40"/>
  <c r="G3172" i="40"/>
  <c r="G3173" i="40"/>
  <c r="G3174" i="40"/>
  <c r="G3175" i="40"/>
  <c r="G3176" i="40"/>
  <c r="G3177" i="40"/>
  <c r="G3178" i="40"/>
  <c r="G3179" i="40"/>
  <c r="G3180" i="40"/>
  <c r="G3181" i="40"/>
  <c r="G3182" i="40"/>
  <c r="G3183" i="40"/>
  <c r="G3184" i="40"/>
  <c r="G3185" i="40"/>
  <c r="G3186" i="40"/>
  <c r="G3187" i="40"/>
  <c r="G3188" i="40"/>
  <c r="G3189" i="40"/>
  <c r="G3190" i="40"/>
  <c r="G3191" i="40"/>
  <c r="G3192" i="40"/>
  <c r="G3193" i="40"/>
  <c r="G3194" i="40"/>
  <c r="G3195" i="40"/>
  <c r="G3196" i="40"/>
  <c r="G3197" i="40"/>
  <c r="G3198" i="40"/>
  <c r="G3199" i="40"/>
  <c r="G3200" i="40"/>
  <c r="G3201" i="40"/>
  <c r="G3202" i="40"/>
  <c r="G3203" i="40"/>
  <c r="G3204" i="40"/>
  <c r="G3205" i="40"/>
  <c r="G3206" i="40"/>
  <c r="G3207" i="40"/>
  <c r="G3208" i="40"/>
  <c r="G3209" i="40"/>
  <c r="G3210" i="40"/>
  <c r="G3211" i="40"/>
  <c r="G3212" i="40"/>
  <c r="G3213" i="40"/>
  <c r="G3214" i="40"/>
  <c r="G3215" i="40"/>
  <c r="G3216" i="40"/>
  <c r="G3217" i="40"/>
  <c r="G3218" i="40"/>
  <c r="G3219" i="40"/>
  <c r="G3220" i="40"/>
  <c r="G3221" i="40"/>
  <c r="G3222" i="40"/>
  <c r="G3223" i="40"/>
  <c r="G3224" i="40"/>
  <c r="G3225" i="40"/>
  <c r="G3226" i="40"/>
  <c r="G3227" i="40"/>
  <c r="G3228" i="40"/>
  <c r="G3229" i="40"/>
  <c r="G3230" i="40"/>
  <c r="G3231" i="40"/>
  <c r="G3232" i="40"/>
  <c r="G3233" i="40"/>
  <c r="G3234" i="40"/>
  <c r="G3235" i="40"/>
  <c r="G3236" i="40"/>
  <c r="G3237" i="40"/>
  <c r="G3238" i="40"/>
  <c r="G3239" i="40"/>
  <c r="G3240" i="40"/>
  <c r="G3241" i="40"/>
  <c r="G3242" i="40"/>
  <c r="G3243" i="40"/>
  <c r="G3244" i="40"/>
  <c r="G3245" i="40"/>
  <c r="G3246" i="40"/>
  <c r="G3247" i="40"/>
  <c r="G3248" i="40"/>
  <c r="G3249" i="40"/>
  <c r="G3250" i="40"/>
  <c r="G3251" i="40"/>
  <c r="G3252" i="40"/>
  <c r="G3253" i="40"/>
  <c r="G3254" i="40"/>
  <c r="G3255" i="40"/>
  <c r="G3256" i="40"/>
  <c r="G3257" i="40"/>
  <c r="G3258" i="40"/>
  <c r="G3259" i="40"/>
  <c r="G3260" i="40"/>
  <c r="G3261" i="40"/>
  <c r="G3262" i="40"/>
  <c r="G3263" i="40"/>
  <c r="G3264" i="40"/>
  <c r="G3265" i="40"/>
  <c r="G3266" i="40"/>
  <c r="G3267" i="40"/>
  <c r="G3268" i="40"/>
  <c r="G3269" i="40"/>
  <c r="G3270" i="40"/>
  <c r="G3271" i="40"/>
  <c r="G3272" i="40"/>
  <c r="G3273" i="40"/>
  <c r="G3274" i="40"/>
  <c r="G3275" i="40"/>
  <c r="G3276" i="40"/>
  <c r="G3277" i="40"/>
  <c r="G3278" i="40"/>
  <c r="G3279" i="40"/>
  <c r="G3280" i="40"/>
  <c r="G3281" i="40"/>
  <c r="G3282" i="40"/>
  <c r="G3283" i="40"/>
  <c r="G3284" i="40"/>
  <c r="G3285" i="40"/>
  <c r="G3286" i="40"/>
  <c r="G3287" i="40"/>
  <c r="G3288" i="40"/>
  <c r="G3289" i="40"/>
  <c r="G3290" i="40"/>
  <c r="G3291" i="40"/>
  <c r="G3292" i="40"/>
  <c r="G3293" i="40"/>
  <c r="G3294" i="40"/>
  <c r="G3295" i="40"/>
  <c r="G3296" i="40"/>
  <c r="G3297" i="40"/>
  <c r="G3298" i="40"/>
  <c r="G3299" i="40"/>
  <c r="G3300" i="40"/>
  <c r="G3301" i="40"/>
  <c r="G3302" i="40"/>
  <c r="G3303" i="40"/>
  <c r="G3304" i="40"/>
  <c r="G3305" i="40"/>
  <c r="G3306" i="40"/>
  <c r="G3307" i="40"/>
  <c r="G3308" i="40"/>
  <c r="G3309" i="40"/>
  <c r="G3310" i="40"/>
  <c r="G3311" i="40"/>
  <c r="G3312" i="40"/>
  <c r="G3313" i="40"/>
  <c r="G3314" i="40"/>
  <c r="G3315" i="40"/>
  <c r="G3316" i="40"/>
  <c r="G3317" i="40"/>
  <c r="G3318" i="40"/>
  <c r="G3319" i="40"/>
  <c r="G3320" i="40"/>
  <c r="G3321" i="40"/>
  <c r="G3322" i="40"/>
  <c r="G3323" i="40"/>
  <c r="G3324" i="40"/>
  <c r="G3325" i="40"/>
  <c r="G3326" i="40"/>
  <c r="G3327" i="40"/>
  <c r="G3328" i="40"/>
  <c r="G3329" i="40"/>
  <c r="G3330" i="40"/>
  <c r="G3331" i="40"/>
  <c r="G3332" i="40"/>
  <c r="G3333" i="40"/>
  <c r="G3334" i="40"/>
  <c r="G3335" i="40"/>
  <c r="G3336" i="40"/>
  <c r="G3337" i="40"/>
  <c r="G3338" i="40"/>
  <c r="G3339" i="40"/>
  <c r="G3340" i="40"/>
  <c r="G3341" i="40"/>
  <c r="G3342" i="40"/>
  <c r="G3343" i="40"/>
  <c r="G3344" i="40"/>
  <c r="G3345" i="40"/>
  <c r="G3346" i="40"/>
  <c r="G3347" i="40"/>
  <c r="G3348" i="40"/>
  <c r="G3349" i="40"/>
  <c r="G3350" i="40"/>
  <c r="G3351" i="40"/>
  <c r="G3352" i="40"/>
  <c r="G3353" i="40"/>
  <c r="G3354" i="40"/>
  <c r="G3355" i="40"/>
  <c r="G3356" i="40"/>
  <c r="G3357" i="40"/>
  <c r="G3358" i="40"/>
  <c r="G3359" i="40"/>
  <c r="G3360" i="40"/>
  <c r="G3361" i="40"/>
  <c r="G3362" i="40"/>
  <c r="G3363" i="40"/>
  <c r="G3364" i="40"/>
  <c r="G3365" i="40"/>
  <c r="G3366" i="40"/>
  <c r="G3367" i="40"/>
  <c r="G3368" i="40"/>
  <c r="G3369" i="40"/>
  <c r="G3370" i="40"/>
  <c r="G3371" i="40"/>
  <c r="G3372" i="40"/>
  <c r="G3373" i="40"/>
  <c r="G3374" i="40"/>
  <c r="G3375" i="40"/>
  <c r="G3376" i="40"/>
  <c r="G3377" i="40"/>
  <c r="G3378" i="40"/>
  <c r="G3379" i="40"/>
  <c r="G3380" i="40"/>
  <c r="G3381" i="40"/>
  <c r="G3382" i="40"/>
  <c r="G3383" i="40"/>
  <c r="G3384" i="40"/>
  <c r="G3385" i="40"/>
  <c r="G3386" i="40"/>
  <c r="G3387" i="40"/>
  <c r="G3388" i="40"/>
  <c r="G3389" i="40"/>
  <c r="G3390" i="40"/>
  <c r="G3391" i="40"/>
  <c r="G3392" i="40"/>
  <c r="G3393" i="40"/>
  <c r="G3394" i="40"/>
  <c r="G3395" i="40"/>
  <c r="G3396" i="40"/>
  <c r="G3397" i="40"/>
  <c r="G3398" i="40"/>
  <c r="G3399" i="40"/>
  <c r="G3400" i="40"/>
  <c r="G3401" i="40"/>
  <c r="G3402" i="40"/>
  <c r="G3403" i="40"/>
  <c r="G3404" i="40"/>
  <c r="G3405" i="40"/>
  <c r="G3406" i="40"/>
  <c r="G3407" i="40"/>
  <c r="G3408" i="40"/>
  <c r="G3409" i="40"/>
  <c r="G3410" i="40"/>
  <c r="G3411" i="40"/>
  <c r="G3412" i="40"/>
  <c r="G3413" i="40"/>
  <c r="G3414" i="40"/>
  <c r="G3415" i="40"/>
  <c r="G3416" i="40"/>
  <c r="G3417" i="40"/>
  <c r="G3418" i="40"/>
  <c r="G3419" i="40"/>
  <c r="G3420" i="40"/>
  <c r="G3421" i="40"/>
  <c r="G3422" i="40"/>
  <c r="G3423" i="40"/>
  <c r="G3424" i="40"/>
  <c r="G3425" i="40"/>
  <c r="G3426" i="40"/>
  <c r="G3427" i="40"/>
  <c r="G3428" i="40"/>
  <c r="G3429" i="40"/>
  <c r="G3430" i="40"/>
  <c r="G3431" i="40"/>
  <c r="G3432" i="40"/>
  <c r="G3433" i="40"/>
  <c r="G3434" i="40"/>
  <c r="G3435" i="40"/>
  <c r="G3436" i="40"/>
  <c r="G3437" i="40"/>
  <c r="G3438" i="40"/>
  <c r="G3439" i="40"/>
  <c r="G3440" i="40"/>
  <c r="G3441" i="40"/>
  <c r="G3442" i="40"/>
  <c r="G3443" i="40"/>
  <c r="G3444" i="40"/>
  <c r="G3445" i="40"/>
  <c r="G3446" i="40"/>
  <c r="G3447" i="40"/>
  <c r="G3448" i="40"/>
  <c r="G3449" i="40"/>
  <c r="G3450" i="40"/>
  <c r="G3451" i="40"/>
  <c r="G3452" i="40"/>
  <c r="G3453" i="40"/>
  <c r="G3454" i="40"/>
  <c r="G3455" i="40"/>
  <c r="G3456" i="40"/>
  <c r="G3457" i="40"/>
  <c r="G3458" i="40"/>
  <c r="G3459" i="40"/>
  <c r="G3460" i="40"/>
  <c r="G3461" i="40"/>
  <c r="G3462" i="40"/>
  <c r="G3463" i="40"/>
  <c r="G3464" i="40"/>
  <c r="G3465" i="40"/>
  <c r="G3466" i="40"/>
  <c r="G3467" i="40"/>
  <c r="G3468" i="40"/>
  <c r="G3469" i="40"/>
  <c r="G3470" i="40"/>
  <c r="G3471" i="40"/>
  <c r="G3472" i="40"/>
  <c r="G3473" i="40"/>
  <c r="G3474" i="40"/>
  <c r="G3475" i="40"/>
  <c r="G3476" i="40"/>
  <c r="G3477" i="40"/>
  <c r="G3478" i="40"/>
  <c r="G3479" i="40"/>
  <c r="G3480" i="40"/>
  <c r="G3481" i="40"/>
  <c r="G3482" i="40"/>
  <c r="G3483" i="40"/>
  <c r="G3484" i="40"/>
  <c r="G3485" i="40"/>
  <c r="G3486" i="40"/>
  <c r="G3487" i="40"/>
  <c r="G3488" i="40"/>
  <c r="G3489" i="40"/>
  <c r="G3490" i="40"/>
  <c r="G3491" i="40"/>
  <c r="G3492" i="40"/>
  <c r="G3493" i="40"/>
  <c r="G3494" i="40"/>
  <c r="G3495" i="40"/>
  <c r="G3496" i="40"/>
  <c r="G3497" i="40"/>
  <c r="G3498" i="40"/>
  <c r="G3499" i="40"/>
  <c r="G3500" i="40"/>
  <c r="G3501" i="40"/>
  <c r="G3502" i="40"/>
  <c r="G3503" i="40"/>
  <c r="G3504" i="40"/>
  <c r="G3505" i="40"/>
  <c r="G3506" i="40"/>
  <c r="G3507" i="40"/>
  <c r="G3508" i="40"/>
  <c r="G3509" i="40"/>
  <c r="G3510" i="40"/>
  <c r="G3511" i="40"/>
  <c r="G3512" i="40"/>
  <c r="G3513" i="40"/>
  <c r="G3514" i="40"/>
  <c r="G3515" i="40"/>
  <c r="G3516" i="40"/>
  <c r="G3517" i="40"/>
  <c r="G3518" i="40"/>
  <c r="G3519" i="40"/>
  <c r="G3520" i="40"/>
  <c r="G3521" i="40"/>
  <c r="G3522" i="40"/>
  <c r="G3523" i="40"/>
  <c r="G3524" i="40"/>
  <c r="G3525" i="40"/>
  <c r="G3526" i="40"/>
  <c r="G3527" i="40"/>
  <c r="G3528" i="40"/>
  <c r="G3529" i="40"/>
  <c r="G3530" i="40"/>
  <c r="G3531" i="40"/>
  <c r="G3532" i="40"/>
  <c r="G3533" i="40"/>
  <c r="G3534" i="40"/>
  <c r="G3535" i="40"/>
  <c r="G3536" i="40"/>
  <c r="G3537" i="40"/>
  <c r="G3538" i="40"/>
  <c r="G3539" i="40"/>
  <c r="G3540" i="40"/>
  <c r="G3541" i="40"/>
  <c r="G3542" i="40"/>
  <c r="G3543" i="40"/>
  <c r="G3544" i="40"/>
  <c r="G3545" i="40"/>
  <c r="G3546" i="40"/>
  <c r="G3547" i="40"/>
  <c r="G3548" i="40"/>
  <c r="G3549" i="40"/>
  <c r="G3550" i="40"/>
  <c r="G3551" i="40"/>
  <c r="G3552" i="40"/>
  <c r="G3553" i="40"/>
  <c r="G3554" i="40"/>
  <c r="G3555" i="40"/>
  <c r="G3556" i="40"/>
  <c r="G3557" i="40"/>
  <c r="G3558" i="40"/>
  <c r="G3559" i="40"/>
  <c r="G3560" i="40"/>
  <c r="G3561" i="40"/>
  <c r="G3562" i="40"/>
  <c r="G3563" i="40"/>
  <c r="G3564" i="40"/>
  <c r="G3565" i="40"/>
  <c r="G3566" i="40"/>
  <c r="G3567" i="40"/>
  <c r="G3568" i="40"/>
  <c r="G3569" i="40"/>
  <c r="G3570" i="40"/>
  <c r="G3571" i="40"/>
  <c r="G3572" i="40"/>
  <c r="G3573" i="40"/>
  <c r="G3574" i="40"/>
  <c r="G3575" i="40"/>
  <c r="G3576" i="40"/>
  <c r="G3577" i="40"/>
  <c r="G3578" i="40"/>
  <c r="G3579" i="40"/>
  <c r="G3580" i="40"/>
  <c r="G3581" i="40"/>
  <c r="G3582" i="40"/>
  <c r="G3583" i="40"/>
  <c r="G3584" i="40"/>
  <c r="G3585" i="40"/>
  <c r="G3586" i="40"/>
  <c r="G3587" i="40"/>
  <c r="G3588" i="40"/>
  <c r="G3589" i="40"/>
  <c r="G3590" i="40"/>
  <c r="G3591" i="40"/>
  <c r="G3592" i="40"/>
  <c r="G3593" i="40"/>
  <c r="G3594" i="40"/>
  <c r="G3595" i="40"/>
  <c r="G3596" i="40"/>
  <c r="G3597" i="40"/>
  <c r="G3598" i="40"/>
  <c r="G3599" i="40"/>
  <c r="G3600" i="40"/>
  <c r="G3601" i="40"/>
  <c r="G3602" i="40"/>
  <c r="G3603" i="40"/>
  <c r="G3604" i="40"/>
  <c r="G3605" i="40"/>
  <c r="G3606" i="40"/>
  <c r="G3607" i="40"/>
  <c r="G3608" i="40"/>
  <c r="G3609" i="40"/>
  <c r="G3610" i="40"/>
  <c r="G3611" i="40"/>
  <c r="G3612" i="40"/>
  <c r="G3613" i="40"/>
  <c r="G3614" i="40"/>
  <c r="G3615" i="40"/>
  <c r="G3616" i="40"/>
  <c r="G3617" i="40"/>
  <c r="G3618" i="40"/>
  <c r="G3619" i="40"/>
  <c r="G3620" i="40"/>
  <c r="G3621" i="40"/>
  <c r="G3622" i="40"/>
  <c r="G3623" i="40"/>
  <c r="G3624" i="40"/>
  <c r="G3625" i="40"/>
  <c r="G3626" i="40"/>
  <c r="G3627" i="40"/>
  <c r="G3628" i="40"/>
  <c r="G3629" i="40"/>
  <c r="G3630" i="40"/>
  <c r="G3631" i="40"/>
  <c r="G3632" i="40"/>
  <c r="G3633" i="40"/>
  <c r="G3634" i="40"/>
  <c r="G3635" i="40"/>
  <c r="G3636" i="40"/>
  <c r="G3637" i="40"/>
  <c r="G3638" i="40"/>
  <c r="G3639" i="40"/>
  <c r="G3640" i="40"/>
  <c r="G3641" i="40"/>
  <c r="G3642" i="40"/>
  <c r="G3643" i="40"/>
  <c r="G3644" i="40"/>
  <c r="G3645" i="40"/>
  <c r="G3646" i="40"/>
  <c r="G3647" i="40"/>
  <c r="G3648" i="40"/>
  <c r="G3649" i="40"/>
  <c r="G3650" i="40"/>
  <c r="G3651" i="40"/>
  <c r="G3652" i="40"/>
  <c r="G3653" i="40"/>
  <c r="G3654" i="40"/>
  <c r="G3655" i="40"/>
  <c r="G3656" i="40"/>
  <c r="G3657" i="40"/>
  <c r="G3658" i="40"/>
  <c r="G3659" i="40"/>
  <c r="G3660" i="40"/>
  <c r="G3661" i="40"/>
  <c r="G3662" i="40"/>
  <c r="G3663" i="40"/>
  <c r="G3664" i="40"/>
  <c r="G3665" i="40"/>
  <c r="G3666" i="40"/>
  <c r="G3667" i="40"/>
  <c r="G3668" i="40"/>
  <c r="G3669" i="40"/>
  <c r="G3670" i="40"/>
  <c r="G3671" i="40"/>
  <c r="G3672" i="40"/>
  <c r="G3673" i="40"/>
  <c r="G3674" i="40"/>
  <c r="G3675" i="40"/>
  <c r="G3676" i="40"/>
  <c r="G3677" i="40"/>
  <c r="G3678" i="40"/>
  <c r="G3679" i="40"/>
  <c r="G3680" i="40"/>
  <c r="G3681" i="40"/>
  <c r="G3682" i="40"/>
  <c r="G3683" i="40"/>
  <c r="G3684" i="40"/>
  <c r="G3685" i="40"/>
  <c r="G3686" i="40"/>
  <c r="G3687" i="40"/>
  <c r="G3688" i="40"/>
  <c r="G3689" i="40"/>
  <c r="G3690" i="40"/>
  <c r="G3691" i="40"/>
  <c r="G3692" i="40"/>
  <c r="G3693" i="40"/>
  <c r="G3694" i="40"/>
  <c r="G3695" i="40"/>
  <c r="G3696" i="40"/>
  <c r="G3697" i="40"/>
  <c r="G3698" i="40"/>
  <c r="G3699" i="40"/>
  <c r="G3700" i="40"/>
  <c r="G3701" i="40"/>
  <c r="G3702" i="40"/>
  <c r="G3703" i="40"/>
  <c r="G3704" i="40"/>
  <c r="G3705" i="40"/>
  <c r="G3706" i="40"/>
  <c r="G3707" i="40"/>
  <c r="G3708" i="40"/>
  <c r="G3709" i="40"/>
  <c r="G3710" i="40"/>
  <c r="G3711" i="40"/>
  <c r="G3712" i="40"/>
  <c r="G3713" i="40"/>
  <c r="G3714" i="40"/>
  <c r="G3715" i="40"/>
  <c r="G3716" i="40"/>
  <c r="G3717" i="40"/>
  <c r="G3718" i="40"/>
  <c r="G3719" i="40"/>
  <c r="G3720" i="40"/>
  <c r="G3721" i="40"/>
  <c r="G3722" i="40"/>
  <c r="G3723" i="40"/>
  <c r="G3724" i="40"/>
  <c r="G3725" i="40"/>
  <c r="G3726" i="40"/>
  <c r="G3727" i="40"/>
  <c r="G3728" i="40"/>
  <c r="G3729" i="40"/>
  <c r="G3730" i="40"/>
  <c r="G3731" i="40"/>
  <c r="G3732" i="40"/>
  <c r="G3733" i="40"/>
  <c r="G3734" i="40"/>
  <c r="G3735" i="40"/>
  <c r="G3736" i="40"/>
  <c r="G3737" i="40"/>
  <c r="G3738" i="40"/>
  <c r="G3739" i="40"/>
  <c r="G3740" i="40"/>
  <c r="G3741" i="40"/>
  <c r="G3742" i="40"/>
  <c r="G3743" i="40"/>
  <c r="G3744" i="40"/>
  <c r="G3745" i="40"/>
  <c r="G3746" i="40"/>
  <c r="G3747" i="40"/>
  <c r="G3748" i="40"/>
  <c r="G3749" i="40"/>
  <c r="G3750" i="40"/>
  <c r="G3751" i="40"/>
  <c r="G3752" i="40"/>
  <c r="G3753" i="40"/>
  <c r="G3754" i="40"/>
  <c r="G3755" i="40"/>
  <c r="G3756" i="40"/>
  <c r="G3757" i="40"/>
  <c r="G3758" i="40"/>
  <c r="G3759" i="40"/>
  <c r="G3760" i="40"/>
  <c r="G3761" i="40"/>
  <c r="G3762" i="40"/>
  <c r="G3763" i="40"/>
  <c r="G3764" i="40"/>
  <c r="G3765" i="40"/>
  <c r="G3766" i="40"/>
  <c r="G3767" i="40"/>
  <c r="G3768" i="40"/>
  <c r="G3769" i="40"/>
  <c r="G3770" i="40"/>
  <c r="G3771" i="40"/>
  <c r="G3772" i="40"/>
  <c r="G3773" i="40"/>
  <c r="G3774" i="40"/>
  <c r="G3775" i="40"/>
  <c r="G3776" i="40"/>
  <c r="G3777" i="40"/>
  <c r="G3778" i="40"/>
  <c r="G3779" i="40"/>
  <c r="G3780" i="40"/>
  <c r="G3781" i="40"/>
  <c r="G3782" i="40"/>
  <c r="G3783" i="40"/>
  <c r="G3784" i="40"/>
  <c r="G3785" i="40"/>
  <c r="G3786" i="40"/>
  <c r="G3787" i="40"/>
  <c r="G3788" i="40"/>
  <c r="G3789" i="40"/>
  <c r="G3790" i="40"/>
  <c r="G3791" i="40"/>
  <c r="G3792" i="40"/>
  <c r="G3793" i="40"/>
  <c r="G3794" i="40"/>
  <c r="G3795" i="40"/>
  <c r="G3796" i="40"/>
  <c r="G3797" i="40"/>
  <c r="G3798" i="40"/>
  <c r="G3799" i="40"/>
  <c r="G3800" i="40"/>
  <c r="G3801" i="40"/>
  <c r="G3802" i="40"/>
  <c r="G3803" i="40"/>
  <c r="G3804" i="40"/>
  <c r="G3805" i="40"/>
  <c r="G3806" i="40"/>
  <c r="G3807" i="40"/>
  <c r="G3808" i="40"/>
  <c r="G3809" i="40"/>
  <c r="G3810" i="40"/>
  <c r="G3811" i="40"/>
  <c r="G3812" i="40"/>
  <c r="G3813" i="40"/>
  <c r="G3814" i="40"/>
  <c r="G3815" i="40"/>
  <c r="G3816" i="40"/>
  <c r="G3817" i="40"/>
  <c r="G3818" i="40"/>
  <c r="G3819" i="40"/>
  <c r="G3820" i="40"/>
  <c r="G3821" i="40"/>
  <c r="G3822" i="40"/>
  <c r="G3823" i="40"/>
  <c r="G3824" i="40"/>
  <c r="G3825" i="40"/>
  <c r="G3826" i="40"/>
  <c r="G3827" i="40"/>
  <c r="G3828" i="40"/>
  <c r="G3829" i="40"/>
  <c r="G3830" i="40"/>
  <c r="G3831" i="40"/>
  <c r="G3832" i="40"/>
  <c r="G3833" i="40"/>
  <c r="G3834" i="40"/>
  <c r="G3835" i="40"/>
  <c r="G3836" i="40"/>
  <c r="G3837" i="40"/>
  <c r="G3838" i="40"/>
  <c r="G3839" i="40"/>
  <c r="G3840" i="40"/>
  <c r="G3841" i="40"/>
  <c r="G3842" i="40"/>
  <c r="G3843" i="40"/>
  <c r="G3844" i="40"/>
  <c r="G3845" i="40"/>
  <c r="G3846" i="40"/>
  <c r="G3847" i="40"/>
  <c r="G3848" i="40"/>
  <c r="G3849" i="40"/>
  <c r="G3850" i="40"/>
  <c r="G3851" i="40"/>
  <c r="G3852" i="40"/>
  <c r="G3853" i="40"/>
  <c r="G3854" i="40"/>
  <c r="G3855" i="40"/>
  <c r="G3856" i="40"/>
  <c r="G3857" i="40"/>
  <c r="G3858" i="40"/>
  <c r="G3859" i="40"/>
  <c r="G3860" i="40"/>
  <c r="G3861" i="40"/>
  <c r="G3862" i="40"/>
  <c r="G3863" i="40"/>
  <c r="G3864" i="40"/>
  <c r="G3865" i="40"/>
  <c r="G3866" i="40"/>
  <c r="G3867" i="40"/>
  <c r="G3868" i="40"/>
  <c r="G3869" i="40"/>
  <c r="G3870" i="40"/>
  <c r="G3871" i="40"/>
  <c r="G3872" i="40"/>
  <c r="G3873" i="40"/>
  <c r="G3874" i="40"/>
  <c r="G3875" i="40"/>
  <c r="G3876" i="40"/>
  <c r="G3877" i="40"/>
  <c r="G3878" i="40"/>
  <c r="G3879" i="40"/>
  <c r="G3880" i="40"/>
  <c r="G3881" i="40"/>
  <c r="G3882" i="40"/>
  <c r="G3883" i="40"/>
  <c r="G3884" i="40"/>
  <c r="G3885" i="40"/>
  <c r="G3886" i="40"/>
  <c r="G3887" i="40"/>
  <c r="G3888" i="40"/>
  <c r="G3889" i="40"/>
  <c r="G3890" i="40"/>
  <c r="G3891" i="40"/>
  <c r="G3892" i="40"/>
  <c r="G3893" i="40"/>
  <c r="G3894" i="40"/>
  <c r="G3895" i="40"/>
  <c r="G3896" i="40"/>
  <c r="G3897" i="40"/>
  <c r="G3898" i="40"/>
  <c r="G3899" i="40"/>
  <c r="G3900" i="40"/>
  <c r="G3901" i="40"/>
  <c r="G3902" i="40"/>
  <c r="G3903" i="40"/>
  <c r="G3904" i="40"/>
  <c r="G3905" i="40"/>
  <c r="G3906" i="40"/>
  <c r="G3907" i="40"/>
  <c r="G3908" i="40"/>
  <c r="G3909" i="40"/>
  <c r="G3910" i="40"/>
  <c r="G3911" i="40"/>
  <c r="G3912" i="40"/>
  <c r="G3913" i="40"/>
  <c r="G3914" i="40"/>
  <c r="G3915" i="40"/>
  <c r="G3916" i="40"/>
  <c r="G3917" i="40"/>
  <c r="G3918" i="40"/>
  <c r="G3919" i="40"/>
  <c r="G3920" i="40"/>
  <c r="G3921" i="40"/>
  <c r="G3922" i="40"/>
  <c r="G3923" i="40"/>
  <c r="G3924" i="40"/>
  <c r="G3925" i="40"/>
  <c r="G3926" i="40"/>
  <c r="G3927" i="40"/>
  <c r="G3928" i="40"/>
  <c r="G3929" i="40"/>
  <c r="G3930" i="40"/>
  <c r="G3931" i="40"/>
  <c r="G3932" i="40"/>
  <c r="G3933" i="40"/>
  <c r="G3934" i="40"/>
  <c r="G3935" i="40"/>
  <c r="G3936" i="40"/>
  <c r="G3937" i="40"/>
  <c r="G3938" i="40"/>
  <c r="G3939" i="40"/>
  <c r="G3940" i="40"/>
  <c r="G3941" i="40"/>
  <c r="G3942" i="40"/>
  <c r="G3943" i="40"/>
  <c r="G3944" i="40"/>
  <c r="G3945" i="40"/>
  <c r="G3946" i="40"/>
  <c r="G3947" i="40"/>
  <c r="G3948" i="40"/>
  <c r="G3949" i="40"/>
  <c r="G3950" i="40"/>
  <c r="G3951" i="40"/>
  <c r="G3952" i="40"/>
  <c r="G3953" i="40"/>
  <c r="G3954" i="40"/>
  <c r="G3955" i="40"/>
  <c r="G3956" i="40"/>
  <c r="G3957" i="40"/>
  <c r="G3958" i="40"/>
  <c r="G3959" i="40"/>
  <c r="G3960" i="40"/>
  <c r="G3961" i="40"/>
  <c r="G3962" i="40"/>
  <c r="G3963" i="40"/>
  <c r="G3964" i="40"/>
  <c r="G3965" i="40"/>
  <c r="G3966" i="40"/>
  <c r="G3967" i="40"/>
  <c r="G3968" i="40"/>
  <c r="G3969" i="40"/>
  <c r="G3970" i="40"/>
  <c r="G3971" i="40"/>
  <c r="G3972" i="40"/>
  <c r="G3973" i="40"/>
  <c r="G3974" i="40"/>
  <c r="G3975" i="40"/>
  <c r="G3976" i="40"/>
  <c r="G3977" i="40"/>
  <c r="G3978" i="40"/>
  <c r="G3979" i="40"/>
  <c r="G3980" i="40"/>
  <c r="G3981" i="40"/>
  <c r="G3982" i="40"/>
  <c r="G3983" i="40"/>
  <c r="G3984" i="40"/>
  <c r="G3985" i="40"/>
  <c r="G3986" i="40"/>
  <c r="G3987" i="40"/>
  <c r="G3988" i="40"/>
  <c r="G3989" i="40"/>
  <c r="G3990" i="40"/>
  <c r="G3991" i="40"/>
  <c r="G3992" i="40"/>
  <c r="G3993" i="40"/>
  <c r="G3994" i="40"/>
  <c r="G3995" i="40"/>
  <c r="G3996" i="40"/>
  <c r="G3997" i="40"/>
  <c r="G3998" i="40"/>
  <c r="G3999" i="40"/>
  <c r="G4000" i="40"/>
  <c r="G4001" i="40"/>
  <c r="G4002" i="40"/>
  <c r="G4003" i="40"/>
  <c r="G4004" i="40"/>
  <c r="G4005" i="40"/>
  <c r="G4006" i="40"/>
  <c r="G4007" i="40"/>
  <c r="G4008" i="40"/>
  <c r="G4009" i="40"/>
  <c r="G4010" i="40"/>
  <c r="G4011" i="40"/>
  <c r="G4012" i="40"/>
  <c r="G4013" i="40"/>
  <c r="G4014" i="40"/>
  <c r="G4015" i="40"/>
  <c r="G4016" i="40"/>
  <c r="G4017" i="40"/>
  <c r="G4018" i="40"/>
  <c r="G4019" i="40"/>
  <c r="G4020" i="40"/>
  <c r="G4021" i="40"/>
  <c r="G4022" i="40"/>
  <c r="G4023" i="40"/>
  <c r="G4024" i="40"/>
  <c r="G4025" i="40"/>
  <c r="G4026" i="40"/>
  <c r="G4027" i="40"/>
  <c r="G4028" i="40"/>
  <c r="G4029" i="40"/>
  <c r="G4030" i="40"/>
  <c r="G4031" i="40"/>
  <c r="G4032" i="40"/>
  <c r="G4033" i="40"/>
  <c r="G4034" i="40"/>
  <c r="G4035" i="40"/>
  <c r="G4036" i="40"/>
  <c r="G4037" i="40"/>
  <c r="G4038" i="40"/>
  <c r="G4039" i="40"/>
  <c r="G4040" i="40"/>
  <c r="G4041" i="40"/>
  <c r="G4042" i="40"/>
  <c r="G4043" i="40"/>
  <c r="G4044" i="40"/>
  <c r="G4045" i="40"/>
  <c r="G4046" i="40"/>
  <c r="G4047" i="40"/>
  <c r="G4048" i="40"/>
  <c r="G4049" i="40"/>
  <c r="G4050" i="40"/>
  <c r="G4051" i="40"/>
  <c r="G4052" i="40"/>
  <c r="G4053" i="40"/>
  <c r="G4054" i="40"/>
  <c r="G4055" i="40"/>
  <c r="G4056" i="40"/>
  <c r="G4057" i="40"/>
  <c r="G4058" i="40"/>
  <c r="G4059" i="40"/>
  <c r="G4060" i="40"/>
  <c r="G4061" i="40"/>
  <c r="G4062" i="40"/>
  <c r="G4063" i="40"/>
  <c r="G4064" i="40"/>
  <c r="G4065" i="40"/>
  <c r="G4066" i="40"/>
  <c r="G4067" i="40"/>
  <c r="G4068" i="40"/>
  <c r="G4069" i="40"/>
  <c r="G4070" i="40"/>
  <c r="G4071" i="40"/>
  <c r="G4072" i="40"/>
  <c r="G4073" i="40"/>
  <c r="G4074" i="40"/>
  <c r="G4075" i="40"/>
  <c r="G4076" i="40"/>
  <c r="G4077" i="40"/>
  <c r="G4078" i="40"/>
  <c r="G4079" i="40"/>
  <c r="G4080" i="40"/>
  <c r="G4081" i="40"/>
  <c r="G4082" i="40"/>
  <c r="G4083" i="40"/>
  <c r="G4084" i="40"/>
  <c r="G4085" i="40"/>
  <c r="G4086" i="40"/>
  <c r="G4087" i="40"/>
  <c r="G4088" i="40"/>
  <c r="G4089" i="40"/>
  <c r="G4090" i="40"/>
  <c r="G4091" i="40"/>
  <c r="G4092" i="40"/>
  <c r="G4093" i="40"/>
  <c r="G4094" i="40"/>
  <c r="G4095" i="40"/>
  <c r="G4096" i="40"/>
  <c r="G4097" i="40"/>
  <c r="G4098" i="40"/>
  <c r="G4099" i="40"/>
  <c r="G4100" i="40"/>
  <c r="G4101" i="40"/>
  <c r="G4102" i="40"/>
  <c r="G4103" i="40"/>
  <c r="G4104" i="40"/>
  <c r="G4105" i="40"/>
  <c r="G4106" i="40"/>
  <c r="G4107" i="40"/>
  <c r="G4108" i="40"/>
  <c r="G4109" i="40"/>
  <c r="G4110" i="40"/>
  <c r="G4111" i="40"/>
  <c r="G4112" i="40"/>
  <c r="G4113" i="40"/>
  <c r="G4114" i="40"/>
  <c r="G4115" i="40"/>
  <c r="G4116" i="40"/>
  <c r="G4117" i="40"/>
  <c r="G4118" i="40"/>
  <c r="G4119" i="40"/>
  <c r="G4120" i="40"/>
  <c r="G4121" i="40"/>
  <c r="G4122" i="40"/>
  <c r="G4123" i="40"/>
  <c r="G4124" i="40"/>
  <c r="G4125" i="40"/>
  <c r="G4126" i="40"/>
  <c r="G4127" i="40"/>
  <c r="G4128" i="40"/>
  <c r="G4129" i="40"/>
  <c r="G4130" i="40"/>
  <c r="G4131" i="40"/>
  <c r="G4132" i="40"/>
  <c r="G4133" i="40"/>
  <c r="G4134" i="40"/>
  <c r="G4135" i="40"/>
  <c r="G4136" i="40"/>
  <c r="G4137" i="40"/>
  <c r="G4138" i="40"/>
  <c r="G4139" i="40"/>
  <c r="G4140" i="40"/>
  <c r="G4141" i="40"/>
  <c r="G4142" i="40"/>
  <c r="G4143" i="40"/>
  <c r="G4144" i="40"/>
  <c r="G4145" i="40"/>
  <c r="G4146" i="40"/>
  <c r="G4147" i="40"/>
  <c r="G4148" i="40"/>
  <c r="G4149" i="40"/>
  <c r="G4150" i="40"/>
  <c r="G4151" i="40"/>
  <c r="G4152" i="40"/>
  <c r="G4153" i="40"/>
  <c r="G4154" i="40"/>
  <c r="G4155" i="40"/>
  <c r="G4156" i="40"/>
  <c r="G4157" i="40"/>
  <c r="G4158" i="40"/>
  <c r="G4159" i="40"/>
  <c r="G4160" i="40"/>
  <c r="G4161" i="40"/>
  <c r="G4162" i="40"/>
  <c r="G4163" i="40"/>
  <c r="G4164" i="40"/>
  <c r="G4165" i="40"/>
  <c r="G4166" i="40"/>
  <c r="G4167" i="40"/>
  <c r="G4168" i="40"/>
  <c r="G4169" i="40"/>
  <c r="G4170" i="40"/>
  <c r="G4171" i="40"/>
  <c r="G4172" i="40"/>
  <c r="G4173" i="40"/>
  <c r="G4174" i="40"/>
  <c r="G4175" i="40"/>
  <c r="G4176" i="40"/>
  <c r="G4177" i="40"/>
  <c r="G4178" i="40"/>
  <c r="G4179" i="40"/>
  <c r="G4180" i="40"/>
  <c r="G4181" i="40"/>
  <c r="G4182" i="40"/>
  <c r="G4183" i="40"/>
  <c r="G4184" i="40"/>
  <c r="G4185" i="40"/>
  <c r="G4186" i="40"/>
  <c r="G4187" i="40"/>
  <c r="G4188" i="40"/>
  <c r="G4189" i="40"/>
  <c r="G4190" i="40"/>
  <c r="G4191" i="40"/>
  <c r="G4192" i="40"/>
  <c r="G4193" i="40"/>
  <c r="G4194" i="40"/>
  <c r="G4195" i="40"/>
  <c r="G4196" i="40"/>
  <c r="G4197" i="40"/>
  <c r="G4198" i="40"/>
  <c r="G4199" i="40"/>
  <c r="G4200" i="40"/>
  <c r="G4201" i="40"/>
  <c r="G4202" i="40"/>
  <c r="G4203" i="40"/>
  <c r="G4204" i="40"/>
  <c r="G4205" i="40"/>
  <c r="G4206" i="40"/>
  <c r="G4207" i="40"/>
  <c r="G4208" i="40"/>
  <c r="G4209" i="40"/>
  <c r="G4210" i="40"/>
  <c r="G4211" i="40"/>
  <c r="G4212" i="40"/>
  <c r="G4213" i="40"/>
  <c r="G4214" i="40"/>
  <c r="G4215" i="40"/>
  <c r="G4216" i="40"/>
  <c r="G4217" i="40"/>
  <c r="G4218" i="40"/>
  <c r="G4219" i="40"/>
  <c r="G4220" i="40"/>
  <c r="G4221" i="40"/>
  <c r="G4222" i="40"/>
  <c r="G4223" i="40"/>
  <c r="G4224" i="40"/>
  <c r="G4225" i="40"/>
  <c r="G4226" i="40"/>
  <c r="G4227" i="40"/>
  <c r="G4228" i="40"/>
  <c r="G4229" i="40"/>
  <c r="G4230" i="40"/>
  <c r="G4231" i="40"/>
  <c r="G4232" i="40"/>
  <c r="G4233" i="40"/>
  <c r="G4234" i="40"/>
  <c r="G4235" i="40"/>
  <c r="G4236" i="40"/>
  <c r="G4237" i="40"/>
  <c r="G4238" i="40"/>
  <c r="G4239" i="40"/>
  <c r="G4240" i="40"/>
  <c r="G4241" i="40"/>
  <c r="G4242" i="40"/>
  <c r="G4243" i="40"/>
  <c r="G4244" i="40"/>
  <c r="G4245" i="40"/>
  <c r="G4246" i="40"/>
  <c r="G4247" i="40"/>
  <c r="G4248" i="40"/>
  <c r="G4249" i="40"/>
  <c r="G4250" i="40"/>
  <c r="G4251" i="40"/>
  <c r="G4252" i="40"/>
  <c r="G4253" i="40"/>
  <c r="G4254" i="40"/>
  <c r="G4255" i="40"/>
  <c r="G4256" i="40"/>
  <c r="G4257" i="40"/>
  <c r="G4258" i="40"/>
  <c r="G4259" i="40"/>
  <c r="G4260" i="40"/>
  <c r="G4261" i="40"/>
  <c r="G4262" i="40"/>
  <c r="G4263" i="40"/>
  <c r="G4264" i="40"/>
  <c r="G4265" i="40"/>
  <c r="G4266" i="40"/>
  <c r="G4267" i="40"/>
  <c r="G4268" i="40"/>
  <c r="G4269" i="40"/>
  <c r="G4270" i="40"/>
  <c r="G4271" i="40"/>
  <c r="G4272" i="40"/>
  <c r="G4273" i="40"/>
  <c r="G4274" i="40"/>
  <c r="G4275" i="40"/>
  <c r="G4276" i="40"/>
  <c r="G4277" i="40"/>
  <c r="G4278" i="40"/>
  <c r="G4279" i="40"/>
  <c r="G4280" i="40"/>
  <c r="G4281" i="40"/>
  <c r="G4282" i="40"/>
  <c r="G4283" i="40"/>
  <c r="G4284" i="40"/>
  <c r="G4285" i="40"/>
  <c r="G4286" i="40"/>
  <c r="G4287" i="40"/>
  <c r="G4288" i="40"/>
  <c r="G4289" i="40"/>
  <c r="G4290" i="40"/>
  <c r="G4291" i="40"/>
  <c r="G4292" i="40"/>
  <c r="G4293" i="40"/>
  <c r="G4294" i="40"/>
  <c r="G4295" i="40"/>
  <c r="G4296" i="40"/>
  <c r="G4297" i="40"/>
  <c r="G4298" i="40"/>
  <c r="G4299" i="40"/>
  <c r="G4300" i="40"/>
  <c r="G4301" i="40"/>
  <c r="G4302" i="40"/>
  <c r="G4303" i="40"/>
  <c r="G4304" i="40"/>
  <c r="G4305" i="40"/>
  <c r="G4306" i="40"/>
  <c r="G4307" i="40"/>
  <c r="G4308" i="40"/>
  <c r="G4309" i="40"/>
  <c r="G4310" i="40"/>
  <c r="G4311" i="40"/>
  <c r="G4312" i="40"/>
  <c r="G4313" i="40"/>
  <c r="G4314" i="40"/>
  <c r="G4315" i="40"/>
  <c r="G4316" i="40"/>
  <c r="G4317" i="40"/>
  <c r="G4318" i="40"/>
  <c r="G4319" i="40"/>
  <c r="G4320" i="40"/>
  <c r="G4321" i="40"/>
  <c r="G4322" i="40"/>
  <c r="G4323" i="40"/>
  <c r="G4324" i="40"/>
  <c r="G4325" i="40"/>
  <c r="G4326" i="40"/>
  <c r="G4327" i="40"/>
  <c r="G4328" i="40"/>
  <c r="G4329" i="40"/>
  <c r="G4330" i="40"/>
  <c r="G4331" i="40"/>
  <c r="G4332" i="40"/>
  <c r="G4333" i="40"/>
  <c r="G4334" i="40"/>
  <c r="G4335" i="40"/>
  <c r="G4336" i="40"/>
  <c r="G4337" i="40"/>
  <c r="G4338" i="40"/>
  <c r="G4339" i="40"/>
  <c r="G4340" i="40"/>
  <c r="G4341" i="40"/>
  <c r="G4342" i="40"/>
  <c r="G4343" i="40"/>
  <c r="G4344" i="40"/>
  <c r="G4345" i="40"/>
  <c r="G4346" i="40"/>
  <c r="G4347" i="40"/>
  <c r="G4348" i="40"/>
  <c r="G4349" i="40"/>
  <c r="G4350" i="40"/>
  <c r="G4351" i="40"/>
  <c r="G4352" i="40"/>
  <c r="G4353" i="40"/>
  <c r="G4354" i="40"/>
  <c r="G4355" i="40"/>
  <c r="G4356" i="40"/>
  <c r="G4357" i="40"/>
  <c r="G4358" i="40"/>
  <c r="G4359" i="40"/>
  <c r="G4360" i="40"/>
  <c r="G4361" i="40"/>
  <c r="G4362" i="40"/>
  <c r="G4363" i="40"/>
  <c r="G4364" i="40"/>
  <c r="G4365" i="40"/>
  <c r="G4366" i="40"/>
  <c r="G4367" i="40"/>
  <c r="G4368" i="40"/>
  <c r="G4369" i="40"/>
  <c r="G4370" i="40"/>
  <c r="G4371" i="40"/>
  <c r="G4372" i="40"/>
  <c r="G4373" i="40"/>
  <c r="G4374" i="40"/>
  <c r="G4375" i="40"/>
  <c r="G4376" i="40"/>
  <c r="G4377" i="40"/>
  <c r="G4378" i="40"/>
  <c r="G4379" i="40"/>
  <c r="G4380" i="40"/>
  <c r="G4381" i="40"/>
  <c r="G4382" i="40"/>
  <c r="G4383" i="40"/>
  <c r="G4384" i="40"/>
  <c r="G4385" i="40"/>
  <c r="G4386" i="40"/>
  <c r="G4387" i="40"/>
  <c r="G4388" i="40"/>
  <c r="G4389" i="40"/>
  <c r="G4390" i="40"/>
  <c r="G4391" i="40"/>
  <c r="G4392" i="40"/>
  <c r="G4393" i="40"/>
  <c r="G4394" i="40"/>
  <c r="G4395" i="40"/>
  <c r="G4396" i="40"/>
  <c r="G4397" i="40"/>
  <c r="G4398" i="40"/>
  <c r="G4399" i="40"/>
  <c r="G4400" i="40"/>
  <c r="G4401" i="40"/>
  <c r="G4402" i="40"/>
  <c r="G4403" i="40"/>
  <c r="G4404" i="40"/>
  <c r="G4405" i="40"/>
  <c r="G4406" i="40"/>
  <c r="G4407" i="40"/>
  <c r="G4408" i="40"/>
  <c r="G4409" i="40"/>
  <c r="G4410" i="40"/>
  <c r="G4411" i="40"/>
  <c r="G4412" i="40"/>
  <c r="G4413" i="40"/>
  <c r="G4414" i="40"/>
  <c r="G4415" i="40"/>
  <c r="G4416" i="40"/>
  <c r="G4417" i="40"/>
  <c r="G4418" i="40"/>
  <c r="G4419" i="40"/>
  <c r="G4420" i="40"/>
  <c r="G4421" i="40"/>
  <c r="G4422" i="40"/>
  <c r="G4423" i="40"/>
  <c r="G4424" i="40"/>
  <c r="G4425" i="40"/>
  <c r="G4426" i="40"/>
  <c r="G4427" i="40"/>
  <c r="G4428" i="40"/>
  <c r="G4429" i="40"/>
  <c r="G4430" i="40"/>
  <c r="G4431" i="40"/>
  <c r="G4432" i="40"/>
  <c r="G4433" i="40"/>
  <c r="G4434" i="40"/>
  <c r="G4435" i="40"/>
  <c r="G4436" i="40"/>
  <c r="G4437" i="40"/>
  <c r="G4438" i="40"/>
  <c r="G4439" i="40"/>
  <c r="G4440" i="40"/>
  <c r="G4441" i="40"/>
  <c r="G4442" i="40"/>
  <c r="G4443" i="40"/>
  <c r="G4444" i="40"/>
  <c r="G4445" i="40"/>
  <c r="G4446" i="40"/>
  <c r="G4447" i="40"/>
  <c r="G4448" i="40"/>
  <c r="G4449" i="40"/>
  <c r="G4450" i="40"/>
  <c r="G4451" i="40"/>
  <c r="G4452" i="40"/>
  <c r="G4453" i="40"/>
  <c r="G4454" i="40"/>
  <c r="G4455" i="40"/>
  <c r="G4456" i="40"/>
  <c r="G4457" i="40"/>
  <c r="G4458" i="40"/>
  <c r="G4459" i="40"/>
  <c r="G4460" i="40"/>
  <c r="G4461" i="40"/>
  <c r="G4462" i="40"/>
  <c r="G4463" i="40"/>
  <c r="G4464" i="40"/>
  <c r="G4465" i="40"/>
  <c r="G4466" i="40"/>
  <c r="G4467" i="40"/>
  <c r="G4468" i="40"/>
  <c r="G4469" i="40"/>
  <c r="G4470" i="40"/>
  <c r="G4471" i="40"/>
  <c r="G4472" i="40"/>
  <c r="G4473" i="40"/>
  <c r="G4474" i="40"/>
  <c r="G4475" i="40"/>
  <c r="G4476" i="40"/>
  <c r="G4477" i="40"/>
  <c r="G4478" i="40"/>
  <c r="G4479" i="40"/>
  <c r="G4480" i="40"/>
  <c r="G4481" i="40"/>
  <c r="G4482" i="40"/>
  <c r="G4483" i="40"/>
  <c r="G4484" i="40"/>
  <c r="G4485" i="40"/>
  <c r="G4486" i="40"/>
  <c r="G4487" i="40"/>
  <c r="G4488" i="40"/>
  <c r="G4489" i="40"/>
  <c r="G4490" i="40"/>
  <c r="G4491" i="40"/>
  <c r="G4492" i="40"/>
  <c r="G4493" i="40"/>
  <c r="G4494" i="40"/>
  <c r="G4495" i="40"/>
  <c r="G4496" i="40"/>
  <c r="G4497" i="40"/>
  <c r="G4498" i="40"/>
  <c r="G4499" i="40"/>
  <c r="G4500" i="40"/>
  <c r="G4501" i="40"/>
  <c r="G4502" i="40"/>
  <c r="G4503" i="40"/>
  <c r="G4504" i="40"/>
  <c r="G4505" i="40"/>
  <c r="G4506" i="40"/>
  <c r="G4507" i="40"/>
  <c r="G4508" i="40"/>
  <c r="G4509" i="40"/>
  <c r="G4510" i="40"/>
  <c r="G4511" i="40"/>
  <c r="G4512" i="40"/>
  <c r="G4513" i="40"/>
  <c r="G4514" i="40"/>
  <c r="G4515" i="40"/>
  <c r="G4516" i="40"/>
  <c r="G4517" i="40"/>
  <c r="G4518" i="40"/>
  <c r="G4519" i="40"/>
  <c r="G4520" i="40"/>
  <c r="G4521" i="40"/>
  <c r="G4522" i="40"/>
  <c r="G4523" i="40"/>
  <c r="G4524" i="40"/>
  <c r="G4525" i="40"/>
  <c r="G4526" i="40"/>
  <c r="G4527" i="40"/>
  <c r="G4528" i="40"/>
  <c r="G4529" i="40"/>
  <c r="G4530" i="40"/>
  <c r="G4531" i="40"/>
  <c r="G4532" i="40"/>
  <c r="G4533" i="40"/>
  <c r="G4534" i="40"/>
  <c r="G4535" i="40"/>
  <c r="G4536" i="40"/>
  <c r="G4537" i="40"/>
  <c r="G4538" i="40"/>
  <c r="G4539" i="40"/>
  <c r="G4540" i="40"/>
  <c r="G4541" i="40"/>
  <c r="G4542" i="40"/>
  <c r="G4543" i="40"/>
  <c r="G4544" i="40"/>
  <c r="G4545" i="40"/>
  <c r="G4546" i="40"/>
  <c r="G4547" i="40"/>
  <c r="G4548" i="40"/>
  <c r="G4549" i="40"/>
  <c r="G4550" i="40"/>
  <c r="G4551" i="40"/>
  <c r="G4552" i="40"/>
  <c r="G4553" i="40"/>
  <c r="G4554" i="40"/>
  <c r="G4555" i="40"/>
  <c r="G4556" i="40"/>
  <c r="G4557" i="40"/>
  <c r="G4558" i="40"/>
  <c r="G4559" i="40"/>
  <c r="G4560" i="40"/>
  <c r="G4561" i="40"/>
  <c r="G4562" i="40"/>
  <c r="G4563" i="40"/>
  <c r="G4564" i="40"/>
  <c r="G4565" i="40"/>
  <c r="G4566" i="40"/>
  <c r="G4567" i="40"/>
  <c r="G4568" i="40"/>
  <c r="G4569" i="40"/>
  <c r="G4570" i="40"/>
  <c r="G4571" i="40"/>
  <c r="G4572" i="40"/>
  <c r="G4573" i="40"/>
  <c r="G4574" i="40"/>
  <c r="G4575" i="40"/>
  <c r="G4576" i="40"/>
  <c r="G4577" i="40"/>
  <c r="G4578" i="40"/>
  <c r="G4579" i="40"/>
  <c r="G4580" i="40"/>
  <c r="G4581" i="40"/>
  <c r="G4582" i="40"/>
  <c r="G4583" i="40"/>
  <c r="G4584" i="40"/>
  <c r="G4585" i="40"/>
  <c r="G4586" i="40"/>
  <c r="G4587" i="40"/>
  <c r="G4588" i="40"/>
  <c r="G4589" i="40"/>
  <c r="G4590" i="40"/>
  <c r="G4591" i="40"/>
  <c r="G4592" i="40"/>
  <c r="G4593" i="40"/>
  <c r="G4594" i="40"/>
  <c r="G4595" i="40"/>
  <c r="G4596" i="40"/>
  <c r="G4597" i="40"/>
  <c r="G4598" i="40"/>
  <c r="G4599" i="40"/>
  <c r="G4600" i="40"/>
  <c r="G4601" i="40"/>
  <c r="G4602" i="40"/>
  <c r="G4603" i="40"/>
  <c r="G4604" i="40"/>
  <c r="G4605" i="40"/>
  <c r="G4606" i="40"/>
  <c r="G4607" i="40"/>
  <c r="G4608" i="40"/>
  <c r="G4609" i="40"/>
  <c r="G4610" i="40"/>
  <c r="G4611" i="40"/>
  <c r="G4612" i="40"/>
  <c r="G4613" i="40"/>
  <c r="G4614" i="40"/>
  <c r="G4615" i="40"/>
  <c r="G4616" i="40"/>
  <c r="G4617" i="40"/>
  <c r="G4618" i="40"/>
  <c r="G4619" i="40"/>
  <c r="G4620" i="40"/>
  <c r="G4621" i="40"/>
  <c r="G4622" i="40"/>
  <c r="G4623" i="40"/>
  <c r="G4624" i="40"/>
  <c r="G4625" i="40"/>
  <c r="G4626" i="40"/>
  <c r="G4627" i="40"/>
  <c r="G4628" i="40"/>
  <c r="G4629" i="40"/>
  <c r="G4630" i="40"/>
  <c r="G4631" i="40"/>
  <c r="G4632" i="40"/>
  <c r="G4633" i="40"/>
  <c r="G4634" i="40"/>
  <c r="G4635" i="40"/>
  <c r="G4636" i="40"/>
  <c r="G4637" i="40"/>
  <c r="G4638" i="40"/>
  <c r="G4639" i="40"/>
  <c r="G4640" i="40"/>
  <c r="G4641" i="40"/>
  <c r="G4642" i="40"/>
  <c r="G4643" i="40"/>
  <c r="G4644" i="40"/>
  <c r="G4645" i="40"/>
  <c r="G4646" i="40"/>
  <c r="G4647" i="40"/>
  <c r="G4648" i="40"/>
  <c r="G4649" i="40"/>
  <c r="G4650" i="40"/>
  <c r="G4651" i="40"/>
  <c r="G4652" i="40"/>
  <c r="G4653" i="40"/>
  <c r="G4654" i="40"/>
  <c r="G4655" i="40"/>
  <c r="G4656" i="40"/>
  <c r="G4657" i="40"/>
  <c r="G4658" i="40"/>
  <c r="G4659" i="40"/>
  <c r="G4660" i="40"/>
  <c r="G4661" i="40"/>
  <c r="G4662" i="40"/>
  <c r="G4663" i="40"/>
  <c r="G4664" i="40"/>
  <c r="G4665" i="40"/>
  <c r="G4666" i="40"/>
  <c r="G4667" i="40"/>
  <c r="G4668" i="40"/>
  <c r="G4669" i="40"/>
  <c r="G4670" i="40"/>
  <c r="G4671" i="40"/>
  <c r="G4672" i="40"/>
  <c r="G4673" i="40"/>
  <c r="G4674" i="40"/>
  <c r="G4675" i="40"/>
  <c r="G4676" i="40"/>
  <c r="G4677" i="40"/>
  <c r="G4678" i="40"/>
  <c r="G4679" i="40"/>
  <c r="G4680" i="40"/>
  <c r="G4681" i="40"/>
  <c r="G4682" i="40"/>
  <c r="G4683" i="40"/>
  <c r="G4684" i="40"/>
  <c r="G4685" i="40"/>
  <c r="G4686" i="40"/>
  <c r="G4687" i="40"/>
  <c r="G4688" i="40"/>
  <c r="G4689" i="40"/>
  <c r="G4690" i="40"/>
  <c r="G4691" i="40"/>
  <c r="G4692" i="40"/>
  <c r="G4693" i="40"/>
  <c r="G4694" i="40"/>
  <c r="G4695" i="40"/>
  <c r="G4696" i="40"/>
  <c r="G4697" i="40"/>
  <c r="G4698" i="40"/>
  <c r="G4699" i="40"/>
  <c r="G4700" i="40"/>
  <c r="G4701" i="40"/>
  <c r="G4702" i="40"/>
  <c r="G4703" i="40"/>
  <c r="G4704" i="40"/>
  <c r="G4705" i="40"/>
  <c r="G4706" i="40"/>
  <c r="G4707" i="40"/>
  <c r="G4708" i="40"/>
  <c r="G4709" i="40"/>
  <c r="G4710" i="40"/>
  <c r="G4711" i="40"/>
  <c r="G4712" i="40"/>
  <c r="G4713" i="40"/>
  <c r="G4714" i="40"/>
  <c r="G4715" i="40"/>
  <c r="G4716" i="40"/>
  <c r="G4717" i="40"/>
  <c r="G4718" i="40"/>
  <c r="G4719" i="40"/>
  <c r="G4720" i="40"/>
  <c r="G4721" i="40"/>
  <c r="G4722" i="40"/>
  <c r="G4723" i="40"/>
  <c r="G4724" i="40"/>
  <c r="G4725" i="40"/>
  <c r="G4726" i="40"/>
  <c r="G4727" i="40"/>
  <c r="G4728" i="40"/>
  <c r="G4729" i="40"/>
  <c r="G4730" i="40"/>
  <c r="G4731" i="40"/>
  <c r="G4732" i="40"/>
  <c r="G4733" i="40"/>
  <c r="G4734" i="40"/>
  <c r="G4735" i="40"/>
  <c r="G4736" i="40"/>
  <c r="G4737" i="40"/>
  <c r="G4738" i="40"/>
  <c r="G4739" i="40"/>
  <c r="G4740" i="40"/>
  <c r="G4741" i="40"/>
  <c r="G4742" i="40"/>
  <c r="G4743" i="40"/>
  <c r="G4744" i="40"/>
  <c r="G4745" i="40"/>
  <c r="G4746" i="40"/>
  <c r="G4747" i="40"/>
  <c r="G4748" i="40"/>
  <c r="G4749" i="40"/>
  <c r="G4750" i="40"/>
  <c r="G4751" i="40"/>
  <c r="G4752" i="40"/>
  <c r="G4753" i="40"/>
  <c r="G4754" i="40"/>
  <c r="G4755" i="40"/>
  <c r="G4756" i="40"/>
  <c r="G4757" i="40"/>
  <c r="G4758" i="40"/>
  <c r="G4759" i="40"/>
  <c r="G4760" i="40"/>
  <c r="G4761" i="40"/>
  <c r="G4762" i="40"/>
  <c r="G4763" i="40"/>
  <c r="G4764" i="40"/>
  <c r="G4765" i="40"/>
  <c r="G4766" i="40"/>
  <c r="G4767" i="40"/>
  <c r="G4768" i="40"/>
  <c r="G4769" i="40"/>
  <c r="G4770" i="40"/>
  <c r="G4771" i="40"/>
  <c r="G4772" i="40"/>
  <c r="G4773" i="40"/>
  <c r="G4774" i="40"/>
  <c r="G4775" i="40"/>
  <c r="G4776" i="40"/>
  <c r="G4777" i="40"/>
  <c r="G4778" i="40"/>
  <c r="G4779" i="40"/>
  <c r="G4780" i="40"/>
  <c r="G4781" i="40"/>
  <c r="G4782" i="40"/>
  <c r="G4783" i="40"/>
  <c r="G4784" i="40"/>
  <c r="G4785" i="40"/>
  <c r="G4786" i="40"/>
  <c r="G4787" i="40"/>
  <c r="G4788" i="40"/>
  <c r="G4789" i="40"/>
  <c r="G4790" i="40"/>
  <c r="G4791" i="40"/>
  <c r="G4792" i="40"/>
  <c r="G4793" i="40"/>
  <c r="G4794" i="40"/>
  <c r="G4795" i="40"/>
  <c r="G4796" i="40"/>
  <c r="G4797" i="40"/>
  <c r="G4798" i="40"/>
  <c r="G4799" i="40"/>
  <c r="G4800" i="40"/>
  <c r="G4801" i="40"/>
  <c r="G4802" i="40"/>
  <c r="G4803" i="40"/>
  <c r="G4804" i="40"/>
  <c r="G4805" i="40"/>
  <c r="G4806" i="40"/>
  <c r="G4807" i="40"/>
  <c r="G4808" i="40"/>
  <c r="G4809" i="40"/>
  <c r="G4810" i="40"/>
  <c r="G4811" i="40"/>
  <c r="G4812" i="40"/>
  <c r="G4813" i="40"/>
  <c r="G4814" i="40"/>
  <c r="G4815" i="40"/>
  <c r="G4816" i="40"/>
  <c r="G4817" i="40"/>
  <c r="G4818" i="40"/>
  <c r="G4819" i="40"/>
  <c r="G4820" i="40"/>
  <c r="G4821" i="40"/>
  <c r="G4822" i="40"/>
  <c r="G4823" i="40"/>
  <c r="G4824" i="40"/>
  <c r="G4825" i="40"/>
  <c r="G4826" i="40"/>
  <c r="G4827" i="40"/>
  <c r="G4828" i="40"/>
  <c r="G4829" i="40"/>
  <c r="G4830" i="40"/>
  <c r="G4831" i="40"/>
  <c r="G4832" i="40"/>
  <c r="G4833" i="40"/>
  <c r="G4834" i="40"/>
  <c r="G4835" i="40"/>
  <c r="G4836" i="40"/>
  <c r="G4837" i="40"/>
  <c r="G4838" i="40"/>
  <c r="G4839" i="40"/>
  <c r="G4840" i="40"/>
  <c r="G4841" i="40"/>
  <c r="G4842" i="40"/>
  <c r="G4843" i="40"/>
  <c r="G4844" i="40"/>
  <c r="G4845" i="40"/>
  <c r="G4846" i="40"/>
  <c r="G4847" i="40"/>
  <c r="G4848" i="40"/>
  <c r="G4849" i="40"/>
  <c r="G4850" i="40"/>
  <c r="G4851" i="40"/>
  <c r="G4852" i="40"/>
  <c r="G4853" i="40"/>
  <c r="G4854" i="40"/>
  <c r="G4855" i="40"/>
  <c r="G4856" i="40"/>
  <c r="G4857" i="40"/>
  <c r="G4858" i="40"/>
  <c r="G4859" i="40"/>
  <c r="G4860" i="40"/>
  <c r="G4861" i="40"/>
  <c r="G4862" i="40"/>
  <c r="G4863" i="40"/>
  <c r="G4864" i="40"/>
  <c r="G4865" i="40"/>
  <c r="G4866" i="40"/>
  <c r="G4867" i="40"/>
  <c r="G4868" i="40"/>
  <c r="G4869" i="40"/>
  <c r="G4870" i="40"/>
  <c r="G4871" i="40"/>
  <c r="G4872" i="40"/>
  <c r="G4873" i="40"/>
  <c r="G4874" i="40"/>
  <c r="G4875" i="40"/>
  <c r="G4876" i="40"/>
  <c r="G4877" i="40"/>
  <c r="G4878" i="40"/>
  <c r="G4879" i="40"/>
  <c r="G4880" i="40"/>
  <c r="G4881" i="40"/>
  <c r="G4882" i="40"/>
  <c r="G4883" i="40"/>
  <c r="G4884" i="40"/>
  <c r="G4885" i="40"/>
  <c r="G4886" i="40"/>
  <c r="G4887" i="40"/>
  <c r="G4888" i="40"/>
  <c r="G4889" i="40"/>
  <c r="G4890" i="40"/>
  <c r="G4891" i="40"/>
  <c r="G4892" i="40"/>
  <c r="G4893" i="40"/>
  <c r="G4894" i="40"/>
  <c r="G4895" i="40"/>
  <c r="G4896" i="40"/>
  <c r="G4897" i="40"/>
  <c r="G4898" i="40"/>
  <c r="G4899" i="40"/>
  <c r="G4900" i="40"/>
  <c r="G4901" i="40"/>
  <c r="G4902" i="40"/>
  <c r="G4903" i="40"/>
  <c r="G4904" i="40"/>
  <c r="G4905" i="40"/>
  <c r="G4906" i="40"/>
  <c r="G4907" i="40"/>
  <c r="G4908" i="40"/>
  <c r="G4909" i="40"/>
  <c r="G4910" i="40"/>
  <c r="G4911" i="40"/>
  <c r="G4912" i="40"/>
  <c r="G4913" i="40"/>
  <c r="G4914" i="40"/>
  <c r="G4915" i="40"/>
  <c r="G4916" i="40"/>
  <c r="G4917" i="40"/>
  <c r="G4918" i="40"/>
  <c r="G4919" i="40"/>
  <c r="G4920" i="40"/>
  <c r="G4921" i="40"/>
  <c r="G4922" i="40"/>
  <c r="G4923" i="40"/>
  <c r="G4924" i="40"/>
  <c r="G4925" i="40"/>
  <c r="G4926" i="40"/>
  <c r="G4927" i="40"/>
  <c r="G4928" i="40"/>
  <c r="G4929" i="40"/>
  <c r="G4930" i="40"/>
  <c r="G4931" i="40"/>
  <c r="G4932" i="40"/>
  <c r="G4933" i="40"/>
  <c r="G4934" i="40"/>
  <c r="G4935" i="40"/>
  <c r="G4936" i="40"/>
  <c r="G4937" i="40"/>
  <c r="G4938" i="40"/>
  <c r="G4939" i="40"/>
  <c r="G4940" i="40"/>
  <c r="G4941" i="40"/>
  <c r="G4942" i="40"/>
  <c r="G4943" i="40"/>
  <c r="G4944" i="40"/>
  <c r="G4945" i="40"/>
  <c r="G4946" i="40"/>
  <c r="G4947" i="40"/>
  <c r="G4948" i="40"/>
  <c r="G4949" i="40"/>
  <c r="G4950" i="40"/>
  <c r="G4951" i="40"/>
  <c r="G4952" i="40"/>
  <c r="G4953" i="40"/>
  <c r="G4954" i="40"/>
  <c r="G4955" i="40"/>
  <c r="G4956" i="40"/>
  <c r="G4957" i="40"/>
  <c r="G4958" i="40"/>
  <c r="G4959" i="40"/>
  <c r="G4960" i="40"/>
  <c r="G4961" i="40"/>
  <c r="G4962" i="40"/>
  <c r="G4963" i="40"/>
  <c r="G4964" i="40"/>
  <c r="G4965" i="40"/>
  <c r="G4966" i="40"/>
  <c r="G4967" i="40"/>
  <c r="G4968" i="40"/>
  <c r="G4969" i="40"/>
  <c r="G4970" i="40"/>
  <c r="G4971" i="40"/>
  <c r="G4972" i="40"/>
  <c r="G4973" i="40"/>
  <c r="G4974" i="40"/>
  <c r="G4975" i="40"/>
  <c r="G4976" i="40"/>
  <c r="G4977" i="40"/>
  <c r="G4978" i="40"/>
  <c r="G4979" i="40"/>
  <c r="G4980" i="40"/>
  <c r="G4981" i="40"/>
  <c r="G4982" i="40"/>
  <c r="G4983" i="40"/>
  <c r="G4984" i="40"/>
  <c r="G4985" i="40"/>
  <c r="G4986" i="40"/>
  <c r="G4987" i="40"/>
  <c r="G4988" i="40"/>
  <c r="G4989" i="40"/>
  <c r="G4990" i="40"/>
  <c r="G4991" i="40"/>
  <c r="G4992" i="40"/>
  <c r="G4993" i="40"/>
  <c r="G4994" i="40"/>
  <c r="G4995" i="40"/>
  <c r="G4996" i="40"/>
  <c r="G4997" i="40"/>
  <c r="G4998" i="40"/>
  <c r="G4999" i="40"/>
  <c r="G5000" i="40"/>
  <c r="G5001" i="40"/>
  <c r="G5002" i="40"/>
  <c r="G5003" i="40"/>
  <c r="G5004" i="40"/>
  <c r="G5005" i="40"/>
  <c r="G5006" i="40"/>
  <c r="G5007" i="40"/>
  <c r="G5008" i="40"/>
  <c r="G5009" i="40"/>
  <c r="G5010" i="40"/>
  <c r="G5011" i="40"/>
  <c r="G5012" i="40"/>
  <c r="G5013" i="40"/>
  <c r="G5014" i="40"/>
  <c r="G5015" i="40"/>
  <c r="G5016" i="40"/>
  <c r="G5017" i="40"/>
  <c r="G5018" i="40"/>
  <c r="G5019" i="40"/>
  <c r="G5020" i="40"/>
  <c r="G5021" i="40"/>
  <c r="G5022" i="40"/>
  <c r="G5023" i="40"/>
  <c r="G5024" i="40"/>
  <c r="G5025" i="40"/>
  <c r="G5026" i="40"/>
  <c r="G5027" i="40"/>
  <c r="G5028" i="40"/>
  <c r="G5029" i="40"/>
  <c r="G5030" i="40"/>
  <c r="G5031" i="40"/>
  <c r="G5032" i="40"/>
  <c r="G5033" i="40"/>
  <c r="G5034" i="40"/>
  <c r="G5035" i="40"/>
  <c r="G5036" i="40"/>
  <c r="G5037" i="40"/>
  <c r="G5038" i="40"/>
  <c r="G5039" i="40"/>
  <c r="G5040" i="40"/>
  <c r="G5041" i="40"/>
  <c r="G5042" i="40"/>
  <c r="G5043" i="40"/>
  <c r="G5044" i="40"/>
  <c r="G5045" i="40"/>
  <c r="G5046" i="40"/>
  <c r="G5047" i="40"/>
  <c r="G5048" i="40"/>
  <c r="G5049" i="40"/>
  <c r="G5050" i="40"/>
  <c r="G5051" i="40"/>
  <c r="G5052" i="40"/>
  <c r="G5053" i="40"/>
  <c r="G5054" i="40"/>
  <c r="G5055" i="40"/>
  <c r="G5056" i="40"/>
  <c r="G5057" i="40"/>
  <c r="G5058" i="40"/>
  <c r="G5059" i="40"/>
  <c r="G5060" i="40"/>
  <c r="G5061" i="40"/>
  <c r="G5062" i="40"/>
  <c r="G5063" i="40"/>
  <c r="G5064" i="40"/>
  <c r="G5065" i="40"/>
  <c r="G5066" i="40"/>
  <c r="G5067" i="40"/>
  <c r="G5068" i="40"/>
  <c r="G5069" i="40"/>
  <c r="G5070" i="40"/>
  <c r="G5071" i="40"/>
  <c r="G5072" i="40"/>
  <c r="G5073" i="40"/>
  <c r="G5074" i="40"/>
  <c r="G5075" i="40"/>
  <c r="G5076" i="40"/>
  <c r="G5077" i="40"/>
  <c r="G5078" i="40"/>
  <c r="G5079" i="40"/>
  <c r="G5080" i="40"/>
  <c r="G5081" i="40"/>
  <c r="G5082" i="40"/>
  <c r="G5083" i="40"/>
  <c r="G5084" i="40"/>
  <c r="G5085" i="40"/>
  <c r="G5086" i="40"/>
  <c r="G5087" i="40"/>
  <c r="G5088" i="40"/>
  <c r="G5089" i="40"/>
  <c r="G5090" i="40"/>
  <c r="G5091" i="40"/>
  <c r="G5092" i="40"/>
  <c r="G5093" i="40"/>
  <c r="G5094" i="40"/>
  <c r="G5095" i="40"/>
  <c r="G5096" i="40"/>
  <c r="G5097" i="40"/>
  <c r="G5098" i="40"/>
  <c r="G5099" i="40"/>
  <c r="G5100" i="40"/>
  <c r="G5101" i="40"/>
  <c r="G5102" i="40"/>
  <c r="G5103" i="40"/>
  <c r="G5104" i="40"/>
  <c r="G5105" i="40"/>
  <c r="G5106" i="40"/>
  <c r="G5107" i="40"/>
  <c r="G5108" i="40"/>
  <c r="G5109" i="40"/>
  <c r="G5110" i="40"/>
  <c r="G5111" i="40"/>
  <c r="G5112" i="40"/>
  <c r="G5113" i="40"/>
  <c r="G5114" i="40"/>
  <c r="G5115" i="40"/>
  <c r="G5116" i="40"/>
  <c r="G5117" i="40"/>
  <c r="G5118" i="40"/>
  <c r="G5119" i="40"/>
  <c r="G5120" i="40"/>
  <c r="G5121" i="40"/>
  <c r="G5122" i="40"/>
  <c r="G5123" i="40"/>
  <c r="G5124" i="40"/>
  <c r="G5125" i="40"/>
  <c r="G5126" i="40"/>
  <c r="G5127" i="40"/>
  <c r="G5128" i="40"/>
  <c r="G5129" i="40"/>
  <c r="G5130" i="40"/>
  <c r="G5131" i="40"/>
  <c r="G5132" i="40"/>
  <c r="G5133" i="40"/>
  <c r="G5134" i="40"/>
  <c r="G5135" i="40"/>
  <c r="G5136" i="40"/>
  <c r="G5137" i="40"/>
  <c r="G5138" i="40"/>
  <c r="G5139" i="40"/>
  <c r="G5140" i="40"/>
  <c r="G5141" i="40"/>
  <c r="G5142" i="40"/>
  <c r="G5143" i="40"/>
  <c r="G5144" i="40"/>
  <c r="G5145" i="40"/>
  <c r="G5146" i="40"/>
  <c r="G5147" i="40"/>
  <c r="G5148" i="40"/>
  <c r="G5149" i="40"/>
  <c r="G5150" i="40"/>
  <c r="G5151" i="40"/>
  <c r="G5152" i="40"/>
  <c r="G5153" i="40"/>
  <c r="G5154" i="40"/>
  <c r="G5155" i="40"/>
  <c r="G5156" i="40"/>
  <c r="G5157" i="40"/>
  <c r="G5158" i="40"/>
  <c r="G5159" i="40"/>
  <c r="G5160" i="40"/>
  <c r="G5161" i="40"/>
  <c r="G5162" i="40"/>
  <c r="G5163" i="40"/>
  <c r="G5164" i="40"/>
  <c r="G5165" i="40"/>
  <c r="G5166" i="40"/>
  <c r="G5167" i="40"/>
  <c r="G5168" i="40"/>
  <c r="G5169" i="40"/>
  <c r="G5170" i="40"/>
  <c r="G5171" i="40"/>
  <c r="G5172" i="40"/>
  <c r="G5173" i="40"/>
  <c r="G5174" i="40"/>
  <c r="G5175" i="40"/>
  <c r="G5176" i="40"/>
  <c r="G5177" i="40"/>
  <c r="G5178" i="40"/>
  <c r="G5179" i="40"/>
  <c r="G5180" i="40"/>
  <c r="G5181" i="40"/>
  <c r="G5182" i="40"/>
  <c r="G5183" i="40"/>
  <c r="G5184" i="40"/>
  <c r="G5185" i="40"/>
  <c r="G5186" i="40"/>
  <c r="G5187" i="40"/>
  <c r="G5188" i="40"/>
  <c r="G5189" i="40"/>
  <c r="G5190" i="40"/>
  <c r="G5191" i="40"/>
  <c r="G5192" i="40"/>
  <c r="G5193" i="40"/>
  <c r="G5194" i="40"/>
  <c r="G5195" i="40"/>
  <c r="G5196" i="40"/>
  <c r="G5197" i="40"/>
  <c r="G5198" i="40"/>
  <c r="G5199" i="40"/>
  <c r="G5200" i="40"/>
  <c r="G5201" i="40"/>
  <c r="G5202" i="40"/>
  <c r="G5203" i="40"/>
  <c r="G5204" i="40"/>
  <c r="G5205" i="40"/>
  <c r="G5206" i="40"/>
  <c r="G5207" i="40"/>
  <c r="G5208" i="40"/>
  <c r="G5209" i="40"/>
  <c r="G5210" i="40"/>
  <c r="G5211" i="40"/>
  <c r="G5212" i="40"/>
  <c r="G5213" i="40"/>
  <c r="G5214" i="40"/>
  <c r="G5215" i="40"/>
  <c r="G5216" i="40"/>
  <c r="G5217" i="40"/>
  <c r="G5218" i="40"/>
  <c r="G5219" i="40"/>
  <c r="G5220" i="40"/>
  <c r="G5221" i="40"/>
  <c r="G5222" i="40"/>
  <c r="G5223" i="40"/>
  <c r="G5224" i="40"/>
  <c r="G5225" i="40"/>
  <c r="G5226" i="40"/>
  <c r="G5227" i="40"/>
  <c r="G5228" i="40"/>
  <c r="G5229" i="40"/>
  <c r="G5230" i="40"/>
  <c r="G5231" i="40"/>
  <c r="G5232" i="40"/>
  <c r="G5233" i="40"/>
  <c r="G5234" i="40"/>
  <c r="G5235" i="40"/>
  <c r="G5236" i="40"/>
  <c r="G5237" i="40"/>
  <c r="G5238" i="40"/>
  <c r="G5239" i="40"/>
  <c r="G5240" i="40"/>
  <c r="G5241" i="40"/>
  <c r="G5242" i="40"/>
  <c r="G5243" i="40"/>
  <c r="G5244" i="40"/>
  <c r="G5245" i="40"/>
  <c r="G5246" i="40"/>
  <c r="G5247" i="40"/>
  <c r="G5248" i="40"/>
  <c r="G5249" i="40"/>
  <c r="G5250" i="40"/>
  <c r="G5251" i="40"/>
  <c r="G5252" i="40"/>
  <c r="G5253" i="40"/>
  <c r="G5254" i="40"/>
  <c r="G5255" i="40"/>
  <c r="G5256" i="40"/>
  <c r="G5257" i="40"/>
  <c r="G5258" i="40"/>
  <c r="G5259" i="40"/>
  <c r="G5260" i="40"/>
  <c r="G5261" i="40"/>
  <c r="G5262" i="40"/>
  <c r="G5263" i="40"/>
  <c r="G5264" i="40"/>
  <c r="G5265" i="40"/>
  <c r="G5266" i="40"/>
  <c r="G5267" i="40"/>
  <c r="G5268" i="40"/>
  <c r="G5269" i="40"/>
  <c r="G5270" i="40"/>
  <c r="G5271" i="40"/>
  <c r="G5272" i="40"/>
  <c r="G5273" i="40"/>
  <c r="G5274" i="40"/>
  <c r="G5275" i="40"/>
  <c r="G5276" i="40"/>
  <c r="G5277" i="40"/>
  <c r="G5278" i="40"/>
  <c r="G5279" i="40"/>
  <c r="G5280" i="40"/>
  <c r="G5281" i="40"/>
  <c r="G5282" i="40"/>
  <c r="G5283" i="40"/>
  <c r="G5284" i="40"/>
  <c r="G5285" i="40"/>
  <c r="G5286" i="40"/>
  <c r="G5287" i="40"/>
  <c r="G5288" i="40"/>
  <c r="G5289" i="40"/>
  <c r="G5290" i="40"/>
  <c r="G5291" i="40"/>
  <c r="G5292" i="40"/>
  <c r="G5293" i="40"/>
  <c r="G5294" i="40"/>
  <c r="G5295" i="40"/>
  <c r="G5296" i="40"/>
  <c r="G5297" i="40"/>
  <c r="G5298" i="40"/>
  <c r="G5299" i="40"/>
  <c r="G5300" i="40"/>
  <c r="G5301" i="40"/>
  <c r="G5302" i="40"/>
  <c r="G5303" i="40"/>
  <c r="G5304" i="40"/>
  <c r="G5305" i="40"/>
  <c r="G5306" i="40"/>
  <c r="G5307" i="40"/>
  <c r="G5308" i="40"/>
  <c r="G5309" i="40"/>
  <c r="G5310" i="40"/>
  <c r="G5311" i="40"/>
  <c r="G5312" i="40"/>
  <c r="G5313" i="40"/>
  <c r="G5314" i="40"/>
  <c r="G5315" i="40"/>
  <c r="G5316" i="40"/>
  <c r="G5317" i="40"/>
  <c r="G5318" i="40"/>
  <c r="G5319" i="40"/>
  <c r="G5320" i="40"/>
  <c r="G5321" i="40"/>
  <c r="G5322" i="40"/>
  <c r="G5323" i="40"/>
  <c r="G5324" i="40"/>
  <c r="G5325" i="40"/>
  <c r="G5326" i="40"/>
  <c r="G5327" i="40"/>
  <c r="G5328" i="40"/>
  <c r="G5329" i="40"/>
  <c r="G5330" i="40"/>
  <c r="G5331" i="40"/>
  <c r="G5332" i="40"/>
  <c r="G5333" i="40"/>
  <c r="G5334" i="40"/>
  <c r="G5335" i="40"/>
  <c r="G5336" i="40"/>
  <c r="G5337" i="40"/>
  <c r="G5338" i="40"/>
  <c r="G5339" i="40"/>
  <c r="G5340" i="40"/>
  <c r="G5341" i="40"/>
  <c r="G5342" i="40"/>
  <c r="G5343" i="40"/>
  <c r="G5344" i="40"/>
  <c r="G5345" i="40"/>
  <c r="G5346" i="40"/>
  <c r="G5347" i="40"/>
  <c r="G5348" i="40"/>
  <c r="G5349" i="40"/>
  <c r="G5350" i="40"/>
  <c r="G5351" i="40"/>
  <c r="G5352" i="40"/>
  <c r="G5353" i="40"/>
  <c r="G5354" i="40"/>
  <c r="G5355" i="40"/>
  <c r="G5356" i="40"/>
  <c r="G5357" i="40"/>
  <c r="G5358" i="40"/>
  <c r="G5359" i="40"/>
  <c r="G5360" i="40"/>
  <c r="G5361" i="40"/>
  <c r="G5362" i="40"/>
  <c r="G5363" i="40"/>
  <c r="G5364" i="40"/>
  <c r="G5365" i="40"/>
  <c r="G5366" i="40"/>
  <c r="G5367" i="40"/>
  <c r="G5368" i="40"/>
  <c r="G5369" i="40"/>
  <c r="G5370" i="40"/>
  <c r="G5371" i="40"/>
  <c r="G5372" i="40"/>
  <c r="G5373" i="40"/>
  <c r="G5374" i="40"/>
  <c r="G5375" i="40"/>
  <c r="G5376" i="40"/>
  <c r="G5377" i="40"/>
  <c r="G5378" i="40"/>
  <c r="G5379" i="40"/>
  <c r="G5380" i="40"/>
  <c r="G5381" i="40"/>
  <c r="G5382" i="40"/>
  <c r="G5383" i="40"/>
  <c r="G5384" i="40"/>
  <c r="G5385" i="40"/>
  <c r="G5386" i="40"/>
  <c r="G5387" i="40"/>
  <c r="G5388" i="40"/>
  <c r="G5389" i="40"/>
  <c r="G5390" i="40"/>
  <c r="G5391" i="40"/>
  <c r="G5392" i="40"/>
  <c r="G5393" i="40"/>
  <c r="G5394" i="40"/>
  <c r="G5395" i="40"/>
  <c r="G5396" i="40"/>
  <c r="G5397" i="40"/>
  <c r="G5398" i="40"/>
  <c r="G5399" i="40"/>
  <c r="G5400" i="40"/>
  <c r="G5401" i="40"/>
  <c r="G5402" i="40"/>
  <c r="G5403" i="40"/>
  <c r="G5404" i="40"/>
  <c r="G5405" i="40"/>
  <c r="G5406" i="40"/>
  <c r="G5407" i="40"/>
  <c r="G5408" i="40"/>
  <c r="G5409" i="40"/>
  <c r="G5410" i="40"/>
  <c r="G5411" i="40"/>
  <c r="G5412" i="40"/>
  <c r="G5413" i="40"/>
  <c r="G5414" i="40"/>
  <c r="G5415" i="40"/>
  <c r="G5416" i="40"/>
  <c r="G5417" i="40"/>
  <c r="G5418" i="40"/>
  <c r="G5419" i="40"/>
  <c r="G5420" i="40"/>
  <c r="G5421" i="40"/>
  <c r="G5422" i="40"/>
  <c r="G5423" i="40"/>
  <c r="G5424" i="40"/>
  <c r="G5425" i="40"/>
  <c r="G5426" i="40"/>
  <c r="G5427" i="40"/>
  <c r="G5428" i="40"/>
  <c r="G5429" i="40"/>
  <c r="G5430" i="40"/>
  <c r="G5431" i="40"/>
  <c r="G5432" i="40"/>
  <c r="G5433" i="40"/>
  <c r="G5434" i="40"/>
  <c r="G5435" i="40"/>
  <c r="G5436" i="40"/>
  <c r="G5437" i="40"/>
  <c r="G5438" i="40"/>
  <c r="G5439" i="40"/>
  <c r="G5440" i="40"/>
  <c r="G5441" i="40"/>
  <c r="G5442" i="40"/>
  <c r="G5443" i="40"/>
  <c r="G5444" i="40"/>
  <c r="G5445" i="40"/>
  <c r="G5446" i="40"/>
  <c r="G5447" i="40"/>
  <c r="G5448" i="40"/>
  <c r="G5449" i="40"/>
  <c r="G5450" i="40"/>
  <c r="G5451" i="40"/>
  <c r="G5452" i="40"/>
  <c r="G5453" i="40"/>
  <c r="G5454" i="40"/>
  <c r="G5455" i="40"/>
  <c r="G5456" i="40"/>
  <c r="G5457" i="40"/>
  <c r="G5458" i="40"/>
  <c r="G5459" i="40"/>
  <c r="G5460" i="40"/>
  <c r="G5461" i="40"/>
  <c r="G5462" i="40"/>
  <c r="G5463" i="40"/>
  <c r="G5464" i="40"/>
  <c r="G5465" i="40"/>
  <c r="G5466" i="40"/>
  <c r="G5467" i="40"/>
  <c r="G5468" i="40"/>
  <c r="G5469" i="40"/>
  <c r="G5470" i="40"/>
  <c r="G5471" i="40"/>
  <c r="G5472" i="40"/>
  <c r="G5473" i="40"/>
  <c r="G5474" i="40"/>
  <c r="G5475" i="40"/>
  <c r="G5476" i="40"/>
  <c r="G5477" i="40"/>
  <c r="G5478" i="40"/>
  <c r="G5479" i="40"/>
  <c r="G5480" i="40"/>
  <c r="G5481" i="40"/>
  <c r="G5482" i="40"/>
  <c r="G5483" i="40"/>
  <c r="G5484" i="40"/>
  <c r="G5485" i="40"/>
  <c r="G5486" i="40"/>
  <c r="G5487" i="40"/>
  <c r="G5488" i="40"/>
  <c r="G5489" i="40"/>
  <c r="G5490" i="40"/>
  <c r="G5491" i="40"/>
  <c r="G5492" i="40"/>
  <c r="G5493" i="40"/>
  <c r="G5494" i="40"/>
  <c r="G5495" i="40"/>
  <c r="G5496" i="40"/>
  <c r="G5497" i="40"/>
  <c r="G5498" i="40"/>
  <c r="G5499" i="40"/>
  <c r="G5500" i="40"/>
  <c r="G5501" i="40"/>
  <c r="G5502" i="40"/>
  <c r="G5503" i="40"/>
  <c r="G5504" i="40"/>
  <c r="G5505" i="40"/>
  <c r="G5506" i="40"/>
  <c r="G5507" i="40"/>
  <c r="G5508" i="40"/>
  <c r="G5509" i="40"/>
  <c r="G5510" i="40"/>
  <c r="G5511" i="40"/>
  <c r="G5512" i="40"/>
  <c r="G5513" i="40"/>
  <c r="G5514" i="40"/>
  <c r="G5515" i="40"/>
  <c r="G5516" i="40"/>
  <c r="G5517" i="40"/>
  <c r="G5518" i="40"/>
  <c r="G5519" i="40"/>
  <c r="G5520" i="40"/>
  <c r="G5521" i="40"/>
  <c r="G5522" i="40"/>
  <c r="G5523" i="40"/>
  <c r="G5524" i="40"/>
  <c r="G5525" i="40"/>
  <c r="G5526" i="40"/>
  <c r="G5527" i="40"/>
  <c r="G5528" i="40"/>
  <c r="G5529" i="40"/>
  <c r="G5530" i="40"/>
  <c r="G5531" i="40"/>
  <c r="G5532" i="40"/>
  <c r="G5533" i="40"/>
  <c r="G5534" i="40"/>
  <c r="G5535" i="40"/>
  <c r="G5536" i="40"/>
  <c r="G5537" i="40"/>
  <c r="G5538" i="40"/>
  <c r="G5539" i="40"/>
  <c r="G5540" i="40"/>
  <c r="G5541" i="40"/>
  <c r="G5542" i="40"/>
  <c r="G5543" i="40"/>
  <c r="G5544" i="40"/>
  <c r="G5545" i="40"/>
  <c r="G5546" i="40"/>
  <c r="G5547" i="40"/>
  <c r="G5548" i="40"/>
  <c r="G5549" i="40"/>
  <c r="G5550" i="40"/>
  <c r="G5551" i="40"/>
  <c r="G5552" i="40"/>
  <c r="G5553" i="40"/>
  <c r="G5554" i="40"/>
  <c r="G5555" i="40"/>
  <c r="G5556" i="40"/>
  <c r="G5557" i="40"/>
  <c r="G5558" i="40"/>
  <c r="G5559" i="40"/>
  <c r="G5560" i="40"/>
  <c r="G5561" i="40"/>
  <c r="G5562" i="40"/>
  <c r="G5563" i="40"/>
  <c r="G5564" i="40"/>
  <c r="G5565" i="40"/>
  <c r="G5566" i="40"/>
  <c r="G5567" i="40"/>
  <c r="G5568" i="40"/>
  <c r="G5569" i="40"/>
  <c r="G5570" i="40"/>
  <c r="G5571" i="40"/>
  <c r="G5572" i="40"/>
  <c r="G5573" i="40"/>
  <c r="G5574" i="40"/>
  <c r="G5575" i="40"/>
  <c r="G5576" i="40"/>
  <c r="G5577" i="40"/>
  <c r="G5578" i="40"/>
  <c r="G5579" i="40"/>
  <c r="G5580" i="40"/>
  <c r="G5581" i="40"/>
  <c r="G5582" i="40"/>
  <c r="G5583" i="40"/>
  <c r="G5584" i="40"/>
  <c r="G5585" i="40"/>
  <c r="G5586" i="40"/>
  <c r="G5587" i="40"/>
  <c r="G5588" i="40"/>
  <c r="G5589" i="40"/>
  <c r="G5590" i="40"/>
  <c r="G5591" i="40"/>
  <c r="G5592" i="40"/>
  <c r="G5593" i="40"/>
  <c r="G5594" i="40"/>
  <c r="G5595" i="40"/>
  <c r="G5596" i="40"/>
  <c r="G5597" i="40"/>
  <c r="G5598" i="40"/>
  <c r="G5599" i="40"/>
  <c r="G5600" i="40"/>
  <c r="G5601" i="40"/>
  <c r="G5602" i="40"/>
  <c r="G5603" i="40"/>
  <c r="G5604" i="40"/>
  <c r="G5605" i="40"/>
  <c r="G5606" i="40"/>
  <c r="G5607" i="40"/>
  <c r="G5608" i="40"/>
  <c r="G5609" i="40"/>
  <c r="G5610" i="40"/>
  <c r="G5611" i="40"/>
  <c r="G5612" i="40"/>
  <c r="G5613" i="40"/>
  <c r="G5614" i="40"/>
  <c r="G5615" i="40"/>
  <c r="G5616" i="40"/>
  <c r="G5617" i="40"/>
  <c r="G5618" i="40"/>
  <c r="G5619" i="40"/>
  <c r="G5620" i="40"/>
  <c r="G5621" i="40"/>
  <c r="G5622" i="40"/>
  <c r="G5623" i="40"/>
  <c r="G5624" i="40"/>
  <c r="G5625" i="40"/>
  <c r="G5626" i="40"/>
  <c r="G5627" i="40"/>
  <c r="G5628" i="40"/>
  <c r="G5629" i="40"/>
  <c r="G5630" i="40"/>
  <c r="G5631" i="40"/>
  <c r="G5632" i="40"/>
  <c r="G5633" i="40"/>
  <c r="G5634" i="40"/>
  <c r="G5635" i="40"/>
  <c r="G5636" i="40"/>
  <c r="G5637" i="40"/>
  <c r="G5638" i="40"/>
  <c r="G5639" i="40"/>
  <c r="G5640" i="40"/>
  <c r="G5641" i="40"/>
  <c r="G5642" i="40"/>
  <c r="G5643" i="40"/>
  <c r="G5644" i="40"/>
  <c r="G5645" i="40"/>
  <c r="G5646" i="40"/>
  <c r="G5647" i="40"/>
  <c r="G5648" i="40"/>
  <c r="G5649" i="40"/>
  <c r="G5650" i="40"/>
  <c r="G5651" i="40"/>
  <c r="G5652" i="40"/>
  <c r="G5653" i="40"/>
  <c r="G5654" i="40"/>
  <c r="G5655" i="40"/>
  <c r="G5656" i="40"/>
  <c r="G5657" i="40"/>
  <c r="G5658" i="40"/>
  <c r="G5659" i="40"/>
  <c r="G5660" i="40"/>
  <c r="G5661" i="40"/>
  <c r="G5662" i="40"/>
  <c r="G5663" i="40"/>
  <c r="G5664" i="40"/>
  <c r="G5665" i="40"/>
  <c r="G5666" i="40"/>
  <c r="G5667" i="40"/>
  <c r="G5668" i="40"/>
  <c r="G5669" i="40"/>
  <c r="G5670" i="40"/>
  <c r="G5671" i="40"/>
  <c r="G5672" i="40"/>
  <c r="G5673" i="40"/>
  <c r="G5674" i="40"/>
  <c r="G5675" i="40"/>
  <c r="G5676" i="40"/>
  <c r="G5677" i="40"/>
  <c r="G5678" i="40"/>
  <c r="G5679" i="40"/>
  <c r="G5680" i="40"/>
  <c r="G5681" i="40"/>
  <c r="G5682" i="40"/>
  <c r="G5683" i="40"/>
  <c r="G5684" i="40"/>
  <c r="G5685" i="40"/>
  <c r="G5686" i="40"/>
  <c r="G5687" i="40"/>
  <c r="G5688" i="40"/>
  <c r="G5689" i="40"/>
  <c r="G5690" i="40"/>
  <c r="G5691" i="40"/>
  <c r="G5692" i="40"/>
  <c r="G5693" i="40"/>
  <c r="G5694" i="40"/>
  <c r="G5695" i="40"/>
  <c r="G5696" i="40"/>
  <c r="G5697" i="40"/>
  <c r="G5698" i="40"/>
  <c r="G5699" i="40"/>
  <c r="G5700" i="40"/>
  <c r="G5701" i="40"/>
  <c r="G5702" i="40"/>
  <c r="G5703" i="40"/>
  <c r="G5704" i="40"/>
  <c r="G5705" i="40"/>
  <c r="G5706" i="40"/>
  <c r="G5707" i="40"/>
  <c r="G5708" i="40"/>
  <c r="G5709" i="40"/>
  <c r="G5710" i="40"/>
  <c r="G5711" i="40"/>
  <c r="G5712" i="40"/>
  <c r="G5713" i="40"/>
  <c r="G5714" i="40"/>
  <c r="G5715" i="40"/>
  <c r="G5716" i="40"/>
  <c r="G5717" i="40"/>
  <c r="G5718" i="40"/>
  <c r="G5719" i="40"/>
  <c r="G5720" i="40"/>
  <c r="G5721" i="40"/>
  <c r="G5722" i="40"/>
  <c r="G5723" i="40"/>
  <c r="G5724" i="40"/>
  <c r="G5725" i="40"/>
  <c r="G5726" i="40"/>
  <c r="G5727" i="40"/>
  <c r="G5728" i="40"/>
  <c r="G5729" i="40"/>
  <c r="G5730" i="40"/>
  <c r="G5731" i="40"/>
  <c r="G5732" i="40"/>
  <c r="G5733" i="40"/>
  <c r="G5734" i="40"/>
  <c r="G5735" i="40"/>
  <c r="G5736" i="40"/>
  <c r="G5737" i="40"/>
  <c r="G5738" i="40"/>
  <c r="G5739" i="40"/>
  <c r="G5740" i="40"/>
  <c r="G5741" i="40"/>
  <c r="G5742" i="40"/>
  <c r="G5743" i="40"/>
  <c r="G5744" i="40"/>
  <c r="G5745" i="40"/>
  <c r="G5746" i="40"/>
  <c r="G5747" i="40"/>
  <c r="G5748" i="40"/>
  <c r="G5749" i="40"/>
  <c r="G5750" i="40"/>
  <c r="G5751" i="40"/>
  <c r="G5752" i="40"/>
  <c r="G5753" i="40"/>
  <c r="G5754" i="40"/>
  <c r="G5755" i="40"/>
  <c r="G5756" i="40"/>
  <c r="G5757" i="40"/>
  <c r="G5758" i="40"/>
  <c r="G5759" i="40"/>
  <c r="G5760" i="40"/>
  <c r="G5761" i="40"/>
  <c r="G5762" i="40"/>
  <c r="G5763" i="40"/>
  <c r="G5764" i="40"/>
  <c r="G5765" i="40"/>
  <c r="G5766" i="40"/>
  <c r="G5767" i="40"/>
  <c r="G5768" i="40"/>
  <c r="G5769" i="40"/>
  <c r="G5770" i="40"/>
  <c r="G5771" i="40"/>
  <c r="G5772" i="40"/>
  <c r="G5773" i="40"/>
  <c r="G5774" i="40"/>
  <c r="G5775" i="40"/>
  <c r="G5776" i="40"/>
  <c r="G5777" i="40"/>
  <c r="G5778" i="40"/>
  <c r="G5779" i="40"/>
  <c r="G5780" i="40"/>
  <c r="G5781" i="40"/>
  <c r="G5782" i="40"/>
  <c r="G5783" i="40"/>
  <c r="G5784" i="40"/>
  <c r="G5785" i="40"/>
  <c r="G5786" i="40"/>
  <c r="G5787" i="40"/>
  <c r="G5788" i="40"/>
  <c r="G5789" i="40"/>
  <c r="G5790" i="40"/>
  <c r="G5791" i="40"/>
  <c r="G5792" i="40"/>
  <c r="G5793" i="40"/>
  <c r="G5794" i="40"/>
  <c r="G5795" i="40"/>
  <c r="G5796" i="40"/>
  <c r="G5797" i="40"/>
  <c r="G5798" i="40"/>
  <c r="G5799" i="40"/>
  <c r="G5800" i="40"/>
  <c r="G5801" i="40"/>
  <c r="G5802" i="40"/>
  <c r="G5803" i="40"/>
  <c r="G5804" i="40"/>
  <c r="G5805" i="40"/>
  <c r="G5806" i="40"/>
  <c r="G5807" i="40"/>
  <c r="G5808" i="40"/>
  <c r="G5809" i="40"/>
  <c r="G5810" i="40"/>
  <c r="G5811" i="40"/>
  <c r="G5812" i="40"/>
  <c r="G5813" i="40"/>
  <c r="G5814" i="40"/>
  <c r="G5815" i="40"/>
  <c r="G5816" i="40"/>
  <c r="G5817" i="40"/>
  <c r="G5818" i="40"/>
  <c r="G5819" i="40"/>
  <c r="G5820" i="40"/>
  <c r="G5821" i="40"/>
  <c r="G5822" i="40"/>
  <c r="G5823" i="40"/>
  <c r="G5824" i="40"/>
  <c r="G5825" i="40"/>
  <c r="G5826" i="40"/>
  <c r="G5827" i="40"/>
  <c r="G5828" i="40"/>
  <c r="G5829" i="40"/>
  <c r="G5830" i="40"/>
  <c r="G5831" i="40"/>
  <c r="G5832" i="40"/>
  <c r="G5833" i="40"/>
  <c r="G5834" i="40"/>
  <c r="G5835" i="40"/>
  <c r="G5836" i="40"/>
  <c r="G5837" i="40"/>
  <c r="G5838" i="40"/>
  <c r="G5839" i="40"/>
  <c r="G5840" i="40"/>
  <c r="G5841" i="40"/>
  <c r="G5842" i="40"/>
  <c r="G5843" i="40"/>
  <c r="G5844" i="40"/>
  <c r="G5845" i="40"/>
  <c r="G5846" i="40"/>
  <c r="G5847" i="40"/>
  <c r="G5848" i="40"/>
  <c r="G5849" i="40"/>
  <c r="G5850" i="40"/>
  <c r="G5851" i="40"/>
  <c r="G5852" i="40"/>
  <c r="G5853" i="40"/>
  <c r="G5854" i="40"/>
  <c r="G5855" i="40"/>
  <c r="G5856" i="40"/>
  <c r="G5857" i="40"/>
  <c r="G5858" i="40"/>
  <c r="G5859" i="40"/>
  <c r="G5860" i="40"/>
  <c r="G5861" i="40"/>
  <c r="G5862" i="40"/>
  <c r="G5863" i="40"/>
  <c r="G5864" i="40"/>
  <c r="G5865" i="40"/>
  <c r="G5866" i="40"/>
  <c r="G5867" i="40"/>
  <c r="G5868" i="40"/>
  <c r="G5869" i="40"/>
  <c r="G5870" i="40"/>
  <c r="G5871" i="40"/>
  <c r="G5872" i="40"/>
  <c r="G5873" i="40"/>
  <c r="G5874" i="40"/>
  <c r="G5875" i="40"/>
  <c r="G5876" i="40"/>
  <c r="G5877" i="40"/>
  <c r="G5878" i="40"/>
  <c r="G5879" i="40"/>
  <c r="G5880" i="40"/>
  <c r="G5881" i="40"/>
  <c r="G5882" i="40"/>
  <c r="G5883" i="40"/>
  <c r="G5884" i="40"/>
  <c r="G5885" i="40"/>
  <c r="G5886" i="40"/>
  <c r="G5887" i="40"/>
  <c r="G5888" i="40"/>
  <c r="G5889" i="40"/>
  <c r="G5890" i="40"/>
  <c r="G5891" i="40"/>
  <c r="G5892" i="40"/>
  <c r="G5893" i="40"/>
  <c r="G5894" i="40"/>
  <c r="G5895" i="40"/>
  <c r="G5896" i="40"/>
  <c r="G5897" i="40"/>
  <c r="G5898" i="40"/>
  <c r="G5899" i="40"/>
  <c r="G5900" i="40"/>
  <c r="G5901" i="40"/>
  <c r="G5902" i="40"/>
  <c r="G5903" i="40"/>
  <c r="G5904" i="40"/>
  <c r="G5905" i="40"/>
  <c r="G5906" i="40"/>
  <c r="G5907" i="40"/>
  <c r="G5908" i="40"/>
  <c r="G5909" i="40"/>
  <c r="G5910" i="40"/>
  <c r="G5911" i="40"/>
  <c r="G5912" i="40"/>
  <c r="G5913" i="40"/>
  <c r="G5914" i="40"/>
  <c r="G5915" i="40"/>
  <c r="G5916" i="40"/>
  <c r="G5917" i="40"/>
  <c r="G5918" i="40"/>
  <c r="G5919" i="40"/>
  <c r="G5920" i="40"/>
  <c r="G5921" i="40"/>
  <c r="G5922" i="40"/>
  <c r="G5923" i="40"/>
  <c r="G5924" i="40"/>
  <c r="G5925" i="40"/>
  <c r="G5926" i="40"/>
  <c r="G5927" i="40"/>
  <c r="G5928" i="40"/>
  <c r="G5929" i="40"/>
  <c r="G5930" i="40"/>
  <c r="G5931" i="40"/>
  <c r="G5932" i="40"/>
  <c r="G5933" i="40"/>
  <c r="G5934" i="40"/>
  <c r="G5935" i="40"/>
  <c r="G5936" i="40"/>
  <c r="G5937" i="40"/>
  <c r="G5938" i="40"/>
  <c r="G5939" i="40"/>
  <c r="G5940" i="40"/>
  <c r="G5941" i="40"/>
  <c r="G5942" i="40"/>
  <c r="G5943" i="40"/>
  <c r="G5944" i="40"/>
  <c r="G5945" i="40"/>
  <c r="G5946" i="40"/>
  <c r="G5947" i="40"/>
  <c r="G5948" i="40"/>
  <c r="G5949" i="40"/>
  <c r="G5950" i="40"/>
  <c r="G5951" i="40"/>
  <c r="G5952" i="40"/>
  <c r="G5953" i="40"/>
  <c r="G5954" i="40"/>
  <c r="G5955" i="40"/>
  <c r="G5956" i="40"/>
  <c r="G5957" i="40"/>
  <c r="G5958" i="40"/>
  <c r="G5959" i="40"/>
  <c r="G5960" i="40"/>
  <c r="G5961" i="40"/>
  <c r="G5962" i="40"/>
  <c r="G5963" i="40"/>
  <c r="G5964" i="40"/>
  <c r="G5965" i="40"/>
  <c r="G5966" i="40"/>
  <c r="G5967" i="40"/>
  <c r="G5968" i="40"/>
  <c r="G5969" i="40"/>
  <c r="G5970" i="40"/>
  <c r="G5971" i="40"/>
  <c r="G5972" i="40"/>
  <c r="G5973" i="40"/>
  <c r="G5974" i="40"/>
  <c r="G5975" i="40"/>
  <c r="G5976" i="40"/>
  <c r="G5977" i="40"/>
  <c r="G5978" i="40"/>
  <c r="G5979" i="40"/>
  <c r="G5980" i="40"/>
  <c r="G5981" i="40"/>
  <c r="G5982" i="40"/>
  <c r="G5983" i="40"/>
  <c r="G5984" i="40"/>
  <c r="G5985" i="40"/>
  <c r="G5986" i="40"/>
  <c r="G5987" i="40"/>
  <c r="G5988" i="40"/>
  <c r="G5989" i="40"/>
  <c r="G5990" i="40"/>
  <c r="G5991" i="40"/>
  <c r="G5992" i="40"/>
  <c r="G5993" i="40"/>
  <c r="G5994" i="40"/>
  <c r="G5995" i="40"/>
  <c r="G5996" i="40"/>
  <c r="G5997" i="40"/>
  <c r="G5998" i="40"/>
  <c r="G5999" i="40"/>
  <c r="G6000" i="40"/>
  <c r="G6001" i="40"/>
  <c r="G6002" i="40"/>
  <c r="G6003" i="40"/>
  <c r="G6004" i="40"/>
  <c r="G6005" i="40"/>
  <c r="G6006" i="40"/>
  <c r="G6007" i="40"/>
  <c r="G6008" i="40"/>
  <c r="G6009" i="40"/>
  <c r="G6010" i="40"/>
  <c r="G6011" i="40"/>
  <c r="G6012" i="40"/>
  <c r="G6013" i="40"/>
  <c r="G6014" i="40"/>
  <c r="G6015" i="40"/>
  <c r="G6016" i="40"/>
  <c r="G6017" i="40"/>
  <c r="G6018" i="40"/>
  <c r="G6019" i="40"/>
  <c r="G6020" i="40"/>
  <c r="G6021" i="40"/>
  <c r="G6022" i="40"/>
  <c r="G6023" i="40"/>
  <c r="G6024" i="40"/>
  <c r="G6025" i="40"/>
  <c r="G6026" i="40"/>
  <c r="G6027" i="40"/>
  <c r="G6028" i="40"/>
  <c r="G6029" i="40"/>
  <c r="G6030" i="40"/>
  <c r="G6031" i="40"/>
  <c r="G6032" i="40"/>
  <c r="G6033" i="40"/>
  <c r="G6034" i="40"/>
  <c r="G6035" i="40"/>
  <c r="G6036" i="40"/>
  <c r="G6037" i="40"/>
  <c r="G6038" i="40"/>
  <c r="G6039" i="40"/>
  <c r="G6040" i="40"/>
  <c r="G6041" i="40"/>
  <c r="G6042" i="40"/>
  <c r="G6043" i="40"/>
  <c r="G6044" i="40"/>
  <c r="G6045" i="40"/>
  <c r="G6046" i="40"/>
  <c r="G6047" i="40"/>
  <c r="G6048" i="40"/>
  <c r="G6049" i="40"/>
  <c r="G6050" i="40"/>
  <c r="G6051" i="40"/>
  <c r="G6052" i="40"/>
  <c r="G6053" i="40"/>
  <c r="G6054" i="40"/>
  <c r="G6055" i="40"/>
  <c r="G6056" i="40"/>
  <c r="G6057" i="40"/>
  <c r="G6058" i="40"/>
  <c r="G6059" i="40"/>
  <c r="G6060" i="40"/>
  <c r="G6061" i="40"/>
  <c r="G6062" i="40"/>
  <c r="G6063" i="40"/>
  <c r="G6064" i="40"/>
  <c r="G6065" i="40"/>
  <c r="G6066" i="40"/>
  <c r="G6067" i="40"/>
  <c r="G6068" i="40"/>
  <c r="G6069" i="40"/>
  <c r="G6070" i="40"/>
  <c r="G6071" i="40"/>
  <c r="G6072" i="40"/>
  <c r="G6073" i="40"/>
  <c r="G6074" i="40"/>
  <c r="G6075" i="40"/>
  <c r="G6076" i="40"/>
  <c r="G6077" i="40"/>
  <c r="G6078" i="40"/>
  <c r="G6079" i="40"/>
  <c r="G6080" i="40"/>
  <c r="G6081" i="40"/>
  <c r="G6082" i="40"/>
  <c r="G6083" i="40"/>
  <c r="G6084" i="40"/>
  <c r="G6085" i="40"/>
  <c r="G6086" i="40"/>
  <c r="G6087" i="40"/>
  <c r="G6088" i="40"/>
  <c r="G6089" i="40"/>
  <c r="G6090" i="40"/>
  <c r="G6091" i="40"/>
  <c r="G6092" i="40"/>
  <c r="G6093" i="40"/>
  <c r="G6094" i="40"/>
  <c r="G6095" i="40"/>
  <c r="G6096" i="40"/>
  <c r="G6097" i="40"/>
  <c r="G6098" i="40"/>
  <c r="G6099" i="40"/>
  <c r="G6100" i="40"/>
  <c r="G6101" i="40"/>
  <c r="G6102" i="40"/>
  <c r="G6103" i="40"/>
  <c r="G6104" i="40"/>
  <c r="G6105" i="40"/>
  <c r="G6106" i="40"/>
  <c r="G6107" i="40"/>
  <c r="G6108" i="40"/>
  <c r="G6109" i="40"/>
  <c r="G6110" i="40"/>
  <c r="G6111" i="40"/>
  <c r="G6112" i="40"/>
  <c r="G6113" i="40"/>
  <c r="G6114" i="40"/>
  <c r="G6115" i="40"/>
  <c r="G6116" i="40"/>
  <c r="G6117" i="40"/>
  <c r="G6118" i="40"/>
  <c r="G6119" i="40"/>
  <c r="G6120" i="40"/>
  <c r="G6121" i="40"/>
  <c r="G6122" i="40"/>
  <c r="G6123" i="40"/>
  <c r="G6124" i="40"/>
  <c r="G6125" i="40"/>
  <c r="G6126" i="40"/>
  <c r="G6127" i="40"/>
  <c r="G6128" i="40"/>
  <c r="G6129" i="40"/>
  <c r="G6130" i="40"/>
  <c r="G6131" i="40"/>
  <c r="G6132" i="40"/>
  <c r="G6133" i="40"/>
  <c r="G6134" i="40"/>
  <c r="G6135" i="40"/>
  <c r="G6136" i="40"/>
  <c r="G6137" i="40"/>
  <c r="G6138" i="40"/>
  <c r="G6139" i="40"/>
  <c r="G6140" i="40"/>
  <c r="G6141" i="40"/>
  <c r="G6142" i="40"/>
  <c r="G6143" i="40"/>
  <c r="G6144" i="40"/>
  <c r="G6145" i="40"/>
  <c r="G6146" i="40"/>
  <c r="G6147" i="40"/>
  <c r="G6148" i="40"/>
  <c r="G6149" i="40"/>
  <c r="G6150" i="40"/>
  <c r="G6151" i="40"/>
  <c r="G6152" i="40"/>
  <c r="G6153" i="40"/>
  <c r="G6154" i="40"/>
  <c r="G6155" i="40"/>
  <c r="G6156" i="40"/>
  <c r="G6157" i="40"/>
  <c r="G6158" i="40"/>
  <c r="G6159" i="40"/>
  <c r="G6160" i="40"/>
  <c r="G6161" i="40"/>
  <c r="G6162" i="40"/>
  <c r="G6163" i="40"/>
  <c r="G6164" i="40"/>
  <c r="G6165" i="40"/>
  <c r="G6166" i="40"/>
  <c r="G6167" i="40"/>
  <c r="G6168" i="40"/>
  <c r="G6169" i="40"/>
  <c r="G6170" i="40"/>
  <c r="G6171" i="40"/>
  <c r="G6172" i="40"/>
  <c r="G6173" i="40"/>
  <c r="G6174" i="40"/>
  <c r="G6175" i="40"/>
  <c r="G6176" i="40"/>
  <c r="G6177" i="40"/>
  <c r="G6178" i="40"/>
  <c r="G6179" i="40"/>
  <c r="G6180" i="40"/>
  <c r="G6181" i="40"/>
  <c r="G6182" i="40"/>
  <c r="G6183" i="40"/>
  <c r="G6184" i="40"/>
  <c r="G6185" i="40"/>
  <c r="G6186" i="40"/>
  <c r="G6187" i="40"/>
  <c r="G6188" i="40"/>
  <c r="G6189" i="40"/>
  <c r="G6190" i="40"/>
  <c r="G6191" i="40"/>
  <c r="G6192" i="40"/>
  <c r="G6193" i="40"/>
  <c r="G6194" i="40"/>
  <c r="G6195" i="40"/>
  <c r="G6196" i="40"/>
  <c r="G6197" i="40"/>
  <c r="G6198" i="40"/>
  <c r="G6199" i="40"/>
  <c r="G6200" i="40"/>
  <c r="G6201" i="40"/>
  <c r="G6202" i="40"/>
  <c r="G6203" i="40"/>
  <c r="G6204" i="40"/>
  <c r="G6205" i="40"/>
  <c r="G6206" i="40"/>
  <c r="G6207" i="40"/>
  <c r="G6208" i="40"/>
  <c r="G6209" i="40"/>
  <c r="G6210" i="40"/>
  <c r="G6211" i="40"/>
  <c r="G6212" i="40"/>
  <c r="G6213" i="40"/>
  <c r="G6214" i="40"/>
  <c r="G6215" i="40"/>
  <c r="G6216" i="40"/>
  <c r="G6217" i="40"/>
  <c r="G6218" i="40"/>
  <c r="G6219" i="40"/>
  <c r="G6220" i="40"/>
  <c r="G6221" i="40"/>
  <c r="G6222" i="40"/>
  <c r="G6223" i="40"/>
  <c r="G6224" i="40"/>
  <c r="G6225" i="40"/>
  <c r="G6226" i="40"/>
  <c r="G6227" i="40"/>
  <c r="G6228" i="40"/>
  <c r="G6229" i="40"/>
  <c r="G6230" i="40"/>
  <c r="G6231" i="40"/>
  <c r="G6232" i="40"/>
  <c r="G6233" i="40"/>
  <c r="G6234" i="40"/>
  <c r="G6235" i="40"/>
  <c r="G6236" i="40"/>
  <c r="G6237" i="40"/>
  <c r="G6238" i="40"/>
  <c r="G6239" i="40"/>
  <c r="G6240" i="40"/>
  <c r="G6241" i="40"/>
  <c r="G6242" i="40"/>
  <c r="G6243" i="40"/>
  <c r="G6244" i="40"/>
  <c r="G6245" i="40"/>
  <c r="G6246" i="40"/>
  <c r="G6247" i="40"/>
  <c r="G6248" i="40"/>
  <c r="G6249" i="40"/>
  <c r="G6250" i="40"/>
  <c r="G6251" i="40"/>
  <c r="G6252" i="40"/>
  <c r="G6253" i="40"/>
  <c r="G6254" i="40"/>
  <c r="G6255" i="40"/>
  <c r="G6256" i="40"/>
  <c r="G6257" i="40"/>
  <c r="G6258" i="40"/>
  <c r="G6259" i="40"/>
  <c r="G6260" i="40"/>
  <c r="G6261" i="40"/>
  <c r="G6262" i="40"/>
  <c r="G6263" i="40"/>
  <c r="G6264" i="40"/>
  <c r="G6265" i="40"/>
  <c r="G6266" i="40"/>
  <c r="G6267" i="40"/>
  <c r="G6268" i="40"/>
  <c r="G6269" i="40"/>
  <c r="G6270" i="40"/>
  <c r="G6271" i="40"/>
  <c r="G6272" i="40"/>
  <c r="G6273" i="40"/>
  <c r="G6274" i="40"/>
  <c r="G6275" i="40"/>
  <c r="G6276" i="40"/>
  <c r="G6277" i="40"/>
  <c r="G6278" i="40"/>
  <c r="G6279" i="40"/>
  <c r="G6280" i="40"/>
  <c r="G6281" i="40"/>
  <c r="G6282" i="40"/>
  <c r="G6283" i="40"/>
  <c r="G6284" i="40"/>
  <c r="G6285" i="40"/>
  <c r="G6286" i="40"/>
  <c r="G6287" i="40"/>
  <c r="G6288" i="40"/>
  <c r="G6289" i="40"/>
  <c r="G6290" i="40"/>
  <c r="G6291" i="40"/>
  <c r="G6292" i="40"/>
  <c r="G6293" i="40"/>
  <c r="G6294" i="40"/>
  <c r="G6295" i="40"/>
  <c r="G6296" i="40"/>
  <c r="G6297" i="40"/>
  <c r="G6298" i="40"/>
  <c r="G6299" i="40"/>
  <c r="G6300" i="40"/>
  <c r="G6301" i="40"/>
  <c r="G6302" i="40"/>
  <c r="G6303" i="40"/>
  <c r="G6304" i="40"/>
  <c r="G6305" i="40"/>
  <c r="G6306" i="40"/>
  <c r="G6307" i="40"/>
  <c r="G6308" i="40"/>
  <c r="G6309" i="40"/>
  <c r="G6310" i="40"/>
  <c r="G6311" i="40"/>
  <c r="G6312" i="40"/>
  <c r="G6313" i="40"/>
  <c r="G6314" i="40"/>
  <c r="G6315" i="40"/>
  <c r="G6316" i="40"/>
  <c r="G6317" i="40"/>
  <c r="G6318" i="40"/>
  <c r="G6319" i="40"/>
  <c r="G6320" i="40"/>
  <c r="G6321" i="40"/>
  <c r="G6322" i="40"/>
  <c r="G6323" i="40"/>
  <c r="G6324" i="40"/>
  <c r="G6325" i="40"/>
  <c r="G6326" i="40"/>
  <c r="G6327" i="40"/>
  <c r="G6328" i="40"/>
  <c r="G6329" i="40"/>
  <c r="G6330" i="40"/>
  <c r="G6331" i="40"/>
  <c r="G6332" i="40"/>
  <c r="G6333" i="40"/>
  <c r="G6334" i="40"/>
  <c r="G6335" i="40"/>
  <c r="G6336" i="40"/>
  <c r="G6337" i="40"/>
  <c r="G6338" i="40"/>
  <c r="G6339" i="40"/>
  <c r="G6340" i="40"/>
  <c r="G6341" i="40"/>
  <c r="G6342" i="40"/>
  <c r="G6343" i="40"/>
  <c r="G6344" i="40"/>
  <c r="G6345" i="40"/>
  <c r="G6346" i="40"/>
  <c r="G6347" i="40"/>
  <c r="G6348" i="40"/>
  <c r="G6349" i="40"/>
  <c r="G6350" i="40"/>
  <c r="G6351" i="40"/>
  <c r="G6352" i="40"/>
  <c r="G6353" i="40"/>
  <c r="G6354" i="40"/>
  <c r="G6355" i="40"/>
  <c r="G6356" i="40"/>
  <c r="G6357" i="40"/>
  <c r="G6358" i="40"/>
  <c r="G6359" i="40"/>
  <c r="G6360" i="40"/>
  <c r="G6361" i="40"/>
  <c r="G6362" i="40"/>
  <c r="G6363" i="40"/>
  <c r="G6364" i="40"/>
  <c r="G6365" i="40"/>
  <c r="G6366" i="40"/>
  <c r="G6367" i="40"/>
  <c r="G6368" i="40"/>
  <c r="G6369" i="40"/>
  <c r="G6370" i="40"/>
  <c r="G6371" i="40"/>
  <c r="G6372" i="40"/>
  <c r="G6373" i="40"/>
  <c r="G6374" i="40"/>
  <c r="G6375" i="40"/>
  <c r="G6376" i="40"/>
  <c r="G6377" i="40"/>
  <c r="G6378" i="40"/>
  <c r="G6379" i="40"/>
  <c r="G6380" i="40"/>
  <c r="G6381" i="40"/>
  <c r="G6382" i="40"/>
  <c r="G6383" i="40"/>
  <c r="G6384" i="40"/>
  <c r="G6385" i="40"/>
  <c r="G6386" i="40"/>
  <c r="G6387" i="40"/>
  <c r="G6388" i="40"/>
  <c r="G6389" i="40"/>
  <c r="G6390" i="40"/>
  <c r="G6391" i="40"/>
  <c r="G6392" i="40"/>
  <c r="G6393" i="40"/>
  <c r="G6394" i="40"/>
  <c r="G6395" i="40"/>
  <c r="G6396" i="40"/>
  <c r="G6397" i="40"/>
  <c r="G6398" i="40"/>
  <c r="G6399" i="40"/>
  <c r="G6400" i="40"/>
  <c r="G6401" i="40"/>
  <c r="G6402" i="40"/>
  <c r="G6403" i="40"/>
  <c r="G6404" i="40"/>
  <c r="G6405" i="40"/>
  <c r="G6406" i="40"/>
  <c r="G6407" i="40"/>
  <c r="G6408" i="40"/>
  <c r="G6409" i="40"/>
  <c r="G6410" i="40"/>
  <c r="G6411" i="40"/>
  <c r="G6412" i="40"/>
  <c r="G6413" i="40"/>
  <c r="G6414" i="40"/>
  <c r="G6415" i="40"/>
  <c r="G6416" i="40"/>
  <c r="G6417" i="40"/>
  <c r="G6418" i="40"/>
  <c r="G6419" i="40"/>
  <c r="G6420" i="40"/>
  <c r="G6421" i="40"/>
  <c r="G6422" i="40"/>
  <c r="G6423" i="40"/>
  <c r="G6424" i="40"/>
  <c r="G6425" i="40"/>
  <c r="G6426" i="40"/>
  <c r="G6427" i="40"/>
  <c r="G6428" i="40"/>
  <c r="G6429" i="40"/>
  <c r="G6430" i="40"/>
  <c r="G6431" i="40"/>
  <c r="G6432" i="40"/>
  <c r="G6433" i="40"/>
  <c r="G6434" i="40"/>
  <c r="G6435" i="40"/>
  <c r="G6436" i="40"/>
  <c r="G6437" i="40"/>
  <c r="G6438" i="40"/>
  <c r="G6439" i="40"/>
  <c r="G6440" i="40"/>
  <c r="G6441" i="40"/>
  <c r="G6442" i="40"/>
  <c r="G6443" i="40"/>
  <c r="G6444" i="40"/>
  <c r="G6445" i="40"/>
  <c r="G6446" i="40"/>
  <c r="G6447" i="40"/>
  <c r="G6448" i="40"/>
  <c r="G6449" i="40"/>
  <c r="G6450" i="40"/>
  <c r="G6451" i="40"/>
  <c r="G6452" i="40"/>
  <c r="G6453" i="40"/>
  <c r="G6454" i="40"/>
  <c r="G6455" i="40"/>
  <c r="G6456" i="40"/>
  <c r="G6457" i="40"/>
  <c r="G6458" i="40"/>
  <c r="G6459" i="40"/>
  <c r="G6460" i="40"/>
  <c r="G6461" i="40"/>
  <c r="G6462" i="40"/>
  <c r="G6463" i="40"/>
  <c r="G6464" i="40"/>
  <c r="G6465" i="40"/>
  <c r="G6466" i="40"/>
  <c r="G6467" i="40"/>
  <c r="G6468" i="40"/>
  <c r="G6469" i="40"/>
  <c r="G6470" i="40"/>
  <c r="G6471" i="40"/>
  <c r="G6472" i="40"/>
  <c r="G6473" i="40"/>
  <c r="G6474" i="40"/>
  <c r="G6475" i="40"/>
  <c r="G6476" i="40"/>
  <c r="G6477" i="40"/>
  <c r="G6478" i="40"/>
  <c r="G6479" i="40"/>
  <c r="G6480" i="40"/>
  <c r="G6481" i="40"/>
  <c r="G6482" i="40"/>
  <c r="G6483" i="40"/>
  <c r="G6484" i="40"/>
  <c r="G6485" i="40"/>
  <c r="G6486" i="40"/>
  <c r="G6487" i="40"/>
  <c r="G6488" i="40"/>
  <c r="G6489" i="40"/>
  <c r="G6490" i="40"/>
  <c r="G6491" i="40"/>
  <c r="G6492" i="40"/>
  <c r="G6493" i="40"/>
  <c r="G6494" i="40"/>
  <c r="G6495" i="40"/>
  <c r="G6496" i="40"/>
  <c r="G6497" i="40"/>
  <c r="G6498" i="40"/>
  <c r="G6499" i="40"/>
  <c r="G6500" i="40"/>
  <c r="G6501" i="40"/>
  <c r="G6502" i="40"/>
  <c r="G6503" i="40"/>
  <c r="G6504" i="40"/>
  <c r="G6505" i="40"/>
  <c r="G6506" i="40"/>
  <c r="G6507" i="40"/>
  <c r="G6508" i="40"/>
  <c r="G6509" i="40"/>
  <c r="G6510" i="40"/>
  <c r="G6511" i="40"/>
  <c r="G6512" i="40"/>
  <c r="G6513" i="40"/>
  <c r="G6514" i="40"/>
  <c r="G6515" i="40"/>
  <c r="G6516" i="40"/>
  <c r="G6517" i="40"/>
  <c r="G6518" i="40"/>
  <c r="G6519" i="40"/>
  <c r="G6520" i="40"/>
  <c r="G6521" i="40"/>
  <c r="G6522" i="40"/>
  <c r="G6523" i="40"/>
  <c r="G6524" i="40"/>
  <c r="G6525" i="40"/>
  <c r="G6526" i="40"/>
  <c r="G6527" i="40"/>
  <c r="G6528" i="40"/>
  <c r="G6529" i="40"/>
  <c r="G6530" i="40"/>
  <c r="G6531" i="40"/>
  <c r="G6532" i="40"/>
  <c r="G6533" i="40"/>
  <c r="G6534" i="40"/>
  <c r="G6535" i="40"/>
  <c r="G6536" i="40"/>
  <c r="G6537" i="40"/>
  <c r="G6538" i="40"/>
  <c r="G6539" i="40"/>
  <c r="G6540" i="40"/>
  <c r="G6541" i="40"/>
  <c r="G6542" i="40"/>
  <c r="G6543" i="40"/>
  <c r="G6544" i="40"/>
  <c r="G6545" i="40"/>
  <c r="G6546" i="40"/>
  <c r="G6547" i="40"/>
  <c r="G6548" i="40"/>
  <c r="G6549" i="40"/>
  <c r="G6550" i="40"/>
  <c r="G6551" i="40"/>
  <c r="G6552" i="40"/>
  <c r="G6553" i="40"/>
  <c r="G6554" i="40"/>
  <c r="G6555" i="40"/>
  <c r="G6556" i="40"/>
  <c r="G6557" i="40"/>
  <c r="G6558" i="40"/>
  <c r="G6559" i="40"/>
  <c r="G6560" i="40"/>
  <c r="G6561" i="40"/>
  <c r="G6562" i="40"/>
  <c r="G6563" i="40"/>
  <c r="G6564" i="40"/>
  <c r="G6565" i="40"/>
  <c r="G6566" i="40"/>
  <c r="G6567" i="40"/>
  <c r="G6568" i="40"/>
  <c r="G6569" i="40"/>
  <c r="G6570" i="40"/>
  <c r="G6571" i="40"/>
  <c r="G6572" i="40"/>
  <c r="G6573" i="40"/>
  <c r="G6574" i="40"/>
  <c r="G6575" i="40"/>
  <c r="G6576" i="40"/>
  <c r="G6577" i="40"/>
  <c r="G6578" i="40"/>
  <c r="G6579" i="40"/>
  <c r="G6580" i="40"/>
  <c r="G6581" i="40"/>
  <c r="G6582" i="40"/>
  <c r="G6583" i="40"/>
  <c r="G6584" i="40"/>
  <c r="G6585" i="40"/>
  <c r="G6586" i="40"/>
  <c r="G6587" i="40"/>
  <c r="G6588" i="40"/>
  <c r="G6589" i="40"/>
  <c r="G6590" i="40"/>
  <c r="G6591" i="40"/>
  <c r="G6592" i="40"/>
  <c r="G6593" i="40"/>
  <c r="G6594" i="40"/>
  <c r="G6595" i="40"/>
  <c r="G6596" i="40"/>
  <c r="G6597" i="40"/>
  <c r="G6598" i="40"/>
  <c r="G6599" i="40"/>
  <c r="G6600" i="40"/>
  <c r="G6601" i="40"/>
  <c r="G6602" i="40"/>
  <c r="G6603" i="40"/>
  <c r="G6604" i="40"/>
  <c r="G6605" i="40"/>
  <c r="G6606" i="40"/>
  <c r="G6607" i="40"/>
  <c r="G6608" i="40"/>
  <c r="G6609" i="40"/>
  <c r="G6610" i="40"/>
  <c r="G6611" i="40"/>
  <c r="G6612" i="40"/>
  <c r="G6613" i="40"/>
  <c r="G6614" i="40"/>
  <c r="G6615" i="40"/>
  <c r="G6616" i="40"/>
  <c r="G6617" i="40"/>
  <c r="G6618" i="40"/>
  <c r="G6619" i="40"/>
  <c r="G6620" i="40"/>
  <c r="G6621" i="40"/>
  <c r="G6622" i="40"/>
  <c r="G6623" i="40"/>
  <c r="G6624" i="40"/>
  <c r="G6625" i="40"/>
  <c r="G6626" i="40"/>
  <c r="G6627" i="40"/>
  <c r="G6628" i="40"/>
  <c r="G6629" i="40"/>
  <c r="G6630" i="40"/>
  <c r="G6631" i="40"/>
  <c r="G6632" i="40"/>
  <c r="G6633" i="40"/>
  <c r="G6634" i="40"/>
  <c r="G6635" i="40"/>
  <c r="G6636" i="40"/>
  <c r="G6637" i="40"/>
  <c r="G6638" i="40"/>
  <c r="G6639" i="40"/>
  <c r="G6640" i="40"/>
  <c r="G6641" i="40"/>
  <c r="G6642" i="40"/>
  <c r="G6643" i="40"/>
  <c r="G6644" i="40"/>
  <c r="G6645" i="40"/>
  <c r="G6646" i="40"/>
  <c r="G6647" i="40"/>
  <c r="G6648" i="40"/>
  <c r="G6649" i="40"/>
  <c r="G6650" i="40"/>
  <c r="G6651" i="40"/>
  <c r="G6652" i="40"/>
  <c r="G6653" i="40"/>
  <c r="G6654" i="40"/>
  <c r="G6655" i="40"/>
  <c r="G6656" i="40"/>
  <c r="G6657" i="40"/>
  <c r="G6658" i="40"/>
  <c r="G6659" i="40"/>
  <c r="G6660" i="40"/>
  <c r="G6661" i="40"/>
  <c r="G6662" i="40"/>
  <c r="G6663" i="40"/>
  <c r="G6664" i="40"/>
  <c r="G6665" i="40"/>
  <c r="G6666" i="40"/>
  <c r="G6667" i="40"/>
  <c r="G6668" i="40"/>
  <c r="G6669" i="40"/>
  <c r="G6670" i="40"/>
  <c r="G6671" i="40"/>
  <c r="G6672" i="40"/>
  <c r="G6673" i="40"/>
  <c r="G6674" i="40"/>
  <c r="G6675" i="40"/>
  <c r="G6676" i="40"/>
  <c r="G6677" i="40"/>
  <c r="G6678" i="40"/>
  <c r="G6679" i="40"/>
  <c r="G6680" i="40"/>
  <c r="G6681" i="40"/>
  <c r="G6682" i="40"/>
  <c r="G6683" i="40"/>
  <c r="G6684" i="40"/>
  <c r="G6685" i="40"/>
  <c r="G6686" i="40"/>
  <c r="G6687" i="40"/>
  <c r="G6688" i="40"/>
  <c r="G6689" i="40"/>
  <c r="G6690" i="40"/>
  <c r="G6691" i="40"/>
  <c r="G6692" i="40"/>
  <c r="G6693" i="40"/>
  <c r="G6694" i="40"/>
  <c r="G6695" i="40"/>
  <c r="G6696" i="40"/>
  <c r="G6697" i="40"/>
  <c r="G6698" i="40"/>
  <c r="G6699" i="40"/>
  <c r="G6700" i="40"/>
  <c r="G6701" i="40"/>
  <c r="G6702" i="40"/>
  <c r="G6703" i="40"/>
  <c r="G6704" i="40"/>
  <c r="G6705" i="40"/>
  <c r="G6706" i="40"/>
  <c r="G6707" i="40"/>
  <c r="G6708" i="40"/>
  <c r="G6709" i="40"/>
  <c r="G6710" i="40"/>
  <c r="G6711" i="40"/>
  <c r="G6712" i="40"/>
  <c r="G6713" i="40"/>
  <c r="G6714" i="40"/>
  <c r="G6715" i="40"/>
  <c r="G6716" i="40"/>
  <c r="G6717" i="40"/>
  <c r="G6718" i="40"/>
  <c r="G6719" i="40"/>
  <c r="G6720" i="40"/>
  <c r="G6721" i="40"/>
  <c r="G6722" i="40"/>
  <c r="G6723" i="40"/>
  <c r="G6724" i="40"/>
  <c r="G6725" i="40"/>
  <c r="G6726" i="40"/>
  <c r="G6727" i="40"/>
  <c r="G6728" i="40"/>
  <c r="G6729" i="40"/>
  <c r="G6730" i="40"/>
  <c r="G6731" i="40"/>
  <c r="G6732" i="40"/>
  <c r="G6733" i="40"/>
  <c r="G6734" i="40"/>
  <c r="G6735" i="40"/>
  <c r="G6736" i="40"/>
  <c r="G6737" i="40"/>
  <c r="G6738" i="40"/>
  <c r="G6739" i="40"/>
  <c r="G6740" i="40"/>
  <c r="G6741" i="40"/>
  <c r="G6742" i="40"/>
  <c r="G6743" i="40"/>
  <c r="G6744" i="40"/>
  <c r="G6745" i="40"/>
  <c r="G6746" i="40"/>
  <c r="G6747" i="40"/>
  <c r="G6748" i="40"/>
  <c r="G6749" i="40"/>
  <c r="G6750" i="40"/>
  <c r="G6751" i="40"/>
  <c r="G6752" i="40"/>
  <c r="G6753" i="40"/>
  <c r="G6754" i="40"/>
  <c r="G6755" i="40"/>
  <c r="G6756" i="40"/>
  <c r="G6757" i="40"/>
  <c r="G6758" i="40"/>
  <c r="G6759" i="40"/>
  <c r="G6760" i="40"/>
  <c r="G6761" i="40"/>
  <c r="G6762" i="40"/>
  <c r="G6763" i="40"/>
  <c r="G6764" i="40"/>
  <c r="G6765" i="40"/>
  <c r="G6766" i="40"/>
  <c r="G6767" i="40"/>
  <c r="G6768" i="40"/>
  <c r="G6769" i="40"/>
  <c r="G6770" i="40"/>
  <c r="G6771" i="40"/>
  <c r="G6772" i="40"/>
  <c r="G6773" i="40"/>
  <c r="G6774" i="40"/>
  <c r="G6775" i="40"/>
  <c r="G6776" i="40"/>
  <c r="G6777" i="40"/>
  <c r="G6778" i="40"/>
  <c r="G6779" i="40"/>
  <c r="G6780" i="40"/>
  <c r="G6781" i="40"/>
  <c r="G6782" i="40"/>
  <c r="G6783" i="40"/>
  <c r="G6784" i="40"/>
  <c r="G6785" i="40"/>
  <c r="G6786" i="40"/>
  <c r="G6787" i="40"/>
  <c r="G6788" i="40"/>
  <c r="G6789" i="40"/>
  <c r="G6790" i="40"/>
  <c r="G6791" i="40"/>
  <c r="G6792" i="40"/>
  <c r="G6793" i="40"/>
  <c r="G6794" i="40"/>
  <c r="G6795" i="40"/>
  <c r="G6796" i="40"/>
  <c r="G6797" i="40"/>
  <c r="G6798" i="40"/>
  <c r="G6799" i="40"/>
  <c r="G6800" i="40"/>
  <c r="G6801" i="40"/>
  <c r="G6802" i="40"/>
  <c r="G6803" i="40"/>
  <c r="G6804" i="40"/>
  <c r="G6805" i="40"/>
  <c r="G6806" i="40"/>
  <c r="G6807" i="40"/>
  <c r="G6808" i="40"/>
  <c r="G6809" i="40"/>
  <c r="G6810" i="40"/>
  <c r="G6811" i="40"/>
  <c r="G6812" i="40"/>
  <c r="G6813" i="40"/>
  <c r="G6814" i="40"/>
  <c r="G6815" i="40"/>
  <c r="G6816" i="40"/>
  <c r="G6817" i="40"/>
  <c r="G6818" i="40"/>
  <c r="G6819" i="40"/>
  <c r="G6820" i="40"/>
  <c r="G6821" i="40"/>
  <c r="G6822" i="40"/>
  <c r="G6823" i="40"/>
  <c r="G6824" i="40"/>
  <c r="G6825" i="40"/>
  <c r="G6826" i="40"/>
  <c r="G6827" i="40"/>
  <c r="G6828" i="40"/>
  <c r="G6829" i="40"/>
  <c r="G6830" i="40"/>
  <c r="G6831" i="40"/>
  <c r="G6832" i="40"/>
  <c r="G6833" i="40"/>
  <c r="G6834" i="40"/>
  <c r="G6835" i="40"/>
  <c r="G6836" i="40"/>
  <c r="G6837" i="40"/>
  <c r="G6838" i="40"/>
  <c r="G6839" i="40"/>
  <c r="G6840" i="40"/>
  <c r="G6841" i="40"/>
  <c r="G6842" i="40"/>
  <c r="G6843" i="40"/>
  <c r="G6844" i="40"/>
  <c r="G6845" i="40"/>
  <c r="G6846" i="40"/>
  <c r="G6847" i="40"/>
  <c r="G6848" i="40"/>
  <c r="G6849" i="40"/>
  <c r="G6850" i="40"/>
  <c r="G6851" i="40"/>
  <c r="G6852" i="40"/>
  <c r="G6853" i="40"/>
  <c r="G6854" i="40"/>
  <c r="G6855" i="40"/>
  <c r="G6856" i="40"/>
  <c r="G6857" i="40"/>
  <c r="G6858" i="40"/>
  <c r="G6859" i="40"/>
  <c r="G6860" i="40"/>
  <c r="G6861" i="40"/>
  <c r="G6862" i="40"/>
  <c r="G6863" i="40"/>
  <c r="G6864" i="40"/>
  <c r="G6865" i="40"/>
  <c r="G6866" i="40"/>
  <c r="G6867" i="40"/>
  <c r="G6868" i="40"/>
  <c r="G6869" i="40"/>
  <c r="G6870" i="40"/>
  <c r="G6871" i="40"/>
  <c r="G6872" i="40"/>
  <c r="G6873" i="40"/>
  <c r="G6874" i="40"/>
  <c r="G6875" i="40"/>
  <c r="G6876" i="40"/>
  <c r="G6877" i="40"/>
  <c r="G6878" i="40"/>
  <c r="G6879" i="40"/>
  <c r="G6880" i="40"/>
  <c r="G6881" i="40"/>
  <c r="G6882" i="40"/>
  <c r="G6883" i="40"/>
  <c r="G6884" i="40"/>
  <c r="G6885" i="40"/>
  <c r="G6886" i="40"/>
  <c r="G6887" i="40"/>
  <c r="G6888" i="40"/>
  <c r="G6889" i="40"/>
  <c r="G6890" i="40"/>
  <c r="G6891" i="40"/>
  <c r="G6892" i="40"/>
  <c r="G6893" i="40"/>
  <c r="G6894" i="40"/>
  <c r="G6895" i="40"/>
  <c r="G6896" i="40"/>
  <c r="G6897" i="40"/>
  <c r="G6898" i="40"/>
  <c r="G6899" i="40"/>
  <c r="G6900" i="40"/>
  <c r="G6901" i="40"/>
  <c r="G6902" i="40"/>
  <c r="G6903" i="40"/>
  <c r="G6904" i="40"/>
  <c r="G6905" i="40"/>
  <c r="G6906" i="40"/>
  <c r="G6907" i="40"/>
  <c r="G6908" i="40"/>
  <c r="G6909" i="40"/>
  <c r="G6910" i="40"/>
  <c r="G6911" i="40"/>
  <c r="G6912" i="40"/>
  <c r="G6913" i="40"/>
  <c r="G6914" i="40"/>
  <c r="G6915" i="40"/>
  <c r="G6916" i="40"/>
  <c r="G6917" i="40"/>
  <c r="G6918" i="40"/>
  <c r="G6919" i="40"/>
  <c r="G6920" i="40"/>
  <c r="G6921" i="40"/>
  <c r="G6922" i="40"/>
  <c r="G6923" i="40"/>
  <c r="G6924" i="40"/>
  <c r="G6925" i="40"/>
  <c r="G6926" i="40"/>
  <c r="G6927" i="40"/>
  <c r="G6928" i="40"/>
  <c r="G6929" i="40"/>
  <c r="G6930" i="40"/>
  <c r="G6931" i="40"/>
  <c r="G6932" i="40"/>
  <c r="G6933" i="40"/>
  <c r="G6934" i="40"/>
  <c r="G6935" i="40"/>
  <c r="G6936" i="40"/>
  <c r="G6937" i="40"/>
  <c r="G6938" i="40"/>
  <c r="G6939" i="40"/>
  <c r="G6940" i="40"/>
  <c r="G6941" i="40"/>
  <c r="G6942" i="40"/>
  <c r="G6943" i="40"/>
  <c r="G6944" i="40"/>
  <c r="G6945" i="40"/>
  <c r="G6946" i="40"/>
  <c r="G6947" i="40"/>
  <c r="G6948" i="40"/>
  <c r="G6949" i="40"/>
  <c r="G6950" i="40"/>
  <c r="G6951" i="40"/>
  <c r="G6952" i="40"/>
  <c r="G6953" i="40"/>
  <c r="G6954" i="40"/>
  <c r="G6955" i="40"/>
  <c r="G6956" i="40"/>
  <c r="G6957" i="40"/>
  <c r="G6958" i="40"/>
  <c r="G6959" i="40"/>
  <c r="G6960" i="40"/>
  <c r="G6961" i="40"/>
  <c r="G6962" i="40"/>
  <c r="G6963" i="40"/>
  <c r="G6964" i="40"/>
  <c r="G6965" i="40"/>
  <c r="G6966" i="40"/>
  <c r="G6967" i="40"/>
  <c r="G6968" i="40"/>
  <c r="G6969" i="40"/>
  <c r="G6970" i="40"/>
  <c r="G6971" i="40"/>
  <c r="G6972" i="40"/>
  <c r="G6973" i="40"/>
  <c r="G6974" i="40"/>
  <c r="G6975" i="40"/>
  <c r="G6976" i="40"/>
  <c r="G6977" i="40"/>
  <c r="G6978" i="40"/>
  <c r="G6979" i="40"/>
  <c r="G6980" i="40"/>
  <c r="G6981" i="40"/>
  <c r="G6982" i="40"/>
  <c r="G6983" i="40"/>
  <c r="G6984" i="40"/>
  <c r="G6985" i="40"/>
  <c r="G6986" i="40"/>
  <c r="G6987" i="40"/>
  <c r="G6988" i="40"/>
  <c r="G6989" i="40"/>
  <c r="G6990" i="40"/>
  <c r="G6991" i="40"/>
  <c r="G6992" i="40"/>
  <c r="G6993" i="40"/>
  <c r="G6994" i="40"/>
  <c r="G6995" i="40"/>
  <c r="G6996" i="40"/>
  <c r="G6997" i="40"/>
  <c r="G6998" i="40"/>
  <c r="G6999" i="40"/>
  <c r="G7000" i="40"/>
  <c r="G7001" i="40"/>
  <c r="G7002" i="40"/>
  <c r="G7003" i="40"/>
  <c r="G7004" i="40"/>
  <c r="G7005" i="40"/>
  <c r="G7006" i="40"/>
  <c r="G7007" i="40"/>
  <c r="G7008" i="40"/>
  <c r="G7009" i="40"/>
  <c r="G7010" i="40"/>
  <c r="G7011" i="40"/>
  <c r="G7012" i="40"/>
  <c r="G7013" i="40"/>
  <c r="G7014" i="40"/>
  <c r="G7015" i="40"/>
  <c r="G7016" i="40"/>
  <c r="G7017" i="40"/>
  <c r="G7018" i="40"/>
  <c r="G7019" i="40"/>
  <c r="G7020" i="40"/>
  <c r="G7021" i="40"/>
  <c r="G7022" i="40"/>
  <c r="G7023" i="40"/>
  <c r="G7024" i="40"/>
  <c r="G7025" i="40"/>
  <c r="G7026" i="40"/>
  <c r="G7027" i="40"/>
  <c r="G7028" i="40"/>
  <c r="G7029" i="40"/>
  <c r="G7030" i="40"/>
  <c r="G7031" i="40"/>
  <c r="G7032" i="40"/>
  <c r="G7033" i="40"/>
  <c r="G7034" i="40"/>
  <c r="G7035" i="40"/>
  <c r="G7036" i="40"/>
  <c r="G7037" i="40"/>
  <c r="G7038" i="40"/>
  <c r="G7039" i="40"/>
  <c r="G7040" i="40"/>
  <c r="G7041" i="40"/>
  <c r="G7042" i="40"/>
  <c r="G7043" i="40"/>
  <c r="G7044" i="40"/>
  <c r="G7045" i="40"/>
  <c r="G7046" i="40"/>
  <c r="G7047" i="40"/>
  <c r="G7048" i="40"/>
  <c r="G7049" i="40"/>
  <c r="G7050" i="40"/>
  <c r="G7051" i="40"/>
  <c r="G7052" i="40"/>
  <c r="G7053" i="40"/>
  <c r="G7054" i="40"/>
  <c r="G7055" i="40"/>
  <c r="G7056" i="40"/>
  <c r="G7057" i="40"/>
  <c r="G7058" i="40"/>
  <c r="G7059" i="40"/>
  <c r="G7060" i="40"/>
  <c r="G7061" i="40"/>
  <c r="G7062" i="40"/>
  <c r="G7063" i="40"/>
  <c r="G7064" i="40"/>
  <c r="G7065" i="40"/>
  <c r="G7066" i="40"/>
  <c r="G7067" i="40"/>
  <c r="G7068" i="40"/>
  <c r="G7069" i="40"/>
  <c r="G7070" i="40"/>
  <c r="G7071" i="40"/>
  <c r="G7072" i="40"/>
  <c r="G7073" i="40"/>
  <c r="G7074" i="40"/>
  <c r="G7075" i="40"/>
  <c r="G7076" i="40"/>
  <c r="G7077" i="40"/>
  <c r="G7078" i="40"/>
  <c r="G7079" i="40"/>
  <c r="G7080" i="40"/>
  <c r="G7081" i="40"/>
  <c r="G7082" i="40"/>
  <c r="G7083" i="40"/>
  <c r="G7084" i="40"/>
  <c r="G7085" i="40"/>
  <c r="G7086" i="40"/>
  <c r="G7087" i="40"/>
  <c r="G7088" i="40"/>
  <c r="G7089" i="40"/>
  <c r="G7090" i="40"/>
  <c r="G7091" i="40"/>
  <c r="G7092" i="40"/>
  <c r="G7093" i="40"/>
  <c r="G7094" i="40"/>
  <c r="G7095" i="40"/>
  <c r="G7096" i="40"/>
  <c r="G7097" i="40"/>
  <c r="G7098" i="40"/>
  <c r="G7099" i="40"/>
  <c r="G7100" i="40"/>
  <c r="G7101" i="40"/>
  <c r="G7102" i="40"/>
  <c r="G7103" i="40"/>
  <c r="G7104" i="40"/>
  <c r="G7105" i="40"/>
  <c r="G7106" i="40"/>
  <c r="G7107" i="40"/>
  <c r="G7108" i="40"/>
  <c r="G7109" i="40"/>
  <c r="G7110" i="40"/>
  <c r="G7111" i="40"/>
  <c r="G7112" i="40"/>
  <c r="G7113" i="40"/>
  <c r="G7114" i="40"/>
  <c r="G7115" i="40"/>
  <c r="G7116" i="40"/>
  <c r="G7117" i="40"/>
  <c r="G7118" i="40"/>
  <c r="G7119" i="40"/>
  <c r="G7120" i="40"/>
  <c r="G7121" i="40"/>
  <c r="G7122" i="40"/>
  <c r="G7123" i="40"/>
  <c r="G7124" i="40"/>
  <c r="G7125" i="40"/>
  <c r="G7126" i="40"/>
  <c r="G7127" i="40"/>
  <c r="G7128" i="40"/>
  <c r="G7129" i="40"/>
  <c r="G7130" i="40"/>
  <c r="G7131" i="40"/>
  <c r="G7132" i="40"/>
  <c r="G7133" i="40"/>
  <c r="G7134" i="40"/>
  <c r="G7135" i="40"/>
  <c r="G7136" i="40"/>
  <c r="G7137" i="40"/>
  <c r="G7138" i="40"/>
  <c r="G7139" i="40"/>
  <c r="G7140" i="40"/>
  <c r="G7141" i="40"/>
  <c r="G7142" i="40"/>
  <c r="G7143" i="40"/>
  <c r="G7144" i="40"/>
  <c r="G7145" i="40"/>
  <c r="G7146" i="40"/>
  <c r="G7147" i="40"/>
  <c r="G7148" i="40"/>
  <c r="G7149" i="40"/>
  <c r="G7150" i="40"/>
  <c r="G7151" i="40"/>
  <c r="G7152" i="40"/>
  <c r="G7153" i="40"/>
  <c r="G7154" i="40"/>
  <c r="G7155" i="40"/>
  <c r="G7156" i="40"/>
  <c r="G7157" i="40"/>
  <c r="G7158" i="40"/>
  <c r="G7159" i="40"/>
  <c r="G7160" i="40"/>
  <c r="G7161" i="40"/>
  <c r="G7162" i="40"/>
  <c r="G7163" i="40"/>
  <c r="G7164" i="40"/>
  <c r="G7165" i="40"/>
  <c r="G7166" i="40"/>
  <c r="G7167" i="40"/>
  <c r="G7168" i="40"/>
  <c r="G7169" i="40"/>
  <c r="G7170" i="40"/>
  <c r="G7171" i="40"/>
  <c r="G7172" i="40"/>
  <c r="G7173" i="40"/>
  <c r="G7174" i="40"/>
  <c r="G7175" i="40"/>
  <c r="G7176" i="40"/>
  <c r="G7177" i="40"/>
  <c r="G7178" i="40"/>
  <c r="G7179" i="40"/>
  <c r="G7180" i="40"/>
  <c r="G7181" i="40"/>
  <c r="G7182" i="40"/>
  <c r="G7183" i="40"/>
  <c r="G7184" i="40"/>
  <c r="G7185" i="40"/>
  <c r="G7186" i="40"/>
  <c r="G7187" i="40"/>
  <c r="G7188" i="40"/>
  <c r="G7189" i="40"/>
  <c r="G7190" i="40"/>
  <c r="G7191" i="40"/>
  <c r="G7192" i="40"/>
  <c r="G7193" i="40"/>
  <c r="G7194" i="40"/>
  <c r="G7195" i="40"/>
  <c r="G7196" i="40"/>
  <c r="G7197" i="40"/>
  <c r="G7198" i="40"/>
  <c r="G7199" i="40"/>
  <c r="G7200" i="40"/>
  <c r="G7201" i="40"/>
  <c r="G7202" i="40"/>
  <c r="G7203" i="40"/>
  <c r="G7204" i="40"/>
  <c r="G7205" i="40"/>
  <c r="G7206" i="40"/>
  <c r="G7207" i="40"/>
  <c r="G7208" i="40"/>
  <c r="G7209" i="40"/>
  <c r="G7210" i="40"/>
  <c r="G7211" i="40"/>
  <c r="G7212" i="40"/>
  <c r="G7213" i="40"/>
  <c r="G7214" i="40"/>
  <c r="G7215" i="40"/>
  <c r="G7216" i="40"/>
  <c r="G7217" i="40"/>
  <c r="G7218" i="40"/>
  <c r="G7219" i="40"/>
  <c r="G7220" i="40"/>
  <c r="G7221" i="40"/>
  <c r="G7222" i="40"/>
  <c r="G7223" i="40"/>
  <c r="G7224" i="40"/>
  <c r="G7225" i="40"/>
  <c r="G7226" i="40"/>
  <c r="G7227" i="40"/>
  <c r="G7228" i="40"/>
  <c r="G7229" i="40"/>
  <c r="G7230" i="40"/>
  <c r="G7231" i="40"/>
  <c r="G7232" i="40"/>
  <c r="G7233" i="40"/>
  <c r="G7234" i="40"/>
  <c r="G7235" i="40"/>
  <c r="G7236" i="40"/>
  <c r="G7237" i="40"/>
  <c r="G7238" i="40"/>
  <c r="G7239" i="40"/>
  <c r="G7240" i="40"/>
  <c r="G7241" i="40"/>
  <c r="G7242" i="40"/>
  <c r="G7243" i="40"/>
  <c r="G7244" i="40"/>
  <c r="G7245" i="40"/>
  <c r="G7246" i="40"/>
  <c r="G7247" i="40"/>
  <c r="G7248" i="40"/>
  <c r="G7249" i="40"/>
  <c r="G7250" i="40"/>
  <c r="G7251" i="40"/>
  <c r="G7252" i="40"/>
  <c r="G7253" i="40"/>
  <c r="G7254" i="40"/>
  <c r="G7255" i="40"/>
  <c r="G7256" i="40"/>
  <c r="G7257" i="40"/>
  <c r="G7258" i="40"/>
  <c r="G7259" i="40"/>
  <c r="G7260" i="40"/>
  <c r="G7261" i="40"/>
  <c r="G7262" i="40"/>
  <c r="G7263" i="40"/>
  <c r="G7264" i="40"/>
  <c r="G7265" i="40"/>
  <c r="G7266" i="40"/>
  <c r="G7267" i="40"/>
  <c r="G7268" i="40"/>
  <c r="G7269" i="40"/>
  <c r="G7270" i="40"/>
  <c r="G7271" i="40"/>
  <c r="G7272" i="40"/>
  <c r="G7273" i="40"/>
  <c r="G7274" i="40"/>
  <c r="G7275" i="40"/>
  <c r="G7276" i="40"/>
  <c r="G7277" i="40"/>
  <c r="G7278" i="40"/>
  <c r="G7279" i="40"/>
  <c r="G7280" i="40"/>
  <c r="G7281" i="40"/>
  <c r="G7282" i="40"/>
  <c r="G7283" i="40"/>
  <c r="G7284" i="40"/>
  <c r="G7285" i="40"/>
  <c r="G7286" i="40"/>
  <c r="G7287" i="40"/>
  <c r="G7288" i="40"/>
  <c r="G7289" i="40"/>
  <c r="G7290" i="40"/>
  <c r="G7291" i="40"/>
  <c r="G7292" i="40"/>
  <c r="G7293" i="40"/>
  <c r="G7294" i="40"/>
  <c r="G7295" i="40"/>
  <c r="G7296" i="40"/>
  <c r="G7297" i="40"/>
  <c r="G7298" i="40"/>
  <c r="G7299" i="40"/>
  <c r="G7300" i="40"/>
  <c r="G7301" i="40"/>
  <c r="G7302" i="40"/>
  <c r="G7303" i="40"/>
  <c r="G7304" i="40"/>
  <c r="G7305" i="40"/>
  <c r="G7306" i="40"/>
  <c r="G7307" i="40"/>
  <c r="G7308" i="40"/>
  <c r="G7309" i="40"/>
  <c r="G7310" i="40"/>
  <c r="G7311" i="40"/>
  <c r="G7312" i="40"/>
  <c r="G7313" i="40"/>
  <c r="G7314" i="40"/>
  <c r="G7315" i="40"/>
  <c r="G7316" i="40"/>
  <c r="G7317" i="40"/>
  <c r="G7318" i="40"/>
  <c r="G7319" i="40"/>
  <c r="G7320" i="40"/>
  <c r="G7321" i="40"/>
  <c r="G7322" i="40"/>
  <c r="G7323" i="40"/>
  <c r="G7324" i="40"/>
  <c r="G7325" i="40"/>
  <c r="G7326" i="40"/>
  <c r="G7327" i="40"/>
  <c r="G7328" i="40"/>
  <c r="G7329" i="40"/>
  <c r="G7330" i="40"/>
  <c r="G7331" i="40"/>
  <c r="G7332" i="40"/>
  <c r="G7333" i="40"/>
  <c r="G7334" i="40"/>
  <c r="G7335" i="40"/>
  <c r="G7336" i="40"/>
  <c r="G7337" i="40"/>
  <c r="G7338" i="40"/>
  <c r="G7339" i="40"/>
  <c r="G7340" i="40"/>
  <c r="G7341" i="40"/>
  <c r="G7342" i="40"/>
  <c r="G7343" i="40"/>
  <c r="G7344" i="40"/>
  <c r="G7345" i="40"/>
  <c r="G7346" i="40"/>
  <c r="G7347" i="40"/>
  <c r="G7348" i="40"/>
  <c r="G7349" i="40"/>
  <c r="G7350" i="40"/>
  <c r="G7351" i="40"/>
  <c r="G7352" i="40"/>
  <c r="G7353" i="40"/>
  <c r="G7354" i="40"/>
  <c r="G7355" i="40"/>
  <c r="G7356" i="40"/>
  <c r="G7357" i="40"/>
  <c r="G7358" i="40"/>
  <c r="G7359" i="40"/>
  <c r="G7360" i="40"/>
  <c r="G7361" i="40"/>
  <c r="G7362" i="40"/>
  <c r="G7363" i="40"/>
  <c r="G7364" i="40"/>
  <c r="G7365" i="40"/>
  <c r="G7366" i="40"/>
  <c r="G7367" i="40"/>
  <c r="G7368" i="40"/>
  <c r="G7369" i="40"/>
  <c r="G7370" i="40"/>
  <c r="G7371" i="40"/>
  <c r="G7372" i="40"/>
  <c r="G7373" i="40"/>
  <c r="G7374" i="40"/>
  <c r="G7375" i="40"/>
  <c r="G7376" i="40"/>
  <c r="G7377" i="40"/>
  <c r="G7378" i="40"/>
  <c r="G7379" i="40"/>
  <c r="G7380" i="40"/>
  <c r="G7381" i="40"/>
  <c r="G7382" i="40"/>
  <c r="G7383" i="40"/>
  <c r="G7384" i="40"/>
  <c r="G7385" i="40"/>
  <c r="G7386" i="40"/>
  <c r="G7387" i="40"/>
  <c r="G7388" i="40"/>
  <c r="G7389" i="40"/>
  <c r="G7390" i="40"/>
  <c r="G7391" i="40"/>
  <c r="G7392" i="40"/>
  <c r="G7393" i="40"/>
  <c r="G7394" i="40"/>
  <c r="G7395" i="40"/>
  <c r="G7396" i="40"/>
  <c r="G7397" i="40"/>
  <c r="G7398" i="40"/>
  <c r="G7399" i="40"/>
  <c r="G7400" i="40"/>
  <c r="G7401" i="40"/>
  <c r="G7402" i="40"/>
  <c r="G7403" i="40"/>
  <c r="G7404" i="40"/>
  <c r="G7405" i="40"/>
  <c r="G7406" i="40"/>
  <c r="G7407" i="40"/>
  <c r="G7408" i="40"/>
  <c r="G7409" i="40"/>
  <c r="G7410" i="40"/>
  <c r="G7411" i="40"/>
  <c r="G7412" i="40"/>
  <c r="G7413" i="40"/>
  <c r="G7414" i="40"/>
  <c r="G7415" i="40"/>
  <c r="G7416" i="40"/>
  <c r="G7417" i="40"/>
  <c r="G7418" i="40"/>
  <c r="G7419" i="40"/>
  <c r="G7420" i="40"/>
  <c r="G7421" i="40"/>
  <c r="G7422" i="40"/>
  <c r="G7423" i="40"/>
  <c r="G7424" i="40"/>
  <c r="G7425" i="40"/>
  <c r="G7426" i="40"/>
  <c r="G7427" i="40"/>
  <c r="G7428" i="40"/>
  <c r="G7429" i="40"/>
  <c r="G7430" i="40"/>
  <c r="G7431" i="40"/>
  <c r="G7432" i="40"/>
  <c r="G7433" i="40"/>
  <c r="G7434" i="40"/>
  <c r="G7435" i="40"/>
  <c r="G7436" i="40"/>
  <c r="G7437" i="40"/>
  <c r="G7438" i="40"/>
  <c r="G7439" i="40"/>
  <c r="G7440" i="40"/>
  <c r="G7441" i="40"/>
  <c r="G7442" i="40"/>
  <c r="G7443" i="40"/>
  <c r="G7444" i="40"/>
  <c r="G7445" i="40"/>
  <c r="G7446" i="40"/>
  <c r="G7447" i="40"/>
  <c r="G7448" i="40"/>
  <c r="G7449" i="40"/>
  <c r="G7450" i="40"/>
  <c r="G7451" i="40"/>
  <c r="G7452" i="40"/>
  <c r="G7453" i="40"/>
  <c r="G7454" i="40"/>
  <c r="G7455" i="40"/>
  <c r="G7456" i="40"/>
  <c r="G7457" i="40"/>
  <c r="G7458" i="40"/>
  <c r="G7459" i="40"/>
  <c r="G7460" i="40"/>
  <c r="G7461" i="40"/>
  <c r="G7462" i="40"/>
  <c r="G7463" i="40"/>
  <c r="G7464" i="40"/>
  <c r="G7465" i="40"/>
  <c r="G7466" i="40"/>
  <c r="G7467" i="40"/>
  <c r="G7468" i="40"/>
  <c r="G7469" i="40"/>
  <c r="G7470" i="40"/>
  <c r="G7471" i="40"/>
  <c r="G7472" i="40"/>
  <c r="G7473" i="40"/>
  <c r="G7474" i="40"/>
  <c r="G7475" i="40"/>
  <c r="G7476" i="40"/>
  <c r="G7477" i="40"/>
  <c r="G7478" i="40"/>
  <c r="G7479" i="40"/>
  <c r="G7480" i="40"/>
  <c r="G7481" i="40"/>
  <c r="G7482" i="40"/>
  <c r="G7483" i="40"/>
  <c r="G7484" i="40"/>
  <c r="G7485" i="40"/>
  <c r="G7486" i="40"/>
  <c r="G7487" i="40"/>
  <c r="G7488" i="40"/>
  <c r="G7489" i="40"/>
  <c r="G7490" i="40"/>
  <c r="G7491" i="40"/>
  <c r="G7492" i="40"/>
  <c r="G7493" i="40"/>
  <c r="G7494" i="40"/>
  <c r="G7495" i="40"/>
  <c r="G7496" i="40"/>
  <c r="G7497" i="40"/>
  <c r="G7498" i="40"/>
  <c r="G7499" i="40"/>
  <c r="G7500" i="40"/>
  <c r="G7501" i="40"/>
  <c r="G7502" i="40"/>
  <c r="G7503" i="40"/>
  <c r="G7504" i="40"/>
  <c r="G7505" i="40"/>
  <c r="G7506" i="40"/>
  <c r="G7507" i="40"/>
  <c r="G7508" i="40"/>
  <c r="G7509" i="40"/>
  <c r="G7510" i="40"/>
  <c r="G7511" i="40"/>
  <c r="G7512" i="40"/>
  <c r="G7513" i="40"/>
  <c r="G7514" i="40"/>
  <c r="G7515" i="40"/>
  <c r="G7516" i="40"/>
  <c r="G7517" i="40"/>
  <c r="G7518" i="40"/>
  <c r="G7519" i="40"/>
  <c r="G7520" i="40"/>
  <c r="G7521" i="40"/>
  <c r="G7522" i="40"/>
  <c r="G7523" i="40"/>
  <c r="G7524" i="40"/>
  <c r="G7525" i="40"/>
  <c r="G7526" i="40"/>
  <c r="G7527" i="40"/>
  <c r="G7528" i="40"/>
  <c r="G7529" i="40"/>
  <c r="G7530" i="40"/>
  <c r="G7531" i="40"/>
  <c r="G7532" i="40"/>
  <c r="G7533" i="40"/>
  <c r="G7534" i="40"/>
  <c r="G7535" i="40"/>
  <c r="G7536" i="40"/>
  <c r="G7537" i="40"/>
  <c r="G7538" i="40"/>
  <c r="G7539" i="40"/>
  <c r="G7540" i="40"/>
  <c r="G7541" i="40"/>
  <c r="G7542" i="40"/>
  <c r="G7543" i="40"/>
  <c r="G7544" i="40"/>
  <c r="G7545" i="40"/>
  <c r="G7546" i="40"/>
  <c r="G7547" i="40"/>
  <c r="G7548" i="40"/>
  <c r="G7549" i="40"/>
  <c r="G7550" i="40"/>
  <c r="G7551" i="40"/>
  <c r="G7552" i="40"/>
  <c r="G7553" i="40"/>
  <c r="G7554" i="40"/>
  <c r="G7555" i="40"/>
  <c r="G7556" i="40"/>
  <c r="G7557" i="40"/>
  <c r="G7558" i="40"/>
  <c r="G7559" i="40"/>
  <c r="G7560" i="40"/>
  <c r="G7561" i="40"/>
  <c r="G7562" i="40"/>
  <c r="G7563" i="40"/>
  <c r="G7564" i="40"/>
  <c r="G7565" i="40"/>
  <c r="G7566" i="40"/>
  <c r="G7567" i="40"/>
  <c r="G7568" i="40"/>
  <c r="G7569" i="40"/>
  <c r="G7570" i="40"/>
  <c r="G7571" i="40"/>
  <c r="G7572" i="40"/>
  <c r="G7573" i="40"/>
  <c r="G7574" i="40"/>
  <c r="G7575" i="40"/>
  <c r="G7576" i="40"/>
  <c r="G7577" i="40"/>
  <c r="G7578" i="40"/>
  <c r="G7579" i="40"/>
  <c r="G7580" i="40"/>
  <c r="G7581" i="40"/>
  <c r="G7582" i="40"/>
  <c r="G7583" i="40"/>
  <c r="G7584" i="40"/>
  <c r="G7585" i="40"/>
  <c r="G7586" i="40"/>
  <c r="G7587" i="40"/>
  <c r="G7588" i="40"/>
  <c r="G7589" i="40"/>
  <c r="G7590" i="40"/>
  <c r="G7591" i="40"/>
  <c r="G7592" i="40"/>
  <c r="G7593" i="40"/>
  <c r="G7594" i="40"/>
  <c r="G7595" i="40"/>
  <c r="G7596" i="40"/>
  <c r="G7597" i="40"/>
  <c r="G7598" i="40"/>
  <c r="G7599" i="40"/>
  <c r="G7600" i="40"/>
  <c r="G7601" i="40"/>
  <c r="G7602" i="40"/>
  <c r="G7603" i="40"/>
  <c r="G7604" i="40"/>
  <c r="G7605" i="40"/>
  <c r="G7606" i="40"/>
  <c r="G7607" i="40"/>
  <c r="G7608" i="40"/>
  <c r="G7609" i="40"/>
  <c r="G7610" i="40"/>
  <c r="G7611" i="40"/>
  <c r="G7612" i="40"/>
  <c r="G7613" i="40"/>
  <c r="G7614" i="40"/>
  <c r="G7615" i="40"/>
  <c r="G7616" i="40"/>
  <c r="G7617" i="40"/>
  <c r="G7618" i="40"/>
  <c r="G7619" i="40"/>
  <c r="G7620" i="40"/>
  <c r="G7621" i="40"/>
  <c r="G7622" i="40"/>
  <c r="G7623" i="40"/>
  <c r="G7624" i="40"/>
  <c r="G7625" i="40"/>
  <c r="G7626" i="40"/>
  <c r="G7627" i="40"/>
  <c r="G7628" i="40"/>
  <c r="G7629" i="40"/>
  <c r="G7630" i="40"/>
  <c r="G7631" i="40"/>
  <c r="G7632" i="40"/>
  <c r="G7633" i="40"/>
  <c r="G7634" i="40"/>
  <c r="G7635" i="40"/>
  <c r="G7636" i="40"/>
  <c r="G7637" i="40"/>
  <c r="G7638" i="40"/>
  <c r="G7639" i="40"/>
  <c r="G7640" i="40"/>
  <c r="G7641" i="40"/>
  <c r="G7642" i="40"/>
  <c r="G7643" i="40"/>
  <c r="G7644" i="40"/>
  <c r="G7645" i="40"/>
  <c r="G7646" i="40"/>
  <c r="G7647" i="40"/>
  <c r="G7648" i="40"/>
  <c r="G7649" i="40"/>
  <c r="G7650" i="40"/>
  <c r="G7651" i="40"/>
  <c r="G7652" i="40"/>
  <c r="G7653" i="40"/>
  <c r="G7654" i="40"/>
  <c r="G7655" i="40"/>
  <c r="G7656" i="40"/>
  <c r="G7657" i="40"/>
  <c r="G7658" i="40"/>
  <c r="G7659" i="40"/>
  <c r="G7660" i="40"/>
  <c r="G7661" i="40"/>
  <c r="G7662" i="40"/>
  <c r="G7663" i="40"/>
  <c r="G7664" i="40"/>
  <c r="G7665" i="40"/>
  <c r="G7666" i="40"/>
  <c r="G7667" i="40"/>
  <c r="G7668" i="40"/>
  <c r="G7669" i="40"/>
  <c r="G7670" i="40"/>
  <c r="G7671" i="40"/>
  <c r="G7672" i="40"/>
  <c r="G7673" i="40"/>
  <c r="G7674" i="40"/>
  <c r="G7675" i="40"/>
  <c r="G7676" i="40"/>
  <c r="G7677" i="40"/>
  <c r="G7678" i="40"/>
  <c r="G7679" i="40"/>
  <c r="G7680" i="40"/>
  <c r="G7681" i="40"/>
  <c r="G7682" i="40"/>
  <c r="G7683" i="40"/>
  <c r="G7684" i="40"/>
  <c r="G7685" i="40"/>
  <c r="G7686" i="40"/>
  <c r="G7687" i="40"/>
  <c r="G7688" i="40"/>
  <c r="G7689" i="40"/>
  <c r="G7690" i="40"/>
  <c r="G7691" i="40"/>
  <c r="G7692" i="40"/>
  <c r="G7693" i="40"/>
  <c r="G7694" i="40"/>
  <c r="G7695" i="40"/>
  <c r="G7696" i="40"/>
  <c r="G7697" i="40"/>
  <c r="G7698" i="40"/>
  <c r="G7699" i="40"/>
  <c r="G7700" i="40"/>
  <c r="G7701" i="40"/>
  <c r="G7702" i="40"/>
  <c r="G7703" i="40"/>
  <c r="G7704" i="40"/>
  <c r="G7705" i="40"/>
  <c r="G7706" i="40"/>
  <c r="G7707" i="40"/>
  <c r="G7708" i="40"/>
  <c r="G7709" i="40"/>
  <c r="G7710" i="40"/>
  <c r="G7711" i="40"/>
  <c r="G7712" i="40"/>
  <c r="G7713" i="40"/>
  <c r="G7714" i="40"/>
  <c r="G7715" i="40"/>
  <c r="G7716" i="40"/>
  <c r="G7717" i="40"/>
  <c r="G7718" i="40"/>
  <c r="G7719" i="40"/>
  <c r="G7720" i="40"/>
  <c r="G7721" i="40"/>
  <c r="G7722" i="40"/>
  <c r="G7723" i="40"/>
  <c r="G7724" i="40"/>
  <c r="G7725" i="40"/>
  <c r="G7726" i="40"/>
  <c r="G7727" i="40"/>
  <c r="G7728" i="40"/>
  <c r="G7729" i="40"/>
  <c r="G7730" i="40"/>
  <c r="G7731" i="40"/>
  <c r="G7732" i="40"/>
  <c r="G7733" i="40"/>
  <c r="G7734" i="40"/>
  <c r="G7735" i="40"/>
  <c r="G7736" i="40"/>
  <c r="G7737" i="40"/>
  <c r="G7738" i="40"/>
  <c r="G7739" i="40"/>
  <c r="G7740" i="40"/>
  <c r="G7741" i="40"/>
  <c r="G7742" i="40"/>
  <c r="G7743" i="40"/>
  <c r="G7744" i="40"/>
  <c r="G7745" i="40"/>
  <c r="G7746" i="40"/>
  <c r="G7747" i="40"/>
  <c r="G7748" i="40"/>
  <c r="G7749" i="40"/>
  <c r="G7750" i="40"/>
  <c r="G7751" i="40"/>
  <c r="G7752" i="40"/>
  <c r="G7753" i="40"/>
  <c r="G7754" i="40"/>
  <c r="G7755" i="40"/>
  <c r="G7756" i="40"/>
  <c r="G7757" i="40"/>
  <c r="G7758" i="40"/>
  <c r="G7759" i="40"/>
  <c r="G7760" i="40"/>
  <c r="G7761" i="40"/>
  <c r="G7762" i="40"/>
  <c r="G7763" i="40"/>
  <c r="G7764" i="40"/>
  <c r="G7765" i="40"/>
  <c r="G7766" i="40"/>
  <c r="G7767" i="40"/>
  <c r="G7768" i="40"/>
  <c r="G7769" i="40"/>
  <c r="G7770" i="40"/>
  <c r="G7771" i="40"/>
  <c r="G7772" i="40"/>
  <c r="G7773" i="40"/>
  <c r="G7774" i="40"/>
  <c r="G7775" i="40"/>
  <c r="G7776" i="40"/>
  <c r="G7777" i="40"/>
  <c r="G7778" i="40"/>
  <c r="G7779" i="40"/>
  <c r="G7780" i="40"/>
  <c r="G7781" i="40"/>
  <c r="G7782" i="40"/>
  <c r="G7783" i="40"/>
  <c r="G7784" i="40"/>
  <c r="G7785" i="40"/>
  <c r="G7786" i="40"/>
  <c r="G7787" i="40"/>
  <c r="G7788" i="40"/>
  <c r="G7789" i="40"/>
  <c r="G7790" i="40"/>
  <c r="G7791" i="40"/>
  <c r="G7792" i="40"/>
  <c r="G7793" i="40"/>
  <c r="G7794" i="40"/>
  <c r="G7795" i="40"/>
  <c r="G7796" i="40"/>
  <c r="G7797" i="40"/>
  <c r="G7798" i="40"/>
  <c r="G7799" i="40"/>
  <c r="G7800" i="40"/>
  <c r="G7801" i="40"/>
  <c r="G7802" i="40"/>
  <c r="G7803" i="40"/>
  <c r="G7804" i="40"/>
  <c r="G7805" i="40"/>
  <c r="G7806" i="40"/>
  <c r="G7807" i="40"/>
  <c r="G7808" i="40"/>
  <c r="G7809" i="40"/>
  <c r="G7810" i="40"/>
  <c r="G7811" i="40"/>
  <c r="G7812" i="40"/>
  <c r="G7813" i="40"/>
  <c r="G7814" i="40"/>
  <c r="G7815" i="40"/>
  <c r="G7816" i="40"/>
  <c r="G7817" i="40"/>
  <c r="G7818" i="40"/>
  <c r="G7819" i="40"/>
  <c r="G7820" i="40"/>
  <c r="G7821" i="40"/>
  <c r="G7822" i="40"/>
  <c r="G7823" i="40"/>
  <c r="G7824" i="40"/>
  <c r="G7825" i="40"/>
  <c r="G7826" i="40"/>
  <c r="G7827" i="40"/>
  <c r="G7828" i="40"/>
  <c r="G7829" i="40"/>
  <c r="G7830" i="40"/>
  <c r="G7831" i="40"/>
  <c r="G7832" i="40"/>
  <c r="G7833" i="40"/>
  <c r="G7834" i="40"/>
  <c r="G7835" i="40"/>
  <c r="G7836" i="40"/>
  <c r="G7837" i="40"/>
  <c r="G7838" i="40"/>
  <c r="G7839" i="40"/>
  <c r="G7840" i="40"/>
  <c r="G7841" i="40"/>
  <c r="G7842" i="40"/>
  <c r="G7843" i="40"/>
  <c r="G7844" i="40"/>
  <c r="G7845" i="40"/>
  <c r="G7846" i="40"/>
  <c r="G7847" i="40"/>
  <c r="G7848" i="40"/>
  <c r="G7849" i="40"/>
  <c r="G7850" i="40"/>
  <c r="G7851" i="40"/>
  <c r="G7852" i="40"/>
  <c r="G7853" i="40"/>
  <c r="G7854" i="40"/>
  <c r="G7855" i="40"/>
  <c r="G7856" i="40"/>
  <c r="G7857" i="40"/>
  <c r="G7858" i="40"/>
  <c r="G7859" i="40"/>
  <c r="G7860" i="40"/>
  <c r="G7861" i="40"/>
  <c r="G7862" i="40"/>
  <c r="G7863" i="40"/>
  <c r="G7864" i="40"/>
  <c r="G7865" i="40"/>
  <c r="G7866" i="40"/>
  <c r="G7867" i="40"/>
  <c r="G7868" i="40"/>
  <c r="G7869" i="40"/>
  <c r="G7870" i="40"/>
  <c r="G7871" i="40"/>
  <c r="G7872" i="40"/>
  <c r="G7873" i="40"/>
  <c r="G7874" i="40"/>
  <c r="G7875" i="40"/>
  <c r="G7876" i="40"/>
  <c r="G7877" i="40"/>
  <c r="G7878" i="40"/>
  <c r="G7879" i="40"/>
  <c r="G7880" i="40"/>
  <c r="G7881" i="40"/>
  <c r="G7882" i="40"/>
  <c r="G7883" i="40"/>
  <c r="G7884" i="40"/>
  <c r="G7885" i="40"/>
  <c r="G7886" i="40"/>
  <c r="G7887" i="40"/>
  <c r="G7888" i="40"/>
  <c r="G7889" i="40"/>
  <c r="G7890" i="40"/>
  <c r="G7891" i="40"/>
  <c r="G7892" i="40"/>
  <c r="G7893" i="40"/>
  <c r="G7894" i="40"/>
  <c r="G7895" i="40"/>
  <c r="G7896" i="40"/>
  <c r="G7897" i="40"/>
  <c r="G7898" i="40"/>
  <c r="G7899" i="40"/>
  <c r="G7900" i="40"/>
  <c r="G7901" i="40"/>
  <c r="G7902" i="40"/>
  <c r="G7903" i="40"/>
  <c r="G7904" i="40"/>
  <c r="G7905" i="40"/>
  <c r="G7906" i="40"/>
  <c r="G7907" i="40"/>
  <c r="G7908" i="40"/>
  <c r="G7909" i="40"/>
  <c r="G7910" i="40"/>
  <c r="G7911" i="40"/>
  <c r="G7912" i="40"/>
  <c r="G7913" i="40"/>
  <c r="G7914" i="40"/>
  <c r="G7915" i="40"/>
  <c r="G7916" i="40"/>
  <c r="G7917" i="40"/>
  <c r="G7918" i="40"/>
  <c r="G7919" i="40"/>
  <c r="G7920" i="40"/>
  <c r="G7921" i="40"/>
  <c r="G7922" i="40"/>
  <c r="G7923" i="40"/>
  <c r="G7924" i="40"/>
  <c r="G7925" i="40"/>
  <c r="G7926" i="40"/>
  <c r="G7927" i="40"/>
  <c r="G7928" i="40"/>
  <c r="G7929" i="40"/>
  <c r="G7930" i="40"/>
  <c r="G7931" i="40"/>
  <c r="G7932" i="40"/>
  <c r="G7933" i="40"/>
  <c r="G7934" i="40"/>
  <c r="G7935" i="40"/>
  <c r="G7936" i="40"/>
  <c r="G7937" i="40"/>
  <c r="G7938" i="40"/>
  <c r="G7939" i="40"/>
  <c r="G7940" i="40"/>
  <c r="G7941" i="40"/>
  <c r="G7942" i="40"/>
  <c r="G7943" i="40"/>
  <c r="G7944" i="40"/>
  <c r="G7945" i="40"/>
  <c r="G7946" i="40"/>
  <c r="G7947" i="40"/>
  <c r="G7948" i="40"/>
  <c r="G7949" i="40"/>
  <c r="G7950" i="40"/>
  <c r="G7951" i="40"/>
  <c r="G7952" i="40"/>
  <c r="G7953" i="40"/>
  <c r="G7954" i="40"/>
  <c r="G7955" i="40"/>
  <c r="G7956" i="40"/>
  <c r="G7957" i="40"/>
  <c r="G7958" i="40"/>
  <c r="G7959" i="40"/>
  <c r="G7960" i="40"/>
  <c r="G7961" i="40"/>
  <c r="G7962" i="40"/>
  <c r="G7963" i="40"/>
  <c r="G7964" i="40"/>
  <c r="G7965" i="40"/>
  <c r="G7966" i="40"/>
  <c r="G7967" i="40"/>
  <c r="G7968" i="40"/>
  <c r="G7969" i="40"/>
  <c r="G7970" i="40"/>
  <c r="G7971" i="40"/>
  <c r="G7972" i="40"/>
  <c r="G7973" i="40"/>
  <c r="G7974" i="40"/>
  <c r="G7975" i="40"/>
  <c r="G7976" i="40"/>
  <c r="G7977" i="40"/>
  <c r="G7978" i="40"/>
  <c r="G7979" i="40"/>
  <c r="G7980" i="40"/>
  <c r="G7981" i="40"/>
  <c r="G7982" i="40"/>
  <c r="G7983" i="40"/>
  <c r="G7984" i="40"/>
  <c r="G7985" i="40"/>
  <c r="G7986" i="40"/>
  <c r="G7987" i="40"/>
  <c r="G7988" i="40"/>
  <c r="G7989" i="40"/>
  <c r="G7990" i="40"/>
  <c r="G7991" i="40"/>
  <c r="G7992" i="40"/>
  <c r="G7993" i="40"/>
  <c r="G7994" i="40"/>
  <c r="G7995" i="40"/>
  <c r="G7996" i="40"/>
  <c r="G7997" i="40"/>
  <c r="G7998" i="40"/>
  <c r="G7999" i="40"/>
  <c r="G8000" i="40"/>
  <c r="G8001" i="40"/>
  <c r="G8002" i="40"/>
  <c r="G8003" i="40"/>
  <c r="G8004" i="40"/>
  <c r="G8005" i="40"/>
  <c r="G8006" i="40"/>
  <c r="G8007" i="40"/>
  <c r="G8008" i="40"/>
  <c r="G8009" i="40"/>
  <c r="G8010" i="40"/>
  <c r="G8011" i="40"/>
  <c r="G8012" i="40"/>
  <c r="G8013" i="40"/>
  <c r="G8014" i="40"/>
  <c r="G8015" i="40"/>
  <c r="G8016" i="40"/>
  <c r="G8017" i="40"/>
  <c r="G8018" i="40"/>
  <c r="G8019" i="40"/>
  <c r="G8020" i="40"/>
  <c r="G8021" i="40"/>
  <c r="G8022" i="40"/>
  <c r="G8023" i="40"/>
  <c r="G8024" i="40"/>
  <c r="G8025" i="40"/>
  <c r="G8026" i="40"/>
  <c r="G8027" i="40"/>
  <c r="G8028" i="40"/>
  <c r="G8029" i="40"/>
  <c r="G8030" i="40"/>
  <c r="G8031" i="40"/>
  <c r="G8032" i="40"/>
  <c r="G8033" i="40"/>
  <c r="G8034" i="40"/>
  <c r="G8035" i="40"/>
  <c r="G8036" i="40"/>
  <c r="G8037" i="40"/>
  <c r="G8038" i="40"/>
  <c r="G8039" i="40"/>
  <c r="G8040" i="40"/>
  <c r="G8041" i="40"/>
  <c r="G8042" i="40"/>
  <c r="G8043" i="40"/>
  <c r="G8044" i="40"/>
  <c r="G8045" i="40"/>
  <c r="G8046" i="40"/>
  <c r="G8047" i="40"/>
  <c r="G8048" i="40"/>
  <c r="G8049" i="40"/>
  <c r="G8050" i="40"/>
  <c r="G8051" i="40"/>
  <c r="G8052" i="40"/>
  <c r="G8053" i="40"/>
  <c r="G8054" i="40"/>
  <c r="G8055" i="40"/>
  <c r="G8056" i="40"/>
  <c r="G8057" i="40"/>
  <c r="G8058" i="40"/>
  <c r="G8059" i="40"/>
  <c r="G8060" i="40"/>
  <c r="G8061" i="40"/>
  <c r="G8062" i="40"/>
  <c r="G8063" i="40"/>
  <c r="G8064" i="40"/>
  <c r="G8065" i="40"/>
  <c r="G8066" i="40"/>
  <c r="G8067" i="40"/>
  <c r="G8068" i="40"/>
  <c r="G8069" i="40"/>
  <c r="G8070" i="40"/>
  <c r="G8071" i="40"/>
  <c r="G8072" i="40"/>
  <c r="G8073" i="40"/>
  <c r="G8074" i="40"/>
  <c r="G8075" i="40"/>
  <c r="G8076" i="40"/>
  <c r="G8077" i="40"/>
  <c r="G8078" i="40"/>
  <c r="G8079" i="40"/>
  <c r="G8080" i="40"/>
  <c r="G8081" i="40"/>
  <c r="G8082" i="40"/>
  <c r="G8083" i="40"/>
  <c r="G8084" i="40"/>
  <c r="G8085" i="40"/>
  <c r="G8086" i="40"/>
  <c r="G8087" i="40"/>
  <c r="G8088" i="40"/>
  <c r="G8089" i="40"/>
  <c r="G8090" i="40"/>
  <c r="G8091" i="40"/>
  <c r="G8092" i="40"/>
  <c r="G8093" i="40"/>
  <c r="G8094" i="40"/>
  <c r="G8095" i="40"/>
  <c r="G8096" i="40"/>
  <c r="G8097" i="40"/>
  <c r="G8098" i="40"/>
  <c r="G8099" i="40"/>
  <c r="G8100" i="40"/>
  <c r="G8101" i="40"/>
  <c r="G8102" i="40"/>
  <c r="G8103" i="40"/>
  <c r="G8104" i="40"/>
  <c r="G8105" i="40"/>
  <c r="G8106" i="40"/>
  <c r="G8107" i="40"/>
  <c r="G8108" i="40"/>
  <c r="G8109" i="40"/>
  <c r="G8110" i="40"/>
  <c r="G8111" i="40"/>
  <c r="G8112" i="40"/>
  <c r="G8113" i="40"/>
  <c r="G8114" i="40"/>
  <c r="G8115" i="40"/>
  <c r="G8116" i="40"/>
  <c r="G8117" i="40"/>
  <c r="G8118" i="40"/>
  <c r="G8119" i="40"/>
  <c r="G8120" i="40"/>
  <c r="G8121" i="40"/>
  <c r="G8122" i="40"/>
  <c r="G8123" i="40"/>
  <c r="G8124" i="40"/>
  <c r="G8125" i="40"/>
  <c r="G8126" i="40"/>
  <c r="G8127" i="40"/>
  <c r="G8128" i="40"/>
  <c r="G8129" i="40"/>
  <c r="G8130" i="40"/>
  <c r="G8131" i="40"/>
  <c r="G8132" i="40"/>
  <c r="G8133" i="40"/>
  <c r="G8134" i="40"/>
  <c r="G8135" i="40"/>
  <c r="G8136" i="40"/>
  <c r="G8137" i="40"/>
  <c r="G8138" i="40"/>
  <c r="G8139" i="40"/>
  <c r="G8140" i="40"/>
  <c r="G8141" i="40"/>
  <c r="G8142" i="40"/>
  <c r="G8143" i="40"/>
  <c r="G8144" i="40"/>
  <c r="G8145" i="40"/>
  <c r="G8146" i="40"/>
  <c r="G8147" i="40"/>
  <c r="G8148" i="40"/>
  <c r="G8149" i="40"/>
  <c r="G8150" i="40"/>
  <c r="G8151" i="40"/>
  <c r="G8152" i="40"/>
  <c r="G8153" i="40"/>
  <c r="G8154" i="40"/>
  <c r="G8155" i="40"/>
  <c r="G8156" i="40"/>
  <c r="G8157" i="40"/>
  <c r="G8158" i="40"/>
  <c r="G8159" i="40"/>
  <c r="G8160" i="40"/>
  <c r="G8161" i="40"/>
  <c r="G8162" i="40"/>
  <c r="G8163" i="40"/>
  <c r="G8164" i="40"/>
  <c r="G8165" i="40"/>
  <c r="G8166" i="40"/>
  <c r="G8167" i="40"/>
  <c r="G8168" i="40"/>
  <c r="G8169" i="40"/>
  <c r="G8170" i="40"/>
  <c r="G8171" i="40"/>
  <c r="G8172" i="40"/>
  <c r="G8173" i="40"/>
  <c r="G8174" i="40"/>
  <c r="G8175" i="40"/>
  <c r="G8176" i="40"/>
  <c r="G8177" i="40"/>
  <c r="G8178" i="40"/>
  <c r="G8179" i="40"/>
  <c r="G8180" i="40"/>
  <c r="G8181" i="40"/>
  <c r="G8182" i="40"/>
  <c r="G8183" i="40"/>
  <c r="G8184" i="40"/>
  <c r="G8185" i="40"/>
  <c r="G8186" i="40"/>
  <c r="G8187" i="40"/>
  <c r="G8188" i="40"/>
  <c r="G8189" i="40"/>
  <c r="G8190" i="40"/>
  <c r="G8191" i="40"/>
  <c r="G8192" i="40"/>
  <c r="G8193" i="40"/>
  <c r="G8194" i="40"/>
  <c r="G8195" i="40"/>
  <c r="G8196" i="40"/>
  <c r="G8197" i="40"/>
  <c r="G8198" i="40"/>
  <c r="G8199" i="40"/>
  <c r="G8200" i="40"/>
  <c r="G8201" i="40"/>
  <c r="G8202" i="40"/>
  <c r="G8203" i="40"/>
  <c r="G8204" i="40"/>
  <c r="G8205" i="40"/>
  <c r="G8206" i="40"/>
  <c r="G8207" i="40"/>
  <c r="G8208" i="40"/>
  <c r="G8209" i="40"/>
  <c r="G8210" i="40"/>
  <c r="G8211" i="40"/>
  <c r="G8212" i="40"/>
  <c r="G8213" i="40"/>
  <c r="G8214" i="40"/>
  <c r="G8215" i="40"/>
  <c r="G8216" i="40"/>
  <c r="G8217" i="40"/>
  <c r="G8218" i="40"/>
  <c r="G8219" i="40"/>
  <c r="G8220" i="40"/>
  <c r="G8221" i="40"/>
  <c r="G8222" i="40"/>
  <c r="G8223" i="40"/>
  <c r="G8224" i="40"/>
  <c r="G8225" i="40"/>
  <c r="G8226" i="40"/>
  <c r="G8227" i="40"/>
  <c r="G8228" i="40"/>
  <c r="G8229" i="40"/>
  <c r="G8230" i="40"/>
  <c r="G8231" i="40"/>
  <c r="G8232" i="40"/>
  <c r="G8233" i="40"/>
  <c r="G8234" i="40"/>
  <c r="G8235" i="40"/>
  <c r="G8236" i="40"/>
  <c r="G8237" i="40"/>
  <c r="G8238" i="40"/>
  <c r="G8239" i="40"/>
  <c r="G8240" i="40"/>
  <c r="G8241" i="40"/>
  <c r="G8242" i="40"/>
  <c r="G8243" i="40"/>
  <c r="G8244" i="40"/>
  <c r="G8245" i="40"/>
  <c r="G8246" i="40"/>
  <c r="G8247" i="40"/>
  <c r="G8248" i="40"/>
  <c r="G8249" i="40"/>
  <c r="G8250" i="40"/>
  <c r="G8251" i="40"/>
  <c r="G8252" i="40"/>
  <c r="G8253" i="40"/>
  <c r="G8254" i="40"/>
  <c r="G8255" i="40"/>
  <c r="G8256" i="40"/>
  <c r="G8257" i="40"/>
  <c r="G8258" i="40"/>
  <c r="G8259" i="40"/>
  <c r="G8260" i="40"/>
  <c r="G8261" i="40"/>
  <c r="G8262" i="40"/>
  <c r="G8263" i="40"/>
  <c r="G8264" i="40"/>
  <c r="G8265" i="40"/>
  <c r="G8266" i="40"/>
  <c r="G8267" i="40"/>
  <c r="G8268" i="40"/>
  <c r="G8269" i="40"/>
  <c r="G8270" i="40"/>
  <c r="G8271" i="40"/>
  <c r="G8272" i="40"/>
  <c r="G8273" i="40"/>
  <c r="G8274" i="40"/>
  <c r="G8275" i="40"/>
  <c r="G8276" i="40"/>
  <c r="G8277" i="40"/>
  <c r="G8278" i="40"/>
  <c r="G8279" i="40"/>
  <c r="G8280" i="40"/>
  <c r="G8281" i="40"/>
  <c r="G8282" i="40"/>
  <c r="G8283" i="40"/>
  <c r="G8284" i="40"/>
  <c r="G8285" i="40"/>
  <c r="G8286" i="40"/>
  <c r="G8287" i="40"/>
  <c r="G8288" i="40"/>
  <c r="G8289" i="40"/>
  <c r="G8290" i="40"/>
  <c r="G8291" i="40"/>
  <c r="G8292" i="40"/>
  <c r="G8293" i="40"/>
  <c r="G8294" i="40"/>
  <c r="G8295" i="40"/>
  <c r="G8296" i="40"/>
  <c r="G8297" i="40"/>
  <c r="G8298" i="40"/>
  <c r="G8299" i="40"/>
  <c r="G8300" i="40"/>
  <c r="G8301" i="40"/>
  <c r="G8302" i="40"/>
  <c r="G8303" i="40"/>
  <c r="G8304" i="40"/>
  <c r="G8305" i="40"/>
  <c r="G8306" i="40"/>
  <c r="G8307" i="40"/>
  <c r="G8308" i="40"/>
  <c r="G8309" i="40"/>
  <c r="G8310" i="40"/>
  <c r="G8311" i="40"/>
  <c r="G8312" i="40"/>
  <c r="G8313" i="40"/>
  <c r="G8314" i="40"/>
  <c r="G8315" i="40"/>
  <c r="G8316" i="40"/>
  <c r="G8317" i="40"/>
  <c r="G8318" i="40"/>
  <c r="G8319" i="40"/>
  <c r="G8320" i="40"/>
  <c r="G8321" i="40"/>
  <c r="G8322" i="40"/>
  <c r="G8323" i="40"/>
  <c r="G8324" i="40"/>
  <c r="G8325" i="40"/>
  <c r="G8326" i="40"/>
  <c r="G8327" i="40"/>
  <c r="G8328" i="40"/>
  <c r="G8329" i="40"/>
  <c r="G8330" i="40"/>
  <c r="G8331" i="40"/>
  <c r="G8332" i="40"/>
  <c r="G8333" i="40"/>
  <c r="G8334" i="40"/>
  <c r="G8335" i="40"/>
  <c r="G8336" i="40"/>
  <c r="G8337" i="40"/>
  <c r="G8338" i="40"/>
  <c r="G8339" i="40"/>
  <c r="G8340" i="40"/>
  <c r="G8341" i="40"/>
  <c r="G8342" i="40"/>
  <c r="G8343" i="40"/>
  <c r="G8344" i="40"/>
  <c r="G8345" i="40"/>
  <c r="G8346" i="40"/>
  <c r="G8347" i="40"/>
  <c r="G8348" i="40"/>
  <c r="G8349" i="40"/>
  <c r="G8350" i="40"/>
  <c r="G8351" i="40"/>
  <c r="G8352" i="40"/>
  <c r="G8353" i="40"/>
  <c r="G8354" i="40"/>
  <c r="G8355" i="40"/>
  <c r="G8356" i="40"/>
  <c r="G8357" i="40"/>
  <c r="G8358" i="40"/>
  <c r="G8359" i="40"/>
  <c r="G8360" i="40"/>
  <c r="G8361" i="40"/>
  <c r="G8362" i="40"/>
  <c r="G8363" i="40"/>
  <c r="G8364" i="40"/>
  <c r="G8365" i="40"/>
  <c r="G8366" i="40"/>
  <c r="G8367" i="40"/>
  <c r="G8368" i="40"/>
  <c r="G8369" i="40"/>
  <c r="G8370" i="40"/>
  <c r="G8371" i="40"/>
  <c r="G8372" i="40"/>
  <c r="G8373" i="40"/>
  <c r="G8374" i="40"/>
  <c r="G8375" i="40"/>
  <c r="G8376" i="40"/>
  <c r="G8377" i="40"/>
  <c r="G8378" i="40"/>
  <c r="G8379" i="40"/>
  <c r="G8380" i="40"/>
  <c r="G8381" i="40"/>
  <c r="G8382" i="40"/>
  <c r="G8383" i="40"/>
  <c r="G8384" i="40"/>
  <c r="G8385" i="40"/>
  <c r="G8386" i="40"/>
  <c r="G8387" i="40"/>
  <c r="G8388" i="40"/>
  <c r="G8389" i="40"/>
  <c r="G8390" i="40"/>
  <c r="G8391" i="40"/>
  <c r="G8392" i="40"/>
  <c r="G8393" i="40"/>
  <c r="G8394" i="40"/>
  <c r="G8395" i="40"/>
  <c r="G8396" i="40"/>
  <c r="G8397" i="40"/>
  <c r="G8398" i="40"/>
  <c r="G8399" i="40"/>
  <c r="G8400" i="40"/>
  <c r="G8401" i="40"/>
  <c r="G8402" i="40"/>
  <c r="G8403" i="40"/>
  <c r="G8404" i="40"/>
  <c r="G8405" i="40"/>
  <c r="G8406" i="40"/>
  <c r="G8407" i="40"/>
  <c r="G8408" i="40"/>
  <c r="G8409" i="40"/>
  <c r="G8410" i="40"/>
  <c r="G8411" i="40"/>
  <c r="G8412" i="40"/>
  <c r="G8413" i="40"/>
  <c r="G8414" i="40"/>
  <c r="G8415" i="40"/>
  <c r="G8416" i="40"/>
  <c r="G8417" i="40"/>
  <c r="G8418" i="40"/>
  <c r="G8419" i="40"/>
  <c r="G8420" i="40"/>
  <c r="G8421" i="40"/>
  <c r="G8422" i="40"/>
  <c r="G8423" i="40"/>
  <c r="G8424" i="40"/>
  <c r="G8425" i="40"/>
  <c r="G8426" i="40"/>
  <c r="G8427" i="40"/>
  <c r="G8428" i="40"/>
  <c r="G8429" i="40"/>
  <c r="G8430" i="40"/>
  <c r="G8431" i="40"/>
  <c r="G8432" i="40"/>
  <c r="G8433" i="40"/>
  <c r="G8434" i="40"/>
  <c r="G8435" i="40"/>
  <c r="G8436" i="40"/>
  <c r="G8437" i="40"/>
  <c r="G8438" i="40"/>
  <c r="G8439" i="40"/>
  <c r="G8440" i="40"/>
  <c r="G8441" i="40"/>
  <c r="G8442" i="40"/>
  <c r="G8443" i="40"/>
  <c r="G8444" i="40"/>
  <c r="G8445" i="40"/>
  <c r="G8446" i="40"/>
  <c r="G8447" i="40"/>
  <c r="G8448" i="40"/>
  <c r="G8449" i="40"/>
  <c r="G8450" i="40"/>
  <c r="G8451" i="40"/>
  <c r="G8452" i="40"/>
  <c r="G8453" i="40"/>
  <c r="G8454" i="40"/>
  <c r="G8455" i="40"/>
  <c r="G8456" i="40"/>
  <c r="G8457" i="40"/>
  <c r="G8458" i="40"/>
  <c r="G8459" i="40"/>
  <c r="G8460" i="40"/>
  <c r="G8461" i="40"/>
  <c r="G8462" i="40"/>
  <c r="G8463" i="40"/>
  <c r="G8464" i="40"/>
  <c r="G8465" i="40"/>
  <c r="G8466" i="40"/>
  <c r="G8467" i="40"/>
  <c r="G8468" i="40"/>
  <c r="G8469" i="40"/>
  <c r="G8470" i="40"/>
  <c r="G8471" i="40"/>
  <c r="G8472" i="40"/>
  <c r="G8473" i="40"/>
  <c r="G8474" i="40"/>
  <c r="G8475" i="40"/>
  <c r="G8476" i="40"/>
  <c r="G8477" i="40"/>
  <c r="G8478" i="40"/>
  <c r="G8479" i="40"/>
  <c r="G8480" i="40"/>
  <c r="G8481" i="40"/>
  <c r="G8482" i="40"/>
  <c r="G8483" i="40"/>
  <c r="G8484" i="40"/>
  <c r="G8485" i="40"/>
  <c r="G8486" i="40"/>
  <c r="G8487" i="40"/>
  <c r="G8488" i="40"/>
  <c r="G8489" i="40"/>
  <c r="G8490" i="40"/>
  <c r="B618" i="40"/>
  <c r="B791" i="40"/>
  <c r="B2386" i="40"/>
  <c r="B2539" i="40"/>
  <c r="B3219" i="40"/>
  <c r="B4201" i="40"/>
  <c r="B5662" i="40"/>
  <c r="J18877" i="39" l="1"/>
  <c r="J18876" i="39"/>
  <c r="J18875" i="39"/>
  <c r="J18874" i="39"/>
  <c r="J18873" i="39"/>
  <c r="J18872" i="39"/>
  <c r="J18871" i="39"/>
  <c r="J18870" i="39"/>
  <c r="J18869" i="39"/>
  <c r="J18868" i="39"/>
  <c r="J18867" i="39"/>
  <c r="J18866" i="39"/>
  <c r="J18865" i="39"/>
  <c r="J18864" i="39"/>
  <c r="J18863" i="39"/>
  <c r="J18862" i="39"/>
  <c r="J18861" i="39"/>
  <c r="J18860" i="39"/>
  <c r="J18859" i="39"/>
  <c r="J18858" i="39"/>
  <c r="J18857" i="39"/>
  <c r="J18856" i="39"/>
  <c r="J18855" i="39"/>
  <c r="J18854" i="39"/>
  <c r="J18853" i="39"/>
  <c r="J18852" i="39"/>
  <c r="J18851" i="39"/>
  <c r="J18850" i="39"/>
  <c r="J18849" i="39"/>
  <c r="J18848" i="39"/>
  <c r="J18847" i="39"/>
  <c r="J18846" i="39"/>
  <c r="J18845" i="39"/>
  <c r="J18844" i="39"/>
  <c r="J18843" i="39"/>
  <c r="J18842" i="39"/>
  <c r="J18841" i="39"/>
  <c r="J18840" i="39"/>
  <c r="J18839" i="39"/>
  <c r="J18838" i="39"/>
  <c r="J18837" i="39"/>
  <c r="J18836" i="39"/>
  <c r="J18835" i="39"/>
  <c r="J18834" i="39"/>
  <c r="J18833" i="39"/>
  <c r="J18832" i="39"/>
  <c r="J18831" i="39"/>
  <c r="J18830" i="39"/>
  <c r="J18829" i="39"/>
  <c r="J18828" i="39"/>
  <c r="J18827" i="39"/>
  <c r="J18826" i="39"/>
  <c r="J18825" i="39"/>
  <c r="J18824" i="39"/>
  <c r="J18823" i="39"/>
  <c r="J18822" i="39"/>
  <c r="J18821" i="39"/>
  <c r="J18820" i="39"/>
  <c r="J18819" i="39"/>
  <c r="J18818" i="39"/>
  <c r="J18817" i="39"/>
  <c r="J18816" i="39"/>
  <c r="J18815" i="39"/>
  <c r="J18814" i="39"/>
  <c r="J18813" i="39"/>
  <c r="J18812" i="39"/>
  <c r="J18811" i="39"/>
  <c r="J18810" i="39"/>
  <c r="J18809" i="39"/>
  <c r="J18808" i="39"/>
  <c r="J18807" i="39"/>
  <c r="J18806" i="39"/>
  <c r="J18805" i="39"/>
  <c r="J18804" i="39"/>
  <c r="J18803" i="39"/>
  <c r="J18802" i="39"/>
  <c r="J18801" i="39"/>
  <c r="J18800" i="39"/>
  <c r="J18799" i="39"/>
  <c r="J18798" i="39"/>
  <c r="J18797" i="39"/>
  <c r="J18796" i="39"/>
  <c r="J18795" i="39"/>
  <c r="J18794" i="39"/>
  <c r="J18793" i="39"/>
  <c r="J18792" i="39"/>
  <c r="J18791" i="39"/>
  <c r="J18790" i="39"/>
  <c r="J18789" i="39"/>
  <c r="J18788" i="39"/>
  <c r="J18787" i="39"/>
  <c r="J18786" i="39"/>
  <c r="J18785" i="39"/>
  <c r="J18784" i="39"/>
  <c r="J18783" i="39"/>
  <c r="J18782" i="39"/>
  <c r="J18781" i="39"/>
  <c r="J18780" i="39"/>
  <c r="J18779" i="39"/>
  <c r="J18778" i="39"/>
  <c r="J18777" i="39"/>
  <c r="J18776" i="39"/>
  <c r="J18775" i="39"/>
  <c r="J18774" i="39"/>
  <c r="J18773" i="39"/>
  <c r="J18772" i="39"/>
  <c r="J18771" i="39"/>
  <c r="J18770" i="39"/>
  <c r="J18769" i="39"/>
  <c r="J18768" i="39"/>
  <c r="J18767" i="39"/>
  <c r="J18766" i="39"/>
  <c r="J18765" i="39"/>
  <c r="J18764" i="39"/>
  <c r="J18763" i="39"/>
  <c r="J18762" i="39"/>
  <c r="J18761" i="39"/>
  <c r="J18760" i="39"/>
  <c r="J18759" i="39"/>
  <c r="J18758" i="39"/>
  <c r="J18757" i="39"/>
  <c r="J18756" i="39"/>
  <c r="J18755" i="39"/>
  <c r="J18754" i="39"/>
  <c r="J18753" i="39"/>
  <c r="J18752" i="39"/>
  <c r="J18751" i="39"/>
  <c r="J18750" i="39"/>
  <c r="J18749" i="39"/>
  <c r="J18748" i="39"/>
  <c r="J18747" i="39"/>
  <c r="J18746" i="39"/>
  <c r="J18745" i="39"/>
  <c r="J18744" i="39"/>
  <c r="J18743" i="39"/>
  <c r="J18742" i="39"/>
  <c r="J18741" i="39"/>
  <c r="J18740" i="39"/>
  <c r="J18739" i="39"/>
  <c r="J18738" i="39"/>
  <c r="J18737" i="39"/>
  <c r="J18736" i="39"/>
  <c r="J18735" i="39"/>
  <c r="J18734" i="39"/>
  <c r="J18733" i="39"/>
  <c r="J18732" i="39"/>
  <c r="J18731" i="39"/>
  <c r="J18730" i="39"/>
  <c r="J18729" i="39"/>
  <c r="J18728" i="39"/>
  <c r="J18727" i="39"/>
  <c r="J18726" i="39"/>
  <c r="J18725" i="39"/>
  <c r="J18724" i="39"/>
  <c r="J18723" i="39"/>
  <c r="J18722" i="39"/>
  <c r="J18721" i="39"/>
  <c r="J18720" i="39"/>
  <c r="J18719" i="39"/>
  <c r="J18718" i="39"/>
  <c r="J18717" i="39"/>
  <c r="J18716" i="39"/>
  <c r="J18715" i="39"/>
  <c r="J18714" i="39"/>
  <c r="J18713" i="39"/>
  <c r="J18712" i="39"/>
  <c r="J18711" i="39"/>
  <c r="J18710" i="39"/>
  <c r="J18709" i="39"/>
  <c r="J18708" i="39"/>
  <c r="J18707" i="39"/>
  <c r="J18706" i="39"/>
  <c r="J18705" i="39"/>
  <c r="J18704" i="39"/>
  <c r="J18703" i="39"/>
  <c r="J18702" i="39"/>
  <c r="J18701" i="39"/>
  <c r="J18700" i="39"/>
  <c r="J18699" i="39"/>
  <c r="J18698" i="39"/>
  <c r="J18697" i="39"/>
  <c r="J18696" i="39"/>
  <c r="J18695" i="39"/>
  <c r="J18694" i="39"/>
  <c r="J18693" i="39"/>
  <c r="J18692" i="39"/>
  <c r="J18691" i="39"/>
  <c r="J18690" i="39"/>
  <c r="J18689" i="39"/>
  <c r="J18688" i="39"/>
  <c r="J18687" i="39"/>
  <c r="J18686" i="39"/>
  <c r="J18685" i="39"/>
  <c r="J18684" i="39"/>
  <c r="J18683" i="39"/>
  <c r="J18682" i="39"/>
  <c r="J18681" i="39"/>
  <c r="J18680" i="39"/>
  <c r="J18679" i="39"/>
  <c r="J18678" i="39"/>
  <c r="J18677" i="39"/>
  <c r="J18676" i="39"/>
  <c r="J18675" i="39"/>
  <c r="J18674" i="39"/>
  <c r="J18673" i="39"/>
  <c r="J18672" i="39"/>
  <c r="J18671" i="39"/>
  <c r="J18670" i="39"/>
  <c r="J18669" i="39"/>
  <c r="J18668" i="39"/>
  <c r="J18667" i="39"/>
  <c r="J18666" i="39"/>
  <c r="J18665" i="39"/>
  <c r="J18664" i="39"/>
  <c r="J18663" i="39"/>
  <c r="J18662" i="39"/>
  <c r="J18661" i="39"/>
  <c r="J18660" i="39"/>
  <c r="J18659" i="39"/>
  <c r="J18658" i="39"/>
  <c r="J18657" i="39"/>
  <c r="J18656" i="39"/>
  <c r="J18655" i="39"/>
  <c r="J18654" i="39"/>
  <c r="J18653" i="39"/>
  <c r="J18652" i="39"/>
  <c r="J18651" i="39"/>
  <c r="J18650" i="39"/>
  <c r="J18649" i="39"/>
  <c r="J18648" i="39"/>
  <c r="J18647" i="39"/>
  <c r="J18646" i="39"/>
  <c r="J18645" i="39"/>
  <c r="J18644" i="39"/>
  <c r="J18643" i="39"/>
  <c r="J18642" i="39"/>
  <c r="J18641" i="39"/>
  <c r="J18640" i="39"/>
  <c r="J18639" i="39"/>
  <c r="J18638" i="39"/>
  <c r="J18637" i="39"/>
  <c r="J18636" i="39"/>
  <c r="J18635" i="39"/>
  <c r="J18634" i="39"/>
  <c r="J18633" i="39"/>
  <c r="J18632" i="39"/>
  <c r="J18631" i="39"/>
  <c r="J18630" i="39"/>
  <c r="J18629" i="39"/>
  <c r="J18628" i="39"/>
  <c r="J18627" i="39"/>
  <c r="J18626" i="39"/>
  <c r="J18625" i="39"/>
  <c r="J18624" i="39"/>
  <c r="J18623" i="39"/>
  <c r="J18622" i="39"/>
  <c r="J18621" i="39"/>
  <c r="J18620" i="39"/>
  <c r="J18619" i="39"/>
  <c r="J18618" i="39"/>
  <c r="J18617" i="39"/>
  <c r="J18616" i="39"/>
  <c r="J18615" i="39"/>
  <c r="J18614" i="39"/>
  <c r="J18613" i="39"/>
  <c r="J18612" i="39"/>
  <c r="J18611" i="39"/>
  <c r="J18610" i="39"/>
  <c r="J18609" i="39"/>
  <c r="J18608" i="39"/>
  <c r="J18607" i="39"/>
  <c r="J18606" i="39"/>
  <c r="J18605" i="39"/>
  <c r="J18604" i="39"/>
  <c r="J18603" i="39"/>
  <c r="J18602" i="39"/>
  <c r="J18601" i="39"/>
  <c r="J18600" i="39"/>
  <c r="J18599" i="39"/>
  <c r="J18598" i="39"/>
  <c r="J18597" i="39"/>
  <c r="J18596" i="39"/>
  <c r="J18595" i="39"/>
  <c r="J18594" i="39"/>
  <c r="J18593" i="39"/>
  <c r="J18592" i="39"/>
  <c r="J18591" i="39"/>
  <c r="J18590" i="39"/>
  <c r="J18589" i="39"/>
  <c r="J18588" i="39"/>
  <c r="B18588" i="39"/>
  <c r="J18587" i="39"/>
  <c r="J18586" i="39"/>
  <c r="J18585" i="39"/>
  <c r="J18584" i="39"/>
  <c r="J18583" i="39"/>
  <c r="J18582" i="39"/>
  <c r="J18581" i="39"/>
  <c r="J18580" i="39"/>
  <c r="J18579" i="39"/>
  <c r="J18578" i="39"/>
  <c r="J18577" i="39"/>
  <c r="J18576" i="39"/>
  <c r="J18575" i="39"/>
  <c r="J18574" i="39"/>
  <c r="J18573" i="39"/>
  <c r="J18572" i="39"/>
  <c r="J18571" i="39"/>
  <c r="J18570" i="39"/>
  <c r="J18569" i="39"/>
  <c r="J18568" i="39"/>
  <c r="J18567" i="39"/>
  <c r="J18566" i="39"/>
  <c r="J18565" i="39"/>
  <c r="J18564" i="39"/>
  <c r="J18563" i="39"/>
  <c r="J18562" i="39"/>
  <c r="J18561" i="39"/>
  <c r="J18560" i="39"/>
  <c r="J18559" i="39"/>
  <c r="J18558" i="39"/>
  <c r="J18557" i="39"/>
  <c r="J18556" i="39"/>
  <c r="J18555" i="39"/>
  <c r="J18554" i="39"/>
  <c r="J18553" i="39"/>
  <c r="J18552" i="39"/>
  <c r="J18551" i="39"/>
  <c r="J18550" i="39"/>
  <c r="J18549" i="39"/>
  <c r="J18548" i="39"/>
  <c r="J18547" i="39"/>
  <c r="J18546" i="39"/>
  <c r="J18545" i="39"/>
  <c r="J18544" i="39"/>
  <c r="J18543" i="39"/>
  <c r="J18542" i="39"/>
  <c r="J18541" i="39"/>
  <c r="J18540" i="39"/>
  <c r="J18539" i="39"/>
  <c r="J18538" i="39"/>
  <c r="J18537" i="39"/>
  <c r="J18536" i="39"/>
  <c r="J18535" i="39"/>
  <c r="J18534" i="39"/>
  <c r="J18533" i="39"/>
  <c r="J18532" i="39"/>
  <c r="J18531" i="39"/>
  <c r="J18530" i="39"/>
  <c r="J18529" i="39"/>
  <c r="J18528" i="39"/>
  <c r="J18527" i="39"/>
  <c r="J18526" i="39"/>
  <c r="J18525" i="39"/>
  <c r="J18524" i="39"/>
  <c r="J18523" i="39"/>
  <c r="J18522" i="39"/>
  <c r="J18521" i="39"/>
  <c r="J18520" i="39"/>
  <c r="J18519" i="39"/>
  <c r="J18518" i="39"/>
  <c r="J18517" i="39"/>
  <c r="J18516" i="39"/>
  <c r="J18515" i="39"/>
  <c r="J18514" i="39"/>
  <c r="J18513" i="39"/>
  <c r="J18512" i="39"/>
  <c r="J18511" i="39"/>
  <c r="J18510" i="39"/>
  <c r="J18509" i="39"/>
  <c r="J18508" i="39"/>
  <c r="J18507" i="39"/>
  <c r="J18506" i="39"/>
  <c r="J18505" i="39"/>
  <c r="J18504" i="39"/>
  <c r="J18503" i="39"/>
  <c r="J18502" i="39"/>
  <c r="J18501" i="39"/>
  <c r="J18500" i="39"/>
  <c r="J18499" i="39"/>
  <c r="J18498" i="39"/>
  <c r="J18497" i="39"/>
  <c r="J18496" i="39"/>
  <c r="J18495" i="39"/>
  <c r="J18494" i="39"/>
  <c r="J18493" i="39"/>
  <c r="J18492" i="39"/>
  <c r="J18491" i="39"/>
  <c r="J18490" i="39"/>
  <c r="J18489" i="39"/>
  <c r="J18488" i="39"/>
  <c r="J18487" i="39"/>
  <c r="J18486" i="39"/>
  <c r="J18485" i="39"/>
  <c r="J18484" i="39"/>
  <c r="J18483" i="39"/>
  <c r="J18482" i="39"/>
  <c r="J18481" i="39"/>
  <c r="J18480" i="39"/>
  <c r="J18479" i="39"/>
  <c r="J18478" i="39"/>
  <c r="J18477" i="39"/>
  <c r="J18476" i="39"/>
  <c r="J18475" i="39"/>
  <c r="J18474" i="39"/>
  <c r="J18473" i="39"/>
  <c r="J18472" i="39"/>
  <c r="J18471" i="39"/>
  <c r="J18470" i="39"/>
  <c r="J18469" i="39"/>
  <c r="J18468" i="39"/>
  <c r="J18467" i="39"/>
  <c r="J18466" i="39"/>
  <c r="J18465" i="39"/>
  <c r="J18464" i="39"/>
  <c r="J18463" i="39"/>
  <c r="J18462" i="39"/>
  <c r="J18461" i="39"/>
  <c r="J18460" i="39"/>
  <c r="J18459" i="39"/>
  <c r="J18458" i="39"/>
  <c r="J18457" i="39"/>
  <c r="J18456" i="39"/>
  <c r="J18455" i="39"/>
  <c r="J18454" i="39"/>
  <c r="J18453" i="39"/>
  <c r="J18452" i="39"/>
  <c r="J18451" i="39"/>
  <c r="J18450" i="39"/>
  <c r="J18449" i="39"/>
  <c r="J18448" i="39"/>
  <c r="J18447" i="39"/>
  <c r="J18446" i="39"/>
  <c r="J18445" i="39"/>
  <c r="J18444" i="39"/>
  <c r="J18443" i="39"/>
  <c r="J18442" i="39"/>
  <c r="J18441" i="39"/>
  <c r="J18440" i="39"/>
  <c r="J18439" i="39"/>
  <c r="J18438" i="39"/>
  <c r="J18437" i="39"/>
  <c r="J18436" i="39"/>
  <c r="J18435" i="39"/>
  <c r="J18434" i="39"/>
  <c r="J18433" i="39"/>
  <c r="J18432" i="39"/>
  <c r="J18431" i="39"/>
  <c r="J18430" i="39"/>
  <c r="J18429" i="39"/>
  <c r="J18428" i="39"/>
  <c r="J18427" i="39"/>
  <c r="J18426" i="39"/>
  <c r="J18425" i="39"/>
  <c r="J18424" i="39"/>
  <c r="J18423" i="39"/>
  <c r="J18422" i="39"/>
  <c r="J18421" i="39"/>
  <c r="J18420" i="39"/>
  <c r="J18419" i="39"/>
  <c r="J18418" i="39"/>
  <c r="J18417" i="39"/>
  <c r="J18416" i="39"/>
  <c r="J18415" i="39"/>
  <c r="J18414" i="39"/>
  <c r="J18413" i="39"/>
  <c r="J18412" i="39"/>
  <c r="J18411" i="39"/>
  <c r="J18410" i="39"/>
  <c r="J18409" i="39"/>
  <c r="J18408" i="39"/>
  <c r="J18407" i="39"/>
  <c r="J18406" i="39"/>
  <c r="J18405" i="39"/>
  <c r="J18404" i="39"/>
  <c r="J18403" i="39"/>
  <c r="J18402" i="39"/>
  <c r="J18401" i="39"/>
  <c r="B18401" i="39"/>
  <c r="J18400" i="39"/>
  <c r="J18399" i="39"/>
  <c r="J18398" i="39"/>
  <c r="J18397" i="39"/>
  <c r="J18396" i="39"/>
  <c r="J18395" i="39"/>
  <c r="J18394" i="39"/>
  <c r="J18393" i="39"/>
  <c r="J18392" i="39"/>
  <c r="J18391" i="39"/>
  <c r="J18390" i="39"/>
  <c r="J18389" i="39"/>
  <c r="J18388" i="39"/>
  <c r="J18387" i="39"/>
  <c r="J18386" i="39"/>
  <c r="J18385" i="39"/>
  <c r="J18384" i="39"/>
  <c r="J18383" i="39"/>
  <c r="J18382" i="39"/>
  <c r="J18381" i="39"/>
  <c r="J18380" i="39"/>
  <c r="J18379" i="39"/>
  <c r="J18378" i="39"/>
  <c r="J18377" i="39"/>
  <c r="J18376" i="39"/>
  <c r="J18375" i="39"/>
  <c r="J18374" i="39"/>
  <c r="J18373" i="39"/>
  <c r="J18372" i="39"/>
  <c r="J18371" i="39"/>
  <c r="J18370" i="39"/>
  <c r="J18369" i="39"/>
  <c r="J18368" i="39"/>
  <c r="J18367" i="39"/>
  <c r="J18366" i="39"/>
  <c r="J18365" i="39"/>
  <c r="J18364" i="39"/>
  <c r="J18363" i="39"/>
  <c r="J18362" i="39"/>
  <c r="J18361" i="39"/>
  <c r="J18360" i="39"/>
  <c r="J18359" i="39"/>
  <c r="J18358" i="39"/>
  <c r="J18357" i="39"/>
  <c r="J18356" i="39"/>
  <c r="J18355" i="39"/>
  <c r="J18354" i="39"/>
  <c r="J18353" i="39"/>
  <c r="J18352" i="39"/>
  <c r="J18351" i="39"/>
  <c r="J18350" i="39"/>
  <c r="J18349" i="39"/>
  <c r="J18348" i="39"/>
  <c r="J18347" i="39"/>
  <c r="J18346" i="39"/>
  <c r="J18345" i="39"/>
  <c r="J18344" i="39"/>
  <c r="J18343" i="39"/>
  <c r="J18342" i="39"/>
  <c r="J18341" i="39"/>
  <c r="J18340" i="39"/>
  <c r="J18339" i="39"/>
  <c r="J18338" i="39"/>
  <c r="J18337" i="39"/>
  <c r="J18336" i="39"/>
  <c r="J18335" i="39"/>
  <c r="J18334" i="39"/>
  <c r="J18333" i="39"/>
  <c r="J18332" i="39"/>
  <c r="J18331" i="39"/>
  <c r="J18330" i="39"/>
  <c r="J18329" i="39"/>
  <c r="J18328" i="39"/>
  <c r="J18327" i="39"/>
  <c r="J18326" i="39"/>
  <c r="J18325" i="39"/>
  <c r="J18324" i="39"/>
  <c r="J18323" i="39"/>
  <c r="J18322" i="39"/>
  <c r="J18321" i="39"/>
  <c r="J18320" i="39"/>
  <c r="J18319" i="39"/>
  <c r="J18318" i="39"/>
  <c r="J18317" i="39"/>
  <c r="J18316" i="39"/>
  <c r="J18315" i="39"/>
  <c r="J18314" i="39"/>
  <c r="J18313" i="39"/>
  <c r="J18312" i="39"/>
  <c r="J18311" i="39"/>
  <c r="J18310" i="39"/>
  <c r="J18309" i="39"/>
  <c r="J18308" i="39"/>
  <c r="J18307" i="39"/>
  <c r="J18306" i="39"/>
  <c r="J18305" i="39"/>
  <c r="J18304" i="39"/>
  <c r="J18303" i="39"/>
  <c r="J18302" i="39"/>
  <c r="J18301" i="39"/>
  <c r="J18300" i="39"/>
  <c r="J18299" i="39"/>
  <c r="J18298" i="39"/>
  <c r="J18297" i="39"/>
  <c r="J18296" i="39"/>
  <c r="J18295" i="39"/>
  <c r="J18294" i="39"/>
  <c r="J18293" i="39"/>
  <c r="J18292" i="39"/>
  <c r="J18291" i="39"/>
  <c r="J18290" i="39"/>
  <c r="J18289" i="39"/>
  <c r="J18288" i="39"/>
  <c r="J18287" i="39"/>
  <c r="J18286" i="39"/>
  <c r="J18285" i="39"/>
  <c r="J18284" i="39"/>
  <c r="J18283" i="39"/>
  <c r="J18282" i="39"/>
  <c r="J18281" i="39"/>
  <c r="J18280" i="39"/>
  <c r="J18279" i="39"/>
  <c r="J18278" i="39"/>
  <c r="J18277" i="39"/>
  <c r="J18276" i="39"/>
  <c r="J18275" i="39"/>
  <c r="J18274" i="39"/>
  <c r="J18273" i="39"/>
  <c r="J18272" i="39"/>
  <c r="J18271" i="39"/>
  <c r="J18270" i="39"/>
  <c r="J18269" i="39"/>
  <c r="J18268" i="39"/>
  <c r="J18267" i="39"/>
  <c r="J18266" i="39"/>
  <c r="J18265" i="39"/>
  <c r="J18264" i="39"/>
  <c r="J18263" i="39"/>
  <c r="J18262" i="39"/>
  <c r="J18261" i="39"/>
  <c r="J18260" i="39"/>
  <c r="J18259" i="39"/>
  <c r="J18258" i="39"/>
  <c r="J18257" i="39"/>
  <c r="J18256" i="39"/>
  <c r="J18255" i="39"/>
  <c r="J18254" i="39"/>
  <c r="J18253" i="39"/>
  <c r="J18252" i="39"/>
  <c r="J18251" i="39"/>
  <c r="J18250" i="39"/>
  <c r="J18249" i="39"/>
  <c r="J18248" i="39"/>
  <c r="J18247" i="39"/>
  <c r="J18246" i="39"/>
  <c r="J18245" i="39"/>
  <c r="J18244" i="39"/>
  <c r="J18243" i="39"/>
  <c r="J18242" i="39"/>
  <c r="J18241" i="39"/>
  <c r="J18240" i="39"/>
  <c r="J18239" i="39"/>
  <c r="J18238" i="39"/>
  <c r="J18237" i="39"/>
  <c r="J18236" i="39"/>
  <c r="J18235" i="39"/>
  <c r="J18234" i="39"/>
  <c r="J18233" i="39"/>
  <c r="J18232" i="39"/>
  <c r="J18231" i="39"/>
  <c r="J18230" i="39"/>
  <c r="J18229" i="39"/>
  <c r="J18228" i="39"/>
  <c r="J18227" i="39"/>
  <c r="J18226" i="39"/>
  <c r="J18225" i="39"/>
  <c r="J18224" i="39"/>
  <c r="J18223" i="39"/>
  <c r="J18222" i="39"/>
  <c r="J18221" i="39"/>
  <c r="J18220" i="39"/>
  <c r="J18219" i="39"/>
  <c r="J18218" i="39"/>
  <c r="J18217" i="39"/>
  <c r="J18216" i="39"/>
  <c r="J18215" i="39"/>
  <c r="J18214" i="39"/>
  <c r="J18213" i="39"/>
  <c r="J18212" i="39"/>
  <c r="J18211" i="39"/>
  <c r="J18210" i="39"/>
  <c r="J18209" i="39"/>
  <c r="J18208" i="39"/>
  <c r="J18207" i="39"/>
  <c r="J18206" i="39"/>
  <c r="J18205" i="39"/>
  <c r="J18204" i="39"/>
  <c r="J18203" i="39"/>
  <c r="J18202" i="39"/>
  <c r="J18201" i="39"/>
  <c r="J18200" i="39"/>
  <c r="J18199" i="39"/>
  <c r="J18198" i="39"/>
  <c r="J18197" i="39"/>
  <c r="J18196" i="39"/>
  <c r="J18195" i="39"/>
  <c r="J18194" i="39"/>
  <c r="B18194" i="39"/>
  <c r="J18193" i="39"/>
  <c r="J18192" i="39"/>
  <c r="J18191" i="39"/>
  <c r="J18190" i="39"/>
  <c r="J18189" i="39"/>
  <c r="J18188" i="39"/>
  <c r="J18187" i="39"/>
  <c r="J18186" i="39"/>
  <c r="J18185" i="39"/>
  <c r="J18184" i="39"/>
  <c r="J18183" i="39"/>
  <c r="J18182" i="39"/>
  <c r="J18181" i="39"/>
  <c r="J18180" i="39"/>
  <c r="J18179" i="39"/>
  <c r="J18178" i="39"/>
  <c r="J18177" i="39"/>
  <c r="J18176" i="39"/>
  <c r="J18175" i="39"/>
  <c r="J18174" i="39"/>
  <c r="J18173" i="39"/>
  <c r="J18172" i="39"/>
  <c r="J18171" i="39"/>
  <c r="J18170" i="39"/>
  <c r="J18169" i="39"/>
  <c r="J18168" i="39"/>
  <c r="J18167" i="39"/>
  <c r="J18166" i="39"/>
  <c r="J18165" i="39"/>
  <c r="J18164" i="39"/>
  <c r="J18163" i="39"/>
  <c r="J18162" i="39"/>
  <c r="J18161" i="39"/>
  <c r="J18160" i="39"/>
  <c r="J18159" i="39"/>
  <c r="J18158" i="39"/>
  <c r="J18157" i="39"/>
  <c r="J18156" i="39"/>
  <c r="J18155" i="39"/>
  <c r="J18154" i="39"/>
  <c r="J18153" i="39"/>
  <c r="J18152" i="39"/>
  <c r="J18151" i="39"/>
  <c r="J18150" i="39"/>
  <c r="J18149" i="39"/>
  <c r="J18148" i="39"/>
  <c r="J18147" i="39"/>
  <c r="J18146" i="39"/>
  <c r="J18145" i="39"/>
  <c r="J18144" i="39"/>
  <c r="J18143" i="39"/>
  <c r="J18142" i="39"/>
  <c r="J18141" i="39"/>
  <c r="J18140" i="39"/>
  <c r="J18139" i="39"/>
  <c r="J18138" i="39"/>
  <c r="J18137" i="39"/>
  <c r="J18136" i="39"/>
  <c r="J18135" i="39"/>
  <c r="J18134" i="39"/>
  <c r="J18133" i="39"/>
  <c r="J18132" i="39"/>
  <c r="J18131" i="39"/>
  <c r="J18130" i="39"/>
  <c r="J18129" i="39"/>
  <c r="J18128" i="39"/>
  <c r="J18127" i="39"/>
  <c r="J18126" i="39"/>
  <c r="J18125" i="39"/>
  <c r="J18124" i="39"/>
  <c r="J18123" i="39"/>
  <c r="J18122" i="39"/>
  <c r="J18121" i="39"/>
  <c r="J18120" i="39"/>
  <c r="J18119" i="39"/>
  <c r="J18118" i="39"/>
  <c r="J18117" i="39"/>
  <c r="J18116" i="39"/>
  <c r="B18116" i="39"/>
  <c r="J18115" i="39"/>
  <c r="J18114" i="39"/>
  <c r="J18113" i="39"/>
  <c r="J18112" i="39"/>
  <c r="J18111" i="39"/>
  <c r="J18110" i="39"/>
  <c r="J18109" i="39"/>
  <c r="J18108" i="39"/>
  <c r="J18107" i="39"/>
  <c r="J18106" i="39"/>
  <c r="J18105" i="39"/>
  <c r="J18104" i="39"/>
  <c r="J18103" i="39"/>
  <c r="J18102" i="39"/>
  <c r="J18101" i="39"/>
  <c r="J18100" i="39"/>
  <c r="J18099" i="39"/>
  <c r="J18098" i="39"/>
  <c r="J18097" i="39"/>
  <c r="J18096" i="39"/>
  <c r="J18095" i="39"/>
  <c r="J18094" i="39"/>
  <c r="J18093" i="39"/>
  <c r="J18092" i="39"/>
  <c r="J18091" i="39"/>
  <c r="J18090" i="39"/>
  <c r="J18089" i="39"/>
  <c r="J18088" i="39"/>
  <c r="J18087" i="39"/>
  <c r="J18086" i="39"/>
  <c r="J18085" i="39"/>
  <c r="J18084" i="39"/>
  <c r="J18083" i="39"/>
  <c r="J18082" i="39"/>
  <c r="J18081" i="39"/>
  <c r="J18080" i="39"/>
  <c r="J18079" i="39"/>
  <c r="J18078" i="39"/>
  <c r="J18077" i="39"/>
  <c r="J18076" i="39"/>
  <c r="J18075" i="39"/>
  <c r="J18074" i="39"/>
  <c r="J18073" i="39"/>
  <c r="J18072" i="39"/>
  <c r="J18071" i="39"/>
  <c r="J18070" i="39"/>
  <c r="J18069" i="39"/>
  <c r="J18068" i="39"/>
  <c r="J18067" i="39"/>
  <c r="J18066" i="39"/>
  <c r="J18065" i="39"/>
  <c r="J18064" i="39"/>
  <c r="J18063" i="39"/>
  <c r="J18062" i="39"/>
  <c r="J18061" i="39"/>
  <c r="J18060" i="39"/>
  <c r="J18059" i="39"/>
  <c r="J18058" i="39"/>
  <c r="J18057" i="39"/>
  <c r="J18056" i="39"/>
  <c r="J18055" i="39"/>
  <c r="J18054" i="39"/>
  <c r="J18053" i="39"/>
  <c r="J18052" i="39"/>
  <c r="J18051" i="39"/>
  <c r="J18050" i="39"/>
  <c r="J18049" i="39"/>
  <c r="J18048" i="39"/>
  <c r="J18047" i="39"/>
  <c r="J18046" i="39"/>
  <c r="J18045" i="39"/>
  <c r="J18044" i="39"/>
  <c r="J18043" i="39"/>
  <c r="J18042" i="39"/>
  <c r="J18041" i="39"/>
  <c r="J18040" i="39"/>
  <c r="J18039" i="39"/>
  <c r="J18038" i="39"/>
  <c r="J18037" i="39"/>
  <c r="J18036" i="39"/>
  <c r="J18035" i="39"/>
  <c r="J18034" i="39"/>
  <c r="J18033" i="39"/>
  <c r="J18032" i="39"/>
  <c r="J18031" i="39"/>
  <c r="J18030" i="39"/>
  <c r="J18029" i="39"/>
  <c r="J18028" i="39"/>
  <c r="J18027" i="39"/>
  <c r="J18026" i="39"/>
  <c r="J18025" i="39"/>
  <c r="J18024" i="39"/>
  <c r="J18023" i="39"/>
  <c r="J18022" i="39"/>
  <c r="J18021" i="39"/>
  <c r="J18020" i="39"/>
  <c r="J18019" i="39"/>
  <c r="J18018" i="39"/>
  <c r="J18017" i="39"/>
  <c r="J18016" i="39"/>
  <c r="J18015" i="39"/>
  <c r="J18014" i="39"/>
  <c r="J18013" i="39"/>
  <c r="J18012" i="39"/>
  <c r="J18011" i="39"/>
  <c r="J18010" i="39"/>
  <c r="J18009" i="39"/>
  <c r="J18008" i="39"/>
  <c r="J18007" i="39"/>
  <c r="J18006" i="39"/>
  <c r="J18005" i="39"/>
  <c r="J18004" i="39"/>
  <c r="J18003" i="39"/>
  <c r="J18002" i="39"/>
  <c r="J18001" i="39"/>
  <c r="J18000" i="39"/>
  <c r="J17999" i="39"/>
  <c r="J17998" i="39"/>
  <c r="J17997" i="39"/>
  <c r="J17996" i="39"/>
  <c r="J17995" i="39"/>
  <c r="J17994" i="39"/>
  <c r="J17993" i="39"/>
  <c r="J17992" i="39"/>
  <c r="J17991" i="39"/>
  <c r="J17990" i="39"/>
  <c r="J17989" i="39"/>
  <c r="J17988" i="39"/>
  <c r="J17987" i="39"/>
  <c r="J17986" i="39"/>
  <c r="J17985" i="39"/>
  <c r="J17984" i="39"/>
  <c r="J17983" i="39"/>
  <c r="J17982" i="39"/>
  <c r="J17981" i="39"/>
  <c r="J17980" i="39"/>
  <c r="J17979" i="39"/>
  <c r="J17978" i="39"/>
  <c r="J17977" i="39"/>
  <c r="J17976" i="39"/>
  <c r="J17975" i="39"/>
  <c r="J17974" i="39"/>
  <c r="J17973" i="39"/>
  <c r="J17972" i="39"/>
  <c r="J17971" i="39"/>
  <c r="J17970" i="39"/>
  <c r="J17969" i="39"/>
  <c r="J17968" i="39"/>
  <c r="J17967" i="39"/>
  <c r="J17966" i="39"/>
  <c r="J17965" i="39"/>
  <c r="J17964" i="39"/>
  <c r="J17963" i="39"/>
  <c r="J17962" i="39"/>
  <c r="J17961" i="39"/>
  <c r="J17960" i="39"/>
  <c r="J17959" i="39"/>
  <c r="J17958" i="39"/>
  <c r="J17957" i="39"/>
  <c r="J17956" i="39"/>
  <c r="J17955" i="39"/>
  <c r="J17954" i="39"/>
  <c r="J17953" i="39"/>
  <c r="J17952" i="39"/>
  <c r="J17951" i="39"/>
  <c r="J17950" i="39"/>
  <c r="J17949" i="39"/>
  <c r="J17948" i="39"/>
  <c r="J17947" i="39"/>
  <c r="J17946" i="39"/>
  <c r="J17945" i="39"/>
  <c r="J17944" i="39"/>
  <c r="J17943" i="39"/>
  <c r="J17942" i="39"/>
  <c r="J17941" i="39"/>
  <c r="J17940" i="39"/>
  <c r="J17939" i="39"/>
  <c r="J17938" i="39"/>
  <c r="J17937" i="39"/>
  <c r="J17936" i="39"/>
  <c r="J17935" i="39"/>
  <c r="J17934" i="39"/>
  <c r="J17933" i="39"/>
  <c r="J17932" i="39"/>
  <c r="J17931" i="39"/>
  <c r="J17930" i="39"/>
  <c r="J17929" i="39"/>
  <c r="J17928" i="39"/>
  <c r="J17927" i="39"/>
  <c r="J17926" i="39"/>
  <c r="J17925" i="39"/>
  <c r="J17924" i="39"/>
  <c r="J17923" i="39"/>
  <c r="J17922" i="39"/>
  <c r="J17921" i="39"/>
  <c r="J17920" i="39"/>
  <c r="J17919" i="39"/>
  <c r="J17918" i="39"/>
  <c r="J17917" i="39"/>
  <c r="J17916" i="39"/>
  <c r="J17915" i="39"/>
  <c r="J17914" i="39"/>
  <c r="J17913" i="39"/>
  <c r="J17912" i="39"/>
  <c r="J17911" i="39"/>
  <c r="J17910" i="39"/>
  <c r="J17909" i="39"/>
  <c r="J17908" i="39"/>
  <c r="J17907" i="39"/>
  <c r="J17906" i="39"/>
  <c r="J17905" i="39"/>
  <c r="J17904" i="39"/>
  <c r="J17903" i="39"/>
  <c r="J17902" i="39"/>
  <c r="J17901" i="39"/>
  <c r="J17900" i="39"/>
  <c r="J17899" i="39"/>
  <c r="J17898" i="39"/>
  <c r="J17897" i="39"/>
  <c r="J17896" i="39"/>
  <c r="J17895" i="39"/>
  <c r="J17894" i="39"/>
  <c r="J17893" i="39"/>
  <c r="J17892" i="39"/>
  <c r="J17891" i="39"/>
  <c r="J17890" i="39"/>
  <c r="J17889" i="39"/>
  <c r="J17888" i="39"/>
  <c r="J17887" i="39"/>
  <c r="J17886" i="39"/>
  <c r="J17885" i="39"/>
  <c r="J17884" i="39"/>
  <c r="J17883" i="39"/>
  <c r="J17882" i="39"/>
  <c r="J17881" i="39"/>
  <c r="J17880" i="39"/>
  <c r="J17879" i="39"/>
  <c r="J17878" i="39"/>
  <c r="J17877" i="39"/>
  <c r="J17876" i="39"/>
  <c r="J17875" i="39"/>
  <c r="J17874" i="39"/>
  <c r="J17873" i="39"/>
  <c r="J17872" i="39"/>
  <c r="J17871" i="39"/>
  <c r="J17870" i="39"/>
  <c r="J17869" i="39"/>
  <c r="J17868" i="39"/>
  <c r="J17867" i="39"/>
  <c r="J17866" i="39"/>
  <c r="J17865" i="39"/>
  <c r="J17864" i="39"/>
  <c r="J17863" i="39"/>
  <c r="J17862" i="39"/>
  <c r="J17861" i="39"/>
  <c r="J17860" i="39"/>
  <c r="J17859" i="39"/>
  <c r="J17858" i="39"/>
  <c r="J17857" i="39"/>
  <c r="J17856" i="39"/>
  <c r="J17855" i="39"/>
  <c r="J17854" i="39"/>
  <c r="J17853" i="39"/>
  <c r="J17852" i="39"/>
  <c r="J17851" i="39"/>
  <c r="J17850" i="39"/>
  <c r="J17849" i="39"/>
  <c r="J17848" i="39"/>
  <c r="J17847" i="39"/>
  <c r="J17846" i="39"/>
  <c r="J17845" i="39"/>
  <c r="J17844" i="39"/>
  <c r="J17843" i="39"/>
  <c r="J17842" i="39"/>
  <c r="J17841" i="39"/>
  <c r="J17840" i="39"/>
  <c r="J17839" i="39"/>
  <c r="J17838" i="39"/>
  <c r="J17837" i="39"/>
  <c r="J17836" i="39"/>
  <c r="J17835" i="39"/>
  <c r="J17834" i="39"/>
  <c r="J17833" i="39"/>
  <c r="J17832" i="39"/>
  <c r="J17831" i="39"/>
  <c r="J17830" i="39"/>
  <c r="B17830" i="39"/>
  <c r="J17829" i="39"/>
  <c r="J17828" i="39"/>
  <c r="J17827" i="39"/>
  <c r="J17826" i="39"/>
  <c r="J17825" i="39"/>
  <c r="J17824" i="39"/>
  <c r="J17823" i="39"/>
  <c r="J17822" i="39"/>
  <c r="J17821" i="39"/>
  <c r="J17820" i="39"/>
  <c r="J17819" i="39"/>
  <c r="J17818" i="39"/>
  <c r="J17817" i="39"/>
  <c r="J17816" i="39"/>
  <c r="J17815" i="39"/>
  <c r="J17814" i="39"/>
  <c r="J17813" i="39"/>
  <c r="J17812" i="39"/>
  <c r="J17811" i="39"/>
  <c r="J17810" i="39"/>
  <c r="J17809" i="39"/>
  <c r="J17808" i="39"/>
  <c r="J17807" i="39"/>
  <c r="J17806" i="39"/>
  <c r="J17805" i="39"/>
  <c r="J17804" i="39"/>
  <c r="J17803" i="39"/>
  <c r="J17802" i="39"/>
  <c r="J17801" i="39"/>
  <c r="J17800" i="39"/>
  <c r="J17799" i="39"/>
  <c r="J17798" i="39"/>
  <c r="J17797" i="39"/>
  <c r="J17796" i="39"/>
  <c r="J17795" i="39"/>
  <c r="J17794" i="39"/>
  <c r="J17793" i="39"/>
  <c r="J17792" i="39"/>
  <c r="J17791" i="39"/>
  <c r="J17790" i="39"/>
  <c r="J17789" i="39"/>
  <c r="J17788" i="39"/>
  <c r="J17787" i="39"/>
  <c r="J17786" i="39"/>
  <c r="J17785" i="39"/>
  <c r="J17784" i="39"/>
  <c r="J17783" i="39"/>
  <c r="J17782" i="39"/>
  <c r="J17781" i="39"/>
  <c r="J17780" i="39"/>
  <c r="J17779" i="39"/>
  <c r="J17778" i="39"/>
  <c r="J17777" i="39"/>
  <c r="J17776" i="39"/>
  <c r="J17775" i="39"/>
  <c r="J17774" i="39"/>
  <c r="J17773" i="39"/>
  <c r="J17772" i="39"/>
  <c r="J17771" i="39"/>
  <c r="J17770" i="39"/>
  <c r="J17769" i="39"/>
  <c r="J17768" i="39"/>
  <c r="J17767" i="39"/>
  <c r="J17766" i="39"/>
  <c r="J17765" i="39"/>
  <c r="J17764" i="39"/>
  <c r="J17763" i="39"/>
  <c r="J17762" i="39"/>
  <c r="J17761" i="39"/>
  <c r="J17760" i="39"/>
  <c r="J17759" i="39"/>
  <c r="J17758" i="39"/>
  <c r="J17757" i="39"/>
  <c r="J17756" i="39"/>
  <c r="J17755" i="39"/>
  <c r="J17754" i="39"/>
  <c r="J17753" i="39"/>
  <c r="J17752" i="39"/>
  <c r="J17751" i="39"/>
  <c r="J17750" i="39"/>
  <c r="J17749" i="39"/>
  <c r="J17748" i="39"/>
  <c r="J17747" i="39"/>
  <c r="J17746" i="39"/>
  <c r="J17745" i="39"/>
  <c r="J17744" i="39"/>
  <c r="J17743" i="39"/>
  <c r="J17742" i="39"/>
  <c r="J17741" i="39"/>
  <c r="J17740" i="39"/>
  <c r="J17739" i="39"/>
  <c r="J17738" i="39"/>
  <c r="J17737" i="39"/>
  <c r="J17736" i="39"/>
  <c r="J17735" i="39"/>
  <c r="J17734" i="39"/>
  <c r="J17733" i="39"/>
  <c r="J17732" i="39"/>
  <c r="J17731" i="39"/>
  <c r="J17730" i="39"/>
  <c r="J17729" i="39"/>
  <c r="J17728" i="39"/>
  <c r="J17727" i="39"/>
  <c r="J17726" i="39"/>
  <c r="J17725" i="39"/>
  <c r="J17724" i="39"/>
  <c r="J17723" i="39"/>
  <c r="J17722" i="39"/>
  <c r="J17721" i="39"/>
  <c r="J17720" i="39"/>
  <c r="J17719" i="39"/>
  <c r="J17718" i="39"/>
  <c r="J17717" i="39"/>
  <c r="J17716" i="39"/>
  <c r="J17715" i="39"/>
  <c r="J17714" i="39"/>
  <c r="J17713" i="39"/>
  <c r="J17712" i="39"/>
  <c r="J17711" i="39"/>
  <c r="J17710" i="39"/>
  <c r="J17709" i="39"/>
  <c r="J17708" i="39"/>
  <c r="J17707" i="39"/>
  <c r="J17706" i="39"/>
  <c r="J17705" i="39"/>
  <c r="J17704" i="39"/>
  <c r="J17703" i="39"/>
  <c r="J17702" i="39"/>
  <c r="J17701" i="39"/>
  <c r="J17700" i="39"/>
  <c r="J17699" i="39"/>
  <c r="J17698" i="39"/>
  <c r="J17697" i="39"/>
  <c r="J17696" i="39"/>
  <c r="J17695" i="39"/>
  <c r="J17694" i="39"/>
  <c r="J17693" i="39"/>
  <c r="J17692" i="39"/>
  <c r="J17691" i="39"/>
  <c r="J17690" i="39"/>
  <c r="J17689" i="39"/>
  <c r="J17688" i="39"/>
  <c r="J17687" i="39"/>
  <c r="J17686" i="39"/>
  <c r="J17685" i="39"/>
  <c r="J17684" i="39"/>
  <c r="J17683" i="39"/>
  <c r="J17682" i="39"/>
  <c r="J17681" i="39"/>
  <c r="J17680" i="39"/>
  <c r="J17679" i="39"/>
  <c r="J17678" i="39"/>
  <c r="J17677" i="39"/>
  <c r="J17676" i="39"/>
  <c r="J17675" i="39"/>
  <c r="J17674" i="39"/>
  <c r="J17673" i="39"/>
  <c r="J17672" i="39"/>
  <c r="J17671" i="39"/>
  <c r="J17670" i="39"/>
  <c r="J17669" i="39"/>
  <c r="J17668" i="39"/>
  <c r="J17667" i="39"/>
  <c r="J17666" i="39"/>
  <c r="J17665" i="39"/>
  <c r="J17664" i="39"/>
  <c r="J17663" i="39"/>
  <c r="J17662" i="39"/>
  <c r="J17661" i="39"/>
  <c r="J17660" i="39"/>
  <c r="J17659" i="39"/>
  <c r="J17658" i="39"/>
  <c r="J17657" i="39"/>
  <c r="J17656" i="39"/>
  <c r="J17655" i="39"/>
  <c r="J17654" i="39"/>
  <c r="J17653" i="39"/>
  <c r="J17652" i="39"/>
  <c r="J17651" i="39"/>
  <c r="J17650" i="39"/>
  <c r="J17649" i="39"/>
  <c r="J17648" i="39"/>
  <c r="J17647" i="39"/>
  <c r="J17646" i="39"/>
  <c r="J17645" i="39"/>
  <c r="J17644" i="39"/>
  <c r="J17643" i="39"/>
  <c r="J17642" i="39"/>
  <c r="J17641" i="39"/>
  <c r="J17640" i="39"/>
  <c r="J17639" i="39"/>
  <c r="J17638" i="39"/>
  <c r="J17637" i="39"/>
  <c r="J17636" i="39"/>
  <c r="J17635" i="39"/>
  <c r="J17634" i="39"/>
  <c r="J17633" i="39"/>
  <c r="J17632" i="39"/>
  <c r="J17631" i="39"/>
  <c r="J17630" i="39"/>
  <c r="J17629" i="39"/>
  <c r="J17628" i="39"/>
  <c r="J17627" i="39"/>
  <c r="J17626" i="39"/>
  <c r="J17625" i="39"/>
  <c r="J17624" i="39"/>
  <c r="J17623" i="39"/>
  <c r="J17622" i="39"/>
  <c r="J17621" i="39"/>
  <c r="J17620" i="39"/>
  <c r="J17619" i="39"/>
  <c r="J17618" i="39"/>
  <c r="J17617" i="39"/>
  <c r="J17616" i="39"/>
  <c r="J17615" i="39"/>
  <c r="J17614" i="39"/>
  <c r="J17613" i="39"/>
  <c r="J17612" i="39"/>
  <c r="J17611" i="39"/>
  <c r="J17610" i="39"/>
  <c r="J17609" i="39"/>
  <c r="J17608" i="39"/>
  <c r="J17607" i="39"/>
  <c r="J17606" i="39"/>
  <c r="J17605" i="39"/>
  <c r="J17604" i="39"/>
  <c r="J17603" i="39"/>
  <c r="J17602" i="39"/>
  <c r="J17601" i="39"/>
  <c r="J17600" i="39"/>
  <c r="J17599" i="39"/>
  <c r="J17598" i="39"/>
  <c r="J17597" i="39"/>
  <c r="J17596" i="39"/>
  <c r="J17595" i="39"/>
  <c r="J17594" i="39"/>
  <c r="J17593" i="39"/>
  <c r="J17592" i="39"/>
  <c r="J17591" i="39"/>
  <c r="J17590" i="39"/>
  <c r="J17589" i="39"/>
  <c r="J17588" i="39"/>
  <c r="J17587" i="39"/>
  <c r="J17586" i="39"/>
  <c r="J17585" i="39"/>
  <c r="J17584" i="39"/>
  <c r="J17583" i="39"/>
  <c r="J17582" i="39"/>
  <c r="J17581" i="39"/>
  <c r="J17580" i="39"/>
  <c r="J17579" i="39"/>
  <c r="J17578" i="39"/>
  <c r="J17577" i="39"/>
  <c r="J17576" i="39"/>
  <c r="J17575" i="39"/>
  <c r="J17574" i="39"/>
  <c r="J17573" i="39"/>
  <c r="J17572" i="39"/>
  <c r="J17571" i="39"/>
  <c r="J17570" i="39"/>
  <c r="J17569" i="39"/>
  <c r="J17568" i="39"/>
  <c r="J17567" i="39"/>
  <c r="J17566" i="39"/>
  <c r="J17565" i="39"/>
  <c r="J17564" i="39"/>
  <c r="J17563" i="39"/>
  <c r="J17562" i="39"/>
  <c r="J17561" i="39"/>
  <c r="J17560" i="39"/>
  <c r="J17559" i="39"/>
  <c r="J17558" i="39"/>
  <c r="J17557" i="39"/>
  <c r="J17556" i="39"/>
  <c r="J17555" i="39"/>
  <c r="J17554" i="39"/>
  <c r="J17553" i="39"/>
  <c r="J17552" i="39"/>
  <c r="J17551" i="39"/>
  <c r="J17550" i="39"/>
  <c r="J17549" i="39"/>
  <c r="J17548" i="39"/>
  <c r="J17547" i="39"/>
  <c r="J17546" i="39"/>
  <c r="J17545" i="39"/>
  <c r="J17544" i="39"/>
  <c r="J17543" i="39"/>
  <c r="J17542" i="39"/>
  <c r="J17541" i="39"/>
  <c r="J17540" i="39"/>
  <c r="J17539" i="39"/>
  <c r="J17538" i="39"/>
  <c r="J17537" i="39"/>
  <c r="J17536" i="39"/>
  <c r="J17535" i="39"/>
  <c r="J17534" i="39"/>
  <c r="J17533" i="39"/>
  <c r="J17532" i="39"/>
  <c r="J17531" i="39"/>
  <c r="J17530" i="39"/>
  <c r="J17529" i="39"/>
  <c r="J17528" i="39"/>
  <c r="J17527" i="39"/>
  <c r="J17526" i="39"/>
  <c r="J17525" i="39"/>
  <c r="J17524" i="39"/>
  <c r="J17523" i="39"/>
  <c r="J17522" i="39"/>
  <c r="J17521" i="39"/>
  <c r="J17520" i="39"/>
  <c r="J17519" i="39"/>
  <c r="J17518" i="39"/>
  <c r="J17517" i="39"/>
  <c r="J17516" i="39"/>
  <c r="J17515" i="39"/>
  <c r="J17514" i="39"/>
  <c r="J17513" i="39"/>
  <c r="J17512" i="39"/>
  <c r="J17511" i="39"/>
  <c r="J17510" i="39"/>
  <c r="J17509" i="39"/>
  <c r="J17508" i="39"/>
  <c r="J17507" i="39"/>
  <c r="J17506" i="39"/>
  <c r="J17505" i="39"/>
  <c r="J17504" i="39"/>
  <c r="J17503" i="39"/>
  <c r="J17502" i="39"/>
  <c r="J17501" i="39"/>
  <c r="J17500" i="39"/>
  <c r="J17499" i="39"/>
  <c r="J17498" i="39"/>
  <c r="J17497" i="39"/>
  <c r="J17496" i="39"/>
  <c r="J17495" i="39"/>
  <c r="J17494" i="39"/>
  <c r="J17493" i="39"/>
  <c r="J17492" i="39"/>
  <c r="J17491" i="39"/>
  <c r="J17490" i="39"/>
  <c r="J17489" i="39"/>
  <c r="J17488" i="39"/>
  <c r="J17487" i="39"/>
  <c r="J17486" i="39"/>
  <c r="J17485" i="39"/>
  <c r="J17484" i="39"/>
  <c r="J17483" i="39"/>
  <c r="J17482" i="39"/>
  <c r="J17481" i="39"/>
  <c r="J17480" i="39"/>
  <c r="J17479" i="39"/>
  <c r="J17478" i="39"/>
  <c r="J17477" i="39"/>
  <c r="J17476" i="39"/>
  <c r="J17475" i="39"/>
  <c r="J17474" i="39"/>
  <c r="J17473" i="39"/>
  <c r="J17472" i="39"/>
  <c r="J17471" i="39"/>
  <c r="J17470" i="39"/>
  <c r="J17469" i="39"/>
  <c r="J17468" i="39"/>
  <c r="J17467" i="39"/>
  <c r="J17466" i="39"/>
  <c r="J17465" i="39"/>
  <c r="B17465" i="39"/>
  <c r="J17464" i="39"/>
  <c r="J17463" i="39"/>
  <c r="J17462" i="39"/>
  <c r="J17461" i="39"/>
  <c r="J17460" i="39"/>
  <c r="J17459" i="39"/>
  <c r="J17458" i="39"/>
  <c r="J17457" i="39"/>
  <c r="J17456" i="39"/>
  <c r="J17455" i="39"/>
  <c r="J17454" i="39"/>
  <c r="J17453" i="39"/>
  <c r="J17452" i="39"/>
  <c r="J17451" i="39"/>
  <c r="J17450" i="39"/>
  <c r="J17449" i="39"/>
  <c r="J17448" i="39"/>
  <c r="J17447" i="39"/>
  <c r="J17446" i="39"/>
  <c r="J17445" i="39"/>
  <c r="J17444" i="39"/>
  <c r="J17443" i="39"/>
  <c r="J17442" i="39"/>
  <c r="J17441" i="39"/>
  <c r="J17440" i="39"/>
  <c r="J17439" i="39"/>
  <c r="J17438" i="39"/>
  <c r="J17437" i="39"/>
  <c r="J17436" i="39"/>
  <c r="J17435" i="39"/>
  <c r="J17434" i="39"/>
  <c r="J17433" i="39"/>
  <c r="J17432" i="39"/>
  <c r="J17431" i="39"/>
  <c r="J17430" i="39"/>
  <c r="J17429" i="39"/>
  <c r="J17428" i="39"/>
  <c r="J17427" i="39"/>
  <c r="J17426" i="39"/>
  <c r="J17425" i="39"/>
  <c r="J17424" i="39"/>
  <c r="J17423" i="39"/>
  <c r="J17422" i="39"/>
  <c r="J17421" i="39"/>
  <c r="J17420" i="39"/>
  <c r="J17419" i="39"/>
  <c r="J17418" i="39"/>
  <c r="J17417" i="39"/>
  <c r="J17416" i="39"/>
  <c r="J17415" i="39"/>
  <c r="J17414" i="39"/>
  <c r="J17413" i="39"/>
  <c r="J17412" i="39"/>
  <c r="J17411" i="39"/>
  <c r="J17410" i="39"/>
  <c r="J17409" i="39"/>
  <c r="J17408" i="39"/>
  <c r="J17407" i="39"/>
  <c r="J17406" i="39"/>
  <c r="J17405" i="39"/>
  <c r="J17404" i="39"/>
  <c r="J17403" i="39"/>
  <c r="J17402" i="39"/>
  <c r="J17401" i="39"/>
  <c r="J17400" i="39"/>
  <c r="J17399" i="39"/>
  <c r="J17398" i="39"/>
  <c r="J17397" i="39"/>
  <c r="J17396" i="39"/>
  <c r="J17395" i="39"/>
  <c r="J17394" i="39"/>
  <c r="J17393" i="39"/>
  <c r="J17392" i="39"/>
  <c r="J17391" i="39"/>
  <c r="J17390" i="39"/>
  <c r="J17389" i="39"/>
  <c r="J17388" i="39"/>
  <c r="J17387" i="39"/>
  <c r="J17386" i="39"/>
  <c r="J17385" i="39"/>
  <c r="J17384" i="39"/>
  <c r="J17383" i="39"/>
  <c r="J17382" i="39"/>
  <c r="J17381" i="39"/>
  <c r="J17380" i="39"/>
  <c r="J17379" i="39"/>
  <c r="J17378" i="39"/>
  <c r="J17377" i="39"/>
  <c r="J17376" i="39"/>
  <c r="J17375" i="39"/>
  <c r="J17374" i="39"/>
  <c r="J17373" i="39"/>
  <c r="J17372" i="39"/>
  <c r="J17371" i="39"/>
  <c r="J17370" i="39"/>
  <c r="J17369" i="39"/>
  <c r="J17368" i="39"/>
  <c r="J17367" i="39"/>
  <c r="J17366" i="39"/>
  <c r="J17365" i="39"/>
  <c r="J17364" i="39"/>
  <c r="J17363" i="39"/>
  <c r="J17362" i="39"/>
  <c r="J17361" i="39"/>
  <c r="J17360" i="39"/>
  <c r="J17359" i="39"/>
  <c r="J17358" i="39"/>
  <c r="J17357" i="39"/>
  <c r="J17356" i="39"/>
  <c r="J17355" i="39"/>
  <c r="J17354" i="39"/>
  <c r="J17353" i="39"/>
  <c r="J17352" i="39"/>
  <c r="J17351" i="39"/>
  <c r="J17350" i="39"/>
  <c r="J17349" i="39"/>
  <c r="J17348" i="39"/>
  <c r="J17347" i="39"/>
  <c r="J17346" i="39"/>
  <c r="J17345" i="39"/>
  <c r="J17344" i="39"/>
  <c r="J17343" i="39"/>
  <c r="J17342" i="39"/>
  <c r="J17341" i="39"/>
  <c r="J17340" i="39"/>
  <c r="J17339" i="39"/>
  <c r="J17338" i="39"/>
  <c r="B17338" i="39"/>
  <c r="J17337" i="39"/>
  <c r="J17336" i="39"/>
  <c r="J17335" i="39"/>
  <c r="J17334" i="39"/>
  <c r="J17333" i="39"/>
  <c r="J17332" i="39"/>
  <c r="J17331" i="39"/>
  <c r="J17330" i="39"/>
  <c r="J17329" i="39"/>
  <c r="J17328" i="39"/>
  <c r="J17327" i="39"/>
  <c r="J17326" i="39"/>
  <c r="J17325" i="39"/>
  <c r="J17324" i="39"/>
  <c r="J17323" i="39"/>
  <c r="J17322" i="39"/>
  <c r="J17321" i="39"/>
  <c r="J17320" i="39"/>
  <c r="J17319" i="39"/>
  <c r="J17318" i="39"/>
  <c r="J17317" i="39"/>
  <c r="J17316" i="39"/>
  <c r="J17315" i="39"/>
  <c r="J17314" i="39"/>
  <c r="J17313" i="39"/>
  <c r="J17312" i="39"/>
  <c r="J17311" i="39"/>
  <c r="J17310" i="39"/>
  <c r="J17309" i="39"/>
  <c r="J17308" i="39"/>
  <c r="J17307" i="39"/>
  <c r="J17306" i="39"/>
  <c r="J17305" i="39"/>
  <c r="J17304" i="39"/>
  <c r="J17303" i="39"/>
  <c r="J17302" i="39"/>
  <c r="J17301" i="39"/>
  <c r="J17300" i="39"/>
  <c r="J17299" i="39"/>
  <c r="J17298" i="39"/>
  <c r="J17297" i="39"/>
  <c r="B17297" i="39"/>
  <c r="J17296" i="39"/>
  <c r="J17295" i="39"/>
  <c r="J17294" i="39"/>
  <c r="J17293" i="39"/>
  <c r="J17292" i="39"/>
  <c r="J17291" i="39"/>
  <c r="J17290" i="39"/>
  <c r="J17289" i="39"/>
  <c r="J17288" i="39"/>
  <c r="J17287" i="39"/>
  <c r="J17286" i="39"/>
  <c r="J17285" i="39"/>
  <c r="J17284" i="39"/>
  <c r="J17283" i="39"/>
  <c r="J17282" i="39"/>
  <c r="J17281" i="39"/>
  <c r="J17280" i="39"/>
  <c r="J17279" i="39"/>
  <c r="J17278" i="39"/>
  <c r="J17277" i="39"/>
  <c r="J17276" i="39"/>
  <c r="J17275" i="39"/>
  <c r="J17274" i="39"/>
  <c r="J17273" i="39"/>
  <c r="J17272" i="39"/>
  <c r="J17271" i="39"/>
  <c r="J17270" i="39"/>
  <c r="J17269" i="39"/>
  <c r="J17268" i="39"/>
  <c r="J17267" i="39"/>
  <c r="J17266" i="39"/>
  <c r="J17265" i="39"/>
  <c r="J17264" i="39"/>
  <c r="J17263" i="39"/>
  <c r="J17262" i="39"/>
  <c r="J17261" i="39"/>
  <c r="J17260" i="39"/>
  <c r="J17259" i="39"/>
  <c r="J17258" i="39"/>
  <c r="J17257" i="39"/>
  <c r="J17256" i="39"/>
  <c r="J17255" i="39"/>
  <c r="J17254" i="39"/>
  <c r="J17253" i="39"/>
  <c r="J17252" i="39"/>
  <c r="J17251" i="39"/>
  <c r="J17250" i="39"/>
  <c r="J17249" i="39"/>
  <c r="J17248" i="39"/>
  <c r="J17247" i="39"/>
  <c r="J17246" i="39"/>
  <c r="J17245" i="39"/>
  <c r="J17244" i="39"/>
  <c r="J17243" i="39"/>
  <c r="J17242" i="39"/>
  <c r="J17241" i="39"/>
  <c r="J17240" i="39"/>
  <c r="J17239" i="39"/>
  <c r="J17238" i="39"/>
  <c r="J17237" i="39"/>
  <c r="J17236" i="39"/>
  <c r="J17235" i="39"/>
  <c r="J17234" i="39"/>
  <c r="J17233" i="39"/>
  <c r="J17232" i="39"/>
  <c r="J17231" i="39"/>
  <c r="J17230" i="39"/>
  <c r="J17229" i="39"/>
  <c r="J17228" i="39"/>
  <c r="J17227" i="39"/>
  <c r="J17226" i="39"/>
  <c r="J17225" i="39"/>
  <c r="J17224" i="39"/>
  <c r="J17223" i="39"/>
  <c r="J17222" i="39"/>
  <c r="J17221" i="39"/>
  <c r="J17220" i="39"/>
  <c r="J17219" i="39"/>
  <c r="J17218" i="39"/>
  <c r="J17217" i="39"/>
  <c r="J17216" i="39"/>
  <c r="J17215" i="39"/>
  <c r="J17214" i="39"/>
  <c r="J17213" i="39"/>
  <c r="J17212" i="39"/>
  <c r="J17211" i="39"/>
  <c r="J17210" i="39"/>
  <c r="J17209" i="39"/>
  <c r="J17208" i="39"/>
  <c r="J17207" i="39"/>
  <c r="J17206" i="39"/>
  <c r="J17205" i="39"/>
  <c r="J17204" i="39"/>
  <c r="J17203" i="39"/>
  <c r="J17202" i="39"/>
  <c r="J17201" i="39"/>
  <c r="J17200" i="39"/>
  <c r="J17199" i="39"/>
  <c r="J17198" i="39"/>
  <c r="J17197" i="39"/>
  <c r="J17196" i="39"/>
  <c r="J17195" i="39"/>
  <c r="J17194" i="39"/>
  <c r="J17193" i="39"/>
  <c r="J17192" i="39"/>
  <c r="J17191" i="39"/>
  <c r="J17190" i="39"/>
  <c r="J17189" i="39"/>
  <c r="J17188" i="39"/>
  <c r="J17187" i="39"/>
  <c r="J17186" i="39"/>
  <c r="J17185" i="39"/>
  <c r="J17184" i="39"/>
  <c r="J17183" i="39"/>
  <c r="J17182" i="39"/>
  <c r="J17181" i="39"/>
  <c r="J17180" i="39"/>
  <c r="J17179" i="39"/>
  <c r="J17178" i="39"/>
  <c r="J17177" i="39"/>
  <c r="J17176" i="39"/>
  <c r="J17175" i="39"/>
  <c r="J17174" i="39"/>
  <c r="J17173" i="39"/>
  <c r="J17172" i="39"/>
  <c r="J17171" i="39"/>
  <c r="J17170" i="39"/>
  <c r="J17169" i="39"/>
  <c r="J17168" i="39"/>
  <c r="J17167" i="39"/>
  <c r="J17166" i="39"/>
  <c r="J17165" i="39"/>
  <c r="J17164" i="39"/>
  <c r="J17163" i="39"/>
  <c r="J17162" i="39"/>
  <c r="J17161" i="39"/>
  <c r="J17160" i="39"/>
  <c r="J17159" i="39"/>
  <c r="J17158" i="39"/>
  <c r="J17157" i="39"/>
  <c r="J17156" i="39"/>
  <c r="J17155" i="39"/>
  <c r="J17154" i="39"/>
  <c r="J17153" i="39"/>
  <c r="J17152" i="39"/>
  <c r="J17151" i="39"/>
  <c r="J17150" i="39"/>
  <c r="J17149" i="39"/>
  <c r="J17148" i="39"/>
  <c r="J17147" i="39"/>
  <c r="J17146" i="39"/>
  <c r="J17145" i="39"/>
  <c r="J17144" i="39"/>
  <c r="J17143" i="39"/>
  <c r="J17142" i="39"/>
  <c r="J17141" i="39"/>
  <c r="J17140" i="39"/>
  <c r="J17139" i="39"/>
  <c r="J17138" i="39"/>
  <c r="J17137" i="39"/>
  <c r="J17136" i="39"/>
  <c r="J17135" i="39"/>
  <c r="J17134" i="39"/>
  <c r="J17133" i="39"/>
  <c r="J17132" i="39"/>
  <c r="J17131" i="39"/>
  <c r="J17130" i="39"/>
  <c r="J17129" i="39"/>
  <c r="J17128" i="39"/>
  <c r="J17127" i="39"/>
  <c r="J17126" i="39"/>
  <c r="J17125" i="39"/>
  <c r="J17124" i="39"/>
  <c r="J17123" i="39"/>
  <c r="J17122" i="39"/>
  <c r="J17121" i="39"/>
  <c r="J17120" i="39"/>
  <c r="J17119" i="39"/>
  <c r="J17118" i="39"/>
  <c r="J17117" i="39"/>
  <c r="J17116" i="39"/>
  <c r="J17115" i="39"/>
  <c r="J17114" i="39"/>
  <c r="J17113" i="39"/>
  <c r="J17112" i="39"/>
  <c r="J17111" i="39"/>
  <c r="J17110" i="39"/>
  <c r="J17109" i="39"/>
  <c r="J17108" i="39"/>
  <c r="J17107" i="39"/>
  <c r="J17106" i="39"/>
  <c r="J17105" i="39"/>
  <c r="J17104" i="39"/>
  <c r="B17104" i="39"/>
  <c r="J17103" i="39"/>
  <c r="J17102" i="39"/>
  <c r="J17101" i="39"/>
  <c r="J17100" i="39"/>
  <c r="J17099" i="39"/>
  <c r="J17098" i="39"/>
  <c r="J17097" i="39"/>
  <c r="J17096" i="39"/>
  <c r="J17095" i="39"/>
  <c r="J17094" i="39"/>
  <c r="J17093" i="39"/>
  <c r="J17092" i="39"/>
  <c r="J17091" i="39"/>
  <c r="J17090" i="39"/>
  <c r="J17089" i="39"/>
  <c r="J17088" i="39"/>
  <c r="J17087" i="39"/>
  <c r="J17086" i="39"/>
  <c r="J17085" i="39"/>
  <c r="J17084" i="39"/>
  <c r="J17083" i="39"/>
  <c r="J17082" i="39"/>
  <c r="J17081" i="39"/>
  <c r="J17080" i="39"/>
  <c r="J17079" i="39"/>
  <c r="J17078" i="39"/>
  <c r="J17077" i="39"/>
  <c r="J17076" i="39"/>
  <c r="J17075" i="39"/>
  <c r="J17074" i="39"/>
  <c r="J17073" i="39"/>
  <c r="J17072" i="39"/>
  <c r="J17071" i="39"/>
  <c r="J17070" i="39"/>
  <c r="J17069" i="39"/>
  <c r="J17068" i="39"/>
  <c r="J17067" i="39"/>
  <c r="J17066" i="39"/>
  <c r="J17065" i="39"/>
  <c r="J17064" i="39"/>
  <c r="J17063" i="39"/>
  <c r="J17062" i="39"/>
  <c r="J17061" i="39"/>
  <c r="J17060" i="39"/>
  <c r="J17059" i="39"/>
  <c r="J17058" i="39"/>
  <c r="J17057" i="39"/>
  <c r="J17056" i="39"/>
  <c r="J17055" i="39"/>
  <c r="J17054" i="39"/>
  <c r="J17053" i="39"/>
  <c r="J17052" i="39"/>
  <c r="J17051" i="39"/>
  <c r="J17050" i="39"/>
  <c r="J17049" i="39"/>
  <c r="J17048" i="39"/>
  <c r="J17047" i="39"/>
  <c r="J17046" i="39"/>
  <c r="J17045" i="39"/>
  <c r="J17044" i="39"/>
  <c r="J17043" i="39"/>
  <c r="J17042" i="39"/>
  <c r="J17041" i="39"/>
  <c r="J17040" i="39"/>
  <c r="J17039" i="39"/>
  <c r="J17038" i="39"/>
  <c r="J17037" i="39"/>
  <c r="J17036" i="39"/>
  <c r="J17035" i="39"/>
  <c r="J17034" i="39"/>
  <c r="J17033" i="39"/>
  <c r="J17032" i="39"/>
  <c r="J17031" i="39"/>
  <c r="J17030" i="39"/>
  <c r="J17029" i="39"/>
  <c r="J17028" i="39"/>
  <c r="J17027" i="39"/>
  <c r="J17026" i="39"/>
  <c r="J17025" i="39"/>
  <c r="J17024" i="39"/>
  <c r="J17023" i="39"/>
  <c r="J17022" i="39"/>
  <c r="J17021" i="39"/>
  <c r="J17020" i="39"/>
  <c r="J17019" i="39"/>
  <c r="J17018" i="39"/>
  <c r="J17017" i="39"/>
  <c r="J17016" i="39"/>
  <c r="J17015" i="39"/>
  <c r="J17014" i="39"/>
  <c r="J17013" i="39"/>
  <c r="J17012" i="39"/>
  <c r="J17011" i="39"/>
  <c r="J17010" i="39"/>
  <c r="J17009" i="39"/>
  <c r="J17008" i="39"/>
  <c r="J17007" i="39"/>
  <c r="J17006" i="39"/>
  <c r="J17005" i="39"/>
  <c r="J17004" i="39"/>
  <c r="J17003" i="39"/>
  <c r="J17002" i="39"/>
  <c r="J17001" i="39"/>
  <c r="J17000" i="39"/>
  <c r="J16999" i="39"/>
  <c r="J16998" i="39"/>
  <c r="J16997" i="39"/>
  <c r="J16996" i="39"/>
  <c r="J16995" i="39"/>
  <c r="J16994" i="39"/>
  <c r="J16993" i="39"/>
  <c r="J16992" i="39"/>
  <c r="J16991" i="39"/>
  <c r="J16990" i="39"/>
  <c r="J16989" i="39"/>
  <c r="J16988" i="39"/>
  <c r="J16987" i="39"/>
  <c r="J16986" i="39"/>
  <c r="J16985" i="39"/>
  <c r="J16984" i="39"/>
  <c r="J16983" i="39"/>
  <c r="J16982" i="39"/>
  <c r="J16981" i="39"/>
  <c r="J16980" i="39"/>
  <c r="J16979" i="39"/>
  <c r="J16978" i="39"/>
  <c r="J16977" i="39"/>
  <c r="J16976" i="39"/>
  <c r="J16975" i="39"/>
  <c r="J16974" i="39"/>
  <c r="J16973" i="39"/>
  <c r="J16972" i="39"/>
  <c r="J16971" i="39"/>
  <c r="J16970" i="39"/>
  <c r="J16969" i="39"/>
  <c r="J16968" i="39"/>
  <c r="J16967" i="39"/>
  <c r="J16966" i="39"/>
  <c r="J16965" i="39"/>
  <c r="J16964" i="39"/>
  <c r="J16963" i="39"/>
  <c r="J16962" i="39"/>
  <c r="J16961" i="39"/>
  <c r="J16960" i="39"/>
  <c r="J16959" i="39"/>
  <c r="J16958" i="39"/>
  <c r="J16957" i="39"/>
  <c r="J16956" i="39"/>
  <c r="J16955" i="39"/>
  <c r="J16954" i="39"/>
  <c r="J16953" i="39"/>
  <c r="J16952" i="39"/>
  <c r="J16951" i="39"/>
  <c r="J16950" i="39"/>
  <c r="J16949" i="39"/>
  <c r="J16948" i="39"/>
  <c r="J16947" i="39"/>
  <c r="J16946" i="39"/>
  <c r="J16945" i="39"/>
  <c r="J16944" i="39"/>
  <c r="J16943" i="39"/>
  <c r="J16942" i="39"/>
  <c r="J16941" i="39"/>
  <c r="J16940" i="39"/>
  <c r="J16939" i="39"/>
  <c r="J16938" i="39"/>
  <c r="J16937" i="39"/>
  <c r="J16936" i="39"/>
  <c r="J16935" i="39"/>
  <c r="J16934" i="39"/>
  <c r="J16933" i="39"/>
  <c r="J16932" i="39"/>
  <c r="J16931" i="39"/>
  <c r="J16930" i="39"/>
  <c r="J16929" i="39"/>
  <c r="J16928" i="39"/>
  <c r="J16927" i="39"/>
  <c r="J16926" i="39"/>
  <c r="J16925" i="39"/>
  <c r="J16924" i="39"/>
  <c r="J16923" i="39"/>
  <c r="J16922" i="39"/>
  <c r="J16921" i="39"/>
  <c r="J16920" i="39"/>
  <c r="J16919" i="39"/>
  <c r="J16918" i="39"/>
  <c r="J16917" i="39"/>
  <c r="J16916" i="39"/>
  <c r="J16915" i="39"/>
  <c r="J16914" i="39"/>
  <c r="J16913" i="39"/>
  <c r="J16912" i="39"/>
  <c r="J16911" i="39"/>
  <c r="J16910" i="39"/>
  <c r="J16909" i="39"/>
  <c r="J16908" i="39"/>
  <c r="J16907" i="39"/>
  <c r="J16906" i="39"/>
  <c r="J16905" i="39"/>
  <c r="J16904" i="39"/>
  <c r="J16903" i="39"/>
  <c r="J16902" i="39"/>
  <c r="J16901" i="39"/>
  <c r="J16900" i="39"/>
  <c r="J16899" i="39"/>
  <c r="J16898" i="39"/>
  <c r="J16897" i="39"/>
  <c r="J16896" i="39"/>
  <c r="J16895" i="39"/>
  <c r="J16894" i="39"/>
  <c r="J16893" i="39"/>
  <c r="J16892" i="39"/>
  <c r="J16891" i="39"/>
  <c r="J16890" i="39"/>
  <c r="J16889" i="39"/>
  <c r="J16888" i="39"/>
  <c r="J16887" i="39"/>
  <c r="J16886" i="39"/>
  <c r="J16885" i="39"/>
  <c r="J16884" i="39"/>
  <c r="J16883" i="39"/>
  <c r="J16882" i="39"/>
  <c r="J16881" i="39"/>
  <c r="J16880" i="39"/>
  <c r="J16879" i="39"/>
  <c r="J16878" i="39"/>
  <c r="J16877" i="39"/>
  <c r="J16876" i="39"/>
  <c r="J16875" i="39"/>
  <c r="J16874" i="39"/>
  <c r="J16873" i="39"/>
  <c r="J16872" i="39"/>
  <c r="J16871" i="39"/>
  <c r="J16870" i="39"/>
  <c r="J16869" i="39"/>
  <c r="J16868" i="39"/>
  <c r="J16867" i="39"/>
  <c r="J16866" i="39"/>
  <c r="J16865" i="39"/>
  <c r="J16864" i="39"/>
  <c r="J16863" i="39"/>
  <c r="J16862" i="39"/>
  <c r="J16861" i="39"/>
  <c r="J16860" i="39"/>
  <c r="J16859" i="39"/>
  <c r="J16858" i="39"/>
  <c r="J16857" i="39"/>
  <c r="J16856" i="39"/>
  <c r="J16855" i="39"/>
  <c r="J16854" i="39"/>
  <c r="J16853" i="39"/>
  <c r="J16852" i="39"/>
  <c r="J16851" i="39"/>
  <c r="J16850" i="39"/>
  <c r="J16849" i="39"/>
  <c r="J16848" i="39"/>
  <c r="J16847" i="39"/>
  <c r="J16846" i="39"/>
  <c r="J16845" i="39"/>
  <c r="J16844" i="39"/>
  <c r="J16843" i="39"/>
  <c r="J16842" i="39"/>
  <c r="J16841" i="39"/>
  <c r="J16840" i="39"/>
  <c r="J16839" i="39"/>
  <c r="J16838" i="39"/>
  <c r="J16837" i="39"/>
  <c r="J16836" i="39"/>
  <c r="J16835" i="39"/>
  <c r="J16834" i="39"/>
  <c r="J16833" i="39"/>
  <c r="J16832" i="39"/>
  <c r="J16831" i="39"/>
  <c r="J16830" i="39"/>
  <c r="J16829" i="39"/>
  <c r="J16828" i="39"/>
  <c r="J16827" i="39"/>
  <c r="J16826" i="39"/>
  <c r="J16825" i="39"/>
  <c r="J16824" i="39"/>
  <c r="J16823" i="39"/>
  <c r="J16822" i="39"/>
  <c r="J16821" i="39"/>
  <c r="J16820" i="39"/>
  <c r="J16819" i="39"/>
  <c r="J16818" i="39"/>
  <c r="J16817" i="39"/>
  <c r="J16816" i="39"/>
  <c r="J16815" i="39"/>
  <c r="J16814" i="39"/>
  <c r="J16813" i="39"/>
  <c r="J16812" i="39"/>
  <c r="J16811" i="39"/>
  <c r="J16810" i="39"/>
  <c r="J16809" i="39"/>
  <c r="J16808" i="39"/>
  <c r="J16807" i="39"/>
  <c r="J16806" i="39"/>
  <c r="J16805" i="39"/>
  <c r="J16804" i="39"/>
  <c r="J16803" i="39"/>
  <c r="J16802" i="39"/>
  <c r="J16801" i="39"/>
  <c r="J16800" i="39"/>
  <c r="J16799" i="39"/>
  <c r="J16798" i="39"/>
  <c r="J16797" i="39"/>
  <c r="J16796" i="39"/>
  <c r="J16795" i="39"/>
  <c r="J16794" i="39"/>
  <c r="J16793" i="39"/>
  <c r="J16792" i="39"/>
  <c r="J16791" i="39"/>
  <c r="J16790" i="39"/>
  <c r="J16789" i="39"/>
  <c r="J16788" i="39"/>
  <c r="J16787" i="39"/>
  <c r="J16786" i="39"/>
  <c r="J16785" i="39"/>
  <c r="J16784" i="39"/>
  <c r="J16783" i="39"/>
  <c r="J16782" i="39"/>
  <c r="J16781" i="39"/>
  <c r="J16780" i="39"/>
  <c r="J16779" i="39"/>
  <c r="J16778" i="39"/>
  <c r="J16777" i="39"/>
  <c r="J16776" i="39"/>
  <c r="J16775" i="39"/>
  <c r="J16774" i="39"/>
  <c r="J16773" i="39"/>
  <c r="J16772" i="39"/>
  <c r="J16771" i="39"/>
  <c r="J16770" i="39"/>
  <c r="J16769" i="39"/>
  <c r="J16768" i="39"/>
  <c r="J16767" i="39"/>
  <c r="J16766" i="39"/>
  <c r="J16765" i="39"/>
  <c r="J16764" i="39"/>
  <c r="J16763" i="39"/>
  <c r="J16762" i="39"/>
  <c r="J16761" i="39"/>
  <c r="J16760" i="39"/>
  <c r="J16759" i="39"/>
  <c r="J16758" i="39"/>
  <c r="J16757" i="39"/>
  <c r="J16756" i="39"/>
  <c r="J16755" i="39"/>
  <c r="J16754" i="39"/>
  <c r="J16753" i="39"/>
  <c r="J16752" i="39"/>
  <c r="J16751" i="39"/>
  <c r="J16750" i="39"/>
  <c r="J16749" i="39"/>
  <c r="J16748" i="39"/>
  <c r="J16747" i="39"/>
  <c r="J16746" i="39"/>
  <c r="J16745" i="39"/>
  <c r="J16744" i="39"/>
  <c r="J16743" i="39"/>
  <c r="J16742" i="39"/>
  <c r="J16741" i="39"/>
  <c r="J16740" i="39"/>
  <c r="J16739" i="39"/>
  <c r="J16738" i="39"/>
  <c r="J16737" i="39"/>
  <c r="J16736" i="39"/>
  <c r="J16735" i="39"/>
  <c r="J16734" i="39"/>
  <c r="J16733" i="39"/>
  <c r="J16732" i="39"/>
  <c r="J16731" i="39"/>
  <c r="J16730" i="39"/>
  <c r="J16729" i="39"/>
  <c r="J16728" i="39"/>
  <c r="J16727" i="39"/>
  <c r="J16726" i="39"/>
  <c r="J16725" i="39"/>
  <c r="J16724" i="39"/>
  <c r="J16723" i="39"/>
  <c r="J16722" i="39"/>
  <c r="J16721" i="39"/>
  <c r="J16720" i="39"/>
  <c r="J16719" i="39"/>
  <c r="J16718" i="39"/>
  <c r="J16717" i="39"/>
  <c r="J16716" i="39"/>
  <c r="J16715" i="39"/>
  <c r="J16714" i="39"/>
  <c r="J16713" i="39"/>
  <c r="J16712" i="39"/>
  <c r="J16711" i="39"/>
  <c r="J16710" i="39"/>
  <c r="J16709" i="39"/>
  <c r="J16708" i="39"/>
  <c r="J16707" i="39"/>
  <c r="J16706" i="39"/>
  <c r="J16705" i="39"/>
  <c r="J16704" i="39"/>
  <c r="J16703" i="39"/>
  <c r="J16702" i="39"/>
  <c r="J16701" i="39"/>
  <c r="J16700" i="39"/>
  <c r="J16699" i="39"/>
  <c r="J16698" i="39"/>
  <c r="J16697" i="39"/>
  <c r="J16696" i="39"/>
  <c r="J16695" i="39"/>
  <c r="J16694" i="39"/>
  <c r="J16693" i="39"/>
  <c r="J16692" i="39"/>
  <c r="J16691" i="39"/>
  <c r="J16690" i="39"/>
  <c r="J16689" i="39"/>
  <c r="J16688" i="39"/>
  <c r="J16687" i="39"/>
  <c r="J16686" i="39"/>
  <c r="J16685" i="39"/>
  <c r="J16684" i="39"/>
  <c r="J16683" i="39"/>
  <c r="J16682" i="39"/>
  <c r="J16681" i="39"/>
  <c r="J16680" i="39"/>
  <c r="J16679" i="39"/>
  <c r="J16678" i="39"/>
  <c r="J16677" i="39"/>
  <c r="J16676" i="39"/>
  <c r="J16675" i="39"/>
  <c r="J16674" i="39"/>
  <c r="J16673" i="39"/>
  <c r="J16672" i="39"/>
  <c r="J16671" i="39"/>
  <c r="J16670" i="39"/>
  <c r="J16669" i="39"/>
  <c r="J16668" i="39"/>
  <c r="J16667" i="39"/>
  <c r="J16666" i="39"/>
  <c r="J16665" i="39"/>
  <c r="J16664" i="39"/>
  <c r="J16663" i="39"/>
  <c r="J16662" i="39"/>
  <c r="J16661" i="39"/>
  <c r="J16660" i="39"/>
  <c r="J16659" i="39"/>
  <c r="J16658" i="39"/>
  <c r="J16657" i="39"/>
  <c r="J16656" i="39"/>
  <c r="J16655" i="39"/>
  <c r="J16654" i="39"/>
  <c r="J16653" i="39"/>
  <c r="J16652" i="39"/>
  <c r="J16651" i="39"/>
  <c r="J16650" i="39"/>
  <c r="J16649" i="39"/>
  <c r="J16648" i="39"/>
  <c r="J16647" i="39"/>
  <c r="J16646" i="39"/>
  <c r="J16645" i="39"/>
  <c r="J16644" i="39"/>
  <c r="J16643" i="39"/>
  <c r="J16642" i="39"/>
  <c r="J16641" i="39"/>
  <c r="J16640" i="39"/>
  <c r="J16639" i="39"/>
  <c r="J16638" i="39"/>
  <c r="J16637" i="39"/>
  <c r="J16636" i="39"/>
  <c r="J16635" i="39"/>
  <c r="J16634" i="39"/>
  <c r="J16633" i="39"/>
  <c r="J16632" i="39"/>
  <c r="J16631" i="39"/>
  <c r="J16630" i="39"/>
  <c r="J16629" i="39"/>
  <c r="J16628" i="39"/>
  <c r="J16627" i="39"/>
  <c r="J16626" i="39"/>
  <c r="J16625" i="39"/>
  <c r="J16624" i="39"/>
  <c r="J16623" i="39"/>
  <c r="J16622" i="39"/>
  <c r="J16621" i="39"/>
  <c r="J16620" i="39"/>
  <c r="J16619" i="39"/>
  <c r="J16618" i="39"/>
  <c r="J16617" i="39"/>
  <c r="J16616" i="39"/>
  <c r="J16615" i="39"/>
  <c r="J16614" i="39"/>
  <c r="J16613" i="39"/>
  <c r="J16612" i="39"/>
  <c r="J16611" i="39"/>
  <c r="J16610" i="39"/>
  <c r="J16609" i="39"/>
  <c r="J16608" i="39"/>
  <c r="J16607" i="39"/>
  <c r="J16606" i="39"/>
  <c r="J16605" i="39"/>
  <c r="J16604" i="39"/>
  <c r="J16603" i="39"/>
  <c r="J16602" i="39"/>
  <c r="J16601" i="39"/>
  <c r="J16600" i="39"/>
  <c r="J16599" i="39"/>
  <c r="J16598" i="39"/>
  <c r="J16597" i="39"/>
  <c r="J16596" i="39"/>
  <c r="J16595" i="39"/>
  <c r="J16594" i="39"/>
  <c r="J16593" i="39"/>
  <c r="J16592" i="39"/>
  <c r="J16591" i="39"/>
  <c r="J16590" i="39"/>
  <c r="J16589" i="39"/>
  <c r="J16588" i="39"/>
  <c r="J16587" i="39"/>
  <c r="J16586" i="39"/>
  <c r="J16585" i="39"/>
  <c r="J16584" i="39"/>
  <c r="J16583" i="39"/>
  <c r="J16582" i="39"/>
  <c r="J16581" i="39"/>
  <c r="J16580" i="39"/>
  <c r="J16579" i="39"/>
  <c r="J16578" i="39"/>
  <c r="J16577" i="39"/>
  <c r="J16576" i="39"/>
  <c r="J16575" i="39"/>
  <c r="J16574" i="39"/>
  <c r="J16573" i="39"/>
  <c r="J16572" i="39"/>
  <c r="J16571" i="39"/>
  <c r="J16570" i="39"/>
  <c r="J16569" i="39"/>
  <c r="J16568" i="39"/>
  <c r="J16567" i="39"/>
  <c r="J16566" i="39"/>
  <c r="J16565" i="39"/>
  <c r="J16564" i="39"/>
  <c r="J16563" i="39"/>
  <c r="J16562" i="39"/>
  <c r="J16561" i="39"/>
  <c r="J16560" i="39"/>
  <c r="J16559" i="39"/>
  <c r="J16558" i="39"/>
  <c r="J16557" i="39"/>
  <c r="J16556" i="39"/>
  <c r="J16555" i="39"/>
  <c r="J16554" i="39"/>
  <c r="J16553" i="39"/>
  <c r="J16552" i="39"/>
  <c r="J16551" i="39"/>
  <c r="J16550" i="39"/>
  <c r="J16549" i="39"/>
  <c r="J16548" i="39"/>
  <c r="J16547" i="39"/>
  <c r="J16546" i="39"/>
  <c r="J16545" i="39"/>
  <c r="J16544" i="39"/>
  <c r="J16543" i="39"/>
  <c r="J16542" i="39"/>
  <c r="J16541" i="39"/>
  <c r="J16540" i="39"/>
  <c r="J16539" i="39"/>
  <c r="J16538" i="39"/>
  <c r="J16537" i="39"/>
  <c r="J16536" i="39"/>
  <c r="J16535" i="39"/>
  <c r="J16534" i="39"/>
  <c r="J16533" i="39"/>
  <c r="J16532" i="39"/>
  <c r="J16531" i="39"/>
  <c r="J16530" i="39"/>
  <c r="J16529" i="39"/>
  <c r="J16528" i="39"/>
  <c r="J16527" i="39"/>
  <c r="J16526" i="39"/>
  <c r="J16525" i="39"/>
  <c r="J16524" i="39"/>
  <c r="J16523" i="39"/>
  <c r="J16522" i="39"/>
  <c r="J16521" i="39"/>
  <c r="J16520" i="39"/>
  <c r="J16519" i="39"/>
  <c r="J16518" i="39"/>
  <c r="J16517" i="39"/>
  <c r="J16516" i="39"/>
  <c r="J16515" i="39"/>
  <c r="J16514" i="39"/>
  <c r="J16513" i="39"/>
  <c r="J16512" i="39"/>
  <c r="J16511" i="39"/>
  <c r="J16510" i="39"/>
  <c r="J16509" i="39"/>
  <c r="J16508" i="39"/>
  <c r="J16507" i="39"/>
  <c r="J16506" i="39"/>
  <c r="J16505" i="39"/>
  <c r="J16504" i="39"/>
  <c r="J16503" i="39"/>
  <c r="J16502" i="39"/>
  <c r="J16501" i="39"/>
  <c r="J16500" i="39"/>
  <c r="J16499" i="39"/>
  <c r="J16498" i="39"/>
  <c r="J16497" i="39"/>
  <c r="J16496" i="39"/>
  <c r="J16495" i="39"/>
  <c r="J16494" i="39"/>
  <c r="B16494" i="39"/>
  <c r="J16493" i="39"/>
  <c r="J16492" i="39"/>
  <c r="J16491" i="39"/>
  <c r="J16490" i="39"/>
  <c r="J16489" i="39"/>
  <c r="J16488" i="39"/>
  <c r="J16487" i="39"/>
  <c r="J16486" i="39"/>
  <c r="J16485" i="39"/>
  <c r="J16484" i="39"/>
  <c r="J16483" i="39"/>
  <c r="J16482" i="39"/>
  <c r="J16481" i="39"/>
  <c r="J16480" i="39"/>
  <c r="J16479" i="39"/>
  <c r="J16478" i="39"/>
  <c r="J16477" i="39"/>
  <c r="J16476" i="39"/>
  <c r="J16475" i="39"/>
  <c r="J16474" i="39"/>
  <c r="J16473" i="39"/>
  <c r="J16472" i="39"/>
  <c r="J16471" i="39"/>
  <c r="J16470" i="39"/>
  <c r="J16469" i="39"/>
  <c r="J16468" i="39"/>
  <c r="J16467" i="39"/>
  <c r="B16467" i="39"/>
  <c r="J16466" i="39"/>
  <c r="J16465" i="39"/>
  <c r="J16464" i="39"/>
  <c r="J16463" i="39"/>
  <c r="J16462" i="39"/>
  <c r="J16461" i="39"/>
  <c r="J16460" i="39"/>
  <c r="J16459" i="39"/>
  <c r="J16458" i="39"/>
  <c r="J16457" i="39"/>
  <c r="J16456" i="39"/>
  <c r="J16455" i="39"/>
  <c r="J16454" i="39"/>
  <c r="J16453" i="39"/>
  <c r="J16452" i="39"/>
  <c r="J16451" i="39"/>
  <c r="J16450" i="39"/>
  <c r="J16449" i="39"/>
  <c r="J16448" i="39"/>
  <c r="J16447" i="39"/>
  <c r="J16446" i="39"/>
  <c r="J16445" i="39"/>
  <c r="J16444" i="39"/>
  <c r="J16443" i="39"/>
  <c r="J16442" i="39"/>
  <c r="J16441" i="39"/>
  <c r="J16440" i="39"/>
  <c r="J16439" i="39"/>
  <c r="J16438" i="39"/>
  <c r="J16437" i="39"/>
  <c r="J16436" i="39"/>
  <c r="J16435" i="39"/>
  <c r="J16434" i="39"/>
  <c r="J16433" i="39"/>
  <c r="J16432" i="39"/>
  <c r="J16431" i="39"/>
  <c r="J16430" i="39"/>
  <c r="J16429" i="39"/>
  <c r="J16428" i="39"/>
  <c r="J16427" i="39"/>
  <c r="J16426" i="39"/>
  <c r="J16425" i="39"/>
  <c r="J16424" i="39"/>
  <c r="J16423" i="39"/>
  <c r="J16422" i="39"/>
  <c r="B16422" i="39"/>
  <c r="J16421" i="39"/>
  <c r="J16420" i="39"/>
  <c r="J16419" i="39"/>
  <c r="J16418" i="39"/>
  <c r="J16417" i="39"/>
  <c r="J16416" i="39"/>
  <c r="J16415" i="39"/>
  <c r="J16414" i="39"/>
  <c r="J16413" i="39"/>
  <c r="J16412" i="39"/>
  <c r="J16411" i="39"/>
  <c r="J16410" i="39"/>
  <c r="J16409" i="39"/>
  <c r="J16408" i="39"/>
  <c r="J16407" i="39"/>
  <c r="J16406" i="39"/>
  <c r="J16405" i="39"/>
  <c r="J16404" i="39"/>
  <c r="J16403" i="39"/>
  <c r="J16402" i="39"/>
  <c r="J16401" i="39"/>
  <c r="J16400" i="39"/>
  <c r="J16399" i="39"/>
  <c r="J16398" i="39"/>
  <c r="J16397" i="39"/>
  <c r="J16396" i="39"/>
  <c r="J16395" i="39"/>
  <c r="J16394" i="39"/>
  <c r="J16393" i="39"/>
  <c r="J16392" i="39"/>
  <c r="J16391" i="39"/>
  <c r="J16390" i="39"/>
  <c r="J16389" i="39"/>
  <c r="J16388" i="39"/>
  <c r="J16387" i="39"/>
  <c r="J16386" i="39"/>
  <c r="J16385" i="39"/>
  <c r="J16384" i="39"/>
  <c r="J16383" i="39"/>
  <c r="J16382" i="39"/>
  <c r="J16381" i="39"/>
  <c r="J16380" i="39"/>
  <c r="J16379" i="39"/>
  <c r="J16378" i="39"/>
  <c r="J16377" i="39"/>
  <c r="J16376" i="39"/>
  <c r="J16375" i="39"/>
  <c r="J16374" i="39"/>
  <c r="J16373" i="39"/>
  <c r="J16372" i="39"/>
  <c r="J16371" i="39"/>
  <c r="J16370" i="39"/>
  <c r="B16370" i="39"/>
  <c r="J16369" i="39"/>
  <c r="J16368" i="39"/>
  <c r="J16367" i="39"/>
  <c r="J16366" i="39"/>
  <c r="J16365" i="39"/>
  <c r="J16364" i="39"/>
  <c r="J16363" i="39"/>
  <c r="J16362" i="39"/>
  <c r="J16361" i="39"/>
  <c r="J16360" i="39"/>
  <c r="J16359" i="39"/>
  <c r="J16358" i="39"/>
  <c r="J16357" i="39"/>
  <c r="J16356" i="39"/>
  <c r="J16355" i="39"/>
  <c r="J16354" i="39"/>
  <c r="J16353" i="39"/>
  <c r="J16352" i="39"/>
  <c r="J16351" i="39"/>
  <c r="J16350" i="39"/>
  <c r="J16349" i="39"/>
  <c r="J16348" i="39"/>
  <c r="J16347" i="39"/>
  <c r="J16346" i="39"/>
  <c r="J16345" i="39"/>
  <c r="J16344" i="39"/>
  <c r="J16343" i="39"/>
  <c r="J16342" i="39"/>
  <c r="J16341" i="39"/>
  <c r="B16341" i="39"/>
  <c r="J16340" i="39"/>
  <c r="J16339" i="39"/>
  <c r="J16338" i="39"/>
  <c r="J16337" i="39"/>
  <c r="J16336" i="39"/>
  <c r="J16335" i="39"/>
  <c r="J16334" i="39"/>
  <c r="J16333" i="39"/>
  <c r="J16332" i="39"/>
  <c r="J16331" i="39"/>
  <c r="J16330" i="39"/>
  <c r="J16329" i="39"/>
  <c r="J16328" i="39"/>
  <c r="J16327" i="39"/>
  <c r="J16326" i="39"/>
  <c r="J16325" i="39"/>
  <c r="J16324" i="39"/>
  <c r="J16323" i="39"/>
  <c r="J16322" i="39"/>
  <c r="J16321" i="39"/>
  <c r="J16320" i="39"/>
  <c r="J16319" i="39"/>
  <c r="J16318" i="39"/>
  <c r="J16317" i="39"/>
  <c r="J16316" i="39"/>
  <c r="J16315" i="39"/>
  <c r="J16314" i="39"/>
  <c r="J16313" i="39"/>
  <c r="J16312" i="39"/>
  <c r="J16311" i="39"/>
  <c r="J16310" i="39"/>
  <c r="J16309" i="39"/>
  <c r="J16308" i="39"/>
  <c r="J16307" i="39"/>
  <c r="J16306" i="39"/>
  <c r="J16305" i="39"/>
  <c r="J16304" i="39"/>
  <c r="J16303" i="39"/>
  <c r="J16302" i="39"/>
  <c r="J16301" i="39"/>
  <c r="J16300" i="39"/>
  <c r="J16299" i="39"/>
  <c r="J16298" i="39"/>
  <c r="J16297" i="39"/>
  <c r="J16296" i="39"/>
  <c r="J16295" i="39"/>
  <c r="J16294" i="39"/>
  <c r="J16293" i="39"/>
  <c r="J16292" i="39"/>
  <c r="J16291" i="39"/>
  <c r="J16290" i="39"/>
  <c r="J16289" i="39"/>
  <c r="J16288" i="39"/>
  <c r="J16287" i="39"/>
  <c r="J16286" i="39"/>
  <c r="J16285" i="39"/>
  <c r="J16284" i="39"/>
  <c r="J16283" i="39"/>
  <c r="J16282" i="39"/>
  <c r="J16281" i="39"/>
  <c r="J16280" i="39"/>
  <c r="J16279" i="39"/>
  <c r="J16278" i="39"/>
  <c r="J16277" i="39"/>
  <c r="J16276" i="39"/>
  <c r="J16275" i="39"/>
  <c r="J16274" i="39"/>
  <c r="J16273" i="39"/>
  <c r="J16272" i="39"/>
  <c r="J16271" i="39"/>
  <c r="B16271" i="39"/>
  <c r="J16270" i="39"/>
  <c r="J16269" i="39"/>
  <c r="J16268" i="39"/>
  <c r="J16267" i="39"/>
  <c r="J16266" i="39"/>
  <c r="J16265" i="39"/>
  <c r="J16264" i="39"/>
  <c r="J16263" i="39"/>
  <c r="J16262" i="39"/>
  <c r="J16261" i="39"/>
  <c r="J16260" i="39"/>
  <c r="J16259" i="39"/>
  <c r="J16258" i="39"/>
  <c r="J16257" i="39"/>
  <c r="J16256" i="39"/>
  <c r="J16255" i="39"/>
  <c r="J16254" i="39"/>
  <c r="J16253" i="39"/>
  <c r="J16252" i="39"/>
  <c r="J16251" i="39"/>
  <c r="J16250" i="39"/>
  <c r="J16249" i="39"/>
  <c r="J16248" i="39"/>
  <c r="J16247" i="39"/>
  <c r="J16246" i="39"/>
  <c r="J16245" i="39"/>
  <c r="J16244" i="39"/>
  <c r="J16243" i="39"/>
  <c r="J16242" i="39"/>
  <c r="J16241" i="39"/>
  <c r="J16240" i="39"/>
  <c r="J16239" i="39"/>
  <c r="J16238" i="39"/>
  <c r="J16237" i="39"/>
  <c r="J16236" i="39"/>
  <c r="J16235" i="39"/>
  <c r="J16234" i="39"/>
  <c r="J16233" i="39"/>
  <c r="J16232" i="39"/>
  <c r="J16231" i="39"/>
  <c r="J16230" i="39"/>
  <c r="J16229" i="39"/>
  <c r="J16228" i="39"/>
  <c r="J16227" i="39"/>
  <c r="J16226" i="39"/>
  <c r="J16225" i="39"/>
  <c r="J16224" i="39"/>
  <c r="J16223" i="39"/>
  <c r="J16222" i="39"/>
  <c r="J16221" i="39"/>
  <c r="J16220" i="39"/>
  <c r="J16219" i="39"/>
  <c r="J16218" i="39"/>
  <c r="J16217" i="39"/>
  <c r="J16216" i="39"/>
  <c r="J16215" i="39"/>
  <c r="J16214" i="39"/>
  <c r="J16213" i="39"/>
  <c r="J16212" i="39"/>
  <c r="J16211" i="39"/>
  <c r="J16210" i="39"/>
  <c r="J16209" i="39"/>
  <c r="J16208" i="39"/>
  <c r="J16207" i="39"/>
  <c r="J16206" i="39"/>
  <c r="J16205" i="39"/>
  <c r="J16204" i="39"/>
  <c r="J16203" i="39"/>
  <c r="J16202" i="39"/>
  <c r="J16201" i="39"/>
  <c r="J16200" i="39"/>
  <c r="J16199" i="39"/>
  <c r="J16198" i="39"/>
  <c r="J16197" i="39"/>
  <c r="J16196" i="39"/>
  <c r="J16195" i="39"/>
  <c r="J16194" i="39"/>
  <c r="J16193" i="39"/>
  <c r="J16192" i="39"/>
  <c r="J16191" i="39"/>
  <c r="J16190" i="39"/>
  <c r="J16189" i="39"/>
  <c r="J16188" i="39"/>
  <c r="J16187" i="39"/>
  <c r="J16186" i="39"/>
  <c r="J16185" i="39"/>
  <c r="J16184" i="39"/>
  <c r="J16183" i="39"/>
  <c r="J16182" i="39"/>
  <c r="J16181" i="39"/>
  <c r="J16180" i="39"/>
  <c r="J16179" i="39"/>
  <c r="J16178" i="39"/>
  <c r="J16177" i="39"/>
  <c r="J16176" i="39"/>
  <c r="J16175" i="39"/>
  <c r="J16174" i="39"/>
  <c r="J16173" i="39"/>
  <c r="J16172" i="39"/>
  <c r="J16171" i="39"/>
  <c r="J16170" i="39"/>
  <c r="J16169" i="39"/>
  <c r="J16168" i="39"/>
  <c r="J16167" i="39"/>
  <c r="J16166" i="39"/>
  <c r="J16165" i="39"/>
  <c r="J16164" i="39"/>
  <c r="J16163" i="39"/>
  <c r="J16162" i="39"/>
  <c r="J16161" i="39"/>
  <c r="J16160" i="39"/>
  <c r="J16159" i="39"/>
  <c r="J16158" i="39"/>
  <c r="J16157" i="39"/>
  <c r="J16156" i="39"/>
  <c r="J16155" i="39"/>
  <c r="J16154" i="39"/>
  <c r="J16153" i="39"/>
  <c r="J16152" i="39"/>
  <c r="J16151" i="39"/>
  <c r="J16150" i="39"/>
  <c r="J16149" i="39"/>
  <c r="J16148" i="39"/>
  <c r="J16147" i="39"/>
  <c r="J16146" i="39"/>
  <c r="J16145" i="39"/>
  <c r="J16144" i="39"/>
  <c r="J16143" i="39"/>
  <c r="J16142" i="39"/>
  <c r="J16141" i="39"/>
  <c r="J16140" i="39"/>
  <c r="J16139" i="39"/>
  <c r="J16138" i="39"/>
  <c r="J16137" i="39"/>
  <c r="J16136" i="39"/>
  <c r="J16135" i="39"/>
  <c r="J16134" i="39"/>
  <c r="J16133" i="39"/>
  <c r="J16132" i="39"/>
  <c r="J16131" i="39"/>
  <c r="J16130" i="39"/>
  <c r="J16129" i="39"/>
  <c r="J16128" i="39"/>
  <c r="J16127" i="39"/>
  <c r="J16126" i="39"/>
  <c r="J16125" i="39"/>
  <c r="J16124" i="39"/>
  <c r="J16123" i="39"/>
  <c r="J16122" i="39"/>
  <c r="J16121" i="39"/>
  <c r="J16120" i="39"/>
  <c r="J16119" i="39"/>
  <c r="J16118" i="39"/>
  <c r="J16117" i="39"/>
  <c r="J16116" i="39"/>
  <c r="J16115" i="39"/>
  <c r="J16114" i="39"/>
  <c r="J16113" i="39"/>
  <c r="J16112" i="39"/>
  <c r="J16111" i="39"/>
  <c r="J16110" i="39"/>
  <c r="J16109" i="39"/>
  <c r="J16108" i="39"/>
  <c r="J16107" i="39"/>
  <c r="J16106" i="39"/>
  <c r="J16105" i="39"/>
  <c r="J16104" i="39"/>
  <c r="J16103" i="39"/>
  <c r="J16102" i="39"/>
  <c r="J16101" i="39"/>
  <c r="J16100" i="39"/>
  <c r="J16099" i="39"/>
  <c r="J16098" i="39"/>
  <c r="J16097" i="39"/>
  <c r="J16096" i="39"/>
  <c r="J16095" i="39"/>
  <c r="J16094" i="39"/>
  <c r="J16093" i="39"/>
  <c r="J16092" i="39"/>
  <c r="J16091" i="39"/>
  <c r="J16090" i="39"/>
  <c r="J16089" i="39"/>
  <c r="J16088" i="39"/>
  <c r="J16087" i="39"/>
  <c r="J16086" i="39"/>
  <c r="J16085" i="39"/>
  <c r="J16084" i="39"/>
  <c r="J16083" i="39"/>
  <c r="J16082" i="39"/>
  <c r="J16081" i="39"/>
  <c r="J16080" i="39"/>
  <c r="J16079" i="39"/>
  <c r="J16078" i="39"/>
  <c r="J16077" i="39"/>
  <c r="J16076" i="39"/>
  <c r="J16075" i="39"/>
  <c r="J16074" i="39"/>
  <c r="J16073" i="39"/>
  <c r="J16072" i="39"/>
  <c r="J16071" i="39"/>
  <c r="J16070" i="39"/>
  <c r="J16069" i="39"/>
  <c r="J16068" i="39"/>
  <c r="J16067" i="39"/>
  <c r="J16066" i="39"/>
  <c r="J16065" i="39"/>
  <c r="J16064" i="39"/>
  <c r="J16063" i="39"/>
  <c r="J16062" i="39"/>
  <c r="J16061" i="39"/>
  <c r="J16060" i="39"/>
  <c r="J16059" i="39"/>
  <c r="J16058" i="39"/>
  <c r="B16058" i="39"/>
  <c r="J16057" i="39"/>
  <c r="J16056" i="39"/>
  <c r="J16055" i="39"/>
  <c r="J16054" i="39"/>
  <c r="J16053" i="39"/>
  <c r="J16052" i="39"/>
  <c r="J16051" i="39"/>
  <c r="J16050" i="39"/>
  <c r="J16049" i="39"/>
  <c r="J16048" i="39"/>
  <c r="J16047" i="39"/>
  <c r="J16046" i="39"/>
  <c r="J16045" i="39"/>
  <c r="J16044" i="39"/>
  <c r="J16043" i="39"/>
  <c r="J16042" i="39"/>
  <c r="J16041" i="39"/>
  <c r="J16040" i="39"/>
  <c r="J16039" i="39"/>
  <c r="J16038" i="39"/>
  <c r="J16037" i="39"/>
  <c r="J16036" i="39"/>
  <c r="J16035" i="39"/>
  <c r="J16034" i="39"/>
  <c r="J16033" i="39"/>
  <c r="J16032" i="39"/>
  <c r="J16031" i="39"/>
  <c r="J16030" i="39"/>
  <c r="J16029" i="39"/>
  <c r="J16028" i="39"/>
  <c r="J16027" i="39"/>
  <c r="J16026" i="39"/>
  <c r="J16025" i="39"/>
  <c r="J16024" i="39"/>
  <c r="J16023" i="39"/>
  <c r="J16022" i="39"/>
  <c r="J16021" i="39"/>
  <c r="J16020" i="39"/>
  <c r="J16019" i="39"/>
  <c r="J16018" i="39"/>
  <c r="J16017" i="39"/>
  <c r="J16016" i="39"/>
  <c r="J16015" i="39"/>
  <c r="J16014" i="39"/>
  <c r="J16013" i="39"/>
  <c r="J16012" i="39"/>
  <c r="J16011" i="39"/>
  <c r="J16010" i="39"/>
  <c r="J16009" i="39"/>
  <c r="J16008" i="39"/>
  <c r="J16007" i="39"/>
  <c r="J16006" i="39"/>
  <c r="J16005" i="39"/>
  <c r="J16004" i="39"/>
  <c r="J16003" i="39"/>
  <c r="J16002" i="39"/>
  <c r="J16001" i="39"/>
  <c r="J16000" i="39"/>
  <c r="J15999" i="39"/>
  <c r="J15998" i="39"/>
  <c r="J15997" i="39"/>
  <c r="J15996" i="39"/>
  <c r="J15995" i="39"/>
  <c r="J15994" i="39"/>
  <c r="J15993" i="39"/>
  <c r="J15992" i="39"/>
  <c r="J15991" i="39"/>
  <c r="J15990" i="39"/>
  <c r="J15989" i="39"/>
  <c r="J15988" i="39"/>
  <c r="J15987" i="39"/>
  <c r="J15986" i="39"/>
  <c r="J15985" i="39"/>
  <c r="J15984" i="39"/>
  <c r="J15983" i="39"/>
  <c r="J15982" i="39"/>
  <c r="J15981" i="39"/>
  <c r="J15980" i="39"/>
  <c r="J15979" i="39"/>
  <c r="J15978" i="39"/>
  <c r="J15977" i="39"/>
  <c r="J15976" i="39"/>
  <c r="J15975" i="39"/>
  <c r="J15974" i="39"/>
  <c r="J15973" i="39"/>
  <c r="J15972" i="39"/>
  <c r="J15971" i="39"/>
  <c r="J15970" i="39"/>
  <c r="J15969" i="39"/>
  <c r="J15968" i="39"/>
  <c r="J15967" i="39"/>
  <c r="J15966" i="39"/>
  <c r="J15965" i="39"/>
  <c r="J15964" i="39"/>
  <c r="J15963" i="39"/>
  <c r="J15962" i="39"/>
  <c r="J15961" i="39"/>
  <c r="J15960" i="39"/>
  <c r="J15959" i="39"/>
  <c r="J15958" i="39"/>
  <c r="J15957" i="39"/>
  <c r="J15956" i="39"/>
  <c r="J15955" i="39"/>
  <c r="J15954" i="39"/>
  <c r="J15953" i="39"/>
  <c r="J15952" i="39"/>
  <c r="J15951" i="39"/>
  <c r="J15950" i="39"/>
  <c r="J15949" i="39"/>
  <c r="J15948" i="39"/>
  <c r="J15947" i="39"/>
  <c r="J15946" i="39"/>
  <c r="J15945" i="39"/>
  <c r="J15944" i="39"/>
  <c r="J15943" i="39"/>
  <c r="J15942" i="39"/>
  <c r="J15941" i="39"/>
  <c r="J15940" i="39"/>
  <c r="J15939" i="39"/>
  <c r="J15938" i="39"/>
  <c r="J15937" i="39"/>
  <c r="J15936" i="39"/>
  <c r="J15935" i="39"/>
  <c r="J15934" i="39"/>
  <c r="J15933" i="39"/>
  <c r="J15932" i="39"/>
  <c r="J15931" i="39"/>
  <c r="J15930" i="39"/>
  <c r="J15929" i="39"/>
  <c r="J15928" i="39"/>
  <c r="J15927" i="39"/>
  <c r="J15926" i="39"/>
  <c r="J15925" i="39"/>
  <c r="J15924" i="39"/>
  <c r="J15923" i="39"/>
  <c r="J15922" i="39"/>
  <c r="J15921" i="39"/>
  <c r="J15920" i="39"/>
  <c r="J15919" i="39"/>
  <c r="J15918" i="39"/>
  <c r="J15917" i="39"/>
  <c r="J15916" i="39"/>
  <c r="J15915" i="39"/>
  <c r="J15914" i="39"/>
  <c r="J15913" i="39"/>
  <c r="J15912" i="39"/>
  <c r="J15911" i="39"/>
  <c r="J15910" i="39"/>
  <c r="J15909" i="39"/>
  <c r="J15908" i="39"/>
  <c r="J15907" i="39"/>
  <c r="J15906" i="39"/>
  <c r="J15905" i="39"/>
  <c r="J15904" i="39"/>
  <c r="J15903" i="39"/>
  <c r="J15902" i="39"/>
  <c r="J15901" i="39"/>
  <c r="J15900" i="39"/>
  <c r="J15899" i="39"/>
  <c r="J15898" i="39"/>
  <c r="J15897" i="39"/>
  <c r="J15896" i="39"/>
  <c r="J15895" i="39"/>
  <c r="J15894" i="39"/>
  <c r="J15893" i="39"/>
  <c r="J15892" i="39"/>
  <c r="J15891" i="39"/>
  <c r="J15890" i="39"/>
  <c r="J15889" i="39"/>
  <c r="J15888" i="39"/>
  <c r="J15887" i="39"/>
  <c r="J15886" i="39"/>
  <c r="J15885" i="39"/>
  <c r="J15884" i="39"/>
  <c r="J15883" i="39"/>
  <c r="J15882" i="39"/>
  <c r="J15881" i="39"/>
  <c r="J15880" i="39"/>
  <c r="J15879" i="39"/>
  <c r="J15878" i="39"/>
  <c r="J15877" i="39"/>
  <c r="J15876" i="39"/>
  <c r="J15875" i="39"/>
  <c r="J15874" i="39"/>
  <c r="J15873" i="39"/>
  <c r="J15872" i="39"/>
  <c r="J15871" i="39"/>
  <c r="J15870" i="39"/>
  <c r="J15869" i="39"/>
  <c r="J15868" i="39"/>
  <c r="J15867" i="39"/>
  <c r="J15866" i="39"/>
  <c r="J15865" i="39"/>
  <c r="J15864" i="39"/>
  <c r="J15863" i="39"/>
  <c r="J15862" i="39"/>
  <c r="J15861" i="39"/>
  <c r="J15860" i="39"/>
  <c r="J15859" i="39"/>
  <c r="J15858" i="39"/>
  <c r="J15857" i="39"/>
  <c r="J15856" i="39"/>
  <c r="J15855" i="39"/>
  <c r="J15854" i="39"/>
  <c r="J15853" i="39"/>
  <c r="J15852" i="39"/>
  <c r="J15851" i="39"/>
  <c r="J15850" i="39"/>
  <c r="J15849" i="39"/>
  <c r="J15848" i="39"/>
  <c r="J15847" i="39"/>
  <c r="J15846" i="39"/>
  <c r="J15845" i="39"/>
  <c r="J15844" i="39"/>
  <c r="J15843" i="39"/>
  <c r="J15842" i="39"/>
  <c r="J15841" i="39"/>
  <c r="J15840" i="39"/>
  <c r="J15839" i="39"/>
  <c r="J15838" i="39"/>
  <c r="J15837" i="39"/>
  <c r="J15836" i="39"/>
  <c r="J15835" i="39"/>
  <c r="J15834" i="39"/>
  <c r="J15833" i="39"/>
  <c r="J15832" i="39"/>
  <c r="J15831" i="39"/>
  <c r="J15830" i="39"/>
  <c r="J15829" i="39"/>
  <c r="J15828" i="39"/>
  <c r="J15827" i="39"/>
  <c r="J15826" i="39"/>
  <c r="J15825" i="39"/>
  <c r="J15824" i="39"/>
  <c r="J15823" i="39"/>
  <c r="J15822" i="39"/>
  <c r="J15821" i="39"/>
  <c r="J15820" i="39"/>
  <c r="J15819" i="39"/>
  <c r="J15818" i="39"/>
  <c r="J15817" i="39"/>
  <c r="J15816" i="39"/>
  <c r="J15815" i="39"/>
  <c r="J15814" i="39"/>
  <c r="J15813" i="39"/>
  <c r="J15812" i="39"/>
  <c r="J15811" i="39"/>
  <c r="J15810" i="39"/>
  <c r="J15809" i="39"/>
  <c r="J15808" i="39"/>
  <c r="J15807" i="39"/>
  <c r="J15806" i="39"/>
  <c r="J15805" i="39"/>
  <c r="J15804" i="39"/>
  <c r="J15803" i="39"/>
  <c r="J15802" i="39"/>
  <c r="J15801" i="39"/>
  <c r="J15800" i="39"/>
  <c r="J15799" i="39"/>
  <c r="J15798" i="39"/>
  <c r="J15797" i="39"/>
  <c r="J15796" i="39"/>
  <c r="J15795" i="39"/>
  <c r="J15794" i="39"/>
  <c r="J15793" i="39"/>
  <c r="J15792" i="39"/>
  <c r="J15791" i="39"/>
  <c r="J15790" i="39"/>
  <c r="J15789" i="39"/>
  <c r="J15788" i="39"/>
  <c r="J15787" i="39"/>
  <c r="J15786" i="39"/>
  <c r="J15785" i="39"/>
  <c r="J15784" i="39"/>
  <c r="J15783" i="39"/>
  <c r="J15782" i="39"/>
  <c r="J15781" i="39"/>
  <c r="J15780" i="39"/>
  <c r="J15779" i="39"/>
  <c r="J15778" i="39"/>
  <c r="J15777" i="39"/>
  <c r="J15776" i="39"/>
  <c r="J15775" i="39"/>
  <c r="J15774" i="39"/>
  <c r="J15773" i="39"/>
  <c r="J15772" i="39"/>
  <c r="J15771" i="39"/>
  <c r="J15770" i="39"/>
  <c r="J15769" i="39"/>
  <c r="J15768" i="39"/>
  <c r="J15767" i="39"/>
  <c r="J15766" i="39"/>
  <c r="J15765" i="39"/>
  <c r="J15764" i="39"/>
  <c r="J15763" i="39"/>
  <c r="J15762" i="39"/>
  <c r="J15761" i="39"/>
  <c r="J15760" i="39"/>
  <c r="J15759" i="39"/>
  <c r="J15758" i="39"/>
  <c r="J15757" i="39"/>
  <c r="J15756" i="39"/>
  <c r="J15755" i="39"/>
  <c r="J15754" i="39"/>
  <c r="J15753" i="39"/>
  <c r="J15752" i="39"/>
  <c r="J15751" i="39"/>
  <c r="J15750" i="39"/>
  <c r="J15749" i="39"/>
  <c r="J15748" i="39"/>
  <c r="J15747" i="39"/>
  <c r="J15746" i="39"/>
  <c r="J15745" i="39"/>
  <c r="J15744" i="39"/>
  <c r="J15743" i="39"/>
  <c r="J15742" i="39"/>
  <c r="J15741" i="39"/>
  <c r="J15740" i="39"/>
  <c r="J15739" i="39"/>
  <c r="J15738" i="39"/>
  <c r="J15737" i="39"/>
  <c r="J15736" i="39"/>
  <c r="J15735" i="39"/>
  <c r="J15734" i="39"/>
  <c r="J15733" i="39"/>
  <c r="J15732" i="39"/>
  <c r="J15731" i="39"/>
  <c r="J15730" i="39"/>
  <c r="J15729" i="39"/>
  <c r="J15728" i="39"/>
  <c r="J15727" i="39"/>
  <c r="J15726" i="39"/>
  <c r="J15725" i="39"/>
  <c r="J15724" i="39"/>
  <c r="J15723" i="39"/>
  <c r="J15722" i="39"/>
  <c r="J15721" i="39"/>
  <c r="J15720" i="39"/>
  <c r="J15719" i="39"/>
  <c r="J15718" i="39"/>
  <c r="J15717" i="39"/>
  <c r="J15716" i="39"/>
  <c r="J15715" i="39"/>
  <c r="J15714" i="39"/>
  <c r="J15713" i="39"/>
  <c r="J15712" i="39"/>
  <c r="J15711" i="39"/>
  <c r="J15710" i="39"/>
  <c r="J15709" i="39"/>
  <c r="J15708" i="39"/>
  <c r="J15707" i="39"/>
  <c r="J15706" i="39"/>
  <c r="J15705" i="39"/>
  <c r="J15704" i="39"/>
  <c r="J15703" i="39"/>
  <c r="J15702" i="39"/>
  <c r="J15701" i="39"/>
  <c r="J15700" i="39"/>
  <c r="J15699" i="39"/>
  <c r="J15698" i="39"/>
  <c r="J15697" i="39"/>
  <c r="J15696" i="39"/>
  <c r="J15695" i="39"/>
  <c r="J15694" i="39"/>
  <c r="J15693" i="39"/>
  <c r="J15692" i="39"/>
  <c r="J15691" i="39"/>
  <c r="J15690" i="39"/>
  <c r="J15689" i="39"/>
  <c r="J15688" i="39"/>
  <c r="J15687" i="39"/>
  <c r="J15686" i="39"/>
  <c r="J15685" i="39"/>
  <c r="J15684" i="39"/>
  <c r="J15683" i="39"/>
  <c r="J15682" i="39"/>
  <c r="J15681" i="39"/>
  <c r="J15680" i="39"/>
  <c r="J15679" i="39"/>
  <c r="J15678" i="39"/>
  <c r="J15677" i="39"/>
  <c r="J15676" i="39"/>
  <c r="J15675" i="39"/>
  <c r="J15674" i="39"/>
  <c r="J15673" i="39"/>
  <c r="J15672" i="39"/>
  <c r="J15671" i="39"/>
  <c r="J15670" i="39"/>
  <c r="J15669" i="39"/>
  <c r="J15668" i="39"/>
  <c r="J15667" i="39"/>
  <c r="J15666" i="39"/>
  <c r="J15665" i="39"/>
  <c r="J15664" i="39"/>
  <c r="J15663" i="39"/>
  <c r="J15662" i="39"/>
  <c r="J15661" i="39"/>
  <c r="J15660" i="39"/>
  <c r="J15659" i="39"/>
  <c r="J15658" i="39"/>
  <c r="J15657" i="39"/>
  <c r="J15656" i="39"/>
  <c r="J15655" i="39"/>
  <c r="J15654" i="39"/>
  <c r="J15653" i="39"/>
  <c r="J15652" i="39"/>
  <c r="J15651" i="39"/>
  <c r="J15650" i="39"/>
  <c r="J15649" i="39"/>
  <c r="J15648" i="39"/>
  <c r="J15647" i="39"/>
  <c r="J15646" i="39"/>
  <c r="J15645" i="39"/>
  <c r="J15644" i="39"/>
  <c r="J15643" i="39"/>
  <c r="J15642" i="39"/>
  <c r="J15641" i="39"/>
  <c r="J15640" i="39"/>
  <c r="J15639" i="39"/>
  <c r="J15638" i="39"/>
  <c r="J15637" i="39"/>
  <c r="J15636" i="39"/>
  <c r="J15635" i="39"/>
  <c r="J15634" i="39"/>
  <c r="J15633" i="39"/>
  <c r="J15632" i="39"/>
  <c r="J15631" i="39"/>
  <c r="J15630" i="39"/>
  <c r="J15629" i="39"/>
  <c r="J15628" i="39"/>
  <c r="J15627" i="39"/>
  <c r="J15626" i="39"/>
  <c r="J15625" i="39"/>
  <c r="J15624" i="39"/>
  <c r="J15623" i="39"/>
  <c r="J15622" i="39"/>
  <c r="J15621" i="39"/>
  <c r="J15620" i="39"/>
  <c r="J15619" i="39"/>
  <c r="J15618" i="39"/>
  <c r="J15617" i="39"/>
  <c r="J15616" i="39"/>
  <c r="J15615" i="39"/>
  <c r="J15614" i="39"/>
  <c r="J15613" i="39"/>
  <c r="J15612" i="39"/>
  <c r="J15611" i="39"/>
  <c r="J15610" i="39"/>
  <c r="J15609" i="39"/>
  <c r="J15608" i="39"/>
  <c r="J15607" i="39"/>
  <c r="J15606" i="39"/>
  <c r="J15605" i="39"/>
  <c r="J15604" i="39"/>
  <c r="J15603" i="39"/>
  <c r="J15602" i="39"/>
  <c r="J15601" i="39"/>
  <c r="J15600" i="39"/>
  <c r="J15599" i="39"/>
  <c r="J15598" i="39"/>
  <c r="J15597" i="39"/>
  <c r="J15596" i="39"/>
  <c r="J15595" i="39"/>
  <c r="J15594" i="39"/>
  <c r="J15593" i="39"/>
  <c r="J15592" i="39"/>
  <c r="J15591" i="39"/>
  <c r="J15590" i="39"/>
  <c r="J15589" i="39"/>
  <c r="J15588" i="39"/>
  <c r="J15587" i="39"/>
  <c r="J15586" i="39"/>
  <c r="J15585" i="39"/>
  <c r="J15584" i="39"/>
  <c r="J15583" i="39"/>
  <c r="J15582" i="39"/>
  <c r="J15581" i="39"/>
  <c r="J15580" i="39"/>
  <c r="J15579" i="39"/>
  <c r="J15578" i="39"/>
  <c r="J15577" i="39"/>
  <c r="J15576" i="39"/>
  <c r="J15575" i="39"/>
  <c r="J15574" i="39"/>
  <c r="J15573" i="39"/>
  <c r="J15572" i="39"/>
  <c r="J15571" i="39"/>
  <c r="J15570" i="39"/>
  <c r="J15569" i="39"/>
  <c r="J15568" i="39"/>
  <c r="J15567" i="39"/>
  <c r="J15566" i="39"/>
  <c r="J15565" i="39"/>
  <c r="J15564" i="39"/>
  <c r="J15563" i="39"/>
  <c r="J15562" i="39"/>
  <c r="J15561" i="39"/>
  <c r="J15560" i="39"/>
  <c r="J15559" i="39"/>
  <c r="J15558" i="39"/>
  <c r="J15557" i="39"/>
  <c r="J15556" i="39"/>
  <c r="J15555" i="39"/>
  <c r="J15554" i="39"/>
  <c r="J15553" i="39"/>
  <c r="J15552" i="39"/>
  <c r="J15551" i="39"/>
  <c r="J15550" i="39"/>
  <c r="J15549" i="39"/>
  <c r="J15548" i="39"/>
  <c r="J15547" i="39"/>
  <c r="J15546" i="39"/>
  <c r="J15545" i="39"/>
  <c r="J15544" i="39"/>
  <c r="J15543" i="39"/>
  <c r="J15542" i="39"/>
  <c r="J15541" i="39"/>
  <c r="J15540" i="39"/>
  <c r="J15539" i="39"/>
  <c r="J15538" i="39"/>
  <c r="J15537" i="39"/>
  <c r="J15536" i="39"/>
  <c r="J15535" i="39"/>
  <c r="J15534" i="39"/>
  <c r="J15533" i="39"/>
  <c r="J15532" i="39"/>
  <c r="J15531" i="39"/>
  <c r="J15530" i="39"/>
  <c r="J15529" i="39"/>
  <c r="J15528" i="39"/>
  <c r="J15527" i="39"/>
  <c r="J15526" i="39"/>
  <c r="J15525" i="39"/>
  <c r="J15524" i="39"/>
  <c r="J15523" i="39"/>
  <c r="J15522" i="39"/>
  <c r="J15521" i="39"/>
  <c r="J15520" i="39"/>
  <c r="J15519" i="39"/>
  <c r="J15518" i="39"/>
  <c r="J15517" i="39"/>
  <c r="J15516" i="39"/>
  <c r="J15515" i="39"/>
  <c r="J15514" i="39"/>
  <c r="J15513" i="39"/>
  <c r="J15512" i="39"/>
  <c r="J15511" i="39"/>
  <c r="J15510" i="39"/>
  <c r="J15509" i="39"/>
  <c r="J15508" i="39"/>
  <c r="J15507" i="39"/>
  <c r="J15506" i="39"/>
  <c r="J15505" i="39"/>
  <c r="J15504" i="39"/>
  <c r="J15503" i="39"/>
  <c r="J15502" i="39"/>
  <c r="J15501" i="39"/>
  <c r="J15500" i="39"/>
  <c r="J15499" i="39"/>
  <c r="J15498" i="39"/>
  <c r="J15497" i="39"/>
  <c r="J15496" i="39"/>
  <c r="J15495" i="39"/>
  <c r="J15494" i="39"/>
  <c r="J15493" i="39"/>
  <c r="J15492" i="39"/>
  <c r="J15491" i="39"/>
  <c r="J15490" i="39"/>
  <c r="J15489" i="39"/>
  <c r="J15488" i="39"/>
  <c r="J15487" i="39"/>
  <c r="J15486" i="39"/>
  <c r="J15485" i="39"/>
  <c r="J15484" i="39"/>
  <c r="J15483" i="39"/>
  <c r="J15482" i="39"/>
  <c r="J15481" i="39"/>
  <c r="J15480" i="39"/>
  <c r="J15479" i="39"/>
  <c r="J15478" i="39"/>
  <c r="J15477" i="39"/>
  <c r="J15476" i="39"/>
  <c r="J15475" i="39"/>
  <c r="J15474" i="39"/>
  <c r="J15473" i="39"/>
  <c r="J15472" i="39"/>
  <c r="J15471" i="39"/>
  <c r="J15470" i="39"/>
  <c r="J15469" i="39"/>
  <c r="J15468" i="39"/>
  <c r="J15467" i="39"/>
  <c r="J15466" i="39"/>
  <c r="J15465" i="39"/>
  <c r="J15464" i="39"/>
  <c r="J15463" i="39"/>
  <c r="J15462" i="39"/>
  <c r="J15461" i="39"/>
  <c r="J15460" i="39"/>
  <c r="J15459" i="39"/>
  <c r="J15458" i="39"/>
  <c r="J15457" i="39"/>
  <c r="J15456" i="39"/>
  <c r="J15455" i="39"/>
  <c r="J15454" i="39"/>
  <c r="J15453" i="39"/>
  <c r="J15452" i="39"/>
  <c r="J15451" i="39"/>
  <c r="J15450" i="39"/>
  <c r="J15449" i="39"/>
  <c r="J15448" i="39"/>
  <c r="J15447" i="39"/>
  <c r="J15446" i="39"/>
  <c r="J15445" i="39"/>
  <c r="J15444" i="39"/>
  <c r="J15443" i="39"/>
  <c r="J15442" i="39"/>
  <c r="J15441" i="39"/>
  <c r="J15440" i="39"/>
  <c r="J15439" i="39"/>
  <c r="J15438" i="39"/>
  <c r="J15437" i="39"/>
  <c r="J15436" i="39"/>
  <c r="J15435" i="39"/>
  <c r="J15434" i="39"/>
  <c r="J15433" i="39"/>
  <c r="J15432" i="39"/>
  <c r="J15431" i="39"/>
  <c r="J15430" i="39"/>
  <c r="J15429" i="39"/>
  <c r="J15428" i="39"/>
  <c r="J15427" i="39"/>
  <c r="J15426" i="39"/>
  <c r="J15425" i="39"/>
  <c r="J15424" i="39"/>
  <c r="J15423" i="39"/>
  <c r="J15422" i="39"/>
  <c r="J15421" i="39"/>
  <c r="J15420" i="39"/>
  <c r="J15419" i="39"/>
  <c r="J15418" i="39"/>
  <c r="J15417" i="39"/>
  <c r="J15416" i="39"/>
  <c r="J15415" i="39"/>
  <c r="J15414" i="39"/>
  <c r="J15413" i="39"/>
  <c r="J15412" i="39"/>
  <c r="J15411" i="39"/>
  <c r="J15410" i="39"/>
  <c r="J15409" i="39"/>
  <c r="J15408" i="39"/>
  <c r="J15407" i="39"/>
  <c r="J15406" i="39"/>
  <c r="J15405" i="39"/>
  <c r="J15404" i="39"/>
  <c r="J15403" i="39"/>
  <c r="J15402" i="39"/>
  <c r="J15401" i="39"/>
  <c r="J15400" i="39"/>
  <c r="J15399" i="39"/>
  <c r="J15398" i="39"/>
  <c r="J15397" i="39"/>
  <c r="J15396" i="39"/>
  <c r="J15395" i="39"/>
  <c r="J15394" i="39"/>
  <c r="J15393" i="39"/>
  <c r="J15392" i="39"/>
  <c r="J15391" i="39"/>
  <c r="J15390" i="39"/>
  <c r="J15389" i="39"/>
  <c r="J15388" i="39"/>
  <c r="J15387" i="39"/>
  <c r="J15386" i="39"/>
  <c r="J15385" i="39"/>
  <c r="J15384" i="39"/>
  <c r="J15383" i="39"/>
  <c r="J15382" i="39"/>
  <c r="J15381" i="39"/>
  <c r="J15380" i="39"/>
  <c r="J15379" i="39"/>
  <c r="J15378" i="39"/>
  <c r="J15377" i="39"/>
  <c r="J15376" i="39"/>
  <c r="J15375" i="39"/>
  <c r="J15374" i="39"/>
  <c r="J15373" i="39"/>
  <c r="J15372" i="39"/>
  <c r="J15371" i="39"/>
  <c r="J15370" i="39"/>
  <c r="J15369" i="39"/>
  <c r="J15368" i="39"/>
  <c r="J15367" i="39"/>
  <c r="J15366" i="39"/>
  <c r="J15365" i="39"/>
  <c r="J15364" i="39"/>
  <c r="J15363" i="39"/>
  <c r="J15362" i="39"/>
  <c r="J15361" i="39"/>
  <c r="J15360" i="39"/>
  <c r="J15359" i="39"/>
  <c r="J15358" i="39"/>
  <c r="J15357" i="39"/>
  <c r="J15356" i="39"/>
  <c r="J15355" i="39"/>
  <c r="J15354" i="39"/>
  <c r="J15353" i="39"/>
  <c r="J15352" i="39"/>
  <c r="J15351" i="39"/>
  <c r="J15350" i="39"/>
  <c r="J15349" i="39"/>
  <c r="J15348" i="39"/>
  <c r="J15347" i="39"/>
  <c r="J15346" i="39"/>
  <c r="J15345" i="39"/>
  <c r="J15344" i="39"/>
  <c r="J15343" i="39"/>
  <c r="J15342" i="39"/>
  <c r="J15341" i="39"/>
  <c r="J15340" i="39"/>
  <c r="J15339" i="39"/>
  <c r="J15338" i="39"/>
  <c r="J15337" i="39"/>
  <c r="J15336" i="39"/>
  <c r="J15335" i="39"/>
  <c r="J15334" i="39"/>
  <c r="J15333" i="39"/>
  <c r="J15332" i="39"/>
  <c r="J15331" i="39"/>
  <c r="J15330" i="39"/>
  <c r="J15329" i="39"/>
  <c r="J15328" i="39"/>
  <c r="J15327" i="39"/>
  <c r="J15326" i="39"/>
  <c r="J15325" i="39"/>
  <c r="J15324" i="39"/>
  <c r="J15323" i="39"/>
  <c r="J15322" i="39"/>
  <c r="J15321" i="39"/>
  <c r="J15320" i="39"/>
  <c r="J15319" i="39"/>
  <c r="J15318" i="39"/>
  <c r="B15318" i="39"/>
  <c r="J15317" i="39"/>
  <c r="J15316" i="39"/>
  <c r="J15315" i="39"/>
  <c r="J15314" i="39"/>
  <c r="J15313" i="39"/>
  <c r="J15312" i="39"/>
  <c r="J15311" i="39"/>
  <c r="J15310" i="39"/>
  <c r="J15309" i="39"/>
  <c r="J15308" i="39"/>
  <c r="J15307" i="39"/>
  <c r="J15306" i="39"/>
  <c r="J15305" i="39"/>
  <c r="B15305" i="39"/>
  <c r="J15304" i="39"/>
  <c r="J15303" i="39"/>
  <c r="J15302" i="39"/>
  <c r="J15301" i="39"/>
  <c r="J15300" i="39"/>
  <c r="J15299" i="39"/>
  <c r="J15298" i="39"/>
  <c r="J15297" i="39"/>
  <c r="J15296" i="39"/>
  <c r="J15295" i="39"/>
  <c r="J15294" i="39"/>
  <c r="J15293" i="39"/>
  <c r="J15292" i="39"/>
  <c r="J15291" i="39"/>
  <c r="J15290" i="39"/>
  <c r="J15289" i="39"/>
  <c r="J15288" i="39"/>
  <c r="J15287" i="39"/>
  <c r="J15286" i="39"/>
  <c r="J15285" i="39"/>
  <c r="J15284" i="39"/>
  <c r="J15283" i="39"/>
  <c r="J15282" i="39"/>
  <c r="J15281" i="39"/>
  <c r="J15280" i="39"/>
  <c r="J15279" i="39"/>
  <c r="J15278" i="39"/>
  <c r="J15277" i="39"/>
  <c r="J15276" i="39"/>
  <c r="J15275" i="39"/>
  <c r="J15274" i="39"/>
  <c r="J15273" i="39"/>
  <c r="J15272" i="39"/>
  <c r="J15271" i="39"/>
  <c r="J15270" i="39"/>
  <c r="J15269" i="39"/>
  <c r="J15268" i="39"/>
  <c r="J15267" i="39"/>
  <c r="J15266" i="39"/>
  <c r="J15265" i="39"/>
  <c r="J15264" i="39"/>
  <c r="J15263" i="39"/>
  <c r="J15262" i="39"/>
  <c r="J15261" i="39"/>
  <c r="J15260" i="39"/>
  <c r="J15259" i="39"/>
  <c r="J15258" i="39"/>
  <c r="J15257" i="39"/>
  <c r="J15256" i="39"/>
  <c r="J15255" i="39"/>
  <c r="J15254" i="39"/>
  <c r="J15253" i="39"/>
  <c r="J15252" i="39"/>
  <c r="J15251" i="39"/>
  <c r="J15250" i="39"/>
  <c r="J15249" i="39"/>
  <c r="J15248" i="39"/>
  <c r="J15247" i="39"/>
  <c r="J15246" i="39"/>
  <c r="J15245" i="39"/>
  <c r="J15244" i="39"/>
  <c r="J15243" i="39"/>
  <c r="J15242" i="39"/>
  <c r="J15241" i="39"/>
  <c r="J15240" i="39"/>
  <c r="J15239" i="39"/>
  <c r="J15238" i="39"/>
  <c r="J15237" i="39"/>
  <c r="J15236" i="39"/>
  <c r="J15235" i="39"/>
  <c r="J15234" i="39"/>
  <c r="J15233" i="39"/>
  <c r="J15232" i="39"/>
  <c r="J15231" i="39"/>
  <c r="J15230" i="39"/>
  <c r="J15229" i="39"/>
  <c r="J15228" i="39"/>
  <c r="J15227" i="39"/>
  <c r="J15226" i="39"/>
  <c r="J15225" i="39"/>
  <c r="J15224" i="39"/>
  <c r="J15223" i="39"/>
  <c r="J15222" i="39"/>
  <c r="J15221" i="39"/>
  <c r="J15220" i="39"/>
  <c r="J15219" i="39"/>
  <c r="J15218" i="39"/>
  <c r="J15217" i="39"/>
  <c r="J15216" i="39"/>
  <c r="J15215" i="39"/>
  <c r="J15214" i="39"/>
  <c r="J15213" i="39"/>
  <c r="J15212" i="39"/>
  <c r="J15211" i="39"/>
  <c r="J15210" i="39"/>
  <c r="J15209" i="39"/>
  <c r="J15208" i="39"/>
  <c r="J15207" i="39"/>
  <c r="J15206" i="39"/>
  <c r="J15205" i="39"/>
  <c r="J15204" i="39"/>
  <c r="J15203" i="39"/>
  <c r="J15202" i="39"/>
  <c r="J15201" i="39"/>
  <c r="J15200" i="39"/>
  <c r="J15199" i="39"/>
  <c r="J15198" i="39"/>
  <c r="J15197" i="39"/>
  <c r="J15196" i="39"/>
  <c r="J15195" i="39"/>
  <c r="J15194" i="39"/>
  <c r="J15193" i="39"/>
  <c r="J15192" i="39"/>
  <c r="J15191" i="39"/>
  <c r="J15190" i="39"/>
  <c r="J15189" i="39"/>
  <c r="J15188" i="39"/>
  <c r="J15187" i="39"/>
  <c r="J15186" i="39"/>
  <c r="J15185" i="39"/>
  <c r="J15184" i="39"/>
  <c r="J15183" i="39"/>
  <c r="J15182" i="39"/>
  <c r="J15181" i="39"/>
  <c r="J15180" i="39"/>
  <c r="J15179" i="39"/>
  <c r="J15178" i="39"/>
  <c r="J15177" i="39"/>
  <c r="J15176" i="39"/>
  <c r="J15175" i="39"/>
  <c r="J15174" i="39"/>
  <c r="J15173" i="39"/>
  <c r="J15172" i="39"/>
  <c r="J15171" i="39"/>
  <c r="J15170" i="39"/>
  <c r="J15169" i="39"/>
  <c r="J15168" i="39"/>
  <c r="J15167" i="39"/>
  <c r="J15166" i="39"/>
  <c r="J15165" i="39"/>
  <c r="J15164" i="39"/>
  <c r="J15163" i="39"/>
  <c r="J15162" i="39"/>
  <c r="J15161" i="39"/>
  <c r="J15160" i="39"/>
  <c r="J15159" i="39"/>
  <c r="J15158" i="39"/>
  <c r="J15157" i="39"/>
  <c r="J15156" i="39"/>
  <c r="J15155" i="39"/>
  <c r="J15154" i="39"/>
  <c r="J15153" i="39"/>
  <c r="J15152" i="39"/>
  <c r="J15151" i="39"/>
  <c r="J15150" i="39"/>
  <c r="J15149" i="39"/>
  <c r="J15148" i="39"/>
  <c r="J15147" i="39"/>
  <c r="J15146" i="39"/>
  <c r="J15145" i="39"/>
  <c r="J15144" i="39"/>
  <c r="J15143" i="39"/>
  <c r="J15142" i="39"/>
  <c r="J15141" i="39"/>
  <c r="J15140" i="39"/>
  <c r="J15139" i="39"/>
  <c r="J15138" i="39"/>
  <c r="J15137" i="39"/>
  <c r="J15136" i="39"/>
  <c r="J15135" i="39"/>
  <c r="J15134" i="39"/>
  <c r="J15133" i="39"/>
  <c r="J15132" i="39"/>
  <c r="J15131" i="39"/>
  <c r="J15130" i="39"/>
  <c r="J15129" i="39"/>
  <c r="J15128" i="39"/>
  <c r="J15127" i="39"/>
  <c r="J15126" i="39"/>
  <c r="J15125" i="39"/>
  <c r="J15124" i="39"/>
  <c r="J15123" i="39"/>
  <c r="J15122" i="39"/>
  <c r="J15121" i="39"/>
  <c r="J15120" i="39"/>
  <c r="J15119" i="39"/>
  <c r="J15118" i="39"/>
  <c r="J15117" i="39"/>
  <c r="J15116" i="39"/>
  <c r="J15115" i="39"/>
  <c r="J15114" i="39"/>
  <c r="J15113" i="39"/>
  <c r="J15112" i="39"/>
  <c r="J15111" i="39"/>
  <c r="J15110" i="39"/>
  <c r="J15109" i="39"/>
  <c r="J15108" i="39"/>
  <c r="J15107" i="39"/>
  <c r="J15106" i="39"/>
  <c r="J15105" i="39"/>
  <c r="J15104" i="39"/>
  <c r="J15103" i="39"/>
  <c r="J15102" i="39"/>
  <c r="J15101" i="39"/>
  <c r="J15100" i="39"/>
  <c r="J15099" i="39"/>
  <c r="J15098" i="39"/>
  <c r="J15097" i="39"/>
  <c r="J15096" i="39"/>
  <c r="J15095" i="39"/>
  <c r="J15094" i="39"/>
  <c r="J15093" i="39"/>
  <c r="J15092" i="39"/>
  <c r="J15091" i="39"/>
  <c r="J15090" i="39"/>
  <c r="J15089" i="39"/>
  <c r="J15088" i="39"/>
  <c r="J15087" i="39"/>
  <c r="J15086" i="39"/>
  <c r="J15085" i="39"/>
  <c r="J15084" i="39"/>
  <c r="J15083" i="39"/>
  <c r="J15082" i="39"/>
  <c r="J15081" i="39"/>
  <c r="J15080" i="39"/>
  <c r="J15079" i="39"/>
  <c r="J15078" i="39"/>
  <c r="J15077" i="39"/>
  <c r="J15076" i="39"/>
  <c r="J15075" i="39"/>
  <c r="J15074" i="39"/>
  <c r="J15073" i="39"/>
  <c r="J15072" i="39"/>
  <c r="J15071" i="39"/>
  <c r="J15070" i="39"/>
  <c r="J15069" i="39"/>
  <c r="J15068" i="39"/>
  <c r="J15067" i="39"/>
  <c r="J15066" i="39"/>
  <c r="J15065" i="39"/>
  <c r="J15064" i="39"/>
  <c r="J15063" i="39"/>
  <c r="J15062" i="39"/>
  <c r="J15061" i="39"/>
  <c r="J15060" i="39"/>
  <c r="J15059" i="39"/>
  <c r="J15058" i="39"/>
  <c r="J15057" i="39"/>
  <c r="J15056" i="39"/>
  <c r="J15055" i="39"/>
  <c r="J15054" i="39"/>
  <c r="J15053" i="39"/>
  <c r="J15052" i="39"/>
  <c r="J15051" i="39"/>
  <c r="J15050" i="39"/>
  <c r="J15049" i="39"/>
  <c r="J15048" i="39"/>
  <c r="J15047" i="39"/>
  <c r="J15046" i="39"/>
  <c r="J15045" i="39"/>
  <c r="J15044" i="39"/>
  <c r="J15043" i="39"/>
  <c r="J15042" i="39"/>
  <c r="J15041" i="39"/>
  <c r="J15040" i="39"/>
  <c r="J15039" i="39"/>
  <c r="J15038" i="39"/>
  <c r="J15037" i="39"/>
  <c r="J15036" i="39"/>
  <c r="J15035" i="39"/>
  <c r="J15034" i="39"/>
  <c r="J15033" i="39"/>
  <c r="J15032" i="39"/>
  <c r="J15031" i="39"/>
  <c r="J15030" i="39"/>
  <c r="J15029" i="39"/>
  <c r="J15028" i="39"/>
  <c r="J15027" i="39"/>
  <c r="J15026" i="39"/>
  <c r="J15025" i="39"/>
  <c r="J15024" i="39"/>
  <c r="J15023" i="39"/>
  <c r="J15022" i="39"/>
  <c r="J15021" i="39"/>
  <c r="J15020" i="39"/>
  <c r="J15019" i="39"/>
  <c r="J15018" i="39"/>
  <c r="J15017" i="39"/>
  <c r="J15016" i="39"/>
  <c r="J15015" i="39"/>
  <c r="J15014" i="39"/>
  <c r="J15013" i="39"/>
  <c r="J15012" i="39"/>
  <c r="J15011" i="39"/>
  <c r="J15010" i="39"/>
  <c r="J15009" i="39"/>
  <c r="J15008" i="39"/>
  <c r="J15007" i="39"/>
  <c r="J15006" i="39"/>
  <c r="J15005" i="39"/>
  <c r="J15004" i="39"/>
  <c r="J15003" i="39"/>
  <c r="J15002" i="39"/>
  <c r="J15001" i="39"/>
  <c r="J15000" i="39"/>
  <c r="J14999" i="39"/>
  <c r="J14998" i="39"/>
  <c r="J14997" i="39"/>
  <c r="J14996" i="39"/>
  <c r="J14995" i="39"/>
  <c r="J14994" i="39"/>
  <c r="J14993" i="39"/>
  <c r="J14992" i="39"/>
  <c r="J14991" i="39"/>
  <c r="J14990" i="39"/>
  <c r="J14989" i="39"/>
  <c r="J14988" i="39"/>
  <c r="J14987" i="39"/>
  <c r="J14986" i="39"/>
  <c r="J14985" i="39"/>
  <c r="J14984" i="39"/>
  <c r="J14983" i="39"/>
  <c r="J14982" i="39"/>
  <c r="J14981" i="39"/>
  <c r="J14980" i="39"/>
  <c r="J14979" i="39"/>
  <c r="J14978" i="39"/>
  <c r="J14977" i="39"/>
  <c r="J14976" i="39"/>
  <c r="J14975" i="39"/>
  <c r="J14974" i="39"/>
  <c r="J14973" i="39"/>
  <c r="J14972" i="39"/>
  <c r="J14971" i="39"/>
  <c r="J14970" i="39"/>
  <c r="J14969" i="39"/>
  <c r="J14968" i="39"/>
  <c r="J14967" i="39"/>
  <c r="J14966" i="39"/>
  <c r="J14965" i="39"/>
  <c r="J14964" i="39"/>
  <c r="J14963" i="39"/>
  <c r="J14962" i="39"/>
  <c r="J14961" i="39"/>
  <c r="J14960" i="39"/>
  <c r="J14959" i="39"/>
  <c r="J14958" i="39"/>
  <c r="J14957" i="39"/>
  <c r="J14956" i="39"/>
  <c r="J14955" i="39"/>
  <c r="J14954" i="39"/>
  <c r="J14953" i="39"/>
  <c r="J14952" i="39"/>
  <c r="J14951" i="39"/>
  <c r="J14950" i="39"/>
  <c r="J14949" i="39"/>
  <c r="J14948" i="39"/>
  <c r="J14947" i="39"/>
  <c r="J14946" i="39"/>
  <c r="J14945" i="39"/>
  <c r="J14944" i="39"/>
  <c r="J14943" i="39"/>
  <c r="J14942" i="39"/>
  <c r="J14941" i="39"/>
  <c r="J14940" i="39"/>
  <c r="J14939" i="39"/>
  <c r="J14938" i="39"/>
  <c r="J14937" i="39"/>
  <c r="J14936" i="39"/>
  <c r="J14935" i="39"/>
  <c r="J14934" i="39"/>
  <c r="J14933" i="39"/>
  <c r="J14932" i="39"/>
  <c r="J14931" i="39"/>
  <c r="J14930" i="39"/>
  <c r="J14929" i="39"/>
  <c r="J14928" i="39"/>
  <c r="J14927" i="39"/>
  <c r="J14926" i="39"/>
  <c r="J14925" i="39"/>
  <c r="J14924" i="39"/>
  <c r="J14923" i="39"/>
  <c r="J14922" i="39"/>
  <c r="J14921" i="39"/>
  <c r="J14920" i="39"/>
  <c r="J14919" i="39"/>
  <c r="J14918" i="39"/>
  <c r="J14917" i="39"/>
  <c r="J14916" i="39"/>
  <c r="J14915" i="39"/>
  <c r="J14914" i="39"/>
  <c r="J14913" i="39"/>
  <c r="J14912" i="39"/>
  <c r="J14911" i="39"/>
  <c r="J14910" i="39"/>
  <c r="J14909" i="39"/>
  <c r="J14908" i="39"/>
  <c r="J14907" i="39"/>
  <c r="J14906" i="39"/>
  <c r="J14905" i="39"/>
  <c r="J14904" i="39"/>
  <c r="J14903" i="39"/>
  <c r="J14902" i="39"/>
  <c r="J14901" i="39"/>
  <c r="J14900" i="39"/>
  <c r="J14899" i="39"/>
  <c r="J14898" i="39"/>
  <c r="J14897" i="39"/>
  <c r="J14896" i="39"/>
  <c r="J14895" i="39"/>
  <c r="J14894" i="39"/>
  <c r="J14893" i="39"/>
  <c r="J14892" i="39"/>
  <c r="J14891" i="39"/>
  <c r="J14890" i="39"/>
  <c r="J14889" i="39"/>
  <c r="J14888" i="39"/>
  <c r="J14887" i="39"/>
  <c r="J14886" i="39"/>
  <c r="J14885" i="39"/>
  <c r="J14884" i="39"/>
  <c r="J14883" i="39"/>
  <c r="J14882" i="39"/>
  <c r="J14881" i="39"/>
  <c r="J14880" i="39"/>
  <c r="J14879" i="39"/>
  <c r="J14878" i="39"/>
  <c r="J14877" i="39"/>
  <c r="J14876" i="39"/>
  <c r="J14875" i="39"/>
  <c r="J14874" i="39"/>
  <c r="J14873" i="39"/>
  <c r="J14872" i="39"/>
  <c r="J14871" i="39"/>
  <c r="J14870" i="39"/>
  <c r="J14869" i="39"/>
  <c r="J14868" i="39"/>
  <c r="J14867" i="39"/>
  <c r="J14866" i="39"/>
  <c r="J14865" i="39"/>
  <c r="J14864" i="39"/>
  <c r="J14863" i="39"/>
  <c r="J14862" i="39"/>
  <c r="J14861" i="39"/>
  <c r="J14860" i="39"/>
  <c r="J14859" i="39"/>
  <c r="J14858" i="39"/>
  <c r="J14857" i="39"/>
  <c r="J14856" i="39"/>
  <c r="J14855" i="39"/>
  <c r="J14854" i="39"/>
  <c r="J14853" i="39"/>
  <c r="J14852" i="39"/>
  <c r="J14851" i="39"/>
  <c r="J14850" i="39"/>
  <c r="J14849" i="39"/>
  <c r="J14848" i="39"/>
  <c r="J14847" i="39"/>
  <c r="J14846" i="39"/>
  <c r="J14845" i="39"/>
  <c r="J14844" i="39"/>
  <c r="J14843" i="39"/>
  <c r="J14842" i="39"/>
  <c r="J14841" i="39"/>
  <c r="J14840" i="39"/>
  <c r="J14839" i="39"/>
  <c r="J14838" i="39"/>
  <c r="J14837" i="39"/>
  <c r="J14836" i="39"/>
  <c r="J14835" i="39"/>
  <c r="J14834" i="39"/>
  <c r="J14833" i="39"/>
  <c r="J14832" i="39"/>
  <c r="J14831" i="39"/>
  <c r="J14830" i="39"/>
  <c r="J14829" i="39"/>
  <c r="J14828" i="39"/>
  <c r="J14827" i="39"/>
  <c r="J14826" i="39"/>
  <c r="J14825" i="39"/>
  <c r="J14824" i="39"/>
  <c r="J14823" i="39"/>
  <c r="J14822" i="39"/>
  <c r="J14821" i="39"/>
  <c r="J14820" i="39"/>
  <c r="J14819" i="39"/>
  <c r="J14818" i="39"/>
  <c r="J14817" i="39"/>
  <c r="J14816" i="39"/>
  <c r="J14815" i="39"/>
  <c r="J14814" i="39"/>
  <c r="J14813" i="39"/>
  <c r="J14812" i="39"/>
  <c r="J14811" i="39"/>
  <c r="J14810" i="39"/>
  <c r="J14809" i="39"/>
  <c r="J14808" i="39"/>
  <c r="J14807" i="39"/>
  <c r="J14806" i="39"/>
  <c r="J14805" i="39"/>
  <c r="J14804" i="39"/>
  <c r="J14803" i="39"/>
  <c r="J14802" i="39"/>
  <c r="J14801" i="39"/>
  <c r="J14800" i="39"/>
  <c r="J14799" i="39"/>
  <c r="J14798" i="39"/>
  <c r="J14797" i="39"/>
  <c r="J14796" i="39"/>
  <c r="J14795" i="39"/>
  <c r="J14794" i="39"/>
  <c r="J14793" i="39"/>
  <c r="J14792" i="39"/>
  <c r="J14791" i="39"/>
  <c r="J14790" i="39"/>
  <c r="J14789" i="39"/>
  <c r="J14788" i="39"/>
  <c r="J14787" i="39"/>
  <c r="J14786" i="39"/>
  <c r="J14785" i="39"/>
  <c r="J14784" i="39"/>
  <c r="J14783" i="39"/>
  <c r="J14782" i="39"/>
  <c r="J14781" i="39"/>
  <c r="J14780" i="39"/>
  <c r="J14779" i="39"/>
  <c r="J14778" i="39"/>
  <c r="J14777" i="39"/>
  <c r="J14776" i="39"/>
  <c r="J14775" i="39"/>
  <c r="J14774" i="39"/>
  <c r="J14773" i="39"/>
  <c r="J14772" i="39"/>
  <c r="J14771" i="39"/>
  <c r="J14770" i="39"/>
  <c r="J14769" i="39"/>
  <c r="J14768" i="39"/>
  <c r="J14767" i="39"/>
  <c r="J14766" i="39"/>
  <c r="J14765" i="39"/>
  <c r="J14764" i="39"/>
  <c r="J14763" i="39"/>
  <c r="J14762" i="39"/>
  <c r="J14761" i="39"/>
  <c r="J14760" i="39"/>
  <c r="B14760" i="39"/>
  <c r="J14759" i="39"/>
  <c r="J14758" i="39"/>
  <c r="J14757" i="39"/>
  <c r="J14756" i="39"/>
  <c r="J14755" i="39"/>
  <c r="J14754" i="39"/>
  <c r="J14753" i="39"/>
  <c r="J14752" i="39"/>
  <c r="J14751" i="39"/>
  <c r="J14750" i="39"/>
  <c r="J14749" i="39"/>
  <c r="J14748" i="39"/>
  <c r="J14747" i="39"/>
  <c r="J14746" i="39"/>
  <c r="J14745" i="39"/>
  <c r="J14744" i="39"/>
  <c r="J14743" i="39"/>
  <c r="J14742" i="39"/>
  <c r="J14741" i="39"/>
  <c r="J14740" i="39"/>
  <c r="J14739" i="39"/>
  <c r="J14738" i="39"/>
  <c r="J14737" i="39"/>
  <c r="J14736" i="39"/>
  <c r="J14735" i="39"/>
  <c r="J14734" i="39"/>
  <c r="J14733" i="39"/>
  <c r="J14732" i="39"/>
  <c r="J14731" i="39"/>
  <c r="J14730" i="39"/>
  <c r="J14729" i="39"/>
  <c r="J14728" i="39"/>
  <c r="J14727" i="39"/>
  <c r="J14726" i="39"/>
  <c r="J14725" i="39"/>
  <c r="J14724" i="39"/>
  <c r="J14723" i="39"/>
  <c r="J14722" i="39"/>
  <c r="J14721" i="39"/>
  <c r="J14720" i="39"/>
  <c r="J14719" i="39"/>
  <c r="J14718" i="39"/>
  <c r="J14717" i="39"/>
  <c r="J14716" i="39"/>
  <c r="J14715" i="39"/>
  <c r="J14714" i="39"/>
  <c r="J14713" i="39"/>
  <c r="J14712" i="39"/>
  <c r="J14711" i="39"/>
  <c r="J14710" i="39"/>
  <c r="J14709" i="39"/>
  <c r="J14708" i="39"/>
  <c r="J14707" i="39"/>
  <c r="J14706" i="39"/>
  <c r="J14705" i="39"/>
  <c r="J14704" i="39"/>
  <c r="J14703" i="39"/>
  <c r="J14702" i="39"/>
  <c r="J14701" i="39"/>
  <c r="J14700" i="39"/>
  <c r="J14699" i="39"/>
  <c r="J14698" i="39"/>
  <c r="J14697" i="39"/>
  <c r="J14696" i="39"/>
  <c r="J14695" i="39"/>
  <c r="J14694" i="39"/>
  <c r="J14693" i="39"/>
  <c r="J14692" i="39"/>
  <c r="J14691" i="39"/>
  <c r="J14690" i="39"/>
  <c r="J14689" i="39"/>
  <c r="J14688" i="39"/>
  <c r="J14687" i="39"/>
  <c r="J14686" i="39"/>
  <c r="J14685" i="39"/>
  <c r="J14684" i="39"/>
  <c r="J14683" i="39"/>
  <c r="J14682" i="39"/>
  <c r="J14681" i="39"/>
  <c r="J14680" i="39"/>
  <c r="J14679" i="39"/>
  <c r="J14678" i="39"/>
  <c r="J14677" i="39"/>
  <c r="J14676" i="39"/>
  <c r="J14675" i="39"/>
  <c r="J14674" i="39"/>
  <c r="J14673" i="39"/>
  <c r="J14672" i="39"/>
  <c r="J14671" i="39"/>
  <c r="J14670" i="39"/>
  <c r="J14669" i="39"/>
  <c r="J14668" i="39"/>
  <c r="J14667" i="39"/>
  <c r="J14666" i="39"/>
  <c r="J14665" i="39"/>
  <c r="J14664" i="39"/>
  <c r="J14663" i="39"/>
  <c r="J14662" i="39"/>
  <c r="J14661" i="39"/>
  <c r="J14660" i="39"/>
  <c r="J14659" i="39"/>
  <c r="J14658" i="39"/>
  <c r="J14657" i="39"/>
  <c r="J14656" i="39"/>
  <c r="J14655" i="39"/>
  <c r="J14654" i="39"/>
  <c r="J14653" i="39"/>
  <c r="J14652" i="39"/>
  <c r="J14651" i="39"/>
  <c r="J14650" i="39"/>
  <c r="J14649" i="39"/>
  <c r="J14648" i="39"/>
  <c r="J14647" i="39"/>
  <c r="J14646" i="39"/>
  <c r="J14645" i="39"/>
  <c r="J14644" i="39"/>
  <c r="J14643" i="39"/>
  <c r="J14642" i="39"/>
  <c r="J14641" i="39"/>
  <c r="J14640" i="39"/>
  <c r="J14639" i="39"/>
  <c r="J14638" i="39"/>
  <c r="J14637" i="39"/>
  <c r="J14636" i="39"/>
  <c r="J14635" i="39"/>
  <c r="J14634" i="39"/>
  <c r="J14633" i="39"/>
  <c r="J14632" i="39"/>
  <c r="J14631" i="39"/>
  <c r="J14630" i="39"/>
  <c r="J14629" i="39"/>
  <c r="J14628" i="39"/>
  <c r="J14627" i="39"/>
  <c r="J14626" i="39"/>
  <c r="J14625" i="39"/>
  <c r="J14624" i="39"/>
  <c r="J14623" i="39"/>
  <c r="J14622" i="39"/>
  <c r="J14621" i="39"/>
  <c r="J14620" i="39"/>
  <c r="J14619" i="39"/>
  <c r="J14618" i="39"/>
  <c r="B14618" i="39"/>
  <c r="J14617" i="39"/>
  <c r="J14616" i="39"/>
  <c r="J14615" i="39"/>
  <c r="J14614" i="39"/>
  <c r="J14613" i="39"/>
  <c r="J14612" i="39"/>
  <c r="J14611" i="39"/>
  <c r="J14610" i="39"/>
  <c r="J14609" i="39"/>
  <c r="J14608" i="39"/>
  <c r="J14607" i="39"/>
  <c r="J14606" i="39"/>
  <c r="J14605" i="39"/>
  <c r="J14604" i="39"/>
  <c r="J14603" i="39"/>
  <c r="J14602" i="39"/>
  <c r="J14601" i="39"/>
  <c r="J14600" i="39"/>
  <c r="J14599" i="39"/>
  <c r="J14598" i="39"/>
  <c r="J14597" i="39"/>
  <c r="J14596" i="39"/>
  <c r="J14595" i="39"/>
  <c r="J14594" i="39"/>
  <c r="J14593" i="39"/>
  <c r="J14592" i="39"/>
  <c r="J14591" i="39"/>
  <c r="J14590" i="39"/>
  <c r="J14589" i="39"/>
  <c r="J14588" i="39"/>
  <c r="J14587" i="39"/>
  <c r="J14586" i="39"/>
  <c r="J14585" i="39"/>
  <c r="J14584" i="39"/>
  <c r="J14583" i="39"/>
  <c r="J14582" i="39"/>
  <c r="J14581" i="39"/>
  <c r="J14580" i="39"/>
  <c r="J14579" i="39"/>
  <c r="J14578" i="39"/>
  <c r="J14577" i="39"/>
  <c r="J14576" i="39"/>
  <c r="J14575" i="39"/>
  <c r="J14574" i="39"/>
  <c r="J14573" i="39"/>
  <c r="J14572" i="39"/>
  <c r="J14571" i="39"/>
  <c r="J14570" i="39"/>
  <c r="J14569" i="39"/>
  <c r="J14568" i="39"/>
  <c r="J14567" i="39"/>
  <c r="J14566" i="39"/>
  <c r="J14565" i="39"/>
  <c r="J14564" i="39"/>
  <c r="J14563" i="39"/>
  <c r="J14562" i="39"/>
  <c r="J14561" i="39"/>
  <c r="J14560" i="39"/>
  <c r="J14559" i="39"/>
  <c r="J14558" i="39"/>
  <c r="J14557" i="39"/>
  <c r="J14556" i="39"/>
  <c r="J14555" i="39"/>
  <c r="J14554" i="39"/>
  <c r="J14553" i="39"/>
  <c r="J14552" i="39"/>
  <c r="J14551" i="39"/>
  <c r="J14550" i="39"/>
  <c r="J14549" i="39"/>
  <c r="J14548" i="39"/>
  <c r="J14547" i="39"/>
  <c r="J14546" i="39"/>
  <c r="J14545" i="39"/>
  <c r="J14544" i="39"/>
  <c r="J14543" i="39"/>
  <c r="J14542" i="39"/>
  <c r="J14541" i="39"/>
  <c r="J14540" i="39"/>
  <c r="J14539" i="39"/>
  <c r="J14538" i="39"/>
  <c r="J14537" i="39"/>
  <c r="J14536" i="39"/>
  <c r="J14535" i="39"/>
  <c r="J14534" i="39"/>
  <c r="J14533" i="39"/>
  <c r="J14532" i="39"/>
  <c r="J14531" i="39"/>
  <c r="J14530" i="39"/>
  <c r="J14529" i="39"/>
  <c r="J14528" i="39"/>
  <c r="J14527" i="39"/>
  <c r="J14526" i="39"/>
  <c r="J14525" i="39"/>
  <c r="J14524" i="39"/>
  <c r="J14523" i="39"/>
  <c r="J14522" i="39"/>
  <c r="J14521" i="39"/>
  <c r="J14520" i="39"/>
  <c r="J14519" i="39"/>
  <c r="J14518" i="39"/>
  <c r="J14517" i="39"/>
  <c r="J14516" i="39"/>
  <c r="J14515" i="39"/>
  <c r="J14514" i="39"/>
  <c r="J14513" i="39"/>
  <c r="J14512" i="39"/>
  <c r="J14511" i="39"/>
  <c r="J14510" i="39"/>
  <c r="J14509" i="39"/>
  <c r="J14508" i="39"/>
  <c r="J14507" i="39"/>
  <c r="J14506" i="39"/>
  <c r="J14505" i="39"/>
  <c r="J14504" i="39"/>
  <c r="J14503" i="39"/>
  <c r="J14502" i="39"/>
  <c r="J14501" i="39"/>
  <c r="J14500" i="39"/>
  <c r="J14499" i="39"/>
  <c r="J14498" i="39"/>
  <c r="J14497" i="39"/>
  <c r="J14496" i="39"/>
  <c r="J14495" i="39"/>
  <c r="J14494" i="39"/>
  <c r="J14493" i="39"/>
  <c r="J14492" i="39"/>
  <c r="J14491" i="39"/>
  <c r="J14490" i="39"/>
  <c r="J14489" i="39"/>
  <c r="J14488" i="39"/>
  <c r="J14487" i="39"/>
  <c r="J14486" i="39"/>
  <c r="J14485" i="39"/>
  <c r="J14484" i="39"/>
  <c r="J14483" i="39"/>
  <c r="J14482" i="39"/>
  <c r="J14481" i="39"/>
  <c r="J14480" i="39"/>
  <c r="J14479" i="39"/>
  <c r="J14478" i="39"/>
  <c r="J14477" i="39"/>
  <c r="J14476" i="39"/>
  <c r="J14475" i="39"/>
  <c r="J14474" i="39"/>
  <c r="J14473" i="39"/>
  <c r="J14472" i="39"/>
  <c r="J14471" i="39"/>
  <c r="J14470" i="39"/>
  <c r="J14469" i="39"/>
  <c r="J14468" i="39"/>
  <c r="J14467" i="39"/>
  <c r="J14466" i="39"/>
  <c r="J14465" i="39"/>
  <c r="J14464" i="39"/>
  <c r="J14463" i="39"/>
  <c r="J14462" i="39"/>
  <c r="J14461" i="39"/>
  <c r="J14460" i="39"/>
  <c r="J14459" i="39"/>
  <c r="J14458" i="39"/>
  <c r="J14457" i="39"/>
  <c r="J14456" i="39"/>
  <c r="J14455" i="39"/>
  <c r="J14454" i="39"/>
  <c r="J14453" i="39"/>
  <c r="J14452" i="39"/>
  <c r="J14451" i="39"/>
  <c r="J14450" i="39"/>
  <c r="J14449" i="39"/>
  <c r="J14448" i="39"/>
  <c r="J14447" i="39"/>
  <c r="J14446" i="39"/>
  <c r="J14445" i="39"/>
  <c r="J14444" i="39"/>
  <c r="J14443" i="39"/>
  <c r="J14442" i="39"/>
  <c r="J14441" i="39"/>
  <c r="J14440" i="39"/>
  <c r="J14439" i="39"/>
  <c r="J14438" i="39"/>
  <c r="J14437" i="39"/>
  <c r="J14436" i="39"/>
  <c r="J14435" i="39"/>
  <c r="J14434" i="39"/>
  <c r="J14433" i="39"/>
  <c r="J14432" i="39"/>
  <c r="J14431" i="39"/>
  <c r="J14430" i="39"/>
  <c r="J14429" i="39"/>
  <c r="J14428" i="39"/>
  <c r="J14427" i="39"/>
  <c r="J14426" i="39"/>
  <c r="J14425" i="39"/>
  <c r="J14424" i="39"/>
  <c r="J14423" i="39"/>
  <c r="J14422" i="39"/>
  <c r="J14421" i="39"/>
  <c r="J14420" i="39"/>
  <c r="J14419" i="39"/>
  <c r="J14418" i="39"/>
  <c r="J14417" i="39"/>
  <c r="J14416" i="39"/>
  <c r="J14415" i="39"/>
  <c r="J14414" i="39"/>
  <c r="J14413" i="39"/>
  <c r="J14412" i="39"/>
  <c r="J14411" i="39"/>
  <c r="J14410" i="39"/>
  <c r="J14409" i="39"/>
  <c r="J14408" i="39"/>
  <c r="J14407" i="39"/>
  <c r="J14406" i="39"/>
  <c r="J14405" i="39"/>
  <c r="J14404" i="39"/>
  <c r="J14403" i="39"/>
  <c r="J14402" i="39"/>
  <c r="J14401" i="39"/>
  <c r="J14400" i="39"/>
  <c r="J14399" i="39"/>
  <c r="J14398" i="39"/>
  <c r="J14397" i="39"/>
  <c r="J14396" i="39"/>
  <c r="J14395" i="39"/>
  <c r="J14394" i="39"/>
  <c r="J14393" i="39"/>
  <c r="J14392" i="39"/>
  <c r="J14391" i="39"/>
  <c r="J14390" i="39"/>
  <c r="J14389" i="39"/>
  <c r="J14388" i="39"/>
  <c r="J14387" i="39"/>
  <c r="J14386" i="39"/>
  <c r="J14385" i="39"/>
  <c r="J14384" i="39"/>
  <c r="J14383" i="39"/>
  <c r="J14382" i="39"/>
  <c r="J14381" i="39"/>
  <c r="J14380" i="39"/>
  <c r="J14379" i="39"/>
  <c r="J14378" i="39"/>
  <c r="J14377" i="39"/>
  <c r="J14376" i="39"/>
  <c r="J14375" i="39"/>
  <c r="J14374" i="39"/>
  <c r="J14373" i="39"/>
  <c r="J14372" i="39"/>
  <c r="J14371" i="39"/>
  <c r="J14370" i="39"/>
  <c r="J14369" i="39"/>
  <c r="J14368" i="39"/>
  <c r="J14367" i="39"/>
  <c r="J14366" i="39"/>
  <c r="J14365" i="39"/>
  <c r="J14364" i="39"/>
  <c r="J14363" i="39"/>
  <c r="J14362" i="39"/>
  <c r="J14361" i="39"/>
  <c r="J14360" i="39"/>
  <c r="J14359" i="39"/>
  <c r="J14358" i="39"/>
  <c r="J14357" i="39"/>
  <c r="J14356" i="39"/>
  <c r="J14355" i="39"/>
  <c r="J14354" i="39"/>
  <c r="J14353" i="39"/>
  <c r="J14352" i="39"/>
  <c r="J14351" i="39"/>
  <c r="J14350" i="39"/>
  <c r="J14349" i="39"/>
  <c r="J14348" i="39"/>
  <c r="J14347" i="39"/>
  <c r="J14346" i="39"/>
  <c r="J14345" i="39"/>
  <c r="J14344" i="39"/>
  <c r="J14343" i="39"/>
  <c r="J14342" i="39"/>
  <c r="J14341" i="39"/>
  <c r="J14340" i="39"/>
  <c r="J14339" i="39"/>
  <c r="J14338" i="39"/>
  <c r="J14337" i="39"/>
  <c r="J14336" i="39"/>
  <c r="J14335" i="39"/>
  <c r="J14334" i="39"/>
  <c r="J14333" i="39"/>
  <c r="J14332" i="39"/>
  <c r="J14331" i="39"/>
  <c r="J14330" i="39"/>
  <c r="J14329" i="39"/>
  <c r="J14328" i="39"/>
  <c r="J14327" i="39"/>
  <c r="J14326" i="39"/>
  <c r="J14325" i="39"/>
  <c r="J14324" i="39"/>
  <c r="J14323" i="39"/>
  <c r="J14322" i="39"/>
  <c r="J14321" i="39"/>
  <c r="J14320" i="39"/>
  <c r="J14319" i="39"/>
  <c r="J14318" i="39"/>
  <c r="J14317" i="39"/>
  <c r="J14316" i="39"/>
  <c r="J14315" i="39"/>
  <c r="J14314" i="39"/>
  <c r="J14313" i="39"/>
  <c r="J14312" i="39"/>
  <c r="J14311" i="39"/>
  <c r="J14310" i="39"/>
  <c r="J14309" i="39"/>
  <c r="J14308" i="39"/>
  <c r="J14307" i="39"/>
  <c r="J14306" i="39"/>
  <c r="J14305" i="39"/>
  <c r="J14304" i="39"/>
  <c r="J14303" i="39"/>
  <c r="J14302" i="39"/>
  <c r="J14301" i="39"/>
  <c r="J14300" i="39"/>
  <c r="J14299" i="39"/>
  <c r="J14298" i="39"/>
  <c r="J14297" i="39"/>
  <c r="J14296" i="39"/>
  <c r="J14295" i="39"/>
  <c r="J14294" i="39"/>
  <c r="J14293" i="39"/>
  <c r="J14292" i="39"/>
  <c r="J14291" i="39"/>
  <c r="J14290" i="39"/>
  <c r="J14289" i="39"/>
  <c r="J14288" i="39"/>
  <c r="J14287" i="39"/>
  <c r="J14286" i="39"/>
  <c r="J14285" i="39"/>
  <c r="J14284" i="39"/>
  <c r="J14283" i="39"/>
  <c r="J14282" i="39"/>
  <c r="J14281" i="39"/>
  <c r="J14280" i="39"/>
  <c r="J14279" i="39"/>
  <c r="J14278" i="39"/>
  <c r="J14277" i="39"/>
  <c r="J14276" i="39"/>
  <c r="J14275" i="39"/>
  <c r="J14274" i="39"/>
  <c r="J14273" i="39"/>
  <c r="J14272" i="39"/>
  <c r="J14271" i="39"/>
  <c r="J14270" i="39"/>
  <c r="J14269" i="39"/>
  <c r="J14268" i="39"/>
  <c r="J14267" i="39"/>
  <c r="J14266" i="39"/>
  <c r="J14265" i="39"/>
  <c r="J14264" i="39"/>
  <c r="J14263" i="39"/>
  <c r="J14262" i="39"/>
  <c r="J14261" i="39"/>
  <c r="J14260" i="39"/>
  <c r="J14259" i="39"/>
  <c r="J14258" i="39"/>
  <c r="J14257" i="39"/>
  <c r="J14256" i="39"/>
  <c r="J14255" i="39"/>
  <c r="J14254" i="39"/>
  <c r="J14253" i="39"/>
  <c r="J14252" i="39"/>
  <c r="J14251" i="39"/>
  <c r="J14250" i="39"/>
  <c r="J14249" i="39"/>
  <c r="J14248" i="39"/>
  <c r="J14247" i="39"/>
  <c r="J14246" i="39"/>
  <c r="J14245" i="39"/>
  <c r="J14244" i="39"/>
  <c r="J14243" i="39"/>
  <c r="J14242" i="39"/>
  <c r="J14241" i="39"/>
  <c r="J14240" i="39"/>
  <c r="J14239" i="39"/>
  <c r="J14238" i="39"/>
  <c r="J14237" i="39"/>
  <c r="J14236" i="39"/>
  <c r="J14235" i="39"/>
  <c r="J14234" i="39"/>
  <c r="J14233" i="39"/>
  <c r="J14232" i="39"/>
  <c r="J14231" i="39"/>
  <c r="J14230" i="39"/>
  <c r="J14229" i="39"/>
  <c r="J14228" i="39"/>
  <c r="J14227" i="39"/>
  <c r="J14226" i="39"/>
  <c r="J14225" i="39"/>
  <c r="J14224" i="39"/>
  <c r="J14223" i="39"/>
  <c r="J14222" i="39"/>
  <c r="J14221" i="39"/>
  <c r="J14220" i="39"/>
  <c r="J14219" i="39"/>
  <c r="J14218" i="39"/>
  <c r="J14217" i="39"/>
  <c r="J14216" i="39"/>
  <c r="J14215" i="39"/>
  <c r="J14214" i="39"/>
  <c r="J14213" i="39"/>
  <c r="J14212" i="39"/>
  <c r="J14211" i="39"/>
  <c r="J14210" i="39"/>
  <c r="J14209" i="39"/>
  <c r="J14208" i="39"/>
  <c r="J14207" i="39"/>
  <c r="J14206" i="39"/>
  <c r="J14205" i="39"/>
  <c r="J14204" i="39"/>
  <c r="J14203" i="39"/>
  <c r="J14202" i="39"/>
  <c r="J14201" i="39"/>
  <c r="J14200" i="39"/>
  <c r="J14199" i="39"/>
  <c r="J14198" i="39"/>
  <c r="J14197" i="39"/>
  <c r="J14196" i="39"/>
  <c r="J14195" i="39"/>
  <c r="J14194" i="39"/>
  <c r="J14193" i="39"/>
  <c r="J14192" i="39"/>
  <c r="J14191" i="39"/>
  <c r="J14190" i="39"/>
  <c r="J14189" i="39"/>
  <c r="J14188" i="39"/>
  <c r="J14187" i="39"/>
  <c r="J14186" i="39"/>
  <c r="J14185" i="39"/>
  <c r="J14184" i="39"/>
  <c r="J14183" i="39"/>
  <c r="J14182" i="39"/>
  <c r="J14181" i="39"/>
  <c r="J14180" i="39"/>
  <c r="J14179" i="39"/>
  <c r="J14178" i="39"/>
  <c r="J14177" i="39"/>
  <c r="J14176" i="39"/>
  <c r="J14175" i="39"/>
  <c r="J14174" i="39"/>
  <c r="J14173" i="39"/>
  <c r="J14172" i="39"/>
  <c r="J14171" i="39"/>
  <c r="J14170" i="39"/>
  <c r="J14169" i="39"/>
  <c r="J14168" i="39"/>
  <c r="J14167" i="39"/>
  <c r="J14166" i="39"/>
  <c r="J14165" i="39"/>
  <c r="J14164" i="39"/>
  <c r="J14163" i="39"/>
  <c r="J14162" i="39"/>
  <c r="J14161" i="39"/>
  <c r="J14160" i="39"/>
  <c r="J14159" i="39"/>
  <c r="J14158" i="39"/>
  <c r="J14157" i="39"/>
  <c r="J14156" i="39"/>
  <c r="J14155" i="39"/>
  <c r="J14154" i="39"/>
  <c r="J14153" i="39"/>
  <c r="J14152" i="39"/>
  <c r="J14151" i="39"/>
  <c r="J14150" i="39"/>
  <c r="J14149" i="39"/>
  <c r="J14148" i="39"/>
  <c r="J14147" i="39"/>
  <c r="J14146" i="39"/>
  <c r="J14145" i="39"/>
  <c r="J14144" i="39"/>
  <c r="J14143" i="39"/>
  <c r="J14142" i="39"/>
  <c r="J14141" i="39"/>
  <c r="J14140" i="39"/>
  <c r="J14139" i="39"/>
  <c r="J14138" i="39"/>
  <c r="J14137" i="39"/>
  <c r="J14136" i="39"/>
  <c r="J14135" i="39"/>
  <c r="J14134" i="39"/>
  <c r="J14133" i="39"/>
  <c r="J14132" i="39"/>
  <c r="J14131" i="39"/>
  <c r="J14130" i="39"/>
  <c r="J14129" i="39"/>
  <c r="J14128" i="39"/>
  <c r="J14127" i="39"/>
  <c r="J14126" i="39"/>
  <c r="J14125" i="39"/>
  <c r="J14124" i="39"/>
  <c r="J14123" i="39"/>
  <c r="J14122" i="39"/>
  <c r="J14121" i="39"/>
  <c r="J14120" i="39"/>
  <c r="J14119" i="39"/>
  <c r="J14118" i="39"/>
  <c r="J14117" i="39"/>
  <c r="J14116" i="39"/>
  <c r="J14115" i="39"/>
  <c r="J14114" i="39"/>
  <c r="J14113" i="39"/>
  <c r="J14112" i="39"/>
  <c r="J14111" i="39"/>
  <c r="J14110" i="39"/>
  <c r="J14109" i="39"/>
  <c r="J14108" i="39"/>
  <c r="J14107" i="39"/>
  <c r="J14106" i="39"/>
  <c r="J14105" i="39"/>
  <c r="J14104" i="39"/>
  <c r="J14103" i="39"/>
  <c r="J14102" i="39"/>
  <c r="J14101" i="39"/>
  <c r="J14100" i="39"/>
  <c r="J14099" i="39"/>
  <c r="J14098" i="39"/>
  <c r="J14097" i="39"/>
  <c r="J14096" i="39"/>
  <c r="J14095" i="39"/>
  <c r="J14094" i="39"/>
  <c r="J14093" i="39"/>
  <c r="J14092" i="39"/>
  <c r="J14091" i="39"/>
  <c r="J14090" i="39"/>
  <c r="J14089" i="39"/>
  <c r="J14088" i="39"/>
  <c r="J14087" i="39"/>
  <c r="J14086" i="39"/>
  <c r="J14085" i="39"/>
  <c r="J14084" i="39"/>
  <c r="J14083" i="39"/>
  <c r="J14082" i="39"/>
  <c r="J14081" i="39"/>
  <c r="J14080" i="39"/>
  <c r="J14079" i="39"/>
  <c r="J14078" i="39"/>
  <c r="J14077" i="39"/>
  <c r="J14076" i="39"/>
  <c r="J14075" i="39"/>
  <c r="B14075" i="39"/>
  <c r="J14074" i="39"/>
  <c r="J14073" i="39"/>
  <c r="J14072" i="39"/>
  <c r="J14071" i="39"/>
  <c r="J14070" i="39"/>
  <c r="J14069" i="39"/>
  <c r="J14068" i="39"/>
  <c r="J14067" i="39"/>
  <c r="J14066" i="39"/>
  <c r="J14065" i="39"/>
  <c r="J14064" i="39"/>
  <c r="J14063" i="39"/>
  <c r="J14062" i="39"/>
  <c r="J14061" i="39"/>
  <c r="J14060" i="39"/>
  <c r="J14059" i="39"/>
  <c r="J14058" i="39"/>
  <c r="J14057" i="39"/>
  <c r="J14056" i="39"/>
  <c r="J14055" i="39"/>
  <c r="J14054" i="39"/>
  <c r="J14053" i="39"/>
  <c r="J14052" i="39"/>
  <c r="J14051" i="39"/>
  <c r="J14050" i="39"/>
  <c r="J14049" i="39"/>
  <c r="J14048" i="39"/>
  <c r="J14047" i="39"/>
  <c r="J14046" i="39"/>
  <c r="J14045" i="39"/>
  <c r="J14044" i="39"/>
  <c r="J14043" i="39"/>
  <c r="J14042" i="39"/>
  <c r="J14041" i="39"/>
  <c r="J14040" i="39"/>
  <c r="J14039" i="39"/>
  <c r="J14038" i="39"/>
  <c r="J14037" i="39"/>
  <c r="J14036" i="39"/>
  <c r="J14035" i="39"/>
  <c r="J14034" i="39"/>
  <c r="J14033" i="39"/>
  <c r="J14032" i="39"/>
  <c r="J14031" i="39"/>
  <c r="J14030" i="39"/>
  <c r="J14029" i="39"/>
  <c r="J14028" i="39"/>
  <c r="J14027" i="39"/>
  <c r="J14026" i="39"/>
  <c r="J14025" i="39"/>
  <c r="J14024" i="39"/>
  <c r="J14023" i="39"/>
  <c r="J14022" i="39"/>
  <c r="J14021" i="39"/>
  <c r="J14020" i="39"/>
  <c r="J14019" i="39"/>
  <c r="J14018" i="39"/>
  <c r="J14017" i="39"/>
  <c r="J14016" i="39"/>
  <c r="J14015" i="39"/>
  <c r="J14014" i="39"/>
  <c r="J14013" i="39"/>
  <c r="J14012" i="39"/>
  <c r="J14011" i="39"/>
  <c r="J14010" i="39"/>
  <c r="J14009" i="39"/>
  <c r="J14008" i="39"/>
  <c r="J14007" i="39"/>
  <c r="J14006" i="39"/>
  <c r="J14005" i="39"/>
  <c r="J14004" i="39"/>
  <c r="J14003" i="39"/>
  <c r="J14002" i="39"/>
  <c r="J14001" i="39"/>
  <c r="J14000" i="39"/>
  <c r="J13999" i="39"/>
  <c r="J13998" i="39"/>
  <c r="J13997" i="39"/>
  <c r="J13996" i="39"/>
  <c r="J13995" i="39"/>
  <c r="J13994" i="39"/>
  <c r="J13993" i="39"/>
  <c r="J13992" i="39"/>
  <c r="J13991" i="39"/>
  <c r="J13990" i="39"/>
  <c r="J13989" i="39"/>
  <c r="J13988" i="39"/>
  <c r="J13987" i="39"/>
  <c r="J13986" i="39"/>
  <c r="J13985" i="39"/>
  <c r="J13984" i="39"/>
  <c r="J13983" i="39"/>
  <c r="J13982" i="39"/>
  <c r="J13981" i="39"/>
  <c r="J13980" i="39"/>
  <c r="J13979" i="39"/>
  <c r="J13978" i="39"/>
  <c r="J13977" i="39"/>
  <c r="J13976" i="39"/>
  <c r="J13975" i="39"/>
  <c r="J13974" i="39"/>
  <c r="J13973" i="39"/>
  <c r="J13972" i="39"/>
  <c r="J13971" i="39"/>
  <c r="J13970" i="39"/>
  <c r="J13969" i="39"/>
  <c r="J13968" i="39"/>
  <c r="J13967" i="39"/>
  <c r="J13966" i="39"/>
  <c r="J13965" i="39"/>
  <c r="J13964" i="39"/>
  <c r="J13963" i="39"/>
  <c r="J13962" i="39"/>
  <c r="J13961" i="39"/>
  <c r="J13960" i="39"/>
  <c r="J13959" i="39"/>
  <c r="J13958" i="39"/>
  <c r="J13957" i="39"/>
  <c r="J13956" i="39"/>
  <c r="J13955" i="39"/>
  <c r="J13954" i="39"/>
  <c r="J13953" i="39"/>
  <c r="J13952" i="39"/>
  <c r="J13951" i="39"/>
  <c r="J13950" i="39"/>
  <c r="J13949" i="39"/>
  <c r="J13948" i="39"/>
  <c r="J13947" i="39"/>
  <c r="J13946" i="39"/>
  <c r="J13945" i="39"/>
  <c r="J13944" i="39"/>
  <c r="J13943" i="39"/>
  <c r="J13942" i="39"/>
  <c r="J13941" i="39"/>
  <c r="J13940" i="39"/>
  <c r="J13939" i="39"/>
  <c r="J13938" i="39"/>
  <c r="J13937" i="39"/>
  <c r="J13936" i="39"/>
  <c r="J13935" i="39"/>
  <c r="J13934" i="39"/>
  <c r="J13933" i="39"/>
  <c r="J13932" i="39"/>
  <c r="J13931" i="39"/>
  <c r="J13930" i="39"/>
  <c r="J13929" i="39"/>
  <c r="J13928" i="39"/>
  <c r="J13927" i="39"/>
  <c r="J13926" i="39"/>
  <c r="J13925" i="39"/>
  <c r="J13924" i="39"/>
  <c r="J13923" i="39"/>
  <c r="J13922" i="39"/>
  <c r="J13921" i="39"/>
  <c r="J13920" i="39"/>
  <c r="J13919" i="39"/>
  <c r="J13918" i="39"/>
  <c r="J13917" i="39"/>
  <c r="J13916" i="39"/>
  <c r="J13915" i="39"/>
  <c r="J13914" i="39"/>
  <c r="J13913" i="39"/>
  <c r="J13912" i="39"/>
  <c r="J13911" i="39"/>
  <c r="J13910" i="39"/>
  <c r="J13909" i="39"/>
  <c r="J13908" i="39"/>
  <c r="J13907" i="39"/>
  <c r="J13906" i="39"/>
  <c r="J13905" i="39"/>
  <c r="J13904" i="39"/>
  <c r="J13903" i="39"/>
  <c r="J13902" i="39"/>
  <c r="J13901" i="39"/>
  <c r="J13900" i="39"/>
  <c r="J13899" i="39"/>
  <c r="J13898" i="39"/>
  <c r="J13897" i="39"/>
  <c r="J13896" i="39"/>
  <c r="J13895" i="39"/>
  <c r="J13894" i="39"/>
  <c r="J13893" i="39"/>
  <c r="J13892" i="39"/>
  <c r="J13891" i="39"/>
  <c r="J13890" i="39"/>
  <c r="J13889" i="39"/>
  <c r="J13888" i="39"/>
  <c r="J13887" i="39"/>
  <c r="J13886" i="39"/>
  <c r="J13885" i="39"/>
  <c r="J13884" i="39"/>
  <c r="J13883" i="39"/>
  <c r="J13882" i="39"/>
  <c r="J13881" i="39"/>
  <c r="J13880" i="39"/>
  <c r="J13879" i="39"/>
  <c r="J13878" i="39"/>
  <c r="J13877" i="39"/>
  <c r="J13876" i="39"/>
  <c r="J13875" i="39"/>
  <c r="J13874" i="39"/>
  <c r="J13873" i="39"/>
  <c r="J13872" i="39"/>
  <c r="J13871" i="39"/>
  <c r="J13870" i="39"/>
  <c r="J13869" i="39"/>
  <c r="J13868" i="39"/>
  <c r="J13867" i="39"/>
  <c r="J13866" i="39"/>
  <c r="J13865" i="39"/>
  <c r="J13864" i="39"/>
  <c r="J13863" i="39"/>
  <c r="J13862" i="39"/>
  <c r="J13861" i="39"/>
  <c r="J13860" i="39"/>
  <c r="J13859" i="39"/>
  <c r="J13858" i="39"/>
  <c r="J13857" i="39"/>
  <c r="J13856" i="39"/>
  <c r="J13855" i="39"/>
  <c r="J13854" i="39"/>
  <c r="J13853" i="39"/>
  <c r="J13852" i="39"/>
  <c r="J13851" i="39"/>
  <c r="J13850" i="39"/>
  <c r="J13849" i="39"/>
  <c r="J13848" i="39"/>
  <c r="J13847" i="39"/>
  <c r="J13846" i="39"/>
  <c r="J13845" i="39"/>
  <c r="J13844" i="39"/>
  <c r="J13843" i="39"/>
  <c r="J13842" i="39"/>
  <c r="J13841" i="39"/>
  <c r="J13840" i="39"/>
  <c r="J13839" i="39"/>
  <c r="J13838" i="39"/>
  <c r="J13837" i="39"/>
  <c r="J13836" i="39"/>
  <c r="J13835" i="39"/>
  <c r="J13834" i="39"/>
  <c r="J13833" i="39"/>
  <c r="J13832" i="39"/>
  <c r="J13831" i="39"/>
  <c r="J13830" i="39"/>
  <c r="J13829" i="39"/>
  <c r="J13828" i="39"/>
  <c r="J13827" i="39"/>
  <c r="J13826" i="39"/>
  <c r="J13825" i="39"/>
  <c r="J13824" i="39"/>
  <c r="J13823" i="39"/>
  <c r="J13822" i="39"/>
  <c r="J13821" i="39"/>
  <c r="J13820" i="39"/>
  <c r="J13819" i="39"/>
  <c r="J13818" i="39"/>
  <c r="J13817" i="39"/>
  <c r="J13816" i="39"/>
  <c r="J13815" i="39"/>
  <c r="J13814" i="39"/>
  <c r="J13813" i="39"/>
  <c r="J13812" i="39"/>
  <c r="J13811" i="39"/>
  <c r="J13810" i="39"/>
  <c r="J13809" i="39"/>
  <c r="J13808" i="39"/>
  <c r="J13807" i="39"/>
  <c r="J13806" i="39"/>
  <c r="J13805" i="39"/>
  <c r="J13804" i="39"/>
  <c r="J13803" i="39"/>
  <c r="J13802" i="39"/>
  <c r="J13801" i="39"/>
  <c r="J13800" i="39"/>
  <c r="J13799" i="39"/>
  <c r="J13798" i="39"/>
  <c r="J13797" i="39"/>
  <c r="J13796" i="39"/>
  <c r="J13795" i="39"/>
  <c r="J13794" i="39"/>
  <c r="J13793" i="39"/>
  <c r="J13792" i="39"/>
  <c r="J13791" i="39"/>
  <c r="J13790" i="39"/>
  <c r="J13789" i="39"/>
  <c r="J13788" i="39"/>
  <c r="J13787" i="39"/>
  <c r="J13786" i="39"/>
  <c r="J13785" i="39"/>
  <c r="J13784" i="39"/>
  <c r="J13783" i="39"/>
  <c r="J13782" i="39"/>
  <c r="J13781" i="39"/>
  <c r="J13780" i="39"/>
  <c r="J13779" i="39"/>
  <c r="J13778" i="39"/>
  <c r="J13777" i="39"/>
  <c r="J13776" i="39"/>
  <c r="J13775" i="39"/>
  <c r="J13774" i="39"/>
  <c r="J13773" i="39"/>
  <c r="J13772" i="39"/>
  <c r="J13771" i="39"/>
  <c r="J13770" i="39"/>
  <c r="J13769" i="39"/>
  <c r="J13768" i="39"/>
  <c r="J13767" i="39"/>
  <c r="J13766" i="39"/>
  <c r="J13765" i="39"/>
  <c r="J13764" i="39"/>
  <c r="J13763" i="39"/>
  <c r="J13762" i="39"/>
  <c r="J13761" i="39"/>
  <c r="J13760" i="39"/>
  <c r="J13759" i="39"/>
  <c r="J13758" i="39"/>
  <c r="J13757" i="39"/>
  <c r="J13756" i="39"/>
  <c r="J13755" i="39"/>
  <c r="J13754" i="39"/>
  <c r="J13753" i="39"/>
  <c r="J13752" i="39"/>
  <c r="J13751" i="39"/>
  <c r="J13750" i="39"/>
  <c r="J13749" i="39"/>
  <c r="J13748" i="39"/>
  <c r="B13748" i="39"/>
  <c r="J13747" i="39"/>
  <c r="J13746" i="39"/>
  <c r="J13745" i="39"/>
  <c r="J13744" i="39"/>
  <c r="J13743" i="39"/>
  <c r="J13742" i="39"/>
  <c r="J13741" i="39"/>
  <c r="J13740" i="39"/>
  <c r="J13739" i="39"/>
  <c r="J13738" i="39"/>
  <c r="J13737" i="39"/>
  <c r="J13736" i="39"/>
  <c r="J13735" i="39"/>
  <c r="J13734" i="39"/>
  <c r="J13733" i="39"/>
  <c r="J13732" i="39"/>
  <c r="J13731" i="39"/>
  <c r="J13730" i="39"/>
  <c r="J13729" i="39"/>
  <c r="J13728" i="39"/>
  <c r="J13727" i="39"/>
  <c r="J13726" i="39"/>
  <c r="J13725" i="39"/>
  <c r="J13724" i="39"/>
  <c r="J13723" i="39"/>
  <c r="J13722" i="39"/>
  <c r="J13721" i="39"/>
  <c r="J13720" i="39"/>
  <c r="J13719" i="39"/>
  <c r="J13718" i="39"/>
  <c r="J13717" i="39"/>
  <c r="J13716" i="39"/>
  <c r="J13715" i="39"/>
  <c r="J13714" i="39"/>
  <c r="J13713" i="39"/>
  <c r="J13712" i="39"/>
  <c r="J13711" i="39"/>
  <c r="J13710" i="39"/>
  <c r="J13709" i="39"/>
  <c r="J13708" i="39"/>
  <c r="J13707" i="39"/>
  <c r="J13706" i="39"/>
  <c r="J13705" i="39"/>
  <c r="J13704" i="39"/>
  <c r="J13703" i="39"/>
  <c r="J13702" i="39"/>
  <c r="J13701" i="39"/>
  <c r="J13700" i="39"/>
  <c r="J13699" i="39"/>
  <c r="J13698" i="39"/>
  <c r="J13697" i="39"/>
  <c r="J13696" i="39"/>
  <c r="J13695" i="39"/>
  <c r="J13694" i="39"/>
  <c r="J13693" i="39"/>
  <c r="J13692" i="39"/>
  <c r="J13691" i="39"/>
  <c r="J13690" i="39"/>
  <c r="J13689" i="39"/>
  <c r="J13688" i="39"/>
  <c r="J13687" i="39"/>
  <c r="J13686" i="39"/>
  <c r="J13685" i="39"/>
  <c r="J13684" i="39"/>
  <c r="J13683" i="39"/>
  <c r="J13682" i="39"/>
  <c r="J13681" i="39"/>
  <c r="J13680" i="39"/>
  <c r="J13679" i="39"/>
  <c r="J13678" i="39"/>
  <c r="J13677" i="39"/>
  <c r="J13676" i="39"/>
  <c r="J13675" i="39"/>
  <c r="J13674" i="39"/>
  <c r="J13673" i="39"/>
  <c r="J13672" i="39"/>
  <c r="J13671" i="39"/>
  <c r="J13670" i="39"/>
  <c r="J13669" i="39"/>
  <c r="J13668" i="39"/>
  <c r="J13667" i="39"/>
  <c r="J13666" i="39"/>
  <c r="J13665" i="39"/>
  <c r="J13664" i="39"/>
  <c r="J13663" i="39"/>
  <c r="J13662" i="39"/>
  <c r="J13661" i="39"/>
  <c r="J13660" i="39"/>
  <c r="J13659" i="39"/>
  <c r="J13658" i="39"/>
  <c r="J13657" i="39"/>
  <c r="J13656" i="39"/>
  <c r="J13655" i="39"/>
  <c r="J13654" i="39"/>
  <c r="J13653" i="39"/>
  <c r="J13652" i="39"/>
  <c r="J13651" i="39"/>
  <c r="J13650" i="39"/>
  <c r="J13649" i="39"/>
  <c r="J13648" i="39"/>
  <c r="J13647" i="39"/>
  <c r="J13646" i="39"/>
  <c r="J13645" i="39"/>
  <c r="J13644" i="39"/>
  <c r="J13643" i="39"/>
  <c r="J13642" i="39"/>
  <c r="J13641" i="39"/>
  <c r="J13640" i="39"/>
  <c r="J13639" i="39"/>
  <c r="J13638" i="39"/>
  <c r="J13637" i="39"/>
  <c r="J13636" i="39"/>
  <c r="J13635" i="39"/>
  <c r="J13634" i="39"/>
  <c r="J13633" i="39"/>
  <c r="J13632" i="39"/>
  <c r="J13631" i="39"/>
  <c r="J13630" i="39"/>
  <c r="J13629" i="39"/>
  <c r="J13628" i="39"/>
  <c r="J13627" i="39"/>
  <c r="J13626" i="39"/>
  <c r="J13625" i="39"/>
  <c r="J13624" i="39"/>
  <c r="J13623" i="39"/>
  <c r="J13622" i="39"/>
  <c r="J13621" i="39"/>
  <c r="J13620" i="39"/>
  <c r="J13619" i="39"/>
  <c r="J13618" i="39"/>
  <c r="J13617" i="39"/>
  <c r="J13616" i="39"/>
  <c r="J13615" i="39"/>
  <c r="J13614" i="39"/>
  <c r="J13613" i="39"/>
  <c r="J13612" i="39"/>
  <c r="J13611" i="39"/>
  <c r="J13610" i="39"/>
  <c r="J13609" i="39"/>
  <c r="J13608" i="39"/>
  <c r="J13607" i="39"/>
  <c r="J13606" i="39"/>
  <c r="J13605" i="39"/>
  <c r="J13604" i="39"/>
  <c r="J13603" i="39"/>
  <c r="J13602" i="39"/>
  <c r="J13601" i="39"/>
  <c r="J13600" i="39"/>
  <c r="J13599" i="39"/>
  <c r="J13598" i="39"/>
  <c r="J13597" i="39"/>
  <c r="J13596" i="39"/>
  <c r="J13595" i="39"/>
  <c r="J13594" i="39"/>
  <c r="J13593" i="39"/>
  <c r="J13592" i="39"/>
  <c r="J13591" i="39"/>
  <c r="J13590" i="39"/>
  <c r="J13589" i="39"/>
  <c r="J13588" i="39"/>
  <c r="J13587" i="39"/>
  <c r="J13586" i="39"/>
  <c r="J13585" i="39"/>
  <c r="J13584" i="39"/>
  <c r="J13583" i="39"/>
  <c r="J13582" i="39"/>
  <c r="J13581" i="39"/>
  <c r="J13580" i="39"/>
  <c r="J13579" i="39"/>
  <c r="J13578" i="39"/>
  <c r="J13577" i="39"/>
  <c r="J13576" i="39"/>
  <c r="J13575" i="39"/>
  <c r="J13574" i="39"/>
  <c r="J13573" i="39"/>
  <c r="J13572" i="39"/>
  <c r="J13571" i="39"/>
  <c r="J13570" i="39"/>
  <c r="J13569" i="39"/>
  <c r="J13568" i="39"/>
  <c r="J13567" i="39"/>
  <c r="J13566" i="39"/>
  <c r="J13565" i="39"/>
  <c r="J13564" i="39"/>
  <c r="J13563" i="39"/>
  <c r="J13562" i="39"/>
  <c r="J13561" i="39"/>
  <c r="J13560" i="39"/>
  <c r="J13559" i="39"/>
  <c r="J13558" i="39"/>
  <c r="J13557" i="39"/>
  <c r="J13556" i="39"/>
  <c r="J13555" i="39"/>
  <c r="J13554" i="39"/>
  <c r="J13553" i="39"/>
  <c r="J13552" i="39"/>
  <c r="J13551" i="39"/>
  <c r="J13550" i="39"/>
  <c r="J13549" i="39"/>
  <c r="J13548" i="39"/>
  <c r="J13547" i="39"/>
  <c r="J13546" i="39"/>
  <c r="J13545" i="39"/>
  <c r="J13544" i="39"/>
  <c r="J13543" i="39"/>
  <c r="J13542" i="39"/>
  <c r="J13541" i="39"/>
  <c r="J13540" i="39"/>
  <c r="J13539" i="39"/>
  <c r="J13538" i="39"/>
  <c r="J13537" i="39"/>
  <c r="J13536" i="39"/>
  <c r="J13535" i="39"/>
  <c r="J13534" i="39"/>
  <c r="J13533" i="39"/>
  <c r="J13532" i="39"/>
  <c r="J13531" i="39"/>
  <c r="J13530" i="39"/>
  <c r="J13529" i="39"/>
  <c r="J13528" i="39"/>
  <c r="J13527" i="39"/>
  <c r="J13526" i="39"/>
  <c r="J13525" i="39"/>
  <c r="J13524" i="39"/>
  <c r="J13523" i="39"/>
  <c r="J13522" i="39"/>
  <c r="J13521" i="39"/>
  <c r="J13520" i="39"/>
  <c r="J13519" i="39"/>
  <c r="J13518" i="39"/>
  <c r="J13517" i="39"/>
  <c r="J13516" i="39"/>
  <c r="J13515" i="39"/>
  <c r="J13514" i="39"/>
  <c r="J13513" i="39"/>
  <c r="J13512" i="39"/>
  <c r="J13511" i="39"/>
  <c r="J13510" i="39"/>
  <c r="J13509" i="39"/>
  <c r="J13508" i="39"/>
  <c r="J13507" i="39"/>
  <c r="J13506" i="39"/>
  <c r="J13505" i="39"/>
  <c r="J13504" i="39"/>
  <c r="J13503" i="39"/>
  <c r="J13502" i="39"/>
  <c r="J13501" i="39"/>
  <c r="J13500" i="39"/>
  <c r="J13499" i="39"/>
  <c r="J13498" i="39"/>
  <c r="J13497" i="39"/>
  <c r="J13496" i="39"/>
  <c r="J13495" i="39"/>
  <c r="J13494" i="39"/>
  <c r="J13493" i="39"/>
  <c r="J13492" i="39"/>
  <c r="J13491" i="39"/>
  <c r="J13490" i="39"/>
  <c r="J13489" i="39"/>
  <c r="J13488" i="39"/>
  <c r="J13487" i="39"/>
  <c r="J13486" i="39"/>
  <c r="J13485" i="39"/>
  <c r="J13484" i="39"/>
  <c r="J13483" i="39"/>
  <c r="J13482" i="39"/>
  <c r="J13481" i="39"/>
  <c r="J13480" i="39"/>
  <c r="J13479" i="39"/>
  <c r="J13478" i="39"/>
  <c r="J13477" i="39"/>
  <c r="J13476" i="39"/>
  <c r="J13475" i="39"/>
  <c r="J13474" i="39"/>
  <c r="J13473" i="39"/>
  <c r="J13472" i="39"/>
  <c r="J13471" i="39"/>
  <c r="J13470" i="39"/>
  <c r="J13469" i="39"/>
  <c r="J13468" i="39"/>
  <c r="J13467" i="39"/>
  <c r="J13466" i="39"/>
  <c r="J13465" i="39"/>
  <c r="J13464" i="39"/>
  <c r="J13463" i="39"/>
  <c r="J13462" i="39"/>
  <c r="J13461" i="39"/>
  <c r="J13460" i="39"/>
  <c r="J13459" i="39"/>
  <c r="J13458" i="39"/>
  <c r="J13457" i="39"/>
  <c r="J13456" i="39"/>
  <c r="J13455" i="39"/>
  <c r="J13454" i="39"/>
  <c r="J13453" i="39"/>
  <c r="J13452" i="39"/>
  <c r="J13451" i="39"/>
  <c r="J13450" i="39"/>
  <c r="J13449" i="39"/>
  <c r="J13448" i="39"/>
  <c r="J13447" i="39"/>
  <c r="J13446" i="39"/>
  <c r="J13445" i="39"/>
  <c r="J13444" i="39"/>
  <c r="J13443" i="39"/>
  <c r="J13442" i="39"/>
  <c r="J13441" i="39"/>
  <c r="J13440" i="39"/>
  <c r="J13439" i="39"/>
  <c r="J13438" i="39"/>
  <c r="J13437" i="39"/>
  <c r="J13436" i="39"/>
  <c r="J13435" i="39"/>
  <c r="J13434" i="39"/>
  <c r="J13433" i="39"/>
  <c r="J13432" i="39"/>
  <c r="J13431" i="39"/>
  <c r="J13430" i="39"/>
  <c r="J13429" i="39"/>
  <c r="J13428" i="39"/>
  <c r="J13427" i="39"/>
  <c r="J13426" i="39"/>
  <c r="J13425" i="39"/>
  <c r="J13424" i="39"/>
  <c r="J13423" i="39"/>
  <c r="J13422" i="39"/>
  <c r="J13421" i="39"/>
  <c r="J13420" i="39"/>
  <c r="J13419" i="39"/>
  <c r="J13418" i="39"/>
  <c r="J13417" i="39"/>
  <c r="J13416" i="39"/>
  <c r="J13415" i="39"/>
  <c r="J13414" i="39"/>
  <c r="J13413" i="39"/>
  <c r="J13412" i="39"/>
  <c r="J13411" i="39"/>
  <c r="J13410" i="39"/>
  <c r="J13409" i="39"/>
  <c r="J13408" i="39"/>
  <c r="J13407" i="39"/>
  <c r="J13406" i="39"/>
  <c r="J13405" i="39"/>
  <c r="J13404" i="39"/>
  <c r="J13403" i="39"/>
  <c r="J13402" i="39"/>
  <c r="J13401" i="39"/>
  <c r="J13400" i="39"/>
  <c r="J13399" i="39"/>
  <c r="J13398" i="39"/>
  <c r="J13397" i="39"/>
  <c r="J13396" i="39"/>
  <c r="J13395" i="39"/>
  <c r="J13394" i="39"/>
  <c r="J13393" i="39"/>
  <c r="J13392" i="39"/>
  <c r="J13391" i="39"/>
  <c r="J13390" i="39"/>
  <c r="J13389" i="39"/>
  <c r="J13388" i="39"/>
  <c r="J13387" i="39"/>
  <c r="J13386" i="39"/>
  <c r="J13385" i="39"/>
  <c r="J13384" i="39"/>
  <c r="J13383" i="39"/>
  <c r="J13382" i="39"/>
  <c r="J13381" i="39"/>
  <c r="J13380" i="39"/>
  <c r="J13379" i="39"/>
  <c r="J13378" i="39"/>
  <c r="J13377" i="39"/>
  <c r="J13376" i="39"/>
  <c r="J13375" i="39"/>
  <c r="J13374" i="39"/>
  <c r="J13373" i="39"/>
  <c r="J13372" i="39"/>
  <c r="J13371" i="39"/>
  <c r="J13370" i="39"/>
  <c r="J13369" i="39"/>
  <c r="J13368" i="39"/>
  <c r="J13367" i="39"/>
  <c r="J13366" i="39"/>
  <c r="J13365" i="39"/>
  <c r="J13364" i="39"/>
  <c r="J13363" i="39"/>
  <c r="J13362" i="39"/>
  <c r="J13361" i="39"/>
  <c r="J13360" i="39"/>
  <c r="J13359" i="39"/>
  <c r="J13358" i="39"/>
  <c r="J13357" i="39"/>
  <c r="J13356" i="39"/>
  <c r="J13355" i="39"/>
  <c r="J13354" i="39"/>
  <c r="J13353" i="39"/>
  <c r="J13352" i="39"/>
  <c r="J13351" i="39"/>
  <c r="J13350" i="39"/>
  <c r="J13349" i="39"/>
  <c r="J13348" i="39"/>
  <c r="J13347" i="39"/>
  <c r="J13346" i="39"/>
  <c r="J13345" i="39"/>
  <c r="J13344" i="39"/>
  <c r="J13343" i="39"/>
  <c r="J13342" i="39"/>
  <c r="J13341" i="39"/>
  <c r="J13340" i="39"/>
  <c r="J13339" i="39"/>
  <c r="J13338" i="39"/>
  <c r="J13337" i="39"/>
  <c r="J13336" i="39"/>
  <c r="J13335" i="39"/>
  <c r="J13334" i="39"/>
  <c r="J13333" i="39"/>
  <c r="J13332" i="39"/>
  <c r="J13331" i="39"/>
  <c r="J13330" i="39"/>
  <c r="J13329" i="39"/>
  <c r="J13328" i="39"/>
  <c r="J13327" i="39"/>
  <c r="J13326" i="39"/>
  <c r="J13325" i="39"/>
  <c r="J13324" i="39"/>
  <c r="J13323" i="39"/>
  <c r="J13322" i="39"/>
  <c r="J13321" i="39"/>
  <c r="J13320" i="39"/>
  <c r="J13319" i="39"/>
  <c r="J13318" i="39"/>
  <c r="J13317" i="39"/>
  <c r="J13316" i="39"/>
  <c r="J13315" i="39"/>
  <c r="J13314" i="39"/>
  <c r="J13313" i="39"/>
  <c r="J13312" i="39"/>
  <c r="J13311" i="39"/>
  <c r="J13310" i="39"/>
  <c r="J13309" i="39"/>
  <c r="J13308" i="39"/>
  <c r="J13307" i="39"/>
  <c r="J13306" i="39"/>
  <c r="J13305" i="39"/>
  <c r="J13304" i="39"/>
  <c r="J13303" i="39"/>
  <c r="J13302" i="39"/>
  <c r="J13301" i="39"/>
  <c r="J13300" i="39"/>
  <c r="J13299" i="39"/>
  <c r="J13298" i="39"/>
  <c r="J13297" i="39"/>
  <c r="J13296" i="39"/>
  <c r="J13295" i="39"/>
  <c r="J13294" i="39"/>
  <c r="J13293" i="39"/>
  <c r="J13292" i="39"/>
  <c r="J13291" i="39"/>
  <c r="J13290" i="39"/>
  <c r="J13289" i="39"/>
  <c r="J13288" i="39"/>
  <c r="J13287" i="39"/>
  <c r="J13286" i="39"/>
  <c r="J13285" i="39"/>
  <c r="J13284" i="39"/>
  <c r="J13283" i="39"/>
  <c r="J13282" i="39"/>
  <c r="J13281" i="39"/>
  <c r="J13280" i="39"/>
  <c r="J13279" i="39"/>
  <c r="J13278" i="39"/>
  <c r="J13277" i="39"/>
  <c r="J13276" i="39"/>
  <c r="J13275" i="39"/>
  <c r="J13274" i="39"/>
  <c r="J13273" i="39"/>
  <c r="J13272" i="39"/>
  <c r="J13271" i="39"/>
  <c r="J13270" i="39"/>
  <c r="J13269" i="39"/>
  <c r="J13268" i="39"/>
  <c r="J13267" i="39"/>
  <c r="J13266" i="39"/>
  <c r="J13265" i="39"/>
  <c r="J13264" i="39"/>
  <c r="J13263" i="39"/>
  <c r="J13262" i="39"/>
  <c r="J13261" i="39"/>
  <c r="J13260" i="39"/>
  <c r="J13259" i="39"/>
  <c r="J13258" i="39"/>
  <c r="J13257" i="39"/>
  <c r="J13256" i="39"/>
  <c r="J13255" i="39"/>
  <c r="J13254" i="39"/>
  <c r="J13253" i="39"/>
  <c r="J13252" i="39"/>
  <c r="J13251" i="39"/>
  <c r="J13250" i="39"/>
  <c r="J13249" i="39"/>
  <c r="J13248" i="39"/>
  <c r="J13247" i="39"/>
  <c r="J13246" i="39"/>
  <c r="J13245" i="39"/>
  <c r="J13244" i="39"/>
  <c r="J13243" i="39"/>
  <c r="J13242" i="39"/>
  <c r="J13241" i="39"/>
  <c r="J13240" i="39"/>
  <c r="J13239" i="39"/>
  <c r="J13238" i="39"/>
  <c r="J13237" i="39"/>
  <c r="J13236" i="39"/>
  <c r="J13235" i="39"/>
  <c r="J13234" i="39"/>
  <c r="J13233" i="39"/>
  <c r="J13232" i="39"/>
  <c r="J13231" i="39"/>
  <c r="J13230" i="39"/>
  <c r="J13229" i="39"/>
  <c r="J13228" i="39"/>
  <c r="J13227" i="39"/>
  <c r="J13226" i="39"/>
  <c r="J13225" i="39"/>
  <c r="J13224" i="39"/>
  <c r="J13223" i="39"/>
  <c r="J13222" i="39"/>
  <c r="J13221" i="39"/>
  <c r="J13220" i="39"/>
  <c r="J13219" i="39"/>
  <c r="J13218" i="39"/>
  <c r="J13217" i="39"/>
  <c r="J13216" i="39"/>
  <c r="J13215" i="39"/>
  <c r="J13214" i="39"/>
  <c r="J13213" i="39"/>
  <c r="J13212" i="39"/>
  <c r="J13211" i="39"/>
  <c r="J13210" i="39"/>
  <c r="J13209" i="39"/>
  <c r="J13208" i="39"/>
  <c r="J13207" i="39"/>
  <c r="J13206" i="39"/>
  <c r="J13205" i="39"/>
  <c r="J13204" i="39"/>
  <c r="J13203" i="39"/>
  <c r="J13202" i="39"/>
  <c r="J13201" i="39"/>
  <c r="J13200" i="39"/>
  <c r="J13199" i="39"/>
  <c r="J13198" i="39"/>
  <c r="J13197" i="39"/>
  <c r="J13196" i="39"/>
  <c r="J13195" i="39"/>
  <c r="J13194" i="39"/>
  <c r="J13193" i="39"/>
  <c r="J13192" i="39"/>
  <c r="J13191" i="39"/>
  <c r="J13190" i="39"/>
  <c r="J13189" i="39"/>
  <c r="J13188" i="39"/>
  <c r="J13187" i="39"/>
  <c r="J13186" i="39"/>
  <c r="J13185" i="39"/>
  <c r="J13184" i="39"/>
  <c r="J13183" i="39"/>
  <c r="J13182" i="39"/>
  <c r="J13181" i="39"/>
  <c r="J13180" i="39"/>
  <c r="J13179" i="39"/>
  <c r="J13178" i="39"/>
  <c r="J13177" i="39"/>
  <c r="J13176" i="39"/>
  <c r="J13175" i="39"/>
  <c r="J13174" i="39"/>
  <c r="J13173" i="39"/>
  <c r="J13172" i="39"/>
  <c r="J13171" i="39"/>
  <c r="J13170" i="39"/>
  <c r="J13169" i="39"/>
  <c r="J13168" i="39"/>
  <c r="J13167" i="39"/>
  <c r="J13166" i="39"/>
  <c r="J13165" i="39"/>
  <c r="J13164" i="39"/>
  <c r="J13163" i="39"/>
  <c r="J13162" i="39"/>
  <c r="J13161" i="39"/>
  <c r="J13160" i="39"/>
  <c r="J13159" i="39"/>
  <c r="J13158" i="39"/>
  <c r="J13157" i="39"/>
  <c r="J13156" i="39"/>
  <c r="J13155" i="39"/>
  <c r="J13154" i="39"/>
  <c r="J13153" i="39"/>
  <c r="J13152" i="39"/>
  <c r="J13151" i="39"/>
  <c r="J13150" i="39"/>
  <c r="J13149" i="39"/>
  <c r="J13148" i="39"/>
  <c r="J13147" i="39"/>
  <c r="J13146" i="39"/>
  <c r="J13145" i="39"/>
  <c r="J13144" i="39"/>
  <c r="J13143" i="39"/>
  <c r="J13142" i="39"/>
  <c r="J13141" i="39"/>
  <c r="J13140" i="39"/>
  <c r="J13139" i="39"/>
  <c r="J13138" i="39"/>
  <c r="J13137" i="39"/>
  <c r="J13136" i="39"/>
  <c r="J13135" i="39"/>
  <c r="J13134" i="39"/>
  <c r="J13133" i="39"/>
  <c r="J13132" i="39"/>
  <c r="J13131" i="39"/>
  <c r="J13130" i="39"/>
  <c r="J13129" i="39"/>
  <c r="J13128" i="39"/>
  <c r="J13127" i="39"/>
  <c r="J13126" i="39"/>
  <c r="J13125" i="39"/>
  <c r="J13124" i="39"/>
  <c r="J13123" i="39"/>
  <c r="J13122" i="39"/>
  <c r="J13121" i="39"/>
  <c r="J13120" i="39"/>
  <c r="J13119" i="39"/>
  <c r="J13118" i="39"/>
  <c r="J13117" i="39"/>
  <c r="J13116" i="39"/>
  <c r="J13115" i="39"/>
  <c r="J13114" i="39"/>
  <c r="J13113" i="39"/>
  <c r="J13112" i="39"/>
  <c r="J13111" i="39"/>
  <c r="J13110" i="39"/>
  <c r="J13109" i="39"/>
  <c r="J13108" i="39"/>
  <c r="J13107" i="39"/>
  <c r="J13106" i="39"/>
  <c r="J13105" i="39"/>
  <c r="J13104" i="39"/>
  <c r="J13103" i="39"/>
  <c r="J13102" i="39"/>
  <c r="J13101" i="39"/>
  <c r="J13100" i="39"/>
  <c r="B13100" i="39"/>
  <c r="J13099" i="39"/>
  <c r="J13098" i="39"/>
  <c r="J13097" i="39"/>
  <c r="J13096" i="39"/>
  <c r="J13095" i="39"/>
  <c r="J13094" i="39"/>
  <c r="J13093" i="39"/>
  <c r="J13092" i="39"/>
  <c r="J13091" i="39"/>
  <c r="J13090" i="39"/>
  <c r="J13089" i="39"/>
  <c r="J13088" i="39"/>
  <c r="J13087" i="39"/>
  <c r="J13086" i="39"/>
  <c r="J13085" i="39"/>
  <c r="J13084" i="39"/>
  <c r="J13083" i="39"/>
  <c r="J13082" i="39"/>
  <c r="J13081" i="39"/>
  <c r="J13080" i="39"/>
  <c r="J13079" i="39"/>
  <c r="J13078" i="39"/>
  <c r="J13077" i="39"/>
  <c r="J13076" i="39"/>
  <c r="J13075" i="39"/>
  <c r="J13074" i="39"/>
  <c r="J13073" i="39"/>
  <c r="J13072" i="39"/>
  <c r="J13071" i="39"/>
  <c r="J13070" i="39"/>
  <c r="J13069" i="39"/>
  <c r="J13068" i="39"/>
  <c r="J13067" i="39"/>
  <c r="J13066" i="39"/>
  <c r="J13065" i="39"/>
  <c r="J13064" i="39"/>
  <c r="J13063" i="39"/>
  <c r="J13062" i="39"/>
  <c r="J13061" i="39"/>
  <c r="J13060" i="39"/>
  <c r="J13059" i="39"/>
  <c r="J13058" i="39"/>
  <c r="J13057" i="39"/>
  <c r="J13056" i="39"/>
  <c r="J13055" i="39"/>
  <c r="J13054" i="39"/>
  <c r="J13053" i="39"/>
  <c r="J13052" i="39"/>
  <c r="J13051" i="39"/>
  <c r="J13050" i="39"/>
  <c r="J13049" i="39"/>
  <c r="J13048" i="39"/>
  <c r="J13047" i="39"/>
  <c r="J13046" i="39"/>
  <c r="J13045" i="39"/>
  <c r="J13044" i="39"/>
  <c r="J13043" i="39"/>
  <c r="J13042" i="39"/>
  <c r="J13041" i="39"/>
  <c r="J13040" i="39"/>
  <c r="J13039" i="39"/>
  <c r="J13038" i="39"/>
  <c r="J13037" i="39"/>
  <c r="J13036" i="39"/>
  <c r="J13035" i="39"/>
  <c r="J13034" i="39"/>
  <c r="J13033" i="39"/>
  <c r="J13032" i="39"/>
  <c r="J13031" i="39"/>
  <c r="J13030" i="39"/>
  <c r="J13029" i="39"/>
  <c r="J13028" i="39"/>
  <c r="J13027" i="39"/>
  <c r="J13026" i="39"/>
  <c r="J13025" i="39"/>
  <c r="J13024" i="39"/>
  <c r="J13023" i="39"/>
  <c r="J13022" i="39"/>
  <c r="J13021" i="39"/>
  <c r="J13020" i="39"/>
  <c r="J13019" i="39"/>
  <c r="J13018" i="39"/>
  <c r="J13017" i="39"/>
  <c r="J13016" i="39"/>
  <c r="J13015" i="39"/>
  <c r="J13014" i="39"/>
  <c r="J13013" i="39"/>
  <c r="J13012" i="39"/>
  <c r="J13011" i="39"/>
  <c r="J13010" i="39"/>
  <c r="J13009" i="39"/>
  <c r="J13008" i="39"/>
  <c r="J13007" i="39"/>
  <c r="J13006" i="39"/>
  <c r="J13005" i="39"/>
  <c r="J13004" i="39"/>
  <c r="J13003" i="39"/>
  <c r="J13002" i="39"/>
  <c r="J13001" i="39"/>
  <c r="J13000" i="39"/>
  <c r="J12999" i="39"/>
  <c r="J12998" i="39"/>
  <c r="J12997" i="39"/>
  <c r="J12996" i="39"/>
  <c r="J12995" i="39"/>
  <c r="J12994" i="39"/>
  <c r="J12993" i="39"/>
  <c r="J12992" i="39"/>
  <c r="J12991" i="39"/>
  <c r="J12990" i="39"/>
  <c r="J12989" i="39"/>
  <c r="J12988" i="39"/>
  <c r="J12987" i="39"/>
  <c r="J12986" i="39"/>
  <c r="J12985" i="39"/>
  <c r="J12984" i="39"/>
  <c r="J12983" i="39"/>
  <c r="J12982" i="39"/>
  <c r="J12981" i="39"/>
  <c r="J12980" i="39"/>
  <c r="J12979" i="39"/>
  <c r="J12978" i="39"/>
  <c r="J12977" i="39"/>
  <c r="J12976" i="39"/>
  <c r="J12975" i="39"/>
  <c r="J12974" i="39"/>
  <c r="J12973" i="39"/>
  <c r="J12972" i="39"/>
  <c r="J12971" i="39"/>
  <c r="J12970" i="39"/>
  <c r="J12969" i="39"/>
  <c r="J12968" i="39"/>
  <c r="J12967" i="39"/>
  <c r="J12966" i="39"/>
  <c r="J12965" i="39"/>
  <c r="J12964" i="39"/>
  <c r="J12963" i="39"/>
  <c r="J12962" i="39"/>
  <c r="J12961" i="39"/>
  <c r="J12960" i="39"/>
  <c r="J12959" i="39"/>
  <c r="J12958" i="39"/>
  <c r="J12957" i="39"/>
  <c r="J12956" i="39"/>
  <c r="J12955" i="39"/>
  <c r="J12954" i="39"/>
  <c r="J12953" i="39"/>
  <c r="J12952" i="39"/>
  <c r="J12951" i="39"/>
  <c r="J12950" i="39"/>
  <c r="J12949" i="39"/>
  <c r="J12948" i="39"/>
  <c r="J12947" i="39"/>
  <c r="J12946" i="39"/>
  <c r="J12945" i="39"/>
  <c r="J12944" i="39"/>
  <c r="J12943" i="39"/>
  <c r="J12942" i="39"/>
  <c r="J12941" i="39"/>
  <c r="J12940" i="39"/>
  <c r="J12939" i="39"/>
  <c r="J12938" i="39"/>
  <c r="J12937" i="39"/>
  <c r="J12936" i="39"/>
  <c r="J12935" i="39"/>
  <c r="J12934" i="39"/>
  <c r="J12933" i="39"/>
  <c r="J12932" i="39"/>
  <c r="J12931" i="39"/>
  <c r="J12930" i="39"/>
  <c r="J12929" i="39"/>
  <c r="J12928" i="39"/>
  <c r="J12927" i="39"/>
  <c r="J12926" i="39"/>
  <c r="J12925" i="39"/>
  <c r="J12924" i="39"/>
  <c r="J12923" i="39"/>
  <c r="J12922" i="39"/>
  <c r="J12921" i="39"/>
  <c r="J12920" i="39"/>
  <c r="J12919" i="39"/>
  <c r="J12918" i="39"/>
  <c r="J12917" i="39"/>
  <c r="J12916" i="39"/>
  <c r="J12915" i="39"/>
  <c r="J12914" i="39"/>
  <c r="J12913" i="39"/>
  <c r="J12912" i="39"/>
  <c r="J12911" i="39"/>
  <c r="J12910" i="39"/>
  <c r="J12909" i="39"/>
  <c r="J12908" i="39"/>
  <c r="J12907" i="39"/>
  <c r="J12906" i="39"/>
  <c r="J12905" i="39"/>
  <c r="J12904" i="39"/>
  <c r="J12903" i="39"/>
  <c r="J12902" i="39"/>
  <c r="J12901" i="39"/>
  <c r="J12900" i="39"/>
  <c r="J12899" i="39"/>
  <c r="J12898" i="39"/>
  <c r="J12897" i="39"/>
  <c r="J12896" i="39"/>
  <c r="J12895" i="39"/>
  <c r="J12894" i="39"/>
  <c r="J12893" i="39"/>
  <c r="J12892" i="39"/>
  <c r="J12891" i="39"/>
  <c r="J12890" i="39"/>
  <c r="J12889" i="39"/>
  <c r="J12888" i="39"/>
  <c r="J12887" i="39"/>
  <c r="J12886" i="39"/>
  <c r="J12885" i="39"/>
  <c r="J12884" i="39"/>
  <c r="J12883" i="39"/>
  <c r="J12882" i="39"/>
  <c r="J12881" i="39"/>
  <c r="J12880" i="39"/>
  <c r="J12879" i="39"/>
  <c r="J12878" i="39"/>
  <c r="J12877" i="39"/>
  <c r="J12876" i="39"/>
  <c r="J12875" i="39"/>
  <c r="J12874" i="39"/>
  <c r="J12873" i="39"/>
  <c r="J12872" i="39"/>
  <c r="J12871" i="39"/>
  <c r="J12870" i="39"/>
  <c r="J12869" i="39"/>
  <c r="J12868" i="39"/>
  <c r="J12867" i="39"/>
  <c r="J12866" i="39"/>
  <c r="J12865" i="39"/>
  <c r="J12864" i="39"/>
  <c r="J12863" i="39"/>
  <c r="J12862" i="39"/>
  <c r="J12861" i="39"/>
  <c r="J12860" i="39"/>
  <c r="J12859" i="39"/>
  <c r="J12858" i="39"/>
  <c r="J12857" i="39"/>
  <c r="J12856" i="39"/>
  <c r="J12855" i="39"/>
  <c r="J12854" i="39"/>
  <c r="J12853" i="39"/>
  <c r="J12852" i="39"/>
  <c r="J12851" i="39"/>
  <c r="J12850" i="39"/>
  <c r="J12849" i="39"/>
  <c r="J12848" i="39"/>
  <c r="J12847" i="39"/>
  <c r="J12846" i="39"/>
  <c r="J12845" i="39"/>
  <c r="B12845" i="39"/>
  <c r="J12844" i="39"/>
  <c r="J12843" i="39"/>
  <c r="J12842" i="39"/>
  <c r="J12841" i="39"/>
  <c r="J12840" i="39"/>
  <c r="J12839" i="39"/>
  <c r="J12838" i="39"/>
  <c r="J12837" i="39"/>
  <c r="J12836" i="39"/>
  <c r="J12835" i="39"/>
  <c r="J12834" i="39"/>
  <c r="J12833" i="39"/>
  <c r="J12832" i="39"/>
  <c r="J12831" i="39"/>
  <c r="J12830" i="39"/>
  <c r="J12829" i="39"/>
  <c r="J12828" i="39"/>
  <c r="J12827" i="39"/>
  <c r="J12826" i="39"/>
  <c r="J12825" i="39"/>
  <c r="J12824" i="39"/>
  <c r="J12823" i="39"/>
  <c r="J12822" i="39"/>
  <c r="J12821" i="39"/>
  <c r="J12820" i="39"/>
  <c r="J12819" i="39"/>
  <c r="J12818" i="39"/>
  <c r="J12817" i="39"/>
  <c r="J12816" i="39"/>
  <c r="J12815" i="39"/>
  <c r="J12814" i="39"/>
  <c r="J12813" i="39"/>
  <c r="J12812" i="39"/>
  <c r="J12811" i="39"/>
  <c r="J12810" i="39"/>
  <c r="J12809" i="39"/>
  <c r="J12808" i="39"/>
  <c r="J12807" i="39"/>
  <c r="J12806" i="39"/>
  <c r="J12805" i="39"/>
  <c r="J12804" i="39"/>
  <c r="J12803" i="39"/>
  <c r="J12802" i="39"/>
  <c r="J12801" i="39"/>
  <c r="J12800" i="39"/>
  <c r="J12799" i="39"/>
  <c r="J12798" i="39"/>
  <c r="J12797" i="39"/>
  <c r="J12796" i="39"/>
  <c r="J12795" i="39"/>
  <c r="J12794" i="39"/>
  <c r="J12793" i="39"/>
  <c r="J12792" i="39"/>
  <c r="J12791" i="39"/>
  <c r="J12790" i="39"/>
  <c r="J12789" i="39"/>
  <c r="J12788" i="39"/>
  <c r="J12787" i="39"/>
  <c r="J12786" i="39"/>
  <c r="J12785" i="39"/>
  <c r="J12784" i="39"/>
  <c r="J12783" i="39"/>
  <c r="J12782" i="39"/>
  <c r="J12781" i="39"/>
  <c r="J12780" i="39"/>
  <c r="J12779" i="39"/>
  <c r="J12778" i="39"/>
  <c r="J12777" i="39"/>
  <c r="J12776" i="39"/>
  <c r="J12775" i="39"/>
  <c r="J12774" i="39"/>
  <c r="J12773" i="39"/>
  <c r="J12772" i="39"/>
  <c r="J12771" i="39"/>
  <c r="J12770" i="39"/>
  <c r="J12769" i="39"/>
  <c r="J12768" i="39"/>
  <c r="J12767" i="39"/>
  <c r="J12766" i="39"/>
  <c r="J12765" i="39"/>
  <c r="J12764" i="39"/>
  <c r="J12763" i="39"/>
  <c r="J12762" i="39"/>
  <c r="J12761" i="39"/>
  <c r="J12760" i="39"/>
  <c r="J12759" i="39"/>
  <c r="J12758" i="39"/>
  <c r="J12757" i="39"/>
  <c r="J12756" i="39"/>
  <c r="J12755" i="39"/>
  <c r="J12754" i="39"/>
  <c r="J12753" i="39"/>
  <c r="J12752" i="39"/>
  <c r="J12751" i="39"/>
  <c r="J12750" i="39"/>
  <c r="J12749" i="39"/>
  <c r="J12748" i="39"/>
  <c r="J12747" i="39"/>
  <c r="J12746" i="39"/>
  <c r="J12745" i="39"/>
  <c r="J12744" i="39"/>
  <c r="J12743" i="39"/>
  <c r="J12742" i="39"/>
  <c r="J12741" i="39"/>
  <c r="J12740" i="39"/>
  <c r="J12739" i="39"/>
  <c r="J12738" i="39"/>
  <c r="J12737" i="39"/>
  <c r="J12736" i="39"/>
  <c r="J12735" i="39"/>
  <c r="J12734" i="39"/>
  <c r="J12733" i="39"/>
  <c r="J12732" i="39"/>
  <c r="J12731" i="39"/>
  <c r="J12730" i="39"/>
  <c r="J12729" i="39"/>
  <c r="J12728" i="39"/>
  <c r="J12727" i="39"/>
  <c r="J12726" i="39"/>
  <c r="J12725" i="39"/>
  <c r="J12724" i="39"/>
  <c r="J12723" i="39"/>
  <c r="J12722" i="39"/>
  <c r="J12721" i="39"/>
  <c r="J12720" i="39"/>
  <c r="J12719" i="39"/>
  <c r="J12718" i="39"/>
  <c r="J12717" i="39"/>
  <c r="J12716" i="39"/>
  <c r="J12715" i="39"/>
  <c r="J12714" i="39"/>
  <c r="J12713" i="39"/>
  <c r="J12712" i="39"/>
  <c r="J12711" i="39"/>
  <c r="J12710" i="39"/>
  <c r="B12710" i="39"/>
  <c r="J12709" i="39"/>
  <c r="J12708" i="39"/>
  <c r="J12707" i="39"/>
  <c r="J12706" i="39"/>
  <c r="J12705" i="39"/>
  <c r="J12704" i="39"/>
  <c r="J12703" i="39"/>
  <c r="J12702" i="39"/>
  <c r="J12701" i="39"/>
  <c r="J12700" i="39"/>
  <c r="J12699" i="39"/>
  <c r="J12698" i="39"/>
  <c r="J12697" i="39"/>
  <c r="J12696" i="39"/>
  <c r="J12695" i="39"/>
  <c r="J12694" i="39"/>
  <c r="J12693" i="39"/>
  <c r="J12692" i="39"/>
  <c r="J12691" i="39"/>
  <c r="J12690" i="39"/>
  <c r="J12689" i="39"/>
  <c r="J12688" i="39"/>
  <c r="J12687" i="39"/>
  <c r="J12686" i="39"/>
  <c r="J12685" i="39"/>
  <c r="J12684" i="39"/>
  <c r="J12683" i="39"/>
  <c r="J12682" i="39"/>
  <c r="J12681" i="39"/>
  <c r="J12680" i="39"/>
  <c r="J12679" i="39"/>
  <c r="J12678" i="39"/>
  <c r="J12677" i="39"/>
  <c r="J12676" i="39"/>
  <c r="J12675" i="39"/>
  <c r="J12674" i="39"/>
  <c r="J12673" i="39"/>
  <c r="J12672" i="39"/>
  <c r="J12671" i="39"/>
  <c r="J12670" i="39"/>
  <c r="J12669" i="39"/>
  <c r="J12668" i="39"/>
  <c r="J12667" i="39"/>
  <c r="J12666" i="39"/>
  <c r="J12665" i="39"/>
  <c r="J12664" i="39"/>
  <c r="J12663" i="39"/>
  <c r="J12662" i="39"/>
  <c r="J12661" i="39"/>
  <c r="J12660" i="39"/>
  <c r="J12659" i="39"/>
  <c r="J12658" i="39"/>
  <c r="J12657" i="39"/>
  <c r="J12656" i="39"/>
  <c r="J12655" i="39"/>
  <c r="J12654" i="39"/>
  <c r="J12653" i="39"/>
  <c r="J12652" i="39"/>
  <c r="J12651" i="39"/>
  <c r="J12650" i="39"/>
  <c r="J12649" i="39"/>
  <c r="J12648" i="39"/>
  <c r="J12647" i="39"/>
  <c r="J12646" i="39"/>
  <c r="J12645" i="39"/>
  <c r="J12644" i="39"/>
  <c r="J12643" i="39"/>
  <c r="J12642" i="39"/>
  <c r="J12641" i="39"/>
  <c r="J12640" i="39"/>
  <c r="J12639" i="39"/>
  <c r="J12638" i="39"/>
  <c r="J12637" i="39"/>
  <c r="J12636" i="39"/>
  <c r="J12635" i="39"/>
  <c r="J12634" i="39"/>
  <c r="J12633" i="39"/>
  <c r="J12632" i="39"/>
  <c r="J12631" i="39"/>
  <c r="J12630" i="39"/>
  <c r="J12629" i="39"/>
  <c r="J12628" i="39"/>
  <c r="J12627" i="39"/>
  <c r="J12626" i="39"/>
  <c r="J12625" i="39"/>
  <c r="J12624" i="39"/>
  <c r="J12623" i="39"/>
  <c r="J12622" i="39"/>
  <c r="J12621" i="39"/>
  <c r="J12620" i="39"/>
  <c r="J12619" i="39"/>
  <c r="J12618" i="39"/>
  <c r="J12617" i="39"/>
  <c r="J12616" i="39"/>
  <c r="J12615" i="39"/>
  <c r="J12614" i="39"/>
  <c r="J12613" i="39"/>
  <c r="J12612" i="39"/>
  <c r="J12611" i="39"/>
  <c r="J12610" i="39"/>
  <c r="J12609" i="39"/>
  <c r="J12608" i="39"/>
  <c r="J12607" i="39"/>
  <c r="J12606" i="39"/>
  <c r="J12605" i="39"/>
  <c r="J12604" i="39"/>
  <c r="J12603" i="39"/>
  <c r="J12602" i="39"/>
  <c r="J12601" i="39"/>
  <c r="J12600" i="39"/>
  <c r="J12599" i="39"/>
  <c r="J12598" i="39"/>
  <c r="J12597" i="39"/>
  <c r="J12596" i="39"/>
  <c r="J12595" i="39"/>
  <c r="J12594" i="39"/>
  <c r="J12593" i="39"/>
  <c r="J12592" i="39"/>
  <c r="J12591" i="39"/>
  <c r="J12590" i="39"/>
  <c r="J12589" i="39"/>
  <c r="J12588" i="39"/>
  <c r="J12587" i="39"/>
  <c r="J12586" i="39"/>
  <c r="J12585" i="39"/>
  <c r="J12584" i="39"/>
  <c r="J12583" i="39"/>
  <c r="J12582" i="39"/>
  <c r="J12581" i="39"/>
  <c r="J12580" i="39"/>
  <c r="J12579" i="39"/>
  <c r="J12578" i="39"/>
  <c r="J12577" i="39"/>
  <c r="J12576" i="39"/>
  <c r="J12575" i="39"/>
  <c r="J12574" i="39"/>
  <c r="J12573" i="39"/>
  <c r="J12572" i="39"/>
  <c r="J12571" i="39"/>
  <c r="J12570" i="39"/>
  <c r="J12569" i="39"/>
  <c r="J12568" i="39"/>
  <c r="J12567" i="39"/>
  <c r="J12566" i="39"/>
  <c r="J12565" i="39"/>
  <c r="J12564" i="39"/>
  <c r="J12563" i="39"/>
  <c r="J12562" i="39"/>
  <c r="J12561" i="39"/>
  <c r="J12560" i="39"/>
  <c r="J12559" i="39"/>
  <c r="J12558" i="39"/>
  <c r="J12557" i="39"/>
  <c r="J12556" i="39"/>
  <c r="J12555" i="39"/>
  <c r="J12554" i="39"/>
  <c r="J12553" i="39"/>
  <c r="J12552" i="39"/>
  <c r="J12551" i="39"/>
  <c r="J12550" i="39"/>
  <c r="J12549" i="39"/>
  <c r="J12548" i="39"/>
  <c r="J12547" i="39"/>
  <c r="J12546" i="39"/>
  <c r="J12545" i="39"/>
  <c r="J12544" i="39"/>
  <c r="J12543" i="39"/>
  <c r="J12542" i="39"/>
  <c r="J12541" i="39"/>
  <c r="J12540" i="39"/>
  <c r="J12539" i="39"/>
  <c r="J12538" i="39"/>
  <c r="J12537" i="39"/>
  <c r="J12536" i="39"/>
  <c r="J12535" i="39"/>
  <c r="J12534" i="39"/>
  <c r="J12533" i="39"/>
  <c r="J12532" i="39"/>
  <c r="J12531" i="39"/>
  <c r="J12530" i="39"/>
  <c r="J12529" i="39"/>
  <c r="J12528" i="39"/>
  <c r="J12527" i="39"/>
  <c r="J12526" i="39"/>
  <c r="J12525" i="39"/>
  <c r="J12524" i="39"/>
  <c r="J12523" i="39"/>
  <c r="J12522" i="39"/>
  <c r="J12521" i="39"/>
  <c r="J12520" i="39"/>
  <c r="J12519" i="39"/>
  <c r="J12518" i="39"/>
  <c r="J12517" i="39"/>
  <c r="J12516" i="39"/>
  <c r="J12515" i="39"/>
  <c r="J12514" i="39"/>
  <c r="J12513" i="39"/>
  <c r="J12512" i="39"/>
  <c r="J12511" i="39"/>
  <c r="J12510" i="39"/>
  <c r="J12509" i="39"/>
  <c r="J12508" i="39"/>
  <c r="J12507" i="39"/>
  <c r="J12506" i="39"/>
  <c r="J12505" i="39"/>
  <c r="J12504" i="39"/>
  <c r="J12503" i="39"/>
  <c r="J12502" i="39"/>
  <c r="J12501" i="39"/>
  <c r="J12500" i="39"/>
  <c r="J12499" i="39"/>
  <c r="J12498" i="39"/>
  <c r="J12497" i="39"/>
  <c r="J12496" i="39"/>
  <c r="J12495" i="39"/>
  <c r="J12494" i="39"/>
  <c r="J12493" i="39"/>
  <c r="J12492" i="39"/>
  <c r="J12491" i="39"/>
  <c r="J12490" i="39"/>
  <c r="J12489" i="39"/>
  <c r="J12488" i="39"/>
  <c r="J12487" i="39"/>
  <c r="J12486" i="39"/>
  <c r="J12485" i="39"/>
  <c r="J12484" i="39"/>
  <c r="J12483" i="39"/>
  <c r="J12482" i="39"/>
  <c r="J12481" i="39"/>
  <c r="J12480" i="39"/>
  <c r="J12479" i="39"/>
  <c r="J12478" i="39"/>
  <c r="J12477" i="39"/>
  <c r="J12476" i="39"/>
  <c r="J12475" i="39"/>
  <c r="J12474" i="39"/>
  <c r="J12473" i="39"/>
  <c r="J12472" i="39"/>
  <c r="J12471" i="39"/>
  <c r="J12470" i="39"/>
  <c r="J12469" i="39"/>
  <c r="J12468" i="39"/>
  <c r="J12467" i="39"/>
  <c r="J12466" i="39"/>
  <c r="J12465" i="39"/>
  <c r="J12464" i="39"/>
  <c r="J12463" i="39"/>
  <c r="J12462" i="39"/>
  <c r="J12461" i="39"/>
  <c r="J12460" i="39"/>
  <c r="J12459" i="39"/>
  <c r="J12458" i="39"/>
  <c r="J12457" i="39"/>
  <c r="J12456" i="39"/>
  <c r="J12455" i="39"/>
  <c r="J12454" i="39"/>
  <c r="J12453" i="39"/>
  <c r="J12452" i="39"/>
  <c r="J12451" i="39"/>
  <c r="J12450" i="39"/>
  <c r="J12449" i="39"/>
  <c r="J12448" i="39"/>
  <c r="J12447" i="39"/>
  <c r="J12446" i="39"/>
  <c r="J12445" i="39"/>
  <c r="J12444" i="39"/>
  <c r="J12443" i="39"/>
  <c r="J12442" i="39"/>
  <c r="J12441" i="39"/>
  <c r="J12440" i="39"/>
  <c r="J12439" i="39"/>
  <c r="J12438" i="39"/>
  <c r="J12437" i="39"/>
  <c r="J12436" i="39"/>
  <c r="J12435" i="39"/>
  <c r="J12434" i="39"/>
  <c r="J12433" i="39"/>
  <c r="J12432" i="39"/>
  <c r="J12431" i="39"/>
  <c r="J12430" i="39"/>
  <c r="J12429" i="39"/>
  <c r="J12428" i="39"/>
  <c r="J12427" i="39"/>
  <c r="J12426" i="39"/>
  <c r="B12426" i="39"/>
  <c r="J12425" i="39"/>
  <c r="J12424" i="39"/>
  <c r="J12423" i="39"/>
  <c r="B12423" i="39"/>
  <c r="J12422" i="39"/>
  <c r="J12421" i="39"/>
  <c r="J12420" i="39"/>
  <c r="J12419" i="39"/>
  <c r="J12418" i="39"/>
  <c r="J12417" i="39"/>
  <c r="J12416" i="39"/>
  <c r="J12415" i="39"/>
  <c r="J12414" i="39"/>
  <c r="J12413" i="39"/>
  <c r="J12412" i="39"/>
  <c r="J12411" i="39"/>
  <c r="J12410" i="39"/>
  <c r="J12409" i="39"/>
  <c r="J12408" i="39"/>
  <c r="J12407" i="39"/>
  <c r="J12406" i="39"/>
  <c r="J12405" i="39"/>
  <c r="J12404" i="39"/>
  <c r="J12403" i="39"/>
  <c r="J12402" i="39"/>
  <c r="J12401" i="39"/>
  <c r="J12400" i="39"/>
  <c r="J12399" i="39"/>
  <c r="J12398" i="39"/>
  <c r="J12397" i="39"/>
  <c r="J12396" i="39"/>
  <c r="J12395" i="39"/>
  <c r="J12394" i="39"/>
  <c r="J12393" i="39"/>
  <c r="J12392" i="39"/>
  <c r="J12391" i="39"/>
  <c r="J12390" i="39"/>
  <c r="J12389" i="39"/>
  <c r="J12388" i="39"/>
  <c r="J12387" i="39"/>
  <c r="J12386" i="39"/>
  <c r="J12385" i="39"/>
  <c r="J12384" i="39"/>
  <c r="J12383" i="39"/>
  <c r="J12382" i="39"/>
  <c r="J12381" i="39"/>
  <c r="J12380" i="39"/>
  <c r="J12379" i="39"/>
  <c r="J12378" i="39"/>
  <c r="J12377" i="39"/>
  <c r="J12376" i="39"/>
  <c r="J12375" i="39"/>
  <c r="J12374" i="39"/>
  <c r="J12373" i="39"/>
  <c r="J12372" i="39"/>
  <c r="J12371" i="39"/>
  <c r="J12370" i="39"/>
  <c r="J12369" i="39"/>
  <c r="J12368" i="39"/>
  <c r="J12367" i="39"/>
  <c r="J12366" i="39"/>
  <c r="J12365" i="39"/>
  <c r="J12364" i="39"/>
  <c r="J12363" i="39"/>
  <c r="J12362" i="39"/>
  <c r="J12361" i="39"/>
  <c r="J12360" i="39"/>
  <c r="J12359" i="39"/>
  <c r="J12358" i="39"/>
  <c r="J12357" i="39"/>
  <c r="J12356" i="39"/>
  <c r="J12355" i="39"/>
  <c r="J12354" i="39"/>
  <c r="J12353" i="39"/>
  <c r="J12352" i="39"/>
  <c r="J12351" i="39"/>
  <c r="J12350" i="39"/>
  <c r="J12349" i="39"/>
  <c r="J12348" i="39"/>
  <c r="J12347" i="39"/>
  <c r="J12346" i="39"/>
  <c r="J12345" i="39"/>
  <c r="J12344" i="39"/>
  <c r="J12343" i="39"/>
  <c r="J12342" i="39"/>
  <c r="J12341" i="39"/>
  <c r="J12340" i="39"/>
  <c r="J12339" i="39"/>
  <c r="J12338" i="39"/>
  <c r="J12337" i="39"/>
  <c r="J12336" i="39"/>
  <c r="J12335" i="39"/>
  <c r="J12334" i="39"/>
  <c r="J12333" i="39"/>
  <c r="J12332" i="39"/>
  <c r="J12331" i="39"/>
  <c r="J12330" i="39"/>
  <c r="J12329" i="39"/>
  <c r="J12328" i="39"/>
  <c r="J12327" i="39"/>
  <c r="J12326" i="39"/>
  <c r="J12325" i="39"/>
  <c r="J12324" i="39"/>
  <c r="J12323" i="39"/>
  <c r="J12322" i="39"/>
  <c r="J12321" i="39"/>
  <c r="J12320" i="39"/>
  <c r="J12319" i="39"/>
  <c r="J12318" i="39"/>
  <c r="J12317" i="39"/>
  <c r="J12316" i="39"/>
  <c r="J12315" i="39"/>
  <c r="J12314" i="39"/>
  <c r="J12313" i="39"/>
  <c r="J12312" i="39"/>
  <c r="J12311" i="39"/>
  <c r="J12310" i="39"/>
  <c r="J12309" i="39"/>
  <c r="J12308" i="39"/>
  <c r="J12307" i="39"/>
  <c r="J12306" i="39"/>
  <c r="J12305" i="39"/>
  <c r="J12304" i="39"/>
  <c r="J12303" i="39"/>
  <c r="J12302" i="39"/>
  <c r="J12301" i="39"/>
  <c r="J12300" i="39"/>
  <c r="J12299" i="39"/>
  <c r="J12298" i="39"/>
  <c r="J12297" i="39"/>
  <c r="J12296" i="39"/>
  <c r="J12295" i="39"/>
  <c r="J12294" i="39"/>
  <c r="J12293" i="39"/>
  <c r="J12292" i="39"/>
  <c r="J12291" i="39"/>
  <c r="J12290" i="39"/>
  <c r="J12289" i="39"/>
  <c r="J12288" i="39"/>
  <c r="J12287" i="39"/>
  <c r="J12286" i="39"/>
  <c r="J12285" i="39"/>
  <c r="J12284" i="39"/>
  <c r="J12283" i="39"/>
  <c r="J12282" i="39"/>
  <c r="J12281" i="39"/>
  <c r="J12280" i="39"/>
  <c r="J12279" i="39"/>
  <c r="J12278" i="39"/>
  <c r="J12277" i="39"/>
  <c r="J12276" i="39"/>
  <c r="J12275" i="39"/>
  <c r="J12274" i="39"/>
  <c r="J12273" i="39"/>
  <c r="J12272" i="39"/>
  <c r="J12271" i="39"/>
  <c r="J12270" i="39"/>
  <c r="J12269" i="39"/>
  <c r="J12268" i="39"/>
  <c r="J12267" i="39"/>
  <c r="J12266" i="39"/>
  <c r="J12265" i="39"/>
  <c r="J12264" i="39"/>
  <c r="J12263" i="39"/>
  <c r="J12262" i="39"/>
  <c r="J12261" i="39"/>
  <c r="J12260" i="39"/>
  <c r="J12259" i="39"/>
  <c r="J12258" i="39"/>
  <c r="J12257" i="39"/>
  <c r="J12256" i="39"/>
  <c r="J12255" i="39"/>
  <c r="J12254" i="39"/>
  <c r="J12253" i="39"/>
  <c r="J12252" i="39"/>
  <c r="J12251" i="39"/>
  <c r="J12250" i="39"/>
  <c r="J12249" i="39"/>
  <c r="J12248" i="39"/>
  <c r="J12247" i="39"/>
  <c r="J12246" i="39"/>
  <c r="J12245" i="39"/>
  <c r="J12244" i="39"/>
  <c r="J12243" i="39"/>
  <c r="J12242" i="39"/>
  <c r="J12241" i="39"/>
  <c r="J12240" i="39"/>
  <c r="J12239" i="39"/>
  <c r="J12238" i="39"/>
  <c r="J12237" i="39"/>
  <c r="J12236" i="39"/>
  <c r="J12235" i="39"/>
  <c r="J12234" i="39"/>
  <c r="J12233" i="39"/>
  <c r="J12232" i="39"/>
  <c r="J12231" i="39"/>
  <c r="J12230" i="39"/>
  <c r="J12229" i="39"/>
  <c r="J12228" i="39"/>
  <c r="J12227" i="39"/>
  <c r="J12226" i="39"/>
  <c r="J12225" i="39"/>
  <c r="J12224" i="39"/>
  <c r="J12223" i="39"/>
  <c r="J12222" i="39"/>
  <c r="J12221" i="39"/>
  <c r="J12220" i="39"/>
  <c r="J12219" i="39"/>
  <c r="J12218" i="39"/>
  <c r="J12217" i="39"/>
  <c r="J12216" i="39"/>
  <c r="J12215" i="39"/>
  <c r="J12214" i="39"/>
  <c r="J12213" i="39"/>
  <c r="J12212" i="39"/>
  <c r="J12211" i="39"/>
  <c r="J12210" i="39"/>
  <c r="J12209" i="39"/>
  <c r="J12208" i="39"/>
  <c r="J12207" i="39"/>
  <c r="J12206" i="39"/>
  <c r="J12205" i="39"/>
  <c r="J12204" i="39"/>
  <c r="J12203" i="39"/>
  <c r="J12202" i="39"/>
  <c r="J12201" i="39"/>
  <c r="J12200" i="39"/>
  <c r="J12199" i="39"/>
  <c r="J12198" i="39"/>
  <c r="J12197" i="39"/>
  <c r="J12196" i="39"/>
  <c r="J12195" i="39"/>
  <c r="J12194" i="39"/>
  <c r="J12193" i="39"/>
  <c r="J12192" i="39"/>
  <c r="J12191" i="39"/>
  <c r="J12190" i="39"/>
  <c r="J12189" i="39"/>
  <c r="J12188" i="39"/>
  <c r="J12187" i="39"/>
  <c r="J12186" i="39"/>
  <c r="J12185" i="39"/>
  <c r="J12184" i="39"/>
  <c r="J12183" i="39"/>
  <c r="J12182" i="39"/>
  <c r="J12181" i="39"/>
  <c r="J12180" i="39"/>
  <c r="J12179" i="39"/>
  <c r="J12178" i="39"/>
  <c r="J12177" i="39"/>
  <c r="J12176" i="39"/>
  <c r="J12175" i="39"/>
  <c r="J12174" i="39"/>
  <c r="J12173" i="39"/>
  <c r="J12172" i="39"/>
  <c r="J12171" i="39"/>
  <c r="J12170" i="39"/>
  <c r="J12169" i="39"/>
  <c r="J12168" i="39"/>
  <c r="J12167" i="39"/>
  <c r="J12166" i="39"/>
  <c r="J12165" i="39"/>
  <c r="J12164" i="39"/>
  <c r="J12163" i="39"/>
  <c r="J12162" i="39"/>
  <c r="J12161" i="39"/>
  <c r="J12160" i="39"/>
  <c r="J12159" i="39"/>
  <c r="J12158" i="39"/>
  <c r="J12157" i="39"/>
  <c r="J12156" i="39"/>
  <c r="J12155" i="39"/>
  <c r="J12154" i="39"/>
  <c r="J12153" i="39"/>
  <c r="J12152" i="39"/>
  <c r="J12151" i="39"/>
  <c r="J12150" i="39"/>
  <c r="J12149" i="39"/>
  <c r="J12148" i="39"/>
  <c r="J12147" i="39"/>
  <c r="J12146" i="39"/>
  <c r="J12145" i="39"/>
  <c r="J12144" i="39"/>
  <c r="J12143" i="39"/>
  <c r="J12142" i="39"/>
  <c r="J12141" i="39"/>
  <c r="J12140" i="39"/>
  <c r="J12139" i="39"/>
  <c r="J12138" i="39"/>
  <c r="J12137" i="39"/>
  <c r="J12136" i="39"/>
  <c r="J12135" i="39"/>
  <c r="J12134" i="39"/>
  <c r="J12133" i="39"/>
  <c r="J12132" i="39"/>
  <c r="J12131" i="39"/>
  <c r="J12130" i="39"/>
  <c r="J12129" i="39"/>
  <c r="J12128" i="39"/>
  <c r="J12127" i="39"/>
  <c r="J12126" i="39"/>
  <c r="J12125" i="39"/>
  <c r="J12124" i="39"/>
  <c r="J12123" i="39"/>
  <c r="J12122" i="39"/>
  <c r="J12121" i="39"/>
  <c r="J12120" i="39"/>
  <c r="J12119" i="39"/>
  <c r="J12118" i="39"/>
  <c r="J12117" i="39"/>
  <c r="J12116" i="39"/>
  <c r="J12115" i="39"/>
  <c r="J12114" i="39"/>
  <c r="J12113" i="39"/>
  <c r="J12112" i="39"/>
  <c r="J12111" i="39"/>
  <c r="J12110" i="39"/>
  <c r="J12109" i="39"/>
  <c r="J12108" i="39"/>
  <c r="J12107" i="39"/>
  <c r="J12106" i="39"/>
  <c r="J12105" i="39"/>
  <c r="J12104" i="39"/>
  <c r="J12103" i="39"/>
  <c r="J12102" i="39"/>
  <c r="J12101" i="39"/>
  <c r="J12100" i="39"/>
  <c r="J12099" i="39"/>
  <c r="J12098" i="39"/>
  <c r="J12097" i="39"/>
  <c r="J12096" i="39"/>
  <c r="J12095" i="39"/>
  <c r="J12094" i="39"/>
  <c r="J12093" i="39"/>
  <c r="J12092" i="39"/>
  <c r="J12091" i="39"/>
  <c r="J12090" i="39"/>
  <c r="J12089" i="39"/>
  <c r="J12088" i="39"/>
  <c r="J12087" i="39"/>
  <c r="J12086" i="39"/>
  <c r="J12085" i="39"/>
  <c r="J12084" i="39"/>
  <c r="J12083" i="39"/>
  <c r="J12082" i="39"/>
  <c r="J12081" i="39"/>
  <c r="J12080" i="39"/>
  <c r="J12079" i="39"/>
  <c r="J12078" i="39"/>
  <c r="J12077" i="39"/>
  <c r="J12076" i="39"/>
  <c r="J12075" i="39"/>
  <c r="J12074" i="39"/>
  <c r="J12073" i="39"/>
  <c r="J12072" i="39"/>
  <c r="J12071" i="39"/>
  <c r="J12070" i="39"/>
  <c r="J12069" i="39"/>
  <c r="J12068" i="39"/>
  <c r="J12067" i="39"/>
  <c r="J12066" i="39"/>
  <c r="J12065" i="39"/>
  <c r="J12064" i="39"/>
  <c r="J12063" i="39"/>
  <c r="J12062" i="39"/>
  <c r="J12061" i="39"/>
  <c r="J12060" i="39"/>
  <c r="J12059" i="39"/>
  <c r="J12058" i="39"/>
  <c r="J12057" i="39"/>
  <c r="J12056" i="39"/>
  <c r="J12055" i="39"/>
  <c r="J12054" i="39"/>
  <c r="J12053" i="39"/>
  <c r="J12052" i="39"/>
  <c r="J12051" i="39"/>
  <c r="J12050" i="39"/>
  <c r="J12049" i="39"/>
  <c r="J12048" i="39"/>
  <c r="J12047" i="39"/>
  <c r="J12046" i="39"/>
  <c r="J12045" i="39"/>
  <c r="J12044" i="39"/>
  <c r="J12043" i="39"/>
  <c r="J12042" i="39"/>
  <c r="J12041" i="39"/>
  <c r="J12040" i="39"/>
  <c r="J12039" i="39"/>
  <c r="J12038" i="39"/>
  <c r="J12037" i="39"/>
  <c r="J12036" i="39"/>
  <c r="J12035" i="39"/>
  <c r="J12034" i="39"/>
  <c r="J12033" i="39"/>
  <c r="J12032" i="39"/>
  <c r="J12031" i="39"/>
  <c r="J12030" i="39"/>
  <c r="J12029" i="39"/>
  <c r="J12028" i="39"/>
  <c r="J12027" i="39"/>
  <c r="J12026" i="39"/>
  <c r="J12025" i="39"/>
  <c r="J12024" i="39"/>
  <c r="J12023" i="39"/>
  <c r="J12022" i="39"/>
  <c r="J12021" i="39"/>
  <c r="J12020" i="39"/>
  <c r="J12019" i="39"/>
  <c r="J12018" i="39"/>
  <c r="J12017" i="39"/>
  <c r="J12016" i="39"/>
  <c r="J12015" i="39"/>
  <c r="J12014" i="39"/>
  <c r="J12013" i="39"/>
  <c r="J12012" i="39"/>
  <c r="J12011" i="39"/>
  <c r="J12010" i="39"/>
  <c r="J12009" i="39"/>
  <c r="J12008" i="39"/>
  <c r="J12007" i="39"/>
  <c r="J12006" i="39"/>
  <c r="J12005" i="39"/>
  <c r="J12004" i="39"/>
  <c r="J12003" i="39"/>
  <c r="J12002" i="39"/>
  <c r="J12001" i="39"/>
  <c r="J12000" i="39"/>
  <c r="J11999" i="39"/>
  <c r="J11998" i="39"/>
  <c r="J11997" i="39"/>
  <c r="J11996" i="39"/>
  <c r="J11995" i="39"/>
  <c r="J11994" i="39"/>
  <c r="J11993" i="39"/>
  <c r="J11992" i="39"/>
  <c r="J11991" i="39"/>
  <c r="J11990" i="39"/>
  <c r="J11989" i="39"/>
  <c r="J11988" i="39"/>
  <c r="J11987" i="39"/>
  <c r="J11986" i="39"/>
  <c r="J11985" i="39"/>
  <c r="J11984" i="39"/>
  <c r="J11983" i="39"/>
  <c r="J11982" i="39"/>
  <c r="J11981" i="39"/>
  <c r="J11980" i="39"/>
  <c r="J11979" i="39"/>
  <c r="J11978" i="39"/>
  <c r="J11977" i="39"/>
  <c r="J11976" i="39"/>
  <c r="J11975" i="39"/>
  <c r="J11974" i="39"/>
  <c r="J11973" i="39"/>
  <c r="J11972" i="39"/>
  <c r="J11971" i="39"/>
  <c r="J11970" i="39"/>
  <c r="J11969" i="39"/>
  <c r="J11968" i="39"/>
  <c r="J11967" i="39"/>
  <c r="J11966" i="39"/>
  <c r="J11965" i="39"/>
  <c r="J11964" i="39"/>
  <c r="J11963" i="39"/>
  <c r="J11962" i="39"/>
  <c r="J11961" i="39"/>
  <c r="J11960" i="39"/>
  <c r="J11959" i="39"/>
  <c r="J11958" i="39"/>
  <c r="J11957" i="39"/>
  <c r="J11956" i="39"/>
  <c r="J11955" i="39"/>
  <c r="J11954" i="39"/>
  <c r="J11953" i="39"/>
  <c r="J11952" i="39"/>
  <c r="J11951" i="39"/>
  <c r="J11950" i="39"/>
  <c r="J11949" i="39"/>
  <c r="J11948" i="39"/>
  <c r="J11947" i="39"/>
  <c r="J11946" i="39"/>
  <c r="J11945" i="39"/>
  <c r="J11944" i="39"/>
  <c r="J11943" i="39"/>
  <c r="J11942" i="39"/>
  <c r="J11941" i="39"/>
  <c r="J11940" i="39"/>
  <c r="J11939" i="39"/>
  <c r="J11938" i="39"/>
  <c r="J11937" i="39"/>
  <c r="J11936" i="39"/>
  <c r="J11935" i="39"/>
  <c r="J11934" i="39"/>
  <c r="J11933" i="39"/>
  <c r="J11932" i="39"/>
  <c r="J11931" i="39"/>
  <c r="J11930" i="39"/>
  <c r="J11929" i="39"/>
  <c r="J11928" i="39"/>
  <c r="J11927" i="39"/>
  <c r="J11926" i="39"/>
  <c r="J11925" i="39"/>
  <c r="J11924" i="39"/>
  <c r="J11923" i="39"/>
  <c r="J11922" i="39"/>
  <c r="J11921" i="39"/>
  <c r="J11920" i="39"/>
  <c r="J11919" i="39"/>
  <c r="J11918" i="39"/>
  <c r="J11917" i="39"/>
  <c r="J11916" i="39"/>
  <c r="J11915" i="39"/>
  <c r="J11914" i="39"/>
  <c r="J11913" i="39"/>
  <c r="J11912" i="39"/>
  <c r="J11911" i="39"/>
  <c r="J11910" i="39"/>
  <c r="J11909" i="39"/>
  <c r="J11908" i="39"/>
  <c r="J11907" i="39"/>
  <c r="J11906" i="39"/>
  <c r="J11905" i="39"/>
  <c r="J11904" i="39"/>
  <c r="J11903" i="39"/>
  <c r="J11902" i="39"/>
  <c r="J11901" i="39"/>
  <c r="J11900" i="39"/>
  <c r="J11899" i="39"/>
  <c r="J11898" i="39"/>
  <c r="J11897" i="39"/>
  <c r="J11896" i="39"/>
  <c r="J11895" i="39"/>
  <c r="J11894" i="39"/>
  <c r="J11893" i="39"/>
  <c r="J11892" i="39"/>
  <c r="J11891" i="39"/>
  <c r="J11890" i="39"/>
  <c r="J11889" i="39"/>
  <c r="J11888" i="39"/>
  <c r="J11887" i="39"/>
  <c r="J11886" i="39"/>
  <c r="J11885" i="39"/>
  <c r="J11884" i="39"/>
  <c r="J11883" i="39"/>
  <c r="J11882" i="39"/>
  <c r="J11881" i="39"/>
  <c r="J11880" i="39"/>
  <c r="J11879" i="39"/>
  <c r="J11878" i="39"/>
  <c r="J11877" i="39"/>
  <c r="J11876" i="39"/>
  <c r="J11875" i="39"/>
  <c r="J11874" i="39"/>
  <c r="J11873" i="39"/>
  <c r="J11872" i="39"/>
  <c r="J11871" i="39"/>
  <c r="J11870" i="39"/>
  <c r="J11869" i="39"/>
  <c r="J11868" i="39"/>
  <c r="J11867" i="39"/>
  <c r="J11866" i="39"/>
  <c r="J11865" i="39"/>
  <c r="J11864" i="39"/>
  <c r="J11863" i="39"/>
  <c r="J11862" i="39"/>
  <c r="J11861" i="39"/>
  <c r="J11860" i="39"/>
  <c r="J11859" i="39"/>
  <c r="J11858" i="39"/>
  <c r="J11857" i="39"/>
  <c r="J11856" i="39"/>
  <c r="J11855" i="39"/>
  <c r="J11854" i="39"/>
  <c r="J11853" i="39"/>
  <c r="J11852" i="39"/>
  <c r="J11851" i="39"/>
  <c r="J11850" i="39"/>
  <c r="J11849" i="39"/>
  <c r="J11848" i="39"/>
  <c r="J11847" i="39"/>
  <c r="J11846" i="39"/>
  <c r="J11845" i="39"/>
  <c r="J11844" i="39"/>
  <c r="J11843" i="39"/>
  <c r="J11842" i="39"/>
  <c r="J11841" i="39"/>
  <c r="J11840" i="39"/>
  <c r="J11839" i="39"/>
  <c r="B11839" i="39"/>
  <c r="J11838" i="39"/>
  <c r="J11837" i="39"/>
  <c r="J11836" i="39"/>
  <c r="J11835" i="39"/>
  <c r="J11834" i="39"/>
  <c r="J11833" i="39"/>
  <c r="J11832" i="39"/>
  <c r="J11831" i="39"/>
  <c r="J11830" i="39"/>
  <c r="J11829" i="39"/>
  <c r="J11828" i="39"/>
  <c r="J11827" i="39"/>
  <c r="J11826" i="39"/>
  <c r="J11825" i="39"/>
  <c r="J11824" i="39"/>
  <c r="J11823" i="39"/>
  <c r="J11822" i="39"/>
  <c r="J11821" i="39"/>
  <c r="J11820" i="39"/>
  <c r="J11819" i="39"/>
  <c r="J11818" i="39"/>
  <c r="J11817" i="39"/>
  <c r="J11816" i="39"/>
  <c r="J11815" i="39"/>
  <c r="J11814" i="39"/>
  <c r="J11813" i="39"/>
  <c r="J11812" i="39"/>
  <c r="J11811" i="39"/>
  <c r="J11810" i="39"/>
  <c r="J11809" i="39"/>
  <c r="J11808" i="39"/>
  <c r="J11807" i="39"/>
  <c r="J11806" i="39"/>
  <c r="J11805" i="39"/>
  <c r="J11804" i="39"/>
  <c r="J11803" i="39"/>
  <c r="J11802" i="39"/>
  <c r="J11801" i="39"/>
  <c r="J11800" i="39"/>
  <c r="J11799" i="39"/>
  <c r="J11798" i="39"/>
  <c r="J11797" i="39"/>
  <c r="J11796" i="39"/>
  <c r="J11795" i="39"/>
  <c r="J11794" i="39"/>
  <c r="J11793" i="39"/>
  <c r="J11792" i="39"/>
  <c r="B11792" i="39"/>
  <c r="J11791" i="39"/>
  <c r="J11790" i="39"/>
  <c r="J11789" i="39"/>
  <c r="J11788" i="39"/>
  <c r="J11787" i="39"/>
  <c r="J11786" i="39"/>
  <c r="J11785" i="39"/>
  <c r="J11784" i="39"/>
  <c r="J11783" i="39"/>
  <c r="J11782" i="39"/>
  <c r="J11781" i="39"/>
  <c r="J11780" i="39"/>
  <c r="J11779" i="39"/>
  <c r="J11778" i="39"/>
  <c r="J11777" i="39"/>
  <c r="J11776" i="39"/>
  <c r="J11775" i="39"/>
  <c r="J11774" i="39"/>
  <c r="B11774" i="39"/>
  <c r="J11773" i="39"/>
  <c r="J11772" i="39"/>
  <c r="J11771" i="39"/>
  <c r="J11770" i="39"/>
  <c r="J11769" i="39"/>
  <c r="J11768" i="39"/>
  <c r="J11767" i="39"/>
  <c r="J11766" i="39"/>
  <c r="J11765" i="39"/>
  <c r="J11764" i="39"/>
  <c r="J11763" i="39"/>
  <c r="J11762" i="39"/>
  <c r="J11761" i="39"/>
  <c r="J11760" i="39"/>
  <c r="J11759" i="39"/>
  <c r="J11758" i="39"/>
  <c r="J11757" i="39"/>
  <c r="J11756" i="39"/>
  <c r="J11755" i="39"/>
  <c r="J11754" i="39"/>
  <c r="J11753" i="39"/>
  <c r="J11752" i="39"/>
  <c r="J11751" i="39"/>
  <c r="J11750" i="39"/>
  <c r="J11749" i="39"/>
  <c r="J11748" i="39"/>
  <c r="J11747" i="39"/>
  <c r="J11746" i="39"/>
  <c r="J11745" i="39"/>
  <c r="J11744" i="39"/>
  <c r="J11743" i="39"/>
  <c r="J11742" i="39"/>
  <c r="J11741" i="39"/>
  <c r="J11740" i="39"/>
  <c r="J11739" i="39"/>
  <c r="J11738" i="39"/>
  <c r="J11737" i="39"/>
  <c r="J11736" i="39"/>
  <c r="J11735" i="39"/>
  <c r="J11734" i="39"/>
  <c r="J11733" i="39"/>
  <c r="J11732" i="39"/>
  <c r="J11731" i="39"/>
  <c r="J11730" i="39"/>
  <c r="J11729" i="39"/>
  <c r="J11728" i="39"/>
  <c r="J11727" i="39"/>
  <c r="J11726" i="39"/>
  <c r="J11725" i="39"/>
  <c r="J11724" i="39"/>
  <c r="J11723" i="39"/>
  <c r="J11722" i="39"/>
  <c r="J11721" i="39"/>
  <c r="J11720" i="39"/>
  <c r="J11719" i="39"/>
  <c r="J11718" i="39"/>
  <c r="J11717" i="39"/>
  <c r="J11716" i="39"/>
  <c r="J11715" i="39"/>
  <c r="J11714" i="39"/>
  <c r="J11713" i="39"/>
  <c r="J11712" i="39"/>
  <c r="J11711" i="39"/>
  <c r="J11710" i="39"/>
  <c r="J11709" i="39"/>
  <c r="J11708" i="39"/>
  <c r="J11707" i="39"/>
  <c r="J11706" i="39"/>
  <c r="J11705" i="39"/>
  <c r="J11704" i="39"/>
  <c r="J11703" i="39"/>
  <c r="J11702" i="39"/>
  <c r="J11701" i="39"/>
  <c r="J11700" i="39"/>
  <c r="J11699" i="39"/>
  <c r="J11698" i="39"/>
  <c r="J11697" i="39"/>
  <c r="J11696" i="39"/>
  <c r="J11695" i="39"/>
  <c r="J11694" i="39"/>
  <c r="J11693" i="39"/>
  <c r="J11692" i="39"/>
  <c r="J11691" i="39"/>
  <c r="J11690" i="39"/>
  <c r="J11689" i="39"/>
  <c r="J11688" i="39"/>
  <c r="J11687" i="39"/>
  <c r="J11686" i="39"/>
  <c r="J11685" i="39"/>
  <c r="J11684" i="39"/>
  <c r="J11683" i="39"/>
  <c r="J11682" i="39"/>
  <c r="J11681" i="39"/>
  <c r="J11680" i="39"/>
  <c r="J11679" i="39"/>
  <c r="J11678" i="39"/>
  <c r="J11677" i="39"/>
  <c r="J11676" i="39"/>
  <c r="J11675" i="39"/>
  <c r="J11674" i="39"/>
  <c r="J11673" i="39"/>
  <c r="J11672" i="39"/>
  <c r="J11671" i="39"/>
  <c r="J11670" i="39"/>
  <c r="J11669" i="39"/>
  <c r="J11668" i="39"/>
  <c r="J11667" i="39"/>
  <c r="J11666" i="39"/>
  <c r="J11665" i="39"/>
  <c r="J11664" i="39"/>
  <c r="J11663" i="39"/>
  <c r="J11662" i="39"/>
  <c r="J11661" i="39"/>
  <c r="J11660" i="39"/>
  <c r="J11659" i="39"/>
  <c r="J11658" i="39"/>
  <c r="J11657" i="39"/>
  <c r="J11656" i="39"/>
  <c r="J11655" i="39"/>
  <c r="J11654" i="39"/>
  <c r="J11653" i="39"/>
  <c r="J11652" i="39"/>
  <c r="J11651" i="39"/>
  <c r="J11650" i="39"/>
  <c r="J11649" i="39"/>
  <c r="J11648" i="39"/>
  <c r="J11647" i="39"/>
  <c r="J11646" i="39"/>
  <c r="J11645" i="39"/>
  <c r="J11644" i="39"/>
  <c r="J11643" i="39"/>
  <c r="J11642" i="39"/>
  <c r="J11641" i="39"/>
  <c r="J11640" i="39"/>
  <c r="J11639" i="39"/>
  <c r="J11638" i="39"/>
  <c r="J11637" i="39"/>
  <c r="J11636" i="39"/>
  <c r="J11635" i="39"/>
  <c r="J11634" i="39"/>
  <c r="J11633" i="39"/>
  <c r="J11632" i="39"/>
  <c r="J11631" i="39"/>
  <c r="J11630" i="39"/>
  <c r="J11629" i="39"/>
  <c r="J11628" i="39"/>
  <c r="J11627" i="39"/>
  <c r="J11626" i="39"/>
  <c r="J11625" i="39"/>
  <c r="J11624" i="39"/>
  <c r="J11623" i="39"/>
  <c r="J11622" i="39"/>
  <c r="J11621" i="39"/>
  <c r="J11620" i="39"/>
  <c r="J11619" i="39"/>
  <c r="J11618" i="39"/>
  <c r="J11617" i="39"/>
  <c r="J11616" i="39"/>
  <c r="J11615" i="39"/>
  <c r="J11614" i="39"/>
  <c r="J11613" i="39"/>
  <c r="J11612" i="39"/>
  <c r="J11611" i="39"/>
  <c r="J11610" i="39"/>
  <c r="J11609" i="39"/>
  <c r="J11608" i="39"/>
  <c r="J11607" i="39"/>
  <c r="J11606" i="39"/>
  <c r="J11605" i="39"/>
  <c r="J11604" i="39"/>
  <c r="J11603" i="39"/>
  <c r="J11602" i="39"/>
  <c r="J11601" i="39"/>
  <c r="J11600" i="39"/>
  <c r="J11599" i="39"/>
  <c r="J11598" i="39"/>
  <c r="J11597" i="39"/>
  <c r="J11596" i="39"/>
  <c r="J11595" i="39"/>
  <c r="J11594" i="39"/>
  <c r="J11593" i="39"/>
  <c r="J11592" i="39"/>
  <c r="J11591" i="39"/>
  <c r="J11590" i="39"/>
  <c r="J11589" i="39"/>
  <c r="J11588" i="39"/>
  <c r="J11587" i="39"/>
  <c r="J11586" i="39"/>
  <c r="J11585" i="39"/>
  <c r="J11584" i="39"/>
  <c r="J11583" i="39"/>
  <c r="J11582" i="39"/>
  <c r="J11581" i="39"/>
  <c r="J11580" i="39"/>
  <c r="J11579" i="39"/>
  <c r="J11578" i="39"/>
  <c r="J11577" i="39"/>
  <c r="J11576" i="39"/>
  <c r="J11575" i="39"/>
  <c r="J11574" i="39"/>
  <c r="J11573" i="39"/>
  <c r="J11572" i="39"/>
  <c r="J11571" i="39"/>
  <c r="J11570" i="39"/>
  <c r="J11569" i="39"/>
  <c r="J11568" i="39"/>
  <c r="J11567" i="39"/>
  <c r="J11566" i="39"/>
  <c r="J11565" i="39"/>
  <c r="J11564" i="39"/>
  <c r="J11563" i="39"/>
  <c r="J11562" i="39"/>
  <c r="J11561" i="39"/>
  <c r="J11560" i="39"/>
  <c r="J11559" i="39"/>
  <c r="J11558" i="39"/>
  <c r="J11557" i="39"/>
  <c r="J11556" i="39"/>
  <c r="J11555" i="39"/>
  <c r="J11554" i="39"/>
  <c r="J11553" i="39"/>
  <c r="J11552" i="39"/>
  <c r="J11551" i="39"/>
  <c r="J11550" i="39"/>
  <c r="J11549" i="39"/>
  <c r="J11548" i="39"/>
  <c r="J11547" i="39"/>
  <c r="J11546" i="39"/>
  <c r="J11545" i="39"/>
  <c r="J11544" i="39"/>
  <c r="J11543" i="39"/>
  <c r="J11542" i="39"/>
  <c r="J11541" i="39"/>
  <c r="J11540" i="39"/>
  <c r="J11539" i="39"/>
  <c r="J11538" i="39"/>
  <c r="J11537" i="39"/>
  <c r="J11536" i="39"/>
  <c r="J11535" i="39"/>
  <c r="J11534" i="39"/>
  <c r="J11533" i="39"/>
  <c r="B11533" i="39"/>
  <c r="J11532" i="39"/>
  <c r="J11531" i="39"/>
  <c r="J11530" i="39"/>
  <c r="J11529" i="39"/>
  <c r="J11528" i="39"/>
  <c r="J11527" i="39"/>
  <c r="J11526" i="39"/>
  <c r="J11525" i="39"/>
  <c r="J11524" i="39"/>
  <c r="J11523" i="39"/>
  <c r="J11522" i="39"/>
  <c r="J11521" i="39"/>
  <c r="J11520" i="39"/>
  <c r="J11519" i="39"/>
  <c r="J11518" i="39"/>
  <c r="J11517" i="39"/>
  <c r="J11516" i="39"/>
  <c r="J11515" i="39"/>
  <c r="J11514" i="39"/>
  <c r="J11513" i="39"/>
  <c r="J11512" i="39"/>
  <c r="J11511" i="39"/>
  <c r="J11510" i="39"/>
  <c r="J11509" i="39"/>
  <c r="J11508" i="39"/>
  <c r="J11507" i="39"/>
  <c r="J11506" i="39"/>
  <c r="J11505" i="39"/>
  <c r="J11504" i="39"/>
  <c r="J11503" i="39"/>
  <c r="J11502" i="39"/>
  <c r="J11501" i="39"/>
  <c r="J11500" i="39"/>
  <c r="J11499" i="39"/>
  <c r="J11498" i="39"/>
  <c r="J11497" i="39"/>
  <c r="J11496" i="39"/>
  <c r="J11495" i="39"/>
  <c r="J11494" i="39"/>
  <c r="J11493" i="39"/>
  <c r="J11492" i="39"/>
  <c r="J11491" i="39"/>
  <c r="J11490" i="39"/>
  <c r="J11489" i="39"/>
  <c r="J11488" i="39"/>
  <c r="J11487" i="39"/>
  <c r="J11486" i="39"/>
  <c r="J11485" i="39"/>
  <c r="J11484" i="39"/>
  <c r="J11483" i="39"/>
  <c r="J11482" i="39"/>
  <c r="J11481" i="39"/>
  <c r="J11480" i="39"/>
  <c r="J11479" i="39"/>
  <c r="J11478" i="39"/>
  <c r="J11477" i="39"/>
  <c r="J11476" i="39"/>
  <c r="J11475" i="39"/>
  <c r="J11474" i="39"/>
  <c r="J11473" i="39"/>
  <c r="J11472" i="39"/>
  <c r="J11471" i="39"/>
  <c r="J11470" i="39"/>
  <c r="J11469" i="39"/>
  <c r="J11468" i="39"/>
  <c r="J11467" i="39"/>
  <c r="J11466" i="39"/>
  <c r="J11465" i="39"/>
  <c r="J11464" i="39"/>
  <c r="B11464" i="39"/>
  <c r="J11463" i="39"/>
  <c r="J11462" i="39"/>
  <c r="J11461" i="39"/>
  <c r="J11460" i="39"/>
  <c r="J11459" i="39"/>
  <c r="J11458" i="39"/>
  <c r="J11457" i="39"/>
  <c r="J11456" i="39"/>
  <c r="J11455" i="39"/>
  <c r="J11454" i="39"/>
  <c r="J11453" i="39"/>
  <c r="J11452" i="39"/>
  <c r="J11451" i="39"/>
  <c r="J11450" i="39"/>
  <c r="J11449" i="39"/>
  <c r="J11448" i="39"/>
  <c r="J11447" i="39"/>
  <c r="J11446" i="39"/>
  <c r="J11445" i="39"/>
  <c r="J11444" i="39"/>
  <c r="J11443" i="39"/>
  <c r="J11442" i="39"/>
  <c r="J11441" i="39"/>
  <c r="J11440" i="39"/>
  <c r="J11439" i="39"/>
  <c r="J11438" i="39"/>
  <c r="J11437" i="39"/>
  <c r="J11436" i="39"/>
  <c r="J11435" i="39"/>
  <c r="J11434" i="39"/>
  <c r="J11433" i="39"/>
  <c r="J11432" i="39"/>
  <c r="J11431" i="39"/>
  <c r="J11430" i="39"/>
  <c r="J11429" i="39"/>
  <c r="J11428" i="39"/>
  <c r="J11427" i="39"/>
  <c r="J11426" i="39"/>
  <c r="J11425" i="39"/>
  <c r="J11424" i="39"/>
  <c r="J11423" i="39"/>
  <c r="J11422" i="39"/>
  <c r="J11421" i="39"/>
  <c r="J11420" i="39"/>
  <c r="J11419" i="39"/>
  <c r="J11418" i="39"/>
  <c r="J11417" i="39"/>
  <c r="J11416" i="39"/>
  <c r="J11415" i="39"/>
  <c r="J11414" i="39"/>
  <c r="J11413" i="39"/>
  <c r="J11412" i="39"/>
  <c r="J11411" i="39"/>
  <c r="J11410" i="39"/>
  <c r="J11409" i="39"/>
  <c r="J11408" i="39"/>
  <c r="J11407" i="39"/>
  <c r="J11406" i="39"/>
  <c r="J11405" i="39"/>
  <c r="J11404" i="39"/>
  <c r="J11403" i="39"/>
  <c r="J11402" i="39"/>
  <c r="J11401" i="39"/>
  <c r="J11400" i="39"/>
  <c r="J11399" i="39"/>
  <c r="J11398" i="39"/>
  <c r="J11397" i="39"/>
  <c r="J11396" i="39"/>
  <c r="J11395" i="39"/>
  <c r="J11394" i="39"/>
  <c r="J11393" i="39"/>
  <c r="J11392" i="39"/>
  <c r="J11391" i="39"/>
  <c r="J11390" i="39"/>
  <c r="J11389" i="39"/>
  <c r="J11388" i="39"/>
  <c r="J11387" i="39"/>
  <c r="J11386" i="39"/>
  <c r="J11385" i="39"/>
  <c r="J11384" i="39"/>
  <c r="J11383" i="39"/>
  <c r="J11382" i="39"/>
  <c r="J11381" i="39"/>
  <c r="J11380" i="39"/>
  <c r="J11379" i="39"/>
  <c r="J11378" i="39"/>
  <c r="J11377" i="39"/>
  <c r="J11376" i="39"/>
  <c r="J11375" i="39"/>
  <c r="J11374" i="39"/>
  <c r="J11373" i="39"/>
  <c r="B11373" i="39"/>
  <c r="J11372" i="39"/>
  <c r="J11371" i="39"/>
  <c r="J11370" i="39"/>
  <c r="J11369" i="39"/>
  <c r="J11368" i="39"/>
  <c r="J11367" i="39"/>
  <c r="J11366" i="39"/>
  <c r="J11365" i="39"/>
  <c r="J11364" i="39"/>
  <c r="J11363" i="39"/>
  <c r="J11362" i="39"/>
  <c r="J11361" i="39"/>
  <c r="J11360" i="39"/>
  <c r="J11359" i="39"/>
  <c r="J11358" i="39"/>
  <c r="J11357" i="39"/>
  <c r="J11356" i="39"/>
  <c r="J11355" i="39"/>
  <c r="J11354" i="39"/>
  <c r="J11353" i="39"/>
  <c r="J11352" i="39"/>
  <c r="J11351" i="39"/>
  <c r="J11350" i="39"/>
  <c r="J11349" i="39"/>
  <c r="J11348" i="39"/>
  <c r="J11347" i="39"/>
  <c r="J11346" i="39"/>
  <c r="J11345" i="39"/>
  <c r="J11344" i="39"/>
  <c r="J11343" i="39"/>
  <c r="J11342" i="39"/>
  <c r="J11341" i="39"/>
  <c r="J11340" i="39"/>
  <c r="J11339" i="39"/>
  <c r="J11338" i="39"/>
  <c r="J11337" i="39"/>
  <c r="J11336" i="39"/>
  <c r="J11335" i="39"/>
  <c r="J11334" i="39"/>
  <c r="J11333" i="39"/>
  <c r="J11332" i="39"/>
  <c r="J11331" i="39"/>
  <c r="J11330" i="39"/>
  <c r="J11329" i="39"/>
  <c r="J11328" i="39"/>
  <c r="B11328" i="39"/>
  <c r="J11327" i="39"/>
  <c r="J11326" i="39"/>
  <c r="J11325" i="39"/>
  <c r="J11324" i="39"/>
  <c r="J11323" i="39"/>
  <c r="J11322" i="39"/>
  <c r="J11321" i="39"/>
  <c r="J11320" i="39"/>
  <c r="J11319" i="39"/>
  <c r="B11319" i="39"/>
  <c r="J11318" i="39"/>
  <c r="J11317" i="39"/>
  <c r="J11316" i="39"/>
  <c r="J11315" i="39"/>
  <c r="J11314" i="39"/>
  <c r="J11313" i="39"/>
  <c r="J11312" i="39"/>
  <c r="J11311" i="39"/>
  <c r="J11310" i="39"/>
  <c r="J11309" i="39"/>
  <c r="J11308" i="39"/>
  <c r="J11307" i="39"/>
  <c r="B11307" i="39"/>
  <c r="J11306" i="39"/>
  <c r="J11305" i="39"/>
  <c r="J11304" i="39"/>
  <c r="J11303" i="39"/>
  <c r="J11302" i="39"/>
  <c r="J11301" i="39"/>
  <c r="J11300" i="39"/>
  <c r="J11299" i="39"/>
  <c r="J11298" i="39"/>
  <c r="J11297" i="39"/>
  <c r="J11296" i="39"/>
  <c r="J11295" i="39"/>
  <c r="J11294" i="39"/>
  <c r="J11293" i="39"/>
  <c r="J11292" i="39"/>
  <c r="J11291" i="39"/>
  <c r="J11290" i="39"/>
  <c r="J11289" i="39"/>
  <c r="J11288" i="39"/>
  <c r="J11287" i="39"/>
  <c r="J11286" i="39"/>
  <c r="J11285" i="39"/>
  <c r="J11284" i="39"/>
  <c r="J11283" i="39"/>
  <c r="J11282" i="39"/>
  <c r="J11281" i="39"/>
  <c r="J11280" i="39"/>
  <c r="J11279" i="39"/>
  <c r="J11278" i="39"/>
  <c r="J11277" i="39"/>
  <c r="J11276" i="39"/>
  <c r="J11275" i="39"/>
  <c r="J11274" i="39"/>
  <c r="J11273" i="39"/>
  <c r="J11272" i="39"/>
  <c r="J11271" i="39"/>
  <c r="J11270" i="39"/>
  <c r="J11269" i="39"/>
  <c r="J11268" i="39"/>
  <c r="J11267" i="39"/>
  <c r="J11266" i="39"/>
  <c r="J11265" i="39"/>
  <c r="J11264" i="39"/>
  <c r="J11263" i="39"/>
  <c r="J11262" i="39"/>
  <c r="J11261" i="39"/>
  <c r="J11260" i="39"/>
  <c r="J11259" i="39"/>
  <c r="J11258" i="39"/>
  <c r="J11257" i="39"/>
  <c r="J11256" i="39"/>
  <c r="J11255" i="39"/>
  <c r="J11254" i="39"/>
  <c r="J11253" i="39"/>
  <c r="J11252" i="39"/>
  <c r="J11251" i="39"/>
  <c r="J11250" i="39"/>
  <c r="J11249" i="39"/>
  <c r="J11248" i="39"/>
  <c r="J11247" i="39"/>
  <c r="J11246" i="39"/>
  <c r="J11245" i="39"/>
  <c r="J11244" i="39"/>
  <c r="J11243" i="39"/>
  <c r="J11242" i="39"/>
  <c r="J11241" i="39"/>
  <c r="J11240" i="39"/>
  <c r="J11239" i="39"/>
  <c r="J11238" i="39"/>
  <c r="J11237" i="39"/>
  <c r="J11236" i="39"/>
  <c r="J11235" i="39"/>
  <c r="J11234" i="39"/>
  <c r="J11233" i="39"/>
  <c r="J11232" i="39"/>
  <c r="J11231" i="39"/>
  <c r="J11230" i="39"/>
  <c r="J11229" i="39"/>
  <c r="J11228" i="39"/>
  <c r="J11227" i="39"/>
  <c r="J11226" i="39"/>
  <c r="J11225" i="39"/>
  <c r="J11224" i="39"/>
  <c r="J11223" i="39"/>
  <c r="J11222" i="39"/>
  <c r="J11221" i="39"/>
  <c r="J11220" i="39"/>
  <c r="J11219" i="39"/>
  <c r="J11218" i="39"/>
  <c r="J11217" i="39"/>
  <c r="J11216" i="39"/>
  <c r="J11215" i="39"/>
  <c r="J11214" i="39"/>
  <c r="J11213" i="39"/>
  <c r="J11212" i="39"/>
  <c r="J11211" i="39"/>
  <c r="J11210" i="39"/>
  <c r="J11209" i="39"/>
  <c r="J11208" i="39"/>
  <c r="J11207" i="39"/>
  <c r="J11206" i="39"/>
  <c r="J11205" i="39"/>
  <c r="J11204" i="39"/>
  <c r="J11203" i="39"/>
  <c r="J11202" i="39"/>
  <c r="J11201" i="39"/>
  <c r="J11200" i="39"/>
  <c r="J11199" i="39"/>
  <c r="J11198" i="39"/>
  <c r="J11197" i="39"/>
  <c r="J11196" i="39"/>
  <c r="J11195" i="39"/>
  <c r="J11194" i="39"/>
  <c r="J11193" i="39"/>
  <c r="J11192" i="39"/>
  <c r="J11191" i="39"/>
  <c r="J11190" i="39"/>
  <c r="J11189" i="39"/>
  <c r="J11188" i="39"/>
  <c r="J11187" i="39"/>
  <c r="J11186" i="39"/>
  <c r="J11185" i="39"/>
  <c r="J11184" i="39"/>
  <c r="J11183" i="39"/>
  <c r="J11182" i="39"/>
  <c r="J11181" i="39"/>
  <c r="J11180" i="39"/>
  <c r="J11179" i="39"/>
  <c r="J11178" i="39"/>
  <c r="J11177" i="39"/>
  <c r="J11176" i="39"/>
  <c r="J11175" i="39"/>
  <c r="J11174" i="39"/>
  <c r="J11173" i="39"/>
  <c r="J11172" i="39"/>
  <c r="J11171" i="39"/>
  <c r="J11170" i="39"/>
  <c r="J11169" i="39"/>
  <c r="J11168" i="39"/>
  <c r="J11167" i="39"/>
  <c r="J11166" i="39"/>
  <c r="J11165" i="39"/>
  <c r="J11164" i="39"/>
  <c r="J11163" i="39"/>
  <c r="J11162" i="39"/>
  <c r="J11161" i="39"/>
  <c r="J11160" i="39"/>
  <c r="J11159" i="39"/>
  <c r="J11158" i="39"/>
  <c r="J11157" i="39"/>
  <c r="J11156" i="39"/>
  <c r="J11155" i="39"/>
  <c r="J11154" i="39"/>
  <c r="J11153" i="39"/>
  <c r="J11152" i="39"/>
  <c r="J11151" i="39"/>
  <c r="J11150" i="39"/>
  <c r="J11149" i="39"/>
  <c r="J11148" i="39"/>
  <c r="J11147" i="39"/>
  <c r="J11146" i="39"/>
  <c r="J11145" i="39"/>
  <c r="J11144" i="39"/>
  <c r="J11143" i="39"/>
  <c r="J11142" i="39"/>
  <c r="J11141" i="39"/>
  <c r="J11140" i="39"/>
  <c r="J11139" i="39"/>
  <c r="J11138" i="39"/>
  <c r="J11137" i="39"/>
  <c r="J11136" i="39"/>
  <c r="J11135" i="39"/>
  <c r="J11134" i="39"/>
  <c r="J11133" i="39"/>
  <c r="J11132" i="39"/>
  <c r="J11131" i="39"/>
  <c r="J11130" i="39"/>
  <c r="J11129" i="39"/>
  <c r="J11128" i="39"/>
  <c r="J11127" i="39"/>
  <c r="J11126" i="39"/>
  <c r="J11125" i="39"/>
  <c r="J11124" i="39"/>
  <c r="J11123" i="39"/>
  <c r="J11122" i="39"/>
  <c r="J11121" i="39"/>
  <c r="J11120" i="39"/>
  <c r="J11119" i="39"/>
  <c r="J11118" i="39"/>
  <c r="J11117" i="39"/>
  <c r="J11116" i="39"/>
  <c r="J11115" i="39"/>
  <c r="J11114" i="39"/>
  <c r="J11113" i="39"/>
  <c r="J11112" i="39"/>
  <c r="J11111" i="39"/>
  <c r="J11110" i="39"/>
  <c r="J11109" i="39"/>
  <c r="J11108" i="39"/>
  <c r="J11107" i="39"/>
  <c r="J11106" i="39"/>
  <c r="J11105" i="39"/>
  <c r="J11104" i="39"/>
  <c r="J11103" i="39"/>
  <c r="J11102" i="39"/>
  <c r="J11101" i="39"/>
  <c r="J11100" i="39"/>
  <c r="J11099" i="39"/>
  <c r="J11098" i="39"/>
  <c r="J11097" i="39"/>
  <c r="J11096" i="39"/>
  <c r="J11095" i="39"/>
  <c r="J11094" i="39"/>
  <c r="J11093" i="39"/>
  <c r="J11092" i="39"/>
  <c r="J11091" i="39"/>
  <c r="J11090" i="39"/>
  <c r="J11089" i="39"/>
  <c r="J11088" i="39"/>
  <c r="J11087" i="39"/>
  <c r="J11086" i="39"/>
  <c r="J11085" i="39"/>
  <c r="J11084" i="39"/>
  <c r="J11083" i="39"/>
  <c r="J11082" i="39"/>
  <c r="J11081" i="39"/>
  <c r="J11080" i="39"/>
  <c r="J11079" i="39"/>
  <c r="J11078" i="39"/>
  <c r="J11077" i="39"/>
  <c r="J11076" i="39"/>
  <c r="J11075" i="39"/>
  <c r="J11074" i="39"/>
  <c r="J11073" i="39"/>
  <c r="J11072" i="39"/>
  <c r="J11071" i="39"/>
  <c r="J11070" i="39"/>
  <c r="J11069" i="39"/>
  <c r="J11068" i="39"/>
  <c r="J11067" i="39"/>
  <c r="J11066" i="39"/>
  <c r="J11065" i="39"/>
  <c r="J11064" i="39"/>
  <c r="J11063" i="39"/>
  <c r="J11062" i="39"/>
  <c r="J11061" i="39"/>
  <c r="J11060" i="39"/>
  <c r="J11059" i="39"/>
  <c r="J11058" i="39"/>
  <c r="J11057" i="39"/>
  <c r="J11056" i="39"/>
  <c r="J11055" i="39"/>
  <c r="J11054" i="39"/>
  <c r="J11053" i="39"/>
  <c r="J11052" i="39"/>
  <c r="J11051" i="39"/>
  <c r="J11050" i="39"/>
  <c r="J11049" i="39"/>
  <c r="J11048" i="39"/>
  <c r="J11047" i="39"/>
  <c r="J11046" i="39"/>
  <c r="J11045" i="39"/>
  <c r="J11044" i="39"/>
  <c r="J11043" i="39"/>
  <c r="J11042" i="39"/>
  <c r="J11041" i="39"/>
  <c r="J11040" i="39"/>
  <c r="J11039" i="39"/>
  <c r="J11038" i="39"/>
  <c r="J11037" i="39"/>
  <c r="J11036" i="39"/>
  <c r="J11035" i="39"/>
  <c r="J11034" i="39"/>
  <c r="J11033" i="39"/>
  <c r="J11032" i="39"/>
  <c r="J11031" i="39"/>
  <c r="J11030" i="39"/>
  <c r="J11029" i="39"/>
  <c r="J11028" i="39"/>
  <c r="J11027" i="39"/>
  <c r="J11026" i="39"/>
  <c r="J11025" i="39"/>
  <c r="J11024" i="39"/>
  <c r="J11023" i="39"/>
  <c r="J11022" i="39"/>
  <c r="J11021" i="39"/>
  <c r="J11020" i="39"/>
  <c r="J11019" i="39"/>
  <c r="J11018" i="39"/>
  <c r="J11017" i="39"/>
  <c r="J11016" i="39"/>
  <c r="J11015" i="39"/>
  <c r="J11014" i="39"/>
  <c r="J11013" i="39"/>
  <c r="J11012" i="39"/>
  <c r="J11011" i="39"/>
  <c r="J11010" i="39"/>
  <c r="J11009" i="39"/>
  <c r="J11008" i="39"/>
  <c r="J11007" i="39"/>
  <c r="J11006" i="39"/>
  <c r="J11005" i="39"/>
  <c r="J11004" i="39"/>
  <c r="J11003" i="39"/>
  <c r="J11002" i="39"/>
  <c r="J11001" i="39"/>
  <c r="J11000" i="39"/>
  <c r="J10999" i="39"/>
  <c r="J10998" i="39"/>
  <c r="J10997" i="39"/>
  <c r="J10996" i="39"/>
  <c r="J10995" i="39"/>
  <c r="J10994" i="39"/>
  <c r="J10993" i="39"/>
  <c r="J10992" i="39"/>
  <c r="J10991" i="39"/>
  <c r="J10990" i="39"/>
  <c r="J10989" i="39"/>
  <c r="J10988" i="39"/>
  <c r="J10987" i="39"/>
  <c r="J10986" i="39"/>
  <c r="J10985" i="39"/>
  <c r="J10984" i="39"/>
  <c r="J10983" i="39"/>
  <c r="J10982" i="39"/>
  <c r="J10981" i="39"/>
  <c r="J10980" i="39"/>
  <c r="J10979" i="39"/>
  <c r="J10978" i="39"/>
  <c r="J10977" i="39"/>
  <c r="J10976" i="39"/>
  <c r="J10975" i="39"/>
  <c r="J10974" i="39"/>
  <c r="J10973" i="39"/>
  <c r="J10972" i="39"/>
  <c r="J10971" i="39"/>
  <c r="J10970" i="39"/>
  <c r="J10969" i="39"/>
  <c r="J10968" i="39"/>
  <c r="J10967" i="39"/>
  <c r="J10966" i="39"/>
  <c r="J10965" i="39"/>
  <c r="J10964" i="39"/>
  <c r="J10963" i="39"/>
  <c r="J10962" i="39"/>
  <c r="J10961" i="39"/>
  <c r="J10960" i="39"/>
  <c r="J10959" i="39"/>
  <c r="J10958" i="39"/>
  <c r="J10957" i="39"/>
  <c r="J10956" i="39"/>
  <c r="J10955" i="39"/>
  <c r="J10954" i="39"/>
  <c r="J10953" i="39"/>
  <c r="J10952" i="39"/>
  <c r="J10951" i="39"/>
  <c r="J10950" i="39"/>
  <c r="J10949" i="39"/>
  <c r="J10948" i="39"/>
  <c r="J10947" i="39"/>
  <c r="J10946" i="39"/>
  <c r="J10945" i="39"/>
  <c r="J10944" i="39"/>
  <c r="J10943" i="39"/>
  <c r="J10942" i="39"/>
  <c r="J10941" i="39"/>
  <c r="J10940" i="39"/>
  <c r="J10939" i="39"/>
  <c r="J10938" i="39"/>
  <c r="J10937" i="39"/>
  <c r="J10936" i="39"/>
  <c r="J10935" i="39"/>
  <c r="J10934" i="39"/>
  <c r="J10933" i="39"/>
  <c r="J10932" i="39"/>
  <c r="J10931" i="39"/>
  <c r="J10930" i="39"/>
  <c r="J10929" i="39"/>
  <c r="J10928" i="39"/>
  <c r="J10927" i="39"/>
  <c r="J10926" i="39"/>
  <c r="J10925" i="39"/>
  <c r="J10924" i="39"/>
  <c r="J10923" i="39"/>
  <c r="J10922" i="39"/>
  <c r="J10921" i="39"/>
  <c r="J10920" i="39"/>
  <c r="J10919" i="39"/>
  <c r="J10918" i="39"/>
  <c r="J10917" i="39"/>
  <c r="J10916" i="39"/>
  <c r="J10915" i="39"/>
  <c r="J10914" i="39"/>
  <c r="J10913" i="39"/>
  <c r="J10912" i="39"/>
  <c r="J10911" i="39"/>
  <c r="J10910" i="39"/>
  <c r="J10909" i="39"/>
  <c r="J10908" i="39"/>
  <c r="J10907" i="39"/>
  <c r="J10906" i="39"/>
  <c r="J10905" i="39"/>
  <c r="J10904" i="39"/>
  <c r="J10903" i="39"/>
  <c r="J10902" i="39"/>
  <c r="J10901" i="39"/>
  <c r="J10900" i="39"/>
  <c r="J10899" i="39"/>
  <c r="J10898" i="39"/>
  <c r="J10897" i="39"/>
  <c r="J10896" i="39"/>
  <c r="J10895" i="39"/>
  <c r="J10894" i="39"/>
  <c r="J10893" i="39"/>
  <c r="J10892" i="39"/>
  <c r="J10891" i="39"/>
  <c r="J10890" i="39"/>
  <c r="J10889" i="39"/>
  <c r="J10888" i="39"/>
  <c r="J10887" i="39"/>
  <c r="J10886" i="39"/>
  <c r="J10885" i="39"/>
  <c r="J10884" i="39"/>
  <c r="J10883" i="39"/>
  <c r="J10882" i="39"/>
  <c r="J10881" i="39"/>
  <c r="J10880" i="39"/>
  <c r="J10879" i="39"/>
  <c r="J10878" i="39"/>
  <c r="J10877" i="39"/>
  <c r="J10876" i="39"/>
  <c r="J10875" i="39"/>
  <c r="J10874" i="39"/>
  <c r="J10873" i="39"/>
  <c r="J10872" i="39"/>
  <c r="J10871" i="39"/>
  <c r="J10870" i="39"/>
  <c r="J10869" i="39"/>
  <c r="J10868" i="39"/>
  <c r="J10867" i="39"/>
  <c r="J10866" i="39"/>
  <c r="J10865" i="39"/>
  <c r="J10864" i="39"/>
  <c r="J10863" i="39"/>
  <c r="J10862" i="39"/>
  <c r="J10861" i="39"/>
  <c r="J10860" i="39"/>
  <c r="J10859" i="39"/>
  <c r="J10858" i="39"/>
  <c r="J10857" i="39"/>
  <c r="J10856" i="39"/>
  <c r="J10855" i="39"/>
  <c r="J10854" i="39"/>
  <c r="J10853" i="39"/>
  <c r="J10852" i="39"/>
  <c r="J10851" i="39"/>
  <c r="J10850" i="39"/>
  <c r="J10849" i="39"/>
  <c r="J10848" i="39"/>
  <c r="J10847" i="39"/>
  <c r="J10846" i="39"/>
  <c r="J10845" i="39"/>
  <c r="J10844" i="39"/>
  <c r="J10843" i="39"/>
  <c r="J10842" i="39"/>
  <c r="J10841" i="39"/>
  <c r="J10840" i="39"/>
  <c r="J10839" i="39"/>
  <c r="J10838" i="39"/>
  <c r="J10837" i="39"/>
  <c r="J10836" i="39"/>
  <c r="J10835" i="39"/>
  <c r="J10834" i="39"/>
  <c r="J10833" i="39"/>
  <c r="J10832" i="39"/>
  <c r="J10831" i="39"/>
  <c r="J10830" i="39"/>
  <c r="J10829" i="39"/>
  <c r="J10828" i="39"/>
  <c r="J10827" i="39"/>
  <c r="J10826" i="39"/>
  <c r="J10825" i="39"/>
  <c r="J10824" i="39"/>
  <c r="J10823" i="39"/>
  <c r="J10822" i="39"/>
  <c r="J10821" i="39"/>
  <c r="J10820" i="39"/>
  <c r="J10819" i="39"/>
  <c r="J10818" i="39"/>
  <c r="J10817" i="39"/>
  <c r="J10816" i="39"/>
  <c r="J10815" i="39"/>
  <c r="J10814" i="39"/>
  <c r="J10813" i="39"/>
  <c r="J10812" i="39"/>
  <c r="J10811" i="39"/>
  <c r="J10810" i="39"/>
  <c r="J10809" i="39"/>
  <c r="J10808" i="39"/>
  <c r="B10808" i="39"/>
  <c r="J10807" i="39"/>
  <c r="J10806" i="39"/>
  <c r="J10805" i="39"/>
  <c r="J10804" i="39"/>
  <c r="J10803" i="39"/>
  <c r="J10802" i="39"/>
  <c r="J10801" i="39"/>
  <c r="J10800" i="39"/>
  <c r="J10799" i="39"/>
  <c r="J10798" i="39"/>
  <c r="J10797" i="39"/>
  <c r="J10796" i="39"/>
  <c r="J10795" i="39"/>
  <c r="J10794" i="39"/>
  <c r="J10793" i="39"/>
  <c r="J10792" i="39"/>
  <c r="J10791" i="39"/>
  <c r="J10790" i="39"/>
  <c r="J10789" i="39"/>
  <c r="J10788" i="39"/>
  <c r="J10787" i="39"/>
  <c r="J10786" i="39"/>
  <c r="J10785" i="39"/>
  <c r="J10784" i="39"/>
  <c r="J10783" i="39"/>
  <c r="J10782" i="39"/>
  <c r="J10781" i="39"/>
  <c r="J10780" i="39"/>
  <c r="J10779" i="39"/>
  <c r="J10778" i="39"/>
  <c r="J10777" i="39"/>
  <c r="J10776" i="39"/>
  <c r="J10775" i="39"/>
  <c r="J10774" i="39"/>
  <c r="J10773" i="39"/>
  <c r="J10772" i="39"/>
  <c r="J10771" i="39"/>
  <c r="J10770" i="39"/>
  <c r="J10769" i="39"/>
  <c r="J10768" i="39"/>
  <c r="J10767" i="39"/>
  <c r="J10766" i="39"/>
  <c r="J10765" i="39"/>
  <c r="J10764" i="39"/>
  <c r="J10763" i="39"/>
  <c r="J10762" i="39"/>
  <c r="J10761" i="39"/>
  <c r="J10760" i="39"/>
  <c r="J10759" i="39"/>
  <c r="J10758" i="39"/>
  <c r="J10757" i="39"/>
  <c r="J10756" i="39"/>
  <c r="J10755" i="39"/>
  <c r="J10754" i="39"/>
  <c r="J10753" i="39"/>
  <c r="J10752" i="39"/>
  <c r="J10751" i="39"/>
  <c r="J10750" i="39"/>
  <c r="J10749" i="39"/>
  <c r="J10748" i="39"/>
  <c r="J10747" i="39"/>
  <c r="J10746" i="39"/>
  <c r="J10745" i="39"/>
  <c r="J10744" i="39"/>
  <c r="J10743" i="39"/>
  <c r="J10742" i="39"/>
  <c r="J10741" i="39"/>
  <c r="J10740" i="39"/>
  <c r="J10739" i="39"/>
  <c r="J10738" i="39"/>
  <c r="J10737" i="39"/>
  <c r="J10736" i="39"/>
  <c r="J10735" i="39"/>
  <c r="J10734" i="39"/>
  <c r="J10733" i="39"/>
  <c r="J10732" i="39"/>
  <c r="J10731" i="39"/>
  <c r="J10730" i="39"/>
  <c r="J10729" i="39"/>
  <c r="J10728" i="39"/>
  <c r="J10727" i="39"/>
  <c r="J10726" i="39"/>
  <c r="J10725" i="39"/>
  <c r="J10724" i="39"/>
  <c r="J10723" i="39"/>
  <c r="J10722" i="39"/>
  <c r="J10721" i="39"/>
  <c r="J10720" i="39"/>
  <c r="J10719" i="39"/>
  <c r="J10718" i="39"/>
  <c r="J10717" i="39"/>
  <c r="J10716" i="39"/>
  <c r="J10715" i="39"/>
  <c r="J10714" i="39"/>
  <c r="J10713" i="39"/>
  <c r="J10712" i="39"/>
  <c r="J10711" i="39"/>
  <c r="J10710" i="39"/>
  <c r="J10709" i="39"/>
  <c r="J10708" i="39"/>
  <c r="J10707" i="39"/>
  <c r="J10706" i="39"/>
  <c r="B10706" i="39"/>
  <c r="J10705" i="39"/>
  <c r="J10704" i="39"/>
  <c r="J10703" i="39"/>
  <c r="J10702" i="39"/>
  <c r="J10701" i="39"/>
  <c r="J10700" i="39"/>
  <c r="J10699" i="39"/>
  <c r="J10698" i="39"/>
  <c r="J10697" i="39"/>
  <c r="J10696" i="39"/>
  <c r="J10695" i="39"/>
  <c r="J10694" i="39"/>
  <c r="J10693" i="39"/>
  <c r="J10692" i="39"/>
  <c r="J10691" i="39"/>
  <c r="J10690" i="39"/>
  <c r="J10689" i="39"/>
  <c r="J10688" i="39"/>
  <c r="J10687" i="39"/>
  <c r="J10686" i="39"/>
  <c r="J10685" i="39"/>
  <c r="J10684" i="39"/>
  <c r="J10683" i="39"/>
  <c r="J10682" i="39"/>
  <c r="J10681" i="39"/>
  <c r="J10680" i="39"/>
  <c r="J10679" i="39"/>
  <c r="J10678" i="39"/>
  <c r="J10677" i="39"/>
  <c r="J10676" i="39"/>
  <c r="J10675" i="39"/>
  <c r="J10674" i="39"/>
  <c r="J10673" i="39"/>
  <c r="J10672" i="39"/>
  <c r="J10671" i="39"/>
  <c r="J10670" i="39"/>
  <c r="J10669" i="39"/>
  <c r="J10668" i="39"/>
  <c r="J10667" i="39"/>
  <c r="J10666" i="39"/>
  <c r="J10665" i="39"/>
  <c r="J10664" i="39"/>
  <c r="J10663" i="39"/>
  <c r="J10662" i="39"/>
  <c r="J10661" i="39"/>
  <c r="J10660" i="39"/>
  <c r="J10659" i="39"/>
  <c r="J10658" i="39"/>
  <c r="J10657" i="39"/>
  <c r="J10656" i="39"/>
  <c r="J10655" i="39"/>
  <c r="J10654" i="39"/>
  <c r="J10653" i="39"/>
  <c r="J10652" i="39"/>
  <c r="J10651" i="39"/>
  <c r="J10650" i="39"/>
  <c r="J10649" i="39"/>
  <c r="J10648" i="39"/>
  <c r="J10647" i="39"/>
  <c r="J10646" i="39"/>
  <c r="J10645" i="39"/>
  <c r="J10644" i="39"/>
  <c r="J10643" i="39"/>
  <c r="J10642" i="39"/>
  <c r="J10641" i="39"/>
  <c r="J10640" i="39"/>
  <c r="J10639" i="39"/>
  <c r="J10638" i="39"/>
  <c r="J10637" i="39"/>
  <c r="J10636" i="39"/>
  <c r="J10635" i="39"/>
  <c r="J10634" i="39"/>
  <c r="J10633" i="39"/>
  <c r="J10632" i="39"/>
  <c r="J10631" i="39"/>
  <c r="J10630" i="39"/>
  <c r="J10629" i="39"/>
  <c r="J10628" i="39"/>
  <c r="J10627" i="39"/>
  <c r="J10626" i="39"/>
  <c r="J10625" i="39"/>
  <c r="J10624" i="39"/>
  <c r="J10623" i="39"/>
  <c r="J10622" i="39"/>
  <c r="J10621" i="39"/>
  <c r="J10620" i="39"/>
  <c r="J10619" i="39"/>
  <c r="J10618" i="39"/>
  <c r="J10617" i="39"/>
  <c r="J10616" i="39"/>
  <c r="J10615" i="39"/>
  <c r="J10614" i="39"/>
  <c r="J10613" i="39"/>
  <c r="J10612" i="39"/>
  <c r="J10611" i="39"/>
  <c r="J10610" i="39"/>
  <c r="J10609" i="39"/>
  <c r="J10608" i="39"/>
  <c r="J10607" i="39"/>
  <c r="J10606" i="39"/>
  <c r="J10605" i="39"/>
  <c r="J10604" i="39"/>
  <c r="J10603" i="39"/>
  <c r="J10602" i="39"/>
  <c r="J10601" i="39"/>
  <c r="J10600" i="39"/>
  <c r="J10599" i="39"/>
  <c r="J10598" i="39"/>
  <c r="J10597" i="39"/>
  <c r="J10596" i="39"/>
  <c r="J10595" i="39"/>
  <c r="J10594" i="39"/>
  <c r="J10593" i="39"/>
  <c r="J10592" i="39"/>
  <c r="J10591" i="39"/>
  <c r="J10590" i="39"/>
  <c r="J10589" i="39"/>
  <c r="J10588" i="39"/>
  <c r="J10587" i="39"/>
  <c r="J10586" i="39"/>
  <c r="J10585" i="39"/>
  <c r="J10584" i="39"/>
  <c r="J10583" i="39"/>
  <c r="J10582" i="39"/>
  <c r="J10581" i="39"/>
  <c r="J10580" i="39"/>
  <c r="J10579" i="39"/>
  <c r="J10578" i="39"/>
  <c r="J10577" i="39"/>
  <c r="J10576" i="39"/>
  <c r="J10575" i="39"/>
  <c r="J10574" i="39"/>
  <c r="J10573" i="39"/>
  <c r="J10572" i="39"/>
  <c r="J10571" i="39"/>
  <c r="J10570" i="39"/>
  <c r="J10569" i="39"/>
  <c r="J10568" i="39"/>
  <c r="J10567" i="39"/>
  <c r="J10566" i="39"/>
  <c r="J10565" i="39"/>
  <c r="J10564" i="39"/>
  <c r="J10563" i="39"/>
  <c r="J10562" i="39"/>
  <c r="J10561" i="39"/>
  <c r="J10560" i="39"/>
  <c r="J10559" i="39"/>
  <c r="J10558" i="39"/>
  <c r="J10557" i="39"/>
  <c r="J10556" i="39"/>
  <c r="J10555" i="39"/>
  <c r="J10554" i="39"/>
  <c r="J10553" i="39"/>
  <c r="J10552" i="39"/>
  <c r="J10551" i="39"/>
  <c r="J10550" i="39"/>
  <c r="J10549" i="39"/>
  <c r="J10548" i="39"/>
  <c r="J10547" i="39"/>
  <c r="J10546" i="39"/>
  <c r="J10545" i="39"/>
  <c r="J10544" i="39"/>
  <c r="J10543" i="39"/>
  <c r="J10542" i="39"/>
  <c r="J10541" i="39"/>
  <c r="J10540" i="39"/>
  <c r="J10539" i="39"/>
  <c r="J10538" i="39"/>
  <c r="J10537" i="39"/>
  <c r="J10536" i="39"/>
  <c r="J10535" i="39"/>
  <c r="J10534" i="39"/>
  <c r="J10533" i="39"/>
  <c r="J10532" i="39"/>
  <c r="J10531" i="39"/>
  <c r="J10530" i="39"/>
  <c r="J10529" i="39"/>
  <c r="J10528" i="39"/>
  <c r="J10527" i="39"/>
  <c r="J10526" i="39"/>
  <c r="J10525" i="39"/>
  <c r="J10524" i="39"/>
  <c r="J10523" i="39"/>
  <c r="J10522" i="39"/>
  <c r="J10521" i="39"/>
  <c r="J10520" i="39"/>
  <c r="J10519" i="39"/>
  <c r="J10518" i="39"/>
  <c r="J10517" i="39"/>
  <c r="J10516" i="39"/>
  <c r="J10515" i="39"/>
  <c r="J10514" i="39"/>
  <c r="J10513" i="39"/>
  <c r="J10512" i="39"/>
  <c r="J10511" i="39"/>
  <c r="J10510" i="39"/>
  <c r="J10509" i="39"/>
  <c r="J10508" i="39"/>
  <c r="J10507" i="39"/>
  <c r="J10506" i="39"/>
  <c r="J10505" i="39"/>
  <c r="J10504" i="39"/>
  <c r="J10503" i="39"/>
  <c r="J10502" i="39"/>
  <c r="J10501" i="39"/>
  <c r="J10500" i="39"/>
  <c r="J10499" i="39"/>
  <c r="J10498" i="39"/>
  <c r="J10497" i="39"/>
  <c r="J10496" i="39"/>
  <c r="J10495" i="39"/>
  <c r="J10494" i="39"/>
  <c r="J10493" i="39"/>
  <c r="J10492" i="39"/>
  <c r="J10491" i="39"/>
  <c r="J10490" i="39"/>
  <c r="J10489" i="39"/>
  <c r="J10488" i="39"/>
  <c r="J10487" i="39"/>
  <c r="J10486" i="39"/>
  <c r="J10485" i="39"/>
  <c r="J10484" i="39"/>
  <c r="J10483" i="39"/>
  <c r="J10482" i="39"/>
  <c r="J10481" i="39"/>
  <c r="J10480" i="39"/>
  <c r="J10479" i="39"/>
  <c r="J10478" i="39"/>
  <c r="J10477" i="39"/>
  <c r="J10476" i="39"/>
  <c r="J10475" i="39"/>
  <c r="J10474" i="39"/>
  <c r="J10473" i="39"/>
  <c r="J10472" i="39"/>
  <c r="J10471" i="39"/>
  <c r="J10470" i="39"/>
  <c r="J10469" i="39"/>
  <c r="J10468" i="39"/>
  <c r="J10467" i="39"/>
  <c r="J10466" i="39"/>
  <c r="J10465" i="39"/>
  <c r="J10464" i="39"/>
  <c r="J10463" i="39"/>
  <c r="J10462" i="39"/>
  <c r="J10461" i="39"/>
  <c r="J10460" i="39"/>
  <c r="J10459" i="39"/>
  <c r="J10458" i="39"/>
  <c r="J10457" i="39"/>
  <c r="J10456" i="39"/>
  <c r="J10455" i="39"/>
  <c r="J10454" i="39"/>
  <c r="J10453" i="39"/>
  <c r="J10452" i="39"/>
  <c r="J10451" i="39"/>
  <c r="J10450" i="39"/>
  <c r="J10449" i="39"/>
  <c r="J10448" i="39"/>
  <c r="J10447" i="39"/>
  <c r="J10446" i="39"/>
  <c r="J10445" i="39"/>
  <c r="J10444" i="39"/>
  <c r="J10443" i="39"/>
  <c r="J10442" i="39"/>
  <c r="J10441" i="39"/>
  <c r="J10440" i="39"/>
  <c r="J10439" i="39"/>
  <c r="J10438" i="39"/>
  <c r="J10437" i="39"/>
  <c r="J10436" i="39"/>
  <c r="J10435" i="39"/>
  <c r="J10434" i="39"/>
  <c r="J10433" i="39"/>
  <c r="J10432" i="39"/>
  <c r="J10431" i="39"/>
  <c r="J10430" i="39"/>
  <c r="J10429" i="39"/>
  <c r="J10428" i="39"/>
  <c r="J10427" i="39"/>
  <c r="J10426" i="39"/>
  <c r="J10425" i="39"/>
  <c r="J10424" i="39"/>
  <c r="J10423" i="39"/>
  <c r="J10422" i="39"/>
  <c r="J10421" i="39"/>
  <c r="J10420" i="39"/>
  <c r="J10419" i="39"/>
  <c r="J10418" i="39"/>
  <c r="J10417" i="39"/>
  <c r="J10416" i="39"/>
  <c r="J10415" i="39"/>
  <c r="J10414" i="39"/>
  <c r="J10413" i="39"/>
  <c r="J10412" i="39"/>
  <c r="J10411" i="39"/>
  <c r="J10410" i="39"/>
  <c r="J10409" i="39"/>
  <c r="J10408" i="39"/>
  <c r="J10407" i="39"/>
  <c r="J10406" i="39"/>
  <c r="J10405" i="39"/>
  <c r="J10404" i="39"/>
  <c r="J10403" i="39"/>
  <c r="J10402" i="39"/>
  <c r="B10402" i="39"/>
  <c r="J10401" i="39"/>
  <c r="J10400" i="39"/>
  <c r="J10399" i="39"/>
  <c r="J10398" i="39"/>
  <c r="J10397" i="39"/>
  <c r="J10396" i="39"/>
  <c r="J10395" i="39"/>
  <c r="J10394" i="39"/>
  <c r="J10393" i="39"/>
  <c r="J10392" i="39"/>
  <c r="J10391" i="39"/>
  <c r="J10390" i="39"/>
  <c r="J10389" i="39"/>
  <c r="J10388" i="39"/>
  <c r="J10387" i="39"/>
  <c r="J10386" i="39"/>
  <c r="J10385" i="39"/>
  <c r="J10384" i="39"/>
  <c r="J10383" i="39"/>
  <c r="J10382" i="39"/>
  <c r="J10381" i="39"/>
  <c r="J10380" i="39"/>
  <c r="J10379" i="39"/>
  <c r="J10378" i="39"/>
  <c r="J10377" i="39"/>
  <c r="J10376" i="39"/>
  <c r="J10375" i="39"/>
  <c r="J10374" i="39"/>
  <c r="J10373" i="39"/>
  <c r="J10372" i="39"/>
  <c r="J10371" i="39"/>
  <c r="J10370" i="39"/>
  <c r="J10369" i="39"/>
  <c r="J10368" i="39"/>
  <c r="J10367" i="39"/>
  <c r="J10366" i="39"/>
  <c r="J10365" i="39"/>
  <c r="J10364" i="39"/>
  <c r="J10363" i="39"/>
  <c r="J10362" i="39"/>
  <c r="J10361" i="39"/>
  <c r="J10360" i="39"/>
  <c r="J10359" i="39"/>
  <c r="J10358" i="39"/>
  <c r="J10357" i="39"/>
  <c r="J10356" i="39"/>
  <c r="J10355" i="39"/>
  <c r="J10354" i="39"/>
  <c r="J10353" i="39"/>
  <c r="J10352" i="39"/>
  <c r="J10351" i="39"/>
  <c r="J10350" i="39"/>
  <c r="J10349" i="39"/>
  <c r="J10348" i="39"/>
  <c r="J10347" i="39"/>
  <c r="J10346" i="39"/>
  <c r="J10345" i="39"/>
  <c r="J10344" i="39"/>
  <c r="J10343" i="39"/>
  <c r="J10342" i="39"/>
  <c r="J10341" i="39"/>
  <c r="J10340" i="39"/>
  <c r="J10339" i="39"/>
  <c r="J10338" i="39"/>
  <c r="J10337" i="39"/>
  <c r="J10336" i="39"/>
  <c r="J10335" i="39"/>
  <c r="J10334" i="39"/>
  <c r="J10333" i="39"/>
  <c r="J10332" i="39"/>
  <c r="J10331" i="39"/>
  <c r="J10330" i="39"/>
  <c r="J10329" i="39"/>
  <c r="J10328" i="39"/>
  <c r="J10327" i="39"/>
  <c r="J10326" i="39"/>
  <c r="J10325" i="39"/>
  <c r="J10324" i="39"/>
  <c r="J10323" i="39"/>
  <c r="J10322" i="39"/>
  <c r="J10321" i="39"/>
  <c r="J10320" i="39"/>
  <c r="J10319" i="39"/>
  <c r="J10318" i="39"/>
  <c r="J10317" i="39"/>
  <c r="J10316" i="39"/>
  <c r="J10315" i="39"/>
  <c r="J10314" i="39"/>
  <c r="J10313" i="39"/>
  <c r="J10312" i="39"/>
  <c r="J10311" i="39"/>
  <c r="J10310" i="39"/>
  <c r="J10309" i="39"/>
  <c r="J10308" i="39"/>
  <c r="J10307" i="39"/>
  <c r="J10306" i="39"/>
  <c r="J10305" i="39"/>
  <c r="J10304" i="39"/>
  <c r="J10303" i="39"/>
  <c r="J10302" i="39"/>
  <c r="J10301" i="39"/>
  <c r="J10300" i="39"/>
  <c r="J10299" i="39"/>
  <c r="J10298" i="39"/>
  <c r="J10297" i="39"/>
  <c r="J10296" i="39"/>
  <c r="B10296" i="39"/>
  <c r="J10295" i="39"/>
  <c r="J10294" i="39"/>
  <c r="J10293" i="39"/>
  <c r="J10292" i="39"/>
  <c r="J10291" i="39"/>
  <c r="J10290" i="39"/>
  <c r="J10289" i="39"/>
  <c r="J10288" i="39"/>
  <c r="J10287" i="39"/>
  <c r="J10286" i="39"/>
  <c r="J10285" i="39"/>
  <c r="J10284" i="39"/>
  <c r="J10283" i="39"/>
  <c r="J10282" i="39"/>
  <c r="J10281" i="39"/>
  <c r="J10280" i="39"/>
  <c r="J10279" i="39"/>
  <c r="J10278" i="39"/>
  <c r="J10277" i="39"/>
  <c r="J10276" i="39"/>
  <c r="J10275" i="39"/>
  <c r="J10274" i="39"/>
  <c r="J10273" i="39"/>
  <c r="J10272" i="39"/>
  <c r="J10271" i="39"/>
  <c r="J10270" i="39"/>
  <c r="J10269" i="39"/>
  <c r="J10268" i="39"/>
  <c r="J10267" i="39"/>
  <c r="J10266" i="39"/>
  <c r="J10265" i="39"/>
  <c r="J10264" i="39"/>
  <c r="J10263" i="39"/>
  <c r="J10262" i="39"/>
  <c r="J10261" i="39"/>
  <c r="J10260" i="39"/>
  <c r="J10259" i="39"/>
  <c r="J10258" i="39"/>
  <c r="J10257" i="39"/>
  <c r="J10256" i="39"/>
  <c r="J10255" i="39"/>
  <c r="J10254" i="39"/>
  <c r="J10253" i="39"/>
  <c r="J10252" i="39"/>
  <c r="J10251" i="39"/>
  <c r="J10250" i="39"/>
  <c r="J10249" i="39"/>
  <c r="J10248" i="39"/>
  <c r="J10247" i="39"/>
  <c r="J10246" i="39"/>
  <c r="J10245" i="39"/>
  <c r="J10244" i="39"/>
  <c r="J10243" i="39"/>
  <c r="J10242" i="39"/>
  <c r="J10241" i="39"/>
  <c r="J10240" i="39"/>
  <c r="J10239" i="39"/>
  <c r="J10238" i="39"/>
  <c r="J10237" i="39"/>
  <c r="J10236" i="39"/>
  <c r="J10235" i="39"/>
  <c r="J10234" i="39"/>
  <c r="J10233" i="39"/>
  <c r="J10232" i="39"/>
  <c r="J10231" i="39"/>
  <c r="J10230" i="39"/>
  <c r="J10229" i="39"/>
  <c r="J10228" i="39"/>
  <c r="J10227" i="39"/>
  <c r="J10226" i="39"/>
  <c r="J10225" i="39"/>
  <c r="J10224" i="39"/>
  <c r="J10223" i="39"/>
  <c r="J10222" i="39"/>
  <c r="J10221" i="39"/>
  <c r="J10220" i="39"/>
  <c r="J10219" i="39"/>
  <c r="J10218" i="39"/>
  <c r="J10217" i="39"/>
  <c r="J10216" i="39"/>
  <c r="J10215" i="39"/>
  <c r="J10214" i="39"/>
  <c r="J10213" i="39"/>
  <c r="J10212" i="39"/>
  <c r="J10211" i="39"/>
  <c r="J10210" i="39"/>
  <c r="J10209" i="39"/>
  <c r="J10208" i="39"/>
  <c r="J10207" i="39"/>
  <c r="J10206" i="39"/>
  <c r="J10205" i="39"/>
  <c r="J10204" i="39"/>
  <c r="J10203" i="39"/>
  <c r="J10202" i="39"/>
  <c r="J10201" i="39"/>
  <c r="J10200" i="39"/>
  <c r="J10199" i="39"/>
  <c r="J10198" i="39"/>
  <c r="J10197" i="39"/>
  <c r="J10196" i="39"/>
  <c r="J10195" i="39"/>
  <c r="J10194" i="39"/>
  <c r="J10193" i="39"/>
  <c r="J10192" i="39"/>
  <c r="J10191" i="39"/>
  <c r="J10190" i="39"/>
  <c r="J10189" i="39"/>
  <c r="J10188" i="39"/>
  <c r="J10187" i="39"/>
  <c r="J10186" i="39"/>
  <c r="J10185" i="39"/>
  <c r="J10184" i="39"/>
  <c r="J10183" i="39"/>
  <c r="J10182" i="39"/>
  <c r="J10181" i="39"/>
  <c r="J10180" i="39"/>
  <c r="J10179" i="39"/>
  <c r="J10178" i="39"/>
  <c r="J10177" i="39"/>
  <c r="J10176" i="39"/>
  <c r="J10175" i="39"/>
  <c r="J10174" i="39"/>
  <c r="J10173" i="39"/>
  <c r="J10172" i="39"/>
  <c r="J10171" i="39"/>
  <c r="J10170" i="39"/>
  <c r="J10169" i="39"/>
  <c r="J10168" i="39"/>
  <c r="J10167" i="39"/>
  <c r="J10166" i="39"/>
  <c r="J10165" i="39"/>
  <c r="J10164" i="39"/>
  <c r="B10164" i="39"/>
  <c r="J10163" i="39"/>
  <c r="J10162" i="39"/>
  <c r="J10161" i="39"/>
  <c r="J10160" i="39"/>
  <c r="J10159" i="39"/>
  <c r="J10158" i="39"/>
  <c r="J10157" i="39"/>
  <c r="J10156" i="39"/>
  <c r="J10155" i="39"/>
  <c r="J10154" i="39"/>
  <c r="J10153" i="39"/>
  <c r="J10152" i="39"/>
  <c r="J10151" i="39"/>
  <c r="J10150" i="39"/>
  <c r="J10149" i="39"/>
  <c r="J10148" i="39"/>
  <c r="J10147" i="39"/>
  <c r="J10146" i="39"/>
  <c r="J10145" i="39"/>
  <c r="J10144" i="39"/>
  <c r="J10143" i="39"/>
  <c r="J10142" i="39"/>
  <c r="J10141" i="39"/>
  <c r="J10140" i="39"/>
  <c r="J10139" i="39"/>
  <c r="J10138" i="39"/>
  <c r="J10137" i="39"/>
  <c r="J10136" i="39"/>
  <c r="J10135" i="39"/>
  <c r="J10134" i="39"/>
  <c r="J10133" i="39"/>
  <c r="J10132" i="39"/>
  <c r="J10131" i="39"/>
  <c r="J10130" i="39"/>
  <c r="J10129" i="39"/>
  <c r="J10128" i="39"/>
  <c r="J10127" i="39"/>
  <c r="J10126" i="39"/>
  <c r="J10125" i="39"/>
  <c r="J10124" i="39"/>
  <c r="J10123" i="39"/>
  <c r="J10122" i="39"/>
  <c r="J10121" i="39"/>
  <c r="J10120" i="39"/>
  <c r="J10119" i="39"/>
  <c r="J10118" i="39"/>
  <c r="J10117" i="39"/>
  <c r="J10116" i="39"/>
  <c r="J10115" i="39"/>
  <c r="J10114" i="39"/>
  <c r="J10113" i="39"/>
  <c r="J10112" i="39"/>
  <c r="J10111" i="39"/>
  <c r="J10110" i="39"/>
  <c r="J10109" i="39"/>
  <c r="J10108" i="39"/>
  <c r="J10107" i="39"/>
  <c r="J10106" i="39"/>
  <c r="J10105" i="39"/>
  <c r="J10104" i="39"/>
  <c r="J10103" i="39"/>
  <c r="J10102" i="39"/>
  <c r="J10101" i="39"/>
  <c r="J10100" i="39"/>
  <c r="J10099" i="39"/>
  <c r="J10098" i="39"/>
  <c r="J10097" i="39"/>
  <c r="J10096" i="39"/>
  <c r="J10095" i="39"/>
  <c r="J10094" i="39"/>
  <c r="J10093" i="39"/>
  <c r="J10092" i="39"/>
  <c r="J10091" i="39"/>
  <c r="J10090" i="39"/>
  <c r="J10089" i="39"/>
  <c r="J10088" i="39"/>
  <c r="J10087" i="39"/>
  <c r="J10086" i="39"/>
  <c r="J10085" i="39"/>
  <c r="J10084" i="39"/>
  <c r="J10083" i="39"/>
  <c r="J10082" i="39"/>
  <c r="J10081" i="39"/>
  <c r="J10080" i="39"/>
  <c r="J10079" i="39"/>
  <c r="J10078" i="39"/>
  <c r="J10077" i="39"/>
  <c r="J10076" i="39"/>
  <c r="J10075" i="39"/>
  <c r="J10074" i="39"/>
  <c r="J10073" i="39"/>
  <c r="J10072" i="39"/>
  <c r="J10071" i="39"/>
  <c r="J10070" i="39"/>
  <c r="J10069" i="39"/>
  <c r="J10068" i="39"/>
  <c r="J10067" i="39"/>
  <c r="J10066" i="39"/>
  <c r="J10065" i="39"/>
  <c r="J10064" i="39"/>
  <c r="J10063" i="39"/>
  <c r="J10062" i="39"/>
  <c r="J10061" i="39"/>
  <c r="J10060" i="39"/>
  <c r="J10059" i="39"/>
  <c r="J10058" i="39"/>
  <c r="J10057" i="39"/>
  <c r="J10056" i="39"/>
  <c r="J10055" i="39"/>
  <c r="J10054" i="39"/>
  <c r="J10053" i="39"/>
  <c r="J10052" i="39"/>
  <c r="J10051" i="39"/>
  <c r="J10050" i="39"/>
  <c r="J10049" i="39"/>
  <c r="J10048" i="39"/>
  <c r="J10047" i="39"/>
  <c r="J10046" i="39"/>
  <c r="J10045" i="39"/>
  <c r="J10044" i="39"/>
  <c r="J10043" i="39"/>
  <c r="J10042" i="39"/>
  <c r="J10041" i="39"/>
  <c r="J10040" i="39"/>
  <c r="J10039" i="39"/>
  <c r="J10038" i="39"/>
  <c r="J10037" i="39"/>
  <c r="J10036" i="39"/>
  <c r="J10035" i="39"/>
  <c r="J10034" i="39"/>
  <c r="J10033" i="39"/>
  <c r="J10032" i="39"/>
  <c r="J10031" i="39"/>
  <c r="J10030" i="39"/>
  <c r="J10029" i="39"/>
  <c r="J10028" i="39"/>
  <c r="J10027" i="39"/>
  <c r="J10026" i="39"/>
  <c r="J10025" i="39"/>
  <c r="J10024" i="39"/>
  <c r="J10023" i="39"/>
  <c r="J10022" i="39"/>
  <c r="J10021" i="39"/>
  <c r="J10020" i="39"/>
  <c r="J10019" i="39"/>
  <c r="J10018" i="39"/>
  <c r="J10017" i="39"/>
  <c r="J10016" i="39"/>
  <c r="J10015" i="39"/>
  <c r="J10014" i="39"/>
  <c r="J10013" i="39"/>
  <c r="J10012" i="39"/>
  <c r="J10011" i="39"/>
  <c r="J10010" i="39"/>
  <c r="J10009" i="39"/>
  <c r="J10008" i="39"/>
  <c r="J10007" i="39"/>
  <c r="J10006" i="39"/>
  <c r="J10005" i="39"/>
  <c r="J10004" i="39"/>
  <c r="J10003" i="39"/>
  <c r="J10002" i="39"/>
  <c r="J10001" i="39"/>
  <c r="J10000" i="39"/>
  <c r="J9999" i="39"/>
  <c r="J9998" i="39"/>
  <c r="J9997" i="39"/>
  <c r="J9996" i="39"/>
  <c r="J9995" i="39"/>
  <c r="J9994" i="39"/>
  <c r="J9993" i="39"/>
  <c r="J9992" i="39"/>
  <c r="J9991" i="39"/>
  <c r="J9990" i="39"/>
  <c r="J9989" i="39"/>
  <c r="J9988" i="39"/>
  <c r="J9987" i="39"/>
  <c r="J9986" i="39"/>
  <c r="J9985" i="39"/>
  <c r="J9984" i="39"/>
  <c r="J9983" i="39"/>
  <c r="J9982" i="39"/>
  <c r="J9981" i="39"/>
  <c r="J9980" i="39"/>
  <c r="J9979" i="39"/>
  <c r="J9978" i="39"/>
  <c r="J9977" i="39"/>
  <c r="J9976" i="39"/>
  <c r="J9975" i="39"/>
  <c r="J9974" i="39"/>
  <c r="J9973" i="39"/>
  <c r="J9972" i="39"/>
  <c r="J9971" i="39"/>
  <c r="J9970" i="39"/>
  <c r="J9969" i="39"/>
  <c r="J9968" i="39"/>
  <c r="J9967" i="39"/>
  <c r="J9966" i="39"/>
  <c r="J9965" i="39"/>
  <c r="J9964" i="39"/>
  <c r="J9963" i="39"/>
  <c r="J9962" i="39"/>
  <c r="J9961" i="39"/>
  <c r="J9960" i="39"/>
  <c r="J9959" i="39"/>
  <c r="J9958" i="39"/>
  <c r="J9957" i="39"/>
  <c r="J9956" i="39"/>
  <c r="J9955" i="39"/>
  <c r="J9954" i="39"/>
  <c r="J9953" i="39"/>
  <c r="J9952" i="39"/>
  <c r="J9951" i="39"/>
  <c r="J9950" i="39"/>
  <c r="J9949" i="39"/>
  <c r="J9948" i="39"/>
  <c r="J9947" i="39"/>
  <c r="J9946" i="39"/>
  <c r="J9945" i="39"/>
  <c r="J9944" i="39"/>
  <c r="J9943" i="39"/>
  <c r="J9942" i="39"/>
  <c r="J9941" i="39"/>
  <c r="J9940" i="39"/>
  <c r="J9939" i="39"/>
  <c r="J9938" i="39"/>
  <c r="J9937" i="39"/>
  <c r="J9936" i="39"/>
  <c r="J9935" i="39"/>
  <c r="J9934" i="39"/>
  <c r="J9933" i="39"/>
  <c r="J9932" i="39"/>
  <c r="J9931" i="39"/>
  <c r="J9930" i="39"/>
  <c r="J9929" i="39"/>
  <c r="J9928" i="39"/>
  <c r="J9927" i="39"/>
  <c r="B9927" i="39"/>
  <c r="J9926" i="39"/>
  <c r="J9925" i="39"/>
  <c r="J9924" i="39"/>
  <c r="J9923" i="39"/>
  <c r="J9922" i="39"/>
  <c r="J9921" i="39"/>
  <c r="J9920" i="39"/>
  <c r="J9919" i="39"/>
  <c r="J9918" i="39"/>
  <c r="J9917" i="39"/>
  <c r="J9916" i="39"/>
  <c r="J9915" i="39"/>
  <c r="J9914" i="39"/>
  <c r="J9913" i="39"/>
  <c r="J9912" i="39"/>
  <c r="J9911" i="39"/>
  <c r="J9910" i="39"/>
  <c r="J9909" i="39"/>
  <c r="J9908" i="39"/>
  <c r="J9907" i="39"/>
  <c r="J9906" i="39"/>
  <c r="J9905" i="39"/>
  <c r="J9904" i="39"/>
  <c r="J9903" i="39"/>
  <c r="J9902" i="39"/>
  <c r="J9901" i="39"/>
  <c r="J9900" i="39"/>
  <c r="J9899" i="39"/>
  <c r="J9898" i="39"/>
  <c r="J9897" i="39"/>
  <c r="J9896" i="39"/>
  <c r="J9895" i="39"/>
  <c r="J9894" i="39"/>
  <c r="J9893" i="39"/>
  <c r="J9892" i="39"/>
  <c r="J9891" i="39"/>
  <c r="J9890" i="39"/>
  <c r="J9889" i="39"/>
  <c r="J9888" i="39"/>
  <c r="J9887" i="39"/>
  <c r="J9886" i="39"/>
  <c r="J9885" i="39"/>
  <c r="J9884" i="39"/>
  <c r="J9883" i="39"/>
  <c r="J9882" i="39"/>
  <c r="J9881" i="39"/>
  <c r="J9880" i="39"/>
  <c r="J9879" i="39"/>
  <c r="J9878" i="39"/>
  <c r="J9877" i="39"/>
  <c r="J9876" i="39"/>
  <c r="J9875" i="39"/>
  <c r="J9874" i="39"/>
  <c r="J9873" i="39"/>
  <c r="J9872" i="39"/>
  <c r="J9871" i="39"/>
  <c r="J9870" i="39"/>
  <c r="J9869" i="39"/>
  <c r="J9868" i="39"/>
  <c r="J9867" i="39"/>
  <c r="J9866" i="39"/>
  <c r="J9865" i="39"/>
  <c r="J9864" i="39"/>
  <c r="J9863" i="39"/>
  <c r="J9862" i="39"/>
  <c r="J9861" i="39"/>
  <c r="J9860" i="39"/>
  <c r="J9859" i="39"/>
  <c r="J9858" i="39"/>
  <c r="J9857" i="39"/>
  <c r="J9856" i="39"/>
  <c r="J9855" i="39"/>
  <c r="J9854" i="39"/>
  <c r="J9853" i="39"/>
  <c r="J9852" i="39"/>
  <c r="J9851" i="39"/>
  <c r="J9850" i="39"/>
  <c r="J9849" i="39"/>
  <c r="J9848" i="39"/>
  <c r="J9847" i="39"/>
  <c r="J9846" i="39"/>
  <c r="J9845" i="39"/>
  <c r="J9844" i="39"/>
  <c r="J9843" i="39"/>
  <c r="J9842" i="39"/>
  <c r="J9841" i="39"/>
  <c r="J9840" i="39"/>
  <c r="J9839" i="39"/>
  <c r="J9838" i="39"/>
  <c r="J9837" i="39"/>
  <c r="J9836" i="39"/>
  <c r="J9835" i="39"/>
  <c r="J9834" i="39"/>
  <c r="J9833" i="39"/>
  <c r="J9832" i="39"/>
  <c r="J9831" i="39"/>
  <c r="J9830" i="39"/>
  <c r="J9829" i="39"/>
  <c r="J9828" i="39"/>
  <c r="J9827" i="39"/>
  <c r="J9826" i="39"/>
  <c r="J9825" i="39"/>
  <c r="J9824" i="39"/>
  <c r="J9823" i="39"/>
  <c r="J9822" i="39"/>
  <c r="J9821" i="39"/>
  <c r="J9820" i="39"/>
  <c r="J9819" i="39"/>
  <c r="J9818" i="39"/>
  <c r="J9817" i="39"/>
  <c r="J9816" i="39"/>
  <c r="J9815" i="39"/>
  <c r="J9814" i="39"/>
  <c r="J9813" i="39"/>
  <c r="J9812" i="39"/>
  <c r="J9811" i="39"/>
  <c r="J9810" i="39"/>
  <c r="J9809" i="39"/>
  <c r="J9808" i="39"/>
  <c r="J9807" i="39"/>
  <c r="J9806" i="39"/>
  <c r="J9805" i="39"/>
  <c r="J9804" i="39"/>
  <c r="J9803" i="39"/>
  <c r="J9802" i="39"/>
  <c r="J9801" i="39"/>
  <c r="J9800" i="39"/>
  <c r="J9799" i="39"/>
  <c r="J9798" i="39"/>
  <c r="J9797" i="39"/>
  <c r="J9796" i="39"/>
  <c r="J9795" i="39"/>
  <c r="J9794" i="39"/>
  <c r="J9793" i="39"/>
  <c r="J9792" i="39"/>
  <c r="J9791" i="39"/>
  <c r="J9790" i="39"/>
  <c r="J9789" i="39"/>
  <c r="J9788" i="39"/>
  <c r="J9787" i="39"/>
  <c r="J9786" i="39"/>
  <c r="J9785" i="39"/>
  <c r="J9784" i="39"/>
  <c r="J9783" i="39"/>
  <c r="J9782" i="39"/>
  <c r="J9781" i="39"/>
  <c r="J9780" i="39"/>
  <c r="J9779" i="39"/>
  <c r="J9778" i="39"/>
  <c r="J9777" i="39"/>
  <c r="J9776" i="39"/>
  <c r="J9775" i="39"/>
  <c r="J9774" i="39"/>
  <c r="J9773" i="39"/>
  <c r="J9772" i="39"/>
  <c r="J9771" i="39"/>
  <c r="J9770" i="39"/>
  <c r="J9769" i="39"/>
  <c r="J9768" i="39"/>
  <c r="J9767" i="39"/>
  <c r="J9766" i="39"/>
  <c r="J9765" i="39"/>
  <c r="J9764" i="39"/>
  <c r="J9763" i="39"/>
  <c r="J9762" i="39"/>
  <c r="J9761" i="39"/>
  <c r="J9760" i="39"/>
  <c r="J9759" i="39"/>
  <c r="J9758" i="39"/>
  <c r="J9757" i="39"/>
  <c r="J9756" i="39"/>
  <c r="J9755" i="39"/>
  <c r="J9754" i="39"/>
  <c r="J9753" i="39"/>
  <c r="J9752" i="39"/>
  <c r="J9751" i="39"/>
  <c r="J9750" i="39"/>
  <c r="J9749" i="39"/>
  <c r="J9748" i="39"/>
  <c r="J9747" i="39"/>
  <c r="J9746" i="39"/>
  <c r="J9745" i="39"/>
  <c r="J9744" i="39"/>
  <c r="J9743" i="39"/>
  <c r="J9742" i="39"/>
  <c r="J9741" i="39"/>
  <c r="J9740" i="39"/>
  <c r="J9739" i="39"/>
  <c r="J9738" i="39"/>
  <c r="J9737" i="39"/>
  <c r="J9736" i="39"/>
  <c r="J9735" i="39"/>
  <c r="J9734" i="39"/>
  <c r="J9733" i="39"/>
  <c r="J9732" i="39"/>
  <c r="J9731" i="39"/>
  <c r="J9730" i="39"/>
  <c r="J9729" i="39"/>
  <c r="J9728" i="39"/>
  <c r="J9727" i="39"/>
  <c r="J9726" i="39"/>
  <c r="J9725" i="39"/>
  <c r="J9724" i="39"/>
  <c r="J9723" i="39"/>
  <c r="J9722" i="39"/>
  <c r="J9721" i="39"/>
  <c r="J9720" i="39"/>
  <c r="J9719" i="39"/>
  <c r="J9718" i="39"/>
  <c r="J9717" i="39"/>
  <c r="J9716" i="39"/>
  <c r="J9715" i="39"/>
  <c r="J9714" i="39"/>
  <c r="J9713" i="39"/>
  <c r="J9712" i="39"/>
  <c r="J9711" i="39"/>
  <c r="J9710" i="39"/>
  <c r="J9709" i="39"/>
  <c r="J9708" i="39"/>
  <c r="J9707" i="39"/>
  <c r="J9706" i="39"/>
  <c r="J9705" i="39"/>
  <c r="J9704" i="39"/>
  <c r="J9703" i="39"/>
  <c r="J9702" i="39"/>
  <c r="J9701" i="39"/>
  <c r="J9700" i="39"/>
  <c r="J9699" i="39"/>
  <c r="J9698" i="39"/>
  <c r="J9697" i="39"/>
  <c r="J9696" i="39"/>
  <c r="J9695" i="39"/>
  <c r="J9694" i="39"/>
  <c r="J9693" i="39"/>
  <c r="J9692" i="39"/>
  <c r="J9691" i="39"/>
  <c r="J9690" i="39"/>
  <c r="J9689" i="39"/>
  <c r="J9688" i="39"/>
  <c r="J9687" i="39"/>
  <c r="J9686" i="39"/>
  <c r="J9685" i="39"/>
  <c r="J9684" i="39"/>
  <c r="J9683" i="39"/>
  <c r="J9682" i="39"/>
  <c r="J9681" i="39"/>
  <c r="J9680" i="39"/>
  <c r="J9679" i="39"/>
  <c r="J9678" i="39"/>
  <c r="J9677" i="39"/>
  <c r="J9676" i="39"/>
  <c r="J9675" i="39"/>
  <c r="J9674" i="39"/>
  <c r="J9673" i="39"/>
  <c r="J9672" i="39"/>
  <c r="J9671" i="39"/>
  <c r="J9670" i="39"/>
  <c r="J9669" i="39"/>
  <c r="J9668" i="39"/>
  <c r="J9667" i="39"/>
  <c r="J9666" i="39"/>
  <c r="J9665" i="39"/>
  <c r="J9664" i="39"/>
  <c r="J9663" i="39"/>
  <c r="J9662" i="39"/>
  <c r="J9661" i="39"/>
  <c r="J9660" i="39"/>
  <c r="J9659" i="39"/>
  <c r="J9658" i="39"/>
  <c r="J9657" i="39"/>
  <c r="J9656" i="39"/>
  <c r="J9655" i="39"/>
  <c r="J9654" i="39"/>
  <c r="J9653" i="39"/>
  <c r="J9652" i="39"/>
  <c r="J9651" i="39"/>
  <c r="J9650" i="39"/>
  <c r="J9649" i="39"/>
  <c r="J9648" i="39"/>
  <c r="J9647" i="39"/>
  <c r="J9646" i="39"/>
  <c r="J9645" i="39"/>
  <c r="J9644" i="39"/>
  <c r="J9643" i="39"/>
  <c r="J9642" i="39"/>
  <c r="J9641" i="39"/>
  <c r="J9640" i="39"/>
  <c r="J9639" i="39"/>
  <c r="J9638" i="39"/>
  <c r="J9637" i="39"/>
  <c r="J9636" i="39"/>
  <c r="J9635" i="39"/>
  <c r="J9634" i="39"/>
  <c r="J9633" i="39"/>
  <c r="J9632" i="39"/>
  <c r="J9631" i="39"/>
  <c r="J9630" i="39"/>
  <c r="J9629" i="39"/>
  <c r="J9628" i="39"/>
  <c r="J9627" i="39"/>
  <c r="J9626" i="39"/>
  <c r="J9625" i="39"/>
  <c r="J9624" i="39"/>
  <c r="J9623" i="39"/>
  <c r="J9622" i="39"/>
  <c r="J9621" i="39"/>
  <c r="J9620" i="39"/>
  <c r="J9619" i="39"/>
  <c r="J9618" i="39"/>
  <c r="J9617" i="39"/>
  <c r="J9616" i="39"/>
  <c r="J9615" i="39"/>
  <c r="J9614" i="39"/>
  <c r="J9613" i="39"/>
  <c r="J9612" i="39"/>
  <c r="J9611" i="39"/>
  <c r="J9610" i="39"/>
  <c r="J9609" i="39"/>
  <c r="J9608" i="39"/>
  <c r="J9607" i="39"/>
  <c r="J9606" i="39"/>
  <c r="J9605" i="39"/>
  <c r="J9604" i="39"/>
  <c r="J9603" i="39"/>
  <c r="J9602" i="39"/>
  <c r="J9601" i="39"/>
  <c r="J9600" i="39"/>
  <c r="J9599" i="39"/>
  <c r="J9598" i="39"/>
  <c r="J9597" i="39"/>
  <c r="J9596" i="39"/>
  <c r="J9595" i="39"/>
  <c r="J9594" i="39"/>
  <c r="J9593" i="39"/>
  <c r="J9592" i="39"/>
  <c r="J9591" i="39"/>
  <c r="J9590" i="39"/>
  <c r="J9589" i="39"/>
  <c r="J9588" i="39"/>
  <c r="J9587" i="39"/>
  <c r="J9586" i="39"/>
  <c r="J9585" i="39"/>
  <c r="J9584" i="39"/>
  <c r="J9583" i="39"/>
  <c r="J9582" i="39"/>
  <c r="J9581" i="39"/>
  <c r="J9580" i="39"/>
  <c r="J9579" i="39"/>
  <c r="J9578" i="39"/>
  <c r="J9577" i="39"/>
  <c r="J9576" i="39"/>
  <c r="J9575" i="39"/>
  <c r="J9574" i="39"/>
  <c r="J9573" i="39"/>
  <c r="J9572" i="39"/>
  <c r="J9571" i="39"/>
  <c r="J9570" i="39"/>
  <c r="J9569" i="39"/>
  <c r="J9568" i="39"/>
  <c r="J9567" i="39"/>
  <c r="J9566" i="39"/>
  <c r="J9565" i="39"/>
  <c r="J9564" i="39"/>
  <c r="J9563" i="39"/>
  <c r="J9562" i="39"/>
  <c r="J9561" i="39"/>
  <c r="J9560" i="39"/>
  <c r="J9559" i="39"/>
  <c r="J9558" i="39"/>
  <c r="J9557" i="39"/>
  <c r="J9556" i="39"/>
  <c r="J9555" i="39"/>
  <c r="J9554" i="39"/>
  <c r="J9553" i="39"/>
  <c r="J9552" i="39"/>
  <c r="J9551" i="39"/>
  <c r="J9550" i="39"/>
  <c r="J9549" i="39"/>
  <c r="J9548" i="39"/>
  <c r="J9547" i="39"/>
  <c r="J9546" i="39"/>
  <c r="J9545" i="39"/>
  <c r="J9544" i="39"/>
  <c r="J9543" i="39"/>
  <c r="J9542" i="39"/>
  <c r="J9541" i="39"/>
  <c r="J9540" i="39"/>
  <c r="J9539" i="39"/>
  <c r="J9538" i="39"/>
  <c r="J9537" i="39"/>
  <c r="J9536" i="39"/>
  <c r="J9535" i="39"/>
  <c r="J9534" i="39"/>
  <c r="J9533" i="39"/>
  <c r="J9532" i="39"/>
  <c r="J9531" i="39"/>
  <c r="J9530" i="39"/>
  <c r="J9529" i="39"/>
  <c r="J9528" i="39"/>
  <c r="J9527" i="39"/>
  <c r="J9526" i="39"/>
  <c r="J9525" i="39"/>
  <c r="J9524" i="39"/>
  <c r="J9523" i="39"/>
  <c r="J9522" i="39"/>
  <c r="J9521" i="39"/>
  <c r="J9520" i="39"/>
  <c r="J9519" i="39"/>
  <c r="J9518" i="39"/>
  <c r="J9517" i="39"/>
  <c r="J9516" i="39"/>
  <c r="J9515" i="39"/>
  <c r="J9514" i="39"/>
  <c r="J9513" i="39"/>
  <c r="J9512" i="39"/>
  <c r="J9511" i="39"/>
  <c r="J9510" i="39"/>
  <c r="J9509" i="39"/>
  <c r="J9508" i="39"/>
  <c r="J9507" i="39"/>
  <c r="J9506" i="39"/>
  <c r="J9505" i="39"/>
  <c r="J9504" i="39"/>
  <c r="J9503" i="39"/>
  <c r="J9502" i="39"/>
  <c r="J9501" i="39"/>
  <c r="J9500" i="39"/>
  <c r="J9499" i="39"/>
  <c r="J9498" i="39"/>
  <c r="J9497" i="39"/>
  <c r="J9496" i="39"/>
  <c r="J9495" i="39"/>
  <c r="J9494" i="39"/>
  <c r="J9493" i="39"/>
  <c r="J9492" i="39"/>
  <c r="J9491" i="39"/>
  <c r="J9490" i="39"/>
  <c r="J9489" i="39"/>
  <c r="J9488" i="39"/>
  <c r="J9487" i="39"/>
  <c r="J9486" i="39"/>
  <c r="J9485" i="39"/>
  <c r="J9484" i="39"/>
  <c r="J9483" i="39"/>
  <c r="J9482" i="39"/>
  <c r="J9481" i="39"/>
  <c r="J9480" i="39"/>
  <c r="J9479" i="39"/>
  <c r="J9478" i="39"/>
  <c r="J9477" i="39"/>
  <c r="J9476" i="39"/>
  <c r="J9475" i="39"/>
  <c r="J9474" i="39"/>
  <c r="J9473" i="39"/>
  <c r="J9472" i="39"/>
  <c r="J9471" i="39"/>
  <c r="J9470" i="39"/>
  <c r="J9469" i="39"/>
  <c r="J9468" i="39"/>
  <c r="J9467" i="39"/>
  <c r="J9466" i="39"/>
  <c r="J9465" i="39"/>
  <c r="J9464" i="39"/>
  <c r="J9463" i="39"/>
  <c r="J9462" i="39"/>
  <c r="J9461" i="39"/>
  <c r="J9460" i="39"/>
  <c r="J9459" i="39"/>
  <c r="J9458" i="39"/>
  <c r="J9457" i="39"/>
  <c r="J9456" i="39"/>
  <c r="J9455" i="39"/>
  <c r="J9454" i="39"/>
  <c r="J9453" i="39"/>
  <c r="J9452" i="39"/>
  <c r="J9451" i="39"/>
  <c r="J9450" i="39"/>
  <c r="J9449" i="39"/>
  <c r="J9448" i="39"/>
  <c r="J9447" i="39"/>
  <c r="J9446" i="39"/>
  <c r="J9445" i="39"/>
  <c r="J9444" i="39"/>
  <c r="J9443" i="39"/>
  <c r="J9442" i="39"/>
  <c r="J9441" i="39"/>
  <c r="J9440" i="39"/>
  <c r="J9439" i="39"/>
  <c r="J9438" i="39"/>
  <c r="J9437" i="39"/>
  <c r="J9436" i="39"/>
  <c r="J9435" i="39"/>
  <c r="J9434" i="39"/>
  <c r="J9433" i="39"/>
  <c r="J9432" i="39"/>
  <c r="J9431" i="39"/>
  <c r="J9430" i="39"/>
  <c r="J9429" i="39"/>
  <c r="J9428" i="39"/>
  <c r="J9427" i="39"/>
  <c r="J9426" i="39"/>
  <c r="J9425" i="39"/>
  <c r="J9424" i="39"/>
  <c r="J9423" i="39"/>
  <c r="J9422" i="39"/>
  <c r="J9421" i="39"/>
  <c r="J9420" i="39"/>
  <c r="J9419" i="39"/>
  <c r="J9418" i="39"/>
  <c r="J9417" i="39"/>
  <c r="J9416" i="39"/>
  <c r="J9415" i="39"/>
  <c r="J9414" i="39"/>
  <c r="J9413" i="39"/>
  <c r="J9412" i="39"/>
  <c r="J9411" i="39"/>
  <c r="J9410" i="39"/>
  <c r="J9409" i="39"/>
  <c r="J9408" i="39"/>
  <c r="J9407" i="39"/>
  <c r="J9406" i="39"/>
  <c r="J9405" i="39"/>
  <c r="J9404" i="39"/>
  <c r="J9403" i="39"/>
  <c r="J9402" i="39"/>
  <c r="J9401" i="39"/>
  <c r="J9400" i="39"/>
  <c r="J9399" i="39"/>
  <c r="J9398" i="39"/>
  <c r="J9397" i="39"/>
  <c r="J9396" i="39"/>
  <c r="J9395" i="39"/>
  <c r="J9394" i="39"/>
  <c r="J9393" i="39"/>
  <c r="J9392" i="39"/>
  <c r="B9392" i="39"/>
  <c r="J9391" i="39"/>
  <c r="J9390" i="39"/>
  <c r="J9389" i="39"/>
  <c r="J9388" i="39"/>
  <c r="J9387" i="39"/>
  <c r="J9386" i="39"/>
  <c r="J9385" i="39"/>
  <c r="J9384" i="39"/>
  <c r="J9383" i="39"/>
  <c r="J9382" i="39"/>
  <c r="J9381" i="39"/>
  <c r="J9380" i="39"/>
  <c r="J9379" i="39"/>
  <c r="J9378" i="39"/>
  <c r="J9377" i="39"/>
  <c r="J9376" i="39"/>
  <c r="J9375" i="39"/>
  <c r="J9374" i="39"/>
  <c r="J9373" i="39"/>
  <c r="J9372" i="39"/>
  <c r="J9371" i="39"/>
  <c r="J9370" i="39"/>
  <c r="J9369" i="39"/>
  <c r="J9368" i="39"/>
  <c r="J9367" i="39"/>
  <c r="J9366" i="39"/>
  <c r="J9365" i="39"/>
  <c r="J9364" i="39"/>
  <c r="J9363" i="39"/>
  <c r="J9362" i="39"/>
  <c r="J9361" i="39"/>
  <c r="J9360" i="39"/>
  <c r="J9359" i="39"/>
  <c r="J9358" i="39"/>
  <c r="J9357" i="39"/>
  <c r="J9356" i="39"/>
  <c r="J9355" i="39"/>
  <c r="J9354" i="39"/>
  <c r="J9353" i="39"/>
  <c r="J9352" i="39"/>
  <c r="J9351" i="39"/>
  <c r="J9350" i="39"/>
  <c r="J9349" i="39"/>
  <c r="J9348" i="39"/>
  <c r="J9347" i="39"/>
  <c r="J9346" i="39"/>
  <c r="J9345" i="39"/>
  <c r="J9344" i="39"/>
  <c r="J9343" i="39"/>
  <c r="J9342" i="39"/>
  <c r="J9341" i="39"/>
  <c r="J9340" i="39"/>
  <c r="J9339" i="39"/>
  <c r="J9338" i="39"/>
  <c r="J9337" i="39"/>
  <c r="J9336" i="39"/>
  <c r="J9335" i="39"/>
  <c r="J9334" i="39"/>
  <c r="J9333" i="39"/>
  <c r="J9332" i="39"/>
  <c r="J9331" i="39"/>
  <c r="J9330" i="39"/>
  <c r="J9329" i="39"/>
  <c r="J9328" i="39"/>
  <c r="J9327" i="39"/>
  <c r="J9326" i="39"/>
  <c r="J9325" i="39"/>
  <c r="J9324" i="39"/>
  <c r="J9323" i="39"/>
  <c r="J9322" i="39"/>
  <c r="B9322" i="39"/>
  <c r="J9321" i="39"/>
  <c r="J9320" i="39"/>
  <c r="J9319" i="39"/>
  <c r="J9318" i="39"/>
  <c r="J9317" i="39"/>
  <c r="J9316" i="39"/>
  <c r="J9315" i="39"/>
  <c r="J9314" i="39"/>
  <c r="J9313" i="39"/>
  <c r="J9312" i="39"/>
  <c r="J9311" i="39"/>
  <c r="B9311" i="39"/>
  <c r="J9310" i="39"/>
  <c r="J9309" i="39"/>
  <c r="J9308" i="39"/>
  <c r="J9307" i="39"/>
  <c r="J9306" i="39"/>
  <c r="J9305" i="39"/>
  <c r="J9304" i="39"/>
  <c r="J9303" i="39"/>
  <c r="J9302" i="39"/>
  <c r="J9301" i="39"/>
  <c r="J9300" i="39"/>
  <c r="J9299" i="39"/>
  <c r="J9298" i="39"/>
  <c r="J9297" i="39"/>
  <c r="J9296" i="39"/>
  <c r="J9295" i="39"/>
  <c r="J9294" i="39"/>
  <c r="J9293" i="39"/>
  <c r="J9292" i="39"/>
  <c r="J9291" i="39"/>
  <c r="J9290" i="39"/>
  <c r="J9289" i="39"/>
  <c r="J9288" i="39"/>
  <c r="J9287" i="39"/>
  <c r="J9286" i="39"/>
  <c r="J9285" i="39"/>
  <c r="J9284" i="39"/>
  <c r="J9283" i="39"/>
  <c r="J9282" i="39"/>
  <c r="J9281" i="39"/>
  <c r="J9280" i="39"/>
  <c r="J9279" i="39"/>
  <c r="J9278" i="39"/>
  <c r="J9277" i="39"/>
  <c r="J9276" i="39"/>
  <c r="J9275" i="39"/>
  <c r="J9274" i="39"/>
  <c r="J9273" i="39"/>
  <c r="J9272" i="39"/>
  <c r="J9271" i="39"/>
  <c r="J9270" i="39"/>
  <c r="B9270" i="39"/>
  <c r="J9269" i="39"/>
  <c r="J9268" i="39"/>
  <c r="J9267" i="39"/>
  <c r="J9266" i="39"/>
  <c r="J9265" i="39"/>
  <c r="J9264" i="39"/>
  <c r="J9263" i="39"/>
  <c r="J9262" i="39"/>
  <c r="J9261" i="39"/>
  <c r="J9260" i="39"/>
  <c r="J9259" i="39"/>
  <c r="J9258" i="39"/>
  <c r="J9257" i="39"/>
  <c r="J9256" i="39"/>
  <c r="J9255" i="39"/>
  <c r="J9254" i="39"/>
  <c r="J9253" i="39"/>
  <c r="J9252" i="39"/>
  <c r="J9251" i="39"/>
  <c r="J9250" i="39"/>
  <c r="J9249" i="39"/>
  <c r="J9248" i="39"/>
  <c r="J9247" i="39"/>
  <c r="J9246" i="39"/>
  <c r="J9245" i="39"/>
  <c r="J9244" i="39"/>
  <c r="J9243" i="39"/>
  <c r="J9242" i="39"/>
  <c r="J9241" i="39"/>
  <c r="J9240" i="39"/>
  <c r="J9239" i="39"/>
  <c r="J9238" i="39"/>
  <c r="J9237" i="39"/>
  <c r="J9236" i="39"/>
  <c r="J9235" i="39"/>
  <c r="J9234" i="39"/>
  <c r="J9233" i="39"/>
  <c r="J9232" i="39"/>
  <c r="J9231" i="39"/>
  <c r="J9230" i="39"/>
  <c r="J9229" i="39"/>
  <c r="J9228" i="39"/>
  <c r="J9227" i="39"/>
  <c r="J9226" i="39"/>
  <c r="J9225" i="39"/>
  <c r="J9224" i="39"/>
  <c r="J9223" i="39"/>
  <c r="J9222" i="39"/>
  <c r="J9221" i="39"/>
  <c r="J9220" i="39"/>
  <c r="J9219" i="39"/>
  <c r="J9218" i="39"/>
  <c r="J9217" i="39"/>
  <c r="J9216" i="39"/>
  <c r="J9215" i="39"/>
  <c r="J9214" i="39"/>
  <c r="J9213" i="39"/>
  <c r="J9212" i="39"/>
  <c r="J9211" i="39"/>
  <c r="J9210" i="39"/>
  <c r="J9209" i="39"/>
  <c r="J9208" i="39"/>
  <c r="J9207" i="39"/>
  <c r="J9206" i="39"/>
  <c r="J9205" i="39"/>
  <c r="J9204" i="39"/>
  <c r="J9203" i="39"/>
  <c r="J9202" i="39"/>
  <c r="J9201" i="39"/>
  <c r="J9200" i="39"/>
  <c r="J9199" i="39"/>
  <c r="J9198" i="39"/>
  <c r="J9197" i="39"/>
  <c r="J9196" i="39"/>
  <c r="J9195" i="39"/>
  <c r="J9194" i="39"/>
  <c r="J9193" i="39"/>
  <c r="J9192" i="39"/>
  <c r="J9191" i="39"/>
  <c r="J9190" i="39"/>
  <c r="J9189" i="39"/>
  <c r="J9188" i="39"/>
  <c r="J9187" i="39"/>
  <c r="J9186" i="39"/>
  <c r="J9185" i="39"/>
  <c r="J9184" i="39"/>
  <c r="J9183" i="39"/>
  <c r="J9182" i="39"/>
  <c r="J9181" i="39"/>
  <c r="J9180" i="39"/>
  <c r="J9179" i="39"/>
  <c r="J9178" i="39"/>
  <c r="J9177" i="39"/>
  <c r="J9176" i="39"/>
  <c r="J9175" i="39"/>
  <c r="J9174" i="39"/>
  <c r="J9173" i="39"/>
  <c r="J9172" i="39"/>
  <c r="J9171" i="39"/>
  <c r="J9170" i="39"/>
  <c r="J9169" i="39"/>
  <c r="J9168" i="39"/>
  <c r="J9167" i="39"/>
  <c r="J9166" i="39"/>
  <c r="J9165" i="39"/>
  <c r="J9164" i="39"/>
  <c r="J9163" i="39"/>
  <c r="J9162" i="39"/>
  <c r="J9161" i="39"/>
  <c r="J9160" i="39"/>
  <c r="J9159" i="39"/>
  <c r="J9158" i="39"/>
  <c r="J9157" i="39"/>
  <c r="J9156" i="39"/>
  <c r="J9155" i="39"/>
  <c r="J9154" i="39"/>
  <c r="J9153" i="39"/>
  <c r="J9152" i="39"/>
  <c r="J9151" i="39"/>
  <c r="J9150" i="39"/>
  <c r="J9149" i="39"/>
  <c r="J9148" i="39"/>
  <c r="J9147" i="39"/>
  <c r="J9146" i="39"/>
  <c r="J9145" i="39"/>
  <c r="J9144" i="39"/>
  <c r="J9143" i="39"/>
  <c r="J9142" i="39"/>
  <c r="J9141" i="39"/>
  <c r="J9140" i="39"/>
  <c r="J9139" i="39"/>
  <c r="J9138" i="39"/>
  <c r="J9137" i="39"/>
  <c r="J9136" i="39"/>
  <c r="J9135" i="39"/>
  <c r="J9134" i="39"/>
  <c r="J9133" i="39"/>
  <c r="J9132" i="39"/>
  <c r="J9131" i="39"/>
  <c r="J9130" i="39"/>
  <c r="J9129" i="39"/>
  <c r="J9128" i="39"/>
  <c r="J9127" i="39"/>
  <c r="J9126" i="39"/>
  <c r="J9125" i="39"/>
  <c r="J9124" i="39"/>
  <c r="J9123" i="39"/>
  <c r="J9122" i="39"/>
  <c r="J9121" i="39"/>
  <c r="J9120" i="39"/>
  <c r="J9119" i="39"/>
  <c r="J9118" i="39"/>
  <c r="J9117" i="39"/>
  <c r="J9116" i="39"/>
  <c r="J9115" i="39"/>
  <c r="J9114" i="39"/>
  <c r="J9113" i="39"/>
  <c r="J9112" i="39"/>
  <c r="J9111" i="39"/>
  <c r="J9110" i="39"/>
  <c r="J9109" i="39"/>
  <c r="J9108" i="39"/>
  <c r="J9107" i="39"/>
  <c r="J9106" i="39"/>
  <c r="J9105" i="39"/>
  <c r="J9104" i="39"/>
  <c r="J9103" i="39"/>
  <c r="J9102" i="39"/>
  <c r="J9101" i="39"/>
  <c r="J9100" i="39"/>
  <c r="J9099" i="39"/>
  <c r="J9098" i="39"/>
  <c r="J9097" i="39"/>
  <c r="J9096" i="39"/>
  <c r="J9095" i="39"/>
  <c r="J9094" i="39"/>
  <c r="J9093" i="39"/>
  <c r="J9092" i="39"/>
  <c r="J9091" i="39"/>
  <c r="J9090" i="39"/>
  <c r="J9089" i="39"/>
  <c r="J9088" i="39"/>
  <c r="J9087" i="39"/>
  <c r="J9086" i="39"/>
  <c r="J9085" i="39"/>
  <c r="J9084" i="39"/>
  <c r="J9083" i="39"/>
  <c r="J9082" i="39"/>
  <c r="J9081" i="39"/>
  <c r="J9080" i="39"/>
  <c r="J9079" i="39"/>
  <c r="J9078" i="39"/>
  <c r="J9077" i="39"/>
  <c r="J9076" i="39"/>
  <c r="J9075" i="39"/>
  <c r="J9074" i="39"/>
  <c r="J9073" i="39"/>
  <c r="J9072" i="39"/>
  <c r="J9071" i="39"/>
  <c r="J9070" i="39"/>
  <c r="J9069" i="39"/>
  <c r="J9068" i="39"/>
  <c r="J9067" i="39"/>
  <c r="J9066" i="39"/>
  <c r="J9065" i="39"/>
  <c r="J9064" i="39"/>
  <c r="J9063" i="39"/>
  <c r="J9062" i="39"/>
  <c r="J9061" i="39"/>
  <c r="J9060" i="39"/>
  <c r="J9059" i="39"/>
  <c r="J9058" i="39"/>
  <c r="J9057" i="39"/>
  <c r="J9056" i="39"/>
  <c r="J9055" i="39"/>
  <c r="J9054" i="39"/>
  <c r="J9053" i="39"/>
  <c r="J9052" i="39"/>
  <c r="J9051" i="39"/>
  <c r="J9050" i="39"/>
  <c r="J9049" i="39"/>
  <c r="J9048" i="39"/>
  <c r="J9047" i="39"/>
  <c r="J9046" i="39"/>
  <c r="J9045" i="39"/>
  <c r="J9044" i="39"/>
  <c r="J9043" i="39"/>
  <c r="J9042" i="39"/>
  <c r="J9041" i="39"/>
  <c r="J9040" i="39"/>
  <c r="J9039" i="39"/>
  <c r="J9038" i="39"/>
  <c r="J9037" i="39"/>
  <c r="J9036" i="39"/>
  <c r="J9035" i="39"/>
  <c r="J9034" i="39"/>
  <c r="J9033" i="39"/>
  <c r="J9032" i="39"/>
  <c r="J9031" i="39"/>
  <c r="J9030" i="39"/>
  <c r="J9029" i="39"/>
  <c r="J9028" i="39"/>
  <c r="J9027" i="39"/>
  <c r="J9026" i="39"/>
  <c r="J9025" i="39"/>
  <c r="J9024" i="39"/>
  <c r="J9023" i="39"/>
  <c r="J9022" i="39"/>
  <c r="J9021" i="39"/>
  <c r="J9020" i="39"/>
  <c r="J9019" i="39"/>
  <c r="J9018" i="39"/>
  <c r="J9017" i="39"/>
  <c r="J9016" i="39"/>
  <c r="J9015" i="39"/>
  <c r="J9014" i="39"/>
  <c r="J9013" i="39"/>
  <c r="J9012" i="39"/>
  <c r="J9011" i="39"/>
  <c r="J9010" i="39"/>
  <c r="J9009" i="39"/>
  <c r="J9008" i="39"/>
  <c r="J9007" i="39"/>
  <c r="J9006" i="39"/>
  <c r="J9005" i="39"/>
  <c r="J9004" i="39"/>
  <c r="J9003" i="39"/>
  <c r="J9002" i="39"/>
  <c r="J9001" i="39"/>
  <c r="J9000" i="39"/>
  <c r="J8999" i="39"/>
  <c r="J8998" i="39"/>
  <c r="J8997" i="39"/>
  <c r="J8996" i="39"/>
  <c r="J8995" i="39"/>
  <c r="J8994" i="39"/>
  <c r="J8993" i="39"/>
  <c r="J8992" i="39"/>
  <c r="J8991" i="39"/>
  <c r="J8990" i="39"/>
  <c r="J8989" i="39"/>
  <c r="J8988" i="39"/>
  <c r="J8987" i="39"/>
  <c r="J8986" i="39"/>
  <c r="J8985" i="39"/>
  <c r="J8984" i="39"/>
  <c r="J8983" i="39"/>
  <c r="J8982" i="39"/>
  <c r="J8981" i="39"/>
  <c r="J8980" i="39"/>
  <c r="J8979" i="39"/>
  <c r="J8978" i="39"/>
  <c r="J8977" i="39"/>
  <c r="J8976" i="39"/>
  <c r="J8975" i="39"/>
  <c r="J8974" i="39"/>
  <c r="J8973" i="39"/>
  <c r="J8972" i="39"/>
  <c r="J8971" i="39"/>
  <c r="J8970" i="39"/>
  <c r="J8969" i="39"/>
  <c r="J8968" i="39"/>
  <c r="J8967" i="39"/>
  <c r="J8966" i="39"/>
  <c r="J8965" i="39"/>
  <c r="J8964" i="39"/>
  <c r="J8963" i="39"/>
  <c r="J8962" i="39"/>
  <c r="J8961" i="39"/>
  <c r="J8960" i="39"/>
  <c r="J8959" i="39"/>
  <c r="J8958" i="39"/>
  <c r="J8957" i="39"/>
  <c r="J8956" i="39"/>
  <c r="J8955" i="39"/>
  <c r="J8954" i="39"/>
  <c r="J8953" i="39"/>
  <c r="J8952" i="39"/>
  <c r="J8951" i="39"/>
  <c r="J8950" i="39"/>
  <c r="J8949" i="39"/>
  <c r="J8948" i="39"/>
  <c r="J8947" i="39"/>
  <c r="J8946" i="39"/>
  <c r="J8945" i="39"/>
  <c r="J8944" i="39"/>
  <c r="J8943" i="39"/>
  <c r="J8942" i="39"/>
  <c r="J8941" i="39"/>
  <c r="J8940" i="39"/>
  <c r="J8939" i="39"/>
  <c r="J8938" i="39"/>
  <c r="J8937" i="39"/>
  <c r="J8936" i="39"/>
  <c r="J8935" i="39"/>
  <c r="J8934" i="39"/>
  <c r="J8933" i="39"/>
  <c r="J8932" i="39"/>
  <c r="J8931" i="39"/>
  <c r="J8930" i="39"/>
  <c r="J8929" i="39"/>
  <c r="J8928" i="39"/>
  <c r="J8927" i="39"/>
  <c r="J8926" i="39"/>
  <c r="J8925" i="39"/>
  <c r="J8924" i="39"/>
  <c r="J8923" i="39"/>
  <c r="J8922" i="39"/>
  <c r="J8921" i="39"/>
  <c r="J8920" i="39"/>
  <c r="J8919" i="39"/>
  <c r="J8918" i="39"/>
  <c r="J8917" i="39"/>
  <c r="J8916" i="39"/>
  <c r="J8915" i="39"/>
  <c r="J8914" i="39"/>
  <c r="J8913" i="39"/>
  <c r="J8912" i="39"/>
  <c r="J8911" i="39"/>
  <c r="J8910" i="39"/>
  <c r="J8909" i="39"/>
  <c r="J8908" i="39"/>
  <c r="J8907" i="39"/>
  <c r="J8906" i="39"/>
  <c r="J8905" i="39"/>
  <c r="J8904" i="39"/>
  <c r="J8903" i="39"/>
  <c r="J8902" i="39"/>
  <c r="J8901" i="39"/>
  <c r="J8900" i="39"/>
  <c r="J8899" i="39"/>
  <c r="J8898" i="39"/>
  <c r="J8897" i="39"/>
  <c r="J8896" i="39"/>
  <c r="J8895" i="39"/>
  <c r="J8894" i="39"/>
  <c r="J8893" i="39"/>
  <c r="J8892" i="39"/>
  <c r="J8891" i="39"/>
  <c r="J8890" i="39"/>
  <c r="J8889" i="39"/>
  <c r="J8888" i="39"/>
  <c r="J8887" i="39"/>
  <c r="J8886" i="39"/>
  <c r="J8885" i="39"/>
  <c r="J8884" i="39"/>
  <c r="J8883" i="39"/>
  <c r="J8882" i="39"/>
  <c r="J8881" i="39"/>
  <c r="J8880" i="39"/>
  <c r="J8879" i="39"/>
  <c r="J8878" i="39"/>
  <c r="J8877" i="39"/>
  <c r="J8876" i="39"/>
  <c r="J8875" i="39"/>
  <c r="J8874" i="39"/>
  <c r="J8873" i="39"/>
  <c r="J8872" i="39"/>
  <c r="J8871" i="39"/>
  <c r="J8870" i="39"/>
  <c r="J8869" i="39"/>
  <c r="J8868" i="39"/>
  <c r="J8867" i="39"/>
  <c r="J8866" i="39"/>
  <c r="J8865" i="39"/>
  <c r="J8864" i="39"/>
  <c r="J8863" i="39"/>
  <c r="J8862" i="39"/>
  <c r="J8861" i="39"/>
  <c r="J8860" i="39"/>
  <c r="J8859" i="39"/>
  <c r="J8858" i="39"/>
  <c r="J8857" i="39"/>
  <c r="J8856" i="39"/>
  <c r="J8855" i="39"/>
  <c r="J8854" i="39"/>
  <c r="J8853" i="39"/>
  <c r="J8852" i="39"/>
  <c r="J8851" i="39"/>
  <c r="J8850" i="39"/>
  <c r="J8849" i="39"/>
  <c r="J8848" i="39"/>
  <c r="J8847" i="39"/>
  <c r="J8846" i="39"/>
  <c r="J8845" i="39"/>
  <c r="J8844" i="39"/>
  <c r="J8843" i="39"/>
  <c r="J8842" i="39"/>
  <c r="J8841" i="39"/>
  <c r="B8841" i="39"/>
  <c r="J8840" i="39"/>
  <c r="J8839" i="39"/>
  <c r="J8838" i="39"/>
  <c r="J8837" i="39"/>
  <c r="J8836" i="39"/>
  <c r="J8835" i="39"/>
  <c r="J8834" i="39"/>
  <c r="J8833" i="39"/>
  <c r="J8832" i="39"/>
  <c r="J8831" i="39"/>
  <c r="J8830" i="39"/>
  <c r="J8829" i="39"/>
  <c r="J8828" i="39"/>
  <c r="J8827" i="39"/>
  <c r="J8826" i="39"/>
  <c r="J8825" i="39"/>
  <c r="J8824" i="39"/>
  <c r="J8823" i="39"/>
  <c r="J8822" i="39"/>
  <c r="J8821" i="39"/>
  <c r="J8820" i="39"/>
  <c r="J8819" i="39"/>
  <c r="J8818" i="39"/>
  <c r="J8817" i="39"/>
  <c r="J8816" i="39"/>
  <c r="J8815" i="39"/>
  <c r="J8814" i="39"/>
  <c r="J8813" i="39"/>
  <c r="J8812" i="39"/>
  <c r="J8811" i="39"/>
  <c r="J8810" i="39"/>
  <c r="J8809" i="39"/>
  <c r="J8808" i="39"/>
  <c r="J8807" i="39"/>
  <c r="J8806" i="39"/>
  <c r="J8805" i="39"/>
  <c r="J8804" i="39"/>
  <c r="J8803" i="39"/>
  <c r="J8802" i="39"/>
  <c r="J8801" i="39"/>
  <c r="J8800" i="39"/>
  <c r="J8799" i="39"/>
  <c r="J8798" i="39"/>
  <c r="J8797" i="39"/>
  <c r="J8796" i="39"/>
  <c r="J8795" i="39"/>
  <c r="J8794" i="39"/>
  <c r="J8793" i="39"/>
  <c r="J8792" i="39"/>
  <c r="J8791" i="39"/>
  <c r="J8790" i="39"/>
  <c r="J8789" i="39"/>
  <c r="J8788" i="39"/>
  <c r="J8787" i="39"/>
  <c r="J8786" i="39"/>
  <c r="J8785" i="39"/>
  <c r="J8784" i="39"/>
  <c r="J8783" i="39"/>
  <c r="J8782" i="39"/>
  <c r="J8781" i="39"/>
  <c r="J8780" i="39"/>
  <c r="J8779" i="39"/>
  <c r="J8778" i="39"/>
  <c r="J8777" i="39"/>
  <c r="J8776" i="39"/>
  <c r="J8775" i="39"/>
  <c r="J8774" i="39"/>
  <c r="J8773" i="39"/>
  <c r="J8772" i="39"/>
  <c r="J8771" i="39"/>
  <c r="J8770" i="39"/>
  <c r="J8769" i="39"/>
  <c r="J8768" i="39"/>
  <c r="J8767" i="39"/>
  <c r="J8766" i="39"/>
  <c r="J8765" i="39"/>
  <c r="J8764" i="39"/>
  <c r="J8763" i="39"/>
  <c r="J8762" i="39"/>
  <c r="J8761" i="39"/>
  <c r="J8760" i="39"/>
  <c r="J8759" i="39"/>
  <c r="J8758" i="39"/>
  <c r="J8757" i="39"/>
  <c r="J8756" i="39"/>
  <c r="J8755" i="39"/>
  <c r="J8754" i="39"/>
  <c r="J8753" i="39"/>
  <c r="J8752" i="39"/>
  <c r="J8751" i="39"/>
  <c r="J8750" i="39"/>
  <c r="J8749" i="39"/>
  <c r="J8748" i="39"/>
  <c r="J8747" i="39"/>
  <c r="J8746" i="39"/>
  <c r="J8745" i="39"/>
  <c r="J8744" i="39"/>
  <c r="J8743" i="39"/>
  <c r="J8742" i="39"/>
  <c r="J8741" i="39"/>
  <c r="J8740" i="39"/>
  <c r="J8739" i="39"/>
  <c r="J8738" i="39"/>
  <c r="J8737" i="39"/>
  <c r="J8736" i="39"/>
  <c r="J8735" i="39"/>
  <c r="J8734" i="39"/>
  <c r="J8733" i="39"/>
  <c r="J8732" i="39"/>
  <c r="J8731" i="39"/>
  <c r="J8730" i="39"/>
  <c r="J8729" i="39"/>
  <c r="J8728" i="39"/>
  <c r="J8727" i="39"/>
  <c r="J8726" i="39"/>
  <c r="J8725" i="39"/>
  <c r="J8724" i="39"/>
  <c r="J8723" i="39"/>
  <c r="J8722" i="39"/>
  <c r="J8721" i="39"/>
  <c r="J8720" i="39"/>
  <c r="J8719" i="39"/>
  <c r="J8718" i="39"/>
  <c r="J8717" i="39"/>
  <c r="J8716" i="39"/>
  <c r="J8715" i="39"/>
  <c r="J8714" i="39"/>
  <c r="J8713" i="39"/>
  <c r="J8712" i="39"/>
  <c r="J8711" i="39"/>
  <c r="B8711" i="39"/>
  <c r="J8710" i="39"/>
  <c r="J8709" i="39"/>
  <c r="J8708" i="39"/>
  <c r="J8707" i="39"/>
  <c r="J8706" i="39"/>
  <c r="J8705" i="39"/>
  <c r="J8704" i="39"/>
  <c r="J8703" i="39"/>
  <c r="J8702" i="39"/>
  <c r="J8701" i="39"/>
  <c r="J8700" i="39"/>
  <c r="J8699" i="39"/>
  <c r="J8698" i="39"/>
  <c r="J8697" i="39"/>
  <c r="J8696" i="39"/>
  <c r="J8695" i="39"/>
  <c r="J8694" i="39"/>
  <c r="J8693" i="39"/>
  <c r="J8692" i="39"/>
  <c r="J8691" i="39"/>
  <c r="J8690" i="39"/>
  <c r="J8689" i="39"/>
  <c r="J8688" i="39"/>
  <c r="J8687" i="39"/>
  <c r="J8686" i="39"/>
  <c r="J8685" i="39"/>
  <c r="J8684" i="39"/>
  <c r="J8683" i="39"/>
  <c r="J8682" i="39"/>
  <c r="J8681" i="39"/>
  <c r="J8680" i="39"/>
  <c r="J8679" i="39"/>
  <c r="J8678" i="39"/>
  <c r="J8677" i="39"/>
  <c r="J8676" i="39"/>
  <c r="J8675" i="39"/>
  <c r="J8674" i="39"/>
  <c r="J8673" i="39"/>
  <c r="J8672" i="39"/>
  <c r="J8671" i="39"/>
  <c r="J8670" i="39"/>
  <c r="J8669" i="39"/>
  <c r="J8668" i="39"/>
  <c r="J8667" i="39"/>
  <c r="J8666" i="39"/>
  <c r="J8665" i="39"/>
  <c r="J8664" i="39"/>
  <c r="J8663" i="39"/>
  <c r="J8662" i="39"/>
  <c r="J8661" i="39"/>
  <c r="J8660" i="39"/>
  <c r="J8659" i="39"/>
  <c r="J8658" i="39"/>
  <c r="J8657" i="39"/>
  <c r="J8656" i="39"/>
  <c r="J8655" i="39"/>
  <c r="J8654" i="39"/>
  <c r="J8653" i="39"/>
  <c r="J8652" i="39"/>
  <c r="J8651" i="39"/>
  <c r="J8650" i="39"/>
  <c r="J8649" i="39"/>
  <c r="J8648" i="39"/>
  <c r="J8647" i="39"/>
  <c r="J8646" i="39"/>
  <c r="J8645" i="39"/>
  <c r="J8644" i="39"/>
  <c r="J8643" i="39"/>
  <c r="J8642" i="39"/>
  <c r="J8641" i="39"/>
  <c r="J8640" i="39"/>
  <c r="J8639" i="39"/>
  <c r="J8638" i="39"/>
  <c r="J8637" i="39"/>
  <c r="J8636" i="39"/>
  <c r="J8635" i="39"/>
  <c r="J8634" i="39"/>
  <c r="J8633" i="39"/>
  <c r="J8632" i="39"/>
  <c r="J8631" i="39"/>
  <c r="J8630" i="39"/>
  <c r="J8629" i="39"/>
  <c r="J8628" i="39"/>
  <c r="J8627" i="39"/>
  <c r="J8626" i="39"/>
  <c r="J8625" i="39"/>
  <c r="J8624" i="39"/>
  <c r="J8623" i="39"/>
  <c r="J8622" i="39"/>
  <c r="J8621" i="39"/>
  <c r="J8620" i="39"/>
  <c r="J8619" i="39"/>
  <c r="J8618" i="39"/>
  <c r="J8617" i="39"/>
  <c r="J8616" i="39"/>
  <c r="J8615" i="39"/>
  <c r="J8614" i="39"/>
  <c r="J8613" i="39"/>
  <c r="J8612" i="39"/>
  <c r="J8611" i="39"/>
  <c r="J8610" i="39"/>
  <c r="J8609" i="39"/>
  <c r="J8608" i="39"/>
  <c r="J8607" i="39"/>
  <c r="J8606" i="39"/>
  <c r="J8605" i="39"/>
  <c r="J8604" i="39"/>
  <c r="J8603" i="39"/>
  <c r="J8602" i="39"/>
  <c r="J8601" i="39"/>
  <c r="J8600" i="39"/>
  <c r="J8599" i="39"/>
  <c r="J8598" i="39"/>
  <c r="J8597" i="39"/>
  <c r="J8596" i="39"/>
  <c r="J8595" i="39"/>
  <c r="J8594" i="39"/>
  <c r="J8593" i="39"/>
  <c r="J8592" i="39"/>
  <c r="J8591" i="39"/>
  <c r="J8590" i="39"/>
  <c r="J8589" i="39"/>
  <c r="J8588" i="39"/>
  <c r="J8587" i="39"/>
  <c r="J8586" i="39"/>
  <c r="J8585" i="39"/>
  <c r="J8584" i="39"/>
  <c r="J8583" i="39"/>
  <c r="J8582" i="39"/>
  <c r="J8581" i="39"/>
  <c r="J8580" i="39"/>
  <c r="J8579" i="39"/>
  <c r="J8578" i="39"/>
  <c r="J8577" i="39"/>
  <c r="J8576" i="39"/>
  <c r="J8575" i="39"/>
  <c r="J8574" i="39"/>
  <c r="J8573" i="39"/>
  <c r="J8572" i="39"/>
  <c r="J8571" i="39"/>
  <c r="J8570" i="39"/>
  <c r="J8569" i="39"/>
  <c r="J8568" i="39"/>
  <c r="J8567" i="39"/>
  <c r="J8566" i="39"/>
  <c r="J8565" i="39"/>
  <c r="J8564" i="39"/>
  <c r="J8563" i="39"/>
  <c r="J8562" i="39"/>
  <c r="J8561" i="39"/>
  <c r="J8560" i="39"/>
  <c r="J8559" i="39"/>
  <c r="J8558" i="39"/>
  <c r="J8557" i="39"/>
  <c r="J8556" i="39"/>
  <c r="J8555" i="39"/>
  <c r="J8554" i="39"/>
  <c r="J8553" i="39"/>
  <c r="J8552" i="39"/>
  <c r="J8551" i="39"/>
  <c r="J8550" i="39"/>
  <c r="J8549" i="39"/>
  <c r="J8548" i="39"/>
  <c r="J8547" i="39"/>
  <c r="J8546" i="39"/>
  <c r="J8545" i="39"/>
  <c r="J8544" i="39"/>
  <c r="J8543" i="39"/>
  <c r="J8542" i="39"/>
  <c r="J8541" i="39"/>
  <c r="J8540" i="39"/>
  <c r="J8539" i="39"/>
  <c r="J8538" i="39"/>
  <c r="J8537" i="39"/>
  <c r="J8536" i="39"/>
  <c r="J8535" i="39"/>
  <c r="J8534" i="39"/>
  <c r="J8533" i="39"/>
  <c r="J8532" i="39"/>
  <c r="J8531" i="39"/>
  <c r="J8530" i="39"/>
  <c r="J8529" i="39"/>
  <c r="J8528" i="39"/>
  <c r="J8527" i="39"/>
  <c r="J8526" i="39"/>
  <c r="J8525" i="39"/>
  <c r="J8524" i="39"/>
  <c r="J8523" i="39"/>
  <c r="J8522" i="39"/>
  <c r="J8521" i="39"/>
  <c r="J8520" i="39"/>
  <c r="J8519" i="39"/>
  <c r="J8518" i="39"/>
  <c r="J8517" i="39"/>
  <c r="J8516" i="39"/>
  <c r="J8515" i="39"/>
  <c r="J8514" i="39"/>
  <c r="J8513" i="39"/>
  <c r="J8512" i="39"/>
  <c r="J8511" i="39"/>
  <c r="J8510" i="39"/>
  <c r="J8509" i="39"/>
  <c r="J8508" i="39"/>
  <c r="J8507" i="39"/>
  <c r="J8506" i="39"/>
  <c r="J8505" i="39"/>
  <c r="J8504" i="39"/>
  <c r="J8503" i="39"/>
  <c r="J8502" i="39"/>
  <c r="J8501" i="39"/>
  <c r="J8500" i="39"/>
  <c r="J8499" i="39"/>
  <c r="J8498" i="39"/>
  <c r="J8497" i="39"/>
  <c r="J8496" i="39"/>
  <c r="J8495" i="39"/>
  <c r="J8494" i="39"/>
  <c r="J8493" i="39"/>
  <c r="J8492" i="39"/>
  <c r="J8491" i="39"/>
  <c r="J8490" i="39"/>
  <c r="J8489" i="39"/>
  <c r="J8488" i="39"/>
  <c r="J8487" i="39"/>
  <c r="J8486" i="39"/>
  <c r="J8485" i="39"/>
  <c r="J8484" i="39"/>
  <c r="J8483" i="39"/>
  <c r="J8482" i="39"/>
  <c r="J8481" i="39"/>
  <c r="J8480" i="39"/>
  <c r="J8479" i="39"/>
  <c r="J8478" i="39"/>
  <c r="J8477" i="39"/>
  <c r="J8476" i="39"/>
  <c r="J8475" i="39"/>
  <c r="J8474" i="39"/>
  <c r="J8473" i="39"/>
  <c r="J8472" i="39"/>
  <c r="J8471" i="39"/>
  <c r="J8470" i="39"/>
  <c r="J8469" i="39"/>
  <c r="J8468" i="39"/>
  <c r="J8467" i="39"/>
  <c r="J8466" i="39"/>
  <c r="J8465" i="39"/>
  <c r="J8464" i="39"/>
  <c r="J8463" i="39"/>
  <c r="J8462" i="39"/>
  <c r="J8461" i="39"/>
  <c r="J8460" i="39"/>
  <c r="J8459" i="39"/>
  <c r="J8458" i="39"/>
  <c r="J8457" i="39"/>
  <c r="J8456" i="39"/>
  <c r="J8455" i="39"/>
  <c r="J8454" i="39"/>
  <c r="J8453" i="39"/>
  <c r="J8452" i="39"/>
  <c r="J8451" i="39"/>
  <c r="J8450" i="39"/>
  <c r="J8449" i="39"/>
  <c r="J8448" i="39"/>
  <c r="J8447" i="39"/>
  <c r="J8446" i="39"/>
  <c r="J8445" i="39"/>
  <c r="J8444" i="39"/>
  <c r="J8443" i="39"/>
  <c r="J8442" i="39"/>
  <c r="J8441" i="39"/>
  <c r="J8440" i="39"/>
  <c r="J8439" i="39"/>
  <c r="J8438" i="39"/>
  <c r="J8437" i="39"/>
  <c r="J8436" i="39"/>
  <c r="J8435" i="39"/>
  <c r="J8434" i="39"/>
  <c r="J8433" i="39"/>
  <c r="J8432" i="39"/>
  <c r="J8431" i="39"/>
  <c r="J8430" i="39"/>
  <c r="J8429" i="39"/>
  <c r="J8428" i="39"/>
  <c r="J8427" i="39"/>
  <c r="J8426" i="39"/>
  <c r="J8425" i="39"/>
  <c r="J8424" i="39"/>
  <c r="J8423" i="39"/>
  <c r="J8422" i="39"/>
  <c r="J8421" i="39"/>
  <c r="J8420" i="39"/>
  <c r="J8419" i="39"/>
  <c r="J8418" i="39"/>
  <c r="J8417" i="39"/>
  <c r="J8416" i="39"/>
  <c r="J8415" i="39"/>
  <c r="J8414" i="39"/>
  <c r="J8413" i="39"/>
  <c r="J8412" i="39"/>
  <c r="J8411" i="39"/>
  <c r="J8410" i="39"/>
  <c r="J8409" i="39"/>
  <c r="J8408" i="39"/>
  <c r="J8407" i="39"/>
  <c r="B8407" i="39"/>
  <c r="J8406" i="39"/>
  <c r="J8405" i="39"/>
  <c r="J8404" i="39"/>
  <c r="J8403" i="39"/>
  <c r="J8402" i="39"/>
  <c r="J8401" i="39"/>
  <c r="J8400" i="39"/>
  <c r="J8399" i="39"/>
  <c r="J8398" i="39"/>
  <c r="J8397" i="39"/>
  <c r="J8396" i="39"/>
  <c r="J8395" i="39"/>
  <c r="J8394" i="39"/>
  <c r="J8393" i="39"/>
  <c r="J8392" i="39"/>
  <c r="J8391" i="39"/>
  <c r="J8390" i="39"/>
  <c r="J8389" i="39"/>
  <c r="J8388" i="39"/>
  <c r="J8387" i="39"/>
  <c r="J8386" i="39"/>
  <c r="J8385" i="39"/>
  <c r="J8384" i="39"/>
  <c r="J8383" i="39"/>
  <c r="J8382" i="39"/>
  <c r="J8381" i="39"/>
  <c r="J8380" i="39"/>
  <c r="J8379" i="39"/>
  <c r="J8378" i="39"/>
  <c r="J8377" i="39"/>
  <c r="J8376" i="39"/>
  <c r="J8375" i="39"/>
  <c r="J8374" i="39"/>
  <c r="J8373" i="39"/>
  <c r="J8372" i="39"/>
  <c r="J8371" i="39"/>
  <c r="J8370" i="39"/>
  <c r="J8369" i="39"/>
  <c r="J8368" i="39"/>
  <c r="J8367" i="39"/>
  <c r="J8366" i="39"/>
  <c r="J8365" i="39"/>
  <c r="J8364" i="39"/>
  <c r="J8363" i="39"/>
  <c r="J8362" i="39"/>
  <c r="J8361" i="39"/>
  <c r="J8360" i="39"/>
  <c r="J8359" i="39"/>
  <c r="J8358" i="39"/>
  <c r="J8357" i="39"/>
  <c r="J8356" i="39"/>
  <c r="J8355" i="39"/>
  <c r="J8354" i="39"/>
  <c r="J8353" i="39"/>
  <c r="J8352" i="39"/>
  <c r="J8351" i="39"/>
  <c r="J8350" i="39"/>
  <c r="J8349" i="39"/>
  <c r="J8348" i="39"/>
  <c r="J8347" i="39"/>
  <c r="J8346" i="39"/>
  <c r="J8345" i="39"/>
  <c r="J8344" i="39"/>
  <c r="J8343" i="39"/>
  <c r="J8342" i="39"/>
  <c r="J8341" i="39"/>
  <c r="J8340" i="39"/>
  <c r="J8339" i="39"/>
  <c r="J8338" i="39"/>
  <c r="J8337" i="39"/>
  <c r="J8336" i="39"/>
  <c r="J8335" i="39"/>
  <c r="J8334" i="39"/>
  <c r="J8333" i="39"/>
  <c r="J8332" i="39"/>
  <c r="J8331" i="39"/>
  <c r="J8330" i="39"/>
  <c r="J8329" i="39"/>
  <c r="J8328" i="39"/>
  <c r="J8327" i="39"/>
  <c r="J8326" i="39"/>
  <c r="J8325" i="39"/>
  <c r="J8324" i="39"/>
  <c r="J8323" i="39"/>
  <c r="J8322" i="39"/>
  <c r="J8321" i="39"/>
  <c r="J8320" i="39"/>
  <c r="J8319" i="39"/>
  <c r="J8318" i="39"/>
  <c r="J8317" i="39"/>
  <c r="J8316" i="39"/>
  <c r="J8315" i="39"/>
  <c r="J8314" i="39"/>
  <c r="J8313" i="39"/>
  <c r="J8312" i="39"/>
  <c r="J8311" i="39"/>
  <c r="J8310" i="39"/>
  <c r="J8309" i="39"/>
  <c r="J8308" i="39"/>
  <c r="J8307" i="39"/>
  <c r="J8306" i="39"/>
  <c r="J8305" i="39"/>
  <c r="J8304" i="39"/>
  <c r="J8303" i="39"/>
  <c r="J8302" i="39"/>
  <c r="J8301" i="39"/>
  <c r="J8300" i="39"/>
  <c r="J8299" i="39"/>
  <c r="J8298" i="39"/>
  <c r="J8297" i="39"/>
  <c r="J8296" i="39"/>
  <c r="J8295" i="39"/>
  <c r="J8294" i="39"/>
  <c r="J8293" i="39"/>
  <c r="J8292" i="39"/>
  <c r="J8291" i="39"/>
  <c r="J8290" i="39"/>
  <c r="J8289" i="39"/>
  <c r="J8288" i="39"/>
  <c r="J8287" i="39"/>
  <c r="J8286" i="39"/>
  <c r="J8285" i="39"/>
  <c r="J8284" i="39"/>
  <c r="J8283" i="39"/>
  <c r="J8282" i="39"/>
  <c r="J8281" i="39"/>
  <c r="J8280" i="39"/>
  <c r="J8279" i="39"/>
  <c r="J8278" i="39"/>
  <c r="J8277" i="39"/>
  <c r="J8276" i="39"/>
  <c r="J8275" i="39"/>
  <c r="J8274" i="39"/>
  <c r="J8273" i="39"/>
  <c r="J8272" i="39"/>
  <c r="J8271" i="39"/>
  <c r="J8270" i="39"/>
  <c r="B8270" i="39"/>
  <c r="J8269" i="39"/>
  <c r="J8268" i="39"/>
  <c r="J8267" i="39"/>
  <c r="J8266" i="39"/>
  <c r="J8265" i="39"/>
  <c r="J8264" i="39"/>
  <c r="J8263" i="39"/>
  <c r="J8262" i="39"/>
  <c r="J8261" i="39"/>
  <c r="J8260" i="39"/>
  <c r="J8259" i="39"/>
  <c r="J8258" i="39"/>
  <c r="J8257" i="39"/>
  <c r="J8256" i="39"/>
  <c r="J8255" i="39"/>
  <c r="J8254" i="39"/>
  <c r="J8253" i="39"/>
  <c r="J8252" i="39"/>
  <c r="J8251" i="39"/>
  <c r="J8250" i="39"/>
  <c r="J8249" i="39"/>
  <c r="J8248" i="39"/>
  <c r="J8247" i="39"/>
  <c r="J8246" i="39"/>
  <c r="J8245" i="39"/>
  <c r="J8244" i="39"/>
  <c r="J8243" i="39"/>
  <c r="J8242" i="39"/>
  <c r="J8241" i="39"/>
  <c r="J8240" i="39"/>
  <c r="J8239" i="39"/>
  <c r="J8238" i="39"/>
  <c r="J8237" i="39"/>
  <c r="J8236" i="39"/>
  <c r="J8235" i="39"/>
  <c r="J8234" i="39"/>
  <c r="J8233" i="39"/>
  <c r="J8232" i="39"/>
  <c r="J8231" i="39"/>
  <c r="J8230" i="39"/>
  <c r="J8229" i="39"/>
  <c r="J8228" i="39"/>
  <c r="J8227" i="39"/>
  <c r="J8226" i="39"/>
  <c r="J8225" i="39"/>
  <c r="J8224" i="39"/>
  <c r="J8223" i="39"/>
  <c r="J8222" i="39"/>
  <c r="J8221" i="39"/>
  <c r="J8220" i="39"/>
  <c r="J8219" i="39"/>
  <c r="J8218" i="39"/>
  <c r="J8217" i="39"/>
  <c r="J8216" i="39"/>
  <c r="J8215" i="39"/>
  <c r="J8214" i="39"/>
  <c r="J8213" i="39"/>
  <c r="J8212" i="39"/>
  <c r="J8211" i="39"/>
  <c r="J8210" i="39"/>
  <c r="J8209" i="39"/>
  <c r="J8208" i="39"/>
  <c r="J8207" i="39"/>
  <c r="J8206" i="39"/>
  <c r="J8205" i="39"/>
  <c r="J8204" i="39"/>
  <c r="J8203" i="39"/>
  <c r="J8202" i="39"/>
  <c r="J8201" i="39"/>
  <c r="J8200" i="39"/>
  <c r="J8199" i="39"/>
  <c r="J8198" i="39"/>
  <c r="J8197" i="39"/>
  <c r="J8196" i="39"/>
  <c r="J8195" i="39"/>
  <c r="J8194" i="39"/>
  <c r="J8193" i="39"/>
  <c r="J8192" i="39"/>
  <c r="J8191" i="39"/>
  <c r="J8190" i="39"/>
  <c r="J8189" i="39"/>
  <c r="J8188" i="39"/>
  <c r="J8187" i="39"/>
  <c r="J8186" i="39"/>
  <c r="J8185" i="39"/>
  <c r="J8184" i="39"/>
  <c r="J8183" i="39"/>
  <c r="J8182" i="39"/>
  <c r="J8181" i="39"/>
  <c r="J8180" i="39"/>
  <c r="J8179" i="39"/>
  <c r="J8178" i="39"/>
  <c r="J8177" i="39"/>
  <c r="J8176" i="39"/>
  <c r="J8175" i="39"/>
  <c r="J8174" i="39"/>
  <c r="J8173" i="39"/>
  <c r="J8172" i="39"/>
  <c r="J8171" i="39"/>
  <c r="J8170" i="39"/>
  <c r="J8169" i="39"/>
  <c r="J8168" i="39"/>
  <c r="J8167" i="39"/>
  <c r="J8166" i="39"/>
  <c r="J8165" i="39"/>
  <c r="J8164" i="39"/>
  <c r="J8163" i="39"/>
  <c r="J8162" i="39"/>
  <c r="J8161" i="39"/>
  <c r="J8160" i="39"/>
  <c r="J8159" i="39"/>
  <c r="J8158" i="39"/>
  <c r="J8157" i="39"/>
  <c r="J8156" i="39"/>
  <c r="J8155" i="39"/>
  <c r="J8154" i="39"/>
  <c r="J8153" i="39"/>
  <c r="J8152" i="39"/>
  <c r="J8151" i="39"/>
  <c r="J8150" i="39"/>
  <c r="J8149" i="39"/>
  <c r="J8148" i="39"/>
  <c r="J8147" i="39"/>
  <c r="J8146" i="39"/>
  <c r="J8145" i="39"/>
  <c r="J8144" i="39"/>
  <c r="J8143" i="39"/>
  <c r="J8142" i="39"/>
  <c r="J8141" i="39"/>
  <c r="J8140" i="39"/>
  <c r="J8139" i="39"/>
  <c r="J8138" i="39"/>
  <c r="J8137" i="39"/>
  <c r="J8136" i="39"/>
  <c r="J8135" i="39"/>
  <c r="J8134" i="39"/>
  <c r="J8133" i="39"/>
  <c r="B8133" i="39"/>
  <c r="J8132" i="39"/>
  <c r="J8131" i="39"/>
  <c r="J8130" i="39"/>
  <c r="J8129" i="39"/>
  <c r="J8128" i="39"/>
  <c r="J8127" i="39"/>
  <c r="J8126" i="39"/>
  <c r="J8125" i="39"/>
  <c r="J8124" i="39"/>
  <c r="B8124" i="39"/>
  <c r="J8123" i="39"/>
  <c r="J8122" i="39"/>
  <c r="J8121" i="39"/>
  <c r="J8120" i="39"/>
  <c r="J8119" i="39"/>
  <c r="J8118" i="39"/>
  <c r="J8117" i="39"/>
  <c r="J8116" i="39"/>
  <c r="J8115" i="39"/>
  <c r="J8114" i="39"/>
  <c r="J8113" i="39"/>
  <c r="J8112" i="39"/>
  <c r="J8111" i="39"/>
  <c r="J8110" i="39"/>
  <c r="J8109" i="39"/>
  <c r="J8108" i="39"/>
  <c r="J8107" i="39"/>
  <c r="J8106" i="39"/>
  <c r="J8105" i="39"/>
  <c r="J8104" i="39"/>
  <c r="J8103" i="39"/>
  <c r="J8102" i="39"/>
  <c r="J8101" i="39"/>
  <c r="J8100" i="39"/>
  <c r="J8099" i="39"/>
  <c r="J8098" i="39"/>
  <c r="J8097" i="39"/>
  <c r="J8096" i="39"/>
  <c r="J8095" i="39"/>
  <c r="J8094" i="39"/>
  <c r="J8093" i="39"/>
  <c r="J8092" i="39"/>
  <c r="J8091" i="39"/>
  <c r="J8090" i="39"/>
  <c r="J8089" i="39"/>
  <c r="J8088" i="39"/>
  <c r="J8087" i="39"/>
  <c r="B8087" i="39"/>
  <c r="J8086" i="39"/>
  <c r="J8085" i="39"/>
  <c r="B8085" i="39"/>
  <c r="J8084" i="39"/>
  <c r="J8083" i="39"/>
  <c r="J8082" i="39"/>
  <c r="J8081" i="39"/>
  <c r="J8080" i="39"/>
  <c r="J8079" i="39"/>
  <c r="J8078" i="39"/>
  <c r="J8077" i="39"/>
  <c r="J8076" i="39"/>
  <c r="J8075" i="39"/>
  <c r="J8074" i="39"/>
  <c r="J8073" i="39"/>
  <c r="J8072" i="39"/>
  <c r="J8071" i="39"/>
  <c r="J8070" i="39"/>
  <c r="J8069" i="39"/>
  <c r="J8068" i="39"/>
  <c r="J8067" i="39"/>
  <c r="J8066" i="39"/>
  <c r="J8065" i="39"/>
  <c r="J8064" i="39"/>
  <c r="J8063" i="39"/>
  <c r="J8062" i="39"/>
  <c r="J8061" i="39"/>
  <c r="J8060" i="39"/>
  <c r="J8059" i="39"/>
  <c r="J8058" i="39"/>
  <c r="J8057" i="39"/>
  <c r="J8056" i="39"/>
  <c r="J8055" i="39"/>
  <c r="J8054" i="39"/>
  <c r="J8053" i="39"/>
  <c r="J8052" i="39"/>
  <c r="J8051" i="39"/>
  <c r="J8050" i="39"/>
  <c r="J8049" i="39"/>
  <c r="J8048" i="39"/>
  <c r="J8047" i="39"/>
  <c r="J8046" i="39"/>
  <c r="J8045" i="39"/>
  <c r="J8044" i="39"/>
  <c r="J8043" i="39"/>
  <c r="J8042" i="39"/>
  <c r="J8041" i="39"/>
  <c r="J8040" i="39"/>
  <c r="J8039" i="39"/>
  <c r="J8038" i="39"/>
  <c r="J8037" i="39"/>
  <c r="J8036" i="39"/>
  <c r="J8035" i="39"/>
  <c r="J8034" i="39"/>
  <c r="J8033" i="39"/>
  <c r="J8032" i="39"/>
  <c r="J8031" i="39"/>
  <c r="J8030" i="39"/>
  <c r="J8029" i="39"/>
  <c r="J8028" i="39"/>
  <c r="J8027" i="39"/>
  <c r="J8026" i="39"/>
  <c r="J8025" i="39"/>
  <c r="J8024" i="39"/>
  <c r="J8023" i="39"/>
  <c r="J8022" i="39"/>
  <c r="J8021" i="39"/>
  <c r="J8020" i="39"/>
  <c r="J8019" i="39"/>
  <c r="J8018" i="39"/>
  <c r="J8017" i="39"/>
  <c r="J8016" i="39"/>
  <c r="J8015" i="39"/>
  <c r="J8014" i="39"/>
  <c r="J8013" i="39"/>
  <c r="J8012" i="39"/>
  <c r="J8011" i="39"/>
  <c r="J8010" i="39"/>
  <c r="J8009" i="39"/>
  <c r="J8008" i="39"/>
  <c r="J8007" i="39"/>
  <c r="J8006" i="39"/>
  <c r="J8005" i="39"/>
  <c r="J8004" i="39"/>
  <c r="B8004" i="39"/>
  <c r="J8003" i="39"/>
  <c r="J8002" i="39"/>
  <c r="J8001" i="39"/>
  <c r="J8000" i="39"/>
  <c r="J7999" i="39"/>
  <c r="J7998" i="39"/>
  <c r="J7997" i="39"/>
  <c r="J7996" i="39"/>
  <c r="J7995" i="39"/>
  <c r="J7994" i="39"/>
  <c r="J7993" i="39"/>
  <c r="J7992" i="39"/>
  <c r="J7991" i="39"/>
  <c r="J7990" i="39"/>
  <c r="J7989" i="39"/>
  <c r="J7988" i="39"/>
  <c r="J7987" i="39"/>
  <c r="J7986" i="39"/>
  <c r="J7985" i="39"/>
  <c r="J7984" i="39"/>
  <c r="J7983" i="39"/>
  <c r="J7982" i="39"/>
  <c r="J7981" i="39"/>
  <c r="J7980" i="39"/>
  <c r="J7979" i="39"/>
  <c r="J7978" i="39"/>
  <c r="J7977" i="39"/>
  <c r="J7976" i="39"/>
  <c r="J7975" i="39"/>
  <c r="J7974" i="39"/>
  <c r="J7973" i="39"/>
  <c r="J7972" i="39"/>
  <c r="J7971" i="39"/>
  <c r="J7970" i="39"/>
  <c r="J7969" i="39"/>
  <c r="J7968" i="39"/>
  <c r="J7967" i="39"/>
  <c r="J7966" i="39"/>
  <c r="J7965" i="39"/>
  <c r="J7964" i="39"/>
  <c r="J7963" i="39"/>
  <c r="J7962" i="39"/>
  <c r="J7961" i="39"/>
  <c r="J7960" i="39"/>
  <c r="J7959" i="39"/>
  <c r="J7958" i="39"/>
  <c r="J7957" i="39"/>
  <c r="J7956" i="39"/>
  <c r="J7955" i="39"/>
  <c r="J7954" i="39"/>
  <c r="J7953" i="39"/>
  <c r="J7952" i="39"/>
  <c r="J7951" i="39"/>
  <c r="J7950" i="39"/>
  <c r="J7949" i="39"/>
  <c r="J7948" i="39"/>
  <c r="J7947" i="39"/>
  <c r="J7946" i="39"/>
  <c r="J7945" i="39"/>
  <c r="J7944" i="39"/>
  <c r="J7943" i="39"/>
  <c r="J7942" i="39"/>
  <c r="J7941" i="39"/>
  <c r="J7940" i="39"/>
  <c r="J7939" i="39"/>
  <c r="J7938" i="39"/>
  <c r="J7937" i="39"/>
  <c r="J7936" i="39"/>
  <c r="J7935" i="39"/>
  <c r="J7934" i="39"/>
  <c r="J7933" i="39"/>
  <c r="J7932" i="39"/>
  <c r="J7931" i="39"/>
  <c r="J7930" i="39"/>
  <c r="J7929" i="39"/>
  <c r="J7928" i="39"/>
  <c r="J7927" i="39"/>
  <c r="J7926" i="39"/>
  <c r="J7925" i="39"/>
  <c r="J7924" i="39"/>
  <c r="J7923" i="39"/>
  <c r="J7922" i="39"/>
  <c r="J7921" i="39"/>
  <c r="J7920" i="39"/>
  <c r="J7919" i="39"/>
  <c r="J7918" i="39"/>
  <c r="J7917" i="39"/>
  <c r="J7916" i="39"/>
  <c r="J7915" i="39"/>
  <c r="J7914" i="39"/>
  <c r="J7913" i="39"/>
  <c r="J7912" i="39"/>
  <c r="J7911" i="39"/>
  <c r="J7910" i="39"/>
  <c r="J7909" i="39"/>
  <c r="J7908" i="39"/>
  <c r="J7907" i="39"/>
  <c r="J7906" i="39"/>
  <c r="J7905" i="39"/>
  <c r="J7904" i="39"/>
  <c r="J7903" i="39"/>
  <c r="J7902" i="39"/>
  <c r="J7901" i="39"/>
  <c r="J7900" i="39"/>
  <c r="J7899" i="39"/>
  <c r="J7898" i="39"/>
  <c r="J7897" i="39"/>
  <c r="J7896" i="39"/>
  <c r="J7895" i="39"/>
  <c r="J7894" i="39"/>
  <c r="J7893" i="39"/>
  <c r="J7892" i="39"/>
  <c r="J7891" i="39"/>
  <c r="J7890" i="39"/>
  <c r="J7889" i="39"/>
  <c r="J7888" i="39"/>
  <c r="J7887" i="39"/>
  <c r="J7886" i="39"/>
  <c r="J7885" i="39"/>
  <c r="J7884" i="39"/>
  <c r="J7883" i="39"/>
  <c r="J7882" i="39"/>
  <c r="J7881" i="39"/>
  <c r="J7880" i="39"/>
  <c r="J7879" i="39"/>
  <c r="J7878" i="39"/>
  <c r="J7877" i="39"/>
  <c r="J7876" i="39"/>
  <c r="J7875" i="39"/>
  <c r="J7874" i="39"/>
  <c r="J7873" i="39"/>
  <c r="J7872" i="39"/>
  <c r="J7871" i="39"/>
  <c r="J7870" i="39"/>
  <c r="J7869" i="39"/>
  <c r="J7868" i="39"/>
  <c r="J7867" i="39"/>
  <c r="J7866" i="39"/>
  <c r="J7865" i="39"/>
  <c r="J7864" i="39"/>
  <c r="J7863" i="39"/>
  <c r="J7862" i="39"/>
  <c r="J7861" i="39"/>
  <c r="J7860" i="39"/>
  <c r="B7860" i="39"/>
  <c r="J7859" i="39"/>
  <c r="J7858" i="39"/>
  <c r="J7857" i="39"/>
  <c r="J7856" i="39"/>
  <c r="J7855" i="39"/>
  <c r="J7854" i="39"/>
  <c r="J7853" i="39"/>
  <c r="J7852" i="39"/>
  <c r="J7851" i="39"/>
  <c r="J7850" i="39"/>
  <c r="J7849" i="39"/>
  <c r="J7848" i="39"/>
  <c r="J7847" i="39"/>
  <c r="J7846" i="39"/>
  <c r="J7845" i="39"/>
  <c r="J7844" i="39"/>
  <c r="J7843" i="39"/>
  <c r="J7842" i="39"/>
  <c r="J7841" i="39"/>
  <c r="J7840" i="39"/>
  <c r="J7839" i="39"/>
  <c r="J7838" i="39"/>
  <c r="J7837" i="39"/>
  <c r="J7836" i="39"/>
  <c r="J7835" i="39"/>
  <c r="J7834" i="39"/>
  <c r="J7833" i="39"/>
  <c r="J7832" i="39"/>
  <c r="J7831" i="39"/>
  <c r="J7830" i="39"/>
  <c r="J7829" i="39"/>
  <c r="J7828" i="39"/>
  <c r="J7827" i="39"/>
  <c r="J7826" i="39"/>
  <c r="J7825" i="39"/>
  <c r="J7824" i="39"/>
  <c r="J7823" i="39"/>
  <c r="J7822" i="39"/>
  <c r="J7821" i="39"/>
  <c r="J7820" i="39"/>
  <c r="J7819" i="39"/>
  <c r="J7818" i="39"/>
  <c r="J7817" i="39"/>
  <c r="J7816" i="39"/>
  <c r="J7815" i="39"/>
  <c r="J7814" i="39"/>
  <c r="J7813" i="39"/>
  <c r="J7812" i="39"/>
  <c r="J7811" i="39"/>
  <c r="J7810" i="39"/>
  <c r="J7809" i="39"/>
  <c r="J7808" i="39"/>
  <c r="J7807" i="39"/>
  <c r="J7806" i="39"/>
  <c r="J7805" i="39"/>
  <c r="J7804" i="39"/>
  <c r="J7803" i="39"/>
  <c r="J7802" i="39"/>
  <c r="J7801" i="39"/>
  <c r="J7800" i="39"/>
  <c r="J7799" i="39"/>
  <c r="J7798" i="39"/>
  <c r="J7797" i="39"/>
  <c r="J7796" i="39"/>
  <c r="J7795" i="39"/>
  <c r="J7794" i="39"/>
  <c r="J7793" i="39"/>
  <c r="J7792" i="39"/>
  <c r="J7791" i="39"/>
  <c r="J7790" i="39"/>
  <c r="J7789" i="39"/>
  <c r="J7788" i="39"/>
  <c r="J7787" i="39"/>
  <c r="J7786" i="39"/>
  <c r="J7785" i="39"/>
  <c r="J7784" i="39"/>
  <c r="J7783" i="39"/>
  <c r="J7782" i="39"/>
  <c r="J7781" i="39"/>
  <c r="J7780" i="39"/>
  <c r="J7779" i="39"/>
  <c r="J7778" i="39"/>
  <c r="J7777" i="39"/>
  <c r="J7776" i="39"/>
  <c r="J7775" i="39"/>
  <c r="J7774" i="39"/>
  <c r="J7773" i="39"/>
  <c r="J7772" i="39"/>
  <c r="J7771" i="39"/>
  <c r="J7770" i="39"/>
  <c r="J7769" i="39"/>
  <c r="J7768" i="39"/>
  <c r="J7767" i="39"/>
  <c r="J7766" i="39"/>
  <c r="J7765" i="39"/>
  <c r="J7764" i="39"/>
  <c r="J7763" i="39"/>
  <c r="J7762" i="39"/>
  <c r="J7761" i="39"/>
  <c r="J7760" i="39"/>
  <c r="J7759" i="39"/>
  <c r="J7758" i="39"/>
  <c r="J7757" i="39"/>
  <c r="J7756" i="39"/>
  <c r="J7755" i="39"/>
  <c r="J7754" i="39"/>
  <c r="J7753" i="39"/>
  <c r="J7752" i="39"/>
  <c r="J7751" i="39"/>
  <c r="J7750" i="39"/>
  <c r="J7749" i="39"/>
  <c r="J7748" i="39"/>
  <c r="J7747" i="39"/>
  <c r="J7746" i="39"/>
  <c r="J7745" i="39"/>
  <c r="J7744" i="39"/>
  <c r="J7743" i="39"/>
  <c r="J7742" i="39"/>
  <c r="J7741" i="39"/>
  <c r="J7740" i="39"/>
  <c r="J7739" i="39"/>
  <c r="J7738" i="39"/>
  <c r="J7737" i="39"/>
  <c r="J7736" i="39"/>
  <c r="J7735" i="39"/>
  <c r="J7734" i="39"/>
  <c r="J7733" i="39"/>
  <c r="J7732" i="39"/>
  <c r="J7731" i="39"/>
  <c r="J7730" i="39"/>
  <c r="J7729" i="39"/>
  <c r="J7728" i="39"/>
  <c r="J7727" i="39"/>
  <c r="J7726" i="39"/>
  <c r="J7725" i="39"/>
  <c r="J7724" i="39"/>
  <c r="J7723" i="39"/>
  <c r="J7722" i="39"/>
  <c r="B7722" i="39"/>
  <c r="J7721" i="39"/>
  <c r="J7720" i="39"/>
  <c r="J7719" i="39"/>
  <c r="J7718" i="39"/>
  <c r="J7717" i="39"/>
  <c r="J7716" i="39"/>
  <c r="J7715" i="39"/>
  <c r="J7714" i="39"/>
  <c r="J7713" i="39"/>
  <c r="J7712" i="39"/>
  <c r="J7711" i="39"/>
  <c r="J7710" i="39"/>
  <c r="J7709" i="39"/>
  <c r="J7708" i="39"/>
  <c r="J7707" i="39"/>
  <c r="J7706" i="39"/>
  <c r="J7705" i="39"/>
  <c r="J7704" i="39"/>
  <c r="J7703" i="39"/>
  <c r="J7702" i="39"/>
  <c r="J7701" i="39"/>
  <c r="J7700" i="39"/>
  <c r="J7699" i="39"/>
  <c r="J7698" i="39"/>
  <c r="J7697" i="39"/>
  <c r="J7696" i="39"/>
  <c r="J7695" i="39"/>
  <c r="J7694" i="39"/>
  <c r="J7693" i="39"/>
  <c r="J7692" i="39"/>
  <c r="J7691" i="39"/>
  <c r="J7690" i="39"/>
  <c r="J7689" i="39"/>
  <c r="J7688" i="39"/>
  <c r="J7687" i="39"/>
  <c r="J7686" i="39"/>
  <c r="J7685" i="39"/>
  <c r="J7684" i="39"/>
  <c r="J7683" i="39"/>
  <c r="J7682" i="39"/>
  <c r="J7681" i="39"/>
  <c r="J7680" i="39"/>
  <c r="J7679" i="39"/>
  <c r="J7678" i="39"/>
  <c r="J7677" i="39"/>
  <c r="J7676" i="39"/>
  <c r="J7675" i="39"/>
  <c r="J7674" i="39"/>
  <c r="J7673" i="39"/>
  <c r="J7672" i="39"/>
  <c r="J7671" i="39"/>
  <c r="J7670" i="39"/>
  <c r="B7670" i="39"/>
  <c r="J7669" i="39"/>
  <c r="J7668" i="39"/>
  <c r="J7667" i="39"/>
  <c r="J7666" i="39"/>
  <c r="J7665" i="39"/>
  <c r="J7664" i="39"/>
  <c r="J7663" i="39"/>
  <c r="J7662" i="39"/>
  <c r="J7661" i="39"/>
  <c r="J7660" i="39"/>
  <c r="J7659" i="39"/>
  <c r="J7658" i="39"/>
  <c r="J7657" i="39"/>
  <c r="J7656" i="39"/>
  <c r="J7655" i="39"/>
  <c r="J7654" i="39"/>
  <c r="J7653" i="39"/>
  <c r="J7652" i="39"/>
  <c r="J7651" i="39"/>
  <c r="J7650" i="39"/>
  <c r="J7649" i="39"/>
  <c r="J7648" i="39"/>
  <c r="J7647" i="39"/>
  <c r="J7646" i="39"/>
  <c r="J7645" i="39"/>
  <c r="J7644" i="39"/>
  <c r="J7643" i="39"/>
  <c r="J7642" i="39"/>
  <c r="J7641" i="39"/>
  <c r="J7640" i="39"/>
  <c r="J7639" i="39"/>
  <c r="J7638" i="39"/>
  <c r="J7637" i="39"/>
  <c r="J7636" i="39"/>
  <c r="J7635" i="39"/>
  <c r="J7634" i="39"/>
  <c r="J7633" i="39"/>
  <c r="J7632" i="39"/>
  <c r="J7631" i="39"/>
  <c r="J7630" i="39"/>
  <c r="J7629" i="39"/>
  <c r="J7628" i="39"/>
  <c r="J7627" i="39"/>
  <c r="J7626" i="39"/>
  <c r="J7625" i="39"/>
  <c r="J7624" i="39"/>
  <c r="J7623" i="39"/>
  <c r="J7622" i="39"/>
  <c r="J7621" i="39"/>
  <c r="J7620" i="39"/>
  <c r="J7619" i="39"/>
  <c r="J7618" i="39"/>
  <c r="J7617" i="39"/>
  <c r="J7616" i="39"/>
  <c r="J7615" i="39"/>
  <c r="J7614" i="39"/>
  <c r="J7613" i="39"/>
  <c r="J7612" i="39"/>
  <c r="J7611" i="39"/>
  <c r="J7610" i="39"/>
  <c r="J7609" i="39"/>
  <c r="J7608" i="39"/>
  <c r="J7607" i="39"/>
  <c r="J7606" i="39"/>
  <c r="J7605" i="39"/>
  <c r="J7604" i="39"/>
  <c r="J7603" i="39"/>
  <c r="J7602" i="39"/>
  <c r="J7601" i="39"/>
  <c r="J7600" i="39"/>
  <c r="J7599" i="39"/>
  <c r="J7598" i="39"/>
  <c r="J7597" i="39"/>
  <c r="J7596" i="39"/>
  <c r="J7595" i="39"/>
  <c r="J7594" i="39"/>
  <c r="J7593" i="39"/>
  <c r="J7592" i="39"/>
  <c r="J7591" i="39"/>
  <c r="J7590" i="39"/>
  <c r="J7589" i="39"/>
  <c r="J7588" i="39"/>
  <c r="J7587" i="39"/>
  <c r="J7586" i="39"/>
  <c r="J7585" i="39"/>
  <c r="J7584" i="39"/>
  <c r="J7583" i="39"/>
  <c r="J7582" i="39"/>
  <c r="J7581" i="39"/>
  <c r="J7580" i="39"/>
  <c r="J7579" i="39"/>
  <c r="J7578" i="39"/>
  <c r="J7577" i="39"/>
  <c r="J7576" i="39"/>
  <c r="J7575" i="39"/>
  <c r="J7574" i="39"/>
  <c r="J7573" i="39"/>
  <c r="J7572" i="39"/>
  <c r="J7571" i="39"/>
  <c r="J7570" i="39"/>
  <c r="J7569" i="39"/>
  <c r="J7568" i="39"/>
  <c r="J7567" i="39"/>
  <c r="J7566" i="39"/>
  <c r="J7565" i="39"/>
  <c r="J7564" i="39"/>
  <c r="J7563" i="39"/>
  <c r="J7562" i="39"/>
  <c r="J7561" i="39"/>
  <c r="J7560" i="39"/>
  <c r="J7559" i="39"/>
  <c r="J7558" i="39"/>
  <c r="J7557" i="39"/>
  <c r="J7556" i="39"/>
  <c r="J7555" i="39"/>
  <c r="J7554" i="39"/>
  <c r="J7553" i="39"/>
  <c r="J7552" i="39"/>
  <c r="J7551" i="39"/>
  <c r="J7550" i="39"/>
  <c r="J7549" i="39"/>
  <c r="J7548" i="39"/>
  <c r="J7547" i="39"/>
  <c r="J7546" i="39"/>
  <c r="J7545" i="39"/>
  <c r="J7544" i="39"/>
  <c r="J7543" i="39"/>
  <c r="J7542" i="39"/>
  <c r="J7541" i="39"/>
  <c r="J7540" i="39"/>
  <c r="J7539" i="39"/>
  <c r="J7538" i="39"/>
  <c r="J7537" i="39"/>
  <c r="J7536" i="39"/>
  <c r="J7535" i="39"/>
  <c r="J7534" i="39"/>
  <c r="J7533" i="39"/>
  <c r="J7532" i="39"/>
  <c r="J7531" i="39"/>
  <c r="J7530" i="39"/>
  <c r="J7529" i="39"/>
  <c r="J7528" i="39"/>
  <c r="J7527" i="39"/>
  <c r="J7526" i="39"/>
  <c r="J7525" i="39"/>
  <c r="J7524" i="39"/>
  <c r="J7523" i="39"/>
  <c r="J7522" i="39"/>
  <c r="J7521" i="39"/>
  <c r="J7520" i="39"/>
  <c r="J7519" i="39"/>
  <c r="J7518" i="39"/>
  <c r="J7517" i="39"/>
  <c r="J7516" i="39"/>
  <c r="J7515" i="39"/>
  <c r="J7514" i="39"/>
  <c r="J7513" i="39"/>
  <c r="J7512" i="39"/>
  <c r="J7511" i="39"/>
  <c r="J7510" i="39"/>
  <c r="J7509" i="39"/>
  <c r="J7508" i="39"/>
  <c r="J7507" i="39"/>
  <c r="J7506" i="39"/>
  <c r="J7505" i="39"/>
  <c r="J7504" i="39"/>
  <c r="J7503" i="39"/>
  <c r="J7502" i="39"/>
  <c r="J7501" i="39"/>
  <c r="J7500" i="39"/>
  <c r="J7499" i="39"/>
  <c r="J7498" i="39"/>
  <c r="J7497" i="39"/>
  <c r="J7496" i="39"/>
  <c r="J7495" i="39"/>
  <c r="J7494" i="39"/>
  <c r="J7493" i="39"/>
  <c r="J7492" i="39"/>
  <c r="J7491" i="39"/>
  <c r="J7490" i="39"/>
  <c r="J7489" i="39"/>
  <c r="J7488" i="39"/>
  <c r="J7487" i="39"/>
  <c r="J7486" i="39"/>
  <c r="J7485" i="39"/>
  <c r="J7484" i="39"/>
  <c r="J7483" i="39"/>
  <c r="J7482" i="39"/>
  <c r="J7481" i="39"/>
  <c r="J7480" i="39"/>
  <c r="J7479" i="39"/>
  <c r="J7478" i="39"/>
  <c r="J7477" i="39"/>
  <c r="J7476" i="39"/>
  <c r="J7475" i="39"/>
  <c r="J7474" i="39"/>
  <c r="J7473" i="39"/>
  <c r="J7472" i="39"/>
  <c r="J7471" i="39"/>
  <c r="J7470" i="39"/>
  <c r="J7469" i="39"/>
  <c r="J7468" i="39"/>
  <c r="J7467" i="39"/>
  <c r="J7466" i="39"/>
  <c r="J7465" i="39"/>
  <c r="J7464" i="39"/>
  <c r="J7463" i="39"/>
  <c r="J7462" i="39"/>
  <c r="J7461" i="39"/>
  <c r="J7460" i="39"/>
  <c r="J7459" i="39"/>
  <c r="J7458" i="39"/>
  <c r="J7457" i="39"/>
  <c r="J7456" i="39"/>
  <c r="J7455" i="39"/>
  <c r="J7454" i="39"/>
  <c r="J7453" i="39"/>
  <c r="J7452" i="39"/>
  <c r="J7451" i="39"/>
  <c r="J7450" i="39"/>
  <c r="J7449" i="39"/>
  <c r="J7448" i="39"/>
  <c r="J7447" i="39"/>
  <c r="J7446" i="39"/>
  <c r="J7445" i="39"/>
  <c r="J7444" i="39"/>
  <c r="J7443" i="39"/>
  <c r="J7442" i="39"/>
  <c r="J7441" i="39"/>
  <c r="J7440" i="39"/>
  <c r="J7439" i="39"/>
  <c r="J7438" i="39"/>
  <c r="J7437" i="39"/>
  <c r="J7436" i="39"/>
  <c r="J7435" i="39"/>
  <c r="J7434" i="39"/>
  <c r="J7433" i="39"/>
  <c r="J7432" i="39"/>
  <c r="J7431" i="39"/>
  <c r="J7430" i="39"/>
  <c r="J7429" i="39"/>
  <c r="J7428" i="39"/>
  <c r="J7427" i="39"/>
  <c r="J7426" i="39"/>
  <c r="J7425" i="39"/>
  <c r="J7424" i="39"/>
  <c r="J7423" i="39"/>
  <c r="J7422" i="39"/>
  <c r="J7421" i="39"/>
  <c r="J7420" i="39"/>
  <c r="J7419" i="39"/>
  <c r="J7418" i="39"/>
  <c r="J7417" i="39"/>
  <c r="J7416" i="39"/>
  <c r="J7415" i="39"/>
  <c r="B7415" i="39"/>
  <c r="J7414" i="39"/>
  <c r="J7413" i="39"/>
  <c r="J7412" i="39"/>
  <c r="J7411" i="39"/>
  <c r="J7410" i="39"/>
  <c r="J7409" i="39"/>
  <c r="J7408" i="39"/>
  <c r="J7407" i="39"/>
  <c r="J7406" i="39"/>
  <c r="J7405" i="39"/>
  <c r="J7404" i="39"/>
  <c r="J7403" i="39"/>
  <c r="J7402" i="39"/>
  <c r="J7401" i="39"/>
  <c r="J7400" i="39"/>
  <c r="J7399" i="39"/>
  <c r="J7398" i="39"/>
  <c r="J7397" i="39"/>
  <c r="J7396" i="39"/>
  <c r="J7395" i="39"/>
  <c r="J7394" i="39"/>
  <c r="J7393" i="39"/>
  <c r="J7392" i="39"/>
  <c r="J7391" i="39"/>
  <c r="J7390" i="39"/>
  <c r="J7389" i="39"/>
  <c r="J7388" i="39"/>
  <c r="J7387" i="39"/>
  <c r="J7386" i="39"/>
  <c r="J7385" i="39"/>
  <c r="J7384" i="39"/>
  <c r="J7383" i="39"/>
  <c r="J7382" i="39"/>
  <c r="J7381" i="39"/>
  <c r="J7380" i="39"/>
  <c r="J7379" i="39"/>
  <c r="J7378" i="39"/>
  <c r="J7377" i="39"/>
  <c r="J7376" i="39"/>
  <c r="J7375" i="39"/>
  <c r="J7374" i="39"/>
  <c r="J7373" i="39"/>
  <c r="J7372" i="39"/>
  <c r="J7371" i="39"/>
  <c r="J7370" i="39"/>
  <c r="J7369" i="39"/>
  <c r="J7368" i="39"/>
  <c r="J7367" i="39"/>
  <c r="J7366" i="39"/>
  <c r="J7365" i="39"/>
  <c r="J7364" i="39"/>
  <c r="J7363" i="39"/>
  <c r="J7362" i="39"/>
  <c r="J7361" i="39"/>
  <c r="J7360" i="39"/>
  <c r="J7359" i="39"/>
  <c r="J7358" i="39"/>
  <c r="J7357" i="39"/>
  <c r="J7356" i="39"/>
  <c r="J7355" i="39"/>
  <c r="J7354" i="39"/>
  <c r="J7353" i="39"/>
  <c r="J7352" i="39"/>
  <c r="J7351" i="39"/>
  <c r="J7350" i="39"/>
  <c r="J7349" i="39"/>
  <c r="J7348" i="39"/>
  <c r="J7347" i="39"/>
  <c r="J7346" i="39"/>
  <c r="J7345" i="39"/>
  <c r="J7344" i="39"/>
  <c r="J7343" i="39"/>
  <c r="J7342" i="39"/>
  <c r="J7341" i="39"/>
  <c r="J7340" i="39"/>
  <c r="J7339" i="39"/>
  <c r="J7338" i="39"/>
  <c r="J7337" i="39"/>
  <c r="J7336" i="39"/>
  <c r="J7335" i="39"/>
  <c r="J7334" i="39"/>
  <c r="J7333" i="39"/>
  <c r="J7332" i="39"/>
  <c r="J7331" i="39"/>
  <c r="J7330" i="39"/>
  <c r="J7329" i="39"/>
  <c r="J7328" i="39"/>
  <c r="J7327" i="39"/>
  <c r="J7326" i="39"/>
  <c r="J7325" i="39"/>
  <c r="J7324" i="39"/>
  <c r="J7323" i="39"/>
  <c r="J7322" i="39"/>
  <c r="J7321" i="39"/>
  <c r="J7320" i="39"/>
  <c r="J7319" i="39"/>
  <c r="J7318" i="39"/>
  <c r="J7317" i="39"/>
  <c r="J7316" i="39"/>
  <c r="J7315" i="39"/>
  <c r="J7314" i="39"/>
  <c r="J7313" i="39"/>
  <c r="J7312" i="39"/>
  <c r="J7311" i="39"/>
  <c r="J7310" i="39"/>
  <c r="J7309" i="39"/>
  <c r="J7308" i="39"/>
  <c r="J7307" i="39"/>
  <c r="J7306" i="39"/>
  <c r="J7305" i="39"/>
  <c r="J7304" i="39"/>
  <c r="J7303" i="39"/>
  <c r="J7302" i="39"/>
  <c r="J7301" i="39"/>
  <c r="J7300" i="39"/>
  <c r="J7299" i="39"/>
  <c r="J7298" i="39"/>
  <c r="J7297" i="39"/>
  <c r="J7296" i="39"/>
  <c r="J7295" i="39"/>
  <c r="J7294" i="39"/>
  <c r="J7293" i="39"/>
  <c r="J7292" i="39"/>
  <c r="J7291" i="39"/>
  <c r="J7290" i="39"/>
  <c r="J7289" i="39"/>
  <c r="J7288" i="39"/>
  <c r="J7287" i="39"/>
  <c r="J7286" i="39"/>
  <c r="J7285" i="39"/>
  <c r="J7284" i="39"/>
  <c r="J7283" i="39"/>
  <c r="J7282" i="39"/>
  <c r="J7281" i="39"/>
  <c r="J7280" i="39"/>
  <c r="J7279" i="39"/>
  <c r="J7278" i="39"/>
  <c r="J7277" i="39"/>
  <c r="J7276" i="39"/>
  <c r="J7275" i="39"/>
  <c r="J7274" i="39"/>
  <c r="J7273" i="39"/>
  <c r="J7272" i="39"/>
  <c r="J7271" i="39"/>
  <c r="J7270" i="39"/>
  <c r="J7269" i="39"/>
  <c r="J7268" i="39"/>
  <c r="J7267" i="39"/>
  <c r="J7266" i="39"/>
  <c r="J7265" i="39"/>
  <c r="J7264" i="39"/>
  <c r="J7263" i="39"/>
  <c r="J7262" i="39"/>
  <c r="J7261" i="39"/>
  <c r="J7260" i="39"/>
  <c r="J7259" i="39"/>
  <c r="J7258" i="39"/>
  <c r="J7257" i="39"/>
  <c r="J7256" i="39"/>
  <c r="J7255" i="39"/>
  <c r="J7254" i="39"/>
  <c r="J7253" i="39"/>
  <c r="J7252" i="39"/>
  <c r="J7251" i="39"/>
  <c r="J7250" i="39"/>
  <c r="J7249" i="39"/>
  <c r="J7248" i="39"/>
  <c r="J7247" i="39"/>
  <c r="J7246" i="39"/>
  <c r="J7245" i="39"/>
  <c r="J7244" i="39"/>
  <c r="J7243" i="39"/>
  <c r="J7242" i="39"/>
  <c r="J7241" i="39"/>
  <c r="J7240" i="39"/>
  <c r="J7239" i="39"/>
  <c r="J7238" i="39"/>
  <c r="J7237" i="39"/>
  <c r="J7236" i="39"/>
  <c r="J7235" i="39"/>
  <c r="J7234" i="39"/>
  <c r="J7233" i="39"/>
  <c r="J7232" i="39"/>
  <c r="J7231" i="39"/>
  <c r="J7230" i="39"/>
  <c r="J7229" i="39"/>
  <c r="J7228" i="39"/>
  <c r="J7227" i="39"/>
  <c r="J7226" i="39"/>
  <c r="J7225" i="39"/>
  <c r="J7224" i="39"/>
  <c r="J7223" i="39"/>
  <c r="J7222" i="39"/>
  <c r="J7221" i="39"/>
  <c r="J7220" i="39"/>
  <c r="J7219" i="39"/>
  <c r="J7218" i="39"/>
  <c r="J7217" i="39"/>
  <c r="J7216" i="39"/>
  <c r="J7215" i="39"/>
  <c r="J7214" i="39"/>
  <c r="J7213" i="39"/>
  <c r="J7212" i="39"/>
  <c r="J7211" i="39"/>
  <c r="J7210" i="39"/>
  <c r="J7209" i="39"/>
  <c r="J7208" i="39"/>
  <c r="J7207" i="39"/>
  <c r="J7206" i="39"/>
  <c r="J7205" i="39"/>
  <c r="J7204" i="39"/>
  <c r="J7203" i="39"/>
  <c r="J7202" i="39"/>
  <c r="J7201" i="39"/>
  <c r="J7200" i="39"/>
  <c r="J7199" i="39"/>
  <c r="J7198" i="39"/>
  <c r="J7197" i="39"/>
  <c r="J7196" i="39"/>
  <c r="J7195" i="39"/>
  <c r="J7194" i="39"/>
  <c r="J7193" i="39"/>
  <c r="J7192" i="39"/>
  <c r="J7191" i="39"/>
  <c r="J7190" i="39"/>
  <c r="J7189" i="39"/>
  <c r="J7188" i="39"/>
  <c r="J7187" i="39"/>
  <c r="J7186" i="39"/>
  <c r="J7185" i="39"/>
  <c r="J7184" i="39"/>
  <c r="J7183" i="39"/>
  <c r="J7182" i="39"/>
  <c r="J7181" i="39"/>
  <c r="J7180" i="39"/>
  <c r="J7179" i="39"/>
  <c r="J7178" i="39"/>
  <c r="J7177" i="39"/>
  <c r="J7176" i="39"/>
  <c r="J7175" i="39"/>
  <c r="J7174" i="39"/>
  <c r="J7173" i="39"/>
  <c r="J7172" i="39"/>
  <c r="J7171" i="39"/>
  <c r="J7170" i="39"/>
  <c r="J7169" i="39"/>
  <c r="J7168" i="39"/>
  <c r="J7167" i="39"/>
  <c r="J7166" i="39"/>
  <c r="J7165" i="39"/>
  <c r="J7164" i="39"/>
  <c r="J7163" i="39"/>
  <c r="J7162" i="39"/>
  <c r="J7161" i="39"/>
  <c r="J7160" i="39"/>
  <c r="J7159" i="39"/>
  <c r="J7158" i="39"/>
  <c r="J7157" i="39"/>
  <c r="J7156" i="39"/>
  <c r="J7155" i="39"/>
  <c r="J7154" i="39"/>
  <c r="J7153" i="39"/>
  <c r="J7152" i="39"/>
  <c r="J7151" i="39"/>
  <c r="J7150" i="39"/>
  <c r="J7149" i="39"/>
  <c r="J7148" i="39"/>
  <c r="J7147" i="39"/>
  <c r="J7146" i="39"/>
  <c r="J7145" i="39"/>
  <c r="J7144" i="39"/>
  <c r="J7143" i="39"/>
  <c r="J7142" i="39"/>
  <c r="J7141" i="39"/>
  <c r="J7140" i="39"/>
  <c r="J7139" i="39"/>
  <c r="J7138" i="39"/>
  <c r="J7137" i="39"/>
  <c r="J7136" i="39"/>
  <c r="J7135" i="39"/>
  <c r="J7134" i="39"/>
  <c r="J7133" i="39"/>
  <c r="J7132" i="39"/>
  <c r="J7131" i="39"/>
  <c r="J7130" i="39"/>
  <c r="J7129" i="39"/>
  <c r="J7128" i="39"/>
  <c r="J7127" i="39"/>
  <c r="J7126" i="39"/>
  <c r="J7125" i="39"/>
  <c r="J7124" i="39"/>
  <c r="J7123" i="39"/>
  <c r="J7122" i="39"/>
  <c r="J7121" i="39"/>
  <c r="J7120" i="39"/>
  <c r="J7119" i="39"/>
  <c r="J7118" i="39"/>
  <c r="J7117" i="39"/>
  <c r="J7116" i="39"/>
  <c r="J7115" i="39"/>
  <c r="J7114" i="39"/>
  <c r="J7113" i="39"/>
  <c r="J7112" i="39"/>
  <c r="J7111" i="39"/>
  <c r="J7110" i="39"/>
  <c r="B7110" i="39"/>
  <c r="J7109" i="39"/>
  <c r="J7108" i="39"/>
  <c r="J7107" i="39"/>
  <c r="J7106" i="39"/>
  <c r="J7105" i="39"/>
  <c r="J7104" i="39"/>
  <c r="J7103" i="39"/>
  <c r="J7102" i="39"/>
  <c r="J7101" i="39"/>
  <c r="J7100" i="39"/>
  <c r="J7099" i="39"/>
  <c r="J7098" i="39"/>
  <c r="J7097" i="39"/>
  <c r="J7096" i="39"/>
  <c r="J7095" i="39"/>
  <c r="J7094" i="39"/>
  <c r="J7093" i="39"/>
  <c r="J7092" i="39"/>
  <c r="J7091" i="39"/>
  <c r="J7090" i="39"/>
  <c r="J7089" i="39"/>
  <c r="J7088" i="39"/>
  <c r="J7087" i="39"/>
  <c r="J7086" i="39"/>
  <c r="J7085" i="39"/>
  <c r="J7084" i="39"/>
  <c r="J7083" i="39"/>
  <c r="J7082" i="39"/>
  <c r="J7081" i="39"/>
  <c r="J7080" i="39"/>
  <c r="J7079" i="39"/>
  <c r="J7078" i="39"/>
  <c r="J7077" i="39"/>
  <c r="J7076" i="39"/>
  <c r="J7075" i="39"/>
  <c r="J7074" i="39"/>
  <c r="J7073" i="39"/>
  <c r="J7072" i="39"/>
  <c r="J7071" i="39"/>
  <c r="J7070" i="39"/>
  <c r="J7069" i="39"/>
  <c r="J7068" i="39"/>
  <c r="J7067" i="39"/>
  <c r="J7066" i="39"/>
  <c r="J7065" i="39"/>
  <c r="J7064" i="39"/>
  <c r="J7063" i="39"/>
  <c r="J7062" i="39"/>
  <c r="J7061" i="39"/>
  <c r="J7060" i="39"/>
  <c r="J7059" i="39"/>
  <c r="J7058" i="39"/>
  <c r="J7057" i="39"/>
  <c r="J7056" i="39"/>
  <c r="J7055" i="39"/>
  <c r="J7054" i="39"/>
  <c r="J7053" i="39"/>
  <c r="J7052" i="39"/>
  <c r="J7051" i="39"/>
  <c r="J7050" i="39"/>
  <c r="J7049" i="39"/>
  <c r="J7048" i="39"/>
  <c r="J7047" i="39"/>
  <c r="J7046" i="39"/>
  <c r="J7045" i="39"/>
  <c r="J7044" i="39"/>
  <c r="J7043" i="39"/>
  <c r="J7042" i="39"/>
  <c r="J7041" i="39"/>
  <c r="J7040" i="39"/>
  <c r="J7039" i="39"/>
  <c r="J7038" i="39"/>
  <c r="J7037" i="39"/>
  <c r="J7036" i="39"/>
  <c r="J7035" i="39"/>
  <c r="J7034" i="39"/>
  <c r="J7033" i="39"/>
  <c r="J7032" i="39"/>
  <c r="J7031" i="39"/>
  <c r="J7030" i="39"/>
  <c r="J7029" i="39"/>
  <c r="J7028" i="39"/>
  <c r="J7027" i="39"/>
  <c r="J7026" i="39"/>
  <c r="J7025" i="39"/>
  <c r="J7024" i="39"/>
  <c r="J7023" i="39"/>
  <c r="J7022" i="39"/>
  <c r="J7021" i="39"/>
  <c r="J7020" i="39"/>
  <c r="J7019" i="39"/>
  <c r="J7018" i="39"/>
  <c r="J7017" i="39"/>
  <c r="J7016" i="39"/>
  <c r="J7015" i="39"/>
  <c r="J7014" i="39"/>
  <c r="J7013" i="39"/>
  <c r="J7012" i="39"/>
  <c r="J7011" i="39"/>
  <c r="J7010" i="39"/>
  <c r="J7009" i="39"/>
  <c r="J7008" i="39"/>
  <c r="J7007" i="39"/>
  <c r="J7006" i="39"/>
  <c r="J7005" i="39"/>
  <c r="J7004" i="39"/>
  <c r="J7003" i="39"/>
  <c r="J7002" i="39"/>
  <c r="J7001" i="39"/>
  <c r="J7000" i="39"/>
  <c r="J6999" i="39"/>
  <c r="J6998" i="39"/>
  <c r="J6997" i="39"/>
  <c r="J6996" i="39"/>
  <c r="J6995" i="39"/>
  <c r="J6994" i="39"/>
  <c r="J6993" i="39"/>
  <c r="J6992" i="39"/>
  <c r="J6991" i="39"/>
  <c r="J6990" i="39"/>
  <c r="J6989" i="39"/>
  <c r="J6988" i="39"/>
  <c r="J6987" i="39"/>
  <c r="J6986" i="39"/>
  <c r="J6985" i="39"/>
  <c r="J6984" i="39"/>
  <c r="J6983" i="39"/>
  <c r="J6982" i="39"/>
  <c r="J6981" i="39"/>
  <c r="J6980" i="39"/>
  <c r="J6979" i="39"/>
  <c r="J6978" i="39"/>
  <c r="J6977" i="39"/>
  <c r="J6976" i="39"/>
  <c r="J6975" i="39"/>
  <c r="J6974" i="39"/>
  <c r="J6973" i="39"/>
  <c r="J6972" i="39"/>
  <c r="J6971" i="39"/>
  <c r="J6970" i="39"/>
  <c r="J6969" i="39"/>
  <c r="J6968" i="39"/>
  <c r="J6967" i="39"/>
  <c r="J6966" i="39"/>
  <c r="J6965" i="39"/>
  <c r="J6964" i="39"/>
  <c r="J6963" i="39"/>
  <c r="J6962" i="39"/>
  <c r="J6961" i="39"/>
  <c r="J6960" i="39"/>
  <c r="J6959" i="39"/>
  <c r="J6958" i="39"/>
  <c r="J6957" i="39"/>
  <c r="J6956" i="39"/>
  <c r="J6955" i="39"/>
  <c r="J6954" i="39"/>
  <c r="J6953" i="39"/>
  <c r="J6952" i="39"/>
  <c r="J6951" i="39"/>
  <c r="J6950" i="39"/>
  <c r="J6949" i="39"/>
  <c r="J6948" i="39"/>
  <c r="J6947" i="39"/>
  <c r="J6946" i="39"/>
  <c r="J6945" i="39"/>
  <c r="J6944" i="39"/>
  <c r="J6943" i="39"/>
  <c r="J6942" i="39"/>
  <c r="J6941" i="39"/>
  <c r="J6940" i="39"/>
  <c r="J6939" i="39"/>
  <c r="J6938" i="39"/>
  <c r="J6937" i="39"/>
  <c r="J6936" i="39"/>
  <c r="J6935" i="39"/>
  <c r="J6934" i="39"/>
  <c r="J6933" i="39"/>
  <c r="J6932" i="39"/>
  <c r="J6931" i="39"/>
  <c r="J6930" i="39"/>
  <c r="J6929" i="39"/>
  <c r="J6928" i="39"/>
  <c r="J6927" i="39"/>
  <c r="J6926" i="39"/>
  <c r="J6925" i="39"/>
  <c r="J6924" i="39"/>
  <c r="J6923" i="39"/>
  <c r="J6922" i="39"/>
  <c r="J6921" i="39"/>
  <c r="J6920" i="39"/>
  <c r="J6919" i="39"/>
  <c r="J6918" i="39"/>
  <c r="J6917" i="39"/>
  <c r="J6916" i="39"/>
  <c r="J6915" i="39"/>
  <c r="J6914" i="39"/>
  <c r="J6913" i="39"/>
  <c r="J6912" i="39"/>
  <c r="J6911" i="39"/>
  <c r="J6910" i="39"/>
  <c r="J6909" i="39"/>
  <c r="J6908" i="39"/>
  <c r="J6907" i="39"/>
  <c r="J6906" i="39"/>
  <c r="J6905" i="39"/>
  <c r="J6904" i="39"/>
  <c r="J6903" i="39"/>
  <c r="J6902" i="39"/>
  <c r="J6901" i="39"/>
  <c r="J6900" i="39"/>
  <c r="J6899" i="39"/>
  <c r="J6898" i="39"/>
  <c r="J6897" i="39"/>
  <c r="J6896" i="39"/>
  <c r="J6895" i="39"/>
  <c r="J6894" i="39"/>
  <c r="J6893" i="39"/>
  <c r="J6892" i="39"/>
  <c r="J6891" i="39"/>
  <c r="J6890" i="39"/>
  <c r="J6889" i="39"/>
  <c r="J6888" i="39"/>
  <c r="J6887" i="39"/>
  <c r="J6886" i="39"/>
  <c r="J6885" i="39"/>
  <c r="J6884" i="39"/>
  <c r="J6883" i="39"/>
  <c r="J6882" i="39"/>
  <c r="J6881" i="39"/>
  <c r="J6880" i="39"/>
  <c r="J6879" i="39"/>
  <c r="J6878" i="39"/>
  <c r="J6877" i="39"/>
  <c r="J6876" i="39"/>
  <c r="J6875" i="39"/>
  <c r="J6874" i="39"/>
  <c r="J6873" i="39"/>
  <c r="J6872" i="39"/>
  <c r="J6871" i="39"/>
  <c r="J6870" i="39"/>
  <c r="J6869" i="39"/>
  <c r="J6868" i="39"/>
  <c r="J6867" i="39"/>
  <c r="J6866" i="39"/>
  <c r="J6865" i="39"/>
  <c r="J6864" i="39"/>
  <c r="J6863" i="39"/>
  <c r="J6862" i="39"/>
  <c r="J6861" i="39"/>
  <c r="J6860" i="39"/>
  <c r="J6859" i="39"/>
  <c r="J6858" i="39"/>
  <c r="J6857" i="39"/>
  <c r="J6856" i="39"/>
  <c r="J6855" i="39"/>
  <c r="J6854" i="39"/>
  <c r="J6853" i="39"/>
  <c r="J6852" i="39"/>
  <c r="J6851" i="39"/>
  <c r="J6850" i="39"/>
  <c r="J6849" i="39"/>
  <c r="J6848" i="39"/>
  <c r="J6847" i="39"/>
  <c r="J6846" i="39"/>
  <c r="J6845" i="39"/>
  <c r="J6844" i="39"/>
  <c r="J6843" i="39"/>
  <c r="J6842" i="39"/>
  <c r="J6841" i="39"/>
  <c r="J6840" i="39"/>
  <c r="J6839" i="39"/>
  <c r="J6838" i="39"/>
  <c r="J6837" i="39"/>
  <c r="J6836" i="39"/>
  <c r="J6835" i="39"/>
  <c r="J6834" i="39"/>
  <c r="J6833" i="39"/>
  <c r="J6832" i="39"/>
  <c r="J6831" i="39"/>
  <c r="J6830" i="39"/>
  <c r="J6829" i="39"/>
  <c r="J6828" i="39"/>
  <c r="J6827" i="39"/>
  <c r="J6826" i="39"/>
  <c r="J6825" i="39"/>
  <c r="J6824" i="39"/>
  <c r="J6823" i="39"/>
  <c r="J6822" i="39"/>
  <c r="J6821" i="39"/>
  <c r="J6820" i="39"/>
  <c r="J6819" i="39"/>
  <c r="J6818" i="39"/>
  <c r="J6817" i="39"/>
  <c r="J6816" i="39"/>
  <c r="J6815" i="39"/>
  <c r="J6814" i="39"/>
  <c r="J6813" i="39"/>
  <c r="J6812" i="39"/>
  <c r="J6811" i="39"/>
  <c r="J6810" i="39"/>
  <c r="J6809" i="39"/>
  <c r="J6808" i="39"/>
  <c r="J6807" i="39"/>
  <c r="J6806" i="39"/>
  <c r="J6805" i="39"/>
  <c r="J6804" i="39"/>
  <c r="J6803" i="39"/>
  <c r="J6802" i="39"/>
  <c r="J6801" i="39"/>
  <c r="J6800" i="39"/>
  <c r="J6799" i="39"/>
  <c r="J6798" i="39"/>
  <c r="J6797" i="39"/>
  <c r="J6796" i="39"/>
  <c r="J6795" i="39"/>
  <c r="J6794" i="39"/>
  <c r="J6793" i="39"/>
  <c r="J6792" i="39"/>
  <c r="J6791" i="39"/>
  <c r="J6790" i="39"/>
  <c r="J6789" i="39"/>
  <c r="J6788" i="39"/>
  <c r="J6787" i="39"/>
  <c r="J6786" i="39"/>
  <c r="J6785" i="39"/>
  <c r="J6784" i="39"/>
  <c r="J6783" i="39"/>
  <c r="J6782" i="39"/>
  <c r="J6781" i="39"/>
  <c r="J6780" i="39"/>
  <c r="J6779" i="39"/>
  <c r="J6778" i="39"/>
  <c r="J6777" i="39"/>
  <c r="J6776" i="39"/>
  <c r="J6775" i="39"/>
  <c r="J6774" i="39"/>
  <c r="J6773" i="39"/>
  <c r="J6772" i="39"/>
  <c r="J6771" i="39"/>
  <c r="J6770" i="39"/>
  <c r="J6769" i="39"/>
  <c r="J6768" i="39"/>
  <c r="J6767" i="39"/>
  <c r="J6766" i="39"/>
  <c r="J6765" i="39"/>
  <c r="J6764" i="39"/>
  <c r="J6763" i="39"/>
  <c r="J6762" i="39"/>
  <c r="J6761" i="39"/>
  <c r="J6760" i="39"/>
  <c r="J6759" i="39"/>
  <c r="J6758" i="39"/>
  <c r="J6757" i="39"/>
  <c r="J6756" i="39"/>
  <c r="J6755" i="39"/>
  <c r="J6754" i="39"/>
  <c r="J6753" i="39"/>
  <c r="J6752" i="39"/>
  <c r="J6751" i="39"/>
  <c r="J6750" i="39"/>
  <c r="J6749" i="39"/>
  <c r="J6748" i="39"/>
  <c r="J6747" i="39"/>
  <c r="J6746" i="39"/>
  <c r="J6745" i="39"/>
  <c r="J6744" i="39"/>
  <c r="J6743" i="39"/>
  <c r="J6742" i="39"/>
  <c r="J6741" i="39"/>
  <c r="J6740" i="39"/>
  <c r="J6739" i="39"/>
  <c r="J6738" i="39"/>
  <c r="J6737" i="39"/>
  <c r="J6736" i="39"/>
  <c r="J6735" i="39"/>
  <c r="J6734" i="39"/>
  <c r="J6733" i="39"/>
  <c r="J6732" i="39"/>
  <c r="J6731" i="39"/>
  <c r="J6730" i="39"/>
  <c r="J6729" i="39"/>
  <c r="J6728" i="39"/>
  <c r="J6727" i="39"/>
  <c r="J6726" i="39"/>
  <c r="J6725" i="39"/>
  <c r="J6724" i="39"/>
  <c r="J6723" i="39"/>
  <c r="J6722" i="39"/>
  <c r="J6721" i="39"/>
  <c r="J6720" i="39"/>
  <c r="J6719" i="39"/>
  <c r="J6718" i="39"/>
  <c r="J6717" i="39"/>
  <c r="J6716" i="39"/>
  <c r="J6715" i="39"/>
  <c r="J6714" i="39"/>
  <c r="J6713" i="39"/>
  <c r="J6712" i="39"/>
  <c r="J6711" i="39"/>
  <c r="J6710" i="39"/>
  <c r="J6709" i="39"/>
  <c r="J6708" i="39"/>
  <c r="J6707" i="39"/>
  <c r="J6706" i="39"/>
  <c r="J6705" i="39"/>
  <c r="J6704" i="39"/>
  <c r="J6703" i="39"/>
  <c r="J6702" i="39"/>
  <c r="J6701" i="39"/>
  <c r="J6700" i="39"/>
  <c r="J6699" i="39"/>
  <c r="J6698" i="39"/>
  <c r="J6697" i="39"/>
  <c r="J6696" i="39"/>
  <c r="J6695" i="39"/>
  <c r="J6694" i="39"/>
  <c r="J6693" i="39"/>
  <c r="J6692" i="39"/>
  <c r="J6691" i="39"/>
  <c r="J6690" i="39"/>
  <c r="J6689" i="39"/>
  <c r="J6688" i="39"/>
  <c r="J6687" i="39"/>
  <c r="J6686" i="39"/>
  <c r="J6685" i="39"/>
  <c r="J6684" i="39"/>
  <c r="J6683" i="39"/>
  <c r="J6682" i="39"/>
  <c r="J6681" i="39"/>
  <c r="J6680" i="39"/>
  <c r="J6679" i="39"/>
  <c r="J6678" i="39"/>
  <c r="J6677" i="39"/>
  <c r="J6676" i="39"/>
  <c r="J6675" i="39"/>
  <c r="J6674" i="39"/>
  <c r="J6673" i="39"/>
  <c r="J6672" i="39"/>
  <c r="J6671" i="39"/>
  <c r="J6670" i="39"/>
  <c r="J6669" i="39"/>
  <c r="J6668" i="39"/>
  <c r="J6667" i="39"/>
  <c r="J6666" i="39"/>
  <c r="J6665" i="39"/>
  <c r="J6664" i="39"/>
  <c r="J6663" i="39"/>
  <c r="J6662" i="39"/>
  <c r="J6661" i="39"/>
  <c r="J6660" i="39"/>
  <c r="J6659" i="39"/>
  <c r="J6658" i="39"/>
  <c r="J6657" i="39"/>
  <c r="J6656" i="39"/>
  <c r="J6655" i="39"/>
  <c r="J6654" i="39"/>
  <c r="J6653" i="39"/>
  <c r="J6652" i="39"/>
  <c r="J6651" i="39"/>
  <c r="J6650" i="39"/>
  <c r="J6649" i="39"/>
  <c r="J6648" i="39"/>
  <c r="J6647" i="39"/>
  <c r="J6646" i="39"/>
  <c r="J6645" i="39"/>
  <c r="J6644" i="39"/>
  <c r="J6643" i="39"/>
  <c r="J6642" i="39"/>
  <c r="J6641" i="39"/>
  <c r="J6640" i="39"/>
  <c r="J6639" i="39"/>
  <c r="J6638" i="39"/>
  <c r="J6637" i="39"/>
  <c r="J6636" i="39"/>
  <c r="J6635" i="39"/>
  <c r="J6634" i="39"/>
  <c r="J6633" i="39"/>
  <c r="J6632" i="39"/>
  <c r="J6631" i="39"/>
  <c r="J6630" i="39"/>
  <c r="J6629" i="39"/>
  <c r="J6628" i="39"/>
  <c r="J6627" i="39"/>
  <c r="J6626" i="39"/>
  <c r="J6625" i="39"/>
  <c r="J6624" i="39"/>
  <c r="J6623" i="39"/>
  <c r="J6622" i="39"/>
  <c r="J6621" i="39"/>
  <c r="J6620" i="39"/>
  <c r="J6619" i="39"/>
  <c r="J6618" i="39"/>
  <c r="J6617" i="39"/>
  <c r="J6616" i="39"/>
  <c r="J6615" i="39"/>
  <c r="J6614" i="39"/>
  <c r="J6613" i="39"/>
  <c r="J6612" i="39"/>
  <c r="J6611" i="39"/>
  <c r="J6610" i="39"/>
  <c r="J6609" i="39"/>
  <c r="J6608" i="39"/>
  <c r="J6607" i="39"/>
  <c r="J6606" i="39"/>
  <c r="J6605" i="39"/>
  <c r="J6604" i="39"/>
  <c r="J6603" i="39"/>
  <c r="J6602" i="39"/>
  <c r="J6601" i="39"/>
  <c r="J6600" i="39"/>
  <c r="J6599" i="39"/>
  <c r="J6598" i="39"/>
  <c r="J6597" i="39"/>
  <c r="J6596" i="39"/>
  <c r="J6595" i="39"/>
  <c r="J6594" i="39"/>
  <c r="J6593" i="39"/>
  <c r="J6592" i="39"/>
  <c r="J6591" i="39"/>
  <c r="J6590" i="39"/>
  <c r="J6589" i="39"/>
  <c r="J6588" i="39"/>
  <c r="J6587" i="39"/>
  <c r="J6586" i="39"/>
  <c r="J6585" i="39"/>
  <c r="J6584" i="39"/>
  <c r="J6583" i="39"/>
  <c r="J6582" i="39"/>
  <c r="J6581" i="39"/>
  <c r="J6580" i="39"/>
  <c r="J6579" i="39"/>
  <c r="J6578" i="39"/>
  <c r="J6577" i="39"/>
  <c r="J6576" i="39"/>
  <c r="J6575" i="39"/>
  <c r="J6574" i="39"/>
  <c r="J6573" i="39"/>
  <c r="J6572" i="39"/>
  <c r="J6571" i="39"/>
  <c r="J6570" i="39"/>
  <c r="J6569" i="39"/>
  <c r="J6568" i="39"/>
  <c r="J6567" i="39"/>
  <c r="J6566" i="39"/>
  <c r="J6565" i="39"/>
  <c r="J6564" i="39"/>
  <c r="J6563" i="39"/>
  <c r="J6562" i="39"/>
  <c r="J6561" i="39"/>
  <c r="J6560" i="39"/>
  <c r="J6559" i="39"/>
  <c r="J6558" i="39"/>
  <c r="J6557" i="39"/>
  <c r="J6556" i="39"/>
  <c r="J6555" i="39"/>
  <c r="J6554" i="39"/>
  <c r="J6553" i="39"/>
  <c r="J6552" i="39"/>
  <c r="J6551" i="39"/>
  <c r="J6550" i="39"/>
  <c r="J6549" i="39"/>
  <c r="J6548" i="39"/>
  <c r="J6547" i="39"/>
  <c r="J6546" i="39"/>
  <c r="J6545" i="39"/>
  <c r="J6544" i="39"/>
  <c r="J6543" i="39"/>
  <c r="J6542" i="39"/>
  <c r="J6541" i="39"/>
  <c r="J6540" i="39"/>
  <c r="J6539" i="39"/>
  <c r="J6538" i="39"/>
  <c r="B6538" i="39"/>
  <c r="J6537" i="39"/>
  <c r="J6536" i="39"/>
  <c r="J6535" i="39"/>
  <c r="J6534" i="39"/>
  <c r="J6533" i="39"/>
  <c r="J6532" i="39"/>
  <c r="J6531" i="39"/>
  <c r="J6530" i="39"/>
  <c r="J6529" i="39"/>
  <c r="J6528" i="39"/>
  <c r="J6527" i="39"/>
  <c r="J6526" i="39"/>
  <c r="J6525" i="39"/>
  <c r="J6524" i="39"/>
  <c r="J6523" i="39"/>
  <c r="J6522" i="39"/>
  <c r="J6521" i="39"/>
  <c r="J6520" i="39"/>
  <c r="J6519" i="39"/>
  <c r="J6518" i="39"/>
  <c r="J6517" i="39"/>
  <c r="J6516" i="39"/>
  <c r="J6515" i="39"/>
  <c r="J6514" i="39"/>
  <c r="J6513" i="39"/>
  <c r="J6512" i="39"/>
  <c r="J6511" i="39"/>
  <c r="J6510" i="39"/>
  <c r="J6509" i="39"/>
  <c r="J6508" i="39"/>
  <c r="J6507" i="39"/>
  <c r="J6506" i="39"/>
  <c r="J6505" i="39"/>
  <c r="J6504" i="39"/>
  <c r="J6503" i="39"/>
  <c r="J6502" i="39"/>
  <c r="J6501" i="39"/>
  <c r="J6500" i="39"/>
  <c r="J6499" i="39"/>
  <c r="J6498" i="39"/>
  <c r="J6497" i="39"/>
  <c r="J6496" i="39"/>
  <c r="J6495" i="39"/>
  <c r="J6494" i="39"/>
  <c r="J6493" i="39"/>
  <c r="J6492" i="39"/>
  <c r="J6491" i="39"/>
  <c r="J6490" i="39"/>
  <c r="J6489" i="39"/>
  <c r="J6488" i="39"/>
  <c r="J6487" i="39"/>
  <c r="J6486" i="39"/>
  <c r="J6485" i="39"/>
  <c r="J6484" i="39"/>
  <c r="J6483" i="39"/>
  <c r="J6482" i="39"/>
  <c r="J6481" i="39"/>
  <c r="J6480" i="39"/>
  <c r="J6479" i="39"/>
  <c r="J6478" i="39"/>
  <c r="J6477" i="39"/>
  <c r="J6476" i="39"/>
  <c r="J6475" i="39"/>
  <c r="J6474" i="39"/>
  <c r="J6473" i="39"/>
  <c r="J6472" i="39"/>
  <c r="J6471" i="39"/>
  <c r="J6470" i="39"/>
  <c r="J6469" i="39"/>
  <c r="J6468" i="39"/>
  <c r="J6467" i="39"/>
  <c r="J6466" i="39"/>
  <c r="J6465" i="39"/>
  <c r="J6464" i="39"/>
  <c r="J6463" i="39"/>
  <c r="J6462" i="39"/>
  <c r="J6461" i="39"/>
  <c r="J6460" i="39"/>
  <c r="J6459" i="39"/>
  <c r="J6458" i="39"/>
  <c r="J6457" i="39"/>
  <c r="J6456" i="39"/>
  <c r="J6455" i="39"/>
  <c r="J6454" i="39"/>
  <c r="J6453" i="39"/>
  <c r="J6452" i="39"/>
  <c r="J6451" i="39"/>
  <c r="J6450" i="39"/>
  <c r="J6449" i="39"/>
  <c r="J6448" i="39"/>
  <c r="J6447" i="39"/>
  <c r="J6446" i="39"/>
  <c r="J6445" i="39"/>
  <c r="J6444" i="39"/>
  <c r="J6443" i="39"/>
  <c r="J6442" i="39"/>
  <c r="J6441" i="39"/>
  <c r="J6440" i="39"/>
  <c r="J6439" i="39"/>
  <c r="J6438" i="39"/>
  <c r="J6437" i="39"/>
  <c r="J6436" i="39"/>
  <c r="J6435" i="39"/>
  <c r="J6434" i="39"/>
  <c r="J6433" i="39"/>
  <c r="J6432" i="39"/>
  <c r="J6431" i="39"/>
  <c r="J6430" i="39"/>
  <c r="J6429" i="39"/>
  <c r="J6428" i="39"/>
  <c r="J6427" i="39"/>
  <c r="J6426" i="39"/>
  <c r="J6425" i="39"/>
  <c r="J6424" i="39"/>
  <c r="J6423" i="39"/>
  <c r="J6422" i="39"/>
  <c r="J6421" i="39"/>
  <c r="J6420" i="39"/>
  <c r="J6419" i="39"/>
  <c r="J6418" i="39"/>
  <c r="J6417" i="39"/>
  <c r="J6416" i="39"/>
  <c r="J6415" i="39"/>
  <c r="J6414" i="39"/>
  <c r="J6413" i="39"/>
  <c r="J6412" i="39"/>
  <c r="J6411" i="39"/>
  <c r="J6410" i="39"/>
  <c r="J6409" i="39"/>
  <c r="J6408" i="39"/>
  <c r="J6407" i="39"/>
  <c r="J6406" i="39"/>
  <c r="J6405" i="39"/>
  <c r="J6404" i="39"/>
  <c r="J6403" i="39"/>
  <c r="J6402" i="39"/>
  <c r="J6401" i="39"/>
  <c r="J6400" i="39"/>
  <c r="J6399" i="39"/>
  <c r="J6398" i="39"/>
  <c r="J6397" i="39"/>
  <c r="J6396" i="39"/>
  <c r="J6395" i="39"/>
  <c r="J6394" i="39"/>
  <c r="J6393" i="39"/>
  <c r="J6392" i="39"/>
  <c r="J6391" i="39"/>
  <c r="J6390" i="39"/>
  <c r="J6389" i="39"/>
  <c r="J6388" i="39"/>
  <c r="J6387" i="39"/>
  <c r="J6386" i="39"/>
  <c r="J6385" i="39"/>
  <c r="J6384" i="39"/>
  <c r="J6383" i="39"/>
  <c r="J6382" i="39"/>
  <c r="J6381" i="39"/>
  <c r="J6380" i="39"/>
  <c r="J6379" i="39"/>
  <c r="J6378" i="39"/>
  <c r="J6377" i="39"/>
  <c r="J6376" i="39"/>
  <c r="J6375" i="39"/>
  <c r="J6374" i="39"/>
  <c r="J6373" i="39"/>
  <c r="J6372" i="39"/>
  <c r="J6371" i="39"/>
  <c r="J6370" i="39"/>
  <c r="J6369" i="39"/>
  <c r="J6368" i="39"/>
  <c r="J6367" i="39"/>
  <c r="J6366" i="39"/>
  <c r="J6365" i="39"/>
  <c r="J6364" i="39"/>
  <c r="J6363" i="39"/>
  <c r="J6362" i="39"/>
  <c r="J6361" i="39"/>
  <c r="J6360" i="39"/>
  <c r="J6359" i="39"/>
  <c r="J6358" i="39"/>
  <c r="J6357" i="39"/>
  <c r="J6356" i="39"/>
  <c r="J6355" i="39"/>
  <c r="J6354" i="39"/>
  <c r="J6353" i="39"/>
  <c r="J6352" i="39"/>
  <c r="J6351" i="39"/>
  <c r="J6350" i="39"/>
  <c r="J6349" i="39"/>
  <c r="J6348" i="39"/>
  <c r="J6347" i="39"/>
  <c r="J6346" i="39"/>
  <c r="J6345" i="39"/>
  <c r="J6344" i="39"/>
  <c r="J6343" i="39"/>
  <c r="J6342" i="39"/>
  <c r="J6341" i="39"/>
  <c r="J6340" i="39"/>
  <c r="J6339" i="39"/>
  <c r="J6338" i="39"/>
  <c r="J6337" i="39"/>
  <c r="J6336" i="39"/>
  <c r="J6335" i="39"/>
  <c r="J6334" i="39"/>
  <c r="J6333" i="39"/>
  <c r="J6332" i="39"/>
  <c r="J6331" i="39"/>
  <c r="J6330" i="39"/>
  <c r="J6329" i="39"/>
  <c r="J6328" i="39"/>
  <c r="J6327" i="39"/>
  <c r="J6326" i="39"/>
  <c r="J6325" i="39"/>
  <c r="B6325" i="39"/>
  <c r="J6324" i="39"/>
  <c r="J6323" i="39"/>
  <c r="J6322" i="39"/>
  <c r="J6321" i="39"/>
  <c r="J6320" i="39"/>
  <c r="J6319" i="39"/>
  <c r="J6318" i="39"/>
  <c r="J6317" i="39"/>
  <c r="J6316" i="39"/>
  <c r="J6315" i="39"/>
  <c r="J6314" i="39"/>
  <c r="J6313" i="39"/>
  <c r="J6312" i="39"/>
  <c r="J6311" i="39"/>
  <c r="J6310" i="39"/>
  <c r="J6309" i="39"/>
  <c r="J6308" i="39"/>
  <c r="J6307" i="39"/>
  <c r="J6306" i="39"/>
  <c r="J6305" i="39"/>
  <c r="J6304" i="39"/>
  <c r="J6303" i="39"/>
  <c r="J6302" i="39"/>
  <c r="J6301" i="39"/>
  <c r="J6300" i="39"/>
  <c r="J6299" i="39"/>
  <c r="J6298" i="39"/>
  <c r="J6297" i="39"/>
  <c r="J6296" i="39"/>
  <c r="J6295" i="39"/>
  <c r="J6294" i="39"/>
  <c r="J6293" i="39"/>
  <c r="J6292" i="39"/>
  <c r="J6291" i="39"/>
  <c r="J6290" i="39"/>
  <c r="J6289" i="39"/>
  <c r="J6288" i="39"/>
  <c r="J6287" i="39"/>
  <c r="J6286" i="39"/>
  <c r="J6285" i="39"/>
  <c r="J6284" i="39"/>
  <c r="J6283" i="39"/>
  <c r="J6282" i="39"/>
  <c r="J6281" i="39"/>
  <c r="J6280" i="39"/>
  <c r="J6279" i="39"/>
  <c r="J6278" i="39"/>
  <c r="J6277" i="39"/>
  <c r="J6276" i="39"/>
  <c r="J6275" i="39"/>
  <c r="J6274" i="39"/>
  <c r="J6273" i="39"/>
  <c r="J6272" i="39"/>
  <c r="J6271" i="39"/>
  <c r="J6270" i="39"/>
  <c r="J6269" i="39"/>
  <c r="J6268" i="39"/>
  <c r="J6267" i="39"/>
  <c r="J6266" i="39"/>
  <c r="J6265" i="39"/>
  <c r="J6264" i="39"/>
  <c r="J6263" i="39"/>
  <c r="J6262" i="39"/>
  <c r="J6261" i="39"/>
  <c r="J6260" i="39"/>
  <c r="J6259" i="39"/>
  <c r="J6258" i="39"/>
  <c r="J6257" i="39"/>
  <c r="J6256" i="39"/>
  <c r="J6255" i="39"/>
  <c r="J6254" i="39"/>
  <c r="J6253" i="39"/>
  <c r="J6252" i="39"/>
  <c r="J6251" i="39"/>
  <c r="J6250" i="39"/>
  <c r="J6249" i="39"/>
  <c r="J6248" i="39"/>
  <c r="J6247" i="39"/>
  <c r="J6246" i="39"/>
  <c r="J6245" i="39"/>
  <c r="J6244" i="39"/>
  <c r="J6243" i="39"/>
  <c r="B6243" i="39"/>
  <c r="J6242" i="39"/>
  <c r="J6241" i="39"/>
  <c r="J6240" i="39"/>
  <c r="J6239" i="39"/>
  <c r="J6238" i="39"/>
  <c r="J6237" i="39"/>
  <c r="J6236" i="39"/>
  <c r="J6235" i="39"/>
  <c r="J6234" i="39"/>
  <c r="J6233" i="39"/>
  <c r="J6232" i="39"/>
  <c r="J6231" i="39"/>
  <c r="J6230" i="39"/>
  <c r="J6229" i="39"/>
  <c r="J6228" i="39"/>
  <c r="J6227" i="39"/>
  <c r="J6226" i="39"/>
  <c r="J6225" i="39"/>
  <c r="J6224" i="39"/>
  <c r="J6223" i="39"/>
  <c r="J6222" i="39"/>
  <c r="J6221" i="39"/>
  <c r="J6220" i="39"/>
  <c r="J6219" i="39"/>
  <c r="J6218" i="39"/>
  <c r="J6217" i="39"/>
  <c r="J6216" i="39"/>
  <c r="J6215" i="39"/>
  <c r="J6214" i="39"/>
  <c r="J6213" i="39"/>
  <c r="J6212" i="39"/>
  <c r="J6211" i="39"/>
  <c r="J6210" i="39"/>
  <c r="J6209" i="39"/>
  <c r="J6208" i="39"/>
  <c r="J6207" i="39"/>
  <c r="J6206" i="39"/>
  <c r="J6205" i="39"/>
  <c r="J6204" i="39"/>
  <c r="J6203" i="39"/>
  <c r="J6202" i="39"/>
  <c r="J6201" i="39"/>
  <c r="J6200" i="39"/>
  <c r="J6199" i="39"/>
  <c r="J6198" i="39"/>
  <c r="J6197" i="39"/>
  <c r="J6196" i="39"/>
  <c r="J6195" i="39"/>
  <c r="J6194" i="39"/>
  <c r="J6193" i="39"/>
  <c r="J6192" i="39"/>
  <c r="J6191" i="39"/>
  <c r="J6190" i="39"/>
  <c r="J6189" i="39"/>
  <c r="J6188" i="39"/>
  <c r="J6187" i="39"/>
  <c r="J6186" i="39"/>
  <c r="J6185" i="39"/>
  <c r="J6184" i="39"/>
  <c r="J6183" i="39"/>
  <c r="J6182" i="39"/>
  <c r="J6181" i="39"/>
  <c r="J6180" i="39"/>
  <c r="J6179" i="39"/>
  <c r="J6178" i="39"/>
  <c r="J6177" i="39"/>
  <c r="J6176" i="39"/>
  <c r="J6175" i="39"/>
  <c r="J6174" i="39"/>
  <c r="J6173" i="39"/>
  <c r="J6172" i="39"/>
  <c r="J6171" i="39"/>
  <c r="J6170" i="39"/>
  <c r="J6169" i="39"/>
  <c r="J6168" i="39"/>
  <c r="J6167" i="39"/>
  <c r="J6166" i="39"/>
  <c r="J6165" i="39"/>
  <c r="J6164" i="39"/>
  <c r="J6163" i="39"/>
  <c r="J6162" i="39"/>
  <c r="J6161" i="39"/>
  <c r="J6160" i="39"/>
  <c r="J6159" i="39"/>
  <c r="J6158" i="39"/>
  <c r="J6157" i="39"/>
  <c r="J6156" i="39"/>
  <c r="J6155" i="39"/>
  <c r="J6154" i="39"/>
  <c r="J6153" i="39"/>
  <c r="J6152" i="39"/>
  <c r="J6151" i="39"/>
  <c r="J6150" i="39"/>
  <c r="J6149" i="39"/>
  <c r="J6148" i="39"/>
  <c r="J6147" i="39"/>
  <c r="J6146" i="39"/>
  <c r="J6145" i="39"/>
  <c r="J6144" i="39"/>
  <c r="J6143" i="39"/>
  <c r="J6142" i="39"/>
  <c r="J6141" i="39"/>
  <c r="J6140" i="39"/>
  <c r="J6139" i="39"/>
  <c r="J6138" i="39"/>
  <c r="J6137" i="39"/>
  <c r="J6136" i="39"/>
  <c r="J6135" i="39"/>
  <c r="J6134" i="39"/>
  <c r="J6133" i="39"/>
  <c r="J6132" i="39"/>
  <c r="J6131" i="39"/>
  <c r="J6130" i="39"/>
  <c r="J6129" i="39"/>
  <c r="J6128" i="39"/>
  <c r="J6127" i="39"/>
  <c r="J6126" i="39"/>
  <c r="J6125" i="39"/>
  <c r="J6124" i="39"/>
  <c r="J6123" i="39"/>
  <c r="J6122" i="39"/>
  <c r="J6121" i="39"/>
  <c r="J6120" i="39"/>
  <c r="J6119" i="39"/>
  <c r="J6118" i="39"/>
  <c r="J6117" i="39"/>
  <c r="J6116" i="39"/>
  <c r="J6115" i="39"/>
  <c r="J6114" i="39"/>
  <c r="J6113" i="39"/>
  <c r="J6112" i="39"/>
  <c r="J6111" i="39"/>
  <c r="J6110" i="39"/>
  <c r="J6109" i="39"/>
  <c r="J6108" i="39"/>
  <c r="J6107" i="39"/>
  <c r="J6106" i="39"/>
  <c r="J6105" i="39"/>
  <c r="J6104" i="39"/>
  <c r="J6103" i="39"/>
  <c r="J6102" i="39"/>
  <c r="J6101" i="39"/>
  <c r="J6100" i="39"/>
  <c r="J6099" i="39"/>
  <c r="J6098" i="39"/>
  <c r="J6097" i="39"/>
  <c r="J6096" i="39"/>
  <c r="J6095" i="39"/>
  <c r="J6094" i="39"/>
  <c r="J6093" i="39"/>
  <c r="J6092" i="39"/>
  <c r="J6091" i="39"/>
  <c r="J6090" i="39"/>
  <c r="J6089" i="39"/>
  <c r="J6088" i="39"/>
  <c r="J6087" i="39"/>
  <c r="J6086" i="39"/>
  <c r="J6085" i="39"/>
  <c r="J6084" i="39"/>
  <c r="J6083" i="39"/>
  <c r="J6082" i="39"/>
  <c r="J6081" i="39"/>
  <c r="B6081" i="39"/>
  <c r="J6080" i="39"/>
  <c r="J6079" i="39"/>
  <c r="J6078" i="39"/>
  <c r="J6077" i="39"/>
  <c r="J6076" i="39"/>
  <c r="J6075" i="39"/>
  <c r="J6074" i="39"/>
  <c r="J6073" i="39"/>
  <c r="J6072" i="39"/>
  <c r="J6071" i="39"/>
  <c r="J6070" i="39"/>
  <c r="J6069" i="39"/>
  <c r="J6068" i="39"/>
  <c r="J6067" i="39"/>
  <c r="J6066" i="39"/>
  <c r="J6065" i="39"/>
  <c r="J6064" i="39"/>
  <c r="J6063" i="39"/>
  <c r="J6062" i="39"/>
  <c r="J6061" i="39"/>
  <c r="J6060" i="39"/>
  <c r="J6059" i="39"/>
  <c r="J6058" i="39"/>
  <c r="J6057" i="39"/>
  <c r="J6056" i="39"/>
  <c r="J6055" i="39"/>
  <c r="J6054" i="39"/>
  <c r="J6053" i="39"/>
  <c r="J6052" i="39"/>
  <c r="J6051" i="39"/>
  <c r="J6050" i="39"/>
  <c r="J6049" i="39"/>
  <c r="J6048" i="39"/>
  <c r="J6047" i="39"/>
  <c r="J6046" i="39"/>
  <c r="J6045" i="39"/>
  <c r="J6044" i="39"/>
  <c r="J6043" i="39"/>
  <c r="J6042" i="39"/>
  <c r="J6041" i="39"/>
  <c r="J6040" i="39"/>
  <c r="J6039" i="39"/>
  <c r="J6038" i="39"/>
  <c r="J6037" i="39"/>
  <c r="J6036" i="39"/>
  <c r="J6035" i="39"/>
  <c r="J6034" i="39"/>
  <c r="J6033" i="39"/>
  <c r="J6032" i="39"/>
  <c r="J6031" i="39"/>
  <c r="J6030" i="39"/>
  <c r="J6029" i="39"/>
  <c r="J6028" i="39"/>
  <c r="J6027" i="39"/>
  <c r="J6026" i="39"/>
  <c r="J6025" i="39"/>
  <c r="J6024" i="39"/>
  <c r="J6023" i="39"/>
  <c r="J6022" i="39"/>
  <c r="J6021" i="39"/>
  <c r="J6020" i="39"/>
  <c r="J6019" i="39"/>
  <c r="J6018" i="39"/>
  <c r="J6017" i="39"/>
  <c r="J6016" i="39"/>
  <c r="J6015" i="39"/>
  <c r="J6014" i="39"/>
  <c r="J6013" i="39"/>
  <c r="J6012" i="39"/>
  <c r="J6011" i="39"/>
  <c r="J6010" i="39"/>
  <c r="J6009" i="39"/>
  <c r="J6008" i="39"/>
  <c r="J6007" i="39"/>
  <c r="J6006" i="39"/>
  <c r="J6005" i="39"/>
  <c r="J6004" i="39"/>
  <c r="J6003" i="39"/>
  <c r="J6002" i="39"/>
  <c r="J6001" i="39"/>
  <c r="J6000" i="39"/>
  <c r="J5999" i="39"/>
  <c r="J5998" i="39"/>
  <c r="J5997" i="39"/>
  <c r="J5996" i="39"/>
  <c r="J5995" i="39"/>
  <c r="J5994" i="39"/>
  <c r="J5993" i="39"/>
  <c r="J5992" i="39"/>
  <c r="J5991" i="39"/>
  <c r="J5990" i="39"/>
  <c r="J5989" i="39"/>
  <c r="J5988" i="39"/>
  <c r="J5987" i="39"/>
  <c r="J5986" i="39"/>
  <c r="J5985" i="39"/>
  <c r="J5984" i="39"/>
  <c r="J5983" i="39"/>
  <c r="J5982" i="39"/>
  <c r="J5981" i="39"/>
  <c r="J5980" i="39"/>
  <c r="J5979" i="39"/>
  <c r="J5978" i="39"/>
  <c r="J5977" i="39"/>
  <c r="J5976" i="39"/>
  <c r="J5975" i="39"/>
  <c r="J5974" i="39"/>
  <c r="J5973" i="39"/>
  <c r="J5972" i="39"/>
  <c r="J5971" i="39"/>
  <c r="J5970" i="39"/>
  <c r="J5969" i="39"/>
  <c r="J5968" i="39"/>
  <c r="B5968" i="39"/>
  <c r="J5967" i="39"/>
  <c r="J5966" i="39"/>
  <c r="J5965" i="39"/>
  <c r="J5964" i="39"/>
  <c r="J5963" i="39"/>
  <c r="J5962" i="39"/>
  <c r="J5961" i="39"/>
  <c r="J5960" i="39"/>
  <c r="J5959" i="39"/>
  <c r="J5958" i="39"/>
  <c r="J5957" i="39"/>
  <c r="J5956" i="39"/>
  <c r="J5955" i="39"/>
  <c r="J5954" i="39"/>
  <c r="J5953" i="39"/>
  <c r="B5953" i="39"/>
  <c r="J5952" i="39"/>
  <c r="J5951" i="39"/>
  <c r="J5950" i="39"/>
  <c r="J5949" i="39"/>
  <c r="J5948" i="39"/>
  <c r="J5947" i="39"/>
  <c r="J5946" i="39"/>
  <c r="J5945" i="39"/>
  <c r="J5944" i="39"/>
  <c r="J5943" i="39"/>
  <c r="J5942" i="39"/>
  <c r="J5941" i="39"/>
  <c r="J5940" i="39"/>
  <c r="J5939" i="39"/>
  <c r="B5939" i="39"/>
  <c r="J5938" i="39"/>
  <c r="J5937" i="39"/>
  <c r="J5936" i="39"/>
  <c r="J5935" i="39"/>
  <c r="J5934" i="39"/>
  <c r="J5933" i="39"/>
  <c r="J5932" i="39"/>
  <c r="J5931" i="39"/>
  <c r="J5930" i="39"/>
  <c r="J5929" i="39"/>
  <c r="J5928" i="39"/>
  <c r="J5927" i="39"/>
  <c r="J5926" i="39"/>
  <c r="J5925" i="39"/>
  <c r="J5924" i="39"/>
  <c r="J5923" i="39"/>
  <c r="J5922" i="39"/>
  <c r="J5921" i="39"/>
  <c r="J5920" i="39"/>
  <c r="J5919" i="39"/>
  <c r="J5918" i="39"/>
  <c r="J5917" i="39"/>
  <c r="J5916" i="39"/>
  <c r="J5915" i="39"/>
  <c r="J5914" i="39"/>
  <c r="J5913" i="39"/>
  <c r="J5912" i="39"/>
  <c r="J5911" i="39"/>
  <c r="J5910" i="39"/>
  <c r="J5909" i="39"/>
  <c r="J5908" i="39"/>
  <c r="J5907" i="39"/>
  <c r="J5906" i="39"/>
  <c r="J5905" i="39"/>
  <c r="J5904" i="39"/>
  <c r="J5903" i="39"/>
  <c r="J5902" i="39"/>
  <c r="J5901" i="39"/>
  <c r="J5900" i="39"/>
  <c r="J5899" i="39"/>
  <c r="J5898" i="39"/>
  <c r="J5897" i="39"/>
  <c r="J5896" i="39"/>
  <c r="J5895" i="39"/>
  <c r="J5894" i="39"/>
  <c r="J5893" i="39"/>
  <c r="J5892" i="39"/>
  <c r="J5891" i="39"/>
  <c r="J5890" i="39"/>
  <c r="J5889" i="39"/>
  <c r="J5888" i="39"/>
  <c r="J5887" i="39"/>
  <c r="J5886" i="39"/>
  <c r="J5885" i="39"/>
  <c r="J5884" i="39"/>
  <c r="J5883" i="39"/>
  <c r="J5882" i="39"/>
  <c r="J5881" i="39"/>
  <c r="J5880" i="39"/>
  <c r="J5879" i="39"/>
  <c r="B5879" i="39"/>
  <c r="J5878" i="39"/>
  <c r="J5877" i="39"/>
  <c r="J5876" i="39"/>
  <c r="J5875" i="39"/>
  <c r="J5874" i="39"/>
  <c r="J5873" i="39"/>
  <c r="J5872" i="39"/>
  <c r="J5871" i="39"/>
  <c r="J5870" i="39"/>
  <c r="B5870" i="39"/>
  <c r="J5869" i="39"/>
  <c r="J5868" i="39"/>
  <c r="J5867" i="39"/>
  <c r="J5866" i="39"/>
  <c r="J5865" i="39"/>
  <c r="J5864" i="39"/>
  <c r="J5863" i="39"/>
  <c r="B5863" i="39"/>
  <c r="J5862" i="39"/>
  <c r="J5861" i="39"/>
  <c r="J5860" i="39"/>
  <c r="J5859" i="39"/>
  <c r="J5858" i="39"/>
  <c r="J5857" i="39"/>
  <c r="J5856" i="39"/>
  <c r="J5855" i="39"/>
  <c r="J5854" i="39"/>
  <c r="J5853" i="39"/>
  <c r="J5852" i="39"/>
  <c r="J5851" i="39"/>
  <c r="J5850" i="39"/>
  <c r="J5849" i="39"/>
  <c r="J5848" i="39"/>
  <c r="J5847" i="39"/>
  <c r="J5846" i="39"/>
  <c r="J5845" i="39"/>
  <c r="J5844" i="39"/>
  <c r="J5843" i="39"/>
  <c r="J5842" i="39"/>
  <c r="J5841" i="39"/>
  <c r="J5840" i="39"/>
  <c r="J5839" i="39"/>
  <c r="J5838" i="39"/>
  <c r="J5837" i="39"/>
  <c r="J5836" i="39"/>
  <c r="J5835" i="39"/>
  <c r="J5834" i="39"/>
  <c r="J5833" i="39"/>
  <c r="J5832" i="39"/>
  <c r="J5831" i="39"/>
  <c r="J5830" i="39"/>
  <c r="J5829" i="39"/>
  <c r="J5828" i="39"/>
  <c r="J5827" i="39"/>
  <c r="J5826" i="39"/>
  <c r="J5825" i="39"/>
  <c r="J5824" i="39"/>
  <c r="J5823" i="39"/>
  <c r="J5822" i="39"/>
  <c r="J5821" i="39"/>
  <c r="J5820" i="39"/>
  <c r="J5819" i="39"/>
  <c r="J5818" i="39"/>
  <c r="J5817" i="39"/>
  <c r="J5816" i="39"/>
  <c r="J5815" i="39"/>
  <c r="J5814" i="39"/>
  <c r="J5813" i="39"/>
  <c r="J5812" i="39"/>
  <c r="J5811" i="39"/>
  <c r="J5810" i="39"/>
  <c r="J5809" i="39"/>
  <c r="J5808" i="39"/>
  <c r="J5807" i="39"/>
  <c r="J5806" i="39"/>
  <c r="J5805" i="39"/>
  <c r="J5804" i="39"/>
  <c r="J5803" i="39"/>
  <c r="J5802" i="39"/>
  <c r="J5801" i="39"/>
  <c r="J5800" i="39"/>
  <c r="J5799" i="39"/>
  <c r="J5798" i="39"/>
  <c r="J5797" i="39"/>
  <c r="J5796" i="39"/>
  <c r="J5795" i="39"/>
  <c r="J5794" i="39"/>
  <c r="J5793" i="39"/>
  <c r="J5792" i="39"/>
  <c r="J5791" i="39"/>
  <c r="J5790" i="39"/>
  <c r="J5789" i="39"/>
  <c r="J5788" i="39"/>
  <c r="J5787" i="39"/>
  <c r="J5786" i="39"/>
  <c r="J5785" i="39"/>
  <c r="J5784" i="39"/>
  <c r="J5783" i="39"/>
  <c r="J5782" i="39"/>
  <c r="J5781" i="39"/>
  <c r="J5780" i="39"/>
  <c r="J5779" i="39"/>
  <c r="J5778" i="39"/>
  <c r="J5777" i="39"/>
  <c r="J5776" i="39"/>
  <c r="J5775" i="39"/>
  <c r="J5774" i="39"/>
  <c r="J5773" i="39"/>
  <c r="J5772" i="39"/>
  <c r="J5771" i="39"/>
  <c r="J5770" i="39"/>
  <c r="J5769" i="39"/>
  <c r="J5768" i="39"/>
  <c r="J5767" i="39"/>
  <c r="J5766" i="39"/>
  <c r="J5765" i="39"/>
  <c r="J5764" i="39"/>
  <c r="J5763" i="39"/>
  <c r="J5762" i="39"/>
  <c r="J5761" i="39"/>
  <c r="J5760" i="39"/>
  <c r="J5759" i="39"/>
  <c r="J5758" i="39"/>
  <c r="J5757" i="39"/>
  <c r="J5756" i="39"/>
  <c r="J5755" i="39"/>
  <c r="J5754" i="39"/>
  <c r="J5753" i="39"/>
  <c r="J5752" i="39"/>
  <c r="J5751" i="39"/>
  <c r="J5750" i="39"/>
  <c r="J5749" i="39"/>
  <c r="J5748" i="39"/>
  <c r="J5747" i="39"/>
  <c r="J5746" i="39"/>
  <c r="J5745" i="39"/>
  <c r="J5744" i="39"/>
  <c r="J5743" i="39"/>
  <c r="J5742" i="39"/>
  <c r="J5741" i="39"/>
  <c r="J5740" i="39"/>
  <c r="J5739" i="39"/>
  <c r="J5738" i="39"/>
  <c r="J5737" i="39"/>
  <c r="J5736" i="39"/>
  <c r="J5735" i="39"/>
  <c r="J5734" i="39"/>
  <c r="J5733" i="39"/>
  <c r="J5732" i="39"/>
  <c r="J5731" i="39"/>
  <c r="J5730" i="39"/>
  <c r="J5729" i="39"/>
  <c r="J5728" i="39"/>
  <c r="J5727" i="39"/>
  <c r="J5726" i="39"/>
  <c r="J5725" i="39"/>
  <c r="J5724" i="39"/>
  <c r="J5723" i="39"/>
  <c r="J5722" i="39"/>
  <c r="J5721" i="39"/>
  <c r="J5720" i="39"/>
  <c r="J5719" i="39"/>
  <c r="J5718" i="39"/>
  <c r="J5717" i="39"/>
  <c r="J5716" i="39"/>
  <c r="J5715" i="39"/>
  <c r="J5714" i="39"/>
  <c r="J5713" i="39"/>
  <c r="J5712" i="39"/>
  <c r="J5711" i="39"/>
  <c r="J5710" i="39"/>
  <c r="J5709" i="39"/>
  <c r="J5708" i="39"/>
  <c r="J5707" i="39"/>
  <c r="J5706" i="39"/>
  <c r="J5705" i="39"/>
  <c r="J5704" i="39"/>
  <c r="J5703" i="39"/>
  <c r="J5702" i="39"/>
  <c r="J5701" i="39"/>
  <c r="J5700" i="39"/>
  <c r="J5699" i="39"/>
  <c r="J5698" i="39"/>
  <c r="J5697" i="39"/>
  <c r="J5696" i="39"/>
  <c r="J5695" i="39"/>
  <c r="J5694" i="39"/>
  <c r="J5693" i="39"/>
  <c r="J5692" i="39"/>
  <c r="J5691" i="39"/>
  <c r="J5690" i="39"/>
  <c r="J5689" i="39"/>
  <c r="J5688" i="39"/>
  <c r="J5687" i="39"/>
  <c r="J5686" i="39"/>
  <c r="J5685" i="39"/>
  <c r="J5684" i="39"/>
  <c r="J5683" i="39"/>
  <c r="J5682" i="39"/>
  <c r="J5681" i="39"/>
  <c r="J5680" i="39"/>
  <c r="J5679" i="39"/>
  <c r="J5678" i="39"/>
  <c r="J5677" i="39"/>
  <c r="J5676" i="39"/>
  <c r="J5675" i="39"/>
  <c r="J5674" i="39"/>
  <c r="J5673" i="39"/>
  <c r="J5672" i="39"/>
  <c r="J5671" i="39"/>
  <c r="J5670" i="39"/>
  <c r="J5669" i="39"/>
  <c r="J5668" i="39"/>
  <c r="J5667" i="39"/>
  <c r="J5666" i="39"/>
  <c r="J5665" i="39"/>
  <c r="J5664" i="39"/>
  <c r="J5663" i="39"/>
  <c r="J5662" i="39"/>
  <c r="J5661" i="39"/>
  <c r="J5660" i="39"/>
  <c r="J5659" i="39"/>
  <c r="J5658" i="39"/>
  <c r="J5657" i="39"/>
  <c r="J5656" i="39"/>
  <c r="J5655" i="39"/>
  <c r="J5654" i="39"/>
  <c r="J5653" i="39"/>
  <c r="J5652" i="39"/>
  <c r="J5651" i="39"/>
  <c r="J5650" i="39"/>
  <c r="J5649" i="39"/>
  <c r="J5648" i="39"/>
  <c r="J5647" i="39"/>
  <c r="J5646" i="39"/>
  <c r="J5645" i="39"/>
  <c r="J5644" i="39"/>
  <c r="J5643" i="39"/>
  <c r="J5642" i="39"/>
  <c r="J5641" i="39"/>
  <c r="J5640" i="39"/>
  <c r="J5639" i="39"/>
  <c r="J5638" i="39"/>
  <c r="J5637" i="39"/>
  <c r="J5636" i="39"/>
  <c r="J5635" i="39"/>
  <c r="J5634" i="39"/>
  <c r="J5633" i="39"/>
  <c r="J5632" i="39"/>
  <c r="J5631" i="39"/>
  <c r="J5630" i="39"/>
  <c r="J5629" i="39"/>
  <c r="J5628" i="39"/>
  <c r="J5627" i="39"/>
  <c r="J5626" i="39"/>
  <c r="J5625" i="39"/>
  <c r="J5624" i="39"/>
  <c r="J5623" i="39"/>
  <c r="J5622" i="39"/>
  <c r="J5621" i="39"/>
  <c r="J5620" i="39"/>
  <c r="J5619" i="39"/>
  <c r="J5618" i="39"/>
  <c r="J5617" i="39"/>
  <c r="J5616" i="39"/>
  <c r="J5615" i="39"/>
  <c r="J5614" i="39"/>
  <c r="J5613" i="39"/>
  <c r="J5612" i="39"/>
  <c r="J5611" i="39"/>
  <c r="J5610" i="39"/>
  <c r="J5609" i="39"/>
  <c r="J5608" i="39"/>
  <c r="J5607" i="39"/>
  <c r="J5606" i="39"/>
  <c r="J5605" i="39"/>
  <c r="J5604" i="39"/>
  <c r="J5603" i="39"/>
  <c r="J5602" i="39"/>
  <c r="J5601" i="39"/>
  <c r="J5600" i="39"/>
  <c r="J5599" i="39"/>
  <c r="J5598" i="39"/>
  <c r="J5597" i="39"/>
  <c r="J5596" i="39"/>
  <c r="J5595" i="39"/>
  <c r="J5594" i="39"/>
  <c r="J5593" i="39"/>
  <c r="J5592" i="39"/>
  <c r="J5591" i="39"/>
  <c r="J5590" i="39"/>
  <c r="J5589" i="39"/>
  <c r="J5588" i="39"/>
  <c r="J5587" i="39"/>
  <c r="J5586" i="39"/>
  <c r="J5585" i="39"/>
  <c r="J5584" i="39"/>
  <c r="J5583" i="39"/>
  <c r="J5582" i="39"/>
  <c r="J5581" i="39"/>
  <c r="J5580" i="39"/>
  <c r="J5579" i="39"/>
  <c r="J5578" i="39"/>
  <c r="J5577" i="39"/>
  <c r="J5576" i="39"/>
  <c r="J5575" i="39"/>
  <c r="J5574" i="39"/>
  <c r="J5573" i="39"/>
  <c r="J5572" i="39"/>
  <c r="J5571" i="39"/>
  <c r="J5570" i="39"/>
  <c r="J5569" i="39"/>
  <c r="J5568" i="39"/>
  <c r="B5568" i="39"/>
  <c r="J5567" i="39"/>
  <c r="J5566" i="39"/>
  <c r="J5565" i="39"/>
  <c r="J5564" i="39"/>
  <c r="J5563" i="39"/>
  <c r="J5562" i="39"/>
  <c r="J5561" i="39"/>
  <c r="J5560" i="39"/>
  <c r="J5559" i="39"/>
  <c r="J5558" i="39"/>
  <c r="J5557" i="39"/>
  <c r="J5556" i="39"/>
  <c r="J5555" i="39"/>
  <c r="J5554" i="39"/>
  <c r="J5553" i="39"/>
  <c r="J5552" i="39"/>
  <c r="J5551" i="39"/>
  <c r="J5550" i="39"/>
  <c r="J5549" i="39"/>
  <c r="J5548" i="39"/>
  <c r="J5547" i="39"/>
  <c r="J5546" i="39"/>
  <c r="J5545" i="39"/>
  <c r="J5544" i="39"/>
  <c r="J5543" i="39"/>
  <c r="J5542" i="39"/>
  <c r="J5541" i="39"/>
  <c r="J5540" i="39"/>
  <c r="J5539" i="39"/>
  <c r="J5538" i="39"/>
  <c r="J5537" i="39"/>
  <c r="J5536" i="39"/>
  <c r="J5535" i="39"/>
  <c r="J5534" i="39"/>
  <c r="J5533" i="39"/>
  <c r="J5532" i="39"/>
  <c r="J5531" i="39"/>
  <c r="J5530" i="39"/>
  <c r="J5529" i="39"/>
  <c r="B5529" i="39"/>
  <c r="J5528" i="39"/>
  <c r="J5527" i="39"/>
  <c r="J5526" i="39"/>
  <c r="J5525" i="39"/>
  <c r="J5524" i="39"/>
  <c r="J5523" i="39"/>
  <c r="J5522" i="39"/>
  <c r="J5521" i="39"/>
  <c r="J5520" i="39"/>
  <c r="J5519" i="39"/>
  <c r="J5518" i="39"/>
  <c r="J5517" i="39"/>
  <c r="J5516" i="39"/>
  <c r="J5515" i="39"/>
  <c r="J5514" i="39"/>
  <c r="J5513" i="39"/>
  <c r="J5512" i="39"/>
  <c r="J5511" i="39"/>
  <c r="J5510" i="39"/>
  <c r="J5509" i="39"/>
  <c r="J5508" i="39"/>
  <c r="J5507" i="39"/>
  <c r="J5506" i="39"/>
  <c r="J5505" i="39"/>
  <c r="J5504" i="39"/>
  <c r="J5503" i="39"/>
  <c r="J5502" i="39"/>
  <c r="J5501" i="39"/>
  <c r="J5500" i="39"/>
  <c r="J5499" i="39"/>
  <c r="J5498" i="39"/>
  <c r="J5497" i="39"/>
  <c r="J5496" i="39"/>
  <c r="J5495" i="39"/>
  <c r="J5494" i="39"/>
  <c r="J5493" i="39"/>
  <c r="J5492" i="39"/>
  <c r="B5492" i="39"/>
  <c r="J5491" i="39"/>
  <c r="J5490" i="39"/>
  <c r="J5489" i="39"/>
  <c r="J5488" i="39"/>
  <c r="J5487" i="39"/>
  <c r="J5486" i="39"/>
  <c r="J5485" i="39"/>
  <c r="J5484" i="39"/>
  <c r="J5483" i="39"/>
  <c r="J5482" i="39"/>
  <c r="J5481" i="39"/>
  <c r="J5480" i="39"/>
  <c r="J5479" i="39"/>
  <c r="J5478" i="39"/>
  <c r="J5477" i="39"/>
  <c r="J5476" i="39"/>
  <c r="J5475" i="39"/>
  <c r="J5474" i="39"/>
  <c r="J5473" i="39"/>
  <c r="J5472" i="39"/>
  <c r="J5471" i="39"/>
  <c r="J5470" i="39"/>
  <c r="J5469" i="39"/>
  <c r="J5468" i="39"/>
  <c r="J5467" i="39"/>
  <c r="J5466" i="39"/>
  <c r="J5465" i="39"/>
  <c r="J5464" i="39"/>
  <c r="J5463" i="39"/>
  <c r="J5462" i="39"/>
  <c r="J5461" i="39"/>
  <c r="B5461" i="39"/>
  <c r="J5460" i="39"/>
  <c r="J5459" i="39"/>
  <c r="J5458" i="39"/>
  <c r="J5457" i="39"/>
  <c r="J5456" i="39"/>
  <c r="J5455" i="39"/>
  <c r="J5454" i="39"/>
  <c r="J5453" i="39"/>
  <c r="J5452" i="39"/>
  <c r="J5451" i="39"/>
  <c r="J5450" i="39"/>
  <c r="J5449" i="39"/>
  <c r="J5448" i="39"/>
  <c r="J5447" i="39"/>
  <c r="J5446" i="39"/>
  <c r="J5445" i="39"/>
  <c r="J5444" i="39"/>
  <c r="J5443" i="39"/>
  <c r="J5442" i="39"/>
  <c r="B5442" i="39"/>
  <c r="J5441" i="39"/>
  <c r="J5440" i="39"/>
  <c r="J5439" i="39"/>
  <c r="J5438" i="39"/>
  <c r="J5437" i="39"/>
  <c r="J5436" i="39"/>
  <c r="J5435" i="39"/>
  <c r="J5434" i="39"/>
  <c r="J5433" i="39"/>
  <c r="J5432" i="39"/>
  <c r="J5431" i="39"/>
  <c r="J5430" i="39"/>
  <c r="J5429" i="39"/>
  <c r="J5428" i="39"/>
  <c r="J5427" i="39"/>
  <c r="J5426" i="39"/>
  <c r="J5425" i="39"/>
  <c r="J5424" i="39"/>
  <c r="J5423" i="39"/>
  <c r="J5422" i="39"/>
  <c r="B5422" i="39"/>
  <c r="J5421" i="39"/>
  <c r="J5420" i="39"/>
  <c r="J5419" i="39"/>
  <c r="J5418" i="39"/>
  <c r="J5417" i="39"/>
  <c r="J5416" i="39"/>
  <c r="J5415" i="39"/>
  <c r="J5414" i="39"/>
  <c r="J5413" i="39"/>
  <c r="J5412" i="39"/>
  <c r="J5411" i="39"/>
  <c r="J5410" i="39"/>
  <c r="J5409" i="39"/>
  <c r="J5408" i="39"/>
  <c r="J5407" i="39"/>
  <c r="J5406" i="39"/>
  <c r="J5405" i="39"/>
  <c r="J5404" i="39"/>
  <c r="J5403" i="39"/>
  <c r="J5402" i="39"/>
  <c r="J5401" i="39"/>
  <c r="J5400" i="39"/>
  <c r="J5399" i="39"/>
  <c r="J5398" i="39"/>
  <c r="J5397" i="39"/>
  <c r="J5396" i="39"/>
  <c r="J5395" i="39"/>
  <c r="J5394" i="39"/>
  <c r="J5393" i="39"/>
  <c r="B5393" i="39"/>
  <c r="J5392" i="39"/>
  <c r="J5391" i="39"/>
  <c r="J5390" i="39"/>
  <c r="J5389" i="39"/>
  <c r="J5388" i="39"/>
  <c r="J5387" i="39"/>
  <c r="J5386" i="39"/>
  <c r="J5385" i="39"/>
  <c r="J5384" i="39"/>
  <c r="J5383" i="39"/>
  <c r="J5382" i="39"/>
  <c r="J5381" i="39"/>
  <c r="J5380" i="39"/>
  <c r="J5379" i="39"/>
  <c r="J5378" i="39"/>
  <c r="J5377" i="39"/>
  <c r="J5376" i="39"/>
  <c r="J5375" i="39"/>
  <c r="J5374" i="39"/>
  <c r="J5373" i="39"/>
  <c r="J5372" i="39"/>
  <c r="J5371" i="39"/>
  <c r="J5370" i="39"/>
  <c r="J5369" i="39"/>
  <c r="J5368" i="39"/>
  <c r="J5367" i="39"/>
  <c r="J5366" i="39"/>
  <c r="J5365" i="39"/>
  <c r="J5364" i="39"/>
  <c r="J5363" i="39"/>
  <c r="J5362" i="39"/>
  <c r="J5361" i="39"/>
  <c r="J5360" i="39"/>
  <c r="J5359" i="39"/>
  <c r="J5358" i="39"/>
  <c r="J5357" i="39"/>
  <c r="J5356" i="39"/>
  <c r="J5355" i="39"/>
  <c r="J5354" i="39"/>
  <c r="J5353" i="39"/>
  <c r="J5352" i="39"/>
  <c r="J5351" i="39"/>
  <c r="J5350" i="39"/>
  <c r="J5349" i="39"/>
  <c r="J5348" i="39"/>
  <c r="J5347" i="39"/>
  <c r="J5346" i="39"/>
  <c r="J5345" i="39"/>
  <c r="J5344" i="39"/>
  <c r="J5343" i="39"/>
  <c r="J5342" i="39"/>
  <c r="J5341" i="39"/>
  <c r="J5340" i="39"/>
  <c r="J5339" i="39"/>
  <c r="J5338" i="39"/>
  <c r="J5337" i="39"/>
  <c r="J5336" i="39"/>
  <c r="J5335" i="39"/>
  <c r="J5334" i="39"/>
  <c r="J5333" i="39"/>
  <c r="J5332" i="39"/>
  <c r="J5331" i="39"/>
  <c r="J5330" i="39"/>
  <c r="J5329" i="39"/>
  <c r="J5328" i="39"/>
  <c r="J5327" i="39"/>
  <c r="J5326" i="39"/>
  <c r="J5325" i="39"/>
  <c r="J5324" i="39"/>
  <c r="J5323" i="39"/>
  <c r="J5322" i="39"/>
  <c r="J5321" i="39"/>
  <c r="J5320" i="39"/>
  <c r="J5319" i="39"/>
  <c r="J5318" i="39"/>
  <c r="J5317" i="39"/>
  <c r="J5316" i="39"/>
  <c r="J5315" i="39"/>
  <c r="J5314" i="39"/>
  <c r="J5313" i="39"/>
  <c r="J5312" i="39"/>
  <c r="J5311" i="39"/>
  <c r="J5310" i="39"/>
  <c r="J5309" i="39"/>
  <c r="J5308" i="39"/>
  <c r="J5307" i="39"/>
  <c r="J5306" i="39"/>
  <c r="J5305" i="39"/>
  <c r="J5304" i="39"/>
  <c r="J5303" i="39"/>
  <c r="J5302" i="39"/>
  <c r="J5301" i="39"/>
  <c r="J5300" i="39"/>
  <c r="J5299" i="39"/>
  <c r="J5298" i="39"/>
  <c r="J5297" i="39"/>
  <c r="J5296" i="39"/>
  <c r="J5295" i="39"/>
  <c r="J5294" i="39"/>
  <c r="J5293" i="39"/>
  <c r="J5292" i="39"/>
  <c r="J5291" i="39"/>
  <c r="J5290" i="39"/>
  <c r="J5289" i="39"/>
  <c r="J5288" i="39"/>
  <c r="B5288" i="39"/>
  <c r="J5287" i="39"/>
  <c r="J5286" i="39"/>
  <c r="J5285" i="39"/>
  <c r="J5284" i="39"/>
  <c r="B5284" i="39"/>
  <c r="J5283" i="39"/>
  <c r="J5282" i="39"/>
  <c r="J5281" i="39"/>
  <c r="J5280" i="39"/>
  <c r="J5279" i="39"/>
  <c r="J5278" i="39"/>
  <c r="J5277" i="39"/>
  <c r="J5276" i="39"/>
  <c r="J5275" i="39"/>
  <c r="J5274" i="39"/>
  <c r="J5273" i="39"/>
  <c r="J5272" i="39"/>
  <c r="J5271" i="39"/>
  <c r="J5270" i="39"/>
  <c r="J5269" i="39"/>
  <c r="J5268" i="39"/>
  <c r="J5267" i="39"/>
  <c r="J5266" i="39"/>
  <c r="J5265" i="39"/>
  <c r="J5264" i="39"/>
  <c r="J5263" i="39"/>
  <c r="J5262" i="39"/>
  <c r="J5261" i="39"/>
  <c r="J5260" i="39"/>
  <c r="J5259" i="39"/>
  <c r="J5258" i="39"/>
  <c r="J5257" i="39"/>
  <c r="J5256" i="39"/>
  <c r="J5255" i="39"/>
  <c r="J5254" i="39"/>
  <c r="J5253" i="39"/>
  <c r="J5252" i="39"/>
  <c r="J5251" i="39"/>
  <c r="B5251" i="39"/>
  <c r="J5250" i="39"/>
  <c r="J5249" i="39"/>
  <c r="J5248" i="39"/>
  <c r="J5247" i="39"/>
  <c r="J5246" i="39"/>
  <c r="J5245" i="39"/>
  <c r="J5244" i="39"/>
  <c r="J5243" i="39"/>
  <c r="J5242" i="39"/>
  <c r="J5241" i="39"/>
  <c r="J5240" i="39"/>
  <c r="J5239" i="39"/>
  <c r="J5238" i="39"/>
  <c r="J5237" i="39"/>
  <c r="J5236" i="39"/>
  <c r="J5235" i="39"/>
  <c r="J5234" i="39"/>
  <c r="J5233" i="39"/>
  <c r="J5232" i="39"/>
  <c r="J5231" i="39"/>
  <c r="J5230" i="39"/>
  <c r="J5229" i="39"/>
  <c r="J5228" i="39"/>
  <c r="J5227" i="39"/>
  <c r="J5226" i="39"/>
  <c r="J5225" i="39"/>
  <c r="J5224" i="39"/>
  <c r="J5223" i="39"/>
  <c r="J5222" i="39"/>
  <c r="J5221" i="39"/>
  <c r="B5221" i="39"/>
  <c r="J5220" i="39"/>
  <c r="J5219" i="39"/>
  <c r="J5218" i="39"/>
  <c r="J5217" i="39"/>
  <c r="J5216" i="39"/>
  <c r="J5215" i="39"/>
  <c r="J5214" i="39"/>
  <c r="J5213" i="39"/>
  <c r="J5212" i="39"/>
  <c r="J5211" i="39"/>
  <c r="J5210" i="39"/>
  <c r="J5209" i="39"/>
  <c r="J5208" i="39"/>
  <c r="J5207" i="39"/>
  <c r="J5206" i="39"/>
  <c r="J5205" i="39"/>
  <c r="J5204" i="39"/>
  <c r="J5203" i="39"/>
  <c r="J5202" i="39"/>
  <c r="B5202" i="39"/>
  <c r="J5201" i="39"/>
  <c r="J5200" i="39"/>
  <c r="J5199" i="39"/>
  <c r="J5198" i="39"/>
  <c r="J5197" i="39"/>
  <c r="J5196" i="39"/>
  <c r="J5195" i="39"/>
  <c r="J5194" i="39"/>
  <c r="J5193" i="39"/>
  <c r="J5192" i="39"/>
  <c r="J5191" i="39"/>
  <c r="J5190" i="39"/>
  <c r="J5189" i="39"/>
  <c r="J5188" i="39"/>
  <c r="J5187" i="39"/>
  <c r="J5186" i="39"/>
  <c r="J5185" i="39"/>
  <c r="J5184" i="39"/>
  <c r="J5183" i="39"/>
  <c r="J5182" i="39"/>
  <c r="B5182" i="39"/>
  <c r="J5181" i="39"/>
  <c r="J5180" i="39"/>
  <c r="J5179" i="39"/>
  <c r="J5178" i="39"/>
  <c r="J5177" i="39"/>
  <c r="J5176" i="39"/>
  <c r="J5175" i="39"/>
  <c r="J5174" i="39"/>
  <c r="J5173" i="39"/>
  <c r="J5172" i="39"/>
  <c r="J5171" i="39"/>
  <c r="J5170" i="39"/>
  <c r="J5169" i="39"/>
  <c r="J5168" i="39"/>
  <c r="J5167" i="39"/>
  <c r="J5166" i="39"/>
  <c r="J5165" i="39"/>
  <c r="J5164" i="39"/>
  <c r="J5163" i="39"/>
  <c r="J5162" i="39"/>
  <c r="J5161" i="39"/>
  <c r="J5160" i="39"/>
  <c r="J5159" i="39"/>
  <c r="J5158" i="39"/>
  <c r="J5157" i="39"/>
  <c r="J5156" i="39"/>
  <c r="J5155" i="39"/>
  <c r="J5154" i="39"/>
  <c r="J5153" i="39"/>
  <c r="J5152" i="39"/>
  <c r="J5151" i="39"/>
  <c r="J5150" i="39"/>
  <c r="J5149" i="39"/>
  <c r="J5148" i="39"/>
  <c r="J5147" i="39"/>
  <c r="J5146" i="39"/>
  <c r="J5145" i="39"/>
  <c r="J5144" i="39"/>
  <c r="J5143" i="39"/>
  <c r="J5142" i="39"/>
  <c r="J5141" i="39"/>
  <c r="J5140" i="39"/>
  <c r="J5139" i="39"/>
  <c r="J5138" i="39"/>
  <c r="J5137" i="39"/>
  <c r="J5136" i="39"/>
  <c r="J5135" i="39"/>
  <c r="J5134" i="39"/>
  <c r="J5133" i="39"/>
  <c r="J5132" i="39"/>
  <c r="J5131" i="39"/>
  <c r="J5130" i="39"/>
  <c r="J5129" i="39"/>
  <c r="J5128" i="39"/>
  <c r="J5127" i="39"/>
  <c r="J5126" i="39"/>
  <c r="J5125" i="39"/>
  <c r="J5124" i="39"/>
  <c r="J5123" i="39"/>
  <c r="J5122" i="39"/>
  <c r="J5121" i="39"/>
  <c r="J5120" i="39"/>
  <c r="J5119" i="39"/>
  <c r="J5118" i="39"/>
  <c r="J5117" i="39"/>
  <c r="B5117" i="39"/>
  <c r="J5116" i="39"/>
  <c r="J5115" i="39"/>
  <c r="J5114" i="39"/>
  <c r="J5113" i="39"/>
  <c r="J5112" i="39"/>
  <c r="J5111" i="39"/>
  <c r="J5110" i="39"/>
  <c r="J5109" i="39"/>
  <c r="J5108" i="39"/>
  <c r="J5107" i="39"/>
  <c r="J5106" i="39"/>
  <c r="J5105" i="39"/>
  <c r="J5104" i="39"/>
  <c r="J5103" i="39"/>
  <c r="J5102" i="39"/>
  <c r="J5101" i="39"/>
  <c r="J5100" i="39"/>
  <c r="J5099" i="39"/>
  <c r="J5098" i="39"/>
  <c r="J5097" i="39"/>
  <c r="J5096" i="39"/>
  <c r="J5095" i="39"/>
  <c r="J5094" i="39"/>
  <c r="J5093" i="39"/>
  <c r="J5092" i="39"/>
  <c r="J5091" i="39"/>
  <c r="J5090" i="39"/>
  <c r="J5089" i="39"/>
  <c r="J5088" i="39"/>
  <c r="J5087" i="39"/>
  <c r="J5086" i="39"/>
  <c r="J5085" i="39"/>
  <c r="J5084" i="39"/>
  <c r="J5083" i="39"/>
  <c r="J5082" i="39"/>
  <c r="J5081" i="39"/>
  <c r="J5080" i="39"/>
  <c r="J5079" i="39"/>
  <c r="J5078" i="39"/>
  <c r="J5077" i="39"/>
  <c r="J5076" i="39"/>
  <c r="J5075" i="39"/>
  <c r="J5074" i="39"/>
  <c r="J5073" i="39"/>
  <c r="J5072" i="39"/>
  <c r="J5071" i="39"/>
  <c r="J5070" i="39"/>
  <c r="J5069" i="39"/>
  <c r="J5068" i="39"/>
  <c r="J5067" i="39"/>
  <c r="J5066" i="39"/>
  <c r="J5065" i="39"/>
  <c r="J5064" i="39"/>
  <c r="J5063" i="39"/>
  <c r="J5062" i="39"/>
  <c r="J5061" i="39"/>
  <c r="J5060" i="39"/>
  <c r="J5059" i="39"/>
  <c r="J5058" i="39"/>
  <c r="J5057" i="39"/>
  <c r="J5056" i="39"/>
  <c r="J5055" i="39"/>
  <c r="J5054" i="39"/>
  <c r="J5053" i="39"/>
  <c r="J5052" i="39"/>
  <c r="J5051" i="39"/>
  <c r="J5050" i="39"/>
  <c r="J5049" i="39"/>
  <c r="J5048" i="39"/>
  <c r="J5047" i="39"/>
  <c r="J5046" i="39"/>
  <c r="J5045" i="39"/>
  <c r="J5044" i="39"/>
  <c r="J5043" i="39"/>
  <c r="J5042" i="39"/>
  <c r="J5041" i="39"/>
  <c r="J5040" i="39"/>
  <c r="J5039" i="39"/>
  <c r="J5038" i="39"/>
  <c r="J5037" i="39"/>
  <c r="J5036" i="39"/>
  <c r="J5035" i="39"/>
  <c r="J5034" i="39"/>
  <c r="J5033" i="39"/>
  <c r="J5032" i="39"/>
  <c r="J5031" i="39"/>
  <c r="J5030" i="39"/>
  <c r="J5029" i="39"/>
  <c r="J5028" i="39"/>
  <c r="J5027" i="39"/>
  <c r="J5026" i="39"/>
  <c r="J5025" i="39"/>
  <c r="J5024" i="39"/>
  <c r="J5023" i="39"/>
  <c r="J5022" i="39"/>
  <c r="J5021" i="39"/>
  <c r="J5020" i="39"/>
  <c r="J5019" i="39"/>
  <c r="J5018" i="39"/>
  <c r="J5017" i="39"/>
  <c r="J5016" i="39"/>
  <c r="J5015" i="39"/>
  <c r="J5014" i="39"/>
  <c r="J5013" i="39"/>
  <c r="J5012" i="39"/>
  <c r="J5011" i="39"/>
  <c r="J5010" i="39"/>
  <c r="J5009" i="39"/>
  <c r="J5008" i="39"/>
  <c r="J5007" i="39"/>
  <c r="J5006" i="39"/>
  <c r="J5005" i="39"/>
  <c r="J5004" i="39"/>
  <c r="J5003" i="39"/>
  <c r="J5002" i="39"/>
  <c r="J5001" i="39"/>
  <c r="J5000" i="39"/>
  <c r="J4999" i="39"/>
  <c r="J4998" i="39"/>
  <c r="J4997" i="39"/>
  <c r="J4996" i="39"/>
  <c r="J4995" i="39"/>
  <c r="J4994" i="39"/>
  <c r="J4993" i="39"/>
  <c r="J4992" i="39"/>
  <c r="J4991" i="39"/>
  <c r="J4990" i="39"/>
  <c r="J4989" i="39"/>
  <c r="J4988" i="39"/>
  <c r="J4987" i="39"/>
  <c r="J4986" i="39"/>
  <c r="B4986" i="39"/>
  <c r="J4985" i="39"/>
  <c r="J4984" i="39"/>
  <c r="J4983" i="39"/>
  <c r="J4982" i="39"/>
  <c r="J4981" i="39"/>
  <c r="J4980" i="39"/>
  <c r="J4979" i="39"/>
  <c r="J4978" i="39"/>
  <c r="J4977" i="39"/>
  <c r="J4976" i="39"/>
  <c r="J4975" i="39"/>
  <c r="J4974" i="39"/>
  <c r="J4973" i="39"/>
  <c r="J4972" i="39"/>
  <c r="J4971" i="39"/>
  <c r="J4970" i="39"/>
  <c r="J4969" i="39"/>
  <c r="J4968" i="39"/>
  <c r="J4967" i="39"/>
  <c r="J4966" i="39"/>
  <c r="J4965" i="39"/>
  <c r="J4964" i="39"/>
  <c r="J4963" i="39"/>
  <c r="J4962" i="39"/>
  <c r="J4961" i="39"/>
  <c r="J4960" i="39"/>
  <c r="J4959" i="39"/>
  <c r="J4958" i="39"/>
  <c r="J4957" i="39"/>
  <c r="J4956" i="39"/>
  <c r="J4955" i="39"/>
  <c r="J4954" i="39"/>
  <c r="J4953" i="39"/>
  <c r="J4952" i="39"/>
  <c r="J4951" i="39"/>
  <c r="J4950" i="39"/>
  <c r="J4949" i="39"/>
  <c r="J4948" i="39"/>
  <c r="J4947" i="39"/>
  <c r="J4946" i="39"/>
  <c r="J4945" i="39"/>
  <c r="J4944" i="39"/>
  <c r="J4943" i="39"/>
  <c r="J4942" i="39"/>
  <c r="J4941" i="39"/>
  <c r="J4940" i="39"/>
  <c r="J4939" i="39"/>
  <c r="J4938" i="39"/>
  <c r="J4937" i="39"/>
  <c r="J4936" i="39"/>
  <c r="J4935" i="39"/>
  <c r="J4934" i="39"/>
  <c r="J4933" i="39"/>
  <c r="J4932" i="39"/>
  <c r="J4931" i="39"/>
  <c r="J4930" i="39"/>
  <c r="J4929" i="39"/>
  <c r="J4928" i="39"/>
  <c r="J4927" i="39"/>
  <c r="J4926" i="39"/>
  <c r="J4925" i="39"/>
  <c r="J4924" i="39"/>
  <c r="J4923" i="39"/>
  <c r="J4922" i="39"/>
  <c r="J4921" i="39"/>
  <c r="J4920" i="39"/>
  <c r="J4919" i="39"/>
  <c r="J4918" i="39"/>
  <c r="J4917" i="39"/>
  <c r="J4916" i="39"/>
  <c r="J4915" i="39"/>
  <c r="J4914" i="39"/>
  <c r="J4913" i="39"/>
  <c r="J4912" i="39"/>
  <c r="J4911" i="39"/>
  <c r="J4910" i="39"/>
  <c r="J4909" i="39"/>
  <c r="J4908" i="39"/>
  <c r="J4907" i="39"/>
  <c r="J4906" i="39"/>
  <c r="B4906" i="39"/>
  <c r="J4905" i="39"/>
  <c r="J4904" i="39"/>
  <c r="J4903" i="39"/>
  <c r="J4902" i="39"/>
  <c r="J4901" i="39"/>
  <c r="J4900" i="39"/>
  <c r="J4899" i="39"/>
  <c r="J4898" i="39"/>
  <c r="J4897" i="39"/>
  <c r="J4896" i="39"/>
  <c r="J4895" i="39"/>
  <c r="B4895" i="39"/>
  <c r="J4894" i="39"/>
  <c r="J4893" i="39"/>
  <c r="J4892" i="39"/>
  <c r="J4891" i="39"/>
  <c r="J4890" i="39"/>
  <c r="J4889" i="39"/>
  <c r="J4888" i="39"/>
  <c r="J4887" i="39"/>
  <c r="J4886" i="39"/>
  <c r="J4885" i="39"/>
  <c r="J4884" i="39"/>
  <c r="J4883" i="39"/>
  <c r="J4882" i="39"/>
  <c r="J4881" i="39"/>
  <c r="J4880" i="39"/>
  <c r="J4879" i="39"/>
  <c r="J4878" i="39"/>
  <c r="J4877" i="39"/>
  <c r="J4876" i="39"/>
  <c r="J4875" i="39"/>
  <c r="J4874" i="39"/>
  <c r="J4873" i="39"/>
  <c r="J4872" i="39"/>
  <c r="J4871" i="39"/>
  <c r="J4870" i="39"/>
  <c r="J4869" i="39"/>
  <c r="J4868" i="39"/>
  <c r="J4867" i="39"/>
  <c r="J4866" i="39"/>
  <c r="J4865" i="39"/>
  <c r="J4864" i="39"/>
  <c r="J4863" i="39"/>
  <c r="J4862" i="39"/>
  <c r="J4861" i="39"/>
  <c r="J4860" i="39"/>
  <c r="J4859" i="39"/>
  <c r="J4858" i="39"/>
  <c r="J4857" i="39"/>
  <c r="J4856" i="39"/>
  <c r="J4855" i="39"/>
  <c r="J4854" i="39"/>
  <c r="J4853" i="39"/>
  <c r="J4852" i="39"/>
  <c r="J4851" i="39"/>
  <c r="J4850" i="39"/>
  <c r="J4849" i="39"/>
  <c r="J4848" i="39"/>
  <c r="J4847" i="39"/>
  <c r="J4846" i="39"/>
  <c r="J4845" i="39"/>
  <c r="J4844" i="39"/>
  <c r="J4843" i="39"/>
  <c r="J4842" i="39"/>
  <c r="J4841" i="39"/>
  <c r="J4840" i="39"/>
  <c r="J4839" i="39"/>
  <c r="J4838" i="39"/>
  <c r="J4837" i="39"/>
  <c r="J4836" i="39"/>
  <c r="J4835" i="39"/>
  <c r="J4834" i="39"/>
  <c r="J4833" i="39"/>
  <c r="J4832" i="39"/>
  <c r="J4831" i="39"/>
  <c r="J4830" i="39"/>
  <c r="B4830" i="39"/>
  <c r="J4829" i="39"/>
  <c r="J4828" i="39"/>
  <c r="J4827" i="39"/>
  <c r="J4826" i="39"/>
  <c r="J4825" i="39"/>
  <c r="J4824" i="39"/>
  <c r="J4823" i="39"/>
  <c r="J4822" i="39"/>
  <c r="J4821" i="39"/>
  <c r="J4820" i="39"/>
  <c r="J4819" i="39"/>
  <c r="J4818" i="39"/>
  <c r="J4817" i="39"/>
  <c r="J4816" i="39"/>
  <c r="J4815" i="39"/>
  <c r="J4814" i="39"/>
  <c r="J4813" i="39"/>
  <c r="J4812" i="39"/>
  <c r="J4811" i="39"/>
  <c r="J4810" i="39"/>
  <c r="J4809" i="39"/>
  <c r="B4809" i="39"/>
  <c r="J4808" i="39"/>
  <c r="J4807" i="39"/>
  <c r="J4806" i="39"/>
  <c r="J4805" i="39"/>
  <c r="J4804" i="39"/>
  <c r="J4803" i="39"/>
  <c r="J4802" i="39"/>
  <c r="J4801" i="39"/>
  <c r="J4800" i="39"/>
  <c r="J4799" i="39"/>
  <c r="J4798" i="39"/>
  <c r="J4797" i="39"/>
  <c r="J4796" i="39"/>
  <c r="J4795" i="39"/>
  <c r="J4794" i="39"/>
  <c r="J4793" i="39"/>
  <c r="J4792" i="39"/>
  <c r="J4791" i="39"/>
  <c r="J4790" i="39"/>
  <c r="J4789" i="39"/>
  <c r="J4788" i="39"/>
  <c r="J4787" i="39"/>
  <c r="J4786" i="39"/>
  <c r="J4785" i="39"/>
  <c r="J4784" i="39"/>
  <c r="J4783" i="39"/>
  <c r="J4782" i="39"/>
  <c r="J4781" i="39"/>
  <c r="J4780" i="39"/>
  <c r="J4779" i="39"/>
  <c r="J4778" i="39"/>
  <c r="J4777" i="39"/>
  <c r="J4776" i="39"/>
  <c r="J4775" i="39"/>
  <c r="J4774" i="39"/>
  <c r="J4773" i="39"/>
  <c r="J4772" i="39"/>
  <c r="J4771" i="39"/>
  <c r="J4770" i="39"/>
  <c r="J4769" i="39"/>
  <c r="J4768" i="39"/>
  <c r="J4767" i="39"/>
  <c r="J4766" i="39"/>
  <c r="J4765" i="39"/>
  <c r="J4764" i="39"/>
  <c r="J4763" i="39"/>
  <c r="J4762" i="39"/>
  <c r="J4761" i="39"/>
  <c r="J4760" i="39"/>
  <c r="J4759" i="39"/>
  <c r="J4758" i="39"/>
  <c r="J4757" i="39"/>
  <c r="J4756" i="39"/>
  <c r="J4755" i="39"/>
  <c r="J4754" i="39"/>
  <c r="J4753" i="39"/>
  <c r="J4752" i="39"/>
  <c r="J4751" i="39"/>
  <c r="J4750" i="39"/>
  <c r="J4749" i="39"/>
  <c r="J4748" i="39"/>
  <c r="J4747" i="39"/>
  <c r="J4746" i="39"/>
  <c r="J4745" i="39"/>
  <c r="J4744" i="39"/>
  <c r="J4743" i="39"/>
  <c r="J4742" i="39"/>
  <c r="J4741" i="39"/>
  <c r="J4740" i="39"/>
  <c r="J4739" i="39"/>
  <c r="J4738" i="39"/>
  <c r="J4737" i="39"/>
  <c r="J4736" i="39"/>
  <c r="J4735" i="39"/>
  <c r="J4734" i="39"/>
  <c r="J4733" i="39"/>
  <c r="J4732" i="39"/>
  <c r="J4731" i="39"/>
  <c r="J4730" i="39"/>
  <c r="J4729" i="39"/>
  <c r="J4728" i="39"/>
  <c r="J4727" i="39"/>
  <c r="J4726" i="39"/>
  <c r="J4725" i="39"/>
  <c r="J4724" i="39"/>
  <c r="J4723" i="39"/>
  <c r="J4722" i="39"/>
  <c r="J4721" i="39"/>
  <c r="J4720" i="39"/>
  <c r="J4719" i="39"/>
  <c r="J4718" i="39"/>
  <c r="J4717" i="39"/>
  <c r="J4716" i="39"/>
  <c r="J4715" i="39"/>
  <c r="J4714" i="39"/>
  <c r="J4713" i="39"/>
  <c r="J4712" i="39"/>
  <c r="J4711" i="39"/>
  <c r="J4710" i="39"/>
  <c r="J4709" i="39"/>
  <c r="J4708" i="39"/>
  <c r="J4707" i="39"/>
  <c r="J4706" i="39"/>
  <c r="J4705" i="39"/>
  <c r="J4704" i="39"/>
  <c r="J4703" i="39"/>
  <c r="B4703" i="39"/>
  <c r="J4702" i="39"/>
  <c r="J4701" i="39"/>
  <c r="J4700" i="39"/>
  <c r="J4699" i="39"/>
  <c r="J4698" i="39"/>
  <c r="J4697" i="39"/>
  <c r="J4696" i="39"/>
  <c r="J4695" i="39"/>
  <c r="J4694" i="39"/>
  <c r="J4693" i="39"/>
  <c r="J4692" i="39"/>
  <c r="J4691" i="39"/>
  <c r="J4690" i="39"/>
  <c r="J4689" i="39"/>
  <c r="J4688" i="39"/>
  <c r="J4687" i="39"/>
  <c r="J4686" i="39"/>
  <c r="B4686" i="39"/>
  <c r="J4685" i="39"/>
  <c r="J4684" i="39"/>
  <c r="J4683" i="39"/>
  <c r="B4683" i="39"/>
  <c r="J4682" i="39"/>
  <c r="J4681" i="39"/>
  <c r="J4680" i="39"/>
  <c r="J4679" i="39"/>
  <c r="J4678" i="39"/>
  <c r="J4677" i="39"/>
  <c r="J4676" i="39"/>
  <c r="J4675" i="39"/>
  <c r="J4674" i="39"/>
  <c r="J4673" i="39"/>
  <c r="J4672" i="39"/>
  <c r="J4671" i="39"/>
  <c r="J4670" i="39"/>
  <c r="J4669" i="39"/>
  <c r="J4668" i="39"/>
  <c r="J4667" i="39"/>
  <c r="J4666" i="39"/>
  <c r="J4665" i="39"/>
  <c r="J4664" i="39"/>
  <c r="J4663" i="39"/>
  <c r="J4662" i="39"/>
  <c r="J4661" i="39"/>
  <c r="J4660" i="39"/>
  <c r="J4659" i="39"/>
  <c r="J4658" i="39"/>
  <c r="J4657" i="39"/>
  <c r="J4656" i="39"/>
  <c r="J4655" i="39"/>
  <c r="J4654" i="39"/>
  <c r="J4653" i="39"/>
  <c r="J4652" i="39"/>
  <c r="J4651" i="39"/>
  <c r="J4650" i="39"/>
  <c r="J4649" i="39"/>
  <c r="J4648" i="39"/>
  <c r="J4647" i="39"/>
  <c r="J4646" i="39"/>
  <c r="J4645" i="39"/>
  <c r="J4644" i="39"/>
  <c r="J4643" i="39"/>
  <c r="J4642" i="39"/>
  <c r="J4641" i="39"/>
  <c r="J4640" i="39"/>
  <c r="J4639" i="39"/>
  <c r="J4638" i="39"/>
  <c r="J4637" i="39"/>
  <c r="J4636" i="39"/>
  <c r="J4635" i="39"/>
  <c r="J4634" i="39"/>
  <c r="J4633" i="39"/>
  <c r="J4632" i="39"/>
  <c r="J4631" i="39"/>
  <c r="J4630" i="39"/>
  <c r="J4629" i="39"/>
  <c r="J4628" i="39"/>
  <c r="J4627" i="39"/>
  <c r="J4626" i="39"/>
  <c r="J4625" i="39"/>
  <c r="J4624" i="39"/>
  <c r="J4623" i="39"/>
  <c r="J4622" i="39"/>
  <c r="J4621" i="39"/>
  <c r="J4620" i="39"/>
  <c r="J4619" i="39"/>
  <c r="J4618" i="39"/>
  <c r="J4617" i="39"/>
  <c r="J4616" i="39"/>
  <c r="J4615" i="39"/>
  <c r="J4614" i="39"/>
  <c r="J4613" i="39"/>
  <c r="J4612" i="39"/>
  <c r="J4611" i="39"/>
  <c r="J4610" i="39"/>
  <c r="J4609" i="39"/>
  <c r="J4608" i="39"/>
  <c r="J4607" i="39"/>
  <c r="J4606" i="39"/>
  <c r="J4605" i="39"/>
  <c r="J4604" i="39"/>
  <c r="J4603" i="39"/>
  <c r="J4602" i="39"/>
  <c r="J4601" i="39"/>
  <c r="J4600" i="39"/>
  <c r="J4599" i="39"/>
  <c r="J4598" i="39"/>
  <c r="J4597" i="39"/>
  <c r="J4596" i="39"/>
  <c r="J4595" i="39"/>
  <c r="J4594" i="39"/>
  <c r="J4593" i="39"/>
  <c r="J4592" i="39"/>
  <c r="J4591" i="39"/>
  <c r="J4590" i="39"/>
  <c r="J4589" i="39"/>
  <c r="J4588" i="39"/>
  <c r="J4587" i="39"/>
  <c r="J4586" i="39"/>
  <c r="J4585" i="39"/>
  <c r="J4584" i="39"/>
  <c r="J4583" i="39"/>
  <c r="J4582" i="39"/>
  <c r="J4581" i="39"/>
  <c r="J4580" i="39"/>
  <c r="J4579" i="39"/>
  <c r="J4578" i="39"/>
  <c r="J4577" i="39"/>
  <c r="J4576" i="39"/>
  <c r="J4575" i="39"/>
  <c r="J4574" i="39"/>
  <c r="J4573" i="39"/>
  <c r="J4572" i="39"/>
  <c r="J4571" i="39"/>
  <c r="J4570" i="39"/>
  <c r="J4569" i="39"/>
  <c r="J4568" i="39"/>
  <c r="J4567" i="39"/>
  <c r="J4566" i="39"/>
  <c r="J4565" i="39"/>
  <c r="J4564" i="39"/>
  <c r="J4563" i="39"/>
  <c r="J4562" i="39"/>
  <c r="J4561" i="39"/>
  <c r="J4560" i="39"/>
  <c r="J4559" i="39"/>
  <c r="J4558" i="39"/>
  <c r="J4557" i="39"/>
  <c r="J4556" i="39"/>
  <c r="J4555" i="39"/>
  <c r="J4554" i="39"/>
  <c r="J4553" i="39"/>
  <c r="J4552" i="39"/>
  <c r="J4551" i="39"/>
  <c r="J4550" i="39"/>
  <c r="J4549" i="39"/>
  <c r="J4548" i="39"/>
  <c r="J4547" i="39"/>
  <c r="J4546" i="39"/>
  <c r="J4545" i="39"/>
  <c r="J4544" i="39"/>
  <c r="J4543" i="39"/>
  <c r="J4542" i="39"/>
  <c r="J4541" i="39"/>
  <c r="J4540" i="39"/>
  <c r="J4539" i="39"/>
  <c r="J4538" i="39"/>
  <c r="J4537" i="39"/>
  <c r="J4536" i="39"/>
  <c r="J4535" i="39"/>
  <c r="J4534" i="39"/>
  <c r="J4533" i="39"/>
  <c r="J4532" i="39"/>
  <c r="J4531" i="39"/>
  <c r="J4530" i="39"/>
  <c r="J4529" i="39"/>
  <c r="J4528" i="39"/>
  <c r="J4527" i="39"/>
  <c r="J4526" i="39"/>
  <c r="J4525" i="39"/>
  <c r="J4524" i="39"/>
  <c r="J4523" i="39"/>
  <c r="J4522" i="39"/>
  <c r="J4521" i="39"/>
  <c r="J4520" i="39"/>
  <c r="J4519" i="39"/>
  <c r="J4518" i="39"/>
  <c r="J4517" i="39"/>
  <c r="J4516" i="39"/>
  <c r="J4515" i="39"/>
  <c r="J4514" i="39"/>
  <c r="J4513" i="39"/>
  <c r="J4512" i="39"/>
  <c r="J4511" i="39"/>
  <c r="J4510" i="39"/>
  <c r="J4509" i="39"/>
  <c r="J4508" i="39"/>
  <c r="J4507" i="39"/>
  <c r="J4506" i="39"/>
  <c r="J4505" i="39"/>
  <c r="J4504" i="39"/>
  <c r="J4503" i="39"/>
  <c r="J4502" i="39"/>
  <c r="J4501" i="39"/>
  <c r="J4500" i="39"/>
  <c r="J4499" i="39"/>
  <c r="J4498" i="39"/>
  <c r="J4497" i="39"/>
  <c r="J4496" i="39"/>
  <c r="J4495" i="39"/>
  <c r="J4494" i="39"/>
  <c r="J4493" i="39"/>
  <c r="J4492" i="39"/>
  <c r="J4491" i="39"/>
  <c r="J4490" i="39"/>
  <c r="J4489" i="39"/>
  <c r="J4488" i="39"/>
  <c r="J4487" i="39"/>
  <c r="J4486" i="39"/>
  <c r="J4485" i="39"/>
  <c r="B4485" i="39"/>
  <c r="J4484" i="39"/>
  <c r="J4483" i="39"/>
  <c r="J4482" i="39"/>
  <c r="J4481" i="39"/>
  <c r="J4480" i="39"/>
  <c r="J4479" i="39"/>
  <c r="J4478" i="39"/>
  <c r="J4477" i="39"/>
  <c r="J4476" i="39"/>
  <c r="J4475" i="39"/>
  <c r="J4474" i="39"/>
  <c r="J4473" i="39"/>
  <c r="J4472" i="39"/>
  <c r="J4471" i="39"/>
  <c r="J4470" i="39"/>
  <c r="J4469" i="39"/>
  <c r="J4468" i="39"/>
  <c r="J4467" i="39"/>
  <c r="J4466" i="39"/>
  <c r="J4465" i="39"/>
  <c r="J4464" i="39"/>
  <c r="J4463" i="39"/>
  <c r="B4463" i="39"/>
  <c r="J4462" i="39"/>
  <c r="J4461" i="39"/>
  <c r="J4460" i="39"/>
  <c r="J4459" i="39"/>
  <c r="J4458" i="39"/>
  <c r="J4457" i="39"/>
  <c r="J4456" i="39"/>
  <c r="J4455" i="39"/>
  <c r="J4454" i="39"/>
  <c r="J4453" i="39"/>
  <c r="J4452" i="39"/>
  <c r="J4451" i="39"/>
  <c r="J4450" i="39"/>
  <c r="J4449" i="39"/>
  <c r="J4448" i="39"/>
  <c r="J4447" i="39"/>
  <c r="J4446" i="39"/>
  <c r="J4445" i="39"/>
  <c r="J4444" i="39"/>
  <c r="J4443" i="39"/>
  <c r="J4442" i="39"/>
  <c r="J4441" i="39"/>
  <c r="J4440" i="39"/>
  <c r="J4439" i="39"/>
  <c r="J4438" i="39"/>
  <c r="J4437" i="39"/>
  <c r="J4436" i="39"/>
  <c r="J4435" i="39"/>
  <c r="J4434" i="39"/>
  <c r="J4433" i="39"/>
  <c r="J4432" i="39"/>
  <c r="J4431" i="39"/>
  <c r="J4430" i="39"/>
  <c r="J4429" i="39"/>
  <c r="J4428" i="39"/>
  <c r="J4427" i="39"/>
  <c r="J4426" i="39"/>
  <c r="J4425" i="39"/>
  <c r="J4424" i="39"/>
  <c r="J4423" i="39"/>
  <c r="J4422" i="39"/>
  <c r="J4421" i="39"/>
  <c r="J4420" i="39"/>
  <c r="J4419" i="39"/>
  <c r="J4418" i="39"/>
  <c r="J4417" i="39"/>
  <c r="J4416" i="39"/>
  <c r="J4415" i="39"/>
  <c r="J4414" i="39"/>
  <c r="J4413" i="39"/>
  <c r="J4412" i="39"/>
  <c r="J4411" i="39"/>
  <c r="J4410" i="39"/>
  <c r="J4409" i="39"/>
  <c r="J4408" i="39"/>
  <c r="J4407" i="39"/>
  <c r="J4406" i="39"/>
  <c r="J4405" i="39"/>
  <c r="J4404" i="39"/>
  <c r="J4403" i="39"/>
  <c r="J4402" i="39"/>
  <c r="J4401" i="39"/>
  <c r="J4400" i="39"/>
  <c r="J4399" i="39"/>
  <c r="J4398" i="39"/>
  <c r="J4397" i="39"/>
  <c r="J4396" i="39"/>
  <c r="J4395" i="39"/>
  <c r="J4394" i="39"/>
  <c r="J4393" i="39"/>
  <c r="J4392" i="39"/>
  <c r="J4391" i="39"/>
  <c r="J4390" i="39"/>
  <c r="J4389" i="39"/>
  <c r="J4388" i="39"/>
  <c r="J4387" i="39"/>
  <c r="J4386" i="39"/>
  <c r="J4385" i="39"/>
  <c r="J4384" i="39"/>
  <c r="J4383" i="39"/>
  <c r="J4382" i="39"/>
  <c r="J4381" i="39"/>
  <c r="J4380" i="39"/>
  <c r="J4379" i="39"/>
  <c r="J4378" i="39"/>
  <c r="J4377" i="39"/>
  <c r="J4376" i="39"/>
  <c r="J4375" i="39"/>
  <c r="J4374" i="39"/>
  <c r="J4373" i="39"/>
  <c r="J4372" i="39"/>
  <c r="J4371" i="39"/>
  <c r="J4370" i="39"/>
  <c r="J4369" i="39"/>
  <c r="J4368" i="39"/>
  <c r="J4367" i="39"/>
  <c r="J4366" i="39"/>
  <c r="J4365" i="39"/>
  <c r="J4364" i="39"/>
  <c r="J4363" i="39"/>
  <c r="J4362" i="39"/>
  <c r="J4361" i="39"/>
  <c r="J4360" i="39"/>
  <c r="J4359" i="39"/>
  <c r="J4358" i="39"/>
  <c r="J4357" i="39"/>
  <c r="J4356" i="39"/>
  <c r="J4355" i="39"/>
  <c r="J4354" i="39"/>
  <c r="J4353" i="39"/>
  <c r="J4352" i="39"/>
  <c r="J4351" i="39"/>
  <c r="J4350" i="39"/>
  <c r="J4349" i="39"/>
  <c r="J4348" i="39"/>
  <c r="J4347" i="39"/>
  <c r="J4346" i="39"/>
  <c r="J4345" i="39"/>
  <c r="J4344" i="39"/>
  <c r="J4343" i="39"/>
  <c r="J4342" i="39"/>
  <c r="B4342" i="39"/>
  <c r="J4341" i="39"/>
  <c r="J4340" i="39"/>
  <c r="J4339" i="39"/>
  <c r="J4338" i="39"/>
  <c r="J4337" i="39"/>
  <c r="J4336" i="39"/>
  <c r="J4335" i="39"/>
  <c r="J4334" i="39"/>
  <c r="J4333" i="39"/>
  <c r="J4332" i="39"/>
  <c r="J4331" i="39"/>
  <c r="J4330" i="39"/>
  <c r="J4329" i="39"/>
  <c r="J4328" i="39"/>
  <c r="J4327" i="39"/>
  <c r="J4326" i="39"/>
  <c r="J4325" i="39"/>
  <c r="J4324" i="39"/>
  <c r="J4323" i="39"/>
  <c r="J4322" i="39"/>
  <c r="J4321" i="39"/>
  <c r="J4320" i="39"/>
  <c r="J4319" i="39"/>
  <c r="J4318" i="39"/>
  <c r="J4317" i="39"/>
  <c r="J4316" i="39"/>
  <c r="J4315" i="39"/>
  <c r="J4314" i="39"/>
  <c r="J4313" i="39"/>
  <c r="J4312" i="39"/>
  <c r="J4311" i="39"/>
  <c r="J4310" i="39"/>
  <c r="J4309" i="39"/>
  <c r="J4308" i="39"/>
  <c r="J4307" i="39"/>
  <c r="J4306" i="39"/>
  <c r="J4305" i="39"/>
  <c r="J4304" i="39"/>
  <c r="J4303" i="39"/>
  <c r="J4302" i="39"/>
  <c r="J4301" i="39"/>
  <c r="J4300" i="39"/>
  <c r="J4299" i="39"/>
  <c r="J4298" i="39"/>
  <c r="J4297" i="39"/>
  <c r="J4296" i="39"/>
  <c r="J4295" i="39"/>
  <c r="J4294" i="39"/>
  <c r="J4293" i="39"/>
  <c r="J4292" i="39"/>
  <c r="J4291" i="39"/>
  <c r="J4290" i="39"/>
  <c r="J4289" i="39"/>
  <c r="J4288" i="39"/>
  <c r="J4287" i="39"/>
  <c r="J4286" i="39"/>
  <c r="J4285" i="39"/>
  <c r="J4284" i="39"/>
  <c r="J4283" i="39"/>
  <c r="J4282" i="39"/>
  <c r="J4281" i="39"/>
  <c r="J4280" i="39"/>
  <c r="J4279" i="39"/>
  <c r="J4278" i="39"/>
  <c r="J4277" i="39"/>
  <c r="J4276" i="39"/>
  <c r="J4275" i="39"/>
  <c r="J4274" i="39"/>
  <c r="J4273" i="39"/>
  <c r="J4272" i="39"/>
  <c r="J4271" i="39"/>
  <c r="J4270" i="39"/>
  <c r="J4269" i="39"/>
  <c r="J4268" i="39"/>
  <c r="J4267" i="39"/>
  <c r="J4266" i="39"/>
  <c r="J4265" i="39"/>
  <c r="J4264" i="39"/>
  <c r="J4263" i="39"/>
  <c r="J4262" i="39"/>
  <c r="J4261" i="39"/>
  <c r="J4260" i="39"/>
  <c r="J4259" i="39"/>
  <c r="J4258" i="39"/>
  <c r="J4257" i="39"/>
  <c r="J4256" i="39"/>
  <c r="J4255" i="39"/>
  <c r="J4254" i="39"/>
  <c r="J4253" i="39"/>
  <c r="J4252" i="39"/>
  <c r="J4251" i="39"/>
  <c r="J4250" i="39"/>
  <c r="J4249" i="39"/>
  <c r="J4248" i="39"/>
  <c r="J4247" i="39"/>
  <c r="J4246" i="39"/>
  <c r="J4245" i="39"/>
  <c r="J4244" i="39"/>
  <c r="J4243" i="39"/>
  <c r="J4242" i="39"/>
  <c r="J4241" i="39"/>
  <c r="J4240" i="39"/>
  <c r="J4239" i="39"/>
  <c r="J4238" i="39"/>
  <c r="J4237" i="39"/>
  <c r="J4236" i="39"/>
  <c r="J4235" i="39"/>
  <c r="J4234" i="39"/>
  <c r="J4233" i="39"/>
  <c r="J4232" i="39"/>
  <c r="J4231" i="39"/>
  <c r="J4230" i="39"/>
  <c r="J4229" i="39"/>
  <c r="J4228" i="39"/>
  <c r="J4227" i="39"/>
  <c r="J4226" i="39"/>
  <c r="J4225" i="39"/>
  <c r="J4224" i="39"/>
  <c r="J4223" i="39"/>
  <c r="J4222" i="39"/>
  <c r="J4221" i="39"/>
  <c r="J4220" i="39"/>
  <c r="J4219" i="39"/>
  <c r="J4218" i="39"/>
  <c r="J4217" i="39"/>
  <c r="J4216" i="39"/>
  <c r="J4215" i="39"/>
  <c r="J4214" i="39"/>
  <c r="J4213" i="39"/>
  <c r="J4212" i="39"/>
  <c r="J4211" i="39"/>
  <c r="J4210" i="39"/>
  <c r="J4209" i="39"/>
  <c r="J4208" i="39"/>
  <c r="J4207" i="39"/>
  <c r="J4206" i="39"/>
  <c r="J4205" i="39"/>
  <c r="J4204" i="39"/>
  <c r="J4203" i="39"/>
  <c r="J4202" i="39"/>
  <c r="J4201" i="39"/>
  <c r="J4200" i="39"/>
  <c r="J4199" i="39"/>
  <c r="J4198" i="39"/>
  <c r="J4197" i="39"/>
  <c r="J4196" i="39"/>
  <c r="J4195" i="39"/>
  <c r="J4194" i="39"/>
  <c r="J4193" i="39"/>
  <c r="J4192" i="39"/>
  <c r="J4191" i="39"/>
  <c r="J4190" i="39"/>
  <c r="J4189" i="39"/>
  <c r="J4188" i="39"/>
  <c r="J4187" i="39"/>
  <c r="J4186" i="39"/>
  <c r="J4185" i="39"/>
  <c r="J4184" i="39"/>
  <c r="J4183" i="39"/>
  <c r="J4182" i="39"/>
  <c r="J4181" i="39"/>
  <c r="J4180" i="39"/>
  <c r="J4179" i="39"/>
  <c r="J4178" i="39"/>
  <c r="J4177" i="39"/>
  <c r="J4176" i="39"/>
  <c r="J4175" i="39"/>
  <c r="J4174" i="39"/>
  <c r="J4173" i="39"/>
  <c r="J4172" i="39"/>
  <c r="J4171" i="39"/>
  <c r="J4170" i="39"/>
  <c r="J4169" i="39"/>
  <c r="J4168" i="39"/>
  <c r="J4167" i="39"/>
  <c r="J4166" i="39"/>
  <c r="J4165" i="39"/>
  <c r="J4164" i="39"/>
  <c r="J4163" i="39"/>
  <c r="J4162" i="39"/>
  <c r="J4161" i="39"/>
  <c r="J4160" i="39"/>
  <c r="J4159" i="39"/>
  <c r="J4158" i="39"/>
  <c r="J4157" i="39"/>
  <c r="J4156" i="39"/>
  <c r="J4155" i="39"/>
  <c r="J4154" i="39"/>
  <c r="J4153" i="39"/>
  <c r="J4152" i="39"/>
  <c r="J4151" i="39"/>
  <c r="J4150" i="39"/>
  <c r="J4149" i="39"/>
  <c r="J4148" i="39"/>
  <c r="J4147" i="39"/>
  <c r="J4146" i="39"/>
  <c r="J4145" i="39"/>
  <c r="J4144" i="39"/>
  <c r="J4143" i="39"/>
  <c r="J4142" i="39"/>
  <c r="J4141" i="39"/>
  <c r="J4140" i="39"/>
  <c r="J4139" i="39"/>
  <c r="J4138" i="39"/>
  <c r="J4137" i="39"/>
  <c r="J4136" i="39"/>
  <c r="J4135" i="39"/>
  <c r="J4134" i="39"/>
  <c r="J4133" i="39"/>
  <c r="J4132" i="39"/>
  <c r="J4131" i="39"/>
  <c r="J4130" i="39"/>
  <c r="J4129" i="39"/>
  <c r="J4128" i="39"/>
  <c r="J4127" i="39"/>
  <c r="J4126" i="39"/>
  <c r="J4125" i="39"/>
  <c r="J4124" i="39"/>
  <c r="J4123" i="39"/>
  <c r="J4122" i="39"/>
  <c r="J4121" i="39"/>
  <c r="J4120" i="39"/>
  <c r="J4119" i="39"/>
  <c r="J4118" i="39"/>
  <c r="J4117" i="39"/>
  <c r="J4116" i="39"/>
  <c r="J4115" i="39"/>
  <c r="J4114" i="39"/>
  <c r="J4113" i="39"/>
  <c r="J4112" i="39"/>
  <c r="J4111" i="39"/>
  <c r="J4110" i="39"/>
  <c r="J4109" i="39"/>
  <c r="J4108" i="39"/>
  <c r="J4107" i="39"/>
  <c r="J4106" i="39"/>
  <c r="J4105" i="39"/>
  <c r="J4104" i="39"/>
  <c r="J4103" i="39"/>
  <c r="J4102" i="39"/>
  <c r="J4101" i="39"/>
  <c r="J4100" i="39"/>
  <c r="J4099" i="39"/>
  <c r="J4098" i="39"/>
  <c r="J4097" i="39"/>
  <c r="J4096" i="39"/>
  <c r="J4095" i="39"/>
  <c r="J4094" i="39"/>
  <c r="J4093" i="39"/>
  <c r="J4092" i="39"/>
  <c r="J4091" i="39"/>
  <c r="J4090" i="39"/>
  <c r="J4089" i="39"/>
  <c r="J4088" i="39"/>
  <c r="J4087" i="39"/>
  <c r="J4086" i="39"/>
  <c r="J4085" i="39"/>
  <c r="J4084" i="39"/>
  <c r="J4083" i="39"/>
  <c r="J4082" i="39"/>
  <c r="J4081" i="39"/>
  <c r="J4080" i="39"/>
  <c r="J4079" i="39"/>
  <c r="J4078" i="39"/>
  <c r="J4077" i="39"/>
  <c r="J4076" i="39"/>
  <c r="J4075" i="39"/>
  <c r="J4074" i="39"/>
  <c r="J4073" i="39"/>
  <c r="J4072" i="39"/>
  <c r="J4071" i="39"/>
  <c r="J4070" i="39"/>
  <c r="J4069" i="39"/>
  <c r="J4068" i="39"/>
  <c r="J4067" i="39"/>
  <c r="J4066" i="39"/>
  <c r="J4065" i="39"/>
  <c r="J4064" i="39"/>
  <c r="J4063" i="39"/>
  <c r="J4062" i="39"/>
  <c r="J4061" i="39"/>
  <c r="J4060" i="39"/>
  <c r="B4060" i="39"/>
  <c r="J4059" i="39"/>
  <c r="J4058" i="39"/>
  <c r="J4057" i="39"/>
  <c r="J4056" i="39"/>
  <c r="J4055" i="39"/>
  <c r="J4054" i="39"/>
  <c r="J4053" i="39"/>
  <c r="J4052" i="39"/>
  <c r="J4051" i="39"/>
  <c r="J4050" i="39"/>
  <c r="J4049" i="39"/>
  <c r="J4048" i="39"/>
  <c r="J4047" i="39"/>
  <c r="J4046" i="39"/>
  <c r="J4045" i="39"/>
  <c r="J4044" i="39"/>
  <c r="B4044" i="39"/>
  <c r="J4043" i="39"/>
  <c r="J4042" i="39"/>
  <c r="J4041" i="39"/>
  <c r="J4040" i="39"/>
  <c r="J4039" i="39"/>
  <c r="J4038" i="39"/>
  <c r="J4037" i="39"/>
  <c r="J4036" i="39"/>
  <c r="J4035" i="39"/>
  <c r="J4034" i="39"/>
  <c r="J4033" i="39"/>
  <c r="J4032" i="39"/>
  <c r="J4031" i="39"/>
  <c r="J4030" i="39"/>
  <c r="J4029" i="39"/>
  <c r="J4028" i="39"/>
  <c r="J4027" i="39"/>
  <c r="J4026" i="39"/>
  <c r="J4025" i="39"/>
  <c r="J4024" i="39"/>
  <c r="B4024" i="39"/>
  <c r="J4023" i="39"/>
  <c r="J4022" i="39"/>
  <c r="J4021" i="39"/>
  <c r="J4020" i="39"/>
  <c r="J4019" i="39"/>
  <c r="J4018" i="39"/>
  <c r="J4017" i="39"/>
  <c r="J4016" i="39"/>
  <c r="J4015" i="39"/>
  <c r="J4014" i="39"/>
  <c r="J4013" i="39"/>
  <c r="J4012" i="39"/>
  <c r="J4011" i="39"/>
  <c r="J4010" i="39"/>
  <c r="J4009" i="39"/>
  <c r="J4008" i="39"/>
  <c r="J4007" i="39"/>
  <c r="J4006" i="39"/>
  <c r="J4005" i="39"/>
  <c r="J4004" i="39"/>
  <c r="J4003" i="39"/>
  <c r="J4002" i="39"/>
  <c r="J4001" i="39"/>
  <c r="J4000" i="39"/>
  <c r="J3999" i="39"/>
  <c r="J3998" i="39"/>
  <c r="J3997" i="39"/>
  <c r="J3996" i="39"/>
  <c r="J3995" i="39"/>
  <c r="J3994" i="39"/>
  <c r="J3993" i="39"/>
  <c r="J3992" i="39"/>
  <c r="J3991" i="39"/>
  <c r="J3990" i="39"/>
  <c r="J3989" i="39"/>
  <c r="J3988" i="39"/>
  <c r="J3987" i="39"/>
  <c r="J3986" i="39"/>
  <c r="J3985" i="39"/>
  <c r="J3984" i="39"/>
  <c r="J3983" i="39"/>
  <c r="J3982" i="39"/>
  <c r="J3981" i="39"/>
  <c r="J3980" i="39"/>
  <c r="J3979" i="39"/>
  <c r="J3978" i="39"/>
  <c r="J3977" i="39"/>
  <c r="J3976" i="39"/>
  <c r="J3975" i="39"/>
  <c r="J3974" i="39"/>
  <c r="J3973" i="39"/>
  <c r="J3972" i="39"/>
  <c r="J3971" i="39"/>
  <c r="J3970" i="39"/>
  <c r="J3969" i="39"/>
  <c r="J3968" i="39"/>
  <c r="J3967" i="39"/>
  <c r="J3966" i="39"/>
  <c r="J3965" i="39"/>
  <c r="J3964" i="39"/>
  <c r="J3963" i="39"/>
  <c r="J3962" i="39"/>
  <c r="B3962" i="39"/>
  <c r="J3961" i="39"/>
  <c r="J3960" i="39"/>
  <c r="J3959" i="39"/>
  <c r="J3958" i="39"/>
  <c r="J3957" i="39"/>
  <c r="J3956" i="39"/>
  <c r="J3955" i="39"/>
  <c r="J3954" i="39"/>
  <c r="J3953" i="39"/>
  <c r="J3952" i="39"/>
  <c r="J3951" i="39"/>
  <c r="J3950" i="39"/>
  <c r="J3949" i="39"/>
  <c r="J3948" i="39"/>
  <c r="J3947" i="39"/>
  <c r="B3947" i="39"/>
  <c r="J3946" i="39"/>
  <c r="J3945" i="39"/>
  <c r="J3944" i="39"/>
  <c r="J3943" i="39"/>
  <c r="J3942" i="39"/>
  <c r="J3941" i="39"/>
  <c r="J3940" i="39"/>
  <c r="J3939" i="39"/>
  <c r="J3938" i="39"/>
  <c r="J3937" i="39"/>
  <c r="J3936" i="39"/>
  <c r="J3935" i="39"/>
  <c r="J3934" i="39"/>
  <c r="J3933" i="39"/>
  <c r="J3932" i="39"/>
  <c r="J3931" i="39"/>
  <c r="J3930" i="39"/>
  <c r="J3929" i="39"/>
  <c r="J3928" i="39"/>
  <c r="B3928" i="39"/>
  <c r="J3927" i="39"/>
  <c r="J3926" i="39"/>
  <c r="J3925" i="39"/>
  <c r="J3924" i="39"/>
  <c r="J3923" i="39"/>
  <c r="J3922" i="39"/>
  <c r="J3921" i="39"/>
  <c r="J3920" i="39"/>
  <c r="J3919" i="39"/>
  <c r="J3918" i="39"/>
  <c r="J3917" i="39"/>
  <c r="J3916" i="39"/>
  <c r="J3915" i="39"/>
  <c r="J3914" i="39"/>
  <c r="J3913" i="39"/>
  <c r="J3912" i="39"/>
  <c r="J3911" i="39"/>
  <c r="J3910" i="39"/>
  <c r="J3909" i="39"/>
  <c r="J3908" i="39"/>
  <c r="J3907" i="39"/>
  <c r="J3906" i="39"/>
  <c r="J3905" i="39"/>
  <c r="J3904" i="39"/>
  <c r="J3903" i="39"/>
  <c r="J3902" i="39"/>
  <c r="J3901" i="39"/>
  <c r="J3900" i="39"/>
  <c r="J3899" i="39"/>
  <c r="J3898" i="39"/>
  <c r="B3898" i="39"/>
  <c r="J3897" i="39"/>
  <c r="J3896" i="39"/>
  <c r="J3895" i="39"/>
  <c r="J3894" i="39"/>
  <c r="J3893" i="39"/>
  <c r="J3892" i="39"/>
  <c r="J3891" i="39"/>
  <c r="J3890" i="39"/>
  <c r="J3889" i="39"/>
  <c r="J3888" i="39"/>
  <c r="J3887" i="39"/>
  <c r="J3886" i="39"/>
  <c r="J3885" i="39"/>
  <c r="J3884" i="39"/>
  <c r="J3883" i="39"/>
  <c r="J3882" i="39"/>
  <c r="J3881" i="39"/>
  <c r="J3880" i="39"/>
  <c r="J3879" i="39"/>
  <c r="B3879" i="39"/>
  <c r="J3878" i="39"/>
  <c r="J3877" i="39"/>
  <c r="J3876" i="39"/>
  <c r="J3875" i="39"/>
  <c r="J3874" i="39"/>
  <c r="J3873" i="39"/>
  <c r="J3872" i="39"/>
  <c r="J3871" i="39"/>
  <c r="J3870" i="39"/>
  <c r="J3869" i="39"/>
  <c r="J3868" i="39"/>
  <c r="J3867" i="39"/>
  <c r="J3866" i="39"/>
  <c r="J3865" i="39"/>
  <c r="J3864" i="39"/>
  <c r="J3863" i="39"/>
  <c r="J3862" i="39"/>
  <c r="J3861" i="39"/>
  <c r="J3860" i="39"/>
  <c r="J3859" i="39"/>
  <c r="J3858" i="39"/>
  <c r="J3857" i="39"/>
  <c r="J3856" i="39"/>
  <c r="J3855" i="39"/>
  <c r="J3854" i="39"/>
  <c r="J3853" i="39"/>
  <c r="J3852" i="39"/>
  <c r="J3851" i="39"/>
  <c r="J3850" i="39"/>
  <c r="J3849" i="39"/>
  <c r="J3848" i="39"/>
  <c r="J3847" i="39"/>
  <c r="J3846" i="39"/>
  <c r="J3845" i="39"/>
  <c r="J3844" i="39"/>
  <c r="J3843" i="39"/>
  <c r="J3842" i="39"/>
  <c r="J3841" i="39"/>
  <c r="J3840" i="39"/>
  <c r="J3839" i="39"/>
  <c r="J3838" i="39"/>
  <c r="J3837" i="39"/>
  <c r="J3836" i="39"/>
  <c r="J3835" i="39"/>
  <c r="J3834" i="39"/>
  <c r="J3833" i="39"/>
  <c r="J3832" i="39"/>
  <c r="J3831" i="39"/>
  <c r="J3830" i="39"/>
  <c r="J3829" i="39"/>
  <c r="J3828" i="39"/>
  <c r="J3827" i="39"/>
  <c r="J3826" i="39"/>
  <c r="J3825" i="39"/>
  <c r="J3824" i="39"/>
  <c r="J3823" i="39"/>
  <c r="J3822" i="39"/>
  <c r="J3821" i="39"/>
  <c r="J3820" i="39"/>
  <c r="J3819" i="39"/>
  <c r="J3818" i="39"/>
  <c r="J3817" i="39"/>
  <c r="J3816" i="39"/>
  <c r="J3815" i="39"/>
  <c r="J3814" i="39"/>
  <c r="J3813" i="39"/>
  <c r="J3812" i="39"/>
  <c r="J3811" i="39"/>
  <c r="J3810" i="39"/>
  <c r="J3809" i="39"/>
  <c r="J3808" i="39"/>
  <c r="J3807" i="39"/>
  <c r="J3806" i="39"/>
  <c r="J3805" i="39"/>
  <c r="J3804" i="39"/>
  <c r="J3803" i="39"/>
  <c r="J3802" i="39"/>
  <c r="J3801" i="39"/>
  <c r="J3800" i="39"/>
  <c r="J3799" i="39"/>
  <c r="J3798" i="39"/>
  <c r="J3797" i="39"/>
  <c r="J3796" i="39"/>
  <c r="J3795" i="39"/>
  <c r="J3794" i="39"/>
  <c r="J3793" i="39"/>
  <c r="J3792" i="39"/>
  <c r="J3791" i="39"/>
  <c r="J3790" i="39"/>
  <c r="J3789" i="39"/>
  <c r="J3788" i="39"/>
  <c r="J3787" i="39"/>
  <c r="J3786" i="39"/>
  <c r="J3785" i="39"/>
  <c r="J3784" i="39"/>
  <c r="J3783" i="39"/>
  <c r="J3782" i="39"/>
  <c r="J3781" i="39"/>
  <c r="J3780" i="39"/>
  <c r="J3779" i="39"/>
  <c r="J3778" i="39"/>
  <c r="J3777" i="39"/>
  <c r="J3776" i="39"/>
  <c r="J3775" i="39"/>
  <c r="J3774" i="39"/>
  <c r="J3773" i="39"/>
  <c r="J3772" i="39"/>
  <c r="J3771" i="39"/>
  <c r="J3770" i="39"/>
  <c r="J3769" i="39"/>
  <c r="J3768" i="39"/>
  <c r="J3767" i="39"/>
  <c r="J3766" i="39"/>
  <c r="J3765" i="39"/>
  <c r="J3764" i="39"/>
  <c r="J3763" i="39"/>
  <c r="J3762" i="39"/>
  <c r="J3761" i="39"/>
  <c r="J3760" i="39"/>
  <c r="J3759" i="39"/>
  <c r="J3758" i="39"/>
  <c r="J3757" i="39"/>
  <c r="J3756" i="39"/>
  <c r="J3755" i="39"/>
  <c r="J3754" i="39"/>
  <c r="J3753" i="39"/>
  <c r="J3752" i="39"/>
  <c r="J3751" i="39"/>
  <c r="J3750" i="39"/>
  <c r="J3749" i="39"/>
  <c r="J3748" i="39"/>
  <c r="J3747" i="39"/>
  <c r="J3746" i="39"/>
  <c r="J3745" i="39"/>
  <c r="J3744" i="39"/>
  <c r="J3743" i="39"/>
  <c r="J3742" i="39"/>
  <c r="J3741" i="39"/>
  <c r="J3740" i="39"/>
  <c r="J3739" i="39"/>
  <c r="J3738" i="39"/>
  <c r="J3737" i="39"/>
  <c r="J3736" i="39"/>
  <c r="J3735" i="39"/>
  <c r="J3734" i="39"/>
  <c r="J3733" i="39"/>
  <c r="J3732" i="39"/>
  <c r="J3731" i="39"/>
  <c r="J3730" i="39"/>
  <c r="J3729" i="39"/>
  <c r="J3728" i="39"/>
  <c r="J3727" i="39"/>
  <c r="J3726" i="39"/>
  <c r="J3725" i="39"/>
  <c r="J3724" i="39"/>
  <c r="J3723" i="39"/>
  <c r="J3722" i="39"/>
  <c r="J3721" i="39"/>
  <c r="J3720" i="39"/>
  <c r="J3719" i="39"/>
  <c r="J3718" i="39"/>
  <c r="J3717" i="39"/>
  <c r="J3716" i="39"/>
  <c r="J3715" i="39"/>
  <c r="J3714" i="39"/>
  <c r="J3713" i="39"/>
  <c r="J3712" i="39"/>
  <c r="J3711" i="39"/>
  <c r="J3710" i="39"/>
  <c r="J3709" i="39"/>
  <c r="J3708" i="39"/>
  <c r="J3707" i="39"/>
  <c r="J3706" i="39"/>
  <c r="J3705" i="39"/>
  <c r="J3704" i="39"/>
  <c r="J3703" i="39"/>
  <c r="J3702" i="39"/>
  <c r="J3701" i="39"/>
  <c r="J3700" i="39"/>
  <c r="J3699" i="39"/>
  <c r="J3698" i="39"/>
  <c r="J3697" i="39"/>
  <c r="J3696" i="39"/>
  <c r="J3695" i="39"/>
  <c r="J3694" i="39"/>
  <c r="J3693" i="39"/>
  <c r="J3692" i="39"/>
  <c r="J3691" i="39"/>
  <c r="J3690" i="39"/>
  <c r="J3689" i="39"/>
  <c r="J3688" i="39"/>
  <c r="J3687" i="39"/>
  <c r="J3686" i="39"/>
  <c r="J3685" i="39"/>
  <c r="J3684" i="39"/>
  <c r="J3683" i="39"/>
  <c r="J3682" i="39"/>
  <c r="J3681" i="39"/>
  <c r="J3680" i="39"/>
  <c r="J3679" i="39"/>
  <c r="J3678" i="39"/>
  <c r="J3677" i="39"/>
  <c r="J3676" i="39"/>
  <c r="J3675" i="39"/>
  <c r="J3674" i="39"/>
  <c r="J3673" i="39"/>
  <c r="J3672" i="39"/>
  <c r="J3671" i="39"/>
  <c r="J3670" i="39"/>
  <c r="J3669" i="39"/>
  <c r="J3668" i="39"/>
  <c r="J3667" i="39"/>
  <c r="J3666" i="39"/>
  <c r="J3665" i="39"/>
  <c r="J3664" i="39"/>
  <c r="J3663" i="39"/>
  <c r="J3662" i="39"/>
  <c r="J3661" i="39"/>
  <c r="J3660" i="39"/>
  <c r="J3659" i="39"/>
  <c r="J3658" i="39"/>
  <c r="J3657" i="39"/>
  <c r="J3656" i="39"/>
  <c r="J3655" i="39"/>
  <c r="J3654" i="39"/>
  <c r="J3653" i="39"/>
  <c r="J3652" i="39"/>
  <c r="J3651" i="39"/>
  <c r="J3650" i="39"/>
  <c r="J3649" i="39"/>
  <c r="J3648" i="39"/>
  <c r="J3647" i="39"/>
  <c r="J3646" i="39"/>
  <c r="J3645" i="39"/>
  <c r="J3644" i="39"/>
  <c r="J3643" i="39"/>
  <c r="J3642" i="39"/>
  <c r="J3641" i="39"/>
  <c r="J3640" i="39"/>
  <c r="J3639" i="39"/>
  <c r="J3638" i="39"/>
  <c r="J3637" i="39"/>
  <c r="J3636" i="39"/>
  <c r="J3635" i="39"/>
  <c r="J3634" i="39"/>
  <c r="J3633" i="39"/>
  <c r="J3632" i="39"/>
  <c r="J3631" i="39"/>
  <c r="J3630" i="39"/>
  <c r="J3629" i="39"/>
  <c r="J3628" i="39"/>
  <c r="J3627" i="39"/>
  <c r="J3626" i="39"/>
  <c r="J3625" i="39"/>
  <c r="J3624" i="39"/>
  <c r="J3623" i="39"/>
  <c r="J3622" i="39"/>
  <c r="J3621" i="39"/>
  <c r="J3620" i="39"/>
  <c r="J3619" i="39"/>
  <c r="J3618" i="39"/>
  <c r="J3617" i="39"/>
  <c r="B3617" i="39"/>
  <c r="J3616" i="39"/>
  <c r="J3615" i="39"/>
  <c r="J3614" i="39"/>
  <c r="J3613" i="39"/>
  <c r="J3612" i="39"/>
  <c r="J3611" i="39"/>
  <c r="J3610" i="39"/>
  <c r="J3609" i="39"/>
  <c r="J3608" i="39"/>
  <c r="J3607" i="39"/>
  <c r="J3606" i="39"/>
  <c r="J3605" i="39"/>
  <c r="J3604" i="39"/>
  <c r="J3603" i="39"/>
  <c r="J3602" i="39"/>
  <c r="J3601" i="39"/>
  <c r="J3600" i="39"/>
  <c r="J3599" i="39"/>
  <c r="J3598" i="39"/>
  <c r="J3597" i="39"/>
  <c r="J3596" i="39"/>
  <c r="J3595" i="39"/>
  <c r="J3594" i="39"/>
  <c r="J3593" i="39"/>
  <c r="J3592" i="39"/>
  <c r="J3591" i="39"/>
  <c r="J3590" i="39"/>
  <c r="J3589" i="39"/>
  <c r="J3588" i="39"/>
  <c r="J3587" i="39"/>
  <c r="J3586" i="39"/>
  <c r="J3585" i="39"/>
  <c r="J3584" i="39"/>
  <c r="J3583" i="39"/>
  <c r="J3582" i="39"/>
  <c r="J3581" i="39"/>
  <c r="J3580" i="39"/>
  <c r="J3579" i="39"/>
  <c r="J3578" i="39"/>
  <c r="J3577" i="39"/>
  <c r="J3576" i="39"/>
  <c r="J3575" i="39"/>
  <c r="J3574" i="39"/>
  <c r="J3573" i="39"/>
  <c r="J3572" i="39"/>
  <c r="J3571" i="39"/>
  <c r="J3570" i="39"/>
  <c r="J3569" i="39"/>
  <c r="J3568" i="39"/>
  <c r="J3567" i="39"/>
  <c r="J3566" i="39"/>
  <c r="J3565" i="39"/>
  <c r="J3564" i="39"/>
  <c r="J3563" i="39"/>
  <c r="J3562" i="39"/>
  <c r="J3561" i="39"/>
  <c r="J3560" i="39"/>
  <c r="J3559" i="39"/>
  <c r="J3558" i="39"/>
  <c r="J3557" i="39"/>
  <c r="J3556" i="39"/>
  <c r="J3555" i="39"/>
  <c r="J3554" i="39"/>
  <c r="J3553" i="39"/>
  <c r="J3552" i="39"/>
  <c r="J3551" i="39"/>
  <c r="J3550" i="39"/>
  <c r="J3549" i="39"/>
  <c r="J3548" i="39"/>
  <c r="J3547" i="39"/>
  <c r="J3546" i="39"/>
  <c r="J3545" i="39"/>
  <c r="J3544" i="39"/>
  <c r="J3543" i="39"/>
  <c r="J3542" i="39"/>
  <c r="J3541" i="39"/>
  <c r="J3540" i="39"/>
  <c r="J3539" i="39"/>
  <c r="J3538" i="39"/>
  <c r="J3537" i="39"/>
  <c r="J3536" i="39"/>
  <c r="J3535" i="39"/>
  <c r="J3534" i="39"/>
  <c r="J3533" i="39"/>
  <c r="J3532" i="39"/>
  <c r="J3531" i="39"/>
  <c r="J3530" i="39"/>
  <c r="J3529" i="39"/>
  <c r="J3528" i="39"/>
  <c r="J3527" i="39"/>
  <c r="J3526" i="39"/>
  <c r="J3525" i="39"/>
  <c r="J3524" i="39"/>
  <c r="J3523" i="39"/>
  <c r="J3522" i="39"/>
  <c r="J3521" i="39"/>
  <c r="J3520" i="39"/>
  <c r="J3519" i="39"/>
  <c r="J3518" i="39"/>
  <c r="J3517" i="39"/>
  <c r="J3516" i="39"/>
  <c r="J3515" i="39"/>
  <c r="J3514" i="39"/>
  <c r="J3513" i="39"/>
  <c r="J3512" i="39"/>
  <c r="J3511" i="39"/>
  <c r="J3510" i="39"/>
  <c r="J3509" i="39"/>
  <c r="J3508" i="39"/>
  <c r="J3507" i="39"/>
  <c r="J3506" i="39"/>
  <c r="J3505" i="39"/>
  <c r="J3504" i="39"/>
  <c r="J3503" i="39"/>
  <c r="J3502" i="39"/>
  <c r="J3501" i="39"/>
  <c r="J3500" i="39"/>
  <c r="J3499" i="39"/>
  <c r="J3498" i="39"/>
  <c r="J3497" i="39"/>
  <c r="J3496" i="39"/>
  <c r="J3495" i="39"/>
  <c r="J3494" i="39"/>
  <c r="J3493" i="39"/>
  <c r="J3492" i="39"/>
  <c r="J3491" i="39"/>
  <c r="J3490" i="39"/>
  <c r="J3489" i="39"/>
  <c r="J3488" i="39"/>
  <c r="J3487" i="39"/>
  <c r="J3486" i="39"/>
  <c r="J3485" i="39"/>
  <c r="J3484" i="39"/>
  <c r="J3483" i="39"/>
  <c r="J3482" i="39"/>
  <c r="J3481" i="39"/>
  <c r="J3480" i="39"/>
  <c r="J3479" i="39"/>
  <c r="J3478" i="39"/>
  <c r="J3477" i="39"/>
  <c r="J3476" i="39"/>
  <c r="J3475" i="39"/>
  <c r="J3474" i="39"/>
  <c r="J3473" i="39"/>
  <c r="J3472" i="39"/>
  <c r="J3471" i="39"/>
  <c r="J3470" i="39"/>
  <c r="J3469" i="39"/>
  <c r="J3468" i="39"/>
  <c r="J3467" i="39"/>
  <c r="J3466" i="39"/>
  <c r="J3465" i="39"/>
  <c r="J3464" i="39"/>
  <c r="J3463" i="39"/>
  <c r="J3462" i="39"/>
  <c r="J3461" i="39"/>
  <c r="J3460" i="39"/>
  <c r="J3459" i="39"/>
  <c r="J3458" i="39"/>
  <c r="J3457" i="39"/>
  <c r="J3456" i="39"/>
  <c r="J3455" i="39"/>
  <c r="J3454" i="39"/>
  <c r="J3453" i="39"/>
  <c r="J3452" i="39"/>
  <c r="J3451" i="39"/>
  <c r="J3450" i="39"/>
  <c r="J3449" i="39"/>
  <c r="J3448" i="39"/>
  <c r="J3447" i="39"/>
  <c r="J3446" i="39"/>
  <c r="J3445" i="39"/>
  <c r="J3444" i="39"/>
  <c r="J3443" i="39"/>
  <c r="J3442" i="39"/>
  <c r="J3441" i="39"/>
  <c r="J3440" i="39"/>
  <c r="J3439" i="39"/>
  <c r="J3438" i="39"/>
  <c r="J3437" i="39"/>
  <c r="J3436" i="39"/>
  <c r="J3435" i="39"/>
  <c r="J3434" i="39"/>
  <c r="J3433" i="39"/>
  <c r="J3432" i="39"/>
  <c r="J3431" i="39"/>
  <c r="J3430" i="39"/>
  <c r="J3429" i="39"/>
  <c r="J3428" i="39"/>
  <c r="J3427" i="39"/>
  <c r="J3426" i="39"/>
  <c r="J3425" i="39"/>
  <c r="J3424" i="39"/>
  <c r="J3423" i="39"/>
  <c r="J3422" i="39"/>
  <c r="J3421" i="39"/>
  <c r="J3420" i="39"/>
  <c r="J3419" i="39"/>
  <c r="J3418" i="39"/>
  <c r="J3417" i="39"/>
  <c r="J3416" i="39"/>
  <c r="J3415" i="39"/>
  <c r="J3414" i="39"/>
  <c r="J3413" i="39"/>
  <c r="J3412" i="39"/>
  <c r="J3411" i="39"/>
  <c r="J3410" i="39"/>
  <c r="J3409" i="39"/>
  <c r="J3408" i="39"/>
  <c r="J3407" i="39"/>
  <c r="J3406" i="39"/>
  <c r="J3405" i="39"/>
  <c r="J3404" i="39"/>
  <c r="J3403" i="39"/>
  <c r="J3402" i="39"/>
  <c r="J3401" i="39"/>
  <c r="J3400" i="39"/>
  <c r="J3399" i="39"/>
  <c r="J3398" i="39"/>
  <c r="J3397" i="39"/>
  <c r="J3396" i="39"/>
  <c r="J3395" i="39"/>
  <c r="J3394" i="39"/>
  <c r="J3393" i="39"/>
  <c r="J3392" i="39"/>
  <c r="J3391" i="39"/>
  <c r="J3390" i="39"/>
  <c r="J3389" i="39"/>
  <c r="J3388" i="39"/>
  <c r="J3387" i="39"/>
  <c r="J3386" i="39"/>
  <c r="J3385" i="39"/>
  <c r="J3384" i="39"/>
  <c r="J3383" i="39"/>
  <c r="J3382" i="39"/>
  <c r="J3381" i="39"/>
  <c r="J3380" i="39"/>
  <c r="J3379" i="39"/>
  <c r="J3378" i="39"/>
  <c r="J3377" i="39"/>
  <c r="J3376" i="39"/>
  <c r="J3375" i="39"/>
  <c r="J3374" i="39"/>
  <c r="J3373" i="39"/>
  <c r="J3372" i="39"/>
  <c r="J3371" i="39"/>
  <c r="J3370" i="39"/>
  <c r="J3369" i="39"/>
  <c r="J3368" i="39"/>
  <c r="J3367" i="39"/>
  <c r="J3366" i="39"/>
  <c r="J3365" i="39"/>
  <c r="J3364" i="39"/>
  <c r="J3363" i="39"/>
  <c r="J3362" i="39"/>
  <c r="J3361" i="39"/>
  <c r="J3360" i="39"/>
  <c r="J3359" i="39"/>
  <c r="J3358" i="39"/>
  <c r="J3357" i="39"/>
  <c r="J3356" i="39"/>
  <c r="J3355" i="39"/>
  <c r="J3354" i="39"/>
  <c r="J3353" i="39"/>
  <c r="J3352" i="39"/>
  <c r="J3351" i="39"/>
  <c r="J3350" i="39"/>
  <c r="J3349" i="39"/>
  <c r="J3348" i="39"/>
  <c r="J3347" i="39"/>
  <c r="J3346" i="39"/>
  <c r="J3345" i="39"/>
  <c r="J3344" i="39"/>
  <c r="J3343" i="39"/>
  <c r="J3342" i="39"/>
  <c r="J3341" i="39"/>
  <c r="J3340" i="39"/>
  <c r="J3339" i="39"/>
  <c r="J3338" i="39"/>
  <c r="J3337" i="39"/>
  <c r="J3336" i="39"/>
  <c r="J3335" i="39"/>
  <c r="J3334" i="39"/>
  <c r="J3333" i="39"/>
  <c r="J3332" i="39"/>
  <c r="J3331" i="39"/>
  <c r="J3330" i="39"/>
  <c r="J3329" i="39"/>
  <c r="J3328" i="39"/>
  <c r="J3327" i="39"/>
  <c r="J3326" i="39"/>
  <c r="J3325" i="39"/>
  <c r="J3324" i="39"/>
  <c r="J3323" i="39"/>
  <c r="J3322" i="39"/>
  <c r="J3321" i="39"/>
  <c r="J3320" i="39"/>
  <c r="J3319" i="39"/>
  <c r="J3318" i="39"/>
  <c r="J3317" i="39"/>
  <c r="J3316" i="39"/>
  <c r="J3315" i="39"/>
  <c r="J3314" i="39"/>
  <c r="J3313" i="39"/>
  <c r="J3312" i="39"/>
  <c r="J3311" i="39"/>
  <c r="J3310" i="39"/>
  <c r="J3309" i="39"/>
  <c r="J3308" i="39"/>
  <c r="B3308" i="39"/>
  <c r="J3307" i="39"/>
  <c r="J3306" i="39"/>
  <c r="J3305" i="39"/>
  <c r="J3304" i="39"/>
  <c r="J3303" i="39"/>
  <c r="J3302" i="39"/>
  <c r="J3301" i="39"/>
  <c r="J3300" i="39"/>
  <c r="J3299" i="39"/>
  <c r="J3298" i="39"/>
  <c r="J3297" i="39"/>
  <c r="J3296" i="39"/>
  <c r="J3295" i="39"/>
  <c r="J3294" i="39"/>
  <c r="J3293" i="39"/>
  <c r="J3292" i="39"/>
  <c r="J3291" i="39"/>
  <c r="J3290" i="39"/>
  <c r="J3289" i="39"/>
  <c r="J3288" i="39"/>
  <c r="J3287" i="39"/>
  <c r="J3286" i="39"/>
  <c r="J3285" i="39"/>
  <c r="J3284" i="39"/>
  <c r="J3283" i="39"/>
  <c r="J3282" i="39"/>
  <c r="J3281" i="39"/>
  <c r="J3280" i="39"/>
  <c r="J3279" i="39"/>
  <c r="J3278" i="39"/>
  <c r="J3277" i="39"/>
  <c r="J3276" i="39"/>
  <c r="J3275" i="39"/>
  <c r="J3274" i="39"/>
  <c r="J3273" i="39"/>
  <c r="J3272" i="39"/>
  <c r="J3271" i="39"/>
  <c r="J3270" i="39"/>
  <c r="J3269" i="39"/>
  <c r="J3268" i="39"/>
  <c r="J3267" i="39"/>
  <c r="J3266" i="39"/>
  <c r="J3265" i="39"/>
  <c r="J3264" i="39"/>
  <c r="J3263" i="39"/>
  <c r="J3262" i="39"/>
  <c r="J3261" i="39"/>
  <c r="J3260" i="39"/>
  <c r="J3259" i="39"/>
  <c r="J3258" i="39"/>
  <c r="J3257" i="39"/>
  <c r="J3256" i="39"/>
  <c r="J3255" i="39"/>
  <c r="B3255" i="39"/>
  <c r="J3254" i="39"/>
  <c r="J3253" i="39"/>
  <c r="J3252" i="39"/>
  <c r="J3251" i="39"/>
  <c r="J3250" i="39"/>
  <c r="J3249" i="39"/>
  <c r="J3248" i="39"/>
  <c r="J3247" i="39"/>
  <c r="J3246" i="39"/>
  <c r="J3245" i="39"/>
  <c r="J3244" i="39"/>
  <c r="J3243" i="39"/>
  <c r="J3242" i="39"/>
  <c r="J3241" i="39"/>
  <c r="B3241" i="39"/>
  <c r="J3240" i="39"/>
  <c r="J3239" i="39"/>
  <c r="J3238" i="39"/>
  <c r="J3237" i="39"/>
  <c r="J3236" i="39"/>
  <c r="J3235" i="39"/>
  <c r="J3234" i="39"/>
  <c r="J3233" i="39"/>
  <c r="J3232" i="39"/>
  <c r="J3231" i="39"/>
  <c r="J3230" i="39"/>
  <c r="J3229" i="39"/>
  <c r="J3228" i="39"/>
  <c r="J3227" i="39"/>
  <c r="J3226" i="39"/>
  <c r="J3225" i="39"/>
  <c r="J3224" i="39"/>
  <c r="J3223" i="39"/>
  <c r="J3222" i="39"/>
  <c r="J3221" i="39"/>
  <c r="J3220" i="39"/>
  <c r="J3219" i="39"/>
  <c r="J3218" i="39"/>
  <c r="J3217" i="39"/>
  <c r="J3216" i="39"/>
  <c r="J3215" i="39"/>
  <c r="J3214" i="39"/>
  <c r="J3213" i="39"/>
  <c r="J3212" i="39"/>
  <c r="J3211" i="39"/>
  <c r="J3210" i="39"/>
  <c r="J3209" i="39"/>
  <c r="J3208" i="39"/>
  <c r="J3207" i="39"/>
  <c r="J3206" i="39"/>
  <c r="J3205" i="39"/>
  <c r="J3204" i="39"/>
  <c r="J3203" i="39"/>
  <c r="J3202" i="39"/>
  <c r="J3201" i="39"/>
  <c r="J3200" i="39"/>
  <c r="J3199" i="39"/>
  <c r="J3198" i="39"/>
  <c r="J3197" i="39"/>
  <c r="J3196" i="39"/>
  <c r="J3195" i="39"/>
  <c r="J3194" i="39"/>
  <c r="J3193" i="39"/>
  <c r="J3192" i="39"/>
  <c r="J3191" i="39"/>
  <c r="J3190" i="39"/>
  <c r="J3189" i="39"/>
  <c r="J3188" i="39"/>
  <c r="J3187" i="39"/>
  <c r="J3186" i="39"/>
  <c r="J3185" i="39"/>
  <c r="J3184" i="39"/>
  <c r="J3183" i="39"/>
  <c r="J3182" i="39"/>
  <c r="J3181" i="39"/>
  <c r="J3180" i="39"/>
  <c r="J3179" i="39"/>
  <c r="J3178" i="39"/>
  <c r="J3177" i="39"/>
  <c r="J3176" i="39"/>
  <c r="J3175" i="39"/>
  <c r="J3174" i="39"/>
  <c r="J3173" i="39"/>
  <c r="J3172" i="39"/>
  <c r="J3171" i="39"/>
  <c r="J3170" i="39"/>
  <c r="J3169" i="39"/>
  <c r="J3168" i="39"/>
  <c r="J3167" i="39"/>
  <c r="J3166" i="39"/>
  <c r="J3165" i="39"/>
  <c r="J3164" i="39"/>
  <c r="J3163" i="39"/>
  <c r="J3162" i="39"/>
  <c r="J3161" i="39"/>
  <c r="J3160" i="39"/>
  <c r="J3159" i="39"/>
  <c r="J3158" i="39"/>
  <c r="J3157" i="39"/>
  <c r="J3156" i="39"/>
  <c r="J3155" i="39"/>
  <c r="J3154" i="39"/>
  <c r="J3153" i="39"/>
  <c r="J3152" i="39"/>
  <c r="J3151" i="39"/>
  <c r="J3150" i="39"/>
  <c r="J3149" i="39"/>
  <c r="J3148" i="39"/>
  <c r="J3147" i="39"/>
  <c r="J3146" i="39"/>
  <c r="J3145" i="39"/>
  <c r="J3144" i="39"/>
  <c r="J3143" i="39"/>
  <c r="J3142" i="39"/>
  <c r="J3141" i="39"/>
  <c r="J3140" i="39"/>
  <c r="J3139" i="39"/>
  <c r="J3138" i="39"/>
  <c r="J3137" i="39"/>
  <c r="J3136" i="39"/>
  <c r="J3135" i="39"/>
  <c r="J3134" i="39"/>
  <c r="J3133" i="39"/>
  <c r="J3132" i="39"/>
  <c r="J3131" i="39"/>
  <c r="J3130" i="39"/>
  <c r="J3129" i="39"/>
  <c r="J3128" i="39"/>
  <c r="J3127" i="39"/>
  <c r="J3126" i="39"/>
  <c r="J3125" i="39"/>
  <c r="J3124" i="39"/>
  <c r="J3123" i="39"/>
  <c r="J3122" i="39"/>
  <c r="J3121" i="39"/>
  <c r="J3120" i="39"/>
  <c r="J3119" i="39"/>
  <c r="J3118" i="39"/>
  <c r="J3117" i="39"/>
  <c r="J3116" i="39"/>
  <c r="J3115" i="39"/>
  <c r="J3114" i="39"/>
  <c r="J3113" i="39"/>
  <c r="J3112" i="39"/>
  <c r="J3111" i="39"/>
  <c r="J3110" i="39"/>
  <c r="J3109" i="39"/>
  <c r="J3108" i="39"/>
  <c r="J3107" i="39"/>
  <c r="J3106" i="39"/>
  <c r="J3105" i="39"/>
  <c r="J3104" i="39"/>
  <c r="J3103" i="39"/>
  <c r="J3102" i="39"/>
  <c r="J3101" i="39"/>
  <c r="J3100" i="39"/>
  <c r="J3099" i="39"/>
  <c r="J3098" i="39"/>
  <c r="J3097" i="39"/>
  <c r="J3096" i="39"/>
  <c r="J3095" i="39"/>
  <c r="J3094" i="39"/>
  <c r="J3093" i="39"/>
  <c r="J3092" i="39"/>
  <c r="J3091" i="39"/>
  <c r="J3090" i="39"/>
  <c r="J3089" i="39"/>
  <c r="J3088" i="39"/>
  <c r="J3087" i="39"/>
  <c r="J3086" i="39"/>
  <c r="J3085" i="39"/>
  <c r="J3084" i="39"/>
  <c r="J3083" i="39"/>
  <c r="J3082" i="39"/>
  <c r="J3081" i="39"/>
  <c r="J3080" i="39"/>
  <c r="J3079" i="39"/>
  <c r="J3078" i="39"/>
  <c r="J3077" i="39"/>
  <c r="J3076" i="39"/>
  <c r="J3075" i="39"/>
  <c r="J3074" i="39"/>
  <c r="J3073" i="39"/>
  <c r="J3072" i="39"/>
  <c r="J3071" i="39"/>
  <c r="J3070" i="39"/>
  <c r="J3069" i="39"/>
  <c r="J3068" i="39"/>
  <c r="J3067" i="39"/>
  <c r="J3066" i="39"/>
  <c r="J3065" i="39"/>
  <c r="J3064" i="39"/>
  <c r="J3063" i="39"/>
  <c r="J3062" i="39"/>
  <c r="J3061" i="39"/>
  <c r="J3060" i="39"/>
  <c r="J3059" i="39"/>
  <c r="J3058" i="39"/>
  <c r="J3057" i="39"/>
  <c r="J3056" i="39"/>
  <c r="J3055" i="39"/>
  <c r="J3054" i="39"/>
  <c r="J3053" i="39"/>
  <c r="J3052" i="39"/>
  <c r="J3051" i="39"/>
  <c r="J3050" i="39"/>
  <c r="J3049" i="39"/>
  <c r="J3048" i="39"/>
  <c r="J3047" i="39"/>
  <c r="J3046" i="39"/>
  <c r="J3045" i="39"/>
  <c r="J3044" i="39"/>
  <c r="J3043" i="39"/>
  <c r="J3042" i="39"/>
  <c r="J3041" i="39"/>
  <c r="J3040" i="39"/>
  <c r="J3039" i="39"/>
  <c r="J3038" i="39"/>
  <c r="J3037" i="39"/>
  <c r="J3036" i="39"/>
  <c r="B3036" i="39"/>
  <c r="J3035" i="39"/>
  <c r="J3034" i="39"/>
  <c r="J3033" i="39"/>
  <c r="J3032" i="39"/>
  <c r="J3031" i="39"/>
  <c r="J3030" i="39"/>
  <c r="J3029" i="39"/>
  <c r="J3028" i="39"/>
  <c r="J3027" i="39"/>
  <c r="J3026" i="39"/>
  <c r="J3025" i="39"/>
  <c r="J3024" i="39"/>
  <c r="J3023" i="39"/>
  <c r="J3022" i="39"/>
  <c r="J3021" i="39"/>
  <c r="J3020" i="39"/>
  <c r="J3019" i="39"/>
  <c r="J3018" i="39"/>
  <c r="J3017" i="39"/>
  <c r="J3016" i="39"/>
  <c r="J3015" i="39"/>
  <c r="J3014" i="39"/>
  <c r="J3013" i="39"/>
  <c r="J3012" i="39"/>
  <c r="J3011" i="39"/>
  <c r="J3010" i="39"/>
  <c r="J3009" i="39"/>
  <c r="J3008" i="39"/>
  <c r="J3007" i="39"/>
  <c r="J3006" i="39"/>
  <c r="J3005" i="39"/>
  <c r="J3004" i="39"/>
  <c r="J3003" i="39"/>
  <c r="J3002" i="39"/>
  <c r="J3001" i="39"/>
  <c r="J3000" i="39"/>
  <c r="J2999" i="39"/>
  <c r="J2998" i="39"/>
  <c r="J2997" i="39"/>
  <c r="J2996" i="39"/>
  <c r="J2995" i="39"/>
  <c r="J2994" i="39"/>
  <c r="J2993" i="39"/>
  <c r="J2992" i="39"/>
  <c r="J2991" i="39"/>
  <c r="J2990" i="39"/>
  <c r="J2989" i="39"/>
  <c r="J2988" i="39"/>
  <c r="J2987" i="39"/>
  <c r="J2986" i="39"/>
  <c r="J2985" i="39"/>
  <c r="J2984" i="39"/>
  <c r="J2983" i="39"/>
  <c r="J2982" i="39"/>
  <c r="J2981" i="39"/>
  <c r="J2980" i="39"/>
  <c r="J2979" i="39"/>
  <c r="J2978" i="39"/>
  <c r="J2977" i="39"/>
  <c r="J2976" i="39"/>
  <c r="J2975" i="39"/>
  <c r="J2974" i="39"/>
  <c r="J2973" i="39"/>
  <c r="J2972" i="39"/>
  <c r="J2971" i="39"/>
  <c r="J2970" i="39"/>
  <c r="J2969" i="39"/>
  <c r="J2968" i="39"/>
  <c r="J2967" i="39"/>
  <c r="J2966" i="39"/>
  <c r="J2965" i="39"/>
  <c r="J2964" i="39"/>
  <c r="J2963" i="39"/>
  <c r="J2962" i="39"/>
  <c r="J2961" i="39"/>
  <c r="J2960" i="39"/>
  <c r="J2959" i="39"/>
  <c r="J2958" i="39"/>
  <c r="J2957" i="39"/>
  <c r="J2956" i="39"/>
  <c r="J2955" i="39"/>
  <c r="J2954" i="39"/>
  <c r="J2953" i="39"/>
  <c r="J2952" i="39"/>
  <c r="J2951" i="39"/>
  <c r="J2950" i="39"/>
  <c r="J2949" i="39"/>
  <c r="J2948" i="39"/>
  <c r="J2947" i="39"/>
  <c r="J2946" i="39"/>
  <c r="J2945" i="39"/>
  <c r="J2944" i="39"/>
  <c r="J2943" i="39"/>
  <c r="J2942" i="39"/>
  <c r="J2941" i="39"/>
  <c r="J2940" i="39"/>
  <c r="J2939" i="39"/>
  <c r="J2938" i="39"/>
  <c r="J2937" i="39"/>
  <c r="J2936" i="39"/>
  <c r="J2935" i="39"/>
  <c r="J2934" i="39"/>
  <c r="J2933" i="39"/>
  <c r="J2932" i="39"/>
  <c r="J2931" i="39"/>
  <c r="J2930" i="39"/>
  <c r="J2929" i="39"/>
  <c r="J2928" i="39"/>
  <c r="J2927" i="39"/>
  <c r="J2926" i="39"/>
  <c r="J2925" i="39"/>
  <c r="J2924" i="39"/>
  <c r="J2923" i="39"/>
  <c r="J2922" i="39"/>
  <c r="J2921" i="39"/>
  <c r="J2920" i="39"/>
  <c r="J2919" i="39"/>
  <c r="J2918" i="39"/>
  <c r="J2917" i="39"/>
  <c r="J2916" i="39"/>
  <c r="J2915" i="39"/>
  <c r="J2914" i="39"/>
  <c r="J2913" i="39"/>
  <c r="J2912" i="39"/>
  <c r="J2911" i="39"/>
  <c r="J2910" i="39"/>
  <c r="J2909" i="39"/>
  <c r="J2908" i="39"/>
  <c r="J2907" i="39"/>
  <c r="J2906" i="39"/>
  <c r="J2905" i="39"/>
  <c r="J2904" i="39"/>
  <c r="B2904" i="39"/>
  <c r="J2903" i="39"/>
  <c r="J2902" i="39"/>
  <c r="J2901" i="39"/>
  <c r="J2900" i="39"/>
  <c r="J2899" i="39"/>
  <c r="J2898" i="39"/>
  <c r="J2897" i="39"/>
  <c r="J2896" i="39"/>
  <c r="J2895" i="39"/>
  <c r="J2894" i="39"/>
  <c r="J2893" i="39"/>
  <c r="J2892" i="39"/>
  <c r="J2891" i="39"/>
  <c r="J2890" i="39"/>
  <c r="J2889" i="39"/>
  <c r="J2888" i="39"/>
  <c r="J2887" i="39"/>
  <c r="J2886" i="39"/>
  <c r="J2885" i="39"/>
  <c r="J2884" i="39"/>
  <c r="J2883" i="39"/>
  <c r="J2882" i="39"/>
  <c r="J2881" i="39"/>
  <c r="J2880" i="39"/>
  <c r="J2879" i="39"/>
  <c r="J2878" i="39"/>
  <c r="J2877" i="39"/>
  <c r="J2876" i="39"/>
  <c r="J2875" i="39"/>
  <c r="J2874" i="39"/>
  <c r="J2873" i="39"/>
  <c r="J2872" i="39"/>
  <c r="J2871" i="39"/>
  <c r="J2870" i="39"/>
  <c r="J2869" i="39"/>
  <c r="J2868" i="39"/>
  <c r="J2867" i="39"/>
  <c r="J2866" i="39"/>
  <c r="J2865" i="39"/>
  <c r="J2864" i="39"/>
  <c r="J2863" i="39"/>
  <c r="J2862" i="39"/>
  <c r="J2861" i="39"/>
  <c r="J2860" i="39"/>
  <c r="J2859" i="39"/>
  <c r="J2858" i="39"/>
  <c r="J2857" i="39"/>
  <c r="J2856" i="39"/>
  <c r="J2855" i="39"/>
  <c r="J2854" i="39"/>
  <c r="J2853" i="39"/>
  <c r="J2852" i="39"/>
  <c r="J2851" i="39"/>
  <c r="J2850" i="39"/>
  <c r="J2849" i="39"/>
  <c r="J2848" i="39"/>
  <c r="J2847" i="39"/>
  <c r="J2846" i="39"/>
  <c r="J2845" i="39"/>
  <c r="J2844" i="39"/>
  <c r="J2843" i="39"/>
  <c r="J2842" i="39"/>
  <c r="J2841" i="39"/>
  <c r="J2840" i="39"/>
  <c r="J2839" i="39"/>
  <c r="J2838" i="39"/>
  <c r="J2837" i="39"/>
  <c r="J2836" i="39"/>
  <c r="J2835" i="39"/>
  <c r="J2834" i="39"/>
  <c r="J2833" i="39"/>
  <c r="J2832" i="39"/>
  <c r="J2831" i="39"/>
  <c r="J2830" i="39"/>
  <c r="J2829" i="39"/>
  <c r="J2828" i="39"/>
  <c r="J2827" i="39"/>
  <c r="J2826" i="39"/>
  <c r="J2825" i="39"/>
  <c r="J2824" i="39"/>
  <c r="J2823" i="39"/>
  <c r="J2822" i="39"/>
  <c r="J2821" i="39"/>
  <c r="J2820" i="39"/>
  <c r="J2819" i="39"/>
  <c r="J2818" i="39"/>
  <c r="J2817" i="39"/>
  <c r="J2816" i="39"/>
  <c r="J2815" i="39"/>
  <c r="J2814" i="39"/>
  <c r="J2813" i="39"/>
  <c r="J2812" i="39"/>
  <c r="J2811" i="39"/>
  <c r="J2810" i="39"/>
  <c r="J2809" i="39"/>
  <c r="J2808" i="39"/>
  <c r="J2807" i="39"/>
  <c r="J2806" i="39"/>
  <c r="J2805" i="39"/>
  <c r="J2804" i="39"/>
  <c r="J2803" i="39"/>
  <c r="J2802" i="39"/>
  <c r="J2801" i="39"/>
  <c r="J2800" i="39"/>
  <c r="J2799" i="39"/>
  <c r="J2798" i="39"/>
  <c r="J2797" i="39"/>
  <c r="J2796" i="39"/>
  <c r="J2795" i="39"/>
  <c r="J2794" i="39"/>
  <c r="J2793" i="39"/>
  <c r="J2792" i="39"/>
  <c r="J2791" i="39"/>
  <c r="J2790" i="39"/>
  <c r="J2789" i="39"/>
  <c r="J2788" i="39"/>
  <c r="J2787" i="39"/>
  <c r="J2786" i="39"/>
  <c r="J2785" i="39"/>
  <c r="J2784" i="39"/>
  <c r="J2783" i="39"/>
  <c r="J2782" i="39"/>
  <c r="J2781" i="39"/>
  <c r="J2780" i="39"/>
  <c r="J2779" i="39"/>
  <c r="J2778" i="39"/>
  <c r="J2777" i="39"/>
  <c r="J2776" i="39"/>
  <c r="J2775" i="39"/>
  <c r="J2774" i="39"/>
  <c r="J2773" i="39"/>
  <c r="J2772" i="39"/>
  <c r="J2771" i="39"/>
  <c r="J2770" i="39"/>
  <c r="J2769" i="39"/>
  <c r="J2768" i="39"/>
  <c r="J2767" i="39"/>
  <c r="J2766" i="39"/>
  <c r="J2765" i="39"/>
  <c r="J2764" i="39"/>
  <c r="J2763" i="39"/>
  <c r="J2762" i="39"/>
  <c r="J2761" i="39"/>
  <c r="J2760" i="39"/>
  <c r="J2759" i="39"/>
  <c r="J2758" i="39"/>
  <c r="J2757" i="39"/>
  <c r="J2756" i="39"/>
  <c r="J2755" i="39"/>
  <c r="J2754" i="39"/>
  <c r="J2753" i="39"/>
  <c r="J2752" i="39"/>
  <c r="J2751" i="39"/>
  <c r="J2750" i="39"/>
  <c r="J2749" i="39"/>
  <c r="J2748" i="39"/>
  <c r="J2747" i="39"/>
  <c r="J2746" i="39"/>
  <c r="J2745" i="39"/>
  <c r="J2744" i="39"/>
  <c r="J2743" i="39"/>
  <c r="J2742" i="39"/>
  <c r="J2741" i="39"/>
  <c r="J2740" i="39"/>
  <c r="J2739" i="39"/>
  <c r="J2738" i="39"/>
  <c r="J2737" i="39"/>
  <c r="J2736" i="39"/>
  <c r="J2735" i="39"/>
  <c r="J2734" i="39"/>
  <c r="J2733" i="39"/>
  <c r="J2732" i="39"/>
  <c r="J2731" i="39"/>
  <c r="J2730" i="39"/>
  <c r="J2729" i="39"/>
  <c r="J2728" i="39"/>
  <c r="J2727" i="39"/>
  <c r="J2726" i="39"/>
  <c r="J2725" i="39"/>
  <c r="J2724" i="39"/>
  <c r="J2723" i="39"/>
  <c r="J2722" i="39"/>
  <c r="J2721" i="39"/>
  <c r="J2720" i="39"/>
  <c r="J2719" i="39"/>
  <c r="J2718" i="39"/>
  <c r="J2717" i="39"/>
  <c r="J2716" i="39"/>
  <c r="J2715" i="39"/>
  <c r="J2714" i="39"/>
  <c r="J2713" i="39"/>
  <c r="J2712" i="39"/>
  <c r="J2711" i="39"/>
  <c r="J2710" i="39"/>
  <c r="J2709" i="39"/>
  <c r="J2708" i="39"/>
  <c r="J2707" i="39"/>
  <c r="J2706" i="39"/>
  <c r="J2705" i="39"/>
  <c r="J2704" i="39"/>
  <c r="B2704" i="39"/>
  <c r="J2703" i="39"/>
  <c r="J2702" i="39"/>
  <c r="J2701" i="39"/>
  <c r="J2700" i="39"/>
  <c r="J2699" i="39"/>
  <c r="J2698" i="39"/>
  <c r="J2697" i="39"/>
  <c r="J2696" i="39"/>
  <c r="J2695" i="39"/>
  <c r="J2694" i="39"/>
  <c r="J2693" i="39"/>
  <c r="J2692" i="39"/>
  <c r="J2691" i="39"/>
  <c r="J2690" i="39"/>
  <c r="J2689" i="39"/>
  <c r="J2688" i="39"/>
  <c r="J2687" i="39"/>
  <c r="J2686" i="39"/>
  <c r="J2685" i="39"/>
  <c r="J2684" i="39"/>
  <c r="J2683" i="39"/>
  <c r="J2682" i="39"/>
  <c r="J2681" i="39"/>
  <c r="J2680" i="39"/>
  <c r="J2679" i="39"/>
  <c r="J2678" i="39"/>
  <c r="J2677" i="39"/>
  <c r="J2676" i="39"/>
  <c r="J2675" i="39"/>
  <c r="J2674" i="39"/>
  <c r="J2673" i="39"/>
  <c r="J2672" i="39"/>
  <c r="J2671" i="39"/>
  <c r="J2670" i="39"/>
  <c r="J2669" i="39"/>
  <c r="J2668" i="39"/>
  <c r="J2667" i="39"/>
  <c r="J2666" i="39"/>
  <c r="J2665" i="39"/>
  <c r="J2664" i="39"/>
  <c r="J2663" i="39"/>
  <c r="J2662" i="39"/>
  <c r="J2661" i="39"/>
  <c r="J2660" i="39"/>
  <c r="J2659" i="39"/>
  <c r="J2658" i="39"/>
  <c r="J2657" i="39"/>
  <c r="J2656" i="39"/>
  <c r="J2655" i="39"/>
  <c r="J2654" i="39"/>
  <c r="J2653" i="39"/>
  <c r="J2652" i="39"/>
  <c r="J2651" i="39"/>
  <c r="J2650" i="39"/>
  <c r="J2649" i="39"/>
  <c r="J2648" i="39"/>
  <c r="J2647" i="39"/>
  <c r="J2646" i="39"/>
  <c r="J2645" i="39"/>
  <c r="J2644" i="39"/>
  <c r="J2643" i="39"/>
  <c r="J2642" i="39"/>
  <c r="J2641" i="39"/>
  <c r="J2640" i="39"/>
  <c r="J2639" i="39"/>
  <c r="J2638" i="39"/>
  <c r="J2637" i="39"/>
  <c r="J2636" i="39"/>
  <c r="J2635" i="39"/>
  <c r="J2634" i="39"/>
  <c r="J2633" i="39"/>
  <c r="J2632" i="39"/>
  <c r="J2631" i="39"/>
  <c r="J2630" i="39"/>
  <c r="J2629" i="39"/>
  <c r="J2628" i="39"/>
  <c r="J2627" i="39"/>
  <c r="J2626" i="39"/>
  <c r="J2625" i="39"/>
  <c r="J2624" i="39"/>
  <c r="J2623" i="39"/>
  <c r="J2622" i="39"/>
  <c r="J2621" i="39"/>
  <c r="J2620" i="39"/>
  <c r="J2619" i="39"/>
  <c r="J2618" i="39"/>
  <c r="J2617" i="39"/>
  <c r="J2616" i="39"/>
  <c r="J2615" i="39"/>
  <c r="J2614" i="39"/>
  <c r="J2613" i="39"/>
  <c r="J2612" i="39"/>
  <c r="J2611" i="39"/>
  <c r="J2610" i="39"/>
  <c r="J2609" i="39"/>
  <c r="J2608" i="39"/>
  <c r="J2607" i="39"/>
  <c r="J2606" i="39"/>
  <c r="J2605" i="39"/>
  <c r="J2604" i="39"/>
  <c r="J2603" i="39"/>
  <c r="J2602" i="39"/>
  <c r="J2601" i="39"/>
  <c r="J2600" i="39"/>
  <c r="J2599" i="39"/>
  <c r="J2598" i="39"/>
  <c r="J2597" i="39"/>
  <c r="J2596" i="39"/>
  <c r="J2595" i="39"/>
  <c r="J2594" i="39"/>
  <c r="J2593" i="39"/>
  <c r="J2592" i="39"/>
  <c r="J2591" i="39"/>
  <c r="J2590" i="39"/>
  <c r="J2589" i="39"/>
  <c r="J2588" i="39"/>
  <c r="J2587" i="39"/>
  <c r="J2586" i="39"/>
  <c r="J2585" i="39"/>
  <c r="J2584" i="39"/>
  <c r="J2583" i="39"/>
  <c r="J2582" i="39"/>
  <c r="J2581" i="39"/>
  <c r="J2580" i="39"/>
  <c r="J2579" i="39"/>
  <c r="J2578" i="39"/>
  <c r="J2577" i="39"/>
  <c r="J2576" i="39"/>
  <c r="J2575" i="39"/>
  <c r="J2574" i="39"/>
  <c r="J2573" i="39"/>
  <c r="J2572" i="39"/>
  <c r="J2571" i="39"/>
  <c r="J2570" i="39"/>
  <c r="J2569" i="39"/>
  <c r="J2568" i="39"/>
  <c r="J2567" i="39"/>
  <c r="J2566" i="39"/>
  <c r="J2565" i="39"/>
  <c r="J2564" i="39"/>
  <c r="J2563" i="39"/>
  <c r="J2562" i="39"/>
  <c r="J2561" i="39"/>
  <c r="J2560" i="39"/>
  <c r="J2559" i="39"/>
  <c r="J2558" i="39"/>
  <c r="J2557" i="39"/>
  <c r="J2556" i="39"/>
  <c r="J2555" i="39"/>
  <c r="J2554" i="39"/>
  <c r="J2553" i="39"/>
  <c r="J2552" i="39"/>
  <c r="J2551" i="39"/>
  <c r="J2550" i="39"/>
  <c r="J2549" i="39"/>
  <c r="J2548" i="39"/>
  <c r="J2547" i="39"/>
  <c r="J2546" i="39"/>
  <c r="J2545" i="39"/>
  <c r="J2544" i="39"/>
  <c r="J2543" i="39"/>
  <c r="J2542" i="39"/>
  <c r="J2541" i="39"/>
  <c r="J2540" i="39"/>
  <c r="J2539" i="39"/>
  <c r="J2538" i="39"/>
  <c r="J2537" i="39"/>
  <c r="J2536" i="39"/>
  <c r="J2535" i="39"/>
  <c r="J2534" i="39"/>
  <c r="J2533" i="39"/>
  <c r="J2532" i="39"/>
  <c r="J2531" i="39"/>
  <c r="J2530" i="39"/>
  <c r="J2529" i="39"/>
  <c r="J2528" i="39"/>
  <c r="J2527" i="39"/>
  <c r="J2526" i="39"/>
  <c r="J2525" i="39"/>
  <c r="J2524" i="39"/>
  <c r="J2523" i="39"/>
  <c r="J2522" i="39"/>
  <c r="J2521" i="39"/>
  <c r="J2520" i="39"/>
  <c r="J2519" i="39"/>
  <c r="J2518" i="39"/>
  <c r="J2517" i="39"/>
  <c r="J2516" i="39"/>
  <c r="J2515" i="39"/>
  <c r="J2514" i="39"/>
  <c r="J2513" i="39"/>
  <c r="J2512" i="39"/>
  <c r="J2511" i="39"/>
  <c r="J2510" i="39"/>
  <c r="J2509" i="39"/>
  <c r="J2508" i="39"/>
  <c r="J2507" i="39"/>
  <c r="J2506" i="39"/>
  <c r="J2505" i="39"/>
  <c r="J2504" i="39"/>
  <c r="J2503" i="39"/>
  <c r="J2502" i="39"/>
  <c r="J2501" i="39"/>
  <c r="J2500" i="39"/>
  <c r="J2499" i="39"/>
  <c r="J2498" i="39"/>
  <c r="J2497" i="39"/>
  <c r="J2496" i="39"/>
  <c r="J2495" i="39"/>
  <c r="J2494" i="39"/>
  <c r="J2493" i="39"/>
  <c r="J2492" i="39"/>
  <c r="J2491" i="39"/>
  <c r="J2490" i="39"/>
  <c r="J2489" i="39"/>
  <c r="J2488" i="39"/>
  <c r="J2487" i="39"/>
  <c r="J2486" i="39"/>
  <c r="J2485" i="39"/>
  <c r="J2484" i="39"/>
  <c r="J2483" i="39"/>
  <c r="J2482" i="39"/>
  <c r="J2481" i="39"/>
  <c r="J2480" i="39"/>
  <c r="J2479" i="39"/>
  <c r="J2478" i="39"/>
  <c r="J2477" i="39"/>
  <c r="J2476" i="39"/>
  <c r="J2475" i="39"/>
  <c r="J2474" i="39"/>
  <c r="J2473" i="39"/>
  <c r="J2472" i="39"/>
  <c r="J2471" i="39"/>
  <c r="J2470" i="39"/>
  <c r="J2469" i="39"/>
  <c r="J2468" i="39"/>
  <c r="J2467" i="39"/>
  <c r="J2466" i="39"/>
  <c r="J2465" i="39"/>
  <c r="B2465" i="39"/>
  <c r="J2464" i="39"/>
  <c r="J2463" i="39"/>
  <c r="J2462" i="39"/>
  <c r="J2461" i="39"/>
  <c r="J2460" i="39"/>
  <c r="J2459" i="39"/>
  <c r="J2458" i="39"/>
  <c r="J2457" i="39"/>
  <c r="J2456" i="39"/>
  <c r="J2455" i="39"/>
  <c r="J2454" i="39"/>
  <c r="J2453" i="39"/>
  <c r="J2452" i="39"/>
  <c r="J2451" i="39"/>
  <c r="J2450" i="39"/>
  <c r="J2449" i="39"/>
  <c r="J2448" i="39"/>
  <c r="J2447" i="39"/>
  <c r="J2446" i="39"/>
  <c r="J2445" i="39"/>
  <c r="J2444" i="39"/>
  <c r="J2443" i="39"/>
  <c r="J2442" i="39"/>
  <c r="J2441" i="39"/>
  <c r="J2440" i="39"/>
  <c r="J2439" i="39"/>
  <c r="J2438" i="39"/>
  <c r="J2437" i="39"/>
  <c r="J2436" i="39"/>
  <c r="J2435" i="39"/>
  <c r="J2434" i="39"/>
  <c r="J2433" i="39"/>
  <c r="J2432" i="39"/>
  <c r="J2431" i="39"/>
  <c r="J2430" i="39"/>
  <c r="J2429" i="39"/>
  <c r="J2428" i="39"/>
  <c r="J2427" i="39"/>
  <c r="J2426" i="39"/>
  <c r="J2425" i="39"/>
  <c r="J2424" i="39"/>
  <c r="J2423" i="39"/>
  <c r="J2422" i="39"/>
  <c r="J2421" i="39"/>
  <c r="J2420" i="39"/>
  <c r="J2419" i="39"/>
  <c r="J2418" i="39"/>
  <c r="J2417" i="39"/>
  <c r="J2416" i="39"/>
  <c r="J2415" i="39"/>
  <c r="J2414" i="39"/>
  <c r="J2413" i="39"/>
  <c r="B2413" i="39"/>
  <c r="J2412" i="39"/>
  <c r="J2411" i="39"/>
  <c r="J2410" i="39"/>
  <c r="J2409" i="39"/>
  <c r="J2408" i="39"/>
  <c r="J2407" i="39"/>
  <c r="J2406" i="39"/>
  <c r="J2405" i="39"/>
  <c r="J2404" i="39"/>
  <c r="J2403" i="39"/>
  <c r="J2402" i="39"/>
  <c r="J2401" i="39"/>
  <c r="J2400" i="39"/>
  <c r="J2399" i="39"/>
  <c r="J2398" i="39"/>
  <c r="J2397" i="39"/>
  <c r="J2396" i="39"/>
  <c r="J2395" i="39"/>
  <c r="J2394" i="39"/>
  <c r="B2394" i="39"/>
  <c r="J2393" i="39"/>
  <c r="J2392" i="39"/>
  <c r="J2391" i="39"/>
  <c r="J2390" i="39"/>
  <c r="J2389" i="39"/>
  <c r="J2388" i="39"/>
  <c r="J2387" i="39"/>
  <c r="J2386" i="39"/>
  <c r="J2385" i="39"/>
  <c r="J2384" i="39"/>
  <c r="J2383" i="39"/>
  <c r="J2382" i="39"/>
  <c r="B2382" i="39"/>
  <c r="J2381" i="39"/>
  <c r="J2380" i="39"/>
  <c r="J2379" i="39"/>
  <c r="J2378" i="39"/>
  <c r="J2377" i="39"/>
  <c r="B2377" i="39"/>
  <c r="J2376" i="39"/>
  <c r="J2375" i="39"/>
  <c r="J2374" i="39"/>
  <c r="J2373" i="39"/>
  <c r="J2372" i="39"/>
  <c r="J2371" i="39"/>
  <c r="J2370" i="39"/>
  <c r="J2369" i="39"/>
  <c r="J2368" i="39"/>
  <c r="J2367" i="39"/>
  <c r="J2366" i="39"/>
  <c r="J2365" i="39"/>
  <c r="J2364" i="39"/>
  <c r="J2363" i="39"/>
  <c r="J2362" i="39"/>
  <c r="J2361" i="39"/>
  <c r="J2360" i="39"/>
  <c r="J2359" i="39"/>
  <c r="J2358" i="39"/>
  <c r="J2357" i="39"/>
  <c r="J2356" i="39"/>
  <c r="J2355" i="39"/>
  <c r="J2354" i="39"/>
  <c r="J2353" i="39"/>
  <c r="J2352" i="39"/>
  <c r="J2351" i="39"/>
  <c r="J2350" i="39"/>
  <c r="J2349" i="39"/>
  <c r="J2348" i="39"/>
  <c r="J2347" i="39"/>
  <c r="J2346" i="39"/>
  <c r="J2345" i="39"/>
  <c r="J2344" i="39"/>
  <c r="J2343" i="39"/>
  <c r="J2342" i="39"/>
  <c r="J2341" i="39"/>
  <c r="J2340" i="39"/>
  <c r="J2339" i="39"/>
  <c r="J2338" i="39"/>
  <c r="J2337" i="39"/>
  <c r="J2336" i="39"/>
  <c r="J2335" i="39"/>
  <c r="J2334" i="39"/>
  <c r="J2333" i="39"/>
  <c r="J2332" i="39"/>
  <c r="J2331" i="39"/>
  <c r="J2330" i="39"/>
  <c r="J2329" i="39"/>
  <c r="J2328" i="39"/>
  <c r="J2327" i="39"/>
  <c r="J2326" i="39"/>
  <c r="J2325" i="39"/>
  <c r="J2324" i="39"/>
  <c r="J2323" i="39"/>
  <c r="J2322" i="39"/>
  <c r="J2321" i="39"/>
  <c r="J2320" i="39"/>
  <c r="J2319" i="39"/>
  <c r="J2318" i="39"/>
  <c r="J2317" i="39"/>
  <c r="J2316" i="39"/>
  <c r="J2315" i="39"/>
  <c r="J2314" i="39"/>
  <c r="J2313" i="39"/>
  <c r="J2312" i="39"/>
  <c r="J2311" i="39"/>
  <c r="J2310" i="39"/>
  <c r="J2309" i="39"/>
  <c r="J2308" i="39"/>
  <c r="J2307" i="39"/>
  <c r="J2306" i="39"/>
  <c r="J2305" i="39"/>
  <c r="J2304" i="39"/>
  <c r="J2303" i="39"/>
  <c r="J2302" i="39"/>
  <c r="J2301" i="39"/>
  <c r="J2300" i="39"/>
  <c r="J2299" i="39"/>
  <c r="J2298" i="39"/>
  <c r="J2297" i="39"/>
  <c r="J2296" i="39"/>
  <c r="J2295" i="39"/>
  <c r="J2294" i="39"/>
  <c r="J2293" i="39"/>
  <c r="J2292" i="39"/>
  <c r="J2291" i="39"/>
  <c r="J2290" i="39"/>
  <c r="J2289" i="39"/>
  <c r="J2288" i="39"/>
  <c r="J2287" i="39"/>
  <c r="J2286" i="39"/>
  <c r="J2285" i="39"/>
  <c r="J2284" i="39"/>
  <c r="J2283" i="39"/>
  <c r="J2282" i="39"/>
  <c r="J2281" i="39"/>
  <c r="J2280" i="39"/>
  <c r="J2279" i="39"/>
  <c r="J2278" i="39"/>
  <c r="J2277" i="39"/>
  <c r="J2276" i="39"/>
  <c r="J2275" i="39"/>
  <c r="J2274" i="39"/>
  <c r="J2273" i="39"/>
  <c r="J2272" i="39"/>
  <c r="J2271" i="39"/>
  <c r="J2270" i="39"/>
  <c r="J2269" i="39"/>
  <c r="J2268" i="39"/>
  <c r="J2267" i="39"/>
  <c r="B2267" i="39"/>
  <c r="J2266" i="39"/>
  <c r="J2265" i="39"/>
  <c r="J2264" i="39"/>
  <c r="J2263" i="39"/>
  <c r="J2262" i="39"/>
  <c r="J2261" i="39"/>
  <c r="J2260" i="39"/>
  <c r="J2259" i="39"/>
  <c r="J2258" i="39"/>
  <c r="J2257" i="39"/>
  <c r="J2256" i="39"/>
  <c r="J2255" i="39"/>
  <c r="J2254" i="39"/>
  <c r="J2253" i="39"/>
  <c r="J2252" i="39"/>
  <c r="J2251" i="39"/>
  <c r="J2250" i="39"/>
  <c r="J2249" i="39"/>
  <c r="J2248" i="39"/>
  <c r="J2247" i="39"/>
  <c r="J2246" i="39"/>
  <c r="J2245" i="39"/>
  <c r="J2244" i="39"/>
  <c r="J2243" i="39"/>
  <c r="J2242" i="39"/>
  <c r="J2241" i="39"/>
  <c r="J2240" i="39"/>
  <c r="J2239" i="39"/>
  <c r="J2238" i="39"/>
  <c r="J2237" i="39"/>
  <c r="J2236" i="39"/>
  <c r="J2235" i="39"/>
  <c r="J2234" i="39"/>
  <c r="J2233" i="39"/>
  <c r="J2232" i="39"/>
  <c r="J2231" i="39"/>
  <c r="J2230" i="39"/>
  <c r="J2229" i="39"/>
  <c r="J2228" i="39"/>
  <c r="J2227" i="39"/>
  <c r="J2226" i="39"/>
  <c r="J2225" i="39"/>
  <c r="J2224" i="39"/>
  <c r="J2223" i="39"/>
  <c r="B2223" i="39"/>
  <c r="J2222" i="39"/>
  <c r="J2221" i="39"/>
  <c r="J2220" i="39"/>
  <c r="J2219" i="39"/>
  <c r="J2218" i="39"/>
  <c r="J2217" i="39"/>
  <c r="J2216" i="39"/>
  <c r="J2215" i="39"/>
  <c r="J2214" i="39"/>
  <c r="J2213" i="39"/>
  <c r="J2212" i="39"/>
  <c r="J2211" i="39"/>
  <c r="J2210" i="39"/>
  <c r="J2209" i="39"/>
  <c r="J2208" i="39"/>
  <c r="J2207" i="39"/>
  <c r="J2206" i="39"/>
  <c r="J2205" i="39"/>
  <c r="J2204" i="39"/>
  <c r="J2203" i="39"/>
  <c r="J2202" i="39"/>
  <c r="J2201" i="39"/>
  <c r="J2200" i="39"/>
  <c r="J2199" i="39"/>
  <c r="J2198" i="39"/>
  <c r="J2197" i="39"/>
  <c r="J2196" i="39"/>
  <c r="J2195" i="39"/>
  <c r="B2195" i="39"/>
  <c r="J2194" i="39"/>
  <c r="J2193" i="39"/>
  <c r="J2192" i="39"/>
  <c r="J2191" i="39"/>
  <c r="J2190" i="39"/>
  <c r="J2189" i="39"/>
  <c r="J2188" i="39"/>
  <c r="J2187" i="39"/>
  <c r="J2186" i="39"/>
  <c r="J2185" i="39"/>
  <c r="J2184" i="39"/>
  <c r="J2183" i="39"/>
  <c r="J2182" i="39"/>
  <c r="J2181" i="39"/>
  <c r="J2180" i="39"/>
  <c r="J2179" i="39"/>
  <c r="J2178" i="39"/>
  <c r="J2177" i="39"/>
  <c r="J2176" i="39"/>
  <c r="J2175" i="39"/>
  <c r="J2174" i="39"/>
  <c r="J2173" i="39"/>
  <c r="J2172" i="39"/>
  <c r="J2171" i="39"/>
  <c r="J2170" i="39"/>
  <c r="J2169" i="39"/>
  <c r="B2169" i="39"/>
  <c r="J2168" i="39"/>
  <c r="J2167" i="39"/>
  <c r="J2166" i="39"/>
  <c r="J2165" i="39"/>
  <c r="J2164" i="39"/>
  <c r="J2163" i="39"/>
  <c r="J2162" i="39"/>
  <c r="J2161" i="39"/>
  <c r="J2160" i="39"/>
  <c r="J2159" i="39"/>
  <c r="J2158" i="39"/>
  <c r="J2157" i="39"/>
  <c r="J2156" i="39"/>
  <c r="J2155" i="39"/>
  <c r="J2154" i="39"/>
  <c r="J2153" i="39"/>
  <c r="J2152" i="39"/>
  <c r="J2151" i="39"/>
  <c r="J2150" i="39"/>
  <c r="J2149" i="39"/>
  <c r="J2148" i="39"/>
  <c r="J2147" i="39"/>
  <c r="J2146" i="39"/>
  <c r="J2145" i="39"/>
  <c r="J2144" i="39"/>
  <c r="J2143" i="39"/>
  <c r="J2142" i="39"/>
  <c r="J2141" i="39"/>
  <c r="J2140" i="39"/>
  <c r="J2139" i="39"/>
  <c r="J2138" i="39"/>
  <c r="J2137" i="39"/>
  <c r="J2136" i="39"/>
  <c r="J2135" i="39"/>
  <c r="J2134" i="39"/>
  <c r="J2133" i="39"/>
  <c r="J2132" i="39"/>
  <c r="J2131" i="39"/>
  <c r="J2130" i="39"/>
  <c r="J2129" i="39"/>
  <c r="J2128" i="39"/>
  <c r="J2127" i="39"/>
  <c r="J2126" i="39"/>
  <c r="J2125" i="39"/>
  <c r="J2124" i="39"/>
  <c r="J2123" i="39"/>
  <c r="J2122" i="39"/>
  <c r="J2121" i="39"/>
  <c r="J2120" i="39"/>
  <c r="J2119" i="39"/>
  <c r="J2118" i="39"/>
  <c r="J2117" i="39"/>
  <c r="J2116" i="39"/>
  <c r="J2115" i="39"/>
  <c r="J2114" i="39"/>
  <c r="J2113" i="39"/>
  <c r="J2112" i="39"/>
  <c r="J2111" i="39"/>
  <c r="J2110" i="39"/>
  <c r="J2109" i="39"/>
  <c r="J2108" i="39"/>
  <c r="J2107" i="39"/>
  <c r="J2106" i="39"/>
  <c r="J2105" i="39"/>
  <c r="J2104" i="39"/>
  <c r="J2103" i="39"/>
  <c r="J2102" i="39"/>
  <c r="J2101" i="39"/>
  <c r="J2100" i="39"/>
  <c r="J2099" i="39"/>
  <c r="J2098" i="39"/>
  <c r="J2097" i="39"/>
  <c r="J2096" i="39"/>
  <c r="J2095" i="39"/>
  <c r="J2094" i="39"/>
  <c r="J2093" i="39"/>
  <c r="J2092" i="39"/>
  <c r="J2091" i="39"/>
  <c r="J2090" i="39"/>
  <c r="J2089" i="39"/>
  <c r="J2088" i="39"/>
  <c r="J2087" i="39"/>
  <c r="J2086" i="39"/>
  <c r="J2085" i="39"/>
  <c r="J2084" i="39"/>
  <c r="J2083" i="39"/>
  <c r="J2082" i="39"/>
  <c r="J2081" i="39"/>
  <c r="J2080" i="39"/>
  <c r="J2079" i="39"/>
  <c r="J2078" i="39"/>
  <c r="J2077" i="39"/>
  <c r="J2076" i="39"/>
  <c r="J2075" i="39"/>
  <c r="J2074" i="39"/>
  <c r="J2073" i="39"/>
  <c r="J2072" i="39"/>
  <c r="J2071" i="39"/>
  <c r="J2070" i="39"/>
  <c r="J2069" i="39"/>
  <c r="J2068" i="39"/>
  <c r="J2067" i="39"/>
  <c r="J2066" i="39"/>
  <c r="J2065" i="39"/>
  <c r="J2064" i="39"/>
  <c r="J2063" i="39"/>
  <c r="J2062" i="39"/>
  <c r="J2061" i="39"/>
  <c r="J2060" i="39"/>
  <c r="J2059" i="39"/>
  <c r="J2058" i="39"/>
  <c r="J2057" i="39"/>
  <c r="J2056" i="39"/>
  <c r="J2055" i="39"/>
  <c r="J2054" i="39"/>
  <c r="J2053" i="39"/>
  <c r="J2052" i="39"/>
  <c r="J2051" i="39"/>
  <c r="J2050" i="39"/>
  <c r="J2049" i="39"/>
  <c r="J2048" i="39"/>
  <c r="J2047" i="39"/>
  <c r="J2046" i="39"/>
  <c r="J2045" i="39"/>
  <c r="J2044" i="39"/>
  <c r="J2043" i="39"/>
  <c r="J2042" i="39"/>
  <c r="J2041" i="39"/>
  <c r="J2040" i="39"/>
  <c r="J2039" i="39"/>
  <c r="J2038" i="39"/>
  <c r="J2037" i="39"/>
  <c r="J2036" i="39"/>
  <c r="J2035" i="39"/>
  <c r="J2034" i="39"/>
  <c r="J2033" i="39"/>
  <c r="J2032" i="39"/>
  <c r="J2031" i="39"/>
  <c r="J2030" i="39"/>
  <c r="J2029" i="39"/>
  <c r="J2028" i="39"/>
  <c r="J2027" i="39"/>
  <c r="J2026" i="39"/>
  <c r="J2025" i="39"/>
  <c r="J2024" i="39"/>
  <c r="J2023" i="39"/>
  <c r="J2022" i="39"/>
  <c r="J2021" i="39"/>
  <c r="J2020" i="39"/>
  <c r="J2019" i="39"/>
  <c r="J2018" i="39"/>
  <c r="J2017" i="39"/>
  <c r="J2016" i="39"/>
  <c r="J2015" i="39"/>
  <c r="J2014" i="39"/>
  <c r="J2013" i="39"/>
  <c r="J2012" i="39"/>
  <c r="J2011" i="39"/>
  <c r="J2010" i="39"/>
  <c r="J2009" i="39"/>
  <c r="J2008" i="39"/>
  <c r="J2007" i="39"/>
  <c r="J2006" i="39"/>
  <c r="J2005" i="39"/>
  <c r="J2004" i="39"/>
  <c r="J2003" i="39"/>
  <c r="J2002" i="39"/>
  <c r="J2001" i="39"/>
  <c r="J2000" i="39"/>
  <c r="J1999" i="39"/>
  <c r="J1998" i="39"/>
  <c r="J1997" i="39"/>
  <c r="J1996" i="39"/>
  <c r="J1995" i="39"/>
  <c r="J1994" i="39"/>
  <c r="J1993" i="39"/>
  <c r="J1992" i="39"/>
  <c r="J1991" i="39"/>
  <c r="J1990" i="39"/>
  <c r="J1989" i="39"/>
  <c r="J1988" i="39"/>
  <c r="J1987" i="39"/>
  <c r="J1986" i="39"/>
  <c r="J1985" i="39"/>
  <c r="J1984" i="39"/>
  <c r="J1983" i="39"/>
  <c r="J1982" i="39"/>
  <c r="J1981" i="39"/>
  <c r="J1980" i="39"/>
  <c r="J1979" i="39"/>
  <c r="J1978" i="39"/>
  <c r="J1977" i="39"/>
  <c r="J1976" i="39"/>
  <c r="J1975" i="39"/>
  <c r="J1974" i="39"/>
  <c r="J1973" i="39"/>
  <c r="J1972" i="39"/>
  <c r="J1971" i="39"/>
  <c r="J1970" i="39"/>
  <c r="J1969" i="39"/>
  <c r="J1968" i="39"/>
  <c r="J1967" i="39"/>
  <c r="J1966" i="39"/>
  <c r="J1965" i="39"/>
  <c r="J1964" i="39"/>
  <c r="J1963" i="39"/>
  <c r="J1962" i="39"/>
  <c r="J1961" i="39"/>
  <c r="J1960" i="39"/>
  <c r="J1959" i="39"/>
  <c r="J1958" i="39"/>
  <c r="J1957" i="39"/>
  <c r="J1956" i="39"/>
  <c r="J1955" i="39"/>
  <c r="J1954" i="39"/>
  <c r="J1953" i="39"/>
  <c r="J1952" i="39"/>
  <c r="J1951" i="39"/>
  <c r="J1950" i="39"/>
  <c r="J1949" i="39"/>
  <c r="J1948" i="39"/>
  <c r="J1947" i="39"/>
  <c r="J1946" i="39"/>
  <c r="J1945" i="39"/>
  <c r="J1944" i="39"/>
  <c r="J1943" i="39"/>
  <c r="J1942" i="39"/>
  <c r="J1941" i="39"/>
  <c r="J1940" i="39"/>
  <c r="J1939" i="39"/>
  <c r="J1938" i="39"/>
  <c r="J1937" i="39"/>
  <c r="J1936" i="39"/>
  <c r="J1935" i="39"/>
  <c r="J1934" i="39"/>
  <c r="J1933" i="39"/>
  <c r="J1932" i="39"/>
  <c r="J1931" i="39"/>
  <c r="J1930" i="39"/>
  <c r="J1929" i="39"/>
  <c r="J1928" i="39"/>
  <c r="J1927" i="39"/>
  <c r="J1926" i="39"/>
  <c r="J1925" i="39"/>
  <c r="J1924" i="39"/>
  <c r="J1923" i="39"/>
  <c r="J1922" i="39"/>
  <c r="J1921" i="39"/>
  <c r="J1920" i="39"/>
  <c r="J1919" i="39"/>
  <c r="J1918" i="39"/>
  <c r="J1917" i="39"/>
  <c r="J1916" i="39"/>
  <c r="J1915" i="39"/>
  <c r="J1914" i="39"/>
  <c r="J1913" i="39"/>
  <c r="J1912" i="39"/>
  <c r="J1911" i="39"/>
  <c r="J1910" i="39"/>
  <c r="J1909" i="39"/>
  <c r="J1908" i="39"/>
  <c r="J1907" i="39"/>
  <c r="J1906" i="39"/>
  <c r="J1905" i="39"/>
  <c r="J1904" i="39"/>
  <c r="J1903" i="39"/>
  <c r="J1902" i="39"/>
  <c r="J1901" i="39"/>
  <c r="J1900" i="39"/>
  <c r="J1899" i="39"/>
  <c r="J1898" i="39"/>
  <c r="J1897" i="39"/>
  <c r="J1896" i="39"/>
  <c r="J1895" i="39"/>
  <c r="J1894" i="39"/>
  <c r="J1893" i="39"/>
  <c r="J1892" i="39"/>
  <c r="J1891" i="39"/>
  <c r="J1890" i="39"/>
  <c r="J1889" i="39"/>
  <c r="J1888" i="39"/>
  <c r="J1887" i="39"/>
  <c r="J1886" i="39"/>
  <c r="J1885" i="39"/>
  <c r="J1884" i="39"/>
  <c r="J1883" i="39"/>
  <c r="J1882" i="39"/>
  <c r="J1881" i="39"/>
  <c r="J1880" i="39"/>
  <c r="J1879" i="39"/>
  <c r="J1878" i="39"/>
  <c r="J1877" i="39"/>
  <c r="J1876" i="39"/>
  <c r="J1875" i="39"/>
  <c r="J1874" i="39"/>
  <c r="J1873" i="39"/>
  <c r="J1872" i="39"/>
  <c r="J1871" i="39"/>
  <c r="J1870" i="39"/>
  <c r="J1869" i="39"/>
  <c r="J1868" i="39"/>
  <c r="J1867" i="39"/>
  <c r="J1866" i="39"/>
  <c r="J1865" i="39"/>
  <c r="J1864" i="39"/>
  <c r="J1863" i="39"/>
  <c r="J1862" i="39"/>
  <c r="J1861" i="39"/>
  <c r="J1860" i="39"/>
  <c r="J1859" i="39"/>
  <c r="J1858" i="39"/>
  <c r="J1857" i="39"/>
  <c r="J1856" i="39"/>
  <c r="J1855" i="39"/>
  <c r="J1854" i="39"/>
  <c r="J1853" i="39"/>
  <c r="J1852" i="39"/>
  <c r="J1851" i="39"/>
  <c r="J1850" i="39"/>
  <c r="J1849" i="39"/>
  <c r="J1848" i="39"/>
  <c r="J1847" i="39"/>
  <c r="J1846" i="39"/>
  <c r="J1845" i="39"/>
  <c r="J1844" i="39"/>
  <c r="J1843" i="39"/>
  <c r="J1842" i="39"/>
  <c r="J1841" i="39"/>
  <c r="J1840" i="39"/>
  <c r="J1839" i="39"/>
  <c r="J1838" i="39"/>
  <c r="J1837" i="39"/>
  <c r="J1836" i="39"/>
  <c r="J1835" i="39"/>
  <c r="J1834" i="39"/>
  <c r="J1833" i="39"/>
  <c r="J1832" i="39"/>
  <c r="J1831" i="39"/>
  <c r="J1830" i="39"/>
  <c r="J1829" i="39"/>
  <c r="J1828" i="39"/>
  <c r="J1827" i="39"/>
  <c r="J1826" i="39"/>
  <c r="J1825" i="39"/>
  <c r="J1824" i="39"/>
  <c r="J1823" i="39"/>
  <c r="J1822" i="39"/>
  <c r="J1821" i="39"/>
  <c r="J1820" i="39"/>
  <c r="J1819" i="39"/>
  <c r="J1818" i="39"/>
  <c r="J1817" i="39"/>
  <c r="J1816" i="39"/>
  <c r="J1815" i="39"/>
  <c r="J1814" i="39"/>
  <c r="J1813" i="39"/>
  <c r="J1812" i="39"/>
  <c r="J1811" i="39"/>
  <c r="J1810" i="39"/>
  <c r="J1809" i="39"/>
  <c r="J1808" i="39"/>
  <c r="J1807" i="39"/>
  <c r="J1806" i="39"/>
  <c r="J1805" i="39"/>
  <c r="J1804" i="39"/>
  <c r="J1803" i="39"/>
  <c r="J1802" i="39"/>
  <c r="J1801" i="39"/>
  <c r="J1800" i="39"/>
  <c r="J1799" i="39"/>
  <c r="J1798" i="39"/>
  <c r="J1797" i="39"/>
  <c r="J1796" i="39"/>
  <c r="J1795" i="39"/>
  <c r="J1794" i="39"/>
  <c r="J1793" i="39"/>
  <c r="J1792" i="39"/>
  <c r="J1791" i="39"/>
  <c r="J1790" i="39"/>
  <c r="J1789" i="39"/>
  <c r="J1788" i="39"/>
  <c r="J1787" i="39"/>
  <c r="J1786" i="39"/>
  <c r="J1785" i="39"/>
  <c r="J1784" i="39"/>
  <c r="J1783" i="39"/>
  <c r="J1782" i="39"/>
  <c r="J1781" i="39"/>
  <c r="J1780" i="39"/>
  <c r="J1779" i="39"/>
  <c r="J1778" i="39"/>
  <c r="J1777" i="39"/>
  <c r="J1776" i="39"/>
  <c r="J1775" i="39"/>
  <c r="J1774" i="39"/>
  <c r="J1773" i="39"/>
  <c r="J1772" i="39"/>
  <c r="J1771" i="39"/>
  <c r="J1770" i="39"/>
  <c r="J1769" i="39"/>
  <c r="J1768" i="39"/>
  <c r="J1767" i="39"/>
  <c r="J1766" i="39"/>
  <c r="J1765" i="39"/>
  <c r="J1764" i="39"/>
  <c r="J1763" i="39"/>
  <c r="J1762" i="39"/>
  <c r="J1761" i="39"/>
  <c r="J1760" i="39"/>
  <c r="J1759" i="39"/>
  <c r="J1758" i="39"/>
  <c r="J1757" i="39"/>
  <c r="J1756" i="39"/>
  <c r="J1755" i="39"/>
  <c r="J1754" i="39"/>
  <c r="J1753" i="39"/>
  <c r="J1752" i="39"/>
  <c r="J1751" i="39"/>
  <c r="J1750" i="39"/>
  <c r="J1749" i="39"/>
  <c r="J1748" i="39"/>
  <c r="J1747" i="39"/>
  <c r="J1746" i="39"/>
  <c r="J1745" i="39"/>
  <c r="J1744" i="39"/>
  <c r="J1743" i="39"/>
  <c r="J1742" i="39"/>
  <c r="J1741" i="39"/>
  <c r="J1740" i="39"/>
  <c r="J1739" i="39"/>
  <c r="J1738" i="39"/>
  <c r="J1737" i="39"/>
  <c r="J1736" i="39"/>
  <c r="J1735" i="39"/>
  <c r="J1734" i="39"/>
  <c r="J1733" i="39"/>
  <c r="J1732" i="39"/>
  <c r="J1731" i="39"/>
  <c r="J1730" i="39"/>
  <c r="J1729" i="39"/>
  <c r="J1728" i="39"/>
  <c r="J1727" i="39"/>
  <c r="J1726" i="39"/>
  <c r="J1725" i="39"/>
  <c r="J1724" i="39"/>
  <c r="J1723" i="39"/>
  <c r="J1722" i="39"/>
  <c r="J1721" i="39"/>
  <c r="J1720" i="39"/>
  <c r="J1719" i="39"/>
  <c r="J1718" i="39"/>
  <c r="J1717" i="39"/>
  <c r="J1716" i="39"/>
  <c r="J1715" i="39"/>
  <c r="J1714" i="39"/>
  <c r="J1713" i="39"/>
  <c r="J1712" i="39"/>
  <c r="J1711" i="39"/>
  <c r="J1710" i="39"/>
  <c r="J1709" i="39"/>
  <c r="J1708" i="39"/>
  <c r="J1707" i="39"/>
  <c r="J1706" i="39"/>
  <c r="J1705" i="39"/>
  <c r="J1704" i="39"/>
  <c r="J1703" i="39"/>
  <c r="J1702" i="39"/>
  <c r="J1701" i="39"/>
  <c r="J1700" i="39"/>
  <c r="J1699" i="39"/>
  <c r="J1698" i="39"/>
  <c r="J1697" i="39"/>
  <c r="J1696" i="39"/>
  <c r="J1695" i="39"/>
  <c r="J1694" i="39"/>
  <c r="J1693" i="39"/>
  <c r="J1692" i="39"/>
  <c r="J1691" i="39"/>
  <c r="J1690" i="39"/>
  <c r="J1689" i="39"/>
  <c r="J1688" i="39"/>
  <c r="J1687" i="39"/>
  <c r="J1686" i="39"/>
  <c r="J1685" i="39"/>
  <c r="J1684" i="39"/>
  <c r="J1683" i="39"/>
  <c r="J1682" i="39"/>
  <c r="J1681" i="39"/>
  <c r="J1680" i="39"/>
  <c r="J1679" i="39"/>
  <c r="J1678" i="39"/>
  <c r="J1677" i="39"/>
  <c r="J1676" i="39"/>
  <c r="J1675" i="39"/>
  <c r="J1674" i="39"/>
  <c r="J1673" i="39"/>
  <c r="J1672" i="39"/>
  <c r="J1671" i="39"/>
  <c r="J1670" i="39"/>
  <c r="J1669" i="39"/>
  <c r="J1668" i="39"/>
  <c r="J1667" i="39"/>
  <c r="J1666" i="39"/>
  <c r="J1665" i="39"/>
  <c r="J1664" i="39"/>
  <c r="J1663" i="39"/>
  <c r="J1662" i="39"/>
  <c r="J1661" i="39"/>
  <c r="J1660" i="39"/>
  <c r="J1659" i="39"/>
  <c r="J1658" i="39"/>
  <c r="J1657" i="39"/>
  <c r="J1656" i="39"/>
  <c r="J1655" i="39"/>
  <c r="J1654" i="39"/>
  <c r="J1653" i="39"/>
  <c r="J1652" i="39"/>
  <c r="J1651" i="39"/>
  <c r="J1650" i="39"/>
  <c r="J1649" i="39"/>
  <c r="J1648" i="39"/>
  <c r="J1647" i="39"/>
  <c r="J1646" i="39"/>
  <c r="J1645" i="39"/>
  <c r="J1644" i="39"/>
  <c r="J1643" i="39"/>
  <c r="J1642" i="39"/>
  <c r="J1641" i="39"/>
  <c r="J1640" i="39"/>
  <c r="J1639" i="39"/>
  <c r="J1638" i="39"/>
  <c r="J1637" i="39"/>
  <c r="J1636" i="39"/>
  <c r="J1635" i="39"/>
  <c r="J1634" i="39"/>
  <c r="J1633" i="39"/>
  <c r="J1632" i="39"/>
  <c r="J1631" i="39"/>
  <c r="J1630" i="39"/>
  <c r="J1629" i="39"/>
  <c r="J1628" i="39"/>
  <c r="J1627" i="39"/>
  <c r="J1626" i="39"/>
  <c r="J1625" i="39"/>
  <c r="J1624" i="39"/>
  <c r="J1623" i="39"/>
  <c r="J1622" i="39"/>
  <c r="J1621" i="39"/>
  <c r="J1620" i="39"/>
  <c r="J1619" i="39"/>
  <c r="J1618" i="39"/>
  <c r="J1617" i="39"/>
  <c r="J1616" i="39"/>
  <c r="J1615" i="39"/>
  <c r="J1614" i="39"/>
  <c r="J1613" i="39"/>
  <c r="J1612" i="39"/>
  <c r="J1611" i="39"/>
  <c r="J1610" i="39"/>
  <c r="J1609" i="39"/>
  <c r="J1608" i="39"/>
  <c r="J1607" i="39"/>
  <c r="J1606" i="39"/>
  <c r="J1605" i="39"/>
  <c r="J1604" i="39"/>
  <c r="J1603" i="39"/>
  <c r="J1602" i="39"/>
  <c r="J1601" i="39"/>
  <c r="J1600" i="39"/>
  <c r="J1599" i="39"/>
  <c r="J1598" i="39"/>
  <c r="J1597" i="39"/>
  <c r="J1596" i="39"/>
  <c r="J1595" i="39"/>
  <c r="J1594" i="39"/>
  <c r="J1593" i="39"/>
  <c r="J1592" i="39"/>
  <c r="J1591" i="39"/>
  <c r="J1590" i="39"/>
  <c r="J1589" i="39"/>
  <c r="J1588" i="39"/>
  <c r="J1587" i="39"/>
  <c r="J1586" i="39"/>
  <c r="J1585" i="39"/>
  <c r="J1584" i="39"/>
  <c r="J1583" i="39"/>
  <c r="J1582" i="39"/>
  <c r="J1581" i="39"/>
  <c r="J1580" i="39"/>
  <c r="J1579" i="39"/>
  <c r="J1578" i="39"/>
  <c r="J1577" i="39"/>
  <c r="J1576" i="39"/>
  <c r="J1575" i="39"/>
  <c r="J1574" i="39"/>
  <c r="J1573" i="39"/>
  <c r="J1572" i="39"/>
  <c r="J1571" i="39"/>
  <c r="J1570" i="39"/>
  <c r="J1569" i="39"/>
  <c r="J1568" i="39"/>
  <c r="J1567" i="39"/>
  <c r="J1566" i="39"/>
  <c r="J1565" i="39"/>
  <c r="J1564" i="39"/>
  <c r="J1563" i="39"/>
  <c r="J1562" i="39"/>
  <c r="J1561" i="39"/>
  <c r="J1560" i="39"/>
  <c r="J1559" i="39"/>
  <c r="J1558" i="39"/>
  <c r="J1557" i="39"/>
  <c r="J1556" i="39"/>
  <c r="J1555" i="39"/>
  <c r="J1554" i="39"/>
  <c r="J1553" i="39"/>
  <c r="J1552" i="39"/>
  <c r="J1551" i="39"/>
  <c r="J1550" i="39"/>
  <c r="J1549" i="39"/>
  <c r="J1548" i="39"/>
  <c r="J1547" i="39"/>
  <c r="J1546" i="39"/>
  <c r="J1545" i="39"/>
  <c r="J1544" i="39"/>
  <c r="J1543" i="39"/>
  <c r="J1542" i="39"/>
  <c r="J1541" i="39"/>
  <c r="J1540" i="39"/>
  <c r="J1539" i="39"/>
  <c r="J1538" i="39"/>
  <c r="J1537" i="39"/>
  <c r="J1536" i="39"/>
  <c r="J1535" i="39"/>
  <c r="J1534" i="39"/>
  <c r="J1533" i="39"/>
  <c r="J1532" i="39"/>
  <c r="J1531" i="39"/>
  <c r="J1530" i="39"/>
  <c r="J1529" i="39"/>
  <c r="J1528" i="39"/>
  <c r="J1527" i="39"/>
  <c r="J1526" i="39"/>
  <c r="J1525" i="39"/>
  <c r="J1524" i="39"/>
  <c r="J1523" i="39"/>
  <c r="J1522" i="39"/>
  <c r="J1521" i="39"/>
  <c r="J1520" i="39"/>
  <c r="J1519" i="39"/>
  <c r="J1518" i="39"/>
  <c r="J1517" i="39"/>
  <c r="J1516" i="39"/>
  <c r="J1515" i="39"/>
  <c r="J1514" i="39"/>
  <c r="J1513" i="39"/>
  <c r="J1512" i="39"/>
  <c r="J1511" i="39"/>
  <c r="J1510" i="39"/>
  <c r="J1509" i="39"/>
  <c r="J1508" i="39"/>
  <c r="J1507" i="39"/>
  <c r="J1506" i="39"/>
  <c r="J1505" i="39"/>
  <c r="J1504" i="39"/>
  <c r="J1503" i="39"/>
  <c r="J1502" i="39"/>
  <c r="J1501" i="39"/>
  <c r="J1500" i="39"/>
  <c r="J1499" i="39"/>
  <c r="J1498" i="39"/>
  <c r="J1497" i="39"/>
  <c r="J1496" i="39"/>
  <c r="J1495" i="39"/>
  <c r="J1494" i="39"/>
  <c r="J1493" i="39"/>
  <c r="J1492" i="39"/>
  <c r="J1491" i="39"/>
  <c r="J1490" i="39"/>
  <c r="J1489" i="39"/>
  <c r="J1488" i="39"/>
  <c r="J1487" i="39"/>
  <c r="J1486" i="39"/>
  <c r="J1485" i="39"/>
  <c r="J1484" i="39"/>
  <c r="J1483" i="39"/>
  <c r="J1482" i="39"/>
  <c r="J1481" i="39"/>
  <c r="J1480" i="39"/>
  <c r="J1479" i="39"/>
  <c r="J1478" i="39"/>
  <c r="J1477" i="39"/>
  <c r="J1476" i="39"/>
  <c r="J1475" i="39"/>
  <c r="J1474" i="39"/>
  <c r="J1473" i="39"/>
  <c r="J1472" i="39"/>
  <c r="J1471" i="39"/>
  <c r="J1470" i="39"/>
  <c r="J1469" i="39"/>
  <c r="J1468" i="39"/>
  <c r="J1467" i="39"/>
  <c r="J1466" i="39"/>
  <c r="J1465" i="39"/>
  <c r="J1464" i="39"/>
  <c r="J1463" i="39"/>
  <c r="J1462" i="39"/>
  <c r="J1461" i="39"/>
  <c r="J1460" i="39"/>
  <c r="J1459" i="39"/>
  <c r="J1458" i="39"/>
  <c r="J1457" i="39"/>
  <c r="J1456" i="39"/>
  <c r="J1455" i="39"/>
  <c r="J1454" i="39"/>
  <c r="J1453" i="39"/>
  <c r="J1452" i="39"/>
  <c r="J1451" i="39"/>
  <c r="J1450" i="39"/>
  <c r="J1449" i="39"/>
  <c r="J1448" i="39"/>
  <c r="J1447" i="39"/>
  <c r="J1446" i="39"/>
  <c r="J1445" i="39"/>
  <c r="J1444" i="39"/>
  <c r="J1443" i="39"/>
  <c r="J1442" i="39"/>
  <c r="J1441" i="39"/>
  <c r="J1440" i="39"/>
  <c r="J1439" i="39"/>
  <c r="J1438" i="39"/>
  <c r="J1437" i="39"/>
  <c r="J1436" i="39"/>
  <c r="J1435" i="39"/>
  <c r="J1434" i="39"/>
  <c r="J1433" i="39"/>
  <c r="J1432" i="39"/>
  <c r="J1431" i="39"/>
  <c r="J1430" i="39"/>
  <c r="J1429" i="39"/>
  <c r="J1428" i="39"/>
  <c r="J1427" i="39"/>
  <c r="J1426" i="39"/>
  <c r="J1425" i="39"/>
  <c r="J1424" i="39"/>
  <c r="J1423" i="39"/>
  <c r="J1422" i="39"/>
  <c r="J1421" i="39"/>
  <c r="J1420" i="39"/>
  <c r="J1419" i="39"/>
  <c r="J1418" i="39"/>
  <c r="J1417" i="39"/>
  <c r="J1416" i="39"/>
  <c r="J1415" i="39"/>
  <c r="J1414" i="39"/>
  <c r="J1413" i="39"/>
  <c r="J1412" i="39"/>
  <c r="J1411" i="39"/>
  <c r="J1410" i="39"/>
  <c r="J1409" i="39"/>
  <c r="J1408" i="39"/>
  <c r="J1407" i="39"/>
  <c r="J1406" i="39"/>
  <c r="J1405" i="39"/>
  <c r="J1404" i="39"/>
  <c r="J1403" i="39"/>
  <c r="J1402" i="39"/>
  <c r="J1401" i="39"/>
  <c r="J1400" i="39"/>
  <c r="J1399" i="39"/>
  <c r="J1398" i="39"/>
  <c r="J1397" i="39"/>
  <c r="J1396" i="39"/>
  <c r="J1395" i="39"/>
  <c r="J1394" i="39"/>
  <c r="J1393" i="39"/>
  <c r="J1392" i="39"/>
  <c r="J1391" i="39"/>
  <c r="J1390" i="39"/>
  <c r="J1389" i="39"/>
  <c r="J1388" i="39"/>
  <c r="J1387" i="39"/>
  <c r="J1386" i="39"/>
  <c r="J1385" i="39"/>
  <c r="J1384" i="39"/>
  <c r="J1383" i="39"/>
  <c r="J1382" i="39"/>
  <c r="J1381" i="39"/>
  <c r="J1380" i="39"/>
  <c r="J1379" i="39"/>
  <c r="J1378" i="39"/>
  <c r="J1377" i="39"/>
  <c r="J1376" i="39"/>
  <c r="J1375" i="39"/>
  <c r="J1374" i="39"/>
  <c r="J1373" i="39"/>
  <c r="J1372" i="39"/>
  <c r="B1372" i="39"/>
  <c r="J1371" i="39"/>
  <c r="J1370" i="39"/>
  <c r="J1369" i="39"/>
  <c r="J1368" i="39"/>
  <c r="J1367" i="39"/>
  <c r="J1366" i="39"/>
  <c r="J1365" i="39"/>
  <c r="J1364" i="39"/>
  <c r="J1363" i="39"/>
  <c r="J1362" i="39"/>
  <c r="J1361" i="39"/>
  <c r="J1360" i="39"/>
  <c r="J1359" i="39"/>
  <c r="J1358" i="39"/>
  <c r="J1357" i="39"/>
  <c r="J1356" i="39"/>
  <c r="J1355" i="39"/>
  <c r="J1354" i="39"/>
  <c r="J1353" i="39"/>
  <c r="J1352" i="39"/>
  <c r="J1351" i="39"/>
  <c r="J1350" i="39"/>
  <c r="J1349" i="39"/>
  <c r="J1348" i="39"/>
  <c r="J1347" i="39"/>
  <c r="J1346" i="39"/>
  <c r="J1345" i="39"/>
  <c r="J1344" i="39"/>
  <c r="J1343" i="39"/>
  <c r="J1342" i="39"/>
  <c r="J1341" i="39"/>
  <c r="J1340" i="39"/>
  <c r="J1339" i="39"/>
  <c r="J1338" i="39"/>
  <c r="J1337" i="39"/>
  <c r="J1336" i="39"/>
  <c r="J1335" i="39"/>
  <c r="J1334" i="39"/>
  <c r="J1333" i="39"/>
  <c r="J1332" i="39"/>
  <c r="J1331" i="39"/>
  <c r="J1330" i="39"/>
  <c r="J1329" i="39"/>
  <c r="J1328" i="39"/>
  <c r="J1327" i="39"/>
  <c r="J1326" i="39"/>
  <c r="J1325" i="39"/>
  <c r="J1324" i="39"/>
  <c r="J1323" i="39"/>
  <c r="J1322" i="39"/>
  <c r="J1321" i="39"/>
  <c r="J1320" i="39"/>
  <c r="J1319" i="39"/>
  <c r="J1318" i="39"/>
  <c r="J1317" i="39"/>
  <c r="J1316" i="39"/>
  <c r="J1315" i="39"/>
  <c r="J1314" i="39"/>
  <c r="J1313" i="39"/>
  <c r="J1312" i="39"/>
  <c r="J1311" i="39"/>
  <c r="J1310" i="39"/>
  <c r="J1309" i="39"/>
  <c r="J1308" i="39"/>
  <c r="J1307" i="39"/>
  <c r="J1306" i="39"/>
  <c r="J1305" i="39"/>
  <c r="J1304" i="39"/>
  <c r="J1303" i="39"/>
  <c r="J1302" i="39"/>
  <c r="J1301" i="39"/>
  <c r="J1300" i="39"/>
  <c r="J1299" i="39"/>
  <c r="J1298" i="39"/>
  <c r="J1297" i="39"/>
  <c r="J1296" i="39"/>
  <c r="J1295" i="39"/>
  <c r="J1294" i="39"/>
  <c r="J1293" i="39"/>
  <c r="J1292" i="39"/>
  <c r="J1291" i="39"/>
  <c r="J1290" i="39"/>
  <c r="J1289" i="39"/>
  <c r="J1288" i="39"/>
  <c r="J1287" i="39"/>
  <c r="J1286" i="39"/>
  <c r="J1285" i="39"/>
  <c r="J1284" i="39"/>
  <c r="J1283" i="39"/>
  <c r="J1282" i="39"/>
  <c r="J1281" i="39"/>
  <c r="J1280" i="39"/>
  <c r="J1279" i="39"/>
  <c r="J1278" i="39"/>
  <c r="J1277" i="39"/>
  <c r="J1276" i="39"/>
  <c r="J1275" i="39"/>
  <c r="J1274" i="39"/>
  <c r="J1273" i="39"/>
  <c r="J1272" i="39"/>
  <c r="J1271" i="39"/>
  <c r="J1270" i="39"/>
  <c r="B1270" i="39"/>
  <c r="J1269" i="39"/>
  <c r="J1268" i="39"/>
  <c r="J1267" i="39"/>
  <c r="J1266" i="39"/>
  <c r="J1265" i="39"/>
  <c r="J1264" i="39"/>
  <c r="J1263" i="39"/>
  <c r="J1262" i="39"/>
  <c r="J1261" i="39"/>
  <c r="J1260" i="39"/>
  <c r="J1259" i="39"/>
  <c r="J1258" i="39"/>
  <c r="J1257" i="39"/>
  <c r="J1256" i="39"/>
  <c r="J1255" i="39"/>
  <c r="J1254" i="39"/>
  <c r="J1253" i="39"/>
  <c r="J1252" i="39"/>
  <c r="J1251" i="39"/>
  <c r="J1250" i="39"/>
  <c r="J1249" i="39"/>
  <c r="J1248" i="39"/>
  <c r="J1247" i="39"/>
  <c r="J1246" i="39"/>
  <c r="J1245" i="39"/>
  <c r="J1244" i="39"/>
  <c r="J1243" i="39"/>
  <c r="J1242" i="39"/>
  <c r="J1241" i="39"/>
  <c r="J1240" i="39"/>
  <c r="J1239" i="39"/>
  <c r="J1238" i="39"/>
  <c r="J1237" i="39"/>
  <c r="J1236" i="39"/>
  <c r="J1235" i="39"/>
  <c r="J1234" i="39"/>
  <c r="J1233" i="39"/>
  <c r="J1232" i="39"/>
  <c r="J1231" i="39"/>
  <c r="J1230" i="39"/>
  <c r="J1229" i="39"/>
  <c r="J1228" i="39"/>
  <c r="J1227" i="39"/>
  <c r="J1226" i="39"/>
  <c r="J1225" i="39"/>
  <c r="J1224" i="39"/>
  <c r="J1223" i="39"/>
  <c r="J1222" i="39"/>
  <c r="J1221" i="39"/>
  <c r="J1220" i="39"/>
  <c r="J1219" i="39"/>
  <c r="J1218" i="39"/>
  <c r="J1217" i="39"/>
  <c r="J1216" i="39"/>
  <c r="J1215" i="39"/>
  <c r="J1214" i="39"/>
  <c r="J1213" i="39"/>
  <c r="J1212" i="39"/>
  <c r="J1211" i="39"/>
  <c r="J1210" i="39"/>
  <c r="J1209" i="39"/>
  <c r="J1208" i="39"/>
  <c r="J1207" i="39"/>
  <c r="J1206" i="39"/>
  <c r="J1205" i="39"/>
  <c r="J1204" i="39"/>
  <c r="J1203" i="39"/>
  <c r="J1202" i="39"/>
  <c r="J1201" i="39"/>
  <c r="J1200" i="39"/>
  <c r="J1199" i="39"/>
  <c r="J1198" i="39"/>
  <c r="J1197" i="39"/>
  <c r="J1196" i="39"/>
  <c r="J1195" i="39"/>
  <c r="J1194" i="39"/>
  <c r="J1193" i="39"/>
  <c r="J1192" i="39"/>
  <c r="J1191" i="39"/>
  <c r="J1190" i="39"/>
  <c r="J1189" i="39"/>
  <c r="J1188" i="39"/>
  <c r="J1187" i="39"/>
  <c r="J1186" i="39"/>
  <c r="J1185" i="39"/>
  <c r="J1184" i="39"/>
  <c r="J1183" i="39"/>
  <c r="J1182" i="39"/>
  <c r="J1181" i="39"/>
  <c r="J1180" i="39"/>
  <c r="J1179" i="39"/>
  <c r="J1178" i="39"/>
  <c r="J1177" i="39"/>
  <c r="J1176" i="39"/>
  <c r="J1175" i="39"/>
  <c r="J1174" i="39"/>
  <c r="J1173" i="39"/>
  <c r="J1172" i="39"/>
  <c r="J1171" i="39"/>
  <c r="J1170" i="39"/>
  <c r="J1169" i="39"/>
  <c r="J1168" i="39"/>
  <c r="J1167" i="39"/>
  <c r="J1166" i="39"/>
  <c r="J1165" i="39"/>
  <c r="J1164" i="39"/>
  <c r="J1163" i="39"/>
  <c r="J1162" i="39"/>
  <c r="J1161" i="39"/>
  <c r="J1160" i="39"/>
  <c r="J1159" i="39"/>
  <c r="J1158" i="39"/>
  <c r="J1157" i="39"/>
  <c r="J1156" i="39"/>
  <c r="J1155" i="39"/>
  <c r="J1154" i="39"/>
  <c r="J1153" i="39"/>
  <c r="J1152" i="39"/>
  <c r="J1151" i="39"/>
  <c r="J1150" i="39"/>
  <c r="J1149" i="39"/>
  <c r="J1148" i="39"/>
  <c r="J1147" i="39"/>
  <c r="J1146" i="39"/>
  <c r="J1145" i="39"/>
  <c r="J1144" i="39"/>
  <c r="J1143" i="39"/>
  <c r="J1142" i="39"/>
  <c r="J1141" i="39"/>
  <c r="J1140" i="39"/>
  <c r="J1139" i="39"/>
  <c r="J1138" i="39"/>
  <c r="J1137" i="39"/>
  <c r="J1136" i="39"/>
  <c r="J1135" i="39"/>
  <c r="J1134" i="39"/>
  <c r="J1133" i="39"/>
  <c r="J1132" i="39"/>
  <c r="J1131" i="39"/>
  <c r="J1130" i="39"/>
  <c r="J1129" i="39"/>
  <c r="J1128" i="39"/>
  <c r="J1127" i="39"/>
  <c r="J1126" i="39"/>
  <c r="J1125" i="39"/>
  <c r="J1124" i="39"/>
  <c r="J1123" i="39"/>
  <c r="J1122" i="39"/>
  <c r="J1121" i="39"/>
  <c r="J1120" i="39"/>
  <c r="J1119" i="39"/>
  <c r="J1118" i="39"/>
  <c r="J1117" i="39"/>
  <c r="J1116" i="39"/>
  <c r="J1115" i="39"/>
  <c r="J1114" i="39"/>
  <c r="J1113" i="39"/>
  <c r="J1112" i="39"/>
  <c r="J1111" i="39"/>
  <c r="J1110" i="39"/>
  <c r="J1109" i="39"/>
  <c r="J1108" i="39"/>
  <c r="J1107" i="39"/>
  <c r="J1106" i="39"/>
  <c r="J1105" i="39"/>
  <c r="J1104" i="39"/>
  <c r="J1103" i="39"/>
  <c r="B1103" i="39"/>
  <c r="J1102" i="39"/>
  <c r="J1101" i="39"/>
  <c r="J1100" i="39"/>
  <c r="J1099" i="39"/>
  <c r="J1098" i="39"/>
  <c r="J1097" i="39"/>
  <c r="J1096" i="39"/>
  <c r="J1095" i="39"/>
  <c r="J1094" i="39"/>
  <c r="J1093" i="39"/>
  <c r="J1092" i="39"/>
  <c r="J1091" i="39"/>
  <c r="J1090" i="39"/>
  <c r="J1089" i="39"/>
  <c r="J1088" i="39"/>
  <c r="J1087" i="39"/>
  <c r="J1086" i="39"/>
  <c r="J1085" i="39"/>
  <c r="J1084" i="39"/>
  <c r="J1083" i="39"/>
  <c r="J1082" i="39"/>
  <c r="J1081" i="39"/>
  <c r="J1080" i="39"/>
  <c r="J1079" i="39"/>
  <c r="J1078" i="39"/>
  <c r="J1077" i="39"/>
  <c r="J1076" i="39"/>
  <c r="J1075" i="39"/>
  <c r="J1074" i="39"/>
  <c r="J1073" i="39"/>
  <c r="J1072" i="39"/>
  <c r="J1071" i="39"/>
  <c r="J1070" i="39"/>
  <c r="J1069" i="39"/>
  <c r="J1068" i="39"/>
  <c r="J1067" i="39"/>
  <c r="J1066" i="39"/>
  <c r="J1065" i="39"/>
  <c r="J1064" i="39"/>
  <c r="J1063" i="39"/>
  <c r="J1062" i="39"/>
  <c r="J1061" i="39"/>
  <c r="J1060" i="39"/>
  <c r="J1059" i="39"/>
  <c r="J1058" i="39"/>
  <c r="J1057" i="39"/>
  <c r="J1056" i="39"/>
  <c r="J1055" i="39"/>
  <c r="J1054" i="39"/>
  <c r="J1053" i="39"/>
  <c r="J1052" i="39"/>
  <c r="J1051" i="39"/>
  <c r="J1050" i="39"/>
  <c r="J1049" i="39"/>
  <c r="J1048" i="39"/>
  <c r="J1047" i="39"/>
  <c r="J1046" i="39"/>
  <c r="J1045" i="39"/>
  <c r="J1044" i="39"/>
  <c r="J1043" i="39"/>
  <c r="J1042" i="39"/>
  <c r="J1041" i="39"/>
  <c r="J1040" i="39"/>
  <c r="J1039" i="39"/>
  <c r="J1038" i="39"/>
  <c r="J1037" i="39"/>
  <c r="J1036" i="39"/>
  <c r="J1035" i="39"/>
  <c r="J1034" i="39"/>
  <c r="J1033" i="39"/>
  <c r="J1032" i="39"/>
  <c r="J1031" i="39"/>
  <c r="J1030" i="39"/>
  <c r="J1029" i="39"/>
  <c r="J1028" i="39"/>
  <c r="J1027" i="39"/>
  <c r="J1026" i="39"/>
  <c r="J1025" i="39"/>
  <c r="J1024" i="39"/>
  <c r="J1023" i="39"/>
  <c r="J1022" i="39"/>
  <c r="J1021" i="39"/>
  <c r="J1020" i="39"/>
  <c r="J1019" i="39"/>
  <c r="B1019" i="39"/>
  <c r="J1018" i="39"/>
  <c r="J1017" i="39"/>
  <c r="J1016" i="39"/>
  <c r="J1015" i="39"/>
  <c r="J1014" i="39"/>
  <c r="J1013" i="39"/>
  <c r="J1012" i="39"/>
  <c r="J1011" i="39"/>
  <c r="J1010" i="39"/>
  <c r="J1009" i="39"/>
  <c r="J1008" i="39"/>
  <c r="J1007" i="39"/>
  <c r="J1006" i="39"/>
  <c r="J1005" i="39"/>
  <c r="J1004" i="39"/>
  <c r="J1003" i="39"/>
  <c r="J1002" i="39"/>
  <c r="J1001" i="39"/>
  <c r="J1000" i="39"/>
  <c r="J999" i="39"/>
  <c r="J998" i="39"/>
  <c r="J997" i="39"/>
  <c r="J996" i="39"/>
  <c r="J995" i="39"/>
  <c r="J994" i="39"/>
  <c r="J993" i="39"/>
  <c r="J992" i="39"/>
  <c r="J991" i="39"/>
  <c r="J990" i="39"/>
  <c r="J989" i="39"/>
  <c r="J988" i="39"/>
  <c r="J987" i="39"/>
  <c r="J986" i="39"/>
  <c r="J985" i="39"/>
  <c r="J984" i="39"/>
  <c r="J983" i="39"/>
  <c r="J982" i="39"/>
  <c r="J981" i="39"/>
  <c r="J980" i="39"/>
  <c r="J979" i="39"/>
  <c r="J978" i="39"/>
  <c r="J977" i="39"/>
  <c r="J976" i="39"/>
  <c r="J975" i="39"/>
  <c r="J974" i="39"/>
  <c r="J973" i="39"/>
  <c r="J972" i="39"/>
  <c r="J971" i="39"/>
  <c r="J970" i="39"/>
  <c r="J969" i="39"/>
  <c r="J968" i="39"/>
  <c r="J967" i="39"/>
  <c r="J966" i="39"/>
  <c r="J965" i="39"/>
  <c r="B965" i="39"/>
  <c r="J964" i="39"/>
  <c r="J963" i="39"/>
  <c r="J962" i="39"/>
  <c r="J961" i="39"/>
  <c r="J960" i="39"/>
  <c r="J959" i="39"/>
  <c r="J958" i="39"/>
  <c r="J957" i="39"/>
  <c r="J956" i="39"/>
  <c r="J955" i="39"/>
  <c r="J954" i="39"/>
  <c r="J953" i="39"/>
  <c r="J952" i="39"/>
  <c r="J951" i="39"/>
  <c r="J950" i="39"/>
  <c r="J949" i="39"/>
  <c r="J948" i="39"/>
  <c r="J947" i="39"/>
  <c r="J946" i="39"/>
  <c r="J945" i="39"/>
  <c r="J944" i="39"/>
  <c r="J943" i="39"/>
  <c r="J942" i="39"/>
  <c r="J941" i="39"/>
  <c r="J940" i="39"/>
  <c r="J939" i="39"/>
  <c r="J938" i="39"/>
  <c r="J937" i="39"/>
  <c r="J936" i="39"/>
  <c r="J935" i="39"/>
  <c r="J934" i="39"/>
  <c r="J933" i="39"/>
  <c r="J932" i="39"/>
  <c r="J931" i="39"/>
  <c r="J930" i="39"/>
  <c r="J929" i="39"/>
  <c r="J928" i="39"/>
  <c r="J927" i="39"/>
  <c r="J926" i="39"/>
  <c r="J925" i="39"/>
  <c r="J924" i="39"/>
  <c r="J923" i="39"/>
  <c r="J922" i="39"/>
  <c r="J921" i="39"/>
  <c r="J920" i="39"/>
  <c r="J919" i="39"/>
  <c r="J918" i="39"/>
  <c r="J917" i="39"/>
  <c r="J916" i="39"/>
  <c r="J915" i="39"/>
  <c r="J914" i="39"/>
  <c r="J913" i="39"/>
  <c r="J912" i="39"/>
  <c r="J911" i="39"/>
  <c r="J910" i="39"/>
  <c r="J909" i="39"/>
  <c r="J908" i="39"/>
  <c r="J907" i="39"/>
  <c r="J906" i="39"/>
  <c r="J905" i="39"/>
  <c r="J904" i="39"/>
  <c r="J903" i="39"/>
  <c r="J902" i="39"/>
  <c r="J901" i="39"/>
  <c r="J900" i="39"/>
  <c r="J899" i="39"/>
  <c r="J898" i="39"/>
  <c r="J897" i="39"/>
  <c r="J896" i="39"/>
  <c r="J895" i="39"/>
  <c r="J894" i="39"/>
  <c r="J893" i="39"/>
  <c r="J892" i="39"/>
  <c r="J891" i="39"/>
  <c r="J890" i="39"/>
  <c r="J889" i="39"/>
  <c r="J888" i="39"/>
  <c r="J887" i="39"/>
  <c r="J886" i="39"/>
  <c r="J885" i="39"/>
  <c r="J884" i="39"/>
  <c r="J883" i="39"/>
  <c r="J882" i="39"/>
  <c r="J881" i="39"/>
  <c r="J880" i="39"/>
  <c r="J879" i="39"/>
  <c r="J878" i="39"/>
  <c r="J877" i="39"/>
  <c r="J876" i="39"/>
  <c r="J875" i="39"/>
  <c r="J874" i="39"/>
  <c r="J873" i="39"/>
  <c r="J872" i="39"/>
  <c r="J871" i="39"/>
  <c r="J870" i="39"/>
  <c r="J869" i="39"/>
  <c r="J868" i="39"/>
  <c r="J867" i="39"/>
  <c r="J866" i="39"/>
  <c r="J865" i="39"/>
  <c r="J864" i="39"/>
  <c r="J863" i="39"/>
  <c r="J862" i="39"/>
  <c r="J861" i="39"/>
  <c r="J860" i="39"/>
  <c r="J859" i="39"/>
  <c r="J858" i="39"/>
  <c r="J857" i="39"/>
  <c r="J856" i="39"/>
  <c r="J855" i="39"/>
  <c r="J854" i="39"/>
  <c r="J853" i="39"/>
  <c r="J852" i="39"/>
  <c r="J851" i="39"/>
  <c r="J850" i="39"/>
  <c r="J849" i="39"/>
  <c r="J848" i="39"/>
  <c r="J847" i="39"/>
  <c r="J846" i="39"/>
  <c r="J845" i="39"/>
  <c r="J844" i="39"/>
  <c r="J843" i="39"/>
  <c r="J842" i="39"/>
  <c r="J841" i="39"/>
  <c r="J840" i="39"/>
  <c r="J839" i="39"/>
  <c r="J838" i="39"/>
  <c r="J837" i="39"/>
  <c r="J836" i="39"/>
  <c r="J835" i="39"/>
  <c r="J834" i="39"/>
  <c r="J833" i="39"/>
  <c r="J832" i="39"/>
  <c r="J831" i="39"/>
  <c r="J830" i="39"/>
  <c r="J829" i="39"/>
  <c r="J828" i="39"/>
  <c r="J827" i="39"/>
  <c r="J826" i="39"/>
  <c r="J825" i="39"/>
  <c r="J824" i="39"/>
  <c r="J823" i="39"/>
  <c r="J822" i="39"/>
  <c r="J821" i="39"/>
  <c r="J820" i="39"/>
  <c r="J819" i="39"/>
  <c r="J818" i="39"/>
  <c r="J817" i="39"/>
  <c r="J816" i="39"/>
  <c r="J815" i="39"/>
  <c r="J814" i="39"/>
  <c r="J813" i="39"/>
  <c r="J812" i="39"/>
  <c r="J811" i="39"/>
  <c r="J810" i="39"/>
  <c r="J809" i="39"/>
  <c r="J808" i="39"/>
  <c r="J807" i="39"/>
  <c r="J806" i="39"/>
  <c r="J805" i="39"/>
  <c r="J804" i="39"/>
  <c r="J803" i="39"/>
  <c r="J802" i="39"/>
  <c r="J801" i="39"/>
  <c r="J800" i="39"/>
  <c r="J799" i="39"/>
  <c r="J798" i="39"/>
  <c r="J797" i="39"/>
  <c r="J796" i="39"/>
  <c r="J795" i="39"/>
  <c r="J794" i="39"/>
  <c r="J793" i="39"/>
  <c r="J792" i="39"/>
  <c r="J791" i="39"/>
  <c r="J790" i="39"/>
  <c r="J789" i="39"/>
  <c r="J788" i="39"/>
  <c r="J787" i="39"/>
  <c r="J786" i="39"/>
  <c r="J785" i="39"/>
  <c r="J784" i="39"/>
  <c r="J783" i="39"/>
  <c r="J782" i="39"/>
  <c r="J781" i="39"/>
  <c r="J780" i="39"/>
  <c r="J779" i="39"/>
  <c r="J778" i="39"/>
  <c r="J777" i="39"/>
  <c r="J776" i="39"/>
  <c r="J775" i="39"/>
  <c r="J774" i="39"/>
  <c r="J773" i="39"/>
  <c r="J772" i="39"/>
  <c r="J771" i="39"/>
  <c r="J770" i="39"/>
  <c r="J769" i="39"/>
  <c r="J768" i="39"/>
  <c r="J767" i="39"/>
  <c r="J766" i="39"/>
  <c r="J765" i="39"/>
  <c r="J764" i="39"/>
  <c r="J763" i="39"/>
  <c r="J762" i="39"/>
  <c r="J761" i="39"/>
  <c r="J760" i="39"/>
  <c r="J759" i="39"/>
  <c r="J758" i="39"/>
  <c r="J757" i="39"/>
  <c r="J756" i="39"/>
  <c r="J755" i="39"/>
  <c r="J754" i="39"/>
  <c r="J753" i="39"/>
  <c r="J752" i="39"/>
  <c r="J751" i="39"/>
  <c r="J750" i="39"/>
  <c r="J749" i="39"/>
  <c r="J748" i="39"/>
  <c r="J747" i="39"/>
  <c r="J746" i="39"/>
  <c r="J745" i="39"/>
  <c r="J744" i="39"/>
  <c r="J743" i="39"/>
  <c r="J742" i="39"/>
  <c r="J741" i="39"/>
  <c r="J740" i="39"/>
  <c r="J739" i="39"/>
  <c r="J738" i="39"/>
  <c r="J737" i="39"/>
  <c r="J736" i="39"/>
  <c r="J735" i="39"/>
  <c r="J734" i="39"/>
  <c r="J733" i="39"/>
  <c r="J732" i="39"/>
  <c r="J731" i="39"/>
  <c r="J730" i="39"/>
  <c r="J729" i="39"/>
  <c r="J728" i="39"/>
  <c r="J727" i="39"/>
  <c r="J726" i="39"/>
  <c r="J725" i="39"/>
  <c r="J724" i="39"/>
  <c r="J723" i="39"/>
  <c r="J722" i="39"/>
  <c r="J721" i="39"/>
  <c r="J720" i="39"/>
  <c r="J719" i="39"/>
  <c r="J718" i="39"/>
  <c r="J717" i="39"/>
  <c r="J716" i="39"/>
  <c r="J715" i="39"/>
  <c r="J714" i="39"/>
  <c r="J713" i="39"/>
  <c r="J712" i="39"/>
  <c r="J711" i="39"/>
  <c r="J710" i="39"/>
  <c r="J709" i="39"/>
  <c r="J708" i="39"/>
  <c r="J707" i="39"/>
  <c r="J706" i="39"/>
  <c r="B706" i="39"/>
  <c r="J705" i="39"/>
  <c r="J704" i="39"/>
  <c r="J703" i="39"/>
  <c r="J702" i="39"/>
  <c r="J701" i="39"/>
  <c r="J700" i="39"/>
  <c r="J699" i="39"/>
  <c r="J698" i="39"/>
  <c r="J697" i="39"/>
  <c r="J696" i="39"/>
  <c r="J695" i="39"/>
  <c r="J694" i="39"/>
  <c r="J693" i="39"/>
  <c r="J692" i="39"/>
  <c r="J691" i="39"/>
  <c r="J690" i="39"/>
  <c r="J689" i="39"/>
  <c r="B689" i="39"/>
  <c r="J688" i="39"/>
  <c r="J687" i="39"/>
  <c r="J686" i="39"/>
  <c r="J685" i="39"/>
  <c r="J684" i="39"/>
  <c r="J683" i="39"/>
  <c r="J682" i="39"/>
  <c r="J681" i="39"/>
  <c r="J680" i="39"/>
  <c r="J679" i="39"/>
  <c r="J678" i="39"/>
  <c r="J677" i="39"/>
  <c r="J676" i="39"/>
  <c r="J675" i="39"/>
  <c r="J674" i="39"/>
  <c r="J673" i="39"/>
  <c r="J672" i="39"/>
  <c r="J671" i="39"/>
  <c r="J670" i="39"/>
  <c r="J669" i="39"/>
  <c r="J668" i="39"/>
  <c r="J667" i="39"/>
  <c r="J666" i="39"/>
  <c r="J665" i="39"/>
  <c r="J664" i="39"/>
  <c r="J663" i="39"/>
  <c r="J662" i="39"/>
  <c r="J661" i="39"/>
  <c r="J660" i="39"/>
  <c r="J659" i="39"/>
  <c r="J658" i="39"/>
  <c r="J657" i="39"/>
  <c r="J656" i="39"/>
  <c r="J655" i="39"/>
  <c r="J654" i="39"/>
  <c r="J653" i="39"/>
  <c r="J652" i="39"/>
  <c r="J651" i="39"/>
  <c r="J650" i="39"/>
  <c r="J649" i="39"/>
  <c r="J648" i="39"/>
  <c r="J647" i="39"/>
  <c r="J646" i="39"/>
  <c r="J645" i="39"/>
  <c r="J644" i="39"/>
  <c r="J643" i="39"/>
  <c r="J642" i="39"/>
  <c r="J641" i="39"/>
  <c r="J640" i="39"/>
  <c r="J639" i="39"/>
  <c r="J638" i="39"/>
  <c r="J637" i="39"/>
  <c r="J636" i="39"/>
  <c r="J635" i="39"/>
  <c r="J634" i="39"/>
  <c r="J633" i="39"/>
  <c r="J632" i="39"/>
  <c r="J631" i="39"/>
  <c r="J630" i="39"/>
  <c r="J629" i="39"/>
  <c r="J628" i="39"/>
  <c r="J627" i="39"/>
  <c r="J626" i="39"/>
  <c r="J625" i="39"/>
  <c r="J624" i="39"/>
  <c r="J623" i="39"/>
  <c r="J622" i="39"/>
  <c r="J621" i="39"/>
  <c r="J620" i="39"/>
  <c r="J619" i="39"/>
  <c r="J618" i="39"/>
  <c r="J617" i="39"/>
  <c r="J616" i="39"/>
  <c r="J615" i="39"/>
  <c r="J614" i="39"/>
  <c r="J613" i="39"/>
  <c r="J612" i="39"/>
  <c r="J611" i="39"/>
  <c r="J610" i="39"/>
  <c r="J609" i="39"/>
  <c r="J608" i="39"/>
  <c r="J607" i="39"/>
  <c r="J606" i="39"/>
  <c r="J605" i="39"/>
  <c r="J604" i="39"/>
  <c r="J603" i="39"/>
  <c r="J602" i="39"/>
  <c r="J601" i="39"/>
  <c r="J600" i="39"/>
  <c r="J599" i="39"/>
  <c r="J598" i="39"/>
  <c r="J597" i="39"/>
  <c r="J596" i="39"/>
  <c r="J595" i="39"/>
  <c r="J594" i="39"/>
  <c r="J593" i="39"/>
  <c r="J592" i="39"/>
  <c r="J591" i="39"/>
  <c r="J590" i="39"/>
  <c r="J589" i="39"/>
  <c r="J588" i="39"/>
  <c r="J587" i="39"/>
  <c r="J586" i="39"/>
  <c r="J585" i="39"/>
  <c r="J584" i="39"/>
  <c r="J583" i="39"/>
  <c r="J582" i="39"/>
  <c r="J581" i="39"/>
  <c r="J580" i="39"/>
  <c r="J579" i="39"/>
  <c r="J578" i="39"/>
  <c r="J577" i="39"/>
  <c r="J576" i="39"/>
  <c r="J575" i="39"/>
  <c r="J574" i="39"/>
  <c r="J573" i="39"/>
  <c r="J572" i="39"/>
  <c r="J571" i="39"/>
  <c r="J570" i="39"/>
  <c r="J569" i="39"/>
  <c r="J568" i="39"/>
  <c r="J567" i="39"/>
  <c r="J566" i="39"/>
  <c r="J565" i="39"/>
  <c r="B565" i="39"/>
  <c r="J564" i="39"/>
  <c r="J563" i="39"/>
  <c r="J562" i="39"/>
  <c r="J561" i="39"/>
  <c r="J560" i="39"/>
  <c r="J559" i="39"/>
  <c r="J558" i="39"/>
  <c r="J557" i="39"/>
  <c r="J556" i="39"/>
  <c r="J555" i="39"/>
  <c r="J554" i="39"/>
  <c r="J553" i="39"/>
  <c r="J552" i="39"/>
  <c r="J551" i="39"/>
  <c r="J550" i="39"/>
  <c r="J549" i="39"/>
  <c r="J548" i="39"/>
  <c r="J547" i="39"/>
  <c r="J546" i="39"/>
  <c r="J545" i="39"/>
  <c r="J544" i="39"/>
  <c r="J543" i="39"/>
  <c r="J542" i="39"/>
  <c r="J541" i="39"/>
  <c r="J540" i="39"/>
  <c r="J539" i="39"/>
  <c r="J538" i="39"/>
  <c r="J537" i="39"/>
  <c r="J536" i="39"/>
  <c r="J535" i="39"/>
  <c r="J534" i="39"/>
  <c r="J533" i="39"/>
  <c r="J532" i="39"/>
  <c r="J531" i="39"/>
  <c r="J530" i="39"/>
  <c r="J529" i="39"/>
  <c r="J528" i="39"/>
  <c r="J527" i="39"/>
  <c r="J526" i="39"/>
  <c r="J525" i="39"/>
  <c r="J524" i="39"/>
  <c r="J523" i="39"/>
  <c r="J522" i="39"/>
  <c r="J521" i="39"/>
  <c r="J520" i="39"/>
  <c r="J519" i="39"/>
  <c r="J518" i="39"/>
  <c r="J517" i="39"/>
  <c r="J516" i="39"/>
  <c r="J515" i="39"/>
  <c r="J514" i="39"/>
  <c r="J513" i="39"/>
  <c r="J512" i="39"/>
  <c r="J511" i="39"/>
  <c r="J510" i="39"/>
  <c r="J509" i="39"/>
  <c r="J508" i="39"/>
  <c r="J507" i="39"/>
  <c r="J506" i="39"/>
  <c r="J505" i="39"/>
  <c r="J504" i="39"/>
  <c r="J503" i="39"/>
  <c r="J502" i="39"/>
  <c r="J501" i="39"/>
  <c r="J500" i="39"/>
  <c r="J499" i="39"/>
  <c r="J498" i="39"/>
  <c r="J497" i="39"/>
  <c r="J496" i="39"/>
  <c r="J495" i="39"/>
  <c r="J494" i="39"/>
  <c r="J493" i="39"/>
  <c r="J492" i="39"/>
  <c r="J491" i="39"/>
  <c r="J490" i="39"/>
  <c r="J489" i="39"/>
  <c r="J488" i="39"/>
  <c r="J487" i="39"/>
  <c r="J486" i="39"/>
  <c r="J485" i="39"/>
  <c r="J484" i="39"/>
  <c r="J483" i="39"/>
  <c r="J482" i="39"/>
  <c r="J481" i="39"/>
  <c r="J480" i="39"/>
  <c r="J479" i="39"/>
  <c r="J478" i="39"/>
  <c r="J477" i="39"/>
  <c r="J476" i="39"/>
  <c r="J475" i="39"/>
  <c r="J474" i="39"/>
  <c r="J473" i="39"/>
  <c r="J472" i="39"/>
  <c r="J471" i="39"/>
  <c r="J470" i="39"/>
  <c r="J469" i="39"/>
  <c r="J468" i="39"/>
  <c r="J467" i="39"/>
  <c r="J466" i="39"/>
  <c r="J465" i="39"/>
  <c r="J464" i="39"/>
  <c r="J463" i="39"/>
  <c r="J462" i="39"/>
  <c r="J461" i="39"/>
  <c r="J460" i="39"/>
  <c r="J459" i="39"/>
  <c r="J458" i="39"/>
  <c r="J457" i="39"/>
  <c r="J456" i="39"/>
  <c r="J455" i="39"/>
  <c r="J454" i="39"/>
  <c r="J453" i="39"/>
  <c r="J452" i="39"/>
  <c r="J451" i="39"/>
  <c r="J450" i="39"/>
  <c r="J449" i="39"/>
  <c r="J448" i="39"/>
  <c r="J447" i="39"/>
  <c r="J446" i="39"/>
  <c r="J445" i="39"/>
  <c r="J444" i="39"/>
  <c r="J443" i="39"/>
  <c r="J442" i="39"/>
  <c r="J441" i="39"/>
  <c r="J440" i="39"/>
  <c r="J439" i="39"/>
  <c r="J438" i="39"/>
  <c r="J437" i="39"/>
  <c r="J436" i="39"/>
  <c r="J435" i="39"/>
  <c r="J434" i="39"/>
  <c r="J433" i="39"/>
  <c r="J432" i="39"/>
  <c r="J431" i="39"/>
  <c r="J430" i="39"/>
  <c r="J429" i="39"/>
  <c r="J428" i="39"/>
  <c r="J427" i="39"/>
  <c r="J426" i="39"/>
  <c r="J425" i="39"/>
  <c r="J424" i="39"/>
  <c r="J423" i="39"/>
  <c r="J422" i="39"/>
  <c r="J421" i="39"/>
  <c r="J420" i="39"/>
  <c r="J419" i="39"/>
  <c r="J418" i="39"/>
  <c r="B418" i="39"/>
  <c r="J417" i="39"/>
  <c r="J416" i="39"/>
  <c r="J415" i="39"/>
  <c r="J414" i="39"/>
  <c r="J413" i="39"/>
  <c r="J412" i="39"/>
  <c r="J411" i="39"/>
  <c r="J410" i="39"/>
  <c r="J409" i="39"/>
  <c r="J408" i="39"/>
  <c r="J407" i="39"/>
  <c r="J406" i="39"/>
  <c r="J405" i="39"/>
  <c r="J404" i="39"/>
  <c r="J403" i="39"/>
  <c r="J402" i="39"/>
  <c r="J401" i="39"/>
  <c r="J400" i="39"/>
  <c r="J399" i="39"/>
  <c r="J398" i="39"/>
  <c r="J397" i="39"/>
  <c r="J396" i="39"/>
  <c r="J395" i="39"/>
  <c r="J394" i="39"/>
  <c r="J393" i="39"/>
  <c r="J392" i="39"/>
  <c r="J391" i="39"/>
  <c r="J390" i="39"/>
  <c r="J389" i="39"/>
  <c r="J388" i="39"/>
  <c r="J387" i="39"/>
  <c r="J386" i="39"/>
  <c r="J385" i="39"/>
  <c r="J384" i="39"/>
  <c r="J383" i="39"/>
  <c r="J382" i="39"/>
  <c r="J381" i="39"/>
  <c r="J380" i="39"/>
  <c r="J379" i="39"/>
  <c r="J378" i="39"/>
  <c r="J377" i="39"/>
  <c r="J376" i="39"/>
  <c r="J375" i="39"/>
  <c r="J374" i="39"/>
  <c r="J373" i="39"/>
  <c r="J372" i="39"/>
  <c r="J371" i="39"/>
  <c r="J370" i="39"/>
  <c r="J369" i="39"/>
  <c r="J368" i="39"/>
  <c r="B368" i="39"/>
  <c r="J367" i="39"/>
  <c r="J366" i="39"/>
  <c r="J365" i="39"/>
  <c r="J364" i="39"/>
  <c r="J363" i="39"/>
  <c r="J362" i="39"/>
  <c r="J361" i="39"/>
  <c r="J360" i="39"/>
  <c r="J359" i="39"/>
  <c r="J358" i="39"/>
  <c r="J357" i="39"/>
  <c r="J356" i="39"/>
  <c r="J355" i="39"/>
  <c r="J354" i="39"/>
  <c r="J353" i="39"/>
  <c r="J352" i="39"/>
  <c r="J351" i="39"/>
  <c r="J350" i="39"/>
  <c r="J349" i="39"/>
  <c r="J348" i="39"/>
  <c r="J347" i="39"/>
  <c r="J346" i="39"/>
  <c r="J345" i="39"/>
  <c r="J344" i="39"/>
  <c r="J343" i="39"/>
  <c r="J342" i="39"/>
  <c r="J341" i="39"/>
  <c r="J340" i="39"/>
  <c r="J339" i="39"/>
  <c r="J338" i="39"/>
  <c r="J337" i="39"/>
  <c r="J336" i="39"/>
  <c r="J335" i="39"/>
  <c r="J334" i="39"/>
  <c r="J333" i="39"/>
  <c r="J332" i="39"/>
  <c r="J331" i="39"/>
  <c r="J330" i="39"/>
  <c r="J329" i="39"/>
  <c r="J328" i="39"/>
  <c r="J327" i="39"/>
  <c r="J326" i="39"/>
  <c r="J325" i="39"/>
  <c r="J324" i="39"/>
  <c r="J323" i="39"/>
  <c r="J322" i="39"/>
  <c r="J321" i="39"/>
  <c r="J320" i="39"/>
  <c r="J319" i="39"/>
  <c r="J318" i="39"/>
  <c r="J317" i="39"/>
  <c r="J316" i="39"/>
  <c r="J315" i="39"/>
  <c r="J314" i="39"/>
  <c r="J313" i="39"/>
  <c r="J312" i="39"/>
  <c r="J311" i="39"/>
  <c r="J310" i="39"/>
  <c r="J309" i="39"/>
  <c r="J308" i="39"/>
  <c r="J307" i="39"/>
  <c r="J306" i="39"/>
  <c r="J305" i="39"/>
  <c r="J304" i="39"/>
  <c r="J303" i="39"/>
  <c r="J302" i="39"/>
  <c r="J301" i="39"/>
  <c r="J300" i="39"/>
  <c r="J299" i="39"/>
  <c r="J298" i="39"/>
  <c r="J297" i="39"/>
  <c r="J296" i="39"/>
  <c r="J295" i="39"/>
  <c r="J294" i="39"/>
  <c r="J293" i="39"/>
  <c r="J292" i="39"/>
  <c r="J291" i="39"/>
  <c r="J290" i="39"/>
  <c r="J289" i="39"/>
  <c r="J288" i="39"/>
  <c r="J287" i="39"/>
  <c r="J286" i="39"/>
  <c r="J285" i="39"/>
  <c r="J284" i="39"/>
  <c r="J283" i="39"/>
  <c r="J282" i="39"/>
  <c r="J281" i="39"/>
  <c r="J280" i="39"/>
  <c r="J279" i="39"/>
  <c r="J278" i="39"/>
  <c r="J277" i="39"/>
  <c r="J276" i="39"/>
  <c r="J275" i="39"/>
  <c r="J274" i="39"/>
  <c r="J273" i="39"/>
  <c r="J272" i="39"/>
  <c r="J271" i="39"/>
  <c r="J270" i="39"/>
  <c r="J269" i="39"/>
  <c r="J268" i="39"/>
  <c r="J267" i="39"/>
  <c r="J266" i="39"/>
  <c r="J265" i="39"/>
  <c r="J264" i="39"/>
  <c r="J263" i="39"/>
  <c r="J262" i="39"/>
  <c r="J261" i="39"/>
  <c r="J260" i="39"/>
  <c r="J259" i="39"/>
  <c r="J258" i="39"/>
  <c r="J257" i="39"/>
  <c r="J256" i="39"/>
  <c r="J255" i="39"/>
  <c r="J254" i="39"/>
  <c r="J253" i="39"/>
  <c r="J252" i="39"/>
  <c r="J251" i="39"/>
  <c r="J250" i="39"/>
  <c r="J249" i="39"/>
  <c r="B249" i="39"/>
  <c r="J248" i="39"/>
  <c r="J247" i="39"/>
  <c r="J246" i="39"/>
  <c r="J245" i="39"/>
  <c r="J244" i="39"/>
  <c r="J243" i="39"/>
  <c r="J242" i="39"/>
  <c r="J241" i="39"/>
  <c r="J240" i="39"/>
  <c r="J239" i="39"/>
  <c r="J238" i="39"/>
  <c r="J237" i="39"/>
  <c r="J236" i="39"/>
  <c r="J235" i="39"/>
  <c r="J234" i="39"/>
  <c r="J233" i="39"/>
  <c r="J232" i="39"/>
  <c r="J231" i="39"/>
  <c r="J230" i="39"/>
  <c r="J229" i="39"/>
  <c r="J228" i="39"/>
  <c r="J227" i="39"/>
  <c r="J226" i="39"/>
  <c r="J225" i="39"/>
  <c r="J224" i="39"/>
  <c r="J223" i="39"/>
  <c r="J222" i="39"/>
  <c r="J221" i="39"/>
  <c r="J220" i="39"/>
  <c r="J219" i="39"/>
  <c r="J218" i="39"/>
  <c r="J217" i="39"/>
  <c r="J216" i="39"/>
  <c r="J215" i="39"/>
  <c r="J214" i="39"/>
  <c r="J213" i="39"/>
  <c r="J212" i="39"/>
  <c r="J211" i="39"/>
  <c r="J210" i="39"/>
  <c r="J209" i="39"/>
  <c r="J208" i="39"/>
  <c r="J207" i="39"/>
  <c r="J206" i="39"/>
  <c r="J205" i="39"/>
  <c r="J204" i="39"/>
  <c r="J203" i="39"/>
  <c r="J202" i="39"/>
  <c r="J201" i="39"/>
  <c r="J200" i="39"/>
  <c r="J199" i="39"/>
  <c r="J198" i="39"/>
  <c r="J197" i="39"/>
  <c r="J196" i="39"/>
  <c r="J195" i="39"/>
  <c r="J194" i="39"/>
  <c r="J193" i="39"/>
  <c r="J192" i="39"/>
  <c r="J191" i="39"/>
  <c r="J190" i="39"/>
  <c r="J189" i="39"/>
  <c r="J188" i="39"/>
  <c r="J187" i="39"/>
  <c r="J186" i="39"/>
  <c r="J185" i="39"/>
  <c r="J184" i="39"/>
  <c r="J183" i="39"/>
  <c r="J182" i="39"/>
  <c r="J181" i="39"/>
  <c r="J180" i="39"/>
  <c r="J179" i="39"/>
  <c r="J178" i="39"/>
  <c r="J177" i="39"/>
  <c r="J176" i="39"/>
  <c r="J175" i="39"/>
  <c r="J174" i="39"/>
  <c r="J173" i="39"/>
  <c r="J172" i="39"/>
  <c r="J171" i="39"/>
  <c r="J170" i="39"/>
  <c r="J169" i="39"/>
  <c r="J168" i="39"/>
  <c r="J167" i="39"/>
  <c r="J166" i="39"/>
  <c r="J165" i="39"/>
  <c r="J164" i="39"/>
  <c r="J163" i="39"/>
  <c r="J162" i="39"/>
  <c r="J161" i="39"/>
  <c r="J160" i="39"/>
  <c r="J159" i="39"/>
  <c r="J158" i="39"/>
  <c r="J157" i="39"/>
  <c r="J156" i="39"/>
  <c r="J155" i="39"/>
  <c r="J154" i="39"/>
  <c r="J153" i="39"/>
  <c r="J152" i="39"/>
  <c r="J151" i="39"/>
  <c r="J150" i="39"/>
  <c r="J149" i="39"/>
  <c r="J148" i="39"/>
  <c r="J147" i="39"/>
  <c r="J146" i="39"/>
  <c r="J145" i="39"/>
  <c r="J144" i="39"/>
  <c r="J143" i="39"/>
  <c r="J142" i="39"/>
  <c r="J141" i="39"/>
  <c r="J140" i="39"/>
  <c r="J139" i="39"/>
  <c r="J138" i="39"/>
  <c r="J137" i="39"/>
  <c r="J136" i="39"/>
  <c r="J135" i="39"/>
  <c r="J134" i="39"/>
  <c r="J133" i="39"/>
  <c r="J132" i="39"/>
  <c r="J131" i="39"/>
  <c r="J130" i="39"/>
  <c r="J129" i="39"/>
  <c r="J128" i="39"/>
  <c r="J127" i="39"/>
  <c r="J126" i="39"/>
  <c r="J125" i="39"/>
  <c r="J124" i="39"/>
  <c r="J123" i="39"/>
  <c r="J122" i="39"/>
  <c r="J121" i="39"/>
  <c r="J120" i="39"/>
  <c r="J119" i="39"/>
  <c r="J118" i="39"/>
  <c r="J117" i="39"/>
  <c r="J116" i="39"/>
  <c r="J115" i="39"/>
  <c r="J114" i="39"/>
  <c r="J113" i="39"/>
  <c r="J112" i="39"/>
  <c r="J111" i="39"/>
  <c r="J110" i="39"/>
  <c r="J109" i="39"/>
  <c r="J108" i="39"/>
  <c r="J107" i="39"/>
  <c r="J106" i="39"/>
  <c r="J105" i="39"/>
  <c r="J104" i="39"/>
  <c r="J103" i="39"/>
  <c r="J102" i="39"/>
  <c r="J101" i="39"/>
  <c r="J100" i="39"/>
  <c r="J99" i="39"/>
  <c r="J98" i="39"/>
  <c r="J97" i="39"/>
  <c r="J96" i="39"/>
  <c r="J95" i="39"/>
  <c r="J94" i="39"/>
  <c r="J93" i="39"/>
  <c r="J92" i="39"/>
  <c r="J91" i="39"/>
  <c r="J90" i="39"/>
  <c r="J89" i="39"/>
  <c r="J88" i="39"/>
  <c r="J87" i="39"/>
  <c r="J86" i="39"/>
  <c r="J85" i="39"/>
  <c r="J84" i="39"/>
  <c r="J83" i="39"/>
  <c r="J82" i="39"/>
  <c r="J81" i="39"/>
  <c r="J80" i="39"/>
  <c r="J79" i="39"/>
  <c r="J78" i="39"/>
  <c r="J77" i="39"/>
  <c r="J76" i="39"/>
  <c r="J75" i="39"/>
  <c r="J74" i="39"/>
  <c r="J73" i="39"/>
  <c r="J72" i="39"/>
  <c r="J71" i="39"/>
  <c r="J70" i="39"/>
  <c r="J69" i="39"/>
  <c r="J68" i="39"/>
  <c r="J67" i="39"/>
  <c r="J66" i="39"/>
  <c r="J65" i="39"/>
  <c r="J64" i="39"/>
  <c r="J63" i="39"/>
  <c r="J62" i="39"/>
  <c r="J61" i="39"/>
  <c r="J60" i="39"/>
  <c r="J59" i="39"/>
  <c r="J58" i="39"/>
  <c r="J57" i="39"/>
  <c r="J56" i="39"/>
  <c r="J55" i="39"/>
  <c r="J54" i="39"/>
  <c r="J53" i="39"/>
  <c r="J52" i="39"/>
  <c r="J51" i="39"/>
  <c r="J50" i="39"/>
  <c r="J49" i="39"/>
  <c r="J48" i="39"/>
  <c r="J47" i="39"/>
  <c r="J46" i="39"/>
  <c r="J45" i="39"/>
  <c r="J44" i="39"/>
  <c r="J43" i="39"/>
  <c r="J42" i="39"/>
  <c r="B42" i="39"/>
  <c r="J41" i="39"/>
  <c r="J40" i="39"/>
  <c r="J39" i="39"/>
  <c r="J38" i="39"/>
  <c r="J37" i="39"/>
  <c r="J36" i="39"/>
  <c r="J35" i="39"/>
  <c r="J34" i="39"/>
  <c r="J33" i="39"/>
  <c r="J32" i="39"/>
  <c r="J31" i="39"/>
  <c r="J30" i="39"/>
  <c r="J29" i="39"/>
  <c r="J28" i="39"/>
  <c r="J27" i="39"/>
  <c r="J26" i="39"/>
  <c r="J25" i="39"/>
  <c r="J24" i="39"/>
  <c r="J23" i="39"/>
  <c r="J22" i="39"/>
  <c r="J21" i="39"/>
  <c r="J20" i="39"/>
  <c r="J19" i="39"/>
  <c r="J18" i="39"/>
  <c r="J17" i="39"/>
  <c r="J16" i="39"/>
  <c r="J15" i="39"/>
  <c r="J14" i="39"/>
  <c r="J13" i="39"/>
  <c r="J12" i="39"/>
  <c r="J11" i="39"/>
  <c r="J10" i="39"/>
  <c r="J9" i="39"/>
  <c r="J8" i="39"/>
  <c r="J7" i="39"/>
  <c r="J6" i="39"/>
  <c r="J5" i="39"/>
  <c r="J4" i="39"/>
  <c r="J3" i="39"/>
  <c r="J2" i="39"/>
  <c r="J1" i="39"/>
  <c r="C29" i="8"/>
  <c r="R28" i="8"/>
  <c r="E28" i="8"/>
  <c r="R27" i="8"/>
  <c r="D27" i="8"/>
  <c r="C25" i="8"/>
  <c r="D24" i="8"/>
  <c r="U23" i="8"/>
  <c r="C23" i="8"/>
  <c r="C21" i="8"/>
  <c r="C20" i="8"/>
  <c r="J19" i="8"/>
  <c r="C19" i="8"/>
  <c r="T18" i="8"/>
  <c r="G18" i="8" s="1"/>
  <c r="D18" i="8"/>
  <c r="V16" i="8"/>
  <c r="I16" i="8" s="1"/>
  <c r="J16" i="8"/>
  <c r="F16" i="8"/>
  <c r="B16" i="8"/>
  <c r="V15" i="8"/>
  <c r="T15" i="8"/>
  <c r="T16" i="8" s="1"/>
  <c r="T17" i="8" s="1"/>
  <c r="G17" i="8" s="1"/>
  <c r="S15" i="8"/>
  <c r="S16" i="8" s="1"/>
  <c r="S17" i="8" s="1"/>
  <c r="J15" i="8"/>
  <c r="B15" i="8"/>
  <c r="K14" i="8"/>
  <c r="G14" i="8"/>
  <c r="C14" i="8"/>
  <c r="J13" i="8"/>
  <c r="F13" i="8"/>
  <c r="B13" i="8"/>
  <c r="AP12" i="8"/>
  <c r="AP13" i="8" s="1"/>
  <c r="K12" i="8"/>
  <c r="I12" i="8"/>
  <c r="BF11" i="8"/>
  <c r="BF12" i="8" s="1"/>
  <c r="BF13" i="8" s="1"/>
  <c r="J11" i="8"/>
  <c r="G11" i="8"/>
  <c r="C11" i="8"/>
  <c r="K10" i="8"/>
  <c r="F10" i="8"/>
  <c r="C10" i="8"/>
  <c r="BR9" i="8"/>
  <c r="BR10" i="8" s="1"/>
  <c r="BR11" i="8" s="1"/>
  <c r="BR12" i="8" s="1"/>
  <c r="BR13" i="8" s="1"/>
  <c r="AL9" i="8"/>
  <c r="AL10" i="8" s="1"/>
  <c r="AL11" i="8" s="1"/>
  <c r="AL12" i="8" s="1"/>
  <c r="AL13" i="8" s="1"/>
  <c r="J9" i="8"/>
  <c r="G9" i="8"/>
  <c r="C9" i="8"/>
  <c r="BL8" i="8"/>
  <c r="BL9" i="8" s="1"/>
  <c r="BL10" i="8" s="1"/>
  <c r="BL11" i="8" s="1"/>
  <c r="BL12" i="8" s="1"/>
  <c r="BL13" i="8" s="1"/>
  <c r="AV8" i="8"/>
  <c r="AV9" i="8" s="1"/>
  <c r="AV10" i="8" s="1"/>
  <c r="AV11" i="8" s="1"/>
  <c r="AV12" i="8" s="1"/>
  <c r="AV13" i="8" s="1"/>
  <c r="K8" i="8"/>
  <c r="I8" i="8"/>
  <c r="G8" i="8"/>
  <c r="C8" i="8"/>
  <c r="BX7" i="8"/>
  <c r="BX8" i="8" s="1"/>
  <c r="BX9" i="8" s="1"/>
  <c r="BX10" i="8" s="1"/>
  <c r="BX11" i="8" s="1"/>
  <c r="BX12" i="8" s="1"/>
  <c r="BX13" i="8" s="1"/>
  <c r="BT7" i="8"/>
  <c r="BT8" i="8" s="1"/>
  <c r="BT9" i="8" s="1"/>
  <c r="BT10" i="8" s="1"/>
  <c r="BT11" i="8" s="1"/>
  <c r="BT12" i="8" s="1"/>
  <c r="BT13" i="8" s="1"/>
  <c r="BP7" i="8"/>
  <c r="BP8" i="8" s="1"/>
  <c r="BP9" i="8" s="1"/>
  <c r="BP10" i="8" s="1"/>
  <c r="BP11" i="8" s="1"/>
  <c r="BP12" i="8" s="1"/>
  <c r="BP13" i="8" s="1"/>
  <c r="BL7" i="8"/>
  <c r="BH7" i="8"/>
  <c r="BH8" i="8" s="1"/>
  <c r="BH9" i="8" s="1"/>
  <c r="BH10" i="8" s="1"/>
  <c r="BH11" i="8" s="1"/>
  <c r="BH12" i="8" s="1"/>
  <c r="BH13" i="8" s="1"/>
  <c r="BD7" i="8"/>
  <c r="BD8" i="8" s="1"/>
  <c r="BD9" i="8" s="1"/>
  <c r="BD10" i="8" s="1"/>
  <c r="BD11" i="8" s="1"/>
  <c r="BD12" i="8" s="1"/>
  <c r="BD13" i="8" s="1"/>
  <c r="AZ7" i="8"/>
  <c r="AZ8" i="8" s="1"/>
  <c r="AZ9" i="8" s="1"/>
  <c r="AZ10" i="8" s="1"/>
  <c r="AZ11" i="8" s="1"/>
  <c r="AZ12" i="8" s="1"/>
  <c r="AZ13" i="8" s="1"/>
  <c r="AV7" i="8"/>
  <c r="AR7" i="8"/>
  <c r="AR8" i="8" s="1"/>
  <c r="AR9" i="8" s="1"/>
  <c r="AR10" i="8" s="1"/>
  <c r="AR11" i="8" s="1"/>
  <c r="AR12" i="8" s="1"/>
  <c r="AR13" i="8" s="1"/>
  <c r="AN7" i="8"/>
  <c r="AN8" i="8" s="1"/>
  <c r="AN9" i="8" s="1"/>
  <c r="AN10" i="8" s="1"/>
  <c r="AN11" i="8" s="1"/>
  <c r="AN12" i="8" s="1"/>
  <c r="AN13" i="8" s="1"/>
  <c r="L7" i="8"/>
  <c r="J7" i="8"/>
  <c r="F7" i="8"/>
  <c r="D7" i="8"/>
  <c r="B7" i="8"/>
  <c r="BI6" i="8"/>
  <c r="BI7" i="8" s="1"/>
  <c r="BI8" i="8" s="1"/>
  <c r="BI9" i="8" s="1"/>
  <c r="BI10" i="8" s="1"/>
  <c r="BI11" i="8" s="1"/>
  <c r="BI12" i="8" s="1"/>
  <c r="BI13" i="8" s="1"/>
  <c r="AS6" i="8"/>
  <c r="AS7" i="8" s="1"/>
  <c r="AS8" i="8" s="1"/>
  <c r="AS9" i="8" s="1"/>
  <c r="AS10" i="8" s="1"/>
  <c r="AS11" i="8" s="1"/>
  <c r="AS12" i="8" s="1"/>
  <c r="AS13" i="8" s="1"/>
  <c r="V6" i="8"/>
  <c r="T6" i="8"/>
  <c r="S6" i="8"/>
  <c r="L6" i="8"/>
  <c r="J6" i="8"/>
  <c r="D6" i="8"/>
  <c r="B6" i="8"/>
  <c r="BU5" i="8"/>
  <c r="BU6" i="8" s="1"/>
  <c r="BU7" i="8" s="1"/>
  <c r="BU8" i="8" s="1"/>
  <c r="BU9" i="8" s="1"/>
  <c r="BU10" i="8" s="1"/>
  <c r="BU11" i="8" s="1"/>
  <c r="BU12" i="8" s="1"/>
  <c r="BU13" i="8" s="1"/>
  <c r="BE5" i="8"/>
  <c r="BE6" i="8" s="1"/>
  <c r="BE7" i="8" s="1"/>
  <c r="BE8" i="8" s="1"/>
  <c r="BE9" i="8" s="1"/>
  <c r="BE10" i="8" s="1"/>
  <c r="BE11" i="8" s="1"/>
  <c r="BE12" i="8" s="1"/>
  <c r="BE13" i="8" s="1"/>
  <c r="AO5" i="8"/>
  <c r="AO6" i="8" s="1"/>
  <c r="AO7" i="8" s="1"/>
  <c r="AO8" i="8" s="1"/>
  <c r="AO9" i="8" s="1"/>
  <c r="AO10" i="8" s="1"/>
  <c r="AO11" i="8" s="1"/>
  <c r="AO12" i="8" s="1"/>
  <c r="AO13" i="8" s="1"/>
  <c r="V5" i="8"/>
  <c r="T5" i="8"/>
  <c r="L5" i="8"/>
  <c r="J5" i="8"/>
  <c r="D5" i="8"/>
  <c r="B5" i="8"/>
  <c r="CJ4" i="8"/>
  <c r="CI4" i="8"/>
  <c r="CH4" i="8"/>
  <c r="CG4" i="8"/>
  <c r="CF4" i="8"/>
  <c r="CE4" i="8"/>
  <c r="CD4" i="8"/>
  <c r="CC4" i="8"/>
  <c r="CB4" i="8"/>
  <c r="CA4" i="8"/>
  <c r="BZ4" i="8"/>
  <c r="BY4" i="8"/>
  <c r="BX4" i="8"/>
  <c r="BX5" i="8" s="1"/>
  <c r="BX6" i="8" s="1"/>
  <c r="BW4" i="8"/>
  <c r="BW5" i="8" s="1"/>
  <c r="BW6" i="8" s="1"/>
  <c r="BW7" i="8" s="1"/>
  <c r="BW8" i="8" s="1"/>
  <c r="BW9" i="8" s="1"/>
  <c r="BW10" i="8" s="1"/>
  <c r="BW11" i="8" s="1"/>
  <c r="BW12" i="8" s="1"/>
  <c r="BW13" i="8" s="1"/>
  <c r="BV4" i="8"/>
  <c r="BV5" i="8" s="1"/>
  <c r="BV6" i="8" s="1"/>
  <c r="BV7" i="8" s="1"/>
  <c r="BV8" i="8" s="1"/>
  <c r="BV9" i="8" s="1"/>
  <c r="BV10" i="8" s="1"/>
  <c r="BV11" i="8" s="1"/>
  <c r="BV12" i="8" s="1"/>
  <c r="BV13" i="8" s="1"/>
  <c r="BU4" i="8"/>
  <c r="BT4" i="8"/>
  <c r="BT5" i="8" s="1"/>
  <c r="BT6" i="8" s="1"/>
  <c r="BS4" i="8"/>
  <c r="BS5" i="8" s="1"/>
  <c r="BS6" i="8" s="1"/>
  <c r="BS7" i="8" s="1"/>
  <c r="BS8" i="8" s="1"/>
  <c r="BS9" i="8" s="1"/>
  <c r="BS10" i="8" s="1"/>
  <c r="BS11" i="8" s="1"/>
  <c r="BS12" i="8" s="1"/>
  <c r="BS13" i="8" s="1"/>
  <c r="BR4" i="8"/>
  <c r="BR5" i="8" s="1"/>
  <c r="BR6" i="8" s="1"/>
  <c r="BR7" i="8" s="1"/>
  <c r="BR8" i="8" s="1"/>
  <c r="BQ4" i="8"/>
  <c r="BQ5" i="8" s="1"/>
  <c r="BQ6" i="8" s="1"/>
  <c r="BQ7" i="8" s="1"/>
  <c r="BQ8" i="8" s="1"/>
  <c r="BQ9" i="8" s="1"/>
  <c r="BQ10" i="8" s="1"/>
  <c r="BQ11" i="8" s="1"/>
  <c r="BQ12" i="8" s="1"/>
  <c r="BQ13" i="8" s="1"/>
  <c r="BP4" i="8"/>
  <c r="BP5" i="8" s="1"/>
  <c r="BP6" i="8" s="1"/>
  <c r="BO4" i="8"/>
  <c r="BO5" i="8" s="1"/>
  <c r="BO6" i="8" s="1"/>
  <c r="BO7" i="8" s="1"/>
  <c r="BO8" i="8" s="1"/>
  <c r="BO9" i="8" s="1"/>
  <c r="BO10" i="8" s="1"/>
  <c r="BO11" i="8" s="1"/>
  <c r="BO12" i="8" s="1"/>
  <c r="BO13" i="8" s="1"/>
  <c r="BN4" i="8"/>
  <c r="BN5" i="8" s="1"/>
  <c r="BN6" i="8" s="1"/>
  <c r="BN7" i="8" s="1"/>
  <c r="BN8" i="8" s="1"/>
  <c r="BN9" i="8" s="1"/>
  <c r="BN10" i="8" s="1"/>
  <c r="BN11" i="8" s="1"/>
  <c r="BN12" i="8" s="1"/>
  <c r="BN13" i="8" s="1"/>
  <c r="BM4" i="8"/>
  <c r="BM5" i="8" s="1"/>
  <c r="BM6" i="8" s="1"/>
  <c r="BM7" i="8" s="1"/>
  <c r="BM8" i="8" s="1"/>
  <c r="BM9" i="8" s="1"/>
  <c r="BM10" i="8" s="1"/>
  <c r="BM11" i="8" s="1"/>
  <c r="BM12" i="8" s="1"/>
  <c r="BM13" i="8" s="1"/>
  <c r="BL4" i="8"/>
  <c r="BL5" i="8" s="1"/>
  <c r="BL6" i="8" s="1"/>
  <c r="BK4" i="8"/>
  <c r="BK5" i="8" s="1"/>
  <c r="BK6" i="8" s="1"/>
  <c r="BK7" i="8" s="1"/>
  <c r="BK8" i="8" s="1"/>
  <c r="BK9" i="8" s="1"/>
  <c r="BK10" i="8" s="1"/>
  <c r="BK11" i="8" s="1"/>
  <c r="BK12" i="8" s="1"/>
  <c r="BK13" i="8" s="1"/>
  <c r="BJ4" i="8"/>
  <c r="BJ5" i="8" s="1"/>
  <c r="BJ6" i="8" s="1"/>
  <c r="BJ7" i="8" s="1"/>
  <c r="BJ8" i="8" s="1"/>
  <c r="BJ9" i="8" s="1"/>
  <c r="BJ10" i="8" s="1"/>
  <c r="BJ11" i="8" s="1"/>
  <c r="BJ12" i="8" s="1"/>
  <c r="BJ13" i="8" s="1"/>
  <c r="BI4" i="8"/>
  <c r="BI5" i="8" s="1"/>
  <c r="BH4" i="8"/>
  <c r="BH5" i="8" s="1"/>
  <c r="BH6" i="8" s="1"/>
  <c r="BG4" i="8"/>
  <c r="BG5" i="8" s="1"/>
  <c r="BG6" i="8" s="1"/>
  <c r="BG7" i="8" s="1"/>
  <c r="BG8" i="8" s="1"/>
  <c r="BG9" i="8" s="1"/>
  <c r="BG10" i="8" s="1"/>
  <c r="BG11" i="8" s="1"/>
  <c r="BG12" i="8" s="1"/>
  <c r="BG13" i="8" s="1"/>
  <c r="BF4" i="8"/>
  <c r="BF5" i="8" s="1"/>
  <c r="BF6" i="8" s="1"/>
  <c r="BF7" i="8" s="1"/>
  <c r="BF8" i="8" s="1"/>
  <c r="BF9" i="8" s="1"/>
  <c r="BF10" i="8" s="1"/>
  <c r="BE4" i="8"/>
  <c r="BD4" i="8"/>
  <c r="BD5" i="8" s="1"/>
  <c r="BD6" i="8" s="1"/>
  <c r="BC4" i="8"/>
  <c r="BC5" i="8" s="1"/>
  <c r="BC6" i="8" s="1"/>
  <c r="BC7" i="8" s="1"/>
  <c r="BC8" i="8" s="1"/>
  <c r="BC9" i="8" s="1"/>
  <c r="BC10" i="8" s="1"/>
  <c r="BC11" i="8" s="1"/>
  <c r="BC12" i="8" s="1"/>
  <c r="BC13" i="8" s="1"/>
  <c r="BB4" i="8"/>
  <c r="BB5" i="8" s="1"/>
  <c r="BB6" i="8" s="1"/>
  <c r="BB7" i="8" s="1"/>
  <c r="BB8" i="8" s="1"/>
  <c r="BB9" i="8" s="1"/>
  <c r="BB10" i="8" s="1"/>
  <c r="BB11" i="8" s="1"/>
  <c r="BB12" i="8" s="1"/>
  <c r="BB13" i="8" s="1"/>
  <c r="BA4" i="8"/>
  <c r="BA5" i="8" s="1"/>
  <c r="BA6" i="8" s="1"/>
  <c r="BA7" i="8" s="1"/>
  <c r="BA8" i="8" s="1"/>
  <c r="BA9" i="8" s="1"/>
  <c r="BA10" i="8" s="1"/>
  <c r="BA11" i="8" s="1"/>
  <c r="BA12" i="8" s="1"/>
  <c r="BA13" i="8" s="1"/>
  <c r="AZ4" i="8"/>
  <c r="AZ5" i="8" s="1"/>
  <c r="AZ6" i="8" s="1"/>
  <c r="AY4" i="8"/>
  <c r="AY5" i="8" s="1"/>
  <c r="AY6" i="8" s="1"/>
  <c r="AY7" i="8" s="1"/>
  <c r="AY8" i="8" s="1"/>
  <c r="AY9" i="8" s="1"/>
  <c r="AY10" i="8" s="1"/>
  <c r="AY11" i="8" s="1"/>
  <c r="AY12" i="8" s="1"/>
  <c r="AY13" i="8" s="1"/>
  <c r="AX4" i="8"/>
  <c r="AX5" i="8" s="1"/>
  <c r="AX6" i="8" s="1"/>
  <c r="AX7" i="8" s="1"/>
  <c r="AX8" i="8" s="1"/>
  <c r="AX9" i="8" s="1"/>
  <c r="AX10" i="8" s="1"/>
  <c r="AX11" i="8" s="1"/>
  <c r="AX12" i="8" s="1"/>
  <c r="AX13" i="8" s="1"/>
  <c r="AW4" i="8"/>
  <c r="AW5" i="8" s="1"/>
  <c r="AW6" i="8" s="1"/>
  <c r="AW7" i="8" s="1"/>
  <c r="AW8" i="8" s="1"/>
  <c r="AW9" i="8" s="1"/>
  <c r="AW10" i="8" s="1"/>
  <c r="AW11" i="8" s="1"/>
  <c r="AW12" i="8" s="1"/>
  <c r="AW13" i="8" s="1"/>
  <c r="AV4" i="8"/>
  <c r="AV5" i="8" s="1"/>
  <c r="AV6" i="8" s="1"/>
  <c r="AU4" i="8"/>
  <c r="AU5" i="8" s="1"/>
  <c r="AU6" i="8" s="1"/>
  <c r="AU7" i="8" s="1"/>
  <c r="AU8" i="8" s="1"/>
  <c r="AU9" i="8" s="1"/>
  <c r="AU10" i="8" s="1"/>
  <c r="AU11" i="8" s="1"/>
  <c r="AU12" i="8" s="1"/>
  <c r="AU13" i="8" s="1"/>
  <c r="AT4" i="8"/>
  <c r="AT5" i="8" s="1"/>
  <c r="AT6" i="8" s="1"/>
  <c r="AT7" i="8" s="1"/>
  <c r="AT8" i="8" s="1"/>
  <c r="AT9" i="8" s="1"/>
  <c r="AT10" i="8" s="1"/>
  <c r="AT11" i="8" s="1"/>
  <c r="AT12" i="8" s="1"/>
  <c r="AT13" i="8" s="1"/>
  <c r="AS4" i="8"/>
  <c r="AS5" i="8" s="1"/>
  <c r="AR4" i="8"/>
  <c r="AR5" i="8" s="1"/>
  <c r="AR6" i="8" s="1"/>
  <c r="AQ4" i="8"/>
  <c r="AQ5" i="8" s="1"/>
  <c r="AQ6" i="8" s="1"/>
  <c r="AQ7" i="8" s="1"/>
  <c r="AQ8" i="8" s="1"/>
  <c r="AQ9" i="8" s="1"/>
  <c r="AQ10" i="8" s="1"/>
  <c r="AQ11" i="8" s="1"/>
  <c r="AQ12" i="8" s="1"/>
  <c r="AQ13" i="8" s="1"/>
  <c r="AP4" i="8"/>
  <c r="AP5" i="8" s="1"/>
  <c r="AP6" i="8" s="1"/>
  <c r="AP7" i="8" s="1"/>
  <c r="AP8" i="8" s="1"/>
  <c r="AP9" i="8" s="1"/>
  <c r="AP10" i="8" s="1"/>
  <c r="AP11" i="8" s="1"/>
  <c r="AO4" i="8"/>
  <c r="AN4" i="8"/>
  <c r="AN5" i="8" s="1"/>
  <c r="AN6" i="8" s="1"/>
  <c r="AM4" i="8"/>
  <c r="AM5" i="8" s="1"/>
  <c r="AM6" i="8" s="1"/>
  <c r="AM7" i="8" s="1"/>
  <c r="AM8" i="8" s="1"/>
  <c r="AM9" i="8" s="1"/>
  <c r="AM10" i="8" s="1"/>
  <c r="AM11" i="8" s="1"/>
  <c r="AM12" i="8" s="1"/>
  <c r="AM13" i="8" s="1"/>
  <c r="AL4" i="8"/>
  <c r="AL5" i="8" s="1"/>
  <c r="AL6" i="8" s="1"/>
  <c r="AL7" i="8" s="1"/>
  <c r="AL8" i="8" s="1"/>
  <c r="AK4" i="8"/>
  <c r="AK5" i="8" s="1"/>
  <c r="AK6" i="8" s="1"/>
  <c r="AK7" i="8" s="1"/>
  <c r="AK8" i="8" s="1"/>
  <c r="AK9" i="8" s="1"/>
  <c r="AK10" i="8" s="1"/>
  <c r="AK11" i="8" s="1"/>
  <c r="AK12" i="8" s="1"/>
  <c r="AK13" i="8" s="1"/>
  <c r="B1" i="8"/>
  <c r="D29" i="8" s="1"/>
  <c r="B31" i="6"/>
  <c r="F23" i="6"/>
  <c r="E23" i="6"/>
  <c r="F22" i="6"/>
  <c r="E22" i="6"/>
  <c r="F21" i="6"/>
  <c r="E21" i="6"/>
  <c r="F20" i="6"/>
  <c r="E20" i="6"/>
  <c r="F19" i="6"/>
  <c r="E19" i="6"/>
  <c r="F18" i="6"/>
  <c r="E18" i="6"/>
  <c r="F17" i="6"/>
  <c r="E17" i="6"/>
  <c r="F16" i="6"/>
  <c r="E16" i="6"/>
  <c r="F15" i="6"/>
  <c r="E15" i="6"/>
  <c r="F14" i="6"/>
  <c r="E14" i="6"/>
  <c r="F13" i="6"/>
  <c r="E13" i="6"/>
  <c r="F12" i="6"/>
  <c r="E12" i="6"/>
  <c r="F11" i="6"/>
  <c r="E11" i="6"/>
  <c r="F10" i="6"/>
  <c r="E10" i="6"/>
  <c r="F9" i="6"/>
  <c r="E9" i="6"/>
  <c r="D9" i="6"/>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F8" i="6"/>
  <c r="E8" i="6"/>
  <c r="F7" i="6"/>
  <c r="E7" i="6"/>
  <c r="F6" i="6"/>
  <c r="E6" i="6"/>
  <c r="F5" i="6"/>
  <c r="E5" i="6"/>
  <c r="F4" i="6"/>
  <c r="E4" i="6"/>
  <c r="D2" i="6"/>
  <c r="D5" i="6" s="1"/>
  <c r="D6" i="6" s="1"/>
  <c r="D7" i="6" s="1"/>
  <c r="D8" i="6" s="1"/>
  <c r="C2" i="6"/>
  <c r="C5" i="6" s="1"/>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B2" i="6"/>
  <c r="T33" i="5"/>
  <c r="T32" i="5"/>
  <c r="T31" i="5"/>
  <c r="T30" i="5"/>
  <c r="T29" i="5"/>
  <c r="T28" i="5"/>
  <c r="R28" i="5"/>
  <c r="R29" i="5" s="1"/>
  <c r="R30" i="5" s="1"/>
  <c r="R31" i="5" s="1"/>
  <c r="R32" i="5" s="1"/>
  <c r="R33" i="5" s="1"/>
  <c r="T27" i="5"/>
  <c r="T26" i="5"/>
  <c r="T25" i="5"/>
  <c r="T24" i="5"/>
  <c r="T23" i="5"/>
  <c r="T22" i="5"/>
  <c r="T21" i="5"/>
  <c r="T20" i="5"/>
  <c r="T19" i="5"/>
  <c r="T18" i="5"/>
  <c r="T17" i="5"/>
  <c r="T16" i="5"/>
  <c r="T15" i="5"/>
  <c r="T14" i="5"/>
  <c r="T13" i="5"/>
  <c r="T12" i="5"/>
  <c r="T11" i="5"/>
  <c r="T10" i="5"/>
  <c r="T9" i="5"/>
  <c r="T8" i="5"/>
  <c r="T7" i="5"/>
  <c r="M7" i="5"/>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E7" i="5"/>
  <c r="E8" i="5" s="1"/>
  <c r="E9" i="5" s="1"/>
  <c r="E10" i="5" s="1"/>
  <c r="E11" i="5" s="1"/>
  <c r="E12" i="5" s="1"/>
  <c r="E13" i="5" s="1"/>
  <c r="E14" i="5" s="1"/>
  <c r="E15" i="5" s="1"/>
  <c r="E16" i="5" s="1"/>
  <c r="E17" i="5" s="1"/>
  <c r="E18" i="5" s="1"/>
  <c r="E19" i="5" s="1"/>
  <c r="E20" i="5" s="1"/>
  <c r="E21" i="5" s="1"/>
  <c r="E22" i="5" s="1"/>
  <c r="E23" i="5" s="1"/>
  <c r="E24" i="5" s="1"/>
  <c r="E25" i="5" s="1"/>
  <c r="E26" i="5" s="1"/>
  <c r="E27" i="5" s="1"/>
  <c r="E28" i="5" s="1"/>
  <c r="E29" i="5" s="1"/>
  <c r="E30" i="5" s="1"/>
  <c r="E31" i="5" s="1"/>
  <c r="E32" i="5" s="1"/>
  <c r="E33" i="5" s="1"/>
  <c r="V6" i="5"/>
  <c r="V7" i="5" s="1"/>
  <c r="V8" i="5" s="1"/>
  <c r="V9" i="5" s="1"/>
  <c r="V10" i="5" s="1"/>
  <c r="V11" i="5" s="1"/>
  <c r="V12" i="5" s="1"/>
  <c r="V13" i="5" s="1"/>
  <c r="V14" i="5" s="1"/>
  <c r="V15" i="5" s="1"/>
  <c r="V16" i="5" s="1"/>
  <c r="V17" i="5" s="1"/>
  <c r="V18" i="5" s="1"/>
  <c r="V19" i="5" s="1"/>
  <c r="V20" i="5" s="1"/>
  <c r="V21" i="5" s="1"/>
  <c r="V22" i="5" s="1"/>
  <c r="V23" i="5" s="1"/>
  <c r="V24" i="5" s="1"/>
  <c r="V25" i="5" s="1"/>
  <c r="V26" i="5" s="1"/>
  <c r="V27" i="5" s="1"/>
  <c r="V28" i="5" s="1"/>
  <c r="V29" i="5" s="1"/>
  <c r="V30" i="5" s="1"/>
  <c r="V31" i="5" s="1"/>
  <c r="V32" i="5" s="1"/>
  <c r="V33" i="5" s="1"/>
  <c r="T6" i="5"/>
  <c r="S6" i="5"/>
  <c r="S7" i="5" s="1"/>
  <c r="S8" i="5" s="1"/>
  <c r="S9" i="5" s="1"/>
  <c r="S10" i="5" s="1"/>
  <c r="S11" i="5" s="1"/>
  <c r="S12" i="5" s="1"/>
  <c r="S13" i="5" s="1"/>
  <c r="S14" i="5" s="1"/>
  <c r="S15" i="5" s="1"/>
  <c r="S16" i="5" s="1"/>
  <c r="S17" i="5" s="1"/>
  <c r="S18" i="5" s="1"/>
  <c r="S19" i="5" s="1"/>
  <c r="S20" i="5" s="1"/>
  <c r="S21" i="5" s="1"/>
  <c r="S22" i="5" s="1"/>
  <c r="S23" i="5" s="1"/>
  <c r="S24" i="5" s="1"/>
  <c r="S25" i="5" s="1"/>
  <c r="S26" i="5" s="1"/>
  <c r="S27" i="5" s="1"/>
  <c r="S28" i="5" s="1"/>
  <c r="S29" i="5" s="1"/>
  <c r="S30" i="5" s="1"/>
  <c r="S31" i="5" s="1"/>
  <c r="S32" i="5" s="1"/>
  <c r="S33" i="5" s="1"/>
  <c r="O6" i="5"/>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M6" i="5"/>
  <c r="K6" i="5"/>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G6" i="5"/>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E6" i="5"/>
  <c r="C6" i="5"/>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V5" i="5"/>
  <c r="T5" i="5"/>
  <c r="S5" i="5"/>
  <c r="R5" i="5"/>
  <c r="R6" i="5" s="1"/>
  <c r="R7" i="5" s="1"/>
  <c r="R8" i="5" s="1"/>
  <c r="R9" i="5" s="1"/>
  <c r="R10" i="5" s="1"/>
  <c r="R11" i="5" s="1"/>
  <c r="R12" i="5" s="1"/>
  <c r="R13" i="5" s="1"/>
  <c r="R14" i="5" s="1"/>
  <c r="R15" i="5" s="1"/>
  <c r="R16" i="5" s="1"/>
  <c r="R17" i="5" s="1"/>
  <c r="R18" i="5" s="1"/>
  <c r="R19" i="5" s="1"/>
  <c r="R20" i="5" s="1"/>
  <c r="R21" i="5" s="1"/>
  <c r="R22" i="5" s="1"/>
  <c r="R23" i="5" s="1"/>
  <c r="R24" i="5" s="1"/>
  <c r="R25" i="5" s="1"/>
  <c r="R26" i="5" s="1"/>
  <c r="R27" i="5" s="1"/>
  <c r="Q5" i="5"/>
  <c r="Q6" i="5" s="1"/>
  <c r="Q7" i="5" s="1"/>
  <c r="Q8" i="5" s="1"/>
  <c r="Q9" i="5" s="1"/>
  <c r="Q10" i="5" s="1"/>
  <c r="Q11" i="5" s="1"/>
  <c r="Q12" i="5" s="1"/>
  <c r="Q13" i="5" s="1"/>
  <c r="Q14" i="5" s="1"/>
  <c r="Q15" i="5" s="1"/>
  <c r="Q16" i="5" s="1"/>
  <c r="Q17" i="5" s="1"/>
  <c r="Q18" i="5" s="1"/>
  <c r="Q19" i="5" s="1"/>
  <c r="Q20" i="5" s="1"/>
  <c r="Q21" i="5" s="1"/>
  <c r="Q22" i="5" s="1"/>
  <c r="Q23" i="5" s="1"/>
  <c r="Q24" i="5" s="1"/>
  <c r="Q25" i="5" s="1"/>
  <c r="Q26" i="5" s="1"/>
  <c r="Q27" i="5" s="1"/>
  <c r="Q28" i="5" s="1"/>
  <c r="Q29" i="5" s="1"/>
  <c r="Q30" i="5" s="1"/>
  <c r="Q31" i="5" s="1"/>
  <c r="Q32" i="5" s="1"/>
  <c r="Q33" i="5" s="1"/>
  <c r="P5" i="5"/>
  <c r="P6" i="5" s="1"/>
  <c r="P7" i="5" s="1"/>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O5" i="5"/>
  <c r="N5" i="5"/>
  <c r="N6" i="5" s="1"/>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M5" i="5"/>
  <c r="L5" i="5"/>
  <c r="L6" i="5" s="1"/>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K5" i="5"/>
  <c r="J5" i="5"/>
  <c r="J6" i="5" s="1"/>
  <c r="J7" i="5" s="1"/>
  <c r="J8" i="5" s="1"/>
  <c r="J9" i="5" s="1"/>
  <c r="J10" i="5" s="1"/>
  <c r="J11" i="5" s="1"/>
  <c r="J12" i="5" s="1"/>
  <c r="J13" i="5" s="1"/>
  <c r="J14" i="5" s="1"/>
  <c r="J15" i="5" s="1"/>
  <c r="J16" i="5" s="1"/>
  <c r="J17" i="5" s="1"/>
  <c r="J18" i="5" s="1"/>
  <c r="J19" i="5" s="1"/>
  <c r="J20" i="5" s="1"/>
  <c r="J21" i="5" s="1"/>
  <c r="J22" i="5" s="1"/>
  <c r="J23" i="5" s="1"/>
  <c r="J24" i="5" s="1"/>
  <c r="J25" i="5" s="1"/>
  <c r="J26" i="5" s="1"/>
  <c r="J27" i="5" s="1"/>
  <c r="J28" i="5" s="1"/>
  <c r="J29" i="5" s="1"/>
  <c r="J30" i="5" s="1"/>
  <c r="J31" i="5" s="1"/>
  <c r="J32" i="5" s="1"/>
  <c r="J33" i="5" s="1"/>
  <c r="I5" i="5"/>
  <c r="I6" i="5" s="1"/>
  <c r="I7" i="5" s="1"/>
  <c r="I8" i="5" s="1"/>
  <c r="I9" i="5" s="1"/>
  <c r="I10" i="5" s="1"/>
  <c r="I11" i="5" s="1"/>
  <c r="I12" i="5" s="1"/>
  <c r="I13" i="5" s="1"/>
  <c r="I14" i="5" s="1"/>
  <c r="I15" i="5" s="1"/>
  <c r="I16" i="5" s="1"/>
  <c r="I17" i="5" s="1"/>
  <c r="I18" i="5" s="1"/>
  <c r="I19" i="5" s="1"/>
  <c r="I20" i="5" s="1"/>
  <c r="I21" i="5" s="1"/>
  <c r="I22" i="5" s="1"/>
  <c r="I23" i="5" s="1"/>
  <c r="I24" i="5" s="1"/>
  <c r="I25" i="5" s="1"/>
  <c r="I26" i="5" s="1"/>
  <c r="I27" i="5" s="1"/>
  <c r="I28" i="5" s="1"/>
  <c r="I29" i="5" s="1"/>
  <c r="I30" i="5" s="1"/>
  <c r="I31" i="5" s="1"/>
  <c r="I32" i="5" s="1"/>
  <c r="I33" i="5" s="1"/>
  <c r="H5" i="5"/>
  <c r="H6" i="5" s="1"/>
  <c r="H7" i="5" s="1"/>
  <c r="H8" i="5" s="1"/>
  <c r="H9" i="5" s="1"/>
  <c r="H10" i="5" s="1"/>
  <c r="H11" i="5" s="1"/>
  <c r="H12" i="5" s="1"/>
  <c r="H13" i="5" s="1"/>
  <c r="H14" i="5" s="1"/>
  <c r="H15" i="5" s="1"/>
  <c r="H16" i="5" s="1"/>
  <c r="H17" i="5" s="1"/>
  <c r="H18" i="5" s="1"/>
  <c r="H19" i="5" s="1"/>
  <c r="H20" i="5" s="1"/>
  <c r="H21" i="5" s="1"/>
  <c r="H22" i="5" s="1"/>
  <c r="H23" i="5" s="1"/>
  <c r="H24" i="5" s="1"/>
  <c r="H25" i="5" s="1"/>
  <c r="H26" i="5" s="1"/>
  <c r="H27" i="5" s="1"/>
  <c r="H28" i="5" s="1"/>
  <c r="H29" i="5" s="1"/>
  <c r="H30" i="5" s="1"/>
  <c r="H31" i="5" s="1"/>
  <c r="H32" i="5" s="1"/>
  <c r="H33" i="5" s="1"/>
  <c r="G5" i="5"/>
  <c r="F5" i="5"/>
  <c r="F6" i="5" s="1"/>
  <c r="F7" i="5" s="1"/>
  <c r="F8" i="5" s="1"/>
  <c r="F9" i="5" s="1"/>
  <c r="F10" i="5" s="1"/>
  <c r="F11" i="5" s="1"/>
  <c r="F12" i="5" s="1"/>
  <c r="F13" i="5" s="1"/>
  <c r="F14" i="5" s="1"/>
  <c r="F15" i="5" s="1"/>
  <c r="F16" i="5" s="1"/>
  <c r="F17" i="5" s="1"/>
  <c r="F18" i="5" s="1"/>
  <c r="F19" i="5" s="1"/>
  <c r="F20" i="5" s="1"/>
  <c r="F21" i="5" s="1"/>
  <c r="F22" i="5" s="1"/>
  <c r="F23" i="5" s="1"/>
  <c r="F24" i="5" s="1"/>
  <c r="F25" i="5" s="1"/>
  <c r="F26" i="5" s="1"/>
  <c r="F27" i="5" s="1"/>
  <c r="F28" i="5" s="1"/>
  <c r="F29" i="5" s="1"/>
  <c r="F30" i="5" s="1"/>
  <c r="F31" i="5" s="1"/>
  <c r="F32" i="5" s="1"/>
  <c r="F33" i="5" s="1"/>
  <c r="E5" i="5"/>
  <c r="D5" i="5"/>
  <c r="D6" i="5" s="1"/>
  <c r="D7" i="5" s="1"/>
  <c r="D8" i="5" s="1"/>
  <c r="D9" i="5" s="1"/>
  <c r="D10" i="5" s="1"/>
  <c r="D11" i="5" s="1"/>
  <c r="D12" i="5" s="1"/>
  <c r="D13" i="5" s="1"/>
  <c r="D14" i="5" s="1"/>
  <c r="D15" i="5" s="1"/>
  <c r="D16" i="5" s="1"/>
  <c r="D17" i="5" s="1"/>
  <c r="D18" i="5" s="1"/>
  <c r="D19" i="5" s="1"/>
  <c r="D20" i="5" s="1"/>
  <c r="D21" i="5" s="1"/>
  <c r="D22" i="5" s="1"/>
  <c r="D23" i="5" s="1"/>
  <c r="D24" i="5" s="1"/>
  <c r="D25" i="5" s="1"/>
  <c r="D26" i="5" s="1"/>
  <c r="D27" i="5" s="1"/>
  <c r="D28" i="5" s="1"/>
  <c r="D29" i="5" s="1"/>
  <c r="D30" i="5" s="1"/>
  <c r="D31" i="5" s="1"/>
  <c r="D32" i="5" s="1"/>
  <c r="D33" i="5" s="1"/>
  <c r="C5" i="5"/>
  <c r="B5" i="5"/>
  <c r="B6" i="5" s="1"/>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T32" i="3"/>
  <c r="T31" i="3"/>
  <c r="T30" i="3"/>
  <c r="T29" i="3"/>
  <c r="T28" i="3"/>
  <c r="T27" i="3"/>
  <c r="T26" i="3"/>
  <c r="T25" i="3"/>
  <c r="T24" i="3"/>
  <c r="T23" i="3"/>
  <c r="T22" i="3"/>
  <c r="T21" i="3"/>
  <c r="T20" i="3"/>
  <c r="T19" i="3"/>
  <c r="T18" i="3"/>
  <c r="T17" i="3"/>
  <c r="T16" i="3"/>
  <c r="T15" i="3"/>
  <c r="T14" i="3"/>
  <c r="T13" i="3"/>
  <c r="T12" i="3"/>
  <c r="T11" i="3"/>
  <c r="T10" i="3"/>
  <c r="T9" i="3"/>
  <c r="T8" i="3"/>
  <c r="E8" i="3"/>
  <c r="E9" i="3" s="1"/>
  <c r="E10" i="3" s="1"/>
  <c r="E11" i="3" s="1"/>
  <c r="E12" i="3" s="1"/>
  <c r="E13" i="3" s="1"/>
  <c r="E14" i="3" s="1"/>
  <c r="E15" i="3" s="1"/>
  <c r="E16" i="3" s="1"/>
  <c r="E17" i="3" s="1"/>
  <c r="E18" i="3" s="1"/>
  <c r="E19" i="3" s="1"/>
  <c r="E20" i="3" s="1"/>
  <c r="E21" i="3" s="1"/>
  <c r="E22" i="3" s="1"/>
  <c r="E23" i="3" s="1"/>
  <c r="E24" i="3" s="1"/>
  <c r="E25" i="3" s="1"/>
  <c r="E26" i="3" s="1"/>
  <c r="E27" i="3" s="1"/>
  <c r="E28" i="3" s="1"/>
  <c r="E29" i="3" s="1"/>
  <c r="E30" i="3" s="1"/>
  <c r="E31" i="3" s="1"/>
  <c r="E32" i="3" s="1"/>
  <c r="T7" i="3"/>
  <c r="G7" i="3"/>
  <c r="G8" i="3" s="1"/>
  <c r="G9" i="3" s="1"/>
  <c r="G10" i="3" s="1"/>
  <c r="G11" i="3" s="1"/>
  <c r="G12" i="3" s="1"/>
  <c r="G13" i="3" s="1"/>
  <c r="G14" i="3" s="1"/>
  <c r="G15" i="3" s="1"/>
  <c r="G16" i="3" s="1"/>
  <c r="G17" i="3" s="1"/>
  <c r="G18" i="3" s="1"/>
  <c r="G19" i="3" s="1"/>
  <c r="G20" i="3" s="1"/>
  <c r="G21" i="3" s="1"/>
  <c r="G22" i="3" s="1"/>
  <c r="G23" i="3" s="1"/>
  <c r="G24" i="3" s="1"/>
  <c r="G25" i="3" s="1"/>
  <c r="G26" i="3" s="1"/>
  <c r="G27" i="3" s="1"/>
  <c r="G28" i="3" s="1"/>
  <c r="G29" i="3" s="1"/>
  <c r="G30" i="3" s="1"/>
  <c r="G31" i="3" s="1"/>
  <c r="G32" i="3" s="1"/>
  <c r="T6" i="3"/>
  <c r="M6" i="3"/>
  <c r="M7" i="3" s="1"/>
  <c r="M8" i="3" s="1"/>
  <c r="M9" i="3" s="1"/>
  <c r="M10" i="3" s="1"/>
  <c r="M11" i="3" s="1"/>
  <c r="M12" i="3" s="1"/>
  <c r="M13" i="3" s="1"/>
  <c r="M14" i="3" s="1"/>
  <c r="M15" i="3" s="1"/>
  <c r="M16" i="3" s="1"/>
  <c r="M17" i="3" s="1"/>
  <c r="M18" i="3" s="1"/>
  <c r="M19" i="3" s="1"/>
  <c r="M20" i="3" s="1"/>
  <c r="M21" i="3" s="1"/>
  <c r="M22" i="3" s="1"/>
  <c r="M23" i="3" s="1"/>
  <c r="M24" i="3" s="1"/>
  <c r="M25" i="3" s="1"/>
  <c r="M26" i="3" s="1"/>
  <c r="M27" i="3" s="1"/>
  <c r="M28" i="3" s="1"/>
  <c r="M29" i="3" s="1"/>
  <c r="M30" i="3" s="1"/>
  <c r="M31" i="3" s="1"/>
  <c r="M32" i="3" s="1"/>
  <c r="E6" i="3"/>
  <c r="E7" i="3" s="1"/>
  <c r="V5" i="3"/>
  <c r="V6" i="3" s="1"/>
  <c r="V7" i="3" s="1"/>
  <c r="V8" i="3" s="1"/>
  <c r="V9" i="3" s="1"/>
  <c r="V10" i="3" s="1"/>
  <c r="V11" i="3" s="1"/>
  <c r="V12" i="3" s="1"/>
  <c r="V13" i="3" s="1"/>
  <c r="V14" i="3" s="1"/>
  <c r="V15" i="3" s="1"/>
  <c r="V16" i="3" s="1"/>
  <c r="V17" i="3" s="1"/>
  <c r="V18" i="3" s="1"/>
  <c r="V19" i="3" s="1"/>
  <c r="V20" i="3" s="1"/>
  <c r="V21" i="3" s="1"/>
  <c r="V22" i="3" s="1"/>
  <c r="V23" i="3" s="1"/>
  <c r="V24" i="3" s="1"/>
  <c r="V25" i="3" s="1"/>
  <c r="V26" i="3" s="1"/>
  <c r="V27" i="3" s="1"/>
  <c r="V28" i="3" s="1"/>
  <c r="V29" i="3" s="1"/>
  <c r="V30" i="3" s="1"/>
  <c r="V31" i="3" s="1"/>
  <c r="V32" i="3" s="1"/>
  <c r="T5" i="3"/>
  <c r="S5" i="3"/>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O5" i="3"/>
  <c r="O6" i="3" s="1"/>
  <c r="O7" i="3" s="1"/>
  <c r="O8" i="3" s="1"/>
  <c r="O9" i="3" s="1"/>
  <c r="O10" i="3" s="1"/>
  <c r="O11" i="3" s="1"/>
  <c r="O12" i="3" s="1"/>
  <c r="O13" i="3" s="1"/>
  <c r="O14" i="3" s="1"/>
  <c r="O15" i="3" s="1"/>
  <c r="O16" i="3" s="1"/>
  <c r="O17" i="3" s="1"/>
  <c r="O18" i="3" s="1"/>
  <c r="O19" i="3" s="1"/>
  <c r="O20" i="3" s="1"/>
  <c r="O21" i="3" s="1"/>
  <c r="O22" i="3" s="1"/>
  <c r="O23" i="3" s="1"/>
  <c r="O24" i="3" s="1"/>
  <c r="O25" i="3" s="1"/>
  <c r="O26" i="3" s="1"/>
  <c r="O27" i="3" s="1"/>
  <c r="O28" i="3" s="1"/>
  <c r="O29" i="3" s="1"/>
  <c r="O30" i="3" s="1"/>
  <c r="O31" i="3" s="1"/>
  <c r="O32" i="3" s="1"/>
  <c r="M5" i="3"/>
  <c r="K5" i="3"/>
  <c r="K6" i="3" s="1"/>
  <c r="K7" i="3" s="1"/>
  <c r="K8" i="3" s="1"/>
  <c r="K9" i="3" s="1"/>
  <c r="K10" i="3" s="1"/>
  <c r="K11" i="3" s="1"/>
  <c r="K12" i="3" s="1"/>
  <c r="K13" i="3" s="1"/>
  <c r="K14" i="3" s="1"/>
  <c r="K15" i="3" s="1"/>
  <c r="K16" i="3" s="1"/>
  <c r="K17" i="3" s="1"/>
  <c r="K18" i="3" s="1"/>
  <c r="K19" i="3" s="1"/>
  <c r="K20" i="3" s="1"/>
  <c r="K21" i="3" s="1"/>
  <c r="K22" i="3" s="1"/>
  <c r="K23" i="3" s="1"/>
  <c r="K24" i="3" s="1"/>
  <c r="K25" i="3" s="1"/>
  <c r="K26" i="3" s="1"/>
  <c r="K27" i="3" s="1"/>
  <c r="K28" i="3" s="1"/>
  <c r="K29" i="3" s="1"/>
  <c r="K30" i="3" s="1"/>
  <c r="K31" i="3" s="1"/>
  <c r="K32" i="3" s="1"/>
  <c r="G5" i="3"/>
  <c r="G6" i="3" s="1"/>
  <c r="E5" i="3"/>
  <c r="C5" i="3"/>
  <c r="C6" i="3" s="1"/>
  <c r="C7" i="3" s="1"/>
  <c r="C8" i="3" s="1"/>
  <c r="C9" i="3" s="1"/>
  <c r="C10" i="3" s="1"/>
  <c r="C11" i="3" s="1"/>
  <c r="C12" i="3" s="1"/>
  <c r="C13" i="3" s="1"/>
  <c r="C14" i="3" s="1"/>
  <c r="C15" i="3" s="1"/>
  <c r="C16" i="3" s="1"/>
  <c r="C17" i="3" s="1"/>
  <c r="C18" i="3" s="1"/>
  <c r="C19" i="3" s="1"/>
  <c r="C20" i="3" s="1"/>
  <c r="C21" i="3" s="1"/>
  <c r="C22" i="3" s="1"/>
  <c r="C23" i="3" s="1"/>
  <c r="C24" i="3" s="1"/>
  <c r="C25" i="3" s="1"/>
  <c r="C26" i="3" s="1"/>
  <c r="C27" i="3" s="1"/>
  <c r="C28" i="3" s="1"/>
  <c r="C29" i="3" s="1"/>
  <c r="C30" i="3" s="1"/>
  <c r="C31" i="3" s="1"/>
  <c r="C32" i="3" s="1"/>
  <c r="V4" i="3"/>
  <c r="T4" i="3"/>
  <c r="S4" i="3"/>
  <c r="R4" i="3"/>
  <c r="R5" i="3" s="1"/>
  <c r="R6" i="3" s="1"/>
  <c r="R7" i="3" s="1"/>
  <c r="R8" i="3" s="1"/>
  <c r="R9" i="3" s="1"/>
  <c r="R10" i="3" s="1"/>
  <c r="R11" i="3" s="1"/>
  <c r="R12" i="3" s="1"/>
  <c r="R13" i="3" s="1"/>
  <c r="R14" i="3" s="1"/>
  <c r="R15" i="3" s="1"/>
  <c r="R16" i="3" s="1"/>
  <c r="R17" i="3" s="1"/>
  <c r="R18" i="3" s="1"/>
  <c r="R19" i="3" s="1"/>
  <c r="R20" i="3" s="1"/>
  <c r="R21" i="3" s="1"/>
  <c r="R22" i="3" s="1"/>
  <c r="R23" i="3" s="1"/>
  <c r="R24" i="3" s="1"/>
  <c r="R25" i="3" s="1"/>
  <c r="R26" i="3" s="1"/>
  <c r="R27" i="3" s="1"/>
  <c r="R28" i="3" s="1"/>
  <c r="R29" i="3" s="1"/>
  <c r="R30" i="3" s="1"/>
  <c r="R31" i="3" s="1"/>
  <c r="R32" i="3" s="1"/>
  <c r="Q4" i="3"/>
  <c r="Q5" i="3" s="1"/>
  <c r="Q6" i="3" s="1"/>
  <c r="Q7" i="3" s="1"/>
  <c r="Q8" i="3" s="1"/>
  <c r="Q9" i="3" s="1"/>
  <c r="Q10" i="3" s="1"/>
  <c r="Q11" i="3" s="1"/>
  <c r="Q12" i="3" s="1"/>
  <c r="Q13" i="3" s="1"/>
  <c r="Q14" i="3" s="1"/>
  <c r="Q15" i="3" s="1"/>
  <c r="Q16" i="3" s="1"/>
  <c r="Q17" i="3" s="1"/>
  <c r="Q18" i="3" s="1"/>
  <c r="Q19" i="3" s="1"/>
  <c r="Q20" i="3" s="1"/>
  <c r="Q21" i="3" s="1"/>
  <c r="Q22" i="3" s="1"/>
  <c r="Q23" i="3" s="1"/>
  <c r="Q24" i="3" s="1"/>
  <c r="Q25" i="3" s="1"/>
  <c r="Q26" i="3" s="1"/>
  <c r="Q27" i="3" s="1"/>
  <c r="Q28" i="3" s="1"/>
  <c r="Q29" i="3" s="1"/>
  <c r="Q30" i="3" s="1"/>
  <c r="Q31" i="3" s="1"/>
  <c r="Q32" i="3" s="1"/>
  <c r="P4" i="3"/>
  <c r="P5" i="3" s="1"/>
  <c r="P6" i="3" s="1"/>
  <c r="P7" i="3" s="1"/>
  <c r="P8" i="3" s="1"/>
  <c r="P9" i="3" s="1"/>
  <c r="P10" i="3" s="1"/>
  <c r="P11" i="3" s="1"/>
  <c r="P12" i="3" s="1"/>
  <c r="P13" i="3" s="1"/>
  <c r="P14" i="3" s="1"/>
  <c r="P15" i="3" s="1"/>
  <c r="P16" i="3" s="1"/>
  <c r="P17" i="3" s="1"/>
  <c r="P18" i="3" s="1"/>
  <c r="P19" i="3" s="1"/>
  <c r="P20" i="3" s="1"/>
  <c r="P21" i="3" s="1"/>
  <c r="P22" i="3" s="1"/>
  <c r="P23" i="3" s="1"/>
  <c r="P24" i="3" s="1"/>
  <c r="P25" i="3" s="1"/>
  <c r="P26" i="3" s="1"/>
  <c r="P27" i="3" s="1"/>
  <c r="P28" i="3" s="1"/>
  <c r="P29" i="3" s="1"/>
  <c r="P30" i="3" s="1"/>
  <c r="P31" i="3" s="1"/>
  <c r="P32" i="3" s="1"/>
  <c r="O4" i="3"/>
  <c r="N4" i="3"/>
  <c r="N5" i="3" s="1"/>
  <c r="N6" i="3" s="1"/>
  <c r="N7" i="3" s="1"/>
  <c r="N8" i="3" s="1"/>
  <c r="N9" i="3" s="1"/>
  <c r="N10" i="3" s="1"/>
  <c r="N11" i="3" s="1"/>
  <c r="N12" i="3" s="1"/>
  <c r="N13" i="3" s="1"/>
  <c r="N14" i="3" s="1"/>
  <c r="N15" i="3" s="1"/>
  <c r="N16" i="3" s="1"/>
  <c r="N17" i="3" s="1"/>
  <c r="N18" i="3" s="1"/>
  <c r="N19" i="3" s="1"/>
  <c r="N20" i="3" s="1"/>
  <c r="N21" i="3" s="1"/>
  <c r="N22" i="3" s="1"/>
  <c r="N23" i="3" s="1"/>
  <c r="N24" i="3" s="1"/>
  <c r="N25" i="3" s="1"/>
  <c r="N26" i="3" s="1"/>
  <c r="N27" i="3" s="1"/>
  <c r="N28" i="3" s="1"/>
  <c r="N29" i="3" s="1"/>
  <c r="N30" i="3" s="1"/>
  <c r="N31" i="3" s="1"/>
  <c r="N32" i="3" s="1"/>
  <c r="M4" i="3"/>
  <c r="L4" i="3"/>
  <c r="L5" i="3" s="1"/>
  <c r="L6" i="3" s="1"/>
  <c r="L7" i="3" s="1"/>
  <c r="L8" i="3" s="1"/>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K4" i="3"/>
  <c r="J4" i="3"/>
  <c r="J5" i="3" s="1"/>
  <c r="J6" i="3" s="1"/>
  <c r="J7" i="3" s="1"/>
  <c r="J8" i="3" s="1"/>
  <c r="J9" i="3" s="1"/>
  <c r="J10" i="3" s="1"/>
  <c r="J11" i="3" s="1"/>
  <c r="J12" i="3" s="1"/>
  <c r="J13" i="3" s="1"/>
  <c r="J14" i="3" s="1"/>
  <c r="J15" i="3" s="1"/>
  <c r="J16" i="3" s="1"/>
  <c r="J17" i="3" s="1"/>
  <c r="J18" i="3" s="1"/>
  <c r="J19" i="3" s="1"/>
  <c r="J20" i="3" s="1"/>
  <c r="J21" i="3" s="1"/>
  <c r="J22" i="3" s="1"/>
  <c r="J23" i="3" s="1"/>
  <c r="J24" i="3" s="1"/>
  <c r="J25" i="3" s="1"/>
  <c r="J26" i="3" s="1"/>
  <c r="J27" i="3" s="1"/>
  <c r="J28" i="3" s="1"/>
  <c r="J29" i="3" s="1"/>
  <c r="J30" i="3" s="1"/>
  <c r="J31" i="3" s="1"/>
  <c r="J32" i="3" s="1"/>
  <c r="I4" i="3"/>
  <c r="I5" i="3" s="1"/>
  <c r="I6" i="3" s="1"/>
  <c r="I7" i="3" s="1"/>
  <c r="I8" i="3" s="1"/>
  <c r="I9" i="3" s="1"/>
  <c r="I10" i="3" s="1"/>
  <c r="I11" i="3" s="1"/>
  <c r="I12" i="3" s="1"/>
  <c r="I13" i="3" s="1"/>
  <c r="I14" i="3" s="1"/>
  <c r="I15" i="3" s="1"/>
  <c r="I16" i="3" s="1"/>
  <c r="I17" i="3" s="1"/>
  <c r="I18" i="3" s="1"/>
  <c r="I19" i="3" s="1"/>
  <c r="I20" i="3" s="1"/>
  <c r="I21" i="3" s="1"/>
  <c r="I22" i="3" s="1"/>
  <c r="I23" i="3" s="1"/>
  <c r="I24" i="3" s="1"/>
  <c r="I25" i="3" s="1"/>
  <c r="I26" i="3" s="1"/>
  <c r="I27" i="3" s="1"/>
  <c r="I28" i="3" s="1"/>
  <c r="I29" i="3" s="1"/>
  <c r="I30" i="3" s="1"/>
  <c r="I31" i="3" s="1"/>
  <c r="I32" i="3" s="1"/>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G4" i="3"/>
  <c r="F4" i="3"/>
  <c r="F5" i="3" s="1"/>
  <c r="F6" i="3" s="1"/>
  <c r="F7" i="3" s="1"/>
  <c r="F8" i="3" s="1"/>
  <c r="F9" i="3" s="1"/>
  <c r="F10" i="3" s="1"/>
  <c r="F11" i="3" s="1"/>
  <c r="F12" i="3" s="1"/>
  <c r="F13" i="3" s="1"/>
  <c r="F14" i="3" s="1"/>
  <c r="F15" i="3" s="1"/>
  <c r="F16" i="3" s="1"/>
  <c r="F17" i="3" s="1"/>
  <c r="F18" i="3" s="1"/>
  <c r="F19" i="3" s="1"/>
  <c r="F20" i="3" s="1"/>
  <c r="F21" i="3" s="1"/>
  <c r="F22" i="3" s="1"/>
  <c r="F23" i="3" s="1"/>
  <c r="F24" i="3" s="1"/>
  <c r="F25" i="3" s="1"/>
  <c r="F26" i="3" s="1"/>
  <c r="F27" i="3" s="1"/>
  <c r="F28" i="3" s="1"/>
  <c r="F29" i="3" s="1"/>
  <c r="F30" i="3" s="1"/>
  <c r="F31" i="3" s="1"/>
  <c r="F32" i="3" s="1"/>
  <c r="E4" i="3"/>
  <c r="D4" i="3"/>
  <c r="D5" i="3" s="1"/>
  <c r="D6" i="3" s="1"/>
  <c r="D7" i="3" s="1"/>
  <c r="D8" i="3" s="1"/>
  <c r="D9" i="3" s="1"/>
  <c r="D10" i="3" s="1"/>
  <c r="D11" i="3" s="1"/>
  <c r="D12" i="3" s="1"/>
  <c r="D13" i="3" s="1"/>
  <c r="D14" i="3" s="1"/>
  <c r="D15" i="3" s="1"/>
  <c r="D16" i="3" s="1"/>
  <c r="D17" i="3" s="1"/>
  <c r="D18" i="3" s="1"/>
  <c r="D19" i="3" s="1"/>
  <c r="D20" i="3" s="1"/>
  <c r="D21" i="3" s="1"/>
  <c r="D22" i="3" s="1"/>
  <c r="D23" i="3" s="1"/>
  <c r="D24" i="3" s="1"/>
  <c r="D25" i="3" s="1"/>
  <c r="D26" i="3" s="1"/>
  <c r="D27" i="3" s="1"/>
  <c r="D28" i="3" s="1"/>
  <c r="D29" i="3" s="1"/>
  <c r="D30" i="3" s="1"/>
  <c r="D31" i="3" s="1"/>
  <c r="D32" i="3" s="1"/>
  <c r="C4" i="3"/>
  <c r="B4" i="3"/>
  <c r="B5" i="3" s="1"/>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T3" i="3"/>
  <c r="U1" i="3"/>
  <c r="T32" i="4"/>
  <c r="T31" i="4"/>
  <c r="T30" i="4"/>
  <c r="T29" i="4"/>
  <c r="T28" i="4"/>
  <c r="T27" i="4"/>
  <c r="T26" i="4"/>
  <c r="T25" i="4"/>
  <c r="T24" i="4"/>
  <c r="T23" i="4"/>
  <c r="T22" i="4"/>
  <c r="T21" i="4"/>
  <c r="T20" i="4"/>
  <c r="T19" i="4"/>
  <c r="T18" i="4"/>
  <c r="T17" i="4"/>
  <c r="T16" i="4"/>
  <c r="T15" i="4"/>
  <c r="T14" i="4"/>
  <c r="T13" i="4"/>
  <c r="T12" i="4"/>
  <c r="T11" i="4"/>
  <c r="T10" i="4"/>
  <c r="T9" i="4"/>
  <c r="E9" i="4"/>
  <c r="E10" i="4" s="1"/>
  <c r="E11" i="4" s="1"/>
  <c r="E12" i="4" s="1"/>
  <c r="E13" i="4" s="1"/>
  <c r="E14" i="4" s="1"/>
  <c r="E15" i="4" s="1"/>
  <c r="E16" i="4" s="1"/>
  <c r="E17" i="4" s="1"/>
  <c r="E18" i="4" s="1"/>
  <c r="E19" i="4" s="1"/>
  <c r="E20" i="4" s="1"/>
  <c r="E21" i="4" s="1"/>
  <c r="E22" i="4" s="1"/>
  <c r="E23" i="4" s="1"/>
  <c r="E24" i="4" s="1"/>
  <c r="E25" i="4" s="1"/>
  <c r="E26" i="4" s="1"/>
  <c r="E27" i="4" s="1"/>
  <c r="E28" i="4" s="1"/>
  <c r="E29" i="4" s="1"/>
  <c r="E30" i="4" s="1"/>
  <c r="E31" i="4" s="1"/>
  <c r="E32" i="4" s="1"/>
  <c r="T8" i="4"/>
  <c r="O8" i="4"/>
  <c r="O9" i="4" s="1"/>
  <c r="O10" i="4" s="1"/>
  <c r="O11" i="4" s="1"/>
  <c r="O12" i="4" s="1"/>
  <c r="O13" i="4" s="1"/>
  <c r="O14" i="4" s="1"/>
  <c r="O15" i="4" s="1"/>
  <c r="O16" i="4" s="1"/>
  <c r="O17" i="4" s="1"/>
  <c r="O18" i="4" s="1"/>
  <c r="O19" i="4" s="1"/>
  <c r="O20" i="4" s="1"/>
  <c r="O21" i="4" s="1"/>
  <c r="O22" i="4" s="1"/>
  <c r="O23" i="4" s="1"/>
  <c r="O24" i="4" s="1"/>
  <c r="O25" i="4" s="1"/>
  <c r="O26" i="4" s="1"/>
  <c r="O27" i="4" s="1"/>
  <c r="O28" i="4" s="1"/>
  <c r="O29" i="4" s="1"/>
  <c r="O30" i="4" s="1"/>
  <c r="O31" i="4" s="1"/>
  <c r="O32" i="4" s="1"/>
  <c r="T7" i="4"/>
  <c r="P7" i="4"/>
  <c r="P8" i="4" s="1"/>
  <c r="P9" i="4" s="1"/>
  <c r="P10" i="4" s="1"/>
  <c r="P11" i="4" s="1"/>
  <c r="P12" i="4" s="1"/>
  <c r="P13" i="4" s="1"/>
  <c r="P14" i="4" s="1"/>
  <c r="P15" i="4" s="1"/>
  <c r="P16" i="4" s="1"/>
  <c r="P17" i="4" s="1"/>
  <c r="P18" i="4" s="1"/>
  <c r="P19" i="4" s="1"/>
  <c r="P20" i="4" s="1"/>
  <c r="P21" i="4" s="1"/>
  <c r="P22" i="4" s="1"/>
  <c r="P23" i="4" s="1"/>
  <c r="P24" i="4" s="1"/>
  <c r="P25" i="4" s="1"/>
  <c r="P26" i="4" s="1"/>
  <c r="P27" i="4" s="1"/>
  <c r="P28" i="4" s="1"/>
  <c r="P29" i="4" s="1"/>
  <c r="P30" i="4" s="1"/>
  <c r="P31" i="4" s="1"/>
  <c r="P32" i="4" s="1"/>
  <c r="E7" i="4"/>
  <c r="E8" i="4" s="1"/>
  <c r="T6" i="4"/>
  <c r="O6" i="4"/>
  <c r="O7" i="4" s="1"/>
  <c r="V5" i="4"/>
  <c r="V6" i="4" s="1"/>
  <c r="V7" i="4" s="1"/>
  <c r="V8" i="4" s="1"/>
  <c r="V9" i="4" s="1"/>
  <c r="V10" i="4" s="1"/>
  <c r="V11" i="4" s="1"/>
  <c r="V12" i="4" s="1"/>
  <c r="V13" i="4" s="1"/>
  <c r="V14" i="4" s="1"/>
  <c r="V15" i="4" s="1"/>
  <c r="V16" i="4" s="1"/>
  <c r="V17" i="4" s="1"/>
  <c r="V18" i="4" s="1"/>
  <c r="V19" i="4" s="1"/>
  <c r="V20" i="4" s="1"/>
  <c r="V21" i="4" s="1"/>
  <c r="V22" i="4" s="1"/>
  <c r="V23" i="4" s="1"/>
  <c r="V24" i="4" s="1"/>
  <c r="V25" i="4" s="1"/>
  <c r="V26" i="4" s="1"/>
  <c r="V27" i="4" s="1"/>
  <c r="V28" i="4" s="1"/>
  <c r="V29" i="4" s="1"/>
  <c r="V30" i="4" s="1"/>
  <c r="V31" i="4" s="1"/>
  <c r="V32" i="4" s="1"/>
  <c r="T5" i="4"/>
  <c r="P5" i="4"/>
  <c r="P6" i="4" s="1"/>
  <c r="K5" i="4"/>
  <c r="K6" i="4" s="1"/>
  <c r="K7" i="4" s="1"/>
  <c r="K8" i="4" s="1"/>
  <c r="K9" i="4" s="1"/>
  <c r="K10" i="4" s="1"/>
  <c r="K11" i="4" s="1"/>
  <c r="K12" i="4" s="1"/>
  <c r="K13" i="4" s="1"/>
  <c r="K14" i="4" s="1"/>
  <c r="K15" i="4" s="1"/>
  <c r="K16" i="4" s="1"/>
  <c r="K17" i="4" s="1"/>
  <c r="K18" i="4" s="1"/>
  <c r="K19" i="4" s="1"/>
  <c r="K20" i="4" s="1"/>
  <c r="K21" i="4" s="1"/>
  <c r="K22" i="4" s="1"/>
  <c r="K23" i="4" s="1"/>
  <c r="K24" i="4" s="1"/>
  <c r="K25" i="4" s="1"/>
  <c r="K26" i="4" s="1"/>
  <c r="K27" i="4" s="1"/>
  <c r="K28" i="4" s="1"/>
  <c r="K29" i="4" s="1"/>
  <c r="K30" i="4" s="1"/>
  <c r="K31" i="4" s="1"/>
  <c r="K32" i="4" s="1"/>
  <c r="G5" i="4"/>
  <c r="G6" i="4" s="1"/>
  <c r="G7" i="4" s="1"/>
  <c r="G8" i="4" s="1"/>
  <c r="G9" i="4" s="1"/>
  <c r="G10" i="4" s="1"/>
  <c r="G11" i="4" s="1"/>
  <c r="G12" i="4" s="1"/>
  <c r="G13" i="4" s="1"/>
  <c r="G14" i="4" s="1"/>
  <c r="G15" i="4" s="1"/>
  <c r="G16" i="4" s="1"/>
  <c r="G17" i="4" s="1"/>
  <c r="G18" i="4" s="1"/>
  <c r="G19" i="4" s="1"/>
  <c r="G20" i="4" s="1"/>
  <c r="G21" i="4" s="1"/>
  <c r="G22" i="4" s="1"/>
  <c r="G23" i="4" s="1"/>
  <c r="G24" i="4" s="1"/>
  <c r="G25" i="4" s="1"/>
  <c r="G26" i="4" s="1"/>
  <c r="G27" i="4" s="1"/>
  <c r="G28" i="4" s="1"/>
  <c r="G29" i="4" s="1"/>
  <c r="G30" i="4" s="1"/>
  <c r="G31" i="4" s="1"/>
  <c r="G32" i="4" s="1"/>
  <c r="C5" i="4"/>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V4" i="4"/>
  <c r="T4" i="4"/>
  <c r="S4" i="4"/>
  <c r="S5" i="4" s="1"/>
  <c r="S6" i="4" s="1"/>
  <c r="S7" i="4" s="1"/>
  <c r="S8" i="4" s="1"/>
  <c r="S9" i="4" s="1"/>
  <c r="S10" i="4" s="1"/>
  <c r="S11" i="4" s="1"/>
  <c r="S12" i="4" s="1"/>
  <c r="S13" i="4" s="1"/>
  <c r="S14" i="4" s="1"/>
  <c r="S15" i="4" s="1"/>
  <c r="S16" i="4" s="1"/>
  <c r="S17" i="4" s="1"/>
  <c r="S18" i="4" s="1"/>
  <c r="S19" i="4" s="1"/>
  <c r="S20" i="4" s="1"/>
  <c r="S21" i="4" s="1"/>
  <c r="S22" i="4" s="1"/>
  <c r="S23" i="4" s="1"/>
  <c r="S24" i="4" s="1"/>
  <c r="S25" i="4" s="1"/>
  <c r="S26" i="4" s="1"/>
  <c r="S27" i="4" s="1"/>
  <c r="S28" i="4" s="1"/>
  <c r="S29" i="4" s="1"/>
  <c r="S30" i="4" s="1"/>
  <c r="S31" i="4" s="1"/>
  <c r="S32" i="4" s="1"/>
  <c r="R4" i="4"/>
  <c r="R5" i="4" s="1"/>
  <c r="R6" i="4" s="1"/>
  <c r="R7" i="4" s="1"/>
  <c r="R8" i="4" s="1"/>
  <c r="R9" i="4" s="1"/>
  <c r="R10" i="4" s="1"/>
  <c r="R11" i="4" s="1"/>
  <c r="R12" i="4" s="1"/>
  <c r="R13" i="4" s="1"/>
  <c r="R14" i="4" s="1"/>
  <c r="R15" i="4" s="1"/>
  <c r="R16" i="4" s="1"/>
  <c r="R17" i="4" s="1"/>
  <c r="R18" i="4" s="1"/>
  <c r="R19" i="4" s="1"/>
  <c r="R20" i="4" s="1"/>
  <c r="R21" i="4" s="1"/>
  <c r="R22" i="4" s="1"/>
  <c r="R23" i="4" s="1"/>
  <c r="R24" i="4" s="1"/>
  <c r="R25" i="4" s="1"/>
  <c r="R26" i="4" s="1"/>
  <c r="R27" i="4" s="1"/>
  <c r="R28" i="4" s="1"/>
  <c r="R29" i="4" s="1"/>
  <c r="R30" i="4" s="1"/>
  <c r="R31" i="4" s="1"/>
  <c r="R32" i="4" s="1"/>
  <c r="Q4" i="4"/>
  <c r="Q5" i="4" s="1"/>
  <c r="Q6" i="4" s="1"/>
  <c r="Q7" i="4" s="1"/>
  <c r="Q8" i="4" s="1"/>
  <c r="Q9" i="4" s="1"/>
  <c r="Q10" i="4" s="1"/>
  <c r="Q11" i="4" s="1"/>
  <c r="Q12" i="4" s="1"/>
  <c r="Q13" i="4" s="1"/>
  <c r="Q14" i="4" s="1"/>
  <c r="Q15" i="4" s="1"/>
  <c r="Q16" i="4" s="1"/>
  <c r="Q17" i="4" s="1"/>
  <c r="Q18" i="4" s="1"/>
  <c r="Q19" i="4" s="1"/>
  <c r="Q20" i="4" s="1"/>
  <c r="Q21" i="4" s="1"/>
  <c r="Q22" i="4" s="1"/>
  <c r="Q23" i="4" s="1"/>
  <c r="Q24" i="4" s="1"/>
  <c r="Q25" i="4" s="1"/>
  <c r="Q26" i="4" s="1"/>
  <c r="Q27" i="4" s="1"/>
  <c r="Q28" i="4" s="1"/>
  <c r="Q29" i="4" s="1"/>
  <c r="Q30" i="4" s="1"/>
  <c r="Q31" i="4" s="1"/>
  <c r="Q32" i="4" s="1"/>
  <c r="P4" i="4"/>
  <c r="O4" i="4"/>
  <c r="O5" i="4" s="1"/>
  <c r="N4" i="4"/>
  <c r="N5" i="4" s="1"/>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M4" i="4"/>
  <c r="M5" i="4" s="1"/>
  <c r="M6" i="4" s="1"/>
  <c r="M7" i="4" s="1"/>
  <c r="M8" i="4" s="1"/>
  <c r="M9" i="4" s="1"/>
  <c r="M10" i="4" s="1"/>
  <c r="M11" i="4" s="1"/>
  <c r="M12" i="4" s="1"/>
  <c r="M13" i="4" s="1"/>
  <c r="M14" i="4" s="1"/>
  <c r="M15" i="4" s="1"/>
  <c r="M16" i="4" s="1"/>
  <c r="M17" i="4" s="1"/>
  <c r="M18" i="4" s="1"/>
  <c r="M19" i="4" s="1"/>
  <c r="M20" i="4" s="1"/>
  <c r="M21" i="4" s="1"/>
  <c r="M22" i="4" s="1"/>
  <c r="M23" i="4" s="1"/>
  <c r="M24" i="4" s="1"/>
  <c r="M25" i="4" s="1"/>
  <c r="M26" i="4" s="1"/>
  <c r="M27" i="4" s="1"/>
  <c r="M28" i="4" s="1"/>
  <c r="M29" i="4" s="1"/>
  <c r="M30" i="4" s="1"/>
  <c r="M31" i="4" s="1"/>
  <c r="M32" i="4" s="1"/>
  <c r="L4" i="4"/>
  <c r="L5" i="4" s="1"/>
  <c r="L6" i="4" s="1"/>
  <c r="L7" i="4" s="1"/>
  <c r="L8" i="4" s="1"/>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K4" i="4"/>
  <c r="J4" i="4"/>
  <c r="J5" i="4" s="1"/>
  <c r="J6" i="4" s="1"/>
  <c r="J7" i="4" s="1"/>
  <c r="J8" i="4" s="1"/>
  <c r="J9" i="4" s="1"/>
  <c r="J10" i="4" s="1"/>
  <c r="J11" i="4" s="1"/>
  <c r="J12" i="4" s="1"/>
  <c r="J13" i="4" s="1"/>
  <c r="J14" i="4" s="1"/>
  <c r="J15" i="4" s="1"/>
  <c r="J16" i="4" s="1"/>
  <c r="J17" i="4" s="1"/>
  <c r="J18" i="4" s="1"/>
  <c r="J19" i="4" s="1"/>
  <c r="J20" i="4" s="1"/>
  <c r="J21" i="4" s="1"/>
  <c r="J22" i="4" s="1"/>
  <c r="J23" i="4" s="1"/>
  <c r="J24" i="4" s="1"/>
  <c r="J25" i="4" s="1"/>
  <c r="J26" i="4" s="1"/>
  <c r="J27" i="4" s="1"/>
  <c r="J28" i="4" s="1"/>
  <c r="J29" i="4" s="1"/>
  <c r="J30" i="4" s="1"/>
  <c r="J31" i="4" s="1"/>
  <c r="J32" i="4" s="1"/>
  <c r="I4" i="4"/>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G4" i="4"/>
  <c r="F4" i="4"/>
  <c r="F5" i="4" s="1"/>
  <c r="F6" i="4" s="1"/>
  <c r="F7" i="4" s="1"/>
  <c r="F8" i="4" s="1"/>
  <c r="F9" i="4" s="1"/>
  <c r="F10" i="4" s="1"/>
  <c r="F11" i="4" s="1"/>
  <c r="F12" i="4" s="1"/>
  <c r="F13" i="4" s="1"/>
  <c r="F14" i="4" s="1"/>
  <c r="F15" i="4" s="1"/>
  <c r="F16" i="4" s="1"/>
  <c r="F17" i="4" s="1"/>
  <c r="F18" i="4" s="1"/>
  <c r="F19" i="4" s="1"/>
  <c r="F20" i="4" s="1"/>
  <c r="F21" i="4" s="1"/>
  <c r="F22" i="4" s="1"/>
  <c r="F23" i="4" s="1"/>
  <c r="F24" i="4" s="1"/>
  <c r="F25" i="4" s="1"/>
  <c r="F26" i="4" s="1"/>
  <c r="F27" i="4" s="1"/>
  <c r="F28" i="4" s="1"/>
  <c r="F29" i="4" s="1"/>
  <c r="F30" i="4" s="1"/>
  <c r="F31" i="4" s="1"/>
  <c r="F32" i="4" s="1"/>
  <c r="E4" i="4"/>
  <c r="E5" i="4" s="1"/>
  <c r="E6" i="4" s="1"/>
  <c r="D4" i="4"/>
  <c r="D5" i="4" s="1"/>
  <c r="D6" i="4" s="1"/>
  <c r="D7" i="4" s="1"/>
  <c r="D8" i="4" s="1"/>
  <c r="D9" i="4" s="1"/>
  <c r="D10" i="4" s="1"/>
  <c r="D11" i="4" s="1"/>
  <c r="D12" i="4" s="1"/>
  <c r="D13" i="4" s="1"/>
  <c r="D14" i="4" s="1"/>
  <c r="D15" i="4" s="1"/>
  <c r="D16" i="4" s="1"/>
  <c r="D17" i="4" s="1"/>
  <c r="D18" i="4" s="1"/>
  <c r="D19" i="4" s="1"/>
  <c r="D20" i="4" s="1"/>
  <c r="D21" i="4" s="1"/>
  <c r="D22" i="4" s="1"/>
  <c r="D23" i="4" s="1"/>
  <c r="D24" i="4" s="1"/>
  <c r="D25" i="4" s="1"/>
  <c r="D26" i="4" s="1"/>
  <c r="D27" i="4" s="1"/>
  <c r="D28" i="4" s="1"/>
  <c r="D29" i="4" s="1"/>
  <c r="D30" i="4" s="1"/>
  <c r="D31" i="4" s="1"/>
  <c r="D32" i="4" s="1"/>
  <c r="C4" i="4"/>
  <c r="B4" i="4"/>
  <c r="B5" i="4" s="1"/>
  <c r="B6" i="4" s="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 r="B32" i="4" s="1"/>
  <c r="T3" i="4"/>
  <c r="U1" i="4"/>
  <c r="T32" i="2"/>
  <c r="T31" i="2"/>
  <c r="T30" i="2"/>
  <c r="T29" i="2"/>
  <c r="T28" i="2"/>
  <c r="T27" i="2"/>
  <c r="T26" i="2"/>
  <c r="T25" i="2"/>
  <c r="T24" i="2"/>
  <c r="T23" i="2"/>
  <c r="T22" i="2"/>
  <c r="T21" i="2"/>
  <c r="T20" i="2"/>
  <c r="T19" i="2"/>
  <c r="T18" i="2"/>
  <c r="T17" i="2"/>
  <c r="T16" i="2"/>
  <c r="T15" i="2"/>
  <c r="T14" i="2"/>
  <c r="T13" i="2"/>
  <c r="T12" i="2"/>
  <c r="T11" i="2"/>
  <c r="T10" i="2"/>
  <c r="T9" i="2"/>
  <c r="T8" i="2"/>
  <c r="I8" i="2"/>
  <c r="I9" i="2" s="1"/>
  <c r="I10" i="2" s="1"/>
  <c r="I11" i="2" s="1"/>
  <c r="I12" i="2" s="1"/>
  <c r="I13" i="2" s="1"/>
  <c r="I14" i="2" s="1"/>
  <c r="I15" i="2" s="1"/>
  <c r="I16" i="2" s="1"/>
  <c r="I17" i="2" s="1"/>
  <c r="I18" i="2" s="1"/>
  <c r="I19" i="2" s="1"/>
  <c r="I20" i="2" s="1"/>
  <c r="I21" i="2" s="1"/>
  <c r="I22" i="2" s="1"/>
  <c r="I23" i="2" s="1"/>
  <c r="I24" i="2" s="1"/>
  <c r="I25" i="2" s="1"/>
  <c r="I26" i="2" s="1"/>
  <c r="I27" i="2" s="1"/>
  <c r="I28" i="2" s="1"/>
  <c r="I29" i="2" s="1"/>
  <c r="I30" i="2" s="1"/>
  <c r="I31" i="2" s="1"/>
  <c r="I32" i="2" s="1"/>
  <c r="V7" i="2"/>
  <c r="V8" i="2" s="1"/>
  <c r="V9" i="2" s="1"/>
  <c r="V10" i="2" s="1"/>
  <c r="V11" i="2" s="1"/>
  <c r="V12" i="2" s="1"/>
  <c r="V13" i="2" s="1"/>
  <c r="V14" i="2" s="1"/>
  <c r="V15" i="2" s="1"/>
  <c r="V16" i="2" s="1"/>
  <c r="V17" i="2" s="1"/>
  <c r="V18" i="2" s="1"/>
  <c r="V19" i="2" s="1"/>
  <c r="V20" i="2" s="1"/>
  <c r="V21" i="2" s="1"/>
  <c r="V22" i="2" s="1"/>
  <c r="V23" i="2" s="1"/>
  <c r="V24" i="2" s="1"/>
  <c r="V25" i="2" s="1"/>
  <c r="V26" i="2" s="1"/>
  <c r="V27" i="2" s="1"/>
  <c r="V28" i="2" s="1"/>
  <c r="V29" i="2" s="1"/>
  <c r="V30" i="2" s="1"/>
  <c r="V31" i="2" s="1"/>
  <c r="V32" i="2" s="1"/>
  <c r="T7" i="2"/>
  <c r="K7" i="2"/>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C7" i="2"/>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T6" i="2"/>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Q30" i="2" s="1"/>
  <c r="Q31" i="2" s="1"/>
  <c r="Q32"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M30" i="2" s="1"/>
  <c r="M31" i="2" s="1"/>
  <c r="M32" i="2" s="1"/>
  <c r="I6" i="2"/>
  <c r="I7"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E30" i="2" s="1"/>
  <c r="E31" i="2" s="1"/>
  <c r="E32" i="2" s="1"/>
  <c r="V5" i="2"/>
  <c r="V6" i="2" s="1"/>
  <c r="T5" i="2"/>
  <c r="S5" i="2"/>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O5" i="2"/>
  <c r="O6" i="2" s="1"/>
  <c r="O7" i="2" s="1"/>
  <c r="O8" i="2" s="1"/>
  <c r="O9" i="2" s="1"/>
  <c r="O10" i="2" s="1"/>
  <c r="O11" i="2" s="1"/>
  <c r="O12" i="2" s="1"/>
  <c r="O13" i="2" s="1"/>
  <c r="O14" i="2" s="1"/>
  <c r="O15" i="2" s="1"/>
  <c r="O16" i="2" s="1"/>
  <c r="O17" i="2" s="1"/>
  <c r="O18" i="2" s="1"/>
  <c r="O19" i="2" s="1"/>
  <c r="O20" i="2" s="1"/>
  <c r="O21" i="2" s="1"/>
  <c r="O22" i="2" s="1"/>
  <c r="O23" i="2" s="1"/>
  <c r="O24" i="2" s="1"/>
  <c r="O25" i="2" s="1"/>
  <c r="O26" i="2" s="1"/>
  <c r="O27" i="2" s="1"/>
  <c r="O28" i="2" s="1"/>
  <c r="O29" i="2" s="1"/>
  <c r="O30" i="2" s="1"/>
  <c r="O31" i="2" s="1"/>
  <c r="O32" i="2" s="1"/>
  <c r="M5" i="2"/>
  <c r="K5" i="2"/>
  <c r="K6" i="2" s="1"/>
  <c r="G5" i="2"/>
  <c r="G6" i="2" s="1"/>
  <c r="G7" i="2" s="1"/>
  <c r="G8" i="2" s="1"/>
  <c r="G9" i="2" s="1"/>
  <c r="G10" i="2" s="1"/>
  <c r="G11" i="2" s="1"/>
  <c r="G12" i="2" s="1"/>
  <c r="G13" i="2" s="1"/>
  <c r="G14" i="2" s="1"/>
  <c r="G15" i="2" s="1"/>
  <c r="G16" i="2" s="1"/>
  <c r="G17" i="2" s="1"/>
  <c r="G18" i="2" s="1"/>
  <c r="G19" i="2" s="1"/>
  <c r="G20" i="2" s="1"/>
  <c r="G21" i="2" s="1"/>
  <c r="G22" i="2" s="1"/>
  <c r="G23" i="2" s="1"/>
  <c r="G24" i="2" s="1"/>
  <c r="G25" i="2" s="1"/>
  <c r="G26" i="2" s="1"/>
  <c r="G27" i="2" s="1"/>
  <c r="G28" i="2" s="1"/>
  <c r="G29" i="2" s="1"/>
  <c r="G30" i="2" s="1"/>
  <c r="G31" i="2" s="1"/>
  <c r="G32" i="2" s="1"/>
  <c r="E5" i="2"/>
  <c r="C5" i="2"/>
  <c r="C6" i="2" s="1"/>
  <c r="V4" i="2"/>
  <c r="T4" i="2"/>
  <c r="S4" i="2"/>
  <c r="R4" i="2"/>
  <c r="R5" i="2" s="1"/>
  <c r="R6" i="2" s="1"/>
  <c r="R7" i="2" s="1"/>
  <c r="R8" i="2" s="1"/>
  <c r="R9" i="2" s="1"/>
  <c r="R10" i="2" s="1"/>
  <c r="R11" i="2" s="1"/>
  <c r="R12" i="2" s="1"/>
  <c r="R13" i="2" s="1"/>
  <c r="R14" i="2" s="1"/>
  <c r="R15" i="2" s="1"/>
  <c r="R16" i="2" s="1"/>
  <c r="R17" i="2" s="1"/>
  <c r="R18" i="2" s="1"/>
  <c r="R19" i="2" s="1"/>
  <c r="R20" i="2" s="1"/>
  <c r="R21" i="2" s="1"/>
  <c r="R22" i="2" s="1"/>
  <c r="R23" i="2" s="1"/>
  <c r="R24" i="2" s="1"/>
  <c r="R25" i="2" s="1"/>
  <c r="R26" i="2" s="1"/>
  <c r="R27" i="2" s="1"/>
  <c r="R28" i="2" s="1"/>
  <c r="R29" i="2" s="1"/>
  <c r="R30" i="2" s="1"/>
  <c r="R31" i="2" s="1"/>
  <c r="R32" i="2" s="1"/>
  <c r="Q4" i="2"/>
  <c r="Q5" i="2" s="1"/>
  <c r="P4" i="2"/>
  <c r="P5" i="2" s="1"/>
  <c r="P6" i="2" s="1"/>
  <c r="P7" i="2" s="1"/>
  <c r="P8" i="2" s="1"/>
  <c r="P9" i="2" s="1"/>
  <c r="P10" i="2" s="1"/>
  <c r="P11" i="2" s="1"/>
  <c r="P12" i="2" s="1"/>
  <c r="P13" i="2" s="1"/>
  <c r="P14" i="2" s="1"/>
  <c r="P15" i="2" s="1"/>
  <c r="P16" i="2" s="1"/>
  <c r="P17" i="2" s="1"/>
  <c r="P18" i="2" s="1"/>
  <c r="P19" i="2" s="1"/>
  <c r="P20" i="2" s="1"/>
  <c r="P21" i="2" s="1"/>
  <c r="P22" i="2" s="1"/>
  <c r="P23" i="2" s="1"/>
  <c r="P24" i="2" s="1"/>
  <c r="P25" i="2" s="1"/>
  <c r="P26" i="2" s="1"/>
  <c r="P27" i="2" s="1"/>
  <c r="P28" i="2" s="1"/>
  <c r="P29" i="2" s="1"/>
  <c r="P30" i="2" s="1"/>
  <c r="P31" i="2" s="1"/>
  <c r="P32" i="2" s="1"/>
  <c r="O4" i="2"/>
  <c r="N4" i="2"/>
  <c r="N5" i="2" s="1"/>
  <c r="N6" i="2" s="1"/>
  <c r="N7" i="2" s="1"/>
  <c r="N8" i="2" s="1"/>
  <c r="N9" i="2" s="1"/>
  <c r="N10" i="2" s="1"/>
  <c r="N11" i="2" s="1"/>
  <c r="N12" i="2" s="1"/>
  <c r="N13" i="2" s="1"/>
  <c r="N14" i="2" s="1"/>
  <c r="N15" i="2" s="1"/>
  <c r="N16" i="2" s="1"/>
  <c r="N17" i="2" s="1"/>
  <c r="N18" i="2" s="1"/>
  <c r="N19" i="2" s="1"/>
  <c r="N20" i="2" s="1"/>
  <c r="N21" i="2" s="1"/>
  <c r="N22" i="2" s="1"/>
  <c r="N23" i="2" s="1"/>
  <c r="N24" i="2" s="1"/>
  <c r="N25" i="2" s="1"/>
  <c r="N26" i="2" s="1"/>
  <c r="N27" i="2" s="1"/>
  <c r="N28" i="2" s="1"/>
  <c r="N29" i="2" s="1"/>
  <c r="N30" i="2" s="1"/>
  <c r="N31" i="2" s="1"/>
  <c r="N32" i="2" s="1"/>
  <c r="M4" i="2"/>
  <c r="L4" i="2"/>
  <c r="L5" i="2" s="1"/>
  <c r="L6" i="2" s="1"/>
  <c r="L7" i="2" s="1"/>
  <c r="L8" i="2" s="1"/>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K4" i="2"/>
  <c r="J4" i="2"/>
  <c r="J5" i="2" s="1"/>
  <c r="J6" i="2" s="1"/>
  <c r="J7" i="2" s="1"/>
  <c r="J8" i="2" s="1"/>
  <c r="J9" i="2" s="1"/>
  <c r="J10" i="2" s="1"/>
  <c r="J11" i="2" s="1"/>
  <c r="J12" i="2" s="1"/>
  <c r="J13" i="2" s="1"/>
  <c r="J14" i="2" s="1"/>
  <c r="J15" i="2" s="1"/>
  <c r="J16" i="2" s="1"/>
  <c r="J17" i="2" s="1"/>
  <c r="J18" i="2" s="1"/>
  <c r="J19" i="2" s="1"/>
  <c r="J20" i="2" s="1"/>
  <c r="J21" i="2" s="1"/>
  <c r="J22" i="2" s="1"/>
  <c r="J23" i="2" s="1"/>
  <c r="J24" i="2" s="1"/>
  <c r="J25" i="2" s="1"/>
  <c r="J26" i="2" s="1"/>
  <c r="J27" i="2" s="1"/>
  <c r="J28" i="2" s="1"/>
  <c r="J29" i="2" s="1"/>
  <c r="J30" i="2" s="1"/>
  <c r="J31" i="2" s="1"/>
  <c r="J32" i="2" s="1"/>
  <c r="I4" i="2"/>
  <c r="I5" i="2" s="1"/>
  <c r="H4" i="2"/>
  <c r="H5" i="2" s="1"/>
  <c r="H6" i="2" s="1"/>
  <c r="H7" i="2" s="1"/>
  <c r="H8" i="2" s="1"/>
  <c r="H9" i="2" s="1"/>
  <c r="H10" i="2" s="1"/>
  <c r="H11" i="2" s="1"/>
  <c r="H12" i="2" s="1"/>
  <c r="H13" i="2" s="1"/>
  <c r="H14" i="2" s="1"/>
  <c r="H15" i="2" s="1"/>
  <c r="H16" i="2" s="1"/>
  <c r="H17" i="2" s="1"/>
  <c r="H18" i="2" s="1"/>
  <c r="H19" i="2" s="1"/>
  <c r="H20" i="2" s="1"/>
  <c r="H21" i="2" s="1"/>
  <c r="H22" i="2" s="1"/>
  <c r="H23" i="2" s="1"/>
  <c r="H24" i="2" s="1"/>
  <c r="H25" i="2" s="1"/>
  <c r="H26" i="2" s="1"/>
  <c r="H27" i="2" s="1"/>
  <c r="H28" i="2" s="1"/>
  <c r="H29" i="2" s="1"/>
  <c r="H30" i="2" s="1"/>
  <c r="H31" i="2" s="1"/>
  <c r="H32" i="2" s="1"/>
  <c r="G4" i="2"/>
  <c r="F4" i="2"/>
  <c r="F5" i="2" s="1"/>
  <c r="F6" i="2" s="1"/>
  <c r="F7" i="2" s="1"/>
  <c r="F8" i="2" s="1"/>
  <c r="F9" i="2" s="1"/>
  <c r="F10" i="2" s="1"/>
  <c r="F11" i="2" s="1"/>
  <c r="F12" i="2" s="1"/>
  <c r="F13" i="2" s="1"/>
  <c r="F14" i="2" s="1"/>
  <c r="F15" i="2" s="1"/>
  <c r="F16" i="2" s="1"/>
  <c r="F17" i="2" s="1"/>
  <c r="F18" i="2" s="1"/>
  <c r="F19" i="2" s="1"/>
  <c r="F20" i="2" s="1"/>
  <c r="F21" i="2" s="1"/>
  <c r="F22" i="2" s="1"/>
  <c r="F23" i="2" s="1"/>
  <c r="F24" i="2" s="1"/>
  <c r="F25" i="2" s="1"/>
  <c r="F26" i="2" s="1"/>
  <c r="F27" i="2" s="1"/>
  <c r="F28" i="2" s="1"/>
  <c r="F29" i="2" s="1"/>
  <c r="F30" i="2" s="1"/>
  <c r="F31" i="2" s="1"/>
  <c r="F32" i="2" s="1"/>
  <c r="E4" i="2"/>
  <c r="D4" i="2"/>
  <c r="D5" i="2" s="1"/>
  <c r="D6" i="2" s="1"/>
  <c r="D7" i="2" s="1"/>
  <c r="D8" i="2" s="1"/>
  <c r="D9" i="2" s="1"/>
  <c r="D10" i="2" s="1"/>
  <c r="D11" i="2" s="1"/>
  <c r="D12" i="2" s="1"/>
  <c r="D13" i="2" s="1"/>
  <c r="D14" i="2" s="1"/>
  <c r="D15" i="2" s="1"/>
  <c r="D16" i="2" s="1"/>
  <c r="D17" i="2" s="1"/>
  <c r="D18" i="2" s="1"/>
  <c r="D19" i="2" s="1"/>
  <c r="D20" i="2" s="1"/>
  <c r="D21" i="2" s="1"/>
  <c r="D22" i="2" s="1"/>
  <c r="D23" i="2" s="1"/>
  <c r="D24" i="2" s="1"/>
  <c r="D25" i="2" s="1"/>
  <c r="D26" i="2" s="1"/>
  <c r="D27" i="2" s="1"/>
  <c r="D28" i="2" s="1"/>
  <c r="D29" i="2" s="1"/>
  <c r="D30" i="2" s="1"/>
  <c r="D31" i="2" s="1"/>
  <c r="D32" i="2" s="1"/>
  <c r="C4" i="2"/>
  <c r="B4" i="2"/>
  <c r="B5" i="2" s="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T3" i="2"/>
  <c r="U1" i="2"/>
  <c r="W34" i="1"/>
  <c r="W33" i="1"/>
  <c r="W32" i="1"/>
  <c r="W31" i="1"/>
  <c r="W30" i="1"/>
  <c r="W29" i="1"/>
  <c r="W28" i="1"/>
  <c r="W27" i="1"/>
  <c r="W26" i="1"/>
  <c r="W25" i="1"/>
  <c r="W24" i="1"/>
  <c r="W23" i="1"/>
  <c r="W22" i="1"/>
  <c r="W21" i="1"/>
  <c r="W20" i="1"/>
  <c r="W19" i="1"/>
  <c r="W18" i="1"/>
  <c r="W17" i="1"/>
  <c r="W16" i="1"/>
  <c r="W15" i="1"/>
  <c r="W14" i="1"/>
  <c r="W13" i="1"/>
  <c r="W12" i="1"/>
  <c r="W11" i="1"/>
  <c r="W10" i="1"/>
  <c r="W9" i="1"/>
  <c r="W8" i="1"/>
  <c r="AG7" i="1"/>
  <c r="AE7" i="1"/>
  <c r="AC7" i="1"/>
  <c r="W7" i="1"/>
  <c r="E7" i="1"/>
  <c r="AG6" i="1"/>
  <c r="AC6" i="1"/>
  <c r="W6" i="1"/>
  <c r="R6" i="1"/>
  <c r="AE5" i="1"/>
  <c r="AF5" i="1" s="1"/>
  <c r="W5" i="1"/>
  <c r="V4" i="1"/>
  <c r="R4" i="1"/>
  <c r="O4" i="1"/>
  <c r="J4" i="1"/>
  <c r="E4" i="1"/>
  <c r="C4" i="1"/>
  <c r="B1" i="1"/>
  <c r="O56" i="23"/>
  <c r="N56" i="23"/>
  <c r="M56" i="23"/>
  <c r="L56" i="23"/>
  <c r="K56" i="23"/>
  <c r="J56" i="23"/>
  <c r="I56" i="23"/>
  <c r="H56" i="23"/>
  <c r="G56" i="23"/>
  <c r="F56" i="23"/>
  <c r="E56" i="23"/>
  <c r="D56" i="23"/>
  <c r="C56" i="23"/>
  <c r="O53" i="23"/>
  <c r="N53" i="23"/>
  <c r="M53" i="23"/>
  <c r="L53" i="23"/>
  <c r="K53" i="23"/>
  <c r="J53" i="23"/>
  <c r="I53" i="23"/>
  <c r="H53" i="23"/>
  <c r="G53" i="23"/>
  <c r="F53" i="23"/>
  <c r="E53" i="23"/>
  <c r="D53" i="23"/>
  <c r="C53" i="23"/>
  <c r="I44" i="23"/>
  <c r="J33" i="23"/>
  <c r="H33" i="23"/>
  <c r="G33" i="23"/>
  <c r="V23" i="23"/>
  <c r="V22" i="23"/>
  <c r="V21" i="23"/>
  <c r="V20" i="23"/>
  <c r="O20" i="23"/>
  <c r="N20" i="23"/>
  <c r="M20" i="23"/>
  <c r="L20" i="23"/>
  <c r="K20" i="23"/>
  <c r="G20" i="23"/>
  <c r="F20" i="23"/>
  <c r="E20" i="23"/>
  <c r="D20" i="23"/>
  <c r="C20" i="23"/>
  <c r="V19" i="23"/>
  <c r="V18" i="23"/>
  <c r="V17" i="23"/>
  <c r="V16" i="23"/>
  <c r="V15" i="23"/>
  <c r="V14" i="23"/>
  <c r="V13" i="23"/>
  <c r="V12" i="23"/>
  <c r="O12" i="23"/>
  <c r="N12" i="23"/>
  <c r="M12" i="23"/>
  <c r="L12" i="23"/>
  <c r="K12" i="23"/>
  <c r="J12" i="23"/>
  <c r="I12" i="23"/>
  <c r="H12" i="23"/>
  <c r="G12" i="23"/>
  <c r="F12" i="23"/>
  <c r="E12" i="23"/>
  <c r="D12" i="23"/>
  <c r="C12" i="23"/>
  <c r="V11" i="23"/>
  <c r="O11" i="23"/>
  <c r="N11" i="23"/>
  <c r="M11" i="23"/>
  <c r="L11" i="23"/>
  <c r="K11" i="23"/>
  <c r="J11" i="23"/>
  <c r="I11" i="23"/>
  <c r="H11" i="23"/>
  <c r="G11" i="23"/>
  <c r="F11" i="23"/>
  <c r="E11" i="23"/>
  <c r="D11" i="23"/>
  <c r="C11" i="23"/>
  <c r="V10" i="23"/>
  <c r="N10" i="23"/>
  <c r="M10" i="23"/>
  <c r="L10" i="23"/>
  <c r="K10" i="23"/>
  <c r="J10" i="23"/>
  <c r="I10" i="23"/>
  <c r="H10" i="23"/>
  <c r="G10" i="23"/>
  <c r="F10" i="23"/>
  <c r="E10" i="23"/>
  <c r="D10" i="23"/>
  <c r="C10" i="23"/>
  <c r="V9" i="23"/>
  <c r="V8" i="23"/>
  <c r="V7" i="23"/>
  <c r="O7" i="23"/>
  <c r="M7" i="23"/>
  <c r="K7" i="23"/>
  <c r="I7" i="23"/>
  <c r="G7" i="23"/>
  <c r="E7" i="23"/>
  <c r="C7" i="23"/>
  <c r="V6" i="23"/>
  <c r="T6" i="23"/>
  <c r="O6" i="23"/>
  <c r="N6" i="23"/>
  <c r="N7" i="23" s="1"/>
  <c r="M6" i="23"/>
  <c r="L6" i="23"/>
  <c r="L7" i="23" s="1"/>
  <c r="K6" i="23"/>
  <c r="J6" i="23"/>
  <c r="J7" i="23" s="1"/>
  <c r="I6" i="23"/>
  <c r="H6" i="23"/>
  <c r="H7" i="23" s="1"/>
  <c r="G6" i="23"/>
  <c r="F6" i="23"/>
  <c r="F7" i="23" s="1"/>
  <c r="E6" i="23"/>
  <c r="D6" i="23"/>
  <c r="D7" i="23" s="1"/>
  <c r="C6" i="23"/>
  <c r="V5" i="23"/>
  <c r="V4" i="23"/>
  <c r="V3" i="23"/>
  <c r="W23" i="24"/>
  <c r="V23" i="24"/>
  <c r="W22" i="24"/>
  <c r="V22" i="24"/>
  <c r="W21" i="24"/>
  <c r="V21" i="24"/>
  <c r="W20" i="24"/>
  <c r="V20" i="24"/>
  <c r="W19" i="24"/>
  <c r="V19" i="24"/>
  <c r="W18" i="24"/>
  <c r="V18" i="24"/>
  <c r="O18" i="24"/>
  <c r="N18" i="24"/>
  <c r="M18" i="24"/>
  <c r="L18" i="24"/>
  <c r="K18" i="24"/>
  <c r="J18" i="24"/>
  <c r="I18" i="24"/>
  <c r="H18" i="24"/>
  <c r="G18" i="24"/>
  <c r="F18" i="24"/>
  <c r="E18" i="24"/>
  <c r="D18" i="24"/>
  <c r="C18" i="24"/>
  <c r="W17" i="24"/>
  <c r="V17" i="24"/>
  <c r="W16" i="24"/>
  <c r="V16" i="24"/>
  <c r="W15" i="24"/>
  <c r="V15" i="24"/>
  <c r="O15" i="24"/>
  <c r="N15" i="24"/>
  <c r="M15" i="24"/>
  <c r="L15" i="24"/>
  <c r="K15" i="24"/>
  <c r="J15" i="24"/>
  <c r="I15" i="24"/>
  <c r="H15" i="24"/>
  <c r="G15" i="24"/>
  <c r="F15" i="24"/>
  <c r="E15" i="24"/>
  <c r="D15" i="24"/>
  <c r="C15" i="24"/>
  <c r="W14" i="24"/>
  <c r="V14" i="24"/>
  <c r="W13" i="24"/>
  <c r="V13" i="24"/>
  <c r="W12" i="24"/>
  <c r="V12" i="24"/>
  <c r="W11" i="24"/>
  <c r="V11" i="24"/>
  <c r="O11" i="24"/>
  <c r="N11" i="24"/>
  <c r="M11" i="24"/>
  <c r="L11" i="24"/>
  <c r="K11" i="24"/>
  <c r="J11" i="24"/>
  <c r="I11" i="24"/>
  <c r="H11" i="24"/>
  <c r="G11" i="24"/>
  <c r="F11" i="24"/>
  <c r="E11" i="24"/>
  <c r="D11" i="24"/>
  <c r="C11" i="24"/>
  <c r="W10" i="24"/>
  <c r="V10" i="24"/>
  <c r="N10" i="24"/>
  <c r="M10" i="24"/>
  <c r="L10" i="24"/>
  <c r="K10" i="24"/>
  <c r="J10" i="24"/>
  <c r="I10" i="24"/>
  <c r="H10" i="24"/>
  <c r="G10" i="24"/>
  <c r="F10" i="24"/>
  <c r="E10" i="24"/>
  <c r="D10" i="24"/>
  <c r="C10" i="24"/>
  <c r="W9" i="24"/>
  <c r="V9" i="24"/>
  <c r="T9" i="24"/>
  <c r="W8" i="24"/>
  <c r="V8" i="24"/>
  <c r="P8" i="24"/>
  <c r="W7" i="24"/>
  <c r="V7" i="24"/>
  <c r="O7" i="24"/>
  <c r="M7" i="24"/>
  <c r="K7" i="24"/>
  <c r="I7" i="24"/>
  <c r="G7" i="24"/>
  <c r="E7" i="24"/>
  <c r="C7" i="24"/>
  <c r="W6" i="24"/>
  <c r="V6" i="24"/>
  <c r="O6" i="24"/>
  <c r="N6" i="24"/>
  <c r="N7" i="24" s="1"/>
  <c r="M6" i="24"/>
  <c r="L6" i="24"/>
  <c r="L7" i="24" s="1"/>
  <c r="K6" i="24"/>
  <c r="J6" i="24"/>
  <c r="J7" i="24" s="1"/>
  <c r="I6" i="24"/>
  <c r="H6" i="24"/>
  <c r="H7" i="24" s="1"/>
  <c r="G6" i="24"/>
  <c r="F6" i="24"/>
  <c r="F7" i="24" s="1"/>
  <c r="E6" i="24"/>
  <c r="D6" i="24"/>
  <c r="D7" i="24" s="1"/>
  <c r="C6" i="24"/>
  <c r="W5" i="24"/>
  <c r="V5" i="24"/>
  <c r="W4" i="24"/>
  <c r="V4" i="24"/>
  <c r="P4" i="24"/>
  <c r="V3" i="24"/>
  <c r="B32" i="15"/>
  <c r="C32" i="15" s="1"/>
  <c r="H5" i="15" s="1"/>
  <c r="B31" i="15"/>
  <c r="C31" i="15" s="1"/>
  <c r="B30" i="15"/>
  <c r="C30" i="15" s="1"/>
  <c r="B29" i="15"/>
  <c r="C29" i="15" s="1"/>
  <c r="B28" i="15"/>
  <c r="C28" i="15" s="1"/>
  <c r="B27" i="15"/>
  <c r="C27" i="15" s="1"/>
  <c r="B26" i="15"/>
  <c r="C26" i="15" s="1"/>
  <c r="B25" i="15"/>
  <c r="C25" i="15" s="1"/>
  <c r="B24" i="15"/>
  <c r="C24" i="15" s="1"/>
  <c r="B23" i="15"/>
  <c r="C23" i="15" s="1"/>
  <c r="B22" i="15"/>
  <c r="C22" i="15" s="1"/>
  <c r="B21" i="15"/>
  <c r="C21" i="15" s="1"/>
  <c r="B20" i="15"/>
  <c r="C20" i="15" s="1"/>
  <c r="B19" i="15"/>
  <c r="C19" i="15" s="1"/>
  <c r="B18" i="15"/>
  <c r="C18" i="15" s="1"/>
  <c r="B17" i="15"/>
  <c r="C17" i="15" s="1"/>
  <c r="B16" i="15"/>
  <c r="C16" i="15" s="1"/>
  <c r="B15" i="15"/>
  <c r="C15" i="15" s="1"/>
  <c r="F14" i="15"/>
  <c r="C14" i="15"/>
  <c r="B14" i="15"/>
  <c r="C13" i="15"/>
  <c r="B13" i="15"/>
  <c r="C12" i="15"/>
  <c r="B12" i="15"/>
  <c r="C11" i="15"/>
  <c r="B11" i="15"/>
  <c r="C10" i="15"/>
  <c r="B10" i="15"/>
  <c r="C9" i="15"/>
  <c r="B9" i="15"/>
  <c r="C8" i="15"/>
  <c r="B8" i="15"/>
  <c r="C7" i="15"/>
  <c r="B7" i="15"/>
  <c r="C6" i="15"/>
  <c r="B6" i="15"/>
  <c r="B5" i="15"/>
  <c r="C5" i="15" s="1"/>
  <c r="B4" i="15"/>
  <c r="C4" i="15" s="1"/>
  <c r="B3" i="15"/>
  <c r="C3" i="15" s="1"/>
  <c r="G14" i="31"/>
  <c r="G15" i="31" s="1"/>
  <c r="G13" i="31"/>
  <c r="G12" i="31"/>
  <c r="B10" i="31"/>
  <c r="B9" i="31"/>
  <c r="B8" i="31"/>
  <c r="G7" i="31"/>
  <c r="G5" i="31"/>
  <c r="AC33" i="30"/>
  <c r="Y33" i="30"/>
  <c r="U33" i="30"/>
  <c r="Q33" i="30"/>
  <c r="M33" i="30"/>
  <c r="I33" i="30"/>
  <c r="E33" i="30"/>
  <c r="AD32" i="30"/>
  <c r="Z32" i="30"/>
  <c r="V32" i="30"/>
  <c r="R32" i="30"/>
  <c r="N32" i="30"/>
  <c r="J32" i="30"/>
  <c r="F32" i="30"/>
  <c r="AD31" i="30"/>
  <c r="Z31" i="30"/>
  <c r="V31" i="30"/>
  <c r="R31" i="30"/>
  <c r="N31" i="30"/>
  <c r="J31" i="30"/>
  <c r="F31" i="30"/>
  <c r="AC30" i="30"/>
  <c r="Y30" i="30"/>
  <c r="U30" i="30"/>
  <c r="Q30" i="30"/>
  <c r="M30" i="30"/>
  <c r="I30" i="30"/>
  <c r="E30" i="30"/>
  <c r="AA29" i="30"/>
  <c r="W29" i="30"/>
  <c r="S29" i="30"/>
  <c r="O29" i="30"/>
  <c r="K29" i="30"/>
  <c r="G29" i="30"/>
  <c r="C29" i="30"/>
  <c r="X28" i="30"/>
  <c r="T28" i="30"/>
  <c r="P28" i="30"/>
  <c r="L28" i="30"/>
  <c r="H28" i="30"/>
  <c r="D28" i="30"/>
  <c r="X27" i="30"/>
  <c r="T27" i="30"/>
  <c r="P27" i="30"/>
  <c r="L27" i="30"/>
  <c r="H27" i="30"/>
  <c r="D27" i="30"/>
  <c r="W26" i="30"/>
  <c r="S26" i="30"/>
  <c r="O26" i="30"/>
  <c r="K26" i="30"/>
  <c r="G26" i="30"/>
  <c r="C26" i="30"/>
  <c r="U25" i="30"/>
  <c r="Q25" i="30"/>
  <c r="M25" i="30"/>
  <c r="I25" i="30"/>
  <c r="E25" i="30"/>
  <c r="V24" i="30"/>
  <c r="R24" i="30"/>
  <c r="N24" i="30"/>
  <c r="J24" i="30"/>
  <c r="F24" i="30"/>
  <c r="V23" i="30"/>
  <c r="R23" i="30"/>
  <c r="N23" i="30"/>
  <c r="J23" i="30"/>
  <c r="F23" i="30"/>
  <c r="U22" i="30"/>
  <c r="Q22" i="30"/>
  <c r="M22" i="30"/>
  <c r="I22" i="30"/>
  <c r="E22" i="30"/>
  <c r="S21" i="30"/>
  <c r="O21" i="30"/>
  <c r="K21" i="30"/>
  <c r="G21" i="30"/>
  <c r="C21" i="30"/>
  <c r="P20" i="30"/>
  <c r="L20" i="30"/>
  <c r="H20" i="30"/>
  <c r="D20" i="30"/>
  <c r="P19" i="30"/>
  <c r="L19" i="30"/>
  <c r="H19" i="30"/>
  <c r="D19" i="30"/>
  <c r="O18" i="30"/>
  <c r="K18" i="30"/>
  <c r="G18" i="30"/>
  <c r="C18" i="30"/>
  <c r="M17" i="30"/>
  <c r="I17" i="30"/>
  <c r="E17" i="30"/>
  <c r="N16" i="30"/>
  <c r="J16" i="30"/>
  <c r="F16" i="30"/>
  <c r="N15" i="30"/>
  <c r="J15" i="30"/>
  <c r="F15" i="30"/>
  <c r="M14" i="30"/>
  <c r="I14" i="30"/>
  <c r="E14" i="30"/>
  <c r="K13" i="30"/>
  <c r="G13" i="30"/>
  <c r="C13" i="30"/>
  <c r="H12" i="30"/>
  <c r="D12" i="30"/>
  <c r="H11" i="30"/>
  <c r="D11" i="30"/>
  <c r="G10" i="30"/>
  <c r="C10" i="30"/>
  <c r="E9" i="30"/>
  <c r="F8" i="30"/>
  <c r="AI7" i="30"/>
  <c r="C7" i="30"/>
  <c r="AH6" i="30"/>
  <c r="E6" i="30"/>
  <c r="C5" i="30"/>
  <c r="Q1" i="30"/>
  <c r="AE33" i="30" s="1"/>
  <c r="AA33" i="14"/>
  <c r="W33" i="14"/>
  <c r="S33" i="14"/>
  <c r="K33" i="14"/>
  <c r="G33" i="14"/>
  <c r="C33" i="14"/>
  <c r="X32" i="14"/>
  <c r="T32" i="14"/>
  <c r="P32" i="14"/>
  <c r="H32" i="14"/>
  <c r="D32" i="14"/>
  <c r="AB31" i="14"/>
  <c r="T31" i="14"/>
  <c r="P31" i="14"/>
  <c r="L31" i="14"/>
  <c r="D31" i="14"/>
  <c r="AA30" i="14"/>
  <c r="W30" i="14"/>
  <c r="O30" i="14"/>
  <c r="K30" i="14"/>
  <c r="G30" i="14"/>
  <c r="Y29" i="14"/>
  <c r="U29" i="14"/>
  <c r="Q29" i="14"/>
  <c r="I29" i="14"/>
  <c r="E29" i="14"/>
  <c r="Z28" i="14"/>
  <c r="R28" i="14"/>
  <c r="N28" i="14"/>
  <c r="J28" i="14"/>
  <c r="Z27" i="14"/>
  <c r="V27" i="14"/>
  <c r="R27" i="14"/>
  <c r="J27" i="14"/>
  <c r="F27" i="14"/>
  <c r="Y26" i="14"/>
  <c r="Q26" i="14"/>
  <c r="M26" i="14"/>
  <c r="I26" i="14"/>
  <c r="W25" i="14"/>
  <c r="S25" i="14"/>
  <c r="O25" i="14"/>
  <c r="G25" i="14"/>
  <c r="C25" i="14"/>
  <c r="T24" i="14"/>
  <c r="L24" i="14"/>
  <c r="H24" i="14"/>
  <c r="D24" i="14"/>
  <c r="P23" i="14"/>
  <c r="L23" i="14"/>
  <c r="H23" i="14"/>
  <c r="S22" i="14"/>
  <c r="O22" i="14"/>
  <c r="K22" i="14"/>
  <c r="C22" i="14"/>
  <c r="Q21" i="14"/>
  <c r="M21" i="14"/>
  <c r="E21" i="14"/>
  <c r="R20" i="14"/>
  <c r="N20" i="14"/>
  <c r="F20" i="14"/>
  <c r="R19" i="14"/>
  <c r="N19" i="14"/>
  <c r="F19" i="14"/>
  <c r="Q18" i="14"/>
  <c r="M18" i="14"/>
  <c r="E18" i="14"/>
  <c r="O17" i="14"/>
  <c r="K17" i="14"/>
  <c r="C17" i="14"/>
  <c r="L16" i="14"/>
  <c r="H16" i="14"/>
  <c r="L15" i="14"/>
  <c r="H15" i="14"/>
  <c r="D15" i="14"/>
  <c r="G14" i="14"/>
  <c r="C14" i="14"/>
  <c r="I13" i="14"/>
  <c r="J12" i="14"/>
  <c r="F12" i="14"/>
  <c r="J11" i="14"/>
  <c r="I10" i="14"/>
  <c r="E10" i="14"/>
  <c r="G9" i="14"/>
  <c r="D8" i="14"/>
  <c r="D7" i="14"/>
  <c r="C6" i="14"/>
  <c r="Q1" i="14"/>
  <c r="U23" i="17"/>
  <c r="S23" i="17"/>
  <c r="Q23" i="17"/>
  <c r="O23" i="17"/>
  <c r="M23" i="17"/>
  <c r="K23" i="17"/>
  <c r="I23" i="17"/>
  <c r="G23" i="17"/>
  <c r="E23" i="17"/>
  <c r="C23" i="17"/>
  <c r="T22" i="17"/>
  <c r="R22" i="17"/>
  <c r="P22" i="17"/>
  <c r="N22" i="17"/>
  <c r="L22" i="17"/>
  <c r="J22" i="17"/>
  <c r="H22" i="17"/>
  <c r="F22" i="17"/>
  <c r="D22" i="17"/>
  <c r="T21" i="17"/>
  <c r="R21" i="17"/>
  <c r="P21" i="17"/>
  <c r="N21" i="17"/>
  <c r="L21" i="17"/>
  <c r="J21" i="17"/>
  <c r="H21" i="17"/>
  <c r="F21" i="17"/>
  <c r="D21" i="17"/>
  <c r="S20" i="17"/>
  <c r="Q20" i="17"/>
  <c r="O20" i="17"/>
  <c r="M20" i="17"/>
  <c r="K20" i="17"/>
  <c r="I20" i="17"/>
  <c r="G20" i="17"/>
  <c r="E20" i="17"/>
  <c r="C20" i="17"/>
  <c r="Q19" i="17"/>
  <c r="O19" i="17"/>
  <c r="M19" i="17"/>
  <c r="K19" i="17"/>
  <c r="I19" i="17"/>
  <c r="G19" i="17"/>
  <c r="E19" i="17"/>
  <c r="C19" i="17"/>
  <c r="P18" i="17"/>
  <c r="N18" i="17"/>
  <c r="L18" i="17"/>
  <c r="J18" i="17"/>
  <c r="H18" i="17"/>
  <c r="F18" i="17"/>
  <c r="D18" i="17"/>
  <c r="P17" i="17"/>
  <c r="N17" i="17"/>
  <c r="L17" i="17"/>
  <c r="J17" i="17"/>
  <c r="H17" i="17"/>
  <c r="F17" i="17"/>
  <c r="D17" i="17"/>
  <c r="O16" i="17"/>
  <c r="M16" i="17"/>
  <c r="K16" i="17"/>
  <c r="I16" i="17"/>
  <c r="G16" i="17"/>
  <c r="E16" i="17"/>
  <c r="C16" i="17"/>
  <c r="M15" i="17"/>
  <c r="K15" i="17"/>
  <c r="I15" i="17"/>
  <c r="G15" i="17"/>
  <c r="E15" i="17"/>
  <c r="C15" i="17"/>
  <c r="L14" i="17"/>
  <c r="J14" i="17"/>
  <c r="H14" i="17"/>
  <c r="F14" i="17"/>
  <c r="D14" i="17"/>
  <c r="L13" i="17"/>
  <c r="J13" i="17"/>
  <c r="H13" i="17"/>
  <c r="F13" i="17"/>
  <c r="D13" i="17"/>
  <c r="K12" i="17"/>
  <c r="I12" i="17"/>
  <c r="G12" i="17"/>
  <c r="E12" i="17"/>
  <c r="C12" i="17"/>
  <c r="I11" i="17"/>
  <c r="G11" i="17"/>
  <c r="E11" i="17"/>
  <c r="C11" i="17"/>
  <c r="AB10" i="17"/>
  <c r="I10" i="17"/>
  <c r="G10" i="17"/>
  <c r="E10" i="17"/>
  <c r="C10" i="17"/>
  <c r="G9" i="17"/>
  <c r="E9" i="17"/>
  <c r="C9" i="17"/>
  <c r="F8" i="17"/>
  <c r="D8" i="17"/>
  <c r="F7" i="17"/>
  <c r="D7" i="17"/>
  <c r="E6" i="17"/>
  <c r="C6" i="17"/>
  <c r="AB5" i="17"/>
  <c r="D5" i="17"/>
  <c r="C4" i="17"/>
  <c r="O1" i="17"/>
  <c r="T23" i="17" s="1"/>
  <c r="O33" i="27"/>
  <c r="O32" i="27"/>
  <c r="O31" i="27"/>
  <c r="O30" i="27"/>
  <c r="O29" i="27"/>
  <c r="O28" i="27"/>
  <c r="O27" i="27"/>
  <c r="O26" i="27"/>
  <c r="O25" i="27"/>
  <c r="O24" i="27"/>
  <c r="O23" i="27"/>
  <c r="O22" i="27"/>
  <c r="O21" i="27"/>
  <c r="O20" i="27"/>
  <c r="O19" i="27"/>
  <c r="O18" i="27"/>
  <c r="O17" i="27"/>
  <c r="O16" i="27"/>
  <c r="O15" i="27"/>
  <c r="O14" i="27"/>
  <c r="O13" i="27"/>
  <c r="O12" i="27"/>
  <c r="O11" i="27"/>
  <c r="O10" i="27"/>
  <c r="E10" i="27"/>
  <c r="E11" i="27" s="1"/>
  <c r="E12" i="27" s="1"/>
  <c r="E13" i="27" s="1"/>
  <c r="E14" i="27" s="1"/>
  <c r="E15" i="27" s="1"/>
  <c r="E16" i="27" s="1"/>
  <c r="E17" i="27" s="1"/>
  <c r="E18" i="27" s="1"/>
  <c r="E19" i="27" s="1"/>
  <c r="E20" i="27" s="1"/>
  <c r="E21" i="27" s="1"/>
  <c r="E22" i="27" s="1"/>
  <c r="E23" i="27" s="1"/>
  <c r="E24" i="27" s="1"/>
  <c r="E25" i="27" s="1"/>
  <c r="E26" i="27" s="1"/>
  <c r="E27" i="27" s="1"/>
  <c r="E28" i="27" s="1"/>
  <c r="E29" i="27" s="1"/>
  <c r="E30" i="27" s="1"/>
  <c r="E31" i="27" s="1"/>
  <c r="E32" i="27" s="1"/>
  <c r="E33" i="27" s="1"/>
  <c r="O9" i="27"/>
  <c r="O8" i="27"/>
  <c r="E8" i="27"/>
  <c r="E9" i="27" s="1"/>
  <c r="O7" i="27"/>
  <c r="O6" i="27"/>
  <c r="I6" i="27"/>
  <c r="I7" i="27" s="1"/>
  <c r="I8" i="27" s="1"/>
  <c r="I9" i="27" s="1"/>
  <c r="I10" i="27" s="1"/>
  <c r="I11" i="27" s="1"/>
  <c r="I12" i="27" s="1"/>
  <c r="I13" i="27" s="1"/>
  <c r="I14" i="27" s="1"/>
  <c r="I15" i="27" s="1"/>
  <c r="I16" i="27" s="1"/>
  <c r="I17" i="27" s="1"/>
  <c r="I18" i="27" s="1"/>
  <c r="I19" i="27" s="1"/>
  <c r="I20" i="27" s="1"/>
  <c r="I21" i="27" s="1"/>
  <c r="I22" i="27" s="1"/>
  <c r="I23" i="27" s="1"/>
  <c r="I24" i="27" s="1"/>
  <c r="I25" i="27" s="1"/>
  <c r="I26" i="27" s="1"/>
  <c r="I27" i="27" s="1"/>
  <c r="I28" i="27" s="1"/>
  <c r="I29" i="27" s="1"/>
  <c r="I30" i="27" s="1"/>
  <c r="I31" i="27" s="1"/>
  <c r="I32" i="27" s="1"/>
  <c r="I33" i="27" s="1"/>
  <c r="G6" i="27"/>
  <c r="G7" i="27" s="1"/>
  <c r="G8" i="27" s="1"/>
  <c r="G9" i="27" s="1"/>
  <c r="G10" i="27" s="1"/>
  <c r="G11" i="27" s="1"/>
  <c r="G12" i="27" s="1"/>
  <c r="G13" i="27" s="1"/>
  <c r="G14" i="27" s="1"/>
  <c r="G15" i="27" s="1"/>
  <c r="G16" i="27" s="1"/>
  <c r="G17" i="27" s="1"/>
  <c r="G18" i="27" s="1"/>
  <c r="G19" i="27" s="1"/>
  <c r="G20" i="27" s="1"/>
  <c r="G21" i="27" s="1"/>
  <c r="G22" i="27" s="1"/>
  <c r="G23" i="27" s="1"/>
  <c r="G24" i="27" s="1"/>
  <c r="G25" i="27" s="1"/>
  <c r="G26" i="27" s="1"/>
  <c r="G27" i="27" s="1"/>
  <c r="G28" i="27" s="1"/>
  <c r="G29" i="27" s="1"/>
  <c r="G30" i="27" s="1"/>
  <c r="G31" i="27" s="1"/>
  <c r="G32" i="27" s="1"/>
  <c r="G33" i="27" s="1"/>
  <c r="E6" i="27"/>
  <c r="E7" i="27" s="1"/>
  <c r="C6" i="27"/>
  <c r="C7" i="27" s="1"/>
  <c r="C8" i="27" s="1"/>
  <c r="C9" i="27" s="1"/>
  <c r="C10" i="27" s="1"/>
  <c r="C11" i="27" s="1"/>
  <c r="C12" i="27" s="1"/>
  <c r="C13" i="27" s="1"/>
  <c r="C14" i="27" s="1"/>
  <c r="C15" i="27" s="1"/>
  <c r="C16" i="27" s="1"/>
  <c r="C17" i="27" s="1"/>
  <c r="C18" i="27" s="1"/>
  <c r="C19" i="27" s="1"/>
  <c r="C20" i="27" s="1"/>
  <c r="C21" i="27" s="1"/>
  <c r="C22" i="27" s="1"/>
  <c r="C23" i="27" s="1"/>
  <c r="C24" i="27" s="1"/>
  <c r="C25" i="27" s="1"/>
  <c r="C26" i="27" s="1"/>
  <c r="C27" i="27" s="1"/>
  <c r="C28" i="27" s="1"/>
  <c r="C29" i="27" s="1"/>
  <c r="C30" i="27" s="1"/>
  <c r="C31" i="27" s="1"/>
  <c r="C32" i="27" s="1"/>
  <c r="C33" i="27" s="1"/>
  <c r="O5" i="27"/>
  <c r="J5" i="27"/>
  <c r="J6" i="27" s="1"/>
  <c r="J7" i="27" s="1"/>
  <c r="J8" i="27" s="1"/>
  <c r="J9" i="27" s="1"/>
  <c r="J10" i="27" s="1"/>
  <c r="J11" i="27" s="1"/>
  <c r="J12" i="27" s="1"/>
  <c r="J13" i="27" s="1"/>
  <c r="J14" i="27" s="1"/>
  <c r="J15" i="27" s="1"/>
  <c r="J16" i="27" s="1"/>
  <c r="J17" i="27" s="1"/>
  <c r="J18" i="27" s="1"/>
  <c r="J19" i="27" s="1"/>
  <c r="J20" i="27" s="1"/>
  <c r="J21" i="27" s="1"/>
  <c r="J22" i="27" s="1"/>
  <c r="J23" i="27" s="1"/>
  <c r="J24" i="27" s="1"/>
  <c r="J25" i="27" s="1"/>
  <c r="J26" i="27" s="1"/>
  <c r="J27" i="27" s="1"/>
  <c r="J28" i="27" s="1"/>
  <c r="J29" i="27" s="1"/>
  <c r="J30" i="27" s="1"/>
  <c r="J31" i="27" s="1"/>
  <c r="J32" i="27" s="1"/>
  <c r="J33" i="27" s="1"/>
  <c r="I5" i="27"/>
  <c r="H5" i="27"/>
  <c r="H6" i="27" s="1"/>
  <c r="H7" i="27" s="1"/>
  <c r="H8" i="27" s="1"/>
  <c r="H9" i="27" s="1"/>
  <c r="H10" i="27" s="1"/>
  <c r="H11" i="27" s="1"/>
  <c r="H12" i="27" s="1"/>
  <c r="H13" i="27" s="1"/>
  <c r="H14" i="27" s="1"/>
  <c r="H15" i="27" s="1"/>
  <c r="H16" i="27" s="1"/>
  <c r="H17" i="27" s="1"/>
  <c r="H18" i="27" s="1"/>
  <c r="H19" i="27" s="1"/>
  <c r="H20" i="27" s="1"/>
  <c r="H21" i="27" s="1"/>
  <c r="H22" i="27" s="1"/>
  <c r="H23" i="27" s="1"/>
  <c r="H24" i="27" s="1"/>
  <c r="H25" i="27" s="1"/>
  <c r="H26" i="27" s="1"/>
  <c r="H27" i="27" s="1"/>
  <c r="H28" i="27" s="1"/>
  <c r="H29" i="27" s="1"/>
  <c r="H30" i="27" s="1"/>
  <c r="H31" i="27" s="1"/>
  <c r="H32" i="27" s="1"/>
  <c r="H33" i="27" s="1"/>
  <c r="G5" i="27"/>
  <c r="F5" i="27"/>
  <c r="F6" i="27" s="1"/>
  <c r="F7" i="27" s="1"/>
  <c r="F8" i="27" s="1"/>
  <c r="F9" i="27" s="1"/>
  <c r="F10" i="27" s="1"/>
  <c r="F11" i="27" s="1"/>
  <c r="F12" i="27" s="1"/>
  <c r="F13" i="27" s="1"/>
  <c r="F14" i="27" s="1"/>
  <c r="F15" i="27" s="1"/>
  <c r="F16" i="27" s="1"/>
  <c r="F17" i="27" s="1"/>
  <c r="F18" i="27" s="1"/>
  <c r="F19" i="27" s="1"/>
  <c r="F20" i="27" s="1"/>
  <c r="F21" i="27" s="1"/>
  <c r="F22" i="27" s="1"/>
  <c r="F23" i="27" s="1"/>
  <c r="F24" i="27" s="1"/>
  <c r="F25" i="27" s="1"/>
  <c r="F26" i="27" s="1"/>
  <c r="F27" i="27" s="1"/>
  <c r="F28" i="27" s="1"/>
  <c r="F29" i="27" s="1"/>
  <c r="F30" i="27" s="1"/>
  <c r="F31" i="27" s="1"/>
  <c r="F32" i="27" s="1"/>
  <c r="F33" i="27" s="1"/>
  <c r="E5" i="27"/>
  <c r="D5" i="27"/>
  <c r="D6" i="27" s="1"/>
  <c r="D7" i="27" s="1"/>
  <c r="D8" i="27" s="1"/>
  <c r="D9" i="27" s="1"/>
  <c r="D10" i="27" s="1"/>
  <c r="D11" i="27" s="1"/>
  <c r="D12" i="27" s="1"/>
  <c r="D13" i="27" s="1"/>
  <c r="D14" i="27" s="1"/>
  <c r="D15" i="27" s="1"/>
  <c r="D16" i="27" s="1"/>
  <c r="D17" i="27" s="1"/>
  <c r="D18" i="27" s="1"/>
  <c r="D19" i="27" s="1"/>
  <c r="D20" i="27" s="1"/>
  <c r="D21" i="27" s="1"/>
  <c r="D22" i="27" s="1"/>
  <c r="D23" i="27" s="1"/>
  <c r="D24" i="27" s="1"/>
  <c r="D25" i="27" s="1"/>
  <c r="D26" i="27" s="1"/>
  <c r="D27" i="27" s="1"/>
  <c r="D28" i="27" s="1"/>
  <c r="D29" i="27" s="1"/>
  <c r="D30" i="27" s="1"/>
  <c r="D31" i="27" s="1"/>
  <c r="D32" i="27" s="1"/>
  <c r="D33" i="27" s="1"/>
  <c r="C5" i="27"/>
  <c r="B5" i="27"/>
  <c r="O4" i="27"/>
  <c r="M4" i="27"/>
  <c r="Q3" i="27"/>
  <c r="AT25" i="11"/>
  <c r="AS25" i="11"/>
  <c r="AR25" i="11"/>
  <c r="AP25" i="11"/>
  <c r="AO25" i="11"/>
  <c r="AN25" i="11"/>
  <c r="AL25" i="11"/>
  <c r="AK25" i="11"/>
  <c r="AJ25" i="11"/>
  <c r="AH25" i="11"/>
  <c r="AG25" i="11"/>
  <c r="AF25" i="11"/>
  <c r="AE25" i="11"/>
  <c r="AE19" i="11" s="1"/>
  <c r="AE20" i="11" s="1"/>
  <c r="AE21" i="11" s="1"/>
  <c r="AD25" i="11"/>
  <c r="AC25" i="11"/>
  <c r="AB25" i="11"/>
  <c r="AA25" i="11"/>
  <c r="AA19" i="11" s="1"/>
  <c r="AA20" i="11" s="1"/>
  <c r="AA21" i="11" s="1"/>
  <c r="Z25" i="11"/>
  <c r="Y25" i="11"/>
  <c r="X25" i="11"/>
  <c r="V25" i="11"/>
  <c r="U25" i="11"/>
  <c r="T25" i="11"/>
  <c r="R25" i="11"/>
  <c r="Q25" i="11"/>
  <c r="P25" i="11"/>
  <c r="O25" i="11"/>
  <c r="N25" i="11"/>
  <c r="M25" i="11"/>
  <c r="L25" i="11"/>
  <c r="K25" i="11"/>
  <c r="J25" i="11"/>
  <c r="I25" i="11"/>
  <c r="H25" i="11"/>
  <c r="B23" i="11"/>
  <c r="B22" i="11"/>
  <c r="AT21" i="11"/>
  <c r="AL21" i="11"/>
  <c r="AJ21" i="11"/>
  <c r="AD21" i="11"/>
  <c r="Z21" i="11"/>
  <c r="V21" i="11"/>
  <c r="T21" i="11"/>
  <c r="N21" i="11"/>
  <c r="M21" i="11"/>
  <c r="L21" i="11"/>
  <c r="J21" i="11"/>
  <c r="I21" i="11"/>
  <c r="H21" i="11"/>
  <c r="B21" i="11"/>
  <c r="AT20" i="11"/>
  <c r="AS20" i="11"/>
  <c r="AS21" i="11" s="1"/>
  <c r="AR20" i="11"/>
  <c r="AR21" i="11" s="1"/>
  <c r="AP20" i="11"/>
  <c r="AP21" i="11" s="1"/>
  <c r="AO20" i="11"/>
  <c r="AO21" i="11" s="1"/>
  <c r="AN20" i="11"/>
  <c r="AN21" i="11" s="1"/>
  <c r="AL20" i="11"/>
  <c r="AK20" i="11"/>
  <c r="AK21" i="11" s="1"/>
  <c r="AJ20" i="11"/>
  <c r="AH20" i="11"/>
  <c r="AH21" i="11" s="1"/>
  <c r="AG20" i="11"/>
  <c r="AG21" i="11" s="1"/>
  <c r="AF20" i="11"/>
  <c r="AF21" i="11" s="1"/>
  <c r="AD20" i="11"/>
  <c r="AC20" i="11"/>
  <c r="AC21" i="11" s="1"/>
  <c r="AB20" i="11"/>
  <c r="AB21" i="11" s="1"/>
  <c r="Z20" i="11"/>
  <c r="Y20" i="11"/>
  <c r="Y21" i="11" s="1"/>
  <c r="X20" i="11"/>
  <c r="X21" i="11" s="1"/>
  <c r="V20" i="11"/>
  <c r="U20" i="11"/>
  <c r="U21" i="11" s="1"/>
  <c r="T20" i="11"/>
  <c r="R20" i="11"/>
  <c r="R21" i="11" s="1"/>
  <c r="Q20" i="11"/>
  <c r="Q21" i="11" s="1"/>
  <c r="P20" i="11"/>
  <c r="P21" i="11" s="1"/>
  <c r="O20" i="11"/>
  <c r="O21" i="11" s="1"/>
  <c r="B20" i="11"/>
  <c r="AI19" i="11"/>
  <c r="AI20" i="11" s="1"/>
  <c r="AI21" i="11" s="1"/>
  <c r="W19" i="11"/>
  <c r="W20" i="11" s="1"/>
  <c r="W21" i="11" s="1"/>
  <c r="B19" i="11"/>
  <c r="B18" i="11"/>
  <c r="B17" i="11"/>
  <c r="B16" i="11"/>
  <c r="B15" i="11"/>
  <c r="M14" i="11"/>
  <c r="M15" i="11" s="1"/>
  <c r="B14" i="11"/>
  <c r="B13" i="11"/>
  <c r="B12" i="11"/>
  <c r="AP11" i="11"/>
  <c r="AP12" i="11" s="1"/>
  <c r="AP13" i="11" s="1"/>
  <c r="AP14" i="11" s="1"/>
  <c r="AP15" i="11" s="1"/>
  <c r="B11" i="11"/>
  <c r="M10" i="11"/>
  <c r="M11" i="11" s="1"/>
  <c r="M12" i="11" s="1"/>
  <c r="M13" i="11" s="1"/>
  <c r="B10" i="11"/>
  <c r="AP9" i="11"/>
  <c r="AP10" i="11" s="1"/>
  <c r="AH9" i="11"/>
  <c r="AH10" i="11" s="1"/>
  <c r="AH11" i="11" s="1"/>
  <c r="AH12" i="11" s="1"/>
  <c r="AH13" i="11" s="1"/>
  <c r="AH14" i="11" s="1"/>
  <c r="AH15" i="11" s="1"/>
  <c r="V9" i="11"/>
  <c r="V10" i="11" s="1"/>
  <c r="V11" i="11" s="1"/>
  <c r="V12" i="11" s="1"/>
  <c r="V13" i="11" s="1"/>
  <c r="V14" i="11" s="1"/>
  <c r="V15" i="11" s="1"/>
  <c r="N9" i="11"/>
  <c r="N10" i="11" s="1"/>
  <c r="N11" i="11" s="1"/>
  <c r="N12" i="11" s="1"/>
  <c r="N13" i="11" s="1"/>
  <c r="N14" i="11" s="1"/>
  <c r="N15" i="11" s="1"/>
  <c r="B9" i="11"/>
  <c r="AS8" i="11"/>
  <c r="AS9" i="11" s="1"/>
  <c r="AS10" i="11" s="1"/>
  <c r="AS11" i="11" s="1"/>
  <c r="AS12" i="11" s="1"/>
  <c r="AS13" i="11" s="1"/>
  <c r="AS14" i="11" s="1"/>
  <c r="AS15" i="11" s="1"/>
  <c r="AO8" i="11"/>
  <c r="AO9" i="11" s="1"/>
  <c r="AO10" i="11" s="1"/>
  <c r="AO11" i="11" s="1"/>
  <c r="AO12" i="11" s="1"/>
  <c r="AO13" i="11" s="1"/>
  <c r="AO14" i="11" s="1"/>
  <c r="AO15" i="11" s="1"/>
  <c r="AK8" i="11"/>
  <c r="AK9" i="11" s="1"/>
  <c r="AK10" i="11" s="1"/>
  <c r="AK11" i="11" s="1"/>
  <c r="AK12" i="11" s="1"/>
  <c r="AK13" i="11" s="1"/>
  <c r="AK14" i="11" s="1"/>
  <c r="AK15" i="11" s="1"/>
  <c r="AG8" i="11"/>
  <c r="AG9" i="11" s="1"/>
  <c r="AG10" i="11" s="1"/>
  <c r="AG11" i="11" s="1"/>
  <c r="AG12" i="11" s="1"/>
  <c r="AG13" i="11" s="1"/>
  <c r="AG14" i="11" s="1"/>
  <c r="AG15" i="11" s="1"/>
  <c r="AC8" i="11"/>
  <c r="AC9" i="11" s="1"/>
  <c r="AC10" i="11" s="1"/>
  <c r="AC11" i="11" s="1"/>
  <c r="AC12" i="11" s="1"/>
  <c r="AC13" i="11" s="1"/>
  <c r="AC14" i="11" s="1"/>
  <c r="AC15" i="11" s="1"/>
  <c r="U8" i="11"/>
  <c r="U9" i="11" s="1"/>
  <c r="U10" i="11" s="1"/>
  <c r="U11" i="11" s="1"/>
  <c r="U12" i="11" s="1"/>
  <c r="U13" i="11" s="1"/>
  <c r="U14" i="11" s="1"/>
  <c r="U15" i="11" s="1"/>
  <c r="Q8" i="11"/>
  <c r="Q9" i="11" s="1"/>
  <c r="Q10" i="11" s="1"/>
  <c r="Q11" i="11" s="1"/>
  <c r="Q12" i="11" s="1"/>
  <c r="Q13" i="11" s="1"/>
  <c r="Q14" i="11" s="1"/>
  <c r="Q15" i="11" s="1"/>
  <c r="M8" i="11"/>
  <c r="M9" i="11" s="1"/>
  <c r="I8" i="11"/>
  <c r="I9" i="11" s="1"/>
  <c r="I10" i="11" s="1"/>
  <c r="I11" i="11" s="1"/>
  <c r="I12" i="11" s="1"/>
  <c r="I13" i="11" s="1"/>
  <c r="I14" i="11" s="1"/>
  <c r="I15" i="11" s="1"/>
  <c r="B8" i="11"/>
  <c r="AT7" i="11"/>
  <c r="AT8" i="11" s="1"/>
  <c r="AT9" i="11" s="1"/>
  <c r="AT10" i="11" s="1"/>
  <c r="AT11" i="11" s="1"/>
  <c r="AT12" i="11" s="1"/>
  <c r="AT13" i="11" s="1"/>
  <c r="AT14" i="11" s="1"/>
  <c r="AT15" i="11" s="1"/>
  <c r="AS7" i="11"/>
  <c r="AR7" i="11"/>
  <c r="AR8" i="11" s="1"/>
  <c r="AR9" i="11" s="1"/>
  <c r="AR10" i="11" s="1"/>
  <c r="AR11" i="11" s="1"/>
  <c r="AR12" i="11" s="1"/>
  <c r="AR13" i="11" s="1"/>
  <c r="AR14" i="11" s="1"/>
  <c r="AR15" i="11" s="1"/>
  <c r="AP7" i="11"/>
  <c r="AP8" i="11" s="1"/>
  <c r="AO7" i="11"/>
  <c r="AN7" i="11"/>
  <c r="AN8" i="11" s="1"/>
  <c r="AN9" i="11" s="1"/>
  <c r="AN10" i="11" s="1"/>
  <c r="AN11" i="11" s="1"/>
  <c r="AN12" i="11" s="1"/>
  <c r="AN13" i="11" s="1"/>
  <c r="AN14" i="11" s="1"/>
  <c r="AN15" i="11" s="1"/>
  <c r="AL7" i="11"/>
  <c r="AL8" i="11" s="1"/>
  <c r="AL9" i="11" s="1"/>
  <c r="AL10" i="11" s="1"/>
  <c r="AL11" i="11" s="1"/>
  <c r="AL12" i="11" s="1"/>
  <c r="AL13" i="11" s="1"/>
  <c r="AL14" i="11" s="1"/>
  <c r="AL15" i="11" s="1"/>
  <c r="AK7" i="11"/>
  <c r="AJ7" i="11"/>
  <c r="AJ8" i="11" s="1"/>
  <c r="AJ9" i="11" s="1"/>
  <c r="AJ10" i="11" s="1"/>
  <c r="AJ11" i="11" s="1"/>
  <c r="AJ12" i="11" s="1"/>
  <c r="AJ13" i="11" s="1"/>
  <c r="AJ14" i="11" s="1"/>
  <c r="AJ15" i="11" s="1"/>
  <c r="AH7" i="11"/>
  <c r="AH8" i="11" s="1"/>
  <c r="AG7" i="11"/>
  <c r="AF7" i="11"/>
  <c r="AF8" i="11" s="1"/>
  <c r="AF9" i="11" s="1"/>
  <c r="AF10" i="11" s="1"/>
  <c r="AF11" i="11" s="1"/>
  <c r="AF12" i="11" s="1"/>
  <c r="AF13" i="11" s="1"/>
  <c r="AF14" i="11" s="1"/>
  <c r="AF15" i="11" s="1"/>
  <c r="AD7" i="11"/>
  <c r="AD8" i="11" s="1"/>
  <c r="AD9" i="11" s="1"/>
  <c r="AD10" i="11" s="1"/>
  <c r="AD11" i="11" s="1"/>
  <c r="AD12" i="11" s="1"/>
  <c r="AD13" i="11" s="1"/>
  <c r="AD14" i="11" s="1"/>
  <c r="AD15" i="11" s="1"/>
  <c r="AC7" i="11"/>
  <c r="AB7" i="11"/>
  <c r="AB8" i="11" s="1"/>
  <c r="AB9" i="11" s="1"/>
  <c r="AB10" i="11" s="1"/>
  <c r="AB11" i="11" s="1"/>
  <c r="AB12" i="11" s="1"/>
  <c r="AB13" i="11" s="1"/>
  <c r="AB14" i="11" s="1"/>
  <c r="AB15" i="11" s="1"/>
  <c r="V7" i="11"/>
  <c r="V8" i="11" s="1"/>
  <c r="U7" i="11"/>
  <c r="T7" i="11"/>
  <c r="T8" i="11" s="1"/>
  <c r="T9" i="11" s="1"/>
  <c r="T10" i="11" s="1"/>
  <c r="T11" i="11" s="1"/>
  <c r="T12" i="11" s="1"/>
  <c r="T13" i="11" s="1"/>
  <c r="T14" i="11" s="1"/>
  <c r="T15" i="11" s="1"/>
  <c r="R7" i="11"/>
  <c r="R8" i="11" s="1"/>
  <c r="R9" i="11" s="1"/>
  <c r="R10" i="11" s="1"/>
  <c r="R11" i="11" s="1"/>
  <c r="R12" i="11" s="1"/>
  <c r="R13" i="11" s="1"/>
  <c r="R14" i="11" s="1"/>
  <c r="R15" i="11" s="1"/>
  <c r="Q7" i="11"/>
  <c r="P7" i="11"/>
  <c r="P8" i="11" s="1"/>
  <c r="P9" i="11" s="1"/>
  <c r="P10" i="11" s="1"/>
  <c r="P11" i="11" s="1"/>
  <c r="P12" i="11" s="1"/>
  <c r="P13" i="11" s="1"/>
  <c r="P14" i="11" s="1"/>
  <c r="P15" i="11" s="1"/>
  <c r="N7" i="11"/>
  <c r="N8" i="11" s="1"/>
  <c r="M7" i="11"/>
  <c r="L7" i="11"/>
  <c r="L8" i="11" s="1"/>
  <c r="L9" i="11" s="1"/>
  <c r="L10" i="11" s="1"/>
  <c r="L11" i="11" s="1"/>
  <c r="L12" i="11" s="1"/>
  <c r="L13" i="11" s="1"/>
  <c r="L14" i="11" s="1"/>
  <c r="L15" i="11" s="1"/>
  <c r="J7" i="11"/>
  <c r="J8" i="11" s="1"/>
  <c r="J9" i="11" s="1"/>
  <c r="J10" i="11" s="1"/>
  <c r="J11" i="11" s="1"/>
  <c r="J12" i="11" s="1"/>
  <c r="J13" i="11" s="1"/>
  <c r="J14" i="11" s="1"/>
  <c r="J15" i="11" s="1"/>
  <c r="I7" i="11"/>
  <c r="H7" i="11"/>
  <c r="H8" i="11" s="1"/>
  <c r="H9" i="11" s="1"/>
  <c r="H10" i="11" s="1"/>
  <c r="H11" i="11" s="1"/>
  <c r="H12" i="11" s="1"/>
  <c r="H13" i="11" s="1"/>
  <c r="H14" i="11" s="1"/>
  <c r="H15" i="11" s="1"/>
  <c r="B7" i="11"/>
  <c r="AU6" i="11"/>
  <c r="AU7" i="11" s="1"/>
  <c r="AU8" i="11" s="1"/>
  <c r="AU9" i="11" s="1"/>
  <c r="AU10" i="11" s="1"/>
  <c r="AU11" i="11" s="1"/>
  <c r="AU12" i="11" s="1"/>
  <c r="AU13" i="11" s="1"/>
  <c r="AU14" i="11" s="1"/>
  <c r="AU15" i="11" s="1"/>
  <c r="AM6" i="11"/>
  <c r="AM7" i="11" s="1"/>
  <c r="AM8" i="11" s="1"/>
  <c r="AM9" i="11" s="1"/>
  <c r="AM10" i="11" s="1"/>
  <c r="AM11" i="11" s="1"/>
  <c r="AM12" i="11" s="1"/>
  <c r="AM13" i="11" s="1"/>
  <c r="AM14" i="11" s="1"/>
  <c r="AM15" i="11" s="1"/>
  <c r="AE6" i="11"/>
  <c r="AE7" i="11" s="1"/>
  <c r="AE8" i="11" s="1"/>
  <c r="AE9" i="11" s="1"/>
  <c r="AE10" i="11" s="1"/>
  <c r="AE11" i="11" s="1"/>
  <c r="AE12" i="11" s="1"/>
  <c r="AE13" i="11" s="1"/>
  <c r="AE14" i="11" s="1"/>
  <c r="AE15" i="11" s="1"/>
  <c r="S6" i="11"/>
  <c r="S7" i="11" s="1"/>
  <c r="S8" i="11" s="1"/>
  <c r="S9" i="11" s="1"/>
  <c r="S10" i="11" s="1"/>
  <c r="S11" i="11" s="1"/>
  <c r="S12" i="11" s="1"/>
  <c r="S13" i="11" s="1"/>
  <c r="S14" i="11" s="1"/>
  <c r="S15" i="11" s="1"/>
  <c r="B6" i="11"/>
  <c r="AA5" i="11"/>
  <c r="B5" i="11"/>
  <c r="B4" i="11"/>
  <c r="AU1" i="11"/>
  <c r="AQ1" i="11"/>
  <c r="AM1" i="11"/>
  <c r="E1" i="11"/>
  <c r="AU25" i="11" s="1"/>
  <c r="AU19" i="11" s="1"/>
  <c r="AU20" i="11" s="1"/>
  <c r="AU21" i="11" s="1"/>
  <c r="N11" i="26"/>
  <c r="M11" i="26"/>
  <c r="L11" i="26"/>
  <c r="K11" i="26"/>
  <c r="J11" i="26"/>
  <c r="I11" i="26"/>
  <c r="H11" i="26"/>
  <c r="G11" i="26"/>
  <c r="F11" i="26"/>
  <c r="E11" i="26"/>
  <c r="D11" i="26"/>
  <c r="C11" i="26"/>
  <c r="O11" i="26" s="1"/>
  <c r="N10" i="26"/>
  <c r="M10" i="26"/>
  <c r="L10" i="26"/>
  <c r="K10" i="26"/>
  <c r="J10" i="26"/>
  <c r="I10" i="26"/>
  <c r="H10" i="26"/>
  <c r="G10" i="26"/>
  <c r="F10" i="26"/>
  <c r="E10" i="26"/>
  <c r="D10" i="26"/>
  <c r="C10" i="26"/>
  <c r="O10" i="26" s="1"/>
  <c r="O9" i="26"/>
  <c r="O8" i="26"/>
  <c r="D6" i="25"/>
  <c r="C5" i="25"/>
  <c r="B5" i="25"/>
  <c r="K3" i="25"/>
  <c r="K2" i="25"/>
  <c r="F23" i="28"/>
  <c r="F24" i="28" s="1"/>
  <c r="G20" i="28"/>
  <c r="F20" i="28"/>
  <c r="G19" i="28"/>
  <c r="F19" i="28"/>
  <c r="E19" i="28"/>
  <c r="G18" i="28"/>
  <c r="F18" i="28"/>
  <c r="G17" i="28"/>
  <c r="F17" i="28"/>
  <c r="G16" i="28"/>
  <c r="F16" i="28"/>
  <c r="G15" i="28"/>
  <c r="F15" i="28"/>
  <c r="G14" i="28"/>
  <c r="F14" i="28"/>
  <c r="G13" i="28"/>
  <c r="F13" i="28"/>
  <c r="G12" i="28"/>
  <c r="F12" i="28"/>
  <c r="E12" i="28"/>
  <c r="G11" i="28"/>
  <c r="F11" i="28"/>
  <c r="G10" i="28"/>
  <c r="F10" i="28"/>
  <c r="G9" i="28"/>
  <c r="F9" i="28"/>
  <c r="G8" i="28"/>
  <c r="F8" i="28"/>
  <c r="E8" i="28"/>
  <c r="J7" i="28"/>
  <c r="E9" i="28" s="1"/>
  <c r="G7" i="28"/>
  <c r="F7" i="28"/>
  <c r="E7" i="28"/>
  <c r="G6" i="28"/>
  <c r="F6" i="28"/>
  <c r="G5" i="28"/>
  <c r="F5" i="28"/>
  <c r="G4" i="28"/>
  <c r="F4" i="28"/>
  <c r="G3" i="28"/>
  <c r="F3" i="28"/>
  <c r="F21" i="28" s="1"/>
  <c r="C12" i="9"/>
  <c r="G11" i="9"/>
  <c r="F11" i="9"/>
  <c r="E11" i="9"/>
  <c r="B11" i="9"/>
  <c r="G10" i="9"/>
  <c r="F10" i="9"/>
  <c r="E10" i="9"/>
  <c r="D10" i="9"/>
  <c r="H9" i="9"/>
  <c r="G9" i="9"/>
  <c r="F9" i="9"/>
  <c r="E9" i="9"/>
  <c r="B9" i="9"/>
  <c r="G8" i="9"/>
  <c r="F8" i="9"/>
  <c r="H8" i="9" s="1"/>
  <c r="E8" i="9"/>
  <c r="B8" i="9"/>
  <c r="H7" i="9"/>
  <c r="G7" i="9"/>
  <c r="F7" i="9"/>
  <c r="E7" i="9"/>
  <c r="B7" i="9"/>
  <c r="G6" i="9"/>
  <c r="F6" i="9"/>
  <c r="H6" i="9" s="1"/>
  <c r="E6" i="9"/>
  <c r="B6" i="9"/>
  <c r="H5" i="9"/>
  <c r="G5" i="9"/>
  <c r="F5" i="9"/>
  <c r="E5" i="9"/>
  <c r="B5" i="9"/>
  <c r="G4" i="9"/>
  <c r="F4" i="9"/>
  <c r="E4" i="9"/>
  <c r="B4" i="9"/>
  <c r="D4" i="9" s="1"/>
  <c r="H3" i="9"/>
  <c r="G3" i="9"/>
  <c r="F3" i="9"/>
  <c r="E3" i="9"/>
  <c r="B3" i="9"/>
  <c r="G2" i="9"/>
  <c r="G12" i="9" s="1"/>
  <c r="F2" i="9"/>
  <c r="E2" i="9"/>
  <c r="B2" i="9"/>
  <c r="AG111" i="18"/>
  <c r="AF111" i="18"/>
  <c r="AE111" i="18"/>
  <c r="AD111" i="18"/>
  <c r="AC111" i="18"/>
  <c r="AB111" i="18"/>
  <c r="AA111" i="18"/>
  <c r="Z111" i="18"/>
  <c r="Y111" i="18"/>
  <c r="X111" i="18"/>
  <c r="W111" i="18"/>
  <c r="V111" i="18"/>
  <c r="U111" i="18"/>
  <c r="T111" i="18"/>
  <c r="S111" i="18"/>
  <c r="R111" i="18"/>
  <c r="Q111" i="18"/>
  <c r="P111" i="18"/>
  <c r="AG110" i="18"/>
  <c r="AF110" i="18"/>
  <c r="AE110" i="18"/>
  <c r="AD110" i="18"/>
  <c r="AC110" i="18"/>
  <c r="AB110" i="18"/>
  <c r="AA110" i="18"/>
  <c r="Z110" i="18"/>
  <c r="Y110" i="18"/>
  <c r="X110" i="18"/>
  <c r="W110" i="18"/>
  <c r="V110" i="18"/>
  <c r="U110" i="18"/>
  <c r="T110" i="18"/>
  <c r="S110" i="18"/>
  <c r="R110" i="18"/>
  <c r="Q110" i="18"/>
  <c r="P110" i="18"/>
  <c r="AG109" i="18"/>
  <c r="AF109" i="18"/>
  <c r="AE109" i="18"/>
  <c r="AD109" i="18"/>
  <c r="AC109" i="18"/>
  <c r="AB109" i="18"/>
  <c r="AA109" i="18"/>
  <c r="Z109" i="18"/>
  <c r="Y109" i="18"/>
  <c r="X109" i="18"/>
  <c r="W109" i="18"/>
  <c r="V109" i="18"/>
  <c r="U109" i="18"/>
  <c r="T109" i="18"/>
  <c r="S109" i="18"/>
  <c r="R109" i="18"/>
  <c r="Q109" i="18"/>
  <c r="P109" i="18"/>
  <c r="AG108" i="18"/>
  <c r="AF108" i="18"/>
  <c r="AE108" i="18"/>
  <c r="AD108" i="18"/>
  <c r="AC108" i="18"/>
  <c r="AB108" i="18"/>
  <c r="AA108" i="18"/>
  <c r="Z108" i="18"/>
  <c r="Y108" i="18"/>
  <c r="X108" i="18"/>
  <c r="W108" i="18"/>
  <c r="V108" i="18"/>
  <c r="U108" i="18"/>
  <c r="T108" i="18"/>
  <c r="S108" i="18"/>
  <c r="R108" i="18"/>
  <c r="Q108" i="18"/>
  <c r="P108" i="18"/>
  <c r="AG107" i="18"/>
  <c r="AF107" i="18"/>
  <c r="AE107" i="18"/>
  <c r="AD107" i="18"/>
  <c r="AC107" i="18"/>
  <c r="AB107" i="18"/>
  <c r="AA107" i="18"/>
  <c r="Z107" i="18"/>
  <c r="Y107" i="18"/>
  <c r="X107" i="18"/>
  <c r="W107" i="18"/>
  <c r="V107" i="18"/>
  <c r="U107" i="18"/>
  <c r="T107" i="18"/>
  <c r="S107" i="18"/>
  <c r="R107" i="18"/>
  <c r="Q107" i="18"/>
  <c r="P107" i="18"/>
  <c r="AG106" i="18"/>
  <c r="AF106" i="18"/>
  <c r="AE106" i="18"/>
  <c r="AD106" i="18"/>
  <c r="AC106" i="18"/>
  <c r="AB106" i="18"/>
  <c r="AA106" i="18"/>
  <c r="Z106" i="18"/>
  <c r="Y106" i="18"/>
  <c r="X106" i="18"/>
  <c r="W106" i="18"/>
  <c r="V106" i="18"/>
  <c r="U106" i="18"/>
  <c r="T106" i="18"/>
  <c r="S106" i="18"/>
  <c r="R106" i="18"/>
  <c r="Q106" i="18"/>
  <c r="P106" i="18"/>
  <c r="AG105" i="18"/>
  <c r="AF105" i="18"/>
  <c r="AE105" i="18"/>
  <c r="AD105" i="18"/>
  <c r="AC105" i="18"/>
  <c r="AB105" i="18"/>
  <c r="AA105" i="18"/>
  <c r="Z105" i="18"/>
  <c r="Y105" i="18"/>
  <c r="X105" i="18"/>
  <c r="W105" i="18"/>
  <c r="V105" i="18"/>
  <c r="U105" i="18"/>
  <c r="T105" i="18"/>
  <c r="S105" i="18"/>
  <c r="R105" i="18"/>
  <c r="Q105" i="18"/>
  <c r="P105" i="18"/>
  <c r="AG104" i="18"/>
  <c r="AF104" i="18"/>
  <c r="AE104" i="18"/>
  <c r="AD104" i="18"/>
  <c r="AC104" i="18"/>
  <c r="AB104" i="18"/>
  <c r="AA104" i="18"/>
  <c r="Z104" i="18"/>
  <c r="Y104" i="18"/>
  <c r="X104" i="18"/>
  <c r="W104" i="18"/>
  <c r="V104" i="18"/>
  <c r="U104" i="18"/>
  <c r="T104" i="18"/>
  <c r="S104" i="18"/>
  <c r="R104" i="18"/>
  <c r="Q104" i="18"/>
  <c r="P104" i="18"/>
  <c r="AG103" i="18"/>
  <c r="AF103" i="18"/>
  <c r="AE103" i="18"/>
  <c r="AD103" i="18"/>
  <c r="AC103" i="18"/>
  <c r="AB103" i="18"/>
  <c r="AA103" i="18"/>
  <c r="Z103" i="18"/>
  <c r="Y103" i="18"/>
  <c r="X103" i="18"/>
  <c r="W103" i="18"/>
  <c r="V103" i="18"/>
  <c r="U103" i="18"/>
  <c r="T103" i="18"/>
  <c r="S103" i="18"/>
  <c r="R103" i="18"/>
  <c r="Q103" i="18"/>
  <c r="P103" i="18"/>
  <c r="AG102" i="18"/>
  <c r="AF102" i="18"/>
  <c r="AE102" i="18"/>
  <c r="AD102" i="18"/>
  <c r="AC102" i="18"/>
  <c r="AB102" i="18"/>
  <c r="AA102" i="18"/>
  <c r="Z102" i="18"/>
  <c r="Y102" i="18"/>
  <c r="X102" i="18"/>
  <c r="W102" i="18"/>
  <c r="V102" i="18"/>
  <c r="U102" i="18"/>
  <c r="T102" i="18"/>
  <c r="S102" i="18"/>
  <c r="R102" i="18"/>
  <c r="Q102" i="18"/>
  <c r="P102" i="18"/>
  <c r="AG101" i="18"/>
  <c r="AF101" i="18"/>
  <c r="AE101" i="18"/>
  <c r="AD101" i="18"/>
  <c r="AC101" i="18"/>
  <c r="AB101" i="18"/>
  <c r="AA101" i="18"/>
  <c r="Z101" i="18"/>
  <c r="Y101" i="18"/>
  <c r="X101" i="18"/>
  <c r="W101" i="18"/>
  <c r="V101" i="18"/>
  <c r="U101" i="18"/>
  <c r="T101" i="18"/>
  <c r="S101" i="18"/>
  <c r="R101" i="18"/>
  <c r="Q101" i="18"/>
  <c r="P101" i="18"/>
  <c r="AG100" i="18"/>
  <c r="AF100" i="18"/>
  <c r="AE100" i="18"/>
  <c r="AD100" i="18"/>
  <c r="AC100" i="18"/>
  <c r="AB100" i="18"/>
  <c r="AA100" i="18"/>
  <c r="Z100" i="18"/>
  <c r="Y100" i="18"/>
  <c r="X100" i="18"/>
  <c r="W100" i="18"/>
  <c r="V100" i="18"/>
  <c r="U100" i="18"/>
  <c r="T100" i="18"/>
  <c r="S100" i="18"/>
  <c r="R100" i="18"/>
  <c r="Q100" i="18"/>
  <c r="P100" i="18"/>
  <c r="AG99" i="18"/>
  <c r="AF99" i="18"/>
  <c r="AE99" i="18"/>
  <c r="AD99" i="18"/>
  <c r="AC99" i="18"/>
  <c r="AB99" i="18"/>
  <c r="AA99" i="18"/>
  <c r="Z99" i="18"/>
  <c r="Y99" i="18"/>
  <c r="X99" i="18"/>
  <c r="W99" i="18"/>
  <c r="V99" i="18"/>
  <c r="U99" i="18"/>
  <c r="T99" i="18"/>
  <c r="S99" i="18"/>
  <c r="R99" i="18"/>
  <c r="Q99" i="18"/>
  <c r="P99" i="18"/>
  <c r="AG98" i="18"/>
  <c r="AF98" i="18"/>
  <c r="AE98" i="18"/>
  <c r="AD98" i="18"/>
  <c r="AC98" i="18"/>
  <c r="AB98" i="18"/>
  <c r="AA98" i="18"/>
  <c r="Z98" i="18"/>
  <c r="Y98" i="18"/>
  <c r="X98" i="18"/>
  <c r="W98" i="18"/>
  <c r="V98" i="18"/>
  <c r="U98" i="18"/>
  <c r="T98" i="18"/>
  <c r="S98" i="18"/>
  <c r="R98" i="18"/>
  <c r="Q98" i="18"/>
  <c r="P98" i="18"/>
  <c r="AG97" i="18"/>
  <c r="AF97" i="18"/>
  <c r="AE97" i="18"/>
  <c r="AD97" i="18"/>
  <c r="AC97" i="18"/>
  <c r="AB97" i="18"/>
  <c r="AA97" i="18"/>
  <c r="Z97" i="18"/>
  <c r="Y97" i="18"/>
  <c r="X97" i="18"/>
  <c r="W97" i="18"/>
  <c r="V97" i="18"/>
  <c r="U97" i="18"/>
  <c r="T97" i="18"/>
  <c r="S97" i="18"/>
  <c r="R97" i="18"/>
  <c r="Q97" i="18"/>
  <c r="P97" i="18"/>
  <c r="AG96" i="18"/>
  <c r="AF96" i="18"/>
  <c r="AE96" i="18"/>
  <c r="AD96" i="18"/>
  <c r="AC96" i="18"/>
  <c r="AB96" i="18"/>
  <c r="AA96" i="18"/>
  <c r="Z96" i="18"/>
  <c r="Y96" i="18"/>
  <c r="X96" i="18"/>
  <c r="W96" i="18"/>
  <c r="V96" i="18"/>
  <c r="U96" i="18"/>
  <c r="T96" i="18"/>
  <c r="S96" i="18"/>
  <c r="R96" i="18"/>
  <c r="Q96" i="18"/>
  <c r="P96" i="18"/>
  <c r="AG95" i="18"/>
  <c r="AF95" i="18"/>
  <c r="AE95" i="18"/>
  <c r="AD95" i="18"/>
  <c r="AC95" i="18"/>
  <c r="AB95" i="18"/>
  <c r="AA95" i="18"/>
  <c r="Z95" i="18"/>
  <c r="Y95" i="18"/>
  <c r="X95" i="18"/>
  <c r="W95" i="18"/>
  <c r="V95" i="18"/>
  <c r="U95" i="18"/>
  <c r="T95" i="18"/>
  <c r="S95" i="18"/>
  <c r="R95" i="18"/>
  <c r="Q95" i="18"/>
  <c r="P95" i="18"/>
  <c r="AG94" i="18"/>
  <c r="AF94" i="18"/>
  <c r="AE94" i="18"/>
  <c r="AD94" i="18"/>
  <c r="AC94" i="18"/>
  <c r="AB94" i="18"/>
  <c r="AA94" i="18"/>
  <c r="Z94" i="18"/>
  <c r="Y94" i="18"/>
  <c r="X94" i="18"/>
  <c r="W94" i="18"/>
  <c r="V94" i="18"/>
  <c r="U94" i="18"/>
  <c r="T94" i="18"/>
  <c r="S94" i="18"/>
  <c r="R94" i="18"/>
  <c r="Q94" i="18"/>
  <c r="P94" i="18"/>
  <c r="AG93" i="18"/>
  <c r="AF93" i="18"/>
  <c r="AE93" i="18"/>
  <c r="AD93" i="18"/>
  <c r="AC93" i="18"/>
  <c r="AB93" i="18"/>
  <c r="AA93" i="18"/>
  <c r="Z93" i="18"/>
  <c r="Y93" i="18"/>
  <c r="X93" i="18"/>
  <c r="W93" i="18"/>
  <c r="V93" i="18"/>
  <c r="U93" i="18"/>
  <c r="T93" i="18"/>
  <c r="S93" i="18"/>
  <c r="R93" i="18"/>
  <c r="Q93" i="18"/>
  <c r="P93" i="18"/>
  <c r="AG92" i="18"/>
  <c r="AF92" i="18"/>
  <c r="AE92" i="18"/>
  <c r="AD92" i="18"/>
  <c r="AC92" i="18"/>
  <c r="AB92" i="18"/>
  <c r="AA92" i="18"/>
  <c r="Z92" i="18"/>
  <c r="Y92" i="18"/>
  <c r="X92" i="18"/>
  <c r="W92" i="18"/>
  <c r="V92" i="18"/>
  <c r="U92" i="18"/>
  <c r="T92" i="18"/>
  <c r="S92" i="18"/>
  <c r="R92" i="18"/>
  <c r="Q92" i="18"/>
  <c r="P92" i="18"/>
  <c r="AG91" i="18"/>
  <c r="AF91" i="18"/>
  <c r="AE91" i="18"/>
  <c r="AD91" i="18"/>
  <c r="AC91" i="18"/>
  <c r="AB91" i="18"/>
  <c r="AA91" i="18"/>
  <c r="Z91" i="18"/>
  <c r="Y91" i="18"/>
  <c r="X91" i="18"/>
  <c r="W91" i="18"/>
  <c r="V91" i="18"/>
  <c r="U91" i="18"/>
  <c r="T91" i="18"/>
  <c r="S91" i="18"/>
  <c r="R91" i="18"/>
  <c r="Q91" i="18"/>
  <c r="P91" i="18"/>
  <c r="AG90" i="18"/>
  <c r="AF90" i="18"/>
  <c r="AE90" i="18"/>
  <c r="AD90" i="18"/>
  <c r="AC90" i="18"/>
  <c r="AB90" i="18"/>
  <c r="AA90" i="18"/>
  <c r="Z90" i="18"/>
  <c r="Y90" i="18"/>
  <c r="X90" i="18"/>
  <c r="W90" i="18"/>
  <c r="V90" i="18"/>
  <c r="U90" i="18"/>
  <c r="T90" i="18"/>
  <c r="S90" i="18"/>
  <c r="R90" i="18"/>
  <c r="Q90" i="18"/>
  <c r="P90" i="18"/>
  <c r="AG89" i="18"/>
  <c r="AF89" i="18"/>
  <c r="AE89" i="18"/>
  <c r="AD89" i="18"/>
  <c r="AC89" i="18"/>
  <c r="AB89" i="18"/>
  <c r="AA89" i="18"/>
  <c r="Z89" i="18"/>
  <c r="Y89" i="18"/>
  <c r="X89" i="18"/>
  <c r="W89" i="18"/>
  <c r="V89" i="18"/>
  <c r="U89" i="18"/>
  <c r="T89" i="18"/>
  <c r="S89" i="18"/>
  <c r="R89" i="18"/>
  <c r="Q89" i="18"/>
  <c r="P89" i="18"/>
  <c r="AG88" i="18"/>
  <c r="AF88" i="18"/>
  <c r="AE88" i="18"/>
  <c r="AD88" i="18"/>
  <c r="AC88" i="18"/>
  <c r="AB88" i="18"/>
  <c r="AA88" i="18"/>
  <c r="Z88" i="18"/>
  <c r="Y88" i="18"/>
  <c r="X88" i="18"/>
  <c r="W88" i="18"/>
  <c r="V88" i="18"/>
  <c r="U88" i="18"/>
  <c r="T88" i="18"/>
  <c r="S88" i="18"/>
  <c r="R88" i="18"/>
  <c r="Q88" i="18"/>
  <c r="P88" i="18"/>
  <c r="AG87" i="18"/>
  <c r="AF87" i="18"/>
  <c r="AE87" i="18"/>
  <c r="AD87" i="18"/>
  <c r="AC87" i="18"/>
  <c r="AB87" i="18"/>
  <c r="AA87" i="18"/>
  <c r="Z87" i="18"/>
  <c r="Y87" i="18"/>
  <c r="X87" i="18"/>
  <c r="W87" i="18"/>
  <c r="V87" i="18"/>
  <c r="U87" i="18"/>
  <c r="T87" i="18"/>
  <c r="S87" i="18"/>
  <c r="R87" i="18"/>
  <c r="Q87" i="18"/>
  <c r="P87" i="18"/>
  <c r="AG86" i="18"/>
  <c r="AF86" i="18"/>
  <c r="AE86" i="18"/>
  <c r="AD86" i="18"/>
  <c r="AC86" i="18"/>
  <c r="AB86" i="18"/>
  <c r="AA86" i="18"/>
  <c r="Z86" i="18"/>
  <c r="Y86" i="18"/>
  <c r="X86" i="18"/>
  <c r="W86" i="18"/>
  <c r="V86" i="18"/>
  <c r="U86" i="18"/>
  <c r="T86" i="18"/>
  <c r="S86" i="18"/>
  <c r="R86" i="18"/>
  <c r="Q86" i="18"/>
  <c r="P86" i="18"/>
  <c r="AG85" i="18"/>
  <c r="AF85" i="18"/>
  <c r="AE85" i="18"/>
  <c r="AD85" i="18"/>
  <c r="AC85" i="18"/>
  <c r="AB85" i="18"/>
  <c r="AA85" i="18"/>
  <c r="Z85" i="18"/>
  <c r="Y85" i="18"/>
  <c r="X85" i="18"/>
  <c r="W85" i="18"/>
  <c r="V85" i="18"/>
  <c r="U85" i="18"/>
  <c r="T85" i="18"/>
  <c r="S85" i="18"/>
  <c r="R85" i="18"/>
  <c r="Q85" i="18"/>
  <c r="P85" i="18"/>
  <c r="AG84" i="18"/>
  <c r="AF84" i="18"/>
  <c r="AE84" i="18"/>
  <c r="AD84" i="18"/>
  <c r="AC84" i="18"/>
  <c r="AB84" i="18"/>
  <c r="AA84" i="18"/>
  <c r="Z84" i="18"/>
  <c r="Y84" i="18"/>
  <c r="X84" i="18"/>
  <c r="W84" i="18"/>
  <c r="V84" i="18"/>
  <c r="U84" i="18"/>
  <c r="T84" i="18"/>
  <c r="S84" i="18"/>
  <c r="R84" i="18"/>
  <c r="Q84" i="18"/>
  <c r="P84" i="18"/>
  <c r="AG83" i="18"/>
  <c r="AF83" i="18"/>
  <c r="AE83" i="18"/>
  <c r="AD83" i="18"/>
  <c r="AC83" i="18"/>
  <c r="AB83" i="18"/>
  <c r="AA83" i="18"/>
  <c r="Z83" i="18"/>
  <c r="Y83" i="18"/>
  <c r="X83" i="18"/>
  <c r="W83" i="18"/>
  <c r="V83" i="18"/>
  <c r="U83" i="18"/>
  <c r="T83" i="18"/>
  <c r="S83" i="18"/>
  <c r="R83" i="18"/>
  <c r="Q83" i="18"/>
  <c r="P83" i="18"/>
  <c r="AG82" i="18"/>
  <c r="AF82" i="18"/>
  <c r="AE82" i="18"/>
  <c r="AD82" i="18"/>
  <c r="AC82" i="18"/>
  <c r="AB82" i="18"/>
  <c r="AA82" i="18"/>
  <c r="Z82" i="18"/>
  <c r="Y82" i="18"/>
  <c r="X82" i="18"/>
  <c r="W82" i="18"/>
  <c r="V82" i="18"/>
  <c r="U82" i="18"/>
  <c r="T82" i="18"/>
  <c r="S82" i="18"/>
  <c r="R82" i="18"/>
  <c r="Q82" i="18"/>
  <c r="P82" i="18"/>
  <c r="AG81" i="18"/>
  <c r="AF81" i="18"/>
  <c r="AE81" i="18"/>
  <c r="AD81" i="18"/>
  <c r="AC81" i="18"/>
  <c r="AB81" i="18"/>
  <c r="AA81" i="18"/>
  <c r="Z81" i="18"/>
  <c r="Y81" i="18"/>
  <c r="X81" i="18"/>
  <c r="W81" i="18"/>
  <c r="V81" i="18"/>
  <c r="U81" i="18"/>
  <c r="T81" i="18"/>
  <c r="S81" i="18"/>
  <c r="R81" i="18"/>
  <c r="Q81" i="18"/>
  <c r="P81" i="18"/>
  <c r="AG80" i="18"/>
  <c r="AF80" i="18"/>
  <c r="AE80" i="18"/>
  <c r="AD80" i="18"/>
  <c r="AC80" i="18"/>
  <c r="AB80" i="18"/>
  <c r="AA80" i="18"/>
  <c r="Z80" i="18"/>
  <c r="Y80" i="18"/>
  <c r="X80" i="18"/>
  <c r="W80" i="18"/>
  <c r="V80" i="18"/>
  <c r="U80" i="18"/>
  <c r="T80" i="18"/>
  <c r="S80" i="18"/>
  <c r="R80" i="18"/>
  <c r="Q80" i="18"/>
  <c r="P80" i="18"/>
  <c r="AG79" i="18"/>
  <c r="AF79" i="18"/>
  <c r="AE79" i="18"/>
  <c r="AD79" i="18"/>
  <c r="AC79" i="18"/>
  <c r="AB79" i="18"/>
  <c r="AA79" i="18"/>
  <c r="Z79" i="18"/>
  <c r="Y79" i="18"/>
  <c r="X79" i="18"/>
  <c r="W79" i="18"/>
  <c r="V79" i="18"/>
  <c r="U79" i="18"/>
  <c r="T79" i="18"/>
  <c r="S79" i="18"/>
  <c r="R79" i="18"/>
  <c r="Q79" i="18"/>
  <c r="P79" i="18"/>
  <c r="AG78" i="18"/>
  <c r="AF78" i="18"/>
  <c r="AE78" i="18"/>
  <c r="AD78" i="18"/>
  <c r="AC78" i="18"/>
  <c r="AB78" i="18"/>
  <c r="AA78" i="18"/>
  <c r="Z78" i="18"/>
  <c r="Y78" i="18"/>
  <c r="X78" i="18"/>
  <c r="W78" i="18"/>
  <c r="V78" i="18"/>
  <c r="U78" i="18"/>
  <c r="T78" i="18"/>
  <c r="S78" i="18"/>
  <c r="R78" i="18"/>
  <c r="Q78" i="18"/>
  <c r="P78" i="18"/>
  <c r="AG77" i="18"/>
  <c r="AF77" i="18"/>
  <c r="AE77" i="18"/>
  <c r="AD77" i="18"/>
  <c r="AC77" i="18"/>
  <c r="AB77" i="18"/>
  <c r="AA77" i="18"/>
  <c r="Z77" i="18"/>
  <c r="Y77" i="18"/>
  <c r="X77" i="18"/>
  <c r="W77" i="18"/>
  <c r="V77" i="18"/>
  <c r="U77" i="18"/>
  <c r="T77" i="18"/>
  <c r="S77" i="18"/>
  <c r="R77" i="18"/>
  <c r="Q77" i="18"/>
  <c r="P77" i="18"/>
  <c r="AG76" i="18"/>
  <c r="AF76" i="18"/>
  <c r="AE76" i="18"/>
  <c r="AD76" i="18"/>
  <c r="AC76" i="18"/>
  <c r="AB76" i="18"/>
  <c r="AA76" i="18"/>
  <c r="Z76" i="18"/>
  <c r="Y76" i="18"/>
  <c r="X76" i="18"/>
  <c r="W76" i="18"/>
  <c r="V76" i="18"/>
  <c r="U76" i="18"/>
  <c r="T76" i="18"/>
  <c r="S76" i="18"/>
  <c r="R76" i="18"/>
  <c r="Q76" i="18"/>
  <c r="P76" i="18"/>
  <c r="AG75" i="18"/>
  <c r="AF75" i="18"/>
  <c r="AE75" i="18"/>
  <c r="AD75" i="18"/>
  <c r="AC75" i="18"/>
  <c r="AB75" i="18"/>
  <c r="AA75" i="18"/>
  <c r="Z75" i="18"/>
  <c r="Y75" i="18"/>
  <c r="X75" i="18"/>
  <c r="W75" i="18"/>
  <c r="V75" i="18"/>
  <c r="U75" i="18"/>
  <c r="T75" i="18"/>
  <c r="S75" i="18"/>
  <c r="R75" i="18"/>
  <c r="Q75" i="18"/>
  <c r="P75" i="18"/>
  <c r="AG74" i="18"/>
  <c r="AF74" i="18"/>
  <c r="AE74" i="18"/>
  <c r="AD74" i="18"/>
  <c r="AC74" i="18"/>
  <c r="AB74" i="18"/>
  <c r="AA74" i="18"/>
  <c r="Z74" i="18"/>
  <c r="Y74" i="18"/>
  <c r="X74" i="18"/>
  <c r="W74" i="18"/>
  <c r="V74" i="18"/>
  <c r="U74" i="18"/>
  <c r="T74" i="18"/>
  <c r="S74" i="18"/>
  <c r="R74" i="18"/>
  <c r="Q74" i="18"/>
  <c r="P74" i="18"/>
  <c r="AG73" i="18"/>
  <c r="AF73" i="18"/>
  <c r="AE73" i="18"/>
  <c r="AD73" i="18"/>
  <c r="AC73" i="18"/>
  <c r="AB73" i="18"/>
  <c r="AA73" i="18"/>
  <c r="Z73" i="18"/>
  <c r="Y73" i="18"/>
  <c r="X73" i="18"/>
  <c r="W73" i="18"/>
  <c r="V73" i="18"/>
  <c r="U73" i="18"/>
  <c r="T73" i="18"/>
  <c r="S73" i="18"/>
  <c r="R73" i="18"/>
  <c r="Q73" i="18"/>
  <c r="P73" i="18"/>
  <c r="AG72" i="18"/>
  <c r="AF72" i="18"/>
  <c r="AE72" i="18"/>
  <c r="AD72" i="18"/>
  <c r="AC72" i="18"/>
  <c r="AB72" i="18"/>
  <c r="AA72" i="18"/>
  <c r="Z72" i="18"/>
  <c r="Y72" i="18"/>
  <c r="X72" i="18"/>
  <c r="W72" i="18"/>
  <c r="V72" i="18"/>
  <c r="U72" i="18"/>
  <c r="T72" i="18"/>
  <c r="S72" i="18"/>
  <c r="R72" i="18"/>
  <c r="Q72" i="18"/>
  <c r="P72" i="18"/>
  <c r="AG71" i="18"/>
  <c r="AF71" i="18"/>
  <c r="AE71" i="18"/>
  <c r="AD71" i="18"/>
  <c r="AC71" i="18"/>
  <c r="AB71" i="18"/>
  <c r="AA71" i="18"/>
  <c r="Z71" i="18"/>
  <c r="Y71" i="18"/>
  <c r="X71" i="18"/>
  <c r="W71" i="18"/>
  <c r="V71" i="18"/>
  <c r="U71" i="18"/>
  <c r="T71" i="18"/>
  <c r="S71" i="18"/>
  <c r="R71" i="18"/>
  <c r="Q71" i="18"/>
  <c r="P71" i="18"/>
  <c r="AG70" i="18"/>
  <c r="AF70" i="18"/>
  <c r="AE70" i="18"/>
  <c r="AD70" i="18"/>
  <c r="AC70" i="18"/>
  <c r="AB70" i="18"/>
  <c r="AA70" i="18"/>
  <c r="Z70" i="18"/>
  <c r="Y70" i="18"/>
  <c r="X70" i="18"/>
  <c r="W70" i="18"/>
  <c r="V70" i="18"/>
  <c r="U70" i="18"/>
  <c r="T70" i="18"/>
  <c r="S70" i="18"/>
  <c r="R70" i="18"/>
  <c r="Q70" i="18"/>
  <c r="P70" i="18"/>
  <c r="AG69" i="18"/>
  <c r="AF69" i="18"/>
  <c r="AE69" i="18"/>
  <c r="AD69" i="18"/>
  <c r="AC69" i="18"/>
  <c r="AB69" i="18"/>
  <c r="AA69" i="18"/>
  <c r="Z69" i="18"/>
  <c r="Y69" i="18"/>
  <c r="X69" i="18"/>
  <c r="W69" i="18"/>
  <c r="V69" i="18"/>
  <c r="U69" i="18"/>
  <c r="T69" i="18"/>
  <c r="S69" i="18"/>
  <c r="R69" i="18"/>
  <c r="Q69" i="18"/>
  <c r="P69" i="18"/>
  <c r="AG68" i="18"/>
  <c r="AF68" i="18"/>
  <c r="AE68" i="18"/>
  <c r="AD68" i="18"/>
  <c r="AC68" i="18"/>
  <c r="AB68" i="18"/>
  <c r="AA68" i="18"/>
  <c r="Z68" i="18"/>
  <c r="Y68" i="18"/>
  <c r="X68" i="18"/>
  <c r="W68" i="18"/>
  <c r="V68" i="18"/>
  <c r="U68" i="18"/>
  <c r="T68" i="18"/>
  <c r="S68" i="18"/>
  <c r="R68" i="18"/>
  <c r="Q68" i="18"/>
  <c r="P68" i="18"/>
  <c r="AG67" i="18"/>
  <c r="AF67" i="18"/>
  <c r="AE67" i="18"/>
  <c r="AD67" i="18"/>
  <c r="AC67" i="18"/>
  <c r="AB67" i="18"/>
  <c r="AA67" i="18"/>
  <c r="Z67" i="18"/>
  <c r="Y67" i="18"/>
  <c r="X67" i="18"/>
  <c r="W67" i="18"/>
  <c r="V67" i="18"/>
  <c r="U67" i="18"/>
  <c r="T67" i="18"/>
  <c r="S67" i="18"/>
  <c r="R67" i="18"/>
  <c r="Q67" i="18"/>
  <c r="P67" i="18"/>
  <c r="AG66" i="18"/>
  <c r="AF66" i="18"/>
  <c r="AE66" i="18"/>
  <c r="AD66" i="18"/>
  <c r="AC66" i="18"/>
  <c r="AB66" i="18"/>
  <c r="AA66" i="18"/>
  <c r="Z66" i="18"/>
  <c r="Y66" i="18"/>
  <c r="X66" i="18"/>
  <c r="W66" i="18"/>
  <c r="V66" i="18"/>
  <c r="U66" i="18"/>
  <c r="T66" i="18"/>
  <c r="S66" i="18"/>
  <c r="R66" i="18"/>
  <c r="Q66" i="18"/>
  <c r="P66" i="18"/>
  <c r="AG65" i="18"/>
  <c r="AF65" i="18"/>
  <c r="AE65" i="18"/>
  <c r="AD65" i="18"/>
  <c r="AC65" i="18"/>
  <c r="AB65" i="18"/>
  <c r="AA65" i="18"/>
  <c r="Z65" i="18"/>
  <c r="Y65" i="18"/>
  <c r="X65" i="18"/>
  <c r="W65" i="18"/>
  <c r="V65" i="18"/>
  <c r="U65" i="18"/>
  <c r="T65" i="18"/>
  <c r="S65" i="18"/>
  <c r="R65" i="18"/>
  <c r="Q65" i="18"/>
  <c r="P65" i="18"/>
  <c r="AG64" i="18"/>
  <c r="AF64" i="18"/>
  <c r="AE64" i="18"/>
  <c r="AD64" i="18"/>
  <c r="AC64" i="18"/>
  <c r="AB64" i="18"/>
  <c r="AA64" i="18"/>
  <c r="Z64" i="18"/>
  <c r="Y64" i="18"/>
  <c r="X64" i="18"/>
  <c r="W64" i="18"/>
  <c r="V64" i="18"/>
  <c r="U64" i="18"/>
  <c r="T64" i="18"/>
  <c r="S64" i="18"/>
  <c r="R64" i="18"/>
  <c r="Q64" i="18"/>
  <c r="P64" i="18"/>
  <c r="AG63" i="18"/>
  <c r="AF63" i="18"/>
  <c r="AE63" i="18"/>
  <c r="AD63" i="18"/>
  <c r="AC63" i="18"/>
  <c r="AB63" i="18"/>
  <c r="AA63" i="18"/>
  <c r="Z63" i="18"/>
  <c r="Y63" i="18"/>
  <c r="X63" i="18"/>
  <c r="W63" i="18"/>
  <c r="V63" i="18"/>
  <c r="U63" i="18"/>
  <c r="T63" i="18"/>
  <c r="S63" i="18"/>
  <c r="R63" i="18"/>
  <c r="Q63" i="18"/>
  <c r="P63" i="18"/>
  <c r="AG62" i="18"/>
  <c r="AF62" i="18"/>
  <c r="AE62" i="18"/>
  <c r="AD62" i="18"/>
  <c r="AC62" i="18"/>
  <c r="AB62" i="18"/>
  <c r="AA62" i="18"/>
  <c r="Z62" i="18"/>
  <c r="Y62" i="18"/>
  <c r="X62" i="18"/>
  <c r="W62" i="18"/>
  <c r="V62" i="18"/>
  <c r="U62" i="18"/>
  <c r="T62" i="18"/>
  <c r="S62" i="18"/>
  <c r="R62" i="18"/>
  <c r="Q62" i="18"/>
  <c r="P62" i="18"/>
  <c r="AG61" i="18"/>
  <c r="AF61" i="18"/>
  <c r="AE61" i="18"/>
  <c r="AD61" i="18"/>
  <c r="AC61" i="18"/>
  <c r="AB61" i="18"/>
  <c r="AA61" i="18"/>
  <c r="Z61" i="18"/>
  <c r="Y61" i="18"/>
  <c r="X61" i="18"/>
  <c r="W61" i="18"/>
  <c r="V61" i="18"/>
  <c r="U61" i="18"/>
  <c r="T61" i="18"/>
  <c r="S61" i="18"/>
  <c r="R61" i="18"/>
  <c r="Q61" i="18"/>
  <c r="P61" i="18"/>
  <c r="AG60" i="18"/>
  <c r="AF60" i="18"/>
  <c r="AE60" i="18"/>
  <c r="AD60" i="18"/>
  <c r="AC60" i="18"/>
  <c r="AB60" i="18"/>
  <c r="AA60" i="18"/>
  <c r="Z60" i="18"/>
  <c r="Y60" i="18"/>
  <c r="X60" i="18"/>
  <c r="W60" i="18"/>
  <c r="V60" i="18"/>
  <c r="U60" i="18"/>
  <c r="T60" i="18"/>
  <c r="S60" i="18"/>
  <c r="R60" i="18"/>
  <c r="Q60" i="18"/>
  <c r="P60" i="18"/>
  <c r="AG59" i="18"/>
  <c r="AF59" i="18"/>
  <c r="AE59" i="18"/>
  <c r="AD59" i="18"/>
  <c r="AC59" i="18"/>
  <c r="AB59" i="18"/>
  <c r="AA59" i="18"/>
  <c r="Z59" i="18"/>
  <c r="Y59" i="18"/>
  <c r="X59" i="18"/>
  <c r="W59" i="18"/>
  <c r="V59" i="18"/>
  <c r="U59" i="18"/>
  <c r="T59" i="18"/>
  <c r="S59" i="18"/>
  <c r="R59" i="18"/>
  <c r="Q59" i="18"/>
  <c r="P59" i="18"/>
  <c r="AG58" i="18"/>
  <c r="AF58" i="18"/>
  <c r="AE58" i="18"/>
  <c r="AD58" i="18"/>
  <c r="AC58" i="18"/>
  <c r="AB58" i="18"/>
  <c r="AA58" i="18"/>
  <c r="Z58" i="18"/>
  <c r="Y58" i="18"/>
  <c r="X58" i="18"/>
  <c r="W58" i="18"/>
  <c r="V58" i="18"/>
  <c r="U58" i="18"/>
  <c r="T58" i="18"/>
  <c r="S58" i="18"/>
  <c r="R58" i="18"/>
  <c r="Q58" i="18"/>
  <c r="P58" i="18"/>
  <c r="AG57" i="18"/>
  <c r="AF57" i="18"/>
  <c r="AE57" i="18"/>
  <c r="AD57" i="18"/>
  <c r="AC57" i="18"/>
  <c r="AB57" i="18"/>
  <c r="AA57" i="18"/>
  <c r="Z57" i="18"/>
  <c r="Y57" i="18"/>
  <c r="X57" i="18"/>
  <c r="W57" i="18"/>
  <c r="V57" i="18"/>
  <c r="U57" i="18"/>
  <c r="T57" i="18"/>
  <c r="S57" i="18"/>
  <c r="R57" i="18"/>
  <c r="Q57" i="18"/>
  <c r="P57" i="18"/>
  <c r="AG56" i="18"/>
  <c r="AF56" i="18"/>
  <c r="AE56" i="18"/>
  <c r="AD56" i="18"/>
  <c r="AC56" i="18"/>
  <c r="AB56" i="18"/>
  <c r="AA56" i="18"/>
  <c r="Z56" i="18"/>
  <c r="Y56" i="18"/>
  <c r="X56" i="18"/>
  <c r="W56" i="18"/>
  <c r="V56" i="18"/>
  <c r="U56" i="18"/>
  <c r="T56" i="18"/>
  <c r="S56" i="18"/>
  <c r="R56" i="18"/>
  <c r="Q56" i="18"/>
  <c r="P56" i="18"/>
  <c r="AG55" i="18"/>
  <c r="AF55" i="18"/>
  <c r="AE55" i="18"/>
  <c r="AD55" i="18"/>
  <c r="AC55" i="18"/>
  <c r="AB55" i="18"/>
  <c r="AA55" i="18"/>
  <c r="Z55" i="18"/>
  <c r="Y55" i="18"/>
  <c r="X55" i="18"/>
  <c r="W55" i="18"/>
  <c r="V55" i="18"/>
  <c r="U55" i="18"/>
  <c r="T55" i="18"/>
  <c r="S55" i="18"/>
  <c r="R55" i="18"/>
  <c r="Q55" i="18"/>
  <c r="P55" i="18"/>
  <c r="AG54" i="18"/>
  <c r="AF54" i="18"/>
  <c r="AE54" i="18"/>
  <c r="AD54" i="18"/>
  <c r="AC54" i="18"/>
  <c r="AB54" i="18"/>
  <c r="AA54" i="18"/>
  <c r="Z54" i="18"/>
  <c r="Y54" i="18"/>
  <c r="X54" i="18"/>
  <c r="W54" i="18"/>
  <c r="V54" i="18"/>
  <c r="U54" i="18"/>
  <c r="T54" i="18"/>
  <c r="S54" i="18"/>
  <c r="R54" i="18"/>
  <c r="Q54" i="18"/>
  <c r="P54" i="18"/>
  <c r="AG53" i="18"/>
  <c r="AF53" i="18"/>
  <c r="AE53" i="18"/>
  <c r="AD53" i="18"/>
  <c r="AC53" i="18"/>
  <c r="AB53" i="18"/>
  <c r="AA53" i="18"/>
  <c r="Z53" i="18"/>
  <c r="Y53" i="18"/>
  <c r="X53" i="18"/>
  <c r="W53" i="18"/>
  <c r="V53" i="18"/>
  <c r="U53" i="18"/>
  <c r="T53" i="18"/>
  <c r="S53" i="18"/>
  <c r="R53" i="18"/>
  <c r="Q53" i="18"/>
  <c r="P53" i="18"/>
  <c r="AG52" i="18"/>
  <c r="AF52" i="18"/>
  <c r="AE52" i="18"/>
  <c r="AD52" i="18"/>
  <c r="AC52" i="18"/>
  <c r="AB52" i="18"/>
  <c r="AA52" i="18"/>
  <c r="Z52" i="18"/>
  <c r="Y52" i="18"/>
  <c r="X52" i="18"/>
  <c r="W52" i="18"/>
  <c r="V52" i="18"/>
  <c r="U52" i="18"/>
  <c r="T52" i="18"/>
  <c r="S52" i="18"/>
  <c r="R52" i="18"/>
  <c r="Q52" i="18"/>
  <c r="P52" i="18"/>
  <c r="AG51" i="18"/>
  <c r="AF51" i="18"/>
  <c r="AE51" i="18"/>
  <c r="AD51" i="18"/>
  <c r="AC51" i="18"/>
  <c r="AB51" i="18"/>
  <c r="AA51" i="18"/>
  <c r="Z51" i="18"/>
  <c r="Y51" i="18"/>
  <c r="X51" i="18"/>
  <c r="W51" i="18"/>
  <c r="V51" i="18"/>
  <c r="U51" i="18"/>
  <c r="T51" i="18"/>
  <c r="S51" i="18"/>
  <c r="R51" i="18"/>
  <c r="Q51" i="18"/>
  <c r="P51" i="18"/>
  <c r="AG50" i="18"/>
  <c r="AF50" i="18"/>
  <c r="AE50" i="18"/>
  <c r="AD50" i="18"/>
  <c r="AC50" i="18"/>
  <c r="AB50" i="18"/>
  <c r="AA50" i="18"/>
  <c r="Z50" i="18"/>
  <c r="Y50" i="18"/>
  <c r="X50" i="18"/>
  <c r="W50" i="18"/>
  <c r="V50" i="18"/>
  <c r="U50" i="18"/>
  <c r="T50" i="18"/>
  <c r="S50" i="18"/>
  <c r="R50" i="18"/>
  <c r="Q50" i="18"/>
  <c r="P50" i="18"/>
  <c r="AG49" i="18"/>
  <c r="AF49" i="18"/>
  <c r="AE49" i="18"/>
  <c r="AD49" i="18"/>
  <c r="AC49" i="18"/>
  <c r="AB49" i="18"/>
  <c r="AA49" i="18"/>
  <c r="Z49" i="18"/>
  <c r="Y49" i="18"/>
  <c r="X49" i="18"/>
  <c r="W49" i="18"/>
  <c r="V49" i="18"/>
  <c r="U49" i="18"/>
  <c r="T49" i="18"/>
  <c r="S49" i="18"/>
  <c r="R49" i="18"/>
  <c r="Q49" i="18"/>
  <c r="P49" i="18"/>
  <c r="AG48" i="18"/>
  <c r="AF48" i="18"/>
  <c r="AE48" i="18"/>
  <c r="AD48" i="18"/>
  <c r="AC48" i="18"/>
  <c r="AB48" i="18"/>
  <c r="AA48" i="18"/>
  <c r="Z48" i="18"/>
  <c r="Y48" i="18"/>
  <c r="X48" i="18"/>
  <c r="W48" i="18"/>
  <c r="V48" i="18"/>
  <c r="U48" i="18"/>
  <c r="T48" i="18"/>
  <c r="S48" i="18"/>
  <c r="R48" i="18"/>
  <c r="Q48" i="18"/>
  <c r="P48" i="18"/>
  <c r="AG47" i="18"/>
  <c r="AF47" i="18"/>
  <c r="AE47" i="18"/>
  <c r="AD47" i="18"/>
  <c r="AC47" i="18"/>
  <c r="AB47" i="18"/>
  <c r="AA47" i="18"/>
  <c r="Z47" i="18"/>
  <c r="Y47" i="18"/>
  <c r="X47" i="18"/>
  <c r="W47" i="18"/>
  <c r="V47" i="18"/>
  <c r="U47" i="18"/>
  <c r="T47" i="18"/>
  <c r="S47" i="18"/>
  <c r="R47" i="18"/>
  <c r="Q47" i="18"/>
  <c r="P47" i="18"/>
  <c r="AG46" i="18"/>
  <c r="AF46" i="18"/>
  <c r="AE46" i="18"/>
  <c r="AD46" i="18"/>
  <c r="AC46" i="18"/>
  <c r="AB46" i="18"/>
  <c r="AA46" i="18"/>
  <c r="Z46" i="18"/>
  <c r="Y46" i="18"/>
  <c r="X46" i="18"/>
  <c r="W46" i="18"/>
  <c r="V46" i="18"/>
  <c r="U46" i="18"/>
  <c r="T46" i="18"/>
  <c r="S46" i="18"/>
  <c r="R46" i="18"/>
  <c r="Q46" i="18"/>
  <c r="P46" i="18"/>
  <c r="AG45" i="18"/>
  <c r="AF45" i="18"/>
  <c r="AE45" i="18"/>
  <c r="AD45" i="18"/>
  <c r="AC45" i="18"/>
  <c r="AB45" i="18"/>
  <c r="AA45" i="18"/>
  <c r="Z45" i="18"/>
  <c r="Y45" i="18"/>
  <c r="X45" i="18"/>
  <c r="W45" i="18"/>
  <c r="V45" i="18"/>
  <c r="U45" i="18"/>
  <c r="T45" i="18"/>
  <c r="S45" i="18"/>
  <c r="R45" i="18"/>
  <c r="Q45" i="18"/>
  <c r="P45" i="18"/>
  <c r="AG44" i="18"/>
  <c r="AF44" i="18"/>
  <c r="AE44" i="18"/>
  <c r="AD44" i="18"/>
  <c r="AC44" i="18"/>
  <c r="AB44" i="18"/>
  <c r="AA44" i="18"/>
  <c r="Z44" i="18"/>
  <c r="Y44" i="18"/>
  <c r="X44" i="18"/>
  <c r="W44" i="18"/>
  <c r="V44" i="18"/>
  <c r="U44" i="18"/>
  <c r="T44" i="18"/>
  <c r="S44" i="18"/>
  <c r="R44" i="18"/>
  <c r="Q44" i="18"/>
  <c r="P44" i="18"/>
  <c r="AG43" i="18"/>
  <c r="AF43" i="18"/>
  <c r="AE43" i="18"/>
  <c r="AD43" i="18"/>
  <c r="AC43" i="18"/>
  <c r="AB43" i="18"/>
  <c r="AA43" i="18"/>
  <c r="Z43" i="18"/>
  <c r="Y43" i="18"/>
  <c r="X43" i="18"/>
  <c r="W43" i="18"/>
  <c r="V43" i="18"/>
  <c r="U43" i="18"/>
  <c r="T43" i="18"/>
  <c r="S43" i="18"/>
  <c r="R43" i="18"/>
  <c r="Q43" i="18"/>
  <c r="P43" i="18"/>
  <c r="AG42" i="18"/>
  <c r="AF42" i="18"/>
  <c r="AE42" i="18"/>
  <c r="AD42" i="18"/>
  <c r="AC42" i="18"/>
  <c r="AB42" i="18"/>
  <c r="AA42" i="18"/>
  <c r="Z42" i="18"/>
  <c r="Y42" i="18"/>
  <c r="X42" i="18"/>
  <c r="W42" i="18"/>
  <c r="V42" i="18"/>
  <c r="U42" i="18"/>
  <c r="T42" i="18"/>
  <c r="S42" i="18"/>
  <c r="R42" i="18"/>
  <c r="Q42" i="18"/>
  <c r="P42" i="18"/>
  <c r="AG41" i="18"/>
  <c r="AF41" i="18"/>
  <c r="AE41" i="18"/>
  <c r="AD41" i="18"/>
  <c r="AC41" i="18"/>
  <c r="AB41" i="18"/>
  <c r="AA41" i="18"/>
  <c r="Z41" i="18"/>
  <c r="Y41" i="18"/>
  <c r="X41" i="18"/>
  <c r="W41" i="18"/>
  <c r="V41" i="18"/>
  <c r="U41" i="18"/>
  <c r="T41" i="18"/>
  <c r="S41" i="18"/>
  <c r="R41" i="18"/>
  <c r="Q41" i="18"/>
  <c r="P41" i="18"/>
  <c r="AG40" i="18"/>
  <c r="AF40" i="18"/>
  <c r="AE40" i="18"/>
  <c r="AD40" i="18"/>
  <c r="AC40" i="18"/>
  <c r="AB40" i="18"/>
  <c r="AA40" i="18"/>
  <c r="Z40" i="18"/>
  <c r="Y40" i="18"/>
  <c r="X40" i="18"/>
  <c r="W40" i="18"/>
  <c r="V40" i="18"/>
  <c r="U40" i="18"/>
  <c r="T40" i="18"/>
  <c r="S40" i="18"/>
  <c r="R40" i="18"/>
  <c r="Q40" i="18"/>
  <c r="P40" i="18"/>
  <c r="AG39" i="18"/>
  <c r="AF39" i="18"/>
  <c r="AE39" i="18"/>
  <c r="AD39" i="18"/>
  <c r="AC39" i="18"/>
  <c r="AB39" i="18"/>
  <c r="AA39" i="18"/>
  <c r="Z39" i="18"/>
  <c r="Y39" i="18"/>
  <c r="X39" i="18"/>
  <c r="W39" i="18"/>
  <c r="V39" i="18"/>
  <c r="U39" i="18"/>
  <c r="T39" i="18"/>
  <c r="S39" i="18"/>
  <c r="R39" i="18"/>
  <c r="Q39" i="18"/>
  <c r="P39" i="18"/>
  <c r="AG38" i="18"/>
  <c r="AF38" i="18"/>
  <c r="AE38" i="18"/>
  <c r="AD38" i="18"/>
  <c r="AC38" i="18"/>
  <c r="AB38" i="18"/>
  <c r="AA38" i="18"/>
  <c r="Z38" i="18"/>
  <c r="Y38" i="18"/>
  <c r="X38" i="18"/>
  <c r="W38" i="18"/>
  <c r="V38" i="18"/>
  <c r="U38" i="18"/>
  <c r="T38" i="18"/>
  <c r="S38" i="18"/>
  <c r="R38" i="18"/>
  <c r="Q38" i="18"/>
  <c r="P38" i="18"/>
  <c r="AG37" i="18"/>
  <c r="AF37" i="18"/>
  <c r="AE37" i="18"/>
  <c r="AD37" i="18"/>
  <c r="AC37" i="18"/>
  <c r="AB37" i="18"/>
  <c r="AA37" i="18"/>
  <c r="Z37" i="18"/>
  <c r="Y37" i="18"/>
  <c r="X37" i="18"/>
  <c r="W37" i="18"/>
  <c r="V37" i="18"/>
  <c r="U37" i="18"/>
  <c r="T37" i="18"/>
  <c r="S37" i="18"/>
  <c r="R37" i="18"/>
  <c r="Q37" i="18"/>
  <c r="P37" i="18"/>
  <c r="AG36" i="18"/>
  <c r="AF36" i="18"/>
  <c r="AE36" i="18"/>
  <c r="AD36" i="18"/>
  <c r="AC36" i="18"/>
  <c r="AB36" i="18"/>
  <c r="AA36" i="18"/>
  <c r="Z36" i="18"/>
  <c r="Y36" i="18"/>
  <c r="X36" i="18"/>
  <c r="W36" i="18"/>
  <c r="V36" i="18"/>
  <c r="U36" i="18"/>
  <c r="T36" i="18"/>
  <c r="S36" i="18"/>
  <c r="R36" i="18"/>
  <c r="Q36" i="18"/>
  <c r="P36" i="18"/>
  <c r="AG35" i="18"/>
  <c r="AF35" i="18"/>
  <c r="AE35" i="18"/>
  <c r="AD35" i="18"/>
  <c r="AC35" i="18"/>
  <c r="AB35" i="18"/>
  <c r="AA35" i="18"/>
  <c r="Z35" i="18"/>
  <c r="Y35" i="18"/>
  <c r="X35" i="18"/>
  <c r="W35" i="18"/>
  <c r="V35" i="18"/>
  <c r="U35" i="18"/>
  <c r="T35" i="18"/>
  <c r="S35" i="18"/>
  <c r="R35" i="18"/>
  <c r="Q35" i="18"/>
  <c r="P35" i="18"/>
  <c r="AG34" i="18"/>
  <c r="AF34" i="18"/>
  <c r="AE34" i="18"/>
  <c r="AD34" i="18"/>
  <c r="AC34" i="18"/>
  <c r="AB34" i="18"/>
  <c r="AA34" i="18"/>
  <c r="Z34" i="18"/>
  <c r="Y34" i="18"/>
  <c r="X34" i="18"/>
  <c r="W34" i="18"/>
  <c r="V34" i="18"/>
  <c r="U34" i="18"/>
  <c r="T34" i="18"/>
  <c r="S34" i="18"/>
  <c r="R34" i="18"/>
  <c r="Q34" i="18"/>
  <c r="P34" i="18"/>
  <c r="AG33" i="18"/>
  <c r="AF33" i="18"/>
  <c r="AE33" i="18"/>
  <c r="AD33" i="18"/>
  <c r="AC33" i="18"/>
  <c r="AB33" i="18"/>
  <c r="AA33" i="18"/>
  <c r="Z33" i="18"/>
  <c r="Y33" i="18"/>
  <c r="X33" i="18"/>
  <c r="W33" i="18"/>
  <c r="V33" i="18"/>
  <c r="U33" i="18"/>
  <c r="T33" i="18"/>
  <c r="S33" i="18"/>
  <c r="R33" i="18"/>
  <c r="Q33" i="18"/>
  <c r="P33" i="18"/>
  <c r="AG32" i="18"/>
  <c r="AF32" i="18"/>
  <c r="AE32" i="18"/>
  <c r="AD32" i="18"/>
  <c r="AC32" i="18"/>
  <c r="AB32" i="18"/>
  <c r="AA32" i="18"/>
  <c r="Z32" i="18"/>
  <c r="Y32" i="18"/>
  <c r="X32" i="18"/>
  <c r="W32" i="18"/>
  <c r="V32" i="18"/>
  <c r="U32" i="18"/>
  <c r="T32" i="18"/>
  <c r="S32" i="18"/>
  <c r="R32" i="18"/>
  <c r="Q32" i="18"/>
  <c r="P32" i="18"/>
  <c r="AG31" i="18"/>
  <c r="AF31" i="18"/>
  <c r="AE31" i="18"/>
  <c r="AD31" i="18"/>
  <c r="AC31" i="18"/>
  <c r="AB31" i="18"/>
  <c r="AA31" i="18"/>
  <c r="Z31" i="18"/>
  <c r="Y31" i="18"/>
  <c r="X31" i="18"/>
  <c r="W31" i="18"/>
  <c r="V31" i="18"/>
  <c r="U31" i="18"/>
  <c r="T31" i="18"/>
  <c r="S31" i="18"/>
  <c r="R31" i="18"/>
  <c r="Q31" i="18"/>
  <c r="P31" i="18"/>
  <c r="AG30" i="18"/>
  <c r="AF30" i="18"/>
  <c r="AE30" i="18"/>
  <c r="AD30" i="18"/>
  <c r="AC30" i="18"/>
  <c r="AB30" i="18"/>
  <c r="AA30" i="18"/>
  <c r="Z30" i="18"/>
  <c r="Y30" i="18"/>
  <c r="X30" i="18"/>
  <c r="W30" i="18"/>
  <c r="V30" i="18"/>
  <c r="U30" i="18"/>
  <c r="T30" i="18"/>
  <c r="S30" i="18"/>
  <c r="R30" i="18"/>
  <c r="Q30" i="18"/>
  <c r="P30" i="18"/>
  <c r="D30" i="18"/>
  <c r="D31" i="18" s="1"/>
  <c r="D32" i="18" s="1"/>
  <c r="AG29" i="18"/>
  <c r="AF29" i="18"/>
  <c r="AE29" i="18"/>
  <c r="AD29" i="18"/>
  <c r="AC29" i="18"/>
  <c r="AB29" i="18"/>
  <c r="AA29" i="18"/>
  <c r="Z29" i="18"/>
  <c r="Y29" i="18"/>
  <c r="X29" i="18"/>
  <c r="W29" i="18"/>
  <c r="V29" i="18"/>
  <c r="U29" i="18"/>
  <c r="T29" i="18"/>
  <c r="S29" i="18"/>
  <c r="R29" i="18"/>
  <c r="Q29" i="18"/>
  <c r="P29" i="18"/>
  <c r="D29" i="18"/>
  <c r="B29" i="18"/>
  <c r="AG28" i="18"/>
  <c r="AF28" i="18"/>
  <c r="AE28" i="18"/>
  <c r="AD28" i="18"/>
  <c r="AC28" i="18"/>
  <c r="AB28" i="18"/>
  <c r="AA28" i="18"/>
  <c r="Z28" i="18"/>
  <c r="Y28" i="18"/>
  <c r="X28" i="18"/>
  <c r="W28" i="18"/>
  <c r="V28" i="18"/>
  <c r="U28" i="18"/>
  <c r="T28" i="18"/>
  <c r="S28" i="18"/>
  <c r="R28" i="18"/>
  <c r="Q28" i="18"/>
  <c r="P28" i="18"/>
  <c r="AG27" i="18"/>
  <c r="AF27" i="18"/>
  <c r="AE27" i="18"/>
  <c r="AD27" i="18"/>
  <c r="AC27" i="18"/>
  <c r="AB27" i="18"/>
  <c r="AA27" i="18"/>
  <c r="Z27" i="18"/>
  <c r="Y27" i="18"/>
  <c r="X27" i="18"/>
  <c r="W27" i="18"/>
  <c r="V27" i="18"/>
  <c r="U27" i="18"/>
  <c r="T27" i="18"/>
  <c r="S27" i="18"/>
  <c r="R27" i="18"/>
  <c r="Q27" i="18"/>
  <c r="P27" i="18"/>
  <c r="AG26" i="18"/>
  <c r="AF26" i="18"/>
  <c r="AE26" i="18"/>
  <c r="AD26" i="18"/>
  <c r="AC26" i="18"/>
  <c r="AB26" i="18"/>
  <c r="AA26" i="18"/>
  <c r="Z26" i="18"/>
  <c r="Y26" i="18"/>
  <c r="X26" i="18"/>
  <c r="W26" i="18"/>
  <c r="V26" i="18"/>
  <c r="U26" i="18"/>
  <c r="T26" i="18"/>
  <c r="S26" i="18"/>
  <c r="R26" i="18"/>
  <c r="Q26" i="18"/>
  <c r="P26" i="18"/>
  <c r="AG25" i="18"/>
  <c r="AF25" i="18"/>
  <c r="AE25" i="18"/>
  <c r="AD25" i="18"/>
  <c r="AC25" i="18"/>
  <c r="AB25" i="18"/>
  <c r="AA25" i="18"/>
  <c r="Z25" i="18"/>
  <c r="Y25" i="18"/>
  <c r="X25" i="18"/>
  <c r="W25" i="18"/>
  <c r="V25" i="18"/>
  <c r="U25" i="18"/>
  <c r="T25" i="18"/>
  <c r="S25" i="18"/>
  <c r="R25" i="18"/>
  <c r="Q25" i="18"/>
  <c r="P25" i="18"/>
  <c r="AG24" i="18"/>
  <c r="AF24" i="18"/>
  <c r="AE24" i="18"/>
  <c r="AD24" i="18"/>
  <c r="AC24" i="18"/>
  <c r="AB24" i="18"/>
  <c r="AA24" i="18"/>
  <c r="Z24" i="18"/>
  <c r="Y24" i="18"/>
  <c r="X24" i="18"/>
  <c r="W24" i="18"/>
  <c r="V24" i="18"/>
  <c r="U24" i="18"/>
  <c r="T24" i="18"/>
  <c r="S24" i="18"/>
  <c r="R24" i="18"/>
  <c r="Q24" i="18"/>
  <c r="P24" i="18"/>
  <c r="AG23" i="18"/>
  <c r="AF23" i="18"/>
  <c r="AE23" i="18"/>
  <c r="AD23" i="18"/>
  <c r="AC23" i="18"/>
  <c r="AB23" i="18"/>
  <c r="AA23" i="18"/>
  <c r="Z23" i="18"/>
  <c r="Y23" i="18"/>
  <c r="X23" i="18"/>
  <c r="W23" i="18"/>
  <c r="V23" i="18"/>
  <c r="U23" i="18"/>
  <c r="T23" i="18"/>
  <c r="S23" i="18"/>
  <c r="R23" i="18"/>
  <c r="Q23" i="18"/>
  <c r="P23" i="18"/>
  <c r="AG22" i="18"/>
  <c r="AF22" i="18"/>
  <c r="AE22" i="18"/>
  <c r="AD22" i="18"/>
  <c r="AC22" i="18"/>
  <c r="AB22" i="18"/>
  <c r="AA22" i="18"/>
  <c r="Z22" i="18"/>
  <c r="Y22" i="18"/>
  <c r="X22" i="18"/>
  <c r="W22" i="18"/>
  <c r="V22" i="18"/>
  <c r="U22" i="18"/>
  <c r="T22" i="18"/>
  <c r="S22" i="18"/>
  <c r="R22" i="18"/>
  <c r="Q22" i="18"/>
  <c r="P22" i="18"/>
  <c r="AG21" i="18"/>
  <c r="AF21" i="18"/>
  <c r="AE21" i="18"/>
  <c r="AD21" i="18"/>
  <c r="AC21" i="18"/>
  <c r="AB21" i="18"/>
  <c r="AA21" i="18"/>
  <c r="Z21" i="18"/>
  <c r="Y21" i="18"/>
  <c r="X21" i="18"/>
  <c r="W21" i="18"/>
  <c r="V21" i="18"/>
  <c r="U21" i="18"/>
  <c r="T21" i="18"/>
  <c r="S21" i="18"/>
  <c r="R21" i="18"/>
  <c r="Q21" i="18"/>
  <c r="P21" i="18"/>
  <c r="AG20" i="18"/>
  <c r="AF20" i="18"/>
  <c r="AE20" i="18"/>
  <c r="AD20" i="18"/>
  <c r="AC20" i="18"/>
  <c r="AB20" i="18"/>
  <c r="AA20" i="18"/>
  <c r="Z20" i="18"/>
  <c r="Y20" i="18"/>
  <c r="X20" i="18"/>
  <c r="W20" i="18"/>
  <c r="V20" i="18"/>
  <c r="U20" i="18"/>
  <c r="T20" i="18"/>
  <c r="S20" i="18"/>
  <c r="R20" i="18"/>
  <c r="Q20" i="18"/>
  <c r="P20" i="18"/>
  <c r="AG19" i="18"/>
  <c r="AF19" i="18"/>
  <c r="AE19" i="18"/>
  <c r="AD19" i="18"/>
  <c r="AC19" i="18"/>
  <c r="AB19" i="18"/>
  <c r="AA19" i="18"/>
  <c r="Z19" i="18"/>
  <c r="Y19" i="18"/>
  <c r="X19" i="18"/>
  <c r="W19" i="18"/>
  <c r="V19" i="18"/>
  <c r="U19" i="18"/>
  <c r="T19" i="18"/>
  <c r="S19" i="18"/>
  <c r="R19" i="18"/>
  <c r="Q19" i="18"/>
  <c r="P19" i="18"/>
  <c r="E19" i="18"/>
  <c r="AG18" i="18"/>
  <c r="AF18" i="18"/>
  <c r="AE18" i="18"/>
  <c r="AD18" i="18"/>
  <c r="AC18" i="18"/>
  <c r="AB18" i="18"/>
  <c r="AA18" i="18"/>
  <c r="Z18" i="18"/>
  <c r="Y18" i="18"/>
  <c r="X18" i="18"/>
  <c r="W18" i="18"/>
  <c r="V18" i="18"/>
  <c r="U18" i="18"/>
  <c r="T18" i="18"/>
  <c r="S18" i="18"/>
  <c r="R18" i="18"/>
  <c r="Q18" i="18"/>
  <c r="P18" i="18"/>
  <c r="AG17" i="18"/>
  <c r="AF17" i="18"/>
  <c r="AE17" i="18"/>
  <c r="AD17" i="18"/>
  <c r="AC17" i="18"/>
  <c r="AB17" i="18"/>
  <c r="AA17" i="18"/>
  <c r="Z17" i="18"/>
  <c r="Y17" i="18"/>
  <c r="X17" i="18"/>
  <c r="W17" i="18"/>
  <c r="V17" i="18"/>
  <c r="U17" i="18"/>
  <c r="T17" i="18"/>
  <c r="S17" i="18"/>
  <c r="R17" i="18"/>
  <c r="Q17" i="18"/>
  <c r="P17" i="18"/>
  <c r="AG16" i="18"/>
  <c r="AF16" i="18"/>
  <c r="AE16" i="18"/>
  <c r="AD16" i="18"/>
  <c r="AC16" i="18"/>
  <c r="AB16" i="18"/>
  <c r="AA16" i="18"/>
  <c r="Z16" i="18"/>
  <c r="Y16" i="18"/>
  <c r="X16" i="18"/>
  <c r="W16" i="18"/>
  <c r="V16" i="18"/>
  <c r="U16" i="18"/>
  <c r="T16" i="18"/>
  <c r="S16" i="18"/>
  <c r="R16" i="18"/>
  <c r="Q16" i="18"/>
  <c r="P16" i="18"/>
  <c r="AG15" i="18"/>
  <c r="AF15" i="18"/>
  <c r="AE15" i="18"/>
  <c r="AD15" i="18"/>
  <c r="AC15" i="18"/>
  <c r="AB15" i="18"/>
  <c r="AA15" i="18"/>
  <c r="Z15" i="18"/>
  <c r="Y15" i="18"/>
  <c r="X15" i="18"/>
  <c r="W15" i="18"/>
  <c r="V15" i="18"/>
  <c r="U15" i="18"/>
  <c r="T15" i="18"/>
  <c r="S15" i="18"/>
  <c r="R15" i="18"/>
  <c r="Q15" i="18"/>
  <c r="P15" i="18"/>
  <c r="AG14" i="18"/>
  <c r="AF14" i="18"/>
  <c r="AE14" i="18"/>
  <c r="AD14" i="18"/>
  <c r="AC14" i="18"/>
  <c r="AB14" i="18"/>
  <c r="AA14" i="18"/>
  <c r="Z14" i="18"/>
  <c r="Y14" i="18"/>
  <c r="X14" i="18"/>
  <c r="W14" i="18"/>
  <c r="V14" i="18"/>
  <c r="U14" i="18"/>
  <c r="T14" i="18"/>
  <c r="S14" i="18"/>
  <c r="R14" i="18"/>
  <c r="Q14" i="18"/>
  <c r="P14" i="18"/>
  <c r="E14" i="18"/>
  <c r="AG13" i="18"/>
  <c r="AF13" i="18"/>
  <c r="AE13" i="18"/>
  <c r="AD13" i="18"/>
  <c r="AC13" i="18"/>
  <c r="AB13" i="18"/>
  <c r="AA13" i="18"/>
  <c r="Z13" i="18"/>
  <c r="Y13" i="18"/>
  <c r="X13" i="18"/>
  <c r="W13" i="18"/>
  <c r="V13" i="18"/>
  <c r="U13" i="18"/>
  <c r="T13" i="18"/>
  <c r="S13" i="18"/>
  <c r="R13" i="18"/>
  <c r="Q13" i="18"/>
  <c r="P13" i="18"/>
  <c r="AG12" i="18"/>
  <c r="AF12" i="18"/>
  <c r="AE12" i="18"/>
  <c r="AD12" i="18"/>
  <c r="AC12" i="18"/>
  <c r="AB12" i="18"/>
  <c r="AA12" i="18"/>
  <c r="Z12" i="18"/>
  <c r="Y12" i="18"/>
  <c r="X12" i="18"/>
  <c r="W12" i="18"/>
  <c r="V12" i="18"/>
  <c r="U12" i="18"/>
  <c r="T12" i="18"/>
  <c r="S12" i="18"/>
  <c r="R12" i="18"/>
  <c r="Q12" i="18"/>
  <c r="P12" i="18"/>
  <c r="AG11" i="18"/>
  <c r="AF11" i="18"/>
  <c r="AE11" i="18"/>
  <c r="AD11" i="18"/>
  <c r="AC11" i="18"/>
  <c r="AB11" i="18"/>
  <c r="AA11" i="18"/>
  <c r="Z11" i="18"/>
  <c r="Y11" i="18"/>
  <c r="X11" i="18"/>
  <c r="W11" i="18"/>
  <c r="V11" i="18"/>
  <c r="U11" i="18"/>
  <c r="T11" i="18"/>
  <c r="S11" i="18"/>
  <c r="R11" i="18"/>
  <c r="Q11" i="18"/>
  <c r="P11" i="18"/>
  <c r="AG10" i="18"/>
  <c r="AF10" i="18"/>
  <c r="AE10" i="18"/>
  <c r="AD10" i="18"/>
  <c r="AC10" i="18"/>
  <c r="AB10" i="18"/>
  <c r="AA10" i="18"/>
  <c r="Z10" i="18"/>
  <c r="Y10" i="18"/>
  <c r="X10" i="18"/>
  <c r="W10" i="18"/>
  <c r="V10" i="18"/>
  <c r="U10" i="18"/>
  <c r="T10" i="18"/>
  <c r="S10" i="18"/>
  <c r="R10" i="18"/>
  <c r="Q10" i="18"/>
  <c r="P10" i="18"/>
  <c r="AG9" i="18"/>
  <c r="AF9" i="18"/>
  <c r="AE9" i="18"/>
  <c r="AD9" i="18"/>
  <c r="AC9" i="18"/>
  <c r="AB9" i="18"/>
  <c r="AA9" i="18"/>
  <c r="Z9" i="18"/>
  <c r="Y9" i="18"/>
  <c r="X9" i="18"/>
  <c r="W9" i="18"/>
  <c r="V9" i="18"/>
  <c r="U9" i="18"/>
  <c r="T9" i="18"/>
  <c r="S9" i="18"/>
  <c r="R9" i="18"/>
  <c r="Q9" i="18"/>
  <c r="P9" i="18"/>
  <c r="AG8" i="18"/>
  <c r="AF8" i="18"/>
  <c r="AE8" i="18"/>
  <c r="AD8" i="18"/>
  <c r="AC8" i="18"/>
  <c r="AB8" i="18"/>
  <c r="AA8" i="18"/>
  <c r="Z8" i="18"/>
  <c r="Y8" i="18"/>
  <c r="X8" i="18"/>
  <c r="W8" i="18"/>
  <c r="V8" i="18"/>
  <c r="U8" i="18"/>
  <c r="T8" i="18"/>
  <c r="S8" i="18"/>
  <c r="R8" i="18"/>
  <c r="Q8" i="18"/>
  <c r="P8" i="18"/>
  <c r="B7" i="18"/>
  <c r="AD5" i="18"/>
  <c r="AC5" i="18"/>
  <c r="AB5" i="18"/>
  <c r="AA5" i="18"/>
  <c r="Z5" i="18"/>
  <c r="Y5" i="18"/>
  <c r="X5" i="18"/>
  <c r="U5" i="18"/>
  <c r="T5" i="18"/>
  <c r="AD4" i="18"/>
  <c r="AC4" i="18"/>
  <c r="AB4" i="18"/>
  <c r="AA4" i="18"/>
  <c r="Z4" i="18"/>
  <c r="Y4" i="18"/>
  <c r="X4" i="18"/>
  <c r="V4" i="18"/>
  <c r="T4" i="18"/>
  <c r="B4" i="18"/>
  <c r="AL3" i="18"/>
  <c r="AD3" i="18"/>
  <c r="AC3" i="18"/>
  <c r="AB3" i="18"/>
  <c r="AA3" i="18"/>
  <c r="Z3" i="18"/>
  <c r="Y3" i="18"/>
  <c r="X3" i="18"/>
  <c r="U3" i="18"/>
  <c r="T3" i="18"/>
  <c r="E3" i="18"/>
  <c r="AL2" i="18"/>
  <c r="B2" i="18"/>
  <c r="B1" i="18"/>
  <c r="K11" i="37"/>
  <c r="H11" i="37"/>
  <c r="G11" i="37"/>
  <c r="E11" i="37"/>
  <c r="D11" i="37"/>
  <c r="K10" i="37"/>
  <c r="H10" i="37"/>
  <c r="G10" i="37"/>
  <c r="E10" i="37"/>
  <c r="D10" i="37"/>
  <c r="K9" i="37"/>
  <c r="H9" i="37"/>
  <c r="G9" i="37"/>
  <c r="E9" i="37"/>
  <c r="D9" i="37"/>
  <c r="K8" i="37"/>
  <c r="H8" i="37"/>
  <c r="G8" i="37"/>
  <c r="E8" i="37"/>
  <c r="D8" i="37"/>
  <c r="K7" i="37"/>
  <c r="H7" i="37"/>
  <c r="G7" i="37"/>
  <c r="E7" i="37"/>
  <c r="D7" i="37"/>
  <c r="AF6" i="37"/>
  <c r="G2" i="37"/>
  <c r="G1" i="37"/>
  <c r="G3" i="37" s="1"/>
  <c r="I2" i="35"/>
  <c r="I1" i="35"/>
  <c r="I3" i="35" s="1"/>
  <c r="I2" i="36"/>
  <c r="I1" i="36"/>
  <c r="I3" i="36" s="1"/>
  <c r="N26" i="34"/>
  <c r="L26" i="34"/>
  <c r="K26" i="34"/>
  <c r="J26" i="34"/>
  <c r="I26" i="34"/>
  <c r="H26" i="34"/>
  <c r="G26" i="34"/>
  <c r="C26" i="34"/>
  <c r="N25" i="34"/>
  <c r="L25" i="34"/>
  <c r="K25" i="34"/>
  <c r="J25" i="34"/>
  <c r="I25" i="34"/>
  <c r="H25" i="34"/>
  <c r="G25" i="34"/>
  <c r="C25" i="34"/>
  <c r="N24" i="34"/>
  <c r="L24" i="34"/>
  <c r="K24" i="34"/>
  <c r="J24" i="34"/>
  <c r="I24" i="34"/>
  <c r="H24" i="34"/>
  <c r="G24" i="34"/>
  <c r="C24" i="34"/>
  <c r="N23" i="34"/>
  <c r="L23" i="34"/>
  <c r="K23" i="34"/>
  <c r="J23" i="34"/>
  <c r="I23" i="34"/>
  <c r="H23" i="34"/>
  <c r="G23" i="34"/>
  <c r="C23" i="34"/>
  <c r="N22" i="34"/>
  <c r="L22" i="34"/>
  <c r="K22" i="34"/>
  <c r="J22" i="34"/>
  <c r="I22" i="34"/>
  <c r="H22" i="34"/>
  <c r="G22" i="34"/>
  <c r="C22" i="34"/>
  <c r="N21" i="34"/>
  <c r="L21" i="34"/>
  <c r="K21" i="34"/>
  <c r="J21" i="34"/>
  <c r="I21" i="34"/>
  <c r="H21" i="34"/>
  <c r="G21" i="34"/>
  <c r="C21" i="34"/>
  <c r="N20" i="34"/>
  <c r="L20" i="34"/>
  <c r="K20" i="34"/>
  <c r="J20" i="34"/>
  <c r="I20" i="34"/>
  <c r="H20" i="34"/>
  <c r="G20" i="34"/>
  <c r="C20" i="34"/>
  <c r="N19" i="34"/>
  <c r="L19" i="34"/>
  <c r="K19" i="34"/>
  <c r="J19" i="34"/>
  <c r="I19" i="34"/>
  <c r="H19" i="34"/>
  <c r="G19" i="34"/>
  <c r="C19" i="34"/>
  <c r="N18" i="34"/>
  <c r="L18" i="34"/>
  <c r="K18" i="34"/>
  <c r="J18" i="34"/>
  <c r="I18" i="34"/>
  <c r="H18" i="34"/>
  <c r="G18" i="34"/>
  <c r="C18" i="34"/>
  <c r="N17" i="34"/>
  <c r="L17" i="34"/>
  <c r="K17" i="34"/>
  <c r="J17" i="34"/>
  <c r="I17" i="34"/>
  <c r="H17" i="34"/>
  <c r="G17" i="34"/>
  <c r="C17" i="34"/>
  <c r="N16" i="34"/>
  <c r="L16" i="34"/>
  <c r="K16" i="34"/>
  <c r="J16" i="34"/>
  <c r="I16" i="34"/>
  <c r="H16" i="34"/>
  <c r="G16" i="34"/>
  <c r="C16" i="34"/>
  <c r="N15" i="34"/>
  <c r="L15" i="34"/>
  <c r="K15" i="34"/>
  <c r="J15" i="34"/>
  <c r="I15" i="34"/>
  <c r="H15" i="34"/>
  <c r="G15" i="34"/>
  <c r="C15" i="34"/>
  <c r="N14" i="34"/>
  <c r="L14" i="34"/>
  <c r="K14" i="34"/>
  <c r="J14" i="34"/>
  <c r="I14" i="34"/>
  <c r="H14" i="34"/>
  <c r="G14" i="34"/>
  <c r="C14" i="34"/>
  <c r="N13" i="34"/>
  <c r="L13" i="34"/>
  <c r="K13" i="34"/>
  <c r="J13" i="34"/>
  <c r="I13" i="34"/>
  <c r="H13" i="34"/>
  <c r="G13" i="34"/>
  <c r="C13" i="34"/>
  <c r="N12" i="34"/>
  <c r="L12" i="34"/>
  <c r="K12" i="34"/>
  <c r="J12" i="34"/>
  <c r="I12" i="34"/>
  <c r="H12" i="34"/>
  <c r="G12" i="34"/>
  <c r="C12" i="34"/>
  <c r="N11" i="34"/>
  <c r="L11" i="34"/>
  <c r="K11" i="34"/>
  <c r="J11" i="34"/>
  <c r="I11" i="34"/>
  <c r="H11" i="34"/>
  <c r="G11" i="34"/>
  <c r="C11" i="34"/>
  <c r="N10" i="34"/>
  <c r="L10" i="34"/>
  <c r="K10" i="34"/>
  <c r="J10" i="34"/>
  <c r="I10" i="34"/>
  <c r="H10" i="34"/>
  <c r="G10" i="34"/>
  <c r="C10" i="34"/>
  <c r="N9" i="34"/>
  <c r="L9" i="34"/>
  <c r="K9" i="34"/>
  <c r="J9" i="34"/>
  <c r="I9" i="34"/>
  <c r="H9" i="34"/>
  <c r="G9" i="34"/>
  <c r="C9" i="34"/>
  <c r="C8" i="34"/>
  <c r="N7" i="34"/>
  <c r="C7" i="34"/>
  <c r="C2" i="34"/>
  <c r="C1" i="34"/>
  <c r="B137" i="32"/>
  <c r="B136" i="32"/>
  <c r="B135" i="32"/>
  <c r="B134" i="32"/>
  <c r="B133" i="32"/>
  <c r="B132" i="32"/>
  <c r="B131" i="32"/>
  <c r="B130" i="32"/>
  <c r="B129" i="32"/>
  <c r="B128" i="32"/>
  <c r="B127" i="32"/>
  <c r="B126" i="32"/>
  <c r="B125" i="32"/>
  <c r="B124" i="32"/>
  <c r="B123" i="32"/>
  <c r="B122" i="32"/>
  <c r="B121" i="32"/>
  <c r="B120" i="32"/>
  <c r="B119" i="32"/>
  <c r="B118" i="32"/>
  <c r="B117" i="32"/>
  <c r="B116" i="32"/>
  <c r="B115" i="32"/>
  <c r="B114" i="32"/>
  <c r="B113" i="32"/>
  <c r="B112" i="32"/>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8" i="32"/>
  <c r="B7" i="32"/>
  <c r="B6" i="32"/>
  <c r="B5" i="32"/>
  <c r="M4" i="32"/>
  <c r="L4" i="32"/>
  <c r="K4" i="32"/>
  <c r="G4" i="32" s="1"/>
  <c r="P4" i="32" s="1"/>
  <c r="Q4" i="32" s="1"/>
  <c r="Q3" i="32"/>
  <c r="P3" i="32"/>
  <c r="DT509" i="7"/>
  <c r="BO509" i="7"/>
  <c r="DT508" i="7"/>
  <c r="DT507" i="7"/>
  <c r="DT506" i="7"/>
  <c r="DT505" i="7"/>
  <c r="DT504" i="7"/>
  <c r="DT503" i="7"/>
  <c r="DT502" i="7"/>
  <c r="DT501" i="7"/>
  <c r="DT500" i="7"/>
  <c r="DT499" i="7"/>
  <c r="DT498" i="7"/>
  <c r="DT497" i="7"/>
  <c r="DT496" i="7"/>
  <c r="DT495" i="7"/>
  <c r="DT494" i="7"/>
  <c r="DT493" i="7"/>
  <c r="DT492" i="7"/>
  <c r="DT491" i="7"/>
  <c r="DT490" i="7"/>
  <c r="DT489" i="7"/>
  <c r="DT488" i="7"/>
  <c r="DT487" i="7"/>
  <c r="DT486" i="7"/>
  <c r="DT485" i="7"/>
  <c r="DT484" i="7"/>
  <c r="DT483" i="7"/>
  <c r="DT482" i="7"/>
  <c r="DT481" i="7"/>
  <c r="DT480" i="7"/>
  <c r="DT479" i="7"/>
  <c r="DT478" i="7"/>
  <c r="DT477" i="7"/>
  <c r="DT476" i="7"/>
  <c r="DT475" i="7"/>
  <c r="DT474" i="7"/>
  <c r="DT473" i="7"/>
  <c r="DT472" i="7"/>
  <c r="DT471" i="7"/>
  <c r="DT470" i="7"/>
  <c r="DT469" i="7"/>
  <c r="DT468" i="7"/>
  <c r="DT467" i="7"/>
  <c r="DT466" i="7"/>
  <c r="DT465" i="7"/>
  <c r="DT464" i="7"/>
  <c r="DT463" i="7"/>
  <c r="DT462" i="7"/>
  <c r="DT461" i="7"/>
  <c r="DT460" i="7"/>
  <c r="DT459" i="7"/>
  <c r="DT458" i="7"/>
  <c r="DT457" i="7"/>
  <c r="DT456" i="7"/>
  <c r="DT455" i="7"/>
  <c r="DT454" i="7"/>
  <c r="DT453" i="7"/>
  <c r="DT452" i="7"/>
  <c r="DT451" i="7"/>
  <c r="DT450" i="7"/>
  <c r="DT449" i="7"/>
  <c r="DT448" i="7"/>
  <c r="DT447" i="7"/>
  <c r="DT446" i="7"/>
  <c r="DT445" i="7"/>
  <c r="DT444" i="7"/>
  <c r="DT443" i="7"/>
  <c r="DT442" i="7"/>
  <c r="DT441" i="7"/>
  <c r="DT440" i="7"/>
  <c r="DT439" i="7"/>
  <c r="DT438" i="7"/>
  <c r="DT437" i="7"/>
  <c r="DT436" i="7"/>
  <c r="DT435" i="7"/>
  <c r="DT434" i="7"/>
  <c r="DT433" i="7"/>
  <c r="DT432" i="7"/>
  <c r="DT431" i="7"/>
  <c r="DT430" i="7"/>
  <c r="DT429" i="7"/>
  <c r="DT428" i="7"/>
  <c r="DT427" i="7"/>
  <c r="DT426" i="7"/>
  <c r="DT425" i="7"/>
  <c r="DT424" i="7"/>
  <c r="DT423" i="7"/>
  <c r="DT422" i="7"/>
  <c r="DT421" i="7"/>
  <c r="DT420" i="7"/>
  <c r="DT419" i="7"/>
  <c r="DT418" i="7"/>
  <c r="DT417" i="7"/>
  <c r="DT416" i="7"/>
  <c r="DT415" i="7"/>
  <c r="DT414" i="7"/>
  <c r="DT413" i="7"/>
  <c r="DT412" i="7"/>
  <c r="DT411" i="7"/>
  <c r="DT410" i="7"/>
  <c r="DT409" i="7"/>
  <c r="DT408" i="7"/>
  <c r="DT407" i="7"/>
  <c r="DT406" i="7"/>
  <c r="DT405" i="7"/>
  <c r="DT404" i="7"/>
  <c r="DT403" i="7"/>
  <c r="DT402" i="7"/>
  <c r="DT401" i="7"/>
  <c r="DT400" i="7"/>
  <c r="DT399" i="7"/>
  <c r="DT398" i="7"/>
  <c r="DT397" i="7"/>
  <c r="DT396" i="7"/>
  <c r="DT395" i="7"/>
  <c r="DT394" i="7"/>
  <c r="DT393" i="7"/>
  <c r="DT392" i="7"/>
  <c r="DT391" i="7"/>
  <c r="DT390" i="7"/>
  <c r="DT389" i="7"/>
  <c r="DT388" i="7"/>
  <c r="DT387" i="7"/>
  <c r="DT386" i="7"/>
  <c r="DT385" i="7"/>
  <c r="DT384" i="7"/>
  <c r="DT383" i="7"/>
  <c r="DT382" i="7"/>
  <c r="DT381" i="7"/>
  <c r="DT380" i="7"/>
  <c r="DT379" i="7"/>
  <c r="DT378" i="7"/>
  <c r="DT377" i="7"/>
  <c r="DT376" i="7"/>
  <c r="DT375" i="7"/>
  <c r="DT374" i="7"/>
  <c r="DT373" i="7"/>
  <c r="DT372" i="7"/>
  <c r="DT371" i="7"/>
  <c r="DT370" i="7"/>
  <c r="DT369" i="7"/>
  <c r="DT368" i="7"/>
  <c r="DT367" i="7"/>
  <c r="DT366" i="7"/>
  <c r="DT365" i="7"/>
  <c r="DT364" i="7"/>
  <c r="DT363" i="7"/>
  <c r="DT362" i="7"/>
  <c r="DT361" i="7"/>
  <c r="DT360" i="7"/>
  <c r="DT359" i="7"/>
  <c r="DT358" i="7"/>
  <c r="DT357" i="7"/>
  <c r="DT356" i="7"/>
  <c r="DT355" i="7"/>
  <c r="DT354" i="7"/>
  <c r="DT353" i="7"/>
  <c r="DT352" i="7"/>
  <c r="DT351" i="7"/>
  <c r="DT350" i="7"/>
  <c r="DT349" i="7"/>
  <c r="DT348" i="7"/>
  <c r="DT347" i="7"/>
  <c r="DT346" i="7"/>
  <c r="DT345" i="7"/>
  <c r="DT344" i="7"/>
  <c r="DT343" i="7"/>
  <c r="DT342" i="7"/>
  <c r="DT341" i="7"/>
  <c r="DT340" i="7"/>
  <c r="DT339" i="7"/>
  <c r="DT338" i="7"/>
  <c r="DT337" i="7"/>
  <c r="DT336" i="7"/>
  <c r="DT335" i="7"/>
  <c r="DT334" i="7"/>
  <c r="DT333" i="7"/>
  <c r="DT332" i="7"/>
  <c r="DT331" i="7"/>
  <c r="DT330" i="7"/>
  <c r="DT329" i="7"/>
  <c r="DT328" i="7"/>
  <c r="DT327" i="7"/>
  <c r="DT326" i="7"/>
  <c r="DT325" i="7"/>
  <c r="DT324" i="7"/>
  <c r="DT323" i="7"/>
  <c r="DT322" i="7"/>
  <c r="DT321" i="7"/>
  <c r="DT320" i="7"/>
  <c r="DT319" i="7"/>
  <c r="DT318" i="7"/>
  <c r="DT317" i="7"/>
  <c r="DT316" i="7"/>
  <c r="DT315" i="7"/>
  <c r="DT314" i="7"/>
  <c r="DT313" i="7"/>
  <c r="DT312" i="7"/>
  <c r="DT311" i="7"/>
  <c r="DT310" i="7"/>
  <c r="DT309" i="7"/>
  <c r="DT308" i="7"/>
  <c r="DT307" i="7"/>
  <c r="DT306" i="7"/>
  <c r="DT305" i="7"/>
  <c r="DT304" i="7"/>
  <c r="DT303" i="7"/>
  <c r="DT302" i="7"/>
  <c r="DT301" i="7"/>
  <c r="DT300" i="7"/>
  <c r="DT299" i="7"/>
  <c r="DT298" i="7"/>
  <c r="DT297" i="7"/>
  <c r="DT296" i="7"/>
  <c r="DT295" i="7"/>
  <c r="DT294" i="7"/>
  <c r="DT293" i="7"/>
  <c r="DT292" i="7"/>
  <c r="DT291" i="7"/>
  <c r="DT290" i="7"/>
  <c r="DT289" i="7"/>
  <c r="DT288" i="7"/>
  <c r="DT287" i="7"/>
  <c r="DT286" i="7"/>
  <c r="DT285" i="7"/>
  <c r="DT284" i="7"/>
  <c r="DT283" i="7"/>
  <c r="DT282" i="7"/>
  <c r="DT281" i="7"/>
  <c r="DT280" i="7"/>
  <c r="DT279" i="7"/>
  <c r="DT278" i="7"/>
  <c r="DT277" i="7"/>
  <c r="DT276" i="7"/>
  <c r="DT275" i="7"/>
  <c r="DT274" i="7"/>
  <c r="DT273" i="7"/>
  <c r="DT272" i="7"/>
  <c r="DT271" i="7"/>
  <c r="DT270" i="7"/>
  <c r="DT269" i="7"/>
  <c r="DT268" i="7"/>
  <c r="DT267" i="7"/>
  <c r="DT266" i="7"/>
  <c r="DT265" i="7"/>
  <c r="DT264" i="7"/>
  <c r="DT263" i="7"/>
  <c r="DT262" i="7"/>
  <c r="DT261" i="7"/>
  <c r="DT260" i="7"/>
  <c r="DT259" i="7"/>
  <c r="DT258" i="7"/>
  <c r="DT257" i="7"/>
  <c r="DT256" i="7"/>
  <c r="DT255" i="7"/>
  <c r="DT254" i="7"/>
  <c r="DT253" i="7"/>
  <c r="DT252" i="7"/>
  <c r="DT251" i="7"/>
  <c r="DT250" i="7"/>
  <c r="DT249" i="7"/>
  <c r="DT248" i="7"/>
  <c r="DT247" i="7"/>
  <c r="DT246" i="7"/>
  <c r="DT245" i="7"/>
  <c r="DT244" i="7"/>
  <c r="DT243" i="7"/>
  <c r="DT242" i="7"/>
  <c r="DT241" i="7"/>
  <c r="DT240" i="7"/>
  <c r="DT239" i="7"/>
  <c r="DT238" i="7"/>
  <c r="DT237" i="7"/>
  <c r="DT236" i="7"/>
  <c r="DT235" i="7"/>
  <c r="DT234" i="7"/>
  <c r="DT233" i="7"/>
  <c r="DT232" i="7"/>
  <c r="DT231" i="7"/>
  <c r="DT230" i="7"/>
  <c r="DT229" i="7"/>
  <c r="DT228" i="7"/>
  <c r="DT227" i="7"/>
  <c r="DT226" i="7"/>
  <c r="DT225" i="7"/>
  <c r="DT224" i="7"/>
  <c r="DT223" i="7"/>
  <c r="DT222" i="7"/>
  <c r="DT221" i="7"/>
  <c r="DT220" i="7"/>
  <c r="DT219" i="7"/>
  <c r="DT218" i="7"/>
  <c r="DT217" i="7"/>
  <c r="DT216" i="7"/>
  <c r="DT215" i="7"/>
  <c r="DT214" i="7"/>
  <c r="DT213" i="7"/>
  <c r="DT212" i="7"/>
  <c r="DT211" i="7"/>
  <c r="DT210" i="7"/>
  <c r="DT209" i="7"/>
  <c r="DT208" i="7"/>
  <c r="DT207" i="7"/>
  <c r="DT206" i="7"/>
  <c r="DT205" i="7"/>
  <c r="DT204" i="7"/>
  <c r="DT203" i="7"/>
  <c r="DT202" i="7"/>
  <c r="DT201" i="7"/>
  <c r="DT200" i="7"/>
  <c r="DT199" i="7"/>
  <c r="DT198" i="7"/>
  <c r="DT197" i="7"/>
  <c r="DT196" i="7"/>
  <c r="DT195" i="7"/>
  <c r="DT194" i="7"/>
  <c r="DT193" i="7"/>
  <c r="DT192" i="7"/>
  <c r="DT191" i="7"/>
  <c r="DT190" i="7"/>
  <c r="DT189" i="7"/>
  <c r="DT188" i="7"/>
  <c r="DT187" i="7"/>
  <c r="DT186" i="7"/>
  <c r="DT185" i="7"/>
  <c r="DT184" i="7"/>
  <c r="DT183" i="7"/>
  <c r="DT182" i="7"/>
  <c r="DT181" i="7"/>
  <c r="DT180" i="7"/>
  <c r="DT179" i="7"/>
  <c r="DT178" i="7"/>
  <c r="DT177" i="7"/>
  <c r="DT176" i="7"/>
  <c r="DT175" i="7"/>
  <c r="DT174" i="7"/>
  <c r="DT173" i="7"/>
  <c r="DT172" i="7"/>
  <c r="DT171" i="7"/>
  <c r="DT170" i="7"/>
  <c r="DT169" i="7"/>
  <c r="DT168" i="7"/>
  <c r="DT167" i="7"/>
  <c r="DT166" i="7"/>
  <c r="DT165" i="7"/>
  <c r="DT164" i="7"/>
  <c r="DT163" i="7"/>
  <c r="DT162" i="7"/>
  <c r="DT161" i="7"/>
  <c r="DT160" i="7"/>
  <c r="DT159" i="7"/>
  <c r="DT158" i="7"/>
  <c r="DT157" i="7"/>
  <c r="DT156" i="7"/>
  <c r="DT155" i="7"/>
  <c r="DT154" i="7"/>
  <c r="DT153" i="7"/>
  <c r="DT152" i="7"/>
  <c r="DT151" i="7"/>
  <c r="DT150" i="7"/>
  <c r="DT149" i="7"/>
  <c r="DT148" i="7"/>
  <c r="DT147" i="7"/>
  <c r="DT146" i="7"/>
  <c r="DT145" i="7"/>
  <c r="DT144" i="7"/>
  <c r="DT143" i="7"/>
  <c r="DT142" i="7"/>
  <c r="DT141" i="7"/>
  <c r="DT140" i="7"/>
  <c r="DT139" i="7"/>
  <c r="DT138" i="7"/>
  <c r="DT137" i="7"/>
  <c r="DT136" i="7"/>
  <c r="DT135" i="7"/>
  <c r="DT134" i="7"/>
  <c r="DT133" i="7"/>
  <c r="DT132" i="7"/>
  <c r="DT131" i="7"/>
  <c r="DT130" i="7"/>
  <c r="DT129" i="7"/>
  <c r="DT128" i="7"/>
  <c r="DT127" i="7"/>
  <c r="DT126" i="7"/>
  <c r="DT125" i="7"/>
  <c r="DT124" i="7"/>
  <c r="DT123" i="7"/>
  <c r="DT122" i="7"/>
  <c r="DT121" i="7"/>
  <c r="DT120" i="7"/>
  <c r="DT119" i="7"/>
  <c r="DT118" i="7"/>
  <c r="DT117" i="7"/>
  <c r="DT116" i="7"/>
  <c r="DT115" i="7"/>
  <c r="DT114" i="7"/>
  <c r="DT113" i="7"/>
  <c r="DT112" i="7"/>
  <c r="DT111" i="7"/>
  <c r="DT110" i="7"/>
  <c r="DT109" i="7"/>
  <c r="DT108" i="7"/>
  <c r="DT107" i="7"/>
  <c r="DT106" i="7"/>
  <c r="DT105" i="7"/>
  <c r="DT104" i="7"/>
  <c r="DT103" i="7"/>
  <c r="DT102" i="7"/>
  <c r="DT101" i="7"/>
  <c r="DT100" i="7"/>
  <c r="DT99" i="7"/>
  <c r="DT98" i="7"/>
  <c r="DT97" i="7"/>
  <c r="DT96" i="7"/>
  <c r="DT95" i="7"/>
  <c r="DT94" i="7"/>
  <c r="DT93" i="7"/>
  <c r="DT92" i="7"/>
  <c r="DT91" i="7"/>
  <c r="DT90" i="7"/>
  <c r="DT89" i="7"/>
  <c r="DT88" i="7"/>
  <c r="DT87" i="7"/>
  <c r="DT86" i="7"/>
  <c r="DT85" i="7"/>
  <c r="DT84" i="7"/>
  <c r="DT83" i="7"/>
  <c r="DT82" i="7"/>
  <c r="DT81" i="7"/>
  <c r="DT80" i="7"/>
  <c r="DT79" i="7"/>
  <c r="DT78" i="7"/>
  <c r="DT77" i="7"/>
  <c r="DT76" i="7"/>
  <c r="DT75" i="7"/>
  <c r="DT74" i="7"/>
  <c r="DT73" i="7"/>
  <c r="DT72" i="7"/>
  <c r="DT71" i="7"/>
  <c r="DT70" i="7"/>
  <c r="DT69" i="7"/>
  <c r="DT68" i="7"/>
  <c r="DT67" i="7"/>
  <c r="DT66" i="7"/>
  <c r="DT65" i="7"/>
  <c r="DT64" i="7"/>
  <c r="DT63" i="7"/>
  <c r="DT62" i="7"/>
  <c r="DT61" i="7"/>
  <c r="DT60" i="7"/>
  <c r="DT59" i="7"/>
  <c r="DT58" i="7"/>
  <c r="DT57" i="7"/>
  <c r="DT56" i="7"/>
  <c r="DT55" i="7"/>
  <c r="DT54" i="7"/>
  <c r="DT53" i="7"/>
  <c r="DT52" i="7"/>
  <c r="DT51" i="7"/>
  <c r="DT50" i="7"/>
  <c r="DT49" i="7"/>
  <c r="DT48" i="7"/>
  <c r="DT47" i="7"/>
  <c r="DT46" i="7"/>
  <c r="DT45" i="7"/>
  <c r="DT44" i="7"/>
  <c r="DT43" i="7"/>
  <c r="DT42" i="7"/>
  <c r="DT41" i="7"/>
  <c r="DT40" i="7"/>
  <c r="DT39" i="7"/>
  <c r="DT38" i="7"/>
  <c r="DT37" i="7"/>
  <c r="DT36" i="7"/>
  <c r="DT35" i="7"/>
  <c r="DT34" i="7"/>
  <c r="DT33" i="7"/>
  <c r="DT32" i="7"/>
  <c r="DT31" i="7"/>
  <c r="DT30" i="7"/>
  <c r="DT29" i="7"/>
  <c r="DT28" i="7"/>
  <c r="DT27" i="7"/>
  <c r="AC27" i="7" s="1"/>
  <c r="L27" i="7"/>
  <c r="C17" i="32" s="1"/>
  <c r="DT26" i="7"/>
  <c r="DT25" i="7"/>
  <c r="DT24" i="7"/>
  <c r="DT23" i="7"/>
  <c r="AC23" i="7" s="1"/>
  <c r="L23" i="7"/>
  <c r="C13" i="32" s="1"/>
  <c r="DT22" i="7"/>
  <c r="DT21" i="7"/>
  <c r="DT20" i="7"/>
  <c r="DT19" i="7"/>
  <c r="AC19" i="7" s="1"/>
  <c r="L19" i="7"/>
  <c r="C9" i="32" s="1"/>
  <c r="DT18" i="7"/>
  <c r="DT17" i="7"/>
  <c r="Z17" i="7"/>
  <c r="Z18" i="7" s="1"/>
  <c r="Z19" i="7" s="1"/>
  <c r="Z20" i="7" s="1"/>
  <c r="Z21" i="7" s="1"/>
  <c r="Z22" i="7" s="1"/>
  <c r="Z23" i="7" s="1"/>
  <c r="Z24" i="7" s="1"/>
  <c r="Z25" i="7" s="1"/>
  <c r="Z26" i="7" s="1"/>
  <c r="Z27" i="7" s="1"/>
  <c r="Z28" i="7" s="1"/>
  <c r="Z29" i="7" s="1"/>
  <c r="Z30" i="7" s="1"/>
  <c r="Z31" i="7" s="1"/>
  <c r="Z32" i="7" s="1"/>
  <c r="Z33" i="7" s="1"/>
  <c r="Z34" i="7" s="1"/>
  <c r="Z35" i="7" s="1"/>
  <c r="Z36" i="7" s="1"/>
  <c r="Z37" i="7" s="1"/>
  <c r="Z38" i="7" s="1"/>
  <c r="Z39" i="7" s="1"/>
  <c r="Z40" i="7" s="1"/>
  <c r="Z41" i="7" s="1"/>
  <c r="Z42" i="7" s="1"/>
  <c r="Z43" i="7" s="1"/>
  <c r="Z44" i="7" s="1"/>
  <c r="Z45" i="7" s="1"/>
  <c r="Z46" i="7" s="1"/>
  <c r="Z47" i="7" s="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Z179" i="7" s="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Z247" i="7" s="1"/>
  <c r="Z248" i="7" s="1"/>
  <c r="Z249" i="7" s="1"/>
  <c r="Z250" i="7" s="1"/>
  <c r="Z251" i="7" s="1"/>
  <c r="Z252" i="7" s="1"/>
  <c r="Z253" i="7" s="1"/>
  <c r="Z254" i="7" s="1"/>
  <c r="Z255" i="7" s="1"/>
  <c r="Z256" i="7" s="1"/>
  <c r="Z257" i="7" s="1"/>
  <c r="Z258" i="7" s="1"/>
  <c r="Z259" i="7" s="1"/>
  <c r="Z260" i="7" s="1"/>
  <c r="Z261" i="7" s="1"/>
  <c r="Z262" i="7" s="1"/>
  <c r="Z263" i="7" s="1"/>
  <c r="Z264" i="7" s="1"/>
  <c r="Z265" i="7" s="1"/>
  <c r="Z266" i="7" s="1"/>
  <c r="Z267" i="7" s="1"/>
  <c r="Z268" i="7" s="1"/>
  <c r="Z269" i="7" s="1"/>
  <c r="Z270" i="7" s="1"/>
  <c r="Z271" i="7" s="1"/>
  <c r="Z272" i="7" s="1"/>
  <c r="Z273" i="7" s="1"/>
  <c r="Z274" i="7" s="1"/>
  <c r="Z275" i="7" s="1"/>
  <c r="Z276" i="7" s="1"/>
  <c r="Z277" i="7" s="1"/>
  <c r="Z278" i="7" s="1"/>
  <c r="Z279" i="7" s="1"/>
  <c r="Z280" i="7" s="1"/>
  <c r="Z281" i="7" s="1"/>
  <c r="Z282" i="7" s="1"/>
  <c r="Z283" i="7" s="1"/>
  <c r="Z284" i="7" s="1"/>
  <c r="Z285" i="7" s="1"/>
  <c r="Z286" i="7" s="1"/>
  <c r="Z287" i="7" s="1"/>
  <c r="Z288" i="7" s="1"/>
  <c r="Z289" i="7" s="1"/>
  <c r="Z290" i="7" s="1"/>
  <c r="Z291" i="7" s="1"/>
  <c r="Z292" i="7" s="1"/>
  <c r="Z293" i="7" s="1"/>
  <c r="Z294" i="7" s="1"/>
  <c r="Z295" i="7" s="1"/>
  <c r="Z296" i="7" s="1"/>
  <c r="Z297" i="7" s="1"/>
  <c r="Z298" i="7" s="1"/>
  <c r="Z299" i="7" s="1"/>
  <c r="Z300" i="7" s="1"/>
  <c r="Z301" i="7" s="1"/>
  <c r="Z302" i="7" s="1"/>
  <c r="Z303" i="7" s="1"/>
  <c r="Z304" i="7" s="1"/>
  <c r="Z305" i="7" s="1"/>
  <c r="Z306" i="7" s="1"/>
  <c r="Z307" i="7" s="1"/>
  <c r="Z308" i="7" s="1"/>
  <c r="Z309" i="7" s="1"/>
  <c r="Z310" i="7" s="1"/>
  <c r="Z311" i="7" s="1"/>
  <c r="Z312" i="7" s="1"/>
  <c r="Z313" i="7" s="1"/>
  <c r="Z314" i="7" s="1"/>
  <c r="Z315" i="7" s="1"/>
  <c r="Z316" i="7" s="1"/>
  <c r="Z317" i="7" s="1"/>
  <c r="Z318" i="7" s="1"/>
  <c r="Z319" i="7" s="1"/>
  <c r="Z320" i="7" s="1"/>
  <c r="Z321" i="7" s="1"/>
  <c r="Z322" i="7" s="1"/>
  <c r="Z323" i="7" s="1"/>
  <c r="Z324" i="7" s="1"/>
  <c r="Z325" i="7" s="1"/>
  <c r="Z326" i="7" s="1"/>
  <c r="Z327" i="7" s="1"/>
  <c r="Z328" i="7" s="1"/>
  <c r="Z329" i="7" s="1"/>
  <c r="Z330" i="7" s="1"/>
  <c r="Z331" i="7" s="1"/>
  <c r="Z332" i="7" s="1"/>
  <c r="Z333" i="7" s="1"/>
  <c r="Z334" i="7" s="1"/>
  <c r="Z335" i="7" s="1"/>
  <c r="Z336" i="7" s="1"/>
  <c r="Z337" i="7" s="1"/>
  <c r="Z338" i="7" s="1"/>
  <c r="Z339" i="7" s="1"/>
  <c r="Z340" i="7" s="1"/>
  <c r="Z341" i="7" s="1"/>
  <c r="Z342" i="7" s="1"/>
  <c r="Z343" i="7" s="1"/>
  <c r="Z344" i="7" s="1"/>
  <c r="Z345" i="7" s="1"/>
  <c r="Z346" i="7" s="1"/>
  <c r="Z347" i="7" s="1"/>
  <c r="Z348" i="7" s="1"/>
  <c r="Z349" i="7" s="1"/>
  <c r="Z350" i="7" s="1"/>
  <c r="Z351" i="7" s="1"/>
  <c r="Z352" i="7" s="1"/>
  <c r="Z353" i="7" s="1"/>
  <c r="Z354" i="7" s="1"/>
  <c r="Z355" i="7" s="1"/>
  <c r="Z356" i="7" s="1"/>
  <c r="Z357" i="7" s="1"/>
  <c r="Z358" i="7" s="1"/>
  <c r="Z359" i="7" s="1"/>
  <c r="Z360" i="7" s="1"/>
  <c r="Z361" i="7" s="1"/>
  <c r="Z362" i="7" s="1"/>
  <c r="Z363" i="7" s="1"/>
  <c r="Z364" i="7" s="1"/>
  <c r="Z365" i="7" s="1"/>
  <c r="Z366" i="7" s="1"/>
  <c r="Z367" i="7" s="1"/>
  <c r="Z368" i="7" s="1"/>
  <c r="Z369" i="7" s="1"/>
  <c r="Z370" i="7" s="1"/>
  <c r="Z371" i="7" s="1"/>
  <c r="Z372" i="7" s="1"/>
  <c r="Z373" i="7" s="1"/>
  <c r="Z374" i="7" s="1"/>
  <c r="Z375" i="7" s="1"/>
  <c r="Z376" i="7" s="1"/>
  <c r="Z377" i="7" s="1"/>
  <c r="Z378" i="7" s="1"/>
  <c r="Z379" i="7" s="1"/>
  <c r="Z380" i="7" s="1"/>
  <c r="Z381" i="7" s="1"/>
  <c r="Z382" i="7" s="1"/>
  <c r="Z383" i="7" s="1"/>
  <c r="Z384" i="7" s="1"/>
  <c r="Z385" i="7" s="1"/>
  <c r="Z386" i="7" s="1"/>
  <c r="Z387" i="7" s="1"/>
  <c r="Z388" i="7" s="1"/>
  <c r="Z389" i="7" s="1"/>
  <c r="Z390" i="7" s="1"/>
  <c r="Z391" i="7" s="1"/>
  <c r="Z392" i="7" s="1"/>
  <c r="Z393" i="7" s="1"/>
  <c r="Z394" i="7" s="1"/>
  <c r="Z395" i="7" s="1"/>
  <c r="Z396" i="7" s="1"/>
  <c r="Z397" i="7" s="1"/>
  <c r="Z398" i="7" s="1"/>
  <c r="Z399" i="7" s="1"/>
  <c r="Z400" i="7" s="1"/>
  <c r="Z401" i="7" s="1"/>
  <c r="Z402" i="7" s="1"/>
  <c r="Z403" i="7" s="1"/>
  <c r="Z404" i="7" s="1"/>
  <c r="Z405" i="7" s="1"/>
  <c r="Z406" i="7" s="1"/>
  <c r="Z407" i="7" s="1"/>
  <c r="Z408" i="7" s="1"/>
  <c r="Z409" i="7" s="1"/>
  <c r="Z410" i="7" s="1"/>
  <c r="Z411" i="7" s="1"/>
  <c r="Z412" i="7" s="1"/>
  <c r="Z413" i="7" s="1"/>
  <c r="Z414" i="7" s="1"/>
  <c r="Z415" i="7" s="1"/>
  <c r="Z416" i="7" s="1"/>
  <c r="Z417" i="7" s="1"/>
  <c r="Z418" i="7" s="1"/>
  <c r="Z419" i="7" s="1"/>
  <c r="Z420" i="7" s="1"/>
  <c r="Z421" i="7" s="1"/>
  <c r="Z422" i="7" s="1"/>
  <c r="Z423" i="7" s="1"/>
  <c r="Z424" i="7" s="1"/>
  <c r="Z425" i="7" s="1"/>
  <c r="Z426" i="7" s="1"/>
  <c r="Z427" i="7" s="1"/>
  <c r="Z428" i="7" s="1"/>
  <c r="Z429" i="7" s="1"/>
  <c r="Z430" i="7" s="1"/>
  <c r="Z431" i="7" s="1"/>
  <c r="Z432" i="7" s="1"/>
  <c r="Z433" i="7" s="1"/>
  <c r="Z434" i="7" s="1"/>
  <c r="Z435" i="7" s="1"/>
  <c r="Z436" i="7" s="1"/>
  <c r="Z437" i="7" s="1"/>
  <c r="Z438" i="7" s="1"/>
  <c r="Z439" i="7" s="1"/>
  <c r="Z440" i="7" s="1"/>
  <c r="Z441" i="7" s="1"/>
  <c r="Z442" i="7" s="1"/>
  <c r="Z443" i="7" s="1"/>
  <c r="Z444" i="7" s="1"/>
  <c r="Z445" i="7" s="1"/>
  <c r="Z446" i="7" s="1"/>
  <c r="Z447" i="7" s="1"/>
  <c r="Z448" i="7" s="1"/>
  <c r="Z449" i="7" s="1"/>
  <c r="Z450" i="7" s="1"/>
  <c r="Z451" i="7" s="1"/>
  <c r="Z452" i="7" s="1"/>
  <c r="Z453" i="7" s="1"/>
  <c r="Z454" i="7" s="1"/>
  <c r="Z455" i="7" s="1"/>
  <c r="Z456" i="7" s="1"/>
  <c r="Z457" i="7" s="1"/>
  <c r="Z458" i="7" s="1"/>
  <c r="Z459" i="7" s="1"/>
  <c r="Z460" i="7" s="1"/>
  <c r="Z461" i="7" s="1"/>
  <c r="Z462" i="7" s="1"/>
  <c r="Z463" i="7" s="1"/>
  <c r="Z464" i="7" s="1"/>
  <c r="Z465" i="7" s="1"/>
  <c r="Z466" i="7" s="1"/>
  <c r="Z467" i="7" s="1"/>
  <c r="Z468" i="7" s="1"/>
  <c r="Z469" i="7" s="1"/>
  <c r="Z470" i="7" s="1"/>
  <c r="Z471" i="7" s="1"/>
  <c r="Z472" i="7" s="1"/>
  <c r="Z473" i="7" s="1"/>
  <c r="Z474" i="7" s="1"/>
  <c r="Z475" i="7" s="1"/>
  <c r="Z476" i="7" s="1"/>
  <c r="Z477" i="7" s="1"/>
  <c r="Z478" i="7" s="1"/>
  <c r="Z479" i="7" s="1"/>
  <c r="Z480" i="7" s="1"/>
  <c r="Z481" i="7" s="1"/>
  <c r="Z482" i="7" s="1"/>
  <c r="Z483" i="7" s="1"/>
  <c r="Z484" i="7" s="1"/>
  <c r="Z485" i="7" s="1"/>
  <c r="Z486" i="7" s="1"/>
  <c r="Z487" i="7" s="1"/>
  <c r="Z488" i="7" s="1"/>
  <c r="Z489" i="7" s="1"/>
  <c r="Z490" i="7" s="1"/>
  <c r="Z491" i="7" s="1"/>
  <c r="Z492" i="7" s="1"/>
  <c r="Z493" i="7" s="1"/>
  <c r="Z494" i="7" s="1"/>
  <c r="Z495" i="7" s="1"/>
  <c r="Z496" i="7" s="1"/>
  <c r="Z497" i="7" s="1"/>
  <c r="Z498" i="7" s="1"/>
  <c r="Z499" i="7" s="1"/>
  <c r="Z500" i="7" s="1"/>
  <c r="Z501" i="7" s="1"/>
  <c r="Z502" i="7" s="1"/>
  <c r="Z503" i="7" s="1"/>
  <c r="Z504" i="7" s="1"/>
  <c r="Z505" i="7" s="1"/>
  <c r="Z506" i="7" s="1"/>
  <c r="Z507" i="7" s="1"/>
  <c r="Z508" i="7" s="1"/>
  <c r="Z509" i="7" s="1"/>
  <c r="X17" i="7"/>
  <c r="X18" i="7" s="1"/>
  <c r="X19" i="7" s="1"/>
  <c r="X20" i="7" s="1"/>
  <c r="X21" i="7" s="1"/>
  <c r="X22" i="7" s="1"/>
  <c r="X23" i="7" s="1"/>
  <c r="X24" i="7" s="1"/>
  <c r="X25" i="7" s="1"/>
  <c r="X26" i="7" s="1"/>
  <c r="X27" i="7" s="1"/>
  <c r="X28" i="7" s="1"/>
  <c r="X29" i="7" s="1"/>
  <c r="X30" i="7" s="1"/>
  <c r="X31" i="7" s="1"/>
  <c r="X32" i="7" s="1"/>
  <c r="X33" i="7" s="1"/>
  <c r="X34" i="7" s="1"/>
  <c r="X35" i="7" s="1"/>
  <c r="X36" i="7" s="1"/>
  <c r="X37" i="7" s="1"/>
  <c r="X38" i="7" s="1"/>
  <c r="X39" i="7" s="1"/>
  <c r="X40" i="7" s="1"/>
  <c r="X41" i="7" s="1"/>
  <c r="X42" i="7" s="1"/>
  <c r="X43" i="7" s="1"/>
  <c r="X44" i="7" s="1"/>
  <c r="X45" i="7" s="1"/>
  <c r="X46" i="7" s="1"/>
  <c r="X47" i="7" s="1"/>
  <c r="X48" i="7" s="1"/>
  <c r="X49" i="7" s="1"/>
  <c r="X50" i="7" s="1"/>
  <c r="X51" i="7" s="1"/>
  <c r="X52" i="7" s="1"/>
  <c r="X53" i="7" s="1"/>
  <c r="X54" i="7" s="1"/>
  <c r="X55" i="7" s="1"/>
  <c r="X56" i="7" s="1"/>
  <c r="X57" i="7" s="1"/>
  <c r="X58" i="7" s="1"/>
  <c r="X59" i="7" s="1"/>
  <c r="X60" i="7" s="1"/>
  <c r="X61" i="7" s="1"/>
  <c r="X62" i="7" s="1"/>
  <c r="X63" i="7" s="1"/>
  <c r="X64" i="7" s="1"/>
  <c r="X65" i="7" s="1"/>
  <c r="X66" i="7" s="1"/>
  <c r="X67" i="7" s="1"/>
  <c r="X68" i="7" s="1"/>
  <c r="X69" i="7" s="1"/>
  <c r="X70" i="7" s="1"/>
  <c r="X71" i="7" s="1"/>
  <c r="X72" i="7" s="1"/>
  <c r="X73" i="7" s="1"/>
  <c r="X74" i="7" s="1"/>
  <c r="X75" i="7" s="1"/>
  <c r="X76" i="7" s="1"/>
  <c r="X77" i="7" s="1"/>
  <c r="X78" i="7" s="1"/>
  <c r="X79" i="7" s="1"/>
  <c r="X80" i="7" s="1"/>
  <c r="X81" i="7" s="1"/>
  <c r="X82" i="7" s="1"/>
  <c r="X83" i="7" s="1"/>
  <c r="X84" i="7" s="1"/>
  <c r="X85" i="7" s="1"/>
  <c r="X86" i="7" s="1"/>
  <c r="X87" i="7" s="1"/>
  <c r="X88" i="7" s="1"/>
  <c r="X89" i="7" s="1"/>
  <c r="X90" i="7" s="1"/>
  <c r="X91" i="7" s="1"/>
  <c r="X92" i="7" s="1"/>
  <c r="X93" i="7" s="1"/>
  <c r="X94" i="7" s="1"/>
  <c r="X95" i="7" s="1"/>
  <c r="X96" i="7" s="1"/>
  <c r="X97" i="7" s="1"/>
  <c r="X98" i="7" s="1"/>
  <c r="X99" i="7" s="1"/>
  <c r="X100" i="7" s="1"/>
  <c r="X101" i="7" s="1"/>
  <c r="X102" i="7" s="1"/>
  <c r="X103" i="7" s="1"/>
  <c r="X104" i="7" s="1"/>
  <c r="X105" i="7" s="1"/>
  <c r="X106" i="7" s="1"/>
  <c r="X107" i="7" s="1"/>
  <c r="X108" i="7" s="1"/>
  <c r="X109" i="7" s="1"/>
  <c r="X110" i="7" s="1"/>
  <c r="X111" i="7" s="1"/>
  <c r="X112" i="7" s="1"/>
  <c r="X113" i="7" s="1"/>
  <c r="X114" i="7" s="1"/>
  <c r="X115" i="7" s="1"/>
  <c r="X116" i="7" s="1"/>
  <c r="X117" i="7" s="1"/>
  <c r="X118" i="7" s="1"/>
  <c r="X119" i="7" s="1"/>
  <c r="X120" i="7" s="1"/>
  <c r="X121" i="7" s="1"/>
  <c r="X122" i="7" s="1"/>
  <c r="X123" i="7" s="1"/>
  <c r="X124" i="7" s="1"/>
  <c r="X125" i="7" s="1"/>
  <c r="X126" i="7" s="1"/>
  <c r="X127" i="7" s="1"/>
  <c r="X128" i="7" s="1"/>
  <c r="X129" i="7" s="1"/>
  <c r="X130" i="7" s="1"/>
  <c r="X131" i="7" s="1"/>
  <c r="X132" i="7" s="1"/>
  <c r="X133" i="7" s="1"/>
  <c r="X134" i="7" s="1"/>
  <c r="X135" i="7" s="1"/>
  <c r="X136" i="7" s="1"/>
  <c r="X137" i="7" s="1"/>
  <c r="X138" i="7" s="1"/>
  <c r="X139" i="7" s="1"/>
  <c r="X140" i="7" s="1"/>
  <c r="X141" i="7" s="1"/>
  <c r="X142" i="7" s="1"/>
  <c r="X143" i="7" s="1"/>
  <c r="X144" i="7" s="1"/>
  <c r="X145" i="7" s="1"/>
  <c r="X146" i="7" s="1"/>
  <c r="X147" i="7" s="1"/>
  <c r="X148" i="7" s="1"/>
  <c r="X149" i="7" s="1"/>
  <c r="X150" i="7" s="1"/>
  <c r="X151" i="7" s="1"/>
  <c r="X152" i="7" s="1"/>
  <c r="X153" i="7" s="1"/>
  <c r="X154" i="7" s="1"/>
  <c r="X155" i="7" s="1"/>
  <c r="X156" i="7" s="1"/>
  <c r="X157" i="7" s="1"/>
  <c r="X158" i="7" s="1"/>
  <c r="X159" i="7" s="1"/>
  <c r="X160" i="7" s="1"/>
  <c r="X161" i="7" s="1"/>
  <c r="X162" i="7" s="1"/>
  <c r="X163" i="7" s="1"/>
  <c r="X164" i="7" s="1"/>
  <c r="X165" i="7" s="1"/>
  <c r="X166" i="7" s="1"/>
  <c r="X167" i="7" s="1"/>
  <c r="X168" i="7" s="1"/>
  <c r="X169" i="7" s="1"/>
  <c r="X170" i="7" s="1"/>
  <c r="X171" i="7" s="1"/>
  <c r="X172" i="7" s="1"/>
  <c r="X173" i="7" s="1"/>
  <c r="X174" i="7" s="1"/>
  <c r="X175" i="7" s="1"/>
  <c r="X176" i="7" s="1"/>
  <c r="X177" i="7" s="1"/>
  <c r="X178" i="7" s="1"/>
  <c r="X179" i="7" s="1"/>
  <c r="X180" i="7" s="1"/>
  <c r="X181" i="7" s="1"/>
  <c r="X182" i="7" s="1"/>
  <c r="X183" i="7" s="1"/>
  <c r="X184" i="7" s="1"/>
  <c r="X185" i="7" s="1"/>
  <c r="X186" i="7" s="1"/>
  <c r="X187" i="7" s="1"/>
  <c r="X188" i="7" s="1"/>
  <c r="X189" i="7" s="1"/>
  <c r="X190" i="7" s="1"/>
  <c r="X191" i="7" s="1"/>
  <c r="X192" i="7" s="1"/>
  <c r="X193" i="7" s="1"/>
  <c r="X194" i="7" s="1"/>
  <c r="X195" i="7" s="1"/>
  <c r="X196" i="7" s="1"/>
  <c r="X197" i="7" s="1"/>
  <c r="X198" i="7" s="1"/>
  <c r="X199" i="7" s="1"/>
  <c r="X200" i="7" s="1"/>
  <c r="X201" i="7" s="1"/>
  <c r="X202" i="7" s="1"/>
  <c r="X203" i="7" s="1"/>
  <c r="X204" i="7" s="1"/>
  <c r="X205" i="7" s="1"/>
  <c r="X206" i="7" s="1"/>
  <c r="X207" i="7" s="1"/>
  <c r="X208" i="7" s="1"/>
  <c r="X209" i="7" s="1"/>
  <c r="X210" i="7" s="1"/>
  <c r="X211" i="7" s="1"/>
  <c r="X212" i="7" s="1"/>
  <c r="X213" i="7" s="1"/>
  <c r="X214" i="7" s="1"/>
  <c r="X215" i="7" s="1"/>
  <c r="X216" i="7" s="1"/>
  <c r="X217" i="7" s="1"/>
  <c r="X218" i="7" s="1"/>
  <c r="X219" i="7" s="1"/>
  <c r="X220" i="7" s="1"/>
  <c r="X221" i="7" s="1"/>
  <c r="X222" i="7" s="1"/>
  <c r="X223" i="7" s="1"/>
  <c r="X224" i="7" s="1"/>
  <c r="X225" i="7" s="1"/>
  <c r="X226" i="7" s="1"/>
  <c r="X227" i="7" s="1"/>
  <c r="X228" i="7" s="1"/>
  <c r="X229" i="7" s="1"/>
  <c r="X230" i="7" s="1"/>
  <c r="X231" i="7" s="1"/>
  <c r="X232" i="7" s="1"/>
  <c r="X233" i="7" s="1"/>
  <c r="X234" i="7" s="1"/>
  <c r="X235" i="7" s="1"/>
  <c r="X236" i="7" s="1"/>
  <c r="X237" i="7" s="1"/>
  <c r="X238" i="7" s="1"/>
  <c r="X239" i="7" s="1"/>
  <c r="X240" i="7" s="1"/>
  <c r="X241" i="7" s="1"/>
  <c r="X242" i="7" s="1"/>
  <c r="X243" i="7" s="1"/>
  <c r="X244" i="7" s="1"/>
  <c r="X245" i="7" s="1"/>
  <c r="X246" i="7" s="1"/>
  <c r="X247" i="7" s="1"/>
  <c r="X248" i="7" s="1"/>
  <c r="X249" i="7" s="1"/>
  <c r="X250" i="7" s="1"/>
  <c r="X251" i="7" s="1"/>
  <c r="X252" i="7" s="1"/>
  <c r="X253" i="7" s="1"/>
  <c r="X254" i="7" s="1"/>
  <c r="X255" i="7" s="1"/>
  <c r="X256" i="7" s="1"/>
  <c r="X257" i="7" s="1"/>
  <c r="X258" i="7" s="1"/>
  <c r="X259" i="7" s="1"/>
  <c r="X260" i="7" s="1"/>
  <c r="X261" i="7" s="1"/>
  <c r="X262" i="7" s="1"/>
  <c r="X263" i="7" s="1"/>
  <c r="X264" i="7" s="1"/>
  <c r="X265" i="7" s="1"/>
  <c r="X266" i="7" s="1"/>
  <c r="X267" i="7" s="1"/>
  <c r="X268" i="7" s="1"/>
  <c r="X269" i="7" s="1"/>
  <c r="X270" i="7" s="1"/>
  <c r="X271" i="7" s="1"/>
  <c r="X272" i="7" s="1"/>
  <c r="X273" i="7" s="1"/>
  <c r="X274" i="7" s="1"/>
  <c r="X275" i="7" s="1"/>
  <c r="X276" i="7" s="1"/>
  <c r="X277" i="7" s="1"/>
  <c r="X278" i="7" s="1"/>
  <c r="X279" i="7" s="1"/>
  <c r="X280" i="7" s="1"/>
  <c r="X281" i="7" s="1"/>
  <c r="X282" i="7" s="1"/>
  <c r="X283" i="7" s="1"/>
  <c r="X284" i="7" s="1"/>
  <c r="X285" i="7" s="1"/>
  <c r="X286" i="7" s="1"/>
  <c r="X287" i="7" s="1"/>
  <c r="X288" i="7" s="1"/>
  <c r="X289" i="7" s="1"/>
  <c r="X290" i="7" s="1"/>
  <c r="X291" i="7" s="1"/>
  <c r="X292" i="7" s="1"/>
  <c r="X293" i="7" s="1"/>
  <c r="X294" i="7" s="1"/>
  <c r="X295" i="7" s="1"/>
  <c r="X296" i="7" s="1"/>
  <c r="X297" i="7" s="1"/>
  <c r="X298" i="7" s="1"/>
  <c r="X299" i="7" s="1"/>
  <c r="X300" i="7" s="1"/>
  <c r="X301" i="7" s="1"/>
  <c r="X302" i="7" s="1"/>
  <c r="X303" i="7" s="1"/>
  <c r="X304" i="7" s="1"/>
  <c r="X305" i="7" s="1"/>
  <c r="X306" i="7" s="1"/>
  <c r="X307" i="7" s="1"/>
  <c r="X308" i="7" s="1"/>
  <c r="X309" i="7" s="1"/>
  <c r="X310" i="7" s="1"/>
  <c r="X311" i="7" s="1"/>
  <c r="X312" i="7" s="1"/>
  <c r="X313" i="7" s="1"/>
  <c r="X314" i="7" s="1"/>
  <c r="X315" i="7" s="1"/>
  <c r="X316" i="7" s="1"/>
  <c r="X317" i="7" s="1"/>
  <c r="X318" i="7" s="1"/>
  <c r="X319" i="7" s="1"/>
  <c r="X320" i="7" s="1"/>
  <c r="X321" i="7" s="1"/>
  <c r="X322" i="7" s="1"/>
  <c r="X323" i="7" s="1"/>
  <c r="X324" i="7" s="1"/>
  <c r="X325" i="7" s="1"/>
  <c r="X326" i="7" s="1"/>
  <c r="X327" i="7" s="1"/>
  <c r="X328" i="7" s="1"/>
  <c r="X329" i="7" s="1"/>
  <c r="X330" i="7" s="1"/>
  <c r="X331" i="7" s="1"/>
  <c r="X332" i="7" s="1"/>
  <c r="X333" i="7" s="1"/>
  <c r="X334" i="7" s="1"/>
  <c r="X335" i="7" s="1"/>
  <c r="X336" i="7" s="1"/>
  <c r="X337" i="7" s="1"/>
  <c r="X338" i="7" s="1"/>
  <c r="X339" i="7" s="1"/>
  <c r="X340" i="7" s="1"/>
  <c r="X341" i="7" s="1"/>
  <c r="X342" i="7" s="1"/>
  <c r="X343" i="7" s="1"/>
  <c r="X344" i="7" s="1"/>
  <c r="X345" i="7" s="1"/>
  <c r="X346" i="7" s="1"/>
  <c r="X347" i="7" s="1"/>
  <c r="X348" i="7" s="1"/>
  <c r="X349" i="7" s="1"/>
  <c r="X350" i="7" s="1"/>
  <c r="X351" i="7" s="1"/>
  <c r="X352" i="7" s="1"/>
  <c r="X353" i="7" s="1"/>
  <c r="X354" i="7" s="1"/>
  <c r="X355" i="7" s="1"/>
  <c r="X356" i="7" s="1"/>
  <c r="X357" i="7" s="1"/>
  <c r="X358" i="7" s="1"/>
  <c r="X359" i="7" s="1"/>
  <c r="X360" i="7" s="1"/>
  <c r="X361" i="7" s="1"/>
  <c r="X362" i="7" s="1"/>
  <c r="X363" i="7" s="1"/>
  <c r="X364" i="7" s="1"/>
  <c r="X365" i="7" s="1"/>
  <c r="X366" i="7" s="1"/>
  <c r="X367" i="7" s="1"/>
  <c r="X368" i="7" s="1"/>
  <c r="X369" i="7" s="1"/>
  <c r="X370" i="7" s="1"/>
  <c r="X371" i="7" s="1"/>
  <c r="X372" i="7" s="1"/>
  <c r="X373" i="7" s="1"/>
  <c r="X374" i="7" s="1"/>
  <c r="X375" i="7" s="1"/>
  <c r="X376" i="7" s="1"/>
  <c r="X377" i="7" s="1"/>
  <c r="X378" i="7" s="1"/>
  <c r="X379" i="7" s="1"/>
  <c r="X380" i="7" s="1"/>
  <c r="X381" i="7" s="1"/>
  <c r="X382" i="7" s="1"/>
  <c r="X383" i="7" s="1"/>
  <c r="X384" i="7" s="1"/>
  <c r="X385" i="7" s="1"/>
  <c r="X386" i="7" s="1"/>
  <c r="X387" i="7" s="1"/>
  <c r="X388" i="7" s="1"/>
  <c r="X389" i="7" s="1"/>
  <c r="X390" i="7" s="1"/>
  <c r="X391" i="7" s="1"/>
  <c r="X392" i="7" s="1"/>
  <c r="X393" i="7" s="1"/>
  <c r="X394" i="7" s="1"/>
  <c r="X395" i="7" s="1"/>
  <c r="X396" i="7" s="1"/>
  <c r="X397" i="7" s="1"/>
  <c r="X398" i="7" s="1"/>
  <c r="X399" i="7" s="1"/>
  <c r="X400" i="7" s="1"/>
  <c r="X401" i="7" s="1"/>
  <c r="X402" i="7" s="1"/>
  <c r="X403" i="7" s="1"/>
  <c r="X404" i="7" s="1"/>
  <c r="X405" i="7" s="1"/>
  <c r="X406" i="7" s="1"/>
  <c r="X407" i="7" s="1"/>
  <c r="X408" i="7" s="1"/>
  <c r="X409" i="7" s="1"/>
  <c r="X410" i="7" s="1"/>
  <c r="X411" i="7" s="1"/>
  <c r="X412" i="7" s="1"/>
  <c r="X413" i="7" s="1"/>
  <c r="X414" i="7" s="1"/>
  <c r="X415" i="7" s="1"/>
  <c r="X416" i="7" s="1"/>
  <c r="X417" i="7" s="1"/>
  <c r="X418" i="7" s="1"/>
  <c r="X419" i="7" s="1"/>
  <c r="X420" i="7" s="1"/>
  <c r="X421" i="7" s="1"/>
  <c r="X422" i="7" s="1"/>
  <c r="X423" i="7" s="1"/>
  <c r="X424" i="7" s="1"/>
  <c r="X425" i="7" s="1"/>
  <c r="X426" i="7" s="1"/>
  <c r="X427" i="7" s="1"/>
  <c r="X428" i="7" s="1"/>
  <c r="X429" i="7" s="1"/>
  <c r="X430" i="7" s="1"/>
  <c r="X431" i="7" s="1"/>
  <c r="X432" i="7" s="1"/>
  <c r="X433" i="7" s="1"/>
  <c r="X434" i="7" s="1"/>
  <c r="X435" i="7" s="1"/>
  <c r="X436" i="7" s="1"/>
  <c r="X437" i="7" s="1"/>
  <c r="X438" i="7" s="1"/>
  <c r="X439" i="7" s="1"/>
  <c r="X440" i="7" s="1"/>
  <c r="X441" i="7" s="1"/>
  <c r="X442" i="7" s="1"/>
  <c r="X443" i="7" s="1"/>
  <c r="X444" i="7" s="1"/>
  <c r="X445" i="7" s="1"/>
  <c r="X446" i="7" s="1"/>
  <c r="X447" i="7" s="1"/>
  <c r="X448" i="7" s="1"/>
  <c r="X449" i="7" s="1"/>
  <c r="X450" i="7" s="1"/>
  <c r="X451" i="7" s="1"/>
  <c r="X452" i="7" s="1"/>
  <c r="X453" i="7" s="1"/>
  <c r="X454" i="7" s="1"/>
  <c r="X455" i="7" s="1"/>
  <c r="X456" i="7" s="1"/>
  <c r="X457" i="7" s="1"/>
  <c r="X458" i="7" s="1"/>
  <c r="X459" i="7" s="1"/>
  <c r="X460" i="7" s="1"/>
  <c r="X461" i="7" s="1"/>
  <c r="X462" i="7" s="1"/>
  <c r="X463" i="7" s="1"/>
  <c r="X464" i="7" s="1"/>
  <c r="X465" i="7" s="1"/>
  <c r="X466" i="7" s="1"/>
  <c r="X467" i="7" s="1"/>
  <c r="X468" i="7" s="1"/>
  <c r="X469" i="7" s="1"/>
  <c r="X470" i="7" s="1"/>
  <c r="X471" i="7" s="1"/>
  <c r="X472" i="7" s="1"/>
  <c r="X473" i="7" s="1"/>
  <c r="X474" i="7" s="1"/>
  <c r="X475" i="7" s="1"/>
  <c r="X476" i="7" s="1"/>
  <c r="X477" i="7" s="1"/>
  <c r="X478" i="7" s="1"/>
  <c r="X479" i="7" s="1"/>
  <c r="X480" i="7" s="1"/>
  <c r="X481" i="7" s="1"/>
  <c r="X482" i="7" s="1"/>
  <c r="X483" i="7" s="1"/>
  <c r="X484" i="7" s="1"/>
  <c r="X485" i="7" s="1"/>
  <c r="X486" i="7" s="1"/>
  <c r="X487" i="7" s="1"/>
  <c r="X488" i="7" s="1"/>
  <c r="X489" i="7" s="1"/>
  <c r="X490" i="7" s="1"/>
  <c r="X491" i="7" s="1"/>
  <c r="X492" i="7" s="1"/>
  <c r="X493" i="7" s="1"/>
  <c r="X494" i="7" s="1"/>
  <c r="X495" i="7" s="1"/>
  <c r="X496" i="7" s="1"/>
  <c r="X497" i="7" s="1"/>
  <c r="X498" i="7" s="1"/>
  <c r="X499" i="7" s="1"/>
  <c r="X500" i="7" s="1"/>
  <c r="X501" i="7" s="1"/>
  <c r="X502" i="7" s="1"/>
  <c r="X503" i="7" s="1"/>
  <c r="X504" i="7" s="1"/>
  <c r="X505" i="7" s="1"/>
  <c r="X506" i="7" s="1"/>
  <c r="X507" i="7" s="1"/>
  <c r="X508" i="7" s="1"/>
  <c r="X509" i="7" s="1"/>
  <c r="V17" i="7"/>
  <c r="V18" i="7" s="1"/>
  <c r="V19" i="7" s="1"/>
  <c r="V20" i="7" s="1"/>
  <c r="V21" i="7" s="1"/>
  <c r="V22" i="7" s="1"/>
  <c r="V23" i="7" s="1"/>
  <c r="V24" i="7" s="1"/>
  <c r="V25" i="7" s="1"/>
  <c r="V26" i="7" s="1"/>
  <c r="V27" i="7" s="1"/>
  <c r="V28" i="7" s="1"/>
  <c r="V29" i="7" s="1"/>
  <c r="V30" i="7" s="1"/>
  <c r="V31" i="7" s="1"/>
  <c r="V32" i="7" s="1"/>
  <c r="V33" i="7" s="1"/>
  <c r="V34" i="7" s="1"/>
  <c r="V35" i="7" s="1"/>
  <c r="V36" i="7" s="1"/>
  <c r="V37" i="7" s="1"/>
  <c r="V38" i="7" s="1"/>
  <c r="V39" i="7" s="1"/>
  <c r="V40" i="7" s="1"/>
  <c r="V41" i="7" s="1"/>
  <c r="V42" i="7" s="1"/>
  <c r="V43" i="7" s="1"/>
  <c r="V44" i="7" s="1"/>
  <c r="V45" i="7" s="1"/>
  <c r="V46" i="7" s="1"/>
  <c r="V47" i="7" s="1"/>
  <c r="V48" i="7" s="1"/>
  <c r="V49" i="7" s="1"/>
  <c r="V50" i="7" s="1"/>
  <c r="V51" i="7" s="1"/>
  <c r="V52" i="7" s="1"/>
  <c r="V53" i="7" s="1"/>
  <c r="V54" i="7" s="1"/>
  <c r="V55" i="7" s="1"/>
  <c r="V56" i="7" s="1"/>
  <c r="V57" i="7" s="1"/>
  <c r="V58" i="7" s="1"/>
  <c r="V59" i="7" s="1"/>
  <c r="V60" i="7" s="1"/>
  <c r="V61" i="7" s="1"/>
  <c r="V62" i="7" s="1"/>
  <c r="V63" i="7" s="1"/>
  <c r="V64" i="7" s="1"/>
  <c r="V65" i="7" s="1"/>
  <c r="V66" i="7" s="1"/>
  <c r="V67" i="7" s="1"/>
  <c r="V68" i="7" s="1"/>
  <c r="V69" i="7" s="1"/>
  <c r="V70" i="7" s="1"/>
  <c r="V71" i="7" s="1"/>
  <c r="V72" i="7" s="1"/>
  <c r="V73" i="7" s="1"/>
  <c r="V74" i="7" s="1"/>
  <c r="V75" i="7" s="1"/>
  <c r="V76" i="7" s="1"/>
  <c r="V77" i="7" s="1"/>
  <c r="V78" i="7" s="1"/>
  <c r="V79" i="7" s="1"/>
  <c r="V80" i="7" s="1"/>
  <c r="V81" i="7" s="1"/>
  <c r="V82" i="7" s="1"/>
  <c r="V83" i="7" s="1"/>
  <c r="V84" i="7" s="1"/>
  <c r="V85" i="7" s="1"/>
  <c r="V86" i="7" s="1"/>
  <c r="V87" i="7" s="1"/>
  <c r="V88" i="7" s="1"/>
  <c r="V89" i="7" s="1"/>
  <c r="V90" i="7" s="1"/>
  <c r="V91" i="7" s="1"/>
  <c r="V92" i="7" s="1"/>
  <c r="V93" i="7" s="1"/>
  <c r="V94" i="7" s="1"/>
  <c r="V95" i="7" s="1"/>
  <c r="V96" i="7" s="1"/>
  <c r="V97" i="7" s="1"/>
  <c r="V98" i="7" s="1"/>
  <c r="V99" i="7" s="1"/>
  <c r="V100" i="7" s="1"/>
  <c r="V101" i="7" s="1"/>
  <c r="V102" i="7" s="1"/>
  <c r="V103" i="7" s="1"/>
  <c r="V104" i="7" s="1"/>
  <c r="V105" i="7" s="1"/>
  <c r="V106" i="7" s="1"/>
  <c r="V107" i="7" s="1"/>
  <c r="V108" i="7" s="1"/>
  <c r="V109" i="7" s="1"/>
  <c r="V110" i="7" s="1"/>
  <c r="V111" i="7" s="1"/>
  <c r="V112" i="7" s="1"/>
  <c r="V113" i="7" s="1"/>
  <c r="V114" i="7" s="1"/>
  <c r="V115" i="7" s="1"/>
  <c r="V116" i="7" s="1"/>
  <c r="V117" i="7" s="1"/>
  <c r="V118" i="7" s="1"/>
  <c r="V119" i="7" s="1"/>
  <c r="V120" i="7" s="1"/>
  <c r="V121" i="7" s="1"/>
  <c r="V122" i="7" s="1"/>
  <c r="V123" i="7" s="1"/>
  <c r="V124" i="7" s="1"/>
  <c r="V125" i="7" s="1"/>
  <c r="V126" i="7" s="1"/>
  <c r="V127" i="7" s="1"/>
  <c r="V128" i="7" s="1"/>
  <c r="V129" i="7" s="1"/>
  <c r="V130" i="7" s="1"/>
  <c r="V131" i="7" s="1"/>
  <c r="V132" i="7" s="1"/>
  <c r="V133" i="7" s="1"/>
  <c r="V134" i="7" s="1"/>
  <c r="V135" i="7" s="1"/>
  <c r="V136" i="7" s="1"/>
  <c r="V137" i="7" s="1"/>
  <c r="V138" i="7" s="1"/>
  <c r="V139" i="7" s="1"/>
  <c r="V140" i="7" s="1"/>
  <c r="V141" i="7" s="1"/>
  <c r="V142" i="7" s="1"/>
  <c r="V143" i="7" s="1"/>
  <c r="V144" i="7" s="1"/>
  <c r="V145" i="7" s="1"/>
  <c r="V146" i="7" s="1"/>
  <c r="V147" i="7" s="1"/>
  <c r="V148" i="7" s="1"/>
  <c r="V149" i="7" s="1"/>
  <c r="V150" i="7" s="1"/>
  <c r="V151" i="7" s="1"/>
  <c r="V152" i="7" s="1"/>
  <c r="V153" i="7" s="1"/>
  <c r="V154" i="7" s="1"/>
  <c r="V155" i="7" s="1"/>
  <c r="V156" i="7" s="1"/>
  <c r="V157" i="7" s="1"/>
  <c r="V158" i="7" s="1"/>
  <c r="V159" i="7" s="1"/>
  <c r="V160" i="7" s="1"/>
  <c r="V161" i="7" s="1"/>
  <c r="V162" i="7" s="1"/>
  <c r="V163" i="7" s="1"/>
  <c r="V164" i="7" s="1"/>
  <c r="V165" i="7" s="1"/>
  <c r="V166" i="7" s="1"/>
  <c r="V167" i="7" s="1"/>
  <c r="V168" i="7" s="1"/>
  <c r="V169" i="7" s="1"/>
  <c r="V170" i="7" s="1"/>
  <c r="V171" i="7" s="1"/>
  <c r="V172" i="7" s="1"/>
  <c r="V173" i="7" s="1"/>
  <c r="V174" i="7" s="1"/>
  <c r="V175" i="7" s="1"/>
  <c r="V176" i="7" s="1"/>
  <c r="V177" i="7" s="1"/>
  <c r="V178" i="7" s="1"/>
  <c r="V179" i="7" s="1"/>
  <c r="V180" i="7" s="1"/>
  <c r="V181" i="7" s="1"/>
  <c r="V182" i="7" s="1"/>
  <c r="V183" i="7" s="1"/>
  <c r="V184" i="7" s="1"/>
  <c r="V185" i="7" s="1"/>
  <c r="V186" i="7" s="1"/>
  <c r="V187" i="7" s="1"/>
  <c r="V188" i="7" s="1"/>
  <c r="V189" i="7" s="1"/>
  <c r="V190" i="7" s="1"/>
  <c r="V191" i="7" s="1"/>
  <c r="V192" i="7" s="1"/>
  <c r="V193" i="7" s="1"/>
  <c r="V194" i="7" s="1"/>
  <c r="V195" i="7" s="1"/>
  <c r="V196" i="7" s="1"/>
  <c r="V197" i="7" s="1"/>
  <c r="V198" i="7" s="1"/>
  <c r="V199" i="7" s="1"/>
  <c r="V200" i="7" s="1"/>
  <c r="V201" i="7" s="1"/>
  <c r="V202" i="7" s="1"/>
  <c r="V203" i="7" s="1"/>
  <c r="V204" i="7" s="1"/>
  <c r="V205" i="7" s="1"/>
  <c r="V206" i="7" s="1"/>
  <c r="V207" i="7" s="1"/>
  <c r="V208" i="7" s="1"/>
  <c r="V209" i="7" s="1"/>
  <c r="V210" i="7" s="1"/>
  <c r="V211" i="7" s="1"/>
  <c r="V212" i="7" s="1"/>
  <c r="V213" i="7" s="1"/>
  <c r="V214" i="7" s="1"/>
  <c r="V215" i="7" s="1"/>
  <c r="V216" i="7" s="1"/>
  <c r="V217" i="7" s="1"/>
  <c r="V218" i="7" s="1"/>
  <c r="V219" i="7" s="1"/>
  <c r="V220" i="7" s="1"/>
  <c r="V221" i="7" s="1"/>
  <c r="V222" i="7" s="1"/>
  <c r="V223" i="7" s="1"/>
  <c r="V224" i="7" s="1"/>
  <c r="V225" i="7" s="1"/>
  <c r="V226" i="7" s="1"/>
  <c r="V227" i="7" s="1"/>
  <c r="V228" i="7" s="1"/>
  <c r="V229" i="7" s="1"/>
  <c r="V230" i="7" s="1"/>
  <c r="V231" i="7" s="1"/>
  <c r="V232" i="7" s="1"/>
  <c r="V233" i="7" s="1"/>
  <c r="V234" i="7" s="1"/>
  <c r="V235" i="7" s="1"/>
  <c r="V236" i="7" s="1"/>
  <c r="V237" i="7" s="1"/>
  <c r="V238" i="7" s="1"/>
  <c r="V239" i="7" s="1"/>
  <c r="V240" i="7" s="1"/>
  <c r="V241" i="7" s="1"/>
  <c r="V242" i="7" s="1"/>
  <c r="V243" i="7" s="1"/>
  <c r="V244" i="7" s="1"/>
  <c r="V245" i="7" s="1"/>
  <c r="V246" i="7" s="1"/>
  <c r="V247" i="7" s="1"/>
  <c r="V248" i="7" s="1"/>
  <c r="V249" i="7" s="1"/>
  <c r="V250" i="7" s="1"/>
  <c r="V251" i="7" s="1"/>
  <c r="V252" i="7" s="1"/>
  <c r="V253" i="7" s="1"/>
  <c r="V254" i="7" s="1"/>
  <c r="V255" i="7" s="1"/>
  <c r="V256" i="7" s="1"/>
  <c r="V257" i="7" s="1"/>
  <c r="V258" i="7" s="1"/>
  <c r="V259" i="7" s="1"/>
  <c r="V260" i="7" s="1"/>
  <c r="V261" i="7" s="1"/>
  <c r="V262" i="7" s="1"/>
  <c r="V263" i="7" s="1"/>
  <c r="V264" i="7" s="1"/>
  <c r="V265" i="7" s="1"/>
  <c r="V266" i="7" s="1"/>
  <c r="V267" i="7" s="1"/>
  <c r="V268" i="7" s="1"/>
  <c r="V269" i="7" s="1"/>
  <c r="V270" i="7" s="1"/>
  <c r="V271" i="7" s="1"/>
  <c r="V272" i="7" s="1"/>
  <c r="V273" i="7" s="1"/>
  <c r="V274" i="7" s="1"/>
  <c r="V275" i="7" s="1"/>
  <c r="V276" i="7" s="1"/>
  <c r="V277" i="7" s="1"/>
  <c r="V278" i="7" s="1"/>
  <c r="V279" i="7" s="1"/>
  <c r="V280" i="7" s="1"/>
  <c r="V281" i="7" s="1"/>
  <c r="V282" i="7" s="1"/>
  <c r="V283" i="7" s="1"/>
  <c r="V284" i="7" s="1"/>
  <c r="V285" i="7" s="1"/>
  <c r="V286" i="7" s="1"/>
  <c r="V287" i="7" s="1"/>
  <c r="V288" i="7" s="1"/>
  <c r="V289" i="7" s="1"/>
  <c r="V290" i="7" s="1"/>
  <c r="V291" i="7" s="1"/>
  <c r="V292" i="7" s="1"/>
  <c r="V293" i="7" s="1"/>
  <c r="V294" i="7" s="1"/>
  <c r="V295" i="7" s="1"/>
  <c r="V296" i="7" s="1"/>
  <c r="V297" i="7" s="1"/>
  <c r="V298" i="7" s="1"/>
  <c r="V299" i="7" s="1"/>
  <c r="V300" i="7" s="1"/>
  <c r="V301" i="7" s="1"/>
  <c r="V302" i="7" s="1"/>
  <c r="V303" i="7" s="1"/>
  <c r="V304" i="7" s="1"/>
  <c r="V305" i="7" s="1"/>
  <c r="V306" i="7" s="1"/>
  <c r="V307" i="7" s="1"/>
  <c r="V308" i="7" s="1"/>
  <c r="V309" i="7" s="1"/>
  <c r="V310" i="7" s="1"/>
  <c r="V311" i="7" s="1"/>
  <c r="V312" i="7" s="1"/>
  <c r="V313" i="7" s="1"/>
  <c r="V314" i="7" s="1"/>
  <c r="V315" i="7" s="1"/>
  <c r="V316" i="7" s="1"/>
  <c r="V317" i="7" s="1"/>
  <c r="V318" i="7" s="1"/>
  <c r="V319" i="7" s="1"/>
  <c r="V320" i="7" s="1"/>
  <c r="V321" i="7" s="1"/>
  <c r="V322" i="7" s="1"/>
  <c r="V323" i="7" s="1"/>
  <c r="V324" i="7" s="1"/>
  <c r="V325" i="7" s="1"/>
  <c r="V326" i="7" s="1"/>
  <c r="V327" i="7" s="1"/>
  <c r="V328" i="7" s="1"/>
  <c r="V329" i="7" s="1"/>
  <c r="V330" i="7" s="1"/>
  <c r="V331" i="7" s="1"/>
  <c r="V332" i="7" s="1"/>
  <c r="V333" i="7" s="1"/>
  <c r="V334" i="7" s="1"/>
  <c r="V335" i="7" s="1"/>
  <c r="V336" i="7" s="1"/>
  <c r="V337" i="7" s="1"/>
  <c r="V338" i="7" s="1"/>
  <c r="V339" i="7" s="1"/>
  <c r="V340" i="7" s="1"/>
  <c r="V341" i="7" s="1"/>
  <c r="V342" i="7" s="1"/>
  <c r="V343" i="7" s="1"/>
  <c r="V344" i="7" s="1"/>
  <c r="V345" i="7" s="1"/>
  <c r="V346" i="7" s="1"/>
  <c r="V347" i="7" s="1"/>
  <c r="V348" i="7" s="1"/>
  <c r="V349" i="7" s="1"/>
  <c r="V350" i="7" s="1"/>
  <c r="V351" i="7" s="1"/>
  <c r="V352" i="7" s="1"/>
  <c r="V353" i="7" s="1"/>
  <c r="V354" i="7" s="1"/>
  <c r="V355" i="7" s="1"/>
  <c r="V356" i="7" s="1"/>
  <c r="V357" i="7" s="1"/>
  <c r="V358" i="7" s="1"/>
  <c r="V359" i="7" s="1"/>
  <c r="V360" i="7" s="1"/>
  <c r="V361" i="7" s="1"/>
  <c r="V362" i="7" s="1"/>
  <c r="V363" i="7" s="1"/>
  <c r="V364" i="7" s="1"/>
  <c r="V365" i="7" s="1"/>
  <c r="V366" i="7" s="1"/>
  <c r="V367" i="7" s="1"/>
  <c r="V368" i="7" s="1"/>
  <c r="V369" i="7" s="1"/>
  <c r="V370" i="7" s="1"/>
  <c r="V371" i="7" s="1"/>
  <c r="V372" i="7" s="1"/>
  <c r="V373" i="7" s="1"/>
  <c r="V374" i="7" s="1"/>
  <c r="V375" i="7" s="1"/>
  <c r="V376" i="7" s="1"/>
  <c r="V377" i="7" s="1"/>
  <c r="V378" i="7" s="1"/>
  <c r="V379" i="7" s="1"/>
  <c r="V380" i="7" s="1"/>
  <c r="V381" i="7" s="1"/>
  <c r="V382" i="7" s="1"/>
  <c r="V383" i="7" s="1"/>
  <c r="V384" i="7" s="1"/>
  <c r="V385" i="7" s="1"/>
  <c r="V386" i="7" s="1"/>
  <c r="V387" i="7" s="1"/>
  <c r="V388" i="7" s="1"/>
  <c r="V389" i="7" s="1"/>
  <c r="V390" i="7" s="1"/>
  <c r="V391" i="7" s="1"/>
  <c r="V392" i="7" s="1"/>
  <c r="V393" i="7" s="1"/>
  <c r="V394" i="7" s="1"/>
  <c r="V395" i="7" s="1"/>
  <c r="V396" i="7" s="1"/>
  <c r="V397" i="7" s="1"/>
  <c r="V398" i="7" s="1"/>
  <c r="V399" i="7" s="1"/>
  <c r="V400" i="7" s="1"/>
  <c r="V401" i="7" s="1"/>
  <c r="V402" i="7" s="1"/>
  <c r="V403" i="7" s="1"/>
  <c r="V404" i="7" s="1"/>
  <c r="V405" i="7" s="1"/>
  <c r="V406" i="7" s="1"/>
  <c r="V407" i="7" s="1"/>
  <c r="V408" i="7" s="1"/>
  <c r="V409" i="7" s="1"/>
  <c r="V410" i="7" s="1"/>
  <c r="V411" i="7" s="1"/>
  <c r="V412" i="7" s="1"/>
  <c r="V413" i="7" s="1"/>
  <c r="V414" i="7" s="1"/>
  <c r="V415" i="7" s="1"/>
  <c r="V416" i="7" s="1"/>
  <c r="V417" i="7" s="1"/>
  <c r="V418" i="7" s="1"/>
  <c r="V419" i="7" s="1"/>
  <c r="V420" i="7" s="1"/>
  <c r="V421" i="7" s="1"/>
  <c r="V422" i="7" s="1"/>
  <c r="V423" i="7" s="1"/>
  <c r="V424" i="7" s="1"/>
  <c r="V425" i="7" s="1"/>
  <c r="V426" i="7" s="1"/>
  <c r="V427" i="7" s="1"/>
  <c r="V428" i="7" s="1"/>
  <c r="V429" i="7" s="1"/>
  <c r="V430" i="7" s="1"/>
  <c r="V431" i="7" s="1"/>
  <c r="V432" i="7" s="1"/>
  <c r="V433" i="7" s="1"/>
  <c r="V434" i="7" s="1"/>
  <c r="V435" i="7" s="1"/>
  <c r="V436" i="7" s="1"/>
  <c r="V437" i="7" s="1"/>
  <c r="V438" i="7" s="1"/>
  <c r="V439" i="7" s="1"/>
  <c r="V440" i="7" s="1"/>
  <c r="V441" i="7" s="1"/>
  <c r="V442" i="7" s="1"/>
  <c r="V443" i="7" s="1"/>
  <c r="V444" i="7" s="1"/>
  <c r="V445" i="7" s="1"/>
  <c r="V446" i="7" s="1"/>
  <c r="V447" i="7" s="1"/>
  <c r="V448" i="7" s="1"/>
  <c r="V449" i="7" s="1"/>
  <c r="V450" i="7" s="1"/>
  <c r="V451" i="7" s="1"/>
  <c r="V452" i="7" s="1"/>
  <c r="V453" i="7" s="1"/>
  <c r="V454" i="7" s="1"/>
  <c r="V455" i="7" s="1"/>
  <c r="V456" i="7" s="1"/>
  <c r="V457" i="7" s="1"/>
  <c r="V458" i="7" s="1"/>
  <c r="V459" i="7" s="1"/>
  <c r="V460" i="7" s="1"/>
  <c r="V461" i="7" s="1"/>
  <c r="V462" i="7" s="1"/>
  <c r="V463" i="7" s="1"/>
  <c r="V464" i="7" s="1"/>
  <c r="V465" i="7" s="1"/>
  <c r="V466" i="7" s="1"/>
  <c r="V467" i="7" s="1"/>
  <c r="V468" i="7" s="1"/>
  <c r="V469" i="7" s="1"/>
  <c r="V470" i="7" s="1"/>
  <c r="V471" i="7" s="1"/>
  <c r="V472" i="7" s="1"/>
  <c r="V473" i="7" s="1"/>
  <c r="V474" i="7" s="1"/>
  <c r="V475" i="7" s="1"/>
  <c r="V476" i="7" s="1"/>
  <c r="V477" i="7" s="1"/>
  <c r="V478" i="7" s="1"/>
  <c r="V479" i="7" s="1"/>
  <c r="V480" i="7" s="1"/>
  <c r="V481" i="7" s="1"/>
  <c r="V482" i="7" s="1"/>
  <c r="V483" i="7" s="1"/>
  <c r="V484" i="7" s="1"/>
  <c r="V485" i="7" s="1"/>
  <c r="V486" i="7" s="1"/>
  <c r="V487" i="7" s="1"/>
  <c r="V488" i="7" s="1"/>
  <c r="V489" i="7" s="1"/>
  <c r="V490" i="7" s="1"/>
  <c r="V491" i="7" s="1"/>
  <c r="V492" i="7" s="1"/>
  <c r="V493" i="7" s="1"/>
  <c r="V494" i="7" s="1"/>
  <c r="V495" i="7" s="1"/>
  <c r="V496" i="7" s="1"/>
  <c r="V497" i="7" s="1"/>
  <c r="V498" i="7" s="1"/>
  <c r="V499" i="7" s="1"/>
  <c r="V500" i="7" s="1"/>
  <c r="V501" i="7" s="1"/>
  <c r="V502" i="7" s="1"/>
  <c r="V503" i="7" s="1"/>
  <c r="V504" i="7" s="1"/>
  <c r="V505" i="7" s="1"/>
  <c r="V506" i="7" s="1"/>
  <c r="V507" i="7" s="1"/>
  <c r="V508" i="7" s="1"/>
  <c r="V509" i="7" s="1"/>
  <c r="T17" i="7"/>
  <c r="T18" i="7" s="1"/>
  <c r="T19" i="7" s="1"/>
  <c r="T20" i="7" s="1"/>
  <c r="T21" i="7" s="1"/>
  <c r="T22" i="7" s="1"/>
  <c r="T23" i="7" s="1"/>
  <c r="T24" i="7" s="1"/>
  <c r="T25" i="7" s="1"/>
  <c r="T26" i="7" s="1"/>
  <c r="T27" i="7" s="1"/>
  <c r="T28" i="7" s="1"/>
  <c r="T29" i="7" s="1"/>
  <c r="T30" i="7" s="1"/>
  <c r="T31" i="7" s="1"/>
  <c r="T32" i="7" s="1"/>
  <c r="T33" i="7" s="1"/>
  <c r="T34" i="7" s="1"/>
  <c r="T35" i="7" s="1"/>
  <c r="T36" i="7" s="1"/>
  <c r="T37" i="7" s="1"/>
  <c r="T38" i="7" s="1"/>
  <c r="T39" i="7" s="1"/>
  <c r="T40" i="7" s="1"/>
  <c r="T41" i="7" s="1"/>
  <c r="T42" i="7" s="1"/>
  <c r="T43" i="7" s="1"/>
  <c r="T44" i="7" s="1"/>
  <c r="T45" i="7" s="1"/>
  <c r="T46" i="7" s="1"/>
  <c r="T47" i="7" s="1"/>
  <c r="T48" i="7" s="1"/>
  <c r="T49" i="7" s="1"/>
  <c r="T50" i="7" s="1"/>
  <c r="T51" i="7" s="1"/>
  <c r="T52" i="7" s="1"/>
  <c r="T53" i="7" s="1"/>
  <c r="T54" i="7" s="1"/>
  <c r="T55" i="7" s="1"/>
  <c r="T56" i="7" s="1"/>
  <c r="T57" i="7" s="1"/>
  <c r="T58" i="7" s="1"/>
  <c r="T59" i="7" s="1"/>
  <c r="T60" i="7" s="1"/>
  <c r="T61" i="7" s="1"/>
  <c r="T62" i="7" s="1"/>
  <c r="T63" i="7" s="1"/>
  <c r="T64" i="7" s="1"/>
  <c r="T65" i="7" s="1"/>
  <c r="T66" i="7" s="1"/>
  <c r="T67" i="7" s="1"/>
  <c r="T68" i="7" s="1"/>
  <c r="T69" i="7" s="1"/>
  <c r="T70" i="7" s="1"/>
  <c r="T71" i="7" s="1"/>
  <c r="T72" i="7" s="1"/>
  <c r="T73" i="7" s="1"/>
  <c r="T74" i="7" s="1"/>
  <c r="T75" i="7" s="1"/>
  <c r="T76" i="7" s="1"/>
  <c r="T77" i="7" s="1"/>
  <c r="T78" i="7" s="1"/>
  <c r="T79" i="7" s="1"/>
  <c r="T80" i="7" s="1"/>
  <c r="T81" i="7" s="1"/>
  <c r="T82" i="7" s="1"/>
  <c r="T83" i="7" s="1"/>
  <c r="T84" i="7" s="1"/>
  <c r="T85" i="7" s="1"/>
  <c r="T86" i="7" s="1"/>
  <c r="T87" i="7" s="1"/>
  <c r="T88" i="7" s="1"/>
  <c r="T89" i="7" s="1"/>
  <c r="T90" i="7" s="1"/>
  <c r="T91" i="7" s="1"/>
  <c r="T92" i="7" s="1"/>
  <c r="T93" i="7" s="1"/>
  <c r="T94" i="7" s="1"/>
  <c r="T95" i="7" s="1"/>
  <c r="T96" i="7" s="1"/>
  <c r="T97" i="7" s="1"/>
  <c r="T98" i="7" s="1"/>
  <c r="T99" i="7" s="1"/>
  <c r="T100" i="7" s="1"/>
  <c r="T101" i="7" s="1"/>
  <c r="T102" i="7" s="1"/>
  <c r="T103" i="7" s="1"/>
  <c r="T104" i="7" s="1"/>
  <c r="T105" i="7" s="1"/>
  <c r="T106" i="7" s="1"/>
  <c r="T107" i="7" s="1"/>
  <c r="T108" i="7" s="1"/>
  <c r="T109" i="7" s="1"/>
  <c r="T110" i="7" s="1"/>
  <c r="T111" i="7" s="1"/>
  <c r="T112" i="7" s="1"/>
  <c r="T113" i="7" s="1"/>
  <c r="T114" i="7" s="1"/>
  <c r="T115" i="7" s="1"/>
  <c r="T116" i="7" s="1"/>
  <c r="T117" i="7" s="1"/>
  <c r="T118" i="7" s="1"/>
  <c r="T119" i="7" s="1"/>
  <c r="T120" i="7" s="1"/>
  <c r="T121" i="7" s="1"/>
  <c r="T122" i="7" s="1"/>
  <c r="T123" i="7" s="1"/>
  <c r="T124" i="7" s="1"/>
  <c r="T125" i="7" s="1"/>
  <c r="T126" i="7" s="1"/>
  <c r="T127" i="7" s="1"/>
  <c r="T128" i="7" s="1"/>
  <c r="T129" i="7" s="1"/>
  <c r="T130" i="7" s="1"/>
  <c r="T131" i="7" s="1"/>
  <c r="T132" i="7" s="1"/>
  <c r="T133" i="7" s="1"/>
  <c r="T134" i="7" s="1"/>
  <c r="T135" i="7" s="1"/>
  <c r="T136" i="7" s="1"/>
  <c r="T137" i="7" s="1"/>
  <c r="T138" i="7" s="1"/>
  <c r="T139" i="7" s="1"/>
  <c r="T140" i="7" s="1"/>
  <c r="T141" i="7" s="1"/>
  <c r="T142" i="7" s="1"/>
  <c r="T143" i="7" s="1"/>
  <c r="T144" i="7" s="1"/>
  <c r="T145" i="7" s="1"/>
  <c r="T146" i="7" s="1"/>
  <c r="T147" i="7" s="1"/>
  <c r="T148" i="7" s="1"/>
  <c r="T149" i="7" s="1"/>
  <c r="T150" i="7" s="1"/>
  <c r="T151" i="7" s="1"/>
  <c r="T152" i="7" s="1"/>
  <c r="T153" i="7" s="1"/>
  <c r="T154" i="7" s="1"/>
  <c r="T155" i="7" s="1"/>
  <c r="T156" i="7" s="1"/>
  <c r="T157" i="7" s="1"/>
  <c r="T158" i="7" s="1"/>
  <c r="T159" i="7" s="1"/>
  <c r="T160" i="7" s="1"/>
  <c r="T161" i="7" s="1"/>
  <c r="T162" i="7" s="1"/>
  <c r="T163" i="7" s="1"/>
  <c r="T164" i="7" s="1"/>
  <c r="T165" i="7" s="1"/>
  <c r="T166" i="7" s="1"/>
  <c r="T167" i="7" s="1"/>
  <c r="T168" i="7" s="1"/>
  <c r="T169" i="7" s="1"/>
  <c r="T170" i="7" s="1"/>
  <c r="T171" i="7" s="1"/>
  <c r="T172" i="7" s="1"/>
  <c r="T173" i="7" s="1"/>
  <c r="T174" i="7" s="1"/>
  <c r="T175" i="7" s="1"/>
  <c r="T176" i="7" s="1"/>
  <c r="T177" i="7" s="1"/>
  <c r="T178" i="7" s="1"/>
  <c r="T179" i="7" s="1"/>
  <c r="T180" i="7" s="1"/>
  <c r="T181" i="7" s="1"/>
  <c r="T182" i="7" s="1"/>
  <c r="T183" i="7" s="1"/>
  <c r="T184" i="7" s="1"/>
  <c r="T185" i="7" s="1"/>
  <c r="T186" i="7" s="1"/>
  <c r="T187" i="7" s="1"/>
  <c r="T188" i="7" s="1"/>
  <c r="T189" i="7" s="1"/>
  <c r="T190" i="7" s="1"/>
  <c r="T191" i="7" s="1"/>
  <c r="T192" i="7" s="1"/>
  <c r="T193" i="7" s="1"/>
  <c r="T194" i="7" s="1"/>
  <c r="T195" i="7" s="1"/>
  <c r="T196" i="7" s="1"/>
  <c r="T197" i="7" s="1"/>
  <c r="T198" i="7" s="1"/>
  <c r="T199" i="7" s="1"/>
  <c r="T200" i="7" s="1"/>
  <c r="T201" i="7" s="1"/>
  <c r="T202" i="7" s="1"/>
  <c r="T203" i="7" s="1"/>
  <c r="T204" i="7" s="1"/>
  <c r="T205" i="7" s="1"/>
  <c r="T206" i="7" s="1"/>
  <c r="T207" i="7" s="1"/>
  <c r="T208" i="7" s="1"/>
  <c r="T209" i="7" s="1"/>
  <c r="T210" i="7" s="1"/>
  <c r="T211" i="7" s="1"/>
  <c r="T212" i="7" s="1"/>
  <c r="T213" i="7" s="1"/>
  <c r="T214" i="7" s="1"/>
  <c r="T215" i="7" s="1"/>
  <c r="T216" i="7" s="1"/>
  <c r="T217" i="7" s="1"/>
  <c r="T218" i="7" s="1"/>
  <c r="T219" i="7" s="1"/>
  <c r="T220" i="7" s="1"/>
  <c r="T221" i="7" s="1"/>
  <c r="T222" i="7" s="1"/>
  <c r="T223" i="7" s="1"/>
  <c r="T224" i="7" s="1"/>
  <c r="T225" i="7" s="1"/>
  <c r="T226" i="7" s="1"/>
  <c r="T227" i="7" s="1"/>
  <c r="T228" i="7" s="1"/>
  <c r="T229" i="7" s="1"/>
  <c r="T230" i="7" s="1"/>
  <c r="T231" i="7" s="1"/>
  <c r="T232" i="7" s="1"/>
  <c r="T233" i="7" s="1"/>
  <c r="T234" i="7" s="1"/>
  <c r="T235" i="7" s="1"/>
  <c r="T236" i="7" s="1"/>
  <c r="T237" i="7" s="1"/>
  <c r="T238" i="7" s="1"/>
  <c r="T239" i="7" s="1"/>
  <c r="T240" i="7" s="1"/>
  <c r="T241" i="7" s="1"/>
  <c r="T242" i="7" s="1"/>
  <c r="T243" i="7" s="1"/>
  <c r="T244" i="7" s="1"/>
  <c r="T245" i="7" s="1"/>
  <c r="T246" i="7" s="1"/>
  <c r="T247" i="7" s="1"/>
  <c r="T248" i="7" s="1"/>
  <c r="T249" i="7" s="1"/>
  <c r="T250" i="7" s="1"/>
  <c r="T251" i="7" s="1"/>
  <c r="T252" i="7" s="1"/>
  <c r="T253" i="7" s="1"/>
  <c r="T254" i="7" s="1"/>
  <c r="T255" i="7" s="1"/>
  <c r="T256" i="7" s="1"/>
  <c r="T257" i="7" s="1"/>
  <c r="T258" i="7" s="1"/>
  <c r="T259" i="7" s="1"/>
  <c r="T260" i="7" s="1"/>
  <c r="T261" i="7" s="1"/>
  <c r="T262" i="7" s="1"/>
  <c r="T263" i="7" s="1"/>
  <c r="T264" i="7" s="1"/>
  <c r="T265" i="7" s="1"/>
  <c r="T266" i="7" s="1"/>
  <c r="T267" i="7" s="1"/>
  <c r="T268" i="7" s="1"/>
  <c r="T269" i="7" s="1"/>
  <c r="T270" i="7" s="1"/>
  <c r="T271" i="7" s="1"/>
  <c r="T272" i="7" s="1"/>
  <c r="T273" i="7" s="1"/>
  <c r="T274" i="7" s="1"/>
  <c r="T275" i="7" s="1"/>
  <c r="T276" i="7" s="1"/>
  <c r="T277" i="7" s="1"/>
  <c r="T278" i="7" s="1"/>
  <c r="T279" i="7" s="1"/>
  <c r="T280" i="7" s="1"/>
  <c r="T281" i="7" s="1"/>
  <c r="T282" i="7" s="1"/>
  <c r="T283" i="7" s="1"/>
  <c r="T284" i="7" s="1"/>
  <c r="T285" i="7" s="1"/>
  <c r="T286" i="7" s="1"/>
  <c r="T287" i="7" s="1"/>
  <c r="T288" i="7" s="1"/>
  <c r="T289" i="7" s="1"/>
  <c r="T290" i="7" s="1"/>
  <c r="T291" i="7" s="1"/>
  <c r="T292" i="7" s="1"/>
  <c r="T293" i="7" s="1"/>
  <c r="T294" i="7" s="1"/>
  <c r="T295" i="7" s="1"/>
  <c r="T296" i="7" s="1"/>
  <c r="T297" i="7" s="1"/>
  <c r="T298" i="7" s="1"/>
  <c r="T299" i="7" s="1"/>
  <c r="T300" i="7" s="1"/>
  <c r="T301" i="7" s="1"/>
  <c r="T302" i="7" s="1"/>
  <c r="T303" i="7" s="1"/>
  <c r="T304" i="7" s="1"/>
  <c r="T305" i="7" s="1"/>
  <c r="T306" i="7" s="1"/>
  <c r="T307" i="7" s="1"/>
  <c r="T308" i="7" s="1"/>
  <c r="T309" i="7" s="1"/>
  <c r="T310" i="7" s="1"/>
  <c r="T311" i="7" s="1"/>
  <c r="T312" i="7" s="1"/>
  <c r="T313" i="7" s="1"/>
  <c r="T314" i="7" s="1"/>
  <c r="T315" i="7" s="1"/>
  <c r="T316" i="7" s="1"/>
  <c r="T317" i="7" s="1"/>
  <c r="T318" i="7" s="1"/>
  <c r="T319" i="7" s="1"/>
  <c r="T320" i="7" s="1"/>
  <c r="T321" i="7" s="1"/>
  <c r="T322" i="7" s="1"/>
  <c r="T323" i="7" s="1"/>
  <c r="T324" i="7" s="1"/>
  <c r="T325" i="7" s="1"/>
  <c r="T326" i="7" s="1"/>
  <c r="T327" i="7" s="1"/>
  <c r="T328" i="7" s="1"/>
  <c r="T329" i="7" s="1"/>
  <c r="T330" i="7" s="1"/>
  <c r="T331" i="7" s="1"/>
  <c r="T332" i="7" s="1"/>
  <c r="T333" i="7" s="1"/>
  <c r="T334" i="7" s="1"/>
  <c r="T335" i="7" s="1"/>
  <c r="T336" i="7" s="1"/>
  <c r="T337" i="7" s="1"/>
  <c r="T338" i="7" s="1"/>
  <c r="T339" i="7" s="1"/>
  <c r="T340" i="7" s="1"/>
  <c r="T341" i="7" s="1"/>
  <c r="T342" i="7" s="1"/>
  <c r="T343" i="7" s="1"/>
  <c r="T344" i="7" s="1"/>
  <c r="T345" i="7" s="1"/>
  <c r="T346" i="7" s="1"/>
  <c r="T347" i="7" s="1"/>
  <c r="T348" i="7" s="1"/>
  <c r="T349" i="7" s="1"/>
  <c r="T350" i="7" s="1"/>
  <c r="T351" i="7" s="1"/>
  <c r="T352" i="7" s="1"/>
  <c r="T353" i="7" s="1"/>
  <c r="T354" i="7" s="1"/>
  <c r="T355" i="7" s="1"/>
  <c r="T356" i="7" s="1"/>
  <c r="T357" i="7" s="1"/>
  <c r="T358" i="7" s="1"/>
  <c r="T359" i="7" s="1"/>
  <c r="T360" i="7" s="1"/>
  <c r="T361" i="7" s="1"/>
  <c r="T362" i="7" s="1"/>
  <c r="T363" i="7" s="1"/>
  <c r="T364" i="7" s="1"/>
  <c r="T365" i="7" s="1"/>
  <c r="T366" i="7" s="1"/>
  <c r="T367" i="7" s="1"/>
  <c r="T368" i="7" s="1"/>
  <c r="T369" i="7" s="1"/>
  <c r="T370" i="7" s="1"/>
  <c r="T371" i="7" s="1"/>
  <c r="T372" i="7" s="1"/>
  <c r="T373" i="7" s="1"/>
  <c r="T374" i="7" s="1"/>
  <c r="T375" i="7" s="1"/>
  <c r="T376" i="7" s="1"/>
  <c r="T377" i="7" s="1"/>
  <c r="T378" i="7" s="1"/>
  <c r="T379" i="7" s="1"/>
  <c r="T380" i="7" s="1"/>
  <c r="T381" i="7" s="1"/>
  <c r="T382" i="7" s="1"/>
  <c r="T383" i="7" s="1"/>
  <c r="T384" i="7" s="1"/>
  <c r="T385" i="7" s="1"/>
  <c r="T386" i="7" s="1"/>
  <c r="T387" i="7" s="1"/>
  <c r="T388" i="7" s="1"/>
  <c r="T389" i="7" s="1"/>
  <c r="T390" i="7" s="1"/>
  <c r="T391" i="7" s="1"/>
  <c r="T392" i="7" s="1"/>
  <c r="T393" i="7" s="1"/>
  <c r="T394" i="7" s="1"/>
  <c r="T395" i="7" s="1"/>
  <c r="T396" i="7" s="1"/>
  <c r="T397" i="7" s="1"/>
  <c r="T398" i="7" s="1"/>
  <c r="T399" i="7" s="1"/>
  <c r="T400" i="7" s="1"/>
  <c r="T401" i="7" s="1"/>
  <c r="T402" i="7" s="1"/>
  <c r="T403" i="7" s="1"/>
  <c r="T404" i="7" s="1"/>
  <c r="T405" i="7" s="1"/>
  <c r="T406" i="7" s="1"/>
  <c r="T407" i="7" s="1"/>
  <c r="T408" i="7" s="1"/>
  <c r="T409" i="7" s="1"/>
  <c r="T410" i="7" s="1"/>
  <c r="T411" i="7" s="1"/>
  <c r="T412" i="7" s="1"/>
  <c r="T413" i="7" s="1"/>
  <c r="T414" i="7" s="1"/>
  <c r="T415" i="7" s="1"/>
  <c r="T416" i="7" s="1"/>
  <c r="T417" i="7" s="1"/>
  <c r="T418" i="7" s="1"/>
  <c r="T419" i="7" s="1"/>
  <c r="T420" i="7" s="1"/>
  <c r="T421" i="7" s="1"/>
  <c r="T422" i="7" s="1"/>
  <c r="T423" i="7" s="1"/>
  <c r="T424" i="7" s="1"/>
  <c r="T425" i="7" s="1"/>
  <c r="T426" i="7" s="1"/>
  <c r="T427" i="7" s="1"/>
  <c r="T428" i="7" s="1"/>
  <c r="T429" i="7" s="1"/>
  <c r="T430" i="7" s="1"/>
  <c r="T431" i="7" s="1"/>
  <c r="T432" i="7" s="1"/>
  <c r="T433" i="7" s="1"/>
  <c r="T434" i="7" s="1"/>
  <c r="T435" i="7" s="1"/>
  <c r="T436" i="7" s="1"/>
  <c r="T437" i="7" s="1"/>
  <c r="T438" i="7" s="1"/>
  <c r="T439" i="7" s="1"/>
  <c r="T440" i="7" s="1"/>
  <c r="T441" i="7" s="1"/>
  <c r="T442" i="7" s="1"/>
  <c r="T443" i="7" s="1"/>
  <c r="T444" i="7" s="1"/>
  <c r="T445" i="7" s="1"/>
  <c r="T446" i="7" s="1"/>
  <c r="T447" i="7" s="1"/>
  <c r="T448" i="7" s="1"/>
  <c r="T449" i="7" s="1"/>
  <c r="T450" i="7" s="1"/>
  <c r="T451" i="7" s="1"/>
  <c r="T452" i="7" s="1"/>
  <c r="T453" i="7" s="1"/>
  <c r="T454" i="7" s="1"/>
  <c r="T455" i="7" s="1"/>
  <c r="T456" i="7" s="1"/>
  <c r="T457" i="7" s="1"/>
  <c r="T458" i="7" s="1"/>
  <c r="T459" i="7" s="1"/>
  <c r="T460" i="7" s="1"/>
  <c r="T461" i="7" s="1"/>
  <c r="T462" i="7" s="1"/>
  <c r="T463" i="7" s="1"/>
  <c r="T464" i="7" s="1"/>
  <c r="T465" i="7" s="1"/>
  <c r="T466" i="7" s="1"/>
  <c r="T467" i="7" s="1"/>
  <c r="T468" i="7" s="1"/>
  <c r="T469" i="7" s="1"/>
  <c r="T470" i="7" s="1"/>
  <c r="T471" i="7" s="1"/>
  <c r="T472" i="7" s="1"/>
  <c r="T473" i="7" s="1"/>
  <c r="T474" i="7" s="1"/>
  <c r="T475" i="7" s="1"/>
  <c r="T476" i="7" s="1"/>
  <c r="T477" i="7" s="1"/>
  <c r="T478" i="7" s="1"/>
  <c r="T479" i="7" s="1"/>
  <c r="T480" i="7" s="1"/>
  <c r="T481" i="7" s="1"/>
  <c r="T482" i="7" s="1"/>
  <c r="T483" i="7" s="1"/>
  <c r="T484" i="7" s="1"/>
  <c r="T485" i="7" s="1"/>
  <c r="T486" i="7" s="1"/>
  <c r="T487" i="7" s="1"/>
  <c r="T488" i="7" s="1"/>
  <c r="T489" i="7" s="1"/>
  <c r="T490" i="7" s="1"/>
  <c r="T491" i="7" s="1"/>
  <c r="T492" i="7" s="1"/>
  <c r="T493" i="7" s="1"/>
  <c r="T494" i="7" s="1"/>
  <c r="T495" i="7" s="1"/>
  <c r="T496" i="7" s="1"/>
  <c r="T497" i="7" s="1"/>
  <c r="T498" i="7" s="1"/>
  <c r="T499" i="7" s="1"/>
  <c r="T500" i="7" s="1"/>
  <c r="T501" i="7" s="1"/>
  <c r="T502" i="7" s="1"/>
  <c r="T503" i="7" s="1"/>
  <c r="T504" i="7" s="1"/>
  <c r="T505" i="7" s="1"/>
  <c r="T506" i="7" s="1"/>
  <c r="T507" i="7" s="1"/>
  <c r="T508" i="7" s="1"/>
  <c r="T509" i="7" s="1"/>
  <c r="R17" i="7"/>
  <c r="R18" i="7" s="1"/>
  <c r="R19" i="7" s="1"/>
  <c r="R20" i="7" s="1"/>
  <c r="R21" i="7" s="1"/>
  <c r="R22" i="7" s="1"/>
  <c r="R23" i="7" s="1"/>
  <c r="R24" i="7" s="1"/>
  <c r="R25" i="7" s="1"/>
  <c r="R26" i="7" s="1"/>
  <c r="R27" i="7" s="1"/>
  <c r="R28" i="7" s="1"/>
  <c r="R29" i="7" s="1"/>
  <c r="R30" i="7" s="1"/>
  <c r="R31" i="7" s="1"/>
  <c r="R32" i="7" s="1"/>
  <c r="R33" i="7" s="1"/>
  <c r="R34" i="7" s="1"/>
  <c r="R35" i="7" s="1"/>
  <c r="R36" i="7" s="1"/>
  <c r="R37" i="7" s="1"/>
  <c r="R38" i="7" s="1"/>
  <c r="R39" i="7" s="1"/>
  <c r="R40" i="7" s="1"/>
  <c r="R41" i="7" s="1"/>
  <c r="R42" i="7" s="1"/>
  <c r="R43" i="7" s="1"/>
  <c r="R44" i="7" s="1"/>
  <c r="R45" i="7" s="1"/>
  <c r="R46" i="7" s="1"/>
  <c r="R47" i="7" s="1"/>
  <c r="R48" i="7" s="1"/>
  <c r="R49" i="7" s="1"/>
  <c r="R50" i="7" s="1"/>
  <c r="R51" i="7" s="1"/>
  <c r="R52" i="7" s="1"/>
  <c r="R53" i="7" s="1"/>
  <c r="R54" i="7" s="1"/>
  <c r="R55" i="7" s="1"/>
  <c r="R56" i="7" s="1"/>
  <c r="R57" i="7" s="1"/>
  <c r="R58" i="7" s="1"/>
  <c r="R59" i="7" s="1"/>
  <c r="R60" i="7" s="1"/>
  <c r="R61" i="7" s="1"/>
  <c r="R62" i="7" s="1"/>
  <c r="R63" i="7" s="1"/>
  <c r="R64" i="7" s="1"/>
  <c r="R65" i="7" s="1"/>
  <c r="R66" i="7" s="1"/>
  <c r="R67" i="7" s="1"/>
  <c r="R68" i="7" s="1"/>
  <c r="R69" i="7" s="1"/>
  <c r="R70" i="7" s="1"/>
  <c r="R71" i="7" s="1"/>
  <c r="R72" i="7" s="1"/>
  <c r="R73" i="7" s="1"/>
  <c r="R74" i="7" s="1"/>
  <c r="R75" i="7" s="1"/>
  <c r="R76" i="7" s="1"/>
  <c r="R77" i="7" s="1"/>
  <c r="R78" i="7" s="1"/>
  <c r="R79" i="7" s="1"/>
  <c r="R80" i="7" s="1"/>
  <c r="R81" i="7" s="1"/>
  <c r="R82" i="7" s="1"/>
  <c r="R83" i="7" s="1"/>
  <c r="R84" i="7" s="1"/>
  <c r="R85" i="7" s="1"/>
  <c r="R86" i="7" s="1"/>
  <c r="R87" i="7" s="1"/>
  <c r="R88" i="7" s="1"/>
  <c r="R89" i="7" s="1"/>
  <c r="R90" i="7" s="1"/>
  <c r="R91" i="7" s="1"/>
  <c r="R92" i="7" s="1"/>
  <c r="R93" i="7" s="1"/>
  <c r="R94" i="7" s="1"/>
  <c r="R95" i="7" s="1"/>
  <c r="R96" i="7" s="1"/>
  <c r="R97" i="7" s="1"/>
  <c r="R98" i="7" s="1"/>
  <c r="R99" i="7" s="1"/>
  <c r="R100" i="7" s="1"/>
  <c r="R101" i="7" s="1"/>
  <c r="R102" i="7" s="1"/>
  <c r="R103" i="7" s="1"/>
  <c r="R104" i="7" s="1"/>
  <c r="R105" i="7" s="1"/>
  <c r="R106" i="7" s="1"/>
  <c r="R107" i="7" s="1"/>
  <c r="R108" i="7" s="1"/>
  <c r="R109" i="7" s="1"/>
  <c r="R110" i="7" s="1"/>
  <c r="R111" i="7" s="1"/>
  <c r="R112" i="7" s="1"/>
  <c r="R113" i="7" s="1"/>
  <c r="R114" i="7" s="1"/>
  <c r="R115" i="7" s="1"/>
  <c r="R116" i="7" s="1"/>
  <c r="R117" i="7" s="1"/>
  <c r="R118" i="7" s="1"/>
  <c r="R119" i="7" s="1"/>
  <c r="R120" i="7" s="1"/>
  <c r="R121" i="7" s="1"/>
  <c r="R122" i="7" s="1"/>
  <c r="R123" i="7" s="1"/>
  <c r="R124" i="7" s="1"/>
  <c r="R125" i="7" s="1"/>
  <c r="R126" i="7" s="1"/>
  <c r="R127" i="7" s="1"/>
  <c r="R128" i="7" s="1"/>
  <c r="R129" i="7" s="1"/>
  <c r="R130" i="7" s="1"/>
  <c r="R131" i="7" s="1"/>
  <c r="R132" i="7" s="1"/>
  <c r="R133" i="7" s="1"/>
  <c r="R134" i="7" s="1"/>
  <c r="R135" i="7" s="1"/>
  <c r="R136" i="7" s="1"/>
  <c r="R137" i="7" s="1"/>
  <c r="R138" i="7" s="1"/>
  <c r="R139" i="7" s="1"/>
  <c r="R140" i="7" s="1"/>
  <c r="R141" i="7" s="1"/>
  <c r="R142" i="7" s="1"/>
  <c r="R143" i="7" s="1"/>
  <c r="R144" i="7" s="1"/>
  <c r="R145" i="7" s="1"/>
  <c r="R146" i="7" s="1"/>
  <c r="R147" i="7" s="1"/>
  <c r="R148" i="7" s="1"/>
  <c r="R149" i="7" s="1"/>
  <c r="R150" i="7" s="1"/>
  <c r="R151" i="7" s="1"/>
  <c r="R152" i="7" s="1"/>
  <c r="R153" i="7" s="1"/>
  <c r="R154" i="7" s="1"/>
  <c r="R155" i="7" s="1"/>
  <c r="R156" i="7" s="1"/>
  <c r="R157" i="7" s="1"/>
  <c r="R158" i="7" s="1"/>
  <c r="R159" i="7" s="1"/>
  <c r="R160" i="7" s="1"/>
  <c r="R161" i="7" s="1"/>
  <c r="R162" i="7" s="1"/>
  <c r="R163" i="7" s="1"/>
  <c r="R164" i="7" s="1"/>
  <c r="R165" i="7" s="1"/>
  <c r="R166" i="7" s="1"/>
  <c r="R167" i="7" s="1"/>
  <c r="R168" i="7" s="1"/>
  <c r="R169" i="7" s="1"/>
  <c r="R170" i="7" s="1"/>
  <c r="R171" i="7" s="1"/>
  <c r="R172" i="7" s="1"/>
  <c r="R173" i="7" s="1"/>
  <c r="R174" i="7" s="1"/>
  <c r="R175" i="7" s="1"/>
  <c r="R176" i="7" s="1"/>
  <c r="R177" i="7" s="1"/>
  <c r="R178" i="7" s="1"/>
  <c r="R179" i="7" s="1"/>
  <c r="R180" i="7" s="1"/>
  <c r="R181" i="7" s="1"/>
  <c r="R182" i="7" s="1"/>
  <c r="R183" i="7" s="1"/>
  <c r="R184" i="7" s="1"/>
  <c r="R185" i="7" s="1"/>
  <c r="R186" i="7" s="1"/>
  <c r="R187" i="7" s="1"/>
  <c r="R188" i="7" s="1"/>
  <c r="R189" i="7" s="1"/>
  <c r="R190" i="7" s="1"/>
  <c r="R191" i="7" s="1"/>
  <c r="R192" i="7" s="1"/>
  <c r="R193" i="7" s="1"/>
  <c r="R194" i="7" s="1"/>
  <c r="R195" i="7" s="1"/>
  <c r="R196" i="7" s="1"/>
  <c r="R197" i="7" s="1"/>
  <c r="R198" i="7" s="1"/>
  <c r="R199" i="7" s="1"/>
  <c r="R200" i="7" s="1"/>
  <c r="R201" i="7" s="1"/>
  <c r="R202" i="7" s="1"/>
  <c r="R203" i="7" s="1"/>
  <c r="R204" i="7" s="1"/>
  <c r="R205" i="7" s="1"/>
  <c r="R206" i="7" s="1"/>
  <c r="R207" i="7" s="1"/>
  <c r="R208" i="7" s="1"/>
  <c r="R209" i="7" s="1"/>
  <c r="R210" i="7" s="1"/>
  <c r="R211" i="7" s="1"/>
  <c r="R212" i="7" s="1"/>
  <c r="R213" i="7" s="1"/>
  <c r="R214" i="7" s="1"/>
  <c r="R215" i="7" s="1"/>
  <c r="R216" i="7" s="1"/>
  <c r="R217" i="7" s="1"/>
  <c r="R218" i="7" s="1"/>
  <c r="R219" i="7" s="1"/>
  <c r="R220" i="7" s="1"/>
  <c r="R221" i="7" s="1"/>
  <c r="R222" i="7" s="1"/>
  <c r="R223" i="7" s="1"/>
  <c r="R224" i="7" s="1"/>
  <c r="R225" i="7" s="1"/>
  <c r="R226" i="7" s="1"/>
  <c r="R227" i="7" s="1"/>
  <c r="R228" i="7" s="1"/>
  <c r="R229" i="7" s="1"/>
  <c r="R230" i="7" s="1"/>
  <c r="R231" i="7" s="1"/>
  <c r="R232" i="7" s="1"/>
  <c r="R233" i="7" s="1"/>
  <c r="R234" i="7" s="1"/>
  <c r="R235" i="7" s="1"/>
  <c r="R236" i="7" s="1"/>
  <c r="R237" i="7" s="1"/>
  <c r="R238" i="7" s="1"/>
  <c r="R239" i="7" s="1"/>
  <c r="R240" i="7" s="1"/>
  <c r="R241" i="7" s="1"/>
  <c r="R242" i="7" s="1"/>
  <c r="R243" i="7" s="1"/>
  <c r="R244" i="7" s="1"/>
  <c r="R245" i="7" s="1"/>
  <c r="R246" i="7" s="1"/>
  <c r="R247" i="7" s="1"/>
  <c r="R248" i="7" s="1"/>
  <c r="R249" i="7" s="1"/>
  <c r="R250" i="7" s="1"/>
  <c r="R251" i="7" s="1"/>
  <c r="R252" i="7" s="1"/>
  <c r="R253" i="7" s="1"/>
  <c r="R254" i="7" s="1"/>
  <c r="R255" i="7" s="1"/>
  <c r="R256" i="7" s="1"/>
  <c r="R257" i="7" s="1"/>
  <c r="R258" i="7" s="1"/>
  <c r="R259" i="7" s="1"/>
  <c r="R260" i="7" s="1"/>
  <c r="R261" i="7" s="1"/>
  <c r="R262" i="7" s="1"/>
  <c r="R263" i="7" s="1"/>
  <c r="R264" i="7" s="1"/>
  <c r="R265" i="7" s="1"/>
  <c r="R266" i="7" s="1"/>
  <c r="R267" i="7" s="1"/>
  <c r="R268" i="7" s="1"/>
  <c r="R269" i="7" s="1"/>
  <c r="R270" i="7" s="1"/>
  <c r="R271" i="7" s="1"/>
  <c r="R272" i="7" s="1"/>
  <c r="R273" i="7" s="1"/>
  <c r="R274" i="7" s="1"/>
  <c r="R275" i="7" s="1"/>
  <c r="R276" i="7" s="1"/>
  <c r="R277" i="7" s="1"/>
  <c r="R278" i="7" s="1"/>
  <c r="R279" i="7" s="1"/>
  <c r="R280" i="7" s="1"/>
  <c r="R281" i="7" s="1"/>
  <c r="R282" i="7" s="1"/>
  <c r="R283" i="7" s="1"/>
  <c r="R284" i="7" s="1"/>
  <c r="R285" i="7" s="1"/>
  <c r="R286" i="7" s="1"/>
  <c r="R287" i="7" s="1"/>
  <c r="R288" i="7" s="1"/>
  <c r="R289" i="7" s="1"/>
  <c r="R290" i="7" s="1"/>
  <c r="R291" i="7" s="1"/>
  <c r="R292" i="7" s="1"/>
  <c r="R293" i="7" s="1"/>
  <c r="R294" i="7" s="1"/>
  <c r="R295" i="7" s="1"/>
  <c r="R296" i="7" s="1"/>
  <c r="R297" i="7" s="1"/>
  <c r="R298" i="7" s="1"/>
  <c r="R299" i="7" s="1"/>
  <c r="R300" i="7" s="1"/>
  <c r="R301" i="7" s="1"/>
  <c r="R302" i="7" s="1"/>
  <c r="R303" i="7" s="1"/>
  <c r="R304" i="7" s="1"/>
  <c r="R305" i="7" s="1"/>
  <c r="R306" i="7" s="1"/>
  <c r="R307" i="7" s="1"/>
  <c r="R308" i="7" s="1"/>
  <c r="R309" i="7" s="1"/>
  <c r="R310" i="7" s="1"/>
  <c r="R311" i="7" s="1"/>
  <c r="R312" i="7" s="1"/>
  <c r="R313" i="7" s="1"/>
  <c r="R314" i="7" s="1"/>
  <c r="R315" i="7" s="1"/>
  <c r="R316" i="7" s="1"/>
  <c r="R317" i="7" s="1"/>
  <c r="R318" i="7" s="1"/>
  <c r="R319" i="7" s="1"/>
  <c r="R320" i="7" s="1"/>
  <c r="R321" i="7" s="1"/>
  <c r="R322" i="7" s="1"/>
  <c r="R323" i="7" s="1"/>
  <c r="R324" i="7" s="1"/>
  <c r="R325" i="7" s="1"/>
  <c r="R326" i="7" s="1"/>
  <c r="R327" i="7" s="1"/>
  <c r="R328" i="7" s="1"/>
  <c r="R329" i="7" s="1"/>
  <c r="R330" i="7" s="1"/>
  <c r="R331" i="7" s="1"/>
  <c r="R332" i="7" s="1"/>
  <c r="R333" i="7" s="1"/>
  <c r="R334" i="7" s="1"/>
  <c r="R335" i="7" s="1"/>
  <c r="R336" i="7" s="1"/>
  <c r="R337" i="7" s="1"/>
  <c r="R338" i="7" s="1"/>
  <c r="R339" i="7" s="1"/>
  <c r="R340" i="7" s="1"/>
  <c r="R341" i="7" s="1"/>
  <c r="R342" i="7" s="1"/>
  <c r="R343" i="7" s="1"/>
  <c r="R344" i="7" s="1"/>
  <c r="R345" i="7" s="1"/>
  <c r="R346" i="7" s="1"/>
  <c r="R347" i="7" s="1"/>
  <c r="R348" i="7" s="1"/>
  <c r="R349" i="7" s="1"/>
  <c r="R350" i="7" s="1"/>
  <c r="R351" i="7" s="1"/>
  <c r="R352" i="7" s="1"/>
  <c r="R353" i="7" s="1"/>
  <c r="R354" i="7" s="1"/>
  <c r="R355" i="7" s="1"/>
  <c r="R356" i="7" s="1"/>
  <c r="R357" i="7" s="1"/>
  <c r="R358" i="7" s="1"/>
  <c r="R359" i="7" s="1"/>
  <c r="R360" i="7" s="1"/>
  <c r="R361" i="7" s="1"/>
  <c r="R362" i="7" s="1"/>
  <c r="R363" i="7" s="1"/>
  <c r="R364" i="7" s="1"/>
  <c r="R365" i="7" s="1"/>
  <c r="R366" i="7" s="1"/>
  <c r="R367" i="7" s="1"/>
  <c r="R368" i="7" s="1"/>
  <c r="R369" i="7" s="1"/>
  <c r="R370" i="7" s="1"/>
  <c r="R371" i="7" s="1"/>
  <c r="R372" i="7" s="1"/>
  <c r="R373" i="7" s="1"/>
  <c r="R374" i="7" s="1"/>
  <c r="R375" i="7" s="1"/>
  <c r="R376" i="7" s="1"/>
  <c r="R377" i="7" s="1"/>
  <c r="R378" i="7" s="1"/>
  <c r="R379" i="7" s="1"/>
  <c r="R380" i="7" s="1"/>
  <c r="R381" i="7" s="1"/>
  <c r="R382" i="7" s="1"/>
  <c r="R383" i="7" s="1"/>
  <c r="R384" i="7" s="1"/>
  <c r="R385" i="7" s="1"/>
  <c r="R386" i="7" s="1"/>
  <c r="R387" i="7" s="1"/>
  <c r="R388" i="7" s="1"/>
  <c r="R389" i="7" s="1"/>
  <c r="R390" i="7" s="1"/>
  <c r="R391" i="7" s="1"/>
  <c r="R392" i="7" s="1"/>
  <c r="R393" i="7" s="1"/>
  <c r="R394" i="7" s="1"/>
  <c r="R395" i="7" s="1"/>
  <c r="R396" i="7" s="1"/>
  <c r="R397" i="7" s="1"/>
  <c r="R398" i="7" s="1"/>
  <c r="R399" i="7" s="1"/>
  <c r="R400" i="7" s="1"/>
  <c r="R401" i="7" s="1"/>
  <c r="R402" i="7" s="1"/>
  <c r="R403" i="7" s="1"/>
  <c r="R404" i="7" s="1"/>
  <c r="R405" i="7" s="1"/>
  <c r="R406" i="7" s="1"/>
  <c r="R407" i="7" s="1"/>
  <c r="R408" i="7" s="1"/>
  <c r="R409" i="7" s="1"/>
  <c r="R410" i="7" s="1"/>
  <c r="R411" i="7" s="1"/>
  <c r="R412" i="7" s="1"/>
  <c r="R413" i="7" s="1"/>
  <c r="R414" i="7" s="1"/>
  <c r="R415" i="7" s="1"/>
  <c r="R416" i="7" s="1"/>
  <c r="R417" i="7" s="1"/>
  <c r="R418" i="7" s="1"/>
  <c r="R419" i="7" s="1"/>
  <c r="R420" i="7" s="1"/>
  <c r="R421" i="7" s="1"/>
  <c r="R422" i="7" s="1"/>
  <c r="R423" i="7" s="1"/>
  <c r="R424" i="7" s="1"/>
  <c r="R425" i="7" s="1"/>
  <c r="R426" i="7" s="1"/>
  <c r="R427" i="7" s="1"/>
  <c r="R428" i="7" s="1"/>
  <c r="R429" i="7" s="1"/>
  <c r="R430" i="7" s="1"/>
  <c r="R431" i="7" s="1"/>
  <c r="R432" i="7" s="1"/>
  <c r="R433" i="7" s="1"/>
  <c r="R434" i="7" s="1"/>
  <c r="R435" i="7" s="1"/>
  <c r="R436" i="7" s="1"/>
  <c r="R437" i="7" s="1"/>
  <c r="R438" i="7" s="1"/>
  <c r="R439" i="7" s="1"/>
  <c r="R440" i="7" s="1"/>
  <c r="R441" i="7" s="1"/>
  <c r="R442" i="7" s="1"/>
  <c r="R443" i="7" s="1"/>
  <c r="R444" i="7" s="1"/>
  <c r="R445" i="7" s="1"/>
  <c r="R446" i="7" s="1"/>
  <c r="R447" i="7" s="1"/>
  <c r="R448" i="7" s="1"/>
  <c r="R449" i="7" s="1"/>
  <c r="R450" i="7" s="1"/>
  <c r="R451" i="7" s="1"/>
  <c r="R452" i="7" s="1"/>
  <c r="R453" i="7" s="1"/>
  <c r="R454" i="7" s="1"/>
  <c r="R455" i="7" s="1"/>
  <c r="R456" i="7" s="1"/>
  <c r="R457" i="7" s="1"/>
  <c r="R458" i="7" s="1"/>
  <c r="R459" i="7" s="1"/>
  <c r="R460" i="7" s="1"/>
  <c r="R461" i="7" s="1"/>
  <c r="R462" i="7" s="1"/>
  <c r="R463" i="7" s="1"/>
  <c r="R464" i="7" s="1"/>
  <c r="R465" i="7" s="1"/>
  <c r="R466" i="7" s="1"/>
  <c r="R467" i="7" s="1"/>
  <c r="R468" i="7" s="1"/>
  <c r="R469" i="7" s="1"/>
  <c r="R470" i="7" s="1"/>
  <c r="R471" i="7" s="1"/>
  <c r="R472" i="7" s="1"/>
  <c r="R473" i="7" s="1"/>
  <c r="R474" i="7" s="1"/>
  <c r="R475" i="7" s="1"/>
  <c r="R476" i="7" s="1"/>
  <c r="R477" i="7" s="1"/>
  <c r="R478" i="7" s="1"/>
  <c r="R479" i="7" s="1"/>
  <c r="R480" i="7" s="1"/>
  <c r="R481" i="7" s="1"/>
  <c r="R482" i="7" s="1"/>
  <c r="R483" i="7" s="1"/>
  <c r="R484" i="7" s="1"/>
  <c r="R485" i="7" s="1"/>
  <c r="R486" i="7" s="1"/>
  <c r="R487" i="7" s="1"/>
  <c r="R488" i="7" s="1"/>
  <c r="R489" i="7" s="1"/>
  <c r="R490" i="7" s="1"/>
  <c r="R491" i="7" s="1"/>
  <c r="R492" i="7" s="1"/>
  <c r="R493" i="7" s="1"/>
  <c r="R494" i="7" s="1"/>
  <c r="R495" i="7" s="1"/>
  <c r="R496" i="7" s="1"/>
  <c r="R497" i="7" s="1"/>
  <c r="R498" i="7" s="1"/>
  <c r="R499" i="7" s="1"/>
  <c r="R500" i="7" s="1"/>
  <c r="R501" i="7" s="1"/>
  <c r="R502" i="7" s="1"/>
  <c r="R503" i="7" s="1"/>
  <c r="R504" i="7" s="1"/>
  <c r="R505" i="7" s="1"/>
  <c r="R506" i="7" s="1"/>
  <c r="R507" i="7" s="1"/>
  <c r="R508" i="7" s="1"/>
  <c r="R509" i="7" s="1"/>
  <c r="DT16" i="7"/>
  <c r="CK16" i="7"/>
  <c r="CK17" i="7" s="1"/>
  <c r="CG16" i="7"/>
  <c r="CG17" i="7" s="1"/>
  <c r="CC16" i="7"/>
  <c r="CC17" i="7" s="1"/>
  <c r="BY16" i="7"/>
  <c r="BY17" i="7" s="1"/>
  <c r="BU16" i="7"/>
  <c r="BU17" i="7" s="1"/>
  <c r="AS16" i="7"/>
  <c r="AS17" i="7" s="1"/>
  <c r="AS18" i="7" s="1"/>
  <c r="AS19" i="7" s="1"/>
  <c r="AS20" i="7" s="1"/>
  <c r="AS21" i="7" s="1"/>
  <c r="AS22" i="7" s="1"/>
  <c r="AS23" i="7" s="1"/>
  <c r="AS24" i="7" s="1"/>
  <c r="AS25" i="7" s="1"/>
  <c r="AS26" i="7" s="1"/>
  <c r="AS27" i="7" s="1"/>
  <c r="AS28" i="7" s="1"/>
  <c r="AS29" i="7" s="1"/>
  <c r="AS30" i="7" s="1"/>
  <c r="AS31" i="7" s="1"/>
  <c r="AS32" i="7" s="1"/>
  <c r="AS33" i="7" s="1"/>
  <c r="AS34" i="7" s="1"/>
  <c r="AS35" i="7" s="1"/>
  <c r="AS36" i="7" s="1"/>
  <c r="AS37" i="7" s="1"/>
  <c r="AS38" i="7" s="1"/>
  <c r="AS39" i="7" s="1"/>
  <c r="AS40" i="7" s="1"/>
  <c r="AS41" i="7" s="1"/>
  <c r="AS42" i="7" s="1"/>
  <c r="AS43" i="7" s="1"/>
  <c r="AS44" i="7" s="1"/>
  <c r="AS45" i="7" s="1"/>
  <c r="AS46" i="7" s="1"/>
  <c r="AS47" i="7" s="1"/>
  <c r="AS48" i="7" s="1"/>
  <c r="AS49" i="7" s="1"/>
  <c r="AS50" i="7" s="1"/>
  <c r="AS51" i="7" s="1"/>
  <c r="AS52" i="7" s="1"/>
  <c r="AS53" i="7" s="1"/>
  <c r="AS54" i="7" s="1"/>
  <c r="AS55" i="7" s="1"/>
  <c r="AS56" i="7" s="1"/>
  <c r="AS57" i="7" s="1"/>
  <c r="AS58" i="7" s="1"/>
  <c r="AS59" i="7" s="1"/>
  <c r="AS60" i="7" s="1"/>
  <c r="AS61" i="7" s="1"/>
  <c r="AS62" i="7" s="1"/>
  <c r="AS63" i="7" s="1"/>
  <c r="AS64" i="7" s="1"/>
  <c r="AS65" i="7" s="1"/>
  <c r="AS66" i="7" s="1"/>
  <c r="AS67" i="7" s="1"/>
  <c r="AS68" i="7" s="1"/>
  <c r="AS69" i="7" s="1"/>
  <c r="AS70" i="7" s="1"/>
  <c r="AS71" i="7" s="1"/>
  <c r="AS72" i="7" s="1"/>
  <c r="AS73" i="7" s="1"/>
  <c r="AS74" i="7" s="1"/>
  <c r="AS75" i="7" s="1"/>
  <c r="AS76" i="7" s="1"/>
  <c r="AS77" i="7" s="1"/>
  <c r="AS78" i="7" s="1"/>
  <c r="AS79" i="7" s="1"/>
  <c r="AS80" i="7" s="1"/>
  <c r="AS81" i="7" s="1"/>
  <c r="AS82" i="7" s="1"/>
  <c r="AS83" i="7" s="1"/>
  <c r="AS84" i="7" s="1"/>
  <c r="AS85" i="7" s="1"/>
  <c r="AS86" i="7" s="1"/>
  <c r="AS87" i="7" s="1"/>
  <c r="AS88" i="7" s="1"/>
  <c r="AS89" i="7" s="1"/>
  <c r="AS90" i="7" s="1"/>
  <c r="AS91" i="7" s="1"/>
  <c r="AS92" i="7" s="1"/>
  <c r="AS93" i="7" s="1"/>
  <c r="AS94" i="7" s="1"/>
  <c r="AS95" i="7" s="1"/>
  <c r="AS96" i="7" s="1"/>
  <c r="AS97" i="7" s="1"/>
  <c r="AS98" i="7" s="1"/>
  <c r="AS99" i="7" s="1"/>
  <c r="AS100" i="7" s="1"/>
  <c r="AS101" i="7" s="1"/>
  <c r="AS102" i="7" s="1"/>
  <c r="AS103" i="7" s="1"/>
  <c r="AS104" i="7" s="1"/>
  <c r="AS105" i="7" s="1"/>
  <c r="AS106" i="7" s="1"/>
  <c r="AS107" i="7" s="1"/>
  <c r="AS108" i="7" s="1"/>
  <c r="AS109" i="7" s="1"/>
  <c r="AS110" i="7" s="1"/>
  <c r="AS111" i="7" s="1"/>
  <c r="AS112" i="7" s="1"/>
  <c r="AS113" i="7" s="1"/>
  <c r="AS114" i="7" s="1"/>
  <c r="AS115" i="7" s="1"/>
  <c r="AS116" i="7" s="1"/>
  <c r="AS117" i="7" s="1"/>
  <c r="AS118" i="7" s="1"/>
  <c r="AS119" i="7" s="1"/>
  <c r="AS120" i="7" s="1"/>
  <c r="AS121" i="7" s="1"/>
  <c r="AS122" i="7" s="1"/>
  <c r="AS123" i="7" s="1"/>
  <c r="AS124" i="7" s="1"/>
  <c r="AS125" i="7" s="1"/>
  <c r="AS126" i="7" s="1"/>
  <c r="AS127" i="7" s="1"/>
  <c r="AS128" i="7" s="1"/>
  <c r="AS129" i="7" s="1"/>
  <c r="AS130" i="7" s="1"/>
  <c r="AS131" i="7" s="1"/>
  <c r="AS132" i="7" s="1"/>
  <c r="AS133" i="7" s="1"/>
  <c r="AS134" i="7" s="1"/>
  <c r="AS135" i="7" s="1"/>
  <c r="AS136" i="7" s="1"/>
  <c r="AS137" i="7" s="1"/>
  <c r="AS138" i="7" s="1"/>
  <c r="AS139" i="7" s="1"/>
  <c r="AS140" i="7" s="1"/>
  <c r="AS141" i="7" s="1"/>
  <c r="AS142" i="7" s="1"/>
  <c r="AS143" i="7" s="1"/>
  <c r="AS144" i="7" s="1"/>
  <c r="AS145" i="7" s="1"/>
  <c r="AS146" i="7" s="1"/>
  <c r="AS147" i="7" s="1"/>
  <c r="AS148" i="7" s="1"/>
  <c r="AS149" i="7" s="1"/>
  <c r="AS150" i="7" s="1"/>
  <c r="AS151" i="7" s="1"/>
  <c r="AS152" i="7" s="1"/>
  <c r="AS153" i="7" s="1"/>
  <c r="AS154" i="7" s="1"/>
  <c r="AS155" i="7" s="1"/>
  <c r="AS156" i="7" s="1"/>
  <c r="AS157" i="7" s="1"/>
  <c r="AS158" i="7" s="1"/>
  <c r="AS159" i="7" s="1"/>
  <c r="AS160" i="7" s="1"/>
  <c r="AS161" i="7" s="1"/>
  <c r="AS162" i="7" s="1"/>
  <c r="AS163" i="7" s="1"/>
  <c r="AS164" i="7" s="1"/>
  <c r="AS165" i="7" s="1"/>
  <c r="AS166" i="7" s="1"/>
  <c r="AS167" i="7" s="1"/>
  <c r="AS168" i="7" s="1"/>
  <c r="AS169" i="7" s="1"/>
  <c r="AS170" i="7" s="1"/>
  <c r="AS171" i="7" s="1"/>
  <c r="AS172" i="7" s="1"/>
  <c r="AS173" i="7" s="1"/>
  <c r="AS174" i="7" s="1"/>
  <c r="AS175" i="7" s="1"/>
  <c r="AS176" i="7" s="1"/>
  <c r="AS177" i="7" s="1"/>
  <c r="AS178" i="7" s="1"/>
  <c r="AS179" i="7" s="1"/>
  <c r="AS180" i="7" s="1"/>
  <c r="AS181" i="7" s="1"/>
  <c r="AS182" i="7" s="1"/>
  <c r="AS183" i="7" s="1"/>
  <c r="AS184" i="7" s="1"/>
  <c r="AS185" i="7" s="1"/>
  <c r="AS186" i="7" s="1"/>
  <c r="AS187" i="7" s="1"/>
  <c r="AS188" i="7" s="1"/>
  <c r="AS189" i="7" s="1"/>
  <c r="AS190" i="7" s="1"/>
  <c r="AS191" i="7" s="1"/>
  <c r="AS192" i="7" s="1"/>
  <c r="AS193" i="7" s="1"/>
  <c r="AS194" i="7" s="1"/>
  <c r="AS195" i="7" s="1"/>
  <c r="AS196" i="7" s="1"/>
  <c r="AS197" i="7" s="1"/>
  <c r="AS198" i="7" s="1"/>
  <c r="AS199" i="7" s="1"/>
  <c r="AS200" i="7" s="1"/>
  <c r="AS201" i="7" s="1"/>
  <c r="AS202" i="7" s="1"/>
  <c r="AS203" i="7" s="1"/>
  <c r="AS204" i="7" s="1"/>
  <c r="AS205" i="7" s="1"/>
  <c r="AS206" i="7" s="1"/>
  <c r="AS207" i="7" s="1"/>
  <c r="AS208" i="7" s="1"/>
  <c r="AS209" i="7" s="1"/>
  <c r="AS210" i="7" s="1"/>
  <c r="AS211" i="7" s="1"/>
  <c r="AS212" i="7" s="1"/>
  <c r="AS213" i="7" s="1"/>
  <c r="AS214" i="7" s="1"/>
  <c r="AS215" i="7" s="1"/>
  <c r="AS216" i="7" s="1"/>
  <c r="AS217" i="7" s="1"/>
  <c r="AS218" i="7" s="1"/>
  <c r="AS219" i="7" s="1"/>
  <c r="AS220" i="7" s="1"/>
  <c r="AS221" i="7" s="1"/>
  <c r="AS222" i="7" s="1"/>
  <c r="AS223" i="7" s="1"/>
  <c r="AS224" i="7" s="1"/>
  <c r="AS225" i="7" s="1"/>
  <c r="AS226" i="7" s="1"/>
  <c r="AS227" i="7" s="1"/>
  <c r="AS228" i="7" s="1"/>
  <c r="AS229" i="7" s="1"/>
  <c r="AS230" i="7" s="1"/>
  <c r="AS231" i="7" s="1"/>
  <c r="AS232" i="7" s="1"/>
  <c r="AS233" i="7" s="1"/>
  <c r="AS234" i="7" s="1"/>
  <c r="AS235" i="7" s="1"/>
  <c r="AS236" i="7" s="1"/>
  <c r="AS237" i="7" s="1"/>
  <c r="AS238" i="7" s="1"/>
  <c r="AS239" i="7" s="1"/>
  <c r="AS240" i="7" s="1"/>
  <c r="AS241" i="7" s="1"/>
  <c r="AS242" i="7" s="1"/>
  <c r="AS243" i="7" s="1"/>
  <c r="AS244" i="7" s="1"/>
  <c r="AS245" i="7" s="1"/>
  <c r="AS246" i="7" s="1"/>
  <c r="AS247" i="7" s="1"/>
  <c r="AS248" i="7" s="1"/>
  <c r="AS249" i="7" s="1"/>
  <c r="AS250" i="7" s="1"/>
  <c r="AS251" i="7" s="1"/>
  <c r="AS252" i="7" s="1"/>
  <c r="AS253" i="7" s="1"/>
  <c r="AS254" i="7" s="1"/>
  <c r="AS255" i="7" s="1"/>
  <c r="AS256" i="7" s="1"/>
  <c r="AS257" i="7" s="1"/>
  <c r="AS258" i="7" s="1"/>
  <c r="AS259" i="7" s="1"/>
  <c r="AS260" i="7" s="1"/>
  <c r="AS261" i="7" s="1"/>
  <c r="AS262" i="7" s="1"/>
  <c r="AS263" i="7" s="1"/>
  <c r="AS264" i="7" s="1"/>
  <c r="AS265" i="7" s="1"/>
  <c r="AS266" i="7" s="1"/>
  <c r="AS267" i="7" s="1"/>
  <c r="AS268" i="7" s="1"/>
  <c r="AS269" i="7" s="1"/>
  <c r="AS270" i="7" s="1"/>
  <c r="AS271" i="7" s="1"/>
  <c r="AS272" i="7" s="1"/>
  <c r="AS273" i="7" s="1"/>
  <c r="AS274" i="7" s="1"/>
  <c r="AS275" i="7" s="1"/>
  <c r="AS276" i="7" s="1"/>
  <c r="AS277" i="7" s="1"/>
  <c r="AS278" i="7" s="1"/>
  <c r="AS279" i="7" s="1"/>
  <c r="AS280" i="7" s="1"/>
  <c r="AS281" i="7" s="1"/>
  <c r="AS282" i="7" s="1"/>
  <c r="AS283" i="7" s="1"/>
  <c r="AS284" i="7" s="1"/>
  <c r="AS285" i="7" s="1"/>
  <c r="AS286" i="7" s="1"/>
  <c r="AS287" i="7" s="1"/>
  <c r="AS288" i="7" s="1"/>
  <c r="AS289" i="7" s="1"/>
  <c r="AS290" i="7" s="1"/>
  <c r="AS291" i="7" s="1"/>
  <c r="AS292" i="7" s="1"/>
  <c r="AS293" i="7" s="1"/>
  <c r="AS294" i="7" s="1"/>
  <c r="AS295" i="7" s="1"/>
  <c r="AS296" i="7" s="1"/>
  <c r="AS297" i="7" s="1"/>
  <c r="AS298" i="7" s="1"/>
  <c r="AS299" i="7" s="1"/>
  <c r="AS300" i="7" s="1"/>
  <c r="AS301" i="7" s="1"/>
  <c r="AS302" i="7" s="1"/>
  <c r="AS303" i="7" s="1"/>
  <c r="AS304" i="7" s="1"/>
  <c r="AS305" i="7" s="1"/>
  <c r="AS306" i="7" s="1"/>
  <c r="AS307" i="7" s="1"/>
  <c r="AS308" i="7" s="1"/>
  <c r="AS309" i="7" s="1"/>
  <c r="AS310" i="7" s="1"/>
  <c r="AS311" i="7" s="1"/>
  <c r="AS312" i="7" s="1"/>
  <c r="AS313" i="7" s="1"/>
  <c r="AS314" i="7" s="1"/>
  <c r="AS315" i="7" s="1"/>
  <c r="AS316" i="7" s="1"/>
  <c r="AS317" i="7" s="1"/>
  <c r="AS318" i="7" s="1"/>
  <c r="AS319" i="7" s="1"/>
  <c r="AS320" i="7" s="1"/>
  <c r="AS321" i="7" s="1"/>
  <c r="AS322" i="7" s="1"/>
  <c r="AS323" i="7" s="1"/>
  <c r="AS324" i="7" s="1"/>
  <c r="AS325" i="7" s="1"/>
  <c r="AS326" i="7" s="1"/>
  <c r="AS327" i="7" s="1"/>
  <c r="AS328" i="7" s="1"/>
  <c r="AS329" i="7" s="1"/>
  <c r="AS330" i="7" s="1"/>
  <c r="AS331" i="7" s="1"/>
  <c r="AS332" i="7" s="1"/>
  <c r="AS333" i="7" s="1"/>
  <c r="AS334" i="7" s="1"/>
  <c r="AS335" i="7" s="1"/>
  <c r="AS336" i="7" s="1"/>
  <c r="AS337" i="7" s="1"/>
  <c r="AS338" i="7" s="1"/>
  <c r="AS339" i="7" s="1"/>
  <c r="AS340" i="7" s="1"/>
  <c r="AS341" i="7" s="1"/>
  <c r="AS342" i="7" s="1"/>
  <c r="AS343" i="7" s="1"/>
  <c r="AS344" i="7" s="1"/>
  <c r="AS345" i="7" s="1"/>
  <c r="AS346" i="7" s="1"/>
  <c r="AS347" i="7" s="1"/>
  <c r="AS348" i="7" s="1"/>
  <c r="AS349" i="7" s="1"/>
  <c r="AS350" i="7" s="1"/>
  <c r="AS351" i="7" s="1"/>
  <c r="AS352" i="7" s="1"/>
  <c r="AS353" i="7" s="1"/>
  <c r="AS354" i="7" s="1"/>
  <c r="AS355" i="7" s="1"/>
  <c r="AS356" i="7" s="1"/>
  <c r="AS357" i="7" s="1"/>
  <c r="AS358" i="7" s="1"/>
  <c r="AS359" i="7" s="1"/>
  <c r="AS360" i="7" s="1"/>
  <c r="AS361" i="7" s="1"/>
  <c r="AS362" i="7" s="1"/>
  <c r="AS363" i="7" s="1"/>
  <c r="AS364" i="7" s="1"/>
  <c r="AS365" i="7" s="1"/>
  <c r="AS366" i="7" s="1"/>
  <c r="AS367" i="7" s="1"/>
  <c r="AS368" i="7" s="1"/>
  <c r="AS369" i="7" s="1"/>
  <c r="AS370" i="7" s="1"/>
  <c r="AS371" i="7" s="1"/>
  <c r="AS372" i="7" s="1"/>
  <c r="AS373" i="7" s="1"/>
  <c r="AS374" i="7" s="1"/>
  <c r="AS375" i="7" s="1"/>
  <c r="AS376" i="7" s="1"/>
  <c r="AS377" i="7" s="1"/>
  <c r="AS378" i="7" s="1"/>
  <c r="AS379" i="7" s="1"/>
  <c r="AS380" i="7" s="1"/>
  <c r="AS381" i="7" s="1"/>
  <c r="AS382" i="7" s="1"/>
  <c r="AS383" i="7" s="1"/>
  <c r="AS384" i="7" s="1"/>
  <c r="AS385" i="7" s="1"/>
  <c r="AS386" i="7" s="1"/>
  <c r="AS387" i="7" s="1"/>
  <c r="AS388" i="7" s="1"/>
  <c r="AS389" i="7" s="1"/>
  <c r="AS390" i="7" s="1"/>
  <c r="AS391" i="7" s="1"/>
  <c r="AS392" i="7" s="1"/>
  <c r="AS393" i="7" s="1"/>
  <c r="AS394" i="7" s="1"/>
  <c r="AS395" i="7" s="1"/>
  <c r="AS396" i="7" s="1"/>
  <c r="AS397" i="7" s="1"/>
  <c r="AS398" i="7" s="1"/>
  <c r="AS399" i="7" s="1"/>
  <c r="AS400" i="7" s="1"/>
  <c r="AS401" i="7" s="1"/>
  <c r="AS402" i="7" s="1"/>
  <c r="AS403" i="7" s="1"/>
  <c r="AS404" i="7" s="1"/>
  <c r="AS405" i="7" s="1"/>
  <c r="AS406" i="7" s="1"/>
  <c r="AS407" i="7" s="1"/>
  <c r="AS408" i="7" s="1"/>
  <c r="AS409" i="7" s="1"/>
  <c r="AS410" i="7" s="1"/>
  <c r="AS411" i="7" s="1"/>
  <c r="AS412" i="7" s="1"/>
  <c r="AS413" i="7" s="1"/>
  <c r="AS414" i="7" s="1"/>
  <c r="AS415" i="7" s="1"/>
  <c r="AS416" i="7" s="1"/>
  <c r="AS417" i="7" s="1"/>
  <c r="AS418" i="7" s="1"/>
  <c r="AS419" i="7" s="1"/>
  <c r="AS420" i="7" s="1"/>
  <c r="AS421" i="7" s="1"/>
  <c r="AS422" i="7" s="1"/>
  <c r="AS423" i="7" s="1"/>
  <c r="AS424" i="7" s="1"/>
  <c r="AS425" i="7" s="1"/>
  <c r="AS426" i="7" s="1"/>
  <c r="AS427" i="7" s="1"/>
  <c r="AS428" i="7" s="1"/>
  <c r="AS429" i="7" s="1"/>
  <c r="AS430" i="7" s="1"/>
  <c r="AS431" i="7" s="1"/>
  <c r="AS432" i="7" s="1"/>
  <c r="AS433" i="7" s="1"/>
  <c r="AS434" i="7" s="1"/>
  <c r="AS435" i="7" s="1"/>
  <c r="AS436" i="7" s="1"/>
  <c r="AS437" i="7" s="1"/>
  <c r="AS438" i="7" s="1"/>
  <c r="AS439" i="7" s="1"/>
  <c r="AS440" i="7" s="1"/>
  <c r="AS441" i="7" s="1"/>
  <c r="AS442" i="7" s="1"/>
  <c r="AS443" i="7" s="1"/>
  <c r="AS444" i="7" s="1"/>
  <c r="AS445" i="7" s="1"/>
  <c r="AS446" i="7" s="1"/>
  <c r="AS447" i="7" s="1"/>
  <c r="AS448" i="7" s="1"/>
  <c r="AS449" i="7" s="1"/>
  <c r="AS450" i="7" s="1"/>
  <c r="AS451" i="7" s="1"/>
  <c r="AS452" i="7" s="1"/>
  <c r="AS453" i="7" s="1"/>
  <c r="AS454" i="7" s="1"/>
  <c r="AS455" i="7" s="1"/>
  <c r="AS456" i="7" s="1"/>
  <c r="AS457" i="7" s="1"/>
  <c r="AS458" i="7" s="1"/>
  <c r="AS459" i="7" s="1"/>
  <c r="AS460" i="7" s="1"/>
  <c r="AS461" i="7" s="1"/>
  <c r="AS462" i="7" s="1"/>
  <c r="AS463" i="7" s="1"/>
  <c r="AS464" i="7" s="1"/>
  <c r="AS465" i="7" s="1"/>
  <c r="AS466" i="7" s="1"/>
  <c r="AS467" i="7" s="1"/>
  <c r="AS468" i="7" s="1"/>
  <c r="AS469" i="7" s="1"/>
  <c r="AS470" i="7" s="1"/>
  <c r="AS471" i="7" s="1"/>
  <c r="AS472" i="7" s="1"/>
  <c r="AS473" i="7" s="1"/>
  <c r="AS474" i="7" s="1"/>
  <c r="AS475" i="7" s="1"/>
  <c r="AS476" i="7" s="1"/>
  <c r="AS477" i="7" s="1"/>
  <c r="AS478" i="7" s="1"/>
  <c r="AS479" i="7" s="1"/>
  <c r="AS480" i="7" s="1"/>
  <c r="AS481" i="7" s="1"/>
  <c r="AS482" i="7" s="1"/>
  <c r="AS483" i="7" s="1"/>
  <c r="AS484" i="7" s="1"/>
  <c r="AS485" i="7" s="1"/>
  <c r="AS486" i="7" s="1"/>
  <c r="AS487" i="7" s="1"/>
  <c r="AS488" i="7" s="1"/>
  <c r="AS489" i="7" s="1"/>
  <c r="AS490" i="7" s="1"/>
  <c r="AS491" i="7" s="1"/>
  <c r="AS492" i="7" s="1"/>
  <c r="AS493" i="7" s="1"/>
  <c r="AS494" i="7" s="1"/>
  <c r="AS495" i="7" s="1"/>
  <c r="AS496" i="7" s="1"/>
  <c r="AS497" i="7" s="1"/>
  <c r="AS498" i="7" s="1"/>
  <c r="AS499" i="7" s="1"/>
  <c r="AS500" i="7" s="1"/>
  <c r="AS501" i="7" s="1"/>
  <c r="AS502" i="7" s="1"/>
  <c r="AS503" i="7" s="1"/>
  <c r="AS504" i="7" s="1"/>
  <c r="AS505" i="7" s="1"/>
  <c r="AS506" i="7" s="1"/>
  <c r="AS507" i="7" s="1"/>
  <c r="AS508" i="7" s="1"/>
  <c r="AS509" i="7" s="1"/>
  <c r="AA16" i="7"/>
  <c r="AA17" i="7" s="1"/>
  <c r="AA18" i="7" s="1"/>
  <c r="AA19" i="7" s="1"/>
  <c r="AA20" i="7" s="1"/>
  <c r="AA21" i="7" s="1"/>
  <c r="AA22" i="7" s="1"/>
  <c r="AA23" i="7" s="1"/>
  <c r="AA24" i="7" s="1"/>
  <c r="AA25" i="7" s="1"/>
  <c r="AA26" i="7" s="1"/>
  <c r="AA27" i="7" s="1"/>
  <c r="AA28" i="7" s="1"/>
  <c r="AA29" i="7" s="1"/>
  <c r="AA30" i="7" s="1"/>
  <c r="AA31" i="7" s="1"/>
  <c r="AA32" i="7" s="1"/>
  <c r="AA33" i="7" s="1"/>
  <c r="AA34" i="7" s="1"/>
  <c r="AA35" i="7" s="1"/>
  <c r="AA36" i="7" s="1"/>
  <c r="AA37" i="7" s="1"/>
  <c r="AA38" i="7" s="1"/>
  <c r="AA39" i="7" s="1"/>
  <c r="AA40" i="7" s="1"/>
  <c r="AA41" i="7" s="1"/>
  <c r="AA42" i="7" s="1"/>
  <c r="AA43" i="7" s="1"/>
  <c r="AA44" i="7" s="1"/>
  <c r="AA45" i="7" s="1"/>
  <c r="AA46" i="7" s="1"/>
  <c r="AA47" i="7" s="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A140" i="7" s="1"/>
  <c r="AA141" i="7" s="1"/>
  <c r="AA142" i="7" s="1"/>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A168" i="7" s="1"/>
  <c r="AA169" i="7" s="1"/>
  <c r="AA170" i="7" s="1"/>
  <c r="AA171" i="7" s="1"/>
  <c r="AA172" i="7" s="1"/>
  <c r="AA173" i="7" s="1"/>
  <c r="AA174" i="7" s="1"/>
  <c r="AA175" i="7" s="1"/>
  <c r="AA176" i="7" s="1"/>
  <c r="AA177" i="7" s="1"/>
  <c r="AA178" i="7" s="1"/>
  <c r="AA179" i="7" s="1"/>
  <c r="AA180" i="7" s="1"/>
  <c r="AA181" i="7" s="1"/>
  <c r="AA182" i="7" s="1"/>
  <c r="AA183" i="7" s="1"/>
  <c r="AA184" i="7" s="1"/>
  <c r="AA185" i="7" s="1"/>
  <c r="AA186" i="7" s="1"/>
  <c r="AA187" i="7" s="1"/>
  <c r="AA188" i="7" s="1"/>
  <c r="AA189" i="7" s="1"/>
  <c r="AA190" i="7" s="1"/>
  <c r="AA191" i="7" s="1"/>
  <c r="AA192" i="7" s="1"/>
  <c r="AA193" i="7" s="1"/>
  <c r="AA194" i="7" s="1"/>
  <c r="AA195" i="7" s="1"/>
  <c r="AA196" i="7" s="1"/>
  <c r="AA197" i="7" s="1"/>
  <c r="AA198" i="7" s="1"/>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A224"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AA247" i="7" s="1"/>
  <c r="AA248" i="7" s="1"/>
  <c r="AA249" i="7" s="1"/>
  <c r="AA250" i="7" s="1"/>
  <c r="AA251" i="7" s="1"/>
  <c r="AA252" i="7" s="1"/>
  <c r="AA253" i="7" s="1"/>
  <c r="AA254" i="7" s="1"/>
  <c r="AA255" i="7" s="1"/>
  <c r="AA256" i="7" s="1"/>
  <c r="AA257" i="7" s="1"/>
  <c r="AA258" i="7" s="1"/>
  <c r="AA259" i="7" s="1"/>
  <c r="AA260" i="7" s="1"/>
  <c r="AA261" i="7" s="1"/>
  <c r="AA262" i="7" s="1"/>
  <c r="AA263" i="7" s="1"/>
  <c r="AA264" i="7" s="1"/>
  <c r="AA265" i="7" s="1"/>
  <c r="AA266" i="7" s="1"/>
  <c r="AA267" i="7" s="1"/>
  <c r="AA268" i="7" s="1"/>
  <c r="AA269" i="7" s="1"/>
  <c r="AA270" i="7" s="1"/>
  <c r="AA271" i="7" s="1"/>
  <c r="AA272" i="7" s="1"/>
  <c r="AA273" i="7" s="1"/>
  <c r="AA274" i="7" s="1"/>
  <c r="AA275" i="7" s="1"/>
  <c r="AA276" i="7" s="1"/>
  <c r="AA277" i="7" s="1"/>
  <c r="AA278" i="7" s="1"/>
  <c r="AA279" i="7" s="1"/>
  <c r="AA280" i="7" s="1"/>
  <c r="AA281" i="7" s="1"/>
  <c r="AA282" i="7" s="1"/>
  <c r="AA283" i="7" s="1"/>
  <c r="AA284" i="7" s="1"/>
  <c r="AA285" i="7" s="1"/>
  <c r="AA286" i="7" s="1"/>
  <c r="AA287" i="7" s="1"/>
  <c r="AA288" i="7" s="1"/>
  <c r="AA289" i="7" s="1"/>
  <c r="AA290" i="7" s="1"/>
  <c r="AA291" i="7" s="1"/>
  <c r="AA292" i="7" s="1"/>
  <c r="AA293" i="7" s="1"/>
  <c r="AA294" i="7" s="1"/>
  <c r="AA295" i="7" s="1"/>
  <c r="AA296" i="7" s="1"/>
  <c r="AA297" i="7" s="1"/>
  <c r="AA298" i="7" s="1"/>
  <c r="AA299" i="7" s="1"/>
  <c r="AA300" i="7" s="1"/>
  <c r="AA301" i="7" s="1"/>
  <c r="AA302" i="7" s="1"/>
  <c r="AA303" i="7" s="1"/>
  <c r="AA304" i="7" s="1"/>
  <c r="AA305" i="7" s="1"/>
  <c r="AA306" i="7" s="1"/>
  <c r="AA307" i="7" s="1"/>
  <c r="AA308" i="7" s="1"/>
  <c r="AA309" i="7" s="1"/>
  <c r="AA310" i="7" s="1"/>
  <c r="AA311" i="7" s="1"/>
  <c r="AA312" i="7" s="1"/>
  <c r="AA313" i="7" s="1"/>
  <c r="AA314" i="7" s="1"/>
  <c r="AA315" i="7" s="1"/>
  <c r="AA316" i="7" s="1"/>
  <c r="AA317" i="7" s="1"/>
  <c r="AA318" i="7" s="1"/>
  <c r="AA319" i="7" s="1"/>
  <c r="AA320" i="7" s="1"/>
  <c r="AA321" i="7" s="1"/>
  <c r="AA322" i="7" s="1"/>
  <c r="AA323" i="7" s="1"/>
  <c r="AA324" i="7" s="1"/>
  <c r="AA325" i="7" s="1"/>
  <c r="AA326" i="7" s="1"/>
  <c r="AA327" i="7" s="1"/>
  <c r="AA328" i="7" s="1"/>
  <c r="AA329" i="7" s="1"/>
  <c r="AA330" i="7" s="1"/>
  <c r="AA331" i="7" s="1"/>
  <c r="AA332" i="7" s="1"/>
  <c r="AA333" i="7" s="1"/>
  <c r="AA334" i="7" s="1"/>
  <c r="AA335" i="7" s="1"/>
  <c r="AA336" i="7" s="1"/>
  <c r="AA337" i="7" s="1"/>
  <c r="AA338" i="7" s="1"/>
  <c r="AA339" i="7" s="1"/>
  <c r="AA340" i="7" s="1"/>
  <c r="AA341" i="7" s="1"/>
  <c r="AA342" i="7" s="1"/>
  <c r="AA343" i="7" s="1"/>
  <c r="AA344" i="7" s="1"/>
  <c r="AA345" i="7" s="1"/>
  <c r="AA346" i="7" s="1"/>
  <c r="AA347" i="7" s="1"/>
  <c r="AA348" i="7" s="1"/>
  <c r="AA349" i="7" s="1"/>
  <c r="AA350" i="7" s="1"/>
  <c r="AA351" i="7" s="1"/>
  <c r="AA352" i="7" s="1"/>
  <c r="AA353" i="7" s="1"/>
  <c r="AA354" i="7" s="1"/>
  <c r="AA355" i="7" s="1"/>
  <c r="AA356" i="7" s="1"/>
  <c r="AA357" i="7" s="1"/>
  <c r="AA358" i="7" s="1"/>
  <c r="AA359" i="7" s="1"/>
  <c r="AA360" i="7" s="1"/>
  <c r="AA361" i="7" s="1"/>
  <c r="AA362" i="7" s="1"/>
  <c r="AA363" i="7" s="1"/>
  <c r="AA364" i="7" s="1"/>
  <c r="AA365" i="7" s="1"/>
  <c r="AA366" i="7" s="1"/>
  <c r="AA367" i="7" s="1"/>
  <c r="AA368" i="7" s="1"/>
  <c r="AA369" i="7" s="1"/>
  <c r="AA370" i="7" s="1"/>
  <c r="AA371" i="7" s="1"/>
  <c r="AA372" i="7" s="1"/>
  <c r="AA373" i="7" s="1"/>
  <c r="AA374" i="7" s="1"/>
  <c r="AA375" i="7" s="1"/>
  <c r="AA376" i="7" s="1"/>
  <c r="AA377" i="7" s="1"/>
  <c r="AA378" i="7" s="1"/>
  <c r="AA379" i="7" s="1"/>
  <c r="AA380" i="7" s="1"/>
  <c r="AA381" i="7" s="1"/>
  <c r="AA382" i="7" s="1"/>
  <c r="AA383" i="7" s="1"/>
  <c r="AA384" i="7" s="1"/>
  <c r="AA385" i="7" s="1"/>
  <c r="AA386" i="7" s="1"/>
  <c r="AA387" i="7" s="1"/>
  <c r="AA388" i="7" s="1"/>
  <c r="AA389" i="7" s="1"/>
  <c r="AA390" i="7" s="1"/>
  <c r="AA391" i="7" s="1"/>
  <c r="AA392" i="7" s="1"/>
  <c r="AA393" i="7" s="1"/>
  <c r="AA394" i="7" s="1"/>
  <c r="AA395" i="7" s="1"/>
  <c r="AA396" i="7" s="1"/>
  <c r="AA397" i="7" s="1"/>
  <c r="AA398" i="7" s="1"/>
  <c r="AA399" i="7" s="1"/>
  <c r="AA400" i="7" s="1"/>
  <c r="AA401" i="7" s="1"/>
  <c r="AA402" i="7" s="1"/>
  <c r="AA403" i="7" s="1"/>
  <c r="AA404" i="7" s="1"/>
  <c r="AA405" i="7" s="1"/>
  <c r="AA406" i="7" s="1"/>
  <c r="AA407" i="7" s="1"/>
  <c r="AA408" i="7" s="1"/>
  <c r="AA409" i="7" s="1"/>
  <c r="AA410" i="7" s="1"/>
  <c r="AA411" i="7" s="1"/>
  <c r="AA412" i="7" s="1"/>
  <c r="AA413" i="7" s="1"/>
  <c r="AA414" i="7" s="1"/>
  <c r="AA415" i="7" s="1"/>
  <c r="AA416" i="7" s="1"/>
  <c r="AA417" i="7" s="1"/>
  <c r="AA418" i="7" s="1"/>
  <c r="AA419" i="7" s="1"/>
  <c r="AA420" i="7" s="1"/>
  <c r="AA421" i="7" s="1"/>
  <c r="AA422" i="7" s="1"/>
  <c r="AA423" i="7" s="1"/>
  <c r="AA424" i="7" s="1"/>
  <c r="AA425" i="7" s="1"/>
  <c r="AA426" i="7" s="1"/>
  <c r="AA427" i="7" s="1"/>
  <c r="AA428" i="7" s="1"/>
  <c r="AA429" i="7" s="1"/>
  <c r="AA430" i="7" s="1"/>
  <c r="AA431" i="7" s="1"/>
  <c r="AA432" i="7" s="1"/>
  <c r="AA433" i="7" s="1"/>
  <c r="AA434" i="7" s="1"/>
  <c r="AA435" i="7" s="1"/>
  <c r="AA436" i="7" s="1"/>
  <c r="AA437" i="7" s="1"/>
  <c r="AA438" i="7" s="1"/>
  <c r="AA439" i="7" s="1"/>
  <c r="AA440" i="7" s="1"/>
  <c r="AA441" i="7" s="1"/>
  <c r="AA442" i="7" s="1"/>
  <c r="AA443" i="7" s="1"/>
  <c r="AA444" i="7" s="1"/>
  <c r="AA445" i="7" s="1"/>
  <c r="AA446" i="7" s="1"/>
  <c r="AA447" i="7" s="1"/>
  <c r="AA448" i="7" s="1"/>
  <c r="AA449" i="7" s="1"/>
  <c r="AA450" i="7" s="1"/>
  <c r="AA451" i="7" s="1"/>
  <c r="AA452" i="7" s="1"/>
  <c r="AA453" i="7" s="1"/>
  <c r="AA454" i="7" s="1"/>
  <c r="AA455" i="7" s="1"/>
  <c r="AA456" i="7" s="1"/>
  <c r="AA457" i="7" s="1"/>
  <c r="AA458" i="7" s="1"/>
  <c r="AA459" i="7" s="1"/>
  <c r="AA460" i="7" s="1"/>
  <c r="AA461" i="7" s="1"/>
  <c r="AA462" i="7" s="1"/>
  <c r="AA463" i="7" s="1"/>
  <c r="AA464" i="7" s="1"/>
  <c r="AA465" i="7" s="1"/>
  <c r="AA466" i="7" s="1"/>
  <c r="AA467" i="7" s="1"/>
  <c r="AA468" i="7" s="1"/>
  <c r="AA469" i="7" s="1"/>
  <c r="AA470" i="7" s="1"/>
  <c r="AA471" i="7" s="1"/>
  <c r="AA472" i="7" s="1"/>
  <c r="AA473" i="7" s="1"/>
  <c r="AA474" i="7" s="1"/>
  <c r="AA475" i="7" s="1"/>
  <c r="AA476" i="7" s="1"/>
  <c r="AA477" i="7" s="1"/>
  <c r="AA478" i="7" s="1"/>
  <c r="AA479" i="7" s="1"/>
  <c r="AA480" i="7" s="1"/>
  <c r="AA481" i="7" s="1"/>
  <c r="AA482" i="7" s="1"/>
  <c r="AA483" i="7" s="1"/>
  <c r="AA484" i="7" s="1"/>
  <c r="AA485" i="7" s="1"/>
  <c r="AA486" i="7" s="1"/>
  <c r="AA487" i="7" s="1"/>
  <c r="AA488" i="7" s="1"/>
  <c r="AA489" i="7" s="1"/>
  <c r="AA490" i="7" s="1"/>
  <c r="AA491" i="7" s="1"/>
  <c r="AA492" i="7" s="1"/>
  <c r="AA493" i="7" s="1"/>
  <c r="AA494" i="7" s="1"/>
  <c r="AA495" i="7" s="1"/>
  <c r="AA496" i="7" s="1"/>
  <c r="AA497" i="7" s="1"/>
  <c r="AA498" i="7" s="1"/>
  <c r="AA499" i="7" s="1"/>
  <c r="AA500" i="7" s="1"/>
  <c r="AA501" i="7" s="1"/>
  <c r="AA502" i="7" s="1"/>
  <c r="AA503" i="7" s="1"/>
  <c r="AA504" i="7" s="1"/>
  <c r="AA505" i="7" s="1"/>
  <c r="AA506" i="7" s="1"/>
  <c r="AA507" i="7" s="1"/>
  <c r="AA508" i="7" s="1"/>
  <c r="AA509" i="7" s="1"/>
  <c r="Z16" i="7"/>
  <c r="Y16" i="7"/>
  <c r="Y17" i="7" s="1"/>
  <c r="Y18" i="7" s="1"/>
  <c r="Y19" i="7" s="1"/>
  <c r="Y20" i="7" s="1"/>
  <c r="Y21" i="7" s="1"/>
  <c r="Y22" i="7" s="1"/>
  <c r="Y23" i="7" s="1"/>
  <c r="Y24" i="7" s="1"/>
  <c r="Y25" i="7" s="1"/>
  <c r="Y26" i="7" s="1"/>
  <c r="Y27" i="7" s="1"/>
  <c r="Y28" i="7" s="1"/>
  <c r="Y29" i="7" s="1"/>
  <c r="Y30" i="7" s="1"/>
  <c r="Y31" i="7" s="1"/>
  <c r="Y32" i="7" s="1"/>
  <c r="Y33" i="7" s="1"/>
  <c r="Y34" i="7" s="1"/>
  <c r="Y35" i="7" s="1"/>
  <c r="Y36" i="7" s="1"/>
  <c r="Y37" i="7" s="1"/>
  <c r="Y38" i="7" s="1"/>
  <c r="Y39" i="7" s="1"/>
  <c r="Y40" i="7" s="1"/>
  <c r="Y41" i="7" s="1"/>
  <c r="Y42" i="7" s="1"/>
  <c r="Y43" i="7" s="1"/>
  <c r="Y44" i="7" s="1"/>
  <c r="Y45" i="7" s="1"/>
  <c r="Y46" i="7" s="1"/>
  <c r="Y47" i="7" s="1"/>
  <c r="Y48" i="7" s="1"/>
  <c r="Y49" i="7" s="1"/>
  <c r="Y50" i="7" s="1"/>
  <c r="Y51" i="7" s="1"/>
  <c r="Y52" i="7" s="1"/>
  <c r="Y53" i="7" s="1"/>
  <c r="Y54" i="7" s="1"/>
  <c r="Y55" i="7" s="1"/>
  <c r="Y56" i="7" s="1"/>
  <c r="Y57" i="7" s="1"/>
  <c r="Y58" i="7" s="1"/>
  <c r="Y59" i="7" s="1"/>
  <c r="Y60" i="7" s="1"/>
  <c r="Y61" i="7" s="1"/>
  <c r="Y62" i="7" s="1"/>
  <c r="Y63" i="7" s="1"/>
  <c r="Y64" i="7" s="1"/>
  <c r="Y65" i="7" s="1"/>
  <c r="Y66" i="7" s="1"/>
  <c r="Y67" i="7" s="1"/>
  <c r="Y68" i="7" s="1"/>
  <c r="Y69" i="7" s="1"/>
  <c r="Y70" i="7" s="1"/>
  <c r="Y71" i="7" s="1"/>
  <c r="Y72" i="7" s="1"/>
  <c r="Y73" i="7" s="1"/>
  <c r="Y74" i="7" s="1"/>
  <c r="Y75" i="7" s="1"/>
  <c r="Y76" i="7" s="1"/>
  <c r="Y77" i="7" s="1"/>
  <c r="Y78" i="7" s="1"/>
  <c r="Y79" i="7" s="1"/>
  <c r="Y80" i="7" s="1"/>
  <c r="Y81" i="7" s="1"/>
  <c r="Y82" i="7" s="1"/>
  <c r="Y83" i="7" s="1"/>
  <c r="Y84" i="7" s="1"/>
  <c r="Y85" i="7" s="1"/>
  <c r="Y86" i="7" s="1"/>
  <c r="Y87" i="7" s="1"/>
  <c r="Y88" i="7" s="1"/>
  <c r="Y89" i="7" s="1"/>
  <c r="Y90" i="7" s="1"/>
  <c r="Y91" i="7" s="1"/>
  <c r="Y92" i="7" s="1"/>
  <c r="Y93" i="7" s="1"/>
  <c r="Y94" i="7" s="1"/>
  <c r="Y95" i="7" s="1"/>
  <c r="Y96" i="7" s="1"/>
  <c r="Y97" i="7" s="1"/>
  <c r="Y98" i="7" s="1"/>
  <c r="Y99" i="7" s="1"/>
  <c r="Y100" i="7" s="1"/>
  <c r="Y101" i="7" s="1"/>
  <c r="Y102" i="7" s="1"/>
  <c r="Y103" i="7" s="1"/>
  <c r="Y104" i="7" s="1"/>
  <c r="Y105" i="7" s="1"/>
  <c r="Y106" i="7" s="1"/>
  <c r="Y107" i="7" s="1"/>
  <c r="Y108" i="7" s="1"/>
  <c r="Y109" i="7" s="1"/>
  <c r="Y110" i="7" s="1"/>
  <c r="Y111" i="7" s="1"/>
  <c r="Y112" i="7" s="1"/>
  <c r="Y113" i="7" s="1"/>
  <c r="Y114" i="7" s="1"/>
  <c r="Y115" i="7" s="1"/>
  <c r="Y116" i="7" s="1"/>
  <c r="Y117" i="7" s="1"/>
  <c r="Y118" i="7" s="1"/>
  <c r="Y119" i="7" s="1"/>
  <c r="Y120" i="7" s="1"/>
  <c r="Y121" i="7" s="1"/>
  <c r="Y122" i="7" s="1"/>
  <c r="Y123" i="7" s="1"/>
  <c r="Y124" i="7" s="1"/>
  <c r="Y125" i="7" s="1"/>
  <c r="Y126" i="7" s="1"/>
  <c r="Y127" i="7" s="1"/>
  <c r="Y128" i="7" s="1"/>
  <c r="Y129" i="7" s="1"/>
  <c r="Y130" i="7" s="1"/>
  <c r="Y131" i="7" s="1"/>
  <c r="Y132" i="7" s="1"/>
  <c r="Y133" i="7" s="1"/>
  <c r="Y134" i="7" s="1"/>
  <c r="Y135" i="7" s="1"/>
  <c r="Y136" i="7" s="1"/>
  <c r="Y137" i="7" s="1"/>
  <c r="Y138" i="7" s="1"/>
  <c r="Y139" i="7" s="1"/>
  <c r="Y140" i="7" s="1"/>
  <c r="Y141" i="7" s="1"/>
  <c r="Y142" i="7" s="1"/>
  <c r="Y143" i="7" s="1"/>
  <c r="Y144" i="7" s="1"/>
  <c r="Y145" i="7" s="1"/>
  <c r="Y146" i="7" s="1"/>
  <c r="Y147" i="7" s="1"/>
  <c r="Y148" i="7" s="1"/>
  <c r="Y149" i="7" s="1"/>
  <c r="Y150" i="7" s="1"/>
  <c r="Y151" i="7" s="1"/>
  <c r="Y152" i="7" s="1"/>
  <c r="Y153" i="7" s="1"/>
  <c r="Y154" i="7" s="1"/>
  <c r="Y155" i="7" s="1"/>
  <c r="Y156" i="7" s="1"/>
  <c r="Y157" i="7" s="1"/>
  <c r="Y158" i="7" s="1"/>
  <c r="Y159" i="7" s="1"/>
  <c r="Y160" i="7" s="1"/>
  <c r="Y161" i="7" s="1"/>
  <c r="Y162" i="7" s="1"/>
  <c r="Y163" i="7" s="1"/>
  <c r="Y164" i="7" s="1"/>
  <c r="Y165" i="7" s="1"/>
  <c r="Y166" i="7" s="1"/>
  <c r="Y167" i="7" s="1"/>
  <c r="Y168" i="7" s="1"/>
  <c r="Y169" i="7" s="1"/>
  <c r="Y170" i="7" s="1"/>
  <c r="Y171" i="7" s="1"/>
  <c r="Y172" i="7" s="1"/>
  <c r="Y173" i="7" s="1"/>
  <c r="Y174" i="7" s="1"/>
  <c r="Y175" i="7" s="1"/>
  <c r="Y176" i="7" s="1"/>
  <c r="Y177" i="7" s="1"/>
  <c r="Y178" i="7" s="1"/>
  <c r="Y179" i="7" s="1"/>
  <c r="Y180" i="7" s="1"/>
  <c r="Y181" i="7" s="1"/>
  <c r="Y182" i="7" s="1"/>
  <c r="Y183" i="7" s="1"/>
  <c r="Y184" i="7" s="1"/>
  <c r="Y185" i="7" s="1"/>
  <c r="Y186" i="7" s="1"/>
  <c r="Y187" i="7" s="1"/>
  <c r="Y188" i="7" s="1"/>
  <c r="Y189" i="7" s="1"/>
  <c r="Y190" i="7" s="1"/>
  <c r="Y191" i="7" s="1"/>
  <c r="Y192" i="7" s="1"/>
  <c r="Y193" i="7" s="1"/>
  <c r="Y194" i="7" s="1"/>
  <c r="Y195" i="7" s="1"/>
  <c r="Y196" i="7" s="1"/>
  <c r="Y197" i="7" s="1"/>
  <c r="Y198" i="7" s="1"/>
  <c r="Y199" i="7" s="1"/>
  <c r="Y200" i="7" s="1"/>
  <c r="Y201" i="7" s="1"/>
  <c r="Y202" i="7" s="1"/>
  <c r="Y203" i="7" s="1"/>
  <c r="Y204" i="7" s="1"/>
  <c r="Y205" i="7" s="1"/>
  <c r="Y206" i="7" s="1"/>
  <c r="Y207" i="7" s="1"/>
  <c r="Y208" i="7" s="1"/>
  <c r="Y209" i="7" s="1"/>
  <c r="Y210" i="7" s="1"/>
  <c r="Y211" i="7" s="1"/>
  <c r="Y212" i="7" s="1"/>
  <c r="Y213" i="7" s="1"/>
  <c r="Y214" i="7" s="1"/>
  <c r="Y215" i="7" s="1"/>
  <c r="Y216" i="7" s="1"/>
  <c r="Y217" i="7" s="1"/>
  <c r="Y218" i="7" s="1"/>
  <c r="Y219" i="7" s="1"/>
  <c r="Y220" i="7" s="1"/>
  <c r="Y221" i="7" s="1"/>
  <c r="Y222" i="7" s="1"/>
  <c r="Y223" i="7" s="1"/>
  <c r="Y224" i="7" s="1"/>
  <c r="Y225" i="7" s="1"/>
  <c r="Y226" i="7" s="1"/>
  <c r="Y227" i="7" s="1"/>
  <c r="Y228" i="7" s="1"/>
  <c r="Y229" i="7" s="1"/>
  <c r="Y230" i="7" s="1"/>
  <c r="Y231" i="7" s="1"/>
  <c r="Y232" i="7" s="1"/>
  <c r="Y233" i="7" s="1"/>
  <c r="Y234" i="7" s="1"/>
  <c r="Y235" i="7" s="1"/>
  <c r="Y236" i="7" s="1"/>
  <c r="Y237" i="7" s="1"/>
  <c r="Y238" i="7" s="1"/>
  <c r="Y239" i="7" s="1"/>
  <c r="Y240" i="7" s="1"/>
  <c r="Y241" i="7" s="1"/>
  <c r="Y242" i="7" s="1"/>
  <c r="Y243" i="7" s="1"/>
  <c r="Y244" i="7" s="1"/>
  <c r="Y245" i="7" s="1"/>
  <c r="Y246" i="7" s="1"/>
  <c r="Y247" i="7" s="1"/>
  <c r="Y248" i="7" s="1"/>
  <c r="Y249" i="7" s="1"/>
  <c r="Y250" i="7" s="1"/>
  <c r="Y251" i="7" s="1"/>
  <c r="Y252" i="7" s="1"/>
  <c r="Y253" i="7" s="1"/>
  <c r="Y254" i="7" s="1"/>
  <c r="Y255" i="7" s="1"/>
  <c r="Y256" i="7" s="1"/>
  <c r="Y257" i="7" s="1"/>
  <c r="Y258" i="7" s="1"/>
  <c r="Y259" i="7" s="1"/>
  <c r="Y260" i="7" s="1"/>
  <c r="Y261" i="7" s="1"/>
  <c r="Y262" i="7" s="1"/>
  <c r="Y263" i="7" s="1"/>
  <c r="Y264" i="7" s="1"/>
  <c r="Y265" i="7" s="1"/>
  <c r="Y266" i="7" s="1"/>
  <c r="Y267" i="7" s="1"/>
  <c r="Y268" i="7" s="1"/>
  <c r="Y269" i="7" s="1"/>
  <c r="Y270" i="7" s="1"/>
  <c r="Y271" i="7" s="1"/>
  <c r="Y272" i="7" s="1"/>
  <c r="Y273" i="7" s="1"/>
  <c r="Y274" i="7" s="1"/>
  <c r="Y275" i="7" s="1"/>
  <c r="Y276" i="7" s="1"/>
  <c r="Y277" i="7" s="1"/>
  <c r="Y278" i="7" s="1"/>
  <c r="Y279" i="7" s="1"/>
  <c r="Y280" i="7" s="1"/>
  <c r="Y281" i="7" s="1"/>
  <c r="Y282" i="7" s="1"/>
  <c r="Y283" i="7" s="1"/>
  <c r="Y284" i="7" s="1"/>
  <c r="Y285" i="7" s="1"/>
  <c r="Y286" i="7" s="1"/>
  <c r="Y287" i="7" s="1"/>
  <c r="Y288" i="7" s="1"/>
  <c r="Y289" i="7" s="1"/>
  <c r="Y290" i="7" s="1"/>
  <c r="Y291" i="7" s="1"/>
  <c r="Y292" i="7" s="1"/>
  <c r="Y293" i="7" s="1"/>
  <c r="Y294" i="7" s="1"/>
  <c r="Y295" i="7" s="1"/>
  <c r="Y296" i="7" s="1"/>
  <c r="Y297" i="7" s="1"/>
  <c r="Y298" i="7" s="1"/>
  <c r="Y299" i="7" s="1"/>
  <c r="Y300" i="7" s="1"/>
  <c r="Y301" i="7" s="1"/>
  <c r="Y302" i="7" s="1"/>
  <c r="Y303" i="7" s="1"/>
  <c r="Y304" i="7" s="1"/>
  <c r="Y305" i="7" s="1"/>
  <c r="Y306" i="7" s="1"/>
  <c r="Y307" i="7" s="1"/>
  <c r="Y308" i="7" s="1"/>
  <c r="Y309" i="7" s="1"/>
  <c r="Y310" i="7" s="1"/>
  <c r="Y311" i="7" s="1"/>
  <c r="Y312" i="7" s="1"/>
  <c r="Y313" i="7" s="1"/>
  <c r="Y314" i="7" s="1"/>
  <c r="Y315" i="7" s="1"/>
  <c r="Y316" i="7" s="1"/>
  <c r="Y317" i="7" s="1"/>
  <c r="Y318" i="7" s="1"/>
  <c r="Y319" i="7" s="1"/>
  <c r="Y320" i="7" s="1"/>
  <c r="Y321" i="7" s="1"/>
  <c r="Y322" i="7" s="1"/>
  <c r="Y323" i="7" s="1"/>
  <c r="Y324" i="7" s="1"/>
  <c r="Y325" i="7" s="1"/>
  <c r="Y326" i="7" s="1"/>
  <c r="Y327" i="7" s="1"/>
  <c r="Y328" i="7" s="1"/>
  <c r="Y329" i="7" s="1"/>
  <c r="Y330" i="7" s="1"/>
  <c r="Y331" i="7" s="1"/>
  <c r="Y332" i="7" s="1"/>
  <c r="Y333" i="7" s="1"/>
  <c r="Y334" i="7" s="1"/>
  <c r="Y335" i="7" s="1"/>
  <c r="Y336" i="7" s="1"/>
  <c r="Y337" i="7" s="1"/>
  <c r="Y338" i="7" s="1"/>
  <c r="Y339" i="7" s="1"/>
  <c r="Y340" i="7" s="1"/>
  <c r="Y341" i="7" s="1"/>
  <c r="Y342" i="7" s="1"/>
  <c r="Y343" i="7" s="1"/>
  <c r="Y344" i="7" s="1"/>
  <c r="Y345" i="7" s="1"/>
  <c r="Y346" i="7" s="1"/>
  <c r="Y347" i="7" s="1"/>
  <c r="Y348" i="7" s="1"/>
  <c r="Y349" i="7" s="1"/>
  <c r="Y350" i="7" s="1"/>
  <c r="Y351" i="7" s="1"/>
  <c r="Y352" i="7" s="1"/>
  <c r="Y353" i="7" s="1"/>
  <c r="Y354" i="7" s="1"/>
  <c r="Y355" i="7" s="1"/>
  <c r="Y356" i="7" s="1"/>
  <c r="Y357" i="7" s="1"/>
  <c r="Y358" i="7" s="1"/>
  <c r="Y359" i="7" s="1"/>
  <c r="Y360" i="7" s="1"/>
  <c r="Y361" i="7" s="1"/>
  <c r="Y362" i="7" s="1"/>
  <c r="Y363" i="7" s="1"/>
  <c r="Y364" i="7" s="1"/>
  <c r="Y365" i="7" s="1"/>
  <c r="Y366" i="7" s="1"/>
  <c r="Y367" i="7" s="1"/>
  <c r="Y368" i="7" s="1"/>
  <c r="Y369" i="7" s="1"/>
  <c r="Y370" i="7" s="1"/>
  <c r="Y371" i="7" s="1"/>
  <c r="Y372" i="7" s="1"/>
  <c r="Y373" i="7" s="1"/>
  <c r="Y374" i="7" s="1"/>
  <c r="Y375" i="7" s="1"/>
  <c r="Y376" i="7" s="1"/>
  <c r="Y377" i="7" s="1"/>
  <c r="Y378" i="7" s="1"/>
  <c r="Y379" i="7" s="1"/>
  <c r="Y380" i="7" s="1"/>
  <c r="Y381" i="7" s="1"/>
  <c r="Y382" i="7" s="1"/>
  <c r="Y383" i="7" s="1"/>
  <c r="Y384" i="7" s="1"/>
  <c r="Y385" i="7" s="1"/>
  <c r="Y386" i="7" s="1"/>
  <c r="Y387" i="7" s="1"/>
  <c r="Y388" i="7" s="1"/>
  <c r="Y389" i="7" s="1"/>
  <c r="Y390" i="7" s="1"/>
  <c r="Y391" i="7" s="1"/>
  <c r="Y392" i="7" s="1"/>
  <c r="Y393" i="7" s="1"/>
  <c r="Y394" i="7" s="1"/>
  <c r="Y395" i="7" s="1"/>
  <c r="Y396" i="7" s="1"/>
  <c r="Y397" i="7" s="1"/>
  <c r="Y398" i="7" s="1"/>
  <c r="Y399" i="7" s="1"/>
  <c r="Y400" i="7" s="1"/>
  <c r="Y401" i="7" s="1"/>
  <c r="Y402" i="7" s="1"/>
  <c r="Y403" i="7" s="1"/>
  <c r="Y404" i="7" s="1"/>
  <c r="Y405" i="7" s="1"/>
  <c r="Y406" i="7" s="1"/>
  <c r="Y407" i="7" s="1"/>
  <c r="Y408" i="7" s="1"/>
  <c r="Y409" i="7" s="1"/>
  <c r="Y410" i="7" s="1"/>
  <c r="Y411" i="7" s="1"/>
  <c r="Y412" i="7" s="1"/>
  <c r="Y413" i="7" s="1"/>
  <c r="Y414" i="7" s="1"/>
  <c r="Y415" i="7" s="1"/>
  <c r="Y416" i="7" s="1"/>
  <c r="Y417" i="7" s="1"/>
  <c r="Y418" i="7" s="1"/>
  <c r="Y419" i="7" s="1"/>
  <c r="Y420" i="7" s="1"/>
  <c r="Y421" i="7" s="1"/>
  <c r="Y422" i="7" s="1"/>
  <c r="Y423" i="7" s="1"/>
  <c r="Y424" i="7" s="1"/>
  <c r="Y425" i="7" s="1"/>
  <c r="Y426" i="7" s="1"/>
  <c r="Y427" i="7" s="1"/>
  <c r="Y428" i="7" s="1"/>
  <c r="Y429" i="7" s="1"/>
  <c r="Y430" i="7" s="1"/>
  <c r="Y431" i="7" s="1"/>
  <c r="Y432" i="7" s="1"/>
  <c r="Y433" i="7" s="1"/>
  <c r="Y434" i="7" s="1"/>
  <c r="Y435" i="7" s="1"/>
  <c r="Y436" i="7" s="1"/>
  <c r="Y437" i="7" s="1"/>
  <c r="Y438" i="7" s="1"/>
  <c r="Y439" i="7" s="1"/>
  <c r="Y440" i="7" s="1"/>
  <c r="Y441" i="7" s="1"/>
  <c r="Y442" i="7" s="1"/>
  <c r="Y443" i="7" s="1"/>
  <c r="Y444" i="7" s="1"/>
  <c r="Y445" i="7" s="1"/>
  <c r="Y446" i="7" s="1"/>
  <c r="Y447" i="7" s="1"/>
  <c r="Y448" i="7" s="1"/>
  <c r="Y449" i="7" s="1"/>
  <c r="Y450" i="7" s="1"/>
  <c r="Y451" i="7" s="1"/>
  <c r="Y452" i="7" s="1"/>
  <c r="Y453" i="7" s="1"/>
  <c r="Y454" i="7" s="1"/>
  <c r="Y455" i="7" s="1"/>
  <c r="Y456" i="7" s="1"/>
  <c r="Y457" i="7" s="1"/>
  <c r="Y458" i="7" s="1"/>
  <c r="Y459" i="7" s="1"/>
  <c r="Y460" i="7" s="1"/>
  <c r="Y461" i="7" s="1"/>
  <c r="Y462" i="7" s="1"/>
  <c r="Y463" i="7" s="1"/>
  <c r="Y464" i="7" s="1"/>
  <c r="Y465" i="7" s="1"/>
  <c r="Y466" i="7" s="1"/>
  <c r="Y467" i="7" s="1"/>
  <c r="Y468" i="7" s="1"/>
  <c r="Y469" i="7" s="1"/>
  <c r="Y470" i="7" s="1"/>
  <c r="Y471" i="7" s="1"/>
  <c r="Y472" i="7" s="1"/>
  <c r="Y473" i="7" s="1"/>
  <c r="Y474" i="7" s="1"/>
  <c r="Y475" i="7" s="1"/>
  <c r="Y476" i="7" s="1"/>
  <c r="Y477" i="7" s="1"/>
  <c r="Y478" i="7" s="1"/>
  <c r="Y479" i="7" s="1"/>
  <c r="Y480" i="7" s="1"/>
  <c r="Y481" i="7" s="1"/>
  <c r="Y482" i="7" s="1"/>
  <c r="Y483" i="7" s="1"/>
  <c r="Y484" i="7" s="1"/>
  <c r="Y485" i="7" s="1"/>
  <c r="Y486" i="7" s="1"/>
  <c r="Y487" i="7" s="1"/>
  <c r="Y488" i="7" s="1"/>
  <c r="Y489" i="7" s="1"/>
  <c r="Y490" i="7" s="1"/>
  <c r="Y491" i="7" s="1"/>
  <c r="Y492" i="7" s="1"/>
  <c r="Y493" i="7" s="1"/>
  <c r="Y494" i="7" s="1"/>
  <c r="Y495" i="7" s="1"/>
  <c r="Y496" i="7" s="1"/>
  <c r="Y497" i="7" s="1"/>
  <c r="Y498" i="7" s="1"/>
  <c r="Y499" i="7" s="1"/>
  <c r="Y500" i="7" s="1"/>
  <c r="Y501" i="7" s="1"/>
  <c r="Y502" i="7" s="1"/>
  <c r="Y503" i="7" s="1"/>
  <c r="Y504" i="7" s="1"/>
  <c r="Y505" i="7" s="1"/>
  <c r="Y506" i="7" s="1"/>
  <c r="Y507" i="7" s="1"/>
  <c r="Y508" i="7" s="1"/>
  <c r="Y509" i="7" s="1"/>
  <c r="X16" i="7"/>
  <c r="W16" i="7"/>
  <c r="W17" i="7" s="1"/>
  <c r="W18" i="7" s="1"/>
  <c r="W19" i="7" s="1"/>
  <c r="W20" i="7" s="1"/>
  <c r="W21" i="7" s="1"/>
  <c r="W22" i="7" s="1"/>
  <c r="W23" i="7" s="1"/>
  <c r="W24" i="7" s="1"/>
  <c r="W25" i="7" s="1"/>
  <c r="W26" i="7" s="1"/>
  <c r="W27" i="7" s="1"/>
  <c r="W28" i="7" s="1"/>
  <c r="W29" i="7" s="1"/>
  <c r="W30" i="7" s="1"/>
  <c r="W31" i="7" s="1"/>
  <c r="W32" i="7" s="1"/>
  <c r="W33" i="7" s="1"/>
  <c r="W34" i="7" s="1"/>
  <c r="W35" i="7" s="1"/>
  <c r="W36" i="7" s="1"/>
  <c r="W37" i="7" s="1"/>
  <c r="W38" i="7" s="1"/>
  <c r="W39" i="7" s="1"/>
  <c r="W40" i="7" s="1"/>
  <c r="W41" i="7" s="1"/>
  <c r="W42" i="7" s="1"/>
  <c r="W43" i="7" s="1"/>
  <c r="W44" i="7" s="1"/>
  <c r="W45" i="7" s="1"/>
  <c r="W46" i="7" s="1"/>
  <c r="W47" i="7" s="1"/>
  <c r="W48" i="7" s="1"/>
  <c r="W49" i="7" s="1"/>
  <c r="W50" i="7" s="1"/>
  <c r="W51" i="7" s="1"/>
  <c r="W52" i="7" s="1"/>
  <c r="W53" i="7" s="1"/>
  <c r="W54" i="7" s="1"/>
  <c r="W55" i="7" s="1"/>
  <c r="W56" i="7" s="1"/>
  <c r="W57" i="7" s="1"/>
  <c r="W58" i="7" s="1"/>
  <c r="W59" i="7" s="1"/>
  <c r="W60" i="7" s="1"/>
  <c r="W61" i="7" s="1"/>
  <c r="W62" i="7" s="1"/>
  <c r="W63" i="7" s="1"/>
  <c r="W64" i="7" s="1"/>
  <c r="W65" i="7" s="1"/>
  <c r="W66" i="7" s="1"/>
  <c r="W67" i="7" s="1"/>
  <c r="W68" i="7" s="1"/>
  <c r="W69" i="7" s="1"/>
  <c r="W70" i="7" s="1"/>
  <c r="W71" i="7" s="1"/>
  <c r="W72" i="7" s="1"/>
  <c r="W73" i="7" s="1"/>
  <c r="W74" i="7" s="1"/>
  <c r="W75" i="7" s="1"/>
  <c r="W76" i="7" s="1"/>
  <c r="W77" i="7" s="1"/>
  <c r="W78" i="7" s="1"/>
  <c r="W79" i="7" s="1"/>
  <c r="W80" i="7" s="1"/>
  <c r="W81" i="7" s="1"/>
  <c r="W82" i="7" s="1"/>
  <c r="W83" i="7" s="1"/>
  <c r="W84" i="7" s="1"/>
  <c r="W85" i="7" s="1"/>
  <c r="W86" i="7" s="1"/>
  <c r="W87" i="7" s="1"/>
  <c r="W88" i="7" s="1"/>
  <c r="W89" i="7" s="1"/>
  <c r="W90" i="7" s="1"/>
  <c r="W91" i="7" s="1"/>
  <c r="W92" i="7" s="1"/>
  <c r="W93" i="7" s="1"/>
  <c r="W94" i="7" s="1"/>
  <c r="W95" i="7" s="1"/>
  <c r="W96" i="7" s="1"/>
  <c r="W97" i="7" s="1"/>
  <c r="W98" i="7" s="1"/>
  <c r="W99" i="7" s="1"/>
  <c r="W100" i="7" s="1"/>
  <c r="W101" i="7" s="1"/>
  <c r="W102" i="7" s="1"/>
  <c r="W103" i="7" s="1"/>
  <c r="W104" i="7" s="1"/>
  <c r="W105" i="7" s="1"/>
  <c r="W106" i="7" s="1"/>
  <c r="W107" i="7" s="1"/>
  <c r="W108" i="7" s="1"/>
  <c r="W109" i="7" s="1"/>
  <c r="W110" i="7" s="1"/>
  <c r="W111" i="7" s="1"/>
  <c r="W112" i="7" s="1"/>
  <c r="W113" i="7" s="1"/>
  <c r="W114" i="7" s="1"/>
  <c r="W115" i="7" s="1"/>
  <c r="W116" i="7" s="1"/>
  <c r="W117" i="7" s="1"/>
  <c r="W118" i="7" s="1"/>
  <c r="W119" i="7" s="1"/>
  <c r="W120" i="7" s="1"/>
  <c r="W121" i="7" s="1"/>
  <c r="W122" i="7" s="1"/>
  <c r="W123" i="7" s="1"/>
  <c r="W124" i="7" s="1"/>
  <c r="W125" i="7" s="1"/>
  <c r="W126" i="7" s="1"/>
  <c r="W127" i="7" s="1"/>
  <c r="W128" i="7" s="1"/>
  <c r="W129" i="7" s="1"/>
  <c r="W130" i="7" s="1"/>
  <c r="W131" i="7" s="1"/>
  <c r="W132" i="7" s="1"/>
  <c r="W133" i="7" s="1"/>
  <c r="W134" i="7" s="1"/>
  <c r="W135" i="7" s="1"/>
  <c r="W136" i="7" s="1"/>
  <c r="W137" i="7" s="1"/>
  <c r="W138" i="7" s="1"/>
  <c r="W139" i="7" s="1"/>
  <c r="W140" i="7" s="1"/>
  <c r="W141" i="7" s="1"/>
  <c r="W142" i="7" s="1"/>
  <c r="W143" i="7" s="1"/>
  <c r="W144" i="7" s="1"/>
  <c r="W145" i="7" s="1"/>
  <c r="W146" i="7" s="1"/>
  <c r="W147" i="7" s="1"/>
  <c r="W148" i="7" s="1"/>
  <c r="W149" i="7" s="1"/>
  <c r="W150" i="7" s="1"/>
  <c r="W151" i="7" s="1"/>
  <c r="W152" i="7" s="1"/>
  <c r="W153" i="7" s="1"/>
  <c r="W154" i="7" s="1"/>
  <c r="W155" i="7" s="1"/>
  <c r="W156" i="7" s="1"/>
  <c r="W157" i="7" s="1"/>
  <c r="W158" i="7" s="1"/>
  <c r="W159" i="7" s="1"/>
  <c r="W160" i="7" s="1"/>
  <c r="W161" i="7" s="1"/>
  <c r="W162" i="7" s="1"/>
  <c r="W163" i="7" s="1"/>
  <c r="W164" i="7" s="1"/>
  <c r="W165" i="7" s="1"/>
  <c r="W166" i="7" s="1"/>
  <c r="W167" i="7" s="1"/>
  <c r="W168" i="7" s="1"/>
  <c r="W169" i="7" s="1"/>
  <c r="W170" i="7" s="1"/>
  <c r="W171" i="7" s="1"/>
  <c r="W172" i="7" s="1"/>
  <c r="W173" i="7" s="1"/>
  <c r="W174" i="7" s="1"/>
  <c r="W175" i="7" s="1"/>
  <c r="W176" i="7" s="1"/>
  <c r="W177" i="7" s="1"/>
  <c r="W178" i="7" s="1"/>
  <c r="W179" i="7" s="1"/>
  <c r="W180" i="7" s="1"/>
  <c r="W181" i="7" s="1"/>
  <c r="W182" i="7" s="1"/>
  <c r="W183" i="7" s="1"/>
  <c r="W184" i="7" s="1"/>
  <c r="W185" i="7" s="1"/>
  <c r="W186" i="7" s="1"/>
  <c r="W187" i="7" s="1"/>
  <c r="W188" i="7" s="1"/>
  <c r="W189" i="7" s="1"/>
  <c r="W190" i="7" s="1"/>
  <c r="W191" i="7" s="1"/>
  <c r="W192" i="7" s="1"/>
  <c r="W193" i="7" s="1"/>
  <c r="W194" i="7" s="1"/>
  <c r="W195" i="7" s="1"/>
  <c r="W196" i="7" s="1"/>
  <c r="W197" i="7" s="1"/>
  <c r="W198" i="7" s="1"/>
  <c r="W199" i="7" s="1"/>
  <c r="W200" i="7" s="1"/>
  <c r="W201" i="7" s="1"/>
  <c r="W202" i="7" s="1"/>
  <c r="W203" i="7" s="1"/>
  <c r="W204" i="7" s="1"/>
  <c r="W205" i="7" s="1"/>
  <c r="W206" i="7" s="1"/>
  <c r="W207" i="7" s="1"/>
  <c r="W208" i="7" s="1"/>
  <c r="W209" i="7" s="1"/>
  <c r="W210" i="7" s="1"/>
  <c r="W211" i="7" s="1"/>
  <c r="W212" i="7" s="1"/>
  <c r="W213" i="7" s="1"/>
  <c r="W214" i="7" s="1"/>
  <c r="W215" i="7" s="1"/>
  <c r="W216" i="7" s="1"/>
  <c r="W217" i="7" s="1"/>
  <c r="W218" i="7" s="1"/>
  <c r="W219" i="7" s="1"/>
  <c r="W220" i="7" s="1"/>
  <c r="W221" i="7" s="1"/>
  <c r="W222" i="7" s="1"/>
  <c r="W223" i="7" s="1"/>
  <c r="W224" i="7" s="1"/>
  <c r="W225" i="7" s="1"/>
  <c r="W226" i="7" s="1"/>
  <c r="W227" i="7" s="1"/>
  <c r="W228" i="7" s="1"/>
  <c r="W229" i="7" s="1"/>
  <c r="W230" i="7" s="1"/>
  <c r="W231" i="7" s="1"/>
  <c r="W232" i="7" s="1"/>
  <c r="W233" i="7" s="1"/>
  <c r="W234" i="7" s="1"/>
  <c r="W235" i="7" s="1"/>
  <c r="W236" i="7" s="1"/>
  <c r="W237" i="7" s="1"/>
  <c r="W238" i="7" s="1"/>
  <c r="W239" i="7" s="1"/>
  <c r="W240" i="7" s="1"/>
  <c r="W241" i="7" s="1"/>
  <c r="W242" i="7" s="1"/>
  <c r="W243" i="7" s="1"/>
  <c r="W244" i="7" s="1"/>
  <c r="W245" i="7" s="1"/>
  <c r="W246" i="7" s="1"/>
  <c r="W247" i="7" s="1"/>
  <c r="W248" i="7" s="1"/>
  <c r="W249" i="7" s="1"/>
  <c r="W250" i="7" s="1"/>
  <c r="W251" i="7" s="1"/>
  <c r="W252" i="7" s="1"/>
  <c r="W253" i="7" s="1"/>
  <c r="W254" i="7" s="1"/>
  <c r="W255" i="7" s="1"/>
  <c r="W256" i="7" s="1"/>
  <c r="W257" i="7" s="1"/>
  <c r="W258" i="7" s="1"/>
  <c r="W259" i="7" s="1"/>
  <c r="W260" i="7" s="1"/>
  <c r="W261" i="7" s="1"/>
  <c r="W262" i="7" s="1"/>
  <c r="W263" i="7" s="1"/>
  <c r="W264" i="7" s="1"/>
  <c r="W265" i="7" s="1"/>
  <c r="W266" i="7" s="1"/>
  <c r="W267" i="7" s="1"/>
  <c r="W268" i="7" s="1"/>
  <c r="W269" i="7" s="1"/>
  <c r="W270" i="7" s="1"/>
  <c r="W271" i="7" s="1"/>
  <c r="W272" i="7" s="1"/>
  <c r="W273" i="7" s="1"/>
  <c r="W274" i="7" s="1"/>
  <c r="W275" i="7" s="1"/>
  <c r="W276" i="7" s="1"/>
  <c r="W277" i="7" s="1"/>
  <c r="W278" i="7" s="1"/>
  <c r="W279" i="7" s="1"/>
  <c r="W280" i="7" s="1"/>
  <c r="W281" i="7" s="1"/>
  <c r="W282" i="7" s="1"/>
  <c r="W283" i="7" s="1"/>
  <c r="W284" i="7" s="1"/>
  <c r="W285" i="7" s="1"/>
  <c r="W286" i="7" s="1"/>
  <c r="W287" i="7" s="1"/>
  <c r="W288" i="7" s="1"/>
  <c r="W289" i="7" s="1"/>
  <c r="W290" i="7" s="1"/>
  <c r="W291" i="7" s="1"/>
  <c r="W292" i="7" s="1"/>
  <c r="W293" i="7" s="1"/>
  <c r="W294" i="7" s="1"/>
  <c r="W295" i="7" s="1"/>
  <c r="W296" i="7" s="1"/>
  <c r="W297" i="7" s="1"/>
  <c r="W298" i="7" s="1"/>
  <c r="W299" i="7" s="1"/>
  <c r="W300" i="7" s="1"/>
  <c r="W301" i="7" s="1"/>
  <c r="W302" i="7" s="1"/>
  <c r="W303" i="7" s="1"/>
  <c r="W304" i="7" s="1"/>
  <c r="W305" i="7" s="1"/>
  <c r="W306" i="7" s="1"/>
  <c r="W307" i="7" s="1"/>
  <c r="W308" i="7" s="1"/>
  <c r="W309" i="7" s="1"/>
  <c r="W310" i="7" s="1"/>
  <c r="W311" i="7" s="1"/>
  <c r="W312" i="7" s="1"/>
  <c r="W313" i="7" s="1"/>
  <c r="W314" i="7" s="1"/>
  <c r="W315" i="7" s="1"/>
  <c r="W316" i="7" s="1"/>
  <c r="W317" i="7" s="1"/>
  <c r="W318" i="7" s="1"/>
  <c r="W319" i="7" s="1"/>
  <c r="W320" i="7" s="1"/>
  <c r="W321" i="7" s="1"/>
  <c r="W322" i="7" s="1"/>
  <c r="W323" i="7" s="1"/>
  <c r="W324" i="7" s="1"/>
  <c r="W325" i="7" s="1"/>
  <c r="W326" i="7" s="1"/>
  <c r="W327" i="7" s="1"/>
  <c r="W328" i="7" s="1"/>
  <c r="W329" i="7" s="1"/>
  <c r="W330" i="7" s="1"/>
  <c r="W331" i="7" s="1"/>
  <c r="W332" i="7" s="1"/>
  <c r="W333" i="7" s="1"/>
  <c r="W334" i="7" s="1"/>
  <c r="W335" i="7" s="1"/>
  <c r="W336" i="7" s="1"/>
  <c r="W337" i="7" s="1"/>
  <c r="W338" i="7" s="1"/>
  <c r="W339" i="7" s="1"/>
  <c r="W340" i="7" s="1"/>
  <c r="W341" i="7" s="1"/>
  <c r="W342" i="7" s="1"/>
  <c r="W343" i="7" s="1"/>
  <c r="W344" i="7" s="1"/>
  <c r="W345" i="7" s="1"/>
  <c r="W346" i="7" s="1"/>
  <c r="W347" i="7" s="1"/>
  <c r="W348" i="7" s="1"/>
  <c r="W349" i="7" s="1"/>
  <c r="W350" i="7" s="1"/>
  <c r="W351" i="7" s="1"/>
  <c r="W352" i="7" s="1"/>
  <c r="W353" i="7" s="1"/>
  <c r="W354" i="7" s="1"/>
  <c r="W355" i="7" s="1"/>
  <c r="W356" i="7" s="1"/>
  <c r="W357" i="7" s="1"/>
  <c r="W358" i="7" s="1"/>
  <c r="W359" i="7" s="1"/>
  <c r="W360" i="7" s="1"/>
  <c r="W361" i="7" s="1"/>
  <c r="W362" i="7" s="1"/>
  <c r="W363" i="7" s="1"/>
  <c r="W364" i="7" s="1"/>
  <c r="W365" i="7" s="1"/>
  <c r="W366" i="7" s="1"/>
  <c r="W367" i="7" s="1"/>
  <c r="W368" i="7" s="1"/>
  <c r="W369" i="7" s="1"/>
  <c r="W370" i="7" s="1"/>
  <c r="W371" i="7" s="1"/>
  <c r="W372" i="7" s="1"/>
  <c r="W373" i="7" s="1"/>
  <c r="W374" i="7" s="1"/>
  <c r="W375" i="7" s="1"/>
  <c r="W376" i="7" s="1"/>
  <c r="W377" i="7" s="1"/>
  <c r="W378" i="7" s="1"/>
  <c r="W379" i="7" s="1"/>
  <c r="W380" i="7" s="1"/>
  <c r="W381" i="7" s="1"/>
  <c r="W382" i="7" s="1"/>
  <c r="W383" i="7" s="1"/>
  <c r="W384" i="7" s="1"/>
  <c r="W385" i="7" s="1"/>
  <c r="W386" i="7" s="1"/>
  <c r="W387" i="7" s="1"/>
  <c r="W388" i="7" s="1"/>
  <c r="W389" i="7" s="1"/>
  <c r="W390" i="7" s="1"/>
  <c r="W391" i="7" s="1"/>
  <c r="W392" i="7" s="1"/>
  <c r="W393" i="7" s="1"/>
  <c r="W394" i="7" s="1"/>
  <c r="W395" i="7" s="1"/>
  <c r="W396" i="7" s="1"/>
  <c r="W397" i="7" s="1"/>
  <c r="W398" i="7" s="1"/>
  <c r="W399" i="7" s="1"/>
  <c r="W400" i="7" s="1"/>
  <c r="W401" i="7" s="1"/>
  <c r="W402" i="7" s="1"/>
  <c r="W403" i="7" s="1"/>
  <c r="W404" i="7" s="1"/>
  <c r="W405" i="7" s="1"/>
  <c r="W406" i="7" s="1"/>
  <c r="W407" i="7" s="1"/>
  <c r="W408" i="7" s="1"/>
  <c r="W409" i="7" s="1"/>
  <c r="W410" i="7" s="1"/>
  <c r="W411" i="7" s="1"/>
  <c r="W412" i="7" s="1"/>
  <c r="W413" i="7" s="1"/>
  <c r="W414" i="7" s="1"/>
  <c r="W415" i="7" s="1"/>
  <c r="W416" i="7" s="1"/>
  <c r="W417" i="7" s="1"/>
  <c r="W418" i="7" s="1"/>
  <c r="W419" i="7" s="1"/>
  <c r="W420" i="7" s="1"/>
  <c r="W421" i="7" s="1"/>
  <c r="W422" i="7" s="1"/>
  <c r="W423" i="7" s="1"/>
  <c r="W424" i="7" s="1"/>
  <c r="W425" i="7" s="1"/>
  <c r="W426" i="7" s="1"/>
  <c r="W427" i="7" s="1"/>
  <c r="W428" i="7" s="1"/>
  <c r="W429" i="7" s="1"/>
  <c r="W430" i="7" s="1"/>
  <c r="W431" i="7" s="1"/>
  <c r="W432" i="7" s="1"/>
  <c r="W433" i="7" s="1"/>
  <c r="W434" i="7" s="1"/>
  <c r="W435" i="7" s="1"/>
  <c r="W436" i="7" s="1"/>
  <c r="W437" i="7" s="1"/>
  <c r="W438" i="7" s="1"/>
  <c r="W439" i="7" s="1"/>
  <c r="W440" i="7" s="1"/>
  <c r="W441" i="7" s="1"/>
  <c r="W442" i="7" s="1"/>
  <c r="W443" i="7" s="1"/>
  <c r="W444" i="7" s="1"/>
  <c r="W445" i="7" s="1"/>
  <c r="W446" i="7" s="1"/>
  <c r="W447" i="7" s="1"/>
  <c r="W448" i="7" s="1"/>
  <c r="W449" i="7" s="1"/>
  <c r="W450" i="7" s="1"/>
  <c r="W451" i="7" s="1"/>
  <c r="W452" i="7" s="1"/>
  <c r="W453" i="7" s="1"/>
  <c r="W454" i="7" s="1"/>
  <c r="W455" i="7" s="1"/>
  <c r="W456" i="7" s="1"/>
  <c r="W457" i="7" s="1"/>
  <c r="W458" i="7" s="1"/>
  <c r="W459" i="7" s="1"/>
  <c r="W460" i="7" s="1"/>
  <c r="W461" i="7" s="1"/>
  <c r="W462" i="7" s="1"/>
  <c r="W463" i="7" s="1"/>
  <c r="W464" i="7" s="1"/>
  <c r="W465" i="7" s="1"/>
  <c r="W466" i="7" s="1"/>
  <c r="W467" i="7" s="1"/>
  <c r="W468" i="7" s="1"/>
  <c r="W469" i="7" s="1"/>
  <c r="W470" i="7" s="1"/>
  <c r="W471" i="7" s="1"/>
  <c r="W472" i="7" s="1"/>
  <c r="W473" i="7" s="1"/>
  <c r="W474" i="7" s="1"/>
  <c r="W475" i="7" s="1"/>
  <c r="W476" i="7" s="1"/>
  <c r="W477" i="7" s="1"/>
  <c r="W478" i="7" s="1"/>
  <c r="W479" i="7" s="1"/>
  <c r="W480" i="7" s="1"/>
  <c r="W481" i="7" s="1"/>
  <c r="W482" i="7" s="1"/>
  <c r="W483" i="7" s="1"/>
  <c r="W484" i="7" s="1"/>
  <c r="W485" i="7" s="1"/>
  <c r="W486" i="7" s="1"/>
  <c r="W487" i="7" s="1"/>
  <c r="W488" i="7" s="1"/>
  <c r="W489" i="7" s="1"/>
  <c r="W490" i="7" s="1"/>
  <c r="W491" i="7" s="1"/>
  <c r="W492" i="7" s="1"/>
  <c r="W493" i="7" s="1"/>
  <c r="W494" i="7" s="1"/>
  <c r="W495" i="7" s="1"/>
  <c r="W496" i="7" s="1"/>
  <c r="W497" i="7" s="1"/>
  <c r="W498" i="7" s="1"/>
  <c r="W499" i="7" s="1"/>
  <c r="W500" i="7" s="1"/>
  <c r="W501" i="7" s="1"/>
  <c r="W502" i="7" s="1"/>
  <c r="W503" i="7" s="1"/>
  <c r="W504" i="7" s="1"/>
  <c r="W505" i="7" s="1"/>
  <c r="W506" i="7" s="1"/>
  <c r="W507" i="7" s="1"/>
  <c r="W508" i="7" s="1"/>
  <c r="W509" i="7" s="1"/>
  <c r="V16" i="7"/>
  <c r="U16" i="7"/>
  <c r="U17" i="7" s="1"/>
  <c r="U18" i="7" s="1"/>
  <c r="U19" i="7" s="1"/>
  <c r="U20" i="7" s="1"/>
  <c r="U21" i="7" s="1"/>
  <c r="U22" i="7" s="1"/>
  <c r="U23" i="7" s="1"/>
  <c r="U24" i="7" s="1"/>
  <c r="U25" i="7" s="1"/>
  <c r="U26" i="7" s="1"/>
  <c r="U27" i="7" s="1"/>
  <c r="U28" i="7" s="1"/>
  <c r="U29" i="7" s="1"/>
  <c r="U30" i="7" s="1"/>
  <c r="U31" i="7" s="1"/>
  <c r="U32" i="7" s="1"/>
  <c r="U33" i="7" s="1"/>
  <c r="U34" i="7" s="1"/>
  <c r="U35" i="7" s="1"/>
  <c r="U36" i="7" s="1"/>
  <c r="U37" i="7" s="1"/>
  <c r="U38" i="7" s="1"/>
  <c r="U39" i="7" s="1"/>
  <c r="U40" i="7" s="1"/>
  <c r="U41" i="7" s="1"/>
  <c r="U42" i="7" s="1"/>
  <c r="U43" i="7" s="1"/>
  <c r="U44" i="7" s="1"/>
  <c r="U45" i="7" s="1"/>
  <c r="U46" i="7" s="1"/>
  <c r="U47" i="7" s="1"/>
  <c r="U48" i="7" s="1"/>
  <c r="U49" i="7" s="1"/>
  <c r="U50" i="7" s="1"/>
  <c r="U51" i="7" s="1"/>
  <c r="U52" i="7" s="1"/>
  <c r="U53" i="7" s="1"/>
  <c r="U54" i="7" s="1"/>
  <c r="U55" i="7" s="1"/>
  <c r="U56" i="7" s="1"/>
  <c r="U57" i="7" s="1"/>
  <c r="U58" i="7" s="1"/>
  <c r="U59" i="7" s="1"/>
  <c r="U60" i="7" s="1"/>
  <c r="U61" i="7" s="1"/>
  <c r="U62" i="7" s="1"/>
  <c r="U63" i="7" s="1"/>
  <c r="U64" i="7" s="1"/>
  <c r="U65" i="7" s="1"/>
  <c r="U66" i="7" s="1"/>
  <c r="U67" i="7" s="1"/>
  <c r="U68" i="7" s="1"/>
  <c r="U69" i="7" s="1"/>
  <c r="U70" i="7" s="1"/>
  <c r="U71" i="7" s="1"/>
  <c r="U72" i="7" s="1"/>
  <c r="U73" i="7" s="1"/>
  <c r="U74" i="7" s="1"/>
  <c r="U75" i="7" s="1"/>
  <c r="U76" i="7" s="1"/>
  <c r="U77" i="7" s="1"/>
  <c r="U78" i="7" s="1"/>
  <c r="U79" i="7" s="1"/>
  <c r="U80" i="7" s="1"/>
  <c r="U81" i="7" s="1"/>
  <c r="U82" i="7" s="1"/>
  <c r="U83" i="7" s="1"/>
  <c r="U84" i="7" s="1"/>
  <c r="U85" i="7" s="1"/>
  <c r="U86" i="7" s="1"/>
  <c r="U87" i="7" s="1"/>
  <c r="U88" i="7" s="1"/>
  <c r="U89" i="7" s="1"/>
  <c r="U90" i="7" s="1"/>
  <c r="U91" i="7" s="1"/>
  <c r="U92" i="7" s="1"/>
  <c r="U93" i="7" s="1"/>
  <c r="U94" i="7" s="1"/>
  <c r="U95" i="7" s="1"/>
  <c r="U96" i="7" s="1"/>
  <c r="U97" i="7" s="1"/>
  <c r="U98" i="7" s="1"/>
  <c r="U99" i="7" s="1"/>
  <c r="U100" i="7" s="1"/>
  <c r="U101" i="7" s="1"/>
  <c r="U102" i="7" s="1"/>
  <c r="U103" i="7" s="1"/>
  <c r="U104" i="7" s="1"/>
  <c r="U105" i="7" s="1"/>
  <c r="U106" i="7" s="1"/>
  <c r="U107" i="7" s="1"/>
  <c r="U108" i="7" s="1"/>
  <c r="U109" i="7" s="1"/>
  <c r="U110" i="7" s="1"/>
  <c r="U111" i="7" s="1"/>
  <c r="U112" i="7" s="1"/>
  <c r="U113" i="7" s="1"/>
  <c r="U114" i="7" s="1"/>
  <c r="U115" i="7" s="1"/>
  <c r="U116" i="7" s="1"/>
  <c r="U117" i="7" s="1"/>
  <c r="U118" i="7" s="1"/>
  <c r="U119" i="7" s="1"/>
  <c r="U120" i="7" s="1"/>
  <c r="U121" i="7" s="1"/>
  <c r="U122" i="7" s="1"/>
  <c r="U123" i="7" s="1"/>
  <c r="U124" i="7" s="1"/>
  <c r="U125" i="7" s="1"/>
  <c r="U126" i="7" s="1"/>
  <c r="U127" i="7" s="1"/>
  <c r="U128" i="7" s="1"/>
  <c r="U129" i="7" s="1"/>
  <c r="U130" i="7" s="1"/>
  <c r="U131" i="7" s="1"/>
  <c r="U132" i="7" s="1"/>
  <c r="U133" i="7" s="1"/>
  <c r="U134" i="7" s="1"/>
  <c r="U135" i="7" s="1"/>
  <c r="U136" i="7" s="1"/>
  <c r="U137" i="7" s="1"/>
  <c r="U138" i="7" s="1"/>
  <c r="U139" i="7" s="1"/>
  <c r="U140" i="7" s="1"/>
  <c r="U141" i="7" s="1"/>
  <c r="U142" i="7" s="1"/>
  <c r="U143" i="7" s="1"/>
  <c r="U144" i="7" s="1"/>
  <c r="U145" i="7" s="1"/>
  <c r="U146" i="7" s="1"/>
  <c r="U147" i="7" s="1"/>
  <c r="U148" i="7" s="1"/>
  <c r="U149" i="7" s="1"/>
  <c r="U150" i="7" s="1"/>
  <c r="U151" i="7" s="1"/>
  <c r="U152" i="7" s="1"/>
  <c r="U153" i="7" s="1"/>
  <c r="U154" i="7" s="1"/>
  <c r="U155" i="7" s="1"/>
  <c r="U156" i="7" s="1"/>
  <c r="U157" i="7" s="1"/>
  <c r="U158" i="7" s="1"/>
  <c r="U159" i="7" s="1"/>
  <c r="U160" i="7" s="1"/>
  <c r="U161" i="7" s="1"/>
  <c r="U162" i="7" s="1"/>
  <c r="U163" i="7" s="1"/>
  <c r="U164" i="7" s="1"/>
  <c r="U165" i="7" s="1"/>
  <c r="U166" i="7" s="1"/>
  <c r="U167" i="7" s="1"/>
  <c r="U168" i="7" s="1"/>
  <c r="U169" i="7" s="1"/>
  <c r="U170" i="7" s="1"/>
  <c r="U171" i="7" s="1"/>
  <c r="U172" i="7" s="1"/>
  <c r="U173" i="7" s="1"/>
  <c r="U174" i="7" s="1"/>
  <c r="U175" i="7" s="1"/>
  <c r="U176" i="7" s="1"/>
  <c r="U177" i="7" s="1"/>
  <c r="U178" i="7" s="1"/>
  <c r="U179" i="7" s="1"/>
  <c r="U180" i="7" s="1"/>
  <c r="U181" i="7" s="1"/>
  <c r="U182" i="7" s="1"/>
  <c r="U183" i="7" s="1"/>
  <c r="U184" i="7" s="1"/>
  <c r="U185" i="7" s="1"/>
  <c r="U186" i="7" s="1"/>
  <c r="U187" i="7" s="1"/>
  <c r="U188" i="7" s="1"/>
  <c r="U189" i="7" s="1"/>
  <c r="U190" i="7" s="1"/>
  <c r="U191" i="7" s="1"/>
  <c r="U192" i="7" s="1"/>
  <c r="U193" i="7" s="1"/>
  <c r="U194" i="7" s="1"/>
  <c r="U195" i="7" s="1"/>
  <c r="U196" i="7" s="1"/>
  <c r="U197" i="7" s="1"/>
  <c r="U198" i="7" s="1"/>
  <c r="U199" i="7" s="1"/>
  <c r="U200" i="7" s="1"/>
  <c r="U201" i="7" s="1"/>
  <c r="U202" i="7" s="1"/>
  <c r="U203" i="7" s="1"/>
  <c r="U204" i="7" s="1"/>
  <c r="U205" i="7" s="1"/>
  <c r="U206" i="7" s="1"/>
  <c r="U207" i="7" s="1"/>
  <c r="U208" i="7" s="1"/>
  <c r="U209" i="7" s="1"/>
  <c r="U210" i="7" s="1"/>
  <c r="U211" i="7" s="1"/>
  <c r="U212" i="7" s="1"/>
  <c r="U213" i="7" s="1"/>
  <c r="U214" i="7" s="1"/>
  <c r="U215" i="7" s="1"/>
  <c r="U216" i="7" s="1"/>
  <c r="U217" i="7" s="1"/>
  <c r="U218" i="7" s="1"/>
  <c r="U219" i="7" s="1"/>
  <c r="U220" i="7" s="1"/>
  <c r="U221" i="7" s="1"/>
  <c r="U222" i="7" s="1"/>
  <c r="U223" i="7" s="1"/>
  <c r="U224" i="7" s="1"/>
  <c r="U225" i="7" s="1"/>
  <c r="U226" i="7" s="1"/>
  <c r="U227" i="7" s="1"/>
  <c r="U228" i="7" s="1"/>
  <c r="U229" i="7" s="1"/>
  <c r="U230" i="7" s="1"/>
  <c r="U231" i="7" s="1"/>
  <c r="U232" i="7" s="1"/>
  <c r="U233" i="7" s="1"/>
  <c r="U234" i="7" s="1"/>
  <c r="U235" i="7" s="1"/>
  <c r="U236" i="7" s="1"/>
  <c r="U237" i="7" s="1"/>
  <c r="U238" i="7" s="1"/>
  <c r="U239" i="7" s="1"/>
  <c r="U240" i="7" s="1"/>
  <c r="U241" i="7" s="1"/>
  <c r="U242" i="7" s="1"/>
  <c r="U243" i="7" s="1"/>
  <c r="U244" i="7" s="1"/>
  <c r="U245" i="7" s="1"/>
  <c r="U246" i="7" s="1"/>
  <c r="U247" i="7" s="1"/>
  <c r="U248" i="7" s="1"/>
  <c r="U249" i="7" s="1"/>
  <c r="U250" i="7" s="1"/>
  <c r="U251" i="7" s="1"/>
  <c r="U252" i="7" s="1"/>
  <c r="U253" i="7" s="1"/>
  <c r="U254" i="7" s="1"/>
  <c r="U255" i="7" s="1"/>
  <c r="U256" i="7" s="1"/>
  <c r="U257" i="7" s="1"/>
  <c r="U258" i="7" s="1"/>
  <c r="U259" i="7" s="1"/>
  <c r="U260" i="7" s="1"/>
  <c r="U261" i="7" s="1"/>
  <c r="U262" i="7" s="1"/>
  <c r="U263" i="7" s="1"/>
  <c r="U264" i="7" s="1"/>
  <c r="U265" i="7" s="1"/>
  <c r="U266" i="7" s="1"/>
  <c r="U267" i="7" s="1"/>
  <c r="U268" i="7" s="1"/>
  <c r="U269" i="7" s="1"/>
  <c r="U270" i="7" s="1"/>
  <c r="U271" i="7" s="1"/>
  <c r="U272" i="7" s="1"/>
  <c r="U273" i="7" s="1"/>
  <c r="U274" i="7" s="1"/>
  <c r="U275" i="7" s="1"/>
  <c r="U276" i="7" s="1"/>
  <c r="U277" i="7" s="1"/>
  <c r="U278" i="7" s="1"/>
  <c r="U279" i="7" s="1"/>
  <c r="U280" i="7" s="1"/>
  <c r="U281" i="7" s="1"/>
  <c r="U282" i="7" s="1"/>
  <c r="U283" i="7" s="1"/>
  <c r="U284" i="7" s="1"/>
  <c r="U285" i="7" s="1"/>
  <c r="U286" i="7" s="1"/>
  <c r="U287" i="7" s="1"/>
  <c r="U288" i="7" s="1"/>
  <c r="U289" i="7" s="1"/>
  <c r="U290" i="7" s="1"/>
  <c r="U291" i="7" s="1"/>
  <c r="U292" i="7" s="1"/>
  <c r="U293" i="7" s="1"/>
  <c r="U294" i="7" s="1"/>
  <c r="U295" i="7" s="1"/>
  <c r="U296" i="7" s="1"/>
  <c r="U297" i="7" s="1"/>
  <c r="U298" i="7" s="1"/>
  <c r="U299" i="7" s="1"/>
  <c r="U300" i="7" s="1"/>
  <c r="U301" i="7" s="1"/>
  <c r="U302" i="7" s="1"/>
  <c r="U303" i="7" s="1"/>
  <c r="U304" i="7" s="1"/>
  <c r="U305" i="7" s="1"/>
  <c r="U306" i="7" s="1"/>
  <c r="U307" i="7" s="1"/>
  <c r="U308" i="7" s="1"/>
  <c r="U309" i="7" s="1"/>
  <c r="U310" i="7" s="1"/>
  <c r="U311" i="7" s="1"/>
  <c r="U312" i="7" s="1"/>
  <c r="U313" i="7" s="1"/>
  <c r="U314" i="7" s="1"/>
  <c r="U315" i="7" s="1"/>
  <c r="U316" i="7" s="1"/>
  <c r="U317" i="7" s="1"/>
  <c r="U318" i="7" s="1"/>
  <c r="U319" i="7" s="1"/>
  <c r="U320" i="7" s="1"/>
  <c r="U321" i="7" s="1"/>
  <c r="U322" i="7" s="1"/>
  <c r="U323" i="7" s="1"/>
  <c r="U324" i="7" s="1"/>
  <c r="U325" i="7" s="1"/>
  <c r="U326" i="7" s="1"/>
  <c r="U327" i="7" s="1"/>
  <c r="U328" i="7" s="1"/>
  <c r="U329" i="7" s="1"/>
  <c r="U330" i="7" s="1"/>
  <c r="U331" i="7" s="1"/>
  <c r="U332" i="7" s="1"/>
  <c r="U333" i="7" s="1"/>
  <c r="U334" i="7" s="1"/>
  <c r="U335" i="7" s="1"/>
  <c r="U336" i="7" s="1"/>
  <c r="U337" i="7" s="1"/>
  <c r="U338" i="7" s="1"/>
  <c r="U339" i="7" s="1"/>
  <c r="U340" i="7" s="1"/>
  <c r="U341" i="7" s="1"/>
  <c r="U342" i="7" s="1"/>
  <c r="U343" i="7" s="1"/>
  <c r="U344" i="7" s="1"/>
  <c r="U345" i="7" s="1"/>
  <c r="U346" i="7" s="1"/>
  <c r="U347" i="7" s="1"/>
  <c r="U348" i="7" s="1"/>
  <c r="U349" i="7" s="1"/>
  <c r="U350" i="7" s="1"/>
  <c r="U351" i="7" s="1"/>
  <c r="U352" i="7" s="1"/>
  <c r="U353" i="7" s="1"/>
  <c r="U354" i="7" s="1"/>
  <c r="U355" i="7" s="1"/>
  <c r="U356" i="7" s="1"/>
  <c r="U357" i="7" s="1"/>
  <c r="U358" i="7" s="1"/>
  <c r="U359" i="7" s="1"/>
  <c r="U360" i="7" s="1"/>
  <c r="U361" i="7" s="1"/>
  <c r="U362" i="7" s="1"/>
  <c r="U363" i="7" s="1"/>
  <c r="U364" i="7" s="1"/>
  <c r="U365" i="7" s="1"/>
  <c r="U366" i="7" s="1"/>
  <c r="U367" i="7" s="1"/>
  <c r="U368" i="7" s="1"/>
  <c r="U369" i="7" s="1"/>
  <c r="U370" i="7" s="1"/>
  <c r="U371" i="7" s="1"/>
  <c r="U372" i="7" s="1"/>
  <c r="U373" i="7" s="1"/>
  <c r="U374" i="7" s="1"/>
  <c r="U375" i="7" s="1"/>
  <c r="U376" i="7" s="1"/>
  <c r="U377" i="7" s="1"/>
  <c r="U378" i="7" s="1"/>
  <c r="U379" i="7" s="1"/>
  <c r="U380" i="7" s="1"/>
  <c r="U381" i="7" s="1"/>
  <c r="U382" i="7" s="1"/>
  <c r="U383" i="7" s="1"/>
  <c r="U384" i="7" s="1"/>
  <c r="U385" i="7" s="1"/>
  <c r="U386" i="7" s="1"/>
  <c r="U387" i="7" s="1"/>
  <c r="U388" i="7" s="1"/>
  <c r="U389" i="7" s="1"/>
  <c r="U390" i="7" s="1"/>
  <c r="U391" i="7" s="1"/>
  <c r="U392" i="7" s="1"/>
  <c r="U393" i="7" s="1"/>
  <c r="U394" i="7" s="1"/>
  <c r="U395" i="7" s="1"/>
  <c r="U396" i="7" s="1"/>
  <c r="U397" i="7" s="1"/>
  <c r="U398" i="7" s="1"/>
  <c r="U399" i="7" s="1"/>
  <c r="U400" i="7" s="1"/>
  <c r="U401" i="7" s="1"/>
  <c r="U402" i="7" s="1"/>
  <c r="U403" i="7" s="1"/>
  <c r="U404" i="7" s="1"/>
  <c r="U405" i="7" s="1"/>
  <c r="U406" i="7" s="1"/>
  <c r="U407" i="7" s="1"/>
  <c r="U408" i="7" s="1"/>
  <c r="U409" i="7" s="1"/>
  <c r="U410" i="7" s="1"/>
  <c r="U411" i="7" s="1"/>
  <c r="U412" i="7" s="1"/>
  <c r="U413" i="7" s="1"/>
  <c r="U414" i="7" s="1"/>
  <c r="U415" i="7" s="1"/>
  <c r="U416" i="7" s="1"/>
  <c r="U417" i="7" s="1"/>
  <c r="U418" i="7" s="1"/>
  <c r="U419" i="7" s="1"/>
  <c r="U420" i="7" s="1"/>
  <c r="U421" i="7" s="1"/>
  <c r="U422" i="7" s="1"/>
  <c r="U423" i="7" s="1"/>
  <c r="U424" i="7" s="1"/>
  <c r="U425" i="7" s="1"/>
  <c r="U426" i="7" s="1"/>
  <c r="U427" i="7" s="1"/>
  <c r="U428" i="7" s="1"/>
  <c r="U429" i="7" s="1"/>
  <c r="U430" i="7" s="1"/>
  <c r="U431" i="7" s="1"/>
  <c r="U432" i="7" s="1"/>
  <c r="U433" i="7" s="1"/>
  <c r="U434" i="7" s="1"/>
  <c r="U435" i="7" s="1"/>
  <c r="U436" i="7" s="1"/>
  <c r="U437" i="7" s="1"/>
  <c r="U438" i="7" s="1"/>
  <c r="U439" i="7" s="1"/>
  <c r="U440" i="7" s="1"/>
  <c r="U441" i="7" s="1"/>
  <c r="U442" i="7" s="1"/>
  <c r="U443" i="7" s="1"/>
  <c r="U444" i="7" s="1"/>
  <c r="U445" i="7" s="1"/>
  <c r="U446" i="7" s="1"/>
  <c r="U447" i="7" s="1"/>
  <c r="U448" i="7" s="1"/>
  <c r="U449" i="7" s="1"/>
  <c r="U450" i="7" s="1"/>
  <c r="U451" i="7" s="1"/>
  <c r="U452" i="7" s="1"/>
  <c r="U453" i="7" s="1"/>
  <c r="U454" i="7" s="1"/>
  <c r="U455" i="7" s="1"/>
  <c r="U456" i="7" s="1"/>
  <c r="U457" i="7" s="1"/>
  <c r="U458" i="7" s="1"/>
  <c r="U459" i="7" s="1"/>
  <c r="U460" i="7" s="1"/>
  <c r="U461" i="7" s="1"/>
  <c r="U462" i="7" s="1"/>
  <c r="U463" i="7" s="1"/>
  <c r="U464" i="7" s="1"/>
  <c r="U465" i="7" s="1"/>
  <c r="U466" i="7" s="1"/>
  <c r="U467" i="7" s="1"/>
  <c r="U468" i="7" s="1"/>
  <c r="U469" i="7" s="1"/>
  <c r="U470" i="7" s="1"/>
  <c r="U471" i="7" s="1"/>
  <c r="U472" i="7" s="1"/>
  <c r="U473" i="7" s="1"/>
  <c r="U474" i="7" s="1"/>
  <c r="U475" i="7" s="1"/>
  <c r="U476" i="7" s="1"/>
  <c r="U477" i="7" s="1"/>
  <c r="U478" i="7" s="1"/>
  <c r="U479" i="7" s="1"/>
  <c r="U480" i="7" s="1"/>
  <c r="U481" i="7" s="1"/>
  <c r="U482" i="7" s="1"/>
  <c r="U483" i="7" s="1"/>
  <c r="U484" i="7" s="1"/>
  <c r="U485" i="7" s="1"/>
  <c r="U486" i="7" s="1"/>
  <c r="U487" i="7" s="1"/>
  <c r="U488" i="7" s="1"/>
  <c r="U489" i="7" s="1"/>
  <c r="U490" i="7" s="1"/>
  <c r="U491" i="7" s="1"/>
  <c r="U492" i="7" s="1"/>
  <c r="U493" i="7" s="1"/>
  <c r="U494" i="7" s="1"/>
  <c r="U495" i="7" s="1"/>
  <c r="U496" i="7" s="1"/>
  <c r="U497" i="7" s="1"/>
  <c r="U498" i="7" s="1"/>
  <c r="U499" i="7" s="1"/>
  <c r="U500" i="7" s="1"/>
  <c r="U501" i="7" s="1"/>
  <c r="U502" i="7" s="1"/>
  <c r="U503" i="7" s="1"/>
  <c r="U504" i="7" s="1"/>
  <c r="U505" i="7" s="1"/>
  <c r="U506" i="7" s="1"/>
  <c r="U507" i="7" s="1"/>
  <c r="U508" i="7" s="1"/>
  <c r="U509" i="7" s="1"/>
  <c r="T16" i="7"/>
  <c r="S16" i="7"/>
  <c r="S17" i="7" s="1"/>
  <c r="S18" i="7" s="1"/>
  <c r="S19" i="7" s="1"/>
  <c r="S20" i="7" s="1"/>
  <c r="S21" i="7" s="1"/>
  <c r="S22" i="7" s="1"/>
  <c r="S23" i="7" s="1"/>
  <c r="S24" i="7" s="1"/>
  <c r="S25" i="7" s="1"/>
  <c r="S26" i="7" s="1"/>
  <c r="S27" i="7" s="1"/>
  <c r="S28" i="7" s="1"/>
  <c r="S29" i="7" s="1"/>
  <c r="S30" i="7" s="1"/>
  <c r="S31" i="7" s="1"/>
  <c r="S32" i="7" s="1"/>
  <c r="S33" i="7" s="1"/>
  <c r="S34" i="7" s="1"/>
  <c r="S35" i="7" s="1"/>
  <c r="S36" i="7" s="1"/>
  <c r="S37" i="7" s="1"/>
  <c r="S38" i="7" s="1"/>
  <c r="S39" i="7" s="1"/>
  <c r="S40" i="7" s="1"/>
  <c r="S41" i="7" s="1"/>
  <c r="S42" i="7" s="1"/>
  <c r="S43" i="7" s="1"/>
  <c r="S44" i="7" s="1"/>
  <c r="S45" i="7" s="1"/>
  <c r="S46" i="7" s="1"/>
  <c r="S47" i="7" s="1"/>
  <c r="S48" i="7" s="1"/>
  <c r="S49" i="7" s="1"/>
  <c r="S50" i="7" s="1"/>
  <c r="S51" i="7" s="1"/>
  <c r="S52" i="7" s="1"/>
  <c r="S53" i="7" s="1"/>
  <c r="S54" i="7" s="1"/>
  <c r="S55" i="7" s="1"/>
  <c r="S56" i="7" s="1"/>
  <c r="S57" i="7" s="1"/>
  <c r="S58" i="7" s="1"/>
  <c r="S59" i="7" s="1"/>
  <c r="S60" i="7" s="1"/>
  <c r="S61" i="7" s="1"/>
  <c r="S62" i="7" s="1"/>
  <c r="S63" i="7" s="1"/>
  <c r="S64" i="7" s="1"/>
  <c r="S65" i="7" s="1"/>
  <c r="S66" i="7" s="1"/>
  <c r="S67" i="7" s="1"/>
  <c r="S68" i="7" s="1"/>
  <c r="S69" i="7" s="1"/>
  <c r="S70" i="7" s="1"/>
  <c r="S71" i="7" s="1"/>
  <c r="S72" i="7" s="1"/>
  <c r="S73" i="7" s="1"/>
  <c r="S74" i="7" s="1"/>
  <c r="S75" i="7" s="1"/>
  <c r="S76" i="7" s="1"/>
  <c r="S77" i="7" s="1"/>
  <c r="S78" i="7" s="1"/>
  <c r="S79" i="7" s="1"/>
  <c r="S80" i="7" s="1"/>
  <c r="S81" i="7" s="1"/>
  <c r="S82" i="7" s="1"/>
  <c r="S83" i="7" s="1"/>
  <c r="S84" i="7" s="1"/>
  <c r="S85" i="7" s="1"/>
  <c r="S86" i="7" s="1"/>
  <c r="S87" i="7" s="1"/>
  <c r="S88" i="7" s="1"/>
  <c r="S89" i="7" s="1"/>
  <c r="S90" i="7" s="1"/>
  <c r="S91" i="7" s="1"/>
  <c r="S92" i="7" s="1"/>
  <c r="S93" i="7" s="1"/>
  <c r="S94" i="7" s="1"/>
  <c r="S95" i="7" s="1"/>
  <c r="S96" i="7" s="1"/>
  <c r="S97" i="7" s="1"/>
  <c r="S98" i="7" s="1"/>
  <c r="S99" i="7" s="1"/>
  <c r="S100" i="7" s="1"/>
  <c r="S101" i="7" s="1"/>
  <c r="S102" i="7" s="1"/>
  <c r="S103" i="7" s="1"/>
  <c r="S104" i="7" s="1"/>
  <c r="S105" i="7" s="1"/>
  <c r="S106" i="7" s="1"/>
  <c r="S107" i="7" s="1"/>
  <c r="S108" i="7" s="1"/>
  <c r="S109" i="7" s="1"/>
  <c r="S110" i="7" s="1"/>
  <c r="S111" i="7" s="1"/>
  <c r="S112" i="7" s="1"/>
  <c r="S113" i="7" s="1"/>
  <c r="S114" i="7" s="1"/>
  <c r="S115" i="7" s="1"/>
  <c r="S116" i="7" s="1"/>
  <c r="S117" i="7" s="1"/>
  <c r="S118" i="7" s="1"/>
  <c r="S119" i="7" s="1"/>
  <c r="S120" i="7" s="1"/>
  <c r="S121" i="7" s="1"/>
  <c r="S122" i="7" s="1"/>
  <c r="S123" i="7" s="1"/>
  <c r="S124" i="7" s="1"/>
  <c r="S125" i="7" s="1"/>
  <c r="S126" i="7" s="1"/>
  <c r="S127" i="7" s="1"/>
  <c r="S128" i="7" s="1"/>
  <c r="S129" i="7" s="1"/>
  <c r="S130" i="7" s="1"/>
  <c r="S131" i="7" s="1"/>
  <c r="S132" i="7" s="1"/>
  <c r="S133" i="7" s="1"/>
  <c r="S134" i="7" s="1"/>
  <c r="S135" i="7" s="1"/>
  <c r="S136" i="7" s="1"/>
  <c r="S137" i="7" s="1"/>
  <c r="S138" i="7" s="1"/>
  <c r="S139" i="7" s="1"/>
  <c r="S140" i="7" s="1"/>
  <c r="S141" i="7" s="1"/>
  <c r="S142" i="7" s="1"/>
  <c r="S143" i="7" s="1"/>
  <c r="S144" i="7" s="1"/>
  <c r="S145" i="7" s="1"/>
  <c r="S146" i="7" s="1"/>
  <c r="S147" i="7" s="1"/>
  <c r="S148" i="7" s="1"/>
  <c r="S149" i="7" s="1"/>
  <c r="S150" i="7" s="1"/>
  <c r="S151" i="7" s="1"/>
  <c r="S152" i="7" s="1"/>
  <c r="S153" i="7" s="1"/>
  <c r="S154" i="7" s="1"/>
  <c r="S155" i="7" s="1"/>
  <c r="S156" i="7" s="1"/>
  <c r="S157" i="7" s="1"/>
  <c r="S158" i="7" s="1"/>
  <c r="S159" i="7" s="1"/>
  <c r="S160" i="7" s="1"/>
  <c r="S161" i="7" s="1"/>
  <c r="S162" i="7" s="1"/>
  <c r="S163" i="7" s="1"/>
  <c r="S164" i="7" s="1"/>
  <c r="S165" i="7" s="1"/>
  <c r="S166" i="7" s="1"/>
  <c r="S167" i="7" s="1"/>
  <c r="S168" i="7" s="1"/>
  <c r="S169" i="7" s="1"/>
  <c r="S170" i="7" s="1"/>
  <c r="S171" i="7" s="1"/>
  <c r="S172" i="7" s="1"/>
  <c r="S173" i="7" s="1"/>
  <c r="S174" i="7" s="1"/>
  <c r="S175" i="7" s="1"/>
  <c r="S176" i="7" s="1"/>
  <c r="S177" i="7" s="1"/>
  <c r="S178" i="7" s="1"/>
  <c r="S179" i="7" s="1"/>
  <c r="S180" i="7" s="1"/>
  <c r="S181" i="7" s="1"/>
  <c r="S182" i="7" s="1"/>
  <c r="S183" i="7" s="1"/>
  <c r="S184" i="7" s="1"/>
  <c r="S185" i="7" s="1"/>
  <c r="S186" i="7" s="1"/>
  <c r="S187" i="7" s="1"/>
  <c r="S188" i="7" s="1"/>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S260" i="7" s="1"/>
  <c r="S261" i="7" s="1"/>
  <c r="S262" i="7" s="1"/>
  <c r="S263" i="7" s="1"/>
  <c r="S264" i="7" s="1"/>
  <c r="S265" i="7" s="1"/>
  <c r="S266" i="7" s="1"/>
  <c r="S267" i="7" s="1"/>
  <c r="S268" i="7" s="1"/>
  <c r="S269" i="7" s="1"/>
  <c r="S270" i="7" s="1"/>
  <c r="S271" i="7" s="1"/>
  <c r="S272" i="7" s="1"/>
  <c r="S273" i="7" s="1"/>
  <c r="S274" i="7" s="1"/>
  <c r="S275" i="7" s="1"/>
  <c r="S276" i="7" s="1"/>
  <c r="S277" i="7" s="1"/>
  <c r="S278" i="7" s="1"/>
  <c r="S279" i="7" s="1"/>
  <c r="S280" i="7" s="1"/>
  <c r="S281" i="7" s="1"/>
  <c r="S282" i="7" s="1"/>
  <c r="S283" i="7" s="1"/>
  <c r="S284" i="7" s="1"/>
  <c r="S285" i="7" s="1"/>
  <c r="S286" i="7" s="1"/>
  <c r="S287" i="7" s="1"/>
  <c r="S288" i="7" s="1"/>
  <c r="S289" i="7" s="1"/>
  <c r="S290" i="7" s="1"/>
  <c r="S291" i="7" s="1"/>
  <c r="S292" i="7" s="1"/>
  <c r="S293" i="7" s="1"/>
  <c r="S294" i="7" s="1"/>
  <c r="S295" i="7" s="1"/>
  <c r="S296" i="7" s="1"/>
  <c r="S297" i="7" s="1"/>
  <c r="S298" i="7" s="1"/>
  <c r="S299" i="7" s="1"/>
  <c r="S300" i="7" s="1"/>
  <c r="S301" i="7" s="1"/>
  <c r="S302" i="7" s="1"/>
  <c r="S303" i="7" s="1"/>
  <c r="S304" i="7" s="1"/>
  <c r="S305" i="7" s="1"/>
  <c r="S306" i="7" s="1"/>
  <c r="S307" i="7" s="1"/>
  <c r="S308" i="7" s="1"/>
  <c r="S309" i="7" s="1"/>
  <c r="S310" i="7" s="1"/>
  <c r="S311" i="7" s="1"/>
  <c r="S312" i="7" s="1"/>
  <c r="S313" i="7" s="1"/>
  <c r="S314" i="7" s="1"/>
  <c r="S315" i="7" s="1"/>
  <c r="S316" i="7" s="1"/>
  <c r="S317" i="7" s="1"/>
  <c r="S318" i="7" s="1"/>
  <c r="S319" i="7" s="1"/>
  <c r="S320" i="7" s="1"/>
  <c r="S321" i="7" s="1"/>
  <c r="S322" i="7" s="1"/>
  <c r="S323" i="7" s="1"/>
  <c r="S324" i="7" s="1"/>
  <c r="S325" i="7" s="1"/>
  <c r="S326" i="7" s="1"/>
  <c r="S327" i="7" s="1"/>
  <c r="S328" i="7" s="1"/>
  <c r="S329" i="7" s="1"/>
  <c r="S330" i="7" s="1"/>
  <c r="S331" i="7" s="1"/>
  <c r="S332" i="7" s="1"/>
  <c r="S333" i="7" s="1"/>
  <c r="S334" i="7" s="1"/>
  <c r="S335" i="7" s="1"/>
  <c r="S336" i="7" s="1"/>
  <c r="S337" i="7" s="1"/>
  <c r="S338" i="7" s="1"/>
  <c r="S339" i="7" s="1"/>
  <c r="S340" i="7" s="1"/>
  <c r="S341" i="7" s="1"/>
  <c r="S342" i="7" s="1"/>
  <c r="S343" i="7" s="1"/>
  <c r="S344" i="7" s="1"/>
  <c r="S345" i="7" s="1"/>
  <c r="S346" i="7" s="1"/>
  <c r="S347" i="7" s="1"/>
  <c r="S348" i="7" s="1"/>
  <c r="S349" i="7" s="1"/>
  <c r="S350" i="7" s="1"/>
  <c r="S351" i="7" s="1"/>
  <c r="S352" i="7" s="1"/>
  <c r="S353" i="7" s="1"/>
  <c r="S354" i="7" s="1"/>
  <c r="S355" i="7" s="1"/>
  <c r="S356" i="7" s="1"/>
  <c r="S357" i="7" s="1"/>
  <c r="S358" i="7" s="1"/>
  <c r="S359" i="7" s="1"/>
  <c r="S360" i="7" s="1"/>
  <c r="S361" i="7" s="1"/>
  <c r="S362" i="7" s="1"/>
  <c r="S363" i="7" s="1"/>
  <c r="S364" i="7" s="1"/>
  <c r="S365" i="7" s="1"/>
  <c r="S366" i="7" s="1"/>
  <c r="S367" i="7" s="1"/>
  <c r="S368" i="7" s="1"/>
  <c r="S369" i="7" s="1"/>
  <c r="S370" i="7" s="1"/>
  <c r="S371" i="7" s="1"/>
  <c r="S372" i="7" s="1"/>
  <c r="S373" i="7" s="1"/>
  <c r="S374" i="7" s="1"/>
  <c r="S375" i="7" s="1"/>
  <c r="S376" i="7" s="1"/>
  <c r="S377" i="7" s="1"/>
  <c r="S378" i="7" s="1"/>
  <c r="S379" i="7" s="1"/>
  <c r="S380" i="7" s="1"/>
  <c r="S381" i="7" s="1"/>
  <c r="S382" i="7" s="1"/>
  <c r="S383" i="7" s="1"/>
  <c r="S384" i="7" s="1"/>
  <c r="S385" i="7" s="1"/>
  <c r="S386" i="7" s="1"/>
  <c r="S387" i="7" s="1"/>
  <c r="S388" i="7" s="1"/>
  <c r="S389" i="7" s="1"/>
  <c r="S390" i="7" s="1"/>
  <c r="S391" i="7" s="1"/>
  <c r="S392" i="7" s="1"/>
  <c r="S393" i="7" s="1"/>
  <c r="S394" i="7" s="1"/>
  <c r="S395" i="7" s="1"/>
  <c r="S396" i="7" s="1"/>
  <c r="S397" i="7" s="1"/>
  <c r="S398" i="7" s="1"/>
  <c r="S399" i="7" s="1"/>
  <c r="S400" i="7" s="1"/>
  <c r="S401" i="7" s="1"/>
  <c r="S402" i="7" s="1"/>
  <c r="S403" i="7" s="1"/>
  <c r="S404" i="7" s="1"/>
  <c r="S405" i="7" s="1"/>
  <c r="S406" i="7" s="1"/>
  <c r="S407" i="7" s="1"/>
  <c r="S408" i="7" s="1"/>
  <c r="S409" i="7" s="1"/>
  <c r="S410" i="7" s="1"/>
  <c r="S411" i="7" s="1"/>
  <c r="S412" i="7" s="1"/>
  <c r="S413" i="7" s="1"/>
  <c r="S414" i="7" s="1"/>
  <c r="S415" i="7" s="1"/>
  <c r="S416" i="7" s="1"/>
  <c r="S417" i="7" s="1"/>
  <c r="S418" i="7" s="1"/>
  <c r="S419" i="7" s="1"/>
  <c r="S420" i="7" s="1"/>
  <c r="S421" i="7" s="1"/>
  <c r="S422" i="7" s="1"/>
  <c r="S423" i="7" s="1"/>
  <c r="S424" i="7" s="1"/>
  <c r="S425" i="7" s="1"/>
  <c r="S426" i="7" s="1"/>
  <c r="S427" i="7" s="1"/>
  <c r="S428" i="7" s="1"/>
  <c r="S429" i="7" s="1"/>
  <c r="S430" i="7" s="1"/>
  <c r="S431" i="7" s="1"/>
  <c r="S432" i="7" s="1"/>
  <c r="S433" i="7" s="1"/>
  <c r="S434" i="7" s="1"/>
  <c r="S435" i="7" s="1"/>
  <c r="S436" i="7" s="1"/>
  <c r="S437" i="7" s="1"/>
  <c r="S438" i="7" s="1"/>
  <c r="S439" i="7" s="1"/>
  <c r="S440" i="7" s="1"/>
  <c r="S441" i="7" s="1"/>
  <c r="S442" i="7" s="1"/>
  <c r="S443" i="7" s="1"/>
  <c r="S444" i="7" s="1"/>
  <c r="S445" i="7" s="1"/>
  <c r="S446" i="7" s="1"/>
  <c r="S447" i="7" s="1"/>
  <c r="S448" i="7" s="1"/>
  <c r="S449" i="7" s="1"/>
  <c r="S450" i="7" s="1"/>
  <c r="S451" i="7" s="1"/>
  <c r="S452" i="7" s="1"/>
  <c r="S453" i="7" s="1"/>
  <c r="S454" i="7" s="1"/>
  <c r="S455" i="7" s="1"/>
  <c r="S456" i="7" s="1"/>
  <c r="S457" i="7" s="1"/>
  <c r="S458" i="7" s="1"/>
  <c r="S459" i="7" s="1"/>
  <c r="S460" i="7" s="1"/>
  <c r="S461" i="7" s="1"/>
  <c r="S462" i="7" s="1"/>
  <c r="S463" i="7" s="1"/>
  <c r="S464" i="7" s="1"/>
  <c r="S465" i="7" s="1"/>
  <c r="S466" i="7" s="1"/>
  <c r="S467" i="7" s="1"/>
  <c r="S468" i="7" s="1"/>
  <c r="S469" i="7" s="1"/>
  <c r="S470" i="7" s="1"/>
  <c r="S471" i="7" s="1"/>
  <c r="S472" i="7" s="1"/>
  <c r="S473" i="7" s="1"/>
  <c r="S474" i="7" s="1"/>
  <c r="S475" i="7" s="1"/>
  <c r="S476" i="7" s="1"/>
  <c r="S477" i="7" s="1"/>
  <c r="S478" i="7" s="1"/>
  <c r="S479" i="7" s="1"/>
  <c r="S480" i="7" s="1"/>
  <c r="S481" i="7" s="1"/>
  <c r="S482" i="7" s="1"/>
  <c r="S483" i="7" s="1"/>
  <c r="S484" i="7" s="1"/>
  <c r="S485" i="7" s="1"/>
  <c r="S486" i="7" s="1"/>
  <c r="S487" i="7" s="1"/>
  <c r="S488" i="7" s="1"/>
  <c r="S489" i="7" s="1"/>
  <c r="S490" i="7" s="1"/>
  <c r="S491" i="7" s="1"/>
  <c r="S492" i="7" s="1"/>
  <c r="S493" i="7" s="1"/>
  <c r="S494" i="7" s="1"/>
  <c r="S495" i="7" s="1"/>
  <c r="S496" i="7" s="1"/>
  <c r="S497" i="7" s="1"/>
  <c r="S498" i="7" s="1"/>
  <c r="S499" i="7" s="1"/>
  <c r="S500" i="7" s="1"/>
  <c r="S501" i="7" s="1"/>
  <c r="S502" i="7" s="1"/>
  <c r="S503" i="7" s="1"/>
  <c r="S504" i="7" s="1"/>
  <c r="S505" i="7" s="1"/>
  <c r="S506" i="7" s="1"/>
  <c r="S507" i="7" s="1"/>
  <c r="S508" i="7" s="1"/>
  <c r="S509" i="7" s="1"/>
  <c r="R16" i="7"/>
  <c r="EF15" i="7"/>
  <c r="DW15" i="7"/>
  <c r="DT15" i="7"/>
  <c r="AB15" i="7" s="1"/>
  <c r="DR15" i="7"/>
  <c r="DQ15" i="7"/>
  <c r="M5" i="32" s="1"/>
  <c r="DP15" i="7"/>
  <c r="DO15" i="7"/>
  <c r="DN15" i="7"/>
  <c r="L5" i="32" s="1"/>
  <c r="DM15" i="7"/>
  <c r="DL15" i="7"/>
  <c r="DK15" i="7"/>
  <c r="K5" i="32" s="1"/>
  <c r="DJ15" i="7"/>
  <c r="DI15" i="7"/>
  <c r="DH15" i="7"/>
  <c r="DF15" i="7"/>
  <c r="DD15" i="7"/>
  <c r="DB15" i="7"/>
  <c r="CZ15" i="7"/>
  <c r="CX15" i="7"/>
  <c r="CV15" i="7"/>
  <c r="CT15" i="7"/>
  <c r="CR15" i="7"/>
  <c r="CP15" i="7"/>
  <c r="CN15" i="7"/>
  <c r="CM15" i="7"/>
  <c r="CM16" i="7" s="1"/>
  <c r="CL15" i="7"/>
  <c r="EM15" i="7" s="1"/>
  <c r="CK15" i="7"/>
  <c r="CJ15" i="7"/>
  <c r="CJ16" i="7" s="1"/>
  <c r="CI15" i="7"/>
  <c r="CI16" i="7" s="1"/>
  <c r="CH15" i="7"/>
  <c r="DZ15" i="7" s="1"/>
  <c r="CG15" i="7"/>
  <c r="CF15" i="7"/>
  <c r="CF16" i="7" s="1"/>
  <c r="CE15" i="7"/>
  <c r="CD15" i="7"/>
  <c r="CD16" i="7" s="1"/>
  <c r="CC15" i="7"/>
  <c r="CB15" i="7"/>
  <c r="CB16" i="7" s="1"/>
  <c r="CA15" i="7"/>
  <c r="CA16" i="7" s="1"/>
  <c r="BZ15" i="7"/>
  <c r="BZ16" i="7" s="1"/>
  <c r="BY15" i="7"/>
  <c r="BX15" i="7"/>
  <c r="BX16" i="7" s="1"/>
  <c r="BW15" i="7"/>
  <c r="BW16" i="7" s="1"/>
  <c r="BV15" i="7"/>
  <c r="BV16" i="7" s="1"/>
  <c r="BU15" i="7"/>
  <c r="BT15" i="7"/>
  <c r="BT16" i="7" s="1"/>
  <c r="BS15" i="7"/>
  <c r="EA15" i="7" s="1"/>
  <c r="BN15" i="7"/>
  <c r="AR15" i="7"/>
  <c r="AQ15" i="7"/>
  <c r="AP15" i="7"/>
  <c r="AL15" i="7"/>
  <c r="AK15" i="7"/>
  <c r="AJ15" i="7"/>
  <c r="L15" i="7"/>
  <c r="C5" i="32" s="1"/>
  <c r="DG14" i="7"/>
  <c r="CL14" i="7"/>
  <c r="L172" i="7" s="1"/>
  <c r="B10" i="7"/>
  <c r="AM15" i="7" s="1"/>
  <c r="BG15" i="7" s="1"/>
  <c r="H9" i="7"/>
  <c r="E9" i="7"/>
  <c r="AK7" i="7"/>
  <c r="AK8" i="7" s="1"/>
  <c r="E3" i="7"/>
  <c r="AD10" i="37" l="1"/>
  <c r="AD11" i="37"/>
  <c r="AD8" i="37"/>
  <c r="AD7" i="37"/>
  <c r="B5" i="18"/>
  <c r="AK10" i="7"/>
  <c r="AK11" i="7" s="1"/>
  <c r="AC172" i="7"/>
  <c r="AB172" i="7"/>
  <c r="AD172" i="7"/>
  <c r="BR172" i="7"/>
  <c r="BJ15" i="7"/>
  <c r="DB17" i="7"/>
  <c r="L17" i="7"/>
  <c r="AD17" i="7" s="1"/>
  <c r="AO17" i="7"/>
  <c r="CU16" i="7"/>
  <c r="BZ17" i="7"/>
  <c r="EN16" i="7"/>
  <c r="CD17" i="7"/>
  <c r="CY16" i="7"/>
  <c r="CA17" i="7"/>
  <c r="CV16" i="7"/>
  <c r="CI17" i="7"/>
  <c r="DD16" i="7"/>
  <c r="DS16" i="7"/>
  <c r="CM17" i="7"/>
  <c r="DH16" i="7"/>
  <c r="BU18" i="7"/>
  <c r="CP17" i="7"/>
  <c r="CK18" i="7"/>
  <c r="DF17" i="7"/>
  <c r="CC18" i="7"/>
  <c r="CX17" i="7"/>
  <c r="BV17" i="7"/>
  <c r="CQ16" i="7"/>
  <c r="BW17" i="7"/>
  <c r="CR16" i="7"/>
  <c r="EO16" i="7"/>
  <c r="BT17" i="7"/>
  <c r="CO16" i="7"/>
  <c r="BX17" i="7"/>
  <c r="CS16" i="7"/>
  <c r="CW16" i="7"/>
  <c r="CB17" i="7"/>
  <c r="AN16" i="7"/>
  <c r="DA16" i="7"/>
  <c r="L16" i="7"/>
  <c r="CJ17" i="7"/>
  <c r="DE16" i="7"/>
  <c r="BY18" i="7"/>
  <c r="CT17" i="7"/>
  <c r="AO15" i="7"/>
  <c r="BI15" i="7" s="1"/>
  <c r="EN15" i="7"/>
  <c r="AD19" i="7"/>
  <c r="L31" i="7"/>
  <c r="AC31" i="7" s="1"/>
  <c r="L35" i="7"/>
  <c r="L39" i="7"/>
  <c r="AC39" i="7" s="1"/>
  <c r="L43" i="7"/>
  <c r="L47" i="7"/>
  <c r="AC47" i="7" s="1"/>
  <c r="L51" i="7"/>
  <c r="L55" i="7"/>
  <c r="AC55" i="7" s="1"/>
  <c r="L59" i="7"/>
  <c r="L63" i="7"/>
  <c r="AC63" i="7" s="1"/>
  <c r="L67" i="7"/>
  <c r="L71" i="7"/>
  <c r="AC71" i="7" s="1"/>
  <c r="L75" i="7"/>
  <c r="L79" i="7"/>
  <c r="AC79" i="7" s="1"/>
  <c r="L83" i="7"/>
  <c r="L87" i="7"/>
  <c r="AC87" i="7" s="1"/>
  <c r="L91" i="7"/>
  <c r="L95" i="7"/>
  <c r="AC95" i="7" s="1"/>
  <c r="L99" i="7"/>
  <c r="L103" i="7"/>
  <c r="AC103" i="7" s="1"/>
  <c r="L107" i="7"/>
  <c r="L111" i="7"/>
  <c r="AC111" i="7" s="1"/>
  <c r="L115" i="7"/>
  <c r="L119" i="7"/>
  <c r="AC119" i="7" s="1"/>
  <c r="L123" i="7"/>
  <c r="L127" i="7"/>
  <c r="AC127" i="7" s="1"/>
  <c r="L131" i="7"/>
  <c r="L135" i="7"/>
  <c r="AC135" i="7" s="1"/>
  <c r="L139" i="7"/>
  <c r="L143" i="7"/>
  <c r="AC143" i="7" s="1"/>
  <c r="L147" i="7"/>
  <c r="L151" i="7"/>
  <c r="AC151" i="7" s="1"/>
  <c r="L155" i="7"/>
  <c r="L159" i="7"/>
  <c r="L163" i="7"/>
  <c r="L167" i="7"/>
  <c r="EB15" i="7"/>
  <c r="AO16" i="7"/>
  <c r="AD27" i="7"/>
  <c r="BR27" i="7"/>
  <c r="AD15" i="7"/>
  <c r="CQ15" i="7"/>
  <c r="CU15" i="7"/>
  <c r="CY15" i="7"/>
  <c r="DC15" i="7"/>
  <c r="DG15" i="7"/>
  <c r="DS15" i="7"/>
  <c r="DX15" i="7"/>
  <c r="EC15" i="7"/>
  <c r="EO15" i="7"/>
  <c r="CH16" i="7"/>
  <c r="CL16" i="7"/>
  <c r="CP16" i="7"/>
  <c r="CT16" i="7"/>
  <c r="CX16" i="7"/>
  <c r="DB16" i="7"/>
  <c r="DF16" i="7"/>
  <c r="AC17" i="7"/>
  <c r="L20" i="7"/>
  <c r="L24" i="7"/>
  <c r="L28" i="7"/>
  <c r="L32" i="7"/>
  <c r="L36" i="7"/>
  <c r="L40" i="7"/>
  <c r="L44" i="7"/>
  <c r="L48" i="7"/>
  <c r="L52" i="7"/>
  <c r="L56" i="7"/>
  <c r="L60" i="7"/>
  <c r="L64" i="7"/>
  <c r="L68" i="7"/>
  <c r="L72" i="7"/>
  <c r="L76" i="7"/>
  <c r="L80" i="7"/>
  <c r="L84" i="7"/>
  <c r="L88" i="7"/>
  <c r="L92" i="7"/>
  <c r="L96" i="7"/>
  <c r="L100" i="7"/>
  <c r="L104" i="7"/>
  <c r="L108" i="7"/>
  <c r="L112" i="7"/>
  <c r="L116" i="7"/>
  <c r="L120" i="7"/>
  <c r="L124" i="7"/>
  <c r="L128" i="7"/>
  <c r="L132" i="7"/>
  <c r="L136" i="7"/>
  <c r="L140" i="7"/>
  <c r="L144" i="7"/>
  <c r="L148" i="7"/>
  <c r="L152" i="7"/>
  <c r="L156" i="7"/>
  <c r="L160" i="7"/>
  <c r="L164" i="7"/>
  <c r="L168" i="7"/>
  <c r="BR19" i="7"/>
  <c r="AD23" i="7"/>
  <c r="BR23" i="7"/>
  <c r="BP15" i="7"/>
  <c r="BS16" i="7"/>
  <c r="CL17" i="7"/>
  <c r="AB19" i="7"/>
  <c r="L21" i="7"/>
  <c r="AD21" i="7" s="1"/>
  <c r="AB23" i="7"/>
  <c r="L25" i="7"/>
  <c r="AB27" i="7"/>
  <c r="L29" i="7"/>
  <c r="AC29" i="7" s="1"/>
  <c r="L33" i="7"/>
  <c r="AC33" i="7" s="1"/>
  <c r="L37" i="7"/>
  <c r="L41" i="7"/>
  <c r="AD41" i="7" s="1"/>
  <c r="L45" i="7"/>
  <c r="AC45" i="7" s="1"/>
  <c r="L49" i="7"/>
  <c r="AC49" i="7" s="1"/>
  <c r="L53" i="7"/>
  <c r="L57" i="7"/>
  <c r="AD57" i="7" s="1"/>
  <c r="L61" i="7"/>
  <c r="AC61" i="7" s="1"/>
  <c r="L65" i="7"/>
  <c r="AC65" i="7" s="1"/>
  <c r="L69" i="7"/>
  <c r="L73" i="7"/>
  <c r="AD73" i="7" s="1"/>
  <c r="L77" i="7"/>
  <c r="AC77" i="7" s="1"/>
  <c r="L81" i="7"/>
  <c r="AC81" i="7" s="1"/>
  <c r="L85" i="7"/>
  <c r="L89" i="7"/>
  <c r="AD89" i="7" s="1"/>
  <c r="L93" i="7"/>
  <c r="AC93" i="7" s="1"/>
  <c r="L97" i="7"/>
  <c r="AC97" i="7" s="1"/>
  <c r="L101" i="7"/>
  <c r="L105" i="7"/>
  <c r="AD105" i="7" s="1"/>
  <c r="L109" i="7"/>
  <c r="AC109" i="7" s="1"/>
  <c r="L113" i="7"/>
  <c r="AC113" i="7" s="1"/>
  <c r="L117" i="7"/>
  <c r="L121" i="7"/>
  <c r="AD121" i="7" s="1"/>
  <c r="L125" i="7"/>
  <c r="AC125" i="7" s="1"/>
  <c r="L129" i="7"/>
  <c r="AC129" i="7" s="1"/>
  <c r="L133" i="7"/>
  <c r="L137" i="7"/>
  <c r="AD137" i="7" s="1"/>
  <c r="L141" i="7"/>
  <c r="AC141" i="7" s="1"/>
  <c r="L145" i="7"/>
  <c r="AC145" i="7" s="1"/>
  <c r="L149" i="7"/>
  <c r="L153" i="7"/>
  <c r="AD153" i="7" s="1"/>
  <c r="L157" i="7"/>
  <c r="AC157" i="7" s="1"/>
  <c r="L161" i="7"/>
  <c r="AD161" i="7" s="1"/>
  <c r="L165" i="7"/>
  <c r="L169" i="7"/>
  <c r="AC15" i="7"/>
  <c r="BR15" i="7"/>
  <c r="CE16" i="7"/>
  <c r="L1" i="27"/>
  <c r="B3" i="18"/>
  <c r="C3" i="34"/>
  <c r="L509" i="7"/>
  <c r="L505" i="7"/>
  <c r="L501" i="7"/>
  <c r="L508" i="7"/>
  <c r="L504" i="7"/>
  <c r="L500" i="7"/>
  <c r="L499" i="7"/>
  <c r="L495" i="7"/>
  <c r="L491" i="7"/>
  <c r="L487" i="7"/>
  <c r="L483" i="7"/>
  <c r="L503" i="7"/>
  <c r="L498" i="7"/>
  <c r="L494" i="7"/>
  <c r="L490" i="7"/>
  <c r="L486" i="7"/>
  <c r="L482" i="7"/>
  <c r="L477" i="7"/>
  <c r="L473" i="7"/>
  <c r="L469" i="7"/>
  <c r="L465" i="7"/>
  <c r="L461" i="7"/>
  <c r="L457" i="7"/>
  <c r="L453" i="7"/>
  <c r="L449" i="7"/>
  <c r="L445" i="7"/>
  <c r="L441" i="7"/>
  <c r="L437" i="7"/>
  <c r="L433" i="7"/>
  <c r="L429" i="7"/>
  <c r="L425" i="7"/>
  <c r="L421" i="7"/>
  <c r="L417" i="7"/>
  <c r="L497" i="7"/>
  <c r="L496" i="7"/>
  <c r="L507" i="7"/>
  <c r="L506" i="7"/>
  <c r="L502" i="7"/>
  <c r="L493" i="7"/>
  <c r="L489" i="7"/>
  <c r="L485" i="7"/>
  <c r="L481" i="7"/>
  <c r="L479" i="7"/>
  <c r="L478" i="7"/>
  <c r="L492" i="7"/>
  <c r="L488" i="7"/>
  <c r="L484" i="7"/>
  <c r="L480" i="7"/>
  <c r="L474" i="7"/>
  <c r="L470" i="7"/>
  <c r="L466" i="7"/>
  <c r="L462" i="7"/>
  <c r="L458" i="7"/>
  <c r="L454" i="7"/>
  <c r="L450" i="7"/>
  <c r="L476" i="7"/>
  <c r="L472" i="7"/>
  <c r="L468" i="7"/>
  <c r="L464" i="7"/>
  <c r="L460" i="7"/>
  <c r="L456" i="7"/>
  <c r="L452" i="7"/>
  <c r="L475" i="7"/>
  <c r="L471" i="7"/>
  <c r="L467" i="7"/>
  <c r="L463" i="7"/>
  <c r="L459" i="7"/>
  <c r="L455" i="7"/>
  <c r="L451" i="7"/>
  <c r="L448" i="7"/>
  <c r="L444" i="7"/>
  <c r="L440" i="7"/>
  <c r="L436" i="7"/>
  <c r="L432" i="7"/>
  <c r="L428" i="7"/>
  <c r="L424" i="7"/>
  <c r="L447" i="7"/>
  <c r="L443" i="7"/>
  <c r="L439" i="7"/>
  <c r="L435" i="7"/>
  <c r="L431" i="7"/>
  <c r="L427" i="7"/>
  <c r="L423" i="7"/>
  <c r="L446" i="7"/>
  <c r="L442" i="7"/>
  <c r="L438" i="7"/>
  <c r="L434" i="7"/>
  <c r="L430" i="7"/>
  <c r="L426" i="7"/>
  <c r="L422" i="7"/>
  <c r="L413" i="7"/>
  <c r="L409" i="7"/>
  <c r="L405" i="7"/>
  <c r="L401" i="7"/>
  <c r="L397" i="7"/>
  <c r="L393" i="7"/>
  <c r="L389" i="7"/>
  <c r="L385" i="7"/>
  <c r="L381" i="7"/>
  <c r="L419" i="7"/>
  <c r="L416" i="7"/>
  <c r="L412" i="7"/>
  <c r="L408" i="7"/>
  <c r="L404" i="7"/>
  <c r="L400" i="7"/>
  <c r="L396" i="7"/>
  <c r="L392" i="7"/>
  <c r="L388" i="7"/>
  <c r="L384" i="7"/>
  <c r="L380" i="7"/>
  <c r="L418" i="7"/>
  <c r="L415" i="7"/>
  <c r="L411" i="7"/>
  <c r="L407" i="7"/>
  <c r="L403" i="7"/>
  <c r="L399" i="7"/>
  <c r="L395" i="7"/>
  <c r="L391" i="7"/>
  <c r="L387" i="7"/>
  <c r="L383" i="7"/>
  <c r="L379" i="7"/>
  <c r="L420" i="7"/>
  <c r="L414" i="7"/>
  <c r="L410" i="7"/>
  <c r="L406" i="7"/>
  <c r="L402" i="7"/>
  <c r="L398" i="7"/>
  <c r="L394" i="7"/>
  <c r="L390" i="7"/>
  <c r="L386" i="7"/>
  <c r="L382" i="7"/>
  <c r="L375" i="7"/>
  <c r="L371" i="7"/>
  <c r="L367" i="7"/>
  <c r="L363" i="7"/>
  <c r="L359" i="7"/>
  <c r="L355" i="7"/>
  <c r="L351" i="7"/>
  <c r="L347" i="7"/>
  <c r="L343" i="7"/>
  <c r="L339" i="7"/>
  <c r="L374" i="7"/>
  <c r="L370" i="7"/>
  <c r="L366" i="7"/>
  <c r="L362" i="7"/>
  <c r="L358" i="7"/>
  <c r="L354" i="7"/>
  <c r="L350" i="7"/>
  <c r="L346" i="7"/>
  <c r="L342" i="7"/>
  <c r="L338" i="7"/>
  <c r="L378" i="7"/>
  <c r="L377" i="7"/>
  <c r="L373" i="7"/>
  <c r="L369" i="7"/>
  <c r="L365" i="7"/>
  <c r="L361" i="7"/>
  <c r="L357" i="7"/>
  <c r="L353" i="7"/>
  <c r="L349" i="7"/>
  <c r="L345" i="7"/>
  <c r="L341" i="7"/>
  <c r="L337" i="7"/>
  <c r="L376" i="7"/>
  <c r="L372" i="7"/>
  <c r="L368" i="7"/>
  <c r="L364" i="7"/>
  <c r="L360" i="7"/>
  <c r="L356" i="7"/>
  <c r="L352" i="7"/>
  <c r="L348" i="7"/>
  <c r="L344" i="7"/>
  <c r="L340" i="7"/>
  <c r="L336" i="7"/>
  <c r="L333" i="7"/>
  <c r="L329" i="7"/>
  <c r="L325" i="7"/>
  <c r="L321" i="7"/>
  <c r="L317" i="7"/>
  <c r="L313" i="7"/>
  <c r="L309" i="7"/>
  <c r="L305" i="7"/>
  <c r="L301" i="7"/>
  <c r="L297" i="7"/>
  <c r="L293" i="7"/>
  <c r="L289" i="7"/>
  <c r="L285" i="7"/>
  <c r="L281" i="7"/>
  <c r="L277" i="7"/>
  <c r="L273" i="7"/>
  <c r="L269" i="7"/>
  <c r="L265" i="7"/>
  <c r="L261" i="7"/>
  <c r="L257" i="7"/>
  <c r="L253" i="7"/>
  <c r="L332" i="7"/>
  <c r="L328" i="7"/>
  <c r="L324" i="7"/>
  <c r="L320" i="7"/>
  <c r="L316" i="7"/>
  <c r="L312" i="7"/>
  <c r="L308" i="7"/>
  <c r="L304" i="7"/>
  <c r="L300" i="7"/>
  <c r="L296" i="7"/>
  <c r="L292" i="7"/>
  <c r="L288" i="7"/>
  <c r="L284" i="7"/>
  <c r="L280" i="7"/>
  <c r="L276" i="7"/>
  <c r="L272" i="7"/>
  <c r="L268" i="7"/>
  <c r="L264" i="7"/>
  <c r="L260" i="7"/>
  <c r="L256" i="7"/>
  <c r="L252" i="7"/>
  <c r="L335" i="7"/>
  <c r="L331" i="7"/>
  <c r="L327" i="7"/>
  <c r="L323" i="7"/>
  <c r="L319" i="7"/>
  <c r="L315" i="7"/>
  <c r="L311" i="7"/>
  <c r="L307" i="7"/>
  <c r="L303" i="7"/>
  <c r="L299" i="7"/>
  <c r="L295" i="7"/>
  <c r="L291" i="7"/>
  <c r="L287" i="7"/>
  <c r="L283" i="7"/>
  <c r="L279" i="7"/>
  <c r="L275" i="7"/>
  <c r="L271" i="7"/>
  <c r="L267" i="7"/>
  <c r="L263" i="7"/>
  <c r="L259" i="7"/>
  <c r="L255" i="7"/>
  <c r="L251" i="7"/>
  <c r="L334" i="7"/>
  <c r="L330" i="7"/>
  <c r="L326" i="7"/>
  <c r="L322" i="7"/>
  <c r="L318" i="7"/>
  <c r="L314" i="7"/>
  <c r="L310" i="7"/>
  <c r="L306" i="7"/>
  <c r="L302" i="7"/>
  <c r="L298" i="7"/>
  <c r="L294" i="7"/>
  <c r="L290" i="7"/>
  <c r="L286" i="7"/>
  <c r="L282" i="7"/>
  <c r="L278" i="7"/>
  <c r="L274" i="7"/>
  <c r="L247" i="7"/>
  <c r="L243" i="7"/>
  <c r="L239" i="7"/>
  <c r="L235" i="7"/>
  <c r="L231" i="7"/>
  <c r="L227" i="7"/>
  <c r="L223" i="7"/>
  <c r="L219" i="7"/>
  <c r="L215" i="7"/>
  <c r="L211" i="7"/>
  <c r="L207" i="7"/>
  <c r="L203" i="7"/>
  <c r="L199" i="7"/>
  <c r="L195" i="7"/>
  <c r="L191" i="7"/>
  <c r="L187" i="7"/>
  <c r="L183" i="7"/>
  <c r="L179" i="7"/>
  <c r="L175" i="7"/>
  <c r="L171" i="7"/>
  <c r="L270" i="7"/>
  <c r="L266" i="7"/>
  <c r="L262" i="7"/>
  <c r="L258" i="7"/>
  <c r="L254" i="7"/>
  <c r="L250" i="7"/>
  <c r="L246" i="7"/>
  <c r="L242" i="7"/>
  <c r="L238" i="7"/>
  <c r="L234" i="7"/>
  <c r="AD234" i="7" s="1"/>
  <c r="L230" i="7"/>
  <c r="L226" i="7"/>
  <c r="L222" i="7"/>
  <c r="L218" i="7"/>
  <c r="AD218" i="7" s="1"/>
  <c r="L214" i="7"/>
  <c r="L210" i="7"/>
  <c r="L206" i="7"/>
  <c r="L202" i="7"/>
  <c r="AD202" i="7" s="1"/>
  <c r="L198" i="7"/>
  <c r="L194" i="7"/>
  <c r="L190" i="7"/>
  <c r="L186" i="7"/>
  <c r="AD186" i="7" s="1"/>
  <c r="L182" i="7"/>
  <c r="L178" i="7"/>
  <c r="L174" i="7"/>
  <c r="L170" i="7"/>
  <c r="AD170" i="7" s="1"/>
  <c r="L249" i="7"/>
  <c r="L245" i="7"/>
  <c r="L241" i="7"/>
  <c r="L237" i="7"/>
  <c r="L233" i="7"/>
  <c r="L229" i="7"/>
  <c r="L225" i="7"/>
  <c r="L221" i="7"/>
  <c r="L217" i="7"/>
  <c r="L213" i="7"/>
  <c r="L209" i="7"/>
  <c r="L205" i="7"/>
  <c r="L201" i="7"/>
  <c r="L197" i="7"/>
  <c r="L193" i="7"/>
  <c r="L189" i="7"/>
  <c r="L185" i="7"/>
  <c r="L181" i="7"/>
  <c r="L177" i="7"/>
  <c r="L173" i="7"/>
  <c r="L248" i="7"/>
  <c r="L244" i="7"/>
  <c r="L240" i="7"/>
  <c r="L236" i="7"/>
  <c r="L232" i="7"/>
  <c r="L228" i="7"/>
  <c r="L224" i="7"/>
  <c r="L220" i="7"/>
  <c r="L216" i="7"/>
  <c r="L212" i="7"/>
  <c r="L208" i="7"/>
  <c r="L204" i="7"/>
  <c r="L200" i="7"/>
  <c r="L196" i="7"/>
  <c r="L192" i="7"/>
  <c r="L188" i="7"/>
  <c r="L184" i="7"/>
  <c r="L180" i="7"/>
  <c r="L176" i="7"/>
  <c r="AN15" i="7"/>
  <c r="BH15" i="7" s="1"/>
  <c r="CO15" i="7"/>
  <c r="CS15" i="7"/>
  <c r="CW15" i="7"/>
  <c r="DA15" i="7"/>
  <c r="DE15" i="7"/>
  <c r="DV15" i="7"/>
  <c r="L18" i="7"/>
  <c r="CL18" i="7"/>
  <c r="L22" i="7"/>
  <c r="L26" i="7"/>
  <c r="L30" i="7"/>
  <c r="L34" i="7"/>
  <c r="AD34" i="7" s="1"/>
  <c r="L38" i="7"/>
  <c r="L42" i="7"/>
  <c r="L46" i="7"/>
  <c r="L50" i="7"/>
  <c r="L54" i="7"/>
  <c r="L58" i="7"/>
  <c r="AD58" i="7" s="1"/>
  <c r="L62" i="7"/>
  <c r="L66" i="7"/>
  <c r="L70" i="7"/>
  <c r="L74" i="7"/>
  <c r="L78" i="7"/>
  <c r="L82" i="7"/>
  <c r="L86" i="7"/>
  <c r="L90" i="7"/>
  <c r="L94" i="7"/>
  <c r="L98" i="7"/>
  <c r="L102" i="7"/>
  <c r="L106" i="7"/>
  <c r="L110" i="7"/>
  <c r="L114" i="7"/>
  <c r="L118" i="7"/>
  <c r="L122" i="7"/>
  <c r="L126" i="7"/>
  <c r="L130" i="7"/>
  <c r="L134" i="7"/>
  <c r="L138" i="7"/>
  <c r="L142" i="7"/>
  <c r="L146" i="7"/>
  <c r="L150" i="7"/>
  <c r="L154" i="7"/>
  <c r="L158" i="7"/>
  <c r="L162" i="7"/>
  <c r="AD162" i="7" s="1"/>
  <c r="L166" i="7"/>
  <c r="AB170" i="7"/>
  <c r="AD252" i="7"/>
  <c r="AC252" i="7"/>
  <c r="AD256" i="7"/>
  <c r="AC256" i="7"/>
  <c r="AD260" i="7"/>
  <c r="AC260" i="7"/>
  <c r="AD264" i="7"/>
  <c r="AC264" i="7"/>
  <c r="AD268" i="7"/>
  <c r="AC268" i="7"/>
  <c r="AD285" i="7"/>
  <c r="AD289" i="7"/>
  <c r="AD293" i="7"/>
  <c r="AD297" i="7"/>
  <c r="AD301" i="7"/>
  <c r="AD305" i="7"/>
  <c r="AD309" i="7"/>
  <c r="AD313" i="7"/>
  <c r="AD317" i="7"/>
  <c r="AC174" i="7"/>
  <c r="AC178" i="7"/>
  <c r="AC182" i="7"/>
  <c r="AC186" i="7"/>
  <c r="AC190" i="7"/>
  <c r="AC194" i="7"/>
  <c r="AC198" i="7"/>
  <c r="AC202" i="7"/>
  <c r="AC206" i="7"/>
  <c r="AC210" i="7"/>
  <c r="AC214" i="7"/>
  <c r="AC218" i="7"/>
  <c r="AC222" i="7"/>
  <c r="AC226" i="7"/>
  <c r="AC230" i="7"/>
  <c r="AC234" i="7"/>
  <c r="AD272" i="7"/>
  <c r="AD276" i="7"/>
  <c r="AD280" i="7"/>
  <c r="AD284" i="7"/>
  <c r="AD288" i="7"/>
  <c r="AD292" i="7"/>
  <c r="AD296" i="7"/>
  <c r="AD300" i="7"/>
  <c r="AD304" i="7"/>
  <c r="AD308" i="7"/>
  <c r="AD312" i="7"/>
  <c r="AD316" i="7"/>
  <c r="AD320" i="7"/>
  <c r="AD324" i="7"/>
  <c r="AD328" i="7"/>
  <c r="AD332" i="7"/>
  <c r="AC272" i="7"/>
  <c r="AC276" i="7"/>
  <c r="AC280" i="7"/>
  <c r="AC284" i="7"/>
  <c r="AC288" i="7"/>
  <c r="AC292" i="7"/>
  <c r="AC296" i="7"/>
  <c r="AC300" i="7"/>
  <c r="AC304" i="7"/>
  <c r="AC308" i="7"/>
  <c r="AC312" i="7"/>
  <c r="AC316" i="7"/>
  <c r="AC320" i="7"/>
  <c r="AC324" i="7"/>
  <c r="AC328" i="7"/>
  <c r="AC332" i="7"/>
  <c r="AC285" i="7"/>
  <c r="AC289" i="7"/>
  <c r="AC293" i="7"/>
  <c r="AC297" i="7"/>
  <c r="AC301" i="7"/>
  <c r="AC305" i="7"/>
  <c r="AC309" i="7"/>
  <c r="AC313" i="7"/>
  <c r="AC317" i="7"/>
  <c r="AD380" i="7"/>
  <c r="AD384" i="7"/>
  <c r="AD388" i="7"/>
  <c r="AD392" i="7"/>
  <c r="AD396" i="7"/>
  <c r="AD400" i="7"/>
  <c r="AD404" i="7"/>
  <c r="AD408" i="7"/>
  <c r="AC418" i="7"/>
  <c r="AC380" i="7"/>
  <c r="AC384" i="7"/>
  <c r="AC388" i="7"/>
  <c r="AC392" i="7"/>
  <c r="AC396" i="7"/>
  <c r="AC400" i="7"/>
  <c r="AD417" i="7"/>
  <c r="AD421" i="7"/>
  <c r="AD425" i="7"/>
  <c r="AD429" i="7"/>
  <c r="AD433" i="7"/>
  <c r="AD437" i="7"/>
  <c r="AD441" i="7"/>
  <c r="AD445" i="7"/>
  <c r="AC422" i="7"/>
  <c r="AC426" i="7"/>
  <c r="AC430" i="7"/>
  <c r="AC434" i="7"/>
  <c r="AC438" i="7"/>
  <c r="AC442" i="7"/>
  <c r="AC446" i="7"/>
  <c r="AD452" i="7"/>
  <c r="AD456" i="7"/>
  <c r="AD449" i="7"/>
  <c r="AC452" i="7"/>
  <c r="AD453" i="7"/>
  <c r="AD457" i="7"/>
  <c r="AD461" i="7"/>
  <c r="AD465" i="7"/>
  <c r="AD469" i="7"/>
  <c r="AD473" i="7"/>
  <c r="AC450" i="7"/>
  <c r="AC454" i="7"/>
  <c r="AC458" i="7"/>
  <c r="AC462" i="7"/>
  <c r="AC466" i="7"/>
  <c r="AC470" i="7"/>
  <c r="AC474" i="7"/>
  <c r="AC478" i="7"/>
  <c r="AD482" i="7"/>
  <c r="AD486" i="7"/>
  <c r="AD490" i="7"/>
  <c r="AD494" i="7"/>
  <c r="AD483" i="7"/>
  <c r="AC483" i="7"/>
  <c r="AD487" i="7"/>
  <c r="AC487" i="7"/>
  <c r="AD491" i="7"/>
  <c r="AC491" i="7"/>
  <c r="AD477" i="7"/>
  <c r="AD500" i="7"/>
  <c r="AD504" i="7"/>
  <c r="AD498" i="7"/>
  <c r="AD495" i="7"/>
  <c r="AC495" i="7"/>
  <c r="AC484" i="7"/>
  <c r="AC488" i="7"/>
  <c r="AC492" i="7"/>
  <c r="AC496" i="7"/>
  <c r="AD501" i="7"/>
  <c r="AC501" i="7"/>
  <c r="AD505" i="7"/>
  <c r="AC505" i="7"/>
  <c r="E27" i="8"/>
  <c r="R26" i="8"/>
  <c r="AD508" i="7"/>
  <c r="AD509" i="7"/>
  <c r="AC509" i="7"/>
  <c r="AC502" i="7"/>
  <c r="AC506" i="7"/>
  <c r="AD9" i="37"/>
  <c r="D33" i="18"/>
  <c r="D34" i="18" s="1"/>
  <c r="H2" i="9"/>
  <c r="H10" i="9"/>
  <c r="H11" i="9"/>
  <c r="E12" i="9"/>
  <c r="K4" i="25"/>
  <c r="C13" i="1"/>
  <c r="C11" i="1"/>
  <c r="C9" i="1"/>
  <c r="C7" i="1"/>
  <c r="C5" i="1"/>
  <c r="C12" i="1"/>
  <c r="C8" i="1"/>
  <c r="C6" i="1"/>
  <c r="C14" i="1"/>
  <c r="C15" i="1" s="1"/>
  <c r="C16" i="1" s="1"/>
  <c r="C17" i="1" s="1"/>
  <c r="C18" i="1" s="1"/>
  <c r="C19" i="1" s="1"/>
  <c r="C20" i="1" s="1"/>
  <c r="C21" i="1" s="1"/>
  <c r="C22" i="1" s="1"/>
  <c r="C23" i="1" s="1"/>
  <c r="C24" i="1" s="1"/>
  <c r="C25" i="1" s="1"/>
  <c r="C26" i="1" s="1"/>
  <c r="C27" i="1" s="1"/>
  <c r="C28" i="1" s="1"/>
  <c r="C29" i="1" s="1"/>
  <c r="C10" i="1"/>
  <c r="D35" i="18"/>
  <c r="D36" i="18" s="1"/>
  <c r="D37" i="18" s="1"/>
  <c r="D38" i="18" s="1"/>
  <c r="D39" i="18" s="1"/>
  <c r="D40" i="18" s="1"/>
  <c r="D41" i="18" s="1"/>
  <c r="D42" i="18" s="1"/>
  <c r="D43" i="18" s="1"/>
  <c r="D44" i="18" s="1"/>
  <c r="D45" i="18" s="1"/>
  <c r="D46" i="18" s="1"/>
  <c r="D47" i="18" s="1"/>
  <c r="D48" i="18" s="1"/>
  <c r="D49" i="18" s="1"/>
  <c r="D50" i="18" s="1"/>
  <c r="D51" i="18" s="1"/>
  <c r="D52" i="18" s="1"/>
  <c r="D53" i="18" s="1"/>
  <c r="D54" i="18" s="1"/>
  <c r="D55" i="18" s="1"/>
  <c r="D56" i="18" s="1"/>
  <c r="D57" i="18" s="1"/>
  <c r="D58" i="18" s="1"/>
  <c r="D59" i="18" s="1"/>
  <c r="D60" i="18" s="1"/>
  <c r="D61" i="18" s="1"/>
  <c r="D62" i="18" s="1"/>
  <c r="D63" i="18" s="1"/>
  <c r="D64" i="18" s="1"/>
  <c r="D65" i="18" s="1"/>
  <c r="D66" i="18" s="1"/>
  <c r="D67" i="18" s="1"/>
  <c r="D68" i="18" s="1"/>
  <c r="D69" i="18" s="1"/>
  <c r="D70" i="18" s="1"/>
  <c r="D71" i="18" s="1"/>
  <c r="D72" i="18" s="1"/>
  <c r="D73" i="18" s="1"/>
  <c r="D74" i="18" s="1"/>
  <c r="D75" i="18" s="1"/>
  <c r="D76" i="18" s="1"/>
  <c r="D77" i="18" s="1"/>
  <c r="D78" i="18" s="1"/>
  <c r="D79" i="18" s="1"/>
  <c r="D80" i="18" s="1"/>
  <c r="D81" i="18" s="1"/>
  <c r="D82" i="18" s="1"/>
  <c r="D83" i="18" s="1"/>
  <c r="D84" i="18" s="1"/>
  <c r="D85" i="18" s="1"/>
  <c r="D86" i="18" s="1"/>
  <c r="D87" i="18" s="1"/>
  <c r="D88" i="18" s="1"/>
  <c r="D89" i="18" s="1"/>
  <c r="D90" i="18" s="1"/>
  <c r="D91" i="18" s="1"/>
  <c r="D92" i="18" s="1"/>
  <c r="D93" i="18" s="1"/>
  <c r="D94" i="18" s="1"/>
  <c r="D95" i="18" s="1"/>
  <c r="D96" i="18" s="1"/>
  <c r="D97" i="18" s="1"/>
  <c r="D98" i="18" s="1"/>
  <c r="D99" i="18" s="1"/>
  <c r="D100" i="18" s="1"/>
  <c r="D101" i="18" s="1"/>
  <c r="D102" i="18" s="1"/>
  <c r="D103" i="18" s="1"/>
  <c r="D104" i="18" s="1"/>
  <c r="D105" i="18" s="1"/>
  <c r="D106" i="18" s="1"/>
  <c r="D107" i="18" s="1"/>
  <c r="D108" i="18" s="1"/>
  <c r="D109" i="18" s="1"/>
  <c r="D110" i="18" s="1"/>
  <c r="D111" i="18" s="1"/>
  <c r="D112" i="18" s="1"/>
  <c r="D113" i="18" s="1"/>
  <c r="D114" i="18" s="1"/>
  <c r="D115" i="18" s="1"/>
  <c r="D116" i="18" s="1"/>
  <c r="D117" i="18" s="1"/>
  <c r="D118" i="18" s="1"/>
  <c r="D119" i="18" s="1"/>
  <c r="D120" i="18" s="1"/>
  <c r="D121" i="18" s="1"/>
  <c r="D122" i="18" s="1"/>
  <c r="D123" i="18" s="1"/>
  <c r="D124" i="18" s="1"/>
  <c r="D125" i="18" s="1"/>
  <c r="D126" i="18" s="1"/>
  <c r="D127" i="18" s="1"/>
  <c r="D128" i="18" s="1"/>
  <c r="J13" i="1"/>
  <c r="J11" i="1"/>
  <c r="J9" i="1"/>
  <c r="J6" i="1"/>
  <c r="J5" i="1"/>
  <c r="J14" i="1"/>
  <c r="J15" i="1" s="1"/>
  <c r="J16" i="1" s="1"/>
  <c r="J17" i="1" s="1"/>
  <c r="J18" i="1" s="1"/>
  <c r="J19" i="1" s="1"/>
  <c r="J20" i="1" s="1"/>
  <c r="J21" i="1" s="1"/>
  <c r="J22" i="1" s="1"/>
  <c r="J23" i="1" s="1"/>
  <c r="J24" i="1" s="1"/>
  <c r="J10" i="1"/>
  <c r="J12" i="1"/>
  <c r="J8" i="1"/>
  <c r="J7" i="1"/>
  <c r="B6" i="27"/>
  <c r="M5" i="27"/>
  <c r="U22" i="8"/>
  <c r="H23" i="8"/>
  <c r="B30" i="18"/>
  <c r="B31" i="18" s="1"/>
  <c r="B32" i="18" s="1"/>
  <c r="B33" i="18" s="1"/>
  <c r="B34" i="18" s="1"/>
  <c r="D2" i="9"/>
  <c r="H4" i="9"/>
  <c r="G21" i="28"/>
  <c r="AF33" i="14"/>
  <c r="AB33" i="14"/>
  <c r="X33" i="14"/>
  <c r="T33" i="14"/>
  <c r="P33" i="14"/>
  <c r="L33" i="14"/>
  <c r="H33" i="14"/>
  <c r="D33" i="14"/>
  <c r="AC32" i="14"/>
  <c r="Y32" i="14"/>
  <c r="U32" i="14"/>
  <c r="Q32" i="14"/>
  <c r="M32" i="14"/>
  <c r="I32" i="14"/>
  <c r="E32" i="14"/>
  <c r="AC31" i="14"/>
  <c r="Y31" i="14"/>
  <c r="U31" i="14"/>
  <c r="Q31" i="14"/>
  <c r="M31" i="14"/>
  <c r="I31" i="14"/>
  <c r="E31" i="14"/>
  <c r="AB30" i="14"/>
  <c r="X30" i="14"/>
  <c r="T30" i="14"/>
  <c r="P30" i="14"/>
  <c r="L30" i="14"/>
  <c r="H30" i="14"/>
  <c r="D30" i="14"/>
  <c r="Z29" i="14"/>
  <c r="V29" i="14"/>
  <c r="R29" i="14"/>
  <c r="N29" i="14"/>
  <c r="J29" i="14"/>
  <c r="F29" i="14"/>
  <c r="AA28" i="14"/>
  <c r="W28" i="14"/>
  <c r="S28" i="14"/>
  <c r="O28" i="14"/>
  <c r="K28" i="14"/>
  <c r="G28" i="14"/>
  <c r="C28" i="14"/>
  <c r="W27" i="14"/>
  <c r="S27" i="14"/>
  <c r="O27" i="14"/>
  <c r="K27" i="14"/>
  <c r="G27" i="14"/>
  <c r="C27" i="14"/>
  <c r="V26" i="14"/>
  <c r="R26" i="14"/>
  <c r="N26" i="14"/>
  <c r="J26" i="14"/>
  <c r="F26" i="14"/>
  <c r="X25" i="14"/>
  <c r="T25" i="14"/>
  <c r="P25" i="14"/>
  <c r="L25" i="14"/>
  <c r="H25" i="14"/>
  <c r="D25" i="14"/>
  <c r="U24" i="14"/>
  <c r="Q24" i="14"/>
  <c r="M24" i="14"/>
  <c r="I24" i="14"/>
  <c r="E24" i="14"/>
  <c r="U23" i="14"/>
  <c r="Q23" i="14"/>
  <c r="M23" i="14"/>
  <c r="I23" i="14"/>
  <c r="E23" i="14"/>
  <c r="T22" i="14"/>
  <c r="P22" i="14"/>
  <c r="L22" i="14"/>
  <c r="H22" i="14"/>
  <c r="D22" i="14"/>
  <c r="R21" i="14"/>
  <c r="N21" i="14"/>
  <c r="J21" i="14"/>
  <c r="F21" i="14"/>
  <c r="S20" i="14"/>
  <c r="O20" i="14"/>
  <c r="K20" i="14"/>
  <c r="G20" i="14"/>
  <c r="C20" i="14"/>
  <c r="O19" i="14"/>
  <c r="K19" i="14"/>
  <c r="G19" i="14"/>
  <c r="C19" i="14"/>
  <c r="N18" i="14"/>
  <c r="J18" i="14"/>
  <c r="F18" i="14"/>
  <c r="P17" i="14"/>
  <c r="L17" i="14"/>
  <c r="H17" i="14"/>
  <c r="D17" i="14"/>
  <c r="M16" i="14"/>
  <c r="I16" i="14"/>
  <c r="E16" i="14"/>
  <c r="M15" i="14"/>
  <c r="I15" i="14"/>
  <c r="E15" i="14"/>
  <c r="L14" i="14"/>
  <c r="H14" i="14"/>
  <c r="D14" i="14"/>
  <c r="J13" i="14"/>
  <c r="F13" i="14"/>
  <c r="K12" i="14"/>
  <c r="G12" i="14"/>
  <c r="C12" i="14"/>
  <c r="G11" i="14"/>
  <c r="C11" i="14"/>
  <c r="F10" i="14"/>
  <c r="H9" i="14"/>
  <c r="D9" i="14"/>
  <c r="E8" i="14"/>
  <c r="E7" i="14"/>
  <c r="D6" i="14"/>
  <c r="C4" i="14"/>
  <c r="AD33" i="14"/>
  <c r="Z33" i="14"/>
  <c r="V33" i="14"/>
  <c r="R33" i="14"/>
  <c r="N33" i="14"/>
  <c r="J33" i="14"/>
  <c r="F33" i="14"/>
  <c r="AE32" i="14"/>
  <c r="AA32" i="14"/>
  <c r="W32" i="14"/>
  <c r="S32" i="14"/>
  <c r="O32" i="14"/>
  <c r="K32" i="14"/>
  <c r="G32" i="14"/>
  <c r="C32" i="14"/>
  <c r="AA31" i="14"/>
  <c r="W31" i="14"/>
  <c r="S31" i="14"/>
  <c r="O31" i="14"/>
  <c r="K31" i="14"/>
  <c r="G31" i="14"/>
  <c r="C31" i="14"/>
  <c r="Z30" i="14"/>
  <c r="V30" i="14"/>
  <c r="R30" i="14"/>
  <c r="N30" i="14"/>
  <c r="J30" i="14"/>
  <c r="F30" i="14"/>
  <c r="AB29" i="14"/>
  <c r="X29" i="14"/>
  <c r="T29" i="14"/>
  <c r="P29" i="14"/>
  <c r="L29" i="14"/>
  <c r="H29" i="14"/>
  <c r="D29" i="14"/>
  <c r="Y28" i="14"/>
  <c r="U28" i="14"/>
  <c r="Q28" i="14"/>
  <c r="M28" i="14"/>
  <c r="I28" i="14"/>
  <c r="E28" i="14"/>
  <c r="Y27" i="14"/>
  <c r="U27" i="14"/>
  <c r="Q27" i="14"/>
  <c r="M27" i="14"/>
  <c r="I27" i="14"/>
  <c r="E27" i="14"/>
  <c r="X26" i="14"/>
  <c r="T26" i="14"/>
  <c r="P26" i="14"/>
  <c r="L26" i="14"/>
  <c r="H26" i="14"/>
  <c r="D26" i="14"/>
  <c r="V25" i="14"/>
  <c r="R25" i="14"/>
  <c r="N25" i="14"/>
  <c r="J25" i="14"/>
  <c r="F25" i="14"/>
  <c r="W24" i="14"/>
  <c r="S24" i="14"/>
  <c r="O24" i="14"/>
  <c r="K24" i="14"/>
  <c r="G24" i="14"/>
  <c r="C24" i="14"/>
  <c r="S23" i="14"/>
  <c r="O23" i="14"/>
  <c r="K23" i="14"/>
  <c r="G23" i="14"/>
  <c r="C23" i="14"/>
  <c r="R22" i="14"/>
  <c r="N22" i="14"/>
  <c r="J22" i="14"/>
  <c r="F22" i="14"/>
  <c r="T21" i="14"/>
  <c r="P21" i="14"/>
  <c r="L21" i="14"/>
  <c r="H21" i="14"/>
  <c r="D21" i="14"/>
  <c r="Q20" i="14"/>
  <c r="M20" i="14"/>
  <c r="I20" i="14"/>
  <c r="E20" i="14"/>
  <c r="Q19" i="14"/>
  <c r="M19" i="14"/>
  <c r="I19" i="14"/>
  <c r="E19" i="14"/>
  <c r="P18" i="14"/>
  <c r="L18" i="14"/>
  <c r="H18" i="14"/>
  <c r="D18" i="14"/>
  <c r="N17" i="14"/>
  <c r="J17" i="14"/>
  <c r="F17" i="14"/>
  <c r="O16" i="14"/>
  <c r="K16" i="14"/>
  <c r="G16" i="14"/>
  <c r="C16" i="14"/>
  <c r="K15" i="14"/>
  <c r="G15" i="14"/>
  <c r="C15" i="14"/>
  <c r="J14" i="14"/>
  <c r="F14" i="14"/>
  <c r="L13" i="14"/>
  <c r="H13" i="14"/>
  <c r="D13" i="14"/>
  <c r="I12" i="14"/>
  <c r="E12" i="14"/>
  <c r="I11" i="14"/>
  <c r="E11" i="14"/>
  <c r="H10" i="14"/>
  <c r="D10" i="14"/>
  <c r="F9" i="14"/>
  <c r="G8" i="14"/>
  <c r="C8" i="14"/>
  <c r="C7" i="14"/>
  <c r="D5" i="14"/>
  <c r="Y33" i="14"/>
  <c r="Q33" i="14"/>
  <c r="I33" i="14"/>
  <c r="AD32" i="14"/>
  <c r="V32" i="14"/>
  <c r="N32" i="14"/>
  <c r="F32" i="14"/>
  <c r="Z31" i="14"/>
  <c r="R31" i="14"/>
  <c r="J31" i="14"/>
  <c r="AC30" i="14"/>
  <c r="U30" i="14"/>
  <c r="M30" i="14"/>
  <c r="E30" i="14"/>
  <c r="W29" i="14"/>
  <c r="O29" i="14"/>
  <c r="G29" i="14"/>
  <c r="X28" i="14"/>
  <c r="P28" i="14"/>
  <c r="H28" i="14"/>
  <c r="X27" i="14"/>
  <c r="P27" i="14"/>
  <c r="H27" i="14"/>
  <c r="W26" i="14"/>
  <c r="O26" i="14"/>
  <c r="G26" i="14"/>
  <c r="U25" i="14"/>
  <c r="M25" i="14"/>
  <c r="E25" i="14"/>
  <c r="R24" i="14"/>
  <c r="J24" i="14"/>
  <c r="V23" i="14"/>
  <c r="N23" i="14"/>
  <c r="F23" i="14"/>
  <c r="Q22" i="14"/>
  <c r="I22" i="14"/>
  <c r="S21" i="14"/>
  <c r="K21" i="14"/>
  <c r="C21" i="14"/>
  <c r="L20" i="14"/>
  <c r="D20" i="14"/>
  <c r="L19" i="14"/>
  <c r="D19" i="14"/>
  <c r="K18" i="14"/>
  <c r="C18" i="14"/>
  <c r="I17" i="14"/>
  <c r="N16" i="14"/>
  <c r="F16" i="14"/>
  <c r="J15" i="14"/>
  <c r="M14" i="14"/>
  <c r="E14" i="14"/>
  <c r="G13" i="14"/>
  <c r="H12" i="14"/>
  <c r="H11" i="14"/>
  <c r="G10" i="14"/>
  <c r="E9" i="14"/>
  <c r="F7" i="14"/>
  <c r="C5" i="14"/>
  <c r="AC33" i="14"/>
  <c r="U33" i="14"/>
  <c r="M33" i="14"/>
  <c r="E33" i="14"/>
  <c r="Z32" i="14"/>
  <c r="R32" i="14"/>
  <c r="J32" i="14"/>
  <c r="AD31" i="14"/>
  <c r="V31" i="14"/>
  <c r="N31" i="14"/>
  <c r="F31" i="14"/>
  <c r="Y30" i="14"/>
  <c r="Q30" i="14"/>
  <c r="I30" i="14"/>
  <c r="AA29" i="14"/>
  <c r="S29" i="14"/>
  <c r="K29" i="14"/>
  <c r="C29" i="14"/>
  <c r="T28" i="14"/>
  <c r="L28" i="14"/>
  <c r="D28" i="14"/>
  <c r="T27" i="14"/>
  <c r="L27" i="14"/>
  <c r="D27" i="14"/>
  <c r="S26" i="14"/>
  <c r="K26" i="14"/>
  <c r="C26" i="14"/>
  <c r="Q25" i="14"/>
  <c r="I25" i="14"/>
  <c r="V24" i="14"/>
  <c r="N24" i="14"/>
  <c r="F24" i="14"/>
  <c r="R23" i="14"/>
  <c r="J23" i="14"/>
  <c r="U22" i="14"/>
  <c r="M22" i="14"/>
  <c r="E22" i="14"/>
  <c r="O21" i="14"/>
  <c r="G21" i="14"/>
  <c r="P20" i="14"/>
  <c r="H20" i="14"/>
  <c r="P19" i="14"/>
  <c r="H19" i="14"/>
  <c r="O18" i="14"/>
  <c r="G18" i="14"/>
  <c r="M17" i="14"/>
  <c r="E17" i="14"/>
  <c r="J16" i="14"/>
  <c r="N15" i="14"/>
  <c r="F15" i="14"/>
  <c r="I14" i="14"/>
  <c r="K13" i="14"/>
  <c r="C13" i="14"/>
  <c r="D12" i="14"/>
  <c r="D11" i="14"/>
  <c r="C10" i="14"/>
  <c r="F8" i="14"/>
  <c r="E6" i="14"/>
  <c r="C9" i="14"/>
  <c r="F11" i="14"/>
  <c r="E13" i="14"/>
  <c r="K14" i="14"/>
  <c r="D16" i="14"/>
  <c r="G17" i="14"/>
  <c r="I18" i="14"/>
  <c r="J19" i="14"/>
  <c r="J20" i="14"/>
  <c r="I21" i="14"/>
  <c r="G22" i="14"/>
  <c r="D23" i="14"/>
  <c r="T23" i="14"/>
  <c r="P24" i="14"/>
  <c r="K25" i="14"/>
  <c r="E26" i="14"/>
  <c r="U26" i="14"/>
  <c r="N27" i="14"/>
  <c r="F28" i="14"/>
  <c r="V28" i="14"/>
  <c r="M29" i="14"/>
  <c r="C30" i="14"/>
  <c r="S30" i="14"/>
  <c r="H31" i="14"/>
  <c r="X31" i="14"/>
  <c r="L32" i="14"/>
  <c r="AB32" i="14"/>
  <c r="O33" i="14"/>
  <c r="AE33" i="14"/>
  <c r="B11" i="31"/>
  <c r="C1" i="24"/>
  <c r="V11" i="1"/>
  <c r="V13" i="1"/>
  <c r="V9" i="1"/>
  <c r="V14" i="1"/>
  <c r="V10" i="1"/>
  <c r="V12" i="1"/>
  <c r="V8" i="1"/>
  <c r="F12" i="9"/>
  <c r="P29" i="23"/>
  <c r="Q29" i="23" s="1"/>
  <c r="P41" i="23"/>
  <c r="Q41" i="23" s="1"/>
  <c r="O7" i="1"/>
  <c r="O12" i="1"/>
  <c r="O11" i="1"/>
  <c r="O8" i="1"/>
  <c r="O5" i="1"/>
  <c r="O14" i="1"/>
  <c r="O15" i="1" s="1"/>
  <c r="O16" i="1" s="1"/>
  <c r="O17" i="1" s="1"/>
  <c r="O18" i="1" s="1"/>
  <c r="O19" i="1" s="1"/>
  <c r="O20" i="1" s="1"/>
  <c r="O21" i="1" s="1"/>
  <c r="O22" i="1" s="1"/>
  <c r="O23" i="1" s="1"/>
  <c r="O24" i="1" s="1"/>
  <c r="O25" i="1" s="1"/>
  <c r="O26" i="1" s="1"/>
  <c r="O27" i="1" s="1"/>
  <c r="O28" i="1" s="1"/>
  <c r="O29" i="1" s="1"/>
  <c r="O30" i="1" s="1"/>
  <c r="O31" i="1" s="1"/>
  <c r="O32" i="1" s="1"/>
  <c r="O33" i="1" s="1"/>
  <c r="O34" i="1" s="1"/>
  <c r="O13" i="1"/>
  <c r="O10" i="1"/>
  <c r="O9" i="1"/>
  <c r="O6" i="1"/>
  <c r="D18" i="18"/>
  <c r="O6" i="11"/>
  <c r="O7" i="11" s="1"/>
  <c r="O8" i="11" s="1"/>
  <c r="O9" i="11" s="1"/>
  <c r="O10" i="11" s="1"/>
  <c r="O11" i="11" s="1"/>
  <c r="O12" i="11" s="1"/>
  <c r="O13" i="11" s="1"/>
  <c r="O14" i="11" s="1"/>
  <c r="O15" i="11" s="1"/>
  <c r="AI6" i="11"/>
  <c r="AI7" i="11" s="1"/>
  <c r="AI8" i="11" s="1"/>
  <c r="AI9" i="11" s="1"/>
  <c r="AI10" i="11" s="1"/>
  <c r="AI11" i="11" s="1"/>
  <c r="AI12" i="11" s="1"/>
  <c r="AI13" i="11" s="1"/>
  <c r="AI14" i="11" s="1"/>
  <c r="AI15" i="11" s="1"/>
  <c r="K7" i="11"/>
  <c r="K8" i="11" s="1"/>
  <c r="K9" i="11" s="1"/>
  <c r="K10" i="11" s="1"/>
  <c r="K11" i="11" s="1"/>
  <c r="K12" i="11" s="1"/>
  <c r="K13" i="11" s="1"/>
  <c r="K14" i="11" s="1"/>
  <c r="K15" i="11" s="1"/>
  <c r="S25" i="11"/>
  <c r="S19" i="11" s="1"/>
  <c r="S20" i="11" s="1"/>
  <c r="S21" i="11" s="1"/>
  <c r="C6" i="30"/>
  <c r="E7" i="30"/>
  <c r="C9" i="30"/>
  <c r="E10" i="30"/>
  <c r="F11" i="30"/>
  <c r="F12" i="30"/>
  <c r="E13" i="30"/>
  <c r="C14" i="30"/>
  <c r="K14" i="30"/>
  <c r="H15" i="30"/>
  <c r="D16" i="30"/>
  <c r="L16" i="30"/>
  <c r="G17" i="30"/>
  <c r="O17" i="30"/>
  <c r="I18" i="30"/>
  <c r="Q18" i="30"/>
  <c r="J19" i="30"/>
  <c r="R19" i="30"/>
  <c r="J20" i="30"/>
  <c r="R20" i="30"/>
  <c r="I21" i="30"/>
  <c r="Q21" i="30"/>
  <c r="G22" i="30"/>
  <c r="O22" i="30"/>
  <c r="D23" i="30"/>
  <c r="L23" i="30"/>
  <c r="T23" i="30"/>
  <c r="H24" i="30"/>
  <c r="P24" i="30"/>
  <c r="C25" i="30"/>
  <c r="K25" i="30"/>
  <c r="S25" i="30"/>
  <c r="E26" i="30"/>
  <c r="M26" i="30"/>
  <c r="U26" i="30"/>
  <c r="F27" i="30"/>
  <c r="N27" i="30"/>
  <c r="V27" i="30"/>
  <c r="F28" i="30"/>
  <c r="N28" i="30"/>
  <c r="V28" i="30"/>
  <c r="E29" i="30"/>
  <c r="M29" i="30"/>
  <c r="U29" i="30"/>
  <c r="C30" i="30"/>
  <c r="K30" i="30"/>
  <c r="S30" i="30"/>
  <c r="AA30" i="30"/>
  <c r="H31" i="30"/>
  <c r="P31" i="30"/>
  <c r="X31" i="30"/>
  <c r="D32" i="30"/>
  <c r="L32" i="30"/>
  <c r="T32" i="30"/>
  <c r="AB32" i="30"/>
  <c r="G33" i="30"/>
  <c r="O33" i="30"/>
  <c r="W33" i="30"/>
  <c r="P7" i="24"/>
  <c r="Q7" i="24" s="1"/>
  <c r="P16" i="23"/>
  <c r="Q16" i="23" s="1"/>
  <c r="P7" i="23"/>
  <c r="T4" i="1"/>
  <c r="T5" i="1" s="1"/>
  <c r="T6" i="1" s="1"/>
  <c r="T7" i="1" s="1"/>
  <c r="T8" i="1" s="1"/>
  <c r="T9" i="1" s="1"/>
  <c r="T10" i="1" s="1"/>
  <c r="T11" i="1" s="1"/>
  <c r="T12" i="1" s="1"/>
  <c r="T13" i="1" s="1"/>
  <c r="T14" i="1" s="1"/>
  <c r="T15" i="1" s="1"/>
  <c r="T16" i="1" s="1"/>
  <c r="T17" i="1" s="1"/>
  <c r="T18" i="1" s="1"/>
  <c r="T19" i="1" s="1"/>
  <c r="T20" i="1" s="1"/>
  <c r="T21" i="1" s="1"/>
  <c r="T22" i="1" s="1"/>
  <c r="T23" i="1" s="1"/>
  <c r="T24" i="1" s="1"/>
  <c r="T25" i="1" s="1"/>
  <c r="T26" i="1" s="1"/>
  <c r="T27" i="1" s="1"/>
  <c r="T28" i="1" s="1"/>
  <c r="T29" i="1" s="1"/>
  <c r="T30" i="1" s="1"/>
  <c r="T31" i="1" s="1"/>
  <c r="T32" i="1" s="1"/>
  <c r="T33" i="1" s="1"/>
  <c r="T34" i="1" s="1"/>
  <c r="P4" i="1"/>
  <c r="L4" i="1"/>
  <c r="L5" i="1" s="1"/>
  <c r="H4" i="1"/>
  <c r="B4" i="1"/>
  <c r="Q4" i="1"/>
  <c r="K4" i="1"/>
  <c r="K5" i="1" s="1"/>
  <c r="D4" i="1"/>
  <c r="S4" i="1"/>
  <c r="N4" i="1"/>
  <c r="I4" i="1"/>
  <c r="I5" i="1" s="1"/>
  <c r="M4" i="1"/>
  <c r="C29" i="18"/>
  <c r="E29" i="18" s="1"/>
  <c r="W6" i="11"/>
  <c r="W7" i="11" s="1"/>
  <c r="W8" i="11" s="1"/>
  <c r="W9" i="11" s="1"/>
  <c r="W10" i="11" s="1"/>
  <c r="W11" i="11" s="1"/>
  <c r="W12" i="11" s="1"/>
  <c r="W13" i="11" s="1"/>
  <c r="W14" i="11" s="1"/>
  <c r="W15" i="11" s="1"/>
  <c r="AQ6" i="11"/>
  <c r="AQ7" i="11" s="1"/>
  <c r="AQ8" i="11" s="1"/>
  <c r="AQ9" i="11" s="1"/>
  <c r="AQ10" i="11" s="1"/>
  <c r="AQ11" i="11" s="1"/>
  <c r="AQ12" i="11" s="1"/>
  <c r="AQ13" i="11" s="1"/>
  <c r="AQ14" i="11" s="1"/>
  <c r="AQ15" i="11" s="1"/>
  <c r="AM25" i="11"/>
  <c r="AM19" i="11" s="1"/>
  <c r="AM20" i="11" s="1"/>
  <c r="AM21" i="11" s="1"/>
  <c r="AQ25" i="11"/>
  <c r="AQ19" i="11" s="1"/>
  <c r="AQ20" i="11" s="1"/>
  <c r="AQ21" i="11" s="1"/>
  <c r="AF33" i="30"/>
  <c r="AB33" i="30"/>
  <c r="X33" i="30"/>
  <c r="T33" i="30"/>
  <c r="P33" i="30"/>
  <c r="L33" i="30"/>
  <c r="H33" i="30"/>
  <c r="D33" i="30"/>
  <c r="AC32" i="30"/>
  <c r="Y32" i="30"/>
  <c r="U32" i="30"/>
  <c r="Q32" i="30"/>
  <c r="M32" i="30"/>
  <c r="I32" i="30"/>
  <c r="E32" i="30"/>
  <c r="AC31" i="30"/>
  <c r="Y31" i="30"/>
  <c r="U31" i="30"/>
  <c r="Q31" i="30"/>
  <c r="M31" i="30"/>
  <c r="I31" i="30"/>
  <c r="E31" i="30"/>
  <c r="AB30" i="30"/>
  <c r="X30" i="30"/>
  <c r="T30" i="30"/>
  <c r="P30" i="30"/>
  <c r="L30" i="30"/>
  <c r="H30" i="30"/>
  <c r="D30" i="30"/>
  <c r="Z29" i="30"/>
  <c r="V29" i="30"/>
  <c r="R29" i="30"/>
  <c r="N29" i="30"/>
  <c r="J29" i="30"/>
  <c r="F29" i="30"/>
  <c r="AA28" i="30"/>
  <c r="W28" i="30"/>
  <c r="S28" i="30"/>
  <c r="O28" i="30"/>
  <c r="K28" i="30"/>
  <c r="G28" i="30"/>
  <c r="C28" i="30"/>
  <c r="W27" i="30"/>
  <c r="S27" i="30"/>
  <c r="O27" i="30"/>
  <c r="K27" i="30"/>
  <c r="G27" i="30"/>
  <c r="C27" i="30"/>
  <c r="V26" i="30"/>
  <c r="R26" i="30"/>
  <c r="N26" i="30"/>
  <c r="J26" i="30"/>
  <c r="F26" i="30"/>
  <c r="X25" i="30"/>
  <c r="T25" i="30"/>
  <c r="P25" i="30"/>
  <c r="L25" i="30"/>
  <c r="H25" i="30"/>
  <c r="D25" i="30"/>
  <c r="U24" i="30"/>
  <c r="Q24" i="30"/>
  <c r="M24" i="30"/>
  <c r="I24" i="30"/>
  <c r="E24" i="30"/>
  <c r="U23" i="30"/>
  <c r="Q23" i="30"/>
  <c r="M23" i="30"/>
  <c r="I23" i="30"/>
  <c r="E23" i="30"/>
  <c r="T22" i="30"/>
  <c r="P22" i="30"/>
  <c r="L22" i="30"/>
  <c r="H22" i="30"/>
  <c r="D22" i="30"/>
  <c r="R21" i="30"/>
  <c r="N21" i="30"/>
  <c r="J21" i="30"/>
  <c r="F21" i="30"/>
  <c r="S20" i="30"/>
  <c r="O20" i="30"/>
  <c r="K20" i="30"/>
  <c r="G20" i="30"/>
  <c r="C20" i="30"/>
  <c r="O19" i="30"/>
  <c r="K19" i="30"/>
  <c r="G19" i="30"/>
  <c r="C19" i="30"/>
  <c r="N18" i="30"/>
  <c r="J18" i="30"/>
  <c r="F18" i="30"/>
  <c r="P17" i="30"/>
  <c r="L17" i="30"/>
  <c r="H17" i="30"/>
  <c r="D17" i="30"/>
  <c r="M16" i="30"/>
  <c r="I16" i="30"/>
  <c r="E16" i="30"/>
  <c r="M15" i="30"/>
  <c r="I15" i="30"/>
  <c r="E15" i="30"/>
  <c r="L14" i="30"/>
  <c r="H14" i="30"/>
  <c r="D14" i="30"/>
  <c r="J13" i="30"/>
  <c r="F13" i="30"/>
  <c r="K12" i="30"/>
  <c r="G12" i="30"/>
  <c r="C12" i="30"/>
  <c r="G11" i="30"/>
  <c r="C11" i="30"/>
  <c r="F10" i="30"/>
  <c r="H9" i="30"/>
  <c r="D9" i="30"/>
  <c r="E8" i="30"/>
  <c r="F7" i="30"/>
  <c r="D5" i="30"/>
  <c r="AD33" i="30"/>
  <c r="Z33" i="30"/>
  <c r="V33" i="30"/>
  <c r="R33" i="30"/>
  <c r="N33" i="30"/>
  <c r="J33" i="30"/>
  <c r="F33" i="30"/>
  <c r="AE32" i="30"/>
  <c r="AA32" i="30"/>
  <c r="W32" i="30"/>
  <c r="S32" i="30"/>
  <c r="O32" i="30"/>
  <c r="K32" i="30"/>
  <c r="G32" i="30"/>
  <c r="C32" i="30"/>
  <c r="AA31" i="30"/>
  <c r="W31" i="30"/>
  <c r="S31" i="30"/>
  <c r="O31" i="30"/>
  <c r="K31" i="30"/>
  <c r="G31" i="30"/>
  <c r="C31" i="30"/>
  <c r="Z30" i="30"/>
  <c r="V30" i="30"/>
  <c r="R30" i="30"/>
  <c r="N30" i="30"/>
  <c r="J30" i="30"/>
  <c r="F30" i="30"/>
  <c r="AB29" i="30"/>
  <c r="X29" i="30"/>
  <c r="T29" i="30"/>
  <c r="P29" i="30"/>
  <c r="L29" i="30"/>
  <c r="H29" i="30"/>
  <c r="D29" i="30"/>
  <c r="Y28" i="30"/>
  <c r="U28" i="30"/>
  <c r="Q28" i="30"/>
  <c r="M28" i="30"/>
  <c r="I28" i="30"/>
  <c r="E28" i="30"/>
  <c r="Y27" i="30"/>
  <c r="U27" i="30"/>
  <c r="Q27" i="30"/>
  <c r="M27" i="30"/>
  <c r="I27" i="30"/>
  <c r="E27" i="30"/>
  <c r="X26" i="30"/>
  <c r="T26" i="30"/>
  <c r="P26" i="30"/>
  <c r="L26" i="30"/>
  <c r="H26" i="30"/>
  <c r="D26" i="30"/>
  <c r="V25" i="30"/>
  <c r="R25" i="30"/>
  <c r="N25" i="30"/>
  <c r="J25" i="30"/>
  <c r="F25" i="30"/>
  <c r="W24" i="30"/>
  <c r="S24" i="30"/>
  <c r="O24" i="30"/>
  <c r="K24" i="30"/>
  <c r="G24" i="30"/>
  <c r="C24" i="30"/>
  <c r="S23" i="30"/>
  <c r="O23" i="30"/>
  <c r="K23" i="30"/>
  <c r="G23" i="30"/>
  <c r="C23" i="30"/>
  <c r="R22" i="30"/>
  <c r="N22" i="30"/>
  <c r="J22" i="30"/>
  <c r="F22" i="30"/>
  <c r="T21" i="30"/>
  <c r="P21" i="30"/>
  <c r="L21" i="30"/>
  <c r="H21" i="30"/>
  <c r="D21" i="30"/>
  <c r="Q20" i="30"/>
  <c r="M20" i="30"/>
  <c r="I20" i="30"/>
  <c r="E20" i="30"/>
  <c r="Q19" i="30"/>
  <c r="M19" i="30"/>
  <c r="I19" i="30"/>
  <c r="E19" i="30"/>
  <c r="P18" i="30"/>
  <c r="L18" i="30"/>
  <c r="H18" i="30"/>
  <c r="D18" i="30"/>
  <c r="N17" i="30"/>
  <c r="J17" i="30"/>
  <c r="F17" i="30"/>
  <c r="O16" i="30"/>
  <c r="K16" i="30"/>
  <c r="G16" i="30"/>
  <c r="C16" i="30"/>
  <c r="K15" i="30"/>
  <c r="G15" i="30"/>
  <c r="C15" i="30"/>
  <c r="J14" i="30"/>
  <c r="F14" i="30"/>
  <c r="L13" i="30"/>
  <c r="H13" i="30"/>
  <c r="D13" i="30"/>
  <c r="I12" i="30"/>
  <c r="E12" i="30"/>
  <c r="I11" i="30"/>
  <c r="E11" i="30"/>
  <c r="H10" i="30"/>
  <c r="D10" i="30"/>
  <c r="F9" i="30"/>
  <c r="G8" i="30"/>
  <c r="C8" i="30"/>
  <c r="D7" i="30"/>
  <c r="D6" i="30"/>
  <c r="C4" i="30"/>
  <c r="D8" i="30"/>
  <c r="G9" i="30"/>
  <c r="I10" i="30"/>
  <c r="J11" i="30"/>
  <c r="J12" i="30"/>
  <c r="I13" i="30"/>
  <c r="G14" i="30"/>
  <c r="D15" i="30"/>
  <c r="L15" i="30"/>
  <c r="H16" i="30"/>
  <c r="C17" i="30"/>
  <c r="K17" i="30"/>
  <c r="E18" i="30"/>
  <c r="M18" i="30"/>
  <c r="F19" i="30"/>
  <c r="N19" i="30"/>
  <c r="F20" i="30"/>
  <c r="N20" i="30"/>
  <c r="E21" i="30"/>
  <c r="M21" i="30"/>
  <c r="C22" i="30"/>
  <c r="K22" i="30"/>
  <c r="S22" i="30"/>
  <c r="H23" i="30"/>
  <c r="P23" i="30"/>
  <c r="D24" i="30"/>
  <c r="L24" i="30"/>
  <c r="T24" i="30"/>
  <c r="G25" i="30"/>
  <c r="O25" i="30"/>
  <c r="W25" i="30"/>
  <c r="I26" i="30"/>
  <c r="Q26" i="30"/>
  <c r="Y26" i="30"/>
  <c r="J27" i="30"/>
  <c r="R27" i="30"/>
  <c r="Z27" i="30"/>
  <c r="J28" i="30"/>
  <c r="R28" i="30"/>
  <c r="Z28" i="30"/>
  <c r="I29" i="30"/>
  <c r="Q29" i="30"/>
  <c r="Y29" i="30"/>
  <c r="G30" i="30"/>
  <c r="O30" i="30"/>
  <c r="W30" i="30"/>
  <c r="D31" i="30"/>
  <c r="L31" i="30"/>
  <c r="T31" i="30"/>
  <c r="AB31" i="30"/>
  <c r="H32" i="30"/>
  <c r="P32" i="30"/>
  <c r="X32" i="30"/>
  <c r="C33" i="30"/>
  <c r="K33" i="30"/>
  <c r="S33" i="30"/>
  <c r="AA33" i="30"/>
  <c r="E14" i="1"/>
  <c r="E15" i="1" s="1"/>
  <c r="E16" i="1" s="1"/>
  <c r="E17" i="1" s="1"/>
  <c r="E18" i="1" s="1"/>
  <c r="E19" i="1" s="1"/>
  <c r="E12" i="1"/>
  <c r="E10" i="1"/>
  <c r="E8" i="1"/>
  <c r="E11" i="1"/>
  <c r="E6" i="1"/>
  <c r="E13" i="1"/>
  <c r="E9" i="1"/>
  <c r="E5" i="1"/>
  <c r="R14" i="1"/>
  <c r="R15" i="1" s="1"/>
  <c r="R16" i="1" s="1"/>
  <c r="R17" i="1" s="1"/>
  <c r="R18" i="1" s="1"/>
  <c r="R19" i="1" s="1"/>
  <c r="R20" i="1" s="1"/>
  <c r="R21" i="1" s="1"/>
  <c r="R22" i="1" s="1"/>
  <c r="R23" i="1" s="1"/>
  <c r="R24" i="1" s="1"/>
  <c r="R25" i="1" s="1"/>
  <c r="R26" i="1" s="1"/>
  <c r="R27" i="1" s="1"/>
  <c r="R28" i="1" s="1"/>
  <c r="R29" i="1" s="1"/>
  <c r="R30" i="1" s="1"/>
  <c r="R31" i="1" s="1"/>
  <c r="R32" i="1" s="1"/>
  <c r="R33" i="1" s="1"/>
  <c r="R34" i="1" s="1"/>
  <c r="R12" i="1"/>
  <c r="R10" i="1"/>
  <c r="R8" i="1"/>
  <c r="R5" i="1"/>
  <c r="R13" i="1"/>
  <c r="R9" i="1"/>
  <c r="R11" i="1"/>
  <c r="R7" i="1"/>
  <c r="C7" i="17"/>
  <c r="C8" i="17"/>
  <c r="G8" i="17"/>
  <c r="F9" i="17"/>
  <c r="D10" i="17"/>
  <c r="H10" i="17"/>
  <c r="D11" i="17"/>
  <c r="H11" i="17"/>
  <c r="D12" i="17"/>
  <c r="H12" i="17"/>
  <c r="C13" i="17"/>
  <c r="G13" i="17"/>
  <c r="K13" i="17"/>
  <c r="E14" i="17"/>
  <c r="I14" i="17"/>
  <c r="M14" i="17"/>
  <c r="F15" i="17"/>
  <c r="J15" i="17"/>
  <c r="N15" i="17"/>
  <c r="F16" i="17"/>
  <c r="J16" i="17"/>
  <c r="N16" i="17"/>
  <c r="E17" i="17"/>
  <c r="I17" i="17"/>
  <c r="M17" i="17"/>
  <c r="C18" i="17"/>
  <c r="G18" i="17"/>
  <c r="K18" i="17"/>
  <c r="O18" i="17"/>
  <c r="D19" i="17"/>
  <c r="H19" i="17"/>
  <c r="L19" i="17"/>
  <c r="P19" i="17"/>
  <c r="D20" i="17"/>
  <c r="H20" i="17"/>
  <c r="L20" i="17"/>
  <c r="P20" i="17"/>
  <c r="C21" i="17"/>
  <c r="G21" i="17"/>
  <c r="K21" i="17"/>
  <c r="O21" i="17"/>
  <c r="S21" i="17"/>
  <c r="E22" i="17"/>
  <c r="I22" i="17"/>
  <c r="M22" i="17"/>
  <c r="Q22" i="17"/>
  <c r="U22" i="17"/>
  <c r="F23" i="17"/>
  <c r="J23" i="17"/>
  <c r="N23" i="17"/>
  <c r="R23" i="17"/>
  <c r="V23" i="17"/>
  <c r="AE6" i="1"/>
  <c r="AF6" i="1" s="1"/>
  <c r="AF7" i="1" s="1"/>
  <c r="AG5" i="1"/>
  <c r="AH5" i="1" s="1"/>
  <c r="AC5" i="1"/>
  <c r="B30" i="6"/>
  <c r="B26" i="6"/>
  <c r="B22" i="6"/>
  <c r="B18" i="6"/>
  <c r="B14" i="6"/>
  <c r="B10" i="6"/>
  <c r="B6" i="6"/>
  <c r="B4" i="6"/>
  <c r="B32" i="6"/>
  <c r="B28" i="6"/>
  <c r="B24" i="6"/>
  <c r="B20" i="6"/>
  <c r="B16" i="6"/>
  <c r="B12" i="6"/>
  <c r="B8" i="6"/>
  <c r="B33" i="6"/>
  <c r="B25" i="6"/>
  <c r="B21" i="6"/>
  <c r="B13" i="6"/>
  <c r="B5" i="6"/>
  <c r="B29" i="6"/>
  <c r="B17" i="6"/>
  <c r="B9" i="6"/>
  <c r="B27" i="6"/>
  <c r="B19" i="6"/>
  <c r="B11" i="6"/>
  <c r="B23" i="6"/>
  <c r="B7" i="6"/>
  <c r="C5" i="17"/>
  <c r="D6" i="17"/>
  <c r="E7" i="17"/>
  <c r="E8" i="17"/>
  <c r="D9" i="17"/>
  <c r="H9" i="17"/>
  <c r="F10" i="17"/>
  <c r="F11" i="17"/>
  <c r="J11" i="17"/>
  <c r="F12" i="17"/>
  <c r="J12" i="17"/>
  <c r="E13" i="17"/>
  <c r="I13" i="17"/>
  <c r="C14" i="17"/>
  <c r="G14" i="17"/>
  <c r="K14" i="17"/>
  <c r="D15" i="17"/>
  <c r="H15" i="17"/>
  <c r="L15" i="17"/>
  <c r="D16" i="17"/>
  <c r="H16" i="17"/>
  <c r="L16" i="17"/>
  <c r="C17" i="17"/>
  <c r="G17" i="17"/>
  <c r="K17" i="17"/>
  <c r="O17" i="17"/>
  <c r="E18" i="17"/>
  <c r="I18" i="17"/>
  <c r="M18" i="17"/>
  <c r="Q18" i="17"/>
  <c r="F19" i="17"/>
  <c r="J19" i="17"/>
  <c r="N19" i="17"/>
  <c r="R19" i="17"/>
  <c r="F20" i="17"/>
  <c r="J20" i="17"/>
  <c r="N20" i="17"/>
  <c r="R20" i="17"/>
  <c r="E21" i="17"/>
  <c r="I21" i="17"/>
  <c r="M21" i="17"/>
  <c r="Q21" i="17"/>
  <c r="C22" i="17"/>
  <c r="G22" i="17"/>
  <c r="K22" i="17"/>
  <c r="O22" i="17"/>
  <c r="S22" i="17"/>
  <c r="D23" i="17"/>
  <c r="H23" i="17"/>
  <c r="L23" i="17"/>
  <c r="P23" i="17"/>
  <c r="B15" i="6"/>
  <c r="F6" i="8"/>
  <c r="S5" i="8"/>
  <c r="F5" i="8" s="1"/>
  <c r="D6" i="9" s="1"/>
  <c r="F15" i="8"/>
  <c r="F17" i="8"/>
  <c r="S18" i="8"/>
  <c r="V17" i="8"/>
  <c r="T19" i="8"/>
  <c r="C5" i="8"/>
  <c r="G5" i="8"/>
  <c r="D7" i="9" s="1"/>
  <c r="K5" i="8"/>
  <c r="D11" i="9" s="1"/>
  <c r="L4" i="9" s="1"/>
  <c r="C6" i="8"/>
  <c r="G6" i="8"/>
  <c r="K6" i="8"/>
  <c r="C7" i="8"/>
  <c r="D3" i="9" s="1"/>
  <c r="G7" i="8"/>
  <c r="K7" i="8"/>
  <c r="B8" i="8"/>
  <c r="F8" i="8"/>
  <c r="J8" i="8"/>
  <c r="B9" i="8"/>
  <c r="F9" i="8"/>
  <c r="K9" i="8"/>
  <c r="B10" i="8"/>
  <c r="G10" i="8"/>
  <c r="B11" i="8"/>
  <c r="I11" i="8"/>
  <c r="F12" i="8"/>
  <c r="K13" i="8"/>
  <c r="B14" i="8"/>
  <c r="S4" i="18" s="1"/>
  <c r="I14" i="8"/>
  <c r="W4" i="18" s="1"/>
  <c r="K15" i="8"/>
  <c r="G16" i="8"/>
  <c r="D20" i="8"/>
  <c r="B24" i="8"/>
  <c r="D25" i="8"/>
  <c r="D28" i="8"/>
  <c r="E29" i="8"/>
  <c r="B28" i="8"/>
  <c r="C27" i="8"/>
  <c r="D26" i="8"/>
  <c r="B23" i="8"/>
  <c r="C22" i="8"/>
  <c r="D21" i="8"/>
  <c r="D19" i="8"/>
  <c r="K18" i="8"/>
  <c r="C18" i="8"/>
  <c r="J17" i="8"/>
  <c r="B17" i="8"/>
  <c r="D15" i="8"/>
  <c r="D14" i="8"/>
  <c r="U4" i="18" s="1"/>
  <c r="D13" i="8"/>
  <c r="D12" i="8"/>
  <c r="D11" i="8"/>
  <c r="B29" i="8"/>
  <c r="C28" i="8"/>
  <c r="B27" i="8"/>
  <c r="B26" i="8"/>
  <c r="B25" i="8"/>
  <c r="H24" i="8"/>
  <c r="C24" i="8"/>
  <c r="B22" i="8"/>
  <c r="B20" i="8"/>
  <c r="K19" i="8"/>
  <c r="J18" i="8"/>
  <c r="D17" i="8"/>
  <c r="C16" i="8"/>
  <c r="I15" i="8"/>
  <c r="C15" i="8"/>
  <c r="J14" i="8"/>
  <c r="I13" i="8"/>
  <c r="C13" i="8"/>
  <c r="G12" i="8"/>
  <c r="B12" i="8"/>
  <c r="K11" i="8"/>
  <c r="F11" i="8"/>
  <c r="I10" i="8"/>
  <c r="I9" i="8"/>
  <c r="I5" i="8"/>
  <c r="D9" i="9" s="1"/>
  <c r="I6" i="8"/>
  <c r="I7" i="8"/>
  <c r="D8" i="8"/>
  <c r="D9" i="8"/>
  <c r="D10" i="8"/>
  <c r="J10" i="8"/>
  <c r="C12" i="8"/>
  <c r="J12" i="8"/>
  <c r="G13" i="8"/>
  <c r="F14" i="8"/>
  <c r="G15" i="8"/>
  <c r="D16" i="8"/>
  <c r="K16" i="8"/>
  <c r="C17" i="8"/>
  <c r="K17" i="8"/>
  <c r="B18" i="8"/>
  <c r="B19" i="8"/>
  <c r="B21" i="8"/>
  <c r="D22" i="8"/>
  <c r="D23" i="8"/>
  <c r="C26" i="8"/>
  <c r="B18" i="18" l="1"/>
  <c r="B35" i="18"/>
  <c r="B36" i="18" s="1"/>
  <c r="B37" i="18" s="1"/>
  <c r="B38" i="18" s="1"/>
  <c r="B39" i="18" s="1"/>
  <c r="B40" i="18" s="1"/>
  <c r="B41" i="18" s="1"/>
  <c r="B42" i="18" s="1"/>
  <c r="B43" i="18" s="1"/>
  <c r="B44" i="18" s="1"/>
  <c r="B45" i="18" s="1"/>
  <c r="B46" i="18" s="1"/>
  <c r="B47" i="18" s="1"/>
  <c r="B48" i="18" s="1"/>
  <c r="B49" i="18" s="1"/>
  <c r="B50" i="18" s="1"/>
  <c r="B51" i="18" s="1"/>
  <c r="B52" i="18" s="1"/>
  <c r="B53" i="18" s="1"/>
  <c r="B54" i="18" s="1"/>
  <c r="B55" i="18" s="1"/>
  <c r="B56" i="18" s="1"/>
  <c r="B57" i="18" s="1"/>
  <c r="B58" i="18" s="1"/>
  <c r="B59" i="18" s="1"/>
  <c r="B60" i="18" s="1"/>
  <c r="B61" i="18" s="1"/>
  <c r="B62" i="18" s="1"/>
  <c r="B63" i="18" s="1"/>
  <c r="B64" i="18" s="1"/>
  <c r="B65" i="18" s="1"/>
  <c r="B66" i="18" s="1"/>
  <c r="B67" i="18" s="1"/>
  <c r="B68" i="18" s="1"/>
  <c r="B69" i="18" s="1"/>
  <c r="B70" i="18" s="1"/>
  <c r="B71" i="18" s="1"/>
  <c r="B72" i="18" s="1"/>
  <c r="B73" i="18" s="1"/>
  <c r="B74" i="18" s="1"/>
  <c r="B75" i="18" s="1"/>
  <c r="B76" i="18" s="1"/>
  <c r="B77" i="18" s="1"/>
  <c r="B78" i="18" s="1"/>
  <c r="B79" i="18" s="1"/>
  <c r="B80" i="18" s="1"/>
  <c r="B81" i="18" s="1"/>
  <c r="B82" i="18" s="1"/>
  <c r="B83" i="18" s="1"/>
  <c r="B84" i="18" s="1"/>
  <c r="B85" i="18" s="1"/>
  <c r="B86" i="18" s="1"/>
  <c r="B87" i="18" s="1"/>
  <c r="B88" i="18" s="1"/>
  <c r="B89" i="18" s="1"/>
  <c r="B90" i="18" s="1"/>
  <c r="B91" i="18" s="1"/>
  <c r="B92" i="18" s="1"/>
  <c r="B93" i="18" s="1"/>
  <c r="B94" i="18" s="1"/>
  <c r="B95" i="18" s="1"/>
  <c r="B96" i="18" s="1"/>
  <c r="B97" i="18" s="1"/>
  <c r="B98" i="18" s="1"/>
  <c r="B99" i="18" s="1"/>
  <c r="B100" i="18" s="1"/>
  <c r="B101" i="18" s="1"/>
  <c r="B102" i="18" s="1"/>
  <c r="B103" i="18" s="1"/>
  <c r="B104" i="18" s="1"/>
  <c r="B105" i="18" s="1"/>
  <c r="B106" i="18" s="1"/>
  <c r="B107" i="18" s="1"/>
  <c r="B108" i="18" s="1"/>
  <c r="B109" i="18" s="1"/>
  <c r="B110" i="18" s="1"/>
  <c r="B111" i="18" s="1"/>
  <c r="B112" i="18" s="1"/>
  <c r="B113" i="18" s="1"/>
  <c r="B114" i="18" s="1"/>
  <c r="B115" i="18" s="1"/>
  <c r="B116" i="18" s="1"/>
  <c r="B117" i="18" s="1"/>
  <c r="B118" i="18" s="1"/>
  <c r="B119" i="18" s="1"/>
  <c r="B120" i="18" s="1"/>
  <c r="B121" i="18" s="1"/>
  <c r="B122" i="18" s="1"/>
  <c r="B123" i="18" s="1"/>
  <c r="B124" i="18" s="1"/>
  <c r="B125" i="18" s="1"/>
  <c r="B126" i="18" s="1"/>
  <c r="B127" i="18" s="1"/>
  <c r="B128" i="18" s="1"/>
  <c r="E30" i="18"/>
  <c r="E31" i="18"/>
  <c r="E32" i="18" s="1"/>
  <c r="E33" i="18" s="1"/>
  <c r="E34" i="18" s="1"/>
  <c r="S7" i="1"/>
  <c r="S6" i="1"/>
  <c r="S14" i="1"/>
  <c r="S10" i="1"/>
  <c r="S12" i="1"/>
  <c r="S8" i="1"/>
  <c r="S5" i="1"/>
  <c r="S11" i="1"/>
  <c r="S13" i="1"/>
  <c r="S9" i="1"/>
  <c r="B7" i="1"/>
  <c r="B14" i="1"/>
  <c r="B15" i="1" s="1"/>
  <c r="B16" i="1" s="1"/>
  <c r="B17" i="1" s="1"/>
  <c r="B18" i="1" s="1"/>
  <c r="B19" i="1" s="1"/>
  <c r="B20" i="1" s="1"/>
  <c r="B21" i="1" s="1"/>
  <c r="B22" i="1" s="1"/>
  <c r="B23" i="1" s="1"/>
  <c r="B24" i="1" s="1"/>
  <c r="B25" i="1" s="1"/>
  <c r="B26" i="1" s="1"/>
  <c r="B27" i="1" s="1"/>
  <c r="B28" i="1" s="1"/>
  <c r="B29" i="1" s="1"/>
  <c r="B30" i="1" s="1"/>
  <c r="B31" i="1" s="1"/>
  <c r="B32" i="1" s="1"/>
  <c r="B33" i="1" s="1"/>
  <c r="B34" i="1" s="1"/>
  <c r="B13" i="1"/>
  <c r="B10" i="1"/>
  <c r="B9" i="1"/>
  <c r="B5" i="1"/>
  <c r="B12" i="1"/>
  <c r="B11" i="1"/>
  <c r="B8" i="1"/>
  <c r="B6" i="1"/>
  <c r="C30" i="18"/>
  <c r="V15" i="1"/>
  <c r="AG14" i="1"/>
  <c r="AC14" i="1"/>
  <c r="AE14" i="1"/>
  <c r="M6" i="27"/>
  <c r="B7" i="27"/>
  <c r="H9" i="25"/>
  <c r="H6" i="25"/>
  <c r="H3" i="25"/>
  <c r="H10" i="25"/>
  <c r="H8" i="25"/>
  <c r="B9" i="25" s="1"/>
  <c r="B10" i="25" s="1"/>
  <c r="H5" i="25"/>
  <c r="H4" i="25"/>
  <c r="H12" i="25"/>
  <c r="H7" i="25"/>
  <c r="H13" i="25"/>
  <c r="H11" i="25"/>
  <c r="H12" i="9"/>
  <c r="R25" i="8"/>
  <c r="E26" i="8"/>
  <c r="BR166" i="7"/>
  <c r="AC166" i="7"/>
  <c r="AB166" i="7"/>
  <c r="BR158" i="7"/>
  <c r="AC158" i="7"/>
  <c r="AB158" i="7"/>
  <c r="BR150" i="7"/>
  <c r="AD150" i="7"/>
  <c r="AC150" i="7"/>
  <c r="AB150" i="7"/>
  <c r="C132" i="32"/>
  <c r="BR142" i="7"/>
  <c r="AD142" i="7"/>
  <c r="AC142" i="7"/>
  <c r="AB142" i="7"/>
  <c r="C124" i="32"/>
  <c r="BR134" i="7"/>
  <c r="AD134" i="7"/>
  <c r="AC134" i="7"/>
  <c r="AB134" i="7"/>
  <c r="C116" i="32"/>
  <c r="BR126" i="7"/>
  <c r="AD126" i="7"/>
  <c r="AC126" i="7"/>
  <c r="AB126" i="7"/>
  <c r="C108" i="32"/>
  <c r="BR118" i="7"/>
  <c r="AD118" i="7"/>
  <c r="AC118" i="7"/>
  <c r="AB118" i="7"/>
  <c r="C100" i="32"/>
  <c r="BR110" i="7"/>
  <c r="AD110" i="7"/>
  <c r="AC110" i="7"/>
  <c r="AB110" i="7"/>
  <c r="C92" i="32"/>
  <c r="BR102" i="7"/>
  <c r="AD102" i="7"/>
  <c r="AC102" i="7"/>
  <c r="AB102" i="7"/>
  <c r="C84" i="32"/>
  <c r="BR94" i="7"/>
  <c r="AD94" i="7"/>
  <c r="AC94" i="7"/>
  <c r="AB94" i="7"/>
  <c r="C76" i="32"/>
  <c r="BR86" i="7"/>
  <c r="AD86" i="7"/>
  <c r="AC86" i="7"/>
  <c r="AB86" i="7"/>
  <c r="C68" i="32"/>
  <c r="BR78" i="7"/>
  <c r="AD78" i="7"/>
  <c r="AC78" i="7"/>
  <c r="AB78" i="7"/>
  <c r="C60" i="32"/>
  <c r="BR70" i="7"/>
  <c r="AD70" i="7"/>
  <c r="AC70" i="7"/>
  <c r="AB70" i="7"/>
  <c r="C52" i="32"/>
  <c r="BR62" i="7"/>
  <c r="AD62" i="7"/>
  <c r="AC62" i="7"/>
  <c r="AB62" i="7"/>
  <c r="C44" i="32"/>
  <c r="BR54" i="7"/>
  <c r="AC54" i="7"/>
  <c r="AB54" i="7"/>
  <c r="C36" i="32"/>
  <c r="BR46" i="7"/>
  <c r="AC46" i="7"/>
  <c r="AB46" i="7"/>
  <c r="C28" i="32"/>
  <c r="BR38" i="7"/>
  <c r="AC38" i="7"/>
  <c r="AB38" i="7"/>
  <c r="C20" i="32"/>
  <c r="BR30" i="7"/>
  <c r="AC30" i="7"/>
  <c r="AB30" i="7"/>
  <c r="C12" i="32"/>
  <c r="BR22" i="7"/>
  <c r="AC22" i="7"/>
  <c r="AB22" i="7"/>
  <c r="AC180" i="7"/>
  <c r="AB180" i="7"/>
  <c r="BR180" i="7"/>
  <c r="AD180" i="7"/>
  <c r="AC188" i="7"/>
  <c r="AB188" i="7"/>
  <c r="BR188" i="7"/>
  <c r="AD188" i="7"/>
  <c r="AC196" i="7"/>
  <c r="AB196" i="7"/>
  <c r="BR196" i="7"/>
  <c r="AD196" i="7"/>
  <c r="AC204" i="7"/>
  <c r="AB204" i="7"/>
  <c r="BR204" i="7"/>
  <c r="AD204" i="7"/>
  <c r="AC212" i="7"/>
  <c r="AB212" i="7"/>
  <c r="BR212" i="7"/>
  <c r="AD212" i="7"/>
  <c r="AC220" i="7"/>
  <c r="AB220" i="7"/>
  <c r="BR220" i="7"/>
  <c r="AD220" i="7"/>
  <c r="AC228" i="7"/>
  <c r="AB228" i="7"/>
  <c r="BR228" i="7"/>
  <c r="AD228" i="7"/>
  <c r="AC236" i="7"/>
  <c r="AB236" i="7"/>
  <c r="BR236" i="7"/>
  <c r="AD236" i="7"/>
  <c r="AC244" i="7"/>
  <c r="AB244" i="7"/>
  <c r="BR244" i="7"/>
  <c r="AD244" i="7"/>
  <c r="AB173" i="7"/>
  <c r="BR173" i="7"/>
  <c r="AD173" i="7"/>
  <c r="AC173" i="7"/>
  <c r="AB181" i="7"/>
  <c r="BR181" i="7"/>
  <c r="AD181" i="7"/>
  <c r="AC181" i="7"/>
  <c r="AB189" i="7"/>
  <c r="BR189" i="7"/>
  <c r="AD189" i="7"/>
  <c r="AC189" i="7"/>
  <c r="AB197" i="7"/>
  <c r="BR197" i="7"/>
  <c r="AD197" i="7"/>
  <c r="AC197" i="7"/>
  <c r="AB205" i="7"/>
  <c r="BR205" i="7"/>
  <c r="AD205" i="7"/>
  <c r="AC205" i="7"/>
  <c r="AB213" i="7"/>
  <c r="BR213" i="7"/>
  <c r="AD213" i="7"/>
  <c r="AC213" i="7"/>
  <c r="AB221" i="7"/>
  <c r="BR221" i="7"/>
  <c r="AD221" i="7"/>
  <c r="AC221" i="7"/>
  <c r="AB229" i="7"/>
  <c r="BR229" i="7"/>
  <c r="AD229" i="7"/>
  <c r="AC229" i="7"/>
  <c r="AB237" i="7"/>
  <c r="BR237" i="7"/>
  <c r="AD237" i="7"/>
  <c r="AC237" i="7"/>
  <c r="AB245" i="7"/>
  <c r="BR245" i="7"/>
  <c r="AD245" i="7"/>
  <c r="AC245" i="7"/>
  <c r="BR174" i="7"/>
  <c r="AB174" i="7"/>
  <c r="BR182" i="7"/>
  <c r="AB182" i="7"/>
  <c r="BR190" i="7"/>
  <c r="AB190" i="7"/>
  <c r="BR198" i="7"/>
  <c r="AB198" i="7"/>
  <c r="BR206" i="7"/>
  <c r="AB206" i="7"/>
  <c r="BR214" i="7"/>
  <c r="AB214" i="7"/>
  <c r="BR222" i="7"/>
  <c r="AB222" i="7"/>
  <c r="BR230" i="7"/>
  <c r="AB230" i="7"/>
  <c r="BR238" i="7"/>
  <c r="AC238" i="7"/>
  <c r="AB238" i="7"/>
  <c r="BR246" i="7"/>
  <c r="AD246" i="7"/>
  <c r="AC246" i="7"/>
  <c r="AB246" i="7"/>
  <c r="AC258" i="7"/>
  <c r="AB258" i="7"/>
  <c r="AD258" i="7"/>
  <c r="BR258" i="7"/>
  <c r="BR171" i="7"/>
  <c r="AD171" i="7"/>
  <c r="AC171" i="7"/>
  <c r="AB171" i="7"/>
  <c r="BR179" i="7"/>
  <c r="AD179" i="7"/>
  <c r="AC179" i="7"/>
  <c r="AB179" i="7"/>
  <c r="BR187" i="7"/>
  <c r="AD187" i="7"/>
  <c r="AC187" i="7"/>
  <c r="AB187" i="7"/>
  <c r="BR195" i="7"/>
  <c r="AD195" i="7"/>
  <c r="AC195" i="7"/>
  <c r="AB195" i="7"/>
  <c r="BR203" i="7"/>
  <c r="AD203" i="7"/>
  <c r="AC203" i="7"/>
  <c r="AB203" i="7"/>
  <c r="BR211" i="7"/>
  <c r="AD211" i="7"/>
  <c r="AC211" i="7"/>
  <c r="AB211" i="7"/>
  <c r="BR219" i="7"/>
  <c r="AD219" i="7"/>
  <c r="AC219" i="7"/>
  <c r="AB219" i="7"/>
  <c r="BR227" i="7"/>
  <c r="AD227" i="7"/>
  <c r="AC227" i="7"/>
  <c r="AB227" i="7"/>
  <c r="BR235" i="7"/>
  <c r="AD235" i="7"/>
  <c r="AC235" i="7"/>
  <c r="AB235" i="7"/>
  <c r="BR243" i="7"/>
  <c r="AD243" i="7"/>
  <c r="AC243" i="7"/>
  <c r="AB243" i="7"/>
  <c r="AC274" i="7"/>
  <c r="AB274" i="7"/>
  <c r="BR274" i="7"/>
  <c r="AD274" i="7"/>
  <c r="AC282" i="7"/>
  <c r="AB282" i="7"/>
  <c r="BR282" i="7"/>
  <c r="AD282" i="7"/>
  <c r="AC290" i="7"/>
  <c r="AB290" i="7"/>
  <c r="BR290" i="7"/>
  <c r="AD290" i="7"/>
  <c r="AC298" i="7"/>
  <c r="AB298" i="7"/>
  <c r="BR298" i="7"/>
  <c r="AD298" i="7"/>
  <c r="AC306" i="7"/>
  <c r="AB306" i="7"/>
  <c r="BR306" i="7"/>
  <c r="AD306" i="7"/>
  <c r="AC314" i="7"/>
  <c r="AB314" i="7"/>
  <c r="BR314" i="7"/>
  <c r="AD314" i="7"/>
  <c r="AC322" i="7"/>
  <c r="AB322" i="7"/>
  <c r="BR322" i="7"/>
  <c r="AD322" i="7"/>
  <c r="AC330" i="7"/>
  <c r="AB330" i="7"/>
  <c r="BR330" i="7"/>
  <c r="AD330" i="7"/>
  <c r="AB251" i="7"/>
  <c r="BR251" i="7"/>
  <c r="AD251" i="7"/>
  <c r="AC251" i="7"/>
  <c r="AB259" i="7"/>
  <c r="BR259" i="7"/>
  <c r="AD259" i="7"/>
  <c r="AC259" i="7"/>
  <c r="AB267" i="7"/>
  <c r="BR267" i="7"/>
  <c r="AD267" i="7"/>
  <c r="AC267" i="7"/>
  <c r="AB275" i="7"/>
  <c r="BR275" i="7"/>
  <c r="AD275" i="7"/>
  <c r="AC275" i="7"/>
  <c r="AB283" i="7"/>
  <c r="BR283" i="7"/>
  <c r="AD283" i="7"/>
  <c r="AC283" i="7"/>
  <c r="AB291" i="7"/>
  <c r="BR291" i="7"/>
  <c r="AD291" i="7"/>
  <c r="AC291" i="7"/>
  <c r="AB299" i="7"/>
  <c r="BR299" i="7"/>
  <c r="AD299" i="7"/>
  <c r="AC299" i="7"/>
  <c r="AB307" i="7"/>
  <c r="BR307" i="7"/>
  <c r="AD307" i="7"/>
  <c r="AC307" i="7"/>
  <c r="AB315" i="7"/>
  <c r="BR315" i="7"/>
  <c r="AD315" i="7"/>
  <c r="AC315" i="7"/>
  <c r="AB323" i="7"/>
  <c r="BR323" i="7"/>
  <c r="AD323" i="7"/>
  <c r="AC323" i="7"/>
  <c r="AB331" i="7"/>
  <c r="BR331" i="7"/>
  <c r="AD331" i="7"/>
  <c r="AC331" i="7"/>
  <c r="BR338" i="7"/>
  <c r="AD338" i="7"/>
  <c r="AC338" i="7"/>
  <c r="AB338" i="7"/>
  <c r="BR346" i="7"/>
  <c r="AD346" i="7"/>
  <c r="AC346" i="7"/>
  <c r="AB346" i="7"/>
  <c r="BR354" i="7"/>
  <c r="AD354" i="7"/>
  <c r="AC354" i="7"/>
  <c r="AB354" i="7"/>
  <c r="BR362" i="7"/>
  <c r="AD362" i="7"/>
  <c r="AC362" i="7"/>
  <c r="AB362" i="7"/>
  <c r="BR370" i="7"/>
  <c r="AD370" i="7"/>
  <c r="AC370" i="7"/>
  <c r="AB370" i="7"/>
  <c r="BR343" i="7"/>
  <c r="AD343" i="7"/>
  <c r="AC343" i="7"/>
  <c r="AB343" i="7"/>
  <c r="BR351" i="7"/>
  <c r="AD351" i="7"/>
  <c r="AC351" i="7"/>
  <c r="AB351" i="7"/>
  <c r="BR359" i="7"/>
  <c r="AD359" i="7"/>
  <c r="AC359" i="7"/>
  <c r="AB359" i="7"/>
  <c r="BR367" i="7"/>
  <c r="AD367" i="7"/>
  <c r="AC367" i="7"/>
  <c r="AB367" i="7"/>
  <c r="BR375" i="7"/>
  <c r="AD375" i="7"/>
  <c r="AC375" i="7"/>
  <c r="AB375" i="7"/>
  <c r="AC386" i="7"/>
  <c r="AB386" i="7"/>
  <c r="BR386" i="7"/>
  <c r="AD386" i="7"/>
  <c r="AC394" i="7"/>
  <c r="AB394" i="7"/>
  <c r="BR394" i="7"/>
  <c r="AD394" i="7"/>
  <c r="AC402" i="7"/>
  <c r="AB402" i="7"/>
  <c r="BR402" i="7"/>
  <c r="AD402" i="7"/>
  <c r="AC410" i="7"/>
  <c r="AB410" i="7"/>
  <c r="BR410" i="7"/>
  <c r="AD410" i="7"/>
  <c r="AC420" i="7"/>
  <c r="BR420" i="7"/>
  <c r="AB420" i="7"/>
  <c r="AD420" i="7"/>
  <c r="AB419" i="7"/>
  <c r="AD419" i="7"/>
  <c r="AC419" i="7"/>
  <c r="BR419" i="7"/>
  <c r="AB422" i="7"/>
  <c r="BR422" i="7"/>
  <c r="AD422" i="7"/>
  <c r="AB430" i="7"/>
  <c r="BR430" i="7"/>
  <c r="AD430" i="7"/>
  <c r="AB438" i="7"/>
  <c r="BR438" i="7"/>
  <c r="AD438" i="7"/>
  <c r="AB446" i="7"/>
  <c r="BR446" i="7"/>
  <c r="AD446" i="7"/>
  <c r="AD428" i="7"/>
  <c r="AC428" i="7"/>
  <c r="BR428" i="7"/>
  <c r="AB428" i="7"/>
  <c r="AD444" i="7"/>
  <c r="AC444" i="7"/>
  <c r="BR444" i="7"/>
  <c r="AB444" i="7"/>
  <c r="AC456" i="7"/>
  <c r="BR456" i="7"/>
  <c r="AB456" i="7"/>
  <c r="AD472" i="7"/>
  <c r="AC472" i="7"/>
  <c r="BR472" i="7"/>
  <c r="AB472" i="7"/>
  <c r="AD454" i="7"/>
  <c r="AB454" i="7"/>
  <c r="BR454" i="7"/>
  <c r="AD462" i="7"/>
  <c r="AB462" i="7"/>
  <c r="BR462" i="7"/>
  <c r="AD470" i="7"/>
  <c r="AB470" i="7"/>
  <c r="BR470" i="7"/>
  <c r="AC480" i="7"/>
  <c r="BR480" i="7"/>
  <c r="AB480" i="7"/>
  <c r="AD480" i="7"/>
  <c r="BR478" i="7"/>
  <c r="AD478" i="7"/>
  <c r="AB478" i="7"/>
  <c r="AB481" i="7"/>
  <c r="BR481" i="7"/>
  <c r="AD481" i="7"/>
  <c r="AC481" i="7"/>
  <c r="AB489" i="7"/>
  <c r="BR489" i="7"/>
  <c r="AD489" i="7"/>
  <c r="AC489" i="7"/>
  <c r="AB506" i="7"/>
  <c r="AD506" i="7"/>
  <c r="BR506" i="7"/>
  <c r="AB497" i="7"/>
  <c r="BR497" i="7"/>
  <c r="AC497" i="7"/>
  <c r="AD497" i="7"/>
  <c r="BR486" i="7"/>
  <c r="AB486" i="7"/>
  <c r="AC486" i="7"/>
  <c r="BR504" i="7"/>
  <c r="AC504" i="7"/>
  <c r="AB504" i="7"/>
  <c r="BR505" i="7"/>
  <c r="AB505" i="7"/>
  <c r="H8" i="34"/>
  <c r="H7" i="34"/>
  <c r="G7" i="34"/>
  <c r="I8" i="34"/>
  <c r="G8" i="34"/>
  <c r="J8" i="34" s="1"/>
  <c r="I7" i="34"/>
  <c r="C15" i="32"/>
  <c r="AB25" i="7"/>
  <c r="BR25" i="7"/>
  <c r="AE19" i="7"/>
  <c r="AD238" i="7"/>
  <c r="AD222" i="7"/>
  <c r="AD206" i="7"/>
  <c r="AD190" i="7"/>
  <c r="AD174" i="7"/>
  <c r="AB148" i="7"/>
  <c r="BR148" i="7"/>
  <c r="AD148" i="7"/>
  <c r="AC148" i="7"/>
  <c r="C122" i="32"/>
  <c r="AB132" i="7"/>
  <c r="BR132" i="7"/>
  <c r="AD132" i="7"/>
  <c r="AC132" i="7"/>
  <c r="C106" i="32"/>
  <c r="AB116" i="7"/>
  <c r="BR116" i="7"/>
  <c r="AD116" i="7"/>
  <c r="AC116" i="7"/>
  <c r="C90" i="32"/>
  <c r="AB100" i="7"/>
  <c r="BR100" i="7"/>
  <c r="AD100" i="7"/>
  <c r="AC100" i="7"/>
  <c r="C74" i="32"/>
  <c r="AB84" i="7"/>
  <c r="BR84" i="7"/>
  <c r="AD84" i="7"/>
  <c r="AC84" i="7"/>
  <c r="C58" i="32"/>
  <c r="AB68" i="7"/>
  <c r="BR68" i="7"/>
  <c r="AD68" i="7"/>
  <c r="AC68" i="7"/>
  <c r="C42" i="32"/>
  <c r="AB52" i="7"/>
  <c r="BR52" i="7"/>
  <c r="AD52" i="7"/>
  <c r="AC52" i="7"/>
  <c r="C26" i="32"/>
  <c r="AB36" i="7"/>
  <c r="BR36" i="7"/>
  <c r="AD36" i="7"/>
  <c r="AC36" i="7"/>
  <c r="AC25" i="7"/>
  <c r="AC21" i="7"/>
  <c r="DC16" i="7"/>
  <c r="CH17" i="7"/>
  <c r="BN16" i="7"/>
  <c r="AD22" i="7"/>
  <c r="CC19" i="7"/>
  <c r="CX18" i="7"/>
  <c r="CK19" i="7"/>
  <c r="DF18" i="7"/>
  <c r="CM18" i="7"/>
  <c r="DH17" i="7"/>
  <c r="AD166" i="7"/>
  <c r="AD38" i="7"/>
  <c r="AE172" i="7"/>
  <c r="AD145" i="7"/>
  <c r="AD129" i="7"/>
  <c r="AD113" i="7"/>
  <c r="AD97" i="7"/>
  <c r="AD81" i="7"/>
  <c r="AD65" i="7"/>
  <c r="AD49" i="7"/>
  <c r="AD33" i="7"/>
  <c r="S19" i="8"/>
  <c r="F18" i="8"/>
  <c r="M13" i="1"/>
  <c r="M9" i="1"/>
  <c r="M11" i="1"/>
  <c r="M7" i="1"/>
  <c r="M5" i="1"/>
  <c r="M14" i="1"/>
  <c r="M15" i="1" s="1"/>
  <c r="M16" i="1" s="1"/>
  <c r="M17" i="1" s="1"/>
  <c r="M18" i="1" s="1"/>
  <c r="M19" i="1" s="1"/>
  <c r="M20" i="1" s="1"/>
  <c r="M21" i="1" s="1"/>
  <c r="M22" i="1" s="1"/>
  <c r="M23" i="1" s="1"/>
  <c r="M24" i="1" s="1"/>
  <c r="M25" i="1" s="1"/>
  <c r="M26" i="1" s="1"/>
  <c r="M27" i="1" s="1"/>
  <c r="M28" i="1" s="1"/>
  <c r="M29" i="1" s="1"/>
  <c r="M10" i="1"/>
  <c r="M6" i="1"/>
  <c r="M12" i="1"/>
  <c r="M8" i="1"/>
  <c r="D6" i="1"/>
  <c r="D5" i="1"/>
  <c r="D12" i="1"/>
  <c r="D8" i="1"/>
  <c r="D7" i="1"/>
  <c r="D14" i="1"/>
  <c r="D15" i="1" s="1"/>
  <c r="D16" i="1" s="1"/>
  <c r="D17" i="1" s="1"/>
  <c r="D18" i="1" s="1"/>
  <c r="D19" i="1" s="1"/>
  <c r="D20" i="1" s="1"/>
  <c r="D21" i="1" s="1"/>
  <c r="D22" i="1" s="1"/>
  <c r="D23" i="1" s="1"/>
  <c r="D24" i="1" s="1"/>
  <c r="D10" i="1"/>
  <c r="D13" i="1"/>
  <c r="D9" i="1"/>
  <c r="D11" i="1"/>
  <c r="H7" i="1"/>
  <c r="H14" i="1"/>
  <c r="H15" i="1" s="1"/>
  <c r="H16" i="1" s="1"/>
  <c r="H17" i="1" s="1"/>
  <c r="H18" i="1" s="1"/>
  <c r="H19" i="1" s="1"/>
  <c r="H20" i="1" s="1"/>
  <c r="H21" i="1" s="1"/>
  <c r="H22" i="1" s="1"/>
  <c r="H23" i="1" s="1"/>
  <c r="H24" i="1" s="1"/>
  <c r="H13" i="1"/>
  <c r="H10" i="1"/>
  <c r="H9" i="1"/>
  <c r="H6" i="1"/>
  <c r="H12" i="1"/>
  <c r="H11" i="1"/>
  <c r="H8" i="1"/>
  <c r="H5" i="1"/>
  <c r="D20" i="18"/>
  <c r="AG8" i="1"/>
  <c r="AH8" i="1" s="1"/>
  <c r="AC8" i="1"/>
  <c r="AE8" i="1"/>
  <c r="AF8" i="1" s="1"/>
  <c r="AC9" i="1"/>
  <c r="AG9" i="1"/>
  <c r="AH9" i="1" s="1"/>
  <c r="AE9" i="1"/>
  <c r="AH6" i="1"/>
  <c r="AH7" i="1" s="1"/>
  <c r="EM18" i="7"/>
  <c r="CL19" i="7"/>
  <c r="DG18" i="7"/>
  <c r="AC262" i="7"/>
  <c r="AB262" i="7"/>
  <c r="AD262" i="7"/>
  <c r="BR262" i="7"/>
  <c r="BR256" i="7"/>
  <c r="AB256" i="7"/>
  <c r="BR264" i="7"/>
  <c r="AB264" i="7"/>
  <c r="BR272" i="7"/>
  <c r="AB272" i="7"/>
  <c r="BR280" i="7"/>
  <c r="AB280" i="7"/>
  <c r="BR288" i="7"/>
  <c r="AB288" i="7"/>
  <c r="BR296" i="7"/>
  <c r="AB296" i="7"/>
  <c r="BR304" i="7"/>
  <c r="AB304" i="7"/>
  <c r="BR312" i="7"/>
  <c r="AB312" i="7"/>
  <c r="BR320" i="7"/>
  <c r="AB320" i="7"/>
  <c r="BR328" i="7"/>
  <c r="AB328" i="7"/>
  <c r="BR253" i="7"/>
  <c r="AD253" i="7"/>
  <c r="AC253" i="7"/>
  <c r="AB253" i="7"/>
  <c r="BR261" i="7"/>
  <c r="AD261" i="7"/>
  <c r="AC261" i="7"/>
  <c r="AB261" i="7"/>
  <c r="BR269" i="7"/>
  <c r="AD269" i="7"/>
  <c r="AC269" i="7"/>
  <c r="AB269" i="7"/>
  <c r="BR277" i="7"/>
  <c r="AD277" i="7"/>
  <c r="AC277" i="7"/>
  <c r="AB277" i="7"/>
  <c r="BR285" i="7"/>
  <c r="AB285" i="7"/>
  <c r="BR293" i="7"/>
  <c r="AB293" i="7"/>
  <c r="BR301" i="7"/>
  <c r="AB301" i="7"/>
  <c r="BR309" i="7"/>
  <c r="AB309" i="7"/>
  <c r="BR317" i="7"/>
  <c r="AB317" i="7"/>
  <c r="BR325" i="7"/>
  <c r="AD325" i="7"/>
  <c r="AC325" i="7"/>
  <c r="AB325" i="7"/>
  <c r="BR333" i="7"/>
  <c r="AD333" i="7"/>
  <c r="AC333" i="7"/>
  <c r="AB333" i="7"/>
  <c r="AC340" i="7"/>
  <c r="AB340" i="7"/>
  <c r="BR340" i="7"/>
  <c r="AD340" i="7"/>
  <c r="AC348" i="7"/>
  <c r="AB348" i="7"/>
  <c r="BR348" i="7"/>
  <c r="AD348" i="7"/>
  <c r="AC356" i="7"/>
  <c r="AB356" i="7"/>
  <c r="BR356" i="7"/>
  <c r="AD356" i="7"/>
  <c r="AC364" i="7"/>
  <c r="AB364" i="7"/>
  <c r="BR364" i="7"/>
  <c r="AD364" i="7"/>
  <c r="AC372" i="7"/>
  <c r="AB372" i="7"/>
  <c r="BR372" i="7"/>
  <c r="AD372" i="7"/>
  <c r="AB337" i="7"/>
  <c r="BR337" i="7"/>
  <c r="AD337" i="7"/>
  <c r="AC337" i="7"/>
  <c r="AB345" i="7"/>
  <c r="BR345" i="7"/>
  <c r="AD345" i="7"/>
  <c r="AC345" i="7"/>
  <c r="AB353" i="7"/>
  <c r="BR353" i="7"/>
  <c r="AD353" i="7"/>
  <c r="AC353" i="7"/>
  <c r="AB361" i="7"/>
  <c r="BR361" i="7"/>
  <c r="AD361" i="7"/>
  <c r="AC361" i="7"/>
  <c r="AB369" i="7"/>
  <c r="BR369" i="7"/>
  <c r="AD369" i="7"/>
  <c r="AC369" i="7"/>
  <c r="AB377" i="7"/>
  <c r="BR377" i="7"/>
  <c r="AD377" i="7"/>
  <c r="AC377" i="7"/>
  <c r="AB379" i="7"/>
  <c r="BR379" i="7"/>
  <c r="AD379" i="7"/>
  <c r="AC379" i="7"/>
  <c r="AB387" i="7"/>
  <c r="BR387" i="7"/>
  <c r="AD387" i="7"/>
  <c r="AC387" i="7"/>
  <c r="AB395" i="7"/>
  <c r="BR395" i="7"/>
  <c r="AD395" i="7"/>
  <c r="AC395" i="7"/>
  <c r="AB403" i="7"/>
  <c r="BR403" i="7"/>
  <c r="AD403" i="7"/>
  <c r="AC403" i="7"/>
  <c r="AB411" i="7"/>
  <c r="BR411" i="7"/>
  <c r="AD411" i="7"/>
  <c r="AC411" i="7"/>
  <c r="BR418" i="7"/>
  <c r="AD418" i="7"/>
  <c r="AB418" i="7"/>
  <c r="BR384" i="7"/>
  <c r="AB384" i="7"/>
  <c r="BR392" i="7"/>
  <c r="AB392" i="7"/>
  <c r="BR400" i="7"/>
  <c r="AB400" i="7"/>
  <c r="BR408" i="7"/>
  <c r="AC408" i="7"/>
  <c r="AB408" i="7"/>
  <c r="BR416" i="7"/>
  <c r="AD416" i="7"/>
  <c r="AC416" i="7"/>
  <c r="AB416" i="7"/>
  <c r="BR381" i="7"/>
  <c r="AD381" i="7"/>
  <c r="AC381" i="7"/>
  <c r="AB381" i="7"/>
  <c r="BR389" i="7"/>
  <c r="AD389" i="7"/>
  <c r="AC389" i="7"/>
  <c r="AB389" i="7"/>
  <c r="BR397" i="7"/>
  <c r="AD397" i="7"/>
  <c r="AC397" i="7"/>
  <c r="AB397" i="7"/>
  <c r="BR405" i="7"/>
  <c r="AD405" i="7"/>
  <c r="AC405" i="7"/>
  <c r="AB405" i="7"/>
  <c r="BR413" i="7"/>
  <c r="AD413" i="7"/>
  <c r="AC413" i="7"/>
  <c r="AB413" i="7"/>
  <c r="AB427" i="7"/>
  <c r="BR427" i="7"/>
  <c r="AD427" i="7"/>
  <c r="AC427" i="7"/>
  <c r="AB435" i="7"/>
  <c r="BR435" i="7"/>
  <c r="AD435" i="7"/>
  <c r="AC435" i="7"/>
  <c r="AB443" i="7"/>
  <c r="BR443" i="7"/>
  <c r="AD443" i="7"/>
  <c r="AC443" i="7"/>
  <c r="AD432" i="7"/>
  <c r="AC432" i="7"/>
  <c r="BR432" i="7"/>
  <c r="AB432" i="7"/>
  <c r="AD448" i="7"/>
  <c r="AC448" i="7"/>
  <c r="BR448" i="7"/>
  <c r="AB448" i="7"/>
  <c r="AB455" i="7"/>
  <c r="AC455" i="7"/>
  <c r="BR455" i="7"/>
  <c r="AD455" i="7"/>
  <c r="AB463" i="7"/>
  <c r="AC463" i="7"/>
  <c r="BR463" i="7"/>
  <c r="AD463" i="7"/>
  <c r="AB471" i="7"/>
  <c r="AC471" i="7"/>
  <c r="BR471" i="7"/>
  <c r="AD471" i="7"/>
  <c r="AD460" i="7"/>
  <c r="AC460" i="7"/>
  <c r="BR460" i="7"/>
  <c r="AB460" i="7"/>
  <c r="AD476" i="7"/>
  <c r="AC476" i="7"/>
  <c r="BR476" i="7"/>
  <c r="AB476" i="7"/>
  <c r="AB484" i="7"/>
  <c r="AD484" i="7"/>
  <c r="BR484" i="7"/>
  <c r="AB502" i="7"/>
  <c r="AD502" i="7"/>
  <c r="BR502" i="7"/>
  <c r="AB507" i="7"/>
  <c r="BR507" i="7"/>
  <c r="AD507" i="7"/>
  <c r="AC507" i="7"/>
  <c r="BR421" i="7"/>
  <c r="AB421" i="7"/>
  <c r="AC421" i="7"/>
  <c r="BR429" i="7"/>
  <c r="AC429" i="7"/>
  <c r="AB429" i="7"/>
  <c r="BR437" i="7"/>
  <c r="AC437" i="7"/>
  <c r="AB437" i="7"/>
  <c r="BR445" i="7"/>
  <c r="AC445" i="7"/>
  <c r="AB445" i="7"/>
  <c r="BR453" i="7"/>
  <c r="AC453" i="7"/>
  <c r="AB453" i="7"/>
  <c r="BR461" i="7"/>
  <c r="AC461" i="7"/>
  <c r="AB461" i="7"/>
  <c r="BR469" i="7"/>
  <c r="AC469" i="7"/>
  <c r="AB469" i="7"/>
  <c r="BR477" i="7"/>
  <c r="AC477" i="7"/>
  <c r="AB477" i="7"/>
  <c r="BR490" i="7"/>
  <c r="AB490" i="7"/>
  <c r="AC490" i="7"/>
  <c r="AB503" i="7"/>
  <c r="BR503" i="7"/>
  <c r="AC503" i="7"/>
  <c r="AD503" i="7"/>
  <c r="BR483" i="7"/>
  <c r="AB483" i="7"/>
  <c r="BR491" i="7"/>
  <c r="AB491" i="7"/>
  <c r="BR499" i="7"/>
  <c r="AD499" i="7"/>
  <c r="AC499" i="7"/>
  <c r="AB499" i="7"/>
  <c r="BR508" i="7"/>
  <c r="AB508" i="7"/>
  <c r="AC508" i="7"/>
  <c r="P5" i="18"/>
  <c r="R5" i="18"/>
  <c r="Q4" i="18"/>
  <c r="Q3" i="18"/>
  <c r="P4" i="18"/>
  <c r="R3" i="18"/>
  <c r="P3" i="18"/>
  <c r="B10" i="18" s="1"/>
  <c r="R4" i="18"/>
  <c r="Q5" i="18"/>
  <c r="BR165" i="7"/>
  <c r="AD165" i="7"/>
  <c r="AC165" i="7"/>
  <c r="AB165" i="7"/>
  <c r="BR157" i="7"/>
  <c r="AB157" i="7"/>
  <c r="BR149" i="7"/>
  <c r="AB149" i="7"/>
  <c r="C131" i="32"/>
  <c r="BR141" i="7"/>
  <c r="AB141" i="7"/>
  <c r="C123" i="32"/>
  <c r="BR133" i="7"/>
  <c r="AB133" i="7"/>
  <c r="C115" i="32"/>
  <c r="BR125" i="7"/>
  <c r="AB125" i="7"/>
  <c r="C107" i="32"/>
  <c r="BR117" i="7"/>
  <c r="AB117" i="7"/>
  <c r="C99" i="32"/>
  <c r="BR109" i="7"/>
  <c r="AB109" i="7"/>
  <c r="C91" i="32"/>
  <c r="BR101" i="7"/>
  <c r="AB101" i="7"/>
  <c r="C83" i="32"/>
  <c r="BR93" i="7"/>
  <c r="AB93" i="7"/>
  <c r="C75" i="32"/>
  <c r="BR85" i="7"/>
  <c r="AB85" i="7"/>
  <c r="C67" i="32"/>
  <c r="BR77" i="7"/>
  <c r="AB77" i="7"/>
  <c r="C59" i="32"/>
  <c r="BR69" i="7"/>
  <c r="AB69" i="7"/>
  <c r="C51" i="32"/>
  <c r="BR61" i="7"/>
  <c r="AB61" i="7"/>
  <c r="C43" i="32"/>
  <c r="BR53" i="7"/>
  <c r="AB53" i="7"/>
  <c r="C35" i="32"/>
  <c r="BR45" i="7"/>
  <c r="AB45" i="7"/>
  <c r="C27" i="32"/>
  <c r="BR37" i="7"/>
  <c r="AB37" i="7"/>
  <c r="C19" i="32"/>
  <c r="BR29" i="7"/>
  <c r="AB29" i="7"/>
  <c r="AE23" i="7"/>
  <c r="DG17" i="7"/>
  <c r="EM17" i="7"/>
  <c r="AB164" i="7"/>
  <c r="BR164" i="7"/>
  <c r="AD164" i="7"/>
  <c r="AC164" i="7"/>
  <c r="AB152" i="7"/>
  <c r="BR152" i="7"/>
  <c r="AD152" i="7"/>
  <c r="AC152" i="7"/>
  <c r="C126" i="32"/>
  <c r="AB136" i="7"/>
  <c r="BR136" i="7"/>
  <c r="AD136" i="7"/>
  <c r="AC136" i="7"/>
  <c r="C110" i="32"/>
  <c r="AB120" i="7"/>
  <c r="BR120" i="7"/>
  <c r="AD120" i="7"/>
  <c r="AC120" i="7"/>
  <c r="C94" i="32"/>
  <c r="AB104" i="7"/>
  <c r="BR104" i="7"/>
  <c r="AD104" i="7"/>
  <c r="AC104" i="7"/>
  <c r="C78" i="32"/>
  <c r="AB88" i="7"/>
  <c r="BR88" i="7"/>
  <c r="AD88" i="7"/>
  <c r="AC88" i="7"/>
  <c r="C62" i="32"/>
  <c r="AB72" i="7"/>
  <c r="BR72" i="7"/>
  <c r="AD72" i="7"/>
  <c r="AC72" i="7"/>
  <c r="C46" i="32"/>
  <c r="AB56" i="7"/>
  <c r="BR56" i="7"/>
  <c r="AD56" i="7"/>
  <c r="AC56" i="7"/>
  <c r="C30" i="32"/>
  <c r="AB40" i="7"/>
  <c r="BR40" i="7"/>
  <c r="AD40" i="7"/>
  <c r="AC40" i="7"/>
  <c r="AC163" i="7"/>
  <c r="AB163" i="7"/>
  <c r="BR163" i="7"/>
  <c r="AD163" i="7"/>
  <c r="AB155" i="7"/>
  <c r="BR155" i="7"/>
  <c r="AD155" i="7"/>
  <c r="C137" i="32"/>
  <c r="AB147" i="7"/>
  <c r="BR147" i="7"/>
  <c r="AD147" i="7"/>
  <c r="C129" i="32"/>
  <c r="AB139" i="7"/>
  <c r="BR139" i="7"/>
  <c r="AD139" i="7"/>
  <c r="C121" i="32"/>
  <c r="AB131" i="7"/>
  <c r="BR131" i="7"/>
  <c r="AD131" i="7"/>
  <c r="C113" i="32"/>
  <c r="AB123" i="7"/>
  <c r="BR123" i="7"/>
  <c r="AD123" i="7"/>
  <c r="C105" i="32"/>
  <c r="AB115" i="7"/>
  <c r="BR115" i="7"/>
  <c r="AD115" i="7"/>
  <c r="C97" i="32"/>
  <c r="AB107" i="7"/>
  <c r="BR107" i="7"/>
  <c r="AD107" i="7"/>
  <c r="C89" i="32"/>
  <c r="AB99" i="7"/>
  <c r="BR99" i="7"/>
  <c r="AD99" i="7"/>
  <c r="C81" i="32"/>
  <c r="AB91" i="7"/>
  <c r="BR91" i="7"/>
  <c r="AD91" i="7"/>
  <c r="C73" i="32"/>
  <c r="AB83" i="7"/>
  <c r="BR83" i="7"/>
  <c r="AD83" i="7"/>
  <c r="C65" i="32"/>
  <c r="AB75" i="7"/>
  <c r="BR75" i="7"/>
  <c r="AD75" i="7"/>
  <c r="C57" i="32"/>
  <c r="AB67" i="7"/>
  <c r="BR67" i="7"/>
  <c r="AD67" i="7"/>
  <c r="C49" i="32"/>
  <c r="AB59" i="7"/>
  <c r="BR59" i="7"/>
  <c r="AD59" i="7"/>
  <c r="C41" i="32"/>
  <c r="AB51" i="7"/>
  <c r="BR51" i="7"/>
  <c r="AD51" i="7"/>
  <c r="C33" i="32"/>
  <c r="AB43" i="7"/>
  <c r="BR43" i="7"/>
  <c r="AD43" i="7"/>
  <c r="C25" i="32"/>
  <c r="AB35" i="7"/>
  <c r="BR35" i="7"/>
  <c r="AD35" i="7"/>
  <c r="BX18" i="7"/>
  <c r="CS17" i="7"/>
  <c r="AC155" i="7"/>
  <c r="AC139" i="7"/>
  <c r="AC123" i="7"/>
  <c r="AC107" i="7"/>
  <c r="AC91" i="7"/>
  <c r="AC75" i="7"/>
  <c r="AC59" i="7"/>
  <c r="AC43" i="7"/>
  <c r="CV17" i="7"/>
  <c r="CA18" i="7"/>
  <c r="BZ18" i="7"/>
  <c r="CU17" i="7"/>
  <c r="EN17" i="7"/>
  <c r="AD54" i="7"/>
  <c r="AD157" i="7"/>
  <c r="AD141" i="7"/>
  <c r="AD125" i="7"/>
  <c r="AD109" i="7"/>
  <c r="AD93" i="7"/>
  <c r="AD77" i="7"/>
  <c r="AD61" i="7"/>
  <c r="AD45" i="7"/>
  <c r="AD29" i="7"/>
  <c r="AE4" i="18"/>
  <c r="AG4" i="18"/>
  <c r="AF4" i="18"/>
  <c r="T20" i="8"/>
  <c r="G19" i="8"/>
  <c r="AD5" i="1"/>
  <c r="AD6" i="1"/>
  <c r="AD7" i="1" s="1"/>
  <c r="I6" i="1"/>
  <c r="I1" i="1"/>
  <c r="AG12" i="1"/>
  <c r="AC12" i="1"/>
  <c r="AE12" i="1"/>
  <c r="AC13" i="1"/>
  <c r="AG13" i="1"/>
  <c r="AE13" i="1"/>
  <c r="H22" i="8"/>
  <c r="U21" i="8"/>
  <c r="AE170" i="7"/>
  <c r="BR162" i="7"/>
  <c r="AC162" i="7"/>
  <c r="AB162" i="7"/>
  <c r="BR154" i="7"/>
  <c r="AD154" i="7"/>
  <c r="AC154" i="7"/>
  <c r="AB154" i="7"/>
  <c r="C136" i="32"/>
  <c r="BR146" i="7"/>
  <c r="AD146" i="7"/>
  <c r="AC146" i="7"/>
  <c r="AB146" i="7"/>
  <c r="C128" i="32"/>
  <c r="BR138" i="7"/>
  <c r="AD138" i="7"/>
  <c r="AC138" i="7"/>
  <c r="AB138" i="7"/>
  <c r="C120" i="32"/>
  <c r="BR130" i="7"/>
  <c r="AD130" i="7"/>
  <c r="AC130" i="7"/>
  <c r="AB130" i="7"/>
  <c r="C112" i="32"/>
  <c r="BR122" i="7"/>
  <c r="AC122" i="7"/>
  <c r="AB122" i="7"/>
  <c r="C104" i="32"/>
  <c r="BR114" i="7"/>
  <c r="AD114" i="7"/>
  <c r="AC114" i="7"/>
  <c r="AB114" i="7"/>
  <c r="C96" i="32"/>
  <c r="BR106" i="7"/>
  <c r="AD106" i="7"/>
  <c r="AC106" i="7"/>
  <c r="AB106" i="7"/>
  <c r="C88" i="32"/>
  <c r="BR98" i="7"/>
  <c r="AD98" i="7"/>
  <c r="AC98" i="7"/>
  <c r="AB98" i="7"/>
  <c r="C80" i="32"/>
  <c r="BR90" i="7"/>
  <c r="AD90" i="7"/>
  <c r="AC90" i="7"/>
  <c r="AB90" i="7"/>
  <c r="C72" i="32"/>
  <c r="BR82" i="7"/>
  <c r="AD82" i="7"/>
  <c r="AC82" i="7"/>
  <c r="AB82" i="7"/>
  <c r="C64" i="32"/>
  <c r="BR74" i="7"/>
  <c r="AD74" i="7"/>
  <c r="AC74" i="7"/>
  <c r="AB74" i="7"/>
  <c r="C56" i="32"/>
  <c r="BR66" i="7"/>
  <c r="AD66" i="7"/>
  <c r="AC66" i="7"/>
  <c r="AB66" i="7"/>
  <c r="C48" i="32"/>
  <c r="BR58" i="7"/>
  <c r="AC58" i="7"/>
  <c r="AB58" i="7"/>
  <c r="C40" i="32"/>
  <c r="BR50" i="7"/>
  <c r="AC50" i="7"/>
  <c r="AB50" i="7"/>
  <c r="C32" i="32"/>
  <c r="BR42" i="7"/>
  <c r="AD42" i="7"/>
  <c r="AC42" i="7"/>
  <c r="AB42" i="7"/>
  <c r="C24" i="32"/>
  <c r="BR34" i="7"/>
  <c r="AC34" i="7"/>
  <c r="AB34" i="7"/>
  <c r="C16" i="32"/>
  <c r="BR26" i="7"/>
  <c r="AC26" i="7"/>
  <c r="AB26" i="7"/>
  <c r="C8" i="32"/>
  <c r="BR18" i="7"/>
  <c r="AD18" i="7"/>
  <c r="AC18" i="7"/>
  <c r="AB18" i="7"/>
  <c r="AC176" i="7"/>
  <c r="AB176" i="7"/>
  <c r="BR176" i="7"/>
  <c r="AD176" i="7"/>
  <c r="AC184" i="7"/>
  <c r="AB184" i="7"/>
  <c r="BR184" i="7"/>
  <c r="AD184" i="7"/>
  <c r="AC192" i="7"/>
  <c r="AB192" i="7"/>
  <c r="BR192" i="7"/>
  <c r="AD192" i="7"/>
  <c r="AC200" i="7"/>
  <c r="AB200" i="7"/>
  <c r="BR200" i="7"/>
  <c r="AD200" i="7"/>
  <c r="AC208" i="7"/>
  <c r="AB208" i="7"/>
  <c r="BR208" i="7"/>
  <c r="AD208" i="7"/>
  <c r="AC216" i="7"/>
  <c r="AB216" i="7"/>
  <c r="BR216" i="7"/>
  <c r="AD216" i="7"/>
  <c r="AC224" i="7"/>
  <c r="AB224" i="7"/>
  <c r="BR224" i="7"/>
  <c r="AD224" i="7"/>
  <c r="AC232" i="7"/>
  <c r="AB232" i="7"/>
  <c r="BR232" i="7"/>
  <c r="AD232" i="7"/>
  <c r="AC240" i="7"/>
  <c r="AB240" i="7"/>
  <c r="BR240" i="7"/>
  <c r="AD240" i="7"/>
  <c r="AC248" i="7"/>
  <c r="AB248" i="7"/>
  <c r="BR248" i="7"/>
  <c r="AD248" i="7"/>
  <c r="AB177" i="7"/>
  <c r="BR177" i="7"/>
  <c r="AD177" i="7"/>
  <c r="AC177" i="7"/>
  <c r="AB185" i="7"/>
  <c r="BR185" i="7"/>
  <c r="AD185" i="7"/>
  <c r="AC185" i="7"/>
  <c r="AB193" i="7"/>
  <c r="BR193" i="7"/>
  <c r="AD193" i="7"/>
  <c r="AC193" i="7"/>
  <c r="AB201" i="7"/>
  <c r="BR201" i="7"/>
  <c r="AD201" i="7"/>
  <c r="AC201" i="7"/>
  <c r="AB209" i="7"/>
  <c r="BR209" i="7"/>
  <c r="AD209" i="7"/>
  <c r="AC209" i="7"/>
  <c r="AB217" i="7"/>
  <c r="BR217" i="7"/>
  <c r="AD217" i="7"/>
  <c r="AC217" i="7"/>
  <c r="AB225" i="7"/>
  <c r="BR225" i="7"/>
  <c r="AD225" i="7"/>
  <c r="AC225" i="7"/>
  <c r="AB233" i="7"/>
  <c r="BR233" i="7"/>
  <c r="AD233" i="7"/>
  <c r="AC233" i="7"/>
  <c r="AB241" i="7"/>
  <c r="BR241" i="7"/>
  <c r="AD241" i="7"/>
  <c r="AC241" i="7"/>
  <c r="AB249" i="7"/>
  <c r="BR249" i="7"/>
  <c r="AD249" i="7"/>
  <c r="AC249" i="7"/>
  <c r="BR170" i="7"/>
  <c r="AC170" i="7"/>
  <c r="BR178" i="7"/>
  <c r="AB178" i="7"/>
  <c r="BR186" i="7"/>
  <c r="AB186" i="7"/>
  <c r="BR194" i="7"/>
  <c r="AB194" i="7"/>
  <c r="BR202" i="7"/>
  <c r="AB202" i="7"/>
  <c r="BR210" i="7"/>
  <c r="AB210" i="7"/>
  <c r="BR218" i="7"/>
  <c r="AB218" i="7"/>
  <c r="BR226" i="7"/>
  <c r="AB226" i="7"/>
  <c r="BR234" i="7"/>
  <c r="AB234" i="7"/>
  <c r="BR242" i="7"/>
  <c r="AC242" i="7"/>
  <c r="AB242" i="7"/>
  <c r="BR250" i="7"/>
  <c r="AD250" i="7"/>
  <c r="AC250" i="7"/>
  <c r="AB250" i="7"/>
  <c r="AC266" i="7"/>
  <c r="AB266" i="7"/>
  <c r="AD266" i="7"/>
  <c r="BR266" i="7"/>
  <c r="BR175" i="7"/>
  <c r="AD175" i="7"/>
  <c r="AC175" i="7"/>
  <c r="AB175" i="7"/>
  <c r="BR183" i="7"/>
  <c r="AD183" i="7"/>
  <c r="AC183" i="7"/>
  <c r="AB183" i="7"/>
  <c r="BR191" i="7"/>
  <c r="AD191" i="7"/>
  <c r="AC191" i="7"/>
  <c r="AB191" i="7"/>
  <c r="BR199" i="7"/>
  <c r="AD199" i="7"/>
  <c r="AC199" i="7"/>
  <c r="AB199" i="7"/>
  <c r="BR207" i="7"/>
  <c r="AD207" i="7"/>
  <c r="AC207" i="7"/>
  <c r="AB207" i="7"/>
  <c r="BR215" i="7"/>
  <c r="AD215" i="7"/>
  <c r="AC215" i="7"/>
  <c r="AB215" i="7"/>
  <c r="BR223" i="7"/>
  <c r="AD223" i="7"/>
  <c r="AC223" i="7"/>
  <c r="AB223" i="7"/>
  <c r="BR231" i="7"/>
  <c r="AD231" i="7"/>
  <c r="AC231" i="7"/>
  <c r="AB231" i="7"/>
  <c r="BR239" i="7"/>
  <c r="AD239" i="7"/>
  <c r="AC239" i="7"/>
  <c r="AB239" i="7"/>
  <c r="BR247" i="7"/>
  <c r="AD247" i="7"/>
  <c r="AC247" i="7"/>
  <c r="AB247" i="7"/>
  <c r="AC278" i="7"/>
  <c r="AB278" i="7"/>
  <c r="BR278" i="7"/>
  <c r="AD278" i="7"/>
  <c r="AC286" i="7"/>
  <c r="AB286" i="7"/>
  <c r="BR286" i="7"/>
  <c r="AD286" i="7"/>
  <c r="AC294" i="7"/>
  <c r="AB294" i="7"/>
  <c r="BR294" i="7"/>
  <c r="AD294" i="7"/>
  <c r="AC302" i="7"/>
  <c r="AB302" i="7"/>
  <c r="BR302" i="7"/>
  <c r="AD302" i="7"/>
  <c r="AC310" i="7"/>
  <c r="AB310" i="7"/>
  <c r="BR310" i="7"/>
  <c r="AD310" i="7"/>
  <c r="AC318" i="7"/>
  <c r="AB318" i="7"/>
  <c r="BR318" i="7"/>
  <c r="AD318" i="7"/>
  <c r="AC326" i="7"/>
  <c r="AB326" i="7"/>
  <c r="BR326" i="7"/>
  <c r="AD326" i="7"/>
  <c r="AC334" i="7"/>
  <c r="AB334" i="7"/>
  <c r="BR334" i="7"/>
  <c r="AD334" i="7"/>
  <c r="AB255" i="7"/>
  <c r="BR255" i="7"/>
  <c r="AD255" i="7"/>
  <c r="AC255" i="7"/>
  <c r="AB263" i="7"/>
  <c r="BR263" i="7"/>
  <c r="AD263" i="7"/>
  <c r="AC263" i="7"/>
  <c r="AB271" i="7"/>
  <c r="BR271" i="7"/>
  <c r="AD271" i="7"/>
  <c r="AC271" i="7"/>
  <c r="AB279" i="7"/>
  <c r="BR279" i="7"/>
  <c r="AD279" i="7"/>
  <c r="AC279" i="7"/>
  <c r="AB287" i="7"/>
  <c r="BR287" i="7"/>
  <c r="AD287" i="7"/>
  <c r="AC287" i="7"/>
  <c r="AB295" i="7"/>
  <c r="BR295" i="7"/>
  <c r="AD295" i="7"/>
  <c r="AC295" i="7"/>
  <c r="AB303" i="7"/>
  <c r="BR303" i="7"/>
  <c r="AD303" i="7"/>
  <c r="AC303" i="7"/>
  <c r="AB311" i="7"/>
  <c r="BR311" i="7"/>
  <c r="AD311" i="7"/>
  <c r="AC311" i="7"/>
  <c r="AB319" i="7"/>
  <c r="BR319" i="7"/>
  <c r="AD319" i="7"/>
  <c r="AC319" i="7"/>
  <c r="AB327" i="7"/>
  <c r="BR327" i="7"/>
  <c r="AD327" i="7"/>
  <c r="AC327" i="7"/>
  <c r="AB335" i="7"/>
  <c r="BR335" i="7"/>
  <c r="AD335" i="7"/>
  <c r="AC335" i="7"/>
  <c r="BR342" i="7"/>
  <c r="AD342" i="7"/>
  <c r="AC342" i="7"/>
  <c r="AB342" i="7"/>
  <c r="BR350" i="7"/>
  <c r="AD350" i="7"/>
  <c r="AC350" i="7"/>
  <c r="AB350" i="7"/>
  <c r="BR358" i="7"/>
  <c r="AD358" i="7"/>
  <c r="AC358" i="7"/>
  <c r="AB358" i="7"/>
  <c r="BR366" i="7"/>
  <c r="AD366" i="7"/>
  <c r="AC366" i="7"/>
  <c r="AB366" i="7"/>
  <c r="BR374" i="7"/>
  <c r="AD374" i="7"/>
  <c r="AC374" i="7"/>
  <c r="AB374" i="7"/>
  <c r="BR339" i="7"/>
  <c r="AD339" i="7"/>
  <c r="AC339" i="7"/>
  <c r="AB339" i="7"/>
  <c r="BR347" i="7"/>
  <c r="AD347" i="7"/>
  <c r="AC347" i="7"/>
  <c r="AB347" i="7"/>
  <c r="BR355" i="7"/>
  <c r="AD355" i="7"/>
  <c r="AC355" i="7"/>
  <c r="AB355" i="7"/>
  <c r="BR363" i="7"/>
  <c r="AD363" i="7"/>
  <c r="AC363" i="7"/>
  <c r="AB363" i="7"/>
  <c r="BR371" i="7"/>
  <c r="AD371" i="7"/>
  <c r="AC371" i="7"/>
  <c r="AB371" i="7"/>
  <c r="AC382" i="7"/>
  <c r="AB382" i="7"/>
  <c r="BR382" i="7"/>
  <c r="AD382" i="7"/>
  <c r="AC390" i="7"/>
  <c r="AB390" i="7"/>
  <c r="BR390" i="7"/>
  <c r="AD390" i="7"/>
  <c r="AC398" i="7"/>
  <c r="AB398" i="7"/>
  <c r="BR398" i="7"/>
  <c r="AD398" i="7"/>
  <c r="AC406" i="7"/>
  <c r="AB406" i="7"/>
  <c r="BR406" i="7"/>
  <c r="AD406" i="7"/>
  <c r="AC414" i="7"/>
  <c r="AB414" i="7"/>
  <c r="BR414" i="7"/>
  <c r="AD414" i="7"/>
  <c r="AB426" i="7"/>
  <c r="BR426" i="7"/>
  <c r="AD426" i="7"/>
  <c r="AB434" i="7"/>
  <c r="BR434" i="7"/>
  <c r="AD434" i="7"/>
  <c r="AB442" i="7"/>
  <c r="BR442" i="7"/>
  <c r="AD442" i="7"/>
  <c r="AD436" i="7"/>
  <c r="AC436" i="7"/>
  <c r="BR436" i="7"/>
  <c r="AB436" i="7"/>
  <c r="AD464" i="7"/>
  <c r="AC464" i="7"/>
  <c r="BR464" i="7"/>
  <c r="AB464" i="7"/>
  <c r="AD450" i="7"/>
  <c r="AB450" i="7"/>
  <c r="BR450" i="7"/>
  <c r="AD458" i="7"/>
  <c r="AB458" i="7"/>
  <c r="BR458" i="7"/>
  <c r="AD466" i="7"/>
  <c r="AB466" i="7"/>
  <c r="BR466" i="7"/>
  <c r="AD474" i="7"/>
  <c r="AB474" i="7"/>
  <c r="BR474" i="7"/>
  <c r="AB488" i="7"/>
  <c r="AD488" i="7"/>
  <c r="BR488" i="7"/>
  <c r="AB485" i="7"/>
  <c r="BR485" i="7"/>
  <c r="AD485" i="7"/>
  <c r="AC485" i="7"/>
  <c r="AB493" i="7"/>
  <c r="BR493" i="7"/>
  <c r="AD493" i="7"/>
  <c r="AC493" i="7"/>
  <c r="AB496" i="7"/>
  <c r="AD496" i="7"/>
  <c r="BR496" i="7"/>
  <c r="BR494" i="7"/>
  <c r="AB494" i="7"/>
  <c r="AC494" i="7"/>
  <c r="BR501" i="7"/>
  <c r="AB501" i="7"/>
  <c r="BR509" i="7"/>
  <c r="AB509" i="7"/>
  <c r="K33" i="27"/>
  <c r="K29" i="27"/>
  <c r="K31" i="27"/>
  <c r="K27" i="27"/>
  <c r="K23" i="27"/>
  <c r="K19" i="27"/>
  <c r="K15" i="27"/>
  <c r="K11" i="27"/>
  <c r="K7" i="27"/>
  <c r="K32" i="27"/>
  <c r="K30" i="27"/>
  <c r="K28" i="27"/>
  <c r="K26" i="27"/>
  <c r="K25" i="27"/>
  <c r="K21" i="27"/>
  <c r="K17" i="27"/>
  <c r="K13" i="27"/>
  <c r="K9" i="27"/>
  <c r="K5" i="27"/>
  <c r="K24" i="27"/>
  <c r="K22" i="27"/>
  <c r="K20" i="27"/>
  <c r="K18" i="27"/>
  <c r="K16" i="27"/>
  <c r="K14" i="27"/>
  <c r="K12" i="27"/>
  <c r="K10" i="27"/>
  <c r="K8" i="27"/>
  <c r="K6" i="27"/>
  <c r="K4" i="27"/>
  <c r="AE27" i="7"/>
  <c r="BS17" i="7"/>
  <c r="EF16" i="7"/>
  <c r="DZ16" i="7"/>
  <c r="CN16" i="7"/>
  <c r="EC16" i="7"/>
  <c r="DX16" i="7"/>
  <c r="EA16" i="7"/>
  <c r="EB16" i="7"/>
  <c r="DW16" i="7"/>
  <c r="DV16" i="7"/>
  <c r="AD230" i="7"/>
  <c r="AD214" i="7"/>
  <c r="AD198" i="7"/>
  <c r="AD182" i="7"/>
  <c r="AB156" i="7"/>
  <c r="BR156" i="7"/>
  <c r="AD156" i="7"/>
  <c r="AC156" i="7"/>
  <c r="AC149" i="7"/>
  <c r="C130" i="32"/>
  <c r="AB140" i="7"/>
  <c r="BR140" i="7"/>
  <c r="AD140" i="7"/>
  <c r="AC140" i="7"/>
  <c r="AC133" i="7"/>
  <c r="C114" i="32"/>
  <c r="AB124" i="7"/>
  <c r="BR124" i="7"/>
  <c r="AD124" i="7"/>
  <c r="AC124" i="7"/>
  <c r="AC117" i="7"/>
  <c r="C98" i="32"/>
  <c r="AB108" i="7"/>
  <c r="BR108" i="7"/>
  <c r="AD108" i="7"/>
  <c r="AC108" i="7"/>
  <c r="AC101" i="7"/>
  <c r="C82" i="32"/>
  <c r="AB92" i="7"/>
  <c r="BR92" i="7"/>
  <c r="AD92" i="7"/>
  <c r="AC92" i="7"/>
  <c r="AC85" i="7"/>
  <c r="C66" i="32"/>
  <c r="AB76" i="7"/>
  <c r="BR76" i="7"/>
  <c r="AD76" i="7"/>
  <c r="AC76" i="7"/>
  <c r="AC69" i="7"/>
  <c r="C50" i="32"/>
  <c r="AB60" i="7"/>
  <c r="BR60" i="7"/>
  <c r="AD60" i="7"/>
  <c r="AC60" i="7"/>
  <c r="AC53" i="7"/>
  <c r="C34" i="32"/>
  <c r="AB44" i="7"/>
  <c r="BR44" i="7"/>
  <c r="AD44" i="7"/>
  <c r="AC44" i="7"/>
  <c r="AC37" i="7"/>
  <c r="C18" i="32"/>
  <c r="AB28" i="7"/>
  <c r="BR28" i="7"/>
  <c r="AD28" i="7"/>
  <c r="AC28" i="7"/>
  <c r="C14" i="32"/>
  <c r="AB24" i="7"/>
  <c r="AC24" i="7"/>
  <c r="BR24" i="7"/>
  <c r="AD24" i="7"/>
  <c r="C10" i="32"/>
  <c r="AB20" i="7"/>
  <c r="BR20" i="7"/>
  <c r="AD20" i="7"/>
  <c r="AC20" i="7"/>
  <c r="BK15" i="7"/>
  <c r="BM15" i="7" s="1"/>
  <c r="BY19" i="7"/>
  <c r="CT18" i="7"/>
  <c r="CJ18" i="7"/>
  <c r="DE17" i="7"/>
  <c r="CB18" i="7"/>
  <c r="CW17" i="7"/>
  <c r="BW18" i="7"/>
  <c r="CR17" i="7"/>
  <c r="BV18" i="7"/>
  <c r="CQ17" i="7"/>
  <c r="BU19" i="7"/>
  <c r="CP18" i="7"/>
  <c r="AD158" i="7"/>
  <c r="AD50" i="7"/>
  <c r="AD30" i="7"/>
  <c r="C7" i="32"/>
  <c r="M17" i="7"/>
  <c r="AB17" i="7"/>
  <c r="CG18" i="7"/>
  <c r="BR17" i="7"/>
  <c r="AE15" i="7"/>
  <c r="AD26" i="7"/>
  <c r="S3" i="18"/>
  <c r="S5" i="18"/>
  <c r="V18" i="8"/>
  <c r="I17" i="8"/>
  <c r="C31" i="18"/>
  <c r="N14" i="1"/>
  <c r="N15" i="1" s="1"/>
  <c r="N16" i="1" s="1"/>
  <c r="N17" i="1" s="1"/>
  <c r="N18" i="1" s="1"/>
  <c r="N19" i="1" s="1"/>
  <c r="N20" i="1" s="1"/>
  <c r="N21" i="1" s="1"/>
  <c r="N22" i="1" s="1"/>
  <c r="N23" i="1" s="1"/>
  <c r="N24" i="1" s="1"/>
  <c r="N25" i="1" s="1"/>
  <c r="N26" i="1" s="1"/>
  <c r="N27" i="1" s="1"/>
  <c r="N28" i="1" s="1"/>
  <c r="N29" i="1" s="1"/>
  <c r="N30" i="1" s="1"/>
  <c r="N31" i="1" s="1"/>
  <c r="N32" i="1" s="1"/>
  <c r="N33" i="1" s="1"/>
  <c r="N34" i="1" s="1"/>
  <c r="N12" i="1"/>
  <c r="N10" i="1"/>
  <c r="N8" i="1"/>
  <c r="N5" i="1"/>
  <c r="M15" i="7" s="1"/>
  <c r="AG15" i="7" s="1"/>
  <c r="N7" i="1"/>
  <c r="N6" i="1"/>
  <c r="N11" i="1"/>
  <c r="N13" i="1"/>
  <c r="N9" i="1"/>
  <c r="Q14" i="1"/>
  <c r="Q15" i="1" s="1"/>
  <c r="Q16" i="1" s="1"/>
  <c r="Q17" i="1" s="1"/>
  <c r="Q18" i="1" s="1"/>
  <c r="Q19" i="1" s="1"/>
  <c r="Q20" i="1" s="1"/>
  <c r="Q21" i="1" s="1"/>
  <c r="Q22" i="1" s="1"/>
  <c r="Q23" i="1" s="1"/>
  <c r="Q24" i="1" s="1"/>
  <c r="Q25" i="1" s="1"/>
  <c r="Q26" i="1" s="1"/>
  <c r="Q27" i="1" s="1"/>
  <c r="Q28" i="1" s="1"/>
  <c r="Q29" i="1" s="1"/>
  <c r="Q30" i="1" s="1"/>
  <c r="Q31" i="1" s="1"/>
  <c r="Q32" i="1" s="1"/>
  <c r="Q33" i="1" s="1"/>
  <c r="Q34" i="1" s="1"/>
  <c r="Q10" i="1"/>
  <c r="Q12" i="1"/>
  <c r="Q8" i="1"/>
  <c r="Q7" i="1"/>
  <c r="Q6" i="1"/>
  <c r="Q5" i="1"/>
  <c r="Q11" i="1"/>
  <c r="Q13" i="1"/>
  <c r="Q9" i="1"/>
  <c r="P13" i="1"/>
  <c r="P11" i="1"/>
  <c r="P9" i="1"/>
  <c r="P6" i="1"/>
  <c r="P12" i="1"/>
  <c r="P8" i="1"/>
  <c r="P14" i="1"/>
  <c r="P15" i="1" s="1"/>
  <c r="P16" i="1" s="1"/>
  <c r="P17" i="1" s="1"/>
  <c r="P18" i="1" s="1"/>
  <c r="P19" i="1" s="1"/>
  <c r="P20" i="1" s="1"/>
  <c r="P21" i="1" s="1"/>
  <c r="P22" i="1" s="1"/>
  <c r="P23" i="1" s="1"/>
  <c r="P24" i="1" s="1"/>
  <c r="P25" i="1" s="1"/>
  <c r="P26" i="1" s="1"/>
  <c r="P27" i="1" s="1"/>
  <c r="P28" i="1" s="1"/>
  <c r="P29" i="1" s="1"/>
  <c r="P30" i="1" s="1"/>
  <c r="P31" i="1" s="1"/>
  <c r="P32" i="1" s="1"/>
  <c r="P33" i="1" s="1"/>
  <c r="P34" i="1" s="1"/>
  <c r="P10" i="1"/>
  <c r="P5" i="1"/>
  <c r="P7" i="1"/>
  <c r="B1" i="23"/>
  <c r="Q7" i="23"/>
  <c r="D1" i="23"/>
  <c r="C32" i="18"/>
  <c r="C33" i="18" s="1"/>
  <c r="C34" i="18" s="1"/>
  <c r="F1" i="23"/>
  <c r="AG10" i="1"/>
  <c r="AH10" i="1" s="1"/>
  <c r="AC10" i="1"/>
  <c r="AE10" i="1"/>
  <c r="AC11" i="1"/>
  <c r="AG11" i="1"/>
  <c r="AH11" i="1" s="1"/>
  <c r="AE11" i="1"/>
  <c r="N12" i="24"/>
  <c r="J12" i="24"/>
  <c r="F12" i="24"/>
  <c r="L12" i="24"/>
  <c r="H12" i="24"/>
  <c r="D12" i="24"/>
  <c r="M12" i="24"/>
  <c r="E12" i="24"/>
  <c r="I12" i="24"/>
  <c r="C12" i="24"/>
  <c r="K12" i="24"/>
  <c r="O12" i="24"/>
  <c r="G12" i="24"/>
  <c r="AC254" i="7"/>
  <c r="AB254" i="7"/>
  <c r="AD254" i="7"/>
  <c r="BR254" i="7"/>
  <c r="AC270" i="7"/>
  <c r="AB270" i="7"/>
  <c r="AD270" i="7"/>
  <c r="BR270" i="7"/>
  <c r="BR252" i="7"/>
  <c r="AB252" i="7"/>
  <c r="BR260" i="7"/>
  <c r="AB260" i="7"/>
  <c r="BR268" i="7"/>
  <c r="AB268" i="7"/>
  <c r="BR276" i="7"/>
  <c r="AB276" i="7"/>
  <c r="BR284" i="7"/>
  <c r="AB284" i="7"/>
  <c r="BR292" i="7"/>
  <c r="AB292" i="7"/>
  <c r="BR300" i="7"/>
  <c r="AB300" i="7"/>
  <c r="BR308" i="7"/>
  <c r="AB308" i="7"/>
  <c r="BR316" i="7"/>
  <c r="AB316" i="7"/>
  <c r="BR324" i="7"/>
  <c r="AB324" i="7"/>
  <c r="BR332" i="7"/>
  <c r="AB332" i="7"/>
  <c r="BR257" i="7"/>
  <c r="AD257" i="7"/>
  <c r="AC257" i="7"/>
  <c r="AB257" i="7"/>
  <c r="BR265" i="7"/>
  <c r="AD265" i="7"/>
  <c r="AC265" i="7"/>
  <c r="AB265" i="7"/>
  <c r="BR273" i="7"/>
  <c r="AD273" i="7"/>
  <c r="AC273" i="7"/>
  <c r="AB273" i="7"/>
  <c r="BR281" i="7"/>
  <c r="AD281" i="7"/>
  <c r="AC281" i="7"/>
  <c r="AB281" i="7"/>
  <c r="BR289" i="7"/>
  <c r="AB289" i="7"/>
  <c r="BR297" i="7"/>
  <c r="AB297" i="7"/>
  <c r="BR305" i="7"/>
  <c r="AB305" i="7"/>
  <c r="BR313" i="7"/>
  <c r="AB313" i="7"/>
  <c r="BR321" i="7"/>
  <c r="AD321" i="7"/>
  <c r="AC321" i="7"/>
  <c r="AB321" i="7"/>
  <c r="BR329" i="7"/>
  <c r="AD329" i="7"/>
  <c r="AC329" i="7"/>
  <c r="AB329" i="7"/>
  <c r="AC336" i="7"/>
  <c r="AB336" i="7"/>
  <c r="BR336" i="7"/>
  <c r="AD336" i="7"/>
  <c r="AC344" i="7"/>
  <c r="AB344" i="7"/>
  <c r="BR344" i="7"/>
  <c r="AD344" i="7"/>
  <c r="AC352" i="7"/>
  <c r="AB352" i="7"/>
  <c r="BR352" i="7"/>
  <c r="AD352" i="7"/>
  <c r="AC360" i="7"/>
  <c r="AB360" i="7"/>
  <c r="BR360" i="7"/>
  <c r="AD360" i="7"/>
  <c r="AC368" i="7"/>
  <c r="AB368" i="7"/>
  <c r="BR368" i="7"/>
  <c r="AD368" i="7"/>
  <c r="AC376" i="7"/>
  <c r="AB376" i="7"/>
  <c r="BR376" i="7"/>
  <c r="AD376" i="7"/>
  <c r="AB341" i="7"/>
  <c r="BR341" i="7"/>
  <c r="AD341" i="7"/>
  <c r="AC341" i="7"/>
  <c r="AB349" i="7"/>
  <c r="BR349" i="7"/>
  <c r="AD349" i="7"/>
  <c r="AC349" i="7"/>
  <c r="AB357" i="7"/>
  <c r="BR357" i="7"/>
  <c r="AD357" i="7"/>
  <c r="AC357" i="7"/>
  <c r="AB365" i="7"/>
  <c r="BR365" i="7"/>
  <c r="AD365" i="7"/>
  <c r="AC365" i="7"/>
  <c r="AB373" i="7"/>
  <c r="BR373" i="7"/>
  <c r="AD373" i="7"/>
  <c r="AC373" i="7"/>
  <c r="AC378" i="7"/>
  <c r="AB378" i="7"/>
  <c r="AD378" i="7"/>
  <c r="BR378" i="7"/>
  <c r="AB383" i="7"/>
  <c r="BR383" i="7"/>
  <c r="AD383" i="7"/>
  <c r="AC383" i="7"/>
  <c r="AB391" i="7"/>
  <c r="BR391" i="7"/>
  <c r="AD391" i="7"/>
  <c r="AC391" i="7"/>
  <c r="AB399" i="7"/>
  <c r="BR399" i="7"/>
  <c r="AD399" i="7"/>
  <c r="AC399" i="7"/>
  <c r="AB407" i="7"/>
  <c r="BR407" i="7"/>
  <c r="AD407" i="7"/>
  <c r="AC407" i="7"/>
  <c r="AB415" i="7"/>
  <c r="BR415" i="7"/>
  <c r="AD415" i="7"/>
  <c r="AC415" i="7"/>
  <c r="BR380" i="7"/>
  <c r="AB380" i="7"/>
  <c r="BR388" i="7"/>
  <c r="AB388" i="7"/>
  <c r="BR396" i="7"/>
  <c r="AB396" i="7"/>
  <c r="BR404" i="7"/>
  <c r="AC404" i="7"/>
  <c r="AB404" i="7"/>
  <c r="BR412" i="7"/>
  <c r="AD412" i="7"/>
  <c r="AC412" i="7"/>
  <c r="AB412" i="7"/>
  <c r="BR385" i="7"/>
  <c r="AD385" i="7"/>
  <c r="AC385" i="7"/>
  <c r="AB385" i="7"/>
  <c r="BR393" i="7"/>
  <c r="AD393" i="7"/>
  <c r="AC393" i="7"/>
  <c r="AB393" i="7"/>
  <c r="BR401" i="7"/>
  <c r="AD401" i="7"/>
  <c r="AC401" i="7"/>
  <c r="AB401" i="7"/>
  <c r="BR409" i="7"/>
  <c r="AD409" i="7"/>
  <c r="AC409" i="7"/>
  <c r="AB409" i="7"/>
  <c r="AB423" i="7"/>
  <c r="BR423" i="7"/>
  <c r="AD423" i="7"/>
  <c r="AC423" i="7"/>
  <c r="AB431" i="7"/>
  <c r="BR431" i="7"/>
  <c r="AD431" i="7"/>
  <c r="AC431" i="7"/>
  <c r="AB439" i="7"/>
  <c r="BR439" i="7"/>
  <c r="AD439" i="7"/>
  <c r="AC439" i="7"/>
  <c r="AB447" i="7"/>
  <c r="BR447" i="7"/>
  <c r="AD447" i="7"/>
  <c r="AC447" i="7"/>
  <c r="AD424" i="7"/>
  <c r="AC424" i="7"/>
  <c r="BR424" i="7"/>
  <c r="AB424" i="7"/>
  <c r="AD440" i="7"/>
  <c r="AC440" i="7"/>
  <c r="BR440" i="7"/>
  <c r="AB440" i="7"/>
  <c r="AB451" i="7"/>
  <c r="AC451" i="7"/>
  <c r="BR451" i="7"/>
  <c r="AD451" i="7"/>
  <c r="AB459" i="7"/>
  <c r="AC459" i="7"/>
  <c r="BR459" i="7"/>
  <c r="AD459" i="7"/>
  <c r="AB467" i="7"/>
  <c r="AC467" i="7"/>
  <c r="BR467" i="7"/>
  <c r="AD467" i="7"/>
  <c r="AB475" i="7"/>
  <c r="AC475" i="7"/>
  <c r="BR475" i="7"/>
  <c r="AD475" i="7"/>
  <c r="BR452" i="7"/>
  <c r="AB452" i="7"/>
  <c r="AD468" i="7"/>
  <c r="AC468" i="7"/>
  <c r="BR468" i="7"/>
  <c r="AB468" i="7"/>
  <c r="AB492" i="7"/>
  <c r="AD492" i="7"/>
  <c r="BR492" i="7"/>
  <c r="AB479" i="7"/>
  <c r="AD479" i="7"/>
  <c r="AC479" i="7"/>
  <c r="BR479" i="7"/>
  <c r="BR417" i="7"/>
  <c r="AB417" i="7"/>
  <c r="AC417" i="7"/>
  <c r="BR425" i="7"/>
  <c r="AC425" i="7"/>
  <c r="AB425" i="7"/>
  <c r="BR433" i="7"/>
  <c r="AC433" i="7"/>
  <c r="AB433" i="7"/>
  <c r="BR441" i="7"/>
  <c r="AC441" i="7"/>
  <c r="AB441" i="7"/>
  <c r="BR449" i="7"/>
  <c r="AC449" i="7"/>
  <c r="AB449" i="7"/>
  <c r="BR457" i="7"/>
  <c r="AC457" i="7"/>
  <c r="AB457" i="7"/>
  <c r="BR465" i="7"/>
  <c r="AC465" i="7"/>
  <c r="AB465" i="7"/>
  <c r="BR473" i="7"/>
  <c r="AC473" i="7"/>
  <c r="AB473" i="7"/>
  <c r="BR482" i="7"/>
  <c r="AB482" i="7"/>
  <c r="AC482" i="7"/>
  <c r="AC498" i="7"/>
  <c r="BR498" i="7"/>
  <c r="AB498" i="7"/>
  <c r="BR487" i="7"/>
  <c r="AB487" i="7"/>
  <c r="BR495" i="7"/>
  <c r="AB495" i="7"/>
  <c r="BR500" i="7"/>
  <c r="AC500" i="7"/>
  <c r="AB500" i="7"/>
  <c r="CE17" i="7"/>
  <c r="CZ16" i="7"/>
  <c r="AM16" i="7"/>
  <c r="BR169" i="7"/>
  <c r="AD169" i="7"/>
  <c r="AC169" i="7"/>
  <c r="AB169" i="7"/>
  <c r="BR161" i="7"/>
  <c r="AC161" i="7"/>
  <c r="AB161" i="7"/>
  <c r="BR153" i="7"/>
  <c r="AB153" i="7"/>
  <c r="C135" i="32"/>
  <c r="BR145" i="7"/>
  <c r="AB145" i="7"/>
  <c r="C127" i="32"/>
  <c r="BR137" i="7"/>
  <c r="AB137" i="7"/>
  <c r="C119" i="32"/>
  <c r="BR129" i="7"/>
  <c r="AB129" i="7"/>
  <c r="C111" i="32"/>
  <c r="BR121" i="7"/>
  <c r="AB121" i="7"/>
  <c r="C103" i="32"/>
  <c r="BR113" i="7"/>
  <c r="AB113" i="7"/>
  <c r="C95" i="32"/>
  <c r="BR105" i="7"/>
  <c r="AB105" i="7"/>
  <c r="C87" i="32"/>
  <c r="BR97" i="7"/>
  <c r="AB97" i="7"/>
  <c r="C79" i="32"/>
  <c r="BR89" i="7"/>
  <c r="AB89" i="7"/>
  <c r="C71" i="32"/>
  <c r="BR81" i="7"/>
  <c r="AB81" i="7"/>
  <c r="C63" i="32"/>
  <c r="BR73" i="7"/>
  <c r="AB73" i="7"/>
  <c r="C55" i="32"/>
  <c r="BR65" i="7"/>
  <c r="AB65" i="7"/>
  <c r="C47" i="32"/>
  <c r="BR57" i="7"/>
  <c r="AB57" i="7"/>
  <c r="C39" i="32"/>
  <c r="BR49" i="7"/>
  <c r="AB49" i="7"/>
  <c r="C31" i="32"/>
  <c r="BR41" i="7"/>
  <c r="AB41" i="7"/>
  <c r="C23" i="32"/>
  <c r="BR33" i="7"/>
  <c r="AB33" i="7"/>
  <c r="C11" i="32"/>
  <c r="BR21" i="7"/>
  <c r="AB21" i="7"/>
  <c r="AD242" i="7"/>
  <c r="AD226" i="7"/>
  <c r="AD210" i="7"/>
  <c r="AD194" i="7"/>
  <c r="AD178" i="7"/>
  <c r="AB168" i="7"/>
  <c r="BR168" i="7"/>
  <c r="AD168" i="7"/>
  <c r="AC168" i="7"/>
  <c r="AB160" i="7"/>
  <c r="BR160" i="7"/>
  <c r="AD160" i="7"/>
  <c r="AC160" i="7"/>
  <c r="AC153" i="7"/>
  <c r="C134" i="32"/>
  <c r="AB144" i="7"/>
  <c r="BR144" i="7"/>
  <c r="AD144" i="7"/>
  <c r="AC144" i="7"/>
  <c r="AC137" i="7"/>
  <c r="C118" i="32"/>
  <c r="AB128" i="7"/>
  <c r="BR128" i="7"/>
  <c r="AD128" i="7"/>
  <c r="AC128" i="7"/>
  <c r="AC121" i="7"/>
  <c r="C102" i="32"/>
  <c r="AB112" i="7"/>
  <c r="BR112" i="7"/>
  <c r="AD112" i="7"/>
  <c r="AC112" i="7"/>
  <c r="AC105" i="7"/>
  <c r="C86" i="32"/>
  <c r="AB96" i="7"/>
  <c r="BR96" i="7"/>
  <c r="AD96" i="7"/>
  <c r="AC96" i="7"/>
  <c r="AC89" i="7"/>
  <c r="C70" i="32"/>
  <c r="AB80" i="7"/>
  <c r="BR80" i="7"/>
  <c r="AD80" i="7"/>
  <c r="AC80" i="7"/>
  <c r="AC73" i="7"/>
  <c r="C54" i="32"/>
  <c r="AB64" i="7"/>
  <c r="BR64" i="7"/>
  <c r="AD64" i="7"/>
  <c r="AC64" i="7"/>
  <c r="AC57" i="7"/>
  <c r="C38" i="32"/>
  <c r="AB48" i="7"/>
  <c r="BR48" i="7"/>
  <c r="AD48" i="7"/>
  <c r="AC48" i="7"/>
  <c r="AC41" i="7"/>
  <c r="C22" i="32"/>
  <c r="AB32" i="7"/>
  <c r="BR32" i="7"/>
  <c r="AD32" i="7"/>
  <c r="AC32" i="7"/>
  <c r="DG16" i="7"/>
  <c r="EM16" i="7"/>
  <c r="BL15" i="7"/>
  <c r="AH15" i="7"/>
  <c r="E15" i="7"/>
  <c r="AC167" i="7"/>
  <c r="AB167" i="7"/>
  <c r="BR167" i="7"/>
  <c r="AD167" i="7"/>
  <c r="AC159" i="7"/>
  <c r="AB159" i="7"/>
  <c r="BR159" i="7"/>
  <c r="AD159" i="7"/>
  <c r="AB151" i="7"/>
  <c r="BR151" i="7"/>
  <c r="AD151" i="7"/>
  <c r="C133" i="32"/>
  <c r="AB143" i="7"/>
  <c r="BR143" i="7"/>
  <c r="AD143" i="7"/>
  <c r="C125" i="32"/>
  <c r="AB135" i="7"/>
  <c r="BR135" i="7"/>
  <c r="AD135" i="7"/>
  <c r="C117" i="32"/>
  <c r="AB127" i="7"/>
  <c r="BR127" i="7"/>
  <c r="AD127" i="7"/>
  <c r="C109" i="32"/>
  <c r="AB119" i="7"/>
  <c r="BR119" i="7"/>
  <c r="AD119" i="7"/>
  <c r="C101" i="32"/>
  <c r="AB111" i="7"/>
  <c r="BR111" i="7"/>
  <c r="AD111" i="7"/>
  <c r="C93" i="32"/>
  <c r="AB103" i="7"/>
  <c r="BR103" i="7"/>
  <c r="AD103" i="7"/>
  <c r="C85" i="32"/>
  <c r="AB95" i="7"/>
  <c r="BR95" i="7"/>
  <c r="AD95" i="7"/>
  <c r="C77" i="32"/>
  <c r="AB87" i="7"/>
  <c r="BR87" i="7"/>
  <c r="AD87" i="7"/>
  <c r="C69" i="32"/>
  <c r="AB79" i="7"/>
  <c r="BR79" i="7"/>
  <c r="AD79" i="7"/>
  <c r="C61" i="32"/>
  <c r="AB71" i="7"/>
  <c r="BR71" i="7"/>
  <c r="AD71" i="7"/>
  <c r="C53" i="32"/>
  <c r="AB63" i="7"/>
  <c r="BR63" i="7"/>
  <c r="AD63" i="7"/>
  <c r="C45" i="32"/>
  <c r="AB55" i="7"/>
  <c r="BR55" i="7"/>
  <c r="AD55" i="7"/>
  <c r="C37" i="32"/>
  <c r="AB47" i="7"/>
  <c r="BR47" i="7"/>
  <c r="AD47" i="7"/>
  <c r="C29" i="32"/>
  <c r="AB39" i="7"/>
  <c r="BR39" i="7"/>
  <c r="AD39" i="7"/>
  <c r="C21" i="32"/>
  <c r="AB31" i="7"/>
  <c r="BR31" i="7"/>
  <c r="AD31" i="7"/>
  <c r="AD25" i="7"/>
  <c r="C6" i="32"/>
  <c r="AB16" i="7"/>
  <c r="M16" i="7"/>
  <c r="CF17" i="7"/>
  <c r="AC16" i="7"/>
  <c r="AG16" i="7" s="1"/>
  <c r="BR16" i="7"/>
  <c r="AD16" i="7"/>
  <c r="AH16" i="7" s="1"/>
  <c r="EO17" i="7"/>
  <c r="BT18" i="7"/>
  <c r="CO17" i="7"/>
  <c r="AC147" i="7"/>
  <c r="AC131" i="7"/>
  <c r="AC115" i="7"/>
  <c r="AC99" i="7"/>
  <c r="AC83" i="7"/>
  <c r="AC67" i="7"/>
  <c r="AC51" i="7"/>
  <c r="AC35" i="7"/>
  <c r="DS17" i="7"/>
  <c r="DD17" i="7"/>
  <c r="CI18" i="7"/>
  <c r="CD18" i="7"/>
  <c r="CY17" i="7"/>
  <c r="AD122" i="7"/>
  <c r="AD46" i="7"/>
  <c r="E11" i="18"/>
  <c r="C11" i="18"/>
  <c r="B11" i="18"/>
  <c r="B12" i="18" s="1"/>
  <c r="D11" i="18"/>
  <c r="AD149" i="7"/>
  <c r="AD133" i="7"/>
  <c r="AD117" i="7"/>
  <c r="AD101" i="7"/>
  <c r="AD85" i="7"/>
  <c r="AD69" i="7"/>
  <c r="AD53" i="7"/>
  <c r="AD37" i="7"/>
  <c r="E18" i="18" l="1"/>
  <c r="E35" i="18"/>
  <c r="E36" i="18" s="1"/>
  <c r="E37" i="18" s="1"/>
  <c r="E38" i="18" s="1"/>
  <c r="E39" i="18" s="1"/>
  <c r="E40" i="18" s="1"/>
  <c r="E41" i="18" s="1"/>
  <c r="E42" i="18" s="1"/>
  <c r="E43" i="18" s="1"/>
  <c r="E44" i="18" s="1"/>
  <c r="E45" i="18" s="1"/>
  <c r="E46" i="18" s="1"/>
  <c r="E47" i="18" s="1"/>
  <c r="E48" i="18" s="1"/>
  <c r="E49" i="18" s="1"/>
  <c r="E50" i="18" s="1"/>
  <c r="E51" i="18" s="1"/>
  <c r="E52" i="18" s="1"/>
  <c r="E53" i="18" s="1"/>
  <c r="E54" i="18" s="1"/>
  <c r="E55" i="18" s="1"/>
  <c r="E56" i="18" s="1"/>
  <c r="E57" i="18" s="1"/>
  <c r="E58" i="18" s="1"/>
  <c r="E59" i="18" s="1"/>
  <c r="E60" i="18" s="1"/>
  <c r="E61" i="18" s="1"/>
  <c r="E62" i="18" s="1"/>
  <c r="E63" i="18" s="1"/>
  <c r="E64" i="18" s="1"/>
  <c r="E65" i="18" s="1"/>
  <c r="E66" i="18" s="1"/>
  <c r="E67" i="18" s="1"/>
  <c r="E68" i="18" s="1"/>
  <c r="E69" i="18" s="1"/>
  <c r="E70" i="18" s="1"/>
  <c r="E71" i="18" s="1"/>
  <c r="E72" i="18" s="1"/>
  <c r="E73" i="18" s="1"/>
  <c r="E74" i="18" s="1"/>
  <c r="E75" i="18" s="1"/>
  <c r="E76" i="18" s="1"/>
  <c r="E77" i="18" s="1"/>
  <c r="E78" i="18" s="1"/>
  <c r="E79" i="18" s="1"/>
  <c r="E80" i="18" s="1"/>
  <c r="E81" i="18" s="1"/>
  <c r="E82" i="18" s="1"/>
  <c r="E83" i="18" s="1"/>
  <c r="E84" i="18" s="1"/>
  <c r="E85" i="18" s="1"/>
  <c r="E86" i="18" s="1"/>
  <c r="E87" i="18" s="1"/>
  <c r="E88" i="18" s="1"/>
  <c r="E89" i="18" s="1"/>
  <c r="E90" i="18" s="1"/>
  <c r="E91" i="18" s="1"/>
  <c r="E92" i="18" s="1"/>
  <c r="E93" i="18" s="1"/>
  <c r="E94" i="18" s="1"/>
  <c r="E95" i="18" s="1"/>
  <c r="E96" i="18" s="1"/>
  <c r="E97" i="18" s="1"/>
  <c r="E98" i="18" s="1"/>
  <c r="E99" i="18" s="1"/>
  <c r="E100" i="18" s="1"/>
  <c r="E101" i="18" s="1"/>
  <c r="E102" i="18" s="1"/>
  <c r="E103" i="18" s="1"/>
  <c r="E104" i="18" s="1"/>
  <c r="E105" i="18" s="1"/>
  <c r="E106" i="18" s="1"/>
  <c r="E107" i="18" s="1"/>
  <c r="E108" i="18" s="1"/>
  <c r="E109" i="18" s="1"/>
  <c r="E110" i="18" s="1"/>
  <c r="E111" i="18" s="1"/>
  <c r="E112" i="18" s="1"/>
  <c r="E113" i="18" s="1"/>
  <c r="E114" i="18" s="1"/>
  <c r="E115" i="18" s="1"/>
  <c r="E116" i="18" s="1"/>
  <c r="E117" i="18" s="1"/>
  <c r="E118" i="18" s="1"/>
  <c r="E119" i="18" s="1"/>
  <c r="E120" i="18" s="1"/>
  <c r="E121" i="18" s="1"/>
  <c r="E122" i="18" s="1"/>
  <c r="E123" i="18" s="1"/>
  <c r="E124" i="18" s="1"/>
  <c r="E125" i="18" s="1"/>
  <c r="E126" i="18" s="1"/>
  <c r="E127" i="18" s="1"/>
  <c r="E128" i="18" s="1"/>
  <c r="C18" i="18"/>
  <c r="C35" i="18"/>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B15" i="7"/>
  <c r="P15" i="7"/>
  <c r="CF18" i="7"/>
  <c r="DA17" i="7"/>
  <c r="AN17" i="7"/>
  <c r="AE95" i="7"/>
  <c r="AE127" i="7"/>
  <c r="AE32" i="7"/>
  <c r="AE96" i="7"/>
  <c r="AE160" i="7"/>
  <c r="AE498" i="7"/>
  <c r="AE473" i="7"/>
  <c r="AE465" i="7"/>
  <c r="AE457" i="7"/>
  <c r="AE479" i="7"/>
  <c r="AE492" i="7"/>
  <c r="AE451" i="7"/>
  <c r="AE439" i="7"/>
  <c r="AE409" i="7"/>
  <c r="AE404" i="7"/>
  <c r="AE396" i="7"/>
  <c r="AE391" i="7"/>
  <c r="AE365" i="7"/>
  <c r="AE368" i="7"/>
  <c r="AE336" i="7"/>
  <c r="AE321" i="7"/>
  <c r="AE305" i="7"/>
  <c r="AE257" i="7"/>
  <c r="AE332" i="7"/>
  <c r="AE300" i="7"/>
  <c r="AE268" i="7"/>
  <c r="AE270" i="7"/>
  <c r="O23" i="23"/>
  <c r="K23" i="23"/>
  <c r="G23" i="23"/>
  <c r="C23" i="23"/>
  <c r="N23" i="23"/>
  <c r="I23" i="23"/>
  <c r="D23" i="23"/>
  <c r="O17" i="23"/>
  <c r="M13" i="23"/>
  <c r="I13" i="23"/>
  <c r="E13" i="23"/>
  <c r="L23" i="23"/>
  <c r="F23" i="23"/>
  <c r="O13" i="23"/>
  <c r="K13" i="23"/>
  <c r="G13" i="23"/>
  <c r="C13" i="23"/>
  <c r="H23" i="23"/>
  <c r="H13" i="23"/>
  <c r="M23" i="23"/>
  <c r="L13" i="23"/>
  <c r="D13" i="23"/>
  <c r="E23" i="23"/>
  <c r="H17" i="23"/>
  <c r="J13" i="23"/>
  <c r="N13" i="23"/>
  <c r="J23" i="23"/>
  <c r="C17" i="23"/>
  <c r="F13" i="23"/>
  <c r="M17" i="23"/>
  <c r="G17" i="23"/>
  <c r="D17" i="23"/>
  <c r="F17" i="23"/>
  <c r="E17" i="23"/>
  <c r="K17" i="23"/>
  <c r="L17" i="23"/>
  <c r="J17" i="23"/>
  <c r="I17" i="23"/>
  <c r="N17" i="23"/>
  <c r="E7" i="32"/>
  <c r="BC17" i="7"/>
  <c r="AY17" i="7"/>
  <c r="AU17" i="7"/>
  <c r="AV17" i="7"/>
  <c r="BB17" i="7"/>
  <c r="AX17" i="7"/>
  <c r="AT17" i="7"/>
  <c r="BA17" i="7"/>
  <c r="AW17" i="7"/>
  <c r="AZ17" i="7"/>
  <c r="BV19" i="7"/>
  <c r="CQ18" i="7"/>
  <c r="CB19" i="7"/>
  <c r="CW18" i="7"/>
  <c r="CT19" i="7"/>
  <c r="BY20" i="7"/>
  <c r="AE76" i="7"/>
  <c r="AE140" i="7"/>
  <c r="L4" i="27"/>
  <c r="N4" i="27" s="1"/>
  <c r="Q4" i="27"/>
  <c r="L12" i="27"/>
  <c r="L20" i="27"/>
  <c r="L9" i="27"/>
  <c r="L25" i="27"/>
  <c r="L32" i="27"/>
  <c r="L19" i="27"/>
  <c r="L29" i="27"/>
  <c r="AE493" i="7"/>
  <c r="AE474" i="7"/>
  <c r="AE466" i="7"/>
  <c r="AE458" i="7"/>
  <c r="AE450" i="7"/>
  <c r="AE406" i="7"/>
  <c r="AE355" i="7"/>
  <c r="AE358" i="7"/>
  <c r="AE327" i="7"/>
  <c r="AE295" i="7"/>
  <c r="AE263" i="7"/>
  <c r="AE310" i="7"/>
  <c r="AE278" i="7"/>
  <c r="AE239" i="7"/>
  <c r="AE207" i="7"/>
  <c r="AE175" i="7"/>
  <c r="AE218" i="7"/>
  <c r="AE186" i="7"/>
  <c r="AE225" i="7"/>
  <c r="AE193" i="7"/>
  <c r="AE232" i="7"/>
  <c r="AE200" i="7"/>
  <c r="AE50" i="7"/>
  <c r="AE74" i="7"/>
  <c r="AE90" i="7"/>
  <c r="AE106" i="7"/>
  <c r="AE122" i="7"/>
  <c r="AE162" i="7"/>
  <c r="AH13" i="1"/>
  <c r="AH12" i="1"/>
  <c r="AE35" i="7"/>
  <c r="AE67" i="7"/>
  <c r="AE99" i="7"/>
  <c r="AE131" i="7"/>
  <c r="AE164" i="7"/>
  <c r="AE165" i="7"/>
  <c r="AE508" i="7"/>
  <c r="AE499" i="7"/>
  <c r="AE483" i="7"/>
  <c r="AE490" i="7"/>
  <c r="AE445" i="7"/>
  <c r="AE437" i="7"/>
  <c r="AE429" i="7"/>
  <c r="AE476" i="7"/>
  <c r="AE455" i="7"/>
  <c r="AE435" i="7"/>
  <c r="AE405" i="7"/>
  <c r="AE408" i="7"/>
  <c r="AE400" i="7"/>
  <c r="AE387" i="7"/>
  <c r="AE361" i="7"/>
  <c r="AE364" i="7"/>
  <c r="AE317" i="7"/>
  <c r="AE285" i="7"/>
  <c r="AE269" i="7"/>
  <c r="AE312" i="7"/>
  <c r="AE280" i="7"/>
  <c r="CK20" i="7"/>
  <c r="DF19" i="7"/>
  <c r="CH18" i="7"/>
  <c r="DC17" i="7"/>
  <c r="BN17" i="7"/>
  <c r="AE25" i="7"/>
  <c r="L8" i="34"/>
  <c r="K8" i="34"/>
  <c r="N8" i="34" s="1"/>
  <c r="AE504" i="7"/>
  <c r="AE497" i="7"/>
  <c r="AE506" i="7"/>
  <c r="AE480" i="7"/>
  <c r="AE472" i="7"/>
  <c r="AE410" i="7"/>
  <c r="AE359" i="7"/>
  <c r="AE354" i="7"/>
  <c r="AE323" i="7"/>
  <c r="AE291" i="7"/>
  <c r="AE259" i="7"/>
  <c r="AE306" i="7"/>
  <c r="AE274" i="7"/>
  <c r="AE235" i="7"/>
  <c r="AE203" i="7"/>
  <c r="AE171" i="7"/>
  <c r="AE214" i="7"/>
  <c r="AE182" i="7"/>
  <c r="AE229" i="7"/>
  <c r="AE197" i="7"/>
  <c r="AE236" i="7"/>
  <c r="AE204" i="7"/>
  <c r="AE38" i="7"/>
  <c r="B8" i="27"/>
  <c r="M7" i="27"/>
  <c r="B21" i="18"/>
  <c r="B20" i="18"/>
  <c r="AE31" i="7"/>
  <c r="AE167" i="7"/>
  <c r="E6" i="32"/>
  <c r="AZ16" i="7"/>
  <c r="DO16" i="7" s="1"/>
  <c r="DO17" i="7" s="1"/>
  <c r="AV16" i="7"/>
  <c r="DK16" i="7" s="1"/>
  <c r="BC16" i="7"/>
  <c r="DR16" i="7" s="1"/>
  <c r="DR17" i="7" s="1"/>
  <c r="AU16" i="7"/>
  <c r="DJ16" i="7" s="1"/>
  <c r="DJ17" i="7" s="1"/>
  <c r="AY16" i="7"/>
  <c r="DN16" i="7" s="1"/>
  <c r="BA16" i="7"/>
  <c r="DP16" i="7" s="1"/>
  <c r="DP17" i="7" s="1"/>
  <c r="BB16" i="7"/>
  <c r="DQ16" i="7" s="1"/>
  <c r="AX16" i="7"/>
  <c r="DM16" i="7" s="1"/>
  <c r="AT16" i="7"/>
  <c r="AW16" i="7"/>
  <c r="DL16" i="7" s="1"/>
  <c r="DL17" i="7" s="1"/>
  <c r="AE39" i="7"/>
  <c r="AE71" i="7"/>
  <c r="AE103" i="7"/>
  <c r="AE135" i="7"/>
  <c r="AE80" i="7"/>
  <c r="AE144" i="7"/>
  <c r="AE168" i="7"/>
  <c r="AM17" i="7"/>
  <c r="CE18" i="7"/>
  <c r="CZ17" i="7"/>
  <c r="AE482" i="7"/>
  <c r="AE449" i="7"/>
  <c r="AE441" i="7"/>
  <c r="AE433" i="7"/>
  <c r="AE425" i="7"/>
  <c r="AE468" i="7"/>
  <c r="AE475" i="7"/>
  <c r="AE440" i="7"/>
  <c r="AE431" i="7"/>
  <c r="AE401" i="7"/>
  <c r="AE415" i="7"/>
  <c r="AE383" i="7"/>
  <c r="AE378" i="7"/>
  <c r="AE357" i="7"/>
  <c r="AE360" i="7"/>
  <c r="AE313" i="7"/>
  <c r="AE281" i="7"/>
  <c r="AE308" i="7"/>
  <c r="AE276" i="7"/>
  <c r="AE254" i="7"/>
  <c r="AE24" i="7"/>
  <c r="AE60" i="7"/>
  <c r="AE124" i="7"/>
  <c r="EC17" i="7"/>
  <c r="DX17" i="7"/>
  <c r="DZ17" i="7"/>
  <c r="CN17" i="7"/>
  <c r="EB17" i="7"/>
  <c r="DW17" i="7"/>
  <c r="EA17" i="7"/>
  <c r="DV17" i="7"/>
  <c r="BS18" i="7"/>
  <c r="EF17" i="7"/>
  <c r="L6" i="27"/>
  <c r="Q6" i="27" s="1"/>
  <c r="L14" i="27"/>
  <c r="L22" i="27"/>
  <c r="L13" i="27"/>
  <c r="L26" i="27"/>
  <c r="L7" i="27"/>
  <c r="L23" i="27"/>
  <c r="L33" i="27"/>
  <c r="AE494" i="7"/>
  <c r="AE485" i="7"/>
  <c r="AE488" i="7"/>
  <c r="AE398" i="7"/>
  <c r="AE347" i="7"/>
  <c r="AE350" i="7"/>
  <c r="AE319" i="7"/>
  <c r="AE287" i="7"/>
  <c r="AE255" i="7"/>
  <c r="AE334" i="7"/>
  <c r="AE302" i="7"/>
  <c r="AE231" i="7"/>
  <c r="AE199" i="7"/>
  <c r="AE250" i="7"/>
  <c r="AE226" i="7"/>
  <c r="AE194" i="7"/>
  <c r="AE249" i="7"/>
  <c r="AE217" i="7"/>
  <c r="AE185" i="7"/>
  <c r="AE224" i="7"/>
  <c r="AE192" i="7"/>
  <c r="AE18" i="7"/>
  <c r="AE34" i="7"/>
  <c r="AE58" i="7"/>
  <c r="AE130" i="7"/>
  <c r="AE146" i="7"/>
  <c r="H21" i="8"/>
  <c r="U20" i="8"/>
  <c r="EN18" i="7"/>
  <c r="CU18" i="7"/>
  <c r="BZ19" i="7"/>
  <c r="AE43" i="7"/>
  <c r="AE75" i="7"/>
  <c r="AE107" i="7"/>
  <c r="AE139" i="7"/>
  <c r="AE40" i="7"/>
  <c r="AE72" i="7"/>
  <c r="AE104" i="7"/>
  <c r="AE136" i="7"/>
  <c r="AE157" i="7"/>
  <c r="D10" i="18"/>
  <c r="D12" i="18" s="1"/>
  <c r="AE491" i="7"/>
  <c r="AE421" i="7"/>
  <c r="AE460" i="7"/>
  <c r="AE448" i="7"/>
  <c r="AE427" i="7"/>
  <c r="AE397" i="7"/>
  <c r="AE418" i="7"/>
  <c r="AE411" i="7"/>
  <c r="AE379" i="7"/>
  <c r="AE353" i="7"/>
  <c r="AE356" i="7"/>
  <c r="AE293" i="7"/>
  <c r="AE261" i="7"/>
  <c r="AE320" i="7"/>
  <c r="AE288" i="7"/>
  <c r="AE256" i="7"/>
  <c r="AE36" i="7"/>
  <c r="AE68" i="7"/>
  <c r="AE100" i="7"/>
  <c r="AE132" i="7"/>
  <c r="AE486" i="7"/>
  <c r="AE489" i="7"/>
  <c r="AE456" i="7"/>
  <c r="AE444" i="7"/>
  <c r="AE420" i="7"/>
  <c r="AE402" i="7"/>
  <c r="AE351" i="7"/>
  <c r="AE346" i="7"/>
  <c r="AE315" i="7"/>
  <c r="AE283" i="7"/>
  <c r="AE251" i="7"/>
  <c r="AE330" i="7"/>
  <c r="AE298" i="7"/>
  <c r="AE227" i="7"/>
  <c r="AE195" i="7"/>
  <c r="AE246" i="7"/>
  <c r="AE222" i="7"/>
  <c r="AE190" i="7"/>
  <c r="AE221" i="7"/>
  <c r="AE189" i="7"/>
  <c r="AE228" i="7"/>
  <c r="AE196" i="7"/>
  <c r="AE22" i="7"/>
  <c r="AE46" i="7"/>
  <c r="AE70" i="7"/>
  <c r="AE86" i="7"/>
  <c r="AE102" i="7"/>
  <c r="AE118" i="7"/>
  <c r="AE134" i="7"/>
  <c r="AE150" i="7"/>
  <c r="J8" i="37"/>
  <c r="L8" i="37" s="1"/>
  <c r="O8" i="37" s="1"/>
  <c r="D1" i="36"/>
  <c r="J7" i="37"/>
  <c r="L7" i="37" s="1"/>
  <c r="O7" i="37" s="1"/>
  <c r="D1" i="35"/>
  <c r="N6" i="27"/>
  <c r="CI19" i="7"/>
  <c r="DD18" i="7"/>
  <c r="DS18" i="7"/>
  <c r="AE63" i="7"/>
  <c r="CY18" i="7"/>
  <c r="CD19" i="7"/>
  <c r="AF16" i="7"/>
  <c r="AI16" i="7" s="1"/>
  <c r="AE16" i="7"/>
  <c r="C15" i="7"/>
  <c r="F15" i="7" s="1"/>
  <c r="AE47" i="7"/>
  <c r="AE79" i="7"/>
  <c r="AE111" i="7"/>
  <c r="AE143" i="7"/>
  <c r="AE64" i="7"/>
  <c r="AE128" i="7"/>
  <c r="AE161" i="7"/>
  <c r="AE169" i="7"/>
  <c r="AE500" i="7"/>
  <c r="AE487" i="7"/>
  <c r="AE417" i="7"/>
  <c r="AE452" i="7"/>
  <c r="AE467" i="7"/>
  <c r="AE424" i="7"/>
  <c r="AE423" i="7"/>
  <c r="AE393" i="7"/>
  <c r="AE380" i="7"/>
  <c r="AE407" i="7"/>
  <c r="AE349" i="7"/>
  <c r="AE352" i="7"/>
  <c r="AE289" i="7"/>
  <c r="AE273" i="7"/>
  <c r="AE316" i="7"/>
  <c r="AE284" i="7"/>
  <c r="AE252" i="7"/>
  <c r="P12" i="24"/>
  <c r="Q12" i="24" s="1"/>
  <c r="N47" i="23"/>
  <c r="J47" i="23"/>
  <c r="F47" i="23"/>
  <c r="K47" i="23"/>
  <c r="E47" i="23"/>
  <c r="M47" i="23"/>
  <c r="H47" i="23"/>
  <c r="C47" i="23"/>
  <c r="I47" i="23"/>
  <c r="K42" i="23"/>
  <c r="O47" i="23"/>
  <c r="D47" i="23"/>
  <c r="E42" i="23"/>
  <c r="C42" i="23"/>
  <c r="L47" i="23"/>
  <c r="M42" i="23"/>
  <c r="G47" i="23"/>
  <c r="H42" i="23"/>
  <c r="J42" i="23"/>
  <c r="N42" i="23"/>
  <c r="D42" i="23"/>
  <c r="I42" i="23"/>
  <c r="G42" i="23"/>
  <c r="L42" i="23"/>
  <c r="O42" i="23"/>
  <c r="F42" i="23"/>
  <c r="O36" i="23"/>
  <c r="K36" i="23"/>
  <c r="G36" i="23"/>
  <c r="C36" i="23"/>
  <c r="J36" i="23"/>
  <c r="E36" i="23"/>
  <c r="M36" i="23"/>
  <c r="H36" i="23"/>
  <c r="I36" i="23"/>
  <c r="N36" i="23"/>
  <c r="D36" i="23"/>
  <c r="C30" i="23"/>
  <c r="L36" i="23"/>
  <c r="F36" i="23"/>
  <c r="K30" i="23"/>
  <c r="F30" i="23"/>
  <c r="D30" i="23"/>
  <c r="N30" i="23"/>
  <c r="O30" i="23"/>
  <c r="E30" i="23"/>
  <c r="H30" i="23"/>
  <c r="I30" i="23"/>
  <c r="L30" i="23"/>
  <c r="M30" i="23"/>
  <c r="J30" i="23"/>
  <c r="G30" i="23"/>
  <c r="E5" i="32"/>
  <c r="BA15" i="7"/>
  <c r="AW15" i="7"/>
  <c r="AZ15" i="7"/>
  <c r="AX15" i="7"/>
  <c r="AV15" i="7"/>
  <c r="BC15" i="7"/>
  <c r="AY15" i="7"/>
  <c r="AU15" i="7"/>
  <c r="BB15" i="7"/>
  <c r="AT15" i="7"/>
  <c r="AF15" i="7"/>
  <c r="AI15" i="7" s="1"/>
  <c r="CG19" i="7"/>
  <c r="DB18" i="7"/>
  <c r="AO18" i="7"/>
  <c r="BU20" i="7"/>
  <c r="CP19" i="7"/>
  <c r="BW19" i="7"/>
  <c r="CR18" i="7"/>
  <c r="CJ19" i="7"/>
  <c r="DE18" i="7"/>
  <c r="AE44" i="7"/>
  <c r="AE108" i="7"/>
  <c r="BO15" i="7"/>
  <c r="BQ15" i="7" s="1"/>
  <c r="L8" i="27"/>
  <c r="L16" i="27"/>
  <c r="L24" i="27"/>
  <c r="L17" i="27"/>
  <c r="L28" i="27"/>
  <c r="L11" i="27"/>
  <c r="L27" i="27"/>
  <c r="AE509" i="7"/>
  <c r="AE501" i="7"/>
  <c r="AE464" i="7"/>
  <c r="AE390" i="7"/>
  <c r="AE371" i="7"/>
  <c r="AE339" i="7"/>
  <c r="AE374" i="7"/>
  <c r="AE342" i="7"/>
  <c r="AE311" i="7"/>
  <c r="AE279" i="7"/>
  <c r="AE326" i="7"/>
  <c r="AE294" i="7"/>
  <c r="AE223" i="7"/>
  <c r="AE191" i="7"/>
  <c r="AE242" i="7"/>
  <c r="AE234" i="7"/>
  <c r="AE202" i="7"/>
  <c r="AE241" i="7"/>
  <c r="AE209" i="7"/>
  <c r="AE177" i="7"/>
  <c r="AE248" i="7"/>
  <c r="AE216" i="7"/>
  <c r="AE184" i="7"/>
  <c r="AE42" i="7"/>
  <c r="AE66" i="7"/>
  <c r="AE82" i="7"/>
  <c r="AE98" i="7"/>
  <c r="AE114" i="7"/>
  <c r="CA19" i="7"/>
  <c r="CV18" i="7"/>
  <c r="AE51" i="7"/>
  <c r="AE83" i="7"/>
  <c r="AE115" i="7"/>
  <c r="AE147" i="7"/>
  <c r="AE29" i="7"/>
  <c r="AE37" i="7"/>
  <c r="AE45" i="7"/>
  <c r="AE53" i="7"/>
  <c r="AE61" i="7"/>
  <c r="AE69" i="7"/>
  <c r="AE77" i="7"/>
  <c r="AE85" i="7"/>
  <c r="AE93" i="7"/>
  <c r="AE101" i="7"/>
  <c r="AE109" i="7"/>
  <c r="AE117" i="7"/>
  <c r="AE125" i="7"/>
  <c r="AE133" i="7"/>
  <c r="AE141" i="7"/>
  <c r="AE149" i="7"/>
  <c r="AE503" i="7"/>
  <c r="AE471" i="7"/>
  <c r="AE432" i="7"/>
  <c r="AE389" i="7"/>
  <c r="AE384" i="7"/>
  <c r="AE403" i="7"/>
  <c r="AE377" i="7"/>
  <c r="AE345" i="7"/>
  <c r="AE348" i="7"/>
  <c r="AE333" i="7"/>
  <c r="AE301" i="7"/>
  <c r="AE253" i="7"/>
  <c r="AE328" i="7"/>
  <c r="AE296" i="7"/>
  <c r="AE264" i="7"/>
  <c r="EM19" i="7"/>
  <c r="DG19" i="7"/>
  <c r="CL20" i="7"/>
  <c r="AF9" i="1"/>
  <c r="AD8" i="1"/>
  <c r="AD9" i="1" s="1"/>
  <c r="AD10" i="1" s="1"/>
  <c r="AD11" i="1" s="1"/>
  <c r="AD12" i="1" s="1"/>
  <c r="AD13" i="1" s="1"/>
  <c r="AD14" i="1" s="1"/>
  <c r="CM19" i="7"/>
  <c r="DH18" i="7"/>
  <c r="CX19" i="7"/>
  <c r="CC20" i="7"/>
  <c r="AG17" i="7"/>
  <c r="J7" i="34"/>
  <c r="AE505" i="7"/>
  <c r="AE481" i="7"/>
  <c r="AE470" i="7"/>
  <c r="AE462" i="7"/>
  <c r="AE454" i="7"/>
  <c r="AE428" i="7"/>
  <c r="AE446" i="7"/>
  <c r="AE438" i="7"/>
  <c r="AE430" i="7"/>
  <c r="AE422" i="7"/>
  <c r="AE394" i="7"/>
  <c r="AE375" i="7"/>
  <c r="AE343" i="7"/>
  <c r="AE370" i="7"/>
  <c r="AE338" i="7"/>
  <c r="AE307" i="7"/>
  <c r="AE275" i="7"/>
  <c r="AE322" i="7"/>
  <c r="AE290" i="7"/>
  <c r="AE219" i="7"/>
  <c r="AE187" i="7"/>
  <c r="AE238" i="7"/>
  <c r="AE230" i="7"/>
  <c r="AE198" i="7"/>
  <c r="AE245" i="7"/>
  <c r="AE213" i="7"/>
  <c r="AE181" i="7"/>
  <c r="AE220" i="7"/>
  <c r="AE188" i="7"/>
  <c r="AE54" i="7"/>
  <c r="AE158" i="7"/>
  <c r="AE166" i="7"/>
  <c r="J10" i="37"/>
  <c r="L10" i="37" s="1"/>
  <c r="O10" i="37" s="1"/>
  <c r="J11" i="37"/>
  <c r="L11" i="37" s="1"/>
  <c r="O11" i="37" s="1"/>
  <c r="J9" i="37"/>
  <c r="L9" i="37" s="1"/>
  <c r="O9" i="37" s="1"/>
  <c r="AH14" i="1"/>
  <c r="AH17" i="7"/>
  <c r="BT19" i="7"/>
  <c r="CO18" i="7"/>
  <c r="EO18" i="7"/>
  <c r="AE55" i="7"/>
  <c r="AE87" i="7"/>
  <c r="AE119" i="7"/>
  <c r="AE151" i="7"/>
  <c r="AE159" i="7"/>
  <c r="AE48" i="7"/>
  <c r="AE112" i="7"/>
  <c r="AE21" i="7"/>
  <c r="AE33" i="7"/>
  <c r="AE41" i="7"/>
  <c r="AE49" i="7"/>
  <c r="AE57" i="7"/>
  <c r="AE65" i="7"/>
  <c r="AE73" i="7"/>
  <c r="AE81" i="7"/>
  <c r="AE89" i="7"/>
  <c r="AE97" i="7"/>
  <c r="AE105" i="7"/>
  <c r="AE113" i="7"/>
  <c r="AE121" i="7"/>
  <c r="AE129" i="7"/>
  <c r="AE137" i="7"/>
  <c r="AE145" i="7"/>
  <c r="AE153" i="7"/>
  <c r="AE495" i="7"/>
  <c r="AE459" i="7"/>
  <c r="AE447" i="7"/>
  <c r="AE385" i="7"/>
  <c r="AE412" i="7"/>
  <c r="AE388" i="7"/>
  <c r="AE399" i="7"/>
  <c r="AE373" i="7"/>
  <c r="AE341" i="7"/>
  <c r="AE376" i="7"/>
  <c r="AE344" i="7"/>
  <c r="AE329" i="7"/>
  <c r="AE297" i="7"/>
  <c r="AE265" i="7"/>
  <c r="AE324" i="7"/>
  <c r="AE292" i="7"/>
  <c r="AE260" i="7"/>
  <c r="AF10" i="1"/>
  <c r="AF11" i="1" s="1"/>
  <c r="AF12" i="1" s="1"/>
  <c r="AF13" i="1" s="1"/>
  <c r="AF14" i="1" s="1"/>
  <c r="V19" i="8"/>
  <c r="I18" i="8"/>
  <c r="AE17" i="7"/>
  <c r="AF17" i="7"/>
  <c r="AI17" i="7" s="1"/>
  <c r="AE20" i="7"/>
  <c r="AE28" i="7"/>
  <c r="AE92" i="7"/>
  <c r="AE156" i="7"/>
  <c r="L10" i="27"/>
  <c r="L18" i="27"/>
  <c r="L5" i="27"/>
  <c r="N5" i="27" s="1"/>
  <c r="L21" i="27"/>
  <c r="L30" i="27"/>
  <c r="L15" i="27"/>
  <c r="L31" i="27"/>
  <c r="AE496" i="7"/>
  <c r="AE436" i="7"/>
  <c r="AE442" i="7"/>
  <c r="AE434" i="7"/>
  <c r="AE426" i="7"/>
  <c r="AE414" i="7"/>
  <c r="AE382" i="7"/>
  <c r="AE363" i="7"/>
  <c r="AE366" i="7"/>
  <c r="AE335" i="7"/>
  <c r="AE303" i="7"/>
  <c r="AE271" i="7"/>
  <c r="AE318" i="7"/>
  <c r="AE286" i="7"/>
  <c r="AE247" i="7"/>
  <c r="AE215" i="7"/>
  <c r="AE183" i="7"/>
  <c r="AE266" i="7"/>
  <c r="AE210" i="7"/>
  <c r="AE178" i="7"/>
  <c r="AE233" i="7"/>
  <c r="AE201" i="7"/>
  <c r="AE240" i="7"/>
  <c r="AE208" i="7"/>
  <c r="AE176" i="7"/>
  <c r="AE26" i="7"/>
  <c r="AE138" i="7"/>
  <c r="AE154" i="7"/>
  <c r="T21" i="8"/>
  <c r="G20" i="8"/>
  <c r="V3" i="18" s="1"/>
  <c r="BX19" i="7"/>
  <c r="CS18" i="7"/>
  <c r="AE59" i="7"/>
  <c r="AE91" i="7"/>
  <c r="AE123" i="7"/>
  <c r="AE155" i="7"/>
  <c r="AE163" i="7"/>
  <c r="AE56" i="7"/>
  <c r="AE88" i="7"/>
  <c r="AE120" i="7"/>
  <c r="AE152" i="7"/>
  <c r="C10" i="18"/>
  <c r="C12" i="18" s="1"/>
  <c r="AE477" i="7"/>
  <c r="AE469" i="7"/>
  <c r="AE461" i="7"/>
  <c r="AE453" i="7"/>
  <c r="AE507" i="7"/>
  <c r="AE502" i="7"/>
  <c r="AE484" i="7"/>
  <c r="AE463" i="7"/>
  <c r="AE443" i="7"/>
  <c r="AE413" i="7"/>
  <c r="AE381" i="7"/>
  <c r="AE416" i="7"/>
  <c r="AE392" i="7"/>
  <c r="AE395" i="7"/>
  <c r="AE369" i="7"/>
  <c r="AE337" i="7"/>
  <c r="AE372" i="7"/>
  <c r="AE340" i="7"/>
  <c r="AE325" i="7"/>
  <c r="AE309" i="7"/>
  <c r="AE277" i="7"/>
  <c r="AE304" i="7"/>
  <c r="AE272" i="7"/>
  <c r="AE262" i="7"/>
  <c r="F19" i="8"/>
  <c r="S20" i="8"/>
  <c r="AE52" i="7"/>
  <c r="AE84" i="7"/>
  <c r="AE116" i="7"/>
  <c r="AE148" i="7"/>
  <c r="AE478" i="7"/>
  <c r="AE419" i="7"/>
  <c r="AE386" i="7"/>
  <c r="AE367" i="7"/>
  <c r="AE362" i="7"/>
  <c r="AE331" i="7"/>
  <c r="AE299" i="7"/>
  <c r="AE267" i="7"/>
  <c r="AE314" i="7"/>
  <c r="AE282" i="7"/>
  <c r="AE243" i="7"/>
  <c r="AE211" i="7"/>
  <c r="AE179" i="7"/>
  <c r="AE258" i="7"/>
  <c r="AE206" i="7"/>
  <c r="AE174" i="7"/>
  <c r="AE237" i="7"/>
  <c r="AE205" i="7"/>
  <c r="AE173" i="7"/>
  <c r="AE244" i="7"/>
  <c r="AE212" i="7"/>
  <c r="AE180" i="7"/>
  <c r="AE30" i="7"/>
  <c r="AE62" i="7"/>
  <c r="AE78" i="7"/>
  <c r="AE94" i="7"/>
  <c r="AE110" i="7"/>
  <c r="AE126" i="7"/>
  <c r="AE142" i="7"/>
  <c r="E25" i="8"/>
  <c r="R24" i="8"/>
  <c r="C12" i="25"/>
  <c r="B13" i="25"/>
  <c r="B14" i="25" s="1"/>
  <c r="C14" i="25"/>
  <c r="AE15" i="1"/>
  <c r="AG15" i="1"/>
  <c r="AH15" i="1" s="1"/>
  <c r="V16" i="1"/>
  <c r="AC15" i="1"/>
  <c r="D15" i="7"/>
  <c r="D21" i="18" l="1"/>
  <c r="D22" i="18"/>
  <c r="AF15" i="1"/>
  <c r="AD15" i="1"/>
  <c r="AE9" i="37"/>
  <c r="AF9" i="37"/>
  <c r="BW20" i="7"/>
  <c r="CR19" i="7"/>
  <c r="O79" i="36"/>
  <c r="K79" i="36"/>
  <c r="G79" i="36"/>
  <c r="C79" i="36"/>
  <c r="M78" i="36"/>
  <c r="I78" i="36"/>
  <c r="E78" i="36"/>
  <c r="O77" i="36"/>
  <c r="K77" i="36"/>
  <c r="G77" i="36"/>
  <c r="C77" i="36"/>
  <c r="M76" i="36"/>
  <c r="I76" i="36"/>
  <c r="E76" i="36"/>
  <c r="O75" i="36"/>
  <c r="K75" i="36"/>
  <c r="G75" i="36"/>
  <c r="C75" i="36"/>
  <c r="M74" i="36"/>
  <c r="I74" i="36"/>
  <c r="E74" i="36"/>
  <c r="O73" i="36"/>
  <c r="K73" i="36"/>
  <c r="G73" i="36"/>
  <c r="C73" i="36"/>
  <c r="M72" i="36"/>
  <c r="I72" i="36"/>
  <c r="E72" i="36"/>
  <c r="O71" i="36"/>
  <c r="K71" i="36"/>
  <c r="G71" i="36"/>
  <c r="C71" i="36"/>
  <c r="M70" i="36"/>
  <c r="I70" i="36"/>
  <c r="E70" i="36"/>
  <c r="O69" i="36"/>
  <c r="K69" i="36"/>
  <c r="G69" i="36"/>
  <c r="C69" i="36"/>
  <c r="M68" i="36"/>
  <c r="I68" i="36"/>
  <c r="E68" i="36"/>
  <c r="O67" i="36"/>
  <c r="K67" i="36"/>
  <c r="G67" i="36"/>
  <c r="C67" i="36"/>
  <c r="M66" i="36"/>
  <c r="I66" i="36"/>
  <c r="E66" i="36"/>
  <c r="O65" i="36"/>
  <c r="K65" i="36"/>
  <c r="G65" i="36"/>
  <c r="C65" i="36"/>
  <c r="M64" i="36"/>
  <c r="I64" i="36"/>
  <c r="E64" i="36"/>
  <c r="O63" i="36"/>
  <c r="K63" i="36"/>
  <c r="G63" i="36"/>
  <c r="C63" i="36"/>
  <c r="M62" i="36"/>
  <c r="I62" i="36"/>
  <c r="E62" i="36"/>
  <c r="O61" i="36"/>
  <c r="K61" i="36"/>
  <c r="G61" i="36"/>
  <c r="C61" i="36"/>
  <c r="M60" i="36"/>
  <c r="I60" i="36"/>
  <c r="E60" i="36"/>
  <c r="O59" i="36"/>
  <c r="K59" i="36"/>
  <c r="G59" i="36"/>
  <c r="C59" i="36"/>
  <c r="M58" i="36"/>
  <c r="I58" i="36"/>
  <c r="E58" i="36"/>
  <c r="O57" i="36"/>
  <c r="K57" i="36"/>
  <c r="G57" i="36"/>
  <c r="C57" i="36"/>
  <c r="M56" i="36"/>
  <c r="I56" i="36"/>
  <c r="E56" i="36"/>
  <c r="O55" i="36"/>
  <c r="K55" i="36"/>
  <c r="G55" i="36"/>
  <c r="C55" i="36"/>
  <c r="M54" i="36"/>
  <c r="I54" i="36"/>
  <c r="E54" i="36"/>
  <c r="O53" i="36"/>
  <c r="K53" i="36"/>
  <c r="G53" i="36"/>
  <c r="C53" i="36"/>
  <c r="M52" i="36"/>
  <c r="I52" i="36"/>
  <c r="E52" i="36"/>
  <c r="O51" i="36"/>
  <c r="K51" i="36"/>
  <c r="G51" i="36"/>
  <c r="C51" i="36"/>
  <c r="M50" i="36"/>
  <c r="I50" i="36"/>
  <c r="E50" i="36"/>
  <c r="O49" i="36"/>
  <c r="K49" i="36"/>
  <c r="G49" i="36"/>
  <c r="C49" i="36"/>
  <c r="M48" i="36"/>
  <c r="I48" i="36"/>
  <c r="E48" i="36"/>
  <c r="O47" i="36"/>
  <c r="K47" i="36"/>
  <c r="G47" i="36"/>
  <c r="C47" i="36"/>
  <c r="M46" i="36"/>
  <c r="I46" i="36"/>
  <c r="E46" i="36"/>
  <c r="O45" i="36"/>
  <c r="K45" i="36"/>
  <c r="G45" i="36"/>
  <c r="C45" i="36"/>
  <c r="M44" i="36"/>
  <c r="I44" i="36"/>
  <c r="E44" i="36"/>
  <c r="O43" i="36"/>
  <c r="K43" i="36"/>
  <c r="G43" i="36"/>
  <c r="C43" i="36"/>
  <c r="M42" i="36"/>
  <c r="I42" i="36"/>
  <c r="E42" i="36"/>
  <c r="O41" i="36"/>
  <c r="K41" i="36"/>
  <c r="G41" i="36"/>
  <c r="C41" i="36"/>
  <c r="M40" i="36"/>
  <c r="I40" i="36"/>
  <c r="E40" i="36"/>
  <c r="O39" i="36"/>
  <c r="K39" i="36"/>
  <c r="G39" i="36"/>
  <c r="C39" i="36"/>
  <c r="M38" i="36"/>
  <c r="I38" i="36"/>
  <c r="E38" i="36"/>
  <c r="O37" i="36"/>
  <c r="K37" i="36"/>
  <c r="G37" i="36"/>
  <c r="C37" i="36"/>
  <c r="M36" i="36"/>
  <c r="I36" i="36"/>
  <c r="E36" i="36"/>
  <c r="O35" i="36"/>
  <c r="K35" i="36"/>
  <c r="G35" i="36"/>
  <c r="C35" i="36"/>
  <c r="M34" i="36"/>
  <c r="I34" i="36"/>
  <c r="E34" i="36"/>
  <c r="O33" i="36"/>
  <c r="K33" i="36"/>
  <c r="G33" i="36"/>
  <c r="C33" i="36"/>
  <c r="M32" i="36"/>
  <c r="I32" i="36"/>
  <c r="E32" i="36"/>
  <c r="O31" i="36"/>
  <c r="K31" i="36"/>
  <c r="G31" i="36"/>
  <c r="C31" i="36"/>
  <c r="M30" i="36"/>
  <c r="I30" i="36"/>
  <c r="E30" i="36"/>
  <c r="O29" i="36"/>
  <c r="K29" i="36"/>
  <c r="G29" i="36"/>
  <c r="C29" i="36"/>
  <c r="M28" i="36"/>
  <c r="I28" i="36"/>
  <c r="E28" i="36"/>
  <c r="O27" i="36"/>
  <c r="K27" i="36"/>
  <c r="G27" i="36"/>
  <c r="C27" i="36"/>
  <c r="M26" i="36"/>
  <c r="I26" i="36"/>
  <c r="E26" i="36"/>
  <c r="O25" i="36"/>
  <c r="K25" i="36"/>
  <c r="G25" i="36"/>
  <c r="C25" i="36"/>
  <c r="M24" i="36"/>
  <c r="I24" i="36"/>
  <c r="E24" i="36"/>
  <c r="O23" i="36"/>
  <c r="K23" i="36"/>
  <c r="G23" i="36"/>
  <c r="C23" i="36"/>
  <c r="M22" i="36"/>
  <c r="I22" i="36"/>
  <c r="E22" i="36"/>
  <c r="O21" i="36"/>
  <c r="K21" i="36"/>
  <c r="G21" i="36"/>
  <c r="C21" i="36"/>
  <c r="M20" i="36"/>
  <c r="I20" i="36"/>
  <c r="E20" i="36"/>
  <c r="O19" i="36"/>
  <c r="K19" i="36"/>
  <c r="G19" i="36"/>
  <c r="C19" i="36"/>
  <c r="M18" i="36"/>
  <c r="I18" i="36"/>
  <c r="E18" i="36"/>
  <c r="O17" i="36"/>
  <c r="K17" i="36"/>
  <c r="G17" i="36"/>
  <c r="C17" i="36"/>
  <c r="M16" i="36"/>
  <c r="I16" i="36"/>
  <c r="E16" i="36"/>
  <c r="O15" i="36"/>
  <c r="K15" i="36"/>
  <c r="G15" i="36"/>
  <c r="C15" i="36"/>
  <c r="M14" i="36"/>
  <c r="I14" i="36"/>
  <c r="E14" i="36"/>
  <c r="O13" i="36"/>
  <c r="K13" i="36"/>
  <c r="G13" i="36"/>
  <c r="C13" i="36"/>
  <c r="M12" i="36"/>
  <c r="I12" i="36"/>
  <c r="E12" i="36"/>
  <c r="O11" i="36"/>
  <c r="K11" i="36"/>
  <c r="G11" i="36"/>
  <c r="C11" i="36"/>
  <c r="M10" i="36"/>
  <c r="I10" i="36"/>
  <c r="E10" i="36"/>
  <c r="O9" i="36"/>
  <c r="K9" i="36"/>
  <c r="G9" i="36"/>
  <c r="C9" i="36"/>
  <c r="M8" i="36"/>
  <c r="I8" i="36"/>
  <c r="E8" i="36"/>
  <c r="O7" i="36"/>
  <c r="K7" i="36"/>
  <c r="G7" i="36"/>
  <c r="C7" i="36"/>
  <c r="M79" i="36"/>
  <c r="I79" i="36"/>
  <c r="E79" i="36"/>
  <c r="O78" i="36"/>
  <c r="K78" i="36"/>
  <c r="G78" i="36"/>
  <c r="C78" i="36"/>
  <c r="M77" i="36"/>
  <c r="I77" i="36"/>
  <c r="E77" i="36"/>
  <c r="O76" i="36"/>
  <c r="K76" i="36"/>
  <c r="G76" i="36"/>
  <c r="C76" i="36"/>
  <c r="M75" i="36"/>
  <c r="I75" i="36"/>
  <c r="E75" i="36"/>
  <c r="O74" i="36"/>
  <c r="K74" i="36"/>
  <c r="G74" i="36"/>
  <c r="C74" i="36"/>
  <c r="M73" i="36"/>
  <c r="I73" i="36"/>
  <c r="E73" i="36"/>
  <c r="O72" i="36"/>
  <c r="K72" i="36"/>
  <c r="G72" i="36"/>
  <c r="C72" i="36"/>
  <c r="M71" i="36"/>
  <c r="I71" i="36"/>
  <c r="E71" i="36"/>
  <c r="O70" i="36"/>
  <c r="K70" i="36"/>
  <c r="G70" i="36"/>
  <c r="C70" i="36"/>
  <c r="M69" i="36"/>
  <c r="I69" i="36"/>
  <c r="E69" i="36"/>
  <c r="O68" i="36"/>
  <c r="K68" i="36"/>
  <c r="G68" i="36"/>
  <c r="C68" i="36"/>
  <c r="M67" i="36"/>
  <c r="I67" i="36"/>
  <c r="E67" i="36"/>
  <c r="O66" i="36"/>
  <c r="K66" i="36"/>
  <c r="G66" i="36"/>
  <c r="C66" i="36"/>
  <c r="M65" i="36"/>
  <c r="I65" i="36"/>
  <c r="E65" i="36"/>
  <c r="O64" i="36"/>
  <c r="K64" i="36"/>
  <c r="G64" i="36"/>
  <c r="C64" i="36"/>
  <c r="M63" i="36"/>
  <c r="I63" i="36"/>
  <c r="E63" i="36"/>
  <c r="O62" i="36"/>
  <c r="K62" i="36"/>
  <c r="G62" i="36"/>
  <c r="C62" i="36"/>
  <c r="M61" i="36"/>
  <c r="I61" i="36"/>
  <c r="E61" i="36"/>
  <c r="O60" i="36"/>
  <c r="K60" i="36"/>
  <c r="G60" i="36"/>
  <c r="C60" i="36"/>
  <c r="M59" i="36"/>
  <c r="I59" i="36"/>
  <c r="E59" i="36"/>
  <c r="O58" i="36"/>
  <c r="K58" i="36"/>
  <c r="G58" i="36"/>
  <c r="C58" i="36"/>
  <c r="M57" i="36"/>
  <c r="I57" i="36"/>
  <c r="E57" i="36"/>
  <c r="O56" i="36"/>
  <c r="K56" i="36"/>
  <c r="G56" i="36"/>
  <c r="C56" i="36"/>
  <c r="M55" i="36"/>
  <c r="I55" i="36"/>
  <c r="E55" i="36"/>
  <c r="O54" i="36"/>
  <c r="K54" i="36"/>
  <c r="G54" i="36"/>
  <c r="C54" i="36"/>
  <c r="M53" i="36"/>
  <c r="I53" i="36"/>
  <c r="E53" i="36"/>
  <c r="O52" i="36"/>
  <c r="K52" i="36"/>
  <c r="G52" i="36"/>
  <c r="C52" i="36"/>
  <c r="M51" i="36"/>
  <c r="I51" i="36"/>
  <c r="E51" i="36"/>
  <c r="O50" i="36"/>
  <c r="K50" i="36"/>
  <c r="G50" i="36"/>
  <c r="C50" i="36"/>
  <c r="M49" i="36"/>
  <c r="I49" i="36"/>
  <c r="E49" i="36"/>
  <c r="O48" i="36"/>
  <c r="K48" i="36"/>
  <c r="G48" i="36"/>
  <c r="C48" i="36"/>
  <c r="M47" i="36"/>
  <c r="I47" i="36"/>
  <c r="E47" i="36"/>
  <c r="O46" i="36"/>
  <c r="K46" i="36"/>
  <c r="G46" i="36"/>
  <c r="C46" i="36"/>
  <c r="M45" i="36"/>
  <c r="I45" i="36"/>
  <c r="E45" i="36"/>
  <c r="O44" i="36"/>
  <c r="K44" i="36"/>
  <c r="G44" i="36"/>
  <c r="C44" i="36"/>
  <c r="M43" i="36"/>
  <c r="I43" i="36"/>
  <c r="E43" i="36"/>
  <c r="O42" i="36"/>
  <c r="K42" i="36"/>
  <c r="G42" i="36"/>
  <c r="C42" i="36"/>
  <c r="M41" i="36"/>
  <c r="I41" i="36"/>
  <c r="E41" i="36"/>
  <c r="O40" i="36"/>
  <c r="K40" i="36"/>
  <c r="G40" i="36"/>
  <c r="C40" i="36"/>
  <c r="M39" i="36"/>
  <c r="I39" i="36"/>
  <c r="E39" i="36"/>
  <c r="O38" i="36"/>
  <c r="K38" i="36"/>
  <c r="G38" i="36"/>
  <c r="C38" i="36"/>
  <c r="M37" i="36"/>
  <c r="I37" i="36"/>
  <c r="E37" i="36"/>
  <c r="O36" i="36"/>
  <c r="K36" i="36"/>
  <c r="G36" i="36"/>
  <c r="C36" i="36"/>
  <c r="M35" i="36"/>
  <c r="I35" i="36"/>
  <c r="E35" i="36"/>
  <c r="O34" i="36"/>
  <c r="K34" i="36"/>
  <c r="G34" i="36"/>
  <c r="C34" i="36"/>
  <c r="M33" i="36"/>
  <c r="I33" i="36"/>
  <c r="E33" i="36"/>
  <c r="O32" i="36"/>
  <c r="K32" i="36"/>
  <c r="G32" i="36"/>
  <c r="C32" i="36"/>
  <c r="M31" i="36"/>
  <c r="I31" i="36"/>
  <c r="E31" i="36"/>
  <c r="O30" i="36"/>
  <c r="K30" i="36"/>
  <c r="G30" i="36"/>
  <c r="C30" i="36"/>
  <c r="M29" i="36"/>
  <c r="I29" i="36"/>
  <c r="E29" i="36"/>
  <c r="O28" i="36"/>
  <c r="K28" i="36"/>
  <c r="G28" i="36"/>
  <c r="C28" i="36"/>
  <c r="M27" i="36"/>
  <c r="I27" i="36"/>
  <c r="E27" i="36"/>
  <c r="O26" i="36"/>
  <c r="K26" i="36"/>
  <c r="G26" i="36"/>
  <c r="C26" i="36"/>
  <c r="M25" i="36"/>
  <c r="I25" i="36"/>
  <c r="E25" i="36"/>
  <c r="O24" i="36"/>
  <c r="K24" i="36"/>
  <c r="G24" i="36"/>
  <c r="C24" i="36"/>
  <c r="M23" i="36"/>
  <c r="I23" i="36"/>
  <c r="E23" i="36"/>
  <c r="O22" i="36"/>
  <c r="K22" i="36"/>
  <c r="G22" i="36"/>
  <c r="C22" i="36"/>
  <c r="M21" i="36"/>
  <c r="I21" i="36"/>
  <c r="E21" i="36"/>
  <c r="O20" i="36"/>
  <c r="K20" i="36"/>
  <c r="G20" i="36"/>
  <c r="C20" i="36"/>
  <c r="M19" i="36"/>
  <c r="I19" i="36"/>
  <c r="E19" i="36"/>
  <c r="O18" i="36"/>
  <c r="K18" i="36"/>
  <c r="G18" i="36"/>
  <c r="C18" i="36"/>
  <c r="M17" i="36"/>
  <c r="I17" i="36"/>
  <c r="E17" i="36"/>
  <c r="O16" i="36"/>
  <c r="K16" i="36"/>
  <c r="G16" i="36"/>
  <c r="C16" i="36"/>
  <c r="M15" i="36"/>
  <c r="I15" i="36"/>
  <c r="E15" i="36"/>
  <c r="O14" i="36"/>
  <c r="K14" i="36"/>
  <c r="G14" i="36"/>
  <c r="C14" i="36"/>
  <c r="M13" i="36"/>
  <c r="I13" i="36"/>
  <c r="E13" i="36"/>
  <c r="O12" i="36"/>
  <c r="K12" i="36"/>
  <c r="G12" i="36"/>
  <c r="C12" i="36"/>
  <c r="M11" i="36"/>
  <c r="I11" i="36"/>
  <c r="E11" i="36"/>
  <c r="O10" i="36"/>
  <c r="K10" i="36"/>
  <c r="G10" i="36"/>
  <c r="C10" i="36"/>
  <c r="M9" i="36"/>
  <c r="I9" i="36"/>
  <c r="E9" i="36"/>
  <c r="O8" i="36"/>
  <c r="K8" i="36"/>
  <c r="G8" i="36"/>
  <c r="C8" i="36"/>
  <c r="M7" i="36"/>
  <c r="I7" i="36"/>
  <c r="E7" i="36"/>
  <c r="L79" i="36"/>
  <c r="D79" i="36"/>
  <c r="J78" i="36"/>
  <c r="P77" i="36"/>
  <c r="H77" i="36"/>
  <c r="N76" i="36"/>
  <c r="F76" i="36"/>
  <c r="L75" i="36"/>
  <c r="D75" i="36"/>
  <c r="J74" i="36"/>
  <c r="P73" i="36"/>
  <c r="H73" i="36"/>
  <c r="N72" i="36"/>
  <c r="F72" i="36"/>
  <c r="L71" i="36"/>
  <c r="D71" i="36"/>
  <c r="J70" i="36"/>
  <c r="P69" i="36"/>
  <c r="H69" i="36"/>
  <c r="N68" i="36"/>
  <c r="F68" i="36"/>
  <c r="L67" i="36"/>
  <c r="D67" i="36"/>
  <c r="J66" i="36"/>
  <c r="P65" i="36"/>
  <c r="H65" i="36"/>
  <c r="N64" i="36"/>
  <c r="F64" i="36"/>
  <c r="L63" i="36"/>
  <c r="D63" i="36"/>
  <c r="J62" i="36"/>
  <c r="P61" i="36"/>
  <c r="H61" i="36"/>
  <c r="N60" i="36"/>
  <c r="F60" i="36"/>
  <c r="L59" i="36"/>
  <c r="D59" i="36"/>
  <c r="J58" i="36"/>
  <c r="P57" i="36"/>
  <c r="H57" i="36"/>
  <c r="N56" i="36"/>
  <c r="F56" i="36"/>
  <c r="L55" i="36"/>
  <c r="D55" i="36"/>
  <c r="J54" i="36"/>
  <c r="P53" i="36"/>
  <c r="H53" i="36"/>
  <c r="N52" i="36"/>
  <c r="F52" i="36"/>
  <c r="L51" i="36"/>
  <c r="D51" i="36"/>
  <c r="J50" i="36"/>
  <c r="P49" i="36"/>
  <c r="H49" i="36"/>
  <c r="N48" i="36"/>
  <c r="F48" i="36"/>
  <c r="L47" i="36"/>
  <c r="D47" i="36"/>
  <c r="J46" i="36"/>
  <c r="P45" i="36"/>
  <c r="H45" i="36"/>
  <c r="N44" i="36"/>
  <c r="F44" i="36"/>
  <c r="L43" i="36"/>
  <c r="D43" i="36"/>
  <c r="J42" i="36"/>
  <c r="P41" i="36"/>
  <c r="H41" i="36"/>
  <c r="N40" i="36"/>
  <c r="F40" i="36"/>
  <c r="L39" i="36"/>
  <c r="D39" i="36"/>
  <c r="J38" i="36"/>
  <c r="P37" i="36"/>
  <c r="H37" i="36"/>
  <c r="N36" i="36"/>
  <c r="F36" i="36"/>
  <c r="L35" i="36"/>
  <c r="D35" i="36"/>
  <c r="J34" i="36"/>
  <c r="P33" i="36"/>
  <c r="H33" i="36"/>
  <c r="N32" i="36"/>
  <c r="F32" i="36"/>
  <c r="L31" i="36"/>
  <c r="D31" i="36"/>
  <c r="J30" i="36"/>
  <c r="P29" i="36"/>
  <c r="H29" i="36"/>
  <c r="N28" i="36"/>
  <c r="F28" i="36"/>
  <c r="L27" i="36"/>
  <c r="D27" i="36"/>
  <c r="J26" i="36"/>
  <c r="P25" i="36"/>
  <c r="H25" i="36"/>
  <c r="N24" i="36"/>
  <c r="F24" i="36"/>
  <c r="L23" i="36"/>
  <c r="D23" i="36"/>
  <c r="J22" i="36"/>
  <c r="P21" i="36"/>
  <c r="H21" i="36"/>
  <c r="N20" i="36"/>
  <c r="F20" i="36"/>
  <c r="L19" i="36"/>
  <c r="D19" i="36"/>
  <c r="J18" i="36"/>
  <c r="P17" i="36"/>
  <c r="H17" i="36"/>
  <c r="N16" i="36"/>
  <c r="F16" i="36"/>
  <c r="L15" i="36"/>
  <c r="D15" i="36"/>
  <c r="J14" i="36"/>
  <c r="P13" i="36"/>
  <c r="H13" i="36"/>
  <c r="N12" i="36"/>
  <c r="F12" i="36"/>
  <c r="L11" i="36"/>
  <c r="D11" i="36"/>
  <c r="J10" i="36"/>
  <c r="P9" i="36"/>
  <c r="H9" i="36"/>
  <c r="N8" i="36"/>
  <c r="F8" i="36"/>
  <c r="L7" i="36"/>
  <c r="D7" i="36"/>
  <c r="P79" i="36"/>
  <c r="F79" i="36"/>
  <c r="H78" i="36"/>
  <c r="L77" i="36"/>
  <c r="P76" i="36"/>
  <c r="D76" i="36"/>
  <c r="H75" i="36"/>
  <c r="L74" i="36"/>
  <c r="N73" i="36"/>
  <c r="D73" i="36"/>
  <c r="H72" i="36"/>
  <c r="J71" i="36"/>
  <c r="N70" i="36"/>
  <c r="D70" i="36"/>
  <c r="F69" i="36"/>
  <c r="J68" i="36"/>
  <c r="N67" i="36"/>
  <c r="P66" i="36"/>
  <c r="F66" i="36"/>
  <c r="J65" i="36"/>
  <c r="L64" i="36"/>
  <c r="P63" i="36"/>
  <c r="F63" i="36"/>
  <c r="H62" i="36"/>
  <c r="L61" i="36"/>
  <c r="P60" i="36"/>
  <c r="D60" i="36"/>
  <c r="H59" i="36"/>
  <c r="L58" i="36"/>
  <c r="N57" i="36"/>
  <c r="D57" i="36"/>
  <c r="H56" i="36"/>
  <c r="J55" i="36"/>
  <c r="N54" i="36"/>
  <c r="D54" i="36"/>
  <c r="F53" i="36"/>
  <c r="J52" i="36"/>
  <c r="N51" i="36"/>
  <c r="P50" i="36"/>
  <c r="F50" i="36"/>
  <c r="J49" i="36"/>
  <c r="L48" i="36"/>
  <c r="P47" i="36"/>
  <c r="F47" i="36"/>
  <c r="H46" i="36"/>
  <c r="L45" i="36"/>
  <c r="P44" i="36"/>
  <c r="D44" i="36"/>
  <c r="H43" i="36"/>
  <c r="L42" i="36"/>
  <c r="N41" i="36"/>
  <c r="D41" i="36"/>
  <c r="H40" i="36"/>
  <c r="J39" i="36"/>
  <c r="N38" i="36"/>
  <c r="D38" i="36"/>
  <c r="F37" i="36"/>
  <c r="J36" i="36"/>
  <c r="N35" i="36"/>
  <c r="P34" i="36"/>
  <c r="F34" i="36"/>
  <c r="J33" i="36"/>
  <c r="L32" i="36"/>
  <c r="P31" i="36"/>
  <c r="F31" i="36"/>
  <c r="H30" i="36"/>
  <c r="L29" i="36"/>
  <c r="P28" i="36"/>
  <c r="D28" i="36"/>
  <c r="H27" i="36"/>
  <c r="L26" i="36"/>
  <c r="N79" i="36"/>
  <c r="N78" i="36"/>
  <c r="N77" i="36"/>
  <c r="L76" i="36"/>
  <c r="N75" i="36"/>
  <c r="N74" i="36"/>
  <c r="L73" i="36"/>
  <c r="L72" i="36"/>
  <c r="N71" i="36"/>
  <c r="L70" i="36"/>
  <c r="L69" i="36"/>
  <c r="L68" i="36"/>
  <c r="J67" i="36"/>
  <c r="L66" i="36"/>
  <c r="L65" i="36"/>
  <c r="J64" i="36"/>
  <c r="J63" i="36"/>
  <c r="L62" i="36"/>
  <c r="J61" i="36"/>
  <c r="J60" i="36"/>
  <c r="J59" i="36"/>
  <c r="H58" i="36"/>
  <c r="J57" i="36"/>
  <c r="J56" i="36"/>
  <c r="H55" i="36"/>
  <c r="H54" i="36"/>
  <c r="J53" i="36"/>
  <c r="H52" i="36"/>
  <c r="H51" i="36"/>
  <c r="H50" i="36"/>
  <c r="F49" i="36"/>
  <c r="H48" i="36"/>
  <c r="H47" i="36"/>
  <c r="F46" i="36"/>
  <c r="F45" i="36"/>
  <c r="H44" i="36"/>
  <c r="F43" i="36"/>
  <c r="F42" i="36"/>
  <c r="F41" i="36"/>
  <c r="D40" i="36"/>
  <c r="F39" i="36"/>
  <c r="F38" i="36"/>
  <c r="D37" i="36"/>
  <c r="D36" i="36"/>
  <c r="F35" i="36"/>
  <c r="D34" i="36"/>
  <c r="D33" i="36"/>
  <c r="D32" i="36"/>
  <c r="P30" i="36"/>
  <c r="D30" i="36"/>
  <c r="D29" i="36"/>
  <c r="P27" i="36"/>
  <c r="P26" i="36"/>
  <c r="D26" i="36"/>
  <c r="F25" i="36"/>
  <c r="J24" i="36"/>
  <c r="N23" i="36"/>
  <c r="P22" i="36"/>
  <c r="F22" i="36"/>
  <c r="J21" i="36"/>
  <c r="L20" i="36"/>
  <c r="P19" i="36"/>
  <c r="F19" i="36"/>
  <c r="H18" i="36"/>
  <c r="L17" i="36"/>
  <c r="P16" i="36"/>
  <c r="D16" i="36"/>
  <c r="H15" i="36"/>
  <c r="L14" i="36"/>
  <c r="N13" i="36"/>
  <c r="D13" i="36"/>
  <c r="H12" i="36"/>
  <c r="J11" i="36"/>
  <c r="N10" i="36"/>
  <c r="D10" i="36"/>
  <c r="F9" i="36"/>
  <c r="J8" i="36"/>
  <c r="N7" i="36"/>
  <c r="J79" i="36"/>
  <c r="L78" i="36"/>
  <c r="J77" i="36"/>
  <c r="J76" i="36"/>
  <c r="J75" i="36"/>
  <c r="H74" i="36"/>
  <c r="J73" i="36"/>
  <c r="J72" i="36"/>
  <c r="H71" i="36"/>
  <c r="H70" i="36"/>
  <c r="J69" i="36"/>
  <c r="H68" i="36"/>
  <c r="H67" i="36"/>
  <c r="H66" i="36"/>
  <c r="F65" i="36"/>
  <c r="H64" i="36"/>
  <c r="H63" i="36"/>
  <c r="F62" i="36"/>
  <c r="F61" i="36"/>
  <c r="H60" i="36"/>
  <c r="F59" i="36"/>
  <c r="F58" i="36"/>
  <c r="F57" i="36"/>
  <c r="D56" i="36"/>
  <c r="F55" i="36"/>
  <c r="F54" i="36"/>
  <c r="D53" i="36"/>
  <c r="D52" i="36"/>
  <c r="F51" i="36"/>
  <c r="D50" i="36"/>
  <c r="D49" i="36"/>
  <c r="D48" i="36"/>
  <c r="P46" i="36"/>
  <c r="D46" i="36"/>
  <c r="D45" i="36"/>
  <c r="P43" i="36"/>
  <c r="P42" i="36"/>
  <c r="D42" i="36"/>
  <c r="P40" i="36"/>
  <c r="P39" i="36"/>
  <c r="P38" i="36"/>
  <c r="N37" i="36"/>
  <c r="P36" i="36"/>
  <c r="P35" i="36"/>
  <c r="N34" i="36"/>
  <c r="N33" i="36"/>
  <c r="P32" i="36"/>
  <c r="N31" i="36"/>
  <c r="N30" i="36"/>
  <c r="N29" i="36"/>
  <c r="L28" i="36"/>
  <c r="N27" i="36"/>
  <c r="N26" i="36"/>
  <c r="N25" i="36"/>
  <c r="D25" i="36"/>
  <c r="H24" i="36"/>
  <c r="J23" i="36"/>
  <c r="N22" i="36"/>
  <c r="D22" i="36"/>
  <c r="F21" i="36"/>
  <c r="J20" i="36"/>
  <c r="N19" i="36"/>
  <c r="P18" i="36"/>
  <c r="F18" i="36"/>
  <c r="J17" i="36"/>
  <c r="L16" i="36"/>
  <c r="P15" i="36"/>
  <c r="F15" i="36"/>
  <c r="H14" i="36"/>
  <c r="L13" i="36"/>
  <c r="P12" i="36"/>
  <c r="D12" i="36"/>
  <c r="H11" i="36"/>
  <c r="L10" i="36"/>
  <c r="N9" i="36"/>
  <c r="D9" i="36"/>
  <c r="H8" i="36"/>
  <c r="J7" i="36"/>
  <c r="P78" i="36"/>
  <c r="D78" i="36"/>
  <c r="D77" i="36"/>
  <c r="P75" i="36"/>
  <c r="P74" i="36"/>
  <c r="D74" i="36"/>
  <c r="P72" i="36"/>
  <c r="P71" i="36"/>
  <c r="P70" i="36"/>
  <c r="N69" i="36"/>
  <c r="P68" i="36"/>
  <c r="P67" i="36"/>
  <c r="N66" i="36"/>
  <c r="N65" i="36"/>
  <c r="P64" i="36"/>
  <c r="N63" i="36"/>
  <c r="N62" i="36"/>
  <c r="N61" i="36"/>
  <c r="L60" i="36"/>
  <c r="N59" i="36"/>
  <c r="N58" i="36"/>
  <c r="L57" i="36"/>
  <c r="L56" i="36"/>
  <c r="N55" i="36"/>
  <c r="L54" i="36"/>
  <c r="L53" i="36"/>
  <c r="L52" i="36"/>
  <c r="J51" i="36"/>
  <c r="L50" i="36"/>
  <c r="L49" i="36"/>
  <c r="J48" i="36"/>
  <c r="J47" i="36"/>
  <c r="L46" i="36"/>
  <c r="J45" i="36"/>
  <c r="J44" i="36"/>
  <c r="J43" i="36"/>
  <c r="H42" i="36"/>
  <c r="J41" i="36"/>
  <c r="J40" i="36"/>
  <c r="H39" i="36"/>
  <c r="H38" i="36"/>
  <c r="J37" i="36"/>
  <c r="H36" i="36"/>
  <c r="H35" i="36"/>
  <c r="H34" i="36"/>
  <c r="F33" i="36"/>
  <c r="H32" i="36"/>
  <c r="H31" i="36"/>
  <c r="F30" i="36"/>
  <c r="F29" i="36"/>
  <c r="H28" i="36"/>
  <c r="F27" i="36"/>
  <c r="F26" i="36"/>
  <c r="J25" i="36"/>
  <c r="L24" i="36"/>
  <c r="P23" i="36"/>
  <c r="F23" i="36"/>
  <c r="H22" i="36"/>
  <c r="L21" i="36"/>
  <c r="P20" i="36"/>
  <c r="D20" i="36"/>
  <c r="H19" i="36"/>
  <c r="L18" i="36"/>
  <c r="N17" i="36"/>
  <c r="D17" i="36"/>
  <c r="H16" i="36"/>
  <c r="J15" i="36"/>
  <c r="N14" i="36"/>
  <c r="D14" i="36"/>
  <c r="F13" i="36"/>
  <c r="J12" i="36"/>
  <c r="N11" i="36"/>
  <c r="P10" i="36"/>
  <c r="F10" i="36"/>
  <c r="J9" i="36"/>
  <c r="L8" i="36"/>
  <c r="P7" i="36"/>
  <c r="F7" i="36"/>
  <c r="H76" i="36"/>
  <c r="D72" i="36"/>
  <c r="D68" i="36"/>
  <c r="D64" i="36"/>
  <c r="P59" i="36"/>
  <c r="P55" i="36"/>
  <c r="P51" i="36"/>
  <c r="N47" i="36"/>
  <c r="N43" i="36"/>
  <c r="N39" i="36"/>
  <c r="J35" i="36"/>
  <c r="J31" i="36"/>
  <c r="J27" i="36"/>
  <c r="D24" i="36"/>
  <c r="D21" i="36"/>
  <c r="D18" i="36"/>
  <c r="P14" i="36"/>
  <c r="P11" i="36"/>
  <c r="P8" i="36"/>
  <c r="H79" i="36"/>
  <c r="F75" i="36"/>
  <c r="F71" i="36"/>
  <c r="F67" i="36"/>
  <c r="P62" i="36"/>
  <c r="P58" i="36"/>
  <c r="P54" i="36"/>
  <c r="N50" i="36"/>
  <c r="N46" i="36"/>
  <c r="N42" i="36"/>
  <c r="L38" i="36"/>
  <c r="L34" i="36"/>
  <c r="L30" i="36"/>
  <c r="H26" i="36"/>
  <c r="H23" i="36"/>
  <c r="H20" i="36"/>
  <c r="F17" i="36"/>
  <c r="F14" i="36"/>
  <c r="F11" i="36"/>
  <c r="D8" i="36"/>
  <c r="F74" i="36"/>
  <c r="D66" i="36"/>
  <c r="D58" i="36"/>
  <c r="N49" i="36"/>
  <c r="L41" i="36"/>
  <c r="L33" i="36"/>
  <c r="L25" i="36"/>
  <c r="J19" i="36"/>
  <c r="J13" i="36"/>
  <c r="H7" i="36"/>
  <c r="F73" i="36"/>
  <c r="D65" i="36"/>
  <c r="P56" i="36"/>
  <c r="P48" i="36"/>
  <c r="L40" i="36"/>
  <c r="J32" i="36"/>
  <c r="P24" i="36"/>
  <c r="N18" i="36"/>
  <c r="L12" i="36"/>
  <c r="F78" i="36"/>
  <c r="F70" i="36"/>
  <c r="D62" i="36"/>
  <c r="N53" i="36"/>
  <c r="N45" i="36"/>
  <c r="L37" i="36"/>
  <c r="J29" i="36"/>
  <c r="L22" i="36"/>
  <c r="J16" i="36"/>
  <c r="H10" i="36"/>
  <c r="F77" i="36"/>
  <c r="D69" i="36"/>
  <c r="D61" i="36"/>
  <c r="P52" i="36"/>
  <c r="L44" i="36"/>
  <c r="L36" i="36"/>
  <c r="J28" i="36"/>
  <c r="N21" i="36"/>
  <c r="N15" i="36"/>
  <c r="L9" i="36"/>
  <c r="H20" i="8"/>
  <c r="U19" i="8"/>
  <c r="EB18" i="7"/>
  <c r="DW18" i="7"/>
  <c r="EA18" i="7"/>
  <c r="DV18" i="7"/>
  <c r="DX18" i="7"/>
  <c r="BS19" i="7"/>
  <c r="EF18" i="7"/>
  <c r="DZ18" i="7"/>
  <c r="CN18" i="7"/>
  <c r="EC18" i="7"/>
  <c r="M18" i="7"/>
  <c r="DM17" i="7"/>
  <c r="B9" i="27"/>
  <c r="M8" i="27"/>
  <c r="CK21" i="7"/>
  <c r="DF20" i="7"/>
  <c r="E10" i="18"/>
  <c r="E12" i="18" s="1"/>
  <c r="BF17" i="7"/>
  <c r="BD17" i="7"/>
  <c r="BE17" i="7"/>
  <c r="E24" i="8"/>
  <c r="R23" i="8"/>
  <c r="AG16" i="1"/>
  <c r="AH16" i="1" s="1"/>
  <c r="AE16" i="1"/>
  <c r="AF16" i="1" s="1"/>
  <c r="AC16" i="1"/>
  <c r="AD16" i="1" s="1"/>
  <c r="V17" i="1"/>
  <c r="F20" i="8"/>
  <c r="S21" i="8"/>
  <c r="BX20" i="7"/>
  <c r="CS19" i="7"/>
  <c r="AF11" i="37"/>
  <c r="AE11" i="37"/>
  <c r="CM20" i="7"/>
  <c r="DH19" i="7"/>
  <c r="BE15" i="7"/>
  <c r="BD15" i="7"/>
  <c r="BF15" i="7"/>
  <c r="Q15" i="24"/>
  <c r="Q14" i="24"/>
  <c r="CD20" i="7"/>
  <c r="CY19" i="7"/>
  <c r="CI20" i="7"/>
  <c r="DD19" i="7"/>
  <c r="DS19" i="7"/>
  <c r="AF8" i="37"/>
  <c r="AE8" i="37"/>
  <c r="BO16" i="7"/>
  <c r="AM18" i="7"/>
  <c r="CE19" i="7"/>
  <c r="CZ18" i="7"/>
  <c r="M6" i="32"/>
  <c r="DQ17" i="7"/>
  <c r="CB20" i="7"/>
  <c r="CW19" i="7"/>
  <c r="P13" i="23"/>
  <c r="Q13" i="23" s="1"/>
  <c r="Q14" i="23" s="1"/>
  <c r="D5" i="32"/>
  <c r="N16" i="7"/>
  <c r="C21" i="18"/>
  <c r="C20" i="18"/>
  <c r="G21" i="8"/>
  <c r="T22" i="8"/>
  <c r="Q5" i="27"/>
  <c r="AE10" i="37"/>
  <c r="AF10" i="37"/>
  <c r="L7" i="34"/>
  <c r="K7" i="34"/>
  <c r="CC21" i="7"/>
  <c r="CX20" i="7"/>
  <c r="DG20" i="7"/>
  <c r="EM20" i="7"/>
  <c r="CL21" i="7"/>
  <c r="H15" i="7"/>
  <c r="G15" i="7"/>
  <c r="CJ20" i="7"/>
  <c r="DE19" i="7"/>
  <c r="BU21" i="7"/>
  <c r="CP20" i="7"/>
  <c r="AO19" i="7"/>
  <c r="DB19" i="7"/>
  <c r="CG20" i="7"/>
  <c r="P30" i="23"/>
  <c r="Q30" i="23" s="1"/>
  <c r="P42" i="23"/>
  <c r="Q42" i="23" s="1"/>
  <c r="N79" i="35"/>
  <c r="J79" i="35"/>
  <c r="F79" i="35"/>
  <c r="P78" i="35"/>
  <c r="L78" i="35"/>
  <c r="H78" i="35"/>
  <c r="D78" i="35"/>
  <c r="N77" i="35"/>
  <c r="J77" i="35"/>
  <c r="F77" i="35"/>
  <c r="P76" i="35"/>
  <c r="L76" i="35"/>
  <c r="H76" i="35"/>
  <c r="D76" i="35"/>
  <c r="N75" i="35"/>
  <c r="J75" i="35"/>
  <c r="F75" i="35"/>
  <c r="P74" i="35"/>
  <c r="L74" i="35"/>
  <c r="H74" i="35"/>
  <c r="D74" i="35"/>
  <c r="N73" i="35"/>
  <c r="J73" i="35"/>
  <c r="F73" i="35"/>
  <c r="P72" i="35"/>
  <c r="L72" i="35"/>
  <c r="H72" i="35"/>
  <c r="D72" i="35"/>
  <c r="N71" i="35"/>
  <c r="J71" i="35"/>
  <c r="F71" i="35"/>
  <c r="P70" i="35"/>
  <c r="L70" i="35"/>
  <c r="H70" i="35"/>
  <c r="D70" i="35"/>
  <c r="N69" i="35"/>
  <c r="J69" i="35"/>
  <c r="F69" i="35"/>
  <c r="P68" i="35"/>
  <c r="L68" i="35"/>
  <c r="H68" i="35"/>
  <c r="D68" i="35"/>
  <c r="N67" i="35"/>
  <c r="J67" i="35"/>
  <c r="F67" i="35"/>
  <c r="P66" i="35"/>
  <c r="L66" i="35"/>
  <c r="H66" i="35"/>
  <c r="D66" i="35"/>
  <c r="N65" i="35"/>
  <c r="J65" i="35"/>
  <c r="F65" i="35"/>
  <c r="P64" i="35"/>
  <c r="L64" i="35"/>
  <c r="H64" i="35"/>
  <c r="D64" i="35"/>
  <c r="N63" i="35"/>
  <c r="J63" i="35"/>
  <c r="F63" i="35"/>
  <c r="P62" i="35"/>
  <c r="L62" i="35"/>
  <c r="H62" i="35"/>
  <c r="D62" i="35"/>
  <c r="N61" i="35"/>
  <c r="J61" i="35"/>
  <c r="F61" i="35"/>
  <c r="P60" i="35"/>
  <c r="L60" i="35"/>
  <c r="H60" i="35"/>
  <c r="D60" i="35"/>
  <c r="N59" i="35"/>
  <c r="J59" i="35"/>
  <c r="F59" i="35"/>
  <c r="P58" i="35"/>
  <c r="L58" i="35"/>
  <c r="H58" i="35"/>
  <c r="D58" i="35"/>
  <c r="N57" i="35"/>
  <c r="J57" i="35"/>
  <c r="F57" i="35"/>
  <c r="P56" i="35"/>
  <c r="L56" i="35"/>
  <c r="O79" i="35"/>
  <c r="I79" i="35"/>
  <c r="D79" i="35"/>
  <c r="M78" i="35"/>
  <c r="G78" i="35"/>
  <c r="P77" i="35"/>
  <c r="K77" i="35"/>
  <c r="E77" i="35"/>
  <c r="N76" i="35"/>
  <c r="I76" i="35"/>
  <c r="C76" i="35"/>
  <c r="L75" i="35"/>
  <c r="G75" i="35"/>
  <c r="O74" i="35"/>
  <c r="J74" i="35"/>
  <c r="E74" i="35"/>
  <c r="M73" i="35"/>
  <c r="H73" i="35"/>
  <c r="C73" i="35"/>
  <c r="K72" i="35"/>
  <c r="F72" i="35"/>
  <c r="O71" i="35"/>
  <c r="I71" i="35"/>
  <c r="D71" i="35"/>
  <c r="M70" i="35"/>
  <c r="G70" i="35"/>
  <c r="P69" i="35"/>
  <c r="K69" i="35"/>
  <c r="E69" i="35"/>
  <c r="N68" i="35"/>
  <c r="I68" i="35"/>
  <c r="C68" i="35"/>
  <c r="L67" i="35"/>
  <c r="G67" i="35"/>
  <c r="O66" i="35"/>
  <c r="J66" i="35"/>
  <c r="E66" i="35"/>
  <c r="M65" i="35"/>
  <c r="H65" i="35"/>
  <c r="C65" i="35"/>
  <c r="K64" i="35"/>
  <c r="F64" i="35"/>
  <c r="O63" i="35"/>
  <c r="I63" i="35"/>
  <c r="D63" i="35"/>
  <c r="M62" i="35"/>
  <c r="G62" i="35"/>
  <c r="P61" i="35"/>
  <c r="K61" i="35"/>
  <c r="E61" i="35"/>
  <c r="N60" i="35"/>
  <c r="I60" i="35"/>
  <c r="C60" i="35"/>
  <c r="L59" i="35"/>
  <c r="G59" i="35"/>
  <c r="O58" i="35"/>
  <c r="J58" i="35"/>
  <c r="E58" i="35"/>
  <c r="M57" i="35"/>
  <c r="H57" i="35"/>
  <c r="C57" i="35"/>
  <c r="K56" i="35"/>
  <c r="G56" i="35"/>
  <c r="C56" i="35"/>
  <c r="M55" i="35"/>
  <c r="I55" i="35"/>
  <c r="E55" i="35"/>
  <c r="O54" i="35"/>
  <c r="K54" i="35"/>
  <c r="G54" i="35"/>
  <c r="C54" i="35"/>
  <c r="M53" i="35"/>
  <c r="I53" i="35"/>
  <c r="E53" i="35"/>
  <c r="O52" i="35"/>
  <c r="K52" i="35"/>
  <c r="G52" i="35"/>
  <c r="C52" i="35"/>
  <c r="M51" i="35"/>
  <c r="I51" i="35"/>
  <c r="E51" i="35"/>
  <c r="O50" i="35"/>
  <c r="K50" i="35"/>
  <c r="G50" i="35"/>
  <c r="C50" i="35"/>
  <c r="M49" i="35"/>
  <c r="I49" i="35"/>
  <c r="E49" i="35"/>
  <c r="O48" i="35"/>
  <c r="K48" i="35"/>
  <c r="G48" i="35"/>
  <c r="C48" i="35"/>
  <c r="M47" i="35"/>
  <c r="I47" i="35"/>
  <c r="E47" i="35"/>
  <c r="O46" i="35"/>
  <c r="K46" i="35"/>
  <c r="G46" i="35"/>
  <c r="C46" i="35"/>
  <c r="M45" i="35"/>
  <c r="I45" i="35"/>
  <c r="E45" i="35"/>
  <c r="O44" i="35"/>
  <c r="K44" i="35"/>
  <c r="G44" i="35"/>
  <c r="C44" i="35"/>
  <c r="M43" i="35"/>
  <c r="I43" i="35"/>
  <c r="E43" i="35"/>
  <c r="O42" i="35"/>
  <c r="K42" i="35"/>
  <c r="G42" i="35"/>
  <c r="C42" i="35"/>
  <c r="M41" i="35"/>
  <c r="I41" i="35"/>
  <c r="E41" i="35"/>
  <c r="O40" i="35"/>
  <c r="K40" i="35"/>
  <c r="G40" i="35"/>
  <c r="C40" i="35"/>
  <c r="M39" i="35"/>
  <c r="I39" i="35"/>
  <c r="E39" i="35"/>
  <c r="O38" i="35"/>
  <c r="K38" i="35"/>
  <c r="G38" i="35"/>
  <c r="C38" i="35"/>
  <c r="M37" i="35"/>
  <c r="I37" i="35"/>
  <c r="E37" i="35"/>
  <c r="O36" i="35"/>
  <c r="K36" i="35"/>
  <c r="G36" i="35"/>
  <c r="C36" i="35"/>
  <c r="M35" i="35"/>
  <c r="I35" i="35"/>
  <c r="E35" i="35"/>
  <c r="O34" i="35"/>
  <c r="K34" i="35"/>
  <c r="G34" i="35"/>
  <c r="C34" i="35"/>
  <c r="M33" i="35"/>
  <c r="I33" i="35"/>
  <c r="E33" i="35"/>
  <c r="O32" i="35"/>
  <c r="K32" i="35"/>
  <c r="G32" i="35"/>
  <c r="C32" i="35"/>
  <c r="M31" i="35"/>
  <c r="I31" i="35"/>
  <c r="E31" i="35"/>
  <c r="O30" i="35"/>
  <c r="K30" i="35"/>
  <c r="G30" i="35"/>
  <c r="C30" i="35"/>
  <c r="M29" i="35"/>
  <c r="I29" i="35"/>
  <c r="E29" i="35"/>
  <c r="O28" i="35"/>
  <c r="K28" i="35"/>
  <c r="G28" i="35"/>
  <c r="C28" i="35"/>
  <c r="M27" i="35"/>
  <c r="I27" i="35"/>
  <c r="E27" i="35"/>
  <c r="O26" i="35"/>
  <c r="K26" i="35"/>
  <c r="G26" i="35"/>
  <c r="C26" i="35"/>
  <c r="M25" i="35"/>
  <c r="I25" i="35"/>
  <c r="E25" i="35"/>
  <c r="O24" i="35"/>
  <c r="K24" i="35"/>
  <c r="G24" i="35"/>
  <c r="C24" i="35"/>
  <c r="M23" i="35"/>
  <c r="I23" i="35"/>
  <c r="E23" i="35"/>
  <c r="O22" i="35"/>
  <c r="K22" i="35"/>
  <c r="G22" i="35"/>
  <c r="C22" i="35"/>
  <c r="M21" i="35"/>
  <c r="I21" i="35"/>
  <c r="E21" i="35"/>
  <c r="O20" i="35"/>
  <c r="K20" i="35"/>
  <c r="G20" i="35"/>
  <c r="C20" i="35"/>
  <c r="M19" i="35"/>
  <c r="I19" i="35"/>
  <c r="E19" i="35"/>
  <c r="O18" i="35"/>
  <c r="K18" i="35"/>
  <c r="G18" i="35"/>
  <c r="C18" i="35"/>
  <c r="M17" i="35"/>
  <c r="I17" i="35"/>
  <c r="E17" i="35"/>
  <c r="O16" i="35"/>
  <c r="K16" i="35"/>
  <c r="G16" i="35"/>
  <c r="C16" i="35"/>
  <c r="M15" i="35"/>
  <c r="I15" i="35"/>
  <c r="E15" i="35"/>
  <c r="O14" i="35"/>
  <c r="K14" i="35"/>
  <c r="G14" i="35"/>
  <c r="C14" i="35"/>
  <c r="M13" i="35"/>
  <c r="I13" i="35"/>
  <c r="E13" i="35"/>
  <c r="O12" i="35"/>
  <c r="K12" i="35"/>
  <c r="G12" i="35"/>
  <c r="C12" i="35"/>
  <c r="M11" i="35"/>
  <c r="I11" i="35"/>
  <c r="E11" i="35"/>
  <c r="O10" i="35"/>
  <c r="K10" i="35"/>
  <c r="G10" i="35"/>
  <c r="C10" i="35"/>
  <c r="M9" i="35"/>
  <c r="I9" i="35"/>
  <c r="E9" i="35"/>
  <c r="O8" i="35"/>
  <c r="K8" i="35"/>
  <c r="G8" i="35"/>
  <c r="C8" i="35"/>
  <c r="M7" i="35"/>
  <c r="I7" i="35"/>
  <c r="E7" i="35"/>
  <c r="L79" i="35"/>
  <c r="G79" i="35"/>
  <c r="O78" i="35"/>
  <c r="J78" i="35"/>
  <c r="E78" i="35"/>
  <c r="M77" i="35"/>
  <c r="H77" i="35"/>
  <c r="C77" i="35"/>
  <c r="K76" i="35"/>
  <c r="F76" i="35"/>
  <c r="O75" i="35"/>
  <c r="I75" i="35"/>
  <c r="D75" i="35"/>
  <c r="M74" i="35"/>
  <c r="G74" i="35"/>
  <c r="P73" i="35"/>
  <c r="K73" i="35"/>
  <c r="E73" i="35"/>
  <c r="N72" i="35"/>
  <c r="I72" i="35"/>
  <c r="C72" i="35"/>
  <c r="L71" i="35"/>
  <c r="G71" i="35"/>
  <c r="O70" i="35"/>
  <c r="J70" i="35"/>
  <c r="E70" i="35"/>
  <c r="M69" i="35"/>
  <c r="H69" i="35"/>
  <c r="C69" i="35"/>
  <c r="K68" i="35"/>
  <c r="F68" i="35"/>
  <c r="O67" i="35"/>
  <c r="I67" i="35"/>
  <c r="D67" i="35"/>
  <c r="M66" i="35"/>
  <c r="G66" i="35"/>
  <c r="P65" i="35"/>
  <c r="K65" i="35"/>
  <c r="E65" i="35"/>
  <c r="N64" i="35"/>
  <c r="I64" i="35"/>
  <c r="C64" i="35"/>
  <c r="L63" i="35"/>
  <c r="G63" i="35"/>
  <c r="O62" i="35"/>
  <c r="J62" i="35"/>
  <c r="E62" i="35"/>
  <c r="M61" i="35"/>
  <c r="H61" i="35"/>
  <c r="C61" i="35"/>
  <c r="K60" i="35"/>
  <c r="F60" i="35"/>
  <c r="O59" i="35"/>
  <c r="I59" i="35"/>
  <c r="D59" i="35"/>
  <c r="M58" i="35"/>
  <c r="G58" i="35"/>
  <c r="P57" i="35"/>
  <c r="K57" i="35"/>
  <c r="E57" i="35"/>
  <c r="N56" i="35"/>
  <c r="I56" i="35"/>
  <c r="E56" i="35"/>
  <c r="O55" i="35"/>
  <c r="K55" i="35"/>
  <c r="G55" i="35"/>
  <c r="C55" i="35"/>
  <c r="M54" i="35"/>
  <c r="I54" i="35"/>
  <c r="E54" i="35"/>
  <c r="O53" i="35"/>
  <c r="K53" i="35"/>
  <c r="G53" i="35"/>
  <c r="C53" i="35"/>
  <c r="M52" i="35"/>
  <c r="I52" i="35"/>
  <c r="E52" i="35"/>
  <c r="O51" i="35"/>
  <c r="K51" i="35"/>
  <c r="G51" i="35"/>
  <c r="C51" i="35"/>
  <c r="M50" i="35"/>
  <c r="I50" i="35"/>
  <c r="E50" i="35"/>
  <c r="O49" i="35"/>
  <c r="K49" i="35"/>
  <c r="G49" i="35"/>
  <c r="C49" i="35"/>
  <c r="M48" i="35"/>
  <c r="I48" i="35"/>
  <c r="E48" i="35"/>
  <c r="O47" i="35"/>
  <c r="K47" i="35"/>
  <c r="G47" i="35"/>
  <c r="C47" i="35"/>
  <c r="M46" i="35"/>
  <c r="I46" i="35"/>
  <c r="E46" i="35"/>
  <c r="O45" i="35"/>
  <c r="K45" i="35"/>
  <c r="G45" i="35"/>
  <c r="C45" i="35"/>
  <c r="M44" i="35"/>
  <c r="I44" i="35"/>
  <c r="E44" i="35"/>
  <c r="O43" i="35"/>
  <c r="K43" i="35"/>
  <c r="G43" i="35"/>
  <c r="C43" i="35"/>
  <c r="M42" i="35"/>
  <c r="I42" i="35"/>
  <c r="E42" i="35"/>
  <c r="O41" i="35"/>
  <c r="K41" i="35"/>
  <c r="G41" i="35"/>
  <c r="C41" i="35"/>
  <c r="M40" i="35"/>
  <c r="I40" i="35"/>
  <c r="E40" i="35"/>
  <c r="O39" i="35"/>
  <c r="K39" i="35"/>
  <c r="G39" i="35"/>
  <c r="C39" i="35"/>
  <c r="M38" i="35"/>
  <c r="I38" i="35"/>
  <c r="E38" i="35"/>
  <c r="O37" i="35"/>
  <c r="K37" i="35"/>
  <c r="G37" i="35"/>
  <c r="C37" i="35"/>
  <c r="M36" i="35"/>
  <c r="I36" i="35"/>
  <c r="E36" i="35"/>
  <c r="O35" i="35"/>
  <c r="K35" i="35"/>
  <c r="G35" i="35"/>
  <c r="C35" i="35"/>
  <c r="M34" i="35"/>
  <c r="I34" i="35"/>
  <c r="E34" i="35"/>
  <c r="O33" i="35"/>
  <c r="K33" i="35"/>
  <c r="G33" i="35"/>
  <c r="C33" i="35"/>
  <c r="M32" i="35"/>
  <c r="I32" i="35"/>
  <c r="E32" i="35"/>
  <c r="O31" i="35"/>
  <c r="K31" i="35"/>
  <c r="G31" i="35"/>
  <c r="C31" i="35"/>
  <c r="M30" i="35"/>
  <c r="I30" i="35"/>
  <c r="E30" i="35"/>
  <c r="O29" i="35"/>
  <c r="K29" i="35"/>
  <c r="G29" i="35"/>
  <c r="C29" i="35"/>
  <c r="M28" i="35"/>
  <c r="I28" i="35"/>
  <c r="E28" i="35"/>
  <c r="O27" i="35"/>
  <c r="K27" i="35"/>
  <c r="G27" i="35"/>
  <c r="C27" i="35"/>
  <c r="M26" i="35"/>
  <c r="I26" i="35"/>
  <c r="E26" i="35"/>
  <c r="O25" i="35"/>
  <c r="K25" i="35"/>
  <c r="G25" i="35"/>
  <c r="C25" i="35"/>
  <c r="M24" i="35"/>
  <c r="I24" i="35"/>
  <c r="E24" i="35"/>
  <c r="O23" i="35"/>
  <c r="K23" i="35"/>
  <c r="G23" i="35"/>
  <c r="C23" i="35"/>
  <c r="M22" i="35"/>
  <c r="I22" i="35"/>
  <c r="E22" i="35"/>
  <c r="O21" i="35"/>
  <c r="K21" i="35"/>
  <c r="G21" i="35"/>
  <c r="C21" i="35"/>
  <c r="M20" i="35"/>
  <c r="I20" i="35"/>
  <c r="E20" i="35"/>
  <c r="O19" i="35"/>
  <c r="K19" i="35"/>
  <c r="G19" i="35"/>
  <c r="C19" i="35"/>
  <c r="M18" i="35"/>
  <c r="I18" i="35"/>
  <c r="E18" i="35"/>
  <c r="O17" i="35"/>
  <c r="K17" i="35"/>
  <c r="G17" i="35"/>
  <c r="C17" i="35"/>
  <c r="M16" i="35"/>
  <c r="I16" i="35"/>
  <c r="E16" i="35"/>
  <c r="O15" i="35"/>
  <c r="K15" i="35"/>
  <c r="G15" i="35"/>
  <c r="C15" i="35"/>
  <c r="M14" i="35"/>
  <c r="I14" i="35"/>
  <c r="E14" i="35"/>
  <c r="O13" i="35"/>
  <c r="K13" i="35"/>
  <c r="G13" i="35"/>
  <c r="C13" i="35"/>
  <c r="M12" i="35"/>
  <c r="I12" i="35"/>
  <c r="E12" i="35"/>
  <c r="O11" i="35"/>
  <c r="K11" i="35"/>
  <c r="G11" i="35"/>
  <c r="C11" i="35"/>
  <c r="M10" i="35"/>
  <c r="I10" i="35"/>
  <c r="E10" i="35"/>
  <c r="O9" i="35"/>
  <c r="K9" i="35"/>
  <c r="G9" i="35"/>
  <c r="C9" i="35"/>
  <c r="M8" i="35"/>
  <c r="I8" i="35"/>
  <c r="E8" i="35"/>
  <c r="O7" i="35"/>
  <c r="K7" i="35"/>
  <c r="G7" i="35"/>
  <c r="C7" i="35"/>
  <c r="H79" i="35"/>
  <c r="K78" i="35"/>
  <c r="O77" i="35"/>
  <c r="D77" i="35"/>
  <c r="G76" i="35"/>
  <c r="K75" i="35"/>
  <c r="N74" i="35"/>
  <c r="C74" i="35"/>
  <c r="G73" i="35"/>
  <c r="J72" i="35"/>
  <c r="M71" i="35"/>
  <c r="C71" i="35"/>
  <c r="F70" i="35"/>
  <c r="I69" i="35"/>
  <c r="M68" i="35"/>
  <c r="P67" i="35"/>
  <c r="E67" i="35"/>
  <c r="I66" i="35"/>
  <c r="L65" i="35"/>
  <c r="O64" i="35"/>
  <c r="E64" i="35"/>
  <c r="H63" i="35"/>
  <c r="K62" i="35"/>
  <c r="O61" i="35"/>
  <c r="D61" i="35"/>
  <c r="G60" i="35"/>
  <c r="K59" i="35"/>
  <c r="N58" i="35"/>
  <c r="C58" i="35"/>
  <c r="G57" i="35"/>
  <c r="J56" i="35"/>
  <c r="P55" i="35"/>
  <c r="H55" i="35"/>
  <c r="N54" i="35"/>
  <c r="F54" i="35"/>
  <c r="L53" i="35"/>
  <c r="D53" i="35"/>
  <c r="J52" i="35"/>
  <c r="P51" i="35"/>
  <c r="H51" i="35"/>
  <c r="N50" i="35"/>
  <c r="F50" i="35"/>
  <c r="L49" i="35"/>
  <c r="D49" i="35"/>
  <c r="J48" i="35"/>
  <c r="P47" i="35"/>
  <c r="H47" i="35"/>
  <c r="N46" i="35"/>
  <c r="F46" i="35"/>
  <c r="L45" i="35"/>
  <c r="D45" i="35"/>
  <c r="J44" i="35"/>
  <c r="P43" i="35"/>
  <c r="H43" i="35"/>
  <c r="N42" i="35"/>
  <c r="F42" i="35"/>
  <c r="L41" i="35"/>
  <c r="D41" i="35"/>
  <c r="J40" i="35"/>
  <c r="P39" i="35"/>
  <c r="H39" i="35"/>
  <c r="N38" i="35"/>
  <c r="F38" i="35"/>
  <c r="L37" i="35"/>
  <c r="D37" i="35"/>
  <c r="J36" i="35"/>
  <c r="P35" i="35"/>
  <c r="H35" i="35"/>
  <c r="N34" i="35"/>
  <c r="F34" i="35"/>
  <c r="L33" i="35"/>
  <c r="D33" i="35"/>
  <c r="J32" i="35"/>
  <c r="P31" i="35"/>
  <c r="H31" i="35"/>
  <c r="N30" i="35"/>
  <c r="F30" i="35"/>
  <c r="L29" i="35"/>
  <c r="D29" i="35"/>
  <c r="J28" i="35"/>
  <c r="P27" i="35"/>
  <c r="H27" i="35"/>
  <c r="N26" i="35"/>
  <c r="F26" i="35"/>
  <c r="L25" i="35"/>
  <c r="D25" i="35"/>
  <c r="J24" i="35"/>
  <c r="P23" i="35"/>
  <c r="H23" i="35"/>
  <c r="N22" i="35"/>
  <c r="F22" i="35"/>
  <c r="L21" i="35"/>
  <c r="D21" i="35"/>
  <c r="J20" i="35"/>
  <c r="P19" i="35"/>
  <c r="H19" i="35"/>
  <c r="N18" i="35"/>
  <c r="F18" i="35"/>
  <c r="L17" i="35"/>
  <c r="D17" i="35"/>
  <c r="J16" i="35"/>
  <c r="P15" i="35"/>
  <c r="H15" i="35"/>
  <c r="N14" i="35"/>
  <c r="F14" i="35"/>
  <c r="L13" i="35"/>
  <c r="D13" i="35"/>
  <c r="J12" i="35"/>
  <c r="P11" i="35"/>
  <c r="H11" i="35"/>
  <c r="N10" i="35"/>
  <c r="F10" i="35"/>
  <c r="L9" i="35"/>
  <c r="D9" i="35"/>
  <c r="J8" i="35"/>
  <c r="P7" i="35"/>
  <c r="H7" i="35"/>
  <c r="P79" i="35"/>
  <c r="C79" i="35"/>
  <c r="C78" i="35"/>
  <c r="O76" i="35"/>
  <c r="P75" i="35"/>
  <c r="C75" i="35"/>
  <c r="O73" i="35"/>
  <c r="O72" i="35"/>
  <c r="P71" i="35"/>
  <c r="N70" i="35"/>
  <c r="O69" i="35"/>
  <c r="O68" i="35"/>
  <c r="M67" i="35"/>
  <c r="N66" i="35"/>
  <c r="O65" i="35"/>
  <c r="M64" i="35"/>
  <c r="M63" i="35"/>
  <c r="N62" i="35"/>
  <c r="L61" i="35"/>
  <c r="M60" i="35"/>
  <c r="M59" i="35"/>
  <c r="K58" i="35"/>
  <c r="L57" i="35"/>
  <c r="M56" i="35"/>
  <c r="N55" i="35"/>
  <c r="D55" i="35"/>
  <c r="H54" i="35"/>
  <c r="J53" i="35"/>
  <c r="N52" i="35"/>
  <c r="D52" i="35"/>
  <c r="F51" i="35"/>
  <c r="J50" i="35"/>
  <c r="N49" i="35"/>
  <c r="P48" i="35"/>
  <c r="F48" i="35"/>
  <c r="J47" i="35"/>
  <c r="L46" i="35"/>
  <c r="P45" i="35"/>
  <c r="F45" i="35"/>
  <c r="H44" i="35"/>
  <c r="L43" i="35"/>
  <c r="P42" i="35"/>
  <c r="D42" i="35"/>
  <c r="H41" i="35"/>
  <c r="L40" i="35"/>
  <c r="N39" i="35"/>
  <c r="D39" i="35"/>
  <c r="H38" i="35"/>
  <c r="J37" i="35"/>
  <c r="N36" i="35"/>
  <c r="D36" i="35"/>
  <c r="F35" i="35"/>
  <c r="J34" i="35"/>
  <c r="N33" i="35"/>
  <c r="P32" i="35"/>
  <c r="F32" i="35"/>
  <c r="J31" i="35"/>
  <c r="L30" i="35"/>
  <c r="P29" i="35"/>
  <c r="F29" i="35"/>
  <c r="H28" i="35"/>
  <c r="L27" i="35"/>
  <c r="P26" i="35"/>
  <c r="D26" i="35"/>
  <c r="H25" i="35"/>
  <c r="L24" i="35"/>
  <c r="N23" i="35"/>
  <c r="D23" i="35"/>
  <c r="H22" i="35"/>
  <c r="J21" i="35"/>
  <c r="N20" i="35"/>
  <c r="D20" i="35"/>
  <c r="F19" i="35"/>
  <c r="J18" i="35"/>
  <c r="N17" i="35"/>
  <c r="P16" i="35"/>
  <c r="F16" i="35"/>
  <c r="J15" i="35"/>
  <c r="L14" i="35"/>
  <c r="P13" i="35"/>
  <c r="F13" i="35"/>
  <c r="H12" i="35"/>
  <c r="L11" i="35"/>
  <c r="P10" i="35"/>
  <c r="D10" i="35"/>
  <c r="H9" i="35"/>
  <c r="L8" i="35"/>
  <c r="N7" i="35"/>
  <c r="D7" i="35"/>
  <c r="N78" i="35"/>
  <c r="I77" i="35"/>
  <c r="E76" i="35"/>
  <c r="K74" i="35"/>
  <c r="I73" i="35"/>
  <c r="E72" i="35"/>
  <c r="K70" i="35"/>
  <c r="G69" i="35"/>
  <c r="E68" i="35"/>
  <c r="K66" i="35"/>
  <c r="G65" i="35"/>
  <c r="P63" i="35"/>
  <c r="I62" i="35"/>
  <c r="G61" i="35"/>
  <c r="P59" i="35"/>
  <c r="I58" i="35"/>
  <c r="D57" i="35"/>
  <c r="D56" i="35"/>
  <c r="P54" i="35"/>
  <c r="P53" i="35"/>
  <c r="P52" i="35"/>
  <c r="N51" i="35"/>
  <c r="P50" i="35"/>
  <c r="P49" i="35"/>
  <c r="N48" i="35"/>
  <c r="N47" i="35"/>
  <c r="P46" i="35"/>
  <c r="N45" i="35"/>
  <c r="N44" i="35"/>
  <c r="N43" i="35"/>
  <c r="L42" i="35"/>
  <c r="N41" i="35"/>
  <c r="N40" i="35"/>
  <c r="L39" i="35"/>
  <c r="L38" i="35"/>
  <c r="N37" i="35"/>
  <c r="L36" i="35"/>
  <c r="L35" i="35"/>
  <c r="L34" i="35"/>
  <c r="J33" i="35"/>
  <c r="L32" i="35"/>
  <c r="L31" i="35"/>
  <c r="J30" i="35"/>
  <c r="J29" i="35"/>
  <c r="L28" i="35"/>
  <c r="J27" i="35"/>
  <c r="J26" i="35"/>
  <c r="J25" i="35"/>
  <c r="H24" i="35"/>
  <c r="J23" i="35"/>
  <c r="J22" i="35"/>
  <c r="H21" i="35"/>
  <c r="H20" i="35"/>
  <c r="J19" i="35"/>
  <c r="H18" i="35"/>
  <c r="H17" i="35"/>
  <c r="H16" i="35"/>
  <c r="F15" i="35"/>
  <c r="H14" i="35"/>
  <c r="H13" i="35"/>
  <c r="F12" i="35"/>
  <c r="F11" i="35"/>
  <c r="H10" i="35"/>
  <c r="F9" i="35"/>
  <c r="F8" i="35"/>
  <c r="F7" i="35"/>
  <c r="M79" i="35"/>
  <c r="I78" i="35"/>
  <c r="G77" i="35"/>
  <c r="M75" i="35"/>
  <c r="I74" i="35"/>
  <c r="D73" i="35"/>
  <c r="K71" i="35"/>
  <c r="I70" i="35"/>
  <c r="D69" i="35"/>
  <c r="K67" i="35"/>
  <c r="F66" i="35"/>
  <c r="D65" i="35"/>
  <c r="K63" i="35"/>
  <c r="F62" i="35"/>
  <c r="O60" i="35"/>
  <c r="H59" i="35"/>
  <c r="F58" i="35"/>
  <c r="O56" i="35"/>
  <c r="L55" i="35"/>
  <c r="L54" i="35"/>
  <c r="N53" i="35"/>
  <c r="L52" i="35"/>
  <c r="L51" i="35"/>
  <c r="L50" i="35"/>
  <c r="J49" i="35"/>
  <c r="L48" i="35"/>
  <c r="L47" i="35"/>
  <c r="J46" i="35"/>
  <c r="J45" i="35"/>
  <c r="L44" i="35"/>
  <c r="J43" i="35"/>
  <c r="J42" i="35"/>
  <c r="J41" i="35"/>
  <c r="H40" i="35"/>
  <c r="J39" i="35"/>
  <c r="J38" i="35"/>
  <c r="H37" i="35"/>
  <c r="H36" i="35"/>
  <c r="J35" i="35"/>
  <c r="H34" i="35"/>
  <c r="H33" i="35"/>
  <c r="H32" i="35"/>
  <c r="F31" i="35"/>
  <c r="H30" i="35"/>
  <c r="H29" i="35"/>
  <c r="F28" i="35"/>
  <c r="F27" i="35"/>
  <c r="H26" i="35"/>
  <c r="F25" i="35"/>
  <c r="F24" i="35"/>
  <c r="F23" i="35"/>
  <c r="D22" i="35"/>
  <c r="F21" i="35"/>
  <c r="F20" i="35"/>
  <c r="D19" i="35"/>
  <c r="D18" i="35"/>
  <c r="F17" i="35"/>
  <c r="D16" i="35"/>
  <c r="D15" i="35"/>
  <c r="D14" i="35"/>
  <c r="P12" i="35"/>
  <c r="D12" i="35"/>
  <c r="D11" i="35"/>
  <c r="P9" i="35"/>
  <c r="P8" i="35"/>
  <c r="D8" i="35"/>
  <c r="E79" i="35"/>
  <c r="L77" i="35"/>
  <c r="J76" i="35"/>
  <c r="E75" i="35"/>
  <c r="L73" i="35"/>
  <c r="G72" i="35"/>
  <c r="E71" i="35"/>
  <c r="L69" i="35"/>
  <c r="G68" i="35"/>
  <c r="C67" i="35"/>
  <c r="I65" i="35"/>
  <c r="G64" i="35"/>
  <c r="C63" i="35"/>
  <c r="I61" i="35"/>
  <c r="E60" i="35"/>
  <c r="C59" i="35"/>
  <c r="I57" i="35"/>
  <c r="F56" i="35"/>
  <c r="F55" i="35"/>
  <c r="D54" i="35"/>
  <c r="F53" i="35"/>
  <c r="F52" i="35"/>
  <c r="D51" i="35"/>
  <c r="D50" i="35"/>
  <c r="F49" i="35"/>
  <c r="D48" i="35"/>
  <c r="D47" i="35"/>
  <c r="D46" i="35"/>
  <c r="P44" i="35"/>
  <c r="D44" i="35"/>
  <c r="D43" i="35"/>
  <c r="P41" i="35"/>
  <c r="P40" i="35"/>
  <c r="D40" i="35"/>
  <c r="P38" i="35"/>
  <c r="P37" i="35"/>
  <c r="P36" i="35"/>
  <c r="N35" i="35"/>
  <c r="P34" i="35"/>
  <c r="P33" i="35"/>
  <c r="N32" i="35"/>
  <c r="N31" i="35"/>
  <c r="P30" i="35"/>
  <c r="N29" i="35"/>
  <c r="N28" i="35"/>
  <c r="N27" i="35"/>
  <c r="L26" i="35"/>
  <c r="N25" i="35"/>
  <c r="N24" i="35"/>
  <c r="L23" i="35"/>
  <c r="L22" i="35"/>
  <c r="N21" i="35"/>
  <c r="L20" i="35"/>
  <c r="L19" i="35"/>
  <c r="L18" i="35"/>
  <c r="J17" i="35"/>
  <c r="L16" i="35"/>
  <c r="L15" i="35"/>
  <c r="J14" i="35"/>
  <c r="J13" i="35"/>
  <c r="L12" i="35"/>
  <c r="J11" i="35"/>
  <c r="J10" i="35"/>
  <c r="J9" i="35"/>
  <c r="H8" i="35"/>
  <c r="J7" i="35"/>
  <c r="H75" i="35"/>
  <c r="C70" i="35"/>
  <c r="J64" i="35"/>
  <c r="E59" i="35"/>
  <c r="J54" i="35"/>
  <c r="H50" i="35"/>
  <c r="H46" i="35"/>
  <c r="H42" i="35"/>
  <c r="D38" i="35"/>
  <c r="D34" i="35"/>
  <c r="D30" i="35"/>
  <c r="P25" i="35"/>
  <c r="P21" i="35"/>
  <c r="P17" i="35"/>
  <c r="N13" i="35"/>
  <c r="N9" i="35"/>
  <c r="K79" i="35"/>
  <c r="F74" i="35"/>
  <c r="J68" i="35"/>
  <c r="E63" i="35"/>
  <c r="O57" i="35"/>
  <c r="H53" i="35"/>
  <c r="H49" i="35"/>
  <c r="H45" i="35"/>
  <c r="F41" i="35"/>
  <c r="F37" i="35"/>
  <c r="F33" i="35"/>
  <c r="P28" i="35"/>
  <c r="P24" i="35"/>
  <c r="P20" i="35"/>
  <c r="N16" i="35"/>
  <c r="N12" i="35"/>
  <c r="N8" i="35"/>
  <c r="M76" i="35"/>
  <c r="C66" i="35"/>
  <c r="J55" i="35"/>
  <c r="F47" i="35"/>
  <c r="F39" i="35"/>
  <c r="D31" i="35"/>
  <c r="P22" i="35"/>
  <c r="P14" i="35"/>
  <c r="M72" i="35"/>
  <c r="C62" i="35"/>
  <c r="H52" i="35"/>
  <c r="F44" i="35"/>
  <c r="F36" i="35"/>
  <c r="D28" i="35"/>
  <c r="N19" i="35"/>
  <c r="N11" i="35"/>
  <c r="H71" i="35"/>
  <c r="J60" i="35"/>
  <c r="J51" i="35"/>
  <c r="F43" i="35"/>
  <c r="D35" i="35"/>
  <c r="D27" i="35"/>
  <c r="P18" i="35"/>
  <c r="L10" i="35"/>
  <c r="F78" i="35"/>
  <c r="H67" i="35"/>
  <c r="H56" i="35"/>
  <c r="H48" i="35"/>
  <c r="F40" i="35"/>
  <c r="D32" i="35"/>
  <c r="D24" i="35"/>
  <c r="N15" i="35"/>
  <c r="L7" i="35"/>
  <c r="BZ20" i="7"/>
  <c r="CU19" i="7"/>
  <c r="EN19" i="7"/>
  <c r="K6" i="32"/>
  <c r="DK17" i="7"/>
  <c r="BN18" i="7"/>
  <c r="CH19" i="7"/>
  <c r="DC18" i="7"/>
  <c r="BY21" i="7"/>
  <c r="CT20" i="7"/>
  <c r="P17" i="23"/>
  <c r="Q17" i="23" s="1"/>
  <c r="I19" i="8"/>
  <c r="V20" i="8"/>
  <c r="BT20" i="7"/>
  <c r="CO19" i="7"/>
  <c r="EO19" i="7"/>
  <c r="CA20" i="7"/>
  <c r="CV19" i="7"/>
  <c r="P18" i="7"/>
  <c r="AF7" i="37"/>
  <c r="AE7" i="37"/>
  <c r="BD16" i="7"/>
  <c r="BE16" i="7"/>
  <c r="BF16" i="7"/>
  <c r="DI16" i="7"/>
  <c r="DI17" i="7" s="1"/>
  <c r="L6" i="32"/>
  <c r="DN17" i="7"/>
  <c r="E20" i="18"/>
  <c r="B22" i="18"/>
  <c r="N7" i="27"/>
  <c r="Q7" i="27" s="1"/>
  <c r="BV20" i="7"/>
  <c r="CQ19" i="7"/>
  <c r="CF19" i="7"/>
  <c r="DA18" i="7"/>
  <c r="AN18" i="7"/>
  <c r="E21" i="18"/>
  <c r="BV21" i="7" l="1"/>
  <c r="CQ20" i="7"/>
  <c r="E22" i="18"/>
  <c r="DG21" i="7"/>
  <c r="EM21" i="7"/>
  <c r="CL22" i="7"/>
  <c r="CC22" i="7"/>
  <c r="CX21" i="7"/>
  <c r="C22" i="18"/>
  <c r="CE20" i="7"/>
  <c r="CZ19" i="7"/>
  <c r="AM19" i="7"/>
  <c r="CM21" i="7"/>
  <c r="DH20" i="7"/>
  <c r="BX21" i="7"/>
  <c r="CS20" i="7"/>
  <c r="B10" i="27"/>
  <c r="M9" i="27"/>
  <c r="H19" i="8"/>
  <c r="U18" i="8"/>
  <c r="Q19" i="23"/>
  <c r="Q18" i="23"/>
  <c r="D8" i="32"/>
  <c r="N19" i="7"/>
  <c r="DE20" i="7"/>
  <c r="CJ21" i="7"/>
  <c r="M7" i="32"/>
  <c r="P19" i="7"/>
  <c r="CD21" i="7"/>
  <c r="CY20" i="7"/>
  <c r="S22" i="8"/>
  <c r="F21" i="8"/>
  <c r="CK22" i="7"/>
  <c r="DF21" i="7"/>
  <c r="E8" i="32"/>
  <c r="BB18" i="7"/>
  <c r="DQ18" i="7" s="1"/>
  <c r="AX18" i="7"/>
  <c r="AT18" i="7"/>
  <c r="AU18" i="7"/>
  <c r="DJ18" i="7" s="1"/>
  <c r="BA18" i="7"/>
  <c r="DP18" i="7" s="1"/>
  <c r="AW18" i="7"/>
  <c r="DL18" i="7" s="1"/>
  <c r="AY18" i="7"/>
  <c r="AZ18" i="7"/>
  <c r="DO18" i="7" s="1"/>
  <c r="AV18" i="7"/>
  <c r="BC18" i="7"/>
  <c r="DR18" i="7" s="1"/>
  <c r="AH18" i="7"/>
  <c r="AF18" i="7"/>
  <c r="AI18" i="7" s="1"/>
  <c r="AG18" i="7"/>
  <c r="BW21" i="7"/>
  <c r="CR20" i="7"/>
  <c r="CH20" i="7"/>
  <c r="DC19" i="7"/>
  <c r="BN19" i="7"/>
  <c r="CF20" i="7"/>
  <c r="DA19" i="7"/>
  <c r="AN19" i="7"/>
  <c r="L7" i="32"/>
  <c r="DN18" i="7"/>
  <c r="EO20" i="7"/>
  <c r="CO20" i="7"/>
  <c r="BT21" i="7"/>
  <c r="BY22" i="7"/>
  <c r="CT21" i="7"/>
  <c r="K7" i="32"/>
  <c r="DK18" i="7"/>
  <c r="BZ21" i="7"/>
  <c r="CU20" i="7"/>
  <c r="EN20" i="7"/>
  <c r="Q32" i="23"/>
  <c r="Q31" i="23"/>
  <c r="G22" i="8"/>
  <c r="T23" i="8"/>
  <c r="L16" i="24"/>
  <c r="L17" i="24" s="1"/>
  <c r="H16" i="24"/>
  <c r="H17" i="24" s="1"/>
  <c r="D16" i="24"/>
  <c r="D17" i="24" s="1"/>
  <c r="N16" i="24"/>
  <c r="N17" i="24" s="1"/>
  <c r="J16" i="24"/>
  <c r="J17" i="24" s="1"/>
  <c r="F16" i="24"/>
  <c r="F17" i="24" s="1"/>
  <c r="K16" i="24"/>
  <c r="C16" i="24"/>
  <c r="C17" i="24" s="1"/>
  <c r="O16" i="24"/>
  <c r="O17" i="24" s="1"/>
  <c r="G16" i="24"/>
  <c r="G17" i="24" s="1"/>
  <c r="I16" i="24"/>
  <c r="I17" i="24" s="1"/>
  <c r="M16" i="24"/>
  <c r="M17" i="24" s="1"/>
  <c r="E16" i="24"/>
  <c r="E17" i="24" s="1"/>
  <c r="DM18" i="7"/>
  <c r="BP17" i="7"/>
  <c r="EA19" i="7"/>
  <c r="DV19" i="7"/>
  <c r="DW19" i="7"/>
  <c r="BS20" i="7"/>
  <c r="EF19" i="7"/>
  <c r="DZ19" i="7"/>
  <c r="CN19" i="7"/>
  <c r="BO18" i="7" s="1"/>
  <c r="EB19" i="7"/>
  <c r="EC19" i="7"/>
  <c r="DX19" i="7"/>
  <c r="M19" i="7"/>
  <c r="CA21" i="7"/>
  <c r="CV20" i="7"/>
  <c r="I20" i="8"/>
  <c r="W3" i="18" s="1"/>
  <c r="V21" i="8"/>
  <c r="Q44" i="23"/>
  <c r="Q43" i="23"/>
  <c r="CG21" i="7"/>
  <c r="DB20" i="7"/>
  <c r="AO20" i="7"/>
  <c r="BU22" i="7"/>
  <c r="CP21" i="7"/>
  <c r="F5" i="32"/>
  <c r="G5" i="32" s="1"/>
  <c r="P5" i="32" s="1"/>
  <c r="Q5" i="32" s="1"/>
  <c r="AR16" i="7"/>
  <c r="BI16" i="7" s="1"/>
  <c r="AJ16" i="7"/>
  <c r="AQ16" i="7"/>
  <c r="BH16" i="7" s="1"/>
  <c r="AK16" i="7"/>
  <c r="AP16" i="7"/>
  <c r="BG16" i="7" s="1"/>
  <c r="AL16" i="7"/>
  <c r="CW20" i="7"/>
  <c r="CB21" i="7"/>
  <c r="CI21" i="7"/>
  <c r="DD20" i="7"/>
  <c r="DS20" i="7"/>
  <c r="O19" i="24"/>
  <c r="O20" i="24" s="1"/>
  <c r="K19" i="24"/>
  <c r="K20" i="24" s="1"/>
  <c r="G19" i="24"/>
  <c r="G20" i="24" s="1"/>
  <c r="C19" i="24"/>
  <c r="C20" i="24" s="1"/>
  <c r="M19" i="24"/>
  <c r="M20" i="24" s="1"/>
  <c r="I19" i="24"/>
  <c r="I20" i="24" s="1"/>
  <c r="E19" i="24"/>
  <c r="E20" i="24" s="1"/>
  <c r="L19" i="24"/>
  <c r="L20" i="24" s="1"/>
  <c r="D19" i="24"/>
  <c r="D20" i="24" s="1"/>
  <c r="H19" i="24"/>
  <c r="H20" i="24" s="1"/>
  <c r="N19" i="24"/>
  <c r="N20" i="24" s="1"/>
  <c r="F19" i="24"/>
  <c r="F20" i="24" s="1"/>
  <c r="J19" i="24"/>
  <c r="J20" i="24" s="1"/>
  <c r="AG17" i="1"/>
  <c r="AH17" i="1" s="1"/>
  <c r="AC17" i="1"/>
  <c r="AD17" i="1" s="1"/>
  <c r="AE17" i="1"/>
  <c r="AF17" i="1" s="1"/>
  <c r="V18" i="1"/>
  <c r="E23" i="8"/>
  <c r="R22" i="8"/>
  <c r="N8" i="27"/>
  <c r="Q8" i="27" s="1"/>
  <c r="BP16" i="7"/>
  <c r="BQ16" i="7" s="1"/>
  <c r="BO17" i="7"/>
  <c r="BQ17" i="7" s="1"/>
  <c r="M8" i="32" l="1"/>
  <c r="G16" i="7"/>
  <c r="H16" i="7"/>
  <c r="D16" i="7"/>
  <c r="BK16" i="7"/>
  <c r="R21" i="8"/>
  <c r="E22" i="8"/>
  <c r="AF3" i="18"/>
  <c r="AG3" i="18"/>
  <c r="AE3" i="18"/>
  <c r="BZ22" i="7"/>
  <c r="CU21" i="7"/>
  <c r="EN21" i="7"/>
  <c r="L8" i="32"/>
  <c r="BX22" i="7"/>
  <c r="CS21" i="7"/>
  <c r="BL16" i="7"/>
  <c r="E16" i="7"/>
  <c r="C16" i="7"/>
  <c r="F16" i="7" s="1"/>
  <c r="BJ16" i="7"/>
  <c r="BM16" i="7" s="1"/>
  <c r="BU23" i="7"/>
  <c r="CP22" i="7"/>
  <c r="L45" i="23"/>
  <c r="L46" i="23" s="1"/>
  <c r="H45" i="23"/>
  <c r="H46" i="23" s="1"/>
  <c r="D45" i="23"/>
  <c r="D46" i="23" s="1"/>
  <c r="O45" i="23"/>
  <c r="O46" i="23" s="1"/>
  <c r="J45" i="23"/>
  <c r="J46" i="23" s="1"/>
  <c r="E45" i="23"/>
  <c r="E46" i="23" s="1"/>
  <c r="M45" i="23"/>
  <c r="M46" i="23" s="1"/>
  <c r="G45" i="23"/>
  <c r="G46" i="23" s="1"/>
  <c r="N45" i="23"/>
  <c r="N46" i="23" s="1"/>
  <c r="C45" i="23"/>
  <c r="C46" i="23" s="1"/>
  <c r="I45" i="23"/>
  <c r="F45" i="23"/>
  <c r="F46" i="23" s="1"/>
  <c r="K45" i="23"/>
  <c r="K46" i="23" s="1"/>
  <c r="N37" i="23"/>
  <c r="N38" i="23" s="1"/>
  <c r="J37" i="23"/>
  <c r="J38" i="23" s="1"/>
  <c r="F37" i="23"/>
  <c r="F38" i="23" s="1"/>
  <c r="M37" i="23"/>
  <c r="M38" i="23" s="1"/>
  <c r="H37" i="23"/>
  <c r="H38" i="23" s="1"/>
  <c r="C37" i="23"/>
  <c r="C38" i="23" s="1"/>
  <c r="K37" i="23"/>
  <c r="K38" i="23" s="1"/>
  <c r="E37" i="23"/>
  <c r="E38" i="23" s="1"/>
  <c r="G37" i="23"/>
  <c r="G38" i="23" s="1"/>
  <c r="L37" i="23"/>
  <c r="L38" i="23" s="1"/>
  <c r="I37" i="23"/>
  <c r="I38" i="23" s="1"/>
  <c r="D37" i="23"/>
  <c r="D38" i="23" s="1"/>
  <c r="O37" i="23"/>
  <c r="O38" i="23" s="1"/>
  <c r="K8" i="32"/>
  <c r="EO21" i="7"/>
  <c r="BT22" i="7"/>
  <c r="CO21" i="7"/>
  <c r="CR21" i="7"/>
  <c r="BW22" i="7"/>
  <c r="CK23" i="7"/>
  <c r="DF22" i="7"/>
  <c r="CD22" i="7"/>
  <c r="CY21" i="7"/>
  <c r="O21" i="23"/>
  <c r="K21" i="23"/>
  <c r="G21" i="23"/>
  <c r="G22" i="23" s="1"/>
  <c r="C21" i="23"/>
  <c r="J21" i="23"/>
  <c r="J22" i="23" s="1"/>
  <c r="E21" i="23"/>
  <c r="M21" i="23"/>
  <c r="H21" i="23"/>
  <c r="H22" i="23" s="1"/>
  <c r="F21" i="23"/>
  <c r="L21" i="23"/>
  <c r="N21" i="23"/>
  <c r="D21" i="23"/>
  <c r="I21" i="23"/>
  <c r="I22" i="23" s="1"/>
  <c r="N9" i="27"/>
  <c r="Q9" i="27" s="1"/>
  <c r="CE21" i="7"/>
  <c r="CZ20" i="7"/>
  <c r="AM20" i="7"/>
  <c r="P20" i="7"/>
  <c r="G17" i="7"/>
  <c r="H17" i="7"/>
  <c r="CG22" i="7"/>
  <c r="DB21" i="7"/>
  <c r="AO21" i="7"/>
  <c r="M34" i="23"/>
  <c r="M35" i="23" s="1"/>
  <c r="I34" i="23"/>
  <c r="I35" i="23" s="1"/>
  <c r="E34" i="23"/>
  <c r="E35" i="23" s="1"/>
  <c r="O34" i="23"/>
  <c r="O35" i="23" s="1"/>
  <c r="J34" i="23"/>
  <c r="D34" i="23"/>
  <c r="D35" i="23" s="1"/>
  <c r="L34" i="23"/>
  <c r="L35" i="23" s="1"/>
  <c r="G34" i="23"/>
  <c r="N34" i="23"/>
  <c r="N35" i="23" s="1"/>
  <c r="C34" i="23"/>
  <c r="C35" i="23" s="1"/>
  <c r="H34" i="23"/>
  <c r="F34" i="23"/>
  <c r="F35" i="23" s="1"/>
  <c r="K34" i="23"/>
  <c r="K35" i="23" s="1"/>
  <c r="BY23" i="7"/>
  <c r="CT22" i="7"/>
  <c r="AN20" i="7"/>
  <c r="CF21" i="7"/>
  <c r="DA20" i="7"/>
  <c r="BF18" i="7"/>
  <c r="BE18" i="7"/>
  <c r="BD18" i="7"/>
  <c r="DS21" i="7"/>
  <c r="DD21" i="7"/>
  <c r="CI22" i="7"/>
  <c r="V19" i="1"/>
  <c r="AG18" i="1"/>
  <c r="AH18" i="1" s="1"/>
  <c r="AC18" i="1"/>
  <c r="AD18" i="1" s="1"/>
  <c r="AE18" i="1"/>
  <c r="AF18" i="1" s="1"/>
  <c r="CB22" i="7"/>
  <c r="CW21" i="7"/>
  <c r="M48" i="23"/>
  <c r="I48" i="23"/>
  <c r="E48" i="23"/>
  <c r="N48" i="23"/>
  <c r="H48" i="23"/>
  <c r="C48" i="23"/>
  <c r="K48" i="23"/>
  <c r="F48" i="23"/>
  <c r="G48" i="23"/>
  <c r="L48" i="23"/>
  <c r="J48" i="23"/>
  <c r="D48" i="23"/>
  <c r="O48" i="23"/>
  <c r="CA22" i="7"/>
  <c r="CV21" i="7"/>
  <c r="BS21" i="7"/>
  <c r="EF20" i="7"/>
  <c r="DZ20" i="7"/>
  <c r="CN20" i="7"/>
  <c r="EA20" i="7"/>
  <c r="EC20" i="7"/>
  <c r="DX20" i="7"/>
  <c r="EB20" i="7"/>
  <c r="DW20" i="7"/>
  <c r="DV20" i="7"/>
  <c r="M20" i="7"/>
  <c r="T10" i="24"/>
  <c r="T11" i="24" s="1"/>
  <c r="K17" i="24"/>
  <c r="T24" i="8"/>
  <c r="G24" i="8" s="1"/>
  <c r="V5" i="18" s="1"/>
  <c r="G23" i="8"/>
  <c r="M24" i="23"/>
  <c r="M25" i="23" s="1"/>
  <c r="I24" i="23"/>
  <c r="I25" i="23" s="1"/>
  <c r="E24" i="23"/>
  <c r="E25" i="23" s="1"/>
  <c r="K24" i="23"/>
  <c r="K25" i="23" s="1"/>
  <c r="F24" i="23"/>
  <c r="F25" i="23" s="1"/>
  <c r="N24" i="23"/>
  <c r="N25" i="23" s="1"/>
  <c r="H24" i="23"/>
  <c r="H25" i="23" s="1"/>
  <c r="C24" i="23"/>
  <c r="C25" i="23" s="1"/>
  <c r="O24" i="23"/>
  <c r="O25" i="23" s="1"/>
  <c r="D24" i="23"/>
  <c r="D25" i="23" s="1"/>
  <c r="J24" i="23"/>
  <c r="J25" i="23" s="1"/>
  <c r="L24" i="23"/>
  <c r="L25" i="23" s="1"/>
  <c r="G24" i="23"/>
  <c r="G25" i="23" s="1"/>
  <c r="M10" i="27"/>
  <c r="B11" i="27"/>
  <c r="DH21" i="7"/>
  <c r="CM22" i="7"/>
  <c r="CC23" i="7"/>
  <c r="CX22" i="7"/>
  <c r="DI18" i="7"/>
  <c r="DI19" i="7" s="1"/>
  <c r="BV22" i="7"/>
  <c r="CQ21" i="7"/>
  <c r="I21" i="8"/>
  <c r="V22" i="8"/>
  <c r="E9" i="32"/>
  <c r="BA19" i="7"/>
  <c r="DP19" i="7" s="1"/>
  <c r="AW19" i="7"/>
  <c r="DL19" i="7" s="1"/>
  <c r="BB19" i="7"/>
  <c r="DQ19" i="7" s="1"/>
  <c r="AZ19" i="7"/>
  <c r="AV19" i="7"/>
  <c r="DK19" i="7" s="1"/>
  <c r="AX19" i="7"/>
  <c r="BC19" i="7"/>
  <c r="DR19" i="7" s="1"/>
  <c r="AY19" i="7"/>
  <c r="DN19" i="7" s="1"/>
  <c r="AU19" i="7"/>
  <c r="DJ19" i="7" s="1"/>
  <c r="AT19" i="7"/>
  <c r="AG19" i="7"/>
  <c r="AF19" i="7"/>
  <c r="AI19" i="7" s="1"/>
  <c r="AH19" i="7"/>
  <c r="DM19" i="7"/>
  <c r="BP18" i="7"/>
  <c r="BQ18" i="7" s="1"/>
  <c r="CH21" i="7"/>
  <c r="DC20" i="7"/>
  <c r="BN20" i="7"/>
  <c r="DO19" i="7"/>
  <c r="S23" i="8"/>
  <c r="F22" i="8"/>
  <c r="D9" i="32"/>
  <c r="N20" i="7"/>
  <c r="CJ22" i="7"/>
  <c r="DE21" i="7"/>
  <c r="F8" i="32"/>
  <c r="G8" i="32" s="1"/>
  <c r="P8" i="32" s="1"/>
  <c r="AR19" i="7"/>
  <c r="BI19" i="7" s="1"/>
  <c r="AQ19" i="7"/>
  <c r="BH19" i="7" s="1"/>
  <c r="AP19" i="7"/>
  <c r="BG19" i="7" s="1"/>
  <c r="U17" i="8"/>
  <c r="H18" i="8"/>
  <c r="EM22" i="7"/>
  <c r="DG22" i="7"/>
  <c r="CL23" i="7"/>
  <c r="K9" i="32" l="1"/>
  <c r="L9" i="32"/>
  <c r="H18" i="7"/>
  <c r="G18" i="7"/>
  <c r="M9" i="32"/>
  <c r="CX23" i="7"/>
  <c r="CC24" i="7"/>
  <c r="C57" i="23"/>
  <c r="C58" i="23" s="1"/>
  <c r="C49" i="23"/>
  <c r="L54" i="23"/>
  <c r="L55" i="23" s="1"/>
  <c r="L22" i="23"/>
  <c r="E54" i="23"/>
  <c r="E55" i="23" s="1"/>
  <c r="E22" i="23"/>
  <c r="K54" i="23"/>
  <c r="K55" i="23" s="1"/>
  <c r="T7" i="23"/>
  <c r="T8" i="23" s="1"/>
  <c r="K22" i="23"/>
  <c r="BW23" i="7"/>
  <c r="CR22" i="7"/>
  <c r="BT23" i="7"/>
  <c r="CO22" i="7"/>
  <c r="EO22" i="7"/>
  <c r="B16" i="7"/>
  <c r="P16" i="7"/>
  <c r="E21" i="8"/>
  <c r="R20" i="8"/>
  <c r="E10" i="32"/>
  <c r="AZ20" i="7"/>
  <c r="AV20" i="7"/>
  <c r="DK20" i="7" s="1"/>
  <c r="AW20" i="7"/>
  <c r="DL20" i="7" s="1"/>
  <c r="BC20" i="7"/>
  <c r="DR20" i="7" s="1"/>
  <c r="AY20" i="7"/>
  <c r="DN20" i="7" s="1"/>
  <c r="AU20" i="7"/>
  <c r="DJ20" i="7" s="1"/>
  <c r="BB20" i="7"/>
  <c r="DQ20" i="7" s="1"/>
  <c r="AX20" i="7"/>
  <c r="AT20" i="7"/>
  <c r="BA20" i="7"/>
  <c r="DP20" i="7" s="1"/>
  <c r="AG20" i="7"/>
  <c r="AH20" i="7"/>
  <c r="AF20" i="7"/>
  <c r="AI20" i="7" s="1"/>
  <c r="CA23" i="7"/>
  <c r="CV22" i="7"/>
  <c r="L57" i="23"/>
  <c r="L58" i="23" s="1"/>
  <c r="L49" i="23"/>
  <c r="I57" i="23"/>
  <c r="I58" i="23" s="1"/>
  <c r="I49" i="23"/>
  <c r="CB23" i="7"/>
  <c r="CW22" i="7"/>
  <c r="AG19" i="1"/>
  <c r="AH19" i="1" s="1"/>
  <c r="AC19" i="1"/>
  <c r="AD19" i="1" s="1"/>
  <c r="V20" i="1"/>
  <c r="AE19" i="1"/>
  <c r="AF19" i="1" s="1"/>
  <c r="CF22" i="7"/>
  <c r="DA21" i="7"/>
  <c r="AN21" i="7"/>
  <c r="J54" i="23"/>
  <c r="J55" i="23" s="1"/>
  <c r="J35" i="23"/>
  <c r="F9" i="32"/>
  <c r="AR20" i="7"/>
  <c r="BI20" i="7" s="1"/>
  <c r="AQ20" i="7"/>
  <c r="AP20" i="7"/>
  <c r="BG20" i="7" s="1"/>
  <c r="CH22" i="7"/>
  <c r="DC21" i="7"/>
  <c r="BN21" i="7"/>
  <c r="BV23" i="7"/>
  <c r="CQ22" i="7"/>
  <c r="CM23" i="7"/>
  <c r="DH22" i="7"/>
  <c r="O57" i="23"/>
  <c r="O58" i="23" s="1"/>
  <c r="O49" i="23"/>
  <c r="G57" i="23"/>
  <c r="G58" i="23" s="1"/>
  <c r="G49" i="23"/>
  <c r="H57" i="23"/>
  <c r="H58" i="23" s="1"/>
  <c r="H49" i="23"/>
  <c r="M57" i="23"/>
  <c r="M58" i="23" s="1"/>
  <c r="M49" i="23"/>
  <c r="CI23" i="7"/>
  <c r="DD22" i="7"/>
  <c r="DS22" i="7"/>
  <c r="BH20" i="7"/>
  <c r="G54" i="23"/>
  <c r="G55" i="23" s="1"/>
  <c r="G35" i="23"/>
  <c r="F54" i="23"/>
  <c r="F55" i="23" s="1"/>
  <c r="F22" i="23"/>
  <c r="O54" i="23"/>
  <c r="O55" i="23" s="1"/>
  <c r="O22" i="23"/>
  <c r="CK24" i="7"/>
  <c r="DF23" i="7"/>
  <c r="BX23" i="7"/>
  <c r="CS22" i="7"/>
  <c r="N10" i="27"/>
  <c r="Q10" i="27" s="1"/>
  <c r="EM23" i="7"/>
  <c r="DG23" i="7"/>
  <c r="CL24" i="7"/>
  <c r="DO20" i="7"/>
  <c r="V23" i="8"/>
  <c r="I22" i="8"/>
  <c r="DI20" i="7"/>
  <c r="EC21" i="7"/>
  <c r="DX21" i="7"/>
  <c r="DZ21" i="7"/>
  <c r="EB21" i="7"/>
  <c r="DW21" i="7"/>
  <c r="EF21" i="7"/>
  <c r="CN21" i="7"/>
  <c r="EA21" i="7"/>
  <c r="DV21" i="7"/>
  <c r="BS22" i="7"/>
  <c r="M21" i="7"/>
  <c r="D57" i="23"/>
  <c r="D58" i="23" s="1"/>
  <c r="D49" i="23"/>
  <c r="F57" i="23"/>
  <c r="F58" i="23" s="1"/>
  <c r="F49" i="23"/>
  <c r="N57" i="23"/>
  <c r="N58" i="23" s="1"/>
  <c r="N49" i="23"/>
  <c r="H54" i="23"/>
  <c r="H55" i="23" s="1"/>
  <c r="H35" i="23"/>
  <c r="D10" i="32"/>
  <c r="N21" i="7"/>
  <c r="AM21" i="7"/>
  <c r="CE22" i="7"/>
  <c r="CZ21" i="7"/>
  <c r="D54" i="23"/>
  <c r="D55" i="23" s="1"/>
  <c r="D22" i="23"/>
  <c r="C54" i="23"/>
  <c r="C55" i="23" s="1"/>
  <c r="C22" i="23"/>
  <c r="CJ23" i="7"/>
  <c r="DE22" i="7"/>
  <c r="F23" i="8"/>
  <c r="S24" i="8"/>
  <c r="F24" i="8" s="1"/>
  <c r="G9" i="32"/>
  <c r="P9" i="32" s="1"/>
  <c r="U16" i="8"/>
  <c r="H17" i="8"/>
  <c r="DM20" i="7"/>
  <c r="BP19" i="7"/>
  <c r="BE19" i="7"/>
  <c r="BD19" i="7"/>
  <c r="BF19" i="7"/>
  <c r="B12" i="27"/>
  <c r="M11" i="27"/>
  <c r="BO19" i="7"/>
  <c r="J57" i="23"/>
  <c r="J58" i="23" s="1"/>
  <c r="J49" i="23"/>
  <c r="K57" i="23"/>
  <c r="K58" i="23" s="1"/>
  <c r="K49" i="23"/>
  <c r="E57" i="23"/>
  <c r="E58" i="23" s="1"/>
  <c r="E49" i="23"/>
  <c r="P21" i="7"/>
  <c r="CT23" i="7"/>
  <c r="BY24" i="7"/>
  <c r="CG23" i="7"/>
  <c r="DB22" i="7"/>
  <c r="AO22" i="7"/>
  <c r="N54" i="23"/>
  <c r="N55" i="23" s="1"/>
  <c r="N22" i="23"/>
  <c r="M54" i="23"/>
  <c r="M55" i="23" s="1"/>
  <c r="M22" i="23"/>
  <c r="CD23" i="7"/>
  <c r="CY22" i="7"/>
  <c r="I54" i="23"/>
  <c r="I55" i="23" s="1"/>
  <c r="I46" i="23"/>
  <c r="BU24" i="7"/>
  <c r="CP23" i="7"/>
  <c r="EN22" i="7"/>
  <c r="CU22" i="7"/>
  <c r="BZ23" i="7"/>
  <c r="K10" i="32" l="1"/>
  <c r="L10" i="32"/>
  <c r="M10" i="32"/>
  <c r="N11" i="27"/>
  <c r="Q11" i="27"/>
  <c r="EM24" i="7"/>
  <c r="DG24" i="7"/>
  <c r="CL25" i="7"/>
  <c r="CI24" i="7"/>
  <c r="DD23" i="7"/>
  <c r="DS23" i="7"/>
  <c r="AG20" i="1"/>
  <c r="AH20" i="1" s="1"/>
  <c r="AC20" i="1"/>
  <c r="AD20" i="1" s="1"/>
  <c r="V21" i="1"/>
  <c r="AE20" i="1"/>
  <c r="AF20" i="1" s="1"/>
  <c r="CB24" i="7"/>
  <c r="CW23" i="7"/>
  <c r="D6" i="32"/>
  <c r="N17" i="7"/>
  <c r="BT24" i="7"/>
  <c r="CO23" i="7"/>
  <c r="EO23" i="7"/>
  <c r="AO23" i="7"/>
  <c r="DB23" i="7"/>
  <c r="CG24" i="7"/>
  <c r="BZ24" i="7"/>
  <c r="CU23" i="7"/>
  <c r="EN23" i="7"/>
  <c r="CD24" i="7"/>
  <c r="CY23" i="7"/>
  <c r="BY25" i="7"/>
  <c r="CT24" i="7"/>
  <c r="B13" i="27"/>
  <c r="M12" i="27"/>
  <c r="CE23" i="7"/>
  <c r="CZ22" i="7"/>
  <c r="AM22" i="7"/>
  <c r="E11" i="32"/>
  <c r="BC21" i="7"/>
  <c r="DR21" i="7" s="1"/>
  <c r="AY21" i="7"/>
  <c r="DN21" i="7" s="1"/>
  <c r="AU21" i="7"/>
  <c r="DJ21" i="7" s="1"/>
  <c r="AZ21" i="7"/>
  <c r="DO21" i="7" s="1"/>
  <c r="BB21" i="7"/>
  <c r="DQ21" i="7" s="1"/>
  <c r="AX21" i="7"/>
  <c r="DM21" i="7" s="1"/>
  <c r="AT21" i="7"/>
  <c r="AV21" i="7"/>
  <c r="DK21" i="7" s="1"/>
  <c r="BA21" i="7"/>
  <c r="DP21" i="7" s="1"/>
  <c r="AW21" i="7"/>
  <c r="DL21" i="7" s="1"/>
  <c r="AH21" i="7"/>
  <c r="AF21" i="7"/>
  <c r="AI21" i="7" s="1"/>
  <c r="AG21" i="7"/>
  <c r="BO20" i="7"/>
  <c r="CK25" i="7"/>
  <c r="DF24" i="7"/>
  <c r="CM24" i="7"/>
  <c r="DH23" i="7"/>
  <c r="E20" i="8"/>
  <c r="R19" i="8"/>
  <c r="CC25" i="7"/>
  <c r="CX24" i="7"/>
  <c r="BP20" i="7"/>
  <c r="CJ24" i="7"/>
  <c r="DE23" i="7"/>
  <c r="EB22" i="7"/>
  <c r="DW22" i="7"/>
  <c r="EA22" i="7"/>
  <c r="DV22" i="7"/>
  <c r="DX22" i="7"/>
  <c r="BS23" i="7"/>
  <c r="EF22" i="7"/>
  <c r="DZ22" i="7"/>
  <c r="CN22" i="7"/>
  <c r="EC22" i="7"/>
  <c r="M22" i="7"/>
  <c r="V24" i="8"/>
  <c r="I24" i="8" s="1"/>
  <c r="W5" i="18" s="1"/>
  <c r="I23" i="8"/>
  <c r="P22" i="7"/>
  <c r="BN22" i="7"/>
  <c r="CH23" i="7"/>
  <c r="DC22" i="7"/>
  <c r="CF23" i="7"/>
  <c r="DA22" i="7"/>
  <c r="AN22" i="7"/>
  <c r="CA24" i="7"/>
  <c r="CV23" i="7"/>
  <c r="BW24" i="7"/>
  <c r="CR23" i="7"/>
  <c r="BU25" i="7"/>
  <c r="CP24" i="7"/>
  <c r="H16" i="8"/>
  <c r="U15" i="8"/>
  <c r="D11" i="32"/>
  <c r="N22" i="7"/>
  <c r="BQ19" i="7"/>
  <c r="F10" i="32"/>
  <c r="G10" i="32" s="1"/>
  <c r="P10" i="32" s="1"/>
  <c r="AQ21" i="7"/>
  <c r="BH21" i="7" s="1"/>
  <c r="AP21" i="7"/>
  <c r="BG21" i="7" s="1"/>
  <c r="AR21" i="7"/>
  <c r="BI21" i="7" s="1"/>
  <c r="BX24" i="7"/>
  <c r="CS23" i="7"/>
  <c r="BV24" i="7"/>
  <c r="CQ23" i="7"/>
  <c r="BD20" i="7"/>
  <c r="BF20" i="7"/>
  <c r="BE20" i="7"/>
  <c r="L11" i="32" l="1"/>
  <c r="M11" i="32"/>
  <c r="K11" i="32"/>
  <c r="BV25" i="7"/>
  <c r="CQ24" i="7"/>
  <c r="F11" i="32"/>
  <c r="AP22" i="7"/>
  <c r="AQ22" i="7"/>
  <c r="AR22" i="7"/>
  <c r="BI22" i="7" s="1"/>
  <c r="CK26" i="7"/>
  <c r="DF25" i="7"/>
  <c r="BG22" i="7"/>
  <c r="B14" i="27"/>
  <c r="M13" i="27"/>
  <c r="CD25" i="7"/>
  <c r="CY24" i="7"/>
  <c r="CG25" i="7"/>
  <c r="DB24" i="7"/>
  <c r="AO24" i="7"/>
  <c r="P23" i="7"/>
  <c r="CF24" i="7"/>
  <c r="DA23" i="7"/>
  <c r="AN23" i="7"/>
  <c r="G11" i="32"/>
  <c r="P11" i="32" s="1"/>
  <c r="D12" i="32"/>
  <c r="N23" i="7"/>
  <c r="CJ25" i="7"/>
  <c r="DE24" i="7"/>
  <c r="BF21" i="7"/>
  <c r="BD21" i="7"/>
  <c r="BE21" i="7"/>
  <c r="CS24" i="7"/>
  <c r="BX25" i="7"/>
  <c r="H15" i="8"/>
  <c r="U14" i="8"/>
  <c r="BH22" i="7"/>
  <c r="CH24" i="7"/>
  <c r="DC23" i="7"/>
  <c r="BN23" i="7"/>
  <c r="BO21" i="7"/>
  <c r="BQ20" i="7"/>
  <c r="BT25" i="7"/>
  <c r="EO24" i="7"/>
  <c r="CO24" i="7"/>
  <c r="CW24" i="7"/>
  <c r="CB25" i="7"/>
  <c r="BU26" i="7"/>
  <c r="CP25" i="7"/>
  <c r="CA25" i="7"/>
  <c r="CV24" i="7"/>
  <c r="EA23" i="7"/>
  <c r="DV23" i="7"/>
  <c r="BS24" i="7"/>
  <c r="EF23" i="7"/>
  <c r="DZ23" i="7"/>
  <c r="CN23" i="7"/>
  <c r="DW23" i="7"/>
  <c r="EC23" i="7"/>
  <c r="DX23" i="7"/>
  <c r="EB23" i="7"/>
  <c r="M23" i="7"/>
  <c r="H19" i="7"/>
  <c r="G19" i="7"/>
  <c r="BW25" i="7"/>
  <c r="CR24" i="7"/>
  <c r="AF5" i="18"/>
  <c r="AF113" i="18" s="1"/>
  <c r="C13" i="18" s="1"/>
  <c r="C15" i="18" s="1"/>
  <c r="AG5" i="18"/>
  <c r="AG113" i="18" s="1"/>
  <c r="D13" i="18" s="1"/>
  <c r="D15" i="18" s="1"/>
  <c r="AE5" i="18"/>
  <c r="AE113" i="18" s="1"/>
  <c r="CC26" i="7"/>
  <c r="CX25" i="7"/>
  <c r="CM25" i="7"/>
  <c r="DH24" i="7"/>
  <c r="CE24" i="7"/>
  <c r="CZ23" i="7"/>
  <c r="AM23" i="7"/>
  <c r="BY26" i="7"/>
  <c r="CT25" i="7"/>
  <c r="F6" i="32"/>
  <c r="G6" i="32" s="1"/>
  <c r="P6" i="32" s="1"/>
  <c r="Q6" i="32" s="1"/>
  <c r="AQ17" i="7"/>
  <c r="BH17" i="7" s="1"/>
  <c r="AP17" i="7"/>
  <c r="BG17" i="7" s="1"/>
  <c r="AL17" i="7"/>
  <c r="AR17" i="7"/>
  <c r="BI17" i="7" s="1"/>
  <c r="AK17" i="7"/>
  <c r="AJ17" i="7"/>
  <c r="CI25" i="7"/>
  <c r="DD24" i="7"/>
  <c r="DS24" i="7"/>
  <c r="DI21" i="7"/>
  <c r="E12" i="32"/>
  <c r="BB22" i="7"/>
  <c r="DQ22" i="7" s="1"/>
  <c r="AX22" i="7"/>
  <c r="DM22" i="7" s="1"/>
  <c r="AT22" i="7"/>
  <c r="AY22" i="7"/>
  <c r="DN22" i="7" s="1"/>
  <c r="BA22" i="7"/>
  <c r="DP22" i="7" s="1"/>
  <c r="AW22" i="7"/>
  <c r="DL22" i="7" s="1"/>
  <c r="BC22" i="7"/>
  <c r="DR22" i="7" s="1"/>
  <c r="AZ22" i="7"/>
  <c r="DO22" i="7" s="1"/>
  <c r="AV22" i="7"/>
  <c r="DK22" i="7" s="1"/>
  <c r="AU22" i="7"/>
  <c r="DJ22" i="7" s="1"/>
  <c r="AF22" i="7"/>
  <c r="AI22" i="7" s="1"/>
  <c r="AG22" i="7"/>
  <c r="AH22" i="7"/>
  <c r="E19" i="8"/>
  <c r="R18" i="8"/>
  <c r="N12" i="27"/>
  <c r="Q12" i="27" s="1"/>
  <c r="BZ25" i="7"/>
  <c r="CU24" i="7"/>
  <c r="EN24" i="7"/>
  <c r="AG21" i="1"/>
  <c r="AH21" i="1" s="1"/>
  <c r="AC21" i="1"/>
  <c r="AD21" i="1" s="1"/>
  <c r="V22" i="1"/>
  <c r="AE21" i="1"/>
  <c r="AF21" i="1" s="1"/>
  <c r="DG25" i="7"/>
  <c r="EM25" i="7"/>
  <c r="CL26" i="7"/>
  <c r="K12" i="32" l="1"/>
  <c r="M12" i="32"/>
  <c r="L12" i="32"/>
  <c r="BK17" i="7"/>
  <c r="D17" i="7"/>
  <c r="BY27" i="7"/>
  <c r="CT26" i="7"/>
  <c r="AH113" i="18"/>
  <c r="B13" i="18"/>
  <c r="E13" i="32"/>
  <c r="BA23" i="7"/>
  <c r="DP23" i="7" s="1"/>
  <c r="AW23" i="7"/>
  <c r="DL23" i="7" s="1"/>
  <c r="AX23" i="7"/>
  <c r="DM23" i="7" s="1"/>
  <c r="AZ23" i="7"/>
  <c r="DO23" i="7" s="1"/>
  <c r="AV23" i="7"/>
  <c r="DK23" i="7" s="1"/>
  <c r="AT23" i="7"/>
  <c r="BC23" i="7"/>
  <c r="DR23" i="7" s="1"/>
  <c r="AY23" i="7"/>
  <c r="DN23" i="7" s="1"/>
  <c r="AU23" i="7"/>
  <c r="DJ23" i="7" s="1"/>
  <c r="BB23" i="7"/>
  <c r="DQ23" i="7" s="1"/>
  <c r="AG23" i="7"/>
  <c r="AF23" i="7"/>
  <c r="AI23" i="7" s="1"/>
  <c r="AH23" i="7"/>
  <c r="BS25" i="7"/>
  <c r="EF24" i="7"/>
  <c r="DZ24" i="7"/>
  <c r="CN24" i="7"/>
  <c r="EC24" i="7"/>
  <c r="DX24" i="7"/>
  <c r="DV24" i="7"/>
  <c r="EB24" i="7"/>
  <c r="DW24" i="7"/>
  <c r="EA24" i="7"/>
  <c r="M24" i="7"/>
  <c r="CA26" i="7"/>
  <c r="CV25" i="7"/>
  <c r="G20" i="7"/>
  <c r="H20" i="7"/>
  <c r="CH25" i="7"/>
  <c r="DC24" i="7"/>
  <c r="BN24" i="7"/>
  <c r="BX26" i="7"/>
  <c r="CS25" i="7"/>
  <c r="AN24" i="7"/>
  <c r="CF25" i="7"/>
  <c r="DA24" i="7"/>
  <c r="N13" i="27"/>
  <c r="Q13" i="27" s="1"/>
  <c r="CK27" i="7"/>
  <c r="DF26" i="7"/>
  <c r="CM26" i="7"/>
  <c r="DH25" i="7"/>
  <c r="D23" i="18"/>
  <c r="D24" i="18"/>
  <c r="BW26" i="7"/>
  <c r="CR25" i="7"/>
  <c r="BO22" i="7"/>
  <c r="CG26" i="7"/>
  <c r="DB25" i="7"/>
  <c r="AO25" i="7"/>
  <c r="M14" i="27"/>
  <c r="B15" i="27"/>
  <c r="BV26" i="7"/>
  <c r="CQ25" i="7"/>
  <c r="DG26" i="7"/>
  <c r="EM26" i="7"/>
  <c r="CL27" i="7"/>
  <c r="DS25" i="7"/>
  <c r="CI26" i="7"/>
  <c r="DD25" i="7"/>
  <c r="E18" i="8"/>
  <c r="R17" i="8"/>
  <c r="E17" i="7"/>
  <c r="BL17" i="7"/>
  <c r="C23" i="18"/>
  <c r="C24" i="18"/>
  <c r="BU27" i="7"/>
  <c r="CP26" i="7"/>
  <c r="H14" i="8"/>
  <c r="U13" i="8"/>
  <c r="CJ26" i="7"/>
  <c r="DE25" i="7"/>
  <c r="D13" i="32"/>
  <c r="N24" i="7"/>
  <c r="AG22" i="1"/>
  <c r="AH22" i="1" s="1"/>
  <c r="AC22" i="1"/>
  <c r="AD22" i="1" s="1"/>
  <c r="V23" i="1"/>
  <c r="AE22" i="1"/>
  <c r="AF22" i="1" s="1"/>
  <c r="BF22" i="7"/>
  <c r="BE22" i="7"/>
  <c r="BD22" i="7"/>
  <c r="DI22" i="7"/>
  <c r="DI23" i="7" s="1"/>
  <c r="BZ26" i="7"/>
  <c r="CU25" i="7"/>
  <c r="EN25" i="7"/>
  <c r="P24" i="7"/>
  <c r="C17" i="7"/>
  <c r="F17" i="7" s="1"/>
  <c r="BJ17" i="7"/>
  <c r="CE25" i="7"/>
  <c r="CZ24" i="7"/>
  <c r="AM24" i="7"/>
  <c r="CC27" i="7"/>
  <c r="CX26" i="7"/>
  <c r="CB26" i="7"/>
  <c r="CW25" i="7"/>
  <c r="EO25" i="7"/>
  <c r="BT26" i="7"/>
  <c r="CO25" i="7"/>
  <c r="F12" i="32"/>
  <c r="G12" i="32" s="1"/>
  <c r="P12" i="32" s="1"/>
  <c r="AR23" i="7"/>
  <c r="BI23" i="7" s="1"/>
  <c r="AQ23" i="7"/>
  <c r="BH23" i="7" s="1"/>
  <c r="AP23" i="7"/>
  <c r="BG23" i="7" s="1"/>
  <c r="CD26" i="7"/>
  <c r="CY25" i="7"/>
  <c r="BP21" i="7"/>
  <c r="BQ21" i="7" s="1"/>
  <c r="M13" i="32" l="1"/>
  <c r="K13" i="32"/>
  <c r="L13" i="32"/>
  <c r="G21" i="7"/>
  <c r="H21" i="7"/>
  <c r="BP23" i="7"/>
  <c r="F13" i="32"/>
  <c r="AR24" i="7"/>
  <c r="BI24" i="7" s="1"/>
  <c r="AQ24" i="7"/>
  <c r="AP24" i="7"/>
  <c r="CJ27" i="7"/>
  <c r="DE26" i="7"/>
  <c r="B16" i="27"/>
  <c r="M15" i="27"/>
  <c r="CG27" i="7"/>
  <c r="DB26" i="7"/>
  <c r="AO26" i="7"/>
  <c r="DF27" i="7"/>
  <c r="CK28" i="7"/>
  <c r="AN25" i="7"/>
  <c r="CF26" i="7"/>
  <c r="DA25" i="7"/>
  <c r="BX27" i="7"/>
  <c r="CS26" i="7"/>
  <c r="E14" i="32"/>
  <c r="AZ24" i="7"/>
  <c r="DO24" i="7" s="1"/>
  <c r="AV24" i="7"/>
  <c r="DK24" i="7" s="1"/>
  <c r="BC24" i="7"/>
  <c r="DR24" i="7" s="1"/>
  <c r="AY24" i="7"/>
  <c r="DN24" i="7" s="1"/>
  <c r="AU24" i="7"/>
  <c r="DJ24" i="7" s="1"/>
  <c r="AW24" i="7"/>
  <c r="DL24" i="7" s="1"/>
  <c r="BB24" i="7"/>
  <c r="DQ24" i="7" s="1"/>
  <c r="AX24" i="7"/>
  <c r="DM24" i="7" s="1"/>
  <c r="AT24" i="7"/>
  <c r="BA24" i="7"/>
  <c r="DP24" i="7" s="1"/>
  <c r="AG24" i="7"/>
  <c r="AF24" i="7"/>
  <c r="AI24" i="7" s="1"/>
  <c r="AH24" i="7"/>
  <c r="CT27" i="7"/>
  <c r="BY28" i="7"/>
  <c r="CD27" i="7"/>
  <c r="CY26" i="7"/>
  <c r="CB27" i="7"/>
  <c r="CW26" i="7"/>
  <c r="EO26" i="7"/>
  <c r="BT27" i="7"/>
  <c r="CO26" i="7"/>
  <c r="AM25" i="7"/>
  <c r="CE26" i="7"/>
  <c r="CZ25" i="7"/>
  <c r="CC28" i="7"/>
  <c r="CX27" i="7"/>
  <c r="BM17" i="7"/>
  <c r="AG23" i="1"/>
  <c r="AH23" i="1" s="1"/>
  <c r="AC23" i="1"/>
  <c r="AD23" i="1" s="1"/>
  <c r="V24" i="1"/>
  <c r="AE23" i="1"/>
  <c r="AF23" i="1" s="1"/>
  <c r="G13" i="32"/>
  <c r="P13" i="32" s="1"/>
  <c r="H13" i="8"/>
  <c r="U12" i="8"/>
  <c r="BU28" i="7"/>
  <c r="CP27" i="7"/>
  <c r="DS26" i="7"/>
  <c r="CI27" i="7"/>
  <c r="DD26" i="7"/>
  <c r="N14" i="27"/>
  <c r="Q14" i="27" s="1"/>
  <c r="BW27" i="7"/>
  <c r="CR26" i="7"/>
  <c r="CM27" i="7"/>
  <c r="DH26" i="7"/>
  <c r="BH24" i="7"/>
  <c r="E13" i="18"/>
  <c r="B15" i="18"/>
  <c r="BG24" i="7"/>
  <c r="R16" i="8"/>
  <c r="E17" i="8"/>
  <c r="P25" i="7"/>
  <c r="EC25" i="7"/>
  <c r="DX25" i="7"/>
  <c r="DZ25" i="7"/>
  <c r="EB25" i="7"/>
  <c r="DW25" i="7"/>
  <c r="EA25" i="7"/>
  <c r="DV25" i="7"/>
  <c r="BS26" i="7"/>
  <c r="EF25" i="7"/>
  <c r="CN25" i="7"/>
  <c r="M25" i="7"/>
  <c r="BE23" i="7"/>
  <c r="BD23" i="7"/>
  <c r="BF23" i="7"/>
  <c r="BP22" i="7"/>
  <c r="BQ22" i="7" s="1"/>
  <c r="D14" i="32"/>
  <c r="N25" i="7"/>
  <c r="EN26" i="7"/>
  <c r="CU26" i="7"/>
  <c r="BZ27" i="7"/>
  <c r="EM27" i="7"/>
  <c r="DG27" i="7"/>
  <c r="CL28" i="7"/>
  <c r="BV27" i="7"/>
  <c r="CQ26" i="7"/>
  <c r="CH26" i="7"/>
  <c r="DC25" i="7"/>
  <c r="BN25" i="7"/>
  <c r="CA27" i="7"/>
  <c r="CV26" i="7"/>
  <c r="BO23" i="7"/>
  <c r="BQ23" i="7" s="1"/>
  <c r="H22" i="7" l="1"/>
  <c r="G22" i="7"/>
  <c r="M14" i="32"/>
  <c r="K14" i="32"/>
  <c r="L14" i="32"/>
  <c r="CM28" i="7"/>
  <c r="DH27" i="7"/>
  <c r="BT28" i="7"/>
  <c r="CO27" i="7"/>
  <c r="EO27" i="7"/>
  <c r="BD24" i="7"/>
  <c r="BE24" i="7"/>
  <c r="BF24" i="7"/>
  <c r="N15" i="27"/>
  <c r="Q15" i="27"/>
  <c r="BV28" i="7"/>
  <c r="CQ27" i="7"/>
  <c r="BZ28" i="7"/>
  <c r="CU27" i="7"/>
  <c r="EN27" i="7"/>
  <c r="EB26" i="7"/>
  <c r="DW26" i="7"/>
  <c r="EA26" i="7"/>
  <c r="DV26" i="7"/>
  <c r="BS27" i="7"/>
  <c r="EF26" i="7"/>
  <c r="DZ26" i="7"/>
  <c r="CN26" i="7"/>
  <c r="EC26" i="7"/>
  <c r="DX26" i="7"/>
  <c r="M26" i="7"/>
  <c r="E16" i="8"/>
  <c r="R15" i="8"/>
  <c r="BU29" i="7"/>
  <c r="CP28" i="7"/>
  <c r="B17" i="7"/>
  <c r="P17" i="7"/>
  <c r="CE27" i="7"/>
  <c r="CZ26" i="7"/>
  <c r="AM26" i="7"/>
  <c r="CD28" i="7"/>
  <c r="CY27" i="7"/>
  <c r="CF27" i="7"/>
  <c r="DA26" i="7"/>
  <c r="AN26" i="7"/>
  <c r="B17" i="27"/>
  <c r="M16" i="27"/>
  <c r="H23" i="7"/>
  <c r="G23" i="7"/>
  <c r="BN26" i="7"/>
  <c r="DC26" i="7"/>
  <c r="CH27" i="7"/>
  <c r="DG28" i="7"/>
  <c r="EM28" i="7"/>
  <c r="CL29" i="7"/>
  <c r="D15" i="32"/>
  <c r="N26" i="7"/>
  <c r="BW28" i="7"/>
  <c r="CR27" i="7"/>
  <c r="CI28" i="7"/>
  <c r="DD27" i="7"/>
  <c r="DS27" i="7"/>
  <c r="H12" i="8"/>
  <c r="U11" i="8"/>
  <c r="AG24" i="1"/>
  <c r="AH24" i="1" s="1"/>
  <c r="AC24" i="1"/>
  <c r="AD24" i="1" s="1"/>
  <c r="AE24" i="1"/>
  <c r="AF24" i="1" s="1"/>
  <c r="BY29" i="7"/>
  <c r="CT28" i="7"/>
  <c r="F14" i="32"/>
  <c r="G14" i="32" s="1"/>
  <c r="P14" i="32" s="1"/>
  <c r="AQ25" i="7"/>
  <c r="BH25" i="7" s="1"/>
  <c r="AP25" i="7"/>
  <c r="BG25" i="7" s="1"/>
  <c r="AR25" i="7"/>
  <c r="BI25" i="7" s="1"/>
  <c r="E15" i="32"/>
  <c r="BC25" i="7"/>
  <c r="DR25" i="7" s="1"/>
  <c r="AY25" i="7"/>
  <c r="DN25" i="7" s="1"/>
  <c r="AU25" i="7"/>
  <c r="DJ25" i="7" s="1"/>
  <c r="BB25" i="7"/>
  <c r="DQ25" i="7" s="1"/>
  <c r="AX25" i="7"/>
  <c r="DM25" i="7" s="1"/>
  <c r="AT25" i="7"/>
  <c r="BA25" i="7"/>
  <c r="DP25" i="7" s="1"/>
  <c r="AW25" i="7"/>
  <c r="DL25" i="7" s="1"/>
  <c r="AZ25" i="7"/>
  <c r="DO25" i="7" s="1"/>
  <c r="AV25" i="7"/>
  <c r="DK25" i="7" s="1"/>
  <c r="AG25" i="7"/>
  <c r="AH25" i="7"/>
  <c r="AF25" i="7"/>
  <c r="AI25" i="7" s="1"/>
  <c r="CA28" i="7"/>
  <c r="CV27" i="7"/>
  <c r="BO24" i="7"/>
  <c r="E15" i="18"/>
  <c r="B23" i="18"/>
  <c r="B24" i="18"/>
  <c r="P26" i="7"/>
  <c r="CC29" i="7"/>
  <c r="CX28" i="7"/>
  <c r="CB28" i="7"/>
  <c r="CW27" i="7"/>
  <c r="BX28" i="7"/>
  <c r="CS27" i="7"/>
  <c r="CK29" i="7"/>
  <c r="DF28" i="7"/>
  <c r="AO27" i="7"/>
  <c r="DB27" i="7"/>
  <c r="CG28" i="7"/>
  <c r="CJ28" i="7"/>
  <c r="DE27" i="7"/>
  <c r="DI24" i="7"/>
  <c r="DI25" i="7" s="1"/>
  <c r="M15" i="32" l="1"/>
  <c r="K15" i="32"/>
  <c r="L15" i="32"/>
  <c r="BP25" i="7"/>
  <c r="P27" i="7"/>
  <c r="BW29" i="7"/>
  <c r="CR28" i="7"/>
  <c r="B18" i="27"/>
  <c r="M17" i="27"/>
  <c r="CF28" i="7"/>
  <c r="DA27" i="7"/>
  <c r="AN27" i="7"/>
  <c r="E16" i="32"/>
  <c r="BB26" i="7"/>
  <c r="DQ26" i="7" s="1"/>
  <c r="AX26" i="7"/>
  <c r="DM26" i="7" s="1"/>
  <c r="AT26" i="7"/>
  <c r="DI26" i="7" s="1"/>
  <c r="BC26" i="7"/>
  <c r="DR26" i="7" s="1"/>
  <c r="BA26" i="7"/>
  <c r="DP26" i="7" s="1"/>
  <c r="AW26" i="7"/>
  <c r="DL26" i="7" s="1"/>
  <c r="AU26" i="7"/>
  <c r="DJ26" i="7" s="1"/>
  <c r="AZ26" i="7"/>
  <c r="DO26" i="7" s="1"/>
  <c r="AV26" i="7"/>
  <c r="DK26" i="7" s="1"/>
  <c r="AY26" i="7"/>
  <c r="DN26" i="7" s="1"/>
  <c r="AH26" i="7"/>
  <c r="AF26" i="7"/>
  <c r="AI26" i="7" s="1"/>
  <c r="AG26" i="7"/>
  <c r="BV29" i="7"/>
  <c r="CQ28" i="7"/>
  <c r="EO28" i="7"/>
  <c r="BT29" i="7"/>
  <c r="CO28" i="7"/>
  <c r="BP24" i="7"/>
  <c r="CC30" i="7"/>
  <c r="CX29" i="7"/>
  <c r="BF25" i="7"/>
  <c r="BD25" i="7"/>
  <c r="BE25" i="7"/>
  <c r="BY30" i="7"/>
  <c r="CT29" i="7"/>
  <c r="F15" i="32"/>
  <c r="AP26" i="7"/>
  <c r="AQ26" i="7"/>
  <c r="AR26" i="7"/>
  <c r="BI26" i="7" s="1"/>
  <c r="CE28" i="7"/>
  <c r="CZ27" i="7"/>
  <c r="AM27" i="7"/>
  <c r="BU30" i="7"/>
  <c r="CP29" i="7"/>
  <c r="CJ29" i="7"/>
  <c r="DE28" i="7"/>
  <c r="E23" i="18"/>
  <c r="E24" i="18"/>
  <c r="H11" i="8"/>
  <c r="U10" i="8"/>
  <c r="CI29" i="7"/>
  <c r="DD28" i="7"/>
  <c r="DS28" i="7"/>
  <c r="G15" i="32"/>
  <c r="P15" i="32" s="1"/>
  <c r="CH28" i="7"/>
  <c r="DC27" i="7"/>
  <c r="BN27" i="7"/>
  <c r="BH26" i="7"/>
  <c r="CD29" i="7"/>
  <c r="CY28" i="7"/>
  <c r="D7" i="32"/>
  <c r="N18" i="7"/>
  <c r="R14" i="8"/>
  <c r="E15" i="8"/>
  <c r="EA27" i="7"/>
  <c r="DV27" i="7"/>
  <c r="BS28" i="7"/>
  <c r="EF27" i="7"/>
  <c r="DZ27" i="7"/>
  <c r="CN27" i="7"/>
  <c r="EC27" i="7"/>
  <c r="DX27" i="7"/>
  <c r="EB27" i="7"/>
  <c r="DW27" i="7"/>
  <c r="M27" i="7"/>
  <c r="BZ29" i="7"/>
  <c r="CU28" i="7"/>
  <c r="EN28" i="7"/>
  <c r="BX29" i="7"/>
  <c r="CS28" i="7"/>
  <c r="CA29" i="7"/>
  <c r="CV28" i="7"/>
  <c r="CG29" i="7"/>
  <c r="DB28" i="7"/>
  <c r="AO28" i="7"/>
  <c r="CK30" i="7"/>
  <c r="DF29" i="7"/>
  <c r="CB29" i="7"/>
  <c r="CW28" i="7"/>
  <c r="D16" i="32"/>
  <c r="N27" i="7"/>
  <c r="BQ24" i="7"/>
  <c r="DG29" i="7"/>
  <c r="EM29" i="7"/>
  <c r="CL30" i="7"/>
  <c r="N16" i="27"/>
  <c r="Q16" i="27"/>
  <c r="BG26" i="7"/>
  <c r="BO25" i="7"/>
  <c r="BQ25" i="7" s="1"/>
  <c r="CM29" i="7"/>
  <c r="DH28" i="7"/>
  <c r="L16" i="32" l="1"/>
  <c r="BP26" i="7"/>
  <c r="K16" i="32"/>
  <c r="M16" i="32"/>
  <c r="G24" i="7"/>
  <c r="H24" i="7"/>
  <c r="H25" i="7"/>
  <c r="G25" i="7"/>
  <c r="EM30" i="7"/>
  <c r="DG30" i="7"/>
  <c r="CL31" i="7"/>
  <c r="F16" i="32"/>
  <c r="AR27" i="7"/>
  <c r="BI27" i="7" s="1"/>
  <c r="AQ27" i="7"/>
  <c r="AP27" i="7"/>
  <c r="CG30" i="7"/>
  <c r="DB29" i="7"/>
  <c r="AO29" i="7"/>
  <c r="BX30" i="7"/>
  <c r="CS29" i="7"/>
  <c r="E17" i="32"/>
  <c r="BA27" i="7"/>
  <c r="DP27" i="7" s="1"/>
  <c r="AW27" i="7"/>
  <c r="DL27" i="7" s="1"/>
  <c r="AZ27" i="7"/>
  <c r="DO27" i="7" s="1"/>
  <c r="AV27" i="7"/>
  <c r="DK27" i="7" s="1"/>
  <c r="BC27" i="7"/>
  <c r="DR27" i="7" s="1"/>
  <c r="AY27" i="7"/>
  <c r="DN27" i="7" s="1"/>
  <c r="AU27" i="7"/>
  <c r="DJ27" i="7" s="1"/>
  <c r="BB27" i="7"/>
  <c r="DQ27" i="7" s="1"/>
  <c r="AT27" i="7"/>
  <c r="AX27" i="7"/>
  <c r="DM27" i="7" s="1"/>
  <c r="AG27" i="7"/>
  <c r="AF27" i="7"/>
  <c r="AI27" i="7" s="1"/>
  <c r="AH27" i="7"/>
  <c r="BS29" i="7"/>
  <c r="EF28" i="7"/>
  <c r="DZ28" i="7"/>
  <c r="CN28" i="7"/>
  <c r="EC28" i="7"/>
  <c r="DX28" i="7"/>
  <c r="EB28" i="7"/>
  <c r="DW28" i="7"/>
  <c r="EA28" i="7"/>
  <c r="DV28" i="7"/>
  <c r="M28" i="7"/>
  <c r="R13" i="8"/>
  <c r="E14" i="8"/>
  <c r="CD30" i="7"/>
  <c r="CY29" i="7"/>
  <c r="CH29" i="7"/>
  <c r="DC28" i="7"/>
  <c r="BN28" i="7"/>
  <c r="DS29" i="7"/>
  <c r="CI30" i="7"/>
  <c r="DD29" i="7"/>
  <c r="CE29" i="7"/>
  <c r="CZ28" i="7"/>
  <c r="AM28" i="7"/>
  <c r="BV30" i="7"/>
  <c r="CQ29" i="7"/>
  <c r="D17" i="32"/>
  <c r="N28" i="7"/>
  <c r="CA30" i="7"/>
  <c r="CV29" i="7"/>
  <c r="G16" i="32"/>
  <c r="P16" i="32" s="1"/>
  <c r="CK31" i="7"/>
  <c r="DF30" i="7"/>
  <c r="BO26" i="7"/>
  <c r="BQ26" i="7" s="1"/>
  <c r="F7" i="32"/>
  <c r="G7" i="32" s="1"/>
  <c r="P7" i="32" s="1"/>
  <c r="Q7" i="32" s="1"/>
  <c r="Q8" i="32" s="1"/>
  <c r="Q9" i="32" s="1"/>
  <c r="Q10" i="32" s="1"/>
  <c r="Q11" i="32" s="1"/>
  <c r="Q12" i="32" s="1"/>
  <c r="Q13" i="32" s="1"/>
  <c r="Q14" i="32" s="1"/>
  <c r="Q15" i="32" s="1"/>
  <c r="AP18" i="7"/>
  <c r="BG18" i="7" s="1"/>
  <c r="AJ19" i="7" s="1"/>
  <c r="AL18" i="7"/>
  <c r="AK18" i="7"/>
  <c r="AR18" i="7"/>
  <c r="BI18" i="7" s="1"/>
  <c r="AJ18" i="7"/>
  <c r="AQ18" i="7"/>
  <c r="BH18" i="7" s="1"/>
  <c r="AK19" i="7" s="1"/>
  <c r="AL19" i="7"/>
  <c r="U9" i="8"/>
  <c r="H10" i="8"/>
  <c r="BU31" i="7"/>
  <c r="CP30" i="7"/>
  <c r="BY31" i="7"/>
  <c r="CT30" i="7"/>
  <c r="EO29" i="7"/>
  <c r="BT30" i="7"/>
  <c r="CO29" i="7"/>
  <c r="AN28" i="7"/>
  <c r="CF29" i="7"/>
  <c r="DA28" i="7"/>
  <c r="P28" i="7"/>
  <c r="CJ30" i="7"/>
  <c r="DE29" i="7"/>
  <c r="BG27" i="7"/>
  <c r="CC31" i="7"/>
  <c r="CX30" i="7"/>
  <c r="N17" i="27"/>
  <c r="Q17" i="27" s="1"/>
  <c r="BW30" i="7"/>
  <c r="CR29" i="7"/>
  <c r="CM30" i="7"/>
  <c r="DH29" i="7"/>
  <c r="CB30" i="7"/>
  <c r="CW29" i="7"/>
  <c r="BZ30" i="7"/>
  <c r="CU29" i="7"/>
  <c r="EN29" i="7"/>
  <c r="BF26" i="7"/>
  <c r="BE26" i="7"/>
  <c r="BD26" i="7"/>
  <c r="BH27" i="7"/>
  <c r="M18" i="27"/>
  <c r="B19" i="27"/>
  <c r="C19" i="7" l="1"/>
  <c r="F19" i="7" s="1"/>
  <c r="BJ19" i="7"/>
  <c r="BM19" i="7" s="1"/>
  <c r="B19" i="7" s="1"/>
  <c r="AJ20" i="7"/>
  <c r="D19" i="7"/>
  <c r="BK19" i="7"/>
  <c r="AK20" i="7"/>
  <c r="L17" i="32"/>
  <c r="M17" i="32"/>
  <c r="K17" i="32"/>
  <c r="CM31" i="7"/>
  <c r="DH30" i="7"/>
  <c r="CB31" i="7"/>
  <c r="CW30" i="7"/>
  <c r="BW31" i="7"/>
  <c r="CR30" i="7"/>
  <c r="CC32" i="7"/>
  <c r="CX31" i="7"/>
  <c r="D18" i="32"/>
  <c r="N29" i="7"/>
  <c r="CF30" i="7"/>
  <c r="DA29" i="7"/>
  <c r="AN29" i="7"/>
  <c r="BU32" i="7"/>
  <c r="CP31" i="7"/>
  <c r="BJ18" i="7"/>
  <c r="BM18" i="7" s="1"/>
  <c r="B18" i="7" s="1"/>
  <c r="C18" i="7"/>
  <c r="F18" i="7" s="1"/>
  <c r="CK32" i="7"/>
  <c r="DF31" i="7"/>
  <c r="F17" i="32"/>
  <c r="AR28" i="7"/>
  <c r="BI28" i="7" s="1"/>
  <c r="AQ28" i="7"/>
  <c r="AP28" i="7"/>
  <c r="BG28" i="7" s="1"/>
  <c r="CI31" i="7"/>
  <c r="DD30" i="7"/>
  <c r="DS30" i="7"/>
  <c r="CH30" i="7"/>
  <c r="DC29" i="7"/>
  <c r="BN29" i="7"/>
  <c r="R12" i="8"/>
  <c r="E13" i="8"/>
  <c r="BO27" i="7"/>
  <c r="BE27" i="7"/>
  <c r="BD27" i="7"/>
  <c r="BF27" i="7"/>
  <c r="G17" i="32"/>
  <c r="P17" i="32" s="1"/>
  <c r="Q17" i="32" s="1"/>
  <c r="P29" i="7"/>
  <c r="E18" i="32"/>
  <c r="AZ28" i="7"/>
  <c r="DO28" i="7" s="1"/>
  <c r="AV28" i="7"/>
  <c r="DK28" i="7" s="1"/>
  <c r="BC28" i="7"/>
  <c r="DR28" i="7" s="1"/>
  <c r="AY28" i="7"/>
  <c r="DN28" i="7" s="1"/>
  <c r="AU28" i="7"/>
  <c r="DJ28" i="7" s="1"/>
  <c r="BB28" i="7"/>
  <c r="DQ28" i="7" s="1"/>
  <c r="AX28" i="7"/>
  <c r="DM28" i="7" s="1"/>
  <c r="AT28" i="7"/>
  <c r="AW28" i="7"/>
  <c r="DL28" i="7" s="1"/>
  <c r="BA28" i="7"/>
  <c r="DP28" i="7" s="1"/>
  <c r="AG28" i="7"/>
  <c r="AH28" i="7"/>
  <c r="AF28" i="7"/>
  <c r="AI28" i="7" s="1"/>
  <c r="B20" i="27"/>
  <c r="M19" i="27"/>
  <c r="EN30" i="7"/>
  <c r="BZ31" i="7"/>
  <c r="CU30" i="7"/>
  <c r="BH28" i="7"/>
  <c r="BL19" i="7"/>
  <c r="E19" i="7"/>
  <c r="AL20" i="7"/>
  <c r="Q16" i="32"/>
  <c r="N18" i="27"/>
  <c r="Q18" i="27" s="1"/>
  <c r="CJ31" i="7"/>
  <c r="DE30" i="7"/>
  <c r="BY32" i="7"/>
  <c r="CT31" i="7"/>
  <c r="H9" i="8"/>
  <c r="U8" i="8"/>
  <c r="D18" i="7"/>
  <c r="BK18" i="7"/>
  <c r="H26" i="7"/>
  <c r="G26" i="7"/>
  <c r="AM29" i="7"/>
  <c r="CE30" i="7"/>
  <c r="CZ29" i="7"/>
  <c r="CD31" i="7"/>
  <c r="CY30" i="7"/>
  <c r="CG31" i="7"/>
  <c r="DB30" i="7"/>
  <c r="AO30" i="7"/>
  <c r="EM31" i="7"/>
  <c r="DG31" i="7"/>
  <c r="CL32" i="7"/>
  <c r="DI27" i="7"/>
  <c r="DI28" i="7" s="1"/>
  <c r="BT31" i="7"/>
  <c r="CO30" i="7"/>
  <c r="EO30" i="7"/>
  <c r="E18" i="7"/>
  <c r="BL18" i="7"/>
  <c r="CA31" i="7"/>
  <c r="CV30" i="7"/>
  <c r="BV31" i="7"/>
  <c r="CQ30" i="7"/>
  <c r="EC29" i="7"/>
  <c r="DX29" i="7"/>
  <c r="EB29" i="7"/>
  <c r="DW29" i="7"/>
  <c r="EA29" i="7"/>
  <c r="DV29" i="7"/>
  <c r="BS30" i="7"/>
  <c r="EF29" i="7"/>
  <c r="DZ29" i="7"/>
  <c r="CN29" i="7"/>
  <c r="BO28" i="7" s="1"/>
  <c r="M29" i="7"/>
  <c r="BX31" i="7"/>
  <c r="CS30" i="7"/>
  <c r="L18" i="32" l="1"/>
  <c r="BP28" i="7"/>
  <c r="BQ28" i="7" s="1"/>
  <c r="M18" i="32"/>
  <c r="K18" i="32"/>
  <c r="BT32" i="7"/>
  <c r="CO31" i="7"/>
  <c r="EO31" i="7"/>
  <c r="CE31" i="7"/>
  <c r="CZ30" i="7"/>
  <c r="AM30" i="7"/>
  <c r="BZ32" i="7"/>
  <c r="CU31" i="7"/>
  <c r="EN31" i="7"/>
  <c r="BW32" i="7"/>
  <c r="CR31" i="7"/>
  <c r="CM32" i="7"/>
  <c r="DH31" i="7"/>
  <c r="BK20" i="7"/>
  <c r="D20" i="7"/>
  <c r="AK21" i="7"/>
  <c r="EB30" i="7"/>
  <c r="DW30" i="7"/>
  <c r="EA30" i="7"/>
  <c r="DV30" i="7"/>
  <c r="BS31" i="7"/>
  <c r="EF30" i="7"/>
  <c r="DZ30" i="7"/>
  <c r="CN30" i="7"/>
  <c r="EC30" i="7"/>
  <c r="DX30" i="7"/>
  <c r="M30" i="7"/>
  <c r="BV32" i="7"/>
  <c r="CQ31" i="7"/>
  <c r="BY33" i="7"/>
  <c r="CT32" i="7"/>
  <c r="BD28" i="7"/>
  <c r="BF28" i="7"/>
  <c r="BE28" i="7"/>
  <c r="CI32" i="7"/>
  <c r="DD31" i="7"/>
  <c r="DS31" i="7"/>
  <c r="C20" i="7"/>
  <c r="F20" i="7" s="1"/>
  <c r="BJ20" i="7"/>
  <c r="BM20" i="7" s="1"/>
  <c r="B20" i="7" s="1"/>
  <c r="AJ21" i="7"/>
  <c r="E19" i="32"/>
  <c r="BC29" i="7"/>
  <c r="DR29" i="7" s="1"/>
  <c r="AY29" i="7"/>
  <c r="DN29" i="7" s="1"/>
  <c r="AU29" i="7"/>
  <c r="DJ29" i="7" s="1"/>
  <c r="BB29" i="7"/>
  <c r="DQ29" i="7" s="1"/>
  <c r="AX29" i="7"/>
  <c r="DM29" i="7" s="1"/>
  <c r="AT29" i="7"/>
  <c r="BA29" i="7"/>
  <c r="DP29" i="7" s="1"/>
  <c r="AW29" i="7"/>
  <c r="DL29" i="7" s="1"/>
  <c r="AV29" i="7"/>
  <c r="DK29" i="7" s="1"/>
  <c r="AZ29" i="7"/>
  <c r="DO29" i="7" s="1"/>
  <c r="AG29" i="7"/>
  <c r="AF29" i="7"/>
  <c r="AI29" i="7" s="1"/>
  <c r="AH29" i="7"/>
  <c r="DI29" i="7"/>
  <c r="CD32" i="7"/>
  <c r="CY31" i="7"/>
  <c r="DG32" i="7"/>
  <c r="EM32" i="7"/>
  <c r="CL33" i="7"/>
  <c r="H8" i="8"/>
  <c r="U7" i="8"/>
  <c r="N19" i="27"/>
  <c r="Q19" i="27"/>
  <c r="D19" i="32"/>
  <c r="N30" i="7"/>
  <c r="BN30" i="7"/>
  <c r="CH31" i="7"/>
  <c r="DC30" i="7"/>
  <c r="CF31" i="7"/>
  <c r="DA30" i="7"/>
  <c r="AN30" i="7"/>
  <c r="CC33" i="7"/>
  <c r="CX32" i="7"/>
  <c r="CB32" i="7"/>
  <c r="CW31" i="7"/>
  <c r="BX32" i="7"/>
  <c r="CS31" i="7"/>
  <c r="CA32" i="7"/>
  <c r="CV31" i="7"/>
  <c r="AO31" i="7"/>
  <c r="CG32" i="7"/>
  <c r="DB31" i="7"/>
  <c r="CJ32" i="7"/>
  <c r="DE31" i="7"/>
  <c r="BL20" i="7"/>
  <c r="E20" i="7"/>
  <c r="AL21" i="7"/>
  <c r="B21" i="27"/>
  <c r="M20" i="27"/>
  <c r="R11" i="8"/>
  <c r="E12" i="8"/>
  <c r="P30" i="7"/>
  <c r="CK33" i="7"/>
  <c r="DF32" i="7"/>
  <c r="BU33" i="7"/>
  <c r="CP32" i="7"/>
  <c r="F18" i="32"/>
  <c r="G18" i="32" s="1"/>
  <c r="P18" i="32" s="1"/>
  <c r="Q18" i="32" s="1"/>
  <c r="AQ29" i="7"/>
  <c r="BH29" i="7" s="1"/>
  <c r="AP29" i="7"/>
  <c r="BG29" i="7" s="1"/>
  <c r="AR29" i="7"/>
  <c r="BI29" i="7" s="1"/>
  <c r="BP27" i="7"/>
  <c r="BQ27" i="7" s="1"/>
  <c r="L19" i="32" l="1"/>
  <c r="BP29" i="7"/>
  <c r="G28" i="7"/>
  <c r="H28" i="7"/>
  <c r="H27" i="7"/>
  <c r="G27" i="7"/>
  <c r="K19" i="32"/>
  <c r="M19" i="32"/>
  <c r="BL21" i="7"/>
  <c r="E21" i="7"/>
  <c r="AL22" i="7"/>
  <c r="CJ33" i="7"/>
  <c r="DE32" i="7"/>
  <c r="BX33" i="7"/>
  <c r="CS32" i="7"/>
  <c r="CC34" i="7"/>
  <c r="CX33" i="7"/>
  <c r="P31" i="7"/>
  <c r="BY34" i="7"/>
  <c r="CT33" i="7"/>
  <c r="E20" i="32"/>
  <c r="BB30" i="7"/>
  <c r="DQ30" i="7" s="1"/>
  <c r="AX30" i="7"/>
  <c r="DM30" i="7" s="1"/>
  <c r="AT30" i="7"/>
  <c r="BA30" i="7"/>
  <c r="DP30" i="7" s="1"/>
  <c r="AW30" i="7"/>
  <c r="DL30" i="7" s="1"/>
  <c r="AZ30" i="7"/>
  <c r="DO30" i="7" s="1"/>
  <c r="AV30" i="7"/>
  <c r="DK30" i="7" s="1"/>
  <c r="BC30" i="7"/>
  <c r="DR30" i="7" s="1"/>
  <c r="AY30" i="7"/>
  <c r="DN30" i="7" s="1"/>
  <c r="AU30" i="7"/>
  <c r="DJ30" i="7" s="1"/>
  <c r="AG30" i="7"/>
  <c r="AH30" i="7"/>
  <c r="AF30" i="7"/>
  <c r="AI30" i="7" s="1"/>
  <c r="DG33" i="7"/>
  <c r="EM33" i="7"/>
  <c r="CL34" i="7"/>
  <c r="CD33" i="7"/>
  <c r="CY32" i="7"/>
  <c r="BJ21" i="7"/>
  <c r="BM21" i="7" s="1"/>
  <c r="B21" i="7" s="1"/>
  <c r="C21" i="7"/>
  <c r="F21" i="7" s="1"/>
  <c r="AJ22" i="7"/>
  <c r="BW33" i="7"/>
  <c r="CR32" i="7"/>
  <c r="EO32" i="7"/>
  <c r="BT33" i="7"/>
  <c r="CO32" i="7"/>
  <c r="CK34" i="7"/>
  <c r="DF33" i="7"/>
  <c r="E11" i="8"/>
  <c r="R10" i="8"/>
  <c r="CH32" i="7"/>
  <c r="DC31" i="7"/>
  <c r="BN31" i="7"/>
  <c r="N20" i="27"/>
  <c r="Q20" i="27" s="1"/>
  <c r="CG33" i="7"/>
  <c r="DB32" i="7"/>
  <c r="AO32" i="7"/>
  <c r="CB33" i="7"/>
  <c r="CW32" i="7"/>
  <c r="DI30" i="7"/>
  <c r="BF29" i="7"/>
  <c r="BE29" i="7"/>
  <c r="BD29" i="7"/>
  <c r="CI33" i="7"/>
  <c r="DD32" i="7"/>
  <c r="DS32" i="7"/>
  <c r="EA31" i="7"/>
  <c r="DV31" i="7"/>
  <c r="BS32" i="7"/>
  <c r="EF31" i="7"/>
  <c r="DZ31" i="7"/>
  <c r="CN31" i="7"/>
  <c r="EC31" i="7"/>
  <c r="DX31" i="7"/>
  <c r="EB31" i="7"/>
  <c r="DW31" i="7"/>
  <c r="M31" i="7"/>
  <c r="CE32" i="7"/>
  <c r="CZ31" i="7"/>
  <c r="AM31" i="7"/>
  <c r="CA33" i="7"/>
  <c r="CV32" i="7"/>
  <c r="BU34" i="7"/>
  <c r="CP33" i="7"/>
  <c r="D20" i="32"/>
  <c r="N31" i="7"/>
  <c r="B22" i="27"/>
  <c r="M21" i="27"/>
  <c r="CF32" i="7"/>
  <c r="DA31" i="7"/>
  <c r="AN31" i="7"/>
  <c r="F19" i="32"/>
  <c r="G19" i="32" s="1"/>
  <c r="P19" i="32" s="1"/>
  <c r="Q19" i="32" s="1"/>
  <c r="AP30" i="7"/>
  <c r="BG30" i="7" s="1"/>
  <c r="AR30" i="7"/>
  <c r="BI30" i="7" s="1"/>
  <c r="AQ30" i="7"/>
  <c r="BH30" i="7" s="1"/>
  <c r="H7" i="8"/>
  <c r="U6" i="8"/>
  <c r="BV33" i="7"/>
  <c r="CQ32" i="7"/>
  <c r="BO29" i="7"/>
  <c r="BQ29" i="7" s="1"/>
  <c r="BK21" i="7"/>
  <c r="D21" i="7"/>
  <c r="AK22" i="7"/>
  <c r="CM33" i="7"/>
  <c r="DH32" i="7"/>
  <c r="BZ33" i="7"/>
  <c r="CU32" i="7"/>
  <c r="EN32" i="7"/>
  <c r="K20" i="32" l="1"/>
  <c r="BP30" i="7"/>
  <c r="L20" i="32"/>
  <c r="M20" i="32"/>
  <c r="H6" i="8"/>
  <c r="U5" i="8"/>
  <c r="H5" i="8" s="1"/>
  <c r="D8" i="9" s="1"/>
  <c r="CM34" i="7"/>
  <c r="DH33" i="7"/>
  <c r="H29" i="7"/>
  <c r="G29" i="7"/>
  <c r="N21" i="27"/>
  <c r="Q21" i="27"/>
  <c r="BO30" i="7"/>
  <c r="BQ30" i="7" s="1"/>
  <c r="DS33" i="7"/>
  <c r="CI34" i="7"/>
  <c r="DD33" i="7"/>
  <c r="CK35" i="7"/>
  <c r="DF34" i="7"/>
  <c r="D21" i="32"/>
  <c r="N32" i="7"/>
  <c r="E22" i="7"/>
  <c r="BL22" i="7"/>
  <c r="AL23" i="7"/>
  <c r="M22" i="27"/>
  <c r="B23" i="27"/>
  <c r="BU35" i="7"/>
  <c r="CP34" i="7"/>
  <c r="E10" i="8"/>
  <c r="R9" i="8"/>
  <c r="BW34" i="7"/>
  <c r="CR33" i="7"/>
  <c r="BF30" i="7"/>
  <c r="BE30" i="7"/>
  <c r="BD30" i="7"/>
  <c r="BX34" i="7"/>
  <c r="CS33" i="7"/>
  <c r="F20" i="32"/>
  <c r="AR31" i="7"/>
  <c r="BI31" i="7" s="1"/>
  <c r="AQ31" i="7"/>
  <c r="BH31" i="7" s="1"/>
  <c r="AP31" i="7"/>
  <c r="BG31" i="7" s="1"/>
  <c r="CE33" i="7"/>
  <c r="CZ32" i="7"/>
  <c r="AM32" i="7"/>
  <c r="P32" i="7"/>
  <c r="CG34" i="7"/>
  <c r="DB33" i="7"/>
  <c r="AO33" i="7"/>
  <c r="EO33" i="7"/>
  <c r="BT34" i="7"/>
  <c r="CO33" i="7"/>
  <c r="BJ22" i="7"/>
  <c r="BM22" i="7" s="1"/>
  <c r="B22" i="7" s="1"/>
  <c r="C22" i="7"/>
  <c r="F22" i="7" s="1"/>
  <c r="AJ23" i="7"/>
  <c r="CD34" i="7"/>
  <c r="CY33" i="7"/>
  <c r="BY35" i="7"/>
  <c r="CT34" i="7"/>
  <c r="D22" i="7"/>
  <c r="BK22" i="7"/>
  <c r="AK23" i="7"/>
  <c r="BZ34" i="7"/>
  <c r="CU33" i="7"/>
  <c r="EN33" i="7"/>
  <c r="BV34" i="7"/>
  <c r="CQ33" i="7"/>
  <c r="AN32" i="7"/>
  <c r="CF33" i="7"/>
  <c r="DA32" i="7"/>
  <c r="G20" i="32"/>
  <c r="P20" i="32" s="1"/>
  <c r="Q20" i="32" s="1"/>
  <c r="CA34" i="7"/>
  <c r="CV33" i="7"/>
  <c r="E21" i="32"/>
  <c r="BA31" i="7"/>
  <c r="DP31" i="7" s="1"/>
  <c r="AW31" i="7"/>
  <c r="DL31" i="7" s="1"/>
  <c r="AZ31" i="7"/>
  <c r="DO31" i="7" s="1"/>
  <c r="AV31" i="7"/>
  <c r="DK31" i="7" s="1"/>
  <c r="BC31" i="7"/>
  <c r="DR31" i="7" s="1"/>
  <c r="AY31" i="7"/>
  <c r="DN31" i="7" s="1"/>
  <c r="AU31" i="7"/>
  <c r="DJ31" i="7" s="1"/>
  <c r="BB31" i="7"/>
  <c r="DQ31" i="7" s="1"/>
  <c r="AX31" i="7"/>
  <c r="DM31" i="7" s="1"/>
  <c r="AT31" i="7"/>
  <c r="AG31" i="7"/>
  <c r="AF31" i="7"/>
  <c r="AI31" i="7" s="1"/>
  <c r="AH31" i="7"/>
  <c r="BS33" i="7"/>
  <c r="EF32" i="7"/>
  <c r="DZ32" i="7"/>
  <c r="CN32" i="7"/>
  <c r="EC32" i="7"/>
  <c r="DX32" i="7"/>
  <c r="EB32" i="7"/>
  <c r="DW32" i="7"/>
  <c r="EA32" i="7"/>
  <c r="DV32" i="7"/>
  <c r="M32" i="7"/>
  <c r="CB34" i="7"/>
  <c r="CW33" i="7"/>
  <c r="CH33" i="7"/>
  <c r="DC32" i="7"/>
  <c r="BN32" i="7"/>
  <c r="EM34" i="7"/>
  <c r="DG34" i="7"/>
  <c r="CL35" i="7"/>
  <c r="CC35" i="7"/>
  <c r="CX34" i="7"/>
  <c r="CJ34" i="7"/>
  <c r="DE33" i="7"/>
  <c r="K21" i="32" l="1"/>
  <c r="M21" i="32"/>
  <c r="L21" i="32"/>
  <c r="EC33" i="7"/>
  <c r="DX33" i="7"/>
  <c r="EB33" i="7"/>
  <c r="DW33" i="7"/>
  <c r="EA33" i="7"/>
  <c r="DV33" i="7"/>
  <c r="BS34" i="7"/>
  <c r="EF33" i="7"/>
  <c r="DZ33" i="7"/>
  <c r="CN33" i="7"/>
  <c r="M33" i="7"/>
  <c r="BE31" i="7"/>
  <c r="BD31" i="7"/>
  <c r="BF31" i="7"/>
  <c r="CA35" i="7"/>
  <c r="CV34" i="7"/>
  <c r="CD35" i="7"/>
  <c r="CY34" i="7"/>
  <c r="BW35" i="7"/>
  <c r="CR34" i="7"/>
  <c r="BL23" i="7"/>
  <c r="E23" i="7"/>
  <c r="AL24" i="7"/>
  <c r="DI31" i="7"/>
  <c r="H30" i="7"/>
  <c r="G30" i="7"/>
  <c r="CM35" i="7"/>
  <c r="DH34" i="7"/>
  <c r="CC36" i="7"/>
  <c r="CX35" i="7"/>
  <c r="CB35" i="7"/>
  <c r="CW34" i="7"/>
  <c r="BO31" i="7"/>
  <c r="EN34" i="7"/>
  <c r="BZ35" i="7"/>
  <c r="CU34" i="7"/>
  <c r="C23" i="7"/>
  <c r="F23" i="7" s="1"/>
  <c r="BJ23" i="7"/>
  <c r="BM23" i="7" s="1"/>
  <c r="B23" i="7" s="1"/>
  <c r="AJ24" i="7"/>
  <c r="BT35" i="7"/>
  <c r="CO34" i="7"/>
  <c r="EO34" i="7"/>
  <c r="CG35" i="7"/>
  <c r="DB34" i="7"/>
  <c r="AO34" i="7"/>
  <c r="R8" i="8"/>
  <c r="E9" i="8"/>
  <c r="BU36" i="7"/>
  <c r="CP35" i="7"/>
  <c r="D12" i="9"/>
  <c r="L3" i="9"/>
  <c r="EM35" i="7"/>
  <c r="DG35" i="7"/>
  <c r="CL36" i="7"/>
  <c r="BV35" i="7"/>
  <c r="CQ34" i="7"/>
  <c r="AM33" i="7"/>
  <c r="CE34" i="7"/>
  <c r="CZ33" i="7"/>
  <c r="B24" i="27"/>
  <c r="M23" i="27"/>
  <c r="CI35" i="7"/>
  <c r="DD34" i="7"/>
  <c r="DS34" i="7"/>
  <c r="E22" i="32"/>
  <c r="AZ32" i="7"/>
  <c r="DO32" i="7" s="1"/>
  <c r="AV32" i="7"/>
  <c r="DK32" i="7" s="1"/>
  <c r="BC32" i="7"/>
  <c r="DR32" i="7" s="1"/>
  <c r="AY32" i="7"/>
  <c r="DN32" i="7" s="1"/>
  <c r="AU32" i="7"/>
  <c r="DJ32" i="7" s="1"/>
  <c r="BB32" i="7"/>
  <c r="DQ32" i="7" s="1"/>
  <c r="AX32" i="7"/>
  <c r="DM32" i="7" s="1"/>
  <c r="AT32" i="7"/>
  <c r="BA32" i="7"/>
  <c r="DP32" i="7" s="1"/>
  <c r="AW32" i="7"/>
  <c r="DL32" i="7" s="1"/>
  <c r="AH32" i="7"/>
  <c r="AG32" i="7"/>
  <c r="AF32" i="7"/>
  <c r="AI32" i="7" s="1"/>
  <c r="D23" i="7"/>
  <c r="BK23" i="7"/>
  <c r="AK24" i="7"/>
  <c r="BY36" i="7"/>
  <c r="CT35" i="7"/>
  <c r="D22" i="32"/>
  <c r="N33" i="7"/>
  <c r="CK36" i="7"/>
  <c r="DF35" i="7"/>
  <c r="CJ35" i="7"/>
  <c r="DE34" i="7"/>
  <c r="CH34" i="7"/>
  <c r="DC33" i="7"/>
  <c r="BN33" i="7"/>
  <c r="CF34" i="7"/>
  <c r="DA33" i="7"/>
  <c r="AN33" i="7"/>
  <c r="BX35" i="7"/>
  <c r="CS34" i="7"/>
  <c r="N22" i="27"/>
  <c r="Q22" i="27" s="1"/>
  <c r="F21" i="32"/>
  <c r="G21" i="32" s="1"/>
  <c r="P21" i="32" s="1"/>
  <c r="Q21" i="32" s="1"/>
  <c r="AR32" i="7"/>
  <c r="BI32" i="7" s="1"/>
  <c r="AQ32" i="7"/>
  <c r="BH32" i="7" s="1"/>
  <c r="AP32" i="7"/>
  <c r="BG32" i="7" s="1"/>
  <c r="P33" i="7"/>
  <c r="L22" i="32" l="1"/>
  <c r="M22" i="32"/>
  <c r="K22" i="32"/>
  <c r="BV36" i="7"/>
  <c r="CQ35" i="7"/>
  <c r="AO35" i="7"/>
  <c r="CG36" i="7"/>
  <c r="DB35" i="7"/>
  <c r="C24" i="7"/>
  <c r="F24" i="7" s="1"/>
  <c r="BJ24" i="7"/>
  <c r="BM24" i="7" s="1"/>
  <c r="B24" i="7" s="1"/>
  <c r="AJ25" i="7"/>
  <c r="BZ36" i="7"/>
  <c r="CU35" i="7"/>
  <c r="EN35" i="7"/>
  <c r="CB36" i="7"/>
  <c r="CW35" i="7"/>
  <c r="DI32" i="7"/>
  <c r="BP32" i="7" s="1"/>
  <c r="CA36" i="7"/>
  <c r="CV35" i="7"/>
  <c r="E23" i="32"/>
  <c r="BC33" i="7"/>
  <c r="DR33" i="7" s="1"/>
  <c r="AY33" i="7"/>
  <c r="DN33" i="7" s="1"/>
  <c r="AU33" i="7"/>
  <c r="DJ33" i="7" s="1"/>
  <c r="BB33" i="7"/>
  <c r="DQ33" i="7" s="1"/>
  <c r="AX33" i="7"/>
  <c r="DM33" i="7" s="1"/>
  <c r="AT33" i="7"/>
  <c r="BA33" i="7"/>
  <c r="DP33" i="7" s="1"/>
  <c r="AW33" i="7"/>
  <c r="DL33" i="7" s="1"/>
  <c r="AZ33" i="7"/>
  <c r="DO33" i="7" s="1"/>
  <c r="AV33" i="7"/>
  <c r="DK33" i="7" s="1"/>
  <c r="AG33" i="7"/>
  <c r="AH33" i="7"/>
  <c r="AF33" i="7"/>
  <c r="AI33" i="7" s="1"/>
  <c r="EB34" i="7"/>
  <c r="DW34" i="7"/>
  <c r="EA34" i="7"/>
  <c r="DV34" i="7"/>
  <c r="BS35" i="7"/>
  <c r="EF34" i="7"/>
  <c r="DZ34" i="7"/>
  <c r="CN34" i="7"/>
  <c r="EC34" i="7"/>
  <c r="DX34" i="7"/>
  <c r="M34" i="7"/>
  <c r="BN34" i="7"/>
  <c r="CH35" i="7"/>
  <c r="DC34" i="7"/>
  <c r="CK37" i="7"/>
  <c r="DF36" i="7"/>
  <c r="BY37" i="7"/>
  <c r="CT36" i="7"/>
  <c r="CI36" i="7"/>
  <c r="DD35" i="7"/>
  <c r="DS35" i="7"/>
  <c r="CE35" i="7"/>
  <c r="CZ34" i="7"/>
  <c r="AM34" i="7"/>
  <c r="DG36" i="7"/>
  <c r="EM36" i="7"/>
  <c r="CL37" i="7"/>
  <c r="G14" i="9"/>
  <c r="F14" i="9"/>
  <c r="E14" i="9"/>
  <c r="H14" i="9"/>
  <c r="R7" i="8"/>
  <c r="E8" i="8"/>
  <c r="CM36" i="7"/>
  <c r="DH35" i="7"/>
  <c r="CD36" i="7"/>
  <c r="CY35" i="7"/>
  <c r="BO32" i="7"/>
  <c r="BX36" i="7"/>
  <c r="CS35" i="7"/>
  <c r="CF35" i="7"/>
  <c r="DA34" i="7"/>
  <c r="AN34" i="7"/>
  <c r="F22" i="32"/>
  <c r="AQ33" i="7"/>
  <c r="BH33" i="7" s="1"/>
  <c r="AP33" i="7"/>
  <c r="BG33" i="7" s="1"/>
  <c r="AR33" i="7"/>
  <c r="BI33" i="7" s="1"/>
  <c r="D24" i="7"/>
  <c r="BK24" i="7"/>
  <c r="AK25" i="7"/>
  <c r="BD32" i="7"/>
  <c r="BF32" i="7"/>
  <c r="BE32" i="7"/>
  <c r="N23" i="27"/>
  <c r="Q23" i="27"/>
  <c r="BL24" i="7"/>
  <c r="E24" i="7"/>
  <c r="AL25" i="7"/>
  <c r="BW36" i="7"/>
  <c r="CR35" i="7"/>
  <c r="D23" i="32"/>
  <c r="N34" i="7"/>
  <c r="CJ36" i="7"/>
  <c r="DE35" i="7"/>
  <c r="G22" i="32"/>
  <c r="P22" i="32" s="1"/>
  <c r="Q22" i="32" s="1"/>
  <c r="P34" i="7"/>
  <c r="B25" i="27"/>
  <c r="M24" i="27"/>
  <c r="BU37" i="7"/>
  <c r="CP36" i="7"/>
  <c r="BT36" i="7"/>
  <c r="CO35" i="7"/>
  <c r="EO35" i="7"/>
  <c r="CC37" i="7"/>
  <c r="CX36" i="7"/>
  <c r="BP31" i="7"/>
  <c r="BQ31" i="7" s="1"/>
  <c r="M23" i="32" l="1"/>
  <c r="K23" i="32"/>
  <c r="L23" i="32"/>
  <c r="H31" i="7"/>
  <c r="G31" i="7"/>
  <c r="N24" i="27"/>
  <c r="Q24" i="27" s="1"/>
  <c r="F23" i="32"/>
  <c r="AP34" i="7"/>
  <c r="AR34" i="7"/>
  <c r="BI34" i="7" s="1"/>
  <c r="AQ34" i="7"/>
  <c r="E25" i="7"/>
  <c r="BL25" i="7"/>
  <c r="AL26" i="7"/>
  <c r="CD37" i="7"/>
  <c r="CY36" i="7"/>
  <c r="E7" i="8"/>
  <c r="D5" i="9" s="1"/>
  <c r="L2" i="9" s="1"/>
  <c r="R6" i="8"/>
  <c r="BG34" i="7"/>
  <c r="EA35" i="7"/>
  <c r="DV35" i="7"/>
  <c r="BS36" i="7"/>
  <c r="EF35" i="7"/>
  <c r="DZ35" i="7"/>
  <c r="CN35" i="7"/>
  <c r="EC35" i="7"/>
  <c r="DX35" i="7"/>
  <c r="EB35" i="7"/>
  <c r="DW35" i="7"/>
  <c r="M35" i="7"/>
  <c r="BF33" i="7"/>
  <c r="BE33" i="7"/>
  <c r="BD33" i="7"/>
  <c r="CA37" i="7"/>
  <c r="CV36" i="7"/>
  <c r="EO36" i="7"/>
  <c r="BT37" i="7"/>
  <c r="CO36" i="7"/>
  <c r="B26" i="27"/>
  <c r="M25" i="27"/>
  <c r="G23" i="32"/>
  <c r="P23" i="32" s="1"/>
  <c r="Q23" i="32" s="1"/>
  <c r="BH34" i="7"/>
  <c r="BX37" i="7"/>
  <c r="CS36" i="7"/>
  <c r="DG37" i="7"/>
  <c r="EM37" i="7"/>
  <c r="CL38" i="7"/>
  <c r="CI37" i="7"/>
  <c r="DD36" i="7"/>
  <c r="DS36" i="7"/>
  <c r="CK38" i="7"/>
  <c r="DF37" i="7"/>
  <c r="BO33" i="7"/>
  <c r="DI33" i="7"/>
  <c r="BP33" i="7" s="1"/>
  <c r="BQ32" i="7"/>
  <c r="E24" i="32"/>
  <c r="BB34" i="7"/>
  <c r="DQ34" i="7" s="1"/>
  <c r="AX34" i="7"/>
  <c r="DM34" i="7" s="1"/>
  <c r="AT34" i="7"/>
  <c r="BA34" i="7"/>
  <c r="DP34" i="7" s="1"/>
  <c r="AW34" i="7"/>
  <c r="DL34" i="7" s="1"/>
  <c r="AZ34" i="7"/>
  <c r="DO34" i="7" s="1"/>
  <c r="AV34" i="7"/>
  <c r="DK34" i="7" s="1"/>
  <c r="BC34" i="7"/>
  <c r="DR34" i="7" s="1"/>
  <c r="AY34" i="7"/>
  <c r="DN34" i="7" s="1"/>
  <c r="AU34" i="7"/>
  <c r="DJ34" i="7" s="1"/>
  <c r="AH34" i="7"/>
  <c r="AF34" i="7"/>
  <c r="AI34" i="7" s="1"/>
  <c r="AG34" i="7"/>
  <c r="BZ37" i="7"/>
  <c r="CU36" i="7"/>
  <c r="EN36" i="7"/>
  <c r="BV37" i="7"/>
  <c r="CQ36" i="7"/>
  <c r="CC38" i="7"/>
  <c r="CX37" i="7"/>
  <c r="CJ37" i="7"/>
  <c r="DE36" i="7"/>
  <c r="CM37" i="7"/>
  <c r="DH36" i="7"/>
  <c r="CE36" i="7"/>
  <c r="CZ35" i="7"/>
  <c r="AM35" i="7"/>
  <c r="BU38" i="7"/>
  <c r="CP37" i="7"/>
  <c r="D24" i="32"/>
  <c r="N35" i="7"/>
  <c r="BW37" i="7"/>
  <c r="CR36" i="7"/>
  <c r="BK25" i="7"/>
  <c r="D25" i="7"/>
  <c r="AK26" i="7"/>
  <c r="CF36" i="7"/>
  <c r="DA35" i="7"/>
  <c r="AN35" i="7"/>
  <c r="P35" i="7"/>
  <c r="BY38" i="7"/>
  <c r="CT37" i="7"/>
  <c r="CH36" i="7"/>
  <c r="DC35" i="7"/>
  <c r="BN35" i="7"/>
  <c r="CB37" i="7"/>
  <c r="CW36" i="7"/>
  <c r="BJ25" i="7"/>
  <c r="BM25" i="7" s="1"/>
  <c r="B25" i="7" s="1"/>
  <c r="C25" i="7"/>
  <c r="F25" i="7" s="1"/>
  <c r="AJ26" i="7"/>
  <c r="CG37" i="7"/>
  <c r="DB36" i="7"/>
  <c r="AO36" i="7"/>
  <c r="L24" i="32" l="1"/>
  <c r="M24" i="32"/>
  <c r="K24" i="32"/>
  <c r="CE37" i="7"/>
  <c r="CZ36" i="7"/>
  <c r="AM36" i="7"/>
  <c r="CJ38" i="7"/>
  <c r="DE37" i="7"/>
  <c r="BV38" i="7"/>
  <c r="CQ37" i="7"/>
  <c r="BQ33" i="7"/>
  <c r="EO37" i="7"/>
  <c r="BT38" i="7"/>
  <c r="CO37" i="7"/>
  <c r="CA38" i="7"/>
  <c r="CV37" i="7"/>
  <c r="E25" i="32"/>
  <c r="BA35" i="7"/>
  <c r="DP35" i="7" s="1"/>
  <c r="AW35" i="7"/>
  <c r="DL35" i="7" s="1"/>
  <c r="AZ35" i="7"/>
  <c r="DO35" i="7" s="1"/>
  <c r="AV35" i="7"/>
  <c r="DK35" i="7" s="1"/>
  <c r="BC35" i="7"/>
  <c r="DR35" i="7" s="1"/>
  <c r="AY35" i="7"/>
  <c r="DN35" i="7" s="1"/>
  <c r="AU35" i="7"/>
  <c r="DJ35" i="7" s="1"/>
  <c r="BB35" i="7"/>
  <c r="DQ35" i="7" s="1"/>
  <c r="AX35" i="7"/>
  <c r="DM35" i="7" s="1"/>
  <c r="AT35" i="7"/>
  <c r="AH35" i="7"/>
  <c r="AF35" i="7"/>
  <c r="AI35" i="7" s="1"/>
  <c r="AG35" i="7"/>
  <c r="BS37" i="7"/>
  <c r="EF36" i="7"/>
  <c r="DZ36" i="7"/>
  <c r="CN36" i="7"/>
  <c r="EC36" i="7"/>
  <c r="DX36" i="7"/>
  <c r="EB36" i="7"/>
  <c r="DW36" i="7"/>
  <c r="EA36" i="7"/>
  <c r="DV36" i="7"/>
  <c r="M36" i="7"/>
  <c r="CD38" i="7"/>
  <c r="CY37" i="7"/>
  <c r="AN36" i="7"/>
  <c r="CF37" i="7"/>
  <c r="DA36" i="7"/>
  <c r="CG38" i="7"/>
  <c r="DB37" i="7"/>
  <c r="AO37" i="7"/>
  <c r="CH37" i="7"/>
  <c r="DC36" i="7"/>
  <c r="BN36" i="7"/>
  <c r="D25" i="32"/>
  <c r="N36" i="7"/>
  <c r="D26" i="7"/>
  <c r="BK26" i="7"/>
  <c r="AK27" i="7"/>
  <c r="BW38" i="7"/>
  <c r="CR37" i="7"/>
  <c r="BU39" i="7"/>
  <c r="CP38" i="7"/>
  <c r="DS37" i="7"/>
  <c r="CI38" i="7"/>
  <c r="DD37" i="7"/>
  <c r="N25" i="27"/>
  <c r="Q25" i="27"/>
  <c r="BO34" i="7"/>
  <c r="E6" i="8"/>
  <c r="R5" i="8"/>
  <c r="E5" i="8" s="1"/>
  <c r="E26" i="7"/>
  <c r="BL26" i="7"/>
  <c r="AL27" i="7"/>
  <c r="BJ26" i="7"/>
  <c r="BM26" i="7" s="1"/>
  <c r="B26" i="7" s="1"/>
  <c r="C26" i="7"/>
  <c r="F26" i="7" s="1"/>
  <c r="AJ27" i="7"/>
  <c r="CB38" i="7"/>
  <c r="CW37" i="7"/>
  <c r="BH35" i="7"/>
  <c r="F24" i="32"/>
  <c r="AR35" i="7"/>
  <c r="BI35" i="7" s="1"/>
  <c r="AQ35" i="7"/>
  <c r="AP35" i="7"/>
  <c r="BG35" i="7"/>
  <c r="CM38" i="7"/>
  <c r="DH37" i="7"/>
  <c r="CC39" i="7"/>
  <c r="CX38" i="7"/>
  <c r="BF34" i="7"/>
  <c r="BE34" i="7"/>
  <c r="BD34" i="7"/>
  <c r="G32" i="7"/>
  <c r="H32" i="7"/>
  <c r="CK39" i="7"/>
  <c r="DF38" i="7"/>
  <c r="EM38" i="7"/>
  <c r="DG38" i="7"/>
  <c r="CL39" i="7"/>
  <c r="BX38" i="7"/>
  <c r="CS37" i="7"/>
  <c r="M26" i="27"/>
  <c r="B27" i="27"/>
  <c r="BY39" i="7"/>
  <c r="CT38" i="7"/>
  <c r="G24" i="32"/>
  <c r="P24" i="32" s="1"/>
  <c r="Q24" i="32" s="1"/>
  <c r="BZ38" i="7"/>
  <c r="CU37" i="7"/>
  <c r="EN37" i="7"/>
  <c r="DI34" i="7"/>
  <c r="DI35" i="7" s="1"/>
  <c r="P36" i="7"/>
  <c r="L25" i="32" l="1"/>
  <c r="BP35" i="7"/>
  <c r="M25" i="32"/>
  <c r="K25" i="32"/>
  <c r="P37" i="7"/>
  <c r="BW39" i="7"/>
  <c r="CR38" i="7"/>
  <c r="F25" i="32"/>
  <c r="AR36" i="7"/>
  <c r="BI36" i="7" s="1"/>
  <c r="AQ36" i="7"/>
  <c r="AP36" i="7"/>
  <c r="CH38" i="7"/>
  <c r="DC37" i="7"/>
  <c r="BN37" i="7"/>
  <c r="CD39" i="7"/>
  <c r="CY38" i="7"/>
  <c r="BO35" i="7"/>
  <c r="BQ35" i="7" s="1"/>
  <c r="BG36" i="7"/>
  <c r="BX39" i="7"/>
  <c r="CS38" i="7"/>
  <c r="CC40" i="7"/>
  <c r="CX39" i="7"/>
  <c r="D27" i="7"/>
  <c r="BK27" i="7"/>
  <c r="AK28" i="7"/>
  <c r="G25" i="32"/>
  <c r="P25" i="32" s="1"/>
  <c r="Q25" i="32" s="1"/>
  <c r="CF38" i="7"/>
  <c r="DA37" i="7"/>
  <c r="AN37" i="7"/>
  <c r="E26" i="32"/>
  <c r="AZ36" i="7"/>
  <c r="DO36" i="7" s="1"/>
  <c r="AV36" i="7"/>
  <c r="DK36" i="7" s="1"/>
  <c r="BC36" i="7"/>
  <c r="DR36" i="7" s="1"/>
  <c r="AY36" i="7"/>
  <c r="DN36" i="7" s="1"/>
  <c r="AU36" i="7"/>
  <c r="DJ36" i="7" s="1"/>
  <c r="BB36" i="7"/>
  <c r="DQ36" i="7" s="1"/>
  <c r="AX36" i="7"/>
  <c r="DM36" i="7" s="1"/>
  <c r="AT36" i="7"/>
  <c r="BA36" i="7"/>
  <c r="DP36" i="7" s="1"/>
  <c r="AW36" i="7"/>
  <c r="DL36" i="7" s="1"/>
  <c r="AF36" i="7"/>
  <c r="AI36" i="7" s="1"/>
  <c r="AG36" i="7"/>
  <c r="AH36" i="7"/>
  <c r="BT39" i="7"/>
  <c r="CO38" i="7"/>
  <c r="EO38" i="7"/>
  <c r="BV39" i="7"/>
  <c r="CQ38" i="7"/>
  <c r="EN38" i="7"/>
  <c r="BZ39" i="7"/>
  <c r="CU38" i="7"/>
  <c r="B28" i="27"/>
  <c r="M27" i="27"/>
  <c r="EM39" i="7"/>
  <c r="DG39" i="7"/>
  <c r="CL40" i="7"/>
  <c r="CK40" i="7"/>
  <c r="DF39" i="7"/>
  <c r="CB39" i="7"/>
  <c r="CW38" i="7"/>
  <c r="BL27" i="7"/>
  <c r="E27" i="7"/>
  <c r="AL28" i="7"/>
  <c r="BU40" i="7"/>
  <c r="CP39" i="7"/>
  <c r="BH36" i="7"/>
  <c r="AM37" i="7"/>
  <c r="CE38" i="7"/>
  <c r="CZ37" i="7"/>
  <c r="DI36" i="7"/>
  <c r="D26" i="32"/>
  <c r="N37" i="7"/>
  <c r="BY40" i="7"/>
  <c r="CT39" i="7"/>
  <c r="N26" i="27"/>
  <c r="Q26" i="27" s="1"/>
  <c r="CM39" i="7"/>
  <c r="DH38" i="7"/>
  <c r="C27" i="7"/>
  <c r="F27" i="7" s="1"/>
  <c r="BJ27" i="7"/>
  <c r="BM27" i="7" s="1"/>
  <c r="B27" i="7" s="1"/>
  <c r="AJ28" i="7"/>
  <c r="CI39" i="7"/>
  <c r="DD38" i="7"/>
  <c r="DS38" i="7"/>
  <c r="CG39" i="7"/>
  <c r="DB38" i="7"/>
  <c r="AO38" i="7"/>
  <c r="EC37" i="7"/>
  <c r="DX37" i="7"/>
  <c r="EB37" i="7"/>
  <c r="DW37" i="7"/>
  <c r="EA37" i="7"/>
  <c r="DV37" i="7"/>
  <c r="BS38" i="7"/>
  <c r="EF37" i="7"/>
  <c r="DZ37" i="7"/>
  <c r="CN37" i="7"/>
  <c r="M37" i="7"/>
  <c r="BE35" i="7"/>
  <c r="BD35" i="7"/>
  <c r="BF35" i="7"/>
  <c r="CA39" i="7"/>
  <c r="CV38" i="7"/>
  <c r="H33" i="7"/>
  <c r="G33" i="7"/>
  <c r="CJ39" i="7"/>
  <c r="DE38" i="7"/>
  <c r="BP34" i="7"/>
  <c r="BQ34" i="7" s="1"/>
  <c r="M26" i="32" l="1"/>
  <c r="K26" i="32"/>
  <c r="L26" i="32"/>
  <c r="H34" i="7"/>
  <c r="G34" i="7"/>
  <c r="BP36" i="7"/>
  <c r="CJ40" i="7"/>
  <c r="DE39" i="7"/>
  <c r="CA40" i="7"/>
  <c r="CV39" i="7"/>
  <c r="EB38" i="7"/>
  <c r="DW38" i="7"/>
  <c r="EA38" i="7"/>
  <c r="DV38" i="7"/>
  <c r="BS39" i="7"/>
  <c r="EF38" i="7"/>
  <c r="DZ38" i="7"/>
  <c r="CN38" i="7"/>
  <c r="EC38" i="7"/>
  <c r="DX38" i="7"/>
  <c r="M38" i="7"/>
  <c r="CI40" i="7"/>
  <c r="DD39" i="7"/>
  <c r="DS39" i="7"/>
  <c r="P38" i="7"/>
  <c r="C28" i="7"/>
  <c r="F28" i="7" s="1"/>
  <c r="BJ28" i="7"/>
  <c r="BM28" i="7" s="1"/>
  <c r="B28" i="7" s="1"/>
  <c r="AJ29" i="7"/>
  <c r="CM40" i="7"/>
  <c r="DH39" i="7"/>
  <c r="BY41" i="7"/>
  <c r="CT40" i="7"/>
  <c r="BZ40" i="7"/>
  <c r="CU39" i="7"/>
  <c r="EN39" i="7"/>
  <c r="BD36" i="7"/>
  <c r="BF36" i="7"/>
  <c r="BE36" i="7"/>
  <c r="BX40" i="7"/>
  <c r="CS39" i="7"/>
  <c r="CD40" i="7"/>
  <c r="CY39" i="7"/>
  <c r="BW40" i="7"/>
  <c r="CR39" i="7"/>
  <c r="F26" i="32"/>
  <c r="G26" i="32" s="1"/>
  <c r="P26" i="32" s="1"/>
  <c r="Q26" i="32" s="1"/>
  <c r="AQ37" i="7"/>
  <c r="BH37" i="7" s="1"/>
  <c r="AP37" i="7"/>
  <c r="AR37" i="7"/>
  <c r="BI37" i="7" s="1"/>
  <c r="CE39" i="7"/>
  <c r="CZ38" i="7"/>
  <c r="AM38" i="7"/>
  <c r="CK41" i="7"/>
  <c r="DF40" i="7"/>
  <c r="N27" i="27"/>
  <c r="Q27" i="27"/>
  <c r="D27" i="32"/>
  <c r="N38" i="7"/>
  <c r="E27" i="32"/>
  <c r="BC37" i="7"/>
  <c r="DR37" i="7" s="1"/>
  <c r="AY37" i="7"/>
  <c r="DN37" i="7" s="1"/>
  <c r="AU37" i="7"/>
  <c r="DJ37" i="7" s="1"/>
  <c r="BB37" i="7"/>
  <c r="DQ37" i="7" s="1"/>
  <c r="AX37" i="7"/>
  <c r="DM37" i="7" s="1"/>
  <c r="AT37" i="7"/>
  <c r="BA37" i="7"/>
  <c r="DP37" i="7" s="1"/>
  <c r="AW37" i="7"/>
  <c r="DL37" i="7" s="1"/>
  <c r="AZ37" i="7"/>
  <c r="DO37" i="7" s="1"/>
  <c r="AV37" i="7"/>
  <c r="DK37" i="7" s="1"/>
  <c r="AH37" i="7"/>
  <c r="AG37" i="7"/>
  <c r="AF37" i="7"/>
  <c r="AI37" i="7" s="1"/>
  <c r="B29" i="27"/>
  <c r="M28" i="27"/>
  <c r="BT40" i="7"/>
  <c r="CO39" i="7"/>
  <c r="EO39" i="7"/>
  <c r="BK28" i="7"/>
  <c r="D28" i="7"/>
  <c r="AK29" i="7"/>
  <c r="CC41" i="7"/>
  <c r="CX40" i="7"/>
  <c r="H35" i="7"/>
  <c r="G35" i="7"/>
  <c r="BG37" i="7"/>
  <c r="BU41" i="7"/>
  <c r="CP40" i="7"/>
  <c r="DG40" i="7"/>
  <c r="EM40" i="7"/>
  <c r="CL41" i="7"/>
  <c r="BO36" i="7"/>
  <c r="BQ36" i="7" s="1"/>
  <c r="AO39" i="7"/>
  <c r="CG40" i="7"/>
  <c r="DB39" i="7"/>
  <c r="DI37" i="7"/>
  <c r="BL28" i="7"/>
  <c r="E28" i="7"/>
  <c r="AL29" i="7"/>
  <c r="CB40" i="7"/>
  <c r="CW39" i="7"/>
  <c r="BV40" i="7"/>
  <c r="CQ39" i="7"/>
  <c r="CF39" i="7"/>
  <c r="DA38" i="7"/>
  <c r="AN38" i="7"/>
  <c r="BN38" i="7"/>
  <c r="CH39" i="7"/>
  <c r="DC38" i="7"/>
  <c r="K27" i="32" l="1"/>
  <c r="L27" i="32"/>
  <c r="BP37" i="7"/>
  <c r="M27" i="32"/>
  <c r="BK29" i="7"/>
  <c r="D29" i="7"/>
  <c r="AK30" i="7"/>
  <c r="CE40" i="7"/>
  <c r="CZ39" i="7"/>
  <c r="AM39" i="7"/>
  <c r="BJ29" i="7"/>
  <c r="BM29" i="7" s="1"/>
  <c r="B29" i="7" s="1"/>
  <c r="C29" i="7"/>
  <c r="F29" i="7" s="1"/>
  <c r="AJ30" i="7"/>
  <c r="D28" i="32"/>
  <c r="N39" i="7"/>
  <c r="CI41" i="7"/>
  <c r="DD40" i="7"/>
  <c r="DS40" i="7"/>
  <c r="BO37" i="7"/>
  <c r="BQ37" i="7" s="1"/>
  <c r="CH40" i="7"/>
  <c r="DC39" i="7"/>
  <c r="BN39" i="7"/>
  <c r="CF40" i="7"/>
  <c r="DA39" i="7"/>
  <c r="AN39" i="7"/>
  <c r="CB41" i="7"/>
  <c r="CW40" i="7"/>
  <c r="G36" i="7"/>
  <c r="H36" i="7"/>
  <c r="EO40" i="7"/>
  <c r="BT41" i="7"/>
  <c r="CO40" i="7"/>
  <c r="CK42" i="7"/>
  <c r="DF41" i="7"/>
  <c r="BW41" i="7"/>
  <c r="CR40" i="7"/>
  <c r="BX41" i="7"/>
  <c r="CS40" i="7"/>
  <c r="BY42" i="7"/>
  <c r="CT41" i="7"/>
  <c r="E28" i="32"/>
  <c r="BB38" i="7"/>
  <c r="DQ38" i="7" s="1"/>
  <c r="AX38" i="7"/>
  <c r="DM38" i="7" s="1"/>
  <c r="AT38" i="7"/>
  <c r="BA38" i="7"/>
  <c r="DP38" i="7" s="1"/>
  <c r="AW38" i="7"/>
  <c r="DL38" i="7" s="1"/>
  <c r="AZ38" i="7"/>
  <c r="DO38" i="7" s="1"/>
  <c r="AV38" i="7"/>
  <c r="DK38" i="7" s="1"/>
  <c r="BC38" i="7"/>
  <c r="DR38" i="7" s="1"/>
  <c r="AY38" i="7"/>
  <c r="DN38" i="7" s="1"/>
  <c r="AU38" i="7"/>
  <c r="DJ38" i="7" s="1"/>
  <c r="AF38" i="7"/>
  <c r="AI38" i="7" s="1"/>
  <c r="AH38" i="7"/>
  <c r="AG38" i="7"/>
  <c r="CA41" i="7"/>
  <c r="CV40" i="7"/>
  <c r="P39" i="7"/>
  <c r="E29" i="7"/>
  <c r="BL29" i="7"/>
  <c r="AL30" i="7"/>
  <c r="DG41" i="7"/>
  <c r="EM41" i="7"/>
  <c r="CL42" i="7"/>
  <c r="BU42" i="7"/>
  <c r="CP41" i="7"/>
  <c r="N28" i="27"/>
  <c r="Q28" i="27"/>
  <c r="F27" i="32"/>
  <c r="AP38" i="7"/>
  <c r="BG38" i="7" s="1"/>
  <c r="AR38" i="7"/>
  <c r="BI38" i="7" s="1"/>
  <c r="AQ38" i="7"/>
  <c r="BH38" i="7"/>
  <c r="BV41" i="7"/>
  <c r="CQ40" i="7"/>
  <c r="CG41" i="7"/>
  <c r="DB40" i="7"/>
  <c r="AO40" i="7"/>
  <c r="CC42" i="7"/>
  <c r="CX41" i="7"/>
  <c r="B30" i="27"/>
  <c r="M29" i="27"/>
  <c r="BF37" i="7"/>
  <c r="BE37" i="7"/>
  <c r="BD37" i="7"/>
  <c r="G27" i="32"/>
  <c r="P27" i="32" s="1"/>
  <c r="Q27" i="32" s="1"/>
  <c r="CD41" i="7"/>
  <c r="CY40" i="7"/>
  <c r="BZ41" i="7"/>
  <c r="CU40" i="7"/>
  <c r="EN40" i="7"/>
  <c r="CM41" i="7"/>
  <c r="DH40" i="7"/>
  <c r="EA39" i="7"/>
  <c r="DV39" i="7"/>
  <c r="BS40" i="7"/>
  <c r="EF39" i="7"/>
  <c r="DZ39" i="7"/>
  <c r="CN39" i="7"/>
  <c r="BO38" i="7" s="1"/>
  <c r="EC39" i="7"/>
  <c r="DX39" i="7"/>
  <c r="EB39" i="7"/>
  <c r="DW39" i="7"/>
  <c r="M39" i="7"/>
  <c r="CJ41" i="7"/>
  <c r="DE40" i="7"/>
  <c r="K28" i="32" l="1"/>
  <c r="L28" i="32"/>
  <c r="M28" i="32"/>
  <c r="CJ42" i="7"/>
  <c r="DE41" i="7"/>
  <c r="BZ42" i="7"/>
  <c r="CU41" i="7"/>
  <c r="EN41" i="7"/>
  <c r="M30" i="27"/>
  <c r="B31" i="27"/>
  <c r="E29" i="32"/>
  <c r="BA39" i="7"/>
  <c r="DP39" i="7" s="1"/>
  <c r="AW39" i="7"/>
  <c r="DL39" i="7" s="1"/>
  <c r="AZ39" i="7"/>
  <c r="DO39" i="7" s="1"/>
  <c r="AV39" i="7"/>
  <c r="DK39" i="7" s="1"/>
  <c r="BC39" i="7"/>
  <c r="DR39" i="7" s="1"/>
  <c r="AY39" i="7"/>
  <c r="DN39" i="7" s="1"/>
  <c r="AU39" i="7"/>
  <c r="DJ39" i="7" s="1"/>
  <c r="BB39" i="7"/>
  <c r="DQ39" i="7" s="1"/>
  <c r="AX39" i="7"/>
  <c r="DM39" i="7" s="1"/>
  <c r="AT39" i="7"/>
  <c r="AG39" i="7"/>
  <c r="AF39" i="7"/>
  <c r="AI39" i="7" s="1"/>
  <c r="AH39" i="7"/>
  <c r="BS41" i="7"/>
  <c r="EF40" i="7"/>
  <c r="DZ40" i="7"/>
  <c r="CN40" i="7"/>
  <c r="EC40" i="7"/>
  <c r="DX40" i="7"/>
  <c r="EB40" i="7"/>
  <c r="DW40" i="7"/>
  <c r="EA40" i="7"/>
  <c r="DV40" i="7"/>
  <c r="M40" i="7"/>
  <c r="CM42" i="7"/>
  <c r="DH41" i="7"/>
  <c r="CG42" i="7"/>
  <c r="DB41" i="7"/>
  <c r="AO41" i="7"/>
  <c r="BX42" i="7"/>
  <c r="CS41" i="7"/>
  <c r="CK43" i="7"/>
  <c r="DF42" i="7"/>
  <c r="CB42" i="7"/>
  <c r="CW41" i="7"/>
  <c r="P40" i="7"/>
  <c r="CD42" i="7"/>
  <c r="CY41" i="7"/>
  <c r="CC43" i="7"/>
  <c r="CX42" i="7"/>
  <c r="BF38" i="7"/>
  <c r="BE38" i="7"/>
  <c r="BD38" i="7"/>
  <c r="BJ30" i="7"/>
  <c r="BM30" i="7" s="1"/>
  <c r="B30" i="7" s="1"/>
  <c r="C30" i="7"/>
  <c r="F30" i="7" s="1"/>
  <c r="AJ31" i="7"/>
  <c r="N29" i="27"/>
  <c r="Q29" i="27"/>
  <c r="BV42" i="7"/>
  <c r="CQ41" i="7"/>
  <c r="BU43" i="7"/>
  <c r="CP42" i="7"/>
  <c r="E30" i="7"/>
  <c r="BL30" i="7"/>
  <c r="AL31" i="7"/>
  <c r="CA42" i="7"/>
  <c r="CV41" i="7"/>
  <c r="BY43" i="7"/>
  <c r="CT42" i="7"/>
  <c r="BW42" i="7"/>
  <c r="CR41" i="7"/>
  <c r="EO41" i="7"/>
  <c r="BT42" i="7"/>
  <c r="CO41" i="7"/>
  <c r="DI38" i="7"/>
  <c r="DI39" i="7" s="1"/>
  <c r="CH41" i="7"/>
  <c r="DC40" i="7"/>
  <c r="BN40" i="7"/>
  <c r="DS41" i="7"/>
  <c r="CI42" i="7"/>
  <c r="DD41" i="7"/>
  <c r="CE41" i="7"/>
  <c r="CZ40" i="7"/>
  <c r="AM40" i="7"/>
  <c r="EM42" i="7"/>
  <c r="DG42" i="7"/>
  <c r="CL43" i="7"/>
  <c r="D29" i="32"/>
  <c r="N40" i="7"/>
  <c r="AN40" i="7"/>
  <c r="CF41" i="7"/>
  <c r="DA40" i="7"/>
  <c r="H37" i="7"/>
  <c r="G37" i="7"/>
  <c r="F28" i="32"/>
  <c r="G28" i="32" s="1"/>
  <c r="P28" i="32" s="1"/>
  <c r="Q28" i="32" s="1"/>
  <c r="AR39" i="7"/>
  <c r="BI39" i="7" s="1"/>
  <c r="AQ39" i="7"/>
  <c r="BH39" i="7" s="1"/>
  <c r="AP39" i="7"/>
  <c r="BG39" i="7" s="1"/>
  <c r="D30" i="7"/>
  <c r="BK30" i="7"/>
  <c r="AK31" i="7"/>
  <c r="BP39" i="7" l="1"/>
  <c r="M29" i="32"/>
  <c r="K29" i="32"/>
  <c r="L29" i="32"/>
  <c r="BL31" i="7"/>
  <c r="E31" i="7"/>
  <c r="AL32" i="7"/>
  <c r="AM41" i="7"/>
  <c r="CE42" i="7"/>
  <c r="CZ41" i="7"/>
  <c r="BW43" i="7"/>
  <c r="CR42" i="7"/>
  <c r="CA43" i="7"/>
  <c r="CV42" i="7"/>
  <c r="D30" i="32"/>
  <c r="N41" i="7"/>
  <c r="CB43" i="7"/>
  <c r="CW42" i="7"/>
  <c r="BX43" i="7"/>
  <c r="CS42" i="7"/>
  <c r="EC41" i="7"/>
  <c r="DX41" i="7"/>
  <c r="EB41" i="7"/>
  <c r="DW41" i="7"/>
  <c r="EA41" i="7"/>
  <c r="DV41" i="7"/>
  <c r="BS42" i="7"/>
  <c r="EF41" i="7"/>
  <c r="DZ41" i="7"/>
  <c r="CN41" i="7"/>
  <c r="M41" i="7"/>
  <c r="BE39" i="7"/>
  <c r="BD39" i="7"/>
  <c r="BF39" i="7"/>
  <c r="N30" i="27"/>
  <c r="Q30" i="27" s="1"/>
  <c r="CD43" i="7"/>
  <c r="CY42" i="7"/>
  <c r="CM43" i="7"/>
  <c r="DH42" i="7"/>
  <c r="BO39" i="7"/>
  <c r="BQ39" i="7" s="1"/>
  <c r="CJ43" i="7"/>
  <c r="DE42" i="7"/>
  <c r="BU44" i="7"/>
  <c r="CP43" i="7"/>
  <c r="CI43" i="7"/>
  <c r="DD42" i="7"/>
  <c r="DS42" i="7"/>
  <c r="CH42" i="7"/>
  <c r="DC41" i="7"/>
  <c r="BN41" i="7"/>
  <c r="BY44" i="7"/>
  <c r="CT43" i="7"/>
  <c r="CK44" i="7"/>
  <c r="DF43" i="7"/>
  <c r="E30" i="32"/>
  <c r="AZ40" i="7"/>
  <c r="DO40" i="7" s="1"/>
  <c r="AV40" i="7"/>
  <c r="DK40" i="7" s="1"/>
  <c r="BC40" i="7"/>
  <c r="DR40" i="7" s="1"/>
  <c r="AY40" i="7"/>
  <c r="DN40" i="7" s="1"/>
  <c r="AU40" i="7"/>
  <c r="DJ40" i="7" s="1"/>
  <c r="BB40" i="7"/>
  <c r="DQ40" i="7" s="1"/>
  <c r="AX40" i="7"/>
  <c r="DM40" i="7" s="1"/>
  <c r="AT40" i="7"/>
  <c r="BA40" i="7"/>
  <c r="DP40" i="7" s="1"/>
  <c r="AW40" i="7"/>
  <c r="DL40" i="7" s="1"/>
  <c r="AG40" i="7"/>
  <c r="AH40" i="7"/>
  <c r="AF40" i="7"/>
  <c r="AI40" i="7" s="1"/>
  <c r="BP38" i="7"/>
  <c r="BQ38" i="7" s="1"/>
  <c r="F29" i="32"/>
  <c r="G29" i="32" s="1"/>
  <c r="P29" i="32" s="1"/>
  <c r="Q29" i="32" s="1"/>
  <c r="AR40" i="7"/>
  <c r="BI40" i="7" s="1"/>
  <c r="AQ40" i="7"/>
  <c r="BH40" i="7" s="1"/>
  <c r="AP40" i="7"/>
  <c r="BG40" i="7" s="1"/>
  <c r="BT43" i="7"/>
  <c r="CO42" i="7"/>
  <c r="EO42" i="7"/>
  <c r="D31" i="7"/>
  <c r="BK31" i="7"/>
  <c r="AK32" i="7"/>
  <c r="CF42" i="7"/>
  <c r="DA41" i="7"/>
  <c r="AN41" i="7"/>
  <c r="EM43" i="7"/>
  <c r="DG43" i="7"/>
  <c r="CL44" i="7"/>
  <c r="P41" i="7"/>
  <c r="DI40" i="7"/>
  <c r="BV43" i="7"/>
  <c r="CQ42" i="7"/>
  <c r="C31" i="7"/>
  <c r="F31" i="7" s="1"/>
  <c r="BJ31" i="7"/>
  <c r="BM31" i="7" s="1"/>
  <c r="B31" i="7" s="1"/>
  <c r="AJ32" i="7"/>
  <c r="CC44" i="7"/>
  <c r="CX43" i="7"/>
  <c r="CG43" i="7"/>
  <c r="DB42" i="7"/>
  <c r="AO42" i="7"/>
  <c r="B32" i="27"/>
  <c r="M31" i="27"/>
  <c r="EN42" i="7"/>
  <c r="BZ43" i="7"/>
  <c r="CU42" i="7"/>
  <c r="BP40" i="7" l="1"/>
  <c r="L30" i="32"/>
  <c r="M30" i="32"/>
  <c r="K30" i="32"/>
  <c r="BT44" i="7"/>
  <c r="CO43" i="7"/>
  <c r="EO43" i="7"/>
  <c r="H38" i="7"/>
  <c r="G38" i="7"/>
  <c r="CK45" i="7"/>
  <c r="DF44" i="7"/>
  <c r="CI44" i="7"/>
  <c r="DD43" i="7"/>
  <c r="DS43" i="7"/>
  <c r="BU45" i="7"/>
  <c r="CP44" i="7"/>
  <c r="CD44" i="7"/>
  <c r="CY43" i="7"/>
  <c r="CB44" i="7"/>
  <c r="CW43" i="7"/>
  <c r="CA44" i="7"/>
  <c r="CV43" i="7"/>
  <c r="BL32" i="7"/>
  <c r="E32" i="7"/>
  <c r="AL33" i="7"/>
  <c r="BV44" i="7"/>
  <c r="CQ43" i="7"/>
  <c r="BN42" i="7"/>
  <c r="CH43" i="7"/>
  <c r="DC42" i="7"/>
  <c r="CM44" i="7"/>
  <c r="DH43" i="7"/>
  <c r="F30" i="32"/>
  <c r="AQ41" i="7"/>
  <c r="BH41" i="7" s="1"/>
  <c r="AP41" i="7"/>
  <c r="AR41" i="7"/>
  <c r="BI41" i="7" s="1"/>
  <c r="CE43" i="7"/>
  <c r="CZ42" i="7"/>
  <c r="AM42" i="7"/>
  <c r="BZ44" i="7"/>
  <c r="CU43" i="7"/>
  <c r="EN43" i="7"/>
  <c r="CC45" i="7"/>
  <c r="CX44" i="7"/>
  <c r="C32" i="7"/>
  <c r="F32" i="7" s="1"/>
  <c r="BJ32" i="7"/>
  <c r="BM32" i="7" s="1"/>
  <c r="B32" i="7" s="1"/>
  <c r="AJ33" i="7"/>
  <c r="DG44" i="7"/>
  <c r="EM44" i="7"/>
  <c r="CL45" i="7"/>
  <c r="N31" i="27"/>
  <c r="Q31" i="27" s="1"/>
  <c r="AO43" i="7"/>
  <c r="CG44" i="7"/>
  <c r="DB43" i="7"/>
  <c r="CF43" i="7"/>
  <c r="DA42" i="7"/>
  <c r="AN42" i="7"/>
  <c r="BD40" i="7"/>
  <c r="BF40" i="7"/>
  <c r="BE40" i="7"/>
  <c r="BY45" i="7"/>
  <c r="CT44" i="7"/>
  <c r="P42" i="7"/>
  <c r="CJ44" i="7"/>
  <c r="DE43" i="7"/>
  <c r="E31" i="32"/>
  <c r="BC41" i="7"/>
  <c r="DR41" i="7" s="1"/>
  <c r="AY41" i="7"/>
  <c r="DN41" i="7" s="1"/>
  <c r="AU41" i="7"/>
  <c r="DJ41" i="7" s="1"/>
  <c r="BB41" i="7"/>
  <c r="DQ41" i="7" s="1"/>
  <c r="AX41" i="7"/>
  <c r="DM41" i="7" s="1"/>
  <c r="AT41" i="7"/>
  <c r="DI41" i="7" s="1"/>
  <c r="BA41" i="7"/>
  <c r="DP41" i="7" s="1"/>
  <c r="AW41" i="7"/>
  <c r="DL41" i="7" s="1"/>
  <c r="AZ41" i="7"/>
  <c r="DO41" i="7" s="1"/>
  <c r="AV41" i="7"/>
  <c r="DK41" i="7" s="1"/>
  <c r="AH41" i="7"/>
  <c r="AG41" i="7"/>
  <c r="AF41" i="7"/>
  <c r="AI41" i="7" s="1"/>
  <c r="EB42" i="7"/>
  <c r="DW42" i="7"/>
  <c r="EA42" i="7"/>
  <c r="DV42" i="7"/>
  <c r="BS43" i="7"/>
  <c r="EF42" i="7"/>
  <c r="DZ42" i="7"/>
  <c r="CN42" i="7"/>
  <c r="BO41" i="7" s="1"/>
  <c r="EC42" i="7"/>
  <c r="DX42" i="7"/>
  <c r="M42" i="7"/>
  <c r="BX44" i="7"/>
  <c r="CS43" i="7"/>
  <c r="G30" i="32"/>
  <c r="P30" i="32" s="1"/>
  <c r="Q30" i="32" s="1"/>
  <c r="BW44" i="7"/>
  <c r="CR43" i="7"/>
  <c r="BG41" i="7"/>
  <c r="B33" i="27"/>
  <c r="M33" i="27" s="1"/>
  <c r="M32" i="27"/>
  <c r="D31" i="32"/>
  <c r="N42" i="7"/>
  <c r="BK32" i="7"/>
  <c r="D32" i="7"/>
  <c r="AK33" i="7"/>
  <c r="H39" i="7"/>
  <c r="G39" i="7"/>
  <c r="BO40" i="7"/>
  <c r="BQ40" i="7" s="1"/>
  <c r="K31" i="32" l="1"/>
  <c r="L31" i="32"/>
  <c r="DN42" i="7"/>
  <c r="M31" i="32"/>
  <c r="BP41" i="7"/>
  <c r="BQ41" i="7" s="1"/>
  <c r="CG45" i="7"/>
  <c r="DB44" i="7"/>
  <c r="AO44" i="7"/>
  <c r="DG45" i="7"/>
  <c r="EM45" i="7"/>
  <c r="CL46" i="7"/>
  <c r="CH44" i="7"/>
  <c r="DC43" i="7"/>
  <c r="BN43" i="7"/>
  <c r="P43" i="7"/>
  <c r="CK46" i="7"/>
  <c r="DF45" i="7"/>
  <c r="G40" i="7"/>
  <c r="H40" i="7"/>
  <c r="BW45" i="7"/>
  <c r="CR44" i="7"/>
  <c r="E32" i="32"/>
  <c r="BB42" i="7"/>
  <c r="DQ42" i="7" s="1"/>
  <c r="AX42" i="7"/>
  <c r="DM42" i="7" s="1"/>
  <c r="AT42" i="7"/>
  <c r="DI42" i="7" s="1"/>
  <c r="BA42" i="7"/>
  <c r="DP42" i="7" s="1"/>
  <c r="AW42" i="7"/>
  <c r="DL42" i="7" s="1"/>
  <c r="AZ42" i="7"/>
  <c r="DO42" i="7" s="1"/>
  <c r="AV42" i="7"/>
  <c r="DK42" i="7" s="1"/>
  <c r="BC42" i="7"/>
  <c r="DR42" i="7" s="1"/>
  <c r="AY42" i="7"/>
  <c r="AU42" i="7"/>
  <c r="DJ42" i="7" s="1"/>
  <c r="AH42" i="7"/>
  <c r="AG42" i="7"/>
  <c r="AF42" i="7"/>
  <c r="AI42" i="7" s="1"/>
  <c r="D32" i="32"/>
  <c r="N43" i="7"/>
  <c r="CF44" i="7"/>
  <c r="DA43" i="7"/>
  <c r="AN43" i="7"/>
  <c r="CE44" i="7"/>
  <c r="CZ43" i="7"/>
  <c r="AM43" i="7"/>
  <c r="E33" i="7"/>
  <c r="BL33" i="7"/>
  <c r="AL34" i="7"/>
  <c r="CA45" i="7"/>
  <c r="CV44" i="7"/>
  <c r="CD45" i="7"/>
  <c r="CY44" i="7"/>
  <c r="EO44" i="7"/>
  <c r="BT45" i="7"/>
  <c r="CO44" i="7"/>
  <c r="N32" i="27"/>
  <c r="Q32" i="27" s="1"/>
  <c r="BZ45" i="7"/>
  <c r="CU44" i="7"/>
  <c r="EN44" i="7"/>
  <c r="CM45" i="7"/>
  <c r="DH44" i="7"/>
  <c r="CI45" i="7"/>
  <c r="DD44" i="7"/>
  <c r="DS44" i="7"/>
  <c r="BK33" i="7"/>
  <c r="D33" i="7"/>
  <c r="AK34" i="7"/>
  <c r="BX45" i="7"/>
  <c r="CS44" i="7"/>
  <c r="N33" i="27"/>
  <c r="Q33" i="27"/>
  <c r="F31" i="32"/>
  <c r="G31" i="32" s="1"/>
  <c r="P31" i="32" s="1"/>
  <c r="Q31" i="32" s="1"/>
  <c r="AP42" i="7"/>
  <c r="AR42" i="7"/>
  <c r="BI42" i="7" s="1"/>
  <c r="AQ42" i="7"/>
  <c r="BH42" i="7" s="1"/>
  <c r="EA43" i="7"/>
  <c r="DV43" i="7"/>
  <c r="BS44" i="7"/>
  <c r="EF43" i="7"/>
  <c r="DZ43" i="7"/>
  <c r="CN43" i="7"/>
  <c r="BO42" i="7" s="1"/>
  <c r="EC43" i="7"/>
  <c r="DX43" i="7"/>
  <c r="EB43" i="7"/>
  <c r="DW43" i="7"/>
  <c r="M43" i="7"/>
  <c r="BF41" i="7"/>
  <c r="BE41" i="7"/>
  <c r="BD41" i="7"/>
  <c r="CJ45" i="7"/>
  <c r="DE44" i="7"/>
  <c r="BY46" i="7"/>
  <c r="CT45" i="7"/>
  <c r="BJ33" i="7"/>
  <c r="BM33" i="7" s="1"/>
  <c r="B33" i="7" s="1"/>
  <c r="C33" i="7"/>
  <c r="F33" i="7" s="1"/>
  <c r="AJ34" i="7"/>
  <c r="CC46" i="7"/>
  <c r="CX45" i="7"/>
  <c r="BG42" i="7"/>
  <c r="BV45" i="7"/>
  <c r="CQ44" i="7"/>
  <c r="CB45" i="7"/>
  <c r="CW44" i="7"/>
  <c r="BU46" i="7"/>
  <c r="CP45" i="7"/>
  <c r="BP42" i="7" l="1"/>
  <c r="BQ42" i="7" s="1"/>
  <c r="M32" i="32"/>
  <c r="DQ43" i="7"/>
  <c r="K32" i="32"/>
  <c r="DK43" i="7"/>
  <c r="H41" i="7"/>
  <c r="G41" i="7"/>
  <c r="BY47" i="7"/>
  <c r="CT46" i="7"/>
  <c r="D34" i="7"/>
  <c r="BK34" i="7"/>
  <c r="AK35" i="7"/>
  <c r="L32" i="32"/>
  <c r="CB46" i="7"/>
  <c r="CW45" i="7"/>
  <c r="DS45" i="7"/>
  <c r="CI46" i="7"/>
  <c r="DD45" i="7"/>
  <c r="CK47" i="7"/>
  <c r="DF46" i="7"/>
  <c r="E34" i="7"/>
  <c r="BL34" i="7"/>
  <c r="AL35" i="7"/>
  <c r="BW46" i="7"/>
  <c r="CR45" i="7"/>
  <c r="CG46" i="7"/>
  <c r="DB45" i="7"/>
  <c r="AO45" i="7"/>
  <c r="CD46" i="7"/>
  <c r="CY45" i="7"/>
  <c r="CC47" i="7"/>
  <c r="CX46" i="7"/>
  <c r="CJ46" i="7"/>
  <c r="DE45" i="7"/>
  <c r="E33" i="32"/>
  <c r="BA43" i="7"/>
  <c r="DP43" i="7" s="1"/>
  <c r="AW43" i="7"/>
  <c r="DL43" i="7" s="1"/>
  <c r="AZ43" i="7"/>
  <c r="DO43" i="7" s="1"/>
  <c r="AV43" i="7"/>
  <c r="BC43" i="7"/>
  <c r="DR43" i="7" s="1"/>
  <c r="AY43" i="7"/>
  <c r="DN43" i="7" s="1"/>
  <c r="AU43" i="7"/>
  <c r="DJ43" i="7" s="1"/>
  <c r="BB43" i="7"/>
  <c r="AX43" i="7"/>
  <c r="DM43" i="7" s="1"/>
  <c r="AT43" i="7"/>
  <c r="AH43" i="7"/>
  <c r="AF43" i="7"/>
  <c r="AI43" i="7" s="1"/>
  <c r="AG43" i="7"/>
  <c r="BS45" i="7"/>
  <c r="EF44" i="7"/>
  <c r="DZ44" i="7"/>
  <c r="CN44" i="7"/>
  <c r="EC44" i="7"/>
  <c r="DX44" i="7"/>
  <c r="EB44" i="7"/>
  <c r="DW44" i="7"/>
  <c r="EA44" i="7"/>
  <c r="DV44" i="7"/>
  <c r="M44" i="7"/>
  <c r="BZ46" i="7"/>
  <c r="CU45" i="7"/>
  <c r="EN45" i="7"/>
  <c r="EO45" i="7"/>
  <c r="BT46" i="7"/>
  <c r="CO45" i="7"/>
  <c r="CE45" i="7"/>
  <c r="CZ44" i="7"/>
  <c r="AM44" i="7"/>
  <c r="AN44" i="7"/>
  <c r="CF45" i="7"/>
  <c r="DA44" i="7"/>
  <c r="CH45" i="7"/>
  <c r="DC44" i="7"/>
  <c r="BN44" i="7"/>
  <c r="BU47" i="7"/>
  <c r="CP46" i="7"/>
  <c r="BV46" i="7"/>
  <c r="CQ45" i="7"/>
  <c r="BJ34" i="7"/>
  <c r="BM34" i="7" s="1"/>
  <c r="B34" i="7" s="1"/>
  <c r="C34" i="7"/>
  <c r="F34" i="7" s="1"/>
  <c r="AJ35" i="7"/>
  <c r="BX46" i="7"/>
  <c r="CS45" i="7"/>
  <c r="P44" i="7"/>
  <c r="CM46" i="7"/>
  <c r="DH45" i="7"/>
  <c r="CA46" i="7"/>
  <c r="CV45" i="7"/>
  <c r="F32" i="32"/>
  <c r="G32" i="32" s="1"/>
  <c r="P32" i="32" s="1"/>
  <c r="Q32" i="32" s="1"/>
  <c r="AR43" i="7"/>
  <c r="BI43" i="7" s="1"/>
  <c r="AQ43" i="7"/>
  <c r="BH43" i="7" s="1"/>
  <c r="AP43" i="7"/>
  <c r="BG43" i="7" s="1"/>
  <c r="BF42" i="7"/>
  <c r="BE42" i="7"/>
  <c r="BD42" i="7"/>
  <c r="D33" i="32"/>
  <c r="N44" i="7"/>
  <c r="EM46" i="7"/>
  <c r="DG46" i="7"/>
  <c r="CL47" i="7"/>
  <c r="DP44" i="7" l="1"/>
  <c r="L33" i="32"/>
  <c r="H42" i="7"/>
  <c r="G42" i="7"/>
  <c r="CI47" i="7"/>
  <c r="DD46" i="7"/>
  <c r="DS46" i="7"/>
  <c r="BY48" i="7"/>
  <c r="CT47" i="7"/>
  <c r="F33" i="32"/>
  <c r="AR44" i="7"/>
  <c r="BI44" i="7" s="1"/>
  <c r="AQ44" i="7"/>
  <c r="BH44" i="7" s="1"/>
  <c r="AP44" i="7"/>
  <c r="D34" i="32"/>
  <c r="N45" i="7"/>
  <c r="C35" i="7"/>
  <c r="F35" i="7" s="1"/>
  <c r="BJ35" i="7"/>
  <c r="BM35" i="7" s="1"/>
  <c r="B35" i="7" s="1"/>
  <c r="AJ36" i="7"/>
  <c r="BV47" i="7"/>
  <c r="CQ46" i="7"/>
  <c r="CH46" i="7"/>
  <c r="DC45" i="7"/>
  <c r="BN45" i="7"/>
  <c r="BG44" i="7"/>
  <c r="BT47" i="7"/>
  <c r="CO46" i="7"/>
  <c r="EO46" i="7"/>
  <c r="EN46" i="7"/>
  <c r="BZ47" i="7"/>
  <c r="CU46" i="7"/>
  <c r="BO43" i="7"/>
  <c r="BW47" i="7"/>
  <c r="CR46" i="7"/>
  <c r="P45" i="7"/>
  <c r="BX47" i="7"/>
  <c r="CS46" i="7"/>
  <c r="EC45" i="7"/>
  <c r="DX45" i="7"/>
  <c r="EB45" i="7"/>
  <c r="DW45" i="7"/>
  <c r="EA45" i="7"/>
  <c r="DV45" i="7"/>
  <c r="BS46" i="7"/>
  <c r="EF45" i="7"/>
  <c r="DZ45" i="7"/>
  <c r="CN45" i="7"/>
  <c r="M45" i="7"/>
  <c r="CD47" i="7"/>
  <c r="CY46" i="7"/>
  <c r="M33" i="32"/>
  <c r="DQ44" i="7"/>
  <c r="CA47" i="7"/>
  <c r="CV46" i="7"/>
  <c r="E34" i="32"/>
  <c r="AZ44" i="7"/>
  <c r="DO44" i="7" s="1"/>
  <c r="AV44" i="7"/>
  <c r="BC44" i="7"/>
  <c r="DR44" i="7" s="1"/>
  <c r="AY44" i="7"/>
  <c r="DN44" i="7" s="1"/>
  <c r="AU44" i="7"/>
  <c r="DJ44" i="7" s="1"/>
  <c r="BB44" i="7"/>
  <c r="AX44" i="7"/>
  <c r="DM44" i="7" s="1"/>
  <c r="AT44" i="7"/>
  <c r="BA44" i="7"/>
  <c r="AW44" i="7"/>
  <c r="DL44" i="7" s="1"/>
  <c r="AG44" i="7"/>
  <c r="AF44" i="7"/>
  <c r="AI44" i="7" s="1"/>
  <c r="AH44" i="7"/>
  <c r="CC48" i="7"/>
  <c r="CX47" i="7"/>
  <c r="BL35" i="7"/>
  <c r="E35" i="7"/>
  <c r="AL36" i="7"/>
  <c r="CK48" i="7"/>
  <c r="DF47" i="7"/>
  <c r="CM47" i="7"/>
  <c r="DH46" i="7"/>
  <c r="BE43" i="7"/>
  <c r="BD43" i="7"/>
  <c r="BF43" i="7"/>
  <c r="CJ47" i="7"/>
  <c r="DE46" i="7"/>
  <c r="D35" i="7"/>
  <c r="BK35" i="7"/>
  <c r="AK36" i="7"/>
  <c r="K33" i="32"/>
  <c r="G33" i="32" s="1"/>
  <c r="P33" i="32" s="1"/>
  <c r="Q33" i="32" s="1"/>
  <c r="DK44" i="7"/>
  <c r="EM47" i="7"/>
  <c r="DG47" i="7"/>
  <c r="CL48" i="7"/>
  <c r="BU48" i="7"/>
  <c r="CP47" i="7"/>
  <c r="CF46" i="7"/>
  <c r="DA45" i="7"/>
  <c r="AN45" i="7"/>
  <c r="AM45" i="7"/>
  <c r="CE46" i="7"/>
  <c r="CZ45" i="7"/>
  <c r="CG47" i="7"/>
  <c r="DB46" i="7"/>
  <c r="AO46" i="7"/>
  <c r="CB47" i="7"/>
  <c r="CW46" i="7"/>
  <c r="DI43" i="7"/>
  <c r="L34" i="32" l="1"/>
  <c r="DR45" i="7"/>
  <c r="BD44" i="7"/>
  <c r="BF44" i="7"/>
  <c r="BE44" i="7"/>
  <c r="E35" i="32"/>
  <c r="BC45" i="7"/>
  <c r="AY45" i="7"/>
  <c r="DN45" i="7" s="1"/>
  <c r="AU45" i="7"/>
  <c r="DJ45" i="7" s="1"/>
  <c r="BB45" i="7"/>
  <c r="DQ45" i="7" s="1"/>
  <c r="AX45" i="7"/>
  <c r="DM45" i="7" s="1"/>
  <c r="AT45" i="7"/>
  <c r="BA45" i="7"/>
  <c r="AW45" i="7"/>
  <c r="DL45" i="7" s="1"/>
  <c r="AZ45" i="7"/>
  <c r="DO45" i="7" s="1"/>
  <c r="AV45" i="7"/>
  <c r="AG45" i="7"/>
  <c r="AF45" i="7"/>
  <c r="AI45" i="7" s="1"/>
  <c r="AH45" i="7"/>
  <c r="EB46" i="7"/>
  <c r="DW46" i="7"/>
  <c r="EA46" i="7"/>
  <c r="DV46" i="7"/>
  <c r="BS47" i="7"/>
  <c r="EF46" i="7"/>
  <c r="DZ46" i="7"/>
  <c r="CN46" i="7"/>
  <c r="EC46" i="7"/>
  <c r="DX46" i="7"/>
  <c r="M46" i="7"/>
  <c r="C36" i="7"/>
  <c r="F36" i="7" s="1"/>
  <c r="BJ36" i="7"/>
  <c r="BM36" i="7" s="1"/>
  <c r="B36" i="7" s="1"/>
  <c r="AJ37" i="7"/>
  <c r="DP45" i="7"/>
  <c r="CE47" i="7"/>
  <c r="CZ46" i="7"/>
  <c r="AM46" i="7"/>
  <c r="CF47" i="7"/>
  <c r="DA46" i="7"/>
  <c r="AN46" i="7"/>
  <c r="DG48" i="7"/>
  <c r="EM48" i="7"/>
  <c r="CL49" i="7"/>
  <c r="CK49" i="7"/>
  <c r="DF48" i="7"/>
  <c r="BO44" i="7"/>
  <c r="BX48" i="7"/>
  <c r="CS47" i="7"/>
  <c r="BW48" i="7"/>
  <c r="CR47" i="7"/>
  <c r="BZ48" i="7"/>
  <c r="CU47" i="7"/>
  <c r="EN47" i="7"/>
  <c r="BT48" i="7"/>
  <c r="CO47" i="7"/>
  <c r="EO47" i="7"/>
  <c r="BN46" i="7"/>
  <c r="CH47" i="7"/>
  <c r="DC46" i="7"/>
  <c r="BY49" i="7"/>
  <c r="CT48" i="7"/>
  <c r="K34" i="32"/>
  <c r="DK45" i="7"/>
  <c r="CI48" i="7"/>
  <c r="DD47" i="7"/>
  <c r="DS47" i="7"/>
  <c r="DI44" i="7"/>
  <c r="DI45" i="7" s="1"/>
  <c r="BG45" i="7"/>
  <c r="BK36" i="7"/>
  <c r="D36" i="7"/>
  <c r="AK37" i="7"/>
  <c r="CJ48" i="7"/>
  <c r="DE47" i="7"/>
  <c r="BL36" i="7"/>
  <c r="E36" i="7"/>
  <c r="AL37" i="7"/>
  <c r="CC49" i="7"/>
  <c r="CX48" i="7"/>
  <c r="CA48" i="7"/>
  <c r="CV47" i="7"/>
  <c r="D35" i="32"/>
  <c r="N46" i="7"/>
  <c r="P46" i="7"/>
  <c r="BP43" i="7"/>
  <c r="CB48" i="7"/>
  <c r="CW47" i="7"/>
  <c r="BU49" i="7"/>
  <c r="CP48" i="7"/>
  <c r="M34" i="32"/>
  <c r="AO47" i="7"/>
  <c r="CG48" i="7"/>
  <c r="DB47" i="7"/>
  <c r="BH45" i="7"/>
  <c r="CM48" i="7"/>
  <c r="DH47" i="7"/>
  <c r="CD48" i="7"/>
  <c r="CY47" i="7"/>
  <c r="BQ43" i="7"/>
  <c r="BV48" i="7"/>
  <c r="CQ47" i="7"/>
  <c r="F34" i="32"/>
  <c r="G34" i="32" s="1"/>
  <c r="P34" i="32" s="1"/>
  <c r="Q34" i="32" s="1"/>
  <c r="AQ45" i="7"/>
  <c r="AP45" i="7"/>
  <c r="AR45" i="7"/>
  <c r="BI45" i="7" s="1"/>
  <c r="BP45" i="7" l="1"/>
  <c r="L35" i="32"/>
  <c r="DN46" i="7"/>
  <c r="M35" i="32"/>
  <c r="DQ46" i="7"/>
  <c r="CM49" i="7"/>
  <c r="DH48" i="7"/>
  <c r="BU50" i="7"/>
  <c r="CP49" i="7"/>
  <c r="CJ49" i="7"/>
  <c r="DE48" i="7"/>
  <c r="BW49" i="7"/>
  <c r="CR48" i="7"/>
  <c r="D36" i="32"/>
  <c r="N47" i="7"/>
  <c r="CA49" i="7"/>
  <c r="CV48" i="7"/>
  <c r="BK37" i="7"/>
  <c r="D37" i="7"/>
  <c r="AK38" i="7"/>
  <c r="BY50" i="7"/>
  <c r="CT49" i="7"/>
  <c r="CK50" i="7"/>
  <c r="DF49" i="7"/>
  <c r="BH46" i="7"/>
  <c r="BJ37" i="7"/>
  <c r="BM37" i="7" s="1"/>
  <c r="B37" i="7" s="1"/>
  <c r="C37" i="7"/>
  <c r="F37" i="7" s="1"/>
  <c r="AJ38" i="7"/>
  <c r="E37" i="7"/>
  <c r="BL37" i="7"/>
  <c r="AL38" i="7"/>
  <c r="CI49" i="7"/>
  <c r="DD48" i="7"/>
  <c r="DS48" i="7"/>
  <c r="E36" i="32"/>
  <c r="BB46" i="7"/>
  <c r="AX46" i="7"/>
  <c r="DM46" i="7" s="1"/>
  <c r="AT46" i="7"/>
  <c r="DI46" i="7" s="1"/>
  <c r="BA46" i="7"/>
  <c r="DP46" i="7" s="1"/>
  <c r="AW46" i="7"/>
  <c r="DL46" i="7" s="1"/>
  <c r="AZ46" i="7"/>
  <c r="DO46" i="7" s="1"/>
  <c r="AV46" i="7"/>
  <c r="BC46" i="7"/>
  <c r="AY46" i="7"/>
  <c r="AU46" i="7"/>
  <c r="DJ46" i="7" s="1"/>
  <c r="AF46" i="7"/>
  <c r="AI46" i="7" s="1"/>
  <c r="AG46" i="7"/>
  <c r="AH46" i="7"/>
  <c r="BV49" i="7"/>
  <c r="CQ48" i="7"/>
  <c r="CB49" i="7"/>
  <c r="CW48" i="7"/>
  <c r="F35" i="32"/>
  <c r="G35" i="32" s="1"/>
  <c r="P35" i="32" s="1"/>
  <c r="Q35" i="32" s="1"/>
  <c r="AP46" i="7"/>
  <c r="AR46" i="7"/>
  <c r="BI46" i="7" s="1"/>
  <c r="AQ46" i="7"/>
  <c r="P47" i="7"/>
  <c r="K35" i="32"/>
  <c r="DK46" i="7"/>
  <c r="BZ49" i="7"/>
  <c r="CU48" i="7"/>
  <c r="EN48" i="7"/>
  <c r="BX49" i="7"/>
  <c r="CS48" i="7"/>
  <c r="DG49" i="7"/>
  <c r="EM49" i="7"/>
  <c r="CL50" i="7"/>
  <c r="CE48" i="7"/>
  <c r="CZ47" i="7"/>
  <c r="AM47" i="7"/>
  <c r="EA47" i="7"/>
  <c r="DV47" i="7"/>
  <c r="BS48" i="7"/>
  <c r="EF47" i="7"/>
  <c r="DZ47" i="7"/>
  <c r="CN47" i="7"/>
  <c r="EC47" i="7"/>
  <c r="DX47" i="7"/>
  <c r="EB47" i="7"/>
  <c r="DW47" i="7"/>
  <c r="M47" i="7"/>
  <c r="BF45" i="7"/>
  <c r="BE45" i="7"/>
  <c r="BD45" i="7"/>
  <c r="BP44" i="7"/>
  <c r="H43" i="7"/>
  <c r="G43" i="7"/>
  <c r="BG46" i="7"/>
  <c r="DR46" i="7"/>
  <c r="CD49" i="7"/>
  <c r="CY48" i="7"/>
  <c r="CG49" i="7"/>
  <c r="DB48" i="7"/>
  <c r="AO48" i="7"/>
  <c r="CC50" i="7"/>
  <c r="CX49" i="7"/>
  <c r="CH48" i="7"/>
  <c r="DC47" i="7"/>
  <c r="BN47" i="7"/>
  <c r="EO48" i="7"/>
  <c r="BT49" i="7"/>
  <c r="CO48" i="7"/>
  <c r="BQ44" i="7"/>
  <c r="CF48" i="7"/>
  <c r="DA47" i="7"/>
  <c r="AN47" i="7"/>
  <c r="BO45" i="7"/>
  <c r="BQ45" i="7" s="1"/>
  <c r="DJ47" i="7" l="1"/>
  <c r="BP46" i="7"/>
  <c r="BW50" i="7"/>
  <c r="CR49" i="7"/>
  <c r="M36" i="32"/>
  <c r="BO46" i="7"/>
  <c r="BQ46" i="7" s="1"/>
  <c r="DS49" i="7"/>
  <c r="CI50" i="7"/>
  <c r="DD49" i="7"/>
  <c r="BY51" i="7"/>
  <c r="CT50" i="7"/>
  <c r="H45" i="7"/>
  <c r="G45" i="7"/>
  <c r="G44" i="7"/>
  <c r="H44" i="7"/>
  <c r="E37" i="32"/>
  <c r="BA47" i="7"/>
  <c r="DP47" i="7" s="1"/>
  <c r="AW47" i="7"/>
  <c r="DL47" i="7" s="1"/>
  <c r="AZ47" i="7"/>
  <c r="DO47" i="7" s="1"/>
  <c r="AV47" i="7"/>
  <c r="DK47" i="7" s="1"/>
  <c r="BC47" i="7"/>
  <c r="DR47" i="7" s="1"/>
  <c r="AY47" i="7"/>
  <c r="AU47" i="7"/>
  <c r="BB47" i="7"/>
  <c r="DQ47" i="7" s="1"/>
  <c r="AX47" i="7"/>
  <c r="DM47" i="7" s="1"/>
  <c r="AT47" i="7"/>
  <c r="DI47" i="7" s="1"/>
  <c r="AG47" i="7"/>
  <c r="AH47" i="7"/>
  <c r="AF47" i="7"/>
  <c r="AI47" i="7" s="1"/>
  <c r="BS49" i="7"/>
  <c r="EF48" i="7"/>
  <c r="DZ48" i="7"/>
  <c r="CN48" i="7"/>
  <c r="EC48" i="7"/>
  <c r="DX48" i="7"/>
  <c r="EB48" i="7"/>
  <c r="DW48" i="7"/>
  <c r="EA48" i="7"/>
  <c r="DV48" i="7"/>
  <c r="M48" i="7"/>
  <c r="F36" i="32"/>
  <c r="G36" i="32" s="1"/>
  <c r="P36" i="32" s="1"/>
  <c r="Q36" i="32" s="1"/>
  <c r="AR47" i="7"/>
  <c r="BI47" i="7" s="1"/>
  <c r="AQ47" i="7"/>
  <c r="BH47" i="7" s="1"/>
  <c r="AP47" i="7"/>
  <c r="BU51" i="7"/>
  <c r="CP50" i="7"/>
  <c r="L36" i="32"/>
  <c r="DN47" i="7"/>
  <c r="BZ50" i="7"/>
  <c r="CU49" i="7"/>
  <c r="EN49" i="7"/>
  <c r="EO49" i="7"/>
  <c r="BT50" i="7"/>
  <c r="CO49" i="7"/>
  <c r="CH49" i="7"/>
  <c r="DC48" i="7"/>
  <c r="BN48" i="7"/>
  <c r="CD50" i="7"/>
  <c r="CY49" i="7"/>
  <c r="EM50" i="7"/>
  <c r="DG50" i="7"/>
  <c r="CL51" i="7"/>
  <c r="BX50" i="7"/>
  <c r="CS49" i="7"/>
  <c r="K36" i="32"/>
  <c r="CB50" i="7"/>
  <c r="CW49" i="7"/>
  <c r="E38" i="7"/>
  <c r="BL38" i="7"/>
  <c r="AL39" i="7"/>
  <c r="BJ38" i="7"/>
  <c r="BM38" i="7" s="1"/>
  <c r="B38" i="7" s="1"/>
  <c r="C38" i="7"/>
  <c r="F38" i="7" s="1"/>
  <c r="AJ39" i="7"/>
  <c r="CJ50" i="7"/>
  <c r="DE49" i="7"/>
  <c r="CM50" i="7"/>
  <c r="DH49" i="7"/>
  <c r="CC51" i="7"/>
  <c r="CX50" i="7"/>
  <c r="CG50" i="7"/>
  <c r="DB49" i="7"/>
  <c r="AO49" i="7"/>
  <c r="BV50" i="7"/>
  <c r="CQ49" i="7"/>
  <c r="CE49" i="7"/>
  <c r="CZ48" i="7"/>
  <c r="AM48" i="7"/>
  <c r="D37" i="32"/>
  <c r="N48" i="7"/>
  <c r="AN48" i="7"/>
  <c r="CF49" i="7"/>
  <c r="DA48" i="7"/>
  <c r="BG47" i="7"/>
  <c r="BF46" i="7"/>
  <c r="BE46" i="7"/>
  <c r="BD46" i="7"/>
  <c r="P48" i="7"/>
  <c r="CK51" i="7"/>
  <c r="DF50" i="7"/>
  <c r="D38" i="7"/>
  <c r="BK38" i="7"/>
  <c r="AK39" i="7"/>
  <c r="CA50" i="7"/>
  <c r="CV49" i="7"/>
  <c r="M37" i="32" l="1"/>
  <c r="K37" i="32"/>
  <c r="BP47" i="7"/>
  <c r="EN50" i="7"/>
  <c r="BZ51" i="7"/>
  <c r="CU50" i="7"/>
  <c r="BY52" i="7"/>
  <c r="CT51" i="7"/>
  <c r="BW51" i="7"/>
  <c r="CR50" i="7"/>
  <c r="CJ51" i="7"/>
  <c r="DE50" i="7"/>
  <c r="CB51" i="7"/>
  <c r="CW50" i="7"/>
  <c r="E38" i="32"/>
  <c r="AZ48" i="7"/>
  <c r="DO48" i="7" s="1"/>
  <c r="AV48" i="7"/>
  <c r="DK48" i="7" s="1"/>
  <c r="BC48" i="7"/>
  <c r="DR48" i="7" s="1"/>
  <c r="AY48" i="7"/>
  <c r="AU48" i="7"/>
  <c r="BB48" i="7"/>
  <c r="DQ48" i="7" s="1"/>
  <c r="AX48" i="7"/>
  <c r="DM48" i="7" s="1"/>
  <c r="AT48" i="7"/>
  <c r="BA48" i="7"/>
  <c r="DP48" i="7" s="1"/>
  <c r="AW48" i="7"/>
  <c r="DL48" i="7" s="1"/>
  <c r="AG48" i="7"/>
  <c r="AF48" i="7"/>
  <c r="AI48" i="7" s="1"/>
  <c r="AH48" i="7"/>
  <c r="CC52" i="7"/>
  <c r="CX51" i="7"/>
  <c r="BT51" i="7"/>
  <c r="CO50" i="7"/>
  <c r="EO50" i="7"/>
  <c r="DJ48" i="7"/>
  <c r="CA51" i="7"/>
  <c r="CV50" i="7"/>
  <c r="F37" i="32"/>
  <c r="AR48" i="7"/>
  <c r="BI48" i="7" s="1"/>
  <c r="AQ48" i="7"/>
  <c r="AP48" i="7"/>
  <c r="AM49" i="7"/>
  <c r="CE50" i="7"/>
  <c r="CZ49" i="7"/>
  <c r="BL39" i="7"/>
  <c r="E39" i="7"/>
  <c r="AL40" i="7"/>
  <c r="BX51" i="7"/>
  <c r="CS50" i="7"/>
  <c r="BU52" i="7"/>
  <c r="CP51" i="7"/>
  <c r="D39" i="7"/>
  <c r="BK39" i="7"/>
  <c r="AK40" i="7"/>
  <c r="CK52" i="7"/>
  <c r="DF51" i="7"/>
  <c r="CG51" i="7"/>
  <c r="DB50" i="7"/>
  <c r="AO50" i="7"/>
  <c r="C39" i="7"/>
  <c r="F39" i="7" s="1"/>
  <c r="BJ39" i="7"/>
  <c r="BM39" i="7" s="1"/>
  <c r="B39" i="7" s="1"/>
  <c r="AJ40" i="7"/>
  <c r="EM51" i="7"/>
  <c r="DG51" i="7"/>
  <c r="CL52" i="7"/>
  <c r="CD51" i="7"/>
  <c r="CY50" i="7"/>
  <c r="CH50" i="7"/>
  <c r="DC49" i="7"/>
  <c r="BN49" i="7"/>
  <c r="L37" i="32"/>
  <c r="G37" i="32" s="1"/>
  <c r="P37" i="32" s="1"/>
  <c r="Q37" i="32" s="1"/>
  <c r="DN48" i="7"/>
  <c r="CI51" i="7"/>
  <c r="DD50" i="7"/>
  <c r="DS50" i="7"/>
  <c r="BH48" i="7"/>
  <c r="BO47" i="7"/>
  <c r="BQ47" i="7" s="1"/>
  <c r="H46" i="7"/>
  <c r="G46" i="7"/>
  <c r="D38" i="32"/>
  <c r="N49" i="7"/>
  <c r="CF50" i="7"/>
  <c r="DA49" i="7"/>
  <c r="AN49" i="7"/>
  <c r="BG48" i="7"/>
  <c r="BV51" i="7"/>
  <c r="CQ50" i="7"/>
  <c r="CM51" i="7"/>
  <c r="DH50" i="7"/>
  <c r="EC49" i="7"/>
  <c r="DX49" i="7"/>
  <c r="EB49" i="7"/>
  <c r="DW49" i="7"/>
  <c r="EA49" i="7"/>
  <c r="DV49" i="7"/>
  <c r="BS50" i="7"/>
  <c r="EF49" i="7"/>
  <c r="DZ49" i="7"/>
  <c r="CN49" i="7"/>
  <c r="BO48" i="7" s="1"/>
  <c r="M49" i="7"/>
  <c r="BE47" i="7"/>
  <c r="BD47" i="7"/>
  <c r="BF47" i="7"/>
  <c r="P49" i="7"/>
  <c r="M38" i="32" l="1"/>
  <c r="K38" i="32"/>
  <c r="L38" i="32"/>
  <c r="BN50" i="7"/>
  <c r="CH51" i="7"/>
  <c r="DC50" i="7"/>
  <c r="CA52" i="7"/>
  <c r="CV51" i="7"/>
  <c r="BT52" i="7"/>
  <c r="CO51" i="7"/>
  <c r="EO51" i="7"/>
  <c r="BD48" i="7"/>
  <c r="BF48" i="7"/>
  <c r="BE48" i="7"/>
  <c r="CJ52" i="7"/>
  <c r="DE51" i="7"/>
  <c r="BY53" i="7"/>
  <c r="CT52" i="7"/>
  <c r="E39" i="32"/>
  <c r="BC49" i="7"/>
  <c r="DR49" i="7" s="1"/>
  <c r="AY49" i="7"/>
  <c r="DN49" i="7" s="1"/>
  <c r="AU49" i="7"/>
  <c r="BB49" i="7"/>
  <c r="DQ49" i="7" s="1"/>
  <c r="AX49" i="7"/>
  <c r="DM49" i="7" s="1"/>
  <c r="AT49" i="7"/>
  <c r="BA49" i="7"/>
  <c r="DP49" i="7" s="1"/>
  <c r="AW49" i="7"/>
  <c r="DL49" i="7" s="1"/>
  <c r="AZ49" i="7"/>
  <c r="DO49" i="7" s="1"/>
  <c r="AV49" i="7"/>
  <c r="DK49" i="7" s="1"/>
  <c r="AG49" i="7"/>
  <c r="AH49" i="7"/>
  <c r="AF49" i="7"/>
  <c r="AI49" i="7" s="1"/>
  <c r="EB50" i="7"/>
  <c r="DW50" i="7"/>
  <c r="EA50" i="7"/>
  <c r="DV50" i="7"/>
  <c r="BS51" i="7"/>
  <c r="EF50" i="7"/>
  <c r="DZ50" i="7"/>
  <c r="CN50" i="7"/>
  <c r="EC50" i="7"/>
  <c r="DX50" i="7"/>
  <c r="M50" i="7"/>
  <c r="BV52" i="7"/>
  <c r="CQ51" i="7"/>
  <c r="CF51" i="7"/>
  <c r="DA50" i="7"/>
  <c r="AN50" i="7"/>
  <c r="P50" i="7"/>
  <c r="BX52" i="7"/>
  <c r="CS51" i="7"/>
  <c r="DJ49" i="7"/>
  <c r="D39" i="32"/>
  <c r="N50" i="7"/>
  <c r="F38" i="32"/>
  <c r="AQ49" i="7"/>
  <c r="AP49" i="7"/>
  <c r="AR49" i="7"/>
  <c r="BI49" i="7" s="1"/>
  <c r="H47" i="7"/>
  <c r="G47" i="7"/>
  <c r="CD52" i="7"/>
  <c r="CY51" i="7"/>
  <c r="C40" i="7"/>
  <c r="F40" i="7" s="1"/>
  <c r="BJ40" i="7"/>
  <c r="BM40" i="7" s="1"/>
  <c r="B40" i="7" s="1"/>
  <c r="AJ41" i="7"/>
  <c r="CK53" i="7"/>
  <c r="DF52" i="7"/>
  <c r="BL40" i="7"/>
  <c r="E40" i="7"/>
  <c r="AL41" i="7"/>
  <c r="CE51" i="7"/>
  <c r="CZ50" i="7"/>
  <c r="AM50" i="7"/>
  <c r="CC53" i="7"/>
  <c r="CX52" i="7"/>
  <c r="CB52" i="7"/>
  <c r="CW51" i="7"/>
  <c r="BW52" i="7"/>
  <c r="CR51" i="7"/>
  <c r="BZ52" i="7"/>
  <c r="CU51" i="7"/>
  <c r="EN51" i="7"/>
  <c r="DI48" i="7"/>
  <c r="DI49" i="7" s="1"/>
  <c r="CM52" i="7"/>
  <c r="DH51" i="7"/>
  <c r="BH49" i="7"/>
  <c r="G38" i="32"/>
  <c r="P38" i="32" s="1"/>
  <c r="Q38" i="32" s="1"/>
  <c r="CI52" i="7"/>
  <c r="DD51" i="7"/>
  <c r="DS51" i="7"/>
  <c r="DG52" i="7"/>
  <c r="EM52" i="7"/>
  <c r="CL53" i="7"/>
  <c r="AO51" i="7"/>
  <c r="CG52" i="7"/>
  <c r="DB51" i="7"/>
  <c r="BK40" i="7"/>
  <c r="D40" i="7"/>
  <c r="AK41" i="7"/>
  <c r="BU53" i="7"/>
  <c r="CP52" i="7"/>
  <c r="BG49" i="7"/>
  <c r="BP49" i="7" l="1"/>
  <c r="M39" i="32"/>
  <c r="K39" i="32"/>
  <c r="L39" i="32"/>
  <c r="CF52" i="7"/>
  <c r="DA51" i="7"/>
  <c r="AN51" i="7"/>
  <c r="CI53" i="7"/>
  <c r="DD52" i="7"/>
  <c r="DS52" i="7"/>
  <c r="CM53" i="7"/>
  <c r="DH52" i="7"/>
  <c r="CB53" i="7"/>
  <c r="CW52" i="7"/>
  <c r="BK41" i="7"/>
  <c r="D41" i="7"/>
  <c r="AK42" i="7"/>
  <c r="CG53" i="7"/>
  <c r="DB52" i="7"/>
  <c r="AO52" i="7"/>
  <c r="CE52" i="7"/>
  <c r="CZ51" i="7"/>
  <c r="AM51" i="7"/>
  <c r="D40" i="32"/>
  <c r="N51" i="7"/>
  <c r="EA51" i="7"/>
  <c r="DV51" i="7"/>
  <c r="BS52" i="7"/>
  <c r="EF51" i="7"/>
  <c r="DZ51" i="7"/>
  <c r="CN51" i="7"/>
  <c r="EC51" i="7"/>
  <c r="DX51" i="7"/>
  <c r="EB51" i="7"/>
  <c r="DW51" i="7"/>
  <c r="M51" i="7"/>
  <c r="BF49" i="7"/>
  <c r="BE49" i="7"/>
  <c r="BD49" i="7"/>
  <c r="BY54" i="7"/>
  <c r="CT53" i="7"/>
  <c r="EO52" i="7"/>
  <c r="BT53" i="7"/>
  <c r="CO52" i="7"/>
  <c r="CH52" i="7"/>
  <c r="DC51" i="7"/>
  <c r="BN51" i="7"/>
  <c r="BP48" i="7"/>
  <c r="BQ48" i="7" s="1"/>
  <c r="BU54" i="7"/>
  <c r="CP53" i="7"/>
  <c r="BZ53" i="7"/>
  <c r="CU52" i="7"/>
  <c r="EN52" i="7"/>
  <c r="P51" i="7"/>
  <c r="BW53" i="7"/>
  <c r="CR52" i="7"/>
  <c r="CC54" i="7"/>
  <c r="CX53" i="7"/>
  <c r="E41" i="7"/>
  <c r="BL41" i="7"/>
  <c r="AL42" i="7"/>
  <c r="CK54" i="7"/>
  <c r="DF53" i="7"/>
  <c r="F39" i="32"/>
  <c r="G39" i="32" s="1"/>
  <c r="P39" i="32" s="1"/>
  <c r="Q39" i="32" s="1"/>
  <c r="AP50" i="7"/>
  <c r="AR50" i="7"/>
  <c r="BI50" i="7" s="1"/>
  <c r="AQ50" i="7"/>
  <c r="BH50" i="7" s="1"/>
  <c r="BX53" i="7"/>
  <c r="CS52" i="7"/>
  <c r="BV53" i="7"/>
  <c r="CQ52" i="7"/>
  <c r="BO49" i="7"/>
  <c r="BQ49" i="7" s="1"/>
  <c r="DG53" i="7"/>
  <c r="EM53" i="7"/>
  <c r="CL54" i="7"/>
  <c r="BG50" i="7"/>
  <c r="BJ41" i="7"/>
  <c r="BM41" i="7" s="1"/>
  <c r="B41" i="7" s="1"/>
  <c r="C41" i="7"/>
  <c r="F41" i="7" s="1"/>
  <c r="AJ42" i="7"/>
  <c r="CD53" i="7"/>
  <c r="CY52" i="7"/>
  <c r="E40" i="32"/>
  <c r="BB50" i="7"/>
  <c r="DQ50" i="7" s="1"/>
  <c r="AX50" i="7"/>
  <c r="DM50" i="7" s="1"/>
  <c r="AT50" i="7"/>
  <c r="BA50" i="7"/>
  <c r="DP50" i="7" s="1"/>
  <c r="AW50" i="7"/>
  <c r="DL50" i="7" s="1"/>
  <c r="AZ50" i="7"/>
  <c r="DO50" i="7" s="1"/>
  <c r="AV50" i="7"/>
  <c r="DK50" i="7" s="1"/>
  <c r="BC50" i="7"/>
  <c r="DR50" i="7" s="1"/>
  <c r="AY50" i="7"/>
  <c r="DN50" i="7" s="1"/>
  <c r="AU50" i="7"/>
  <c r="DJ50" i="7" s="1"/>
  <c r="AH50" i="7"/>
  <c r="AF50" i="7"/>
  <c r="AI50" i="7" s="1"/>
  <c r="AG50" i="7"/>
  <c r="CJ53" i="7"/>
  <c r="DE52" i="7"/>
  <c r="CA53" i="7"/>
  <c r="CV52" i="7"/>
  <c r="M40" i="32" l="1"/>
  <c r="L40" i="32"/>
  <c r="K40" i="32"/>
  <c r="H49" i="7"/>
  <c r="G49" i="7"/>
  <c r="CM54" i="7"/>
  <c r="DH53" i="7"/>
  <c r="EM54" i="7"/>
  <c r="DG54" i="7"/>
  <c r="CL55" i="7"/>
  <c r="BF50" i="7"/>
  <c r="BE50" i="7"/>
  <c r="BD50" i="7"/>
  <c r="BX54" i="7"/>
  <c r="CS53" i="7"/>
  <c r="BW54" i="7"/>
  <c r="CR53" i="7"/>
  <c r="BU55" i="7"/>
  <c r="CP54" i="7"/>
  <c r="CH53" i="7"/>
  <c r="DC52" i="7"/>
  <c r="BN52" i="7"/>
  <c r="F40" i="32"/>
  <c r="AR51" i="7"/>
  <c r="BI51" i="7" s="1"/>
  <c r="AQ51" i="7"/>
  <c r="BH51" i="7" s="1"/>
  <c r="AP51" i="7"/>
  <c r="CE53" i="7"/>
  <c r="CZ52" i="7"/>
  <c r="AM52" i="7"/>
  <c r="CG54" i="7"/>
  <c r="DB53" i="7"/>
  <c r="AO53" i="7"/>
  <c r="P52" i="7"/>
  <c r="BJ42" i="7"/>
  <c r="BM42" i="7" s="1"/>
  <c r="B42" i="7" s="1"/>
  <c r="C42" i="7"/>
  <c r="F42" i="7" s="1"/>
  <c r="AJ43" i="7"/>
  <c r="BV54" i="7"/>
  <c r="CQ53" i="7"/>
  <c r="CK55" i="7"/>
  <c r="DF54" i="7"/>
  <c r="G48" i="7"/>
  <c r="H48" i="7"/>
  <c r="BY55" i="7"/>
  <c r="CT54" i="7"/>
  <c r="E41" i="32"/>
  <c r="BA51" i="7"/>
  <c r="DP51" i="7" s="1"/>
  <c r="AW51" i="7"/>
  <c r="DL51" i="7" s="1"/>
  <c r="AZ51" i="7"/>
  <c r="DO51" i="7" s="1"/>
  <c r="AV51" i="7"/>
  <c r="DK51" i="7" s="1"/>
  <c r="BC51" i="7"/>
  <c r="DR51" i="7" s="1"/>
  <c r="AY51" i="7"/>
  <c r="DN51" i="7" s="1"/>
  <c r="AU51" i="7"/>
  <c r="DJ51" i="7" s="1"/>
  <c r="BB51" i="7"/>
  <c r="DQ51" i="7" s="1"/>
  <c r="AX51" i="7"/>
  <c r="DM51" i="7" s="1"/>
  <c r="AT51" i="7"/>
  <c r="AH51" i="7"/>
  <c r="AF51" i="7"/>
  <c r="AI51" i="7" s="1"/>
  <c r="AG51" i="7"/>
  <c r="BS53" i="7"/>
  <c r="EF52" i="7"/>
  <c r="DZ52" i="7"/>
  <c r="CN52" i="7"/>
  <c r="EC52" i="7"/>
  <c r="DX52" i="7"/>
  <c r="EB52" i="7"/>
  <c r="DW52" i="7"/>
  <c r="EA52" i="7"/>
  <c r="DV52" i="7"/>
  <c r="M52" i="7"/>
  <c r="G40" i="32"/>
  <c r="P40" i="32" s="1"/>
  <c r="Q40" i="32" s="1"/>
  <c r="DI50" i="7"/>
  <c r="DI51" i="7" s="1"/>
  <c r="D42" i="7"/>
  <c r="BK42" i="7"/>
  <c r="AK43" i="7"/>
  <c r="CB54" i="7"/>
  <c r="CW53" i="7"/>
  <c r="AN52" i="7"/>
  <c r="CF53" i="7"/>
  <c r="DA52" i="7"/>
  <c r="CA54" i="7"/>
  <c r="CV53" i="7"/>
  <c r="CJ54" i="7"/>
  <c r="DE53" i="7"/>
  <c r="CD54" i="7"/>
  <c r="CY53" i="7"/>
  <c r="E42" i="7"/>
  <c r="BL42" i="7"/>
  <c r="AL43" i="7"/>
  <c r="CC55" i="7"/>
  <c r="CX54" i="7"/>
  <c r="D41" i="32"/>
  <c r="N52" i="7"/>
  <c r="BZ54" i="7"/>
  <c r="CU53" i="7"/>
  <c r="EN53" i="7"/>
  <c r="EO53" i="7"/>
  <c r="BT54" i="7"/>
  <c r="CO53" i="7"/>
  <c r="BO50" i="7"/>
  <c r="BG51" i="7"/>
  <c r="DS53" i="7"/>
  <c r="CI54" i="7"/>
  <c r="DD53" i="7"/>
  <c r="L41" i="32" l="1"/>
  <c r="BP51" i="7"/>
  <c r="M41" i="32"/>
  <c r="K41" i="32"/>
  <c r="CC56" i="7"/>
  <c r="CX55" i="7"/>
  <c r="E42" i="32"/>
  <c r="AZ52" i="7"/>
  <c r="DO52" i="7" s="1"/>
  <c r="AV52" i="7"/>
  <c r="DK52" i="7" s="1"/>
  <c r="BC52" i="7"/>
  <c r="DR52" i="7" s="1"/>
  <c r="AY52" i="7"/>
  <c r="DN52" i="7" s="1"/>
  <c r="AU52" i="7"/>
  <c r="DJ52" i="7" s="1"/>
  <c r="BB52" i="7"/>
  <c r="DQ52" i="7" s="1"/>
  <c r="AX52" i="7"/>
  <c r="DM52" i="7" s="1"/>
  <c r="AT52" i="7"/>
  <c r="BA52" i="7"/>
  <c r="DP52" i="7" s="1"/>
  <c r="AW52" i="7"/>
  <c r="DL52" i="7" s="1"/>
  <c r="AH52" i="7"/>
  <c r="AG52" i="7"/>
  <c r="AF52" i="7"/>
  <c r="AI52" i="7" s="1"/>
  <c r="BV55" i="7"/>
  <c r="CQ54" i="7"/>
  <c r="D42" i="32"/>
  <c r="N53" i="7"/>
  <c r="CG55" i="7"/>
  <c r="DB54" i="7"/>
  <c r="AO54" i="7"/>
  <c r="CM55" i="7"/>
  <c r="DH54" i="7"/>
  <c r="EN54" i="7"/>
  <c r="BZ55" i="7"/>
  <c r="CU54" i="7"/>
  <c r="CI55" i="7"/>
  <c r="DD54" i="7"/>
  <c r="DS54" i="7"/>
  <c r="F41" i="32"/>
  <c r="G41" i="32" s="1"/>
  <c r="P41" i="32" s="1"/>
  <c r="Q41" i="32" s="1"/>
  <c r="AR52" i="7"/>
  <c r="BI52" i="7" s="1"/>
  <c r="AQ52" i="7"/>
  <c r="BH52" i="7" s="1"/>
  <c r="AP52" i="7"/>
  <c r="BL43" i="7"/>
  <c r="E43" i="7"/>
  <c r="AL44" i="7"/>
  <c r="CD55" i="7"/>
  <c r="CY54" i="7"/>
  <c r="CA55" i="7"/>
  <c r="CV54" i="7"/>
  <c r="C43" i="7"/>
  <c r="F43" i="7" s="1"/>
  <c r="BJ43" i="7"/>
  <c r="BM43" i="7" s="1"/>
  <c r="B43" i="7" s="1"/>
  <c r="AJ44" i="7"/>
  <c r="BG52" i="7"/>
  <c r="CH54" i="7"/>
  <c r="DC53" i="7"/>
  <c r="BN53" i="7"/>
  <c r="BW55" i="7"/>
  <c r="CR54" i="7"/>
  <c r="BP50" i="7"/>
  <c r="BQ50" i="7" s="1"/>
  <c r="CB55" i="7"/>
  <c r="CW54" i="7"/>
  <c r="DI52" i="7"/>
  <c r="EC53" i="7"/>
  <c r="DX53" i="7"/>
  <c r="EB53" i="7"/>
  <c r="DW53" i="7"/>
  <c r="EA53" i="7"/>
  <c r="DV53" i="7"/>
  <c r="BS54" i="7"/>
  <c r="EF53" i="7"/>
  <c r="DZ53" i="7"/>
  <c r="CN53" i="7"/>
  <c r="M53" i="7"/>
  <c r="BE51" i="7"/>
  <c r="BD51" i="7"/>
  <c r="BF51" i="7"/>
  <c r="BY56" i="7"/>
  <c r="CT55" i="7"/>
  <c r="CK56" i="7"/>
  <c r="DF55" i="7"/>
  <c r="P53" i="7"/>
  <c r="BT55" i="7"/>
  <c r="CO54" i="7"/>
  <c r="EO54" i="7"/>
  <c r="CJ55" i="7"/>
  <c r="DE54" i="7"/>
  <c r="CF54" i="7"/>
  <c r="DA53" i="7"/>
  <c r="AN53" i="7"/>
  <c r="D43" i="7"/>
  <c r="BK43" i="7"/>
  <c r="AK44" i="7"/>
  <c r="BO51" i="7"/>
  <c r="BQ51" i="7" s="1"/>
  <c r="AM53" i="7"/>
  <c r="CE54" i="7"/>
  <c r="CZ53" i="7"/>
  <c r="BU56" i="7"/>
  <c r="CP55" i="7"/>
  <c r="BX55" i="7"/>
  <c r="CS54" i="7"/>
  <c r="EM55" i="7"/>
  <c r="DG55" i="7"/>
  <c r="CL56" i="7"/>
  <c r="H50" i="7" l="1"/>
  <c r="G50" i="7"/>
  <c r="L42" i="32"/>
  <c r="BP52" i="7"/>
  <c r="M42" i="32"/>
  <c r="K42" i="32"/>
  <c r="BT56" i="7"/>
  <c r="CO55" i="7"/>
  <c r="EO55" i="7"/>
  <c r="BO52" i="7"/>
  <c r="BQ52" i="7" s="1"/>
  <c r="CB56" i="7"/>
  <c r="CW55" i="7"/>
  <c r="C44" i="7"/>
  <c r="F44" i="7" s="1"/>
  <c r="BJ44" i="7"/>
  <c r="BM44" i="7" s="1"/>
  <c r="B44" i="7" s="1"/>
  <c r="AJ45" i="7"/>
  <c r="CA56" i="7"/>
  <c r="CV55" i="7"/>
  <c r="CI56" i="7"/>
  <c r="DD55" i="7"/>
  <c r="DS55" i="7"/>
  <c r="BD52" i="7"/>
  <c r="BF52" i="7"/>
  <c r="BE52" i="7"/>
  <c r="BU57" i="7"/>
  <c r="CP56" i="7"/>
  <c r="CJ56" i="7"/>
  <c r="DE55" i="7"/>
  <c r="CK57" i="7"/>
  <c r="DF56" i="7"/>
  <c r="H51" i="7"/>
  <c r="G51" i="7"/>
  <c r="D43" i="32"/>
  <c r="N54" i="7"/>
  <c r="DG56" i="7"/>
  <c r="EM56" i="7"/>
  <c r="CL57" i="7"/>
  <c r="BX56" i="7"/>
  <c r="CS55" i="7"/>
  <c r="BN54" i="7"/>
  <c r="CH55" i="7"/>
  <c r="DC54" i="7"/>
  <c r="CD56" i="7"/>
  <c r="CY55" i="7"/>
  <c r="P54" i="7"/>
  <c r="AO55" i="7"/>
  <c r="CG56" i="7"/>
  <c r="DB55" i="7"/>
  <c r="BV56" i="7"/>
  <c r="CQ55" i="7"/>
  <c r="CC57" i="7"/>
  <c r="CX56" i="7"/>
  <c r="BK44" i="7"/>
  <c r="D44" i="7"/>
  <c r="AK45" i="7"/>
  <c r="CE55" i="7"/>
  <c r="CZ54" i="7"/>
  <c r="AM54" i="7"/>
  <c r="CF55" i="7"/>
  <c r="DA54" i="7"/>
  <c r="AN54" i="7"/>
  <c r="BY57" i="7"/>
  <c r="CT56" i="7"/>
  <c r="E43" i="32"/>
  <c r="BC53" i="7"/>
  <c r="DR53" i="7" s="1"/>
  <c r="AY53" i="7"/>
  <c r="DN53" i="7" s="1"/>
  <c r="AU53" i="7"/>
  <c r="DJ53" i="7" s="1"/>
  <c r="BB53" i="7"/>
  <c r="DQ53" i="7" s="1"/>
  <c r="AX53" i="7"/>
  <c r="DM53" i="7" s="1"/>
  <c r="AT53" i="7"/>
  <c r="BA53" i="7"/>
  <c r="DP53" i="7" s="1"/>
  <c r="AW53" i="7"/>
  <c r="DL53" i="7" s="1"/>
  <c r="AZ53" i="7"/>
  <c r="DO53" i="7" s="1"/>
  <c r="AV53" i="7"/>
  <c r="DK53" i="7" s="1"/>
  <c r="AH53" i="7"/>
  <c r="AG53" i="7"/>
  <c r="AF53" i="7"/>
  <c r="AI53" i="7" s="1"/>
  <c r="EB54" i="7"/>
  <c r="DW54" i="7"/>
  <c r="EA54" i="7"/>
  <c r="DV54" i="7"/>
  <c r="BS55" i="7"/>
  <c r="EF54" i="7"/>
  <c r="DZ54" i="7"/>
  <c r="CN54" i="7"/>
  <c r="BO53" i="7" s="1"/>
  <c r="EC54" i="7"/>
  <c r="DX54" i="7"/>
  <c r="M54" i="7"/>
  <c r="BW56" i="7"/>
  <c r="CR55" i="7"/>
  <c r="BL44" i="7"/>
  <c r="E44" i="7"/>
  <c r="AL45" i="7"/>
  <c r="BZ56" i="7"/>
  <c r="CU55" i="7"/>
  <c r="EN55" i="7"/>
  <c r="CM56" i="7"/>
  <c r="DH55" i="7"/>
  <c r="F42" i="32"/>
  <c r="G42" i="32" s="1"/>
  <c r="P42" i="32" s="1"/>
  <c r="Q42" i="32" s="1"/>
  <c r="AQ53" i="7"/>
  <c r="BH53" i="7" s="1"/>
  <c r="AP53" i="7"/>
  <c r="BG53" i="7" s="1"/>
  <c r="AR53" i="7"/>
  <c r="BI53" i="7" s="1"/>
  <c r="M43" i="32" l="1"/>
  <c r="K43" i="32"/>
  <c r="L43" i="32"/>
  <c r="E45" i="7"/>
  <c r="BL45" i="7"/>
  <c r="AL46" i="7"/>
  <c r="BV57" i="7"/>
  <c r="CQ56" i="7"/>
  <c r="CJ57" i="7"/>
  <c r="DE56" i="7"/>
  <c r="G52" i="7"/>
  <c r="H52" i="7"/>
  <c r="CM57" i="7"/>
  <c r="DH56" i="7"/>
  <c r="E44" i="32"/>
  <c r="BB54" i="7"/>
  <c r="DQ54" i="7" s="1"/>
  <c r="AX54" i="7"/>
  <c r="DM54" i="7" s="1"/>
  <c r="AT54" i="7"/>
  <c r="BA54" i="7"/>
  <c r="DP54" i="7" s="1"/>
  <c r="AW54" i="7"/>
  <c r="DL54" i="7" s="1"/>
  <c r="AZ54" i="7"/>
  <c r="DO54" i="7" s="1"/>
  <c r="AV54" i="7"/>
  <c r="DK54" i="7" s="1"/>
  <c r="BC54" i="7"/>
  <c r="DR54" i="7" s="1"/>
  <c r="AY54" i="7"/>
  <c r="DN54" i="7" s="1"/>
  <c r="AU54" i="7"/>
  <c r="DJ54" i="7" s="1"/>
  <c r="AF54" i="7"/>
  <c r="AI54" i="7" s="1"/>
  <c r="AG54" i="7"/>
  <c r="AH54" i="7"/>
  <c r="CE56" i="7"/>
  <c r="CZ55" i="7"/>
  <c r="AM55" i="7"/>
  <c r="D44" i="32"/>
  <c r="N55" i="7"/>
  <c r="CH56" i="7"/>
  <c r="DC55" i="7"/>
  <c r="BN55" i="7"/>
  <c r="BX57" i="7"/>
  <c r="CS56" i="7"/>
  <c r="F43" i="32"/>
  <c r="AP54" i="7"/>
  <c r="AR54" i="7"/>
  <c r="BI54" i="7" s="1"/>
  <c r="AQ54" i="7"/>
  <c r="BH54" i="7" s="1"/>
  <c r="P55" i="7"/>
  <c r="CA57" i="7"/>
  <c r="CV56" i="7"/>
  <c r="BW57" i="7"/>
  <c r="CR56" i="7"/>
  <c r="CF56" i="7"/>
  <c r="DA55" i="7"/>
  <c r="AN55" i="7"/>
  <c r="BK45" i="7"/>
  <c r="D45" i="7"/>
  <c r="AK46" i="7"/>
  <c r="CC58" i="7"/>
  <c r="CX57" i="7"/>
  <c r="CG57" i="7"/>
  <c r="DB56" i="7"/>
  <c r="AO56" i="7"/>
  <c r="DG57" i="7"/>
  <c r="EM57" i="7"/>
  <c r="CL58" i="7"/>
  <c r="G43" i="32"/>
  <c r="P43" i="32" s="1"/>
  <c r="Q43" i="32" s="1"/>
  <c r="CK58" i="7"/>
  <c r="DF57" i="7"/>
  <c r="BJ45" i="7"/>
  <c r="BM45" i="7" s="1"/>
  <c r="B45" i="7" s="1"/>
  <c r="C45" i="7"/>
  <c r="F45" i="7" s="1"/>
  <c r="AJ46" i="7"/>
  <c r="BZ57" i="7"/>
  <c r="CU56" i="7"/>
  <c r="EN56" i="7"/>
  <c r="EA55" i="7"/>
  <c r="DV55" i="7"/>
  <c r="BS56" i="7"/>
  <c r="EF55" i="7"/>
  <c r="DZ55" i="7"/>
  <c r="CN55" i="7"/>
  <c r="BO54" i="7" s="1"/>
  <c r="EC55" i="7"/>
  <c r="DX55" i="7"/>
  <c r="EB55" i="7"/>
  <c r="DW55" i="7"/>
  <c r="M55" i="7"/>
  <c r="BF53" i="7"/>
  <c r="BE53" i="7"/>
  <c r="BD53" i="7"/>
  <c r="BY58" i="7"/>
  <c r="CT57" i="7"/>
  <c r="BG54" i="7"/>
  <c r="CD57" i="7"/>
  <c r="CY56" i="7"/>
  <c r="DI53" i="7"/>
  <c r="DI54" i="7" s="1"/>
  <c r="BU58" i="7"/>
  <c r="CP57" i="7"/>
  <c r="CI57" i="7"/>
  <c r="DD56" i="7"/>
  <c r="DS56" i="7"/>
  <c r="CB57" i="7"/>
  <c r="CW56" i="7"/>
  <c r="EO56" i="7"/>
  <c r="BT57" i="7"/>
  <c r="CO56" i="7"/>
  <c r="M44" i="32" l="1"/>
  <c r="K44" i="32"/>
  <c r="L44" i="32"/>
  <c r="BP54" i="7"/>
  <c r="BQ54" i="7" s="1"/>
  <c r="BJ46" i="7"/>
  <c r="BM46" i="7" s="1"/>
  <c r="B46" i="7" s="1"/>
  <c r="C46" i="7"/>
  <c r="F46" i="7" s="1"/>
  <c r="AJ47" i="7"/>
  <c r="CK59" i="7"/>
  <c r="DF58" i="7"/>
  <c r="CG58" i="7"/>
  <c r="DB57" i="7"/>
  <c r="AO57" i="7"/>
  <c r="AN56" i="7"/>
  <c r="CF57" i="7"/>
  <c r="DA56" i="7"/>
  <c r="CA58" i="7"/>
  <c r="CV57" i="7"/>
  <c r="BV58" i="7"/>
  <c r="CQ57" i="7"/>
  <c r="BP53" i="7"/>
  <c r="BQ53" i="7" s="1"/>
  <c r="DS57" i="7"/>
  <c r="CI58" i="7"/>
  <c r="DD57" i="7"/>
  <c r="CB58" i="7"/>
  <c r="CW57" i="7"/>
  <c r="CD58" i="7"/>
  <c r="CY57" i="7"/>
  <c r="BY59" i="7"/>
  <c r="CT58" i="7"/>
  <c r="E45" i="32"/>
  <c r="BA55" i="7"/>
  <c r="DP55" i="7" s="1"/>
  <c r="AW55" i="7"/>
  <c r="DL55" i="7" s="1"/>
  <c r="AZ55" i="7"/>
  <c r="DO55" i="7" s="1"/>
  <c r="AV55" i="7"/>
  <c r="DK55" i="7" s="1"/>
  <c r="BC55" i="7"/>
  <c r="DR55" i="7" s="1"/>
  <c r="AY55" i="7"/>
  <c r="DN55" i="7" s="1"/>
  <c r="AU55" i="7"/>
  <c r="DJ55" i="7" s="1"/>
  <c r="BB55" i="7"/>
  <c r="DQ55" i="7" s="1"/>
  <c r="AX55" i="7"/>
  <c r="DM55" i="7" s="1"/>
  <c r="AT55" i="7"/>
  <c r="DI55" i="7" s="1"/>
  <c r="AG55" i="7"/>
  <c r="AF55" i="7"/>
  <c r="AI55" i="7" s="1"/>
  <c r="AH55" i="7"/>
  <c r="BS57" i="7"/>
  <c r="EF56" i="7"/>
  <c r="DZ56" i="7"/>
  <c r="CN56" i="7"/>
  <c r="EC56" i="7"/>
  <c r="DX56" i="7"/>
  <c r="EB56" i="7"/>
  <c r="DW56" i="7"/>
  <c r="EA56" i="7"/>
  <c r="DV56" i="7"/>
  <c r="M56" i="7"/>
  <c r="EM58" i="7"/>
  <c r="DG58" i="7"/>
  <c r="CL59" i="7"/>
  <c r="CC59" i="7"/>
  <c r="CX58" i="7"/>
  <c r="BW58" i="7"/>
  <c r="CR57" i="7"/>
  <c r="D45" i="32"/>
  <c r="N56" i="7"/>
  <c r="CH57" i="7"/>
  <c r="DC56" i="7"/>
  <c r="BN56" i="7"/>
  <c r="BF54" i="7"/>
  <c r="BE54" i="7"/>
  <c r="BD54" i="7"/>
  <c r="EO57" i="7"/>
  <c r="BT58" i="7"/>
  <c r="CO57" i="7"/>
  <c r="P56" i="7"/>
  <c r="BU59" i="7"/>
  <c r="CP58" i="7"/>
  <c r="BZ58" i="7"/>
  <c r="CU57" i="7"/>
  <c r="EN57" i="7"/>
  <c r="D46" i="7"/>
  <c r="BK46" i="7"/>
  <c r="AK47" i="7"/>
  <c r="BX58" i="7"/>
  <c r="CS57" i="7"/>
  <c r="F44" i="32"/>
  <c r="G44" i="32" s="1"/>
  <c r="P44" i="32" s="1"/>
  <c r="Q44" i="32" s="1"/>
  <c r="AR55" i="7"/>
  <c r="BI55" i="7" s="1"/>
  <c r="AQ55" i="7"/>
  <c r="BH55" i="7" s="1"/>
  <c r="AP55" i="7"/>
  <c r="BG55" i="7" s="1"/>
  <c r="CE57" i="7"/>
  <c r="CZ56" i="7"/>
  <c r="AM56" i="7"/>
  <c r="CM58" i="7"/>
  <c r="DH57" i="7"/>
  <c r="CJ58" i="7"/>
  <c r="DE57" i="7"/>
  <c r="E46" i="7"/>
  <c r="BL46" i="7"/>
  <c r="AL47" i="7"/>
  <c r="H54" i="7" l="1"/>
  <c r="G54" i="7"/>
  <c r="K45" i="32"/>
  <c r="L45" i="32"/>
  <c r="BP55" i="7"/>
  <c r="M45" i="32"/>
  <c r="EN58" i="7"/>
  <c r="BZ59" i="7"/>
  <c r="CU58" i="7"/>
  <c r="AM57" i="7"/>
  <c r="CE58" i="7"/>
  <c r="CZ57" i="7"/>
  <c r="CH58" i="7"/>
  <c r="DC57" i="7"/>
  <c r="BN57" i="7"/>
  <c r="BW59" i="7"/>
  <c r="CR58" i="7"/>
  <c r="E46" i="32"/>
  <c r="AZ56" i="7"/>
  <c r="DO56" i="7" s="1"/>
  <c r="AV56" i="7"/>
  <c r="DK56" i="7" s="1"/>
  <c r="BC56" i="7"/>
  <c r="DR56" i="7" s="1"/>
  <c r="AY56" i="7"/>
  <c r="DN56" i="7" s="1"/>
  <c r="AU56" i="7"/>
  <c r="DJ56" i="7" s="1"/>
  <c r="BB56" i="7"/>
  <c r="DQ56" i="7" s="1"/>
  <c r="AX56" i="7"/>
  <c r="DM56" i="7" s="1"/>
  <c r="AT56" i="7"/>
  <c r="BA56" i="7"/>
  <c r="DP56" i="7" s="1"/>
  <c r="AW56" i="7"/>
  <c r="DL56" i="7" s="1"/>
  <c r="AG56" i="7"/>
  <c r="AF56" i="7"/>
  <c r="AI56" i="7" s="1"/>
  <c r="AH56" i="7"/>
  <c r="CD59" i="7"/>
  <c r="CY58" i="7"/>
  <c r="CI59" i="7"/>
  <c r="DD58" i="7"/>
  <c r="DS58" i="7"/>
  <c r="BV59" i="7"/>
  <c r="CQ58" i="7"/>
  <c r="BL47" i="7"/>
  <c r="E47" i="7"/>
  <c r="AL48" i="7"/>
  <c r="CM59" i="7"/>
  <c r="DH58" i="7"/>
  <c r="BX59" i="7"/>
  <c r="CS58" i="7"/>
  <c r="BU60" i="7"/>
  <c r="CP59" i="7"/>
  <c r="BT59" i="7"/>
  <c r="CO58" i="7"/>
  <c r="EO58" i="7"/>
  <c r="F45" i="32"/>
  <c r="AR56" i="7"/>
  <c r="BI56" i="7" s="1"/>
  <c r="AQ56" i="7"/>
  <c r="BH56" i="7" s="1"/>
  <c r="AP56" i="7"/>
  <c r="BG56" i="7" s="1"/>
  <c r="EM59" i="7"/>
  <c r="DG59" i="7"/>
  <c r="CL60" i="7"/>
  <c r="P57" i="7"/>
  <c r="CA59" i="7"/>
  <c r="CV58" i="7"/>
  <c r="CK60" i="7"/>
  <c r="DF59" i="7"/>
  <c r="D47" i="7"/>
  <c r="BK47" i="7"/>
  <c r="AK48" i="7"/>
  <c r="D46" i="32"/>
  <c r="N57" i="7"/>
  <c r="G45" i="32"/>
  <c r="P45" i="32" s="1"/>
  <c r="Q45" i="32" s="1"/>
  <c r="EC57" i="7"/>
  <c r="DX57" i="7"/>
  <c r="EB57" i="7"/>
  <c r="DW57" i="7"/>
  <c r="EA57" i="7"/>
  <c r="DV57" i="7"/>
  <c r="BS58" i="7"/>
  <c r="EF57" i="7"/>
  <c r="DZ57" i="7"/>
  <c r="CN57" i="7"/>
  <c r="M57" i="7"/>
  <c r="BE55" i="7"/>
  <c r="BD55" i="7"/>
  <c r="BF55" i="7"/>
  <c r="BY60" i="7"/>
  <c r="CT59" i="7"/>
  <c r="CB59" i="7"/>
  <c r="CW58" i="7"/>
  <c r="H53" i="7"/>
  <c r="G53" i="7"/>
  <c r="C47" i="7"/>
  <c r="F47" i="7" s="1"/>
  <c r="BJ47" i="7"/>
  <c r="BM47" i="7" s="1"/>
  <c r="B47" i="7" s="1"/>
  <c r="AJ48" i="7"/>
  <c r="CJ59" i="7"/>
  <c r="DE58" i="7"/>
  <c r="CC60" i="7"/>
  <c r="CX59" i="7"/>
  <c r="BO55" i="7"/>
  <c r="BQ55" i="7" s="1"/>
  <c r="CF58" i="7"/>
  <c r="DA57" i="7"/>
  <c r="AN57" i="7"/>
  <c r="CG59" i="7"/>
  <c r="DB58" i="7"/>
  <c r="AO58" i="7"/>
  <c r="M46" i="32" l="1"/>
  <c r="K46" i="32"/>
  <c r="L46" i="32"/>
  <c r="CC61" i="7"/>
  <c r="CX60" i="7"/>
  <c r="BO56" i="7"/>
  <c r="F46" i="32"/>
  <c r="AQ57" i="7"/>
  <c r="AP57" i="7"/>
  <c r="AR57" i="7"/>
  <c r="BI57" i="7" s="1"/>
  <c r="DG60" i="7"/>
  <c r="EM60" i="7"/>
  <c r="CL61" i="7"/>
  <c r="BT60" i="7"/>
  <c r="CO59" i="7"/>
  <c r="EO59" i="7"/>
  <c r="BX60" i="7"/>
  <c r="CS59" i="7"/>
  <c r="CI60" i="7"/>
  <c r="DD59" i="7"/>
  <c r="DS59" i="7"/>
  <c r="BD56" i="7"/>
  <c r="BF56" i="7"/>
  <c r="BE56" i="7"/>
  <c r="BG57" i="7"/>
  <c r="CB60" i="7"/>
  <c r="CW59" i="7"/>
  <c r="G46" i="32"/>
  <c r="P46" i="32" s="1"/>
  <c r="Q46" i="32" s="1"/>
  <c r="CA60" i="7"/>
  <c r="CV59" i="7"/>
  <c r="BV60" i="7"/>
  <c r="CQ59" i="7"/>
  <c r="BN58" i="7"/>
  <c r="CH59" i="7"/>
  <c r="DC58" i="7"/>
  <c r="CF59" i="7"/>
  <c r="DA58" i="7"/>
  <c r="AN58" i="7"/>
  <c r="AO59" i="7"/>
  <c r="CG60" i="7"/>
  <c r="DB59" i="7"/>
  <c r="H55" i="7"/>
  <c r="G55" i="7"/>
  <c r="CJ60" i="7"/>
  <c r="DE59" i="7"/>
  <c r="BK48" i="7"/>
  <c r="D48" i="7"/>
  <c r="AK49" i="7"/>
  <c r="CK61" i="7"/>
  <c r="DF60" i="7"/>
  <c r="D47" i="32"/>
  <c r="N58" i="7"/>
  <c r="BU61" i="7"/>
  <c r="CP60" i="7"/>
  <c r="CM60" i="7"/>
  <c r="DH59" i="7"/>
  <c r="P58" i="7"/>
  <c r="CD60" i="7"/>
  <c r="CY59" i="7"/>
  <c r="BW60" i="7"/>
  <c r="CR59" i="7"/>
  <c r="BZ60" i="7"/>
  <c r="CU59" i="7"/>
  <c r="EN59" i="7"/>
  <c r="BH57" i="7"/>
  <c r="C48" i="7"/>
  <c r="F48" i="7" s="1"/>
  <c r="BJ48" i="7"/>
  <c r="BM48" i="7" s="1"/>
  <c r="B48" i="7" s="1"/>
  <c r="AJ49" i="7"/>
  <c r="BY61" i="7"/>
  <c r="CT60" i="7"/>
  <c r="E47" i="32"/>
  <c r="BC57" i="7"/>
  <c r="DR57" i="7" s="1"/>
  <c r="AY57" i="7"/>
  <c r="DN57" i="7" s="1"/>
  <c r="AU57" i="7"/>
  <c r="DJ57" i="7" s="1"/>
  <c r="BB57" i="7"/>
  <c r="DQ57" i="7" s="1"/>
  <c r="AX57" i="7"/>
  <c r="DM57" i="7" s="1"/>
  <c r="AT57" i="7"/>
  <c r="BA57" i="7"/>
  <c r="DP57" i="7" s="1"/>
  <c r="AW57" i="7"/>
  <c r="DL57" i="7" s="1"/>
  <c r="AZ57" i="7"/>
  <c r="DO57" i="7" s="1"/>
  <c r="AV57" i="7"/>
  <c r="DK57" i="7" s="1"/>
  <c r="AH57" i="7"/>
  <c r="AF57" i="7"/>
  <c r="AI57" i="7" s="1"/>
  <c r="AG57" i="7"/>
  <c r="EB58" i="7"/>
  <c r="DW58" i="7"/>
  <c r="EA58" i="7"/>
  <c r="DV58" i="7"/>
  <c r="BS59" i="7"/>
  <c r="EF58" i="7"/>
  <c r="DZ58" i="7"/>
  <c r="CN58" i="7"/>
  <c r="EC58" i="7"/>
  <c r="DX58" i="7"/>
  <c r="M58" i="7"/>
  <c r="BL48" i="7"/>
  <c r="E48" i="7"/>
  <c r="AL49" i="7"/>
  <c r="CE59" i="7"/>
  <c r="CZ58" i="7"/>
  <c r="AM58" i="7"/>
  <c r="DI56" i="7"/>
  <c r="DI57" i="7" s="1"/>
  <c r="BP57" i="7" l="1"/>
  <c r="M47" i="32"/>
  <c r="K47" i="32"/>
  <c r="L47" i="32"/>
  <c r="BZ61" i="7"/>
  <c r="CU60" i="7"/>
  <c r="EN60" i="7"/>
  <c r="CD61" i="7"/>
  <c r="CY60" i="7"/>
  <c r="CM61" i="7"/>
  <c r="DH60" i="7"/>
  <c r="BV61" i="7"/>
  <c r="CQ60" i="7"/>
  <c r="CI61" i="7"/>
  <c r="DD60" i="7"/>
  <c r="DS60" i="7"/>
  <c r="EA59" i="7"/>
  <c r="DV59" i="7"/>
  <c r="BS60" i="7"/>
  <c r="EF59" i="7"/>
  <c r="DZ59" i="7"/>
  <c r="CN59" i="7"/>
  <c r="EC59" i="7"/>
  <c r="DX59" i="7"/>
  <c r="EB59" i="7"/>
  <c r="DW59" i="7"/>
  <c r="M59" i="7"/>
  <c r="BF57" i="7"/>
  <c r="BE57" i="7"/>
  <c r="BD57" i="7"/>
  <c r="BY62" i="7"/>
  <c r="CT61" i="7"/>
  <c r="CE60" i="7"/>
  <c r="CZ59" i="7"/>
  <c r="AM59" i="7"/>
  <c r="BO57" i="7"/>
  <c r="BQ57" i="7" s="1"/>
  <c r="BJ49" i="7"/>
  <c r="BM49" i="7" s="1"/>
  <c r="B49" i="7" s="1"/>
  <c r="C49" i="7"/>
  <c r="F49" i="7" s="1"/>
  <c r="AJ50" i="7"/>
  <c r="CH60" i="7"/>
  <c r="DC59" i="7"/>
  <c r="BN59" i="7"/>
  <c r="CB61" i="7"/>
  <c r="CW60" i="7"/>
  <c r="EO60" i="7"/>
  <c r="BT61" i="7"/>
  <c r="CO60" i="7"/>
  <c r="BP56" i="7"/>
  <c r="BQ56" i="7" s="1"/>
  <c r="E48" i="32"/>
  <c r="BB58" i="7"/>
  <c r="DQ58" i="7" s="1"/>
  <c r="AX58" i="7"/>
  <c r="DM58" i="7" s="1"/>
  <c r="AT58" i="7"/>
  <c r="BA58" i="7"/>
  <c r="DP58" i="7" s="1"/>
  <c r="AW58" i="7"/>
  <c r="DL58" i="7" s="1"/>
  <c r="AZ58" i="7"/>
  <c r="DO58" i="7" s="1"/>
  <c r="AV58" i="7"/>
  <c r="DK58" i="7" s="1"/>
  <c r="BC58" i="7"/>
  <c r="DR58" i="7" s="1"/>
  <c r="AY58" i="7"/>
  <c r="DN58" i="7" s="1"/>
  <c r="AU58" i="7"/>
  <c r="DJ58" i="7" s="1"/>
  <c r="AH58" i="7"/>
  <c r="AG58" i="7"/>
  <c r="AF58" i="7"/>
  <c r="AI58" i="7" s="1"/>
  <c r="BW61" i="7"/>
  <c r="CR60" i="7"/>
  <c r="D48" i="32"/>
  <c r="N59" i="7"/>
  <c r="BU62" i="7"/>
  <c r="CP61" i="7"/>
  <c r="CK62" i="7"/>
  <c r="DF61" i="7"/>
  <c r="CA61" i="7"/>
  <c r="CV60" i="7"/>
  <c r="P59" i="7"/>
  <c r="BX61" i="7"/>
  <c r="CS60" i="7"/>
  <c r="DG61" i="7"/>
  <c r="EM61" i="7"/>
  <c r="CL62" i="7"/>
  <c r="CC62" i="7"/>
  <c r="CX61" i="7"/>
  <c r="DI58" i="7"/>
  <c r="E49" i="7"/>
  <c r="BL49" i="7"/>
  <c r="AL50" i="7"/>
  <c r="F47" i="32"/>
  <c r="G47" i="32" s="1"/>
  <c r="P47" i="32" s="1"/>
  <c r="Q47" i="32" s="1"/>
  <c r="AP58" i="7"/>
  <c r="BG58" i="7" s="1"/>
  <c r="AR58" i="7"/>
  <c r="BI58" i="7" s="1"/>
  <c r="AQ58" i="7"/>
  <c r="BH58" i="7" s="1"/>
  <c r="BK49" i="7"/>
  <c r="D49" i="7"/>
  <c r="AK50" i="7"/>
  <c r="CJ61" i="7"/>
  <c r="DE60" i="7"/>
  <c r="CG61" i="7"/>
  <c r="DB60" i="7"/>
  <c r="AO60" i="7"/>
  <c r="CF60" i="7"/>
  <c r="DA59" i="7"/>
  <c r="AN59" i="7"/>
  <c r="K48" i="32" l="1"/>
  <c r="G56" i="7"/>
  <c r="H56" i="7"/>
  <c r="BP58" i="7"/>
  <c r="L48" i="32"/>
  <c r="M48" i="32"/>
  <c r="E50" i="7"/>
  <c r="BL50" i="7"/>
  <c r="AL51" i="7"/>
  <c r="D49" i="32"/>
  <c r="N60" i="7"/>
  <c r="F48" i="32"/>
  <c r="AR59" i="7"/>
  <c r="BI59" i="7" s="1"/>
  <c r="AQ59" i="7"/>
  <c r="AP59" i="7"/>
  <c r="EO61" i="7"/>
  <c r="BT62" i="7"/>
  <c r="CO61" i="7"/>
  <c r="BJ50" i="7"/>
  <c r="BM50" i="7" s="1"/>
  <c r="B50" i="7" s="1"/>
  <c r="C50" i="7"/>
  <c r="F50" i="7" s="1"/>
  <c r="AJ51" i="7"/>
  <c r="BG59" i="7"/>
  <c r="BY63" i="7"/>
  <c r="CT62" i="7"/>
  <c r="E49" i="32"/>
  <c r="BA59" i="7"/>
  <c r="DP59" i="7" s="1"/>
  <c r="AW59" i="7"/>
  <c r="DL59" i="7" s="1"/>
  <c r="AZ59" i="7"/>
  <c r="DO59" i="7" s="1"/>
  <c r="AV59" i="7"/>
  <c r="DK59" i="7" s="1"/>
  <c r="BC59" i="7"/>
  <c r="DR59" i="7" s="1"/>
  <c r="AY59" i="7"/>
  <c r="DN59" i="7" s="1"/>
  <c r="AU59" i="7"/>
  <c r="DJ59" i="7" s="1"/>
  <c r="BB59" i="7"/>
  <c r="DQ59" i="7" s="1"/>
  <c r="AX59" i="7"/>
  <c r="DM59" i="7" s="1"/>
  <c r="AT59" i="7"/>
  <c r="AH59" i="7"/>
  <c r="AG59" i="7"/>
  <c r="AF59" i="7"/>
  <c r="AI59" i="7" s="1"/>
  <c r="BS61" i="7"/>
  <c r="EF60" i="7"/>
  <c r="DZ60" i="7"/>
  <c r="CN60" i="7"/>
  <c r="EC60" i="7"/>
  <c r="DX60" i="7"/>
  <c r="EB60" i="7"/>
  <c r="DW60" i="7"/>
  <c r="EA60" i="7"/>
  <c r="DV60" i="7"/>
  <c r="M60" i="7"/>
  <c r="P60" i="7"/>
  <c r="BV62" i="7"/>
  <c r="CQ61" i="7"/>
  <c r="CM62" i="7"/>
  <c r="DH61" i="7"/>
  <c r="G48" i="32"/>
  <c r="P48" i="32" s="1"/>
  <c r="Q48" i="32" s="1"/>
  <c r="BO58" i="7"/>
  <c r="BQ58" i="7" s="1"/>
  <c r="BZ62" i="7"/>
  <c r="CU61" i="7"/>
  <c r="EN61" i="7"/>
  <c r="CC63" i="7"/>
  <c r="CX62" i="7"/>
  <c r="D50" i="7"/>
  <c r="BK50" i="7"/>
  <c r="AK51" i="7"/>
  <c r="EM62" i="7"/>
  <c r="DG62" i="7"/>
  <c r="CL63" i="7"/>
  <c r="BX62" i="7"/>
  <c r="CS61" i="7"/>
  <c r="CA62" i="7"/>
  <c r="CV61" i="7"/>
  <c r="BF58" i="7"/>
  <c r="BE58" i="7"/>
  <c r="BD58" i="7"/>
  <c r="CH61" i="7"/>
  <c r="DC60" i="7"/>
  <c r="BN60" i="7"/>
  <c r="CE61" i="7"/>
  <c r="CZ60" i="7"/>
  <c r="AM60" i="7"/>
  <c r="DS61" i="7"/>
  <c r="CI62" i="7"/>
  <c r="DD61" i="7"/>
  <c r="CD62" i="7"/>
  <c r="CY61" i="7"/>
  <c r="AN60" i="7"/>
  <c r="CF61" i="7"/>
  <c r="DA60" i="7"/>
  <c r="CJ62" i="7"/>
  <c r="DE61" i="7"/>
  <c r="CK63" i="7"/>
  <c r="DF62" i="7"/>
  <c r="BH59" i="7"/>
  <c r="CG62" i="7"/>
  <c r="DB61" i="7"/>
  <c r="AO61" i="7"/>
  <c r="DI59" i="7"/>
  <c r="BU63" i="7"/>
  <c r="CP62" i="7"/>
  <c r="BW62" i="7"/>
  <c r="CR61" i="7"/>
  <c r="CB62" i="7"/>
  <c r="CW61" i="7"/>
  <c r="H57" i="7"/>
  <c r="G57" i="7"/>
  <c r="L49" i="32" l="1"/>
  <c r="BP59" i="7"/>
  <c r="M49" i="32"/>
  <c r="K49" i="32"/>
  <c r="CK64" i="7"/>
  <c r="DF63" i="7"/>
  <c r="CJ63" i="7"/>
  <c r="DE62" i="7"/>
  <c r="P61" i="7"/>
  <c r="EN62" i="7"/>
  <c r="BZ63" i="7"/>
  <c r="CU62" i="7"/>
  <c r="D50" i="32"/>
  <c r="N61" i="7"/>
  <c r="EC61" i="7"/>
  <c r="DX61" i="7"/>
  <c r="EB61" i="7"/>
  <c r="DW61" i="7"/>
  <c r="EA61" i="7"/>
  <c r="DV61" i="7"/>
  <c r="BS62" i="7"/>
  <c r="EF61" i="7"/>
  <c r="DZ61" i="7"/>
  <c r="CN61" i="7"/>
  <c r="M61" i="7"/>
  <c r="BE59" i="7"/>
  <c r="BD59" i="7"/>
  <c r="BF59" i="7"/>
  <c r="BY64" i="7"/>
  <c r="CT63" i="7"/>
  <c r="F49" i="32"/>
  <c r="AR60" i="7"/>
  <c r="BI60" i="7" s="1"/>
  <c r="AQ60" i="7"/>
  <c r="AP60" i="7"/>
  <c r="BW63" i="7"/>
  <c r="CR62" i="7"/>
  <c r="BX63" i="7"/>
  <c r="CS62" i="7"/>
  <c r="D51" i="7"/>
  <c r="BK51" i="7"/>
  <c r="AK52" i="7"/>
  <c r="CC64" i="7"/>
  <c r="CX63" i="7"/>
  <c r="H58" i="7"/>
  <c r="G58" i="7"/>
  <c r="CM63" i="7"/>
  <c r="DH62" i="7"/>
  <c r="BO59" i="7"/>
  <c r="BQ59" i="7" s="1"/>
  <c r="G49" i="32"/>
  <c r="P49" i="32" s="1"/>
  <c r="Q49" i="32" s="1"/>
  <c r="CD63" i="7"/>
  <c r="CY62" i="7"/>
  <c r="BG60" i="7"/>
  <c r="CH62" i="7"/>
  <c r="DC61" i="7"/>
  <c r="BN61" i="7"/>
  <c r="EM63" i="7"/>
  <c r="DG63" i="7"/>
  <c r="CL64" i="7"/>
  <c r="E50" i="32"/>
  <c r="AZ60" i="7"/>
  <c r="DO60" i="7" s="1"/>
  <c r="AV60" i="7"/>
  <c r="DK60" i="7" s="1"/>
  <c r="BC60" i="7"/>
  <c r="DR60" i="7" s="1"/>
  <c r="AY60" i="7"/>
  <c r="DN60" i="7" s="1"/>
  <c r="AU60" i="7"/>
  <c r="DJ60" i="7" s="1"/>
  <c r="BB60" i="7"/>
  <c r="DQ60" i="7" s="1"/>
  <c r="AX60" i="7"/>
  <c r="DM60" i="7" s="1"/>
  <c r="AT60" i="7"/>
  <c r="DI60" i="7" s="1"/>
  <c r="BA60" i="7"/>
  <c r="DP60" i="7" s="1"/>
  <c r="AW60" i="7"/>
  <c r="DL60" i="7" s="1"/>
  <c r="AF60" i="7"/>
  <c r="AI60" i="7" s="1"/>
  <c r="AG60" i="7"/>
  <c r="AH60" i="7"/>
  <c r="C51" i="7"/>
  <c r="F51" i="7" s="1"/>
  <c r="BJ51" i="7"/>
  <c r="BM51" i="7" s="1"/>
  <c r="B51" i="7" s="1"/>
  <c r="AJ52" i="7"/>
  <c r="BL51" i="7"/>
  <c r="E51" i="7"/>
  <c r="AL52" i="7"/>
  <c r="CF62" i="7"/>
  <c r="DA61" i="7"/>
  <c r="AN61" i="7"/>
  <c r="CB63" i="7"/>
  <c r="CW62" i="7"/>
  <c r="BU64" i="7"/>
  <c r="CP63" i="7"/>
  <c r="CG63" i="7"/>
  <c r="DB62" i="7"/>
  <c r="AO62" i="7"/>
  <c r="BH60" i="7"/>
  <c r="CI63" i="7"/>
  <c r="DD62" i="7"/>
  <c r="DS62" i="7"/>
  <c r="AM61" i="7"/>
  <c r="CE62" i="7"/>
  <c r="CZ61" i="7"/>
  <c r="CA63" i="7"/>
  <c r="CV62" i="7"/>
  <c r="BV63" i="7"/>
  <c r="CQ62" i="7"/>
  <c r="BT63" i="7"/>
  <c r="CO62" i="7"/>
  <c r="EO62" i="7"/>
  <c r="L50" i="32" l="1"/>
  <c r="BP60" i="7"/>
  <c r="M50" i="32"/>
  <c r="K50" i="32"/>
  <c r="BT64" i="7"/>
  <c r="CO63" i="7"/>
  <c r="EO63" i="7"/>
  <c r="BN62" i="7"/>
  <c r="CH63" i="7"/>
  <c r="DC62" i="7"/>
  <c r="BK52" i="7"/>
  <c r="D52" i="7"/>
  <c r="AK53" i="7"/>
  <c r="BX64" i="7"/>
  <c r="CS63" i="7"/>
  <c r="BO60" i="7"/>
  <c r="BQ60" i="7" s="1"/>
  <c r="D51" i="32"/>
  <c r="N62" i="7"/>
  <c r="CF63" i="7"/>
  <c r="DA62" i="7"/>
  <c r="AN62" i="7"/>
  <c r="H59" i="7"/>
  <c r="G59" i="7"/>
  <c r="BZ64" i="7"/>
  <c r="CU63" i="7"/>
  <c r="EN63" i="7"/>
  <c r="CA64" i="7"/>
  <c r="CV63" i="7"/>
  <c r="P62" i="7"/>
  <c r="BU65" i="7"/>
  <c r="CP64" i="7"/>
  <c r="BV64" i="7"/>
  <c r="CQ63" i="7"/>
  <c r="CE63" i="7"/>
  <c r="CZ62" i="7"/>
  <c r="AM62" i="7"/>
  <c r="CI64" i="7"/>
  <c r="DD63" i="7"/>
  <c r="DS63" i="7"/>
  <c r="AO63" i="7"/>
  <c r="CG64" i="7"/>
  <c r="DB63" i="7"/>
  <c r="CB64" i="7"/>
  <c r="CW63" i="7"/>
  <c r="C52" i="7"/>
  <c r="F52" i="7" s="1"/>
  <c r="BJ52" i="7"/>
  <c r="BM52" i="7" s="1"/>
  <c r="B52" i="7" s="1"/>
  <c r="AJ53" i="7"/>
  <c r="BD60" i="7"/>
  <c r="BF60" i="7"/>
  <c r="BE60" i="7"/>
  <c r="BW64" i="7"/>
  <c r="CR63" i="7"/>
  <c r="F50" i="32"/>
  <c r="AQ61" i="7"/>
  <c r="BH61" i="7" s="1"/>
  <c r="AP61" i="7"/>
  <c r="AR61" i="7"/>
  <c r="BI61" i="7" s="1"/>
  <c r="CK65" i="7"/>
  <c r="DF64" i="7"/>
  <c r="BG61" i="7"/>
  <c r="BL52" i="7"/>
  <c r="E52" i="7"/>
  <c r="AL53" i="7"/>
  <c r="DG64" i="7"/>
  <c r="EM64" i="7"/>
  <c r="CL65" i="7"/>
  <c r="CD64" i="7"/>
  <c r="CY63" i="7"/>
  <c r="CM64" i="7"/>
  <c r="DH63" i="7"/>
  <c r="CC65" i="7"/>
  <c r="CX64" i="7"/>
  <c r="BY65" i="7"/>
  <c r="CT64" i="7"/>
  <c r="E51" i="32"/>
  <c r="BC61" i="7"/>
  <c r="DR61" i="7" s="1"/>
  <c r="AY61" i="7"/>
  <c r="DN61" i="7" s="1"/>
  <c r="AU61" i="7"/>
  <c r="DJ61" i="7" s="1"/>
  <c r="BB61" i="7"/>
  <c r="DQ61" i="7" s="1"/>
  <c r="AX61" i="7"/>
  <c r="DM61" i="7" s="1"/>
  <c r="AT61" i="7"/>
  <c r="DI61" i="7" s="1"/>
  <c r="BA61" i="7"/>
  <c r="DP61" i="7" s="1"/>
  <c r="AW61" i="7"/>
  <c r="DL61" i="7" s="1"/>
  <c r="AZ61" i="7"/>
  <c r="DO61" i="7" s="1"/>
  <c r="AV61" i="7"/>
  <c r="DK61" i="7" s="1"/>
  <c r="AG61" i="7"/>
  <c r="AH61" i="7"/>
  <c r="AF61" i="7"/>
  <c r="AI61" i="7" s="1"/>
  <c r="EB62" i="7"/>
  <c r="DW62" i="7"/>
  <c r="EA62" i="7"/>
  <c r="DV62" i="7"/>
  <c r="BS63" i="7"/>
  <c r="EF62" i="7"/>
  <c r="DZ62" i="7"/>
  <c r="CN62" i="7"/>
  <c r="BO61" i="7" s="1"/>
  <c r="EC62" i="7"/>
  <c r="DX62" i="7"/>
  <c r="M62" i="7"/>
  <c r="G50" i="32"/>
  <c r="P50" i="32" s="1"/>
  <c r="Q50" i="32" s="1"/>
  <c r="CJ64" i="7"/>
  <c r="DE63" i="7"/>
  <c r="L51" i="32" l="1"/>
  <c r="K51" i="32"/>
  <c r="M51" i="32"/>
  <c r="BP61" i="7"/>
  <c r="BQ61" i="7" s="1"/>
  <c r="BW65" i="7"/>
  <c r="CR64" i="7"/>
  <c r="BV65" i="7"/>
  <c r="CQ64" i="7"/>
  <c r="D52" i="32"/>
  <c r="N63" i="7"/>
  <c r="BK53" i="7"/>
  <c r="D53" i="7"/>
  <c r="AK54" i="7"/>
  <c r="CH64" i="7"/>
  <c r="DC63" i="7"/>
  <c r="BN63" i="7"/>
  <c r="CC66" i="7"/>
  <c r="CX65" i="7"/>
  <c r="CD65" i="7"/>
  <c r="CY64" i="7"/>
  <c r="E53" i="7"/>
  <c r="BL53" i="7"/>
  <c r="AL54" i="7"/>
  <c r="BJ53" i="7"/>
  <c r="BM53" i="7" s="1"/>
  <c r="B53" i="7" s="1"/>
  <c r="C53" i="7"/>
  <c r="F53" i="7" s="1"/>
  <c r="AJ54" i="7"/>
  <c r="CB65" i="7"/>
  <c r="CW64" i="7"/>
  <c r="P63" i="7"/>
  <c r="BZ65" i="7"/>
  <c r="CU64" i="7"/>
  <c r="EN64" i="7"/>
  <c r="G60" i="7"/>
  <c r="H60" i="7"/>
  <c r="EO64" i="7"/>
  <c r="BT65" i="7"/>
  <c r="CO64" i="7"/>
  <c r="E52" i="32"/>
  <c r="BB62" i="7"/>
  <c r="DQ62" i="7" s="1"/>
  <c r="AX62" i="7"/>
  <c r="DM62" i="7" s="1"/>
  <c r="AT62" i="7"/>
  <c r="DI62" i="7" s="1"/>
  <c r="BA62" i="7"/>
  <c r="DP62" i="7" s="1"/>
  <c r="AW62" i="7"/>
  <c r="DL62" i="7" s="1"/>
  <c r="AZ62" i="7"/>
  <c r="DO62" i="7" s="1"/>
  <c r="AV62" i="7"/>
  <c r="DK62" i="7" s="1"/>
  <c r="BC62" i="7"/>
  <c r="DR62" i="7" s="1"/>
  <c r="AY62" i="7"/>
  <c r="DN62" i="7" s="1"/>
  <c r="AU62" i="7"/>
  <c r="DJ62" i="7" s="1"/>
  <c r="AG62" i="7"/>
  <c r="AF62" i="7"/>
  <c r="AI62" i="7" s="1"/>
  <c r="AH62" i="7"/>
  <c r="DG65" i="7"/>
  <c r="EM65" i="7"/>
  <c r="CL66" i="7"/>
  <c r="CE64" i="7"/>
  <c r="CZ63" i="7"/>
  <c r="AM63" i="7"/>
  <c r="BU66" i="7"/>
  <c r="CP65" i="7"/>
  <c r="CA65" i="7"/>
  <c r="CV64" i="7"/>
  <c r="CF64" i="7"/>
  <c r="DA63" i="7"/>
  <c r="AN63" i="7"/>
  <c r="CJ65" i="7"/>
  <c r="DE64" i="7"/>
  <c r="EA63" i="7"/>
  <c r="DV63" i="7"/>
  <c r="BS64" i="7"/>
  <c r="EF63" i="7"/>
  <c r="DZ63" i="7"/>
  <c r="CN63" i="7"/>
  <c r="BO62" i="7" s="1"/>
  <c r="EC63" i="7"/>
  <c r="DX63" i="7"/>
  <c r="EB63" i="7"/>
  <c r="DW63" i="7"/>
  <c r="M63" i="7"/>
  <c r="BF61" i="7"/>
  <c r="BE61" i="7"/>
  <c r="BD61" i="7"/>
  <c r="BY66" i="7"/>
  <c r="CT65" i="7"/>
  <c r="CM65" i="7"/>
  <c r="DH64" i="7"/>
  <c r="CK66" i="7"/>
  <c r="DF65" i="7"/>
  <c r="CG65" i="7"/>
  <c r="DB64" i="7"/>
  <c r="AO64" i="7"/>
  <c r="CI65" i="7"/>
  <c r="DD64" i="7"/>
  <c r="DS64" i="7"/>
  <c r="F51" i="32"/>
  <c r="G51" i="32" s="1"/>
  <c r="P51" i="32" s="1"/>
  <c r="Q51" i="32" s="1"/>
  <c r="AP62" i="7"/>
  <c r="BG62" i="7" s="1"/>
  <c r="AR62" i="7"/>
  <c r="BI62" i="7" s="1"/>
  <c r="AQ62" i="7"/>
  <c r="BH62" i="7" s="1"/>
  <c r="BX65" i="7"/>
  <c r="CS64" i="7"/>
  <c r="BP62" i="7" l="1"/>
  <c r="BQ62" i="7" s="1"/>
  <c r="H61" i="7"/>
  <c r="G61" i="7"/>
  <c r="L52" i="32"/>
  <c r="M52" i="32"/>
  <c r="K52" i="32"/>
  <c r="CG66" i="7"/>
  <c r="DB65" i="7"/>
  <c r="AO65" i="7"/>
  <c r="CM66" i="7"/>
  <c r="DH65" i="7"/>
  <c r="CE65" i="7"/>
  <c r="CZ64" i="7"/>
  <c r="AM64" i="7"/>
  <c r="D53" i="32"/>
  <c r="N64" i="7"/>
  <c r="CC67" i="7"/>
  <c r="CX66" i="7"/>
  <c r="D54" i="7"/>
  <c r="BK54" i="7"/>
  <c r="AK55" i="7"/>
  <c r="BV66" i="7"/>
  <c r="CQ65" i="7"/>
  <c r="BW66" i="7"/>
  <c r="CR65" i="7"/>
  <c r="BX66" i="7"/>
  <c r="CS65" i="7"/>
  <c r="DS65" i="7"/>
  <c r="CI66" i="7"/>
  <c r="DD65" i="7"/>
  <c r="AN64" i="7"/>
  <c r="CF65" i="7"/>
  <c r="DA64" i="7"/>
  <c r="BU67" i="7"/>
  <c r="CP66" i="7"/>
  <c r="EM66" i="7"/>
  <c r="DG66" i="7"/>
  <c r="CL67" i="7"/>
  <c r="F52" i="32"/>
  <c r="AR63" i="7"/>
  <c r="BI63" i="7" s="1"/>
  <c r="AQ63" i="7"/>
  <c r="AP63" i="7"/>
  <c r="BG63" i="7" s="1"/>
  <c r="CK67" i="7"/>
  <c r="DF66" i="7"/>
  <c r="BY67" i="7"/>
  <c r="CT66" i="7"/>
  <c r="E53" i="32"/>
  <c r="BA63" i="7"/>
  <c r="DP63" i="7" s="1"/>
  <c r="AW63" i="7"/>
  <c r="DL63" i="7" s="1"/>
  <c r="AZ63" i="7"/>
  <c r="DO63" i="7" s="1"/>
  <c r="AV63" i="7"/>
  <c r="DK63" i="7" s="1"/>
  <c r="BC63" i="7"/>
  <c r="DR63" i="7" s="1"/>
  <c r="AY63" i="7"/>
  <c r="DN63" i="7" s="1"/>
  <c r="AU63" i="7"/>
  <c r="DJ63" i="7" s="1"/>
  <c r="BB63" i="7"/>
  <c r="DQ63" i="7" s="1"/>
  <c r="AX63" i="7"/>
  <c r="DM63" i="7" s="1"/>
  <c r="AT63" i="7"/>
  <c r="AG63" i="7"/>
  <c r="AH63" i="7"/>
  <c r="AF63" i="7"/>
  <c r="AI63" i="7" s="1"/>
  <c r="BS65" i="7"/>
  <c r="EF64" i="7"/>
  <c r="DZ64" i="7"/>
  <c r="CN64" i="7"/>
  <c r="EC64" i="7"/>
  <c r="DX64" i="7"/>
  <c r="EB64" i="7"/>
  <c r="DW64" i="7"/>
  <c r="EA64" i="7"/>
  <c r="DV64" i="7"/>
  <c r="M64" i="7"/>
  <c r="CJ66" i="7"/>
  <c r="DE65" i="7"/>
  <c r="BF62" i="7"/>
  <c r="BE62" i="7"/>
  <c r="BD62" i="7"/>
  <c r="BZ66" i="7"/>
  <c r="CU65" i="7"/>
  <c r="EN65" i="7"/>
  <c r="CB66" i="7"/>
  <c r="CW65" i="7"/>
  <c r="E54" i="7"/>
  <c r="BL54" i="7"/>
  <c r="AL55" i="7"/>
  <c r="CD66" i="7"/>
  <c r="CY65" i="7"/>
  <c r="G52" i="32"/>
  <c r="P52" i="32" s="1"/>
  <c r="Q52" i="32" s="1"/>
  <c r="P64" i="7"/>
  <c r="BH63" i="7"/>
  <c r="CA66" i="7"/>
  <c r="CV65" i="7"/>
  <c r="EO65" i="7"/>
  <c r="BT66" i="7"/>
  <c r="CO65" i="7"/>
  <c r="BJ54" i="7"/>
  <c r="BM54" i="7" s="1"/>
  <c r="B54" i="7" s="1"/>
  <c r="C54" i="7"/>
  <c r="F54" i="7" s="1"/>
  <c r="AJ55" i="7"/>
  <c r="CH65" i="7"/>
  <c r="DC64" i="7"/>
  <c r="BN64" i="7"/>
  <c r="M53" i="32" l="1"/>
  <c r="K53" i="32"/>
  <c r="L53" i="32"/>
  <c r="H62" i="7"/>
  <c r="G62" i="7"/>
  <c r="BO63" i="7"/>
  <c r="CI67" i="7"/>
  <c r="DD66" i="7"/>
  <c r="DS66" i="7"/>
  <c r="D55" i="7"/>
  <c r="BK55" i="7"/>
  <c r="AK56" i="7"/>
  <c r="CC68" i="7"/>
  <c r="CX67" i="7"/>
  <c r="CJ67" i="7"/>
  <c r="DE66" i="7"/>
  <c r="BT67" i="7"/>
  <c r="CO66" i="7"/>
  <c r="EO66" i="7"/>
  <c r="E54" i="32"/>
  <c r="AZ64" i="7"/>
  <c r="DO64" i="7" s="1"/>
  <c r="AV64" i="7"/>
  <c r="DK64" i="7" s="1"/>
  <c r="BC64" i="7"/>
  <c r="DR64" i="7" s="1"/>
  <c r="AY64" i="7"/>
  <c r="DN64" i="7" s="1"/>
  <c r="AU64" i="7"/>
  <c r="DJ64" i="7" s="1"/>
  <c r="BB64" i="7"/>
  <c r="DQ64" i="7" s="1"/>
  <c r="AX64" i="7"/>
  <c r="DM64" i="7" s="1"/>
  <c r="AT64" i="7"/>
  <c r="BA64" i="7"/>
  <c r="DP64" i="7" s="1"/>
  <c r="AW64" i="7"/>
  <c r="DL64" i="7" s="1"/>
  <c r="AG64" i="7"/>
  <c r="AH64" i="7"/>
  <c r="AF64" i="7"/>
  <c r="AI64" i="7" s="1"/>
  <c r="CK68" i="7"/>
  <c r="DF67" i="7"/>
  <c r="CF66" i="7"/>
  <c r="DA65" i="7"/>
  <c r="AN65" i="7"/>
  <c r="P65" i="7"/>
  <c r="BW67" i="7"/>
  <c r="CR66" i="7"/>
  <c r="F53" i="32"/>
  <c r="AR64" i="7"/>
  <c r="BI64" i="7" s="1"/>
  <c r="AQ64" i="7"/>
  <c r="AP64" i="7"/>
  <c r="AM65" i="7"/>
  <c r="CE66" i="7"/>
  <c r="CZ65" i="7"/>
  <c r="CH66" i="7"/>
  <c r="DC65" i="7"/>
  <c r="BN65" i="7"/>
  <c r="CA67" i="7"/>
  <c r="CV66" i="7"/>
  <c r="C55" i="7"/>
  <c r="F55" i="7" s="1"/>
  <c r="BJ55" i="7"/>
  <c r="BM55" i="7" s="1"/>
  <c r="B55" i="7" s="1"/>
  <c r="AJ56" i="7"/>
  <c r="D54" i="32"/>
  <c r="N65" i="7"/>
  <c r="CD67" i="7"/>
  <c r="CY66" i="7"/>
  <c r="EN66" i="7"/>
  <c r="BZ67" i="7"/>
  <c r="CU66" i="7"/>
  <c r="BH64" i="7"/>
  <c r="G53" i="32"/>
  <c r="P53" i="32" s="1"/>
  <c r="Q53" i="32" s="1"/>
  <c r="CG67" i="7"/>
  <c r="DB66" i="7"/>
  <c r="AO66" i="7"/>
  <c r="BL55" i="7"/>
  <c r="E55" i="7"/>
  <c r="AL56" i="7"/>
  <c r="CB67" i="7"/>
  <c r="CW66" i="7"/>
  <c r="EC65" i="7"/>
  <c r="DX65" i="7"/>
  <c r="EB65" i="7"/>
  <c r="DW65" i="7"/>
  <c r="EA65" i="7"/>
  <c r="DV65" i="7"/>
  <c r="BS66" i="7"/>
  <c r="EF65" i="7"/>
  <c r="DZ65" i="7"/>
  <c r="CN65" i="7"/>
  <c r="BO64" i="7" s="1"/>
  <c r="M65" i="7"/>
  <c r="BE63" i="7"/>
  <c r="BD63" i="7"/>
  <c r="BF63" i="7"/>
  <c r="BY68" i="7"/>
  <c r="CT67" i="7"/>
  <c r="EM67" i="7"/>
  <c r="DG67" i="7"/>
  <c r="CL68" i="7"/>
  <c r="BU68" i="7"/>
  <c r="CP67" i="7"/>
  <c r="BX67" i="7"/>
  <c r="CS66" i="7"/>
  <c r="BV67" i="7"/>
  <c r="CQ66" i="7"/>
  <c r="BG64" i="7"/>
  <c r="CM67" i="7"/>
  <c r="DH66" i="7"/>
  <c r="DI63" i="7"/>
  <c r="DI64" i="7" s="1"/>
  <c r="L54" i="32" l="1"/>
  <c r="BP64" i="7"/>
  <c r="BQ64" i="7" s="1"/>
  <c r="M54" i="32"/>
  <c r="K54" i="32"/>
  <c r="CM68" i="7"/>
  <c r="DH67" i="7"/>
  <c r="DG68" i="7"/>
  <c r="EM68" i="7"/>
  <c r="CL69" i="7"/>
  <c r="BY69" i="7"/>
  <c r="CT68" i="7"/>
  <c r="E55" i="32"/>
  <c r="BC65" i="7"/>
  <c r="DR65" i="7" s="1"/>
  <c r="AY65" i="7"/>
  <c r="DN65" i="7" s="1"/>
  <c r="AU65" i="7"/>
  <c r="DJ65" i="7" s="1"/>
  <c r="BB65" i="7"/>
  <c r="DQ65" i="7" s="1"/>
  <c r="AX65" i="7"/>
  <c r="DM65" i="7" s="1"/>
  <c r="AT65" i="7"/>
  <c r="BA65" i="7"/>
  <c r="DP65" i="7" s="1"/>
  <c r="AW65" i="7"/>
  <c r="DL65" i="7" s="1"/>
  <c r="AZ65" i="7"/>
  <c r="DO65" i="7" s="1"/>
  <c r="AV65" i="7"/>
  <c r="DK65" i="7" s="1"/>
  <c r="AG65" i="7"/>
  <c r="AH65" i="7"/>
  <c r="AF65" i="7"/>
  <c r="AI65" i="7" s="1"/>
  <c r="EB66" i="7"/>
  <c r="DW66" i="7"/>
  <c r="EA66" i="7"/>
  <c r="DV66" i="7"/>
  <c r="BS67" i="7"/>
  <c r="EF66" i="7"/>
  <c r="DZ66" i="7"/>
  <c r="CN66" i="7"/>
  <c r="EC66" i="7"/>
  <c r="DX66" i="7"/>
  <c r="M66" i="7"/>
  <c r="CB68" i="7"/>
  <c r="CW67" i="7"/>
  <c r="BN66" i="7"/>
  <c r="CH67" i="7"/>
  <c r="DC66" i="7"/>
  <c r="BW68" i="7"/>
  <c r="CR67" i="7"/>
  <c r="BT68" i="7"/>
  <c r="CO67" i="7"/>
  <c r="EO67" i="7"/>
  <c r="BU69" i="7"/>
  <c r="CP68" i="7"/>
  <c r="BX68" i="7"/>
  <c r="CS67" i="7"/>
  <c r="BL56" i="7"/>
  <c r="E56" i="7"/>
  <c r="AL57" i="7"/>
  <c r="CD68" i="7"/>
  <c r="CY67" i="7"/>
  <c r="C56" i="7"/>
  <c r="F56" i="7" s="1"/>
  <c r="BJ56" i="7"/>
  <c r="BM56" i="7" s="1"/>
  <c r="B56" i="7" s="1"/>
  <c r="AJ57" i="7"/>
  <c r="CA68" i="7"/>
  <c r="CV67" i="7"/>
  <c r="D55" i="32"/>
  <c r="N66" i="7"/>
  <c r="CF67" i="7"/>
  <c r="DA66" i="7"/>
  <c r="AN66" i="7"/>
  <c r="BD64" i="7"/>
  <c r="BF64" i="7"/>
  <c r="BE64" i="7"/>
  <c r="CC69" i="7"/>
  <c r="CX68" i="7"/>
  <c r="P66" i="7"/>
  <c r="AO67" i="7"/>
  <c r="CG68" i="7"/>
  <c r="DB67" i="7"/>
  <c r="BZ68" i="7"/>
  <c r="CU67" i="7"/>
  <c r="EN67" i="7"/>
  <c r="F54" i="32"/>
  <c r="AQ65" i="7"/>
  <c r="BH65" i="7" s="1"/>
  <c r="AP65" i="7"/>
  <c r="AR65" i="7"/>
  <c r="BI65" i="7" s="1"/>
  <c r="CE67" i="7"/>
  <c r="CZ66" i="7"/>
  <c r="AM66" i="7"/>
  <c r="CJ68" i="7"/>
  <c r="DE67" i="7"/>
  <c r="BK56" i="7"/>
  <c r="D56" i="7"/>
  <c r="AK57" i="7"/>
  <c r="BP63" i="7"/>
  <c r="BQ63" i="7" s="1"/>
  <c r="DI65" i="7"/>
  <c r="BV68" i="7"/>
  <c r="CQ67" i="7"/>
  <c r="G54" i="32"/>
  <c r="P54" i="32" s="1"/>
  <c r="Q54" i="32" s="1"/>
  <c r="BG65" i="7"/>
  <c r="CK69" i="7"/>
  <c r="DF68" i="7"/>
  <c r="CI68" i="7"/>
  <c r="DD67" i="7"/>
  <c r="DS67" i="7"/>
  <c r="M55" i="32" l="1"/>
  <c r="K55" i="32"/>
  <c r="G64" i="7"/>
  <c r="H64" i="7"/>
  <c r="H63" i="7"/>
  <c r="G63" i="7"/>
  <c r="L55" i="32"/>
  <c r="BP65" i="7"/>
  <c r="EA67" i="7"/>
  <c r="DV67" i="7"/>
  <c r="BS68" i="7"/>
  <c r="EF67" i="7"/>
  <c r="DZ67" i="7"/>
  <c r="CN67" i="7"/>
  <c r="EC67" i="7"/>
  <c r="DX67" i="7"/>
  <c r="EB67" i="7"/>
  <c r="DW67" i="7"/>
  <c r="M67" i="7"/>
  <c r="BF65" i="7"/>
  <c r="BE65" i="7"/>
  <c r="BD65" i="7"/>
  <c r="BY70" i="7"/>
  <c r="CT69" i="7"/>
  <c r="D56" i="32"/>
  <c r="N67" i="7"/>
  <c r="CF68" i="7"/>
  <c r="DA67" i="7"/>
  <c r="AN67" i="7"/>
  <c r="CA69" i="7"/>
  <c r="CV68" i="7"/>
  <c r="BU70" i="7"/>
  <c r="CP69" i="7"/>
  <c r="EO68" i="7"/>
  <c r="BT69" i="7"/>
  <c r="CO68" i="7"/>
  <c r="CH68" i="7"/>
  <c r="DC67" i="7"/>
  <c r="BN67" i="7"/>
  <c r="CB69" i="7"/>
  <c r="CW68" i="7"/>
  <c r="BO65" i="7"/>
  <c r="BQ65" i="7" s="1"/>
  <c r="DG69" i="7"/>
  <c r="EM69" i="7"/>
  <c r="CL70" i="7"/>
  <c r="CM69" i="7"/>
  <c r="DH68" i="7"/>
  <c r="BZ69" i="7"/>
  <c r="CU68" i="7"/>
  <c r="EN68" i="7"/>
  <c r="CE68" i="7"/>
  <c r="CZ67" i="7"/>
  <c r="AM67" i="7"/>
  <c r="P67" i="7"/>
  <c r="CK70" i="7"/>
  <c r="DF69" i="7"/>
  <c r="BK57" i="7"/>
  <c r="D57" i="7"/>
  <c r="AK58" i="7"/>
  <c r="CJ69" i="7"/>
  <c r="DE68" i="7"/>
  <c r="CG69" i="7"/>
  <c r="DB68" i="7"/>
  <c r="AO68" i="7"/>
  <c r="F55" i="32"/>
  <c r="G55" i="32" s="1"/>
  <c r="P55" i="32" s="1"/>
  <c r="Q55" i="32" s="1"/>
  <c r="AP66" i="7"/>
  <c r="AR66" i="7"/>
  <c r="BI66" i="7" s="1"/>
  <c r="AQ66" i="7"/>
  <c r="BJ57" i="7"/>
  <c r="BM57" i="7" s="1"/>
  <c r="B57" i="7" s="1"/>
  <c r="C57" i="7"/>
  <c r="F57" i="7" s="1"/>
  <c r="AJ58" i="7"/>
  <c r="CD69" i="7"/>
  <c r="CY68" i="7"/>
  <c r="E56" i="32"/>
  <c r="BB66" i="7"/>
  <c r="DQ66" i="7" s="1"/>
  <c r="AX66" i="7"/>
  <c r="DM66" i="7" s="1"/>
  <c r="AT66" i="7"/>
  <c r="DI66" i="7" s="1"/>
  <c r="BA66" i="7"/>
  <c r="DP66" i="7" s="1"/>
  <c r="AW66" i="7"/>
  <c r="DL66" i="7" s="1"/>
  <c r="AZ66" i="7"/>
  <c r="DO66" i="7" s="1"/>
  <c r="AV66" i="7"/>
  <c r="DK66" i="7" s="1"/>
  <c r="BC66" i="7"/>
  <c r="DR66" i="7" s="1"/>
  <c r="AY66" i="7"/>
  <c r="DN66" i="7" s="1"/>
  <c r="AU66" i="7"/>
  <c r="DJ66" i="7" s="1"/>
  <c r="AH66" i="7"/>
  <c r="AG66" i="7"/>
  <c r="AF66" i="7"/>
  <c r="AI66" i="7" s="1"/>
  <c r="CI69" i="7"/>
  <c r="DD68" i="7"/>
  <c r="DS68" i="7"/>
  <c r="BV69" i="7"/>
  <c r="CQ68" i="7"/>
  <c r="BG66" i="7"/>
  <c r="CC70" i="7"/>
  <c r="CX69" i="7"/>
  <c r="BH66" i="7"/>
  <c r="E57" i="7"/>
  <c r="BL57" i="7"/>
  <c r="AL58" i="7"/>
  <c r="BX69" i="7"/>
  <c r="CS68" i="7"/>
  <c r="BW69" i="7"/>
  <c r="CR68" i="7"/>
  <c r="BP66" i="7" l="1"/>
  <c r="M56" i="32"/>
  <c r="L56" i="32"/>
  <c r="K56" i="32"/>
  <c r="D57" i="32"/>
  <c r="N68" i="7"/>
  <c r="CM70" i="7"/>
  <c r="DH69" i="7"/>
  <c r="H65" i="7"/>
  <c r="G65" i="7"/>
  <c r="CA70" i="7"/>
  <c r="CV69" i="7"/>
  <c r="F56" i="32"/>
  <c r="AR67" i="7"/>
  <c r="BI67" i="7" s="1"/>
  <c r="AQ67" i="7"/>
  <c r="AP67" i="7"/>
  <c r="BY71" i="7"/>
  <c r="CT70" i="7"/>
  <c r="E57" i="32"/>
  <c r="BA67" i="7"/>
  <c r="DP67" i="7" s="1"/>
  <c r="AW67" i="7"/>
  <c r="DL67" i="7" s="1"/>
  <c r="AZ67" i="7"/>
  <c r="DO67" i="7" s="1"/>
  <c r="AV67" i="7"/>
  <c r="DK67" i="7" s="1"/>
  <c r="BC67" i="7"/>
  <c r="DR67" i="7" s="1"/>
  <c r="AY67" i="7"/>
  <c r="DN67" i="7" s="1"/>
  <c r="AU67" i="7"/>
  <c r="DJ67" i="7" s="1"/>
  <c r="BB67" i="7"/>
  <c r="DQ67" i="7" s="1"/>
  <c r="AX67" i="7"/>
  <c r="DM67" i="7" s="1"/>
  <c r="AT67" i="7"/>
  <c r="AH67" i="7"/>
  <c r="AG67" i="7"/>
  <c r="AF67" i="7"/>
  <c r="AI67" i="7" s="1"/>
  <c r="BS69" i="7"/>
  <c r="EF68" i="7"/>
  <c r="DZ68" i="7"/>
  <c r="CN68" i="7"/>
  <c r="EC68" i="7"/>
  <c r="DX68" i="7"/>
  <c r="EB68" i="7"/>
  <c r="DW68" i="7"/>
  <c r="EA68" i="7"/>
  <c r="DV68" i="7"/>
  <c r="M68" i="7"/>
  <c r="CJ70" i="7"/>
  <c r="DE69" i="7"/>
  <c r="BG67" i="7"/>
  <c r="EM70" i="7"/>
  <c r="DG70" i="7"/>
  <c r="CL71" i="7"/>
  <c r="CH69" i="7"/>
  <c r="DC68" i="7"/>
  <c r="BN68" i="7"/>
  <c r="BH67" i="7"/>
  <c r="G56" i="32"/>
  <c r="P56" i="32" s="1"/>
  <c r="Q56" i="32" s="1"/>
  <c r="BO66" i="7"/>
  <c r="BQ66" i="7" s="1"/>
  <c r="E58" i="7"/>
  <c r="BL58" i="7"/>
  <c r="AL59" i="7"/>
  <c r="BW70" i="7"/>
  <c r="CR69" i="7"/>
  <c r="D58" i="7"/>
  <c r="BK58" i="7"/>
  <c r="AK59" i="7"/>
  <c r="CK71" i="7"/>
  <c r="DF70" i="7"/>
  <c r="BZ70" i="7"/>
  <c r="CU69" i="7"/>
  <c r="EN69" i="7"/>
  <c r="CB70" i="7"/>
  <c r="CW69" i="7"/>
  <c r="BU71" i="7"/>
  <c r="CP70" i="7"/>
  <c r="BF66" i="7"/>
  <c r="BE66" i="7"/>
  <c r="BD66" i="7"/>
  <c r="DS69" i="7"/>
  <c r="CI70" i="7"/>
  <c r="DD69" i="7"/>
  <c r="CC71" i="7"/>
  <c r="CX70" i="7"/>
  <c r="BV70" i="7"/>
  <c r="CQ69" i="7"/>
  <c r="CD70" i="7"/>
  <c r="CY69" i="7"/>
  <c r="BX70" i="7"/>
  <c r="CS69" i="7"/>
  <c r="P68" i="7"/>
  <c r="BJ58" i="7"/>
  <c r="BM58" i="7" s="1"/>
  <c r="B58" i="7" s="1"/>
  <c r="C58" i="7"/>
  <c r="F58" i="7" s="1"/>
  <c r="AJ59" i="7"/>
  <c r="CG70" i="7"/>
  <c r="DB69" i="7"/>
  <c r="AO69" i="7"/>
  <c r="CE69" i="7"/>
  <c r="CZ68" i="7"/>
  <c r="AM68" i="7"/>
  <c r="EO69" i="7"/>
  <c r="BT70" i="7"/>
  <c r="CO69" i="7"/>
  <c r="AN68" i="7"/>
  <c r="CF69" i="7"/>
  <c r="DA68" i="7"/>
  <c r="M57" i="32" l="1"/>
  <c r="K57" i="32"/>
  <c r="L57" i="32"/>
  <c r="CF70" i="7"/>
  <c r="DA69" i="7"/>
  <c r="AN69" i="7"/>
  <c r="AM69" i="7"/>
  <c r="CE70" i="7"/>
  <c r="CZ69" i="7"/>
  <c r="EN70" i="7"/>
  <c r="BZ71" i="7"/>
  <c r="CU70" i="7"/>
  <c r="BL59" i="7"/>
  <c r="E59" i="7"/>
  <c r="AL60" i="7"/>
  <c r="CH70" i="7"/>
  <c r="DC69" i="7"/>
  <c r="BN69" i="7"/>
  <c r="E58" i="32"/>
  <c r="AZ68" i="7"/>
  <c r="DO68" i="7" s="1"/>
  <c r="AV68" i="7"/>
  <c r="DK68" i="7" s="1"/>
  <c r="BC68" i="7"/>
  <c r="DR68" i="7" s="1"/>
  <c r="AY68" i="7"/>
  <c r="DN68" i="7" s="1"/>
  <c r="AU68" i="7"/>
  <c r="DJ68" i="7" s="1"/>
  <c r="BB68" i="7"/>
  <c r="DQ68" i="7" s="1"/>
  <c r="AX68" i="7"/>
  <c r="DM68" i="7" s="1"/>
  <c r="AT68" i="7"/>
  <c r="BA68" i="7"/>
  <c r="DP68" i="7" s="1"/>
  <c r="AW68" i="7"/>
  <c r="DL68" i="7" s="1"/>
  <c r="AH68" i="7"/>
  <c r="AG68" i="7"/>
  <c r="AF68" i="7"/>
  <c r="AI68" i="7" s="1"/>
  <c r="F57" i="32"/>
  <c r="G57" i="32" s="1"/>
  <c r="P57" i="32" s="1"/>
  <c r="Q57" i="32" s="1"/>
  <c r="AR68" i="7"/>
  <c r="BI68" i="7" s="1"/>
  <c r="AQ68" i="7"/>
  <c r="AP68" i="7"/>
  <c r="BH68" i="7"/>
  <c r="BG68" i="7"/>
  <c r="BX71" i="7"/>
  <c r="CS70" i="7"/>
  <c r="BV71" i="7"/>
  <c r="CQ70" i="7"/>
  <c r="CI71" i="7"/>
  <c r="DD70" i="7"/>
  <c r="DS70" i="7"/>
  <c r="CB71" i="7"/>
  <c r="CW70" i="7"/>
  <c r="EM71" i="7"/>
  <c r="DG71" i="7"/>
  <c r="CL72" i="7"/>
  <c r="C59" i="7"/>
  <c r="F59" i="7" s="1"/>
  <c r="BJ59" i="7"/>
  <c r="BM59" i="7" s="1"/>
  <c r="B59" i="7" s="1"/>
  <c r="AJ60" i="7"/>
  <c r="BT71" i="7"/>
  <c r="CO70" i="7"/>
  <c r="EO70" i="7"/>
  <c r="CG71" i="7"/>
  <c r="DB70" i="7"/>
  <c r="AO70" i="7"/>
  <c r="D58" i="32"/>
  <c r="N69" i="7"/>
  <c r="P69" i="7"/>
  <c r="CK72" i="7"/>
  <c r="DF71" i="7"/>
  <c r="CJ71" i="7"/>
  <c r="DE70" i="7"/>
  <c r="EC69" i="7"/>
  <c r="DX69" i="7"/>
  <c r="EB69" i="7"/>
  <c r="DW69" i="7"/>
  <c r="EA69" i="7"/>
  <c r="DV69" i="7"/>
  <c r="BS70" i="7"/>
  <c r="EF69" i="7"/>
  <c r="DZ69" i="7"/>
  <c r="CN69" i="7"/>
  <c r="BO68" i="7" s="1"/>
  <c r="M69" i="7"/>
  <c r="BE67" i="7"/>
  <c r="BD67" i="7"/>
  <c r="BF67" i="7"/>
  <c r="BY72" i="7"/>
  <c r="CT71" i="7"/>
  <c r="DI67" i="7"/>
  <c r="DI68" i="7" s="1"/>
  <c r="CD71" i="7"/>
  <c r="CY70" i="7"/>
  <c r="CC72" i="7"/>
  <c r="CX71" i="7"/>
  <c r="BU72" i="7"/>
  <c r="CP71" i="7"/>
  <c r="D59" i="7"/>
  <c r="BK59" i="7"/>
  <c r="AK60" i="7"/>
  <c r="BW71" i="7"/>
  <c r="CR70" i="7"/>
  <c r="H66" i="7"/>
  <c r="G66" i="7"/>
  <c r="BO67" i="7"/>
  <c r="CA71" i="7"/>
  <c r="CV70" i="7"/>
  <c r="CM71" i="7"/>
  <c r="DH70" i="7"/>
  <c r="L58" i="32" l="1"/>
  <c r="BP68" i="7"/>
  <c r="BQ68" i="7" s="1"/>
  <c r="M58" i="32"/>
  <c r="K58" i="32"/>
  <c r="F58" i="32"/>
  <c r="AQ69" i="7"/>
  <c r="AP69" i="7"/>
  <c r="AR69" i="7"/>
  <c r="BI69" i="7" s="1"/>
  <c r="AO71" i="7"/>
  <c r="CG72" i="7"/>
  <c r="DB71" i="7"/>
  <c r="C60" i="7"/>
  <c r="F60" i="7" s="1"/>
  <c r="BJ60" i="7"/>
  <c r="BM60" i="7" s="1"/>
  <c r="B60" i="7" s="1"/>
  <c r="AJ61" i="7"/>
  <c r="DG72" i="7"/>
  <c r="EM72" i="7"/>
  <c r="CL73" i="7"/>
  <c r="CB72" i="7"/>
  <c r="CW71" i="7"/>
  <c r="BH69" i="7"/>
  <c r="CK73" i="7"/>
  <c r="DF72" i="7"/>
  <c r="G58" i="32"/>
  <c r="P58" i="32" s="1"/>
  <c r="Q58" i="32" s="1"/>
  <c r="P70" i="7"/>
  <c r="BV72" i="7"/>
  <c r="CQ71" i="7"/>
  <c r="BN70" i="7"/>
  <c r="CH71" i="7"/>
  <c r="DC70" i="7"/>
  <c r="CA72" i="7"/>
  <c r="CV71" i="7"/>
  <c r="BW72" i="7"/>
  <c r="CR71" i="7"/>
  <c r="BY73" i="7"/>
  <c r="CT72" i="7"/>
  <c r="E59" i="32"/>
  <c r="BC69" i="7"/>
  <c r="DR69" i="7" s="1"/>
  <c r="AY69" i="7"/>
  <c r="DN69" i="7" s="1"/>
  <c r="AU69" i="7"/>
  <c r="DJ69" i="7" s="1"/>
  <c r="BB69" i="7"/>
  <c r="DQ69" i="7" s="1"/>
  <c r="AX69" i="7"/>
  <c r="DM69" i="7" s="1"/>
  <c r="AT69" i="7"/>
  <c r="DI69" i="7" s="1"/>
  <c r="BA69" i="7"/>
  <c r="DP69" i="7" s="1"/>
  <c r="AW69" i="7"/>
  <c r="DL69" i="7" s="1"/>
  <c r="AZ69" i="7"/>
  <c r="DO69" i="7" s="1"/>
  <c r="AV69" i="7"/>
  <c r="DK69" i="7" s="1"/>
  <c r="AH69" i="7"/>
  <c r="AG69" i="7"/>
  <c r="AF69" i="7"/>
  <c r="AI69" i="7" s="1"/>
  <c r="EB70" i="7"/>
  <c r="DW70" i="7"/>
  <c r="EA70" i="7"/>
  <c r="DV70" i="7"/>
  <c r="BS71" i="7"/>
  <c r="EF70" i="7"/>
  <c r="DZ70" i="7"/>
  <c r="CN70" i="7"/>
  <c r="EC70" i="7"/>
  <c r="DX70" i="7"/>
  <c r="M70" i="7"/>
  <c r="CJ72" i="7"/>
  <c r="DE71" i="7"/>
  <c r="D59" i="32"/>
  <c r="N70" i="7"/>
  <c r="BD68" i="7"/>
  <c r="BF68" i="7"/>
  <c r="BE68" i="7"/>
  <c r="BL60" i="7"/>
  <c r="E60" i="7"/>
  <c r="AL61" i="7"/>
  <c r="BZ72" i="7"/>
  <c r="CU71" i="7"/>
  <c r="EN71" i="7"/>
  <c r="CE71" i="7"/>
  <c r="CZ70" i="7"/>
  <c r="AM70" i="7"/>
  <c r="CF71" i="7"/>
  <c r="DA70" i="7"/>
  <c r="AN70" i="7"/>
  <c r="CC73" i="7"/>
  <c r="CX72" i="7"/>
  <c r="CM72" i="7"/>
  <c r="DH71" i="7"/>
  <c r="BK60" i="7"/>
  <c r="D60" i="7"/>
  <c r="AK61" i="7"/>
  <c r="BU73" i="7"/>
  <c r="CP72" i="7"/>
  <c r="CD72" i="7"/>
  <c r="CY71" i="7"/>
  <c r="BT72" i="7"/>
  <c r="CO71" i="7"/>
  <c r="EO71" i="7"/>
  <c r="CI72" i="7"/>
  <c r="DD71" i="7"/>
  <c r="DS71" i="7"/>
  <c r="BX72" i="7"/>
  <c r="CS71" i="7"/>
  <c r="BG69" i="7"/>
  <c r="BP67" i="7"/>
  <c r="BQ67" i="7" s="1"/>
  <c r="H67" i="7" l="1"/>
  <c r="G67" i="7"/>
  <c r="M59" i="32"/>
  <c r="L59" i="32"/>
  <c r="G68" i="7"/>
  <c r="H68" i="7"/>
  <c r="K59" i="32"/>
  <c r="BP69" i="7"/>
  <c r="F59" i="32"/>
  <c r="AP70" i="7"/>
  <c r="AR70" i="7"/>
  <c r="BI70" i="7" s="1"/>
  <c r="AQ70" i="7"/>
  <c r="E60" i="32"/>
  <c r="BB70" i="7"/>
  <c r="DQ70" i="7" s="1"/>
  <c r="AX70" i="7"/>
  <c r="DM70" i="7" s="1"/>
  <c r="AT70" i="7"/>
  <c r="DI70" i="7" s="1"/>
  <c r="BA70" i="7"/>
  <c r="DP70" i="7" s="1"/>
  <c r="AW70" i="7"/>
  <c r="DL70" i="7" s="1"/>
  <c r="AZ70" i="7"/>
  <c r="DO70" i="7" s="1"/>
  <c r="AV70" i="7"/>
  <c r="DK70" i="7" s="1"/>
  <c r="BC70" i="7"/>
  <c r="DR70" i="7" s="1"/>
  <c r="AY70" i="7"/>
  <c r="DN70" i="7" s="1"/>
  <c r="AU70" i="7"/>
  <c r="DJ70" i="7" s="1"/>
  <c r="AF70" i="7"/>
  <c r="AI70" i="7" s="1"/>
  <c r="AH70" i="7"/>
  <c r="AG70" i="7"/>
  <c r="BW73" i="7"/>
  <c r="CR72" i="7"/>
  <c r="BV73" i="7"/>
  <c r="CQ72" i="7"/>
  <c r="CB73" i="7"/>
  <c r="CW72" i="7"/>
  <c r="BJ61" i="7"/>
  <c r="BM61" i="7" s="1"/>
  <c r="B61" i="7" s="1"/>
  <c r="C61" i="7"/>
  <c r="F61" i="7" s="1"/>
  <c r="AJ62" i="7"/>
  <c r="CG73" i="7"/>
  <c r="DB72" i="7"/>
  <c r="AO72" i="7"/>
  <c r="EO72" i="7"/>
  <c r="BT73" i="7"/>
  <c r="CO72" i="7"/>
  <c r="BH70" i="7"/>
  <c r="BZ73" i="7"/>
  <c r="CU72" i="7"/>
  <c r="EN72" i="7"/>
  <c r="CI73" i="7"/>
  <c r="DD72" i="7"/>
  <c r="DS72" i="7"/>
  <c r="BK61" i="7"/>
  <c r="D61" i="7"/>
  <c r="AK62" i="7"/>
  <c r="CM73" i="7"/>
  <c r="DH72" i="7"/>
  <c r="CE72" i="7"/>
  <c r="CZ71" i="7"/>
  <c r="AM71" i="7"/>
  <c r="E61" i="7"/>
  <c r="BL61" i="7"/>
  <c r="AL62" i="7"/>
  <c r="G59" i="32"/>
  <c r="P59" i="32" s="1"/>
  <c r="Q59" i="32" s="1"/>
  <c r="CH72" i="7"/>
  <c r="DC71" i="7"/>
  <c r="BN71" i="7"/>
  <c r="CK74" i="7"/>
  <c r="DF73" i="7"/>
  <c r="DG73" i="7"/>
  <c r="EM73" i="7"/>
  <c r="CL74" i="7"/>
  <c r="BU74" i="7"/>
  <c r="CP73" i="7"/>
  <c r="BX73" i="7"/>
  <c r="CS72" i="7"/>
  <c r="CD73" i="7"/>
  <c r="CY72" i="7"/>
  <c r="CF72" i="7"/>
  <c r="DA71" i="7"/>
  <c r="AN71" i="7"/>
  <c r="EA71" i="7"/>
  <c r="DV71" i="7"/>
  <c r="BS72" i="7"/>
  <c r="EF71" i="7"/>
  <c r="DZ71" i="7"/>
  <c r="CN71" i="7"/>
  <c r="BO70" i="7" s="1"/>
  <c r="EC71" i="7"/>
  <c r="DX71" i="7"/>
  <c r="EB71" i="7"/>
  <c r="DW71" i="7"/>
  <c r="M71" i="7"/>
  <c r="BF69" i="7"/>
  <c r="BE69" i="7"/>
  <c r="BD69" i="7"/>
  <c r="BY74" i="7"/>
  <c r="CT73" i="7"/>
  <c r="D60" i="32"/>
  <c r="N71" i="7"/>
  <c r="P71" i="7"/>
  <c r="CC74" i="7"/>
  <c r="CX73" i="7"/>
  <c r="BG70" i="7"/>
  <c r="CJ73" i="7"/>
  <c r="DE72" i="7"/>
  <c r="BO69" i="7"/>
  <c r="BQ69" i="7" s="1"/>
  <c r="CA73" i="7"/>
  <c r="CV72" i="7"/>
  <c r="K60" i="32" l="1"/>
  <c r="BP70" i="7"/>
  <c r="BQ70" i="7" s="1"/>
  <c r="L60" i="32"/>
  <c r="M60" i="32"/>
  <c r="E62" i="7"/>
  <c r="BL62" i="7"/>
  <c r="AL63" i="7"/>
  <c r="D62" i="7"/>
  <c r="BK62" i="7"/>
  <c r="AK63" i="7"/>
  <c r="BZ74" i="7"/>
  <c r="CU73" i="7"/>
  <c r="EN73" i="7"/>
  <c r="BJ62" i="7"/>
  <c r="BM62" i="7" s="1"/>
  <c r="B62" i="7" s="1"/>
  <c r="C62" i="7"/>
  <c r="F62" i="7" s="1"/>
  <c r="AJ63" i="7"/>
  <c r="CB74" i="7"/>
  <c r="CW73" i="7"/>
  <c r="BW74" i="7"/>
  <c r="CR73" i="7"/>
  <c r="CC75" i="7"/>
  <c r="CX74" i="7"/>
  <c r="CJ74" i="7"/>
  <c r="DE73" i="7"/>
  <c r="CA74" i="7"/>
  <c r="CV73" i="7"/>
  <c r="CD74" i="7"/>
  <c r="CY73" i="7"/>
  <c r="BU75" i="7"/>
  <c r="CP74" i="7"/>
  <c r="CE73" i="7"/>
  <c r="CZ72" i="7"/>
  <c r="AM72" i="7"/>
  <c r="DS73" i="7"/>
  <c r="CI74" i="7"/>
  <c r="DD73" i="7"/>
  <c r="D61" i="32"/>
  <c r="N72" i="7"/>
  <c r="H69" i="7"/>
  <c r="G69" i="7"/>
  <c r="F60" i="32"/>
  <c r="G60" i="32" s="1"/>
  <c r="P60" i="32" s="1"/>
  <c r="Q60" i="32" s="1"/>
  <c r="AR71" i="7"/>
  <c r="BI71" i="7" s="1"/>
  <c r="AQ71" i="7"/>
  <c r="BH71" i="7" s="1"/>
  <c r="AP71" i="7"/>
  <c r="BY75" i="7"/>
  <c r="CT74" i="7"/>
  <c r="E61" i="32"/>
  <c r="BA71" i="7"/>
  <c r="DP71" i="7" s="1"/>
  <c r="AW71" i="7"/>
  <c r="DL71" i="7" s="1"/>
  <c r="AZ71" i="7"/>
  <c r="DO71" i="7" s="1"/>
  <c r="AV71" i="7"/>
  <c r="DK71" i="7" s="1"/>
  <c r="BC71" i="7"/>
  <c r="DR71" i="7" s="1"/>
  <c r="AY71" i="7"/>
  <c r="DN71" i="7" s="1"/>
  <c r="AU71" i="7"/>
  <c r="DJ71" i="7" s="1"/>
  <c r="BB71" i="7"/>
  <c r="DQ71" i="7" s="1"/>
  <c r="AX71" i="7"/>
  <c r="DM71" i="7" s="1"/>
  <c r="AT71" i="7"/>
  <c r="DI71" i="7" s="1"/>
  <c r="AG71" i="7"/>
  <c r="AF71" i="7"/>
  <c r="AI71" i="7" s="1"/>
  <c r="AH71" i="7"/>
  <c r="BS73" i="7"/>
  <c r="EF72" i="7"/>
  <c r="DZ72" i="7"/>
  <c r="CN72" i="7"/>
  <c r="EC72" i="7"/>
  <c r="DX72" i="7"/>
  <c r="EB72" i="7"/>
  <c r="DW72" i="7"/>
  <c r="EA72" i="7"/>
  <c r="DV72" i="7"/>
  <c r="M72" i="7"/>
  <c r="CH73" i="7"/>
  <c r="DC72" i="7"/>
  <c r="BN72" i="7"/>
  <c r="BV74" i="7"/>
  <c r="CQ73" i="7"/>
  <c r="AN72" i="7"/>
  <c r="CF73" i="7"/>
  <c r="DA72" i="7"/>
  <c r="BX74" i="7"/>
  <c r="CS73" i="7"/>
  <c r="EM74" i="7"/>
  <c r="DG74" i="7"/>
  <c r="CL75" i="7"/>
  <c r="CK75" i="7"/>
  <c r="DF74" i="7"/>
  <c r="BG71" i="7"/>
  <c r="CM74" i="7"/>
  <c r="DH73" i="7"/>
  <c r="P72" i="7"/>
  <c r="EO73" i="7"/>
  <c r="BT74" i="7"/>
  <c r="CO73" i="7"/>
  <c r="CG74" i="7"/>
  <c r="DB73" i="7"/>
  <c r="AO73" i="7"/>
  <c r="BF70" i="7"/>
  <c r="BE70" i="7"/>
  <c r="BD70" i="7"/>
  <c r="L61" i="32" l="1"/>
  <c r="BP71" i="7"/>
  <c r="M61" i="32"/>
  <c r="K61" i="32"/>
  <c r="BV75" i="7"/>
  <c r="CQ74" i="7"/>
  <c r="E62" i="32"/>
  <c r="AZ72" i="7"/>
  <c r="DO72" i="7" s="1"/>
  <c r="AV72" i="7"/>
  <c r="DK72" i="7" s="1"/>
  <c r="BC72" i="7"/>
  <c r="DR72" i="7" s="1"/>
  <c r="AY72" i="7"/>
  <c r="DN72" i="7" s="1"/>
  <c r="AU72" i="7"/>
  <c r="DJ72" i="7" s="1"/>
  <c r="BB72" i="7"/>
  <c r="DQ72" i="7" s="1"/>
  <c r="AX72" i="7"/>
  <c r="DM72" i="7" s="1"/>
  <c r="AT72" i="7"/>
  <c r="BA72" i="7"/>
  <c r="DP72" i="7" s="1"/>
  <c r="AW72" i="7"/>
  <c r="DL72" i="7" s="1"/>
  <c r="AF72" i="7"/>
  <c r="AI72" i="7" s="1"/>
  <c r="AH72" i="7"/>
  <c r="AG72" i="7"/>
  <c r="F61" i="32"/>
  <c r="AR72" i="7"/>
  <c r="BI72" i="7" s="1"/>
  <c r="AQ72" i="7"/>
  <c r="AP72" i="7"/>
  <c r="CA75" i="7"/>
  <c r="CV74" i="7"/>
  <c r="CC76" i="7"/>
  <c r="CX75" i="7"/>
  <c r="CB75" i="7"/>
  <c r="CW74" i="7"/>
  <c r="BT75" i="7"/>
  <c r="CO74" i="7"/>
  <c r="EO74" i="7"/>
  <c r="CK76" i="7"/>
  <c r="DF75" i="7"/>
  <c r="CG75" i="7"/>
  <c r="DB74" i="7"/>
  <c r="AO74" i="7"/>
  <c r="D62" i="32"/>
  <c r="N73" i="7"/>
  <c r="CF74" i="7"/>
  <c r="DA73" i="7"/>
  <c r="AN73" i="7"/>
  <c r="G61" i="32"/>
  <c r="P61" i="32" s="1"/>
  <c r="Q61" i="32" s="1"/>
  <c r="CI75" i="7"/>
  <c r="DD74" i="7"/>
  <c r="DS74" i="7"/>
  <c r="AM73" i="7"/>
  <c r="CE74" i="7"/>
  <c r="CZ73" i="7"/>
  <c r="CD75" i="7"/>
  <c r="CY74" i="7"/>
  <c r="C63" i="7"/>
  <c r="F63" i="7" s="1"/>
  <c r="BJ63" i="7"/>
  <c r="BM63" i="7" s="1"/>
  <c r="B63" i="7" s="1"/>
  <c r="AJ64" i="7"/>
  <c r="H70" i="7"/>
  <c r="G70" i="7"/>
  <c r="BH72" i="7"/>
  <c r="EC73" i="7"/>
  <c r="DX73" i="7"/>
  <c r="EB73" i="7"/>
  <c r="DW73" i="7"/>
  <c r="EA73" i="7"/>
  <c r="DV73" i="7"/>
  <c r="BS74" i="7"/>
  <c r="EF73" i="7"/>
  <c r="DZ73" i="7"/>
  <c r="CN73" i="7"/>
  <c r="M73" i="7"/>
  <c r="BE71" i="7"/>
  <c r="BD71" i="7"/>
  <c r="BF71" i="7"/>
  <c r="BY76" i="7"/>
  <c r="CT75" i="7"/>
  <c r="P73" i="7"/>
  <c r="CJ75" i="7"/>
  <c r="DE74" i="7"/>
  <c r="BW75" i="7"/>
  <c r="CR74" i="7"/>
  <c r="EN74" i="7"/>
  <c r="BZ75" i="7"/>
  <c r="CU74" i="7"/>
  <c r="BL63" i="7"/>
  <c r="E63" i="7"/>
  <c r="AL64" i="7"/>
  <c r="CM75" i="7"/>
  <c r="DH74" i="7"/>
  <c r="EM75" i="7"/>
  <c r="DG75" i="7"/>
  <c r="CL76" i="7"/>
  <c r="BX75" i="7"/>
  <c r="CS74" i="7"/>
  <c r="CH74" i="7"/>
  <c r="DC73" i="7"/>
  <c r="BN73" i="7"/>
  <c r="BO71" i="7"/>
  <c r="BQ71" i="7" s="1"/>
  <c r="BG72" i="7"/>
  <c r="BU76" i="7"/>
  <c r="CP75" i="7"/>
  <c r="D63" i="7"/>
  <c r="BK63" i="7"/>
  <c r="AK64" i="7"/>
  <c r="L62" i="32" l="1"/>
  <c r="M62" i="32"/>
  <c r="K62" i="32"/>
  <c r="H71" i="7"/>
  <c r="G71" i="7"/>
  <c r="CJ76" i="7"/>
  <c r="DE75" i="7"/>
  <c r="BY77" i="7"/>
  <c r="CT76" i="7"/>
  <c r="E63" i="32"/>
  <c r="BC73" i="7"/>
  <c r="DR73" i="7" s="1"/>
  <c r="AY73" i="7"/>
  <c r="DN73" i="7" s="1"/>
  <c r="AU73" i="7"/>
  <c r="DJ73" i="7" s="1"/>
  <c r="BB73" i="7"/>
  <c r="DQ73" i="7" s="1"/>
  <c r="AX73" i="7"/>
  <c r="DM73" i="7" s="1"/>
  <c r="AT73" i="7"/>
  <c r="BA73" i="7"/>
  <c r="DP73" i="7" s="1"/>
  <c r="AW73" i="7"/>
  <c r="DL73" i="7" s="1"/>
  <c r="AZ73" i="7"/>
  <c r="DO73" i="7" s="1"/>
  <c r="AV73" i="7"/>
  <c r="DK73" i="7" s="1"/>
  <c r="AH73" i="7"/>
  <c r="AF73" i="7"/>
  <c r="AI73" i="7" s="1"/>
  <c r="AG73" i="7"/>
  <c r="EB74" i="7"/>
  <c r="DW74" i="7"/>
  <c r="EA74" i="7"/>
  <c r="DV74" i="7"/>
  <c r="BS75" i="7"/>
  <c r="EF74" i="7"/>
  <c r="DZ74" i="7"/>
  <c r="CN74" i="7"/>
  <c r="EC74" i="7"/>
  <c r="DX74" i="7"/>
  <c r="M74" i="7"/>
  <c r="CE75" i="7"/>
  <c r="CZ74" i="7"/>
  <c r="AM74" i="7"/>
  <c r="CI76" i="7"/>
  <c r="DD75" i="7"/>
  <c r="DS75" i="7"/>
  <c r="CK77" i="7"/>
  <c r="DF76" i="7"/>
  <c r="BV76" i="7"/>
  <c r="CQ75" i="7"/>
  <c r="BX76" i="7"/>
  <c r="CS75" i="7"/>
  <c r="D63" i="32"/>
  <c r="N74" i="7"/>
  <c r="BO72" i="7"/>
  <c r="CF75" i="7"/>
  <c r="DA74" i="7"/>
  <c r="AN74" i="7"/>
  <c r="CB76" i="7"/>
  <c r="CW75" i="7"/>
  <c r="CA76" i="7"/>
  <c r="CV75" i="7"/>
  <c r="BN74" i="7"/>
  <c r="CH75" i="7"/>
  <c r="DC74" i="7"/>
  <c r="BK64" i="7"/>
  <c r="D64" i="7"/>
  <c r="AK65" i="7"/>
  <c r="BU77" i="7"/>
  <c r="CP76" i="7"/>
  <c r="DG76" i="7"/>
  <c r="EM76" i="7"/>
  <c r="CL77" i="7"/>
  <c r="CM76" i="7"/>
  <c r="DH75" i="7"/>
  <c r="BW76" i="7"/>
  <c r="CR75" i="7"/>
  <c r="C64" i="7"/>
  <c r="F64" i="7" s="1"/>
  <c r="BJ64" i="7"/>
  <c r="BM64" i="7" s="1"/>
  <c r="B64" i="7" s="1"/>
  <c r="AJ65" i="7"/>
  <c r="CD76" i="7"/>
  <c r="CY75" i="7"/>
  <c r="P74" i="7"/>
  <c r="F62" i="32"/>
  <c r="AQ73" i="7"/>
  <c r="BH73" i="7" s="1"/>
  <c r="AP73" i="7"/>
  <c r="BG73" i="7" s="1"/>
  <c r="AR73" i="7"/>
  <c r="BI73" i="7" s="1"/>
  <c r="AO75" i="7"/>
  <c r="CG76" i="7"/>
  <c r="DB75" i="7"/>
  <c r="BD72" i="7"/>
  <c r="BF72" i="7"/>
  <c r="BE72" i="7"/>
  <c r="DI72" i="7"/>
  <c r="DI73" i="7" s="1"/>
  <c r="BL64" i="7"/>
  <c r="E64" i="7"/>
  <c r="AL65" i="7"/>
  <c r="BZ76" i="7"/>
  <c r="CU75" i="7"/>
  <c r="EN75" i="7"/>
  <c r="G62" i="32"/>
  <c r="P62" i="32" s="1"/>
  <c r="Q62" i="32" s="1"/>
  <c r="BT76" i="7"/>
  <c r="CO75" i="7"/>
  <c r="EO75" i="7"/>
  <c r="CC77" i="7"/>
  <c r="CX76" i="7"/>
  <c r="K63" i="32" l="1"/>
  <c r="L63" i="32"/>
  <c r="BP73" i="7"/>
  <c r="M63" i="32"/>
  <c r="BZ77" i="7"/>
  <c r="CU76" i="7"/>
  <c r="EN76" i="7"/>
  <c r="E65" i="7"/>
  <c r="BL65" i="7"/>
  <c r="AL66" i="7"/>
  <c r="CG77" i="7"/>
  <c r="DB76" i="7"/>
  <c r="AO76" i="7"/>
  <c r="CD77" i="7"/>
  <c r="CY76" i="7"/>
  <c r="DG77" i="7"/>
  <c r="EM77" i="7"/>
  <c r="CL78" i="7"/>
  <c r="BU78" i="7"/>
  <c r="CP77" i="7"/>
  <c r="BX77" i="7"/>
  <c r="CS76" i="7"/>
  <c r="CK78" i="7"/>
  <c r="DF77" i="7"/>
  <c r="CI77" i="7"/>
  <c r="DD76" i="7"/>
  <c r="DS76" i="7"/>
  <c r="E64" i="32"/>
  <c r="BB74" i="7"/>
  <c r="DQ74" i="7" s="1"/>
  <c r="AX74" i="7"/>
  <c r="DM74" i="7" s="1"/>
  <c r="AT74" i="7"/>
  <c r="BA74" i="7"/>
  <c r="DP74" i="7" s="1"/>
  <c r="AW74" i="7"/>
  <c r="DL74" i="7" s="1"/>
  <c r="AZ74" i="7"/>
  <c r="DO74" i="7" s="1"/>
  <c r="AV74" i="7"/>
  <c r="DK74" i="7" s="1"/>
  <c r="BC74" i="7"/>
  <c r="DR74" i="7" s="1"/>
  <c r="AY74" i="7"/>
  <c r="DN74" i="7" s="1"/>
  <c r="AU74" i="7"/>
  <c r="DJ74" i="7" s="1"/>
  <c r="AG74" i="7"/>
  <c r="AF74" i="7"/>
  <c r="AI74" i="7" s="1"/>
  <c r="AH74" i="7"/>
  <c r="CJ77" i="7"/>
  <c r="DE76" i="7"/>
  <c r="BK65" i="7"/>
  <c r="D65" i="7"/>
  <c r="AK66" i="7"/>
  <c r="CA77" i="7"/>
  <c r="CV76" i="7"/>
  <c r="F63" i="32"/>
  <c r="AP74" i="7"/>
  <c r="BG74" i="7" s="1"/>
  <c r="AR74" i="7"/>
  <c r="BI74" i="7" s="1"/>
  <c r="AQ74" i="7"/>
  <c r="BH74" i="7" s="1"/>
  <c r="BJ65" i="7"/>
  <c r="BM65" i="7" s="1"/>
  <c r="B65" i="7" s="1"/>
  <c r="C65" i="7"/>
  <c r="F65" i="7" s="1"/>
  <c r="AJ66" i="7"/>
  <c r="BW77" i="7"/>
  <c r="CR76" i="7"/>
  <c r="EO76" i="7"/>
  <c r="BT77" i="7"/>
  <c r="CO76" i="7"/>
  <c r="D64" i="32"/>
  <c r="N75" i="7"/>
  <c r="CH76" i="7"/>
  <c r="DC75" i="7"/>
  <c r="BN75" i="7"/>
  <c r="CF76" i="7"/>
  <c r="DA75" i="7"/>
  <c r="AN75" i="7"/>
  <c r="G63" i="32"/>
  <c r="P63" i="32" s="1"/>
  <c r="Q63" i="32" s="1"/>
  <c r="BV77" i="7"/>
  <c r="CQ76" i="7"/>
  <c r="P75" i="7"/>
  <c r="EA75" i="7"/>
  <c r="DV75" i="7"/>
  <c r="BS76" i="7"/>
  <c r="EF75" i="7"/>
  <c r="DZ75" i="7"/>
  <c r="CN75" i="7"/>
  <c r="EC75" i="7"/>
  <c r="DX75" i="7"/>
  <c r="EB75" i="7"/>
  <c r="DW75" i="7"/>
  <c r="M75" i="7"/>
  <c r="BF73" i="7"/>
  <c r="BE73" i="7"/>
  <c r="BD73" i="7"/>
  <c r="BY78" i="7"/>
  <c r="CT77" i="7"/>
  <c r="BP72" i="7"/>
  <c r="BQ72" i="7" s="1"/>
  <c r="CC78" i="7"/>
  <c r="CX77" i="7"/>
  <c r="CM77" i="7"/>
  <c r="DH76" i="7"/>
  <c r="CB77" i="7"/>
  <c r="CW76" i="7"/>
  <c r="CE76" i="7"/>
  <c r="CZ75" i="7"/>
  <c r="AM75" i="7"/>
  <c r="BO73" i="7"/>
  <c r="BQ73" i="7" s="1"/>
  <c r="K64" i="32" l="1"/>
  <c r="G72" i="7"/>
  <c r="H72" i="7"/>
  <c r="L64" i="32"/>
  <c r="M64" i="32"/>
  <c r="H73" i="7"/>
  <c r="G73" i="7"/>
  <c r="CM78" i="7"/>
  <c r="DH77" i="7"/>
  <c r="CB78" i="7"/>
  <c r="CW77" i="7"/>
  <c r="BO74" i="7"/>
  <c r="CH77" i="7"/>
  <c r="DC76" i="7"/>
  <c r="BN76" i="7"/>
  <c r="EO77" i="7"/>
  <c r="BT78" i="7"/>
  <c r="CO77" i="7"/>
  <c r="BJ66" i="7"/>
  <c r="BM66" i="7" s="1"/>
  <c r="B66" i="7" s="1"/>
  <c r="C66" i="7"/>
  <c r="F66" i="7" s="1"/>
  <c r="AJ67" i="7"/>
  <c r="CA78" i="7"/>
  <c r="CV77" i="7"/>
  <c r="EM78" i="7"/>
  <c r="DG78" i="7"/>
  <c r="CL79" i="7"/>
  <c r="CD78" i="7"/>
  <c r="CY77" i="7"/>
  <c r="E66" i="7"/>
  <c r="BL66" i="7"/>
  <c r="AL67" i="7"/>
  <c r="CC79" i="7"/>
  <c r="CX78" i="7"/>
  <c r="CE77" i="7"/>
  <c r="CZ76" i="7"/>
  <c r="AM76" i="7"/>
  <c r="BV78" i="7"/>
  <c r="CQ77" i="7"/>
  <c r="AN76" i="7"/>
  <c r="CF77" i="7"/>
  <c r="DA76" i="7"/>
  <c r="F64" i="32"/>
  <c r="AR75" i="7"/>
  <c r="BI75" i="7" s="1"/>
  <c r="AQ75" i="7"/>
  <c r="AP75" i="7"/>
  <c r="D66" i="7"/>
  <c r="BK66" i="7"/>
  <c r="AK67" i="7"/>
  <c r="BF74" i="7"/>
  <c r="BE74" i="7"/>
  <c r="BD74" i="7"/>
  <c r="P76" i="7"/>
  <c r="CK79" i="7"/>
  <c r="DF78" i="7"/>
  <c r="G64" i="32"/>
  <c r="P64" i="32" s="1"/>
  <c r="Q64" i="32" s="1"/>
  <c r="CJ78" i="7"/>
  <c r="DE77" i="7"/>
  <c r="BZ78" i="7"/>
  <c r="CU77" i="7"/>
  <c r="EN77" i="7"/>
  <c r="BG75" i="7"/>
  <c r="BY79" i="7"/>
  <c r="CT78" i="7"/>
  <c r="E65" i="32"/>
  <c r="BA75" i="7"/>
  <c r="DP75" i="7" s="1"/>
  <c r="AW75" i="7"/>
  <c r="DL75" i="7" s="1"/>
  <c r="AZ75" i="7"/>
  <c r="DO75" i="7" s="1"/>
  <c r="AV75" i="7"/>
  <c r="DK75" i="7" s="1"/>
  <c r="BC75" i="7"/>
  <c r="DR75" i="7" s="1"/>
  <c r="AY75" i="7"/>
  <c r="DN75" i="7" s="1"/>
  <c r="AU75" i="7"/>
  <c r="DJ75" i="7" s="1"/>
  <c r="BB75" i="7"/>
  <c r="DQ75" i="7" s="1"/>
  <c r="AX75" i="7"/>
  <c r="DM75" i="7" s="1"/>
  <c r="AT75" i="7"/>
  <c r="AG75" i="7"/>
  <c r="AH75" i="7"/>
  <c r="AF75" i="7"/>
  <c r="AI75" i="7" s="1"/>
  <c r="BS77" i="7"/>
  <c r="EF76" i="7"/>
  <c r="DZ76" i="7"/>
  <c r="CN76" i="7"/>
  <c r="BO75" i="7" s="1"/>
  <c r="EC76" i="7"/>
  <c r="DX76" i="7"/>
  <c r="EB76" i="7"/>
  <c r="DW76" i="7"/>
  <c r="EA76" i="7"/>
  <c r="DV76" i="7"/>
  <c r="M76" i="7"/>
  <c r="D65" i="32"/>
  <c r="N76" i="7"/>
  <c r="BH75" i="7"/>
  <c r="BW78" i="7"/>
  <c r="CR77" i="7"/>
  <c r="DS77" i="7"/>
  <c r="CI78" i="7"/>
  <c r="DD77" i="7"/>
  <c r="BX78" i="7"/>
  <c r="CS77" i="7"/>
  <c r="BU79" i="7"/>
  <c r="CP78" i="7"/>
  <c r="CG78" i="7"/>
  <c r="DB77" i="7"/>
  <c r="AO77" i="7"/>
  <c r="DI74" i="7"/>
  <c r="DI75" i="7" s="1"/>
  <c r="BP75" i="7" l="1"/>
  <c r="M65" i="32"/>
  <c r="K65" i="32"/>
  <c r="BQ75" i="7"/>
  <c r="L65" i="32"/>
  <c r="BW79" i="7"/>
  <c r="CR78" i="7"/>
  <c r="E66" i="32"/>
  <c r="AZ76" i="7"/>
  <c r="DO76" i="7" s="1"/>
  <c r="AV76" i="7"/>
  <c r="DK76" i="7" s="1"/>
  <c r="BC76" i="7"/>
  <c r="DR76" i="7" s="1"/>
  <c r="AY76" i="7"/>
  <c r="DN76" i="7" s="1"/>
  <c r="AU76" i="7"/>
  <c r="DJ76" i="7" s="1"/>
  <c r="BB76" i="7"/>
  <c r="DQ76" i="7" s="1"/>
  <c r="AX76" i="7"/>
  <c r="DM76" i="7" s="1"/>
  <c r="AT76" i="7"/>
  <c r="BA76" i="7"/>
  <c r="DP76" i="7" s="1"/>
  <c r="AW76" i="7"/>
  <c r="DL76" i="7" s="1"/>
  <c r="AG76" i="7"/>
  <c r="AF76" i="7"/>
  <c r="AI76" i="7" s="1"/>
  <c r="AH76" i="7"/>
  <c r="CJ79" i="7"/>
  <c r="DE78" i="7"/>
  <c r="AM77" i="7"/>
  <c r="CE78" i="7"/>
  <c r="CZ77" i="7"/>
  <c r="EM79" i="7"/>
  <c r="DG79" i="7"/>
  <c r="CL80" i="7"/>
  <c r="CA79" i="7"/>
  <c r="CV78" i="7"/>
  <c r="CB79" i="7"/>
  <c r="CW78" i="7"/>
  <c r="BP74" i="7"/>
  <c r="BX79" i="7"/>
  <c r="CS78" i="7"/>
  <c r="BU80" i="7"/>
  <c r="CP79" i="7"/>
  <c r="CI79" i="7"/>
  <c r="DD78" i="7"/>
  <c r="DS78" i="7"/>
  <c r="CK80" i="7"/>
  <c r="DF79" i="7"/>
  <c r="BV79" i="7"/>
  <c r="CQ78" i="7"/>
  <c r="C67" i="7"/>
  <c r="F67" i="7" s="1"/>
  <c r="BJ67" i="7"/>
  <c r="BM67" i="7" s="1"/>
  <c r="B67" i="7" s="1"/>
  <c r="AJ68" i="7"/>
  <c r="BT79" i="7"/>
  <c r="CO78" i="7"/>
  <c r="EO78" i="7"/>
  <c r="CH78" i="7"/>
  <c r="DC77" i="7"/>
  <c r="BN77" i="7"/>
  <c r="DI76" i="7"/>
  <c r="P77" i="7"/>
  <c r="F65" i="32"/>
  <c r="AR76" i="7"/>
  <c r="BI76" i="7" s="1"/>
  <c r="AQ76" i="7"/>
  <c r="AP76" i="7"/>
  <c r="EC77" i="7"/>
  <c r="DX77" i="7"/>
  <c r="EB77" i="7"/>
  <c r="DW77" i="7"/>
  <c r="EA77" i="7"/>
  <c r="DV77" i="7"/>
  <c r="BS78" i="7"/>
  <c r="EF77" i="7"/>
  <c r="DZ77" i="7"/>
  <c r="CN77" i="7"/>
  <c r="M77" i="7"/>
  <c r="BE75" i="7"/>
  <c r="BD75" i="7"/>
  <c r="BF75" i="7"/>
  <c r="BY80" i="7"/>
  <c r="CT79" i="7"/>
  <c r="EN78" i="7"/>
  <c r="BZ79" i="7"/>
  <c r="CU78" i="7"/>
  <c r="D66" i="32"/>
  <c r="N77" i="7"/>
  <c r="CF78" i="7"/>
  <c r="DA77" i="7"/>
  <c r="AN77" i="7"/>
  <c r="BG76" i="7"/>
  <c r="CC80" i="7"/>
  <c r="CX79" i="7"/>
  <c r="BQ74" i="7"/>
  <c r="CM79" i="7"/>
  <c r="DH78" i="7"/>
  <c r="CG79" i="7"/>
  <c r="DB78" i="7"/>
  <c r="AO78" i="7"/>
  <c r="G65" i="32"/>
  <c r="P65" i="32" s="1"/>
  <c r="Q65" i="32" s="1"/>
  <c r="D67" i="7"/>
  <c r="BK67" i="7"/>
  <c r="AK68" i="7"/>
  <c r="BH76" i="7"/>
  <c r="BL67" i="7"/>
  <c r="E67" i="7"/>
  <c r="AL68" i="7"/>
  <c r="CD79" i="7"/>
  <c r="CY78" i="7"/>
  <c r="L66" i="32" l="1"/>
  <c r="BP76" i="7"/>
  <c r="M66" i="32"/>
  <c r="K66" i="32"/>
  <c r="CD80" i="7"/>
  <c r="CY79" i="7"/>
  <c r="CC81" i="7"/>
  <c r="CX80" i="7"/>
  <c r="CF79" i="7"/>
  <c r="DA78" i="7"/>
  <c r="AN78" i="7"/>
  <c r="BZ80" i="7"/>
  <c r="CU79" i="7"/>
  <c r="EN79" i="7"/>
  <c r="BO76" i="7"/>
  <c r="BQ76" i="7" s="1"/>
  <c r="CK81" i="7"/>
  <c r="DF80" i="7"/>
  <c r="BX80" i="7"/>
  <c r="CS79" i="7"/>
  <c r="H75" i="7"/>
  <c r="G75" i="7"/>
  <c r="CM80" i="7"/>
  <c r="DH79" i="7"/>
  <c r="F66" i="32"/>
  <c r="AQ77" i="7"/>
  <c r="AP77" i="7"/>
  <c r="AR77" i="7"/>
  <c r="BI77" i="7" s="1"/>
  <c r="D67" i="32"/>
  <c r="N78" i="7"/>
  <c r="BT80" i="7"/>
  <c r="CO79" i="7"/>
  <c r="EO79" i="7"/>
  <c r="P78" i="7"/>
  <c r="BU81" i="7"/>
  <c r="CP80" i="7"/>
  <c r="CA80" i="7"/>
  <c r="CV79" i="7"/>
  <c r="CJ80" i="7"/>
  <c r="DE79" i="7"/>
  <c r="BW80" i="7"/>
  <c r="CR79" i="7"/>
  <c r="BK68" i="7"/>
  <c r="D68" i="7"/>
  <c r="AK69" i="7"/>
  <c r="H74" i="7"/>
  <c r="G74" i="7"/>
  <c r="BH77" i="7"/>
  <c r="G66" i="32"/>
  <c r="P66" i="32" s="1"/>
  <c r="Q66" i="32" s="1"/>
  <c r="BN78" i="7"/>
  <c r="CH79" i="7"/>
  <c r="DC78" i="7"/>
  <c r="C68" i="7"/>
  <c r="F68" i="7" s="1"/>
  <c r="BJ68" i="7"/>
  <c r="BM68" i="7" s="1"/>
  <c r="B68" i="7" s="1"/>
  <c r="AJ69" i="7"/>
  <c r="BV80" i="7"/>
  <c r="CQ79" i="7"/>
  <c r="DG80" i="7"/>
  <c r="EM80" i="7"/>
  <c r="CL81" i="7"/>
  <c r="CE79" i="7"/>
  <c r="CZ78" i="7"/>
  <c r="AM78" i="7"/>
  <c r="BL68" i="7"/>
  <c r="E68" i="7"/>
  <c r="AL69" i="7"/>
  <c r="AO79" i="7"/>
  <c r="CG80" i="7"/>
  <c r="DB79" i="7"/>
  <c r="BY81" i="7"/>
  <c r="CT80" i="7"/>
  <c r="E67" i="32"/>
  <c r="BC77" i="7"/>
  <c r="DR77" i="7" s="1"/>
  <c r="AY77" i="7"/>
  <c r="DN77" i="7" s="1"/>
  <c r="AU77" i="7"/>
  <c r="DJ77" i="7" s="1"/>
  <c r="BB77" i="7"/>
  <c r="DQ77" i="7" s="1"/>
  <c r="AX77" i="7"/>
  <c r="DM77" i="7" s="1"/>
  <c r="AT77" i="7"/>
  <c r="BA77" i="7"/>
  <c r="DP77" i="7" s="1"/>
  <c r="AW77" i="7"/>
  <c r="DL77" i="7" s="1"/>
  <c r="AZ77" i="7"/>
  <c r="DO77" i="7" s="1"/>
  <c r="AV77" i="7"/>
  <c r="DK77" i="7" s="1"/>
  <c r="AG77" i="7"/>
  <c r="AH77" i="7"/>
  <c r="AF77" i="7"/>
  <c r="AI77" i="7" s="1"/>
  <c r="EB78" i="7"/>
  <c r="DW78" i="7"/>
  <c r="EA78" i="7"/>
  <c r="DV78" i="7"/>
  <c r="BS79" i="7"/>
  <c r="EF78" i="7"/>
  <c r="DZ78" i="7"/>
  <c r="CN78" i="7"/>
  <c r="BO77" i="7" s="1"/>
  <c r="EC78" i="7"/>
  <c r="DX78" i="7"/>
  <c r="M78" i="7"/>
  <c r="DI77" i="7"/>
  <c r="CI80" i="7"/>
  <c r="DD79" i="7"/>
  <c r="DS79" i="7"/>
  <c r="CB80" i="7"/>
  <c r="CW79" i="7"/>
  <c r="BG77" i="7"/>
  <c r="BD76" i="7"/>
  <c r="BF76" i="7"/>
  <c r="BE76" i="7"/>
  <c r="BP77" i="7" l="1"/>
  <c r="M67" i="32"/>
  <c r="BQ77" i="7"/>
  <c r="K67" i="32"/>
  <c r="L67" i="32"/>
  <c r="CI81" i="7"/>
  <c r="DD80" i="7"/>
  <c r="DS80" i="7"/>
  <c r="EA79" i="7"/>
  <c r="DV79" i="7"/>
  <c r="BS80" i="7"/>
  <c r="EF79" i="7"/>
  <c r="DZ79" i="7"/>
  <c r="CN79" i="7"/>
  <c r="EC79" i="7"/>
  <c r="DX79" i="7"/>
  <c r="EB79" i="7"/>
  <c r="DW79" i="7"/>
  <c r="M79" i="7"/>
  <c r="BF77" i="7"/>
  <c r="BE77" i="7"/>
  <c r="BD77" i="7"/>
  <c r="BY82" i="7"/>
  <c r="CT81" i="7"/>
  <c r="E69" i="7"/>
  <c r="BL69" i="7"/>
  <c r="AL70" i="7"/>
  <c r="EO80" i="7"/>
  <c r="BT81" i="7"/>
  <c r="CO80" i="7"/>
  <c r="BX81" i="7"/>
  <c r="CS80" i="7"/>
  <c r="G76" i="7"/>
  <c r="H76" i="7"/>
  <c r="CC82" i="7"/>
  <c r="CX81" i="7"/>
  <c r="CE80" i="7"/>
  <c r="CZ79" i="7"/>
  <c r="AM79" i="7"/>
  <c r="BK69" i="7"/>
  <c r="D69" i="7"/>
  <c r="AK70" i="7"/>
  <c r="BW81" i="7"/>
  <c r="CR80" i="7"/>
  <c r="CA81" i="7"/>
  <c r="CV80" i="7"/>
  <c r="D68" i="32"/>
  <c r="N79" i="7"/>
  <c r="F67" i="32"/>
  <c r="AP78" i="7"/>
  <c r="AR78" i="7"/>
  <c r="BI78" i="7" s="1"/>
  <c r="AQ78" i="7"/>
  <c r="BH78" i="7" s="1"/>
  <c r="E68" i="32"/>
  <c r="BB78" i="7"/>
  <c r="DQ78" i="7" s="1"/>
  <c r="AX78" i="7"/>
  <c r="DM78" i="7" s="1"/>
  <c r="AT78" i="7"/>
  <c r="DI78" i="7" s="1"/>
  <c r="BA78" i="7"/>
  <c r="DP78" i="7" s="1"/>
  <c r="AW78" i="7"/>
  <c r="DL78" i="7" s="1"/>
  <c r="AZ78" i="7"/>
  <c r="DO78" i="7" s="1"/>
  <c r="AV78" i="7"/>
  <c r="DK78" i="7" s="1"/>
  <c r="BC78" i="7"/>
  <c r="DR78" i="7" s="1"/>
  <c r="AY78" i="7"/>
  <c r="DN78" i="7" s="1"/>
  <c r="AU78" i="7"/>
  <c r="DJ78" i="7" s="1"/>
  <c r="AG78" i="7"/>
  <c r="AF78" i="7"/>
  <c r="AI78" i="7" s="1"/>
  <c r="AH78" i="7"/>
  <c r="CG81" i="7"/>
  <c r="DB80" i="7"/>
  <c r="AO80" i="7"/>
  <c r="DG81" i="7"/>
  <c r="EM81" i="7"/>
  <c r="CL82" i="7"/>
  <c r="BV81" i="7"/>
  <c r="CQ80" i="7"/>
  <c r="G67" i="32"/>
  <c r="P67" i="32" s="1"/>
  <c r="Q67" i="32" s="1"/>
  <c r="CK82" i="7"/>
  <c r="DF81" i="7"/>
  <c r="CF80" i="7"/>
  <c r="DA79" i="7"/>
  <c r="AN79" i="7"/>
  <c r="CD81" i="7"/>
  <c r="CY80" i="7"/>
  <c r="CB81" i="7"/>
  <c r="CW80" i="7"/>
  <c r="P79" i="7"/>
  <c r="BG78" i="7"/>
  <c r="BJ69" i="7"/>
  <c r="BM69" i="7" s="1"/>
  <c r="B69" i="7" s="1"/>
  <c r="C69" i="7"/>
  <c r="F69" i="7" s="1"/>
  <c r="AJ70" i="7"/>
  <c r="CH80" i="7"/>
  <c r="DC79" i="7"/>
  <c r="BN79" i="7"/>
  <c r="CJ81" i="7"/>
  <c r="DE80" i="7"/>
  <c r="BU82" i="7"/>
  <c r="CP81" i="7"/>
  <c r="CM81" i="7"/>
  <c r="DH80" i="7"/>
  <c r="BZ81" i="7"/>
  <c r="CU80" i="7"/>
  <c r="EN80" i="7"/>
  <c r="K68" i="32" l="1"/>
  <c r="BP78" i="7"/>
  <c r="L68" i="32"/>
  <c r="M68" i="32"/>
  <c r="D69" i="32"/>
  <c r="N80" i="7"/>
  <c r="CD82" i="7"/>
  <c r="CY81" i="7"/>
  <c r="BV82" i="7"/>
  <c r="CQ81" i="7"/>
  <c r="F68" i="32"/>
  <c r="AR79" i="7"/>
  <c r="BI79" i="7" s="1"/>
  <c r="AQ79" i="7"/>
  <c r="AP79" i="7"/>
  <c r="E70" i="7"/>
  <c r="BL70" i="7"/>
  <c r="AL71" i="7"/>
  <c r="BY83" i="7"/>
  <c r="CT82" i="7"/>
  <c r="E69" i="32"/>
  <c r="BA79" i="7"/>
  <c r="DP79" i="7" s="1"/>
  <c r="AW79" i="7"/>
  <c r="DL79" i="7" s="1"/>
  <c r="AZ79" i="7"/>
  <c r="DO79" i="7" s="1"/>
  <c r="AV79" i="7"/>
  <c r="DK79" i="7" s="1"/>
  <c r="BC79" i="7"/>
  <c r="DR79" i="7" s="1"/>
  <c r="AY79" i="7"/>
  <c r="DN79" i="7" s="1"/>
  <c r="AU79" i="7"/>
  <c r="DJ79" i="7" s="1"/>
  <c r="BB79" i="7"/>
  <c r="DQ79" i="7" s="1"/>
  <c r="AX79" i="7"/>
  <c r="DM79" i="7" s="1"/>
  <c r="AT79" i="7"/>
  <c r="AG79" i="7"/>
  <c r="AH79" i="7"/>
  <c r="AF79" i="7"/>
  <c r="AI79" i="7" s="1"/>
  <c r="BS81" i="7"/>
  <c r="EF80" i="7"/>
  <c r="DZ80" i="7"/>
  <c r="CN80" i="7"/>
  <c r="EC80" i="7"/>
  <c r="DX80" i="7"/>
  <c r="EB80" i="7"/>
  <c r="DW80" i="7"/>
  <c r="EA80" i="7"/>
  <c r="DV80" i="7"/>
  <c r="M80" i="7"/>
  <c r="H77" i="7"/>
  <c r="G77" i="7"/>
  <c r="BH79" i="7"/>
  <c r="CK83" i="7"/>
  <c r="DF82" i="7"/>
  <c r="EM82" i="7"/>
  <c r="DG82" i="7"/>
  <c r="CL83" i="7"/>
  <c r="BF78" i="7"/>
  <c r="BE78" i="7"/>
  <c r="BD78" i="7"/>
  <c r="G68" i="32"/>
  <c r="P68" i="32" s="1"/>
  <c r="Q68" i="32" s="1"/>
  <c r="BW82" i="7"/>
  <c r="CR81" i="7"/>
  <c r="BG79" i="7"/>
  <c r="EO81" i="7"/>
  <c r="BT82" i="7"/>
  <c r="CO81" i="7"/>
  <c r="BO78" i="7"/>
  <c r="BQ78" i="7" s="1"/>
  <c r="DS81" i="7"/>
  <c r="CI82" i="7"/>
  <c r="DD81" i="7"/>
  <c r="BZ82" i="7"/>
  <c r="CU81" i="7"/>
  <c r="EN81" i="7"/>
  <c r="CM82" i="7"/>
  <c r="DH81" i="7"/>
  <c r="CJ82" i="7"/>
  <c r="DE81" i="7"/>
  <c r="CG82" i="7"/>
  <c r="DB81" i="7"/>
  <c r="AO81" i="7"/>
  <c r="D70" i="7"/>
  <c r="BK70" i="7"/>
  <c r="AK71" i="7"/>
  <c r="CC83" i="7"/>
  <c r="CX82" i="7"/>
  <c r="BU83" i="7"/>
  <c r="CP82" i="7"/>
  <c r="CH81" i="7"/>
  <c r="DC80" i="7"/>
  <c r="BN80" i="7"/>
  <c r="BJ70" i="7"/>
  <c r="BM70" i="7" s="1"/>
  <c r="B70" i="7" s="1"/>
  <c r="C70" i="7"/>
  <c r="F70" i="7" s="1"/>
  <c r="AJ71" i="7"/>
  <c r="CB82" i="7"/>
  <c r="CW81" i="7"/>
  <c r="AN80" i="7"/>
  <c r="CF81" i="7"/>
  <c r="DA80" i="7"/>
  <c r="CA82" i="7"/>
  <c r="CV81" i="7"/>
  <c r="CE81" i="7"/>
  <c r="CZ80" i="7"/>
  <c r="AM80" i="7"/>
  <c r="BX82" i="7"/>
  <c r="CS81" i="7"/>
  <c r="P80" i="7"/>
  <c r="M69" i="32" l="1"/>
  <c r="K69" i="32"/>
  <c r="L69" i="32"/>
  <c r="BX83" i="7"/>
  <c r="CS82" i="7"/>
  <c r="AM81" i="7"/>
  <c r="CE82" i="7"/>
  <c r="CZ81" i="7"/>
  <c r="CF82" i="7"/>
  <c r="DA81" i="7"/>
  <c r="AN81" i="7"/>
  <c r="CB83" i="7"/>
  <c r="CW82" i="7"/>
  <c r="BU84" i="7"/>
  <c r="CP83" i="7"/>
  <c r="CG83" i="7"/>
  <c r="DB82" i="7"/>
  <c r="AO82" i="7"/>
  <c r="CM83" i="7"/>
  <c r="DH82" i="7"/>
  <c r="EC81" i="7"/>
  <c r="DX81" i="7"/>
  <c r="EB81" i="7"/>
  <c r="DW81" i="7"/>
  <c r="EA81" i="7"/>
  <c r="DV81" i="7"/>
  <c r="BS82" i="7"/>
  <c r="EF81" i="7"/>
  <c r="DZ81" i="7"/>
  <c r="CN81" i="7"/>
  <c r="M81" i="7"/>
  <c r="BE79" i="7"/>
  <c r="BD79" i="7"/>
  <c r="BF79" i="7"/>
  <c r="BY84" i="7"/>
  <c r="CT83" i="7"/>
  <c r="F69" i="32"/>
  <c r="G69" i="32" s="1"/>
  <c r="P69" i="32" s="1"/>
  <c r="Q69" i="32" s="1"/>
  <c r="AR80" i="7"/>
  <c r="BI80" i="7" s="1"/>
  <c r="AQ80" i="7"/>
  <c r="AP80" i="7"/>
  <c r="BG80" i="7" s="1"/>
  <c r="CI83" i="7"/>
  <c r="DD82" i="7"/>
  <c r="DS82" i="7"/>
  <c r="BT83" i="7"/>
  <c r="CO82" i="7"/>
  <c r="EO82" i="7"/>
  <c r="BW83" i="7"/>
  <c r="CR82" i="7"/>
  <c r="BO79" i="7"/>
  <c r="BL71" i="7"/>
  <c r="E71" i="7"/>
  <c r="AL72" i="7"/>
  <c r="BV83" i="7"/>
  <c r="CQ82" i="7"/>
  <c r="DI79" i="7"/>
  <c r="BH80" i="7"/>
  <c r="C71" i="7"/>
  <c r="F71" i="7" s="1"/>
  <c r="BJ71" i="7"/>
  <c r="BM71" i="7" s="1"/>
  <c r="B71" i="7" s="1"/>
  <c r="AJ72" i="7"/>
  <c r="D70" i="32"/>
  <c r="N81" i="7"/>
  <c r="CA83" i="7"/>
  <c r="CV82" i="7"/>
  <c r="CH82" i="7"/>
  <c r="DC81" i="7"/>
  <c r="BN81" i="7"/>
  <c r="CC84" i="7"/>
  <c r="CX83" i="7"/>
  <c r="CJ83" i="7"/>
  <c r="DE82" i="7"/>
  <c r="P81" i="7"/>
  <c r="EM83" i="7"/>
  <c r="DG83" i="7"/>
  <c r="CL84" i="7"/>
  <c r="CK84" i="7"/>
  <c r="DF83" i="7"/>
  <c r="E70" i="32"/>
  <c r="AZ80" i="7"/>
  <c r="DO80" i="7" s="1"/>
  <c r="AV80" i="7"/>
  <c r="DK80" i="7" s="1"/>
  <c r="BC80" i="7"/>
  <c r="DR80" i="7" s="1"/>
  <c r="AY80" i="7"/>
  <c r="DN80" i="7" s="1"/>
  <c r="AU80" i="7"/>
  <c r="DJ80" i="7" s="1"/>
  <c r="BB80" i="7"/>
  <c r="DQ80" i="7" s="1"/>
  <c r="AX80" i="7"/>
  <c r="DM80" i="7" s="1"/>
  <c r="AT80" i="7"/>
  <c r="BA80" i="7"/>
  <c r="DP80" i="7" s="1"/>
  <c r="AW80" i="7"/>
  <c r="DL80" i="7" s="1"/>
  <c r="AF80" i="7"/>
  <c r="AI80" i="7" s="1"/>
  <c r="AH80" i="7"/>
  <c r="AG80" i="7"/>
  <c r="D71" i="7"/>
  <c r="BK71" i="7"/>
  <c r="AK72" i="7"/>
  <c r="EN82" i="7"/>
  <c r="BZ83" i="7"/>
  <c r="CU82" i="7"/>
  <c r="H78" i="7"/>
  <c r="G78" i="7"/>
  <c r="CD83" i="7"/>
  <c r="CY82" i="7"/>
  <c r="K70" i="32" l="1"/>
  <c r="L70" i="32"/>
  <c r="M70" i="32"/>
  <c r="BZ84" i="7"/>
  <c r="CU83" i="7"/>
  <c r="EN83" i="7"/>
  <c r="BN82" i="7"/>
  <c r="CH83" i="7"/>
  <c r="DC82" i="7"/>
  <c r="BD80" i="7"/>
  <c r="BF80" i="7"/>
  <c r="BE80" i="7"/>
  <c r="CC85" i="7"/>
  <c r="CX84" i="7"/>
  <c r="BV84" i="7"/>
  <c r="CQ83" i="7"/>
  <c r="CI84" i="7"/>
  <c r="DD83" i="7"/>
  <c r="DS83" i="7"/>
  <c r="AO83" i="7"/>
  <c r="CG84" i="7"/>
  <c r="DB83" i="7"/>
  <c r="CF83" i="7"/>
  <c r="DA82" i="7"/>
  <c r="AN82" i="7"/>
  <c r="CD84" i="7"/>
  <c r="CY83" i="7"/>
  <c r="DG84" i="7"/>
  <c r="EM84" i="7"/>
  <c r="CL85" i="7"/>
  <c r="F70" i="32"/>
  <c r="G70" i="32" s="1"/>
  <c r="P70" i="32" s="1"/>
  <c r="Q70" i="32" s="1"/>
  <c r="AQ81" i="7"/>
  <c r="AP81" i="7"/>
  <c r="BG81" i="7" s="1"/>
  <c r="AR81" i="7"/>
  <c r="BI81" i="7" s="1"/>
  <c r="BK72" i="7"/>
  <c r="D72" i="7"/>
  <c r="AK73" i="7"/>
  <c r="CJ84" i="7"/>
  <c r="DE83" i="7"/>
  <c r="CA84" i="7"/>
  <c r="CV83" i="7"/>
  <c r="C72" i="7"/>
  <c r="F72" i="7" s="1"/>
  <c r="BJ72" i="7"/>
  <c r="BM72" i="7" s="1"/>
  <c r="B72" i="7" s="1"/>
  <c r="AJ73" i="7"/>
  <c r="DI80" i="7"/>
  <c r="BL72" i="7"/>
  <c r="E72" i="7"/>
  <c r="AL73" i="7"/>
  <c r="BT84" i="7"/>
  <c r="CO83" i="7"/>
  <c r="EO83" i="7"/>
  <c r="BY85" i="7"/>
  <c r="CT84" i="7"/>
  <c r="E71" i="32"/>
  <c r="BC81" i="7"/>
  <c r="DR81" i="7" s="1"/>
  <c r="AY81" i="7"/>
  <c r="DN81" i="7" s="1"/>
  <c r="AU81" i="7"/>
  <c r="DJ81" i="7" s="1"/>
  <c r="BB81" i="7"/>
  <c r="DQ81" i="7" s="1"/>
  <c r="AX81" i="7"/>
  <c r="DM81" i="7" s="1"/>
  <c r="AT81" i="7"/>
  <c r="BA81" i="7"/>
  <c r="DP81" i="7" s="1"/>
  <c r="AW81" i="7"/>
  <c r="DL81" i="7" s="1"/>
  <c r="AZ81" i="7"/>
  <c r="DO81" i="7" s="1"/>
  <c r="AV81" i="7"/>
  <c r="DK81" i="7" s="1"/>
  <c r="AG81" i="7"/>
  <c r="AF81" i="7"/>
  <c r="AI81" i="7" s="1"/>
  <c r="AH81" i="7"/>
  <c r="EB82" i="7"/>
  <c r="DW82" i="7"/>
  <c r="EA82" i="7"/>
  <c r="DV82" i="7"/>
  <c r="BS83" i="7"/>
  <c r="EF82" i="7"/>
  <c r="DZ82" i="7"/>
  <c r="CN82" i="7"/>
  <c r="EC82" i="7"/>
  <c r="DX82" i="7"/>
  <c r="M82" i="7"/>
  <c r="CM84" i="7"/>
  <c r="DH83" i="7"/>
  <c r="CB84" i="7"/>
  <c r="CW83" i="7"/>
  <c r="BX84" i="7"/>
  <c r="CS83" i="7"/>
  <c r="CK85" i="7"/>
  <c r="DF84" i="7"/>
  <c r="D71" i="32"/>
  <c r="N82" i="7"/>
  <c r="BW84" i="7"/>
  <c r="CR83" i="7"/>
  <c r="P82" i="7"/>
  <c r="BO80" i="7"/>
  <c r="BU85" i="7"/>
  <c r="CP84" i="7"/>
  <c r="BH81" i="7"/>
  <c r="CE83" i="7"/>
  <c r="CZ82" i="7"/>
  <c r="AM82" i="7"/>
  <c r="BP79" i="7"/>
  <c r="BQ79" i="7" s="1"/>
  <c r="K71" i="32" l="1"/>
  <c r="L71" i="32"/>
  <c r="H79" i="7"/>
  <c r="G79" i="7"/>
  <c r="M71" i="32"/>
  <c r="BU86" i="7"/>
  <c r="CP85" i="7"/>
  <c r="D72" i="32"/>
  <c r="N83" i="7"/>
  <c r="BX85" i="7"/>
  <c r="CS84" i="7"/>
  <c r="CM85" i="7"/>
  <c r="DH84" i="7"/>
  <c r="BO81" i="7"/>
  <c r="CF84" i="7"/>
  <c r="DA83" i="7"/>
  <c r="AN83" i="7"/>
  <c r="P83" i="7"/>
  <c r="CC86" i="7"/>
  <c r="CX85" i="7"/>
  <c r="CE84" i="7"/>
  <c r="CZ83" i="7"/>
  <c r="AM83" i="7"/>
  <c r="E72" i="32"/>
  <c r="BB82" i="7"/>
  <c r="DQ82" i="7" s="1"/>
  <c r="AX82" i="7"/>
  <c r="DM82" i="7" s="1"/>
  <c r="AT82" i="7"/>
  <c r="BA82" i="7"/>
  <c r="DP82" i="7" s="1"/>
  <c r="AW82" i="7"/>
  <c r="DL82" i="7" s="1"/>
  <c r="AZ82" i="7"/>
  <c r="DO82" i="7" s="1"/>
  <c r="AV82" i="7"/>
  <c r="DK82" i="7" s="1"/>
  <c r="BC82" i="7"/>
  <c r="DR82" i="7" s="1"/>
  <c r="AY82" i="7"/>
  <c r="DN82" i="7" s="1"/>
  <c r="AU82" i="7"/>
  <c r="DJ82" i="7" s="1"/>
  <c r="AH82" i="7"/>
  <c r="AG82" i="7"/>
  <c r="AF82" i="7"/>
  <c r="AI82" i="7" s="1"/>
  <c r="DG85" i="7"/>
  <c r="EM85" i="7"/>
  <c r="CL86" i="7"/>
  <c r="CD85" i="7"/>
  <c r="CY84" i="7"/>
  <c r="BV85" i="7"/>
  <c r="CQ84" i="7"/>
  <c r="BW85" i="7"/>
  <c r="CR84" i="7"/>
  <c r="CK86" i="7"/>
  <c r="DF85" i="7"/>
  <c r="CB85" i="7"/>
  <c r="CW84" i="7"/>
  <c r="EO84" i="7"/>
  <c r="BT85" i="7"/>
  <c r="CO84" i="7"/>
  <c r="DI81" i="7"/>
  <c r="DI82" i="7" s="1"/>
  <c r="CJ85" i="7"/>
  <c r="DE84" i="7"/>
  <c r="CG85" i="7"/>
  <c r="DB84" i="7"/>
  <c r="AO84" i="7"/>
  <c r="CI85" i="7"/>
  <c r="DD84" i="7"/>
  <c r="DS84" i="7"/>
  <c r="CH84" i="7"/>
  <c r="DC83" i="7"/>
  <c r="BN83" i="7"/>
  <c r="BZ85" i="7"/>
  <c r="CU84" i="7"/>
  <c r="EN84" i="7"/>
  <c r="BG82" i="7"/>
  <c r="F71" i="32"/>
  <c r="G71" i="32" s="1"/>
  <c r="P71" i="32" s="1"/>
  <c r="Q71" i="32" s="1"/>
  <c r="AP82" i="7"/>
  <c r="AR82" i="7"/>
  <c r="BI82" i="7" s="1"/>
  <c r="AQ82" i="7"/>
  <c r="BH82" i="7" s="1"/>
  <c r="EA83" i="7"/>
  <c r="DV83" i="7"/>
  <c r="BS84" i="7"/>
  <c r="EF83" i="7"/>
  <c r="DZ83" i="7"/>
  <c r="CN83" i="7"/>
  <c r="BO82" i="7" s="1"/>
  <c r="EC83" i="7"/>
  <c r="DX83" i="7"/>
  <c r="EB83" i="7"/>
  <c r="DW83" i="7"/>
  <c r="M83" i="7"/>
  <c r="BF81" i="7"/>
  <c r="BE81" i="7"/>
  <c r="BD81" i="7"/>
  <c r="BY86" i="7"/>
  <c r="CT85" i="7"/>
  <c r="E73" i="7"/>
  <c r="BL73" i="7"/>
  <c r="AL74" i="7"/>
  <c r="BJ73" i="7"/>
  <c r="BM73" i="7" s="1"/>
  <c r="B73" i="7" s="1"/>
  <c r="C73" i="7"/>
  <c r="F73" i="7" s="1"/>
  <c r="AJ74" i="7"/>
  <c r="CA85" i="7"/>
  <c r="CV84" i="7"/>
  <c r="BK73" i="7"/>
  <c r="D73" i="7"/>
  <c r="AK74" i="7"/>
  <c r="BP80" i="7"/>
  <c r="BQ80" i="7" s="1"/>
  <c r="K72" i="32" l="1"/>
  <c r="BP82" i="7"/>
  <c r="BQ82" i="7" s="1"/>
  <c r="G80" i="7"/>
  <c r="H80" i="7"/>
  <c r="L72" i="32"/>
  <c r="M72" i="32"/>
  <c r="BJ74" i="7"/>
  <c r="BM74" i="7" s="1"/>
  <c r="B74" i="7" s="1"/>
  <c r="C74" i="7"/>
  <c r="F74" i="7" s="1"/>
  <c r="AJ75" i="7"/>
  <c r="BZ86" i="7"/>
  <c r="CU85" i="7"/>
  <c r="EN85" i="7"/>
  <c r="P84" i="7"/>
  <c r="CJ86" i="7"/>
  <c r="DE85" i="7"/>
  <c r="CK87" i="7"/>
  <c r="DF86" i="7"/>
  <c r="EM86" i="7"/>
  <c r="DG86" i="7"/>
  <c r="CL87" i="7"/>
  <c r="BU87" i="7"/>
  <c r="CP86" i="7"/>
  <c r="CG86" i="7"/>
  <c r="DB85" i="7"/>
  <c r="AO85" i="7"/>
  <c r="BV86" i="7"/>
  <c r="CQ85" i="7"/>
  <c r="BF82" i="7"/>
  <c r="BE82" i="7"/>
  <c r="BD82" i="7"/>
  <c r="BG83" i="7"/>
  <c r="CC87" i="7"/>
  <c r="CX86" i="7"/>
  <c r="CM86" i="7"/>
  <c r="DH85" i="7"/>
  <c r="F72" i="32"/>
  <c r="AR83" i="7"/>
  <c r="BI83" i="7" s="1"/>
  <c r="AQ83" i="7"/>
  <c r="BH83" i="7" s="1"/>
  <c r="AP83" i="7"/>
  <c r="DS85" i="7"/>
  <c r="CI86" i="7"/>
  <c r="DD85" i="7"/>
  <c r="CB86" i="7"/>
  <c r="CW85" i="7"/>
  <c r="BW86" i="7"/>
  <c r="CR85" i="7"/>
  <c r="AN84" i="7"/>
  <c r="CF85" i="7"/>
  <c r="DA84" i="7"/>
  <c r="G72" i="32"/>
  <c r="P72" i="32" s="1"/>
  <c r="Q72" i="32" s="1"/>
  <c r="D74" i="7"/>
  <c r="BK74" i="7"/>
  <c r="AK75" i="7"/>
  <c r="CA86" i="7"/>
  <c r="CV85" i="7"/>
  <c r="E74" i="7"/>
  <c r="BL74" i="7"/>
  <c r="AL75" i="7"/>
  <c r="BY87" i="7"/>
  <c r="CT86" i="7"/>
  <c r="E73" i="32"/>
  <c r="BA83" i="7"/>
  <c r="DP83" i="7" s="1"/>
  <c r="AW83" i="7"/>
  <c r="DL83" i="7" s="1"/>
  <c r="AZ83" i="7"/>
  <c r="DO83" i="7" s="1"/>
  <c r="AV83" i="7"/>
  <c r="DK83" i="7" s="1"/>
  <c r="BC83" i="7"/>
  <c r="DR83" i="7" s="1"/>
  <c r="AY83" i="7"/>
  <c r="DN83" i="7" s="1"/>
  <c r="AU83" i="7"/>
  <c r="DJ83" i="7" s="1"/>
  <c r="BB83" i="7"/>
  <c r="DQ83" i="7" s="1"/>
  <c r="AX83" i="7"/>
  <c r="DM83" i="7" s="1"/>
  <c r="AT83" i="7"/>
  <c r="AH83" i="7"/>
  <c r="AG83" i="7"/>
  <c r="AF83" i="7"/>
  <c r="AI83" i="7" s="1"/>
  <c r="BS85" i="7"/>
  <c r="EF84" i="7"/>
  <c r="DZ84" i="7"/>
  <c r="CN84" i="7"/>
  <c r="EC84" i="7"/>
  <c r="DX84" i="7"/>
  <c r="EB84" i="7"/>
  <c r="DW84" i="7"/>
  <c r="EA84" i="7"/>
  <c r="DV84" i="7"/>
  <c r="M84" i="7"/>
  <c r="CH85" i="7"/>
  <c r="DC84" i="7"/>
  <c r="BN84" i="7"/>
  <c r="EO85" i="7"/>
  <c r="BT86" i="7"/>
  <c r="CO85" i="7"/>
  <c r="CD86" i="7"/>
  <c r="CY85" i="7"/>
  <c r="CE85" i="7"/>
  <c r="CZ84" i="7"/>
  <c r="AM84" i="7"/>
  <c r="D73" i="32"/>
  <c r="N84" i="7"/>
  <c r="BQ81" i="7"/>
  <c r="BX86" i="7"/>
  <c r="CS85" i="7"/>
  <c r="BP81" i="7"/>
  <c r="L73" i="32" l="1"/>
  <c r="M73" i="32"/>
  <c r="K73" i="32"/>
  <c r="H81" i="7"/>
  <c r="G81" i="7"/>
  <c r="CF86" i="7"/>
  <c r="DA85" i="7"/>
  <c r="AN85" i="7"/>
  <c r="P85" i="7"/>
  <c r="BU88" i="7"/>
  <c r="CP87" i="7"/>
  <c r="CJ87" i="7"/>
  <c r="DE86" i="7"/>
  <c r="H82" i="7"/>
  <c r="G82" i="7"/>
  <c r="F73" i="32"/>
  <c r="AR84" i="7"/>
  <c r="BI84" i="7" s="1"/>
  <c r="AQ84" i="7"/>
  <c r="AP84" i="7"/>
  <c r="AM85" i="7"/>
  <c r="CE86" i="7"/>
  <c r="CZ85" i="7"/>
  <c r="BT87" i="7"/>
  <c r="CO86" i="7"/>
  <c r="EO86" i="7"/>
  <c r="EC85" i="7"/>
  <c r="DX85" i="7"/>
  <c r="EB85" i="7"/>
  <c r="DW85" i="7"/>
  <c r="EA85" i="7"/>
  <c r="DV85" i="7"/>
  <c r="BS86" i="7"/>
  <c r="EF85" i="7"/>
  <c r="DZ85" i="7"/>
  <c r="CN85" i="7"/>
  <c r="M85" i="7"/>
  <c r="BE83" i="7"/>
  <c r="BD83" i="7"/>
  <c r="BF83" i="7"/>
  <c r="BY88" i="7"/>
  <c r="CT87" i="7"/>
  <c r="BH84" i="7"/>
  <c r="CB87" i="7"/>
  <c r="CW86" i="7"/>
  <c r="CM87" i="7"/>
  <c r="DH86" i="7"/>
  <c r="BV87" i="7"/>
  <c r="CQ86" i="7"/>
  <c r="CG87" i="7"/>
  <c r="DB86" i="7"/>
  <c r="AO86" i="7"/>
  <c r="D74" i="32"/>
  <c r="N85" i="7"/>
  <c r="EN86" i="7"/>
  <c r="BZ87" i="7"/>
  <c r="CU86" i="7"/>
  <c r="BX87" i="7"/>
  <c r="CS86" i="7"/>
  <c r="G73" i="32"/>
  <c r="P73" i="32" s="1"/>
  <c r="Q73" i="32" s="1"/>
  <c r="CH86" i="7"/>
  <c r="DC85" i="7"/>
  <c r="BN85" i="7"/>
  <c r="BO83" i="7"/>
  <c r="BL75" i="7"/>
  <c r="E75" i="7"/>
  <c r="AL76" i="7"/>
  <c r="CA87" i="7"/>
  <c r="CV86" i="7"/>
  <c r="DI83" i="7"/>
  <c r="EM87" i="7"/>
  <c r="DG87" i="7"/>
  <c r="CL88" i="7"/>
  <c r="CK88" i="7"/>
  <c r="DF87" i="7"/>
  <c r="C75" i="7"/>
  <c r="F75" i="7" s="1"/>
  <c r="BJ75" i="7"/>
  <c r="BM75" i="7" s="1"/>
  <c r="B75" i="7" s="1"/>
  <c r="AJ76" i="7"/>
  <c r="BG84" i="7"/>
  <c r="CD87" i="7"/>
  <c r="CY86" i="7"/>
  <c r="E74" i="32"/>
  <c r="AZ84" i="7"/>
  <c r="DO84" i="7" s="1"/>
  <c r="AV84" i="7"/>
  <c r="DK84" i="7" s="1"/>
  <c r="BC84" i="7"/>
  <c r="DR84" i="7" s="1"/>
  <c r="AY84" i="7"/>
  <c r="DN84" i="7" s="1"/>
  <c r="AU84" i="7"/>
  <c r="DJ84" i="7" s="1"/>
  <c r="BB84" i="7"/>
  <c r="DQ84" i="7" s="1"/>
  <c r="AX84" i="7"/>
  <c r="DM84" i="7" s="1"/>
  <c r="AT84" i="7"/>
  <c r="BA84" i="7"/>
  <c r="DP84" i="7" s="1"/>
  <c r="AW84" i="7"/>
  <c r="DL84" i="7" s="1"/>
  <c r="AF84" i="7"/>
  <c r="AI84" i="7" s="1"/>
  <c r="AG84" i="7"/>
  <c r="AH84" i="7"/>
  <c r="D75" i="7"/>
  <c r="BK75" i="7"/>
  <c r="AK76" i="7"/>
  <c r="BW87" i="7"/>
  <c r="CR86" i="7"/>
  <c r="CI87" i="7"/>
  <c r="DD86" i="7"/>
  <c r="DS86" i="7"/>
  <c r="CC88" i="7"/>
  <c r="CX87" i="7"/>
  <c r="M74" i="32" l="1"/>
  <c r="K74" i="32"/>
  <c r="L74" i="32"/>
  <c r="BD84" i="7"/>
  <c r="BF84" i="7"/>
  <c r="BE84" i="7"/>
  <c r="C76" i="7"/>
  <c r="F76" i="7" s="1"/>
  <c r="BJ76" i="7"/>
  <c r="BM76" i="7" s="1"/>
  <c r="B76" i="7" s="1"/>
  <c r="AJ77" i="7"/>
  <c r="CK89" i="7"/>
  <c r="DF88" i="7"/>
  <c r="DI84" i="7"/>
  <c r="BX88" i="7"/>
  <c r="CS87" i="7"/>
  <c r="F74" i="32"/>
  <c r="AQ85" i="7"/>
  <c r="AP85" i="7"/>
  <c r="AR85" i="7"/>
  <c r="BI85" i="7" s="1"/>
  <c r="AO87" i="7"/>
  <c r="CG88" i="7"/>
  <c r="DB87" i="7"/>
  <c r="CM88" i="7"/>
  <c r="DH87" i="7"/>
  <c r="CE87" i="7"/>
  <c r="CZ86" i="7"/>
  <c r="AM86" i="7"/>
  <c r="CJ88" i="7"/>
  <c r="DE87" i="7"/>
  <c r="BP83" i="7"/>
  <c r="BK76" i="7"/>
  <c r="D76" i="7"/>
  <c r="AK77" i="7"/>
  <c r="CI88" i="7"/>
  <c r="DD87" i="7"/>
  <c r="DS87" i="7"/>
  <c r="DG88" i="7"/>
  <c r="EM88" i="7"/>
  <c r="CL89" i="7"/>
  <c r="BN86" i="7"/>
  <c r="CH87" i="7"/>
  <c r="DC86" i="7"/>
  <c r="G74" i="32"/>
  <c r="P74" i="32" s="1"/>
  <c r="Q74" i="32" s="1"/>
  <c r="BY89" i="7"/>
  <c r="CT88" i="7"/>
  <c r="E75" i="32"/>
  <c r="BC85" i="7"/>
  <c r="DR85" i="7" s="1"/>
  <c r="AY85" i="7"/>
  <c r="DN85" i="7" s="1"/>
  <c r="AU85" i="7"/>
  <c r="DJ85" i="7" s="1"/>
  <c r="BB85" i="7"/>
  <c r="DQ85" i="7" s="1"/>
  <c r="AX85" i="7"/>
  <c r="DM85" i="7" s="1"/>
  <c r="AT85" i="7"/>
  <c r="BA85" i="7"/>
  <c r="DP85" i="7" s="1"/>
  <c r="AW85" i="7"/>
  <c r="DL85" i="7" s="1"/>
  <c r="AZ85" i="7"/>
  <c r="DO85" i="7" s="1"/>
  <c r="AV85" i="7"/>
  <c r="DK85" i="7" s="1"/>
  <c r="AG85" i="7"/>
  <c r="AH85" i="7"/>
  <c r="AF85" i="7"/>
  <c r="AI85" i="7" s="1"/>
  <c r="EB86" i="7"/>
  <c r="DW86" i="7"/>
  <c r="EA86" i="7"/>
  <c r="DV86" i="7"/>
  <c r="BS87" i="7"/>
  <c r="EF86" i="7"/>
  <c r="DZ86" i="7"/>
  <c r="CN86" i="7"/>
  <c r="EC86" i="7"/>
  <c r="DX86" i="7"/>
  <c r="M86" i="7"/>
  <c r="BG85" i="7"/>
  <c r="BH85" i="7"/>
  <c r="CC89" i="7"/>
  <c r="CX88" i="7"/>
  <c r="CD88" i="7"/>
  <c r="CY87" i="7"/>
  <c r="CA88" i="7"/>
  <c r="CV87" i="7"/>
  <c r="BQ83" i="7"/>
  <c r="BZ88" i="7"/>
  <c r="CU87" i="7"/>
  <c r="EN87" i="7"/>
  <c r="BV88" i="7"/>
  <c r="CQ87" i="7"/>
  <c r="CB88" i="7"/>
  <c r="CW87" i="7"/>
  <c r="BO84" i="7"/>
  <c r="BT88" i="7"/>
  <c r="CO87" i="7"/>
  <c r="EO87" i="7"/>
  <c r="BU89" i="7"/>
  <c r="CP88" i="7"/>
  <c r="P86" i="7"/>
  <c r="BW88" i="7"/>
  <c r="CR87" i="7"/>
  <c r="BL76" i="7"/>
  <c r="E76" i="7"/>
  <c r="AL77" i="7"/>
  <c r="D75" i="32"/>
  <c r="N86" i="7"/>
  <c r="CF87" i="7"/>
  <c r="DA86" i="7"/>
  <c r="AN86" i="7"/>
  <c r="L75" i="32" l="1"/>
  <c r="K75" i="32"/>
  <c r="M75" i="32"/>
  <c r="F75" i="32"/>
  <c r="AP86" i="7"/>
  <c r="AR86" i="7"/>
  <c r="BI86" i="7" s="1"/>
  <c r="AQ86" i="7"/>
  <c r="BH86" i="7" s="1"/>
  <c r="D76" i="32"/>
  <c r="N87" i="7"/>
  <c r="CF88" i="7"/>
  <c r="DA87" i="7"/>
  <c r="AN87" i="7"/>
  <c r="E77" i="7"/>
  <c r="BL77" i="7"/>
  <c r="AL78" i="7"/>
  <c r="BW89" i="7"/>
  <c r="CR88" i="7"/>
  <c r="BU90" i="7"/>
  <c r="CP89" i="7"/>
  <c r="BV89" i="7"/>
  <c r="CQ88" i="7"/>
  <c r="BZ89" i="7"/>
  <c r="CU88" i="7"/>
  <c r="EN88" i="7"/>
  <c r="EA87" i="7"/>
  <c r="DV87" i="7"/>
  <c r="BS88" i="7"/>
  <c r="EF87" i="7"/>
  <c r="DZ87" i="7"/>
  <c r="CN87" i="7"/>
  <c r="EC87" i="7"/>
  <c r="DX87" i="7"/>
  <c r="EB87" i="7"/>
  <c r="DW87" i="7"/>
  <c r="M87" i="7"/>
  <c r="BF85" i="7"/>
  <c r="BE85" i="7"/>
  <c r="BD85" i="7"/>
  <c r="BY90" i="7"/>
  <c r="CT89" i="7"/>
  <c r="P87" i="7"/>
  <c r="CJ89" i="7"/>
  <c r="DE88" i="7"/>
  <c r="CK90" i="7"/>
  <c r="DF89" i="7"/>
  <c r="H83" i="7"/>
  <c r="G83" i="7"/>
  <c r="CD89" i="7"/>
  <c r="CY88" i="7"/>
  <c r="BO85" i="7"/>
  <c r="DG89" i="7"/>
  <c r="EM89" i="7"/>
  <c r="CL90" i="7"/>
  <c r="BG86" i="7"/>
  <c r="CM89" i="7"/>
  <c r="DH88" i="7"/>
  <c r="BX89" i="7"/>
  <c r="CS88" i="7"/>
  <c r="BJ77" i="7"/>
  <c r="BM77" i="7" s="1"/>
  <c r="B77" i="7" s="1"/>
  <c r="C77" i="7"/>
  <c r="F77" i="7" s="1"/>
  <c r="AJ78" i="7"/>
  <c r="CB89" i="7"/>
  <c r="CW88" i="7"/>
  <c r="CI89" i="7"/>
  <c r="DD88" i="7"/>
  <c r="DS88" i="7"/>
  <c r="DI85" i="7"/>
  <c r="BP85" i="7" s="1"/>
  <c r="G75" i="32"/>
  <c r="P75" i="32" s="1"/>
  <c r="Q75" i="32" s="1"/>
  <c r="E76" i="32"/>
  <c r="BB86" i="7"/>
  <c r="DQ86" i="7" s="1"/>
  <c r="AX86" i="7"/>
  <c r="DM86" i="7" s="1"/>
  <c r="AT86" i="7"/>
  <c r="BA86" i="7"/>
  <c r="DP86" i="7" s="1"/>
  <c r="AW86" i="7"/>
  <c r="DL86" i="7" s="1"/>
  <c r="AZ86" i="7"/>
  <c r="DO86" i="7" s="1"/>
  <c r="AV86" i="7"/>
  <c r="DK86" i="7" s="1"/>
  <c r="BC86" i="7"/>
  <c r="DR86" i="7" s="1"/>
  <c r="AY86" i="7"/>
  <c r="DN86" i="7" s="1"/>
  <c r="AU86" i="7"/>
  <c r="DJ86" i="7" s="1"/>
  <c r="AF86" i="7"/>
  <c r="AI86" i="7" s="1"/>
  <c r="AG86" i="7"/>
  <c r="AH86" i="7"/>
  <c r="EO88" i="7"/>
  <c r="BT89" i="7"/>
  <c r="CO88" i="7"/>
  <c r="CA89" i="7"/>
  <c r="CV88" i="7"/>
  <c r="CC90" i="7"/>
  <c r="CX89" i="7"/>
  <c r="CH88" i="7"/>
  <c r="DC87" i="7"/>
  <c r="BN87" i="7"/>
  <c r="BK77" i="7"/>
  <c r="D77" i="7"/>
  <c r="AK78" i="7"/>
  <c r="CE88" i="7"/>
  <c r="CZ87" i="7"/>
  <c r="AM87" i="7"/>
  <c r="CG89" i="7"/>
  <c r="DB88" i="7"/>
  <c r="AO88" i="7"/>
  <c r="BP84" i="7"/>
  <c r="BQ84" i="7" s="1"/>
  <c r="K76" i="32" l="1"/>
  <c r="G84" i="7"/>
  <c r="H84" i="7"/>
  <c r="L76" i="32"/>
  <c r="M76" i="32"/>
  <c r="CG90" i="7"/>
  <c r="DB89" i="7"/>
  <c r="AO89" i="7"/>
  <c r="CA90" i="7"/>
  <c r="CV89" i="7"/>
  <c r="P88" i="7"/>
  <c r="CB90" i="7"/>
  <c r="CW89" i="7"/>
  <c r="BQ85" i="7"/>
  <c r="BU91" i="7"/>
  <c r="CP90" i="7"/>
  <c r="AN88" i="7"/>
  <c r="CF89" i="7"/>
  <c r="DA88" i="7"/>
  <c r="D78" i="7"/>
  <c r="BK78" i="7"/>
  <c r="AK79" i="7"/>
  <c r="CH89" i="7"/>
  <c r="DC88" i="7"/>
  <c r="BN88" i="7"/>
  <c r="BJ78" i="7"/>
  <c r="BM78" i="7" s="1"/>
  <c r="B78" i="7" s="1"/>
  <c r="C78" i="7"/>
  <c r="F78" i="7" s="1"/>
  <c r="AJ79" i="7"/>
  <c r="BX90" i="7"/>
  <c r="CS89" i="7"/>
  <c r="EM90" i="7"/>
  <c r="DG90" i="7"/>
  <c r="CL91" i="7"/>
  <c r="CJ90" i="7"/>
  <c r="DE89" i="7"/>
  <c r="BV90" i="7"/>
  <c r="CQ89" i="7"/>
  <c r="F76" i="32"/>
  <c r="AR87" i="7"/>
  <c r="BI87" i="7" s="1"/>
  <c r="AQ87" i="7"/>
  <c r="AP87" i="7"/>
  <c r="BG87" i="7" s="1"/>
  <c r="CE89" i="7"/>
  <c r="CZ88" i="7"/>
  <c r="AM88" i="7"/>
  <c r="CC91" i="7"/>
  <c r="CX90" i="7"/>
  <c r="EO89" i="7"/>
  <c r="BT90" i="7"/>
  <c r="CO89" i="7"/>
  <c r="BF86" i="7"/>
  <c r="BE86" i="7"/>
  <c r="BD86" i="7"/>
  <c r="DS89" i="7"/>
  <c r="CI90" i="7"/>
  <c r="DD89" i="7"/>
  <c r="CD90" i="7"/>
  <c r="CY89" i="7"/>
  <c r="CK91" i="7"/>
  <c r="DF90" i="7"/>
  <c r="BY91" i="7"/>
  <c r="CT90" i="7"/>
  <c r="E77" i="32"/>
  <c r="BA87" i="7"/>
  <c r="DP87" i="7" s="1"/>
  <c r="AW87" i="7"/>
  <c r="DL87" i="7" s="1"/>
  <c r="AZ87" i="7"/>
  <c r="DO87" i="7" s="1"/>
  <c r="AV87" i="7"/>
  <c r="DK87" i="7" s="1"/>
  <c r="BC87" i="7"/>
  <c r="DR87" i="7" s="1"/>
  <c r="AY87" i="7"/>
  <c r="DN87" i="7" s="1"/>
  <c r="AU87" i="7"/>
  <c r="DJ87" i="7" s="1"/>
  <c r="BB87" i="7"/>
  <c r="DQ87" i="7" s="1"/>
  <c r="AX87" i="7"/>
  <c r="DM87" i="7" s="1"/>
  <c r="AT87" i="7"/>
  <c r="AG87" i="7"/>
  <c r="AF87" i="7"/>
  <c r="AI87" i="7" s="1"/>
  <c r="AH87" i="7"/>
  <c r="BS89" i="7"/>
  <c r="EF88" i="7"/>
  <c r="DZ88" i="7"/>
  <c r="CN88" i="7"/>
  <c r="BO87" i="7" s="1"/>
  <c r="EC88" i="7"/>
  <c r="DX88" i="7"/>
  <c r="EB88" i="7"/>
  <c r="DW88" i="7"/>
  <c r="EA88" i="7"/>
  <c r="DV88" i="7"/>
  <c r="M88" i="7"/>
  <c r="BW90" i="7"/>
  <c r="CR89" i="7"/>
  <c r="BH87" i="7"/>
  <c r="G76" i="32"/>
  <c r="P76" i="32" s="1"/>
  <c r="Q76" i="32" s="1"/>
  <c r="DI86" i="7"/>
  <c r="DI87" i="7" s="1"/>
  <c r="CM90" i="7"/>
  <c r="DH89" i="7"/>
  <c r="D77" i="32"/>
  <c r="N88" i="7"/>
  <c r="BO86" i="7"/>
  <c r="BZ90" i="7"/>
  <c r="CU89" i="7"/>
  <c r="EN89" i="7"/>
  <c r="E78" i="7"/>
  <c r="BL78" i="7"/>
  <c r="AL79" i="7"/>
  <c r="L77" i="32" l="1"/>
  <c r="BP87" i="7"/>
  <c r="BQ87" i="7" s="1"/>
  <c r="K77" i="32"/>
  <c r="M77" i="32"/>
  <c r="CG91" i="7"/>
  <c r="DB90" i="7"/>
  <c r="AO90" i="7"/>
  <c r="CK92" i="7"/>
  <c r="DF91" i="7"/>
  <c r="CI91" i="7"/>
  <c r="DD90" i="7"/>
  <c r="DS90" i="7"/>
  <c r="CJ91" i="7"/>
  <c r="DE90" i="7"/>
  <c r="CH90" i="7"/>
  <c r="DC89" i="7"/>
  <c r="BN89" i="7"/>
  <c r="CB91" i="7"/>
  <c r="CW90" i="7"/>
  <c r="CA91" i="7"/>
  <c r="CV90" i="7"/>
  <c r="F77" i="32"/>
  <c r="AR88" i="7"/>
  <c r="BI88" i="7" s="1"/>
  <c r="AQ88" i="7"/>
  <c r="BH88" i="7" s="1"/>
  <c r="AP88" i="7"/>
  <c r="BG88" i="7" s="1"/>
  <c r="BW91" i="7"/>
  <c r="CR90" i="7"/>
  <c r="BL79" i="7"/>
  <c r="E79" i="7"/>
  <c r="AL80" i="7"/>
  <c r="G77" i="32"/>
  <c r="P77" i="32" s="1"/>
  <c r="Q77" i="32" s="1"/>
  <c r="E78" i="32"/>
  <c r="AZ88" i="7"/>
  <c r="DO88" i="7" s="1"/>
  <c r="AV88" i="7"/>
  <c r="DK88" i="7" s="1"/>
  <c r="BC88" i="7"/>
  <c r="DR88" i="7" s="1"/>
  <c r="AY88" i="7"/>
  <c r="DN88" i="7" s="1"/>
  <c r="AU88" i="7"/>
  <c r="DJ88" i="7" s="1"/>
  <c r="BB88" i="7"/>
  <c r="DQ88" i="7" s="1"/>
  <c r="AX88" i="7"/>
  <c r="DM88" i="7" s="1"/>
  <c r="AT88" i="7"/>
  <c r="BA88" i="7"/>
  <c r="DP88" i="7" s="1"/>
  <c r="AW88" i="7"/>
  <c r="DL88" i="7" s="1"/>
  <c r="AH88" i="7"/>
  <c r="AG88" i="7"/>
  <c r="AF88" i="7"/>
  <c r="AI88" i="7" s="1"/>
  <c r="EN90" i="7"/>
  <c r="BZ91" i="7"/>
  <c r="CU90" i="7"/>
  <c r="P89" i="7"/>
  <c r="CC92" i="7"/>
  <c r="CX91" i="7"/>
  <c r="AM89" i="7"/>
  <c r="CE90" i="7"/>
  <c r="CZ89" i="7"/>
  <c r="EM91" i="7"/>
  <c r="DG91" i="7"/>
  <c r="CL92" i="7"/>
  <c r="BX91" i="7"/>
  <c r="CS90" i="7"/>
  <c r="BU92" i="7"/>
  <c r="CP91" i="7"/>
  <c r="D78" i="32"/>
  <c r="N89" i="7"/>
  <c r="BP86" i="7"/>
  <c r="BQ86" i="7"/>
  <c r="CM91" i="7"/>
  <c r="DH90" i="7"/>
  <c r="EC89" i="7"/>
  <c r="DX89" i="7"/>
  <c r="EB89" i="7"/>
  <c r="DW89" i="7"/>
  <c r="EA89" i="7"/>
  <c r="DV89" i="7"/>
  <c r="BS90" i="7"/>
  <c r="EF89" i="7"/>
  <c r="DZ89" i="7"/>
  <c r="CN89" i="7"/>
  <c r="M89" i="7"/>
  <c r="BE87" i="7"/>
  <c r="BD87" i="7"/>
  <c r="BF87" i="7"/>
  <c r="BY92" i="7"/>
  <c r="CT91" i="7"/>
  <c r="CD91" i="7"/>
  <c r="CY90" i="7"/>
  <c r="BT91" i="7"/>
  <c r="CO90" i="7"/>
  <c r="EO90" i="7"/>
  <c r="BV91" i="7"/>
  <c r="CQ90" i="7"/>
  <c r="C79" i="7"/>
  <c r="F79" i="7" s="1"/>
  <c r="BJ79" i="7"/>
  <c r="BM79" i="7" s="1"/>
  <c r="B79" i="7" s="1"/>
  <c r="AJ80" i="7"/>
  <c r="D79" i="7"/>
  <c r="BK79" i="7"/>
  <c r="AK80" i="7"/>
  <c r="CF90" i="7"/>
  <c r="DA89" i="7"/>
  <c r="AN89" i="7"/>
  <c r="H85" i="7"/>
  <c r="G85" i="7"/>
  <c r="L78" i="32" l="1"/>
  <c r="M78" i="32"/>
  <c r="K78" i="32"/>
  <c r="H87" i="7"/>
  <c r="G87" i="7"/>
  <c r="BT92" i="7"/>
  <c r="CO91" i="7"/>
  <c r="EO91" i="7"/>
  <c r="BY93" i="7"/>
  <c r="CT92" i="7"/>
  <c r="E79" i="32"/>
  <c r="BC89" i="7"/>
  <c r="DR89" i="7" s="1"/>
  <c r="AY89" i="7"/>
  <c r="DN89" i="7" s="1"/>
  <c r="AU89" i="7"/>
  <c r="DJ89" i="7" s="1"/>
  <c r="BB89" i="7"/>
  <c r="DQ89" i="7" s="1"/>
  <c r="AX89" i="7"/>
  <c r="DM89" i="7" s="1"/>
  <c r="AT89" i="7"/>
  <c r="BA89" i="7"/>
  <c r="DP89" i="7" s="1"/>
  <c r="AW89" i="7"/>
  <c r="DL89" i="7" s="1"/>
  <c r="AZ89" i="7"/>
  <c r="DO89" i="7" s="1"/>
  <c r="AV89" i="7"/>
  <c r="DK89" i="7" s="1"/>
  <c r="AH89" i="7"/>
  <c r="AF89" i="7"/>
  <c r="AI89" i="7" s="1"/>
  <c r="AG89" i="7"/>
  <c r="EB90" i="7"/>
  <c r="DW90" i="7"/>
  <c r="EA90" i="7"/>
  <c r="DV90" i="7"/>
  <c r="BS91" i="7"/>
  <c r="EF90" i="7"/>
  <c r="DZ90" i="7"/>
  <c r="CN90" i="7"/>
  <c r="EC90" i="7"/>
  <c r="DX90" i="7"/>
  <c r="M90" i="7"/>
  <c r="CM92" i="7"/>
  <c r="DH91" i="7"/>
  <c r="F78" i="32"/>
  <c r="AQ89" i="7"/>
  <c r="AP89" i="7"/>
  <c r="AR89" i="7"/>
  <c r="BI89" i="7" s="1"/>
  <c r="BD88" i="7"/>
  <c r="BF88" i="7"/>
  <c r="BE88" i="7"/>
  <c r="BN90" i="7"/>
  <c r="CH91" i="7"/>
  <c r="DC90" i="7"/>
  <c r="BK80" i="7"/>
  <c r="D80" i="7"/>
  <c r="AK81" i="7"/>
  <c r="BO88" i="7"/>
  <c r="CC93" i="7"/>
  <c r="CX92" i="7"/>
  <c r="BZ92" i="7"/>
  <c r="CU91" i="7"/>
  <c r="EN91" i="7"/>
  <c r="CB92" i="7"/>
  <c r="CW91" i="7"/>
  <c r="CI92" i="7"/>
  <c r="DD91" i="7"/>
  <c r="DS91" i="7"/>
  <c r="DI88" i="7"/>
  <c r="DI89" i="7" s="1"/>
  <c r="C80" i="7"/>
  <c r="F80" i="7" s="1"/>
  <c r="BJ80" i="7"/>
  <c r="BM80" i="7" s="1"/>
  <c r="B80" i="7" s="1"/>
  <c r="AJ81" i="7"/>
  <c r="BV92" i="7"/>
  <c r="CQ91" i="7"/>
  <c r="H86" i="7"/>
  <c r="G86" i="7"/>
  <c r="G78" i="32"/>
  <c r="P78" i="32" s="1"/>
  <c r="Q78" i="32" s="1"/>
  <c r="BX92" i="7"/>
  <c r="CS91" i="7"/>
  <c r="BH89" i="7"/>
  <c r="CD92" i="7"/>
  <c r="CY91" i="7"/>
  <c r="DG92" i="7"/>
  <c r="EM92" i="7"/>
  <c r="CL93" i="7"/>
  <c r="CE91" i="7"/>
  <c r="CZ90" i="7"/>
  <c r="AM90" i="7"/>
  <c r="D79" i="32"/>
  <c r="N90" i="7"/>
  <c r="BL80" i="7"/>
  <c r="E80" i="7"/>
  <c r="AL81" i="7"/>
  <c r="BW92" i="7"/>
  <c r="CR91" i="7"/>
  <c r="CJ92" i="7"/>
  <c r="DE91" i="7"/>
  <c r="AO91" i="7"/>
  <c r="CG92" i="7"/>
  <c r="DB91" i="7"/>
  <c r="CF91" i="7"/>
  <c r="DA90" i="7"/>
  <c r="AN90" i="7"/>
  <c r="BU93" i="7"/>
  <c r="CP92" i="7"/>
  <c r="BG89" i="7"/>
  <c r="CA92" i="7"/>
  <c r="CV91" i="7"/>
  <c r="P90" i="7"/>
  <c r="CK93" i="7"/>
  <c r="DF92" i="7"/>
  <c r="BP89" i="7" l="1"/>
  <c r="M79" i="32"/>
  <c r="K79" i="32"/>
  <c r="L79" i="32"/>
  <c r="E81" i="7"/>
  <c r="BL81" i="7"/>
  <c r="AL82" i="7"/>
  <c r="BV93" i="7"/>
  <c r="CQ92" i="7"/>
  <c r="BZ93" i="7"/>
  <c r="CU92" i="7"/>
  <c r="EN92" i="7"/>
  <c r="EO92" i="7"/>
  <c r="BT93" i="7"/>
  <c r="CO92" i="7"/>
  <c r="BP88" i="7"/>
  <c r="BU94" i="7"/>
  <c r="CP93" i="7"/>
  <c r="CJ93" i="7"/>
  <c r="DE92" i="7"/>
  <c r="DG93" i="7"/>
  <c r="EM93" i="7"/>
  <c r="CL94" i="7"/>
  <c r="CD93" i="7"/>
  <c r="CY92" i="7"/>
  <c r="BK81" i="7"/>
  <c r="D81" i="7"/>
  <c r="AK82" i="7"/>
  <c r="CK94" i="7"/>
  <c r="DF93" i="7"/>
  <c r="CA93" i="7"/>
  <c r="CV92" i="7"/>
  <c r="CG93" i="7"/>
  <c r="DB92" i="7"/>
  <c r="AO92" i="7"/>
  <c r="BJ81" i="7"/>
  <c r="BM81" i="7" s="1"/>
  <c r="B81" i="7" s="1"/>
  <c r="C81" i="7"/>
  <c r="F81" i="7" s="1"/>
  <c r="AJ82" i="7"/>
  <c r="P91" i="7"/>
  <c r="CB93" i="7"/>
  <c r="CW92" i="7"/>
  <c r="CH92" i="7"/>
  <c r="DC91" i="7"/>
  <c r="BN91" i="7"/>
  <c r="EA91" i="7"/>
  <c r="DV91" i="7"/>
  <c r="BS92" i="7"/>
  <c r="EF91" i="7"/>
  <c r="DZ91" i="7"/>
  <c r="CN91" i="7"/>
  <c r="EC91" i="7"/>
  <c r="DX91" i="7"/>
  <c r="EB91" i="7"/>
  <c r="DW91" i="7"/>
  <c r="M91" i="7"/>
  <c r="BF89" i="7"/>
  <c r="BE89" i="7"/>
  <c r="BD89" i="7"/>
  <c r="BY94" i="7"/>
  <c r="CT93" i="7"/>
  <c r="CC94" i="7"/>
  <c r="CX93" i="7"/>
  <c r="CM93" i="7"/>
  <c r="DH92" i="7"/>
  <c r="BO89" i="7"/>
  <c r="BQ89" i="7" s="1"/>
  <c r="D80" i="32"/>
  <c r="N91" i="7"/>
  <c r="CF92" i="7"/>
  <c r="DA91" i="7"/>
  <c r="AN91" i="7"/>
  <c r="BW93" i="7"/>
  <c r="CR92" i="7"/>
  <c r="F79" i="32"/>
  <c r="G79" i="32" s="1"/>
  <c r="P79" i="32" s="1"/>
  <c r="Q79" i="32" s="1"/>
  <c r="AP90" i="7"/>
  <c r="BG90" i="7" s="1"/>
  <c r="AR90" i="7"/>
  <c r="BI90" i="7" s="1"/>
  <c r="AQ90" i="7"/>
  <c r="BH90" i="7" s="1"/>
  <c r="CE92" i="7"/>
  <c r="CZ91" i="7"/>
  <c r="AM91" i="7"/>
  <c r="BX93" i="7"/>
  <c r="CS92" i="7"/>
  <c r="CI93" i="7"/>
  <c r="DD92" i="7"/>
  <c r="DS92" i="7"/>
  <c r="BQ88" i="7"/>
  <c r="E80" i="32"/>
  <c r="BB90" i="7"/>
  <c r="DQ90" i="7" s="1"/>
  <c r="AX90" i="7"/>
  <c r="DM90" i="7" s="1"/>
  <c r="AT90" i="7"/>
  <c r="BA90" i="7"/>
  <c r="DP90" i="7" s="1"/>
  <c r="AW90" i="7"/>
  <c r="DL90" i="7" s="1"/>
  <c r="AZ90" i="7"/>
  <c r="DO90" i="7" s="1"/>
  <c r="AV90" i="7"/>
  <c r="DK90" i="7" s="1"/>
  <c r="BC90" i="7"/>
  <c r="DR90" i="7" s="1"/>
  <c r="AY90" i="7"/>
  <c r="DN90" i="7" s="1"/>
  <c r="AU90" i="7"/>
  <c r="DJ90" i="7" s="1"/>
  <c r="AF90" i="7"/>
  <c r="AI90" i="7" s="1"/>
  <c r="AG90" i="7"/>
  <c r="AH90" i="7"/>
  <c r="K80" i="32" l="1"/>
  <c r="L80" i="32"/>
  <c r="M80" i="32"/>
  <c r="BF90" i="7"/>
  <c r="BE90" i="7"/>
  <c r="BD90" i="7"/>
  <c r="G88" i="7"/>
  <c r="H88" i="7"/>
  <c r="CE93" i="7"/>
  <c r="CZ92" i="7"/>
  <c r="AM92" i="7"/>
  <c r="AN92" i="7"/>
  <c r="CF93" i="7"/>
  <c r="DA92" i="7"/>
  <c r="CC95" i="7"/>
  <c r="CX94" i="7"/>
  <c r="BO90" i="7"/>
  <c r="CH93" i="7"/>
  <c r="DC92" i="7"/>
  <c r="BN92" i="7"/>
  <c r="D81" i="32"/>
  <c r="N92" i="7"/>
  <c r="CK95" i="7"/>
  <c r="DF94" i="7"/>
  <c r="EO93" i="7"/>
  <c r="BT94" i="7"/>
  <c r="CO93" i="7"/>
  <c r="BZ94" i="7"/>
  <c r="CU93" i="7"/>
  <c r="EN93" i="7"/>
  <c r="E82" i="7"/>
  <c r="BL82" i="7"/>
  <c r="AL83" i="7"/>
  <c r="P92" i="7"/>
  <c r="BX94" i="7"/>
  <c r="CS93" i="7"/>
  <c r="BW94" i="7"/>
  <c r="CR93" i="7"/>
  <c r="F80" i="32"/>
  <c r="AR91" i="7"/>
  <c r="BI91" i="7" s="1"/>
  <c r="AQ91" i="7"/>
  <c r="AP91" i="7"/>
  <c r="CM94" i="7"/>
  <c r="DH93" i="7"/>
  <c r="BJ82" i="7"/>
  <c r="BM82" i="7" s="1"/>
  <c r="B82" i="7" s="1"/>
  <c r="C82" i="7"/>
  <c r="F82" i="7" s="1"/>
  <c r="AJ83" i="7"/>
  <c r="D82" i="7"/>
  <c r="BK82" i="7"/>
  <c r="AK83" i="7"/>
  <c r="CD94" i="7"/>
  <c r="CY93" i="7"/>
  <c r="BU95" i="7"/>
  <c r="CP94" i="7"/>
  <c r="DI90" i="7"/>
  <c r="BG91" i="7"/>
  <c r="BH91" i="7"/>
  <c r="G80" i="32"/>
  <c r="P80" i="32" s="1"/>
  <c r="Q80" i="32" s="1"/>
  <c r="CB94" i="7"/>
  <c r="CW93" i="7"/>
  <c r="CA94" i="7"/>
  <c r="CV93" i="7"/>
  <c r="EM94" i="7"/>
  <c r="DG94" i="7"/>
  <c r="CL95" i="7"/>
  <c r="DS93" i="7"/>
  <c r="CI94" i="7"/>
  <c r="DD93" i="7"/>
  <c r="H89" i="7"/>
  <c r="G89" i="7"/>
  <c r="BY95" i="7"/>
  <c r="CT94" i="7"/>
  <c r="E81" i="32"/>
  <c r="BA91" i="7"/>
  <c r="DP91" i="7" s="1"/>
  <c r="AW91" i="7"/>
  <c r="DL91" i="7" s="1"/>
  <c r="AZ91" i="7"/>
  <c r="DO91" i="7" s="1"/>
  <c r="AV91" i="7"/>
  <c r="DK91" i="7" s="1"/>
  <c r="BC91" i="7"/>
  <c r="DR91" i="7" s="1"/>
  <c r="AY91" i="7"/>
  <c r="DN91" i="7" s="1"/>
  <c r="AU91" i="7"/>
  <c r="DJ91" i="7" s="1"/>
  <c r="BB91" i="7"/>
  <c r="DQ91" i="7" s="1"/>
  <c r="AX91" i="7"/>
  <c r="DM91" i="7" s="1"/>
  <c r="AT91" i="7"/>
  <c r="AH91" i="7"/>
  <c r="AG91" i="7"/>
  <c r="AF91" i="7"/>
  <c r="AI91" i="7" s="1"/>
  <c r="BS93" i="7"/>
  <c r="EF92" i="7"/>
  <c r="DZ92" i="7"/>
  <c r="CN92" i="7"/>
  <c r="BO91" i="7" s="1"/>
  <c r="EC92" i="7"/>
  <c r="DX92" i="7"/>
  <c r="EB92" i="7"/>
  <c r="DW92" i="7"/>
  <c r="EA92" i="7"/>
  <c r="DV92" i="7"/>
  <c r="M92" i="7"/>
  <c r="CG94" i="7"/>
  <c r="DB93" i="7"/>
  <c r="AO93" i="7"/>
  <c r="CJ94" i="7"/>
  <c r="DE93" i="7"/>
  <c r="BV94" i="7"/>
  <c r="CQ93" i="7"/>
  <c r="L81" i="32" l="1"/>
  <c r="M81" i="32"/>
  <c r="K81" i="32"/>
  <c r="CJ95" i="7"/>
  <c r="DE94" i="7"/>
  <c r="BU96" i="7"/>
  <c r="CP95" i="7"/>
  <c r="BW95" i="7"/>
  <c r="CR94" i="7"/>
  <c r="BT95" i="7"/>
  <c r="CO94" i="7"/>
  <c r="EO94" i="7"/>
  <c r="F81" i="32"/>
  <c r="AR92" i="7"/>
  <c r="BI92" i="7" s="1"/>
  <c r="AQ92" i="7"/>
  <c r="AP92" i="7"/>
  <c r="CH94" i="7"/>
  <c r="DC93" i="7"/>
  <c r="BN93" i="7"/>
  <c r="BV95" i="7"/>
  <c r="CQ94" i="7"/>
  <c r="EC93" i="7"/>
  <c r="DX93" i="7"/>
  <c r="EB93" i="7"/>
  <c r="DW93" i="7"/>
  <c r="EA93" i="7"/>
  <c r="DV93" i="7"/>
  <c r="BS94" i="7"/>
  <c r="EF93" i="7"/>
  <c r="DZ93" i="7"/>
  <c r="CN93" i="7"/>
  <c r="M93" i="7"/>
  <c r="BE91" i="7"/>
  <c r="BD91" i="7"/>
  <c r="BF91" i="7"/>
  <c r="BY96" i="7"/>
  <c r="CT95" i="7"/>
  <c r="CI95" i="7"/>
  <c r="DD94" i="7"/>
  <c r="DS94" i="7"/>
  <c r="CB95" i="7"/>
  <c r="CW94" i="7"/>
  <c r="BL83" i="7"/>
  <c r="E83" i="7"/>
  <c r="AL84" i="7"/>
  <c r="G81" i="32"/>
  <c r="P81" i="32" s="1"/>
  <c r="Q81" i="32" s="1"/>
  <c r="CF94" i="7"/>
  <c r="DA93" i="7"/>
  <c r="AN93" i="7"/>
  <c r="AM93" i="7"/>
  <c r="CE94" i="7"/>
  <c r="CZ93" i="7"/>
  <c r="E82" i="32"/>
  <c r="AZ92" i="7"/>
  <c r="DO92" i="7" s="1"/>
  <c r="AV92" i="7"/>
  <c r="DK92" i="7" s="1"/>
  <c r="BC92" i="7"/>
  <c r="DR92" i="7" s="1"/>
  <c r="AY92" i="7"/>
  <c r="DN92" i="7" s="1"/>
  <c r="AU92" i="7"/>
  <c r="DJ92" i="7" s="1"/>
  <c r="BB92" i="7"/>
  <c r="DQ92" i="7" s="1"/>
  <c r="AX92" i="7"/>
  <c r="DM92" i="7" s="1"/>
  <c r="AT92" i="7"/>
  <c r="BA92" i="7"/>
  <c r="DP92" i="7" s="1"/>
  <c r="AW92" i="7"/>
  <c r="DL92" i="7" s="1"/>
  <c r="AG92" i="7"/>
  <c r="AH92" i="7"/>
  <c r="AF92" i="7"/>
  <c r="AI92" i="7" s="1"/>
  <c r="CG95" i="7"/>
  <c r="DB94" i="7"/>
  <c r="AO94" i="7"/>
  <c r="P93" i="7"/>
  <c r="DI91" i="7"/>
  <c r="DI92" i="7" s="1"/>
  <c r="CD95" i="7"/>
  <c r="CY94" i="7"/>
  <c r="BX95" i="7"/>
  <c r="CS94" i="7"/>
  <c r="EN94" i="7"/>
  <c r="BZ95" i="7"/>
  <c r="CU94" i="7"/>
  <c r="BH92" i="7"/>
  <c r="EM95" i="7"/>
  <c r="DG95" i="7"/>
  <c r="CL96" i="7"/>
  <c r="CA95" i="7"/>
  <c r="CV94" i="7"/>
  <c r="D83" i="7"/>
  <c r="BK83" i="7"/>
  <c r="AK84" i="7"/>
  <c r="C83" i="7"/>
  <c r="F83" i="7" s="1"/>
  <c r="BJ83" i="7"/>
  <c r="BM83" i="7" s="1"/>
  <c r="B83" i="7" s="1"/>
  <c r="AJ84" i="7"/>
  <c r="CM95" i="7"/>
  <c r="DH94" i="7"/>
  <c r="D82" i="32"/>
  <c r="N93" i="7"/>
  <c r="CK96" i="7"/>
  <c r="DF95" i="7"/>
  <c r="CC96" i="7"/>
  <c r="CX95" i="7"/>
  <c r="BG92" i="7"/>
  <c r="BP90" i="7"/>
  <c r="BQ90" i="7" s="1"/>
  <c r="H90" i="7" l="1"/>
  <c r="G90" i="7"/>
  <c r="BP92" i="7"/>
  <c r="M82" i="32"/>
  <c r="K82" i="32"/>
  <c r="L82" i="32"/>
  <c r="BL84" i="7"/>
  <c r="E84" i="7"/>
  <c r="AL85" i="7"/>
  <c r="CB96" i="7"/>
  <c r="CW95" i="7"/>
  <c r="F82" i="32"/>
  <c r="AQ93" i="7"/>
  <c r="AP93" i="7"/>
  <c r="AR93" i="7"/>
  <c r="BI93" i="7" s="1"/>
  <c r="CC97" i="7"/>
  <c r="CX96" i="7"/>
  <c r="G82" i="32"/>
  <c r="P82" i="32" s="1"/>
  <c r="Q82" i="32" s="1"/>
  <c r="BX96" i="7"/>
  <c r="CS95" i="7"/>
  <c r="D83" i="32"/>
  <c r="N94" i="7"/>
  <c r="AO95" i="7"/>
  <c r="CG96" i="7"/>
  <c r="DB95" i="7"/>
  <c r="CE95" i="7"/>
  <c r="CZ94" i="7"/>
  <c r="AM94" i="7"/>
  <c r="CF95" i="7"/>
  <c r="DA94" i="7"/>
  <c r="AN94" i="7"/>
  <c r="P94" i="7"/>
  <c r="BY97" i="7"/>
  <c r="CT96" i="7"/>
  <c r="E83" i="32"/>
  <c r="BC93" i="7"/>
  <c r="DR93" i="7" s="1"/>
  <c r="AY93" i="7"/>
  <c r="DN93" i="7" s="1"/>
  <c r="AU93" i="7"/>
  <c r="DJ93" i="7" s="1"/>
  <c r="BB93" i="7"/>
  <c r="DQ93" i="7" s="1"/>
  <c r="AX93" i="7"/>
  <c r="DM93" i="7" s="1"/>
  <c r="AT93" i="7"/>
  <c r="DI93" i="7" s="1"/>
  <c r="BA93" i="7"/>
  <c r="DP93" i="7" s="1"/>
  <c r="AW93" i="7"/>
  <c r="DL93" i="7" s="1"/>
  <c r="AZ93" i="7"/>
  <c r="DO93" i="7" s="1"/>
  <c r="AV93" i="7"/>
  <c r="DK93" i="7" s="1"/>
  <c r="AG93" i="7"/>
  <c r="AF93" i="7"/>
  <c r="AI93" i="7" s="1"/>
  <c r="AH93" i="7"/>
  <c r="EB94" i="7"/>
  <c r="DW94" i="7"/>
  <c r="EA94" i="7"/>
  <c r="DV94" i="7"/>
  <c r="BS95" i="7"/>
  <c r="EF94" i="7"/>
  <c r="DZ94" i="7"/>
  <c r="CN94" i="7"/>
  <c r="EC94" i="7"/>
  <c r="DX94" i="7"/>
  <c r="M94" i="7"/>
  <c r="BV96" i="7"/>
  <c r="CQ95" i="7"/>
  <c r="BN94" i="7"/>
  <c r="CH95" i="7"/>
  <c r="DC94" i="7"/>
  <c r="BW96" i="7"/>
  <c r="CR95" i="7"/>
  <c r="CJ96" i="7"/>
  <c r="DE95" i="7"/>
  <c r="C84" i="7"/>
  <c r="F84" i="7" s="1"/>
  <c r="BJ84" i="7"/>
  <c r="BM84" i="7" s="1"/>
  <c r="B84" i="7" s="1"/>
  <c r="AJ85" i="7"/>
  <c r="DG96" i="7"/>
  <c r="EM96" i="7"/>
  <c r="CL97" i="7"/>
  <c r="BZ96" i="7"/>
  <c r="CU95" i="7"/>
  <c r="EN95" i="7"/>
  <c r="BG93" i="7"/>
  <c r="BO92" i="7"/>
  <c r="BQ92" i="7" s="1"/>
  <c r="BP91" i="7"/>
  <c r="BQ91" i="7" s="1"/>
  <c r="CK97" i="7"/>
  <c r="DF96" i="7"/>
  <c r="CM96" i="7"/>
  <c r="DH95" i="7"/>
  <c r="BK84" i="7"/>
  <c r="D84" i="7"/>
  <c r="AK85" i="7"/>
  <c r="CA96" i="7"/>
  <c r="CV95" i="7"/>
  <c r="CD96" i="7"/>
  <c r="CY95" i="7"/>
  <c r="BD92" i="7"/>
  <c r="BF92" i="7"/>
  <c r="BE92" i="7"/>
  <c r="BH93" i="7"/>
  <c r="CI96" i="7"/>
  <c r="DD95" i="7"/>
  <c r="DS95" i="7"/>
  <c r="BT96" i="7"/>
  <c r="CO95" i="7"/>
  <c r="EO95" i="7"/>
  <c r="BU97" i="7"/>
  <c r="CP96" i="7"/>
  <c r="BP93" i="7" l="1"/>
  <c r="M83" i="32"/>
  <c r="K83" i="32"/>
  <c r="L83" i="32"/>
  <c r="BU98" i="7"/>
  <c r="CP97" i="7"/>
  <c r="CD97" i="7"/>
  <c r="CY96" i="7"/>
  <c r="DG97" i="7"/>
  <c r="EM97" i="7"/>
  <c r="CL98" i="7"/>
  <c r="BX97" i="7"/>
  <c r="CS96" i="7"/>
  <c r="H91" i="7"/>
  <c r="G91" i="7"/>
  <c r="EO96" i="7"/>
  <c r="BT97" i="7"/>
  <c r="CO96" i="7"/>
  <c r="CI97" i="7"/>
  <c r="DD96" i="7"/>
  <c r="DS96" i="7"/>
  <c r="CK98" i="7"/>
  <c r="DF97" i="7"/>
  <c r="BW97" i="7"/>
  <c r="CR96" i="7"/>
  <c r="EA95" i="7"/>
  <c r="DV95" i="7"/>
  <c r="BS96" i="7"/>
  <c r="EF95" i="7"/>
  <c r="DZ95" i="7"/>
  <c r="CN95" i="7"/>
  <c r="EC95" i="7"/>
  <c r="DX95" i="7"/>
  <c r="EB95" i="7"/>
  <c r="DW95" i="7"/>
  <c r="M95" i="7"/>
  <c r="BF93" i="7"/>
  <c r="BE93" i="7"/>
  <c r="BD93" i="7"/>
  <c r="BY98" i="7"/>
  <c r="CT97" i="7"/>
  <c r="CE96" i="7"/>
  <c r="CZ95" i="7"/>
  <c r="AM95" i="7"/>
  <c r="F83" i="32"/>
  <c r="AP94" i="7"/>
  <c r="AR94" i="7"/>
  <c r="BI94" i="7" s="1"/>
  <c r="AQ94" i="7"/>
  <c r="BH94" i="7" s="1"/>
  <c r="CB97" i="7"/>
  <c r="CW96" i="7"/>
  <c r="CA97" i="7"/>
  <c r="CV96" i="7"/>
  <c r="BV97" i="7"/>
  <c r="CQ96" i="7"/>
  <c r="BO93" i="7"/>
  <c r="BQ93" i="7" s="1"/>
  <c r="CF96" i="7"/>
  <c r="DA95" i="7"/>
  <c r="AN95" i="7"/>
  <c r="G83" i="32"/>
  <c r="P83" i="32" s="1"/>
  <c r="Q83" i="32" s="1"/>
  <c r="E85" i="7"/>
  <c r="BL85" i="7"/>
  <c r="AL86" i="7"/>
  <c r="P95" i="7"/>
  <c r="BK85" i="7"/>
  <c r="D85" i="7"/>
  <c r="AK86" i="7"/>
  <c r="CM97" i="7"/>
  <c r="DH96" i="7"/>
  <c r="G92" i="7"/>
  <c r="H92" i="7"/>
  <c r="BZ97" i="7"/>
  <c r="CU96" i="7"/>
  <c r="EN96" i="7"/>
  <c r="BJ85" i="7"/>
  <c r="BM85" i="7" s="1"/>
  <c r="B85" i="7" s="1"/>
  <c r="C85" i="7"/>
  <c r="F85" i="7" s="1"/>
  <c r="AJ86" i="7"/>
  <c r="CJ97" i="7"/>
  <c r="DE96" i="7"/>
  <c r="CH96" i="7"/>
  <c r="DC95" i="7"/>
  <c r="BN95" i="7"/>
  <c r="E84" i="32"/>
  <c r="BB94" i="7"/>
  <c r="DQ94" i="7" s="1"/>
  <c r="AX94" i="7"/>
  <c r="DM94" i="7" s="1"/>
  <c r="AT94" i="7"/>
  <c r="DI94" i="7" s="1"/>
  <c r="BA94" i="7"/>
  <c r="DP94" i="7" s="1"/>
  <c r="AW94" i="7"/>
  <c r="DL94" i="7" s="1"/>
  <c r="AZ94" i="7"/>
  <c r="DO94" i="7" s="1"/>
  <c r="AV94" i="7"/>
  <c r="DK94" i="7" s="1"/>
  <c r="BC94" i="7"/>
  <c r="DR94" i="7" s="1"/>
  <c r="AY94" i="7"/>
  <c r="DN94" i="7" s="1"/>
  <c r="AU94" i="7"/>
  <c r="DJ94" i="7" s="1"/>
  <c r="AF94" i="7"/>
  <c r="AI94" i="7" s="1"/>
  <c r="AG94" i="7"/>
  <c r="AH94" i="7"/>
  <c r="D84" i="32"/>
  <c r="N95" i="7"/>
  <c r="BG94" i="7"/>
  <c r="CG97" i="7"/>
  <c r="DB96" i="7"/>
  <c r="AO96" i="7"/>
  <c r="CC98" i="7"/>
  <c r="CX97" i="7"/>
  <c r="BP94" i="7" l="1"/>
  <c r="M84" i="32"/>
  <c r="L84" i="32"/>
  <c r="K84" i="32"/>
  <c r="CH97" i="7"/>
  <c r="DC96" i="7"/>
  <c r="BN96" i="7"/>
  <c r="BZ98" i="7"/>
  <c r="CU97" i="7"/>
  <c r="EN97" i="7"/>
  <c r="CM98" i="7"/>
  <c r="DH97" i="7"/>
  <c r="AN96" i="7"/>
  <c r="CF97" i="7"/>
  <c r="DA96" i="7"/>
  <c r="BO94" i="7"/>
  <c r="BQ94" i="7" s="1"/>
  <c r="DS97" i="7"/>
  <c r="CI98" i="7"/>
  <c r="DD97" i="7"/>
  <c r="CG98" i="7"/>
  <c r="DB97" i="7"/>
  <c r="AO97" i="7"/>
  <c r="CC99" i="7"/>
  <c r="CX98" i="7"/>
  <c r="D86" i="7"/>
  <c r="BK86" i="7"/>
  <c r="AK87" i="7"/>
  <c r="D85" i="32"/>
  <c r="N96" i="7"/>
  <c r="H93" i="7"/>
  <c r="G93" i="7"/>
  <c r="CA98" i="7"/>
  <c r="CV97" i="7"/>
  <c r="CE97" i="7"/>
  <c r="CZ96" i="7"/>
  <c r="AM96" i="7"/>
  <c r="CK99" i="7"/>
  <c r="DF98" i="7"/>
  <c r="BU99" i="7"/>
  <c r="CP98" i="7"/>
  <c r="F84" i="32"/>
  <c r="G84" i="32" s="1"/>
  <c r="P84" i="32" s="1"/>
  <c r="Q84" i="32" s="1"/>
  <c r="AR95" i="7"/>
  <c r="BI95" i="7" s="1"/>
  <c r="AQ95" i="7"/>
  <c r="AP95" i="7"/>
  <c r="BG95" i="7" s="1"/>
  <c r="BF94" i="7"/>
  <c r="BE94" i="7"/>
  <c r="BD94" i="7"/>
  <c r="CJ98" i="7"/>
  <c r="DE97" i="7"/>
  <c r="E86" i="7"/>
  <c r="BL86" i="7"/>
  <c r="AL87" i="7"/>
  <c r="BH95" i="7"/>
  <c r="P96" i="7"/>
  <c r="EO97" i="7"/>
  <c r="BT98" i="7"/>
  <c r="CO97" i="7"/>
  <c r="BJ86" i="7"/>
  <c r="BM86" i="7" s="1"/>
  <c r="B86" i="7" s="1"/>
  <c r="C86" i="7"/>
  <c r="F86" i="7" s="1"/>
  <c r="AJ87" i="7"/>
  <c r="BV98" i="7"/>
  <c r="CQ97" i="7"/>
  <c r="CB98" i="7"/>
  <c r="CW97" i="7"/>
  <c r="BY99" i="7"/>
  <c r="CT98" i="7"/>
  <c r="E85" i="32"/>
  <c r="BA95" i="7"/>
  <c r="DP95" i="7" s="1"/>
  <c r="AW95" i="7"/>
  <c r="DL95" i="7" s="1"/>
  <c r="AZ95" i="7"/>
  <c r="DO95" i="7" s="1"/>
  <c r="AV95" i="7"/>
  <c r="DK95" i="7" s="1"/>
  <c r="BC95" i="7"/>
  <c r="DR95" i="7" s="1"/>
  <c r="AY95" i="7"/>
  <c r="DN95" i="7" s="1"/>
  <c r="AU95" i="7"/>
  <c r="DJ95" i="7" s="1"/>
  <c r="BB95" i="7"/>
  <c r="DQ95" i="7" s="1"/>
  <c r="AX95" i="7"/>
  <c r="DM95" i="7" s="1"/>
  <c r="AT95" i="7"/>
  <c r="AG95" i="7"/>
  <c r="AF95" i="7"/>
  <c r="AI95" i="7" s="1"/>
  <c r="AH95" i="7"/>
  <c r="BS97" i="7"/>
  <c r="EF96" i="7"/>
  <c r="DZ96" i="7"/>
  <c r="CN96" i="7"/>
  <c r="BO95" i="7" s="1"/>
  <c r="EC96" i="7"/>
  <c r="DX96" i="7"/>
  <c r="EB96" i="7"/>
  <c r="DW96" i="7"/>
  <c r="EA96" i="7"/>
  <c r="DV96" i="7"/>
  <c r="M96" i="7"/>
  <c r="BW98" i="7"/>
  <c r="CR97" i="7"/>
  <c r="BX98" i="7"/>
  <c r="CS97" i="7"/>
  <c r="EM98" i="7"/>
  <c r="DG98" i="7"/>
  <c r="CL99" i="7"/>
  <c r="CD98" i="7"/>
  <c r="CY97" i="7"/>
  <c r="K85" i="32" l="1"/>
  <c r="L85" i="32"/>
  <c r="M85" i="32"/>
  <c r="CD99" i="7"/>
  <c r="CY98" i="7"/>
  <c r="EM99" i="7"/>
  <c r="DG99" i="7"/>
  <c r="CL100" i="7"/>
  <c r="CB99" i="7"/>
  <c r="CW98" i="7"/>
  <c r="BT99" i="7"/>
  <c r="CO98" i="7"/>
  <c r="EO98" i="7"/>
  <c r="AM97" i="7"/>
  <c r="CE98" i="7"/>
  <c r="CZ97" i="7"/>
  <c r="CI99" i="7"/>
  <c r="DD98" i="7"/>
  <c r="DS98" i="7"/>
  <c r="CF98" i="7"/>
  <c r="DA97" i="7"/>
  <c r="AN97" i="7"/>
  <c r="E86" i="32"/>
  <c r="AZ96" i="7"/>
  <c r="DO96" i="7" s="1"/>
  <c r="AV96" i="7"/>
  <c r="DK96" i="7" s="1"/>
  <c r="BC96" i="7"/>
  <c r="DR96" i="7" s="1"/>
  <c r="AY96" i="7"/>
  <c r="DN96" i="7" s="1"/>
  <c r="AU96" i="7"/>
  <c r="DJ96" i="7" s="1"/>
  <c r="BB96" i="7"/>
  <c r="DQ96" i="7" s="1"/>
  <c r="AX96" i="7"/>
  <c r="DM96" i="7" s="1"/>
  <c r="AT96" i="7"/>
  <c r="BA96" i="7"/>
  <c r="DP96" i="7" s="1"/>
  <c r="AW96" i="7"/>
  <c r="DL96" i="7" s="1"/>
  <c r="AG96" i="7"/>
  <c r="AF96" i="7"/>
  <c r="AI96" i="7" s="1"/>
  <c r="AH96" i="7"/>
  <c r="EC97" i="7"/>
  <c r="DX97" i="7"/>
  <c r="EB97" i="7"/>
  <c r="DW97" i="7"/>
  <c r="EA97" i="7"/>
  <c r="DV97" i="7"/>
  <c r="BS98" i="7"/>
  <c r="EF97" i="7"/>
  <c r="DZ97" i="7"/>
  <c r="CN97" i="7"/>
  <c r="M97" i="7"/>
  <c r="BE95" i="7"/>
  <c r="BD95" i="7"/>
  <c r="BF95" i="7"/>
  <c r="BY100" i="7"/>
  <c r="CT99" i="7"/>
  <c r="BL87" i="7"/>
  <c r="E87" i="7"/>
  <c r="AL88" i="7"/>
  <c r="CJ99" i="7"/>
  <c r="DE98" i="7"/>
  <c r="CK100" i="7"/>
  <c r="DF99" i="7"/>
  <c r="F85" i="32"/>
  <c r="AR96" i="7"/>
  <c r="BI96" i="7" s="1"/>
  <c r="AQ96" i="7"/>
  <c r="AP96" i="7"/>
  <c r="P97" i="7"/>
  <c r="BH96" i="7"/>
  <c r="CH98" i="7"/>
  <c r="DC97" i="7"/>
  <c r="BN97" i="7"/>
  <c r="BX99" i="7"/>
  <c r="CS98" i="7"/>
  <c r="BW99" i="7"/>
  <c r="CR98" i="7"/>
  <c r="BV99" i="7"/>
  <c r="CQ98" i="7"/>
  <c r="D86" i="32"/>
  <c r="N97" i="7"/>
  <c r="BG96" i="7"/>
  <c r="CA99" i="7"/>
  <c r="CV98" i="7"/>
  <c r="G85" i="32"/>
  <c r="P85" i="32" s="1"/>
  <c r="Q85" i="32" s="1"/>
  <c r="CG99" i="7"/>
  <c r="DB98" i="7"/>
  <c r="AO98" i="7"/>
  <c r="H94" i="7"/>
  <c r="G94" i="7"/>
  <c r="EN98" i="7"/>
  <c r="BZ99" i="7"/>
  <c r="CU98" i="7"/>
  <c r="DI95" i="7"/>
  <c r="DI96" i="7" s="1"/>
  <c r="C87" i="7"/>
  <c r="F87" i="7" s="1"/>
  <c r="BJ87" i="7"/>
  <c r="BM87" i="7" s="1"/>
  <c r="B87" i="7" s="1"/>
  <c r="AJ88" i="7"/>
  <c r="BU100" i="7"/>
  <c r="CP99" i="7"/>
  <c r="D87" i="7"/>
  <c r="BK87" i="7"/>
  <c r="AK88" i="7"/>
  <c r="CC100" i="7"/>
  <c r="CX99" i="7"/>
  <c r="CM99" i="7"/>
  <c r="DH98" i="7"/>
  <c r="L86" i="32" l="1"/>
  <c r="BP96" i="7"/>
  <c r="M86" i="32"/>
  <c r="K86" i="32"/>
  <c r="BZ100" i="7"/>
  <c r="CU99" i="7"/>
  <c r="EN99" i="7"/>
  <c r="BW100" i="7"/>
  <c r="CR99" i="7"/>
  <c r="BU101" i="7"/>
  <c r="CP100" i="7"/>
  <c r="CM100" i="7"/>
  <c r="DH99" i="7"/>
  <c r="C88" i="7"/>
  <c r="F88" i="7" s="1"/>
  <c r="BJ88" i="7"/>
  <c r="BM88" i="7" s="1"/>
  <c r="B88" i="7" s="1"/>
  <c r="AJ89" i="7"/>
  <c r="F86" i="32"/>
  <c r="AQ97" i="7"/>
  <c r="AP97" i="7"/>
  <c r="AR97" i="7"/>
  <c r="BI97" i="7" s="1"/>
  <c r="D87" i="32"/>
  <c r="N98" i="7"/>
  <c r="CJ100" i="7"/>
  <c r="DE99" i="7"/>
  <c r="CF99" i="7"/>
  <c r="DA98" i="7"/>
  <c r="AN98" i="7"/>
  <c r="CB100" i="7"/>
  <c r="CW99" i="7"/>
  <c r="BP95" i="7"/>
  <c r="BQ95" i="7" s="1"/>
  <c r="G86" i="32"/>
  <c r="P86" i="32" s="1"/>
  <c r="Q86" i="32" s="1"/>
  <c r="BL88" i="7"/>
  <c r="E88" i="7"/>
  <c r="AL89" i="7"/>
  <c r="BY101" i="7"/>
  <c r="CT100" i="7"/>
  <c r="E87" i="32"/>
  <c r="BC97" i="7"/>
  <c r="DR97" i="7" s="1"/>
  <c r="AY97" i="7"/>
  <c r="DN97" i="7" s="1"/>
  <c r="AU97" i="7"/>
  <c r="DJ97" i="7" s="1"/>
  <c r="BB97" i="7"/>
  <c r="DQ97" i="7" s="1"/>
  <c r="AX97" i="7"/>
  <c r="DM97" i="7" s="1"/>
  <c r="AT97" i="7"/>
  <c r="BA97" i="7"/>
  <c r="DP97" i="7" s="1"/>
  <c r="AW97" i="7"/>
  <c r="DL97" i="7" s="1"/>
  <c r="AZ97" i="7"/>
  <c r="DO97" i="7" s="1"/>
  <c r="AV97" i="7"/>
  <c r="DK97" i="7" s="1"/>
  <c r="AG97" i="7"/>
  <c r="AH97" i="7"/>
  <c r="AF97" i="7"/>
  <c r="AI97" i="7" s="1"/>
  <c r="EB98" i="7"/>
  <c r="DW98" i="7"/>
  <c r="EA98" i="7"/>
  <c r="DV98" i="7"/>
  <c r="BS99" i="7"/>
  <c r="EF98" i="7"/>
  <c r="DZ98" i="7"/>
  <c r="CN98" i="7"/>
  <c r="EC98" i="7"/>
  <c r="DX98" i="7"/>
  <c r="M98" i="7"/>
  <c r="BD96" i="7"/>
  <c r="BF96" i="7"/>
  <c r="BE96" i="7"/>
  <c r="P98" i="7"/>
  <c r="DG100" i="7"/>
  <c r="EM100" i="7"/>
  <c r="CL101" i="7"/>
  <c r="CD100" i="7"/>
  <c r="CY99" i="7"/>
  <c r="CC101" i="7"/>
  <c r="CX100" i="7"/>
  <c r="CA100" i="7"/>
  <c r="CV99" i="7"/>
  <c r="BN98" i="7"/>
  <c r="CH99" i="7"/>
  <c r="DC98" i="7"/>
  <c r="CK101" i="7"/>
  <c r="DF100" i="7"/>
  <c r="BO96" i="7"/>
  <c r="BQ96" i="7" s="1"/>
  <c r="BH97" i="7"/>
  <c r="CE99" i="7"/>
  <c r="CZ98" i="7"/>
  <c r="AM98" i="7"/>
  <c r="BT100" i="7"/>
  <c r="CO99" i="7"/>
  <c r="EO99" i="7"/>
  <c r="BK88" i="7"/>
  <c r="D88" i="7"/>
  <c r="AK89" i="7"/>
  <c r="DI97" i="7"/>
  <c r="AO99" i="7"/>
  <c r="CG100" i="7"/>
  <c r="DB99" i="7"/>
  <c r="BV100" i="7"/>
  <c r="CQ99" i="7"/>
  <c r="BX100" i="7"/>
  <c r="CS99" i="7"/>
  <c r="CI100" i="7"/>
  <c r="DD99" i="7"/>
  <c r="DS99" i="7"/>
  <c r="BG97" i="7"/>
  <c r="K87" i="32" l="1"/>
  <c r="L87" i="32"/>
  <c r="BP97" i="7"/>
  <c r="M87" i="32"/>
  <c r="P99" i="7"/>
  <c r="BX101" i="7"/>
  <c r="CS100" i="7"/>
  <c r="CG101" i="7"/>
  <c r="DB100" i="7"/>
  <c r="AO100" i="7"/>
  <c r="CE100" i="7"/>
  <c r="CZ99" i="7"/>
  <c r="AM99" i="7"/>
  <c r="CK102" i="7"/>
  <c r="DF101" i="7"/>
  <c r="EA99" i="7"/>
  <c r="DV99" i="7"/>
  <c r="BS100" i="7"/>
  <c r="EF99" i="7"/>
  <c r="DZ99" i="7"/>
  <c r="CN99" i="7"/>
  <c r="EC99" i="7"/>
  <c r="DX99" i="7"/>
  <c r="EB99" i="7"/>
  <c r="DW99" i="7"/>
  <c r="M99" i="7"/>
  <c r="BF97" i="7"/>
  <c r="BE97" i="7"/>
  <c r="BD97" i="7"/>
  <c r="BY102" i="7"/>
  <c r="CT101" i="7"/>
  <c r="CJ101" i="7"/>
  <c r="DE100" i="7"/>
  <c r="EO100" i="7"/>
  <c r="BT101" i="7"/>
  <c r="CO100" i="7"/>
  <c r="CA101" i="7"/>
  <c r="CV100" i="7"/>
  <c r="CD101" i="7"/>
  <c r="CY100" i="7"/>
  <c r="BO97" i="7"/>
  <c r="BQ97" i="7" s="1"/>
  <c r="E89" i="7"/>
  <c r="BL89" i="7"/>
  <c r="AL90" i="7"/>
  <c r="H95" i="7"/>
  <c r="G95" i="7"/>
  <c r="F87" i="32"/>
  <c r="AP98" i="7"/>
  <c r="BG98" i="7" s="1"/>
  <c r="AR98" i="7"/>
  <c r="BI98" i="7" s="1"/>
  <c r="AQ98" i="7"/>
  <c r="BH98" i="7" s="1"/>
  <c r="BU102" i="7"/>
  <c r="CP101" i="7"/>
  <c r="CI101" i="7"/>
  <c r="DD100" i="7"/>
  <c r="DS100" i="7"/>
  <c r="BV101" i="7"/>
  <c r="CQ100" i="7"/>
  <c r="G96" i="7"/>
  <c r="H96" i="7"/>
  <c r="CH100" i="7"/>
  <c r="DC99" i="7"/>
  <c r="BN99" i="7"/>
  <c r="DG101" i="7"/>
  <c r="EM101" i="7"/>
  <c r="CL102" i="7"/>
  <c r="D88" i="32"/>
  <c r="N99" i="7"/>
  <c r="E88" i="32"/>
  <c r="BB98" i="7"/>
  <c r="DQ98" i="7" s="1"/>
  <c r="AX98" i="7"/>
  <c r="DM98" i="7" s="1"/>
  <c r="AT98" i="7"/>
  <c r="BA98" i="7"/>
  <c r="DP98" i="7" s="1"/>
  <c r="AW98" i="7"/>
  <c r="DL98" i="7" s="1"/>
  <c r="AZ98" i="7"/>
  <c r="DO98" i="7" s="1"/>
  <c r="AV98" i="7"/>
  <c r="DK98" i="7" s="1"/>
  <c r="BC98" i="7"/>
  <c r="DR98" i="7" s="1"/>
  <c r="AY98" i="7"/>
  <c r="DN98" i="7" s="1"/>
  <c r="AU98" i="7"/>
  <c r="DJ98" i="7" s="1"/>
  <c r="AH98" i="7"/>
  <c r="AG98" i="7"/>
  <c r="AF98" i="7"/>
  <c r="AI98" i="7" s="1"/>
  <c r="CF100" i="7"/>
  <c r="DA99" i="7"/>
  <c r="AN99" i="7"/>
  <c r="G87" i="32"/>
  <c r="P87" i="32" s="1"/>
  <c r="Q87" i="32" s="1"/>
  <c r="BZ101" i="7"/>
  <c r="CU100" i="7"/>
  <c r="EN100" i="7"/>
  <c r="BK89" i="7"/>
  <c r="D89" i="7"/>
  <c r="AK90" i="7"/>
  <c r="CC102" i="7"/>
  <c r="CX101" i="7"/>
  <c r="CB101" i="7"/>
  <c r="CW100" i="7"/>
  <c r="BJ89" i="7"/>
  <c r="BM89" i="7" s="1"/>
  <c r="B89" i="7" s="1"/>
  <c r="C89" i="7"/>
  <c r="F89" i="7" s="1"/>
  <c r="AJ90" i="7"/>
  <c r="CM101" i="7"/>
  <c r="DH100" i="7"/>
  <c r="BW101" i="7"/>
  <c r="CR100" i="7"/>
  <c r="K88" i="32" l="1"/>
  <c r="L88" i="32"/>
  <c r="M88" i="32"/>
  <c r="CB102" i="7"/>
  <c r="CW101" i="7"/>
  <c r="D90" i="7"/>
  <c r="BK90" i="7"/>
  <c r="AK91" i="7"/>
  <c r="BF98" i="7"/>
  <c r="BE98" i="7"/>
  <c r="BD98" i="7"/>
  <c r="F88" i="32"/>
  <c r="AR99" i="7"/>
  <c r="BI99" i="7" s="1"/>
  <c r="AQ99" i="7"/>
  <c r="AP99" i="7"/>
  <c r="DS101" i="7"/>
  <c r="CI102" i="7"/>
  <c r="DD101" i="7"/>
  <c r="E90" i="7"/>
  <c r="BL90" i="7"/>
  <c r="AL91" i="7"/>
  <c r="BY103" i="7"/>
  <c r="CT102" i="7"/>
  <c r="E89" i="32"/>
  <c r="BA99" i="7"/>
  <c r="DP99" i="7" s="1"/>
  <c r="AW99" i="7"/>
  <c r="DL99" i="7" s="1"/>
  <c r="AZ99" i="7"/>
  <c r="DO99" i="7" s="1"/>
  <c r="AV99" i="7"/>
  <c r="DK99" i="7" s="1"/>
  <c r="BC99" i="7"/>
  <c r="DR99" i="7" s="1"/>
  <c r="AY99" i="7"/>
  <c r="DN99" i="7" s="1"/>
  <c r="AU99" i="7"/>
  <c r="DJ99" i="7" s="1"/>
  <c r="BB99" i="7"/>
  <c r="DQ99" i="7" s="1"/>
  <c r="AX99" i="7"/>
  <c r="DM99" i="7" s="1"/>
  <c r="AT99" i="7"/>
  <c r="AH99" i="7"/>
  <c r="AG99" i="7"/>
  <c r="AF99" i="7"/>
  <c r="AI99" i="7" s="1"/>
  <c r="BS101" i="7"/>
  <c r="EF100" i="7"/>
  <c r="DZ100" i="7"/>
  <c r="CN100" i="7"/>
  <c r="EC100" i="7"/>
  <c r="DX100" i="7"/>
  <c r="EB100" i="7"/>
  <c r="DW100" i="7"/>
  <c r="EA100" i="7"/>
  <c r="DV100" i="7"/>
  <c r="M100" i="7"/>
  <c r="CK103" i="7"/>
  <c r="DF102" i="7"/>
  <c r="BX102" i="7"/>
  <c r="CS101" i="7"/>
  <c r="BZ102" i="7"/>
  <c r="CU101" i="7"/>
  <c r="EN101" i="7"/>
  <c r="AN100" i="7"/>
  <c r="CF101" i="7"/>
  <c r="DA100" i="7"/>
  <c r="G88" i="32"/>
  <c r="P88" i="32" s="1"/>
  <c r="Q88" i="32" s="1"/>
  <c r="BV102" i="7"/>
  <c r="CQ101" i="7"/>
  <c r="CD102" i="7"/>
  <c r="CY101" i="7"/>
  <c r="EO101" i="7"/>
  <c r="BT102" i="7"/>
  <c r="CO101" i="7"/>
  <c r="CJ102" i="7"/>
  <c r="DE101" i="7"/>
  <c r="BO98" i="7"/>
  <c r="BG99" i="7"/>
  <c r="BW102" i="7"/>
  <c r="CR101" i="7"/>
  <c r="CC103" i="7"/>
  <c r="CX102" i="7"/>
  <c r="EM102" i="7"/>
  <c r="DG102" i="7"/>
  <c r="CL103" i="7"/>
  <c r="P100" i="7"/>
  <c r="BU103" i="7"/>
  <c r="CP102" i="7"/>
  <c r="CG102" i="7"/>
  <c r="DB101" i="7"/>
  <c r="AO101" i="7"/>
  <c r="D89" i="32"/>
  <c r="N100" i="7"/>
  <c r="BJ90" i="7"/>
  <c r="BM90" i="7" s="1"/>
  <c r="B90" i="7" s="1"/>
  <c r="C90" i="7"/>
  <c r="F90" i="7" s="1"/>
  <c r="AJ91" i="7"/>
  <c r="CM102" i="7"/>
  <c r="DH101" i="7"/>
  <c r="BH99" i="7"/>
  <c r="CH101" i="7"/>
  <c r="DC100" i="7"/>
  <c r="BN100" i="7"/>
  <c r="DI98" i="7"/>
  <c r="DI99" i="7" s="1"/>
  <c r="H97" i="7"/>
  <c r="G97" i="7"/>
  <c r="CA102" i="7"/>
  <c r="CV101" i="7"/>
  <c r="CE101" i="7"/>
  <c r="CZ100" i="7"/>
  <c r="AM100" i="7"/>
  <c r="M89" i="32" l="1"/>
  <c r="K89" i="32"/>
  <c r="L89" i="32"/>
  <c r="BP99" i="7"/>
  <c r="AM101" i="7"/>
  <c r="CE102" i="7"/>
  <c r="CZ101" i="7"/>
  <c r="CH102" i="7"/>
  <c r="DC101" i="7"/>
  <c r="BN101" i="7"/>
  <c r="C91" i="7"/>
  <c r="F91" i="7" s="1"/>
  <c r="BJ91" i="7"/>
  <c r="BM91" i="7" s="1"/>
  <c r="B91" i="7" s="1"/>
  <c r="AJ92" i="7"/>
  <c r="EM103" i="7"/>
  <c r="DG103" i="7"/>
  <c r="CL104" i="7"/>
  <c r="CC104" i="7"/>
  <c r="CX103" i="7"/>
  <c r="BT103" i="7"/>
  <c r="CO102" i="7"/>
  <c r="EO102" i="7"/>
  <c r="BP98" i="7"/>
  <c r="BQ98" i="7" s="1"/>
  <c r="CA103" i="7"/>
  <c r="CV102" i="7"/>
  <c r="BU104" i="7"/>
  <c r="CP103" i="7"/>
  <c r="BV103" i="7"/>
  <c r="CQ102" i="7"/>
  <c r="CF102" i="7"/>
  <c r="DA101" i="7"/>
  <c r="AN101" i="7"/>
  <c r="EN102" i="7"/>
  <c r="BZ103" i="7"/>
  <c r="CU102" i="7"/>
  <c r="EC101" i="7"/>
  <c r="DX101" i="7"/>
  <c r="EB101" i="7"/>
  <c r="DW101" i="7"/>
  <c r="EA101" i="7"/>
  <c r="DV101" i="7"/>
  <c r="BS102" i="7"/>
  <c r="EF101" i="7"/>
  <c r="DZ101" i="7"/>
  <c r="CN101" i="7"/>
  <c r="M101" i="7"/>
  <c r="BE99" i="7"/>
  <c r="BD99" i="7"/>
  <c r="BF99" i="7"/>
  <c r="BY104" i="7"/>
  <c r="CT103" i="7"/>
  <c r="D90" i="32"/>
  <c r="N101" i="7"/>
  <c r="BW103" i="7"/>
  <c r="CR102" i="7"/>
  <c r="CJ103" i="7"/>
  <c r="DE102" i="7"/>
  <c r="CK104" i="7"/>
  <c r="DF103" i="7"/>
  <c r="BO99" i="7"/>
  <c r="BQ99" i="7" s="1"/>
  <c r="BL91" i="7"/>
  <c r="E91" i="7"/>
  <c r="AL92" i="7"/>
  <c r="CI103" i="7"/>
  <c r="DD102" i="7"/>
  <c r="DS102" i="7"/>
  <c r="D91" i="7"/>
  <c r="BK91" i="7"/>
  <c r="AK92" i="7"/>
  <c r="CB103" i="7"/>
  <c r="CW102" i="7"/>
  <c r="BG100" i="7"/>
  <c r="CM103" i="7"/>
  <c r="DH102" i="7"/>
  <c r="F89" i="32"/>
  <c r="G89" i="32" s="1"/>
  <c r="P89" i="32" s="1"/>
  <c r="Q89" i="32" s="1"/>
  <c r="AR100" i="7"/>
  <c r="BI100" i="7" s="1"/>
  <c r="AQ100" i="7"/>
  <c r="BH100" i="7" s="1"/>
  <c r="AP100" i="7"/>
  <c r="CG103" i="7"/>
  <c r="DB102" i="7"/>
  <c r="AO102" i="7"/>
  <c r="CD103" i="7"/>
  <c r="CY102" i="7"/>
  <c r="BX103" i="7"/>
  <c r="CS102" i="7"/>
  <c r="E90" i="32"/>
  <c r="AZ100" i="7"/>
  <c r="DO100" i="7" s="1"/>
  <c r="AV100" i="7"/>
  <c r="DK100" i="7" s="1"/>
  <c r="BC100" i="7"/>
  <c r="DR100" i="7" s="1"/>
  <c r="AY100" i="7"/>
  <c r="DN100" i="7" s="1"/>
  <c r="AU100" i="7"/>
  <c r="DJ100" i="7" s="1"/>
  <c r="BB100" i="7"/>
  <c r="DQ100" i="7" s="1"/>
  <c r="AX100" i="7"/>
  <c r="DM100" i="7" s="1"/>
  <c r="AT100" i="7"/>
  <c r="DI100" i="7" s="1"/>
  <c r="BA100" i="7"/>
  <c r="DP100" i="7" s="1"/>
  <c r="AW100" i="7"/>
  <c r="DL100" i="7" s="1"/>
  <c r="AG100" i="7"/>
  <c r="AF100" i="7"/>
  <c r="AI100" i="7" s="1"/>
  <c r="AH100" i="7"/>
  <c r="P101" i="7"/>
  <c r="BP100" i="7" l="1"/>
  <c r="M90" i="32"/>
  <c r="K90" i="32"/>
  <c r="H98" i="7"/>
  <c r="G98" i="7"/>
  <c r="L90" i="32"/>
  <c r="AO103" i="7"/>
  <c r="CG104" i="7"/>
  <c r="DB103" i="7"/>
  <c r="CB104" i="7"/>
  <c r="CW103" i="7"/>
  <c r="P102" i="7"/>
  <c r="CK105" i="7"/>
  <c r="DF104" i="7"/>
  <c r="BV104" i="7"/>
  <c r="CQ103" i="7"/>
  <c r="D91" i="32"/>
  <c r="N102" i="7"/>
  <c r="BD100" i="7"/>
  <c r="BF100" i="7"/>
  <c r="BE100" i="7"/>
  <c r="CD104" i="7"/>
  <c r="CY103" i="7"/>
  <c r="CM104" i="7"/>
  <c r="DH103" i="7"/>
  <c r="BK92" i="7"/>
  <c r="D92" i="7"/>
  <c r="AK93" i="7"/>
  <c r="BW104" i="7"/>
  <c r="CR103" i="7"/>
  <c r="CC105" i="7"/>
  <c r="CX104" i="7"/>
  <c r="CE103" i="7"/>
  <c r="CZ102" i="7"/>
  <c r="AM102" i="7"/>
  <c r="CI104" i="7"/>
  <c r="DD103" i="7"/>
  <c r="DS103" i="7"/>
  <c r="H99" i="7"/>
  <c r="G99" i="7"/>
  <c r="F90" i="32"/>
  <c r="AQ101" i="7"/>
  <c r="BH101" i="7" s="1"/>
  <c r="AP101" i="7"/>
  <c r="AR101" i="7"/>
  <c r="BI101" i="7" s="1"/>
  <c r="BY105" i="7"/>
  <c r="CT104" i="7"/>
  <c r="E91" i="32"/>
  <c r="BC101" i="7"/>
  <c r="DR101" i="7" s="1"/>
  <c r="AY101" i="7"/>
  <c r="DN101" i="7" s="1"/>
  <c r="AU101" i="7"/>
  <c r="DJ101" i="7" s="1"/>
  <c r="BB101" i="7"/>
  <c r="DQ101" i="7" s="1"/>
  <c r="AX101" i="7"/>
  <c r="DM101" i="7" s="1"/>
  <c r="AT101" i="7"/>
  <c r="BA101" i="7"/>
  <c r="DP101" i="7" s="1"/>
  <c r="AW101" i="7"/>
  <c r="DL101" i="7" s="1"/>
  <c r="AZ101" i="7"/>
  <c r="DO101" i="7" s="1"/>
  <c r="AV101" i="7"/>
  <c r="DK101" i="7" s="1"/>
  <c r="AG101" i="7"/>
  <c r="AH101" i="7"/>
  <c r="AF101" i="7"/>
  <c r="AI101" i="7" s="1"/>
  <c r="EB102" i="7"/>
  <c r="DW102" i="7"/>
  <c r="EA102" i="7"/>
  <c r="DV102" i="7"/>
  <c r="BS103" i="7"/>
  <c r="EF102" i="7"/>
  <c r="DZ102" i="7"/>
  <c r="CN102" i="7"/>
  <c r="EC102" i="7"/>
  <c r="DX102" i="7"/>
  <c r="M102" i="7"/>
  <c r="BZ104" i="7"/>
  <c r="CU103" i="7"/>
  <c r="EN103" i="7"/>
  <c r="CF103" i="7"/>
  <c r="DA102" i="7"/>
  <c r="AN102" i="7"/>
  <c r="BU105" i="7"/>
  <c r="CP104" i="7"/>
  <c r="CA104" i="7"/>
  <c r="CV103" i="7"/>
  <c r="BT104" i="7"/>
  <c r="CO103" i="7"/>
  <c r="EO103" i="7"/>
  <c r="DG104" i="7"/>
  <c r="EM104" i="7"/>
  <c r="CL105" i="7"/>
  <c r="C92" i="7"/>
  <c r="F92" i="7" s="1"/>
  <c r="BJ92" i="7"/>
  <c r="BM92" i="7" s="1"/>
  <c r="B92" i="7" s="1"/>
  <c r="AJ93" i="7"/>
  <c r="BG101" i="7"/>
  <c r="BX104" i="7"/>
  <c r="CS103" i="7"/>
  <c r="BL92" i="7"/>
  <c r="E92" i="7"/>
  <c r="AL93" i="7"/>
  <c r="CJ104" i="7"/>
  <c r="DE103" i="7"/>
  <c r="G90" i="32"/>
  <c r="P90" i="32" s="1"/>
  <c r="Q90" i="32" s="1"/>
  <c r="BO100" i="7"/>
  <c r="BQ100" i="7" s="1"/>
  <c r="BN102" i="7"/>
  <c r="CH103" i="7"/>
  <c r="DC102" i="7"/>
  <c r="M91" i="32" l="1"/>
  <c r="K91" i="32"/>
  <c r="L91" i="32"/>
  <c r="G100" i="7"/>
  <c r="H100" i="7"/>
  <c r="BX105" i="7"/>
  <c r="CS104" i="7"/>
  <c r="DG105" i="7"/>
  <c r="EM105" i="7"/>
  <c r="CL106" i="7"/>
  <c r="CF104" i="7"/>
  <c r="DA103" i="7"/>
  <c r="AN103" i="7"/>
  <c r="E92" i="32"/>
  <c r="BB102" i="7"/>
  <c r="DQ102" i="7" s="1"/>
  <c r="AX102" i="7"/>
  <c r="DM102" i="7" s="1"/>
  <c r="AT102" i="7"/>
  <c r="BA102" i="7"/>
  <c r="DP102" i="7" s="1"/>
  <c r="AW102" i="7"/>
  <c r="DL102" i="7" s="1"/>
  <c r="AZ102" i="7"/>
  <c r="DO102" i="7" s="1"/>
  <c r="AV102" i="7"/>
  <c r="DK102" i="7" s="1"/>
  <c r="BC102" i="7"/>
  <c r="DR102" i="7" s="1"/>
  <c r="AY102" i="7"/>
  <c r="DN102" i="7" s="1"/>
  <c r="AU102" i="7"/>
  <c r="DJ102" i="7" s="1"/>
  <c r="AF102" i="7"/>
  <c r="AI102" i="7" s="1"/>
  <c r="AG102" i="7"/>
  <c r="AH102" i="7"/>
  <c r="P103" i="7"/>
  <c r="BK93" i="7"/>
  <c r="D93" i="7"/>
  <c r="AK94" i="7"/>
  <c r="CM105" i="7"/>
  <c r="DH104" i="7"/>
  <c r="CK106" i="7"/>
  <c r="DF105" i="7"/>
  <c r="CB105" i="7"/>
  <c r="CW104" i="7"/>
  <c r="E93" i="7"/>
  <c r="BL93" i="7"/>
  <c r="AL94" i="7"/>
  <c r="BU106" i="7"/>
  <c r="CP105" i="7"/>
  <c r="CC106" i="7"/>
  <c r="CX105" i="7"/>
  <c r="BV105" i="7"/>
  <c r="CQ104" i="7"/>
  <c r="CH104" i="7"/>
  <c r="DC103" i="7"/>
  <c r="BN103" i="7"/>
  <c r="BJ93" i="7"/>
  <c r="BM93" i="7" s="1"/>
  <c r="B93" i="7" s="1"/>
  <c r="C93" i="7"/>
  <c r="F93" i="7" s="1"/>
  <c r="AJ94" i="7"/>
  <c r="EO104" i="7"/>
  <c r="BT105" i="7"/>
  <c r="CO104" i="7"/>
  <c r="CJ105" i="7"/>
  <c r="DE104" i="7"/>
  <c r="EA103" i="7"/>
  <c r="DV103" i="7"/>
  <c r="BS104" i="7"/>
  <c r="EF103" i="7"/>
  <c r="DZ103" i="7"/>
  <c r="CN103" i="7"/>
  <c r="EC103" i="7"/>
  <c r="DX103" i="7"/>
  <c r="EB103" i="7"/>
  <c r="DW103" i="7"/>
  <c r="M103" i="7"/>
  <c r="BF101" i="7"/>
  <c r="BE101" i="7"/>
  <c r="BD101" i="7"/>
  <c r="BY106" i="7"/>
  <c r="CT105" i="7"/>
  <c r="CI105" i="7"/>
  <c r="DD104" i="7"/>
  <c r="DS104" i="7"/>
  <c r="CE104" i="7"/>
  <c r="CZ103" i="7"/>
  <c r="AM103" i="7"/>
  <c r="CD105" i="7"/>
  <c r="CY104" i="7"/>
  <c r="F91" i="32"/>
  <c r="AP102" i="7"/>
  <c r="BG102" i="7" s="1"/>
  <c r="AR102" i="7"/>
  <c r="BI102" i="7" s="1"/>
  <c r="AQ102" i="7"/>
  <c r="BH102" i="7" s="1"/>
  <c r="D92" i="32"/>
  <c r="N103" i="7"/>
  <c r="CG105" i="7"/>
  <c r="DB104" i="7"/>
  <c r="AO104" i="7"/>
  <c r="DI101" i="7"/>
  <c r="DI102" i="7" s="1"/>
  <c r="CA105" i="7"/>
  <c r="CV104" i="7"/>
  <c r="BZ105" i="7"/>
  <c r="CU104" i="7"/>
  <c r="EN104" i="7"/>
  <c r="BO101" i="7"/>
  <c r="BW105" i="7"/>
  <c r="CR104" i="7"/>
  <c r="G91" i="32"/>
  <c r="P91" i="32" s="1"/>
  <c r="Q91" i="32" s="1"/>
  <c r="BP102" i="7" l="1"/>
  <c r="L92" i="32"/>
  <c r="M92" i="32"/>
  <c r="K92" i="32"/>
  <c r="DS105" i="7"/>
  <c r="CI106" i="7"/>
  <c r="DD105" i="7"/>
  <c r="BJ94" i="7"/>
  <c r="BM94" i="7" s="1"/>
  <c r="B94" i="7" s="1"/>
  <c r="C94" i="7"/>
  <c r="F94" i="7" s="1"/>
  <c r="AJ95" i="7"/>
  <c r="E94" i="7"/>
  <c r="BL94" i="7"/>
  <c r="AL95" i="7"/>
  <c r="CB106" i="7"/>
  <c r="CW105" i="7"/>
  <c r="CM106" i="7"/>
  <c r="DH105" i="7"/>
  <c r="EM106" i="7"/>
  <c r="DG106" i="7"/>
  <c r="CL107" i="7"/>
  <c r="BX106" i="7"/>
  <c r="CS105" i="7"/>
  <c r="F92" i="32"/>
  <c r="AR103" i="7"/>
  <c r="BI103" i="7" s="1"/>
  <c r="AQ103" i="7"/>
  <c r="AP103" i="7"/>
  <c r="BW106" i="7"/>
  <c r="CR105" i="7"/>
  <c r="BZ106" i="7"/>
  <c r="CU105" i="7"/>
  <c r="EN105" i="7"/>
  <c r="G92" i="32"/>
  <c r="P92" i="32" s="1"/>
  <c r="Q92" i="32" s="1"/>
  <c r="CE105" i="7"/>
  <c r="CZ104" i="7"/>
  <c r="AM104" i="7"/>
  <c r="CH105" i="7"/>
  <c r="DC104" i="7"/>
  <c r="BN104" i="7"/>
  <c r="CC107" i="7"/>
  <c r="CX106" i="7"/>
  <c r="D94" i="7"/>
  <c r="BK94" i="7"/>
  <c r="AK95" i="7"/>
  <c r="BF102" i="7"/>
  <c r="BE102" i="7"/>
  <c r="BD102" i="7"/>
  <c r="BH103" i="7"/>
  <c r="CD106" i="7"/>
  <c r="CY105" i="7"/>
  <c r="P104" i="7"/>
  <c r="BY107" i="7"/>
  <c r="CT106" i="7"/>
  <c r="E93" i="32"/>
  <c r="BA103" i="7"/>
  <c r="DP103" i="7" s="1"/>
  <c r="AW103" i="7"/>
  <c r="DL103" i="7" s="1"/>
  <c r="AZ103" i="7"/>
  <c r="DO103" i="7" s="1"/>
  <c r="AV103" i="7"/>
  <c r="DK103" i="7" s="1"/>
  <c r="BC103" i="7"/>
  <c r="DR103" i="7" s="1"/>
  <c r="AY103" i="7"/>
  <c r="DN103" i="7" s="1"/>
  <c r="AU103" i="7"/>
  <c r="DJ103" i="7" s="1"/>
  <c r="BB103" i="7"/>
  <c r="DQ103" i="7" s="1"/>
  <c r="AX103" i="7"/>
  <c r="DM103" i="7" s="1"/>
  <c r="AT103" i="7"/>
  <c r="AG103" i="7"/>
  <c r="AF103" i="7"/>
  <c r="AI103" i="7" s="1"/>
  <c r="AH103" i="7"/>
  <c r="BS105" i="7"/>
  <c r="EF104" i="7"/>
  <c r="DZ104" i="7"/>
  <c r="CN104" i="7"/>
  <c r="EC104" i="7"/>
  <c r="DX104" i="7"/>
  <c r="EB104" i="7"/>
  <c r="DW104" i="7"/>
  <c r="EA104" i="7"/>
  <c r="DV104" i="7"/>
  <c r="M104" i="7"/>
  <c r="EO105" i="7"/>
  <c r="BT106" i="7"/>
  <c r="CO105" i="7"/>
  <c r="CK107" i="7"/>
  <c r="DF106" i="7"/>
  <c r="D93" i="32"/>
  <c r="N104" i="7"/>
  <c r="BP101" i="7"/>
  <c r="BQ101" i="7" s="1"/>
  <c r="CA106" i="7"/>
  <c r="CV105" i="7"/>
  <c r="CG106" i="7"/>
  <c r="DB105" i="7"/>
  <c r="AO105" i="7"/>
  <c r="BG103" i="7"/>
  <c r="BO102" i="7"/>
  <c r="BQ102" i="7" s="1"/>
  <c r="CJ106" i="7"/>
  <c r="DE105" i="7"/>
  <c r="BV106" i="7"/>
  <c r="CQ105" i="7"/>
  <c r="BU107" i="7"/>
  <c r="CP106" i="7"/>
  <c r="AN104" i="7"/>
  <c r="CF105" i="7"/>
  <c r="DA104" i="7"/>
  <c r="L93" i="32" l="1"/>
  <c r="H101" i="7"/>
  <c r="G101" i="7"/>
  <c r="M93" i="32"/>
  <c r="K93" i="32"/>
  <c r="BV107" i="7"/>
  <c r="CQ106" i="7"/>
  <c r="CG107" i="7"/>
  <c r="DB106" i="7"/>
  <c r="AO106" i="7"/>
  <c r="AM105" i="7"/>
  <c r="CE106" i="7"/>
  <c r="CZ105" i="7"/>
  <c r="BX107" i="7"/>
  <c r="CS106" i="7"/>
  <c r="BL95" i="7"/>
  <c r="E95" i="7"/>
  <c r="AL96" i="7"/>
  <c r="P105" i="7"/>
  <c r="BU108" i="7"/>
  <c r="CP107" i="7"/>
  <c r="CF106" i="7"/>
  <c r="DA105" i="7"/>
  <c r="AN105" i="7"/>
  <c r="CJ107" i="7"/>
  <c r="DE106" i="7"/>
  <c r="H102" i="7"/>
  <c r="G102" i="7"/>
  <c r="F93" i="32"/>
  <c r="AR104" i="7"/>
  <c r="BI104" i="7" s="1"/>
  <c r="AQ104" i="7"/>
  <c r="BH104" i="7" s="1"/>
  <c r="AP104" i="7"/>
  <c r="G93" i="32"/>
  <c r="P93" i="32" s="1"/>
  <c r="Q93" i="32" s="1"/>
  <c r="BT107" i="7"/>
  <c r="CO106" i="7"/>
  <c r="EO106" i="7"/>
  <c r="EC105" i="7"/>
  <c r="DX105" i="7"/>
  <c r="EB105" i="7"/>
  <c r="DW105" i="7"/>
  <c r="EA105" i="7"/>
  <c r="DV105" i="7"/>
  <c r="BS106" i="7"/>
  <c r="EF105" i="7"/>
  <c r="DZ105" i="7"/>
  <c r="CN105" i="7"/>
  <c r="M105" i="7"/>
  <c r="BE103" i="7"/>
  <c r="BD103" i="7"/>
  <c r="BF103" i="7"/>
  <c r="BY108" i="7"/>
  <c r="CT107" i="7"/>
  <c r="CD107" i="7"/>
  <c r="CY106" i="7"/>
  <c r="CH106" i="7"/>
  <c r="DC105" i="7"/>
  <c r="BN105" i="7"/>
  <c r="EN106" i="7"/>
  <c r="BZ107" i="7"/>
  <c r="CU106" i="7"/>
  <c r="EM107" i="7"/>
  <c r="DG107" i="7"/>
  <c r="CL108" i="7"/>
  <c r="CM107" i="7"/>
  <c r="DH106" i="7"/>
  <c r="DI103" i="7"/>
  <c r="BP103" i="7" s="1"/>
  <c r="CA107" i="7"/>
  <c r="CV106" i="7"/>
  <c r="BO103" i="7"/>
  <c r="D94" i="32"/>
  <c r="N105" i="7"/>
  <c r="D95" i="7"/>
  <c r="BK95" i="7"/>
  <c r="AK96" i="7"/>
  <c r="CC108" i="7"/>
  <c r="CX107" i="7"/>
  <c r="BG104" i="7"/>
  <c r="CK108" i="7"/>
  <c r="DF107" i="7"/>
  <c r="E94" i="32"/>
  <c r="AZ104" i="7"/>
  <c r="DO104" i="7" s="1"/>
  <c r="AV104" i="7"/>
  <c r="DK104" i="7" s="1"/>
  <c r="BC104" i="7"/>
  <c r="DR104" i="7" s="1"/>
  <c r="AY104" i="7"/>
  <c r="DN104" i="7" s="1"/>
  <c r="AU104" i="7"/>
  <c r="DJ104" i="7" s="1"/>
  <c r="BB104" i="7"/>
  <c r="DQ104" i="7" s="1"/>
  <c r="AX104" i="7"/>
  <c r="DM104" i="7" s="1"/>
  <c r="AT104" i="7"/>
  <c r="BA104" i="7"/>
  <c r="DP104" i="7" s="1"/>
  <c r="AW104" i="7"/>
  <c r="DL104" i="7" s="1"/>
  <c r="AH104" i="7"/>
  <c r="AG104" i="7"/>
  <c r="AF104" i="7"/>
  <c r="AI104" i="7" s="1"/>
  <c r="BW107" i="7"/>
  <c r="CR106" i="7"/>
  <c r="CB107" i="7"/>
  <c r="CW106" i="7"/>
  <c r="C95" i="7"/>
  <c r="F95" i="7" s="1"/>
  <c r="BJ95" i="7"/>
  <c r="BM95" i="7" s="1"/>
  <c r="B95" i="7" s="1"/>
  <c r="AJ96" i="7"/>
  <c r="CI107" i="7"/>
  <c r="DD106" i="7"/>
  <c r="DS106" i="7"/>
  <c r="L94" i="32" l="1"/>
  <c r="M94" i="32"/>
  <c r="K94" i="32"/>
  <c r="P106" i="7"/>
  <c r="CD108" i="7"/>
  <c r="CY107" i="7"/>
  <c r="BU109" i="7"/>
  <c r="CP108" i="7"/>
  <c r="BW108" i="7"/>
  <c r="CR107" i="7"/>
  <c r="CC109" i="7"/>
  <c r="CX108" i="7"/>
  <c r="F94" i="32"/>
  <c r="AQ105" i="7"/>
  <c r="BH105" i="7" s="1"/>
  <c r="AP105" i="7"/>
  <c r="AR105" i="7"/>
  <c r="BI105" i="7" s="1"/>
  <c r="CA108" i="7"/>
  <c r="CV107" i="7"/>
  <c r="CM108" i="7"/>
  <c r="DH107" i="7"/>
  <c r="D95" i="32"/>
  <c r="N106" i="7"/>
  <c r="CE107" i="7"/>
  <c r="CZ106" i="7"/>
  <c r="AM106" i="7"/>
  <c r="AO107" i="7"/>
  <c r="CG108" i="7"/>
  <c r="DB107" i="7"/>
  <c r="BD104" i="7"/>
  <c r="BF104" i="7"/>
  <c r="BE104" i="7"/>
  <c r="CK109" i="7"/>
  <c r="DF108" i="7"/>
  <c r="BK96" i="7"/>
  <c r="D96" i="7"/>
  <c r="AK97" i="7"/>
  <c r="G94" i="32"/>
  <c r="P94" i="32" s="1"/>
  <c r="Q94" i="32" s="1"/>
  <c r="DG108" i="7"/>
  <c r="EM108" i="7"/>
  <c r="CL109" i="7"/>
  <c r="BZ108" i="7"/>
  <c r="CU107" i="7"/>
  <c r="EN107" i="7"/>
  <c r="BN106" i="7"/>
  <c r="CH107" i="7"/>
  <c r="DC106" i="7"/>
  <c r="BY109" i="7"/>
  <c r="CT108" i="7"/>
  <c r="E95" i="32"/>
  <c r="BC105" i="7"/>
  <c r="DR105" i="7" s="1"/>
  <c r="AY105" i="7"/>
  <c r="DN105" i="7" s="1"/>
  <c r="AU105" i="7"/>
  <c r="DJ105" i="7" s="1"/>
  <c r="BB105" i="7"/>
  <c r="DQ105" i="7" s="1"/>
  <c r="AX105" i="7"/>
  <c r="DM105" i="7" s="1"/>
  <c r="AT105" i="7"/>
  <c r="BA105" i="7"/>
  <c r="DP105" i="7" s="1"/>
  <c r="AW105" i="7"/>
  <c r="DL105" i="7" s="1"/>
  <c r="AZ105" i="7"/>
  <c r="DO105" i="7" s="1"/>
  <c r="AV105" i="7"/>
  <c r="DK105" i="7" s="1"/>
  <c r="AH105" i="7"/>
  <c r="AF105" i="7"/>
  <c r="AI105" i="7" s="1"/>
  <c r="AG105" i="7"/>
  <c r="EB106" i="7"/>
  <c r="DW106" i="7"/>
  <c r="EA106" i="7"/>
  <c r="DV106" i="7"/>
  <c r="BS107" i="7"/>
  <c r="EF106" i="7"/>
  <c r="DZ106" i="7"/>
  <c r="CN106" i="7"/>
  <c r="BO105" i="7" s="1"/>
  <c r="EC106" i="7"/>
  <c r="DX106" i="7"/>
  <c r="M106" i="7"/>
  <c r="CF107" i="7"/>
  <c r="DA106" i="7"/>
  <c r="AN106" i="7"/>
  <c r="BG105" i="7"/>
  <c r="CI108" i="7"/>
  <c r="DD107" i="7"/>
  <c r="DS107" i="7"/>
  <c r="C96" i="7"/>
  <c r="F96" i="7" s="1"/>
  <c r="BJ96" i="7"/>
  <c r="BM96" i="7" s="1"/>
  <c r="B96" i="7" s="1"/>
  <c r="AJ97" i="7"/>
  <c r="CB108" i="7"/>
  <c r="CW107" i="7"/>
  <c r="BQ103" i="7"/>
  <c r="DI104" i="7"/>
  <c r="DI105" i="7" s="1"/>
  <c r="BO104" i="7"/>
  <c r="BT108" i="7"/>
  <c r="CO107" i="7"/>
  <c r="EO107" i="7"/>
  <c r="CJ108" i="7"/>
  <c r="DE107" i="7"/>
  <c r="BL96" i="7"/>
  <c r="E96" i="7"/>
  <c r="AL97" i="7"/>
  <c r="BX108" i="7"/>
  <c r="CS107" i="7"/>
  <c r="BV108" i="7"/>
  <c r="CQ107" i="7"/>
  <c r="K95" i="32" l="1"/>
  <c r="L95" i="32"/>
  <c r="BP105" i="7"/>
  <c r="BQ105" i="7" s="1"/>
  <c r="M95" i="32"/>
  <c r="E97" i="7"/>
  <c r="BL97" i="7"/>
  <c r="AL98" i="7"/>
  <c r="CB109" i="7"/>
  <c r="CW108" i="7"/>
  <c r="P107" i="7"/>
  <c r="DG109" i="7"/>
  <c r="EM109" i="7"/>
  <c r="CL110" i="7"/>
  <c r="BK97" i="7"/>
  <c r="D97" i="7"/>
  <c r="AK98" i="7"/>
  <c r="CK110" i="7"/>
  <c r="DF109" i="7"/>
  <c r="CC110" i="7"/>
  <c r="CX109" i="7"/>
  <c r="BU110" i="7"/>
  <c r="CP109" i="7"/>
  <c r="BV109" i="7"/>
  <c r="CQ108" i="7"/>
  <c r="CJ109" i="7"/>
  <c r="DE108" i="7"/>
  <c r="BJ97" i="7"/>
  <c r="BM97" i="7" s="1"/>
  <c r="B97" i="7" s="1"/>
  <c r="C97" i="7"/>
  <c r="F97" i="7" s="1"/>
  <c r="AJ98" i="7"/>
  <c r="EA107" i="7"/>
  <c r="DV107" i="7"/>
  <c r="BS108" i="7"/>
  <c r="EF107" i="7"/>
  <c r="DZ107" i="7"/>
  <c r="CN107" i="7"/>
  <c r="EC107" i="7"/>
  <c r="DX107" i="7"/>
  <c r="EB107" i="7"/>
  <c r="DW107" i="7"/>
  <c r="M107" i="7"/>
  <c r="BF105" i="7"/>
  <c r="BE105" i="7"/>
  <c r="BD105" i="7"/>
  <c r="BY110" i="7"/>
  <c r="CT109" i="7"/>
  <c r="CG109" i="7"/>
  <c r="DB108" i="7"/>
  <c r="AO108" i="7"/>
  <c r="CE108" i="7"/>
  <c r="CZ107" i="7"/>
  <c r="AM107" i="7"/>
  <c r="CM109" i="7"/>
  <c r="DH108" i="7"/>
  <c r="H103" i="7"/>
  <c r="G103" i="7"/>
  <c r="CI109" i="7"/>
  <c r="DD108" i="7"/>
  <c r="DS108" i="7"/>
  <c r="CF108" i="7"/>
  <c r="DA107" i="7"/>
  <c r="AN107" i="7"/>
  <c r="F95" i="32"/>
  <c r="AP106" i="7"/>
  <c r="AR106" i="7"/>
  <c r="BI106" i="7" s="1"/>
  <c r="AQ106" i="7"/>
  <c r="BH106" i="7" s="1"/>
  <c r="BW109" i="7"/>
  <c r="CR108" i="7"/>
  <c r="D96" i="32"/>
  <c r="N107" i="7"/>
  <c r="BX109" i="7"/>
  <c r="CS108" i="7"/>
  <c r="EO108" i="7"/>
  <c r="BT109" i="7"/>
  <c r="CO108" i="7"/>
  <c r="E96" i="32"/>
  <c r="BB106" i="7"/>
  <c r="DQ106" i="7" s="1"/>
  <c r="AX106" i="7"/>
  <c r="DM106" i="7" s="1"/>
  <c r="AT106" i="7"/>
  <c r="BA106" i="7"/>
  <c r="DP106" i="7" s="1"/>
  <c r="AW106" i="7"/>
  <c r="DL106" i="7" s="1"/>
  <c r="AZ106" i="7"/>
  <c r="DO106" i="7" s="1"/>
  <c r="AV106" i="7"/>
  <c r="DK106" i="7" s="1"/>
  <c r="BC106" i="7"/>
  <c r="DR106" i="7" s="1"/>
  <c r="AY106" i="7"/>
  <c r="DN106" i="7" s="1"/>
  <c r="AU106" i="7"/>
  <c r="DJ106" i="7" s="1"/>
  <c r="AF106" i="7"/>
  <c r="AI106" i="7" s="1"/>
  <c r="AH106" i="7"/>
  <c r="AG106" i="7"/>
  <c r="CH108" i="7"/>
  <c r="DC107" i="7"/>
  <c r="BN107" i="7"/>
  <c r="BZ109" i="7"/>
  <c r="CU108" i="7"/>
  <c r="EN108" i="7"/>
  <c r="BG106" i="7"/>
  <c r="G95" i="32"/>
  <c r="P95" i="32" s="1"/>
  <c r="Q95" i="32" s="1"/>
  <c r="CA109" i="7"/>
  <c r="CV108" i="7"/>
  <c r="CD109" i="7"/>
  <c r="CY108" i="7"/>
  <c r="BP104" i="7"/>
  <c r="BQ104" i="7" s="1"/>
  <c r="L96" i="32" l="1"/>
  <c r="M96" i="32"/>
  <c r="H105" i="7"/>
  <c r="G105" i="7"/>
  <c r="K96" i="32"/>
  <c r="G104" i="7"/>
  <c r="H104" i="7"/>
  <c r="CA110" i="7"/>
  <c r="CV109" i="7"/>
  <c r="CH109" i="7"/>
  <c r="DC108" i="7"/>
  <c r="BN108" i="7"/>
  <c r="EO109" i="7"/>
  <c r="BT110" i="7"/>
  <c r="CO109" i="7"/>
  <c r="F96" i="32"/>
  <c r="AR107" i="7"/>
  <c r="BI107" i="7" s="1"/>
  <c r="AQ107" i="7"/>
  <c r="AP107" i="7"/>
  <c r="BH107" i="7"/>
  <c r="CE109" i="7"/>
  <c r="CZ108" i="7"/>
  <c r="AM108" i="7"/>
  <c r="BJ98" i="7"/>
  <c r="BM98" i="7" s="1"/>
  <c r="B98" i="7" s="1"/>
  <c r="C98" i="7"/>
  <c r="F98" i="7" s="1"/>
  <c r="AJ99" i="7"/>
  <c r="G96" i="32"/>
  <c r="P96" i="32" s="1"/>
  <c r="Q96" i="32" s="1"/>
  <c r="DS109" i="7"/>
  <c r="CI110" i="7"/>
  <c r="DD109" i="7"/>
  <c r="CM110" i="7"/>
  <c r="DH109" i="7"/>
  <c r="BY111" i="7"/>
  <c r="CT110" i="7"/>
  <c r="E97" i="32"/>
  <c r="BA107" i="7"/>
  <c r="DP107" i="7" s="1"/>
  <c r="AW107" i="7"/>
  <c r="DL107" i="7" s="1"/>
  <c r="AZ107" i="7"/>
  <c r="DO107" i="7" s="1"/>
  <c r="AV107" i="7"/>
  <c r="DK107" i="7" s="1"/>
  <c r="BC107" i="7"/>
  <c r="DR107" i="7" s="1"/>
  <c r="AY107" i="7"/>
  <c r="DN107" i="7" s="1"/>
  <c r="AU107" i="7"/>
  <c r="DJ107" i="7" s="1"/>
  <c r="BB107" i="7"/>
  <c r="DQ107" i="7" s="1"/>
  <c r="AX107" i="7"/>
  <c r="DM107" i="7" s="1"/>
  <c r="AT107" i="7"/>
  <c r="AH107" i="7"/>
  <c r="AF107" i="7"/>
  <c r="AI107" i="7" s="1"/>
  <c r="AG107" i="7"/>
  <c r="BS109" i="7"/>
  <c r="EF108" i="7"/>
  <c r="DZ108" i="7"/>
  <c r="CN108" i="7"/>
  <c r="EC108" i="7"/>
  <c r="DX108" i="7"/>
  <c r="EB108" i="7"/>
  <c r="DW108" i="7"/>
  <c r="EA108" i="7"/>
  <c r="DV108" i="7"/>
  <c r="M108" i="7"/>
  <c r="CJ110" i="7"/>
  <c r="DE109" i="7"/>
  <c r="BU111" i="7"/>
  <c r="CP110" i="7"/>
  <c r="CK111" i="7"/>
  <c r="DF110" i="7"/>
  <c r="EM110" i="7"/>
  <c r="DG110" i="7"/>
  <c r="CL111" i="7"/>
  <c r="CB110" i="7"/>
  <c r="CW109" i="7"/>
  <c r="AN108" i="7"/>
  <c r="CF109" i="7"/>
  <c r="DA108" i="7"/>
  <c r="BG107" i="7"/>
  <c r="BO106" i="7"/>
  <c r="D98" i="7"/>
  <c r="BK98" i="7"/>
  <c r="AK99" i="7"/>
  <c r="BZ110" i="7"/>
  <c r="CU109" i="7"/>
  <c r="EN109" i="7"/>
  <c r="CD110" i="7"/>
  <c r="CY109" i="7"/>
  <c r="BF106" i="7"/>
  <c r="BE106" i="7"/>
  <c r="BD106" i="7"/>
  <c r="BX110" i="7"/>
  <c r="CS109" i="7"/>
  <c r="BW110" i="7"/>
  <c r="CR109" i="7"/>
  <c r="P108" i="7"/>
  <c r="CG110" i="7"/>
  <c r="DB109" i="7"/>
  <c r="AO109" i="7"/>
  <c r="DI106" i="7"/>
  <c r="DI107" i="7" s="1"/>
  <c r="BV110" i="7"/>
  <c r="CQ109" i="7"/>
  <c r="CC111" i="7"/>
  <c r="CX110" i="7"/>
  <c r="D97" i="32"/>
  <c r="N108" i="7"/>
  <c r="E98" i="7"/>
  <c r="BL98" i="7"/>
  <c r="AL99" i="7"/>
  <c r="BP107" i="7" l="1"/>
  <c r="K97" i="32"/>
  <c r="M97" i="32"/>
  <c r="L97" i="32"/>
  <c r="CG111" i="7"/>
  <c r="DB110" i="7"/>
  <c r="AO110" i="7"/>
  <c r="BW111" i="7"/>
  <c r="CR110" i="7"/>
  <c r="BU112" i="7"/>
  <c r="CP111" i="7"/>
  <c r="CM111" i="7"/>
  <c r="DH110" i="7"/>
  <c r="BG108" i="7"/>
  <c r="BT111" i="7"/>
  <c r="CO110" i="7"/>
  <c r="EO110" i="7"/>
  <c r="CH110" i="7"/>
  <c r="DC109" i="7"/>
  <c r="BN109" i="7"/>
  <c r="F97" i="32"/>
  <c r="G97" i="32" s="1"/>
  <c r="P97" i="32" s="1"/>
  <c r="Q97" i="32" s="1"/>
  <c r="AR108" i="7"/>
  <c r="BI108" i="7" s="1"/>
  <c r="AQ108" i="7"/>
  <c r="AP108" i="7"/>
  <c r="BV111" i="7"/>
  <c r="CQ110" i="7"/>
  <c r="CF110" i="7"/>
  <c r="DA109" i="7"/>
  <c r="AN109" i="7"/>
  <c r="CB111" i="7"/>
  <c r="CW110" i="7"/>
  <c r="EC109" i="7"/>
  <c r="DX109" i="7"/>
  <c r="EB109" i="7"/>
  <c r="DW109" i="7"/>
  <c r="EA109" i="7"/>
  <c r="DV109" i="7"/>
  <c r="BS110" i="7"/>
  <c r="EF109" i="7"/>
  <c r="DZ109" i="7"/>
  <c r="CN109" i="7"/>
  <c r="M109" i="7"/>
  <c r="BE107" i="7"/>
  <c r="BD107" i="7"/>
  <c r="BF107" i="7"/>
  <c r="BY112" i="7"/>
  <c r="CT111" i="7"/>
  <c r="C99" i="7"/>
  <c r="F99" i="7" s="1"/>
  <c r="BJ99" i="7"/>
  <c r="BM99" i="7" s="1"/>
  <c r="B99" i="7" s="1"/>
  <c r="AJ100" i="7"/>
  <c r="BL99" i="7"/>
  <c r="E99" i="7"/>
  <c r="AL100" i="7"/>
  <c r="D98" i="32"/>
  <c r="N109" i="7"/>
  <c r="CC112" i="7"/>
  <c r="CX111" i="7"/>
  <c r="BX111" i="7"/>
  <c r="CS110" i="7"/>
  <c r="EN110" i="7"/>
  <c r="BZ111" i="7"/>
  <c r="CU110" i="7"/>
  <c r="BH108" i="7"/>
  <c r="EM111" i="7"/>
  <c r="DG111" i="7"/>
  <c r="CL112" i="7"/>
  <c r="CK112" i="7"/>
  <c r="DF111" i="7"/>
  <c r="CJ111" i="7"/>
  <c r="DE110" i="7"/>
  <c r="BO107" i="7"/>
  <c r="BQ107" i="7" s="1"/>
  <c r="CI111" i="7"/>
  <c r="DD110" i="7"/>
  <c r="DS110" i="7"/>
  <c r="AM109" i="7"/>
  <c r="CE110" i="7"/>
  <c r="CZ109" i="7"/>
  <c r="CA111" i="7"/>
  <c r="CV110" i="7"/>
  <c r="CD111" i="7"/>
  <c r="CY110" i="7"/>
  <c r="D99" i="7"/>
  <c r="BK99" i="7"/>
  <c r="AK100" i="7"/>
  <c r="E98" i="32"/>
  <c r="AZ108" i="7"/>
  <c r="DO108" i="7" s="1"/>
  <c r="AV108" i="7"/>
  <c r="DK108" i="7" s="1"/>
  <c r="BC108" i="7"/>
  <c r="DR108" i="7" s="1"/>
  <c r="AY108" i="7"/>
  <c r="DN108" i="7" s="1"/>
  <c r="AU108" i="7"/>
  <c r="DJ108" i="7" s="1"/>
  <c r="BB108" i="7"/>
  <c r="DQ108" i="7" s="1"/>
  <c r="AX108" i="7"/>
  <c r="DM108" i="7" s="1"/>
  <c r="AT108" i="7"/>
  <c r="BA108" i="7"/>
  <c r="DP108" i="7" s="1"/>
  <c r="AW108" i="7"/>
  <c r="DL108" i="7" s="1"/>
  <c r="AH108" i="7"/>
  <c r="AG108" i="7"/>
  <c r="AF108" i="7"/>
  <c r="AI108" i="7" s="1"/>
  <c r="P109" i="7"/>
  <c r="BP106" i="7"/>
  <c r="BQ106" i="7" s="1"/>
  <c r="K98" i="32" l="1"/>
  <c r="H106" i="7"/>
  <c r="G106" i="7"/>
  <c r="M98" i="32"/>
  <c r="L98" i="32"/>
  <c r="BD108" i="7"/>
  <c r="BF108" i="7"/>
  <c r="BE108" i="7"/>
  <c r="BK100" i="7"/>
  <c r="D100" i="7"/>
  <c r="AK101" i="7"/>
  <c r="CE111" i="7"/>
  <c r="CZ110" i="7"/>
  <c r="AM110" i="7"/>
  <c r="CI112" i="7"/>
  <c r="DD111" i="7"/>
  <c r="DS111" i="7"/>
  <c r="BZ112" i="7"/>
  <c r="CU111" i="7"/>
  <c r="EN111" i="7"/>
  <c r="C100" i="7"/>
  <c r="F100" i="7" s="1"/>
  <c r="BJ100" i="7"/>
  <c r="BM100" i="7" s="1"/>
  <c r="B100" i="7" s="1"/>
  <c r="AJ101" i="7"/>
  <c r="BY113" i="7"/>
  <c r="CT112" i="7"/>
  <c r="E99" i="32"/>
  <c r="BC109" i="7"/>
  <c r="DR109" i="7" s="1"/>
  <c r="AY109" i="7"/>
  <c r="DN109" i="7" s="1"/>
  <c r="AU109" i="7"/>
  <c r="DJ109" i="7" s="1"/>
  <c r="BB109" i="7"/>
  <c r="DQ109" i="7" s="1"/>
  <c r="AX109" i="7"/>
  <c r="DM109" i="7" s="1"/>
  <c r="AT109" i="7"/>
  <c r="BA109" i="7"/>
  <c r="DP109" i="7" s="1"/>
  <c r="AW109" i="7"/>
  <c r="DL109" i="7" s="1"/>
  <c r="AZ109" i="7"/>
  <c r="DO109" i="7" s="1"/>
  <c r="AV109" i="7"/>
  <c r="DK109" i="7" s="1"/>
  <c r="AG109" i="7"/>
  <c r="AF109" i="7"/>
  <c r="AI109" i="7" s="1"/>
  <c r="AH109" i="7"/>
  <c r="EB110" i="7"/>
  <c r="DW110" i="7"/>
  <c r="EA110" i="7"/>
  <c r="DV110" i="7"/>
  <c r="BS111" i="7"/>
  <c r="EF110" i="7"/>
  <c r="DZ110" i="7"/>
  <c r="CN110" i="7"/>
  <c r="EC110" i="7"/>
  <c r="DX110" i="7"/>
  <c r="M110" i="7"/>
  <c r="CB112" i="7"/>
  <c r="CW111" i="7"/>
  <c r="DI108" i="7"/>
  <c r="DI109" i="7" s="1"/>
  <c r="BN110" i="7"/>
  <c r="CH111" i="7"/>
  <c r="DC110" i="7"/>
  <c r="BU113" i="7"/>
  <c r="CP112" i="7"/>
  <c r="D99" i="32"/>
  <c r="N110" i="7"/>
  <c r="CA112" i="7"/>
  <c r="CV111" i="7"/>
  <c r="H107" i="7"/>
  <c r="G107" i="7"/>
  <c r="CK113" i="7"/>
  <c r="DF112" i="7"/>
  <c r="BL100" i="7"/>
  <c r="E100" i="7"/>
  <c r="AL101" i="7"/>
  <c r="BO108" i="7"/>
  <c r="AO111" i="7"/>
  <c r="CG112" i="7"/>
  <c r="DB111" i="7"/>
  <c r="P110" i="7"/>
  <c r="DG112" i="7"/>
  <c r="EM112" i="7"/>
  <c r="CL113" i="7"/>
  <c r="CC113" i="7"/>
  <c r="CX112" i="7"/>
  <c r="BV112" i="7"/>
  <c r="CQ111" i="7"/>
  <c r="CM112" i="7"/>
  <c r="DH111" i="7"/>
  <c r="BW112" i="7"/>
  <c r="CR111" i="7"/>
  <c r="CD112" i="7"/>
  <c r="CY111" i="7"/>
  <c r="CJ112" i="7"/>
  <c r="DE111" i="7"/>
  <c r="BX112" i="7"/>
  <c r="CS111" i="7"/>
  <c r="F98" i="32"/>
  <c r="G98" i="32" s="1"/>
  <c r="P98" i="32" s="1"/>
  <c r="Q98" i="32" s="1"/>
  <c r="AQ109" i="7"/>
  <c r="BH109" i="7" s="1"/>
  <c r="AP109" i="7"/>
  <c r="BG109" i="7" s="1"/>
  <c r="AR109" i="7"/>
  <c r="BI109" i="7" s="1"/>
  <c r="CF111" i="7"/>
  <c r="DA110" i="7"/>
  <c r="AN110" i="7"/>
  <c r="BT112" i="7"/>
  <c r="CO111" i="7"/>
  <c r="EO111" i="7"/>
  <c r="L99" i="32" l="1"/>
  <c r="K99" i="32"/>
  <c r="BP109" i="7"/>
  <c r="M99" i="32"/>
  <c r="CC114" i="7"/>
  <c r="CX113" i="7"/>
  <c r="CA113" i="7"/>
  <c r="CV112" i="7"/>
  <c r="BU114" i="7"/>
  <c r="CP113" i="7"/>
  <c r="BZ113" i="7"/>
  <c r="CU112" i="7"/>
  <c r="EN112" i="7"/>
  <c r="CJ113" i="7"/>
  <c r="DE112" i="7"/>
  <c r="D100" i="32"/>
  <c r="N111" i="7"/>
  <c r="F99" i="32"/>
  <c r="AP110" i="7"/>
  <c r="BG110" i="7" s="1"/>
  <c r="AR110" i="7"/>
  <c r="BI110" i="7" s="1"/>
  <c r="AQ110" i="7"/>
  <c r="EA111" i="7"/>
  <c r="DV111" i="7"/>
  <c r="BS112" i="7"/>
  <c r="EF111" i="7"/>
  <c r="DZ111" i="7"/>
  <c r="CN111" i="7"/>
  <c r="EC111" i="7"/>
  <c r="DX111" i="7"/>
  <c r="EB111" i="7"/>
  <c r="DW111" i="7"/>
  <c r="M111" i="7"/>
  <c r="BF109" i="7"/>
  <c r="BE109" i="7"/>
  <c r="BD109" i="7"/>
  <c r="BY114" i="7"/>
  <c r="CT113" i="7"/>
  <c r="P111" i="7"/>
  <c r="BH110" i="7"/>
  <c r="G99" i="32"/>
  <c r="P99" i="32" s="1"/>
  <c r="Q99" i="32" s="1"/>
  <c r="CH112" i="7"/>
  <c r="DC111" i="7"/>
  <c r="BN111" i="7"/>
  <c r="CB113" i="7"/>
  <c r="CW112" i="7"/>
  <c r="BO109" i="7"/>
  <c r="BQ109" i="7" s="1"/>
  <c r="BJ101" i="7"/>
  <c r="BM101" i="7" s="1"/>
  <c r="B101" i="7" s="1"/>
  <c r="C101" i="7"/>
  <c r="F101" i="7" s="1"/>
  <c r="AJ102" i="7"/>
  <c r="CE112" i="7"/>
  <c r="CZ111" i="7"/>
  <c r="AM111" i="7"/>
  <c r="BW113" i="7"/>
  <c r="CR112" i="7"/>
  <c r="DG113" i="7"/>
  <c r="EM113" i="7"/>
  <c r="CL114" i="7"/>
  <c r="CF112" i="7"/>
  <c r="DA111" i="7"/>
  <c r="AN111" i="7"/>
  <c r="BV113" i="7"/>
  <c r="CQ112" i="7"/>
  <c r="EO112" i="7"/>
  <c r="BT113" i="7"/>
  <c r="CO112" i="7"/>
  <c r="BX113" i="7"/>
  <c r="CS112" i="7"/>
  <c r="CD113" i="7"/>
  <c r="CY112" i="7"/>
  <c r="CM113" i="7"/>
  <c r="DH112" i="7"/>
  <c r="CG113" i="7"/>
  <c r="DB112" i="7"/>
  <c r="AO112" i="7"/>
  <c r="E101" i="7"/>
  <c r="BL101" i="7"/>
  <c r="AL102" i="7"/>
  <c r="CK114" i="7"/>
  <c r="DF113" i="7"/>
  <c r="E100" i="32"/>
  <c r="BB110" i="7"/>
  <c r="DQ110" i="7" s="1"/>
  <c r="AX110" i="7"/>
  <c r="DM110" i="7" s="1"/>
  <c r="AT110" i="7"/>
  <c r="BA110" i="7"/>
  <c r="DP110" i="7" s="1"/>
  <c r="AW110" i="7"/>
  <c r="DL110" i="7" s="1"/>
  <c r="AZ110" i="7"/>
  <c r="DO110" i="7" s="1"/>
  <c r="AV110" i="7"/>
  <c r="DK110" i="7" s="1"/>
  <c r="BC110" i="7"/>
  <c r="DR110" i="7" s="1"/>
  <c r="AY110" i="7"/>
  <c r="DN110" i="7" s="1"/>
  <c r="AU110" i="7"/>
  <c r="DJ110" i="7" s="1"/>
  <c r="AF110" i="7"/>
  <c r="AI110" i="7" s="1"/>
  <c r="AG110" i="7"/>
  <c r="AH110" i="7"/>
  <c r="CI113" i="7"/>
  <c r="DD112" i="7"/>
  <c r="DS112" i="7"/>
  <c r="BK101" i="7"/>
  <c r="D101" i="7"/>
  <c r="AK102" i="7"/>
  <c r="BP108" i="7"/>
  <c r="BQ108" i="7" s="1"/>
  <c r="L100" i="32" l="1"/>
  <c r="G108" i="7"/>
  <c r="H108" i="7"/>
  <c r="K100" i="32"/>
  <c r="M100" i="32"/>
  <c r="DS113" i="7"/>
  <c r="CI114" i="7"/>
  <c r="DD113" i="7"/>
  <c r="CK115" i="7"/>
  <c r="DF114" i="7"/>
  <c r="CM114" i="7"/>
  <c r="DH113" i="7"/>
  <c r="BX114" i="7"/>
  <c r="CS113" i="7"/>
  <c r="AN112" i="7"/>
  <c r="CF113" i="7"/>
  <c r="DA112" i="7"/>
  <c r="CE113" i="7"/>
  <c r="CZ112" i="7"/>
  <c r="AM112" i="7"/>
  <c r="H109" i="7"/>
  <c r="G109" i="7"/>
  <c r="BY115" i="7"/>
  <c r="CT114" i="7"/>
  <c r="E101" i="32"/>
  <c r="BA111" i="7"/>
  <c r="DP111" i="7" s="1"/>
  <c r="AW111" i="7"/>
  <c r="DL111" i="7" s="1"/>
  <c r="AZ111" i="7"/>
  <c r="DO111" i="7" s="1"/>
  <c r="AV111" i="7"/>
  <c r="DK111" i="7" s="1"/>
  <c r="BC111" i="7"/>
  <c r="DR111" i="7" s="1"/>
  <c r="AY111" i="7"/>
  <c r="DN111" i="7" s="1"/>
  <c r="AU111" i="7"/>
  <c r="DJ111" i="7" s="1"/>
  <c r="BB111" i="7"/>
  <c r="DQ111" i="7" s="1"/>
  <c r="AX111" i="7"/>
  <c r="DM111" i="7" s="1"/>
  <c r="AT111" i="7"/>
  <c r="AG111" i="7"/>
  <c r="AH111" i="7"/>
  <c r="AF111" i="7"/>
  <c r="AI111" i="7" s="1"/>
  <c r="BS113" i="7"/>
  <c r="EF112" i="7"/>
  <c r="DZ112" i="7"/>
  <c r="CN112" i="7"/>
  <c r="EC112" i="7"/>
  <c r="DX112" i="7"/>
  <c r="EB112" i="7"/>
  <c r="DW112" i="7"/>
  <c r="EA112" i="7"/>
  <c r="DV112" i="7"/>
  <c r="M112" i="7"/>
  <c r="BU115" i="7"/>
  <c r="CP114" i="7"/>
  <c r="P112" i="7"/>
  <c r="E102" i="7"/>
  <c r="BL102" i="7"/>
  <c r="AL103" i="7"/>
  <c r="BV114" i="7"/>
  <c r="CQ113" i="7"/>
  <c r="EM114" i="7"/>
  <c r="DG114" i="7"/>
  <c r="CL115" i="7"/>
  <c r="BW114" i="7"/>
  <c r="CR113" i="7"/>
  <c r="BJ102" i="7"/>
  <c r="BM102" i="7" s="1"/>
  <c r="B102" i="7" s="1"/>
  <c r="C102" i="7"/>
  <c r="F102" i="7" s="1"/>
  <c r="AJ103" i="7"/>
  <c r="CH113" i="7"/>
  <c r="DC112" i="7"/>
  <c r="BN112" i="7"/>
  <c r="BO110" i="7"/>
  <c r="CJ114" i="7"/>
  <c r="DE113" i="7"/>
  <c r="BZ114" i="7"/>
  <c r="CU113" i="7"/>
  <c r="EN113" i="7"/>
  <c r="CC115" i="7"/>
  <c r="CX114" i="7"/>
  <c r="D102" i="7"/>
  <c r="BK102" i="7"/>
  <c r="AK103" i="7"/>
  <c r="BF110" i="7"/>
  <c r="BE110" i="7"/>
  <c r="BD110" i="7"/>
  <c r="CG114" i="7"/>
  <c r="DB113" i="7"/>
  <c r="AO113" i="7"/>
  <c r="CD114" i="7"/>
  <c r="CY113" i="7"/>
  <c r="EO113" i="7"/>
  <c r="BT114" i="7"/>
  <c r="CO113" i="7"/>
  <c r="BH111" i="7"/>
  <c r="BG111" i="7"/>
  <c r="CB114" i="7"/>
  <c r="CW113" i="7"/>
  <c r="D101" i="32"/>
  <c r="N112" i="7"/>
  <c r="F100" i="32"/>
  <c r="G100" i="32" s="1"/>
  <c r="P100" i="32" s="1"/>
  <c r="Q100" i="32" s="1"/>
  <c r="AR111" i="7"/>
  <c r="BI111" i="7" s="1"/>
  <c r="AQ111" i="7"/>
  <c r="AP111" i="7"/>
  <c r="DI110" i="7"/>
  <c r="DI111" i="7" s="1"/>
  <c r="CA114" i="7"/>
  <c r="CV113" i="7"/>
  <c r="L101" i="32" l="1"/>
  <c r="BP111" i="7"/>
  <c r="M101" i="32"/>
  <c r="K101" i="32"/>
  <c r="CJ115" i="7"/>
  <c r="DE114" i="7"/>
  <c r="CH114" i="7"/>
  <c r="DC113" i="7"/>
  <c r="BN113" i="7"/>
  <c r="EC113" i="7"/>
  <c r="DX113" i="7"/>
  <c r="EB113" i="7"/>
  <c r="DW113" i="7"/>
  <c r="EA113" i="7"/>
  <c r="DV113" i="7"/>
  <c r="BS114" i="7"/>
  <c r="EF113" i="7"/>
  <c r="DZ113" i="7"/>
  <c r="CN113" i="7"/>
  <c r="M113" i="7"/>
  <c r="BE111" i="7"/>
  <c r="BD111" i="7"/>
  <c r="BF111" i="7"/>
  <c r="BY116" i="7"/>
  <c r="CT115" i="7"/>
  <c r="CM115" i="7"/>
  <c r="DH114" i="7"/>
  <c r="P113" i="7"/>
  <c r="BP110" i="7"/>
  <c r="CD115" i="7"/>
  <c r="CY114" i="7"/>
  <c r="CA115" i="7"/>
  <c r="CV114" i="7"/>
  <c r="CB115" i="7"/>
  <c r="CW114" i="7"/>
  <c r="BT115" i="7"/>
  <c r="CO114" i="7"/>
  <c r="EO114" i="7"/>
  <c r="BQ110" i="7"/>
  <c r="C103" i="7"/>
  <c r="F103" i="7" s="1"/>
  <c r="BJ103" i="7"/>
  <c r="BM103" i="7" s="1"/>
  <c r="B103" i="7" s="1"/>
  <c r="AJ104" i="7"/>
  <c r="BW115" i="7"/>
  <c r="CR114" i="7"/>
  <c r="BU116" i="7"/>
  <c r="CP115" i="7"/>
  <c r="BO111" i="7"/>
  <c r="BQ111" i="7" s="1"/>
  <c r="AM113" i="7"/>
  <c r="CE114" i="7"/>
  <c r="CZ113" i="7"/>
  <c r="F101" i="32"/>
  <c r="G101" i="32" s="1"/>
  <c r="P101" i="32" s="1"/>
  <c r="Q101" i="32" s="1"/>
  <c r="AR112" i="7"/>
  <c r="BI112" i="7" s="1"/>
  <c r="AQ112" i="7"/>
  <c r="BH112" i="7" s="1"/>
  <c r="AP112" i="7"/>
  <c r="EN114" i="7"/>
  <c r="BZ115" i="7"/>
  <c r="CU114" i="7"/>
  <c r="EM115" i="7"/>
  <c r="DG115" i="7"/>
  <c r="CL116" i="7"/>
  <c r="BV115" i="7"/>
  <c r="CQ114" i="7"/>
  <c r="D102" i="32"/>
  <c r="N113" i="7"/>
  <c r="E102" i="32"/>
  <c r="AZ112" i="7"/>
  <c r="DO112" i="7" s="1"/>
  <c r="AV112" i="7"/>
  <c r="DK112" i="7" s="1"/>
  <c r="BC112" i="7"/>
  <c r="DR112" i="7" s="1"/>
  <c r="AY112" i="7"/>
  <c r="DN112" i="7" s="1"/>
  <c r="AU112" i="7"/>
  <c r="DJ112" i="7" s="1"/>
  <c r="BB112" i="7"/>
  <c r="DQ112" i="7" s="1"/>
  <c r="AX112" i="7"/>
  <c r="DM112" i="7" s="1"/>
  <c r="AT112" i="7"/>
  <c r="BA112" i="7"/>
  <c r="DP112" i="7" s="1"/>
  <c r="AW112" i="7"/>
  <c r="DL112" i="7" s="1"/>
  <c r="AG112" i="7"/>
  <c r="AF112" i="7"/>
  <c r="AI112" i="7" s="1"/>
  <c r="AH112" i="7"/>
  <c r="BX115" i="7"/>
  <c r="CS114" i="7"/>
  <c r="DI112" i="7"/>
  <c r="CG115" i="7"/>
  <c r="DB114" i="7"/>
  <c r="AO114" i="7"/>
  <c r="D103" i="7"/>
  <c r="BK103" i="7"/>
  <c r="AK104" i="7"/>
  <c r="CC116" i="7"/>
  <c r="CX115" i="7"/>
  <c r="BL103" i="7"/>
  <c r="E103" i="7"/>
  <c r="AL104" i="7"/>
  <c r="BG112" i="7"/>
  <c r="CF114" i="7"/>
  <c r="DA113" i="7"/>
  <c r="AN113" i="7"/>
  <c r="CK116" i="7"/>
  <c r="DF115" i="7"/>
  <c r="CI115" i="7"/>
  <c r="DD114" i="7"/>
  <c r="DS114" i="7"/>
  <c r="L102" i="32" l="1"/>
  <c r="BP112" i="7"/>
  <c r="M102" i="32"/>
  <c r="K102" i="32"/>
  <c r="CI116" i="7"/>
  <c r="DD115" i="7"/>
  <c r="DS115" i="7"/>
  <c r="BK104" i="7"/>
  <c r="D104" i="7"/>
  <c r="AK105" i="7"/>
  <c r="BX116" i="7"/>
  <c r="CS115" i="7"/>
  <c r="BZ116" i="7"/>
  <c r="CU115" i="7"/>
  <c r="EN115" i="7"/>
  <c r="H111" i="7"/>
  <c r="G111" i="7"/>
  <c r="BW116" i="7"/>
  <c r="CR115" i="7"/>
  <c r="H110" i="7"/>
  <c r="G110" i="7"/>
  <c r="BT116" i="7"/>
  <c r="CO115" i="7"/>
  <c r="EO115" i="7"/>
  <c r="CA116" i="7"/>
  <c r="CV115" i="7"/>
  <c r="D103" i="32"/>
  <c r="N114" i="7"/>
  <c r="CF115" i="7"/>
  <c r="DA114" i="7"/>
  <c r="AN114" i="7"/>
  <c r="AO115" i="7"/>
  <c r="CG116" i="7"/>
  <c r="DB115" i="7"/>
  <c r="C104" i="7"/>
  <c r="F104" i="7" s="1"/>
  <c r="BJ104" i="7"/>
  <c r="BM104" i="7" s="1"/>
  <c r="B104" i="7" s="1"/>
  <c r="AJ105" i="7"/>
  <c r="CJ116" i="7"/>
  <c r="DE115" i="7"/>
  <c r="P114" i="7"/>
  <c r="CK117" i="7"/>
  <c r="DF116" i="7"/>
  <c r="BD112" i="7"/>
  <c r="BF112" i="7"/>
  <c r="BE112" i="7"/>
  <c r="BV116" i="7"/>
  <c r="CQ115" i="7"/>
  <c r="CE115" i="7"/>
  <c r="CZ114" i="7"/>
  <c r="AM114" i="7"/>
  <c r="BU117" i="7"/>
  <c r="CP116" i="7"/>
  <c r="CB116" i="7"/>
  <c r="CW115" i="7"/>
  <c r="CD116" i="7"/>
  <c r="CY115" i="7"/>
  <c r="BY117" i="7"/>
  <c r="CT116" i="7"/>
  <c r="E103" i="32"/>
  <c r="BC113" i="7"/>
  <c r="DR113" i="7" s="1"/>
  <c r="AY113" i="7"/>
  <c r="DN113" i="7" s="1"/>
  <c r="AU113" i="7"/>
  <c r="DJ113" i="7" s="1"/>
  <c r="BB113" i="7"/>
  <c r="DQ113" i="7" s="1"/>
  <c r="AX113" i="7"/>
  <c r="DM113" i="7" s="1"/>
  <c r="AT113" i="7"/>
  <c r="DI113" i="7" s="1"/>
  <c r="BA113" i="7"/>
  <c r="DP113" i="7" s="1"/>
  <c r="AW113" i="7"/>
  <c r="DL113" i="7" s="1"/>
  <c r="AZ113" i="7"/>
  <c r="DO113" i="7" s="1"/>
  <c r="AV113" i="7"/>
  <c r="DK113" i="7" s="1"/>
  <c r="AG113" i="7"/>
  <c r="AH113" i="7"/>
  <c r="AF113" i="7"/>
  <c r="AI113" i="7" s="1"/>
  <c r="EB114" i="7"/>
  <c r="DW114" i="7"/>
  <c r="EA114" i="7"/>
  <c r="DV114" i="7"/>
  <c r="BS115" i="7"/>
  <c r="EF114" i="7"/>
  <c r="DZ114" i="7"/>
  <c r="CN114" i="7"/>
  <c r="EC114" i="7"/>
  <c r="DX114" i="7"/>
  <c r="M114" i="7"/>
  <c r="BL104" i="7"/>
  <c r="E104" i="7"/>
  <c r="AL105" i="7"/>
  <c r="CC117" i="7"/>
  <c r="CX116" i="7"/>
  <c r="F102" i="32"/>
  <c r="G102" i="32" s="1"/>
  <c r="P102" i="32" s="1"/>
  <c r="Q102" i="32" s="1"/>
  <c r="AQ113" i="7"/>
  <c r="BH113" i="7" s="1"/>
  <c r="AP113" i="7"/>
  <c r="AR113" i="7"/>
  <c r="BI113" i="7" s="1"/>
  <c r="DG116" i="7"/>
  <c r="EM116" i="7"/>
  <c r="CL117" i="7"/>
  <c r="BG113" i="7"/>
  <c r="CM116" i="7"/>
  <c r="DH115" i="7"/>
  <c r="BO112" i="7"/>
  <c r="BQ112" i="7" s="1"/>
  <c r="BN114" i="7"/>
  <c r="CH115" i="7"/>
  <c r="DC114" i="7"/>
  <c r="BP113" i="7" l="1"/>
  <c r="M103" i="32"/>
  <c r="K103" i="32"/>
  <c r="L103" i="32"/>
  <c r="E104" i="32"/>
  <c r="BB114" i="7"/>
  <c r="DQ114" i="7" s="1"/>
  <c r="AX114" i="7"/>
  <c r="DM114" i="7" s="1"/>
  <c r="AT114" i="7"/>
  <c r="DI114" i="7" s="1"/>
  <c r="BA114" i="7"/>
  <c r="DP114" i="7" s="1"/>
  <c r="AW114" i="7"/>
  <c r="DL114" i="7" s="1"/>
  <c r="AZ114" i="7"/>
  <c r="DO114" i="7" s="1"/>
  <c r="AV114" i="7"/>
  <c r="DK114" i="7" s="1"/>
  <c r="BC114" i="7"/>
  <c r="DR114" i="7" s="1"/>
  <c r="AY114" i="7"/>
  <c r="DN114" i="7" s="1"/>
  <c r="AU114" i="7"/>
  <c r="DJ114" i="7" s="1"/>
  <c r="AG114" i="7"/>
  <c r="AH114" i="7"/>
  <c r="AF114" i="7"/>
  <c r="AI114" i="7" s="1"/>
  <c r="CD117" i="7"/>
  <c r="CY116" i="7"/>
  <c r="BU118" i="7"/>
  <c r="CP117" i="7"/>
  <c r="EO116" i="7"/>
  <c r="BT117" i="7"/>
  <c r="CO116" i="7"/>
  <c r="BW117" i="7"/>
  <c r="CR116" i="7"/>
  <c r="BX117" i="7"/>
  <c r="CS116" i="7"/>
  <c r="P115" i="7"/>
  <c r="E105" i="7"/>
  <c r="BL105" i="7"/>
  <c r="AL106" i="7"/>
  <c r="CH116" i="7"/>
  <c r="DC115" i="7"/>
  <c r="BN115" i="7"/>
  <c r="CM117" i="7"/>
  <c r="DH116" i="7"/>
  <c r="BV117" i="7"/>
  <c r="CQ116" i="7"/>
  <c r="D104" i="32"/>
  <c r="N115" i="7"/>
  <c r="BJ105" i="7"/>
  <c r="BM105" i="7" s="1"/>
  <c r="B105" i="7" s="1"/>
  <c r="C105" i="7"/>
  <c r="F105" i="7" s="1"/>
  <c r="AJ106" i="7"/>
  <c r="CG117" i="7"/>
  <c r="DB116" i="7"/>
  <c r="AO116" i="7"/>
  <c r="CF116" i="7"/>
  <c r="DA115" i="7"/>
  <c r="AN115" i="7"/>
  <c r="CA117" i="7"/>
  <c r="CV116" i="7"/>
  <c r="BZ117" i="7"/>
  <c r="CU116" i="7"/>
  <c r="EN116" i="7"/>
  <c r="BK105" i="7"/>
  <c r="D105" i="7"/>
  <c r="AK106" i="7"/>
  <c r="EA115" i="7"/>
  <c r="DV115" i="7"/>
  <c r="BS116" i="7"/>
  <c r="EF115" i="7"/>
  <c r="DZ115" i="7"/>
  <c r="CN115" i="7"/>
  <c r="EC115" i="7"/>
  <c r="DX115" i="7"/>
  <c r="EB115" i="7"/>
  <c r="DW115" i="7"/>
  <c r="M115" i="7"/>
  <c r="BF113" i="7"/>
  <c r="BE113" i="7"/>
  <c r="BD113" i="7"/>
  <c r="BY118" i="7"/>
  <c r="CT117" i="7"/>
  <c r="CB117" i="7"/>
  <c r="CW116" i="7"/>
  <c r="F103" i="32"/>
  <c r="AP114" i="7"/>
  <c r="BG114" i="7" s="1"/>
  <c r="AR114" i="7"/>
  <c r="BI114" i="7" s="1"/>
  <c r="AQ114" i="7"/>
  <c r="CI117" i="7"/>
  <c r="DD116" i="7"/>
  <c r="DS116" i="7"/>
  <c r="G112" i="7"/>
  <c r="H112" i="7"/>
  <c r="DG117" i="7"/>
  <c r="EM117" i="7"/>
  <c r="CL118" i="7"/>
  <c r="CC118" i="7"/>
  <c r="CX117" i="7"/>
  <c r="BO113" i="7"/>
  <c r="BQ113" i="7" s="1"/>
  <c r="CE116" i="7"/>
  <c r="CZ115" i="7"/>
  <c r="AM115" i="7"/>
  <c r="CK118" i="7"/>
  <c r="DF117" i="7"/>
  <c r="CJ117" i="7"/>
  <c r="DE116" i="7"/>
  <c r="BH114" i="7"/>
  <c r="G103" i="32"/>
  <c r="P103" i="32" s="1"/>
  <c r="Q103" i="32" s="1"/>
  <c r="K104" i="32" l="1"/>
  <c r="BP114" i="7"/>
  <c r="L104" i="32"/>
  <c r="M104" i="32"/>
  <c r="P116" i="7"/>
  <c r="CB118" i="7"/>
  <c r="CW117" i="7"/>
  <c r="CA118" i="7"/>
  <c r="CV117" i="7"/>
  <c r="CM118" i="7"/>
  <c r="DH117" i="7"/>
  <c r="E106" i="7"/>
  <c r="BL106" i="7"/>
  <c r="AL107" i="7"/>
  <c r="D105" i="32"/>
  <c r="N116" i="7"/>
  <c r="BW118" i="7"/>
  <c r="CR117" i="7"/>
  <c r="CJ118" i="7"/>
  <c r="DE117" i="7"/>
  <c r="CC119" i="7"/>
  <c r="CX118" i="7"/>
  <c r="D106" i="7"/>
  <c r="BK106" i="7"/>
  <c r="AK107" i="7"/>
  <c r="BV118" i="7"/>
  <c r="CQ117" i="7"/>
  <c r="BU119" i="7"/>
  <c r="CP118" i="7"/>
  <c r="CE117" i="7"/>
  <c r="CZ116" i="7"/>
  <c r="AM116" i="7"/>
  <c r="DS117" i="7"/>
  <c r="CI118" i="7"/>
  <c r="DD117" i="7"/>
  <c r="E105" i="32"/>
  <c r="BA115" i="7"/>
  <c r="DP115" i="7" s="1"/>
  <c r="AW115" i="7"/>
  <c r="DL115" i="7" s="1"/>
  <c r="AZ115" i="7"/>
  <c r="DO115" i="7" s="1"/>
  <c r="AV115" i="7"/>
  <c r="DK115" i="7" s="1"/>
  <c r="BC115" i="7"/>
  <c r="DR115" i="7" s="1"/>
  <c r="AY115" i="7"/>
  <c r="DN115" i="7" s="1"/>
  <c r="AU115" i="7"/>
  <c r="DJ115" i="7" s="1"/>
  <c r="BB115" i="7"/>
  <c r="DQ115" i="7" s="1"/>
  <c r="AX115" i="7"/>
  <c r="DM115" i="7" s="1"/>
  <c r="AT115" i="7"/>
  <c r="DI115" i="7" s="1"/>
  <c r="AH115" i="7"/>
  <c r="AG115" i="7"/>
  <c r="AF115" i="7"/>
  <c r="AI115" i="7" s="1"/>
  <c r="BS117" i="7"/>
  <c r="EF116" i="7"/>
  <c r="DZ116" i="7"/>
  <c r="CN116" i="7"/>
  <c r="EC116" i="7"/>
  <c r="DX116" i="7"/>
  <c r="EB116" i="7"/>
  <c r="DW116" i="7"/>
  <c r="EA116" i="7"/>
  <c r="DV116" i="7"/>
  <c r="M116" i="7"/>
  <c r="BZ118" i="7"/>
  <c r="CU117" i="7"/>
  <c r="EN117" i="7"/>
  <c r="CG118" i="7"/>
  <c r="DB117" i="7"/>
  <c r="AO117" i="7"/>
  <c r="F104" i="32"/>
  <c r="AR115" i="7"/>
  <c r="BI115" i="7" s="1"/>
  <c r="AQ115" i="7"/>
  <c r="BH115" i="7" s="1"/>
  <c r="AP115" i="7"/>
  <c r="BG115" i="7" s="1"/>
  <c r="BX118" i="7"/>
  <c r="CS117" i="7"/>
  <c r="EO117" i="7"/>
  <c r="BT118" i="7"/>
  <c r="CO117" i="7"/>
  <c r="BF114" i="7"/>
  <c r="BE114" i="7"/>
  <c r="BD114" i="7"/>
  <c r="EM118" i="7"/>
  <c r="DG118" i="7"/>
  <c r="CL119" i="7"/>
  <c r="BY119" i="7"/>
  <c r="CT118" i="7"/>
  <c r="CK119" i="7"/>
  <c r="DF118" i="7"/>
  <c r="H113" i="7"/>
  <c r="G113" i="7"/>
  <c r="BO114" i="7"/>
  <c r="BQ114" i="7" s="1"/>
  <c r="AN116" i="7"/>
  <c r="CF117" i="7"/>
  <c r="DA116" i="7"/>
  <c r="BJ106" i="7"/>
  <c r="BM106" i="7" s="1"/>
  <c r="B106" i="7" s="1"/>
  <c r="C106" i="7"/>
  <c r="F106" i="7" s="1"/>
  <c r="AJ107" i="7"/>
  <c r="G104" i="32"/>
  <c r="P104" i="32" s="1"/>
  <c r="Q104" i="32" s="1"/>
  <c r="CH117" i="7"/>
  <c r="DC116" i="7"/>
  <c r="BN116" i="7"/>
  <c r="CD118" i="7"/>
  <c r="CY117" i="7"/>
  <c r="K105" i="32" l="1"/>
  <c r="M105" i="32"/>
  <c r="L105" i="32"/>
  <c r="BP115" i="7"/>
  <c r="C107" i="7"/>
  <c r="F107" i="7" s="1"/>
  <c r="BJ107" i="7"/>
  <c r="BM107" i="7" s="1"/>
  <c r="B107" i="7" s="1"/>
  <c r="AJ108" i="7"/>
  <c r="BY120" i="7"/>
  <c r="CT119" i="7"/>
  <c r="BT119" i="7"/>
  <c r="CO118" i="7"/>
  <c r="EO118" i="7"/>
  <c r="EN118" i="7"/>
  <c r="BZ119" i="7"/>
  <c r="CU118" i="7"/>
  <c r="BO115" i="7"/>
  <c r="P117" i="7"/>
  <c r="BV119" i="7"/>
  <c r="CQ118" i="7"/>
  <c r="CJ119" i="7"/>
  <c r="DE118" i="7"/>
  <c r="CA119" i="7"/>
  <c r="CV118" i="7"/>
  <c r="EM119" i="7"/>
  <c r="DG119" i="7"/>
  <c r="CL120" i="7"/>
  <c r="CG119" i="7"/>
  <c r="DB118" i="7"/>
  <c r="AO118" i="7"/>
  <c r="E106" i="32"/>
  <c r="AZ116" i="7"/>
  <c r="DO116" i="7" s="1"/>
  <c r="AV116" i="7"/>
  <c r="DK116" i="7" s="1"/>
  <c r="BC116" i="7"/>
  <c r="DR116" i="7" s="1"/>
  <c r="AY116" i="7"/>
  <c r="DN116" i="7" s="1"/>
  <c r="AU116" i="7"/>
  <c r="DJ116" i="7" s="1"/>
  <c r="BB116" i="7"/>
  <c r="DQ116" i="7" s="1"/>
  <c r="AX116" i="7"/>
  <c r="DM116" i="7" s="1"/>
  <c r="AT116" i="7"/>
  <c r="BA116" i="7"/>
  <c r="DP116" i="7" s="1"/>
  <c r="AW116" i="7"/>
  <c r="DL116" i="7" s="1"/>
  <c r="AF116" i="7"/>
  <c r="AI116" i="7" s="1"/>
  <c r="AH116" i="7"/>
  <c r="AG116" i="7"/>
  <c r="BU120" i="7"/>
  <c r="CP119" i="7"/>
  <c r="BL107" i="7"/>
  <c r="E107" i="7"/>
  <c r="AL108" i="7"/>
  <c r="CM119" i="7"/>
  <c r="DH118" i="7"/>
  <c r="CF118" i="7"/>
  <c r="DA117" i="7"/>
  <c r="AN117" i="7"/>
  <c r="CH118" i="7"/>
  <c r="DC117" i="7"/>
  <c r="BN117" i="7"/>
  <c r="H114" i="7"/>
  <c r="G114" i="7"/>
  <c r="CK120" i="7"/>
  <c r="DF119" i="7"/>
  <c r="D107" i="7"/>
  <c r="BK107" i="7"/>
  <c r="AK108" i="7"/>
  <c r="CC120" i="7"/>
  <c r="CX119" i="7"/>
  <c r="BW119" i="7"/>
  <c r="CR118" i="7"/>
  <c r="CB119" i="7"/>
  <c r="CW118" i="7"/>
  <c r="CD119" i="7"/>
  <c r="CY118" i="7"/>
  <c r="BX119" i="7"/>
  <c r="CS118" i="7"/>
  <c r="EC117" i="7"/>
  <c r="DX117" i="7"/>
  <c r="EB117" i="7"/>
  <c r="DW117" i="7"/>
  <c r="EA117" i="7"/>
  <c r="DV117" i="7"/>
  <c r="BS118" i="7"/>
  <c r="EF117" i="7"/>
  <c r="DZ117" i="7"/>
  <c r="CN117" i="7"/>
  <c r="M117" i="7"/>
  <c r="BE115" i="7"/>
  <c r="BD115" i="7"/>
  <c r="BF115" i="7"/>
  <c r="CI119" i="7"/>
  <c r="DD118" i="7"/>
  <c r="DS118" i="7"/>
  <c r="AM117" i="7"/>
  <c r="CE118" i="7"/>
  <c r="CZ117" i="7"/>
  <c r="F105" i="32"/>
  <c r="G105" i="32" s="1"/>
  <c r="P105" i="32" s="1"/>
  <c r="Q105" i="32" s="1"/>
  <c r="AR116" i="7"/>
  <c r="BI116" i="7" s="1"/>
  <c r="AQ116" i="7"/>
  <c r="BH116" i="7" s="1"/>
  <c r="AP116" i="7"/>
  <c r="BG116" i="7" s="1"/>
  <c r="D106" i="32"/>
  <c r="N117" i="7"/>
  <c r="M106" i="32" l="1"/>
  <c r="K106" i="32"/>
  <c r="L106" i="32"/>
  <c r="CE119" i="7"/>
  <c r="CZ118" i="7"/>
  <c r="AM118" i="7"/>
  <c r="CI120" i="7"/>
  <c r="DD119" i="7"/>
  <c r="DS119" i="7"/>
  <c r="E107" i="32"/>
  <c r="BC117" i="7"/>
  <c r="DR117" i="7" s="1"/>
  <c r="AY117" i="7"/>
  <c r="DN117" i="7" s="1"/>
  <c r="AU117" i="7"/>
  <c r="DJ117" i="7" s="1"/>
  <c r="BB117" i="7"/>
  <c r="DQ117" i="7" s="1"/>
  <c r="AX117" i="7"/>
  <c r="DM117" i="7" s="1"/>
  <c r="AT117" i="7"/>
  <c r="BA117" i="7"/>
  <c r="DP117" i="7" s="1"/>
  <c r="AW117" i="7"/>
  <c r="DL117" i="7" s="1"/>
  <c r="AZ117" i="7"/>
  <c r="DO117" i="7" s="1"/>
  <c r="AV117" i="7"/>
  <c r="DK117" i="7" s="1"/>
  <c r="AG117" i="7"/>
  <c r="AH117" i="7"/>
  <c r="AF117" i="7"/>
  <c r="AI117" i="7" s="1"/>
  <c r="EB118" i="7"/>
  <c r="DW118" i="7"/>
  <c r="EA118" i="7"/>
  <c r="DV118" i="7"/>
  <c r="BS119" i="7"/>
  <c r="EF118" i="7"/>
  <c r="DZ118" i="7"/>
  <c r="CN118" i="7"/>
  <c r="EC118" i="7"/>
  <c r="DX118" i="7"/>
  <c r="M118" i="7"/>
  <c r="AO119" i="7"/>
  <c r="CG120" i="7"/>
  <c r="DB119" i="7"/>
  <c r="D107" i="32"/>
  <c r="N118" i="7"/>
  <c r="BZ120" i="7"/>
  <c r="CU119" i="7"/>
  <c r="EN119" i="7"/>
  <c r="BT120" i="7"/>
  <c r="CO119" i="7"/>
  <c r="EO119" i="7"/>
  <c r="BO116" i="7"/>
  <c r="BX120" i="7"/>
  <c r="CS119" i="7"/>
  <c r="CB120" i="7"/>
  <c r="CW119" i="7"/>
  <c r="CC121" i="7"/>
  <c r="CX120" i="7"/>
  <c r="CM120" i="7"/>
  <c r="DH119" i="7"/>
  <c r="BD116" i="7"/>
  <c r="BF116" i="7"/>
  <c r="BE116" i="7"/>
  <c r="DG120" i="7"/>
  <c r="EM120" i="7"/>
  <c r="CL121" i="7"/>
  <c r="CJ120" i="7"/>
  <c r="DE119" i="7"/>
  <c r="DI116" i="7"/>
  <c r="DI117" i="7" s="1"/>
  <c r="G106" i="32"/>
  <c r="P106" i="32" s="1"/>
  <c r="Q106" i="32" s="1"/>
  <c r="F106" i="32"/>
  <c r="AQ117" i="7"/>
  <c r="BH117" i="7" s="1"/>
  <c r="AP117" i="7"/>
  <c r="BG117" i="7" s="1"/>
  <c r="AR117" i="7"/>
  <c r="BI117" i="7" s="1"/>
  <c r="P118" i="7"/>
  <c r="BK108" i="7"/>
  <c r="D108" i="7"/>
  <c r="AK109" i="7"/>
  <c r="CK121" i="7"/>
  <c r="DF120" i="7"/>
  <c r="CF119" i="7"/>
  <c r="DA118" i="7"/>
  <c r="AN118" i="7"/>
  <c r="BL108" i="7"/>
  <c r="E108" i="7"/>
  <c r="AL109" i="7"/>
  <c r="BU121" i="7"/>
  <c r="CP120" i="7"/>
  <c r="CA120" i="7"/>
  <c r="CV119" i="7"/>
  <c r="BQ115" i="7"/>
  <c r="BY121" i="7"/>
  <c r="CT120" i="7"/>
  <c r="CD120" i="7"/>
  <c r="CY119" i="7"/>
  <c r="BW120" i="7"/>
  <c r="CR119" i="7"/>
  <c r="BN118" i="7"/>
  <c r="CH119" i="7"/>
  <c r="DC118" i="7"/>
  <c r="BV120" i="7"/>
  <c r="CQ119" i="7"/>
  <c r="C108" i="7"/>
  <c r="F108" i="7" s="1"/>
  <c r="BJ108" i="7"/>
  <c r="BM108" i="7" s="1"/>
  <c r="B108" i="7" s="1"/>
  <c r="AJ109" i="7"/>
  <c r="K107" i="32" l="1"/>
  <c r="L107" i="32"/>
  <c r="BP117" i="7"/>
  <c r="M107" i="32"/>
  <c r="BY122" i="7"/>
  <c r="CT121" i="7"/>
  <c r="CF120" i="7"/>
  <c r="DA119" i="7"/>
  <c r="AN119" i="7"/>
  <c r="DG121" i="7"/>
  <c r="EM121" i="7"/>
  <c r="CL122" i="7"/>
  <c r="CB121" i="7"/>
  <c r="CW120" i="7"/>
  <c r="E108" i="32"/>
  <c r="BB118" i="7"/>
  <c r="DQ118" i="7" s="1"/>
  <c r="AX118" i="7"/>
  <c r="DM118" i="7" s="1"/>
  <c r="AT118" i="7"/>
  <c r="BA118" i="7"/>
  <c r="DP118" i="7" s="1"/>
  <c r="AW118" i="7"/>
  <c r="DL118" i="7" s="1"/>
  <c r="AZ118" i="7"/>
  <c r="DO118" i="7" s="1"/>
  <c r="AV118" i="7"/>
  <c r="DK118" i="7" s="1"/>
  <c r="BC118" i="7"/>
  <c r="DR118" i="7" s="1"/>
  <c r="AY118" i="7"/>
  <c r="DN118" i="7" s="1"/>
  <c r="AU118" i="7"/>
  <c r="DJ118" i="7" s="1"/>
  <c r="AF118" i="7"/>
  <c r="AI118" i="7" s="1"/>
  <c r="AG118" i="7"/>
  <c r="AH118" i="7"/>
  <c r="BV121" i="7"/>
  <c r="CQ120" i="7"/>
  <c r="BW121" i="7"/>
  <c r="CR120" i="7"/>
  <c r="CH120" i="7"/>
  <c r="DC119" i="7"/>
  <c r="BN119" i="7"/>
  <c r="H115" i="7"/>
  <c r="G115" i="7"/>
  <c r="DI118" i="7"/>
  <c r="BZ121" i="7"/>
  <c r="CU120" i="7"/>
  <c r="EN120" i="7"/>
  <c r="CG121" i="7"/>
  <c r="DB120" i="7"/>
  <c r="AO120" i="7"/>
  <c r="P119" i="7"/>
  <c r="BP116" i="7"/>
  <c r="CD121" i="7"/>
  <c r="CY120" i="7"/>
  <c r="BU122" i="7"/>
  <c r="CP121" i="7"/>
  <c r="CK122" i="7"/>
  <c r="DF121" i="7"/>
  <c r="CC122" i="7"/>
  <c r="CX121" i="7"/>
  <c r="BX121" i="7"/>
  <c r="CS120" i="7"/>
  <c r="EO120" i="7"/>
  <c r="BT121" i="7"/>
  <c r="CO120" i="7"/>
  <c r="F107" i="32"/>
  <c r="AP118" i="7"/>
  <c r="BG118" i="7" s="1"/>
  <c r="AR118" i="7"/>
  <c r="BI118" i="7" s="1"/>
  <c r="AQ118" i="7"/>
  <c r="BH118" i="7" s="1"/>
  <c r="EA119" i="7"/>
  <c r="DV119" i="7"/>
  <c r="BS120" i="7"/>
  <c r="EF119" i="7"/>
  <c r="DZ119" i="7"/>
  <c r="CN119" i="7"/>
  <c r="EC119" i="7"/>
  <c r="DX119" i="7"/>
  <c r="EB119" i="7"/>
  <c r="DW119" i="7"/>
  <c r="M119" i="7"/>
  <c r="BF117" i="7"/>
  <c r="BE117" i="7"/>
  <c r="BD117" i="7"/>
  <c r="CE120" i="7"/>
  <c r="CZ119" i="7"/>
  <c r="AM119" i="7"/>
  <c r="BJ109" i="7"/>
  <c r="BM109" i="7" s="1"/>
  <c r="B109" i="7" s="1"/>
  <c r="C109" i="7"/>
  <c r="F109" i="7" s="1"/>
  <c r="AJ110" i="7"/>
  <c r="CA121" i="7"/>
  <c r="CV120" i="7"/>
  <c r="E109" i="7"/>
  <c r="BL109" i="7"/>
  <c r="AL110" i="7"/>
  <c r="BK109" i="7"/>
  <c r="D109" i="7"/>
  <c r="AK110" i="7"/>
  <c r="D108" i="32"/>
  <c r="N119" i="7"/>
  <c r="CJ121" i="7"/>
  <c r="DE120" i="7"/>
  <c r="CM121" i="7"/>
  <c r="DH120" i="7"/>
  <c r="BQ116" i="7"/>
  <c r="G107" i="32"/>
  <c r="P107" i="32" s="1"/>
  <c r="Q107" i="32" s="1"/>
  <c r="BO117" i="7"/>
  <c r="BQ117" i="7" s="1"/>
  <c r="CI121" i="7"/>
  <c r="DD120" i="7"/>
  <c r="DS120" i="7"/>
  <c r="M108" i="32" l="1"/>
  <c r="L108" i="32"/>
  <c r="K108" i="32"/>
  <c r="BP118" i="7"/>
  <c r="BX122" i="7"/>
  <c r="CS121" i="7"/>
  <c r="CK123" i="7"/>
  <c r="DF122" i="7"/>
  <c r="CG122" i="7"/>
  <c r="DB121" i="7"/>
  <c r="AO121" i="7"/>
  <c r="AN120" i="7"/>
  <c r="CF121" i="7"/>
  <c r="DA120" i="7"/>
  <c r="CM122" i="7"/>
  <c r="DH121" i="7"/>
  <c r="G116" i="7"/>
  <c r="H116" i="7"/>
  <c r="CJ122" i="7"/>
  <c r="DE121" i="7"/>
  <c r="CE121" i="7"/>
  <c r="CZ120" i="7"/>
  <c r="AM120" i="7"/>
  <c r="E109" i="32"/>
  <c r="BA119" i="7"/>
  <c r="DP119" i="7" s="1"/>
  <c r="AW119" i="7"/>
  <c r="DL119" i="7" s="1"/>
  <c r="AZ119" i="7"/>
  <c r="DO119" i="7" s="1"/>
  <c r="AV119" i="7"/>
  <c r="DK119" i="7" s="1"/>
  <c r="BC119" i="7"/>
  <c r="DR119" i="7" s="1"/>
  <c r="AY119" i="7"/>
  <c r="DN119" i="7" s="1"/>
  <c r="AU119" i="7"/>
  <c r="DJ119" i="7" s="1"/>
  <c r="BB119" i="7"/>
  <c r="DQ119" i="7" s="1"/>
  <c r="AX119" i="7"/>
  <c r="DM119" i="7" s="1"/>
  <c r="AT119" i="7"/>
  <c r="AG119" i="7"/>
  <c r="AH119" i="7"/>
  <c r="AF119" i="7"/>
  <c r="AI119" i="7" s="1"/>
  <c r="BS121" i="7"/>
  <c r="EF120" i="7"/>
  <c r="DZ120" i="7"/>
  <c r="CN120" i="7"/>
  <c r="EC120" i="7"/>
  <c r="DX120" i="7"/>
  <c r="EB120" i="7"/>
  <c r="DW120" i="7"/>
  <c r="EA120" i="7"/>
  <c r="DV120" i="7"/>
  <c r="M120" i="7"/>
  <c r="EO121" i="7"/>
  <c r="BT122" i="7"/>
  <c r="CO121" i="7"/>
  <c r="CD122" i="7"/>
  <c r="CY121" i="7"/>
  <c r="D109" i="32"/>
  <c r="N120" i="7"/>
  <c r="CH121" i="7"/>
  <c r="DC120" i="7"/>
  <c r="BN120" i="7"/>
  <c r="BV122" i="7"/>
  <c r="CQ121" i="7"/>
  <c r="BF118" i="7"/>
  <c r="BE118" i="7"/>
  <c r="BD118" i="7"/>
  <c r="P120" i="7"/>
  <c r="D110" i="7"/>
  <c r="BK110" i="7"/>
  <c r="AK111" i="7"/>
  <c r="BJ110" i="7"/>
  <c r="BM110" i="7" s="1"/>
  <c r="B110" i="7" s="1"/>
  <c r="C110" i="7"/>
  <c r="F110" i="7" s="1"/>
  <c r="AJ111" i="7"/>
  <c r="DS121" i="7"/>
  <c r="CI122" i="7"/>
  <c r="DD121" i="7"/>
  <c r="F108" i="32"/>
  <c r="G108" i="32" s="1"/>
  <c r="P108" i="32" s="1"/>
  <c r="Q108" i="32" s="1"/>
  <c r="AR119" i="7"/>
  <c r="BI119" i="7" s="1"/>
  <c r="AQ119" i="7"/>
  <c r="AP119" i="7"/>
  <c r="BG119" i="7" s="1"/>
  <c r="BO118" i="7"/>
  <c r="BQ118" i="7" s="1"/>
  <c r="CC123" i="7"/>
  <c r="CX122" i="7"/>
  <c r="CB122" i="7"/>
  <c r="CW121" i="7"/>
  <c r="BH119" i="7"/>
  <c r="BY123" i="7"/>
  <c r="CT122" i="7"/>
  <c r="H117" i="7"/>
  <c r="G117" i="7"/>
  <c r="E110" i="7"/>
  <c r="BL110" i="7"/>
  <c r="AL111" i="7"/>
  <c r="CA122" i="7"/>
  <c r="CV121" i="7"/>
  <c r="BU123" i="7"/>
  <c r="CP122" i="7"/>
  <c r="BZ122" i="7"/>
  <c r="CU121" i="7"/>
  <c r="EN121" i="7"/>
  <c r="BW122" i="7"/>
  <c r="CR121" i="7"/>
  <c r="EM122" i="7"/>
  <c r="DG122" i="7"/>
  <c r="CL123" i="7"/>
  <c r="K109" i="32" l="1"/>
  <c r="M109" i="32"/>
  <c r="L109" i="32"/>
  <c r="D110" i="32"/>
  <c r="N121" i="7"/>
  <c r="BT123" i="7"/>
  <c r="CO122" i="7"/>
  <c r="EO122" i="7"/>
  <c r="EC121" i="7"/>
  <c r="DX121" i="7"/>
  <c r="EB121" i="7"/>
  <c r="DW121" i="7"/>
  <c r="EA121" i="7"/>
  <c r="DV121" i="7"/>
  <c r="BS122" i="7"/>
  <c r="EF121" i="7"/>
  <c r="DZ121" i="7"/>
  <c r="CN121" i="7"/>
  <c r="M121" i="7"/>
  <c r="BE119" i="7"/>
  <c r="BD119" i="7"/>
  <c r="BF119" i="7"/>
  <c r="CK124" i="7"/>
  <c r="DF123" i="7"/>
  <c r="D111" i="7"/>
  <c r="BK111" i="7"/>
  <c r="AK112" i="7"/>
  <c r="BO119" i="7"/>
  <c r="AM121" i="7"/>
  <c r="CE122" i="7"/>
  <c r="CZ121" i="7"/>
  <c r="CF122" i="7"/>
  <c r="DA121" i="7"/>
  <c r="AN121" i="7"/>
  <c r="BW123" i="7"/>
  <c r="CR122" i="7"/>
  <c r="CA123" i="7"/>
  <c r="CV122" i="7"/>
  <c r="P121" i="7"/>
  <c r="BU124" i="7"/>
  <c r="CP123" i="7"/>
  <c r="BL111" i="7"/>
  <c r="E111" i="7"/>
  <c r="AL112" i="7"/>
  <c r="CC124" i="7"/>
  <c r="CX123" i="7"/>
  <c r="C111" i="7"/>
  <c r="F111" i="7" s="1"/>
  <c r="BJ111" i="7"/>
  <c r="BM111" i="7" s="1"/>
  <c r="B111" i="7" s="1"/>
  <c r="AJ112" i="7"/>
  <c r="CH122" i="7"/>
  <c r="DC121" i="7"/>
  <c r="BN121" i="7"/>
  <c r="CD123" i="7"/>
  <c r="CY122" i="7"/>
  <c r="E110" i="32"/>
  <c r="AZ120" i="7"/>
  <c r="DO120" i="7" s="1"/>
  <c r="AV120" i="7"/>
  <c r="DK120" i="7" s="1"/>
  <c r="BC120" i="7"/>
  <c r="DR120" i="7" s="1"/>
  <c r="AY120" i="7"/>
  <c r="DN120" i="7" s="1"/>
  <c r="AU120" i="7"/>
  <c r="DJ120" i="7" s="1"/>
  <c r="BB120" i="7"/>
  <c r="DQ120" i="7" s="1"/>
  <c r="AX120" i="7"/>
  <c r="DM120" i="7" s="1"/>
  <c r="AT120" i="7"/>
  <c r="BA120" i="7"/>
  <c r="DP120" i="7" s="1"/>
  <c r="AW120" i="7"/>
  <c r="DL120" i="7" s="1"/>
  <c r="AG120" i="7"/>
  <c r="AF120" i="7"/>
  <c r="AI120" i="7" s="1"/>
  <c r="AH120" i="7"/>
  <c r="CG123" i="7"/>
  <c r="DB122" i="7"/>
  <c r="AO122" i="7"/>
  <c r="BX123" i="7"/>
  <c r="CS122" i="7"/>
  <c r="EM123" i="7"/>
  <c r="DG123" i="7"/>
  <c r="CL124" i="7"/>
  <c r="EN122" i="7"/>
  <c r="BZ123" i="7"/>
  <c r="CU122" i="7"/>
  <c r="BY124" i="7"/>
  <c r="CT123" i="7"/>
  <c r="CI123" i="7"/>
  <c r="DD122" i="7"/>
  <c r="DS122" i="7"/>
  <c r="CB123" i="7"/>
  <c r="CW122" i="7"/>
  <c r="H118" i="7"/>
  <c r="G118" i="7"/>
  <c r="BV123" i="7"/>
  <c r="CQ122" i="7"/>
  <c r="F109" i="32"/>
  <c r="G109" i="32" s="1"/>
  <c r="P109" i="32" s="1"/>
  <c r="Q109" i="32" s="1"/>
  <c r="AR120" i="7"/>
  <c r="BI120" i="7" s="1"/>
  <c r="AQ120" i="7"/>
  <c r="BH120" i="7" s="1"/>
  <c r="AP120" i="7"/>
  <c r="BG120" i="7" s="1"/>
  <c r="CJ123" i="7"/>
  <c r="DE122" i="7"/>
  <c r="CM123" i="7"/>
  <c r="DH122" i="7"/>
  <c r="DI119" i="7"/>
  <c r="DI120" i="7" s="1"/>
  <c r="L110" i="32" l="1"/>
  <c r="BP120" i="7"/>
  <c r="M110" i="32"/>
  <c r="K110" i="32"/>
  <c r="CI124" i="7"/>
  <c r="DD123" i="7"/>
  <c r="DS123" i="7"/>
  <c r="BZ124" i="7"/>
  <c r="CU123" i="7"/>
  <c r="EN123" i="7"/>
  <c r="CM124" i="7"/>
  <c r="DH123" i="7"/>
  <c r="BV124" i="7"/>
  <c r="CQ123" i="7"/>
  <c r="CB124" i="7"/>
  <c r="CW123" i="7"/>
  <c r="AO123" i="7"/>
  <c r="CG124" i="7"/>
  <c r="DB123" i="7"/>
  <c r="BN122" i="7"/>
  <c r="CH123" i="7"/>
  <c r="DC122" i="7"/>
  <c r="BW124" i="7"/>
  <c r="CR123" i="7"/>
  <c r="BK112" i="7"/>
  <c r="D112" i="7"/>
  <c r="AK113" i="7"/>
  <c r="CK125" i="7"/>
  <c r="DF124" i="7"/>
  <c r="CJ124" i="7"/>
  <c r="DE123" i="7"/>
  <c r="P122" i="7"/>
  <c r="BY125" i="7"/>
  <c r="CT124" i="7"/>
  <c r="DG124" i="7"/>
  <c r="EM124" i="7"/>
  <c r="CL125" i="7"/>
  <c r="BX124" i="7"/>
  <c r="CS123" i="7"/>
  <c r="CD124" i="7"/>
  <c r="CY123" i="7"/>
  <c r="C112" i="7"/>
  <c r="F112" i="7" s="1"/>
  <c r="BJ112" i="7"/>
  <c r="BM112" i="7" s="1"/>
  <c r="B112" i="7" s="1"/>
  <c r="AJ113" i="7"/>
  <c r="CC125" i="7"/>
  <c r="CX124" i="7"/>
  <c r="CE123" i="7"/>
  <c r="CZ122" i="7"/>
  <c r="AM122" i="7"/>
  <c r="E111" i="32"/>
  <c r="BC121" i="7"/>
  <c r="DR121" i="7" s="1"/>
  <c r="AY121" i="7"/>
  <c r="DN121" i="7" s="1"/>
  <c r="AU121" i="7"/>
  <c r="DJ121" i="7" s="1"/>
  <c r="BB121" i="7"/>
  <c r="DQ121" i="7" s="1"/>
  <c r="AX121" i="7"/>
  <c r="DM121" i="7" s="1"/>
  <c r="AT121" i="7"/>
  <c r="BA121" i="7"/>
  <c r="DP121" i="7" s="1"/>
  <c r="AW121" i="7"/>
  <c r="DL121" i="7" s="1"/>
  <c r="AZ121" i="7"/>
  <c r="DO121" i="7" s="1"/>
  <c r="AV121" i="7"/>
  <c r="DK121" i="7" s="1"/>
  <c r="AH121" i="7"/>
  <c r="AG121" i="7"/>
  <c r="AF121" i="7"/>
  <c r="AI121" i="7" s="1"/>
  <c r="EB122" i="7"/>
  <c r="DW122" i="7"/>
  <c r="EA122" i="7"/>
  <c r="DV122" i="7"/>
  <c r="BS123" i="7"/>
  <c r="EF122" i="7"/>
  <c r="DZ122" i="7"/>
  <c r="CN122" i="7"/>
  <c r="EC122" i="7"/>
  <c r="DX122" i="7"/>
  <c r="M122" i="7"/>
  <c r="F110" i="32"/>
  <c r="AQ121" i="7"/>
  <c r="BH121" i="7" s="1"/>
  <c r="AP121" i="7"/>
  <c r="AR121" i="7"/>
  <c r="BI121" i="7" s="1"/>
  <c r="BL112" i="7"/>
  <c r="E112" i="7"/>
  <c r="AL113" i="7"/>
  <c r="BU125" i="7"/>
  <c r="CP124" i="7"/>
  <c r="CA124" i="7"/>
  <c r="CV123" i="7"/>
  <c r="BG121" i="7"/>
  <c r="BO120" i="7"/>
  <c r="BQ120" i="7" s="1"/>
  <c r="BT124" i="7"/>
  <c r="CO123" i="7"/>
  <c r="EO123" i="7"/>
  <c r="G110" i="32"/>
  <c r="P110" i="32" s="1"/>
  <c r="Q110" i="32" s="1"/>
  <c r="BP119" i="7"/>
  <c r="BQ119" i="7" s="1"/>
  <c r="BD120" i="7"/>
  <c r="BF120" i="7"/>
  <c r="BE120" i="7"/>
  <c r="D111" i="32"/>
  <c r="N122" i="7"/>
  <c r="CF123" i="7"/>
  <c r="DA122" i="7"/>
  <c r="AN122" i="7"/>
  <c r="L111" i="32" l="1"/>
  <c r="H119" i="7"/>
  <c r="G119" i="7"/>
  <c r="K111" i="32"/>
  <c r="M111" i="32"/>
  <c r="G120" i="7"/>
  <c r="H120" i="7"/>
  <c r="EA123" i="7"/>
  <c r="DV123" i="7"/>
  <c r="BS124" i="7"/>
  <c r="EF123" i="7"/>
  <c r="DZ123" i="7"/>
  <c r="CN123" i="7"/>
  <c r="EC123" i="7"/>
  <c r="DX123" i="7"/>
  <c r="EB123" i="7"/>
  <c r="DW123" i="7"/>
  <c r="M123" i="7"/>
  <c r="BF121" i="7"/>
  <c r="BE121" i="7"/>
  <c r="BD121" i="7"/>
  <c r="CC126" i="7"/>
  <c r="CX125" i="7"/>
  <c r="DG125" i="7"/>
  <c r="EM125" i="7"/>
  <c r="CL126" i="7"/>
  <c r="BY126" i="7"/>
  <c r="CT125" i="7"/>
  <c r="CJ125" i="7"/>
  <c r="DE124" i="7"/>
  <c r="BK113" i="7"/>
  <c r="D113" i="7"/>
  <c r="AK114" i="7"/>
  <c r="BW125" i="7"/>
  <c r="CR124" i="7"/>
  <c r="CB125" i="7"/>
  <c r="CW124" i="7"/>
  <c r="CM125" i="7"/>
  <c r="DH124" i="7"/>
  <c r="P123" i="7"/>
  <c r="CF124" i="7"/>
  <c r="DA123" i="7"/>
  <c r="AN123" i="7"/>
  <c r="BO121" i="7"/>
  <c r="CE124" i="7"/>
  <c r="CZ123" i="7"/>
  <c r="AM123" i="7"/>
  <c r="BJ113" i="7"/>
  <c r="BM113" i="7" s="1"/>
  <c r="B113" i="7" s="1"/>
  <c r="C113" i="7"/>
  <c r="F113" i="7" s="1"/>
  <c r="AJ114" i="7"/>
  <c r="CD125" i="7"/>
  <c r="CY124" i="7"/>
  <c r="DI121" i="7"/>
  <c r="BP121" i="7" s="1"/>
  <c r="CG125" i="7"/>
  <c r="DB124" i="7"/>
  <c r="AO124" i="7"/>
  <c r="BU126" i="7"/>
  <c r="CP125" i="7"/>
  <c r="F111" i="32"/>
  <c r="AP122" i="7"/>
  <c r="AR122" i="7"/>
  <c r="BI122" i="7" s="1"/>
  <c r="AQ122" i="7"/>
  <c r="BH122" i="7" s="1"/>
  <c r="E113" i="7"/>
  <c r="BL113" i="7"/>
  <c r="AL114" i="7"/>
  <c r="E112" i="32"/>
  <c r="BB122" i="7"/>
  <c r="DQ122" i="7" s="1"/>
  <c r="AX122" i="7"/>
  <c r="DM122" i="7" s="1"/>
  <c r="AT122" i="7"/>
  <c r="BA122" i="7"/>
  <c r="DP122" i="7" s="1"/>
  <c r="AW122" i="7"/>
  <c r="DL122" i="7" s="1"/>
  <c r="AZ122" i="7"/>
  <c r="DO122" i="7" s="1"/>
  <c r="AV122" i="7"/>
  <c r="DK122" i="7" s="1"/>
  <c r="BC122" i="7"/>
  <c r="DR122" i="7" s="1"/>
  <c r="AY122" i="7"/>
  <c r="DN122" i="7" s="1"/>
  <c r="AU122" i="7"/>
  <c r="DJ122" i="7" s="1"/>
  <c r="AG122" i="7"/>
  <c r="AF122" i="7"/>
  <c r="AI122" i="7" s="1"/>
  <c r="AH122" i="7"/>
  <c r="D112" i="32"/>
  <c r="N123" i="7"/>
  <c r="CH124" i="7"/>
  <c r="DC123" i="7"/>
  <c r="BN123" i="7"/>
  <c r="BV125" i="7"/>
  <c r="CQ124" i="7"/>
  <c r="CI125" i="7"/>
  <c r="DD124" i="7"/>
  <c r="DS124" i="7"/>
  <c r="G111" i="32"/>
  <c r="P111" i="32" s="1"/>
  <c r="Q111" i="32" s="1"/>
  <c r="EO124" i="7"/>
  <c r="BT125" i="7"/>
  <c r="CO124" i="7"/>
  <c r="CA125" i="7"/>
  <c r="CV124" i="7"/>
  <c r="BG122" i="7"/>
  <c r="BX125" i="7"/>
  <c r="CS124" i="7"/>
  <c r="CK126" i="7"/>
  <c r="DF125" i="7"/>
  <c r="BZ125" i="7"/>
  <c r="CU124" i="7"/>
  <c r="EN124" i="7"/>
  <c r="L112" i="32" l="1"/>
  <c r="M112" i="32"/>
  <c r="K112" i="32"/>
  <c r="EO125" i="7"/>
  <c r="BT126" i="7"/>
  <c r="CO125" i="7"/>
  <c r="F112" i="32"/>
  <c r="AR123" i="7"/>
  <c r="BI123" i="7" s="1"/>
  <c r="AQ123" i="7"/>
  <c r="AP123" i="7"/>
  <c r="BF122" i="7"/>
  <c r="BE122" i="7"/>
  <c r="BD122" i="7"/>
  <c r="E114" i="7"/>
  <c r="BL114" i="7"/>
  <c r="AL115" i="7"/>
  <c r="BQ121" i="7"/>
  <c r="CM126" i="7"/>
  <c r="DH125" i="7"/>
  <c r="BW126" i="7"/>
  <c r="CR125" i="7"/>
  <c r="EM126" i="7"/>
  <c r="DG126" i="7"/>
  <c r="CL127" i="7"/>
  <c r="CC127" i="7"/>
  <c r="CX126" i="7"/>
  <c r="E113" i="32"/>
  <c r="BA123" i="7"/>
  <c r="DP123" i="7" s="1"/>
  <c r="AW123" i="7"/>
  <c r="DL123" i="7" s="1"/>
  <c r="AZ123" i="7"/>
  <c r="DO123" i="7" s="1"/>
  <c r="AV123" i="7"/>
  <c r="DK123" i="7" s="1"/>
  <c r="BC123" i="7"/>
  <c r="DR123" i="7" s="1"/>
  <c r="AY123" i="7"/>
  <c r="DN123" i="7" s="1"/>
  <c r="AU123" i="7"/>
  <c r="DJ123" i="7" s="1"/>
  <c r="BB123" i="7"/>
  <c r="DQ123" i="7" s="1"/>
  <c r="AX123" i="7"/>
  <c r="DM123" i="7" s="1"/>
  <c r="AT123" i="7"/>
  <c r="AH123" i="7"/>
  <c r="AG123" i="7"/>
  <c r="AF123" i="7"/>
  <c r="AI123" i="7" s="1"/>
  <c r="BS125" i="7"/>
  <c r="EF124" i="7"/>
  <c r="DZ124" i="7"/>
  <c r="CN124" i="7"/>
  <c r="EC124" i="7"/>
  <c r="DX124" i="7"/>
  <c r="EB124" i="7"/>
  <c r="DW124" i="7"/>
  <c r="EA124" i="7"/>
  <c r="DV124" i="7"/>
  <c r="M124" i="7"/>
  <c r="CK127" i="7"/>
  <c r="DF126" i="7"/>
  <c r="DS125" i="7"/>
  <c r="CI126" i="7"/>
  <c r="DD125" i="7"/>
  <c r="G112" i="32"/>
  <c r="P112" i="32" s="1"/>
  <c r="Q112" i="32" s="1"/>
  <c r="CD126" i="7"/>
  <c r="CY125" i="7"/>
  <c r="BG123" i="7"/>
  <c r="BH123" i="7"/>
  <c r="D114" i="7"/>
  <c r="BK114" i="7"/>
  <c r="AK115" i="7"/>
  <c r="CJ126" i="7"/>
  <c r="DE125" i="7"/>
  <c r="BO122" i="7"/>
  <c r="CG126" i="7"/>
  <c r="DB125" i="7"/>
  <c r="AO125" i="7"/>
  <c r="BJ114" i="7"/>
  <c r="BM114" i="7" s="1"/>
  <c r="B114" i="7" s="1"/>
  <c r="C114" i="7"/>
  <c r="F114" i="7" s="1"/>
  <c r="AJ115" i="7"/>
  <c r="D113" i="32"/>
  <c r="N124" i="7"/>
  <c r="CB126" i="7"/>
  <c r="CW125" i="7"/>
  <c r="BZ126" i="7"/>
  <c r="CU125" i="7"/>
  <c r="EN125" i="7"/>
  <c r="CA126" i="7"/>
  <c r="CV125" i="7"/>
  <c r="BX126" i="7"/>
  <c r="CS125" i="7"/>
  <c r="P124" i="7"/>
  <c r="BV126" i="7"/>
  <c r="CQ125" i="7"/>
  <c r="CH125" i="7"/>
  <c r="DC124" i="7"/>
  <c r="BN124" i="7"/>
  <c r="BU127" i="7"/>
  <c r="CP126" i="7"/>
  <c r="DI122" i="7"/>
  <c r="DI123" i="7" s="1"/>
  <c r="CE125" i="7"/>
  <c r="CZ124" i="7"/>
  <c r="AM124" i="7"/>
  <c r="AN124" i="7"/>
  <c r="CF125" i="7"/>
  <c r="DA124" i="7"/>
  <c r="BY127" i="7"/>
  <c r="CT126" i="7"/>
  <c r="BP123" i="7" l="1"/>
  <c r="M113" i="32"/>
  <c r="K113" i="32"/>
  <c r="L113" i="32"/>
  <c r="D114" i="32"/>
  <c r="N125" i="7"/>
  <c r="CH126" i="7"/>
  <c r="DC125" i="7"/>
  <c r="BN125" i="7"/>
  <c r="CA127" i="7"/>
  <c r="CV126" i="7"/>
  <c r="C115" i="7"/>
  <c r="F115" i="7" s="1"/>
  <c r="BJ115" i="7"/>
  <c r="BM115" i="7" s="1"/>
  <c r="B115" i="7" s="1"/>
  <c r="AJ116" i="7"/>
  <c r="CJ127" i="7"/>
  <c r="DE126" i="7"/>
  <c r="P125" i="7"/>
  <c r="CM127" i="7"/>
  <c r="DH126" i="7"/>
  <c r="EN126" i="7"/>
  <c r="BZ127" i="7"/>
  <c r="CU126" i="7"/>
  <c r="BY128" i="7"/>
  <c r="CT127" i="7"/>
  <c r="BU128" i="7"/>
  <c r="CP127" i="7"/>
  <c r="CB127" i="7"/>
  <c r="CW126" i="7"/>
  <c r="CG127" i="7"/>
  <c r="DB126" i="7"/>
  <c r="AO126" i="7"/>
  <c r="D115" i="7"/>
  <c r="BK115" i="7"/>
  <c r="AK116" i="7"/>
  <c r="EC125" i="7"/>
  <c r="DX125" i="7"/>
  <c r="EB125" i="7"/>
  <c r="DW125" i="7"/>
  <c r="EA125" i="7"/>
  <c r="DV125" i="7"/>
  <c r="BS126" i="7"/>
  <c r="EF125" i="7"/>
  <c r="DZ125" i="7"/>
  <c r="CN125" i="7"/>
  <c r="M125" i="7"/>
  <c r="BE123" i="7"/>
  <c r="BD123" i="7"/>
  <c r="BF123" i="7"/>
  <c r="CC128" i="7"/>
  <c r="CX127" i="7"/>
  <c r="H121" i="7"/>
  <c r="G121" i="7"/>
  <c r="BT127" i="7"/>
  <c r="CO126" i="7"/>
  <c r="EO126" i="7"/>
  <c r="AM125" i="7"/>
  <c r="CE126" i="7"/>
  <c r="CZ125" i="7"/>
  <c r="BV127" i="7"/>
  <c r="CQ126" i="7"/>
  <c r="BX127" i="7"/>
  <c r="CS126" i="7"/>
  <c r="F113" i="32"/>
  <c r="G113" i="32" s="1"/>
  <c r="P113" i="32" s="1"/>
  <c r="Q113" i="32" s="1"/>
  <c r="AR124" i="7"/>
  <c r="BI124" i="7" s="1"/>
  <c r="AQ124" i="7"/>
  <c r="BH124" i="7" s="1"/>
  <c r="AP124" i="7"/>
  <c r="BG124" i="7" s="1"/>
  <c r="CK128" i="7"/>
  <c r="DF127" i="7"/>
  <c r="BO123" i="7"/>
  <c r="BQ123" i="7" s="1"/>
  <c r="EM127" i="7"/>
  <c r="DG127" i="7"/>
  <c r="CL128" i="7"/>
  <c r="BW127" i="7"/>
  <c r="CR126" i="7"/>
  <c r="BP122" i="7"/>
  <c r="BQ122" i="7" s="1"/>
  <c r="CF126" i="7"/>
  <c r="DA125" i="7"/>
  <c r="AN125" i="7"/>
  <c r="CD127" i="7"/>
  <c r="CY126" i="7"/>
  <c r="CI127" i="7"/>
  <c r="DD126" i="7"/>
  <c r="DS126" i="7"/>
  <c r="E114" i="32"/>
  <c r="AZ124" i="7"/>
  <c r="DO124" i="7" s="1"/>
  <c r="AV124" i="7"/>
  <c r="DK124" i="7" s="1"/>
  <c r="BC124" i="7"/>
  <c r="DR124" i="7" s="1"/>
  <c r="AY124" i="7"/>
  <c r="DN124" i="7" s="1"/>
  <c r="AU124" i="7"/>
  <c r="DJ124" i="7" s="1"/>
  <c r="BB124" i="7"/>
  <c r="DQ124" i="7" s="1"/>
  <c r="AX124" i="7"/>
  <c r="DM124" i="7" s="1"/>
  <c r="AT124" i="7"/>
  <c r="DI124" i="7" s="1"/>
  <c r="BA124" i="7"/>
  <c r="DP124" i="7" s="1"/>
  <c r="AW124" i="7"/>
  <c r="DL124" i="7" s="1"/>
  <c r="AG124" i="7"/>
  <c r="AH124" i="7"/>
  <c r="AF124" i="7"/>
  <c r="AI124" i="7" s="1"/>
  <c r="BL115" i="7"/>
  <c r="E115" i="7"/>
  <c r="AL116" i="7"/>
  <c r="L114" i="32" l="1"/>
  <c r="BP124" i="7"/>
  <c r="M114" i="32"/>
  <c r="K114" i="32"/>
  <c r="H122" i="7"/>
  <c r="G122" i="7"/>
  <c r="CK129" i="7"/>
  <c r="DF128" i="7"/>
  <c r="BV128" i="7"/>
  <c r="CQ127" i="7"/>
  <c r="CB128" i="7"/>
  <c r="CW127" i="7"/>
  <c r="BY129" i="7"/>
  <c r="CT128" i="7"/>
  <c r="BL116" i="7"/>
  <c r="E116" i="7"/>
  <c r="AL117" i="7"/>
  <c r="P126" i="7"/>
  <c r="CD128" i="7"/>
  <c r="CY127" i="7"/>
  <c r="BK116" i="7"/>
  <c r="D116" i="7"/>
  <c r="AK117" i="7"/>
  <c r="CM128" i="7"/>
  <c r="DH127" i="7"/>
  <c r="CJ128" i="7"/>
  <c r="DE127" i="7"/>
  <c r="BN126" i="7"/>
  <c r="CH127" i="7"/>
  <c r="DC126" i="7"/>
  <c r="BD124" i="7"/>
  <c r="BF124" i="7"/>
  <c r="BE124" i="7"/>
  <c r="BW128" i="7"/>
  <c r="CR127" i="7"/>
  <c r="H123" i="7"/>
  <c r="G123" i="7"/>
  <c r="BX128" i="7"/>
  <c r="CS127" i="7"/>
  <c r="CE127" i="7"/>
  <c r="CZ126" i="7"/>
  <c r="AM126" i="7"/>
  <c r="BT128" i="7"/>
  <c r="CO127" i="7"/>
  <c r="EO127" i="7"/>
  <c r="CC129" i="7"/>
  <c r="CX128" i="7"/>
  <c r="E115" i="32"/>
  <c r="BC125" i="7"/>
  <c r="DR125" i="7" s="1"/>
  <c r="AY125" i="7"/>
  <c r="DN125" i="7" s="1"/>
  <c r="AU125" i="7"/>
  <c r="DJ125" i="7" s="1"/>
  <c r="BB125" i="7"/>
  <c r="DQ125" i="7" s="1"/>
  <c r="AX125" i="7"/>
  <c r="DM125" i="7" s="1"/>
  <c r="AT125" i="7"/>
  <c r="BA125" i="7"/>
  <c r="DP125" i="7" s="1"/>
  <c r="AW125" i="7"/>
  <c r="DL125" i="7" s="1"/>
  <c r="AZ125" i="7"/>
  <c r="DO125" i="7" s="1"/>
  <c r="AV125" i="7"/>
  <c r="DK125" i="7" s="1"/>
  <c r="AG125" i="7"/>
  <c r="AF125" i="7"/>
  <c r="AI125" i="7" s="1"/>
  <c r="AH125" i="7"/>
  <c r="EB126" i="7"/>
  <c r="DW126" i="7"/>
  <c r="EA126" i="7"/>
  <c r="DV126" i="7"/>
  <c r="BS127" i="7"/>
  <c r="EF126" i="7"/>
  <c r="DZ126" i="7"/>
  <c r="CN126" i="7"/>
  <c r="EC126" i="7"/>
  <c r="DX126" i="7"/>
  <c r="M126" i="7"/>
  <c r="AO127" i="7"/>
  <c r="CG128" i="7"/>
  <c r="DB127" i="7"/>
  <c r="BU129" i="7"/>
  <c r="CP128" i="7"/>
  <c r="BZ128" i="7"/>
  <c r="CU127" i="7"/>
  <c r="EN127" i="7"/>
  <c r="D115" i="32"/>
  <c r="N126" i="7"/>
  <c r="C116" i="7"/>
  <c r="F116" i="7" s="1"/>
  <c r="BJ116" i="7"/>
  <c r="BM116" i="7" s="1"/>
  <c r="B116" i="7" s="1"/>
  <c r="AJ117" i="7"/>
  <c r="CA128" i="7"/>
  <c r="CV127" i="7"/>
  <c r="CI128" i="7"/>
  <c r="DD127" i="7"/>
  <c r="DS127" i="7"/>
  <c r="CF127" i="7"/>
  <c r="DA126" i="7"/>
  <c r="AN126" i="7"/>
  <c r="DG128" i="7"/>
  <c r="EM128" i="7"/>
  <c r="CL129" i="7"/>
  <c r="BO124" i="7"/>
  <c r="BQ124" i="7" s="1"/>
  <c r="F114" i="32"/>
  <c r="G114" i="32" s="1"/>
  <c r="P114" i="32" s="1"/>
  <c r="Q114" i="32" s="1"/>
  <c r="AQ125" i="7"/>
  <c r="BH125" i="7" s="1"/>
  <c r="AP125" i="7"/>
  <c r="BG125" i="7" s="1"/>
  <c r="AR125" i="7"/>
  <c r="BI125" i="7" s="1"/>
  <c r="M115" i="32" l="1"/>
  <c r="K115" i="32"/>
  <c r="L115" i="32"/>
  <c r="G124" i="7"/>
  <c r="H124" i="7"/>
  <c r="P127" i="7"/>
  <c r="CA129" i="7"/>
  <c r="CV128" i="7"/>
  <c r="F115" i="32"/>
  <c r="AP126" i="7"/>
  <c r="AR126" i="7"/>
  <c r="BI126" i="7" s="1"/>
  <c r="AQ126" i="7"/>
  <c r="BZ129" i="7"/>
  <c r="CU128" i="7"/>
  <c r="EN128" i="7"/>
  <c r="CG129" i="7"/>
  <c r="DB128" i="7"/>
  <c r="AO128" i="7"/>
  <c r="EA127" i="7"/>
  <c r="DV127" i="7"/>
  <c r="BS128" i="7"/>
  <c r="EF127" i="7"/>
  <c r="DZ127" i="7"/>
  <c r="CN127" i="7"/>
  <c r="EC127" i="7"/>
  <c r="DX127" i="7"/>
  <c r="EB127" i="7"/>
  <c r="DW127" i="7"/>
  <c r="M127" i="7"/>
  <c r="BF125" i="7"/>
  <c r="BE125" i="7"/>
  <c r="BD125" i="7"/>
  <c r="CC130" i="7"/>
  <c r="CX129" i="7"/>
  <c r="BG126" i="7"/>
  <c r="BX129" i="7"/>
  <c r="CS128" i="7"/>
  <c r="BW129" i="7"/>
  <c r="CR128" i="7"/>
  <c r="CJ129" i="7"/>
  <c r="DE128" i="7"/>
  <c r="CD129" i="7"/>
  <c r="CY128" i="7"/>
  <c r="BY130" i="7"/>
  <c r="CT129" i="7"/>
  <c r="BJ117" i="7"/>
  <c r="BM117" i="7" s="1"/>
  <c r="B117" i="7" s="1"/>
  <c r="C117" i="7"/>
  <c r="F117" i="7" s="1"/>
  <c r="AJ118" i="7"/>
  <c r="G115" i="32"/>
  <c r="P115" i="32" s="1"/>
  <c r="Q115" i="32" s="1"/>
  <c r="BO125" i="7"/>
  <c r="CH128" i="7"/>
  <c r="DC127" i="7"/>
  <c r="BN127" i="7"/>
  <c r="BV129" i="7"/>
  <c r="CQ128" i="7"/>
  <c r="DG129" i="7"/>
  <c r="EM129" i="7"/>
  <c r="CL130" i="7"/>
  <c r="CI129" i="7"/>
  <c r="DD128" i="7"/>
  <c r="DS128" i="7"/>
  <c r="BU130" i="7"/>
  <c r="CP129" i="7"/>
  <c r="E116" i="32"/>
  <c r="BB126" i="7"/>
  <c r="DQ126" i="7" s="1"/>
  <c r="AX126" i="7"/>
  <c r="DM126" i="7" s="1"/>
  <c r="AT126" i="7"/>
  <c r="BA126" i="7"/>
  <c r="DP126" i="7" s="1"/>
  <c r="AW126" i="7"/>
  <c r="DL126" i="7" s="1"/>
  <c r="AZ126" i="7"/>
  <c r="DO126" i="7" s="1"/>
  <c r="AV126" i="7"/>
  <c r="DK126" i="7" s="1"/>
  <c r="BC126" i="7"/>
  <c r="DR126" i="7" s="1"/>
  <c r="AY126" i="7"/>
  <c r="DN126" i="7" s="1"/>
  <c r="AU126" i="7"/>
  <c r="DJ126" i="7" s="1"/>
  <c r="AG126" i="7"/>
  <c r="AF126" i="7"/>
  <c r="AI126" i="7" s="1"/>
  <c r="AH126" i="7"/>
  <c r="CE128" i="7"/>
  <c r="CZ127" i="7"/>
  <c r="AM127" i="7"/>
  <c r="CM129" i="7"/>
  <c r="DH128" i="7"/>
  <c r="D116" i="32"/>
  <c r="N127" i="7"/>
  <c r="CB129" i="7"/>
  <c r="CW128" i="7"/>
  <c r="BH126" i="7"/>
  <c r="CF128" i="7"/>
  <c r="DA127" i="7"/>
  <c r="AN127" i="7"/>
  <c r="EO128" i="7"/>
  <c r="BT129" i="7"/>
  <c r="CO128" i="7"/>
  <c r="BK117" i="7"/>
  <c r="D117" i="7"/>
  <c r="AK118" i="7"/>
  <c r="E117" i="7"/>
  <c r="BL117" i="7"/>
  <c r="AL118" i="7"/>
  <c r="CK130" i="7"/>
  <c r="DF129" i="7"/>
  <c r="DI125" i="7"/>
  <c r="DI126" i="7" s="1"/>
  <c r="K116" i="32" l="1"/>
  <c r="BP126" i="7"/>
  <c r="L116" i="32"/>
  <c r="M116" i="32"/>
  <c r="CK131" i="7"/>
  <c r="DF130" i="7"/>
  <c r="D118" i="7"/>
  <c r="BK118" i="7"/>
  <c r="AK119" i="7"/>
  <c r="EO129" i="7"/>
  <c r="BT130" i="7"/>
  <c r="CO129" i="7"/>
  <c r="AN128" i="7"/>
  <c r="CF129" i="7"/>
  <c r="DA128" i="7"/>
  <c r="F116" i="32"/>
  <c r="G116" i="32" s="1"/>
  <c r="P116" i="32" s="1"/>
  <c r="Q116" i="32" s="1"/>
  <c r="AR127" i="7"/>
  <c r="BI127" i="7" s="1"/>
  <c r="AQ127" i="7"/>
  <c r="AP127" i="7"/>
  <c r="P128" i="7"/>
  <c r="CD130" i="7"/>
  <c r="CY129" i="7"/>
  <c r="BW130" i="7"/>
  <c r="CR129" i="7"/>
  <c r="D117" i="32"/>
  <c r="N128" i="7"/>
  <c r="BP125" i="7"/>
  <c r="E118" i="7"/>
  <c r="BL118" i="7"/>
  <c r="AL119" i="7"/>
  <c r="CC131" i="7"/>
  <c r="CX130" i="7"/>
  <c r="E117" i="32"/>
  <c r="BA127" i="7"/>
  <c r="DP127" i="7" s="1"/>
  <c r="AW127" i="7"/>
  <c r="DL127" i="7" s="1"/>
  <c r="AZ127" i="7"/>
  <c r="DO127" i="7" s="1"/>
  <c r="AV127" i="7"/>
  <c r="DK127" i="7" s="1"/>
  <c r="BC127" i="7"/>
  <c r="DR127" i="7" s="1"/>
  <c r="AY127" i="7"/>
  <c r="DN127" i="7" s="1"/>
  <c r="AU127" i="7"/>
  <c r="DJ127" i="7" s="1"/>
  <c r="BB127" i="7"/>
  <c r="DQ127" i="7" s="1"/>
  <c r="AX127" i="7"/>
  <c r="DM127" i="7" s="1"/>
  <c r="AT127" i="7"/>
  <c r="AG127" i="7"/>
  <c r="AF127" i="7"/>
  <c r="AI127" i="7" s="1"/>
  <c r="AH127" i="7"/>
  <c r="BS129" i="7"/>
  <c r="EF128" i="7"/>
  <c r="DZ128" i="7"/>
  <c r="CN128" i="7"/>
  <c r="EC128" i="7"/>
  <c r="DX128" i="7"/>
  <c r="EB128" i="7"/>
  <c r="DW128" i="7"/>
  <c r="EA128" i="7"/>
  <c r="DV128" i="7"/>
  <c r="M128" i="7"/>
  <c r="BZ130" i="7"/>
  <c r="CU129" i="7"/>
  <c r="EN129" i="7"/>
  <c r="BG127" i="7"/>
  <c r="BH127" i="7"/>
  <c r="BF126" i="7"/>
  <c r="BE126" i="7"/>
  <c r="BD126" i="7"/>
  <c r="DS129" i="7"/>
  <c r="CI130" i="7"/>
  <c r="DD129" i="7"/>
  <c r="CH129" i="7"/>
  <c r="DC128" i="7"/>
  <c r="BN128" i="7"/>
  <c r="BJ118" i="7"/>
  <c r="BM118" i="7" s="1"/>
  <c r="B118" i="7" s="1"/>
  <c r="C118" i="7"/>
  <c r="F118" i="7" s="1"/>
  <c r="AJ119" i="7"/>
  <c r="BY131" i="7"/>
  <c r="CT130" i="7"/>
  <c r="CJ130" i="7"/>
  <c r="DE129" i="7"/>
  <c r="BX130" i="7"/>
  <c r="CS129" i="7"/>
  <c r="BO126" i="7"/>
  <c r="BQ126" i="7" s="1"/>
  <c r="CG130" i="7"/>
  <c r="DB129" i="7"/>
  <c r="AO129" i="7"/>
  <c r="CA130" i="7"/>
  <c r="CV129" i="7"/>
  <c r="DI127" i="7"/>
  <c r="CB130" i="7"/>
  <c r="CW129" i="7"/>
  <c r="CM130" i="7"/>
  <c r="DH129" i="7"/>
  <c r="CE129" i="7"/>
  <c r="CZ128" i="7"/>
  <c r="AM128" i="7"/>
  <c r="BU131" i="7"/>
  <c r="CP130" i="7"/>
  <c r="EM130" i="7"/>
  <c r="DG130" i="7"/>
  <c r="CL131" i="7"/>
  <c r="BV130" i="7"/>
  <c r="CQ129" i="7"/>
  <c r="BQ125" i="7"/>
  <c r="L117" i="32" l="1"/>
  <c r="BP127" i="7"/>
  <c r="M117" i="32"/>
  <c r="K117" i="32"/>
  <c r="CM131" i="7"/>
  <c r="DH130" i="7"/>
  <c r="CG131" i="7"/>
  <c r="DB130" i="7"/>
  <c r="AO130" i="7"/>
  <c r="CA131" i="7"/>
  <c r="CV130" i="7"/>
  <c r="BV131" i="7"/>
  <c r="CQ130" i="7"/>
  <c r="AM129" i="7"/>
  <c r="CE130" i="7"/>
  <c r="CZ129" i="7"/>
  <c r="CB131" i="7"/>
  <c r="CW130" i="7"/>
  <c r="CD131" i="7"/>
  <c r="CY130" i="7"/>
  <c r="CF130" i="7"/>
  <c r="DA129" i="7"/>
  <c r="AN129" i="7"/>
  <c r="C119" i="7"/>
  <c r="F119" i="7" s="1"/>
  <c r="BJ119" i="7"/>
  <c r="BM119" i="7" s="1"/>
  <c r="B119" i="7" s="1"/>
  <c r="AJ120" i="7"/>
  <c r="EM131" i="7"/>
  <c r="DG131" i="7"/>
  <c r="CL132" i="7"/>
  <c r="BU132" i="7"/>
  <c r="CP131" i="7"/>
  <c r="BX131" i="7"/>
  <c r="CS130" i="7"/>
  <c r="BY132" i="7"/>
  <c r="CT131" i="7"/>
  <c r="CI131" i="7"/>
  <c r="DD130" i="7"/>
  <c r="DS130" i="7"/>
  <c r="EC129" i="7"/>
  <c r="DX129" i="7"/>
  <c r="EB129" i="7"/>
  <c r="DW129" i="7"/>
  <c r="EA129" i="7"/>
  <c r="DV129" i="7"/>
  <c r="BS130" i="7"/>
  <c r="EF129" i="7"/>
  <c r="DZ129" i="7"/>
  <c r="CN129" i="7"/>
  <c r="M129" i="7"/>
  <c r="BE127" i="7"/>
  <c r="BD127" i="7"/>
  <c r="BF127" i="7"/>
  <c r="CC132" i="7"/>
  <c r="CX131" i="7"/>
  <c r="D119" i="7"/>
  <c r="BK119" i="7"/>
  <c r="AK120" i="7"/>
  <c r="CK132" i="7"/>
  <c r="DF131" i="7"/>
  <c r="P129" i="7"/>
  <c r="EN130" i="7"/>
  <c r="BZ131" i="7"/>
  <c r="CU130" i="7"/>
  <c r="BO127" i="7"/>
  <c r="BQ127" i="7" s="1"/>
  <c r="BL119" i="7"/>
  <c r="E119" i="7"/>
  <c r="AL120" i="7"/>
  <c r="F117" i="32"/>
  <c r="AR128" i="7"/>
  <c r="BI128" i="7" s="1"/>
  <c r="AQ128" i="7"/>
  <c r="BH128" i="7" s="1"/>
  <c r="AP128" i="7"/>
  <c r="BG128" i="7" s="1"/>
  <c r="BW131" i="7"/>
  <c r="CR130" i="7"/>
  <c r="D118" i="32"/>
  <c r="N129" i="7"/>
  <c r="H125" i="7"/>
  <c r="G125" i="7"/>
  <c r="H126" i="7"/>
  <c r="G126" i="7"/>
  <c r="CJ131" i="7"/>
  <c r="DE130" i="7"/>
  <c r="CH130" i="7"/>
  <c r="DC129" i="7"/>
  <c r="BN129" i="7"/>
  <c r="E118" i="32"/>
  <c r="AZ128" i="7"/>
  <c r="DO128" i="7" s="1"/>
  <c r="AV128" i="7"/>
  <c r="DK128" i="7" s="1"/>
  <c r="BC128" i="7"/>
  <c r="DR128" i="7" s="1"/>
  <c r="AY128" i="7"/>
  <c r="DN128" i="7" s="1"/>
  <c r="AU128" i="7"/>
  <c r="DJ128" i="7" s="1"/>
  <c r="BB128" i="7"/>
  <c r="DQ128" i="7" s="1"/>
  <c r="AX128" i="7"/>
  <c r="DM128" i="7" s="1"/>
  <c r="AT128" i="7"/>
  <c r="BA128" i="7"/>
  <c r="DP128" i="7" s="1"/>
  <c r="AW128" i="7"/>
  <c r="DL128" i="7" s="1"/>
  <c r="AF128" i="7"/>
  <c r="AI128" i="7" s="1"/>
  <c r="AH128" i="7"/>
  <c r="AG128" i="7"/>
  <c r="G117" i="32"/>
  <c r="P117" i="32" s="1"/>
  <c r="Q117" i="32" s="1"/>
  <c r="BT131" i="7"/>
  <c r="CO130" i="7"/>
  <c r="EO130" i="7"/>
  <c r="K118" i="32" l="1"/>
  <c r="M118" i="32"/>
  <c r="L118" i="32"/>
  <c r="BN130" i="7"/>
  <c r="CH131" i="7"/>
  <c r="DC130" i="7"/>
  <c r="CK133" i="7"/>
  <c r="DF132" i="7"/>
  <c r="BX132" i="7"/>
  <c r="CS131" i="7"/>
  <c r="DG132" i="7"/>
  <c r="EM132" i="7"/>
  <c r="CL133" i="7"/>
  <c r="CE131" i="7"/>
  <c r="CZ130" i="7"/>
  <c r="AM130" i="7"/>
  <c r="AO131" i="7"/>
  <c r="CG132" i="7"/>
  <c r="DB131" i="7"/>
  <c r="BD128" i="7"/>
  <c r="BF128" i="7"/>
  <c r="BE128" i="7"/>
  <c r="H127" i="7"/>
  <c r="G127" i="7"/>
  <c r="D119" i="32"/>
  <c r="N130" i="7"/>
  <c r="BK120" i="7"/>
  <c r="D120" i="7"/>
  <c r="AK121" i="7"/>
  <c r="P130" i="7"/>
  <c r="DI128" i="7"/>
  <c r="CF131" i="7"/>
  <c r="DA130" i="7"/>
  <c r="AN130" i="7"/>
  <c r="CA132" i="7"/>
  <c r="CV131" i="7"/>
  <c r="BT132" i="7"/>
  <c r="CO131" i="7"/>
  <c r="EO131" i="7"/>
  <c r="CJ132" i="7"/>
  <c r="DE131" i="7"/>
  <c r="BW132" i="7"/>
  <c r="CR131" i="7"/>
  <c r="BL120" i="7"/>
  <c r="E120" i="7"/>
  <c r="AL121" i="7"/>
  <c r="CC133" i="7"/>
  <c r="CX132" i="7"/>
  <c r="E119" i="32"/>
  <c r="BC129" i="7"/>
  <c r="DR129" i="7" s="1"/>
  <c r="AY129" i="7"/>
  <c r="DN129" i="7" s="1"/>
  <c r="AU129" i="7"/>
  <c r="DJ129" i="7" s="1"/>
  <c r="BB129" i="7"/>
  <c r="DQ129" i="7" s="1"/>
  <c r="AX129" i="7"/>
  <c r="DM129" i="7" s="1"/>
  <c r="AT129" i="7"/>
  <c r="BA129" i="7"/>
  <c r="DP129" i="7" s="1"/>
  <c r="AW129" i="7"/>
  <c r="DL129" i="7" s="1"/>
  <c r="AZ129" i="7"/>
  <c r="DO129" i="7" s="1"/>
  <c r="AV129" i="7"/>
  <c r="DK129" i="7" s="1"/>
  <c r="AG129" i="7"/>
  <c r="AH129" i="7"/>
  <c r="AF129" i="7"/>
  <c r="AI129" i="7" s="1"/>
  <c r="EB130" i="7"/>
  <c r="DW130" i="7"/>
  <c r="EA130" i="7"/>
  <c r="DV130" i="7"/>
  <c r="BS131" i="7"/>
  <c r="EF130" i="7"/>
  <c r="DZ130" i="7"/>
  <c r="CN130" i="7"/>
  <c r="BO129" i="7" s="1"/>
  <c r="EC130" i="7"/>
  <c r="DX130" i="7"/>
  <c r="M130" i="7"/>
  <c r="BY133" i="7"/>
  <c r="CT132" i="7"/>
  <c r="CB132" i="7"/>
  <c r="CW131" i="7"/>
  <c r="CM132" i="7"/>
  <c r="DH131" i="7"/>
  <c r="F118" i="32"/>
  <c r="G118" i="32" s="1"/>
  <c r="P118" i="32" s="1"/>
  <c r="Q118" i="32" s="1"/>
  <c r="AQ129" i="7"/>
  <c r="BH129" i="7" s="1"/>
  <c r="AP129" i="7"/>
  <c r="BG129" i="7" s="1"/>
  <c r="AR129" i="7"/>
  <c r="BI129" i="7" s="1"/>
  <c r="BZ132" i="7"/>
  <c r="CU131" i="7"/>
  <c r="EN131" i="7"/>
  <c r="BO128" i="7"/>
  <c r="CI132" i="7"/>
  <c r="DD131" i="7"/>
  <c r="DS131" i="7"/>
  <c r="BU133" i="7"/>
  <c r="CP132" i="7"/>
  <c r="C120" i="7"/>
  <c r="F120" i="7" s="1"/>
  <c r="BJ120" i="7"/>
  <c r="BM120" i="7" s="1"/>
  <c r="B120" i="7" s="1"/>
  <c r="AJ121" i="7"/>
  <c r="CD132" i="7"/>
  <c r="CY131" i="7"/>
  <c r="BV132" i="7"/>
  <c r="CQ131" i="7"/>
  <c r="K119" i="32" l="1"/>
  <c r="L119" i="32"/>
  <c r="M119" i="32"/>
  <c r="E121" i="7"/>
  <c r="BL121" i="7"/>
  <c r="AL122" i="7"/>
  <c r="BW133" i="7"/>
  <c r="CR132" i="7"/>
  <c r="CA133" i="7"/>
  <c r="CV132" i="7"/>
  <c r="CF132" i="7"/>
  <c r="DA131" i="7"/>
  <c r="AN131" i="7"/>
  <c r="BK121" i="7"/>
  <c r="D121" i="7"/>
  <c r="AK122" i="7"/>
  <c r="DG133" i="7"/>
  <c r="EM133" i="7"/>
  <c r="CL134" i="7"/>
  <c r="BX133" i="7"/>
  <c r="CS132" i="7"/>
  <c r="E120" i="32"/>
  <c r="BB130" i="7"/>
  <c r="DQ130" i="7" s="1"/>
  <c r="AX130" i="7"/>
  <c r="DM130" i="7" s="1"/>
  <c r="AT130" i="7"/>
  <c r="BA130" i="7"/>
  <c r="DP130" i="7" s="1"/>
  <c r="AW130" i="7"/>
  <c r="DL130" i="7" s="1"/>
  <c r="AZ130" i="7"/>
  <c r="DO130" i="7" s="1"/>
  <c r="AV130" i="7"/>
  <c r="DK130" i="7" s="1"/>
  <c r="BC130" i="7"/>
  <c r="DR130" i="7" s="1"/>
  <c r="AY130" i="7"/>
  <c r="DN130" i="7" s="1"/>
  <c r="AU130" i="7"/>
  <c r="DJ130" i="7" s="1"/>
  <c r="AF130" i="7"/>
  <c r="AI130" i="7" s="1"/>
  <c r="AG130" i="7"/>
  <c r="AH130" i="7"/>
  <c r="DI129" i="7"/>
  <c r="DI130" i="7" s="1"/>
  <c r="CH132" i="7"/>
  <c r="DC131" i="7"/>
  <c r="BN131" i="7"/>
  <c r="CI133" i="7"/>
  <c r="DD132" i="7"/>
  <c r="DS132" i="7"/>
  <c r="BZ133" i="7"/>
  <c r="CU132" i="7"/>
  <c r="EN132" i="7"/>
  <c r="CB133" i="7"/>
  <c r="CW132" i="7"/>
  <c r="CJ133" i="7"/>
  <c r="DE132" i="7"/>
  <c r="EO132" i="7"/>
  <c r="BT133" i="7"/>
  <c r="CO132" i="7"/>
  <c r="CK134" i="7"/>
  <c r="DF133" i="7"/>
  <c r="P131" i="7"/>
  <c r="BY134" i="7"/>
  <c r="CT133" i="7"/>
  <c r="CD133" i="7"/>
  <c r="CY132" i="7"/>
  <c r="BV133" i="7"/>
  <c r="CQ132" i="7"/>
  <c r="BJ121" i="7"/>
  <c r="BM121" i="7" s="1"/>
  <c r="B121" i="7" s="1"/>
  <c r="C121" i="7"/>
  <c r="F121" i="7" s="1"/>
  <c r="AJ122" i="7"/>
  <c r="BU134" i="7"/>
  <c r="CP133" i="7"/>
  <c r="BQ128" i="7"/>
  <c r="CM133" i="7"/>
  <c r="DH132" i="7"/>
  <c r="EA131" i="7"/>
  <c r="DV131" i="7"/>
  <c r="BS132" i="7"/>
  <c r="EF131" i="7"/>
  <c r="DZ131" i="7"/>
  <c r="CN131" i="7"/>
  <c r="EC131" i="7"/>
  <c r="DX131" i="7"/>
  <c r="EB131" i="7"/>
  <c r="DW131" i="7"/>
  <c r="M131" i="7"/>
  <c r="BF129" i="7"/>
  <c r="BE129" i="7"/>
  <c r="BD129" i="7"/>
  <c r="CC134" i="7"/>
  <c r="CX133" i="7"/>
  <c r="D120" i="32"/>
  <c r="N131" i="7"/>
  <c r="F119" i="32"/>
  <c r="G119" i="32" s="1"/>
  <c r="P119" i="32" s="1"/>
  <c r="Q119" i="32" s="1"/>
  <c r="AP130" i="7"/>
  <c r="BG130" i="7" s="1"/>
  <c r="AR130" i="7"/>
  <c r="BI130" i="7" s="1"/>
  <c r="AQ130" i="7"/>
  <c r="BH130" i="7" s="1"/>
  <c r="CG133" i="7"/>
  <c r="DB132" i="7"/>
  <c r="AO132" i="7"/>
  <c r="CE132" i="7"/>
  <c r="CZ131" i="7"/>
  <c r="AM131" i="7"/>
  <c r="BP128" i="7"/>
  <c r="BP130" i="7" l="1"/>
  <c r="L120" i="32"/>
  <c r="M120" i="32"/>
  <c r="K120" i="32"/>
  <c r="F120" i="32"/>
  <c r="AR131" i="7"/>
  <c r="BI131" i="7" s="1"/>
  <c r="AQ131" i="7"/>
  <c r="AP131" i="7"/>
  <c r="BO130" i="7"/>
  <c r="BQ130" i="7" s="1"/>
  <c r="G128" i="7"/>
  <c r="H128" i="7"/>
  <c r="CK135" i="7"/>
  <c r="DF134" i="7"/>
  <c r="CB134" i="7"/>
  <c r="CW133" i="7"/>
  <c r="P132" i="7"/>
  <c r="EM134" i="7"/>
  <c r="DG134" i="7"/>
  <c r="CL135" i="7"/>
  <c r="BH131" i="7"/>
  <c r="CA134" i="7"/>
  <c r="CV133" i="7"/>
  <c r="BG131" i="7"/>
  <c r="CG134" i="7"/>
  <c r="DB133" i="7"/>
  <c r="AO133" i="7"/>
  <c r="CE133" i="7"/>
  <c r="CZ132" i="7"/>
  <c r="AM132" i="7"/>
  <c r="G120" i="32"/>
  <c r="P120" i="32" s="1"/>
  <c r="Q120" i="32" s="1"/>
  <c r="CH133" i="7"/>
  <c r="DC132" i="7"/>
  <c r="BN132" i="7"/>
  <c r="D122" i="7"/>
  <c r="BK122" i="7"/>
  <c r="AK123" i="7"/>
  <c r="CD134" i="7"/>
  <c r="CY133" i="7"/>
  <c r="D121" i="32"/>
  <c r="N132" i="7"/>
  <c r="BU135" i="7"/>
  <c r="CP134" i="7"/>
  <c r="CJ134" i="7"/>
  <c r="DE133" i="7"/>
  <c r="DS133" i="7"/>
  <c r="CI134" i="7"/>
  <c r="DD133" i="7"/>
  <c r="BF130" i="7"/>
  <c r="BE130" i="7"/>
  <c r="BD130" i="7"/>
  <c r="AN132" i="7"/>
  <c r="CF133" i="7"/>
  <c r="DA132" i="7"/>
  <c r="BW134" i="7"/>
  <c r="CR133" i="7"/>
  <c r="BP129" i="7"/>
  <c r="BQ129" i="7" s="1"/>
  <c r="CC135" i="7"/>
  <c r="CX134" i="7"/>
  <c r="E121" i="32"/>
  <c r="BA131" i="7"/>
  <c r="DP131" i="7" s="1"/>
  <c r="AW131" i="7"/>
  <c r="DL131" i="7" s="1"/>
  <c r="AZ131" i="7"/>
  <c r="DO131" i="7" s="1"/>
  <c r="AV131" i="7"/>
  <c r="DK131" i="7" s="1"/>
  <c r="BC131" i="7"/>
  <c r="DR131" i="7" s="1"/>
  <c r="AY131" i="7"/>
  <c r="DN131" i="7" s="1"/>
  <c r="AU131" i="7"/>
  <c r="DJ131" i="7" s="1"/>
  <c r="BB131" i="7"/>
  <c r="DQ131" i="7" s="1"/>
  <c r="AX131" i="7"/>
  <c r="DM131" i="7" s="1"/>
  <c r="AT131" i="7"/>
  <c r="AH131" i="7"/>
  <c r="AF131" i="7"/>
  <c r="AI131" i="7" s="1"/>
  <c r="AG131" i="7"/>
  <c r="BS133" i="7"/>
  <c r="EF132" i="7"/>
  <c r="DZ132" i="7"/>
  <c r="CN132" i="7"/>
  <c r="BO131" i="7" s="1"/>
  <c r="EC132" i="7"/>
  <c r="DX132" i="7"/>
  <c r="EB132" i="7"/>
  <c r="DW132" i="7"/>
  <c r="EA132" i="7"/>
  <c r="DV132" i="7"/>
  <c r="M132" i="7"/>
  <c r="CM134" i="7"/>
  <c r="DH133" i="7"/>
  <c r="BJ122" i="7"/>
  <c r="BM122" i="7" s="1"/>
  <c r="B122" i="7" s="1"/>
  <c r="C122" i="7"/>
  <c r="F122" i="7" s="1"/>
  <c r="AJ123" i="7"/>
  <c r="BV134" i="7"/>
  <c r="CQ133" i="7"/>
  <c r="BY135" i="7"/>
  <c r="CT134" i="7"/>
  <c r="EO133" i="7"/>
  <c r="BT134" i="7"/>
  <c r="CO133" i="7"/>
  <c r="BZ134" i="7"/>
  <c r="CU133" i="7"/>
  <c r="EN133" i="7"/>
  <c r="DI131" i="7"/>
  <c r="BX134" i="7"/>
  <c r="CS133" i="7"/>
  <c r="E122" i="7"/>
  <c r="BL122" i="7"/>
  <c r="AL123" i="7"/>
  <c r="M121" i="32" l="1"/>
  <c r="K121" i="32"/>
  <c r="BP131" i="7"/>
  <c r="BQ131" i="7" s="1"/>
  <c r="L121" i="32"/>
  <c r="E122" i="32"/>
  <c r="AZ132" i="7"/>
  <c r="DO132" i="7" s="1"/>
  <c r="AV132" i="7"/>
  <c r="DK132" i="7" s="1"/>
  <c r="BC132" i="7"/>
  <c r="DR132" i="7" s="1"/>
  <c r="AY132" i="7"/>
  <c r="DN132" i="7" s="1"/>
  <c r="AU132" i="7"/>
  <c r="DJ132" i="7" s="1"/>
  <c r="BB132" i="7"/>
  <c r="DQ132" i="7" s="1"/>
  <c r="AX132" i="7"/>
  <c r="DM132" i="7" s="1"/>
  <c r="AT132" i="7"/>
  <c r="BA132" i="7"/>
  <c r="DP132" i="7" s="1"/>
  <c r="AW132" i="7"/>
  <c r="DL132" i="7" s="1"/>
  <c r="AG132" i="7"/>
  <c r="AF132" i="7"/>
  <c r="AI132" i="7" s="1"/>
  <c r="AH132" i="7"/>
  <c r="BT135" i="7"/>
  <c r="CO134" i="7"/>
  <c r="EO134" i="7"/>
  <c r="BW135" i="7"/>
  <c r="CR134" i="7"/>
  <c r="CI135" i="7"/>
  <c r="DD134" i="7"/>
  <c r="DS134" i="7"/>
  <c r="CH134" i="7"/>
  <c r="DC133" i="7"/>
  <c r="BN133" i="7"/>
  <c r="AM133" i="7"/>
  <c r="CE134" i="7"/>
  <c r="CZ133" i="7"/>
  <c r="EM135" i="7"/>
  <c r="DG135" i="7"/>
  <c r="CL136" i="7"/>
  <c r="CK136" i="7"/>
  <c r="DF135" i="7"/>
  <c r="BL123" i="7"/>
  <c r="E123" i="7"/>
  <c r="AL124" i="7"/>
  <c r="EC133" i="7"/>
  <c r="DX133" i="7"/>
  <c r="EB133" i="7"/>
  <c r="DW133" i="7"/>
  <c r="EA133" i="7"/>
  <c r="DV133" i="7"/>
  <c r="BS134" i="7"/>
  <c r="EF133" i="7"/>
  <c r="DZ133" i="7"/>
  <c r="CN133" i="7"/>
  <c r="M133" i="7"/>
  <c r="BE131" i="7"/>
  <c r="BD131" i="7"/>
  <c r="BF131" i="7"/>
  <c r="CC136" i="7"/>
  <c r="CX135" i="7"/>
  <c r="P133" i="7"/>
  <c r="BU136" i="7"/>
  <c r="CP135" i="7"/>
  <c r="BX135" i="7"/>
  <c r="CS134" i="7"/>
  <c r="BV135" i="7"/>
  <c r="CQ134" i="7"/>
  <c r="DI132" i="7"/>
  <c r="EN134" i="7"/>
  <c r="BZ135" i="7"/>
  <c r="CU134" i="7"/>
  <c r="C123" i="7"/>
  <c r="F123" i="7" s="1"/>
  <c r="BJ123" i="7"/>
  <c r="BM123" i="7" s="1"/>
  <c r="B123" i="7" s="1"/>
  <c r="AJ124" i="7"/>
  <c r="CM135" i="7"/>
  <c r="DH134" i="7"/>
  <c r="H129" i="7"/>
  <c r="G129" i="7"/>
  <c r="CF134" i="7"/>
  <c r="DA133" i="7"/>
  <c r="AN133" i="7"/>
  <c r="CD135" i="7"/>
  <c r="CY134" i="7"/>
  <c r="CA135" i="7"/>
  <c r="CV134" i="7"/>
  <c r="CB135" i="7"/>
  <c r="CW134" i="7"/>
  <c r="BY136" i="7"/>
  <c r="CT135" i="7"/>
  <c r="CJ135" i="7"/>
  <c r="DE134" i="7"/>
  <c r="F121" i="32"/>
  <c r="G121" i="32" s="1"/>
  <c r="P121" i="32" s="1"/>
  <c r="Q121" i="32" s="1"/>
  <c r="AR132" i="7"/>
  <c r="BI132" i="7" s="1"/>
  <c r="AQ132" i="7"/>
  <c r="BH132" i="7" s="1"/>
  <c r="AP132" i="7"/>
  <c r="BG132" i="7" s="1"/>
  <c r="D123" i="7"/>
  <c r="BK123" i="7"/>
  <c r="AK124" i="7"/>
  <c r="CG135" i="7"/>
  <c r="DB134" i="7"/>
  <c r="AO134" i="7"/>
  <c r="D122" i="32"/>
  <c r="N133" i="7"/>
  <c r="H130" i="7"/>
  <c r="G130" i="7"/>
  <c r="M122" i="32" l="1"/>
  <c r="K122" i="32"/>
  <c r="BP132" i="7"/>
  <c r="L122" i="32"/>
  <c r="CB136" i="7"/>
  <c r="CW135" i="7"/>
  <c r="BX136" i="7"/>
  <c r="CS135" i="7"/>
  <c r="D123" i="32"/>
  <c r="N134" i="7"/>
  <c r="BO132" i="7"/>
  <c r="BT136" i="7"/>
  <c r="CO135" i="7"/>
  <c r="EO135" i="7"/>
  <c r="BK124" i="7"/>
  <c r="D124" i="7"/>
  <c r="AK125" i="7"/>
  <c r="CF135" i="7"/>
  <c r="DA134" i="7"/>
  <c r="AN134" i="7"/>
  <c r="CM136" i="7"/>
  <c r="DH135" i="7"/>
  <c r="P134" i="7"/>
  <c r="BW136" i="7"/>
  <c r="CR135" i="7"/>
  <c r="CA136" i="7"/>
  <c r="CV135" i="7"/>
  <c r="CD136" i="7"/>
  <c r="CY135" i="7"/>
  <c r="BZ136" i="7"/>
  <c r="CU135" i="7"/>
  <c r="EN135" i="7"/>
  <c r="BV136" i="7"/>
  <c r="CQ135" i="7"/>
  <c r="BL124" i="7"/>
  <c r="E124" i="7"/>
  <c r="AL125" i="7"/>
  <c r="CK137" i="7"/>
  <c r="DF136" i="7"/>
  <c r="BD132" i="7"/>
  <c r="BF132" i="7"/>
  <c r="BE132" i="7"/>
  <c r="BY137" i="7"/>
  <c r="CT136" i="7"/>
  <c r="C124" i="7"/>
  <c r="F124" i="7" s="1"/>
  <c r="BJ124" i="7"/>
  <c r="BM124" i="7" s="1"/>
  <c r="B124" i="7" s="1"/>
  <c r="AJ125" i="7"/>
  <c r="F122" i="32"/>
  <c r="G122" i="32" s="1"/>
  <c r="P122" i="32" s="1"/>
  <c r="Q122" i="32" s="1"/>
  <c r="AQ133" i="7"/>
  <c r="BH133" i="7" s="1"/>
  <c r="AP133" i="7"/>
  <c r="BG133" i="7" s="1"/>
  <c r="AR133" i="7"/>
  <c r="BI133" i="7" s="1"/>
  <c r="AO135" i="7"/>
  <c r="CG136" i="7"/>
  <c r="DB135" i="7"/>
  <c r="CJ136" i="7"/>
  <c r="DE135" i="7"/>
  <c r="BU137" i="7"/>
  <c r="CP136" i="7"/>
  <c r="CC137" i="7"/>
  <c r="CX136" i="7"/>
  <c r="E123" i="32"/>
  <c r="BC133" i="7"/>
  <c r="DR133" i="7" s="1"/>
  <c r="AY133" i="7"/>
  <c r="DN133" i="7" s="1"/>
  <c r="AU133" i="7"/>
  <c r="DJ133" i="7" s="1"/>
  <c r="BB133" i="7"/>
  <c r="DQ133" i="7" s="1"/>
  <c r="AX133" i="7"/>
  <c r="DM133" i="7" s="1"/>
  <c r="AT133" i="7"/>
  <c r="BA133" i="7"/>
  <c r="DP133" i="7" s="1"/>
  <c r="AW133" i="7"/>
  <c r="DL133" i="7" s="1"/>
  <c r="AZ133" i="7"/>
  <c r="DO133" i="7" s="1"/>
  <c r="AV133" i="7"/>
  <c r="DK133" i="7" s="1"/>
  <c r="AH133" i="7"/>
  <c r="AG133" i="7"/>
  <c r="AF133" i="7"/>
  <c r="AI133" i="7" s="1"/>
  <c r="EB134" i="7"/>
  <c r="DW134" i="7"/>
  <c r="EA134" i="7"/>
  <c r="DV134" i="7"/>
  <c r="BS135" i="7"/>
  <c r="EF134" i="7"/>
  <c r="DZ134" i="7"/>
  <c r="CN134" i="7"/>
  <c r="EC134" i="7"/>
  <c r="DX134" i="7"/>
  <c r="M134" i="7"/>
  <c r="DG136" i="7"/>
  <c r="EM136" i="7"/>
  <c r="CL137" i="7"/>
  <c r="CE135" i="7"/>
  <c r="CZ134" i="7"/>
  <c r="AM134" i="7"/>
  <c r="BN134" i="7"/>
  <c r="CH135" i="7"/>
  <c r="DC134" i="7"/>
  <c r="CI136" i="7"/>
  <c r="DD135" i="7"/>
  <c r="DS135" i="7"/>
  <c r="H131" i="7"/>
  <c r="G131" i="7"/>
  <c r="K123" i="32" l="1"/>
  <c r="L123" i="32"/>
  <c r="M123" i="32"/>
  <c r="E124" i="32"/>
  <c r="BB134" i="7"/>
  <c r="DQ134" i="7" s="1"/>
  <c r="AX134" i="7"/>
  <c r="DM134" i="7" s="1"/>
  <c r="AT134" i="7"/>
  <c r="BA134" i="7"/>
  <c r="DP134" i="7" s="1"/>
  <c r="AW134" i="7"/>
  <c r="DL134" i="7" s="1"/>
  <c r="AZ134" i="7"/>
  <c r="DO134" i="7" s="1"/>
  <c r="AV134" i="7"/>
  <c r="DK134" i="7" s="1"/>
  <c r="BC134" i="7"/>
  <c r="DR134" i="7" s="1"/>
  <c r="AY134" i="7"/>
  <c r="DN134" i="7" s="1"/>
  <c r="AU134" i="7"/>
  <c r="DJ134" i="7" s="1"/>
  <c r="AF134" i="7"/>
  <c r="AI134" i="7" s="1"/>
  <c r="AH134" i="7"/>
  <c r="AG134" i="7"/>
  <c r="BU138" i="7"/>
  <c r="CP137" i="7"/>
  <c r="E125" i="7"/>
  <c r="BL125" i="7"/>
  <c r="AL126" i="7"/>
  <c r="BV137" i="7"/>
  <c r="CQ136" i="7"/>
  <c r="EO136" i="7"/>
  <c r="BT137" i="7"/>
  <c r="CO136" i="7"/>
  <c r="CH136" i="7"/>
  <c r="DC135" i="7"/>
  <c r="BN135" i="7"/>
  <c r="DG137" i="7"/>
  <c r="EM137" i="7"/>
  <c r="CL138" i="7"/>
  <c r="CG137" i="7"/>
  <c r="DB136" i="7"/>
  <c r="AO136" i="7"/>
  <c r="CD137" i="7"/>
  <c r="CY136" i="7"/>
  <c r="BW137" i="7"/>
  <c r="CR136" i="7"/>
  <c r="CF136" i="7"/>
  <c r="DA135" i="7"/>
  <c r="AN135" i="7"/>
  <c r="CB137" i="7"/>
  <c r="CW136" i="7"/>
  <c r="P135" i="7"/>
  <c r="CE136" i="7"/>
  <c r="CZ135" i="7"/>
  <c r="AM135" i="7"/>
  <c r="CI137" i="7"/>
  <c r="DD136" i="7"/>
  <c r="DS136" i="7"/>
  <c r="EA135" i="7"/>
  <c r="DV135" i="7"/>
  <c r="BS136" i="7"/>
  <c r="EF135" i="7"/>
  <c r="DZ135" i="7"/>
  <c r="CN135" i="7"/>
  <c r="BO134" i="7" s="1"/>
  <c r="EC135" i="7"/>
  <c r="DX135" i="7"/>
  <c r="EB135" i="7"/>
  <c r="DW135" i="7"/>
  <c r="M135" i="7"/>
  <c r="BF133" i="7"/>
  <c r="BE133" i="7"/>
  <c r="BD133" i="7"/>
  <c r="CC138" i="7"/>
  <c r="CX137" i="7"/>
  <c r="BJ125" i="7"/>
  <c r="BM125" i="7" s="1"/>
  <c r="B125" i="7" s="1"/>
  <c r="C125" i="7"/>
  <c r="F125" i="7" s="1"/>
  <c r="AJ126" i="7"/>
  <c r="BY138" i="7"/>
  <c r="CT137" i="7"/>
  <c r="CM137" i="7"/>
  <c r="DH136" i="7"/>
  <c r="BQ132" i="7"/>
  <c r="BX137" i="7"/>
  <c r="CS136" i="7"/>
  <c r="BO133" i="7"/>
  <c r="CJ137" i="7"/>
  <c r="DE136" i="7"/>
  <c r="CK138" i="7"/>
  <c r="DF137" i="7"/>
  <c r="BZ137" i="7"/>
  <c r="CU136" i="7"/>
  <c r="EN136" i="7"/>
  <c r="CA137" i="7"/>
  <c r="CV136" i="7"/>
  <c r="D124" i="32"/>
  <c r="N135" i="7"/>
  <c r="BK125" i="7"/>
  <c r="D125" i="7"/>
  <c r="AK126" i="7"/>
  <c r="F123" i="32"/>
  <c r="G123" i="32" s="1"/>
  <c r="P123" i="32" s="1"/>
  <c r="Q123" i="32" s="1"/>
  <c r="AP134" i="7"/>
  <c r="BG134" i="7" s="1"/>
  <c r="AR134" i="7"/>
  <c r="BI134" i="7" s="1"/>
  <c r="AQ134" i="7"/>
  <c r="BH134" i="7" s="1"/>
  <c r="DI133" i="7"/>
  <c r="DI134" i="7" s="1"/>
  <c r="K124" i="32" l="1"/>
  <c r="BP134" i="7"/>
  <c r="BQ134" i="7" s="1"/>
  <c r="L124" i="32"/>
  <c r="M124" i="32"/>
  <c r="CE137" i="7"/>
  <c r="CZ136" i="7"/>
  <c r="AM136" i="7"/>
  <c r="CB138" i="7"/>
  <c r="CW137" i="7"/>
  <c r="EO137" i="7"/>
  <c r="BT138" i="7"/>
  <c r="CO137" i="7"/>
  <c r="E126" i="7"/>
  <c r="BL126" i="7"/>
  <c r="AL127" i="7"/>
  <c r="BU139" i="7"/>
  <c r="CP138" i="7"/>
  <c r="BP133" i="7"/>
  <c r="BZ138" i="7"/>
  <c r="CU137" i="7"/>
  <c r="EN137" i="7"/>
  <c r="CJ138" i="7"/>
  <c r="DE137" i="7"/>
  <c r="G132" i="7"/>
  <c r="H132" i="7"/>
  <c r="BY139" i="7"/>
  <c r="CT138" i="7"/>
  <c r="DS137" i="7"/>
  <c r="CI138" i="7"/>
  <c r="DD137" i="7"/>
  <c r="BW138" i="7"/>
  <c r="CR137" i="7"/>
  <c r="CH137" i="7"/>
  <c r="DC136" i="7"/>
  <c r="BN136" i="7"/>
  <c r="BX138" i="7"/>
  <c r="CS137" i="7"/>
  <c r="CA138" i="7"/>
  <c r="CV137" i="7"/>
  <c r="BQ133" i="7"/>
  <c r="BJ126" i="7"/>
  <c r="BM126" i="7" s="1"/>
  <c r="B126" i="7" s="1"/>
  <c r="C126" i="7"/>
  <c r="F126" i="7" s="1"/>
  <c r="AJ127" i="7"/>
  <c r="D125" i="32"/>
  <c r="N136" i="7"/>
  <c r="CG138" i="7"/>
  <c r="DB137" i="7"/>
  <c r="AO137" i="7"/>
  <c r="D126" i="7"/>
  <c r="BK126" i="7"/>
  <c r="AK127" i="7"/>
  <c r="F124" i="32"/>
  <c r="G124" i="32" s="1"/>
  <c r="P124" i="32" s="1"/>
  <c r="Q124" i="32" s="1"/>
  <c r="AR135" i="7"/>
  <c r="BI135" i="7" s="1"/>
  <c r="AQ135" i="7"/>
  <c r="BH135" i="7" s="1"/>
  <c r="AP135" i="7"/>
  <c r="BG135" i="7" s="1"/>
  <c r="CK139" i="7"/>
  <c r="DF138" i="7"/>
  <c r="CM138" i="7"/>
  <c r="DH137" i="7"/>
  <c r="CC139" i="7"/>
  <c r="CX138" i="7"/>
  <c r="E125" i="32"/>
  <c r="BA135" i="7"/>
  <c r="DP135" i="7" s="1"/>
  <c r="AW135" i="7"/>
  <c r="DL135" i="7" s="1"/>
  <c r="AZ135" i="7"/>
  <c r="DO135" i="7" s="1"/>
  <c r="AV135" i="7"/>
  <c r="DK135" i="7" s="1"/>
  <c r="BC135" i="7"/>
  <c r="DR135" i="7" s="1"/>
  <c r="AY135" i="7"/>
  <c r="DN135" i="7" s="1"/>
  <c r="AU135" i="7"/>
  <c r="DJ135" i="7" s="1"/>
  <c r="BB135" i="7"/>
  <c r="DQ135" i="7" s="1"/>
  <c r="AX135" i="7"/>
  <c r="DM135" i="7" s="1"/>
  <c r="AT135" i="7"/>
  <c r="DI135" i="7" s="1"/>
  <c r="AG135" i="7"/>
  <c r="AF135" i="7"/>
  <c r="AI135" i="7" s="1"/>
  <c r="AH135" i="7"/>
  <c r="BS137" i="7"/>
  <c r="EF136" i="7"/>
  <c r="DZ136" i="7"/>
  <c r="CN136" i="7"/>
  <c r="EC136" i="7"/>
  <c r="DX136" i="7"/>
  <c r="EB136" i="7"/>
  <c r="DW136" i="7"/>
  <c r="EA136" i="7"/>
  <c r="DV136" i="7"/>
  <c r="M136" i="7"/>
  <c r="P136" i="7"/>
  <c r="AN136" i="7"/>
  <c r="CF137" i="7"/>
  <c r="DA136" i="7"/>
  <c r="CD138" i="7"/>
  <c r="CY137" i="7"/>
  <c r="EM138" i="7"/>
  <c r="DG138" i="7"/>
  <c r="CL139" i="7"/>
  <c r="BV138" i="7"/>
  <c r="CQ137" i="7"/>
  <c r="BF134" i="7"/>
  <c r="BE134" i="7"/>
  <c r="BD134" i="7"/>
  <c r="BP135" i="7" l="1"/>
  <c r="M125" i="32"/>
  <c r="K125" i="32"/>
  <c r="H134" i="7"/>
  <c r="G134" i="7"/>
  <c r="L125" i="32"/>
  <c r="BV139" i="7"/>
  <c r="CQ138" i="7"/>
  <c r="CF138" i="7"/>
  <c r="DA137" i="7"/>
  <c r="AN137" i="7"/>
  <c r="E126" i="32"/>
  <c r="AZ136" i="7"/>
  <c r="DO136" i="7" s="1"/>
  <c r="AV136" i="7"/>
  <c r="DK136" i="7" s="1"/>
  <c r="BC136" i="7"/>
  <c r="DR136" i="7" s="1"/>
  <c r="AY136" i="7"/>
  <c r="DN136" i="7" s="1"/>
  <c r="AU136" i="7"/>
  <c r="DJ136" i="7" s="1"/>
  <c r="BB136" i="7"/>
  <c r="DQ136" i="7" s="1"/>
  <c r="AX136" i="7"/>
  <c r="DM136" i="7" s="1"/>
  <c r="AT136" i="7"/>
  <c r="BA136" i="7"/>
  <c r="DP136" i="7" s="1"/>
  <c r="AW136" i="7"/>
  <c r="DL136" i="7" s="1"/>
  <c r="AG136" i="7"/>
  <c r="AF136" i="7"/>
  <c r="AI136" i="7" s="1"/>
  <c r="AH136" i="7"/>
  <c r="CM139" i="7"/>
  <c r="DH138" i="7"/>
  <c r="CG139" i="7"/>
  <c r="DB138" i="7"/>
  <c r="AO138" i="7"/>
  <c r="C127" i="7"/>
  <c r="F127" i="7" s="1"/>
  <c r="BJ127" i="7"/>
  <c r="BM127" i="7" s="1"/>
  <c r="B127" i="7" s="1"/>
  <c r="AJ128" i="7"/>
  <c r="BW139" i="7"/>
  <c r="CR138" i="7"/>
  <c r="P137" i="7"/>
  <c r="BU140" i="7"/>
  <c r="CP139" i="7"/>
  <c r="AM137" i="7"/>
  <c r="CE138" i="7"/>
  <c r="CZ137" i="7"/>
  <c r="F125" i="32"/>
  <c r="AR136" i="7"/>
  <c r="BI136" i="7" s="1"/>
  <c r="AQ136" i="7"/>
  <c r="BH136" i="7" s="1"/>
  <c r="AP136" i="7"/>
  <c r="CA139" i="7"/>
  <c r="CV138" i="7"/>
  <c r="EN138" i="7"/>
  <c r="BZ139" i="7"/>
  <c r="CU138" i="7"/>
  <c r="BL127" i="7"/>
  <c r="E127" i="7"/>
  <c r="AL128" i="7"/>
  <c r="BT139" i="7"/>
  <c r="CO138" i="7"/>
  <c r="EO138" i="7"/>
  <c r="CB139" i="7"/>
  <c r="CW138" i="7"/>
  <c r="EM139" i="7"/>
  <c r="DG139" i="7"/>
  <c r="CL140" i="7"/>
  <c r="CD139" i="7"/>
  <c r="CY138" i="7"/>
  <c r="D126" i="32"/>
  <c r="N137" i="7"/>
  <c r="EC137" i="7"/>
  <c r="DX137" i="7"/>
  <c r="EB137" i="7"/>
  <c r="DW137" i="7"/>
  <c r="EA137" i="7"/>
  <c r="DV137" i="7"/>
  <c r="BS138" i="7"/>
  <c r="EF137" i="7"/>
  <c r="DZ137" i="7"/>
  <c r="CN137" i="7"/>
  <c r="M137" i="7"/>
  <c r="BE135" i="7"/>
  <c r="BD135" i="7"/>
  <c r="BF135" i="7"/>
  <c r="CC140" i="7"/>
  <c r="CX139" i="7"/>
  <c r="CK140" i="7"/>
  <c r="DF139" i="7"/>
  <c r="D127" i="7"/>
  <c r="BK127" i="7"/>
  <c r="AK128" i="7"/>
  <c r="G125" i="32"/>
  <c r="P125" i="32" s="1"/>
  <c r="Q125" i="32" s="1"/>
  <c r="CH138" i="7"/>
  <c r="DC137" i="7"/>
  <c r="BN137" i="7"/>
  <c r="BY140" i="7"/>
  <c r="CT139" i="7"/>
  <c r="CJ139" i="7"/>
  <c r="DE138" i="7"/>
  <c r="BG136" i="7"/>
  <c r="BO135" i="7"/>
  <c r="BQ135" i="7" s="1"/>
  <c r="H133" i="7"/>
  <c r="G133" i="7"/>
  <c r="BX139" i="7"/>
  <c r="CS138" i="7"/>
  <c r="CI139" i="7"/>
  <c r="DD138" i="7"/>
  <c r="DS138" i="7"/>
  <c r="L126" i="32" l="1"/>
  <c r="M126" i="32"/>
  <c r="K126" i="32"/>
  <c r="P138" i="7"/>
  <c r="CC141" i="7"/>
  <c r="CX140" i="7"/>
  <c r="E127" i="32"/>
  <c r="BC137" i="7"/>
  <c r="DR137" i="7" s="1"/>
  <c r="AY137" i="7"/>
  <c r="DN137" i="7" s="1"/>
  <c r="AU137" i="7"/>
  <c r="DJ137" i="7" s="1"/>
  <c r="BB137" i="7"/>
  <c r="DQ137" i="7" s="1"/>
  <c r="AX137" i="7"/>
  <c r="DM137" i="7" s="1"/>
  <c r="AT137" i="7"/>
  <c r="BA137" i="7"/>
  <c r="DP137" i="7" s="1"/>
  <c r="AW137" i="7"/>
  <c r="DL137" i="7" s="1"/>
  <c r="AZ137" i="7"/>
  <c r="DO137" i="7" s="1"/>
  <c r="AV137" i="7"/>
  <c r="DK137" i="7" s="1"/>
  <c r="AH137" i="7"/>
  <c r="AF137" i="7"/>
  <c r="AI137" i="7" s="1"/>
  <c r="AG137" i="7"/>
  <c r="EB138" i="7"/>
  <c r="DW138" i="7"/>
  <c r="EA138" i="7"/>
  <c r="DV138" i="7"/>
  <c r="BS139" i="7"/>
  <c r="EF138" i="7"/>
  <c r="DZ138" i="7"/>
  <c r="CN138" i="7"/>
  <c r="EC138" i="7"/>
  <c r="DX138" i="7"/>
  <c r="M138" i="7"/>
  <c r="CE139" i="7"/>
  <c r="CZ138" i="7"/>
  <c r="AM138" i="7"/>
  <c r="D127" i="32"/>
  <c r="N138" i="7"/>
  <c r="CM140" i="7"/>
  <c r="DH139" i="7"/>
  <c r="BO136" i="7"/>
  <c r="C128" i="7"/>
  <c r="F128" i="7" s="1"/>
  <c r="BJ128" i="7"/>
  <c r="BM128" i="7" s="1"/>
  <c r="B128" i="7" s="1"/>
  <c r="AJ129" i="7"/>
  <c r="CF139" i="7"/>
  <c r="DA138" i="7"/>
  <c r="AN138" i="7"/>
  <c r="BX140" i="7"/>
  <c r="CS139" i="7"/>
  <c r="BY141" i="7"/>
  <c r="CT140" i="7"/>
  <c r="BK128" i="7"/>
  <c r="D128" i="7"/>
  <c r="AK129" i="7"/>
  <c r="CK141" i="7"/>
  <c r="DF140" i="7"/>
  <c r="CD140" i="7"/>
  <c r="CY139" i="7"/>
  <c r="BT140" i="7"/>
  <c r="CO139" i="7"/>
  <c r="EO139" i="7"/>
  <c r="CA140" i="7"/>
  <c r="CV139" i="7"/>
  <c r="AO139" i="7"/>
  <c r="CG140" i="7"/>
  <c r="DB139" i="7"/>
  <c r="BD136" i="7"/>
  <c r="BF136" i="7"/>
  <c r="BE136" i="7"/>
  <c r="CI140" i="7"/>
  <c r="DD139" i="7"/>
  <c r="DS139" i="7"/>
  <c r="CJ140" i="7"/>
  <c r="DE139" i="7"/>
  <c r="H135" i="7"/>
  <c r="G135" i="7"/>
  <c r="BN138" i="7"/>
  <c r="CH139" i="7"/>
  <c r="DC138" i="7"/>
  <c r="F126" i="32"/>
  <c r="G126" i="32" s="1"/>
  <c r="P126" i="32" s="1"/>
  <c r="Q126" i="32" s="1"/>
  <c r="AQ137" i="7"/>
  <c r="AP137" i="7"/>
  <c r="BG137" i="7" s="1"/>
  <c r="AR137" i="7"/>
  <c r="BI137" i="7" s="1"/>
  <c r="DG140" i="7"/>
  <c r="EM140" i="7"/>
  <c r="CL141" i="7"/>
  <c r="CB140" i="7"/>
  <c r="CW139" i="7"/>
  <c r="BL128" i="7"/>
  <c r="E128" i="7"/>
  <c r="AL129" i="7"/>
  <c r="BZ140" i="7"/>
  <c r="CU139" i="7"/>
  <c r="EN139" i="7"/>
  <c r="BU141" i="7"/>
  <c r="CP140" i="7"/>
  <c r="BW140" i="7"/>
  <c r="CR139" i="7"/>
  <c r="BH137" i="7"/>
  <c r="BV140" i="7"/>
  <c r="CQ139" i="7"/>
  <c r="DI136" i="7"/>
  <c r="DI137" i="7" s="1"/>
  <c r="M127" i="32" l="1"/>
  <c r="BP137" i="7"/>
  <c r="K127" i="32"/>
  <c r="L127" i="32"/>
  <c r="EO140" i="7"/>
  <c r="BT141" i="7"/>
  <c r="CO140" i="7"/>
  <c r="CK142" i="7"/>
  <c r="DF141" i="7"/>
  <c r="BX141" i="7"/>
  <c r="CS140" i="7"/>
  <c r="BJ129" i="7"/>
  <c r="BM129" i="7" s="1"/>
  <c r="B129" i="7" s="1"/>
  <c r="C129" i="7"/>
  <c r="F129" i="7" s="1"/>
  <c r="AJ130" i="7"/>
  <c r="F127" i="32"/>
  <c r="AP138" i="7"/>
  <c r="AR138" i="7"/>
  <c r="BI138" i="7" s="1"/>
  <c r="AQ138" i="7"/>
  <c r="CE140" i="7"/>
  <c r="CZ139" i="7"/>
  <c r="AM139" i="7"/>
  <c r="EA139" i="7"/>
  <c r="DV139" i="7"/>
  <c r="BS140" i="7"/>
  <c r="EF139" i="7"/>
  <c r="DZ139" i="7"/>
  <c r="CN139" i="7"/>
  <c r="EC139" i="7"/>
  <c r="DX139" i="7"/>
  <c r="EB139" i="7"/>
  <c r="DW139" i="7"/>
  <c r="M139" i="7"/>
  <c r="BF137" i="7"/>
  <c r="BE137" i="7"/>
  <c r="BD137" i="7"/>
  <c r="CC142" i="7"/>
  <c r="CX141" i="7"/>
  <c r="BU142" i="7"/>
  <c r="CP141" i="7"/>
  <c r="CB141" i="7"/>
  <c r="CW140" i="7"/>
  <c r="CH140" i="7"/>
  <c r="DC139" i="7"/>
  <c r="BN139" i="7"/>
  <c r="CI141" i="7"/>
  <c r="DD140" i="7"/>
  <c r="DS140" i="7"/>
  <c r="CA141" i="7"/>
  <c r="CV140" i="7"/>
  <c r="BK129" i="7"/>
  <c r="D129" i="7"/>
  <c r="AK130" i="7"/>
  <c r="BH138" i="7"/>
  <c r="G127" i="32"/>
  <c r="P127" i="32" s="1"/>
  <c r="Q127" i="32" s="1"/>
  <c r="BO137" i="7"/>
  <c r="BQ137" i="7" s="1"/>
  <c r="BP136" i="7"/>
  <c r="BQ136" i="7" s="1"/>
  <c r="BZ141" i="7"/>
  <c r="CU140" i="7"/>
  <c r="EN140" i="7"/>
  <c r="DG141" i="7"/>
  <c r="EM141" i="7"/>
  <c r="CL142" i="7"/>
  <c r="CJ141" i="7"/>
  <c r="DE140" i="7"/>
  <c r="CG141" i="7"/>
  <c r="DB140" i="7"/>
  <c r="AO140" i="7"/>
  <c r="CD141" i="7"/>
  <c r="CY140" i="7"/>
  <c r="BY142" i="7"/>
  <c r="CT141" i="7"/>
  <c r="CM141" i="7"/>
  <c r="DH140" i="7"/>
  <c r="BG138" i="7"/>
  <c r="E128" i="32"/>
  <c r="BB138" i="7"/>
  <c r="DQ138" i="7" s="1"/>
  <c r="AX138" i="7"/>
  <c r="DM138" i="7" s="1"/>
  <c r="AT138" i="7"/>
  <c r="BA138" i="7"/>
  <c r="DP138" i="7" s="1"/>
  <c r="AW138" i="7"/>
  <c r="DL138" i="7" s="1"/>
  <c r="AZ138" i="7"/>
  <c r="DO138" i="7" s="1"/>
  <c r="AV138" i="7"/>
  <c r="DK138" i="7" s="1"/>
  <c r="BC138" i="7"/>
  <c r="DR138" i="7" s="1"/>
  <c r="AY138" i="7"/>
  <c r="DN138" i="7" s="1"/>
  <c r="AU138" i="7"/>
  <c r="DJ138" i="7" s="1"/>
  <c r="AG138" i="7"/>
  <c r="AH138" i="7"/>
  <c r="AF138" i="7"/>
  <c r="AI138" i="7" s="1"/>
  <c r="D128" i="32"/>
  <c r="N139" i="7"/>
  <c r="BV141" i="7"/>
  <c r="CQ140" i="7"/>
  <c r="E129" i="7"/>
  <c r="BL129" i="7"/>
  <c r="AL130" i="7"/>
  <c r="BW141" i="7"/>
  <c r="CR140" i="7"/>
  <c r="P139" i="7"/>
  <c r="CF140" i="7"/>
  <c r="DA139" i="7"/>
  <c r="AN139" i="7"/>
  <c r="L128" i="32" l="1"/>
  <c r="M128" i="32"/>
  <c r="K128" i="32"/>
  <c r="G136" i="7"/>
  <c r="H136" i="7"/>
  <c r="AN140" i="7"/>
  <c r="CF141" i="7"/>
  <c r="DA140" i="7"/>
  <c r="CG142" i="7"/>
  <c r="DB141" i="7"/>
  <c r="AO141" i="7"/>
  <c r="EM142" i="7"/>
  <c r="DG142" i="7"/>
  <c r="CL143" i="7"/>
  <c r="H137" i="7"/>
  <c r="G137" i="7"/>
  <c r="P140" i="7"/>
  <c r="BO138" i="7"/>
  <c r="CE141" i="7"/>
  <c r="CZ140" i="7"/>
  <c r="AM140" i="7"/>
  <c r="BW142" i="7"/>
  <c r="CR141" i="7"/>
  <c r="CM142" i="7"/>
  <c r="DH141" i="7"/>
  <c r="CD142" i="7"/>
  <c r="CY141" i="7"/>
  <c r="CH141" i="7"/>
  <c r="DC140" i="7"/>
  <c r="BN140" i="7"/>
  <c r="BU143" i="7"/>
  <c r="CP142" i="7"/>
  <c r="BJ130" i="7"/>
  <c r="BM130" i="7" s="1"/>
  <c r="B130" i="7" s="1"/>
  <c r="C130" i="7"/>
  <c r="F130" i="7" s="1"/>
  <c r="AJ131" i="7"/>
  <c r="BX142" i="7"/>
  <c r="CS141" i="7"/>
  <c r="EO141" i="7"/>
  <c r="BT142" i="7"/>
  <c r="CO141" i="7"/>
  <c r="BH139" i="7"/>
  <c r="E130" i="7"/>
  <c r="BL130" i="7"/>
  <c r="AL131" i="7"/>
  <c r="BV142" i="7"/>
  <c r="CQ141" i="7"/>
  <c r="CJ142" i="7"/>
  <c r="DE141" i="7"/>
  <c r="BZ142" i="7"/>
  <c r="CU141" i="7"/>
  <c r="EN141" i="7"/>
  <c r="DS141" i="7"/>
  <c r="CI142" i="7"/>
  <c r="DD141" i="7"/>
  <c r="D129" i="32"/>
  <c r="N140" i="7"/>
  <c r="F128" i="32"/>
  <c r="G128" i="32" s="1"/>
  <c r="P128" i="32" s="1"/>
  <c r="Q128" i="32" s="1"/>
  <c r="AR139" i="7"/>
  <c r="BI139" i="7" s="1"/>
  <c r="AQ139" i="7"/>
  <c r="AP139" i="7"/>
  <c r="BG139" i="7" s="1"/>
  <c r="BF138" i="7"/>
  <c r="BE138" i="7"/>
  <c r="BD138" i="7"/>
  <c r="BY143" i="7"/>
  <c r="CT142" i="7"/>
  <c r="DI138" i="7"/>
  <c r="D130" i="7"/>
  <c r="BK130" i="7"/>
  <c r="AK131" i="7"/>
  <c r="CA142" i="7"/>
  <c r="CV141" i="7"/>
  <c r="CB142" i="7"/>
  <c r="CW141" i="7"/>
  <c r="CC143" i="7"/>
  <c r="CX142" i="7"/>
  <c r="E129" i="32"/>
  <c r="BA139" i="7"/>
  <c r="DP139" i="7" s="1"/>
  <c r="AW139" i="7"/>
  <c r="DL139" i="7" s="1"/>
  <c r="AZ139" i="7"/>
  <c r="DO139" i="7" s="1"/>
  <c r="AV139" i="7"/>
  <c r="DK139" i="7" s="1"/>
  <c r="BC139" i="7"/>
  <c r="DR139" i="7" s="1"/>
  <c r="AY139" i="7"/>
  <c r="DN139" i="7" s="1"/>
  <c r="AU139" i="7"/>
  <c r="DJ139" i="7" s="1"/>
  <c r="BB139" i="7"/>
  <c r="DQ139" i="7" s="1"/>
  <c r="AX139" i="7"/>
  <c r="DM139" i="7" s="1"/>
  <c r="AT139" i="7"/>
  <c r="AH139" i="7"/>
  <c r="AG139" i="7"/>
  <c r="AF139" i="7"/>
  <c r="AI139" i="7" s="1"/>
  <c r="BS141" i="7"/>
  <c r="EF140" i="7"/>
  <c r="DZ140" i="7"/>
  <c r="CN140" i="7"/>
  <c r="BO139" i="7" s="1"/>
  <c r="EC140" i="7"/>
  <c r="DX140" i="7"/>
  <c r="EB140" i="7"/>
  <c r="DW140" i="7"/>
  <c r="EA140" i="7"/>
  <c r="DV140" i="7"/>
  <c r="M140" i="7"/>
  <c r="CK143" i="7"/>
  <c r="DF142" i="7"/>
  <c r="K129" i="32" l="1"/>
  <c r="M129" i="32"/>
  <c r="L129" i="32"/>
  <c r="EC141" i="7"/>
  <c r="DX141" i="7"/>
  <c r="EB141" i="7"/>
  <c r="DW141" i="7"/>
  <c r="EA141" i="7"/>
  <c r="DV141" i="7"/>
  <c r="BS142" i="7"/>
  <c r="EF141" i="7"/>
  <c r="DZ141" i="7"/>
  <c r="CN141" i="7"/>
  <c r="M141" i="7"/>
  <c r="BE139" i="7"/>
  <c r="BD139" i="7"/>
  <c r="BF139" i="7"/>
  <c r="CC144" i="7"/>
  <c r="CX143" i="7"/>
  <c r="CJ143" i="7"/>
  <c r="DE142" i="7"/>
  <c r="BL131" i="7"/>
  <c r="E131" i="7"/>
  <c r="AL132" i="7"/>
  <c r="BX143" i="7"/>
  <c r="CS142" i="7"/>
  <c r="CH142" i="7"/>
  <c r="DC141" i="7"/>
  <c r="BN141" i="7"/>
  <c r="CM143" i="7"/>
  <c r="DH142" i="7"/>
  <c r="CG143" i="7"/>
  <c r="DB142" i="7"/>
  <c r="AO142" i="7"/>
  <c r="CA143" i="7"/>
  <c r="CV142" i="7"/>
  <c r="DI139" i="7"/>
  <c r="BP139" i="7" s="1"/>
  <c r="BQ139" i="7" s="1"/>
  <c r="BT143" i="7"/>
  <c r="CO142" i="7"/>
  <c r="EO142" i="7"/>
  <c r="C131" i="7"/>
  <c r="F131" i="7" s="1"/>
  <c r="BJ131" i="7"/>
  <c r="BM131" i="7" s="1"/>
  <c r="B131" i="7" s="1"/>
  <c r="AJ132" i="7"/>
  <c r="BU144" i="7"/>
  <c r="CP143" i="7"/>
  <c r="AM141" i="7"/>
  <c r="CE142" i="7"/>
  <c r="CZ141" i="7"/>
  <c r="BP138" i="7"/>
  <c r="CK144" i="7"/>
  <c r="DF143" i="7"/>
  <c r="E130" i="32"/>
  <c r="AZ140" i="7"/>
  <c r="DO140" i="7" s="1"/>
  <c r="AV140" i="7"/>
  <c r="DK140" i="7" s="1"/>
  <c r="BC140" i="7"/>
  <c r="DR140" i="7" s="1"/>
  <c r="AY140" i="7"/>
  <c r="DN140" i="7" s="1"/>
  <c r="AU140" i="7"/>
  <c r="DJ140" i="7" s="1"/>
  <c r="BB140" i="7"/>
  <c r="DQ140" i="7" s="1"/>
  <c r="AX140" i="7"/>
  <c r="DM140" i="7" s="1"/>
  <c r="AT140" i="7"/>
  <c r="BA140" i="7"/>
  <c r="DP140" i="7" s="1"/>
  <c r="AW140" i="7"/>
  <c r="DL140" i="7" s="1"/>
  <c r="AH140" i="7"/>
  <c r="AG140" i="7"/>
  <c r="AF140" i="7"/>
  <c r="AI140" i="7" s="1"/>
  <c r="CB143" i="7"/>
  <c r="CW142" i="7"/>
  <c r="D131" i="7"/>
  <c r="BK131" i="7"/>
  <c r="AK132" i="7"/>
  <c r="F129" i="32"/>
  <c r="AR140" i="7"/>
  <c r="BI140" i="7" s="1"/>
  <c r="AQ140" i="7"/>
  <c r="BH140" i="7" s="1"/>
  <c r="AP140" i="7"/>
  <c r="BG140" i="7" s="1"/>
  <c r="CI143" i="7"/>
  <c r="DD142" i="7"/>
  <c r="DS142" i="7"/>
  <c r="EN142" i="7"/>
  <c r="BZ143" i="7"/>
  <c r="CU142" i="7"/>
  <c r="CD143" i="7"/>
  <c r="CY142" i="7"/>
  <c r="BW143" i="7"/>
  <c r="CR142" i="7"/>
  <c r="BQ138" i="7"/>
  <c r="BY144" i="7"/>
  <c r="CT143" i="7"/>
  <c r="G129" i="32"/>
  <c r="P129" i="32" s="1"/>
  <c r="Q129" i="32" s="1"/>
  <c r="P141" i="7"/>
  <c r="BV143" i="7"/>
  <c r="CQ142" i="7"/>
  <c r="D130" i="32"/>
  <c r="N141" i="7"/>
  <c r="EM143" i="7"/>
  <c r="DG143" i="7"/>
  <c r="CL144" i="7"/>
  <c r="CF142" i="7"/>
  <c r="DA141" i="7"/>
  <c r="AN141" i="7"/>
  <c r="L130" i="32" l="1"/>
  <c r="M130" i="32"/>
  <c r="K130" i="32"/>
  <c r="H139" i="7"/>
  <c r="G139" i="7"/>
  <c r="F130" i="32"/>
  <c r="AQ141" i="7"/>
  <c r="AP141" i="7"/>
  <c r="AR141" i="7"/>
  <c r="BI141" i="7" s="1"/>
  <c r="BD140" i="7"/>
  <c r="BF140" i="7"/>
  <c r="BE140" i="7"/>
  <c r="BU145" i="7"/>
  <c r="CP144" i="7"/>
  <c r="BX144" i="7"/>
  <c r="CS143" i="7"/>
  <c r="BO140" i="7"/>
  <c r="BV144" i="7"/>
  <c r="CQ143" i="7"/>
  <c r="DG144" i="7"/>
  <c r="EM144" i="7"/>
  <c r="CL145" i="7"/>
  <c r="CE143" i="7"/>
  <c r="CZ142" i="7"/>
  <c r="AM142" i="7"/>
  <c r="C132" i="7"/>
  <c r="F132" i="7" s="1"/>
  <c r="BJ132" i="7"/>
  <c r="BM132" i="7" s="1"/>
  <c r="B132" i="7" s="1"/>
  <c r="AJ133" i="7"/>
  <c r="CA144" i="7"/>
  <c r="CV143" i="7"/>
  <c r="AO143" i="7"/>
  <c r="CG144" i="7"/>
  <c r="DB143" i="7"/>
  <c r="BL132" i="7"/>
  <c r="E132" i="7"/>
  <c r="AL133" i="7"/>
  <c r="CJ144" i="7"/>
  <c r="DE143" i="7"/>
  <c r="CF143" i="7"/>
  <c r="DA142" i="7"/>
  <c r="AN142" i="7"/>
  <c r="P142" i="7"/>
  <c r="G130" i="32"/>
  <c r="P130" i="32" s="1"/>
  <c r="Q130" i="32" s="1"/>
  <c r="D131" i="32"/>
  <c r="N142" i="7"/>
  <c r="BY145" i="7"/>
  <c r="CT144" i="7"/>
  <c r="BW144" i="7"/>
  <c r="CR143" i="7"/>
  <c r="BH141" i="7"/>
  <c r="BZ144" i="7"/>
  <c r="CU143" i="7"/>
  <c r="EN143" i="7"/>
  <c r="CI144" i="7"/>
  <c r="DD143" i="7"/>
  <c r="DS143" i="7"/>
  <c r="BK132" i="7"/>
  <c r="D132" i="7"/>
  <c r="AK133" i="7"/>
  <c r="CB144" i="7"/>
  <c r="CW143" i="7"/>
  <c r="CK145" i="7"/>
  <c r="DF144" i="7"/>
  <c r="BG141" i="7"/>
  <c r="BT144" i="7"/>
  <c r="CO143" i="7"/>
  <c r="EO143" i="7"/>
  <c r="BN142" i="7"/>
  <c r="CH143" i="7"/>
  <c r="DC142" i="7"/>
  <c r="H138" i="7"/>
  <c r="G138" i="7"/>
  <c r="CD144" i="7"/>
  <c r="CY143" i="7"/>
  <c r="DI140" i="7"/>
  <c r="BP140" i="7" s="1"/>
  <c r="CM144" i="7"/>
  <c r="DH143" i="7"/>
  <c r="CC145" i="7"/>
  <c r="CX144" i="7"/>
  <c r="E131" i="32"/>
  <c r="BC141" i="7"/>
  <c r="DR141" i="7" s="1"/>
  <c r="AY141" i="7"/>
  <c r="DN141" i="7" s="1"/>
  <c r="AU141" i="7"/>
  <c r="DJ141" i="7" s="1"/>
  <c r="BB141" i="7"/>
  <c r="DQ141" i="7" s="1"/>
  <c r="AX141" i="7"/>
  <c r="DM141" i="7" s="1"/>
  <c r="AT141" i="7"/>
  <c r="BA141" i="7"/>
  <c r="DP141" i="7" s="1"/>
  <c r="AW141" i="7"/>
  <c r="DL141" i="7" s="1"/>
  <c r="AZ141" i="7"/>
  <c r="DO141" i="7" s="1"/>
  <c r="AV141" i="7"/>
  <c r="DK141" i="7" s="1"/>
  <c r="AG141" i="7"/>
  <c r="AF141" i="7"/>
  <c r="AI141" i="7" s="1"/>
  <c r="AH141" i="7"/>
  <c r="EB142" i="7"/>
  <c r="DW142" i="7"/>
  <c r="EA142" i="7"/>
  <c r="DV142" i="7"/>
  <c r="BS143" i="7"/>
  <c r="EF142" i="7"/>
  <c r="DZ142" i="7"/>
  <c r="CN142" i="7"/>
  <c r="BO141" i="7" s="1"/>
  <c r="EC142" i="7"/>
  <c r="DX142" i="7"/>
  <c r="M142" i="7"/>
  <c r="M131" i="32" l="1"/>
  <c r="K131" i="32"/>
  <c r="L131" i="32"/>
  <c r="DM142" i="7"/>
  <c r="E132" i="32"/>
  <c r="BB142" i="7"/>
  <c r="DQ142" i="7" s="1"/>
  <c r="AX142" i="7"/>
  <c r="AT142" i="7"/>
  <c r="BA142" i="7"/>
  <c r="DP142" i="7" s="1"/>
  <c r="AW142" i="7"/>
  <c r="DL142" i="7" s="1"/>
  <c r="AZ142" i="7"/>
  <c r="DO142" i="7" s="1"/>
  <c r="AV142" i="7"/>
  <c r="DK142" i="7" s="1"/>
  <c r="BC142" i="7"/>
  <c r="DR142" i="7" s="1"/>
  <c r="AY142" i="7"/>
  <c r="DN142" i="7" s="1"/>
  <c r="AU142" i="7"/>
  <c r="DJ142" i="7" s="1"/>
  <c r="AG142" i="7"/>
  <c r="AF142" i="7"/>
  <c r="AI142" i="7" s="1"/>
  <c r="AH142" i="7"/>
  <c r="CM145" i="7"/>
  <c r="DH144" i="7"/>
  <c r="CD145" i="7"/>
  <c r="CY144" i="7"/>
  <c r="CH144" i="7"/>
  <c r="DC143" i="7"/>
  <c r="BN143" i="7"/>
  <c r="EO144" i="7"/>
  <c r="BT145" i="7"/>
  <c r="CO144" i="7"/>
  <c r="F131" i="32"/>
  <c r="AP142" i="7"/>
  <c r="AR142" i="7"/>
  <c r="BI142" i="7" s="1"/>
  <c r="AQ142" i="7"/>
  <c r="D132" i="32"/>
  <c r="N143" i="7"/>
  <c r="DG145" i="7"/>
  <c r="EM145" i="7"/>
  <c r="CL146" i="7"/>
  <c r="BV145" i="7"/>
  <c r="CQ144" i="7"/>
  <c r="CB145" i="7"/>
  <c r="CW144" i="7"/>
  <c r="P143" i="7"/>
  <c r="BW145" i="7"/>
  <c r="CR144" i="7"/>
  <c r="G131" i="32"/>
  <c r="P131" i="32" s="1"/>
  <c r="Q131" i="32" s="1"/>
  <c r="BH142" i="7"/>
  <c r="CJ145" i="7"/>
  <c r="DE144" i="7"/>
  <c r="CA145" i="7"/>
  <c r="CV144" i="7"/>
  <c r="BG142" i="7"/>
  <c r="BQ140" i="7"/>
  <c r="EA143" i="7"/>
  <c r="DV143" i="7"/>
  <c r="BS144" i="7"/>
  <c r="EF143" i="7"/>
  <c r="DZ143" i="7"/>
  <c r="CN143" i="7"/>
  <c r="EC143" i="7"/>
  <c r="DX143" i="7"/>
  <c r="EB143" i="7"/>
  <c r="DW143" i="7"/>
  <c r="M143" i="7"/>
  <c r="BF141" i="7"/>
  <c r="BE141" i="7"/>
  <c r="BD141" i="7"/>
  <c r="CC146" i="7"/>
  <c r="CX145" i="7"/>
  <c r="DI141" i="7"/>
  <c r="DI142" i="7" s="1"/>
  <c r="BK133" i="7"/>
  <c r="D133" i="7"/>
  <c r="AK134" i="7"/>
  <c r="BZ145" i="7"/>
  <c r="CU144" i="7"/>
  <c r="EN144" i="7"/>
  <c r="E133" i="7"/>
  <c r="BL133" i="7"/>
  <c r="AL134" i="7"/>
  <c r="CG145" i="7"/>
  <c r="DB144" i="7"/>
  <c r="AO144" i="7"/>
  <c r="BJ133" i="7"/>
  <c r="BM133" i="7" s="1"/>
  <c r="B133" i="7" s="1"/>
  <c r="C133" i="7"/>
  <c r="F133" i="7" s="1"/>
  <c r="AJ134" i="7"/>
  <c r="BU146" i="7"/>
  <c r="CP145" i="7"/>
  <c r="CK146" i="7"/>
  <c r="DF145" i="7"/>
  <c r="CI145" i="7"/>
  <c r="DD144" i="7"/>
  <c r="DS144" i="7"/>
  <c r="BY146" i="7"/>
  <c r="CT145" i="7"/>
  <c r="CF144" i="7"/>
  <c r="DA143" i="7"/>
  <c r="AN143" i="7"/>
  <c r="CE144" i="7"/>
  <c r="CZ143" i="7"/>
  <c r="AM143" i="7"/>
  <c r="BX145" i="7"/>
  <c r="CS144" i="7"/>
  <c r="K132" i="32" l="1"/>
  <c r="L132" i="32"/>
  <c r="M132" i="32"/>
  <c r="BX146" i="7"/>
  <c r="CS145" i="7"/>
  <c r="DS145" i="7"/>
  <c r="CI146" i="7"/>
  <c r="DD145" i="7"/>
  <c r="BU147" i="7"/>
  <c r="CP146" i="7"/>
  <c r="BZ146" i="7"/>
  <c r="CU145" i="7"/>
  <c r="EN145" i="7"/>
  <c r="CA146" i="7"/>
  <c r="CV145" i="7"/>
  <c r="D133" i="32"/>
  <c r="N144" i="7"/>
  <c r="BP142" i="7"/>
  <c r="BY147" i="7"/>
  <c r="CT146" i="7"/>
  <c r="BJ134" i="7"/>
  <c r="BM134" i="7" s="1"/>
  <c r="B134" i="7" s="1"/>
  <c r="C134" i="7"/>
  <c r="F134" i="7" s="1"/>
  <c r="AJ135" i="7"/>
  <c r="D134" i="7"/>
  <c r="BK134" i="7"/>
  <c r="AK135" i="7"/>
  <c r="G140" i="7"/>
  <c r="H140" i="7"/>
  <c r="BV146" i="7"/>
  <c r="CQ145" i="7"/>
  <c r="F132" i="32"/>
  <c r="AR143" i="7"/>
  <c r="BI143" i="7" s="1"/>
  <c r="AQ143" i="7"/>
  <c r="BH143" i="7" s="1"/>
  <c r="AP143" i="7"/>
  <c r="CD146" i="7"/>
  <c r="CY145" i="7"/>
  <c r="BG143" i="7"/>
  <c r="P144" i="7"/>
  <c r="CK147" i="7"/>
  <c r="DF146" i="7"/>
  <c r="CG146" i="7"/>
  <c r="DB145" i="7"/>
  <c r="AO145" i="7"/>
  <c r="CC147" i="7"/>
  <c r="CX146" i="7"/>
  <c r="E133" i="32"/>
  <c r="BA143" i="7"/>
  <c r="DP143" i="7" s="1"/>
  <c r="AW143" i="7"/>
  <c r="DL143" i="7" s="1"/>
  <c r="AZ143" i="7"/>
  <c r="DO143" i="7" s="1"/>
  <c r="AV143" i="7"/>
  <c r="DK143" i="7" s="1"/>
  <c r="BC143" i="7"/>
  <c r="DR143" i="7" s="1"/>
  <c r="AY143" i="7"/>
  <c r="DN143" i="7" s="1"/>
  <c r="AU143" i="7"/>
  <c r="DJ143" i="7" s="1"/>
  <c r="BB143" i="7"/>
  <c r="DQ143" i="7" s="1"/>
  <c r="AX143" i="7"/>
  <c r="DM143" i="7" s="1"/>
  <c r="AT143" i="7"/>
  <c r="DI143" i="7" s="1"/>
  <c r="AG143" i="7"/>
  <c r="AH143" i="7"/>
  <c r="AF143" i="7"/>
  <c r="AI143" i="7" s="1"/>
  <c r="BS145" i="7"/>
  <c r="EF144" i="7"/>
  <c r="DZ144" i="7"/>
  <c r="CN144" i="7"/>
  <c r="EC144" i="7"/>
  <c r="DX144" i="7"/>
  <c r="EB144" i="7"/>
  <c r="DW144" i="7"/>
  <c r="EA144" i="7"/>
  <c r="DV144" i="7"/>
  <c r="M144" i="7"/>
  <c r="CJ146" i="7"/>
  <c r="DE145" i="7"/>
  <c r="BW146" i="7"/>
  <c r="CR145" i="7"/>
  <c r="CB146" i="7"/>
  <c r="CW145" i="7"/>
  <c r="EM146" i="7"/>
  <c r="DG146" i="7"/>
  <c r="CL147" i="7"/>
  <c r="G132" i="32"/>
  <c r="P132" i="32" s="1"/>
  <c r="Q132" i="32" s="1"/>
  <c r="BF142" i="7"/>
  <c r="BE142" i="7"/>
  <c r="BD142" i="7"/>
  <c r="CE145" i="7"/>
  <c r="CZ144" i="7"/>
  <c r="AM144" i="7"/>
  <c r="AN144" i="7"/>
  <c r="CF145" i="7"/>
  <c r="DA144" i="7"/>
  <c r="E134" i="7"/>
  <c r="BL134" i="7"/>
  <c r="AL135" i="7"/>
  <c r="BO142" i="7"/>
  <c r="BQ142" i="7" s="1"/>
  <c r="EO145" i="7"/>
  <c r="BT146" i="7"/>
  <c r="CO145" i="7"/>
  <c r="CH145" i="7"/>
  <c r="DC144" i="7"/>
  <c r="BN144" i="7"/>
  <c r="CM146" i="7"/>
  <c r="DH145" i="7"/>
  <c r="BP141" i="7"/>
  <c r="BQ141" i="7" s="1"/>
  <c r="L133" i="32" l="1"/>
  <c r="BP143" i="7"/>
  <c r="M133" i="32"/>
  <c r="K133" i="32"/>
  <c r="CM147" i="7"/>
  <c r="DH146" i="7"/>
  <c r="CF146" i="7"/>
  <c r="DA145" i="7"/>
  <c r="AN145" i="7"/>
  <c r="AM145" i="7"/>
  <c r="CE146" i="7"/>
  <c r="CZ145" i="7"/>
  <c r="BT147" i="7"/>
  <c r="CO146" i="7"/>
  <c r="EO146" i="7"/>
  <c r="EM147" i="7"/>
  <c r="DG147" i="7"/>
  <c r="CL148" i="7"/>
  <c r="CB147" i="7"/>
  <c r="CW146" i="7"/>
  <c r="CJ147" i="7"/>
  <c r="DE146" i="7"/>
  <c r="BO143" i="7"/>
  <c r="BQ143" i="7" s="1"/>
  <c r="CK148" i="7"/>
  <c r="DF147" i="7"/>
  <c r="F133" i="32"/>
  <c r="AR144" i="7"/>
  <c r="BI144" i="7" s="1"/>
  <c r="AQ144" i="7"/>
  <c r="BH144" i="7" s="1"/>
  <c r="AP144" i="7"/>
  <c r="CI147" i="7"/>
  <c r="DD146" i="7"/>
  <c r="DS146" i="7"/>
  <c r="H141" i="7"/>
  <c r="G141" i="7"/>
  <c r="E134" i="32"/>
  <c r="AZ144" i="7"/>
  <c r="DO144" i="7" s="1"/>
  <c r="AV144" i="7"/>
  <c r="DK144" i="7" s="1"/>
  <c r="BC144" i="7"/>
  <c r="DR144" i="7" s="1"/>
  <c r="AY144" i="7"/>
  <c r="DN144" i="7" s="1"/>
  <c r="AU144" i="7"/>
  <c r="DJ144" i="7" s="1"/>
  <c r="BB144" i="7"/>
  <c r="DQ144" i="7" s="1"/>
  <c r="AX144" i="7"/>
  <c r="DM144" i="7" s="1"/>
  <c r="AT144" i="7"/>
  <c r="BA144" i="7"/>
  <c r="DP144" i="7" s="1"/>
  <c r="AW144" i="7"/>
  <c r="DL144" i="7" s="1"/>
  <c r="AG144" i="7"/>
  <c r="AF144" i="7"/>
  <c r="AI144" i="7" s="1"/>
  <c r="AH144" i="7"/>
  <c r="D134" i="32"/>
  <c r="N145" i="7"/>
  <c r="CD147" i="7"/>
  <c r="CY146" i="7"/>
  <c r="C135" i="7"/>
  <c r="F135" i="7" s="1"/>
  <c r="BJ135" i="7"/>
  <c r="BM135" i="7" s="1"/>
  <c r="B135" i="7" s="1"/>
  <c r="AJ136" i="7"/>
  <c r="BY148" i="7"/>
  <c r="CT147" i="7"/>
  <c r="G133" i="32"/>
  <c r="P133" i="32" s="1"/>
  <c r="Q133" i="32" s="1"/>
  <c r="P145" i="7"/>
  <c r="BG144" i="7"/>
  <c r="CH146" i="7"/>
  <c r="DC145" i="7"/>
  <c r="BN145" i="7"/>
  <c r="H142" i="7"/>
  <c r="G142" i="7"/>
  <c r="BW147" i="7"/>
  <c r="CR146" i="7"/>
  <c r="CG147" i="7"/>
  <c r="DB146" i="7"/>
  <c r="AO146" i="7"/>
  <c r="D135" i="7"/>
  <c r="BK135" i="7"/>
  <c r="AK136" i="7"/>
  <c r="BU148" i="7"/>
  <c r="CP147" i="7"/>
  <c r="BL135" i="7"/>
  <c r="E135" i="7"/>
  <c r="AL136" i="7"/>
  <c r="EC145" i="7"/>
  <c r="DX145" i="7"/>
  <c r="EB145" i="7"/>
  <c r="DW145" i="7"/>
  <c r="EA145" i="7"/>
  <c r="DV145" i="7"/>
  <c r="BS146" i="7"/>
  <c r="EF145" i="7"/>
  <c r="DZ145" i="7"/>
  <c r="CN145" i="7"/>
  <c r="M145" i="7"/>
  <c r="BE143" i="7"/>
  <c r="BD143" i="7"/>
  <c r="BF143" i="7"/>
  <c r="CC148" i="7"/>
  <c r="CX147" i="7"/>
  <c r="BV147" i="7"/>
  <c r="CQ146" i="7"/>
  <c r="CA147" i="7"/>
  <c r="CV146" i="7"/>
  <c r="EN146" i="7"/>
  <c r="BZ147" i="7"/>
  <c r="CU146" i="7"/>
  <c r="BX147" i="7"/>
  <c r="CS146" i="7"/>
  <c r="L134" i="32" l="1"/>
  <c r="M134" i="32"/>
  <c r="K134" i="32"/>
  <c r="BV148" i="7"/>
  <c r="CQ147" i="7"/>
  <c r="D135" i="32"/>
  <c r="N146" i="7"/>
  <c r="BY149" i="7"/>
  <c r="CT148" i="7"/>
  <c r="P146" i="7"/>
  <c r="BT148" i="7"/>
  <c r="CO147" i="7"/>
  <c r="EO147" i="7"/>
  <c r="BL136" i="7"/>
  <c r="E136" i="7"/>
  <c r="AL137" i="7"/>
  <c r="BU149" i="7"/>
  <c r="CP148" i="7"/>
  <c r="BW148" i="7"/>
  <c r="CR147" i="7"/>
  <c r="C136" i="7"/>
  <c r="F136" i="7" s="1"/>
  <c r="BJ136" i="7"/>
  <c r="BM136" i="7" s="1"/>
  <c r="B136" i="7" s="1"/>
  <c r="AJ137" i="7"/>
  <c r="CD148" i="7"/>
  <c r="CY147" i="7"/>
  <c r="BD144" i="7"/>
  <c r="BF144" i="7"/>
  <c r="BE144" i="7"/>
  <c r="H143" i="7"/>
  <c r="G143" i="7"/>
  <c r="CB148" i="7"/>
  <c r="CW147" i="7"/>
  <c r="CM148" i="7"/>
  <c r="DH147" i="7"/>
  <c r="CA148" i="7"/>
  <c r="CV147" i="7"/>
  <c r="CC149" i="7"/>
  <c r="CX148" i="7"/>
  <c r="F134" i="32"/>
  <c r="AQ145" i="7"/>
  <c r="BH145" i="7" s="1"/>
  <c r="AP145" i="7"/>
  <c r="BG145" i="7" s="1"/>
  <c r="AR145" i="7"/>
  <c r="BI145" i="7" s="1"/>
  <c r="CI148" i="7"/>
  <c r="DD147" i="7"/>
  <c r="DS147" i="7"/>
  <c r="DG148" i="7"/>
  <c r="EM148" i="7"/>
  <c r="CL149" i="7"/>
  <c r="BX148" i="7"/>
  <c r="CS147" i="7"/>
  <c r="E135" i="32"/>
  <c r="BC145" i="7"/>
  <c r="DR145" i="7" s="1"/>
  <c r="AY145" i="7"/>
  <c r="DN145" i="7" s="1"/>
  <c r="AU145" i="7"/>
  <c r="DJ145" i="7" s="1"/>
  <c r="BB145" i="7"/>
  <c r="DQ145" i="7" s="1"/>
  <c r="AX145" i="7"/>
  <c r="DM145" i="7" s="1"/>
  <c r="AT145" i="7"/>
  <c r="BA145" i="7"/>
  <c r="DP145" i="7" s="1"/>
  <c r="AW145" i="7"/>
  <c r="DL145" i="7" s="1"/>
  <c r="AZ145" i="7"/>
  <c r="DO145" i="7" s="1"/>
  <c r="AV145" i="7"/>
  <c r="DK145" i="7" s="1"/>
  <c r="AG145" i="7"/>
  <c r="AH145" i="7"/>
  <c r="AF145" i="7"/>
  <c r="AI145" i="7" s="1"/>
  <c r="EB146" i="7"/>
  <c r="DW146" i="7"/>
  <c r="EA146" i="7"/>
  <c r="DV146" i="7"/>
  <c r="BS147" i="7"/>
  <c r="EF146" i="7"/>
  <c r="DZ146" i="7"/>
  <c r="CN146" i="7"/>
  <c r="EC146" i="7"/>
  <c r="DX146" i="7"/>
  <c r="M146" i="7"/>
  <c r="BK136" i="7"/>
  <c r="D136" i="7"/>
  <c r="AK137" i="7"/>
  <c r="BN146" i="7"/>
  <c r="CH147" i="7"/>
  <c r="DC146" i="7"/>
  <c r="BZ148" i="7"/>
  <c r="CU147" i="7"/>
  <c r="EN147" i="7"/>
  <c r="BO144" i="7"/>
  <c r="AO147" i="7"/>
  <c r="CG148" i="7"/>
  <c r="DB147" i="7"/>
  <c r="G134" i="32"/>
  <c r="P134" i="32" s="1"/>
  <c r="Q134" i="32" s="1"/>
  <c r="CK149" i="7"/>
  <c r="DF148" i="7"/>
  <c r="CJ148" i="7"/>
  <c r="DE147" i="7"/>
  <c r="CE147" i="7"/>
  <c r="CZ146" i="7"/>
  <c r="AM146" i="7"/>
  <c r="CF147" i="7"/>
  <c r="DA146" i="7"/>
  <c r="AN146" i="7"/>
  <c r="DI144" i="7"/>
  <c r="DI145" i="7" s="1"/>
  <c r="M135" i="32" l="1"/>
  <c r="BP145" i="7"/>
  <c r="K135" i="32"/>
  <c r="L135" i="32"/>
  <c r="CJ149" i="7"/>
  <c r="DE148" i="7"/>
  <c r="CH148" i="7"/>
  <c r="DC147" i="7"/>
  <c r="BN147" i="7"/>
  <c r="CE148" i="7"/>
  <c r="CZ147" i="7"/>
  <c r="AM147" i="7"/>
  <c r="CK150" i="7"/>
  <c r="DF149" i="7"/>
  <c r="BZ149" i="7"/>
  <c r="CU148" i="7"/>
  <c r="EN148" i="7"/>
  <c r="BK137" i="7"/>
  <c r="D137" i="7"/>
  <c r="AK138" i="7"/>
  <c r="CC150" i="7"/>
  <c r="CX149" i="7"/>
  <c r="CM149" i="7"/>
  <c r="DH148" i="7"/>
  <c r="EA147" i="7"/>
  <c r="DV147" i="7"/>
  <c r="BS148" i="7"/>
  <c r="EF147" i="7"/>
  <c r="DZ147" i="7"/>
  <c r="CN147" i="7"/>
  <c r="EC147" i="7"/>
  <c r="DX147" i="7"/>
  <c r="EB147" i="7"/>
  <c r="DW147" i="7"/>
  <c r="M147" i="7"/>
  <c r="BF145" i="7"/>
  <c r="BE145" i="7"/>
  <c r="BD145" i="7"/>
  <c r="BX149" i="7"/>
  <c r="CS148" i="7"/>
  <c r="P147" i="7"/>
  <c r="EO148" i="7"/>
  <c r="BT149" i="7"/>
  <c r="CO148" i="7"/>
  <c r="BY150" i="7"/>
  <c r="CT149" i="7"/>
  <c r="BO145" i="7"/>
  <c r="BQ145" i="7" s="1"/>
  <c r="DG149" i="7"/>
  <c r="EM149" i="7"/>
  <c r="CL150" i="7"/>
  <c r="CA149" i="7"/>
  <c r="CV148" i="7"/>
  <c r="CD149" i="7"/>
  <c r="CY148" i="7"/>
  <c r="BU150" i="7"/>
  <c r="CP149" i="7"/>
  <c r="F135" i="32"/>
  <c r="AP146" i="7"/>
  <c r="BG146" i="7" s="1"/>
  <c r="AR146" i="7"/>
  <c r="BI146" i="7" s="1"/>
  <c r="AQ146" i="7"/>
  <c r="BV149" i="7"/>
  <c r="CQ148" i="7"/>
  <c r="BP144" i="7"/>
  <c r="BQ144" i="7" s="1"/>
  <c r="CF148" i="7"/>
  <c r="DA147" i="7"/>
  <c r="AN147" i="7"/>
  <c r="BH146" i="7"/>
  <c r="CG149" i="7"/>
  <c r="DB148" i="7"/>
  <c r="AO148" i="7"/>
  <c r="E136" i="32"/>
  <c r="BB146" i="7"/>
  <c r="DQ146" i="7" s="1"/>
  <c r="AX146" i="7"/>
  <c r="DM146" i="7" s="1"/>
  <c r="AT146" i="7"/>
  <c r="BA146" i="7"/>
  <c r="DP146" i="7" s="1"/>
  <c r="AW146" i="7"/>
  <c r="DL146" i="7" s="1"/>
  <c r="AZ146" i="7"/>
  <c r="DO146" i="7" s="1"/>
  <c r="AV146" i="7"/>
  <c r="DK146" i="7" s="1"/>
  <c r="BC146" i="7"/>
  <c r="DR146" i="7" s="1"/>
  <c r="AY146" i="7"/>
  <c r="DN146" i="7" s="1"/>
  <c r="AU146" i="7"/>
  <c r="DJ146" i="7" s="1"/>
  <c r="AF146" i="7"/>
  <c r="AI146" i="7" s="1"/>
  <c r="AH146" i="7"/>
  <c r="AG146" i="7"/>
  <c r="CI149" i="7"/>
  <c r="DD148" i="7"/>
  <c r="DS148" i="7"/>
  <c r="CB149" i="7"/>
  <c r="CW148" i="7"/>
  <c r="BJ137" i="7"/>
  <c r="BM137" i="7" s="1"/>
  <c r="B137" i="7" s="1"/>
  <c r="C137" i="7"/>
  <c r="F137" i="7" s="1"/>
  <c r="AJ138" i="7"/>
  <c r="BW149" i="7"/>
  <c r="CR148" i="7"/>
  <c r="E137" i="7"/>
  <c r="BL137" i="7"/>
  <c r="AL138" i="7"/>
  <c r="D136" i="32"/>
  <c r="N147" i="7"/>
  <c r="G135" i="32"/>
  <c r="P135" i="32" s="1"/>
  <c r="Q135" i="32" s="1"/>
  <c r="M136" i="32" l="1"/>
  <c r="G144" i="7"/>
  <c r="H144" i="7"/>
  <c r="L136" i="32"/>
  <c r="K136" i="32"/>
  <c r="BF146" i="7"/>
  <c r="BE146" i="7"/>
  <c r="BD146" i="7"/>
  <c r="EM150" i="7"/>
  <c r="DG150" i="7"/>
  <c r="CL151" i="7"/>
  <c r="D137" i="32"/>
  <c r="N148" i="7"/>
  <c r="CC151" i="7"/>
  <c r="CX150" i="7"/>
  <c r="CE149" i="7"/>
  <c r="CZ148" i="7"/>
  <c r="AM148" i="7"/>
  <c r="E138" i="7"/>
  <c r="BL138" i="7"/>
  <c r="AL139" i="7"/>
  <c r="BW150" i="7"/>
  <c r="CR149" i="7"/>
  <c r="DS149" i="7"/>
  <c r="CI150" i="7"/>
  <c r="DD149" i="7"/>
  <c r="CD150" i="7"/>
  <c r="CY149" i="7"/>
  <c r="EO149" i="7"/>
  <c r="BT150" i="7"/>
  <c r="CO149" i="7"/>
  <c r="D138" i="7"/>
  <c r="BK138" i="7"/>
  <c r="AK139" i="7"/>
  <c r="CK151" i="7"/>
  <c r="DF150" i="7"/>
  <c r="CJ150" i="7"/>
  <c r="DE149" i="7"/>
  <c r="BJ138" i="7"/>
  <c r="BM138" i="7" s="1"/>
  <c r="B138" i="7" s="1"/>
  <c r="C138" i="7"/>
  <c r="F138" i="7" s="1"/>
  <c r="AJ139" i="7"/>
  <c r="BV150" i="7"/>
  <c r="CQ149" i="7"/>
  <c r="BX150" i="7"/>
  <c r="CS149" i="7"/>
  <c r="E137" i="32"/>
  <c r="BA147" i="7"/>
  <c r="DP147" i="7" s="1"/>
  <c r="AW147" i="7"/>
  <c r="DL147" i="7" s="1"/>
  <c r="AZ147" i="7"/>
  <c r="DO147" i="7" s="1"/>
  <c r="AV147" i="7"/>
  <c r="DK147" i="7" s="1"/>
  <c r="BC147" i="7"/>
  <c r="DR147" i="7" s="1"/>
  <c r="AY147" i="7"/>
  <c r="DN147" i="7" s="1"/>
  <c r="AU147" i="7"/>
  <c r="DJ147" i="7" s="1"/>
  <c r="BB147" i="7"/>
  <c r="DQ147" i="7" s="1"/>
  <c r="AX147" i="7"/>
  <c r="DM147" i="7" s="1"/>
  <c r="AT147" i="7"/>
  <c r="AH147" i="7"/>
  <c r="AG147" i="7"/>
  <c r="AF147" i="7"/>
  <c r="AI147" i="7" s="1"/>
  <c r="BS149" i="7"/>
  <c r="EF148" i="7"/>
  <c r="DZ148" i="7"/>
  <c r="CN148" i="7"/>
  <c r="EC148" i="7"/>
  <c r="DX148" i="7"/>
  <c r="EB148" i="7"/>
  <c r="DW148" i="7"/>
  <c r="EA148" i="7"/>
  <c r="DV148" i="7"/>
  <c r="M148" i="7"/>
  <c r="CM150" i="7"/>
  <c r="DH149" i="7"/>
  <c r="BZ150" i="7"/>
  <c r="CU149" i="7"/>
  <c r="EN149" i="7"/>
  <c r="DI146" i="7"/>
  <c r="DI147" i="7" s="1"/>
  <c r="CB150" i="7"/>
  <c r="CW149" i="7"/>
  <c r="F136" i="32"/>
  <c r="G136" i="32" s="1"/>
  <c r="P136" i="32" s="1"/>
  <c r="Q136" i="32" s="1"/>
  <c r="AR147" i="7"/>
  <c r="BI147" i="7" s="1"/>
  <c r="AQ147" i="7"/>
  <c r="BH147" i="7" s="1"/>
  <c r="AP147" i="7"/>
  <c r="BG147" i="7" s="1"/>
  <c r="P148" i="7"/>
  <c r="CG150" i="7"/>
  <c r="DB149" i="7"/>
  <c r="AO149" i="7"/>
  <c r="AN148" i="7"/>
  <c r="CF149" i="7"/>
  <c r="DA148" i="7"/>
  <c r="BU151" i="7"/>
  <c r="CP150" i="7"/>
  <c r="CA150" i="7"/>
  <c r="CV149" i="7"/>
  <c r="H145" i="7"/>
  <c r="G145" i="7"/>
  <c r="BY151" i="7"/>
  <c r="CT150" i="7"/>
  <c r="BO146" i="7"/>
  <c r="CH149" i="7"/>
  <c r="DC148" i="7"/>
  <c r="BN148" i="7"/>
  <c r="L137" i="32" l="1"/>
  <c r="M137" i="32"/>
  <c r="K137" i="32"/>
  <c r="BP147" i="7"/>
  <c r="CB151" i="7"/>
  <c r="CW150" i="7"/>
  <c r="BV151" i="7"/>
  <c r="CQ150" i="7"/>
  <c r="CK152" i="7"/>
  <c r="DF151" i="7"/>
  <c r="CD151" i="7"/>
  <c r="CY150" i="7"/>
  <c r="CI151" i="7"/>
  <c r="DD150" i="7"/>
  <c r="DS150" i="7"/>
  <c r="BL139" i="7"/>
  <c r="E139" i="7"/>
  <c r="AL140" i="7"/>
  <c r="F137" i="32"/>
  <c r="AR148" i="7"/>
  <c r="BI148" i="7" s="1"/>
  <c r="AQ148" i="7"/>
  <c r="AP148" i="7"/>
  <c r="BY152" i="7"/>
  <c r="CT151" i="7"/>
  <c r="CA151" i="7"/>
  <c r="CV150" i="7"/>
  <c r="CF150" i="7"/>
  <c r="DA149" i="7"/>
  <c r="AN149" i="7"/>
  <c r="CG151" i="7"/>
  <c r="DB150" i="7"/>
  <c r="AO150" i="7"/>
  <c r="EN150" i="7"/>
  <c r="BZ151" i="7"/>
  <c r="CU150" i="7"/>
  <c r="C139" i="7"/>
  <c r="F139" i="7" s="1"/>
  <c r="BJ139" i="7"/>
  <c r="BM139" i="7" s="1"/>
  <c r="B139" i="7" s="1"/>
  <c r="AJ140" i="7"/>
  <c r="CJ151" i="7"/>
  <c r="DE150" i="7"/>
  <c r="D139" i="7"/>
  <c r="BK139" i="7"/>
  <c r="AK140" i="7"/>
  <c r="BT151" i="7"/>
  <c r="CO150" i="7"/>
  <c r="EO150" i="7"/>
  <c r="P149" i="7"/>
  <c r="AM149" i="7"/>
  <c r="CE150" i="7"/>
  <c r="CZ149" i="7"/>
  <c r="G137" i="32"/>
  <c r="P137" i="32" s="1"/>
  <c r="Q137" i="32" s="1"/>
  <c r="BP146" i="7"/>
  <c r="BQ146" i="7"/>
  <c r="AZ148" i="7"/>
  <c r="DO148" i="7" s="1"/>
  <c r="AV148" i="7"/>
  <c r="DK148" i="7" s="1"/>
  <c r="BC148" i="7"/>
  <c r="DR148" i="7" s="1"/>
  <c r="AY148" i="7"/>
  <c r="DN148" i="7" s="1"/>
  <c r="AU148" i="7"/>
  <c r="DJ148" i="7" s="1"/>
  <c r="BB148" i="7"/>
  <c r="DQ148" i="7" s="1"/>
  <c r="AX148" i="7"/>
  <c r="DM148" i="7" s="1"/>
  <c r="AT148" i="7"/>
  <c r="BA148" i="7"/>
  <c r="DP148" i="7" s="1"/>
  <c r="AW148" i="7"/>
  <c r="DL148" i="7" s="1"/>
  <c r="AG148" i="7"/>
  <c r="AF148" i="7"/>
  <c r="AI148" i="7" s="1"/>
  <c r="AH148" i="7"/>
  <c r="CH150" i="7"/>
  <c r="DC149" i="7"/>
  <c r="BN149" i="7"/>
  <c r="BH148" i="7"/>
  <c r="N149" i="7"/>
  <c r="EC149" i="7"/>
  <c r="DX149" i="7"/>
  <c r="EB149" i="7"/>
  <c r="DW149" i="7"/>
  <c r="EA149" i="7"/>
  <c r="DV149" i="7"/>
  <c r="BS150" i="7"/>
  <c r="EF149" i="7"/>
  <c r="DZ149" i="7"/>
  <c r="CN149" i="7"/>
  <c r="BO148" i="7" s="1"/>
  <c r="M149" i="7"/>
  <c r="BE147" i="7"/>
  <c r="BD147" i="7"/>
  <c r="BF147" i="7"/>
  <c r="BX151" i="7"/>
  <c r="CS150" i="7"/>
  <c r="EM151" i="7"/>
  <c r="DG151" i="7"/>
  <c r="CL152" i="7"/>
  <c r="BU152" i="7"/>
  <c r="CP151" i="7"/>
  <c r="CM151" i="7"/>
  <c r="DH150" i="7"/>
  <c r="BO147" i="7"/>
  <c r="BQ147" i="7" s="1"/>
  <c r="BW151" i="7"/>
  <c r="CR150" i="7"/>
  <c r="BG148" i="7"/>
  <c r="CC152" i="7"/>
  <c r="CX151" i="7"/>
  <c r="BD148" i="7" l="1"/>
  <c r="BF148" i="7"/>
  <c r="BE148" i="7"/>
  <c r="H146" i="7"/>
  <c r="G146" i="7"/>
  <c r="CE151" i="7"/>
  <c r="CZ150" i="7"/>
  <c r="AM150" i="7"/>
  <c r="C140" i="7"/>
  <c r="F140" i="7" s="1"/>
  <c r="BJ140" i="7"/>
  <c r="BM140" i="7" s="1"/>
  <c r="B140" i="7" s="1"/>
  <c r="AJ141" i="7"/>
  <c r="BZ152" i="7"/>
  <c r="CU151" i="7"/>
  <c r="EN151" i="7"/>
  <c r="CF151" i="7"/>
  <c r="DA150" i="7"/>
  <c r="AN150" i="7"/>
  <c r="BY153" i="7"/>
  <c r="CT152" i="7"/>
  <c r="P150" i="7"/>
  <c r="CD152" i="7"/>
  <c r="CY151" i="7"/>
  <c r="BV152" i="7"/>
  <c r="CQ151" i="7"/>
  <c r="BW152" i="7"/>
  <c r="CR151" i="7"/>
  <c r="BG149" i="7"/>
  <c r="AO151" i="7"/>
  <c r="CG152" i="7"/>
  <c r="DB151" i="7"/>
  <c r="BL140" i="7"/>
  <c r="E140" i="7"/>
  <c r="AL141" i="7"/>
  <c r="CC153" i="7"/>
  <c r="CX152" i="7"/>
  <c r="AQ149" i="7"/>
  <c r="AP149" i="7"/>
  <c r="AR149" i="7"/>
  <c r="BI149" i="7" s="1"/>
  <c r="BN150" i="7"/>
  <c r="CH151" i="7"/>
  <c r="DC150" i="7"/>
  <c r="N150" i="7"/>
  <c r="BT152" i="7"/>
  <c r="CO151" i="7"/>
  <c r="EO151" i="7"/>
  <c r="DI148" i="7"/>
  <c r="BP148" i="7" s="1"/>
  <c r="BQ148" i="7" s="1"/>
  <c r="BH149" i="7"/>
  <c r="CA152" i="7"/>
  <c r="CV151" i="7"/>
  <c r="CI152" i="7"/>
  <c r="DD151" i="7"/>
  <c r="DS151" i="7"/>
  <c r="CK153" i="7"/>
  <c r="DF152" i="7"/>
  <c r="CB152" i="7"/>
  <c r="CW151" i="7"/>
  <c r="H147" i="7"/>
  <c r="G147" i="7"/>
  <c r="BU153" i="7"/>
  <c r="CP152" i="7"/>
  <c r="CM152" i="7"/>
  <c r="DH151" i="7"/>
  <c r="DG152" i="7"/>
  <c r="EM152" i="7"/>
  <c r="CL153" i="7"/>
  <c r="BX152" i="7"/>
  <c r="CS151" i="7"/>
  <c r="BC149" i="7"/>
  <c r="DR149" i="7" s="1"/>
  <c r="AY149" i="7"/>
  <c r="DN149" i="7" s="1"/>
  <c r="AU149" i="7"/>
  <c r="DJ149" i="7" s="1"/>
  <c r="BB149" i="7"/>
  <c r="DQ149" i="7" s="1"/>
  <c r="AX149" i="7"/>
  <c r="DM149" i="7" s="1"/>
  <c r="AT149" i="7"/>
  <c r="BA149" i="7"/>
  <c r="DP149" i="7" s="1"/>
  <c r="AW149" i="7"/>
  <c r="DL149" i="7" s="1"/>
  <c r="AZ149" i="7"/>
  <c r="DO149" i="7" s="1"/>
  <c r="AV149" i="7"/>
  <c r="DK149" i="7" s="1"/>
  <c r="AH149" i="7"/>
  <c r="AG149" i="7"/>
  <c r="AF149" i="7"/>
  <c r="AI149" i="7" s="1"/>
  <c r="EB150" i="7"/>
  <c r="DW150" i="7"/>
  <c r="EA150" i="7"/>
  <c r="DV150" i="7"/>
  <c r="BS151" i="7"/>
  <c r="EF150" i="7"/>
  <c r="DZ150" i="7"/>
  <c r="CN150" i="7"/>
  <c r="BO149" i="7" s="1"/>
  <c r="EC150" i="7"/>
  <c r="DX150" i="7"/>
  <c r="M150" i="7"/>
  <c r="BK140" i="7"/>
  <c r="D140" i="7"/>
  <c r="AK141" i="7"/>
  <c r="CJ152" i="7"/>
  <c r="DE151" i="7"/>
  <c r="G148" i="7" l="1"/>
  <c r="H148" i="7"/>
  <c r="P151" i="7"/>
  <c r="CA153" i="7"/>
  <c r="CV152" i="7"/>
  <c r="CH152" i="7"/>
  <c r="DC151" i="7"/>
  <c r="BN151" i="7"/>
  <c r="BV153" i="7"/>
  <c r="CQ152" i="7"/>
  <c r="N151" i="7"/>
  <c r="BZ153" i="7"/>
  <c r="CU152" i="7"/>
  <c r="EN152" i="7"/>
  <c r="CJ153" i="7"/>
  <c r="DE152" i="7"/>
  <c r="EO152" i="7"/>
  <c r="BT153" i="7"/>
  <c r="CO152" i="7"/>
  <c r="CC154" i="7"/>
  <c r="CX153" i="7"/>
  <c r="CF152" i="7"/>
  <c r="DA151" i="7"/>
  <c r="AN151" i="7"/>
  <c r="BJ141" i="7"/>
  <c r="BM141" i="7" s="1"/>
  <c r="B141" i="7" s="1"/>
  <c r="C141" i="7"/>
  <c r="F141" i="7" s="1"/>
  <c r="AJ142" i="7"/>
  <c r="BB150" i="7"/>
  <c r="DQ150" i="7" s="1"/>
  <c r="AX150" i="7"/>
  <c r="DM150" i="7" s="1"/>
  <c r="AT150" i="7"/>
  <c r="BA150" i="7"/>
  <c r="DP150" i="7" s="1"/>
  <c r="AW150" i="7"/>
  <c r="DL150" i="7" s="1"/>
  <c r="AZ150" i="7"/>
  <c r="DO150" i="7" s="1"/>
  <c r="AV150" i="7"/>
  <c r="DK150" i="7" s="1"/>
  <c r="BC150" i="7"/>
  <c r="DR150" i="7" s="1"/>
  <c r="AY150" i="7"/>
  <c r="DN150" i="7" s="1"/>
  <c r="AU150" i="7"/>
  <c r="DJ150" i="7" s="1"/>
  <c r="AF150" i="7"/>
  <c r="AI150" i="7" s="1"/>
  <c r="AG150" i="7"/>
  <c r="AH150" i="7"/>
  <c r="BU154" i="7"/>
  <c r="CP153" i="7"/>
  <c r="CB153" i="7"/>
  <c r="CW152" i="7"/>
  <c r="BK141" i="7"/>
  <c r="D141" i="7"/>
  <c r="AK142" i="7"/>
  <c r="BX153" i="7"/>
  <c r="CS152" i="7"/>
  <c r="CI153" i="7"/>
  <c r="DD152" i="7"/>
  <c r="DS152" i="7"/>
  <c r="DI149" i="7"/>
  <c r="DI150" i="7" s="1"/>
  <c r="AP150" i="7"/>
  <c r="BG150" i="7" s="1"/>
  <c r="AR150" i="7"/>
  <c r="BI150" i="7" s="1"/>
  <c r="AQ150" i="7"/>
  <c r="E141" i="7"/>
  <c r="BL141" i="7"/>
  <c r="AL142" i="7"/>
  <c r="CG153" i="7"/>
  <c r="DB152" i="7"/>
  <c r="AO152" i="7"/>
  <c r="BW153" i="7"/>
  <c r="CR152" i="7"/>
  <c r="CD153" i="7"/>
  <c r="CY152" i="7"/>
  <c r="BY154" i="7"/>
  <c r="CT153" i="7"/>
  <c r="CE152" i="7"/>
  <c r="CZ151" i="7"/>
  <c r="AM151" i="7"/>
  <c r="EA151" i="7"/>
  <c r="DV151" i="7"/>
  <c r="BS152" i="7"/>
  <c r="EF151" i="7"/>
  <c r="DZ151" i="7"/>
  <c r="CN151" i="7"/>
  <c r="EC151" i="7"/>
  <c r="DX151" i="7"/>
  <c r="EB151" i="7"/>
  <c r="DW151" i="7"/>
  <c r="M151" i="7"/>
  <c r="BF149" i="7"/>
  <c r="BE149" i="7"/>
  <c r="BD149" i="7"/>
  <c r="DG153" i="7"/>
  <c r="EM153" i="7"/>
  <c r="CL154" i="7"/>
  <c r="CM153" i="7"/>
  <c r="DH152" i="7"/>
  <c r="CK154" i="7"/>
  <c r="DF153" i="7"/>
  <c r="BH150" i="7"/>
  <c r="BP150" i="7" l="1"/>
  <c r="EM154" i="7"/>
  <c r="DG154" i="7"/>
  <c r="CL155" i="7"/>
  <c r="CK155" i="7"/>
  <c r="DF154" i="7"/>
  <c r="BY155" i="7"/>
  <c r="CT154" i="7"/>
  <c r="BW154" i="7"/>
  <c r="CR153" i="7"/>
  <c r="E142" i="7"/>
  <c r="BL142" i="7"/>
  <c r="AL143" i="7"/>
  <c r="DS153" i="7"/>
  <c r="CI154" i="7"/>
  <c r="DD153" i="7"/>
  <c r="BF150" i="7"/>
  <c r="BE150" i="7"/>
  <c r="BD150" i="7"/>
  <c r="AN152" i="7"/>
  <c r="CF153" i="7"/>
  <c r="DA152" i="7"/>
  <c r="CJ154" i="7"/>
  <c r="DE153" i="7"/>
  <c r="BZ154" i="7"/>
  <c r="CU153" i="7"/>
  <c r="EN153" i="7"/>
  <c r="CA154" i="7"/>
  <c r="CV153" i="7"/>
  <c r="BP149" i="7"/>
  <c r="BQ149" i="7" s="1"/>
  <c r="BA151" i="7"/>
  <c r="DP151" i="7" s="1"/>
  <c r="AW151" i="7"/>
  <c r="DL151" i="7" s="1"/>
  <c r="AZ151" i="7"/>
  <c r="DO151" i="7" s="1"/>
  <c r="AV151" i="7"/>
  <c r="DK151" i="7" s="1"/>
  <c r="BC151" i="7"/>
  <c r="DR151" i="7" s="1"/>
  <c r="AY151" i="7"/>
  <c r="DN151" i="7" s="1"/>
  <c r="AU151" i="7"/>
  <c r="DJ151" i="7" s="1"/>
  <c r="BB151" i="7"/>
  <c r="DQ151" i="7" s="1"/>
  <c r="AX151" i="7"/>
  <c r="DM151" i="7" s="1"/>
  <c r="AT151" i="7"/>
  <c r="AG151" i="7"/>
  <c r="AH151" i="7"/>
  <c r="AF151" i="7"/>
  <c r="AI151" i="7" s="1"/>
  <c r="BS153" i="7"/>
  <c r="EF152" i="7"/>
  <c r="DZ152" i="7"/>
  <c r="CN152" i="7"/>
  <c r="EC152" i="7"/>
  <c r="DX152" i="7"/>
  <c r="EB152" i="7"/>
  <c r="DW152" i="7"/>
  <c r="EA152" i="7"/>
  <c r="DV152" i="7"/>
  <c r="M152" i="7"/>
  <c r="DI151" i="7"/>
  <c r="BU155" i="7"/>
  <c r="CP154" i="7"/>
  <c r="EO153" i="7"/>
  <c r="BT154" i="7"/>
  <c r="CO153" i="7"/>
  <c r="AR151" i="7"/>
  <c r="BI151" i="7" s="1"/>
  <c r="AQ151" i="7"/>
  <c r="BH151" i="7" s="1"/>
  <c r="AP151" i="7"/>
  <c r="BG151" i="7" s="1"/>
  <c r="CM154" i="7"/>
  <c r="DH153" i="7"/>
  <c r="BO150" i="7"/>
  <c r="BQ150" i="7" s="1"/>
  <c r="CE153" i="7"/>
  <c r="CZ152" i="7"/>
  <c r="AM152" i="7"/>
  <c r="CD154" i="7"/>
  <c r="CY153" i="7"/>
  <c r="P152" i="7"/>
  <c r="N153" i="7" s="1"/>
  <c r="BX154" i="7"/>
  <c r="CS153" i="7"/>
  <c r="CC155" i="7"/>
  <c r="CX154" i="7"/>
  <c r="CH153" i="7"/>
  <c r="DC152" i="7"/>
  <c r="BN152" i="7"/>
  <c r="N152" i="7"/>
  <c r="CG154" i="7"/>
  <c r="DB153" i="7"/>
  <c r="AO153" i="7"/>
  <c r="D142" i="7"/>
  <c r="BK142" i="7"/>
  <c r="AK143" i="7"/>
  <c r="CB154" i="7"/>
  <c r="CW153" i="7"/>
  <c r="BJ142" i="7"/>
  <c r="BM142" i="7" s="1"/>
  <c r="B142" i="7" s="1"/>
  <c r="C142" i="7"/>
  <c r="F142" i="7" s="1"/>
  <c r="AJ143" i="7"/>
  <c r="BV154" i="7"/>
  <c r="CQ153" i="7"/>
  <c r="BP151" i="7" l="1"/>
  <c r="CB155" i="7"/>
  <c r="CW154" i="7"/>
  <c r="CC156" i="7"/>
  <c r="CX155" i="7"/>
  <c r="AQ153" i="7"/>
  <c r="AP153" i="7"/>
  <c r="AR153" i="7"/>
  <c r="BU156" i="7"/>
  <c r="CP155" i="7"/>
  <c r="P153" i="7"/>
  <c r="CM155" i="7"/>
  <c r="DH154" i="7"/>
  <c r="BT155" i="7"/>
  <c r="CO154" i="7"/>
  <c r="EO154" i="7"/>
  <c r="EC153" i="7"/>
  <c r="DX153" i="7"/>
  <c r="EB153" i="7"/>
  <c r="DW153" i="7"/>
  <c r="EA153" i="7"/>
  <c r="DV153" i="7"/>
  <c r="BS154" i="7"/>
  <c r="EF153" i="7"/>
  <c r="DZ153" i="7"/>
  <c r="CN153" i="7"/>
  <c r="M153" i="7"/>
  <c r="BE151" i="7"/>
  <c r="BD151" i="7"/>
  <c r="BF151" i="7"/>
  <c r="CA155" i="7"/>
  <c r="CV154" i="7"/>
  <c r="EN154" i="7"/>
  <c r="BZ155" i="7"/>
  <c r="CU154" i="7"/>
  <c r="CF154" i="7"/>
  <c r="DA153" i="7"/>
  <c r="AN153" i="7"/>
  <c r="BH153" i="7" s="1"/>
  <c r="BL143" i="7"/>
  <c r="E143" i="7"/>
  <c r="AL144" i="7"/>
  <c r="BW155" i="7"/>
  <c r="CR154" i="7"/>
  <c r="BI153" i="7"/>
  <c r="D143" i="7"/>
  <c r="BK143" i="7"/>
  <c r="AK144" i="7"/>
  <c r="CH154" i="7"/>
  <c r="DC153" i="7"/>
  <c r="BN153" i="7"/>
  <c r="AM153" i="7"/>
  <c r="BG153" i="7" s="1"/>
  <c r="CE154" i="7"/>
  <c r="CZ153" i="7"/>
  <c r="BO151" i="7"/>
  <c r="BQ151" i="7" s="1"/>
  <c r="CK156" i="7"/>
  <c r="DF155" i="7"/>
  <c r="C143" i="7"/>
  <c r="F143" i="7" s="1"/>
  <c r="BJ143" i="7"/>
  <c r="BM143" i="7" s="1"/>
  <c r="B143" i="7" s="1"/>
  <c r="AJ144" i="7"/>
  <c r="CG155" i="7"/>
  <c r="DB154" i="7"/>
  <c r="AO154" i="7"/>
  <c r="BV155" i="7"/>
  <c r="CQ154" i="7"/>
  <c r="AR152" i="7"/>
  <c r="BI152" i="7" s="1"/>
  <c r="AQ152" i="7"/>
  <c r="BH152" i="7" s="1"/>
  <c r="AP152" i="7"/>
  <c r="BG152" i="7" s="1"/>
  <c r="BX155" i="7"/>
  <c r="CS154" i="7"/>
  <c r="CD155" i="7"/>
  <c r="CY154" i="7"/>
  <c r="H150" i="7"/>
  <c r="G150" i="7"/>
  <c r="AZ152" i="7"/>
  <c r="DO152" i="7" s="1"/>
  <c r="AV152" i="7"/>
  <c r="DK152" i="7" s="1"/>
  <c r="BC152" i="7"/>
  <c r="DR152" i="7" s="1"/>
  <c r="AY152" i="7"/>
  <c r="DN152" i="7" s="1"/>
  <c r="AU152" i="7"/>
  <c r="DJ152" i="7" s="1"/>
  <c r="BB152" i="7"/>
  <c r="DQ152" i="7" s="1"/>
  <c r="AX152" i="7"/>
  <c r="DM152" i="7" s="1"/>
  <c r="AT152" i="7"/>
  <c r="BA152" i="7"/>
  <c r="DP152" i="7" s="1"/>
  <c r="AW152" i="7"/>
  <c r="DL152" i="7" s="1"/>
  <c r="AF152" i="7"/>
  <c r="AI152" i="7" s="1"/>
  <c r="AH152" i="7"/>
  <c r="AG152" i="7"/>
  <c r="H149" i="7"/>
  <c r="G149" i="7"/>
  <c r="CJ155" i="7"/>
  <c r="DE154" i="7"/>
  <c r="CI155" i="7"/>
  <c r="DD154" i="7"/>
  <c r="DS154" i="7"/>
  <c r="BY156" i="7"/>
  <c r="CT155" i="7"/>
  <c r="EM155" i="7"/>
  <c r="DG155" i="7"/>
  <c r="CL156" i="7"/>
  <c r="BY157" i="7" l="1"/>
  <c r="CT156" i="7"/>
  <c r="CJ156" i="7"/>
  <c r="DE155" i="7"/>
  <c r="BD152" i="7"/>
  <c r="BF152" i="7"/>
  <c r="BE152" i="7"/>
  <c r="BX156" i="7"/>
  <c r="CS155" i="7"/>
  <c r="BV156" i="7"/>
  <c r="CQ155" i="7"/>
  <c r="C144" i="7"/>
  <c r="F144" i="7" s="1"/>
  <c r="BJ144" i="7"/>
  <c r="BM144" i="7" s="1"/>
  <c r="B144" i="7" s="1"/>
  <c r="AJ145" i="7"/>
  <c r="CK157" i="7"/>
  <c r="DF156" i="7"/>
  <c r="CE155" i="7"/>
  <c r="CZ154" i="7"/>
  <c r="AM154" i="7"/>
  <c r="BN154" i="7"/>
  <c r="CH155" i="7"/>
  <c r="DC154" i="7"/>
  <c r="CF155" i="7"/>
  <c r="DA154" i="7"/>
  <c r="AN154" i="7"/>
  <c r="DI152" i="7"/>
  <c r="P154" i="7"/>
  <c r="CI156" i="7"/>
  <c r="DD155" i="7"/>
  <c r="DS155" i="7"/>
  <c r="BK144" i="7"/>
  <c r="D144" i="7"/>
  <c r="AK145" i="7"/>
  <c r="CA156" i="7"/>
  <c r="CV155" i="7"/>
  <c r="BC153" i="7"/>
  <c r="DR153" i="7" s="1"/>
  <c r="AY153" i="7"/>
  <c r="DN153" i="7" s="1"/>
  <c r="AU153" i="7"/>
  <c r="DJ153" i="7" s="1"/>
  <c r="BB153" i="7"/>
  <c r="DQ153" i="7" s="1"/>
  <c r="AX153" i="7"/>
  <c r="DM153" i="7" s="1"/>
  <c r="AT153" i="7"/>
  <c r="BA153" i="7"/>
  <c r="DP153" i="7" s="1"/>
  <c r="AW153" i="7"/>
  <c r="DL153" i="7" s="1"/>
  <c r="AZ153" i="7"/>
  <c r="DO153" i="7" s="1"/>
  <c r="AV153" i="7"/>
  <c r="DK153" i="7" s="1"/>
  <c r="AH153" i="7"/>
  <c r="AF153" i="7"/>
  <c r="AI153" i="7" s="1"/>
  <c r="AG153" i="7"/>
  <c r="EB154" i="7"/>
  <c r="DW154" i="7"/>
  <c r="EA154" i="7"/>
  <c r="DV154" i="7"/>
  <c r="BS155" i="7"/>
  <c r="EF154" i="7"/>
  <c r="DZ154" i="7"/>
  <c r="CN154" i="7"/>
  <c r="BO153" i="7" s="1"/>
  <c r="EC154" i="7"/>
  <c r="DX154" i="7"/>
  <c r="M154" i="7"/>
  <c r="CM156" i="7"/>
  <c r="DH155" i="7"/>
  <c r="BU157" i="7"/>
  <c r="CP156" i="7"/>
  <c r="CB156" i="7"/>
  <c r="CW155" i="7"/>
  <c r="CD156" i="7"/>
  <c r="CY155" i="7"/>
  <c r="H151" i="7"/>
  <c r="G151" i="7"/>
  <c r="BW156" i="7"/>
  <c r="CR155" i="7"/>
  <c r="BZ156" i="7"/>
  <c r="CU155" i="7"/>
  <c r="EN155" i="7"/>
  <c r="BO152" i="7"/>
  <c r="N154" i="7"/>
  <c r="CC157" i="7"/>
  <c r="CX156" i="7"/>
  <c r="DG156" i="7"/>
  <c r="EM156" i="7"/>
  <c r="CL157" i="7"/>
  <c r="AO155" i="7"/>
  <c r="CG156" i="7"/>
  <c r="DB155" i="7"/>
  <c r="BL144" i="7"/>
  <c r="E144" i="7"/>
  <c r="AL145" i="7"/>
  <c r="BT156" i="7"/>
  <c r="CO155" i="7"/>
  <c r="EO155" i="7"/>
  <c r="EO156" i="7" l="1"/>
  <c r="BT157" i="7"/>
  <c r="CO156" i="7"/>
  <c r="AP154" i="7"/>
  <c r="AR154" i="7"/>
  <c r="BI154" i="7" s="1"/>
  <c r="AQ154" i="7"/>
  <c r="BZ157" i="7"/>
  <c r="CU156" i="7"/>
  <c r="EN156" i="7"/>
  <c r="EA155" i="7"/>
  <c r="DV155" i="7"/>
  <c r="BS156" i="7"/>
  <c r="EF155" i="7"/>
  <c r="DZ155" i="7"/>
  <c r="CN155" i="7"/>
  <c r="EC155" i="7"/>
  <c r="DX155" i="7"/>
  <c r="EB155" i="7"/>
  <c r="DW155" i="7"/>
  <c r="M155" i="7"/>
  <c r="BF153" i="7"/>
  <c r="BE153" i="7"/>
  <c r="BD153" i="7"/>
  <c r="BK145" i="7"/>
  <c r="D145" i="7"/>
  <c r="AK146" i="7"/>
  <c r="P155" i="7"/>
  <c r="N156" i="7" s="1"/>
  <c r="N155" i="7"/>
  <c r="CF156" i="7"/>
  <c r="DA155" i="7"/>
  <c r="AN155" i="7"/>
  <c r="BG154" i="7"/>
  <c r="CK158" i="7"/>
  <c r="DF157" i="7"/>
  <c r="CJ157" i="7"/>
  <c r="DE156" i="7"/>
  <c r="CB157" i="7"/>
  <c r="CW156" i="7"/>
  <c r="CM157" i="7"/>
  <c r="DH156" i="7"/>
  <c r="DI153" i="7"/>
  <c r="BP153" i="7" s="1"/>
  <c r="BQ153" i="7" s="1"/>
  <c r="BJ145" i="7"/>
  <c r="BM145" i="7" s="1"/>
  <c r="B145" i="7" s="1"/>
  <c r="C145" i="7"/>
  <c r="F145" i="7" s="1"/>
  <c r="AJ146" i="7"/>
  <c r="BV157" i="7"/>
  <c r="CQ156" i="7"/>
  <c r="E145" i="7"/>
  <c r="BL145" i="7"/>
  <c r="AL146" i="7"/>
  <c r="BW157" i="7"/>
  <c r="CR156" i="7"/>
  <c r="BB154" i="7"/>
  <c r="DQ154" i="7" s="1"/>
  <c r="AX154" i="7"/>
  <c r="DM154" i="7" s="1"/>
  <c r="AT154" i="7"/>
  <c r="BA154" i="7"/>
  <c r="DP154" i="7" s="1"/>
  <c r="AW154" i="7"/>
  <c r="DL154" i="7" s="1"/>
  <c r="AZ154" i="7"/>
  <c r="DO154" i="7" s="1"/>
  <c r="AV154" i="7"/>
  <c r="DK154" i="7" s="1"/>
  <c r="BC154" i="7"/>
  <c r="DR154" i="7" s="1"/>
  <c r="AY154" i="7"/>
  <c r="DN154" i="7" s="1"/>
  <c r="AU154" i="7"/>
  <c r="DJ154" i="7" s="1"/>
  <c r="AH154" i="7"/>
  <c r="AG154" i="7"/>
  <c r="AF154" i="7"/>
  <c r="AI154" i="7" s="1"/>
  <c r="CI157" i="7"/>
  <c r="DD156" i="7"/>
  <c r="DS156" i="7"/>
  <c r="BH154" i="7"/>
  <c r="CH156" i="7"/>
  <c r="DC155" i="7"/>
  <c r="BN155" i="7"/>
  <c r="CE156" i="7"/>
  <c r="CZ155" i="7"/>
  <c r="AM155" i="7"/>
  <c r="BY158" i="7"/>
  <c r="CT157" i="7"/>
  <c r="BP152" i="7"/>
  <c r="BQ152" i="7" s="1"/>
  <c r="CG157" i="7"/>
  <c r="DB156" i="7"/>
  <c r="AO156" i="7"/>
  <c r="DG157" i="7"/>
  <c r="EM157" i="7"/>
  <c r="CL158" i="7"/>
  <c r="CC158" i="7"/>
  <c r="CX157" i="7"/>
  <c r="CD157" i="7"/>
  <c r="CY156" i="7"/>
  <c r="BU158" i="7"/>
  <c r="CP157" i="7"/>
  <c r="CA157" i="7"/>
  <c r="CV156" i="7"/>
  <c r="BX157" i="7"/>
  <c r="CS156" i="7"/>
  <c r="G152" i="7" l="1"/>
  <c r="H152" i="7"/>
  <c r="H153" i="7"/>
  <c r="G153" i="7"/>
  <c r="BY159" i="7"/>
  <c r="CT158" i="7"/>
  <c r="P156" i="7"/>
  <c r="BJ146" i="7"/>
  <c r="BM146" i="7" s="1"/>
  <c r="B146" i="7" s="1"/>
  <c r="C146" i="7"/>
  <c r="F146" i="7" s="1"/>
  <c r="AJ147" i="7"/>
  <c r="CK159" i="7"/>
  <c r="DF158" i="7"/>
  <c r="AN156" i="7"/>
  <c r="CF157" i="7"/>
  <c r="DA156" i="7"/>
  <c r="D146" i="7"/>
  <c r="BK146" i="7"/>
  <c r="AK147" i="7"/>
  <c r="BF154" i="7"/>
  <c r="BE154" i="7"/>
  <c r="BD154" i="7"/>
  <c r="BW158" i="7"/>
  <c r="CR157" i="7"/>
  <c r="CM158" i="7"/>
  <c r="DH157" i="7"/>
  <c r="AR155" i="7"/>
  <c r="BI155" i="7" s="1"/>
  <c r="AQ155" i="7"/>
  <c r="BH155" i="7" s="1"/>
  <c r="AP155" i="7"/>
  <c r="BX158" i="7"/>
  <c r="CS157" i="7"/>
  <c r="CH157" i="7"/>
  <c r="DC156" i="7"/>
  <c r="BN156" i="7"/>
  <c r="DS157" i="7"/>
  <c r="CI158" i="7"/>
  <c r="DD157" i="7"/>
  <c r="CJ158" i="7"/>
  <c r="DE157" i="7"/>
  <c r="BA155" i="7"/>
  <c r="DP155" i="7" s="1"/>
  <c r="AW155" i="7"/>
  <c r="DL155" i="7" s="1"/>
  <c r="AZ155" i="7"/>
  <c r="DO155" i="7" s="1"/>
  <c r="AV155" i="7"/>
  <c r="DK155" i="7" s="1"/>
  <c r="BC155" i="7"/>
  <c r="DR155" i="7" s="1"/>
  <c r="AY155" i="7"/>
  <c r="DN155" i="7" s="1"/>
  <c r="AU155" i="7"/>
  <c r="DJ155" i="7" s="1"/>
  <c r="BB155" i="7"/>
  <c r="DQ155" i="7" s="1"/>
  <c r="AX155" i="7"/>
  <c r="DM155" i="7" s="1"/>
  <c r="AT155" i="7"/>
  <c r="AH155" i="7"/>
  <c r="AF155" i="7"/>
  <c r="AI155" i="7" s="1"/>
  <c r="AG155" i="7"/>
  <c r="BS157" i="7"/>
  <c r="EF156" i="7"/>
  <c r="DZ156" i="7"/>
  <c r="CN156" i="7"/>
  <c r="BO155" i="7" s="1"/>
  <c r="EC156" i="7"/>
  <c r="DX156" i="7"/>
  <c r="EB156" i="7"/>
  <c r="DW156" i="7"/>
  <c r="EA156" i="7"/>
  <c r="DV156" i="7"/>
  <c r="M156" i="7"/>
  <c r="EM158" i="7"/>
  <c r="DG158" i="7"/>
  <c r="CL159" i="7"/>
  <c r="CA158" i="7"/>
  <c r="CV157" i="7"/>
  <c r="CD158" i="7"/>
  <c r="CY157" i="7"/>
  <c r="CG158" i="7"/>
  <c r="DB157" i="7"/>
  <c r="AO157" i="7"/>
  <c r="BG155" i="7"/>
  <c r="BU159" i="7"/>
  <c r="CP158" i="7"/>
  <c r="CC159" i="7"/>
  <c r="CX158" i="7"/>
  <c r="CE157" i="7"/>
  <c r="CZ156" i="7"/>
  <c r="AM156" i="7"/>
  <c r="E146" i="7"/>
  <c r="BL146" i="7"/>
  <c r="AL147" i="7"/>
  <c r="BV158" i="7"/>
  <c r="CQ157" i="7"/>
  <c r="DI154" i="7"/>
  <c r="DI155" i="7" s="1"/>
  <c r="CB158" i="7"/>
  <c r="CW157" i="7"/>
  <c r="AR156" i="7"/>
  <c r="BI156" i="7" s="1"/>
  <c r="AQ156" i="7"/>
  <c r="AP156" i="7"/>
  <c r="BO154" i="7"/>
  <c r="BZ158" i="7"/>
  <c r="CU157" i="7"/>
  <c r="EN157" i="7"/>
  <c r="EO157" i="7"/>
  <c r="BT158" i="7"/>
  <c r="CO157" i="7"/>
  <c r="BP155" i="7" l="1"/>
  <c r="BQ155" i="7" s="1"/>
  <c r="CB159" i="7"/>
  <c r="CW158" i="7"/>
  <c r="BL147" i="7"/>
  <c r="E147" i="7"/>
  <c r="AL148" i="7"/>
  <c r="CC160" i="7"/>
  <c r="CX159" i="7"/>
  <c r="CD159" i="7"/>
  <c r="CY158" i="7"/>
  <c r="EC157" i="7"/>
  <c r="DX157" i="7"/>
  <c r="EB157" i="7"/>
  <c r="DW157" i="7"/>
  <c r="EA157" i="7"/>
  <c r="DV157" i="7"/>
  <c r="BS158" i="7"/>
  <c r="EF157" i="7"/>
  <c r="DZ157" i="7"/>
  <c r="CN157" i="7"/>
  <c r="M157" i="7"/>
  <c r="BE155" i="7"/>
  <c r="BD155" i="7"/>
  <c r="BF155" i="7"/>
  <c r="CJ159" i="7"/>
  <c r="DE158" i="7"/>
  <c r="BX159" i="7"/>
  <c r="CS158" i="7"/>
  <c r="CM159" i="7"/>
  <c r="DH158" i="7"/>
  <c r="BP154" i="7"/>
  <c r="BQ154" i="7" s="1"/>
  <c r="CK160" i="7"/>
  <c r="DF159" i="7"/>
  <c r="N157" i="7"/>
  <c r="BY160" i="7"/>
  <c r="CT159" i="7"/>
  <c r="AM157" i="7"/>
  <c r="CE158" i="7"/>
  <c r="CZ157" i="7"/>
  <c r="BU160" i="7"/>
  <c r="CP159" i="7"/>
  <c r="CG159" i="7"/>
  <c r="DB158" i="7"/>
  <c r="AO158" i="7"/>
  <c r="CA159" i="7"/>
  <c r="CV158" i="7"/>
  <c r="AZ156" i="7"/>
  <c r="DO156" i="7" s="1"/>
  <c r="AV156" i="7"/>
  <c r="DK156" i="7" s="1"/>
  <c r="BC156" i="7"/>
  <c r="DR156" i="7" s="1"/>
  <c r="AY156" i="7"/>
  <c r="DN156" i="7" s="1"/>
  <c r="AU156" i="7"/>
  <c r="DJ156" i="7" s="1"/>
  <c r="BB156" i="7"/>
  <c r="DQ156" i="7" s="1"/>
  <c r="AX156" i="7"/>
  <c r="DM156" i="7" s="1"/>
  <c r="AT156" i="7"/>
  <c r="BA156" i="7"/>
  <c r="DP156" i="7" s="1"/>
  <c r="AW156" i="7"/>
  <c r="DL156" i="7" s="1"/>
  <c r="AG156" i="7"/>
  <c r="AH156" i="7"/>
  <c r="AF156" i="7"/>
  <c r="AI156" i="7" s="1"/>
  <c r="CI159" i="7"/>
  <c r="DD158" i="7"/>
  <c r="DS158" i="7"/>
  <c r="CH158" i="7"/>
  <c r="DC157" i="7"/>
  <c r="BN157" i="7"/>
  <c r="BW159" i="7"/>
  <c r="CR158" i="7"/>
  <c r="D147" i="7"/>
  <c r="BK147" i="7"/>
  <c r="AK148" i="7"/>
  <c r="CF158" i="7"/>
  <c r="DA157" i="7"/>
  <c r="AN157" i="7"/>
  <c r="C147" i="7"/>
  <c r="F147" i="7" s="1"/>
  <c r="BJ147" i="7"/>
  <c r="BM147" i="7" s="1"/>
  <c r="B147" i="7" s="1"/>
  <c r="AJ148" i="7"/>
  <c r="DI156" i="7"/>
  <c r="BT159" i="7"/>
  <c r="CO158" i="7"/>
  <c r="EO158" i="7"/>
  <c r="EN158" i="7"/>
  <c r="BZ159" i="7"/>
  <c r="CU158" i="7"/>
  <c r="BV159" i="7"/>
  <c r="CQ158" i="7"/>
  <c r="BG156" i="7"/>
  <c r="EM159" i="7"/>
  <c r="DG159" i="7"/>
  <c r="CL160" i="7"/>
  <c r="P157" i="7"/>
  <c r="N158" i="7" s="1"/>
  <c r="BH156" i="7"/>
  <c r="H154" i="7" l="1"/>
  <c r="G154" i="7"/>
  <c r="BP156" i="7"/>
  <c r="H155" i="7"/>
  <c r="G155" i="7"/>
  <c r="BN158" i="7"/>
  <c r="CH159" i="7"/>
  <c r="DC158" i="7"/>
  <c r="BZ160" i="7"/>
  <c r="CU159" i="7"/>
  <c r="EN159" i="7"/>
  <c r="BT160" i="7"/>
  <c r="CO159" i="7"/>
  <c r="EO159" i="7"/>
  <c r="BK148" i="7"/>
  <c r="D148" i="7"/>
  <c r="AK149" i="7"/>
  <c r="BW160" i="7"/>
  <c r="CR159" i="7"/>
  <c r="P158" i="7"/>
  <c r="BD156" i="7"/>
  <c r="BF156" i="7"/>
  <c r="BE156" i="7"/>
  <c r="AO159" i="7"/>
  <c r="CG160" i="7"/>
  <c r="DB159" i="7"/>
  <c r="CE159" i="7"/>
  <c r="CZ158" i="7"/>
  <c r="AM158" i="7"/>
  <c r="AQ157" i="7"/>
  <c r="BH157" i="7" s="1"/>
  <c r="AP157" i="7"/>
  <c r="BG157" i="7" s="1"/>
  <c r="AR157" i="7"/>
  <c r="BI157" i="7" s="1"/>
  <c r="CA160" i="7"/>
  <c r="CV159" i="7"/>
  <c r="CM160" i="7"/>
  <c r="DH159" i="7"/>
  <c r="CC161" i="7"/>
  <c r="CX160" i="7"/>
  <c r="DG160" i="7"/>
  <c r="EM160" i="7"/>
  <c r="CL161" i="7"/>
  <c r="C148" i="7"/>
  <c r="F148" i="7" s="1"/>
  <c r="BJ148" i="7"/>
  <c r="BM148" i="7" s="1"/>
  <c r="B148" i="7" s="1"/>
  <c r="AJ149" i="7"/>
  <c r="CI160" i="7"/>
  <c r="DD159" i="7"/>
  <c r="DS159" i="7"/>
  <c r="BU161" i="7"/>
  <c r="CP160" i="7"/>
  <c r="CK161" i="7"/>
  <c r="DF160" i="7"/>
  <c r="CJ160" i="7"/>
  <c r="DE159" i="7"/>
  <c r="BC157" i="7"/>
  <c r="DR157" i="7" s="1"/>
  <c r="AY157" i="7"/>
  <c r="DN157" i="7" s="1"/>
  <c r="AU157" i="7"/>
  <c r="DJ157" i="7" s="1"/>
  <c r="BB157" i="7"/>
  <c r="DQ157" i="7" s="1"/>
  <c r="AX157" i="7"/>
  <c r="DM157" i="7" s="1"/>
  <c r="AT157" i="7"/>
  <c r="DI157" i="7" s="1"/>
  <c r="BA157" i="7"/>
  <c r="DP157" i="7" s="1"/>
  <c r="AW157" i="7"/>
  <c r="DL157" i="7" s="1"/>
  <c r="AZ157" i="7"/>
  <c r="DO157" i="7" s="1"/>
  <c r="AV157" i="7"/>
  <c r="DK157" i="7" s="1"/>
  <c r="AG157" i="7"/>
  <c r="AF157" i="7"/>
  <c r="AI157" i="7" s="1"/>
  <c r="AH157" i="7"/>
  <c r="EB158" i="7"/>
  <c r="DW158" i="7"/>
  <c r="EA158" i="7"/>
  <c r="DV158" i="7"/>
  <c r="BS159" i="7"/>
  <c r="EF158" i="7"/>
  <c r="DZ158" i="7"/>
  <c r="CN158" i="7"/>
  <c r="EC158" i="7"/>
  <c r="DX158" i="7"/>
  <c r="M158" i="7"/>
  <c r="CD160" i="7"/>
  <c r="CY159" i="7"/>
  <c r="BL148" i="7"/>
  <c r="E148" i="7"/>
  <c r="AL149" i="7"/>
  <c r="CB160" i="7"/>
  <c r="CW159" i="7"/>
  <c r="BV160" i="7"/>
  <c r="CQ159" i="7"/>
  <c r="AP158" i="7"/>
  <c r="AR158" i="7"/>
  <c r="BI158" i="7" s="1"/>
  <c r="AQ158" i="7"/>
  <c r="CF159" i="7"/>
  <c r="DA158" i="7"/>
  <c r="AN158" i="7"/>
  <c r="BH158" i="7" s="1"/>
  <c r="BY161" i="7"/>
  <c r="CT160" i="7"/>
  <c r="BX160" i="7"/>
  <c r="CS159" i="7"/>
  <c r="BO156" i="7"/>
  <c r="BQ156" i="7" s="1"/>
  <c r="BP157" i="7" l="1"/>
  <c r="BX161" i="7"/>
  <c r="CS160" i="7"/>
  <c r="E149" i="7"/>
  <c r="BL149" i="7"/>
  <c r="AL150" i="7"/>
  <c r="BO157" i="7"/>
  <c r="BQ157" i="7" s="1"/>
  <c r="CK162" i="7"/>
  <c r="DF161" i="7"/>
  <c r="P159" i="7"/>
  <c r="CM161" i="7"/>
  <c r="DH160" i="7"/>
  <c r="CH160" i="7"/>
  <c r="DC159" i="7"/>
  <c r="BN159" i="7"/>
  <c r="CD161" i="7"/>
  <c r="CY160" i="7"/>
  <c r="CF160" i="7"/>
  <c r="DA159" i="7"/>
  <c r="AN159" i="7"/>
  <c r="BB158" i="7"/>
  <c r="DQ158" i="7" s="1"/>
  <c r="AX158" i="7"/>
  <c r="DM158" i="7" s="1"/>
  <c r="AT158" i="7"/>
  <c r="BA158" i="7"/>
  <c r="DP158" i="7" s="1"/>
  <c r="AW158" i="7"/>
  <c r="DL158" i="7" s="1"/>
  <c r="AZ158" i="7"/>
  <c r="DO158" i="7" s="1"/>
  <c r="AV158" i="7"/>
  <c r="DK158" i="7" s="1"/>
  <c r="BC158" i="7"/>
  <c r="DR158" i="7" s="1"/>
  <c r="AY158" i="7"/>
  <c r="DN158" i="7" s="1"/>
  <c r="AU158" i="7"/>
  <c r="DJ158" i="7" s="1"/>
  <c r="AF158" i="7"/>
  <c r="AI158" i="7" s="1"/>
  <c r="AG158" i="7"/>
  <c r="AH158" i="7"/>
  <c r="BG158" i="7"/>
  <c r="CG161" i="7"/>
  <c r="DB160" i="7"/>
  <c r="AO160" i="7"/>
  <c r="BW161" i="7"/>
  <c r="CR160" i="7"/>
  <c r="BV161" i="7"/>
  <c r="CQ160" i="7"/>
  <c r="G156" i="7"/>
  <c r="H156" i="7"/>
  <c r="BY162" i="7"/>
  <c r="CT161" i="7"/>
  <c r="CJ161" i="7"/>
  <c r="DE160" i="7"/>
  <c r="BU162" i="7"/>
  <c r="CP161" i="7"/>
  <c r="CI161" i="7"/>
  <c r="DD160" i="7"/>
  <c r="DS160" i="7"/>
  <c r="DG161" i="7"/>
  <c r="EM161" i="7"/>
  <c r="CL162" i="7"/>
  <c r="CC162" i="7"/>
  <c r="CX161" i="7"/>
  <c r="BK149" i="7"/>
  <c r="D149" i="7"/>
  <c r="AK150" i="7"/>
  <c r="BZ161" i="7"/>
  <c r="CU160" i="7"/>
  <c r="EN160" i="7"/>
  <c r="CB161" i="7"/>
  <c r="CW160" i="7"/>
  <c r="EA159" i="7"/>
  <c r="DV159" i="7"/>
  <c r="BS160" i="7"/>
  <c r="EF159" i="7"/>
  <c r="DZ159" i="7"/>
  <c r="CN159" i="7"/>
  <c r="EC159" i="7"/>
  <c r="DX159" i="7"/>
  <c r="EB159" i="7"/>
  <c r="DW159" i="7"/>
  <c r="M159" i="7"/>
  <c r="BF157" i="7"/>
  <c r="BE157" i="7"/>
  <c r="BD157" i="7"/>
  <c r="BJ149" i="7"/>
  <c r="BM149" i="7" s="1"/>
  <c r="B149" i="7" s="1"/>
  <c r="C149" i="7"/>
  <c r="F149" i="7" s="1"/>
  <c r="AJ150" i="7"/>
  <c r="CA161" i="7"/>
  <c r="CV160" i="7"/>
  <c r="CE160" i="7"/>
  <c r="CZ159" i="7"/>
  <c r="AM159" i="7"/>
  <c r="N159" i="7"/>
  <c r="EO160" i="7"/>
  <c r="BT161" i="7"/>
  <c r="CO160" i="7"/>
  <c r="CE161" i="7" l="1"/>
  <c r="CZ160" i="7"/>
  <c r="AM160" i="7"/>
  <c r="BZ162" i="7"/>
  <c r="CU161" i="7"/>
  <c r="EN161" i="7"/>
  <c r="DS161" i="7"/>
  <c r="CI162" i="7"/>
  <c r="DD161" i="7"/>
  <c r="CJ162" i="7"/>
  <c r="DE161" i="7"/>
  <c r="CG162" i="7"/>
  <c r="DB161" i="7"/>
  <c r="AO161" i="7"/>
  <c r="BF158" i="7"/>
  <c r="BE158" i="7"/>
  <c r="BD158" i="7"/>
  <c r="CM162" i="7"/>
  <c r="DH161" i="7"/>
  <c r="CK163" i="7"/>
  <c r="DF162" i="7"/>
  <c r="EO161" i="7"/>
  <c r="BT162" i="7"/>
  <c r="CO161" i="7"/>
  <c r="AR159" i="7"/>
  <c r="BI159" i="7" s="1"/>
  <c r="AQ159" i="7"/>
  <c r="AP159" i="7"/>
  <c r="BS161" i="7"/>
  <c r="EF160" i="7"/>
  <c r="DZ160" i="7"/>
  <c r="CN160" i="7"/>
  <c r="EC160" i="7"/>
  <c r="DX160" i="7"/>
  <c r="EB160" i="7"/>
  <c r="DW160" i="7"/>
  <c r="EA160" i="7"/>
  <c r="DV160" i="7"/>
  <c r="M160" i="7"/>
  <c r="CB162" i="7"/>
  <c r="CW161" i="7"/>
  <c r="D150" i="7"/>
  <c r="BK150" i="7"/>
  <c r="AK151" i="7"/>
  <c r="BW162" i="7"/>
  <c r="CR161" i="7"/>
  <c r="AN160" i="7"/>
  <c r="CF161" i="7"/>
  <c r="DA160" i="7"/>
  <c r="H157" i="7"/>
  <c r="G157" i="7"/>
  <c r="DI158" i="7"/>
  <c r="BP158" i="7" s="1"/>
  <c r="BA159" i="7"/>
  <c r="DP159" i="7" s="1"/>
  <c r="AW159" i="7"/>
  <c r="DL159" i="7" s="1"/>
  <c r="AZ159" i="7"/>
  <c r="DO159" i="7" s="1"/>
  <c r="AV159" i="7"/>
  <c r="DK159" i="7" s="1"/>
  <c r="BC159" i="7"/>
  <c r="DR159" i="7" s="1"/>
  <c r="AY159" i="7"/>
  <c r="DN159" i="7" s="1"/>
  <c r="AU159" i="7"/>
  <c r="DJ159" i="7" s="1"/>
  <c r="BB159" i="7"/>
  <c r="DQ159" i="7" s="1"/>
  <c r="AX159" i="7"/>
  <c r="DM159" i="7" s="1"/>
  <c r="AT159" i="7"/>
  <c r="AG159" i="7"/>
  <c r="AF159" i="7"/>
  <c r="AI159" i="7" s="1"/>
  <c r="AH159" i="7"/>
  <c r="BG159" i="7"/>
  <c r="CA162" i="7"/>
  <c r="CV161" i="7"/>
  <c r="BO158" i="7"/>
  <c r="CC163" i="7"/>
  <c r="CX162" i="7"/>
  <c r="P160" i="7"/>
  <c r="N161" i="7" s="1"/>
  <c r="BU163" i="7"/>
  <c r="CP162" i="7"/>
  <c r="BY163" i="7"/>
  <c r="CT162" i="7"/>
  <c r="BV162" i="7"/>
  <c r="CQ161" i="7"/>
  <c r="CH161" i="7"/>
  <c r="DC160" i="7"/>
  <c r="BN160" i="7"/>
  <c r="N160" i="7"/>
  <c r="E150" i="7"/>
  <c r="BL150" i="7"/>
  <c r="AL151" i="7"/>
  <c r="BX162" i="7"/>
  <c r="CS161" i="7"/>
  <c r="BJ150" i="7"/>
  <c r="BM150" i="7" s="1"/>
  <c r="B150" i="7" s="1"/>
  <c r="C150" i="7"/>
  <c r="F150" i="7" s="1"/>
  <c r="AJ151" i="7"/>
  <c r="EM162" i="7"/>
  <c r="DG162" i="7"/>
  <c r="CL163" i="7"/>
  <c r="BH159" i="7"/>
  <c r="CD162" i="7"/>
  <c r="CY161" i="7"/>
  <c r="DJ160" i="7" l="1"/>
  <c r="EM163" i="7"/>
  <c r="DG163" i="7"/>
  <c r="CL164" i="7"/>
  <c r="CA163" i="7"/>
  <c r="CV162" i="7"/>
  <c r="AZ160" i="7"/>
  <c r="DO160" i="7" s="1"/>
  <c r="AV160" i="7"/>
  <c r="DK160" i="7" s="1"/>
  <c r="BC160" i="7"/>
  <c r="DR160" i="7" s="1"/>
  <c r="AY160" i="7"/>
  <c r="DN160" i="7" s="1"/>
  <c r="AU160" i="7"/>
  <c r="BB160" i="7"/>
  <c r="DQ160" i="7" s="1"/>
  <c r="AX160" i="7"/>
  <c r="DM160" i="7" s="1"/>
  <c r="AT160" i="7"/>
  <c r="BA160" i="7"/>
  <c r="DP160" i="7" s="1"/>
  <c r="AW160" i="7"/>
  <c r="DL160" i="7" s="1"/>
  <c r="AH160" i="7"/>
  <c r="AG160" i="7"/>
  <c r="AF160" i="7"/>
  <c r="AI160" i="7" s="1"/>
  <c r="CJ163" i="7"/>
  <c r="DE162" i="7"/>
  <c r="BL151" i="7"/>
  <c r="E151" i="7"/>
  <c r="AL152" i="7"/>
  <c r="BV163" i="7"/>
  <c r="CQ162" i="7"/>
  <c r="BU164" i="7"/>
  <c r="CP163" i="7"/>
  <c r="CC164" i="7"/>
  <c r="CX163" i="7"/>
  <c r="CK164" i="7"/>
  <c r="DF163" i="7"/>
  <c r="AM161" i="7"/>
  <c r="CE162" i="7"/>
  <c r="CZ161" i="7"/>
  <c r="BE159" i="7"/>
  <c r="BD159" i="7"/>
  <c r="BF159" i="7"/>
  <c r="CD163" i="7"/>
  <c r="CY162" i="7"/>
  <c r="CH162" i="7"/>
  <c r="DC161" i="7"/>
  <c r="BN161" i="7"/>
  <c r="AQ161" i="7"/>
  <c r="AP161" i="7"/>
  <c r="AR161" i="7"/>
  <c r="BI161" i="7" s="1"/>
  <c r="BQ158" i="7"/>
  <c r="BW163" i="7"/>
  <c r="CR162" i="7"/>
  <c r="EC161" i="7"/>
  <c r="DX161" i="7"/>
  <c r="EB161" i="7"/>
  <c r="DW161" i="7"/>
  <c r="EA161" i="7"/>
  <c r="DV161" i="7"/>
  <c r="BS162" i="7"/>
  <c r="EF161" i="7"/>
  <c r="DZ161" i="7"/>
  <c r="CN161" i="7"/>
  <c r="M161" i="7"/>
  <c r="BT163" i="7"/>
  <c r="CO162" i="7"/>
  <c r="EO162" i="7"/>
  <c r="CG163" i="7"/>
  <c r="DB162" i="7"/>
  <c r="AO162" i="7"/>
  <c r="CI163" i="7"/>
  <c r="DD162" i="7"/>
  <c r="DS162" i="7"/>
  <c r="EN162" i="7"/>
  <c r="BZ163" i="7"/>
  <c r="CU162" i="7"/>
  <c r="C151" i="7"/>
  <c r="F151" i="7" s="1"/>
  <c r="BJ151" i="7"/>
  <c r="BM151" i="7" s="1"/>
  <c r="B151" i="7" s="1"/>
  <c r="AJ152" i="7"/>
  <c r="BX163" i="7"/>
  <c r="CS162" i="7"/>
  <c r="AR160" i="7"/>
  <c r="BI160" i="7" s="1"/>
  <c r="AQ160" i="7"/>
  <c r="BH160" i="7" s="1"/>
  <c r="AP160" i="7"/>
  <c r="BY164" i="7"/>
  <c r="CT163" i="7"/>
  <c r="DI159" i="7"/>
  <c r="DI160" i="7" s="1"/>
  <c r="CF162" i="7"/>
  <c r="DA161" i="7"/>
  <c r="AN161" i="7"/>
  <c r="BH161" i="7" s="1"/>
  <c r="D151" i="7"/>
  <c r="BK151" i="7"/>
  <c r="AK152" i="7"/>
  <c r="CB163" i="7"/>
  <c r="CW162" i="7"/>
  <c r="BO159" i="7"/>
  <c r="CM163" i="7"/>
  <c r="DH162" i="7"/>
  <c r="P161" i="7"/>
  <c r="N162" i="7" s="1"/>
  <c r="BG160" i="7"/>
  <c r="BP160" i="7" l="1"/>
  <c r="P162" i="7"/>
  <c r="BT164" i="7"/>
  <c r="CO163" i="7"/>
  <c r="EO163" i="7"/>
  <c r="BL152" i="7"/>
  <c r="E152" i="7"/>
  <c r="AL153" i="7"/>
  <c r="CJ164" i="7"/>
  <c r="DE163" i="7"/>
  <c r="BP159" i="7"/>
  <c r="CM164" i="7"/>
  <c r="DH163" i="7"/>
  <c r="BK152" i="7"/>
  <c r="D152" i="7"/>
  <c r="AK153" i="7"/>
  <c r="BY165" i="7"/>
  <c r="CT164" i="7"/>
  <c r="BX164" i="7"/>
  <c r="CS163" i="7"/>
  <c r="AO163" i="7"/>
  <c r="CG164" i="7"/>
  <c r="DB163" i="7"/>
  <c r="BC161" i="7"/>
  <c r="DR161" i="7" s="1"/>
  <c r="AY161" i="7"/>
  <c r="DN161" i="7" s="1"/>
  <c r="AU161" i="7"/>
  <c r="DJ161" i="7" s="1"/>
  <c r="BB161" i="7"/>
  <c r="DQ161" i="7" s="1"/>
  <c r="AX161" i="7"/>
  <c r="DM161" i="7" s="1"/>
  <c r="AT161" i="7"/>
  <c r="BA161" i="7"/>
  <c r="DP161" i="7" s="1"/>
  <c r="AW161" i="7"/>
  <c r="DL161" i="7" s="1"/>
  <c r="AZ161" i="7"/>
  <c r="DO161" i="7" s="1"/>
  <c r="AV161" i="7"/>
  <c r="DK161" i="7" s="1"/>
  <c r="AH161" i="7"/>
  <c r="AF161" i="7"/>
  <c r="AI161" i="7" s="1"/>
  <c r="AG161" i="7"/>
  <c r="EB162" i="7"/>
  <c r="DW162" i="7"/>
  <c r="EA162" i="7"/>
  <c r="DV162" i="7"/>
  <c r="BS163" i="7"/>
  <c r="EF162" i="7"/>
  <c r="DZ162" i="7"/>
  <c r="CN162" i="7"/>
  <c r="EC162" i="7"/>
  <c r="DX162" i="7"/>
  <c r="M162" i="7"/>
  <c r="BW164" i="7"/>
  <c r="CR163" i="7"/>
  <c r="CD164" i="7"/>
  <c r="CY163" i="7"/>
  <c r="CK165" i="7"/>
  <c r="DF164" i="7"/>
  <c r="BU165" i="7"/>
  <c r="CP164" i="7"/>
  <c r="CA164" i="7"/>
  <c r="CV163" i="7"/>
  <c r="AP162" i="7"/>
  <c r="AR162" i="7"/>
  <c r="AQ162" i="7"/>
  <c r="BQ159" i="7"/>
  <c r="CF163" i="7"/>
  <c r="DA162" i="7"/>
  <c r="AN162" i="7"/>
  <c r="BH162" i="7" s="1"/>
  <c r="C152" i="7"/>
  <c r="F152" i="7" s="1"/>
  <c r="BJ152" i="7"/>
  <c r="BM152" i="7" s="1"/>
  <c r="B152" i="7" s="1"/>
  <c r="AJ153" i="7"/>
  <c r="BZ164" i="7"/>
  <c r="CU163" i="7"/>
  <c r="EN163" i="7"/>
  <c r="CI164" i="7"/>
  <c r="DD163" i="7"/>
  <c r="DS163" i="7"/>
  <c r="BO160" i="7"/>
  <c r="BQ160" i="7" s="1"/>
  <c r="H158" i="7"/>
  <c r="G158" i="7"/>
  <c r="CE163" i="7"/>
  <c r="CZ162" i="7"/>
  <c r="AM162" i="7"/>
  <c r="BG162" i="7" s="1"/>
  <c r="CB164" i="7"/>
  <c r="CW163" i="7"/>
  <c r="DI161" i="7"/>
  <c r="BI162" i="7"/>
  <c r="BN162" i="7"/>
  <c r="CH163" i="7"/>
  <c r="DC162" i="7"/>
  <c r="BG161" i="7"/>
  <c r="CC165" i="7"/>
  <c r="CX164" i="7"/>
  <c r="BV164" i="7"/>
  <c r="CQ163" i="7"/>
  <c r="BD160" i="7"/>
  <c r="BF160" i="7"/>
  <c r="BE160" i="7"/>
  <c r="DG164" i="7"/>
  <c r="EM164" i="7"/>
  <c r="CL165" i="7"/>
  <c r="BP161" i="7" l="1"/>
  <c r="BU166" i="7"/>
  <c r="CP165" i="7"/>
  <c r="CD165" i="7"/>
  <c r="CY164" i="7"/>
  <c r="BB162" i="7"/>
  <c r="DQ162" i="7" s="1"/>
  <c r="AX162" i="7"/>
  <c r="DM162" i="7" s="1"/>
  <c r="AT162" i="7"/>
  <c r="BA162" i="7"/>
  <c r="DP162" i="7" s="1"/>
  <c r="AW162" i="7"/>
  <c r="DL162" i="7" s="1"/>
  <c r="AZ162" i="7"/>
  <c r="DO162" i="7" s="1"/>
  <c r="AV162" i="7"/>
  <c r="DK162" i="7" s="1"/>
  <c r="BC162" i="7"/>
  <c r="DR162" i="7" s="1"/>
  <c r="AY162" i="7"/>
  <c r="DN162" i="7" s="1"/>
  <c r="AU162" i="7"/>
  <c r="DJ162" i="7" s="1"/>
  <c r="AH162" i="7"/>
  <c r="AG162" i="7"/>
  <c r="AF162" i="7"/>
  <c r="AI162" i="7" s="1"/>
  <c r="BX165" i="7"/>
  <c r="CS164" i="7"/>
  <c r="E153" i="7"/>
  <c r="BL153" i="7"/>
  <c r="AL154" i="7"/>
  <c r="CI165" i="7"/>
  <c r="DD164" i="7"/>
  <c r="DS164" i="7"/>
  <c r="DI162" i="7"/>
  <c r="G160" i="7"/>
  <c r="H160" i="7"/>
  <c r="CF164" i="7"/>
  <c r="DA163" i="7"/>
  <c r="AN163" i="7"/>
  <c r="CG165" i="7"/>
  <c r="DB164" i="7"/>
  <c r="AO164" i="7"/>
  <c r="EO164" i="7"/>
  <c r="BT165" i="7"/>
  <c r="CO164" i="7"/>
  <c r="BJ153" i="7"/>
  <c r="BM153" i="7" s="1"/>
  <c r="B153" i="7" s="1"/>
  <c r="C153" i="7"/>
  <c r="F153" i="7" s="1"/>
  <c r="AJ154" i="7"/>
  <c r="BV165" i="7"/>
  <c r="CQ164" i="7"/>
  <c r="DG165" i="7"/>
  <c r="EM165" i="7"/>
  <c r="CL166" i="7"/>
  <c r="CH164" i="7"/>
  <c r="DC163" i="7"/>
  <c r="BN163" i="7"/>
  <c r="CE164" i="7"/>
  <c r="CZ163" i="7"/>
  <c r="AM163" i="7"/>
  <c r="P163" i="7"/>
  <c r="H159" i="7"/>
  <c r="G159" i="7"/>
  <c r="CA165" i="7"/>
  <c r="CV164" i="7"/>
  <c r="CK166" i="7"/>
  <c r="DF165" i="7"/>
  <c r="EA163" i="7"/>
  <c r="DV163" i="7"/>
  <c r="BS164" i="7"/>
  <c r="EF163" i="7"/>
  <c r="DZ163" i="7"/>
  <c r="CN163" i="7"/>
  <c r="BO162" i="7" s="1"/>
  <c r="EC163" i="7"/>
  <c r="DX163" i="7"/>
  <c r="EB163" i="7"/>
  <c r="DW163" i="7"/>
  <c r="M163" i="7"/>
  <c r="BF161" i="7"/>
  <c r="BE161" i="7"/>
  <c r="BD161" i="7"/>
  <c r="BY166" i="7"/>
  <c r="CT165" i="7"/>
  <c r="CC166" i="7"/>
  <c r="CX165" i="7"/>
  <c r="CB165" i="7"/>
  <c r="CW164" i="7"/>
  <c r="BZ165" i="7"/>
  <c r="CU164" i="7"/>
  <c r="EN164" i="7"/>
  <c r="BW165" i="7"/>
  <c r="CR164" i="7"/>
  <c r="BO161" i="7"/>
  <c r="BQ161" i="7" s="1"/>
  <c r="BK153" i="7"/>
  <c r="D153" i="7"/>
  <c r="AK154" i="7"/>
  <c r="CM165" i="7"/>
  <c r="DH164" i="7"/>
  <c r="CJ165" i="7"/>
  <c r="DE164" i="7"/>
  <c r="N163" i="7"/>
  <c r="BP162" i="7" l="1"/>
  <c r="BQ162" i="7" s="1"/>
  <c r="CC167" i="7"/>
  <c r="CX166" i="7"/>
  <c r="CE165" i="7"/>
  <c r="CZ164" i="7"/>
  <c r="AM164" i="7"/>
  <c r="EM166" i="7"/>
  <c r="DG166" i="7"/>
  <c r="CL167" i="7"/>
  <c r="BV166" i="7"/>
  <c r="CQ165" i="7"/>
  <c r="AN164" i="7"/>
  <c r="CF165" i="7"/>
  <c r="DA164" i="7"/>
  <c r="P164" i="7"/>
  <c r="BU167" i="7"/>
  <c r="CP166" i="7"/>
  <c r="CB166" i="7"/>
  <c r="CW165" i="7"/>
  <c r="CA166" i="7"/>
  <c r="CV165" i="7"/>
  <c r="N164" i="7"/>
  <c r="BJ154" i="7"/>
  <c r="BM154" i="7" s="1"/>
  <c r="B154" i="7" s="1"/>
  <c r="C154" i="7"/>
  <c r="F154" i="7" s="1"/>
  <c r="AJ155" i="7"/>
  <c r="EO165" i="7"/>
  <c r="BT166" i="7"/>
  <c r="CO165" i="7"/>
  <c r="CG166" i="7"/>
  <c r="DB165" i="7"/>
  <c r="AO165" i="7"/>
  <c r="CJ166" i="7"/>
  <c r="DE165" i="7"/>
  <c r="BW166" i="7"/>
  <c r="CR165" i="7"/>
  <c r="AR163" i="7"/>
  <c r="BI163" i="7" s="1"/>
  <c r="AQ163" i="7"/>
  <c r="AP163" i="7"/>
  <c r="CM166" i="7"/>
  <c r="DH165" i="7"/>
  <c r="H161" i="7"/>
  <c r="G161" i="7"/>
  <c r="BY167" i="7"/>
  <c r="CT166" i="7"/>
  <c r="BG163" i="7"/>
  <c r="BH163" i="7"/>
  <c r="DS165" i="7"/>
  <c r="CI166" i="7"/>
  <c r="DD165" i="7"/>
  <c r="BF162" i="7"/>
  <c r="BE162" i="7"/>
  <c r="BD162" i="7"/>
  <c r="CD166" i="7"/>
  <c r="CY165" i="7"/>
  <c r="D154" i="7"/>
  <c r="BK154" i="7"/>
  <c r="AK155" i="7"/>
  <c r="BZ166" i="7"/>
  <c r="CU165" i="7"/>
  <c r="EN165" i="7"/>
  <c r="BA163" i="7"/>
  <c r="DP163" i="7" s="1"/>
  <c r="AW163" i="7"/>
  <c r="DL163" i="7" s="1"/>
  <c r="AZ163" i="7"/>
  <c r="DO163" i="7" s="1"/>
  <c r="AV163" i="7"/>
  <c r="DK163" i="7" s="1"/>
  <c r="BC163" i="7"/>
  <c r="DR163" i="7" s="1"/>
  <c r="AY163" i="7"/>
  <c r="DN163" i="7" s="1"/>
  <c r="AU163" i="7"/>
  <c r="DJ163" i="7" s="1"/>
  <c r="BB163" i="7"/>
  <c r="DQ163" i="7" s="1"/>
  <c r="AX163" i="7"/>
  <c r="DM163" i="7" s="1"/>
  <c r="AT163" i="7"/>
  <c r="AF163" i="7"/>
  <c r="AI163" i="7" s="1"/>
  <c r="AH163" i="7"/>
  <c r="AG163" i="7"/>
  <c r="BS165" i="7"/>
  <c r="EF164" i="7"/>
  <c r="DZ164" i="7"/>
  <c r="CN164" i="7"/>
  <c r="EC164" i="7"/>
  <c r="DX164" i="7"/>
  <c r="EB164" i="7"/>
  <c r="DW164" i="7"/>
  <c r="EA164" i="7"/>
  <c r="DV164" i="7"/>
  <c r="M164" i="7"/>
  <c r="CK167" i="7"/>
  <c r="DF166" i="7"/>
  <c r="CH165" i="7"/>
  <c r="DC164" i="7"/>
  <c r="BN164" i="7"/>
  <c r="DI163" i="7"/>
  <c r="E154" i="7"/>
  <c r="BL154" i="7"/>
  <c r="AL155" i="7"/>
  <c r="BX166" i="7"/>
  <c r="CS165" i="7"/>
  <c r="BP163" i="7" l="1"/>
  <c r="CK168" i="7"/>
  <c r="DF167" i="7"/>
  <c r="BL155" i="7"/>
  <c r="E155" i="7"/>
  <c r="AL156" i="7"/>
  <c r="EC165" i="7"/>
  <c r="DX165" i="7"/>
  <c r="EB165" i="7"/>
  <c r="DW165" i="7"/>
  <c r="EA165" i="7"/>
  <c r="DV165" i="7"/>
  <c r="BS166" i="7"/>
  <c r="EF165" i="7"/>
  <c r="DZ165" i="7"/>
  <c r="CN165" i="7"/>
  <c r="M165" i="7"/>
  <c r="BE163" i="7"/>
  <c r="BD163" i="7"/>
  <c r="BF163" i="7"/>
  <c r="EN166" i="7"/>
  <c r="BZ167" i="7"/>
  <c r="CU166" i="7"/>
  <c r="CG167" i="7"/>
  <c r="DB166" i="7"/>
  <c r="AO166" i="7"/>
  <c r="C155" i="7"/>
  <c r="F155" i="7" s="1"/>
  <c r="BJ155" i="7"/>
  <c r="BM155" i="7" s="1"/>
  <c r="B155" i="7" s="1"/>
  <c r="AJ156" i="7"/>
  <c r="AR164" i="7"/>
  <c r="BI164" i="7" s="1"/>
  <c r="AQ164" i="7"/>
  <c r="AP164" i="7"/>
  <c r="BG164" i="7" s="1"/>
  <c r="CB167" i="7"/>
  <c r="CW166" i="7"/>
  <c r="D155" i="7"/>
  <c r="BK155" i="7"/>
  <c r="AK156" i="7"/>
  <c r="CD167" i="7"/>
  <c r="CY166" i="7"/>
  <c r="CJ167" i="7"/>
  <c r="DE166" i="7"/>
  <c r="BV167" i="7"/>
  <c r="CQ166" i="7"/>
  <c r="CC168" i="7"/>
  <c r="CX167" i="7"/>
  <c r="AZ164" i="7"/>
  <c r="DO164" i="7" s="1"/>
  <c r="AV164" i="7"/>
  <c r="DK164" i="7" s="1"/>
  <c r="BC164" i="7"/>
  <c r="DR164" i="7" s="1"/>
  <c r="AY164" i="7"/>
  <c r="DN164" i="7" s="1"/>
  <c r="AU164" i="7"/>
  <c r="DJ164" i="7" s="1"/>
  <c r="BB164" i="7"/>
  <c r="DQ164" i="7" s="1"/>
  <c r="AX164" i="7"/>
  <c r="DM164" i="7" s="1"/>
  <c r="AT164" i="7"/>
  <c r="BA164" i="7"/>
  <c r="DP164" i="7" s="1"/>
  <c r="AW164" i="7"/>
  <c r="DL164" i="7" s="1"/>
  <c r="AH164" i="7"/>
  <c r="AG164" i="7"/>
  <c r="AF164" i="7"/>
  <c r="AI164" i="7" s="1"/>
  <c r="CI167" i="7"/>
  <c r="DD166" i="7"/>
  <c r="DS166" i="7"/>
  <c r="BT167" i="7"/>
  <c r="CO166" i="7"/>
  <c r="EO166" i="7"/>
  <c r="CA167" i="7"/>
  <c r="CV166" i="7"/>
  <c r="BU168" i="7"/>
  <c r="CP167" i="7"/>
  <c r="CF166" i="7"/>
  <c r="DA165" i="7"/>
  <c r="AN165" i="7"/>
  <c r="EM167" i="7"/>
  <c r="DG167" i="7"/>
  <c r="CL168" i="7"/>
  <c r="BO163" i="7"/>
  <c r="BQ163" i="7" s="1"/>
  <c r="BX167" i="7"/>
  <c r="CS166" i="7"/>
  <c r="CH166" i="7"/>
  <c r="DC165" i="7"/>
  <c r="BN165" i="7"/>
  <c r="P165" i="7"/>
  <c r="N166" i="7" s="1"/>
  <c r="BY168" i="7"/>
  <c r="CT167" i="7"/>
  <c r="CM167" i="7"/>
  <c r="DH166" i="7"/>
  <c r="BW167" i="7"/>
  <c r="CR166" i="7"/>
  <c r="N165" i="7"/>
  <c r="BH164" i="7"/>
  <c r="AM165" i="7"/>
  <c r="CE166" i="7"/>
  <c r="CZ165" i="7"/>
  <c r="H162" i="7"/>
  <c r="G162" i="7"/>
  <c r="BW168" i="7" l="1"/>
  <c r="CR167" i="7"/>
  <c r="BN166" i="7"/>
  <c r="CH167" i="7"/>
  <c r="DC166" i="7"/>
  <c r="CE167" i="7"/>
  <c r="CZ166" i="7"/>
  <c r="AM166" i="7"/>
  <c r="CF167" i="7"/>
  <c r="DA166" i="7"/>
  <c r="AN166" i="7"/>
  <c r="CA168" i="7"/>
  <c r="CV167" i="7"/>
  <c r="BZ168" i="7"/>
  <c r="CU167" i="7"/>
  <c r="EN167" i="7"/>
  <c r="BL156" i="7"/>
  <c r="E156" i="7"/>
  <c r="AL157" i="7"/>
  <c r="CK169" i="7"/>
  <c r="DF168" i="7"/>
  <c r="BY169" i="7"/>
  <c r="CT168" i="7"/>
  <c r="P166" i="7"/>
  <c r="BD164" i="7"/>
  <c r="BF164" i="7"/>
  <c r="BE164" i="7"/>
  <c r="BV168" i="7"/>
  <c r="CQ167" i="7"/>
  <c r="CD168" i="7"/>
  <c r="CY167" i="7"/>
  <c r="C156" i="7"/>
  <c r="F156" i="7" s="1"/>
  <c r="BJ156" i="7"/>
  <c r="BM156" i="7" s="1"/>
  <c r="B156" i="7" s="1"/>
  <c r="AJ157" i="7"/>
  <c r="BC165" i="7"/>
  <c r="DR165" i="7" s="1"/>
  <c r="AY165" i="7"/>
  <c r="DN165" i="7" s="1"/>
  <c r="AU165" i="7"/>
  <c r="DJ165" i="7" s="1"/>
  <c r="BB165" i="7"/>
  <c r="DQ165" i="7" s="1"/>
  <c r="AX165" i="7"/>
  <c r="DM165" i="7" s="1"/>
  <c r="AT165" i="7"/>
  <c r="BA165" i="7"/>
  <c r="DP165" i="7" s="1"/>
  <c r="AW165" i="7"/>
  <c r="DL165" i="7" s="1"/>
  <c r="AZ165" i="7"/>
  <c r="DO165" i="7" s="1"/>
  <c r="AV165" i="7"/>
  <c r="DK165" i="7" s="1"/>
  <c r="AH165" i="7"/>
  <c r="AF165" i="7"/>
  <c r="AI165" i="7" s="1"/>
  <c r="AG165" i="7"/>
  <c r="EB166" i="7"/>
  <c r="DW166" i="7"/>
  <c r="EA166" i="7"/>
  <c r="DV166" i="7"/>
  <c r="BS167" i="7"/>
  <c r="EF166" i="7"/>
  <c r="DZ166" i="7"/>
  <c r="CN166" i="7"/>
  <c r="BO165" i="7" s="1"/>
  <c r="EC166" i="7"/>
  <c r="DX166" i="7"/>
  <c r="M166" i="7"/>
  <c r="AP166" i="7"/>
  <c r="AR166" i="7"/>
  <c r="BI166" i="7" s="1"/>
  <c r="AQ166" i="7"/>
  <c r="H163" i="7"/>
  <c r="G163" i="7"/>
  <c r="BU169" i="7"/>
  <c r="CP168" i="7"/>
  <c r="CC169" i="7"/>
  <c r="CX168" i="7"/>
  <c r="BK156" i="7"/>
  <c r="D156" i="7"/>
  <c r="AK157" i="7"/>
  <c r="CB168" i="7"/>
  <c r="CW167" i="7"/>
  <c r="AO167" i="7"/>
  <c r="CG168" i="7"/>
  <c r="DB167" i="7"/>
  <c r="BO164" i="7"/>
  <c r="BX168" i="7"/>
  <c r="CS167" i="7"/>
  <c r="AQ165" i="7"/>
  <c r="BH165" i="7" s="1"/>
  <c r="AP165" i="7"/>
  <c r="BG165" i="7" s="1"/>
  <c r="AR165" i="7"/>
  <c r="BI165" i="7" s="1"/>
  <c r="CM168" i="7"/>
  <c r="DH167" i="7"/>
  <c r="DI164" i="7"/>
  <c r="DI165" i="7" s="1"/>
  <c r="DG168" i="7"/>
  <c r="EM168" i="7"/>
  <c r="CL169" i="7"/>
  <c r="BT168" i="7"/>
  <c r="CO167" i="7"/>
  <c r="EO167" i="7"/>
  <c r="CI168" i="7"/>
  <c r="DD167" i="7"/>
  <c r="DS167" i="7"/>
  <c r="CJ168" i="7"/>
  <c r="DE167" i="7"/>
  <c r="BP165" i="7" l="1"/>
  <c r="BQ165" i="7" s="1"/>
  <c r="CB169" i="7"/>
  <c r="CW168" i="7"/>
  <c r="BB166" i="7"/>
  <c r="DQ166" i="7" s="1"/>
  <c r="AX166" i="7"/>
  <c r="DM166" i="7" s="1"/>
  <c r="AT166" i="7"/>
  <c r="BA166" i="7"/>
  <c r="DP166" i="7" s="1"/>
  <c r="AW166" i="7"/>
  <c r="DL166" i="7" s="1"/>
  <c r="AZ166" i="7"/>
  <c r="DO166" i="7" s="1"/>
  <c r="AV166" i="7"/>
  <c r="DK166" i="7" s="1"/>
  <c r="BC166" i="7"/>
  <c r="DR166" i="7" s="1"/>
  <c r="AY166" i="7"/>
  <c r="DN166" i="7" s="1"/>
  <c r="AU166" i="7"/>
  <c r="DJ166" i="7" s="1"/>
  <c r="AH166" i="7"/>
  <c r="AG166" i="7"/>
  <c r="AF166" i="7"/>
  <c r="AI166" i="7" s="1"/>
  <c r="BJ157" i="7"/>
  <c r="BM157" i="7" s="1"/>
  <c r="B157" i="7" s="1"/>
  <c r="C157" i="7"/>
  <c r="F157" i="7" s="1"/>
  <c r="AJ158" i="7"/>
  <c r="CD169" i="7"/>
  <c r="CY168" i="7"/>
  <c r="E157" i="7"/>
  <c r="BL157" i="7"/>
  <c r="AL158" i="7"/>
  <c r="CA169" i="7"/>
  <c r="CV168" i="7"/>
  <c r="EO168" i="7"/>
  <c r="BT169" i="7"/>
  <c r="CO168" i="7"/>
  <c r="EM169" i="7"/>
  <c r="DG169" i="7"/>
  <c r="CL170" i="7"/>
  <c r="CJ169" i="7"/>
  <c r="DE168" i="7"/>
  <c r="CM169" i="7"/>
  <c r="DH168" i="7"/>
  <c r="BX169" i="7"/>
  <c r="CS168" i="7"/>
  <c r="CG169" i="7"/>
  <c r="DB168" i="7"/>
  <c r="AO168" i="7"/>
  <c r="BK157" i="7"/>
  <c r="D157" i="7"/>
  <c r="AK158" i="7"/>
  <c r="CC170" i="7"/>
  <c r="CX169" i="7"/>
  <c r="BY170" i="7"/>
  <c r="CT169" i="7"/>
  <c r="BZ169" i="7"/>
  <c r="CU168" i="7"/>
  <c r="EN168" i="7"/>
  <c r="BH166" i="7"/>
  <c r="BG166" i="7"/>
  <c r="BW169" i="7"/>
  <c r="CR168" i="7"/>
  <c r="CI169" i="7"/>
  <c r="DD168" i="7"/>
  <c r="DS168" i="7"/>
  <c r="P167" i="7"/>
  <c r="EA167" i="7"/>
  <c r="DV167" i="7"/>
  <c r="BS168" i="7"/>
  <c r="EF167" i="7"/>
  <c r="DZ167" i="7"/>
  <c r="CN167" i="7"/>
  <c r="EC167" i="7"/>
  <c r="DX167" i="7"/>
  <c r="EB167" i="7"/>
  <c r="DW167" i="7"/>
  <c r="M167" i="7"/>
  <c r="BF165" i="7"/>
  <c r="BE165" i="7"/>
  <c r="BD165" i="7"/>
  <c r="BV169" i="7"/>
  <c r="CQ168" i="7"/>
  <c r="CH168" i="7"/>
  <c r="DC167" i="7"/>
  <c r="BN167" i="7"/>
  <c r="DI166" i="7"/>
  <c r="BU170" i="7"/>
  <c r="CP169" i="7"/>
  <c r="N167" i="7"/>
  <c r="CK170" i="7"/>
  <c r="DF169" i="7"/>
  <c r="CF168" i="7"/>
  <c r="DA167" i="7"/>
  <c r="AN167" i="7"/>
  <c r="CE168" i="7"/>
  <c r="CZ167" i="7"/>
  <c r="AM167" i="7"/>
  <c r="BP164" i="7"/>
  <c r="BQ164" i="7" s="1"/>
  <c r="G164" i="7" l="1"/>
  <c r="H164" i="7"/>
  <c r="BP166" i="7"/>
  <c r="H165" i="7"/>
  <c r="G165" i="7"/>
  <c r="BO166" i="7"/>
  <c r="BQ166" i="7" s="1"/>
  <c r="N168" i="7"/>
  <c r="BY171" i="7"/>
  <c r="CT170" i="7"/>
  <c r="CG170" i="7"/>
  <c r="DB169" i="7"/>
  <c r="AO169" i="7"/>
  <c r="CM170" i="7"/>
  <c r="DH169" i="7"/>
  <c r="BJ158" i="7"/>
  <c r="BM158" i="7" s="1"/>
  <c r="B158" i="7" s="1"/>
  <c r="C158" i="7"/>
  <c r="F158" i="7" s="1"/>
  <c r="AJ159" i="7"/>
  <c r="BV170" i="7"/>
  <c r="CQ169" i="7"/>
  <c r="CE169" i="7"/>
  <c r="CZ168" i="7"/>
  <c r="AM168" i="7"/>
  <c r="BU171" i="7"/>
  <c r="CP170" i="7"/>
  <c r="CK171" i="7"/>
  <c r="DF170" i="7"/>
  <c r="CH169" i="7"/>
  <c r="DC168" i="7"/>
  <c r="BN168" i="7"/>
  <c r="P168" i="7"/>
  <c r="BW170" i="7"/>
  <c r="CR169" i="7"/>
  <c r="BF166" i="7"/>
  <c r="BE166" i="7"/>
  <c r="BD166" i="7"/>
  <c r="CB170" i="7"/>
  <c r="CW169" i="7"/>
  <c r="AR167" i="7"/>
  <c r="BI167" i="7" s="1"/>
  <c r="AQ167" i="7"/>
  <c r="BH167" i="7" s="1"/>
  <c r="AP167" i="7"/>
  <c r="BG167" i="7" s="1"/>
  <c r="BZ170" i="7"/>
  <c r="CU169" i="7"/>
  <c r="EN169" i="7"/>
  <c r="CC171" i="7"/>
  <c r="CX170" i="7"/>
  <c r="CS169" i="7"/>
  <c r="BX170" i="7"/>
  <c r="CJ170" i="7"/>
  <c r="DE169" i="7"/>
  <c r="CA170" i="7"/>
  <c r="CV169" i="7"/>
  <c r="AN168" i="7"/>
  <c r="CF169" i="7"/>
  <c r="DA168" i="7"/>
  <c r="BA167" i="7"/>
  <c r="DP167" i="7" s="1"/>
  <c r="AW167" i="7"/>
  <c r="DL167" i="7" s="1"/>
  <c r="AZ167" i="7"/>
  <c r="DO167" i="7" s="1"/>
  <c r="AV167" i="7"/>
  <c r="DK167" i="7" s="1"/>
  <c r="BC167" i="7"/>
  <c r="DR167" i="7" s="1"/>
  <c r="AY167" i="7"/>
  <c r="DN167" i="7" s="1"/>
  <c r="AU167" i="7"/>
  <c r="DJ167" i="7" s="1"/>
  <c r="BB167" i="7"/>
  <c r="DQ167" i="7" s="1"/>
  <c r="AX167" i="7"/>
  <c r="DM167" i="7" s="1"/>
  <c r="AT167" i="7"/>
  <c r="AF167" i="7"/>
  <c r="AI167" i="7" s="1"/>
  <c r="AH167" i="7"/>
  <c r="AG167" i="7"/>
  <c r="BS169" i="7"/>
  <c r="EF168" i="7"/>
  <c r="DZ168" i="7"/>
  <c r="CN168" i="7"/>
  <c r="EC168" i="7"/>
  <c r="DX168" i="7"/>
  <c r="EB168" i="7"/>
  <c r="DW168" i="7"/>
  <c r="EA168" i="7"/>
  <c r="DV168" i="7"/>
  <c r="M168" i="7"/>
  <c r="CI170" i="7"/>
  <c r="DS169" i="7"/>
  <c r="DD169" i="7"/>
  <c r="D158" i="7"/>
  <c r="BK158" i="7"/>
  <c r="AK159" i="7"/>
  <c r="DG170" i="7"/>
  <c r="EM170" i="7"/>
  <c r="CL171" i="7"/>
  <c r="EO169" i="7"/>
  <c r="BT170" i="7"/>
  <c r="CO169" i="7"/>
  <c r="E158" i="7"/>
  <c r="BL158" i="7"/>
  <c r="AL159" i="7"/>
  <c r="CD170" i="7"/>
  <c r="CY169" i="7"/>
  <c r="CV170" i="7" l="1"/>
  <c r="CA171" i="7"/>
  <c r="CR170" i="7"/>
  <c r="BW171" i="7"/>
  <c r="CG171" i="7"/>
  <c r="DB170" i="7"/>
  <c r="AO170" i="7"/>
  <c r="H166" i="7"/>
  <c r="G166" i="7"/>
  <c r="AZ168" i="7"/>
  <c r="DO168" i="7" s="1"/>
  <c r="AV168" i="7"/>
  <c r="DK168" i="7" s="1"/>
  <c r="BC168" i="7"/>
  <c r="DR168" i="7" s="1"/>
  <c r="AY168" i="7"/>
  <c r="DN168" i="7" s="1"/>
  <c r="AU168" i="7"/>
  <c r="DJ168" i="7" s="1"/>
  <c r="BB168" i="7"/>
  <c r="DQ168" i="7" s="1"/>
  <c r="AX168" i="7"/>
  <c r="DM168" i="7" s="1"/>
  <c r="AT168" i="7"/>
  <c r="BA168" i="7"/>
  <c r="DP168" i="7" s="1"/>
  <c r="AW168" i="7"/>
  <c r="DL168" i="7" s="1"/>
  <c r="AH168" i="7"/>
  <c r="AG168" i="7"/>
  <c r="AF168" i="7"/>
  <c r="AI168" i="7" s="1"/>
  <c r="BL159" i="7"/>
  <c r="E159" i="7"/>
  <c r="AL160" i="7"/>
  <c r="EO170" i="7"/>
  <c r="BT171" i="7"/>
  <c r="CO170" i="7"/>
  <c r="CF170" i="7"/>
  <c r="DA169" i="7"/>
  <c r="AN169" i="7"/>
  <c r="N169" i="7"/>
  <c r="CH170" i="7"/>
  <c r="DC169" i="7"/>
  <c r="BN169" i="7"/>
  <c r="CE170" i="7"/>
  <c r="AM169" i="7"/>
  <c r="CZ169" i="7"/>
  <c r="C159" i="7"/>
  <c r="F159" i="7" s="1"/>
  <c r="BJ159" i="7"/>
  <c r="BM159" i="7" s="1"/>
  <c r="B159" i="7" s="1"/>
  <c r="AJ160" i="7"/>
  <c r="DH170" i="7"/>
  <c r="CM171" i="7"/>
  <c r="CD171" i="7"/>
  <c r="CY170" i="7"/>
  <c r="D159" i="7"/>
  <c r="BK159" i="7"/>
  <c r="AK160" i="7"/>
  <c r="P169" i="7"/>
  <c r="N170" i="7" s="1"/>
  <c r="BS170" i="7"/>
  <c r="EF169" i="7"/>
  <c r="EC169" i="7"/>
  <c r="DX169" i="7"/>
  <c r="EB169" i="7"/>
  <c r="DW169" i="7"/>
  <c r="EA169" i="7"/>
  <c r="DV169" i="7"/>
  <c r="DZ169" i="7"/>
  <c r="CN169" i="7"/>
  <c r="M169" i="7"/>
  <c r="BE167" i="7"/>
  <c r="BD167" i="7"/>
  <c r="BF167" i="7"/>
  <c r="CJ171" i="7"/>
  <c r="DE170" i="7"/>
  <c r="BZ171" i="7"/>
  <c r="CU170" i="7"/>
  <c r="EN170" i="7"/>
  <c r="BU172" i="7"/>
  <c r="CP171" i="7"/>
  <c r="BY172" i="7"/>
  <c r="CT171" i="7"/>
  <c r="EM171" i="7"/>
  <c r="DG171" i="7"/>
  <c r="CL172" i="7"/>
  <c r="DS170" i="7"/>
  <c r="CI171" i="7"/>
  <c r="DD170" i="7"/>
  <c r="BO167" i="7"/>
  <c r="BX171" i="7"/>
  <c r="CS170" i="7"/>
  <c r="CC172" i="7"/>
  <c r="CX171" i="7"/>
  <c r="DI167" i="7"/>
  <c r="DI168" i="7" s="1"/>
  <c r="CB171" i="7"/>
  <c r="CW170" i="7"/>
  <c r="CK172" i="7"/>
  <c r="DF171" i="7"/>
  <c r="BV171" i="7"/>
  <c r="CQ170" i="7"/>
  <c r="AR168" i="7"/>
  <c r="BI168" i="7" s="1"/>
  <c r="AQ168" i="7"/>
  <c r="BH168" i="7" s="1"/>
  <c r="AP168" i="7"/>
  <c r="BG168" i="7" s="1"/>
  <c r="BP168" i="7" l="1"/>
  <c r="BY173" i="7"/>
  <c r="CT172" i="7"/>
  <c r="CJ172" i="7"/>
  <c r="DE171" i="7"/>
  <c r="CA172" i="7"/>
  <c r="CV171" i="7"/>
  <c r="BC169" i="7"/>
  <c r="DR169" i="7" s="1"/>
  <c r="AY169" i="7"/>
  <c r="DN169" i="7" s="1"/>
  <c r="AU169" i="7"/>
  <c r="DJ169" i="7" s="1"/>
  <c r="BB169" i="7"/>
  <c r="DQ169" i="7" s="1"/>
  <c r="AX169" i="7"/>
  <c r="DM169" i="7" s="1"/>
  <c r="AT169" i="7"/>
  <c r="BA169" i="7"/>
  <c r="DP169" i="7" s="1"/>
  <c r="AW169" i="7"/>
  <c r="DL169" i="7" s="1"/>
  <c r="AZ169" i="7"/>
  <c r="DO169" i="7" s="1"/>
  <c r="AV169" i="7"/>
  <c r="DK169" i="7" s="1"/>
  <c r="AH169" i="7"/>
  <c r="AF169" i="7"/>
  <c r="AI169" i="7" s="1"/>
  <c r="AG169" i="7"/>
  <c r="C160" i="7"/>
  <c r="F160" i="7" s="1"/>
  <c r="BJ160" i="7"/>
  <c r="BM160" i="7" s="1"/>
  <c r="B160" i="7" s="1"/>
  <c r="AJ161" i="7"/>
  <c r="CH171" i="7"/>
  <c r="DC170" i="7"/>
  <c r="BN170" i="7"/>
  <c r="CF171" i="7"/>
  <c r="DA170" i="7"/>
  <c r="AN170" i="7"/>
  <c r="BL160" i="7"/>
  <c r="E160" i="7"/>
  <c r="AL161" i="7"/>
  <c r="BD168" i="7"/>
  <c r="BF168" i="7"/>
  <c r="BE168" i="7"/>
  <c r="CG172" i="7"/>
  <c r="DB171" i="7"/>
  <c r="AO171" i="7"/>
  <c r="BP167" i="7"/>
  <c r="BQ167" i="7" s="1"/>
  <c r="BV172" i="7"/>
  <c r="CQ171" i="7"/>
  <c r="EM172" i="7"/>
  <c r="DG172" i="7"/>
  <c r="CL173" i="7"/>
  <c r="AQ170" i="7"/>
  <c r="AP170" i="7"/>
  <c r="AR170" i="7"/>
  <c r="CC173" i="7"/>
  <c r="CX172" i="7"/>
  <c r="CB172" i="7"/>
  <c r="CW171" i="7"/>
  <c r="CI172" i="7"/>
  <c r="DD171" i="7"/>
  <c r="DS171" i="7"/>
  <c r="EN171" i="7"/>
  <c r="BZ172" i="7"/>
  <c r="CU171" i="7"/>
  <c r="BO168" i="7"/>
  <c r="BQ168" i="7" s="1"/>
  <c r="BK160" i="7"/>
  <c r="D160" i="7"/>
  <c r="AK161" i="7"/>
  <c r="CD172" i="7"/>
  <c r="CY171" i="7"/>
  <c r="AM170" i="7"/>
  <c r="CZ170" i="7"/>
  <c r="CE171" i="7"/>
  <c r="AQ169" i="7"/>
  <c r="AP169" i="7"/>
  <c r="BG169" i="7" s="1"/>
  <c r="AR169" i="7"/>
  <c r="BI169" i="7" s="1"/>
  <c r="BW172" i="7"/>
  <c r="CR171" i="7"/>
  <c r="CK173" i="7"/>
  <c r="DF172" i="7"/>
  <c r="DI169" i="7"/>
  <c r="BX172" i="7"/>
  <c r="CS171" i="7"/>
  <c r="P170" i="7"/>
  <c r="BU173" i="7"/>
  <c r="CP172" i="7"/>
  <c r="EC170" i="7"/>
  <c r="DX170" i="7"/>
  <c r="EB170" i="7"/>
  <c r="DW170" i="7"/>
  <c r="EA170" i="7"/>
  <c r="DV170" i="7"/>
  <c r="BS171" i="7"/>
  <c r="EF170" i="7"/>
  <c r="DZ170" i="7"/>
  <c r="CN170" i="7"/>
  <c r="BO169" i="7" s="1"/>
  <c r="M170" i="7"/>
  <c r="CM172" i="7"/>
  <c r="DH171" i="7"/>
  <c r="BH169" i="7"/>
  <c r="BT172" i="7"/>
  <c r="CO171" i="7"/>
  <c r="EO171" i="7"/>
  <c r="BI170" i="7"/>
  <c r="H167" i="7" l="1"/>
  <c r="G167" i="7"/>
  <c r="BP169" i="7"/>
  <c r="BQ169" i="7"/>
  <c r="DN170" i="7"/>
  <c r="BC170" i="7"/>
  <c r="DR170" i="7" s="1"/>
  <c r="AY170" i="7"/>
  <c r="AU170" i="7"/>
  <c r="DJ170" i="7" s="1"/>
  <c r="BB170" i="7"/>
  <c r="DQ170" i="7" s="1"/>
  <c r="AX170" i="7"/>
  <c r="DM170" i="7" s="1"/>
  <c r="AT170" i="7"/>
  <c r="BA170" i="7"/>
  <c r="DP170" i="7" s="1"/>
  <c r="AW170" i="7"/>
  <c r="DL170" i="7" s="1"/>
  <c r="AZ170" i="7"/>
  <c r="DO170" i="7" s="1"/>
  <c r="AV170" i="7"/>
  <c r="DK170" i="7" s="1"/>
  <c r="AF170" i="7"/>
  <c r="AI170" i="7" s="1"/>
  <c r="AH170" i="7"/>
  <c r="AG170" i="7"/>
  <c r="BU174" i="7"/>
  <c r="CP173" i="7"/>
  <c r="G168" i="7"/>
  <c r="H168" i="7"/>
  <c r="CB173" i="7"/>
  <c r="CW172" i="7"/>
  <c r="BH170" i="7"/>
  <c r="BX173" i="7"/>
  <c r="CS172" i="7"/>
  <c r="CE172" i="7"/>
  <c r="CZ171" i="7"/>
  <c r="AM171" i="7"/>
  <c r="P171" i="7"/>
  <c r="N171" i="7"/>
  <c r="DI170" i="7"/>
  <c r="BW173" i="7"/>
  <c r="CR172" i="7"/>
  <c r="BK161" i="7"/>
  <c r="D161" i="7"/>
  <c r="AK162" i="7"/>
  <c r="DG173" i="7"/>
  <c r="EM173" i="7"/>
  <c r="CL174" i="7"/>
  <c r="BV173" i="7"/>
  <c r="CQ172" i="7"/>
  <c r="AO172" i="7"/>
  <c r="CG173" i="7"/>
  <c r="DB172" i="7"/>
  <c r="E161" i="7"/>
  <c r="BL161" i="7"/>
  <c r="AL162" i="7"/>
  <c r="BN171" i="7"/>
  <c r="CH172" i="7"/>
  <c r="DC171" i="7"/>
  <c r="BF169" i="7"/>
  <c r="BE169" i="7"/>
  <c r="BD169" i="7"/>
  <c r="CA173" i="7"/>
  <c r="CV172" i="7"/>
  <c r="BY174" i="7"/>
  <c r="CT173" i="7"/>
  <c r="EB171" i="7"/>
  <c r="DW171" i="7"/>
  <c r="EA171" i="7"/>
  <c r="DV171" i="7"/>
  <c r="BS172" i="7"/>
  <c r="EF171" i="7"/>
  <c r="DZ171" i="7"/>
  <c r="CN171" i="7"/>
  <c r="EC171" i="7"/>
  <c r="DX171" i="7"/>
  <c r="M171" i="7"/>
  <c r="CD173" i="7"/>
  <c r="CY172" i="7"/>
  <c r="BG170" i="7"/>
  <c r="BZ173" i="7"/>
  <c r="CU172" i="7"/>
  <c r="EN172" i="7"/>
  <c r="CI173" i="7"/>
  <c r="DD172" i="7"/>
  <c r="DS172" i="7"/>
  <c r="CC174" i="7"/>
  <c r="CX173" i="7"/>
  <c r="CF172" i="7"/>
  <c r="DA171" i="7"/>
  <c r="AN171" i="7"/>
  <c r="BT173" i="7"/>
  <c r="CO172" i="7"/>
  <c r="EO172" i="7"/>
  <c r="CM173" i="7"/>
  <c r="DH172" i="7"/>
  <c r="CK174" i="7"/>
  <c r="DF173" i="7"/>
  <c r="BJ161" i="7"/>
  <c r="BM161" i="7" s="1"/>
  <c r="B161" i="7" s="1"/>
  <c r="C161" i="7"/>
  <c r="F161" i="7" s="1"/>
  <c r="AJ162" i="7"/>
  <c r="CJ173" i="7"/>
  <c r="DE172" i="7"/>
  <c r="BP170" i="7" l="1"/>
  <c r="BJ162" i="7"/>
  <c r="BM162" i="7" s="1"/>
  <c r="B162" i="7" s="1"/>
  <c r="C162" i="7"/>
  <c r="F162" i="7" s="1"/>
  <c r="AJ163" i="7"/>
  <c r="CM174" i="7"/>
  <c r="DH173" i="7"/>
  <c r="CC175" i="7"/>
  <c r="CX174" i="7"/>
  <c r="EA172" i="7"/>
  <c r="DV172" i="7"/>
  <c r="BS173" i="7"/>
  <c r="EF172" i="7"/>
  <c r="DZ172" i="7"/>
  <c r="CN172" i="7"/>
  <c r="EC172" i="7"/>
  <c r="DX172" i="7"/>
  <c r="EB172" i="7"/>
  <c r="DW172" i="7"/>
  <c r="M172" i="7"/>
  <c r="CA174" i="7"/>
  <c r="CV173" i="7"/>
  <c r="AP171" i="7"/>
  <c r="AR171" i="7"/>
  <c r="BI171" i="7" s="1"/>
  <c r="AQ171" i="7"/>
  <c r="BH171" i="7"/>
  <c r="P172" i="7"/>
  <c r="N173" i="7" s="1"/>
  <c r="CD174" i="7"/>
  <c r="CY173" i="7"/>
  <c r="BO170" i="7"/>
  <c r="BQ170" i="7" s="1"/>
  <c r="CH173" i="7"/>
  <c r="DC172" i="7"/>
  <c r="BN172" i="7"/>
  <c r="CE173" i="7"/>
  <c r="CZ172" i="7"/>
  <c r="AM172" i="7"/>
  <c r="BB171" i="7"/>
  <c r="DQ171" i="7" s="1"/>
  <c r="AX171" i="7"/>
  <c r="DM171" i="7" s="1"/>
  <c r="AT171" i="7"/>
  <c r="BA171" i="7"/>
  <c r="DP171" i="7" s="1"/>
  <c r="AW171" i="7"/>
  <c r="DL171" i="7" s="1"/>
  <c r="AZ171" i="7"/>
  <c r="DO171" i="7" s="1"/>
  <c r="AV171" i="7"/>
  <c r="DK171" i="7" s="1"/>
  <c r="BC171" i="7"/>
  <c r="DR171" i="7" s="1"/>
  <c r="AY171" i="7"/>
  <c r="DN171" i="7" s="1"/>
  <c r="AU171" i="7"/>
  <c r="DJ171" i="7" s="1"/>
  <c r="AG171" i="7"/>
  <c r="AF171" i="7"/>
  <c r="AI171" i="7" s="1"/>
  <c r="AH171" i="7"/>
  <c r="BY175" i="7"/>
  <c r="CT174" i="7"/>
  <c r="BV174" i="7"/>
  <c r="CQ173" i="7"/>
  <c r="D162" i="7"/>
  <c r="BK162" i="7"/>
  <c r="AK163" i="7"/>
  <c r="BW174" i="7"/>
  <c r="CR173" i="7"/>
  <c r="N172" i="7"/>
  <c r="CB174" i="7"/>
  <c r="CW173" i="7"/>
  <c r="BU175" i="7"/>
  <c r="CP174" i="7"/>
  <c r="BF170" i="7"/>
  <c r="BE170" i="7"/>
  <c r="BD170" i="7"/>
  <c r="CK175" i="7"/>
  <c r="DF174" i="7"/>
  <c r="CF173" i="7"/>
  <c r="DA172" i="7"/>
  <c r="AN172" i="7"/>
  <c r="BZ174" i="7"/>
  <c r="CU173" i="7"/>
  <c r="EN173" i="7"/>
  <c r="CJ174" i="7"/>
  <c r="DE173" i="7"/>
  <c r="EO173" i="7"/>
  <c r="BT174" i="7"/>
  <c r="CO173" i="7"/>
  <c r="CI174" i="7"/>
  <c r="DD173" i="7"/>
  <c r="DS173" i="7"/>
  <c r="E162" i="7"/>
  <c r="BL162" i="7"/>
  <c r="AL163" i="7"/>
  <c r="CG174" i="7"/>
  <c r="DB173" i="7"/>
  <c r="AO173" i="7"/>
  <c r="DG174" i="7"/>
  <c r="EM174" i="7"/>
  <c r="CL175" i="7"/>
  <c r="DI171" i="7"/>
  <c r="BG171" i="7"/>
  <c r="BX174" i="7"/>
  <c r="CS173" i="7"/>
  <c r="H169" i="7"/>
  <c r="G169" i="7"/>
  <c r="BP171" i="7" l="1"/>
  <c r="BX175" i="7"/>
  <c r="CS174" i="7"/>
  <c r="CG175" i="7"/>
  <c r="DB174" i="7"/>
  <c r="AO174" i="7"/>
  <c r="P173" i="7"/>
  <c r="EO174" i="7"/>
  <c r="BT175" i="7"/>
  <c r="CO174" i="7"/>
  <c r="BU176" i="7"/>
  <c r="CP175" i="7"/>
  <c r="BF171" i="7"/>
  <c r="BE171" i="7"/>
  <c r="BD171" i="7"/>
  <c r="CH174" i="7"/>
  <c r="DC173" i="7"/>
  <c r="BN173" i="7"/>
  <c r="CA175" i="7"/>
  <c r="CV174" i="7"/>
  <c r="C163" i="7"/>
  <c r="F163" i="7" s="1"/>
  <c r="BJ163" i="7"/>
  <c r="BM163" i="7" s="1"/>
  <c r="B163" i="7" s="1"/>
  <c r="AJ164" i="7"/>
  <c r="BL163" i="7"/>
  <c r="E163" i="7"/>
  <c r="AL164" i="7"/>
  <c r="AN173" i="7"/>
  <c r="CF174" i="7"/>
  <c r="DA173" i="7"/>
  <c r="BW175" i="7"/>
  <c r="CR174" i="7"/>
  <c r="BY176" i="7"/>
  <c r="CT175" i="7"/>
  <c r="CE174" i="7"/>
  <c r="CZ173" i="7"/>
  <c r="AM173" i="7"/>
  <c r="G170" i="7"/>
  <c r="H170" i="7"/>
  <c r="AR173" i="7"/>
  <c r="AQ173" i="7"/>
  <c r="AP173" i="7"/>
  <c r="BA172" i="7"/>
  <c r="DP172" i="7" s="1"/>
  <c r="AW172" i="7"/>
  <c r="DL172" i="7" s="1"/>
  <c r="AZ172" i="7"/>
  <c r="DO172" i="7" s="1"/>
  <c r="AV172" i="7"/>
  <c r="DK172" i="7" s="1"/>
  <c r="BC172" i="7"/>
  <c r="DR172" i="7" s="1"/>
  <c r="AY172" i="7"/>
  <c r="DN172" i="7" s="1"/>
  <c r="AU172" i="7"/>
  <c r="DJ172" i="7" s="1"/>
  <c r="AX172" i="7"/>
  <c r="DM172" i="7" s="1"/>
  <c r="AT172" i="7"/>
  <c r="BB172" i="7"/>
  <c r="DQ172" i="7" s="1"/>
  <c r="AH172" i="7"/>
  <c r="AF172" i="7"/>
  <c r="AI172" i="7" s="1"/>
  <c r="AG172" i="7"/>
  <c r="BS174" i="7"/>
  <c r="EF173" i="7"/>
  <c r="DZ173" i="7"/>
  <c r="CN173" i="7"/>
  <c r="BO172" i="7" s="1"/>
  <c r="EC173" i="7"/>
  <c r="DX173" i="7"/>
  <c r="EB173" i="7"/>
  <c r="DW173" i="7"/>
  <c r="EA173" i="7"/>
  <c r="DV173" i="7"/>
  <c r="M173" i="7"/>
  <c r="CC176" i="7"/>
  <c r="CX175" i="7"/>
  <c r="BI173" i="7"/>
  <c r="DS174" i="7"/>
  <c r="CI175" i="7"/>
  <c r="DD174" i="7"/>
  <c r="BZ175" i="7"/>
  <c r="CU174" i="7"/>
  <c r="EN174" i="7"/>
  <c r="CB175" i="7"/>
  <c r="CW174" i="7"/>
  <c r="D163" i="7"/>
  <c r="BK163" i="7"/>
  <c r="AK164" i="7"/>
  <c r="BV175" i="7"/>
  <c r="CQ174" i="7"/>
  <c r="BO171" i="7"/>
  <c r="BQ171" i="7" s="1"/>
  <c r="EM175" i="7"/>
  <c r="DG175" i="7"/>
  <c r="CL176" i="7"/>
  <c r="CJ175" i="7"/>
  <c r="DE174" i="7"/>
  <c r="BH172" i="7"/>
  <c r="CK176" i="7"/>
  <c r="DF175" i="7"/>
  <c r="AR172" i="7"/>
  <c r="BI172" i="7" s="1"/>
  <c r="AQ172" i="7"/>
  <c r="AP172" i="7"/>
  <c r="BG172" i="7" s="1"/>
  <c r="CD175" i="7"/>
  <c r="CY174" i="7"/>
  <c r="CM175" i="7"/>
  <c r="DH174" i="7"/>
  <c r="CJ176" i="7" l="1"/>
  <c r="DE175" i="7"/>
  <c r="CK177" i="7"/>
  <c r="DF176" i="7"/>
  <c r="EM176" i="7"/>
  <c r="DG176" i="7"/>
  <c r="CL177" i="7"/>
  <c r="CI176" i="7"/>
  <c r="DD175" i="7"/>
  <c r="DS175" i="7"/>
  <c r="EC174" i="7"/>
  <c r="DX174" i="7"/>
  <c r="EB174" i="7"/>
  <c r="DW174" i="7"/>
  <c r="EA174" i="7"/>
  <c r="DV174" i="7"/>
  <c r="BS175" i="7"/>
  <c r="EF174" i="7"/>
  <c r="DZ174" i="7"/>
  <c r="CN174" i="7"/>
  <c r="M174" i="7"/>
  <c r="AM174" i="7"/>
  <c r="CE175" i="7"/>
  <c r="CZ174" i="7"/>
  <c r="BW176" i="7"/>
  <c r="CR175" i="7"/>
  <c r="BL164" i="7"/>
  <c r="E164" i="7"/>
  <c r="AL165" i="7"/>
  <c r="BE172" i="7"/>
  <c r="BD172" i="7"/>
  <c r="BF172" i="7"/>
  <c r="BT176" i="7"/>
  <c r="CO175" i="7"/>
  <c r="EO175" i="7"/>
  <c r="BX176" i="7"/>
  <c r="CS175" i="7"/>
  <c r="CC177" i="7"/>
  <c r="CX176" i="7"/>
  <c r="BV176" i="7"/>
  <c r="CQ175" i="7"/>
  <c r="EN175" i="7"/>
  <c r="BZ176" i="7"/>
  <c r="CU175" i="7"/>
  <c r="AZ173" i="7"/>
  <c r="DO173" i="7" s="1"/>
  <c r="AV173" i="7"/>
  <c r="DK173" i="7" s="1"/>
  <c r="BC173" i="7"/>
  <c r="DR173" i="7" s="1"/>
  <c r="AY173" i="7"/>
  <c r="DN173" i="7" s="1"/>
  <c r="AU173" i="7"/>
  <c r="DJ173" i="7" s="1"/>
  <c r="BB173" i="7"/>
  <c r="DQ173" i="7" s="1"/>
  <c r="AX173" i="7"/>
  <c r="DM173" i="7" s="1"/>
  <c r="AT173" i="7"/>
  <c r="BA173" i="7"/>
  <c r="DP173" i="7" s="1"/>
  <c r="AW173" i="7"/>
  <c r="DL173" i="7" s="1"/>
  <c r="AH173" i="7"/>
  <c r="AF173" i="7"/>
  <c r="AI173" i="7" s="1"/>
  <c r="AG173" i="7"/>
  <c r="BG173" i="7"/>
  <c r="BY177" i="7"/>
  <c r="CT176" i="7"/>
  <c r="CF175" i="7"/>
  <c r="DA174" i="7"/>
  <c r="AN174" i="7"/>
  <c r="CH175" i="7"/>
  <c r="DC174" i="7"/>
  <c r="BN174" i="7"/>
  <c r="CM176" i="7"/>
  <c r="DH175" i="7"/>
  <c r="P174" i="7"/>
  <c r="N175" i="7" s="1"/>
  <c r="CD176" i="7"/>
  <c r="CY175" i="7"/>
  <c r="H171" i="7"/>
  <c r="G171" i="7"/>
  <c r="BK164" i="7"/>
  <c r="D164" i="7"/>
  <c r="AK165" i="7"/>
  <c r="CB176" i="7"/>
  <c r="CW175" i="7"/>
  <c r="DI172" i="7"/>
  <c r="DI173" i="7" s="1"/>
  <c r="BH173" i="7"/>
  <c r="C164" i="7"/>
  <c r="F164" i="7" s="1"/>
  <c r="BJ164" i="7"/>
  <c r="BM164" i="7" s="1"/>
  <c r="B164" i="7" s="1"/>
  <c r="AJ165" i="7"/>
  <c r="CA176" i="7"/>
  <c r="CV175" i="7"/>
  <c r="BU177" i="7"/>
  <c r="CP176" i="7"/>
  <c r="N174" i="7"/>
  <c r="CG176" i="7"/>
  <c r="DB175" i="7"/>
  <c r="AO175" i="7"/>
  <c r="BP173" i="7" l="1"/>
  <c r="BJ165" i="7"/>
  <c r="BM165" i="7" s="1"/>
  <c r="B165" i="7" s="1"/>
  <c r="C165" i="7"/>
  <c r="F165" i="7" s="1"/>
  <c r="AJ166" i="7"/>
  <c r="BN175" i="7"/>
  <c r="CH176" i="7"/>
  <c r="DC175" i="7"/>
  <c r="BD173" i="7"/>
  <c r="BF173" i="7"/>
  <c r="BE173" i="7"/>
  <c r="BV177" i="7"/>
  <c r="CQ176" i="7"/>
  <c r="BX177" i="7"/>
  <c r="CS176" i="7"/>
  <c r="BT177" i="7"/>
  <c r="CO176" i="7"/>
  <c r="EO176" i="7"/>
  <c r="P175" i="7"/>
  <c r="BP172" i="7"/>
  <c r="BQ172" i="7" s="1"/>
  <c r="BU178" i="7"/>
  <c r="CP177" i="7"/>
  <c r="CD177" i="7"/>
  <c r="CY176" i="7"/>
  <c r="CM177" i="7"/>
  <c r="DH176" i="7"/>
  <c r="BY178" i="7"/>
  <c r="CT177" i="7"/>
  <c r="BZ177" i="7"/>
  <c r="CU176" i="7"/>
  <c r="EN176" i="7"/>
  <c r="E165" i="7"/>
  <c r="BL165" i="7"/>
  <c r="AL166" i="7"/>
  <c r="BW177" i="7"/>
  <c r="CR176" i="7"/>
  <c r="BC174" i="7"/>
  <c r="DR174" i="7" s="1"/>
  <c r="AY174" i="7"/>
  <c r="DN174" i="7" s="1"/>
  <c r="AU174" i="7"/>
  <c r="DJ174" i="7" s="1"/>
  <c r="BB174" i="7"/>
  <c r="DQ174" i="7" s="1"/>
  <c r="AX174" i="7"/>
  <c r="DM174" i="7" s="1"/>
  <c r="AT174" i="7"/>
  <c r="BA174" i="7"/>
  <c r="DP174" i="7" s="1"/>
  <c r="AW174" i="7"/>
  <c r="DL174" i="7" s="1"/>
  <c r="AZ174" i="7"/>
  <c r="DO174" i="7" s="1"/>
  <c r="AV174" i="7"/>
  <c r="DK174" i="7" s="1"/>
  <c r="AG174" i="7"/>
  <c r="AH174" i="7"/>
  <c r="AF174" i="7"/>
  <c r="AI174" i="7" s="1"/>
  <c r="EB175" i="7"/>
  <c r="DW175" i="7"/>
  <c r="EA175" i="7"/>
  <c r="DV175" i="7"/>
  <c r="BS176" i="7"/>
  <c r="EF175" i="7"/>
  <c r="DZ175" i="7"/>
  <c r="CN175" i="7"/>
  <c r="EC175" i="7"/>
  <c r="DX175" i="7"/>
  <c r="M175" i="7"/>
  <c r="CJ177" i="7"/>
  <c r="DE176" i="7"/>
  <c r="AO176" i="7"/>
  <c r="CG177" i="7"/>
  <c r="DB176" i="7"/>
  <c r="CB177" i="7"/>
  <c r="CW176" i="7"/>
  <c r="AP175" i="7"/>
  <c r="AR175" i="7"/>
  <c r="BI175" i="7" s="1"/>
  <c r="AQ175" i="7"/>
  <c r="CC178" i="7"/>
  <c r="CX177" i="7"/>
  <c r="BO173" i="7"/>
  <c r="BQ173" i="7" s="1"/>
  <c r="CI177" i="7"/>
  <c r="DD176" i="7"/>
  <c r="DS176" i="7"/>
  <c r="AQ174" i="7"/>
  <c r="BH174" i="7" s="1"/>
  <c r="AP174" i="7"/>
  <c r="BG174" i="7" s="1"/>
  <c r="AR174" i="7"/>
  <c r="BI174" i="7" s="1"/>
  <c r="CA177" i="7"/>
  <c r="CV176" i="7"/>
  <c r="BK165" i="7"/>
  <c r="D165" i="7"/>
  <c r="AK166" i="7"/>
  <c r="CF176" i="7"/>
  <c r="DA175" i="7"/>
  <c r="AN175" i="7"/>
  <c r="BH175" i="7" s="1"/>
  <c r="CE176" i="7"/>
  <c r="CZ175" i="7"/>
  <c r="AM175" i="7"/>
  <c r="BG175" i="7" s="1"/>
  <c r="DG177" i="7"/>
  <c r="EM177" i="7"/>
  <c r="CL178" i="7"/>
  <c r="CK178" i="7"/>
  <c r="DF177" i="7"/>
  <c r="DP175" i="7" l="1"/>
  <c r="BB175" i="7"/>
  <c r="DQ175" i="7" s="1"/>
  <c r="AX175" i="7"/>
  <c r="DM175" i="7" s="1"/>
  <c r="AT175" i="7"/>
  <c r="BA175" i="7"/>
  <c r="AW175" i="7"/>
  <c r="DL175" i="7" s="1"/>
  <c r="AZ175" i="7"/>
  <c r="DO175" i="7" s="1"/>
  <c r="AV175" i="7"/>
  <c r="DK175" i="7" s="1"/>
  <c r="BC175" i="7"/>
  <c r="DR175" i="7" s="1"/>
  <c r="AY175" i="7"/>
  <c r="DN175" i="7" s="1"/>
  <c r="AU175" i="7"/>
  <c r="DJ175" i="7" s="1"/>
  <c r="AF175" i="7"/>
  <c r="AI175" i="7" s="1"/>
  <c r="AH175" i="7"/>
  <c r="AG175" i="7"/>
  <c r="CM178" i="7"/>
  <c r="DH177" i="7"/>
  <c r="BU179" i="7"/>
  <c r="CP178" i="7"/>
  <c r="CH177" i="7"/>
  <c r="DC176" i="7"/>
  <c r="BN176" i="7"/>
  <c r="DG178" i="7"/>
  <c r="EM178" i="7"/>
  <c r="CL179" i="7"/>
  <c r="CE177" i="7"/>
  <c r="CZ176" i="7"/>
  <c r="AM176" i="7"/>
  <c r="D166" i="7"/>
  <c r="BK166" i="7"/>
  <c r="AK167" i="7"/>
  <c r="CA178" i="7"/>
  <c r="CV177" i="7"/>
  <c r="CC179" i="7"/>
  <c r="CX178" i="7"/>
  <c r="CI178" i="7"/>
  <c r="DD177" i="7"/>
  <c r="DS177" i="7"/>
  <c r="CB178" i="7"/>
  <c r="CW177" i="7"/>
  <c r="BW178" i="7"/>
  <c r="CR177" i="7"/>
  <c r="BY179" i="7"/>
  <c r="CT178" i="7"/>
  <c r="H172" i="7"/>
  <c r="G172" i="7"/>
  <c r="BX178" i="7"/>
  <c r="CS177" i="7"/>
  <c r="CK179" i="7"/>
  <c r="DF178" i="7"/>
  <c r="G173" i="7"/>
  <c r="H173" i="7"/>
  <c r="EA176" i="7"/>
  <c r="DV176" i="7"/>
  <c r="BS177" i="7"/>
  <c r="EF176" i="7"/>
  <c r="DZ176" i="7"/>
  <c r="CN176" i="7"/>
  <c r="EC176" i="7"/>
  <c r="DX176" i="7"/>
  <c r="EB176" i="7"/>
  <c r="DW176" i="7"/>
  <c r="M176" i="7"/>
  <c r="BF174" i="7"/>
  <c r="BE174" i="7"/>
  <c r="BD174" i="7"/>
  <c r="E166" i="7"/>
  <c r="BL166" i="7"/>
  <c r="AL167" i="7"/>
  <c r="CD178" i="7"/>
  <c r="CY177" i="7"/>
  <c r="DI174" i="7"/>
  <c r="DI175" i="7" s="1"/>
  <c r="CF177" i="7"/>
  <c r="DA176" i="7"/>
  <c r="AN176" i="7"/>
  <c r="P176" i="7"/>
  <c r="N177" i="7" s="1"/>
  <c r="CG178" i="7"/>
  <c r="DB177" i="7"/>
  <c r="AO177" i="7"/>
  <c r="CJ178" i="7"/>
  <c r="DE177" i="7"/>
  <c r="BO174" i="7"/>
  <c r="BZ178" i="7"/>
  <c r="CU177" i="7"/>
  <c r="EN177" i="7"/>
  <c r="N176" i="7"/>
  <c r="EO177" i="7"/>
  <c r="BT178" i="7"/>
  <c r="CO177" i="7"/>
  <c r="BV178" i="7"/>
  <c r="CQ177" i="7"/>
  <c r="BJ166" i="7"/>
  <c r="BM166" i="7" s="1"/>
  <c r="B166" i="7" s="1"/>
  <c r="C166" i="7"/>
  <c r="F166" i="7" s="1"/>
  <c r="AJ167" i="7"/>
  <c r="BP175" i="7" l="1"/>
  <c r="C167" i="7"/>
  <c r="F167" i="7" s="1"/>
  <c r="BJ167" i="7"/>
  <c r="BM167" i="7" s="1"/>
  <c r="B167" i="7" s="1"/>
  <c r="AJ168" i="7"/>
  <c r="AR176" i="7"/>
  <c r="BI176" i="7" s="1"/>
  <c r="AQ176" i="7"/>
  <c r="BH176" i="7" s="1"/>
  <c r="AP176" i="7"/>
  <c r="BA176" i="7"/>
  <c r="AW176" i="7"/>
  <c r="DL176" i="7" s="1"/>
  <c r="AZ176" i="7"/>
  <c r="DO176" i="7" s="1"/>
  <c r="AV176" i="7"/>
  <c r="DK176" i="7" s="1"/>
  <c r="BC176" i="7"/>
  <c r="DR176" i="7" s="1"/>
  <c r="AY176" i="7"/>
  <c r="DN176" i="7" s="1"/>
  <c r="AU176" i="7"/>
  <c r="DJ176" i="7" s="1"/>
  <c r="BB176" i="7"/>
  <c r="DQ176" i="7" s="1"/>
  <c r="AX176" i="7"/>
  <c r="DM176" i="7" s="1"/>
  <c r="AT176" i="7"/>
  <c r="AH176" i="7"/>
  <c r="AG176" i="7"/>
  <c r="AF176" i="7"/>
  <c r="AI176" i="7" s="1"/>
  <c r="BS178" i="7"/>
  <c r="EF177" i="7"/>
  <c r="DZ177" i="7"/>
  <c r="CN177" i="7"/>
  <c r="EC177" i="7"/>
  <c r="DX177" i="7"/>
  <c r="EB177" i="7"/>
  <c r="DW177" i="7"/>
  <c r="EA177" i="7"/>
  <c r="DV177" i="7"/>
  <c r="M177" i="7"/>
  <c r="DS178" i="7"/>
  <c r="CI179" i="7"/>
  <c r="DD178" i="7"/>
  <c r="CA179" i="7"/>
  <c r="CV178" i="7"/>
  <c r="BG176" i="7"/>
  <c r="CH178" i="7"/>
  <c r="DC177" i="7"/>
  <c r="BN177" i="7"/>
  <c r="CM179" i="7"/>
  <c r="DH178" i="7"/>
  <c r="DP176" i="7"/>
  <c r="CD179" i="7"/>
  <c r="CY178" i="7"/>
  <c r="BO175" i="7"/>
  <c r="BQ175" i="7" s="1"/>
  <c r="BX179" i="7"/>
  <c r="CS178" i="7"/>
  <c r="BY180" i="7"/>
  <c r="CT179" i="7"/>
  <c r="CB179" i="7"/>
  <c r="CW178" i="7"/>
  <c r="D167" i="7"/>
  <c r="BK167" i="7"/>
  <c r="AK168" i="7"/>
  <c r="BP174" i="7"/>
  <c r="BV179" i="7"/>
  <c r="CQ178" i="7"/>
  <c r="BQ174" i="7"/>
  <c r="CG179" i="7"/>
  <c r="DB178" i="7"/>
  <c r="AO178" i="7"/>
  <c r="EO178" i="7"/>
  <c r="BT179" i="7"/>
  <c r="CO178" i="7"/>
  <c r="CJ179" i="7"/>
  <c r="DE178" i="7"/>
  <c r="AN177" i="7"/>
  <c r="CF178" i="7"/>
  <c r="DA177" i="7"/>
  <c r="BL167" i="7"/>
  <c r="E167" i="7"/>
  <c r="AL168" i="7"/>
  <c r="CK180" i="7"/>
  <c r="DF179" i="7"/>
  <c r="P177" i="7"/>
  <c r="N178" i="7" s="1"/>
  <c r="CC180" i="7"/>
  <c r="CX179" i="7"/>
  <c r="CE178" i="7"/>
  <c r="CZ177" i="7"/>
  <c r="AM177" i="7"/>
  <c r="BG177" i="7" s="1"/>
  <c r="BU180" i="7"/>
  <c r="CP179" i="7"/>
  <c r="BZ179" i="7"/>
  <c r="CU178" i="7"/>
  <c r="EN178" i="7"/>
  <c r="AR177" i="7"/>
  <c r="BI177" i="7" s="1"/>
  <c r="AQ177" i="7"/>
  <c r="AP177" i="7"/>
  <c r="DI176" i="7"/>
  <c r="BW179" i="7"/>
  <c r="CR178" i="7"/>
  <c r="EM179" i="7"/>
  <c r="DG179" i="7"/>
  <c r="CL180" i="7"/>
  <c r="BF175" i="7"/>
  <c r="BE175" i="7"/>
  <c r="BD175" i="7"/>
  <c r="BP176" i="7" l="1"/>
  <c r="H174" i="7"/>
  <c r="G174" i="7"/>
  <c r="CD180" i="7"/>
  <c r="CY179" i="7"/>
  <c r="P178" i="7"/>
  <c r="BO176" i="7"/>
  <c r="BQ176" i="7" s="1"/>
  <c r="C168" i="7"/>
  <c r="F168" i="7" s="1"/>
  <c r="BJ168" i="7"/>
  <c r="BM168" i="7" s="1"/>
  <c r="B168" i="7" s="1"/>
  <c r="AJ169" i="7"/>
  <c r="CK181" i="7"/>
  <c r="DF180" i="7"/>
  <c r="CJ180" i="7"/>
  <c r="DE179" i="7"/>
  <c r="BK168" i="7"/>
  <c r="D168" i="7"/>
  <c r="AK169" i="7"/>
  <c r="CB180" i="7"/>
  <c r="CW179" i="7"/>
  <c r="BX180" i="7"/>
  <c r="CS179" i="7"/>
  <c r="CA180" i="7"/>
  <c r="CV179" i="7"/>
  <c r="AZ177" i="7"/>
  <c r="DO177" i="7" s="1"/>
  <c r="AV177" i="7"/>
  <c r="DK177" i="7" s="1"/>
  <c r="BC177" i="7"/>
  <c r="DR177" i="7" s="1"/>
  <c r="AY177" i="7"/>
  <c r="DN177" i="7" s="1"/>
  <c r="AU177" i="7"/>
  <c r="DJ177" i="7" s="1"/>
  <c r="BB177" i="7"/>
  <c r="DQ177" i="7" s="1"/>
  <c r="AX177" i="7"/>
  <c r="DM177" i="7" s="1"/>
  <c r="AT177" i="7"/>
  <c r="DI177" i="7" s="1"/>
  <c r="BA177" i="7"/>
  <c r="DP177" i="7" s="1"/>
  <c r="AW177" i="7"/>
  <c r="DL177" i="7" s="1"/>
  <c r="AG177" i="7"/>
  <c r="AF177" i="7"/>
  <c r="AI177" i="7" s="1"/>
  <c r="AH177" i="7"/>
  <c r="EN179" i="7"/>
  <c r="BZ180" i="7"/>
  <c r="CU179" i="7"/>
  <c r="AQ178" i="7"/>
  <c r="AP178" i="7"/>
  <c r="AR178" i="7"/>
  <c r="BI178" i="7" s="1"/>
  <c r="BV180" i="7"/>
  <c r="CQ179" i="7"/>
  <c r="H175" i="7"/>
  <c r="G175" i="7"/>
  <c r="CH179" i="7"/>
  <c r="DC178" i="7"/>
  <c r="BN178" i="7"/>
  <c r="CC181" i="7"/>
  <c r="CX180" i="7"/>
  <c r="BL168" i="7"/>
  <c r="E168" i="7"/>
  <c r="AL169" i="7"/>
  <c r="CF179" i="7"/>
  <c r="DA178" i="7"/>
  <c r="AN178" i="7"/>
  <c r="BH178" i="7" s="1"/>
  <c r="EM180" i="7"/>
  <c r="DG180" i="7"/>
  <c r="CL181" i="7"/>
  <c r="BW180" i="7"/>
  <c r="CR179" i="7"/>
  <c r="BU181" i="7"/>
  <c r="CP180" i="7"/>
  <c r="AM178" i="7"/>
  <c r="BG178" i="7" s="1"/>
  <c r="CE179" i="7"/>
  <c r="CZ178" i="7"/>
  <c r="BH177" i="7"/>
  <c r="BT180" i="7"/>
  <c r="CO179" i="7"/>
  <c r="EO179" i="7"/>
  <c r="CG180" i="7"/>
  <c r="DB179" i="7"/>
  <c r="AO179" i="7"/>
  <c r="BY181" i="7"/>
  <c r="CT180" i="7"/>
  <c r="CM180" i="7"/>
  <c r="DH179" i="7"/>
  <c r="CI180" i="7"/>
  <c r="DD179" i="7"/>
  <c r="DS179" i="7"/>
  <c r="EC178" i="7"/>
  <c r="DX178" i="7"/>
  <c r="EB178" i="7"/>
  <c r="DW178" i="7"/>
  <c r="EA178" i="7"/>
  <c r="DV178" i="7"/>
  <c r="BS179" i="7"/>
  <c r="EF178" i="7"/>
  <c r="DZ178" i="7"/>
  <c r="CN178" i="7"/>
  <c r="BO177" i="7" s="1"/>
  <c r="M178" i="7"/>
  <c r="BE176" i="7"/>
  <c r="BD176" i="7"/>
  <c r="BF176" i="7"/>
  <c r="BP177" i="7" l="1"/>
  <c r="BQ177" i="7" s="1"/>
  <c r="CI181" i="7"/>
  <c r="DD180" i="7"/>
  <c r="DS180" i="7"/>
  <c r="BY182" i="7"/>
  <c r="CT181" i="7"/>
  <c r="BU182" i="7"/>
  <c r="CP181" i="7"/>
  <c r="CF180" i="7"/>
  <c r="DA179" i="7"/>
  <c r="AN179" i="7"/>
  <c r="BN179" i="7"/>
  <c r="CH180" i="7"/>
  <c r="DC179" i="7"/>
  <c r="BV181" i="7"/>
  <c r="CQ180" i="7"/>
  <c r="BZ181" i="7"/>
  <c r="CU180" i="7"/>
  <c r="EN180" i="7"/>
  <c r="CA181" i="7"/>
  <c r="CV180" i="7"/>
  <c r="CE180" i="7"/>
  <c r="CZ179" i="7"/>
  <c r="AM179" i="7"/>
  <c r="E169" i="7"/>
  <c r="BL169" i="7"/>
  <c r="AL170" i="7"/>
  <c r="CC182" i="7"/>
  <c r="CX181" i="7"/>
  <c r="CB181" i="7"/>
  <c r="CW180" i="7"/>
  <c r="CK182" i="7"/>
  <c r="DF181" i="7"/>
  <c r="H176" i="7"/>
  <c r="G176" i="7"/>
  <c r="P179" i="7"/>
  <c r="CM181" i="7"/>
  <c r="DH180" i="7"/>
  <c r="BT181" i="7"/>
  <c r="CO180" i="7"/>
  <c r="EO180" i="7"/>
  <c r="BW181" i="7"/>
  <c r="CR180" i="7"/>
  <c r="BK169" i="7"/>
  <c r="D169" i="7"/>
  <c r="AK170" i="7"/>
  <c r="BJ169" i="7"/>
  <c r="BM169" i="7" s="1"/>
  <c r="B169" i="7" s="1"/>
  <c r="C169" i="7"/>
  <c r="F169" i="7" s="1"/>
  <c r="AJ170" i="7"/>
  <c r="N179" i="7"/>
  <c r="CD181" i="7"/>
  <c r="CY180" i="7"/>
  <c r="BC178" i="7"/>
  <c r="DR178" i="7" s="1"/>
  <c r="AY178" i="7"/>
  <c r="DN178" i="7" s="1"/>
  <c r="AU178" i="7"/>
  <c r="DJ178" i="7" s="1"/>
  <c r="BB178" i="7"/>
  <c r="DQ178" i="7" s="1"/>
  <c r="AX178" i="7"/>
  <c r="DM178" i="7" s="1"/>
  <c r="AT178" i="7"/>
  <c r="DI178" i="7" s="1"/>
  <c r="BA178" i="7"/>
  <c r="DP178" i="7" s="1"/>
  <c r="AW178" i="7"/>
  <c r="DL178" i="7" s="1"/>
  <c r="AZ178" i="7"/>
  <c r="DO178" i="7" s="1"/>
  <c r="AV178" i="7"/>
  <c r="DK178" i="7" s="1"/>
  <c r="AG178" i="7"/>
  <c r="AH178" i="7"/>
  <c r="AF178" i="7"/>
  <c r="AI178" i="7" s="1"/>
  <c r="EB179" i="7"/>
  <c r="DW179" i="7"/>
  <c r="EA179" i="7"/>
  <c r="DV179" i="7"/>
  <c r="BS180" i="7"/>
  <c r="EF179" i="7"/>
  <c r="DZ179" i="7"/>
  <c r="CN179" i="7"/>
  <c r="BO178" i="7" s="1"/>
  <c r="EC179" i="7"/>
  <c r="DX179" i="7"/>
  <c r="M179" i="7"/>
  <c r="AO180" i="7"/>
  <c r="CG181" i="7"/>
  <c r="DB180" i="7"/>
  <c r="DG181" i="7"/>
  <c r="EM181" i="7"/>
  <c r="CL182" i="7"/>
  <c r="BD177" i="7"/>
  <c r="BF177" i="7"/>
  <c r="BE177" i="7"/>
  <c r="BX181" i="7"/>
  <c r="CS180" i="7"/>
  <c r="CJ181" i="7"/>
  <c r="DE180" i="7"/>
  <c r="BP178" i="7" l="1"/>
  <c r="BQ178" i="7" s="1"/>
  <c r="G177" i="7"/>
  <c r="H177" i="7"/>
  <c r="BJ170" i="7"/>
  <c r="BM170" i="7" s="1"/>
  <c r="B170" i="7" s="1"/>
  <c r="C170" i="7"/>
  <c r="F170" i="7" s="1"/>
  <c r="AJ171" i="7"/>
  <c r="BW182" i="7"/>
  <c r="CR181" i="7"/>
  <c r="E170" i="7"/>
  <c r="BL170" i="7"/>
  <c r="AL171" i="7"/>
  <c r="CA182" i="7"/>
  <c r="CV181" i="7"/>
  <c r="P180" i="7"/>
  <c r="CJ182" i="7"/>
  <c r="DE181" i="7"/>
  <c r="BB179" i="7"/>
  <c r="DQ179" i="7" s="1"/>
  <c r="AX179" i="7"/>
  <c r="DM179" i="7" s="1"/>
  <c r="AT179" i="7"/>
  <c r="DI179" i="7" s="1"/>
  <c r="BA179" i="7"/>
  <c r="DP179" i="7" s="1"/>
  <c r="AW179" i="7"/>
  <c r="DL179" i="7" s="1"/>
  <c r="AZ179" i="7"/>
  <c r="DO179" i="7" s="1"/>
  <c r="AV179" i="7"/>
  <c r="DK179" i="7" s="1"/>
  <c r="BC179" i="7"/>
  <c r="DR179" i="7" s="1"/>
  <c r="AY179" i="7"/>
  <c r="DN179" i="7" s="1"/>
  <c r="AU179" i="7"/>
  <c r="DJ179" i="7" s="1"/>
  <c r="AG179" i="7"/>
  <c r="AF179" i="7"/>
  <c r="AI179" i="7" s="1"/>
  <c r="AH179" i="7"/>
  <c r="CM182" i="7"/>
  <c r="DH181" i="7"/>
  <c r="CB182" i="7"/>
  <c r="CW181" i="7"/>
  <c r="CE181" i="7"/>
  <c r="CZ180" i="7"/>
  <c r="AM180" i="7"/>
  <c r="BV182" i="7"/>
  <c r="CQ181" i="7"/>
  <c r="BU183" i="7"/>
  <c r="CP182" i="7"/>
  <c r="CD182" i="7"/>
  <c r="CY181" i="7"/>
  <c r="CI182" i="7"/>
  <c r="DD181" i="7"/>
  <c r="DS181" i="7"/>
  <c r="BX182" i="7"/>
  <c r="CS181" i="7"/>
  <c r="DG182" i="7"/>
  <c r="EM182" i="7"/>
  <c r="CL183" i="7"/>
  <c r="CG182" i="7"/>
  <c r="DB181" i="7"/>
  <c r="AO181" i="7"/>
  <c r="EA180" i="7"/>
  <c r="DV180" i="7"/>
  <c r="BS181" i="7"/>
  <c r="EF180" i="7"/>
  <c r="DZ180" i="7"/>
  <c r="CN180" i="7"/>
  <c r="EC180" i="7"/>
  <c r="DX180" i="7"/>
  <c r="EB180" i="7"/>
  <c r="DW180" i="7"/>
  <c r="M180" i="7"/>
  <c r="BF178" i="7"/>
  <c r="BE178" i="7"/>
  <c r="BD178" i="7"/>
  <c r="AP179" i="7"/>
  <c r="BG179" i="7" s="1"/>
  <c r="AR179" i="7"/>
  <c r="BI179" i="7" s="1"/>
  <c r="AQ179" i="7"/>
  <c r="BH179" i="7" s="1"/>
  <c r="BK170" i="7"/>
  <c r="D170" i="7"/>
  <c r="AK171" i="7"/>
  <c r="EO181" i="7"/>
  <c r="BT182" i="7"/>
  <c r="CO181" i="7"/>
  <c r="N180" i="7"/>
  <c r="CK183" i="7"/>
  <c r="DF182" i="7"/>
  <c r="CC183" i="7"/>
  <c r="CX182" i="7"/>
  <c r="BZ182" i="7"/>
  <c r="CU181" i="7"/>
  <c r="EN181" i="7"/>
  <c r="CH181" i="7"/>
  <c r="DC180" i="7"/>
  <c r="BN180" i="7"/>
  <c r="CF181" i="7"/>
  <c r="DA180" i="7"/>
  <c r="AN180" i="7"/>
  <c r="BY183" i="7"/>
  <c r="CT182" i="7"/>
  <c r="BP179" i="7" l="1"/>
  <c r="H178" i="7"/>
  <c r="G178" i="7"/>
  <c r="CH182" i="7"/>
  <c r="DC181" i="7"/>
  <c r="BN181" i="7"/>
  <c r="CK184" i="7"/>
  <c r="DF183" i="7"/>
  <c r="P181" i="7"/>
  <c r="CD183" i="7"/>
  <c r="CY182" i="7"/>
  <c r="CE182" i="7"/>
  <c r="CZ181" i="7"/>
  <c r="AM181" i="7"/>
  <c r="CM183" i="7"/>
  <c r="DH182" i="7"/>
  <c r="AN181" i="7"/>
  <c r="CF182" i="7"/>
  <c r="DA181" i="7"/>
  <c r="AR180" i="7"/>
  <c r="BI180" i="7" s="1"/>
  <c r="AQ180" i="7"/>
  <c r="BH180" i="7" s="1"/>
  <c r="AP180" i="7"/>
  <c r="BA180" i="7"/>
  <c r="DP180" i="7" s="1"/>
  <c r="AW180" i="7"/>
  <c r="DL180" i="7" s="1"/>
  <c r="AZ180" i="7"/>
  <c r="DO180" i="7" s="1"/>
  <c r="AV180" i="7"/>
  <c r="DK180" i="7" s="1"/>
  <c r="BC180" i="7"/>
  <c r="DR180" i="7" s="1"/>
  <c r="AY180" i="7"/>
  <c r="DN180" i="7" s="1"/>
  <c r="AU180" i="7"/>
  <c r="DJ180" i="7" s="1"/>
  <c r="BB180" i="7"/>
  <c r="DQ180" i="7" s="1"/>
  <c r="AX180" i="7"/>
  <c r="DM180" i="7" s="1"/>
  <c r="AT180" i="7"/>
  <c r="AF180" i="7"/>
  <c r="AI180" i="7" s="1"/>
  <c r="AH180" i="7"/>
  <c r="AG180" i="7"/>
  <c r="BS182" i="7"/>
  <c r="EF181" i="7"/>
  <c r="DZ181" i="7"/>
  <c r="CN181" i="7"/>
  <c r="EC181" i="7"/>
  <c r="DX181" i="7"/>
  <c r="EB181" i="7"/>
  <c r="DW181" i="7"/>
  <c r="EA181" i="7"/>
  <c r="DV181" i="7"/>
  <c r="M181" i="7"/>
  <c r="BV183" i="7"/>
  <c r="CQ182" i="7"/>
  <c r="CA183" i="7"/>
  <c r="CV182" i="7"/>
  <c r="CC184" i="7"/>
  <c r="CX183" i="7"/>
  <c r="BO179" i="7"/>
  <c r="BQ179" i="7" s="1"/>
  <c r="CG183" i="7"/>
  <c r="DB182" i="7"/>
  <c r="AO182" i="7"/>
  <c r="DS182" i="7"/>
  <c r="CI183" i="7"/>
  <c r="DD182" i="7"/>
  <c r="BU184" i="7"/>
  <c r="CP183" i="7"/>
  <c r="BG180" i="7"/>
  <c r="CB183" i="7"/>
  <c r="CW182" i="7"/>
  <c r="N181" i="7"/>
  <c r="E171" i="7"/>
  <c r="BL171" i="7"/>
  <c r="AL172" i="7"/>
  <c r="BW183" i="7"/>
  <c r="CR182" i="7"/>
  <c r="D171" i="7"/>
  <c r="BK171" i="7"/>
  <c r="AK172" i="7"/>
  <c r="BY184" i="7"/>
  <c r="CT183" i="7"/>
  <c r="BZ183" i="7"/>
  <c r="CU182" i="7"/>
  <c r="EN182" i="7"/>
  <c r="EO182" i="7"/>
  <c r="BT183" i="7"/>
  <c r="CO182" i="7"/>
  <c r="EM183" i="7"/>
  <c r="DG183" i="7"/>
  <c r="CL184" i="7"/>
  <c r="BX183" i="7"/>
  <c r="CS182" i="7"/>
  <c r="BF179" i="7"/>
  <c r="BE179" i="7"/>
  <c r="BD179" i="7"/>
  <c r="CJ183" i="7"/>
  <c r="DE182" i="7"/>
  <c r="BJ171" i="7"/>
  <c r="BM171" i="7" s="1"/>
  <c r="B171" i="7" s="1"/>
  <c r="C171" i="7"/>
  <c r="F171" i="7" s="1"/>
  <c r="AJ172" i="7"/>
  <c r="BE180" i="7" l="1"/>
  <c r="BD180" i="7"/>
  <c r="BF180" i="7"/>
  <c r="CM184" i="7"/>
  <c r="DH183" i="7"/>
  <c r="DI180" i="7"/>
  <c r="CC185" i="7"/>
  <c r="CX184" i="7"/>
  <c r="EC182" i="7"/>
  <c r="DX182" i="7"/>
  <c r="EB182" i="7"/>
  <c r="DW182" i="7"/>
  <c r="EA182" i="7"/>
  <c r="DV182" i="7"/>
  <c r="BS183" i="7"/>
  <c r="EF182" i="7"/>
  <c r="DZ182" i="7"/>
  <c r="CN182" i="7"/>
  <c r="M182" i="7"/>
  <c r="C172" i="7"/>
  <c r="F172" i="7" s="1"/>
  <c r="BJ172" i="7"/>
  <c r="BM172" i="7" s="1"/>
  <c r="B172" i="7" s="1"/>
  <c r="AJ173" i="7"/>
  <c r="CJ184" i="7"/>
  <c r="DE183" i="7"/>
  <c r="BY185" i="7"/>
  <c r="CT184" i="7"/>
  <c r="CI184" i="7"/>
  <c r="DD183" i="7"/>
  <c r="DS183" i="7"/>
  <c r="CG184" i="7"/>
  <c r="DB183" i="7"/>
  <c r="AO183" i="7"/>
  <c r="BV184" i="7"/>
  <c r="CQ183" i="7"/>
  <c r="BO180" i="7"/>
  <c r="CF183" i="7"/>
  <c r="DA182" i="7"/>
  <c r="AN182" i="7"/>
  <c r="CD184" i="7"/>
  <c r="CY183" i="7"/>
  <c r="CH183" i="7"/>
  <c r="DC182" i="7"/>
  <c r="BN182" i="7"/>
  <c r="CB184" i="7"/>
  <c r="CW183" i="7"/>
  <c r="BX184" i="7"/>
  <c r="CS183" i="7"/>
  <c r="D172" i="7"/>
  <c r="BK172" i="7"/>
  <c r="AK173" i="7"/>
  <c r="BW184" i="7"/>
  <c r="CR183" i="7"/>
  <c r="AR181" i="7"/>
  <c r="BI181" i="7" s="1"/>
  <c r="AQ181" i="7"/>
  <c r="AP181" i="7"/>
  <c r="BG181" i="7" s="1"/>
  <c r="P182" i="7"/>
  <c r="N183" i="7" s="1"/>
  <c r="H179" i="7"/>
  <c r="G179" i="7"/>
  <c r="AZ181" i="7"/>
  <c r="DO181" i="7" s="1"/>
  <c r="AV181" i="7"/>
  <c r="DK181" i="7" s="1"/>
  <c r="BC181" i="7"/>
  <c r="DR181" i="7" s="1"/>
  <c r="AY181" i="7"/>
  <c r="DN181" i="7" s="1"/>
  <c r="AU181" i="7"/>
  <c r="DJ181" i="7" s="1"/>
  <c r="BB181" i="7"/>
  <c r="DQ181" i="7" s="1"/>
  <c r="AX181" i="7"/>
  <c r="DM181" i="7" s="1"/>
  <c r="AT181" i="7"/>
  <c r="BA181" i="7"/>
  <c r="DP181" i="7" s="1"/>
  <c r="AW181" i="7"/>
  <c r="DL181" i="7" s="1"/>
  <c r="AF181" i="7"/>
  <c r="AI181" i="7" s="1"/>
  <c r="AH181" i="7"/>
  <c r="AG181" i="7"/>
  <c r="BH181" i="7"/>
  <c r="N182" i="7"/>
  <c r="CK185" i="7"/>
  <c r="DF184" i="7"/>
  <c r="EM184" i="7"/>
  <c r="DG184" i="7"/>
  <c r="CL185" i="7"/>
  <c r="BT184" i="7"/>
  <c r="CO183" i="7"/>
  <c r="EO183" i="7"/>
  <c r="EN183" i="7"/>
  <c r="BZ184" i="7"/>
  <c r="CU183" i="7"/>
  <c r="BL172" i="7"/>
  <c r="E172" i="7"/>
  <c r="AL173" i="7"/>
  <c r="BU185" i="7"/>
  <c r="CP184" i="7"/>
  <c r="CA184" i="7"/>
  <c r="CV183" i="7"/>
  <c r="AM182" i="7"/>
  <c r="CE183" i="7"/>
  <c r="CZ182" i="7"/>
  <c r="AQ182" i="7" l="1"/>
  <c r="AP182" i="7"/>
  <c r="BG182" i="7" s="1"/>
  <c r="AR182" i="7"/>
  <c r="BI182" i="7" s="1"/>
  <c r="BN183" i="7"/>
  <c r="CH184" i="7"/>
  <c r="DC183" i="7"/>
  <c r="BH182" i="7"/>
  <c r="AO184" i="7"/>
  <c r="CG185" i="7"/>
  <c r="DB184" i="7"/>
  <c r="C173" i="7"/>
  <c r="F173" i="7" s="1"/>
  <c r="BJ173" i="7"/>
  <c r="BM173" i="7" s="1"/>
  <c r="B173" i="7" s="1"/>
  <c r="AJ174" i="7"/>
  <c r="BO181" i="7"/>
  <c r="DI181" i="7"/>
  <c r="BP181" i="7" s="1"/>
  <c r="BU186" i="7"/>
  <c r="CP185" i="7"/>
  <c r="AP183" i="7"/>
  <c r="AR183" i="7"/>
  <c r="AQ183" i="7"/>
  <c r="CB185" i="7"/>
  <c r="CW184" i="7"/>
  <c r="BV185" i="7"/>
  <c r="CQ184" i="7"/>
  <c r="P183" i="7"/>
  <c r="BY186" i="7"/>
  <c r="CT185" i="7"/>
  <c r="BP180" i="7"/>
  <c r="CA185" i="7"/>
  <c r="CV184" i="7"/>
  <c r="BL173" i="7"/>
  <c r="E173" i="7"/>
  <c r="AL174" i="7"/>
  <c r="BZ185" i="7"/>
  <c r="CU184" i="7"/>
  <c r="EN184" i="7"/>
  <c r="BT185" i="7"/>
  <c r="CO184" i="7"/>
  <c r="EO184" i="7"/>
  <c r="BW185" i="7"/>
  <c r="CR184" i="7"/>
  <c r="CD185" i="7"/>
  <c r="CY184" i="7"/>
  <c r="CF184" i="7"/>
  <c r="DA183" i="7"/>
  <c r="AN183" i="7"/>
  <c r="BH183" i="7" s="1"/>
  <c r="BI183" i="7"/>
  <c r="CM185" i="7"/>
  <c r="DH184" i="7"/>
  <c r="CE184" i="7"/>
  <c r="CZ183" i="7"/>
  <c r="AM183" i="7"/>
  <c r="DG185" i="7"/>
  <c r="EM185" i="7"/>
  <c r="CL186" i="7"/>
  <c r="CK186" i="7"/>
  <c r="DF185" i="7"/>
  <c r="BD181" i="7"/>
  <c r="BF181" i="7"/>
  <c r="BE181" i="7"/>
  <c r="BK173" i="7"/>
  <c r="D173" i="7"/>
  <c r="AK174" i="7"/>
  <c r="BX185" i="7"/>
  <c r="CS184" i="7"/>
  <c r="BQ180" i="7"/>
  <c r="CI185" i="7"/>
  <c r="DD184" i="7"/>
  <c r="DS184" i="7"/>
  <c r="CJ185" i="7"/>
  <c r="DE184" i="7"/>
  <c r="BC182" i="7"/>
  <c r="DR182" i="7" s="1"/>
  <c r="AY182" i="7"/>
  <c r="DN182" i="7" s="1"/>
  <c r="AU182" i="7"/>
  <c r="DJ182" i="7" s="1"/>
  <c r="BB182" i="7"/>
  <c r="DQ182" i="7" s="1"/>
  <c r="AX182" i="7"/>
  <c r="DM182" i="7" s="1"/>
  <c r="AT182" i="7"/>
  <c r="BA182" i="7"/>
  <c r="DP182" i="7" s="1"/>
  <c r="AW182" i="7"/>
  <c r="DL182" i="7" s="1"/>
  <c r="AZ182" i="7"/>
  <c r="DO182" i="7" s="1"/>
  <c r="AV182" i="7"/>
  <c r="DK182" i="7" s="1"/>
  <c r="AG182" i="7"/>
  <c r="AF182" i="7"/>
  <c r="AI182" i="7" s="1"/>
  <c r="AH182" i="7"/>
  <c r="EB183" i="7"/>
  <c r="DW183" i="7"/>
  <c r="EA183" i="7"/>
  <c r="DV183" i="7"/>
  <c r="BS184" i="7"/>
  <c r="EF183" i="7"/>
  <c r="DZ183" i="7"/>
  <c r="CN183" i="7"/>
  <c r="BO182" i="7" s="1"/>
  <c r="EC183" i="7"/>
  <c r="DX183" i="7"/>
  <c r="M183" i="7"/>
  <c r="CC186" i="7"/>
  <c r="CX185" i="7"/>
  <c r="EA184" i="7" l="1"/>
  <c r="DV184" i="7"/>
  <c r="BS185" i="7"/>
  <c r="EF184" i="7"/>
  <c r="DZ184" i="7"/>
  <c r="CN184" i="7"/>
  <c r="EC184" i="7"/>
  <c r="DX184" i="7"/>
  <c r="EB184" i="7"/>
  <c r="DW184" i="7"/>
  <c r="M184" i="7"/>
  <c r="P184" i="7"/>
  <c r="N185" i="7" s="1"/>
  <c r="BZ186" i="7"/>
  <c r="CU185" i="7"/>
  <c r="EN185" i="7"/>
  <c r="BY187" i="7"/>
  <c r="CT186" i="7"/>
  <c r="BV186" i="7"/>
  <c r="CQ185" i="7"/>
  <c r="BQ181" i="7"/>
  <c r="BF182" i="7"/>
  <c r="BE182" i="7"/>
  <c r="BD182" i="7"/>
  <c r="CC187" i="7"/>
  <c r="CX186" i="7"/>
  <c r="BX186" i="7"/>
  <c r="CS185" i="7"/>
  <c r="CK187" i="7"/>
  <c r="DF186" i="7"/>
  <c r="BG183" i="7"/>
  <c r="CM186" i="7"/>
  <c r="DH185" i="7"/>
  <c r="CF185" i="7"/>
  <c r="DA184" i="7"/>
  <c r="AN184" i="7"/>
  <c r="EO185" i="7"/>
  <c r="BT186" i="7"/>
  <c r="CO185" i="7"/>
  <c r="E174" i="7"/>
  <c r="BL174" i="7"/>
  <c r="AL175" i="7"/>
  <c r="CA186" i="7"/>
  <c r="CV185" i="7"/>
  <c r="BJ174" i="7"/>
  <c r="BM174" i="7" s="1"/>
  <c r="B174" i="7" s="1"/>
  <c r="C174" i="7"/>
  <c r="F174" i="7" s="1"/>
  <c r="AJ175" i="7"/>
  <c r="CG186" i="7"/>
  <c r="DB185" i="7"/>
  <c r="AO185" i="7"/>
  <c r="CH185" i="7"/>
  <c r="DC184" i="7"/>
  <c r="BN184" i="7"/>
  <c r="BB183" i="7"/>
  <c r="DQ183" i="7" s="1"/>
  <c r="AX183" i="7"/>
  <c r="DM183" i="7" s="1"/>
  <c r="AT183" i="7"/>
  <c r="BA183" i="7"/>
  <c r="DP183" i="7" s="1"/>
  <c r="AW183" i="7"/>
  <c r="DL183" i="7" s="1"/>
  <c r="AZ183" i="7"/>
  <c r="DO183" i="7" s="1"/>
  <c r="AV183" i="7"/>
  <c r="DK183" i="7" s="1"/>
  <c r="BC183" i="7"/>
  <c r="DR183" i="7" s="1"/>
  <c r="AY183" i="7"/>
  <c r="DN183" i="7" s="1"/>
  <c r="AU183" i="7"/>
  <c r="DJ183" i="7" s="1"/>
  <c r="AG183" i="7"/>
  <c r="AF183" i="7"/>
  <c r="AI183" i="7" s="1"/>
  <c r="AH183" i="7"/>
  <c r="CI186" i="7"/>
  <c r="DD185" i="7"/>
  <c r="DS185" i="7"/>
  <c r="BK174" i="7"/>
  <c r="D174" i="7"/>
  <c r="AK175" i="7"/>
  <c r="DG186" i="7"/>
  <c r="EM186" i="7"/>
  <c r="CL187" i="7"/>
  <c r="BW186" i="7"/>
  <c r="CR185" i="7"/>
  <c r="N184" i="7"/>
  <c r="CB186" i="7"/>
  <c r="CW185" i="7"/>
  <c r="BU187" i="7"/>
  <c r="CP186" i="7"/>
  <c r="CJ186" i="7"/>
  <c r="DE185" i="7"/>
  <c r="H180" i="7"/>
  <c r="G180" i="7"/>
  <c r="CE185" i="7"/>
  <c r="CZ184" i="7"/>
  <c r="AM184" i="7"/>
  <c r="CD186" i="7"/>
  <c r="CY185" i="7"/>
  <c r="DI182" i="7"/>
  <c r="DI183" i="7" s="1"/>
  <c r="BP183" i="7" l="1"/>
  <c r="BF183" i="7"/>
  <c r="BE183" i="7"/>
  <c r="BD183" i="7"/>
  <c r="CG187" i="7"/>
  <c r="DB186" i="7"/>
  <c r="AO186" i="7"/>
  <c r="CM187" i="7"/>
  <c r="DH186" i="7"/>
  <c r="AR185" i="7"/>
  <c r="AQ185" i="7"/>
  <c r="AP185" i="7"/>
  <c r="BP182" i="7"/>
  <c r="BQ182" i="7" s="1"/>
  <c r="D175" i="7"/>
  <c r="BK175" i="7"/>
  <c r="AK176" i="7"/>
  <c r="CB187" i="7"/>
  <c r="CW186" i="7"/>
  <c r="EM187" i="7"/>
  <c r="DG187" i="7"/>
  <c r="CL188" i="7"/>
  <c r="DS186" i="7"/>
  <c r="CI187" i="7"/>
  <c r="DD186" i="7"/>
  <c r="CH186" i="7"/>
  <c r="DC185" i="7"/>
  <c r="BN185" i="7"/>
  <c r="BJ175" i="7"/>
  <c r="BM175" i="7" s="1"/>
  <c r="B175" i="7" s="1"/>
  <c r="C175" i="7"/>
  <c r="F175" i="7" s="1"/>
  <c r="AJ176" i="7"/>
  <c r="CA187" i="7"/>
  <c r="CV186" i="7"/>
  <c r="BX187" i="7"/>
  <c r="CS186" i="7"/>
  <c r="BV187" i="7"/>
  <c r="CQ186" i="7"/>
  <c r="BA184" i="7"/>
  <c r="DP184" i="7" s="1"/>
  <c r="AW184" i="7"/>
  <c r="DL184" i="7" s="1"/>
  <c r="AZ184" i="7"/>
  <c r="DO184" i="7" s="1"/>
  <c r="AV184" i="7"/>
  <c r="DK184" i="7" s="1"/>
  <c r="BC184" i="7"/>
  <c r="DR184" i="7" s="1"/>
  <c r="AY184" i="7"/>
  <c r="DN184" i="7" s="1"/>
  <c r="AU184" i="7"/>
  <c r="DJ184" i="7" s="1"/>
  <c r="BB184" i="7"/>
  <c r="DQ184" i="7" s="1"/>
  <c r="AX184" i="7"/>
  <c r="DM184" i="7" s="1"/>
  <c r="AT184" i="7"/>
  <c r="AG184" i="7"/>
  <c r="AH184" i="7"/>
  <c r="AF184" i="7"/>
  <c r="AI184" i="7" s="1"/>
  <c r="BS186" i="7"/>
  <c r="EF185" i="7"/>
  <c r="DZ185" i="7"/>
  <c r="CN185" i="7"/>
  <c r="EC185" i="7"/>
  <c r="DX185" i="7"/>
  <c r="EB185" i="7"/>
  <c r="DW185" i="7"/>
  <c r="EA185" i="7"/>
  <c r="DV185" i="7"/>
  <c r="M185" i="7"/>
  <c r="CD187" i="7"/>
  <c r="CY186" i="7"/>
  <c r="BW187" i="7"/>
  <c r="CR186" i="7"/>
  <c r="AR184" i="7"/>
  <c r="BI184" i="7" s="1"/>
  <c r="AQ184" i="7"/>
  <c r="BH184" i="7" s="1"/>
  <c r="AP184" i="7"/>
  <c r="BG184" i="7" s="1"/>
  <c r="BI185" i="7"/>
  <c r="E175" i="7"/>
  <c r="BL175" i="7"/>
  <c r="AL176" i="7"/>
  <c r="EO186" i="7"/>
  <c r="BT187" i="7"/>
  <c r="CO186" i="7"/>
  <c r="AN185" i="7"/>
  <c r="BH185" i="7" s="1"/>
  <c r="CF186" i="7"/>
  <c r="DA185" i="7"/>
  <c r="BZ187" i="7"/>
  <c r="CU186" i="7"/>
  <c r="EN186" i="7"/>
  <c r="BO183" i="7"/>
  <c r="BQ183" i="7" s="1"/>
  <c r="CE186" i="7"/>
  <c r="CZ185" i="7"/>
  <c r="AM185" i="7"/>
  <c r="BG185" i="7" s="1"/>
  <c r="CJ187" i="7"/>
  <c r="DE186" i="7"/>
  <c r="BU188" i="7"/>
  <c r="CP187" i="7"/>
  <c r="P185" i="7"/>
  <c r="N186" i="7" s="1"/>
  <c r="CK188" i="7"/>
  <c r="DF187" i="7"/>
  <c r="CC188" i="7"/>
  <c r="CX187" i="7"/>
  <c r="G181" i="7"/>
  <c r="H181" i="7"/>
  <c r="BY188" i="7"/>
  <c r="CT187" i="7"/>
  <c r="BY189" i="7" l="1"/>
  <c r="CT188" i="7"/>
  <c r="EC186" i="7"/>
  <c r="DX186" i="7"/>
  <c r="EB186" i="7"/>
  <c r="DW186" i="7"/>
  <c r="EA186" i="7"/>
  <c r="DV186" i="7"/>
  <c r="BS187" i="7"/>
  <c r="EF186" i="7"/>
  <c r="DZ186" i="7"/>
  <c r="CN186" i="7"/>
  <c r="M186" i="7"/>
  <c r="BE184" i="7"/>
  <c r="BD184" i="7"/>
  <c r="BF184" i="7"/>
  <c r="C176" i="7"/>
  <c r="F176" i="7" s="1"/>
  <c r="BJ176" i="7"/>
  <c r="BM176" i="7" s="1"/>
  <c r="B176" i="7" s="1"/>
  <c r="AJ177" i="7"/>
  <c r="P186" i="7"/>
  <c r="N187" i="7" s="1"/>
  <c r="CJ188" i="7"/>
  <c r="DE187" i="7"/>
  <c r="DI184" i="7"/>
  <c r="EN187" i="7"/>
  <c r="BZ188" i="7"/>
  <c r="CU187" i="7"/>
  <c r="CD188" i="7"/>
  <c r="CY187" i="7"/>
  <c r="BO184" i="7"/>
  <c r="BX188" i="7"/>
  <c r="CS187" i="7"/>
  <c r="CH187" i="7"/>
  <c r="DC186" i="7"/>
  <c r="BN186" i="7"/>
  <c r="EM188" i="7"/>
  <c r="DG188" i="7"/>
  <c r="CL189" i="7"/>
  <c r="CB188" i="7"/>
  <c r="CW187" i="7"/>
  <c r="CC189" i="7"/>
  <c r="CX188" i="7"/>
  <c r="AM186" i="7"/>
  <c r="CE187" i="7"/>
  <c r="CZ186" i="7"/>
  <c r="AZ185" i="7"/>
  <c r="DO185" i="7" s="1"/>
  <c r="AV185" i="7"/>
  <c r="DK185" i="7" s="1"/>
  <c r="BC185" i="7"/>
  <c r="DR185" i="7" s="1"/>
  <c r="AY185" i="7"/>
  <c r="DN185" i="7" s="1"/>
  <c r="AU185" i="7"/>
  <c r="DJ185" i="7" s="1"/>
  <c r="BB185" i="7"/>
  <c r="DQ185" i="7" s="1"/>
  <c r="AX185" i="7"/>
  <c r="DM185" i="7" s="1"/>
  <c r="AT185" i="7"/>
  <c r="BA185" i="7"/>
  <c r="DP185" i="7" s="1"/>
  <c r="AW185" i="7"/>
  <c r="DL185" i="7" s="1"/>
  <c r="AF185" i="7"/>
  <c r="AI185" i="7" s="1"/>
  <c r="AG185" i="7"/>
  <c r="AH185" i="7"/>
  <c r="H182" i="7"/>
  <c r="G182" i="7"/>
  <c r="CM188" i="7"/>
  <c r="DH187" i="7"/>
  <c r="CG188" i="7"/>
  <c r="DB187" i="7"/>
  <c r="AO187" i="7"/>
  <c r="AQ186" i="7"/>
  <c r="AP186" i="7"/>
  <c r="AR186" i="7"/>
  <c r="BI186" i="7" s="1"/>
  <c r="BL176" i="7"/>
  <c r="E176" i="7"/>
  <c r="AL177" i="7"/>
  <c r="CK189" i="7"/>
  <c r="DF188" i="7"/>
  <c r="H183" i="7"/>
  <c r="G183" i="7"/>
  <c r="BT188" i="7"/>
  <c r="CO187" i="7"/>
  <c r="EO187" i="7"/>
  <c r="BU189" i="7"/>
  <c r="CP188" i="7"/>
  <c r="CF187" i="7"/>
  <c r="DA186" i="7"/>
  <c r="AN186" i="7"/>
  <c r="BH186" i="7" s="1"/>
  <c r="BW188" i="7"/>
  <c r="CR187" i="7"/>
  <c r="BV188" i="7"/>
  <c r="CQ187" i="7"/>
  <c r="CA188" i="7"/>
  <c r="CV187" i="7"/>
  <c r="CI188" i="7"/>
  <c r="DD187" i="7"/>
  <c r="DS187" i="7"/>
  <c r="D176" i="7"/>
  <c r="BK176" i="7"/>
  <c r="AK177" i="7"/>
  <c r="DG189" i="7" l="1"/>
  <c r="EM189" i="7"/>
  <c r="CL190" i="7"/>
  <c r="BZ189" i="7"/>
  <c r="CU188" i="7"/>
  <c r="EN188" i="7"/>
  <c r="CJ189" i="7"/>
  <c r="DE188" i="7"/>
  <c r="C177" i="7"/>
  <c r="F177" i="7" s="1"/>
  <c r="BJ177" i="7"/>
  <c r="BM177" i="7" s="1"/>
  <c r="B177" i="7" s="1"/>
  <c r="AJ178" i="7"/>
  <c r="CI189" i="7"/>
  <c r="DD188" i="7"/>
  <c r="DS188" i="7"/>
  <c r="BL177" i="7"/>
  <c r="E177" i="7"/>
  <c r="AL178" i="7"/>
  <c r="BV189" i="7"/>
  <c r="CQ188" i="7"/>
  <c r="CM189" i="7"/>
  <c r="DH188" i="7"/>
  <c r="BD185" i="7"/>
  <c r="BF185" i="7"/>
  <c r="BE185" i="7"/>
  <c r="CC190" i="7"/>
  <c r="CX189" i="7"/>
  <c r="BN187" i="7"/>
  <c r="CH188" i="7"/>
  <c r="DC187" i="7"/>
  <c r="BK177" i="7"/>
  <c r="D177" i="7"/>
  <c r="AK178" i="7"/>
  <c r="BU190" i="7"/>
  <c r="CP189" i="7"/>
  <c r="P187" i="7"/>
  <c r="CF188" i="7"/>
  <c r="DA187" i="7"/>
  <c r="AN187" i="7"/>
  <c r="CE188" i="7"/>
  <c r="CZ187" i="7"/>
  <c r="AM187" i="7"/>
  <c r="CD189" i="7"/>
  <c r="CY188" i="7"/>
  <c r="DI185" i="7"/>
  <c r="BP185" i="7" s="1"/>
  <c r="AP187" i="7"/>
  <c r="AR187" i="7"/>
  <c r="BI187" i="7" s="1"/>
  <c r="AQ187" i="7"/>
  <c r="BC186" i="7"/>
  <c r="DR186" i="7" s="1"/>
  <c r="AY186" i="7"/>
  <c r="DN186" i="7" s="1"/>
  <c r="AU186" i="7"/>
  <c r="DJ186" i="7" s="1"/>
  <c r="BB186" i="7"/>
  <c r="DQ186" i="7" s="1"/>
  <c r="AX186" i="7"/>
  <c r="DM186" i="7" s="1"/>
  <c r="AT186" i="7"/>
  <c r="BA186" i="7"/>
  <c r="DP186" i="7" s="1"/>
  <c r="AW186" i="7"/>
  <c r="DL186" i="7" s="1"/>
  <c r="AZ186" i="7"/>
  <c r="DO186" i="7" s="1"/>
  <c r="AV186" i="7"/>
  <c r="DK186" i="7" s="1"/>
  <c r="AH186" i="7"/>
  <c r="AG186" i="7"/>
  <c r="AF186" i="7"/>
  <c r="AI186" i="7" s="1"/>
  <c r="EB187" i="7"/>
  <c r="DW187" i="7"/>
  <c r="EA187" i="7"/>
  <c r="DV187" i="7"/>
  <c r="BS188" i="7"/>
  <c r="EF187" i="7"/>
  <c r="DZ187" i="7"/>
  <c r="CN187" i="7"/>
  <c r="BO186" i="7" s="1"/>
  <c r="EC187" i="7"/>
  <c r="DX187" i="7"/>
  <c r="M187" i="7"/>
  <c r="BY190" i="7"/>
  <c r="CT189" i="7"/>
  <c r="BP184" i="7"/>
  <c r="BQ184" i="7" s="1"/>
  <c r="CA189" i="7"/>
  <c r="CV188" i="7"/>
  <c r="BW189" i="7"/>
  <c r="CR188" i="7"/>
  <c r="BT189" i="7"/>
  <c r="CO188" i="7"/>
  <c r="EO188" i="7"/>
  <c r="CK190" i="7"/>
  <c r="DF189" i="7"/>
  <c r="AO188" i="7"/>
  <c r="CG189" i="7"/>
  <c r="DB188" i="7"/>
  <c r="BG186" i="7"/>
  <c r="CB189" i="7"/>
  <c r="CW188" i="7"/>
  <c r="BX189" i="7"/>
  <c r="CS188" i="7"/>
  <c r="BO185" i="7"/>
  <c r="H184" i="7" l="1"/>
  <c r="G184" i="7"/>
  <c r="CE189" i="7"/>
  <c r="CZ188" i="7"/>
  <c r="AM188" i="7"/>
  <c r="BK178" i="7"/>
  <c r="D178" i="7"/>
  <c r="AK179" i="7"/>
  <c r="CH189" i="7"/>
  <c r="DC188" i="7"/>
  <c r="BN188" i="7"/>
  <c r="CM190" i="7"/>
  <c r="DH189" i="7"/>
  <c r="E178" i="7"/>
  <c r="BL178" i="7"/>
  <c r="AL179" i="7"/>
  <c r="BX190" i="7"/>
  <c r="CS189" i="7"/>
  <c r="CA190" i="7"/>
  <c r="CV189" i="7"/>
  <c r="BB187" i="7"/>
  <c r="DQ187" i="7" s="1"/>
  <c r="AX187" i="7"/>
  <c r="DM187" i="7" s="1"/>
  <c r="AT187" i="7"/>
  <c r="BA187" i="7"/>
  <c r="DP187" i="7" s="1"/>
  <c r="AW187" i="7"/>
  <c r="DL187" i="7" s="1"/>
  <c r="AZ187" i="7"/>
  <c r="DO187" i="7" s="1"/>
  <c r="AV187" i="7"/>
  <c r="DK187" i="7" s="1"/>
  <c r="BC187" i="7"/>
  <c r="DR187" i="7" s="1"/>
  <c r="AY187" i="7"/>
  <c r="DN187" i="7" s="1"/>
  <c r="AU187" i="7"/>
  <c r="DJ187" i="7" s="1"/>
  <c r="AH187" i="7"/>
  <c r="AF187" i="7"/>
  <c r="AI187" i="7" s="1"/>
  <c r="AG187" i="7"/>
  <c r="CD190" i="7"/>
  <c r="CY189" i="7"/>
  <c r="BH187" i="7"/>
  <c r="N188" i="7"/>
  <c r="CI190" i="7"/>
  <c r="DD189" i="7"/>
  <c r="DS189" i="7"/>
  <c r="BZ190" i="7"/>
  <c r="CU189" i="7"/>
  <c r="EN189" i="7"/>
  <c r="CB190" i="7"/>
  <c r="CW189" i="7"/>
  <c r="BY191" i="7"/>
  <c r="CT190" i="7"/>
  <c r="EO189" i="7"/>
  <c r="BT190" i="7"/>
  <c r="CO189" i="7"/>
  <c r="CK191" i="7"/>
  <c r="DF190" i="7"/>
  <c r="BG187" i="7"/>
  <c r="BJ178" i="7"/>
  <c r="BM178" i="7" s="1"/>
  <c r="B178" i="7" s="1"/>
  <c r="C178" i="7"/>
  <c r="F178" i="7" s="1"/>
  <c r="AJ179" i="7"/>
  <c r="CJ190" i="7"/>
  <c r="DE189" i="7"/>
  <c r="BQ185" i="7"/>
  <c r="CG190" i="7"/>
  <c r="DB189" i="7"/>
  <c r="AO189" i="7"/>
  <c r="BW190" i="7"/>
  <c r="CR189" i="7"/>
  <c r="EA188" i="7"/>
  <c r="DV188" i="7"/>
  <c r="BS189" i="7"/>
  <c r="EF188" i="7"/>
  <c r="DZ188" i="7"/>
  <c r="CN188" i="7"/>
  <c r="EC188" i="7"/>
  <c r="DX188" i="7"/>
  <c r="EB188" i="7"/>
  <c r="DW188" i="7"/>
  <c r="M188" i="7"/>
  <c r="BF186" i="7"/>
  <c r="BE186" i="7"/>
  <c r="BD186" i="7"/>
  <c r="DI186" i="7"/>
  <c r="DI187" i="7" s="1"/>
  <c r="CF189" i="7"/>
  <c r="DA188" i="7"/>
  <c r="AN188" i="7"/>
  <c r="BU191" i="7"/>
  <c r="CP190" i="7"/>
  <c r="CC191" i="7"/>
  <c r="CX190" i="7"/>
  <c r="BV190" i="7"/>
  <c r="CQ189" i="7"/>
  <c r="P188" i="7"/>
  <c r="N189" i="7" s="1"/>
  <c r="DG190" i="7"/>
  <c r="EM190" i="7"/>
  <c r="CL191" i="7"/>
  <c r="BP187" i="7" l="1"/>
  <c r="BO187" i="7"/>
  <c r="BQ187" i="7" s="1"/>
  <c r="BY192" i="7"/>
  <c r="CT191" i="7"/>
  <c r="DS190" i="7"/>
  <c r="CI191" i="7"/>
  <c r="DD190" i="7"/>
  <c r="BF187" i="7"/>
  <c r="BE187" i="7"/>
  <c r="BD187" i="7"/>
  <c r="CA191" i="7"/>
  <c r="CV190" i="7"/>
  <c r="E179" i="7"/>
  <c r="BL179" i="7"/>
  <c r="AL180" i="7"/>
  <c r="CM191" i="7"/>
  <c r="DH190" i="7"/>
  <c r="D179" i="7"/>
  <c r="BK179" i="7"/>
  <c r="AK180" i="7"/>
  <c r="EM191" i="7"/>
  <c r="DG191" i="7"/>
  <c r="CL192" i="7"/>
  <c r="CC192" i="7"/>
  <c r="CX191" i="7"/>
  <c r="CJ191" i="7"/>
  <c r="DE190" i="7"/>
  <c r="EO190" i="7"/>
  <c r="BT191" i="7"/>
  <c r="CO190" i="7"/>
  <c r="BZ191" i="7"/>
  <c r="CU190" i="7"/>
  <c r="EN190" i="7"/>
  <c r="CD191" i="7"/>
  <c r="CY190" i="7"/>
  <c r="CE190" i="7"/>
  <c r="CZ189" i="7"/>
  <c r="AM189" i="7"/>
  <c r="BP186" i="7"/>
  <c r="BQ186" i="7" s="1"/>
  <c r="AN189" i="7"/>
  <c r="CF190" i="7"/>
  <c r="DA189" i="7"/>
  <c r="CG191" i="7"/>
  <c r="DB190" i="7"/>
  <c r="AO190" i="7"/>
  <c r="BJ179" i="7"/>
  <c r="BM179" i="7" s="1"/>
  <c r="B179" i="7" s="1"/>
  <c r="C179" i="7"/>
  <c r="F179" i="7" s="1"/>
  <c r="AJ180" i="7"/>
  <c r="CB191" i="7"/>
  <c r="CW190" i="7"/>
  <c r="P189" i="7"/>
  <c r="AR188" i="7"/>
  <c r="BI188" i="7" s="1"/>
  <c r="AQ188" i="7"/>
  <c r="BH188" i="7" s="1"/>
  <c r="AP188" i="7"/>
  <c r="BX191" i="7"/>
  <c r="CS190" i="7"/>
  <c r="AR189" i="7"/>
  <c r="BI189" i="7" s="1"/>
  <c r="AQ189" i="7"/>
  <c r="AP189" i="7"/>
  <c r="BV191" i="7"/>
  <c r="CQ190" i="7"/>
  <c r="BU192" i="7"/>
  <c r="CP191" i="7"/>
  <c r="BA188" i="7"/>
  <c r="DP188" i="7" s="1"/>
  <c r="AW188" i="7"/>
  <c r="DL188" i="7" s="1"/>
  <c r="AZ188" i="7"/>
  <c r="DO188" i="7" s="1"/>
  <c r="AV188" i="7"/>
  <c r="DK188" i="7" s="1"/>
  <c r="BC188" i="7"/>
  <c r="DR188" i="7" s="1"/>
  <c r="AY188" i="7"/>
  <c r="DN188" i="7" s="1"/>
  <c r="AU188" i="7"/>
  <c r="DJ188" i="7" s="1"/>
  <c r="BB188" i="7"/>
  <c r="DQ188" i="7" s="1"/>
  <c r="AX188" i="7"/>
  <c r="DM188" i="7" s="1"/>
  <c r="AT188" i="7"/>
  <c r="DI188" i="7" s="1"/>
  <c r="AF188" i="7"/>
  <c r="AI188" i="7" s="1"/>
  <c r="AH188" i="7"/>
  <c r="AG188" i="7"/>
  <c r="BS190" i="7"/>
  <c r="EF189" i="7"/>
  <c r="DZ189" i="7"/>
  <c r="CN189" i="7"/>
  <c r="EC189" i="7"/>
  <c r="DX189" i="7"/>
  <c r="EB189" i="7"/>
  <c r="DW189" i="7"/>
  <c r="EA189" i="7"/>
  <c r="DV189" i="7"/>
  <c r="M189" i="7"/>
  <c r="BW191" i="7"/>
  <c r="CR190" i="7"/>
  <c r="G185" i="7"/>
  <c r="H185" i="7"/>
  <c r="CK192" i="7"/>
  <c r="DF191" i="7"/>
  <c r="CH190" i="7"/>
  <c r="DC189" i="7"/>
  <c r="BN189" i="7"/>
  <c r="BG188" i="7"/>
  <c r="BP188" i="7" l="1"/>
  <c r="CK193" i="7"/>
  <c r="DF192" i="7"/>
  <c r="BW192" i="7"/>
  <c r="CR191" i="7"/>
  <c r="BO188" i="7"/>
  <c r="BQ188" i="7" s="1"/>
  <c r="CB192" i="7"/>
  <c r="CW191" i="7"/>
  <c r="CF191" i="7"/>
  <c r="DA190" i="7"/>
  <c r="AN190" i="7"/>
  <c r="CD192" i="7"/>
  <c r="CY191" i="7"/>
  <c r="CJ192" i="7"/>
  <c r="DE191" i="7"/>
  <c r="CI192" i="7"/>
  <c r="DD191" i="7"/>
  <c r="DS191" i="7"/>
  <c r="BV192" i="7"/>
  <c r="CQ191" i="7"/>
  <c r="N190" i="7"/>
  <c r="C180" i="7"/>
  <c r="F180" i="7" s="1"/>
  <c r="BJ180" i="7"/>
  <c r="BM180" i="7" s="1"/>
  <c r="B180" i="7" s="1"/>
  <c r="AJ181" i="7"/>
  <c r="BH189" i="7"/>
  <c r="AM190" i="7"/>
  <c r="CE191" i="7"/>
  <c r="CZ190" i="7"/>
  <c r="BT192" i="7"/>
  <c r="CO191" i="7"/>
  <c r="EO191" i="7"/>
  <c r="P190" i="7"/>
  <c r="H187" i="7"/>
  <c r="G187" i="7"/>
  <c r="BE188" i="7"/>
  <c r="BD188" i="7"/>
  <c r="BF188" i="7"/>
  <c r="AZ189" i="7"/>
  <c r="DO189" i="7" s="1"/>
  <c r="AV189" i="7"/>
  <c r="DK189" i="7" s="1"/>
  <c r="BC189" i="7"/>
  <c r="DR189" i="7" s="1"/>
  <c r="AY189" i="7"/>
  <c r="DN189" i="7" s="1"/>
  <c r="AU189" i="7"/>
  <c r="DJ189" i="7" s="1"/>
  <c r="BB189" i="7"/>
  <c r="DQ189" i="7" s="1"/>
  <c r="AX189" i="7"/>
  <c r="DM189" i="7" s="1"/>
  <c r="AT189" i="7"/>
  <c r="BA189" i="7"/>
  <c r="DP189" i="7" s="1"/>
  <c r="AW189" i="7"/>
  <c r="DL189" i="7" s="1"/>
  <c r="AG189" i="7"/>
  <c r="AF189" i="7"/>
  <c r="AI189" i="7" s="1"/>
  <c r="AH189" i="7"/>
  <c r="CH191" i="7"/>
  <c r="DC190" i="7"/>
  <c r="BN190" i="7"/>
  <c r="BX192" i="7"/>
  <c r="CS191" i="7"/>
  <c r="CG192" i="7"/>
  <c r="DB191" i="7"/>
  <c r="AO191" i="7"/>
  <c r="H186" i="7"/>
  <c r="G186" i="7"/>
  <c r="CC193" i="7"/>
  <c r="CX192" i="7"/>
  <c r="D180" i="7"/>
  <c r="BK180" i="7"/>
  <c r="AK181" i="7"/>
  <c r="CM192" i="7"/>
  <c r="DH191" i="7"/>
  <c r="EC190" i="7"/>
  <c r="DX190" i="7"/>
  <c r="EB190" i="7"/>
  <c r="DW190" i="7"/>
  <c r="EA190" i="7"/>
  <c r="DV190" i="7"/>
  <c r="BS191" i="7"/>
  <c r="EF190" i="7"/>
  <c r="DZ190" i="7"/>
  <c r="CN190" i="7"/>
  <c r="BO189" i="7" s="1"/>
  <c r="M190" i="7"/>
  <c r="BU193" i="7"/>
  <c r="CP192" i="7"/>
  <c r="BG189" i="7"/>
  <c r="EN191" i="7"/>
  <c r="BZ192" i="7"/>
  <c r="CU191" i="7"/>
  <c r="EM192" i="7"/>
  <c r="DG192" i="7"/>
  <c r="CL193" i="7"/>
  <c r="BL180" i="7"/>
  <c r="E180" i="7"/>
  <c r="AL181" i="7"/>
  <c r="CA192" i="7"/>
  <c r="CV191" i="7"/>
  <c r="BY193" i="7"/>
  <c r="CT192" i="7"/>
  <c r="BY194" i="7" l="1"/>
  <c r="CT193" i="7"/>
  <c r="BK181" i="7"/>
  <c r="D181" i="7"/>
  <c r="AK182" i="7"/>
  <c r="CC194" i="7"/>
  <c r="CX193" i="7"/>
  <c r="BD189" i="7"/>
  <c r="BF189" i="7"/>
  <c r="BE189" i="7"/>
  <c r="P191" i="7"/>
  <c r="CJ193" i="7"/>
  <c r="DE192" i="7"/>
  <c r="CB193" i="7"/>
  <c r="CW192" i="7"/>
  <c r="N191" i="7"/>
  <c r="BT193" i="7"/>
  <c r="CO192" i="7"/>
  <c r="EO192" i="7"/>
  <c r="AQ190" i="7"/>
  <c r="AP190" i="7"/>
  <c r="BG190" i="7" s="1"/>
  <c r="AR190" i="7"/>
  <c r="BI190" i="7" s="1"/>
  <c r="CF192" i="7"/>
  <c r="DA191" i="7"/>
  <c r="AN191" i="7"/>
  <c r="H188" i="7"/>
  <c r="G188" i="7"/>
  <c r="CK194" i="7"/>
  <c r="DF193" i="7"/>
  <c r="AO192" i="7"/>
  <c r="CG193" i="7"/>
  <c r="DB192" i="7"/>
  <c r="CA193" i="7"/>
  <c r="CV192" i="7"/>
  <c r="DG193" i="7"/>
  <c r="EM193" i="7"/>
  <c r="CL194" i="7"/>
  <c r="BZ193" i="7"/>
  <c r="CU192" i="7"/>
  <c r="EN192" i="7"/>
  <c r="BU194" i="7"/>
  <c r="CP193" i="7"/>
  <c r="BN191" i="7"/>
  <c r="CH192" i="7"/>
  <c r="DC191" i="7"/>
  <c r="C181" i="7"/>
  <c r="F181" i="7" s="1"/>
  <c r="BJ181" i="7"/>
  <c r="BM181" i="7" s="1"/>
  <c r="B181" i="7" s="1"/>
  <c r="AJ182" i="7"/>
  <c r="CI193" i="7"/>
  <c r="DD192" i="7"/>
  <c r="DS192" i="7"/>
  <c r="CD193" i="7"/>
  <c r="CY192" i="7"/>
  <c r="DI189" i="7"/>
  <c r="DI190" i="7" s="1"/>
  <c r="BL181" i="7"/>
  <c r="E181" i="7"/>
  <c r="AL182" i="7"/>
  <c r="BC190" i="7"/>
  <c r="DR190" i="7" s="1"/>
  <c r="AY190" i="7"/>
  <c r="DN190" i="7" s="1"/>
  <c r="AU190" i="7"/>
  <c r="DJ190" i="7" s="1"/>
  <c r="BB190" i="7"/>
  <c r="DQ190" i="7" s="1"/>
  <c r="AX190" i="7"/>
  <c r="DM190" i="7" s="1"/>
  <c r="AT190" i="7"/>
  <c r="BA190" i="7"/>
  <c r="DP190" i="7" s="1"/>
  <c r="AW190" i="7"/>
  <c r="DL190" i="7" s="1"/>
  <c r="AZ190" i="7"/>
  <c r="DO190" i="7" s="1"/>
  <c r="AV190" i="7"/>
  <c r="DK190" i="7" s="1"/>
  <c r="AG190" i="7"/>
  <c r="AH190" i="7"/>
  <c r="AF190" i="7"/>
  <c r="AI190" i="7" s="1"/>
  <c r="EB191" i="7"/>
  <c r="DW191" i="7"/>
  <c r="EA191" i="7"/>
  <c r="DV191" i="7"/>
  <c r="BS192" i="7"/>
  <c r="EF191" i="7"/>
  <c r="DZ191" i="7"/>
  <c r="CN191" i="7"/>
  <c r="BO190" i="7" s="1"/>
  <c r="EC191" i="7"/>
  <c r="DX191" i="7"/>
  <c r="M191" i="7"/>
  <c r="CM193" i="7"/>
  <c r="DH192" i="7"/>
  <c r="BX193" i="7"/>
  <c r="CS192" i="7"/>
  <c r="CE192" i="7"/>
  <c r="CZ191" i="7"/>
  <c r="AM191" i="7"/>
  <c r="BV193" i="7"/>
  <c r="CQ192" i="7"/>
  <c r="BH190" i="7"/>
  <c r="BW193" i="7"/>
  <c r="CR192" i="7"/>
  <c r="BP190" i="7" l="1"/>
  <c r="BQ190" i="7" s="1"/>
  <c r="BB191" i="7"/>
  <c r="DQ191" i="7" s="1"/>
  <c r="AX191" i="7"/>
  <c r="DM191" i="7" s="1"/>
  <c r="AT191" i="7"/>
  <c r="BA191" i="7"/>
  <c r="DP191" i="7" s="1"/>
  <c r="AW191" i="7"/>
  <c r="DL191" i="7" s="1"/>
  <c r="AZ191" i="7"/>
  <c r="DO191" i="7" s="1"/>
  <c r="AV191" i="7"/>
  <c r="DK191" i="7" s="1"/>
  <c r="BC191" i="7"/>
  <c r="DR191" i="7" s="1"/>
  <c r="AY191" i="7"/>
  <c r="DN191" i="7" s="1"/>
  <c r="AU191" i="7"/>
  <c r="DJ191" i="7" s="1"/>
  <c r="AF191" i="7"/>
  <c r="AI191" i="7" s="1"/>
  <c r="AG191" i="7"/>
  <c r="AH191" i="7"/>
  <c r="CE193" i="7"/>
  <c r="CZ192" i="7"/>
  <c r="AM192" i="7"/>
  <c r="EA192" i="7"/>
  <c r="DV192" i="7"/>
  <c r="BS193" i="7"/>
  <c r="EF192" i="7"/>
  <c r="DZ192" i="7"/>
  <c r="CN192" i="7"/>
  <c r="EC192" i="7"/>
  <c r="DX192" i="7"/>
  <c r="EB192" i="7"/>
  <c r="DW192" i="7"/>
  <c r="M192" i="7"/>
  <c r="BF190" i="7"/>
  <c r="BE190" i="7"/>
  <c r="BD190" i="7"/>
  <c r="P192" i="7"/>
  <c r="N193" i="7" s="1"/>
  <c r="CG194" i="7"/>
  <c r="DB193" i="7"/>
  <c r="AO193" i="7"/>
  <c r="CF193" i="7"/>
  <c r="DA192" i="7"/>
  <c r="AN192" i="7"/>
  <c r="CB194" i="7"/>
  <c r="CW193" i="7"/>
  <c r="N192" i="7"/>
  <c r="BK182" i="7"/>
  <c r="D182" i="7"/>
  <c r="AK183" i="7"/>
  <c r="BY195" i="7"/>
  <c r="CT194" i="7"/>
  <c r="DI191" i="7"/>
  <c r="BZ194" i="7"/>
  <c r="CU193" i="7"/>
  <c r="EN193" i="7"/>
  <c r="EO193" i="7"/>
  <c r="BT194" i="7"/>
  <c r="CO193" i="7"/>
  <c r="BX194" i="7"/>
  <c r="CS193" i="7"/>
  <c r="E182" i="7"/>
  <c r="BL182" i="7"/>
  <c r="AL183" i="7"/>
  <c r="CI194" i="7"/>
  <c r="DD193" i="7"/>
  <c r="DS193" i="7"/>
  <c r="BU195" i="7"/>
  <c r="CP194" i="7"/>
  <c r="DG194" i="7"/>
  <c r="EM194" i="7"/>
  <c r="CL195" i="7"/>
  <c r="CA194" i="7"/>
  <c r="CV193" i="7"/>
  <c r="AP191" i="7"/>
  <c r="BG191" i="7" s="1"/>
  <c r="AR191" i="7"/>
  <c r="BI191" i="7" s="1"/>
  <c r="AQ191" i="7"/>
  <c r="BH191" i="7" s="1"/>
  <c r="CJ194" i="7"/>
  <c r="DE193" i="7"/>
  <c r="BV194" i="7"/>
  <c r="CQ193" i="7"/>
  <c r="CM194" i="7"/>
  <c r="DH193" i="7"/>
  <c r="BW194" i="7"/>
  <c r="CR193" i="7"/>
  <c r="CD194" i="7"/>
  <c r="CY193" i="7"/>
  <c r="BJ182" i="7"/>
  <c r="BM182" i="7" s="1"/>
  <c r="B182" i="7" s="1"/>
  <c r="C182" i="7"/>
  <c r="F182" i="7" s="1"/>
  <c r="AJ183" i="7"/>
  <c r="CH193" i="7"/>
  <c r="DC192" i="7"/>
  <c r="BN192" i="7"/>
  <c r="CK195" i="7"/>
  <c r="DF194" i="7"/>
  <c r="CC195" i="7"/>
  <c r="CX194" i="7"/>
  <c r="BP189" i="7"/>
  <c r="BQ189" i="7" s="1"/>
  <c r="BP191" i="7" l="1"/>
  <c r="H190" i="7"/>
  <c r="G190" i="7"/>
  <c r="BW195" i="7"/>
  <c r="CR194" i="7"/>
  <c r="BV195" i="7"/>
  <c r="CQ194" i="7"/>
  <c r="EM195" i="7"/>
  <c r="DG195" i="7"/>
  <c r="CL196" i="7"/>
  <c r="BU196" i="7"/>
  <c r="CP195" i="7"/>
  <c r="E183" i="7"/>
  <c r="BL183" i="7"/>
  <c r="AL184" i="7"/>
  <c r="BX195" i="7"/>
  <c r="CS194" i="7"/>
  <c r="BZ195" i="7"/>
  <c r="CU194" i="7"/>
  <c r="EN194" i="7"/>
  <c r="D183" i="7"/>
  <c r="BK183" i="7"/>
  <c r="AK184" i="7"/>
  <c r="AN193" i="7"/>
  <c r="CF194" i="7"/>
  <c r="DA193" i="7"/>
  <c r="CK196" i="7"/>
  <c r="DF195" i="7"/>
  <c r="CM195" i="7"/>
  <c r="DH194" i="7"/>
  <c r="CC196" i="7"/>
  <c r="CX195" i="7"/>
  <c r="CH194" i="7"/>
  <c r="DC193" i="7"/>
  <c r="BN193" i="7"/>
  <c r="P193" i="7"/>
  <c r="CB195" i="7"/>
  <c r="CW194" i="7"/>
  <c r="BJ183" i="7"/>
  <c r="BM183" i="7" s="1"/>
  <c r="B183" i="7" s="1"/>
  <c r="C183" i="7"/>
  <c r="F183" i="7" s="1"/>
  <c r="AJ184" i="7"/>
  <c r="CJ195" i="7"/>
  <c r="DE194" i="7"/>
  <c r="AR193" i="7"/>
  <c r="BI193" i="7" s="1"/>
  <c r="AQ193" i="7"/>
  <c r="AP193" i="7"/>
  <c r="BA192" i="7"/>
  <c r="DP192" i="7" s="1"/>
  <c r="AW192" i="7"/>
  <c r="DL192" i="7" s="1"/>
  <c r="AZ192" i="7"/>
  <c r="DO192" i="7" s="1"/>
  <c r="AV192" i="7"/>
  <c r="DK192" i="7" s="1"/>
  <c r="BC192" i="7"/>
  <c r="DR192" i="7" s="1"/>
  <c r="AY192" i="7"/>
  <c r="DN192" i="7" s="1"/>
  <c r="AU192" i="7"/>
  <c r="DJ192" i="7" s="1"/>
  <c r="BB192" i="7"/>
  <c r="DQ192" i="7" s="1"/>
  <c r="AX192" i="7"/>
  <c r="DM192" i="7" s="1"/>
  <c r="AT192" i="7"/>
  <c r="DI192" i="7" s="1"/>
  <c r="AF192" i="7"/>
  <c r="AI192" i="7" s="1"/>
  <c r="AH192" i="7"/>
  <c r="AG192" i="7"/>
  <c r="BS194" i="7"/>
  <c r="EF193" i="7"/>
  <c r="DZ193" i="7"/>
  <c r="CN193" i="7"/>
  <c r="EC193" i="7"/>
  <c r="DX193" i="7"/>
  <c r="EB193" i="7"/>
  <c r="DW193" i="7"/>
  <c r="EA193" i="7"/>
  <c r="DV193" i="7"/>
  <c r="M193" i="7"/>
  <c r="BF191" i="7"/>
  <c r="BE191" i="7"/>
  <c r="BD191" i="7"/>
  <c r="G189" i="7"/>
  <c r="H189" i="7"/>
  <c r="CD195" i="7"/>
  <c r="CY194" i="7"/>
  <c r="CA195" i="7"/>
  <c r="CV194" i="7"/>
  <c r="DS194" i="7"/>
  <c r="CI195" i="7"/>
  <c r="DD194" i="7"/>
  <c r="EO194" i="7"/>
  <c r="BT195" i="7"/>
  <c r="CO194" i="7"/>
  <c r="BY196" i="7"/>
  <c r="CT195" i="7"/>
  <c r="AR192" i="7"/>
  <c r="BI192" i="7" s="1"/>
  <c r="AQ192" i="7"/>
  <c r="BH192" i="7" s="1"/>
  <c r="AP192" i="7"/>
  <c r="BG192" i="7" s="1"/>
  <c r="CG195" i="7"/>
  <c r="DB194" i="7"/>
  <c r="AO194" i="7"/>
  <c r="BO191" i="7"/>
  <c r="BQ191" i="7" s="1"/>
  <c r="CE194" i="7"/>
  <c r="CZ193" i="7"/>
  <c r="AM193" i="7"/>
  <c r="BG193" i="7" s="1"/>
  <c r="BP192" i="7" l="1"/>
  <c r="CA196" i="7"/>
  <c r="CV195" i="7"/>
  <c r="BO192" i="7"/>
  <c r="CB196" i="7"/>
  <c r="CW195" i="7"/>
  <c r="CC197" i="7"/>
  <c r="CX196" i="7"/>
  <c r="CK197" i="7"/>
  <c r="DF196" i="7"/>
  <c r="D184" i="7"/>
  <c r="BK184" i="7"/>
  <c r="AK185" i="7"/>
  <c r="BL184" i="7"/>
  <c r="E184" i="7"/>
  <c r="AL185" i="7"/>
  <c r="BU197" i="7"/>
  <c r="CP196" i="7"/>
  <c r="CG196" i="7"/>
  <c r="DB195" i="7"/>
  <c r="AO195" i="7"/>
  <c r="H191" i="7"/>
  <c r="G191" i="7"/>
  <c r="AZ193" i="7"/>
  <c r="DO193" i="7" s="1"/>
  <c r="AV193" i="7"/>
  <c r="DK193" i="7" s="1"/>
  <c r="BC193" i="7"/>
  <c r="DR193" i="7" s="1"/>
  <c r="AY193" i="7"/>
  <c r="DN193" i="7" s="1"/>
  <c r="AU193" i="7"/>
  <c r="DJ193" i="7" s="1"/>
  <c r="BB193" i="7"/>
  <c r="DQ193" i="7" s="1"/>
  <c r="AX193" i="7"/>
  <c r="DM193" i="7" s="1"/>
  <c r="AT193" i="7"/>
  <c r="DI193" i="7" s="1"/>
  <c r="BA193" i="7"/>
  <c r="DP193" i="7" s="1"/>
  <c r="AW193" i="7"/>
  <c r="DL193" i="7" s="1"/>
  <c r="AG193" i="7"/>
  <c r="AF193" i="7"/>
  <c r="AI193" i="7" s="1"/>
  <c r="AH193" i="7"/>
  <c r="CJ196" i="7"/>
  <c r="DE195" i="7"/>
  <c r="EN195" i="7"/>
  <c r="BZ196" i="7"/>
  <c r="CU195" i="7"/>
  <c r="EM196" i="7"/>
  <c r="DG196" i="7"/>
  <c r="CL197" i="7"/>
  <c r="BV196" i="7"/>
  <c r="CQ195" i="7"/>
  <c r="AM194" i="7"/>
  <c r="CE195" i="7"/>
  <c r="CZ194" i="7"/>
  <c r="BY197" i="7"/>
  <c r="CT196" i="7"/>
  <c r="CI196" i="7"/>
  <c r="DD195" i="7"/>
  <c r="DS195" i="7"/>
  <c r="BT196" i="7"/>
  <c r="CO195" i="7"/>
  <c r="EO195" i="7"/>
  <c r="P194" i="7"/>
  <c r="C184" i="7"/>
  <c r="F184" i="7" s="1"/>
  <c r="BJ184" i="7"/>
  <c r="BM184" i="7" s="1"/>
  <c r="B184" i="7" s="1"/>
  <c r="AJ185" i="7"/>
  <c r="N194" i="7"/>
  <c r="CH195" i="7"/>
  <c r="DC194" i="7"/>
  <c r="BN194" i="7"/>
  <c r="CM196" i="7"/>
  <c r="DH195" i="7"/>
  <c r="CF195" i="7"/>
  <c r="DA194" i="7"/>
  <c r="AN194" i="7"/>
  <c r="CD196" i="7"/>
  <c r="CY195" i="7"/>
  <c r="EC194" i="7"/>
  <c r="DX194" i="7"/>
  <c r="EB194" i="7"/>
  <c r="DW194" i="7"/>
  <c r="EA194" i="7"/>
  <c r="DV194" i="7"/>
  <c r="BS195" i="7"/>
  <c r="EF194" i="7"/>
  <c r="DZ194" i="7"/>
  <c r="CN194" i="7"/>
  <c r="BO193" i="7" s="1"/>
  <c r="M194" i="7"/>
  <c r="BE192" i="7"/>
  <c r="BD192" i="7"/>
  <c r="BF192" i="7"/>
  <c r="BH193" i="7"/>
  <c r="BX196" i="7"/>
  <c r="CS195" i="7"/>
  <c r="BW196" i="7"/>
  <c r="CR195" i="7"/>
  <c r="BP193" i="7" l="1"/>
  <c r="BQ193" i="7" s="1"/>
  <c r="CF196" i="7"/>
  <c r="DA195" i="7"/>
  <c r="AN195" i="7"/>
  <c r="P195" i="7"/>
  <c r="BY198" i="7"/>
  <c r="CT197" i="7"/>
  <c r="BC194" i="7"/>
  <c r="DR194" i="7" s="1"/>
  <c r="AY194" i="7"/>
  <c r="DN194" i="7" s="1"/>
  <c r="AU194" i="7"/>
  <c r="DJ194" i="7" s="1"/>
  <c r="BB194" i="7"/>
  <c r="DQ194" i="7" s="1"/>
  <c r="AX194" i="7"/>
  <c r="DM194" i="7" s="1"/>
  <c r="AT194" i="7"/>
  <c r="DI194" i="7" s="1"/>
  <c r="BA194" i="7"/>
  <c r="DP194" i="7" s="1"/>
  <c r="AW194" i="7"/>
  <c r="DL194" i="7" s="1"/>
  <c r="AZ194" i="7"/>
  <c r="DO194" i="7" s="1"/>
  <c r="AV194" i="7"/>
  <c r="DK194" i="7" s="1"/>
  <c r="AG194" i="7"/>
  <c r="AF194" i="7"/>
  <c r="AI194" i="7" s="1"/>
  <c r="AH194" i="7"/>
  <c r="EB195" i="7"/>
  <c r="DW195" i="7"/>
  <c r="EA195" i="7"/>
  <c r="DV195" i="7"/>
  <c r="BS196" i="7"/>
  <c r="EF195" i="7"/>
  <c r="DZ195" i="7"/>
  <c r="CN195" i="7"/>
  <c r="EC195" i="7"/>
  <c r="DX195" i="7"/>
  <c r="M195" i="7"/>
  <c r="CD197" i="7"/>
  <c r="CY196" i="7"/>
  <c r="BN195" i="7"/>
  <c r="CH196" i="7"/>
  <c r="DC195" i="7"/>
  <c r="BV197" i="7"/>
  <c r="CQ196" i="7"/>
  <c r="CJ197" i="7"/>
  <c r="DE196" i="7"/>
  <c r="BU198" i="7"/>
  <c r="CP197" i="7"/>
  <c r="BK185" i="7"/>
  <c r="D185" i="7"/>
  <c r="AK186" i="7"/>
  <c r="CK198" i="7"/>
  <c r="DF197" i="7"/>
  <c r="CA197" i="7"/>
  <c r="CV196" i="7"/>
  <c r="BW197" i="7"/>
  <c r="CR196" i="7"/>
  <c r="CM197" i="7"/>
  <c r="DH196" i="7"/>
  <c r="AQ194" i="7"/>
  <c r="BH194" i="7" s="1"/>
  <c r="AP194" i="7"/>
  <c r="AR194" i="7"/>
  <c r="BI194" i="7" s="1"/>
  <c r="N195" i="7"/>
  <c r="BT197" i="7"/>
  <c r="CO196" i="7"/>
  <c r="EO196" i="7"/>
  <c r="CI197" i="7"/>
  <c r="DD196" i="7"/>
  <c r="DS196" i="7"/>
  <c r="CE196" i="7"/>
  <c r="CZ195" i="7"/>
  <c r="AM195" i="7"/>
  <c r="DG197" i="7"/>
  <c r="EM197" i="7"/>
  <c r="CL198" i="7"/>
  <c r="BZ197" i="7"/>
  <c r="CU196" i="7"/>
  <c r="EN196" i="7"/>
  <c r="BL185" i="7"/>
  <c r="E185" i="7"/>
  <c r="AL186" i="7"/>
  <c r="CB197" i="7"/>
  <c r="CW196" i="7"/>
  <c r="BX197" i="7"/>
  <c r="CS196" i="7"/>
  <c r="C185" i="7"/>
  <c r="F185" i="7" s="1"/>
  <c r="BJ185" i="7"/>
  <c r="BM185" i="7" s="1"/>
  <c r="B185" i="7" s="1"/>
  <c r="AJ186" i="7"/>
  <c r="BG194" i="7"/>
  <c r="BD193" i="7"/>
  <c r="BF193" i="7"/>
  <c r="BE193" i="7"/>
  <c r="AO196" i="7"/>
  <c r="CG197" i="7"/>
  <c r="DB196" i="7"/>
  <c r="CC198" i="7"/>
  <c r="CX197" i="7"/>
  <c r="BQ192" i="7"/>
  <c r="BP194" i="7" l="1"/>
  <c r="G193" i="7"/>
  <c r="H193" i="7"/>
  <c r="BJ186" i="7"/>
  <c r="BM186" i="7" s="1"/>
  <c r="B186" i="7" s="1"/>
  <c r="C186" i="7"/>
  <c r="F186" i="7" s="1"/>
  <c r="AJ187" i="7"/>
  <c r="P196" i="7"/>
  <c r="CD198" i="7"/>
  <c r="CY197" i="7"/>
  <c r="BO194" i="7"/>
  <c r="BQ194" i="7" s="1"/>
  <c r="N196" i="7"/>
  <c r="BZ198" i="7"/>
  <c r="CU197" i="7"/>
  <c r="EN197" i="7"/>
  <c r="EO197" i="7"/>
  <c r="BT198" i="7"/>
  <c r="CO197" i="7"/>
  <c r="BW198" i="7"/>
  <c r="CR197" i="7"/>
  <c r="CK199" i="7"/>
  <c r="DF198" i="7"/>
  <c r="CJ198" i="7"/>
  <c r="DE197" i="7"/>
  <c r="CH197" i="7"/>
  <c r="DC196" i="7"/>
  <c r="BN196" i="7"/>
  <c r="BB195" i="7"/>
  <c r="DQ195" i="7" s="1"/>
  <c r="AX195" i="7"/>
  <c r="DM195" i="7" s="1"/>
  <c r="AT195" i="7"/>
  <c r="DI195" i="7" s="1"/>
  <c r="BA195" i="7"/>
  <c r="DP195" i="7" s="1"/>
  <c r="AW195" i="7"/>
  <c r="DL195" i="7" s="1"/>
  <c r="AZ195" i="7"/>
  <c r="DO195" i="7" s="1"/>
  <c r="AV195" i="7"/>
  <c r="DK195" i="7" s="1"/>
  <c r="BC195" i="7"/>
  <c r="DR195" i="7" s="1"/>
  <c r="AY195" i="7"/>
  <c r="DN195" i="7" s="1"/>
  <c r="AU195" i="7"/>
  <c r="DJ195" i="7" s="1"/>
  <c r="AG195" i="7"/>
  <c r="AF195" i="7"/>
  <c r="AI195" i="7" s="1"/>
  <c r="AH195" i="7"/>
  <c r="E186" i="7"/>
  <c r="BL186" i="7"/>
  <c r="AL187" i="7"/>
  <c r="BX198" i="7"/>
  <c r="CS197" i="7"/>
  <c r="AP195" i="7"/>
  <c r="BG195" i="7" s="1"/>
  <c r="AR195" i="7"/>
  <c r="BI195" i="7" s="1"/>
  <c r="AQ195" i="7"/>
  <c r="BH195" i="7" s="1"/>
  <c r="CM198" i="7"/>
  <c r="DH197" i="7"/>
  <c r="BK186" i="7"/>
  <c r="D186" i="7"/>
  <c r="AK187" i="7"/>
  <c r="BU199" i="7"/>
  <c r="CP198" i="7"/>
  <c r="BY199" i="7"/>
  <c r="CT198" i="7"/>
  <c r="CC199" i="7"/>
  <c r="CX198" i="7"/>
  <c r="H192" i="7"/>
  <c r="G192" i="7"/>
  <c r="CG198" i="7"/>
  <c r="DB197" i="7"/>
  <c r="AO197" i="7"/>
  <c r="DG198" i="7"/>
  <c r="EM198" i="7"/>
  <c r="CL199" i="7"/>
  <c r="CI198" i="7"/>
  <c r="DD197" i="7"/>
  <c r="DS197" i="7"/>
  <c r="CB198" i="7"/>
  <c r="CW197" i="7"/>
  <c r="CE197" i="7"/>
  <c r="CZ196" i="7"/>
  <c r="AM196" i="7"/>
  <c r="CA198" i="7"/>
  <c r="CV197" i="7"/>
  <c r="BV198" i="7"/>
  <c r="CQ197" i="7"/>
  <c r="EA196" i="7"/>
  <c r="DV196" i="7"/>
  <c r="BS197" i="7"/>
  <c r="EF196" i="7"/>
  <c r="DZ196" i="7"/>
  <c r="CN196" i="7"/>
  <c r="EC196" i="7"/>
  <c r="DX196" i="7"/>
  <c r="EB196" i="7"/>
  <c r="DW196" i="7"/>
  <c r="M196" i="7"/>
  <c r="BF194" i="7"/>
  <c r="BE194" i="7"/>
  <c r="BD194" i="7"/>
  <c r="CF197" i="7"/>
  <c r="DA196" i="7"/>
  <c r="AN196" i="7"/>
  <c r="BP195" i="7" l="1"/>
  <c r="CB199" i="7"/>
  <c r="CW198" i="7"/>
  <c r="DS198" i="7"/>
  <c r="CI199" i="7"/>
  <c r="DD198" i="7"/>
  <c r="BY200" i="7"/>
  <c r="CT199" i="7"/>
  <c r="D187" i="7"/>
  <c r="BK187" i="7"/>
  <c r="AK188" i="7"/>
  <c r="CM199" i="7"/>
  <c r="DH198" i="7"/>
  <c r="BX199" i="7"/>
  <c r="CS198" i="7"/>
  <c r="CH198" i="7"/>
  <c r="DC197" i="7"/>
  <c r="BN197" i="7"/>
  <c r="CK200" i="7"/>
  <c r="DF199" i="7"/>
  <c r="EO198" i="7"/>
  <c r="BT199" i="7"/>
  <c r="CO198" i="7"/>
  <c r="BJ187" i="7"/>
  <c r="BM187" i="7" s="1"/>
  <c r="B187" i="7" s="1"/>
  <c r="C187" i="7"/>
  <c r="F187" i="7" s="1"/>
  <c r="AJ188" i="7"/>
  <c r="AN197" i="7"/>
  <c r="CF198" i="7"/>
  <c r="DA197" i="7"/>
  <c r="EM199" i="7"/>
  <c r="DG199" i="7"/>
  <c r="CL200" i="7"/>
  <c r="E187" i="7"/>
  <c r="BL187" i="7"/>
  <c r="AL188" i="7"/>
  <c r="BZ199" i="7"/>
  <c r="CU198" i="7"/>
  <c r="EN198" i="7"/>
  <c r="CD199" i="7"/>
  <c r="CY198" i="7"/>
  <c r="BA196" i="7"/>
  <c r="DP196" i="7" s="1"/>
  <c r="AW196" i="7"/>
  <c r="DL196" i="7" s="1"/>
  <c r="AZ196" i="7"/>
  <c r="DO196" i="7" s="1"/>
  <c r="AV196" i="7"/>
  <c r="DK196" i="7" s="1"/>
  <c r="BC196" i="7"/>
  <c r="DR196" i="7" s="1"/>
  <c r="AY196" i="7"/>
  <c r="DN196" i="7" s="1"/>
  <c r="AU196" i="7"/>
  <c r="DJ196" i="7" s="1"/>
  <c r="BB196" i="7"/>
  <c r="DQ196" i="7" s="1"/>
  <c r="AX196" i="7"/>
  <c r="DM196" i="7" s="1"/>
  <c r="AT196" i="7"/>
  <c r="DI196" i="7" s="1"/>
  <c r="AF196" i="7"/>
  <c r="AI196" i="7" s="1"/>
  <c r="AH196" i="7"/>
  <c r="AG196" i="7"/>
  <c r="BS198" i="7"/>
  <c r="EF197" i="7"/>
  <c r="DZ197" i="7"/>
  <c r="CN197" i="7"/>
  <c r="EC197" i="7"/>
  <c r="DX197" i="7"/>
  <c r="EB197" i="7"/>
  <c r="DW197" i="7"/>
  <c r="EA197" i="7"/>
  <c r="DV197" i="7"/>
  <c r="M197" i="7"/>
  <c r="BV199" i="7"/>
  <c r="CQ198" i="7"/>
  <c r="BO195" i="7"/>
  <c r="BQ195" i="7" s="1"/>
  <c r="CE198" i="7"/>
  <c r="CZ197" i="7"/>
  <c r="AM197" i="7"/>
  <c r="P197" i="7"/>
  <c r="N198" i="7" s="1"/>
  <c r="CG199" i="7"/>
  <c r="DB198" i="7"/>
  <c r="AO198" i="7"/>
  <c r="CC200" i="7"/>
  <c r="CX199" i="7"/>
  <c r="CJ199" i="7"/>
  <c r="DE198" i="7"/>
  <c r="BW199" i="7"/>
  <c r="CR198" i="7"/>
  <c r="AR196" i="7"/>
  <c r="BI196" i="7" s="1"/>
  <c r="AQ196" i="7"/>
  <c r="BH196" i="7" s="1"/>
  <c r="AP196" i="7"/>
  <c r="BG196" i="7" s="1"/>
  <c r="CA199" i="7"/>
  <c r="CV198" i="7"/>
  <c r="BU200" i="7"/>
  <c r="CP199" i="7"/>
  <c r="BF195" i="7"/>
  <c r="BE195" i="7"/>
  <c r="BD195" i="7"/>
  <c r="H194" i="7"/>
  <c r="G194" i="7"/>
  <c r="N197" i="7"/>
  <c r="BP196" i="7" l="1"/>
  <c r="CA200" i="7"/>
  <c r="CV199" i="7"/>
  <c r="CG200" i="7"/>
  <c r="DB199" i="7"/>
  <c r="AO199" i="7"/>
  <c r="BU201" i="7"/>
  <c r="CP200" i="7"/>
  <c r="CC201" i="7"/>
  <c r="CX200" i="7"/>
  <c r="AQ198" i="7"/>
  <c r="AP198" i="7"/>
  <c r="AR198" i="7"/>
  <c r="AM198" i="7"/>
  <c r="BG198" i="7" s="1"/>
  <c r="CE199" i="7"/>
  <c r="CZ198" i="7"/>
  <c r="AZ197" i="7"/>
  <c r="DO197" i="7" s="1"/>
  <c r="AV197" i="7"/>
  <c r="DK197" i="7" s="1"/>
  <c r="BC197" i="7"/>
  <c r="DR197" i="7" s="1"/>
  <c r="AY197" i="7"/>
  <c r="DN197" i="7" s="1"/>
  <c r="AU197" i="7"/>
  <c r="DJ197" i="7" s="1"/>
  <c r="BB197" i="7"/>
  <c r="DQ197" i="7" s="1"/>
  <c r="AX197" i="7"/>
  <c r="DM197" i="7" s="1"/>
  <c r="AT197" i="7"/>
  <c r="BA197" i="7"/>
  <c r="DP197" i="7" s="1"/>
  <c r="AW197" i="7"/>
  <c r="DL197" i="7" s="1"/>
  <c r="AH197" i="7"/>
  <c r="AG197" i="7"/>
  <c r="AF197" i="7"/>
  <c r="AI197" i="7" s="1"/>
  <c r="EN199" i="7"/>
  <c r="BZ200" i="7"/>
  <c r="CU199" i="7"/>
  <c r="EM200" i="7"/>
  <c r="DG200" i="7"/>
  <c r="CL201" i="7"/>
  <c r="CF199" i="7"/>
  <c r="DA198" i="7"/>
  <c r="AN198" i="7"/>
  <c r="BH198" i="7" s="1"/>
  <c r="CH199" i="7"/>
  <c r="DC198" i="7"/>
  <c r="BN198" i="7"/>
  <c r="CM200" i="7"/>
  <c r="DH199" i="7"/>
  <c r="CI200" i="7"/>
  <c r="DD199" i="7"/>
  <c r="DS199" i="7"/>
  <c r="BV200" i="7"/>
  <c r="CQ199" i="7"/>
  <c r="AR197" i="7"/>
  <c r="BI197" i="7" s="1"/>
  <c r="AQ197" i="7"/>
  <c r="AP197" i="7"/>
  <c r="BG197" i="7" s="1"/>
  <c r="CJ200" i="7"/>
  <c r="DE199" i="7"/>
  <c r="BI198" i="7"/>
  <c r="H195" i="7"/>
  <c r="G195" i="7"/>
  <c r="CD200" i="7"/>
  <c r="CY199" i="7"/>
  <c r="BL188" i="7"/>
  <c r="E188" i="7"/>
  <c r="AL189" i="7"/>
  <c r="BH197" i="7"/>
  <c r="CK201" i="7"/>
  <c r="DF200" i="7"/>
  <c r="D188" i="7"/>
  <c r="BK188" i="7"/>
  <c r="AK189" i="7"/>
  <c r="BY201" i="7"/>
  <c r="CT200" i="7"/>
  <c r="P198" i="7"/>
  <c r="EC198" i="7"/>
  <c r="DX198" i="7"/>
  <c r="EB198" i="7"/>
  <c r="DW198" i="7"/>
  <c r="EA198" i="7"/>
  <c r="DV198" i="7"/>
  <c r="BS199" i="7"/>
  <c r="EF198" i="7"/>
  <c r="DZ198" i="7"/>
  <c r="CN198" i="7"/>
  <c r="BO197" i="7" s="1"/>
  <c r="M198" i="7"/>
  <c r="BE196" i="7"/>
  <c r="BD196" i="7"/>
  <c r="BF196" i="7"/>
  <c r="C188" i="7"/>
  <c r="F188" i="7" s="1"/>
  <c r="BJ188" i="7"/>
  <c r="BM188" i="7" s="1"/>
  <c r="B188" i="7" s="1"/>
  <c r="AJ189" i="7"/>
  <c r="BT200" i="7"/>
  <c r="CO199" i="7"/>
  <c r="EO199" i="7"/>
  <c r="BX200" i="7"/>
  <c r="CS199" i="7"/>
  <c r="BW200" i="7"/>
  <c r="CR199" i="7"/>
  <c r="BO196" i="7"/>
  <c r="BQ196" i="7" s="1"/>
  <c r="CB200" i="7"/>
  <c r="CW199" i="7"/>
  <c r="H196" i="7" l="1"/>
  <c r="G196" i="7"/>
  <c r="BT201" i="7"/>
  <c r="CO200" i="7"/>
  <c r="EO200" i="7"/>
  <c r="C189" i="7"/>
  <c r="F189" i="7" s="1"/>
  <c r="BJ189" i="7"/>
  <c r="BM189" i="7" s="1"/>
  <c r="B189" i="7" s="1"/>
  <c r="AJ190" i="7"/>
  <c r="BW201" i="7"/>
  <c r="CR200" i="7"/>
  <c r="BY202" i="7"/>
  <c r="CT201" i="7"/>
  <c r="CJ201" i="7"/>
  <c r="DE200" i="7"/>
  <c r="BV201" i="7"/>
  <c r="CQ200" i="7"/>
  <c r="BN199" i="7"/>
  <c r="CH200" i="7"/>
  <c r="DC199" i="7"/>
  <c r="DG201" i="7"/>
  <c r="EM201" i="7"/>
  <c r="CL202" i="7"/>
  <c r="BZ201" i="7"/>
  <c r="CU200" i="7"/>
  <c r="EN200" i="7"/>
  <c r="CE200" i="7"/>
  <c r="CZ199" i="7"/>
  <c r="AM199" i="7"/>
  <c r="CA201" i="7"/>
  <c r="CV200" i="7"/>
  <c r="CB201" i="7"/>
  <c r="CW200" i="7"/>
  <c r="BC198" i="7"/>
  <c r="DR198" i="7" s="1"/>
  <c r="AY198" i="7"/>
  <c r="DN198" i="7" s="1"/>
  <c r="AU198" i="7"/>
  <c r="DJ198" i="7" s="1"/>
  <c r="BB198" i="7"/>
  <c r="DQ198" i="7" s="1"/>
  <c r="AX198" i="7"/>
  <c r="DM198" i="7" s="1"/>
  <c r="AT198" i="7"/>
  <c r="BA198" i="7"/>
  <c r="DP198" i="7" s="1"/>
  <c r="AW198" i="7"/>
  <c r="DL198" i="7" s="1"/>
  <c r="AZ198" i="7"/>
  <c r="DO198" i="7" s="1"/>
  <c r="AV198" i="7"/>
  <c r="DK198" i="7" s="1"/>
  <c r="AG198" i="7"/>
  <c r="AH198" i="7"/>
  <c r="AF198" i="7"/>
  <c r="AI198" i="7" s="1"/>
  <c r="EB199" i="7"/>
  <c r="DW199" i="7"/>
  <c r="EA199" i="7"/>
  <c r="DV199" i="7"/>
  <c r="BS200" i="7"/>
  <c r="EF199" i="7"/>
  <c r="DZ199" i="7"/>
  <c r="CN199" i="7"/>
  <c r="EC199" i="7"/>
  <c r="DX199" i="7"/>
  <c r="M199" i="7"/>
  <c r="N199" i="7"/>
  <c r="BK189" i="7"/>
  <c r="D189" i="7"/>
  <c r="AK190" i="7"/>
  <c r="CK202" i="7"/>
  <c r="DF201" i="7"/>
  <c r="P199" i="7"/>
  <c r="CM201" i="7"/>
  <c r="DH200" i="7"/>
  <c r="CC202" i="7"/>
  <c r="CX201" i="7"/>
  <c r="AO200" i="7"/>
  <c r="CG201" i="7"/>
  <c r="DB200" i="7"/>
  <c r="BX201" i="7"/>
  <c r="CS200" i="7"/>
  <c r="BL189" i="7"/>
  <c r="E189" i="7"/>
  <c r="AL190" i="7"/>
  <c r="CD201" i="7"/>
  <c r="CY200" i="7"/>
  <c r="CI201" i="7"/>
  <c r="DD200" i="7"/>
  <c r="DS200" i="7"/>
  <c r="CF200" i="7"/>
  <c r="DA199" i="7"/>
  <c r="AN199" i="7"/>
  <c r="BD197" i="7"/>
  <c r="BF197" i="7"/>
  <c r="BE197" i="7"/>
  <c r="BU202" i="7"/>
  <c r="CP201" i="7"/>
  <c r="DI197" i="7"/>
  <c r="CK203" i="7" l="1"/>
  <c r="DF202" i="7"/>
  <c r="BO198" i="7"/>
  <c r="CA202" i="7"/>
  <c r="CV201" i="7"/>
  <c r="CE201" i="7"/>
  <c r="CZ200" i="7"/>
  <c r="AM200" i="7"/>
  <c r="DG202" i="7"/>
  <c r="EM202" i="7"/>
  <c r="CL203" i="7"/>
  <c r="CH201" i="7"/>
  <c r="DC200" i="7"/>
  <c r="BN200" i="7"/>
  <c r="P200" i="7"/>
  <c r="BH199" i="7"/>
  <c r="BX202" i="7"/>
  <c r="CS201" i="7"/>
  <c r="CM202" i="7"/>
  <c r="DH201" i="7"/>
  <c r="AP199" i="7"/>
  <c r="AR199" i="7"/>
  <c r="BI199" i="7" s="1"/>
  <c r="AQ199" i="7"/>
  <c r="BK190" i="7"/>
  <c r="D190" i="7"/>
  <c r="AK191" i="7"/>
  <c r="BB199" i="7"/>
  <c r="DQ199" i="7" s="1"/>
  <c r="AX199" i="7"/>
  <c r="DM199" i="7" s="1"/>
  <c r="AT199" i="7"/>
  <c r="BA199" i="7"/>
  <c r="DP199" i="7" s="1"/>
  <c r="AW199" i="7"/>
  <c r="DL199" i="7" s="1"/>
  <c r="AZ199" i="7"/>
  <c r="DO199" i="7" s="1"/>
  <c r="AV199" i="7"/>
  <c r="DK199" i="7" s="1"/>
  <c r="BC199" i="7"/>
  <c r="DR199" i="7" s="1"/>
  <c r="AY199" i="7"/>
  <c r="DN199" i="7" s="1"/>
  <c r="AU199" i="7"/>
  <c r="DJ199" i="7" s="1"/>
  <c r="AF199" i="7"/>
  <c r="AI199" i="7" s="1"/>
  <c r="AH199" i="7"/>
  <c r="AG199" i="7"/>
  <c r="CJ202" i="7"/>
  <c r="DE201" i="7"/>
  <c r="BW202" i="7"/>
  <c r="CR201" i="7"/>
  <c r="CD202" i="7"/>
  <c r="CY201" i="7"/>
  <c r="BU203" i="7"/>
  <c r="CP202" i="7"/>
  <c r="E190" i="7"/>
  <c r="BL190" i="7"/>
  <c r="AL191" i="7"/>
  <c r="CI202" i="7"/>
  <c r="DD201" i="7"/>
  <c r="DS201" i="7"/>
  <c r="DI198" i="7"/>
  <c r="DI199" i="7" s="1"/>
  <c r="CF201" i="7"/>
  <c r="DA200" i="7"/>
  <c r="AN200" i="7"/>
  <c r="CG202" i="7"/>
  <c r="DB201" i="7"/>
  <c r="AO201" i="7"/>
  <c r="CC203" i="7"/>
  <c r="CX202" i="7"/>
  <c r="N200" i="7"/>
  <c r="CB202" i="7"/>
  <c r="CW201" i="7"/>
  <c r="BG199" i="7"/>
  <c r="BJ190" i="7"/>
  <c r="BM190" i="7" s="1"/>
  <c r="B190" i="7" s="1"/>
  <c r="C190" i="7"/>
  <c r="F190" i="7" s="1"/>
  <c r="AJ191" i="7"/>
  <c r="EA200" i="7"/>
  <c r="DV200" i="7"/>
  <c r="BS201" i="7"/>
  <c r="EF200" i="7"/>
  <c r="DZ200" i="7"/>
  <c r="CN200" i="7"/>
  <c r="BO199" i="7" s="1"/>
  <c r="EC200" i="7"/>
  <c r="DX200" i="7"/>
  <c r="EB200" i="7"/>
  <c r="DW200" i="7"/>
  <c r="M200" i="7"/>
  <c r="BF198" i="7"/>
  <c r="BE198" i="7"/>
  <c r="BD198" i="7"/>
  <c r="BZ202" i="7"/>
  <c r="CU201" i="7"/>
  <c r="EN201" i="7"/>
  <c r="BV202" i="7"/>
  <c r="CQ201" i="7"/>
  <c r="BY203" i="7"/>
  <c r="CT202" i="7"/>
  <c r="EO201" i="7"/>
  <c r="BT202" i="7"/>
  <c r="CO201" i="7"/>
  <c r="BP197" i="7"/>
  <c r="BQ197" i="7" s="1"/>
  <c r="BP199" i="7" l="1"/>
  <c r="BQ199" i="7"/>
  <c r="EO202" i="7"/>
  <c r="BT203" i="7"/>
  <c r="CO202" i="7"/>
  <c r="BS202" i="7"/>
  <c r="EF201" i="7"/>
  <c r="DZ201" i="7"/>
  <c r="CN201" i="7"/>
  <c r="EC201" i="7"/>
  <c r="DX201" i="7"/>
  <c r="EB201" i="7"/>
  <c r="DW201" i="7"/>
  <c r="EA201" i="7"/>
  <c r="DV201" i="7"/>
  <c r="M201" i="7"/>
  <c r="BJ191" i="7"/>
  <c r="BM191" i="7" s="1"/>
  <c r="B191" i="7" s="1"/>
  <c r="C191" i="7"/>
  <c r="F191" i="7" s="1"/>
  <c r="AJ192" i="7"/>
  <c r="CC204" i="7"/>
  <c r="CX203" i="7"/>
  <c r="P201" i="7"/>
  <c r="N202" i="7" s="1"/>
  <c r="D191" i="7"/>
  <c r="BK191" i="7"/>
  <c r="AK192" i="7"/>
  <c r="BX203" i="7"/>
  <c r="CS202" i="7"/>
  <c r="CE202" i="7"/>
  <c r="CZ201" i="7"/>
  <c r="AM201" i="7"/>
  <c r="BZ203" i="7"/>
  <c r="CU202" i="7"/>
  <c r="EN202" i="7"/>
  <c r="CB203" i="7"/>
  <c r="CW202" i="7"/>
  <c r="CD203" i="7"/>
  <c r="CY202" i="7"/>
  <c r="CJ203" i="7"/>
  <c r="DE202" i="7"/>
  <c r="BF199" i="7"/>
  <c r="BE199" i="7"/>
  <c r="BD199" i="7"/>
  <c r="CK204" i="7"/>
  <c r="DF203" i="7"/>
  <c r="BA200" i="7"/>
  <c r="DP200" i="7" s="1"/>
  <c r="AW200" i="7"/>
  <c r="DL200" i="7" s="1"/>
  <c r="AZ200" i="7"/>
  <c r="DO200" i="7" s="1"/>
  <c r="AV200" i="7"/>
  <c r="DK200" i="7" s="1"/>
  <c r="BC200" i="7"/>
  <c r="DR200" i="7" s="1"/>
  <c r="AY200" i="7"/>
  <c r="DN200" i="7" s="1"/>
  <c r="AU200" i="7"/>
  <c r="DJ200" i="7" s="1"/>
  <c r="BB200" i="7"/>
  <c r="DQ200" i="7" s="1"/>
  <c r="AX200" i="7"/>
  <c r="DM200" i="7" s="1"/>
  <c r="AT200" i="7"/>
  <c r="AF200" i="7"/>
  <c r="AI200" i="7" s="1"/>
  <c r="AH200" i="7"/>
  <c r="AG200" i="7"/>
  <c r="BV203" i="7"/>
  <c r="CQ202" i="7"/>
  <c r="G197" i="7"/>
  <c r="H197" i="7"/>
  <c r="AR200" i="7"/>
  <c r="BI200" i="7" s="1"/>
  <c r="AQ200" i="7"/>
  <c r="BH200" i="7" s="1"/>
  <c r="AP200" i="7"/>
  <c r="BG200" i="7" s="1"/>
  <c r="AN201" i="7"/>
  <c r="CF202" i="7"/>
  <c r="DA201" i="7"/>
  <c r="DS202" i="7"/>
  <c r="CI203" i="7"/>
  <c r="DD202" i="7"/>
  <c r="CM203" i="7"/>
  <c r="DH202" i="7"/>
  <c r="CH202" i="7"/>
  <c r="DC201" i="7"/>
  <c r="BN201" i="7"/>
  <c r="CA203" i="7"/>
  <c r="CV202" i="7"/>
  <c r="BY204" i="7"/>
  <c r="CT203" i="7"/>
  <c r="CG203" i="7"/>
  <c r="DB202" i="7"/>
  <c r="AO202" i="7"/>
  <c r="DI200" i="7"/>
  <c r="E191" i="7"/>
  <c r="BL191" i="7"/>
  <c r="AL192" i="7"/>
  <c r="BU204" i="7"/>
  <c r="CP203" i="7"/>
  <c r="BW203" i="7"/>
  <c r="CR202" i="7"/>
  <c r="N201" i="7"/>
  <c r="EM203" i="7"/>
  <c r="DG203" i="7"/>
  <c r="CL204" i="7"/>
  <c r="BP198" i="7"/>
  <c r="BQ198" i="7" s="1"/>
  <c r="H198" i="7" l="1"/>
  <c r="G198" i="7"/>
  <c r="BP200" i="7"/>
  <c r="AR201" i="7"/>
  <c r="BI201" i="7" s="1"/>
  <c r="AQ201" i="7"/>
  <c r="AP201" i="7"/>
  <c r="BU205" i="7"/>
  <c r="CP204" i="7"/>
  <c r="P202" i="7"/>
  <c r="CK205" i="7"/>
  <c r="DF204" i="7"/>
  <c r="AM202" i="7"/>
  <c r="CE203" i="7"/>
  <c r="CZ202" i="7"/>
  <c r="D192" i="7"/>
  <c r="BK192" i="7"/>
  <c r="AK193" i="7"/>
  <c r="C192" i="7"/>
  <c r="F192" i="7" s="1"/>
  <c r="BJ192" i="7"/>
  <c r="BM192" i="7" s="1"/>
  <c r="B192" i="7" s="1"/>
  <c r="AJ193" i="7"/>
  <c r="H199" i="7"/>
  <c r="G199" i="7"/>
  <c r="EM204" i="7"/>
  <c r="DG204" i="7"/>
  <c r="CL205" i="7"/>
  <c r="CM204" i="7"/>
  <c r="DH203" i="7"/>
  <c r="BV204" i="7"/>
  <c r="CQ203" i="7"/>
  <c r="BE200" i="7"/>
  <c r="BD200" i="7"/>
  <c r="BF200" i="7"/>
  <c r="CJ204" i="7"/>
  <c r="DE203" i="7"/>
  <c r="EN203" i="7"/>
  <c r="BZ204" i="7"/>
  <c r="CU203" i="7"/>
  <c r="EC202" i="7"/>
  <c r="DX202" i="7"/>
  <c r="EB202" i="7"/>
  <c r="DW202" i="7"/>
  <c r="EA202" i="7"/>
  <c r="DV202" i="7"/>
  <c r="BS203" i="7"/>
  <c r="EF202" i="7"/>
  <c r="DZ202" i="7"/>
  <c r="CN202" i="7"/>
  <c r="M202" i="7"/>
  <c r="CF203" i="7"/>
  <c r="DA202" i="7"/>
  <c r="AN202" i="7"/>
  <c r="CB204" i="7"/>
  <c r="CW203" i="7"/>
  <c r="BG201" i="7"/>
  <c r="BO200" i="7"/>
  <c r="BQ200" i="7" s="1"/>
  <c r="BL192" i="7"/>
  <c r="E192" i="7"/>
  <c r="AL193" i="7"/>
  <c r="BY205" i="7"/>
  <c r="CT204" i="7"/>
  <c r="BW204" i="7"/>
  <c r="CR203" i="7"/>
  <c r="CG204" i="7"/>
  <c r="DB203" i="7"/>
  <c r="AO203" i="7"/>
  <c r="CA204" i="7"/>
  <c r="CV203" i="7"/>
  <c r="CH203" i="7"/>
  <c r="DC202" i="7"/>
  <c r="BN202" i="7"/>
  <c r="CI204" i="7"/>
  <c r="DD203" i="7"/>
  <c r="DS203" i="7"/>
  <c r="BH201" i="7"/>
  <c r="CD204" i="7"/>
  <c r="CY203" i="7"/>
  <c r="BX204" i="7"/>
  <c r="CS203" i="7"/>
  <c r="AQ202" i="7"/>
  <c r="AP202" i="7"/>
  <c r="AR202" i="7"/>
  <c r="BI202" i="7" s="1"/>
  <c r="CC205" i="7"/>
  <c r="CX204" i="7"/>
  <c r="AZ201" i="7"/>
  <c r="DO201" i="7" s="1"/>
  <c r="AV201" i="7"/>
  <c r="DK201" i="7" s="1"/>
  <c r="BC201" i="7"/>
  <c r="DR201" i="7" s="1"/>
  <c r="AY201" i="7"/>
  <c r="DN201" i="7" s="1"/>
  <c r="AU201" i="7"/>
  <c r="DJ201" i="7" s="1"/>
  <c r="BB201" i="7"/>
  <c r="DQ201" i="7" s="1"/>
  <c r="AX201" i="7"/>
  <c r="DM201" i="7" s="1"/>
  <c r="AT201" i="7"/>
  <c r="BA201" i="7"/>
  <c r="DP201" i="7" s="1"/>
  <c r="AW201" i="7"/>
  <c r="DL201" i="7" s="1"/>
  <c r="AH201" i="7"/>
  <c r="AF201" i="7"/>
  <c r="AI201" i="7" s="1"/>
  <c r="AG201" i="7"/>
  <c r="BT204" i="7"/>
  <c r="CO203" i="7"/>
  <c r="EO203" i="7"/>
  <c r="BN203" i="7" l="1"/>
  <c r="CH204" i="7"/>
  <c r="DC203" i="7"/>
  <c r="CB205" i="7"/>
  <c r="CW204" i="7"/>
  <c r="CJ205" i="7"/>
  <c r="DE204" i="7"/>
  <c r="CK206" i="7"/>
  <c r="DF205" i="7"/>
  <c r="BT205" i="7"/>
  <c r="CO204" i="7"/>
  <c r="EO204" i="7"/>
  <c r="CD205" i="7"/>
  <c r="CY204" i="7"/>
  <c r="CI205" i="7"/>
  <c r="DD204" i="7"/>
  <c r="DS204" i="7"/>
  <c r="AO204" i="7"/>
  <c r="CG205" i="7"/>
  <c r="DB204" i="7"/>
  <c r="BY206" i="7"/>
  <c r="CT205" i="7"/>
  <c r="H200" i="7"/>
  <c r="G200" i="7"/>
  <c r="BH202" i="7"/>
  <c r="BC202" i="7"/>
  <c r="DR202" i="7" s="1"/>
  <c r="AY202" i="7"/>
  <c r="DN202" i="7" s="1"/>
  <c r="AU202" i="7"/>
  <c r="DJ202" i="7" s="1"/>
  <c r="BB202" i="7"/>
  <c r="DQ202" i="7" s="1"/>
  <c r="AX202" i="7"/>
  <c r="DM202" i="7" s="1"/>
  <c r="AT202" i="7"/>
  <c r="BA202" i="7"/>
  <c r="DP202" i="7" s="1"/>
  <c r="AW202" i="7"/>
  <c r="DL202" i="7" s="1"/>
  <c r="AZ202" i="7"/>
  <c r="DO202" i="7" s="1"/>
  <c r="AV202" i="7"/>
  <c r="DK202" i="7" s="1"/>
  <c r="AH202" i="7"/>
  <c r="AG202" i="7"/>
  <c r="AF202" i="7"/>
  <c r="AI202" i="7" s="1"/>
  <c r="EB203" i="7"/>
  <c r="DW203" i="7"/>
  <c r="EA203" i="7"/>
  <c r="DV203" i="7"/>
  <c r="BS204" i="7"/>
  <c r="EF203" i="7"/>
  <c r="DZ203" i="7"/>
  <c r="CN203" i="7"/>
  <c r="EC203" i="7"/>
  <c r="DX203" i="7"/>
  <c r="M203" i="7"/>
  <c r="BZ205" i="7"/>
  <c r="CU204" i="7"/>
  <c r="EN204" i="7"/>
  <c r="BV205" i="7"/>
  <c r="CQ204" i="7"/>
  <c r="DG205" i="7"/>
  <c r="EM205" i="7"/>
  <c r="CL206" i="7"/>
  <c r="BK193" i="7"/>
  <c r="D193" i="7"/>
  <c r="AK194" i="7"/>
  <c r="CE204" i="7"/>
  <c r="CZ203" i="7"/>
  <c r="AM203" i="7"/>
  <c r="N203" i="7"/>
  <c r="BU206" i="7"/>
  <c r="CP205" i="7"/>
  <c r="BD201" i="7"/>
  <c r="BF201" i="7"/>
  <c r="BE201" i="7"/>
  <c r="CA205" i="7"/>
  <c r="CV204" i="7"/>
  <c r="BL193" i="7"/>
  <c r="E193" i="7"/>
  <c r="AL194" i="7"/>
  <c r="BO201" i="7"/>
  <c r="C193" i="7"/>
  <c r="F193" i="7" s="1"/>
  <c r="BJ193" i="7"/>
  <c r="BM193" i="7" s="1"/>
  <c r="B193" i="7" s="1"/>
  <c r="AJ194" i="7"/>
  <c r="BG202" i="7"/>
  <c r="CC206" i="7"/>
  <c r="CX205" i="7"/>
  <c r="BX205" i="7"/>
  <c r="CS204" i="7"/>
  <c r="P203" i="7"/>
  <c r="N204" i="7" s="1"/>
  <c r="BW205" i="7"/>
  <c r="CR204" i="7"/>
  <c r="CF204" i="7"/>
  <c r="DA203" i="7"/>
  <c r="AN203" i="7"/>
  <c r="CM205" i="7"/>
  <c r="DH204" i="7"/>
  <c r="DI201" i="7"/>
  <c r="DI202" i="7" s="1"/>
  <c r="BP202" i="7" l="1"/>
  <c r="BX206" i="7"/>
  <c r="CS205" i="7"/>
  <c r="CF205" i="7"/>
  <c r="DA204" i="7"/>
  <c r="AN204" i="7"/>
  <c r="BZ206" i="7"/>
  <c r="CU205" i="7"/>
  <c r="EN205" i="7"/>
  <c r="BO202" i="7"/>
  <c r="BQ202" i="7" s="1"/>
  <c r="EO205" i="7"/>
  <c r="BT206" i="7"/>
  <c r="CO205" i="7"/>
  <c r="CJ206" i="7"/>
  <c r="DE205" i="7"/>
  <c r="CH205" i="7"/>
  <c r="DC204" i="7"/>
  <c r="BN204" i="7"/>
  <c r="BW206" i="7"/>
  <c r="CR205" i="7"/>
  <c r="CM206" i="7"/>
  <c r="DH205" i="7"/>
  <c r="AR204" i="7"/>
  <c r="BI204" i="7" s="1"/>
  <c r="AQ204" i="7"/>
  <c r="AP204" i="7"/>
  <c r="CC207" i="7"/>
  <c r="CX206" i="7"/>
  <c r="BU207" i="7"/>
  <c r="CP206" i="7"/>
  <c r="CE205" i="7"/>
  <c r="CZ204" i="7"/>
  <c r="AM204" i="7"/>
  <c r="BG204" i="7" s="1"/>
  <c r="DG206" i="7"/>
  <c r="EM206" i="7"/>
  <c r="CL207" i="7"/>
  <c r="BV206" i="7"/>
  <c r="CQ205" i="7"/>
  <c r="BB203" i="7"/>
  <c r="DQ203" i="7" s="1"/>
  <c r="AX203" i="7"/>
  <c r="DM203" i="7" s="1"/>
  <c r="AT203" i="7"/>
  <c r="BA203" i="7"/>
  <c r="DP203" i="7" s="1"/>
  <c r="AW203" i="7"/>
  <c r="DL203" i="7" s="1"/>
  <c r="AZ203" i="7"/>
  <c r="DO203" i="7" s="1"/>
  <c r="AV203" i="7"/>
  <c r="DK203" i="7" s="1"/>
  <c r="BC203" i="7"/>
  <c r="DR203" i="7" s="1"/>
  <c r="AY203" i="7"/>
  <c r="DN203" i="7" s="1"/>
  <c r="AU203" i="7"/>
  <c r="DJ203" i="7" s="1"/>
  <c r="AG203" i="7"/>
  <c r="AF203" i="7"/>
  <c r="AI203" i="7" s="1"/>
  <c r="AH203" i="7"/>
  <c r="BY207" i="7"/>
  <c r="CT206" i="7"/>
  <c r="P204" i="7"/>
  <c r="CD206" i="7"/>
  <c r="CY205" i="7"/>
  <c r="BH203" i="7"/>
  <c r="BQ201" i="7"/>
  <c r="AP203" i="7"/>
  <c r="AR203" i="7"/>
  <c r="BI203" i="7" s="1"/>
  <c r="AQ203" i="7"/>
  <c r="BK194" i="7"/>
  <c r="D194" i="7"/>
  <c r="AK195" i="7"/>
  <c r="CK207" i="7"/>
  <c r="DF206" i="7"/>
  <c r="CB206" i="7"/>
  <c r="CW205" i="7"/>
  <c r="BP201" i="7"/>
  <c r="DI203" i="7"/>
  <c r="BJ194" i="7"/>
  <c r="BM194" i="7" s="1"/>
  <c r="B194" i="7" s="1"/>
  <c r="C194" i="7"/>
  <c r="F194" i="7" s="1"/>
  <c r="AJ195" i="7"/>
  <c r="E194" i="7"/>
  <c r="BL194" i="7"/>
  <c r="AL195" i="7"/>
  <c r="CA206" i="7"/>
  <c r="CV205" i="7"/>
  <c r="BG203" i="7"/>
  <c r="EA204" i="7"/>
  <c r="DV204" i="7"/>
  <c r="BS205" i="7"/>
  <c r="EF204" i="7"/>
  <c r="DZ204" i="7"/>
  <c r="CN204" i="7"/>
  <c r="BO203" i="7" s="1"/>
  <c r="EC204" i="7"/>
  <c r="DX204" i="7"/>
  <c r="EB204" i="7"/>
  <c r="DW204" i="7"/>
  <c r="M204" i="7"/>
  <c r="BF202" i="7"/>
  <c r="BE202" i="7"/>
  <c r="BD202" i="7"/>
  <c r="CG206" i="7"/>
  <c r="DB205" i="7"/>
  <c r="AO205" i="7"/>
  <c r="CI206" i="7"/>
  <c r="DD205" i="7"/>
  <c r="DS205" i="7"/>
  <c r="BP203" i="7" l="1"/>
  <c r="BQ203" i="7" s="1"/>
  <c r="P205" i="7"/>
  <c r="CB207" i="7"/>
  <c r="CW206" i="7"/>
  <c r="G201" i="7"/>
  <c r="H201" i="7"/>
  <c r="CD207" i="7"/>
  <c r="CY206" i="7"/>
  <c r="BY208" i="7"/>
  <c r="CT207" i="7"/>
  <c r="EM207" i="7"/>
  <c r="DG207" i="7"/>
  <c r="CL208" i="7"/>
  <c r="CJ207" i="7"/>
  <c r="DE206" i="7"/>
  <c r="BZ207" i="7"/>
  <c r="CU206" i="7"/>
  <c r="EN206" i="7"/>
  <c r="BA204" i="7"/>
  <c r="DP204" i="7" s="1"/>
  <c r="AW204" i="7"/>
  <c r="DL204" i="7" s="1"/>
  <c r="AZ204" i="7"/>
  <c r="DO204" i="7" s="1"/>
  <c r="AV204" i="7"/>
  <c r="DK204" i="7" s="1"/>
  <c r="BC204" i="7"/>
  <c r="DR204" i="7" s="1"/>
  <c r="AY204" i="7"/>
  <c r="DN204" i="7" s="1"/>
  <c r="AU204" i="7"/>
  <c r="DJ204" i="7" s="1"/>
  <c r="BB204" i="7"/>
  <c r="DQ204" i="7" s="1"/>
  <c r="AX204" i="7"/>
  <c r="DM204" i="7" s="1"/>
  <c r="AT204" i="7"/>
  <c r="AF204" i="7"/>
  <c r="AI204" i="7" s="1"/>
  <c r="AH204" i="7"/>
  <c r="AG204" i="7"/>
  <c r="BS206" i="7"/>
  <c r="EF205" i="7"/>
  <c r="DZ205" i="7"/>
  <c r="CN205" i="7"/>
  <c r="EC205" i="7"/>
  <c r="DX205" i="7"/>
  <c r="EB205" i="7"/>
  <c r="DW205" i="7"/>
  <c r="EA205" i="7"/>
  <c r="DV205" i="7"/>
  <c r="M205" i="7"/>
  <c r="DI204" i="7"/>
  <c r="CE206" i="7"/>
  <c r="CZ205" i="7"/>
  <c r="AM205" i="7"/>
  <c r="CC208" i="7"/>
  <c r="CX207" i="7"/>
  <c r="CM207" i="7"/>
  <c r="DH206" i="7"/>
  <c r="H202" i="7"/>
  <c r="G202" i="7"/>
  <c r="BH204" i="7"/>
  <c r="BX207" i="7"/>
  <c r="CS206" i="7"/>
  <c r="CG207" i="7"/>
  <c r="DB206" i="7"/>
  <c r="AO206" i="7"/>
  <c r="DS206" i="7"/>
  <c r="CI207" i="7"/>
  <c r="DD206" i="7"/>
  <c r="CA207" i="7"/>
  <c r="CV206" i="7"/>
  <c r="BJ195" i="7"/>
  <c r="BM195" i="7" s="1"/>
  <c r="B195" i="7" s="1"/>
  <c r="C195" i="7"/>
  <c r="F195" i="7" s="1"/>
  <c r="AJ196" i="7"/>
  <c r="CK208" i="7"/>
  <c r="DF207" i="7"/>
  <c r="N205" i="7"/>
  <c r="CH206" i="7"/>
  <c r="DC205" i="7"/>
  <c r="BN205" i="7"/>
  <c r="EO206" i="7"/>
  <c r="BT207" i="7"/>
  <c r="CO206" i="7"/>
  <c r="E195" i="7"/>
  <c r="BL195" i="7"/>
  <c r="AL196" i="7"/>
  <c r="D195" i="7"/>
  <c r="BK195" i="7"/>
  <c r="AK196" i="7"/>
  <c r="BF203" i="7"/>
  <c r="BE203" i="7"/>
  <c r="BD203" i="7"/>
  <c r="BV207" i="7"/>
  <c r="CQ206" i="7"/>
  <c r="BU208" i="7"/>
  <c r="CP207" i="7"/>
  <c r="BW207" i="7"/>
  <c r="CR206" i="7"/>
  <c r="AN205" i="7"/>
  <c r="CF206" i="7"/>
  <c r="DA205" i="7"/>
  <c r="BP204" i="7" l="1"/>
  <c r="H203" i="7"/>
  <c r="G203" i="7"/>
  <c r="CF207" i="7"/>
  <c r="DA206" i="7"/>
  <c r="AN206" i="7"/>
  <c r="CM208" i="7"/>
  <c r="DH207" i="7"/>
  <c r="N206" i="7"/>
  <c r="AR205" i="7"/>
  <c r="BI205" i="7" s="1"/>
  <c r="AQ205" i="7"/>
  <c r="AP205" i="7"/>
  <c r="BH205" i="7"/>
  <c r="BU209" i="7"/>
  <c r="CP208" i="7"/>
  <c r="CI208" i="7"/>
  <c r="DD207" i="7"/>
  <c r="DS207" i="7"/>
  <c r="CG208" i="7"/>
  <c r="DB207" i="7"/>
  <c r="AO207" i="7"/>
  <c r="AM206" i="7"/>
  <c r="CE207" i="7"/>
  <c r="CZ206" i="7"/>
  <c r="EC206" i="7"/>
  <c r="DX206" i="7"/>
  <c r="EB206" i="7"/>
  <c r="DW206" i="7"/>
  <c r="EA206" i="7"/>
  <c r="DV206" i="7"/>
  <c r="BS207" i="7"/>
  <c r="EF206" i="7"/>
  <c r="DZ206" i="7"/>
  <c r="CN206" i="7"/>
  <c r="M206" i="7"/>
  <c r="BE204" i="7"/>
  <c r="BD204" i="7"/>
  <c r="BF204" i="7"/>
  <c r="EN207" i="7"/>
  <c r="BZ208" i="7"/>
  <c r="CU207" i="7"/>
  <c r="EM208" i="7"/>
  <c r="DG208" i="7"/>
  <c r="CL209" i="7"/>
  <c r="BY209" i="7"/>
  <c r="CT208" i="7"/>
  <c r="CK209" i="7"/>
  <c r="DF208" i="7"/>
  <c r="P206" i="7"/>
  <c r="N207" i="7" s="1"/>
  <c r="CC209" i="7"/>
  <c r="CX208" i="7"/>
  <c r="BO204" i="7"/>
  <c r="BQ204" i="7" s="1"/>
  <c r="BL196" i="7"/>
  <c r="E196" i="7"/>
  <c r="AL197" i="7"/>
  <c r="BW208" i="7"/>
  <c r="CR207" i="7"/>
  <c r="BV208" i="7"/>
  <c r="CQ207" i="7"/>
  <c r="D196" i="7"/>
  <c r="BK196" i="7"/>
  <c r="AK197" i="7"/>
  <c r="BT208" i="7"/>
  <c r="CO207" i="7"/>
  <c r="EO207" i="7"/>
  <c r="CH207" i="7"/>
  <c r="DC206" i="7"/>
  <c r="BN206" i="7"/>
  <c r="C196" i="7"/>
  <c r="F196" i="7" s="1"/>
  <c r="BJ196" i="7"/>
  <c r="BM196" i="7" s="1"/>
  <c r="B196" i="7" s="1"/>
  <c r="AJ197" i="7"/>
  <c r="CA208" i="7"/>
  <c r="CV207" i="7"/>
  <c r="BX208" i="7"/>
  <c r="CS207" i="7"/>
  <c r="BG205" i="7"/>
  <c r="AZ205" i="7"/>
  <c r="DO205" i="7" s="1"/>
  <c r="AV205" i="7"/>
  <c r="DK205" i="7" s="1"/>
  <c r="BC205" i="7"/>
  <c r="DR205" i="7" s="1"/>
  <c r="AY205" i="7"/>
  <c r="DN205" i="7" s="1"/>
  <c r="AU205" i="7"/>
  <c r="DJ205" i="7" s="1"/>
  <c r="BB205" i="7"/>
  <c r="DQ205" i="7" s="1"/>
  <c r="AX205" i="7"/>
  <c r="DM205" i="7" s="1"/>
  <c r="AT205" i="7"/>
  <c r="BA205" i="7"/>
  <c r="DP205" i="7" s="1"/>
  <c r="AW205" i="7"/>
  <c r="DL205" i="7" s="1"/>
  <c r="AH205" i="7"/>
  <c r="AF205" i="7"/>
  <c r="AI205" i="7" s="1"/>
  <c r="AG205" i="7"/>
  <c r="CJ208" i="7"/>
  <c r="DE207" i="7"/>
  <c r="CD208" i="7"/>
  <c r="CY207" i="7"/>
  <c r="CB208" i="7"/>
  <c r="CW207" i="7"/>
  <c r="BX209" i="7" l="1"/>
  <c r="CS208" i="7"/>
  <c r="CD209" i="7"/>
  <c r="CY208" i="7"/>
  <c r="BD205" i="7"/>
  <c r="BF205" i="7"/>
  <c r="BE205" i="7"/>
  <c r="CC210" i="7"/>
  <c r="CX209" i="7"/>
  <c r="CK210" i="7"/>
  <c r="DF209" i="7"/>
  <c r="BC206" i="7"/>
  <c r="DR206" i="7" s="1"/>
  <c r="AY206" i="7"/>
  <c r="DN206" i="7" s="1"/>
  <c r="AU206" i="7"/>
  <c r="DJ206" i="7" s="1"/>
  <c r="BB206" i="7"/>
  <c r="DQ206" i="7" s="1"/>
  <c r="AX206" i="7"/>
  <c r="DM206" i="7" s="1"/>
  <c r="AT206" i="7"/>
  <c r="BA206" i="7"/>
  <c r="DP206" i="7" s="1"/>
  <c r="AW206" i="7"/>
  <c r="DL206" i="7" s="1"/>
  <c r="AZ206" i="7"/>
  <c r="DO206" i="7" s="1"/>
  <c r="AV206" i="7"/>
  <c r="DK206" i="7" s="1"/>
  <c r="AG206" i="7"/>
  <c r="AF206" i="7"/>
  <c r="AI206" i="7" s="1"/>
  <c r="AH206" i="7"/>
  <c r="EB207" i="7"/>
  <c r="DW207" i="7"/>
  <c r="EA207" i="7"/>
  <c r="DV207" i="7"/>
  <c r="BS208" i="7"/>
  <c r="EF207" i="7"/>
  <c r="DZ207" i="7"/>
  <c r="CN207" i="7"/>
  <c r="EC207" i="7"/>
  <c r="DX207" i="7"/>
  <c r="M207" i="7"/>
  <c r="CE208" i="7"/>
  <c r="CZ207" i="7"/>
  <c r="AM207" i="7"/>
  <c r="AO208" i="7"/>
  <c r="CG209" i="7"/>
  <c r="DB208" i="7"/>
  <c r="CM209" i="7"/>
  <c r="DH208" i="7"/>
  <c r="CA209" i="7"/>
  <c r="CV208" i="7"/>
  <c r="BW209" i="7"/>
  <c r="CR208" i="7"/>
  <c r="H204" i="7"/>
  <c r="G204" i="7"/>
  <c r="AP207" i="7"/>
  <c r="AR207" i="7"/>
  <c r="AQ207" i="7"/>
  <c r="BO205" i="7"/>
  <c r="P207" i="7"/>
  <c r="N208" i="7" s="1"/>
  <c r="CB209" i="7"/>
  <c r="CW208" i="7"/>
  <c r="CJ209" i="7"/>
  <c r="DE208" i="7"/>
  <c r="BT209" i="7"/>
  <c r="CO208" i="7"/>
  <c r="EO208" i="7"/>
  <c r="BL197" i="7"/>
  <c r="E197" i="7"/>
  <c r="AL198" i="7"/>
  <c r="DI205" i="7"/>
  <c r="DI206" i="7" s="1"/>
  <c r="BY210" i="7"/>
  <c r="CT209" i="7"/>
  <c r="BI207" i="7"/>
  <c r="BU210" i="7"/>
  <c r="CP209" i="7"/>
  <c r="AQ206" i="7"/>
  <c r="BH206" i="7" s="1"/>
  <c r="AP206" i="7"/>
  <c r="BG206" i="7" s="1"/>
  <c r="AR206" i="7"/>
  <c r="BI206" i="7" s="1"/>
  <c r="C197" i="7"/>
  <c r="F197" i="7" s="1"/>
  <c r="BJ197" i="7"/>
  <c r="BM197" i="7" s="1"/>
  <c r="B197" i="7" s="1"/>
  <c r="AJ198" i="7"/>
  <c r="BN207" i="7"/>
  <c r="CH208" i="7"/>
  <c r="DC207" i="7"/>
  <c r="BK197" i="7"/>
  <c r="D197" i="7"/>
  <c r="AK198" i="7"/>
  <c r="BV209" i="7"/>
  <c r="CQ208" i="7"/>
  <c r="DG209" i="7"/>
  <c r="EM209" i="7"/>
  <c r="CL210" i="7"/>
  <c r="BZ209" i="7"/>
  <c r="CU208" i="7"/>
  <c r="EN208" i="7"/>
  <c r="CI209" i="7"/>
  <c r="DD208" i="7"/>
  <c r="DS208" i="7"/>
  <c r="CF208" i="7"/>
  <c r="DA207" i="7"/>
  <c r="AN207" i="7"/>
  <c r="BH207" i="7" s="1"/>
  <c r="BP206" i="7" l="1"/>
  <c r="BZ210" i="7"/>
  <c r="CU209" i="7"/>
  <c r="EN209" i="7"/>
  <c r="BJ198" i="7"/>
  <c r="BM198" i="7" s="1"/>
  <c r="B198" i="7" s="1"/>
  <c r="C198" i="7"/>
  <c r="F198" i="7" s="1"/>
  <c r="AJ199" i="7"/>
  <c r="EO209" i="7"/>
  <c r="BT210" i="7"/>
  <c r="CO209" i="7"/>
  <c r="CB210" i="7"/>
  <c r="CW209" i="7"/>
  <c r="CM210" i="7"/>
  <c r="DH209" i="7"/>
  <c r="BG207" i="7"/>
  <c r="CK211" i="7"/>
  <c r="DF210" i="7"/>
  <c r="BY211" i="7"/>
  <c r="CT210" i="7"/>
  <c r="EA208" i="7"/>
  <c r="DV208" i="7"/>
  <c r="BS209" i="7"/>
  <c r="EF208" i="7"/>
  <c r="DZ208" i="7"/>
  <c r="CN208" i="7"/>
  <c r="EC208" i="7"/>
  <c r="DX208" i="7"/>
  <c r="EB208" i="7"/>
  <c r="DW208" i="7"/>
  <c r="M208" i="7"/>
  <c r="BF206" i="7"/>
  <c r="BE206" i="7"/>
  <c r="BD206" i="7"/>
  <c r="BX210" i="7"/>
  <c r="CS209" i="7"/>
  <c r="CI210" i="7"/>
  <c r="DD209" i="7"/>
  <c r="DS209" i="7"/>
  <c r="DG210" i="7"/>
  <c r="EM210" i="7"/>
  <c r="CL211" i="7"/>
  <c r="BV210" i="7"/>
  <c r="CQ209" i="7"/>
  <c r="CF209" i="7"/>
  <c r="DA208" i="7"/>
  <c r="AN208" i="7"/>
  <c r="BK198" i="7"/>
  <c r="D198" i="7"/>
  <c r="AK199" i="7"/>
  <c r="CH209" i="7"/>
  <c r="DC208" i="7"/>
  <c r="BN208" i="7"/>
  <c r="BU211" i="7"/>
  <c r="CP210" i="7"/>
  <c r="CJ210" i="7"/>
  <c r="DE209" i="7"/>
  <c r="CA210" i="7"/>
  <c r="CV209" i="7"/>
  <c r="CG210" i="7"/>
  <c r="DB209" i="7"/>
  <c r="AO209" i="7"/>
  <c r="CE209" i="7"/>
  <c r="CZ208" i="7"/>
  <c r="AM208" i="7"/>
  <c r="BG208" i="7" s="1"/>
  <c r="BO206" i="7"/>
  <c r="BQ206" i="7" s="1"/>
  <c r="CC211" i="7"/>
  <c r="CX210" i="7"/>
  <c r="BP205" i="7"/>
  <c r="BQ205" i="7" s="1"/>
  <c r="P208" i="7"/>
  <c r="N209" i="7" s="1"/>
  <c r="E198" i="7"/>
  <c r="BL198" i="7"/>
  <c r="AL199" i="7"/>
  <c r="AR208" i="7"/>
  <c r="BI208" i="7" s="1"/>
  <c r="AQ208" i="7"/>
  <c r="AP208" i="7"/>
  <c r="BW210" i="7"/>
  <c r="CR209" i="7"/>
  <c r="BB207" i="7"/>
  <c r="DQ207" i="7" s="1"/>
  <c r="AX207" i="7"/>
  <c r="DM207" i="7" s="1"/>
  <c r="AT207" i="7"/>
  <c r="BA207" i="7"/>
  <c r="DP207" i="7" s="1"/>
  <c r="AW207" i="7"/>
  <c r="DL207" i="7" s="1"/>
  <c r="AZ207" i="7"/>
  <c r="DO207" i="7" s="1"/>
  <c r="AV207" i="7"/>
  <c r="DK207" i="7" s="1"/>
  <c r="BC207" i="7"/>
  <c r="DR207" i="7" s="1"/>
  <c r="AY207" i="7"/>
  <c r="DN207" i="7" s="1"/>
  <c r="AU207" i="7"/>
  <c r="DJ207" i="7" s="1"/>
  <c r="AF207" i="7"/>
  <c r="AI207" i="7" s="1"/>
  <c r="AH207" i="7"/>
  <c r="AG207" i="7"/>
  <c r="CD210" i="7"/>
  <c r="CY209" i="7"/>
  <c r="G205" i="7" l="1"/>
  <c r="H205" i="7"/>
  <c r="BF207" i="7"/>
  <c r="BE207" i="7"/>
  <c r="BD207" i="7"/>
  <c r="E199" i="7"/>
  <c r="BL199" i="7"/>
  <c r="AL200" i="7"/>
  <c r="CC212" i="7"/>
  <c r="CX211" i="7"/>
  <c r="CE210" i="7"/>
  <c r="CZ209" i="7"/>
  <c r="AM209" i="7"/>
  <c r="DI207" i="7"/>
  <c r="CK212" i="7"/>
  <c r="DF211" i="7"/>
  <c r="CD211" i="7"/>
  <c r="CY210" i="7"/>
  <c r="BW211" i="7"/>
  <c r="CR210" i="7"/>
  <c r="AR209" i="7"/>
  <c r="AQ209" i="7"/>
  <c r="AP209" i="7"/>
  <c r="H206" i="7"/>
  <c r="G206" i="7"/>
  <c r="BI209" i="7"/>
  <c r="CA211" i="7"/>
  <c r="CV210" i="7"/>
  <c r="CH210" i="7"/>
  <c r="DC209" i="7"/>
  <c r="BN209" i="7"/>
  <c r="BH208" i="7"/>
  <c r="BV211" i="7"/>
  <c r="CQ210" i="7"/>
  <c r="P209" i="7"/>
  <c r="BX211" i="7"/>
  <c r="CS210" i="7"/>
  <c r="BA208" i="7"/>
  <c r="DP208" i="7" s="1"/>
  <c r="AW208" i="7"/>
  <c r="DL208" i="7" s="1"/>
  <c r="AZ208" i="7"/>
  <c r="DO208" i="7" s="1"/>
  <c r="AV208" i="7"/>
  <c r="DK208" i="7" s="1"/>
  <c r="BC208" i="7"/>
  <c r="DR208" i="7" s="1"/>
  <c r="AY208" i="7"/>
  <c r="DN208" i="7" s="1"/>
  <c r="AU208" i="7"/>
  <c r="DJ208" i="7" s="1"/>
  <c r="BB208" i="7"/>
  <c r="DQ208" i="7" s="1"/>
  <c r="AX208" i="7"/>
  <c r="DM208" i="7" s="1"/>
  <c r="AT208" i="7"/>
  <c r="AH208" i="7"/>
  <c r="AG208" i="7"/>
  <c r="AF208" i="7"/>
  <c r="AI208" i="7" s="1"/>
  <c r="BS210" i="7"/>
  <c r="EF209" i="7"/>
  <c r="DZ209" i="7"/>
  <c r="CN209" i="7"/>
  <c r="EC209" i="7"/>
  <c r="DX209" i="7"/>
  <c r="EB209" i="7"/>
  <c r="DW209" i="7"/>
  <c r="EA209" i="7"/>
  <c r="DV209" i="7"/>
  <c r="M209" i="7"/>
  <c r="CB211" i="7"/>
  <c r="CW210" i="7"/>
  <c r="BJ199" i="7"/>
  <c r="BM199" i="7" s="1"/>
  <c r="B199" i="7" s="1"/>
  <c r="C199" i="7"/>
  <c r="F199" i="7" s="1"/>
  <c r="AJ200" i="7"/>
  <c r="BU212" i="7"/>
  <c r="CP211" i="7"/>
  <c r="D199" i="7"/>
  <c r="BK199" i="7"/>
  <c r="AK200" i="7"/>
  <c r="EM211" i="7"/>
  <c r="DG211" i="7"/>
  <c r="CL212" i="7"/>
  <c r="BO207" i="7"/>
  <c r="BY212" i="7"/>
  <c r="CT211" i="7"/>
  <c r="BZ211" i="7"/>
  <c r="CU210" i="7"/>
  <c r="EN210" i="7"/>
  <c r="CG211" i="7"/>
  <c r="DB210" i="7"/>
  <c r="AO210" i="7"/>
  <c r="CJ211" i="7"/>
  <c r="DE210" i="7"/>
  <c r="AN209" i="7"/>
  <c r="BH209" i="7" s="1"/>
  <c r="CF210" i="7"/>
  <c r="DA209" i="7"/>
  <c r="DS210" i="7"/>
  <c r="CI211" i="7"/>
  <c r="DD210" i="7"/>
  <c r="CM211" i="7"/>
  <c r="DH210" i="7"/>
  <c r="EO210" i="7"/>
  <c r="BT211" i="7"/>
  <c r="CO210" i="7"/>
  <c r="P210" i="7" l="1"/>
  <c r="EN211" i="7"/>
  <c r="BZ212" i="7"/>
  <c r="CU211" i="7"/>
  <c r="EM212" i="7"/>
  <c r="DG212" i="7"/>
  <c r="CL213" i="7"/>
  <c r="C200" i="7"/>
  <c r="F200" i="7" s="1"/>
  <c r="BJ200" i="7"/>
  <c r="BM200" i="7" s="1"/>
  <c r="B200" i="7" s="1"/>
  <c r="AJ201" i="7"/>
  <c r="CB212" i="7"/>
  <c r="CW211" i="7"/>
  <c r="BO208" i="7"/>
  <c r="CA212" i="7"/>
  <c r="CV211" i="7"/>
  <c r="DI208" i="7"/>
  <c r="AZ209" i="7"/>
  <c r="DO209" i="7" s="1"/>
  <c r="AV209" i="7"/>
  <c r="DK209" i="7" s="1"/>
  <c r="BC209" i="7"/>
  <c r="DR209" i="7" s="1"/>
  <c r="AY209" i="7"/>
  <c r="DN209" i="7" s="1"/>
  <c r="AU209" i="7"/>
  <c r="DJ209" i="7" s="1"/>
  <c r="BB209" i="7"/>
  <c r="DQ209" i="7" s="1"/>
  <c r="AX209" i="7"/>
  <c r="DM209" i="7" s="1"/>
  <c r="AT209" i="7"/>
  <c r="BA209" i="7"/>
  <c r="DP209" i="7" s="1"/>
  <c r="AW209" i="7"/>
  <c r="DL209" i="7" s="1"/>
  <c r="AG209" i="7"/>
  <c r="AF209" i="7"/>
  <c r="AI209" i="7" s="1"/>
  <c r="AH209" i="7"/>
  <c r="CD212" i="7"/>
  <c r="CY211" i="7"/>
  <c r="BG209" i="7"/>
  <c r="CC213" i="7"/>
  <c r="CX212" i="7"/>
  <c r="CM212" i="7"/>
  <c r="DH211" i="7"/>
  <c r="BT212" i="7"/>
  <c r="CO211" i="7"/>
  <c r="EO211" i="7"/>
  <c r="CF211" i="7"/>
  <c r="DA210" i="7"/>
  <c r="AN210" i="7"/>
  <c r="CJ212" i="7"/>
  <c r="DE211" i="7"/>
  <c r="BY213" i="7"/>
  <c r="CT212" i="7"/>
  <c r="BX212" i="7"/>
  <c r="CS211" i="7"/>
  <c r="BV212" i="7"/>
  <c r="CQ211" i="7"/>
  <c r="CH211" i="7"/>
  <c r="DC210" i="7"/>
  <c r="BN210" i="7"/>
  <c r="BL200" i="7"/>
  <c r="E200" i="7"/>
  <c r="AL201" i="7"/>
  <c r="CG212" i="7"/>
  <c r="DB211" i="7"/>
  <c r="AO211" i="7"/>
  <c r="CI212" i="7"/>
  <c r="DD211" i="7"/>
  <c r="DS211" i="7"/>
  <c r="D200" i="7"/>
  <c r="BK200" i="7"/>
  <c r="AK201" i="7"/>
  <c r="BU213" i="7"/>
  <c r="CP212" i="7"/>
  <c r="EC210" i="7"/>
  <c r="DX210" i="7"/>
  <c r="EB210" i="7"/>
  <c r="DW210" i="7"/>
  <c r="EA210" i="7"/>
  <c r="DV210" i="7"/>
  <c r="BS211" i="7"/>
  <c r="EF210" i="7"/>
  <c r="DZ210" i="7"/>
  <c r="CN210" i="7"/>
  <c r="M210" i="7"/>
  <c r="BE208" i="7"/>
  <c r="BD208" i="7"/>
  <c r="BF208" i="7"/>
  <c r="N210" i="7"/>
  <c r="BW212" i="7"/>
  <c r="CR211" i="7"/>
  <c r="CK213" i="7"/>
  <c r="DF212" i="7"/>
  <c r="AM210" i="7"/>
  <c r="CE211" i="7"/>
  <c r="CZ210" i="7"/>
  <c r="BP207" i="7"/>
  <c r="BQ207" i="7" s="1"/>
  <c r="H207" i="7" l="1"/>
  <c r="G207" i="7"/>
  <c r="BO209" i="7"/>
  <c r="BK201" i="7"/>
  <c r="D201" i="7"/>
  <c r="AK202" i="7"/>
  <c r="BN211" i="7"/>
  <c r="CH212" i="7"/>
  <c r="DC211" i="7"/>
  <c r="BX213" i="7"/>
  <c r="CS212" i="7"/>
  <c r="CJ213" i="7"/>
  <c r="DE212" i="7"/>
  <c r="CM213" i="7"/>
  <c r="DH212" i="7"/>
  <c r="AQ210" i="7"/>
  <c r="AP210" i="7"/>
  <c r="BG210" i="7" s="1"/>
  <c r="AR210" i="7"/>
  <c r="BI210" i="7" s="1"/>
  <c r="CK214" i="7"/>
  <c r="DF213" i="7"/>
  <c r="CE212" i="7"/>
  <c r="CZ211" i="7"/>
  <c r="AM211" i="7"/>
  <c r="P211" i="7"/>
  <c r="BH210" i="7"/>
  <c r="CD213" i="7"/>
  <c r="CY212" i="7"/>
  <c r="CA213" i="7"/>
  <c r="CV212" i="7"/>
  <c r="CB213" i="7"/>
  <c r="CW212" i="7"/>
  <c r="DG213" i="7"/>
  <c r="EM213" i="7"/>
  <c r="CL214" i="7"/>
  <c r="BZ213" i="7"/>
  <c r="CU212" i="7"/>
  <c r="EN212" i="7"/>
  <c r="BW213" i="7"/>
  <c r="CR212" i="7"/>
  <c r="AO212" i="7"/>
  <c r="CG213" i="7"/>
  <c r="DB212" i="7"/>
  <c r="BV213" i="7"/>
  <c r="CQ212" i="7"/>
  <c r="BY214" i="7"/>
  <c r="CT213" i="7"/>
  <c r="BT213" i="7"/>
  <c r="CO212" i="7"/>
  <c r="EO212" i="7"/>
  <c r="CC214" i="7"/>
  <c r="CX213" i="7"/>
  <c r="C201" i="7"/>
  <c r="F201" i="7" s="1"/>
  <c r="BJ201" i="7"/>
  <c r="BM201" i="7" s="1"/>
  <c r="B201" i="7" s="1"/>
  <c r="AJ202" i="7"/>
  <c r="BC210" i="7"/>
  <c r="DR210" i="7" s="1"/>
  <c r="AY210" i="7"/>
  <c r="DN210" i="7" s="1"/>
  <c r="AU210" i="7"/>
  <c r="DJ210" i="7" s="1"/>
  <c r="BB210" i="7"/>
  <c r="DQ210" i="7" s="1"/>
  <c r="AX210" i="7"/>
  <c r="DM210" i="7" s="1"/>
  <c r="AT210" i="7"/>
  <c r="BA210" i="7"/>
  <c r="DP210" i="7" s="1"/>
  <c r="AW210" i="7"/>
  <c r="DL210" i="7" s="1"/>
  <c r="AZ210" i="7"/>
  <c r="DO210" i="7" s="1"/>
  <c r="AV210" i="7"/>
  <c r="DK210" i="7" s="1"/>
  <c r="AG210" i="7"/>
  <c r="AH210" i="7"/>
  <c r="AF210" i="7"/>
  <c r="AI210" i="7" s="1"/>
  <c r="EB211" i="7"/>
  <c r="DW211" i="7"/>
  <c r="EA211" i="7"/>
  <c r="DV211" i="7"/>
  <c r="BS212" i="7"/>
  <c r="EF211" i="7"/>
  <c r="DZ211" i="7"/>
  <c r="CN211" i="7"/>
  <c r="BO210" i="7" s="1"/>
  <c r="EC211" i="7"/>
  <c r="DX211" i="7"/>
  <c r="M211" i="7"/>
  <c r="BU214" i="7"/>
  <c r="CP213" i="7"/>
  <c r="CI213" i="7"/>
  <c r="DD212" i="7"/>
  <c r="DS212" i="7"/>
  <c r="BL201" i="7"/>
  <c r="E201" i="7"/>
  <c r="AL202" i="7"/>
  <c r="CF212" i="7"/>
  <c r="DA211" i="7"/>
  <c r="AN211" i="7"/>
  <c r="BD209" i="7"/>
  <c r="BF209" i="7"/>
  <c r="BE209" i="7"/>
  <c r="DI209" i="7"/>
  <c r="DI210" i="7" s="1"/>
  <c r="BQ208" i="7"/>
  <c r="N211" i="7"/>
  <c r="BP208" i="7"/>
  <c r="BP210" i="7" l="1"/>
  <c r="BQ210" i="7"/>
  <c r="EO213" i="7"/>
  <c r="BT214" i="7"/>
  <c r="CO213" i="7"/>
  <c r="BV214" i="7"/>
  <c r="CQ213" i="7"/>
  <c r="BK202" i="7"/>
  <c r="D202" i="7"/>
  <c r="AK203" i="7"/>
  <c r="P212" i="7"/>
  <c r="H208" i="7"/>
  <c r="G208" i="7"/>
  <c r="E202" i="7"/>
  <c r="BL202" i="7"/>
  <c r="AL203" i="7"/>
  <c r="BB211" i="7"/>
  <c r="DQ211" i="7" s="1"/>
  <c r="AX211" i="7"/>
  <c r="DM211" i="7" s="1"/>
  <c r="AT211" i="7"/>
  <c r="BA211" i="7"/>
  <c r="DP211" i="7" s="1"/>
  <c r="AW211" i="7"/>
  <c r="DL211" i="7" s="1"/>
  <c r="AZ211" i="7"/>
  <c r="DO211" i="7" s="1"/>
  <c r="AV211" i="7"/>
  <c r="DK211" i="7" s="1"/>
  <c r="BC211" i="7"/>
  <c r="DR211" i="7" s="1"/>
  <c r="AY211" i="7"/>
  <c r="DN211" i="7" s="1"/>
  <c r="AU211" i="7"/>
  <c r="DJ211" i="7" s="1"/>
  <c r="AG211" i="7"/>
  <c r="AF211" i="7"/>
  <c r="AI211" i="7" s="1"/>
  <c r="AH211" i="7"/>
  <c r="BJ202" i="7"/>
  <c r="BM202" i="7" s="1"/>
  <c r="B202" i="7" s="1"/>
  <c r="C202" i="7"/>
  <c r="F202" i="7" s="1"/>
  <c r="AJ203" i="7"/>
  <c r="CC215" i="7"/>
  <c r="CX214" i="7"/>
  <c r="CA214" i="7"/>
  <c r="CV213" i="7"/>
  <c r="CE213" i="7"/>
  <c r="CZ212" i="7"/>
  <c r="AM212" i="7"/>
  <c r="CJ214" i="7"/>
  <c r="DE213" i="7"/>
  <c r="CH213" i="7"/>
  <c r="DC212" i="7"/>
  <c r="BN212" i="7"/>
  <c r="AP211" i="7"/>
  <c r="AR211" i="7"/>
  <c r="BI211" i="7" s="1"/>
  <c r="AQ211" i="7"/>
  <c r="CF213" i="7"/>
  <c r="DA212" i="7"/>
  <c r="AN212" i="7"/>
  <c r="BU215" i="7"/>
  <c r="CP214" i="7"/>
  <c r="BH211" i="7"/>
  <c r="CI214" i="7"/>
  <c r="DD213" i="7"/>
  <c r="DS213" i="7"/>
  <c r="BY215" i="7"/>
  <c r="CT214" i="7"/>
  <c r="BW214" i="7"/>
  <c r="CR213" i="7"/>
  <c r="BZ214" i="7"/>
  <c r="CU213" i="7"/>
  <c r="EN213" i="7"/>
  <c r="N212" i="7"/>
  <c r="BP209" i="7"/>
  <c r="DI211" i="7"/>
  <c r="EA212" i="7"/>
  <c r="DV212" i="7"/>
  <c r="BS213" i="7"/>
  <c r="EF212" i="7"/>
  <c r="DZ212" i="7"/>
  <c r="CN212" i="7"/>
  <c r="BO211" i="7" s="1"/>
  <c r="EC212" i="7"/>
  <c r="DX212" i="7"/>
  <c r="EB212" i="7"/>
  <c r="DW212" i="7"/>
  <c r="M212" i="7"/>
  <c r="BF210" i="7"/>
  <c r="BE210" i="7"/>
  <c r="BD210" i="7"/>
  <c r="CG214" i="7"/>
  <c r="DB213" i="7"/>
  <c r="AO213" i="7"/>
  <c r="DG214" i="7"/>
  <c r="EM214" i="7"/>
  <c r="CL215" i="7"/>
  <c r="CB214" i="7"/>
  <c r="CW213" i="7"/>
  <c r="CD214" i="7"/>
  <c r="CY213" i="7"/>
  <c r="BG211" i="7"/>
  <c r="CK215" i="7"/>
  <c r="DF214" i="7"/>
  <c r="CM214" i="7"/>
  <c r="DH213" i="7"/>
  <c r="BX214" i="7"/>
  <c r="CS213" i="7"/>
  <c r="BQ209" i="7"/>
  <c r="BP211" i="7" l="1"/>
  <c r="BQ211" i="7"/>
  <c r="CB215" i="7"/>
  <c r="CW214" i="7"/>
  <c r="G209" i="7"/>
  <c r="H209" i="7"/>
  <c r="CM215" i="7"/>
  <c r="DH214" i="7"/>
  <c r="EM215" i="7"/>
  <c r="DG215" i="7"/>
  <c r="CL216" i="7"/>
  <c r="CD215" i="7"/>
  <c r="CY214" i="7"/>
  <c r="CG215" i="7"/>
  <c r="DB214" i="7"/>
  <c r="AO214" i="7"/>
  <c r="BA212" i="7"/>
  <c r="DP212" i="7" s="1"/>
  <c r="AW212" i="7"/>
  <c r="DL212" i="7" s="1"/>
  <c r="AZ212" i="7"/>
  <c r="DO212" i="7" s="1"/>
  <c r="AV212" i="7"/>
  <c r="DK212" i="7" s="1"/>
  <c r="BC212" i="7"/>
  <c r="DR212" i="7" s="1"/>
  <c r="AY212" i="7"/>
  <c r="DN212" i="7" s="1"/>
  <c r="AU212" i="7"/>
  <c r="DJ212" i="7" s="1"/>
  <c r="BB212" i="7"/>
  <c r="DQ212" i="7" s="1"/>
  <c r="AX212" i="7"/>
  <c r="DM212" i="7" s="1"/>
  <c r="AT212" i="7"/>
  <c r="AH212" i="7"/>
  <c r="AF212" i="7"/>
  <c r="AI212" i="7" s="1"/>
  <c r="AG212" i="7"/>
  <c r="BS214" i="7"/>
  <c r="EF213" i="7"/>
  <c r="DZ213" i="7"/>
  <c r="CN213" i="7"/>
  <c r="EC213" i="7"/>
  <c r="DX213" i="7"/>
  <c r="EB213" i="7"/>
  <c r="DW213" i="7"/>
  <c r="EA213" i="7"/>
  <c r="DV213" i="7"/>
  <c r="M213" i="7"/>
  <c r="DS214" i="7"/>
  <c r="CI215" i="7"/>
  <c r="DD214" i="7"/>
  <c r="CE214" i="7"/>
  <c r="CZ213" i="7"/>
  <c r="AM213" i="7"/>
  <c r="CC216" i="7"/>
  <c r="CX215" i="7"/>
  <c r="D203" i="7"/>
  <c r="BK203" i="7"/>
  <c r="AK204" i="7"/>
  <c r="BX215" i="7"/>
  <c r="CS214" i="7"/>
  <c r="CK216" i="7"/>
  <c r="DF215" i="7"/>
  <c r="BZ215" i="7"/>
  <c r="CU214" i="7"/>
  <c r="EN214" i="7"/>
  <c r="BY216" i="7"/>
  <c r="CT215" i="7"/>
  <c r="CJ215" i="7"/>
  <c r="DE214" i="7"/>
  <c r="BJ203" i="7"/>
  <c r="BM203" i="7" s="1"/>
  <c r="B203" i="7" s="1"/>
  <c r="C203" i="7"/>
  <c r="F203" i="7" s="1"/>
  <c r="AJ204" i="7"/>
  <c r="E203" i="7"/>
  <c r="BL203" i="7"/>
  <c r="AL204" i="7"/>
  <c r="BV215" i="7"/>
  <c r="CQ214" i="7"/>
  <c r="H210" i="7"/>
  <c r="G210" i="7"/>
  <c r="AR212" i="7"/>
  <c r="BI212" i="7" s="1"/>
  <c r="AQ212" i="7"/>
  <c r="BH212" i="7" s="1"/>
  <c r="AP212" i="7"/>
  <c r="P213" i="7"/>
  <c r="N214" i="7" s="1"/>
  <c r="AN213" i="7"/>
  <c r="CF214" i="7"/>
  <c r="DA213" i="7"/>
  <c r="BG212" i="7"/>
  <c r="CA215" i="7"/>
  <c r="CV214" i="7"/>
  <c r="BF211" i="7"/>
  <c r="BE211" i="7"/>
  <c r="BD211" i="7"/>
  <c r="DI212" i="7"/>
  <c r="BW215" i="7"/>
  <c r="CR214" i="7"/>
  <c r="BU216" i="7"/>
  <c r="CP215" i="7"/>
  <c r="CH214" i="7"/>
  <c r="DC213" i="7"/>
  <c r="BN213" i="7"/>
  <c r="N213" i="7"/>
  <c r="EO214" i="7"/>
  <c r="BT215" i="7"/>
  <c r="CO214" i="7"/>
  <c r="BP212" i="7" l="1"/>
  <c r="BT216" i="7"/>
  <c r="CO215" i="7"/>
  <c r="EO215" i="7"/>
  <c r="AQ214" i="7"/>
  <c r="AP214" i="7"/>
  <c r="AR214" i="7"/>
  <c r="BV216" i="7"/>
  <c r="CQ215" i="7"/>
  <c r="C204" i="7"/>
  <c r="F204" i="7" s="1"/>
  <c r="BJ204" i="7"/>
  <c r="BM204" i="7" s="1"/>
  <c r="B204" i="7" s="1"/>
  <c r="AJ205" i="7"/>
  <c r="CJ216" i="7"/>
  <c r="DE215" i="7"/>
  <c r="CK217" i="7"/>
  <c r="DF216" i="7"/>
  <c r="EM216" i="7"/>
  <c r="DG216" i="7"/>
  <c r="CL217" i="7"/>
  <c r="CM216" i="7"/>
  <c r="DH215" i="7"/>
  <c r="CB216" i="7"/>
  <c r="CW215" i="7"/>
  <c r="BL204" i="7"/>
  <c r="E204" i="7"/>
  <c r="AL205" i="7"/>
  <c r="CI216" i="7"/>
  <c r="DD215" i="7"/>
  <c r="DS215" i="7"/>
  <c r="EC214" i="7"/>
  <c r="DX214" i="7"/>
  <c r="EB214" i="7"/>
  <c r="DW214" i="7"/>
  <c r="EA214" i="7"/>
  <c r="DV214" i="7"/>
  <c r="BS215" i="7"/>
  <c r="EF214" i="7"/>
  <c r="DZ214" i="7"/>
  <c r="CN214" i="7"/>
  <c r="M214" i="7"/>
  <c r="BE212" i="7"/>
  <c r="BD212" i="7"/>
  <c r="BF212" i="7"/>
  <c r="CG216" i="7"/>
  <c r="DB215" i="7"/>
  <c r="AO215" i="7"/>
  <c r="H211" i="7"/>
  <c r="G211" i="7"/>
  <c r="BW216" i="7"/>
  <c r="CR215" i="7"/>
  <c r="AR213" i="7"/>
  <c r="BI213" i="7" s="1"/>
  <c r="AQ213" i="7"/>
  <c r="AP213" i="7"/>
  <c r="BG213" i="7" s="1"/>
  <c r="CF215" i="7"/>
  <c r="DA214" i="7"/>
  <c r="AN214" i="7"/>
  <c r="BH214" i="7" s="1"/>
  <c r="EN215" i="7"/>
  <c r="BZ216" i="7"/>
  <c r="CU215" i="7"/>
  <c r="BX216" i="7"/>
  <c r="CS215" i="7"/>
  <c r="AM214" i="7"/>
  <c r="BG214" i="7" s="1"/>
  <c r="CE215" i="7"/>
  <c r="CZ214" i="7"/>
  <c r="P214" i="7"/>
  <c r="N215" i="7" s="1"/>
  <c r="BO212" i="7"/>
  <c r="BQ212" i="7" s="1"/>
  <c r="CH215" i="7"/>
  <c r="DC214" i="7"/>
  <c r="BN214" i="7"/>
  <c r="BU217" i="7"/>
  <c r="CP216" i="7"/>
  <c r="CA216" i="7"/>
  <c r="CV215" i="7"/>
  <c r="BH213" i="7"/>
  <c r="BY217" i="7"/>
  <c r="CT216" i="7"/>
  <c r="D204" i="7"/>
  <c r="BK204" i="7"/>
  <c r="AK205" i="7"/>
  <c r="CC217" i="7"/>
  <c r="CX216" i="7"/>
  <c r="AZ213" i="7"/>
  <c r="DO213" i="7" s="1"/>
  <c r="AV213" i="7"/>
  <c r="DK213" i="7" s="1"/>
  <c r="BC213" i="7"/>
  <c r="DR213" i="7" s="1"/>
  <c r="AY213" i="7"/>
  <c r="DN213" i="7" s="1"/>
  <c r="AU213" i="7"/>
  <c r="DJ213" i="7" s="1"/>
  <c r="BB213" i="7"/>
  <c r="DQ213" i="7" s="1"/>
  <c r="AX213" i="7"/>
  <c r="DM213" i="7" s="1"/>
  <c r="AT213" i="7"/>
  <c r="BA213" i="7"/>
  <c r="DP213" i="7" s="1"/>
  <c r="AW213" i="7"/>
  <c r="DL213" i="7" s="1"/>
  <c r="AF213" i="7"/>
  <c r="AI213" i="7" s="1"/>
  <c r="AH213" i="7"/>
  <c r="AG213" i="7"/>
  <c r="BI214" i="7"/>
  <c r="CD216" i="7"/>
  <c r="CY215" i="7"/>
  <c r="BY218" i="7" l="1"/>
  <c r="CT217" i="7"/>
  <c r="H212" i="7"/>
  <c r="G212" i="7"/>
  <c r="CE216" i="7"/>
  <c r="CZ215" i="7"/>
  <c r="AM215" i="7"/>
  <c r="BO213" i="7"/>
  <c r="CI217" i="7"/>
  <c r="DD216" i="7"/>
  <c r="DS216" i="7"/>
  <c r="DG217" i="7"/>
  <c r="EM217" i="7"/>
  <c r="CL218" i="7"/>
  <c r="C205" i="7"/>
  <c r="F205" i="7" s="1"/>
  <c r="BJ205" i="7"/>
  <c r="BM205" i="7" s="1"/>
  <c r="B205" i="7" s="1"/>
  <c r="AJ206" i="7"/>
  <c r="BV217" i="7"/>
  <c r="CQ216" i="7"/>
  <c r="BD213" i="7"/>
  <c r="BF213" i="7"/>
  <c r="BE213" i="7"/>
  <c r="CD217" i="7"/>
  <c r="CY216" i="7"/>
  <c r="CC218" i="7"/>
  <c r="CX217" i="7"/>
  <c r="CA217" i="7"/>
  <c r="CV216" i="7"/>
  <c r="AP215" i="7"/>
  <c r="AR215" i="7"/>
  <c r="AQ215" i="7"/>
  <c r="BZ217" i="7"/>
  <c r="CU216" i="7"/>
  <c r="EN216" i="7"/>
  <c r="CF216" i="7"/>
  <c r="DA215" i="7"/>
  <c r="AN215" i="7"/>
  <c r="BI215" i="7"/>
  <c r="BL205" i="7"/>
  <c r="E205" i="7"/>
  <c r="AL206" i="7"/>
  <c r="CB217" i="7"/>
  <c r="CW216" i="7"/>
  <c r="CK218" i="7"/>
  <c r="DF217" i="7"/>
  <c r="BT217" i="7"/>
  <c r="CO216" i="7"/>
  <c r="EO216" i="7"/>
  <c r="DI213" i="7"/>
  <c r="BW217" i="7"/>
  <c r="CR216" i="7"/>
  <c r="P215" i="7"/>
  <c r="BK205" i="7"/>
  <c r="D205" i="7"/>
  <c r="AK206" i="7"/>
  <c r="BU218" i="7"/>
  <c r="CP217" i="7"/>
  <c r="BN215" i="7"/>
  <c r="CH216" i="7"/>
  <c r="DC215" i="7"/>
  <c r="BX217" i="7"/>
  <c r="CS216" i="7"/>
  <c r="AO216" i="7"/>
  <c r="CG217" i="7"/>
  <c r="DB216" i="7"/>
  <c r="BC214" i="7"/>
  <c r="DR214" i="7" s="1"/>
  <c r="AY214" i="7"/>
  <c r="DN214" i="7" s="1"/>
  <c r="AU214" i="7"/>
  <c r="DJ214" i="7" s="1"/>
  <c r="BB214" i="7"/>
  <c r="DQ214" i="7" s="1"/>
  <c r="AX214" i="7"/>
  <c r="DM214" i="7" s="1"/>
  <c r="AT214" i="7"/>
  <c r="BA214" i="7"/>
  <c r="DP214" i="7" s="1"/>
  <c r="AW214" i="7"/>
  <c r="DL214" i="7" s="1"/>
  <c r="AZ214" i="7"/>
  <c r="DO214" i="7" s="1"/>
  <c r="AV214" i="7"/>
  <c r="DK214" i="7" s="1"/>
  <c r="AG214" i="7"/>
  <c r="AH214" i="7"/>
  <c r="AF214" i="7"/>
  <c r="AI214" i="7" s="1"/>
  <c r="EB215" i="7"/>
  <c r="DW215" i="7"/>
  <c r="EA215" i="7"/>
  <c r="DV215" i="7"/>
  <c r="BS216" i="7"/>
  <c r="EF215" i="7"/>
  <c r="DZ215" i="7"/>
  <c r="CN215" i="7"/>
  <c r="BO214" i="7" s="1"/>
  <c r="EC215" i="7"/>
  <c r="DX215" i="7"/>
  <c r="M215" i="7"/>
  <c r="CM217" i="7"/>
  <c r="DH216" i="7"/>
  <c r="CJ217" i="7"/>
  <c r="DE216" i="7"/>
  <c r="CF217" i="7" l="1"/>
  <c r="DA216" i="7"/>
  <c r="AN216" i="7"/>
  <c r="CA218" i="7"/>
  <c r="CV217" i="7"/>
  <c r="CD218" i="7"/>
  <c r="CY217" i="7"/>
  <c r="P216" i="7"/>
  <c r="BG215" i="7"/>
  <c r="BB215" i="7"/>
  <c r="DQ215" i="7" s="1"/>
  <c r="AX215" i="7"/>
  <c r="DM215" i="7" s="1"/>
  <c r="AT215" i="7"/>
  <c r="BA215" i="7"/>
  <c r="DP215" i="7" s="1"/>
  <c r="AW215" i="7"/>
  <c r="DL215" i="7" s="1"/>
  <c r="AZ215" i="7"/>
  <c r="DO215" i="7" s="1"/>
  <c r="AV215" i="7"/>
  <c r="DK215" i="7" s="1"/>
  <c r="BC215" i="7"/>
  <c r="DR215" i="7" s="1"/>
  <c r="AY215" i="7"/>
  <c r="DN215" i="7" s="1"/>
  <c r="AU215" i="7"/>
  <c r="DJ215" i="7" s="1"/>
  <c r="AG215" i="7"/>
  <c r="AF215" i="7"/>
  <c r="AI215" i="7" s="1"/>
  <c r="AH215" i="7"/>
  <c r="BX218" i="7"/>
  <c r="CS217" i="7"/>
  <c r="BW218" i="7"/>
  <c r="CR217" i="7"/>
  <c r="EO217" i="7"/>
  <c r="BT218" i="7"/>
  <c r="CO217" i="7"/>
  <c r="CB218" i="7"/>
  <c r="CW217" i="7"/>
  <c r="BV218" i="7"/>
  <c r="CQ217" i="7"/>
  <c r="DG218" i="7"/>
  <c r="EM218" i="7"/>
  <c r="CL219" i="7"/>
  <c r="CJ218" i="7"/>
  <c r="DE217" i="7"/>
  <c r="CG218" i="7"/>
  <c r="DB217" i="7"/>
  <c r="AO217" i="7"/>
  <c r="BU219" i="7"/>
  <c r="CP218" i="7"/>
  <c r="DI214" i="7"/>
  <c r="DI215" i="7" s="1"/>
  <c r="E206" i="7"/>
  <c r="BL206" i="7"/>
  <c r="AL207" i="7"/>
  <c r="BH215" i="7"/>
  <c r="CC219" i="7"/>
  <c r="CX218" i="7"/>
  <c r="BJ206" i="7"/>
  <c r="BM206" i="7" s="1"/>
  <c r="B206" i="7" s="1"/>
  <c r="C206" i="7"/>
  <c r="F206" i="7" s="1"/>
  <c r="AJ207" i="7"/>
  <c r="CI218" i="7"/>
  <c r="DD217" i="7"/>
  <c r="DS217" i="7"/>
  <c r="CE217" i="7"/>
  <c r="CZ216" i="7"/>
  <c r="AM216" i="7"/>
  <c r="BY219" i="7"/>
  <c r="CT218" i="7"/>
  <c r="BP213" i="7"/>
  <c r="CM218" i="7"/>
  <c r="DH217" i="7"/>
  <c r="EA216" i="7"/>
  <c r="DV216" i="7"/>
  <c r="BS217" i="7"/>
  <c r="EF216" i="7"/>
  <c r="DZ216" i="7"/>
  <c r="CN216" i="7"/>
  <c r="EC216" i="7"/>
  <c r="DX216" i="7"/>
  <c r="EB216" i="7"/>
  <c r="DW216" i="7"/>
  <c r="M216" i="7"/>
  <c r="BF214" i="7"/>
  <c r="BE214" i="7"/>
  <c r="BD214" i="7"/>
  <c r="CH217" i="7"/>
  <c r="DC216" i="7"/>
  <c r="BN216" i="7"/>
  <c r="BK206" i="7"/>
  <c r="D206" i="7"/>
  <c r="AK207" i="7"/>
  <c r="N216" i="7"/>
  <c r="CK219" i="7"/>
  <c r="DF218" i="7"/>
  <c r="BZ218" i="7"/>
  <c r="CU217" i="7"/>
  <c r="EN217" i="7"/>
  <c r="BQ213" i="7"/>
  <c r="BP215" i="7" l="1"/>
  <c r="DQ216" i="7"/>
  <c r="BA216" i="7"/>
  <c r="DP216" i="7" s="1"/>
  <c r="AW216" i="7"/>
  <c r="DL216" i="7" s="1"/>
  <c r="AZ216" i="7"/>
  <c r="DO216" i="7" s="1"/>
  <c r="AV216" i="7"/>
  <c r="DK216" i="7" s="1"/>
  <c r="BC216" i="7"/>
  <c r="DR216" i="7" s="1"/>
  <c r="AY216" i="7"/>
  <c r="DN216" i="7" s="1"/>
  <c r="AU216" i="7"/>
  <c r="DJ216" i="7" s="1"/>
  <c r="BB216" i="7"/>
  <c r="AX216" i="7"/>
  <c r="DM216" i="7" s="1"/>
  <c r="AT216" i="7"/>
  <c r="AG216" i="7"/>
  <c r="AH216" i="7"/>
  <c r="AF216" i="7"/>
  <c r="AI216" i="7" s="1"/>
  <c r="BS218" i="7"/>
  <c r="EF217" i="7"/>
  <c r="DZ217" i="7"/>
  <c r="CN217" i="7"/>
  <c r="EC217" i="7"/>
  <c r="DX217" i="7"/>
  <c r="EB217" i="7"/>
  <c r="DW217" i="7"/>
  <c r="EA217" i="7"/>
  <c r="DV217" i="7"/>
  <c r="M217" i="7"/>
  <c r="CM219" i="7"/>
  <c r="DH218" i="7"/>
  <c r="E207" i="7"/>
  <c r="BL207" i="7"/>
  <c r="AL208" i="7"/>
  <c r="CG219" i="7"/>
  <c r="DB218" i="7"/>
  <c r="AO218" i="7"/>
  <c r="BX219" i="7"/>
  <c r="CS218" i="7"/>
  <c r="N217" i="7"/>
  <c r="CA219" i="7"/>
  <c r="CV218" i="7"/>
  <c r="BP214" i="7"/>
  <c r="BQ214" i="7" s="1"/>
  <c r="CK220" i="7"/>
  <c r="DF219" i="7"/>
  <c r="BO215" i="7"/>
  <c r="BQ215" i="7" s="1"/>
  <c r="DS218" i="7"/>
  <c r="CI219" i="7"/>
  <c r="DD218" i="7"/>
  <c r="BU220" i="7"/>
  <c r="CP219" i="7"/>
  <c r="CB219" i="7"/>
  <c r="CW218" i="7"/>
  <c r="CE218" i="7"/>
  <c r="CZ217" i="7"/>
  <c r="AM217" i="7"/>
  <c r="BJ207" i="7"/>
  <c r="BM207" i="7" s="1"/>
  <c r="B207" i="7" s="1"/>
  <c r="C207" i="7"/>
  <c r="F207" i="7" s="1"/>
  <c r="AJ208" i="7"/>
  <c r="CC220" i="7"/>
  <c r="CX219" i="7"/>
  <c r="CJ219" i="7"/>
  <c r="DE218" i="7"/>
  <c r="BW219" i="7"/>
  <c r="CR218" i="7"/>
  <c r="CD219" i="7"/>
  <c r="CY218" i="7"/>
  <c r="AR216" i="7"/>
  <c r="BI216" i="7" s="1"/>
  <c r="AQ216" i="7"/>
  <c r="BH216" i="7" s="1"/>
  <c r="AP216" i="7"/>
  <c r="BG216" i="7" s="1"/>
  <c r="BZ219" i="7"/>
  <c r="CU218" i="7"/>
  <c r="EN218" i="7"/>
  <c r="D207" i="7"/>
  <c r="BK207" i="7"/>
  <c r="AK208" i="7"/>
  <c r="G213" i="7"/>
  <c r="H213" i="7"/>
  <c r="CH218" i="7"/>
  <c r="DC217" i="7"/>
  <c r="BN217" i="7"/>
  <c r="BY220" i="7"/>
  <c r="CT219" i="7"/>
  <c r="P217" i="7"/>
  <c r="N218" i="7" s="1"/>
  <c r="DI216" i="7"/>
  <c r="EM219" i="7"/>
  <c r="DG219" i="7"/>
  <c r="CL220" i="7"/>
  <c r="BV219" i="7"/>
  <c r="CQ218" i="7"/>
  <c r="EO218" i="7"/>
  <c r="BT219" i="7"/>
  <c r="CO218" i="7"/>
  <c r="BF215" i="7"/>
  <c r="BE215" i="7"/>
  <c r="BD215" i="7"/>
  <c r="AN217" i="7"/>
  <c r="CF218" i="7"/>
  <c r="DA217" i="7"/>
  <c r="BP216" i="7" l="1"/>
  <c r="D208" i="7"/>
  <c r="BK208" i="7"/>
  <c r="AK209" i="7"/>
  <c r="CC221" i="7"/>
  <c r="CX220" i="7"/>
  <c r="BX220" i="7"/>
  <c r="CS219" i="7"/>
  <c r="BL208" i="7"/>
  <c r="E208" i="7"/>
  <c r="AL209" i="7"/>
  <c r="EC218" i="7"/>
  <c r="DX218" i="7"/>
  <c r="EB218" i="7"/>
  <c r="DW218" i="7"/>
  <c r="EA218" i="7"/>
  <c r="DV218" i="7"/>
  <c r="BS219" i="7"/>
  <c r="EF218" i="7"/>
  <c r="DZ218" i="7"/>
  <c r="CN218" i="7"/>
  <c r="M218" i="7"/>
  <c r="BE216" i="7"/>
  <c r="BD216" i="7"/>
  <c r="BF216" i="7"/>
  <c r="CF219" i="7"/>
  <c r="DA218" i="7"/>
  <c r="AN218" i="7"/>
  <c r="CH219" i="7"/>
  <c r="DC218" i="7"/>
  <c r="BN218" i="7"/>
  <c r="EN219" i="7"/>
  <c r="BZ220" i="7"/>
  <c r="CU219" i="7"/>
  <c r="CD220" i="7"/>
  <c r="CY219" i="7"/>
  <c r="CJ220" i="7"/>
  <c r="DE219" i="7"/>
  <c r="C208" i="7"/>
  <c r="F208" i="7" s="1"/>
  <c r="BJ208" i="7"/>
  <c r="BM208" i="7" s="1"/>
  <c r="B208" i="7" s="1"/>
  <c r="AJ209" i="7"/>
  <c r="CB220" i="7"/>
  <c r="CW219" i="7"/>
  <c r="CI220" i="7"/>
  <c r="DD219" i="7"/>
  <c r="DS219" i="7"/>
  <c r="CA220" i="7"/>
  <c r="CV219" i="7"/>
  <c r="CM220" i="7"/>
  <c r="DH219" i="7"/>
  <c r="BO216" i="7"/>
  <c r="BQ216" i="7" s="1"/>
  <c r="BV220" i="7"/>
  <c r="CQ219" i="7"/>
  <c r="BY221" i="7"/>
  <c r="CT220" i="7"/>
  <c r="AM218" i="7"/>
  <c r="CE219" i="7"/>
  <c r="CZ218" i="7"/>
  <c r="P218" i="7"/>
  <c r="N219" i="7" s="1"/>
  <c r="CK221" i="7"/>
  <c r="DF220" i="7"/>
  <c r="AR217" i="7"/>
  <c r="BI217" i="7" s="1"/>
  <c r="AQ217" i="7"/>
  <c r="AP217" i="7"/>
  <c r="BG217" i="7" s="1"/>
  <c r="AZ217" i="7"/>
  <c r="DO217" i="7" s="1"/>
  <c r="AV217" i="7"/>
  <c r="DK217" i="7" s="1"/>
  <c r="BC217" i="7"/>
  <c r="DR217" i="7" s="1"/>
  <c r="AY217" i="7"/>
  <c r="DN217" i="7" s="1"/>
  <c r="AU217" i="7"/>
  <c r="DJ217" i="7" s="1"/>
  <c r="BB217" i="7"/>
  <c r="DQ217" i="7" s="1"/>
  <c r="AX217" i="7"/>
  <c r="DM217" i="7" s="1"/>
  <c r="AT217" i="7"/>
  <c r="BA217" i="7"/>
  <c r="DP217" i="7" s="1"/>
  <c r="AW217" i="7"/>
  <c r="DL217" i="7" s="1"/>
  <c r="AF217" i="7"/>
  <c r="AI217" i="7" s="1"/>
  <c r="AG217" i="7"/>
  <c r="AH217" i="7"/>
  <c r="BH217" i="7"/>
  <c r="BT220" i="7"/>
  <c r="CO219" i="7"/>
  <c r="EO219" i="7"/>
  <c r="EM220" i="7"/>
  <c r="DG220" i="7"/>
  <c r="CL221" i="7"/>
  <c r="AQ218" i="7"/>
  <c r="AP218" i="7"/>
  <c r="AR218" i="7"/>
  <c r="BI218" i="7" s="1"/>
  <c r="BW220" i="7"/>
  <c r="CR219" i="7"/>
  <c r="BU221" i="7"/>
  <c r="CP220" i="7"/>
  <c r="H215" i="7"/>
  <c r="G215" i="7"/>
  <c r="H214" i="7"/>
  <c r="G214" i="7"/>
  <c r="CG220" i="7"/>
  <c r="DB219" i="7"/>
  <c r="AO219" i="7"/>
  <c r="BW221" i="7" l="1"/>
  <c r="CR220" i="7"/>
  <c r="CK222" i="7"/>
  <c r="DF221" i="7"/>
  <c r="CE220" i="7"/>
  <c r="CZ219" i="7"/>
  <c r="AM219" i="7"/>
  <c r="CM221" i="7"/>
  <c r="DH220" i="7"/>
  <c r="P219" i="7"/>
  <c r="CB221" i="7"/>
  <c r="CW220" i="7"/>
  <c r="CF220" i="7"/>
  <c r="DA219" i="7"/>
  <c r="AN219" i="7"/>
  <c r="BL209" i="7"/>
  <c r="E209" i="7"/>
  <c r="AL210" i="7"/>
  <c r="BX221" i="7"/>
  <c r="CS220" i="7"/>
  <c r="BK209" i="7"/>
  <c r="D209" i="7"/>
  <c r="AK210" i="7"/>
  <c r="DG221" i="7"/>
  <c r="EM221" i="7"/>
  <c r="CL222" i="7"/>
  <c r="BT221" i="7"/>
  <c r="CO220" i="7"/>
  <c r="EO220" i="7"/>
  <c r="BD217" i="7"/>
  <c r="BF217" i="7"/>
  <c r="BE217" i="7"/>
  <c r="AP219" i="7"/>
  <c r="AR219" i="7"/>
  <c r="AQ219" i="7"/>
  <c r="BG218" i="7"/>
  <c r="BV221" i="7"/>
  <c r="CQ220" i="7"/>
  <c r="C209" i="7"/>
  <c r="F209" i="7" s="1"/>
  <c r="BJ209" i="7"/>
  <c r="BM209" i="7" s="1"/>
  <c r="B209" i="7" s="1"/>
  <c r="AJ210" i="7"/>
  <c r="CJ221" i="7"/>
  <c r="DE220" i="7"/>
  <c r="BZ221" i="7"/>
  <c r="CU220" i="7"/>
  <c r="EN220" i="7"/>
  <c r="BN219" i="7"/>
  <c r="CH220" i="7"/>
  <c r="DC219" i="7"/>
  <c r="BC218" i="7"/>
  <c r="DR218" i="7" s="1"/>
  <c r="AY218" i="7"/>
  <c r="DN218" i="7" s="1"/>
  <c r="AU218" i="7"/>
  <c r="DJ218" i="7" s="1"/>
  <c r="BB218" i="7"/>
  <c r="DQ218" i="7" s="1"/>
  <c r="AX218" i="7"/>
  <c r="DM218" i="7" s="1"/>
  <c r="AT218" i="7"/>
  <c r="BA218" i="7"/>
  <c r="DP218" i="7" s="1"/>
  <c r="AW218" i="7"/>
  <c r="DL218" i="7" s="1"/>
  <c r="AZ218" i="7"/>
  <c r="DO218" i="7" s="1"/>
  <c r="AV218" i="7"/>
  <c r="DK218" i="7" s="1"/>
  <c r="AG218" i="7"/>
  <c r="AH218" i="7"/>
  <c r="AF218" i="7"/>
  <c r="AI218" i="7" s="1"/>
  <c r="EB219" i="7"/>
  <c r="DW219" i="7"/>
  <c r="EA219" i="7"/>
  <c r="DV219" i="7"/>
  <c r="BS220" i="7"/>
  <c r="EF219" i="7"/>
  <c r="DZ219" i="7"/>
  <c r="CN219" i="7"/>
  <c r="BO218" i="7" s="1"/>
  <c r="EC219" i="7"/>
  <c r="DX219" i="7"/>
  <c r="M219" i="7"/>
  <c r="AO220" i="7"/>
  <c r="CG221" i="7"/>
  <c r="DB220" i="7"/>
  <c r="BI219" i="7"/>
  <c r="BU222" i="7"/>
  <c r="CP221" i="7"/>
  <c r="DI217" i="7"/>
  <c r="H216" i="7"/>
  <c r="G216" i="7"/>
  <c r="CI221" i="7"/>
  <c r="DD220" i="7"/>
  <c r="DS220" i="7"/>
  <c r="BH218" i="7"/>
  <c r="BO217" i="7"/>
  <c r="BY222" i="7"/>
  <c r="CT221" i="7"/>
  <c r="CA221" i="7"/>
  <c r="CV220" i="7"/>
  <c r="CD221" i="7"/>
  <c r="CY220" i="7"/>
  <c r="CC222" i="7"/>
  <c r="CX221" i="7"/>
  <c r="CD222" i="7" l="1"/>
  <c r="CY221" i="7"/>
  <c r="DI218" i="7"/>
  <c r="CH221" i="7"/>
  <c r="DC220" i="7"/>
  <c r="BN220" i="7"/>
  <c r="BZ222" i="7"/>
  <c r="CU221" i="7"/>
  <c r="EN221" i="7"/>
  <c r="EO221" i="7"/>
  <c r="BT222" i="7"/>
  <c r="CO221" i="7"/>
  <c r="BK210" i="7"/>
  <c r="D210" i="7"/>
  <c r="AK211" i="7"/>
  <c r="BX222" i="7"/>
  <c r="CS221" i="7"/>
  <c r="BH219" i="7"/>
  <c r="CB222" i="7"/>
  <c r="CW221" i="7"/>
  <c r="CM222" i="7"/>
  <c r="DH221" i="7"/>
  <c r="CI222" i="7"/>
  <c r="DD221" i="7"/>
  <c r="DS221" i="7"/>
  <c r="CG222" i="7"/>
  <c r="DB221" i="7"/>
  <c r="AO221" i="7"/>
  <c r="DG222" i="7"/>
  <c r="EM222" i="7"/>
  <c r="CL223" i="7"/>
  <c r="E210" i="7"/>
  <c r="BL210" i="7"/>
  <c r="AL211" i="7"/>
  <c r="BG219" i="7"/>
  <c r="CK223" i="7"/>
  <c r="DF222" i="7"/>
  <c r="BP217" i="7"/>
  <c r="BQ217" i="7"/>
  <c r="EA220" i="7"/>
  <c r="DV220" i="7"/>
  <c r="BS221" i="7"/>
  <c r="EF220" i="7"/>
  <c r="DZ220" i="7"/>
  <c r="CN220" i="7"/>
  <c r="EC220" i="7"/>
  <c r="DX220" i="7"/>
  <c r="EB220" i="7"/>
  <c r="DW220" i="7"/>
  <c r="M220" i="7"/>
  <c r="BF218" i="7"/>
  <c r="BE218" i="7"/>
  <c r="BD218" i="7"/>
  <c r="CA222" i="7"/>
  <c r="CV221" i="7"/>
  <c r="BU223" i="7"/>
  <c r="CP222" i="7"/>
  <c r="CJ222" i="7"/>
  <c r="DE221" i="7"/>
  <c r="CF221" i="7"/>
  <c r="DA220" i="7"/>
  <c r="AN220" i="7"/>
  <c r="N220" i="7"/>
  <c r="BY223" i="7"/>
  <c r="CT222" i="7"/>
  <c r="CC223" i="7"/>
  <c r="CX222" i="7"/>
  <c r="P220" i="7"/>
  <c r="BB219" i="7"/>
  <c r="DQ219" i="7" s="1"/>
  <c r="AX219" i="7"/>
  <c r="DM219" i="7" s="1"/>
  <c r="AT219" i="7"/>
  <c r="BA219" i="7"/>
  <c r="DP219" i="7" s="1"/>
  <c r="AW219" i="7"/>
  <c r="DL219" i="7" s="1"/>
  <c r="AZ219" i="7"/>
  <c r="DO219" i="7" s="1"/>
  <c r="AV219" i="7"/>
  <c r="DK219" i="7" s="1"/>
  <c r="BC219" i="7"/>
  <c r="DR219" i="7" s="1"/>
  <c r="AY219" i="7"/>
  <c r="DN219" i="7" s="1"/>
  <c r="AU219" i="7"/>
  <c r="DJ219" i="7" s="1"/>
  <c r="AH219" i="7"/>
  <c r="AF219" i="7"/>
  <c r="AI219" i="7" s="1"/>
  <c r="AG219" i="7"/>
  <c r="BJ210" i="7"/>
  <c r="BM210" i="7" s="1"/>
  <c r="B210" i="7" s="1"/>
  <c r="C210" i="7"/>
  <c r="F210" i="7" s="1"/>
  <c r="AJ211" i="7"/>
  <c r="BV222" i="7"/>
  <c r="CQ221" i="7"/>
  <c r="CE221" i="7"/>
  <c r="CZ220" i="7"/>
  <c r="AM220" i="7"/>
  <c r="BW222" i="7"/>
  <c r="CR221" i="7"/>
  <c r="BV223" i="7" l="1"/>
  <c r="CQ222" i="7"/>
  <c r="CC224" i="7"/>
  <c r="CX223" i="7"/>
  <c r="CJ223" i="7"/>
  <c r="DE222" i="7"/>
  <c r="G217" i="7"/>
  <c r="H217" i="7"/>
  <c r="EM223" i="7"/>
  <c r="DG223" i="7"/>
  <c r="CL224" i="7"/>
  <c r="BX223" i="7"/>
  <c r="CS222" i="7"/>
  <c r="CH222" i="7"/>
  <c r="DC221" i="7"/>
  <c r="BN221" i="7"/>
  <c r="CA223" i="7"/>
  <c r="CV222" i="7"/>
  <c r="BA220" i="7"/>
  <c r="DP220" i="7" s="1"/>
  <c r="AW220" i="7"/>
  <c r="DL220" i="7" s="1"/>
  <c r="AZ220" i="7"/>
  <c r="DO220" i="7" s="1"/>
  <c r="AV220" i="7"/>
  <c r="DK220" i="7" s="1"/>
  <c r="BC220" i="7"/>
  <c r="DR220" i="7" s="1"/>
  <c r="AY220" i="7"/>
  <c r="DN220" i="7" s="1"/>
  <c r="AU220" i="7"/>
  <c r="DJ220" i="7" s="1"/>
  <c r="BB220" i="7"/>
  <c r="DQ220" i="7" s="1"/>
  <c r="AX220" i="7"/>
  <c r="DM220" i="7" s="1"/>
  <c r="AT220" i="7"/>
  <c r="AF220" i="7"/>
  <c r="AI220" i="7" s="1"/>
  <c r="AH220" i="7"/>
  <c r="AG220" i="7"/>
  <c r="BS222" i="7"/>
  <c r="EF221" i="7"/>
  <c r="DZ221" i="7"/>
  <c r="CN221" i="7"/>
  <c r="EC221" i="7"/>
  <c r="DX221" i="7"/>
  <c r="EB221" i="7"/>
  <c r="DW221" i="7"/>
  <c r="EA221" i="7"/>
  <c r="DV221" i="7"/>
  <c r="M221" i="7"/>
  <c r="E211" i="7"/>
  <c r="BL211" i="7"/>
  <c r="AL212" i="7"/>
  <c r="DS222" i="7"/>
  <c r="CI223" i="7"/>
  <c r="DD222" i="7"/>
  <c r="CB223" i="7"/>
  <c r="CW222" i="7"/>
  <c r="D211" i="7"/>
  <c r="BK211" i="7"/>
  <c r="AK212" i="7"/>
  <c r="EO222" i="7"/>
  <c r="BT223" i="7"/>
  <c r="CO222" i="7"/>
  <c r="BZ223" i="7"/>
  <c r="CU222" i="7"/>
  <c r="EN222" i="7"/>
  <c r="DI219" i="7"/>
  <c r="DI220" i="7" s="1"/>
  <c r="BP218" i="7"/>
  <c r="BQ218" i="7" s="1"/>
  <c r="BJ211" i="7"/>
  <c r="BM211" i="7" s="1"/>
  <c r="B211" i="7" s="1"/>
  <c r="C211" i="7"/>
  <c r="F211" i="7" s="1"/>
  <c r="AJ212" i="7"/>
  <c r="CE222" i="7"/>
  <c r="CZ221" i="7"/>
  <c r="AM221" i="7"/>
  <c r="BF219" i="7"/>
  <c r="BE219" i="7"/>
  <c r="BD219" i="7"/>
  <c r="N221" i="7"/>
  <c r="BY224" i="7"/>
  <c r="CT223" i="7"/>
  <c r="AN221" i="7"/>
  <c r="CF222" i="7"/>
  <c r="DA221" i="7"/>
  <c r="BO219" i="7"/>
  <c r="CG223" i="7"/>
  <c r="DB222" i="7"/>
  <c r="AO222" i="7"/>
  <c r="BW223" i="7"/>
  <c r="CR222" i="7"/>
  <c r="AR220" i="7"/>
  <c r="BI220" i="7" s="1"/>
  <c r="AQ220" i="7"/>
  <c r="BH220" i="7" s="1"/>
  <c r="AP220" i="7"/>
  <c r="BG220" i="7" s="1"/>
  <c r="BU224" i="7"/>
  <c r="CP223" i="7"/>
  <c r="CK224" i="7"/>
  <c r="DF223" i="7"/>
  <c r="P221" i="7"/>
  <c r="N222" i="7" s="1"/>
  <c r="CM223" i="7"/>
  <c r="DH222" i="7"/>
  <c r="CD223" i="7"/>
  <c r="CY222" i="7"/>
  <c r="BP220" i="7" l="1"/>
  <c r="CF223" i="7"/>
  <c r="DA222" i="7"/>
  <c r="AN222" i="7"/>
  <c r="AR221" i="7"/>
  <c r="BI221" i="7" s="1"/>
  <c r="AQ221" i="7"/>
  <c r="BH221" i="7" s="1"/>
  <c r="AP221" i="7"/>
  <c r="BG221" i="7"/>
  <c r="BT224" i="7"/>
  <c r="CO223" i="7"/>
  <c r="EO223" i="7"/>
  <c r="CI224" i="7"/>
  <c r="DD223" i="7"/>
  <c r="DS223" i="7"/>
  <c r="BO220" i="7"/>
  <c r="BQ220" i="7" s="1"/>
  <c r="BV224" i="7"/>
  <c r="CQ223" i="7"/>
  <c r="CK225" i="7"/>
  <c r="DF224" i="7"/>
  <c r="CD224" i="7"/>
  <c r="CY223" i="7"/>
  <c r="BU225" i="7"/>
  <c r="CP224" i="7"/>
  <c r="BW224" i="7"/>
  <c r="CR223" i="7"/>
  <c r="P222" i="7"/>
  <c r="AZ221" i="7"/>
  <c r="DO221" i="7" s="1"/>
  <c r="AV221" i="7"/>
  <c r="DK221" i="7" s="1"/>
  <c r="BC221" i="7"/>
  <c r="DR221" i="7" s="1"/>
  <c r="AY221" i="7"/>
  <c r="DN221" i="7" s="1"/>
  <c r="AU221" i="7"/>
  <c r="DJ221" i="7" s="1"/>
  <c r="BB221" i="7"/>
  <c r="DQ221" i="7" s="1"/>
  <c r="AX221" i="7"/>
  <c r="DM221" i="7" s="1"/>
  <c r="AT221" i="7"/>
  <c r="BA221" i="7"/>
  <c r="DP221" i="7" s="1"/>
  <c r="AW221" i="7"/>
  <c r="DL221" i="7" s="1"/>
  <c r="AG221" i="7"/>
  <c r="AF221" i="7"/>
  <c r="AI221" i="7" s="1"/>
  <c r="AH221" i="7"/>
  <c r="CH223" i="7"/>
  <c r="DC222" i="7"/>
  <c r="BN222" i="7"/>
  <c r="EM224" i="7"/>
  <c r="DG224" i="7"/>
  <c r="CL225" i="7"/>
  <c r="AQ222" i="7"/>
  <c r="AP222" i="7"/>
  <c r="AR222" i="7"/>
  <c r="BI222" i="7" s="1"/>
  <c r="CG224" i="7"/>
  <c r="DB223" i="7"/>
  <c r="AO223" i="7"/>
  <c r="AM222" i="7"/>
  <c r="CE223" i="7"/>
  <c r="CZ222" i="7"/>
  <c r="H218" i="7"/>
  <c r="G218" i="7"/>
  <c r="EN223" i="7"/>
  <c r="BZ224" i="7"/>
  <c r="CU223" i="7"/>
  <c r="D212" i="7"/>
  <c r="BK212" i="7"/>
  <c r="AK213" i="7"/>
  <c r="CB224" i="7"/>
  <c r="CW223" i="7"/>
  <c r="BL212" i="7"/>
  <c r="E212" i="7"/>
  <c r="AL213" i="7"/>
  <c r="CA224" i="7"/>
  <c r="CV223" i="7"/>
  <c r="CC225" i="7"/>
  <c r="CX224" i="7"/>
  <c r="CM224" i="7"/>
  <c r="DH223" i="7"/>
  <c r="BY225" i="7"/>
  <c r="CT224" i="7"/>
  <c r="C212" i="7"/>
  <c r="F212" i="7" s="1"/>
  <c r="BJ212" i="7"/>
  <c r="BM212" i="7" s="1"/>
  <c r="B212" i="7" s="1"/>
  <c r="AJ213" i="7"/>
  <c r="DI221" i="7"/>
  <c r="EC222" i="7"/>
  <c r="DX222" i="7"/>
  <c r="EB222" i="7"/>
  <c r="DW222" i="7"/>
  <c r="EA222" i="7"/>
  <c r="DV222" i="7"/>
  <c r="BS223" i="7"/>
  <c r="EF222" i="7"/>
  <c r="DZ222" i="7"/>
  <c r="CN222" i="7"/>
  <c r="BO221" i="7" s="1"/>
  <c r="M222" i="7"/>
  <c r="BE220" i="7"/>
  <c r="BD220" i="7"/>
  <c r="BF220" i="7"/>
  <c r="BX224" i="7"/>
  <c r="CS223" i="7"/>
  <c r="CJ224" i="7"/>
  <c r="DE223" i="7"/>
  <c r="BP219" i="7"/>
  <c r="BQ219" i="7" s="1"/>
  <c r="H219" i="7" l="1"/>
  <c r="G219" i="7"/>
  <c r="BP221" i="7"/>
  <c r="BQ221" i="7" s="1"/>
  <c r="BC222" i="7"/>
  <c r="DR222" i="7" s="1"/>
  <c r="AY222" i="7"/>
  <c r="DN222" i="7" s="1"/>
  <c r="AU222" i="7"/>
  <c r="DJ222" i="7" s="1"/>
  <c r="BB222" i="7"/>
  <c r="DQ222" i="7" s="1"/>
  <c r="AX222" i="7"/>
  <c r="DM222" i="7" s="1"/>
  <c r="AT222" i="7"/>
  <c r="BA222" i="7"/>
  <c r="DP222" i="7" s="1"/>
  <c r="AW222" i="7"/>
  <c r="DL222" i="7" s="1"/>
  <c r="AZ222" i="7"/>
  <c r="DO222" i="7" s="1"/>
  <c r="AV222" i="7"/>
  <c r="DK222" i="7" s="1"/>
  <c r="AG222" i="7"/>
  <c r="AF222" i="7"/>
  <c r="AI222" i="7" s="1"/>
  <c r="AH222" i="7"/>
  <c r="CJ225" i="7"/>
  <c r="DE224" i="7"/>
  <c r="DG225" i="7"/>
  <c r="EM225" i="7"/>
  <c r="CL226" i="7"/>
  <c r="H220" i="7"/>
  <c r="G220" i="7"/>
  <c r="CF224" i="7"/>
  <c r="DA223" i="7"/>
  <c r="AN223" i="7"/>
  <c r="CE224" i="7"/>
  <c r="CZ223" i="7"/>
  <c r="AM223" i="7"/>
  <c r="CM225" i="7"/>
  <c r="DH224" i="7"/>
  <c r="CA225" i="7"/>
  <c r="CV224" i="7"/>
  <c r="BG222" i="7"/>
  <c r="AO224" i="7"/>
  <c r="CG225" i="7"/>
  <c r="DB224" i="7"/>
  <c r="BN223" i="7"/>
  <c r="CH224" i="7"/>
  <c r="DC223" i="7"/>
  <c r="BU226" i="7"/>
  <c r="CP225" i="7"/>
  <c r="CK226" i="7"/>
  <c r="DF225" i="7"/>
  <c r="P223" i="7"/>
  <c r="BX225" i="7"/>
  <c r="CS224" i="7"/>
  <c r="DI222" i="7"/>
  <c r="BL213" i="7"/>
  <c r="E213" i="7"/>
  <c r="AL214" i="7"/>
  <c r="CB225" i="7"/>
  <c r="CW224" i="7"/>
  <c r="BT225" i="7"/>
  <c r="CO224" i="7"/>
  <c r="EO224" i="7"/>
  <c r="BH222" i="7"/>
  <c r="EB223" i="7"/>
  <c r="DW223" i="7"/>
  <c r="EA223" i="7"/>
  <c r="DV223" i="7"/>
  <c r="BS224" i="7"/>
  <c r="EF223" i="7"/>
  <c r="DZ223" i="7"/>
  <c r="CN223" i="7"/>
  <c r="BO222" i="7" s="1"/>
  <c r="EC223" i="7"/>
  <c r="DX223" i="7"/>
  <c r="M223" i="7"/>
  <c r="C213" i="7"/>
  <c r="F213" i="7" s="1"/>
  <c r="BJ213" i="7"/>
  <c r="BM213" i="7" s="1"/>
  <c r="B213" i="7" s="1"/>
  <c r="AJ214" i="7"/>
  <c r="BY226" i="7"/>
  <c r="CT225" i="7"/>
  <c r="CC226" i="7"/>
  <c r="CX225" i="7"/>
  <c r="BK213" i="7"/>
  <c r="D213" i="7"/>
  <c r="AK214" i="7"/>
  <c r="BZ225" i="7"/>
  <c r="CU224" i="7"/>
  <c r="EN224" i="7"/>
  <c r="BD221" i="7"/>
  <c r="BF221" i="7"/>
  <c r="BE221" i="7"/>
  <c r="N223" i="7"/>
  <c r="BW225" i="7"/>
  <c r="CR224" i="7"/>
  <c r="CD225" i="7"/>
  <c r="CY224" i="7"/>
  <c r="BV225" i="7"/>
  <c r="CQ224" i="7"/>
  <c r="CI225" i="7"/>
  <c r="DD224" i="7"/>
  <c r="DS224" i="7"/>
  <c r="G221" i="7" l="1"/>
  <c r="H221" i="7"/>
  <c r="BP222" i="7"/>
  <c r="BQ222" i="7" s="1"/>
  <c r="P224" i="7"/>
  <c r="BW226" i="7"/>
  <c r="CR225" i="7"/>
  <c r="BB223" i="7"/>
  <c r="DQ223" i="7" s="1"/>
  <c r="AX223" i="7"/>
  <c r="DM223" i="7" s="1"/>
  <c r="AT223" i="7"/>
  <c r="BA223" i="7"/>
  <c r="DP223" i="7" s="1"/>
  <c r="AW223" i="7"/>
  <c r="DL223" i="7" s="1"/>
  <c r="AZ223" i="7"/>
  <c r="DO223" i="7" s="1"/>
  <c r="AV223" i="7"/>
  <c r="DK223" i="7" s="1"/>
  <c r="BC223" i="7"/>
  <c r="DR223" i="7" s="1"/>
  <c r="AY223" i="7"/>
  <c r="DN223" i="7" s="1"/>
  <c r="AU223" i="7"/>
  <c r="DJ223" i="7" s="1"/>
  <c r="AF223" i="7"/>
  <c r="AI223" i="7" s="1"/>
  <c r="AG223" i="7"/>
  <c r="AH223" i="7"/>
  <c r="CB226" i="7"/>
  <c r="CW225" i="7"/>
  <c r="DI223" i="7"/>
  <c r="N224" i="7"/>
  <c r="BU227" i="7"/>
  <c r="CP226" i="7"/>
  <c r="DG226" i="7"/>
  <c r="EM226" i="7"/>
  <c r="CL227" i="7"/>
  <c r="CJ226" i="7"/>
  <c r="DE225" i="7"/>
  <c r="BF222" i="7"/>
  <c r="BE222" i="7"/>
  <c r="BD222" i="7"/>
  <c r="BV226" i="7"/>
  <c r="CQ225" i="7"/>
  <c r="BY227" i="7"/>
  <c r="CT226" i="7"/>
  <c r="AP223" i="7"/>
  <c r="BG223" i="7" s="1"/>
  <c r="AR223" i="7"/>
  <c r="BI223" i="7" s="1"/>
  <c r="AQ223" i="7"/>
  <c r="CG226" i="7"/>
  <c r="DB225" i="7"/>
  <c r="AO225" i="7"/>
  <c r="CA226" i="7"/>
  <c r="CV225" i="7"/>
  <c r="CF225" i="7"/>
  <c r="DA224" i="7"/>
  <c r="AN224" i="7"/>
  <c r="BZ226" i="7"/>
  <c r="CU225" i="7"/>
  <c r="EN225" i="7"/>
  <c r="BJ214" i="7"/>
  <c r="BM214" i="7" s="1"/>
  <c r="B214" i="7" s="1"/>
  <c r="C214" i="7"/>
  <c r="F214" i="7" s="1"/>
  <c r="AJ215" i="7"/>
  <c r="E214" i="7"/>
  <c r="BL214" i="7"/>
  <c r="AL215" i="7"/>
  <c r="CI226" i="7"/>
  <c r="DD225" i="7"/>
  <c r="DS225" i="7"/>
  <c r="CD226" i="7"/>
  <c r="CY225" i="7"/>
  <c r="BK214" i="7"/>
  <c r="D214" i="7"/>
  <c r="AK215" i="7"/>
  <c r="CC227" i="7"/>
  <c r="CX226" i="7"/>
  <c r="EA224" i="7"/>
  <c r="DV224" i="7"/>
  <c r="BS225" i="7"/>
  <c r="EF224" i="7"/>
  <c r="DZ224" i="7"/>
  <c r="CN224" i="7"/>
  <c r="EC224" i="7"/>
  <c r="DX224" i="7"/>
  <c r="EB224" i="7"/>
  <c r="DW224" i="7"/>
  <c r="M224" i="7"/>
  <c r="EO225" i="7"/>
  <c r="BT226" i="7"/>
  <c r="CO225" i="7"/>
  <c r="BX226" i="7"/>
  <c r="CS225" i="7"/>
  <c r="CK227" i="7"/>
  <c r="DF226" i="7"/>
  <c r="CH225" i="7"/>
  <c r="DC224" i="7"/>
  <c r="BN224" i="7"/>
  <c r="CE225" i="7"/>
  <c r="CZ224" i="7"/>
  <c r="AM224" i="7"/>
  <c r="CM226" i="7"/>
  <c r="DH225" i="7"/>
  <c r="BH223" i="7"/>
  <c r="BP223" i="7" l="1"/>
  <c r="H222" i="7"/>
  <c r="G222" i="7"/>
  <c r="CE226" i="7"/>
  <c r="CZ225" i="7"/>
  <c r="AM225" i="7"/>
  <c r="CH226" i="7"/>
  <c r="DC225" i="7"/>
  <c r="BN225" i="7"/>
  <c r="BO223" i="7"/>
  <c r="BQ223" i="7" s="1"/>
  <c r="D215" i="7"/>
  <c r="BK215" i="7"/>
  <c r="AK216" i="7"/>
  <c r="CD227" i="7"/>
  <c r="CY226" i="7"/>
  <c r="E215" i="7"/>
  <c r="BL215" i="7"/>
  <c r="AL216" i="7"/>
  <c r="BZ227" i="7"/>
  <c r="CU226" i="7"/>
  <c r="EN226" i="7"/>
  <c r="CG227" i="7"/>
  <c r="DB226" i="7"/>
  <c r="AO226" i="7"/>
  <c r="BY228" i="7"/>
  <c r="CT227" i="7"/>
  <c r="EM227" i="7"/>
  <c r="DG227" i="7"/>
  <c r="CL228" i="7"/>
  <c r="BF223" i="7"/>
  <c r="BE223" i="7"/>
  <c r="BD223" i="7"/>
  <c r="BW227" i="7"/>
  <c r="CR226" i="7"/>
  <c r="CK228" i="7"/>
  <c r="DF227" i="7"/>
  <c r="EO226" i="7"/>
  <c r="BT227" i="7"/>
  <c r="CO226" i="7"/>
  <c r="P225" i="7"/>
  <c r="CA227" i="7"/>
  <c r="CV226" i="7"/>
  <c r="BU228" i="7"/>
  <c r="CP227" i="7"/>
  <c r="CB227" i="7"/>
  <c r="CW226" i="7"/>
  <c r="BV227" i="7"/>
  <c r="CQ226" i="7"/>
  <c r="AR224" i="7"/>
  <c r="BI224" i="7" s="1"/>
  <c r="AQ224" i="7"/>
  <c r="BH224" i="7" s="1"/>
  <c r="AP224" i="7"/>
  <c r="BG224" i="7" s="1"/>
  <c r="N225" i="7"/>
  <c r="CM227" i="7"/>
  <c r="DH226" i="7"/>
  <c r="BX227" i="7"/>
  <c r="CS226" i="7"/>
  <c r="BA224" i="7"/>
  <c r="DP224" i="7" s="1"/>
  <c r="AW224" i="7"/>
  <c r="DL224" i="7" s="1"/>
  <c r="AZ224" i="7"/>
  <c r="DO224" i="7" s="1"/>
  <c r="AV224" i="7"/>
  <c r="DK224" i="7" s="1"/>
  <c r="BC224" i="7"/>
  <c r="DR224" i="7" s="1"/>
  <c r="AY224" i="7"/>
  <c r="DN224" i="7" s="1"/>
  <c r="AU224" i="7"/>
  <c r="DJ224" i="7" s="1"/>
  <c r="BB224" i="7"/>
  <c r="DQ224" i="7" s="1"/>
  <c r="AX224" i="7"/>
  <c r="DM224" i="7" s="1"/>
  <c r="AT224" i="7"/>
  <c r="DI224" i="7" s="1"/>
  <c r="AF224" i="7"/>
  <c r="AI224" i="7" s="1"/>
  <c r="AH224" i="7"/>
  <c r="AG224" i="7"/>
  <c r="BS226" i="7"/>
  <c r="EF225" i="7"/>
  <c r="DZ225" i="7"/>
  <c r="CN225" i="7"/>
  <c r="BO224" i="7" s="1"/>
  <c r="EC225" i="7"/>
  <c r="DX225" i="7"/>
  <c r="EB225" i="7"/>
  <c r="DW225" i="7"/>
  <c r="EA225" i="7"/>
  <c r="DV225" i="7"/>
  <c r="M225" i="7"/>
  <c r="CC228" i="7"/>
  <c r="CX227" i="7"/>
  <c r="DS226" i="7"/>
  <c r="CI227" i="7"/>
  <c r="DD226" i="7"/>
  <c r="BJ215" i="7"/>
  <c r="BM215" i="7" s="1"/>
  <c r="B215" i="7" s="1"/>
  <c r="C215" i="7"/>
  <c r="F215" i="7" s="1"/>
  <c r="AJ216" i="7"/>
  <c r="AN225" i="7"/>
  <c r="CF226" i="7"/>
  <c r="DA225" i="7"/>
  <c r="CJ227" i="7"/>
  <c r="DE226" i="7"/>
  <c r="DK225" i="7" l="1"/>
  <c r="BQ224" i="7"/>
  <c r="BP224" i="7"/>
  <c r="CF227" i="7"/>
  <c r="DA226" i="7"/>
  <c r="AN226" i="7"/>
  <c r="BH225" i="7"/>
  <c r="CC229" i="7"/>
  <c r="CX228" i="7"/>
  <c r="P226" i="7"/>
  <c r="N227" i="7" s="1"/>
  <c r="BX228" i="7"/>
  <c r="CS227" i="7"/>
  <c r="BU229" i="7"/>
  <c r="CP228" i="7"/>
  <c r="N226" i="7"/>
  <c r="EN227" i="7"/>
  <c r="BZ228" i="7"/>
  <c r="CU227" i="7"/>
  <c r="CH227" i="7"/>
  <c r="DC226" i="7"/>
  <c r="BN226" i="7"/>
  <c r="CG228" i="7"/>
  <c r="DB227" i="7"/>
  <c r="AO227" i="7"/>
  <c r="BL216" i="7"/>
  <c r="E216" i="7"/>
  <c r="AL217" i="7"/>
  <c r="CD228" i="7"/>
  <c r="CY227" i="7"/>
  <c r="H223" i="7"/>
  <c r="G223" i="7"/>
  <c r="BE224" i="7"/>
  <c r="BD224" i="7"/>
  <c r="BF224" i="7"/>
  <c r="CM228" i="7"/>
  <c r="DH227" i="7"/>
  <c r="CB228" i="7"/>
  <c r="CW227" i="7"/>
  <c r="CA228" i="7"/>
  <c r="CV227" i="7"/>
  <c r="CK229" i="7"/>
  <c r="DF228" i="7"/>
  <c r="BW228" i="7"/>
  <c r="CR227" i="7"/>
  <c r="EM228" i="7"/>
  <c r="DG228" i="7"/>
  <c r="CL229" i="7"/>
  <c r="BY229" i="7"/>
  <c r="CT228" i="7"/>
  <c r="D216" i="7"/>
  <c r="BK216" i="7"/>
  <c r="AK217" i="7"/>
  <c r="EC226" i="7"/>
  <c r="DX226" i="7"/>
  <c r="EB226" i="7"/>
  <c r="DW226" i="7"/>
  <c r="EA226" i="7"/>
  <c r="DV226" i="7"/>
  <c r="BS227" i="7"/>
  <c r="EF226" i="7"/>
  <c r="DZ226" i="7"/>
  <c r="CN226" i="7"/>
  <c r="M226" i="7"/>
  <c r="CJ228" i="7"/>
  <c r="DE227" i="7"/>
  <c r="C216" i="7"/>
  <c r="F216" i="7" s="1"/>
  <c r="BJ216" i="7"/>
  <c r="BM216" i="7" s="1"/>
  <c r="B216" i="7" s="1"/>
  <c r="AJ217" i="7"/>
  <c r="CI228" i="7"/>
  <c r="DD227" i="7"/>
  <c r="DS227" i="7"/>
  <c r="AZ225" i="7"/>
  <c r="DO225" i="7" s="1"/>
  <c r="AV225" i="7"/>
  <c r="BC225" i="7"/>
  <c r="DR225" i="7" s="1"/>
  <c r="AY225" i="7"/>
  <c r="DN225" i="7" s="1"/>
  <c r="AU225" i="7"/>
  <c r="DJ225" i="7" s="1"/>
  <c r="BB225" i="7"/>
  <c r="DQ225" i="7" s="1"/>
  <c r="AX225" i="7"/>
  <c r="DM225" i="7" s="1"/>
  <c r="AT225" i="7"/>
  <c r="BA225" i="7"/>
  <c r="DP225" i="7" s="1"/>
  <c r="AW225" i="7"/>
  <c r="DL225" i="7" s="1"/>
  <c r="AG225" i="7"/>
  <c r="AF225" i="7"/>
  <c r="AI225" i="7" s="1"/>
  <c r="AH225" i="7"/>
  <c r="AR225" i="7"/>
  <c r="BI225" i="7" s="1"/>
  <c r="AQ225" i="7"/>
  <c r="AP225" i="7"/>
  <c r="BG225" i="7" s="1"/>
  <c r="BV228" i="7"/>
  <c r="CQ227" i="7"/>
  <c r="BT228" i="7"/>
  <c r="CO227" i="7"/>
  <c r="EO227" i="7"/>
  <c r="AM226" i="7"/>
  <c r="CE227" i="7"/>
  <c r="CZ226" i="7"/>
  <c r="C217" i="7" l="1"/>
  <c r="F217" i="7" s="1"/>
  <c r="BJ217" i="7"/>
  <c r="BM217" i="7" s="1"/>
  <c r="B217" i="7" s="1"/>
  <c r="AJ218" i="7"/>
  <c r="CJ229" i="7"/>
  <c r="DE228" i="7"/>
  <c r="CK230" i="7"/>
  <c r="DF229" i="7"/>
  <c r="AO228" i="7"/>
  <c r="CG229" i="7"/>
  <c r="DB228" i="7"/>
  <c r="H224" i="7"/>
  <c r="G224" i="7"/>
  <c r="BV229" i="7"/>
  <c r="CQ228" i="7"/>
  <c r="BD225" i="7"/>
  <c r="BF225" i="7"/>
  <c r="BE225" i="7"/>
  <c r="P227" i="7"/>
  <c r="BC226" i="7"/>
  <c r="DR226" i="7" s="1"/>
  <c r="AY226" i="7"/>
  <c r="DN226" i="7" s="1"/>
  <c r="AU226" i="7"/>
  <c r="DJ226" i="7" s="1"/>
  <c r="BB226" i="7"/>
  <c r="DQ226" i="7" s="1"/>
  <c r="AX226" i="7"/>
  <c r="DM226" i="7" s="1"/>
  <c r="AT226" i="7"/>
  <c r="BA226" i="7"/>
  <c r="DP226" i="7" s="1"/>
  <c r="AW226" i="7"/>
  <c r="DL226" i="7" s="1"/>
  <c r="AZ226" i="7"/>
  <c r="DO226" i="7" s="1"/>
  <c r="AV226" i="7"/>
  <c r="AG226" i="7"/>
  <c r="AH226" i="7"/>
  <c r="AF226" i="7"/>
  <c r="AI226" i="7" s="1"/>
  <c r="EB227" i="7"/>
  <c r="DW227" i="7"/>
  <c r="EA227" i="7"/>
  <c r="DV227" i="7"/>
  <c r="BS228" i="7"/>
  <c r="EF227" i="7"/>
  <c r="DZ227" i="7"/>
  <c r="CN227" i="7"/>
  <c r="EC227" i="7"/>
  <c r="DX227" i="7"/>
  <c r="M227" i="7"/>
  <c r="BK217" i="7"/>
  <c r="D217" i="7"/>
  <c r="AK218" i="7"/>
  <c r="BY230" i="7"/>
  <c r="CT229" i="7"/>
  <c r="BZ229" i="7"/>
  <c r="CU228" i="7"/>
  <c r="EN228" i="7"/>
  <c r="BU230" i="7"/>
  <c r="CP229" i="7"/>
  <c r="BH226" i="7"/>
  <c r="CE228" i="7"/>
  <c r="CZ227" i="7"/>
  <c r="AM227" i="7"/>
  <c r="BO225" i="7"/>
  <c r="DG229" i="7"/>
  <c r="EM229" i="7"/>
  <c r="CL230" i="7"/>
  <c r="BW229" i="7"/>
  <c r="CR228" i="7"/>
  <c r="CA229" i="7"/>
  <c r="CV228" i="7"/>
  <c r="CM229" i="7"/>
  <c r="DH228" i="7"/>
  <c r="CD229" i="7"/>
  <c r="CY228" i="7"/>
  <c r="BI227" i="7"/>
  <c r="CB229" i="7"/>
  <c r="CW228" i="7"/>
  <c r="AP227" i="7"/>
  <c r="AR227" i="7"/>
  <c r="AQ227" i="7"/>
  <c r="DK226" i="7"/>
  <c r="BT229" i="7"/>
  <c r="CO228" i="7"/>
  <c r="EO228" i="7"/>
  <c r="CI229" i="7"/>
  <c r="DD228" i="7"/>
  <c r="DS228" i="7"/>
  <c r="BL217" i="7"/>
  <c r="E217" i="7"/>
  <c r="AL218" i="7"/>
  <c r="BN227" i="7"/>
  <c r="CH228" i="7"/>
  <c r="DC227" i="7"/>
  <c r="AQ226" i="7"/>
  <c r="AP226" i="7"/>
  <c r="BG226" i="7" s="1"/>
  <c r="AR226" i="7"/>
  <c r="BI226" i="7" s="1"/>
  <c r="BX229" i="7"/>
  <c r="CS228" i="7"/>
  <c r="CC230" i="7"/>
  <c r="CX229" i="7"/>
  <c r="CF228" i="7"/>
  <c r="DA227" i="7"/>
  <c r="AN227" i="7"/>
  <c r="DI225" i="7"/>
  <c r="DI226" i="7" s="1"/>
  <c r="BP226" i="7" l="1"/>
  <c r="DR227" i="7"/>
  <c r="E218" i="7"/>
  <c r="BL218" i="7"/>
  <c r="AL219" i="7"/>
  <c r="EO229" i="7"/>
  <c r="BT230" i="7"/>
  <c r="CO229" i="7"/>
  <c r="DG230" i="7"/>
  <c r="EM230" i="7"/>
  <c r="CL231" i="7"/>
  <c r="BG227" i="7"/>
  <c r="BZ230" i="7"/>
  <c r="CU229" i="7"/>
  <c r="EN229" i="7"/>
  <c r="BK218" i="7"/>
  <c r="D218" i="7"/>
  <c r="AK219" i="7"/>
  <c r="N228" i="7"/>
  <c r="CK231" i="7"/>
  <c r="DF230" i="7"/>
  <c r="BB227" i="7"/>
  <c r="DQ227" i="7" s="1"/>
  <c r="AX227" i="7"/>
  <c r="DM227" i="7" s="1"/>
  <c r="AT227" i="7"/>
  <c r="BA227" i="7"/>
  <c r="DP227" i="7" s="1"/>
  <c r="AW227" i="7"/>
  <c r="DL227" i="7" s="1"/>
  <c r="AZ227" i="7"/>
  <c r="DO227" i="7" s="1"/>
  <c r="AV227" i="7"/>
  <c r="DK227" i="7" s="1"/>
  <c r="BC227" i="7"/>
  <c r="AY227" i="7"/>
  <c r="DN227" i="7" s="1"/>
  <c r="AU227" i="7"/>
  <c r="DJ227" i="7" s="1"/>
  <c r="AG227" i="7"/>
  <c r="AF227" i="7"/>
  <c r="AI227" i="7" s="1"/>
  <c r="AH227" i="7"/>
  <c r="BJ218" i="7"/>
  <c r="BM218" i="7" s="1"/>
  <c r="B218" i="7" s="1"/>
  <c r="C218" i="7"/>
  <c r="F218" i="7" s="1"/>
  <c r="AJ219" i="7"/>
  <c r="BH227" i="7"/>
  <c r="CD230" i="7"/>
  <c r="CY229" i="7"/>
  <c r="CA230" i="7"/>
  <c r="CV229" i="7"/>
  <c r="BU231" i="7"/>
  <c r="CP230" i="7"/>
  <c r="EA228" i="7"/>
  <c r="DV228" i="7"/>
  <c r="BS229" i="7"/>
  <c r="EF228" i="7"/>
  <c r="DZ228" i="7"/>
  <c r="CN228" i="7"/>
  <c r="EC228" i="7"/>
  <c r="DX228" i="7"/>
  <c r="EB228" i="7"/>
  <c r="DW228" i="7"/>
  <c r="M228" i="7"/>
  <c r="BF226" i="7"/>
  <c r="BE226" i="7"/>
  <c r="BD226" i="7"/>
  <c r="BV230" i="7"/>
  <c r="CQ229" i="7"/>
  <c r="CG230" i="7"/>
  <c r="DB229" i="7"/>
  <c r="AO229" i="7"/>
  <c r="P228" i="7"/>
  <c r="N229" i="7" s="1"/>
  <c r="CM230" i="7"/>
  <c r="DH229" i="7"/>
  <c r="BW230" i="7"/>
  <c r="CR229" i="7"/>
  <c r="BY231" i="7"/>
  <c r="CT230" i="7"/>
  <c r="BP225" i="7"/>
  <c r="BQ225" i="7" s="1"/>
  <c r="CC231" i="7"/>
  <c r="CX230" i="7"/>
  <c r="CI230" i="7"/>
  <c r="DD229" i="7"/>
  <c r="DS229" i="7"/>
  <c r="CF229" i="7"/>
  <c r="DA228" i="7"/>
  <c r="AN228" i="7"/>
  <c r="BX230" i="7"/>
  <c r="CS229" i="7"/>
  <c r="CH229" i="7"/>
  <c r="DC228" i="7"/>
  <c r="BN228" i="7"/>
  <c r="CB230" i="7"/>
  <c r="CW229" i="7"/>
  <c r="CE229" i="7"/>
  <c r="CZ228" i="7"/>
  <c r="AM228" i="7"/>
  <c r="BO226" i="7"/>
  <c r="BQ226" i="7" s="1"/>
  <c r="CJ230" i="7"/>
  <c r="DE229" i="7"/>
  <c r="G225" i="7" l="1"/>
  <c r="H225" i="7"/>
  <c r="BH228" i="7"/>
  <c r="AR229" i="7"/>
  <c r="AQ229" i="7"/>
  <c r="AP229" i="7"/>
  <c r="BZ231" i="7"/>
  <c r="CU230" i="7"/>
  <c r="EN230" i="7"/>
  <c r="BI229" i="7"/>
  <c r="BV231" i="7"/>
  <c r="CQ230" i="7"/>
  <c r="BA228" i="7"/>
  <c r="DP228" i="7" s="1"/>
  <c r="AW228" i="7"/>
  <c r="DL228" i="7" s="1"/>
  <c r="AZ228" i="7"/>
  <c r="DO228" i="7" s="1"/>
  <c r="AV228" i="7"/>
  <c r="DK228" i="7" s="1"/>
  <c r="BC228" i="7"/>
  <c r="AY228" i="7"/>
  <c r="DN228" i="7" s="1"/>
  <c r="AU228" i="7"/>
  <c r="DJ228" i="7" s="1"/>
  <c r="BB228" i="7"/>
  <c r="DQ228" i="7" s="1"/>
  <c r="AX228" i="7"/>
  <c r="DM228" i="7" s="1"/>
  <c r="AT228" i="7"/>
  <c r="AF228" i="7"/>
  <c r="AI228" i="7" s="1"/>
  <c r="AH228" i="7"/>
  <c r="AG228" i="7"/>
  <c r="BS230" i="7"/>
  <c r="EF229" i="7"/>
  <c r="DZ229" i="7"/>
  <c r="CN229" i="7"/>
  <c r="EC229" i="7"/>
  <c r="DX229" i="7"/>
  <c r="EB229" i="7"/>
  <c r="DW229" i="7"/>
  <c r="EA229" i="7"/>
  <c r="DV229" i="7"/>
  <c r="M229" i="7"/>
  <c r="BU232" i="7"/>
  <c r="CP231" i="7"/>
  <c r="CD231" i="7"/>
  <c r="CY230" i="7"/>
  <c r="CK232" i="7"/>
  <c r="DF231" i="7"/>
  <c r="H226" i="7"/>
  <c r="G226" i="7"/>
  <c r="DR228" i="7"/>
  <c r="AN229" i="7"/>
  <c r="BH229" i="7" s="1"/>
  <c r="CF230" i="7"/>
  <c r="DA229" i="7"/>
  <c r="BY232" i="7"/>
  <c r="CT231" i="7"/>
  <c r="CM231" i="7"/>
  <c r="DH230" i="7"/>
  <c r="BO227" i="7"/>
  <c r="AR228" i="7"/>
  <c r="BI228" i="7" s="1"/>
  <c r="AQ228" i="7"/>
  <c r="AP228" i="7"/>
  <c r="BG228" i="7" s="1"/>
  <c r="EM231" i="7"/>
  <c r="DG231" i="7"/>
  <c r="CL232" i="7"/>
  <c r="EO230" i="7"/>
  <c r="BT231" i="7"/>
  <c r="CO230" i="7"/>
  <c r="BW231" i="7"/>
  <c r="CR230" i="7"/>
  <c r="BF227" i="7"/>
  <c r="BE227" i="7"/>
  <c r="BD227" i="7"/>
  <c r="E219" i="7"/>
  <c r="BL219" i="7"/>
  <c r="AL220" i="7"/>
  <c r="CB231" i="7"/>
  <c r="CW230" i="7"/>
  <c r="CH230" i="7"/>
  <c r="DC229" i="7"/>
  <c r="BN229" i="7"/>
  <c r="DS230" i="7"/>
  <c r="CI231" i="7"/>
  <c r="DD230" i="7"/>
  <c r="CJ231" i="7"/>
  <c r="DE230" i="7"/>
  <c r="CE230" i="7"/>
  <c r="CZ229" i="7"/>
  <c r="AM229" i="7"/>
  <c r="BX231" i="7"/>
  <c r="CS230" i="7"/>
  <c r="P229" i="7"/>
  <c r="N230" i="7" s="1"/>
  <c r="CC232" i="7"/>
  <c r="CX231" i="7"/>
  <c r="CG231" i="7"/>
  <c r="DB230" i="7"/>
  <c r="AO230" i="7"/>
  <c r="CA231" i="7"/>
  <c r="CV230" i="7"/>
  <c r="BJ219" i="7"/>
  <c r="BM219" i="7" s="1"/>
  <c r="B219" i="7" s="1"/>
  <c r="C219" i="7"/>
  <c r="F219" i="7" s="1"/>
  <c r="AJ220" i="7"/>
  <c r="DI227" i="7"/>
  <c r="DI228" i="7" s="1"/>
  <c r="D219" i="7"/>
  <c r="BK219" i="7"/>
  <c r="AK220" i="7"/>
  <c r="BP228" i="7" l="1"/>
  <c r="AQ230" i="7"/>
  <c r="AP230" i="7"/>
  <c r="AR230" i="7"/>
  <c r="CM232" i="7"/>
  <c r="DH231" i="7"/>
  <c r="CF231" i="7"/>
  <c r="DA230" i="7"/>
  <c r="AN230" i="7"/>
  <c r="BH230" i="7" s="1"/>
  <c r="CJ232" i="7"/>
  <c r="DE231" i="7"/>
  <c r="CB232" i="7"/>
  <c r="CW231" i="7"/>
  <c r="BW232" i="7"/>
  <c r="CR231" i="7"/>
  <c r="EM232" i="7"/>
  <c r="DG232" i="7"/>
  <c r="CL233" i="7"/>
  <c r="CD232" i="7"/>
  <c r="CY231" i="7"/>
  <c r="BV232" i="7"/>
  <c r="CQ231" i="7"/>
  <c r="EN231" i="7"/>
  <c r="BZ232" i="7"/>
  <c r="CU231" i="7"/>
  <c r="BP227" i="7"/>
  <c r="AZ229" i="7"/>
  <c r="DO229" i="7" s="1"/>
  <c r="AV229" i="7"/>
  <c r="DK229" i="7" s="1"/>
  <c r="BC229" i="7"/>
  <c r="AY229" i="7"/>
  <c r="DN229" i="7" s="1"/>
  <c r="AU229" i="7"/>
  <c r="DJ229" i="7" s="1"/>
  <c r="BB229" i="7"/>
  <c r="DQ229" i="7" s="1"/>
  <c r="AX229" i="7"/>
  <c r="DM229" i="7" s="1"/>
  <c r="AT229" i="7"/>
  <c r="DI229" i="7" s="1"/>
  <c r="BA229" i="7"/>
  <c r="DP229" i="7" s="1"/>
  <c r="AW229" i="7"/>
  <c r="DL229" i="7" s="1"/>
  <c r="AH229" i="7"/>
  <c r="AG229" i="7"/>
  <c r="AF229" i="7"/>
  <c r="AI229" i="7" s="1"/>
  <c r="BG229" i="7"/>
  <c r="C220" i="7"/>
  <c r="F220" i="7" s="1"/>
  <c r="BJ220" i="7"/>
  <c r="BM220" i="7" s="1"/>
  <c r="B220" i="7" s="1"/>
  <c r="AJ221" i="7"/>
  <c r="CA232" i="7"/>
  <c r="CV231" i="7"/>
  <c r="BL220" i="7"/>
  <c r="E220" i="7"/>
  <c r="AL221" i="7"/>
  <c r="BQ227" i="7"/>
  <c r="BY233" i="7"/>
  <c r="CT232" i="7"/>
  <c r="EC230" i="7"/>
  <c r="DX230" i="7"/>
  <c r="EB230" i="7"/>
  <c r="DW230" i="7"/>
  <c r="EA230" i="7"/>
  <c r="DV230" i="7"/>
  <c r="BS231" i="7"/>
  <c r="EF230" i="7"/>
  <c r="DZ230" i="7"/>
  <c r="CN230" i="7"/>
  <c r="M230" i="7"/>
  <c r="BE228" i="7"/>
  <c r="BD228" i="7"/>
  <c r="BF228" i="7"/>
  <c r="P230" i="7"/>
  <c r="CG232" i="7"/>
  <c r="DB231" i="7"/>
  <c r="AO231" i="7"/>
  <c r="D220" i="7"/>
  <c r="BK220" i="7"/>
  <c r="AK221" i="7"/>
  <c r="BI230" i="7"/>
  <c r="CC233" i="7"/>
  <c r="CX232" i="7"/>
  <c r="BX232" i="7"/>
  <c r="CS231" i="7"/>
  <c r="AM230" i="7"/>
  <c r="BG230" i="7" s="1"/>
  <c r="CE231" i="7"/>
  <c r="CZ230" i="7"/>
  <c r="CI232" i="7"/>
  <c r="DD231" i="7"/>
  <c r="DS231" i="7"/>
  <c r="CH231" i="7"/>
  <c r="DC230" i="7"/>
  <c r="BN230" i="7"/>
  <c r="BT232" i="7"/>
  <c r="CO231" i="7"/>
  <c r="EO231" i="7"/>
  <c r="DR229" i="7"/>
  <c r="CK233" i="7"/>
  <c r="DF232" i="7"/>
  <c r="BU233" i="7"/>
  <c r="CP232" i="7"/>
  <c r="BO228" i="7"/>
  <c r="BQ228" i="7" s="1"/>
  <c r="BP229" i="7" l="1"/>
  <c r="BX233" i="7"/>
  <c r="CS232" i="7"/>
  <c r="H228" i="7"/>
  <c r="G228" i="7"/>
  <c r="CK234" i="7"/>
  <c r="DF233" i="7"/>
  <c r="BT233" i="7"/>
  <c r="CO232" i="7"/>
  <c r="EO232" i="7"/>
  <c r="P231" i="7"/>
  <c r="CE232" i="7"/>
  <c r="CZ231" i="7"/>
  <c r="AM231" i="7"/>
  <c r="AO232" i="7"/>
  <c r="CG233" i="7"/>
  <c r="DB232" i="7"/>
  <c r="BL221" i="7"/>
  <c r="E221" i="7"/>
  <c r="AL222" i="7"/>
  <c r="CA233" i="7"/>
  <c r="CV232" i="7"/>
  <c r="BZ233" i="7"/>
  <c r="CU232" i="7"/>
  <c r="EN232" i="7"/>
  <c r="CB233" i="7"/>
  <c r="CW232" i="7"/>
  <c r="CC234" i="7"/>
  <c r="CX233" i="7"/>
  <c r="N231" i="7"/>
  <c r="C221" i="7"/>
  <c r="F221" i="7" s="1"/>
  <c r="BJ221" i="7"/>
  <c r="BM221" i="7" s="1"/>
  <c r="B221" i="7" s="1"/>
  <c r="AJ222" i="7"/>
  <c r="CD233" i="7"/>
  <c r="CY232" i="7"/>
  <c r="CM233" i="7"/>
  <c r="DH232" i="7"/>
  <c r="CI233" i="7"/>
  <c r="DD232" i="7"/>
  <c r="DS232" i="7"/>
  <c r="BC230" i="7"/>
  <c r="AY230" i="7"/>
  <c r="DN230" i="7" s="1"/>
  <c r="AU230" i="7"/>
  <c r="DJ230" i="7" s="1"/>
  <c r="BB230" i="7"/>
  <c r="DQ230" i="7" s="1"/>
  <c r="AX230" i="7"/>
  <c r="DM230" i="7" s="1"/>
  <c r="AT230" i="7"/>
  <c r="BA230" i="7"/>
  <c r="DP230" i="7" s="1"/>
  <c r="AW230" i="7"/>
  <c r="DL230" i="7" s="1"/>
  <c r="AZ230" i="7"/>
  <c r="DO230" i="7" s="1"/>
  <c r="AV230" i="7"/>
  <c r="DK230" i="7" s="1"/>
  <c r="AG230" i="7"/>
  <c r="AF230" i="7"/>
  <c r="AI230" i="7" s="1"/>
  <c r="AH230" i="7"/>
  <c r="EB231" i="7"/>
  <c r="DW231" i="7"/>
  <c r="EA231" i="7"/>
  <c r="DV231" i="7"/>
  <c r="BS232" i="7"/>
  <c r="EF231" i="7"/>
  <c r="DZ231" i="7"/>
  <c r="CN231" i="7"/>
  <c r="EC231" i="7"/>
  <c r="DX231" i="7"/>
  <c r="M231" i="7"/>
  <c r="BY234" i="7"/>
  <c r="CT233" i="7"/>
  <c r="BD229" i="7"/>
  <c r="BF229" i="7"/>
  <c r="BE229" i="7"/>
  <c r="DG233" i="7"/>
  <c r="EM233" i="7"/>
  <c r="CL234" i="7"/>
  <c r="BW233" i="7"/>
  <c r="CR232" i="7"/>
  <c r="DR230" i="7"/>
  <c r="BU234" i="7"/>
  <c r="CP233" i="7"/>
  <c r="BN231" i="7"/>
  <c r="CH232" i="7"/>
  <c r="DC231" i="7"/>
  <c r="BK221" i="7"/>
  <c r="D221" i="7"/>
  <c r="AK222" i="7"/>
  <c r="BO229" i="7"/>
  <c r="BQ229" i="7" s="1"/>
  <c r="H227" i="7"/>
  <c r="G227" i="7"/>
  <c r="BV233" i="7"/>
  <c r="CQ232" i="7"/>
  <c r="CJ233" i="7"/>
  <c r="DE232" i="7"/>
  <c r="CF232" i="7"/>
  <c r="DA231" i="7"/>
  <c r="AN231" i="7"/>
  <c r="G229" i="7" l="1"/>
  <c r="H229" i="7"/>
  <c r="BK222" i="7"/>
  <c r="D222" i="7"/>
  <c r="AK223" i="7"/>
  <c r="CH233" i="7"/>
  <c r="DC232" i="7"/>
  <c r="BN232" i="7"/>
  <c r="P232" i="7"/>
  <c r="CM234" i="7"/>
  <c r="DH233" i="7"/>
  <c r="CC235" i="7"/>
  <c r="CX234" i="7"/>
  <c r="CA234" i="7"/>
  <c r="CV233" i="7"/>
  <c r="CK235" i="7"/>
  <c r="DF234" i="7"/>
  <c r="BX234" i="7"/>
  <c r="CS233" i="7"/>
  <c r="EA232" i="7"/>
  <c r="DV232" i="7"/>
  <c r="BS233" i="7"/>
  <c r="EF232" i="7"/>
  <c r="DZ232" i="7"/>
  <c r="CN232" i="7"/>
  <c r="EC232" i="7"/>
  <c r="DX232" i="7"/>
  <c r="EB232" i="7"/>
  <c r="DW232" i="7"/>
  <c r="M232" i="7"/>
  <c r="BF230" i="7"/>
  <c r="BE230" i="7"/>
  <c r="BD230" i="7"/>
  <c r="E222" i="7"/>
  <c r="BL222" i="7"/>
  <c r="AL223" i="7"/>
  <c r="CG234" i="7"/>
  <c r="DB233" i="7"/>
  <c r="AO233" i="7"/>
  <c r="CE233" i="7"/>
  <c r="CZ232" i="7"/>
  <c r="AM232" i="7"/>
  <c r="CF233" i="7"/>
  <c r="DA232" i="7"/>
  <c r="AN232" i="7"/>
  <c r="BV234" i="7"/>
  <c r="CQ233" i="7"/>
  <c r="BH231" i="7"/>
  <c r="CJ234" i="7"/>
  <c r="DE233" i="7"/>
  <c r="BW234" i="7"/>
  <c r="CR233" i="7"/>
  <c r="BY235" i="7"/>
  <c r="CT234" i="7"/>
  <c r="BO230" i="7"/>
  <c r="CI234" i="7"/>
  <c r="DD233" i="7"/>
  <c r="DS233" i="7"/>
  <c r="CD234" i="7"/>
  <c r="CY233" i="7"/>
  <c r="AP231" i="7"/>
  <c r="AR231" i="7"/>
  <c r="BI231" i="7" s="1"/>
  <c r="AQ231" i="7"/>
  <c r="BZ234" i="7"/>
  <c r="CU233" i="7"/>
  <c r="EN233" i="7"/>
  <c r="EO233" i="7"/>
  <c r="BT234" i="7"/>
  <c r="CO233" i="7"/>
  <c r="DI230" i="7"/>
  <c r="BU235" i="7"/>
  <c r="CP234" i="7"/>
  <c r="DG234" i="7"/>
  <c r="EM234" i="7"/>
  <c r="CL235" i="7"/>
  <c r="BB231" i="7"/>
  <c r="DQ231" i="7" s="1"/>
  <c r="AX231" i="7"/>
  <c r="DM231" i="7" s="1"/>
  <c r="AT231" i="7"/>
  <c r="BA231" i="7"/>
  <c r="DP231" i="7" s="1"/>
  <c r="AW231" i="7"/>
  <c r="DL231" i="7" s="1"/>
  <c r="AZ231" i="7"/>
  <c r="DO231" i="7" s="1"/>
  <c r="AV231" i="7"/>
  <c r="DK231" i="7" s="1"/>
  <c r="BC231" i="7"/>
  <c r="DR231" i="7" s="1"/>
  <c r="AY231" i="7"/>
  <c r="DN231" i="7" s="1"/>
  <c r="AU231" i="7"/>
  <c r="DJ231" i="7" s="1"/>
  <c r="AF231" i="7"/>
  <c r="AI231" i="7" s="1"/>
  <c r="AH231" i="7"/>
  <c r="AG231" i="7"/>
  <c r="BJ222" i="7"/>
  <c r="BM222" i="7" s="1"/>
  <c r="B222" i="7" s="1"/>
  <c r="C222" i="7"/>
  <c r="F222" i="7" s="1"/>
  <c r="AJ223" i="7"/>
  <c r="CB234" i="7"/>
  <c r="CW233" i="7"/>
  <c r="BG231" i="7"/>
  <c r="N232" i="7"/>
  <c r="EO234" i="7" l="1"/>
  <c r="BT235" i="7"/>
  <c r="CO234" i="7"/>
  <c r="CE234" i="7"/>
  <c r="CZ233" i="7"/>
  <c r="AM233" i="7"/>
  <c r="E223" i="7"/>
  <c r="BL223" i="7"/>
  <c r="AL224" i="7"/>
  <c r="CB235" i="7"/>
  <c r="CW234" i="7"/>
  <c r="DS234" i="7"/>
  <c r="CI235" i="7"/>
  <c r="DD234" i="7"/>
  <c r="AR232" i="7"/>
  <c r="BI232" i="7" s="1"/>
  <c r="AQ232" i="7"/>
  <c r="AP232" i="7"/>
  <c r="BJ223" i="7"/>
  <c r="BM223" i="7" s="1"/>
  <c r="B223" i="7" s="1"/>
  <c r="C223" i="7"/>
  <c r="F223" i="7" s="1"/>
  <c r="AJ224" i="7"/>
  <c r="EM235" i="7"/>
  <c r="DG235" i="7"/>
  <c r="CL236" i="7"/>
  <c r="BU236" i="7"/>
  <c r="CP235" i="7"/>
  <c r="BZ235" i="7"/>
  <c r="CU234" i="7"/>
  <c r="EN234" i="7"/>
  <c r="CD235" i="7"/>
  <c r="CY234" i="7"/>
  <c r="BW235" i="7"/>
  <c r="CR234" i="7"/>
  <c r="AN233" i="7"/>
  <c r="CF234" i="7"/>
  <c r="DA233" i="7"/>
  <c r="CK236" i="7"/>
  <c r="DF235" i="7"/>
  <c r="CC236" i="7"/>
  <c r="CX235" i="7"/>
  <c r="N233" i="7"/>
  <c r="CH234" i="7"/>
  <c r="DC233" i="7"/>
  <c r="BN233" i="7"/>
  <c r="BF231" i="7"/>
  <c r="BE231" i="7"/>
  <c r="BD231" i="7"/>
  <c r="DI231" i="7"/>
  <c r="P233" i="7"/>
  <c r="BV235" i="7"/>
  <c r="CQ234" i="7"/>
  <c r="BG232" i="7"/>
  <c r="BA232" i="7"/>
  <c r="DP232" i="7" s="1"/>
  <c r="AW232" i="7"/>
  <c r="DL232" i="7" s="1"/>
  <c r="AZ232" i="7"/>
  <c r="DO232" i="7" s="1"/>
  <c r="AV232" i="7"/>
  <c r="DK232" i="7" s="1"/>
  <c r="BC232" i="7"/>
  <c r="DR232" i="7" s="1"/>
  <c r="AY232" i="7"/>
  <c r="DN232" i="7" s="1"/>
  <c r="AU232" i="7"/>
  <c r="DJ232" i="7" s="1"/>
  <c r="BB232" i="7"/>
  <c r="DQ232" i="7" s="1"/>
  <c r="AX232" i="7"/>
  <c r="DM232" i="7" s="1"/>
  <c r="AT232" i="7"/>
  <c r="AF232" i="7"/>
  <c r="AI232" i="7" s="1"/>
  <c r="AH232" i="7"/>
  <c r="AG232" i="7"/>
  <c r="BS234" i="7"/>
  <c r="EF233" i="7"/>
  <c r="DZ233" i="7"/>
  <c r="CN233" i="7"/>
  <c r="BO232" i="7" s="1"/>
  <c r="EC233" i="7"/>
  <c r="DX233" i="7"/>
  <c r="EB233" i="7"/>
  <c r="DW233" i="7"/>
  <c r="EA233" i="7"/>
  <c r="DV233" i="7"/>
  <c r="M233" i="7"/>
  <c r="D223" i="7"/>
  <c r="BK223" i="7"/>
  <c r="AK224" i="7"/>
  <c r="BY236" i="7"/>
  <c r="CT235" i="7"/>
  <c r="CJ235" i="7"/>
  <c r="DE234" i="7"/>
  <c r="BH232" i="7"/>
  <c r="CG235" i="7"/>
  <c r="DB234" i="7"/>
  <c r="AO234" i="7"/>
  <c r="BO231" i="7"/>
  <c r="BX235" i="7"/>
  <c r="CS234" i="7"/>
  <c r="CA235" i="7"/>
  <c r="CV234" i="7"/>
  <c r="CM235" i="7"/>
  <c r="DH234" i="7"/>
  <c r="BP230" i="7"/>
  <c r="BQ230" i="7" s="1"/>
  <c r="H230" i="7" l="1"/>
  <c r="G230" i="7"/>
  <c r="N234" i="7"/>
  <c r="CH235" i="7"/>
  <c r="DC234" i="7"/>
  <c r="BN234" i="7"/>
  <c r="CF235" i="7"/>
  <c r="DA234" i="7"/>
  <c r="AN234" i="7"/>
  <c r="EM236" i="7"/>
  <c r="DG236" i="7"/>
  <c r="CL237" i="7"/>
  <c r="CB236" i="7"/>
  <c r="CW235" i="7"/>
  <c r="BT236" i="7"/>
  <c r="CO235" i="7"/>
  <c r="EO235" i="7"/>
  <c r="CM236" i="7"/>
  <c r="DH235" i="7"/>
  <c r="CG236" i="7"/>
  <c r="DB235" i="7"/>
  <c r="AO235" i="7"/>
  <c r="AZ233" i="7"/>
  <c r="DO233" i="7" s="1"/>
  <c r="AV233" i="7"/>
  <c r="DK233" i="7" s="1"/>
  <c r="BC233" i="7"/>
  <c r="DR233" i="7" s="1"/>
  <c r="AY233" i="7"/>
  <c r="DN233" i="7" s="1"/>
  <c r="AU233" i="7"/>
  <c r="DJ233" i="7" s="1"/>
  <c r="BB233" i="7"/>
  <c r="DQ233" i="7" s="1"/>
  <c r="AX233" i="7"/>
  <c r="DM233" i="7" s="1"/>
  <c r="AT233" i="7"/>
  <c r="BA233" i="7"/>
  <c r="DP233" i="7" s="1"/>
  <c r="AW233" i="7"/>
  <c r="DL233" i="7" s="1"/>
  <c r="AH233" i="7"/>
  <c r="AF233" i="7"/>
  <c r="AI233" i="7" s="1"/>
  <c r="AG233" i="7"/>
  <c r="AR233" i="7"/>
  <c r="BI233" i="7" s="1"/>
  <c r="AQ233" i="7"/>
  <c r="AP233" i="7"/>
  <c r="BG233" i="7" s="1"/>
  <c r="CK237" i="7"/>
  <c r="DF236" i="7"/>
  <c r="BH233" i="7"/>
  <c r="EN235" i="7"/>
  <c r="BZ236" i="7"/>
  <c r="CU235" i="7"/>
  <c r="CI236" i="7"/>
  <c r="DD235" i="7"/>
  <c r="DS235" i="7"/>
  <c r="BL224" i="7"/>
  <c r="E224" i="7"/>
  <c r="AL225" i="7"/>
  <c r="CJ236" i="7"/>
  <c r="DE235" i="7"/>
  <c r="BX236" i="7"/>
  <c r="CS235" i="7"/>
  <c r="BY237" i="7"/>
  <c r="CT236" i="7"/>
  <c r="CA236" i="7"/>
  <c r="CV235" i="7"/>
  <c r="D224" i="7"/>
  <c r="BK224" i="7"/>
  <c r="AK225" i="7"/>
  <c r="DI232" i="7"/>
  <c r="DI233" i="7" s="1"/>
  <c r="CD236" i="7"/>
  <c r="CY235" i="7"/>
  <c r="P234" i="7"/>
  <c r="N235" i="7" s="1"/>
  <c r="AM234" i="7"/>
  <c r="CE235" i="7"/>
  <c r="CZ234" i="7"/>
  <c r="BP231" i="7"/>
  <c r="BQ231" i="7" s="1"/>
  <c r="EC234" i="7"/>
  <c r="DX234" i="7"/>
  <c r="EB234" i="7"/>
  <c r="DW234" i="7"/>
  <c r="EA234" i="7"/>
  <c r="DV234" i="7"/>
  <c r="BS235" i="7"/>
  <c r="EF234" i="7"/>
  <c r="DZ234" i="7"/>
  <c r="CN234" i="7"/>
  <c r="M234" i="7"/>
  <c r="BE232" i="7"/>
  <c r="BD232" i="7"/>
  <c r="BF232" i="7"/>
  <c r="BV236" i="7"/>
  <c r="CQ235" i="7"/>
  <c r="CC237" i="7"/>
  <c r="CX236" i="7"/>
  <c r="BW236" i="7"/>
  <c r="CR235" i="7"/>
  <c r="BU237" i="7"/>
  <c r="CP236" i="7"/>
  <c r="C224" i="7"/>
  <c r="F224" i="7" s="1"/>
  <c r="BJ224" i="7"/>
  <c r="BM224" i="7" s="1"/>
  <c r="B224" i="7" s="1"/>
  <c r="AJ225" i="7"/>
  <c r="H231" i="7" l="1"/>
  <c r="G231" i="7"/>
  <c r="BP233" i="7"/>
  <c r="AP235" i="7"/>
  <c r="AR235" i="7"/>
  <c r="AQ235" i="7"/>
  <c r="AO236" i="7"/>
  <c r="CG237" i="7"/>
  <c r="DB236" i="7"/>
  <c r="CB237" i="7"/>
  <c r="CW236" i="7"/>
  <c r="BC234" i="7"/>
  <c r="DR234" i="7" s="1"/>
  <c r="AY234" i="7"/>
  <c r="DN234" i="7" s="1"/>
  <c r="AU234" i="7"/>
  <c r="DJ234" i="7" s="1"/>
  <c r="BB234" i="7"/>
  <c r="DQ234" i="7" s="1"/>
  <c r="AX234" i="7"/>
  <c r="DM234" i="7" s="1"/>
  <c r="AT234" i="7"/>
  <c r="BA234" i="7"/>
  <c r="DP234" i="7" s="1"/>
  <c r="AW234" i="7"/>
  <c r="DL234" i="7" s="1"/>
  <c r="AZ234" i="7"/>
  <c r="DO234" i="7" s="1"/>
  <c r="AV234" i="7"/>
  <c r="DK234" i="7" s="1"/>
  <c r="AG234" i="7"/>
  <c r="AH234" i="7"/>
  <c r="AF234" i="7"/>
  <c r="AI234" i="7" s="1"/>
  <c r="EB235" i="7"/>
  <c r="DW235" i="7"/>
  <c r="EA235" i="7"/>
  <c r="DV235" i="7"/>
  <c r="BS236" i="7"/>
  <c r="EF235" i="7"/>
  <c r="DZ235" i="7"/>
  <c r="CN235" i="7"/>
  <c r="EC235" i="7"/>
  <c r="DX235" i="7"/>
  <c r="M235" i="7"/>
  <c r="DI234" i="7"/>
  <c r="BY238" i="7"/>
  <c r="CT237" i="7"/>
  <c r="CJ237" i="7"/>
  <c r="DE236" i="7"/>
  <c r="P235" i="7"/>
  <c r="N236" i="7" s="1"/>
  <c r="BZ237" i="7"/>
  <c r="CU236" i="7"/>
  <c r="EN236" i="7"/>
  <c r="CK238" i="7"/>
  <c r="DF237" i="7"/>
  <c r="BD233" i="7"/>
  <c r="BF233" i="7"/>
  <c r="BE233" i="7"/>
  <c r="BT237" i="7"/>
  <c r="CO236" i="7"/>
  <c r="EO236" i="7"/>
  <c r="DG237" i="7"/>
  <c r="EM237" i="7"/>
  <c r="CL238" i="7"/>
  <c r="BN235" i="7"/>
  <c r="CH236" i="7"/>
  <c r="DC235" i="7"/>
  <c r="BW237" i="7"/>
  <c r="CR236" i="7"/>
  <c r="BV237" i="7"/>
  <c r="CQ236" i="7"/>
  <c r="BO233" i="7"/>
  <c r="BQ233" i="7" s="1"/>
  <c r="CE236" i="7"/>
  <c r="CZ235" i="7"/>
  <c r="AM235" i="7"/>
  <c r="BG235" i="7" s="1"/>
  <c r="BK225" i="7"/>
  <c r="D225" i="7"/>
  <c r="AK226" i="7"/>
  <c r="BL225" i="7"/>
  <c r="E225" i="7"/>
  <c r="AL226" i="7"/>
  <c r="BI235" i="7"/>
  <c r="CM237" i="7"/>
  <c r="DH236" i="7"/>
  <c r="CF236" i="7"/>
  <c r="DA235" i="7"/>
  <c r="AN235" i="7"/>
  <c r="BH235" i="7" s="1"/>
  <c r="AQ234" i="7"/>
  <c r="BH234" i="7" s="1"/>
  <c r="AP234" i="7"/>
  <c r="AR234" i="7"/>
  <c r="BI234" i="7" s="1"/>
  <c r="C225" i="7"/>
  <c r="F225" i="7" s="1"/>
  <c r="BJ225" i="7"/>
  <c r="BM225" i="7" s="1"/>
  <c r="B225" i="7" s="1"/>
  <c r="AJ226" i="7"/>
  <c r="BU238" i="7"/>
  <c r="CP237" i="7"/>
  <c r="CC238" i="7"/>
  <c r="CX237" i="7"/>
  <c r="BG234" i="7"/>
  <c r="CD237" i="7"/>
  <c r="CY236" i="7"/>
  <c r="CA237" i="7"/>
  <c r="CV236" i="7"/>
  <c r="BX237" i="7"/>
  <c r="CS236" i="7"/>
  <c r="CI237" i="7"/>
  <c r="DD236" i="7"/>
  <c r="DS236" i="7"/>
  <c r="BP232" i="7"/>
  <c r="BQ232" i="7" s="1"/>
  <c r="BP234" i="7" l="1"/>
  <c r="H232" i="7"/>
  <c r="G232" i="7"/>
  <c r="CA238" i="7"/>
  <c r="CV237" i="7"/>
  <c r="CC239" i="7"/>
  <c r="CX238" i="7"/>
  <c r="CM238" i="7"/>
  <c r="DH237" i="7"/>
  <c r="EO237" i="7"/>
  <c r="BT238" i="7"/>
  <c r="CO237" i="7"/>
  <c r="BZ238" i="7"/>
  <c r="CU237" i="7"/>
  <c r="EN237" i="7"/>
  <c r="CJ238" i="7"/>
  <c r="DE237" i="7"/>
  <c r="BB235" i="7"/>
  <c r="DQ235" i="7" s="1"/>
  <c r="AX235" i="7"/>
  <c r="DM235" i="7" s="1"/>
  <c r="AT235" i="7"/>
  <c r="BA235" i="7"/>
  <c r="DP235" i="7" s="1"/>
  <c r="AW235" i="7"/>
  <c r="DL235" i="7" s="1"/>
  <c r="AZ235" i="7"/>
  <c r="DO235" i="7" s="1"/>
  <c r="AV235" i="7"/>
  <c r="DK235" i="7" s="1"/>
  <c r="BC235" i="7"/>
  <c r="DR235" i="7" s="1"/>
  <c r="AY235" i="7"/>
  <c r="DN235" i="7" s="1"/>
  <c r="AU235" i="7"/>
  <c r="DJ235" i="7" s="1"/>
  <c r="AG235" i="7"/>
  <c r="AF235" i="7"/>
  <c r="AI235" i="7" s="1"/>
  <c r="AH235" i="7"/>
  <c r="CG238" i="7"/>
  <c r="DB237" i="7"/>
  <c r="AO237" i="7"/>
  <c r="P236" i="7"/>
  <c r="BX238" i="7"/>
  <c r="CS237" i="7"/>
  <c r="CD238" i="7"/>
  <c r="CY237" i="7"/>
  <c r="BK226" i="7"/>
  <c r="D226" i="7"/>
  <c r="AK227" i="7"/>
  <c r="BV238" i="7"/>
  <c r="CQ237" i="7"/>
  <c r="CH237" i="7"/>
  <c r="DC236" i="7"/>
  <c r="BN236" i="7"/>
  <c r="CK239" i="7"/>
  <c r="DF238" i="7"/>
  <c r="BU239" i="7"/>
  <c r="CP238" i="7"/>
  <c r="CF237" i="7"/>
  <c r="DA236" i="7"/>
  <c r="AN236" i="7"/>
  <c r="E226" i="7"/>
  <c r="BL226" i="7"/>
  <c r="AL227" i="7"/>
  <c r="CE237" i="7"/>
  <c r="CZ236" i="7"/>
  <c r="AM236" i="7"/>
  <c r="BG236" i="7" s="1"/>
  <c r="AR236" i="7"/>
  <c r="BI236" i="7" s="1"/>
  <c r="AQ236" i="7"/>
  <c r="AP236" i="7"/>
  <c r="BY239" i="7"/>
  <c r="CT238" i="7"/>
  <c r="EA236" i="7"/>
  <c r="DV236" i="7"/>
  <c r="BS237" i="7"/>
  <c r="EF236" i="7"/>
  <c r="DZ236" i="7"/>
  <c r="CN236" i="7"/>
  <c r="BO235" i="7" s="1"/>
  <c r="EC236" i="7"/>
  <c r="DX236" i="7"/>
  <c r="EB236" i="7"/>
  <c r="DW236" i="7"/>
  <c r="M236" i="7"/>
  <c r="BF234" i="7"/>
  <c r="BE234" i="7"/>
  <c r="BD234" i="7"/>
  <c r="CB238" i="7"/>
  <c r="CW237" i="7"/>
  <c r="CI238" i="7"/>
  <c r="DD237" i="7"/>
  <c r="DS237" i="7"/>
  <c r="BJ226" i="7"/>
  <c r="BM226" i="7" s="1"/>
  <c r="B226" i="7" s="1"/>
  <c r="C226" i="7"/>
  <c r="F226" i="7" s="1"/>
  <c r="AJ227" i="7"/>
  <c r="G233" i="7"/>
  <c r="H233" i="7"/>
  <c r="BW238" i="7"/>
  <c r="CR237" i="7"/>
  <c r="DG238" i="7"/>
  <c r="EM238" i="7"/>
  <c r="CL239" i="7"/>
  <c r="DI235" i="7"/>
  <c r="BO234" i="7"/>
  <c r="BQ234" i="7" s="1"/>
  <c r="BP235" i="7" l="1"/>
  <c r="BQ235" i="7" s="1"/>
  <c r="BJ227" i="7"/>
  <c r="BM227" i="7" s="1"/>
  <c r="B227" i="7" s="1"/>
  <c r="C227" i="7"/>
  <c r="F227" i="7" s="1"/>
  <c r="AJ228" i="7"/>
  <c r="CK240" i="7"/>
  <c r="DF239" i="7"/>
  <c r="BX239" i="7"/>
  <c r="CS238" i="7"/>
  <c r="BF235" i="7"/>
  <c r="BE235" i="7"/>
  <c r="BD235" i="7"/>
  <c r="CJ239" i="7"/>
  <c r="DE238" i="7"/>
  <c r="CM239" i="7"/>
  <c r="DH238" i="7"/>
  <c r="CA239" i="7"/>
  <c r="CV238" i="7"/>
  <c r="EM239" i="7"/>
  <c r="DG239" i="7"/>
  <c r="CL240" i="7"/>
  <c r="BW239" i="7"/>
  <c r="CR238" i="7"/>
  <c r="DS238" i="7"/>
  <c r="CI239" i="7"/>
  <c r="DD238" i="7"/>
  <c r="CE238" i="7"/>
  <c r="CZ237" i="7"/>
  <c r="AM237" i="7"/>
  <c r="BH236" i="7"/>
  <c r="BU240" i="7"/>
  <c r="CP239" i="7"/>
  <c r="BV239" i="7"/>
  <c r="CQ238" i="7"/>
  <c r="CG239" i="7"/>
  <c r="DB238" i="7"/>
  <c r="AO238" i="7"/>
  <c r="EO238" i="7"/>
  <c r="BT239" i="7"/>
  <c r="CO238" i="7"/>
  <c r="E227" i="7"/>
  <c r="BL227" i="7"/>
  <c r="AL228" i="7"/>
  <c r="D227" i="7"/>
  <c r="BK227" i="7"/>
  <c r="AK228" i="7"/>
  <c r="CD239" i="7"/>
  <c r="CY238" i="7"/>
  <c r="N237" i="7"/>
  <c r="CC240" i="7"/>
  <c r="CX239" i="7"/>
  <c r="H234" i="7"/>
  <c r="G234" i="7"/>
  <c r="P237" i="7"/>
  <c r="CB239" i="7"/>
  <c r="CW238" i="7"/>
  <c r="BA236" i="7"/>
  <c r="DP236" i="7" s="1"/>
  <c r="AW236" i="7"/>
  <c r="DL236" i="7" s="1"/>
  <c r="AZ236" i="7"/>
  <c r="DO236" i="7" s="1"/>
  <c r="AV236" i="7"/>
  <c r="DK236" i="7" s="1"/>
  <c r="BC236" i="7"/>
  <c r="DR236" i="7" s="1"/>
  <c r="AY236" i="7"/>
  <c r="DN236" i="7" s="1"/>
  <c r="AU236" i="7"/>
  <c r="DJ236" i="7" s="1"/>
  <c r="BB236" i="7"/>
  <c r="DQ236" i="7" s="1"/>
  <c r="AX236" i="7"/>
  <c r="DM236" i="7" s="1"/>
  <c r="AT236" i="7"/>
  <c r="DI236" i="7" s="1"/>
  <c r="AF236" i="7"/>
  <c r="AI236" i="7" s="1"/>
  <c r="AH236" i="7"/>
  <c r="AG236" i="7"/>
  <c r="BS238" i="7"/>
  <c r="EF237" i="7"/>
  <c r="DZ237" i="7"/>
  <c r="CN237" i="7"/>
  <c r="EC237" i="7"/>
  <c r="DX237" i="7"/>
  <c r="EB237" i="7"/>
  <c r="DW237" i="7"/>
  <c r="EA237" i="7"/>
  <c r="DV237" i="7"/>
  <c r="M237" i="7"/>
  <c r="BY240" i="7"/>
  <c r="CT239" i="7"/>
  <c r="AN237" i="7"/>
  <c r="CF238" i="7"/>
  <c r="DA237" i="7"/>
  <c r="CH238" i="7"/>
  <c r="DC237" i="7"/>
  <c r="BN237" i="7"/>
  <c r="BZ239" i="7"/>
  <c r="CU238" i="7"/>
  <c r="EN238" i="7"/>
  <c r="BP236" i="7" l="1"/>
  <c r="DO237" i="7"/>
  <c r="H235" i="7"/>
  <c r="G235" i="7"/>
  <c r="AZ237" i="7"/>
  <c r="AV237" i="7"/>
  <c r="DK237" i="7" s="1"/>
  <c r="BC237" i="7"/>
  <c r="DR237" i="7" s="1"/>
  <c r="AY237" i="7"/>
  <c r="DN237" i="7" s="1"/>
  <c r="AU237" i="7"/>
  <c r="DJ237" i="7" s="1"/>
  <c r="BB237" i="7"/>
  <c r="DQ237" i="7" s="1"/>
  <c r="AX237" i="7"/>
  <c r="DM237" i="7" s="1"/>
  <c r="AT237" i="7"/>
  <c r="BA237" i="7"/>
  <c r="DP237" i="7" s="1"/>
  <c r="AW237" i="7"/>
  <c r="DL237" i="7" s="1"/>
  <c r="AH237" i="7"/>
  <c r="AF237" i="7"/>
  <c r="AI237" i="7" s="1"/>
  <c r="AG237" i="7"/>
  <c r="AR237" i="7"/>
  <c r="BI237" i="7" s="1"/>
  <c r="AQ237" i="7"/>
  <c r="AP237" i="7"/>
  <c r="BV240" i="7"/>
  <c r="CQ239" i="7"/>
  <c r="BW240" i="7"/>
  <c r="CR239" i="7"/>
  <c r="CK241" i="7"/>
  <c r="DF240" i="7"/>
  <c r="BH237" i="7"/>
  <c r="CB240" i="7"/>
  <c r="CW239" i="7"/>
  <c r="BG237" i="7"/>
  <c r="CI240" i="7"/>
  <c r="DD239" i="7"/>
  <c r="DS239" i="7"/>
  <c r="EM240" i="7"/>
  <c r="DG240" i="7"/>
  <c r="CL241" i="7"/>
  <c r="CA240" i="7"/>
  <c r="CV239" i="7"/>
  <c r="CJ240" i="7"/>
  <c r="DE239" i="7"/>
  <c r="C228" i="7"/>
  <c r="F228" i="7" s="1"/>
  <c r="BJ228" i="7"/>
  <c r="BM228" i="7" s="1"/>
  <c r="B228" i="7" s="1"/>
  <c r="AJ229" i="7"/>
  <c r="CF239" i="7"/>
  <c r="DA238" i="7"/>
  <c r="AN238" i="7"/>
  <c r="EN239" i="7"/>
  <c r="BZ240" i="7"/>
  <c r="CU239" i="7"/>
  <c r="CH239" i="7"/>
  <c r="DC238" i="7"/>
  <c r="BN238" i="7"/>
  <c r="EC238" i="7"/>
  <c r="DX238" i="7"/>
  <c r="EB238" i="7"/>
  <c r="DW238" i="7"/>
  <c r="EA238" i="7"/>
  <c r="DV238" i="7"/>
  <c r="BS239" i="7"/>
  <c r="EF238" i="7"/>
  <c r="DZ238" i="7"/>
  <c r="CN238" i="7"/>
  <c r="M238" i="7"/>
  <c r="BE236" i="7"/>
  <c r="BD236" i="7"/>
  <c r="BF236" i="7"/>
  <c r="N238" i="7"/>
  <c r="CD240" i="7"/>
  <c r="CY239" i="7"/>
  <c r="BL228" i="7"/>
  <c r="E228" i="7"/>
  <c r="AL229" i="7"/>
  <c r="BT240" i="7"/>
  <c r="CO239" i="7"/>
  <c r="EO239" i="7"/>
  <c r="CG240" i="7"/>
  <c r="DB239" i="7"/>
  <c r="AO239" i="7"/>
  <c r="P238" i="7"/>
  <c r="BX240" i="7"/>
  <c r="CS239" i="7"/>
  <c r="BY241" i="7"/>
  <c r="CT240" i="7"/>
  <c r="BO236" i="7"/>
  <c r="BQ236" i="7" s="1"/>
  <c r="CC241" i="7"/>
  <c r="CX240" i="7"/>
  <c r="D228" i="7"/>
  <c r="BK228" i="7"/>
  <c r="AK229" i="7"/>
  <c r="BU241" i="7"/>
  <c r="CP240" i="7"/>
  <c r="AM238" i="7"/>
  <c r="CE239" i="7"/>
  <c r="CZ238" i="7"/>
  <c r="CM240" i="7"/>
  <c r="DH239" i="7"/>
  <c r="BY242" i="7" l="1"/>
  <c r="CT241" i="7"/>
  <c r="CE240" i="7"/>
  <c r="CZ239" i="7"/>
  <c r="AM239" i="7"/>
  <c r="BK229" i="7"/>
  <c r="D229" i="7"/>
  <c r="AK230" i="7"/>
  <c r="CC242" i="7"/>
  <c r="CX241" i="7"/>
  <c r="BO237" i="7"/>
  <c r="BN239" i="7"/>
  <c r="CH240" i="7"/>
  <c r="DC239" i="7"/>
  <c r="C229" i="7"/>
  <c r="F229" i="7" s="1"/>
  <c r="BJ229" i="7"/>
  <c r="BM229" i="7" s="1"/>
  <c r="B229" i="7" s="1"/>
  <c r="AJ230" i="7"/>
  <c r="CJ241" i="7"/>
  <c r="DE240" i="7"/>
  <c r="CI241" i="7"/>
  <c r="DD240" i="7"/>
  <c r="DS240" i="7"/>
  <c r="BW241" i="7"/>
  <c r="CR240" i="7"/>
  <c r="H236" i="7"/>
  <c r="G236" i="7"/>
  <c r="BT241" i="7"/>
  <c r="CO240" i="7"/>
  <c r="EO240" i="7"/>
  <c r="BX241" i="7"/>
  <c r="CS240" i="7"/>
  <c r="CM241" i="7"/>
  <c r="DH240" i="7"/>
  <c r="N239" i="7"/>
  <c r="AO240" i="7"/>
  <c r="CG241" i="7"/>
  <c r="DB240" i="7"/>
  <c r="BL229" i="7"/>
  <c r="E229" i="7"/>
  <c r="AL230" i="7"/>
  <c r="CD241" i="7"/>
  <c r="CY240" i="7"/>
  <c r="BZ241" i="7"/>
  <c r="CU240" i="7"/>
  <c r="EN240" i="7"/>
  <c r="CF240" i="7"/>
  <c r="DA239" i="7"/>
  <c r="AN239" i="7"/>
  <c r="CA241" i="7"/>
  <c r="CV240" i="7"/>
  <c r="P239" i="7"/>
  <c r="CK242" i="7"/>
  <c r="DF241" i="7"/>
  <c r="BV241" i="7"/>
  <c r="CQ240" i="7"/>
  <c r="BU242" i="7"/>
  <c r="CP241" i="7"/>
  <c r="AQ238" i="7"/>
  <c r="BH238" i="7" s="1"/>
  <c r="AP238" i="7"/>
  <c r="BG238" i="7" s="1"/>
  <c r="AR238" i="7"/>
  <c r="BI238" i="7" s="1"/>
  <c r="BC238" i="7"/>
  <c r="DR238" i="7" s="1"/>
  <c r="AY238" i="7"/>
  <c r="DN238" i="7" s="1"/>
  <c r="AU238" i="7"/>
  <c r="DJ238" i="7" s="1"/>
  <c r="BB238" i="7"/>
  <c r="DQ238" i="7" s="1"/>
  <c r="AX238" i="7"/>
  <c r="DM238" i="7" s="1"/>
  <c r="AT238" i="7"/>
  <c r="BA238" i="7"/>
  <c r="DP238" i="7" s="1"/>
  <c r="AW238" i="7"/>
  <c r="DL238" i="7" s="1"/>
  <c r="AZ238" i="7"/>
  <c r="DO238" i="7" s="1"/>
  <c r="AV238" i="7"/>
  <c r="DK238" i="7" s="1"/>
  <c r="AH238" i="7"/>
  <c r="AF238" i="7"/>
  <c r="AI238" i="7" s="1"/>
  <c r="AG238" i="7"/>
  <c r="EB239" i="7"/>
  <c r="DW239" i="7"/>
  <c r="EA239" i="7"/>
  <c r="DV239" i="7"/>
  <c r="BS240" i="7"/>
  <c r="EF239" i="7"/>
  <c r="DZ239" i="7"/>
  <c r="CN239" i="7"/>
  <c r="BO238" i="7" s="1"/>
  <c r="EC239" i="7"/>
  <c r="DX239" i="7"/>
  <c r="M239" i="7"/>
  <c r="DG241" i="7"/>
  <c r="EM241" i="7"/>
  <c r="CL242" i="7"/>
  <c r="CB241" i="7"/>
  <c r="CW240" i="7"/>
  <c r="BD237" i="7"/>
  <c r="BF237" i="7"/>
  <c r="BE237" i="7"/>
  <c r="DI237" i="7"/>
  <c r="DI238" i="7" s="1"/>
  <c r="BQ238" i="7" l="1"/>
  <c r="BP238" i="7"/>
  <c r="CB242" i="7"/>
  <c r="CW241" i="7"/>
  <c r="EA240" i="7"/>
  <c r="DV240" i="7"/>
  <c r="BS241" i="7"/>
  <c r="EF240" i="7"/>
  <c r="DZ240" i="7"/>
  <c r="CN240" i="7"/>
  <c r="EC240" i="7"/>
  <c r="DX240" i="7"/>
  <c r="EB240" i="7"/>
  <c r="DW240" i="7"/>
  <c r="M240" i="7"/>
  <c r="BF238" i="7"/>
  <c r="BE238" i="7"/>
  <c r="BD238" i="7"/>
  <c r="CF241" i="7"/>
  <c r="DA240" i="7"/>
  <c r="AN240" i="7"/>
  <c r="BJ230" i="7"/>
  <c r="BM230" i="7" s="1"/>
  <c r="B230" i="7" s="1"/>
  <c r="C230" i="7"/>
  <c r="F230" i="7" s="1"/>
  <c r="AJ231" i="7"/>
  <c r="CE241" i="7"/>
  <c r="CZ240" i="7"/>
  <c r="AM240" i="7"/>
  <c r="DG242" i="7"/>
  <c r="EM242" i="7"/>
  <c r="CL243" i="7"/>
  <c r="BU243" i="7"/>
  <c r="CP242" i="7"/>
  <c r="CK243" i="7"/>
  <c r="DF242" i="7"/>
  <c r="CA242" i="7"/>
  <c r="CV241" i="7"/>
  <c r="AP239" i="7"/>
  <c r="AR239" i="7"/>
  <c r="BI239" i="7" s="1"/>
  <c r="AQ239" i="7"/>
  <c r="BH239" i="7" s="1"/>
  <c r="BX242" i="7"/>
  <c r="CS241" i="7"/>
  <c r="EO241" i="7"/>
  <c r="BT242" i="7"/>
  <c r="CO241" i="7"/>
  <c r="CI242" i="7"/>
  <c r="DD241" i="7"/>
  <c r="DS241" i="7"/>
  <c r="CH241" i="7"/>
  <c r="DC240" i="7"/>
  <c r="BN240" i="7"/>
  <c r="BB239" i="7"/>
  <c r="DQ239" i="7" s="1"/>
  <c r="AX239" i="7"/>
  <c r="DM239" i="7" s="1"/>
  <c r="AT239" i="7"/>
  <c r="BA239" i="7"/>
  <c r="DP239" i="7" s="1"/>
  <c r="AW239" i="7"/>
  <c r="DL239" i="7" s="1"/>
  <c r="AZ239" i="7"/>
  <c r="DO239" i="7" s="1"/>
  <c r="AV239" i="7"/>
  <c r="DK239" i="7" s="1"/>
  <c r="BC239" i="7"/>
  <c r="DR239" i="7" s="1"/>
  <c r="AY239" i="7"/>
  <c r="DN239" i="7" s="1"/>
  <c r="AU239" i="7"/>
  <c r="DJ239" i="7" s="1"/>
  <c r="AF239" i="7"/>
  <c r="AI239" i="7" s="1"/>
  <c r="AH239" i="7"/>
  <c r="AG239" i="7"/>
  <c r="CD242" i="7"/>
  <c r="CY241" i="7"/>
  <c r="BW242" i="7"/>
  <c r="CR241" i="7"/>
  <c r="CC243" i="7"/>
  <c r="CX242" i="7"/>
  <c r="BG239" i="7"/>
  <c r="BY243" i="7"/>
  <c r="CT242" i="7"/>
  <c r="BP237" i="7"/>
  <c r="BV242" i="7"/>
  <c r="CQ241" i="7"/>
  <c r="N240" i="7"/>
  <c r="BZ242" i="7"/>
  <c r="CU241" i="7"/>
  <c r="EN241" i="7"/>
  <c r="E230" i="7"/>
  <c r="BL230" i="7"/>
  <c r="AL231" i="7"/>
  <c r="CG242" i="7"/>
  <c r="DB241" i="7"/>
  <c r="AO241" i="7"/>
  <c r="CM242" i="7"/>
  <c r="DH241" i="7"/>
  <c r="P240" i="7"/>
  <c r="N241" i="7" s="1"/>
  <c r="CJ242" i="7"/>
  <c r="DE241" i="7"/>
  <c r="BQ237" i="7"/>
  <c r="BK230" i="7"/>
  <c r="D230" i="7"/>
  <c r="AK231" i="7"/>
  <c r="G237" i="7" l="1"/>
  <c r="H237" i="7"/>
  <c r="CC244" i="7"/>
  <c r="CX243" i="7"/>
  <c r="CK244" i="7"/>
  <c r="DF243" i="7"/>
  <c r="EM243" i="7"/>
  <c r="DG243" i="7"/>
  <c r="CL244" i="7"/>
  <c r="AN241" i="7"/>
  <c r="CF242" i="7"/>
  <c r="DA241" i="7"/>
  <c r="BA240" i="7"/>
  <c r="DP240" i="7" s="1"/>
  <c r="AW240" i="7"/>
  <c r="DL240" i="7" s="1"/>
  <c r="AZ240" i="7"/>
  <c r="DO240" i="7" s="1"/>
  <c r="AV240" i="7"/>
  <c r="DK240" i="7" s="1"/>
  <c r="BC240" i="7"/>
  <c r="DR240" i="7" s="1"/>
  <c r="AY240" i="7"/>
  <c r="DN240" i="7" s="1"/>
  <c r="AU240" i="7"/>
  <c r="DJ240" i="7" s="1"/>
  <c r="BB240" i="7"/>
  <c r="DQ240" i="7" s="1"/>
  <c r="AX240" i="7"/>
  <c r="DM240" i="7" s="1"/>
  <c r="AT240" i="7"/>
  <c r="AH240" i="7"/>
  <c r="AG240" i="7"/>
  <c r="AF240" i="7"/>
  <c r="AI240" i="7" s="1"/>
  <c r="BS242" i="7"/>
  <c r="EF241" i="7"/>
  <c r="DZ241" i="7"/>
  <c r="CN241" i="7"/>
  <c r="EC241" i="7"/>
  <c r="DX241" i="7"/>
  <c r="EB241" i="7"/>
  <c r="DW241" i="7"/>
  <c r="EA241" i="7"/>
  <c r="DV241" i="7"/>
  <c r="M241" i="7"/>
  <c r="CB243" i="7"/>
  <c r="CW242" i="7"/>
  <c r="AR240" i="7"/>
  <c r="BI240" i="7" s="1"/>
  <c r="AQ240" i="7"/>
  <c r="AP240" i="7"/>
  <c r="D231" i="7"/>
  <c r="BK231" i="7"/>
  <c r="AK232" i="7"/>
  <c r="BY244" i="7"/>
  <c r="CT243" i="7"/>
  <c r="CD243" i="7"/>
  <c r="CY242" i="7"/>
  <c r="BF239" i="7"/>
  <c r="BE239" i="7"/>
  <c r="BD239" i="7"/>
  <c r="DS242" i="7"/>
  <c r="CI243" i="7"/>
  <c r="DD242" i="7"/>
  <c r="CE242" i="7"/>
  <c r="CZ241" i="7"/>
  <c r="AM241" i="7"/>
  <c r="BG241" i="7" s="1"/>
  <c r="BO239" i="7"/>
  <c r="H238" i="7"/>
  <c r="G238" i="7"/>
  <c r="AR241" i="7"/>
  <c r="AQ241" i="7"/>
  <c r="AP241" i="7"/>
  <c r="CG243" i="7"/>
  <c r="DB242" i="7"/>
  <c r="AO242" i="7"/>
  <c r="CJ243" i="7"/>
  <c r="DE242" i="7"/>
  <c r="CM243" i="7"/>
  <c r="DH242" i="7"/>
  <c r="E231" i="7"/>
  <c r="BL231" i="7"/>
  <c r="AL232" i="7"/>
  <c r="BV243" i="7"/>
  <c r="CQ242" i="7"/>
  <c r="CH242" i="7"/>
  <c r="DC241" i="7"/>
  <c r="BN241" i="7"/>
  <c r="BX243" i="7"/>
  <c r="CS242" i="7"/>
  <c r="CA243" i="7"/>
  <c r="CV242" i="7"/>
  <c r="BU244" i="7"/>
  <c r="CP243" i="7"/>
  <c r="BJ231" i="7"/>
  <c r="BM231" i="7" s="1"/>
  <c r="B231" i="7" s="1"/>
  <c r="C231" i="7"/>
  <c r="F231" i="7" s="1"/>
  <c r="AJ232" i="7"/>
  <c r="BH240" i="7"/>
  <c r="BI241" i="7"/>
  <c r="BZ243" i="7"/>
  <c r="CU242" i="7"/>
  <c r="EN242" i="7"/>
  <c r="BW243" i="7"/>
  <c r="CR242" i="7"/>
  <c r="P241" i="7"/>
  <c r="N242" i="7" s="1"/>
  <c r="EO242" i="7"/>
  <c r="BT243" i="7"/>
  <c r="CO242" i="7"/>
  <c r="DI239" i="7"/>
  <c r="DI240" i="7" s="1"/>
  <c r="BG240" i="7"/>
  <c r="BP240" i="7" l="1"/>
  <c r="BW244" i="7"/>
  <c r="CR243" i="7"/>
  <c r="CA244" i="7"/>
  <c r="CV243" i="7"/>
  <c r="C232" i="7"/>
  <c r="F232" i="7" s="1"/>
  <c r="BJ232" i="7"/>
  <c r="BM232" i="7" s="1"/>
  <c r="B232" i="7" s="1"/>
  <c r="AJ233" i="7"/>
  <c r="BU245" i="7"/>
  <c r="CP244" i="7"/>
  <c r="BX244" i="7"/>
  <c r="CS243" i="7"/>
  <c r="CJ244" i="7"/>
  <c r="DE243" i="7"/>
  <c r="CB244" i="7"/>
  <c r="CW243" i="7"/>
  <c r="BO240" i="7"/>
  <c r="BQ240" i="7" s="1"/>
  <c r="EM244" i="7"/>
  <c r="DG244" i="7"/>
  <c r="CL245" i="7"/>
  <c r="CK245" i="7"/>
  <c r="DF244" i="7"/>
  <c r="BT244" i="7"/>
  <c r="CO243" i="7"/>
  <c r="EO243" i="7"/>
  <c r="EN243" i="7"/>
  <c r="BZ244" i="7"/>
  <c r="CU243" i="7"/>
  <c r="BV244" i="7"/>
  <c r="CQ243" i="7"/>
  <c r="CI244" i="7"/>
  <c r="DD243" i="7"/>
  <c r="DS243" i="7"/>
  <c r="BY245" i="7"/>
  <c r="CT244" i="7"/>
  <c r="AZ241" i="7"/>
  <c r="DO241" i="7" s="1"/>
  <c r="AV241" i="7"/>
  <c r="DK241" i="7" s="1"/>
  <c r="BC241" i="7"/>
  <c r="DR241" i="7" s="1"/>
  <c r="AY241" i="7"/>
  <c r="DN241" i="7" s="1"/>
  <c r="AU241" i="7"/>
  <c r="DJ241" i="7" s="1"/>
  <c r="BB241" i="7"/>
  <c r="DQ241" i="7" s="1"/>
  <c r="AX241" i="7"/>
  <c r="DM241" i="7" s="1"/>
  <c r="AT241" i="7"/>
  <c r="BA241" i="7"/>
  <c r="DP241" i="7" s="1"/>
  <c r="AW241" i="7"/>
  <c r="DL241" i="7" s="1"/>
  <c r="AG241" i="7"/>
  <c r="AF241" i="7"/>
  <c r="AI241" i="7" s="1"/>
  <c r="AH241" i="7"/>
  <c r="BL232" i="7"/>
  <c r="E232" i="7"/>
  <c r="AL233" i="7"/>
  <c r="CM244" i="7"/>
  <c r="DH243" i="7"/>
  <c r="P242" i="7"/>
  <c r="D232" i="7"/>
  <c r="BK232" i="7"/>
  <c r="AK233" i="7"/>
  <c r="CF243" i="7"/>
  <c r="DA242" i="7"/>
  <c r="AN242" i="7"/>
  <c r="BP239" i="7"/>
  <c r="BQ239" i="7" s="1"/>
  <c r="DI241" i="7"/>
  <c r="AQ242" i="7"/>
  <c r="AP242" i="7"/>
  <c r="AR242" i="7"/>
  <c r="BI242" i="7" s="1"/>
  <c r="CH243" i="7"/>
  <c r="DC242" i="7"/>
  <c r="BN242" i="7"/>
  <c r="CG244" i="7"/>
  <c r="DB243" i="7"/>
  <c r="AO243" i="7"/>
  <c r="AM242" i="7"/>
  <c r="BG242" i="7" s="1"/>
  <c r="CE243" i="7"/>
  <c r="CZ242" i="7"/>
  <c r="CD244" i="7"/>
  <c r="CY243" i="7"/>
  <c r="EC242" i="7"/>
  <c r="DX242" i="7"/>
  <c r="EB242" i="7"/>
  <c r="DW242" i="7"/>
  <c r="EA242" i="7"/>
  <c r="DV242" i="7"/>
  <c r="BS243" i="7"/>
  <c r="EF242" i="7"/>
  <c r="DZ242" i="7"/>
  <c r="CN242" i="7"/>
  <c r="M242" i="7"/>
  <c r="BE240" i="7"/>
  <c r="BD240" i="7"/>
  <c r="BF240" i="7"/>
  <c r="BH241" i="7"/>
  <c r="CC245" i="7"/>
  <c r="CX244" i="7"/>
  <c r="BP241" i="7" l="1"/>
  <c r="H239" i="7"/>
  <c r="G239" i="7"/>
  <c r="CD245" i="7"/>
  <c r="CY244" i="7"/>
  <c r="BO241" i="7"/>
  <c r="BQ241" i="7" s="1"/>
  <c r="BN243" i="7"/>
  <c r="CH244" i="7"/>
  <c r="DC243" i="7"/>
  <c r="BK233" i="7"/>
  <c r="D233" i="7"/>
  <c r="AK234" i="7"/>
  <c r="BY246" i="7"/>
  <c r="CT245" i="7"/>
  <c r="DG245" i="7"/>
  <c r="EM245" i="7"/>
  <c r="CL246" i="7"/>
  <c r="CJ245" i="7"/>
  <c r="DE244" i="7"/>
  <c r="BU246" i="7"/>
  <c r="CP245" i="7"/>
  <c r="BC242" i="7"/>
  <c r="DR242" i="7" s="1"/>
  <c r="AY242" i="7"/>
  <c r="DN242" i="7" s="1"/>
  <c r="AU242" i="7"/>
  <c r="DJ242" i="7" s="1"/>
  <c r="BB242" i="7"/>
  <c r="DQ242" i="7" s="1"/>
  <c r="AX242" i="7"/>
  <c r="DM242" i="7" s="1"/>
  <c r="AT242" i="7"/>
  <c r="BA242" i="7"/>
  <c r="DP242" i="7" s="1"/>
  <c r="AW242" i="7"/>
  <c r="DL242" i="7" s="1"/>
  <c r="AZ242" i="7"/>
  <c r="DO242" i="7" s="1"/>
  <c r="AV242" i="7"/>
  <c r="DK242" i="7" s="1"/>
  <c r="AF242" i="7"/>
  <c r="AI242" i="7" s="1"/>
  <c r="AG242" i="7"/>
  <c r="AH242" i="7"/>
  <c r="CE244" i="7"/>
  <c r="CZ243" i="7"/>
  <c r="AM243" i="7"/>
  <c r="AO244" i="7"/>
  <c r="CG245" i="7"/>
  <c r="DB244" i="7"/>
  <c r="BH242" i="7"/>
  <c r="P243" i="7"/>
  <c r="BZ245" i="7"/>
  <c r="CU244" i="7"/>
  <c r="EN244" i="7"/>
  <c r="BT245" i="7"/>
  <c r="CO244" i="7"/>
  <c r="EO244" i="7"/>
  <c r="CB245" i="7"/>
  <c r="CW244" i="7"/>
  <c r="C233" i="7"/>
  <c r="F233" i="7" s="1"/>
  <c r="BJ233" i="7"/>
  <c r="BM233" i="7" s="1"/>
  <c r="B233" i="7" s="1"/>
  <c r="AJ234" i="7"/>
  <c r="CA245" i="7"/>
  <c r="CV244" i="7"/>
  <c r="EB243" i="7"/>
  <c r="DW243" i="7"/>
  <c r="EA243" i="7"/>
  <c r="DV243" i="7"/>
  <c r="BS244" i="7"/>
  <c r="EF243" i="7"/>
  <c r="DZ243" i="7"/>
  <c r="CN243" i="7"/>
  <c r="BO242" i="7" s="1"/>
  <c r="EC243" i="7"/>
  <c r="DX243" i="7"/>
  <c r="M243" i="7"/>
  <c r="CC246" i="7"/>
  <c r="CX245" i="7"/>
  <c r="CM245" i="7"/>
  <c r="DH244" i="7"/>
  <c r="BV245" i="7"/>
  <c r="CQ244" i="7"/>
  <c r="BX245" i="7"/>
  <c r="CS244" i="7"/>
  <c r="DI242" i="7"/>
  <c r="CF244" i="7"/>
  <c r="DA243" i="7"/>
  <c r="AN243" i="7"/>
  <c r="N243" i="7"/>
  <c r="BL233" i="7"/>
  <c r="E233" i="7"/>
  <c r="AL234" i="7"/>
  <c r="BD241" i="7"/>
  <c r="BF241" i="7"/>
  <c r="BE241" i="7"/>
  <c r="CI245" i="7"/>
  <c r="DD244" i="7"/>
  <c r="DS244" i="7"/>
  <c r="CK246" i="7"/>
  <c r="DF245" i="7"/>
  <c r="H240" i="7"/>
  <c r="G240" i="7"/>
  <c r="BW245" i="7"/>
  <c r="CR244" i="7"/>
  <c r="BP242" i="7" l="1"/>
  <c r="BQ242" i="7" s="1"/>
  <c r="BW246" i="7"/>
  <c r="CR245" i="7"/>
  <c r="AP243" i="7"/>
  <c r="AR243" i="7"/>
  <c r="BI243" i="7" s="1"/>
  <c r="AQ243" i="7"/>
  <c r="BV246" i="7"/>
  <c r="CQ245" i="7"/>
  <c r="EA244" i="7"/>
  <c r="DV244" i="7"/>
  <c r="BS245" i="7"/>
  <c r="EF244" i="7"/>
  <c r="DZ244" i="7"/>
  <c r="CN244" i="7"/>
  <c r="EC244" i="7"/>
  <c r="DX244" i="7"/>
  <c r="EB244" i="7"/>
  <c r="DW244" i="7"/>
  <c r="M244" i="7"/>
  <c r="BG243" i="7"/>
  <c r="CJ246" i="7"/>
  <c r="DE245" i="7"/>
  <c r="G241" i="7"/>
  <c r="H241" i="7"/>
  <c r="BH243" i="7"/>
  <c r="BZ246" i="7"/>
  <c r="CU245" i="7"/>
  <c r="EN245" i="7"/>
  <c r="DG246" i="7"/>
  <c r="EM246" i="7"/>
  <c r="CL247" i="7"/>
  <c r="BY247" i="7"/>
  <c r="CT246" i="7"/>
  <c r="CI246" i="7"/>
  <c r="DD245" i="7"/>
  <c r="DS245" i="7"/>
  <c r="BX246" i="7"/>
  <c r="CS245" i="7"/>
  <c r="CM246" i="7"/>
  <c r="DH245" i="7"/>
  <c r="BB243" i="7"/>
  <c r="DQ243" i="7" s="1"/>
  <c r="AX243" i="7"/>
  <c r="DM243" i="7" s="1"/>
  <c r="AT243" i="7"/>
  <c r="DI243" i="7" s="1"/>
  <c r="BA243" i="7"/>
  <c r="DP243" i="7" s="1"/>
  <c r="AW243" i="7"/>
  <c r="DL243" i="7" s="1"/>
  <c r="AZ243" i="7"/>
  <c r="DO243" i="7" s="1"/>
  <c r="AV243" i="7"/>
  <c r="DK243" i="7" s="1"/>
  <c r="BC243" i="7"/>
  <c r="DR243" i="7" s="1"/>
  <c r="AY243" i="7"/>
  <c r="DN243" i="7" s="1"/>
  <c r="AU243" i="7"/>
  <c r="DJ243" i="7" s="1"/>
  <c r="AG243" i="7"/>
  <c r="AF243" i="7"/>
  <c r="AI243" i="7" s="1"/>
  <c r="AH243" i="7"/>
  <c r="CA246" i="7"/>
  <c r="CV245" i="7"/>
  <c r="EO245" i="7"/>
  <c r="BT246" i="7"/>
  <c r="CO245" i="7"/>
  <c r="CG246" i="7"/>
  <c r="DB245" i="7"/>
  <c r="AO245" i="7"/>
  <c r="CE245" i="7"/>
  <c r="CZ244" i="7"/>
  <c r="AM244" i="7"/>
  <c r="BU247" i="7"/>
  <c r="CP246" i="7"/>
  <c r="BK234" i="7"/>
  <c r="D234" i="7"/>
  <c r="AK235" i="7"/>
  <c r="CH245" i="7"/>
  <c r="DC244" i="7"/>
  <c r="BN244" i="7"/>
  <c r="CD246" i="7"/>
  <c r="CY245" i="7"/>
  <c r="E234" i="7"/>
  <c r="BL234" i="7"/>
  <c r="AL235" i="7"/>
  <c r="CC247" i="7"/>
  <c r="CX246" i="7"/>
  <c r="CK247" i="7"/>
  <c r="DF246" i="7"/>
  <c r="P244" i="7"/>
  <c r="N245" i="7" s="1"/>
  <c r="CF245" i="7"/>
  <c r="DA244" i="7"/>
  <c r="AN244" i="7"/>
  <c r="BJ234" i="7"/>
  <c r="BM234" i="7" s="1"/>
  <c r="B234" i="7" s="1"/>
  <c r="C234" i="7"/>
  <c r="F234" i="7" s="1"/>
  <c r="AJ235" i="7"/>
  <c r="CB246" i="7"/>
  <c r="CW245" i="7"/>
  <c r="N244" i="7"/>
  <c r="BF242" i="7"/>
  <c r="BE242" i="7"/>
  <c r="BD242" i="7"/>
  <c r="BP243" i="7" l="1"/>
  <c r="H242" i="7"/>
  <c r="G242" i="7"/>
  <c r="CB247" i="7"/>
  <c r="CW246" i="7"/>
  <c r="AR245" i="7"/>
  <c r="AQ245" i="7"/>
  <c r="AP245" i="7"/>
  <c r="CC248" i="7"/>
  <c r="CX247" i="7"/>
  <c r="CH246" i="7"/>
  <c r="DC245" i="7"/>
  <c r="BN245" i="7"/>
  <c r="CE246" i="7"/>
  <c r="CZ245" i="7"/>
  <c r="AM245" i="7"/>
  <c r="BG245" i="7" s="1"/>
  <c r="CA247" i="7"/>
  <c r="CV246" i="7"/>
  <c r="DS246" i="7"/>
  <c r="CI247" i="7"/>
  <c r="DD246" i="7"/>
  <c r="BZ247" i="7"/>
  <c r="CU246" i="7"/>
  <c r="EN246" i="7"/>
  <c r="BO243" i="7"/>
  <c r="BQ243" i="7" s="1"/>
  <c r="BW247" i="7"/>
  <c r="CR246" i="7"/>
  <c r="BJ235" i="7"/>
  <c r="BM235" i="7" s="1"/>
  <c r="B235" i="7" s="1"/>
  <c r="C235" i="7"/>
  <c r="F235" i="7" s="1"/>
  <c r="AJ236" i="7"/>
  <c r="E235" i="7"/>
  <c r="BL235" i="7"/>
  <c r="AL236" i="7"/>
  <c r="CD247" i="7"/>
  <c r="CY246" i="7"/>
  <c r="D235" i="7"/>
  <c r="BK235" i="7"/>
  <c r="AK236" i="7"/>
  <c r="BU248" i="7"/>
  <c r="CP247" i="7"/>
  <c r="BI245" i="7"/>
  <c r="EO246" i="7"/>
  <c r="BT247" i="7"/>
  <c r="CO246" i="7"/>
  <c r="BX247" i="7"/>
  <c r="CS246" i="7"/>
  <c r="CJ247" i="7"/>
  <c r="DE246" i="7"/>
  <c r="AR244" i="7"/>
  <c r="BI244" i="7" s="1"/>
  <c r="AQ244" i="7"/>
  <c r="BH244" i="7" s="1"/>
  <c r="AP244" i="7"/>
  <c r="AN245" i="7"/>
  <c r="BH245" i="7" s="1"/>
  <c r="CF246" i="7"/>
  <c r="DA245" i="7"/>
  <c r="CK248" i="7"/>
  <c r="DF247" i="7"/>
  <c r="BG244" i="7"/>
  <c r="P245" i="7"/>
  <c r="BY248" i="7"/>
  <c r="CT247" i="7"/>
  <c r="CG247" i="7"/>
  <c r="DB246" i="7"/>
  <c r="AO246" i="7"/>
  <c r="BF243" i="7"/>
  <c r="BE243" i="7"/>
  <c r="BD243" i="7"/>
  <c r="CM247" i="7"/>
  <c r="DH246" i="7"/>
  <c r="EM247" i="7"/>
  <c r="DG247" i="7"/>
  <c r="CL248" i="7"/>
  <c r="BA244" i="7"/>
  <c r="DP244" i="7" s="1"/>
  <c r="AW244" i="7"/>
  <c r="DL244" i="7" s="1"/>
  <c r="AZ244" i="7"/>
  <c r="DO244" i="7" s="1"/>
  <c r="AV244" i="7"/>
  <c r="DK244" i="7" s="1"/>
  <c r="BC244" i="7"/>
  <c r="DR244" i="7" s="1"/>
  <c r="AY244" i="7"/>
  <c r="DN244" i="7" s="1"/>
  <c r="AU244" i="7"/>
  <c r="DJ244" i="7" s="1"/>
  <c r="BB244" i="7"/>
  <c r="DQ244" i="7" s="1"/>
  <c r="AX244" i="7"/>
  <c r="DM244" i="7" s="1"/>
  <c r="AT244" i="7"/>
  <c r="AH244" i="7"/>
  <c r="AG244" i="7"/>
  <c r="AF244" i="7"/>
  <c r="AI244" i="7" s="1"/>
  <c r="BS246" i="7"/>
  <c r="EF245" i="7"/>
  <c r="DZ245" i="7"/>
  <c r="CN245" i="7"/>
  <c r="BO244" i="7" s="1"/>
  <c r="EC245" i="7"/>
  <c r="DX245" i="7"/>
  <c r="EB245" i="7"/>
  <c r="DW245" i="7"/>
  <c r="EA245" i="7"/>
  <c r="DV245" i="7"/>
  <c r="M245" i="7"/>
  <c r="BV247" i="7"/>
  <c r="CQ246" i="7"/>
  <c r="EC246" i="7" l="1"/>
  <c r="DX246" i="7"/>
  <c r="EB246" i="7"/>
  <c r="DW246" i="7"/>
  <c r="EA246" i="7"/>
  <c r="DV246" i="7"/>
  <c r="BS247" i="7"/>
  <c r="EF246" i="7"/>
  <c r="DZ246" i="7"/>
  <c r="CN246" i="7"/>
  <c r="M246" i="7"/>
  <c r="BE244" i="7"/>
  <c r="BD244" i="7"/>
  <c r="BF244" i="7"/>
  <c r="CG248" i="7"/>
  <c r="DB247" i="7"/>
  <c r="AO247" i="7"/>
  <c r="CK249" i="7"/>
  <c r="DF248" i="7"/>
  <c r="D236" i="7"/>
  <c r="BK236" i="7"/>
  <c r="AK237" i="7"/>
  <c r="CD248" i="7"/>
  <c r="CY247" i="7"/>
  <c r="C236" i="7"/>
  <c r="F236" i="7" s="1"/>
  <c r="BJ236" i="7"/>
  <c r="BM236" i="7" s="1"/>
  <c r="B236" i="7" s="1"/>
  <c r="AJ237" i="7"/>
  <c r="BW248" i="7"/>
  <c r="CR247" i="7"/>
  <c r="EN247" i="7"/>
  <c r="BZ248" i="7"/>
  <c r="CU247" i="7"/>
  <c r="AM246" i="7"/>
  <c r="CE247" i="7"/>
  <c r="CZ246" i="7"/>
  <c r="DI244" i="7"/>
  <c r="BV248" i="7"/>
  <c r="CQ247" i="7"/>
  <c r="BX248" i="7"/>
  <c r="CS247" i="7"/>
  <c r="BL236" i="7"/>
  <c r="E236" i="7"/>
  <c r="AL237" i="7"/>
  <c r="H243" i="7"/>
  <c r="G243" i="7"/>
  <c r="CA248" i="7"/>
  <c r="CV247" i="7"/>
  <c r="CC249" i="7"/>
  <c r="CX248" i="7"/>
  <c r="AZ245" i="7"/>
  <c r="DO245" i="7" s="1"/>
  <c r="AV245" i="7"/>
  <c r="DK245" i="7" s="1"/>
  <c r="BC245" i="7"/>
  <c r="DR245" i="7" s="1"/>
  <c r="AY245" i="7"/>
  <c r="DN245" i="7" s="1"/>
  <c r="AU245" i="7"/>
  <c r="DJ245" i="7" s="1"/>
  <c r="BB245" i="7"/>
  <c r="DQ245" i="7" s="1"/>
  <c r="AX245" i="7"/>
  <c r="DM245" i="7" s="1"/>
  <c r="AT245" i="7"/>
  <c r="BA245" i="7"/>
  <c r="DP245" i="7" s="1"/>
  <c r="AW245" i="7"/>
  <c r="DL245" i="7" s="1"/>
  <c r="AF245" i="7"/>
  <c r="AI245" i="7" s="1"/>
  <c r="AH245" i="7"/>
  <c r="AG245" i="7"/>
  <c r="EM248" i="7"/>
  <c r="DG248" i="7"/>
  <c r="CL249" i="7"/>
  <c r="CM248" i="7"/>
  <c r="DH247" i="7"/>
  <c r="BY249" i="7"/>
  <c r="CT248" i="7"/>
  <c r="CF247" i="7"/>
  <c r="DA246" i="7"/>
  <c r="AN246" i="7"/>
  <c r="CI248" i="7"/>
  <c r="DD247" i="7"/>
  <c r="DS247" i="7"/>
  <c r="CB248" i="7"/>
  <c r="CW247" i="7"/>
  <c r="N246" i="7"/>
  <c r="CJ248" i="7"/>
  <c r="DE247" i="7"/>
  <c r="BT248" i="7"/>
  <c r="CO247" i="7"/>
  <c r="EO247" i="7"/>
  <c r="BU249" i="7"/>
  <c r="CP248" i="7"/>
  <c r="P246" i="7"/>
  <c r="N247" i="7" s="1"/>
  <c r="CH247" i="7"/>
  <c r="DC246" i="7"/>
  <c r="BN246" i="7"/>
  <c r="BT249" i="7" l="1"/>
  <c r="CO248" i="7"/>
  <c r="EO248" i="7"/>
  <c r="BN247" i="7"/>
  <c r="CH248" i="7"/>
  <c r="DC247" i="7"/>
  <c r="BU250" i="7"/>
  <c r="CP249" i="7"/>
  <c r="CB249" i="7"/>
  <c r="CW248" i="7"/>
  <c r="BY250" i="7"/>
  <c r="CT249" i="7"/>
  <c r="DG249" i="7"/>
  <c r="EM249" i="7"/>
  <c r="CL250" i="7"/>
  <c r="BD245" i="7"/>
  <c r="BF245" i="7"/>
  <c r="BE245" i="7"/>
  <c r="CA249" i="7"/>
  <c r="CV248" i="7"/>
  <c r="CE248" i="7"/>
  <c r="CZ247" i="7"/>
  <c r="AM247" i="7"/>
  <c r="BK237" i="7"/>
  <c r="D237" i="7"/>
  <c r="AK238" i="7"/>
  <c r="CK250" i="7"/>
  <c r="DF249" i="7"/>
  <c r="BO245" i="7"/>
  <c r="AP247" i="7"/>
  <c r="AR247" i="7"/>
  <c r="BI247" i="7" s="1"/>
  <c r="AQ247" i="7"/>
  <c r="CJ249" i="7"/>
  <c r="DE248" i="7"/>
  <c r="CC250" i="7"/>
  <c r="CX249" i="7"/>
  <c r="BV249" i="7"/>
  <c r="CQ248" i="7"/>
  <c r="BG246" i="7"/>
  <c r="P247" i="7"/>
  <c r="AQ246" i="7"/>
  <c r="BH246" i="7" s="1"/>
  <c r="AP246" i="7"/>
  <c r="AR246" i="7"/>
  <c r="BI246" i="7" s="1"/>
  <c r="CF248" i="7"/>
  <c r="DA247" i="7"/>
  <c r="AN247" i="7"/>
  <c r="BH247" i="7" s="1"/>
  <c r="DI245" i="7"/>
  <c r="BW249" i="7"/>
  <c r="CR248" i="7"/>
  <c r="BP244" i="7"/>
  <c r="BQ244" i="7" s="1"/>
  <c r="CI249" i="7"/>
  <c r="DD248" i="7"/>
  <c r="DS248" i="7"/>
  <c r="CM249" i="7"/>
  <c r="DH248" i="7"/>
  <c r="BL237" i="7"/>
  <c r="E237" i="7"/>
  <c r="AL238" i="7"/>
  <c r="BX249" i="7"/>
  <c r="CS248" i="7"/>
  <c r="BZ249" i="7"/>
  <c r="CU248" i="7"/>
  <c r="EN248" i="7"/>
  <c r="C237" i="7"/>
  <c r="F237" i="7" s="1"/>
  <c r="BJ237" i="7"/>
  <c r="BM237" i="7" s="1"/>
  <c r="B237" i="7" s="1"/>
  <c r="AJ238" i="7"/>
  <c r="CD249" i="7"/>
  <c r="CY248" i="7"/>
  <c r="AO248" i="7"/>
  <c r="CG249" i="7"/>
  <c r="DB248" i="7"/>
  <c r="BC246" i="7"/>
  <c r="DR246" i="7" s="1"/>
  <c r="AY246" i="7"/>
  <c r="DN246" i="7" s="1"/>
  <c r="AU246" i="7"/>
  <c r="DJ246" i="7" s="1"/>
  <c r="BB246" i="7"/>
  <c r="DQ246" i="7" s="1"/>
  <c r="AX246" i="7"/>
  <c r="DM246" i="7" s="1"/>
  <c r="AT246" i="7"/>
  <c r="BA246" i="7"/>
  <c r="DP246" i="7" s="1"/>
  <c r="AW246" i="7"/>
  <c r="DL246" i="7" s="1"/>
  <c r="AZ246" i="7"/>
  <c r="DO246" i="7" s="1"/>
  <c r="AV246" i="7"/>
  <c r="DK246" i="7" s="1"/>
  <c r="AG246" i="7"/>
  <c r="AH246" i="7"/>
  <c r="AF246" i="7"/>
  <c r="AI246" i="7" s="1"/>
  <c r="EB247" i="7"/>
  <c r="DW247" i="7"/>
  <c r="EA247" i="7"/>
  <c r="DV247" i="7"/>
  <c r="BS248" i="7"/>
  <c r="EF247" i="7"/>
  <c r="DZ247" i="7"/>
  <c r="CN247" i="7"/>
  <c r="BO246" i="7" s="1"/>
  <c r="EC247" i="7"/>
  <c r="DX247" i="7"/>
  <c r="M247" i="7"/>
  <c r="CR249" i="7" l="1"/>
  <c r="BW250" i="7"/>
  <c r="CF249" i="7"/>
  <c r="DA248" i="7"/>
  <c r="AN248" i="7"/>
  <c r="CE249" i="7"/>
  <c r="CZ248" i="7"/>
  <c r="AM248" i="7"/>
  <c r="BB247" i="7"/>
  <c r="DQ247" i="7" s="1"/>
  <c r="AX247" i="7"/>
  <c r="DM247" i="7" s="1"/>
  <c r="AT247" i="7"/>
  <c r="BA247" i="7"/>
  <c r="DP247" i="7" s="1"/>
  <c r="AW247" i="7"/>
  <c r="DL247" i="7" s="1"/>
  <c r="AZ247" i="7"/>
  <c r="DO247" i="7" s="1"/>
  <c r="AV247" i="7"/>
  <c r="DK247" i="7" s="1"/>
  <c r="BC247" i="7"/>
  <c r="DR247" i="7" s="1"/>
  <c r="AY247" i="7"/>
  <c r="DN247" i="7" s="1"/>
  <c r="AU247" i="7"/>
  <c r="DJ247" i="7" s="1"/>
  <c r="AG247" i="7"/>
  <c r="AF247" i="7"/>
  <c r="AI247" i="7" s="1"/>
  <c r="AH247" i="7"/>
  <c r="CY249" i="7"/>
  <c r="CD250" i="7"/>
  <c r="BX250" i="7"/>
  <c r="CS249" i="7"/>
  <c r="DD249" i="7"/>
  <c r="DS249" i="7"/>
  <c r="CI250" i="7"/>
  <c r="DI246" i="7"/>
  <c r="N248" i="7"/>
  <c r="CQ249" i="7"/>
  <c r="BV250" i="7"/>
  <c r="CJ250" i="7"/>
  <c r="DE249" i="7"/>
  <c r="CB250" i="7"/>
  <c r="CW249" i="7"/>
  <c r="CH249" i="7"/>
  <c r="DC248" i="7"/>
  <c r="BN248" i="7"/>
  <c r="BT250" i="7"/>
  <c r="EO249" i="7"/>
  <c r="CO249" i="7"/>
  <c r="CG250" i="7"/>
  <c r="DB249" i="7"/>
  <c r="AO249" i="7"/>
  <c r="BJ238" i="7"/>
  <c r="BM238" i="7" s="1"/>
  <c r="B238" i="7" s="1"/>
  <c r="C238" i="7"/>
  <c r="F238" i="7" s="1"/>
  <c r="AJ239" i="7"/>
  <c r="E238" i="7"/>
  <c r="BL238" i="7"/>
  <c r="AL239" i="7"/>
  <c r="CM250" i="7"/>
  <c r="DH249" i="7"/>
  <c r="H244" i="7"/>
  <c r="G244" i="7"/>
  <c r="CK251" i="7"/>
  <c r="DF250" i="7"/>
  <c r="BG247" i="7"/>
  <c r="CV249" i="7"/>
  <c r="CA250" i="7"/>
  <c r="EM250" i="7"/>
  <c r="DG250" i="7"/>
  <c r="CL251" i="7"/>
  <c r="BY251" i="7"/>
  <c r="CT250" i="7"/>
  <c r="EA248" i="7"/>
  <c r="DV248" i="7"/>
  <c r="BS249" i="7"/>
  <c r="EF248" i="7"/>
  <c r="DZ248" i="7"/>
  <c r="CN248" i="7"/>
  <c r="BO247" i="7" s="1"/>
  <c r="EC248" i="7"/>
  <c r="DX248" i="7"/>
  <c r="EB248" i="7"/>
  <c r="DW248" i="7"/>
  <c r="M248" i="7"/>
  <c r="BF246" i="7"/>
  <c r="BE246" i="7"/>
  <c r="BD246" i="7"/>
  <c r="BZ250" i="7"/>
  <c r="CU249" i="7"/>
  <c r="EN249" i="7"/>
  <c r="P248" i="7"/>
  <c r="N249" i="7" s="1"/>
  <c r="CC251" i="7"/>
  <c r="CX250" i="7"/>
  <c r="BK238" i="7"/>
  <c r="D238" i="7"/>
  <c r="AK239" i="7"/>
  <c r="BU251" i="7"/>
  <c r="CP250" i="7"/>
  <c r="BP245" i="7"/>
  <c r="BQ245" i="7" s="1"/>
  <c r="G245" i="7" l="1"/>
  <c r="H245" i="7"/>
  <c r="AR249" i="7"/>
  <c r="AQ249" i="7"/>
  <c r="AP249" i="7"/>
  <c r="BA248" i="7"/>
  <c r="DP248" i="7" s="1"/>
  <c r="AW248" i="7"/>
  <c r="DL248" i="7" s="1"/>
  <c r="AZ248" i="7"/>
  <c r="DO248" i="7" s="1"/>
  <c r="AV248" i="7"/>
  <c r="DK248" i="7" s="1"/>
  <c r="BC248" i="7"/>
  <c r="DR248" i="7" s="1"/>
  <c r="AY248" i="7"/>
  <c r="DN248" i="7" s="1"/>
  <c r="AU248" i="7"/>
  <c r="DJ248" i="7" s="1"/>
  <c r="BB248" i="7"/>
  <c r="DQ248" i="7" s="1"/>
  <c r="AX248" i="7"/>
  <c r="DM248" i="7" s="1"/>
  <c r="AT248" i="7"/>
  <c r="AG248" i="7"/>
  <c r="AF248" i="7"/>
  <c r="AI248" i="7" s="1"/>
  <c r="AH248" i="7"/>
  <c r="EF249" i="7"/>
  <c r="DZ249" i="7"/>
  <c r="CN249" i="7"/>
  <c r="EC249" i="7"/>
  <c r="DX249" i="7"/>
  <c r="EB249" i="7"/>
  <c r="DW249" i="7"/>
  <c r="BS250" i="7"/>
  <c r="EA249" i="7"/>
  <c r="DV249" i="7"/>
  <c r="M249" i="7"/>
  <c r="BI249" i="7"/>
  <c r="CH250" i="7"/>
  <c r="DC249" i="7"/>
  <c r="BN249" i="7"/>
  <c r="CJ251" i="7"/>
  <c r="DE250" i="7"/>
  <c r="DI247" i="7"/>
  <c r="DI248" i="7" s="1"/>
  <c r="BW251" i="7"/>
  <c r="CR250" i="7"/>
  <c r="D239" i="7"/>
  <c r="BK239" i="7"/>
  <c r="AK240" i="7"/>
  <c r="BU252" i="7"/>
  <c r="CP251" i="7"/>
  <c r="BY252" i="7"/>
  <c r="CT251" i="7"/>
  <c r="CA251" i="7"/>
  <c r="CV250" i="7"/>
  <c r="CK252" i="7"/>
  <c r="DF251" i="7"/>
  <c r="CM251" i="7"/>
  <c r="DH250" i="7"/>
  <c r="BJ239" i="7"/>
  <c r="BM239" i="7" s="1"/>
  <c r="B239" i="7" s="1"/>
  <c r="C239" i="7"/>
  <c r="F239" i="7" s="1"/>
  <c r="AJ240" i="7"/>
  <c r="BT251" i="7"/>
  <c r="CO250" i="7"/>
  <c r="EO250" i="7"/>
  <c r="BV251" i="7"/>
  <c r="CQ250" i="7"/>
  <c r="CI251" i="7"/>
  <c r="DD250" i="7"/>
  <c r="DS250" i="7"/>
  <c r="BX251" i="7"/>
  <c r="CS250" i="7"/>
  <c r="DG251" i="7"/>
  <c r="EM251" i="7"/>
  <c r="CL252" i="7"/>
  <c r="E239" i="7"/>
  <c r="BL239" i="7"/>
  <c r="AL240" i="7"/>
  <c r="CG251" i="7"/>
  <c r="DB250" i="7"/>
  <c r="AO250" i="7"/>
  <c r="CB251" i="7"/>
  <c r="CW250" i="7"/>
  <c r="P249" i="7"/>
  <c r="N250" i="7" s="1"/>
  <c r="CD251" i="7"/>
  <c r="CY250" i="7"/>
  <c r="BF247" i="7"/>
  <c r="BE247" i="7"/>
  <c r="BD247" i="7"/>
  <c r="CC252" i="7"/>
  <c r="CX251" i="7"/>
  <c r="BZ251" i="7"/>
  <c r="CU250" i="7"/>
  <c r="EN250" i="7"/>
  <c r="AR248" i="7"/>
  <c r="BI248" i="7" s="1"/>
  <c r="AQ248" i="7"/>
  <c r="BH248" i="7" s="1"/>
  <c r="AP248" i="7"/>
  <c r="BG248" i="7" s="1"/>
  <c r="CZ249" i="7"/>
  <c r="CE250" i="7"/>
  <c r="AM249" i="7"/>
  <c r="BG249" i="7" s="1"/>
  <c r="CF250" i="7"/>
  <c r="AN249" i="7"/>
  <c r="BH249" i="7" s="1"/>
  <c r="DA249" i="7"/>
  <c r="BP246" i="7"/>
  <c r="BQ246" i="7" s="1"/>
  <c r="BP248" i="7" l="1"/>
  <c r="H246" i="7"/>
  <c r="G246" i="7"/>
  <c r="BX252" i="7"/>
  <c r="CS251" i="7"/>
  <c r="EO251" i="7"/>
  <c r="BT252" i="7"/>
  <c r="CO251" i="7"/>
  <c r="CH251" i="7"/>
  <c r="DC250" i="7"/>
  <c r="BN250" i="7"/>
  <c r="BE248" i="7"/>
  <c r="BD248" i="7"/>
  <c r="BF248" i="7"/>
  <c r="CE251" i="7"/>
  <c r="CZ250" i="7"/>
  <c r="AM250" i="7"/>
  <c r="CC253" i="7"/>
  <c r="CX252" i="7"/>
  <c r="P250" i="7"/>
  <c r="BV252" i="7"/>
  <c r="CQ251" i="7"/>
  <c r="C240" i="7"/>
  <c r="F240" i="7" s="1"/>
  <c r="BJ240" i="7"/>
  <c r="BM240" i="7" s="1"/>
  <c r="B240" i="7" s="1"/>
  <c r="AJ241" i="7"/>
  <c r="CM252" i="7"/>
  <c r="DH251" i="7"/>
  <c r="CA252" i="7"/>
  <c r="CV251" i="7"/>
  <c r="BU253" i="7"/>
  <c r="CP252" i="7"/>
  <c r="CJ252" i="7"/>
  <c r="DE251" i="7"/>
  <c r="EA250" i="7"/>
  <c r="DV250" i="7"/>
  <c r="BS251" i="7"/>
  <c r="EF250" i="7"/>
  <c r="DZ250" i="7"/>
  <c r="CN250" i="7"/>
  <c r="EC250" i="7"/>
  <c r="DX250" i="7"/>
  <c r="DW250" i="7"/>
  <c r="EB250" i="7"/>
  <c r="M250" i="7"/>
  <c r="CD252" i="7"/>
  <c r="CY251" i="7"/>
  <c r="CB252" i="7"/>
  <c r="CW251" i="7"/>
  <c r="CG252" i="7"/>
  <c r="DB251" i="7"/>
  <c r="AO251" i="7"/>
  <c r="DG252" i="7"/>
  <c r="EM252" i="7"/>
  <c r="CL253" i="7"/>
  <c r="D240" i="7"/>
  <c r="BK240" i="7"/>
  <c r="AK241" i="7"/>
  <c r="BW252" i="7"/>
  <c r="CR251" i="7"/>
  <c r="AZ249" i="7"/>
  <c r="DO249" i="7" s="1"/>
  <c r="AV249" i="7"/>
  <c r="DK249" i="7" s="1"/>
  <c r="BC249" i="7"/>
  <c r="DR249" i="7" s="1"/>
  <c r="AY249" i="7"/>
  <c r="DN249" i="7" s="1"/>
  <c r="AU249" i="7"/>
  <c r="DJ249" i="7" s="1"/>
  <c r="BB249" i="7"/>
  <c r="DQ249" i="7" s="1"/>
  <c r="AX249" i="7"/>
  <c r="DM249" i="7" s="1"/>
  <c r="AT249" i="7"/>
  <c r="BA249" i="7"/>
  <c r="DP249" i="7" s="1"/>
  <c r="AW249" i="7"/>
  <c r="DL249" i="7" s="1"/>
  <c r="AF249" i="7"/>
  <c r="AI249" i="7" s="1"/>
  <c r="AG249" i="7"/>
  <c r="AH249" i="7"/>
  <c r="BO248" i="7"/>
  <c r="BQ248" i="7" s="1"/>
  <c r="CF251" i="7"/>
  <c r="DA250" i="7"/>
  <c r="AN250" i="7"/>
  <c r="BZ252" i="7"/>
  <c r="CU251" i="7"/>
  <c r="EN251" i="7"/>
  <c r="AQ250" i="7"/>
  <c r="AP250" i="7"/>
  <c r="AR250" i="7"/>
  <c r="BI250" i="7" s="1"/>
  <c r="BL240" i="7"/>
  <c r="E240" i="7"/>
  <c r="AL241" i="7"/>
  <c r="CI252" i="7"/>
  <c r="DD251" i="7"/>
  <c r="DS251" i="7"/>
  <c r="CK253" i="7"/>
  <c r="DF252" i="7"/>
  <c r="BY253" i="7"/>
  <c r="CT252" i="7"/>
  <c r="DI249" i="7"/>
  <c r="BP247" i="7"/>
  <c r="BQ247" i="7" s="1"/>
  <c r="BP249" i="7" l="1"/>
  <c r="H247" i="7"/>
  <c r="G247" i="7"/>
  <c r="DS252" i="7"/>
  <c r="CI253" i="7"/>
  <c r="DD252" i="7"/>
  <c r="BZ253" i="7"/>
  <c r="CU252" i="7"/>
  <c r="EN252" i="7"/>
  <c r="H248" i="7"/>
  <c r="G248" i="7"/>
  <c r="CR252" i="7"/>
  <c r="BW253" i="7"/>
  <c r="EM253" i="7"/>
  <c r="DG253" i="7"/>
  <c r="CL254" i="7"/>
  <c r="BU254" i="7"/>
  <c r="CP253" i="7"/>
  <c r="DH252" i="7"/>
  <c r="CM253" i="7"/>
  <c r="CE252" i="7"/>
  <c r="CZ251" i="7"/>
  <c r="AM251" i="7"/>
  <c r="EO252" i="7"/>
  <c r="BT253" i="7"/>
  <c r="CO252" i="7"/>
  <c r="BH250" i="7"/>
  <c r="BK241" i="7"/>
  <c r="D241" i="7"/>
  <c r="AK242" i="7"/>
  <c r="CG253" i="7"/>
  <c r="DB252" i="7"/>
  <c r="AO252" i="7"/>
  <c r="CD253" i="7"/>
  <c r="CY252" i="7"/>
  <c r="C241" i="7"/>
  <c r="F241" i="7" s="1"/>
  <c r="BJ241" i="7"/>
  <c r="BM241" i="7" s="1"/>
  <c r="B241" i="7" s="1"/>
  <c r="AJ242" i="7"/>
  <c r="BV253" i="7"/>
  <c r="CQ252" i="7"/>
  <c r="CC254" i="7"/>
  <c r="CX253" i="7"/>
  <c r="BL241" i="7"/>
  <c r="E241" i="7"/>
  <c r="AL242" i="7"/>
  <c r="P251" i="7"/>
  <c r="BD249" i="7"/>
  <c r="BF249" i="7"/>
  <c r="BE249" i="7"/>
  <c r="BA250" i="7"/>
  <c r="DP250" i="7" s="1"/>
  <c r="AZ250" i="7"/>
  <c r="DO250" i="7" s="1"/>
  <c r="AV250" i="7"/>
  <c r="DK250" i="7" s="1"/>
  <c r="BB250" i="7"/>
  <c r="DQ250" i="7" s="1"/>
  <c r="AU250" i="7"/>
  <c r="DJ250" i="7" s="1"/>
  <c r="AY250" i="7"/>
  <c r="DN250" i="7" s="1"/>
  <c r="AT250" i="7"/>
  <c r="AX250" i="7"/>
  <c r="DM250" i="7" s="1"/>
  <c r="BC250" i="7"/>
  <c r="DR250" i="7" s="1"/>
  <c r="AW250" i="7"/>
  <c r="DL250" i="7" s="1"/>
  <c r="AH250" i="7"/>
  <c r="AF250" i="7"/>
  <c r="AI250" i="7" s="1"/>
  <c r="AG250" i="7"/>
  <c r="BS252" i="7"/>
  <c r="EF251" i="7"/>
  <c r="DZ251" i="7"/>
  <c r="CN251" i="7"/>
  <c r="EC251" i="7"/>
  <c r="DX251" i="7"/>
  <c r="EB251" i="7"/>
  <c r="DW251" i="7"/>
  <c r="EA251" i="7"/>
  <c r="DV251" i="7"/>
  <c r="M251" i="7"/>
  <c r="CJ253" i="7"/>
  <c r="DE252" i="7"/>
  <c r="CV252" i="7"/>
  <c r="CA253" i="7"/>
  <c r="N251" i="7"/>
  <c r="BG250" i="7"/>
  <c r="CH252" i="7"/>
  <c r="DC251" i="7"/>
  <c r="BN251" i="7"/>
  <c r="CK254" i="7"/>
  <c r="DF253" i="7"/>
  <c r="BY254" i="7"/>
  <c r="CT253" i="7"/>
  <c r="AN251" i="7"/>
  <c r="CF252" i="7"/>
  <c r="DA251" i="7"/>
  <c r="CB253" i="7"/>
  <c r="CW252" i="7"/>
  <c r="BO249" i="7"/>
  <c r="BQ249" i="7" s="1"/>
  <c r="BX253" i="7"/>
  <c r="CS252" i="7"/>
  <c r="G249" i="7" l="1"/>
  <c r="H249" i="7"/>
  <c r="BY255" i="7"/>
  <c r="CT254" i="7"/>
  <c r="CF253" i="7"/>
  <c r="DA252" i="7"/>
  <c r="AN252" i="7"/>
  <c r="CH253" i="7"/>
  <c r="DC252" i="7"/>
  <c r="BN252" i="7"/>
  <c r="BE250" i="7"/>
  <c r="BD250" i="7"/>
  <c r="BF250" i="7"/>
  <c r="E242" i="7"/>
  <c r="BL242" i="7"/>
  <c r="AL243" i="7"/>
  <c r="CC255" i="7"/>
  <c r="CX254" i="7"/>
  <c r="BT254" i="7"/>
  <c r="CO253" i="7"/>
  <c r="EO253" i="7"/>
  <c r="CK255" i="7"/>
  <c r="DF254" i="7"/>
  <c r="EC252" i="7"/>
  <c r="DX252" i="7"/>
  <c r="EB252" i="7"/>
  <c r="DW252" i="7"/>
  <c r="EA252" i="7"/>
  <c r="DV252" i="7"/>
  <c r="BS253" i="7"/>
  <c r="EF252" i="7"/>
  <c r="DZ252" i="7"/>
  <c r="CN252" i="7"/>
  <c r="M252" i="7"/>
  <c r="AM252" i="7"/>
  <c r="CZ252" i="7"/>
  <c r="CE253" i="7"/>
  <c r="BU255" i="7"/>
  <c r="CP254" i="7"/>
  <c r="BW254" i="7"/>
  <c r="CR253" i="7"/>
  <c r="CI254" i="7"/>
  <c r="DD253" i="7"/>
  <c r="DS253" i="7"/>
  <c r="DI250" i="7"/>
  <c r="BP250" i="7" s="1"/>
  <c r="CB254" i="7"/>
  <c r="CW253" i="7"/>
  <c r="BX254" i="7"/>
  <c r="CS253" i="7"/>
  <c r="AR251" i="7"/>
  <c r="BI251" i="7" s="1"/>
  <c r="AQ251" i="7"/>
  <c r="BH251" i="7" s="1"/>
  <c r="AP251" i="7"/>
  <c r="CJ254" i="7"/>
  <c r="DE253" i="7"/>
  <c r="BO250" i="7"/>
  <c r="N252" i="7"/>
  <c r="BV254" i="7"/>
  <c r="CQ253" i="7"/>
  <c r="CG254" i="7"/>
  <c r="DB253" i="7"/>
  <c r="AO253" i="7"/>
  <c r="CM254" i="7"/>
  <c r="DH253" i="7"/>
  <c r="EM254" i="7"/>
  <c r="DG254" i="7"/>
  <c r="CL255" i="7"/>
  <c r="P252" i="7"/>
  <c r="N253" i="7" s="1"/>
  <c r="CA254" i="7"/>
  <c r="CV253" i="7"/>
  <c r="AZ251" i="7"/>
  <c r="DO251" i="7" s="1"/>
  <c r="AV251" i="7"/>
  <c r="DK251" i="7" s="1"/>
  <c r="BC251" i="7"/>
  <c r="DR251" i="7" s="1"/>
  <c r="AY251" i="7"/>
  <c r="DN251" i="7" s="1"/>
  <c r="AU251" i="7"/>
  <c r="DJ251" i="7" s="1"/>
  <c r="BB251" i="7"/>
  <c r="DQ251" i="7" s="1"/>
  <c r="AX251" i="7"/>
  <c r="DM251" i="7" s="1"/>
  <c r="AT251" i="7"/>
  <c r="BA251" i="7"/>
  <c r="DP251" i="7" s="1"/>
  <c r="AW251" i="7"/>
  <c r="DL251" i="7" s="1"/>
  <c r="AG251" i="7"/>
  <c r="AF251" i="7"/>
  <c r="AI251" i="7" s="1"/>
  <c r="AH251" i="7"/>
  <c r="BJ242" i="7"/>
  <c r="BM242" i="7" s="1"/>
  <c r="B242" i="7" s="1"/>
  <c r="C242" i="7"/>
  <c r="F242" i="7" s="1"/>
  <c r="AJ243" i="7"/>
  <c r="CD254" i="7"/>
  <c r="CY253" i="7"/>
  <c r="BK242" i="7"/>
  <c r="D242" i="7"/>
  <c r="AK243" i="7"/>
  <c r="BG251" i="7"/>
  <c r="EN253" i="7"/>
  <c r="BZ254" i="7"/>
  <c r="CU253" i="7"/>
  <c r="AP253" i="7" l="1"/>
  <c r="AR253" i="7"/>
  <c r="AQ253" i="7"/>
  <c r="AQ252" i="7"/>
  <c r="AP252" i="7"/>
  <c r="AR252" i="7"/>
  <c r="BI252" i="7" s="1"/>
  <c r="BX255" i="7"/>
  <c r="CS254" i="7"/>
  <c r="P253" i="7"/>
  <c r="BW255" i="7"/>
  <c r="CR254" i="7"/>
  <c r="CD255" i="7"/>
  <c r="CY254" i="7"/>
  <c r="BG252" i="7"/>
  <c r="CC256" i="7"/>
  <c r="CX255" i="7"/>
  <c r="CF254" i="7"/>
  <c r="DA253" i="7"/>
  <c r="AN253" i="7"/>
  <c r="BH253" i="7" s="1"/>
  <c r="D243" i="7"/>
  <c r="BK243" i="7"/>
  <c r="AK244" i="7"/>
  <c r="BQ250" i="7"/>
  <c r="BZ255" i="7"/>
  <c r="CU254" i="7"/>
  <c r="EN254" i="7"/>
  <c r="BJ243" i="7"/>
  <c r="BM243" i="7" s="1"/>
  <c r="B243" i="7" s="1"/>
  <c r="C243" i="7"/>
  <c r="F243" i="7" s="1"/>
  <c r="AJ244" i="7"/>
  <c r="BD251" i="7"/>
  <c r="BF251" i="7"/>
  <c r="BE251" i="7"/>
  <c r="DG255" i="7"/>
  <c r="EM255" i="7"/>
  <c r="CL256" i="7"/>
  <c r="CM255" i="7"/>
  <c r="DH254" i="7"/>
  <c r="CB255" i="7"/>
  <c r="CW254" i="7"/>
  <c r="CI255" i="7"/>
  <c r="DD254" i="7"/>
  <c r="DS254" i="7"/>
  <c r="BU256" i="7"/>
  <c r="CP255" i="7"/>
  <c r="BC252" i="7"/>
  <c r="DR252" i="7" s="1"/>
  <c r="AY252" i="7"/>
  <c r="DN252" i="7" s="1"/>
  <c r="AU252" i="7"/>
  <c r="DJ252" i="7" s="1"/>
  <c r="BB252" i="7"/>
  <c r="DQ252" i="7" s="1"/>
  <c r="AX252" i="7"/>
  <c r="DM252" i="7" s="1"/>
  <c r="AT252" i="7"/>
  <c r="BA252" i="7"/>
  <c r="DP252" i="7" s="1"/>
  <c r="AW252" i="7"/>
  <c r="DL252" i="7" s="1"/>
  <c r="AZ252" i="7"/>
  <c r="DO252" i="7" s="1"/>
  <c r="AV252" i="7"/>
  <c r="DK252" i="7" s="1"/>
  <c r="AG252" i="7"/>
  <c r="AH252" i="7"/>
  <c r="AF252" i="7"/>
  <c r="AI252" i="7" s="1"/>
  <c r="EB253" i="7"/>
  <c r="DW253" i="7"/>
  <c r="EA253" i="7"/>
  <c r="DV253" i="7"/>
  <c r="BS254" i="7"/>
  <c r="EF253" i="7"/>
  <c r="DZ253" i="7"/>
  <c r="CN253" i="7"/>
  <c r="EC253" i="7"/>
  <c r="DX253" i="7"/>
  <c r="M253" i="7"/>
  <c r="CK256" i="7"/>
  <c r="DF255" i="7"/>
  <c r="BT255" i="7"/>
  <c r="CO254" i="7"/>
  <c r="EO254" i="7"/>
  <c r="E243" i="7"/>
  <c r="BL243" i="7"/>
  <c r="AL244" i="7"/>
  <c r="BN253" i="7"/>
  <c r="CH254" i="7"/>
  <c r="DC253" i="7"/>
  <c r="AO254" i="7"/>
  <c r="CG255" i="7"/>
  <c r="DB254" i="7"/>
  <c r="CA255" i="7"/>
  <c r="CV254" i="7"/>
  <c r="BI253" i="7"/>
  <c r="BV255" i="7"/>
  <c r="CQ254" i="7"/>
  <c r="CJ255" i="7"/>
  <c r="DE254" i="7"/>
  <c r="DI251" i="7"/>
  <c r="DI252" i="7" s="1"/>
  <c r="CE254" i="7"/>
  <c r="CZ253" i="7"/>
  <c r="AM253" i="7"/>
  <c r="BG253" i="7" s="1"/>
  <c r="BO251" i="7"/>
  <c r="BH252" i="7"/>
  <c r="BY256" i="7"/>
  <c r="CT255" i="7"/>
  <c r="BP252" i="7" l="1"/>
  <c r="BY257" i="7"/>
  <c r="CT256" i="7"/>
  <c r="CE255" i="7"/>
  <c r="CZ254" i="7"/>
  <c r="AM254" i="7"/>
  <c r="CA256" i="7"/>
  <c r="CV255" i="7"/>
  <c r="BV256" i="7"/>
  <c r="CQ255" i="7"/>
  <c r="CH255" i="7"/>
  <c r="DC254" i="7"/>
  <c r="BN254" i="7"/>
  <c r="EA254" i="7"/>
  <c r="DV254" i="7"/>
  <c r="BS255" i="7"/>
  <c r="EF254" i="7"/>
  <c r="DZ254" i="7"/>
  <c r="CN254" i="7"/>
  <c r="EC254" i="7"/>
  <c r="DX254" i="7"/>
  <c r="DW254" i="7"/>
  <c r="EB254" i="7"/>
  <c r="M254" i="7"/>
  <c r="BF252" i="7"/>
  <c r="BE252" i="7"/>
  <c r="BD252" i="7"/>
  <c r="P254" i="7"/>
  <c r="N255" i="7" s="1"/>
  <c r="CB256" i="7"/>
  <c r="CW255" i="7"/>
  <c r="D244" i="7"/>
  <c r="BK244" i="7"/>
  <c r="AK245" i="7"/>
  <c r="CG256" i="7"/>
  <c r="DB255" i="7"/>
  <c r="AO255" i="7"/>
  <c r="CK257" i="7"/>
  <c r="DF256" i="7"/>
  <c r="BO252" i="7"/>
  <c r="BQ252" i="7" s="1"/>
  <c r="C244" i="7"/>
  <c r="F244" i="7" s="1"/>
  <c r="BJ244" i="7"/>
  <c r="BM244" i="7" s="1"/>
  <c r="B244" i="7" s="1"/>
  <c r="AJ245" i="7"/>
  <c r="CF255" i="7"/>
  <c r="DA254" i="7"/>
  <c r="AN254" i="7"/>
  <c r="BW256" i="7"/>
  <c r="CR255" i="7"/>
  <c r="BX256" i="7"/>
  <c r="CS255" i="7"/>
  <c r="CJ256" i="7"/>
  <c r="DE255" i="7"/>
  <c r="BL244" i="7"/>
  <c r="E244" i="7"/>
  <c r="AL245" i="7"/>
  <c r="BB253" i="7"/>
  <c r="DQ253" i="7" s="1"/>
  <c r="AX253" i="7"/>
  <c r="DM253" i="7" s="1"/>
  <c r="AT253" i="7"/>
  <c r="BA253" i="7"/>
  <c r="DP253" i="7" s="1"/>
  <c r="AW253" i="7"/>
  <c r="DL253" i="7" s="1"/>
  <c r="AZ253" i="7"/>
  <c r="DO253" i="7" s="1"/>
  <c r="AV253" i="7"/>
  <c r="DK253" i="7" s="1"/>
  <c r="BC253" i="7"/>
  <c r="DR253" i="7" s="1"/>
  <c r="AY253" i="7"/>
  <c r="DN253" i="7" s="1"/>
  <c r="AU253" i="7"/>
  <c r="DJ253" i="7" s="1"/>
  <c r="AG253" i="7"/>
  <c r="AH253" i="7"/>
  <c r="AF253" i="7"/>
  <c r="AI253" i="7" s="1"/>
  <c r="CI256" i="7"/>
  <c r="DD255" i="7"/>
  <c r="DS255" i="7"/>
  <c r="CM256" i="7"/>
  <c r="DH255" i="7"/>
  <c r="BZ256" i="7"/>
  <c r="CU255" i="7"/>
  <c r="EN255" i="7"/>
  <c r="CD256" i="7"/>
  <c r="CY255" i="7"/>
  <c r="BP251" i="7"/>
  <c r="BQ251" i="7" s="1"/>
  <c r="EO255" i="7"/>
  <c r="BT256" i="7"/>
  <c r="CO255" i="7"/>
  <c r="BU257" i="7"/>
  <c r="CP256" i="7"/>
  <c r="DG256" i="7"/>
  <c r="EM256" i="7"/>
  <c r="CL257" i="7"/>
  <c r="H250" i="7"/>
  <c r="G250" i="7"/>
  <c r="CC257" i="7"/>
  <c r="CX256" i="7"/>
  <c r="N254" i="7"/>
  <c r="G251" i="7" l="1"/>
  <c r="H251" i="7"/>
  <c r="DH256" i="7"/>
  <c r="CM257" i="7"/>
  <c r="BX257" i="7"/>
  <c r="CS256" i="7"/>
  <c r="BK245" i="7"/>
  <c r="D245" i="7"/>
  <c r="AK246" i="7"/>
  <c r="CB257" i="7"/>
  <c r="CW256" i="7"/>
  <c r="CE256" i="7"/>
  <c r="CZ255" i="7"/>
  <c r="AM255" i="7"/>
  <c r="AR254" i="7"/>
  <c r="BI254" i="7" s="1"/>
  <c r="AQ254" i="7"/>
  <c r="AP254" i="7"/>
  <c r="EM257" i="7"/>
  <c r="DG257" i="7"/>
  <c r="CL258" i="7"/>
  <c r="BU258" i="7"/>
  <c r="CP257" i="7"/>
  <c r="P255" i="7"/>
  <c r="BL245" i="7"/>
  <c r="E245" i="7"/>
  <c r="AL246" i="7"/>
  <c r="AN255" i="7"/>
  <c r="CF256" i="7"/>
  <c r="DA255" i="7"/>
  <c r="H252" i="7"/>
  <c r="G252" i="7"/>
  <c r="BV257" i="7"/>
  <c r="CQ256" i="7"/>
  <c r="CV256" i="7"/>
  <c r="CA257" i="7"/>
  <c r="BF253" i="7"/>
  <c r="BE253" i="7"/>
  <c r="BD253" i="7"/>
  <c r="CJ257" i="7"/>
  <c r="DE256" i="7"/>
  <c r="CR256" i="7"/>
  <c r="BW257" i="7"/>
  <c r="C245" i="7"/>
  <c r="F245" i="7" s="1"/>
  <c r="BJ245" i="7"/>
  <c r="BM245" i="7" s="1"/>
  <c r="B245" i="7" s="1"/>
  <c r="AJ246" i="7"/>
  <c r="AR255" i="7"/>
  <c r="BI255" i="7" s="1"/>
  <c r="AQ255" i="7"/>
  <c r="AP255" i="7"/>
  <c r="BA254" i="7"/>
  <c r="DP254" i="7" s="1"/>
  <c r="AW254" i="7"/>
  <c r="DL254" i="7" s="1"/>
  <c r="AZ254" i="7"/>
  <c r="DO254" i="7" s="1"/>
  <c r="AV254" i="7"/>
  <c r="DK254" i="7" s="1"/>
  <c r="BC254" i="7"/>
  <c r="DR254" i="7" s="1"/>
  <c r="AY254" i="7"/>
  <c r="DN254" i="7" s="1"/>
  <c r="AU254" i="7"/>
  <c r="DJ254" i="7" s="1"/>
  <c r="AX254" i="7"/>
  <c r="DM254" i="7" s="1"/>
  <c r="AT254" i="7"/>
  <c r="BB254" i="7"/>
  <c r="DQ254" i="7" s="1"/>
  <c r="AF254" i="7"/>
  <c r="AI254" i="7" s="1"/>
  <c r="AG254" i="7"/>
  <c r="AH254" i="7"/>
  <c r="BS256" i="7"/>
  <c r="EF255" i="7"/>
  <c r="DZ255" i="7"/>
  <c r="CN255" i="7"/>
  <c r="EC255" i="7"/>
  <c r="DX255" i="7"/>
  <c r="EB255" i="7"/>
  <c r="DW255" i="7"/>
  <c r="EA255" i="7"/>
  <c r="DV255" i="7"/>
  <c r="M255" i="7"/>
  <c r="DI253" i="7"/>
  <c r="DI254" i="7" s="1"/>
  <c r="BG254" i="7"/>
  <c r="BY258" i="7"/>
  <c r="CT257" i="7"/>
  <c r="CC258" i="7"/>
  <c r="CX257" i="7"/>
  <c r="BZ257" i="7"/>
  <c r="CU256" i="7"/>
  <c r="EN256" i="7"/>
  <c r="EO256" i="7"/>
  <c r="BT257" i="7"/>
  <c r="CO256" i="7"/>
  <c r="CD257" i="7"/>
  <c r="CY256" i="7"/>
  <c r="DS256" i="7"/>
  <c r="CI257" i="7"/>
  <c r="DD256" i="7"/>
  <c r="BH254" i="7"/>
  <c r="CK258" i="7"/>
  <c r="DF257" i="7"/>
  <c r="CG257" i="7"/>
  <c r="DB256" i="7"/>
  <c r="AO256" i="7"/>
  <c r="BO253" i="7"/>
  <c r="CH256" i="7"/>
  <c r="DC255" i="7"/>
  <c r="BN255" i="7"/>
  <c r="BP254" i="7" l="1"/>
  <c r="CG258" i="7"/>
  <c r="DB257" i="7"/>
  <c r="AO257" i="7"/>
  <c r="BO254" i="7"/>
  <c r="BQ254" i="7" s="1"/>
  <c r="BE254" i="7"/>
  <c r="BD254" i="7"/>
  <c r="BF254" i="7"/>
  <c r="BV258" i="7"/>
  <c r="CQ257" i="7"/>
  <c r="E246" i="7"/>
  <c r="BL246" i="7"/>
  <c r="AL247" i="7"/>
  <c r="BG255" i="7"/>
  <c r="CB258" i="7"/>
  <c r="CW257" i="7"/>
  <c r="BP253" i="7"/>
  <c r="CD258" i="7"/>
  <c r="CY257" i="7"/>
  <c r="CC259" i="7"/>
  <c r="CX258" i="7"/>
  <c r="CI258" i="7"/>
  <c r="DD257" i="7"/>
  <c r="DS257" i="7"/>
  <c r="CJ258" i="7"/>
  <c r="DE257" i="7"/>
  <c r="CA258" i="7"/>
  <c r="CV257" i="7"/>
  <c r="BK246" i="7"/>
  <c r="D246" i="7"/>
  <c r="AK247" i="7"/>
  <c r="BX258" i="7"/>
  <c r="CS257" i="7"/>
  <c r="CH257" i="7"/>
  <c r="DC256" i="7"/>
  <c r="BN256" i="7"/>
  <c r="BQ253" i="7"/>
  <c r="AZ255" i="7"/>
  <c r="DO255" i="7" s="1"/>
  <c r="AV255" i="7"/>
  <c r="DK255" i="7" s="1"/>
  <c r="BC255" i="7"/>
  <c r="DR255" i="7" s="1"/>
  <c r="AY255" i="7"/>
  <c r="DN255" i="7" s="1"/>
  <c r="AU255" i="7"/>
  <c r="DJ255" i="7" s="1"/>
  <c r="BB255" i="7"/>
  <c r="DQ255" i="7" s="1"/>
  <c r="AX255" i="7"/>
  <c r="DM255" i="7" s="1"/>
  <c r="AT255" i="7"/>
  <c r="DI255" i="7" s="1"/>
  <c r="BA255" i="7"/>
  <c r="DP255" i="7" s="1"/>
  <c r="AW255" i="7"/>
  <c r="DL255" i="7" s="1"/>
  <c r="AF255" i="7"/>
  <c r="AI255" i="7" s="1"/>
  <c r="AH255" i="7"/>
  <c r="AG255" i="7"/>
  <c r="CK259" i="7"/>
  <c r="DF258" i="7"/>
  <c r="P256" i="7"/>
  <c r="BT258" i="7"/>
  <c r="CO257" i="7"/>
  <c r="EO257" i="7"/>
  <c r="EN257" i="7"/>
  <c r="BZ258" i="7"/>
  <c r="CU257" i="7"/>
  <c r="BY259" i="7"/>
  <c r="CT258" i="7"/>
  <c r="BW258" i="7"/>
  <c r="CR257" i="7"/>
  <c r="CF257" i="7"/>
  <c r="DA256" i="7"/>
  <c r="AN256" i="7"/>
  <c r="BU259" i="7"/>
  <c r="CP258" i="7"/>
  <c r="AM256" i="7"/>
  <c r="CZ256" i="7"/>
  <c r="CE257" i="7"/>
  <c r="CM258" i="7"/>
  <c r="DH257" i="7"/>
  <c r="EC256" i="7"/>
  <c r="DX256" i="7"/>
  <c r="EB256" i="7"/>
  <c r="DW256" i="7"/>
  <c r="EA256" i="7"/>
  <c r="DV256" i="7"/>
  <c r="BS257" i="7"/>
  <c r="EF256" i="7"/>
  <c r="DZ256" i="7"/>
  <c r="CN256" i="7"/>
  <c r="BO255" i="7" s="1"/>
  <c r="M256" i="7"/>
  <c r="BJ246" i="7"/>
  <c r="BM246" i="7" s="1"/>
  <c r="B246" i="7" s="1"/>
  <c r="C246" i="7"/>
  <c r="F246" i="7" s="1"/>
  <c r="AJ247" i="7"/>
  <c r="BH255" i="7"/>
  <c r="N256" i="7"/>
  <c r="EM258" i="7"/>
  <c r="DG258" i="7"/>
  <c r="CL259" i="7"/>
  <c r="BP255" i="7" l="1"/>
  <c r="BQ255" i="7" s="1"/>
  <c r="AQ256" i="7"/>
  <c r="AP256" i="7"/>
  <c r="BG256" i="7" s="1"/>
  <c r="AR256" i="7"/>
  <c r="BI256" i="7" s="1"/>
  <c r="N257" i="7"/>
  <c r="CJ259" i="7"/>
  <c r="DE258" i="7"/>
  <c r="E247" i="7"/>
  <c r="BL247" i="7"/>
  <c r="AL248" i="7"/>
  <c r="BV259" i="7"/>
  <c r="CQ258" i="7"/>
  <c r="H254" i="7"/>
  <c r="G254" i="7"/>
  <c r="DG259" i="7"/>
  <c r="EM259" i="7"/>
  <c r="CL260" i="7"/>
  <c r="BC256" i="7"/>
  <c r="DR256" i="7" s="1"/>
  <c r="AY256" i="7"/>
  <c r="DN256" i="7" s="1"/>
  <c r="AU256" i="7"/>
  <c r="DJ256" i="7" s="1"/>
  <c r="BB256" i="7"/>
  <c r="DQ256" i="7" s="1"/>
  <c r="AX256" i="7"/>
  <c r="DM256" i="7" s="1"/>
  <c r="AT256" i="7"/>
  <c r="DI256" i="7" s="1"/>
  <c r="BA256" i="7"/>
  <c r="DP256" i="7" s="1"/>
  <c r="AW256" i="7"/>
  <c r="DL256" i="7" s="1"/>
  <c r="AZ256" i="7"/>
  <c r="DO256" i="7" s="1"/>
  <c r="AV256" i="7"/>
  <c r="DK256" i="7" s="1"/>
  <c r="AH256" i="7"/>
  <c r="AG256" i="7"/>
  <c r="AF256" i="7"/>
  <c r="AI256" i="7" s="1"/>
  <c r="EB257" i="7"/>
  <c r="DW257" i="7"/>
  <c r="EA257" i="7"/>
  <c r="DV257" i="7"/>
  <c r="BS258" i="7"/>
  <c r="EF257" i="7"/>
  <c r="DZ257" i="7"/>
  <c r="CN257" i="7"/>
  <c r="EC257" i="7"/>
  <c r="DX257" i="7"/>
  <c r="M257" i="7"/>
  <c r="CM259" i="7"/>
  <c r="DH258" i="7"/>
  <c r="CF258" i="7"/>
  <c r="DA257" i="7"/>
  <c r="AN257" i="7"/>
  <c r="BY260" i="7"/>
  <c r="CT259" i="7"/>
  <c r="BX259" i="7"/>
  <c r="CS258" i="7"/>
  <c r="P257" i="7"/>
  <c r="CC260" i="7"/>
  <c r="CX259" i="7"/>
  <c r="BJ247" i="7"/>
  <c r="BM247" i="7" s="1"/>
  <c r="B247" i="7" s="1"/>
  <c r="C247" i="7"/>
  <c r="F247" i="7" s="1"/>
  <c r="AJ248" i="7"/>
  <c r="CE258" i="7"/>
  <c r="CZ257" i="7"/>
  <c r="AM257" i="7"/>
  <c r="D247" i="7"/>
  <c r="BK247" i="7"/>
  <c r="AK248" i="7"/>
  <c r="CA259" i="7"/>
  <c r="CV258" i="7"/>
  <c r="CB259" i="7"/>
  <c r="CW258" i="7"/>
  <c r="BU260" i="7"/>
  <c r="CP259" i="7"/>
  <c r="BH256" i="7"/>
  <c r="BW259" i="7"/>
  <c r="CR258" i="7"/>
  <c r="BZ259" i="7"/>
  <c r="CU258" i="7"/>
  <c r="EN258" i="7"/>
  <c r="BT259" i="7"/>
  <c r="CO258" i="7"/>
  <c r="EO258" i="7"/>
  <c r="CK260" i="7"/>
  <c r="DF259" i="7"/>
  <c r="BD255" i="7"/>
  <c r="BF255" i="7"/>
  <c r="BE255" i="7"/>
  <c r="H253" i="7"/>
  <c r="G253" i="7"/>
  <c r="BN257" i="7"/>
  <c r="CH258" i="7"/>
  <c r="DC257" i="7"/>
  <c r="CI259" i="7"/>
  <c r="DD258" i="7"/>
  <c r="DS258" i="7"/>
  <c r="CD259" i="7"/>
  <c r="CY258" i="7"/>
  <c r="AO258" i="7"/>
  <c r="CG259" i="7"/>
  <c r="DB258" i="7"/>
  <c r="BP256" i="7" l="1"/>
  <c r="G255" i="7"/>
  <c r="H255" i="7"/>
  <c r="CG260" i="7"/>
  <c r="DB259" i="7"/>
  <c r="AO259" i="7"/>
  <c r="D248" i="7"/>
  <c r="BK248" i="7"/>
  <c r="AK249" i="7"/>
  <c r="BB257" i="7"/>
  <c r="DQ257" i="7" s="1"/>
  <c r="AX257" i="7"/>
  <c r="DM257" i="7" s="1"/>
  <c r="AT257" i="7"/>
  <c r="BA257" i="7"/>
  <c r="DP257" i="7" s="1"/>
  <c r="AW257" i="7"/>
  <c r="DL257" i="7" s="1"/>
  <c r="AZ257" i="7"/>
  <c r="DO257" i="7" s="1"/>
  <c r="AV257" i="7"/>
  <c r="DK257" i="7" s="1"/>
  <c r="BC257" i="7"/>
  <c r="DR257" i="7" s="1"/>
  <c r="AY257" i="7"/>
  <c r="DN257" i="7" s="1"/>
  <c r="AU257" i="7"/>
  <c r="DJ257" i="7" s="1"/>
  <c r="AH257" i="7"/>
  <c r="AF257" i="7"/>
  <c r="AI257" i="7" s="1"/>
  <c r="AG257" i="7"/>
  <c r="DG260" i="7"/>
  <c r="EM260" i="7"/>
  <c r="CL261" i="7"/>
  <c r="AP257" i="7"/>
  <c r="AR257" i="7"/>
  <c r="BI257" i="7" s="1"/>
  <c r="AQ257" i="7"/>
  <c r="CD260" i="7"/>
  <c r="CY259" i="7"/>
  <c r="CB260" i="7"/>
  <c r="CW259" i="7"/>
  <c r="CE259" i="7"/>
  <c r="CZ258" i="7"/>
  <c r="AM258" i="7"/>
  <c r="N258" i="7"/>
  <c r="CF259" i="7"/>
  <c r="DA258" i="7"/>
  <c r="AN258" i="7"/>
  <c r="P258" i="7"/>
  <c r="CH259" i="7"/>
  <c r="DC258" i="7"/>
  <c r="BN258" i="7"/>
  <c r="CK261" i="7"/>
  <c r="DF260" i="7"/>
  <c r="BW260" i="7"/>
  <c r="CR259" i="7"/>
  <c r="CI260" i="7"/>
  <c r="DD259" i="7"/>
  <c r="DS259" i="7"/>
  <c r="BZ260" i="7"/>
  <c r="CU259" i="7"/>
  <c r="EN259" i="7"/>
  <c r="C248" i="7"/>
  <c r="F248" i="7" s="1"/>
  <c r="BJ248" i="7"/>
  <c r="BM248" i="7" s="1"/>
  <c r="B248" i="7" s="1"/>
  <c r="AJ249" i="7"/>
  <c r="BY261" i="7"/>
  <c r="CT260" i="7"/>
  <c r="EA258" i="7"/>
  <c r="DV258" i="7"/>
  <c r="BS259" i="7"/>
  <c r="EF258" i="7"/>
  <c r="DZ258" i="7"/>
  <c r="CN258" i="7"/>
  <c r="BO257" i="7" s="1"/>
  <c r="EC258" i="7"/>
  <c r="DX258" i="7"/>
  <c r="DW258" i="7"/>
  <c r="EB258" i="7"/>
  <c r="M258" i="7"/>
  <c r="BF256" i="7"/>
  <c r="BE256" i="7"/>
  <c r="BD256" i="7"/>
  <c r="BV260" i="7"/>
  <c r="CQ259" i="7"/>
  <c r="EO259" i="7"/>
  <c r="BT260" i="7"/>
  <c r="CO259" i="7"/>
  <c r="BU261" i="7"/>
  <c r="CP260" i="7"/>
  <c r="CA260" i="7"/>
  <c r="CV259" i="7"/>
  <c r="BG257" i="7"/>
  <c r="CC261" i="7"/>
  <c r="CX260" i="7"/>
  <c r="BX260" i="7"/>
  <c r="CS259" i="7"/>
  <c r="BH257" i="7"/>
  <c r="CM260" i="7"/>
  <c r="DH259" i="7"/>
  <c r="BO256" i="7"/>
  <c r="BQ256" i="7" s="1"/>
  <c r="BL248" i="7"/>
  <c r="E248" i="7"/>
  <c r="AL249" i="7"/>
  <c r="CJ260" i="7"/>
  <c r="DE259" i="7"/>
  <c r="BL249" i="7" l="1"/>
  <c r="E249" i="7"/>
  <c r="AL250" i="7"/>
  <c r="BX261" i="7"/>
  <c r="CS260" i="7"/>
  <c r="DH260" i="7"/>
  <c r="CM261" i="7"/>
  <c r="CV260" i="7"/>
  <c r="CA261" i="7"/>
  <c r="EO260" i="7"/>
  <c r="BT261" i="7"/>
  <c r="CO260" i="7"/>
  <c r="C249" i="7"/>
  <c r="F249" i="7" s="1"/>
  <c r="BJ249" i="7"/>
  <c r="BM249" i="7" s="1"/>
  <c r="B249" i="7" s="1"/>
  <c r="AJ250" i="7"/>
  <c r="DS260" i="7"/>
  <c r="CI261" i="7"/>
  <c r="DD260" i="7"/>
  <c r="CK262" i="7"/>
  <c r="DF261" i="7"/>
  <c r="AN259" i="7"/>
  <c r="CF260" i="7"/>
  <c r="DA259" i="7"/>
  <c r="CE260" i="7"/>
  <c r="CZ259" i="7"/>
  <c r="AM259" i="7"/>
  <c r="BZ261" i="7"/>
  <c r="CU260" i="7"/>
  <c r="EN260" i="7"/>
  <c r="N259" i="7"/>
  <c r="AR258" i="7"/>
  <c r="BI258" i="7" s="1"/>
  <c r="AQ258" i="7"/>
  <c r="AP258" i="7"/>
  <c r="EM261" i="7"/>
  <c r="DG261" i="7"/>
  <c r="CL262" i="7"/>
  <c r="BK249" i="7"/>
  <c r="D249" i="7"/>
  <c r="AK250" i="7"/>
  <c r="CC262" i="7"/>
  <c r="CX261" i="7"/>
  <c r="CJ261" i="7"/>
  <c r="DE260" i="7"/>
  <c r="H256" i="7"/>
  <c r="G256" i="7"/>
  <c r="BU262" i="7"/>
  <c r="CP261" i="7"/>
  <c r="P259" i="7"/>
  <c r="CR260" i="7"/>
  <c r="BW261" i="7"/>
  <c r="BH258" i="7"/>
  <c r="BG258" i="7"/>
  <c r="CB261" i="7"/>
  <c r="CW260" i="7"/>
  <c r="CD261" i="7"/>
  <c r="CY260" i="7"/>
  <c r="BF257" i="7"/>
  <c r="BE257" i="7"/>
  <c r="BD257" i="7"/>
  <c r="CG261" i="7"/>
  <c r="DB260" i="7"/>
  <c r="AO260" i="7"/>
  <c r="BV261" i="7"/>
  <c r="CQ260" i="7"/>
  <c r="BA258" i="7"/>
  <c r="DP258" i="7" s="1"/>
  <c r="AW258" i="7"/>
  <c r="DL258" i="7" s="1"/>
  <c r="AZ258" i="7"/>
  <c r="DO258" i="7" s="1"/>
  <c r="AV258" i="7"/>
  <c r="DK258" i="7" s="1"/>
  <c r="BC258" i="7"/>
  <c r="DR258" i="7" s="1"/>
  <c r="AY258" i="7"/>
  <c r="DN258" i="7" s="1"/>
  <c r="AU258" i="7"/>
  <c r="DJ258" i="7" s="1"/>
  <c r="AX258" i="7"/>
  <c r="DM258" i="7" s="1"/>
  <c r="AT258" i="7"/>
  <c r="BB258" i="7"/>
  <c r="DQ258" i="7" s="1"/>
  <c r="AG258" i="7"/>
  <c r="AH258" i="7"/>
  <c r="AF258" i="7"/>
  <c r="AI258" i="7" s="1"/>
  <c r="BS260" i="7"/>
  <c r="EF259" i="7"/>
  <c r="DZ259" i="7"/>
  <c r="CN259" i="7"/>
  <c r="EC259" i="7"/>
  <c r="DX259" i="7"/>
  <c r="EB259" i="7"/>
  <c r="DW259" i="7"/>
  <c r="EA259" i="7"/>
  <c r="DV259" i="7"/>
  <c r="M259" i="7"/>
  <c r="BY262" i="7"/>
  <c r="CT261" i="7"/>
  <c r="CH260" i="7"/>
  <c r="DC259" i="7"/>
  <c r="BN259" i="7"/>
  <c r="DI257" i="7"/>
  <c r="DI258" i="7" s="1"/>
  <c r="BP258" i="7" l="1"/>
  <c r="CH261" i="7"/>
  <c r="DC260" i="7"/>
  <c r="BN260" i="7"/>
  <c r="BV262" i="7"/>
  <c r="CQ261" i="7"/>
  <c r="CD262" i="7"/>
  <c r="CY261" i="7"/>
  <c r="CC263" i="7"/>
  <c r="CX262" i="7"/>
  <c r="EM262" i="7"/>
  <c r="DG262" i="7"/>
  <c r="CL263" i="7"/>
  <c r="CI262" i="7"/>
  <c r="DD261" i="7"/>
  <c r="DS261" i="7"/>
  <c r="CA262" i="7"/>
  <c r="CV261" i="7"/>
  <c r="EC260" i="7"/>
  <c r="DX260" i="7"/>
  <c r="EB260" i="7"/>
  <c r="DW260" i="7"/>
  <c r="EA260" i="7"/>
  <c r="DV260" i="7"/>
  <c r="BS261" i="7"/>
  <c r="EF260" i="7"/>
  <c r="DZ260" i="7"/>
  <c r="CN260" i="7"/>
  <c r="M260" i="7"/>
  <c r="BW262" i="7"/>
  <c r="CR261" i="7"/>
  <c r="D250" i="7"/>
  <c r="BK250" i="7"/>
  <c r="AK251" i="7"/>
  <c r="AR259" i="7"/>
  <c r="BI259" i="7" s="1"/>
  <c r="AQ259" i="7"/>
  <c r="BH259" i="7" s="1"/>
  <c r="AP259" i="7"/>
  <c r="EN261" i="7"/>
  <c r="BZ262" i="7"/>
  <c r="CU261" i="7"/>
  <c r="AM260" i="7"/>
  <c r="CZ260" i="7"/>
  <c r="CE261" i="7"/>
  <c r="P260" i="7"/>
  <c r="N261" i="7" s="1"/>
  <c r="BX262" i="7"/>
  <c r="CS261" i="7"/>
  <c r="BO258" i="7"/>
  <c r="BQ258" i="7" s="1"/>
  <c r="BE258" i="7"/>
  <c r="BD258" i="7"/>
  <c r="BF258" i="7"/>
  <c r="CB262" i="7"/>
  <c r="CW261" i="7"/>
  <c r="BU263" i="7"/>
  <c r="CP262" i="7"/>
  <c r="CJ262" i="7"/>
  <c r="DE261" i="7"/>
  <c r="CK263" i="7"/>
  <c r="DF262" i="7"/>
  <c r="BJ250" i="7"/>
  <c r="BM250" i="7" s="1"/>
  <c r="B250" i="7" s="1"/>
  <c r="C250" i="7"/>
  <c r="F250" i="7" s="1"/>
  <c r="AJ251" i="7"/>
  <c r="BT262" i="7"/>
  <c r="CO261" i="7"/>
  <c r="EO261" i="7"/>
  <c r="CM262" i="7"/>
  <c r="DH261" i="7"/>
  <c r="BL250" i="7"/>
  <c r="E250" i="7"/>
  <c r="AL251" i="7"/>
  <c r="BP257" i="7"/>
  <c r="BQ257" i="7" s="1"/>
  <c r="BY263" i="7"/>
  <c r="CT262" i="7"/>
  <c r="AZ259" i="7"/>
  <c r="DO259" i="7" s="1"/>
  <c r="AV259" i="7"/>
  <c r="DK259" i="7" s="1"/>
  <c r="BC259" i="7"/>
  <c r="DR259" i="7" s="1"/>
  <c r="AY259" i="7"/>
  <c r="DN259" i="7" s="1"/>
  <c r="AU259" i="7"/>
  <c r="DJ259" i="7" s="1"/>
  <c r="BB259" i="7"/>
  <c r="DQ259" i="7" s="1"/>
  <c r="AX259" i="7"/>
  <c r="DM259" i="7" s="1"/>
  <c r="AT259" i="7"/>
  <c r="BA259" i="7"/>
  <c r="DP259" i="7" s="1"/>
  <c r="AW259" i="7"/>
  <c r="DL259" i="7" s="1"/>
  <c r="AG259" i="7"/>
  <c r="AF259" i="7"/>
  <c r="AI259" i="7" s="1"/>
  <c r="AH259" i="7"/>
  <c r="CG262" i="7"/>
  <c r="DB261" i="7"/>
  <c r="AO261" i="7"/>
  <c r="N260" i="7"/>
  <c r="BG259" i="7"/>
  <c r="CF261" i="7"/>
  <c r="DA260" i="7"/>
  <c r="AN260" i="7"/>
  <c r="AP261" i="7" l="1"/>
  <c r="AR261" i="7"/>
  <c r="AQ261" i="7"/>
  <c r="BC260" i="7"/>
  <c r="DR260" i="7" s="1"/>
  <c r="AY260" i="7"/>
  <c r="DN260" i="7" s="1"/>
  <c r="AU260" i="7"/>
  <c r="DJ260" i="7" s="1"/>
  <c r="BB260" i="7"/>
  <c r="DQ260" i="7" s="1"/>
  <c r="AX260" i="7"/>
  <c r="DM260" i="7" s="1"/>
  <c r="AT260" i="7"/>
  <c r="BA260" i="7"/>
  <c r="DP260" i="7" s="1"/>
  <c r="AW260" i="7"/>
  <c r="DL260" i="7" s="1"/>
  <c r="AZ260" i="7"/>
  <c r="DO260" i="7" s="1"/>
  <c r="AV260" i="7"/>
  <c r="DK260" i="7" s="1"/>
  <c r="AG260" i="7"/>
  <c r="AH260" i="7"/>
  <c r="AF260" i="7"/>
  <c r="AI260" i="7" s="1"/>
  <c r="EB261" i="7"/>
  <c r="DW261" i="7"/>
  <c r="EA261" i="7"/>
  <c r="DV261" i="7"/>
  <c r="BS262" i="7"/>
  <c r="EF261" i="7"/>
  <c r="DZ261" i="7"/>
  <c r="CN261" i="7"/>
  <c r="EC261" i="7"/>
  <c r="DX261" i="7"/>
  <c r="M261" i="7"/>
  <c r="CI263" i="7"/>
  <c r="DD262" i="7"/>
  <c r="DS262" i="7"/>
  <c r="CD263" i="7"/>
  <c r="CY262" i="7"/>
  <c r="BI261" i="7"/>
  <c r="AO262" i="7"/>
  <c r="CG263" i="7"/>
  <c r="DB262" i="7"/>
  <c r="CJ263" i="7"/>
  <c r="DE262" i="7"/>
  <c r="CB263" i="7"/>
  <c r="CW262" i="7"/>
  <c r="H258" i="7"/>
  <c r="G258" i="7"/>
  <c r="BO259" i="7"/>
  <c r="CA263" i="7"/>
  <c r="CV262" i="7"/>
  <c r="BN261" i="7"/>
  <c r="CH262" i="7"/>
  <c r="DC261" i="7"/>
  <c r="CF262" i="7"/>
  <c r="DA261" i="7"/>
  <c r="AN261" i="7"/>
  <c r="BH261" i="7" s="1"/>
  <c r="BY264" i="7"/>
  <c r="CT263" i="7"/>
  <c r="BH260" i="7"/>
  <c r="AQ260" i="7"/>
  <c r="AP260" i="7"/>
  <c r="BG260" i="7" s="1"/>
  <c r="AR260" i="7"/>
  <c r="BI260" i="7" s="1"/>
  <c r="H257" i="7"/>
  <c r="G257" i="7"/>
  <c r="BT263" i="7"/>
  <c r="CO262" i="7"/>
  <c r="EO262" i="7"/>
  <c r="CE262" i="7"/>
  <c r="CZ261" i="7"/>
  <c r="AM261" i="7"/>
  <c r="BG261" i="7" s="1"/>
  <c r="BZ263" i="7"/>
  <c r="CU262" i="7"/>
  <c r="EN262" i="7"/>
  <c r="BK251" i="7"/>
  <c r="D251" i="7"/>
  <c r="AK252" i="7"/>
  <c r="BW263" i="7"/>
  <c r="CR262" i="7"/>
  <c r="P261" i="7"/>
  <c r="N262" i="7" s="1"/>
  <c r="DG263" i="7"/>
  <c r="EM263" i="7"/>
  <c r="CL264" i="7"/>
  <c r="CC264" i="7"/>
  <c r="CX263" i="7"/>
  <c r="BV263" i="7"/>
  <c r="CQ262" i="7"/>
  <c r="BD259" i="7"/>
  <c r="BF259" i="7"/>
  <c r="BE259" i="7"/>
  <c r="BL251" i="7"/>
  <c r="E251" i="7"/>
  <c r="AL252" i="7"/>
  <c r="CM263" i="7"/>
  <c r="DH262" i="7"/>
  <c r="C251" i="7"/>
  <c r="F251" i="7" s="1"/>
  <c r="BJ251" i="7"/>
  <c r="BM251" i="7" s="1"/>
  <c r="B251" i="7" s="1"/>
  <c r="AJ252" i="7"/>
  <c r="CK264" i="7"/>
  <c r="DF263" i="7"/>
  <c r="BU264" i="7"/>
  <c r="CP263" i="7"/>
  <c r="BX263" i="7"/>
  <c r="CS262" i="7"/>
  <c r="DI259" i="7"/>
  <c r="DI260" i="7" s="1"/>
  <c r="BP260" i="7" l="1"/>
  <c r="BK252" i="7"/>
  <c r="D252" i="7"/>
  <c r="AK253" i="7"/>
  <c r="CE263" i="7"/>
  <c r="CZ262" i="7"/>
  <c r="AM262" i="7"/>
  <c r="P262" i="7"/>
  <c r="BP259" i="7"/>
  <c r="CC265" i="7"/>
  <c r="CX264" i="7"/>
  <c r="BX264" i="7"/>
  <c r="CS263" i="7"/>
  <c r="CK265" i="7"/>
  <c r="DF264" i="7"/>
  <c r="DG264" i="7"/>
  <c r="EM264" i="7"/>
  <c r="CL265" i="7"/>
  <c r="AR262" i="7"/>
  <c r="BI262" i="7" s="1"/>
  <c r="AQ262" i="7"/>
  <c r="AP262" i="7"/>
  <c r="BZ264" i="7"/>
  <c r="CU263" i="7"/>
  <c r="EN263" i="7"/>
  <c r="CF263" i="7"/>
  <c r="DA262" i="7"/>
  <c r="AN262" i="7"/>
  <c r="BH262" i="7" s="1"/>
  <c r="CJ264" i="7"/>
  <c r="DE263" i="7"/>
  <c r="EA262" i="7"/>
  <c r="DV262" i="7"/>
  <c r="BS263" i="7"/>
  <c r="EF262" i="7"/>
  <c r="DZ262" i="7"/>
  <c r="CN262" i="7"/>
  <c r="EC262" i="7"/>
  <c r="DX262" i="7"/>
  <c r="DW262" i="7"/>
  <c r="EB262" i="7"/>
  <c r="M262" i="7"/>
  <c r="BF260" i="7"/>
  <c r="BE260" i="7"/>
  <c r="BD260" i="7"/>
  <c r="BJ252" i="7"/>
  <c r="BM252" i="7" s="1"/>
  <c r="B252" i="7" s="1"/>
  <c r="C252" i="7"/>
  <c r="F252" i="7" s="1"/>
  <c r="AJ253" i="7"/>
  <c r="CM264" i="7"/>
  <c r="DH263" i="7"/>
  <c r="BV264" i="7"/>
  <c r="CQ263" i="7"/>
  <c r="BY265" i="7"/>
  <c r="CT264" i="7"/>
  <c r="CA264" i="7"/>
  <c r="CV263" i="7"/>
  <c r="CI264" i="7"/>
  <c r="DD263" i="7"/>
  <c r="DS263" i="7"/>
  <c r="BO260" i="7"/>
  <c r="BQ260" i="7" s="1"/>
  <c r="BU265" i="7"/>
  <c r="CP264" i="7"/>
  <c r="E252" i="7"/>
  <c r="BL252" i="7"/>
  <c r="AL253" i="7"/>
  <c r="BW264" i="7"/>
  <c r="CR263" i="7"/>
  <c r="EO263" i="7"/>
  <c r="BT264" i="7"/>
  <c r="CO263" i="7"/>
  <c r="CH263" i="7"/>
  <c r="DC262" i="7"/>
  <c r="BN262" i="7"/>
  <c r="BQ259" i="7"/>
  <c r="CB264" i="7"/>
  <c r="CW263" i="7"/>
  <c r="CG264" i="7"/>
  <c r="DB263" i="7"/>
  <c r="AO263" i="7"/>
  <c r="CD264" i="7"/>
  <c r="CY263" i="7"/>
  <c r="BB261" i="7"/>
  <c r="DQ261" i="7" s="1"/>
  <c r="AX261" i="7"/>
  <c r="DM261" i="7" s="1"/>
  <c r="AT261" i="7"/>
  <c r="BA261" i="7"/>
  <c r="DP261" i="7" s="1"/>
  <c r="AW261" i="7"/>
  <c r="DL261" i="7" s="1"/>
  <c r="AZ261" i="7"/>
  <c r="DO261" i="7" s="1"/>
  <c r="AV261" i="7"/>
  <c r="DK261" i="7" s="1"/>
  <c r="BC261" i="7"/>
  <c r="DR261" i="7" s="1"/>
  <c r="AY261" i="7"/>
  <c r="DN261" i="7" s="1"/>
  <c r="AU261" i="7"/>
  <c r="DJ261" i="7" s="1"/>
  <c r="AF261" i="7"/>
  <c r="AI261" i="7" s="1"/>
  <c r="AG261" i="7"/>
  <c r="AH261" i="7"/>
  <c r="CB265" i="7" l="1"/>
  <c r="CW264" i="7"/>
  <c r="CH264" i="7"/>
  <c r="DC263" i="7"/>
  <c r="BN263" i="7"/>
  <c r="H260" i="7"/>
  <c r="G260" i="7"/>
  <c r="BJ253" i="7"/>
  <c r="BM253" i="7" s="1"/>
  <c r="B253" i="7" s="1"/>
  <c r="C253" i="7"/>
  <c r="F253" i="7" s="1"/>
  <c r="AJ254" i="7"/>
  <c r="BZ265" i="7"/>
  <c r="CU264" i="7"/>
  <c r="EN264" i="7"/>
  <c r="D253" i="7"/>
  <c r="BK253" i="7"/>
  <c r="AK254" i="7"/>
  <c r="G259" i="7"/>
  <c r="H259" i="7"/>
  <c r="CR264" i="7"/>
  <c r="BW265" i="7"/>
  <c r="P263" i="7"/>
  <c r="CV264" i="7"/>
  <c r="CA265" i="7"/>
  <c r="BV265" i="7"/>
  <c r="CQ264" i="7"/>
  <c r="AN263" i="7"/>
  <c r="CF264" i="7"/>
  <c r="DA263" i="7"/>
  <c r="BX265" i="7"/>
  <c r="CS264" i="7"/>
  <c r="BG262" i="7"/>
  <c r="CG265" i="7"/>
  <c r="DB264" i="7"/>
  <c r="AO264" i="7"/>
  <c r="EO264" i="7"/>
  <c r="BT265" i="7"/>
  <c r="CO264" i="7"/>
  <c r="E253" i="7"/>
  <c r="BL253" i="7"/>
  <c r="AL254" i="7"/>
  <c r="BU266" i="7"/>
  <c r="CP265" i="7"/>
  <c r="BA262" i="7"/>
  <c r="DP262" i="7" s="1"/>
  <c r="AW262" i="7"/>
  <c r="DL262" i="7" s="1"/>
  <c r="AZ262" i="7"/>
  <c r="DO262" i="7" s="1"/>
  <c r="AV262" i="7"/>
  <c r="DK262" i="7" s="1"/>
  <c r="BC262" i="7"/>
  <c r="DR262" i="7" s="1"/>
  <c r="AY262" i="7"/>
  <c r="DN262" i="7" s="1"/>
  <c r="AU262" i="7"/>
  <c r="DJ262" i="7" s="1"/>
  <c r="AX262" i="7"/>
  <c r="DM262" i="7" s="1"/>
  <c r="AT262" i="7"/>
  <c r="BB262" i="7"/>
  <c r="DQ262" i="7" s="1"/>
  <c r="AH262" i="7"/>
  <c r="AF262" i="7"/>
  <c r="AI262" i="7" s="1"/>
  <c r="AG262" i="7"/>
  <c r="BS264" i="7"/>
  <c r="EF263" i="7"/>
  <c r="DZ263" i="7"/>
  <c r="CN263" i="7"/>
  <c r="EC263" i="7"/>
  <c r="DX263" i="7"/>
  <c r="EB263" i="7"/>
  <c r="DW263" i="7"/>
  <c r="EA263" i="7"/>
  <c r="DV263" i="7"/>
  <c r="M263" i="7"/>
  <c r="CJ265" i="7"/>
  <c r="DE264" i="7"/>
  <c r="N263" i="7"/>
  <c r="BF261" i="7"/>
  <c r="BE261" i="7"/>
  <c r="BD261" i="7"/>
  <c r="CD265" i="7"/>
  <c r="CY264" i="7"/>
  <c r="DI261" i="7"/>
  <c r="DI262" i="7" s="1"/>
  <c r="DS264" i="7"/>
  <c r="CI265" i="7"/>
  <c r="DD264" i="7"/>
  <c r="BY266" i="7"/>
  <c r="CT265" i="7"/>
  <c r="DH264" i="7"/>
  <c r="CM265" i="7"/>
  <c r="BO261" i="7"/>
  <c r="EM265" i="7"/>
  <c r="DG265" i="7"/>
  <c r="CL266" i="7"/>
  <c r="CK266" i="7"/>
  <c r="DF265" i="7"/>
  <c r="CC266" i="7"/>
  <c r="CX265" i="7"/>
  <c r="CE264" i="7"/>
  <c r="CZ263" i="7"/>
  <c r="AM263" i="7"/>
  <c r="BP262" i="7" l="1"/>
  <c r="BO262" i="7"/>
  <c r="BQ262" i="7" s="1"/>
  <c r="BE262" i="7"/>
  <c r="BD262" i="7"/>
  <c r="BF262" i="7"/>
  <c r="CG266" i="7"/>
  <c r="DB265" i="7"/>
  <c r="AO265" i="7"/>
  <c r="BV266" i="7"/>
  <c r="CQ265" i="7"/>
  <c r="CB266" i="7"/>
  <c r="CW265" i="7"/>
  <c r="CJ266" i="7"/>
  <c r="DE265" i="7"/>
  <c r="EM266" i="7"/>
  <c r="DG266" i="7"/>
  <c r="CL267" i="7"/>
  <c r="CM266" i="7"/>
  <c r="DH265" i="7"/>
  <c r="AZ263" i="7"/>
  <c r="DO263" i="7" s="1"/>
  <c r="AV263" i="7"/>
  <c r="DK263" i="7" s="1"/>
  <c r="BC263" i="7"/>
  <c r="DR263" i="7" s="1"/>
  <c r="AY263" i="7"/>
  <c r="DN263" i="7" s="1"/>
  <c r="AU263" i="7"/>
  <c r="DJ263" i="7" s="1"/>
  <c r="BB263" i="7"/>
  <c r="DQ263" i="7" s="1"/>
  <c r="AX263" i="7"/>
  <c r="DM263" i="7" s="1"/>
  <c r="AT263" i="7"/>
  <c r="BA263" i="7"/>
  <c r="DP263" i="7" s="1"/>
  <c r="AW263" i="7"/>
  <c r="DL263" i="7" s="1"/>
  <c r="AG263" i="7"/>
  <c r="AF263" i="7"/>
  <c r="AI263" i="7" s="1"/>
  <c r="AH263" i="7"/>
  <c r="CF265" i="7"/>
  <c r="DA264" i="7"/>
  <c r="AN264" i="7"/>
  <c r="CA266" i="7"/>
  <c r="CV265" i="7"/>
  <c r="BW266" i="7"/>
  <c r="CR265" i="7"/>
  <c r="D254" i="7"/>
  <c r="BK254" i="7"/>
  <c r="AK255" i="7"/>
  <c r="P264" i="7"/>
  <c r="AM264" i="7"/>
  <c r="CZ264" i="7"/>
  <c r="CE265" i="7"/>
  <c r="CK267" i="7"/>
  <c r="DF266" i="7"/>
  <c r="BY267" i="7"/>
  <c r="CT266" i="7"/>
  <c r="CC267" i="7"/>
  <c r="CX266" i="7"/>
  <c r="CI266" i="7"/>
  <c r="DD265" i="7"/>
  <c r="DS265" i="7"/>
  <c r="CD266" i="7"/>
  <c r="CY265" i="7"/>
  <c r="AR263" i="7"/>
  <c r="BI263" i="7" s="1"/>
  <c r="AQ263" i="7"/>
  <c r="BH263" i="7" s="1"/>
  <c r="AP263" i="7"/>
  <c r="BG263" i="7" s="1"/>
  <c r="BU267" i="7"/>
  <c r="CP266" i="7"/>
  <c r="EN265" i="7"/>
  <c r="BZ266" i="7"/>
  <c r="CU265" i="7"/>
  <c r="CH265" i="7"/>
  <c r="DC264" i="7"/>
  <c r="BN264" i="7"/>
  <c r="BP261" i="7"/>
  <c r="BQ261" i="7" s="1"/>
  <c r="EC264" i="7"/>
  <c r="DX264" i="7"/>
  <c r="EB264" i="7"/>
  <c r="DW264" i="7"/>
  <c r="EA264" i="7"/>
  <c r="DV264" i="7"/>
  <c r="BS265" i="7"/>
  <c r="EF264" i="7"/>
  <c r="DZ264" i="7"/>
  <c r="CN264" i="7"/>
  <c r="M264" i="7"/>
  <c r="BL254" i="7"/>
  <c r="E254" i="7"/>
  <c r="AL255" i="7"/>
  <c r="BT266" i="7"/>
  <c r="CO265" i="7"/>
  <c r="EO265" i="7"/>
  <c r="BX266" i="7"/>
  <c r="CS265" i="7"/>
  <c r="N264" i="7"/>
  <c r="C254" i="7"/>
  <c r="F254" i="7" s="1"/>
  <c r="BJ254" i="7"/>
  <c r="BM254" i="7" s="1"/>
  <c r="B254" i="7" s="1"/>
  <c r="AJ255" i="7"/>
  <c r="H261" i="7" l="1"/>
  <c r="G261" i="7"/>
  <c r="BL255" i="7"/>
  <c r="E255" i="7"/>
  <c r="AL256" i="7"/>
  <c r="AQ264" i="7"/>
  <c r="AP264" i="7"/>
  <c r="AR264" i="7"/>
  <c r="BI264" i="7" s="1"/>
  <c r="CK268" i="7"/>
  <c r="DF267" i="7"/>
  <c r="N265" i="7"/>
  <c r="CA267" i="7"/>
  <c r="CV266" i="7"/>
  <c r="AO266" i="7"/>
  <c r="CG267" i="7"/>
  <c r="DB266" i="7"/>
  <c r="H262" i="7"/>
  <c r="G262" i="7"/>
  <c r="C255" i="7"/>
  <c r="F255" i="7" s="1"/>
  <c r="BJ255" i="7"/>
  <c r="BM255" i="7" s="1"/>
  <c r="B255" i="7" s="1"/>
  <c r="AJ256" i="7"/>
  <c r="BT267" i="7"/>
  <c r="CO266" i="7"/>
  <c r="EO266" i="7"/>
  <c r="BC264" i="7"/>
  <c r="DR264" i="7" s="1"/>
  <c r="AY264" i="7"/>
  <c r="DN264" i="7" s="1"/>
  <c r="AU264" i="7"/>
  <c r="DJ264" i="7" s="1"/>
  <c r="BB264" i="7"/>
  <c r="DQ264" i="7" s="1"/>
  <c r="AX264" i="7"/>
  <c r="DM264" i="7" s="1"/>
  <c r="AT264" i="7"/>
  <c r="BA264" i="7"/>
  <c r="DP264" i="7" s="1"/>
  <c r="AW264" i="7"/>
  <c r="DL264" i="7" s="1"/>
  <c r="AZ264" i="7"/>
  <c r="DO264" i="7" s="1"/>
  <c r="AV264" i="7"/>
  <c r="DK264" i="7" s="1"/>
  <c r="AG264" i="7"/>
  <c r="AH264" i="7"/>
  <c r="AF264" i="7"/>
  <c r="AI264" i="7" s="1"/>
  <c r="EB265" i="7"/>
  <c r="DW265" i="7"/>
  <c r="EA265" i="7"/>
  <c r="DV265" i="7"/>
  <c r="BS266" i="7"/>
  <c r="EF265" i="7"/>
  <c r="DZ265" i="7"/>
  <c r="CN265" i="7"/>
  <c r="EC265" i="7"/>
  <c r="DX265" i="7"/>
  <c r="M265" i="7"/>
  <c r="BZ267" i="7"/>
  <c r="CU266" i="7"/>
  <c r="EN266" i="7"/>
  <c r="CI267" i="7"/>
  <c r="DD266" i="7"/>
  <c r="DS266" i="7"/>
  <c r="CE266" i="7"/>
  <c r="CZ265" i="7"/>
  <c r="AM265" i="7"/>
  <c r="BH264" i="7"/>
  <c r="BD263" i="7"/>
  <c r="BF263" i="7"/>
  <c r="BE263" i="7"/>
  <c r="BV267" i="7"/>
  <c r="CQ266" i="7"/>
  <c r="DI263" i="7"/>
  <c r="DI264" i="7" s="1"/>
  <c r="BX267" i="7"/>
  <c r="CS266" i="7"/>
  <c r="BO263" i="7"/>
  <c r="CD267" i="7"/>
  <c r="CY266" i="7"/>
  <c r="BY268" i="7"/>
  <c r="CT267" i="7"/>
  <c r="BK255" i="7"/>
  <c r="D255" i="7"/>
  <c r="AK256" i="7"/>
  <c r="BW267" i="7"/>
  <c r="CR266" i="7"/>
  <c r="CM267" i="7"/>
  <c r="DH266" i="7"/>
  <c r="CB267" i="7"/>
  <c r="CW266" i="7"/>
  <c r="BU268" i="7"/>
  <c r="CP267" i="7"/>
  <c r="BN265" i="7"/>
  <c r="CH266" i="7"/>
  <c r="DC265" i="7"/>
  <c r="P265" i="7"/>
  <c r="N266" i="7" s="1"/>
  <c r="CC268" i="7"/>
  <c r="CX267" i="7"/>
  <c r="BG264" i="7"/>
  <c r="CF266" i="7"/>
  <c r="DA265" i="7"/>
  <c r="AN265" i="7"/>
  <c r="DG267" i="7"/>
  <c r="EM267" i="7"/>
  <c r="CL268" i="7"/>
  <c r="CJ267" i="7"/>
  <c r="DE266" i="7"/>
  <c r="BP264" i="7" l="1"/>
  <c r="CJ268" i="7"/>
  <c r="DE267" i="7"/>
  <c r="BU269" i="7"/>
  <c r="CP268" i="7"/>
  <c r="BK256" i="7"/>
  <c r="D256" i="7"/>
  <c r="AK257" i="7"/>
  <c r="BY269" i="7"/>
  <c r="CT268" i="7"/>
  <c r="BV268" i="7"/>
  <c r="CQ267" i="7"/>
  <c r="P266" i="7"/>
  <c r="CG268" i="7"/>
  <c r="DB267" i="7"/>
  <c r="AO267" i="7"/>
  <c r="AP265" i="7"/>
  <c r="AR265" i="7"/>
  <c r="BI265" i="7" s="1"/>
  <c r="AQ265" i="7"/>
  <c r="BH265" i="7" s="1"/>
  <c r="DG268" i="7"/>
  <c r="EM268" i="7"/>
  <c r="CL269" i="7"/>
  <c r="CC269" i="7"/>
  <c r="CX268" i="7"/>
  <c r="CM268" i="7"/>
  <c r="DH267" i="7"/>
  <c r="BX268" i="7"/>
  <c r="CS267" i="7"/>
  <c r="BG265" i="7"/>
  <c r="BZ268" i="7"/>
  <c r="CU267" i="7"/>
  <c r="EN267" i="7"/>
  <c r="EA266" i="7"/>
  <c r="DV266" i="7"/>
  <c r="BS267" i="7"/>
  <c r="EF266" i="7"/>
  <c r="DZ266" i="7"/>
  <c r="CN266" i="7"/>
  <c r="EC266" i="7"/>
  <c r="DX266" i="7"/>
  <c r="DW266" i="7"/>
  <c r="EB266" i="7"/>
  <c r="M266" i="7"/>
  <c r="BF264" i="7"/>
  <c r="BE264" i="7"/>
  <c r="BD264" i="7"/>
  <c r="EO267" i="7"/>
  <c r="BT268" i="7"/>
  <c r="CO267" i="7"/>
  <c r="E256" i="7"/>
  <c r="BL256" i="7"/>
  <c r="AL257" i="7"/>
  <c r="CH267" i="7"/>
  <c r="DC266" i="7"/>
  <c r="BN266" i="7"/>
  <c r="CF267" i="7"/>
  <c r="DA266" i="7"/>
  <c r="AN266" i="7"/>
  <c r="BH266" i="7" s="1"/>
  <c r="CD268" i="7"/>
  <c r="CY267" i="7"/>
  <c r="CI268" i="7"/>
  <c r="DD267" i="7"/>
  <c r="DS267" i="7"/>
  <c r="BO264" i="7"/>
  <c r="BQ264" i="7" s="1"/>
  <c r="BJ256" i="7"/>
  <c r="BM256" i="7" s="1"/>
  <c r="B256" i="7" s="1"/>
  <c r="C256" i="7"/>
  <c r="F256" i="7" s="1"/>
  <c r="AJ257" i="7"/>
  <c r="CK269" i="7"/>
  <c r="DF268" i="7"/>
  <c r="AR266" i="7"/>
  <c r="BI266" i="7" s="1"/>
  <c r="AQ266" i="7"/>
  <c r="AP266" i="7"/>
  <c r="CB268" i="7"/>
  <c r="CW267" i="7"/>
  <c r="BW268" i="7"/>
  <c r="CR267" i="7"/>
  <c r="CE267" i="7"/>
  <c r="CZ266" i="7"/>
  <c r="AM266" i="7"/>
  <c r="BG266" i="7" s="1"/>
  <c r="BB265" i="7"/>
  <c r="DQ265" i="7" s="1"/>
  <c r="AX265" i="7"/>
  <c r="DM265" i="7" s="1"/>
  <c r="AT265" i="7"/>
  <c r="BA265" i="7"/>
  <c r="DP265" i="7" s="1"/>
  <c r="AW265" i="7"/>
  <c r="DL265" i="7" s="1"/>
  <c r="AZ265" i="7"/>
  <c r="DO265" i="7" s="1"/>
  <c r="AV265" i="7"/>
  <c r="DK265" i="7" s="1"/>
  <c r="BC265" i="7"/>
  <c r="DR265" i="7" s="1"/>
  <c r="AY265" i="7"/>
  <c r="DN265" i="7" s="1"/>
  <c r="AU265" i="7"/>
  <c r="DJ265" i="7" s="1"/>
  <c r="AG265" i="7"/>
  <c r="AF265" i="7"/>
  <c r="AI265" i="7" s="1"/>
  <c r="AH265" i="7"/>
  <c r="CA268" i="7"/>
  <c r="CV267" i="7"/>
  <c r="BP263" i="7"/>
  <c r="BQ263" i="7" s="1"/>
  <c r="G263" i="7" l="1"/>
  <c r="H263" i="7"/>
  <c r="BJ257" i="7"/>
  <c r="BM257" i="7" s="1"/>
  <c r="B257" i="7" s="1"/>
  <c r="C257" i="7"/>
  <c r="F257" i="7" s="1"/>
  <c r="AJ258" i="7"/>
  <c r="P267" i="7"/>
  <c r="CH268" i="7"/>
  <c r="DC267" i="7"/>
  <c r="BN267" i="7"/>
  <c r="BO265" i="7"/>
  <c r="BZ269" i="7"/>
  <c r="CU268" i="7"/>
  <c r="EN268" i="7"/>
  <c r="EM269" i="7"/>
  <c r="DG269" i="7"/>
  <c r="CL270" i="7"/>
  <c r="CG269" i="7"/>
  <c r="DB268" i="7"/>
  <c r="AO268" i="7"/>
  <c r="BV269" i="7"/>
  <c r="CQ268" i="7"/>
  <c r="BF265" i="7"/>
  <c r="BE265" i="7"/>
  <c r="BD265" i="7"/>
  <c r="CR268" i="7"/>
  <c r="BW269" i="7"/>
  <c r="CD269" i="7"/>
  <c r="CY268" i="7"/>
  <c r="AN267" i="7"/>
  <c r="CF268" i="7"/>
  <c r="DA267" i="7"/>
  <c r="E257" i="7"/>
  <c r="BL257" i="7"/>
  <c r="AL258" i="7"/>
  <c r="DH268" i="7"/>
  <c r="CM269" i="7"/>
  <c r="CJ269" i="7"/>
  <c r="DE268" i="7"/>
  <c r="CV268" i="7"/>
  <c r="CA269" i="7"/>
  <c r="CE268" i="7"/>
  <c r="CZ267" i="7"/>
  <c r="AM267" i="7"/>
  <c r="DS268" i="7"/>
  <c r="CI269" i="7"/>
  <c r="DD268" i="7"/>
  <c r="EO268" i="7"/>
  <c r="BT269" i="7"/>
  <c r="CO268" i="7"/>
  <c r="N267" i="7"/>
  <c r="BY270" i="7"/>
  <c r="CT269" i="7"/>
  <c r="CB269" i="7"/>
  <c r="CW268" i="7"/>
  <c r="CK270" i="7"/>
  <c r="DF269" i="7"/>
  <c r="H264" i="7"/>
  <c r="G264" i="7"/>
  <c r="DI265" i="7"/>
  <c r="BA266" i="7"/>
  <c r="DP266" i="7" s="1"/>
  <c r="AW266" i="7"/>
  <c r="DL266" i="7" s="1"/>
  <c r="AZ266" i="7"/>
  <c r="DO266" i="7" s="1"/>
  <c r="AV266" i="7"/>
  <c r="DK266" i="7" s="1"/>
  <c r="BC266" i="7"/>
  <c r="DR266" i="7" s="1"/>
  <c r="AY266" i="7"/>
  <c r="DN266" i="7" s="1"/>
  <c r="AU266" i="7"/>
  <c r="DJ266" i="7" s="1"/>
  <c r="AX266" i="7"/>
  <c r="DM266" i="7" s="1"/>
  <c r="AT266" i="7"/>
  <c r="BB266" i="7"/>
  <c r="DQ266" i="7" s="1"/>
  <c r="AH266" i="7"/>
  <c r="AF266" i="7"/>
  <c r="AI266" i="7" s="1"/>
  <c r="AG266" i="7"/>
  <c r="BS268" i="7"/>
  <c r="EF267" i="7"/>
  <c r="DZ267" i="7"/>
  <c r="CN267" i="7"/>
  <c r="BO266" i="7" s="1"/>
  <c r="EC267" i="7"/>
  <c r="DX267" i="7"/>
  <c r="EB267" i="7"/>
  <c r="DW267" i="7"/>
  <c r="EA267" i="7"/>
  <c r="DV267" i="7"/>
  <c r="M267" i="7"/>
  <c r="BX269" i="7"/>
  <c r="CS268" i="7"/>
  <c r="CC270" i="7"/>
  <c r="CX269" i="7"/>
  <c r="D257" i="7"/>
  <c r="BK257" i="7"/>
  <c r="AK258" i="7"/>
  <c r="BU270" i="7"/>
  <c r="CP269" i="7"/>
  <c r="AR267" i="7" l="1"/>
  <c r="BI267" i="7" s="1"/>
  <c r="AQ267" i="7"/>
  <c r="AP267" i="7"/>
  <c r="P268" i="7"/>
  <c r="CA270" i="7"/>
  <c r="CV269" i="7"/>
  <c r="CM270" i="7"/>
  <c r="DH269" i="7"/>
  <c r="BV270" i="7"/>
  <c r="CQ269" i="7"/>
  <c r="EM270" i="7"/>
  <c r="DG270" i="7"/>
  <c r="CL271" i="7"/>
  <c r="C258" i="7"/>
  <c r="F258" i="7" s="1"/>
  <c r="BJ258" i="7"/>
  <c r="BM258" i="7" s="1"/>
  <c r="B258" i="7" s="1"/>
  <c r="AJ259" i="7"/>
  <c r="EC268" i="7"/>
  <c r="DX268" i="7"/>
  <c r="EB268" i="7"/>
  <c r="DW268" i="7"/>
  <c r="EA268" i="7"/>
  <c r="DV268" i="7"/>
  <c r="BS269" i="7"/>
  <c r="EF268" i="7"/>
  <c r="DZ268" i="7"/>
  <c r="CN268" i="7"/>
  <c r="M268" i="7"/>
  <c r="CB270" i="7"/>
  <c r="CW269" i="7"/>
  <c r="BG267" i="7"/>
  <c r="CD270" i="7"/>
  <c r="CY269" i="7"/>
  <c r="EN269" i="7"/>
  <c r="BZ270" i="7"/>
  <c r="CU269" i="7"/>
  <c r="CH269" i="7"/>
  <c r="DC268" i="7"/>
  <c r="BN268" i="7"/>
  <c r="CC271" i="7"/>
  <c r="CX270" i="7"/>
  <c r="BX270" i="7"/>
  <c r="CS269" i="7"/>
  <c r="BE266" i="7"/>
  <c r="BD266" i="7"/>
  <c r="BF266" i="7"/>
  <c r="BL258" i="7"/>
  <c r="E258" i="7"/>
  <c r="AL259" i="7"/>
  <c r="CF269" i="7"/>
  <c r="DA268" i="7"/>
  <c r="AN268" i="7"/>
  <c r="BW270" i="7"/>
  <c r="CR269" i="7"/>
  <c r="N268" i="7"/>
  <c r="D258" i="7"/>
  <c r="BK258" i="7"/>
  <c r="AK259" i="7"/>
  <c r="BU271" i="7"/>
  <c r="CP270" i="7"/>
  <c r="AZ267" i="7"/>
  <c r="DO267" i="7" s="1"/>
  <c r="AV267" i="7"/>
  <c r="DK267" i="7" s="1"/>
  <c r="BC267" i="7"/>
  <c r="DR267" i="7" s="1"/>
  <c r="AY267" i="7"/>
  <c r="DN267" i="7" s="1"/>
  <c r="AU267" i="7"/>
  <c r="DJ267" i="7" s="1"/>
  <c r="BB267" i="7"/>
  <c r="DQ267" i="7" s="1"/>
  <c r="AX267" i="7"/>
  <c r="DM267" i="7" s="1"/>
  <c r="AT267" i="7"/>
  <c r="BA267" i="7"/>
  <c r="DP267" i="7" s="1"/>
  <c r="AW267" i="7"/>
  <c r="DL267" i="7" s="1"/>
  <c r="AH267" i="7"/>
  <c r="AG267" i="7"/>
  <c r="AF267" i="7"/>
  <c r="AI267" i="7" s="1"/>
  <c r="DI266" i="7"/>
  <c r="CK271" i="7"/>
  <c r="DF270" i="7"/>
  <c r="BY271" i="7"/>
  <c r="CT270" i="7"/>
  <c r="BT270" i="7"/>
  <c r="CO269" i="7"/>
  <c r="EO269" i="7"/>
  <c r="CI270" i="7"/>
  <c r="DD269" i="7"/>
  <c r="DS269" i="7"/>
  <c r="AM268" i="7"/>
  <c r="CZ268" i="7"/>
  <c r="CE269" i="7"/>
  <c r="CJ270" i="7"/>
  <c r="DE269" i="7"/>
  <c r="BH267" i="7"/>
  <c r="CG270" i="7"/>
  <c r="DB269" i="7"/>
  <c r="AO269" i="7"/>
  <c r="BP265" i="7"/>
  <c r="BQ265" i="7" s="1"/>
  <c r="H265" i="7" l="1"/>
  <c r="G265" i="7"/>
  <c r="CJ271" i="7"/>
  <c r="DE270" i="7"/>
  <c r="BD267" i="7"/>
  <c r="BF267" i="7"/>
  <c r="BE267" i="7"/>
  <c r="BW271" i="7"/>
  <c r="CR270" i="7"/>
  <c r="BL259" i="7"/>
  <c r="E259" i="7"/>
  <c r="AL260" i="7"/>
  <c r="BN269" i="7"/>
  <c r="CH270" i="7"/>
  <c r="DC269" i="7"/>
  <c r="DG271" i="7"/>
  <c r="EM271" i="7"/>
  <c r="CL272" i="7"/>
  <c r="BV271" i="7"/>
  <c r="CQ270" i="7"/>
  <c r="CA271" i="7"/>
  <c r="CV270" i="7"/>
  <c r="BY272" i="7"/>
  <c r="CT271" i="7"/>
  <c r="P269" i="7"/>
  <c r="AO270" i="7"/>
  <c r="CG271" i="7"/>
  <c r="DB270" i="7"/>
  <c r="CE270" i="7"/>
  <c r="CZ269" i="7"/>
  <c r="AM269" i="7"/>
  <c r="BT271" i="7"/>
  <c r="CO270" i="7"/>
  <c r="EO270" i="7"/>
  <c r="CK272" i="7"/>
  <c r="DF271" i="7"/>
  <c r="BU272" i="7"/>
  <c r="CP271" i="7"/>
  <c r="AQ268" i="7"/>
  <c r="BH268" i="7" s="1"/>
  <c r="AP268" i="7"/>
  <c r="AR268" i="7"/>
  <c r="BI268" i="7" s="1"/>
  <c r="CC272" i="7"/>
  <c r="CX271" i="7"/>
  <c r="CB271" i="7"/>
  <c r="CW270" i="7"/>
  <c r="C259" i="7"/>
  <c r="F259" i="7" s="1"/>
  <c r="BJ259" i="7"/>
  <c r="BM259" i="7" s="1"/>
  <c r="B259" i="7" s="1"/>
  <c r="AJ260" i="7"/>
  <c r="N269" i="7"/>
  <c r="CI271" i="7"/>
  <c r="DD270" i="7"/>
  <c r="DS270" i="7"/>
  <c r="DI267" i="7"/>
  <c r="BK259" i="7"/>
  <c r="D259" i="7"/>
  <c r="AK260" i="7"/>
  <c r="BZ271" i="7"/>
  <c r="CU270" i="7"/>
  <c r="EN270" i="7"/>
  <c r="CD271" i="7"/>
  <c r="CY270" i="7"/>
  <c r="BC268" i="7"/>
  <c r="DR268" i="7" s="1"/>
  <c r="AY268" i="7"/>
  <c r="DN268" i="7" s="1"/>
  <c r="AU268" i="7"/>
  <c r="DJ268" i="7" s="1"/>
  <c r="BB268" i="7"/>
  <c r="DQ268" i="7" s="1"/>
  <c r="AX268" i="7"/>
  <c r="DM268" i="7" s="1"/>
  <c r="AT268" i="7"/>
  <c r="BA268" i="7"/>
  <c r="DP268" i="7" s="1"/>
  <c r="AW268" i="7"/>
  <c r="DL268" i="7" s="1"/>
  <c r="AZ268" i="7"/>
  <c r="DO268" i="7" s="1"/>
  <c r="AV268" i="7"/>
  <c r="DK268" i="7" s="1"/>
  <c r="AG268" i="7"/>
  <c r="AH268" i="7"/>
  <c r="AF268" i="7"/>
  <c r="AI268" i="7" s="1"/>
  <c r="EB269" i="7"/>
  <c r="DW269" i="7"/>
  <c r="EA269" i="7"/>
  <c r="DV269" i="7"/>
  <c r="BS270" i="7"/>
  <c r="EF269" i="7"/>
  <c r="DZ269" i="7"/>
  <c r="CN269" i="7"/>
  <c r="BO268" i="7" s="1"/>
  <c r="EC269" i="7"/>
  <c r="DX269" i="7"/>
  <c r="M269" i="7"/>
  <c r="CM271" i="7"/>
  <c r="DH270" i="7"/>
  <c r="BP266" i="7"/>
  <c r="BQ266" i="7" s="1"/>
  <c r="BG268" i="7"/>
  <c r="CF270" i="7"/>
  <c r="DA269" i="7"/>
  <c r="AN269" i="7"/>
  <c r="BX271" i="7"/>
  <c r="CS270" i="7"/>
  <c r="BO267" i="7"/>
  <c r="EA270" i="7" l="1"/>
  <c r="DV270" i="7"/>
  <c r="BS271" i="7"/>
  <c r="EF270" i="7"/>
  <c r="DZ270" i="7"/>
  <c r="CN270" i="7"/>
  <c r="EC270" i="7"/>
  <c r="DX270" i="7"/>
  <c r="EB270" i="7"/>
  <c r="DW270" i="7"/>
  <c r="M270" i="7"/>
  <c r="BF268" i="7"/>
  <c r="BE268" i="7"/>
  <c r="BD268" i="7"/>
  <c r="BK260" i="7"/>
  <c r="D260" i="7"/>
  <c r="AK261" i="7"/>
  <c r="P270" i="7"/>
  <c r="N271" i="7" s="1"/>
  <c r="AP269" i="7"/>
  <c r="AR269" i="7"/>
  <c r="BI269" i="7" s="1"/>
  <c r="AQ269" i="7"/>
  <c r="BU273" i="7"/>
  <c r="CP272" i="7"/>
  <c r="CE271" i="7"/>
  <c r="CZ270" i="7"/>
  <c r="AM270" i="7"/>
  <c r="DG272" i="7"/>
  <c r="EM272" i="7"/>
  <c r="CL273" i="7"/>
  <c r="CH271" i="7"/>
  <c r="DC270" i="7"/>
  <c r="BN270" i="7"/>
  <c r="CF271" i="7"/>
  <c r="DA270" i="7"/>
  <c r="AN270" i="7"/>
  <c r="BJ260" i="7"/>
  <c r="BM260" i="7" s="1"/>
  <c r="B260" i="7" s="1"/>
  <c r="C260" i="7"/>
  <c r="F260" i="7" s="1"/>
  <c r="AJ261" i="7"/>
  <c r="CB272" i="7"/>
  <c r="CW271" i="7"/>
  <c r="EO271" i="7"/>
  <c r="BT272" i="7"/>
  <c r="CO271" i="7"/>
  <c r="N270" i="7"/>
  <c r="CA272" i="7"/>
  <c r="CV271" i="7"/>
  <c r="CM272" i="7"/>
  <c r="DH271" i="7"/>
  <c r="BB269" i="7"/>
  <c r="DQ269" i="7" s="1"/>
  <c r="AX269" i="7"/>
  <c r="DM269" i="7" s="1"/>
  <c r="AT269" i="7"/>
  <c r="BA269" i="7"/>
  <c r="DP269" i="7" s="1"/>
  <c r="AW269" i="7"/>
  <c r="DL269" i="7" s="1"/>
  <c r="AZ269" i="7"/>
  <c r="DO269" i="7" s="1"/>
  <c r="AV269" i="7"/>
  <c r="DK269" i="7" s="1"/>
  <c r="BC269" i="7"/>
  <c r="DR269" i="7" s="1"/>
  <c r="AY269" i="7"/>
  <c r="DN269" i="7" s="1"/>
  <c r="AU269" i="7"/>
  <c r="DJ269" i="7" s="1"/>
  <c r="AH269" i="7"/>
  <c r="AF269" i="7"/>
  <c r="AI269" i="7" s="1"/>
  <c r="AG269" i="7"/>
  <c r="BZ272" i="7"/>
  <c r="CU271" i="7"/>
  <c r="EN271" i="7"/>
  <c r="CI272" i="7"/>
  <c r="DD271" i="7"/>
  <c r="DS271" i="7"/>
  <c r="CK273" i="7"/>
  <c r="DF272" i="7"/>
  <c r="BG269" i="7"/>
  <c r="CG272" i="7"/>
  <c r="DB271" i="7"/>
  <c r="AO271" i="7"/>
  <c r="E260" i="7"/>
  <c r="BL260" i="7"/>
  <c r="AL261" i="7"/>
  <c r="BW272" i="7"/>
  <c r="CR271" i="7"/>
  <c r="BX272" i="7"/>
  <c r="CS271" i="7"/>
  <c r="BH269" i="7"/>
  <c r="H266" i="7"/>
  <c r="G266" i="7"/>
  <c r="CD272" i="7"/>
  <c r="CY271" i="7"/>
  <c r="DI268" i="7"/>
  <c r="DI269" i="7" s="1"/>
  <c r="CC273" i="7"/>
  <c r="CX272" i="7"/>
  <c r="BY273" i="7"/>
  <c r="CT272" i="7"/>
  <c r="BV272" i="7"/>
  <c r="CQ271" i="7"/>
  <c r="CJ272" i="7"/>
  <c r="DE271" i="7"/>
  <c r="BP267" i="7"/>
  <c r="BQ267" i="7" s="1"/>
  <c r="G267" i="7" l="1"/>
  <c r="H267" i="7"/>
  <c r="BP269" i="7"/>
  <c r="CC274" i="7"/>
  <c r="CX273" i="7"/>
  <c r="BX273" i="7"/>
  <c r="CS272" i="7"/>
  <c r="CG273" i="7"/>
  <c r="DB272" i="7"/>
  <c r="AO272" i="7"/>
  <c r="P271" i="7"/>
  <c r="BF269" i="7"/>
  <c r="BE269" i="7"/>
  <c r="BD269" i="7"/>
  <c r="CM273" i="7"/>
  <c r="DH272" i="7"/>
  <c r="AR270" i="7"/>
  <c r="BI270" i="7" s="1"/>
  <c r="AQ270" i="7"/>
  <c r="AP270" i="7"/>
  <c r="CE272" i="7"/>
  <c r="CZ271" i="7"/>
  <c r="AM271" i="7"/>
  <c r="BZ273" i="7"/>
  <c r="CU272" i="7"/>
  <c r="EN272" i="7"/>
  <c r="CB273" i="7"/>
  <c r="CW272" i="7"/>
  <c r="BH270" i="7"/>
  <c r="BA270" i="7"/>
  <c r="DP270" i="7" s="1"/>
  <c r="AW270" i="7"/>
  <c r="DL270" i="7" s="1"/>
  <c r="AZ270" i="7"/>
  <c r="DO270" i="7" s="1"/>
  <c r="AV270" i="7"/>
  <c r="DK270" i="7" s="1"/>
  <c r="BC270" i="7"/>
  <c r="DR270" i="7" s="1"/>
  <c r="AY270" i="7"/>
  <c r="DN270" i="7" s="1"/>
  <c r="AU270" i="7"/>
  <c r="DJ270" i="7" s="1"/>
  <c r="AX270" i="7"/>
  <c r="DM270" i="7" s="1"/>
  <c r="AT270" i="7"/>
  <c r="BB270" i="7"/>
  <c r="DQ270" i="7" s="1"/>
  <c r="AG270" i="7"/>
  <c r="AH270" i="7"/>
  <c r="AF270" i="7"/>
  <c r="AI270" i="7" s="1"/>
  <c r="BS272" i="7"/>
  <c r="EF271" i="7"/>
  <c r="DZ271" i="7"/>
  <c r="CN271" i="7"/>
  <c r="EC271" i="7"/>
  <c r="DX271" i="7"/>
  <c r="EB271" i="7"/>
  <c r="DW271" i="7"/>
  <c r="EA271" i="7"/>
  <c r="DV271" i="7"/>
  <c r="M271" i="7"/>
  <c r="BY274" i="7"/>
  <c r="CT273" i="7"/>
  <c r="BW273" i="7"/>
  <c r="CR272" i="7"/>
  <c r="DS272" i="7"/>
  <c r="CI273" i="7"/>
  <c r="DD272" i="7"/>
  <c r="EO272" i="7"/>
  <c r="BT273" i="7"/>
  <c r="CO272" i="7"/>
  <c r="BJ261" i="7"/>
  <c r="BM261" i="7" s="1"/>
  <c r="B261" i="7" s="1"/>
  <c r="C261" i="7"/>
  <c r="F261" i="7" s="1"/>
  <c r="AJ262" i="7"/>
  <c r="CH272" i="7"/>
  <c r="DC271" i="7"/>
  <c r="BN271" i="7"/>
  <c r="BG270" i="7"/>
  <c r="BU274" i="7"/>
  <c r="CP273" i="7"/>
  <c r="AR271" i="7"/>
  <c r="BI271" i="7" s="1"/>
  <c r="AQ271" i="7"/>
  <c r="AP271" i="7"/>
  <c r="BO269" i="7"/>
  <c r="BQ269" i="7" s="1"/>
  <c r="CJ273" i="7"/>
  <c r="DE272" i="7"/>
  <c r="BV273" i="7"/>
  <c r="CQ272" i="7"/>
  <c r="CD273" i="7"/>
  <c r="CY272" i="7"/>
  <c r="E261" i="7"/>
  <c r="BL261" i="7"/>
  <c r="AL262" i="7"/>
  <c r="CK274" i="7"/>
  <c r="DF273" i="7"/>
  <c r="CA273" i="7"/>
  <c r="CV272" i="7"/>
  <c r="AN271" i="7"/>
  <c r="BH271" i="7" s="1"/>
  <c r="CF272" i="7"/>
  <c r="DA271" i="7"/>
  <c r="EM273" i="7"/>
  <c r="DG273" i="7"/>
  <c r="CL274" i="7"/>
  <c r="D261" i="7"/>
  <c r="BK261" i="7"/>
  <c r="AK262" i="7"/>
  <c r="BP268" i="7"/>
  <c r="BQ268" i="7" s="1"/>
  <c r="D262" i="7" l="1"/>
  <c r="BK262" i="7"/>
  <c r="AK263" i="7"/>
  <c r="BY275" i="7"/>
  <c r="CT274" i="7"/>
  <c r="BO270" i="7"/>
  <c r="BE270" i="7"/>
  <c r="BD270" i="7"/>
  <c r="BF270" i="7"/>
  <c r="BG271" i="7"/>
  <c r="CK275" i="7"/>
  <c r="DF274" i="7"/>
  <c r="CD274" i="7"/>
  <c r="CY273" i="7"/>
  <c r="CJ274" i="7"/>
  <c r="DE273" i="7"/>
  <c r="AZ271" i="7"/>
  <c r="DO271" i="7" s="1"/>
  <c r="AV271" i="7"/>
  <c r="DK271" i="7" s="1"/>
  <c r="BC271" i="7"/>
  <c r="DR271" i="7" s="1"/>
  <c r="AY271" i="7"/>
  <c r="DN271" i="7" s="1"/>
  <c r="AU271" i="7"/>
  <c r="DJ271" i="7" s="1"/>
  <c r="BB271" i="7"/>
  <c r="DQ271" i="7" s="1"/>
  <c r="AX271" i="7"/>
  <c r="DM271" i="7" s="1"/>
  <c r="AT271" i="7"/>
  <c r="BA271" i="7"/>
  <c r="DP271" i="7" s="1"/>
  <c r="AW271" i="7"/>
  <c r="DL271" i="7" s="1"/>
  <c r="AH271" i="7"/>
  <c r="AG271" i="7"/>
  <c r="AF271" i="7"/>
  <c r="AI271" i="7" s="1"/>
  <c r="BX274" i="7"/>
  <c r="CS273" i="7"/>
  <c r="BL262" i="7"/>
  <c r="E262" i="7"/>
  <c r="AL263" i="7"/>
  <c r="BU275" i="7"/>
  <c r="CP274" i="7"/>
  <c r="CH273" i="7"/>
  <c r="DC272" i="7"/>
  <c r="BN272" i="7"/>
  <c r="CI274" i="7"/>
  <c r="DD273" i="7"/>
  <c r="DS273" i="7"/>
  <c r="BW274" i="7"/>
  <c r="CR273" i="7"/>
  <c r="EN273" i="7"/>
  <c r="BZ274" i="7"/>
  <c r="CU273" i="7"/>
  <c r="AM272" i="7"/>
  <c r="CE273" i="7"/>
  <c r="CZ272" i="7"/>
  <c r="CA274" i="7"/>
  <c r="CV273" i="7"/>
  <c r="H269" i="7"/>
  <c r="G269" i="7"/>
  <c r="H268" i="7"/>
  <c r="G268" i="7"/>
  <c r="EM274" i="7"/>
  <c r="DG274" i="7"/>
  <c r="CL275" i="7"/>
  <c r="CF273" i="7"/>
  <c r="DA272" i="7"/>
  <c r="AN272" i="7"/>
  <c r="BV274" i="7"/>
  <c r="CQ273" i="7"/>
  <c r="C262" i="7"/>
  <c r="F262" i="7" s="1"/>
  <c r="BJ262" i="7"/>
  <c r="BM262" i="7" s="1"/>
  <c r="B262" i="7" s="1"/>
  <c r="AJ263" i="7"/>
  <c r="BT274" i="7"/>
  <c r="CO273" i="7"/>
  <c r="EO273" i="7"/>
  <c r="P272" i="7"/>
  <c r="EC272" i="7"/>
  <c r="DX272" i="7"/>
  <c r="EB272" i="7"/>
  <c r="DW272" i="7"/>
  <c r="EA272" i="7"/>
  <c r="DV272" i="7"/>
  <c r="BS273" i="7"/>
  <c r="EF272" i="7"/>
  <c r="DZ272" i="7"/>
  <c r="CN272" i="7"/>
  <c r="BO271" i="7" s="1"/>
  <c r="M272" i="7"/>
  <c r="CB274" i="7"/>
  <c r="CW273" i="7"/>
  <c r="DI270" i="7"/>
  <c r="DI271" i="7" s="1"/>
  <c r="CM274" i="7"/>
  <c r="DH273" i="7"/>
  <c r="N272" i="7"/>
  <c r="CG274" i="7"/>
  <c r="DB273" i="7"/>
  <c r="AO273" i="7"/>
  <c r="CC275" i="7"/>
  <c r="CX274" i="7"/>
  <c r="BP271" i="7" l="1"/>
  <c r="BQ271" i="7"/>
  <c r="CB275" i="7"/>
  <c r="CW274" i="7"/>
  <c r="N273" i="7"/>
  <c r="BT275" i="7"/>
  <c r="CO274" i="7"/>
  <c r="EO274" i="7"/>
  <c r="CF274" i="7"/>
  <c r="DA273" i="7"/>
  <c r="AN273" i="7"/>
  <c r="CI275" i="7"/>
  <c r="DD274" i="7"/>
  <c r="DS274" i="7"/>
  <c r="CD275" i="7"/>
  <c r="CY274" i="7"/>
  <c r="CM275" i="7"/>
  <c r="DH274" i="7"/>
  <c r="BC272" i="7"/>
  <c r="DR272" i="7" s="1"/>
  <c r="AY272" i="7"/>
  <c r="DN272" i="7" s="1"/>
  <c r="AU272" i="7"/>
  <c r="DJ272" i="7" s="1"/>
  <c r="BB272" i="7"/>
  <c r="DQ272" i="7" s="1"/>
  <c r="AX272" i="7"/>
  <c r="DM272" i="7" s="1"/>
  <c r="AT272" i="7"/>
  <c r="BA272" i="7"/>
  <c r="DP272" i="7" s="1"/>
  <c r="AW272" i="7"/>
  <c r="DL272" i="7" s="1"/>
  <c r="AZ272" i="7"/>
  <c r="DO272" i="7" s="1"/>
  <c r="AV272" i="7"/>
  <c r="DK272" i="7" s="1"/>
  <c r="AG272" i="7"/>
  <c r="AH272" i="7"/>
  <c r="AF272" i="7"/>
  <c r="AI272" i="7" s="1"/>
  <c r="EB273" i="7"/>
  <c r="DW273" i="7"/>
  <c r="EA273" i="7"/>
  <c r="DV273" i="7"/>
  <c r="BS274" i="7"/>
  <c r="EF273" i="7"/>
  <c r="DZ273" i="7"/>
  <c r="CN273" i="7"/>
  <c r="EC273" i="7"/>
  <c r="DX273" i="7"/>
  <c r="M273" i="7"/>
  <c r="C263" i="7"/>
  <c r="F263" i="7" s="1"/>
  <c r="BJ263" i="7"/>
  <c r="BM263" i="7" s="1"/>
  <c r="B263" i="7" s="1"/>
  <c r="AJ264" i="7"/>
  <c r="BV275" i="7"/>
  <c r="CQ274" i="7"/>
  <c r="DG275" i="7"/>
  <c r="EM275" i="7"/>
  <c r="CL276" i="7"/>
  <c r="CA275" i="7"/>
  <c r="CV274" i="7"/>
  <c r="BW275" i="7"/>
  <c r="CR274" i="7"/>
  <c r="BU276" i="7"/>
  <c r="CP275" i="7"/>
  <c r="BD271" i="7"/>
  <c r="BF271" i="7"/>
  <c r="BE271" i="7"/>
  <c r="BY276" i="7"/>
  <c r="CT275" i="7"/>
  <c r="AO274" i="7"/>
  <c r="CG275" i="7"/>
  <c r="DB274" i="7"/>
  <c r="BZ275" i="7"/>
  <c r="CU274" i="7"/>
  <c r="EN274" i="7"/>
  <c r="P273" i="7"/>
  <c r="N274" i="7" s="1"/>
  <c r="BL263" i="7"/>
  <c r="E263" i="7"/>
  <c r="AL264" i="7"/>
  <c r="BX275" i="7"/>
  <c r="CS274" i="7"/>
  <c r="CJ275" i="7"/>
  <c r="DE274" i="7"/>
  <c r="CK276" i="7"/>
  <c r="DF275" i="7"/>
  <c r="DI272" i="7"/>
  <c r="CC276" i="7"/>
  <c r="CX275" i="7"/>
  <c r="AQ272" i="7"/>
  <c r="BH272" i="7" s="1"/>
  <c r="AP272" i="7"/>
  <c r="BG272" i="7" s="1"/>
  <c r="AR272" i="7"/>
  <c r="BI272" i="7" s="1"/>
  <c r="CE274" i="7"/>
  <c r="CZ273" i="7"/>
  <c r="AM273" i="7"/>
  <c r="BN273" i="7"/>
  <c r="CH274" i="7"/>
  <c r="DC273" i="7"/>
  <c r="BK263" i="7"/>
  <c r="D263" i="7"/>
  <c r="AK264" i="7"/>
  <c r="BP270" i="7"/>
  <c r="BQ270" i="7" s="1"/>
  <c r="BP272" i="7" l="1"/>
  <c r="H270" i="7"/>
  <c r="G270" i="7"/>
  <c r="BY277" i="7"/>
  <c r="CT276" i="7"/>
  <c r="BW276" i="7"/>
  <c r="CR275" i="7"/>
  <c r="BJ264" i="7"/>
  <c r="BM264" i="7" s="1"/>
  <c r="B264" i="7" s="1"/>
  <c r="C264" i="7"/>
  <c r="F264" i="7" s="1"/>
  <c r="AJ265" i="7"/>
  <c r="CM276" i="7"/>
  <c r="DH275" i="7"/>
  <c r="EO275" i="7"/>
  <c r="BT276" i="7"/>
  <c r="CO275" i="7"/>
  <c r="G271" i="7"/>
  <c r="H271" i="7"/>
  <c r="CJ276" i="7"/>
  <c r="DE275" i="7"/>
  <c r="CG276" i="7"/>
  <c r="DB275" i="7"/>
  <c r="AO275" i="7"/>
  <c r="BU277" i="7"/>
  <c r="CP276" i="7"/>
  <c r="EA274" i="7"/>
  <c r="DV274" i="7"/>
  <c r="BS275" i="7"/>
  <c r="EF274" i="7"/>
  <c r="DZ274" i="7"/>
  <c r="CN274" i="7"/>
  <c r="EC274" i="7"/>
  <c r="DX274" i="7"/>
  <c r="EB274" i="7"/>
  <c r="DW274" i="7"/>
  <c r="M274" i="7"/>
  <c r="BF272" i="7"/>
  <c r="BE272" i="7"/>
  <c r="BD272" i="7"/>
  <c r="CI276" i="7"/>
  <c r="DD275" i="7"/>
  <c r="DS275" i="7"/>
  <c r="CF275" i="7"/>
  <c r="DA274" i="7"/>
  <c r="AN274" i="7"/>
  <c r="AP273" i="7"/>
  <c r="BG273" i="7" s="1"/>
  <c r="AR273" i="7"/>
  <c r="BI273" i="7" s="1"/>
  <c r="AQ273" i="7"/>
  <c r="BK264" i="7"/>
  <c r="D264" i="7"/>
  <c r="AK265" i="7"/>
  <c r="CK277" i="7"/>
  <c r="DF276" i="7"/>
  <c r="BX276" i="7"/>
  <c r="CS275" i="7"/>
  <c r="BZ276" i="7"/>
  <c r="CU275" i="7"/>
  <c r="EN275" i="7"/>
  <c r="CA276" i="7"/>
  <c r="CV275" i="7"/>
  <c r="BO272" i="7"/>
  <c r="BQ272" i="7" s="1"/>
  <c r="CD276" i="7"/>
  <c r="CY275" i="7"/>
  <c r="CH275" i="7"/>
  <c r="DC274" i="7"/>
  <c r="BN274" i="7"/>
  <c r="CE275" i="7"/>
  <c r="CZ274" i="7"/>
  <c r="AM274" i="7"/>
  <c r="BG274" i="7" s="1"/>
  <c r="CC277" i="7"/>
  <c r="CX276" i="7"/>
  <c r="E264" i="7"/>
  <c r="BL264" i="7"/>
  <c r="AL265" i="7"/>
  <c r="AR274" i="7"/>
  <c r="BI274" i="7" s="1"/>
  <c r="AQ274" i="7"/>
  <c r="AP274" i="7"/>
  <c r="DG276" i="7"/>
  <c r="EM276" i="7"/>
  <c r="CL277" i="7"/>
  <c r="BV276" i="7"/>
  <c r="CQ275" i="7"/>
  <c r="BB273" i="7"/>
  <c r="DQ273" i="7" s="1"/>
  <c r="AX273" i="7"/>
  <c r="DM273" i="7" s="1"/>
  <c r="AT273" i="7"/>
  <c r="DI273" i="7" s="1"/>
  <c r="BA273" i="7"/>
  <c r="DP273" i="7" s="1"/>
  <c r="AW273" i="7"/>
  <c r="DL273" i="7" s="1"/>
  <c r="AZ273" i="7"/>
  <c r="DO273" i="7" s="1"/>
  <c r="AV273" i="7"/>
  <c r="DK273" i="7" s="1"/>
  <c r="BC273" i="7"/>
  <c r="DR273" i="7" s="1"/>
  <c r="AY273" i="7"/>
  <c r="DN273" i="7" s="1"/>
  <c r="AU273" i="7"/>
  <c r="DJ273" i="7" s="1"/>
  <c r="AH273" i="7"/>
  <c r="AG273" i="7"/>
  <c r="AF273" i="7"/>
  <c r="AI273" i="7" s="1"/>
  <c r="P274" i="7"/>
  <c r="N275" i="7" s="1"/>
  <c r="BH273" i="7"/>
  <c r="CB276" i="7"/>
  <c r="CW275" i="7"/>
  <c r="BP273" i="7" l="1"/>
  <c r="H272" i="7"/>
  <c r="G272" i="7"/>
  <c r="BX277" i="7"/>
  <c r="CS276" i="7"/>
  <c r="BH274" i="7"/>
  <c r="CG277" i="7"/>
  <c r="DB276" i="7"/>
  <c r="AO276" i="7"/>
  <c r="CM277" i="7"/>
  <c r="DH276" i="7"/>
  <c r="BF273" i="7"/>
  <c r="BE273" i="7"/>
  <c r="BD273" i="7"/>
  <c r="BV277" i="7"/>
  <c r="CQ276" i="7"/>
  <c r="CH276" i="7"/>
  <c r="DC275" i="7"/>
  <c r="BN275" i="7"/>
  <c r="DS276" i="7"/>
  <c r="CI277" i="7"/>
  <c r="DD276" i="7"/>
  <c r="BA274" i="7"/>
  <c r="DP274" i="7" s="1"/>
  <c r="AW274" i="7"/>
  <c r="DL274" i="7" s="1"/>
  <c r="AZ274" i="7"/>
  <c r="DO274" i="7" s="1"/>
  <c r="AV274" i="7"/>
  <c r="DK274" i="7" s="1"/>
  <c r="BC274" i="7"/>
  <c r="DR274" i="7" s="1"/>
  <c r="AY274" i="7"/>
  <c r="DN274" i="7" s="1"/>
  <c r="AU274" i="7"/>
  <c r="DJ274" i="7" s="1"/>
  <c r="BB274" i="7"/>
  <c r="DQ274" i="7" s="1"/>
  <c r="AX274" i="7"/>
  <c r="DM274" i="7" s="1"/>
  <c r="AT274" i="7"/>
  <c r="AH274" i="7"/>
  <c r="AG274" i="7"/>
  <c r="AF274" i="7"/>
  <c r="AI274" i="7" s="1"/>
  <c r="BS276" i="7"/>
  <c r="EF275" i="7"/>
  <c r="DZ275" i="7"/>
  <c r="CN275" i="7"/>
  <c r="EC275" i="7"/>
  <c r="DX275" i="7"/>
  <c r="EB275" i="7"/>
  <c r="DW275" i="7"/>
  <c r="EA275" i="7"/>
  <c r="DV275" i="7"/>
  <c r="M275" i="7"/>
  <c r="BU278" i="7"/>
  <c r="CP277" i="7"/>
  <c r="EO276" i="7"/>
  <c r="BT277" i="7"/>
  <c r="CO276" i="7"/>
  <c r="BJ265" i="7"/>
  <c r="BM265" i="7" s="1"/>
  <c r="B265" i="7" s="1"/>
  <c r="C265" i="7"/>
  <c r="F265" i="7" s="1"/>
  <c r="AJ266" i="7"/>
  <c r="BW277" i="7"/>
  <c r="CR276" i="7"/>
  <c r="AR275" i="7"/>
  <c r="AQ275" i="7"/>
  <c r="AP275" i="7"/>
  <c r="EM277" i="7"/>
  <c r="DG277" i="7"/>
  <c r="CL278" i="7"/>
  <c r="CE276" i="7"/>
  <c r="CZ275" i="7"/>
  <c r="AM275" i="7"/>
  <c r="BG275" i="7" s="1"/>
  <c r="CA277" i="7"/>
  <c r="CV276" i="7"/>
  <c r="BZ277" i="7"/>
  <c r="CU276" i="7"/>
  <c r="EN276" i="7"/>
  <c r="CK278" i="7"/>
  <c r="DF277" i="7"/>
  <c r="AN275" i="7"/>
  <c r="BH275" i="7" s="1"/>
  <c r="CF276" i="7"/>
  <c r="DA275" i="7"/>
  <c r="BO273" i="7"/>
  <c r="BQ273" i="7" s="1"/>
  <c r="BI275" i="7"/>
  <c r="CB277" i="7"/>
  <c r="CW276" i="7"/>
  <c r="E265" i="7"/>
  <c r="BL265" i="7"/>
  <c r="AL266" i="7"/>
  <c r="CC278" i="7"/>
  <c r="CX277" i="7"/>
  <c r="CD277" i="7"/>
  <c r="CY276" i="7"/>
  <c r="D265" i="7"/>
  <c r="BK265" i="7"/>
  <c r="AK266" i="7"/>
  <c r="P275" i="7"/>
  <c r="N276" i="7" s="1"/>
  <c r="CJ277" i="7"/>
  <c r="DE276" i="7"/>
  <c r="BY278" i="7"/>
  <c r="CT277" i="7"/>
  <c r="BY279" i="7" l="1"/>
  <c r="CT278" i="7"/>
  <c r="CC279" i="7"/>
  <c r="CX278" i="7"/>
  <c r="CJ278" i="7"/>
  <c r="DE277" i="7"/>
  <c r="EC276" i="7"/>
  <c r="DX276" i="7"/>
  <c r="EB276" i="7"/>
  <c r="DW276" i="7"/>
  <c r="EA276" i="7"/>
  <c r="DV276" i="7"/>
  <c r="BS277" i="7"/>
  <c r="EF276" i="7"/>
  <c r="DZ276" i="7"/>
  <c r="CN276" i="7"/>
  <c r="M276" i="7"/>
  <c r="BE274" i="7"/>
  <c r="BD274" i="7"/>
  <c r="BF274" i="7"/>
  <c r="P276" i="7"/>
  <c r="N277" i="7" s="1"/>
  <c r="BX278" i="7"/>
  <c r="CS277" i="7"/>
  <c r="AQ276" i="7"/>
  <c r="AP276" i="7"/>
  <c r="AR276" i="7"/>
  <c r="H273" i="7"/>
  <c r="G273" i="7"/>
  <c r="EN277" i="7"/>
  <c r="BZ278" i="7"/>
  <c r="CU277" i="7"/>
  <c r="BW278" i="7"/>
  <c r="CR277" i="7"/>
  <c r="BU279" i="7"/>
  <c r="CP278" i="7"/>
  <c r="BO274" i="7"/>
  <c r="BV278" i="7"/>
  <c r="CQ277" i="7"/>
  <c r="CG278" i="7"/>
  <c r="DB277" i="7"/>
  <c r="AO277" i="7"/>
  <c r="CK279" i="7"/>
  <c r="DF278" i="7"/>
  <c r="AM276" i="7"/>
  <c r="BG276" i="7" s="1"/>
  <c r="CE277" i="7"/>
  <c r="CZ276" i="7"/>
  <c r="C266" i="7"/>
  <c r="F266" i="7" s="1"/>
  <c r="BJ266" i="7"/>
  <c r="BM266" i="7" s="1"/>
  <c r="B266" i="7" s="1"/>
  <c r="AJ267" i="7"/>
  <c r="BT278" i="7"/>
  <c r="CO277" i="7"/>
  <c r="EO277" i="7"/>
  <c r="AZ275" i="7"/>
  <c r="DO275" i="7" s="1"/>
  <c r="AV275" i="7"/>
  <c r="DK275" i="7" s="1"/>
  <c r="BC275" i="7"/>
  <c r="DR275" i="7" s="1"/>
  <c r="AY275" i="7"/>
  <c r="DN275" i="7" s="1"/>
  <c r="AU275" i="7"/>
  <c r="DJ275" i="7" s="1"/>
  <c r="BB275" i="7"/>
  <c r="DQ275" i="7" s="1"/>
  <c r="AX275" i="7"/>
  <c r="DM275" i="7" s="1"/>
  <c r="AT275" i="7"/>
  <c r="BA275" i="7"/>
  <c r="DP275" i="7" s="1"/>
  <c r="AW275" i="7"/>
  <c r="DL275" i="7" s="1"/>
  <c r="AF275" i="7"/>
  <c r="AI275" i="7" s="1"/>
  <c r="AH275" i="7"/>
  <c r="AG275" i="7"/>
  <c r="CM278" i="7"/>
  <c r="DH277" i="7"/>
  <c r="D266" i="7"/>
  <c r="BK266" i="7"/>
  <c r="AK267" i="7"/>
  <c r="CD278" i="7"/>
  <c r="CY277" i="7"/>
  <c r="BL266" i="7"/>
  <c r="E266" i="7"/>
  <c r="AL267" i="7"/>
  <c r="CB278" i="7"/>
  <c r="CW277" i="7"/>
  <c r="CF277" i="7"/>
  <c r="DA276" i="7"/>
  <c r="AN276" i="7"/>
  <c r="BH276" i="7" s="1"/>
  <c r="CA278" i="7"/>
  <c r="CV277" i="7"/>
  <c r="EM278" i="7"/>
  <c r="DG278" i="7"/>
  <c r="CL279" i="7"/>
  <c r="CI278" i="7"/>
  <c r="DD277" i="7"/>
  <c r="DS277" i="7"/>
  <c r="CH277" i="7"/>
  <c r="DC276" i="7"/>
  <c r="BN276" i="7"/>
  <c r="BI276" i="7"/>
  <c r="DI274" i="7"/>
  <c r="DI275" i="7" s="1"/>
  <c r="BP275" i="7" l="1"/>
  <c r="C267" i="7"/>
  <c r="F267" i="7" s="1"/>
  <c r="BJ267" i="7"/>
  <c r="BM267" i="7" s="1"/>
  <c r="B267" i="7" s="1"/>
  <c r="AJ268" i="7"/>
  <c r="CE278" i="7"/>
  <c r="CZ277" i="7"/>
  <c r="AM277" i="7"/>
  <c r="BG277" i="7" s="1"/>
  <c r="BV279" i="7"/>
  <c r="CQ278" i="7"/>
  <c r="BU280" i="7"/>
  <c r="CP279" i="7"/>
  <c r="BZ279" i="7"/>
  <c r="CU278" i="7"/>
  <c r="EN278" i="7"/>
  <c r="AP277" i="7"/>
  <c r="AR277" i="7"/>
  <c r="BI277" i="7" s="1"/>
  <c r="AQ277" i="7"/>
  <c r="BP274" i="7"/>
  <c r="BN277" i="7"/>
  <c r="CH278" i="7"/>
  <c r="DC277" i="7"/>
  <c r="DG279" i="7"/>
  <c r="EM279" i="7"/>
  <c r="CL280" i="7"/>
  <c r="CA279" i="7"/>
  <c r="CV278" i="7"/>
  <c r="P277" i="7"/>
  <c r="CB279" i="7"/>
  <c r="CW278" i="7"/>
  <c r="BD275" i="7"/>
  <c r="BF275" i="7"/>
  <c r="BE275" i="7"/>
  <c r="BC276" i="7"/>
  <c r="DR276" i="7" s="1"/>
  <c r="AY276" i="7"/>
  <c r="DN276" i="7" s="1"/>
  <c r="AU276" i="7"/>
  <c r="DJ276" i="7" s="1"/>
  <c r="BB276" i="7"/>
  <c r="DQ276" i="7" s="1"/>
  <c r="AX276" i="7"/>
  <c r="DM276" i="7" s="1"/>
  <c r="AT276" i="7"/>
  <c r="DI276" i="7" s="1"/>
  <c r="BA276" i="7"/>
  <c r="DP276" i="7" s="1"/>
  <c r="AW276" i="7"/>
  <c r="DL276" i="7" s="1"/>
  <c r="AZ276" i="7"/>
  <c r="DO276" i="7" s="1"/>
  <c r="AV276" i="7"/>
  <c r="DK276" i="7" s="1"/>
  <c r="AG276" i="7"/>
  <c r="AH276" i="7"/>
  <c r="AF276" i="7"/>
  <c r="AI276" i="7" s="1"/>
  <c r="EB277" i="7"/>
  <c r="DW277" i="7"/>
  <c r="EA277" i="7"/>
  <c r="DV277" i="7"/>
  <c r="BS278" i="7"/>
  <c r="EF277" i="7"/>
  <c r="DZ277" i="7"/>
  <c r="CN277" i="7"/>
  <c r="EC277" i="7"/>
  <c r="DX277" i="7"/>
  <c r="M277" i="7"/>
  <c r="CJ279" i="7"/>
  <c r="DE278" i="7"/>
  <c r="BY280" i="7"/>
  <c r="CT279" i="7"/>
  <c r="BL267" i="7"/>
  <c r="E267" i="7"/>
  <c r="AL268" i="7"/>
  <c r="CD279" i="7"/>
  <c r="CY278" i="7"/>
  <c r="AO278" i="7"/>
  <c r="CG279" i="7"/>
  <c r="DB278" i="7"/>
  <c r="BQ274" i="7"/>
  <c r="BW279" i="7"/>
  <c r="CR278" i="7"/>
  <c r="BO275" i="7"/>
  <c r="BQ275" i="7" s="1"/>
  <c r="CI279" i="7"/>
  <c r="DD278" i="7"/>
  <c r="DS278" i="7"/>
  <c r="CF278" i="7"/>
  <c r="DA277" i="7"/>
  <c r="AN277" i="7"/>
  <c r="BH277" i="7" s="1"/>
  <c r="BK267" i="7"/>
  <c r="D267" i="7"/>
  <c r="AK268" i="7"/>
  <c r="CM279" i="7"/>
  <c r="DH278" i="7"/>
  <c r="BT279" i="7"/>
  <c r="CO278" i="7"/>
  <c r="EO278" i="7"/>
  <c r="CK280" i="7"/>
  <c r="DF279" i="7"/>
  <c r="BX279" i="7"/>
  <c r="CS278" i="7"/>
  <c r="CC280" i="7"/>
  <c r="CX279" i="7"/>
  <c r="BP276" i="7" l="1"/>
  <c r="BX280" i="7"/>
  <c r="CS279" i="7"/>
  <c r="EO279" i="7"/>
  <c r="BT280" i="7"/>
  <c r="CO279" i="7"/>
  <c r="CF279" i="7"/>
  <c r="DA278" i="7"/>
  <c r="AN278" i="7"/>
  <c r="H274" i="7"/>
  <c r="G274" i="7"/>
  <c r="CJ280" i="7"/>
  <c r="DE279" i="7"/>
  <c r="BO276" i="7"/>
  <c r="BQ276" i="7" s="1"/>
  <c r="BU281" i="7"/>
  <c r="CP280" i="7"/>
  <c r="CK281" i="7"/>
  <c r="DF280" i="7"/>
  <c r="BB277" i="7"/>
  <c r="DQ277" i="7" s="1"/>
  <c r="AX277" i="7"/>
  <c r="DM277" i="7" s="1"/>
  <c r="AT277" i="7"/>
  <c r="BA277" i="7"/>
  <c r="DP277" i="7" s="1"/>
  <c r="AW277" i="7"/>
  <c r="DL277" i="7" s="1"/>
  <c r="AZ277" i="7"/>
  <c r="DO277" i="7" s="1"/>
  <c r="AV277" i="7"/>
  <c r="DK277" i="7" s="1"/>
  <c r="BC277" i="7"/>
  <c r="DR277" i="7" s="1"/>
  <c r="AY277" i="7"/>
  <c r="DN277" i="7" s="1"/>
  <c r="AU277" i="7"/>
  <c r="DJ277" i="7" s="1"/>
  <c r="AF277" i="7"/>
  <c r="AI277" i="7" s="1"/>
  <c r="AG277" i="7"/>
  <c r="AH277" i="7"/>
  <c r="CB280" i="7"/>
  <c r="CW279" i="7"/>
  <c r="CA280" i="7"/>
  <c r="CV279" i="7"/>
  <c r="CC281" i="7"/>
  <c r="CX280" i="7"/>
  <c r="P278" i="7"/>
  <c r="CM280" i="7"/>
  <c r="DH279" i="7"/>
  <c r="CG280" i="7"/>
  <c r="DB279" i="7"/>
  <c r="AO279" i="7"/>
  <c r="E268" i="7"/>
  <c r="BL268" i="7"/>
  <c r="AL269" i="7"/>
  <c r="BY281" i="7"/>
  <c r="CT280" i="7"/>
  <c r="DG280" i="7"/>
  <c r="EM280" i="7"/>
  <c r="CL281" i="7"/>
  <c r="CH279" i="7"/>
  <c r="DC278" i="7"/>
  <c r="BN278" i="7"/>
  <c r="BZ280" i="7"/>
  <c r="CU279" i="7"/>
  <c r="EN279" i="7"/>
  <c r="BV280" i="7"/>
  <c r="CQ279" i="7"/>
  <c r="CE279" i="7"/>
  <c r="CZ278" i="7"/>
  <c r="AM278" i="7"/>
  <c r="G275" i="7"/>
  <c r="H275" i="7"/>
  <c r="CD280" i="7"/>
  <c r="CY279" i="7"/>
  <c r="BK268" i="7"/>
  <c r="D268" i="7"/>
  <c r="AK269" i="7"/>
  <c r="CI280" i="7"/>
  <c r="DD279" i="7"/>
  <c r="DS279" i="7"/>
  <c r="BW280" i="7"/>
  <c r="CR279" i="7"/>
  <c r="EA278" i="7"/>
  <c r="DV278" i="7"/>
  <c r="BS279" i="7"/>
  <c r="EF278" i="7"/>
  <c r="DZ278" i="7"/>
  <c r="CN278" i="7"/>
  <c r="BO277" i="7" s="1"/>
  <c r="EC278" i="7"/>
  <c r="DX278" i="7"/>
  <c r="EB278" i="7"/>
  <c r="DW278" i="7"/>
  <c r="M278" i="7"/>
  <c r="BF276" i="7"/>
  <c r="BE276" i="7"/>
  <c r="BD276" i="7"/>
  <c r="N278" i="7"/>
  <c r="BJ268" i="7"/>
  <c r="BM268" i="7" s="1"/>
  <c r="B268" i="7" s="1"/>
  <c r="C268" i="7"/>
  <c r="F268" i="7" s="1"/>
  <c r="AJ269" i="7"/>
  <c r="D269" i="7" l="1"/>
  <c r="BK269" i="7"/>
  <c r="AK270" i="7"/>
  <c r="CG281" i="7"/>
  <c r="DB280" i="7"/>
  <c r="AO280" i="7"/>
  <c r="N279" i="7"/>
  <c r="CA281" i="7"/>
  <c r="CV280" i="7"/>
  <c r="H276" i="7"/>
  <c r="G276" i="7"/>
  <c r="BX281" i="7"/>
  <c r="CS280" i="7"/>
  <c r="BW281" i="7"/>
  <c r="CR280" i="7"/>
  <c r="P279" i="7"/>
  <c r="CE280" i="7"/>
  <c r="CZ279" i="7"/>
  <c r="AM279" i="7"/>
  <c r="CH280" i="7"/>
  <c r="DC279" i="7"/>
  <c r="BN279" i="7"/>
  <c r="BF277" i="7"/>
  <c r="BE277" i="7"/>
  <c r="BD277" i="7"/>
  <c r="CK282" i="7"/>
  <c r="DF281" i="7"/>
  <c r="EO280" i="7"/>
  <c r="BT281" i="7"/>
  <c r="CO280" i="7"/>
  <c r="CD281" i="7"/>
  <c r="CY280" i="7"/>
  <c r="BZ281" i="7"/>
  <c r="CU280" i="7"/>
  <c r="EN280" i="7"/>
  <c r="EM281" i="7"/>
  <c r="DG281" i="7"/>
  <c r="CL282" i="7"/>
  <c r="BY282" i="7"/>
  <c r="CT281" i="7"/>
  <c r="CM281" i="7"/>
  <c r="DH280" i="7"/>
  <c r="CC282" i="7"/>
  <c r="CX281" i="7"/>
  <c r="CB281" i="7"/>
  <c r="CW280" i="7"/>
  <c r="CJ281" i="7"/>
  <c r="DE280" i="7"/>
  <c r="BJ269" i="7"/>
  <c r="BM269" i="7" s="1"/>
  <c r="B269" i="7" s="1"/>
  <c r="C269" i="7"/>
  <c r="F269" i="7" s="1"/>
  <c r="AJ270" i="7"/>
  <c r="AR278" i="7"/>
  <c r="BI278" i="7" s="1"/>
  <c r="AQ278" i="7"/>
  <c r="BH278" i="7" s="1"/>
  <c r="AP278" i="7"/>
  <c r="BA278" i="7"/>
  <c r="DP278" i="7" s="1"/>
  <c r="AW278" i="7"/>
  <c r="DL278" i="7" s="1"/>
  <c r="AZ278" i="7"/>
  <c r="DO278" i="7" s="1"/>
  <c r="AV278" i="7"/>
  <c r="DK278" i="7" s="1"/>
  <c r="BC278" i="7"/>
  <c r="DR278" i="7" s="1"/>
  <c r="AY278" i="7"/>
  <c r="DN278" i="7" s="1"/>
  <c r="AU278" i="7"/>
  <c r="DJ278" i="7" s="1"/>
  <c r="BB278" i="7"/>
  <c r="DQ278" i="7" s="1"/>
  <c r="AX278" i="7"/>
  <c r="DM278" i="7" s="1"/>
  <c r="AT278" i="7"/>
  <c r="AH278" i="7"/>
  <c r="AG278" i="7"/>
  <c r="AF278" i="7"/>
  <c r="AI278" i="7" s="1"/>
  <c r="BS280" i="7"/>
  <c r="EF279" i="7"/>
  <c r="DZ279" i="7"/>
  <c r="CN279" i="7"/>
  <c r="EC279" i="7"/>
  <c r="DX279" i="7"/>
  <c r="EB279" i="7"/>
  <c r="DW279" i="7"/>
  <c r="EA279" i="7"/>
  <c r="DV279" i="7"/>
  <c r="M279" i="7"/>
  <c r="DS280" i="7"/>
  <c r="CI281" i="7"/>
  <c r="DD280" i="7"/>
  <c r="BG278" i="7"/>
  <c r="BV281" i="7"/>
  <c r="CQ280" i="7"/>
  <c r="E269" i="7"/>
  <c r="BL269" i="7"/>
  <c r="AL270" i="7"/>
  <c r="BU282" i="7"/>
  <c r="CP281" i="7"/>
  <c r="AN279" i="7"/>
  <c r="CF280" i="7"/>
  <c r="DA279" i="7"/>
  <c r="DI277" i="7"/>
  <c r="DI278" i="7" s="1"/>
  <c r="BP278" i="7" l="1"/>
  <c r="BV282" i="7"/>
  <c r="CQ281" i="7"/>
  <c r="BO278" i="7"/>
  <c r="BQ278" i="7" s="1"/>
  <c r="BY283" i="7"/>
  <c r="CT282" i="7"/>
  <c r="CD282" i="7"/>
  <c r="CY281" i="7"/>
  <c r="CH281" i="7"/>
  <c r="DC280" i="7"/>
  <c r="BN280" i="7"/>
  <c r="N280" i="7"/>
  <c r="BP277" i="7"/>
  <c r="BQ277" i="7" s="1"/>
  <c r="P280" i="7"/>
  <c r="AZ279" i="7"/>
  <c r="DO279" i="7" s="1"/>
  <c r="AV279" i="7"/>
  <c r="DK279" i="7" s="1"/>
  <c r="BC279" i="7"/>
  <c r="DR279" i="7" s="1"/>
  <c r="AY279" i="7"/>
  <c r="DN279" i="7" s="1"/>
  <c r="AU279" i="7"/>
  <c r="DJ279" i="7" s="1"/>
  <c r="BB279" i="7"/>
  <c r="DQ279" i="7" s="1"/>
  <c r="AX279" i="7"/>
  <c r="DM279" i="7" s="1"/>
  <c r="AT279" i="7"/>
  <c r="BA279" i="7"/>
  <c r="DP279" i="7" s="1"/>
  <c r="AW279" i="7"/>
  <c r="DL279" i="7" s="1"/>
  <c r="AH279" i="7"/>
  <c r="AG279" i="7"/>
  <c r="AF279" i="7"/>
  <c r="AI279" i="7" s="1"/>
  <c r="CB282" i="7"/>
  <c r="CW281" i="7"/>
  <c r="CM282" i="7"/>
  <c r="DH281" i="7"/>
  <c r="EM282" i="7"/>
  <c r="DG282" i="7"/>
  <c r="CL283" i="7"/>
  <c r="BX282" i="7"/>
  <c r="CS281" i="7"/>
  <c r="CA282" i="7"/>
  <c r="CV281" i="7"/>
  <c r="CG282" i="7"/>
  <c r="DB281" i="7"/>
  <c r="AO281" i="7"/>
  <c r="BU283" i="7"/>
  <c r="CP282" i="7"/>
  <c r="EN281" i="7"/>
  <c r="BZ282" i="7"/>
  <c r="CU281" i="7"/>
  <c r="BT282" i="7"/>
  <c r="CO281" i="7"/>
  <c r="EO281" i="7"/>
  <c r="CK283" i="7"/>
  <c r="DF282" i="7"/>
  <c r="AR279" i="7"/>
  <c r="BI279" i="7" s="1"/>
  <c r="AQ279" i="7"/>
  <c r="BH279" i="7" s="1"/>
  <c r="AP279" i="7"/>
  <c r="BG279" i="7" s="1"/>
  <c r="D270" i="7"/>
  <c r="BK270" i="7"/>
  <c r="AK271" i="7"/>
  <c r="CF281" i="7"/>
  <c r="DA280" i="7"/>
  <c r="AN280" i="7"/>
  <c r="BL270" i="7"/>
  <c r="E270" i="7"/>
  <c r="AL271" i="7"/>
  <c r="CI282" i="7"/>
  <c r="DD281" i="7"/>
  <c r="DS281" i="7"/>
  <c r="EC280" i="7"/>
  <c r="DX280" i="7"/>
  <c r="EB280" i="7"/>
  <c r="DW280" i="7"/>
  <c r="EA280" i="7"/>
  <c r="DV280" i="7"/>
  <c r="BS281" i="7"/>
  <c r="EF280" i="7"/>
  <c r="DZ280" i="7"/>
  <c r="CN280" i="7"/>
  <c r="M280" i="7"/>
  <c r="BE278" i="7"/>
  <c r="BD278" i="7"/>
  <c r="BF278" i="7"/>
  <c r="C270" i="7"/>
  <c r="F270" i="7" s="1"/>
  <c r="BJ270" i="7"/>
  <c r="BM270" i="7" s="1"/>
  <c r="B270" i="7" s="1"/>
  <c r="AJ271" i="7"/>
  <c r="CJ282" i="7"/>
  <c r="DE281" i="7"/>
  <c r="CC283" i="7"/>
  <c r="CX282" i="7"/>
  <c r="AM280" i="7"/>
  <c r="CE281" i="7"/>
  <c r="CZ280" i="7"/>
  <c r="BW282" i="7"/>
  <c r="CR281" i="7"/>
  <c r="C271" i="7" l="1"/>
  <c r="F271" i="7" s="1"/>
  <c r="BJ271" i="7"/>
  <c r="BM271" i="7" s="1"/>
  <c r="B271" i="7" s="1"/>
  <c r="AJ272" i="7"/>
  <c r="N281" i="7"/>
  <c r="CD283" i="7"/>
  <c r="CY282" i="7"/>
  <c r="BW283" i="7"/>
  <c r="CR282" i="7"/>
  <c r="CC284" i="7"/>
  <c r="CX283" i="7"/>
  <c r="P281" i="7"/>
  <c r="CF282" i="7"/>
  <c r="DA281" i="7"/>
  <c r="AN281" i="7"/>
  <c r="BT283" i="7"/>
  <c r="CO282" i="7"/>
  <c r="EO282" i="7"/>
  <c r="AO282" i="7"/>
  <c r="CG283" i="7"/>
  <c r="DB282" i="7"/>
  <c r="BX283" i="7"/>
  <c r="CS282" i="7"/>
  <c r="CB283" i="7"/>
  <c r="CW282" i="7"/>
  <c r="BV283" i="7"/>
  <c r="CQ282" i="7"/>
  <c r="BL271" i="7"/>
  <c r="E271" i="7"/>
  <c r="AL272" i="7"/>
  <c r="BC280" i="7"/>
  <c r="DR280" i="7" s="1"/>
  <c r="AY280" i="7"/>
  <c r="DN280" i="7" s="1"/>
  <c r="AU280" i="7"/>
  <c r="DJ280" i="7" s="1"/>
  <c r="BB280" i="7"/>
  <c r="DQ280" i="7" s="1"/>
  <c r="AX280" i="7"/>
  <c r="DM280" i="7" s="1"/>
  <c r="AT280" i="7"/>
  <c r="BA280" i="7"/>
  <c r="DP280" i="7" s="1"/>
  <c r="AW280" i="7"/>
  <c r="DL280" i="7" s="1"/>
  <c r="AZ280" i="7"/>
  <c r="DO280" i="7" s="1"/>
  <c r="AV280" i="7"/>
  <c r="DK280" i="7" s="1"/>
  <c r="AG280" i="7"/>
  <c r="AH280" i="7"/>
  <c r="AF280" i="7"/>
  <c r="AI280" i="7" s="1"/>
  <c r="EB281" i="7"/>
  <c r="DW281" i="7"/>
  <c r="EA281" i="7"/>
  <c r="DV281" i="7"/>
  <c r="BS282" i="7"/>
  <c r="EF281" i="7"/>
  <c r="DZ281" i="7"/>
  <c r="CN281" i="7"/>
  <c r="EC281" i="7"/>
  <c r="DX281" i="7"/>
  <c r="M281" i="7"/>
  <c r="CK284" i="7"/>
  <c r="DF283" i="7"/>
  <c r="BU284" i="7"/>
  <c r="CP283" i="7"/>
  <c r="H277" i="7"/>
  <c r="G277" i="7"/>
  <c r="BN281" i="7"/>
  <c r="CH282" i="7"/>
  <c r="DC281" i="7"/>
  <c r="BY284" i="7"/>
  <c r="CT283" i="7"/>
  <c r="CE282" i="7"/>
  <c r="CZ281" i="7"/>
  <c r="AM281" i="7"/>
  <c r="BG280" i="7"/>
  <c r="CJ283" i="7"/>
  <c r="DE282" i="7"/>
  <c r="BO279" i="7"/>
  <c r="CI283" i="7"/>
  <c r="DD282" i="7"/>
  <c r="DS282" i="7"/>
  <c r="BK271" i="7"/>
  <c r="D271" i="7"/>
  <c r="AK272" i="7"/>
  <c r="BZ283" i="7"/>
  <c r="CU282" i="7"/>
  <c r="EN282" i="7"/>
  <c r="CA283" i="7"/>
  <c r="CV282" i="7"/>
  <c r="DG283" i="7"/>
  <c r="EM283" i="7"/>
  <c r="CL284" i="7"/>
  <c r="CM283" i="7"/>
  <c r="DH282" i="7"/>
  <c r="BD279" i="7"/>
  <c r="BF279" i="7"/>
  <c r="BE279" i="7"/>
  <c r="DI279" i="7"/>
  <c r="DI280" i="7" s="1"/>
  <c r="AQ280" i="7"/>
  <c r="BH280" i="7" s="1"/>
  <c r="AP280" i="7"/>
  <c r="AR280" i="7"/>
  <c r="BI280" i="7" s="1"/>
  <c r="H278" i="7"/>
  <c r="G278" i="7"/>
  <c r="BP280" i="7" l="1"/>
  <c r="BK272" i="7"/>
  <c r="D272" i="7"/>
  <c r="AK273" i="7"/>
  <c r="P282" i="7"/>
  <c r="BU285" i="7"/>
  <c r="CP284" i="7"/>
  <c r="CF283" i="7"/>
  <c r="DA282" i="7"/>
  <c r="AN282" i="7"/>
  <c r="CC285" i="7"/>
  <c r="CX284" i="7"/>
  <c r="CD284" i="7"/>
  <c r="CY283" i="7"/>
  <c r="BP279" i="7"/>
  <c r="CM284" i="7"/>
  <c r="DH283" i="7"/>
  <c r="CI284" i="7"/>
  <c r="DD283" i="7"/>
  <c r="DS283" i="7"/>
  <c r="DG284" i="7"/>
  <c r="EM284" i="7"/>
  <c r="CL285" i="7"/>
  <c r="CA284" i="7"/>
  <c r="CV283" i="7"/>
  <c r="BZ284" i="7"/>
  <c r="CU283" i="7"/>
  <c r="EN283" i="7"/>
  <c r="BQ279" i="7"/>
  <c r="BY285" i="7"/>
  <c r="CT284" i="7"/>
  <c r="EA282" i="7"/>
  <c r="DV282" i="7"/>
  <c r="BS283" i="7"/>
  <c r="EF282" i="7"/>
  <c r="DZ282" i="7"/>
  <c r="CN282" i="7"/>
  <c r="EC282" i="7"/>
  <c r="DX282" i="7"/>
  <c r="EB282" i="7"/>
  <c r="DW282" i="7"/>
  <c r="M282" i="7"/>
  <c r="BF280" i="7"/>
  <c r="BE280" i="7"/>
  <c r="BD280" i="7"/>
  <c r="CB284" i="7"/>
  <c r="CW283" i="7"/>
  <c r="CG284" i="7"/>
  <c r="DB283" i="7"/>
  <c r="AO283" i="7"/>
  <c r="EO283" i="7"/>
  <c r="BT284" i="7"/>
  <c r="CO283" i="7"/>
  <c r="CK285" i="7"/>
  <c r="DF284" i="7"/>
  <c r="BO280" i="7"/>
  <c r="BQ280" i="7" s="1"/>
  <c r="BH281" i="7"/>
  <c r="N282" i="7"/>
  <c r="BW284" i="7"/>
  <c r="CR283" i="7"/>
  <c r="AP281" i="7"/>
  <c r="BG281" i="7" s="1"/>
  <c r="AR281" i="7"/>
  <c r="BI281" i="7" s="1"/>
  <c r="AQ281" i="7"/>
  <c r="CJ284" i="7"/>
  <c r="DE283" i="7"/>
  <c r="CE283" i="7"/>
  <c r="CZ282" i="7"/>
  <c r="AM282" i="7"/>
  <c r="CH283" i="7"/>
  <c r="DC282" i="7"/>
  <c r="BN282" i="7"/>
  <c r="BB281" i="7"/>
  <c r="DQ281" i="7" s="1"/>
  <c r="AX281" i="7"/>
  <c r="DM281" i="7" s="1"/>
  <c r="AT281" i="7"/>
  <c r="DI281" i="7" s="1"/>
  <c r="BA281" i="7"/>
  <c r="DP281" i="7" s="1"/>
  <c r="AW281" i="7"/>
  <c r="DL281" i="7" s="1"/>
  <c r="AZ281" i="7"/>
  <c r="DO281" i="7" s="1"/>
  <c r="AV281" i="7"/>
  <c r="DK281" i="7" s="1"/>
  <c r="BC281" i="7"/>
  <c r="DR281" i="7" s="1"/>
  <c r="AY281" i="7"/>
  <c r="DN281" i="7" s="1"/>
  <c r="AU281" i="7"/>
  <c r="DJ281" i="7" s="1"/>
  <c r="AF281" i="7"/>
  <c r="AI281" i="7" s="1"/>
  <c r="AG281" i="7"/>
  <c r="AH281" i="7"/>
  <c r="E272" i="7"/>
  <c r="BL272" i="7"/>
  <c r="AL273" i="7"/>
  <c r="BV284" i="7"/>
  <c r="CQ283" i="7"/>
  <c r="BX284" i="7"/>
  <c r="CS283" i="7"/>
  <c r="BJ272" i="7"/>
  <c r="BM272" i="7" s="1"/>
  <c r="B272" i="7" s="1"/>
  <c r="C272" i="7"/>
  <c r="F272" i="7" s="1"/>
  <c r="AJ273" i="7"/>
  <c r="BP281" i="7" l="1"/>
  <c r="E273" i="7"/>
  <c r="BL273" i="7"/>
  <c r="AL274" i="7"/>
  <c r="AR282" i="7"/>
  <c r="BI282" i="7" s="1"/>
  <c r="AQ282" i="7"/>
  <c r="AP282" i="7"/>
  <c r="CA285" i="7"/>
  <c r="CV284" i="7"/>
  <c r="P283" i="7"/>
  <c r="CM285" i="7"/>
  <c r="DH284" i="7"/>
  <c r="AN283" i="7"/>
  <c r="CF284" i="7"/>
  <c r="DA283" i="7"/>
  <c r="CE284" i="7"/>
  <c r="CZ283" i="7"/>
  <c r="AM283" i="7"/>
  <c r="CK286" i="7"/>
  <c r="DF285" i="7"/>
  <c r="CB285" i="7"/>
  <c r="CW284" i="7"/>
  <c r="BA282" i="7"/>
  <c r="DP282" i="7" s="1"/>
  <c r="AW282" i="7"/>
  <c r="DL282" i="7" s="1"/>
  <c r="AZ282" i="7"/>
  <c r="DO282" i="7" s="1"/>
  <c r="AV282" i="7"/>
  <c r="DK282" i="7" s="1"/>
  <c r="BC282" i="7"/>
  <c r="DR282" i="7" s="1"/>
  <c r="AY282" i="7"/>
  <c r="DN282" i="7" s="1"/>
  <c r="AU282" i="7"/>
  <c r="DJ282" i="7" s="1"/>
  <c r="BB282" i="7"/>
  <c r="DQ282" i="7" s="1"/>
  <c r="AX282" i="7"/>
  <c r="DM282" i="7" s="1"/>
  <c r="AT282" i="7"/>
  <c r="AH282" i="7"/>
  <c r="AG282" i="7"/>
  <c r="AF282" i="7"/>
  <c r="AI282" i="7" s="1"/>
  <c r="BS284" i="7"/>
  <c r="EF283" i="7"/>
  <c r="DZ283" i="7"/>
  <c r="CN283" i="7"/>
  <c r="EC283" i="7"/>
  <c r="DX283" i="7"/>
  <c r="EB283" i="7"/>
  <c r="DW283" i="7"/>
  <c r="EA283" i="7"/>
  <c r="DV283" i="7"/>
  <c r="M283" i="7"/>
  <c r="BY286" i="7"/>
  <c r="CT285" i="7"/>
  <c r="EM285" i="7"/>
  <c r="DG285" i="7"/>
  <c r="CL286" i="7"/>
  <c r="CC286" i="7"/>
  <c r="CX285" i="7"/>
  <c r="BJ273" i="7"/>
  <c r="BM273" i="7" s="1"/>
  <c r="B273" i="7" s="1"/>
  <c r="C273" i="7"/>
  <c r="F273" i="7" s="1"/>
  <c r="AJ274" i="7"/>
  <c r="CH284" i="7"/>
  <c r="DC283" i="7"/>
  <c r="BN283" i="7"/>
  <c r="BO281" i="7"/>
  <c r="BQ281" i="7" s="1"/>
  <c r="BZ285" i="7"/>
  <c r="CU284" i="7"/>
  <c r="EN284" i="7"/>
  <c r="DS284" i="7"/>
  <c r="CI285" i="7"/>
  <c r="DD284" i="7"/>
  <c r="BH282" i="7"/>
  <c r="BU286" i="7"/>
  <c r="CP285" i="7"/>
  <c r="N283" i="7"/>
  <c r="BX285" i="7"/>
  <c r="CS284" i="7"/>
  <c r="BF281" i="7"/>
  <c r="BE281" i="7"/>
  <c r="BD281" i="7"/>
  <c r="BV285" i="7"/>
  <c r="CQ284" i="7"/>
  <c r="BG282" i="7"/>
  <c r="CJ285" i="7"/>
  <c r="DE284" i="7"/>
  <c r="BW285" i="7"/>
  <c r="CR284" i="7"/>
  <c r="H280" i="7"/>
  <c r="G280" i="7"/>
  <c r="EO284" i="7"/>
  <c r="BT285" i="7"/>
  <c r="CO284" i="7"/>
  <c r="CG285" i="7"/>
  <c r="DB284" i="7"/>
  <c r="AO284" i="7"/>
  <c r="G279" i="7"/>
  <c r="H279" i="7"/>
  <c r="CD285" i="7"/>
  <c r="CY284" i="7"/>
  <c r="D273" i="7"/>
  <c r="BK273" i="7"/>
  <c r="AK274" i="7"/>
  <c r="BT286" i="7" l="1"/>
  <c r="CO285" i="7"/>
  <c r="EO285" i="7"/>
  <c r="AR283" i="7"/>
  <c r="BI283" i="7" s="1"/>
  <c r="AQ283" i="7"/>
  <c r="AP283" i="7"/>
  <c r="CG286" i="7"/>
  <c r="DB285" i="7"/>
  <c r="AO285" i="7"/>
  <c r="BV286" i="7"/>
  <c r="CQ285" i="7"/>
  <c r="BU287" i="7"/>
  <c r="CP286" i="7"/>
  <c r="P284" i="7"/>
  <c r="H281" i="7"/>
  <c r="G281" i="7"/>
  <c r="C274" i="7"/>
  <c r="F274" i="7" s="1"/>
  <c r="BJ274" i="7"/>
  <c r="BM274" i="7" s="1"/>
  <c r="B274" i="7" s="1"/>
  <c r="AJ275" i="7"/>
  <c r="CC287" i="7"/>
  <c r="CX286" i="7"/>
  <c r="EC284" i="7"/>
  <c r="DX284" i="7"/>
  <c r="EB284" i="7"/>
  <c r="DW284" i="7"/>
  <c r="EA284" i="7"/>
  <c r="DV284" i="7"/>
  <c r="BS285" i="7"/>
  <c r="EF284" i="7"/>
  <c r="DZ284" i="7"/>
  <c r="CN284" i="7"/>
  <c r="M284" i="7"/>
  <c r="BE282" i="7"/>
  <c r="BD282" i="7"/>
  <c r="BF282" i="7"/>
  <c r="BH283" i="7"/>
  <c r="CJ286" i="7"/>
  <c r="DE285" i="7"/>
  <c r="BX286" i="7"/>
  <c r="CS285" i="7"/>
  <c r="EM286" i="7"/>
  <c r="DG286" i="7"/>
  <c r="CL287" i="7"/>
  <c r="BY287" i="7"/>
  <c r="CT286" i="7"/>
  <c r="BO282" i="7"/>
  <c r="AM284" i="7"/>
  <c r="CE285" i="7"/>
  <c r="CZ284" i="7"/>
  <c r="AZ283" i="7"/>
  <c r="DO283" i="7" s="1"/>
  <c r="AV283" i="7"/>
  <c r="DK283" i="7" s="1"/>
  <c r="BC283" i="7"/>
  <c r="DR283" i="7" s="1"/>
  <c r="AY283" i="7"/>
  <c r="DN283" i="7" s="1"/>
  <c r="AU283" i="7"/>
  <c r="DJ283" i="7" s="1"/>
  <c r="BB283" i="7"/>
  <c r="DQ283" i="7" s="1"/>
  <c r="AX283" i="7"/>
  <c r="DM283" i="7" s="1"/>
  <c r="AT283" i="7"/>
  <c r="BA283" i="7"/>
  <c r="DP283" i="7" s="1"/>
  <c r="AW283" i="7"/>
  <c r="DL283" i="7" s="1"/>
  <c r="AG283" i="7"/>
  <c r="AF283" i="7"/>
  <c r="AI283" i="7" s="1"/>
  <c r="AH283" i="7"/>
  <c r="CK287" i="7"/>
  <c r="DF286" i="7"/>
  <c r="CM286" i="7"/>
  <c r="DH285" i="7"/>
  <c r="CA286" i="7"/>
  <c r="CV285" i="7"/>
  <c r="BL274" i="7"/>
  <c r="E274" i="7"/>
  <c r="AL275" i="7"/>
  <c r="DI282" i="7"/>
  <c r="D274" i="7"/>
  <c r="BK274" i="7"/>
  <c r="AK275" i="7"/>
  <c r="CD286" i="7"/>
  <c r="CY285" i="7"/>
  <c r="BW286" i="7"/>
  <c r="CR285" i="7"/>
  <c r="CI286" i="7"/>
  <c r="DD285" i="7"/>
  <c r="DS285" i="7"/>
  <c r="EN285" i="7"/>
  <c r="BZ286" i="7"/>
  <c r="CU285" i="7"/>
  <c r="CH285" i="7"/>
  <c r="DC284" i="7"/>
  <c r="BN284" i="7"/>
  <c r="CB286" i="7"/>
  <c r="CW285" i="7"/>
  <c r="BG283" i="7"/>
  <c r="CF285" i="7"/>
  <c r="DA284" i="7"/>
  <c r="AN284" i="7"/>
  <c r="N284" i="7"/>
  <c r="CD287" i="7" l="1"/>
  <c r="CY286" i="7"/>
  <c r="CM287" i="7"/>
  <c r="DH286" i="7"/>
  <c r="BD283" i="7"/>
  <c r="BF283" i="7"/>
  <c r="BE283" i="7"/>
  <c r="N285" i="7"/>
  <c r="AO286" i="7"/>
  <c r="CG287" i="7"/>
  <c r="DB286" i="7"/>
  <c r="CB287" i="7"/>
  <c r="CW286" i="7"/>
  <c r="CF286" i="7"/>
  <c r="DA285" i="7"/>
  <c r="AN285" i="7"/>
  <c r="BZ287" i="7"/>
  <c r="CU286" i="7"/>
  <c r="EN286" i="7"/>
  <c r="BK275" i="7"/>
  <c r="D275" i="7"/>
  <c r="AK276" i="7"/>
  <c r="DI283" i="7"/>
  <c r="CE286" i="7"/>
  <c r="CZ285" i="7"/>
  <c r="AM285" i="7"/>
  <c r="BY288" i="7"/>
  <c r="CT287" i="7"/>
  <c r="CJ287" i="7"/>
  <c r="DE286" i="7"/>
  <c r="BV287" i="7"/>
  <c r="CQ286" i="7"/>
  <c r="BT287" i="7"/>
  <c r="CO286" i="7"/>
  <c r="EO286" i="7"/>
  <c r="BP282" i="7"/>
  <c r="CI287" i="7"/>
  <c r="DD286" i="7"/>
  <c r="DS286" i="7"/>
  <c r="AQ284" i="7"/>
  <c r="AP284" i="7"/>
  <c r="AR284" i="7"/>
  <c r="BI284" i="7" s="1"/>
  <c r="BH284" i="7"/>
  <c r="BN285" i="7"/>
  <c r="CH286" i="7"/>
  <c r="DC285" i="7"/>
  <c r="P285" i="7"/>
  <c r="BW287" i="7"/>
  <c r="CR286" i="7"/>
  <c r="BL275" i="7"/>
  <c r="E275" i="7"/>
  <c r="AL276" i="7"/>
  <c r="CA287" i="7"/>
  <c r="CV286" i="7"/>
  <c r="CK288" i="7"/>
  <c r="DF287" i="7"/>
  <c r="BG284" i="7"/>
  <c r="DG287" i="7"/>
  <c r="EM287" i="7"/>
  <c r="CL288" i="7"/>
  <c r="BC284" i="7"/>
  <c r="DR284" i="7" s="1"/>
  <c r="AY284" i="7"/>
  <c r="DN284" i="7" s="1"/>
  <c r="AU284" i="7"/>
  <c r="DJ284" i="7" s="1"/>
  <c r="BB284" i="7"/>
  <c r="DQ284" i="7" s="1"/>
  <c r="AX284" i="7"/>
  <c r="DM284" i="7" s="1"/>
  <c r="AT284" i="7"/>
  <c r="BA284" i="7"/>
  <c r="DP284" i="7" s="1"/>
  <c r="AW284" i="7"/>
  <c r="DL284" i="7" s="1"/>
  <c r="AZ284" i="7"/>
  <c r="DO284" i="7" s="1"/>
  <c r="AV284" i="7"/>
  <c r="DK284" i="7" s="1"/>
  <c r="AG284" i="7"/>
  <c r="AH284" i="7"/>
  <c r="AF284" i="7"/>
  <c r="AI284" i="7" s="1"/>
  <c r="EB285" i="7"/>
  <c r="DW285" i="7"/>
  <c r="EA285" i="7"/>
  <c r="DV285" i="7"/>
  <c r="BS286" i="7"/>
  <c r="EF285" i="7"/>
  <c r="DZ285" i="7"/>
  <c r="CN285" i="7"/>
  <c r="BO284" i="7" s="1"/>
  <c r="EC285" i="7"/>
  <c r="DX285" i="7"/>
  <c r="M285" i="7"/>
  <c r="CC288" i="7"/>
  <c r="CX287" i="7"/>
  <c r="BQ282" i="7"/>
  <c r="BX287" i="7"/>
  <c r="CS286" i="7"/>
  <c r="BO283" i="7"/>
  <c r="C275" i="7"/>
  <c r="F275" i="7" s="1"/>
  <c r="BJ275" i="7"/>
  <c r="BM275" i="7" s="1"/>
  <c r="B275" i="7" s="1"/>
  <c r="AJ276" i="7"/>
  <c r="BU288" i="7"/>
  <c r="CP287" i="7"/>
  <c r="BX288" i="7" l="1"/>
  <c r="CS287" i="7"/>
  <c r="CA288" i="7"/>
  <c r="CV287" i="7"/>
  <c r="CI288" i="7"/>
  <c r="DD287" i="7"/>
  <c r="DS287" i="7"/>
  <c r="EO287" i="7"/>
  <c r="BT288" i="7"/>
  <c r="CO287" i="7"/>
  <c r="CJ288" i="7"/>
  <c r="DE287" i="7"/>
  <c r="BZ288" i="7"/>
  <c r="CU287" i="7"/>
  <c r="EN287" i="7"/>
  <c r="CD288" i="7"/>
  <c r="CY287" i="7"/>
  <c r="H282" i="7"/>
  <c r="G282" i="7"/>
  <c r="BB285" i="7"/>
  <c r="DQ285" i="7" s="1"/>
  <c r="AX285" i="7"/>
  <c r="DM285" i="7" s="1"/>
  <c r="AT285" i="7"/>
  <c r="BA285" i="7"/>
  <c r="DP285" i="7" s="1"/>
  <c r="AW285" i="7"/>
  <c r="DL285" i="7" s="1"/>
  <c r="AZ285" i="7"/>
  <c r="DO285" i="7" s="1"/>
  <c r="AV285" i="7"/>
  <c r="DK285" i="7" s="1"/>
  <c r="BC285" i="7"/>
  <c r="DR285" i="7" s="1"/>
  <c r="AY285" i="7"/>
  <c r="DN285" i="7" s="1"/>
  <c r="AU285" i="7"/>
  <c r="DJ285" i="7" s="1"/>
  <c r="AG285" i="7"/>
  <c r="AH285" i="7"/>
  <c r="AF285" i="7"/>
  <c r="AI285" i="7" s="1"/>
  <c r="DG288" i="7"/>
  <c r="EM288" i="7"/>
  <c r="CL289" i="7"/>
  <c r="E276" i="7"/>
  <c r="BL276" i="7"/>
  <c r="AL277" i="7"/>
  <c r="BW288" i="7"/>
  <c r="CR287" i="7"/>
  <c r="CH287" i="7"/>
  <c r="DC286" i="7"/>
  <c r="BN286" i="7"/>
  <c r="CE287" i="7"/>
  <c r="CZ286" i="7"/>
  <c r="AM286" i="7"/>
  <c r="CB288" i="7"/>
  <c r="CW287" i="7"/>
  <c r="AP285" i="7"/>
  <c r="AR285" i="7"/>
  <c r="BI285" i="7" s="1"/>
  <c r="AQ285" i="7"/>
  <c r="BH285" i="7" s="1"/>
  <c r="CC289" i="7"/>
  <c r="CX288" i="7"/>
  <c r="BU289" i="7"/>
  <c r="CP288" i="7"/>
  <c r="CK289" i="7"/>
  <c r="DF288" i="7"/>
  <c r="P286" i="7"/>
  <c r="BV288" i="7"/>
  <c r="CQ287" i="7"/>
  <c r="BY289" i="7"/>
  <c r="CT288" i="7"/>
  <c r="DI284" i="7"/>
  <c r="DI285" i="7" s="1"/>
  <c r="CM288" i="7"/>
  <c r="DH287" i="7"/>
  <c r="BJ276" i="7"/>
  <c r="BM276" i="7" s="1"/>
  <c r="B276" i="7" s="1"/>
  <c r="C276" i="7"/>
  <c r="F276" i="7" s="1"/>
  <c r="AJ277" i="7"/>
  <c r="EA286" i="7"/>
  <c r="DV286" i="7"/>
  <c r="BS287" i="7"/>
  <c r="EF286" i="7"/>
  <c r="DZ286" i="7"/>
  <c r="CN286" i="7"/>
  <c r="BO285" i="7" s="1"/>
  <c r="EC286" i="7"/>
  <c r="DX286" i="7"/>
  <c r="EB286" i="7"/>
  <c r="DW286" i="7"/>
  <c r="M286" i="7"/>
  <c r="BF284" i="7"/>
  <c r="BE284" i="7"/>
  <c r="BD284" i="7"/>
  <c r="N286" i="7"/>
  <c r="BG285" i="7"/>
  <c r="BK276" i="7"/>
  <c r="D276" i="7"/>
  <c r="AK277" i="7"/>
  <c r="CF287" i="7"/>
  <c r="DA286" i="7"/>
  <c r="AN286" i="7"/>
  <c r="CG288" i="7"/>
  <c r="DB287" i="7"/>
  <c r="AO287" i="7"/>
  <c r="BP283" i="7"/>
  <c r="BQ283" i="7" s="1"/>
  <c r="G283" i="7" l="1"/>
  <c r="H283" i="7"/>
  <c r="BP285" i="7"/>
  <c r="BQ285" i="7" s="1"/>
  <c r="D277" i="7"/>
  <c r="BK277" i="7"/>
  <c r="AK278" i="7"/>
  <c r="AR286" i="7"/>
  <c r="BI286" i="7" s="1"/>
  <c r="AQ286" i="7"/>
  <c r="AP286" i="7"/>
  <c r="BY290" i="7"/>
  <c r="CT289" i="7"/>
  <c r="N287" i="7"/>
  <c r="CC290" i="7"/>
  <c r="CX289" i="7"/>
  <c r="CB289" i="7"/>
  <c r="CW288" i="7"/>
  <c r="CE288" i="7"/>
  <c r="CZ287" i="7"/>
  <c r="AM287" i="7"/>
  <c r="CD289" i="7"/>
  <c r="CY288" i="7"/>
  <c r="BZ289" i="7"/>
  <c r="CU288" i="7"/>
  <c r="EN288" i="7"/>
  <c r="EO288" i="7"/>
  <c r="BT289" i="7"/>
  <c r="CO288" i="7"/>
  <c r="DS288" i="7"/>
  <c r="CI289" i="7"/>
  <c r="DD288" i="7"/>
  <c r="BX289" i="7"/>
  <c r="CS288" i="7"/>
  <c r="CG289" i="7"/>
  <c r="DB288" i="7"/>
  <c r="AO288" i="7"/>
  <c r="AN287" i="7"/>
  <c r="CF288" i="7"/>
  <c r="DA287" i="7"/>
  <c r="BJ277" i="7"/>
  <c r="BM277" i="7" s="1"/>
  <c r="B277" i="7" s="1"/>
  <c r="C277" i="7"/>
  <c r="F277" i="7" s="1"/>
  <c r="AJ278" i="7"/>
  <c r="CM289" i="7"/>
  <c r="DH288" i="7"/>
  <c r="BW289" i="7"/>
  <c r="CR288" i="7"/>
  <c r="EM289" i="7"/>
  <c r="DG289" i="7"/>
  <c r="CL290" i="7"/>
  <c r="BA286" i="7"/>
  <c r="DP286" i="7" s="1"/>
  <c r="AW286" i="7"/>
  <c r="DL286" i="7" s="1"/>
  <c r="AZ286" i="7"/>
  <c r="DO286" i="7" s="1"/>
  <c r="AV286" i="7"/>
  <c r="DK286" i="7" s="1"/>
  <c r="BC286" i="7"/>
  <c r="DR286" i="7" s="1"/>
  <c r="AY286" i="7"/>
  <c r="DN286" i="7" s="1"/>
  <c r="AU286" i="7"/>
  <c r="DJ286" i="7" s="1"/>
  <c r="BB286" i="7"/>
  <c r="DQ286" i="7" s="1"/>
  <c r="AX286" i="7"/>
  <c r="DM286" i="7" s="1"/>
  <c r="AT286" i="7"/>
  <c r="AH286" i="7"/>
  <c r="AG286" i="7"/>
  <c r="AF286" i="7"/>
  <c r="AI286" i="7" s="1"/>
  <c r="BS288" i="7"/>
  <c r="EF287" i="7"/>
  <c r="DZ287" i="7"/>
  <c r="CN287" i="7"/>
  <c r="BO286" i="7" s="1"/>
  <c r="EC287" i="7"/>
  <c r="DX287" i="7"/>
  <c r="EB287" i="7"/>
  <c r="DW287" i="7"/>
  <c r="EA287" i="7"/>
  <c r="DV287" i="7"/>
  <c r="M287" i="7"/>
  <c r="DI286" i="7"/>
  <c r="BV289" i="7"/>
  <c r="CQ288" i="7"/>
  <c r="BU290" i="7"/>
  <c r="CP289" i="7"/>
  <c r="BG286" i="7"/>
  <c r="E277" i="7"/>
  <c r="BL277" i="7"/>
  <c r="AL278" i="7"/>
  <c r="BF285" i="7"/>
  <c r="BE285" i="7"/>
  <c r="BD285" i="7"/>
  <c r="CJ289" i="7"/>
  <c r="DE288" i="7"/>
  <c r="P287" i="7"/>
  <c r="N288" i="7" s="1"/>
  <c r="CA289" i="7"/>
  <c r="CV288" i="7"/>
  <c r="BP284" i="7"/>
  <c r="BQ284" i="7" s="1"/>
  <c r="BH286" i="7"/>
  <c r="CK290" i="7"/>
  <c r="DF289" i="7"/>
  <c r="CH288" i="7"/>
  <c r="DC287" i="7"/>
  <c r="BN287" i="7"/>
  <c r="H285" i="7" l="1"/>
  <c r="G285" i="7"/>
  <c r="BQ286" i="7"/>
  <c r="BP286" i="7"/>
  <c r="BL278" i="7"/>
  <c r="E278" i="7"/>
  <c r="AL279" i="7"/>
  <c r="BT290" i="7"/>
  <c r="CO289" i="7"/>
  <c r="EO289" i="7"/>
  <c r="EN289" i="7"/>
  <c r="BZ290" i="7"/>
  <c r="CU289" i="7"/>
  <c r="BY291" i="7"/>
  <c r="CT290" i="7"/>
  <c r="D278" i="7"/>
  <c r="BK278" i="7"/>
  <c r="AK279" i="7"/>
  <c r="CA290" i="7"/>
  <c r="CV289" i="7"/>
  <c r="AQ288" i="7"/>
  <c r="AP288" i="7"/>
  <c r="AR288" i="7"/>
  <c r="BU291" i="7"/>
  <c r="CP290" i="7"/>
  <c r="AZ287" i="7"/>
  <c r="DO287" i="7" s="1"/>
  <c r="AV287" i="7"/>
  <c r="DK287" i="7" s="1"/>
  <c r="BC287" i="7"/>
  <c r="DR287" i="7" s="1"/>
  <c r="AY287" i="7"/>
  <c r="DN287" i="7" s="1"/>
  <c r="AU287" i="7"/>
  <c r="DJ287" i="7" s="1"/>
  <c r="BB287" i="7"/>
  <c r="DQ287" i="7" s="1"/>
  <c r="AX287" i="7"/>
  <c r="DM287" i="7" s="1"/>
  <c r="AT287" i="7"/>
  <c r="BA287" i="7"/>
  <c r="DP287" i="7" s="1"/>
  <c r="AW287" i="7"/>
  <c r="DL287" i="7" s="1"/>
  <c r="AF287" i="7"/>
  <c r="AI287" i="7" s="1"/>
  <c r="AH287" i="7"/>
  <c r="AG287" i="7"/>
  <c r="EM290" i="7"/>
  <c r="DG290" i="7"/>
  <c r="CL291" i="7"/>
  <c r="BW290" i="7"/>
  <c r="CR289" i="7"/>
  <c r="C278" i="7"/>
  <c r="F278" i="7" s="1"/>
  <c r="BJ278" i="7"/>
  <c r="BM278" i="7" s="1"/>
  <c r="B278" i="7" s="1"/>
  <c r="AJ279" i="7"/>
  <c r="CF289" i="7"/>
  <c r="DA288" i="7"/>
  <c r="AN288" i="7"/>
  <c r="BH288" i="7" s="1"/>
  <c r="CG290" i="7"/>
  <c r="DB289" i="7"/>
  <c r="AO289" i="7"/>
  <c r="CI290" i="7"/>
  <c r="DD289" i="7"/>
  <c r="DS289" i="7"/>
  <c r="AM288" i="7"/>
  <c r="BG288" i="7" s="1"/>
  <c r="CE289" i="7"/>
  <c r="CZ288" i="7"/>
  <c r="CC291" i="7"/>
  <c r="CX290" i="7"/>
  <c r="CM290" i="7"/>
  <c r="DH289" i="7"/>
  <c r="CH289" i="7"/>
  <c r="DC288" i="7"/>
  <c r="BN288" i="7"/>
  <c r="H284" i="7"/>
  <c r="G284" i="7"/>
  <c r="P288" i="7"/>
  <c r="CD290" i="7"/>
  <c r="CY289" i="7"/>
  <c r="AR287" i="7"/>
  <c r="BI287" i="7" s="1"/>
  <c r="AQ287" i="7"/>
  <c r="BH287" i="7" s="1"/>
  <c r="AP287" i="7"/>
  <c r="CK291" i="7"/>
  <c r="DF290" i="7"/>
  <c r="CJ290" i="7"/>
  <c r="DE289" i="7"/>
  <c r="BV290" i="7"/>
  <c r="CQ289" i="7"/>
  <c r="EC288" i="7"/>
  <c r="DX288" i="7"/>
  <c r="EB288" i="7"/>
  <c r="DW288" i="7"/>
  <c r="EA288" i="7"/>
  <c r="DV288" i="7"/>
  <c r="BS289" i="7"/>
  <c r="EF288" i="7"/>
  <c r="DZ288" i="7"/>
  <c r="CN288" i="7"/>
  <c r="BO287" i="7" s="1"/>
  <c r="M288" i="7"/>
  <c r="BE286" i="7"/>
  <c r="BD286" i="7"/>
  <c r="BF286" i="7"/>
  <c r="BI288" i="7"/>
  <c r="BX290" i="7"/>
  <c r="CS289" i="7"/>
  <c r="BG287" i="7"/>
  <c r="CB290" i="7"/>
  <c r="CW289" i="7"/>
  <c r="N289" i="7" l="1"/>
  <c r="CC292" i="7"/>
  <c r="CX291" i="7"/>
  <c r="P289" i="7"/>
  <c r="CF290" i="7"/>
  <c r="DA289" i="7"/>
  <c r="AN289" i="7"/>
  <c r="CA291" i="7"/>
  <c r="CV290" i="7"/>
  <c r="BL279" i="7"/>
  <c r="E279" i="7"/>
  <c r="AL280" i="7"/>
  <c r="CJ291" i="7"/>
  <c r="DE290" i="7"/>
  <c r="CM291" i="7"/>
  <c r="DH290" i="7"/>
  <c r="AO290" i="7"/>
  <c r="CG291" i="7"/>
  <c r="DB290" i="7"/>
  <c r="C279" i="7"/>
  <c r="F279" i="7" s="1"/>
  <c r="BJ279" i="7"/>
  <c r="BM279" i="7" s="1"/>
  <c r="B279" i="7" s="1"/>
  <c r="AJ280" i="7"/>
  <c r="BW291" i="7"/>
  <c r="CR290" i="7"/>
  <c r="BK279" i="7"/>
  <c r="D279" i="7"/>
  <c r="AK280" i="7"/>
  <c r="BY292" i="7"/>
  <c r="CT291" i="7"/>
  <c r="BX291" i="7"/>
  <c r="CS290" i="7"/>
  <c r="CE290" i="7"/>
  <c r="CZ289" i="7"/>
  <c r="AM289" i="7"/>
  <c r="CI291" i="7"/>
  <c r="DD290" i="7"/>
  <c r="DS290" i="7"/>
  <c r="DG291" i="7"/>
  <c r="EM291" i="7"/>
  <c r="CL292" i="7"/>
  <c r="BD287" i="7"/>
  <c r="BF287" i="7"/>
  <c r="BE287" i="7"/>
  <c r="DI287" i="7"/>
  <c r="CB291" i="7"/>
  <c r="CW290" i="7"/>
  <c r="BC288" i="7"/>
  <c r="DR288" i="7" s="1"/>
  <c r="AY288" i="7"/>
  <c r="DN288" i="7" s="1"/>
  <c r="AU288" i="7"/>
  <c r="DJ288" i="7" s="1"/>
  <c r="BB288" i="7"/>
  <c r="DQ288" i="7" s="1"/>
  <c r="AX288" i="7"/>
  <c r="DM288" i="7" s="1"/>
  <c r="AT288" i="7"/>
  <c r="BA288" i="7"/>
  <c r="DP288" i="7" s="1"/>
  <c r="AW288" i="7"/>
  <c r="DL288" i="7" s="1"/>
  <c r="AZ288" i="7"/>
  <c r="DO288" i="7" s="1"/>
  <c r="AV288" i="7"/>
  <c r="DK288" i="7" s="1"/>
  <c r="AG288" i="7"/>
  <c r="AH288" i="7"/>
  <c r="AF288" i="7"/>
  <c r="AI288" i="7" s="1"/>
  <c r="EB289" i="7"/>
  <c r="DW289" i="7"/>
  <c r="EA289" i="7"/>
  <c r="DV289" i="7"/>
  <c r="BS290" i="7"/>
  <c r="EF289" i="7"/>
  <c r="DZ289" i="7"/>
  <c r="CN289" i="7"/>
  <c r="EC289" i="7"/>
  <c r="DX289" i="7"/>
  <c r="M289" i="7"/>
  <c r="BV291" i="7"/>
  <c r="CQ290" i="7"/>
  <c r="CK292" i="7"/>
  <c r="DF291" i="7"/>
  <c r="CD291" i="7"/>
  <c r="CY290" i="7"/>
  <c r="BN289" i="7"/>
  <c r="CH290" i="7"/>
  <c r="DC289" i="7"/>
  <c r="BU292" i="7"/>
  <c r="CP291" i="7"/>
  <c r="BZ291" i="7"/>
  <c r="CU290" i="7"/>
  <c r="EN290" i="7"/>
  <c r="BT291" i="7"/>
  <c r="CO290" i="7"/>
  <c r="EO290" i="7"/>
  <c r="H286" i="7"/>
  <c r="G286" i="7"/>
  <c r="CK293" i="7" l="1"/>
  <c r="DF292" i="7"/>
  <c r="EA290" i="7"/>
  <c r="DV290" i="7"/>
  <c r="BS291" i="7"/>
  <c r="EF290" i="7"/>
  <c r="DZ290" i="7"/>
  <c r="CN290" i="7"/>
  <c r="EC290" i="7"/>
  <c r="DX290" i="7"/>
  <c r="EB290" i="7"/>
  <c r="DW290" i="7"/>
  <c r="M290" i="7"/>
  <c r="BF288" i="7"/>
  <c r="BE288" i="7"/>
  <c r="BD288" i="7"/>
  <c r="DI288" i="7"/>
  <c r="DG292" i="7"/>
  <c r="EM292" i="7"/>
  <c r="CL293" i="7"/>
  <c r="CE291" i="7"/>
  <c r="CZ290" i="7"/>
  <c r="AM290" i="7"/>
  <c r="BY293" i="7"/>
  <c r="CT292" i="7"/>
  <c r="CJ292" i="7"/>
  <c r="DE291" i="7"/>
  <c r="CF291" i="7"/>
  <c r="DA290" i="7"/>
  <c r="AN290" i="7"/>
  <c r="CC293" i="7"/>
  <c r="CX292" i="7"/>
  <c r="BZ292" i="7"/>
  <c r="CU291" i="7"/>
  <c r="EN291" i="7"/>
  <c r="CD292" i="7"/>
  <c r="CY291" i="7"/>
  <c r="BO288" i="7"/>
  <c r="CI292" i="7"/>
  <c r="DD291" i="7"/>
  <c r="DS291" i="7"/>
  <c r="BK280" i="7"/>
  <c r="D280" i="7"/>
  <c r="AK281" i="7"/>
  <c r="BW292" i="7"/>
  <c r="CR291" i="7"/>
  <c r="CM292" i="7"/>
  <c r="DH291" i="7"/>
  <c r="E280" i="7"/>
  <c r="BL280" i="7"/>
  <c r="AL281" i="7"/>
  <c r="CA292" i="7"/>
  <c r="CV291" i="7"/>
  <c r="AP289" i="7"/>
  <c r="AR289" i="7"/>
  <c r="BI289" i="7" s="1"/>
  <c r="AQ289" i="7"/>
  <c r="BV292" i="7"/>
  <c r="CQ291" i="7"/>
  <c r="EO291" i="7"/>
  <c r="BT292" i="7"/>
  <c r="CO291" i="7"/>
  <c r="CH291" i="7"/>
  <c r="DC290" i="7"/>
  <c r="BN290" i="7"/>
  <c r="BB289" i="7"/>
  <c r="DQ289" i="7" s="1"/>
  <c r="AX289" i="7"/>
  <c r="DM289" i="7" s="1"/>
  <c r="AT289" i="7"/>
  <c r="BA289" i="7"/>
  <c r="DP289" i="7" s="1"/>
  <c r="AW289" i="7"/>
  <c r="DL289" i="7" s="1"/>
  <c r="AZ289" i="7"/>
  <c r="DO289" i="7" s="1"/>
  <c r="AV289" i="7"/>
  <c r="DK289" i="7" s="1"/>
  <c r="BC289" i="7"/>
  <c r="DR289" i="7" s="1"/>
  <c r="AY289" i="7"/>
  <c r="DN289" i="7" s="1"/>
  <c r="AU289" i="7"/>
  <c r="DJ289" i="7" s="1"/>
  <c r="AH289" i="7"/>
  <c r="AG289" i="7"/>
  <c r="AF289" i="7"/>
  <c r="AI289" i="7" s="1"/>
  <c r="BG289" i="7"/>
  <c r="BX292" i="7"/>
  <c r="CS291" i="7"/>
  <c r="BJ280" i="7"/>
  <c r="BM280" i="7" s="1"/>
  <c r="B280" i="7" s="1"/>
  <c r="C280" i="7"/>
  <c r="F280" i="7" s="1"/>
  <c r="AJ281" i="7"/>
  <c r="CG292" i="7"/>
  <c r="DB291" i="7"/>
  <c r="AO291" i="7"/>
  <c r="BH289" i="7"/>
  <c r="N290" i="7"/>
  <c r="BP287" i="7"/>
  <c r="BQ287" i="7" s="1"/>
  <c r="BU293" i="7"/>
  <c r="CP292" i="7"/>
  <c r="CB292" i="7"/>
  <c r="CW291" i="7"/>
  <c r="P290" i="7"/>
  <c r="N291" i="7" s="1"/>
  <c r="CH292" i="7" l="1"/>
  <c r="DC291" i="7"/>
  <c r="BN291" i="7"/>
  <c r="BW293" i="7"/>
  <c r="CR292" i="7"/>
  <c r="P291" i="7"/>
  <c r="BZ293" i="7"/>
  <c r="CU292" i="7"/>
  <c r="EN292" i="7"/>
  <c r="CE292" i="7"/>
  <c r="CZ291" i="7"/>
  <c r="AM291" i="7"/>
  <c r="DI289" i="7"/>
  <c r="BP289" i="7" s="1"/>
  <c r="BA290" i="7"/>
  <c r="DP290" i="7" s="1"/>
  <c r="AW290" i="7"/>
  <c r="DL290" i="7" s="1"/>
  <c r="AZ290" i="7"/>
  <c r="DO290" i="7" s="1"/>
  <c r="AV290" i="7"/>
  <c r="DK290" i="7" s="1"/>
  <c r="BC290" i="7"/>
  <c r="DR290" i="7" s="1"/>
  <c r="AY290" i="7"/>
  <c r="DN290" i="7" s="1"/>
  <c r="AU290" i="7"/>
  <c r="DJ290" i="7" s="1"/>
  <c r="BB290" i="7"/>
  <c r="DQ290" i="7" s="1"/>
  <c r="AX290" i="7"/>
  <c r="DM290" i="7" s="1"/>
  <c r="AT290" i="7"/>
  <c r="AF290" i="7"/>
  <c r="AI290" i="7" s="1"/>
  <c r="AH290" i="7"/>
  <c r="AG290" i="7"/>
  <c r="BS292" i="7"/>
  <c r="EF291" i="7"/>
  <c r="DZ291" i="7"/>
  <c r="CN291" i="7"/>
  <c r="EC291" i="7"/>
  <c r="DX291" i="7"/>
  <c r="EB291" i="7"/>
  <c r="DW291" i="7"/>
  <c r="EA291" i="7"/>
  <c r="DV291" i="7"/>
  <c r="M291" i="7"/>
  <c r="CK294" i="7"/>
  <c r="DF293" i="7"/>
  <c r="BP288" i="7"/>
  <c r="AR291" i="7"/>
  <c r="BI291" i="7" s="1"/>
  <c r="AQ291" i="7"/>
  <c r="AP291" i="7"/>
  <c r="BU294" i="7"/>
  <c r="CP293" i="7"/>
  <c r="G287" i="7"/>
  <c r="H287" i="7"/>
  <c r="BV293" i="7"/>
  <c r="CQ292" i="7"/>
  <c r="CA293" i="7"/>
  <c r="CV292" i="7"/>
  <c r="D281" i="7"/>
  <c r="BK281" i="7"/>
  <c r="AK282" i="7"/>
  <c r="CD293" i="7"/>
  <c r="CY292" i="7"/>
  <c r="AN291" i="7"/>
  <c r="CF292" i="7"/>
  <c r="DA291" i="7"/>
  <c r="BY294" i="7"/>
  <c r="CT293" i="7"/>
  <c r="EM293" i="7"/>
  <c r="DG293" i="7"/>
  <c r="CL294" i="7"/>
  <c r="BO289" i="7"/>
  <c r="CB293" i="7"/>
  <c r="CW292" i="7"/>
  <c r="AR290" i="7"/>
  <c r="BI290" i="7" s="1"/>
  <c r="AQ290" i="7"/>
  <c r="AP290" i="7"/>
  <c r="CG293" i="7"/>
  <c r="DB292" i="7"/>
  <c r="AO292" i="7"/>
  <c r="EO292" i="7"/>
  <c r="BT293" i="7"/>
  <c r="CO292" i="7"/>
  <c r="E281" i="7"/>
  <c r="BL281" i="7"/>
  <c r="AL282" i="7"/>
  <c r="CM293" i="7"/>
  <c r="DH292" i="7"/>
  <c r="DS292" i="7"/>
  <c r="CI293" i="7"/>
  <c r="DD292" i="7"/>
  <c r="CC294" i="7"/>
  <c r="CX293" i="7"/>
  <c r="BG290" i="7"/>
  <c r="BJ281" i="7"/>
  <c r="BM281" i="7" s="1"/>
  <c r="B281" i="7" s="1"/>
  <c r="C281" i="7"/>
  <c r="F281" i="7" s="1"/>
  <c r="AJ282" i="7"/>
  <c r="BX293" i="7"/>
  <c r="CS292" i="7"/>
  <c r="BF289" i="7"/>
  <c r="BE289" i="7"/>
  <c r="BD289" i="7"/>
  <c r="BQ288" i="7"/>
  <c r="BH290" i="7"/>
  <c r="CJ293" i="7"/>
  <c r="DE292" i="7"/>
  <c r="CJ294" i="7" l="1"/>
  <c r="DE293" i="7"/>
  <c r="C282" i="7"/>
  <c r="F282" i="7" s="1"/>
  <c r="BJ282" i="7"/>
  <c r="BM282" i="7" s="1"/>
  <c r="B282" i="7" s="1"/>
  <c r="AJ283" i="7"/>
  <c r="CC295" i="7"/>
  <c r="CX294" i="7"/>
  <c r="BQ289" i="7"/>
  <c r="BH291" i="7"/>
  <c r="BG291" i="7"/>
  <c r="CH293" i="7"/>
  <c r="DC292" i="7"/>
  <c r="BN292" i="7"/>
  <c r="H288" i="7"/>
  <c r="G288" i="7"/>
  <c r="CM294" i="7"/>
  <c r="DH293" i="7"/>
  <c r="EM294" i="7"/>
  <c r="DG294" i="7"/>
  <c r="CL295" i="7"/>
  <c r="BY295" i="7"/>
  <c r="CT294" i="7"/>
  <c r="BV294" i="7"/>
  <c r="CQ293" i="7"/>
  <c r="BU295" i="7"/>
  <c r="CP294" i="7"/>
  <c r="EC292" i="7"/>
  <c r="DX292" i="7"/>
  <c r="EB292" i="7"/>
  <c r="DW292" i="7"/>
  <c r="EA292" i="7"/>
  <c r="DV292" i="7"/>
  <c r="BS293" i="7"/>
  <c r="EF292" i="7"/>
  <c r="DZ292" i="7"/>
  <c r="CN292" i="7"/>
  <c r="M292" i="7"/>
  <c r="BE290" i="7"/>
  <c r="BD290" i="7"/>
  <c r="BF290" i="7"/>
  <c r="EN293" i="7"/>
  <c r="BZ294" i="7"/>
  <c r="CU293" i="7"/>
  <c r="BW294" i="7"/>
  <c r="CR293" i="7"/>
  <c r="BL282" i="7"/>
  <c r="E282" i="7"/>
  <c r="AL283" i="7"/>
  <c r="BT294" i="7"/>
  <c r="CO293" i="7"/>
  <c r="EO293" i="7"/>
  <c r="CD294" i="7"/>
  <c r="CY293" i="7"/>
  <c r="CK295" i="7"/>
  <c r="DF294" i="7"/>
  <c r="BO290" i="7"/>
  <c r="AM292" i="7"/>
  <c r="CE293" i="7"/>
  <c r="CZ292" i="7"/>
  <c r="N292" i="7"/>
  <c r="BX294" i="7"/>
  <c r="CS293" i="7"/>
  <c r="CI294" i="7"/>
  <c r="DD293" i="7"/>
  <c r="DS293" i="7"/>
  <c r="P292" i="7"/>
  <c r="N293" i="7" s="1"/>
  <c r="CG294" i="7"/>
  <c r="DB293" i="7"/>
  <c r="AO293" i="7"/>
  <c r="CB294" i="7"/>
  <c r="CW293" i="7"/>
  <c r="CF293" i="7"/>
  <c r="DA292" i="7"/>
  <c r="AN292" i="7"/>
  <c r="D282" i="7"/>
  <c r="BK282" i="7"/>
  <c r="AK283" i="7"/>
  <c r="CA294" i="7"/>
  <c r="CV293" i="7"/>
  <c r="AZ291" i="7"/>
  <c r="DO291" i="7" s="1"/>
  <c r="AV291" i="7"/>
  <c r="DK291" i="7" s="1"/>
  <c r="BC291" i="7"/>
  <c r="DR291" i="7" s="1"/>
  <c r="AY291" i="7"/>
  <c r="DN291" i="7" s="1"/>
  <c r="AU291" i="7"/>
  <c r="DJ291" i="7" s="1"/>
  <c r="BB291" i="7"/>
  <c r="DQ291" i="7" s="1"/>
  <c r="AX291" i="7"/>
  <c r="DM291" i="7" s="1"/>
  <c r="AT291" i="7"/>
  <c r="BA291" i="7"/>
  <c r="DP291" i="7" s="1"/>
  <c r="AW291" i="7"/>
  <c r="DL291" i="7" s="1"/>
  <c r="AG291" i="7"/>
  <c r="AF291" i="7"/>
  <c r="AI291" i="7" s="1"/>
  <c r="AH291" i="7"/>
  <c r="DI290" i="7"/>
  <c r="DI291" i="7" s="1"/>
  <c r="BP291" i="7" l="1"/>
  <c r="BV295" i="7"/>
  <c r="CQ294" i="7"/>
  <c r="CM295" i="7"/>
  <c r="DH294" i="7"/>
  <c r="H289" i="7"/>
  <c r="G289" i="7"/>
  <c r="BK283" i="7"/>
  <c r="D283" i="7"/>
  <c r="AK284" i="7"/>
  <c r="CF294" i="7"/>
  <c r="DA293" i="7"/>
  <c r="AN293" i="7"/>
  <c r="P293" i="7"/>
  <c r="BX295" i="7"/>
  <c r="CS294" i="7"/>
  <c r="CE294" i="7"/>
  <c r="CZ293" i="7"/>
  <c r="AM293" i="7"/>
  <c r="CK296" i="7"/>
  <c r="DF295" i="7"/>
  <c r="BZ295" i="7"/>
  <c r="CU294" i="7"/>
  <c r="EN294" i="7"/>
  <c r="BN293" i="7"/>
  <c r="CH294" i="7"/>
  <c r="DC293" i="7"/>
  <c r="BD291" i="7"/>
  <c r="BF291" i="7"/>
  <c r="BE291" i="7"/>
  <c r="AO294" i="7"/>
  <c r="CG295" i="7"/>
  <c r="DB294" i="7"/>
  <c r="BT295" i="7"/>
  <c r="CO294" i="7"/>
  <c r="EO294" i="7"/>
  <c r="BC292" i="7"/>
  <c r="DR292" i="7" s="1"/>
  <c r="AY292" i="7"/>
  <c r="DN292" i="7" s="1"/>
  <c r="AU292" i="7"/>
  <c r="DJ292" i="7" s="1"/>
  <c r="BB292" i="7"/>
  <c r="DQ292" i="7" s="1"/>
  <c r="AX292" i="7"/>
  <c r="DM292" i="7" s="1"/>
  <c r="AT292" i="7"/>
  <c r="BA292" i="7"/>
  <c r="DP292" i="7" s="1"/>
  <c r="AW292" i="7"/>
  <c r="DL292" i="7" s="1"/>
  <c r="AZ292" i="7"/>
  <c r="DO292" i="7" s="1"/>
  <c r="AV292" i="7"/>
  <c r="DK292" i="7" s="1"/>
  <c r="AG292" i="7"/>
  <c r="AH292" i="7"/>
  <c r="AF292" i="7"/>
  <c r="AI292" i="7" s="1"/>
  <c r="EB293" i="7"/>
  <c r="DW293" i="7"/>
  <c r="EA293" i="7"/>
  <c r="DV293" i="7"/>
  <c r="BS294" i="7"/>
  <c r="EF293" i="7"/>
  <c r="DZ293" i="7"/>
  <c r="CN293" i="7"/>
  <c r="BO292" i="7" s="1"/>
  <c r="EC293" i="7"/>
  <c r="DX293" i="7"/>
  <c r="M293" i="7"/>
  <c r="BU296" i="7"/>
  <c r="CP295" i="7"/>
  <c r="BY296" i="7"/>
  <c r="CT295" i="7"/>
  <c r="CC296" i="7"/>
  <c r="CX295" i="7"/>
  <c r="BP290" i="7"/>
  <c r="CA295" i="7"/>
  <c r="CV294" i="7"/>
  <c r="CB295" i="7"/>
  <c r="CW294" i="7"/>
  <c r="AP293" i="7"/>
  <c r="AR293" i="7"/>
  <c r="BI293" i="7" s="1"/>
  <c r="AQ293" i="7"/>
  <c r="CI295" i="7"/>
  <c r="DD294" i="7"/>
  <c r="DS294" i="7"/>
  <c r="AQ292" i="7"/>
  <c r="BH292" i="7" s="1"/>
  <c r="AP292" i="7"/>
  <c r="BG292" i="7" s="1"/>
  <c r="AR292" i="7"/>
  <c r="BI292" i="7" s="1"/>
  <c r="BQ290" i="7"/>
  <c r="CD295" i="7"/>
  <c r="CY294" i="7"/>
  <c r="BL283" i="7"/>
  <c r="E283" i="7"/>
  <c r="AL284" i="7"/>
  <c r="BW295" i="7"/>
  <c r="CR294" i="7"/>
  <c r="BO291" i="7"/>
  <c r="BQ291" i="7" s="1"/>
  <c r="DG295" i="7"/>
  <c r="EM295" i="7"/>
  <c r="CL296" i="7"/>
  <c r="C283" i="7"/>
  <c r="F283" i="7" s="1"/>
  <c r="BJ283" i="7"/>
  <c r="BM283" i="7" s="1"/>
  <c r="B283" i="7" s="1"/>
  <c r="AJ284" i="7"/>
  <c r="CJ295" i="7"/>
  <c r="DE294" i="7"/>
  <c r="DG296" i="7" l="1"/>
  <c r="EM296" i="7"/>
  <c r="CL297" i="7"/>
  <c r="CI296" i="7"/>
  <c r="DD295" i="7"/>
  <c r="DS295" i="7"/>
  <c r="CB296" i="7"/>
  <c r="CW295" i="7"/>
  <c r="BY297" i="7"/>
  <c r="CT296" i="7"/>
  <c r="CG296" i="7"/>
  <c r="DB295" i="7"/>
  <c r="AO295" i="7"/>
  <c r="CE295" i="7"/>
  <c r="CZ294" i="7"/>
  <c r="AM294" i="7"/>
  <c r="N294" i="7"/>
  <c r="BK284" i="7"/>
  <c r="D284" i="7"/>
  <c r="AK285" i="7"/>
  <c r="BV296" i="7"/>
  <c r="CQ295" i="7"/>
  <c r="E284" i="7"/>
  <c r="BL284" i="7"/>
  <c r="AL285" i="7"/>
  <c r="G291" i="7"/>
  <c r="H291" i="7"/>
  <c r="H290" i="7"/>
  <c r="G290" i="7"/>
  <c r="BJ284" i="7"/>
  <c r="BM284" i="7" s="1"/>
  <c r="B284" i="7" s="1"/>
  <c r="C284" i="7"/>
  <c r="F284" i="7" s="1"/>
  <c r="AJ285" i="7"/>
  <c r="BW296" i="7"/>
  <c r="CR295" i="7"/>
  <c r="EA294" i="7"/>
  <c r="DV294" i="7"/>
  <c r="BS295" i="7"/>
  <c r="EF294" i="7"/>
  <c r="DZ294" i="7"/>
  <c r="CN294" i="7"/>
  <c r="EC294" i="7"/>
  <c r="DX294" i="7"/>
  <c r="EB294" i="7"/>
  <c r="DW294" i="7"/>
  <c r="M294" i="7"/>
  <c r="BF292" i="7"/>
  <c r="BE292" i="7"/>
  <c r="BD292" i="7"/>
  <c r="EO295" i="7"/>
  <c r="BT296" i="7"/>
  <c r="CO295" i="7"/>
  <c r="DI292" i="7"/>
  <c r="BP292" i="7" s="1"/>
  <c r="BQ292" i="7" s="1"/>
  <c r="CK297" i="7"/>
  <c r="DF296" i="7"/>
  <c r="BH293" i="7"/>
  <c r="P294" i="7"/>
  <c r="N295" i="7" s="1"/>
  <c r="CC297" i="7"/>
  <c r="CX296" i="7"/>
  <c r="BU297" i="7"/>
  <c r="CP296" i="7"/>
  <c r="BG293" i="7"/>
  <c r="BX296" i="7"/>
  <c r="CS295" i="7"/>
  <c r="CM296" i="7"/>
  <c r="DH295" i="7"/>
  <c r="CD296" i="7"/>
  <c r="CY295" i="7"/>
  <c r="CJ296" i="7"/>
  <c r="DE295" i="7"/>
  <c r="CA296" i="7"/>
  <c r="CV295" i="7"/>
  <c r="BB293" i="7"/>
  <c r="DQ293" i="7" s="1"/>
  <c r="AX293" i="7"/>
  <c r="DM293" i="7" s="1"/>
  <c r="AT293" i="7"/>
  <c r="BA293" i="7"/>
  <c r="DP293" i="7" s="1"/>
  <c r="AW293" i="7"/>
  <c r="DL293" i="7" s="1"/>
  <c r="AZ293" i="7"/>
  <c r="DO293" i="7" s="1"/>
  <c r="AV293" i="7"/>
  <c r="DK293" i="7" s="1"/>
  <c r="BC293" i="7"/>
  <c r="DR293" i="7" s="1"/>
  <c r="AY293" i="7"/>
  <c r="DN293" i="7" s="1"/>
  <c r="AU293" i="7"/>
  <c r="DJ293" i="7" s="1"/>
  <c r="AH293" i="7"/>
  <c r="AG293" i="7"/>
  <c r="AF293" i="7"/>
  <c r="AI293" i="7" s="1"/>
  <c r="CH295" i="7"/>
  <c r="DC294" i="7"/>
  <c r="BN294" i="7"/>
  <c r="BZ296" i="7"/>
  <c r="CU295" i="7"/>
  <c r="EN295" i="7"/>
  <c r="CF295" i="7"/>
  <c r="DA294" i="7"/>
  <c r="AN294" i="7"/>
  <c r="H292" i="7" l="1"/>
  <c r="G292" i="7"/>
  <c r="BO293" i="7"/>
  <c r="BY298" i="7"/>
  <c r="CT297" i="7"/>
  <c r="CJ297" i="7"/>
  <c r="DE296" i="7"/>
  <c r="CM297" i="7"/>
  <c r="DH296" i="7"/>
  <c r="CK298" i="7"/>
  <c r="DF297" i="7"/>
  <c r="EO296" i="7"/>
  <c r="BT297" i="7"/>
  <c r="CO296" i="7"/>
  <c r="CE296" i="7"/>
  <c r="CZ295" i="7"/>
  <c r="AM295" i="7"/>
  <c r="CG297" i="7"/>
  <c r="DB296" i="7"/>
  <c r="AO296" i="7"/>
  <c r="CB297" i="7"/>
  <c r="CW296" i="7"/>
  <c r="EM297" i="7"/>
  <c r="DG297" i="7"/>
  <c r="CL298" i="7"/>
  <c r="CA297" i="7"/>
  <c r="CV296" i="7"/>
  <c r="BJ285" i="7"/>
  <c r="BM285" i="7" s="1"/>
  <c r="B285" i="7" s="1"/>
  <c r="C285" i="7"/>
  <c r="F285" i="7" s="1"/>
  <c r="AJ286" i="7"/>
  <c r="D285" i="7"/>
  <c r="BK285" i="7"/>
  <c r="AK286" i="7"/>
  <c r="BZ297" i="7"/>
  <c r="CU296" i="7"/>
  <c r="EN296" i="7"/>
  <c r="AN295" i="7"/>
  <c r="CF296" i="7"/>
  <c r="DA295" i="7"/>
  <c r="BU298" i="7"/>
  <c r="CP297" i="7"/>
  <c r="AR295" i="7"/>
  <c r="AQ295" i="7"/>
  <c r="AP295" i="7"/>
  <c r="DI293" i="7"/>
  <c r="BA294" i="7"/>
  <c r="DP294" i="7" s="1"/>
  <c r="AW294" i="7"/>
  <c r="DL294" i="7" s="1"/>
  <c r="AZ294" i="7"/>
  <c r="DO294" i="7" s="1"/>
  <c r="AV294" i="7"/>
  <c r="DK294" i="7" s="1"/>
  <c r="BC294" i="7"/>
  <c r="DR294" i="7" s="1"/>
  <c r="AY294" i="7"/>
  <c r="DN294" i="7" s="1"/>
  <c r="AU294" i="7"/>
  <c r="DJ294" i="7" s="1"/>
  <c r="BB294" i="7"/>
  <c r="DQ294" i="7" s="1"/>
  <c r="AX294" i="7"/>
  <c r="DM294" i="7" s="1"/>
  <c r="AT294" i="7"/>
  <c r="AF294" i="7"/>
  <c r="AI294" i="7" s="1"/>
  <c r="AH294" i="7"/>
  <c r="AG294" i="7"/>
  <c r="BS296" i="7"/>
  <c r="EF295" i="7"/>
  <c r="DZ295" i="7"/>
  <c r="CN295" i="7"/>
  <c r="EC295" i="7"/>
  <c r="DX295" i="7"/>
  <c r="EB295" i="7"/>
  <c r="DW295" i="7"/>
  <c r="EA295" i="7"/>
  <c r="DV295" i="7"/>
  <c r="M295" i="7"/>
  <c r="BW297" i="7"/>
  <c r="CR296" i="7"/>
  <c r="E285" i="7"/>
  <c r="BL285" i="7"/>
  <c r="AL286" i="7"/>
  <c r="BV297" i="7"/>
  <c r="CQ296" i="7"/>
  <c r="AR294" i="7"/>
  <c r="BI294" i="7" s="1"/>
  <c r="AQ294" i="7"/>
  <c r="AP294" i="7"/>
  <c r="BG294" i="7" s="1"/>
  <c r="P295" i="7"/>
  <c r="N296" i="7" s="1"/>
  <c r="BF293" i="7"/>
  <c r="BE293" i="7"/>
  <c r="BD293" i="7"/>
  <c r="CD297" i="7"/>
  <c r="CY296" i="7"/>
  <c r="BX297" i="7"/>
  <c r="CS296" i="7"/>
  <c r="BI295" i="7"/>
  <c r="BH294" i="7"/>
  <c r="CH296" i="7"/>
  <c r="DC295" i="7"/>
  <c r="BN295" i="7"/>
  <c r="CC298" i="7"/>
  <c r="CX297" i="7"/>
  <c r="DS296" i="7"/>
  <c r="CI297" i="7"/>
  <c r="DD296" i="7"/>
  <c r="AZ295" i="7" l="1"/>
  <c r="DO295" i="7" s="1"/>
  <c r="AV295" i="7"/>
  <c r="DK295" i="7" s="1"/>
  <c r="BC295" i="7"/>
  <c r="DR295" i="7" s="1"/>
  <c r="AY295" i="7"/>
  <c r="DN295" i="7" s="1"/>
  <c r="AU295" i="7"/>
  <c r="DJ295" i="7" s="1"/>
  <c r="BB295" i="7"/>
  <c r="DQ295" i="7" s="1"/>
  <c r="AX295" i="7"/>
  <c r="DM295" i="7" s="1"/>
  <c r="AT295" i="7"/>
  <c r="BA295" i="7"/>
  <c r="DP295" i="7" s="1"/>
  <c r="AW295" i="7"/>
  <c r="DL295" i="7" s="1"/>
  <c r="AG295" i="7"/>
  <c r="AF295" i="7"/>
  <c r="AI295" i="7" s="1"/>
  <c r="AH295" i="7"/>
  <c r="DI294" i="7"/>
  <c r="DI295" i="7" s="1"/>
  <c r="BU299" i="7"/>
  <c r="CP298" i="7"/>
  <c r="BH295" i="7"/>
  <c r="D286" i="7"/>
  <c r="BK286" i="7"/>
  <c r="AK287" i="7"/>
  <c r="EM298" i="7"/>
  <c r="DG298" i="7"/>
  <c r="CL299" i="7"/>
  <c r="CB298" i="7"/>
  <c r="CW297" i="7"/>
  <c r="BG295" i="7"/>
  <c r="BT298" i="7"/>
  <c r="CO297" i="7"/>
  <c r="EO297" i="7"/>
  <c r="BP293" i="7"/>
  <c r="CI298" i="7"/>
  <c r="DD297" i="7"/>
  <c r="DS297" i="7"/>
  <c r="CD298" i="7"/>
  <c r="CY297" i="7"/>
  <c r="AQ296" i="7"/>
  <c r="AP296" i="7"/>
  <c r="AR296" i="7"/>
  <c r="BI296" i="7" s="1"/>
  <c r="CM298" i="7"/>
  <c r="DH297" i="7"/>
  <c r="BY299" i="7"/>
  <c r="CT298" i="7"/>
  <c r="BV298" i="7"/>
  <c r="CQ297" i="7"/>
  <c r="EC296" i="7"/>
  <c r="DX296" i="7"/>
  <c r="EB296" i="7"/>
  <c r="DW296" i="7"/>
  <c r="EA296" i="7"/>
  <c r="DV296" i="7"/>
  <c r="BS297" i="7"/>
  <c r="EF296" i="7"/>
  <c r="DZ296" i="7"/>
  <c r="CN296" i="7"/>
  <c r="M296" i="7"/>
  <c r="BE294" i="7"/>
  <c r="BD294" i="7"/>
  <c r="BF294" i="7"/>
  <c r="AM296" i="7"/>
  <c r="BG296" i="7" s="1"/>
  <c r="CE297" i="7"/>
  <c r="CZ296" i="7"/>
  <c r="CC299" i="7"/>
  <c r="CX298" i="7"/>
  <c r="P296" i="7"/>
  <c r="N297" i="7" s="1"/>
  <c r="CH297" i="7"/>
  <c r="DC296" i="7"/>
  <c r="BN296" i="7"/>
  <c r="BX298" i="7"/>
  <c r="CS297" i="7"/>
  <c r="BL286" i="7"/>
  <c r="E286" i="7"/>
  <c r="AL287" i="7"/>
  <c r="BW298" i="7"/>
  <c r="CR297" i="7"/>
  <c r="BO294" i="7"/>
  <c r="CF297" i="7"/>
  <c r="DA296" i="7"/>
  <c r="AN296" i="7"/>
  <c r="BH296" i="7" s="1"/>
  <c r="EN297" i="7"/>
  <c r="BZ298" i="7"/>
  <c r="CU297" i="7"/>
  <c r="C286" i="7"/>
  <c r="F286" i="7" s="1"/>
  <c r="BJ286" i="7"/>
  <c r="BM286" i="7" s="1"/>
  <c r="B286" i="7" s="1"/>
  <c r="AJ287" i="7"/>
  <c r="CA298" i="7"/>
  <c r="CV297" i="7"/>
  <c r="CG298" i="7"/>
  <c r="DB297" i="7"/>
  <c r="AO297" i="7"/>
  <c r="CK299" i="7"/>
  <c r="DF298" i="7"/>
  <c r="CJ298" i="7"/>
  <c r="DE297" i="7"/>
  <c r="BQ293" i="7"/>
  <c r="BP295" i="7" l="1"/>
  <c r="H293" i="7"/>
  <c r="G293" i="7"/>
  <c r="CA299" i="7"/>
  <c r="CV298" i="7"/>
  <c r="BW299" i="7"/>
  <c r="CR298" i="7"/>
  <c r="BN297" i="7"/>
  <c r="CH298" i="7"/>
  <c r="DC297" i="7"/>
  <c r="CC300" i="7"/>
  <c r="CX299" i="7"/>
  <c r="BO295" i="7"/>
  <c r="BQ295" i="7" s="1"/>
  <c r="CD299" i="7"/>
  <c r="CY298" i="7"/>
  <c r="CI299" i="7"/>
  <c r="DD298" i="7"/>
  <c r="DS298" i="7"/>
  <c r="BT299" i="7"/>
  <c r="CO298" i="7"/>
  <c r="EO298" i="7"/>
  <c r="DG299" i="7"/>
  <c r="EM299" i="7"/>
  <c r="CL300" i="7"/>
  <c r="BU300" i="7"/>
  <c r="CP299" i="7"/>
  <c r="BP294" i="7"/>
  <c r="CK300" i="7"/>
  <c r="DF299" i="7"/>
  <c r="CJ299" i="7"/>
  <c r="DE298" i="7"/>
  <c r="C287" i="7"/>
  <c r="F287" i="7" s="1"/>
  <c r="BJ287" i="7"/>
  <c r="BM287" i="7" s="1"/>
  <c r="B287" i="7" s="1"/>
  <c r="AJ288" i="7"/>
  <c r="BZ299" i="7"/>
  <c r="CU298" i="7"/>
  <c r="EN298" i="7"/>
  <c r="CF298" i="7"/>
  <c r="DA297" i="7"/>
  <c r="AN297" i="7"/>
  <c r="BH297" i="7" s="1"/>
  <c r="BL287" i="7"/>
  <c r="E287" i="7"/>
  <c r="AL288" i="7"/>
  <c r="BX299" i="7"/>
  <c r="CS298" i="7"/>
  <c r="AP297" i="7"/>
  <c r="AR297" i="7"/>
  <c r="BI297" i="7" s="1"/>
  <c r="AQ297" i="7"/>
  <c r="BY300" i="7"/>
  <c r="CT299" i="7"/>
  <c r="AO298" i="7"/>
  <c r="CG299" i="7"/>
  <c r="DB298" i="7"/>
  <c r="BQ294" i="7"/>
  <c r="CE298" i="7"/>
  <c r="CZ297" i="7"/>
  <c r="AM297" i="7"/>
  <c r="BG297" i="7" s="1"/>
  <c r="P297" i="7"/>
  <c r="BC296" i="7"/>
  <c r="DR296" i="7" s="1"/>
  <c r="AY296" i="7"/>
  <c r="DN296" i="7" s="1"/>
  <c r="AU296" i="7"/>
  <c r="DJ296" i="7" s="1"/>
  <c r="BB296" i="7"/>
  <c r="DQ296" i="7" s="1"/>
  <c r="AX296" i="7"/>
  <c r="DM296" i="7" s="1"/>
  <c r="AT296" i="7"/>
  <c r="BA296" i="7"/>
  <c r="DP296" i="7" s="1"/>
  <c r="AW296" i="7"/>
  <c r="DL296" i="7" s="1"/>
  <c r="AZ296" i="7"/>
  <c r="DO296" i="7" s="1"/>
  <c r="AV296" i="7"/>
  <c r="DK296" i="7" s="1"/>
  <c r="AG296" i="7"/>
  <c r="AH296" i="7"/>
  <c r="AF296" i="7"/>
  <c r="AI296" i="7" s="1"/>
  <c r="EB297" i="7"/>
  <c r="DW297" i="7"/>
  <c r="EA297" i="7"/>
  <c r="DV297" i="7"/>
  <c r="BS298" i="7"/>
  <c r="EF297" i="7"/>
  <c r="DZ297" i="7"/>
  <c r="CN297" i="7"/>
  <c r="BO296" i="7" s="1"/>
  <c r="EC297" i="7"/>
  <c r="DX297" i="7"/>
  <c r="M297" i="7"/>
  <c r="BV299" i="7"/>
  <c r="CQ298" i="7"/>
  <c r="CM299" i="7"/>
  <c r="DH298" i="7"/>
  <c r="CB299" i="7"/>
  <c r="CW298" i="7"/>
  <c r="BK287" i="7"/>
  <c r="D287" i="7"/>
  <c r="AK288" i="7"/>
  <c r="BD295" i="7"/>
  <c r="BF295" i="7"/>
  <c r="BE295" i="7"/>
  <c r="EA298" i="7" l="1"/>
  <c r="DV298" i="7"/>
  <c r="BS299" i="7"/>
  <c r="EF298" i="7"/>
  <c r="DZ298" i="7"/>
  <c r="CN298" i="7"/>
  <c r="EC298" i="7"/>
  <c r="DX298" i="7"/>
  <c r="EB298" i="7"/>
  <c r="DW298" i="7"/>
  <c r="M298" i="7"/>
  <c r="BF296" i="7"/>
  <c r="BE296" i="7"/>
  <c r="BD296" i="7"/>
  <c r="H294" i="7"/>
  <c r="G294" i="7"/>
  <c r="DI296" i="7"/>
  <c r="CF299" i="7"/>
  <c r="DA298" i="7"/>
  <c r="AN298" i="7"/>
  <c r="BJ288" i="7"/>
  <c r="BM288" i="7" s="1"/>
  <c r="B288" i="7" s="1"/>
  <c r="C288" i="7"/>
  <c r="F288" i="7" s="1"/>
  <c r="AJ289" i="7"/>
  <c r="CJ300" i="7"/>
  <c r="DE299" i="7"/>
  <c r="P298" i="7"/>
  <c r="N299" i="7" s="1"/>
  <c r="CD300" i="7"/>
  <c r="CY299" i="7"/>
  <c r="BW300" i="7"/>
  <c r="CR299" i="7"/>
  <c r="BU301" i="7"/>
  <c r="CP300" i="7"/>
  <c r="G295" i="7"/>
  <c r="H295" i="7"/>
  <c r="CH299" i="7"/>
  <c r="DC298" i="7"/>
  <c r="BN298" i="7"/>
  <c r="BB297" i="7"/>
  <c r="DQ297" i="7" s="1"/>
  <c r="AX297" i="7"/>
  <c r="DM297" i="7" s="1"/>
  <c r="AT297" i="7"/>
  <c r="BA297" i="7"/>
  <c r="DP297" i="7" s="1"/>
  <c r="AW297" i="7"/>
  <c r="DL297" i="7" s="1"/>
  <c r="AZ297" i="7"/>
  <c r="DO297" i="7" s="1"/>
  <c r="AV297" i="7"/>
  <c r="DK297" i="7" s="1"/>
  <c r="BC297" i="7"/>
  <c r="DR297" i="7" s="1"/>
  <c r="AY297" i="7"/>
  <c r="DN297" i="7" s="1"/>
  <c r="AU297" i="7"/>
  <c r="DJ297" i="7" s="1"/>
  <c r="AH297" i="7"/>
  <c r="AG297" i="7"/>
  <c r="AF297" i="7"/>
  <c r="AI297" i="7" s="1"/>
  <c r="CE299" i="7"/>
  <c r="CZ298" i="7"/>
  <c r="AM298" i="7"/>
  <c r="CG300" i="7"/>
  <c r="DB299" i="7"/>
  <c r="AO299" i="7"/>
  <c r="BY301" i="7"/>
  <c r="CT300" i="7"/>
  <c r="BX300" i="7"/>
  <c r="CS299" i="7"/>
  <c r="CK301" i="7"/>
  <c r="DF300" i="7"/>
  <c r="DG300" i="7"/>
  <c r="EM300" i="7"/>
  <c r="CL301" i="7"/>
  <c r="CI300" i="7"/>
  <c r="DD299" i="7"/>
  <c r="DS299" i="7"/>
  <c r="CA300" i="7"/>
  <c r="CV299" i="7"/>
  <c r="BK288" i="7"/>
  <c r="D288" i="7"/>
  <c r="AK289" i="7"/>
  <c r="CB300" i="7"/>
  <c r="CW299" i="7"/>
  <c r="BV300" i="7"/>
  <c r="CQ299" i="7"/>
  <c r="CM300" i="7"/>
  <c r="DH299" i="7"/>
  <c r="N298" i="7"/>
  <c r="E288" i="7"/>
  <c r="BL288" i="7"/>
  <c r="AL289" i="7"/>
  <c r="BZ300" i="7"/>
  <c r="CU299" i="7"/>
  <c r="EN299" i="7"/>
  <c r="EO299" i="7"/>
  <c r="BT300" i="7"/>
  <c r="CO299" i="7"/>
  <c r="CC301" i="7"/>
  <c r="CX300" i="7"/>
  <c r="BP297" i="7" l="1"/>
  <c r="CC302" i="7"/>
  <c r="CX301" i="7"/>
  <c r="BF297" i="7"/>
  <c r="BE297" i="7"/>
  <c r="BD297" i="7"/>
  <c r="DI297" i="7"/>
  <c r="BX301" i="7"/>
  <c r="CS300" i="7"/>
  <c r="CE300" i="7"/>
  <c r="CZ299" i="7"/>
  <c r="AM299" i="7"/>
  <c r="CH300" i="7"/>
  <c r="DC299" i="7"/>
  <c r="BN299" i="7"/>
  <c r="BU302" i="7"/>
  <c r="CP301" i="7"/>
  <c r="CD301" i="7"/>
  <c r="CY300" i="7"/>
  <c r="CJ301" i="7"/>
  <c r="DE300" i="7"/>
  <c r="P299" i="7"/>
  <c r="CB301" i="7"/>
  <c r="CW300" i="7"/>
  <c r="BZ301" i="7"/>
  <c r="CU300" i="7"/>
  <c r="EN300" i="7"/>
  <c r="CA301" i="7"/>
  <c r="CV300" i="7"/>
  <c r="DS300" i="7"/>
  <c r="CI301" i="7"/>
  <c r="DD300" i="7"/>
  <c r="CG301" i="7"/>
  <c r="DB300" i="7"/>
  <c r="AO300" i="7"/>
  <c r="BJ289" i="7"/>
  <c r="BM289" i="7" s="1"/>
  <c r="B289" i="7" s="1"/>
  <c r="C289" i="7"/>
  <c r="F289" i="7" s="1"/>
  <c r="AJ290" i="7"/>
  <c r="BA298" i="7"/>
  <c r="DP298" i="7" s="1"/>
  <c r="AW298" i="7"/>
  <c r="DL298" i="7" s="1"/>
  <c r="AZ298" i="7"/>
  <c r="DO298" i="7" s="1"/>
  <c r="AV298" i="7"/>
  <c r="DK298" i="7" s="1"/>
  <c r="BC298" i="7"/>
  <c r="DR298" i="7" s="1"/>
  <c r="AY298" i="7"/>
  <c r="DN298" i="7" s="1"/>
  <c r="AU298" i="7"/>
  <c r="DJ298" i="7" s="1"/>
  <c r="BB298" i="7"/>
  <c r="DQ298" i="7" s="1"/>
  <c r="AX298" i="7"/>
  <c r="DM298" i="7" s="1"/>
  <c r="AT298" i="7"/>
  <c r="AG298" i="7"/>
  <c r="AF298" i="7"/>
  <c r="AI298" i="7" s="1"/>
  <c r="AH298" i="7"/>
  <c r="BS300" i="7"/>
  <c r="EF299" i="7"/>
  <c r="DZ299" i="7"/>
  <c r="CN299" i="7"/>
  <c r="EC299" i="7"/>
  <c r="DX299" i="7"/>
  <c r="EB299" i="7"/>
  <c r="DW299" i="7"/>
  <c r="EA299" i="7"/>
  <c r="DV299" i="7"/>
  <c r="M299" i="7"/>
  <c r="CM301" i="7"/>
  <c r="DH300" i="7"/>
  <c r="EO300" i="7"/>
  <c r="BT301" i="7"/>
  <c r="CO300" i="7"/>
  <c r="D289" i="7"/>
  <c r="BK289" i="7"/>
  <c r="AK290" i="7"/>
  <c r="E289" i="7"/>
  <c r="BL289" i="7"/>
  <c r="AL290" i="7"/>
  <c r="AR298" i="7"/>
  <c r="BI298" i="7" s="1"/>
  <c r="AQ298" i="7"/>
  <c r="BH298" i="7" s="1"/>
  <c r="AP298" i="7"/>
  <c r="BG298" i="7" s="1"/>
  <c r="BV301" i="7"/>
  <c r="CQ300" i="7"/>
  <c r="EM301" i="7"/>
  <c r="DG301" i="7"/>
  <c r="CL302" i="7"/>
  <c r="CK302" i="7"/>
  <c r="DF301" i="7"/>
  <c r="BY302" i="7"/>
  <c r="CT301" i="7"/>
  <c r="BW301" i="7"/>
  <c r="CR300" i="7"/>
  <c r="AR299" i="7"/>
  <c r="BI299" i="7" s="1"/>
  <c r="AQ299" i="7"/>
  <c r="AP299" i="7"/>
  <c r="AN299" i="7"/>
  <c r="BH299" i="7" s="1"/>
  <c r="CF300" i="7"/>
  <c r="DA299" i="7"/>
  <c r="BO297" i="7"/>
  <c r="BQ297" i="7" s="1"/>
  <c r="BP296" i="7"/>
  <c r="BQ296" i="7" s="1"/>
  <c r="BE298" i="7" l="1"/>
  <c r="BD298" i="7"/>
  <c r="BF298" i="7"/>
  <c r="CA302" i="7"/>
  <c r="CV301" i="7"/>
  <c r="CD302" i="7"/>
  <c r="CY301" i="7"/>
  <c r="AM300" i="7"/>
  <c r="CE301" i="7"/>
  <c r="CZ300" i="7"/>
  <c r="BV302" i="7"/>
  <c r="CQ301" i="7"/>
  <c r="EC300" i="7"/>
  <c r="DX300" i="7"/>
  <c r="EB300" i="7"/>
  <c r="DW300" i="7"/>
  <c r="EA300" i="7"/>
  <c r="DV300" i="7"/>
  <c r="BS301" i="7"/>
  <c r="EF300" i="7"/>
  <c r="DZ300" i="7"/>
  <c r="CN300" i="7"/>
  <c r="M300" i="7"/>
  <c r="H296" i="7"/>
  <c r="G296" i="7"/>
  <c r="BW302" i="7"/>
  <c r="CR301" i="7"/>
  <c r="BY303" i="7"/>
  <c r="CT302" i="7"/>
  <c r="CM302" i="7"/>
  <c r="DH301" i="7"/>
  <c r="BO298" i="7"/>
  <c r="CI302" i="7"/>
  <c r="DD301" i="7"/>
  <c r="DS301" i="7"/>
  <c r="CB302" i="7"/>
  <c r="CW301" i="7"/>
  <c r="CH301" i="7"/>
  <c r="DC300" i="7"/>
  <c r="BN300" i="7"/>
  <c r="CC303" i="7"/>
  <c r="CX302" i="7"/>
  <c r="CF301" i="7"/>
  <c r="DA300" i="7"/>
  <c r="AN300" i="7"/>
  <c r="EM302" i="7"/>
  <c r="DG302" i="7"/>
  <c r="CL303" i="7"/>
  <c r="D290" i="7"/>
  <c r="BK290" i="7"/>
  <c r="AK291" i="7"/>
  <c r="BT302" i="7"/>
  <c r="CO301" i="7"/>
  <c r="EO301" i="7"/>
  <c r="AZ299" i="7"/>
  <c r="DO299" i="7" s="1"/>
  <c r="AV299" i="7"/>
  <c r="DK299" i="7" s="1"/>
  <c r="BC299" i="7"/>
  <c r="DR299" i="7" s="1"/>
  <c r="AY299" i="7"/>
  <c r="DN299" i="7" s="1"/>
  <c r="AU299" i="7"/>
  <c r="DJ299" i="7" s="1"/>
  <c r="BB299" i="7"/>
  <c r="DQ299" i="7" s="1"/>
  <c r="AX299" i="7"/>
  <c r="DM299" i="7" s="1"/>
  <c r="AT299" i="7"/>
  <c r="BA299" i="7"/>
  <c r="DP299" i="7" s="1"/>
  <c r="AW299" i="7"/>
  <c r="DL299" i="7" s="1"/>
  <c r="AH299" i="7"/>
  <c r="AF299" i="7"/>
  <c r="AI299" i="7" s="1"/>
  <c r="AG299" i="7"/>
  <c r="C290" i="7"/>
  <c r="F290" i="7" s="1"/>
  <c r="BJ290" i="7"/>
  <c r="BM290" i="7" s="1"/>
  <c r="B290" i="7" s="1"/>
  <c r="AJ291" i="7"/>
  <c r="P300" i="7"/>
  <c r="N301" i="7" s="1"/>
  <c r="N300" i="7"/>
  <c r="CJ302" i="7"/>
  <c r="DE301" i="7"/>
  <c r="BU303" i="7"/>
  <c r="CP302" i="7"/>
  <c r="BG299" i="7"/>
  <c r="BX302" i="7"/>
  <c r="CS301" i="7"/>
  <c r="H297" i="7"/>
  <c r="G297" i="7"/>
  <c r="CK303" i="7"/>
  <c r="DF302" i="7"/>
  <c r="BL290" i="7"/>
  <c r="E290" i="7"/>
  <c r="AL291" i="7"/>
  <c r="CG302" i="7"/>
  <c r="DB301" i="7"/>
  <c r="AO301" i="7"/>
  <c r="EN301" i="7"/>
  <c r="BZ302" i="7"/>
  <c r="CU301" i="7"/>
  <c r="DI298" i="7"/>
  <c r="DI299" i="7" s="1"/>
  <c r="BP299" i="7" l="1"/>
  <c r="BK291" i="7"/>
  <c r="D291" i="7"/>
  <c r="AK292" i="7"/>
  <c r="CF302" i="7"/>
  <c r="DA301" i="7"/>
  <c r="AN301" i="7"/>
  <c r="P301" i="7"/>
  <c r="BQ298" i="7"/>
  <c r="BY304" i="7"/>
  <c r="CT303" i="7"/>
  <c r="CA303" i="7"/>
  <c r="CV302" i="7"/>
  <c r="BP298" i="7"/>
  <c r="CJ303" i="7"/>
  <c r="DE302" i="7"/>
  <c r="C291" i="7"/>
  <c r="F291" i="7" s="1"/>
  <c r="BJ291" i="7"/>
  <c r="BM291" i="7" s="1"/>
  <c r="B291" i="7" s="1"/>
  <c r="AJ292" i="7"/>
  <c r="BD299" i="7"/>
  <c r="BF299" i="7"/>
  <c r="BE299" i="7"/>
  <c r="BN301" i="7"/>
  <c r="CH302" i="7"/>
  <c r="DC301" i="7"/>
  <c r="BC300" i="7"/>
  <c r="DR300" i="7" s="1"/>
  <c r="AY300" i="7"/>
  <c r="DN300" i="7" s="1"/>
  <c r="AU300" i="7"/>
  <c r="DJ300" i="7" s="1"/>
  <c r="BB300" i="7"/>
  <c r="DQ300" i="7" s="1"/>
  <c r="AX300" i="7"/>
  <c r="DM300" i="7" s="1"/>
  <c r="AT300" i="7"/>
  <c r="BA300" i="7"/>
  <c r="DP300" i="7" s="1"/>
  <c r="AW300" i="7"/>
  <c r="DL300" i="7" s="1"/>
  <c r="AZ300" i="7"/>
  <c r="DO300" i="7" s="1"/>
  <c r="AV300" i="7"/>
  <c r="DK300" i="7" s="1"/>
  <c r="AG300" i="7"/>
  <c r="AH300" i="7"/>
  <c r="AF300" i="7"/>
  <c r="AI300" i="7" s="1"/>
  <c r="EB301" i="7"/>
  <c r="DW301" i="7"/>
  <c r="EA301" i="7"/>
  <c r="DV301" i="7"/>
  <c r="BS302" i="7"/>
  <c r="EF301" i="7"/>
  <c r="DZ301" i="7"/>
  <c r="CN301" i="7"/>
  <c r="EC301" i="7"/>
  <c r="DX301" i="7"/>
  <c r="M301" i="7"/>
  <c r="BV303" i="7"/>
  <c r="CQ302" i="7"/>
  <c r="DI300" i="7"/>
  <c r="AQ300" i="7"/>
  <c r="BH300" i="7" s="1"/>
  <c r="AP300" i="7"/>
  <c r="BG300" i="7" s="1"/>
  <c r="AR300" i="7"/>
  <c r="BI300" i="7" s="1"/>
  <c r="CC304" i="7"/>
  <c r="CX303" i="7"/>
  <c r="CI303" i="7"/>
  <c r="DD302" i="7"/>
  <c r="DS302" i="7"/>
  <c r="CM303" i="7"/>
  <c r="DH302" i="7"/>
  <c r="BW303" i="7"/>
  <c r="CR302" i="7"/>
  <c r="BO299" i="7"/>
  <c r="BQ299" i="7" s="1"/>
  <c r="CD303" i="7"/>
  <c r="CY302" i="7"/>
  <c r="BL291" i="7"/>
  <c r="E291" i="7"/>
  <c r="AL292" i="7"/>
  <c r="CK304" i="7"/>
  <c r="DF303" i="7"/>
  <c r="BX303" i="7"/>
  <c r="CS302" i="7"/>
  <c r="BZ303" i="7"/>
  <c r="CU302" i="7"/>
  <c r="EN302" i="7"/>
  <c r="AO302" i="7"/>
  <c r="CG303" i="7"/>
  <c r="DB302" i="7"/>
  <c r="BU304" i="7"/>
  <c r="CP303" i="7"/>
  <c r="AP301" i="7"/>
  <c r="AR301" i="7"/>
  <c r="BI301" i="7" s="1"/>
  <c r="AQ301" i="7"/>
  <c r="BT303" i="7"/>
  <c r="CO302" i="7"/>
  <c r="EO302" i="7"/>
  <c r="DG303" i="7"/>
  <c r="EM303" i="7"/>
  <c r="CL304" i="7"/>
  <c r="CB303" i="7"/>
  <c r="CW302" i="7"/>
  <c r="CE302" i="7"/>
  <c r="CZ301" i="7"/>
  <c r="AM301" i="7"/>
  <c r="BG301" i="7" s="1"/>
  <c r="BP300" i="7" l="1"/>
  <c r="P302" i="7"/>
  <c r="CC305" i="7"/>
  <c r="CX304" i="7"/>
  <c r="CH303" i="7"/>
  <c r="DC302" i="7"/>
  <c r="BN302" i="7"/>
  <c r="BY305" i="7"/>
  <c r="CT304" i="7"/>
  <c r="BH301" i="7"/>
  <c r="CB304" i="7"/>
  <c r="CW303" i="7"/>
  <c r="CG304" i="7"/>
  <c r="DB303" i="7"/>
  <c r="AO303" i="7"/>
  <c r="BZ304" i="7"/>
  <c r="CU303" i="7"/>
  <c r="EN303" i="7"/>
  <c r="CK305" i="7"/>
  <c r="DF304" i="7"/>
  <c r="BW304" i="7"/>
  <c r="CR303" i="7"/>
  <c r="EA302" i="7"/>
  <c r="DV302" i="7"/>
  <c r="BS303" i="7"/>
  <c r="EF302" i="7"/>
  <c r="DZ302" i="7"/>
  <c r="CN302" i="7"/>
  <c r="EC302" i="7"/>
  <c r="DX302" i="7"/>
  <c r="EB302" i="7"/>
  <c r="DW302" i="7"/>
  <c r="M302" i="7"/>
  <c r="BF300" i="7"/>
  <c r="BE300" i="7"/>
  <c r="BD300" i="7"/>
  <c r="BJ292" i="7"/>
  <c r="BM292" i="7" s="1"/>
  <c r="B292" i="7" s="1"/>
  <c r="C292" i="7"/>
  <c r="F292" i="7" s="1"/>
  <c r="AJ293" i="7"/>
  <c r="CJ304" i="7"/>
  <c r="DE303" i="7"/>
  <c r="CA304" i="7"/>
  <c r="CV303" i="7"/>
  <c r="H298" i="7"/>
  <c r="G298" i="7"/>
  <c r="CE303" i="7"/>
  <c r="CZ302" i="7"/>
  <c r="AM302" i="7"/>
  <c r="DG304" i="7"/>
  <c r="EM304" i="7"/>
  <c r="CL305" i="7"/>
  <c r="E292" i="7"/>
  <c r="BL292" i="7"/>
  <c r="AL293" i="7"/>
  <c r="CD304" i="7"/>
  <c r="CY303" i="7"/>
  <c r="CI304" i="7"/>
  <c r="DD303" i="7"/>
  <c r="DS303" i="7"/>
  <c r="BV304" i="7"/>
  <c r="CQ303" i="7"/>
  <c r="BO300" i="7"/>
  <c r="BQ300" i="7" s="1"/>
  <c r="CF303" i="7"/>
  <c r="DA302" i="7"/>
  <c r="AN302" i="7"/>
  <c r="EO303" i="7"/>
  <c r="BT304" i="7"/>
  <c r="CO303" i="7"/>
  <c r="BU305" i="7"/>
  <c r="CP304" i="7"/>
  <c r="BX304" i="7"/>
  <c r="CS303" i="7"/>
  <c r="G299" i="7"/>
  <c r="H299" i="7"/>
  <c r="CM304" i="7"/>
  <c r="DH303" i="7"/>
  <c r="BB301" i="7"/>
  <c r="DQ301" i="7" s="1"/>
  <c r="AX301" i="7"/>
  <c r="DM301" i="7" s="1"/>
  <c r="AT301" i="7"/>
  <c r="BA301" i="7"/>
  <c r="DP301" i="7" s="1"/>
  <c r="AW301" i="7"/>
  <c r="DL301" i="7" s="1"/>
  <c r="AZ301" i="7"/>
  <c r="DO301" i="7" s="1"/>
  <c r="AV301" i="7"/>
  <c r="DK301" i="7" s="1"/>
  <c r="BC301" i="7"/>
  <c r="DR301" i="7" s="1"/>
  <c r="AY301" i="7"/>
  <c r="DN301" i="7" s="1"/>
  <c r="AU301" i="7"/>
  <c r="DJ301" i="7" s="1"/>
  <c r="AG301" i="7"/>
  <c r="AH301" i="7"/>
  <c r="AF301" i="7"/>
  <c r="AI301" i="7" s="1"/>
  <c r="N302" i="7"/>
  <c r="BK292" i="7"/>
  <c r="D292" i="7"/>
  <c r="AK293" i="7"/>
  <c r="D293" i="7" l="1"/>
  <c r="BK293" i="7"/>
  <c r="AK294" i="7"/>
  <c r="BU306" i="7"/>
  <c r="CP305" i="7"/>
  <c r="DS304" i="7"/>
  <c r="CI305" i="7"/>
  <c r="DD304" i="7"/>
  <c r="CE304" i="7"/>
  <c r="CZ303" i="7"/>
  <c r="AM303" i="7"/>
  <c r="CA305" i="7"/>
  <c r="CV304" i="7"/>
  <c r="CK306" i="7"/>
  <c r="DF305" i="7"/>
  <c r="CB305" i="7"/>
  <c r="CW304" i="7"/>
  <c r="CC306" i="7"/>
  <c r="CX305" i="7"/>
  <c r="AR302" i="7"/>
  <c r="BI302" i="7" s="1"/>
  <c r="AQ302" i="7"/>
  <c r="BH302" i="7" s="1"/>
  <c r="AP302" i="7"/>
  <c r="BG302" i="7" s="1"/>
  <c r="BV305" i="7"/>
  <c r="CQ304" i="7"/>
  <c r="BF301" i="7"/>
  <c r="BE301" i="7"/>
  <c r="BD301" i="7"/>
  <c r="CM305" i="7"/>
  <c r="DH304" i="7"/>
  <c r="BX305" i="7"/>
  <c r="CS304" i="7"/>
  <c r="EO304" i="7"/>
  <c r="BT305" i="7"/>
  <c r="CO304" i="7"/>
  <c r="AN303" i="7"/>
  <c r="CF304" i="7"/>
  <c r="DA303" i="7"/>
  <c r="P303" i="7"/>
  <c r="CD305" i="7"/>
  <c r="CY304" i="7"/>
  <c r="CJ305" i="7"/>
  <c r="DE304" i="7"/>
  <c r="BA302" i="7"/>
  <c r="DP302" i="7" s="1"/>
  <c r="AW302" i="7"/>
  <c r="DL302" i="7" s="1"/>
  <c r="AZ302" i="7"/>
  <c r="DO302" i="7" s="1"/>
  <c r="AV302" i="7"/>
  <c r="DK302" i="7" s="1"/>
  <c r="BC302" i="7"/>
  <c r="DR302" i="7" s="1"/>
  <c r="AY302" i="7"/>
  <c r="DN302" i="7" s="1"/>
  <c r="AU302" i="7"/>
  <c r="DJ302" i="7" s="1"/>
  <c r="BB302" i="7"/>
  <c r="DQ302" i="7" s="1"/>
  <c r="AX302" i="7"/>
  <c r="DM302" i="7" s="1"/>
  <c r="AT302" i="7"/>
  <c r="AF302" i="7"/>
  <c r="AI302" i="7" s="1"/>
  <c r="AH302" i="7"/>
  <c r="AG302" i="7"/>
  <c r="BS304" i="7"/>
  <c r="EF303" i="7"/>
  <c r="DZ303" i="7"/>
  <c r="CN303" i="7"/>
  <c r="EC303" i="7"/>
  <c r="DX303" i="7"/>
  <c r="EB303" i="7"/>
  <c r="DW303" i="7"/>
  <c r="EA303" i="7"/>
  <c r="DV303" i="7"/>
  <c r="M303" i="7"/>
  <c r="BW305" i="7"/>
  <c r="CR304" i="7"/>
  <c r="CG305" i="7"/>
  <c r="DB304" i="7"/>
  <c r="AO304" i="7"/>
  <c r="CH304" i="7"/>
  <c r="DC303" i="7"/>
  <c r="BN303" i="7"/>
  <c r="H300" i="7"/>
  <c r="G300" i="7"/>
  <c r="E293" i="7"/>
  <c r="BL293" i="7"/>
  <c r="AL294" i="7"/>
  <c r="EM305" i="7"/>
  <c r="DG305" i="7"/>
  <c r="CL306" i="7"/>
  <c r="BJ293" i="7"/>
  <c r="BM293" i="7" s="1"/>
  <c r="B293" i="7" s="1"/>
  <c r="C293" i="7"/>
  <c r="F293" i="7" s="1"/>
  <c r="AJ294" i="7"/>
  <c r="BO301" i="7"/>
  <c r="BZ305" i="7"/>
  <c r="CU304" i="7"/>
  <c r="EN304" i="7"/>
  <c r="BY306" i="7"/>
  <c r="CT305" i="7"/>
  <c r="DI301" i="7"/>
  <c r="DI302" i="7" s="1"/>
  <c r="N303" i="7"/>
  <c r="BP302" i="7" l="1"/>
  <c r="DN303" i="7"/>
  <c r="AZ303" i="7"/>
  <c r="DO303" i="7" s="1"/>
  <c r="AV303" i="7"/>
  <c r="DK303" i="7" s="1"/>
  <c r="BC303" i="7"/>
  <c r="DR303" i="7" s="1"/>
  <c r="AY303" i="7"/>
  <c r="AU303" i="7"/>
  <c r="DJ303" i="7" s="1"/>
  <c r="BB303" i="7"/>
  <c r="DQ303" i="7" s="1"/>
  <c r="AX303" i="7"/>
  <c r="DM303" i="7" s="1"/>
  <c r="AT303" i="7"/>
  <c r="BA303" i="7"/>
  <c r="DP303" i="7" s="1"/>
  <c r="AW303" i="7"/>
  <c r="DL303" i="7" s="1"/>
  <c r="AH303" i="7"/>
  <c r="AG303" i="7"/>
  <c r="AF303" i="7"/>
  <c r="AI303" i="7" s="1"/>
  <c r="CD306" i="7"/>
  <c r="CY305" i="7"/>
  <c r="CF305" i="7"/>
  <c r="DA304" i="7"/>
  <c r="AN304" i="7"/>
  <c r="CM306" i="7"/>
  <c r="DH305" i="7"/>
  <c r="CB306" i="7"/>
  <c r="CW305" i="7"/>
  <c r="AM304" i="7"/>
  <c r="CE305" i="7"/>
  <c r="CZ304" i="7"/>
  <c r="EN305" i="7"/>
  <c r="BZ306" i="7"/>
  <c r="CU305" i="7"/>
  <c r="BY307" i="7"/>
  <c r="CT306" i="7"/>
  <c r="EM306" i="7"/>
  <c r="DG306" i="7"/>
  <c r="CL307" i="7"/>
  <c r="CG306" i="7"/>
  <c r="DB305" i="7"/>
  <c r="AO305" i="7"/>
  <c r="CJ306" i="7"/>
  <c r="DE305" i="7"/>
  <c r="N304" i="7"/>
  <c r="BV306" i="7"/>
  <c r="CQ305" i="7"/>
  <c r="CC307" i="7"/>
  <c r="CX306" i="7"/>
  <c r="CA306" i="7"/>
  <c r="CV305" i="7"/>
  <c r="BL294" i="7"/>
  <c r="E294" i="7"/>
  <c r="AL295" i="7"/>
  <c r="AR303" i="7"/>
  <c r="BI303" i="7" s="1"/>
  <c r="AQ303" i="7"/>
  <c r="BH303" i="7" s="1"/>
  <c r="AP303" i="7"/>
  <c r="C294" i="7"/>
  <c r="F294" i="7" s="1"/>
  <c r="BJ294" i="7"/>
  <c r="BM294" i="7" s="1"/>
  <c r="B294" i="7" s="1"/>
  <c r="AJ295" i="7"/>
  <c r="DI303" i="7"/>
  <c r="CH305" i="7"/>
  <c r="DC304" i="7"/>
  <c r="BN304" i="7"/>
  <c r="EC304" i="7"/>
  <c r="DX304" i="7"/>
  <c r="EB304" i="7"/>
  <c r="DW304" i="7"/>
  <c r="EA304" i="7"/>
  <c r="DV304" i="7"/>
  <c r="BS305" i="7"/>
  <c r="EF304" i="7"/>
  <c r="DZ304" i="7"/>
  <c r="CN304" i="7"/>
  <c r="BO303" i="7" s="1"/>
  <c r="M304" i="7"/>
  <c r="BE302" i="7"/>
  <c r="BD302" i="7"/>
  <c r="BF302" i="7"/>
  <c r="BX306" i="7"/>
  <c r="CS305" i="7"/>
  <c r="BG303" i="7"/>
  <c r="CI306" i="7"/>
  <c r="DD305" i="7"/>
  <c r="DS305" i="7"/>
  <c r="BU307" i="7"/>
  <c r="CP306" i="7"/>
  <c r="BW306" i="7"/>
  <c r="CR305" i="7"/>
  <c r="BO302" i="7"/>
  <c r="BQ302" i="7" s="1"/>
  <c r="BT306" i="7"/>
  <c r="CO305" i="7"/>
  <c r="EO305" i="7"/>
  <c r="CK307" i="7"/>
  <c r="DF306" i="7"/>
  <c r="P304" i="7"/>
  <c r="D294" i="7"/>
  <c r="BK294" i="7"/>
  <c r="AK295" i="7"/>
  <c r="BP301" i="7"/>
  <c r="BQ301" i="7" s="1"/>
  <c r="H301" i="7" l="1"/>
  <c r="G301" i="7"/>
  <c r="BP303" i="7"/>
  <c r="BQ303" i="7" s="1"/>
  <c r="CK308" i="7"/>
  <c r="DF307" i="7"/>
  <c r="BN305" i="7"/>
  <c r="CH306" i="7"/>
  <c r="DC305" i="7"/>
  <c r="AO306" i="7"/>
  <c r="CG307" i="7"/>
  <c r="DB306" i="7"/>
  <c r="CD307" i="7"/>
  <c r="CY306" i="7"/>
  <c r="BT307" i="7"/>
  <c r="CO306" i="7"/>
  <c r="EO306" i="7"/>
  <c r="BX307" i="7"/>
  <c r="CS306" i="7"/>
  <c r="H302" i="7"/>
  <c r="G302" i="7"/>
  <c r="CI307" i="7"/>
  <c r="DD306" i="7"/>
  <c r="DS306" i="7"/>
  <c r="BL295" i="7"/>
  <c r="E295" i="7"/>
  <c r="AL296" i="7"/>
  <c r="CA307" i="7"/>
  <c r="CV306" i="7"/>
  <c r="BV307" i="7"/>
  <c r="CQ306" i="7"/>
  <c r="CJ307" i="7"/>
  <c r="DE306" i="7"/>
  <c r="DG307" i="7"/>
  <c r="EM307" i="7"/>
  <c r="CL308" i="7"/>
  <c r="BY308" i="7"/>
  <c r="CT307" i="7"/>
  <c r="CB307" i="7"/>
  <c r="CW306" i="7"/>
  <c r="N305" i="7"/>
  <c r="BU308" i="7"/>
  <c r="CP307" i="7"/>
  <c r="BK295" i="7"/>
  <c r="D295" i="7"/>
  <c r="AK296" i="7"/>
  <c r="BW307" i="7"/>
  <c r="CR306" i="7"/>
  <c r="P305" i="7"/>
  <c r="C295" i="7"/>
  <c r="F295" i="7" s="1"/>
  <c r="BJ295" i="7"/>
  <c r="BM295" i="7" s="1"/>
  <c r="B295" i="7" s="1"/>
  <c r="AJ296" i="7"/>
  <c r="CE306" i="7"/>
  <c r="CZ305" i="7"/>
  <c r="AM305" i="7"/>
  <c r="CF306" i="7"/>
  <c r="DA305" i="7"/>
  <c r="AN305" i="7"/>
  <c r="BD303" i="7"/>
  <c r="BF303" i="7"/>
  <c r="BE303" i="7"/>
  <c r="BC304" i="7"/>
  <c r="DR304" i="7" s="1"/>
  <c r="AY304" i="7"/>
  <c r="DN304" i="7" s="1"/>
  <c r="AU304" i="7"/>
  <c r="DJ304" i="7" s="1"/>
  <c r="BB304" i="7"/>
  <c r="DQ304" i="7" s="1"/>
  <c r="AX304" i="7"/>
  <c r="DM304" i="7" s="1"/>
  <c r="AT304" i="7"/>
  <c r="DI304" i="7" s="1"/>
  <c r="BA304" i="7"/>
  <c r="DP304" i="7" s="1"/>
  <c r="AW304" i="7"/>
  <c r="DL304" i="7" s="1"/>
  <c r="AZ304" i="7"/>
  <c r="DO304" i="7" s="1"/>
  <c r="AV304" i="7"/>
  <c r="DK304" i="7" s="1"/>
  <c r="AG304" i="7"/>
  <c r="AH304" i="7"/>
  <c r="AF304" i="7"/>
  <c r="AI304" i="7" s="1"/>
  <c r="EB305" i="7"/>
  <c r="DW305" i="7"/>
  <c r="EA305" i="7"/>
  <c r="DV305" i="7"/>
  <c r="BS306" i="7"/>
  <c r="EF305" i="7"/>
  <c r="DZ305" i="7"/>
  <c r="CN305" i="7"/>
  <c r="BO304" i="7" s="1"/>
  <c r="EC305" i="7"/>
  <c r="DX305" i="7"/>
  <c r="M305" i="7"/>
  <c r="CC308" i="7"/>
  <c r="CX307" i="7"/>
  <c r="AQ304" i="7"/>
  <c r="BH304" i="7" s="1"/>
  <c r="AP304" i="7"/>
  <c r="AR304" i="7"/>
  <c r="BI304" i="7" s="1"/>
  <c r="BZ307" i="7"/>
  <c r="CU306" i="7"/>
  <c r="EN306" i="7"/>
  <c r="BG304" i="7"/>
  <c r="CM307" i="7"/>
  <c r="DH306" i="7"/>
  <c r="G303" i="7" l="1"/>
  <c r="H303" i="7"/>
  <c r="BP304" i="7"/>
  <c r="BQ304" i="7" s="1"/>
  <c r="N306" i="7"/>
  <c r="AP305" i="7"/>
  <c r="AR305" i="7"/>
  <c r="BI305" i="7" s="1"/>
  <c r="AQ305" i="7"/>
  <c r="BH305" i="7" s="1"/>
  <c r="BY309" i="7"/>
  <c r="CT308" i="7"/>
  <c r="CI308" i="7"/>
  <c r="DD307" i="7"/>
  <c r="DS307" i="7"/>
  <c r="BX308" i="7"/>
  <c r="CS307" i="7"/>
  <c r="CH307" i="7"/>
  <c r="DC306" i="7"/>
  <c r="BN306" i="7"/>
  <c r="EA306" i="7"/>
  <c r="DV306" i="7"/>
  <c r="BS307" i="7"/>
  <c r="EF306" i="7"/>
  <c r="DZ306" i="7"/>
  <c r="CN306" i="7"/>
  <c r="EC306" i="7"/>
  <c r="DX306" i="7"/>
  <c r="EB306" i="7"/>
  <c r="DW306" i="7"/>
  <c r="M306" i="7"/>
  <c r="CM308" i="7"/>
  <c r="DH307" i="7"/>
  <c r="BB305" i="7"/>
  <c r="DQ305" i="7" s="1"/>
  <c r="AX305" i="7"/>
  <c r="DM305" i="7" s="1"/>
  <c r="AT305" i="7"/>
  <c r="BA305" i="7"/>
  <c r="DP305" i="7" s="1"/>
  <c r="AW305" i="7"/>
  <c r="DL305" i="7" s="1"/>
  <c r="AZ305" i="7"/>
  <c r="DO305" i="7" s="1"/>
  <c r="AV305" i="7"/>
  <c r="DK305" i="7" s="1"/>
  <c r="BC305" i="7"/>
  <c r="DR305" i="7" s="1"/>
  <c r="AY305" i="7"/>
  <c r="DN305" i="7" s="1"/>
  <c r="AU305" i="7"/>
  <c r="DJ305" i="7" s="1"/>
  <c r="AG305" i="7"/>
  <c r="AH305" i="7"/>
  <c r="AF305" i="7"/>
  <c r="AI305" i="7" s="1"/>
  <c r="CE307" i="7"/>
  <c r="CZ306" i="7"/>
  <c r="AM306" i="7"/>
  <c r="DG308" i="7"/>
  <c r="EM308" i="7"/>
  <c r="CL309" i="7"/>
  <c r="CJ308" i="7"/>
  <c r="DE307" i="7"/>
  <c r="CA308" i="7"/>
  <c r="CV307" i="7"/>
  <c r="CG308" i="7"/>
  <c r="DB307" i="7"/>
  <c r="AO307" i="7"/>
  <c r="BZ308" i="7"/>
  <c r="CU307" i="7"/>
  <c r="EN307" i="7"/>
  <c r="CC309" i="7"/>
  <c r="CX308" i="7"/>
  <c r="CF307" i="7"/>
  <c r="DA306" i="7"/>
  <c r="AN306" i="7"/>
  <c r="BW308" i="7"/>
  <c r="CR307" i="7"/>
  <c r="CB308" i="7"/>
  <c r="CW307" i="7"/>
  <c r="E296" i="7"/>
  <c r="BL296" i="7"/>
  <c r="AL297" i="7"/>
  <c r="P306" i="7"/>
  <c r="N307" i="7" s="1"/>
  <c r="CD308" i="7"/>
  <c r="CY307" i="7"/>
  <c r="BF304" i="7"/>
  <c r="BE304" i="7"/>
  <c r="BD304" i="7"/>
  <c r="BG305" i="7"/>
  <c r="BJ296" i="7"/>
  <c r="BM296" i="7" s="1"/>
  <c r="B296" i="7" s="1"/>
  <c r="C296" i="7"/>
  <c r="F296" i="7" s="1"/>
  <c r="AJ297" i="7"/>
  <c r="BK296" i="7"/>
  <c r="D296" i="7"/>
  <c r="AK297" i="7"/>
  <c r="BU309" i="7"/>
  <c r="CP308" i="7"/>
  <c r="BV308" i="7"/>
  <c r="CQ307" i="7"/>
  <c r="EO307" i="7"/>
  <c r="BT308" i="7"/>
  <c r="CO307" i="7"/>
  <c r="CK309" i="7"/>
  <c r="DF308" i="7"/>
  <c r="H304" i="7" l="1"/>
  <c r="G304" i="7"/>
  <c r="BJ297" i="7"/>
  <c r="BM297" i="7" s="1"/>
  <c r="B297" i="7" s="1"/>
  <c r="C297" i="7"/>
  <c r="F297" i="7" s="1"/>
  <c r="AJ298" i="7"/>
  <c r="EO308" i="7"/>
  <c r="BT309" i="7"/>
  <c r="CO308" i="7"/>
  <c r="AR307" i="7"/>
  <c r="AQ307" i="7"/>
  <c r="AP307" i="7"/>
  <c r="CC310" i="7"/>
  <c r="CX309" i="7"/>
  <c r="EM309" i="7"/>
  <c r="DG309" i="7"/>
  <c r="CL310" i="7"/>
  <c r="BF305" i="7"/>
  <c r="BE305" i="7"/>
  <c r="BD305" i="7"/>
  <c r="CM309" i="7"/>
  <c r="DH308" i="7"/>
  <c r="BX309" i="7"/>
  <c r="CS308" i="7"/>
  <c r="AR306" i="7"/>
  <c r="BI306" i="7" s="1"/>
  <c r="AQ306" i="7"/>
  <c r="BH306" i="7" s="1"/>
  <c r="AP306" i="7"/>
  <c r="DI305" i="7"/>
  <c r="BP305" i="7" s="1"/>
  <c r="E297" i="7"/>
  <c r="BL297" i="7"/>
  <c r="AL298" i="7"/>
  <c r="CB309" i="7"/>
  <c r="CW308" i="7"/>
  <c r="BI307" i="7"/>
  <c r="CA309" i="7"/>
  <c r="CV308" i="7"/>
  <c r="CE308" i="7"/>
  <c r="CZ307" i="7"/>
  <c r="AM307" i="7"/>
  <c r="BG307" i="7" s="1"/>
  <c r="BA306" i="7"/>
  <c r="DP306" i="7" s="1"/>
  <c r="AW306" i="7"/>
  <c r="DL306" i="7" s="1"/>
  <c r="AZ306" i="7"/>
  <c r="DO306" i="7" s="1"/>
  <c r="AV306" i="7"/>
  <c r="DK306" i="7" s="1"/>
  <c r="BC306" i="7"/>
  <c r="DR306" i="7" s="1"/>
  <c r="AY306" i="7"/>
  <c r="DN306" i="7" s="1"/>
  <c r="AU306" i="7"/>
  <c r="DJ306" i="7" s="1"/>
  <c r="BB306" i="7"/>
  <c r="DQ306" i="7" s="1"/>
  <c r="AX306" i="7"/>
  <c r="DM306" i="7" s="1"/>
  <c r="AT306" i="7"/>
  <c r="AH306" i="7"/>
  <c r="AG306" i="7"/>
  <c r="AF306" i="7"/>
  <c r="AI306" i="7" s="1"/>
  <c r="BS308" i="7"/>
  <c r="EF307" i="7"/>
  <c r="DZ307" i="7"/>
  <c r="CN307" i="7"/>
  <c r="EC307" i="7"/>
  <c r="DX307" i="7"/>
  <c r="EB307" i="7"/>
  <c r="DW307" i="7"/>
  <c r="EA307" i="7"/>
  <c r="DV307" i="7"/>
  <c r="M307" i="7"/>
  <c r="P307" i="7"/>
  <c r="N308" i="7" s="1"/>
  <c r="BY310" i="7"/>
  <c r="CT309" i="7"/>
  <c r="BU310" i="7"/>
  <c r="CP309" i="7"/>
  <c r="CK310" i="7"/>
  <c r="DF309" i="7"/>
  <c r="CD309" i="7"/>
  <c r="CY308" i="7"/>
  <c r="AN307" i="7"/>
  <c r="BH307" i="7" s="1"/>
  <c r="CF308" i="7"/>
  <c r="DA307" i="7"/>
  <c r="BO305" i="7"/>
  <c r="CH308" i="7"/>
  <c r="DC307" i="7"/>
  <c r="BN307" i="7"/>
  <c r="D297" i="7"/>
  <c r="BK297" i="7"/>
  <c r="AK298" i="7"/>
  <c r="BV309" i="7"/>
  <c r="CQ308" i="7"/>
  <c r="BW309" i="7"/>
  <c r="CR308" i="7"/>
  <c r="BZ309" i="7"/>
  <c r="CU308" i="7"/>
  <c r="EN308" i="7"/>
  <c r="CG309" i="7"/>
  <c r="DB308" i="7"/>
  <c r="AO308" i="7"/>
  <c r="CJ309" i="7"/>
  <c r="DE308" i="7"/>
  <c r="BG306" i="7"/>
  <c r="DS308" i="7"/>
  <c r="CI309" i="7"/>
  <c r="DD308" i="7"/>
  <c r="CF309" i="7" l="1"/>
  <c r="DA308" i="7"/>
  <c r="AN308" i="7"/>
  <c r="AZ307" i="7"/>
  <c r="DO307" i="7" s="1"/>
  <c r="AV307" i="7"/>
  <c r="DK307" i="7" s="1"/>
  <c r="BC307" i="7"/>
  <c r="DR307" i="7" s="1"/>
  <c r="AY307" i="7"/>
  <c r="DN307" i="7" s="1"/>
  <c r="AU307" i="7"/>
  <c r="DJ307" i="7" s="1"/>
  <c r="BB307" i="7"/>
  <c r="DQ307" i="7" s="1"/>
  <c r="AX307" i="7"/>
  <c r="DM307" i="7" s="1"/>
  <c r="AT307" i="7"/>
  <c r="BA307" i="7"/>
  <c r="DP307" i="7" s="1"/>
  <c r="AW307" i="7"/>
  <c r="DL307" i="7" s="1"/>
  <c r="AF307" i="7"/>
  <c r="AI307" i="7" s="1"/>
  <c r="AH307" i="7"/>
  <c r="AG307" i="7"/>
  <c r="CA310" i="7"/>
  <c r="CV309" i="7"/>
  <c r="BL298" i="7"/>
  <c r="E298" i="7"/>
  <c r="AL299" i="7"/>
  <c r="EN309" i="7"/>
  <c r="BZ310" i="7"/>
  <c r="CU309" i="7"/>
  <c r="BV310" i="7"/>
  <c r="CQ309" i="7"/>
  <c r="CG310" i="7"/>
  <c r="DB309" i="7"/>
  <c r="AO309" i="7"/>
  <c r="D298" i="7"/>
  <c r="BK298" i="7"/>
  <c r="AK299" i="7"/>
  <c r="CI310" i="7"/>
  <c r="DD309" i="7"/>
  <c r="DS309" i="7"/>
  <c r="CJ310" i="7"/>
  <c r="DE309" i="7"/>
  <c r="BW310" i="7"/>
  <c r="CR309" i="7"/>
  <c r="CH309" i="7"/>
  <c r="DC308" i="7"/>
  <c r="BN308" i="7"/>
  <c r="CK311" i="7"/>
  <c r="DF310" i="7"/>
  <c r="BY311" i="7"/>
  <c r="CT310" i="7"/>
  <c r="C298" i="7"/>
  <c r="F298" i="7" s="1"/>
  <c r="BJ298" i="7"/>
  <c r="BM298" i="7" s="1"/>
  <c r="B298" i="7" s="1"/>
  <c r="AJ299" i="7"/>
  <c r="P308" i="7"/>
  <c r="BQ305" i="7"/>
  <c r="AQ308" i="7"/>
  <c r="AP308" i="7"/>
  <c r="AR308" i="7"/>
  <c r="BI308" i="7" s="1"/>
  <c r="EC308" i="7"/>
  <c r="DX308" i="7"/>
  <c r="EB308" i="7"/>
  <c r="DW308" i="7"/>
  <c r="EA308" i="7"/>
  <c r="DV308" i="7"/>
  <c r="BS309" i="7"/>
  <c r="EF308" i="7"/>
  <c r="DZ308" i="7"/>
  <c r="CN308" i="7"/>
  <c r="BO307" i="7" s="1"/>
  <c r="M308" i="7"/>
  <c r="BE306" i="7"/>
  <c r="BD306" i="7"/>
  <c r="BF306" i="7"/>
  <c r="AM308" i="7"/>
  <c r="BG308" i="7" s="1"/>
  <c r="CE309" i="7"/>
  <c r="CZ308" i="7"/>
  <c r="CM310" i="7"/>
  <c r="DH309" i="7"/>
  <c r="EM310" i="7"/>
  <c r="DG310" i="7"/>
  <c r="CL311" i="7"/>
  <c r="CC311" i="7"/>
  <c r="CX310" i="7"/>
  <c r="CD310" i="7"/>
  <c r="CY309" i="7"/>
  <c r="BU311" i="7"/>
  <c r="CP310" i="7"/>
  <c r="BO306" i="7"/>
  <c r="CB310" i="7"/>
  <c r="CW309" i="7"/>
  <c r="DI306" i="7"/>
  <c r="DI307" i="7" s="1"/>
  <c r="BX310" i="7"/>
  <c r="CS309" i="7"/>
  <c r="BT310" i="7"/>
  <c r="CO309" i="7"/>
  <c r="EO309" i="7"/>
  <c r="BP307" i="7" l="1"/>
  <c r="BQ307" i="7" s="1"/>
  <c r="CC312" i="7"/>
  <c r="CX311" i="7"/>
  <c r="BX311" i="7"/>
  <c r="CS310" i="7"/>
  <c r="DG311" i="7"/>
  <c r="EM311" i="7"/>
  <c r="CL312" i="7"/>
  <c r="CM311" i="7"/>
  <c r="DH310" i="7"/>
  <c r="BT311" i="7"/>
  <c r="CO310" i="7"/>
  <c r="EO310" i="7"/>
  <c r="BU312" i="7"/>
  <c r="CP311" i="7"/>
  <c r="CE310" i="7"/>
  <c r="CZ309" i="7"/>
  <c r="AM309" i="7"/>
  <c r="N309" i="7"/>
  <c r="CK312" i="7"/>
  <c r="DF311" i="7"/>
  <c r="P309" i="7"/>
  <c r="AO310" i="7"/>
  <c r="CG311" i="7"/>
  <c r="DB310" i="7"/>
  <c r="BZ311" i="7"/>
  <c r="CU310" i="7"/>
  <c r="EN310" i="7"/>
  <c r="BD307" i="7"/>
  <c r="BF307" i="7"/>
  <c r="BE307" i="7"/>
  <c r="BH308" i="7"/>
  <c r="BP306" i="7"/>
  <c r="BC308" i="7"/>
  <c r="DR308" i="7" s="1"/>
  <c r="AY308" i="7"/>
  <c r="DN308" i="7" s="1"/>
  <c r="AU308" i="7"/>
  <c r="DJ308" i="7" s="1"/>
  <c r="BB308" i="7"/>
  <c r="DQ308" i="7" s="1"/>
  <c r="AX308" i="7"/>
  <c r="DM308" i="7" s="1"/>
  <c r="AT308" i="7"/>
  <c r="BA308" i="7"/>
  <c r="DP308" i="7" s="1"/>
  <c r="AW308" i="7"/>
  <c r="DL308" i="7" s="1"/>
  <c r="AZ308" i="7"/>
  <c r="DO308" i="7" s="1"/>
  <c r="AV308" i="7"/>
  <c r="DK308" i="7" s="1"/>
  <c r="AG308" i="7"/>
  <c r="AH308" i="7"/>
  <c r="AF308" i="7"/>
  <c r="AI308" i="7" s="1"/>
  <c r="EB309" i="7"/>
  <c r="DW309" i="7"/>
  <c r="EA309" i="7"/>
  <c r="DV309" i="7"/>
  <c r="BS310" i="7"/>
  <c r="EF309" i="7"/>
  <c r="DZ309" i="7"/>
  <c r="CN309" i="7"/>
  <c r="EC309" i="7"/>
  <c r="DX309" i="7"/>
  <c r="M309" i="7"/>
  <c r="BW311" i="7"/>
  <c r="CR310" i="7"/>
  <c r="CB311" i="7"/>
  <c r="CW310" i="7"/>
  <c r="CD311" i="7"/>
  <c r="CY310" i="7"/>
  <c r="H305" i="7"/>
  <c r="G305" i="7"/>
  <c r="C299" i="7"/>
  <c r="F299" i="7" s="1"/>
  <c r="BJ299" i="7"/>
  <c r="BM299" i="7" s="1"/>
  <c r="B299" i="7" s="1"/>
  <c r="AJ300" i="7"/>
  <c r="BY312" i="7"/>
  <c r="CT311" i="7"/>
  <c r="CI311" i="7"/>
  <c r="DD310" i="7"/>
  <c r="DS310" i="7"/>
  <c r="BV311" i="7"/>
  <c r="CQ310" i="7"/>
  <c r="BL299" i="7"/>
  <c r="E299" i="7"/>
  <c r="AL300" i="7"/>
  <c r="CA311" i="7"/>
  <c r="CV310" i="7"/>
  <c r="CF310" i="7"/>
  <c r="DA309" i="7"/>
  <c r="AN309" i="7"/>
  <c r="BQ306" i="7"/>
  <c r="DI308" i="7"/>
  <c r="BN309" i="7"/>
  <c r="CH310" i="7"/>
  <c r="DC309" i="7"/>
  <c r="CJ311" i="7"/>
  <c r="DE310" i="7"/>
  <c r="BK299" i="7"/>
  <c r="D299" i="7"/>
  <c r="AK300" i="7"/>
  <c r="BP308" i="7" l="1"/>
  <c r="G307" i="7"/>
  <c r="H307" i="7"/>
  <c r="BJ300" i="7"/>
  <c r="BM300" i="7" s="1"/>
  <c r="B300" i="7" s="1"/>
  <c r="C300" i="7"/>
  <c r="F300" i="7" s="1"/>
  <c r="AJ301" i="7"/>
  <c r="CB312" i="7"/>
  <c r="CW311" i="7"/>
  <c r="BB309" i="7"/>
  <c r="DQ309" i="7" s="1"/>
  <c r="AX309" i="7"/>
  <c r="DM309" i="7" s="1"/>
  <c r="AT309" i="7"/>
  <c r="BA309" i="7"/>
  <c r="DP309" i="7" s="1"/>
  <c r="AW309" i="7"/>
  <c r="DL309" i="7" s="1"/>
  <c r="AZ309" i="7"/>
  <c r="DO309" i="7" s="1"/>
  <c r="AV309" i="7"/>
  <c r="DK309" i="7" s="1"/>
  <c r="BC309" i="7"/>
  <c r="DR309" i="7" s="1"/>
  <c r="AY309" i="7"/>
  <c r="DN309" i="7" s="1"/>
  <c r="AU309" i="7"/>
  <c r="DJ309" i="7" s="1"/>
  <c r="AG309" i="7"/>
  <c r="AH309" i="7"/>
  <c r="AF309" i="7"/>
  <c r="AI309" i="7" s="1"/>
  <c r="N310" i="7"/>
  <c r="BU313" i="7"/>
  <c r="CP312" i="7"/>
  <c r="CC313" i="7"/>
  <c r="CX312" i="7"/>
  <c r="CA312" i="7"/>
  <c r="CV311" i="7"/>
  <c r="BV312" i="7"/>
  <c r="CQ311" i="7"/>
  <c r="CG312" i="7"/>
  <c r="DB311" i="7"/>
  <c r="AO311" i="7"/>
  <c r="CM312" i="7"/>
  <c r="DH311" i="7"/>
  <c r="CH311" i="7"/>
  <c r="DC310" i="7"/>
  <c r="BN310" i="7"/>
  <c r="E300" i="7"/>
  <c r="BL300" i="7"/>
  <c r="AL301" i="7"/>
  <c r="CI312" i="7"/>
  <c r="DD311" i="7"/>
  <c r="DS311" i="7"/>
  <c r="BK300" i="7"/>
  <c r="D300" i="7"/>
  <c r="AK301" i="7"/>
  <c r="CJ312" i="7"/>
  <c r="DE311" i="7"/>
  <c r="DI309" i="7"/>
  <c r="CF311" i="7"/>
  <c r="DA310" i="7"/>
  <c r="AN310" i="7"/>
  <c r="CD312" i="7"/>
  <c r="CY311" i="7"/>
  <c r="BW312" i="7"/>
  <c r="CR311" i="7"/>
  <c r="EA310" i="7"/>
  <c r="DV310" i="7"/>
  <c r="BS311" i="7"/>
  <c r="EF310" i="7"/>
  <c r="DZ310" i="7"/>
  <c r="CN310" i="7"/>
  <c r="EC310" i="7"/>
  <c r="DX310" i="7"/>
  <c r="EB310" i="7"/>
  <c r="DW310" i="7"/>
  <c r="M310" i="7"/>
  <c r="BF308" i="7"/>
  <c r="BE308" i="7"/>
  <c r="BD308" i="7"/>
  <c r="CK313" i="7"/>
  <c r="DF312" i="7"/>
  <c r="CE311" i="7"/>
  <c r="CZ310" i="7"/>
  <c r="AM310" i="7"/>
  <c r="DG312" i="7"/>
  <c r="EM312" i="7"/>
  <c r="CL313" i="7"/>
  <c r="BX312" i="7"/>
  <c r="CS311" i="7"/>
  <c r="H306" i="7"/>
  <c r="G306" i="7"/>
  <c r="P310" i="7"/>
  <c r="BY313" i="7"/>
  <c r="CT312" i="7"/>
  <c r="BO308" i="7"/>
  <c r="BQ308" i="7" s="1"/>
  <c r="BZ312" i="7"/>
  <c r="CU311" i="7"/>
  <c r="EN311" i="7"/>
  <c r="AP309" i="7"/>
  <c r="BG309" i="7" s="1"/>
  <c r="AR309" i="7"/>
  <c r="BI309" i="7" s="1"/>
  <c r="AQ309" i="7"/>
  <c r="BH309" i="7" s="1"/>
  <c r="EO311" i="7"/>
  <c r="BT312" i="7"/>
  <c r="CO311" i="7"/>
  <c r="BP309" i="7" l="1"/>
  <c r="EM313" i="7"/>
  <c r="DG313" i="7"/>
  <c r="CL314" i="7"/>
  <c r="CJ313" i="7"/>
  <c r="DE312" i="7"/>
  <c r="P311" i="7"/>
  <c r="BV313" i="7"/>
  <c r="CQ312" i="7"/>
  <c r="BF309" i="7"/>
  <c r="BE309" i="7"/>
  <c r="BD309" i="7"/>
  <c r="CB313" i="7"/>
  <c r="CW312" i="7"/>
  <c r="EO312" i="7"/>
  <c r="BT313" i="7"/>
  <c r="CO312" i="7"/>
  <c r="BW313" i="7"/>
  <c r="CR312" i="7"/>
  <c r="CE312" i="7"/>
  <c r="CZ311" i="7"/>
  <c r="AM311" i="7"/>
  <c r="BO309" i="7"/>
  <c r="BQ309" i="7" s="1"/>
  <c r="AN311" i="7"/>
  <c r="CF312" i="7"/>
  <c r="DA311" i="7"/>
  <c r="D301" i="7"/>
  <c r="BK301" i="7"/>
  <c r="AK302" i="7"/>
  <c r="CH312" i="7"/>
  <c r="DC311" i="7"/>
  <c r="BN311" i="7"/>
  <c r="CC314" i="7"/>
  <c r="CX313" i="7"/>
  <c r="AR310" i="7"/>
  <c r="BI310" i="7" s="1"/>
  <c r="AQ310" i="7"/>
  <c r="AP310" i="7"/>
  <c r="BJ301" i="7"/>
  <c r="BM301" i="7" s="1"/>
  <c r="B301" i="7" s="1"/>
  <c r="C301" i="7"/>
  <c r="F301" i="7" s="1"/>
  <c r="AJ302" i="7"/>
  <c r="BS312" i="7"/>
  <c r="EF311" i="7"/>
  <c r="DZ311" i="7"/>
  <c r="CN311" i="7"/>
  <c r="BO310" i="7" s="1"/>
  <c r="EC311" i="7"/>
  <c r="DX311" i="7"/>
  <c r="EB311" i="7"/>
  <c r="DW311" i="7"/>
  <c r="EA311" i="7"/>
  <c r="DV311" i="7"/>
  <c r="M311" i="7"/>
  <c r="BY314" i="7"/>
  <c r="CT313" i="7"/>
  <c r="BZ313" i="7"/>
  <c r="CU312" i="7"/>
  <c r="EN312" i="7"/>
  <c r="CD313" i="7"/>
  <c r="CY312" i="7"/>
  <c r="DS312" i="7"/>
  <c r="CI313" i="7"/>
  <c r="DD312" i="7"/>
  <c r="CG313" i="7"/>
  <c r="DB312" i="7"/>
  <c r="AO312" i="7"/>
  <c r="CA313" i="7"/>
  <c r="CV312" i="7"/>
  <c r="BA310" i="7"/>
  <c r="DP310" i="7" s="1"/>
  <c r="AW310" i="7"/>
  <c r="DL310" i="7" s="1"/>
  <c r="AZ310" i="7"/>
  <c r="DO310" i="7" s="1"/>
  <c r="AV310" i="7"/>
  <c r="DK310" i="7" s="1"/>
  <c r="BC310" i="7"/>
  <c r="DR310" i="7" s="1"/>
  <c r="AY310" i="7"/>
  <c r="DN310" i="7" s="1"/>
  <c r="AU310" i="7"/>
  <c r="DJ310" i="7" s="1"/>
  <c r="BB310" i="7"/>
  <c r="DQ310" i="7" s="1"/>
  <c r="AX310" i="7"/>
  <c r="DM310" i="7" s="1"/>
  <c r="AT310" i="7"/>
  <c r="AH310" i="7"/>
  <c r="AG310" i="7"/>
  <c r="AF310" i="7"/>
  <c r="AI310" i="7" s="1"/>
  <c r="H308" i="7"/>
  <c r="G308" i="7"/>
  <c r="N311" i="7"/>
  <c r="BX313" i="7"/>
  <c r="CS312" i="7"/>
  <c r="BG310" i="7"/>
  <c r="CK314" i="7"/>
  <c r="DF313" i="7"/>
  <c r="BH310" i="7"/>
  <c r="E301" i="7"/>
  <c r="BL301" i="7"/>
  <c r="AL302" i="7"/>
  <c r="CM313" i="7"/>
  <c r="DH312" i="7"/>
  <c r="BU314" i="7"/>
  <c r="CP313" i="7"/>
  <c r="BL302" i="7" l="1"/>
  <c r="E302" i="7"/>
  <c r="AL303" i="7"/>
  <c r="BX314" i="7"/>
  <c r="CS313" i="7"/>
  <c r="CK315" i="7"/>
  <c r="DF314" i="7"/>
  <c r="CM314" i="7"/>
  <c r="DH313" i="7"/>
  <c r="CA314" i="7"/>
  <c r="CV313" i="7"/>
  <c r="EN313" i="7"/>
  <c r="BZ314" i="7"/>
  <c r="CU313" i="7"/>
  <c r="CC315" i="7"/>
  <c r="CX314" i="7"/>
  <c r="D302" i="7"/>
  <c r="BK302" i="7"/>
  <c r="AK303" i="7"/>
  <c r="CF313" i="7"/>
  <c r="DA312" i="7"/>
  <c r="AN312" i="7"/>
  <c r="CB314" i="7"/>
  <c r="CW313" i="7"/>
  <c r="BE310" i="7"/>
  <c r="BD310" i="7"/>
  <c r="BF310" i="7"/>
  <c r="CI314" i="7"/>
  <c r="DD313" i="7"/>
  <c r="DS313" i="7"/>
  <c r="CD314" i="7"/>
  <c r="CY313" i="7"/>
  <c r="EC312" i="7"/>
  <c r="DX312" i="7"/>
  <c r="EB312" i="7"/>
  <c r="DW312" i="7"/>
  <c r="EA312" i="7"/>
  <c r="DV312" i="7"/>
  <c r="BS313" i="7"/>
  <c r="EF312" i="7"/>
  <c r="DZ312" i="7"/>
  <c r="CN312" i="7"/>
  <c r="M312" i="7"/>
  <c r="AM312" i="7"/>
  <c r="CE313" i="7"/>
  <c r="CZ312" i="7"/>
  <c r="BT314" i="7"/>
  <c r="CO313" i="7"/>
  <c r="EO313" i="7"/>
  <c r="BV314" i="7"/>
  <c r="CQ313" i="7"/>
  <c r="BU315" i="7"/>
  <c r="CP314" i="7"/>
  <c r="P312" i="7"/>
  <c r="N313" i="7" s="1"/>
  <c r="BY315" i="7"/>
  <c r="CT314" i="7"/>
  <c r="C302" i="7"/>
  <c r="F302" i="7" s="1"/>
  <c r="BJ302" i="7"/>
  <c r="BM302" i="7" s="1"/>
  <c r="B302" i="7" s="1"/>
  <c r="AJ303" i="7"/>
  <c r="H309" i="7"/>
  <c r="G309" i="7"/>
  <c r="CJ314" i="7"/>
  <c r="DE313" i="7"/>
  <c r="AR311" i="7"/>
  <c r="BI311" i="7" s="1"/>
  <c r="AQ311" i="7"/>
  <c r="BH311" i="7" s="1"/>
  <c r="AP311" i="7"/>
  <c r="CG314" i="7"/>
  <c r="DB313" i="7"/>
  <c r="AO313" i="7"/>
  <c r="DI310" i="7"/>
  <c r="BP310" i="7" s="1"/>
  <c r="BQ310" i="7" s="1"/>
  <c r="AZ311" i="7"/>
  <c r="DO311" i="7" s="1"/>
  <c r="AV311" i="7"/>
  <c r="DK311" i="7" s="1"/>
  <c r="BC311" i="7"/>
  <c r="DR311" i="7" s="1"/>
  <c r="AY311" i="7"/>
  <c r="DN311" i="7" s="1"/>
  <c r="AU311" i="7"/>
  <c r="DJ311" i="7" s="1"/>
  <c r="BB311" i="7"/>
  <c r="DQ311" i="7" s="1"/>
  <c r="AX311" i="7"/>
  <c r="DM311" i="7" s="1"/>
  <c r="AT311" i="7"/>
  <c r="BA311" i="7"/>
  <c r="DP311" i="7" s="1"/>
  <c r="AW311" i="7"/>
  <c r="DL311" i="7" s="1"/>
  <c r="AH311" i="7"/>
  <c r="AG311" i="7"/>
  <c r="AF311" i="7"/>
  <c r="AI311" i="7" s="1"/>
  <c r="CH313" i="7"/>
  <c r="DC312" i="7"/>
  <c r="BN312" i="7"/>
  <c r="BG311" i="7"/>
  <c r="BW314" i="7"/>
  <c r="CR313" i="7"/>
  <c r="N312" i="7"/>
  <c r="EM314" i="7"/>
  <c r="DG314" i="7"/>
  <c r="CL315" i="7"/>
  <c r="H310" i="7" l="1"/>
  <c r="G310" i="7"/>
  <c r="BW315" i="7"/>
  <c r="CR314" i="7"/>
  <c r="AO314" i="7"/>
  <c r="CG315" i="7"/>
  <c r="DB314" i="7"/>
  <c r="CJ315" i="7"/>
  <c r="DE314" i="7"/>
  <c r="AP313" i="7"/>
  <c r="AR313" i="7"/>
  <c r="AQ313" i="7"/>
  <c r="BT315" i="7"/>
  <c r="CO314" i="7"/>
  <c r="EO314" i="7"/>
  <c r="CA315" i="7"/>
  <c r="CV314" i="7"/>
  <c r="CK316" i="7"/>
  <c r="DF315" i="7"/>
  <c r="BN313" i="7"/>
  <c r="CH314" i="7"/>
  <c r="DC313" i="7"/>
  <c r="AQ312" i="7"/>
  <c r="BH312" i="7" s="1"/>
  <c r="AP312" i="7"/>
  <c r="AR312" i="7"/>
  <c r="BI312" i="7" s="1"/>
  <c r="BD311" i="7"/>
  <c r="BF311" i="7"/>
  <c r="BE311" i="7"/>
  <c r="DI311" i="7"/>
  <c r="BV315" i="7"/>
  <c r="CQ314" i="7"/>
  <c r="CI315" i="7"/>
  <c r="DD314" i="7"/>
  <c r="DS314" i="7"/>
  <c r="BZ315" i="7"/>
  <c r="CU314" i="7"/>
  <c r="EN314" i="7"/>
  <c r="DG315" i="7"/>
  <c r="EM315" i="7"/>
  <c r="CL316" i="7"/>
  <c r="BI313" i="7"/>
  <c r="CE314" i="7"/>
  <c r="CZ313" i="7"/>
  <c r="AM313" i="7"/>
  <c r="BG313" i="7" s="1"/>
  <c r="BC312" i="7"/>
  <c r="DR312" i="7" s="1"/>
  <c r="AY312" i="7"/>
  <c r="DN312" i="7" s="1"/>
  <c r="AU312" i="7"/>
  <c r="DJ312" i="7" s="1"/>
  <c r="BB312" i="7"/>
  <c r="DQ312" i="7" s="1"/>
  <c r="AX312" i="7"/>
  <c r="DM312" i="7" s="1"/>
  <c r="AT312" i="7"/>
  <c r="BA312" i="7"/>
  <c r="DP312" i="7" s="1"/>
  <c r="AW312" i="7"/>
  <c r="DL312" i="7" s="1"/>
  <c r="AZ312" i="7"/>
  <c r="DO312" i="7" s="1"/>
  <c r="AV312" i="7"/>
  <c r="DK312" i="7" s="1"/>
  <c r="AG312" i="7"/>
  <c r="AH312" i="7"/>
  <c r="AF312" i="7"/>
  <c r="AI312" i="7" s="1"/>
  <c r="EB313" i="7"/>
  <c r="DW313" i="7"/>
  <c r="EA313" i="7"/>
  <c r="DV313" i="7"/>
  <c r="BS314" i="7"/>
  <c r="EF313" i="7"/>
  <c r="DZ313" i="7"/>
  <c r="CN313" i="7"/>
  <c r="EC313" i="7"/>
  <c r="DX313" i="7"/>
  <c r="M313" i="7"/>
  <c r="CD315" i="7"/>
  <c r="CY314" i="7"/>
  <c r="CF314" i="7"/>
  <c r="DA313" i="7"/>
  <c r="AN313" i="7"/>
  <c r="BH313" i="7" s="1"/>
  <c r="CM315" i="7"/>
  <c r="DH314" i="7"/>
  <c r="BX315" i="7"/>
  <c r="CS314" i="7"/>
  <c r="C303" i="7"/>
  <c r="F303" i="7" s="1"/>
  <c r="BJ303" i="7"/>
  <c r="BM303" i="7" s="1"/>
  <c r="B303" i="7" s="1"/>
  <c r="AJ304" i="7"/>
  <c r="BY316" i="7"/>
  <c r="CT315" i="7"/>
  <c r="BU316" i="7"/>
  <c r="CP315" i="7"/>
  <c r="BG312" i="7"/>
  <c r="BO311" i="7"/>
  <c r="P313" i="7"/>
  <c r="N314" i="7" s="1"/>
  <c r="CB315" i="7"/>
  <c r="CW314" i="7"/>
  <c r="BK303" i="7"/>
  <c r="D303" i="7"/>
  <c r="AK304" i="7"/>
  <c r="CC316" i="7"/>
  <c r="CX315" i="7"/>
  <c r="BL303" i="7"/>
  <c r="E303" i="7"/>
  <c r="AL304" i="7"/>
  <c r="CM316" i="7" l="1"/>
  <c r="DH315" i="7"/>
  <c r="EA314" i="7"/>
  <c r="DV314" i="7"/>
  <c r="BS315" i="7"/>
  <c r="EF314" i="7"/>
  <c r="DZ314" i="7"/>
  <c r="CN314" i="7"/>
  <c r="EC314" i="7"/>
  <c r="DX314" i="7"/>
  <c r="EB314" i="7"/>
  <c r="DW314" i="7"/>
  <c r="M314" i="7"/>
  <c r="BF312" i="7"/>
  <c r="BE312" i="7"/>
  <c r="BD312" i="7"/>
  <c r="CE315" i="7"/>
  <c r="CZ314" i="7"/>
  <c r="AM314" i="7"/>
  <c r="P314" i="7"/>
  <c r="BV316" i="7"/>
  <c r="CQ315" i="7"/>
  <c r="CK317" i="7"/>
  <c r="DF316" i="7"/>
  <c r="CG316" i="7"/>
  <c r="DB315" i="7"/>
  <c r="AO315" i="7"/>
  <c r="BY317" i="7"/>
  <c r="CT316" i="7"/>
  <c r="CD316" i="7"/>
  <c r="CY315" i="7"/>
  <c r="BO312" i="7"/>
  <c r="DI312" i="7"/>
  <c r="CH315" i="7"/>
  <c r="DC314" i="7"/>
  <c r="BN314" i="7"/>
  <c r="BK304" i="7"/>
  <c r="D304" i="7"/>
  <c r="AK305" i="7"/>
  <c r="BB313" i="7"/>
  <c r="DQ313" i="7" s="1"/>
  <c r="AX313" i="7"/>
  <c r="DM313" i="7" s="1"/>
  <c r="AT313" i="7"/>
  <c r="BA313" i="7"/>
  <c r="DP313" i="7" s="1"/>
  <c r="AW313" i="7"/>
  <c r="DL313" i="7" s="1"/>
  <c r="AZ313" i="7"/>
  <c r="DO313" i="7" s="1"/>
  <c r="AV313" i="7"/>
  <c r="DK313" i="7" s="1"/>
  <c r="BC313" i="7"/>
  <c r="DR313" i="7" s="1"/>
  <c r="AY313" i="7"/>
  <c r="DN313" i="7" s="1"/>
  <c r="AU313" i="7"/>
  <c r="DJ313" i="7" s="1"/>
  <c r="AH313" i="7"/>
  <c r="AG313" i="7"/>
  <c r="AF313" i="7"/>
  <c r="AI313" i="7" s="1"/>
  <c r="DG316" i="7"/>
  <c r="EM316" i="7"/>
  <c r="CL317" i="7"/>
  <c r="CI316" i="7"/>
  <c r="DD315" i="7"/>
  <c r="DS315" i="7"/>
  <c r="CA316" i="7"/>
  <c r="CV315" i="7"/>
  <c r="EO315" i="7"/>
  <c r="BT316" i="7"/>
  <c r="CO315" i="7"/>
  <c r="CJ316" i="7"/>
  <c r="DE315" i="7"/>
  <c r="BP311" i="7"/>
  <c r="BQ311" i="7" s="1"/>
  <c r="E304" i="7"/>
  <c r="BL304" i="7"/>
  <c r="AL305" i="7"/>
  <c r="CC317" i="7"/>
  <c r="CX316" i="7"/>
  <c r="CB316" i="7"/>
  <c r="CW315" i="7"/>
  <c r="BJ304" i="7"/>
  <c r="BM304" i="7" s="1"/>
  <c r="B304" i="7" s="1"/>
  <c r="C304" i="7"/>
  <c r="F304" i="7" s="1"/>
  <c r="AJ305" i="7"/>
  <c r="BX316" i="7"/>
  <c r="CS315" i="7"/>
  <c r="AR314" i="7"/>
  <c r="BI314" i="7" s="1"/>
  <c r="AQ314" i="7"/>
  <c r="AP314" i="7"/>
  <c r="BU317" i="7"/>
  <c r="CP316" i="7"/>
  <c r="CF315" i="7"/>
  <c r="DA314" i="7"/>
  <c r="AN314" i="7"/>
  <c r="BH314" i="7" s="1"/>
  <c r="BZ316" i="7"/>
  <c r="CU315" i="7"/>
  <c r="EN315" i="7"/>
  <c r="BW316" i="7"/>
  <c r="CR315" i="7"/>
  <c r="G311" i="7" l="1"/>
  <c r="H311" i="7"/>
  <c r="BX317" i="7"/>
  <c r="CS316" i="7"/>
  <c r="AN315" i="7"/>
  <c r="CF316" i="7"/>
  <c r="DA315" i="7"/>
  <c r="CA317" i="7"/>
  <c r="CV316" i="7"/>
  <c r="DS316" i="7"/>
  <c r="CI317" i="7"/>
  <c r="DD316" i="7"/>
  <c r="DI313" i="7"/>
  <c r="BP313" i="7" s="1"/>
  <c r="CG317" i="7"/>
  <c r="DB316" i="7"/>
  <c r="AO316" i="7"/>
  <c r="BV317" i="7"/>
  <c r="CQ316" i="7"/>
  <c r="BZ317" i="7"/>
  <c r="CU316" i="7"/>
  <c r="EN316" i="7"/>
  <c r="CC318" i="7"/>
  <c r="CX317" i="7"/>
  <c r="EO316" i="7"/>
  <c r="BT317" i="7"/>
  <c r="CO316" i="7"/>
  <c r="EM317" i="7"/>
  <c r="DG317" i="7"/>
  <c r="CL318" i="7"/>
  <c r="D305" i="7"/>
  <c r="BK305" i="7"/>
  <c r="AK306" i="7"/>
  <c r="BY318" i="7"/>
  <c r="CT317" i="7"/>
  <c r="CE316" i="7"/>
  <c r="CZ315" i="7"/>
  <c r="AM315" i="7"/>
  <c r="BA314" i="7"/>
  <c r="DP314" i="7" s="1"/>
  <c r="AW314" i="7"/>
  <c r="DL314" i="7" s="1"/>
  <c r="AZ314" i="7"/>
  <c r="DO314" i="7" s="1"/>
  <c r="AV314" i="7"/>
  <c r="DK314" i="7" s="1"/>
  <c r="BC314" i="7"/>
  <c r="DR314" i="7" s="1"/>
  <c r="AY314" i="7"/>
  <c r="DN314" i="7" s="1"/>
  <c r="AU314" i="7"/>
  <c r="DJ314" i="7" s="1"/>
  <c r="BB314" i="7"/>
  <c r="DQ314" i="7" s="1"/>
  <c r="AX314" i="7"/>
  <c r="DM314" i="7" s="1"/>
  <c r="AT314" i="7"/>
  <c r="AH314" i="7"/>
  <c r="AF314" i="7"/>
  <c r="AI314" i="7" s="1"/>
  <c r="AG314" i="7"/>
  <c r="BS316" i="7"/>
  <c r="EF315" i="7"/>
  <c r="DZ315" i="7"/>
  <c r="CN315" i="7"/>
  <c r="EC315" i="7"/>
  <c r="DX315" i="7"/>
  <c r="EB315" i="7"/>
  <c r="DW315" i="7"/>
  <c r="EA315" i="7"/>
  <c r="DV315" i="7"/>
  <c r="M315" i="7"/>
  <c r="CM317" i="7"/>
  <c r="DH316" i="7"/>
  <c r="BP312" i="7"/>
  <c r="BQ312" i="7" s="1"/>
  <c r="BW317" i="7"/>
  <c r="CR316" i="7"/>
  <c r="BU318" i="7"/>
  <c r="CP317" i="7"/>
  <c r="E305" i="7"/>
  <c r="BL305" i="7"/>
  <c r="AL306" i="7"/>
  <c r="P315" i="7"/>
  <c r="N316" i="7" s="1"/>
  <c r="BF313" i="7"/>
  <c r="BE313" i="7"/>
  <c r="BD313" i="7"/>
  <c r="CK318" i="7"/>
  <c r="DF317" i="7"/>
  <c r="N315" i="7"/>
  <c r="BO313" i="7"/>
  <c r="BJ305" i="7"/>
  <c r="BM305" i="7" s="1"/>
  <c r="B305" i="7" s="1"/>
  <c r="C305" i="7"/>
  <c r="F305" i="7" s="1"/>
  <c r="AJ306" i="7"/>
  <c r="CB317" i="7"/>
  <c r="CW316" i="7"/>
  <c r="CJ317" i="7"/>
  <c r="DE316" i="7"/>
  <c r="CH316" i="7"/>
  <c r="DC315" i="7"/>
  <c r="BN315" i="7"/>
  <c r="CD317" i="7"/>
  <c r="CY316" i="7"/>
  <c r="BG314" i="7"/>
  <c r="H312" i="7" l="1"/>
  <c r="G312" i="7"/>
  <c r="CH317" i="7"/>
  <c r="DC316" i="7"/>
  <c r="BN316" i="7"/>
  <c r="CD318" i="7"/>
  <c r="CY317" i="7"/>
  <c r="C306" i="7"/>
  <c r="F306" i="7" s="1"/>
  <c r="BJ306" i="7"/>
  <c r="BM306" i="7" s="1"/>
  <c r="B306" i="7" s="1"/>
  <c r="AJ307" i="7"/>
  <c r="AR315" i="7"/>
  <c r="BI315" i="7" s="1"/>
  <c r="AQ315" i="7"/>
  <c r="AP315" i="7"/>
  <c r="CC319" i="7"/>
  <c r="CX318" i="7"/>
  <c r="CG318" i="7"/>
  <c r="DB317" i="7"/>
  <c r="AO317" i="7"/>
  <c r="P316" i="7"/>
  <c r="CF317" i="7"/>
  <c r="DA316" i="7"/>
  <c r="AN316" i="7"/>
  <c r="CJ318" i="7"/>
  <c r="DE317" i="7"/>
  <c r="BL306" i="7"/>
  <c r="E306" i="7"/>
  <c r="AL307" i="7"/>
  <c r="BU319" i="7"/>
  <c r="CP318" i="7"/>
  <c r="EC316" i="7"/>
  <c r="DX316" i="7"/>
  <c r="EB316" i="7"/>
  <c r="DW316" i="7"/>
  <c r="EA316" i="7"/>
  <c r="DV316" i="7"/>
  <c r="BS317" i="7"/>
  <c r="EF316" i="7"/>
  <c r="DZ316" i="7"/>
  <c r="CN316" i="7"/>
  <c r="BO315" i="7" s="1"/>
  <c r="M316" i="7"/>
  <c r="BE314" i="7"/>
  <c r="BD314" i="7"/>
  <c r="BF314" i="7"/>
  <c r="AM316" i="7"/>
  <c r="CE317" i="7"/>
  <c r="CZ316" i="7"/>
  <c r="EM318" i="7"/>
  <c r="DG318" i="7"/>
  <c r="CL319" i="7"/>
  <c r="BT318" i="7"/>
  <c r="CO317" i="7"/>
  <c r="EO317" i="7"/>
  <c r="BV318" i="7"/>
  <c r="CQ317" i="7"/>
  <c r="DI314" i="7"/>
  <c r="BP314" i="7" s="1"/>
  <c r="BH315" i="7"/>
  <c r="CK319" i="7"/>
  <c r="DF318" i="7"/>
  <c r="CM318" i="7"/>
  <c r="DH317" i="7"/>
  <c r="BO314" i="7"/>
  <c r="D306" i="7"/>
  <c r="BK306" i="7"/>
  <c r="AK307" i="7"/>
  <c r="CA318" i="7"/>
  <c r="CV317" i="7"/>
  <c r="CB318" i="7"/>
  <c r="CW317" i="7"/>
  <c r="BQ313" i="7"/>
  <c r="AQ316" i="7"/>
  <c r="AP316" i="7"/>
  <c r="AR316" i="7"/>
  <c r="BI316" i="7" s="1"/>
  <c r="BW318" i="7"/>
  <c r="CR317" i="7"/>
  <c r="AZ315" i="7"/>
  <c r="DO315" i="7" s="1"/>
  <c r="AV315" i="7"/>
  <c r="DK315" i="7" s="1"/>
  <c r="BC315" i="7"/>
  <c r="DR315" i="7" s="1"/>
  <c r="AY315" i="7"/>
  <c r="DN315" i="7" s="1"/>
  <c r="AU315" i="7"/>
  <c r="DJ315" i="7" s="1"/>
  <c r="BB315" i="7"/>
  <c r="DQ315" i="7" s="1"/>
  <c r="AX315" i="7"/>
  <c r="DM315" i="7" s="1"/>
  <c r="AT315" i="7"/>
  <c r="BA315" i="7"/>
  <c r="DP315" i="7" s="1"/>
  <c r="AW315" i="7"/>
  <c r="DL315" i="7" s="1"/>
  <c r="AG315" i="7"/>
  <c r="AF315" i="7"/>
  <c r="AI315" i="7" s="1"/>
  <c r="AH315" i="7"/>
  <c r="BG315" i="7"/>
  <c r="BY319" i="7"/>
  <c r="CT318" i="7"/>
  <c r="EN317" i="7"/>
  <c r="BZ318" i="7"/>
  <c r="CU317" i="7"/>
  <c r="CI318" i="7"/>
  <c r="DD317" i="7"/>
  <c r="DS317" i="7"/>
  <c r="BX318" i="7"/>
  <c r="CS317" i="7"/>
  <c r="BX319" i="7" l="1"/>
  <c r="CS318" i="7"/>
  <c r="BY320" i="7"/>
  <c r="CT319" i="7"/>
  <c r="BW319" i="7"/>
  <c r="CR318" i="7"/>
  <c r="BQ314" i="7"/>
  <c r="CK320" i="7"/>
  <c r="DF319" i="7"/>
  <c r="BV319" i="7"/>
  <c r="CQ318" i="7"/>
  <c r="DG319" i="7"/>
  <c r="EM319" i="7"/>
  <c r="CL320" i="7"/>
  <c r="CE318" i="7"/>
  <c r="CZ317" i="7"/>
  <c r="AM317" i="7"/>
  <c r="BH316" i="7"/>
  <c r="C307" i="7"/>
  <c r="F307" i="7" s="1"/>
  <c r="BJ307" i="7"/>
  <c r="BM307" i="7" s="1"/>
  <c r="B307" i="7" s="1"/>
  <c r="AJ308" i="7"/>
  <c r="CD319" i="7"/>
  <c r="CY318" i="7"/>
  <c r="P317" i="7"/>
  <c r="CB319" i="7"/>
  <c r="CW318" i="7"/>
  <c r="BK307" i="7"/>
  <c r="D307" i="7"/>
  <c r="AK308" i="7"/>
  <c r="BG316" i="7"/>
  <c r="BC316" i="7"/>
  <c r="DR316" i="7" s="1"/>
  <c r="AY316" i="7"/>
  <c r="DN316" i="7" s="1"/>
  <c r="AU316" i="7"/>
  <c r="DJ316" i="7" s="1"/>
  <c r="BB316" i="7"/>
  <c r="DQ316" i="7" s="1"/>
  <c r="AX316" i="7"/>
  <c r="DM316" i="7" s="1"/>
  <c r="AT316" i="7"/>
  <c r="BA316" i="7"/>
  <c r="DP316" i="7" s="1"/>
  <c r="AW316" i="7"/>
  <c r="DL316" i="7" s="1"/>
  <c r="AZ316" i="7"/>
  <c r="DO316" i="7" s="1"/>
  <c r="AV316" i="7"/>
  <c r="DK316" i="7" s="1"/>
  <c r="AG316" i="7"/>
  <c r="AH316" i="7"/>
  <c r="AF316" i="7"/>
  <c r="AI316" i="7" s="1"/>
  <c r="EB317" i="7"/>
  <c r="DW317" i="7"/>
  <c r="EA317" i="7"/>
  <c r="DV317" i="7"/>
  <c r="BS318" i="7"/>
  <c r="EF317" i="7"/>
  <c r="DZ317" i="7"/>
  <c r="CN317" i="7"/>
  <c r="EC317" i="7"/>
  <c r="DX317" i="7"/>
  <c r="M317" i="7"/>
  <c r="BU320" i="7"/>
  <c r="CP319" i="7"/>
  <c r="CC320" i="7"/>
  <c r="CX319" i="7"/>
  <c r="CM319" i="7"/>
  <c r="DH318" i="7"/>
  <c r="DI315" i="7"/>
  <c r="DI316" i="7" s="1"/>
  <c r="BL307" i="7"/>
  <c r="E307" i="7"/>
  <c r="AL308" i="7"/>
  <c r="CJ319" i="7"/>
  <c r="DE318" i="7"/>
  <c r="CF318" i="7"/>
  <c r="DA317" i="7"/>
  <c r="AN317" i="7"/>
  <c r="BZ319" i="7"/>
  <c r="CU318" i="7"/>
  <c r="EN318" i="7"/>
  <c r="CI319" i="7"/>
  <c r="DD318" i="7"/>
  <c r="DS318" i="7"/>
  <c r="BD315" i="7"/>
  <c r="BF315" i="7"/>
  <c r="BE315" i="7"/>
  <c r="H313" i="7"/>
  <c r="G313" i="7"/>
  <c r="CA319" i="7"/>
  <c r="CV318" i="7"/>
  <c r="BT319" i="7"/>
  <c r="CO318" i="7"/>
  <c r="EO318" i="7"/>
  <c r="N317" i="7"/>
  <c r="AO318" i="7"/>
  <c r="CG319" i="7"/>
  <c r="DB318" i="7"/>
  <c r="BN317" i="7"/>
  <c r="CH318" i="7"/>
  <c r="DC317" i="7"/>
  <c r="BP316" i="7" l="1"/>
  <c r="CG320" i="7"/>
  <c r="DB319" i="7"/>
  <c r="AO319" i="7"/>
  <c r="E308" i="7"/>
  <c r="BL308" i="7"/>
  <c r="AL309" i="7"/>
  <c r="BB317" i="7"/>
  <c r="DQ317" i="7" s="1"/>
  <c r="AX317" i="7"/>
  <c r="DM317" i="7" s="1"/>
  <c r="AT317" i="7"/>
  <c r="BA317" i="7"/>
  <c r="DP317" i="7" s="1"/>
  <c r="AW317" i="7"/>
  <c r="DL317" i="7" s="1"/>
  <c r="AZ317" i="7"/>
  <c r="DO317" i="7" s="1"/>
  <c r="AV317" i="7"/>
  <c r="DK317" i="7" s="1"/>
  <c r="BC317" i="7"/>
  <c r="DR317" i="7" s="1"/>
  <c r="AY317" i="7"/>
  <c r="DN317" i="7" s="1"/>
  <c r="AU317" i="7"/>
  <c r="DJ317" i="7" s="1"/>
  <c r="AG317" i="7"/>
  <c r="AH317" i="7"/>
  <c r="AF317" i="7"/>
  <c r="AI317" i="7" s="1"/>
  <c r="CE319" i="7"/>
  <c r="CZ318" i="7"/>
  <c r="AM318" i="7"/>
  <c r="H314" i="7"/>
  <c r="G314" i="7"/>
  <c r="BY321" i="7"/>
  <c r="CT320" i="7"/>
  <c r="AP317" i="7"/>
  <c r="AR317" i="7"/>
  <c r="BI317" i="7" s="1"/>
  <c r="AQ317" i="7"/>
  <c r="CC321" i="7"/>
  <c r="CX320" i="7"/>
  <c r="CH319" i="7"/>
  <c r="DC318" i="7"/>
  <c r="BN318" i="7"/>
  <c r="EO319" i="7"/>
  <c r="BT320" i="7"/>
  <c r="CO319" i="7"/>
  <c r="P318" i="7"/>
  <c r="CF319" i="7"/>
  <c r="DA318" i="7"/>
  <c r="AN318" i="7"/>
  <c r="CM320" i="7"/>
  <c r="DH319" i="7"/>
  <c r="BK308" i="7"/>
  <c r="D308" i="7"/>
  <c r="AK309" i="7"/>
  <c r="CB320" i="7"/>
  <c r="CW319" i="7"/>
  <c r="CD320" i="7"/>
  <c r="CY319" i="7"/>
  <c r="DG320" i="7"/>
  <c r="EM320" i="7"/>
  <c r="CL321" i="7"/>
  <c r="BV320" i="7"/>
  <c r="CQ319" i="7"/>
  <c r="BP315" i="7"/>
  <c r="BQ315" i="7" s="1"/>
  <c r="BZ320" i="7"/>
  <c r="CU319" i="7"/>
  <c r="EN319" i="7"/>
  <c r="EA318" i="7"/>
  <c r="DV318" i="7"/>
  <c r="BS319" i="7"/>
  <c r="EF318" i="7"/>
  <c r="DZ318" i="7"/>
  <c r="CN318" i="7"/>
  <c r="EC318" i="7"/>
  <c r="DX318" i="7"/>
  <c r="EB318" i="7"/>
  <c r="DW318" i="7"/>
  <c r="M318" i="7"/>
  <c r="BF316" i="7"/>
  <c r="BE316" i="7"/>
  <c r="BD316" i="7"/>
  <c r="BJ308" i="7"/>
  <c r="BM308" i="7" s="1"/>
  <c r="B308" i="7" s="1"/>
  <c r="C308" i="7"/>
  <c r="F308" i="7" s="1"/>
  <c r="AJ309" i="7"/>
  <c r="BG317" i="7"/>
  <c r="BW320" i="7"/>
  <c r="CR319" i="7"/>
  <c r="BX320" i="7"/>
  <c r="CS319" i="7"/>
  <c r="CA320" i="7"/>
  <c r="CV319" i="7"/>
  <c r="CI320" i="7"/>
  <c r="DD319" i="7"/>
  <c r="DS319" i="7"/>
  <c r="BH317" i="7"/>
  <c r="CJ320" i="7"/>
  <c r="DE319" i="7"/>
  <c r="DI317" i="7"/>
  <c r="BU321" i="7"/>
  <c r="CP320" i="7"/>
  <c r="BO316" i="7"/>
  <c r="BQ316" i="7" s="1"/>
  <c r="N318" i="7"/>
  <c r="CK321" i="7"/>
  <c r="DF320" i="7"/>
  <c r="BP317" i="7" l="1"/>
  <c r="BX321" i="7"/>
  <c r="CS320" i="7"/>
  <c r="BJ309" i="7"/>
  <c r="BM309" i="7" s="1"/>
  <c r="B309" i="7" s="1"/>
  <c r="C309" i="7"/>
  <c r="F309" i="7" s="1"/>
  <c r="AJ310" i="7"/>
  <c r="EM321" i="7"/>
  <c r="DG321" i="7"/>
  <c r="CL322" i="7"/>
  <c r="CD321" i="7"/>
  <c r="CY320" i="7"/>
  <c r="N319" i="7"/>
  <c r="E309" i="7"/>
  <c r="BL309" i="7"/>
  <c r="AL310" i="7"/>
  <c r="CJ321" i="7"/>
  <c r="DE320" i="7"/>
  <c r="BU322" i="7"/>
  <c r="CP321" i="7"/>
  <c r="G315" i="7"/>
  <c r="H315" i="7"/>
  <c r="CC322" i="7"/>
  <c r="CX321" i="7"/>
  <c r="BY322" i="7"/>
  <c r="CT321" i="7"/>
  <c r="BF317" i="7"/>
  <c r="BE317" i="7"/>
  <c r="BD317" i="7"/>
  <c r="CG321" i="7"/>
  <c r="DB320" i="7"/>
  <c r="AO320" i="7"/>
  <c r="P319" i="7"/>
  <c r="CA321" i="7"/>
  <c r="CV320" i="7"/>
  <c r="BW321" i="7"/>
  <c r="CR320" i="7"/>
  <c r="BA318" i="7"/>
  <c r="DP318" i="7" s="1"/>
  <c r="AW318" i="7"/>
  <c r="DL318" i="7" s="1"/>
  <c r="AZ318" i="7"/>
  <c r="DO318" i="7" s="1"/>
  <c r="AV318" i="7"/>
  <c r="DK318" i="7" s="1"/>
  <c r="BC318" i="7"/>
  <c r="DR318" i="7" s="1"/>
  <c r="AY318" i="7"/>
  <c r="DN318" i="7" s="1"/>
  <c r="AU318" i="7"/>
  <c r="DJ318" i="7" s="1"/>
  <c r="BB318" i="7"/>
  <c r="DQ318" i="7" s="1"/>
  <c r="AX318" i="7"/>
  <c r="DM318" i="7" s="1"/>
  <c r="AT318" i="7"/>
  <c r="AH318" i="7"/>
  <c r="AG318" i="7"/>
  <c r="AF318" i="7"/>
  <c r="AI318" i="7" s="1"/>
  <c r="BS320" i="7"/>
  <c r="EF319" i="7"/>
  <c r="DZ319" i="7"/>
  <c r="CN319" i="7"/>
  <c r="EC319" i="7"/>
  <c r="DX319" i="7"/>
  <c r="EB319" i="7"/>
  <c r="DW319" i="7"/>
  <c r="EA319" i="7"/>
  <c r="DV319" i="7"/>
  <c r="M319" i="7"/>
  <c r="CB321" i="7"/>
  <c r="CW320" i="7"/>
  <c r="AN319" i="7"/>
  <c r="CF320" i="7"/>
  <c r="DA319" i="7"/>
  <c r="EO320" i="7"/>
  <c r="BT321" i="7"/>
  <c r="CO320" i="7"/>
  <c r="CE320" i="7"/>
  <c r="CZ319" i="7"/>
  <c r="AM319" i="7"/>
  <c r="DS320" i="7"/>
  <c r="CI321" i="7"/>
  <c r="DD320" i="7"/>
  <c r="CK322" i="7"/>
  <c r="DF321" i="7"/>
  <c r="AR318" i="7"/>
  <c r="BI318" i="7" s="1"/>
  <c r="AQ318" i="7"/>
  <c r="BH318" i="7" s="1"/>
  <c r="AP318" i="7"/>
  <c r="BG318" i="7" s="1"/>
  <c r="DI318" i="7"/>
  <c r="H316" i="7"/>
  <c r="G316" i="7"/>
  <c r="BO317" i="7"/>
  <c r="BQ317" i="7" s="1"/>
  <c r="BZ321" i="7"/>
  <c r="CU320" i="7"/>
  <c r="EN320" i="7"/>
  <c r="BV321" i="7"/>
  <c r="CQ320" i="7"/>
  <c r="D309" i="7"/>
  <c r="BK309" i="7"/>
  <c r="AK310" i="7"/>
  <c r="CM321" i="7"/>
  <c r="DH320" i="7"/>
  <c r="CH320" i="7"/>
  <c r="DC319" i="7"/>
  <c r="BN319" i="7"/>
  <c r="BP318" i="7" l="1"/>
  <c r="EN321" i="7"/>
  <c r="BZ322" i="7"/>
  <c r="CU321" i="7"/>
  <c r="CK323" i="7"/>
  <c r="DF322" i="7"/>
  <c r="BT322" i="7"/>
  <c r="CO321" i="7"/>
  <c r="EO321" i="7"/>
  <c r="BW322" i="7"/>
  <c r="CR321" i="7"/>
  <c r="BY323" i="7"/>
  <c r="CT322" i="7"/>
  <c r="D310" i="7"/>
  <c r="BK310" i="7"/>
  <c r="AK311" i="7"/>
  <c r="BV322" i="7"/>
  <c r="CQ321" i="7"/>
  <c r="H317" i="7"/>
  <c r="G317" i="7"/>
  <c r="EC320" i="7"/>
  <c r="DX320" i="7"/>
  <c r="EB320" i="7"/>
  <c r="DW320" i="7"/>
  <c r="EA320" i="7"/>
  <c r="DV320" i="7"/>
  <c r="BS321" i="7"/>
  <c r="EF320" i="7"/>
  <c r="DZ320" i="7"/>
  <c r="CN320" i="7"/>
  <c r="M320" i="7"/>
  <c r="BE318" i="7"/>
  <c r="BD318" i="7"/>
  <c r="BF318" i="7"/>
  <c r="CJ322" i="7"/>
  <c r="DE321" i="7"/>
  <c r="CD322" i="7"/>
  <c r="CY321" i="7"/>
  <c r="C310" i="7"/>
  <c r="F310" i="7" s="1"/>
  <c r="BJ310" i="7"/>
  <c r="BM310" i="7" s="1"/>
  <c r="B310" i="7" s="1"/>
  <c r="AJ311" i="7"/>
  <c r="BX322" i="7"/>
  <c r="CS321" i="7"/>
  <c r="CM322" i="7"/>
  <c r="DH321" i="7"/>
  <c r="CH321" i="7"/>
  <c r="DC320" i="7"/>
  <c r="BN320" i="7"/>
  <c r="CI322" i="7"/>
  <c r="DD321" i="7"/>
  <c r="DS321" i="7"/>
  <c r="AM320" i="7"/>
  <c r="CE321" i="7"/>
  <c r="CZ320" i="7"/>
  <c r="BO318" i="7"/>
  <c r="BQ318" i="7" s="1"/>
  <c r="CA322" i="7"/>
  <c r="CV321" i="7"/>
  <c r="CC323" i="7"/>
  <c r="CX322" i="7"/>
  <c r="BL310" i="7"/>
  <c r="E310" i="7"/>
  <c r="AL311" i="7"/>
  <c r="AR319" i="7"/>
  <c r="BI319" i="7" s="1"/>
  <c r="AQ319" i="7"/>
  <c r="BH319" i="7" s="1"/>
  <c r="AP319" i="7"/>
  <c r="BG319" i="7" s="1"/>
  <c r="EM322" i="7"/>
  <c r="DG322" i="7"/>
  <c r="CL323" i="7"/>
  <c r="CB322" i="7"/>
  <c r="CW321" i="7"/>
  <c r="P320" i="7"/>
  <c r="N321" i="7" s="1"/>
  <c r="CF321" i="7"/>
  <c r="DA320" i="7"/>
  <c r="AN320" i="7"/>
  <c r="AZ319" i="7"/>
  <c r="DO319" i="7" s="1"/>
  <c r="AV319" i="7"/>
  <c r="DK319" i="7" s="1"/>
  <c r="BC319" i="7"/>
  <c r="DR319" i="7" s="1"/>
  <c r="AY319" i="7"/>
  <c r="DN319" i="7" s="1"/>
  <c r="AU319" i="7"/>
  <c r="DJ319" i="7" s="1"/>
  <c r="BB319" i="7"/>
  <c r="DQ319" i="7" s="1"/>
  <c r="AX319" i="7"/>
  <c r="DM319" i="7" s="1"/>
  <c r="AT319" i="7"/>
  <c r="BA319" i="7"/>
  <c r="DP319" i="7" s="1"/>
  <c r="AW319" i="7"/>
  <c r="DL319" i="7" s="1"/>
  <c r="AF319" i="7"/>
  <c r="AI319" i="7" s="1"/>
  <c r="AH319" i="7"/>
  <c r="AG319" i="7"/>
  <c r="N320" i="7"/>
  <c r="CG322" i="7"/>
  <c r="DB321" i="7"/>
  <c r="AO321" i="7"/>
  <c r="BU323" i="7"/>
  <c r="CP322" i="7"/>
  <c r="BD319" i="7" l="1"/>
  <c r="BF319" i="7"/>
  <c r="BE319" i="7"/>
  <c r="BL311" i="7"/>
  <c r="E311" i="7"/>
  <c r="AL312" i="7"/>
  <c r="CC324" i="7"/>
  <c r="CX323" i="7"/>
  <c r="BN321" i="7"/>
  <c r="CH322" i="7"/>
  <c r="DC321" i="7"/>
  <c r="BX323" i="7"/>
  <c r="CS322" i="7"/>
  <c r="BC320" i="7"/>
  <c r="DR320" i="7" s="1"/>
  <c r="AY320" i="7"/>
  <c r="DN320" i="7" s="1"/>
  <c r="AU320" i="7"/>
  <c r="DJ320" i="7" s="1"/>
  <c r="BB320" i="7"/>
  <c r="DQ320" i="7" s="1"/>
  <c r="AX320" i="7"/>
  <c r="DM320" i="7" s="1"/>
  <c r="AT320" i="7"/>
  <c r="BA320" i="7"/>
  <c r="DP320" i="7" s="1"/>
  <c r="AW320" i="7"/>
  <c r="DL320" i="7" s="1"/>
  <c r="AZ320" i="7"/>
  <c r="DO320" i="7" s="1"/>
  <c r="AV320" i="7"/>
  <c r="DK320" i="7" s="1"/>
  <c r="AG320" i="7"/>
  <c r="AH320" i="7"/>
  <c r="AF320" i="7"/>
  <c r="AI320" i="7" s="1"/>
  <c r="EB321" i="7"/>
  <c r="DW321" i="7"/>
  <c r="EA321" i="7"/>
  <c r="DV321" i="7"/>
  <c r="BS322" i="7"/>
  <c r="EF321" i="7"/>
  <c r="DZ321" i="7"/>
  <c r="CN321" i="7"/>
  <c r="EC321" i="7"/>
  <c r="DX321" i="7"/>
  <c r="M321" i="7"/>
  <c r="CK324" i="7"/>
  <c r="DF323" i="7"/>
  <c r="CE322" i="7"/>
  <c r="CZ321" i="7"/>
  <c r="AM321" i="7"/>
  <c r="CI323" i="7"/>
  <c r="DD322" i="7"/>
  <c r="DS322" i="7"/>
  <c r="C311" i="7"/>
  <c r="F311" i="7" s="1"/>
  <c r="BJ311" i="7"/>
  <c r="BM311" i="7" s="1"/>
  <c r="B311" i="7" s="1"/>
  <c r="AJ312" i="7"/>
  <c r="CD323" i="7"/>
  <c r="CY322" i="7"/>
  <c r="BO319" i="7"/>
  <c r="BW323" i="7"/>
  <c r="CR322" i="7"/>
  <c r="BT323" i="7"/>
  <c r="CO322" i="7"/>
  <c r="EO322" i="7"/>
  <c r="DI319" i="7"/>
  <c r="DI320" i="7" s="1"/>
  <c r="AO322" i="7"/>
  <c r="CG323" i="7"/>
  <c r="DB322" i="7"/>
  <c r="BU324" i="7"/>
  <c r="CP323" i="7"/>
  <c r="AQ320" i="7"/>
  <c r="BH320" i="7" s="1"/>
  <c r="AP320" i="7"/>
  <c r="AR320" i="7"/>
  <c r="BI320" i="7" s="1"/>
  <c r="CF322" i="7"/>
  <c r="DA321" i="7"/>
  <c r="AN321" i="7"/>
  <c r="CB323" i="7"/>
  <c r="CW322" i="7"/>
  <c r="CA323" i="7"/>
  <c r="CV322" i="7"/>
  <c r="BG320" i="7"/>
  <c r="CM323" i="7"/>
  <c r="DH322" i="7"/>
  <c r="BV323" i="7"/>
  <c r="CQ322" i="7"/>
  <c r="AP321" i="7"/>
  <c r="AR321" i="7"/>
  <c r="BI321" i="7" s="1"/>
  <c r="AQ321" i="7"/>
  <c r="DG323" i="7"/>
  <c r="EM323" i="7"/>
  <c r="CL324" i="7"/>
  <c r="H318" i="7"/>
  <c r="G318" i="7"/>
  <c r="P321" i="7"/>
  <c r="N322" i="7" s="1"/>
  <c r="CJ323" i="7"/>
  <c r="DE322" i="7"/>
  <c r="BK311" i="7"/>
  <c r="D311" i="7"/>
  <c r="AK312" i="7"/>
  <c r="BY324" i="7"/>
  <c r="CT323" i="7"/>
  <c r="BZ323" i="7"/>
  <c r="CU322" i="7"/>
  <c r="EN322" i="7"/>
  <c r="BP320" i="7" l="1"/>
  <c r="CF323" i="7"/>
  <c r="DA322" i="7"/>
  <c r="AN322" i="7"/>
  <c r="BU325" i="7"/>
  <c r="CP324" i="7"/>
  <c r="CD324" i="7"/>
  <c r="CY323" i="7"/>
  <c r="P322" i="7"/>
  <c r="BB321" i="7"/>
  <c r="DQ321" i="7" s="1"/>
  <c r="AX321" i="7"/>
  <c r="DM321" i="7" s="1"/>
  <c r="AT321" i="7"/>
  <c r="BA321" i="7"/>
  <c r="DP321" i="7" s="1"/>
  <c r="AW321" i="7"/>
  <c r="DL321" i="7" s="1"/>
  <c r="AZ321" i="7"/>
  <c r="DO321" i="7" s="1"/>
  <c r="AV321" i="7"/>
  <c r="DK321" i="7" s="1"/>
  <c r="BC321" i="7"/>
  <c r="DR321" i="7" s="1"/>
  <c r="AY321" i="7"/>
  <c r="DN321" i="7" s="1"/>
  <c r="AU321" i="7"/>
  <c r="DJ321" i="7" s="1"/>
  <c r="AF321" i="7"/>
  <c r="AI321" i="7" s="1"/>
  <c r="AG321" i="7"/>
  <c r="AH321" i="7"/>
  <c r="BK312" i="7"/>
  <c r="D312" i="7"/>
  <c r="AK313" i="7"/>
  <c r="CJ324" i="7"/>
  <c r="DE323" i="7"/>
  <c r="BV324" i="7"/>
  <c r="CQ323" i="7"/>
  <c r="CB324" i="7"/>
  <c r="CW323" i="7"/>
  <c r="BW324" i="7"/>
  <c r="CR323" i="7"/>
  <c r="BJ312" i="7"/>
  <c r="BM312" i="7" s="1"/>
  <c r="B312" i="7" s="1"/>
  <c r="C312" i="7"/>
  <c r="F312" i="7" s="1"/>
  <c r="AJ313" i="7"/>
  <c r="CE323" i="7"/>
  <c r="CZ322" i="7"/>
  <c r="AM322" i="7"/>
  <c r="BX324" i="7"/>
  <c r="CS323" i="7"/>
  <c r="BP319" i="7"/>
  <c r="BY325" i="7"/>
  <c r="CT324" i="7"/>
  <c r="BZ324" i="7"/>
  <c r="CU323" i="7"/>
  <c r="EN323" i="7"/>
  <c r="DG324" i="7"/>
  <c r="EM324" i="7"/>
  <c r="CL325" i="7"/>
  <c r="BH321" i="7"/>
  <c r="CG324" i="7"/>
  <c r="DB323" i="7"/>
  <c r="AO323" i="7"/>
  <c r="BQ319" i="7"/>
  <c r="CI324" i="7"/>
  <c r="DD323" i="7"/>
  <c r="DS323" i="7"/>
  <c r="EA322" i="7"/>
  <c r="DV322" i="7"/>
  <c r="BS323" i="7"/>
  <c r="EF322" i="7"/>
  <c r="DZ322" i="7"/>
  <c r="CN322" i="7"/>
  <c r="EC322" i="7"/>
  <c r="DX322" i="7"/>
  <c r="EB322" i="7"/>
  <c r="DW322" i="7"/>
  <c r="M322" i="7"/>
  <c r="BF320" i="7"/>
  <c r="BE320" i="7"/>
  <c r="BD320" i="7"/>
  <c r="CC325" i="7"/>
  <c r="CX324" i="7"/>
  <c r="AR322" i="7"/>
  <c r="AQ322" i="7"/>
  <c r="AP322" i="7"/>
  <c r="CM324" i="7"/>
  <c r="DH323" i="7"/>
  <c r="CA324" i="7"/>
  <c r="CV323" i="7"/>
  <c r="BI322" i="7"/>
  <c r="EO323" i="7"/>
  <c r="BT324" i="7"/>
  <c r="CO323" i="7"/>
  <c r="BG321" i="7"/>
  <c r="CK325" i="7"/>
  <c r="DF324" i="7"/>
  <c r="BO320" i="7"/>
  <c r="BQ320" i="7" s="1"/>
  <c r="CH323" i="7"/>
  <c r="DC322" i="7"/>
  <c r="BN322" i="7"/>
  <c r="E312" i="7"/>
  <c r="BL312" i="7"/>
  <c r="AL313" i="7"/>
  <c r="CA325" i="7" l="1"/>
  <c r="CV324" i="7"/>
  <c r="G319" i="7"/>
  <c r="H319" i="7"/>
  <c r="BY326" i="7"/>
  <c r="CT325" i="7"/>
  <c r="BG322" i="7"/>
  <c r="BF321" i="7"/>
  <c r="BE321" i="7"/>
  <c r="BD321" i="7"/>
  <c r="N323" i="7"/>
  <c r="AN323" i="7"/>
  <c r="CF324" i="7"/>
  <c r="DA323" i="7"/>
  <c r="E313" i="7"/>
  <c r="BL313" i="7"/>
  <c r="AL314" i="7"/>
  <c r="CK326" i="7"/>
  <c r="DF325" i="7"/>
  <c r="P323" i="7"/>
  <c r="EM325" i="7"/>
  <c r="DG325" i="7"/>
  <c r="CL326" i="7"/>
  <c r="CB325" i="7"/>
  <c r="CW324" i="7"/>
  <c r="CJ325" i="7"/>
  <c r="DE324" i="7"/>
  <c r="BU326" i="7"/>
  <c r="CP325" i="7"/>
  <c r="EO324" i="7"/>
  <c r="BT325" i="7"/>
  <c r="CO324" i="7"/>
  <c r="BA322" i="7"/>
  <c r="DP322" i="7" s="1"/>
  <c r="AW322" i="7"/>
  <c r="DL322" i="7" s="1"/>
  <c r="AZ322" i="7"/>
  <c r="DO322" i="7" s="1"/>
  <c r="AV322" i="7"/>
  <c r="DK322" i="7" s="1"/>
  <c r="BC322" i="7"/>
  <c r="DR322" i="7" s="1"/>
  <c r="AY322" i="7"/>
  <c r="DN322" i="7" s="1"/>
  <c r="AU322" i="7"/>
  <c r="DJ322" i="7" s="1"/>
  <c r="BB322" i="7"/>
  <c r="DQ322" i="7" s="1"/>
  <c r="AX322" i="7"/>
  <c r="DM322" i="7" s="1"/>
  <c r="AT322" i="7"/>
  <c r="AF322" i="7"/>
  <c r="AI322" i="7" s="1"/>
  <c r="AH322" i="7"/>
  <c r="AG322" i="7"/>
  <c r="BS324" i="7"/>
  <c r="EF323" i="7"/>
  <c r="DZ323" i="7"/>
  <c r="CN323" i="7"/>
  <c r="EC323" i="7"/>
  <c r="DX323" i="7"/>
  <c r="EB323" i="7"/>
  <c r="DW323" i="7"/>
  <c r="EA323" i="7"/>
  <c r="DV323" i="7"/>
  <c r="M323" i="7"/>
  <c r="BZ325" i="7"/>
  <c r="CU324" i="7"/>
  <c r="EN324" i="7"/>
  <c r="CE324" i="7"/>
  <c r="CZ323" i="7"/>
  <c r="AM323" i="7"/>
  <c r="D313" i="7"/>
  <c r="BK313" i="7"/>
  <c r="AK314" i="7"/>
  <c r="CD325" i="7"/>
  <c r="CY324" i="7"/>
  <c r="BH322" i="7"/>
  <c r="CH324" i="7"/>
  <c r="DC323" i="7"/>
  <c r="BN323" i="7"/>
  <c r="CM325" i="7"/>
  <c r="DH324" i="7"/>
  <c r="CC326" i="7"/>
  <c r="CX325" i="7"/>
  <c r="H320" i="7"/>
  <c r="G320" i="7"/>
  <c r="BO321" i="7"/>
  <c r="DS324" i="7"/>
  <c r="CI325" i="7"/>
  <c r="DD324" i="7"/>
  <c r="CG325" i="7"/>
  <c r="DB324" i="7"/>
  <c r="AO324" i="7"/>
  <c r="BX325" i="7"/>
  <c r="CS324" i="7"/>
  <c r="BJ313" i="7"/>
  <c r="BM313" i="7" s="1"/>
  <c r="B313" i="7" s="1"/>
  <c r="C313" i="7"/>
  <c r="F313" i="7" s="1"/>
  <c r="AJ314" i="7"/>
  <c r="BW325" i="7"/>
  <c r="CR324" i="7"/>
  <c r="BV325" i="7"/>
  <c r="CQ324" i="7"/>
  <c r="DI321" i="7"/>
  <c r="DI322" i="7" s="1"/>
  <c r="BP322" i="7" l="1"/>
  <c r="CD326" i="7"/>
  <c r="CY325" i="7"/>
  <c r="EC324" i="7"/>
  <c r="DX324" i="7"/>
  <c r="EB324" i="7"/>
  <c r="DW324" i="7"/>
  <c r="EA324" i="7"/>
  <c r="DV324" i="7"/>
  <c r="BS325" i="7"/>
  <c r="EF324" i="7"/>
  <c r="DZ324" i="7"/>
  <c r="CN324" i="7"/>
  <c r="M324" i="7"/>
  <c r="BE322" i="7"/>
  <c r="BD322" i="7"/>
  <c r="BF322" i="7"/>
  <c r="EM326" i="7"/>
  <c r="DG326" i="7"/>
  <c r="CL327" i="7"/>
  <c r="N324" i="7"/>
  <c r="BL314" i="7"/>
  <c r="E314" i="7"/>
  <c r="AL315" i="7"/>
  <c r="CF325" i="7"/>
  <c r="DA324" i="7"/>
  <c r="AN324" i="7"/>
  <c r="BY327" i="7"/>
  <c r="CT326" i="7"/>
  <c r="CA326" i="7"/>
  <c r="CV325" i="7"/>
  <c r="CH325" i="7"/>
  <c r="DC324" i="7"/>
  <c r="BN324" i="7"/>
  <c r="EN325" i="7"/>
  <c r="BZ326" i="7"/>
  <c r="CU325" i="7"/>
  <c r="BO322" i="7"/>
  <c r="BQ322" i="7" s="1"/>
  <c r="CJ326" i="7"/>
  <c r="DE325" i="7"/>
  <c r="CG326" i="7"/>
  <c r="DB325" i="7"/>
  <c r="AO325" i="7"/>
  <c r="C314" i="7"/>
  <c r="F314" i="7" s="1"/>
  <c r="BJ314" i="7"/>
  <c r="BM314" i="7" s="1"/>
  <c r="B314" i="7" s="1"/>
  <c r="AJ315" i="7"/>
  <c r="BX326" i="7"/>
  <c r="CS325" i="7"/>
  <c r="D314" i="7"/>
  <c r="BK314" i="7"/>
  <c r="AK315" i="7"/>
  <c r="BV326" i="7"/>
  <c r="CQ325" i="7"/>
  <c r="CI326" i="7"/>
  <c r="DD325" i="7"/>
  <c r="DS325" i="7"/>
  <c r="CM326" i="7"/>
  <c r="DH325" i="7"/>
  <c r="AM324" i="7"/>
  <c r="CE325" i="7"/>
  <c r="CZ324" i="7"/>
  <c r="AZ323" i="7"/>
  <c r="DO323" i="7" s="1"/>
  <c r="AV323" i="7"/>
  <c r="DK323" i="7" s="1"/>
  <c r="BC323" i="7"/>
  <c r="DR323" i="7" s="1"/>
  <c r="AY323" i="7"/>
  <c r="DN323" i="7" s="1"/>
  <c r="AU323" i="7"/>
  <c r="DJ323" i="7" s="1"/>
  <c r="BB323" i="7"/>
  <c r="DQ323" i="7" s="1"/>
  <c r="AX323" i="7"/>
  <c r="DM323" i="7" s="1"/>
  <c r="AT323" i="7"/>
  <c r="DI323" i="7" s="1"/>
  <c r="BA323" i="7"/>
  <c r="DP323" i="7" s="1"/>
  <c r="AW323" i="7"/>
  <c r="DL323" i="7" s="1"/>
  <c r="AG323" i="7"/>
  <c r="AF323" i="7"/>
  <c r="AI323" i="7" s="1"/>
  <c r="AH323" i="7"/>
  <c r="AR323" i="7"/>
  <c r="BI323" i="7" s="1"/>
  <c r="AQ323" i="7"/>
  <c r="BH323" i="7" s="1"/>
  <c r="AP323" i="7"/>
  <c r="BG323" i="7" s="1"/>
  <c r="BW326" i="7"/>
  <c r="CR325" i="7"/>
  <c r="BQ321" i="7"/>
  <c r="CC327" i="7"/>
  <c r="CX326" i="7"/>
  <c r="P324" i="7"/>
  <c r="N325" i="7" s="1"/>
  <c r="BT326" i="7"/>
  <c r="CO325" i="7"/>
  <c r="EO325" i="7"/>
  <c r="BU327" i="7"/>
  <c r="CP326" i="7"/>
  <c r="CB326" i="7"/>
  <c r="CW325" i="7"/>
  <c r="CK327" i="7"/>
  <c r="DF326" i="7"/>
  <c r="BP321" i="7"/>
  <c r="BP323" i="7" l="1"/>
  <c r="BV327" i="7"/>
  <c r="CQ326" i="7"/>
  <c r="H322" i="7"/>
  <c r="G322" i="7"/>
  <c r="CA327" i="7"/>
  <c r="CV326" i="7"/>
  <c r="BC324" i="7"/>
  <c r="DR324" i="7" s="1"/>
  <c r="AY324" i="7"/>
  <c r="DN324" i="7" s="1"/>
  <c r="AU324" i="7"/>
  <c r="DJ324" i="7" s="1"/>
  <c r="BB324" i="7"/>
  <c r="DQ324" i="7" s="1"/>
  <c r="AX324" i="7"/>
  <c r="DM324" i="7" s="1"/>
  <c r="AT324" i="7"/>
  <c r="DI324" i="7" s="1"/>
  <c r="BA324" i="7"/>
  <c r="DP324" i="7" s="1"/>
  <c r="AW324" i="7"/>
  <c r="DL324" i="7" s="1"/>
  <c r="AZ324" i="7"/>
  <c r="DO324" i="7" s="1"/>
  <c r="AV324" i="7"/>
  <c r="DK324" i="7" s="1"/>
  <c r="AG324" i="7"/>
  <c r="AH324" i="7"/>
  <c r="AF324" i="7"/>
  <c r="AI324" i="7" s="1"/>
  <c r="EB325" i="7"/>
  <c r="DW325" i="7"/>
  <c r="EA325" i="7"/>
  <c r="DV325" i="7"/>
  <c r="BS326" i="7"/>
  <c r="EF325" i="7"/>
  <c r="DZ325" i="7"/>
  <c r="CN325" i="7"/>
  <c r="EC325" i="7"/>
  <c r="DX325" i="7"/>
  <c r="M325" i="7"/>
  <c r="CB327" i="7"/>
  <c r="CW326" i="7"/>
  <c r="CI327" i="7"/>
  <c r="DD326" i="7"/>
  <c r="DS326" i="7"/>
  <c r="BK315" i="7"/>
  <c r="D315" i="7"/>
  <c r="AK316" i="7"/>
  <c r="BX327" i="7"/>
  <c r="CS326" i="7"/>
  <c r="CF326" i="7"/>
  <c r="DA325" i="7"/>
  <c r="AN325" i="7"/>
  <c r="AQ324" i="7"/>
  <c r="AP324" i="7"/>
  <c r="BG324" i="7" s="1"/>
  <c r="AR324" i="7"/>
  <c r="BI324" i="7" s="1"/>
  <c r="BO323" i="7"/>
  <c r="BQ323" i="7" s="1"/>
  <c r="CD327" i="7"/>
  <c r="CY326" i="7"/>
  <c r="H321" i="7"/>
  <c r="G321" i="7"/>
  <c r="BT327" i="7"/>
  <c r="CO326" i="7"/>
  <c r="EO326" i="7"/>
  <c r="BW327" i="7"/>
  <c r="CR326" i="7"/>
  <c r="BD323" i="7"/>
  <c r="BF323" i="7"/>
  <c r="BE323" i="7"/>
  <c r="CM327" i="7"/>
  <c r="DH326" i="7"/>
  <c r="C315" i="7"/>
  <c r="F315" i="7" s="1"/>
  <c r="BJ315" i="7"/>
  <c r="BM315" i="7" s="1"/>
  <c r="B315" i="7" s="1"/>
  <c r="AJ316" i="7"/>
  <c r="BZ327" i="7"/>
  <c r="CU326" i="7"/>
  <c r="EN326" i="7"/>
  <c r="BN325" i="7"/>
  <c r="CH326" i="7"/>
  <c r="DC325" i="7"/>
  <c r="BY328" i="7"/>
  <c r="CT327" i="7"/>
  <c r="BL315" i="7"/>
  <c r="E315" i="7"/>
  <c r="AL316" i="7"/>
  <c r="DG327" i="7"/>
  <c r="EM327" i="7"/>
  <c r="CL328" i="7"/>
  <c r="AP325" i="7"/>
  <c r="AR325" i="7"/>
  <c r="BI325" i="7" s="1"/>
  <c r="AQ325" i="7"/>
  <c r="CK328" i="7"/>
  <c r="DF327" i="7"/>
  <c r="BU328" i="7"/>
  <c r="CP327" i="7"/>
  <c r="CC328" i="7"/>
  <c r="CX327" i="7"/>
  <c r="CE326" i="7"/>
  <c r="CZ325" i="7"/>
  <c r="AM325" i="7"/>
  <c r="P325" i="7"/>
  <c r="N326" i="7" s="1"/>
  <c r="AO326" i="7"/>
  <c r="CG327" i="7"/>
  <c r="DB326" i="7"/>
  <c r="CJ327" i="7"/>
  <c r="DE326" i="7"/>
  <c r="BH324" i="7"/>
  <c r="BP324" i="7" l="1"/>
  <c r="BU329" i="7"/>
  <c r="CP328" i="7"/>
  <c r="E316" i="7"/>
  <c r="BL316" i="7"/>
  <c r="AL317" i="7"/>
  <c r="BY329" i="7"/>
  <c r="CT328" i="7"/>
  <c r="BW328" i="7"/>
  <c r="CR327" i="7"/>
  <c r="G323" i="7"/>
  <c r="H323" i="7"/>
  <c r="BX328" i="7"/>
  <c r="CS327" i="7"/>
  <c r="P326" i="7"/>
  <c r="CB328" i="7"/>
  <c r="CW327" i="7"/>
  <c r="BO324" i="7"/>
  <c r="BQ324" i="7" s="1"/>
  <c r="AR326" i="7"/>
  <c r="AQ326" i="7"/>
  <c r="AP326" i="7"/>
  <c r="DG328" i="7"/>
  <c r="EM328" i="7"/>
  <c r="CL329" i="7"/>
  <c r="CF327" i="7"/>
  <c r="DA326" i="7"/>
  <c r="AN326" i="7"/>
  <c r="BH326" i="7" s="1"/>
  <c r="BK316" i="7"/>
  <c r="D316" i="7"/>
  <c r="AK317" i="7"/>
  <c r="BB325" i="7"/>
  <c r="DQ325" i="7" s="1"/>
  <c r="AX325" i="7"/>
  <c r="DM325" i="7" s="1"/>
  <c r="AT325" i="7"/>
  <c r="DI325" i="7" s="1"/>
  <c r="BA325" i="7"/>
  <c r="DP325" i="7" s="1"/>
  <c r="AW325" i="7"/>
  <c r="DL325" i="7" s="1"/>
  <c r="AZ325" i="7"/>
  <c r="DO325" i="7" s="1"/>
  <c r="AV325" i="7"/>
  <c r="DK325" i="7" s="1"/>
  <c r="BC325" i="7"/>
  <c r="DR325" i="7" s="1"/>
  <c r="AY325" i="7"/>
  <c r="DN325" i="7" s="1"/>
  <c r="AU325" i="7"/>
  <c r="DJ325" i="7" s="1"/>
  <c r="AG325" i="7"/>
  <c r="AF325" i="7"/>
  <c r="AI325" i="7" s="1"/>
  <c r="AH325" i="7"/>
  <c r="CG328" i="7"/>
  <c r="DB327" i="7"/>
  <c r="AO327" i="7"/>
  <c r="BG325" i="7"/>
  <c r="CC329" i="7"/>
  <c r="CX328" i="7"/>
  <c r="CK329" i="7"/>
  <c r="DF328" i="7"/>
  <c r="CH327" i="7"/>
  <c r="DC326" i="7"/>
  <c r="BN326" i="7"/>
  <c r="BZ328" i="7"/>
  <c r="CU327" i="7"/>
  <c r="EN327" i="7"/>
  <c r="CI328" i="7"/>
  <c r="DD327" i="7"/>
  <c r="DS327" i="7"/>
  <c r="CA328" i="7"/>
  <c r="CV327" i="7"/>
  <c r="CJ328" i="7"/>
  <c r="DE327" i="7"/>
  <c r="CE327" i="7"/>
  <c r="CZ326" i="7"/>
  <c r="AM326" i="7"/>
  <c r="BG326" i="7" s="1"/>
  <c r="BI326" i="7"/>
  <c r="BJ316" i="7"/>
  <c r="BM316" i="7" s="1"/>
  <c r="B316" i="7" s="1"/>
  <c r="C316" i="7"/>
  <c r="F316" i="7" s="1"/>
  <c r="AJ317" i="7"/>
  <c r="CM328" i="7"/>
  <c r="DH327" i="7"/>
  <c r="EO327" i="7"/>
  <c r="BT328" i="7"/>
  <c r="CO327" i="7"/>
  <c r="CD328" i="7"/>
  <c r="CY327" i="7"/>
  <c r="BH325" i="7"/>
  <c r="EA326" i="7"/>
  <c r="DV326" i="7"/>
  <c r="BS327" i="7"/>
  <c r="EF326" i="7"/>
  <c r="DZ326" i="7"/>
  <c r="CN326" i="7"/>
  <c r="BO325" i="7" s="1"/>
  <c r="EC326" i="7"/>
  <c r="DX326" i="7"/>
  <c r="EB326" i="7"/>
  <c r="DW326" i="7"/>
  <c r="M326" i="7"/>
  <c r="BF324" i="7"/>
  <c r="BE324" i="7"/>
  <c r="BD324" i="7"/>
  <c r="BV328" i="7"/>
  <c r="CQ327" i="7"/>
  <c r="BP325" i="7" l="1"/>
  <c r="BQ325" i="7"/>
  <c r="BV329" i="7"/>
  <c r="CQ328" i="7"/>
  <c r="EO328" i="7"/>
  <c r="BT329" i="7"/>
  <c r="CO328" i="7"/>
  <c r="BJ317" i="7"/>
  <c r="BM317" i="7" s="1"/>
  <c r="B317" i="7" s="1"/>
  <c r="C317" i="7"/>
  <c r="F317" i="7" s="1"/>
  <c r="AJ318" i="7"/>
  <c r="P327" i="7"/>
  <c r="CH328" i="7"/>
  <c r="DC327" i="7"/>
  <c r="BN327" i="7"/>
  <c r="CC330" i="7"/>
  <c r="CX329" i="7"/>
  <c r="CG329" i="7"/>
  <c r="DB328" i="7"/>
  <c r="AO328" i="7"/>
  <c r="EM329" i="7"/>
  <c r="DG329" i="7"/>
  <c r="CL330" i="7"/>
  <c r="BA326" i="7"/>
  <c r="DP326" i="7" s="1"/>
  <c r="AW326" i="7"/>
  <c r="DL326" i="7" s="1"/>
  <c r="AZ326" i="7"/>
  <c r="DO326" i="7" s="1"/>
  <c r="AV326" i="7"/>
  <c r="DK326" i="7" s="1"/>
  <c r="BC326" i="7"/>
  <c r="DR326" i="7" s="1"/>
  <c r="AY326" i="7"/>
  <c r="DN326" i="7" s="1"/>
  <c r="AU326" i="7"/>
  <c r="DJ326" i="7" s="1"/>
  <c r="BB326" i="7"/>
  <c r="DQ326" i="7" s="1"/>
  <c r="AX326" i="7"/>
  <c r="DM326" i="7" s="1"/>
  <c r="AT326" i="7"/>
  <c r="DI326" i="7" s="1"/>
  <c r="AF326" i="7"/>
  <c r="AI326" i="7" s="1"/>
  <c r="AH326" i="7"/>
  <c r="AG326" i="7"/>
  <c r="BS328" i="7"/>
  <c r="EF327" i="7"/>
  <c r="DZ327" i="7"/>
  <c r="CN327" i="7"/>
  <c r="EC327" i="7"/>
  <c r="DX327" i="7"/>
  <c r="EB327" i="7"/>
  <c r="DW327" i="7"/>
  <c r="EA327" i="7"/>
  <c r="DV327" i="7"/>
  <c r="M327" i="7"/>
  <c r="CJ329" i="7"/>
  <c r="DE328" i="7"/>
  <c r="BZ329" i="7"/>
  <c r="CU328" i="7"/>
  <c r="EN328" i="7"/>
  <c r="H324" i="7"/>
  <c r="G324" i="7"/>
  <c r="N327" i="7"/>
  <c r="BY330" i="7"/>
  <c r="CT329" i="7"/>
  <c r="CD329" i="7"/>
  <c r="CY328" i="7"/>
  <c r="DS328" i="7"/>
  <c r="CI329" i="7"/>
  <c r="DD328" i="7"/>
  <c r="CK330" i="7"/>
  <c r="DF329" i="7"/>
  <c r="D317" i="7"/>
  <c r="BK317" i="7"/>
  <c r="AK318" i="7"/>
  <c r="E317" i="7"/>
  <c r="BL317" i="7"/>
  <c r="AL318" i="7"/>
  <c r="BU330" i="7"/>
  <c r="CP329" i="7"/>
  <c r="CM329" i="7"/>
  <c r="DH328" i="7"/>
  <c r="CE328" i="7"/>
  <c r="CZ327" i="7"/>
  <c r="AM327" i="7"/>
  <c r="CA329" i="7"/>
  <c r="CV328" i="7"/>
  <c r="BF325" i="7"/>
  <c r="BE325" i="7"/>
  <c r="BD325" i="7"/>
  <c r="AN327" i="7"/>
  <c r="CF328" i="7"/>
  <c r="DA327" i="7"/>
  <c r="CB329" i="7"/>
  <c r="CW328" i="7"/>
  <c r="BX329" i="7"/>
  <c r="CS328" i="7"/>
  <c r="BW329" i="7"/>
  <c r="CR328" i="7"/>
  <c r="BP326" i="7" l="1"/>
  <c r="BX330" i="7"/>
  <c r="CS329" i="7"/>
  <c r="BW330" i="7"/>
  <c r="CR329" i="7"/>
  <c r="CB330" i="7"/>
  <c r="CW329" i="7"/>
  <c r="CA330" i="7"/>
  <c r="CV329" i="7"/>
  <c r="BL318" i="7"/>
  <c r="E318" i="7"/>
  <c r="AL319" i="7"/>
  <c r="CK331" i="7"/>
  <c r="DF330" i="7"/>
  <c r="P328" i="7"/>
  <c r="BY331" i="7"/>
  <c r="CT330" i="7"/>
  <c r="CJ330" i="7"/>
  <c r="DE329" i="7"/>
  <c r="BO326" i="7"/>
  <c r="BQ326" i="7" s="1"/>
  <c r="CC331" i="7"/>
  <c r="CX330" i="7"/>
  <c r="N328" i="7"/>
  <c r="H325" i="7"/>
  <c r="G325" i="7"/>
  <c r="BG327" i="7"/>
  <c r="CM330" i="7"/>
  <c r="DH329" i="7"/>
  <c r="AR327" i="7"/>
  <c r="BI327" i="7" s="1"/>
  <c r="AQ327" i="7"/>
  <c r="AP327" i="7"/>
  <c r="AZ327" i="7"/>
  <c r="DO327" i="7" s="1"/>
  <c r="AV327" i="7"/>
  <c r="DK327" i="7" s="1"/>
  <c r="BC327" i="7"/>
  <c r="DR327" i="7" s="1"/>
  <c r="AY327" i="7"/>
  <c r="DN327" i="7" s="1"/>
  <c r="AU327" i="7"/>
  <c r="DJ327" i="7" s="1"/>
  <c r="BB327" i="7"/>
  <c r="DQ327" i="7" s="1"/>
  <c r="AX327" i="7"/>
  <c r="DM327" i="7" s="1"/>
  <c r="AT327" i="7"/>
  <c r="DI327" i="7" s="1"/>
  <c r="BA327" i="7"/>
  <c r="DP327" i="7" s="1"/>
  <c r="AW327" i="7"/>
  <c r="DL327" i="7" s="1"/>
  <c r="AG327" i="7"/>
  <c r="AF327" i="7"/>
  <c r="AI327" i="7" s="1"/>
  <c r="AH327" i="7"/>
  <c r="EM330" i="7"/>
  <c r="DG330" i="7"/>
  <c r="CL331" i="7"/>
  <c r="BV330" i="7"/>
  <c r="CQ329" i="7"/>
  <c r="CD330" i="7"/>
  <c r="CY329" i="7"/>
  <c r="EN329" i="7"/>
  <c r="BZ330" i="7"/>
  <c r="CU329" i="7"/>
  <c r="CG330" i="7"/>
  <c r="DB329" i="7"/>
  <c r="AO329" i="7"/>
  <c r="C318" i="7"/>
  <c r="F318" i="7" s="1"/>
  <c r="BJ318" i="7"/>
  <c r="BM318" i="7" s="1"/>
  <c r="B318" i="7" s="1"/>
  <c r="AJ319" i="7"/>
  <c r="BT330" i="7"/>
  <c r="CO329" i="7"/>
  <c r="EO329" i="7"/>
  <c r="CF329" i="7"/>
  <c r="DA328" i="7"/>
  <c r="AN328" i="7"/>
  <c r="BH327" i="7"/>
  <c r="AM328" i="7"/>
  <c r="CE329" i="7"/>
  <c r="CZ328" i="7"/>
  <c r="BU331" i="7"/>
  <c r="CP330" i="7"/>
  <c r="D318" i="7"/>
  <c r="BK318" i="7"/>
  <c r="AK319" i="7"/>
  <c r="CI330" i="7"/>
  <c r="DD329" i="7"/>
  <c r="DS329" i="7"/>
  <c r="EC328" i="7"/>
  <c r="DX328" i="7"/>
  <c r="EB328" i="7"/>
  <c r="DW328" i="7"/>
  <c r="EA328" i="7"/>
  <c r="DV328" i="7"/>
  <c r="BS329" i="7"/>
  <c r="EF328" i="7"/>
  <c r="DZ328" i="7"/>
  <c r="CN328" i="7"/>
  <c r="M328" i="7"/>
  <c r="BE326" i="7"/>
  <c r="BD326" i="7"/>
  <c r="BF326" i="7"/>
  <c r="CH329" i="7"/>
  <c r="DC328" i="7"/>
  <c r="BN328" i="7"/>
  <c r="BP327" i="7" l="1"/>
  <c r="BO327" i="7"/>
  <c r="BQ327" i="7" s="1"/>
  <c r="CI331" i="7"/>
  <c r="DD330" i="7"/>
  <c r="DS330" i="7"/>
  <c r="CF330" i="7"/>
  <c r="DA329" i="7"/>
  <c r="AN329" i="7"/>
  <c r="C319" i="7"/>
  <c r="F319" i="7" s="1"/>
  <c r="BJ319" i="7"/>
  <c r="BM319" i="7" s="1"/>
  <c r="B319" i="7" s="1"/>
  <c r="AJ320" i="7"/>
  <c r="BV331" i="7"/>
  <c r="CQ330" i="7"/>
  <c r="CB331" i="7"/>
  <c r="CW330" i="7"/>
  <c r="BX331" i="7"/>
  <c r="CS330" i="7"/>
  <c r="BN329" i="7"/>
  <c r="CH330" i="7"/>
  <c r="DC329" i="7"/>
  <c r="EB329" i="7"/>
  <c r="DW329" i="7"/>
  <c r="EA329" i="7"/>
  <c r="DV329" i="7"/>
  <c r="BS330" i="7"/>
  <c r="EF329" i="7"/>
  <c r="DZ329" i="7"/>
  <c r="CN329" i="7"/>
  <c r="EC329" i="7"/>
  <c r="DX329" i="7"/>
  <c r="M329" i="7"/>
  <c r="BK319" i="7"/>
  <c r="D319" i="7"/>
  <c r="AK320" i="7"/>
  <c r="BU332" i="7"/>
  <c r="CP331" i="7"/>
  <c r="AO330" i="7"/>
  <c r="CG331" i="7"/>
  <c r="DB330" i="7"/>
  <c r="CM331" i="7"/>
  <c r="DH330" i="7"/>
  <c r="AQ328" i="7"/>
  <c r="BH328" i="7" s="1"/>
  <c r="AP328" i="7"/>
  <c r="BG328" i="7" s="1"/>
  <c r="AR328" i="7"/>
  <c r="BI328" i="7" s="1"/>
  <c r="H326" i="7"/>
  <c r="G326" i="7"/>
  <c r="BY332" i="7"/>
  <c r="CT331" i="7"/>
  <c r="CK332" i="7"/>
  <c r="DF331" i="7"/>
  <c r="P329" i="7"/>
  <c r="N330" i="7" s="1"/>
  <c r="CD331" i="7"/>
  <c r="CY330" i="7"/>
  <c r="DG331" i="7"/>
  <c r="EM331" i="7"/>
  <c r="CL332" i="7"/>
  <c r="BD327" i="7"/>
  <c r="BF327" i="7"/>
  <c r="BE327" i="7"/>
  <c r="N329" i="7"/>
  <c r="BL319" i="7"/>
  <c r="E319" i="7"/>
  <c r="AL320" i="7"/>
  <c r="CA331" i="7"/>
  <c r="CV330" i="7"/>
  <c r="BW331" i="7"/>
  <c r="CR330" i="7"/>
  <c r="BC328" i="7"/>
  <c r="DR328" i="7" s="1"/>
  <c r="AY328" i="7"/>
  <c r="DN328" i="7" s="1"/>
  <c r="AU328" i="7"/>
  <c r="DJ328" i="7" s="1"/>
  <c r="BB328" i="7"/>
  <c r="DQ328" i="7" s="1"/>
  <c r="AX328" i="7"/>
  <c r="DM328" i="7" s="1"/>
  <c r="AT328" i="7"/>
  <c r="BA328" i="7"/>
  <c r="DP328" i="7" s="1"/>
  <c r="AW328" i="7"/>
  <c r="DL328" i="7" s="1"/>
  <c r="AZ328" i="7"/>
  <c r="DO328" i="7" s="1"/>
  <c r="AV328" i="7"/>
  <c r="DK328" i="7" s="1"/>
  <c r="AG328" i="7"/>
  <c r="AH328" i="7"/>
  <c r="AF328" i="7"/>
  <c r="AI328" i="7" s="1"/>
  <c r="CE330" i="7"/>
  <c r="CZ329" i="7"/>
  <c r="AM329" i="7"/>
  <c r="BT331" i="7"/>
  <c r="CO330" i="7"/>
  <c r="EO330" i="7"/>
  <c r="BZ331" i="7"/>
  <c r="CU330" i="7"/>
  <c r="EN330" i="7"/>
  <c r="CC332" i="7"/>
  <c r="CX331" i="7"/>
  <c r="CJ331" i="7"/>
  <c r="DE330" i="7"/>
  <c r="BF328" i="7" l="1"/>
  <c r="BE328" i="7"/>
  <c r="BD328" i="7"/>
  <c r="CC333" i="7"/>
  <c r="CX332" i="7"/>
  <c r="E320" i="7"/>
  <c r="BL320" i="7"/>
  <c r="AL321" i="7"/>
  <c r="CK333" i="7"/>
  <c r="DF332" i="7"/>
  <c r="CM332" i="7"/>
  <c r="DH331" i="7"/>
  <c r="EA330" i="7"/>
  <c r="DV330" i="7"/>
  <c r="BS331" i="7"/>
  <c r="EF330" i="7"/>
  <c r="DZ330" i="7"/>
  <c r="CN330" i="7"/>
  <c r="EC330" i="7"/>
  <c r="DX330" i="7"/>
  <c r="EB330" i="7"/>
  <c r="DW330" i="7"/>
  <c r="M330" i="7"/>
  <c r="G327" i="7"/>
  <c r="H327" i="7"/>
  <c r="DI328" i="7"/>
  <c r="BP328" i="7" s="1"/>
  <c r="BW332" i="7"/>
  <c r="CR331" i="7"/>
  <c r="BU333" i="7"/>
  <c r="CP332" i="7"/>
  <c r="BO328" i="7"/>
  <c r="BX332" i="7"/>
  <c r="CS331" i="7"/>
  <c r="BV332" i="7"/>
  <c r="CQ331" i="7"/>
  <c r="P330" i="7"/>
  <c r="N331" i="7" s="1"/>
  <c r="CJ332" i="7"/>
  <c r="DE331" i="7"/>
  <c r="CE331" i="7"/>
  <c r="CZ330" i="7"/>
  <c r="AM330" i="7"/>
  <c r="CG332" i="7"/>
  <c r="DB331" i="7"/>
  <c r="AO331" i="7"/>
  <c r="BK320" i="7"/>
  <c r="D320" i="7"/>
  <c r="AK321" i="7"/>
  <c r="BB329" i="7"/>
  <c r="DQ329" i="7" s="1"/>
  <c r="AX329" i="7"/>
  <c r="DM329" i="7" s="1"/>
  <c r="AT329" i="7"/>
  <c r="BA329" i="7"/>
  <c r="DP329" i="7" s="1"/>
  <c r="AW329" i="7"/>
  <c r="DL329" i="7" s="1"/>
  <c r="AZ329" i="7"/>
  <c r="DO329" i="7" s="1"/>
  <c r="AV329" i="7"/>
  <c r="DK329" i="7" s="1"/>
  <c r="BC329" i="7"/>
  <c r="DR329" i="7" s="1"/>
  <c r="AY329" i="7"/>
  <c r="DN329" i="7" s="1"/>
  <c r="AU329" i="7"/>
  <c r="DJ329" i="7" s="1"/>
  <c r="AH329" i="7"/>
  <c r="AF329" i="7"/>
  <c r="AI329" i="7" s="1"/>
  <c r="AG329" i="7"/>
  <c r="CH331" i="7"/>
  <c r="DC330" i="7"/>
  <c r="BN330" i="7"/>
  <c r="BJ320" i="7"/>
  <c r="BM320" i="7" s="1"/>
  <c r="B320" i="7" s="1"/>
  <c r="C320" i="7"/>
  <c r="F320" i="7" s="1"/>
  <c r="AJ321" i="7"/>
  <c r="AR330" i="7"/>
  <c r="AQ330" i="7"/>
  <c r="AP330" i="7"/>
  <c r="BY333" i="7"/>
  <c r="CT332" i="7"/>
  <c r="BZ332" i="7"/>
  <c r="CU331" i="7"/>
  <c r="EN331" i="7"/>
  <c r="EO331" i="7"/>
  <c r="BT332" i="7"/>
  <c r="CO331" i="7"/>
  <c r="CA332" i="7"/>
  <c r="CV331" i="7"/>
  <c r="AP329" i="7"/>
  <c r="BG329" i="7" s="1"/>
  <c r="AR329" i="7"/>
  <c r="BI329" i="7" s="1"/>
  <c r="AQ329" i="7"/>
  <c r="BH329" i="7" s="1"/>
  <c r="DG332" i="7"/>
  <c r="EM332" i="7"/>
  <c r="CL333" i="7"/>
  <c r="CD332" i="7"/>
  <c r="CY331" i="7"/>
  <c r="BI330" i="7"/>
  <c r="CB332" i="7"/>
  <c r="CW331" i="7"/>
  <c r="CF331" i="7"/>
  <c r="DA330" i="7"/>
  <c r="AN330" i="7"/>
  <c r="BH330" i="7" s="1"/>
  <c r="CI332" i="7"/>
  <c r="DD331" i="7"/>
  <c r="DS331" i="7"/>
  <c r="EM333" i="7" l="1"/>
  <c r="DG333" i="7"/>
  <c r="CL334" i="7"/>
  <c r="EO332" i="7"/>
  <c r="BT333" i="7"/>
  <c r="CO332" i="7"/>
  <c r="BZ333" i="7"/>
  <c r="CU332" i="7"/>
  <c r="EN332" i="7"/>
  <c r="D321" i="7"/>
  <c r="BK321" i="7"/>
  <c r="AK322" i="7"/>
  <c r="CE332" i="7"/>
  <c r="CZ331" i="7"/>
  <c r="AM331" i="7"/>
  <c r="AR331" i="7"/>
  <c r="AQ331" i="7"/>
  <c r="AP331" i="7"/>
  <c r="BU334" i="7"/>
  <c r="CP333" i="7"/>
  <c r="CK334" i="7"/>
  <c r="DF333" i="7"/>
  <c r="BJ321" i="7"/>
  <c r="BM321" i="7" s="1"/>
  <c r="B321" i="7" s="1"/>
  <c r="C321" i="7"/>
  <c r="F321" i="7" s="1"/>
  <c r="AJ322" i="7"/>
  <c r="BF329" i="7"/>
  <c r="BE329" i="7"/>
  <c r="BD329" i="7"/>
  <c r="CG333" i="7"/>
  <c r="DB332" i="7"/>
  <c r="AO332" i="7"/>
  <c r="BX333" i="7"/>
  <c r="CS332" i="7"/>
  <c r="E321" i="7"/>
  <c r="BL321" i="7"/>
  <c r="AL322" i="7"/>
  <c r="P331" i="7"/>
  <c r="CA333" i="7"/>
  <c r="CV332" i="7"/>
  <c r="BY334" i="7"/>
  <c r="CT333" i="7"/>
  <c r="CH332" i="7"/>
  <c r="DC331" i="7"/>
  <c r="BN331" i="7"/>
  <c r="BG330" i="7"/>
  <c r="CJ333" i="7"/>
  <c r="DE332" i="7"/>
  <c r="BQ328" i="7"/>
  <c r="BW333" i="7"/>
  <c r="CR332" i="7"/>
  <c r="BA330" i="7"/>
  <c r="DP330" i="7" s="1"/>
  <c r="AW330" i="7"/>
  <c r="DL330" i="7" s="1"/>
  <c r="AZ330" i="7"/>
  <c r="DO330" i="7" s="1"/>
  <c r="AV330" i="7"/>
  <c r="DK330" i="7" s="1"/>
  <c r="BC330" i="7"/>
  <c r="DR330" i="7" s="1"/>
  <c r="AY330" i="7"/>
  <c r="DN330" i="7" s="1"/>
  <c r="AU330" i="7"/>
  <c r="DJ330" i="7" s="1"/>
  <c r="BB330" i="7"/>
  <c r="DQ330" i="7" s="1"/>
  <c r="AX330" i="7"/>
  <c r="DM330" i="7" s="1"/>
  <c r="AT330" i="7"/>
  <c r="AG330" i="7"/>
  <c r="AF330" i="7"/>
  <c r="AI330" i="7" s="1"/>
  <c r="AH330" i="7"/>
  <c r="BS332" i="7"/>
  <c r="EF331" i="7"/>
  <c r="DZ331" i="7"/>
  <c r="CN331" i="7"/>
  <c r="EC331" i="7"/>
  <c r="DX331" i="7"/>
  <c r="EB331" i="7"/>
  <c r="DW331" i="7"/>
  <c r="EA331" i="7"/>
  <c r="DV331" i="7"/>
  <c r="M331" i="7"/>
  <c r="CM333" i="7"/>
  <c r="DH332" i="7"/>
  <c r="CC334" i="7"/>
  <c r="CX333" i="7"/>
  <c r="AN331" i="7"/>
  <c r="BH331" i="7" s="1"/>
  <c r="CF332" i="7"/>
  <c r="DA331" i="7"/>
  <c r="DS332" i="7"/>
  <c r="CI333" i="7"/>
  <c r="DD332" i="7"/>
  <c r="CB333" i="7"/>
  <c r="CW332" i="7"/>
  <c r="CD333" i="7"/>
  <c r="CY332" i="7"/>
  <c r="BI331" i="7"/>
  <c r="BV333" i="7"/>
  <c r="CQ332" i="7"/>
  <c r="DI329" i="7"/>
  <c r="DI330" i="7" s="1"/>
  <c r="BO329" i="7"/>
  <c r="BP330" i="7" l="1"/>
  <c r="P332" i="7"/>
  <c r="AZ331" i="7"/>
  <c r="DO331" i="7" s="1"/>
  <c r="AV331" i="7"/>
  <c r="DK331" i="7" s="1"/>
  <c r="BC331" i="7"/>
  <c r="DR331" i="7" s="1"/>
  <c r="AY331" i="7"/>
  <c r="DN331" i="7" s="1"/>
  <c r="AU331" i="7"/>
  <c r="DJ331" i="7" s="1"/>
  <c r="BB331" i="7"/>
  <c r="DQ331" i="7" s="1"/>
  <c r="AX331" i="7"/>
  <c r="DM331" i="7" s="1"/>
  <c r="AT331" i="7"/>
  <c r="BA331" i="7"/>
  <c r="DP331" i="7" s="1"/>
  <c r="AW331" i="7"/>
  <c r="DL331" i="7" s="1"/>
  <c r="AH331" i="7"/>
  <c r="AG331" i="7"/>
  <c r="AF331" i="7"/>
  <c r="AI331" i="7" s="1"/>
  <c r="CJ334" i="7"/>
  <c r="DE333" i="7"/>
  <c r="CH333" i="7"/>
  <c r="DC332" i="7"/>
  <c r="BN332" i="7"/>
  <c r="CA334" i="7"/>
  <c r="CV333" i="7"/>
  <c r="BU335" i="7"/>
  <c r="CP334" i="7"/>
  <c r="EN333" i="7"/>
  <c r="BZ334" i="7"/>
  <c r="CU333" i="7"/>
  <c r="EM334" i="7"/>
  <c r="DG334" i="7"/>
  <c r="CL335" i="7"/>
  <c r="CB334" i="7"/>
  <c r="CW333" i="7"/>
  <c r="CC335" i="7"/>
  <c r="CX334" i="7"/>
  <c r="BW334" i="7"/>
  <c r="CR333" i="7"/>
  <c r="N332" i="7"/>
  <c r="AM332" i="7"/>
  <c r="CE333" i="7"/>
  <c r="CZ332" i="7"/>
  <c r="CI334" i="7"/>
  <c r="DD333" i="7"/>
  <c r="DS333" i="7"/>
  <c r="BV334" i="7"/>
  <c r="CQ333" i="7"/>
  <c r="DI331" i="7"/>
  <c r="CF333" i="7"/>
  <c r="DA332" i="7"/>
  <c r="AN332" i="7"/>
  <c r="EC332" i="7"/>
  <c r="DX332" i="7"/>
  <c r="EB332" i="7"/>
  <c r="DW332" i="7"/>
  <c r="EA332" i="7"/>
  <c r="DV332" i="7"/>
  <c r="BS333" i="7"/>
  <c r="EF332" i="7"/>
  <c r="DZ332" i="7"/>
  <c r="CN332" i="7"/>
  <c r="BO331" i="7" s="1"/>
  <c r="M332" i="7"/>
  <c r="BE330" i="7"/>
  <c r="BD330" i="7"/>
  <c r="BF330" i="7"/>
  <c r="H328" i="7"/>
  <c r="G328" i="7"/>
  <c r="BY335" i="7"/>
  <c r="CT334" i="7"/>
  <c r="CG334" i="7"/>
  <c r="DB333" i="7"/>
  <c r="AO333" i="7"/>
  <c r="C322" i="7"/>
  <c r="F322" i="7" s="1"/>
  <c r="BJ322" i="7"/>
  <c r="BM322" i="7" s="1"/>
  <c r="B322" i="7" s="1"/>
  <c r="AJ323" i="7"/>
  <c r="CK335" i="7"/>
  <c r="DF334" i="7"/>
  <c r="D322" i="7"/>
  <c r="BK322" i="7"/>
  <c r="AK323" i="7"/>
  <c r="BT334" i="7"/>
  <c r="CO333" i="7"/>
  <c r="EO333" i="7"/>
  <c r="CD334" i="7"/>
  <c r="CY333" i="7"/>
  <c r="CM334" i="7"/>
  <c r="DH333" i="7"/>
  <c r="BO330" i="7"/>
  <c r="BQ330" i="7" s="1"/>
  <c r="BL322" i="7"/>
  <c r="E322" i="7"/>
  <c r="AL323" i="7"/>
  <c r="BX334" i="7"/>
  <c r="CS333" i="7"/>
  <c r="BG331" i="7"/>
  <c r="BP329" i="7"/>
  <c r="BQ329" i="7" s="1"/>
  <c r="H329" i="7" l="1"/>
  <c r="G329" i="7"/>
  <c r="BP331" i="7"/>
  <c r="BQ331" i="7" s="1"/>
  <c r="BT335" i="7"/>
  <c r="CO334" i="7"/>
  <c r="EO334" i="7"/>
  <c r="BX335" i="7"/>
  <c r="CS334" i="7"/>
  <c r="H330" i="7"/>
  <c r="G330" i="7"/>
  <c r="CD335" i="7"/>
  <c r="CY334" i="7"/>
  <c r="BK323" i="7"/>
  <c r="D323" i="7"/>
  <c r="AK324" i="7"/>
  <c r="CK336" i="7"/>
  <c r="DF335" i="7"/>
  <c r="BY336" i="7"/>
  <c r="CT335" i="7"/>
  <c r="CF334" i="7"/>
  <c r="DA333" i="7"/>
  <c r="AN333" i="7"/>
  <c r="P333" i="7"/>
  <c r="CE334" i="7"/>
  <c r="CZ333" i="7"/>
  <c r="AM333" i="7"/>
  <c r="BW335" i="7"/>
  <c r="CR334" i="7"/>
  <c r="CB335" i="7"/>
  <c r="CW334" i="7"/>
  <c r="CA335" i="7"/>
  <c r="CV334" i="7"/>
  <c r="BU336" i="7"/>
  <c r="CP335" i="7"/>
  <c r="DE334" i="7"/>
  <c r="CJ335" i="7"/>
  <c r="AO334" i="7"/>
  <c r="CG335" i="7"/>
  <c r="DB334" i="7"/>
  <c r="DD334" i="7"/>
  <c r="CI335" i="7"/>
  <c r="DS334" i="7"/>
  <c r="AQ332" i="7"/>
  <c r="BH332" i="7" s="1"/>
  <c r="AP332" i="7"/>
  <c r="BG332" i="7" s="1"/>
  <c r="AR332" i="7"/>
  <c r="BI332" i="7" s="1"/>
  <c r="CC336" i="7"/>
  <c r="CX335" i="7"/>
  <c r="EM335" i="7"/>
  <c r="DG335" i="7"/>
  <c r="CL336" i="7"/>
  <c r="BZ335" i="7"/>
  <c r="CU334" i="7"/>
  <c r="EN334" i="7"/>
  <c r="BL323" i="7"/>
  <c r="E323" i="7"/>
  <c r="AL324" i="7"/>
  <c r="C323" i="7"/>
  <c r="F323" i="7" s="1"/>
  <c r="BJ323" i="7"/>
  <c r="BM323" i="7" s="1"/>
  <c r="B323" i="7" s="1"/>
  <c r="AJ324" i="7"/>
  <c r="CM335" i="7"/>
  <c r="DH334" i="7"/>
  <c r="BC332" i="7"/>
  <c r="DR332" i="7" s="1"/>
  <c r="AY332" i="7"/>
  <c r="DN332" i="7" s="1"/>
  <c r="AU332" i="7"/>
  <c r="DJ332" i="7" s="1"/>
  <c r="BB332" i="7"/>
  <c r="DQ332" i="7" s="1"/>
  <c r="AX332" i="7"/>
  <c r="DM332" i="7" s="1"/>
  <c r="AT332" i="7"/>
  <c r="DI332" i="7" s="1"/>
  <c r="BA332" i="7"/>
  <c r="DP332" i="7" s="1"/>
  <c r="AW332" i="7"/>
  <c r="DL332" i="7" s="1"/>
  <c r="AZ332" i="7"/>
  <c r="DO332" i="7" s="1"/>
  <c r="AV332" i="7"/>
  <c r="DK332" i="7" s="1"/>
  <c r="AG332" i="7"/>
  <c r="AH332" i="7"/>
  <c r="AF332" i="7"/>
  <c r="AI332" i="7" s="1"/>
  <c r="EB333" i="7"/>
  <c r="DW333" i="7"/>
  <c r="EA333" i="7"/>
  <c r="DV333" i="7"/>
  <c r="BS334" i="7"/>
  <c r="EF333" i="7"/>
  <c r="DZ333" i="7"/>
  <c r="CN333" i="7"/>
  <c r="EC333" i="7"/>
  <c r="DX333" i="7"/>
  <c r="M333" i="7"/>
  <c r="BV335" i="7"/>
  <c r="CQ334" i="7"/>
  <c r="BN333" i="7"/>
  <c r="CH334" i="7"/>
  <c r="DC333" i="7"/>
  <c r="BD331" i="7"/>
  <c r="BF331" i="7"/>
  <c r="BE331" i="7"/>
  <c r="N333" i="7"/>
  <c r="BP332" i="7" l="1"/>
  <c r="BV336" i="7"/>
  <c r="CQ335" i="7"/>
  <c r="BO332" i="7"/>
  <c r="BQ332" i="7" s="1"/>
  <c r="EM336" i="7"/>
  <c r="DG336" i="7"/>
  <c r="CL337" i="7"/>
  <c r="CC337" i="7"/>
  <c r="CX336" i="7"/>
  <c r="CI336" i="7"/>
  <c r="DD335" i="7"/>
  <c r="DS335" i="7"/>
  <c r="CG336" i="7"/>
  <c r="DB335" i="7"/>
  <c r="AO335" i="7"/>
  <c r="CB336" i="7"/>
  <c r="CW335" i="7"/>
  <c r="BY337" i="7"/>
  <c r="CT336" i="7"/>
  <c r="BK324" i="7"/>
  <c r="D324" i="7"/>
  <c r="AK325" i="7"/>
  <c r="CD336" i="7"/>
  <c r="CY335" i="7"/>
  <c r="BX336" i="7"/>
  <c r="CS335" i="7"/>
  <c r="AP333" i="7"/>
  <c r="AR333" i="7"/>
  <c r="BI333" i="7" s="1"/>
  <c r="AQ333" i="7"/>
  <c r="BH333" i="7" s="1"/>
  <c r="CH335" i="7"/>
  <c r="DC334" i="7"/>
  <c r="BN334" i="7"/>
  <c r="CE335" i="7"/>
  <c r="CZ334" i="7"/>
  <c r="AM334" i="7"/>
  <c r="BB333" i="7"/>
  <c r="DQ333" i="7" s="1"/>
  <c r="AX333" i="7"/>
  <c r="DM333" i="7" s="1"/>
  <c r="AT333" i="7"/>
  <c r="DI333" i="7" s="1"/>
  <c r="BA333" i="7"/>
  <c r="DP333" i="7" s="1"/>
  <c r="AW333" i="7"/>
  <c r="DL333" i="7" s="1"/>
  <c r="AZ333" i="7"/>
  <c r="DO333" i="7" s="1"/>
  <c r="AV333" i="7"/>
  <c r="DK333" i="7" s="1"/>
  <c r="BC333" i="7"/>
  <c r="DR333" i="7" s="1"/>
  <c r="AY333" i="7"/>
  <c r="DN333" i="7" s="1"/>
  <c r="AU333" i="7"/>
  <c r="DJ333" i="7" s="1"/>
  <c r="AH333" i="7"/>
  <c r="AG333" i="7"/>
  <c r="AF333" i="7"/>
  <c r="AI333" i="7" s="1"/>
  <c r="CM336" i="7"/>
  <c r="DH335" i="7"/>
  <c r="E324" i="7"/>
  <c r="BL324" i="7"/>
  <c r="AL325" i="7"/>
  <c r="CJ336" i="7"/>
  <c r="DE335" i="7"/>
  <c r="BU337" i="7"/>
  <c r="CP336" i="7"/>
  <c r="CA336" i="7"/>
  <c r="CV335" i="7"/>
  <c r="BW336" i="7"/>
  <c r="CR335" i="7"/>
  <c r="CF335" i="7"/>
  <c r="DA334" i="7"/>
  <c r="AN334" i="7"/>
  <c r="G331" i="7"/>
  <c r="H331" i="7"/>
  <c r="EA334" i="7"/>
  <c r="DV334" i="7"/>
  <c r="BS335" i="7"/>
  <c r="EF334" i="7"/>
  <c r="DZ334" i="7"/>
  <c r="CN334" i="7"/>
  <c r="EC334" i="7"/>
  <c r="DX334" i="7"/>
  <c r="EB334" i="7"/>
  <c r="DW334" i="7"/>
  <c r="M334" i="7"/>
  <c r="BF332" i="7"/>
  <c r="BE332" i="7"/>
  <c r="BD332" i="7"/>
  <c r="BJ324" i="7"/>
  <c r="BM324" i="7" s="1"/>
  <c r="B324" i="7" s="1"/>
  <c r="C324" i="7"/>
  <c r="F324" i="7" s="1"/>
  <c r="AJ325" i="7"/>
  <c r="EN335" i="7"/>
  <c r="BZ336" i="7"/>
  <c r="CU335" i="7"/>
  <c r="P334" i="7"/>
  <c r="BG333" i="7"/>
  <c r="N334" i="7"/>
  <c r="CK337" i="7"/>
  <c r="DF336" i="7"/>
  <c r="BT336" i="7"/>
  <c r="CO335" i="7"/>
  <c r="EO335" i="7"/>
  <c r="BP333" i="7" l="1"/>
  <c r="BA334" i="7"/>
  <c r="DP334" i="7" s="1"/>
  <c r="AW334" i="7"/>
  <c r="DL334" i="7" s="1"/>
  <c r="AZ334" i="7"/>
  <c r="DO334" i="7" s="1"/>
  <c r="AV334" i="7"/>
  <c r="DK334" i="7" s="1"/>
  <c r="BC334" i="7"/>
  <c r="DR334" i="7" s="1"/>
  <c r="AY334" i="7"/>
  <c r="DN334" i="7" s="1"/>
  <c r="AU334" i="7"/>
  <c r="DJ334" i="7" s="1"/>
  <c r="BB334" i="7"/>
  <c r="DQ334" i="7" s="1"/>
  <c r="AX334" i="7"/>
  <c r="DM334" i="7" s="1"/>
  <c r="AT334" i="7"/>
  <c r="DI334" i="7" s="1"/>
  <c r="AF334" i="7"/>
  <c r="AI334" i="7" s="1"/>
  <c r="AH334" i="7"/>
  <c r="AG334" i="7"/>
  <c r="BO333" i="7"/>
  <c r="BQ333" i="7" s="1"/>
  <c r="BW337" i="7"/>
  <c r="CR336" i="7"/>
  <c r="BU338" i="7"/>
  <c r="CP337" i="7"/>
  <c r="CE336" i="7"/>
  <c r="CZ335" i="7"/>
  <c r="AM335" i="7"/>
  <c r="CH336" i="7"/>
  <c r="DC335" i="7"/>
  <c r="BN335" i="7"/>
  <c r="BX337" i="7"/>
  <c r="CS336" i="7"/>
  <c r="CI337" i="7"/>
  <c r="DD336" i="7"/>
  <c r="DS336" i="7"/>
  <c r="BV337" i="7"/>
  <c r="CQ336" i="7"/>
  <c r="BT337" i="7"/>
  <c r="CO336" i="7"/>
  <c r="EO336" i="7"/>
  <c r="BZ337" i="7"/>
  <c r="CU336" i="7"/>
  <c r="EN336" i="7"/>
  <c r="CK338" i="7"/>
  <c r="DF337" i="7"/>
  <c r="BJ325" i="7"/>
  <c r="BM325" i="7" s="1"/>
  <c r="B325" i="7" s="1"/>
  <c r="C325" i="7"/>
  <c r="F325" i="7" s="1"/>
  <c r="AJ326" i="7"/>
  <c r="AO336" i="7"/>
  <c r="CG337" i="7"/>
  <c r="DB336" i="7"/>
  <c r="N335" i="7"/>
  <c r="AR334" i="7"/>
  <c r="BI334" i="7" s="1"/>
  <c r="AQ334" i="7"/>
  <c r="BH334" i="7" s="1"/>
  <c r="AP334" i="7"/>
  <c r="CF336" i="7"/>
  <c r="DA335" i="7"/>
  <c r="AN335" i="7"/>
  <c r="CA337" i="7"/>
  <c r="CV336" i="7"/>
  <c r="CJ337" i="7"/>
  <c r="DE336" i="7"/>
  <c r="BG334" i="7"/>
  <c r="CD337" i="7"/>
  <c r="CY336" i="7"/>
  <c r="CB337" i="7"/>
  <c r="CW336" i="7"/>
  <c r="P335" i="7"/>
  <c r="N336" i="7" s="1"/>
  <c r="CC338" i="7"/>
  <c r="CX337" i="7"/>
  <c r="H332" i="7"/>
  <c r="G332" i="7"/>
  <c r="EB335" i="7"/>
  <c r="DW335" i="7"/>
  <c r="EA335" i="7"/>
  <c r="DV335" i="7"/>
  <c r="BS336" i="7"/>
  <c r="EF335" i="7"/>
  <c r="DZ335" i="7"/>
  <c r="EC335" i="7"/>
  <c r="DX335" i="7"/>
  <c r="CN335" i="7"/>
  <c r="BO334" i="7" s="1"/>
  <c r="M335" i="7"/>
  <c r="E325" i="7"/>
  <c r="BL325" i="7"/>
  <c r="AL326" i="7"/>
  <c r="CM337" i="7"/>
  <c r="DH336" i="7"/>
  <c r="BF333" i="7"/>
  <c r="BE333" i="7"/>
  <c r="BD333" i="7"/>
  <c r="D325" i="7"/>
  <c r="BK325" i="7"/>
  <c r="AK326" i="7"/>
  <c r="BY338" i="7"/>
  <c r="CT337" i="7"/>
  <c r="DG337" i="7"/>
  <c r="EM337" i="7"/>
  <c r="CL338" i="7"/>
  <c r="BP334" i="7" l="1"/>
  <c r="BQ334" i="7"/>
  <c r="CC339" i="7"/>
  <c r="CX338" i="7"/>
  <c r="CB338" i="7"/>
  <c r="CW337" i="7"/>
  <c r="CA338" i="7"/>
  <c r="CV337" i="7"/>
  <c r="CG338" i="7"/>
  <c r="DB337" i="7"/>
  <c r="AO337" i="7"/>
  <c r="EO337" i="7"/>
  <c r="BT338" i="7"/>
  <c r="CO337" i="7"/>
  <c r="D326" i="7"/>
  <c r="BK326" i="7"/>
  <c r="AK327" i="7"/>
  <c r="AR336" i="7"/>
  <c r="AQ336" i="7"/>
  <c r="AP336" i="7"/>
  <c r="BI336" i="7"/>
  <c r="BZ338" i="7"/>
  <c r="CU337" i="7"/>
  <c r="EN337" i="7"/>
  <c r="CI338" i="7"/>
  <c r="DD337" i="7"/>
  <c r="DS337" i="7"/>
  <c r="CE337" i="7"/>
  <c r="CZ336" i="7"/>
  <c r="AM336" i="7"/>
  <c r="BG336" i="7" s="1"/>
  <c r="BW338" i="7"/>
  <c r="CR337" i="7"/>
  <c r="EA336" i="7"/>
  <c r="DV336" i="7"/>
  <c r="BS337" i="7"/>
  <c r="EF336" i="7"/>
  <c r="DZ336" i="7"/>
  <c r="CN336" i="7"/>
  <c r="EC336" i="7"/>
  <c r="DX336" i="7"/>
  <c r="EB336" i="7"/>
  <c r="DW336" i="7"/>
  <c r="M336" i="7"/>
  <c r="DG338" i="7"/>
  <c r="EM338" i="7"/>
  <c r="CL339" i="7"/>
  <c r="BY339" i="7"/>
  <c r="CT338" i="7"/>
  <c r="CM338" i="7"/>
  <c r="DH337" i="7"/>
  <c r="AZ335" i="7"/>
  <c r="DO335" i="7" s="1"/>
  <c r="AV335" i="7"/>
  <c r="DK335" i="7" s="1"/>
  <c r="BC335" i="7"/>
  <c r="DR335" i="7" s="1"/>
  <c r="AY335" i="7"/>
  <c r="DN335" i="7" s="1"/>
  <c r="AU335" i="7"/>
  <c r="DJ335" i="7" s="1"/>
  <c r="BB335" i="7"/>
  <c r="DQ335" i="7" s="1"/>
  <c r="AX335" i="7"/>
  <c r="DM335" i="7" s="1"/>
  <c r="AT335" i="7"/>
  <c r="BA335" i="7"/>
  <c r="DP335" i="7" s="1"/>
  <c r="AW335" i="7"/>
  <c r="DL335" i="7" s="1"/>
  <c r="AH335" i="7"/>
  <c r="AG335" i="7"/>
  <c r="AF335" i="7"/>
  <c r="AI335" i="7" s="1"/>
  <c r="CD338" i="7"/>
  <c r="CY337" i="7"/>
  <c r="CJ338" i="7"/>
  <c r="DE337" i="7"/>
  <c r="AR335" i="7"/>
  <c r="BI335" i="7" s="1"/>
  <c r="AQ335" i="7"/>
  <c r="BH335" i="7" s="1"/>
  <c r="AP335" i="7"/>
  <c r="C326" i="7"/>
  <c r="F326" i="7" s="1"/>
  <c r="BJ326" i="7"/>
  <c r="BM326" i="7" s="1"/>
  <c r="B326" i="7" s="1"/>
  <c r="AJ327" i="7"/>
  <c r="CK339" i="7"/>
  <c r="DF338" i="7"/>
  <c r="BV338" i="7"/>
  <c r="CQ337" i="7"/>
  <c r="CH337" i="7"/>
  <c r="DC336" i="7"/>
  <c r="BN336" i="7"/>
  <c r="BL326" i="7"/>
  <c r="E326" i="7"/>
  <c r="AL327" i="7"/>
  <c r="CF337" i="7"/>
  <c r="DA336" i="7"/>
  <c r="AN336" i="7"/>
  <c r="BH336" i="7" s="1"/>
  <c r="P336" i="7"/>
  <c r="N337" i="7" s="1"/>
  <c r="BX338" i="7"/>
  <c r="CS337" i="7"/>
  <c r="BG335" i="7"/>
  <c r="BU339" i="7"/>
  <c r="CP338" i="7"/>
  <c r="H333" i="7"/>
  <c r="G333" i="7"/>
  <c r="BE334" i="7"/>
  <c r="BD334" i="7"/>
  <c r="BF334" i="7"/>
  <c r="AR337" i="7" l="1"/>
  <c r="AQ337" i="7"/>
  <c r="AP337" i="7"/>
  <c r="CH338" i="7"/>
  <c r="DC337" i="7"/>
  <c r="BN337" i="7"/>
  <c r="CK340" i="7"/>
  <c r="DF339" i="7"/>
  <c r="CM339" i="7"/>
  <c r="DH338" i="7"/>
  <c r="DS338" i="7"/>
  <c r="CI339" i="7"/>
  <c r="DD338" i="7"/>
  <c r="BK327" i="7"/>
  <c r="D327" i="7"/>
  <c r="AK328" i="7"/>
  <c r="BX339" i="7"/>
  <c r="CS338" i="7"/>
  <c r="C327" i="7"/>
  <c r="F327" i="7" s="1"/>
  <c r="BJ327" i="7"/>
  <c r="BM327" i="7" s="1"/>
  <c r="B327" i="7" s="1"/>
  <c r="AJ328" i="7"/>
  <c r="CD339" i="7"/>
  <c r="CY338" i="7"/>
  <c r="CE338" i="7"/>
  <c r="CZ337" i="7"/>
  <c r="AM337" i="7"/>
  <c r="BG337" i="7" s="1"/>
  <c r="EO338" i="7"/>
  <c r="BT339" i="7"/>
  <c r="CO338" i="7"/>
  <c r="CG339" i="7"/>
  <c r="DB338" i="7"/>
  <c r="AO338" i="7"/>
  <c r="CB339" i="7"/>
  <c r="CW338" i="7"/>
  <c r="BL327" i="7"/>
  <c r="E327" i="7"/>
  <c r="AL328" i="7"/>
  <c r="BU340" i="7"/>
  <c r="CP339" i="7"/>
  <c r="AN337" i="7"/>
  <c r="BH337" i="7" s="1"/>
  <c r="CF338" i="7"/>
  <c r="DA337" i="7"/>
  <c r="BV339" i="7"/>
  <c r="CQ338" i="7"/>
  <c r="BY340" i="7"/>
  <c r="CT339" i="7"/>
  <c r="BA336" i="7"/>
  <c r="DP336" i="7" s="1"/>
  <c r="AW336" i="7"/>
  <c r="DL336" i="7" s="1"/>
  <c r="AZ336" i="7"/>
  <c r="DO336" i="7" s="1"/>
  <c r="AV336" i="7"/>
  <c r="DK336" i="7" s="1"/>
  <c r="BC336" i="7"/>
  <c r="DR336" i="7" s="1"/>
  <c r="AY336" i="7"/>
  <c r="DN336" i="7" s="1"/>
  <c r="AU336" i="7"/>
  <c r="DJ336" i="7" s="1"/>
  <c r="BB336" i="7"/>
  <c r="DQ336" i="7" s="1"/>
  <c r="AX336" i="7"/>
  <c r="DM336" i="7" s="1"/>
  <c r="AT336" i="7"/>
  <c r="AF336" i="7"/>
  <c r="AI336" i="7" s="1"/>
  <c r="AH336" i="7"/>
  <c r="AG336" i="7"/>
  <c r="BS338" i="7"/>
  <c r="EF337" i="7"/>
  <c r="DZ337" i="7"/>
  <c r="CN337" i="7"/>
  <c r="BO336" i="7" s="1"/>
  <c r="EC337" i="7"/>
  <c r="DX337" i="7"/>
  <c r="EB337" i="7"/>
  <c r="DW337" i="7"/>
  <c r="EA337" i="7"/>
  <c r="DV337" i="7"/>
  <c r="M337" i="7"/>
  <c r="BW339" i="7"/>
  <c r="CR338" i="7"/>
  <c r="P337" i="7"/>
  <c r="N338" i="7" s="1"/>
  <c r="H334" i="7"/>
  <c r="G334" i="7"/>
  <c r="CJ339" i="7"/>
  <c r="DE338" i="7"/>
  <c r="BD335" i="7"/>
  <c r="BF335" i="7"/>
  <c r="BE335" i="7"/>
  <c r="EM339" i="7"/>
  <c r="DG339" i="7"/>
  <c r="CL340" i="7"/>
  <c r="BO335" i="7"/>
  <c r="BZ339" i="7"/>
  <c r="CU338" i="7"/>
  <c r="EN338" i="7"/>
  <c r="BI337" i="7"/>
  <c r="CA339" i="7"/>
  <c r="CV338" i="7"/>
  <c r="CC340" i="7"/>
  <c r="CX339" i="7"/>
  <c r="DI335" i="7"/>
  <c r="DI336" i="7" s="1"/>
  <c r="BP336" i="7" l="1"/>
  <c r="BQ336" i="7" s="1"/>
  <c r="CC341" i="7"/>
  <c r="CX340" i="7"/>
  <c r="BW340" i="7"/>
  <c r="CR339" i="7"/>
  <c r="BV340" i="7"/>
  <c r="CQ339" i="7"/>
  <c r="BT340" i="7"/>
  <c r="CO339" i="7"/>
  <c r="EO339" i="7"/>
  <c r="AM338" i="7"/>
  <c r="CE339" i="7"/>
  <c r="CZ338" i="7"/>
  <c r="BK328" i="7"/>
  <c r="D328" i="7"/>
  <c r="AK329" i="7"/>
  <c r="CI340" i="7"/>
  <c r="DD339" i="7"/>
  <c r="DS339" i="7"/>
  <c r="CH339" i="7"/>
  <c r="DC338" i="7"/>
  <c r="BN338" i="7"/>
  <c r="BP335" i="7"/>
  <c r="EN339" i="7"/>
  <c r="BZ340" i="7"/>
  <c r="CU339" i="7"/>
  <c r="AQ338" i="7"/>
  <c r="AP338" i="7"/>
  <c r="AR338" i="7"/>
  <c r="BI338" i="7" s="1"/>
  <c r="AZ337" i="7"/>
  <c r="DO337" i="7" s="1"/>
  <c r="AV337" i="7"/>
  <c r="DK337" i="7" s="1"/>
  <c r="BC337" i="7"/>
  <c r="DR337" i="7" s="1"/>
  <c r="AY337" i="7"/>
  <c r="DN337" i="7" s="1"/>
  <c r="AU337" i="7"/>
  <c r="DJ337" i="7" s="1"/>
  <c r="BB337" i="7"/>
  <c r="DQ337" i="7" s="1"/>
  <c r="AX337" i="7"/>
  <c r="DM337" i="7" s="1"/>
  <c r="AT337" i="7"/>
  <c r="BA337" i="7"/>
  <c r="DP337" i="7" s="1"/>
  <c r="AW337" i="7"/>
  <c r="DL337" i="7" s="1"/>
  <c r="AF337" i="7"/>
  <c r="AI337" i="7" s="1"/>
  <c r="AH337" i="7"/>
  <c r="AG337" i="7"/>
  <c r="P338" i="7"/>
  <c r="CK341" i="7"/>
  <c r="DF340" i="7"/>
  <c r="CA340" i="7"/>
  <c r="CV339" i="7"/>
  <c r="BQ335" i="7"/>
  <c r="CJ340" i="7"/>
  <c r="DE339" i="7"/>
  <c r="BY341" i="7"/>
  <c r="CT340" i="7"/>
  <c r="BU341" i="7"/>
  <c r="CP340" i="7"/>
  <c r="CG340" i="7"/>
  <c r="DB339" i="7"/>
  <c r="AO339" i="7"/>
  <c r="CD340" i="7"/>
  <c r="CY339" i="7"/>
  <c r="EM340" i="7"/>
  <c r="DG340" i="7"/>
  <c r="CL341" i="7"/>
  <c r="EC338" i="7"/>
  <c r="DX338" i="7"/>
  <c r="EB338" i="7"/>
  <c r="DW338" i="7"/>
  <c r="EA338" i="7"/>
  <c r="DV338" i="7"/>
  <c r="BS339" i="7"/>
  <c r="EF338" i="7"/>
  <c r="DZ338" i="7"/>
  <c r="CN338" i="7"/>
  <c r="M338" i="7"/>
  <c r="BE336" i="7"/>
  <c r="BD336" i="7"/>
  <c r="BF336" i="7"/>
  <c r="CF339" i="7"/>
  <c r="DA338" i="7"/>
  <c r="AN338" i="7"/>
  <c r="BH338" i="7" s="1"/>
  <c r="E328" i="7"/>
  <c r="BL328" i="7"/>
  <c r="AL329" i="7"/>
  <c r="CB340" i="7"/>
  <c r="CW339" i="7"/>
  <c r="BJ328" i="7"/>
  <c r="BM328" i="7" s="1"/>
  <c r="B328" i="7" s="1"/>
  <c r="C328" i="7"/>
  <c r="F328" i="7" s="1"/>
  <c r="AJ329" i="7"/>
  <c r="BX340" i="7"/>
  <c r="CS339" i="7"/>
  <c r="CM340" i="7"/>
  <c r="DH339" i="7"/>
  <c r="H336" i="7" l="1"/>
  <c r="G336" i="7"/>
  <c r="G335" i="7"/>
  <c r="H335" i="7"/>
  <c r="CK342" i="7"/>
  <c r="DF341" i="7"/>
  <c r="BD337" i="7"/>
  <c r="BF337" i="7"/>
  <c r="BE337" i="7"/>
  <c r="CI341" i="7"/>
  <c r="DD340" i="7"/>
  <c r="DS340" i="7"/>
  <c r="BV341" i="7"/>
  <c r="CQ340" i="7"/>
  <c r="CC342" i="7"/>
  <c r="CX341" i="7"/>
  <c r="CM341" i="7"/>
  <c r="DH340" i="7"/>
  <c r="E329" i="7"/>
  <c r="BL329" i="7"/>
  <c r="AL330" i="7"/>
  <c r="DG341" i="7"/>
  <c r="EM341" i="7"/>
  <c r="CL342" i="7"/>
  <c r="AO340" i="7"/>
  <c r="CG341" i="7"/>
  <c r="DB340" i="7"/>
  <c r="BY342" i="7"/>
  <c r="CT341" i="7"/>
  <c r="N339" i="7"/>
  <c r="DI337" i="7"/>
  <c r="BN339" i="7"/>
  <c r="CH340" i="7"/>
  <c r="DC339" i="7"/>
  <c r="D329" i="7"/>
  <c r="BK329" i="7"/>
  <c r="AK330" i="7"/>
  <c r="CE340" i="7"/>
  <c r="CZ339" i="7"/>
  <c r="AM339" i="7"/>
  <c r="BT341" i="7"/>
  <c r="CO340" i="7"/>
  <c r="EO340" i="7"/>
  <c r="CB341" i="7"/>
  <c r="CW340" i="7"/>
  <c r="CF340" i="7"/>
  <c r="DA339" i="7"/>
  <c r="AN339" i="7"/>
  <c r="BC338" i="7"/>
  <c r="DR338" i="7" s="1"/>
  <c r="AY338" i="7"/>
  <c r="DN338" i="7" s="1"/>
  <c r="AU338" i="7"/>
  <c r="DJ338" i="7" s="1"/>
  <c r="BB338" i="7"/>
  <c r="DQ338" i="7" s="1"/>
  <c r="AX338" i="7"/>
  <c r="DM338" i="7" s="1"/>
  <c r="AT338" i="7"/>
  <c r="BA338" i="7"/>
  <c r="DP338" i="7" s="1"/>
  <c r="AW338" i="7"/>
  <c r="DL338" i="7" s="1"/>
  <c r="AZ338" i="7"/>
  <c r="DO338" i="7" s="1"/>
  <c r="AV338" i="7"/>
  <c r="DK338" i="7" s="1"/>
  <c r="AH338" i="7"/>
  <c r="AF338" i="7"/>
  <c r="AI338" i="7" s="1"/>
  <c r="AG338" i="7"/>
  <c r="EB339" i="7"/>
  <c r="DW339" i="7"/>
  <c r="EA339" i="7"/>
  <c r="DV339" i="7"/>
  <c r="BS340" i="7"/>
  <c r="EF339" i="7"/>
  <c r="DZ339" i="7"/>
  <c r="CN339" i="7"/>
  <c r="EC339" i="7"/>
  <c r="DX339" i="7"/>
  <c r="M339" i="7"/>
  <c r="CD341" i="7"/>
  <c r="CY340" i="7"/>
  <c r="CA341" i="7"/>
  <c r="CV340" i="7"/>
  <c r="P339" i="7"/>
  <c r="N340" i="7" s="1"/>
  <c r="BG338" i="7"/>
  <c r="BW341" i="7"/>
  <c r="CR340" i="7"/>
  <c r="BJ329" i="7"/>
  <c r="BM329" i="7" s="1"/>
  <c r="B329" i="7" s="1"/>
  <c r="C329" i="7"/>
  <c r="F329" i="7" s="1"/>
  <c r="AJ330" i="7"/>
  <c r="BX341" i="7"/>
  <c r="CS340" i="7"/>
  <c r="BO337" i="7"/>
  <c r="BU342" i="7"/>
  <c r="CP341" i="7"/>
  <c r="CJ341" i="7"/>
  <c r="DE340" i="7"/>
  <c r="BZ341" i="7"/>
  <c r="CU340" i="7"/>
  <c r="EN340" i="7"/>
  <c r="EA340" i="7" l="1"/>
  <c r="DV340" i="7"/>
  <c r="BS341" i="7"/>
  <c r="EF340" i="7"/>
  <c r="DZ340" i="7"/>
  <c r="CN340" i="7"/>
  <c r="EC340" i="7"/>
  <c r="DX340" i="7"/>
  <c r="EB340" i="7"/>
  <c r="DW340" i="7"/>
  <c r="M340" i="7"/>
  <c r="BF338" i="7"/>
  <c r="BE338" i="7"/>
  <c r="BD338" i="7"/>
  <c r="CF341" i="7"/>
  <c r="DA340" i="7"/>
  <c r="AN340" i="7"/>
  <c r="CE341" i="7"/>
  <c r="CZ340" i="7"/>
  <c r="AM340" i="7"/>
  <c r="AP339" i="7"/>
  <c r="AR339" i="7"/>
  <c r="BI339" i="7" s="1"/>
  <c r="AQ339" i="7"/>
  <c r="CG342" i="7"/>
  <c r="DB341" i="7"/>
  <c r="AO341" i="7"/>
  <c r="CI342" i="7"/>
  <c r="DD341" i="7"/>
  <c r="DS341" i="7"/>
  <c r="CA342" i="7"/>
  <c r="CV341" i="7"/>
  <c r="BZ342" i="7"/>
  <c r="CU341" i="7"/>
  <c r="EN341" i="7"/>
  <c r="BU343" i="7"/>
  <c r="CP342" i="7"/>
  <c r="BX342" i="7"/>
  <c r="CS341" i="7"/>
  <c r="AR340" i="7"/>
  <c r="BI340" i="7" s="1"/>
  <c r="AQ340" i="7"/>
  <c r="AP340" i="7"/>
  <c r="CD342" i="7"/>
  <c r="CY341" i="7"/>
  <c r="BO338" i="7"/>
  <c r="EO341" i="7"/>
  <c r="BT342" i="7"/>
  <c r="CO341" i="7"/>
  <c r="D330" i="7"/>
  <c r="BK330" i="7"/>
  <c r="AK331" i="7"/>
  <c r="CH341" i="7"/>
  <c r="DC340" i="7"/>
  <c r="BN340" i="7"/>
  <c r="BL330" i="7"/>
  <c r="E330" i="7"/>
  <c r="AL331" i="7"/>
  <c r="CM342" i="7"/>
  <c r="DH341" i="7"/>
  <c r="BV342" i="7"/>
  <c r="CQ341" i="7"/>
  <c r="CK343" i="7"/>
  <c r="DF342" i="7"/>
  <c r="C330" i="7"/>
  <c r="F330" i="7" s="1"/>
  <c r="BJ330" i="7"/>
  <c r="BM330" i="7" s="1"/>
  <c r="B330" i="7" s="1"/>
  <c r="AJ331" i="7"/>
  <c r="BW342" i="7"/>
  <c r="CR341" i="7"/>
  <c r="BB339" i="7"/>
  <c r="DQ339" i="7" s="1"/>
  <c r="AX339" i="7"/>
  <c r="DM339" i="7" s="1"/>
  <c r="AT339" i="7"/>
  <c r="BA339" i="7"/>
  <c r="DP339" i="7" s="1"/>
  <c r="AW339" i="7"/>
  <c r="DL339" i="7" s="1"/>
  <c r="AZ339" i="7"/>
  <c r="DO339" i="7" s="1"/>
  <c r="AV339" i="7"/>
  <c r="DK339" i="7" s="1"/>
  <c r="BC339" i="7"/>
  <c r="DR339" i="7" s="1"/>
  <c r="AY339" i="7"/>
  <c r="DN339" i="7" s="1"/>
  <c r="AU339" i="7"/>
  <c r="DJ339" i="7" s="1"/>
  <c r="AF339" i="7"/>
  <c r="AI339" i="7" s="1"/>
  <c r="AH339" i="7"/>
  <c r="AG339" i="7"/>
  <c r="BH339" i="7"/>
  <c r="CB342" i="7"/>
  <c r="CW341" i="7"/>
  <c r="BG339" i="7"/>
  <c r="BY343" i="7"/>
  <c r="CT342" i="7"/>
  <c r="DG342" i="7"/>
  <c r="EM342" i="7"/>
  <c r="CL343" i="7"/>
  <c r="P340" i="7"/>
  <c r="N341" i="7" s="1"/>
  <c r="CJ342" i="7"/>
  <c r="DE341" i="7"/>
  <c r="DI338" i="7"/>
  <c r="DI339" i="7" s="1"/>
  <c r="CC343" i="7"/>
  <c r="CX342" i="7"/>
  <c r="BP337" i="7"/>
  <c r="BQ337" i="7" s="1"/>
  <c r="G337" i="7" l="1"/>
  <c r="H337" i="7"/>
  <c r="BP339" i="7"/>
  <c r="EM343" i="7"/>
  <c r="DG343" i="7"/>
  <c r="CL344" i="7"/>
  <c r="BY344" i="7"/>
  <c r="CT343" i="7"/>
  <c r="CB343" i="7"/>
  <c r="CW342" i="7"/>
  <c r="BF339" i="7"/>
  <c r="BE339" i="7"/>
  <c r="BD339" i="7"/>
  <c r="BW343" i="7"/>
  <c r="CR342" i="7"/>
  <c r="CH342" i="7"/>
  <c r="DC341" i="7"/>
  <c r="BN341" i="7"/>
  <c r="CA343" i="7"/>
  <c r="CV342" i="7"/>
  <c r="DS342" i="7"/>
  <c r="CI343" i="7"/>
  <c r="DD342" i="7"/>
  <c r="CE342" i="7"/>
  <c r="CZ341" i="7"/>
  <c r="AM341" i="7"/>
  <c r="BO339" i="7"/>
  <c r="BQ339" i="7" s="1"/>
  <c r="CJ343" i="7"/>
  <c r="DE342" i="7"/>
  <c r="C331" i="7"/>
  <c r="F331" i="7" s="1"/>
  <c r="BJ331" i="7"/>
  <c r="BM331" i="7" s="1"/>
  <c r="B331" i="7" s="1"/>
  <c r="AJ332" i="7"/>
  <c r="CK344" i="7"/>
  <c r="DF343" i="7"/>
  <c r="CM343" i="7"/>
  <c r="DH342" i="7"/>
  <c r="BK331" i="7"/>
  <c r="D331" i="7"/>
  <c r="AK332" i="7"/>
  <c r="EO342" i="7"/>
  <c r="BT343" i="7"/>
  <c r="CO342" i="7"/>
  <c r="CD343" i="7"/>
  <c r="CY342" i="7"/>
  <c r="BX343" i="7"/>
  <c r="CS342" i="7"/>
  <c r="BH340" i="7"/>
  <c r="BL331" i="7"/>
  <c r="E331" i="7"/>
  <c r="AL332" i="7"/>
  <c r="BZ343" i="7"/>
  <c r="CU342" i="7"/>
  <c r="EN342" i="7"/>
  <c r="P341" i="7"/>
  <c r="BG340" i="7"/>
  <c r="CC344" i="7"/>
  <c r="CX343" i="7"/>
  <c r="AR341" i="7"/>
  <c r="BI341" i="7" s="1"/>
  <c r="AQ341" i="7"/>
  <c r="AP341" i="7"/>
  <c r="BV343" i="7"/>
  <c r="CQ342" i="7"/>
  <c r="BU344" i="7"/>
  <c r="CP343" i="7"/>
  <c r="CG343" i="7"/>
  <c r="DB342" i="7"/>
  <c r="AO342" i="7"/>
  <c r="AN341" i="7"/>
  <c r="BH341" i="7" s="1"/>
  <c r="CF342" i="7"/>
  <c r="DA341" i="7"/>
  <c r="BA340" i="7"/>
  <c r="DP340" i="7" s="1"/>
  <c r="AW340" i="7"/>
  <c r="DL340" i="7" s="1"/>
  <c r="AZ340" i="7"/>
  <c r="DO340" i="7" s="1"/>
  <c r="AV340" i="7"/>
  <c r="DK340" i="7" s="1"/>
  <c r="BC340" i="7"/>
  <c r="DR340" i="7" s="1"/>
  <c r="AY340" i="7"/>
  <c r="DN340" i="7" s="1"/>
  <c r="AU340" i="7"/>
  <c r="DJ340" i="7" s="1"/>
  <c r="BB340" i="7"/>
  <c r="DQ340" i="7" s="1"/>
  <c r="AX340" i="7"/>
  <c r="DM340" i="7" s="1"/>
  <c r="AT340" i="7"/>
  <c r="AH340" i="7"/>
  <c r="AF340" i="7"/>
  <c r="AI340" i="7" s="1"/>
  <c r="AG340" i="7"/>
  <c r="BS342" i="7"/>
  <c r="EF341" i="7"/>
  <c r="DZ341" i="7"/>
  <c r="CN341" i="7"/>
  <c r="BO340" i="7" s="1"/>
  <c r="EC341" i="7"/>
  <c r="DX341" i="7"/>
  <c r="EB341" i="7"/>
  <c r="DW341" i="7"/>
  <c r="EA341" i="7"/>
  <c r="DV341" i="7"/>
  <c r="M341" i="7"/>
  <c r="BP338" i="7"/>
  <c r="BQ338" i="7" s="1"/>
  <c r="H338" i="7" l="1"/>
  <c r="G338" i="7"/>
  <c r="CF343" i="7"/>
  <c r="DA342" i="7"/>
  <c r="AN342" i="7"/>
  <c r="CG344" i="7"/>
  <c r="DB343" i="7"/>
  <c r="AO343" i="7"/>
  <c r="BJ332" i="7"/>
  <c r="BM332" i="7" s="1"/>
  <c r="B332" i="7" s="1"/>
  <c r="C332" i="7"/>
  <c r="F332" i="7" s="1"/>
  <c r="AJ333" i="7"/>
  <c r="CJ344" i="7"/>
  <c r="DE343" i="7"/>
  <c r="AM342" i="7"/>
  <c r="CE343" i="7"/>
  <c r="CZ342" i="7"/>
  <c r="CH343" i="7"/>
  <c r="DC342" i="7"/>
  <c r="BN342" i="7"/>
  <c r="AZ341" i="7"/>
  <c r="DO341" i="7" s="1"/>
  <c r="AV341" i="7"/>
  <c r="DK341" i="7" s="1"/>
  <c r="BC341" i="7"/>
  <c r="DR341" i="7" s="1"/>
  <c r="AY341" i="7"/>
  <c r="DN341" i="7" s="1"/>
  <c r="AU341" i="7"/>
  <c r="DJ341" i="7" s="1"/>
  <c r="BB341" i="7"/>
  <c r="DQ341" i="7" s="1"/>
  <c r="AX341" i="7"/>
  <c r="DM341" i="7" s="1"/>
  <c r="AT341" i="7"/>
  <c r="BA341" i="7"/>
  <c r="DP341" i="7" s="1"/>
  <c r="AW341" i="7"/>
  <c r="DL341" i="7" s="1"/>
  <c r="AH341" i="7"/>
  <c r="AG341" i="7"/>
  <c r="AF341" i="7"/>
  <c r="AI341" i="7" s="1"/>
  <c r="EC342" i="7"/>
  <c r="DX342" i="7"/>
  <c r="EB342" i="7"/>
  <c r="DW342" i="7"/>
  <c r="EA342" i="7"/>
  <c r="DV342" i="7"/>
  <c r="BS343" i="7"/>
  <c r="EF342" i="7"/>
  <c r="DZ342" i="7"/>
  <c r="CN342" i="7"/>
  <c r="BO341" i="7" s="1"/>
  <c r="M342" i="7"/>
  <c r="BE340" i="7"/>
  <c r="BD340" i="7"/>
  <c r="BF340" i="7"/>
  <c r="BV344" i="7"/>
  <c r="CQ343" i="7"/>
  <c r="CC345" i="7"/>
  <c r="CX344" i="7"/>
  <c r="E332" i="7"/>
  <c r="BL332" i="7"/>
  <c r="AL333" i="7"/>
  <c r="CD344" i="7"/>
  <c r="CY343" i="7"/>
  <c r="BK332" i="7"/>
  <c r="D332" i="7"/>
  <c r="AK333" i="7"/>
  <c r="CM344" i="7"/>
  <c r="DH343" i="7"/>
  <c r="H339" i="7"/>
  <c r="G339" i="7"/>
  <c r="CA344" i="7"/>
  <c r="CV343" i="7"/>
  <c r="BY345" i="7"/>
  <c r="CT344" i="7"/>
  <c r="DI340" i="7"/>
  <c r="DI341" i="7" s="1"/>
  <c r="BU345" i="7"/>
  <c r="CP344" i="7"/>
  <c r="BG341" i="7"/>
  <c r="CI344" i="7"/>
  <c r="DD343" i="7"/>
  <c r="DS343" i="7"/>
  <c r="BW344" i="7"/>
  <c r="CR343" i="7"/>
  <c r="EM344" i="7"/>
  <c r="DG344" i="7"/>
  <c r="CL345" i="7"/>
  <c r="N342" i="7"/>
  <c r="EN343" i="7"/>
  <c r="BZ344" i="7"/>
  <c r="CU343" i="7"/>
  <c r="BX344" i="7"/>
  <c r="CS343" i="7"/>
  <c r="BT344" i="7"/>
  <c r="CO343" i="7"/>
  <c r="EO343" i="7"/>
  <c r="CK345" i="7"/>
  <c r="DF344" i="7"/>
  <c r="P342" i="7"/>
  <c r="N343" i="7" s="1"/>
  <c r="CB344" i="7"/>
  <c r="CW343" i="7"/>
  <c r="BP341" i="7" l="1"/>
  <c r="BQ341" i="7" s="1"/>
  <c r="AP343" i="7"/>
  <c r="AR343" i="7"/>
  <c r="AQ343" i="7"/>
  <c r="BX345" i="7"/>
  <c r="CS344" i="7"/>
  <c r="AQ342" i="7"/>
  <c r="BH342" i="7" s="1"/>
  <c r="AP342" i="7"/>
  <c r="AR342" i="7"/>
  <c r="BI342" i="7" s="1"/>
  <c r="BU346" i="7"/>
  <c r="CP345" i="7"/>
  <c r="BY346" i="7"/>
  <c r="CT345" i="7"/>
  <c r="E333" i="7"/>
  <c r="BL333" i="7"/>
  <c r="AL334" i="7"/>
  <c r="CC346" i="7"/>
  <c r="CX345" i="7"/>
  <c r="BN343" i="7"/>
  <c r="CH344" i="7"/>
  <c r="DC343" i="7"/>
  <c r="CK346" i="7"/>
  <c r="DF345" i="7"/>
  <c r="P343" i="7"/>
  <c r="DG345" i="7"/>
  <c r="EM345" i="7"/>
  <c r="CL346" i="7"/>
  <c r="BW345" i="7"/>
  <c r="CR344" i="7"/>
  <c r="CI345" i="7"/>
  <c r="DD344" i="7"/>
  <c r="DS344" i="7"/>
  <c r="CJ345" i="7"/>
  <c r="DE344" i="7"/>
  <c r="BI343" i="7"/>
  <c r="BT345" i="7"/>
  <c r="CO344" i="7"/>
  <c r="EO344" i="7"/>
  <c r="BZ345" i="7"/>
  <c r="CU344" i="7"/>
  <c r="EN344" i="7"/>
  <c r="CA345" i="7"/>
  <c r="CV344" i="7"/>
  <c r="CM345" i="7"/>
  <c r="DH344" i="7"/>
  <c r="BV345" i="7"/>
  <c r="CQ344" i="7"/>
  <c r="BC342" i="7"/>
  <c r="DR342" i="7" s="1"/>
  <c r="AY342" i="7"/>
  <c r="DN342" i="7" s="1"/>
  <c r="AU342" i="7"/>
  <c r="DJ342" i="7" s="1"/>
  <c r="BB342" i="7"/>
  <c r="DQ342" i="7" s="1"/>
  <c r="AX342" i="7"/>
  <c r="DM342" i="7" s="1"/>
  <c r="AT342" i="7"/>
  <c r="BA342" i="7"/>
  <c r="DP342" i="7" s="1"/>
  <c r="AW342" i="7"/>
  <c r="DL342" i="7" s="1"/>
  <c r="AZ342" i="7"/>
  <c r="DO342" i="7" s="1"/>
  <c r="AV342" i="7"/>
  <c r="DK342" i="7" s="1"/>
  <c r="AF342" i="7"/>
  <c r="AI342" i="7" s="1"/>
  <c r="AG342" i="7"/>
  <c r="AH342" i="7"/>
  <c r="EB343" i="7"/>
  <c r="DW343" i="7"/>
  <c r="EA343" i="7"/>
  <c r="DV343" i="7"/>
  <c r="BS344" i="7"/>
  <c r="EF343" i="7"/>
  <c r="DZ343" i="7"/>
  <c r="CN343" i="7"/>
  <c r="EC343" i="7"/>
  <c r="DX343" i="7"/>
  <c r="M343" i="7"/>
  <c r="BD341" i="7"/>
  <c r="BF341" i="7"/>
  <c r="BE341" i="7"/>
  <c r="CE344" i="7"/>
  <c r="CZ343" i="7"/>
  <c r="AM343" i="7"/>
  <c r="BG343" i="7" s="1"/>
  <c r="BJ333" i="7"/>
  <c r="BM333" i="7" s="1"/>
  <c r="B333" i="7" s="1"/>
  <c r="C333" i="7"/>
  <c r="F333" i="7" s="1"/>
  <c r="AJ334" i="7"/>
  <c r="CF344" i="7"/>
  <c r="DA343" i="7"/>
  <c r="AN343" i="7"/>
  <c r="BH343" i="7" s="1"/>
  <c r="CB345" i="7"/>
  <c r="CW344" i="7"/>
  <c r="D333" i="7"/>
  <c r="BK333" i="7"/>
  <c r="AK334" i="7"/>
  <c r="CD345" i="7"/>
  <c r="CY344" i="7"/>
  <c r="BG342" i="7"/>
  <c r="AO344" i="7"/>
  <c r="CG345" i="7"/>
  <c r="DB344" i="7"/>
  <c r="BP340" i="7"/>
  <c r="BQ340" i="7" s="1"/>
  <c r="CG346" i="7" l="1"/>
  <c r="DB345" i="7"/>
  <c r="AO345" i="7"/>
  <c r="BV346" i="7"/>
  <c r="CQ345" i="7"/>
  <c r="CA346" i="7"/>
  <c r="CV345" i="7"/>
  <c r="BZ346" i="7"/>
  <c r="CU345" i="7"/>
  <c r="EN345" i="7"/>
  <c r="DG346" i="7"/>
  <c r="EM346" i="7"/>
  <c r="CL347" i="7"/>
  <c r="N344" i="7"/>
  <c r="CC347" i="7"/>
  <c r="CX346" i="7"/>
  <c r="G341" i="7"/>
  <c r="H341" i="7"/>
  <c r="CD346" i="7"/>
  <c r="CY345" i="7"/>
  <c r="CF345" i="7"/>
  <c r="DA344" i="7"/>
  <c r="AN344" i="7"/>
  <c r="D334" i="7"/>
  <c r="BK334" i="7"/>
  <c r="AK335" i="7"/>
  <c r="CB346" i="7"/>
  <c r="CW345" i="7"/>
  <c r="EA344" i="7"/>
  <c r="DV344" i="7"/>
  <c r="BS345" i="7"/>
  <c r="EF344" i="7"/>
  <c r="DZ344" i="7"/>
  <c r="CN344" i="7"/>
  <c r="EC344" i="7"/>
  <c r="DX344" i="7"/>
  <c r="EB344" i="7"/>
  <c r="DW344" i="7"/>
  <c r="M344" i="7"/>
  <c r="BF342" i="7"/>
  <c r="BE342" i="7"/>
  <c r="BD342" i="7"/>
  <c r="DI342" i="7"/>
  <c r="CI346" i="7"/>
  <c r="DD345" i="7"/>
  <c r="DS345" i="7"/>
  <c r="CH345" i="7"/>
  <c r="DC344" i="7"/>
  <c r="BN344" i="7"/>
  <c r="BL334" i="7"/>
  <c r="E334" i="7"/>
  <c r="AL335" i="7"/>
  <c r="BY347" i="7"/>
  <c r="CT346" i="7"/>
  <c r="C334" i="7"/>
  <c r="F334" i="7" s="1"/>
  <c r="BJ334" i="7"/>
  <c r="BM334" i="7" s="1"/>
  <c r="B334" i="7" s="1"/>
  <c r="AJ335" i="7"/>
  <c r="H340" i="7"/>
  <c r="G340" i="7"/>
  <c r="CE345" i="7"/>
  <c r="CZ344" i="7"/>
  <c r="AM344" i="7"/>
  <c r="BO342" i="7"/>
  <c r="CM346" i="7"/>
  <c r="DH345" i="7"/>
  <c r="CJ346" i="7"/>
  <c r="DE345" i="7"/>
  <c r="CK347" i="7"/>
  <c r="DF346" i="7"/>
  <c r="BB343" i="7"/>
  <c r="DQ343" i="7" s="1"/>
  <c r="AX343" i="7"/>
  <c r="DM343" i="7" s="1"/>
  <c r="AT343" i="7"/>
  <c r="BA343" i="7"/>
  <c r="DP343" i="7" s="1"/>
  <c r="AW343" i="7"/>
  <c r="DL343" i="7" s="1"/>
  <c r="AZ343" i="7"/>
  <c r="DO343" i="7" s="1"/>
  <c r="AV343" i="7"/>
  <c r="DK343" i="7" s="1"/>
  <c r="BC343" i="7"/>
  <c r="DR343" i="7" s="1"/>
  <c r="AY343" i="7"/>
  <c r="DN343" i="7" s="1"/>
  <c r="AU343" i="7"/>
  <c r="DJ343" i="7" s="1"/>
  <c r="AG343" i="7"/>
  <c r="AF343" i="7"/>
  <c r="AI343" i="7" s="1"/>
  <c r="AH343" i="7"/>
  <c r="EO345" i="7"/>
  <c r="BT346" i="7"/>
  <c r="CO345" i="7"/>
  <c r="P344" i="7"/>
  <c r="N345" i="7" s="1"/>
  <c r="BW346" i="7"/>
  <c r="CR345" i="7"/>
  <c r="BU347" i="7"/>
  <c r="CP346" i="7"/>
  <c r="BX346" i="7"/>
  <c r="CS345" i="7"/>
  <c r="AR345" i="7" l="1"/>
  <c r="AQ345" i="7"/>
  <c r="AP345" i="7"/>
  <c r="CJ347" i="7"/>
  <c r="DE346" i="7"/>
  <c r="CH346" i="7"/>
  <c r="DC345" i="7"/>
  <c r="BN345" i="7"/>
  <c r="DI343" i="7"/>
  <c r="BA344" i="7"/>
  <c r="DP344" i="7" s="1"/>
  <c r="AW344" i="7"/>
  <c r="DL344" i="7" s="1"/>
  <c r="AZ344" i="7"/>
  <c r="DO344" i="7" s="1"/>
  <c r="AV344" i="7"/>
  <c r="DK344" i="7" s="1"/>
  <c r="BC344" i="7"/>
  <c r="DR344" i="7" s="1"/>
  <c r="AY344" i="7"/>
  <c r="DN344" i="7" s="1"/>
  <c r="AU344" i="7"/>
  <c r="DJ344" i="7" s="1"/>
  <c r="BB344" i="7"/>
  <c r="DQ344" i="7" s="1"/>
  <c r="AX344" i="7"/>
  <c r="DM344" i="7" s="1"/>
  <c r="AT344" i="7"/>
  <c r="AG344" i="7"/>
  <c r="AF344" i="7"/>
  <c r="AI344" i="7" s="1"/>
  <c r="AH344" i="7"/>
  <c r="BS346" i="7"/>
  <c r="EF345" i="7"/>
  <c r="DZ345" i="7"/>
  <c r="CN345" i="7"/>
  <c r="EC345" i="7"/>
  <c r="DX345" i="7"/>
  <c r="EB345" i="7"/>
  <c r="DW345" i="7"/>
  <c r="EA345" i="7"/>
  <c r="DV345" i="7"/>
  <c r="M345" i="7"/>
  <c r="CB347" i="7"/>
  <c r="CW346" i="7"/>
  <c r="CD347" i="7"/>
  <c r="CY346" i="7"/>
  <c r="CC348" i="7"/>
  <c r="CX347" i="7"/>
  <c r="BI345" i="7"/>
  <c r="BW347" i="7"/>
  <c r="CR346" i="7"/>
  <c r="C335" i="7"/>
  <c r="F335" i="7" s="1"/>
  <c r="BJ335" i="7"/>
  <c r="BM335" i="7" s="1"/>
  <c r="B335" i="7" s="1"/>
  <c r="AJ336" i="7"/>
  <c r="P345" i="7"/>
  <c r="N346" i="7" s="1"/>
  <c r="BO343" i="7"/>
  <c r="BK335" i="7"/>
  <c r="D335" i="7"/>
  <c r="AK336" i="7"/>
  <c r="AR344" i="7"/>
  <c r="BI344" i="7" s="1"/>
  <c r="AQ344" i="7"/>
  <c r="BH344" i="7" s="1"/>
  <c r="AP344" i="7"/>
  <c r="BG344" i="7" s="1"/>
  <c r="CA347" i="7"/>
  <c r="CV346" i="7"/>
  <c r="BP342" i="7"/>
  <c r="BX347" i="7"/>
  <c r="CS346" i="7"/>
  <c r="BF343" i="7"/>
  <c r="BE343" i="7"/>
  <c r="BD343" i="7"/>
  <c r="CK348" i="7"/>
  <c r="DF347" i="7"/>
  <c r="CM347" i="7"/>
  <c r="DH346" i="7"/>
  <c r="CE346" i="7"/>
  <c r="CZ345" i="7"/>
  <c r="AM345" i="7"/>
  <c r="BG345" i="7" s="1"/>
  <c r="BY348" i="7"/>
  <c r="CT347" i="7"/>
  <c r="AN345" i="7"/>
  <c r="BH345" i="7" s="1"/>
  <c r="CF346" i="7"/>
  <c r="DA345" i="7"/>
  <c r="EM347" i="7"/>
  <c r="DG347" i="7"/>
  <c r="CL348" i="7"/>
  <c r="CG347" i="7"/>
  <c r="DB346" i="7"/>
  <c r="AO346" i="7"/>
  <c r="EO346" i="7"/>
  <c r="BT347" i="7"/>
  <c r="CO346" i="7"/>
  <c r="BU348" i="7"/>
  <c r="CP347" i="7"/>
  <c r="BQ342" i="7"/>
  <c r="BL335" i="7"/>
  <c r="E335" i="7"/>
  <c r="AL336" i="7"/>
  <c r="DS346" i="7"/>
  <c r="CI347" i="7"/>
  <c r="DD346" i="7"/>
  <c r="BZ347" i="7"/>
  <c r="CU346" i="7"/>
  <c r="EN346" i="7"/>
  <c r="BV347" i="7"/>
  <c r="CQ346" i="7"/>
  <c r="CI348" i="7" l="1"/>
  <c r="DD347" i="7"/>
  <c r="DS347" i="7"/>
  <c r="P346" i="7"/>
  <c r="H342" i="7"/>
  <c r="G342" i="7"/>
  <c r="BT348" i="7"/>
  <c r="CO347" i="7"/>
  <c r="EO347" i="7"/>
  <c r="CG348" i="7"/>
  <c r="DB347" i="7"/>
  <c r="AO347" i="7"/>
  <c r="EN347" i="7"/>
  <c r="BZ348" i="7"/>
  <c r="CU347" i="7"/>
  <c r="BL336" i="7"/>
  <c r="E336" i="7"/>
  <c r="AL337" i="7"/>
  <c r="EM348" i="7"/>
  <c r="DG348" i="7"/>
  <c r="CL349" i="7"/>
  <c r="CF347" i="7"/>
  <c r="DA346" i="7"/>
  <c r="AN346" i="7"/>
  <c r="BY349" i="7"/>
  <c r="CT348" i="7"/>
  <c r="BX348" i="7"/>
  <c r="CS347" i="7"/>
  <c r="C336" i="7"/>
  <c r="F336" i="7" s="1"/>
  <c r="BJ336" i="7"/>
  <c r="BM336" i="7" s="1"/>
  <c r="B336" i="7" s="1"/>
  <c r="AJ337" i="7"/>
  <c r="BW348" i="7"/>
  <c r="CR347" i="7"/>
  <c r="CB348" i="7"/>
  <c r="CW347" i="7"/>
  <c r="BO344" i="7"/>
  <c r="CH347" i="7"/>
  <c r="DC346" i="7"/>
  <c r="BN346" i="7"/>
  <c r="BU349" i="7"/>
  <c r="CP348" i="7"/>
  <c r="BI346" i="7"/>
  <c r="CM348" i="7"/>
  <c r="DH347" i="7"/>
  <c r="CD348" i="7"/>
  <c r="CY347" i="7"/>
  <c r="AZ345" i="7"/>
  <c r="DO345" i="7" s="1"/>
  <c r="AV345" i="7"/>
  <c r="DK345" i="7" s="1"/>
  <c r="BC345" i="7"/>
  <c r="DR345" i="7" s="1"/>
  <c r="AY345" i="7"/>
  <c r="DN345" i="7" s="1"/>
  <c r="AU345" i="7"/>
  <c r="DJ345" i="7" s="1"/>
  <c r="BB345" i="7"/>
  <c r="DQ345" i="7" s="1"/>
  <c r="AX345" i="7"/>
  <c r="DM345" i="7" s="1"/>
  <c r="AT345" i="7"/>
  <c r="BA345" i="7"/>
  <c r="DP345" i="7" s="1"/>
  <c r="AW345" i="7"/>
  <c r="DL345" i="7" s="1"/>
  <c r="AG345" i="7"/>
  <c r="AH345" i="7"/>
  <c r="AF345" i="7"/>
  <c r="AI345" i="7" s="1"/>
  <c r="DI344" i="7"/>
  <c r="BP343" i="7"/>
  <c r="BQ343" i="7" s="1"/>
  <c r="BV348" i="7"/>
  <c r="CQ347" i="7"/>
  <c r="D336" i="7"/>
  <c r="BK336" i="7"/>
  <c r="AK337" i="7"/>
  <c r="AQ346" i="7"/>
  <c r="AP346" i="7"/>
  <c r="AR346" i="7"/>
  <c r="AM346" i="7"/>
  <c r="BG346" i="7" s="1"/>
  <c r="CE347" i="7"/>
  <c r="CZ346" i="7"/>
  <c r="CK349" i="7"/>
  <c r="DF348" i="7"/>
  <c r="CA348" i="7"/>
  <c r="CV347" i="7"/>
  <c r="CC349" i="7"/>
  <c r="CX348" i="7"/>
  <c r="EC346" i="7"/>
  <c r="DX346" i="7"/>
  <c r="EB346" i="7"/>
  <c r="DW346" i="7"/>
  <c r="EA346" i="7"/>
  <c r="DV346" i="7"/>
  <c r="BS347" i="7"/>
  <c r="EF346" i="7"/>
  <c r="DZ346" i="7"/>
  <c r="CN346" i="7"/>
  <c r="BO345" i="7" s="1"/>
  <c r="M346" i="7"/>
  <c r="BE344" i="7"/>
  <c r="BD344" i="7"/>
  <c r="BF344" i="7"/>
  <c r="CJ348" i="7"/>
  <c r="DE347" i="7"/>
  <c r="H343" i="7" l="1"/>
  <c r="G343" i="7"/>
  <c r="DR346" i="7"/>
  <c r="BC346" i="7"/>
  <c r="AY346" i="7"/>
  <c r="DN346" i="7" s="1"/>
  <c r="AU346" i="7"/>
  <c r="DJ346" i="7" s="1"/>
  <c r="BB346" i="7"/>
  <c r="DQ346" i="7" s="1"/>
  <c r="AX346" i="7"/>
  <c r="DM346" i="7" s="1"/>
  <c r="AT346" i="7"/>
  <c r="BA346" i="7"/>
  <c r="DP346" i="7" s="1"/>
  <c r="AW346" i="7"/>
  <c r="DL346" i="7" s="1"/>
  <c r="AZ346" i="7"/>
  <c r="DO346" i="7" s="1"/>
  <c r="AV346" i="7"/>
  <c r="DK346" i="7" s="1"/>
  <c r="AH346" i="7"/>
  <c r="AF346" i="7"/>
  <c r="AI346" i="7" s="1"/>
  <c r="AG346" i="7"/>
  <c r="CK350" i="7"/>
  <c r="DF349" i="7"/>
  <c r="CD349" i="7"/>
  <c r="CY348" i="7"/>
  <c r="CB349" i="7"/>
  <c r="CW348" i="7"/>
  <c r="CF348" i="7"/>
  <c r="DA347" i="7"/>
  <c r="AN347" i="7"/>
  <c r="BL337" i="7"/>
  <c r="E337" i="7"/>
  <c r="AL338" i="7"/>
  <c r="BZ349" i="7"/>
  <c r="CU348" i="7"/>
  <c r="EN348" i="7"/>
  <c r="AO348" i="7"/>
  <c r="CG349" i="7"/>
  <c r="DB348" i="7"/>
  <c r="P347" i="7"/>
  <c r="DI345" i="7"/>
  <c r="DI346" i="7" s="1"/>
  <c r="BN347" i="7"/>
  <c r="CH348" i="7"/>
  <c r="DC347" i="7"/>
  <c r="BY350" i="7"/>
  <c r="CT349" i="7"/>
  <c r="DG349" i="7"/>
  <c r="EM349" i="7"/>
  <c r="CL350" i="7"/>
  <c r="CJ349" i="7"/>
  <c r="DE348" i="7"/>
  <c r="EB347" i="7"/>
  <c r="DW347" i="7"/>
  <c r="EA347" i="7"/>
  <c r="DV347" i="7"/>
  <c r="BS348" i="7"/>
  <c r="EF347" i="7"/>
  <c r="DZ347" i="7"/>
  <c r="CN347" i="7"/>
  <c r="EC347" i="7"/>
  <c r="DX347" i="7"/>
  <c r="M347" i="7"/>
  <c r="CC350" i="7"/>
  <c r="CX349" i="7"/>
  <c r="CA349" i="7"/>
  <c r="CV348" i="7"/>
  <c r="CE348" i="7"/>
  <c r="CZ347" i="7"/>
  <c r="AM347" i="7"/>
  <c r="BU350" i="7"/>
  <c r="CP349" i="7"/>
  <c r="BW349" i="7"/>
  <c r="CR348" i="7"/>
  <c r="BH346" i="7"/>
  <c r="N347" i="7"/>
  <c r="CI349" i="7"/>
  <c r="DD348" i="7"/>
  <c r="DS348" i="7"/>
  <c r="BK337" i="7"/>
  <c r="D337" i="7"/>
  <c r="AK338" i="7"/>
  <c r="BV349" i="7"/>
  <c r="CQ348" i="7"/>
  <c r="BD345" i="7"/>
  <c r="BF345" i="7"/>
  <c r="BE345" i="7"/>
  <c r="CM349" i="7"/>
  <c r="DH348" i="7"/>
  <c r="C337" i="7"/>
  <c r="F337" i="7" s="1"/>
  <c r="BJ337" i="7"/>
  <c r="BM337" i="7" s="1"/>
  <c r="B337" i="7" s="1"/>
  <c r="AJ338" i="7"/>
  <c r="BX349" i="7"/>
  <c r="CS348" i="7"/>
  <c r="BT349" i="7"/>
  <c r="CO348" i="7"/>
  <c r="EO348" i="7"/>
  <c r="BP344" i="7"/>
  <c r="BQ344" i="7" s="1"/>
  <c r="H344" i="7" l="1"/>
  <c r="G344" i="7"/>
  <c r="BP346" i="7"/>
  <c r="BV350" i="7"/>
  <c r="CQ349" i="7"/>
  <c r="CE349" i="7"/>
  <c r="CZ348" i="7"/>
  <c r="AM348" i="7"/>
  <c r="CC351" i="7"/>
  <c r="CX350" i="7"/>
  <c r="BO346" i="7"/>
  <c r="BQ346" i="7" s="1"/>
  <c r="CH349" i="7"/>
  <c r="DC348" i="7"/>
  <c r="BN348" i="7"/>
  <c r="N348" i="7"/>
  <c r="CF349" i="7"/>
  <c r="DA348" i="7"/>
  <c r="AN348" i="7"/>
  <c r="CD350" i="7"/>
  <c r="CY349" i="7"/>
  <c r="DR347" i="7"/>
  <c r="BX350" i="7"/>
  <c r="CS349" i="7"/>
  <c r="CI350" i="7"/>
  <c r="DD349" i="7"/>
  <c r="DS349" i="7"/>
  <c r="BB347" i="7"/>
  <c r="DQ347" i="7" s="1"/>
  <c r="AX347" i="7"/>
  <c r="DM347" i="7" s="1"/>
  <c r="AT347" i="7"/>
  <c r="DI347" i="7" s="1"/>
  <c r="BA347" i="7"/>
  <c r="DP347" i="7" s="1"/>
  <c r="AW347" i="7"/>
  <c r="DL347" i="7" s="1"/>
  <c r="AZ347" i="7"/>
  <c r="DO347" i="7" s="1"/>
  <c r="AV347" i="7"/>
  <c r="DK347" i="7" s="1"/>
  <c r="BC347" i="7"/>
  <c r="AY347" i="7"/>
  <c r="DN347" i="7" s="1"/>
  <c r="AU347" i="7"/>
  <c r="DJ347" i="7" s="1"/>
  <c r="AF347" i="7"/>
  <c r="AI347" i="7" s="1"/>
  <c r="AG347" i="7"/>
  <c r="AH347" i="7"/>
  <c r="CJ350" i="7"/>
  <c r="DE349" i="7"/>
  <c r="P348" i="7"/>
  <c r="BK338" i="7"/>
  <c r="D338" i="7"/>
  <c r="AK339" i="7"/>
  <c r="BJ338" i="7"/>
  <c r="BM338" i="7" s="1"/>
  <c r="B338" i="7" s="1"/>
  <c r="C338" i="7"/>
  <c r="F338" i="7" s="1"/>
  <c r="AJ339" i="7"/>
  <c r="BU351" i="7"/>
  <c r="CP350" i="7"/>
  <c r="EO349" i="7"/>
  <c r="BT350" i="7"/>
  <c r="CO349" i="7"/>
  <c r="CM350" i="7"/>
  <c r="DH349" i="7"/>
  <c r="AP347" i="7"/>
  <c r="AR347" i="7"/>
  <c r="BI347" i="7" s="1"/>
  <c r="AQ347" i="7"/>
  <c r="BW350" i="7"/>
  <c r="CR349" i="7"/>
  <c r="BG347" i="7"/>
  <c r="CA350" i="7"/>
  <c r="CV349" i="7"/>
  <c r="DG350" i="7"/>
  <c r="EM350" i="7"/>
  <c r="CL351" i="7"/>
  <c r="BY351" i="7"/>
  <c r="CT350" i="7"/>
  <c r="CG350" i="7"/>
  <c r="DB349" i="7"/>
  <c r="AO349" i="7"/>
  <c r="BZ350" i="7"/>
  <c r="CU349" i="7"/>
  <c r="EN349" i="7"/>
  <c r="BH347" i="7"/>
  <c r="CB350" i="7"/>
  <c r="CW349" i="7"/>
  <c r="CK351" i="7"/>
  <c r="DF350" i="7"/>
  <c r="BF346" i="7"/>
  <c r="BE346" i="7"/>
  <c r="BD346" i="7"/>
  <c r="BP345" i="7"/>
  <c r="BQ345" i="7" s="1"/>
  <c r="EA348" i="7"/>
  <c r="DV348" i="7"/>
  <c r="BS349" i="7"/>
  <c r="EF348" i="7"/>
  <c r="DZ348" i="7"/>
  <c r="CN348" i="7"/>
  <c r="BO347" i="7" s="1"/>
  <c r="EC348" i="7"/>
  <c r="DX348" i="7"/>
  <c r="EB348" i="7"/>
  <c r="DW348" i="7"/>
  <c r="M348" i="7"/>
  <c r="E338" i="7"/>
  <c r="BL338" i="7"/>
  <c r="AL339" i="7"/>
  <c r="BP347" i="7" l="1"/>
  <c r="BQ347" i="7" s="1"/>
  <c r="DP348" i="7"/>
  <c r="BA348" i="7"/>
  <c r="AW348" i="7"/>
  <c r="DL348" i="7" s="1"/>
  <c r="AZ348" i="7"/>
  <c r="DO348" i="7" s="1"/>
  <c r="AV348" i="7"/>
  <c r="DK348" i="7" s="1"/>
  <c r="BC348" i="7"/>
  <c r="AY348" i="7"/>
  <c r="DN348" i="7" s="1"/>
  <c r="AU348" i="7"/>
  <c r="DJ348" i="7" s="1"/>
  <c r="BB348" i="7"/>
  <c r="DQ348" i="7" s="1"/>
  <c r="AX348" i="7"/>
  <c r="DM348" i="7" s="1"/>
  <c r="AT348" i="7"/>
  <c r="DI348" i="7" s="1"/>
  <c r="AH348" i="7"/>
  <c r="AG348" i="7"/>
  <c r="AF348" i="7"/>
  <c r="AI348" i="7" s="1"/>
  <c r="BS350" i="7"/>
  <c r="EF349" i="7"/>
  <c r="DZ349" i="7"/>
  <c r="CN349" i="7"/>
  <c r="EC349" i="7"/>
  <c r="DX349" i="7"/>
  <c r="EB349" i="7"/>
  <c r="DW349" i="7"/>
  <c r="EA349" i="7"/>
  <c r="DV349" i="7"/>
  <c r="M349" i="7"/>
  <c r="CK352" i="7"/>
  <c r="DF351" i="7"/>
  <c r="BY352" i="7"/>
  <c r="CT351" i="7"/>
  <c r="BW351" i="7"/>
  <c r="CR350" i="7"/>
  <c r="CM351" i="7"/>
  <c r="DH350" i="7"/>
  <c r="CJ351" i="7"/>
  <c r="DE350" i="7"/>
  <c r="DS350" i="7"/>
  <c r="CI351" i="7"/>
  <c r="DD350" i="7"/>
  <c r="AN349" i="7"/>
  <c r="CF350" i="7"/>
  <c r="DA349" i="7"/>
  <c r="CH350" i="7"/>
  <c r="DC349" i="7"/>
  <c r="BN349" i="7"/>
  <c r="BV351" i="7"/>
  <c r="CQ350" i="7"/>
  <c r="E339" i="7"/>
  <c r="BL339" i="7"/>
  <c r="AL340" i="7"/>
  <c r="CG351" i="7"/>
  <c r="DB350" i="7"/>
  <c r="AO350" i="7"/>
  <c r="EM351" i="7"/>
  <c r="DG351" i="7"/>
  <c r="CL352" i="7"/>
  <c r="CA351" i="7"/>
  <c r="CV350" i="7"/>
  <c r="BU352" i="7"/>
  <c r="CP351" i="7"/>
  <c r="D339" i="7"/>
  <c r="BK339" i="7"/>
  <c r="AK340" i="7"/>
  <c r="N349" i="7"/>
  <c r="CD351" i="7"/>
  <c r="CY350" i="7"/>
  <c r="AR348" i="7"/>
  <c r="BI348" i="7" s="1"/>
  <c r="AQ348" i="7"/>
  <c r="AP348" i="7"/>
  <c r="BG348" i="7" s="1"/>
  <c r="H346" i="7"/>
  <c r="G346" i="7"/>
  <c r="G345" i="7"/>
  <c r="H345" i="7"/>
  <c r="CB351" i="7"/>
  <c r="CW350" i="7"/>
  <c r="BZ351" i="7"/>
  <c r="CU350" i="7"/>
  <c r="EN350" i="7"/>
  <c r="EO350" i="7"/>
  <c r="BT351" i="7"/>
  <c r="CO350" i="7"/>
  <c r="BJ339" i="7"/>
  <c r="BM339" i="7" s="1"/>
  <c r="B339" i="7" s="1"/>
  <c r="C339" i="7"/>
  <c r="F339" i="7" s="1"/>
  <c r="AJ340" i="7"/>
  <c r="P349" i="7"/>
  <c r="N350" i="7" s="1"/>
  <c r="BX351" i="7"/>
  <c r="CS350" i="7"/>
  <c r="BH348" i="7"/>
  <c r="CE350" i="7"/>
  <c r="CZ349" i="7"/>
  <c r="AM349" i="7"/>
  <c r="BF347" i="7"/>
  <c r="BE347" i="7"/>
  <c r="BD347" i="7"/>
  <c r="DR348" i="7"/>
  <c r="CC352" i="7"/>
  <c r="CX351" i="7"/>
  <c r="BP348" i="7" l="1"/>
  <c r="H347" i="7"/>
  <c r="G347" i="7"/>
  <c r="CC353" i="7"/>
  <c r="CX352" i="7"/>
  <c r="AQ350" i="7"/>
  <c r="AP350" i="7"/>
  <c r="AR350" i="7"/>
  <c r="CB352" i="7"/>
  <c r="CW351" i="7"/>
  <c r="CD352" i="7"/>
  <c r="CY351" i="7"/>
  <c r="CA352" i="7"/>
  <c r="CV351" i="7"/>
  <c r="BI350" i="7"/>
  <c r="CI352" i="7"/>
  <c r="DD351" i="7"/>
  <c r="DS351" i="7"/>
  <c r="AZ349" i="7"/>
  <c r="DO349" i="7" s="1"/>
  <c r="AV349" i="7"/>
  <c r="DK349" i="7" s="1"/>
  <c r="BC349" i="7"/>
  <c r="AY349" i="7"/>
  <c r="DN349" i="7" s="1"/>
  <c r="AU349" i="7"/>
  <c r="DJ349" i="7" s="1"/>
  <c r="BB349" i="7"/>
  <c r="DQ349" i="7" s="1"/>
  <c r="AX349" i="7"/>
  <c r="DM349" i="7" s="1"/>
  <c r="AT349" i="7"/>
  <c r="BA349" i="7"/>
  <c r="DP349" i="7" s="1"/>
  <c r="AW349" i="7"/>
  <c r="DL349" i="7" s="1"/>
  <c r="AG349" i="7"/>
  <c r="AF349" i="7"/>
  <c r="AI349" i="7" s="1"/>
  <c r="AH349" i="7"/>
  <c r="DR349" i="7"/>
  <c r="AR349" i="7"/>
  <c r="BI349" i="7" s="1"/>
  <c r="AQ349" i="7"/>
  <c r="AP349" i="7"/>
  <c r="BG349" i="7" s="1"/>
  <c r="EM352" i="7"/>
  <c r="DG352" i="7"/>
  <c r="CL353" i="7"/>
  <c r="CF351" i="7"/>
  <c r="DA350" i="7"/>
  <c r="AN350" i="7"/>
  <c r="BH350" i="7" s="1"/>
  <c r="P350" i="7"/>
  <c r="CM352" i="7"/>
  <c r="DH351" i="7"/>
  <c r="BY353" i="7"/>
  <c r="CT352" i="7"/>
  <c r="C340" i="7"/>
  <c r="F340" i="7" s="1"/>
  <c r="BJ340" i="7"/>
  <c r="BM340" i="7" s="1"/>
  <c r="B340" i="7" s="1"/>
  <c r="AJ341" i="7"/>
  <c r="BT352" i="7"/>
  <c r="CO351" i="7"/>
  <c r="EO351" i="7"/>
  <c r="EN351" i="7"/>
  <c r="BZ352" i="7"/>
  <c r="CU351" i="7"/>
  <c r="D340" i="7"/>
  <c r="BK340" i="7"/>
  <c r="AK341" i="7"/>
  <c r="BU353" i="7"/>
  <c r="CP352" i="7"/>
  <c r="CG352" i="7"/>
  <c r="DB351" i="7"/>
  <c r="AO351" i="7"/>
  <c r="BH349" i="7"/>
  <c r="EC350" i="7"/>
  <c r="DX350" i="7"/>
  <c r="EB350" i="7"/>
  <c r="DW350" i="7"/>
  <c r="EA350" i="7"/>
  <c r="DV350" i="7"/>
  <c r="BS351" i="7"/>
  <c r="EF350" i="7"/>
  <c r="DZ350" i="7"/>
  <c r="CN350" i="7"/>
  <c r="M350" i="7"/>
  <c r="BE348" i="7"/>
  <c r="BD348" i="7"/>
  <c r="BF348" i="7"/>
  <c r="AM350" i="7"/>
  <c r="BG350" i="7" s="1"/>
  <c r="CE351" i="7"/>
  <c r="CZ350" i="7"/>
  <c r="BX352" i="7"/>
  <c r="CS351" i="7"/>
  <c r="BL340" i="7"/>
  <c r="E340" i="7"/>
  <c r="AL341" i="7"/>
  <c r="BV352" i="7"/>
  <c r="CQ351" i="7"/>
  <c r="CH351" i="7"/>
  <c r="DC350" i="7"/>
  <c r="BN350" i="7"/>
  <c r="CJ352" i="7"/>
  <c r="DE351" i="7"/>
  <c r="BW352" i="7"/>
  <c r="CR351" i="7"/>
  <c r="CK353" i="7"/>
  <c r="DF352" i="7"/>
  <c r="BO348" i="7"/>
  <c r="BQ348" i="7" s="1"/>
  <c r="EB351" i="7" l="1"/>
  <c r="DW351" i="7"/>
  <c r="EA351" i="7"/>
  <c r="DV351" i="7"/>
  <c r="BS352" i="7"/>
  <c r="EF351" i="7"/>
  <c r="DZ351" i="7"/>
  <c r="CN351" i="7"/>
  <c r="EC351" i="7"/>
  <c r="DX351" i="7"/>
  <c r="M351" i="7"/>
  <c r="H348" i="7"/>
  <c r="G348" i="7"/>
  <c r="BW353" i="7"/>
  <c r="CR352" i="7"/>
  <c r="BL341" i="7"/>
  <c r="E341" i="7"/>
  <c r="AL342" i="7"/>
  <c r="BO349" i="7"/>
  <c r="BK341" i="7"/>
  <c r="D341" i="7"/>
  <c r="AK342" i="7"/>
  <c r="BZ353" i="7"/>
  <c r="CU352" i="7"/>
  <c r="EN352" i="7"/>
  <c r="BT353" i="7"/>
  <c r="CO352" i="7"/>
  <c r="EO352" i="7"/>
  <c r="N351" i="7"/>
  <c r="CF352" i="7"/>
  <c r="DA351" i="7"/>
  <c r="AN351" i="7"/>
  <c r="CA353" i="7"/>
  <c r="CV352" i="7"/>
  <c r="CB353" i="7"/>
  <c r="CW352" i="7"/>
  <c r="CC354" i="7"/>
  <c r="CX353" i="7"/>
  <c r="BX353" i="7"/>
  <c r="CS352" i="7"/>
  <c r="BN351" i="7"/>
  <c r="CH352" i="7"/>
  <c r="DC351" i="7"/>
  <c r="AO352" i="7"/>
  <c r="CG353" i="7"/>
  <c r="DB352" i="7"/>
  <c r="C341" i="7"/>
  <c r="F341" i="7" s="1"/>
  <c r="BJ341" i="7"/>
  <c r="BM341" i="7" s="1"/>
  <c r="B341" i="7" s="1"/>
  <c r="AJ342" i="7"/>
  <c r="BY354" i="7"/>
  <c r="CT353" i="7"/>
  <c r="CI353" i="7"/>
  <c r="DD352" i="7"/>
  <c r="DS352" i="7"/>
  <c r="BV353" i="7"/>
  <c r="CQ352" i="7"/>
  <c r="CK354" i="7"/>
  <c r="DF353" i="7"/>
  <c r="CJ353" i="7"/>
  <c r="DE352" i="7"/>
  <c r="CE352" i="7"/>
  <c r="CZ351" i="7"/>
  <c r="AM351" i="7"/>
  <c r="DG353" i="7"/>
  <c r="EM353" i="7"/>
  <c r="CL354" i="7"/>
  <c r="CD353" i="7"/>
  <c r="CY352" i="7"/>
  <c r="BC350" i="7"/>
  <c r="DR350" i="7" s="1"/>
  <c r="AY350" i="7"/>
  <c r="DN350" i="7" s="1"/>
  <c r="AU350" i="7"/>
  <c r="DJ350" i="7" s="1"/>
  <c r="BB350" i="7"/>
  <c r="DQ350" i="7" s="1"/>
  <c r="AX350" i="7"/>
  <c r="DM350" i="7" s="1"/>
  <c r="AT350" i="7"/>
  <c r="BA350" i="7"/>
  <c r="DP350" i="7" s="1"/>
  <c r="AW350" i="7"/>
  <c r="DL350" i="7" s="1"/>
  <c r="AZ350" i="7"/>
  <c r="DO350" i="7" s="1"/>
  <c r="AV350" i="7"/>
  <c r="DK350" i="7" s="1"/>
  <c r="AF350" i="7"/>
  <c r="AI350" i="7" s="1"/>
  <c r="AG350" i="7"/>
  <c r="AH350" i="7"/>
  <c r="BU354" i="7"/>
  <c r="CP353" i="7"/>
  <c r="CM353" i="7"/>
  <c r="DH352" i="7"/>
  <c r="BD349" i="7"/>
  <c r="BF349" i="7"/>
  <c r="BE349" i="7"/>
  <c r="P351" i="7"/>
  <c r="N352" i="7" s="1"/>
  <c r="DI349" i="7"/>
  <c r="BP349" i="7" s="1"/>
  <c r="P352" i="7" l="1"/>
  <c r="BY355" i="7"/>
  <c r="CT354" i="7"/>
  <c r="CH353" i="7"/>
  <c r="DC352" i="7"/>
  <c r="BN352" i="7"/>
  <c r="BZ354" i="7"/>
  <c r="CU353" i="7"/>
  <c r="EN353" i="7"/>
  <c r="BQ349" i="7"/>
  <c r="BB351" i="7"/>
  <c r="DQ351" i="7" s="1"/>
  <c r="AX351" i="7"/>
  <c r="DM351" i="7" s="1"/>
  <c r="AT351" i="7"/>
  <c r="BA351" i="7"/>
  <c r="DP351" i="7" s="1"/>
  <c r="AW351" i="7"/>
  <c r="DL351" i="7" s="1"/>
  <c r="AZ351" i="7"/>
  <c r="DO351" i="7" s="1"/>
  <c r="AV351" i="7"/>
  <c r="DK351" i="7" s="1"/>
  <c r="BC351" i="7"/>
  <c r="DR351" i="7" s="1"/>
  <c r="AY351" i="7"/>
  <c r="DN351" i="7" s="1"/>
  <c r="AU351" i="7"/>
  <c r="DJ351" i="7" s="1"/>
  <c r="AF351" i="7"/>
  <c r="AI351" i="7" s="1"/>
  <c r="AG351" i="7"/>
  <c r="AH351" i="7"/>
  <c r="AR352" i="7"/>
  <c r="AQ352" i="7"/>
  <c r="AP352" i="7"/>
  <c r="CE353" i="7"/>
  <c r="CZ352" i="7"/>
  <c r="AM352" i="7"/>
  <c r="BG352" i="7" s="1"/>
  <c r="CK355" i="7"/>
  <c r="DF354" i="7"/>
  <c r="BJ342" i="7"/>
  <c r="BM342" i="7" s="1"/>
  <c r="B342" i="7" s="1"/>
  <c r="C342" i="7"/>
  <c r="F342" i="7" s="1"/>
  <c r="AJ343" i="7"/>
  <c r="CG354" i="7"/>
  <c r="DB353" i="7"/>
  <c r="AO353" i="7"/>
  <c r="CC355" i="7"/>
  <c r="CX354" i="7"/>
  <c r="CA354" i="7"/>
  <c r="CV353" i="7"/>
  <c r="CF353" i="7"/>
  <c r="DA352" i="7"/>
  <c r="AN352" i="7"/>
  <c r="BH352" i="7" s="1"/>
  <c r="EO353" i="7"/>
  <c r="BT354" i="7"/>
  <c r="CO353" i="7"/>
  <c r="BK342" i="7"/>
  <c r="D342" i="7"/>
  <c r="AK343" i="7"/>
  <c r="E342" i="7"/>
  <c r="BL342" i="7"/>
  <c r="AL343" i="7"/>
  <c r="BW354" i="7"/>
  <c r="CR353" i="7"/>
  <c r="BF350" i="7"/>
  <c r="BE350" i="7"/>
  <c r="BD350" i="7"/>
  <c r="DG354" i="7"/>
  <c r="EM354" i="7"/>
  <c r="CL355" i="7"/>
  <c r="CM354" i="7"/>
  <c r="DH353" i="7"/>
  <c r="DI350" i="7"/>
  <c r="DI351" i="7" s="1"/>
  <c r="CI354" i="7"/>
  <c r="DD353" i="7"/>
  <c r="DS353" i="7"/>
  <c r="BI352" i="7"/>
  <c r="AP351" i="7"/>
  <c r="AR351" i="7"/>
  <c r="BI351" i="7" s="1"/>
  <c r="AQ351" i="7"/>
  <c r="EA352" i="7"/>
  <c r="DV352" i="7"/>
  <c r="BS353" i="7"/>
  <c r="EF352" i="7"/>
  <c r="DZ352" i="7"/>
  <c r="CN352" i="7"/>
  <c r="BO351" i="7" s="1"/>
  <c r="EC352" i="7"/>
  <c r="DX352" i="7"/>
  <c r="EB352" i="7"/>
  <c r="DW352" i="7"/>
  <c r="M352" i="7"/>
  <c r="BU355" i="7"/>
  <c r="CP354" i="7"/>
  <c r="CD354" i="7"/>
  <c r="CY353" i="7"/>
  <c r="BG351" i="7"/>
  <c r="CJ354" i="7"/>
  <c r="DE353" i="7"/>
  <c r="BV354" i="7"/>
  <c r="CQ353" i="7"/>
  <c r="BX354" i="7"/>
  <c r="CS353" i="7"/>
  <c r="CB354" i="7"/>
  <c r="CW353" i="7"/>
  <c r="BH351" i="7"/>
  <c r="BO350" i="7"/>
  <c r="BP351" i="7" l="1"/>
  <c r="BQ351" i="7" s="1"/>
  <c r="CJ355" i="7"/>
  <c r="DE354" i="7"/>
  <c r="CB355" i="7"/>
  <c r="CW354" i="7"/>
  <c r="BV355" i="7"/>
  <c r="CQ354" i="7"/>
  <c r="BA352" i="7"/>
  <c r="DP352" i="7" s="1"/>
  <c r="AW352" i="7"/>
  <c r="DL352" i="7" s="1"/>
  <c r="AZ352" i="7"/>
  <c r="DO352" i="7" s="1"/>
  <c r="AV352" i="7"/>
  <c r="DK352" i="7" s="1"/>
  <c r="BC352" i="7"/>
  <c r="DR352" i="7" s="1"/>
  <c r="AY352" i="7"/>
  <c r="DN352" i="7" s="1"/>
  <c r="AU352" i="7"/>
  <c r="DJ352" i="7" s="1"/>
  <c r="BB352" i="7"/>
  <c r="DQ352" i="7" s="1"/>
  <c r="AX352" i="7"/>
  <c r="DM352" i="7" s="1"/>
  <c r="AT352" i="7"/>
  <c r="AG352" i="7"/>
  <c r="AF352" i="7"/>
  <c r="AI352" i="7" s="1"/>
  <c r="AH352" i="7"/>
  <c r="BS354" i="7"/>
  <c r="EF353" i="7"/>
  <c r="DZ353" i="7"/>
  <c r="CN353" i="7"/>
  <c r="EC353" i="7"/>
  <c r="DX353" i="7"/>
  <c r="EB353" i="7"/>
  <c r="DW353" i="7"/>
  <c r="EA353" i="7"/>
  <c r="DV353" i="7"/>
  <c r="M353" i="7"/>
  <c r="DS354" i="7"/>
  <c r="CI355" i="7"/>
  <c r="DD354" i="7"/>
  <c r="EM355" i="7"/>
  <c r="DG355" i="7"/>
  <c r="CL356" i="7"/>
  <c r="E343" i="7"/>
  <c r="BL343" i="7"/>
  <c r="AL344" i="7"/>
  <c r="BJ343" i="7"/>
  <c r="BM343" i="7" s="1"/>
  <c r="B343" i="7" s="1"/>
  <c r="C343" i="7"/>
  <c r="F343" i="7" s="1"/>
  <c r="AJ344" i="7"/>
  <c r="CK356" i="7"/>
  <c r="DF355" i="7"/>
  <c r="BF351" i="7"/>
  <c r="BE351" i="7"/>
  <c r="BD351" i="7"/>
  <c r="CD355" i="7"/>
  <c r="CY354" i="7"/>
  <c r="DI352" i="7"/>
  <c r="CA355" i="7"/>
  <c r="CV354" i="7"/>
  <c r="CH354" i="7"/>
  <c r="DC353" i="7"/>
  <c r="BN353" i="7"/>
  <c r="N353" i="7"/>
  <c r="P353" i="7"/>
  <c r="N354" i="7" s="1"/>
  <c r="BZ355" i="7"/>
  <c r="CU354" i="7"/>
  <c r="EN354" i="7"/>
  <c r="BX355" i="7"/>
  <c r="CS354" i="7"/>
  <c r="BU356" i="7"/>
  <c r="CP355" i="7"/>
  <c r="CM355" i="7"/>
  <c r="DH354" i="7"/>
  <c r="BW355" i="7"/>
  <c r="CR354" i="7"/>
  <c r="D343" i="7"/>
  <c r="BK343" i="7"/>
  <c r="AK344" i="7"/>
  <c r="EO354" i="7"/>
  <c r="BT355" i="7"/>
  <c r="CO354" i="7"/>
  <c r="AN353" i="7"/>
  <c r="CF354" i="7"/>
  <c r="DA353" i="7"/>
  <c r="CC356" i="7"/>
  <c r="CX355" i="7"/>
  <c r="CG355" i="7"/>
  <c r="DB354" i="7"/>
  <c r="AO354" i="7"/>
  <c r="CE354" i="7"/>
  <c r="CZ353" i="7"/>
  <c r="AM353" i="7"/>
  <c r="G349" i="7"/>
  <c r="H349" i="7"/>
  <c r="BY356" i="7"/>
  <c r="CT355" i="7"/>
  <c r="BP350" i="7"/>
  <c r="BQ350" i="7" s="1"/>
  <c r="BP352" i="7" l="1"/>
  <c r="H350" i="7"/>
  <c r="G350" i="7"/>
  <c r="H351" i="7"/>
  <c r="G351" i="7"/>
  <c r="AM354" i="7"/>
  <c r="CE355" i="7"/>
  <c r="CZ354" i="7"/>
  <c r="D344" i="7"/>
  <c r="BK344" i="7"/>
  <c r="AK345" i="7"/>
  <c r="BW356" i="7"/>
  <c r="CR355" i="7"/>
  <c r="BU357" i="7"/>
  <c r="CP356" i="7"/>
  <c r="CH355" i="7"/>
  <c r="DC354" i="7"/>
  <c r="BN354" i="7"/>
  <c r="C344" i="7"/>
  <c r="F344" i="7" s="1"/>
  <c r="BJ344" i="7"/>
  <c r="BM344" i="7" s="1"/>
  <c r="B344" i="7" s="1"/>
  <c r="AJ345" i="7"/>
  <c r="AZ353" i="7"/>
  <c r="DO353" i="7" s="1"/>
  <c r="AV353" i="7"/>
  <c r="DK353" i="7" s="1"/>
  <c r="BC353" i="7"/>
  <c r="DR353" i="7" s="1"/>
  <c r="AY353" i="7"/>
  <c r="DN353" i="7" s="1"/>
  <c r="AU353" i="7"/>
  <c r="DJ353" i="7" s="1"/>
  <c r="BB353" i="7"/>
  <c r="DQ353" i="7" s="1"/>
  <c r="AX353" i="7"/>
  <c r="DM353" i="7" s="1"/>
  <c r="AT353" i="7"/>
  <c r="BA353" i="7"/>
  <c r="DP353" i="7" s="1"/>
  <c r="AW353" i="7"/>
  <c r="DL353" i="7" s="1"/>
  <c r="AG353" i="7"/>
  <c r="AF353" i="7"/>
  <c r="AI353" i="7" s="1"/>
  <c r="AH353" i="7"/>
  <c r="BY357" i="7"/>
  <c r="CT356" i="7"/>
  <c r="BH353" i="7"/>
  <c r="CC357" i="7"/>
  <c r="CX356" i="7"/>
  <c r="AR353" i="7"/>
  <c r="BI353" i="7" s="1"/>
  <c r="AQ353" i="7"/>
  <c r="AP353" i="7"/>
  <c r="BG353" i="7" s="1"/>
  <c r="BV356" i="7"/>
  <c r="CQ355" i="7"/>
  <c r="CJ356" i="7"/>
  <c r="DE355" i="7"/>
  <c r="BT356" i="7"/>
  <c r="CO355" i="7"/>
  <c r="EO355" i="7"/>
  <c r="CM356" i="7"/>
  <c r="DH355" i="7"/>
  <c r="BX356" i="7"/>
  <c r="CS355" i="7"/>
  <c r="EN355" i="7"/>
  <c r="BZ356" i="7"/>
  <c r="CU355" i="7"/>
  <c r="CD356" i="7"/>
  <c r="CY355" i="7"/>
  <c r="EM356" i="7"/>
  <c r="DG356" i="7"/>
  <c r="CL357" i="7"/>
  <c r="CI356" i="7"/>
  <c r="DD355" i="7"/>
  <c r="DS355" i="7"/>
  <c r="EC354" i="7"/>
  <c r="DX354" i="7"/>
  <c r="EB354" i="7"/>
  <c r="DW354" i="7"/>
  <c r="EA354" i="7"/>
  <c r="DV354" i="7"/>
  <c r="BS355" i="7"/>
  <c r="EF354" i="7"/>
  <c r="DZ354" i="7"/>
  <c r="CN354" i="7"/>
  <c r="M354" i="7"/>
  <c r="BE352" i="7"/>
  <c r="BD352" i="7"/>
  <c r="BF352" i="7"/>
  <c r="CG356" i="7"/>
  <c r="DB355" i="7"/>
  <c r="AO355" i="7"/>
  <c r="CF355" i="7"/>
  <c r="DA354" i="7"/>
  <c r="AN354" i="7"/>
  <c r="BH354" i="7" s="1"/>
  <c r="AQ354" i="7"/>
  <c r="AP354" i="7"/>
  <c r="AR354" i="7"/>
  <c r="BI354" i="7" s="1"/>
  <c r="CA356" i="7"/>
  <c r="CV355" i="7"/>
  <c r="CK357" i="7"/>
  <c r="DF356" i="7"/>
  <c r="BL344" i="7"/>
  <c r="E344" i="7"/>
  <c r="AL345" i="7"/>
  <c r="P354" i="7"/>
  <c r="N355" i="7" s="1"/>
  <c r="BO352" i="7"/>
  <c r="BQ352" i="7" s="1"/>
  <c r="CB356" i="7"/>
  <c r="CW355" i="7"/>
  <c r="H352" i="7" l="1"/>
  <c r="G352" i="7"/>
  <c r="P355" i="7"/>
  <c r="CJ357" i="7"/>
  <c r="DE356" i="7"/>
  <c r="BD353" i="7"/>
  <c r="BF353" i="7"/>
  <c r="BE353" i="7"/>
  <c r="C345" i="7"/>
  <c r="F345" i="7" s="1"/>
  <c r="BJ345" i="7"/>
  <c r="BM345" i="7" s="1"/>
  <c r="B345" i="7" s="1"/>
  <c r="AJ346" i="7"/>
  <c r="BU358" i="7"/>
  <c r="CP357" i="7"/>
  <c r="BG354" i="7"/>
  <c r="BC354" i="7"/>
  <c r="DR354" i="7" s="1"/>
  <c r="AY354" i="7"/>
  <c r="DN354" i="7" s="1"/>
  <c r="AU354" i="7"/>
  <c r="DJ354" i="7" s="1"/>
  <c r="BB354" i="7"/>
  <c r="DQ354" i="7" s="1"/>
  <c r="AX354" i="7"/>
  <c r="DM354" i="7" s="1"/>
  <c r="AT354" i="7"/>
  <c r="BA354" i="7"/>
  <c r="DP354" i="7" s="1"/>
  <c r="AW354" i="7"/>
  <c r="DL354" i="7" s="1"/>
  <c r="AZ354" i="7"/>
  <c r="DO354" i="7" s="1"/>
  <c r="AV354" i="7"/>
  <c r="DK354" i="7" s="1"/>
  <c r="AG354" i="7"/>
  <c r="AH354" i="7"/>
  <c r="AF354" i="7"/>
  <c r="AI354" i="7" s="1"/>
  <c r="EB355" i="7"/>
  <c r="DW355" i="7"/>
  <c r="EA355" i="7"/>
  <c r="DV355" i="7"/>
  <c r="BS356" i="7"/>
  <c r="EF355" i="7"/>
  <c r="DZ355" i="7"/>
  <c r="CN355" i="7"/>
  <c r="EC355" i="7"/>
  <c r="DX355" i="7"/>
  <c r="M355" i="7"/>
  <c r="BX357" i="7"/>
  <c r="CS356" i="7"/>
  <c r="AP355" i="7"/>
  <c r="AR355" i="7"/>
  <c r="AQ355" i="7"/>
  <c r="CF356" i="7"/>
  <c r="DA355" i="7"/>
  <c r="AN355" i="7"/>
  <c r="BO353" i="7"/>
  <c r="CI357" i="7"/>
  <c r="DD356" i="7"/>
  <c r="DS356" i="7"/>
  <c r="BZ357" i="7"/>
  <c r="CU356" i="7"/>
  <c r="EN356" i="7"/>
  <c r="BT357" i="7"/>
  <c r="CO356" i="7"/>
  <c r="EO356" i="7"/>
  <c r="BV357" i="7"/>
  <c r="CQ356" i="7"/>
  <c r="CC358" i="7"/>
  <c r="CX357" i="7"/>
  <c r="BY358" i="7"/>
  <c r="CT357" i="7"/>
  <c r="BN355" i="7"/>
  <c r="CH356" i="7"/>
  <c r="DC355" i="7"/>
  <c r="BW357" i="7"/>
  <c r="CR356" i="7"/>
  <c r="CA357" i="7"/>
  <c r="CV356" i="7"/>
  <c r="AO356" i="7"/>
  <c r="CG357" i="7"/>
  <c r="DB356" i="7"/>
  <c r="CB357" i="7"/>
  <c r="CW356" i="7"/>
  <c r="BL345" i="7"/>
  <c r="E345" i="7"/>
  <c r="AL346" i="7"/>
  <c r="CK358" i="7"/>
  <c r="DF357" i="7"/>
  <c r="BI355" i="7"/>
  <c r="DG357" i="7"/>
  <c r="EM357" i="7"/>
  <c r="CL358" i="7"/>
  <c r="CD357" i="7"/>
  <c r="CY356" i="7"/>
  <c r="CM357" i="7"/>
  <c r="DH356" i="7"/>
  <c r="DI353" i="7"/>
  <c r="DI354" i="7" s="1"/>
  <c r="BK345" i="7"/>
  <c r="D345" i="7"/>
  <c r="AK346" i="7"/>
  <c r="CE356" i="7"/>
  <c r="CZ355" i="7"/>
  <c r="AM355" i="7"/>
  <c r="BG355" i="7" s="1"/>
  <c r="BP354" i="7" l="1"/>
  <c r="E346" i="7"/>
  <c r="BL346" i="7"/>
  <c r="AL347" i="7"/>
  <c r="CD358" i="7"/>
  <c r="CY357" i="7"/>
  <c r="CA358" i="7"/>
  <c r="CV357" i="7"/>
  <c r="CH357" i="7"/>
  <c r="DC356" i="7"/>
  <c r="BN356" i="7"/>
  <c r="CI358" i="7"/>
  <c r="DD357" i="7"/>
  <c r="DS357" i="7"/>
  <c r="CF357" i="7"/>
  <c r="DA356" i="7"/>
  <c r="AN356" i="7"/>
  <c r="BX358" i="7"/>
  <c r="CS357" i="7"/>
  <c r="BO354" i="7"/>
  <c r="BQ354" i="7" s="1"/>
  <c r="CJ358" i="7"/>
  <c r="DE357" i="7"/>
  <c r="BK346" i="7"/>
  <c r="D346" i="7"/>
  <c r="AK347" i="7"/>
  <c r="DG358" i="7"/>
  <c r="EM358" i="7"/>
  <c r="CL359" i="7"/>
  <c r="CG358" i="7"/>
  <c r="DB357" i="7"/>
  <c r="AO357" i="7"/>
  <c r="CC359" i="7"/>
  <c r="CX358" i="7"/>
  <c r="BZ358" i="7"/>
  <c r="CU357" i="7"/>
  <c r="EN357" i="7"/>
  <c r="BB355" i="7"/>
  <c r="DQ355" i="7" s="1"/>
  <c r="AX355" i="7"/>
  <c r="DM355" i="7" s="1"/>
  <c r="AT355" i="7"/>
  <c r="BA355" i="7"/>
  <c r="DP355" i="7" s="1"/>
  <c r="AW355" i="7"/>
  <c r="DL355" i="7" s="1"/>
  <c r="AZ355" i="7"/>
  <c r="DO355" i="7" s="1"/>
  <c r="AV355" i="7"/>
  <c r="DK355" i="7" s="1"/>
  <c r="BC355" i="7"/>
  <c r="DR355" i="7" s="1"/>
  <c r="AY355" i="7"/>
  <c r="DN355" i="7" s="1"/>
  <c r="AU355" i="7"/>
  <c r="DJ355" i="7" s="1"/>
  <c r="AF355" i="7"/>
  <c r="AI355" i="7" s="1"/>
  <c r="AG355" i="7"/>
  <c r="AH355" i="7"/>
  <c r="BJ346" i="7"/>
  <c r="BM346" i="7" s="1"/>
  <c r="B346" i="7" s="1"/>
  <c r="C346" i="7"/>
  <c r="F346" i="7" s="1"/>
  <c r="AJ347" i="7"/>
  <c r="CE357" i="7"/>
  <c r="CZ356" i="7"/>
  <c r="AM356" i="7"/>
  <c r="CM358" i="7"/>
  <c r="DH357" i="7"/>
  <c r="CK359" i="7"/>
  <c r="DF358" i="7"/>
  <c r="BW358" i="7"/>
  <c r="CR357" i="7"/>
  <c r="EO357" i="7"/>
  <c r="BT358" i="7"/>
  <c r="CO357" i="7"/>
  <c r="P356" i="7"/>
  <c r="BH355" i="7"/>
  <c r="N356" i="7"/>
  <c r="CB358" i="7"/>
  <c r="CW357" i="7"/>
  <c r="BY359" i="7"/>
  <c r="CT358" i="7"/>
  <c r="BV358" i="7"/>
  <c r="CQ357" i="7"/>
  <c r="EA356" i="7"/>
  <c r="DV356" i="7"/>
  <c r="BS357" i="7"/>
  <c r="EF356" i="7"/>
  <c r="DZ356" i="7"/>
  <c r="CN356" i="7"/>
  <c r="BO355" i="7" s="1"/>
  <c r="EC356" i="7"/>
  <c r="DX356" i="7"/>
  <c r="EB356" i="7"/>
  <c r="DW356" i="7"/>
  <c r="M356" i="7"/>
  <c r="BF354" i="7"/>
  <c r="BE354" i="7"/>
  <c r="BD354" i="7"/>
  <c r="BU359" i="7"/>
  <c r="CP358" i="7"/>
  <c r="BP353" i="7"/>
  <c r="BQ353" i="7" s="1"/>
  <c r="G353" i="7" l="1"/>
  <c r="H353" i="7"/>
  <c r="BY360" i="7"/>
  <c r="CT359" i="7"/>
  <c r="EO358" i="7"/>
  <c r="BT359" i="7"/>
  <c r="CO358" i="7"/>
  <c r="CM359" i="7"/>
  <c r="DH358" i="7"/>
  <c r="BJ347" i="7"/>
  <c r="BM347" i="7" s="1"/>
  <c r="B347" i="7" s="1"/>
  <c r="C347" i="7"/>
  <c r="F347" i="7" s="1"/>
  <c r="AJ348" i="7"/>
  <c r="BX359" i="7"/>
  <c r="CS358" i="7"/>
  <c r="P357" i="7"/>
  <c r="BF355" i="7"/>
  <c r="BE355" i="7"/>
  <c r="BD355" i="7"/>
  <c r="CC360" i="7"/>
  <c r="CX359" i="7"/>
  <c r="CG359" i="7"/>
  <c r="DB358" i="7"/>
  <c r="AO358" i="7"/>
  <c r="D347" i="7"/>
  <c r="BK347" i="7"/>
  <c r="AK348" i="7"/>
  <c r="CJ359" i="7"/>
  <c r="DE358" i="7"/>
  <c r="CH358" i="7"/>
  <c r="DC357" i="7"/>
  <c r="BN357" i="7"/>
  <c r="CD359" i="7"/>
  <c r="CY358" i="7"/>
  <c r="BA356" i="7"/>
  <c r="DP356" i="7" s="1"/>
  <c r="AW356" i="7"/>
  <c r="DL356" i="7" s="1"/>
  <c r="AZ356" i="7"/>
  <c r="DO356" i="7" s="1"/>
  <c r="AV356" i="7"/>
  <c r="DK356" i="7" s="1"/>
  <c r="BC356" i="7"/>
  <c r="DR356" i="7" s="1"/>
  <c r="AY356" i="7"/>
  <c r="DN356" i="7" s="1"/>
  <c r="AU356" i="7"/>
  <c r="DJ356" i="7" s="1"/>
  <c r="BB356" i="7"/>
  <c r="DQ356" i="7" s="1"/>
  <c r="AX356" i="7"/>
  <c r="DM356" i="7" s="1"/>
  <c r="AT356" i="7"/>
  <c r="AF356" i="7"/>
  <c r="AI356" i="7" s="1"/>
  <c r="AH356" i="7"/>
  <c r="AG356" i="7"/>
  <c r="BS358" i="7"/>
  <c r="EF357" i="7"/>
  <c r="DZ357" i="7"/>
  <c r="CN357" i="7"/>
  <c r="EC357" i="7"/>
  <c r="DX357" i="7"/>
  <c r="EB357" i="7"/>
  <c r="DW357" i="7"/>
  <c r="EA357" i="7"/>
  <c r="DV357" i="7"/>
  <c r="M357" i="7"/>
  <c r="BV359" i="7"/>
  <c r="CQ358" i="7"/>
  <c r="CB359" i="7"/>
  <c r="CW358" i="7"/>
  <c r="N357" i="7"/>
  <c r="CK360" i="7"/>
  <c r="DF359" i="7"/>
  <c r="EM359" i="7"/>
  <c r="DG359" i="7"/>
  <c r="CL360" i="7"/>
  <c r="H354" i="7"/>
  <c r="G354" i="7"/>
  <c r="DS358" i="7"/>
  <c r="CI359" i="7"/>
  <c r="DD358" i="7"/>
  <c r="DI355" i="7"/>
  <c r="DI356" i="7" s="1"/>
  <c r="BU360" i="7"/>
  <c r="CP359" i="7"/>
  <c r="AR356" i="7"/>
  <c r="BI356" i="7" s="1"/>
  <c r="AQ356" i="7"/>
  <c r="BH356" i="7" s="1"/>
  <c r="AP356" i="7"/>
  <c r="BG356" i="7" s="1"/>
  <c r="BW359" i="7"/>
  <c r="CR358" i="7"/>
  <c r="CE358" i="7"/>
  <c r="CZ357" i="7"/>
  <c r="AM357" i="7"/>
  <c r="BZ359" i="7"/>
  <c r="CU358" i="7"/>
  <c r="EN358" i="7"/>
  <c r="AN357" i="7"/>
  <c r="CF358" i="7"/>
  <c r="DA357" i="7"/>
  <c r="CA359" i="7"/>
  <c r="CV358" i="7"/>
  <c r="E347" i="7"/>
  <c r="BL347" i="7"/>
  <c r="AL348" i="7"/>
  <c r="BP356" i="7" l="1"/>
  <c r="BL348" i="7"/>
  <c r="E348" i="7"/>
  <c r="AL349" i="7"/>
  <c r="CA360" i="7"/>
  <c r="CV359" i="7"/>
  <c r="EN359" i="7"/>
  <c r="BZ360" i="7"/>
  <c r="CU359" i="7"/>
  <c r="BW360" i="7"/>
  <c r="CR359" i="7"/>
  <c r="BU361" i="7"/>
  <c r="CP360" i="7"/>
  <c r="P358" i="7"/>
  <c r="AR357" i="7"/>
  <c r="BI357" i="7" s="1"/>
  <c r="AQ357" i="7"/>
  <c r="AP357" i="7"/>
  <c r="BG357" i="7" s="1"/>
  <c r="BV360" i="7"/>
  <c r="CQ359" i="7"/>
  <c r="BO356" i="7"/>
  <c r="BQ356" i="7" s="1"/>
  <c r="CJ360" i="7"/>
  <c r="DE359" i="7"/>
  <c r="CC361" i="7"/>
  <c r="CX360" i="7"/>
  <c r="BX360" i="7"/>
  <c r="CS359" i="7"/>
  <c r="BP355" i="7"/>
  <c r="BQ355" i="7" s="1"/>
  <c r="AZ357" i="7"/>
  <c r="DO357" i="7" s="1"/>
  <c r="AV357" i="7"/>
  <c r="DK357" i="7" s="1"/>
  <c r="BC357" i="7"/>
  <c r="DR357" i="7" s="1"/>
  <c r="AY357" i="7"/>
  <c r="DN357" i="7" s="1"/>
  <c r="AU357" i="7"/>
  <c r="DJ357" i="7" s="1"/>
  <c r="BB357" i="7"/>
  <c r="DQ357" i="7" s="1"/>
  <c r="AX357" i="7"/>
  <c r="DM357" i="7" s="1"/>
  <c r="AT357" i="7"/>
  <c r="BA357" i="7"/>
  <c r="DP357" i="7" s="1"/>
  <c r="AW357" i="7"/>
  <c r="DL357" i="7" s="1"/>
  <c r="AF357" i="7"/>
  <c r="AI357" i="7" s="1"/>
  <c r="AG357" i="7"/>
  <c r="AH357" i="7"/>
  <c r="CH359" i="7"/>
  <c r="DC358" i="7"/>
  <c r="BN358" i="7"/>
  <c r="D348" i="7"/>
  <c r="BK348" i="7"/>
  <c r="AK349" i="7"/>
  <c r="N358" i="7"/>
  <c r="C348" i="7"/>
  <c r="F348" i="7" s="1"/>
  <c r="BJ348" i="7"/>
  <c r="BM348" i="7" s="1"/>
  <c r="B348" i="7" s="1"/>
  <c r="AJ349" i="7"/>
  <c r="CM360" i="7"/>
  <c r="DH359" i="7"/>
  <c r="CF359" i="7"/>
  <c r="DA358" i="7"/>
  <c r="AN358" i="7"/>
  <c r="AM358" i="7"/>
  <c r="CE359" i="7"/>
  <c r="CZ358" i="7"/>
  <c r="CB360" i="7"/>
  <c r="CW359" i="7"/>
  <c r="CD360" i="7"/>
  <c r="CY359" i="7"/>
  <c r="CG360" i="7"/>
  <c r="DB359" i="7"/>
  <c r="AO359" i="7"/>
  <c r="BY361" i="7"/>
  <c r="CT360" i="7"/>
  <c r="BH357" i="7"/>
  <c r="CI360" i="7"/>
  <c r="DD359" i="7"/>
  <c r="DS359" i="7"/>
  <c r="EM360" i="7"/>
  <c r="DG360" i="7"/>
  <c r="CL361" i="7"/>
  <c r="CK361" i="7"/>
  <c r="DF360" i="7"/>
  <c r="EC358" i="7"/>
  <c r="DX358" i="7"/>
  <c r="EB358" i="7"/>
  <c r="DW358" i="7"/>
  <c r="EA358" i="7"/>
  <c r="DV358" i="7"/>
  <c r="BS359" i="7"/>
  <c r="EF358" i="7"/>
  <c r="DZ358" i="7"/>
  <c r="CN358" i="7"/>
  <c r="BO357" i="7" s="1"/>
  <c r="M358" i="7"/>
  <c r="BE356" i="7"/>
  <c r="BD356" i="7"/>
  <c r="BF356" i="7"/>
  <c r="BT360" i="7"/>
  <c r="CO359" i="7"/>
  <c r="EO359" i="7"/>
  <c r="BX361" i="7" l="1"/>
  <c r="CS360" i="7"/>
  <c r="BV361" i="7"/>
  <c r="CQ360" i="7"/>
  <c r="BW361" i="7"/>
  <c r="CR360" i="7"/>
  <c r="BY362" i="7"/>
  <c r="CT361" i="7"/>
  <c r="BT361" i="7"/>
  <c r="CO360" i="7"/>
  <c r="EO360" i="7"/>
  <c r="BC358" i="7"/>
  <c r="DR358" i="7" s="1"/>
  <c r="AY358" i="7"/>
  <c r="DN358" i="7" s="1"/>
  <c r="AU358" i="7"/>
  <c r="DJ358" i="7" s="1"/>
  <c r="BB358" i="7"/>
  <c r="DQ358" i="7" s="1"/>
  <c r="AX358" i="7"/>
  <c r="DM358" i="7" s="1"/>
  <c r="AT358" i="7"/>
  <c r="BA358" i="7"/>
  <c r="DP358" i="7" s="1"/>
  <c r="AW358" i="7"/>
  <c r="DL358" i="7" s="1"/>
  <c r="AZ358" i="7"/>
  <c r="DO358" i="7" s="1"/>
  <c r="AV358" i="7"/>
  <c r="DK358" i="7" s="1"/>
  <c r="AH358" i="7"/>
  <c r="AF358" i="7"/>
  <c r="AI358" i="7" s="1"/>
  <c r="AG358" i="7"/>
  <c r="EB359" i="7"/>
  <c r="DW359" i="7"/>
  <c r="EA359" i="7"/>
  <c r="DV359" i="7"/>
  <c r="BS360" i="7"/>
  <c r="EF359" i="7"/>
  <c r="DZ359" i="7"/>
  <c r="CN359" i="7"/>
  <c r="EC359" i="7"/>
  <c r="DX359" i="7"/>
  <c r="M359" i="7"/>
  <c r="CK362" i="7"/>
  <c r="DF361" i="7"/>
  <c r="P359" i="7"/>
  <c r="N360" i="7" s="1"/>
  <c r="AO360" i="7"/>
  <c r="CG361" i="7"/>
  <c r="DB360" i="7"/>
  <c r="CB361" i="7"/>
  <c r="CW360" i="7"/>
  <c r="CM361" i="7"/>
  <c r="DH360" i="7"/>
  <c r="AQ358" i="7"/>
  <c r="BH358" i="7" s="1"/>
  <c r="AP358" i="7"/>
  <c r="BG358" i="7" s="1"/>
  <c r="AR358" i="7"/>
  <c r="BI358" i="7" s="1"/>
  <c r="BD357" i="7"/>
  <c r="BF357" i="7"/>
  <c r="BE357" i="7"/>
  <c r="DI357" i="7"/>
  <c r="DI358" i="7" s="1"/>
  <c r="CJ361" i="7"/>
  <c r="DE360" i="7"/>
  <c r="C349" i="7"/>
  <c r="F349" i="7" s="1"/>
  <c r="BJ349" i="7"/>
  <c r="BM349" i="7" s="1"/>
  <c r="B349" i="7" s="1"/>
  <c r="AJ350" i="7"/>
  <c r="BK349" i="7"/>
  <c r="D349" i="7"/>
  <c r="AK350" i="7"/>
  <c r="H355" i="7"/>
  <c r="G355" i="7"/>
  <c r="CC362" i="7"/>
  <c r="CX361" i="7"/>
  <c r="H356" i="7"/>
  <c r="G356" i="7"/>
  <c r="BU362" i="7"/>
  <c r="CP361" i="7"/>
  <c r="CA361" i="7"/>
  <c r="CV360" i="7"/>
  <c r="DG361" i="7"/>
  <c r="EM361" i="7"/>
  <c r="CL362" i="7"/>
  <c r="CI361" i="7"/>
  <c r="DD360" i="7"/>
  <c r="DS360" i="7"/>
  <c r="CD361" i="7"/>
  <c r="CY360" i="7"/>
  <c r="CE360" i="7"/>
  <c r="CZ359" i="7"/>
  <c r="AM359" i="7"/>
  <c r="CF360" i="7"/>
  <c r="DA359" i="7"/>
  <c r="AN359" i="7"/>
  <c r="BN359" i="7"/>
  <c r="CH360" i="7"/>
  <c r="DC359" i="7"/>
  <c r="N359" i="7"/>
  <c r="BZ361" i="7"/>
  <c r="CU360" i="7"/>
  <c r="EN360" i="7"/>
  <c r="BL349" i="7"/>
  <c r="E349" i="7"/>
  <c r="AL350" i="7"/>
  <c r="BP358" i="7" l="1"/>
  <c r="CD362" i="7"/>
  <c r="CY361" i="7"/>
  <c r="CK363" i="7"/>
  <c r="DF362" i="7"/>
  <c r="BO358" i="7"/>
  <c r="BZ362" i="7"/>
  <c r="CU361" i="7"/>
  <c r="EN361" i="7"/>
  <c r="CI362" i="7"/>
  <c r="DD361" i="7"/>
  <c r="DS361" i="7"/>
  <c r="AP359" i="7"/>
  <c r="BG359" i="7" s="1"/>
  <c r="AR359" i="7"/>
  <c r="BI359" i="7" s="1"/>
  <c r="AQ359" i="7"/>
  <c r="BH359" i="7"/>
  <c r="DG362" i="7"/>
  <c r="EM362" i="7"/>
  <c r="CL363" i="7"/>
  <c r="CA362" i="7"/>
  <c r="CV361" i="7"/>
  <c r="BJ350" i="7"/>
  <c r="BM350" i="7" s="1"/>
  <c r="B350" i="7" s="1"/>
  <c r="C350" i="7"/>
  <c r="F350" i="7" s="1"/>
  <c r="AJ351" i="7"/>
  <c r="CJ362" i="7"/>
  <c r="DE361" i="7"/>
  <c r="CB362" i="7"/>
  <c r="CW361" i="7"/>
  <c r="BB359" i="7"/>
  <c r="DQ359" i="7" s="1"/>
  <c r="AX359" i="7"/>
  <c r="DM359" i="7" s="1"/>
  <c r="AT359" i="7"/>
  <c r="BA359" i="7"/>
  <c r="DP359" i="7" s="1"/>
  <c r="AW359" i="7"/>
  <c r="DL359" i="7" s="1"/>
  <c r="AZ359" i="7"/>
  <c r="DO359" i="7" s="1"/>
  <c r="AV359" i="7"/>
  <c r="DK359" i="7" s="1"/>
  <c r="BC359" i="7"/>
  <c r="DR359" i="7" s="1"/>
  <c r="AY359" i="7"/>
  <c r="DN359" i="7" s="1"/>
  <c r="AU359" i="7"/>
  <c r="DJ359" i="7" s="1"/>
  <c r="AG359" i="7"/>
  <c r="AH359" i="7"/>
  <c r="AF359" i="7"/>
  <c r="AI359" i="7" s="1"/>
  <c r="BY363" i="7"/>
  <c r="CT362" i="7"/>
  <c r="BV362" i="7"/>
  <c r="CQ361" i="7"/>
  <c r="BP357" i="7"/>
  <c r="BQ357" i="7" s="1"/>
  <c r="CE361" i="7"/>
  <c r="CZ360" i="7"/>
  <c r="AM360" i="7"/>
  <c r="P360" i="7"/>
  <c r="BK350" i="7"/>
  <c r="D350" i="7"/>
  <c r="AK351" i="7"/>
  <c r="DI359" i="7"/>
  <c r="CM362" i="7"/>
  <c r="DH361" i="7"/>
  <c r="AR360" i="7"/>
  <c r="BI360" i="7" s="1"/>
  <c r="AQ360" i="7"/>
  <c r="AP360" i="7"/>
  <c r="E350" i="7"/>
  <c r="BL350" i="7"/>
  <c r="AL351" i="7"/>
  <c r="CH361" i="7"/>
  <c r="DC360" i="7"/>
  <c r="BN360" i="7"/>
  <c r="CF361" i="7"/>
  <c r="DA360" i="7"/>
  <c r="AN360" i="7"/>
  <c r="BH360" i="7" s="1"/>
  <c r="BU363" i="7"/>
  <c r="CP362" i="7"/>
  <c r="CC363" i="7"/>
  <c r="CX362" i="7"/>
  <c r="CG362" i="7"/>
  <c r="DB361" i="7"/>
  <c r="AO361" i="7"/>
  <c r="EA360" i="7"/>
  <c r="DV360" i="7"/>
  <c r="BS361" i="7"/>
  <c r="EF360" i="7"/>
  <c r="DZ360" i="7"/>
  <c r="CN360" i="7"/>
  <c r="EC360" i="7"/>
  <c r="DX360" i="7"/>
  <c r="EB360" i="7"/>
  <c r="DW360" i="7"/>
  <c r="M360" i="7"/>
  <c r="BF358" i="7"/>
  <c r="BE358" i="7"/>
  <c r="BD358" i="7"/>
  <c r="EO361" i="7"/>
  <c r="BT362" i="7"/>
  <c r="CO361" i="7"/>
  <c r="BW362" i="7"/>
  <c r="CR361" i="7"/>
  <c r="BX362" i="7"/>
  <c r="CS361" i="7"/>
  <c r="BP359" i="7" l="1"/>
  <c r="BW363" i="7"/>
  <c r="CR362" i="7"/>
  <c r="BO359" i="7"/>
  <c r="BQ359" i="7" s="1"/>
  <c r="CG363" i="7"/>
  <c r="DB362" i="7"/>
  <c r="AO362" i="7"/>
  <c r="BU364" i="7"/>
  <c r="CP363" i="7"/>
  <c r="BG360" i="7"/>
  <c r="CJ363" i="7"/>
  <c r="DE362" i="7"/>
  <c r="P361" i="7"/>
  <c r="CD363" i="7"/>
  <c r="CY362" i="7"/>
  <c r="CM363" i="7"/>
  <c r="DH362" i="7"/>
  <c r="BV363" i="7"/>
  <c r="CQ362" i="7"/>
  <c r="BJ351" i="7"/>
  <c r="BM351" i="7" s="1"/>
  <c r="B351" i="7" s="1"/>
  <c r="C351" i="7"/>
  <c r="F351" i="7" s="1"/>
  <c r="AJ352" i="7"/>
  <c r="CA363" i="7"/>
  <c r="CV362" i="7"/>
  <c r="CK364" i="7"/>
  <c r="DF363" i="7"/>
  <c r="BX363" i="7"/>
  <c r="CS362" i="7"/>
  <c r="EO362" i="7"/>
  <c r="BT363" i="7"/>
  <c r="CO362" i="7"/>
  <c r="CC364" i="7"/>
  <c r="CX363" i="7"/>
  <c r="CH362" i="7"/>
  <c r="DC361" i="7"/>
  <c r="BN361" i="7"/>
  <c r="CE362" i="7"/>
  <c r="CZ361" i="7"/>
  <c r="AM361" i="7"/>
  <c r="BF359" i="7"/>
  <c r="BE359" i="7"/>
  <c r="BD359" i="7"/>
  <c r="CB363" i="7"/>
  <c r="CW362" i="7"/>
  <c r="EM363" i="7"/>
  <c r="DG363" i="7"/>
  <c r="CL364" i="7"/>
  <c r="DS362" i="7"/>
  <c r="CI363" i="7"/>
  <c r="DD362" i="7"/>
  <c r="BZ363" i="7"/>
  <c r="CU362" i="7"/>
  <c r="EN362" i="7"/>
  <c r="BA360" i="7"/>
  <c r="DP360" i="7" s="1"/>
  <c r="AW360" i="7"/>
  <c r="DL360" i="7" s="1"/>
  <c r="AZ360" i="7"/>
  <c r="DO360" i="7" s="1"/>
  <c r="AV360" i="7"/>
  <c r="DK360" i="7" s="1"/>
  <c r="BC360" i="7"/>
  <c r="DR360" i="7" s="1"/>
  <c r="AY360" i="7"/>
  <c r="DN360" i="7" s="1"/>
  <c r="AU360" i="7"/>
  <c r="DJ360" i="7" s="1"/>
  <c r="BB360" i="7"/>
  <c r="DQ360" i="7" s="1"/>
  <c r="AX360" i="7"/>
  <c r="DM360" i="7" s="1"/>
  <c r="AT360" i="7"/>
  <c r="DI360" i="7" s="1"/>
  <c r="AF360" i="7"/>
  <c r="AI360" i="7" s="1"/>
  <c r="AG360" i="7"/>
  <c r="AH360" i="7"/>
  <c r="BS362" i="7"/>
  <c r="EF361" i="7"/>
  <c r="DZ361" i="7"/>
  <c r="CN361" i="7"/>
  <c r="BO360" i="7" s="1"/>
  <c r="EC361" i="7"/>
  <c r="DX361" i="7"/>
  <c r="EB361" i="7"/>
  <c r="DW361" i="7"/>
  <c r="EA361" i="7"/>
  <c r="DV361" i="7"/>
  <c r="M361" i="7"/>
  <c r="AN361" i="7"/>
  <c r="CF362" i="7"/>
  <c r="DA361" i="7"/>
  <c r="E351" i="7"/>
  <c r="BL351" i="7"/>
  <c r="AL352" i="7"/>
  <c r="D351" i="7"/>
  <c r="BK351" i="7"/>
  <c r="AK352" i="7"/>
  <c r="N361" i="7"/>
  <c r="G357" i="7"/>
  <c r="H357" i="7"/>
  <c r="BY364" i="7"/>
  <c r="CT363" i="7"/>
  <c r="BQ358" i="7"/>
  <c r="BP360" i="7" l="1"/>
  <c r="BQ360" i="7"/>
  <c r="CM364" i="7"/>
  <c r="DH363" i="7"/>
  <c r="BW364" i="7"/>
  <c r="CR363" i="7"/>
  <c r="D352" i="7"/>
  <c r="BK352" i="7"/>
  <c r="AK353" i="7"/>
  <c r="AZ361" i="7"/>
  <c r="DO361" i="7" s="1"/>
  <c r="AV361" i="7"/>
  <c r="DK361" i="7" s="1"/>
  <c r="BC361" i="7"/>
  <c r="DR361" i="7" s="1"/>
  <c r="AY361" i="7"/>
  <c r="DN361" i="7" s="1"/>
  <c r="AU361" i="7"/>
  <c r="DJ361" i="7" s="1"/>
  <c r="BB361" i="7"/>
  <c r="DQ361" i="7" s="1"/>
  <c r="AX361" i="7"/>
  <c r="DM361" i="7" s="1"/>
  <c r="AT361" i="7"/>
  <c r="BA361" i="7"/>
  <c r="DP361" i="7" s="1"/>
  <c r="AW361" i="7"/>
  <c r="DL361" i="7" s="1"/>
  <c r="AG361" i="7"/>
  <c r="AF361" i="7"/>
  <c r="AI361" i="7" s="1"/>
  <c r="AH361" i="7"/>
  <c r="CI364" i="7"/>
  <c r="DD363" i="7"/>
  <c r="DS363" i="7"/>
  <c r="AM362" i="7"/>
  <c r="CE363" i="7"/>
  <c r="CZ362" i="7"/>
  <c r="CH363" i="7"/>
  <c r="DC362" i="7"/>
  <c r="BN362" i="7"/>
  <c r="BX364" i="7"/>
  <c r="CS363" i="7"/>
  <c r="CA364" i="7"/>
  <c r="CV363" i="7"/>
  <c r="CG364" i="7"/>
  <c r="DB363" i="7"/>
  <c r="AO363" i="7"/>
  <c r="P362" i="7"/>
  <c r="BT364" i="7"/>
  <c r="CO363" i="7"/>
  <c r="EO363" i="7"/>
  <c r="C352" i="7"/>
  <c r="F352" i="7" s="1"/>
  <c r="BJ352" i="7"/>
  <c r="BM352" i="7" s="1"/>
  <c r="B352" i="7" s="1"/>
  <c r="AJ353" i="7"/>
  <c r="BV364" i="7"/>
  <c r="CQ363" i="7"/>
  <c r="CD364" i="7"/>
  <c r="CY363" i="7"/>
  <c r="CJ364" i="7"/>
  <c r="DE363" i="7"/>
  <c r="BU365" i="7"/>
  <c r="CP364" i="7"/>
  <c r="H359" i="7"/>
  <c r="G359" i="7"/>
  <c r="BY365" i="7"/>
  <c r="CT364" i="7"/>
  <c r="H358" i="7"/>
  <c r="G358" i="7"/>
  <c r="AR361" i="7"/>
  <c r="BI361" i="7" s="1"/>
  <c r="AQ361" i="7"/>
  <c r="BH361" i="7" s="1"/>
  <c r="AP361" i="7"/>
  <c r="BL352" i="7"/>
  <c r="E352" i="7"/>
  <c r="AL353" i="7"/>
  <c r="CF363" i="7"/>
  <c r="DA362" i="7"/>
  <c r="AN362" i="7"/>
  <c r="EC362" i="7"/>
  <c r="DX362" i="7"/>
  <c r="EB362" i="7"/>
  <c r="DW362" i="7"/>
  <c r="EA362" i="7"/>
  <c r="DV362" i="7"/>
  <c r="BS363" i="7"/>
  <c r="EF362" i="7"/>
  <c r="DZ362" i="7"/>
  <c r="CN362" i="7"/>
  <c r="M362" i="7"/>
  <c r="BE360" i="7"/>
  <c r="BD360" i="7"/>
  <c r="BF360" i="7"/>
  <c r="EN363" i="7"/>
  <c r="BZ364" i="7"/>
  <c r="CU363" i="7"/>
  <c r="EM364" i="7"/>
  <c r="DG364" i="7"/>
  <c r="CL365" i="7"/>
  <c r="CB364" i="7"/>
  <c r="CW363" i="7"/>
  <c r="BG361" i="7"/>
  <c r="CC365" i="7"/>
  <c r="CX364" i="7"/>
  <c r="CK365" i="7"/>
  <c r="DF364" i="7"/>
  <c r="N362" i="7"/>
  <c r="CK366" i="7" l="1"/>
  <c r="DF365" i="7"/>
  <c r="AQ362" i="7"/>
  <c r="AP362" i="7"/>
  <c r="AR362" i="7"/>
  <c r="BI362" i="7" s="1"/>
  <c r="CB365" i="7"/>
  <c r="CW364" i="7"/>
  <c r="BL353" i="7"/>
  <c r="E353" i="7"/>
  <c r="AL354" i="7"/>
  <c r="BY366" i="7"/>
  <c r="CT365" i="7"/>
  <c r="BU366" i="7"/>
  <c r="CP365" i="7"/>
  <c r="CD365" i="7"/>
  <c r="CY364" i="7"/>
  <c r="BT365" i="7"/>
  <c r="CO364" i="7"/>
  <c r="EO364" i="7"/>
  <c r="CA365" i="7"/>
  <c r="CV364" i="7"/>
  <c r="BG362" i="7"/>
  <c r="CC366" i="7"/>
  <c r="CX365" i="7"/>
  <c r="DG365" i="7"/>
  <c r="EM365" i="7"/>
  <c r="CL366" i="7"/>
  <c r="BZ365" i="7"/>
  <c r="CU364" i="7"/>
  <c r="EN364" i="7"/>
  <c r="BH362" i="7"/>
  <c r="N363" i="7"/>
  <c r="BN363" i="7"/>
  <c r="CH364" i="7"/>
  <c r="DC363" i="7"/>
  <c r="P363" i="7"/>
  <c r="BD361" i="7"/>
  <c r="BF361" i="7"/>
  <c r="BE361" i="7"/>
  <c r="BK353" i="7"/>
  <c r="D353" i="7"/>
  <c r="AK354" i="7"/>
  <c r="BW365" i="7"/>
  <c r="CR364" i="7"/>
  <c r="DI361" i="7"/>
  <c r="EB363" i="7"/>
  <c r="DW363" i="7"/>
  <c r="EA363" i="7"/>
  <c r="DV363" i="7"/>
  <c r="BS364" i="7"/>
  <c r="EF363" i="7"/>
  <c r="DZ363" i="7"/>
  <c r="CN363" i="7"/>
  <c r="EC363" i="7"/>
  <c r="DX363" i="7"/>
  <c r="M363" i="7"/>
  <c r="CJ365" i="7"/>
  <c r="DE364" i="7"/>
  <c r="BV365" i="7"/>
  <c r="CQ364" i="7"/>
  <c r="AO364" i="7"/>
  <c r="CG365" i="7"/>
  <c r="DB364" i="7"/>
  <c r="BX365" i="7"/>
  <c r="CS364" i="7"/>
  <c r="H360" i="7"/>
  <c r="G360" i="7"/>
  <c r="BC362" i="7"/>
  <c r="DR362" i="7" s="1"/>
  <c r="AY362" i="7"/>
  <c r="DN362" i="7" s="1"/>
  <c r="AU362" i="7"/>
  <c r="DJ362" i="7" s="1"/>
  <c r="BB362" i="7"/>
  <c r="DQ362" i="7" s="1"/>
  <c r="AX362" i="7"/>
  <c r="DM362" i="7" s="1"/>
  <c r="AT362" i="7"/>
  <c r="BA362" i="7"/>
  <c r="DP362" i="7" s="1"/>
  <c r="AW362" i="7"/>
  <c r="DL362" i="7" s="1"/>
  <c r="AZ362" i="7"/>
  <c r="DO362" i="7" s="1"/>
  <c r="AV362" i="7"/>
  <c r="DK362" i="7" s="1"/>
  <c r="AG362" i="7"/>
  <c r="AH362" i="7"/>
  <c r="AF362" i="7"/>
  <c r="AI362" i="7" s="1"/>
  <c r="BO361" i="7"/>
  <c r="CF364" i="7"/>
  <c r="DA363" i="7"/>
  <c r="AN363" i="7"/>
  <c r="C353" i="7"/>
  <c r="F353" i="7" s="1"/>
  <c r="BJ353" i="7"/>
  <c r="BM353" i="7" s="1"/>
  <c r="B353" i="7" s="1"/>
  <c r="AJ354" i="7"/>
  <c r="CE364" i="7"/>
  <c r="CZ363" i="7"/>
  <c r="AM363" i="7"/>
  <c r="CI365" i="7"/>
  <c r="DD364" i="7"/>
  <c r="DS364" i="7"/>
  <c r="CM365" i="7"/>
  <c r="DH364" i="7"/>
  <c r="BP362" i="7" l="1"/>
  <c r="P364" i="7"/>
  <c r="BF362" i="7"/>
  <c r="BE362" i="7"/>
  <c r="BD362" i="7"/>
  <c r="CJ366" i="7"/>
  <c r="DE365" i="7"/>
  <c r="BO362" i="7"/>
  <c r="BQ362" i="7" s="1"/>
  <c r="DI362" i="7"/>
  <c r="CH365" i="7"/>
  <c r="DC364" i="7"/>
  <c r="BN364" i="7"/>
  <c r="CD366" i="7"/>
  <c r="CY365" i="7"/>
  <c r="BY367" i="7"/>
  <c r="CT366" i="7"/>
  <c r="CE365" i="7"/>
  <c r="CZ364" i="7"/>
  <c r="AM364" i="7"/>
  <c r="CI366" i="7"/>
  <c r="DD365" i="7"/>
  <c r="DS365" i="7"/>
  <c r="BX366" i="7"/>
  <c r="CS365" i="7"/>
  <c r="BB363" i="7"/>
  <c r="DQ363" i="7" s="1"/>
  <c r="AX363" i="7"/>
  <c r="DM363" i="7" s="1"/>
  <c r="AT363" i="7"/>
  <c r="BA363" i="7"/>
  <c r="DP363" i="7" s="1"/>
  <c r="AW363" i="7"/>
  <c r="DL363" i="7" s="1"/>
  <c r="AZ363" i="7"/>
  <c r="DO363" i="7" s="1"/>
  <c r="AV363" i="7"/>
  <c r="DK363" i="7" s="1"/>
  <c r="BC363" i="7"/>
  <c r="DR363" i="7" s="1"/>
  <c r="AY363" i="7"/>
  <c r="DN363" i="7" s="1"/>
  <c r="AU363" i="7"/>
  <c r="DJ363" i="7" s="1"/>
  <c r="AF363" i="7"/>
  <c r="AI363" i="7" s="1"/>
  <c r="AH363" i="7"/>
  <c r="AG363" i="7"/>
  <c r="E354" i="7"/>
  <c r="BL354" i="7"/>
  <c r="AL355" i="7"/>
  <c r="CB366" i="7"/>
  <c r="CW365" i="7"/>
  <c r="CK367" i="7"/>
  <c r="DF366" i="7"/>
  <c r="CM366" i="7"/>
  <c r="DH365" i="7"/>
  <c r="BJ354" i="7"/>
  <c r="BM354" i="7" s="1"/>
  <c r="B354" i="7" s="1"/>
  <c r="C354" i="7"/>
  <c r="F354" i="7" s="1"/>
  <c r="AJ355" i="7"/>
  <c r="BV366" i="7"/>
  <c r="CQ365" i="7"/>
  <c r="BW366" i="7"/>
  <c r="CR365" i="7"/>
  <c r="N364" i="7"/>
  <c r="AP363" i="7"/>
  <c r="BG363" i="7" s="1"/>
  <c r="AR363" i="7"/>
  <c r="BI363" i="7" s="1"/>
  <c r="AQ363" i="7"/>
  <c r="BH363" i="7" s="1"/>
  <c r="BZ366" i="7"/>
  <c r="CU365" i="7"/>
  <c r="EN365" i="7"/>
  <c r="CA366" i="7"/>
  <c r="CV365" i="7"/>
  <c r="EO365" i="7"/>
  <c r="BT366" i="7"/>
  <c r="CO365" i="7"/>
  <c r="BU367" i="7"/>
  <c r="CP366" i="7"/>
  <c r="CF365" i="7"/>
  <c r="DA364" i="7"/>
  <c r="AN364" i="7"/>
  <c r="CG366" i="7"/>
  <c r="DB365" i="7"/>
  <c r="AO365" i="7"/>
  <c r="EA364" i="7"/>
  <c r="DV364" i="7"/>
  <c r="BS365" i="7"/>
  <c r="EF364" i="7"/>
  <c r="DZ364" i="7"/>
  <c r="CN364" i="7"/>
  <c r="EC364" i="7"/>
  <c r="DX364" i="7"/>
  <c r="EB364" i="7"/>
  <c r="DW364" i="7"/>
  <c r="M364" i="7"/>
  <c r="BK354" i="7"/>
  <c r="D354" i="7"/>
  <c r="AK355" i="7"/>
  <c r="DG366" i="7"/>
  <c r="EM366" i="7"/>
  <c r="CL367" i="7"/>
  <c r="CC367" i="7"/>
  <c r="CX366" i="7"/>
  <c r="BP361" i="7"/>
  <c r="BQ361" i="7" s="1"/>
  <c r="G361" i="7" l="1"/>
  <c r="H361" i="7"/>
  <c r="CA367" i="7"/>
  <c r="CV366" i="7"/>
  <c r="EM367" i="7"/>
  <c r="DG367" i="7"/>
  <c r="CL368" i="7"/>
  <c r="BU368" i="7"/>
  <c r="CP367" i="7"/>
  <c r="BZ367" i="7"/>
  <c r="CU366" i="7"/>
  <c r="EN366" i="7"/>
  <c r="BJ355" i="7"/>
  <c r="BM355" i="7" s="1"/>
  <c r="B355" i="7" s="1"/>
  <c r="C355" i="7"/>
  <c r="F355" i="7" s="1"/>
  <c r="AJ356" i="7"/>
  <c r="BF363" i="7"/>
  <c r="BE363" i="7"/>
  <c r="BD363" i="7"/>
  <c r="BX367" i="7"/>
  <c r="CS366" i="7"/>
  <c r="DS366" i="7"/>
  <c r="CI367" i="7"/>
  <c r="DD366" i="7"/>
  <c r="H362" i="7"/>
  <c r="G362" i="7"/>
  <c r="BW367" i="7"/>
  <c r="CR366" i="7"/>
  <c r="CM367" i="7"/>
  <c r="DH366" i="7"/>
  <c r="CB367" i="7"/>
  <c r="CW366" i="7"/>
  <c r="BY368" i="7"/>
  <c r="CT367" i="7"/>
  <c r="N365" i="7"/>
  <c r="EO366" i="7"/>
  <c r="BT367" i="7"/>
  <c r="CO366" i="7"/>
  <c r="E355" i="7"/>
  <c r="BL355" i="7"/>
  <c r="AL356" i="7"/>
  <c r="P365" i="7"/>
  <c r="CH366" i="7"/>
  <c r="DC365" i="7"/>
  <c r="BN365" i="7"/>
  <c r="CJ367" i="7"/>
  <c r="DE366" i="7"/>
  <c r="BA364" i="7"/>
  <c r="DP364" i="7" s="1"/>
  <c r="AW364" i="7"/>
  <c r="DL364" i="7" s="1"/>
  <c r="AZ364" i="7"/>
  <c r="DO364" i="7" s="1"/>
  <c r="AV364" i="7"/>
  <c r="DK364" i="7" s="1"/>
  <c r="BC364" i="7"/>
  <c r="DR364" i="7" s="1"/>
  <c r="AY364" i="7"/>
  <c r="DN364" i="7" s="1"/>
  <c r="AU364" i="7"/>
  <c r="DJ364" i="7" s="1"/>
  <c r="BB364" i="7"/>
  <c r="DQ364" i="7" s="1"/>
  <c r="AX364" i="7"/>
  <c r="DM364" i="7" s="1"/>
  <c r="AT364" i="7"/>
  <c r="AF364" i="7"/>
  <c r="AI364" i="7" s="1"/>
  <c r="AG364" i="7"/>
  <c r="AH364" i="7"/>
  <c r="BS366" i="7"/>
  <c r="EF365" i="7"/>
  <c r="DZ365" i="7"/>
  <c r="CN365" i="7"/>
  <c r="BO364" i="7" s="1"/>
  <c r="EC365" i="7"/>
  <c r="DX365" i="7"/>
  <c r="EB365" i="7"/>
  <c r="DW365" i="7"/>
  <c r="EA365" i="7"/>
  <c r="DV365" i="7"/>
  <c r="M365" i="7"/>
  <c r="AN365" i="7"/>
  <c r="CF366" i="7"/>
  <c r="DA365" i="7"/>
  <c r="CC368" i="7"/>
  <c r="CX367" i="7"/>
  <c r="D355" i="7"/>
  <c r="BK355" i="7"/>
  <c r="AK356" i="7"/>
  <c r="BO363" i="7"/>
  <c r="CG367" i="7"/>
  <c r="DB366" i="7"/>
  <c r="AO366" i="7"/>
  <c r="AR364" i="7"/>
  <c r="BI364" i="7" s="1"/>
  <c r="AQ364" i="7"/>
  <c r="BH364" i="7" s="1"/>
  <c r="AP364" i="7"/>
  <c r="BG364" i="7" s="1"/>
  <c r="BV367" i="7"/>
  <c r="CQ366" i="7"/>
  <c r="CK368" i="7"/>
  <c r="DF367" i="7"/>
  <c r="CE366" i="7"/>
  <c r="CZ365" i="7"/>
  <c r="AM365" i="7"/>
  <c r="CD367" i="7"/>
  <c r="CY366" i="7"/>
  <c r="DI363" i="7"/>
  <c r="DI364" i="7" s="1"/>
  <c r="BP364" i="7" l="1"/>
  <c r="BQ364" i="7" s="1"/>
  <c r="AM366" i="7"/>
  <c r="CE367" i="7"/>
  <c r="CZ366" i="7"/>
  <c r="CJ368" i="7"/>
  <c r="DE367" i="7"/>
  <c r="N366" i="7"/>
  <c r="AR365" i="7"/>
  <c r="BI365" i="7" s="1"/>
  <c r="AQ365" i="7"/>
  <c r="AP365" i="7"/>
  <c r="P366" i="7"/>
  <c r="BV368" i="7"/>
  <c r="CQ367" i="7"/>
  <c r="CD368" i="7"/>
  <c r="CY367" i="7"/>
  <c r="CG368" i="7"/>
  <c r="DB367" i="7"/>
  <c r="AO367" i="7"/>
  <c r="CF367" i="7"/>
  <c r="DA366" i="7"/>
  <c r="AN366" i="7"/>
  <c r="EC366" i="7"/>
  <c r="DX366" i="7"/>
  <c r="EB366" i="7"/>
  <c r="DW366" i="7"/>
  <c r="EA366" i="7"/>
  <c r="DV366" i="7"/>
  <c r="BS367" i="7"/>
  <c r="EF366" i="7"/>
  <c r="DZ366" i="7"/>
  <c r="CN366" i="7"/>
  <c r="M366" i="7"/>
  <c r="BE364" i="7"/>
  <c r="BD364" i="7"/>
  <c r="BF364" i="7"/>
  <c r="CB368" i="7"/>
  <c r="CW367" i="7"/>
  <c r="BW368" i="7"/>
  <c r="CR367" i="7"/>
  <c r="BU369" i="7"/>
  <c r="CP368" i="7"/>
  <c r="BP363" i="7"/>
  <c r="BQ363" i="7" s="1"/>
  <c r="BG365" i="7"/>
  <c r="BH365" i="7"/>
  <c r="BL356" i="7"/>
  <c r="E356" i="7"/>
  <c r="AL357" i="7"/>
  <c r="BT368" i="7"/>
  <c r="CO367" i="7"/>
  <c r="EO367" i="7"/>
  <c r="BY369" i="7"/>
  <c r="CT368" i="7"/>
  <c r="BX368" i="7"/>
  <c r="CS367" i="7"/>
  <c r="C356" i="7"/>
  <c r="F356" i="7" s="1"/>
  <c r="BJ356" i="7"/>
  <c r="BM356" i="7" s="1"/>
  <c r="B356" i="7" s="1"/>
  <c r="AJ357" i="7"/>
  <c r="CK369" i="7"/>
  <c r="DF368" i="7"/>
  <c r="DI365" i="7"/>
  <c r="D356" i="7"/>
  <c r="BK356" i="7"/>
  <c r="AK357" i="7"/>
  <c r="CC369" i="7"/>
  <c r="CX368" i="7"/>
  <c r="AZ365" i="7"/>
  <c r="DO365" i="7" s="1"/>
  <c r="AV365" i="7"/>
  <c r="DK365" i="7" s="1"/>
  <c r="BC365" i="7"/>
  <c r="DR365" i="7" s="1"/>
  <c r="AY365" i="7"/>
  <c r="DN365" i="7" s="1"/>
  <c r="AU365" i="7"/>
  <c r="DJ365" i="7" s="1"/>
  <c r="BB365" i="7"/>
  <c r="DQ365" i="7" s="1"/>
  <c r="AX365" i="7"/>
  <c r="DM365" i="7" s="1"/>
  <c r="AT365" i="7"/>
  <c r="BA365" i="7"/>
  <c r="DP365" i="7" s="1"/>
  <c r="AW365" i="7"/>
  <c r="DL365" i="7" s="1"/>
  <c r="AF365" i="7"/>
  <c r="AI365" i="7" s="1"/>
  <c r="AH365" i="7"/>
  <c r="AG365" i="7"/>
  <c r="CH367" i="7"/>
  <c r="DC366" i="7"/>
  <c r="BN366" i="7"/>
  <c r="CM368" i="7"/>
  <c r="DH367" i="7"/>
  <c r="CI368" i="7"/>
  <c r="DD367" i="7"/>
  <c r="DS367" i="7"/>
  <c r="EN367" i="7"/>
  <c r="BZ368" i="7"/>
  <c r="CU367" i="7"/>
  <c r="EM368" i="7"/>
  <c r="DG368" i="7"/>
  <c r="CL369" i="7"/>
  <c r="CA368" i="7"/>
  <c r="CV367" i="7"/>
  <c r="BP365" i="7" l="1"/>
  <c r="H363" i="7"/>
  <c r="G363" i="7"/>
  <c r="H364" i="7"/>
  <c r="G364" i="7"/>
  <c r="BK357" i="7"/>
  <c r="D357" i="7"/>
  <c r="AK358" i="7"/>
  <c r="BT369" i="7"/>
  <c r="CO368" i="7"/>
  <c r="EO368" i="7"/>
  <c r="BU370" i="7"/>
  <c r="CP369" i="7"/>
  <c r="CB369" i="7"/>
  <c r="CW368" i="7"/>
  <c r="P367" i="7"/>
  <c r="CM369" i="7"/>
  <c r="DH368" i="7"/>
  <c r="BY370" i="7"/>
  <c r="CT369" i="7"/>
  <c r="BL357" i="7"/>
  <c r="E357" i="7"/>
  <c r="AL358" i="7"/>
  <c r="BC366" i="7"/>
  <c r="DR366" i="7" s="1"/>
  <c r="AY366" i="7"/>
  <c r="DN366" i="7" s="1"/>
  <c r="AU366" i="7"/>
  <c r="DJ366" i="7" s="1"/>
  <c r="BB366" i="7"/>
  <c r="DQ366" i="7" s="1"/>
  <c r="AX366" i="7"/>
  <c r="DM366" i="7" s="1"/>
  <c r="AT366" i="7"/>
  <c r="BA366" i="7"/>
  <c r="DP366" i="7" s="1"/>
  <c r="AW366" i="7"/>
  <c r="DL366" i="7" s="1"/>
  <c r="AZ366" i="7"/>
  <c r="DO366" i="7" s="1"/>
  <c r="AV366" i="7"/>
  <c r="DK366" i="7" s="1"/>
  <c r="AG366" i="7"/>
  <c r="AH366" i="7"/>
  <c r="AF366" i="7"/>
  <c r="AI366" i="7" s="1"/>
  <c r="EB367" i="7"/>
  <c r="DW367" i="7"/>
  <c r="EA367" i="7"/>
  <c r="DV367" i="7"/>
  <c r="BS368" i="7"/>
  <c r="EF367" i="7"/>
  <c r="DZ367" i="7"/>
  <c r="CN367" i="7"/>
  <c r="EC367" i="7"/>
  <c r="DX367" i="7"/>
  <c r="M367" i="7"/>
  <c r="AO368" i="7"/>
  <c r="CG369" i="7"/>
  <c r="DB368" i="7"/>
  <c r="BV369" i="7"/>
  <c r="CQ368" i="7"/>
  <c r="CJ369" i="7"/>
  <c r="DE368" i="7"/>
  <c r="BD365" i="7"/>
  <c r="BF365" i="7"/>
  <c r="BE365" i="7"/>
  <c r="CK370" i="7"/>
  <c r="DF369" i="7"/>
  <c r="BW369" i="7"/>
  <c r="CR368" i="7"/>
  <c r="BO365" i="7"/>
  <c r="BQ365" i="7" s="1"/>
  <c r="CF368" i="7"/>
  <c r="DA367" i="7"/>
  <c r="AN367" i="7"/>
  <c r="BN367" i="7"/>
  <c r="CH368" i="7"/>
  <c r="DC367" i="7"/>
  <c r="CA369" i="7"/>
  <c r="CV368" i="7"/>
  <c r="DG369" i="7"/>
  <c r="EM369" i="7"/>
  <c r="CL370" i="7"/>
  <c r="BZ369" i="7"/>
  <c r="CU368" i="7"/>
  <c r="EN368" i="7"/>
  <c r="CI369" i="7"/>
  <c r="DD368" i="7"/>
  <c r="DS368" i="7"/>
  <c r="CC370" i="7"/>
  <c r="CX369" i="7"/>
  <c r="C357" i="7"/>
  <c r="F357" i="7" s="1"/>
  <c r="BJ357" i="7"/>
  <c r="BM357" i="7" s="1"/>
  <c r="B357" i="7" s="1"/>
  <c r="AJ358" i="7"/>
  <c r="BX369" i="7"/>
  <c r="CS368" i="7"/>
  <c r="CD369" i="7"/>
  <c r="CY368" i="7"/>
  <c r="N367" i="7"/>
  <c r="AQ366" i="7"/>
  <c r="BH366" i="7" s="1"/>
  <c r="AP366" i="7"/>
  <c r="BG366" i="7" s="1"/>
  <c r="AR366" i="7"/>
  <c r="BI366" i="7" s="1"/>
  <c r="CE368" i="7"/>
  <c r="CZ367" i="7"/>
  <c r="AM367" i="7"/>
  <c r="BZ370" i="7" l="1"/>
  <c r="CU369" i="7"/>
  <c r="EN369" i="7"/>
  <c r="G365" i="7"/>
  <c r="H365" i="7"/>
  <c r="CK371" i="7"/>
  <c r="DF370" i="7"/>
  <c r="BV370" i="7"/>
  <c r="CQ369" i="7"/>
  <c r="BB367" i="7"/>
  <c r="DQ367" i="7" s="1"/>
  <c r="AX367" i="7"/>
  <c r="DM367" i="7" s="1"/>
  <c r="AT367" i="7"/>
  <c r="BA367" i="7"/>
  <c r="DP367" i="7" s="1"/>
  <c r="AW367" i="7"/>
  <c r="DL367" i="7" s="1"/>
  <c r="AZ367" i="7"/>
  <c r="DO367" i="7" s="1"/>
  <c r="AV367" i="7"/>
  <c r="DK367" i="7" s="1"/>
  <c r="BC367" i="7"/>
  <c r="DR367" i="7" s="1"/>
  <c r="AY367" i="7"/>
  <c r="DN367" i="7" s="1"/>
  <c r="AU367" i="7"/>
  <c r="DJ367" i="7" s="1"/>
  <c r="AG367" i="7"/>
  <c r="AF367" i="7"/>
  <c r="AI367" i="7" s="1"/>
  <c r="AH367" i="7"/>
  <c r="E358" i="7"/>
  <c r="BL358" i="7"/>
  <c r="AL359" i="7"/>
  <c r="BY371" i="7"/>
  <c r="CT370" i="7"/>
  <c r="N368" i="7"/>
  <c r="CB370" i="7"/>
  <c r="CW369" i="7"/>
  <c r="AP367" i="7"/>
  <c r="AR367" i="7"/>
  <c r="BI367" i="7" s="1"/>
  <c r="AQ367" i="7"/>
  <c r="CE369" i="7"/>
  <c r="CZ368" i="7"/>
  <c r="AM368" i="7"/>
  <c r="BX370" i="7"/>
  <c r="CS369" i="7"/>
  <c r="CI370" i="7"/>
  <c r="DD369" i="7"/>
  <c r="DS369" i="7"/>
  <c r="DG370" i="7"/>
  <c r="EM370" i="7"/>
  <c r="CL371" i="7"/>
  <c r="CA370" i="7"/>
  <c r="CV369" i="7"/>
  <c r="BH367" i="7"/>
  <c r="EO369" i="7"/>
  <c r="BT370" i="7"/>
  <c r="CO369" i="7"/>
  <c r="CD370" i="7"/>
  <c r="CY369" i="7"/>
  <c r="BJ358" i="7"/>
  <c r="BM358" i="7" s="1"/>
  <c r="B358" i="7" s="1"/>
  <c r="C358" i="7"/>
  <c r="F358" i="7" s="1"/>
  <c r="AJ359" i="7"/>
  <c r="CC371" i="7"/>
  <c r="CX370" i="7"/>
  <c r="BW370" i="7"/>
  <c r="CR369" i="7"/>
  <c r="CJ370" i="7"/>
  <c r="DE369" i="7"/>
  <c r="CG370" i="7"/>
  <c r="DB369" i="7"/>
  <c r="AO369" i="7"/>
  <c r="EA368" i="7"/>
  <c r="DV368" i="7"/>
  <c r="BS369" i="7"/>
  <c r="EF368" i="7"/>
  <c r="DZ368" i="7"/>
  <c r="CN368" i="7"/>
  <c r="EC368" i="7"/>
  <c r="DX368" i="7"/>
  <c r="EB368" i="7"/>
  <c r="DW368" i="7"/>
  <c r="M368" i="7"/>
  <c r="BF366" i="7"/>
  <c r="BE366" i="7"/>
  <c r="BD366" i="7"/>
  <c r="CM370" i="7"/>
  <c r="DH369" i="7"/>
  <c r="BU371" i="7"/>
  <c r="CP370" i="7"/>
  <c r="DI366" i="7"/>
  <c r="DI367" i="7" s="1"/>
  <c r="BG367" i="7"/>
  <c r="P368" i="7"/>
  <c r="CH369" i="7"/>
  <c r="DC368" i="7"/>
  <c r="BN368" i="7"/>
  <c r="CF369" i="7"/>
  <c r="DA368" i="7"/>
  <c r="AN368" i="7"/>
  <c r="BO366" i="7"/>
  <c r="BK358" i="7"/>
  <c r="D358" i="7"/>
  <c r="AK359" i="7"/>
  <c r="BP367" i="7" l="1"/>
  <c r="CM371" i="7"/>
  <c r="DH370" i="7"/>
  <c r="AN369" i="7"/>
  <c r="CF370" i="7"/>
  <c r="DA369" i="7"/>
  <c r="BO367" i="7"/>
  <c r="BQ367" i="7" s="1"/>
  <c r="CG371" i="7"/>
  <c r="DB370" i="7"/>
  <c r="AO370" i="7"/>
  <c r="BW371" i="7"/>
  <c r="CR370" i="7"/>
  <c r="CE370" i="7"/>
  <c r="CZ369" i="7"/>
  <c r="AM369" i="7"/>
  <c r="CB371" i="7"/>
  <c r="CW370" i="7"/>
  <c r="E359" i="7"/>
  <c r="BL359" i="7"/>
  <c r="AL360" i="7"/>
  <c r="CH370" i="7"/>
  <c r="DC369" i="7"/>
  <c r="BN369" i="7"/>
  <c r="D359" i="7"/>
  <c r="BK359" i="7"/>
  <c r="AK360" i="7"/>
  <c r="N369" i="7"/>
  <c r="BU372" i="7"/>
  <c r="CP371" i="7"/>
  <c r="EO370" i="7"/>
  <c r="BT371" i="7"/>
  <c r="CO370" i="7"/>
  <c r="CA371" i="7"/>
  <c r="CV370" i="7"/>
  <c r="P369" i="7"/>
  <c r="BX371" i="7"/>
  <c r="CS370" i="7"/>
  <c r="AR368" i="7"/>
  <c r="BI368" i="7" s="1"/>
  <c r="AQ368" i="7"/>
  <c r="BH368" i="7" s="1"/>
  <c r="AP368" i="7"/>
  <c r="BG368" i="7" s="1"/>
  <c r="BF367" i="7"/>
  <c r="BE367" i="7"/>
  <c r="BD367" i="7"/>
  <c r="BV371" i="7"/>
  <c r="CQ370" i="7"/>
  <c r="BZ371" i="7"/>
  <c r="CU370" i="7"/>
  <c r="EN370" i="7"/>
  <c r="BP366" i="7"/>
  <c r="BQ366" i="7" s="1"/>
  <c r="CJ371" i="7"/>
  <c r="DE370" i="7"/>
  <c r="CC372" i="7"/>
  <c r="CX371" i="7"/>
  <c r="EM371" i="7"/>
  <c r="DG371" i="7"/>
  <c r="CL372" i="7"/>
  <c r="BA368" i="7"/>
  <c r="DP368" i="7" s="1"/>
  <c r="AW368" i="7"/>
  <c r="DL368" i="7" s="1"/>
  <c r="AZ368" i="7"/>
  <c r="DO368" i="7" s="1"/>
  <c r="AV368" i="7"/>
  <c r="DK368" i="7" s="1"/>
  <c r="BC368" i="7"/>
  <c r="DR368" i="7" s="1"/>
  <c r="AY368" i="7"/>
  <c r="DN368" i="7" s="1"/>
  <c r="AU368" i="7"/>
  <c r="DJ368" i="7" s="1"/>
  <c r="BB368" i="7"/>
  <c r="DQ368" i="7" s="1"/>
  <c r="AX368" i="7"/>
  <c r="DM368" i="7" s="1"/>
  <c r="AT368" i="7"/>
  <c r="DI368" i="7" s="1"/>
  <c r="AF368" i="7"/>
  <c r="AI368" i="7" s="1"/>
  <c r="AH368" i="7"/>
  <c r="AG368" i="7"/>
  <c r="BS370" i="7"/>
  <c r="EF369" i="7"/>
  <c r="DZ369" i="7"/>
  <c r="CN369" i="7"/>
  <c r="BO368" i="7" s="1"/>
  <c r="EC369" i="7"/>
  <c r="DX369" i="7"/>
  <c r="EB369" i="7"/>
  <c r="DW369" i="7"/>
  <c r="EA369" i="7"/>
  <c r="DV369" i="7"/>
  <c r="M369" i="7"/>
  <c r="BJ359" i="7"/>
  <c r="BM359" i="7" s="1"/>
  <c r="B359" i="7" s="1"/>
  <c r="C359" i="7"/>
  <c r="F359" i="7" s="1"/>
  <c r="AJ360" i="7"/>
  <c r="CD371" i="7"/>
  <c r="CY370" i="7"/>
  <c r="DS370" i="7"/>
  <c r="CI371" i="7"/>
  <c r="DD370" i="7"/>
  <c r="BY372" i="7"/>
  <c r="CT371" i="7"/>
  <c r="CK372" i="7"/>
  <c r="DF371" i="7"/>
  <c r="BQ368" i="7" l="1"/>
  <c r="BP368" i="7"/>
  <c r="H366" i="7"/>
  <c r="G366" i="7"/>
  <c r="CJ372" i="7"/>
  <c r="DE371" i="7"/>
  <c r="BT372" i="7"/>
  <c r="CO371" i="7"/>
  <c r="EO371" i="7"/>
  <c r="AR369" i="7"/>
  <c r="BI369" i="7" s="1"/>
  <c r="AQ369" i="7"/>
  <c r="AP369" i="7"/>
  <c r="AM370" i="7"/>
  <c r="CE371" i="7"/>
  <c r="CZ370" i="7"/>
  <c r="CF371" i="7"/>
  <c r="DA370" i="7"/>
  <c r="AN370" i="7"/>
  <c r="CM372" i="7"/>
  <c r="DH371" i="7"/>
  <c r="CD372" i="7"/>
  <c r="CY371" i="7"/>
  <c r="AZ369" i="7"/>
  <c r="DO369" i="7" s="1"/>
  <c r="AV369" i="7"/>
  <c r="DK369" i="7" s="1"/>
  <c r="BC369" i="7"/>
  <c r="DR369" i="7" s="1"/>
  <c r="AY369" i="7"/>
  <c r="DN369" i="7" s="1"/>
  <c r="AU369" i="7"/>
  <c r="DJ369" i="7" s="1"/>
  <c r="BB369" i="7"/>
  <c r="DQ369" i="7" s="1"/>
  <c r="AX369" i="7"/>
  <c r="DM369" i="7" s="1"/>
  <c r="AT369" i="7"/>
  <c r="BA369" i="7"/>
  <c r="DP369" i="7" s="1"/>
  <c r="AW369" i="7"/>
  <c r="DL369" i="7" s="1"/>
  <c r="AF369" i="7"/>
  <c r="AI369" i="7" s="1"/>
  <c r="AH369" i="7"/>
  <c r="AG369" i="7"/>
  <c r="EN371" i="7"/>
  <c r="BZ372" i="7"/>
  <c r="CU371" i="7"/>
  <c r="BL360" i="7"/>
  <c r="E360" i="7"/>
  <c r="AL361" i="7"/>
  <c r="CB372" i="7"/>
  <c r="CW371" i="7"/>
  <c r="CG372" i="7"/>
  <c r="DB371" i="7"/>
  <c r="AO371" i="7"/>
  <c r="BH369" i="7"/>
  <c r="P370" i="7"/>
  <c r="BY373" i="7"/>
  <c r="CT372" i="7"/>
  <c r="CK373" i="7"/>
  <c r="DF372" i="7"/>
  <c r="CI372" i="7"/>
  <c r="DD371" i="7"/>
  <c r="DS371" i="7"/>
  <c r="C360" i="7"/>
  <c r="F360" i="7" s="1"/>
  <c r="BJ360" i="7"/>
  <c r="BM360" i="7" s="1"/>
  <c r="B360" i="7" s="1"/>
  <c r="AJ361" i="7"/>
  <c r="EM372" i="7"/>
  <c r="DG372" i="7"/>
  <c r="CL373" i="7"/>
  <c r="CC373" i="7"/>
  <c r="CX372" i="7"/>
  <c r="BX372" i="7"/>
  <c r="CS371" i="7"/>
  <c r="CA372" i="7"/>
  <c r="CV371" i="7"/>
  <c r="D360" i="7"/>
  <c r="BK360" i="7"/>
  <c r="AK361" i="7"/>
  <c r="BG369" i="7"/>
  <c r="BW372" i="7"/>
  <c r="CR371" i="7"/>
  <c r="H367" i="7"/>
  <c r="G367" i="7"/>
  <c r="EC370" i="7"/>
  <c r="DX370" i="7"/>
  <c r="EB370" i="7"/>
  <c r="DW370" i="7"/>
  <c r="EA370" i="7"/>
  <c r="DV370" i="7"/>
  <c r="BS371" i="7"/>
  <c r="EF370" i="7"/>
  <c r="DZ370" i="7"/>
  <c r="CN370" i="7"/>
  <c r="M370" i="7"/>
  <c r="BE368" i="7"/>
  <c r="BD368" i="7"/>
  <c r="BF368" i="7"/>
  <c r="BV372" i="7"/>
  <c r="CQ371" i="7"/>
  <c r="N370" i="7"/>
  <c r="BU373" i="7"/>
  <c r="CP372" i="7"/>
  <c r="CH371" i="7"/>
  <c r="DC370" i="7"/>
  <c r="BN370" i="7"/>
  <c r="BV373" i="7" l="1"/>
  <c r="CQ372" i="7"/>
  <c r="BU374" i="7"/>
  <c r="CP373" i="7"/>
  <c r="BO369" i="7"/>
  <c r="DG373" i="7"/>
  <c r="EM373" i="7"/>
  <c r="CL374" i="7"/>
  <c r="CI373" i="7"/>
  <c r="DD372" i="7"/>
  <c r="DS372" i="7"/>
  <c r="BY374" i="7"/>
  <c r="CT373" i="7"/>
  <c r="CB373" i="7"/>
  <c r="CW372" i="7"/>
  <c r="CM373" i="7"/>
  <c r="DH372" i="7"/>
  <c r="H368" i="7"/>
  <c r="G368" i="7"/>
  <c r="AQ370" i="7"/>
  <c r="AP370" i="7"/>
  <c r="AR370" i="7"/>
  <c r="BI370" i="7" s="1"/>
  <c r="BW373" i="7"/>
  <c r="CR372" i="7"/>
  <c r="BX373" i="7"/>
  <c r="CS372" i="7"/>
  <c r="N371" i="7"/>
  <c r="BL361" i="7"/>
  <c r="E361" i="7"/>
  <c r="AL362" i="7"/>
  <c r="BD369" i="7"/>
  <c r="BF369" i="7"/>
  <c r="BE369" i="7"/>
  <c r="BH370" i="7"/>
  <c r="CE372" i="7"/>
  <c r="CZ371" i="7"/>
  <c r="AM371" i="7"/>
  <c r="CJ373" i="7"/>
  <c r="DE372" i="7"/>
  <c r="DI369" i="7"/>
  <c r="BP369" i="7" s="1"/>
  <c r="BN371" i="7"/>
  <c r="CH372" i="7"/>
  <c r="DC371" i="7"/>
  <c r="P371" i="7"/>
  <c r="CK374" i="7"/>
  <c r="DF373" i="7"/>
  <c r="AO372" i="7"/>
  <c r="CG373" i="7"/>
  <c r="DB372" i="7"/>
  <c r="BZ373" i="7"/>
  <c r="CU372" i="7"/>
  <c r="EN372" i="7"/>
  <c r="CD373" i="7"/>
  <c r="CY372" i="7"/>
  <c r="BG370" i="7"/>
  <c r="BC370" i="7"/>
  <c r="DR370" i="7" s="1"/>
  <c r="AY370" i="7"/>
  <c r="DN370" i="7" s="1"/>
  <c r="AU370" i="7"/>
  <c r="DJ370" i="7" s="1"/>
  <c r="BB370" i="7"/>
  <c r="DQ370" i="7" s="1"/>
  <c r="AX370" i="7"/>
  <c r="DM370" i="7" s="1"/>
  <c r="AT370" i="7"/>
  <c r="BA370" i="7"/>
  <c r="DP370" i="7" s="1"/>
  <c r="AW370" i="7"/>
  <c r="DL370" i="7" s="1"/>
  <c r="AZ370" i="7"/>
  <c r="DO370" i="7" s="1"/>
  <c r="AV370" i="7"/>
  <c r="DK370" i="7" s="1"/>
  <c r="AH370" i="7"/>
  <c r="AF370" i="7"/>
  <c r="AI370" i="7" s="1"/>
  <c r="AG370" i="7"/>
  <c r="EB371" i="7"/>
  <c r="DW371" i="7"/>
  <c r="EA371" i="7"/>
  <c r="DV371" i="7"/>
  <c r="BS372" i="7"/>
  <c r="EF371" i="7"/>
  <c r="DZ371" i="7"/>
  <c r="CN371" i="7"/>
  <c r="EC371" i="7"/>
  <c r="DX371" i="7"/>
  <c r="M371" i="7"/>
  <c r="BK361" i="7"/>
  <c r="D361" i="7"/>
  <c r="AK362" i="7"/>
  <c r="CA373" i="7"/>
  <c r="CV372" i="7"/>
  <c r="CC374" i="7"/>
  <c r="CX373" i="7"/>
  <c r="C361" i="7"/>
  <c r="F361" i="7" s="1"/>
  <c r="BJ361" i="7"/>
  <c r="BM361" i="7" s="1"/>
  <c r="B361" i="7" s="1"/>
  <c r="AJ362" i="7"/>
  <c r="CF372" i="7"/>
  <c r="DA371" i="7"/>
  <c r="AN371" i="7"/>
  <c r="BT373" i="7"/>
  <c r="CO372" i="7"/>
  <c r="EO372" i="7"/>
  <c r="BB371" i="7" l="1"/>
  <c r="DQ371" i="7" s="1"/>
  <c r="AX371" i="7"/>
  <c r="DM371" i="7" s="1"/>
  <c r="AT371" i="7"/>
  <c r="BA371" i="7"/>
  <c r="DP371" i="7" s="1"/>
  <c r="AW371" i="7"/>
  <c r="DL371" i="7" s="1"/>
  <c r="AZ371" i="7"/>
  <c r="DO371" i="7" s="1"/>
  <c r="AV371" i="7"/>
  <c r="DK371" i="7" s="1"/>
  <c r="BC371" i="7"/>
  <c r="DR371" i="7" s="1"/>
  <c r="AY371" i="7"/>
  <c r="DN371" i="7" s="1"/>
  <c r="AU371" i="7"/>
  <c r="DJ371" i="7" s="1"/>
  <c r="AF371" i="7"/>
  <c r="AI371" i="7" s="1"/>
  <c r="AG371" i="7"/>
  <c r="AH371" i="7"/>
  <c r="CF373" i="7"/>
  <c r="DA372" i="7"/>
  <c r="AN372" i="7"/>
  <c r="BO370" i="7"/>
  <c r="CG374" i="7"/>
  <c r="DB373" i="7"/>
  <c r="AO373" i="7"/>
  <c r="BX374" i="7"/>
  <c r="CS373" i="7"/>
  <c r="CM374" i="7"/>
  <c r="DH373" i="7"/>
  <c r="CI374" i="7"/>
  <c r="DD373" i="7"/>
  <c r="DS373" i="7"/>
  <c r="BQ369" i="7"/>
  <c r="N372" i="7"/>
  <c r="DI370" i="7"/>
  <c r="DI371" i="7" s="1"/>
  <c r="BY375" i="7"/>
  <c r="CT374" i="7"/>
  <c r="DG374" i="7"/>
  <c r="EM374" i="7"/>
  <c r="CL375" i="7"/>
  <c r="BV374" i="7"/>
  <c r="CQ373" i="7"/>
  <c r="BK362" i="7"/>
  <c r="D362" i="7"/>
  <c r="AK363" i="7"/>
  <c r="BZ374" i="7"/>
  <c r="CU373" i="7"/>
  <c r="EN373" i="7"/>
  <c r="CE373" i="7"/>
  <c r="CZ372" i="7"/>
  <c r="AM372" i="7"/>
  <c r="AP371" i="7"/>
  <c r="BG371" i="7" s="1"/>
  <c r="AR371" i="7"/>
  <c r="BI371" i="7" s="1"/>
  <c r="AQ371" i="7"/>
  <c r="BH371" i="7" s="1"/>
  <c r="BW374" i="7"/>
  <c r="CR373" i="7"/>
  <c r="CB374" i="7"/>
  <c r="CW373" i="7"/>
  <c r="P372" i="7"/>
  <c r="BU375" i="7"/>
  <c r="CP374" i="7"/>
  <c r="CA374" i="7"/>
  <c r="CV373" i="7"/>
  <c r="EO373" i="7"/>
  <c r="BT374" i="7"/>
  <c r="CO373" i="7"/>
  <c r="BJ362" i="7"/>
  <c r="BM362" i="7" s="1"/>
  <c r="B362" i="7" s="1"/>
  <c r="C362" i="7"/>
  <c r="F362" i="7" s="1"/>
  <c r="AJ363" i="7"/>
  <c r="CC375" i="7"/>
  <c r="CX374" i="7"/>
  <c r="EA372" i="7"/>
  <c r="DV372" i="7"/>
  <c r="BS373" i="7"/>
  <c r="EF372" i="7"/>
  <c r="DZ372" i="7"/>
  <c r="CN372" i="7"/>
  <c r="EC372" i="7"/>
  <c r="DX372" i="7"/>
  <c r="EB372" i="7"/>
  <c r="DW372" i="7"/>
  <c r="M372" i="7"/>
  <c r="BF370" i="7"/>
  <c r="BE370" i="7"/>
  <c r="BD370" i="7"/>
  <c r="CD374" i="7"/>
  <c r="CY373" i="7"/>
  <c r="CK375" i="7"/>
  <c r="DF374" i="7"/>
  <c r="CH373" i="7"/>
  <c r="DC372" i="7"/>
  <c r="BN372" i="7"/>
  <c r="CJ374" i="7"/>
  <c r="DE373" i="7"/>
  <c r="E362" i="7"/>
  <c r="BL362" i="7"/>
  <c r="AL363" i="7"/>
  <c r="BP371" i="7" l="1"/>
  <c r="P373" i="7"/>
  <c r="CM375" i="7"/>
  <c r="DH374" i="7"/>
  <c r="AN373" i="7"/>
  <c r="CF374" i="7"/>
  <c r="DA373" i="7"/>
  <c r="CH374" i="7"/>
  <c r="DC373" i="7"/>
  <c r="BN373" i="7"/>
  <c r="CD375" i="7"/>
  <c r="CY374" i="7"/>
  <c r="BA372" i="7"/>
  <c r="DP372" i="7" s="1"/>
  <c r="AW372" i="7"/>
  <c r="DL372" i="7" s="1"/>
  <c r="AZ372" i="7"/>
  <c r="DO372" i="7" s="1"/>
  <c r="AV372" i="7"/>
  <c r="DK372" i="7" s="1"/>
  <c r="BC372" i="7"/>
  <c r="DR372" i="7" s="1"/>
  <c r="AY372" i="7"/>
  <c r="DN372" i="7" s="1"/>
  <c r="AU372" i="7"/>
  <c r="DJ372" i="7" s="1"/>
  <c r="BB372" i="7"/>
  <c r="DQ372" i="7" s="1"/>
  <c r="AX372" i="7"/>
  <c r="DM372" i="7" s="1"/>
  <c r="AT372" i="7"/>
  <c r="DI372" i="7" s="1"/>
  <c r="AH372" i="7"/>
  <c r="AF372" i="7"/>
  <c r="AI372" i="7" s="1"/>
  <c r="AG372" i="7"/>
  <c r="BS374" i="7"/>
  <c r="EF373" i="7"/>
  <c r="DZ373" i="7"/>
  <c r="CN373" i="7"/>
  <c r="EC373" i="7"/>
  <c r="DX373" i="7"/>
  <c r="EB373" i="7"/>
  <c r="DW373" i="7"/>
  <c r="EA373" i="7"/>
  <c r="DV373" i="7"/>
  <c r="M373" i="7"/>
  <c r="CC376" i="7"/>
  <c r="CX375" i="7"/>
  <c r="CA375" i="7"/>
  <c r="CV374" i="7"/>
  <c r="N373" i="7"/>
  <c r="BW375" i="7"/>
  <c r="CR374" i="7"/>
  <c r="BZ375" i="7"/>
  <c r="CU374" i="7"/>
  <c r="EN374" i="7"/>
  <c r="AR372" i="7"/>
  <c r="BI372" i="7" s="1"/>
  <c r="AQ372" i="7"/>
  <c r="AP372" i="7"/>
  <c r="BG372" i="7" s="1"/>
  <c r="E363" i="7"/>
  <c r="BL363" i="7"/>
  <c r="AL364" i="7"/>
  <c r="BO371" i="7"/>
  <c r="BQ371" i="7" s="1"/>
  <c r="BJ363" i="7"/>
  <c r="BM363" i="7" s="1"/>
  <c r="B363" i="7" s="1"/>
  <c r="C363" i="7"/>
  <c r="F363" i="7" s="1"/>
  <c r="AJ364" i="7"/>
  <c r="EO374" i="7"/>
  <c r="BT375" i="7"/>
  <c r="CO374" i="7"/>
  <c r="CE374" i="7"/>
  <c r="CZ373" i="7"/>
  <c r="AM373" i="7"/>
  <c r="D363" i="7"/>
  <c r="BK363" i="7"/>
  <c r="AK364" i="7"/>
  <c r="BV375" i="7"/>
  <c r="CQ374" i="7"/>
  <c r="DS374" i="7"/>
  <c r="CI375" i="7"/>
  <c r="DD374" i="7"/>
  <c r="BX375" i="7"/>
  <c r="CS374" i="7"/>
  <c r="BH372" i="7"/>
  <c r="BP370" i="7"/>
  <c r="BQ370" i="7" s="1"/>
  <c r="CJ375" i="7"/>
  <c r="DE374" i="7"/>
  <c r="CK376" i="7"/>
  <c r="DF375" i="7"/>
  <c r="BU376" i="7"/>
  <c r="CP375" i="7"/>
  <c r="CB375" i="7"/>
  <c r="CW374" i="7"/>
  <c r="EM375" i="7"/>
  <c r="DG375" i="7"/>
  <c r="CL376" i="7"/>
  <c r="BY376" i="7"/>
  <c r="CT375" i="7"/>
  <c r="G369" i="7"/>
  <c r="H369" i="7"/>
  <c r="CG375" i="7"/>
  <c r="DB374" i="7"/>
  <c r="AO374" i="7"/>
  <c r="BF371" i="7"/>
  <c r="BE371" i="7"/>
  <c r="BD371" i="7"/>
  <c r="H370" i="7" l="1"/>
  <c r="G370" i="7"/>
  <c r="BP372" i="7"/>
  <c r="CJ376" i="7"/>
  <c r="DE375" i="7"/>
  <c r="BX376" i="7"/>
  <c r="CS375" i="7"/>
  <c r="CA376" i="7"/>
  <c r="CV375" i="7"/>
  <c r="CD376" i="7"/>
  <c r="CY375" i="7"/>
  <c r="CG376" i="7"/>
  <c r="DB375" i="7"/>
  <c r="AO375" i="7"/>
  <c r="BY377" i="7"/>
  <c r="CT376" i="7"/>
  <c r="EM376" i="7"/>
  <c r="DG376" i="7"/>
  <c r="CL377" i="7"/>
  <c r="CB376" i="7"/>
  <c r="CW375" i="7"/>
  <c r="CK377" i="7"/>
  <c r="DF376" i="7"/>
  <c r="BV376" i="7"/>
  <c r="CQ375" i="7"/>
  <c r="BT376" i="7"/>
  <c r="CO375" i="7"/>
  <c r="EO375" i="7"/>
  <c r="BW376" i="7"/>
  <c r="CR375" i="7"/>
  <c r="EC374" i="7"/>
  <c r="DX374" i="7"/>
  <c r="EB374" i="7"/>
  <c r="DW374" i="7"/>
  <c r="EA374" i="7"/>
  <c r="DV374" i="7"/>
  <c r="BS375" i="7"/>
  <c r="EF374" i="7"/>
  <c r="DZ374" i="7"/>
  <c r="CN374" i="7"/>
  <c r="M374" i="7"/>
  <c r="BE372" i="7"/>
  <c r="BD372" i="7"/>
  <c r="BF372" i="7"/>
  <c r="CF375" i="7"/>
  <c r="DA374" i="7"/>
  <c r="AN374" i="7"/>
  <c r="CM376" i="7"/>
  <c r="DH375" i="7"/>
  <c r="CI376" i="7"/>
  <c r="DD375" i="7"/>
  <c r="DS375" i="7"/>
  <c r="D364" i="7"/>
  <c r="BK364" i="7"/>
  <c r="AK365" i="7"/>
  <c r="H371" i="7"/>
  <c r="G371" i="7"/>
  <c r="AR373" i="7"/>
  <c r="BI373" i="7" s="1"/>
  <c r="AQ373" i="7"/>
  <c r="AP373" i="7"/>
  <c r="BG373" i="7" s="1"/>
  <c r="CC377" i="7"/>
  <c r="CX376" i="7"/>
  <c r="BO372" i="7"/>
  <c r="BQ372" i="7" s="1"/>
  <c r="BH373" i="7"/>
  <c r="N374" i="7"/>
  <c r="BU377" i="7"/>
  <c r="CP376" i="7"/>
  <c r="P374" i="7"/>
  <c r="N375" i="7" s="1"/>
  <c r="AM374" i="7"/>
  <c r="CE375" i="7"/>
  <c r="CZ374" i="7"/>
  <c r="C364" i="7"/>
  <c r="F364" i="7" s="1"/>
  <c r="BJ364" i="7"/>
  <c r="BM364" i="7" s="1"/>
  <c r="B364" i="7" s="1"/>
  <c r="AJ365" i="7"/>
  <c r="BL364" i="7"/>
  <c r="E364" i="7"/>
  <c r="AL365" i="7"/>
  <c r="EN375" i="7"/>
  <c r="BZ376" i="7"/>
  <c r="CU375" i="7"/>
  <c r="AZ373" i="7"/>
  <c r="DO373" i="7" s="1"/>
  <c r="AV373" i="7"/>
  <c r="DK373" i="7" s="1"/>
  <c r="BC373" i="7"/>
  <c r="DR373" i="7" s="1"/>
  <c r="AY373" i="7"/>
  <c r="DN373" i="7" s="1"/>
  <c r="AU373" i="7"/>
  <c r="DJ373" i="7" s="1"/>
  <c r="BB373" i="7"/>
  <c r="DQ373" i="7" s="1"/>
  <c r="AX373" i="7"/>
  <c r="DM373" i="7" s="1"/>
  <c r="AT373" i="7"/>
  <c r="BA373" i="7"/>
  <c r="DP373" i="7" s="1"/>
  <c r="AW373" i="7"/>
  <c r="DL373" i="7" s="1"/>
  <c r="AH373" i="7"/>
  <c r="AG373" i="7"/>
  <c r="AF373" i="7"/>
  <c r="AI373" i="7" s="1"/>
  <c r="CH375" i="7"/>
  <c r="DC374" i="7"/>
  <c r="BN374" i="7"/>
  <c r="BZ377" i="7" l="1"/>
  <c r="CU376" i="7"/>
  <c r="EN376" i="7"/>
  <c r="BK365" i="7"/>
  <c r="D365" i="7"/>
  <c r="AK366" i="7"/>
  <c r="CM377" i="7"/>
  <c r="DH376" i="7"/>
  <c r="BC374" i="7"/>
  <c r="DR374" i="7" s="1"/>
  <c r="AY374" i="7"/>
  <c r="DN374" i="7" s="1"/>
  <c r="AU374" i="7"/>
  <c r="DJ374" i="7" s="1"/>
  <c r="BB374" i="7"/>
  <c r="DQ374" i="7" s="1"/>
  <c r="AX374" i="7"/>
  <c r="DM374" i="7" s="1"/>
  <c r="AT374" i="7"/>
  <c r="BA374" i="7"/>
  <c r="DP374" i="7" s="1"/>
  <c r="AW374" i="7"/>
  <c r="DL374" i="7" s="1"/>
  <c r="AZ374" i="7"/>
  <c r="DO374" i="7" s="1"/>
  <c r="AV374" i="7"/>
  <c r="DK374" i="7" s="1"/>
  <c r="AF374" i="7"/>
  <c r="AI374" i="7" s="1"/>
  <c r="AG374" i="7"/>
  <c r="AH374" i="7"/>
  <c r="EB375" i="7"/>
  <c r="DW375" i="7"/>
  <c r="EA375" i="7"/>
  <c r="DV375" i="7"/>
  <c r="BS376" i="7"/>
  <c r="EF375" i="7"/>
  <c r="DZ375" i="7"/>
  <c r="CN375" i="7"/>
  <c r="EC375" i="7"/>
  <c r="DX375" i="7"/>
  <c r="M375" i="7"/>
  <c r="BW377" i="7"/>
  <c r="CR376" i="7"/>
  <c r="CK378" i="7"/>
  <c r="DF377" i="7"/>
  <c r="CD377" i="7"/>
  <c r="CY376" i="7"/>
  <c r="BX377" i="7"/>
  <c r="CS376" i="7"/>
  <c r="BN375" i="7"/>
  <c r="CH376" i="7"/>
  <c r="DC375" i="7"/>
  <c r="C365" i="7"/>
  <c r="F365" i="7" s="1"/>
  <c r="BJ365" i="7"/>
  <c r="BM365" i="7" s="1"/>
  <c r="B365" i="7" s="1"/>
  <c r="AJ366" i="7"/>
  <c r="CE376" i="7"/>
  <c r="CZ375" i="7"/>
  <c r="AM375" i="7"/>
  <c r="H372" i="7"/>
  <c r="G372" i="7"/>
  <c r="CI377" i="7"/>
  <c r="DD376" i="7"/>
  <c r="DS376" i="7"/>
  <c r="BO373" i="7"/>
  <c r="BL365" i="7"/>
  <c r="E365" i="7"/>
  <c r="AL366" i="7"/>
  <c r="BU378" i="7"/>
  <c r="CP377" i="7"/>
  <c r="BV377" i="7"/>
  <c r="CQ376" i="7"/>
  <c r="CB377" i="7"/>
  <c r="CW376" i="7"/>
  <c r="AO376" i="7"/>
  <c r="CG377" i="7"/>
  <c r="DB376" i="7"/>
  <c r="CA377" i="7"/>
  <c r="CV376" i="7"/>
  <c r="CJ377" i="7"/>
  <c r="DE376" i="7"/>
  <c r="BD373" i="7"/>
  <c r="BF373" i="7"/>
  <c r="BE373" i="7"/>
  <c r="AP375" i="7"/>
  <c r="AR375" i="7"/>
  <c r="BI375" i="7" s="1"/>
  <c r="AQ375" i="7"/>
  <c r="AQ374" i="7"/>
  <c r="BH374" i="7" s="1"/>
  <c r="AP374" i="7"/>
  <c r="BG374" i="7" s="1"/>
  <c r="AR374" i="7"/>
  <c r="BI374" i="7" s="1"/>
  <c r="CC378" i="7"/>
  <c r="CX377" i="7"/>
  <c r="P375" i="7"/>
  <c r="N376" i="7" s="1"/>
  <c r="CF376" i="7"/>
  <c r="DA375" i="7"/>
  <c r="AN375" i="7"/>
  <c r="BH375" i="7" s="1"/>
  <c r="BT377" i="7"/>
  <c r="CO376" i="7"/>
  <c r="EO376" i="7"/>
  <c r="EM377" i="7"/>
  <c r="DG377" i="7"/>
  <c r="CL378" i="7"/>
  <c r="BY378" i="7"/>
  <c r="CT377" i="7"/>
  <c r="DI373" i="7"/>
  <c r="DI374" i="7" s="1"/>
  <c r="BP374" i="7" l="1"/>
  <c r="BT378" i="7"/>
  <c r="EO377" i="7"/>
  <c r="CO377" i="7"/>
  <c r="CB378" i="7"/>
  <c r="CW377" i="7"/>
  <c r="BU379" i="7"/>
  <c r="CP378" i="7"/>
  <c r="BG375" i="7"/>
  <c r="CY377" i="7"/>
  <c r="CD378" i="7"/>
  <c r="EA376" i="7"/>
  <c r="DV376" i="7"/>
  <c r="BS377" i="7"/>
  <c r="EF376" i="7"/>
  <c r="DZ376" i="7"/>
  <c r="CN376" i="7"/>
  <c r="EC376" i="7"/>
  <c r="DX376" i="7"/>
  <c r="EB376" i="7"/>
  <c r="DW376" i="7"/>
  <c r="M376" i="7"/>
  <c r="BF374" i="7"/>
  <c r="BE374" i="7"/>
  <c r="BD374" i="7"/>
  <c r="BK366" i="7"/>
  <c r="D366" i="7"/>
  <c r="AK367" i="7"/>
  <c r="AR376" i="7"/>
  <c r="AQ376" i="7"/>
  <c r="AP376" i="7"/>
  <c r="CJ378" i="7"/>
  <c r="DE377" i="7"/>
  <c r="CG378" i="7"/>
  <c r="DB377" i="7"/>
  <c r="AO377" i="7"/>
  <c r="CI378" i="7"/>
  <c r="DS377" i="7"/>
  <c r="DD377" i="7"/>
  <c r="BW378" i="7"/>
  <c r="CR377" i="7"/>
  <c r="BO374" i="7"/>
  <c r="BQ374" i="7" s="1"/>
  <c r="EN377" i="7"/>
  <c r="BZ378" i="7"/>
  <c r="CU377" i="7"/>
  <c r="BY379" i="7"/>
  <c r="CT378" i="7"/>
  <c r="BI376" i="7"/>
  <c r="BV378" i="7"/>
  <c r="CQ377" i="7"/>
  <c r="E366" i="7"/>
  <c r="BL366" i="7"/>
  <c r="AL367" i="7"/>
  <c r="CE377" i="7"/>
  <c r="CZ376" i="7"/>
  <c r="AM376" i="7"/>
  <c r="BG376" i="7" s="1"/>
  <c r="BX378" i="7"/>
  <c r="CS377" i="7"/>
  <c r="BB375" i="7"/>
  <c r="DQ375" i="7" s="1"/>
  <c r="AX375" i="7"/>
  <c r="DM375" i="7" s="1"/>
  <c r="AT375" i="7"/>
  <c r="BA375" i="7"/>
  <c r="DP375" i="7" s="1"/>
  <c r="AW375" i="7"/>
  <c r="DL375" i="7" s="1"/>
  <c r="AZ375" i="7"/>
  <c r="DO375" i="7" s="1"/>
  <c r="AV375" i="7"/>
  <c r="DK375" i="7" s="1"/>
  <c r="BC375" i="7"/>
  <c r="DR375" i="7" s="1"/>
  <c r="AY375" i="7"/>
  <c r="DN375" i="7" s="1"/>
  <c r="AU375" i="7"/>
  <c r="DJ375" i="7" s="1"/>
  <c r="AF375" i="7"/>
  <c r="AI375" i="7" s="1"/>
  <c r="AH375" i="7"/>
  <c r="AG375" i="7"/>
  <c r="DI375" i="7"/>
  <c r="EM378" i="7"/>
  <c r="DG378" i="7"/>
  <c r="CL379" i="7"/>
  <c r="CF377" i="7"/>
  <c r="DA376" i="7"/>
  <c r="AN376" i="7"/>
  <c r="BH376" i="7" s="1"/>
  <c r="CC379" i="7"/>
  <c r="CX378" i="7"/>
  <c r="CA378" i="7"/>
  <c r="CV377" i="7"/>
  <c r="P376" i="7"/>
  <c r="N377" i="7" s="1"/>
  <c r="BJ366" i="7"/>
  <c r="BM366" i="7" s="1"/>
  <c r="B366" i="7" s="1"/>
  <c r="C366" i="7"/>
  <c r="F366" i="7" s="1"/>
  <c r="AJ367" i="7"/>
  <c r="CH377" i="7"/>
  <c r="DC376" i="7"/>
  <c r="BN376" i="7"/>
  <c r="CK379" i="7"/>
  <c r="DF378" i="7"/>
  <c r="CM378" i="7"/>
  <c r="DH377" i="7"/>
  <c r="BP373" i="7"/>
  <c r="BQ373" i="7" s="1"/>
  <c r="BP375" i="7" l="1"/>
  <c r="G373" i="7"/>
  <c r="H373" i="7"/>
  <c r="CK380" i="7"/>
  <c r="DF379" i="7"/>
  <c r="AR377" i="7"/>
  <c r="AQ377" i="7"/>
  <c r="AP377" i="7"/>
  <c r="CC380" i="7"/>
  <c r="CX379" i="7"/>
  <c r="DG379" i="7"/>
  <c r="EM379" i="7"/>
  <c r="CL380" i="7"/>
  <c r="BI377" i="7"/>
  <c r="CJ379" i="7"/>
  <c r="DE378" i="7"/>
  <c r="CD379" i="7"/>
  <c r="CY378" i="7"/>
  <c r="CE378" i="7"/>
  <c r="CZ377" i="7"/>
  <c r="AM377" i="7"/>
  <c r="BG377" i="7" s="1"/>
  <c r="BY380" i="7"/>
  <c r="CT379" i="7"/>
  <c r="H374" i="7"/>
  <c r="G374" i="7"/>
  <c r="P377" i="7"/>
  <c r="BA376" i="7"/>
  <c r="DP376" i="7" s="1"/>
  <c r="AW376" i="7"/>
  <c r="DL376" i="7" s="1"/>
  <c r="AZ376" i="7"/>
  <c r="DO376" i="7" s="1"/>
  <c r="AV376" i="7"/>
  <c r="DK376" i="7" s="1"/>
  <c r="BC376" i="7"/>
  <c r="DR376" i="7" s="1"/>
  <c r="AY376" i="7"/>
  <c r="DN376" i="7" s="1"/>
  <c r="AU376" i="7"/>
  <c r="DJ376" i="7" s="1"/>
  <c r="BB376" i="7"/>
  <c r="DQ376" i="7" s="1"/>
  <c r="AX376" i="7"/>
  <c r="DM376" i="7" s="1"/>
  <c r="AT376" i="7"/>
  <c r="AG376" i="7"/>
  <c r="AF376" i="7"/>
  <c r="AI376" i="7" s="1"/>
  <c r="AH376" i="7"/>
  <c r="EB377" i="7"/>
  <c r="DW377" i="7"/>
  <c r="EA377" i="7"/>
  <c r="DV377" i="7"/>
  <c r="BS378" i="7"/>
  <c r="EC377" i="7"/>
  <c r="CN377" i="7"/>
  <c r="DZ377" i="7"/>
  <c r="DX377" i="7"/>
  <c r="EF377" i="7"/>
  <c r="M377" i="7"/>
  <c r="BU380" i="7"/>
  <c r="CP379" i="7"/>
  <c r="BJ367" i="7"/>
  <c r="BM367" i="7" s="1"/>
  <c r="B367" i="7" s="1"/>
  <c r="C367" i="7"/>
  <c r="F367" i="7" s="1"/>
  <c r="AJ368" i="7"/>
  <c r="CM379" i="7"/>
  <c r="DH378" i="7"/>
  <c r="BF375" i="7"/>
  <c r="BE375" i="7"/>
  <c r="BD375" i="7"/>
  <c r="BX379" i="7"/>
  <c r="CS378" i="7"/>
  <c r="E367" i="7"/>
  <c r="BL367" i="7"/>
  <c r="AL368" i="7"/>
  <c r="BV379" i="7"/>
  <c r="CQ378" i="7"/>
  <c r="CI379" i="7"/>
  <c r="DD378" i="7"/>
  <c r="DS378" i="7"/>
  <c r="AO378" i="7"/>
  <c r="CG379" i="7"/>
  <c r="DB378" i="7"/>
  <c r="BO375" i="7"/>
  <c r="BQ375" i="7" s="1"/>
  <c r="BT379" i="7"/>
  <c r="CO378" i="7"/>
  <c r="EO378" i="7"/>
  <c r="CA379" i="7"/>
  <c r="CV378" i="7"/>
  <c r="DC377" i="7"/>
  <c r="CH378" i="7"/>
  <c r="BN377" i="7"/>
  <c r="CF378" i="7"/>
  <c r="AN377" i="7"/>
  <c r="BH377" i="7" s="1"/>
  <c r="DA377" i="7"/>
  <c r="DI376" i="7"/>
  <c r="BZ379" i="7"/>
  <c r="CU378" i="7"/>
  <c r="EN378" i="7"/>
  <c r="BW379" i="7"/>
  <c r="CR378" i="7"/>
  <c r="D367" i="7"/>
  <c r="BK367" i="7"/>
  <c r="AK368" i="7"/>
  <c r="CB379" i="7"/>
  <c r="CW378" i="7"/>
  <c r="BP376" i="7" l="1"/>
  <c r="D368" i="7"/>
  <c r="BK368" i="7"/>
  <c r="AK369" i="7"/>
  <c r="CA380" i="7"/>
  <c r="CV379" i="7"/>
  <c r="H375" i="7"/>
  <c r="G375" i="7"/>
  <c r="P378" i="7"/>
  <c r="BV380" i="7"/>
  <c r="CQ379" i="7"/>
  <c r="AZ377" i="7"/>
  <c r="DO377" i="7" s="1"/>
  <c r="AV377" i="7"/>
  <c r="DK377" i="7" s="1"/>
  <c r="BC377" i="7"/>
  <c r="DR377" i="7" s="1"/>
  <c r="AY377" i="7"/>
  <c r="DN377" i="7" s="1"/>
  <c r="AU377" i="7"/>
  <c r="DJ377" i="7" s="1"/>
  <c r="BB377" i="7"/>
  <c r="DQ377" i="7" s="1"/>
  <c r="AX377" i="7"/>
  <c r="DM377" i="7" s="1"/>
  <c r="AT377" i="7"/>
  <c r="BA377" i="7"/>
  <c r="DP377" i="7" s="1"/>
  <c r="AW377" i="7"/>
  <c r="DL377" i="7" s="1"/>
  <c r="AG377" i="7"/>
  <c r="AH377" i="7"/>
  <c r="AF377" i="7"/>
  <c r="AI377" i="7" s="1"/>
  <c r="BO376" i="7"/>
  <c r="BQ376" i="7" s="1"/>
  <c r="N378" i="7"/>
  <c r="CE379" i="7"/>
  <c r="CZ378" i="7"/>
  <c r="AM378" i="7"/>
  <c r="BL368" i="7"/>
  <c r="E368" i="7"/>
  <c r="AL369" i="7"/>
  <c r="BX380" i="7"/>
  <c r="CS379" i="7"/>
  <c r="BY381" i="7"/>
  <c r="CT380" i="7"/>
  <c r="CJ380" i="7"/>
  <c r="DE379" i="7"/>
  <c r="BW380" i="7"/>
  <c r="CR379" i="7"/>
  <c r="CG380" i="7"/>
  <c r="DB379" i="7"/>
  <c r="AO379" i="7"/>
  <c r="CI380" i="7"/>
  <c r="DD379" i="7"/>
  <c r="DS379" i="7"/>
  <c r="CM380" i="7"/>
  <c r="DH379" i="7"/>
  <c r="EA378" i="7"/>
  <c r="DV378" i="7"/>
  <c r="BS379" i="7"/>
  <c r="EF378" i="7"/>
  <c r="DZ378" i="7"/>
  <c r="CN378" i="7"/>
  <c r="EC378" i="7"/>
  <c r="DX378" i="7"/>
  <c r="EB378" i="7"/>
  <c r="DW378" i="7"/>
  <c r="M378" i="7"/>
  <c r="BE376" i="7"/>
  <c r="BD376" i="7"/>
  <c r="BF376" i="7"/>
  <c r="CH379" i="7"/>
  <c r="DC378" i="7"/>
  <c r="BN378" i="7"/>
  <c r="CB380" i="7"/>
  <c r="CW379" i="7"/>
  <c r="BZ380" i="7"/>
  <c r="CU379" i="7"/>
  <c r="EN379" i="7"/>
  <c r="CF379" i="7"/>
  <c r="DA378" i="7"/>
  <c r="AN378" i="7"/>
  <c r="EO379" i="7"/>
  <c r="BT380" i="7"/>
  <c r="CO379" i="7"/>
  <c r="C368" i="7"/>
  <c r="F368" i="7" s="1"/>
  <c r="BJ368" i="7"/>
  <c r="BM368" i="7" s="1"/>
  <c r="B368" i="7" s="1"/>
  <c r="AJ369" i="7"/>
  <c r="BU381" i="7"/>
  <c r="CP380" i="7"/>
  <c r="CD380" i="7"/>
  <c r="CY379" i="7"/>
  <c r="DG380" i="7"/>
  <c r="EM380" i="7"/>
  <c r="CL381" i="7"/>
  <c r="CC381" i="7"/>
  <c r="CX380" i="7"/>
  <c r="CK381" i="7"/>
  <c r="DF380" i="7"/>
  <c r="CG381" i="7" l="1"/>
  <c r="DB380" i="7"/>
  <c r="AO380" i="7"/>
  <c r="CJ381" i="7"/>
  <c r="DE380" i="7"/>
  <c r="BX381" i="7"/>
  <c r="CS380" i="7"/>
  <c r="H376" i="7"/>
  <c r="G376" i="7"/>
  <c r="EM381" i="7"/>
  <c r="DG381" i="7"/>
  <c r="CL382" i="7"/>
  <c r="EO380" i="7"/>
  <c r="BT381" i="7"/>
  <c r="CO380" i="7"/>
  <c r="AN379" i="7"/>
  <c r="CF380" i="7"/>
  <c r="DA379" i="7"/>
  <c r="DS380" i="7"/>
  <c r="CI381" i="7"/>
  <c r="DD380" i="7"/>
  <c r="BL369" i="7"/>
  <c r="E369" i="7"/>
  <c r="AL370" i="7"/>
  <c r="N379" i="7"/>
  <c r="CA381" i="7"/>
  <c r="CV380" i="7"/>
  <c r="BU382" i="7"/>
  <c r="CP381" i="7"/>
  <c r="CC382" i="7"/>
  <c r="CX381" i="7"/>
  <c r="C369" i="7"/>
  <c r="F369" i="7" s="1"/>
  <c r="BJ369" i="7"/>
  <c r="BM369" i="7" s="1"/>
  <c r="B369" i="7" s="1"/>
  <c r="AJ370" i="7"/>
  <c r="BZ381" i="7"/>
  <c r="CU380" i="7"/>
  <c r="EN380" i="7"/>
  <c r="CD381" i="7"/>
  <c r="CY380" i="7"/>
  <c r="CH380" i="7"/>
  <c r="DC379" i="7"/>
  <c r="BN379" i="7"/>
  <c r="CK382" i="7"/>
  <c r="DF381" i="7"/>
  <c r="CB381" i="7"/>
  <c r="CW380" i="7"/>
  <c r="BA378" i="7"/>
  <c r="DP378" i="7" s="1"/>
  <c r="AW378" i="7"/>
  <c r="DL378" i="7" s="1"/>
  <c r="AZ378" i="7"/>
  <c r="DO378" i="7" s="1"/>
  <c r="AV378" i="7"/>
  <c r="DK378" i="7" s="1"/>
  <c r="BC378" i="7"/>
  <c r="DR378" i="7" s="1"/>
  <c r="AY378" i="7"/>
  <c r="DN378" i="7" s="1"/>
  <c r="AU378" i="7"/>
  <c r="DJ378" i="7" s="1"/>
  <c r="AT378" i="7"/>
  <c r="BB378" i="7"/>
  <c r="DQ378" i="7" s="1"/>
  <c r="AX378" i="7"/>
  <c r="DM378" i="7" s="1"/>
  <c r="AF378" i="7"/>
  <c r="AI378" i="7" s="1"/>
  <c r="AH378" i="7"/>
  <c r="AG378" i="7"/>
  <c r="BS380" i="7"/>
  <c r="EF379" i="7"/>
  <c r="DZ379" i="7"/>
  <c r="CN379" i="7"/>
  <c r="EC379" i="7"/>
  <c r="DX379" i="7"/>
  <c r="EB379" i="7"/>
  <c r="DW379" i="7"/>
  <c r="EA379" i="7"/>
  <c r="DV379" i="7"/>
  <c r="M379" i="7"/>
  <c r="CM381" i="7"/>
  <c r="DH380" i="7"/>
  <c r="BW381" i="7"/>
  <c r="CR380" i="7"/>
  <c r="BY382" i="7"/>
  <c r="CT381" i="7"/>
  <c r="CE380" i="7"/>
  <c r="CZ379" i="7"/>
  <c r="AM379" i="7"/>
  <c r="BD377" i="7"/>
  <c r="BF377" i="7"/>
  <c r="BE377" i="7"/>
  <c r="DI377" i="7"/>
  <c r="DI378" i="7" s="1"/>
  <c r="BO377" i="7"/>
  <c r="P379" i="7"/>
  <c r="N380" i="7" s="1"/>
  <c r="AR378" i="7"/>
  <c r="BI378" i="7" s="1"/>
  <c r="AQ378" i="7"/>
  <c r="BH378" i="7" s="1"/>
  <c r="AP378" i="7"/>
  <c r="BG378" i="7" s="1"/>
  <c r="BV381" i="7"/>
  <c r="CQ380" i="7"/>
  <c r="BK369" i="7"/>
  <c r="D369" i="7"/>
  <c r="AK370" i="7"/>
  <c r="BP378" i="7" l="1"/>
  <c r="CB382" i="7"/>
  <c r="CW381" i="7"/>
  <c r="AR379" i="7"/>
  <c r="BI379" i="7" s="1"/>
  <c r="AQ379" i="7"/>
  <c r="AP379" i="7"/>
  <c r="CF381" i="7"/>
  <c r="DA380" i="7"/>
  <c r="AN380" i="7"/>
  <c r="BX382" i="7"/>
  <c r="CS381" i="7"/>
  <c r="AQ380" i="7"/>
  <c r="AP380" i="7"/>
  <c r="AR380" i="7"/>
  <c r="BK370" i="7"/>
  <c r="D370" i="7"/>
  <c r="AK371" i="7"/>
  <c r="BV382" i="7"/>
  <c r="CQ381" i="7"/>
  <c r="BG379" i="7"/>
  <c r="BY383" i="7"/>
  <c r="CT382" i="7"/>
  <c r="EC380" i="7"/>
  <c r="DX380" i="7"/>
  <c r="EB380" i="7"/>
  <c r="DW380" i="7"/>
  <c r="EA380" i="7"/>
  <c r="DV380" i="7"/>
  <c r="BS381" i="7"/>
  <c r="EF380" i="7"/>
  <c r="DZ380" i="7"/>
  <c r="CN380" i="7"/>
  <c r="M380" i="7"/>
  <c r="CH381" i="7"/>
  <c r="DC380" i="7"/>
  <c r="BN380" i="7"/>
  <c r="BU383" i="7"/>
  <c r="CP382" i="7"/>
  <c r="E370" i="7"/>
  <c r="BL370" i="7"/>
  <c r="AL371" i="7"/>
  <c r="CI382" i="7"/>
  <c r="DD381" i="7"/>
  <c r="DS381" i="7"/>
  <c r="BH379" i="7"/>
  <c r="EM382" i="7"/>
  <c r="DG382" i="7"/>
  <c r="CL383" i="7"/>
  <c r="CG382" i="7"/>
  <c r="DB381" i="7"/>
  <c r="AO381" i="7"/>
  <c r="CM382" i="7"/>
  <c r="DH381" i="7"/>
  <c r="BO378" i="7"/>
  <c r="BQ378" i="7" s="1"/>
  <c r="CK383" i="7"/>
  <c r="DF382" i="7"/>
  <c r="EN381" i="7"/>
  <c r="BZ382" i="7"/>
  <c r="CU381" i="7"/>
  <c r="P380" i="7"/>
  <c r="N381" i="7" s="1"/>
  <c r="CJ382" i="7"/>
  <c r="DE381" i="7"/>
  <c r="AM380" i="7"/>
  <c r="BG380" i="7" s="1"/>
  <c r="CE381" i="7"/>
  <c r="CZ380" i="7"/>
  <c r="BW382" i="7"/>
  <c r="CR381" i="7"/>
  <c r="AZ379" i="7"/>
  <c r="DO379" i="7" s="1"/>
  <c r="AV379" i="7"/>
  <c r="DK379" i="7" s="1"/>
  <c r="BC379" i="7"/>
  <c r="DR379" i="7" s="1"/>
  <c r="AY379" i="7"/>
  <c r="DN379" i="7" s="1"/>
  <c r="AU379" i="7"/>
  <c r="DJ379" i="7" s="1"/>
  <c r="BB379" i="7"/>
  <c r="DQ379" i="7" s="1"/>
  <c r="AX379" i="7"/>
  <c r="DM379" i="7" s="1"/>
  <c r="AT379" i="7"/>
  <c r="DI379" i="7" s="1"/>
  <c r="BA379" i="7"/>
  <c r="DP379" i="7" s="1"/>
  <c r="AW379" i="7"/>
  <c r="DL379" i="7" s="1"/>
  <c r="AG379" i="7"/>
  <c r="AF379" i="7"/>
  <c r="AI379" i="7" s="1"/>
  <c r="AH379" i="7"/>
  <c r="BE378" i="7"/>
  <c r="BD378" i="7"/>
  <c r="BF378" i="7"/>
  <c r="CD382" i="7"/>
  <c r="CY381" i="7"/>
  <c r="BJ370" i="7"/>
  <c r="BM370" i="7" s="1"/>
  <c r="B370" i="7" s="1"/>
  <c r="C370" i="7"/>
  <c r="F370" i="7" s="1"/>
  <c r="AJ371" i="7"/>
  <c r="CC383" i="7"/>
  <c r="CX382" i="7"/>
  <c r="CA382" i="7"/>
  <c r="CV381" i="7"/>
  <c r="BT382" i="7"/>
  <c r="CO381" i="7"/>
  <c r="EO381" i="7"/>
  <c r="BI380" i="7"/>
  <c r="BP377" i="7"/>
  <c r="BQ377" i="7" s="1"/>
  <c r="BP379" i="7" l="1"/>
  <c r="G377" i="7"/>
  <c r="H377" i="7"/>
  <c r="BW383" i="7"/>
  <c r="CR382" i="7"/>
  <c r="CK384" i="7"/>
  <c r="DF383" i="7"/>
  <c r="DG383" i="7"/>
  <c r="EM383" i="7"/>
  <c r="CL384" i="7"/>
  <c r="P381" i="7"/>
  <c r="BO379" i="7"/>
  <c r="BQ379" i="7" s="1"/>
  <c r="D371" i="7"/>
  <c r="BK371" i="7"/>
  <c r="AK372" i="7"/>
  <c r="BT383" i="7"/>
  <c r="CO382" i="7"/>
  <c r="EO382" i="7"/>
  <c r="BJ371" i="7"/>
  <c r="BM371" i="7" s="1"/>
  <c r="B371" i="7" s="1"/>
  <c r="C371" i="7"/>
  <c r="F371" i="7" s="1"/>
  <c r="AJ372" i="7"/>
  <c r="CD383" i="7"/>
  <c r="CY382" i="7"/>
  <c r="CJ383" i="7"/>
  <c r="DE382" i="7"/>
  <c r="H378" i="7"/>
  <c r="G378" i="7"/>
  <c r="CF382" i="7"/>
  <c r="DA381" i="7"/>
  <c r="AN381" i="7"/>
  <c r="CB383" i="7"/>
  <c r="CW382" i="7"/>
  <c r="CC384" i="7"/>
  <c r="CX383" i="7"/>
  <c r="BZ383" i="7"/>
  <c r="CU382" i="7"/>
  <c r="EN382" i="7"/>
  <c r="CA383" i="7"/>
  <c r="CV382" i="7"/>
  <c r="CE382" i="7"/>
  <c r="CZ381" i="7"/>
  <c r="AM381" i="7"/>
  <c r="AP381" i="7"/>
  <c r="AR381" i="7"/>
  <c r="BI381" i="7" s="1"/>
  <c r="AQ381" i="7"/>
  <c r="CI383" i="7"/>
  <c r="DD382" i="7"/>
  <c r="DS382" i="7"/>
  <c r="BN381" i="7"/>
  <c r="CH382" i="7"/>
  <c r="DC381" i="7"/>
  <c r="BX383" i="7"/>
  <c r="CS382" i="7"/>
  <c r="BD379" i="7"/>
  <c r="BF379" i="7"/>
  <c r="BE379" i="7"/>
  <c r="CM383" i="7"/>
  <c r="DH382" i="7"/>
  <c r="AO382" i="7"/>
  <c r="CG383" i="7"/>
  <c r="DB382" i="7"/>
  <c r="E371" i="7"/>
  <c r="BL371" i="7"/>
  <c r="AL372" i="7"/>
  <c r="BU384" i="7"/>
  <c r="CP383" i="7"/>
  <c r="BC380" i="7"/>
  <c r="DR380" i="7" s="1"/>
  <c r="AY380" i="7"/>
  <c r="DN380" i="7" s="1"/>
  <c r="AU380" i="7"/>
  <c r="DJ380" i="7" s="1"/>
  <c r="BB380" i="7"/>
  <c r="DQ380" i="7" s="1"/>
  <c r="AX380" i="7"/>
  <c r="DM380" i="7" s="1"/>
  <c r="AT380" i="7"/>
  <c r="DI380" i="7" s="1"/>
  <c r="BA380" i="7"/>
  <c r="DP380" i="7" s="1"/>
  <c r="AW380" i="7"/>
  <c r="DL380" i="7" s="1"/>
  <c r="AZ380" i="7"/>
  <c r="DO380" i="7" s="1"/>
  <c r="AV380" i="7"/>
  <c r="DK380" i="7" s="1"/>
  <c r="AH380" i="7"/>
  <c r="AG380" i="7"/>
  <c r="AF380" i="7"/>
  <c r="AI380" i="7" s="1"/>
  <c r="EB381" i="7"/>
  <c r="DW381" i="7"/>
  <c r="EA381" i="7"/>
  <c r="DV381" i="7"/>
  <c r="BS382" i="7"/>
  <c r="EF381" i="7"/>
  <c r="DZ381" i="7"/>
  <c r="CN381" i="7"/>
  <c r="BO380" i="7" s="1"/>
  <c r="EC381" i="7"/>
  <c r="DX381" i="7"/>
  <c r="M381" i="7"/>
  <c r="BY384" i="7"/>
  <c r="CT383" i="7"/>
  <c r="BV383" i="7"/>
  <c r="CQ382" i="7"/>
  <c r="BH380" i="7"/>
  <c r="BP380" i="7" l="1"/>
  <c r="BQ380" i="7"/>
  <c r="BB381" i="7"/>
  <c r="DQ381" i="7" s="1"/>
  <c r="AX381" i="7"/>
  <c r="DM381" i="7" s="1"/>
  <c r="AT381" i="7"/>
  <c r="BA381" i="7"/>
  <c r="DP381" i="7" s="1"/>
  <c r="AW381" i="7"/>
  <c r="DL381" i="7" s="1"/>
  <c r="AZ381" i="7"/>
  <c r="DO381" i="7" s="1"/>
  <c r="AV381" i="7"/>
  <c r="DK381" i="7" s="1"/>
  <c r="BC381" i="7"/>
  <c r="DR381" i="7" s="1"/>
  <c r="AY381" i="7"/>
  <c r="DN381" i="7" s="1"/>
  <c r="AU381" i="7"/>
  <c r="DJ381" i="7" s="1"/>
  <c r="AF381" i="7"/>
  <c r="AI381" i="7" s="1"/>
  <c r="AG381" i="7"/>
  <c r="AH381" i="7"/>
  <c r="CH383" i="7"/>
  <c r="DC382" i="7"/>
  <c r="BN382" i="7"/>
  <c r="CI384" i="7"/>
  <c r="DD383" i="7"/>
  <c r="DS383" i="7"/>
  <c r="CC385" i="7"/>
  <c r="CX384" i="7"/>
  <c r="CD384" i="7"/>
  <c r="CY383" i="7"/>
  <c r="BW384" i="7"/>
  <c r="CR383" i="7"/>
  <c r="BV384" i="7"/>
  <c r="CQ383" i="7"/>
  <c r="BU385" i="7"/>
  <c r="CP384" i="7"/>
  <c r="CM384" i="7"/>
  <c r="DH383" i="7"/>
  <c r="CE383" i="7"/>
  <c r="CZ382" i="7"/>
  <c r="AM382" i="7"/>
  <c r="CF383" i="7"/>
  <c r="DA382" i="7"/>
  <c r="AN382" i="7"/>
  <c r="C372" i="7"/>
  <c r="F372" i="7" s="1"/>
  <c r="BJ372" i="7"/>
  <c r="BM372" i="7" s="1"/>
  <c r="B372" i="7" s="1"/>
  <c r="AJ373" i="7"/>
  <c r="N382" i="7"/>
  <c r="BY385" i="7"/>
  <c r="CT384" i="7"/>
  <c r="EA382" i="7"/>
  <c r="DV382" i="7"/>
  <c r="BS383" i="7"/>
  <c r="EF382" i="7"/>
  <c r="DZ382" i="7"/>
  <c r="CN382" i="7"/>
  <c r="BO381" i="7" s="1"/>
  <c r="EC382" i="7"/>
  <c r="DX382" i="7"/>
  <c r="EB382" i="7"/>
  <c r="DW382" i="7"/>
  <c r="M382" i="7"/>
  <c r="BF380" i="7"/>
  <c r="BE380" i="7"/>
  <c r="BD380" i="7"/>
  <c r="BL372" i="7"/>
  <c r="E372" i="7"/>
  <c r="AL373" i="7"/>
  <c r="CG384" i="7"/>
  <c r="DB383" i="7"/>
  <c r="AO383" i="7"/>
  <c r="BX384" i="7"/>
  <c r="CS383" i="7"/>
  <c r="P382" i="7"/>
  <c r="N383" i="7" s="1"/>
  <c r="BZ384" i="7"/>
  <c r="CU383" i="7"/>
  <c r="EN383" i="7"/>
  <c r="CB384" i="7"/>
  <c r="CW383" i="7"/>
  <c r="CJ384" i="7"/>
  <c r="DE383" i="7"/>
  <c r="EO383" i="7"/>
  <c r="BT384" i="7"/>
  <c r="CO383" i="7"/>
  <c r="G379" i="7"/>
  <c r="H379" i="7"/>
  <c r="DG384" i="7"/>
  <c r="EM384" i="7"/>
  <c r="CL385" i="7"/>
  <c r="CK385" i="7"/>
  <c r="DF384" i="7"/>
  <c r="BG381" i="7"/>
  <c r="CA384" i="7"/>
  <c r="CV383" i="7"/>
  <c r="BH381" i="7"/>
  <c r="D372" i="7"/>
  <c r="BK372" i="7"/>
  <c r="AK373" i="7"/>
  <c r="BA382" i="7" l="1"/>
  <c r="DP382" i="7" s="1"/>
  <c r="AW382" i="7"/>
  <c r="DL382" i="7" s="1"/>
  <c r="AZ382" i="7"/>
  <c r="DO382" i="7" s="1"/>
  <c r="AV382" i="7"/>
  <c r="DK382" i="7" s="1"/>
  <c r="BC382" i="7"/>
  <c r="DR382" i="7" s="1"/>
  <c r="AY382" i="7"/>
  <c r="DN382" i="7" s="1"/>
  <c r="AU382" i="7"/>
  <c r="DJ382" i="7" s="1"/>
  <c r="BB382" i="7"/>
  <c r="DQ382" i="7" s="1"/>
  <c r="AX382" i="7"/>
  <c r="DM382" i="7" s="1"/>
  <c r="AT382" i="7"/>
  <c r="AH382" i="7"/>
  <c r="AG382" i="7"/>
  <c r="AF382" i="7"/>
  <c r="AI382" i="7" s="1"/>
  <c r="BS384" i="7"/>
  <c r="EF383" i="7"/>
  <c r="DZ383" i="7"/>
  <c r="CN383" i="7"/>
  <c r="EC383" i="7"/>
  <c r="DX383" i="7"/>
  <c r="EB383" i="7"/>
  <c r="DW383" i="7"/>
  <c r="EA383" i="7"/>
  <c r="DV383" i="7"/>
  <c r="M383" i="7"/>
  <c r="BY386" i="7"/>
  <c r="CT385" i="7"/>
  <c r="P383" i="7"/>
  <c r="N384" i="7" s="1"/>
  <c r="BF381" i="7"/>
  <c r="BE381" i="7"/>
  <c r="BD381" i="7"/>
  <c r="H380" i="7"/>
  <c r="G380" i="7"/>
  <c r="AR383" i="7"/>
  <c r="AQ383" i="7"/>
  <c r="AP383" i="7"/>
  <c r="CJ385" i="7"/>
  <c r="DE384" i="7"/>
  <c r="CG385" i="7"/>
  <c r="DB384" i="7"/>
  <c r="AO384" i="7"/>
  <c r="AR382" i="7"/>
  <c r="BI382" i="7" s="1"/>
  <c r="AQ382" i="7"/>
  <c r="BH382" i="7" s="1"/>
  <c r="AP382" i="7"/>
  <c r="BG382" i="7" s="1"/>
  <c r="CM385" i="7"/>
  <c r="DH384" i="7"/>
  <c r="BV385" i="7"/>
  <c r="CQ384" i="7"/>
  <c r="CD385" i="7"/>
  <c r="CY384" i="7"/>
  <c r="CH384" i="7"/>
  <c r="DC383" i="7"/>
  <c r="BN383" i="7"/>
  <c r="BK373" i="7"/>
  <c r="D373" i="7"/>
  <c r="AK374" i="7"/>
  <c r="EO384" i="7"/>
  <c r="BT385" i="7"/>
  <c r="CO384" i="7"/>
  <c r="BX385" i="7"/>
  <c r="CS384" i="7"/>
  <c r="BL373" i="7"/>
  <c r="E373" i="7"/>
  <c r="AL374" i="7"/>
  <c r="C373" i="7"/>
  <c r="F373" i="7" s="1"/>
  <c r="BJ373" i="7"/>
  <c r="BM373" i="7" s="1"/>
  <c r="B373" i="7" s="1"/>
  <c r="AJ374" i="7"/>
  <c r="CE384" i="7"/>
  <c r="CZ383" i="7"/>
  <c r="AM383" i="7"/>
  <c r="BG383" i="7" s="1"/>
  <c r="DS384" i="7"/>
  <c r="CI385" i="7"/>
  <c r="DD384" i="7"/>
  <c r="DI381" i="7"/>
  <c r="DI382" i="7" s="1"/>
  <c r="EM385" i="7"/>
  <c r="DG385" i="7"/>
  <c r="CL386" i="7"/>
  <c r="BZ385" i="7"/>
  <c r="CU384" i="7"/>
  <c r="EN384" i="7"/>
  <c r="CA385" i="7"/>
  <c r="CV384" i="7"/>
  <c r="CK386" i="7"/>
  <c r="DF385" i="7"/>
  <c r="CB385" i="7"/>
  <c r="CW384" i="7"/>
  <c r="BI383" i="7"/>
  <c r="AN383" i="7"/>
  <c r="BH383" i="7" s="1"/>
  <c r="CF384" i="7"/>
  <c r="DA383" i="7"/>
  <c r="BU386" i="7"/>
  <c r="CP385" i="7"/>
  <c r="BW385" i="7"/>
  <c r="CR384" i="7"/>
  <c r="CC386" i="7"/>
  <c r="CX385" i="7"/>
  <c r="BP382" i="7" l="1"/>
  <c r="BW386" i="7"/>
  <c r="CR385" i="7"/>
  <c r="CB386" i="7"/>
  <c r="CW385" i="7"/>
  <c r="CA386" i="7"/>
  <c r="CV385" i="7"/>
  <c r="CD386" i="7"/>
  <c r="CY385" i="7"/>
  <c r="CM386" i="7"/>
  <c r="DH385" i="7"/>
  <c r="BI384" i="7"/>
  <c r="CJ386" i="7"/>
  <c r="DE385" i="7"/>
  <c r="AQ384" i="7"/>
  <c r="AP384" i="7"/>
  <c r="AR384" i="7"/>
  <c r="BY387" i="7"/>
  <c r="CT386" i="7"/>
  <c r="BO382" i="7"/>
  <c r="BQ382" i="7" s="1"/>
  <c r="CF385" i="7"/>
  <c r="DA384" i="7"/>
  <c r="AN384" i="7"/>
  <c r="BH384" i="7" s="1"/>
  <c r="EM386" i="7"/>
  <c r="DG386" i="7"/>
  <c r="CL387" i="7"/>
  <c r="AZ383" i="7"/>
  <c r="DO383" i="7" s="1"/>
  <c r="AV383" i="7"/>
  <c r="DK383" i="7" s="1"/>
  <c r="BC383" i="7"/>
  <c r="DR383" i="7" s="1"/>
  <c r="AY383" i="7"/>
  <c r="DN383" i="7" s="1"/>
  <c r="AU383" i="7"/>
  <c r="DJ383" i="7" s="1"/>
  <c r="BB383" i="7"/>
  <c r="DQ383" i="7" s="1"/>
  <c r="AX383" i="7"/>
  <c r="DM383" i="7" s="1"/>
  <c r="AT383" i="7"/>
  <c r="BA383" i="7"/>
  <c r="DP383" i="7" s="1"/>
  <c r="AW383" i="7"/>
  <c r="DL383" i="7" s="1"/>
  <c r="AG383" i="7"/>
  <c r="AH383" i="7"/>
  <c r="AF383" i="7"/>
  <c r="AI383" i="7" s="1"/>
  <c r="BP381" i="7"/>
  <c r="BQ381" i="7" s="1"/>
  <c r="CI386" i="7"/>
  <c r="DD385" i="7"/>
  <c r="DS385" i="7"/>
  <c r="AM384" i="7"/>
  <c r="BG384" i="7" s="1"/>
  <c r="CE385" i="7"/>
  <c r="CZ384" i="7"/>
  <c r="E374" i="7"/>
  <c r="BL374" i="7"/>
  <c r="AL375" i="7"/>
  <c r="BX386" i="7"/>
  <c r="CS385" i="7"/>
  <c r="BK374" i="7"/>
  <c r="D374" i="7"/>
  <c r="AK375" i="7"/>
  <c r="CC387" i="7"/>
  <c r="CX386" i="7"/>
  <c r="BU387" i="7"/>
  <c r="CP386" i="7"/>
  <c r="CK387" i="7"/>
  <c r="DF386" i="7"/>
  <c r="P384" i="7"/>
  <c r="BJ374" i="7"/>
  <c r="BM374" i="7" s="1"/>
  <c r="B374" i="7" s="1"/>
  <c r="C374" i="7"/>
  <c r="F374" i="7" s="1"/>
  <c r="AJ375" i="7"/>
  <c r="CH385" i="7"/>
  <c r="DC384" i="7"/>
  <c r="BN384" i="7"/>
  <c r="BV386" i="7"/>
  <c r="CQ385" i="7"/>
  <c r="CG386" i="7"/>
  <c r="DB385" i="7"/>
  <c r="AO385" i="7"/>
  <c r="EN385" i="7"/>
  <c r="BZ386" i="7"/>
  <c r="CU385" i="7"/>
  <c r="DI383" i="7"/>
  <c r="BT386" i="7"/>
  <c r="CO385" i="7"/>
  <c r="EO385" i="7"/>
  <c r="EC384" i="7"/>
  <c r="DX384" i="7"/>
  <c r="EB384" i="7"/>
  <c r="DW384" i="7"/>
  <c r="EA384" i="7"/>
  <c r="DV384" i="7"/>
  <c r="BS385" i="7"/>
  <c r="EF384" i="7"/>
  <c r="DZ384" i="7"/>
  <c r="CN384" i="7"/>
  <c r="BO383" i="7" s="1"/>
  <c r="M384" i="7"/>
  <c r="BE382" i="7"/>
  <c r="BD382" i="7"/>
  <c r="BF382" i="7"/>
  <c r="BQ383" i="7" l="1"/>
  <c r="BP383" i="7"/>
  <c r="H381" i="7"/>
  <c r="G381" i="7"/>
  <c r="H382" i="7"/>
  <c r="G382" i="7"/>
  <c r="CB387" i="7"/>
  <c r="CW386" i="7"/>
  <c r="BC384" i="7"/>
  <c r="DR384" i="7" s="1"/>
  <c r="AY384" i="7"/>
  <c r="DN384" i="7" s="1"/>
  <c r="AU384" i="7"/>
  <c r="DJ384" i="7" s="1"/>
  <c r="BB384" i="7"/>
  <c r="DQ384" i="7" s="1"/>
  <c r="AX384" i="7"/>
  <c r="DM384" i="7" s="1"/>
  <c r="AT384" i="7"/>
  <c r="BA384" i="7"/>
  <c r="DP384" i="7" s="1"/>
  <c r="AW384" i="7"/>
  <c r="DL384" i="7" s="1"/>
  <c r="AZ384" i="7"/>
  <c r="DO384" i="7" s="1"/>
  <c r="AV384" i="7"/>
  <c r="DK384" i="7" s="1"/>
  <c r="AH384" i="7"/>
  <c r="AG384" i="7"/>
  <c r="AF384" i="7"/>
  <c r="AI384" i="7" s="1"/>
  <c r="EB385" i="7"/>
  <c r="DW385" i="7"/>
  <c r="EA385" i="7"/>
  <c r="DV385" i="7"/>
  <c r="BS386" i="7"/>
  <c r="EF385" i="7"/>
  <c r="DZ385" i="7"/>
  <c r="CN385" i="7"/>
  <c r="EC385" i="7"/>
  <c r="DX385" i="7"/>
  <c r="M385" i="7"/>
  <c r="BZ387" i="7"/>
  <c r="CU386" i="7"/>
  <c r="EN386" i="7"/>
  <c r="AO386" i="7"/>
  <c r="CG387" i="7"/>
  <c r="DB386" i="7"/>
  <c r="CK388" i="7"/>
  <c r="DF387" i="7"/>
  <c r="CC388" i="7"/>
  <c r="CX387" i="7"/>
  <c r="P385" i="7"/>
  <c r="CM387" i="7"/>
  <c r="DH386" i="7"/>
  <c r="BT387" i="7"/>
  <c r="CO386" i="7"/>
  <c r="EO386" i="7"/>
  <c r="BN385" i="7"/>
  <c r="CH386" i="7"/>
  <c r="DC385" i="7"/>
  <c r="N385" i="7"/>
  <c r="D375" i="7"/>
  <c r="BK375" i="7"/>
  <c r="AK376" i="7"/>
  <c r="BX387" i="7"/>
  <c r="CS386" i="7"/>
  <c r="BD383" i="7"/>
  <c r="BF383" i="7"/>
  <c r="BE383" i="7"/>
  <c r="DG387" i="7"/>
  <c r="EM387" i="7"/>
  <c r="CL388" i="7"/>
  <c r="BY388" i="7"/>
  <c r="CT387" i="7"/>
  <c r="CJ387" i="7"/>
  <c r="DE386" i="7"/>
  <c r="CA387" i="7"/>
  <c r="CV386" i="7"/>
  <c r="BW387" i="7"/>
  <c r="CR386" i="7"/>
  <c r="DI384" i="7"/>
  <c r="BV387" i="7"/>
  <c r="CQ386" i="7"/>
  <c r="BJ375" i="7"/>
  <c r="BM375" i="7" s="1"/>
  <c r="B375" i="7" s="1"/>
  <c r="C375" i="7"/>
  <c r="F375" i="7" s="1"/>
  <c r="AJ376" i="7"/>
  <c r="BU388" i="7"/>
  <c r="CP387" i="7"/>
  <c r="E375" i="7"/>
  <c r="BL375" i="7"/>
  <c r="AL376" i="7"/>
  <c r="CE386" i="7"/>
  <c r="CZ385" i="7"/>
  <c r="AM385" i="7"/>
  <c r="CI387" i="7"/>
  <c r="DD386" i="7"/>
  <c r="DS386" i="7"/>
  <c r="CF386" i="7"/>
  <c r="DA385" i="7"/>
  <c r="AN385" i="7"/>
  <c r="CD387" i="7"/>
  <c r="CY386" i="7"/>
  <c r="BP384" i="7" l="1"/>
  <c r="EA386" i="7"/>
  <c r="DV386" i="7"/>
  <c r="BS387" i="7"/>
  <c r="EF386" i="7"/>
  <c r="DZ386" i="7"/>
  <c r="CN386" i="7"/>
  <c r="EC386" i="7"/>
  <c r="DX386" i="7"/>
  <c r="EB386" i="7"/>
  <c r="DW386" i="7"/>
  <c r="M386" i="7"/>
  <c r="BF384" i="7"/>
  <c r="BE384" i="7"/>
  <c r="BD384" i="7"/>
  <c r="G383" i="7"/>
  <c r="H383" i="7"/>
  <c r="CD388" i="7"/>
  <c r="CY387" i="7"/>
  <c r="CE387" i="7"/>
  <c r="CZ386" i="7"/>
  <c r="AM386" i="7"/>
  <c r="CA388" i="7"/>
  <c r="CV387" i="7"/>
  <c r="BY389" i="7"/>
  <c r="CT388" i="7"/>
  <c r="BX388" i="7"/>
  <c r="CS387" i="7"/>
  <c r="AP385" i="7"/>
  <c r="AR385" i="7"/>
  <c r="BI385" i="7" s="1"/>
  <c r="AQ385" i="7"/>
  <c r="BH385" i="7" s="1"/>
  <c r="CM388" i="7"/>
  <c r="DH387" i="7"/>
  <c r="CC389" i="7"/>
  <c r="CX388" i="7"/>
  <c r="CG388" i="7"/>
  <c r="DB387" i="7"/>
  <c r="AO387" i="7"/>
  <c r="BZ388" i="7"/>
  <c r="CU387" i="7"/>
  <c r="EN387" i="7"/>
  <c r="BO384" i="7"/>
  <c r="BQ384" i="7" s="1"/>
  <c r="P386" i="7"/>
  <c r="N387" i="7" s="1"/>
  <c r="CI388" i="7"/>
  <c r="DD387" i="7"/>
  <c r="DS387" i="7"/>
  <c r="BL376" i="7"/>
  <c r="E376" i="7"/>
  <c r="AL377" i="7"/>
  <c r="BU389" i="7"/>
  <c r="CP388" i="7"/>
  <c r="BB385" i="7"/>
  <c r="DQ385" i="7" s="1"/>
  <c r="AX385" i="7"/>
  <c r="DM385" i="7" s="1"/>
  <c r="AT385" i="7"/>
  <c r="BA385" i="7"/>
  <c r="DP385" i="7" s="1"/>
  <c r="AW385" i="7"/>
  <c r="DL385" i="7" s="1"/>
  <c r="AZ385" i="7"/>
  <c r="DO385" i="7" s="1"/>
  <c r="AV385" i="7"/>
  <c r="DK385" i="7" s="1"/>
  <c r="BC385" i="7"/>
  <c r="DR385" i="7" s="1"/>
  <c r="AY385" i="7"/>
  <c r="DN385" i="7" s="1"/>
  <c r="AU385" i="7"/>
  <c r="DJ385" i="7" s="1"/>
  <c r="AF385" i="7"/>
  <c r="AI385" i="7" s="1"/>
  <c r="AH385" i="7"/>
  <c r="AG385" i="7"/>
  <c r="DG388" i="7"/>
  <c r="EM388" i="7"/>
  <c r="CL389" i="7"/>
  <c r="D376" i="7"/>
  <c r="BK376" i="7"/>
  <c r="AK377" i="7"/>
  <c r="CF387" i="7"/>
  <c r="DA386" i="7"/>
  <c r="AN386" i="7"/>
  <c r="BG385" i="7"/>
  <c r="C376" i="7"/>
  <c r="F376" i="7" s="1"/>
  <c r="BJ376" i="7"/>
  <c r="BM376" i="7" s="1"/>
  <c r="B376" i="7" s="1"/>
  <c r="AJ377" i="7"/>
  <c r="BV388" i="7"/>
  <c r="CQ387" i="7"/>
  <c r="BW388" i="7"/>
  <c r="CR387" i="7"/>
  <c r="CJ388" i="7"/>
  <c r="DE387" i="7"/>
  <c r="CH387" i="7"/>
  <c r="DC386" i="7"/>
  <c r="BN386" i="7"/>
  <c r="EO387" i="7"/>
  <c r="BT388" i="7"/>
  <c r="CO387" i="7"/>
  <c r="N386" i="7"/>
  <c r="CK389" i="7"/>
  <c r="DF388" i="7"/>
  <c r="CB388" i="7"/>
  <c r="CW387" i="7"/>
  <c r="EM389" i="7" l="1"/>
  <c r="DG389" i="7"/>
  <c r="CL390" i="7"/>
  <c r="DS388" i="7"/>
  <c r="CI389" i="7"/>
  <c r="DD388" i="7"/>
  <c r="CD389" i="7"/>
  <c r="CY388" i="7"/>
  <c r="EO388" i="7"/>
  <c r="BT389" i="7"/>
  <c r="CO388" i="7"/>
  <c r="AN387" i="7"/>
  <c r="CF388" i="7"/>
  <c r="DA387" i="7"/>
  <c r="AR386" i="7"/>
  <c r="BI386" i="7" s="1"/>
  <c r="AQ386" i="7"/>
  <c r="BH386" i="7" s="1"/>
  <c r="AP386" i="7"/>
  <c r="CJ389" i="7"/>
  <c r="DE388" i="7"/>
  <c r="BV389" i="7"/>
  <c r="CQ388" i="7"/>
  <c r="BK377" i="7"/>
  <c r="D377" i="7"/>
  <c r="AK378" i="7"/>
  <c r="BF385" i="7"/>
  <c r="BE385" i="7"/>
  <c r="BD385" i="7"/>
  <c r="CG389" i="7"/>
  <c r="DB388" i="7"/>
  <c r="AO388" i="7"/>
  <c r="CM389" i="7"/>
  <c r="DH388" i="7"/>
  <c r="BX389" i="7"/>
  <c r="CS388" i="7"/>
  <c r="CA389" i="7"/>
  <c r="CV388" i="7"/>
  <c r="CE388" i="7"/>
  <c r="CZ387" i="7"/>
  <c r="AM387" i="7"/>
  <c r="CH388" i="7"/>
  <c r="DC387" i="7"/>
  <c r="BN387" i="7"/>
  <c r="BW389" i="7"/>
  <c r="CR388" i="7"/>
  <c r="CK390" i="7"/>
  <c r="DF389" i="7"/>
  <c r="CB389" i="7"/>
  <c r="CW388" i="7"/>
  <c r="C377" i="7"/>
  <c r="F377" i="7" s="1"/>
  <c r="BJ377" i="7"/>
  <c r="BM377" i="7" s="1"/>
  <c r="B377" i="7" s="1"/>
  <c r="AJ378" i="7"/>
  <c r="BU390" i="7"/>
  <c r="CP389" i="7"/>
  <c r="P387" i="7"/>
  <c r="AR387" i="7"/>
  <c r="AQ387" i="7"/>
  <c r="AP387" i="7"/>
  <c r="BZ389" i="7"/>
  <c r="CU388" i="7"/>
  <c r="EN388" i="7"/>
  <c r="DI385" i="7"/>
  <c r="DI386" i="7" s="1"/>
  <c r="BA386" i="7"/>
  <c r="DP386" i="7" s="1"/>
  <c r="AW386" i="7"/>
  <c r="DL386" i="7" s="1"/>
  <c r="AZ386" i="7"/>
  <c r="DO386" i="7" s="1"/>
  <c r="AV386" i="7"/>
  <c r="DK386" i="7" s="1"/>
  <c r="BC386" i="7"/>
  <c r="DR386" i="7" s="1"/>
  <c r="AY386" i="7"/>
  <c r="DN386" i="7" s="1"/>
  <c r="AU386" i="7"/>
  <c r="DJ386" i="7" s="1"/>
  <c r="BB386" i="7"/>
  <c r="DQ386" i="7" s="1"/>
  <c r="AX386" i="7"/>
  <c r="DM386" i="7" s="1"/>
  <c r="AT386" i="7"/>
  <c r="AH386" i="7"/>
  <c r="AG386" i="7"/>
  <c r="AF386" i="7"/>
  <c r="AI386" i="7" s="1"/>
  <c r="BS388" i="7"/>
  <c r="EF387" i="7"/>
  <c r="DZ387" i="7"/>
  <c r="CN387" i="7"/>
  <c r="BO386" i="7" s="1"/>
  <c r="EC387" i="7"/>
  <c r="DX387" i="7"/>
  <c r="EB387" i="7"/>
  <c r="DW387" i="7"/>
  <c r="EA387" i="7"/>
  <c r="DV387" i="7"/>
  <c r="M387" i="7"/>
  <c r="BL377" i="7"/>
  <c r="E377" i="7"/>
  <c r="AL378" i="7"/>
  <c r="H384" i="7"/>
  <c r="G384" i="7"/>
  <c r="BI387" i="7"/>
  <c r="CC390" i="7"/>
  <c r="CX389" i="7"/>
  <c r="BY390" i="7"/>
  <c r="CT389" i="7"/>
  <c r="BG386" i="7"/>
  <c r="BO385" i="7"/>
  <c r="BP386" i="7" l="1"/>
  <c r="BQ386" i="7" s="1"/>
  <c r="CJ390" i="7"/>
  <c r="DE389" i="7"/>
  <c r="BT390" i="7"/>
  <c r="CO389" i="7"/>
  <c r="EO389" i="7"/>
  <c r="CC391" i="7"/>
  <c r="CX390" i="7"/>
  <c r="BU391" i="7"/>
  <c r="CP390" i="7"/>
  <c r="CK391" i="7"/>
  <c r="DF390" i="7"/>
  <c r="AM388" i="7"/>
  <c r="CE389" i="7"/>
  <c r="CZ388" i="7"/>
  <c r="BX390" i="7"/>
  <c r="CS389" i="7"/>
  <c r="CF389" i="7"/>
  <c r="DA388" i="7"/>
  <c r="AN388" i="7"/>
  <c r="CI390" i="7"/>
  <c r="DD389" i="7"/>
  <c r="DS389" i="7"/>
  <c r="AZ387" i="7"/>
  <c r="DO387" i="7" s="1"/>
  <c r="AV387" i="7"/>
  <c r="DK387" i="7" s="1"/>
  <c r="BC387" i="7"/>
  <c r="DR387" i="7" s="1"/>
  <c r="AY387" i="7"/>
  <c r="DN387" i="7" s="1"/>
  <c r="AU387" i="7"/>
  <c r="DJ387" i="7" s="1"/>
  <c r="BB387" i="7"/>
  <c r="DQ387" i="7" s="1"/>
  <c r="AX387" i="7"/>
  <c r="DM387" i="7" s="1"/>
  <c r="AT387" i="7"/>
  <c r="BA387" i="7"/>
  <c r="DP387" i="7" s="1"/>
  <c r="AW387" i="7"/>
  <c r="DL387" i="7" s="1"/>
  <c r="AG387" i="7"/>
  <c r="AF387" i="7"/>
  <c r="AI387" i="7" s="1"/>
  <c r="AH387" i="7"/>
  <c r="BL378" i="7"/>
  <c r="E378" i="7"/>
  <c r="AL379" i="7"/>
  <c r="EC388" i="7"/>
  <c r="DX388" i="7"/>
  <c r="EB388" i="7"/>
  <c r="DW388" i="7"/>
  <c r="EA388" i="7"/>
  <c r="DV388" i="7"/>
  <c r="BS389" i="7"/>
  <c r="EF388" i="7"/>
  <c r="DZ388" i="7"/>
  <c r="CN388" i="7"/>
  <c r="M388" i="7"/>
  <c r="BE386" i="7"/>
  <c r="BD386" i="7"/>
  <c r="BF386" i="7"/>
  <c r="N388" i="7"/>
  <c r="CH389" i="7"/>
  <c r="DC388" i="7"/>
  <c r="BN388" i="7"/>
  <c r="CG390" i="7"/>
  <c r="DB389" i="7"/>
  <c r="AO389" i="7"/>
  <c r="D378" i="7"/>
  <c r="BK378" i="7"/>
  <c r="AK379" i="7"/>
  <c r="BV390" i="7"/>
  <c r="CQ389" i="7"/>
  <c r="BH387" i="7"/>
  <c r="P388" i="7"/>
  <c r="N389" i="7" s="1"/>
  <c r="BP385" i="7"/>
  <c r="BQ385" i="7" s="1"/>
  <c r="BY391" i="7"/>
  <c r="CT390" i="7"/>
  <c r="EN389" i="7"/>
  <c r="BZ390" i="7"/>
  <c r="CU389" i="7"/>
  <c r="C378" i="7"/>
  <c r="F378" i="7" s="1"/>
  <c r="BJ378" i="7"/>
  <c r="BM378" i="7" s="1"/>
  <c r="B378" i="7" s="1"/>
  <c r="AJ379" i="7"/>
  <c r="CB390" i="7"/>
  <c r="CW389" i="7"/>
  <c r="BW390" i="7"/>
  <c r="CR389" i="7"/>
  <c r="BG387" i="7"/>
  <c r="CA390" i="7"/>
  <c r="CV389" i="7"/>
  <c r="CM390" i="7"/>
  <c r="DH389" i="7"/>
  <c r="CD390" i="7"/>
  <c r="CY389" i="7"/>
  <c r="EM390" i="7"/>
  <c r="DG390" i="7"/>
  <c r="CL391" i="7"/>
  <c r="H385" i="7" l="1"/>
  <c r="G385" i="7"/>
  <c r="H386" i="7"/>
  <c r="G386" i="7"/>
  <c r="BW391" i="7"/>
  <c r="CR390" i="7"/>
  <c r="AP389" i="7"/>
  <c r="AR389" i="7"/>
  <c r="BI389" i="7" s="1"/>
  <c r="AQ389" i="7"/>
  <c r="BV391" i="7"/>
  <c r="CQ390" i="7"/>
  <c r="BX391" i="7"/>
  <c r="CS390" i="7"/>
  <c r="BT391" i="7"/>
  <c r="CO390" i="7"/>
  <c r="EO390" i="7"/>
  <c r="BK379" i="7"/>
  <c r="D379" i="7"/>
  <c r="AK380" i="7"/>
  <c r="BL379" i="7"/>
  <c r="E379" i="7"/>
  <c r="AL380" i="7"/>
  <c r="BD387" i="7"/>
  <c r="BF387" i="7"/>
  <c r="BE387" i="7"/>
  <c r="P389" i="7"/>
  <c r="CK392" i="7"/>
  <c r="DF391" i="7"/>
  <c r="CC392" i="7"/>
  <c r="CX391" i="7"/>
  <c r="DI387" i="7"/>
  <c r="CD391" i="7"/>
  <c r="CY390" i="7"/>
  <c r="CB391" i="7"/>
  <c r="CW390" i="7"/>
  <c r="BY392" i="7"/>
  <c r="CT391" i="7"/>
  <c r="AO390" i="7"/>
  <c r="CG391" i="7"/>
  <c r="DB390" i="7"/>
  <c r="AQ388" i="7"/>
  <c r="BH388" i="7" s="1"/>
  <c r="AP388" i="7"/>
  <c r="AR388" i="7"/>
  <c r="BI388" i="7" s="1"/>
  <c r="BC388" i="7"/>
  <c r="DR388" i="7" s="1"/>
  <c r="AY388" i="7"/>
  <c r="DN388" i="7" s="1"/>
  <c r="AU388" i="7"/>
  <c r="DJ388" i="7" s="1"/>
  <c r="BB388" i="7"/>
  <c r="DQ388" i="7" s="1"/>
  <c r="AX388" i="7"/>
  <c r="DM388" i="7" s="1"/>
  <c r="AT388" i="7"/>
  <c r="BA388" i="7"/>
  <c r="DP388" i="7" s="1"/>
  <c r="AW388" i="7"/>
  <c r="DL388" i="7" s="1"/>
  <c r="AZ388" i="7"/>
  <c r="DO388" i="7" s="1"/>
  <c r="AV388" i="7"/>
  <c r="DK388" i="7" s="1"/>
  <c r="AG388" i="7"/>
  <c r="AH388" i="7"/>
  <c r="AF388" i="7"/>
  <c r="AI388" i="7" s="1"/>
  <c r="EB389" i="7"/>
  <c r="DW389" i="7"/>
  <c r="EA389" i="7"/>
  <c r="DV389" i="7"/>
  <c r="BS390" i="7"/>
  <c r="EF389" i="7"/>
  <c r="DZ389" i="7"/>
  <c r="CN389" i="7"/>
  <c r="EC389" i="7"/>
  <c r="DX389" i="7"/>
  <c r="M389" i="7"/>
  <c r="CF390" i="7"/>
  <c r="DA389" i="7"/>
  <c r="AN389" i="7"/>
  <c r="BH389" i="7" s="1"/>
  <c r="CE390" i="7"/>
  <c r="CZ389" i="7"/>
  <c r="AM389" i="7"/>
  <c r="BG389" i="7" s="1"/>
  <c r="CJ391" i="7"/>
  <c r="DE390" i="7"/>
  <c r="DG391" i="7"/>
  <c r="EM391" i="7"/>
  <c r="CL392" i="7"/>
  <c r="CA391" i="7"/>
  <c r="CV390" i="7"/>
  <c r="BN389" i="7"/>
  <c r="CH390" i="7"/>
  <c r="DC389" i="7"/>
  <c r="CM391" i="7"/>
  <c r="DH390" i="7"/>
  <c r="C379" i="7"/>
  <c r="F379" i="7" s="1"/>
  <c r="BJ379" i="7"/>
  <c r="BM379" i="7" s="1"/>
  <c r="B379" i="7" s="1"/>
  <c r="AJ380" i="7"/>
  <c r="BZ391" i="7"/>
  <c r="CU390" i="7"/>
  <c r="EN390" i="7"/>
  <c r="BO387" i="7"/>
  <c r="CI391" i="7"/>
  <c r="DD390" i="7"/>
  <c r="DS390" i="7"/>
  <c r="BG388" i="7"/>
  <c r="BU392" i="7"/>
  <c r="CP391" i="7"/>
  <c r="BZ392" i="7" l="1"/>
  <c r="CU391" i="7"/>
  <c r="EN391" i="7"/>
  <c r="EA390" i="7"/>
  <c r="DV390" i="7"/>
  <c r="BS391" i="7"/>
  <c r="EF390" i="7"/>
  <c r="DZ390" i="7"/>
  <c r="CN390" i="7"/>
  <c r="EC390" i="7"/>
  <c r="DX390" i="7"/>
  <c r="EB390" i="7"/>
  <c r="DW390" i="7"/>
  <c r="M390" i="7"/>
  <c r="BF388" i="7"/>
  <c r="BE388" i="7"/>
  <c r="BD388" i="7"/>
  <c r="BY393" i="7"/>
  <c r="CT392" i="7"/>
  <c r="CD392" i="7"/>
  <c r="CY391" i="7"/>
  <c r="P390" i="7"/>
  <c r="BJ380" i="7"/>
  <c r="BM380" i="7" s="1"/>
  <c r="B380" i="7" s="1"/>
  <c r="C380" i="7"/>
  <c r="F380" i="7" s="1"/>
  <c r="AJ381" i="7"/>
  <c r="CM392" i="7"/>
  <c r="DH391" i="7"/>
  <c r="CF391" i="7"/>
  <c r="DA390" i="7"/>
  <c r="AN390" i="7"/>
  <c r="BO388" i="7"/>
  <c r="CG392" i="7"/>
  <c r="DB391" i="7"/>
  <c r="AO391" i="7"/>
  <c r="DI388" i="7"/>
  <c r="CK393" i="7"/>
  <c r="DF392" i="7"/>
  <c r="BX392" i="7"/>
  <c r="CS391" i="7"/>
  <c r="BV392" i="7"/>
  <c r="CQ391" i="7"/>
  <c r="BW392" i="7"/>
  <c r="CR391" i="7"/>
  <c r="CE391" i="7"/>
  <c r="CZ390" i="7"/>
  <c r="AM390" i="7"/>
  <c r="BB389" i="7"/>
  <c r="DQ389" i="7" s="1"/>
  <c r="AX389" i="7"/>
  <c r="DM389" i="7" s="1"/>
  <c r="AT389" i="7"/>
  <c r="BA389" i="7"/>
  <c r="DP389" i="7" s="1"/>
  <c r="AW389" i="7"/>
  <c r="DL389" i="7" s="1"/>
  <c r="AZ389" i="7"/>
  <c r="DO389" i="7" s="1"/>
  <c r="AV389" i="7"/>
  <c r="DK389" i="7" s="1"/>
  <c r="BC389" i="7"/>
  <c r="DR389" i="7" s="1"/>
  <c r="AY389" i="7"/>
  <c r="DN389" i="7" s="1"/>
  <c r="AU389" i="7"/>
  <c r="DJ389" i="7" s="1"/>
  <c r="AF389" i="7"/>
  <c r="AI389" i="7" s="1"/>
  <c r="AG389" i="7"/>
  <c r="AH389" i="7"/>
  <c r="CB392" i="7"/>
  <c r="CW391" i="7"/>
  <c r="BK380" i="7"/>
  <c r="D380" i="7"/>
  <c r="AK381" i="7"/>
  <c r="CA392" i="7"/>
  <c r="CV391" i="7"/>
  <c r="BU393" i="7"/>
  <c r="CP392" i="7"/>
  <c r="CI392" i="7"/>
  <c r="DD391" i="7"/>
  <c r="DS391" i="7"/>
  <c r="CH391" i="7"/>
  <c r="DC390" i="7"/>
  <c r="BN390" i="7"/>
  <c r="DG392" i="7"/>
  <c r="EM392" i="7"/>
  <c r="CL393" i="7"/>
  <c r="CJ392" i="7"/>
  <c r="DE391" i="7"/>
  <c r="CC393" i="7"/>
  <c r="CX392" i="7"/>
  <c r="N390" i="7"/>
  <c r="E380" i="7"/>
  <c r="BL380" i="7"/>
  <c r="AL381" i="7"/>
  <c r="EO391" i="7"/>
  <c r="BT392" i="7"/>
  <c r="CO391" i="7"/>
  <c r="BP387" i="7"/>
  <c r="BQ387" i="7" s="1"/>
  <c r="G387" i="7" l="1"/>
  <c r="H387" i="7"/>
  <c r="P391" i="7"/>
  <c r="BU394" i="7"/>
  <c r="CP393" i="7"/>
  <c r="CE392" i="7"/>
  <c r="CZ391" i="7"/>
  <c r="AM391" i="7"/>
  <c r="BV393" i="7"/>
  <c r="CQ392" i="7"/>
  <c r="CK394" i="7"/>
  <c r="DF393" i="7"/>
  <c r="CG393" i="7"/>
  <c r="DB392" i="7"/>
  <c r="AO392" i="7"/>
  <c r="AN391" i="7"/>
  <c r="CF392" i="7"/>
  <c r="DA391" i="7"/>
  <c r="BY394" i="7"/>
  <c r="CT393" i="7"/>
  <c r="BA390" i="7"/>
  <c r="DP390" i="7" s="1"/>
  <c r="AW390" i="7"/>
  <c r="DL390" i="7" s="1"/>
  <c r="AZ390" i="7"/>
  <c r="DO390" i="7" s="1"/>
  <c r="AV390" i="7"/>
  <c r="DK390" i="7" s="1"/>
  <c r="BC390" i="7"/>
  <c r="DR390" i="7" s="1"/>
  <c r="AY390" i="7"/>
  <c r="DN390" i="7" s="1"/>
  <c r="AU390" i="7"/>
  <c r="DJ390" i="7" s="1"/>
  <c r="BB390" i="7"/>
  <c r="DQ390" i="7" s="1"/>
  <c r="AX390" i="7"/>
  <c r="DM390" i="7" s="1"/>
  <c r="AT390" i="7"/>
  <c r="AG390" i="7"/>
  <c r="AH390" i="7"/>
  <c r="AF390" i="7"/>
  <c r="AI390" i="7" s="1"/>
  <c r="BS392" i="7"/>
  <c r="EF391" i="7"/>
  <c r="DZ391" i="7"/>
  <c r="CN391" i="7"/>
  <c r="EC391" i="7"/>
  <c r="DX391" i="7"/>
  <c r="EB391" i="7"/>
  <c r="DW391" i="7"/>
  <c r="EA391" i="7"/>
  <c r="DV391" i="7"/>
  <c r="M391" i="7"/>
  <c r="CC394" i="7"/>
  <c r="CX393" i="7"/>
  <c r="AR390" i="7"/>
  <c r="BI390" i="7" s="1"/>
  <c r="AQ390" i="7"/>
  <c r="AP390" i="7"/>
  <c r="CJ393" i="7"/>
  <c r="DE392" i="7"/>
  <c r="DI389" i="7"/>
  <c r="DI390" i="7" s="1"/>
  <c r="BO389" i="7"/>
  <c r="BZ393" i="7"/>
  <c r="CU392" i="7"/>
  <c r="EN392" i="7"/>
  <c r="EO392" i="7"/>
  <c r="BT393" i="7"/>
  <c r="CO392" i="7"/>
  <c r="E381" i="7"/>
  <c r="BL381" i="7"/>
  <c r="AL382" i="7"/>
  <c r="EM393" i="7"/>
  <c r="DG393" i="7"/>
  <c r="CL394" i="7"/>
  <c r="DS392" i="7"/>
  <c r="CI393" i="7"/>
  <c r="DD392" i="7"/>
  <c r="CA393" i="7"/>
  <c r="CV392" i="7"/>
  <c r="BG390" i="7"/>
  <c r="BW393" i="7"/>
  <c r="CR392" i="7"/>
  <c r="BX393" i="7"/>
  <c r="CS392" i="7"/>
  <c r="BH390" i="7"/>
  <c r="CM393" i="7"/>
  <c r="DH392" i="7"/>
  <c r="CD393" i="7"/>
  <c r="CY392" i="7"/>
  <c r="CH392" i="7"/>
  <c r="DC391" i="7"/>
  <c r="BN391" i="7"/>
  <c r="D381" i="7"/>
  <c r="BK381" i="7"/>
  <c r="AK382" i="7"/>
  <c r="CB393" i="7"/>
  <c r="CW392" i="7"/>
  <c r="BF389" i="7"/>
  <c r="BE389" i="7"/>
  <c r="BD389" i="7"/>
  <c r="BJ381" i="7"/>
  <c r="BM381" i="7" s="1"/>
  <c r="B381" i="7" s="1"/>
  <c r="C381" i="7"/>
  <c r="F381" i="7" s="1"/>
  <c r="AJ382" i="7"/>
  <c r="N391" i="7"/>
  <c r="BP388" i="7"/>
  <c r="BQ388" i="7" s="1"/>
  <c r="H388" i="7" l="1"/>
  <c r="G388" i="7"/>
  <c r="BP390" i="7"/>
  <c r="AR391" i="7"/>
  <c r="BI391" i="7" s="1"/>
  <c r="AQ391" i="7"/>
  <c r="AP391" i="7"/>
  <c r="CB394" i="7"/>
  <c r="CW393" i="7"/>
  <c r="CD394" i="7"/>
  <c r="CY393" i="7"/>
  <c r="BW394" i="7"/>
  <c r="CR393" i="7"/>
  <c r="CJ394" i="7"/>
  <c r="DE393" i="7"/>
  <c r="CC395" i="7"/>
  <c r="CX394" i="7"/>
  <c r="BO390" i="7"/>
  <c r="BQ390" i="7" s="1"/>
  <c r="CF393" i="7"/>
  <c r="DA392" i="7"/>
  <c r="AN392" i="7"/>
  <c r="CG394" i="7"/>
  <c r="DB393" i="7"/>
  <c r="AO393" i="7"/>
  <c r="BV394" i="7"/>
  <c r="CQ393" i="7"/>
  <c r="C382" i="7"/>
  <c r="F382" i="7" s="1"/>
  <c r="BJ382" i="7"/>
  <c r="BM382" i="7" s="1"/>
  <c r="B382" i="7" s="1"/>
  <c r="AJ383" i="7"/>
  <c r="D382" i="7"/>
  <c r="BK382" i="7"/>
  <c r="AK383" i="7"/>
  <c r="CI394" i="7"/>
  <c r="DD393" i="7"/>
  <c r="DS393" i="7"/>
  <c r="AZ391" i="7"/>
  <c r="DO391" i="7" s="1"/>
  <c r="AV391" i="7"/>
  <c r="DK391" i="7" s="1"/>
  <c r="BC391" i="7"/>
  <c r="DR391" i="7" s="1"/>
  <c r="AY391" i="7"/>
  <c r="DN391" i="7" s="1"/>
  <c r="AU391" i="7"/>
  <c r="DJ391" i="7" s="1"/>
  <c r="BB391" i="7"/>
  <c r="DQ391" i="7" s="1"/>
  <c r="AX391" i="7"/>
  <c r="DM391" i="7" s="1"/>
  <c r="AT391" i="7"/>
  <c r="BA391" i="7"/>
  <c r="DP391" i="7" s="1"/>
  <c r="AW391" i="7"/>
  <c r="DL391" i="7" s="1"/>
  <c r="AH391" i="7"/>
  <c r="AG391" i="7"/>
  <c r="AF391" i="7"/>
  <c r="AI391" i="7" s="1"/>
  <c r="BH391" i="7"/>
  <c r="BG391" i="7"/>
  <c r="BU395" i="7"/>
  <c r="CP394" i="7"/>
  <c r="BP389" i="7"/>
  <c r="CH393" i="7"/>
  <c r="DC392" i="7"/>
  <c r="BN392" i="7"/>
  <c r="CM394" i="7"/>
  <c r="DH393" i="7"/>
  <c r="BX394" i="7"/>
  <c r="CS393" i="7"/>
  <c r="P392" i="7"/>
  <c r="BL382" i="7"/>
  <c r="E382" i="7"/>
  <c r="AL383" i="7"/>
  <c r="BT394" i="7"/>
  <c r="CO393" i="7"/>
  <c r="EO393" i="7"/>
  <c r="EN393" i="7"/>
  <c r="BZ394" i="7"/>
  <c r="CU393" i="7"/>
  <c r="BY395" i="7"/>
  <c r="CT394" i="7"/>
  <c r="CK395" i="7"/>
  <c r="DF394" i="7"/>
  <c r="N392" i="7"/>
  <c r="CA394" i="7"/>
  <c r="CV393" i="7"/>
  <c r="EM394" i="7"/>
  <c r="DG394" i="7"/>
  <c r="CL395" i="7"/>
  <c r="BQ389" i="7"/>
  <c r="EC392" i="7"/>
  <c r="DX392" i="7"/>
  <c r="EB392" i="7"/>
  <c r="DW392" i="7"/>
  <c r="EA392" i="7"/>
  <c r="DV392" i="7"/>
  <c r="BS393" i="7"/>
  <c r="EF392" i="7"/>
  <c r="DZ392" i="7"/>
  <c r="CN392" i="7"/>
  <c r="M392" i="7"/>
  <c r="BE390" i="7"/>
  <c r="BD390" i="7"/>
  <c r="BF390" i="7"/>
  <c r="AM392" i="7"/>
  <c r="CE393" i="7"/>
  <c r="CZ392" i="7"/>
  <c r="BP391" i="7" l="1"/>
  <c r="BX395" i="7"/>
  <c r="CS394" i="7"/>
  <c r="BU396" i="7"/>
  <c r="CP395" i="7"/>
  <c r="BD391" i="7"/>
  <c r="BF391" i="7"/>
  <c r="BE391" i="7"/>
  <c r="DI391" i="7"/>
  <c r="BK383" i="7"/>
  <c r="D383" i="7"/>
  <c r="AK384" i="7"/>
  <c r="CC396" i="7"/>
  <c r="CX395" i="7"/>
  <c r="BW395" i="7"/>
  <c r="CR394" i="7"/>
  <c r="H389" i="7"/>
  <c r="G389" i="7"/>
  <c r="CK396" i="7"/>
  <c r="DF395" i="7"/>
  <c r="CA395" i="7"/>
  <c r="CV394" i="7"/>
  <c r="BZ395" i="7"/>
  <c r="CU394" i="7"/>
  <c r="EN394" i="7"/>
  <c r="BT395" i="7"/>
  <c r="CO394" i="7"/>
  <c r="EO394" i="7"/>
  <c r="N393" i="7"/>
  <c r="BN393" i="7"/>
  <c r="CH394" i="7"/>
  <c r="DC393" i="7"/>
  <c r="P393" i="7"/>
  <c r="CF394" i="7"/>
  <c r="DA393" i="7"/>
  <c r="AN393" i="7"/>
  <c r="CB395" i="7"/>
  <c r="CW394" i="7"/>
  <c r="BC392" i="7"/>
  <c r="DR392" i="7" s="1"/>
  <c r="AY392" i="7"/>
  <c r="DN392" i="7" s="1"/>
  <c r="AU392" i="7"/>
  <c r="DJ392" i="7" s="1"/>
  <c r="BB392" i="7"/>
  <c r="DQ392" i="7" s="1"/>
  <c r="AX392" i="7"/>
  <c r="DM392" i="7" s="1"/>
  <c r="AT392" i="7"/>
  <c r="BA392" i="7"/>
  <c r="DP392" i="7" s="1"/>
  <c r="AW392" i="7"/>
  <c r="DL392" i="7" s="1"/>
  <c r="AZ392" i="7"/>
  <c r="DO392" i="7" s="1"/>
  <c r="AV392" i="7"/>
  <c r="DK392" i="7" s="1"/>
  <c r="AG392" i="7"/>
  <c r="AH392" i="7"/>
  <c r="AF392" i="7"/>
  <c r="AI392" i="7" s="1"/>
  <c r="EB393" i="7"/>
  <c r="DW393" i="7"/>
  <c r="EA393" i="7"/>
  <c r="DV393" i="7"/>
  <c r="BS394" i="7"/>
  <c r="EF393" i="7"/>
  <c r="DZ393" i="7"/>
  <c r="CN393" i="7"/>
  <c r="EC393" i="7"/>
  <c r="DX393" i="7"/>
  <c r="M393" i="7"/>
  <c r="DG395" i="7"/>
  <c r="EM395" i="7"/>
  <c r="CL396" i="7"/>
  <c r="BO391" i="7"/>
  <c r="BQ391" i="7" s="1"/>
  <c r="AQ392" i="7"/>
  <c r="BH392" i="7" s="1"/>
  <c r="AP392" i="7"/>
  <c r="BG392" i="7" s="1"/>
  <c r="AR392" i="7"/>
  <c r="BI392" i="7" s="1"/>
  <c r="BL383" i="7"/>
  <c r="E383" i="7"/>
  <c r="AL384" i="7"/>
  <c r="CM395" i="7"/>
  <c r="DH394" i="7"/>
  <c r="AO394" i="7"/>
  <c r="CG395" i="7"/>
  <c r="DB394" i="7"/>
  <c r="H390" i="7"/>
  <c r="G390" i="7"/>
  <c r="CJ395" i="7"/>
  <c r="DE394" i="7"/>
  <c r="CD395" i="7"/>
  <c r="CY394" i="7"/>
  <c r="CE394" i="7"/>
  <c r="CZ393" i="7"/>
  <c r="AM393" i="7"/>
  <c r="BY396" i="7"/>
  <c r="CT395" i="7"/>
  <c r="CI395" i="7"/>
  <c r="DD394" i="7"/>
  <c r="DS394" i="7"/>
  <c r="C383" i="7"/>
  <c r="F383" i="7" s="1"/>
  <c r="BJ383" i="7"/>
  <c r="BM383" i="7" s="1"/>
  <c r="B383" i="7" s="1"/>
  <c r="AJ384" i="7"/>
  <c r="BV395" i="7"/>
  <c r="CQ394" i="7"/>
  <c r="CM396" i="7" l="1"/>
  <c r="DH395" i="7"/>
  <c r="EA394" i="7"/>
  <c r="DV394" i="7"/>
  <c r="BS395" i="7"/>
  <c r="EF394" i="7"/>
  <c r="DZ394" i="7"/>
  <c r="CN394" i="7"/>
  <c r="EC394" i="7"/>
  <c r="DX394" i="7"/>
  <c r="EB394" i="7"/>
  <c r="DW394" i="7"/>
  <c r="M394" i="7"/>
  <c r="BF392" i="7"/>
  <c r="BE392" i="7"/>
  <c r="BD392" i="7"/>
  <c r="BH393" i="7"/>
  <c r="N394" i="7"/>
  <c r="AP393" i="7"/>
  <c r="AR393" i="7"/>
  <c r="BI393" i="7" s="1"/>
  <c r="AQ393" i="7"/>
  <c r="CA396" i="7"/>
  <c r="CV395" i="7"/>
  <c r="P394" i="7"/>
  <c r="N395" i="7" s="1"/>
  <c r="CE395" i="7"/>
  <c r="CZ394" i="7"/>
  <c r="AM394" i="7"/>
  <c r="CG396" i="7"/>
  <c r="DB395" i="7"/>
  <c r="AO395" i="7"/>
  <c r="BO392" i="7"/>
  <c r="CC397" i="7"/>
  <c r="CX396" i="7"/>
  <c r="BX396" i="7"/>
  <c r="CS395" i="7"/>
  <c r="BV396" i="7"/>
  <c r="CQ395" i="7"/>
  <c r="E384" i="7"/>
  <c r="BL384" i="7"/>
  <c r="AL385" i="7"/>
  <c r="BY397" i="7"/>
  <c r="CT396" i="7"/>
  <c r="G391" i="7"/>
  <c r="H391" i="7"/>
  <c r="BB393" i="7"/>
  <c r="DQ393" i="7" s="1"/>
  <c r="AX393" i="7"/>
  <c r="DM393" i="7" s="1"/>
  <c r="AT393" i="7"/>
  <c r="BA393" i="7"/>
  <c r="DP393" i="7" s="1"/>
  <c r="AW393" i="7"/>
  <c r="DL393" i="7" s="1"/>
  <c r="AZ393" i="7"/>
  <c r="DO393" i="7" s="1"/>
  <c r="AV393" i="7"/>
  <c r="DK393" i="7" s="1"/>
  <c r="BC393" i="7"/>
  <c r="DR393" i="7" s="1"/>
  <c r="AY393" i="7"/>
  <c r="DN393" i="7" s="1"/>
  <c r="AU393" i="7"/>
  <c r="DJ393" i="7" s="1"/>
  <c r="AF393" i="7"/>
  <c r="AI393" i="7" s="1"/>
  <c r="AH393" i="7"/>
  <c r="AG393" i="7"/>
  <c r="CF395" i="7"/>
  <c r="DA394" i="7"/>
  <c r="AN394" i="7"/>
  <c r="CH395" i="7"/>
  <c r="DC394" i="7"/>
  <c r="BN394" i="7"/>
  <c r="BZ396" i="7"/>
  <c r="CU395" i="7"/>
  <c r="EN395" i="7"/>
  <c r="DI392" i="7"/>
  <c r="DI393" i="7" s="1"/>
  <c r="CJ396" i="7"/>
  <c r="DE395" i="7"/>
  <c r="BJ384" i="7"/>
  <c r="BM384" i="7" s="1"/>
  <c r="B384" i="7" s="1"/>
  <c r="C384" i="7"/>
  <c r="F384" i="7" s="1"/>
  <c r="AJ385" i="7"/>
  <c r="CI396" i="7"/>
  <c r="DD395" i="7"/>
  <c r="DS395" i="7"/>
  <c r="BG393" i="7"/>
  <c r="CD396" i="7"/>
  <c r="CY395" i="7"/>
  <c r="DG396" i="7"/>
  <c r="EM396" i="7"/>
  <c r="CL397" i="7"/>
  <c r="CB396" i="7"/>
  <c r="CW395" i="7"/>
  <c r="EO395" i="7"/>
  <c r="BT396" i="7"/>
  <c r="CO395" i="7"/>
  <c r="CK397" i="7"/>
  <c r="DF396" i="7"/>
  <c r="BW396" i="7"/>
  <c r="CR395" i="7"/>
  <c r="BK384" i="7"/>
  <c r="D384" i="7"/>
  <c r="AK385" i="7"/>
  <c r="BU397" i="7"/>
  <c r="CP396" i="7"/>
  <c r="BP393" i="7" l="1"/>
  <c r="CB397" i="7"/>
  <c r="CW396" i="7"/>
  <c r="EM397" i="7"/>
  <c r="DG397" i="7"/>
  <c r="CL398" i="7"/>
  <c r="CD397" i="7"/>
  <c r="CY396" i="7"/>
  <c r="DS396" i="7"/>
  <c r="CI397" i="7"/>
  <c r="DD396" i="7"/>
  <c r="CH396" i="7"/>
  <c r="DC395" i="7"/>
  <c r="BN395" i="7"/>
  <c r="BX397" i="7"/>
  <c r="CS396" i="7"/>
  <c r="AR394" i="7"/>
  <c r="BI394" i="7" s="1"/>
  <c r="AQ394" i="7"/>
  <c r="AP394" i="7"/>
  <c r="CK398" i="7"/>
  <c r="DF397" i="7"/>
  <c r="BJ385" i="7"/>
  <c r="BM385" i="7" s="1"/>
  <c r="B385" i="7" s="1"/>
  <c r="C385" i="7"/>
  <c r="F385" i="7" s="1"/>
  <c r="AJ386" i="7"/>
  <c r="CJ397" i="7"/>
  <c r="DE396" i="7"/>
  <c r="BZ397" i="7"/>
  <c r="CU396" i="7"/>
  <c r="EN396" i="7"/>
  <c r="BH394" i="7"/>
  <c r="BY398" i="7"/>
  <c r="CT397" i="7"/>
  <c r="CE396" i="7"/>
  <c r="CZ395" i="7"/>
  <c r="AM395" i="7"/>
  <c r="CA397" i="7"/>
  <c r="CV396" i="7"/>
  <c r="BA394" i="7"/>
  <c r="DP394" i="7" s="1"/>
  <c r="AW394" i="7"/>
  <c r="DL394" i="7" s="1"/>
  <c r="AZ394" i="7"/>
  <c r="DO394" i="7" s="1"/>
  <c r="AV394" i="7"/>
  <c r="DK394" i="7" s="1"/>
  <c r="BC394" i="7"/>
  <c r="DR394" i="7" s="1"/>
  <c r="AY394" i="7"/>
  <c r="DN394" i="7" s="1"/>
  <c r="AU394" i="7"/>
  <c r="DJ394" i="7" s="1"/>
  <c r="BB394" i="7"/>
  <c r="DQ394" i="7" s="1"/>
  <c r="AX394" i="7"/>
  <c r="DM394" i="7" s="1"/>
  <c r="AT394" i="7"/>
  <c r="AF394" i="7"/>
  <c r="AI394" i="7" s="1"/>
  <c r="AG394" i="7"/>
  <c r="AH394" i="7"/>
  <c r="BS396" i="7"/>
  <c r="EF395" i="7"/>
  <c r="DZ395" i="7"/>
  <c r="CN395" i="7"/>
  <c r="EC395" i="7"/>
  <c r="DX395" i="7"/>
  <c r="EB395" i="7"/>
  <c r="DW395" i="7"/>
  <c r="EA395" i="7"/>
  <c r="DV395" i="7"/>
  <c r="M395" i="7"/>
  <c r="CM397" i="7"/>
  <c r="DH396" i="7"/>
  <c r="BW397" i="7"/>
  <c r="CR396" i="7"/>
  <c r="BU398" i="7"/>
  <c r="CP397" i="7"/>
  <c r="P395" i="7"/>
  <c r="N396" i="7" s="1"/>
  <c r="DI394" i="7"/>
  <c r="BF393" i="7"/>
  <c r="BE393" i="7"/>
  <c r="BD393" i="7"/>
  <c r="E385" i="7"/>
  <c r="BL385" i="7"/>
  <c r="AL386" i="7"/>
  <c r="BV397" i="7"/>
  <c r="CQ396" i="7"/>
  <c r="CC398" i="7"/>
  <c r="CX397" i="7"/>
  <c r="CG397" i="7"/>
  <c r="DB396" i="7"/>
  <c r="AO396" i="7"/>
  <c r="BO393" i="7"/>
  <c r="BQ393" i="7" s="1"/>
  <c r="D385" i="7"/>
  <c r="BK385" i="7"/>
  <c r="AK386" i="7"/>
  <c r="EO396" i="7"/>
  <c r="BT397" i="7"/>
  <c r="CO396" i="7"/>
  <c r="AN395" i="7"/>
  <c r="CF396" i="7"/>
  <c r="DA395" i="7"/>
  <c r="BG394" i="7"/>
  <c r="AR395" i="7"/>
  <c r="BI395" i="7" s="1"/>
  <c r="AQ395" i="7"/>
  <c r="AP395" i="7"/>
  <c r="BP392" i="7"/>
  <c r="BQ392" i="7" s="1"/>
  <c r="H392" i="7" l="1"/>
  <c r="G392" i="7"/>
  <c r="BP394" i="7"/>
  <c r="EC396" i="7"/>
  <c r="DX396" i="7"/>
  <c r="EB396" i="7"/>
  <c r="DW396" i="7"/>
  <c r="EA396" i="7"/>
  <c r="DV396" i="7"/>
  <c r="BS397" i="7"/>
  <c r="EF396" i="7"/>
  <c r="DZ396" i="7"/>
  <c r="CN396" i="7"/>
  <c r="M396" i="7"/>
  <c r="BE394" i="7"/>
  <c r="BD394" i="7"/>
  <c r="BF394" i="7"/>
  <c r="BG395" i="7"/>
  <c r="BY399" i="7"/>
  <c r="CT398" i="7"/>
  <c r="EN397" i="7"/>
  <c r="BZ398" i="7"/>
  <c r="CU397" i="7"/>
  <c r="BX398" i="7"/>
  <c r="CS397" i="7"/>
  <c r="CD398" i="7"/>
  <c r="CY397" i="7"/>
  <c r="CG398" i="7"/>
  <c r="DB397" i="7"/>
  <c r="AO397" i="7"/>
  <c r="BV398" i="7"/>
  <c r="CQ397" i="7"/>
  <c r="BU399" i="7"/>
  <c r="CP398" i="7"/>
  <c r="CM398" i="7"/>
  <c r="DH397" i="7"/>
  <c r="BO394" i="7"/>
  <c r="BQ394" i="7" s="1"/>
  <c r="CI398" i="7"/>
  <c r="DD397" i="7"/>
  <c r="DS397" i="7"/>
  <c r="EM398" i="7"/>
  <c r="DG398" i="7"/>
  <c r="CL399" i="7"/>
  <c r="CB398" i="7"/>
  <c r="CW397" i="7"/>
  <c r="H393" i="7"/>
  <c r="G393" i="7"/>
  <c r="AQ396" i="7"/>
  <c r="AP396" i="7"/>
  <c r="AR396" i="7"/>
  <c r="AZ395" i="7"/>
  <c r="DO395" i="7" s="1"/>
  <c r="AV395" i="7"/>
  <c r="DK395" i="7" s="1"/>
  <c r="BC395" i="7"/>
  <c r="DR395" i="7" s="1"/>
  <c r="AY395" i="7"/>
  <c r="DN395" i="7" s="1"/>
  <c r="AU395" i="7"/>
  <c r="DJ395" i="7" s="1"/>
  <c r="BB395" i="7"/>
  <c r="DQ395" i="7" s="1"/>
  <c r="AX395" i="7"/>
  <c r="DM395" i="7" s="1"/>
  <c r="AT395" i="7"/>
  <c r="BA395" i="7"/>
  <c r="DP395" i="7" s="1"/>
  <c r="AW395" i="7"/>
  <c r="DL395" i="7" s="1"/>
  <c r="AF395" i="7"/>
  <c r="AI395" i="7" s="1"/>
  <c r="AH395" i="7"/>
  <c r="AG395" i="7"/>
  <c r="AM396" i="7"/>
  <c r="BG396" i="7" s="1"/>
  <c r="CE397" i="7"/>
  <c r="CZ396" i="7"/>
  <c r="CJ398" i="7"/>
  <c r="DE397" i="7"/>
  <c r="P396" i="7"/>
  <c r="N397" i="7" s="1"/>
  <c r="BT398" i="7"/>
  <c r="CO397" i="7"/>
  <c r="EO397" i="7"/>
  <c r="CF397" i="7"/>
  <c r="DA396" i="7"/>
  <c r="AN396" i="7"/>
  <c r="BH396" i="7" s="1"/>
  <c r="BL386" i="7"/>
  <c r="E386" i="7"/>
  <c r="AL387" i="7"/>
  <c r="BH395" i="7"/>
  <c r="D386" i="7"/>
  <c r="BK386" i="7"/>
  <c r="AK387" i="7"/>
  <c r="BI396" i="7"/>
  <c r="CC399" i="7"/>
  <c r="CX398" i="7"/>
  <c r="BW398" i="7"/>
  <c r="CR397" i="7"/>
  <c r="CA398" i="7"/>
  <c r="CV397" i="7"/>
  <c r="C386" i="7"/>
  <c r="F386" i="7" s="1"/>
  <c r="BJ386" i="7"/>
  <c r="BM386" i="7" s="1"/>
  <c r="B386" i="7" s="1"/>
  <c r="AJ387" i="7"/>
  <c r="CK399" i="7"/>
  <c r="DF398" i="7"/>
  <c r="CH397" i="7"/>
  <c r="DC396" i="7"/>
  <c r="BN396" i="7"/>
  <c r="CK400" i="7" l="1"/>
  <c r="DF399" i="7"/>
  <c r="CF398" i="7"/>
  <c r="DA397" i="7"/>
  <c r="AN397" i="7"/>
  <c r="BH397" i="7" s="1"/>
  <c r="AP397" i="7"/>
  <c r="AR397" i="7"/>
  <c r="AQ397" i="7"/>
  <c r="BD395" i="7"/>
  <c r="BF395" i="7"/>
  <c r="BE395" i="7"/>
  <c r="BV399" i="7"/>
  <c r="CQ398" i="7"/>
  <c r="BY400" i="7"/>
  <c r="CT399" i="7"/>
  <c r="C387" i="7"/>
  <c r="F387" i="7" s="1"/>
  <c r="BJ387" i="7"/>
  <c r="BM387" i="7" s="1"/>
  <c r="B387" i="7" s="1"/>
  <c r="AJ388" i="7"/>
  <c r="CA399" i="7"/>
  <c r="CV398" i="7"/>
  <c r="CC400" i="7"/>
  <c r="CX399" i="7"/>
  <c r="CE398" i="7"/>
  <c r="CZ397" i="7"/>
  <c r="AM397" i="7"/>
  <c r="BG397" i="7" s="1"/>
  <c r="CB399" i="7"/>
  <c r="CW398" i="7"/>
  <c r="P397" i="7"/>
  <c r="H394" i="7"/>
  <c r="G394" i="7"/>
  <c r="BU400" i="7"/>
  <c r="CP399" i="7"/>
  <c r="BI397" i="7"/>
  <c r="CD399" i="7"/>
  <c r="CY398" i="7"/>
  <c r="BZ399" i="7"/>
  <c r="CU398" i="7"/>
  <c r="EN398" i="7"/>
  <c r="BC396" i="7"/>
  <c r="DR396" i="7" s="1"/>
  <c r="AY396" i="7"/>
  <c r="DN396" i="7" s="1"/>
  <c r="AU396" i="7"/>
  <c r="DJ396" i="7" s="1"/>
  <c r="BB396" i="7"/>
  <c r="DQ396" i="7" s="1"/>
  <c r="AX396" i="7"/>
  <c r="DM396" i="7" s="1"/>
  <c r="AT396" i="7"/>
  <c r="BA396" i="7"/>
  <c r="DP396" i="7" s="1"/>
  <c r="AW396" i="7"/>
  <c r="DL396" i="7" s="1"/>
  <c r="AZ396" i="7"/>
  <c r="DO396" i="7" s="1"/>
  <c r="AV396" i="7"/>
  <c r="DK396" i="7" s="1"/>
  <c r="AG396" i="7"/>
  <c r="AH396" i="7"/>
  <c r="AF396" i="7"/>
  <c r="AI396" i="7" s="1"/>
  <c r="EB397" i="7"/>
  <c r="DW397" i="7"/>
  <c r="EA397" i="7"/>
  <c r="DV397" i="7"/>
  <c r="BS398" i="7"/>
  <c r="EF397" i="7"/>
  <c r="DZ397" i="7"/>
  <c r="CN397" i="7"/>
  <c r="EC397" i="7"/>
  <c r="DX397" i="7"/>
  <c r="M397" i="7"/>
  <c r="BN397" i="7"/>
  <c r="CH398" i="7"/>
  <c r="DC397" i="7"/>
  <c r="DG399" i="7"/>
  <c r="EM399" i="7"/>
  <c r="CL400" i="7"/>
  <c r="DI395" i="7"/>
  <c r="DI396" i="7" s="1"/>
  <c r="BO395" i="7"/>
  <c r="BW399" i="7"/>
  <c r="CR398" i="7"/>
  <c r="BK387" i="7"/>
  <c r="D387" i="7"/>
  <c r="AK388" i="7"/>
  <c r="BL387" i="7"/>
  <c r="E387" i="7"/>
  <c r="AL388" i="7"/>
  <c r="BT399" i="7"/>
  <c r="CO398" i="7"/>
  <c r="EO398" i="7"/>
  <c r="CJ399" i="7"/>
  <c r="DE398" i="7"/>
  <c r="CI399" i="7"/>
  <c r="DD398" i="7"/>
  <c r="DS398" i="7"/>
  <c r="CM399" i="7"/>
  <c r="DH398" i="7"/>
  <c r="AO398" i="7"/>
  <c r="CG399" i="7"/>
  <c r="DB398" i="7"/>
  <c r="BX399" i="7"/>
  <c r="CS398" i="7"/>
  <c r="BP396" i="7" l="1"/>
  <c r="BX400" i="7"/>
  <c r="CS399" i="7"/>
  <c r="CI400" i="7"/>
  <c r="DD399" i="7"/>
  <c r="DS399" i="7"/>
  <c r="DG400" i="7"/>
  <c r="EM400" i="7"/>
  <c r="CL401" i="7"/>
  <c r="CH399" i="7"/>
  <c r="DC398" i="7"/>
  <c r="BN398" i="7"/>
  <c r="EA398" i="7"/>
  <c r="DV398" i="7"/>
  <c r="BS399" i="7"/>
  <c r="EF398" i="7"/>
  <c r="DZ398" i="7"/>
  <c r="CN398" i="7"/>
  <c r="EC398" i="7"/>
  <c r="DX398" i="7"/>
  <c r="EB398" i="7"/>
  <c r="DW398" i="7"/>
  <c r="M398" i="7"/>
  <c r="BF396" i="7"/>
  <c r="BE396" i="7"/>
  <c r="BD396" i="7"/>
  <c r="BZ400" i="7"/>
  <c r="CU399" i="7"/>
  <c r="EN399" i="7"/>
  <c r="CC401" i="7"/>
  <c r="CX400" i="7"/>
  <c r="CM400" i="7"/>
  <c r="DH399" i="7"/>
  <c r="EO399" i="7"/>
  <c r="BT400" i="7"/>
  <c r="CO399" i="7"/>
  <c r="BK388" i="7"/>
  <c r="D388" i="7"/>
  <c r="AK389" i="7"/>
  <c r="BW400" i="7"/>
  <c r="CR399" i="7"/>
  <c r="BO396" i="7"/>
  <c r="BQ396" i="7" s="1"/>
  <c r="BU401" i="7"/>
  <c r="CP400" i="7"/>
  <c r="N398" i="7"/>
  <c r="BV400" i="7"/>
  <c r="CQ399" i="7"/>
  <c r="CF399" i="7"/>
  <c r="DA398" i="7"/>
  <c r="AN398" i="7"/>
  <c r="CG400" i="7"/>
  <c r="DB399" i="7"/>
  <c r="AO399" i="7"/>
  <c r="P398" i="7"/>
  <c r="N399" i="7" s="1"/>
  <c r="CJ400" i="7"/>
  <c r="DE399" i="7"/>
  <c r="E388" i="7"/>
  <c r="BL388" i="7"/>
  <c r="AL389" i="7"/>
  <c r="BB397" i="7"/>
  <c r="DQ397" i="7" s="1"/>
  <c r="AX397" i="7"/>
  <c r="DM397" i="7" s="1"/>
  <c r="AT397" i="7"/>
  <c r="BA397" i="7"/>
  <c r="DP397" i="7" s="1"/>
  <c r="AW397" i="7"/>
  <c r="DL397" i="7" s="1"/>
  <c r="AZ397" i="7"/>
  <c r="DO397" i="7" s="1"/>
  <c r="AV397" i="7"/>
  <c r="DK397" i="7" s="1"/>
  <c r="BC397" i="7"/>
  <c r="DR397" i="7" s="1"/>
  <c r="AY397" i="7"/>
  <c r="DN397" i="7" s="1"/>
  <c r="AU397" i="7"/>
  <c r="DJ397" i="7" s="1"/>
  <c r="AF397" i="7"/>
  <c r="AI397" i="7" s="1"/>
  <c r="AH397" i="7"/>
  <c r="AG397" i="7"/>
  <c r="CD400" i="7"/>
  <c r="CY399" i="7"/>
  <c r="CE399" i="7"/>
  <c r="CZ398" i="7"/>
  <c r="AM398" i="7"/>
  <c r="CA400" i="7"/>
  <c r="CV399" i="7"/>
  <c r="CB400" i="7"/>
  <c r="CW399" i="7"/>
  <c r="BJ388" i="7"/>
  <c r="BM388" i="7" s="1"/>
  <c r="B388" i="7" s="1"/>
  <c r="C388" i="7"/>
  <c r="F388" i="7" s="1"/>
  <c r="AJ389" i="7"/>
  <c r="BY401" i="7"/>
  <c r="CT400" i="7"/>
  <c r="CK401" i="7"/>
  <c r="DF400" i="7"/>
  <c r="BP395" i="7"/>
  <c r="BQ395" i="7" s="1"/>
  <c r="G395" i="7" l="1"/>
  <c r="H395" i="7"/>
  <c r="AR398" i="7"/>
  <c r="BI398" i="7" s="1"/>
  <c r="AQ398" i="7"/>
  <c r="AP398" i="7"/>
  <c r="CC402" i="7"/>
  <c r="CX401" i="7"/>
  <c r="BO397" i="7"/>
  <c r="CH400" i="7"/>
  <c r="DC399" i="7"/>
  <c r="BN399" i="7"/>
  <c r="P399" i="7"/>
  <c r="BX401" i="7"/>
  <c r="CS400" i="7"/>
  <c r="CK402" i="7"/>
  <c r="DF401" i="7"/>
  <c r="CE400" i="7"/>
  <c r="CZ399" i="7"/>
  <c r="AM399" i="7"/>
  <c r="BY402" i="7"/>
  <c r="CT401" i="7"/>
  <c r="CA401" i="7"/>
  <c r="CV400" i="7"/>
  <c r="BF397" i="7"/>
  <c r="BE397" i="7"/>
  <c r="BD397" i="7"/>
  <c r="E389" i="7"/>
  <c r="BL389" i="7"/>
  <c r="AL390" i="7"/>
  <c r="CJ401" i="7"/>
  <c r="DE400" i="7"/>
  <c r="AN399" i="7"/>
  <c r="CF400" i="7"/>
  <c r="DA399" i="7"/>
  <c r="EM401" i="7"/>
  <c r="DG401" i="7"/>
  <c r="CL402" i="7"/>
  <c r="DI397" i="7"/>
  <c r="BP397" i="7" s="1"/>
  <c r="BJ389" i="7"/>
  <c r="BM389" i="7" s="1"/>
  <c r="B389" i="7" s="1"/>
  <c r="C389" i="7"/>
  <c r="F389" i="7" s="1"/>
  <c r="AJ390" i="7"/>
  <c r="CB401" i="7"/>
  <c r="CW400" i="7"/>
  <c r="BG398" i="7"/>
  <c r="CD401" i="7"/>
  <c r="CY400" i="7"/>
  <c r="CG401" i="7"/>
  <c r="DB400" i="7"/>
  <c r="AO400" i="7"/>
  <c r="BU402" i="7"/>
  <c r="CP401" i="7"/>
  <c r="BW401" i="7"/>
  <c r="CR400" i="7"/>
  <c r="CM401" i="7"/>
  <c r="DH400" i="7"/>
  <c r="DS400" i="7"/>
  <c r="CI401" i="7"/>
  <c r="DD400" i="7"/>
  <c r="AR399" i="7"/>
  <c r="BI399" i="7" s="1"/>
  <c r="AQ399" i="7"/>
  <c r="AP399" i="7"/>
  <c r="BH398" i="7"/>
  <c r="BV401" i="7"/>
  <c r="CQ400" i="7"/>
  <c r="H396" i="7"/>
  <c r="G396" i="7"/>
  <c r="D389" i="7"/>
  <c r="BK389" i="7"/>
  <c r="AK390" i="7"/>
  <c r="EO400" i="7"/>
  <c r="BT401" i="7"/>
  <c r="CO400" i="7"/>
  <c r="BZ401" i="7"/>
  <c r="CU400" i="7"/>
  <c r="EN400" i="7"/>
  <c r="BA398" i="7"/>
  <c r="DP398" i="7" s="1"/>
  <c r="AW398" i="7"/>
  <c r="DL398" i="7" s="1"/>
  <c r="AZ398" i="7"/>
  <c r="DO398" i="7" s="1"/>
  <c r="AV398" i="7"/>
  <c r="DK398" i="7" s="1"/>
  <c r="BC398" i="7"/>
  <c r="DR398" i="7" s="1"/>
  <c r="AY398" i="7"/>
  <c r="DN398" i="7" s="1"/>
  <c r="AU398" i="7"/>
  <c r="DJ398" i="7" s="1"/>
  <c r="BB398" i="7"/>
  <c r="DQ398" i="7" s="1"/>
  <c r="AX398" i="7"/>
  <c r="DM398" i="7" s="1"/>
  <c r="AT398" i="7"/>
  <c r="AF398" i="7"/>
  <c r="AI398" i="7" s="1"/>
  <c r="AH398" i="7"/>
  <c r="AG398" i="7"/>
  <c r="BS400" i="7"/>
  <c r="EF399" i="7"/>
  <c r="DZ399" i="7"/>
  <c r="CN399" i="7"/>
  <c r="BO398" i="7" s="1"/>
  <c r="EC399" i="7"/>
  <c r="DX399" i="7"/>
  <c r="EB399" i="7"/>
  <c r="DW399" i="7"/>
  <c r="EA399" i="7"/>
  <c r="DV399" i="7"/>
  <c r="M399" i="7"/>
  <c r="EC400" i="7" l="1"/>
  <c r="DX400" i="7"/>
  <c r="EB400" i="7"/>
  <c r="DW400" i="7"/>
  <c r="EA400" i="7"/>
  <c r="DV400" i="7"/>
  <c r="BS401" i="7"/>
  <c r="EF400" i="7"/>
  <c r="DZ400" i="7"/>
  <c r="CN400" i="7"/>
  <c r="M400" i="7"/>
  <c r="BE398" i="7"/>
  <c r="BD398" i="7"/>
  <c r="BF398" i="7"/>
  <c r="EN401" i="7"/>
  <c r="BZ402" i="7"/>
  <c r="CU401" i="7"/>
  <c r="D390" i="7"/>
  <c r="BK390" i="7"/>
  <c r="AK391" i="7"/>
  <c r="P400" i="7"/>
  <c r="N401" i="7" s="1"/>
  <c r="CD402" i="7"/>
  <c r="CY401" i="7"/>
  <c r="C390" i="7"/>
  <c r="F390" i="7" s="1"/>
  <c r="BJ390" i="7"/>
  <c r="BM390" i="7" s="1"/>
  <c r="B390" i="7" s="1"/>
  <c r="AJ391" i="7"/>
  <c r="EM402" i="7"/>
  <c r="DG402" i="7"/>
  <c r="CL403" i="7"/>
  <c r="CF401" i="7"/>
  <c r="DA400" i="7"/>
  <c r="AN400" i="7"/>
  <c r="BL390" i="7"/>
  <c r="E390" i="7"/>
  <c r="AL391" i="7"/>
  <c r="AM400" i="7"/>
  <c r="CE401" i="7"/>
  <c r="CZ400" i="7"/>
  <c r="BX402" i="7"/>
  <c r="CS401" i="7"/>
  <c r="CC403" i="7"/>
  <c r="CX402" i="7"/>
  <c r="BW402" i="7"/>
  <c r="CR401" i="7"/>
  <c r="BH399" i="7"/>
  <c r="BY403" i="7"/>
  <c r="CT402" i="7"/>
  <c r="N400" i="7"/>
  <c r="CH401" i="7"/>
  <c r="DC400" i="7"/>
  <c r="BN400" i="7"/>
  <c r="AZ399" i="7"/>
  <c r="DO399" i="7" s="1"/>
  <c r="AV399" i="7"/>
  <c r="DK399" i="7" s="1"/>
  <c r="BC399" i="7"/>
  <c r="DR399" i="7" s="1"/>
  <c r="AY399" i="7"/>
  <c r="DN399" i="7" s="1"/>
  <c r="AU399" i="7"/>
  <c r="DJ399" i="7" s="1"/>
  <c r="BB399" i="7"/>
  <c r="DQ399" i="7" s="1"/>
  <c r="AX399" i="7"/>
  <c r="DM399" i="7" s="1"/>
  <c r="AT399" i="7"/>
  <c r="BA399" i="7"/>
  <c r="DP399" i="7" s="1"/>
  <c r="AW399" i="7"/>
  <c r="DL399" i="7" s="1"/>
  <c r="AF399" i="7"/>
  <c r="AI399" i="7" s="1"/>
  <c r="AH399" i="7"/>
  <c r="AG399" i="7"/>
  <c r="BT402" i="7"/>
  <c r="CO401" i="7"/>
  <c r="EO401" i="7"/>
  <c r="BV402" i="7"/>
  <c r="CQ401" i="7"/>
  <c r="CG402" i="7"/>
  <c r="DB401" i="7"/>
  <c r="AO401" i="7"/>
  <c r="BG399" i="7"/>
  <c r="CK403" i="7"/>
  <c r="DF402" i="7"/>
  <c r="BQ397" i="7"/>
  <c r="CI402" i="7"/>
  <c r="DD401" i="7"/>
  <c r="DS401" i="7"/>
  <c r="CM402" i="7"/>
  <c r="DH401" i="7"/>
  <c r="BU403" i="7"/>
  <c r="CP402" i="7"/>
  <c r="CB402" i="7"/>
  <c r="CW401" i="7"/>
  <c r="DI398" i="7"/>
  <c r="DI399" i="7" s="1"/>
  <c r="CJ402" i="7"/>
  <c r="DE401" i="7"/>
  <c r="CA402" i="7"/>
  <c r="CV401" i="7"/>
  <c r="BP399" i="7" l="1"/>
  <c r="BD399" i="7"/>
  <c r="BF399" i="7"/>
  <c r="BE399" i="7"/>
  <c r="BW403" i="7"/>
  <c r="CR402" i="7"/>
  <c r="BX403" i="7"/>
  <c r="CS402" i="7"/>
  <c r="BL391" i="7"/>
  <c r="E391" i="7"/>
  <c r="AL392" i="7"/>
  <c r="CJ403" i="7"/>
  <c r="DE402" i="7"/>
  <c r="BU404" i="7"/>
  <c r="CP403" i="7"/>
  <c r="CK404" i="7"/>
  <c r="DF403" i="7"/>
  <c r="BY404" i="7"/>
  <c r="CT403" i="7"/>
  <c r="CF402" i="7"/>
  <c r="DA401" i="7"/>
  <c r="AN401" i="7"/>
  <c r="C391" i="7"/>
  <c r="F391" i="7" s="1"/>
  <c r="BJ391" i="7"/>
  <c r="BM391" i="7" s="1"/>
  <c r="B391" i="7" s="1"/>
  <c r="AJ392" i="7"/>
  <c r="CD403" i="7"/>
  <c r="CY402" i="7"/>
  <c r="BK391" i="7"/>
  <c r="D391" i="7"/>
  <c r="AK392" i="7"/>
  <c r="BZ403" i="7"/>
  <c r="CU402" i="7"/>
  <c r="EN402" i="7"/>
  <c r="P401" i="7"/>
  <c r="AO402" i="7"/>
  <c r="CG403" i="7"/>
  <c r="DB402" i="7"/>
  <c r="CA403" i="7"/>
  <c r="CV402" i="7"/>
  <c r="CI403" i="7"/>
  <c r="DD402" i="7"/>
  <c r="DS402" i="7"/>
  <c r="BT403" i="7"/>
  <c r="CO402" i="7"/>
  <c r="EO402" i="7"/>
  <c r="BN401" i="7"/>
  <c r="CH402" i="7"/>
  <c r="DC401" i="7"/>
  <c r="CC404" i="7"/>
  <c r="CX403" i="7"/>
  <c r="CE402" i="7"/>
  <c r="CZ401" i="7"/>
  <c r="AM401" i="7"/>
  <c r="DG403" i="7"/>
  <c r="EM403" i="7"/>
  <c r="CL404" i="7"/>
  <c r="BC400" i="7"/>
  <c r="DR400" i="7" s="1"/>
  <c r="AY400" i="7"/>
  <c r="DN400" i="7" s="1"/>
  <c r="AU400" i="7"/>
  <c r="DJ400" i="7" s="1"/>
  <c r="BB400" i="7"/>
  <c r="DQ400" i="7" s="1"/>
  <c r="AX400" i="7"/>
  <c r="DM400" i="7" s="1"/>
  <c r="AT400" i="7"/>
  <c r="DI400" i="7" s="1"/>
  <c r="BA400" i="7"/>
  <c r="DP400" i="7" s="1"/>
  <c r="AW400" i="7"/>
  <c r="DL400" i="7" s="1"/>
  <c r="AZ400" i="7"/>
  <c r="DO400" i="7" s="1"/>
  <c r="AV400" i="7"/>
  <c r="DK400" i="7" s="1"/>
  <c r="AH400" i="7"/>
  <c r="AG400" i="7"/>
  <c r="AF400" i="7"/>
  <c r="AI400" i="7" s="1"/>
  <c r="EB401" i="7"/>
  <c r="DW401" i="7"/>
  <c r="EA401" i="7"/>
  <c r="DV401" i="7"/>
  <c r="BS402" i="7"/>
  <c r="EF401" i="7"/>
  <c r="DZ401" i="7"/>
  <c r="CN401" i="7"/>
  <c r="EC401" i="7"/>
  <c r="DX401" i="7"/>
  <c r="M401" i="7"/>
  <c r="BP398" i="7"/>
  <c r="BQ398" i="7" s="1"/>
  <c r="CB403" i="7"/>
  <c r="CW402" i="7"/>
  <c r="CM403" i="7"/>
  <c r="DH402" i="7"/>
  <c r="H397" i="7"/>
  <c r="G397" i="7"/>
  <c r="BI401" i="7"/>
  <c r="BV403" i="7"/>
  <c r="CQ402" i="7"/>
  <c r="AQ400" i="7"/>
  <c r="AP400" i="7"/>
  <c r="BG400" i="7" s="1"/>
  <c r="AR400" i="7"/>
  <c r="BI400" i="7" s="1"/>
  <c r="BH400" i="7"/>
  <c r="AP401" i="7"/>
  <c r="AR401" i="7"/>
  <c r="AQ401" i="7"/>
  <c r="BO399" i="7"/>
  <c r="BQ399" i="7" s="1"/>
  <c r="BP400" i="7" l="1"/>
  <c r="CM404" i="7"/>
  <c r="DH403" i="7"/>
  <c r="DG404" i="7"/>
  <c r="EM404" i="7"/>
  <c r="CL405" i="7"/>
  <c r="CI404" i="7"/>
  <c r="DD403" i="7"/>
  <c r="DS403" i="7"/>
  <c r="CG404" i="7"/>
  <c r="DB403" i="7"/>
  <c r="AO403" i="7"/>
  <c r="BJ392" i="7"/>
  <c r="BM392" i="7" s="1"/>
  <c r="B392" i="7" s="1"/>
  <c r="C392" i="7"/>
  <c r="F392" i="7" s="1"/>
  <c r="AJ393" i="7"/>
  <c r="CE403" i="7"/>
  <c r="CZ402" i="7"/>
  <c r="AM402" i="7"/>
  <c r="CH403" i="7"/>
  <c r="DC402" i="7"/>
  <c r="BN402" i="7"/>
  <c r="EO403" i="7"/>
  <c r="BT404" i="7"/>
  <c r="CO403" i="7"/>
  <c r="CF403" i="7"/>
  <c r="DA402" i="7"/>
  <c r="AN402" i="7"/>
  <c r="CK405" i="7"/>
  <c r="DF404" i="7"/>
  <c r="BW404" i="7"/>
  <c r="CR403" i="7"/>
  <c r="BB401" i="7"/>
  <c r="DQ401" i="7" s="1"/>
  <c r="AX401" i="7"/>
  <c r="DM401" i="7" s="1"/>
  <c r="AT401" i="7"/>
  <c r="DI401" i="7" s="1"/>
  <c r="BA401" i="7"/>
  <c r="DP401" i="7" s="1"/>
  <c r="AW401" i="7"/>
  <c r="DL401" i="7" s="1"/>
  <c r="AZ401" i="7"/>
  <c r="DO401" i="7" s="1"/>
  <c r="AV401" i="7"/>
  <c r="DK401" i="7" s="1"/>
  <c r="BC401" i="7"/>
  <c r="DR401" i="7" s="1"/>
  <c r="AY401" i="7"/>
  <c r="DN401" i="7" s="1"/>
  <c r="AU401" i="7"/>
  <c r="DJ401" i="7" s="1"/>
  <c r="AF401" i="7"/>
  <c r="AI401" i="7" s="1"/>
  <c r="AG401" i="7"/>
  <c r="AH401" i="7"/>
  <c r="CB404" i="7"/>
  <c r="CW403" i="7"/>
  <c r="EA402" i="7"/>
  <c r="DV402" i="7"/>
  <c r="BS403" i="7"/>
  <c r="EF402" i="7"/>
  <c r="DZ402" i="7"/>
  <c r="CN402" i="7"/>
  <c r="BO401" i="7" s="1"/>
  <c r="EC402" i="7"/>
  <c r="DX402" i="7"/>
  <c r="EB402" i="7"/>
  <c r="DW402" i="7"/>
  <c r="M402" i="7"/>
  <c r="BF400" i="7"/>
  <c r="BE400" i="7"/>
  <c r="BD400" i="7"/>
  <c r="P402" i="7"/>
  <c r="N403" i="7" s="1"/>
  <c r="CA404" i="7"/>
  <c r="CV403" i="7"/>
  <c r="BZ404" i="7"/>
  <c r="CU403" i="7"/>
  <c r="EN403" i="7"/>
  <c r="CJ404" i="7"/>
  <c r="DE403" i="7"/>
  <c r="G399" i="7"/>
  <c r="H399" i="7"/>
  <c r="BV404" i="7"/>
  <c r="CQ403" i="7"/>
  <c r="H398" i="7"/>
  <c r="G398" i="7"/>
  <c r="BO400" i="7"/>
  <c r="BQ400" i="7" s="1"/>
  <c r="BG401" i="7"/>
  <c r="CC405" i="7"/>
  <c r="CX404" i="7"/>
  <c r="N402" i="7"/>
  <c r="BK392" i="7"/>
  <c r="D392" i="7"/>
  <c r="AK393" i="7"/>
  <c r="CD404" i="7"/>
  <c r="CY403" i="7"/>
  <c r="BH401" i="7"/>
  <c r="BY405" i="7"/>
  <c r="CT404" i="7"/>
  <c r="BU405" i="7"/>
  <c r="CP404" i="7"/>
  <c r="E392" i="7"/>
  <c r="BL392" i="7"/>
  <c r="AL393" i="7"/>
  <c r="BX404" i="7"/>
  <c r="CS403" i="7"/>
  <c r="BP401" i="7" l="1"/>
  <c r="BQ401" i="7" s="1"/>
  <c r="BY406" i="7"/>
  <c r="CT405" i="7"/>
  <c r="D393" i="7"/>
  <c r="BK393" i="7"/>
  <c r="AK394" i="7"/>
  <c r="CA405" i="7"/>
  <c r="CV404" i="7"/>
  <c r="CK406" i="7"/>
  <c r="DF405" i="7"/>
  <c r="P403" i="7"/>
  <c r="CC406" i="7"/>
  <c r="CX405" i="7"/>
  <c r="CE404" i="7"/>
  <c r="CZ403" i="7"/>
  <c r="AM403" i="7"/>
  <c r="BX405" i="7"/>
  <c r="CS404" i="7"/>
  <c r="AR403" i="7"/>
  <c r="BI403" i="7" s="1"/>
  <c r="AQ403" i="7"/>
  <c r="AP403" i="7"/>
  <c r="BF401" i="7"/>
  <c r="BE401" i="7"/>
  <c r="BD401" i="7"/>
  <c r="BW405" i="7"/>
  <c r="CR404" i="7"/>
  <c r="EO404" i="7"/>
  <c r="BT405" i="7"/>
  <c r="CO404" i="7"/>
  <c r="CH404" i="7"/>
  <c r="DC403" i="7"/>
  <c r="BN403" i="7"/>
  <c r="BJ393" i="7"/>
  <c r="BM393" i="7" s="1"/>
  <c r="B393" i="7" s="1"/>
  <c r="C393" i="7"/>
  <c r="F393" i="7" s="1"/>
  <c r="AJ394" i="7"/>
  <c r="DS404" i="7"/>
  <c r="CI405" i="7"/>
  <c r="DD404" i="7"/>
  <c r="E393" i="7"/>
  <c r="BL393" i="7"/>
  <c r="AL394" i="7"/>
  <c r="BU406" i="7"/>
  <c r="CP405" i="7"/>
  <c r="BZ405" i="7"/>
  <c r="CU404" i="7"/>
  <c r="EN404" i="7"/>
  <c r="CD405" i="7"/>
  <c r="CY404" i="7"/>
  <c r="AR402" i="7"/>
  <c r="BI402" i="7" s="1"/>
  <c r="AQ402" i="7"/>
  <c r="BH402" i="7" s="1"/>
  <c r="AP402" i="7"/>
  <c r="H400" i="7"/>
  <c r="G400" i="7"/>
  <c r="BV405" i="7"/>
  <c r="CQ404" i="7"/>
  <c r="CJ405" i="7"/>
  <c r="DE404" i="7"/>
  <c r="BA402" i="7"/>
  <c r="DP402" i="7" s="1"/>
  <c r="AW402" i="7"/>
  <c r="DL402" i="7" s="1"/>
  <c r="AZ402" i="7"/>
  <c r="DO402" i="7" s="1"/>
  <c r="AV402" i="7"/>
  <c r="DK402" i="7" s="1"/>
  <c r="BC402" i="7"/>
  <c r="DR402" i="7" s="1"/>
  <c r="AY402" i="7"/>
  <c r="DN402" i="7" s="1"/>
  <c r="AU402" i="7"/>
  <c r="DJ402" i="7" s="1"/>
  <c r="BB402" i="7"/>
  <c r="DQ402" i="7" s="1"/>
  <c r="AX402" i="7"/>
  <c r="DM402" i="7" s="1"/>
  <c r="AT402" i="7"/>
  <c r="AF402" i="7"/>
  <c r="AI402" i="7" s="1"/>
  <c r="AH402" i="7"/>
  <c r="AG402" i="7"/>
  <c r="BS404" i="7"/>
  <c r="EF403" i="7"/>
  <c r="DZ403" i="7"/>
  <c r="CN403" i="7"/>
  <c r="EC403" i="7"/>
  <c r="DX403" i="7"/>
  <c r="EB403" i="7"/>
  <c r="DW403" i="7"/>
  <c r="EA403" i="7"/>
  <c r="DV403" i="7"/>
  <c r="M403" i="7"/>
  <c r="CB405" i="7"/>
  <c r="CW404" i="7"/>
  <c r="AN403" i="7"/>
  <c r="BH403" i="7" s="1"/>
  <c r="CF404" i="7"/>
  <c r="DA403" i="7"/>
  <c r="BG402" i="7"/>
  <c r="CG405" i="7"/>
  <c r="DB404" i="7"/>
  <c r="AO404" i="7"/>
  <c r="EM405" i="7"/>
  <c r="DG405" i="7"/>
  <c r="CL406" i="7"/>
  <c r="CM405" i="7"/>
  <c r="DH404" i="7"/>
  <c r="H401" i="7" l="1"/>
  <c r="G401" i="7"/>
  <c r="EC404" i="7"/>
  <c r="DX404" i="7"/>
  <c r="EB404" i="7"/>
  <c r="DW404" i="7"/>
  <c r="EA404" i="7"/>
  <c r="DV404" i="7"/>
  <c r="BS405" i="7"/>
  <c r="EF404" i="7"/>
  <c r="DZ404" i="7"/>
  <c r="CN404" i="7"/>
  <c r="M404" i="7"/>
  <c r="BE402" i="7"/>
  <c r="BD402" i="7"/>
  <c r="BF402" i="7"/>
  <c r="BU407" i="7"/>
  <c r="CP406" i="7"/>
  <c r="CH405" i="7"/>
  <c r="DC404" i="7"/>
  <c r="BN404" i="7"/>
  <c r="BX406" i="7"/>
  <c r="CS405" i="7"/>
  <c r="AM404" i="7"/>
  <c r="CE405" i="7"/>
  <c r="CZ404" i="7"/>
  <c r="N404" i="7"/>
  <c r="CK407" i="7"/>
  <c r="DF406" i="7"/>
  <c r="DI402" i="7"/>
  <c r="BP402" i="7" s="1"/>
  <c r="CB406" i="7"/>
  <c r="CW405" i="7"/>
  <c r="BO402" i="7"/>
  <c r="BV406" i="7"/>
  <c r="CQ405" i="7"/>
  <c r="BL394" i="7"/>
  <c r="E394" i="7"/>
  <c r="AL395" i="7"/>
  <c r="CI406" i="7"/>
  <c r="DD405" i="7"/>
  <c r="DS405" i="7"/>
  <c r="BW406" i="7"/>
  <c r="CR405" i="7"/>
  <c r="CF405" i="7"/>
  <c r="DA404" i="7"/>
  <c r="AN404" i="7"/>
  <c r="AZ403" i="7"/>
  <c r="DO403" i="7" s="1"/>
  <c r="AV403" i="7"/>
  <c r="DK403" i="7" s="1"/>
  <c r="BC403" i="7"/>
  <c r="DR403" i="7" s="1"/>
  <c r="AY403" i="7"/>
  <c r="DN403" i="7" s="1"/>
  <c r="AU403" i="7"/>
  <c r="DJ403" i="7" s="1"/>
  <c r="BB403" i="7"/>
  <c r="DQ403" i="7" s="1"/>
  <c r="AX403" i="7"/>
  <c r="DM403" i="7" s="1"/>
  <c r="AT403" i="7"/>
  <c r="BA403" i="7"/>
  <c r="DP403" i="7" s="1"/>
  <c r="AW403" i="7"/>
  <c r="DL403" i="7" s="1"/>
  <c r="AG403" i="7"/>
  <c r="AH403" i="7"/>
  <c r="AF403" i="7"/>
  <c r="AI403" i="7" s="1"/>
  <c r="EN405" i="7"/>
  <c r="BZ406" i="7"/>
  <c r="CU405" i="7"/>
  <c r="P404" i="7"/>
  <c r="N405" i="7" s="1"/>
  <c r="BT406" i="7"/>
  <c r="CO405" i="7"/>
  <c r="EO405" i="7"/>
  <c r="BG403" i="7"/>
  <c r="CA406" i="7"/>
  <c r="CV405" i="7"/>
  <c r="CM406" i="7"/>
  <c r="DH405" i="7"/>
  <c r="EM406" i="7"/>
  <c r="DG406" i="7"/>
  <c r="CL407" i="7"/>
  <c r="CG406" i="7"/>
  <c r="DB405" i="7"/>
  <c r="AO405" i="7"/>
  <c r="CJ406" i="7"/>
  <c r="DE405" i="7"/>
  <c r="CD406" i="7"/>
  <c r="CY405" i="7"/>
  <c r="C394" i="7"/>
  <c r="F394" i="7" s="1"/>
  <c r="BJ394" i="7"/>
  <c r="BM394" i="7" s="1"/>
  <c r="B394" i="7" s="1"/>
  <c r="AJ395" i="7"/>
  <c r="CC407" i="7"/>
  <c r="CX406" i="7"/>
  <c r="D394" i="7"/>
  <c r="BK394" i="7"/>
  <c r="AK395" i="7"/>
  <c r="BY407" i="7"/>
  <c r="CT406" i="7"/>
  <c r="CD407" i="7" l="1"/>
  <c r="CY406" i="7"/>
  <c r="CA407" i="7"/>
  <c r="CV406" i="7"/>
  <c r="BT407" i="7"/>
  <c r="CO406" i="7"/>
  <c r="EO406" i="7"/>
  <c r="BD403" i="7"/>
  <c r="BF403" i="7"/>
  <c r="BE403" i="7"/>
  <c r="BW407" i="7"/>
  <c r="CR406" i="7"/>
  <c r="BL395" i="7"/>
  <c r="E395" i="7"/>
  <c r="AL396" i="7"/>
  <c r="BV407" i="7"/>
  <c r="CQ406" i="7"/>
  <c r="AQ404" i="7"/>
  <c r="BH404" i="7" s="1"/>
  <c r="AP404" i="7"/>
  <c r="AR404" i="7"/>
  <c r="BI404" i="7" s="1"/>
  <c r="BN405" i="7"/>
  <c r="CH406" i="7"/>
  <c r="DC405" i="7"/>
  <c r="CC408" i="7"/>
  <c r="CX407" i="7"/>
  <c r="AO406" i="7"/>
  <c r="CG407" i="7"/>
  <c r="DB406" i="7"/>
  <c r="BZ407" i="7"/>
  <c r="CU406" i="7"/>
  <c r="EN406" i="7"/>
  <c r="P405" i="7"/>
  <c r="BQ402" i="7"/>
  <c r="DI403" i="7"/>
  <c r="BP403" i="7" s="1"/>
  <c r="BX407" i="7"/>
  <c r="CS406" i="7"/>
  <c r="C395" i="7"/>
  <c r="F395" i="7" s="1"/>
  <c r="BJ395" i="7"/>
  <c r="BM395" i="7" s="1"/>
  <c r="B395" i="7" s="1"/>
  <c r="AJ396" i="7"/>
  <c r="BY408" i="7"/>
  <c r="CT407" i="7"/>
  <c r="CJ407" i="7"/>
  <c r="DE406" i="7"/>
  <c r="DG407" i="7"/>
  <c r="EM407" i="7"/>
  <c r="CL408" i="7"/>
  <c r="CM407" i="7"/>
  <c r="DH406" i="7"/>
  <c r="AP405" i="7"/>
  <c r="AR405" i="7"/>
  <c r="AQ405" i="7"/>
  <c r="CF406" i="7"/>
  <c r="DA405" i="7"/>
  <c r="AN405" i="7"/>
  <c r="CE406" i="7"/>
  <c r="CZ405" i="7"/>
  <c r="AM405" i="7"/>
  <c r="BG405" i="7" s="1"/>
  <c r="BU408" i="7"/>
  <c r="CP407" i="7"/>
  <c r="BC404" i="7"/>
  <c r="DR404" i="7" s="1"/>
  <c r="AY404" i="7"/>
  <c r="DN404" i="7" s="1"/>
  <c r="AU404" i="7"/>
  <c r="DJ404" i="7" s="1"/>
  <c r="BB404" i="7"/>
  <c r="DQ404" i="7" s="1"/>
  <c r="AX404" i="7"/>
  <c r="DM404" i="7" s="1"/>
  <c r="AT404" i="7"/>
  <c r="BA404" i="7"/>
  <c r="DP404" i="7" s="1"/>
  <c r="AW404" i="7"/>
  <c r="DL404" i="7" s="1"/>
  <c r="AZ404" i="7"/>
  <c r="DO404" i="7" s="1"/>
  <c r="AV404" i="7"/>
  <c r="DK404" i="7" s="1"/>
  <c r="AH404" i="7"/>
  <c r="AG404" i="7"/>
  <c r="AF404" i="7"/>
  <c r="AI404" i="7" s="1"/>
  <c r="EB405" i="7"/>
  <c r="DW405" i="7"/>
  <c r="EA405" i="7"/>
  <c r="DV405" i="7"/>
  <c r="BS406" i="7"/>
  <c r="EF405" i="7"/>
  <c r="DZ405" i="7"/>
  <c r="CN405" i="7"/>
  <c r="BO404" i="7" s="1"/>
  <c r="EC405" i="7"/>
  <c r="DX405" i="7"/>
  <c r="M405" i="7"/>
  <c r="BK395" i="7"/>
  <c r="D395" i="7"/>
  <c r="AK396" i="7"/>
  <c r="BI405" i="7"/>
  <c r="CI407" i="7"/>
  <c r="DD406" i="7"/>
  <c r="DS406" i="7"/>
  <c r="CB407" i="7"/>
  <c r="CW406" i="7"/>
  <c r="CK408" i="7"/>
  <c r="DF407" i="7"/>
  <c r="BG404" i="7"/>
  <c r="BO403" i="7"/>
  <c r="CK409" i="7" l="1"/>
  <c r="DF408" i="7"/>
  <c r="EA406" i="7"/>
  <c r="DV406" i="7"/>
  <c r="BS407" i="7"/>
  <c r="EF406" i="7"/>
  <c r="DZ406" i="7"/>
  <c r="CN406" i="7"/>
  <c r="EC406" i="7"/>
  <c r="DX406" i="7"/>
  <c r="EB406" i="7"/>
  <c r="DW406" i="7"/>
  <c r="M406" i="7"/>
  <c r="BF404" i="7"/>
  <c r="BE404" i="7"/>
  <c r="BD404" i="7"/>
  <c r="BH405" i="7"/>
  <c r="H402" i="7"/>
  <c r="G402" i="7"/>
  <c r="CH407" i="7"/>
  <c r="DC406" i="7"/>
  <c r="BN406" i="7"/>
  <c r="BY409" i="7"/>
  <c r="CT408" i="7"/>
  <c r="BZ408" i="7"/>
  <c r="CU407" i="7"/>
  <c r="EN407" i="7"/>
  <c r="BV408" i="7"/>
  <c r="CQ407" i="7"/>
  <c r="EO407" i="7"/>
  <c r="BT408" i="7"/>
  <c r="CO407" i="7"/>
  <c r="CD408" i="7"/>
  <c r="CY407" i="7"/>
  <c r="BQ403" i="7"/>
  <c r="BB405" i="7"/>
  <c r="DQ405" i="7" s="1"/>
  <c r="AX405" i="7"/>
  <c r="DM405" i="7" s="1"/>
  <c r="AT405" i="7"/>
  <c r="BA405" i="7"/>
  <c r="DP405" i="7" s="1"/>
  <c r="AW405" i="7"/>
  <c r="DL405" i="7" s="1"/>
  <c r="AZ405" i="7"/>
  <c r="DO405" i="7" s="1"/>
  <c r="AV405" i="7"/>
  <c r="DK405" i="7" s="1"/>
  <c r="BC405" i="7"/>
  <c r="DR405" i="7" s="1"/>
  <c r="AY405" i="7"/>
  <c r="DN405" i="7" s="1"/>
  <c r="AU405" i="7"/>
  <c r="DJ405" i="7" s="1"/>
  <c r="AF405" i="7"/>
  <c r="AI405" i="7" s="1"/>
  <c r="AG405" i="7"/>
  <c r="AH405" i="7"/>
  <c r="CF407" i="7"/>
  <c r="DA406" i="7"/>
  <c r="AN406" i="7"/>
  <c r="CM408" i="7"/>
  <c r="DH407" i="7"/>
  <c r="BJ396" i="7"/>
  <c r="BM396" i="7" s="1"/>
  <c r="B396" i="7" s="1"/>
  <c r="C396" i="7"/>
  <c r="F396" i="7" s="1"/>
  <c r="AJ397" i="7"/>
  <c r="BX408" i="7"/>
  <c r="CS407" i="7"/>
  <c r="N406" i="7"/>
  <c r="CC409" i="7"/>
  <c r="CX408" i="7"/>
  <c r="E396" i="7"/>
  <c r="BL396" i="7"/>
  <c r="AL397" i="7"/>
  <c r="BW408" i="7"/>
  <c r="CR407" i="7"/>
  <c r="CI408" i="7"/>
  <c r="DD407" i="7"/>
  <c r="DS407" i="7"/>
  <c r="CB408" i="7"/>
  <c r="CW407" i="7"/>
  <c r="P406" i="7"/>
  <c r="N407" i="7" s="1"/>
  <c r="BK396" i="7"/>
  <c r="D396" i="7"/>
  <c r="AK397" i="7"/>
  <c r="BU409" i="7"/>
  <c r="CP408" i="7"/>
  <c r="CE407" i="7"/>
  <c r="CZ406" i="7"/>
  <c r="AM406" i="7"/>
  <c r="DG408" i="7"/>
  <c r="EM408" i="7"/>
  <c r="CL409" i="7"/>
  <c r="CJ408" i="7"/>
  <c r="DE407" i="7"/>
  <c r="DI404" i="7"/>
  <c r="DI405" i="7" s="1"/>
  <c r="CG408" i="7"/>
  <c r="DB407" i="7"/>
  <c r="AO407" i="7"/>
  <c r="CA408" i="7"/>
  <c r="CV407" i="7"/>
  <c r="BP405" i="7" l="1"/>
  <c r="CJ409" i="7"/>
  <c r="DE408" i="7"/>
  <c r="BU410" i="7"/>
  <c r="CP409" i="7"/>
  <c r="P407" i="7"/>
  <c r="BW409" i="7"/>
  <c r="CR408" i="7"/>
  <c r="BX409" i="7"/>
  <c r="CS408" i="7"/>
  <c r="AN407" i="7"/>
  <c r="CF408" i="7"/>
  <c r="DA407" i="7"/>
  <c r="CD409" i="7"/>
  <c r="CY408" i="7"/>
  <c r="BI407" i="7"/>
  <c r="CG409" i="7"/>
  <c r="DB408" i="7"/>
  <c r="AO408" i="7"/>
  <c r="EM409" i="7"/>
  <c r="DG409" i="7"/>
  <c r="CL410" i="7"/>
  <c r="CC410" i="7"/>
  <c r="CX409" i="7"/>
  <c r="BJ397" i="7"/>
  <c r="BM397" i="7" s="1"/>
  <c r="B397" i="7" s="1"/>
  <c r="C397" i="7"/>
  <c r="F397" i="7" s="1"/>
  <c r="AJ398" i="7"/>
  <c r="CM409" i="7"/>
  <c r="DH408" i="7"/>
  <c r="BV409" i="7"/>
  <c r="CQ408" i="7"/>
  <c r="BZ409" i="7"/>
  <c r="CU408" i="7"/>
  <c r="EN408" i="7"/>
  <c r="BP404" i="7"/>
  <c r="BQ404" i="7" s="1"/>
  <c r="D397" i="7"/>
  <c r="BK397" i="7"/>
  <c r="AK398" i="7"/>
  <c r="AR407" i="7"/>
  <c r="AQ407" i="7"/>
  <c r="AP407" i="7"/>
  <c r="E397" i="7"/>
  <c r="BL397" i="7"/>
  <c r="AL398" i="7"/>
  <c r="CA409" i="7"/>
  <c r="CV408" i="7"/>
  <c r="CE408" i="7"/>
  <c r="CZ407" i="7"/>
  <c r="AM407" i="7"/>
  <c r="DS408" i="7"/>
  <c r="CI409" i="7"/>
  <c r="DD408" i="7"/>
  <c r="AR406" i="7"/>
  <c r="BI406" i="7" s="1"/>
  <c r="AQ406" i="7"/>
  <c r="BH406" i="7" s="1"/>
  <c r="AP406" i="7"/>
  <c r="BG406" i="7" s="1"/>
  <c r="G403" i="7"/>
  <c r="H403" i="7"/>
  <c r="EO408" i="7"/>
  <c r="BT409" i="7"/>
  <c r="CO408" i="7"/>
  <c r="CH408" i="7"/>
  <c r="DC407" i="7"/>
  <c r="BN407" i="7"/>
  <c r="BA406" i="7"/>
  <c r="DP406" i="7" s="1"/>
  <c r="AW406" i="7"/>
  <c r="DL406" i="7" s="1"/>
  <c r="AZ406" i="7"/>
  <c r="DO406" i="7" s="1"/>
  <c r="AV406" i="7"/>
  <c r="DK406" i="7" s="1"/>
  <c r="BC406" i="7"/>
  <c r="DR406" i="7" s="1"/>
  <c r="AY406" i="7"/>
  <c r="DN406" i="7" s="1"/>
  <c r="AU406" i="7"/>
  <c r="DJ406" i="7" s="1"/>
  <c r="BB406" i="7"/>
  <c r="DQ406" i="7" s="1"/>
  <c r="AX406" i="7"/>
  <c r="DM406" i="7" s="1"/>
  <c r="AT406" i="7"/>
  <c r="DI406" i="7" s="1"/>
  <c r="AF406" i="7"/>
  <c r="AI406" i="7" s="1"/>
  <c r="AH406" i="7"/>
  <c r="AG406" i="7"/>
  <c r="BS408" i="7"/>
  <c r="EF407" i="7"/>
  <c r="DZ407" i="7"/>
  <c r="CN407" i="7"/>
  <c r="BO406" i="7" s="1"/>
  <c r="EC407" i="7"/>
  <c r="DX407" i="7"/>
  <c r="EB407" i="7"/>
  <c r="DW407" i="7"/>
  <c r="EA407" i="7"/>
  <c r="DV407" i="7"/>
  <c r="M407" i="7"/>
  <c r="CK410" i="7"/>
  <c r="DF409" i="7"/>
  <c r="CB409" i="7"/>
  <c r="CW408" i="7"/>
  <c r="BF405" i="7"/>
  <c r="BE405" i="7"/>
  <c r="BD405" i="7"/>
  <c r="BY410" i="7"/>
  <c r="CT409" i="7"/>
  <c r="BO405" i="7"/>
  <c r="BQ405" i="7" s="1"/>
  <c r="BP406" i="7" l="1"/>
  <c r="DK407" i="7"/>
  <c r="BQ406" i="7"/>
  <c r="CK411" i="7"/>
  <c r="DF410" i="7"/>
  <c r="CA410" i="7"/>
  <c r="CV409" i="7"/>
  <c r="EN409" i="7"/>
  <c r="BZ410" i="7"/>
  <c r="CU409" i="7"/>
  <c r="CM410" i="7"/>
  <c r="DH409" i="7"/>
  <c r="BX410" i="7"/>
  <c r="CS409" i="7"/>
  <c r="AZ407" i="7"/>
  <c r="DO407" i="7" s="1"/>
  <c r="AV407" i="7"/>
  <c r="BC407" i="7"/>
  <c r="DR407" i="7" s="1"/>
  <c r="AY407" i="7"/>
  <c r="DN407" i="7" s="1"/>
  <c r="AU407" i="7"/>
  <c r="DJ407" i="7" s="1"/>
  <c r="BB407" i="7"/>
  <c r="DQ407" i="7" s="1"/>
  <c r="AX407" i="7"/>
  <c r="DM407" i="7" s="1"/>
  <c r="AT407" i="7"/>
  <c r="DI407" i="7" s="1"/>
  <c r="BA407" i="7"/>
  <c r="DP407" i="7" s="1"/>
  <c r="AW407" i="7"/>
  <c r="DL407" i="7" s="1"/>
  <c r="AG407" i="7"/>
  <c r="AH407" i="7"/>
  <c r="AF407" i="7"/>
  <c r="AI407" i="7" s="1"/>
  <c r="BT410" i="7"/>
  <c r="CO409" i="7"/>
  <c r="EO409" i="7"/>
  <c r="CI410" i="7"/>
  <c r="DD409" i="7"/>
  <c r="DS409" i="7"/>
  <c r="AM408" i="7"/>
  <c r="CE409" i="7"/>
  <c r="CZ408" i="7"/>
  <c r="BL398" i="7"/>
  <c r="E398" i="7"/>
  <c r="AL399" i="7"/>
  <c r="H404" i="7"/>
  <c r="G404" i="7"/>
  <c r="C398" i="7"/>
  <c r="F398" i="7" s="1"/>
  <c r="BJ398" i="7"/>
  <c r="BM398" i="7" s="1"/>
  <c r="B398" i="7" s="1"/>
  <c r="AJ399" i="7"/>
  <c r="CC411" i="7"/>
  <c r="CX410" i="7"/>
  <c r="CF409" i="7"/>
  <c r="DA408" i="7"/>
  <c r="AN408" i="7"/>
  <c r="CJ410" i="7"/>
  <c r="DE409" i="7"/>
  <c r="BY411" i="7"/>
  <c r="CT410" i="7"/>
  <c r="CB410" i="7"/>
  <c r="CW409" i="7"/>
  <c r="P408" i="7"/>
  <c r="D398" i="7"/>
  <c r="BK398" i="7"/>
  <c r="AK399" i="7"/>
  <c r="BV410" i="7"/>
  <c r="CQ409" i="7"/>
  <c r="EM410" i="7"/>
  <c r="DG410" i="7"/>
  <c r="CL411" i="7"/>
  <c r="BH407" i="7"/>
  <c r="BW410" i="7"/>
  <c r="CR409" i="7"/>
  <c r="BU411" i="7"/>
  <c r="CP410" i="7"/>
  <c r="H405" i="7"/>
  <c r="G405" i="7"/>
  <c r="EC408" i="7"/>
  <c r="DX408" i="7"/>
  <c r="EB408" i="7"/>
  <c r="DW408" i="7"/>
  <c r="EA408" i="7"/>
  <c r="DV408" i="7"/>
  <c r="BS409" i="7"/>
  <c r="EF408" i="7"/>
  <c r="DZ408" i="7"/>
  <c r="CN408" i="7"/>
  <c r="M408" i="7"/>
  <c r="BE406" i="7"/>
  <c r="BD406" i="7"/>
  <c r="BF406" i="7"/>
  <c r="CH409" i="7"/>
  <c r="DC408" i="7"/>
  <c r="BN408" i="7"/>
  <c r="BG407" i="7"/>
  <c r="CG410" i="7"/>
  <c r="DB409" i="7"/>
  <c r="AO409" i="7"/>
  <c r="CD410" i="7"/>
  <c r="CY409" i="7"/>
  <c r="N408" i="7"/>
  <c r="BP407" i="7" l="1"/>
  <c r="BN409" i="7"/>
  <c r="CH410" i="7"/>
  <c r="DC409" i="7"/>
  <c r="C399" i="7"/>
  <c r="F399" i="7" s="1"/>
  <c r="BJ399" i="7"/>
  <c r="BM399" i="7" s="1"/>
  <c r="B399" i="7" s="1"/>
  <c r="AJ400" i="7"/>
  <c r="CD411" i="7"/>
  <c r="CY410" i="7"/>
  <c r="BO407" i="7"/>
  <c r="BQ407" i="7" s="1"/>
  <c r="CB411" i="7"/>
  <c r="CW410" i="7"/>
  <c r="CJ411" i="7"/>
  <c r="DE410" i="7"/>
  <c r="BL399" i="7"/>
  <c r="E399" i="7"/>
  <c r="AL400" i="7"/>
  <c r="CE410" i="7"/>
  <c r="CZ409" i="7"/>
  <c r="AM409" i="7"/>
  <c r="CI411" i="7"/>
  <c r="DD410" i="7"/>
  <c r="DS410" i="7"/>
  <c r="CK412" i="7"/>
  <c r="DF411" i="7"/>
  <c r="BC408" i="7"/>
  <c r="DR408" i="7" s="1"/>
  <c r="AY408" i="7"/>
  <c r="DN408" i="7" s="1"/>
  <c r="AU408" i="7"/>
  <c r="DJ408" i="7" s="1"/>
  <c r="BB408" i="7"/>
  <c r="DQ408" i="7" s="1"/>
  <c r="AX408" i="7"/>
  <c r="DM408" i="7" s="1"/>
  <c r="AT408" i="7"/>
  <c r="BA408" i="7"/>
  <c r="DP408" i="7" s="1"/>
  <c r="AW408" i="7"/>
  <c r="DL408" i="7" s="1"/>
  <c r="AZ408" i="7"/>
  <c r="DO408" i="7" s="1"/>
  <c r="AV408" i="7"/>
  <c r="DK408" i="7" s="1"/>
  <c r="AH408" i="7"/>
  <c r="AG408" i="7"/>
  <c r="AF408" i="7"/>
  <c r="AI408" i="7" s="1"/>
  <c r="BW411" i="7"/>
  <c r="CR410" i="7"/>
  <c r="BU412" i="7"/>
  <c r="CP411" i="7"/>
  <c r="DG411" i="7"/>
  <c r="EM411" i="7"/>
  <c r="CL412" i="7"/>
  <c r="BV411" i="7"/>
  <c r="CQ410" i="7"/>
  <c r="N409" i="7"/>
  <c r="CM411" i="7"/>
  <c r="DH410" i="7"/>
  <c r="AQ408" i="7"/>
  <c r="BH408" i="7" s="1"/>
  <c r="AP408" i="7"/>
  <c r="BG408" i="7" s="1"/>
  <c r="AR408" i="7"/>
  <c r="BI408" i="7" s="1"/>
  <c r="BK399" i="7"/>
  <c r="D399" i="7"/>
  <c r="AK400" i="7"/>
  <c r="BY412" i="7"/>
  <c r="CT411" i="7"/>
  <c r="CC412" i="7"/>
  <c r="CX411" i="7"/>
  <c r="P409" i="7"/>
  <c r="BD407" i="7"/>
  <c r="BF407" i="7"/>
  <c r="BE407" i="7"/>
  <c r="CA411" i="7"/>
  <c r="CV410" i="7"/>
  <c r="H406" i="7"/>
  <c r="G406" i="7"/>
  <c r="AO410" i="7"/>
  <c r="CG411" i="7"/>
  <c r="DB410" i="7"/>
  <c r="EB409" i="7"/>
  <c r="DW409" i="7"/>
  <c r="EA409" i="7"/>
  <c r="DV409" i="7"/>
  <c r="BS410" i="7"/>
  <c r="EF409" i="7"/>
  <c r="DZ409" i="7"/>
  <c r="CN409" i="7"/>
  <c r="BO408" i="7" s="1"/>
  <c r="EC409" i="7"/>
  <c r="DX409" i="7"/>
  <c r="M409" i="7"/>
  <c r="CF410" i="7"/>
  <c r="DA409" i="7"/>
  <c r="AN409" i="7"/>
  <c r="BT411" i="7"/>
  <c r="CO410" i="7"/>
  <c r="EO410" i="7"/>
  <c r="BX411" i="7"/>
  <c r="CS410" i="7"/>
  <c r="BZ411" i="7"/>
  <c r="CU410" i="7"/>
  <c r="EN410" i="7"/>
  <c r="BB409" i="7" l="1"/>
  <c r="DQ409" i="7" s="1"/>
  <c r="AX409" i="7"/>
  <c r="DM409" i="7" s="1"/>
  <c r="AT409" i="7"/>
  <c r="BA409" i="7"/>
  <c r="DP409" i="7" s="1"/>
  <c r="AW409" i="7"/>
  <c r="DL409" i="7" s="1"/>
  <c r="AZ409" i="7"/>
  <c r="DO409" i="7" s="1"/>
  <c r="AV409" i="7"/>
  <c r="DK409" i="7" s="1"/>
  <c r="BC409" i="7"/>
  <c r="DR409" i="7" s="1"/>
  <c r="AY409" i="7"/>
  <c r="DN409" i="7" s="1"/>
  <c r="AU409" i="7"/>
  <c r="DJ409" i="7" s="1"/>
  <c r="AF409" i="7"/>
  <c r="AI409" i="7" s="1"/>
  <c r="AG409" i="7"/>
  <c r="AH409" i="7"/>
  <c r="CG412" i="7"/>
  <c r="DB411" i="7"/>
  <c r="AO411" i="7"/>
  <c r="BK400" i="7"/>
  <c r="D400" i="7"/>
  <c r="AK401" i="7"/>
  <c r="DG412" i="7"/>
  <c r="EM412" i="7"/>
  <c r="CL413" i="7"/>
  <c r="BU413" i="7"/>
  <c r="CP412" i="7"/>
  <c r="BW412" i="7"/>
  <c r="CR411" i="7"/>
  <c r="BF408" i="7"/>
  <c r="BE408" i="7"/>
  <c r="BD408" i="7"/>
  <c r="P410" i="7"/>
  <c r="CB412" i="7"/>
  <c r="CW411" i="7"/>
  <c r="BJ400" i="7"/>
  <c r="BM400" i="7" s="1"/>
  <c r="B400" i="7" s="1"/>
  <c r="C400" i="7"/>
  <c r="F400" i="7" s="1"/>
  <c r="AJ401" i="7"/>
  <c r="CH411" i="7"/>
  <c r="DC410" i="7"/>
  <c r="BN410" i="7"/>
  <c r="BZ412" i="7"/>
  <c r="CU411" i="7"/>
  <c r="EN411" i="7"/>
  <c r="CF411" i="7"/>
  <c r="DA410" i="7"/>
  <c r="AN410" i="7"/>
  <c r="EO411" i="7"/>
  <c r="BT412" i="7"/>
  <c r="CO411" i="7"/>
  <c r="BX412" i="7"/>
  <c r="CS411" i="7"/>
  <c r="CC413" i="7"/>
  <c r="CX412" i="7"/>
  <c r="AP409" i="7"/>
  <c r="AR409" i="7"/>
  <c r="BI409" i="7" s="1"/>
  <c r="AQ409" i="7"/>
  <c r="CE411" i="7"/>
  <c r="CZ410" i="7"/>
  <c r="AM410" i="7"/>
  <c r="G407" i="7"/>
  <c r="H407" i="7"/>
  <c r="DI408" i="7"/>
  <c r="DI409" i="7" s="1"/>
  <c r="BH409" i="7"/>
  <c r="EA410" i="7"/>
  <c r="DV410" i="7"/>
  <c r="BS411" i="7"/>
  <c r="EF410" i="7"/>
  <c r="DZ410" i="7"/>
  <c r="CN410" i="7"/>
  <c r="BO409" i="7" s="1"/>
  <c r="EC410" i="7"/>
  <c r="DX410" i="7"/>
  <c r="EB410" i="7"/>
  <c r="DW410" i="7"/>
  <c r="M410" i="7"/>
  <c r="CA412" i="7"/>
  <c r="CV411" i="7"/>
  <c r="CM412" i="7"/>
  <c r="DH411" i="7"/>
  <c r="CI412" i="7"/>
  <c r="DD411" i="7"/>
  <c r="DS411" i="7"/>
  <c r="E400" i="7"/>
  <c r="BL400" i="7"/>
  <c r="AL401" i="7"/>
  <c r="CJ412" i="7"/>
  <c r="DE411" i="7"/>
  <c r="N410" i="7"/>
  <c r="BY413" i="7"/>
  <c r="CT412" i="7"/>
  <c r="BV412" i="7"/>
  <c r="CQ411" i="7"/>
  <c r="CK413" i="7"/>
  <c r="DF412" i="7"/>
  <c r="BG409" i="7"/>
  <c r="CD412" i="7"/>
  <c r="CY411" i="7"/>
  <c r="BP409" i="7" l="1"/>
  <c r="BQ409" i="7" s="1"/>
  <c r="P411" i="7"/>
  <c r="CM413" i="7"/>
  <c r="DH412" i="7"/>
  <c r="BX413" i="7"/>
  <c r="CS412" i="7"/>
  <c r="CH412" i="7"/>
  <c r="DC411" i="7"/>
  <c r="BN411" i="7"/>
  <c r="BW413" i="7"/>
  <c r="CR412" i="7"/>
  <c r="BP408" i="7"/>
  <c r="BQ408" i="7" s="1"/>
  <c r="BV413" i="7"/>
  <c r="CQ412" i="7"/>
  <c r="BY414" i="7"/>
  <c r="CT413" i="7"/>
  <c r="CE412" i="7"/>
  <c r="CZ411" i="7"/>
  <c r="AM411" i="7"/>
  <c r="CC414" i="7"/>
  <c r="CX413" i="7"/>
  <c r="BZ413" i="7"/>
  <c r="CU412" i="7"/>
  <c r="EN412" i="7"/>
  <c r="BJ401" i="7"/>
  <c r="BM401" i="7" s="1"/>
  <c r="B401" i="7" s="1"/>
  <c r="C401" i="7"/>
  <c r="F401" i="7" s="1"/>
  <c r="AJ402" i="7"/>
  <c r="CB413" i="7"/>
  <c r="CW412" i="7"/>
  <c r="CJ413" i="7"/>
  <c r="DE412" i="7"/>
  <c r="CK414" i="7"/>
  <c r="DF413" i="7"/>
  <c r="E401" i="7"/>
  <c r="BL401" i="7"/>
  <c r="AL402" i="7"/>
  <c r="CD413" i="7"/>
  <c r="CY412" i="7"/>
  <c r="AR410" i="7"/>
  <c r="BI410" i="7" s="1"/>
  <c r="AQ410" i="7"/>
  <c r="BH410" i="7" s="1"/>
  <c r="AP410" i="7"/>
  <c r="DS412" i="7"/>
  <c r="CI413" i="7"/>
  <c r="DD412" i="7"/>
  <c r="CA413" i="7"/>
  <c r="CV412" i="7"/>
  <c r="EO412" i="7"/>
  <c r="BT413" i="7"/>
  <c r="CO412" i="7"/>
  <c r="AN411" i="7"/>
  <c r="CF412" i="7"/>
  <c r="DA411" i="7"/>
  <c r="BU414" i="7"/>
  <c r="CP413" i="7"/>
  <c r="D401" i="7"/>
  <c r="BK401" i="7"/>
  <c r="AK402" i="7"/>
  <c r="BF409" i="7"/>
  <c r="BE409" i="7"/>
  <c r="BD409" i="7"/>
  <c r="BA410" i="7"/>
  <c r="DP410" i="7" s="1"/>
  <c r="AW410" i="7"/>
  <c r="DL410" i="7" s="1"/>
  <c r="AZ410" i="7"/>
  <c r="DO410" i="7" s="1"/>
  <c r="AV410" i="7"/>
  <c r="DK410" i="7" s="1"/>
  <c r="BC410" i="7"/>
  <c r="DR410" i="7" s="1"/>
  <c r="AY410" i="7"/>
  <c r="DN410" i="7" s="1"/>
  <c r="AU410" i="7"/>
  <c r="DJ410" i="7" s="1"/>
  <c r="BB410" i="7"/>
  <c r="DQ410" i="7" s="1"/>
  <c r="AX410" i="7"/>
  <c r="DM410" i="7" s="1"/>
  <c r="AT410" i="7"/>
  <c r="AG410" i="7"/>
  <c r="AF410" i="7"/>
  <c r="AI410" i="7" s="1"/>
  <c r="AH410" i="7"/>
  <c r="BS412" i="7"/>
  <c r="EF411" i="7"/>
  <c r="DZ411" i="7"/>
  <c r="CN411" i="7"/>
  <c r="BO410" i="7" s="1"/>
  <c r="EC411" i="7"/>
  <c r="DX411" i="7"/>
  <c r="EB411" i="7"/>
  <c r="DW411" i="7"/>
  <c r="EA411" i="7"/>
  <c r="DV411" i="7"/>
  <c r="M411" i="7"/>
  <c r="DI410" i="7"/>
  <c r="BG410" i="7"/>
  <c r="N411" i="7"/>
  <c r="EM413" i="7"/>
  <c r="DG413" i="7"/>
  <c r="CL414" i="7"/>
  <c r="CG413" i="7"/>
  <c r="DB412" i="7"/>
  <c r="AO412" i="7"/>
  <c r="BP410" i="7" l="1"/>
  <c r="BQ410" i="7" s="1"/>
  <c r="H409" i="7"/>
  <c r="G409" i="7"/>
  <c r="CG414" i="7"/>
  <c r="DB413" i="7"/>
  <c r="AO413" i="7"/>
  <c r="CB414" i="7"/>
  <c r="CW413" i="7"/>
  <c r="CC415" i="7"/>
  <c r="CX414" i="7"/>
  <c r="H408" i="7"/>
  <c r="G408" i="7"/>
  <c r="BX414" i="7"/>
  <c r="CS413" i="7"/>
  <c r="AR411" i="7"/>
  <c r="BI411" i="7" s="1"/>
  <c r="AQ411" i="7"/>
  <c r="AP411" i="7"/>
  <c r="BT414" i="7"/>
  <c r="CO413" i="7"/>
  <c r="EO413" i="7"/>
  <c r="EM414" i="7"/>
  <c r="DG414" i="7"/>
  <c r="CL415" i="7"/>
  <c r="EC412" i="7"/>
  <c r="DX412" i="7"/>
  <c r="EB412" i="7"/>
  <c r="DW412" i="7"/>
  <c r="EA412" i="7"/>
  <c r="DV412" i="7"/>
  <c r="BS413" i="7"/>
  <c r="EF412" i="7"/>
  <c r="DZ412" i="7"/>
  <c r="CN412" i="7"/>
  <c r="M412" i="7"/>
  <c r="BE410" i="7"/>
  <c r="BD410" i="7"/>
  <c r="BF410" i="7"/>
  <c r="CF413" i="7"/>
  <c r="DA412" i="7"/>
  <c r="AN412" i="7"/>
  <c r="CI414" i="7"/>
  <c r="DD413" i="7"/>
  <c r="DS413" i="7"/>
  <c r="CJ414" i="7"/>
  <c r="DE413" i="7"/>
  <c r="C402" i="7"/>
  <c r="F402" i="7" s="1"/>
  <c r="BJ402" i="7"/>
  <c r="BM402" i="7" s="1"/>
  <c r="B402" i="7" s="1"/>
  <c r="AJ403" i="7"/>
  <c r="BG411" i="7"/>
  <c r="BY415" i="7"/>
  <c r="CT414" i="7"/>
  <c r="CH413" i="7"/>
  <c r="DC412" i="7"/>
  <c r="BN412" i="7"/>
  <c r="D402" i="7"/>
  <c r="BK402" i="7"/>
  <c r="AK403" i="7"/>
  <c r="BU415" i="7"/>
  <c r="CP414" i="7"/>
  <c r="BH411" i="7"/>
  <c r="P412" i="7"/>
  <c r="N413" i="7" s="1"/>
  <c r="CD414" i="7"/>
  <c r="CY413" i="7"/>
  <c r="EN413" i="7"/>
  <c r="BZ414" i="7"/>
  <c r="CU413" i="7"/>
  <c r="BW414" i="7"/>
  <c r="CR413" i="7"/>
  <c r="CM414" i="7"/>
  <c r="DH413" i="7"/>
  <c r="AZ411" i="7"/>
  <c r="DO411" i="7" s="1"/>
  <c r="AV411" i="7"/>
  <c r="DK411" i="7" s="1"/>
  <c r="BC411" i="7"/>
  <c r="DR411" i="7" s="1"/>
  <c r="AY411" i="7"/>
  <c r="DN411" i="7" s="1"/>
  <c r="AU411" i="7"/>
  <c r="DJ411" i="7" s="1"/>
  <c r="BB411" i="7"/>
  <c r="DQ411" i="7" s="1"/>
  <c r="AX411" i="7"/>
  <c r="DM411" i="7" s="1"/>
  <c r="AT411" i="7"/>
  <c r="DI411" i="7" s="1"/>
  <c r="BA411" i="7"/>
  <c r="DP411" i="7" s="1"/>
  <c r="AW411" i="7"/>
  <c r="DL411" i="7" s="1"/>
  <c r="AG411" i="7"/>
  <c r="AF411" i="7"/>
  <c r="AI411" i="7" s="1"/>
  <c r="AH411" i="7"/>
  <c r="CA414" i="7"/>
  <c r="CV413" i="7"/>
  <c r="BL402" i="7"/>
  <c r="E402" i="7"/>
  <c r="AL403" i="7"/>
  <c r="CK415" i="7"/>
  <c r="DF414" i="7"/>
  <c r="AM412" i="7"/>
  <c r="CE413" i="7"/>
  <c r="CZ412" i="7"/>
  <c r="BV414" i="7"/>
  <c r="CQ413" i="7"/>
  <c r="N412" i="7"/>
  <c r="BP411" i="7" l="1"/>
  <c r="H410" i="7"/>
  <c r="G410" i="7"/>
  <c r="CE414" i="7"/>
  <c r="CZ413" i="7"/>
  <c r="AM413" i="7"/>
  <c r="BG413" i="7" s="1"/>
  <c r="CM415" i="7"/>
  <c r="DH414" i="7"/>
  <c r="BZ415" i="7"/>
  <c r="CU414" i="7"/>
  <c r="EN414" i="7"/>
  <c r="AP413" i="7"/>
  <c r="AR413" i="7"/>
  <c r="AQ413" i="7"/>
  <c r="BU416" i="7"/>
  <c r="CP415" i="7"/>
  <c r="P413" i="7"/>
  <c r="DG415" i="7"/>
  <c r="EM415" i="7"/>
  <c r="CL416" i="7"/>
  <c r="BI413" i="7"/>
  <c r="BL403" i="7"/>
  <c r="E403" i="7"/>
  <c r="AL404" i="7"/>
  <c r="BK403" i="7"/>
  <c r="D403" i="7"/>
  <c r="AK404" i="7"/>
  <c r="BY416" i="7"/>
  <c r="CT415" i="7"/>
  <c r="CF414" i="7"/>
  <c r="DA413" i="7"/>
  <c r="AN413" i="7"/>
  <c r="BH413" i="7" s="1"/>
  <c r="BC412" i="7"/>
  <c r="DR412" i="7" s="1"/>
  <c r="AY412" i="7"/>
  <c r="DN412" i="7" s="1"/>
  <c r="AU412" i="7"/>
  <c r="DJ412" i="7" s="1"/>
  <c r="BB412" i="7"/>
  <c r="DQ412" i="7" s="1"/>
  <c r="AX412" i="7"/>
  <c r="DM412" i="7" s="1"/>
  <c r="AT412" i="7"/>
  <c r="BA412" i="7"/>
  <c r="DP412" i="7" s="1"/>
  <c r="AW412" i="7"/>
  <c r="DL412" i="7" s="1"/>
  <c r="AZ412" i="7"/>
  <c r="DO412" i="7" s="1"/>
  <c r="AV412" i="7"/>
  <c r="DK412" i="7" s="1"/>
  <c r="AG412" i="7"/>
  <c r="AH412" i="7"/>
  <c r="AF412" i="7"/>
  <c r="AI412" i="7" s="1"/>
  <c r="EB413" i="7"/>
  <c r="DW413" i="7"/>
  <c r="EA413" i="7"/>
  <c r="DV413" i="7"/>
  <c r="BS414" i="7"/>
  <c r="EF413" i="7"/>
  <c r="DZ413" i="7"/>
  <c r="CN413" i="7"/>
  <c r="EC413" i="7"/>
  <c r="DX413" i="7"/>
  <c r="M413" i="7"/>
  <c r="BT415" i="7"/>
  <c r="CO414" i="7"/>
  <c r="EO414" i="7"/>
  <c r="BX415" i="7"/>
  <c r="CS414" i="7"/>
  <c r="CC416" i="7"/>
  <c r="CX415" i="7"/>
  <c r="CA415" i="7"/>
  <c r="CV414" i="7"/>
  <c r="BV415" i="7"/>
  <c r="CQ414" i="7"/>
  <c r="CI415" i="7"/>
  <c r="DD414" i="7"/>
  <c r="DS414" i="7"/>
  <c r="BO411" i="7"/>
  <c r="BQ411" i="7" s="1"/>
  <c r="AO414" i="7"/>
  <c r="CG415" i="7"/>
  <c r="DB414" i="7"/>
  <c r="BD411" i="7"/>
  <c r="BF411" i="7"/>
  <c r="BE411" i="7"/>
  <c r="BW415" i="7"/>
  <c r="CR414" i="7"/>
  <c r="AQ412" i="7"/>
  <c r="AP412" i="7"/>
  <c r="BG412" i="7" s="1"/>
  <c r="AR412" i="7"/>
  <c r="BI412" i="7" s="1"/>
  <c r="CK416" i="7"/>
  <c r="DF415" i="7"/>
  <c r="CD415" i="7"/>
  <c r="CY414" i="7"/>
  <c r="BN413" i="7"/>
  <c r="CH414" i="7"/>
  <c r="DC413" i="7"/>
  <c r="C403" i="7"/>
  <c r="F403" i="7" s="1"/>
  <c r="BJ403" i="7"/>
  <c r="BM403" i="7" s="1"/>
  <c r="B403" i="7" s="1"/>
  <c r="AJ404" i="7"/>
  <c r="CJ415" i="7"/>
  <c r="DE414" i="7"/>
  <c r="BH412" i="7"/>
  <c r="CB415" i="7"/>
  <c r="CW414" i="7"/>
  <c r="CJ416" i="7" l="1"/>
  <c r="DE415" i="7"/>
  <c r="CG416" i="7"/>
  <c r="DB415" i="7"/>
  <c r="AO415" i="7"/>
  <c r="EO415" i="7"/>
  <c r="BT416" i="7"/>
  <c r="CO415" i="7"/>
  <c r="BO412" i="7"/>
  <c r="CP416" i="7"/>
  <c r="BU417" i="7"/>
  <c r="BJ404" i="7"/>
  <c r="BM404" i="7" s="1"/>
  <c r="B404" i="7" s="1"/>
  <c r="C404" i="7"/>
  <c r="F404" i="7" s="1"/>
  <c r="AJ405" i="7"/>
  <c r="CH415" i="7"/>
  <c r="DC414" i="7"/>
  <c r="BN414" i="7"/>
  <c r="CI416" i="7"/>
  <c r="DD415" i="7"/>
  <c r="DS415" i="7"/>
  <c r="CA416" i="7"/>
  <c r="CV415" i="7"/>
  <c r="BX416" i="7"/>
  <c r="CS415" i="7"/>
  <c r="BB413" i="7"/>
  <c r="DQ413" i="7" s="1"/>
  <c r="AX413" i="7"/>
  <c r="DM413" i="7" s="1"/>
  <c r="AT413" i="7"/>
  <c r="BA413" i="7"/>
  <c r="DP413" i="7" s="1"/>
  <c r="AW413" i="7"/>
  <c r="DL413" i="7" s="1"/>
  <c r="AZ413" i="7"/>
  <c r="DO413" i="7" s="1"/>
  <c r="AV413" i="7"/>
  <c r="DK413" i="7" s="1"/>
  <c r="BC413" i="7"/>
  <c r="DR413" i="7" s="1"/>
  <c r="AY413" i="7"/>
  <c r="DN413" i="7" s="1"/>
  <c r="AU413" i="7"/>
  <c r="DJ413" i="7" s="1"/>
  <c r="AF413" i="7"/>
  <c r="AI413" i="7" s="1"/>
  <c r="AG413" i="7"/>
  <c r="AH413" i="7"/>
  <c r="CT416" i="7"/>
  <c r="BY417" i="7"/>
  <c r="BZ416" i="7"/>
  <c r="CU415" i="7"/>
  <c r="EN415" i="7"/>
  <c r="CD416" i="7"/>
  <c r="CY415" i="7"/>
  <c r="CB416" i="7"/>
  <c r="CW415" i="7"/>
  <c r="DF416" i="7"/>
  <c r="CK417" i="7"/>
  <c r="BW416" i="7"/>
  <c r="CR415" i="7"/>
  <c r="G411" i="7"/>
  <c r="H411" i="7"/>
  <c r="E404" i="7"/>
  <c r="BL404" i="7"/>
  <c r="AL405" i="7"/>
  <c r="DG416" i="7"/>
  <c r="EM416" i="7"/>
  <c r="CL417" i="7"/>
  <c r="N414" i="7"/>
  <c r="CE415" i="7"/>
  <c r="CZ414" i="7"/>
  <c r="AM414" i="7"/>
  <c r="P414" i="7"/>
  <c r="BV416" i="7"/>
  <c r="CQ415" i="7"/>
  <c r="CC417" i="7"/>
  <c r="CX416" i="7"/>
  <c r="EA414" i="7"/>
  <c r="DV414" i="7"/>
  <c r="BS415" i="7"/>
  <c r="EF414" i="7"/>
  <c r="DZ414" i="7"/>
  <c r="CN414" i="7"/>
  <c r="BO413" i="7" s="1"/>
  <c r="EC414" i="7"/>
  <c r="DX414" i="7"/>
  <c r="EB414" i="7"/>
  <c r="DW414" i="7"/>
  <c r="M414" i="7"/>
  <c r="BF412" i="7"/>
  <c r="BE412" i="7"/>
  <c r="BD412" i="7"/>
  <c r="CF415" i="7"/>
  <c r="DA414" i="7"/>
  <c r="AN414" i="7"/>
  <c r="BK404" i="7"/>
  <c r="D404" i="7"/>
  <c r="AK405" i="7"/>
  <c r="CM416" i="7"/>
  <c r="DH415" i="7"/>
  <c r="DI412" i="7"/>
  <c r="DI413" i="7" s="1"/>
  <c r="BP413" i="7" l="1"/>
  <c r="BQ413" i="7"/>
  <c r="CM417" i="7"/>
  <c r="DH416" i="7"/>
  <c r="BV417" i="7"/>
  <c r="CQ416" i="7"/>
  <c r="BW417" i="7"/>
  <c r="CR416" i="7"/>
  <c r="DS416" i="7"/>
  <c r="CI417" i="7"/>
  <c r="DD416" i="7"/>
  <c r="CH416" i="7"/>
  <c r="DC415" i="7"/>
  <c r="BN415" i="7"/>
  <c r="BU418" i="7"/>
  <c r="CP417" i="7"/>
  <c r="EO416" i="7"/>
  <c r="CO416" i="7"/>
  <c r="BT417" i="7"/>
  <c r="CG417" i="7"/>
  <c r="DB416" i="7"/>
  <c r="AO416" i="7"/>
  <c r="BP412" i="7"/>
  <c r="D405" i="7"/>
  <c r="BK405" i="7"/>
  <c r="AK406" i="7"/>
  <c r="CE416" i="7"/>
  <c r="CZ415" i="7"/>
  <c r="AM415" i="7"/>
  <c r="CK418" i="7"/>
  <c r="DF417" i="7"/>
  <c r="CB417" i="7"/>
  <c r="CW416" i="7"/>
  <c r="CA417" i="7"/>
  <c r="CV416" i="7"/>
  <c r="BJ405" i="7"/>
  <c r="BM405" i="7" s="1"/>
  <c r="B405" i="7" s="1"/>
  <c r="C405" i="7"/>
  <c r="F405" i="7" s="1"/>
  <c r="AJ406" i="7"/>
  <c r="AN415" i="7"/>
  <c r="CF416" i="7"/>
  <c r="DA415" i="7"/>
  <c r="BA414" i="7"/>
  <c r="DP414" i="7" s="1"/>
  <c r="AW414" i="7"/>
  <c r="DL414" i="7" s="1"/>
  <c r="AZ414" i="7"/>
  <c r="DO414" i="7" s="1"/>
  <c r="AV414" i="7"/>
  <c r="DK414" i="7" s="1"/>
  <c r="BC414" i="7"/>
  <c r="DR414" i="7" s="1"/>
  <c r="AY414" i="7"/>
  <c r="DN414" i="7" s="1"/>
  <c r="AU414" i="7"/>
  <c r="DJ414" i="7" s="1"/>
  <c r="BB414" i="7"/>
  <c r="DQ414" i="7" s="1"/>
  <c r="AX414" i="7"/>
  <c r="DM414" i="7" s="1"/>
  <c r="AT414" i="7"/>
  <c r="AH414" i="7"/>
  <c r="AG414" i="7"/>
  <c r="AF414" i="7"/>
  <c r="AI414" i="7" s="1"/>
  <c r="BS416" i="7"/>
  <c r="EF415" i="7"/>
  <c r="DZ415" i="7"/>
  <c r="CN415" i="7"/>
  <c r="BO414" i="7" s="1"/>
  <c r="EC415" i="7"/>
  <c r="DX415" i="7"/>
  <c r="EB415" i="7"/>
  <c r="DW415" i="7"/>
  <c r="EA415" i="7"/>
  <c r="DV415" i="7"/>
  <c r="M415" i="7"/>
  <c r="CC418" i="7"/>
  <c r="CX417" i="7"/>
  <c r="N415" i="7"/>
  <c r="AR414" i="7"/>
  <c r="BI414" i="7" s="1"/>
  <c r="AQ414" i="7"/>
  <c r="BH414" i="7" s="1"/>
  <c r="AP414" i="7"/>
  <c r="BG414" i="7" s="1"/>
  <c r="E405" i="7"/>
  <c r="BL405" i="7"/>
  <c r="AL406" i="7"/>
  <c r="BZ417" i="7"/>
  <c r="CU416" i="7"/>
  <c r="EN416" i="7"/>
  <c r="P415" i="7"/>
  <c r="N416" i="7" s="1"/>
  <c r="BQ412" i="7"/>
  <c r="DE416" i="7"/>
  <c r="CJ417" i="7"/>
  <c r="EM417" i="7"/>
  <c r="DG417" i="7"/>
  <c r="CL418" i="7"/>
  <c r="CD417" i="7"/>
  <c r="CY416" i="7"/>
  <c r="BY418" i="7"/>
  <c r="CT417" i="7"/>
  <c r="BF413" i="7"/>
  <c r="BE413" i="7"/>
  <c r="BD413" i="7"/>
  <c r="BX417" i="7"/>
  <c r="CS416" i="7"/>
  <c r="CF417" i="7" l="1"/>
  <c r="DA416" i="7"/>
  <c r="AN416" i="7"/>
  <c r="P416" i="7"/>
  <c r="BV418" i="7"/>
  <c r="CQ417" i="7"/>
  <c r="H413" i="7"/>
  <c r="G413" i="7"/>
  <c r="H412" i="7"/>
  <c r="G412" i="7"/>
  <c r="AR415" i="7"/>
  <c r="BI415" i="7" s="1"/>
  <c r="AQ415" i="7"/>
  <c r="AP415" i="7"/>
  <c r="BG415" i="7" s="1"/>
  <c r="CY417" i="7"/>
  <c r="CD418" i="7"/>
  <c r="CJ418" i="7"/>
  <c r="DE417" i="7"/>
  <c r="EC416" i="7"/>
  <c r="DX416" i="7"/>
  <c r="BS417" i="7"/>
  <c r="EB416" i="7"/>
  <c r="DV416" i="7"/>
  <c r="EA416" i="7"/>
  <c r="DZ416" i="7"/>
  <c r="EF416" i="7"/>
  <c r="DW416" i="7"/>
  <c r="CN416" i="7"/>
  <c r="M416" i="7"/>
  <c r="BE414" i="7"/>
  <c r="BD414" i="7"/>
  <c r="BF414" i="7"/>
  <c r="BH415" i="7"/>
  <c r="CB418" i="7"/>
  <c r="CW417" i="7"/>
  <c r="CG418" i="7"/>
  <c r="DB417" i="7"/>
  <c r="AO417" i="7"/>
  <c r="CH417" i="7"/>
  <c r="DC416" i="7"/>
  <c r="BN416" i="7"/>
  <c r="CS417" i="7"/>
  <c r="BX418" i="7"/>
  <c r="EM418" i="7"/>
  <c r="DG418" i="7"/>
  <c r="CL419" i="7"/>
  <c r="AQ416" i="7"/>
  <c r="AP416" i="7"/>
  <c r="AR416" i="7"/>
  <c r="EN417" i="7"/>
  <c r="BZ418" i="7"/>
  <c r="CU417" i="7"/>
  <c r="CX418" i="7"/>
  <c r="CC419" i="7"/>
  <c r="DI414" i="7"/>
  <c r="AM416" i="7"/>
  <c r="CE417" i="7"/>
  <c r="CZ416" i="7"/>
  <c r="EO417" i="7"/>
  <c r="BT418" i="7"/>
  <c r="CO417" i="7"/>
  <c r="BU419" i="7"/>
  <c r="CP418" i="7"/>
  <c r="BW418" i="7"/>
  <c r="CR417" i="7"/>
  <c r="BY419" i="7"/>
  <c r="CT418" i="7"/>
  <c r="BL406" i="7"/>
  <c r="E406" i="7"/>
  <c r="AL407" i="7"/>
  <c r="AZ415" i="7"/>
  <c r="DO415" i="7" s="1"/>
  <c r="AV415" i="7"/>
  <c r="DK415" i="7" s="1"/>
  <c r="BC415" i="7"/>
  <c r="DR415" i="7" s="1"/>
  <c r="AY415" i="7"/>
  <c r="DN415" i="7" s="1"/>
  <c r="AU415" i="7"/>
  <c r="DJ415" i="7" s="1"/>
  <c r="BB415" i="7"/>
  <c r="DQ415" i="7" s="1"/>
  <c r="AX415" i="7"/>
  <c r="DM415" i="7" s="1"/>
  <c r="AT415" i="7"/>
  <c r="BA415" i="7"/>
  <c r="DP415" i="7" s="1"/>
  <c r="AW415" i="7"/>
  <c r="DL415" i="7" s="1"/>
  <c r="AG415" i="7"/>
  <c r="AH415" i="7"/>
  <c r="AF415" i="7"/>
  <c r="AI415" i="7" s="1"/>
  <c r="C406" i="7"/>
  <c r="F406" i="7" s="1"/>
  <c r="BJ406" i="7"/>
  <c r="BM406" i="7" s="1"/>
  <c r="B406" i="7" s="1"/>
  <c r="AJ407" i="7"/>
  <c r="CA418" i="7"/>
  <c r="CV417" i="7"/>
  <c r="CK419" i="7"/>
  <c r="DF418" i="7"/>
  <c r="D406" i="7"/>
  <c r="BK406" i="7"/>
  <c r="AK407" i="7"/>
  <c r="BI416" i="7"/>
  <c r="DD417" i="7"/>
  <c r="DS417" i="7"/>
  <c r="CI418" i="7"/>
  <c r="CM418" i="7"/>
  <c r="DH417" i="7"/>
  <c r="DH418" i="7" l="1"/>
  <c r="CM419" i="7"/>
  <c r="DS418" i="7"/>
  <c r="CI419" i="7"/>
  <c r="DD418" i="7"/>
  <c r="C407" i="7"/>
  <c r="F407" i="7" s="1"/>
  <c r="BJ407" i="7"/>
  <c r="BM407" i="7" s="1"/>
  <c r="B407" i="7" s="1"/>
  <c r="AJ408" i="7"/>
  <c r="BD415" i="7"/>
  <c r="BF415" i="7"/>
  <c r="BE415" i="7"/>
  <c r="BL407" i="7"/>
  <c r="E407" i="7"/>
  <c r="AL408" i="7"/>
  <c r="BY420" i="7"/>
  <c r="CT419" i="7"/>
  <c r="CP419" i="7"/>
  <c r="BU420" i="7"/>
  <c r="CC420" i="7"/>
  <c r="CX419" i="7"/>
  <c r="BC416" i="7"/>
  <c r="DR416" i="7" s="1"/>
  <c r="AY416" i="7"/>
  <c r="DN416" i="7" s="1"/>
  <c r="AU416" i="7"/>
  <c r="DJ416" i="7" s="1"/>
  <c r="BB416" i="7"/>
  <c r="DQ416" i="7" s="1"/>
  <c r="AX416" i="7"/>
  <c r="DM416" i="7" s="1"/>
  <c r="AT416" i="7"/>
  <c r="BA416" i="7"/>
  <c r="DP416" i="7" s="1"/>
  <c r="AW416" i="7"/>
  <c r="DL416" i="7" s="1"/>
  <c r="AZ416" i="7"/>
  <c r="DO416" i="7" s="1"/>
  <c r="AV416" i="7"/>
  <c r="DK416" i="7" s="1"/>
  <c r="AG416" i="7"/>
  <c r="AH416" i="7"/>
  <c r="AF416" i="7"/>
  <c r="AI416" i="7" s="1"/>
  <c r="EB417" i="7"/>
  <c r="DW417" i="7"/>
  <c r="EA417" i="7"/>
  <c r="CN417" i="7"/>
  <c r="DZ417" i="7"/>
  <c r="EF417" i="7"/>
  <c r="DX417" i="7"/>
  <c r="BS418" i="7"/>
  <c r="EC417" i="7"/>
  <c r="DV417" i="7"/>
  <c r="M417" i="7"/>
  <c r="CJ419" i="7"/>
  <c r="DE418" i="7"/>
  <c r="CF418" i="7"/>
  <c r="DA417" i="7"/>
  <c r="AN417" i="7"/>
  <c r="BK407" i="7"/>
  <c r="D407" i="7"/>
  <c r="AK408" i="7"/>
  <c r="DF419" i="7"/>
  <c r="CK420" i="7"/>
  <c r="AM417" i="7"/>
  <c r="CE418" i="7"/>
  <c r="CZ417" i="7"/>
  <c r="AO418" i="7"/>
  <c r="CG419" i="7"/>
  <c r="DB418" i="7"/>
  <c r="BO415" i="7"/>
  <c r="CD419" i="7"/>
  <c r="CY418" i="7"/>
  <c r="P417" i="7"/>
  <c r="N418" i="7" s="1"/>
  <c r="CR418" i="7"/>
  <c r="BW419" i="7"/>
  <c r="BT419" i="7"/>
  <c r="CO418" i="7"/>
  <c r="EO418" i="7"/>
  <c r="BG416" i="7"/>
  <c r="BX419" i="7"/>
  <c r="CS418" i="7"/>
  <c r="BN417" i="7"/>
  <c r="CH418" i="7"/>
  <c r="DC417" i="7"/>
  <c r="BV419" i="7"/>
  <c r="CQ418" i="7"/>
  <c r="BH416" i="7"/>
  <c r="CA419" i="7"/>
  <c r="CV418" i="7"/>
  <c r="DI415" i="7"/>
  <c r="DI416" i="7" s="1"/>
  <c r="EN418" i="7"/>
  <c r="BZ419" i="7"/>
  <c r="CU418" i="7"/>
  <c r="DG419" i="7"/>
  <c r="EM419" i="7"/>
  <c r="CL420" i="7"/>
  <c r="CB419" i="7"/>
  <c r="CW418" i="7"/>
  <c r="N417" i="7"/>
  <c r="BP414" i="7"/>
  <c r="BQ414" i="7" s="1"/>
  <c r="BP416" i="7" l="1"/>
  <c r="DG420" i="7"/>
  <c r="EM420" i="7"/>
  <c r="CL421" i="7"/>
  <c r="CA420" i="7"/>
  <c r="CV419" i="7"/>
  <c r="BX420" i="7"/>
  <c r="CS419" i="7"/>
  <c r="BT420" i="7"/>
  <c r="EO419" i="7"/>
  <c r="CO419" i="7"/>
  <c r="AQ418" i="7"/>
  <c r="AP418" i="7"/>
  <c r="AR418" i="7"/>
  <c r="BK408" i="7"/>
  <c r="D408" i="7"/>
  <c r="AK409" i="7"/>
  <c r="BB417" i="7"/>
  <c r="DQ417" i="7" s="1"/>
  <c r="AX417" i="7"/>
  <c r="DM417" i="7" s="1"/>
  <c r="AT417" i="7"/>
  <c r="BC417" i="7"/>
  <c r="DR417" i="7" s="1"/>
  <c r="AW417" i="7"/>
  <c r="DL417" i="7" s="1"/>
  <c r="BA417" i="7"/>
  <c r="DP417" i="7" s="1"/>
  <c r="AV417" i="7"/>
  <c r="DK417" i="7" s="1"/>
  <c r="AZ417" i="7"/>
  <c r="DO417" i="7" s="1"/>
  <c r="AU417" i="7"/>
  <c r="DJ417" i="7" s="1"/>
  <c r="AY417" i="7"/>
  <c r="DN417" i="7" s="1"/>
  <c r="AH417" i="7"/>
  <c r="AG417" i="7"/>
  <c r="AF417" i="7"/>
  <c r="AI417" i="7" s="1"/>
  <c r="CE419" i="7"/>
  <c r="CZ418" i="7"/>
  <c r="AM418" i="7"/>
  <c r="BG418" i="7" s="1"/>
  <c r="DC418" i="7"/>
  <c r="CH419" i="7"/>
  <c r="BN418" i="7"/>
  <c r="BW420" i="7"/>
  <c r="CR419" i="7"/>
  <c r="DB419" i="7"/>
  <c r="AO419" i="7"/>
  <c r="CG420" i="7"/>
  <c r="CF419" i="7"/>
  <c r="DA418" i="7"/>
  <c r="AN418" i="7"/>
  <c r="BH418" i="7" s="1"/>
  <c r="BJ408" i="7"/>
  <c r="BM408" i="7" s="1"/>
  <c r="B408" i="7" s="1"/>
  <c r="C408" i="7"/>
  <c r="F408" i="7" s="1"/>
  <c r="AJ409" i="7"/>
  <c r="CI420" i="7"/>
  <c r="DD419" i="7"/>
  <c r="DS419" i="7"/>
  <c r="AP417" i="7"/>
  <c r="BG417" i="7" s="1"/>
  <c r="AR417" i="7"/>
  <c r="BI417" i="7" s="1"/>
  <c r="AQ417" i="7"/>
  <c r="BH417" i="7" s="1"/>
  <c r="CU419" i="7"/>
  <c r="EN419" i="7"/>
  <c r="BZ420" i="7"/>
  <c r="CW419" i="7"/>
  <c r="CB420" i="7"/>
  <c r="DI417" i="7"/>
  <c r="CD420" i="7"/>
  <c r="CY419" i="7"/>
  <c r="BI418" i="7"/>
  <c r="CK421" i="7"/>
  <c r="DF420" i="7"/>
  <c r="BF416" i="7"/>
  <c r="BE416" i="7"/>
  <c r="BD416" i="7"/>
  <c r="CC421" i="7"/>
  <c r="CX420" i="7"/>
  <c r="CT420" i="7"/>
  <c r="BY421" i="7"/>
  <c r="P418" i="7"/>
  <c r="BP415" i="7"/>
  <c r="H414" i="7"/>
  <c r="G414" i="7"/>
  <c r="CQ419" i="7"/>
  <c r="BV420" i="7"/>
  <c r="BQ415" i="7"/>
  <c r="CJ420" i="7"/>
  <c r="DE419" i="7"/>
  <c r="EA418" i="7"/>
  <c r="DV418" i="7"/>
  <c r="DZ418" i="7"/>
  <c r="EF418" i="7"/>
  <c r="DX418" i="7"/>
  <c r="BS419" i="7"/>
  <c r="EC418" i="7"/>
  <c r="DW418" i="7"/>
  <c r="EB418" i="7"/>
  <c r="CN418" i="7"/>
  <c r="M418" i="7"/>
  <c r="BO416" i="7"/>
  <c r="BQ416" i="7" s="1"/>
  <c r="BU421" i="7"/>
  <c r="CP420" i="7"/>
  <c r="E408" i="7"/>
  <c r="BL408" i="7"/>
  <c r="AL409" i="7"/>
  <c r="CM420" i="7"/>
  <c r="DH419" i="7"/>
  <c r="BP417" i="7" l="1"/>
  <c r="G415" i="7"/>
  <c r="H415" i="7"/>
  <c r="BY422" i="7"/>
  <c r="CT421" i="7"/>
  <c r="CK422" i="7"/>
  <c r="DF421" i="7"/>
  <c r="BZ421" i="7"/>
  <c r="CU420" i="7"/>
  <c r="EN420" i="7"/>
  <c r="BJ409" i="7"/>
  <c r="BM409" i="7" s="1"/>
  <c r="B409" i="7" s="1"/>
  <c r="C409" i="7"/>
  <c r="F409" i="7" s="1"/>
  <c r="AJ410" i="7"/>
  <c r="BF417" i="7"/>
  <c r="BE417" i="7"/>
  <c r="BD417" i="7"/>
  <c r="BX421" i="7"/>
  <c r="CS420" i="7"/>
  <c r="BU422" i="7"/>
  <c r="CP421" i="7"/>
  <c r="H416" i="7"/>
  <c r="G416" i="7"/>
  <c r="BV421" i="7"/>
  <c r="CQ420" i="7"/>
  <c r="P419" i="7"/>
  <c r="AN419" i="7"/>
  <c r="DA419" i="7"/>
  <c r="CF420" i="7"/>
  <c r="CH420" i="7"/>
  <c r="BN419" i="7"/>
  <c r="DC419" i="7"/>
  <c r="CE420" i="7"/>
  <c r="CZ419" i="7"/>
  <c r="AM419" i="7"/>
  <c r="E409" i="7"/>
  <c r="BL409" i="7"/>
  <c r="AL410" i="7"/>
  <c r="EO420" i="7"/>
  <c r="CO420" i="7"/>
  <c r="BT421" i="7"/>
  <c r="CA421" i="7"/>
  <c r="CV420" i="7"/>
  <c r="BA418" i="7"/>
  <c r="DP418" i="7" s="1"/>
  <c r="AW418" i="7"/>
  <c r="DL418" i="7" s="1"/>
  <c r="BB418" i="7"/>
  <c r="DQ418" i="7" s="1"/>
  <c r="AV418" i="7"/>
  <c r="DK418" i="7" s="1"/>
  <c r="AZ418" i="7"/>
  <c r="DO418" i="7" s="1"/>
  <c r="AU418" i="7"/>
  <c r="DJ418" i="7" s="1"/>
  <c r="AY418" i="7"/>
  <c r="DN418" i="7" s="1"/>
  <c r="AT418" i="7"/>
  <c r="DI418" i="7" s="1"/>
  <c r="BC418" i="7"/>
  <c r="DR418" i="7" s="1"/>
  <c r="AX418" i="7"/>
  <c r="DM418" i="7" s="1"/>
  <c r="AG418" i="7"/>
  <c r="AH418" i="7"/>
  <c r="AF418" i="7"/>
  <c r="AI418" i="7" s="1"/>
  <c r="DE420" i="7"/>
  <c r="CJ421" i="7"/>
  <c r="CB421" i="7"/>
  <c r="CW420" i="7"/>
  <c r="CM421" i="7"/>
  <c r="DH420" i="7"/>
  <c r="BO417" i="7"/>
  <c r="BQ417" i="7" s="1"/>
  <c r="BS420" i="7"/>
  <c r="EF419" i="7"/>
  <c r="DZ419" i="7"/>
  <c r="CN419" i="7"/>
  <c r="BO418" i="7" s="1"/>
  <c r="EC419" i="7"/>
  <c r="DW419" i="7"/>
  <c r="EB419" i="7"/>
  <c r="DV419" i="7"/>
  <c r="EA419" i="7"/>
  <c r="DX419" i="7"/>
  <c r="M419" i="7"/>
  <c r="N419" i="7"/>
  <c r="CC422" i="7"/>
  <c r="CX421" i="7"/>
  <c r="CD421" i="7"/>
  <c r="CY420" i="7"/>
  <c r="DS420" i="7"/>
  <c r="CI421" i="7"/>
  <c r="DD420" i="7"/>
  <c r="CG421" i="7"/>
  <c r="DB420" i="7"/>
  <c r="AO420" i="7"/>
  <c r="BW421" i="7"/>
  <c r="CR420" i="7"/>
  <c r="D409" i="7"/>
  <c r="BK409" i="7"/>
  <c r="AK410" i="7"/>
  <c r="EM421" i="7"/>
  <c r="DG421" i="7"/>
  <c r="CL422" i="7"/>
  <c r="BP418" i="7" l="1"/>
  <c r="BQ418" i="7" s="1"/>
  <c r="P420" i="7"/>
  <c r="D410" i="7"/>
  <c r="BK410" i="7"/>
  <c r="AK411" i="7"/>
  <c r="EM422" i="7"/>
  <c r="DG422" i="7"/>
  <c r="CL423" i="7"/>
  <c r="CI422" i="7"/>
  <c r="DD421" i="7"/>
  <c r="DS421" i="7"/>
  <c r="CM422" i="7"/>
  <c r="DH421" i="7"/>
  <c r="CO421" i="7"/>
  <c r="EO421" i="7"/>
  <c r="BT422" i="7"/>
  <c r="AM420" i="7"/>
  <c r="CZ420" i="7"/>
  <c r="CE421" i="7"/>
  <c r="AN420" i="7"/>
  <c r="CF421" i="7"/>
  <c r="DA420" i="7"/>
  <c r="N420" i="7"/>
  <c r="EN421" i="7"/>
  <c r="CU421" i="7"/>
  <c r="BZ422" i="7"/>
  <c r="CT422" i="7"/>
  <c r="BY423" i="7"/>
  <c r="BX422" i="7"/>
  <c r="CS421" i="7"/>
  <c r="CC423" i="7"/>
  <c r="CX422" i="7"/>
  <c r="CG422" i="7"/>
  <c r="DB421" i="7"/>
  <c r="AO421" i="7"/>
  <c r="AR419" i="7"/>
  <c r="BI419" i="7" s="1"/>
  <c r="AP419" i="7"/>
  <c r="BG419" i="7" s="1"/>
  <c r="AQ419" i="7"/>
  <c r="G417" i="7"/>
  <c r="H417" i="7"/>
  <c r="CB422" i="7"/>
  <c r="CW421" i="7"/>
  <c r="BE418" i="7"/>
  <c r="BF418" i="7"/>
  <c r="BD418" i="7"/>
  <c r="BH419" i="7"/>
  <c r="CK423" i="7"/>
  <c r="DF422" i="7"/>
  <c r="EC420" i="7"/>
  <c r="DX420" i="7"/>
  <c r="BS421" i="7"/>
  <c r="EB420" i="7"/>
  <c r="DV420" i="7"/>
  <c r="EA420" i="7"/>
  <c r="CN420" i="7"/>
  <c r="DZ420" i="7"/>
  <c r="EF420" i="7"/>
  <c r="DW420" i="7"/>
  <c r="M420" i="7"/>
  <c r="BW422" i="7"/>
  <c r="CR421" i="7"/>
  <c r="CD422" i="7"/>
  <c r="CY421" i="7"/>
  <c r="AZ419" i="7"/>
  <c r="DO419" i="7" s="1"/>
  <c r="AV419" i="7"/>
  <c r="DK419" i="7" s="1"/>
  <c r="BA419" i="7"/>
  <c r="DP419" i="7" s="1"/>
  <c r="AU419" i="7"/>
  <c r="DJ419" i="7" s="1"/>
  <c r="AY419" i="7"/>
  <c r="DN419" i="7" s="1"/>
  <c r="AT419" i="7"/>
  <c r="BC419" i="7"/>
  <c r="DR419" i="7" s="1"/>
  <c r="AX419" i="7"/>
  <c r="DM419" i="7" s="1"/>
  <c r="BB419" i="7"/>
  <c r="DQ419" i="7" s="1"/>
  <c r="AW419" i="7"/>
  <c r="DL419" i="7" s="1"/>
  <c r="AH419" i="7"/>
  <c r="AG419" i="7"/>
  <c r="AF419" i="7"/>
  <c r="AI419" i="7" s="1"/>
  <c r="DE421" i="7"/>
  <c r="CJ422" i="7"/>
  <c r="CA422" i="7"/>
  <c r="CV421" i="7"/>
  <c r="BL410" i="7"/>
  <c r="E410" i="7"/>
  <c r="AL411" i="7"/>
  <c r="CH421" i="7"/>
  <c r="DC420" i="7"/>
  <c r="BN420" i="7"/>
  <c r="BV422" i="7"/>
  <c r="CQ421" i="7"/>
  <c r="BU423" i="7"/>
  <c r="CP422" i="7"/>
  <c r="C410" i="7"/>
  <c r="F410" i="7" s="1"/>
  <c r="BJ410" i="7"/>
  <c r="BM410" i="7" s="1"/>
  <c r="B410" i="7" s="1"/>
  <c r="AJ411" i="7"/>
  <c r="H418" i="7" l="1"/>
  <c r="G418" i="7"/>
  <c r="BV423" i="7"/>
  <c r="CQ422" i="7"/>
  <c r="CJ423" i="7"/>
  <c r="DE422" i="7"/>
  <c r="CY422" i="7"/>
  <c r="CD423" i="7"/>
  <c r="CX423" i="7"/>
  <c r="CC424" i="7"/>
  <c r="AQ420" i="7"/>
  <c r="AR420" i="7"/>
  <c r="BI420" i="7" s="1"/>
  <c r="AP420" i="7"/>
  <c r="CZ421" i="7"/>
  <c r="CE422" i="7"/>
  <c r="AM421" i="7"/>
  <c r="P421" i="7"/>
  <c r="EM423" i="7"/>
  <c r="DG423" i="7"/>
  <c r="CL424" i="7"/>
  <c r="BU424" i="7"/>
  <c r="CP423" i="7"/>
  <c r="BD419" i="7"/>
  <c r="BF419" i="7"/>
  <c r="BE419" i="7"/>
  <c r="EN422" i="7"/>
  <c r="BZ423" i="7"/>
  <c r="CU422" i="7"/>
  <c r="C411" i="7"/>
  <c r="F411" i="7" s="1"/>
  <c r="BJ411" i="7"/>
  <c r="BM411" i="7" s="1"/>
  <c r="B411" i="7" s="1"/>
  <c r="AJ412" i="7"/>
  <c r="BN421" i="7"/>
  <c r="CH422" i="7"/>
  <c r="DC421" i="7"/>
  <c r="BW423" i="7"/>
  <c r="CR422" i="7"/>
  <c r="AO422" i="7"/>
  <c r="CG423" i="7"/>
  <c r="DB422" i="7"/>
  <c r="BX423" i="7"/>
  <c r="CS422" i="7"/>
  <c r="CF422" i="7"/>
  <c r="DA421" i="7"/>
  <c r="AN421" i="7"/>
  <c r="BG420" i="7"/>
  <c r="DD422" i="7"/>
  <c r="DS422" i="7"/>
  <c r="CI423" i="7"/>
  <c r="N421" i="7"/>
  <c r="BL411" i="7"/>
  <c r="E411" i="7"/>
  <c r="AL412" i="7"/>
  <c r="CA423" i="7"/>
  <c r="CV422" i="7"/>
  <c r="BC420" i="7"/>
  <c r="DR420" i="7" s="1"/>
  <c r="AY420" i="7"/>
  <c r="DN420" i="7" s="1"/>
  <c r="AU420" i="7"/>
  <c r="DJ420" i="7" s="1"/>
  <c r="AX420" i="7"/>
  <c r="DM420" i="7" s="1"/>
  <c r="BB420" i="7"/>
  <c r="DQ420" i="7" s="1"/>
  <c r="AW420" i="7"/>
  <c r="DL420" i="7" s="1"/>
  <c r="BA420" i="7"/>
  <c r="DP420" i="7" s="1"/>
  <c r="AV420" i="7"/>
  <c r="DK420" i="7" s="1"/>
  <c r="AZ420" i="7"/>
  <c r="DO420" i="7" s="1"/>
  <c r="AT420" i="7"/>
  <c r="AH420" i="7"/>
  <c r="AF420" i="7"/>
  <c r="AI420" i="7" s="1"/>
  <c r="AG420" i="7"/>
  <c r="BO419" i="7"/>
  <c r="EB421" i="7"/>
  <c r="DW421" i="7"/>
  <c r="BS422" i="7"/>
  <c r="EC421" i="7"/>
  <c r="DV421" i="7"/>
  <c r="EA421" i="7"/>
  <c r="CN421" i="7"/>
  <c r="BO420" i="7" s="1"/>
  <c r="DZ421" i="7"/>
  <c r="EF421" i="7"/>
  <c r="DX421" i="7"/>
  <c r="M421" i="7"/>
  <c r="CK424" i="7"/>
  <c r="DF423" i="7"/>
  <c r="CB423" i="7"/>
  <c r="CW422" i="7"/>
  <c r="BY424" i="7"/>
  <c r="CT423" i="7"/>
  <c r="BH420" i="7"/>
  <c r="BT423" i="7"/>
  <c r="CO422" i="7"/>
  <c r="EO422" i="7"/>
  <c r="CM423" i="7"/>
  <c r="DH422" i="7"/>
  <c r="BK411" i="7"/>
  <c r="D411" i="7"/>
  <c r="AK412" i="7"/>
  <c r="DI419" i="7"/>
  <c r="DI420" i="7" s="1"/>
  <c r="BP420" i="7" l="1"/>
  <c r="BQ420" i="7" s="1"/>
  <c r="BB421" i="7"/>
  <c r="DQ421" i="7" s="1"/>
  <c r="AX421" i="7"/>
  <c r="DM421" i="7" s="1"/>
  <c r="AT421" i="7"/>
  <c r="BC421" i="7"/>
  <c r="DR421" i="7" s="1"/>
  <c r="AW421" i="7"/>
  <c r="DL421" i="7" s="1"/>
  <c r="BA421" i="7"/>
  <c r="DP421" i="7" s="1"/>
  <c r="AV421" i="7"/>
  <c r="DK421" i="7" s="1"/>
  <c r="AZ421" i="7"/>
  <c r="DO421" i="7" s="1"/>
  <c r="AU421" i="7"/>
  <c r="DJ421" i="7" s="1"/>
  <c r="AY421" i="7"/>
  <c r="DN421" i="7" s="1"/>
  <c r="AH421" i="7"/>
  <c r="AF421" i="7"/>
  <c r="AI421" i="7" s="1"/>
  <c r="AG421" i="7"/>
  <c r="EA422" i="7"/>
  <c r="DV422" i="7"/>
  <c r="EB422" i="7"/>
  <c r="CN422" i="7"/>
  <c r="DZ422" i="7"/>
  <c r="EF422" i="7"/>
  <c r="DX422" i="7"/>
  <c r="BS423" i="7"/>
  <c r="EC422" i="7"/>
  <c r="DW422" i="7"/>
  <c r="M422" i="7"/>
  <c r="CM424" i="7"/>
  <c r="DH423" i="7"/>
  <c r="BY425" i="7"/>
  <c r="CT424" i="7"/>
  <c r="DF424" i="7"/>
  <c r="CK425" i="7"/>
  <c r="BD420" i="7"/>
  <c r="BF420" i="7"/>
  <c r="BE420" i="7"/>
  <c r="E412" i="7"/>
  <c r="BL412" i="7"/>
  <c r="AL413" i="7"/>
  <c r="CI424" i="7"/>
  <c r="DD423" i="7"/>
  <c r="DS423" i="7"/>
  <c r="CS423" i="7"/>
  <c r="BX424" i="7"/>
  <c r="DG424" i="7"/>
  <c r="EM424" i="7"/>
  <c r="CL425" i="7"/>
  <c r="N422" i="7"/>
  <c r="CJ424" i="7"/>
  <c r="DE423" i="7"/>
  <c r="P422" i="7"/>
  <c r="N423" i="7" s="1"/>
  <c r="BW424" i="7"/>
  <c r="CR423" i="7"/>
  <c r="BJ412" i="7"/>
  <c r="BM412" i="7" s="1"/>
  <c r="B412" i="7" s="1"/>
  <c r="C412" i="7"/>
  <c r="F412" i="7" s="1"/>
  <c r="AJ413" i="7"/>
  <c r="BZ424" i="7"/>
  <c r="CU423" i="7"/>
  <c r="EN423" i="7"/>
  <c r="CD424" i="7"/>
  <c r="CY423" i="7"/>
  <c r="CF423" i="7"/>
  <c r="DA422" i="7"/>
  <c r="AN422" i="7"/>
  <c r="DB423" i="7"/>
  <c r="AO423" i="7"/>
  <c r="CG424" i="7"/>
  <c r="AM422" i="7"/>
  <c r="CE423" i="7"/>
  <c r="CZ422" i="7"/>
  <c r="CC425" i="7"/>
  <c r="CX424" i="7"/>
  <c r="BP419" i="7"/>
  <c r="BQ419" i="7" s="1"/>
  <c r="DI421" i="7"/>
  <c r="BT424" i="7"/>
  <c r="EO423" i="7"/>
  <c r="CO423" i="7"/>
  <c r="BK412" i="7"/>
  <c r="D412" i="7"/>
  <c r="AK413" i="7"/>
  <c r="CW423" i="7"/>
  <c r="CB424" i="7"/>
  <c r="CA424" i="7"/>
  <c r="CV423" i="7"/>
  <c r="AP421" i="7"/>
  <c r="BG421" i="7" s="1"/>
  <c r="AR421" i="7"/>
  <c r="BI421" i="7" s="1"/>
  <c r="AQ421" i="7"/>
  <c r="BH421" i="7" s="1"/>
  <c r="CH423" i="7"/>
  <c r="BN422" i="7"/>
  <c r="DC422" i="7"/>
  <c r="CP424" i="7"/>
  <c r="BU425" i="7"/>
  <c r="CQ423" i="7"/>
  <c r="BV424" i="7"/>
  <c r="BP421" i="7" l="1"/>
  <c r="G419" i="7"/>
  <c r="H419" i="7"/>
  <c r="H420" i="7"/>
  <c r="G420" i="7"/>
  <c r="CV424" i="7"/>
  <c r="CA425" i="7"/>
  <c r="EO424" i="7"/>
  <c r="BT425" i="7"/>
  <c r="CO424" i="7"/>
  <c r="CC426" i="7"/>
  <c r="CX425" i="7"/>
  <c r="AO424" i="7"/>
  <c r="CG425" i="7"/>
  <c r="DB424" i="7"/>
  <c r="BJ413" i="7"/>
  <c r="BM413" i="7" s="1"/>
  <c r="B413" i="7" s="1"/>
  <c r="C413" i="7"/>
  <c r="F413" i="7" s="1"/>
  <c r="AJ414" i="7"/>
  <c r="BW425" i="7"/>
  <c r="CR424" i="7"/>
  <c r="CJ425" i="7"/>
  <c r="DE424" i="7"/>
  <c r="E413" i="7"/>
  <c r="BL413" i="7"/>
  <c r="AL414" i="7"/>
  <c r="CM425" i="7"/>
  <c r="DH424" i="7"/>
  <c r="BS424" i="7"/>
  <c r="EF423" i="7"/>
  <c r="DZ423" i="7"/>
  <c r="CN423" i="7"/>
  <c r="DX423" i="7"/>
  <c r="EC423" i="7"/>
  <c r="DW423" i="7"/>
  <c r="EB423" i="7"/>
  <c r="DV423" i="7"/>
  <c r="EA423" i="7"/>
  <c r="M423" i="7"/>
  <c r="BO421" i="7"/>
  <c r="BQ421" i="7" s="1"/>
  <c r="CB425" i="7"/>
  <c r="CW424" i="7"/>
  <c r="AN423" i="7"/>
  <c r="CF424" i="7"/>
  <c r="DA423" i="7"/>
  <c r="AR422" i="7"/>
  <c r="BI422" i="7" s="1"/>
  <c r="AQ422" i="7"/>
  <c r="AP422" i="7"/>
  <c r="P423" i="7"/>
  <c r="N424" i="7" s="1"/>
  <c r="BA422" i="7"/>
  <c r="DP422" i="7" s="1"/>
  <c r="AW422" i="7"/>
  <c r="DL422" i="7" s="1"/>
  <c r="BC422" i="7"/>
  <c r="DR422" i="7" s="1"/>
  <c r="AX422" i="7"/>
  <c r="DM422" i="7" s="1"/>
  <c r="BB422" i="7"/>
  <c r="DQ422" i="7" s="1"/>
  <c r="AV422" i="7"/>
  <c r="DK422" i="7" s="1"/>
  <c r="AZ422" i="7"/>
  <c r="DO422" i="7" s="1"/>
  <c r="AU422" i="7"/>
  <c r="DJ422" i="7" s="1"/>
  <c r="AY422" i="7"/>
  <c r="DN422" i="7" s="1"/>
  <c r="AT422" i="7"/>
  <c r="DI422" i="7" s="1"/>
  <c r="AG422" i="7"/>
  <c r="AF422" i="7"/>
  <c r="AI422" i="7" s="1"/>
  <c r="AH422" i="7"/>
  <c r="BV425" i="7"/>
  <c r="CQ424" i="7"/>
  <c r="CE424" i="7"/>
  <c r="CZ423" i="7"/>
  <c r="AM423" i="7"/>
  <c r="AR423" i="7"/>
  <c r="BI423" i="7" s="1"/>
  <c r="AQ423" i="7"/>
  <c r="AP423" i="7"/>
  <c r="EM425" i="7"/>
  <c r="DG425" i="7"/>
  <c r="CL426" i="7"/>
  <c r="BX425" i="7"/>
  <c r="CS424" i="7"/>
  <c r="BY426" i="7"/>
  <c r="CT425" i="7"/>
  <c r="BF421" i="7"/>
  <c r="BE421" i="7"/>
  <c r="BD421" i="7"/>
  <c r="BU426" i="7"/>
  <c r="CP425" i="7"/>
  <c r="DC423" i="7"/>
  <c r="CH424" i="7"/>
  <c r="BN423" i="7"/>
  <c r="D413" i="7"/>
  <c r="BK413" i="7"/>
  <c r="AK414" i="7"/>
  <c r="BG422" i="7"/>
  <c r="BH422" i="7"/>
  <c r="CD425" i="7"/>
  <c r="CY424" i="7"/>
  <c r="BZ425" i="7"/>
  <c r="CU424" i="7"/>
  <c r="EN424" i="7"/>
  <c r="DS424" i="7"/>
  <c r="CI425" i="7"/>
  <c r="DD424" i="7"/>
  <c r="CK426" i="7"/>
  <c r="DF425" i="7"/>
  <c r="BP422" i="7" l="1"/>
  <c r="G421" i="7"/>
  <c r="H421" i="7"/>
  <c r="BO422" i="7"/>
  <c r="BQ422" i="7" s="1"/>
  <c r="BW426" i="7"/>
  <c r="CR425" i="7"/>
  <c r="CC427" i="7"/>
  <c r="CX426" i="7"/>
  <c r="CA426" i="7"/>
  <c r="CV425" i="7"/>
  <c r="EN425" i="7"/>
  <c r="CU425" i="7"/>
  <c r="BZ426" i="7"/>
  <c r="BU427" i="7"/>
  <c r="CP426" i="7"/>
  <c r="BX426" i="7"/>
  <c r="CS425" i="7"/>
  <c r="AM424" i="7"/>
  <c r="CE425" i="7"/>
  <c r="CZ424" i="7"/>
  <c r="AZ423" i="7"/>
  <c r="DO423" i="7" s="1"/>
  <c r="AV423" i="7"/>
  <c r="DK423" i="7" s="1"/>
  <c r="BB423" i="7"/>
  <c r="DQ423" i="7" s="1"/>
  <c r="AW423" i="7"/>
  <c r="DL423" i="7" s="1"/>
  <c r="BA423" i="7"/>
  <c r="DP423" i="7" s="1"/>
  <c r="AU423" i="7"/>
  <c r="DJ423" i="7" s="1"/>
  <c r="AY423" i="7"/>
  <c r="DN423" i="7" s="1"/>
  <c r="AT423" i="7"/>
  <c r="BC423" i="7"/>
  <c r="DR423" i="7" s="1"/>
  <c r="AX423" i="7"/>
  <c r="DM423" i="7" s="1"/>
  <c r="AG423" i="7"/>
  <c r="AF423" i="7"/>
  <c r="AI423" i="7" s="1"/>
  <c r="AH423" i="7"/>
  <c r="CM426" i="7"/>
  <c r="DH425" i="7"/>
  <c r="C414" i="7"/>
  <c r="F414" i="7" s="1"/>
  <c r="BJ414" i="7"/>
  <c r="BM414" i="7" s="1"/>
  <c r="B414" i="7" s="1"/>
  <c r="AJ415" i="7"/>
  <c r="CG426" i="7"/>
  <c r="DB425" i="7"/>
  <c r="AO425" i="7"/>
  <c r="CI426" i="7"/>
  <c r="DD425" i="7"/>
  <c r="DS425" i="7"/>
  <c r="P424" i="7"/>
  <c r="D414" i="7"/>
  <c r="BK414" i="7"/>
  <c r="AK415" i="7"/>
  <c r="CH425" i="7"/>
  <c r="DC424" i="7"/>
  <c r="BN424" i="7"/>
  <c r="EM426" i="7"/>
  <c r="DG426" i="7"/>
  <c r="CL427" i="7"/>
  <c r="AQ424" i="7"/>
  <c r="AR424" i="7"/>
  <c r="AP424" i="7"/>
  <c r="DA424" i="7"/>
  <c r="AN424" i="7"/>
  <c r="BH424" i="7" s="1"/>
  <c r="CF425" i="7"/>
  <c r="BL414" i="7"/>
  <c r="E414" i="7"/>
  <c r="AL415" i="7"/>
  <c r="DE425" i="7"/>
  <c r="CJ426" i="7"/>
  <c r="BI424" i="7"/>
  <c r="CO425" i="7"/>
  <c r="EO425" i="7"/>
  <c r="BT426" i="7"/>
  <c r="CK427" i="7"/>
  <c r="DF426" i="7"/>
  <c r="CD426" i="7"/>
  <c r="CY425" i="7"/>
  <c r="CT426" i="7"/>
  <c r="BY427" i="7"/>
  <c r="BG423" i="7"/>
  <c r="BV426" i="7"/>
  <c r="CQ425" i="7"/>
  <c r="BE422" i="7"/>
  <c r="BF422" i="7"/>
  <c r="BD422" i="7"/>
  <c r="BH423" i="7"/>
  <c r="CB426" i="7"/>
  <c r="CW425" i="7"/>
  <c r="EC424" i="7"/>
  <c r="DX424" i="7"/>
  <c r="EF424" i="7"/>
  <c r="DW424" i="7"/>
  <c r="BS425" i="7"/>
  <c r="EB424" i="7"/>
  <c r="DV424" i="7"/>
  <c r="EA424" i="7"/>
  <c r="CN424" i="7"/>
  <c r="DZ424" i="7"/>
  <c r="M424" i="7"/>
  <c r="CB427" i="7" l="1"/>
  <c r="CW426" i="7"/>
  <c r="BL415" i="7"/>
  <c r="E415" i="7"/>
  <c r="AL416" i="7"/>
  <c r="EM427" i="7"/>
  <c r="DG427" i="7"/>
  <c r="CL428" i="7"/>
  <c r="AO426" i="7"/>
  <c r="CG427" i="7"/>
  <c r="DB426" i="7"/>
  <c r="CZ425" i="7"/>
  <c r="AM425" i="7"/>
  <c r="CE426" i="7"/>
  <c r="H422" i="7"/>
  <c r="G422" i="7"/>
  <c r="BY428" i="7"/>
  <c r="CT427" i="7"/>
  <c r="BN425" i="7"/>
  <c r="CH426" i="7"/>
  <c r="DC425" i="7"/>
  <c r="N425" i="7"/>
  <c r="DD426" i="7"/>
  <c r="DS426" i="7"/>
  <c r="CI427" i="7"/>
  <c r="C415" i="7"/>
  <c r="F415" i="7" s="1"/>
  <c r="BJ415" i="7"/>
  <c r="BM415" i="7" s="1"/>
  <c r="B415" i="7" s="1"/>
  <c r="AJ416" i="7"/>
  <c r="CM427" i="7"/>
  <c r="DH426" i="7"/>
  <c r="BG424" i="7"/>
  <c r="BU428" i="7"/>
  <c r="CP427" i="7"/>
  <c r="CX427" i="7"/>
  <c r="CC428" i="7"/>
  <c r="BC424" i="7"/>
  <c r="DR424" i="7" s="1"/>
  <c r="AY424" i="7"/>
  <c r="DN424" i="7" s="1"/>
  <c r="AU424" i="7"/>
  <c r="DJ424" i="7" s="1"/>
  <c r="AZ424" i="7"/>
  <c r="DO424" i="7" s="1"/>
  <c r="AT424" i="7"/>
  <c r="AX424" i="7"/>
  <c r="DM424" i="7" s="1"/>
  <c r="BB424" i="7"/>
  <c r="DQ424" i="7" s="1"/>
  <c r="AW424" i="7"/>
  <c r="DL424" i="7" s="1"/>
  <c r="BA424" i="7"/>
  <c r="DP424" i="7" s="1"/>
  <c r="AV424" i="7"/>
  <c r="DK424" i="7" s="1"/>
  <c r="AH424" i="7"/>
  <c r="AF424" i="7"/>
  <c r="AI424" i="7" s="1"/>
  <c r="AG424" i="7"/>
  <c r="CK428" i="7"/>
  <c r="DF427" i="7"/>
  <c r="BO423" i="7"/>
  <c r="EB425" i="7"/>
  <c r="DW425" i="7"/>
  <c r="BS426" i="7"/>
  <c r="EC425" i="7"/>
  <c r="DV425" i="7"/>
  <c r="EA425" i="7"/>
  <c r="CN425" i="7"/>
  <c r="DZ425" i="7"/>
  <c r="EF425" i="7"/>
  <c r="DX425" i="7"/>
  <c r="M425" i="7"/>
  <c r="BV427" i="7"/>
  <c r="CQ426" i="7"/>
  <c r="BT427" i="7"/>
  <c r="CO426" i="7"/>
  <c r="EO426" i="7"/>
  <c r="CJ427" i="7"/>
  <c r="DE426" i="7"/>
  <c r="BK415" i="7"/>
  <c r="D415" i="7"/>
  <c r="AK416" i="7"/>
  <c r="CY426" i="7"/>
  <c r="CD427" i="7"/>
  <c r="AN425" i="7"/>
  <c r="CF426" i="7"/>
  <c r="DA425" i="7"/>
  <c r="P425" i="7"/>
  <c r="N426" i="7" s="1"/>
  <c r="BD423" i="7"/>
  <c r="BF423" i="7"/>
  <c r="BE423" i="7"/>
  <c r="BX427" i="7"/>
  <c r="CS426" i="7"/>
  <c r="EN426" i="7"/>
  <c r="BZ427" i="7"/>
  <c r="CU426" i="7"/>
  <c r="CA427" i="7"/>
  <c r="CV426" i="7"/>
  <c r="BW427" i="7"/>
  <c r="CR426" i="7"/>
  <c r="DI423" i="7"/>
  <c r="DI424" i="7" s="1"/>
  <c r="BP424" i="7" l="1"/>
  <c r="CA428" i="7"/>
  <c r="CV427" i="7"/>
  <c r="BW428" i="7"/>
  <c r="CR427" i="7"/>
  <c r="BZ428" i="7"/>
  <c r="CU427" i="7"/>
  <c r="EN427" i="7"/>
  <c r="AR426" i="7"/>
  <c r="AQ426" i="7"/>
  <c r="AP426" i="7"/>
  <c r="BK416" i="7"/>
  <c r="D416" i="7"/>
  <c r="AK417" i="7"/>
  <c r="CJ428" i="7"/>
  <c r="DE427" i="7"/>
  <c r="BE424" i="7"/>
  <c r="BD424" i="7"/>
  <c r="BF424" i="7"/>
  <c r="CP428" i="7"/>
  <c r="BU429" i="7"/>
  <c r="BJ416" i="7"/>
  <c r="BM416" i="7" s="1"/>
  <c r="B416" i="7" s="1"/>
  <c r="C416" i="7"/>
  <c r="F416" i="7" s="1"/>
  <c r="AJ417" i="7"/>
  <c r="P426" i="7"/>
  <c r="CH427" i="7"/>
  <c r="BN426" i="7"/>
  <c r="DC426" i="7"/>
  <c r="DG428" i="7"/>
  <c r="EM428" i="7"/>
  <c r="CL429" i="7"/>
  <c r="CD428" i="7"/>
  <c r="CY427" i="7"/>
  <c r="CQ427" i="7"/>
  <c r="BV428" i="7"/>
  <c r="CC429" i="7"/>
  <c r="CX428" i="7"/>
  <c r="DI425" i="7"/>
  <c r="BB425" i="7"/>
  <c r="DQ425" i="7" s="1"/>
  <c r="AX425" i="7"/>
  <c r="DM425" i="7" s="1"/>
  <c r="AT425" i="7"/>
  <c r="AY425" i="7"/>
  <c r="DN425" i="7" s="1"/>
  <c r="BC425" i="7"/>
  <c r="DR425" i="7" s="1"/>
  <c r="AW425" i="7"/>
  <c r="DL425" i="7" s="1"/>
  <c r="BA425" i="7"/>
  <c r="DP425" i="7" s="1"/>
  <c r="AV425" i="7"/>
  <c r="DK425" i="7" s="1"/>
  <c r="AZ425" i="7"/>
  <c r="DO425" i="7" s="1"/>
  <c r="AU425" i="7"/>
  <c r="DJ425" i="7" s="1"/>
  <c r="AH425" i="7"/>
  <c r="AF425" i="7"/>
  <c r="AI425" i="7" s="1"/>
  <c r="AG425" i="7"/>
  <c r="BO424" i="7"/>
  <c r="BQ424" i="7" s="1"/>
  <c r="EA426" i="7"/>
  <c r="DV426" i="7"/>
  <c r="EB426" i="7"/>
  <c r="CN426" i="7"/>
  <c r="DZ426" i="7"/>
  <c r="EF426" i="7"/>
  <c r="DX426" i="7"/>
  <c r="BS427" i="7"/>
  <c r="EC426" i="7"/>
  <c r="DW426" i="7"/>
  <c r="M426" i="7"/>
  <c r="AP425" i="7"/>
  <c r="AR425" i="7"/>
  <c r="BI425" i="7" s="1"/>
  <c r="AQ425" i="7"/>
  <c r="BH425" i="7" s="1"/>
  <c r="AM426" i="7"/>
  <c r="BG426" i="7" s="1"/>
  <c r="CE427" i="7"/>
  <c r="CZ426" i="7"/>
  <c r="DB427" i="7"/>
  <c r="AO427" i="7"/>
  <c r="CG428" i="7"/>
  <c r="CS427" i="7"/>
  <c r="BX428" i="7"/>
  <c r="CF427" i="7"/>
  <c r="DA426" i="7"/>
  <c r="AN426" i="7"/>
  <c r="BH426" i="7" s="1"/>
  <c r="BT428" i="7"/>
  <c r="EO427" i="7"/>
  <c r="CO427" i="7"/>
  <c r="DF428" i="7"/>
  <c r="CK429" i="7"/>
  <c r="CM428" i="7"/>
  <c r="DH427" i="7"/>
  <c r="CI428" i="7"/>
  <c r="DD427" i="7"/>
  <c r="DS427" i="7"/>
  <c r="BY429" i="7"/>
  <c r="CT428" i="7"/>
  <c r="BG425" i="7"/>
  <c r="BI426" i="7"/>
  <c r="E416" i="7"/>
  <c r="BL416" i="7"/>
  <c r="AL417" i="7"/>
  <c r="CW427" i="7"/>
  <c r="CB428" i="7"/>
  <c r="BP423" i="7"/>
  <c r="BQ423" i="7" s="1"/>
  <c r="BP425" i="7" l="1"/>
  <c r="G423" i="7"/>
  <c r="H423" i="7"/>
  <c r="BY430" i="7"/>
  <c r="CT429" i="7"/>
  <c r="DS428" i="7"/>
  <c r="CI429" i="7"/>
  <c r="DD428" i="7"/>
  <c r="BS428" i="7"/>
  <c r="EF427" i="7"/>
  <c r="DZ427" i="7"/>
  <c r="CN427" i="7"/>
  <c r="DX427" i="7"/>
  <c r="EC427" i="7"/>
  <c r="DW427" i="7"/>
  <c r="EB427" i="7"/>
  <c r="DV427" i="7"/>
  <c r="EA427" i="7"/>
  <c r="M427" i="7"/>
  <c r="BO425" i="7"/>
  <c r="BQ425" i="7" s="1"/>
  <c r="H424" i="7"/>
  <c r="G424" i="7"/>
  <c r="DC427" i="7"/>
  <c r="CH428" i="7"/>
  <c r="BN427" i="7"/>
  <c r="CJ429" i="7"/>
  <c r="DE428" i="7"/>
  <c r="AO428" i="7"/>
  <c r="CG429" i="7"/>
  <c r="DB428" i="7"/>
  <c r="CE428" i="7"/>
  <c r="CZ427" i="7"/>
  <c r="AM427" i="7"/>
  <c r="BA426" i="7"/>
  <c r="DP426" i="7" s="1"/>
  <c r="AW426" i="7"/>
  <c r="DL426" i="7" s="1"/>
  <c r="BC426" i="7"/>
  <c r="DR426" i="7" s="1"/>
  <c r="AX426" i="7"/>
  <c r="DM426" i="7" s="1"/>
  <c r="BB426" i="7"/>
  <c r="DQ426" i="7" s="1"/>
  <c r="AV426" i="7"/>
  <c r="DK426" i="7" s="1"/>
  <c r="AZ426" i="7"/>
  <c r="DO426" i="7" s="1"/>
  <c r="AU426" i="7"/>
  <c r="DJ426" i="7" s="1"/>
  <c r="AY426" i="7"/>
  <c r="DN426" i="7" s="1"/>
  <c r="AT426" i="7"/>
  <c r="AG426" i="7"/>
  <c r="AF426" i="7"/>
  <c r="AI426" i="7" s="1"/>
  <c r="AH426" i="7"/>
  <c r="CC430" i="7"/>
  <c r="CX429" i="7"/>
  <c r="BK417" i="7"/>
  <c r="D417" i="7"/>
  <c r="AK418" i="7"/>
  <c r="BZ429" i="7"/>
  <c r="CU428" i="7"/>
  <c r="EN428" i="7"/>
  <c r="CV428" i="7"/>
  <c r="CA429" i="7"/>
  <c r="CM429" i="7"/>
  <c r="DH428" i="7"/>
  <c r="AN427" i="7"/>
  <c r="CF428" i="7"/>
  <c r="DA427" i="7"/>
  <c r="DI426" i="7"/>
  <c r="CD429" i="7"/>
  <c r="CY428" i="7"/>
  <c r="N427" i="7"/>
  <c r="BU430" i="7"/>
  <c r="CP429" i="7"/>
  <c r="CB429" i="7"/>
  <c r="CW428" i="7"/>
  <c r="P427" i="7"/>
  <c r="N428" i="7" s="1"/>
  <c r="E417" i="7"/>
  <c r="BL417" i="7"/>
  <c r="AL418" i="7"/>
  <c r="CK430" i="7"/>
  <c r="DF429" i="7"/>
  <c r="EO428" i="7"/>
  <c r="BT429" i="7"/>
  <c r="CO428" i="7"/>
  <c r="BX429" i="7"/>
  <c r="CS428" i="7"/>
  <c r="BF425" i="7"/>
  <c r="BD425" i="7"/>
  <c r="BE425" i="7"/>
  <c r="BV429" i="7"/>
  <c r="CQ428" i="7"/>
  <c r="EM429" i="7"/>
  <c r="DG429" i="7"/>
  <c r="CL430" i="7"/>
  <c r="BJ417" i="7"/>
  <c r="BM417" i="7" s="1"/>
  <c r="B417" i="7" s="1"/>
  <c r="C417" i="7"/>
  <c r="F417" i="7" s="1"/>
  <c r="AJ418" i="7"/>
  <c r="BW429" i="7"/>
  <c r="CR428" i="7"/>
  <c r="BP426" i="7" l="1"/>
  <c r="CK431" i="7"/>
  <c r="DF430" i="7"/>
  <c r="CD430" i="7"/>
  <c r="CY429" i="7"/>
  <c r="DA428" i="7"/>
  <c r="AN428" i="7"/>
  <c r="CF429" i="7"/>
  <c r="CA430" i="7"/>
  <c r="CV429" i="7"/>
  <c r="EN429" i="7"/>
  <c r="CU429" i="7"/>
  <c r="BZ430" i="7"/>
  <c r="BI428" i="7"/>
  <c r="CH429" i="7"/>
  <c r="DC428" i="7"/>
  <c r="BN428" i="7"/>
  <c r="H425" i="7"/>
  <c r="G425" i="7"/>
  <c r="BO426" i="7"/>
  <c r="BQ426" i="7" s="1"/>
  <c r="CT430" i="7"/>
  <c r="BY431" i="7"/>
  <c r="AQ428" i="7"/>
  <c r="AR428" i="7"/>
  <c r="AP428" i="7"/>
  <c r="BE426" i="7"/>
  <c r="BF426" i="7"/>
  <c r="BD426" i="7"/>
  <c r="AM428" i="7"/>
  <c r="BG428" i="7" s="1"/>
  <c r="CE429" i="7"/>
  <c r="CZ428" i="7"/>
  <c r="AZ427" i="7"/>
  <c r="DO427" i="7" s="1"/>
  <c r="AV427" i="7"/>
  <c r="DK427" i="7" s="1"/>
  <c r="BB427" i="7"/>
  <c r="DQ427" i="7" s="1"/>
  <c r="AW427" i="7"/>
  <c r="DL427" i="7" s="1"/>
  <c r="BA427" i="7"/>
  <c r="DP427" i="7" s="1"/>
  <c r="AU427" i="7"/>
  <c r="DJ427" i="7" s="1"/>
  <c r="AY427" i="7"/>
  <c r="DN427" i="7" s="1"/>
  <c r="AT427" i="7"/>
  <c r="BC427" i="7"/>
  <c r="DR427" i="7" s="1"/>
  <c r="AX427" i="7"/>
  <c r="DM427" i="7" s="1"/>
  <c r="AG427" i="7"/>
  <c r="AF427" i="7"/>
  <c r="AI427" i="7" s="1"/>
  <c r="AH427" i="7"/>
  <c r="CI430" i="7"/>
  <c r="DD429" i="7"/>
  <c r="DS429" i="7"/>
  <c r="BW430" i="7"/>
  <c r="CR429" i="7"/>
  <c r="CO429" i="7"/>
  <c r="EO429" i="7"/>
  <c r="BT430" i="7"/>
  <c r="CC431" i="7"/>
  <c r="CX430" i="7"/>
  <c r="DE429" i="7"/>
  <c r="CJ430" i="7"/>
  <c r="P428" i="7"/>
  <c r="BL418" i="7"/>
  <c r="E418" i="7"/>
  <c r="AL419" i="7"/>
  <c r="BU431" i="7"/>
  <c r="CP430" i="7"/>
  <c r="D418" i="7"/>
  <c r="BK418" i="7"/>
  <c r="AK419" i="7"/>
  <c r="BJ418" i="7"/>
  <c r="BM418" i="7" s="1"/>
  <c r="B418" i="7" s="1"/>
  <c r="C418" i="7"/>
  <c r="F418" i="7" s="1"/>
  <c r="AJ419" i="7"/>
  <c r="EM430" i="7"/>
  <c r="DG430" i="7"/>
  <c r="CL431" i="7"/>
  <c r="BV430" i="7"/>
  <c r="CQ429" i="7"/>
  <c r="AR427" i="7"/>
  <c r="BI427" i="7" s="1"/>
  <c r="AQ427" i="7"/>
  <c r="BH427" i="7" s="1"/>
  <c r="AP427" i="7"/>
  <c r="BX430" i="7"/>
  <c r="CS429" i="7"/>
  <c r="CB430" i="7"/>
  <c r="CW429" i="7"/>
  <c r="CM430" i="7"/>
  <c r="DH429" i="7"/>
  <c r="BG427" i="7"/>
  <c r="CG430" i="7"/>
  <c r="DB429" i="7"/>
  <c r="AO429" i="7"/>
  <c r="EC428" i="7"/>
  <c r="DX428" i="7"/>
  <c r="EF428" i="7"/>
  <c r="DW428" i="7"/>
  <c r="BS429" i="7"/>
  <c r="EB428" i="7"/>
  <c r="DV428" i="7"/>
  <c r="EA428" i="7"/>
  <c r="CN428" i="7"/>
  <c r="BO427" i="7" s="1"/>
  <c r="DZ428" i="7"/>
  <c r="M428" i="7"/>
  <c r="BC428" i="7" l="1"/>
  <c r="DR428" i="7" s="1"/>
  <c r="AY428" i="7"/>
  <c r="DN428" i="7" s="1"/>
  <c r="AU428" i="7"/>
  <c r="DJ428" i="7" s="1"/>
  <c r="AZ428" i="7"/>
  <c r="DO428" i="7" s="1"/>
  <c r="AT428" i="7"/>
  <c r="AX428" i="7"/>
  <c r="DM428" i="7" s="1"/>
  <c r="BB428" i="7"/>
  <c r="DQ428" i="7" s="1"/>
  <c r="AW428" i="7"/>
  <c r="DL428" i="7" s="1"/>
  <c r="BA428" i="7"/>
  <c r="DP428" i="7" s="1"/>
  <c r="AV428" i="7"/>
  <c r="DK428" i="7" s="1"/>
  <c r="AG428" i="7"/>
  <c r="AF428" i="7"/>
  <c r="AI428" i="7" s="1"/>
  <c r="AH428" i="7"/>
  <c r="BK419" i="7"/>
  <c r="D419" i="7"/>
  <c r="AK420" i="7"/>
  <c r="BU432" i="7"/>
  <c r="CP431" i="7"/>
  <c r="N429" i="7"/>
  <c r="P429" i="7"/>
  <c r="BD427" i="7"/>
  <c r="BF427" i="7"/>
  <c r="BE427" i="7"/>
  <c r="BN429" i="7"/>
  <c r="CH430" i="7"/>
  <c r="DC429" i="7"/>
  <c r="BH428" i="7"/>
  <c r="CM431" i="7"/>
  <c r="DH430" i="7"/>
  <c r="BX431" i="7"/>
  <c r="CS430" i="7"/>
  <c r="BV431" i="7"/>
  <c r="CQ430" i="7"/>
  <c r="C419" i="7"/>
  <c r="F419" i="7" s="1"/>
  <c r="BJ419" i="7"/>
  <c r="BM419" i="7" s="1"/>
  <c r="B419" i="7" s="1"/>
  <c r="AJ420" i="7"/>
  <c r="BL419" i="7"/>
  <c r="E419" i="7"/>
  <c r="AL420" i="7"/>
  <c r="CX431" i="7"/>
  <c r="CC432" i="7"/>
  <c r="CZ429" i="7"/>
  <c r="AM429" i="7"/>
  <c r="CE430" i="7"/>
  <c r="BY432" i="7"/>
  <c r="CT431" i="7"/>
  <c r="CK432" i="7"/>
  <c r="DF431" i="7"/>
  <c r="EB429" i="7"/>
  <c r="DW429" i="7"/>
  <c r="BS430" i="7"/>
  <c r="EC429" i="7"/>
  <c r="DV429" i="7"/>
  <c r="EA429" i="7"/>
  <c r="CN429" i="7"/>
  <c r="DZ429" i="7"/>
  <c r="EF429" i="7"/>
  <c r="DX429" i="7"/>
  <c r="M429" i="7"/>
  <c r="AO430" i="7"/>
  <c r="CG431" i="7"/>
  <c r="DB430" i="7"/>
  <c r="EM431" i="7"/>
  <c r="DG431" i="7"/>
  <c r="CL432" i="7"/>
  <c r="CJ431" i="7"/>
  <c r="DE430" i="7"/>
  <c r="DD430" i="7"/>
  <c r="DS430" i="7"/>
  <c r="CI431" i="7"/>
  <c r="DI427" i="7"/>
  <c r="DI428" i="7" s="1"/>
  <c r="EN430" i="7"/>
  <c r="BZ431" i="7"/>
  <c r="CU430" i="7"/>
  <c r="CA431" i="7"/>
  <c r="CV430" i="7"/>
  <c r="CB431" i="7"/>
  <c r="CW430" i="7"/>
  <c r="BT431" i="7"/>
  <c r="CO430" i="7"/>
  <c r="EO430" i="7"/>
  <c r="BW431" i="7"/>
  <c r="CR430" i="7"/>
  <c r="H426" i="7"/>
  <c r="G426" i="7"/>
  <c r="AN429" i="7"/>
  <c r="CF430" i="7"/>
  <c r="DA429" i="7"/>
  <c r="CY430" i="7"/>
  <c r="CD431" i="7"/>
  <c r="BP428" i="7" l="1"/>
  <c r="CF431" i="7"/>
  <c r="DA430" i="7"/>
  <c r="AN430" i="7"/>
  <c r="BT432" i="7"/>
  <c r="EO431" i="7"/>
  <c r="CO431" i="7"/>
  <c r="CA432" i="7"/>
  <c r="CV431" i="7"/>
  <c r="AM430" i="7"/>
  <c r="CE431" i="7"/>
  <c r="CZ430" i="7"/>
  <c r="C420" i="7"/>
  <c r="F420" i="7" s="1"/>
  <c r="BJ420" i="7"/>
  <c r="BM420" i="7" s="1"/>
  <c r="B420" i="7" s="1"/>
  <c r="AJ421" i="7"/>
  <c r="CQ431" i="7"/>
  <c r="BV432" i="7"/>
  <c r="CM432" i="7"/>
  <c r="DH431" i="7"/>
  <c r="CP432" i="7"/>
  <c r="BU433" i="7"/>
  <c r="CD432" i="7"/>
  <c r="CY431" i="7"/>
  <c r="BB429" i="7"/>
  <c r="DQ429" i="7" s="1"/>
  <c r="AX429" i="7"/>
  <c r="DM429" i="7" s="1"/>
  <c r="AT429" i="7"/>
  <c r="DI429" i="7" s="1"/>
  <c r="AY429" i="7"/>
  <c r="DN429" i="7" s="1"/>
  <c r="BC429" i="7"/>
  <c r="DR429" i="7" s="1"/>
  <c r="AW429" i="7"/>
  <c r="DL429" i="7" s="1"/>
  <c r="BA429" i="7"/>
  <c r="DP429" i="7" s="1"/>
  <c r="AV429" i="7"/>
  <c r="DK429" i="7" s="1"/>
  <c r="AZ429" i="7"/>
  <c r="DO429" i="7" s="1"/>
  <c r="AU429" i="7"/>
  <c r="DJ429" i="7" s="1"/>
  <c r="AH429" i="7"/>
  <c r="AF429" i="7"/>
  <c r="AI429" i="7" s="1"/>
  <c r="AG429" i="7"/>
  <c r="BO428" i="7"/>
  <c r="BQ428" i="7" s="1"/>
  <c r="EA430" i="7"/>
  <c r="DV430" i="7"/>
  <c r="EB430" i="7"/>
  <c r="CN430" i="7"/>
  <c r="DZ430" i="7"/>
  <c r="EF430" i="7"/>
  <c r="DX430" i="7"/>
  <c r="BS431" i="7"/>
  <c r="EC430" i="7"/>
  <c r="DW430" i="7"/>
  <c r="M430" i="7"/>
  <c r="DF432" i="7"/>
  <c r="CK433" i="7"/>
  <c r="BL420" i="7"/>
  <c r="E420" i="7"/>
  <c r="AL421" i="7"/>
  <c r="N430" i="7"/>
  <c r="BK420" i="7"/>
  <c r="D420" i="7"/>
  <c r="AK421" i="7"/>
  <c r="BE428" i="7"/>
  <c r="BD428" i="7"/>
  <c r="BF428" i="7"/>
  <c r="BP427" i="7"/>
  <c r="BQ427" i="7" s="1"/>
  <c r="BW432" i="7"/>
  <c r="CR431" i="7"/>
  <c r="CW431" i="7"/>
  <c r="CB432" i="7"/>
  <c r="BZ432" i="7"/>
  <c r="CU431" i="7"/>
  <c r="EN431" i="7"/>
  <c r="CI432" i="7"/>
  <c r="DD431" i="7"/>
  <c r="DS431" i="7"/>
  <c r="CJ432" i="7"/>
  <c r="DE431" i="7"/>
  <c r="CS431" i="7"/>
  <c r="BX432" i="7"/>
  <c r="AP429" i="7"/>
  <c r="BG429" i="7" s="1"/>
  <c r="AR429" i="7"/>
  <c r="BI429" i="7" s="1"/>
  <c r="AQ429" i="7"/>
  <c r="BH429" i="7" s="1"/>
  <c r="P430" i="7"/>
  <c r="N431" i="7" s="1"/>
  <c r="DG432" i="7"/>
  <c r="EM432" i="7"/>
  <c r="CL433" i="7"/>
  <c r="DB431" i="7"/>
  <c r="AO431" i="7"/>
  <c r="CG432" i="7"/>
  <c r="BY433" i="7"/>
  <c r="CT432" i="7"/>
  <c r="CC433" i="7"/>
  <c r="CX432" i="7"/>
  <c r="CH431" i="7"/>
  <c r="BN430" i="7"/>
  <c r="DC430" i="7"/>
  <c r="BP429" i="7" l="1"/>
  <c r="BY434" i="7"/>
  <c r="CT433" i="7"/>
  <c r="BZ433" i="7"/>
  <c r="CU432" i="7"/>
  <c r="EN432" i="7"/>
  <c r="BW433" i="7"/>
  <c r="CR432" i="7"/>
  <c r="BA430" i="7"/>
  <c r="DP430" i="7" s="1"/>
  <c r="AW430" i="7"/>
  <c r="DL430" i="7" s="1"/>
  <c r="BC430" i="7"/>
  <c r="DR430" i="7" s="1"/>
  <c r="AX430" i="7"/>
  <c r="DM430" i="7" s="1"/>
  <c r="BB430" i="7"/>
  <c r="DQ430" i="7" s="1"/>
  <c r="AV430" i="7"/>
  <c r="DK430" i="7" s="1"/>
  <c r="AZ430" i="7"/>
  <c r="DO430" i="7" s="1"/>
  <c r="AU430" i="7"/>
  <c r="DJ430" i="7" s="1"/>
  <c r="AY430" i="7"/>
  <c r="DN430" i="7" s="1"/>
  <c r="AT430" i="7"/>
  <c r="DI430" i="7" s="1"/>
  <c r="AG430" i="7"/>
  <c r="AH430" i="7"/>
  <c r="AF430" i="7"/>
  <c r="AI430" i="7" s="1"/>
  <c r="BU434" i="7"/>
  <c r="CP433" i="7"/>
  <c r="CM433" i="7"/>
  <c r="DH432" i="7"/>
  <c r="DC431" i="7"/>
  <c r="CH432" i="7"/>
  <c r="BN431" i="7"/>
  <c r="EM433" i="7"/>
  <c r="DG433" i="7"/>
  <c r="CL434" i="7"/>
  <c r="AR431" i="7"/>
  <c r="AQ431" i="7"/>
  <c r="AP431" i="7"/>
  <c r="AO432" i="7"/>
  <c r="CG433" i="7"/>
  <c r="DB432" i="7"/>
  <c r="DS432" i="7"/>
  <c r="CI433" i="7"/>
  <c r="DD432" i="7"/>
  <c r="CB433" i="7"/>
  <c r="CW432" i="7"/>
  <c r="AR430" i="7"/>
  <c r="BI430" i="7" s="1"/>
  <c r="AQ430" i="7"/>
  <c r="AP430" i="7"/>
  <c r="BG430" i="7" s="1"/>
  <c r="BV433" i="7"/>
  <c r="CQ432" i="7"/>
  <c r="AN431" i="7"/>
  <c r="BH431" i="7" s="1"/>
  <c r="CF432" i="7"/>
  <c r="DA431" i="7"/>
  <c r="CC434" i="7"/>
  <c r="CX433" i="7"/>
  <c r="CJ433" i="7"/>
  <c r="DE432" i="7"/>
  <c r="G427" i="7"/>
  <c r="H427" i="7"/>
  <c r="BK421" i="7"/>
  <c r="D421" i="7"/>
  <c r="AK422" i="7"/>
  <c r="E421" i="7"/>
  <c r="BL421" i="7"/>
  <c r="AL422" i="7"/>
  <c r="CK434" i="7"/>
  <c r="DF433" i="7"/>
  <c r="BF429" i="7"/>
  <c r="BD429" i="7"/>
  <c r="BE429" i="7"/>
  <c r="EO432" i="7"/>
  <c r="BT433" i="7"/>
  <c r="CO432" i="7"/>
  <c r="BI431" i="7"/>
  <c r="BX433" i="7"/>
  <c r="CS432" i="7"/>
  <c r="P431" i="7"/>
  <c r="BS432" i="7"/>
  <c r="EF431" i="7"/>
  <c r="DZ431" i="7"/>
  <c r="CN431" i="7"/>
  <c r="DX431" i="7"/>
  <c r="EC431" i="7"/>
  <c r="DW431" i="7"/>
  <c r="EB431" i="7"/>
  <c r="DV431" i="7"/>
  <c r="EA431" i="7"/>
  <c r="M431" i="7"/>
  <c r="BO429" i="7"/>
  <c r="BQ429" i="7" s="1"/>
  <c r="H428" i="7"/>
  <c r="G428" i="7"/>
  <c r="CD433" i="7"/>
  <c r="CY432" i="7"/>
  <c r="BJ421" i="7"/>
  <c r="BM421" i="7" s="1"/>
  <c r="B421" i="7" s="1"/>
  <c r="C421" i="7"/>
  <c r="F421" i="7" s="1"/>
  <c r="AJ422" i="7"/>
  <c r="CE432" i="7"/>
  <c r="CZ431" i="7"/>
  <c r="AM431" i="7"/>
  <c r="BG431" i="7" s="1"/>
  <c r="CV432" i="7"/>
  <c r="CA433" i="7"/>
  <c r="BH430" i="7"/>
  <c r="BP430" i="7" l="1"/>
  <c r="BJ422" i="7"/>
  <c r="BM422" i="7" s="1"/>
  <c r="B422" i="7" s="1"/>
  <c r="C422" i="7"/>
  <c r="F422" i="7" s="1"/>
  <c r="AJ423" i="7"/>
  <c r="BL422" i="7"/>
  <c r="E422" i="7"/>
  <c r="AL423" i="7"/>
  <c r="BV434" i="7"/>
  <c r="CQ433" i="7"/>
  <c r="CB434" i="7"/>
  <c r="CW433" i="7"/>
  <c r="AZ431" i="7"/>
  <c r="DO431" i="7" s="1"/>
  <c r="AV431" i="7"/>
  <c r="DK431" i="7" s="1"/>
  <c r="BB431" i="7"/>
  <c r="DQ431" i="7" s="1"/>
  <c r="AW431" i="7"/>
  <c r="DL431" i="7" s="1"/>
  <c r="BA431" i="7"/>
  <c r="DP431" i="7" s="1"/>
  <c r="AU431" i="7"/>
  <c r="DJ431" i="7" s="1"/>
  <c r="AY431" i="7"/>
  <c r="DN431" i="7" s="1"/>
  <c r="AT431" i="7"/>
  <c r="BC431" i="7"/>
  <c r="DR431" i="7" s="1"/>
  <c r="AX431" i="7"/>
  <c r="DM431" i="7" s="1"/>
  <c r="AG431" i="7"/>
  <c r="AF431" i="7"/>
  <c r="AI431" i="7" s="1"/>
  <c r="AH431" i="7"/>
  <c r="CO433" i="7"/>
  <c r="EO433" i="7"/>
  <c r="BT434" i="7"/>
  <c r="DE433" i="7"/>
  <c r="CJ434" i="7"/>
  <c r="DA432" i="7"/>
  <c r="AN432" i="7"/>
  <c r="CF433" i="7"/>
  <c r="CG434" i="7"/>
  <c r="DB433" i="7"/>
  <c r="AO433" i="7"/>
  <c r="EM434" i="7"/>
  <c r="DG434" i="7"/>
  <c r="CL435" i="7"/>
  <c r="CH433" i="7"/>
  <c r="DC432" i="7"/>
  <c r="BN432" i="7"/>
  <c r="CM434" i="7"/>
  <c r="DH433" i="7"/>
  <c r="EN433" i="7"/>
  <c r="CU433" i="7"/>
  <c r="BZ434" i="7"/>
  <c r="EC432" i="7"/>
  <c r="DX432" i="7"/>
  <c r="EF432" i="7"/>
  <c r="DW432" i="7"/>
  <c r="BS433" i="7"/>
  <c r="EB432" i="7"/>
  <c r="DV432" i="7"/>
  <c r="EA432" i="7"/>
  <c r="CN432" i="7"/>
  <c r="DZ432" i="7"/>
  <c r="M432" i="7"/>
  <c r="BX434" i="7"/>
  <c r="CS433" i="7"/>
  <c r="CI434" i="7"/>
  <c r="DD433" i="7"/>
  <c r="DS433" i="7"/>
  <c r="BW434" i="7"/>
  <c r="CR433" i="7"/>
  <c r="CD434" i="7"/>
  <c r="CY433" i="7"/>
  <c r="N432" i="7"/>
  <c r="CA434" i="7"/>
  <c r="CV433" i="7"/>
  <c r="AM432" i="7"/>
  <c r="CE433" i="7"/>
  <c r="CZ432" i="7"/>
  <c r="H429" i="7"/>
  <c r="G429" i="7"/>
  <c r="BO430" i="7"/>
  <c r="BQ430" i="7" s="1"/>
  <c r="CK435" i="7"/>
  <c r="DF434" i="7"/>
  <c r="D422" i="7"/>
  <c r="BK422" i="7"/>
  <c r="AK423" i="7"/>
  <c r="CC435" i="7"/>
  <c r="CX434" i="7"/>
  <c r="P432" i="7"/>
  <c r="N433" i="7" s="1"/>
  <c r="BU435" i="7"/>
  <c r="CP434" i="7"/>
  <c r="BE430" i="7"/>
  <c r="BF430" i="7"/>
  <c r="BD430" i="7"/>
  <c r="CT434" i="7"/>
  <c r="BY435" i="7"/>
  <c r="P433" i="7" l="1"/>
  <c r="EN434" i="7"/>
  <c r="BZ435" i="7"/>
  <c r="CU434" i="7"/>
  <c r="CM435" i="7"/>
  <c r="DH434" i="7"/>
  <c r="EM435" i="7"/>
  <c r="DG435" i="7"/>
  <c r="CL436" i="7"/>
  <c r="BL423" i="7"/>
  <c r="E423" i="7"/>
  <c r="AL424" i="7"/>
  <c r="CA435" i="7"/>
  <c r="CV434" i="7"/>
  <c r="BC432" i="7"/>
  <c r="DR432" i="7" s="1"/>
  <c r="AY432" i="7"/>
  <c r="DN432" i="7" s="1"/>
  <c r="AU432" i="7"/>
  <c r="DJ432" i="7" s="1"/>
  <c r="AZ432" i="7"/>
  <c r="DO432" i="7" s="1"/>
  <c r="AT432" i="7"/>
  <c r="AX432" i="7"/>
  <c r="DM432" i="7" s="1"/>
  <c r="BB432" i="7"/>
  <c r="DQ432" i="7" s="1"/>
  <c r="AW432" i="7"/>
  <c r="DL432" i="7" s="1"/>
  <c r="BA432" i="7"/>
  <c r="DP432" i="7" s="1"/>
  <c r="AV432" i="7"/>
  <c r="DK432" i="7" s="1"/>
  <c r="AF432" i="7"/>
  <c r="AI432" i="7" s="1"/>
  <c r="AG432" i="7"/>
  <c r="AH432" i="7"/>
  <c r="AO434" i="7"/>
  <c r="CG435" i="7"/>
  <c r="DB434" i="7"/>
  <c r="CJ435" i="7"/>
  <c r="DE434" i="7"/>
  <c r="CB435" i="7"/>
  <c r="CW434" i="7"/>
  <c r="BU436" i="7"/>
  <c r="CP435" i="7"/>
  <c r="CY434" i="7"/>
  <c r="CD435" i="7"/>
  <c r="BX435" i="7"/>
  <c r="CS434" i="7"/>
  <c r="AP433" i="7"/>
  <c r="AR433" i="7"/>
  <c r="AQ433" i="7"/>
  <c r="H430" i="7"/>
  <c r="G430" i="7"/>
  <c r="AQ432" i="7"/>
  <c r="AR432" i="7"/>
  <c r="BI432" i="7" s="1"/>
  <c r="AP432" i="7"/>
  <c r="BW435" i="7"/>
  <c r="CR434" i="7"/>
  <c r="DD434" i="7"/>
  <c r="DS434" i="7"/>
  <c r="CI435" i="7"/>
  <c r="AN433" i="7"/>
  <c r="BH433" i="7" s="1"/>
  <c r="CF434" i="7"/>
  <c r="DA433" i="7"/>
  <c r="CX435" i="7"/>
  <c r="CC436" i="7"/>
  <c r="BK423" i="7"/>
  <c r="D423" i="7"/>
  <c r="AK424" i="7"/>
  <c r="CK436" i="7"/>
  <c r="DF435" i="7"/>
  <c r="BY436" i="7"/>
  <c r="CT435" i="7"/>
  <c r="CZ433" i="7"/>
  <c r="AM433" i="7"/>
  <c r="BG433" i="7" s="1"/>
  <c r="CE434" i="7"/>
  <c r="BG432" i="7"/>
  <c r="BO431" i="7"/>
  <c r="EB433" i="7"/>
  <c r="DW433" i="7"/>
  <c r="BS434" i="7"/>
  <c r="EC433" i="7"/>
  <c r="DV433" i="7"/>
  <c r="EA433" i="7"/>
  <c r="CN433" i="7"/>
  <c r="DZ433" i="7"/>
  <c r="EF433" i="7"/>
  <c r="DX433" i="7"/>
  <c r="M433" i="7"/>
  <c r="BN433" i="7"/>
  <c r="CH434" i="7"/>
  <c r="DC433" i="7"/>
  <c r="BI433" i="7"/>
  <c r="BH432" i="7"/>
  <c r="BT435" i="7"/>
  <c r="CO434" i="7"/>
  <c r="EO434" i="7"/>
  <c r="BD431" i="7"/>
  <c r="BF431" i="7"/>
  <c r="BE431" i="7"/>
  <c r="BV435" i="7"/>
  <c r="CQ434" i="7"/>
  <c r="C423" i="7"/>
  <c r="F423" i="7" s="1"/>
  <c r="BJ423" i="7"/>
  <c r="BM423" i="7" s="1"/>
  <c r="B423" i="7" s="1"/>
  <c r="AJ424" i="7"/>
  <c r="DI431" i="7"/>
  <c r="DI432" i="7" s="1"/>
  <c r="BP432" i="7" l="1"/>
  <c r="DF436" i="7"/>
  <c r="CK437" i="7"/>
  <c r="CC437" i="7"/>
  <c r="CX436" i="7"/>
  <c r="CA436" i="7"/>
  <c r="CV435" i="7"/>
  <c r="DG436" i="7"/>
  <c r="EM436" i="7"/>
  <c r="CL437" i="7"/>
  <c r="CM436" i="7"/>
  <c r="DH435" i="7"/>
  <c r="BJ424" i="7"/>
  <c r="BM424" i="7" s="1"/>
  <c r="B424" i="7" s="1"/>
  <c r="C424" i="7"/>
  <c r="F424" i="7" s="1"/>
  <c r="AJ425" i="7"/>
  <c r="CQ435" i="7"/>
  <c r="BV436" i="7"/>
  <c r="BB433" i="7"/>
  <c r="DQ433" i="7" s="1"/>
  <c r="AX433" i="7"/>
  <c r="DM433" i="7" s="1"/>
  <c r="AT433" i="7"/>
  <c r="AY433" i="7"/>
  <c r="DN433" i="7" s="1"/>
  <c r="BC433" i="7"/>
  <c r="DR433" i="7" s="1"/>
  <c r="AW433" i="7"/>
  <c r="DL433" i="7" s="1"/>
  <c r="BA433" i="7"/>
  <c r="DP433" i="7" s="1"/>
  <c r="AV433" i="7"/>
  <c r="DK433" i="7" s="1"/>
  <c r="AZ433" i="7"/>
  <c r="DO433" i="7" s="1"/>
  <c r="AU433" i="7"/>
  <c r="DJ433" i="7" s="1"/>
  <c r="AH433" i="7"/>
  <c r="AF433" i="7"/>
  <c r="AI433" i="7" s="1"/>
  <c r="AG433" i="7"/>
  <c r="BO432" i="7"/>
  <c r="BQ432" i="7" s="1"/>
  <c r="EA434" i="7"/>
  <c r="DV434" i="7"/>
  <c r="EB434" i="7"/>
  <c r="CN434" i="7"/>
  <c r="DZ434" i="7"/>
  <c r="EF434" i="7"/>
  <c r="DX434" i="7"/>
  <c r="BS435" i="7"/>
  <c r="EC434" i="7"/>
  <c r="DW434" i="7"/>
  <c r="M434" i="7"/>
  <c r="BK424" i="7"/>
  <c r="D424" i="7"/>
  <c r="AK425" i="7"/>
  <c r="CI436" i="7"/>
  <c r="DD435" i="7"/>
  <c r="DS435" i="7"/>
  <c r="BW436" i="7"/>
  <c r="CR435" i="7"/>
  <c r="CS435" i="7"/>
  <c r="BX436" i="7"/>
  <c r="CP436" i="7"/>
  <c r="BU437" i="7"/>
  <c r="CJ436" i="7"/>
  <c r="DE435" i="7"/>
  <c r="BL424" i="7"/>
  <c r="E424" i="7"/>
  <c r="AL425" i="7"/>
  <c r="N434" i="7"/>
  <c r="BP431" i="7"/>
  <c r="BQ431" i="7" s="1"/>
  <c r="AM434" i="7"/>
  <c r="CE435" i="7"/>
  <c r="CZ434" i="7"/>
  <c r="BY437" i="7"/>
  <c r="CT436" i="7"/>
  <c r="P434" i="7"/>
  <c r="N435" i="7" s="1"/>
  <c r="CD436" i="7"/>
  <c r="CY435" i="7"/>
  <c r="BE432" i="7"/>
  <c r="BD432" i="7"/>
  <c r="BF432" i="7"/>
  <c r="BZ436" i="7"/>
  <c r="CU435" i="7"/>
  <c r="EN435" i="7"/>
  <c r="BT436" i="7"/>
  <c r="EO435" i="7"/>
  <c r="CO435" i="7"/>
  <c r="CH435" i="7"/>
  <c r="BN434" i="7"/>
  <c r="DC434" i="7"/>
  <c r="CF435" i="7"/>
  <c r="DA434" i="7"/>
  <c r="AN434" i="7"/>
  <c r="CW435" i="7"/>
  <c r="CB436" i="7"/>
  <c r="DB435" i="7"/>
  <c r="AO435" i="7"/>
  <c r="CG436" i="7"/>
  <c r="G431" i="7" l="1"/>
  <c r="H431" i="7"/>
  <c r="DC435" i="7"/>
  <c r="CH436" i="7"/>
  <c r="BN435" i="7"/>
  <c r="AR434" i="7"/>
  <c r="BI434" i="7" s="1"/>
  <c r="AQ434" i="7"/>
  <c r="AP434" i="7"/>
  <c r="BX437" i="7"/>
  <c r="CS436" i="7"/>
  <c r="P435" i="7"/>
  <c r="BF433" i="7"/>
  <c r="BD433" i="7"/>
  <c r="BE433" i="7"/>
  <c r="CB437" i="7"/>
  <c r="CW436" i="7"/>
  <c r="AN435" i="7"/>
  <c r="CF436" i="7"/>
  <c r="DA435" i="7"/>
  <c r="AR435" i="7"/>
  <c r="AQ435" i="7"/>
  <c r="AP435" i="7"/>
  <c r="CE436" i="7"/>
  <c r="CZ435" i="7"/>
  <c r="AM435" i="7"/>
  <c r="BG435" i="7" s="1"/>
  <c r="E425" i="7"/>
  <c r="BL425" i="7"/>
  <c r="AL426" i="7"/>
  <c r="CJ437" i="7"/>
  <c r="DE436" i="7"/>
  <c r="BS436" i="7"/>
  <c r="EF435" i="7"/>
  <c r="DZ435" i="7"/>
  <c r="CN435" i="7"/>
  <c r="DX435" i="7"/>
  <c r="EC435" i="7"/>
  <c r="DW435" i="7"/>
  <c r="EB435" i="7"/>
  <c r="DV435" i="7"/>
  <c r="EA435" i="7"/>
  <c r="M435" i="7"/>
  <c r="BO433" i="7"/>
  <c r="H432" i="7"/>
  <c r="G432" i="7"/>
  <c r="BJ425" i="7"/>
  <c r="BM425" i="7" s="1"/>
  <c r="B425" i="7" s="1"/>
  <c r="C425" i="7"/>
  <c r="F425" i="7" s="1"/>
  <c r="AJ426" i="7"/>
  <c r="CM437" i="7"/>
  <c r="DH436" i="7"/>
  <c r="CC438" i="7"/>
  <c r="CX437" i="7"/>
  <c r="BZ437" i="7"/>
  <c r="CU436" i="7"/>
  <c r="EN436" i="7"/>
  <c r="BG434" i="7"/>
  <c r="BU438" i="7"/>
  <c r="CP437" i="7"/>
  <c r="DS436" i="7"/>
  <c r="CI437" i="7"/>
  <c r="DD436" i="7"/>
  <c r="BA434" i="7"/>
  <c r="DP434" i="7" s="1"/>
  <c r="AW434" i="7"/>
  <c r="DL434" i="7" s="1"/>
  <c r="BC434" i="7"/>
  <c r="DR434" i="7" s="1"/>
  <c r="AX434" i="7"/>
  <c r="DM434" i="7" s="1"/>
  <c r="BB434" i="7"/>
  <c r="DQ434" i="7" s="1"/>
  <c r="AV434" i="7"/>
  <c r="DK434" i="7" s="1"/>
  <c r="AZ434" i="7"/>
  <c r="DO434" i="7" s="1"/>
  <c r="AU434" i="7"/>
  <c r="DJ434" i="7" s="1"/>
  <c r="AY434" i="7"/>
  <c r="DN434" i="7" s="1"/>
  <c r="AT434" i="7"/>
  <c r="AG434" i="7"/>
  <c r="AF434" i="7"/>
  <c r="AI434" i="7" s="1"/>
  <c r="AH434" i="7"/>
  <c r="EM437" i="7"/>
  <c r="DG437" i="7"/>
  <c r="CL438" i="7"/>
  <c r="CV436" i="7"/>
  <c r="CA437" i="7"/>
  <c r="CK438" i="7"/>
  <c r="DF437" i="7"/>
  <c r="DI433" i="7"/>
  <c r="DI434" i="7" s="1"/>
  <c r="AO436" i="7"/>
  <c r="CG437" i="7"/>
  <c r="DB436" i="7"/>
  <c r="BI435" i="7"/>
  <c r="BH434" i="7"/>
  <c r="EO436" i="7"/>
  <c r="BT437" i="7"/>
  <c r="CO436" i="7"/>
  <c r="CD437" i="7"/>
  <c r="CY436" i="7"/>
  <c r="BY438" i="7"/>
  <c r="CT437" i="7"/>
  <c r="BW437" i="7"/>
  <c r="CR436" i="7"/>
  <c r="BK425" i="7"/>
  <c r="D425" i="7"/>
  <c r="AK426" i="7"/>
  <c r="BV437" i="7"/>
  <c r="CQ436" i="7"/>
  <c r="BP434" i="7" l="1"/>
  <c r="BV438" i="7"/>
  <c r="CQ437" i="7"/>
  <c r="EM438" i="7"/>
  <c r="DG438" i="7"/>
  <c r="CL439" i="7"/>
  <c r="D426" i="7"/>
  <c r="BK426" i="7"/>
  <c r="AK427" i="7"/>
  <c r="BW438" i="7"/>
  <c r="CR437" i="7"/>
  <c r="CD438" i="7"/>
  <c r="CY437" i="7"/>
  <c r="CG438" i="7"/>
  <c r="DB437" i="7"/>
  <c r="AO437" i="7"/>
  <c r="CK439" i="7"/>
  <c r="DF438" i="7"/>
  <c r="CI438" i="7"/>
  <c r="DD437" i="7"/>
  <c r="DS437" i="7"/>
  <c r="BJ426" i="7"/>
  <c r="BM426" i="7" s="1"/>
  <c r="B426" i="7" s="1"/>
  <c r="C426" i="7"/>
  <c r="F426" i="7" s="1"/>
  <c r="AJ427" i="7"/>
  <c r="EC436" i="7"/>
  <c r="DX436" i="7"/>
  <c r="EF436" i="7"/>
  <c r="DW436" i="7"/>
  <c r="BS437" i="7"/>
  <c r="EB436" i="7"/>
  <c r="DV436" i="7"/>
  <c r="EA436" i="7"/>
  <c r="CN436" i="7"/>
  <c r="DZ436" i="7"/>
  <c r="M436" i="7"/>
  <c r="AM436" i="7"/>
  <c r="CE437" i="7"/>
  <c r="CZ436" i="7"/>
  <c r="DA436" i="7"/>
  <c r="AN436" i="7"/>
  <c r="CF437" i="7"/>
  <c r="N436" i="7"/>
  <c r="CA438" i="7"/>
  <c r="CV437" i="7"/>
  <c r="BE434" i="7"/>
  <c r="BF434" i="7"/>
  <c r="BD434" i="7"/>
  <c r="P436" i="7"/>
  <c r="CC439" i="7"/>
  <c r="CX438" i="7"/>
  <c r="BO434" i="7"/>
  <c r="BQ434" i="7" s="1"/>
  <c r="BH435" i="7"/>
  <c r="CT438" i="7"/>
  <c r="BY439" i="7"/>
  <c r="CO437" i="7"/>
  <c r="EO437" i="7"/>
  <c r="BT438" i="7"/>
  <c r="AZ435" i="7"/>
  <c r="DO435" i="7" s="1"/>
  <c r="AV435" i="7"/>
  <c r="DK435" i="7" s="1"/>
  <c r="BB435" i="7"/>
  <c r="DQ435" i="7" s="1"/>
  <c r="AW435" i="7"/>
  <c r="DL435" i="7" s="1"/>
  <c r="BA435" i="7"/>
  <c r="DP435" i="7" s="1"/>
  <c r="AU435" i="7"/>
  <c r="DJ435" i="7" s="1"/>
  <c r="AY435" i="7"/>
  <c r="DN435" i="7" s="1"/>
  <c r="AT435" i="7"/>
  <c r="BC435" i="7"/>
  <c r="DR435" i="7" s="1"/>
  <c r="AX435" i="7"/>
  <c r="DM435" i="7" s="1"/>
  <c r="AG435" i="7"/>
  <c r="AF435" i="7"/>
  <c r="AI435" i="7" s="1"/>
  <c r="AH435" i="7"/>
  <c r="DE437" i="7"/>
  <c r="CJ438" i="7"/>
  <c r="BX438" i="7"/>
  <c r="CS437" i="7"/>
  <c r="CH437" i="7"/>
  <c r="DC436" i="7"/>
  <c r="BN436" i="7"/>
  <c r="BU439" i="7"/>
  <c r="CP438" i="7"/>
  <c r="EN437" i="7"/>
  <c r="CU437" i="7"/>
  <c r="BZ438" i="7"/>
  <c r="CM438" i="7"/>
  <c r="DH437" i="7"/>
  <c r="BL426" i="7"/>
  <c r="E426" i="7"/>
  <c r="AL427" i="7"/>
  <c r="CB438" i="7"/>
  <c r="CW437" i="7"/>
  <c r="BP433" i="7"/>
  <c r="BQ433" i="7" s="1"/>
  <c r="H433" i="7" l="1"/>
  <c r="G433" i="7"/>
  <c r="CB439" i="7"/>
  <c r="CW438" i="7"/>
  <c r="CJ439" i="7"/>
  <c r="DE438" i="7"/>
  <c r="BT439" i="7"/>
  <c r="CO438" i="7"/>
  <c r="EO438" i="7"/>
  <c r="AN437" i="7"/>
  <c r="CF438" i="7"/>
  <c r="DA437" i="7"/>
  <c r="CZ437" i="7"/>
  <c r="AM437" i="7"/>
  <c r="CE438" i="7"/>
  <c r="BO435" i="7"/>
  <c r="EB437" i="7"/>
  <c r="DW437" i="7"/>
  <c r="BS438" i="7"/>
  <c r="EC437" i="7"/>
  <c r="DV437" i="7"/>
  <c r="EA437" i="7"/>
  <c r="CN437" i="7"/>
  <c r="DZ437" i="7"/>
  <c r="EF437" i="7"/>
  <c r="DX437" i="7"/>
  <c r="M437" i="7"/>
  <c r="P437" i="7"/>
  <c r="N438" i="7" s="1"/>
  <c r="CK440" i="7"/>
  <c r="DF439" i="7"/>
  <c r="BK427" i="7"/>
  <c r="D427" i="7"/>
  <c r="AK428" i="7"/>
  <c r="CA439" i="7"/>
  <c r="CV438" i="7"/>
  <c r="C427" i="7"/>
  <c r="F427" i="7" s="1"/>
  <c r="BJ427" i="7"/>
  <c r="BM427" i="7" s="1"/>
  <c r="B427" i="7" s="1"/>
  <c r="AJ428" i="7"/>
  <c r="CY438" i="7"/>
  <c r="CD439" i="7"/>
  <c r="BL427" i="7"/>
  <c r="E427" i="7"/>
  <c r="AL428" i="7"/>
  <c r="BN437" i="7"/>
  <c r="CH438" i="7"/>
  <c r="DC437" i="7"/>
  <c r="BU440" i="7"/>
  <c r="CP439" i="7"/>
  <c r="CX439" i="7"/>
  <c r="CC440" i="7"/>
  <c r="BC436" i="7"/>
  <c r="DR436" i="7" s="1"/>
  <c r="AY436" i="7"/>
  <c r="DN436" i="7" s="1"/>
  <c r="AU436" i="7"/>
  <c r="DJ436" i="7" s="1"/>
  <c r="AZ436" i="7"/>
  <c r="DO436" i="7" s="1"/>
  <c r="AT436" i="7"/>
  <c r="AX436" i="7"/>
  <c r="DM436" i="7" s="1"/>
  <c r="BB436" i="7"/>
  <c r="DQ436" i="7" s="1"/>
  <c r="AW436" i="7"/>
  <c r="DL436" i="7" s="1"/>
  <c r="BA436" i="7"/>
  <c r="DP436" i="7" s="1"/>
  <c r="AV436" i="7"/>
  <c r="DK436" i="7" s="1"/>
  <c r="AH436" i="7"/>
  <c r="AG436" i="7"/>
  <c r="AF436" i="7"/>
  <c r="AI436" i="7" s="1"/>
  <c r="DD438" i="7"/>
  <c r="DS438" i="7"/>
  <c r="CI439" i="7"/>
  <c r="CM439" i="7"/>
  <c r="DH438" i="7"/>
  <c r="EN438" i="7"/>
  <c r="BZ439" i="7"/>
  <c r="CU438" i="7"/>
  <c r="BX439" i="7"/>
  <c r="CS438" i="7"/>
  <c r="BD435" i="7"/>
  <c r="BF435" i="7"/>
  <c r="BE435" i="7"/>
  <c r="DI435" i="7"/>
  <c r="DI436" i="7" s="1"/>
  <c r="BY440" i="7"/>
  <c r="CT439" i="7"/>
  <c r="H434" i="7"/>
  <c r="G434" i="7"/>
  <c r="N437" i="7"/>
  <c r="AQ436" i="7"/>
  <c r="BH436" i="7" s="1"/>
  <c r="AR436" i="7"/>
  <c r="BI436" i="7" s="1"/>
  <c r="AP436" i="7"/>
  <c r="BG436" i="7" s="1"/>
  <c r="AO438" i="7"/>
  <c r="CG439" i="7"/>
  <c r="DB438" i="7"/>
  <c r="BW439" i="7"/>
  <c r="CR438" i="7"/>
  <c r="EM439" i="7"/>
  <c r="DG439" i="7"/>
  <c r="CL440" i="7"/>
  <c r="BV439" i="7"/>
  <c r="CQ438" i="7"/>
  <c r="BP436" i="7" l="1"/>
  <c r="BZ440" i="7"/>
  <c r="CU439" i="7"/>
  <c r="EN439" i="7"/>
  <c r="CC441" i="7"/>
  <c r="CX440" i="7"/>
  <c r="BK428" i="7"/>
  <c r="D428" i="7"/>
  <c r="AK429" i="7"/>
  <c r="DF440" i="7"/>
  <c r="CK441" i="7"/>
  <c r="CQ439" i="7"/>
  <c r="BV440" i="7"/>
  <c r="CI440" i="7"/>
  <c r="DD439" i="7"/>
  <c r="DS439" i="7"/>
  <c r="DG440" i="7"/>
  <c r="EM440" i="7"/>
  <c r="CL441" i="7"/>
  <c r="BW440" i="7"/>
  <c r="CR439" i="7"/>
  <c r="CS439" i="7"/>
  <c r="BX440" i="7"/>
  <c r="P438" i="7"/>
  <c r="CH439" i="7"/>
  <c r="BN438" i="7"/>
  <c r="DC438" i="7"/>
  <c r="BJ428" i="7"/>
  <c r="BM428" i="7" s="1"/>
  <c r="B428" i="7" s="1"/>
  <c r="C428" i="7"/>
  <c r="F428" i="7" s="1"/>
  <c r="AJ429" i="7"/>
  <c r="CJ440" i="7"/>
  <c r="DE439" i="7"/>
  <c r="CD440" i="7"/>
  <c r="CY439" i="7"/>
  <c r="AR438" i="7"/>
  <c r="BI438" i="7" s="1"/>
  <c r="AQ438" i="7"/>
  <c r="AP438" i="7"/>
  <c r="BQ435" i="7"/>
  <c r="BP435" i="7"/>
  <c r="DB439" i="7"/>
  <c r="AO439" i="7"/>
  <c r="CG440" i="7"/>
  <c r="AP437" i="7"/>
  <c r="BG437" i="7" s="1"/>
  <c r="AR437" i="7"/>
  <c r="BI437" i="7" s="1"/>
  <c r="AQ437" i="7"/>
  <c r="BH437" i="7" s="1"/>
  <c r="BY441" i="7"/>
  <c r="CT440" i="7"/>
  <c r="CM440" i="7"/>
  <c r="DH439" i="7"/>
  <c r="BE436" i="7"/>
  <c r="BD436" i="7"/>
  <c r="BF436" i="7"/>
  <c r="CP440" i="7"/>
  <c r="BU441" i="7"/>
  <c r="BL428" i="7"/>
  <c r="E428" i="7"/>
  <c r="AL429" i="7"/>
  <c r="CA440" i="7"/>
  <c r="CV439" i="7"/>
  <c r="BB437" i="7"/>
  <c r="DQ437" i="7" s="1"/>
  <c r="AX437" i="7"/>
  <c r="DM437" i="7" s="1"/>
  <c r="AT437" i="7"/>
  <c r="AY437" i="7"/>
  <c r="DN437" i="7" s="1"/>
  <c r="BC437" i="7"/>
  <c r="DR437" i="7" s="1"/>
  <c r="AW437" i="7"/>
  <c r="DL437" i="7" s="1"/>
  <c r="BA437" i="7"/>
  <c r="DP437" i="7" s="1"/>
  <c r="AV437" i="7"/>
  <c r="DK437" i="7" s="1"/>
  <c r="AZ437" i="7"/>
  <c r="DO437" i="7" s="1"/>
  <c r="AU437" i="7"/>
  <c r="DJ437" i="7" s="1"/>
  <c r="AH437" i="7"/>
  <c r="AG437" i="7"/>
  <c r="AF437" i="7"/>
  <c r="AI437" i="7" s="1"/>
  <c r="BO436" i="7"/>
  <c r="BQ436" i="7" s="1"/>
  <c r="EA438" i="7"/>
  <c r="DV438" i="7"/>
  <c r="EB438" i="7"/>
  <c r="CN438" i="7"/>
  <c r="DZ438" i="7"/>
  <c r="EF438" i="7"/>
  <c r="DX438" i="7"/>
  <c r="BS439" i="7"/>
  <c r="EC438" i="7"/>
  <c r="DW438" i="7"/>
  <c r="M438" i="7"/>
  <c r="AM438" i="7"/>
  <c r="BG438" i="7" s="1"/>
  <c r="CE439" i="7"/>
  <c r="CZ438" i="7"/>
  <c r="CF439" i="7"/>
  <c r="DA438" i="7"/>
  <c r="AN438" i="7"/>
  <c r="BH438" i="7" s="1"/>
  <c r="BT440" i="7"/>
  <c r="EO439" i="7"/>
  <c r="CO439" i="7"/>
  <c r="CW439" i="7"/>
  <c r="CB440" i="7"/>
  <c r="CB441" i="7" l="1"/>
  <c r="CW440" i="7"/>
  <c r="EO440" i="7"/>
  <c r="BT441" i="7"/>
  <c r="CO440" i="7"/>
  <c r="AO440" i="7"/>
  <c r="CG441" i="7"/>
  <c r="DB440" i="7"/>
  <c r="G435" i="7"/>
  <c r="H435" i="7"/>
  <c r="CD441" i="7"/>
  <c r="CY440" i="7"/>
  <c r="CJ441" i="7"/>
  <c r="DE440" i="7"/>
  <c r="N439" i="7"/>
  <c r="BW441" i="7"/>
  <c r="CR440" i="7"/>
  <c r="P439" i="7"/>
  <c r="BV441" i="7"/>
  <c r="CQ440" i="7"/>
  <c r="CK442" i="7"/>
  <c r="DF441" i="7"/>
  <c r="CE440" i="7"/>
  <c r="CZ439" i="7"/>
  <c r="AM439" i="7"/>
  <c r="BF437" i="7"/>
  <c r="BD437" i="7"/>
  <c r="BE437" i="7"/>
  <c r="CV440" i="7"/>
  <c r="CA441" i="7"/>
  <c r="BU442" i="7"/>
  <c r="CP441" i="7"/>
  <c r="BY442" i="7"/>
  <c r="CT441" i="7"/>
  <c r="BJ429" i="7"/>
  <c r="BM429" i="7" s="1"/>
  <c r="B429" i="7" s="1"/>
  <c r="C429" i="7"/>
  <c r="F429" i="7" s="1"/>
  <c r="AJ430" i="7"/>
  <c r="BX441" i="7"/>
  <c r="CS440" i="7"/>
  <c r="EM441" i="7"/>
  <c r="DG441" i="7"/>
  <c r="CL442" i="7"/>
  <c r="BZ441" i="7"/>
  <c r="CU440" i="7"/>
  <c r="EN440" i="7"/>
  <c r="BS440" i="7"/>
  <c r="EF439" i="7"/>
  <c r="DZ439" i="7"/>
  <c r="CN439" i="7"/>
  <c r="DX439" i="7"/>
  <c r="EC439" i="7"/>
  <c r="DW439" i="7"/>
  <c r="EB439" i="7"/>
  <c r="DV439" i="7"/>
  <c r="EA439" i="7"/>
  <c r="M439" i="7"/>
  <c r="BO437" i="7"/>
  <c r="H436" i="7"/>
  <c r="G436" i="7"/>
  <c r="E429" i="7"/>
  <c r="BL429" i="7"/>
  <c r="AL430" i="7"/>
  <c r="DC439" i="7"/>
  <c r="CH440" i="7"/>
  <c r="BN439" i="7"/>
  <c r="DS440" i="7"/>
  <c r="CI441" i="7"/>
  <c r="DD440" i="7"/>
  <c r="BK429" i="7"/>
  <c r="D429" i="7"/>
  <c r="AK430" i="7"/>
  <c r="CC442" i="7"/>
  <c r="CX441" i="7"/>
  <c r="AN439" i="7"/>
  <c r="CF440" i="7"/>
  <c r="DA439" i="7"/>
  <c r="BA438" i="7"/>
  <c r="DP438" i="7" s="1"/>
  <c r="AW438" i="7"/>
  <c r="DL438" i="7" s="1"/>
  <c r="BC438" i="7"/>
  <c r="DR438" i="7" s="1"/>
  <c r="AX438" i="7"/>
  <c r="DM438" i="7" s="1"/>
  <c r="BB438" i="7"/>
  <c r="DQ438" i="7" s="1"/>
  <c r="AV438" i="7"/>
  <c r="DK438" i="7" s="1"/>
  <c r="AZ438" i="7"/>
  <c r="DO438" i="7" s="1"/>
  <c r="AU438" i="7"/>
  <c r="DJ438" i="7" s="1"/>
  <c r="AY438" i="7"/>
  <c r="DN438" i="7" s="1"/>
  <c r="AT438" i="7"/>
  <c r="AG438" i="7"/>
  <c r="AF438" i="7"/>
  <c r="AI438" i="7" s="1"/>
  <c r="AH438" i="7"/>
  <c r="CM441" i="7"/>
  <c r="DH440" i="7"/>
  <c r="DI437" i="7"/>
  <c r="DI438" i="7" s="1"/>
  <c r="BP438" i="7" l="1"/>
  <c r="CC443" i="7"/>
  <c r="CX442" i="7"/>
  <c r="CH441" i="7"/>
  <c r="DC440" i="7"/>
  <c r="BN440" i="7"/>
  <c r="AZ439" i="7"/>
  <c r="DO439" i="7" s="1"/>
  <c r="AV439" i="7"/>
  <c r="DK439" i="7" s="1"/>
  <c r="BB439" i="7"/>
  <c r="DQ439" i="7" s="1"/>
  <c r="AW439" i="7"/>
  <c r="DL439" i="7" s="1"/>
  <c r="BA439" i="7"/>
  <c r="DP439" i="7" s="1"/>
  <c r="AU439" i="7"/>
  <c r="DJ439" i="7" s="1"/>
  <c r="AY439" i="7"/>
  <c r="DN439" i="7" s="1"/>
  <c r="AT439" i="7"/>
  <c r="BC439" i="7"/>
  <c r="DR439" i="7" s="1"/>
  <c r="AX439" i="7"/>
  <c r="DM439" i="7" s="1"/>
  <c r="AG439" i="7"/>
  <c r="AF439" i="7"/>
  <c r="AI439" i="7" s="1"/>
  <c r="AH439" i="7"/>
  <c r="BJ430" i="7"/>
  <c r="BM430" i="7" s="1"/>
  <c r="B430" i="7" s="1"/>
  <c r="C430" i="7"/>
  <c r="F430" i="7" s="1"/>
  <c r="AJ431" i="7"/>
  <c r="CA442" i="7"/>
  <c r="CV441" i="7"/>
  <c r="AR439" i="7"/>
  <c r="BI439" i="7" s="1"/>
  <c r="AQ439" i="7"/>
  <c r="AP439" i="7"/>
  <c r="BG439" i="7" s="1"/>
  <c r="CD442" i="7"/>
  <c r="CY441" i="7"/>
  <c r="CG442" i="7"/>
  <c r="DB441" i="7"/>
  <c r="AO441" i="7"/>
  <c r="BP437" i="7"/>
  <c r="D430" i="7"/>
  <c r="BK430" i="7"/>
  <c r="AK431" i="7"/>
  <c r="CI442" i="7"/>
  <c r="DD441" i="7"/>
  <c r="DS441" i="7"/>
  <c r="EN441" i="7"/>
  <c r="CU441" i="7"/>
  <c r="BZ442" i="7"/>
  <c r="CT442" i="7"/>
  <c r="BY443" i="7"/>
  <c r="CK443" i="7"/>
  <c r="DF442" i="7"/>
  <c r="N440" i="7"/>
  <c r="DA440" i="7"/>
  <c r="AN440" i="7"/>
  <c r="CF441" i="7"/>
  <c r="CM442" i="7"/>
  <c r="DH441" i="7"/>
  <c r="BE438" i="7"/>
  <c r="BF438" i="7"/>
  <c r="BD438" i="7"/>
  <c r="BH439" i="7"/>
  <c r="P440" i="7"/>
  <c r="BL430" i="7"/>
  <c r="E430" i="7"/>
  <c r="AL431" i="7"/>
  <c r="EC440" i="7"/>
  <c r="DX440" i="7"/>
  <c r="EF440" i="7"/>
  <c r="DW440" i="7"/>
  <c r="BS441" i="7"/>
  <c r="EB440" i="7"/>
  <c r="DV440" i="7"/>
  <c r="EA440" i="7"/>
  <c r="CN440" i="7"/>
  <c r="DZ440" i="7"/>
  <c r="M440" i="7"/>
  <c r="EM442" i="7"/>
  <c r="DG442" i="7"/>
  <c r="CL443" i="7"/>
  <c r="BX442" i="7"/>
  <c r="CS441" i="7"/>
  <c r="DE441" i="7"/>
  <c r="CJ442" i="7"/>
  <c r="CB442" i="7"/>
  <c r="CW441" i="7"/>
  <c r="DI439" i="7"/>
  <c r="BQ437" i="7"/>
  <c r="BO438" i="7"/>
  <c r="BQ438" i="7" s="1"/>
  <c r="BU443" i="7"/>
  <c r="CP442" i="7"/>
  <c r="AM440" i="7"/>
  <c r="CE441" i="7"/>
  <c r="CZ440" i="7"/>
  <c r="BV442" i="7"/>
  <c r="CQ441" i="7"/>
  <c r="BW442" i="7"/>
  <c r="CR441" i="7"/>
  <c r="CO441" i="7"/>
  <c r="EO441" i="7"/>
  <c r="BT442" i="7"/>
  <c r="BP439" i="7" l="1"/>
  <c r="BU444" i="7"/>
  <c r="CP443" i="7"/>
  <c r="BO439" i="7"/>
  <c r="BQ439" i="7" s="1"/>
  <c r="EB441" i="7"/>
  <c r="DW441" i="7"/>
  <c r="BS442" i="7"/>
  <c r="EC441" i="7"/>
  <c r="DV441" i="7"/>
  <c r="EA441" i="7"/>
  <c r="CN441" i="7"/>
  <c r="DZ441" i="7"/>
  <c r="EF441" i="7"/>
  <c r="DX441" i="7"/>
  <c r="M441" i="7"/>
  <c r="N441" i="7"/>
  <c r="AN441" i="7"/>
  <c r="CF442" i="7"/>
  <c r="DA441" i="7"/>
  <c r="AQ440" i="7"/>
  <c r="AR440" i="7"/>
  <c r="BI440" i="7" s="1"/>
  <c r="AP440" i="7"/>
  <c r="BY444" i="7"/>
  <c r="CT443" i="7"/>
  <c r="BK431" i="7"/>
  <c r="D431" i="7"/>
  <c r="AK432" i="7"/>
  <c r="CY442" i="7"/>
  <c r="CD443" i="7"/>
  <c r="CA443" i="7"/>
  <c r="CV442" i="7"/>
  <c r="BL431" i="7"/>
  <c r="E431" i="7"/>
  <c r="AL432" i="7"/>
  <c r="BH440" i="7"/>
  <c r="P441" i="7"/>
  <c r="N442" i="7" s="1"/>
  <c r="C431" i="7"/>
  <c r="F431" i="7" s="1"/>
  <c r="BJ431" i="7"/>
  <c r="BM431" i="7" s="1"/>
  <c r="B431" i="7" s="1"/>
  <c r="AJ432" i="7"/>
  <c r="BD439" i="7"/>
  <c r="BF439" i="7"/>
  <c r="BE439" i="7"/>
  <c r="CX443" i="7"/>
  <c r="CC444" i="7"/>
  <c r="CZ441" i="7"/>
  <c r="AM441" i="7"/>
  <c r="CE442" i="7"/>
  <c r="BG440" i="7"/>
  <c r="BC440" i="7"/>
  <c r="DR440" i="7" s="1"/>
  <c r="AY440" i="7"/>
  <c r="DN440" i="7" s="1"/>
  <c r="AU440" i="7"/>
  <c r="DJ440" i="7" s="1"/>
  <c r="AZ440" i="7"/>
  <c r="DO440" i="7" s="1"/>
  <c r="AT440" i="7"/>
  <c r="AX440" i="7"/>
  <c r="DM440" i="7" s="1"/>
  <c r="BB440" i="7"/>
  <c r="DQ440" i="7" s="1"/>
  <c r="AW440" i="7"/>
  <c r="DL440" i="7" s="1"/>
  <c r="BA440" i="7"/>
  <c r="DP440" i="7" s="1"/>
  <c r="AV440" i="7"/>
  <c r="DK440" i="7" s="1"/>
  <c r="AF440" i="7"/>
  <c r="AI440" i="7" s="1"/>
  <c r="AG440" i="7"/>
  <c r="AH440" i="7"/>
  <c r="AO442" i="7"/>
  <c r="CG443" i="7"/>
  <c r="DB442" i="7"/>
  <c r="BT443" i="7"/>
  <c r="CO442" i="7"/>
  <c r="EO442" i="7"/>
  <c r="BW443" i="7"/>
  <c r="CR442" i="7"/>
  <c r="H438" i="7"/>
  <c r="G438" i="7"/>
  <c r="H437" i="7"/>
  <c r="G437" i="7"/>
  <c r="CB443" i="7"/>
  <c r="CW442" i="7"/>
  <c r="BX443" i="7"/>
  <c r="CS442" i="7"/>
  <c r="CK444" i="7"/>
  <c r="DF443" i="7"/>
  <c r="EN442" i="7"/>
  <c r="BZ443" i="7"/>
  <c r="CU442" i="7"/>
  <c r="BV443" i="7"/>
  <c r="CQ442" i="7"/>
  <c r="CJ443" i="7"/>
  <c r="DE442" i="7"/>
  <c r="EM443" i="7"/>
  <c r="DG443" i="7"/>
  <c r="CL444" i="7"/>
  <c r="CM443" i="7"/>
  <c r="DH442" i="7"/>
  <c r="DD442" i="7"/>
  <c r="DS442" i="7"/>
  <c r="CI443" i="7"/>
  <c r="BN441" i="7"/>
  <c r="CH442" i="7"/>
  <c r="DC441" i="7"/>
  <c r="P442" i="7" l="1"/>
  <c r="BZ444" i="7"/>
  <c r="CU443" i="7"/>
  <c r="EN443" i="7"/>
  <c r="CH443" i="7"/>
  <c r="BN442" i="7"/>
  <c r="DC442" i="7"/>
  <c r="CS443" i="7"/>
  <c r="BX444" i="7"/>
  <c r="BW444" i="7"/>
  <c r="CR443" i="7"/>
  <c r="CC445" i="7"/>
  <c r="CX444" i="7"/>
  <c r="BL432" i="7"/>
  <c r="E432" i="7"/>
  <c r="AL433" i="7"/>
  <c r="CA444" i="7"/>
  <c r="CV443" i="7"/>
  <c r="BK432" i="7"/>
  <c r="D432" i="7"/>
  <c r="AK433" i="7"/>
  <c r="BY445" i="7"/>
  <c r="CT444" i="7"/>
  <c r="CF443" i="7"/>
  <c r="DA442" i="7"/>
  <c r="AN442" i="7"/>
  <c r="CQ443" i="7"/>
  <c r="BV444" i="7"/>
  <c r="DB443" i="7"/>
  <c r="AO443" i="7"/>
  <c r="CG444" i="7"/>
  <c r="AM442" i="7"/>
  <c r="CE443" i="7"/>
  <c r="CZ442" i="7"/>
  <c r="CD444" i="7"/>
  <c r="CY443" i="7"/>
  <c r="CP444" i="7"/>
  <c r="BU445" i="7"/>
  <c r="DG444" i="7"/>
  <c r="EM444" i="7"/>
  <c r="CL445" i="7"/>
  <c r="CI444" i="7"/>
  <c r="DD443" i="7"/>
  <c r="DS443" i="7"/>
  <c r="CM444" i="7"/>
  <c r="DH443" i="7"/>
  <c r="DF444" i="7"/>
  <c r="CK445" i="7"/>
  <c r="CW443" i="7"/>
  <c r="CB444" i="7"/>
  <c r="BI442" i="7"/>
  <c r="BG441" i="7"/>
  <c r="BJ432" i="7"/>
  <c r="BM432" i="7" s="1"/>
  <c r="B432" i="7" s="1"/>
  <c r="C432" i="7"/>
  <c r="F432" i="7" s="1"/>
  <c r="AJ433" i="7"/>
  <c r="AR442" i="7"/>
  <c r="AQ442" i="7"/>
  <c r="AP442" i="7"/>
  <c r="AP441" i="7"/>
  <c r="AR441" i="7"/>
  <c r="BI441" i="7" s="1"/>
  <c r="AQ441" i="7"/>
  <c r="BH441" i="7" s="1"/>
  <c r="G439" i="7"/>
  <c r="H439" i="7"/>
  <c r="CJ444" i="7"/>
  <c r="DE443" i="7"/>
  <c r="BT444" i="7"/>
  <c r="EO443" i="7"/>
  <c r="CO443" i="7"/>
  <c r="BE440" i="7"/>
  <c r="BD440" i="7"/>
  <c r="BF440" i="7"/>
  <c r="BB441" i="7"/>
  <c r="DQ441" i="7" s="1"/>
  <c r="AX441" i="7"/>
  <c r="DM441" i="7" s="1"/>
  <c r="AT441" i="7"/>
  <c r="AY441" i="7"/>
  <c r="DN441" i="7" s="1"/>
  <c r="BC441" i="7"/>
  <c r="DR441" i="7" s="1"/>
  <c r="AW441" i="7"/>
  <c r="DL441" i="7" s="1"/>
  <c r="BA441" i="7"/>
  <c r="DP441" i="7" s="1"/>
  <c r="AV441" i="7"/>
  <c r="DK441" i="7" s="1"/>
  <c r="AZ441" i="7"/>
  <c r="DO441" i="7" s="1"/>
  <c r="AU441" i="7"/>
  <c r="DJ441" i="7" s="1"/>
  <c r="AH441" i="7"/>
  <c r="AG441" i="7"/>
  <c r="AF441" i="7"/>
  <c r="AI441" i="7" s="1"/>
  <c r="BO440" i="7"/>
  <c r="EA442" i="7"/>
  <c r="DV442" i="7"/>
  <c r="EB442" i="7"/>
  <c r="CN442" i="7"/>
  <c r="BO441" i="7" s="1"/>
  <c r="DZ442" i="7"/>
  <c r="EF442" i="7"/>
  <c r="DX442" i="7"/>
  <c r="BS443" i="7"/>
  <c r="EC442" i="7"/>
  <c r="DW442" i="7"/>
  <c r="M442" i="7"/>
  <c r="DI440" i="7"/>
  <c r="DI441" i="7" s="1"/>
  <c r="BP441" i="7" l="1"/>
  <c r="BQ441" i="7" s="1"/>
  <c r="BJ433" i="7"/>
  <c r="BM433" i="7" s="1"/>
  <c r="B433" i="7" s="1"/>
  <c r="C433" i="7"/>
  <c r="F433" i="7" s="1"/>
  <c r="AJ434" i="7"/>
  <c r="BG442" i="7"/>
  <c r="BV445" i="7"/>
  <c r="CQ444" i="7"/>
  <c r="BK433" i="7"/>
  <c r="D433" i="7"/>
  <c r="AK434" i="7"/>
  <c r="CV444" i="7"/>
  <c r="CA445" i="7"/>
  <c r="BX445" i="7"/>
  <c r="CS444" i="7"/>
  <c r="DC443" i="7"/>
  <c r="CH444" i="7"/>
  <c r="BN443" i="7"/>
  <c r="BP440" i="7"/>
  <c r="BQ440" i="7" s="1"/>
  <c r="BA442" i="7"/>
  <c r="DP442" i="7" s="1"/>
  <c r="AW442" i="7"/>
  <c r="DL442" i="7" s="1"/>
  <c r="BC442" i="7"/>
  <c r="DR442" i="7" s="1"/>
  <c r="AX442" i="7"/>
  <c r="DM442" i="7" s="1"/>
  <c r="BB442" i="7"/>
  <c r="DQ442" i="7" s="1"/>
  <c r="AV442" i="7"/>
  <c r="DK442" i="7" s="1"/>
  <c r="AZ442" i="7"/>
  <c r="DO442" i="7" s="1"/>
  <c r="AU442" i="7"/>
  <c r="DJ442" i="7" s="1"/>
  <c r="AY442" i="7"/>
  <c r="DN442" i="7" s="1"/>
  <c r="AT442" i="7"/>
  <c r="AG442" i="7"/>
  <c r="AH442" i="7"/>
  <c r="AF442" i="7"/>
  <c r="AI442" i="7" s="1"/>
  <c r="CJ445" i="7"/>
  <c r="DE444" i="7"/>
  <c r="CB445" i="7"/>
  <c r="CW444" i="7"/>
  <c r="DS444" i="7"/>
  <c r="CI445" i="7"/>
  <c r="DD444" i="7"/>
  <c r="BU446" i="7"/>
  <c r="CP445" i="7"/>
  <c r="CD445" i="7"/>
  <c r="CY444" i="7"/>
  <c r="AO444" i="7"/>
  <c r="CG445" i="7"/>
  <c r="DB444" i="7"/>
  <c r="AN443" i="7"/>
  <c r="CF444" i="7"/>
  <c r="DA443" i="7"/>
  <c r="E433" i="7"/>
  <c r="BL433" i="7"/>
  <c r="AL434" i="7"/>
  <c r="CC446" i="7"/>
  <c r="CX445" i="7"/>
  <c r="N443" i="7"/>
  <c r="DI442" i="7"/>
  <c r="CM445" i="7"/>
  <c r="DH444" i="7"/>
  <c r="EM445" i="7"/>
  <c r="DG445" i="7"/>
  <c r="CL446" i="7"/>
  <c r="BS444" i="7"/>
  <c r="EF443" i="7"/>
  <c r="DZ443" i="7"/>
  <c r="CN443" i="7"/>
  <c r="DX443" i="7"/>
  <c r="EC443" i="7"/>
  <c r="DW443" i="7"/>
  <c r="EB443" i="7"/>
  <c r="DV443" i="7"/>
  <c r="EA443" i="7"/>
  <c r="M443" i="7"/>
  <c r="BF441" i="7"/>
  <c r="BD441" i="7"/>
  <c r="BE441" i="7"/>
  <c r="EO444" i="7"/>
  <c r="BT445" i="7"/>
  <c r="CO444" i="7"/>
  <c r="CK446" i="7"/>
  <c r="DF445" i="7"/>
  <c r="P443" i="7"/>
  <c r="CE444" i="7"/>
  <c r="CZ443" i="7"/>
  <c r="AM443" i="7"/>
  <c r="BH442" i="7"/>
  <c r="BY446" i="7"/>
  <c r="CT445" i="7"/>
  <c r="BW445" i="7"/>
  <c r="CR444" i="7"/>
  <c r="BZ445" i="7"/>
  <c r="CU444" i="7"/>
  <c r="EN444" i="7"/>
  <c r="BP442" i="7" l="1"/>
  <c r="H440" i="7"/>
  <c r="G440" i="7"/>
  <c r="H441" i="7"/>
  <c r="G441" i="7"/>
  <c r="AZ443" i="7"/>
  <c r="DO443" i="7" s="1"/>
  <c r="AV443" i="7"/>
  <c r="DK443" i="7" s="1"/>
  <c r="BB443" i="7"/>
  <c r="DQ443" i="7" s="1"/>
  <c r="AW443" i="7"/>
  <c r="DL443" i="7" s="1"/>
  <c r="BA443" i="7"/>
  <c r="DP443" i="7" s="1"/>
  <c r="AU443" i="7"/>
  <c r="DJ443" i="7" s="1"/>
  <c r="AY443" i="7"/>
  <c r="DN443" i="7" s="1"/>
  <c r="AT443" i="7"/>
  <c r="BC443" i="7"/>
  <c r="DR443" i="7" s="1"/>
  <c r="AX443" i="7"/>
  <c r="DM443" i="7" s="1"/>
  <c r="AG443" i="7"/>
  <c r="AF443" i="7"/>
  <c r="AI443" i="7" s="1"/>
  <c r="AH443" i="7"/>
  <c r="EM446" i="7"/>
  <c r="DG446" i="7"/>
  <c r="CL447" i="7"/>
  <c r="CM446" i="7"/>
  <c r="DH445" i="7"/>
  <c r="CC447" i="7"/>
  <c r="CX446" i="7"/>
  <c r="CG446" i="7"/>
  <c r="DB445" i="7"/>
  <c r="AO445" i="7"/>
  <c r="P444" i="7"/>
  <c r="DE445" i="7"/>
  <c r="CJ446" i="7"/>
  <c r="BE442" i="7"/>
  <c r="BF442" i="7"/>
  <c r="BD442" i="7"/>
  <c r="CH445" i="7"/>
  <c r="DC444" i="7"/>
  <c r="BN444" i="7"/>
  <c r="CA446" i="7"/>
  <c r="CV445" i="7"/>
  <c r="BJ434" i="7"/>
  <c r="BM434" i="7" s="1"/>
  <c r="B434" i="7" s="1"/>
  <c r="C434" i="7"/>
  <c r="F434" i="7" s="1"/>
  <c r="AJ435" i="7"/>
  <c r="AM444" i="7"/>
  <c r="CE445" i="7"/>
  <c r="CZ444" i="7"/>
  <c r="BL434" i="7"/>
  <c r="E434" i="7"/>
  <c r="AL435" i="7"/>
  <c r="BU447" i="7"/>
  <c r="CP446" i="7"/>
  <c r="CT446" i="7"/>
  <c r="BY447" i="7"/>
  <c r="CK447" i="7"/>
  <c r="DF446" i="7"/>
  <c r="DI443" i="7"/>
  <c r="DA444" i="7"/>
  <c r="AN444" i="7"/>
  <c r="CF445" i="7"/>
  <c r="EC444" i="7"/>
  <c r="DX444" i="7"/>
  <c r="EF444" i="7"/>
  <c r="DW444" i="7"/>
  <c r="BS445" i="7"/>
  <c r="EB444" i="7"/>
  <c r="DV444" i="7"/>
  <c r="EA444" i="7"/>
  <c r="CN444" i="7"/>
  <c r="DZ444" i="7"/>
  <c r="M444" i="7"/>
  <c r="AR443" i="7"/>
  <c r="BI443" i="7" s="1"/>
  <c r="AQ443" i="7"/>
  <c r="BH443" i="7" s="1"/>
  <c r="AP443" i="7"/>
  <c r="CB446" i="7"/>
  <c r="CW445" i="7"/>
  <c r="D434" i="7"/>
  <c r="BK434" i="7"/>
  <c r="AK435" i="7"/>
  <c r="BV446" i="7"/>
  <c r="CQ445" i="7"/>
  <c r="EN445" i="7"/>
  <c r="CU445" i="7"/>
  <c r="BZ446" i="7"/>
  <c r="BW446" i="7"/>
  <c r="CR445" i="7"/>
  <c r="BG443" i="7"/>
  <c r="N444" i="7"/>
  <c r="CO445" i="7"/>
  <c r="EO445" i="7"/>
  <c r="BT446" i="7"/>
  <c r="BO442" i="7"/>
  <c r="BQ442" i="7" s="1"/>
  <c r="CD446" i="7"/>
  <c r="CY445" i="7"/>
  <c r="CI446" i="7"/>
  <c r="DD445" i="7"/>
  <c r="DS445" i="7"/>
  <c r="BX446" i="7"/>
  <c r="CS445" i="7"/>
  <c r="BP443" i="7" l="1"/>
  <c r="BX447" i="7"/>
  <c r="CS446" i="7"/>
  <c r="DD446" i="7"/>
  <c r="DS446" i="7"/>
  <c r="CI447" i="7"/>
  <c r="BT447" i="7"/>
  <c r="CO446" i="7"/>
  <c r="EO446" i="7"/>
  <c r="BK435" i="7"/>
  <c r="D435" i="7"/>
  <c r="AK436" i="7"/>
  <c r="CB447" i="7"/>
  <c r="CW446" i="7"/>
  <c r="BC444" i="7"/>
  <c r="DR444" i="7" s="1"/>
  <c r="AY444" i="7"/>
  <c r="DN444" i="7" s="1"/>
  <c r="AU444" i="7"/>
  <c r="DJ444" i="7" s="1"/>
  <c r="AZ444" i="7"/>
  <c r="DO444" i="7" s="1"/>
  <c r="AT444" i="7"/>
  <c r="AX444" i="7"/>
  <c r="DM444" i="7" s="1"/>
  <c r="BB444" i="7"/>
  <c r="DQ444" i="7" s="1"/>
  <c r="AW444" i="7"/>
  <c r="DL444" i="7" s="1"/>
  <c r="BA444" i="7"/>
  <c r="DP444" i="7" s="1"/>
  <c r="AV444" i="7"/>
  <c r="DK444" i="7" s="1"/>
  <c r="AG444" i="7"/>
  <c r="AF444" i="7"/>
  <c r="AI444" i="7" s="1"/>
  <c r="AH444" i="7"/>
  <c r="CK448" i="7"/>
  <c r="DF447" i="7"/>
  <c r="BU448" i="7"/>
  <c r="CP447" i="7"/>
  <c r="C435" i="7"/>
  <c r="F435" i="7" s="1"/>
  <c r="BJ435" i="7"/>
  <c r="BM435" i="7" s="1"/>
  <c r="B435" i="7" s="1"/>
  <c r="AJ436" i="7"/>
  <c r="CA447" i="7"/>
  <c r="CV446" i="7"/>
  <c r="BY448" i="7"/>
  <c r="CT447" i="7"/>
  <c r="N445" i="7"/>
  <c r="AO446" i="7"/>
  <c r="CG447" i="7"/>
  <c r="DB446" i="7"/>
  <c r="CM447" i="7"/>
  <c r="DH446" i="7"/>
  <c r="P445" i="7"/>
  <c r="CY446" i="7"/>
  <c r="CD447" i="7"/>
  <c r="BW447" i="7"/>
  <c r="CR446" i="7"/>
  <c r="BO443" i="7"/>
  <c r="BQ443" i="7" s="1"/>
  <c r="EB445" i="7"/>
  <c r="DW445" i="7"/>
  <c r="BS446" i="7"/>
  <c r="EC445" i="7"/>
  <c r="DV445" i="7"/>
  <c r="EA445" i="7"/>
  <c r="CN445" i="7"/>
  <c r="DZ445" i="7"/>
  <c r="EF445" i="7"/>
  <c r="DX445" i="7"/>
  <c r="M445" i="7"/>
  <c r="DI444" i="7"/>
  <c r="BL435" i="7"/>
  <c r="E435" i="7"/>
  <c r="AL436" i="7"/>
  <c r="CZ445" i="7"/>
  <c r="AM445" i="7"/>
  <c r="CE446" i="7"/>
  <c r="EM447" i="7"/>
  <c r="DG447" i="7"/>
  <c r="CL448" i="7"/>
  <c r="BD443" i="7"/>
  <c r="BF443" i="7"/>
  <c r="BE443" i="7"/>
  <c r="H442" i="7"/>
  <c r="G442" i="7"/>
  <c r="AQ444" i="7"/>
  <c r="BH444" i="7" s="1"/>
  <c r="AR444" i="7"/>
  <c r="BI444" i="7" s="1"/>
  <c r="AP444" i="7"/>
  <c r="BG444" i="7" s="1"/>
  <c r="EN446" i="7"/>
  <c r="BZ447" i="7"/>
  <c r="CU446" i="7"/>
  <c r="BV447" i="7"/>
  <c r="CQ446" i="7"/>
  <c r="AN445" i="7"/>
  <c r="CF446" i="7"/>
  <c r="DA445" i="7"/>
  <c r="BN445" i="7"/>
  <c r="CH446" i="7"/>
  <c r="DC445" i="7"/>
  <c r="CJ447" i="7"/>
  <c r="DE446" i="7"/>
  <c r="CX447" i="7"/>
  <c r="CC448" i="7"/>
  <c r="BP444" i="7" l="1"/>
  <c r="CH447" i="7"/>
  <c r="BN446" i="7"/>
  <c r="DC446" i="7"/>
  <c r="CF447" i="7"/>
  <c r="DA446" i="7"/>
  <c r="AN446" i="7"/>
  <c r="BZ448" i="7"/>
  <c r="CU447" i="7"/>
  <c r="EN447" i="7"/>
  <c r="AM446" i="7"/>
  <c r="CE447" i="7"/>
  <c r="CZ446" i="7"/>
  <c r="BW448" i="7"/>
  <c r="CR447" i="7"/>
  <c r="N446" i="7"/>
  <c r="DB447" i="7"/>
  <c r="AO447" i="7"/>
  <c r="CG448" i="7"/>
  <c r="BJ436" i="7"/>
  <c r="BM436" i="7" s="1"/>
  <c r="B436" i="7" s="1"/>
  <c r="C436" i="7"/>
  <c r="F436" i="7" s="1"/>
  <c r="AJ437" i="7"/>
  <c r="BU449" i="7"/>
  <c r="CP448" i="7"/>
  <c r="BE444" i="7"/>
  <c r="BD444" i="7"/>
  <c r="BF444" i="7"/>
  <c r="BT448" i="7"/>
  <c r="EO447" i="7"/>
  <c r="CO447" i="7"/>
  <c r="CC449" i="7"/>
  <c r="CX448" i="7"/>
  <c r="CJ448" i="7"/>
  <c r="DE447" i="7"/>
  <c r="DG448" i="7"/>
  <c r="EM448" i="7"/>
  <c r="CL449" i="7"/>
  <c r="BG445" i="7"/>
  <c r="CD448" i="7"/>
  <c r="CY447" i="7"/>
  <c r="BY449" i="7"/>
  <c r="CT448" i="7"/>
  <c r="CI448" i="7"/>
  <c r="DD447" i="7"/>
  <c r="DS447" i="7"/>
  <c r="CS447" i="7"/>
  <c r="BX448" i="7"/>
  <c r="CQ447" i="7"/>
  <c r="BV448" i="7"/>
  <c r="G443" i="7"/>
  <c r="H443" i="7"/>
  <c r="CM448" i="7"/>
  <c r="DH447" i="7"/>
  <c r="AP445" i="7"/>
  <c r="AR445" i="7"/>
  <c r="BI445" i="7" s="1"/>
  <c r="AQ445" i="7"/>
  <c r="BH445" i="7" s="1"/>
  <c r="CK449" i="7"/>
  <c r="DF448" i="7"/>
  <c r="CW447" i="7"/>
  <c r="CB448" i="7"/>
  <c r="P446" i="7"/>
  <c r="BL436" i="7"/>
  <c r="E436" i="7"/>
  <c r="AL437" i="7"/>
  <c r="BB445" i="7"/>
  <c r="DQ445" i="7" s="1"/>
  <c r="AX445" i="7"/>
  <c r="DM445" i="7" s="1"/>
  <c r="AT445" i="7"/>
  <c r="AY445" i="7"/>
  <c r="DN445" i="7" s="1"/>
  <c r="BC445" i="7"/>
  <c r="DR445" i="7" s="1"/>
  <c r="AW445" i="7"/>
  <c r="DL445" i="7" s="1"/>
  <c r="BA445" i="7"/>
  <c r="DP445" i="7" s="1"/>
  <c r="AV445" i="7"/>
  <c r="DK445" i="7" s="1"/>
  <c r="AZ445" i="7"/>
  <c r="DO445" i="7" s="1"/>
  <c r="AU445" i="7"/>
  <c r="DJ445" i="7" s="1"/>
  <c r="AH445" i="7"/>
  <c r="AF445" i="7"/>
  <c r="AI445" i="7" s="1"/>
  <c r="AG445" i="7"/>
  <c r="BO444" i="7"/>
  <c r="BQ444" i="7" s="1"/>
  <c r="EA446" i="7"/>
  <c r="DV446" i="7"/>
  <c r="EB446" i="7"/>
  <c r="CN446" i="7"/>
  <c r="BO445" i="7" s="1"/>
  <c r="DZ446" i="7"/>
  <c r="EF446" i="7"/>
  <c r="DX446" i="7"/>
  <c r="BS447" i="7"/>
  <c r="EC446" i="7"/>
  <c r="DW446" i="7"/>
  <c r="M446" i="7"/>
  <c r="CA448" i="7"/>
  <c r="CV447" i="7"/>
  <c r="BK436" i="7"/>
  <c r="D436" i="7"/>
  <c r="AK437" i="7"/>
  <c r="CB449" i="7" l="1"/>
  <c r="CW448" i="7"/>
  <c r="DG449" i="7"/>
  <c r="EM449" i="7"/>
  <c r="CL450" i="7"/>
  <c r="CJ449" i="7"/>
  <c r="DE448" i="7"/>
  <c r="BK437" i="7"/>
  <c r="D437" i="7"/>
  <c r="AK438" i="7"/>
  <c r="CA449" i="7"/>
  <c r="CV448" i="7"/>
  <c r="BS448" i="7"/>
  <c r="EF447" i="7"/>
  <c r="DZ447" i="7"/>
  <c r="CN447" i="7"/>
  <c r="DX447" i="7"/>
  <c r="EC447" i="7"/>
  <c r="DW447" i="7"/>
  <c r="EB447" i="7"/>
  <c r="DV447" i="7"/>
  <c r="EA447" i="7"/>
  <c r="M447" i="7"/>
  <c r="H444" i="7"/>
  <c r="G444" i="7"/>
  <c r="BX449" i="7"/>
  <c r="CS448" i="7"/>
  <c r="DS448" i="7"/>
  <c r="CI449" i="7"/>
  <c r="DD448" i="7"/>
  <c r="EO448" i="7"/>
  <c r="BT449" i="7"/>
  <c r="CO448" i="7"/>
  <c r="AR446" i="7"/>
  <c r="BI446" i="7" s="1"/>
  <c r="AQ446" i="7"/>
  <c r="BH446" i="7" s="1"/>
  <c r="AP446" i="7"/>
  <c r="CE448" i="7"/>
  <c r="CZ447" i="7"/>
  <c r="AM447" i="7"/>
  <c r="BZ449" i="7"/>
  <c r="CU448" i="7"/>
  <c r="EN448" i="7"/>
  <c r="DC447" i="7"/>
  <c r="CH448" i="7"/>
  <c r="BN447" i="7"/>
  <c r="BF445" i="7"/>
  <c r="BD445" i="7"/>
  <c r="BE445" i="7"/>
  <c r="BA446" i="7"/>
  <c r="DP446" i="7" s="1"/>
  <c r="AW446" i="7"/>
  <c r="DL446" i="7" s="1"/>
  <c r="BC446" i="7"/>
  <c r="DR446" i="7" s="1"/>
  <c r="AX446" i="7"/>
  <c r="DM446" i="7" s="1"/>
  <c r="BB446" i="7"/>
  <c r="DQ446" i="7" s="1"/>
  <c r="AV446" i="7"/>
  <c r="DK446" i="7" s="1"/>
  <c r="AZ446" i="7"/>
  <c r="DO446" i="7" s="1"/>
  <c r="AU446" i="7"/>
  <c r="DJ446" i="7" s="1"/>
  <c r="AY446" i="7"/>
  <c r="DN446" i="7" s="1"/>
  <c r="AT446" i="7"/>
  <c r="AG446" i="7"/>
  <c r="AH446" i="7"/>
  <c r="AF446" i="7"/>
  <c r="AI446" i="7" s="1"/>
  <c r="DI445" i="7"/>
  <c r="DI446" i="7" s="1"/>
  <c r="CD449" i="7"/>
  <c r="CY448" i="7"/>
  <c r="CC450" i="7"/>
  <c r="CX449" i="7"/>
  <c r="BU450" i="7"/>
  <c r="CP449" i="7"/>
  <c r="AO448" i="7"/>
  <c r="CG449" i="7"/>
  <c r="DB448" i="7"/>
  <c r="BG446" i="7"/>
  <c r="AN447" i="7"/>
  <c r="CF448" i="7"/>
  <c r="DA447" i="7"/>
  <c r="E437" i="7"/>
  <c r="BL437" i="7"/>
  <c r="AL438" i="7"/>
  <c r="N447" i="7"/>
  <c r="CK450" i="7"/>
  <c r="DF449" i="7"/>
  <c r="CM449" i="7"/>
  <c r="DH448" i="7"/>
  <c r="BV449" i="7"/>
  <c r="CQ448" i="7"/>
  <c r="P447" i="7"/>
  <c r="N448" i="7" s="1"/>
  <c r="BY450" i="7"/>
  <c r="CT449" i="7"/>
  <c r="BJ437" i="7"/>
  <c r="BM437" i="7" s="1"/>
  <c r="B437" i="7" s="1"/>
  <c r="C437" i="7"/>
  <c r="F437" i="7" s="1"/>
  <c r="AJ438" i="7"/>
  <c r="BW449" i="7"/>
  <c r="CR448" i="7"/>
  <c r="BP446" i="7" l="1"/>
  <c r="AR447" i="7"/>
  <c r="BI447" i="7" s="1"/>
  <c r="AQ447" i="7"/>
  <c r="AP447" i="7"/>
  <c r="BJ438" i="7"/>
  <c r="BM438" i="7" s="1"/>
  <c r="B438" i="7" s="1"/>
  <c r="C438" i="7"/>
  <c r="F438" i="7" s="1"/>
  <c r="AJ439" i="7"/>
  <c r="BY451" i="7"/>
  <c r="CT450" i="7"/>
  <c r="CQ449" i="7"/>
  <c r="BV450" i="7"/>
  <c r="DF450" i="7"/>
  <c r="CK451" i="7"/>
  <c r="CH449" i="7"/>
  <c r="DC448" i="7"/>
  <c r="BN448" i="7"/>
  <c r="EN449" i="7"/>
  <c r="BZ450" i="7"/>
  <c r="CU449" i="7"/>
  <c r="AZ447" i="7"/>
  <c r="DO447" i="7" s="1"/>
  <c r="AV447" i="7"/>
  <c r="DK447" i="7" s="1"/>
  <c r="BB447" i="7"/>
  <c r="DQ447" i="7" s="1"/>
  <c r="AW447" i="7"/>
  <c r="DL447" i="7" s="1"/>
  <c r="BA447" i="7"/>
  <c r="DP447" i="7" s="1"/>
  <c r="AU447" i="7"/>
  <c r="DJ447" i="7" s="1"/>
  <c r="AY447" i="7"/>
  <c r="DN447" i="7" s="1"/>
  <c r="AT447" i="7"/>
  <c r="BC447" i="7"/>
  <c r="DR447" i="7" s="1"/>
  <c r="AX447" i="7"/>
  <c r="DM447" i="7" s="1"/>
  <c r="AH447" i="7"/>
  <c r="AG447" i="7"/>
  <c r="AF447" i="7"/>
  <c r="AI447" i="7" s="1"/>
  <c r="CV449" i="7"/>
  <c r="CA450" i="7"/>
  <c r="EM450" i="7"/>
  <c r="DG450" i="7"/>
  <c r="CL451" i="7"/>
  <c r="CB450" i="7"/>
  <c r="CW449" i="7"/>
  <c r="CD450" i="7"/>
  <c r="CY449" i="7"/>
  <c r="BG447" i="7"/>
  <c r="BX450" i="7"/>
  <c r="CS449" i="7"/>
  <c r="D438" i="7"/>
  <c r="BK438" i="7"/>
  <c r="AK439" i="7"/>
  <c r="AQ448" i="7"/>
  <c r="AR448" i="7"/>
  <c r="AP448" i="7"/>
  <c r="CM450" i="7"/>
  <c r="DH449" i="7"/>
  <c r="BL438" i="7"/>
  <c r="E438" i="7"/>
  <c r="AL439" i="7"/>
  <c r="CF449" i="7"/>
  <c r="DA448" i="7"/>
  <c r="AN448" i="7"/>
  <c r="CG450" i="7"/>
  <c r="DB449" i="7"/>
  <c r="AO449" i="7"/>
  <c r="BE446" i="7"/>
  <c r="BF446" i="7"/>
  <c r="BD446" i="7"/>
  <c r="CI450" i="7"/>
  <c r="DD449" i="7"/>
  <c r="DS449" i="7"/>
  <c r="EC448" i="7"/>
  <c r="DX448" i="7"/>
  <c r="BS449" i="7"/>
  <c r="EF448" i="7"/>
  <c r="DW448" i="7"/>
  <c r="EB448" i="7"/>
  <c r="DV448" i="7"/>
  <c r="EA448" i="7"/>
  <c r="CN448" i="7"/>
  <c r="BO447" i="7" s="1"/>
  <c r="DZ448" i="7"/>
  <c r="M448" i="7"/>
  <c r="CP450" i="7"/>
  <c r="BU451" i="7"/>
  <c r="BW450" i="7"/>
  <c r="CR449" i="7"/>
  <c r="BH447" i="7"/>
  <c r="BI448" i="7"/>
  <c r="CC451" i="7"/>
  <c r="CX450" i="7"/>
  <c r="AM448" i="7"/>
  <c r="BG448" i="7" s="1"/>
  <c r="CE449" i="7"/>
  <c r="CZ448" i="7"/>
  <c r="BT450" i="7"/>
  <c r="CO449" i="7"/>
  <c r="EO449" i="7"/>
  <c r="P448" i="7"/>
  <c r="N449" i="7" s="1"/>
  <c r="BO446" i="7"/>
  <c r="BQ446" i="7" s="1"/>
  <c r="CJ450" i="7"/>
  <c r="DE449" i="7"/>
  <c r="BP445" i="7"/>
  <c r="BQ445" i="7" s="1"/>
  <c r="CD451" i="7" l="1"/>
  <c r="CY450" i="7"/>
  <c r="CT451" i="7"/>
  <c r="BY452" i="7"/>
  <c r="H446" i="7"/>
  <c r="G446" i="7"/>
  <c r="BU452" i="7"/>
  <c r="CP451" i="7"/>
  <c r="BT451" i="7"/>
  <c r="CO450" i="7"/>
  <c r="EO450" i="7"/>
  <c r="P449" i="7"/>
  <c r="DA449" i="7"/>
  <c r="CF450" i="7"/>
  <c r="AN449" i="7"/>
  <c r="BK439" i="7"/>
  <c r="D439" i="7"/>
  <c r="AK440" i="7"/>
  <c r="BX451" i="7"/>
  <c r="CS450" i="7"/>
  <c r="BD447" i="7"/>
  <c r="BF447" i="7"/>
  <c r="BE447" i="7"/>
  <c r="BV451" i="7"/>
  <c r="CQ450" i="7"/>
  <c r="C439" i="7"/>
  <c r="F439" i="7" s="1"/>
  <c r="BJ439" i="7"/>
  <c r="BM439" i="7" s="1"/>
  <c r="B439" i="7" s="1"/>
  <c r="AJ440" i="7"/>
  <c r="AP449" i="7"/>
  <c r="AR449" i="7"/>
  <c r="BI449" i="7" s="1"/>
  <c r="AQ449" i="7"/>
  <c r="BC448" i="7"/>
  <c r="DR448" i="7" s="1"/>
  <c r="AY448" i="7"/>
  <c r="DN448" i="7" s="1"/>
  <c r="AU448" i="7"/>
  <c r="DJ448" i="7" s="1"/>
  <c r="AZ448" i="7"/>
  <c r="DO448" i="7" s="1"/>
  <c r="AT448" i="7"/>
  <c r="AX448" i="7"/>
  <c r="DM448" i="7" s="1"/>
  <c r="BB448" i="7"/>
  <c r="DQ448" i="7" s="1"/>
  <c r="AW448" i="7"/>
  <c r="DL448" i="7" s="1"/>
  <c r="BA448" i="7"/>
  <c r="DP448" i="7" s="1"/>
  <c r="AV448" i="7"/>
  <c r="DK448" i="7" s="1"/>
  <c r="AG448" i="7"/>
  <c r="AH448" i="7"/>
  <c r="AF448" i="7"/>
  <c r="AI448" i="7" s="1"/>
  <c r="EB449" i="7"/>
  <c r="DW449" i="7"/>
  <c r="EF449" i="7"/>
  <c r="DX449" i="7"/>
  <c r="BS450" i="7"/>
  <c r="EC449" i="7"/>
  <c r="DV449" i="7"/>
  <c r="EA449" i="7"/>
  <c r="CN449" i="7"/>
  <c r="DZ449" i="7"/>
  <c r="M449" i="7"/>
  <c r="AO450" i="7"/>
  <c r="CG451" i="7"/>
  <c r="DB450" i="7"/>
  <c r="BL439" i="7"/>
  <c r="E439" i="7"/>
  <c r="AL440" i="7"/>
  <c r="CM451" i="7"/>
  <c r="DH450" i="7"/>
  <c r="CB451" i="7"/>
  <c r="CW450" i="7"/>
  <c r="CA451" i="7"/>
  <c r="CV450" i="7"/>
  <c r="CU450" i="7"/>
  <c r="EN450" i="7"/>
  <c r="BZ451" i="7"/>
  <c r="BN449" i="7"/>
  <c r="CH450" i="7"/>
  <c r="DC449" i="7"/>
  <c r="H445" i="7"/>
  <c r="G445" i="7"/>
  <c r="CJ451" i="7"/>
  <c r="DE450" i="7"/>
  <c r="CE450" i="7"/>
  <c r="CZ449" i="7"/>
  <c r="AM449" i="7"/>
  <c r="BG449" i="7" s="1"/>
  <c r="CX451" i="7"/>
  <c r="CC452" i="7"/>
  <c r="BW451" i="7"/>
  <c r="CR450" i="7"/>
  <c r="CI451" i="7"/>
  <c r="DD450" i="7"/>
  <c r="DS450" i="7"/>
  <c r="DI447" i="7"/>
  <c r="DI448" i="7" s="1"/>
  <c r="BH448" i="7"/>
  <c r="EM451" i="7"/>
  <c r="DG451" i="7"/>
  <c r="CL452" i="7"/>
  <c r="CK452" i="7"/>
  <c r="DF451" i="7"/>
  <c r="BP448" i="7" l="1"/>
  <c r="CZ450" i="7"/>
  <c r="AM450" i="7"/>
  <c r="CE451" i="7"/>
  <c r="EN451" i="7"/>
  <c r="BZ452" i="7"/>
  <c r="CU451" i="7"/>
  <c r="CA452" i="7"/>
  <c r="CV451" i="7"/>
  <c r="CM452" i="7"/>
  <c r="DH451" i="7"/>
  <c r="CC453" i="7"/>
  <c r="CX452" i="7"/>
  <c r="CK453" i="7"/>
  <c r="DF452" i="7"/>
  <c r="CI452" i="7"/>
  <c r="DD451" i="7"/>
  <c r="DS451" i="7"/>
  <c r="BL440" i="7"/>
  <c r="E440" i="7"/>
  <c r="AL441" i="7"/>
  <c r="CG452" i="7"/>
  <c r="DB451" i="7"/>
  <c r="AO451" i="7"/>
  <c r="BO448" i="7"/>
  <c r="BQ448" i="7" s="1"/>
  <c r="EA450" i="7"/>
  <c r="DV450" i="7"/>
  <c r="BS451" i="7"/>
  <c r="EC450" i="7"/>
  <c r="DW450" i="7"/>
  <c r="EB450" i="7"/>
  <c r="CN450" i="7"/>
  <c r="DZ450" i="7"/>
  <c r="EF450" i="7"/>
  <c r="DX450" i="7"/>
  <c r="M450" i="7"/>
  <c r="BJ440" i="7"/>
  <c r="BM440" i="7" s="1"/>
  <c r="B440" i="7" s="1"/>
  <c r="C440" i="7"/>
  <c r="F440" i="7" s="1"/>
  <c r="AJ441" i="7"/>
  <c r="BV452" i="7"/>
  <c r="CQ451" i="7"/>
  <c r="CO451" i="7"/>
  <c r="BT452" i="7"/>
  <c r="EO451" i="7"/>
  <c r="DG452" i="7"/>
  <c r="EM452" i="7"/>
  <c r="CL453" i="7"/>
  <c r="DE451" i="7"/>
  <c r="CJ452" i="7"/>
  <c r="CH451" i="7"/>
  <c r="BN450" i="7"/>
  <c r="DC450" i="7"/>
  <c r="CB452" i="7"/>
  <c r="CW451" i="7"/>
  <c r="BE448" i="7"/>
  <c r="BD448" i="7"/>
  <c r="BF448" i="7"/>
  <c r="CS451" i="7"/>
  <c r="BX452" i="7"/>
  <c r="BH449" i="7"/>
  <c r="N450" i="7"/>
  <c r="BY453" i="7"/>
  <c r="CT452" i="7"/>
  <c r="CY451" i="7"/>
  <c r="CD452" i="7"/>
  <c r="P450" i="7"/>
  <c r="N451" i="7" s="1"/>
  <c r="BW452" i="7"/>
  <c r="CR451" i="7"/>
  <c r="BB449" i="7"/>
  <c r="DQ449" i="7" s="1"/>
  <c r="AX449" i="7"/>
  <c r="DM449" i="7" s="1"/>
  <c r="AT449" i="7"/>
  <c r="DI449" i="7" s="1"/>
  <c r="AZ449" i="7"/>
  <c r="DO449" i="7" s="1"/>
  <c r="AU449" i="7"/>
  <c r="DJ449" i="7" s="1"/>
  <c r="BA449" i="7"/>
  <c r="DP449" i="7" s="1"/>
  <c r="AY449" i="7"/>
  <c r="DN449" i="7" s="1"/>
  <c r="AW449" i="7"/>
  <c r="DL449" i="7" s="1"/>
  <c r="BC449" i="7"/>
  <c r="DR449" i="7" s="1"/>
  <c r="AV449" i="7"/>
  <c r="DK449" i="7" s="1"/>
  <c r="AH449" i="7"/>
  <c r="AG449" i="7"/>
  <c r="AF449" i="7"/>
  <c r="AI449" i="7" s="1"/>
  <c r="BK440" i="7"/>
  <c r="D440" i="7"/>
  <c r="AK441" i="7"/>
  <c r="CF451" i="7"/>
  <c r="DA450" i="7"/>
  <c r="AN450" i="7"/>
  <c r="BU453" i="7"/>
  <c r="CP452" i="7"/>
  <c r="BP447" i="7"/>
  <c r="BQ447" i="7" s="1"/>
  <c r="BP449" i="7" l="1"/>
  <c r="CR452" i="7"/>
  <c r="BW453" i="7"/>
  <c r="CW452" i="7"/>
  <c r="CB453" i="7"/>
  <c r="CJ453" i="7"/>
  <c r="DE452" i="7"/>
  <c r="DB452" i="7"/>
  <c r="AO452" i="7"/>
  <c r="CG453" i="7"/>
  <c r="P451" i="7"/>
  <c r="CK454" i="7"/>
  <c r="DF453" i="7"/>
  <c r="DH452" i="7"/>
  <c r="CM453" i="7"/>
  <c r="BZ453" i="7"/>
  <c r="CU452" i="7"/>
  <c r="EN452" i="7"/>
  <c r="BX453" i="7"/>
  <c r="CS452" i="7"/>
  <c r="H448" i="7"/>
  <c r="G448" i="7"/>
  <c r="E441" i="7"/>
  <c r="BL441" i="7"/>
  <c r="AL442" i="7"/>
  <c r="G447" i="7"/>
  <c r="H447" i="7"/>
  <c r="AN451" i="7"/>
  <c r="CF452" i="7"/>
  <c r="DA451" i="7"/>
  <c r="BU454" i="7"/>
  <c r="CP453" i="7"/>
  <c r="BK441" i="7"/>
  <c r="D441" i="7"/>
  <c r="AK442" i="7"/>
  <c r="AR451" i="7"/>
  <c r="AQ451" i="7"/>
  <c r="AP451" i="7"/>
  <c r="BY454" i="7"/>
  <c r="CT453" i="7"/>
  <c r="BV453" i="7"/>
  <c r="CQ452" i="7"/>
  <c r="BA450" i="7"/>
  <c r="DP450" i="7" s="1"/>
  <c r="AW450" i="7"/>
  <c r="DL450" i="7" s="1"/>
  <c r="AY450" i="7"/>
  <c r="DN450" i="7" s="1"/>
  <c r="AT450" i="7"/>
  <c r="DI450" i="7" s="1"/>
  <c r="BC450" i="7"/>
  <c r="DR450" i="7" s="1"/>
  <c r="AX450" i="7"/>
  <c r="DM450" i="7" s="1"/>
  <c r="BB450" i="7"/>
  <c r="DQ450" i="7" s="1"/>
  <c r="AV450" i="7"/>
  <c r="DK450" i="7" s="1"/>
  <c r="AU450" i="7"/>
  <c r="DJ450" i="7" s="1"/>
  <c r="AZ450" i="7"/>
  <c r="DO450" i="7" s="1"/>
  <c r="AG450" i="7"/>
  <c r="AF450" i="7"/>
  <c r="AI450" i="7" s="1"/>
  <c r="AH450" i="7"/>
  <c r="BO449" i="7"/>
  <c r="BQ449" i="7" s="1"/>
  <c r="BS452" i="7"/>
  <c r="EF451" i="7"/>
  <c r="DZ451" i="7"/>
  <c r="CN451" i="7"/>
  <c r="EA451" i="7"/>
  <c r="DX451" i="7"/>
  <c r="EC451" i="7"/>
  <c r="DW451" i="7"/>
  <c r="EB451" i="7"/>
  <c r="DV451" i="7"/>
  <c r="M451" i="7"/>
  <c r="BI451" i="7"/>
  <c r="DS452" i="7"/>
  <c r="CI453" i="7"/>
  <c r="DD452" i="7"/>
  <c r="CC454" i="7"/>
  <c r="CX453" i="7"/>
  <c r="CA453" i="7"/>
  <c r="CV452" i="7"/>
  <c r="CE452" i="7"/>
  <c r="CZ451" i="7"/>
  <c r="AM451" i="7"/>
  <c r="BG451" i="7" s="1"/>
  <c r="BF449" i="7"/>
  <c r="BE449" i="7"/>
  <c r="BD449" i="7"/>
  <c r="CD453" i="7"/>
  <c r="CY452" i="7"/>
  <c r="AR450" i="7"/>
  <c r="BI450" i="7" s="1"/>
  <c r="AQ450" i="7"/>
  <c r="BH450" i="7" s="1"/>
  <c r="AP450" i="7"/>
  <c r="BN451" i="7"/>
  <c r="DC451" i="7"/>
  <c r="CH452" i="7"/>
  <c r="DG453" i="7"/>
  <c r="EM453" i="7"/>
  <c r="CL454" i="7"/>
  <c r="EO452" i="7"/>
  <c r="BT453" i="7"/>
  <c r="CO452" i="7"/>
  <c r="BJ441" i="7"/>
  <c r="BM441" i="7" s="1"/>
  <c r="B441" i="7" s="1"/>
  <c r="C441" i="7"/>
  <c r="F441" i="7" s="1"/>
  <c r="AJ442" i="7"/>
  <c r="BG450" i="7"/>
  <c r="BP450" i="7" l="1"/>
  <c r="CH453" i="7"/>
  <c r="DC452" i="7"/>
  <c r="BN452" i="7"/>
  <c r="P452" i="7"/>
  <c r="EC452" i="7"/>
  <c r="DX452" i="7"/>
  <c r="DZ452" i="7"/>
  <c r="EF452" i="7"/>
  <c r="DW452" i="7"/>
  <c r="BS453" i="7"/>
  <c r="EB452" i="7"/>
  <c r="DV452" i="7"/>
  <c r="EA452" i="7"/>
  <c r="CN452" i="7"/>
  <c r="M452" i="7"/>
  <c r="CQ453" i="7"/>
  <c r="BV454" i="7"/>
  <c r="CF453" i="7"/>
  <c r="DA452" i="7"/>
  <c r="AN452" i="7"/>
  <c r="BL442" i="7"/>
  <c r="E442" i="7"/>
  <c r="AL443" i="7"/>
  <c r="CG454" i="7"/>
  <c r="DB453" i="7"/>
  <c r="AO453" i="7"/>
  <c r="CJ454" i="7"/>
  <c r="DE453" i="7"/>
  <c r="EM454" i="7"/>
  <c r="DG454" i="7"/>
  <c r="CL455" i="7"/>
  <c r="AM452" i="7"/>
  <c r="CE453" i="7"/>
  <c r="CZ452" i="7"/>
  <c r="CC455" i="7"/>
  <c r="CX454" i="7"/>
  <c r="BO450" i="7"/>
  <c r="BQ450" i="7" s="1"/>
  <c r="H449" i="7"/>
  <c r="G449" i="7"/>
  <c r="BH451" i="7"/>
  <c r="EN453" i="7"/>
  <c r="BZ454" i="7"/>
  <c r="CU453" i="7"/>
  <c r="DF454" i="7"/>
  <c r="CK455" i="7"/>
  <c r="CB454" i="7"/>
  <c r="CW453" i="7"/>
  <c r="CD454" i="7"/>
  <c r="CY453" i="7"/>
  <c r="AZ451" i="7"/>
  <c r="DO451" i="7" s="1"/>
  <c r="AV451" i="7"/>
  <c r="DK451" i="7" s="1"/>
  <c r="BC451" i="7"/>
  <c r="DR451" i="7" s="1"/>
  <c r="AX451" i="7"/>
  <c r="DM451" i="7" s="1"/>
  <c r="BB451" i="7"/>
  <c r="DQ451" i="7" s="1"/>
  <c r="AW451" i="7"/>
  <c r="DL451" i="7" s="1"/>
  <c r="BA451" i="7"/>
  <c r="DP451" i="7" s="1"/>
  <c r="AU451" i="7"/>
  <c r="DJ451" i="7" s="1"/>
  <c r="AY451" i="7"/>
  <c r="DN451" i="7" s="1"/>
  <c r="AT451" i="7"/>
  <c r="AF451" i="7"/>
  <c r="AI451" i="7" s="1"/>
  <c r="AG451" i="7"/>
  <c r="AH451" i="7"/>
  <c r="D442" i="7"/>
  <c r="BK442" i="7"/>
  <c r="AK443" i="7"/>
  <c r="CP454" i="7"/>
  <c r="BU455" i="7"/>
  <c r="BX454" i="7"/>
  <c r="CS453" i="7"/>
  <c r="CM454" i="7"/>
  <c r="DH453" i="7"/>
  <c r="BJ442" i="7"/>
  <c r="BM442" i="7" s="1"/>
  <c r="B442" i="7" s="1"/>
  <c r="C442" i="7"/>
  <c r="F442" i="7" s="1"/>
  <c r="AJ443" i="7"/>
  <c r="BT454" i="7"/>
  <c r="CO453" i="7"/>
  <c r="EO453" i="7"/>
  <c r="CV453" i="7"/>
  <c r="CA454" i="7"/>
  <c r="CI454" i="7"/>
  <c r="DD453" i="7"/>
  <c r="DS453" i="7"/>
  <c r="BE450" i="7"/>
  <c r="BD450" i="7"/>
  <c r="BF450" i="7"/>
  <c r="BY455" i="7"/>
  <c r="CT454" i="7"/>
  <c r="N452" i="7"/>
  <c r="BW454" i="7"/>
  <c r="CR453" i="7"/>
  <c r="BU456" i="7" l="1"/>
  <c r="CP455" i="7"/>
  <c r="BD451" i="7"/>
  <c r="BF451" i="7"/>
  <c r="BE451" i="7"/>
  <c r="CK456" i="7"/>
  <c r="DF455" i="7"/>
  <c r="H450" i="7"/>
  <c r="G450" i="7"/>
  <c r="CE454" i="7"/>
  <c r="CZ453" i="7"/>
  <c r="AM453" i="7"/>
  <c r="BV455" i="7"/>
  <c r="CQ454" i="7"/>
  <c r="CA455" i="7"/>
  <c r="CV454" i="7"/>
  <c r="P453" i="7"/>
  <c r="C443" i="7"/>
  <c r="F443" i="7" s="1"/>
  <c r="BJ443" i="7"/>
  <c r="BM443" i="7" s="1"/>
  <c r="B443" i="7" s="1"/>
  <c r="AJ444" i="7"/>
  <c r="CM455" i="7"/>
  <c r="DH454" i="7"/>
  <c r="AO454" i="7"/>
  <c r="CG455" i="7"/>
  <c r="DB454" i="7"/>
  <c r="N453" i="7"/>
  <c r="BN453" i="7"/>
  <c r="CH454" i="7"/>
  <c r="DC453" i="7"/>
  <c r="DI451" i="7"/>
  <c r="BP451" i="7" s="1"/>
  <c r="BK443" i="7"/>
  <c r="D443" i="7"/>
  <c r="AK444" i="7"/>
  <c r="CB455" i="7"/>
  <c r="CW454" i="7"/>
  <c r="CX455" i="7"/>
  <c r="CC456" i="7"/>
  <c r="EM455" i="7"/>
  <c r="DG455" i="7"/>
  <c r="CL456" i="7"/>
  <c r="CJ455" i="7"/>
  <c r="DE454" i="7"/>
  <c r="BL443" i="7"/>
  <c r="E443" i="7"/>
  <c r="AL444" i="7"/>
  <c r="BC452" i="7"/>
  <c r="DR452" i="7" s="1"/>
  <c r="AY452" i="7"/>
  <c r="DN452" i="7" s="1"/>
  <c r="AU452" i="7"/>
  <c r="DJ452" i="7" s="1"/>
  <c r="BA452" i="7"/>
  <c r="DP452" i="7" s="1"/>
  <c r="AV452" i="7"/>
  <c r="DK452" i="7" s="1"/>
  <c r="AZ452" i="7"/>
  <c r="DO452" i="7" s="1"/>
  <c r="AT452" i="7"/>
  <c r="AX452" i="7"/>
  <c r="DM452" i="7" s="1"/>
  <c r="BB452" i="7"/>
  <c r="DQ452" i="7" s="1"/>
  <c r="AW452" i="7"/>
  <c r="DL452" i="7" s="1"/>
  <c r="AH452" i="7"/>
  <c r="AG452" i="7"/>
  <c r="AF452" i="7"/>
  <c r="AI452" i="7" s="1"/>
  <c r="BT455" i="7"/>
  <c r="CO454" i="7"/>
  <c r="EO454" i="7"/>
  <c r="CT455" i="7"/>
  <c r="BY456" i="7"/>
  <c r="BW455" i="7"/>
  <c r="CR454" i="7"/>
  <c r="AQ452" i="7"/>
  <c r="BH452" i="7" s="1"/>
  <c r="AP452" i="7"/>
  <c r="BG452" i="7" s="1"/>
  <c r="AR452" i="7"/>
  <c r="BI452" i="7" s="1"/>
  <c r="CI455" i="7"/>
  <c r="DD454" i="7"/>
  <c r="DS454" i="7"/>
  <c r="BX455" i="7"/>
  <c r="CS454" i="7"/>
  <c r="CD455" i="7"/>
  <c r="CY454" i="7"/>
  <c r="CU454" i="7"/>
  <c r="EN454" i="7"/>
  <c r="BZ455" i="7"/>
  <c r="DA453" i="7"/>
  <c r="AN453" i="7"/>
  <c r="CF454" i="7"/>
  <c r="BO451" i="7"/>
  <c r="EB453" i="7"/>
  <c r="DW453" i="7"/>
  <c r="EF453" i="7"/>
  <c r="DX453" i="7"/>
  <c r="BS454" i="7"/>
  <c r="EC453" i="7"/>
  <c r="DV453" i="7"/>
  <c r="EA453" i="7"/>
  <c r="CN453" i="7"/>
  <c r="BO452" i="7" s="1"/>
  <c r="DZ453" i="7"/>
  <c r="M453" i="7"/>
  <c r="CS455" i="7" l="1"/>
  <c r="BX456" i="7"/>
  <c r="BY457" i="7"/>
  <c r="CT456" i="7"/>
  <c r="CO455" i="7"/>
  <c r="BT456" i="7"/>
  <c r="EO455" i="7"/>
  <c r="CG456" i="7"/>
  <c r="DB455" i="7"/>
  <c r="AO455" i="7"/>
  <c r="CM456" i="7"/>
  <c r="DH455" i="7"/>
  <c r="CZ454" i="7"/>
  <c r="AM454" i="7"/>
  <c r="CE455" i="7"/>
  <c r="CK457" i="7"/>
  <c r="DF456" i="7"/>
  <c r="EA454" i="7"/>
  <c r="DV454" i="7"/>
  <c r="BS455" i="7"/>
  <c r="EC454" i="7"/>
  <c r="DW454" i="7"/>
  <c r="EB454" i="7"/>
  <c r="CN454" i="7"/>
  <c r="DZ454" i="7"/>
  <c r="EF454" i="7"/>
  <c r="DX454" i="7"/>
  <c r="M454" i="7"/>
  <c r="BQ451" i="7"/>
  <c r="P454" i="7"/>
  <c r="CB456" i="7"/>
  <c r="CW455" i="7"/>
  <c r="DI452" i="7"/>
  <c r="AP453" i="7"/>
  <c r="AR453" i="7"/>
  <c r="BI453" i="7" s="1"/>
  <c r="AQ453" i="7"/>
  <c r="BJ444" i="7"/>
  <c r="BM444" i="7" s="1"/>
  <c r="B444" i="7" s="1"/>
  <c r="C444" i="7"/>
  <c r="F444" i="7" s="1"/>
  <c r="AJ445" i="7"/>
  <c r="N454" i="7"/>
  <c r="BV456" i="7"/>
  <c r="CQ455" i="7"/>
  <c r="BU457" i="7"/>
  <c r="CP456" i="7"/>
  <c r="BB453" i="7"/>
  <c r="DQ453" i="7" s="1"/>
  <c r="AX453" i="7"/>
  <c r="DM453" i="7" s="1"/>
  <c r="AT453" i="7"/>
  <c r="AZ453" i="7"/>
  <c r="DO453" i="7" s="1"/>
  <c r="AU453" i="7"/>
  <c r="DJ453" i="7" s="1"/>
  <c r="AY453" i="7"/>
  <c r="DN453" i="7" s="1"/>
  <c r="BC453" i="7"/>
  <c r="DR453" i="7" s="1"/>
  <c r="AW453" i="7"/>
  <c r="DL453" i="7" s="1"/>
  <c r="BA453" i="7"/>
  <c r="DP453" i="7" s="1"/>
  <c r="AV453" i="7"/>
  <c r="DK453" i="7" s="1"/>
  <c r="AH453" i="7"/>
  <c r="AG453" i="7"/>
  <c r="AF453" i="7"/>
  <c r="AI453" i="7" s="1"/>
  <c r="CF455" i="7"/>
  <c r="DA454" i="7"/>
  <c r="AN454" i="7"/>
  <c r="EN455" i="7"/>
  <c r="BZ456" i="7"/>
  <c r="CU455" i="7"/>
  <c r="CY455" i="7"/>
  <c r="CD456" i="7"/>
  <c r="BL444" i="7"/>
  <c r="E444" i="7"/>
  <c r="AL445" i="7"/>
  <c r="DE455" i="7"/>
  <c r="CJ456" i="7"/>
  <c r="CC457" i="7"/>
  <c r="CX456" i="7"/>
  <c r="BK444" i="7"/>
  <c r="D444" i="7"/>
  <c r="AK445" i="7"/>
  <c r="BG453" i="7"/>
  <c r="BH453" i="7"/>
  <c r="CI456" i="7"/>
  <c r="DD455" i="7"/>
  <c r="DS455" i="7"/>
  <c r="BW456" i="7"/>
  <c r="CR455" i="7"/>
  <c r="BF452" i="7"/>
  <c r="BE452" i="7"/>
  <c r="BD452" i="7"/>
  <c r="DG456" i="7"/>
  <c r="EM456" i="7"/>
  <c r="CL457" i="7"/>
  <c r="CH455" i="7"/>
  <c r="BN454" i="7"/>
  <c r="DC454" i="7"/>
  <c r="CA456" i="7"/>
  <c r="CV455" i="7"/>
  <c r="BF453" i="7" l="1"/>
  <c r="BE453" i="7"/>
  <c r="BD453" i="7"/>
  <c r="BU458" i="7"/>
  <c r="CP457" i="7"/>
  <c r="BJ445" i="7"/>
  <c r="BM445" i="7" s="1"/>
  <c r="B445" i="7" s="1"/>
  <c r="C445" i="7"/>
  <c r="F445" i="7" s="1"/>
  <c r="AJ446" i="7"/>
  <c r="CW456" i="7"/>
  <c r="CB457" i="7"/>
  <c r="BA454" i="7"/>
  <c r="DP454" i="7" s="1"/>
  <c r="AW454" i="7"/>
  <c r="DL454" i="7" s="1"/>
  <c r="AY454" i="7"/>
  <c r="DN454" i="7" s="1"/>
  <c r="AT454" i="7"/>
  <c r="BC454" i="7"/>
  <c r="DR454" i="7" s="1"/>
  <c r="AX454" i="7"/>
  <c r="DM454" i="7" s="1"/>
  <c r="BB454" i="7"/>
  <c r="DQ454" i="7" s="1"/>
  <c r="AV454" i="7"/>
  <c r="DK454" i="7" s="1"/>
  <c r="AZ454" i="7"/>
  <c r="DO454" i="7" s="1"/>
  <c r="AU454" i="7"/>
  <c r="DJ454" i="7" s="1"/>
  <c r="AG454" i="7"/>
  <c r="AF454" i="7"/>
  <c r="AI454" i="7" s="1"/>
  <c r="AH454" i="7"/>
  <c r="BO453" i="7"/>
  <c r="BS456" i="7"/>
  <c r="EF455" i="7"/>
  <c r="DZ455" i="7"/>
  <c r="CN455" i="7"/>
  <c r="EA455" i="7"/>
  <c r="DX455" i="7"/>
  <c r="EC455" i="7"/>
  <c r="DW455" i="7"/>
  <c r="EB455" i="7"/>
  <c r="DV455" i="7"/>
  <c r="M455" i="7"/>
  <c r="CK458" i="7"/>
  <c r="DF457" i="7"/>
  <c r="DB456" i="7"/>
  <c r="AO456" i="7"/>
  <c r="CG457" i="7"/>
  <c r="DG457" i="7"/>
  <c r="EM457" i="7"/>
  <c r="CL458" i="7"/>
  <c r="BK445" i="7"/>
  <c r="D445" i="7"/>
  <c r="AK446" i="7"/>
  <c r="CC458" i="7"/>
  <c r="CX457" i="7"/>
  <c r="DS456" i="7"/>
  <c r="CI457" i="7"/>
  <c r="DD456" i="7"/>
  <c r="CJ457" i="7"/>
  <c r="DE456" i="7"/>
  <c r="BZ457" i="7"/>
  <c r="CU456" i="7"/>
  <c r="EN456" i="7"/>
  <c r="AN455" i="7"/>
  <c r="CF456" i="7"/>
  <c r="DA455" i="7"/>
  <c r="CE456" i="7"/>
  <c r="CZ455" i="7"/>
  <c r="AM455" i="7"/>
  <c r="DH456" i="7"/>
  <c r="CM457" i="7"/>
  <c r="BN455" i="7"/>
  <c r="DC455" i="7"/>
  <c r="CH456" i="7"/>
  <c r="CR456" i="7"/>
  <c r="BW457" i="7"/>
  <c r="CD457" i="7"/>
  <c r="CY456" i="7"/>
  <c r="BV457" i="7"/>
  <c r="CQ456" i="7"/>
  <c r="DI453" i="7"/>
  <c r="DI454" i="7" s="1"/>
  <c r="N455" i="7"/>
  <c r="BY458" i="7"/>
  <c r="CT457" i="7"/>
  <c r="CA457" i="7"/>
  <c r="CV456" i="7"/>
  <c r="P455" i="7"/>
  <c r="N456" i="7" s="1"/>
  <c r="E445" i="7"/>
  <c r="BL445" i="7"/>
  <c r="AL446" i="7"/>
  <c r="AR454" i="7"/>
  <c r="BI454" i="7" s="1"/>
  <c r="AQ454" i="7"/>
  <c r="BH454" i="7" s="1"/>
  <c r="AP454" i="7"/>
  <c r="BG454" i="7" s="1"/>
  <c r="G451" i="7"/>
  <c r="H451" i="7"/>
  <c r="EO456" i="7"/>
  <c r="BT457" i="7"/>
  <c r="CO456" i="7"/>
  <c r="BX457" i="7"/>
  <c r="CS456" i="7"/>
  <c r="BP452" i="7"/>
  <c r="BQ452" i="7" s="1"/>
  <c r="BP454" i="7" l="1"/>
  <c r="H452" i="7"/>
  <c r="G452" i="7"/>
  <c r="P456" i="7"/>
  <c r="D446" i="7"/>
  <c r="BK446" i="7"/>
  <c r="AK447" i="7"/>
  <c r="BE454" i="7"/>
  <c r="BD454" i="7"/>
  <c r="BF454" i="7"/>
  <c r="CB458" i="7"/>
  <c r="CW457" i="7"/>
  <c r="BP453" i="7"/>
  <c r="AQ456" i="7"/>
  <c r="AP456" i="7"/>
  <c r="AR456" i="7"/>
  <c r="BW458" i="7"/>
  <c r="CR457" i="7"/>
  <c r="CV457" i="7"/>
  <c r="CA458" i="7"/>
  <c r="CQ457" i="7"/>
  <c r="BV458" i="7"/>
  <c r="CM458" i="7"/>
  <c r="DH457" i="7"/>
  <c r="AM456" i="7"/>
  <c r="BG456" i="7" s="1"/>
  <c r="CE457" i="7"/>
  <c r="CZ456" i="7"/>
  <c r="CJ458" i="7"/>
  <c r="DE457" i="7"/>
  <c r="EC456" i="7"/>
  <c r="DX456" i="7"/>
  <c r="DZ456" i="7"/>
  <c r="EF456" i="7"/>
  <c r="DW456" i="7"/>
  <c r="BS457" i="7"/>
  <c r="EB456" i="7"/>
  <c r="DV456" i="7"/>
  <c r="EA456" i="7"/>
  <c r="CN456" i="7"/>
  <c r="M456" i="7"/>
  <c r="BL446" i="7"/>
  <c r="E446" i="7"/>
  <c r="AL447" i="7"/>
  <c r="BY459" i="7"/>
  <c r="CT458" i="7"/>
  <c r="BT458" i="7"/>
  <c r="CO457" i="7"/>
  <c r="EO457" i="7"/>
  <c r="BX458" i="7"/>
  <c r="CS457" i="7"/>
  <c r="AR455" i="7"/>
  <c r="BI455" i="7" s="1"/>
  <c r="AQ455" i="7"/>
  <c r="BH455" i="7" s="1"/>
  <c r="AP455" i="7"/>
  <c r="CH457" i="7"/>
  <c r="DC456" i="7"/>
  <c r="BN456" i="7"/>
  <c r="CG458" i="7"/>
  <c r="DB457" i="7"/>
  <c r="AO457" i="7"/>
  <c r="DF458" i="7"/>
  <c r="CK459" i="7"/>
  <c r="BO454" i="7"/>
  <c r="BQ454" i="7" s="1"/>
  <c r="BQ453" i="7"/>
  <c r="BJ446" i="7"/>
  <c r="BM446" i="7" s="1"/>
  <c r="B446" i="7" s="1"/>
  <c r="C446" i="7"/>
  <c r="F446" i="7" s="1"/>
  <c r="AJ447" i="7"/>
  <c r="CP458" i="7"/>
  <c r="BU459" i="7"/>
  <c r="CD458" i="7"/>
  <c r="CY457" i="7"/>
  <c r="BG455" i="7"/>
  <c r="CF457" i="7"/>
  <c r="DA456" i="7"/>
  <c r="AN456" i="7"/>
  <c r="BH456" i="7" s="1"/>
  <c r="EN457" i="7"/>
  <c r="BZ458" i="7"/>
  <c r="CU457" i="7"/>
  <c r="CI458" i="7"/>
  <c r="DD457" i="7"/>
  <c r="DS457" i="7"/>
  <c r="CC459" i="7"/>
  <c r="CX458" i="7"/>
  <c r="EM458" i="7"/>
  <c r="DG458" i="7"/>
  <c r="CL459" i="7"/>
  <c r="BI456" i="7"/>
  <c r="AZ455" i="7"/>
  <c r="DO455" i="7" s="1"/>
  <c r="AV455" i="7"/>
  <c r="DK455" i="7" s="1"/>
  <c r="BC455" i="7"/>
  <c r="DR455" i="7" s="1"/>
  <c r="AX455" i="7"/>
  <c r="DM455" i="7" s="1"/>
  <c r="BB455" i="7"/>
  <c r="DQ455" i="7" s="1"/>
  <c r="AW455" i="7"/>
  <c r="DL455" i="7" s="1"/>
  <c r="BA455" i="7"/>
  <c r="DP455" i="7" s="1"/>
  <c r="AU455" i="7"/>
  <c r="DJ455" i="7" s="1"/>
  <c r="AY455" i="7"/>
  <c r="DN455" i="7" s="1"/>
  <c r="AT455" i="7"/>
  <c r="AH455" i="7"/>
  <c r="AF455" i="7"/>
  <c r="AI455" i="7" s="1"/>
  <c r="AG455" i="7"/>
  <c r="EM459" i="7" l="1"/>
  <c r="DG459" i="7"/>
  <c r="CL460" i="7"/>
  <c r="CX459" i="7"/>
  <c r="CC460" i="7"/>
  <c r="C447" i="7"/>
  <c r="F447" i="7" s="1"/>
  <c r="BJ447" i="7"/>
  <c r="BM447" i="7" s="1"/>
  <c r="B447" i="7" s="1"/>
  <c r="AJ448" i="7"/>
  <c r="H454" i="7"/>
  <c r="G454" i="7"/>
  <c r="BN457" i="7"/>
  <c r="CH458" i="7"/>
  <c r="DC457" i="7"/>
  <c r="BX459" i="7"/>
  <c r="CS458" i="7"/>
  <c r="CD459" i="7"/>
  <c r="CY458" i="7"/>
  <c r="BD455" i="7"/>
  <c r="BF455" i="7"/>
  <c r="BE455" i="7"/>
  <c r="P457" i="7"/>
  <c r="CU458" i="7"/>
  <c r="EN458" i="7"/>
  <c r="BZ459" i="7"/>
  <c r="DA457" i="7"/>
  <c r="AN457" i="7"/>
  <c r="CF458" i="7"/>
  <c r="DI455" i="7"/>
  <c r="BP455" i="7" s="1"/>
  <c r="CK460" i="7"/>
  <c r="DF459" i="7"/>
  <c r="AO458" i="7"/>
  <c r="CG459" i="7"/>
  <c r="DB458" i="7"/>
  <c r="CT459" i="7"/>
  <c r="BY460" i="7"/>
  <c r="BC456" i="7"/>
  <c r="DR456" i="7" s="1"/>
  <c r="AY456" i="7"/>
  <c r="DN456" i="7" s="1"/>
  <c r="AU456" i="7"/>
  <c r="DJ456" i="7" s="1"/>
  <c r="BA456" i="7"/>
  <c r="DP456" i="7" s="1"/>
  <c r="AV456" i="7"/>
  <c r="DK456" i="7" s="1"/>
  <c r="AZ456" i="7"/>
  <c r="DO456" i="7" s="1"/>
  <c r="AT456" i="7"/>
  <c r="AX456" i="7"/>
  <c r="DM456" i="7" s="1"/>
  <c r="BB456" i="7"/>
  <c r="DQ456" i="7" s="1"/>
  <c r="AW456" i="7"/>
  <c r="DL456" i="7" s="1"/>
  <c r="AH456" i="7"/>
  <c r="AF456" i="7"/>
  <c r="AI456" i="7" s="1"/>
  <c r="AG456" i="7"/>
  <c r="CJ459" i="7"/>
  <c r="DE458" i="7"/>
  <c r="CA459" i="7"/>
  <c r="CV458" i="7"/>
  <c r="BU460" i="7"/>
  <c r="CP459" i="7"/>
  <c r="BL447" i="7"/>
  <c r="E447" i="7"/>
  <c r="AL448" i="7"/>
  <c r="BO455" i="7"/>
  <c r="EB457" i="7"/>
  <c r="DW457" i="7"/>
  <c r="EF457" i="7"/>
  <c r="DX457" i="7"/>
  <c r="BS458" i="7"/>
  <c r="EC457" i="7"/>
  <c r="DV457" i="7"/>
  <c r="EA457" i="7"/>
  <c r="CN457" i="7"/>
  <c r="DZ457" i="7"/>
  <c r="M457" i="7"/>
  <c r="CM459" i="7"/>
  <c r="DH458" i="7"/>
  <c r="BW459" i="7"/>
  <c r="CR458" i="7"/>
  <c r="N457" i="7"/>
  <c r="CI459" i="7"/>
  <c r="DD458" i="7"/>
  <c r="DS458" i="7"/>
  <c r="H453" i="7"/>
  <c r="G453" i="7"/>
  <c r="BT459" i="7"/>
  <c r="CO458" i="7"/>
  <c r="EO458" i="7"/>
  <c r="CE458" i="7"/>
  <c r="CZ457" i="7"/>
  <c r="AM457" i="7"/>
  <c r="BV459" i="7"/>
  <c r="CQ458" i="7"/>
  <c r="CB459" i="7"/>
  <c r="CW458" i="7"/>
  <c r="BK447" i="7"/>
  <c r="D447" i="7"/>
  <c r="AK448" i="7"/>
  <c r="CO459" i="7" l="1"/>
  <c r="BT460" i="7"/>
  <c r="EO459" i="7"/>
  <c r="P458" i="7"/>
  <c r="BB457" i="7"/>
  <c r="DQ457" i="7" s="1"/>
  <c r="AX457" i="7"/>
  <c r="DM457" i="7" s="1"/>
  <c r="AT457" i="7"/>
  <c r="AZ457" i="7"/>
  <c r="DO457" i="7" s="1"/>
  <c r="AU457" i="7"/>
  <c r="DJ457" i="7" s="1"/>
  <c r="AY457" i="7"/>
  <c r="DN457" i="7" s="1"/>
  <c r="BC457" i="7"/>
  <c r="DR457" i="7" s="1"/>
  <c r="AW457" i="7"/>
  <c r="DL457" i="7" s="1"/>
  <c r="BA457" i="7"/>
  <c r="DP457" i="7" s="1"/>
  <c r="AV457" i="7"/>
  <c r="DK457" i="7" s="1"/>
  <c r="AH457" i="7"/>
  <c r="AG457" i="7"/>
  <c r="AF457" i="7"/>
  <c r="AI457" i="7" s="1"/>
  <c r="BL448" i="7"/>
  <c r="E448" i="7"/>
  <c r="AL449" i="7"/>
  <c r="BF456" i="7"/>
  <c r="BE456" i="7"/>
  <c r="BD456" i="7"/>
  <c r="DG460" i="7"/>
  <c r="EM460" i="7"/>
  <c r="CL461" i="7"/>
  <c r="BK448" i="7"/>
  <c r="D448" i="7"/>
  <c r="AK449" i="7"/>
  <c r="BU461" i="7"/>
  <c r="CP460" i="7"/>
  <c r="DE459" i="7"/>
  <c r="CJ460" i="7"/>
  <c r="CK461" i="7"/>
  <c r="DF460" i="7"/>
  <c r="CS459" i="7"/>
  <c r="BX460" i="7"/>
  <c r="CB460" i="7"/>
  <c r="CW459" i="7"/>
  <c r="CZ458" i="7"/>
  <c r="AM458" i="7"/>
  <c r="CE459" i="7"/>
  <c r="BW460" i="7"/>
  <c r="CR459" i="7"/>
  <c r="BV460" i="7"/>
  <c r="CQ459" i="7"/>
  <c r="CI460" i="7"/>
  <c r="DD459" i="7"/>
  <c r="DS459" i="7"/>
  <c r="BO456" i="7"/>
  <c r="EA458" i="7"/>
  <c r="DV458" i="7"/>
  <c r="BS459" i="7"/>
  <c r="EC458" i="7"/>
  <c r="DW458" i="7"/>
  <c r="EB458" i="7"/>
  <c r="CN458" i="7"/>
  <c r="DZ458" i="7"/>
  <c r="EF458" i="7"/>
  <c r="DX458" i="7"/>
  <c r="M458" i="7"/>
  <c r="CG460" i="7"/>
  <c r="DB459" i="7"/>
  <c r="AO459" i="7"/>
  <c r="DI456" i="7"/>
  <c r="DI457" i="7" s="1"/>
  <c r="EN459" i="7"/>
  <c r="BZ460" i="7"/>
  <c r="CU459" i="7"/>
  <c r="N458" i="7"/>
  <c r="CC461" i="7"/>
  <c r="CX460" i="7"/>
  <c r="BG457" i="7"/>
  <c r="AP457" i="7"/>
  <c r="AR457" i="7"/>
  <c r="BI457" i="7" s="1"/>
  <c r="AQ457" i="7"/>
  <c r="BH457" i="7" s="1"/>
  <c r="CM460" i="7"/>
  <c r="DH459" i="7"/>
  <c r="BQ455" i="7"/>
  <c r="CA460" i="7"/>
  <c r="CV459" i="7"/>
  <c r="BY461" i="7"/>
  <c r="CT460" i="7"/>
  <c r="CF459" i="7"/>
  <c r="DA458" i="7"/>
  <c r="AN458" i="7"/>
  <c r="CY459" i="7"/>
  <c r="CD460" i="7"/>
  <c r="CH459" i="7"/>
  <c r="BN458" i="7"/>
  <c r="DC458" i="7"/>
  <c r="BJ448" i="7"/>
  <c r="BM448" i="7" s="1"/>
  <c r="B448" i="7" s="1"/>
  <c r="C448" i="7"/>
  <c r="F448" i="7" s="1"/>
  <c r="AJ449" i="7"/>
  <c r="BP457" i="7" l="1"/>
  <c r="CD461" i="7"/>
  <c r="CY460" i="7"/>
  <c r="AN459" i="7"/>
  <c r="CF460" i="7"/>
  <c r="DA459" i="7"/>
  <c r="DH460" i="7"/>
  <c r="CM461" i="7"/>
  <c r="BZ461" i="7"/>
  <c r="CU460" i="7"/>
  <c r="EN460" i="7"/>
  <c r="DS460" i="7"/>
  <c r="CI461" i="7"/>
  <c r="DD460" i="7"/>
  <c r="CR460" i="7"/>
  <c r="BW461" i="7"/>
  <c r="EO460" i="7"/>
  <c r="BT461" i="7"/>
  <c r="CO460" i="7"/>
  <c r="BP456" i="7"/>
  <c r="BN459" i="7"/>
  <c r="DC459" i="7"/>
  <c r="CH460" i="7"/>
  <c r="CA461" i="7"/>
  <c r="CV460" i="7"/>
  <c r="CC462" i="7"/>
  <c r="CX461" i="7"/>
  <c r="DB460" i="7"/>
  <c r="AO460" i="7"/>
  <c r="CG461" i="7"/>
  <c r="BQ456" i="7"/>
  <c r="CE460" i="7"/>
  <c r="CZ459" i="7"/>
  <c r="AM459" i="7"/>
  <c r="CW460" i="7"/>
  <c r="CB461" i="7"/>
  <c r="CK462" i="7"/>
  <c r="DF461" i="7"/>
  <c r="BU462" i="7"/>
  <c r="CP461" i="7"/>
  <c r="DG461" i="7"/>
  <c r="EM461" i="7"/>
  <c r="CL462" i="7"/>
  <c r="E449" i="7"/>
  <c r="BL449" i="7"/>
  <c r="AL450" i="7"/>
  <c r="BJ449" i="7"/>
  <c r="BM449" i="7" s="1"/>
  <c r="B449" i="7" s="1"/>
  <c r="C449" i="7"/>
  <c r="F449" i="7" s="1"/>
  <c r="AJ450" i="7"/>
  <c r="G455" i="7"/>
  <c r="H455" i="7"/>
  <c r="AR458" i="7"/>
  <c r="BI458" i="7" s="1"/>
  <c r="AQ458" i="7"/>
  <c r="BH458" i="7" s="1"/>
  <c r="AP458" i="7"/>
  <c r="BA458" i="7"/>
  <c r="DP458" i="7" s="1"/>
  <c r="AW458" i="7"/>
  <c r="DL458" i="7" s="1"/>
  <c r="AY458" i="7"/>
  <c r="DN458" i="7" s="1"/>
  <c r="AT458" i="7"/>
  <c r="BC458" i="7"/>
  <c r="DR458" i="7" s="1"/>
  <c r="AX458" i="7"/>
  <c r="DM458" i="7" s="1"/>
  <c r="BB458" i="7"/>
  <c r="DQ458" i="7" s="1"/>
  <c r="AV458" i="7"/>
  <c r="DK458" i="7" s="1"/>
  <c r="AZ458" i="7"/>
  <c r="DO458" i="7" s="1"/>
  <c r="AU458" i="7"/>
  <c r="DJ458" i="7" s="1"/>
  <c r="AG458" i="7"/>
  <c r="AF458" i="7"/>
  <c r="AI458" i="7" s="1"/>
  <c r="AH458" i="7"/>
  <c r="BO457" i="7"/>
  <c r="BQ457" i="7" s="1"/>
  <c r="BS460" i="7"/>
  <c r="EF459" i="7"/>
  <c r="DZ459" i="7"/>
  <c r="CN459" i="7"/>
  <c r="BO458" i="7" s="1"/>
  <c r="EA459" i="7"/>
  <c r="DX459" i="7"/>
  <c r="EC459" i="7"/>
  <c r="DW459" i="7"/>
  <c r="EB459" i="7"/>
  <c r="DV459" i="7"/>
  <c r="M459" i="7"/>
  <c r="P459" i="7"/>
  <c r="N460" i="7" s="1"/>
  <c r="BV461" i="7"/>
  <c r="CQ460" i="7"/>
  <c r="BG458" i="7"/>
  <c r="BX461" i="7"/>
  <c r="CS460" i="7"/>
  <c r="CJ461" i="7"/>
  <c r="DE460" i="7"/>
  <c r="BK449" i="7"/>
  <c r="D449" i="7"/>
  <c r="AK450" i="7"/>
  <c r="BF457" i="7"/>
  <c r="BE457" i="7"/>
  <c r="BD457" i="7"/>
  <c r="N459" i="7"/>
  <c r="BY462" i="7"/>
  <c r="CT461" i="7"/>
  <c r="BX462" i="7" l="1"/>
  <c r="CS461" i="7"/>
  <c r="EC460" i="7"/>
  <c r="DX460" i="7"/>
  <c r="DZ460" i="7"/>
  <c r="EF460" i="7"/>
  <c r="DW460" i="7"/>
  <c r="BS461" i="7"/>
  <c r="EB460" i="7"/>
  <c r="DV460" i="7"/>
  <c r="EA460" i="7"/>
  <c r="CN460" i="7"/>
  <c r="M460" i="7"/>
  <c r="EM462" i="7"/>
  <c r="DG462" i="7"/>
  <c r="CL463" i="7"/>
  <c r="CP462" i="7"/>
  <c r="BU463" i="7"/>
  <c r="H456" i="7"/>
  <c r="G456" i="7"/>
  <c r="CH461" i="7"/>
  <c r="DC460" i="7"/>
  <c r="BN460" i="7"/>
  <c r="BL450" i="7"/>
  <c r="E450" i="7"/>
  <c r="AL451" i="7"/>
  <c r="CG462" i="7"/>
  <c r="DB461" i="7"/>
  <c r="AO461" i="7"/>
  <c r="CC463" i="7"/>
  <c r="CX462" i="7"/>
  <c r="BT462" i="7"/>
  <c r="CO461" i="7"/>
  <c r="EO461" i="7"/>
  <c r="CD462" i="7"/>
  <c r="CY461" i="7"/>
  <c r="BY463" i="7"/>
  <c r="CT462" i="7"/>
  <c r="AQ460" i="7"/>
  <c r="AP460" i="7"/>
  <c r="AR460" i="7"/>
  <c r="D450" i="7"/>
  <c r="BK450" i="7"/>
  <c r="AK451" i="7"/>
  <c r="CJ462" i="7"/>
  <c r="DE461" i="7"/>
  <c r="AZ459" i="7"/>
  <c r="DO459" i="7" s="1"/>
  <c r="AV459" i="7"/>
  <c r="DK459" i="7" s="1"/>
  <c r="BC459" i="7"/>
  <c r="DR459" i="7" s="1"/>
  <c r="AX459" i="7"/>
  <c r="DM459" i="7" s="1"/>
  <c r="BB459" i="7"/>
  <c r="DQ459" i="7" s="1"/>
  <c r="AW459" i="7"/>
  <c r="DL459" i="7" s="1"/>
  <c r="BA459" i="7"/>
  <c r="DP459" i="7" s="1"/>
  <c r="AU459" i="7"/>
  <c r="DJ459" i="7" s="1"/>
  <c r="AY459" i="7"/>
  <c r="DN459" i="7" s="1"/>
  <c r="AT459" i="7"/>
  <c r="AG459" i="7"/>
  <c r="AH459" i="7"/>
  <c r="AF459" i="7"/>
  <c r="AI459" i="7" s="1"/>
  <c r="BJ450" i="7"/>
  <c r="BM450" i="7" s="1"/>
  <c r="B450" i="7" s="1"/>
  <c r="C450" i="7"/>
  <c r="F450" i="7" s="1"/>
  <c r="AJ451" i="7"/>
  <c r="DF462" i="7"/>
  <c r="CK463" i="7"/>
  <c r="BI460" i="7"/>
  <c r="CI462" i="7"/>
  <c r="DD461" i="7"/>
  <c r="DS461" i="7"/>
  <c r="EN461" i="7"/>
  <c r="BZ462" i="7"/>
  <c r="CU461" i="7"/>
  <c r="CF461" i="7"/>
  <c r="DA460" i="7"/>
  <c r="AN460" i="7"/>
  <c r="BH460" i="7" s="1"/>
  <c r="H457" i="7"/>
  <c r="G457" i="7"/>
  <c r="AR459" i="7"/>
  <c r="BI459" i="7" s="1"/>
  <c r="AQ459" i="7"/>
  <c r="BH459" i="7" s="1"/>
  <c r="AP459" i="7"/>
  <c r="BG459" i="7" s="1"/>
  <c r="CQ461" i="7"/>
  <c r="BV462" i="7"/>
  <c r="BE458" i="7"/>
  <c r="BD458" i="7"/>
  <c r="BF458" i="7"/>
  <c r="DI458" i="7"/>
  <c r="DI459" i="7" s="1"/>
  <c r="CB462" i="7"/>
  <c r="CW461" i="7"/>
  <c r="AM460" i="7"/>
  <c r="BG460" i="7" s="1"/>
  <c r="CE461" i="7"/>
  <c r="CZ460" i="7"/>
  <c r="CV461" i="7"/>
  <c r="CA462" i="7"/>
  <c r="BW462" i="7"/>
  <c r="CR461" i="7"/>
  <c r="P460" i="7"/>
  <c r="N461" i="7" s="1"/>
  <c r="CM462" i="7"/>
  <c r="DH461" i="7"/>
  <c r="BP459" i="7" l="1"/>
  <c r="CB463" i="7"/>
  <c r="CW462" i="7"/>
  <c r="CM463" i="7"/>
  <c r="DH462" i="7"/>
  <c r="BW463" i="7"/>
  <c r="CR462" i="7"/>
  <c r="CE462" i="7"/>
  <c r="CZ461" i="7"/>
  <c r="AM461" i="7"/>
  <c r="BV463" i="7"/>
  <c r="CQ462" i="7"/>
  <c r="DA461" i="7"/>
  <c r="AN461" i="7"/>
  <c r="CF462" i="7"/>
  <c r="P461" i="7"/>
  <c r="CJ463" i="7"/>
  <c r="DE462" i="7"/>
  <c r="BT463" i="7"/>
  <c r="CO462" i="7"/>
  <c r="EO462" i="7"/>
  <c r="BN461" i="7"/>
  <c r="CH462" i="7"/>
  <c r="DC461" i="7"/>
  <c r="BC460" i="7"/>
  <c r="DR460" i="7" s="1"/>
  <c r="AY460" i="7"/>
  <c r="DN460" i="7" s="1"/>
  <c r="AU460" i="7"/>
  <c r="DJ460" i="7" s="1"/>
  <c r="BA460" i="7"/>
  <c r="DP460" i="7" s="1"/>
  <c r="AV460" i="7"/>
  <c r="DK460" i="7" s="1"/>
  <c r="AZ460" i="7"/>
  <c r="DO460" i="7" s="1"/>
  <c r="AT460" i="7"/>
  <c r="DI460" i="7" s="1"/>
  <c r="AX460" i="7"/>
  <c r="DM460" i="7" s="1"/>
  <c r="BB460" i="7"/>
  <c r="DQ460" i="7" s="1"/>
  <c r="AW460" i="7"/>
  <c r="DL460" i="7" s="1"/>
  <c r="AH460" i="7"/>
  <c r="AG460" i="7"/>
  <c r="AF460" i="7"/>
  <c r="AI460" i="7" s="1"/>
  <c r="BX463" i="7"/>
  <c r="CS462" i="7"/>
  <c r="CA463" i="7"/>
  <c r="CV462" i="7"/>
  <c r="CK464" i="7"/>
  <c r="DF463" i="7"/>
  <c r="BD459" i="7"/>
  <c r="BF459" i="7"/>
  <c r="BE459" i="7"/>
  <c r="BK451" i="7"/>
  <c r="D451" i="7"/>
  <c r="AK452" i="7"/>
  <c r="CD463" i="7"/>
  <c r="CY462" i="7"/>
  <c r="AO462" i="7"/>
  <c r="CG463" i="7"/>
  <c r="DB462" i="7"/>
  <c r="EM463" i="7"/>
  <c r="DG463" i="7"/>
  <c r="CL464" i="7"/>
  <c r="BO459" i="7"/>
  <c r="BQ459" i="7" s="1"/>
  <c r="EB461" i="7"/>
  <c r="DW461" i="7"/>
  <c r="EF461" i="7"/>
  <c r="DX461" i="7"/>
  <c r="BS462" i="7"/>
  <c r="EC461" i="7"/>
  <c r="DV461" i="7"/>
  <c r="EA461" i="7"/>
  <c r="CN461" i="7"/>
  <c r="BO460" i="7" s="1"/>
  <c r="DZ461" i="7"/>
  <c r="M461" i="7"/>
  <c r="BP458" i="7"/>
  <c r="BQ458" i="7" s="1"/>
  <c r="AP461" i="7"/>
  <c r="AR461" i="7"/>
  <c r="AQ461" i="7"/>
  <c r="CU462" i="7"/>
  <c r="EN462" i="7"/>
  <c r="BZ463" i="7"/>
  <c r="CI463" i="7"/>
  <c r="DD462" i="7"/>
  <c r="DS462" i="7"/>
  <c r="CX463" i="7"/>
  <c r="CC464" i="7"/>
  <c r="C451" i="7"/>
  <c r="F451" i="7" s="1"/>
  <c r="BJ451" i="7"/>
  <c r="BM451" i="7" s="1"/>
  <c r="B451" i="7" s="1"/>
  <c r="AJ452" i="7"/>
  <c r="CT463" i="7"/>
  <c r="BY464" i="7"/>
  <c r="BI461" i="7"/>
  <c r="BL451" i="7"/>
  <c r="E451" i="7"/>
  <c r="AL452" i="7"/>
  <c r="BU464" i="7"/>
  <c r="CP463" i="7"/>
  <c r="BP460" i="7" l="1"/>
  <c r="BQ460" i="7" s="1"/>
  <c r="BL452" i="7"/>
  <c r="E452" i="7"/>
  <c r="AL453" i="7"/>
  <c r="P462" i="7"/>
  <c r="H458" i="7"/>
  <c r="G458" i="7"/>
  <c r="G459" i="7"/>
  <c r="H459" i="7"/>
  <c r="CY463" i="7"/>
  <c r="CD464" i="7"/>
  <c r="CK465" i="7"/>
  <c r="DF464" i="7"/>
  <c r="CS463" i="7"/>
  <c r="BX464" i="7"/>
  <c r="CF463" i="7"/>
  <c r="DA462" i="7"/>
  <c r="AN462" i="7"/>
  <c r="BV464" i="7"/>
  <c r="CQ463" i="7"/>
  <c r="CZ462" i="7"/>
  <c r="AM462" i="7"/>
  <c r="CE463" i="7"/>
  <c r="CM464" i="7"/>
  <c r="DH463" i="7"/>
  <c r="BB461" i="7"/>
  <c r="DQ461" i="7" s="1"/>
  <c r="AX461" i="7"/>
  <c r="DM461" i="7" s="1"/>
  <c r="AT461" i="7"/>
  <c r="AZ461" i="7"/>
  <c r="DO461" i="7" s="1"/>
  <c r="AU461" i="7"/>
  <c r="DJ461" i="7" s="1"/>
  <c r="AY461" i="7"/>
  <c r="DN461" i="7" s="1"/>
  <c r="BC461" i="7"/>
  <c r="DR461" i="7" s="1"/>
  <c r="AW461" i="7"/>
  <c r="DL461" i="7" s="1"/>
  <c r="BA461" i="7"/>
  <c r="DP461" i="7" s="1"/>
  <c r="AV461" i="7"/>
  <c r="DK461" i="7" s="1"/>
  <c r="AH461" i="7"/>
  <c r="AG461" i="7"/>
  <c r="AF461" i="7"/>
  <c r="AI461" i="7" s="1"/>
  <c r="DG464" i="7"/>
  <c r="EM464" i="7"/>
  <c r="CL465" i="7"/>
  <c r="CG464" i="7"/>
  <c r="DB463" i="7"/>
  <c r="AO463" i="7"/>
  <c r="BK452" i="7"/>
  <c r="D452" i="7"/>
  <c r="AK453" i="7"/>
  <c r="DE463" i="7"/>
  <c r="CJ464" i="7"/>
  <c r="BH461" i="7"/>
  <c r="CC465" i="7"/>
  <c r="CX464" i="7"/>
  <c r="CA464" i="7"/>
  <c r="CV463" i="7"/>
  <c r="BG461" i="7"/>
  <c r="BW464" i="7"/>
  <c r="CR463" i="7"/>
  <c r="CB464" i="7"/>
  <c r="CW463" i="7"/>
  <c r="BY465" i="7"/>
  <c r="CT464" i="7"/>
  <c r="BJ452" i="7"/>
  <c r="BM452" i="7" s="1"/>
  <c r="B452" i="7" s="1"/>
  <c r="C452" i="7"/>
  <c r="F452" i="7" s="1"/>
  <c r="AJ453" i="7"/>
  <c r="CI464" i="7"/>
  <c r="DD463" i="7"/>
  <c r="DS463" i="7"/>
  <c r="BU465" i="7"/>
  <c r="CP464" i="7"/>
  <c r="EN463" i="7"/>
  <c r="BZ464" i="7"/>
  <c r="CU463" i="7"/>
  <c r="EA462" i="7"/>
  <c r="DV462" i="7"/>
  <c r="BS463" i="7"/>
  <c r="EC462" i="7"/>
  <c r="DW462" i="7"/>
  <c r="EB462" i="7"/>
  <c r="CN462" i="7"/>
  <c r="BO461" i="7" s="1"/>
  <c r="DZ462" i="7"/>
  <c r="EF462" i="7"/>
  <c r="DX462" i="7"/>
  <c r="M462" i="7"/>
  <c r="BF460" i="7"/>
  <c r="BE460" i="7"/>
  <c r="BD460" i="7"/>
  <c r="CH463" i="7"/>
  <c r="BN462" i="7"/>
  <c r="DC462" i="7"/>
  <c r="CO463" i="7"/>
  <c r="BT464" i="7"/>
  <c r="EO463" i="7"/>
  <c r="N462" i="7"/>
  <c r="BS464" i="7" l="1"/>
  <c r="EF463" i="7"/>
  <c r="DZ463" i="7"/>
  <c r="CN463" i="7"/>
  <c r="EA463" i="7"/>
  <c r="DX463" i="7"/>
  <c r="EC463" i="7"/>
  <c r="DW463" i="7"/>
  <c r="EB463" i="7"/>
  <c r="DV463" i="7"/>
  <c r="M463" i="7"/>
  <c r="BZ465" i="7"/>
  <c r="CU464" i="7"/>
  <c r="EN464" i="7"/>
  <c r="P463" i="7"/>
  <c r="N464" i="7" s="1"/>
  <c r="BF461" i="7"/>
  <c r="BE461" i="7"/>
  <c r="BD461" i="7"/>
  <c r="DH464" i="7"/>
  <c r="CM465" i="7"/>
  <c r="AN463" i="7"/>
  <c r="CF464" i="7"/>
  <c r="DA463" i="7"/>
  <c r="BA462" i="7"/>
  <c r="DP462" i="7" s="1"/>
  <c r="AW462" i="7"/>
  <c r="DL462" i="7" s="1"/>
  <c r="AY462" i="7"/>
  <c r="DN462" i="7" s="1"/>
  <c r="AT462" i="7"/>
  <c r="BC462" i="7"/>
  <c r="DR462" i="7" s="1"/>
  <c r="AX462" i="7"/>
  <c r="DM462" i="7" s="1"/>
  <c r="BB462" i="7"/>
  <c r="DQ462" i="7" s="1"/>
  <c r="AV462" i="7"/>
  <c r="DK462" i="7" s="1"/>
  <c r="AZ462" i="7"/>
  <c r="DO462" i="7" s="1"/>
  <c r="AU462" i="7"/>
  <c r="DJ462" i="7" s="1"/>
  <c r="AG462" i="7"/>
  <c r="AH462" i="7"/>
  <c r="AF462" i="7"/>
  <c r="AI462" i="7" s="1"/>
  <c r="CW464" i="7"/>
  <c r="CB465" i="7"/>
  <c r="CC466" i="7"/>
  <c r="CX465" i="7"/>
  <c r="BK453" i="7"/>
  <c r="D453" i="7"/>
  <c r="AK454" i="7"/>
  <c r="CE464" i="7"/>
  <c r="CZ463" i="7"/>
  <c r="AM463" i="7"/>
  <c r="BV465" i="7"/>
  <c r="CQ464" i="7"/>
  <c r="CK466" i="7"/>
  <c r="DF465" i="7"/>
  <c r="N463" i="7"/>
  <c r="BN463" i="7"/>
  <c r="DC463" i="7"/>
  <c r="CH464" i="7"/>
  <c r="AR462" i="7"/>
  <c r="BI462" i="7" s="1"/>
  <c r="AQ462" i="7"/>
  <c r="BH462" i="7" s="1"/>
  <c r="AP462" i="7"/>
  <c r="DS464" i="7"/>
  <c r="CI465" i="7"/>
  <c r="DD464" i="7"/>
  <c r="CA465" i="7"/>
  <c r="CV464" i="7"/>
  <c r="DB464" i="7"/>
  <c r="AO464" i="7"/>
  <c r="CG465" i="7"/>
  <c r="BG462" i="7"/>
  <c r="BX465" i="7"/>
  <c r="CS464" i="7"/>
  <c r="CD465" i="7"/>
  <c r="CY464" i="7"/>
  <c r="E453" i="7"/>
  <c r="BL453" i="7"/>
  <c r="AL454" i="7"/>
  <c r="EO464" i="7"/>
  <c r="BT465" i="7"/>
  <c r="CO464" i="7"/>
  <c r="BU466" i="7"/>
  <c r="CP465" i="7"/>
  <c r="BJ453" i="7"/>
  <c r="BM453" i="7" s="1"/>
  <c r="B453" i="7" s="1"/>
  <c r="C453" i="7"/>
  <c r="F453" i="7" s="1"/>
  <c r="AJ454" i="7"/>
  <c r="BY466" i="7"/>
  <c r="CT465" i="7"/>
  <c r="CR464" i="7"/>
  <c r="BW465" i="7"/>
  <c r="CJ465" i="7"/>
  <c r="DE464" i="7"/>
  <c r="DG465" i="7"/>
  <c r="EM465" i="7"/>
  <c r="CL466" i="7"/>
  <c r="DI461" i="7"/>
  <c r="DI462" i="7" s="1"/>
  <c r="H460" i="7"/>
  <c r="G460" i="7"/>
  <c r="BP462" i="7" l="1"/>
  <c r="EM466" i="7"/>
  <c r="DG466" i="7"/>
  <c r="CL467" i="7"/>
  <c r="BY467" i="7"/>
  <c r="CT466" i="7"/>
  <c r="BT466" i="7"/>
  <c r="CO465" i="7"/>
  <c r="EO465" i="7"/>
  <c r="BX466" i="7"/>
  <c r="CS465" i="7"/>
  <c r="AR463" i="7"/>
  <c r="BI463" i="7" s="1"/>
  <c r="AQ463" i="7"/>
  <c r="AP463" i="7"/>
  <c r="CQ465" i="7"/>
  <c r="BV466" i="7"/>
  <c r="D454" i="7"/>
  <c r="BK454" i="7"/>
  <c r="AK455" i="7"/>
  <c r="CC467" i="7"/>
  <c r="CX466" i="7"/>
  <c r="BE462" i="7"/>
  <c r="BD462" i="7"/>
  <c r="BF462" i="7"/>
  <c r="EC464" i="7"/>
  <c r="DX464" i="7"/>
  <c r="DZ464" i="7"/>
  <c r="EF464" i="7"/>
  <c r="DW464" i="7"/>
  <c r="BS465" i="7"/>
  <c r="EB464" i="7"/>
  <c r="DV464" i="7"/>
  <c r="EA464" i="7"/>
  <c r="CN464" i="7"/>
  <c r="M464" i="7"/>
  <c r="CJ466" i="7"/>
  <c r="DE465" i="7"/>
  <c r="BW466" i="7"/>
  <c r="CR465" i="7"/>
  <c r="BJ454" i="7"/>
  <c r="BM454" i="7" s="1"/>
  <c r="B454" i="7" s="1"/>
  <c r="C454" i="7"/>
  <c r="F454" i="7" s="1"/>
  <c r="AJ455" i="7"/>
  <c r="CP466" i="7"/>
  <c r="BU467" i="7"/>
  <c r="CI466" i="7"/>
  <c r="DD465" i="7"/>
  <c r="DS465" i="7"/>
  <c r="CH465" i="7"/>
  <c r="DC464" i="7"/>
  <c r="BN464" i="7"/>
  <c r="BG463" i="7"/>
  <c r="CB466" i="7"/>
  <c r="CW465" i="7"/>
  <c r="CF465" i="7"/>
  <c r="DA464" i="7"/>
  <c r="AN464" i="7"/>
  <c r="EN465" i="7"/>
  <c r="BZ466" i="7"/>
  <c r="CU465" i="7"/>
  <c r="BO462" i="7"/>
  <c r="BQ462" i="7" s="1"/>
  <c r="CD466" i="7"/>
  <c r="CY465" i="7"/>
  <c r="P464" i="7"/>
  <c r="N465" i="7" s="1"/>
  <c r="DF466" i="7"/>
  <c r="CK467" i="7"/>
  <c r="BH463" i="7"/>
  <c r="AQ464" i="7"/>
  <c r="AP464" i="7"/>
  <c r="AR464" i="7"/>
  <c r="BI464" i="7" s="1"/>
  <c r="AZ463" i="7"/>
  <c r="DO463" i="7" s="1"/>
  <c r="AV463" i="7"/>
  <c r="DK463" i="7" s="1"/>
  <c r="BC463" i="7"/>
  <c r="DR463" i="7" s="1"/>
  <c r="AX463" i="7"/>
  <c r="DM463" i="7" s="1"/>
  <c r="BB463" i="7"/>
  <c r="DQ463" i="7" s="1"/>
  <c r="AW463" i="7"/>
  <c r="DL463" i="7" s="1"/>
  <c r="BA463" i="7"/>
  <c r="DP463" i="7" s="1"/>
  <c r="AU463" i="7"/>
  <c r="DJ463" i="7" s="1"/>
  <c r="AY463" i="7"/>
  <c r="DN463" i="7" s="1"/>
  <c r="AT463" i="7"/>
  <c r="AH463" i="7"/>
  <c r="AF463" i="7"/>
  <c r="AI463" i="7" s="1"/>
  <c r="AG463" i="7"/>
  <c r="BL454" i="7"/>
  <c r="E454" i="7"/>
  <c r="AL455" i="7"/>
  <c r="CG466" i="7"/>
  <c r="DB465" i="7"/>
  <c r="AO465" i="7"/>
  <c r="CV465" i="7"/>
  <c r="CA466" i="7"/>
  <c r="AM464" i="7"/>
  <c r="BG464" i="7" s="1"/>
  <c r="CE465" i="7"/>
  <c r="CZ464" i="7"/>
  <c r="CM466" i="7"/>
  <c r="DH465" i="7"/>
  <c r="BP461" i="7"/>
  <c r="BQ461" i="7" s="1"/>
  <c r="CA467" i="7" l="1"/>
  <c r="CV466" i="7"/>
  <c r="AO466" i="7"/>
  <c r="CG467" i="7"/>
  <c r="DB466" i="7"/>
  <c r="BD463" i="7"/>
  <c r="BF463" i="7"/>
  <c r="BE463" i="7"/>
  <c r="P465" i="7"/>
  <c r="BC464" i="7"/>
  <c r="DR464" i="7" s="1"/>
  <c r="AY464" i="7"/>
  <c r="DN464" i="7" s="1"/>
  <c r="AU464" i="7"/>
  <c r="DJ464" i="7" s="1"/>
  <c r="BA464" i="7"/>
  <c r="DP464" i="7" s="1"/>
  <c r="AV464" i="7"/>
  <c r="DK464" i="7" s="1"/>
  <c r="AZ464" i="7"/>
  <c r="DO464" i="7" s="1"/>
  <c r="AT464" i="7"/>
  <c r="AX464" i="7"/>
  <c r="DM464" i="7" s="1"/>
  <c r="BB464" i="7"/>
  <c r="DQ464" i="7" s="1"/>
  <c r="AW464" i="7"/>
  <c r="DL464" i="7" s="1"/>
  <c r="AG464" i="7"/>
  <c r="AH464" i="7"/>
  <c r="AF464" i="7"/>
  <c r="AI464" i="7" s="1"/>
  <c r="BK455" i="7"/>
  <c r="D455" i="7"/>
  <c r="AK456" i="7"/>
  <c r="BT467" i="7"/>
  <c r="CO466" i="7"/>
  <c r="EO466" i="7"/>
  <c r="H461" i="7"/>
  <c r="G461" i="7"/>
  <c r="CE466" i="7"/>
  <c r="CZ465" i="7"/>
  <c r="AM465" i="7"/>
  <c r="DI463" i="7"/>
  <c r="CK468" i="7"/>
  <c r="DF467" i="7"/>
  <c r="CU466" i="7"/>
  <c r="EN466" i="7"/>
  <c r="BZ467" i="7"/>
  <c r="DA465" i="7"/>
  <c r="AN465" i="7"/>
  <c r="CF466" i="7"/>
  <c r="C455" i="7"/>
  <c r="F455" i="7" s="1"/>
  <c r="BJ455" i="7"/>
  <c r="BM455" i="7" s="1"/>
  <c r="B455" i="7" s="1"/>
  <c r="AJ456" i="7"/>
  <c r="BW467" i="7"/>
  <c r="CR466" i="7"/>
  <c r="BO463" i="7"/>
  <c r="EB465" i="7"/>
  <c r="DW465" i="7"/>
  <c r="EF465" i="7"/>
  <c r="DX465" i="7"/>
  <c r="BS466" i="7"/>
  <c r="EC465" i="7"/>
  <c r="DV465" i="7"/>
  <c r="EA465" i="7"/>
  <c r="CN465" i="7"/>
  <c r="DZ465" i="7"/>
  <c r="M465" i="7"/>
  <c r="BX467" i="7"/>
  <c r="CS466" i="7"/>
  <c r="BL455" i="7"/>
  <c r="E455" i="7"/>
  <c r="AL456" i="7"/>
  <c r="CD467" i="7"/>
  <c r="CY466" i="7"/>
  <c r="CI467" i="7"/>
  <c r="DD466" i="7"/>
  <c r="DS466" i="7"/>
  <c r="CT467" i="7"/>
  <c r="BY468" i="7"/>
  <c r="BI465" i="7"/>
  <c r="CM467" i="7"/>
  <c r="DH466" i="7"/>
  <c r="AP465" i="7"/>
  <c r="AR465" i="7"/>
  <c r="AQ465" i="7"/>
  <c r="H462" i="7"/>
  <c r="G462" i="7"/>
  <c r="BH464" i="7"/>
  <c r="CB467" i="7"/>
  <c r="CW466" i="7"/>
  <c r="BN465" i="7"/>
  <c r="CH466" i="7"/>
  <c r="DC465" i="7"/>
  <c r="BU468" i="7"/>
  <c r="CP467" i="7"/>
  <c r="CJ467" i="7"/>
  <c r="DE466" i="7"/>
  <c r="CX467" i="7"/>
  <c r="CC468" i="7"/>
  <c r="BV467" i="7"/>
  <c r="CQ466" i="7"/>
  <c r="EM467" i="7"/>
  <c r="DG467" i="7"/>
  <c r="CL468" i="7"/>
  <c r="BB465" i="7" l="1"/>
  <c r="DQ465" i="7" s="1"/>
  <c r="AX465" i="7"/>
  <c r="DM465" i="7" s="1"/>
  <c r="AT465" i="7"/>
  <c r="AZ465" i="7"/>
  <c r="DO465" i="7" s="1"/>
  <c r="AU465" i="7"/>
  <c r="DJ465" i="7" s="1"/>
  <c r="AY465" i="7"/>
  <c r="DN465" i="7" s="1"/>
  <c r="BC465" i="7"/>
  <c r="DR465" i="7" s="1"/>
  <c r="AW465" i="7"/>
  <c r="DL465" i="7" s="1"/>
  <c r="BA465" i="7"/>
  <c r="DP465" i="7" s="1"/>
  <c r="AV465" i="7"/>
  <c r="DK465" i="7" s="1"/>
  <c r="AH465" i="7"/>
  <c r="AF465" i="7"/>
  <c r="AI465" i="7" s="1"/>
  <c r="AG465" i="7"/>
  <c r="BF464" i="7"/>
  <c r="BE464" i="7"/>
  <c r="BD464" i="7"/>
  <c r="N466" i="7"/>
  <c r="CA468" i="7"/>
  <c r="CV467" i="7"/>
  <c r="DG468" i="7"/>
  <c r="EM468" i="7"/>
  <c r="CL469" i="7"/>
  <c r="DE467" i="7"/>
  <c r="CJ468" i="7"/>
  <c r="CC469" i="7"/>
  <c r="CX468" i="7"/>
  <c r="BW468" i="7"/>
  <c r="CR467" i="7"/>
  <c r="EN467" i="7"/>
  <c r="BZ468" i="7"/>
  <c r="CU467" i="7"/>
  <c r="CK469" i="7"/>
  <c r="DF468" i="7"/>
  <c r="CZ466" i="7"/>
  <c r="AM466" i="7"/>
  <c r="CE467" i="7"/>
  <c r="CG468" i="7"/>
  <c r="DB467" i="7"/>
  <c r="AO467" i="7"/>
  <c r="BV468" i="7"/>
  <c r="CQ467" i="7"/>
  <c r="CH467" i="7"/>
  <c r="BN466" i="7"/>
  <c r="DC466" i="7"/>
  <c r="BY469" i="7"/>
  <c r="CT468" i="7"/>
  <c r="CI468" i="7"/>
  <c r="DD467" i="7"/>
  <c r="DS467" i="7"/>
  <c r="BU469" i="7"/>
  <c r="CP468" i="7"/>
  <c r="CM468" i="7"/>
  <c r="DH467" i="7"/>
  <c r="P466" i="7"/>
  <c r="CY467" i="7"/>
  <c r="CD468" i="7"/>
  <c r="BO464" i="7"/>
  <c r="EA466" i="7"/>
  <c r="DV466" i="7"/>
  <c r="BS467" i="7"/>
  <c r="EC466" i="7"/>
  <c r="DW466" i="7"/>
  <c r="EB466" i="7"/>
  <c r="CN466" i="7"/>
  <c r="DZ466" i="7"/>
  <c r="EF466" i="7"/>
  <c r="DX466" i="7"/>
  <c r="M466" i="7"/>
  <c r="BJ456" i="7"/>
  <c r="BM456" i="7" s="1"/>
  <c r="B456" i="7" s="1"/>
  <c r="C456" i="7"/>
  <c r="F456" i="7" s="1"/>
  <c r="AJ457" i="7"/>
  <c r="CF467" i="7"/>
  <c r="DA466" i="7"/>
  <c r="AN466" i="7"/>
  <c r="DI464" i="7"/>
  <c r="DI465" i="7" s="1"/>
  <c r="CO467" i="7"/>
  <c r="BT468" i="7"/>
  <c r="EO467" i="7"/>
  <c r="BP463" i="7"/>
  <c r="CB468" i="7"/>
  <c r="CW467" i="7"/>
  <c r="BL456" i="7"/>
  <c r="E456" i="7"/>
  <c r="AL457" i="7"/>
  <c r="CS467" i="7"/>
  <c r="BX468" i="7"/>
  <c r="BQ463" i="7"/>
  <c r="BH465" i="7"/>
  <c r="BG465" i="7"/>
  <c r="BK456" i="7"/>
  <c r="D456" i="7"/>
  <c r="AK457" i="7"/>
  <c r="BP465" i="7" l="1"/>
  <c r="DH468" i="7"/>
  <c r="CM469" i="7"/>
  <c r="BV469" i="7"/>
  <c r="CQ468" i="7"/>
  <c r="CE468" i="7"/>
  <c r="CZ467" i="7"/>
  <c r="AM467" i="7"/>
  <c r="CK470" i="7"/>
  <c r="DF469" i="7"/>
  <c r="CC470" i="7"/>
  <c r="CX469" i="7"/>
  <c r="AR466" i="7"/>
  <c r="BI466" i="7" s="1"/>
  <c r="AQ466" i="7"/>
  <c r="BH466" i="7" s="1"/>
  <c r="AP466" i="7"/>
  <c r="BG466" i="7" s="1"/>
  <c r="BJ457" i="7"/>
  <c r="BM457" i="7" s="1"/>
  <c r="B457" i="7" s="1"/>
  <c r="C457" i="7"/>
  <c r="F457" i="7" s="1"/>
  <c r="AJ458" i="7"/>
  <c r="DS468" i="7"/>
  <c r="CI469" i="7"/>
  <c r="DD468" i="7"/>
  <c r="CR468" i="7"/>
  <c r="BW469" i="7"/>
  <c r="CJ469" i="7"/>
  <c r="DE468" i="7"/>
  <c r="N467" i="7"/>
  <c r="BU470" i="7"/>
  <c r="CP469" i="7"/>
  <c r="BN467" i="7"/>
  <c r="DC467" i="7"/>
  <c r="CH468" i="7"/>
  <c r="BZ469" i="7"/>
  <c r="CU468" i="7"/>
  <c r="EN468" i="7"/>
  <c r="BF465" i="7"/>
  <c r="BE465" i="7"/>
  <c r="BD465" i="7"/>
  <c r="BX469" i="7"/>
  <c r="CS468" i="7"/>
  <c r="BK457" i="7"/>
  <c r="D457" i="7"/>
  <c r="AK458" i="7"/>
  <c r="E457" i="7"/>
  <c r="BL457" i="7"/>
  <c r="AL458" i="7"/>
  <c r="CW468" i="7"/>
  <c r="CB469" i="7"/>
  <c r="EO468" i="7"/>
  <c r="BT469" i="7"/>
  <c r="CO468" i="7"/>
  <c r="G463" i="7"/>
  <c r="H463" i="7"/>
  <c r="AN467" i="7"/>
  <c r="CF468" i="7"/>
  <c r="DA467" i="7"/>
  <c r="BA466" i="7"/>
  <c r="DP466" i="7" s="1"/>
  <c r="AW466" i="7"/>
  <c r="DL466" i="7" s="1"/>
  <c r="AY466" i="7"/>
  <c r="DN466" i="7" s="1"/>
  <c r="AT466" i="7"/>
  <c r="DI466" i="7" s="1"/>
  <c r="BC466" i="7"/>
  <c r="DR466" i="7" s="1"/>
  <c r="AX466" i="7"/>
  <c r="DM466" i="7" s="1"/>
  <c r="BB466" i="7"/>
  <c r="DQ466" i="7" s="1"/>
  <c r="AV466" i="7"/>
  <c r="DK466" i="7" s="1"/>
  <c r="AZ466" i="7"/>
  <c r="DO466" i="7" s="1"/>
  <c r="AU466" i="7"/>
  <c r="DJ466" i="7" s="1"/>
  <c r="AG466" i="7"/>
  <c r="AH466" i="7"/>
  <c r="AF466" i="7"/>
  <c r="AI466" i="7" s="1"/>
  <c r="BO465" i="7"/>
  <c r="BQ465" i="7" s="1"/>
  <c r="BS468" i="7"/>
  <c r="EF467" i="7"/>
  <c r="DZ467" i="7"/>
  <c r="CN467" i="7"/>
  <c r="BO466" i="7" s="1"/>
  <c r="EA467" i="7"/>
  <c r="DX467" i="7"/>
  <c r="EC467" i="7"/>
  <c r="DW467" i="7"/>
  <c r="EB467" i="7"/>
  <c r="DV467" i="7"/>
  <c r="M467" i="7"/>
  <c r="CD469" i="7"/>
  <c r="CY468" i="7"/>
  <c r="P467" i="7"/>
  <c r="N468" i="7" s="1"/>
  <c r="BY470" i="7"/>
  <c r="CT469" i="7"/>
  <c r="DB468" i="7"/>
  <c r="AO468" i="7"/>
  <c r="CG469" i="7"/>
  <c r="DG469" i="7"/>
  <c r="EM469" i="7"/>
  <c r="CL470" i="7"/>
  <c r="CA469" i="7"/>
  <c r="CV468" i="7"/>
  <c r="BP464" i="7"/>
  <c r="BQ464" i="7" s="1"/>
  <c r="H464" i="7" l="1"/>
  <c r="G464" i="7"/>
  <c r="BP466" i="7"/>
  <c r="BQ466" i="7" s="1"/>
  <c r="CV469" i="7"/>
  <c r="CA470" i="7"/>
  <c r="AQ468" i="7"/>
  <c r="AP468" i="7"/>
  <c r="AR468" i="7"/>
  <c r="EC468" i="7"/>
  <c r="DX468" i="7"/>
  <c r="DZ468" i="7"/>
  <c r="EF468" i="7"/>
  <c r="DW468" i="7"/>
  <c r="BS469" i="7"/>
  <c r="EB468" i="7"/>
  <c r="DV468" i="7"/>
  <c r="EA468" i="7"/>
  <c r="CN468" i="7"/>
  <c r="M468" i="7"/>
  <c r="CF469" i="7"/>
  <c r="DA468" i="7"/>
  <c r="AN468" i="7"/>
  <c r="BH468" i="7" s="1"/>
  <c r="D458" i="7"/>
  <c r="BK458" i="7"/>
  <c r="AK459" i="7"/>
  <c r="BX470" i="7"/>
  <c r="CS469" i="7"/>
  <c r="AR467" i="7"/>
  <c r="BI467" i="7" s="1"/>
  <c r="AQ467" i="7"/>
  <c r="BH467" i="7" s="1"/>
  <c r="AP467" i="7"/>
  <c r="BW470" i="7"/>
  <c r="CR469" i="7"/>
  <c r="AM468" i="7"/>
  <c r="BG468" i="7" s="1"/>
  <c r="CE469" i="7"/>
  <c r="CZ468" i="7"/>
  <c r="CG470" i="7"/>
  <c r="DB469" i="7"/>
  <c r="AO469" i="7"/>
  <c r="BY471" i="7"/>
  <c r="CT470" i="7"/>
  <c r="CD470" i="7"/>
  <c r="CY469" i="7"/>
  <c r="H465" i="7"/>
  <c r="G465" i="7"/>
  <c r="BT470" i="7"/>
  <c r="CO469" i="7"/>
  <c r="EO469" i="7"/>
  <c r="BL458" i="7"/>
  <c r="E458" i="7"/>
  <c r="AL459" i="7"/>
  <c r="BJ458" i="7"/>
  <c r="BM458" i="7" s="1"/>
  <c r="B458" i="7" s="1"/>
  <c r="C458" i="7"/>
  <c r="F458" i="7" s="1"/>
  <c r="AJ459" i="7"/>
  <c r="DF470" i="7"/>
  <c r="CK471" i="7"/>
  <c r="EM470" i="7"/>
  <c r="DG470" i="7"/>
  <c r="CL471" i="7"/>
  <c r="BI468" i="7"/>
  <c r="AZ467" i="7"/>
  <c r="DO467" i="7" s="1"/>
  <c r="AV467" i="7"/>
  <c r="DK467" i="7" s="1"/>
  <c r="BC467" i="7"/>
  <c r="DR467" i="7" s="1"/>
  <c r="AX467" i="7"/>
  <c r="DM467" i="7" s="1"/>
  <c r="BB467" i="7"/>
  <c r="DQ467" i="7" s="1"/>
  <c r="AW467" i="7"/>
  <c r="DL467" i="7" s="1"/>
  <c r="BA467" i="7"/>
  <c r="DP467" i="7" s="1"/>
  <c r="AU467" i="7"/>
  <c r="DJ467" i="7" s="1"/>
  <c r="AY467" i="7"/>
  <c r="DN467" i="7" s="1"/>
  <c r="AT467" i="7"/>
  <c r="AH467" i="7"/>
  <c r="AF467" i="7"/>
  <c r="AI467" i="7" s="1"/>
  <c r="AG467" i="7"/>
  <c r="EN469" i="7"/>
  <c r="BZ470" i="7"/>
  <c r="CU469" i="7"/>
  <c r="CI470" i="7"/>
  <c r="DD469" i="7"/>
  <c r="DS469" i="7"/>
  <c r="BG467" i="7"/>
  <c r="CQ469" i="7"/>
  <c r="BV470" i="7"/>
  <c r="BE466" i="7"/>
  <c r="BD466" i="7"/>
  <c r="BF466" i="7"/>
  <c r="CB470" i="7"/>
  <c r="CW469" i="7"/>
  <c r="CH469" i="7"/>
  <c r="DC468" i="7"/>
  <c r="BN468" i="7"/>
  <c r="CP470" i="7"/>
  <c r="BU471" i="7"/>
  <c r="CJ470" i="7"/>
  <c r="DE469" i="7"/>
  <c r="P468" i="7"/>
  <c r="N469" i="7" s="1"/>
  <c r="CC471" i="7"/>
  <c r="CX470" i="7"/>
  <c r="CM470" i="7"/>
  <c r="DH469" i="7"/>
  <c r="H466" i="7" l="1"/>
  <c r="G466" i="7"/>
  <c r="CB471" i="7"/>
  <c r="CW470" i="7"/>
  <c r="BD467" i="7"/>
  <c r="BF467" i="7"/>
  <c r="BE467" i="7"/>
  <c r="C459" i="7"/>
  <c r="F459" i="7" s="1"/>
  <c r="BJ459" i="7"/>
  <c r="BM459" i="7" s="1"/>
  <c r="B459" i="7" s="1"/>
  <c r="AJ460" i="7"/>
  <c r="BL459" i="7"/>
  <c r="E459" i="7"/>
  <c r="AL460" i="7"/>
  <c r="CT471" i="7"/>
  <c r="BY472" i="7"/>
  <c r="BW471" i="7"/>
  <c r="CR470" i="7"/>
  <c r="BX471" i="7"/>
  <c r="CS470" i="7"/>
  <c r="BO467" i="7"/>
  <c r="EB469" i="7"/>
  <c r="DW469" i="7"/>
  <c r="EF469" i="7"/>
  <c r="DX469" i="7"/>
  <c r="BS470" i="7"/>
  <c r="EC469" i="7"/>
  <c r="DV469" i="7"/>
  <c r="EA469" i="7"/>
  <c r="CN469" i="7"/>
  <c r="DZ469" i="7"/>
  <c r="M469" i="7"/>
  <c r="CA471" i="7"/>
  <c r="CV470" i="7"/>
  <c r="DI467" i="7"/>
  <c r="CX471" i="7"/>
  <c r="CC472" i="7"/>
  <c r="CJ471" i="7"/>
  <c r="DE470" i="7"/>
  <c r="CI471" i="7"/>
  <c r="DD470" i="7"/>
  <c r="DS470" i="7"/>
  <c r="BT471" i="7"/>
  <c r="CO470" i="7"/>
  <c r="EO470" i="7"/>
  <c r="CE470" i="7"/>
  <c r="CZ469" i="7"/>
  <c r="AM469" i="7"/>
  <c r="BK459" i="7"/>
  <c r="D459" i="7"/>
  <c r="AK460" i="7"/>
  <c r="AP469" i="7"/>
  <c r="AR469" i="7"/>
  <c r="BI469" i="7" s="1"/>
  <c r="AQ469" i="7"/>
  <c r="BU472" i="7"/>
  <c r="CP471" i="7"/>
  <c r="BN469" i="7"/>
  <c r="CH470" i="7"/>
  <c r="DC469" i="7"/>
  <c r="CK472" i="7"/>
  <c r="DF471" i="7"/>
  <c r="CD471" i="7"/>
  <c r="CY470" i="7"/>
  <c r="DA469" i="7"/>
  <c r="AN469" i="7"/>
  <c r="BH469" i="7" s="1"/>
  <c r="CF470" i="7"/>
  <c r="BV471" i="7"/>
  <c r="CQ470" i="7"/>
  <c r="CM471" i="7"/>
  <c r="DH470" i="7"/>
  <c r="P469" i="7"/>
  <c r="N470" i="7" s="1"/>
  <c r="CU470" i="7"/>
  <c r="EN470" i="7"/>
  <c r="BZ471" i="7"/>
  <c r="EM471" i="7"/>
  <c r="DG471" i="7"/>
  <c r="CL472" i="7"/>
  <c r="AO470" i="7"/>
  <c r="CG471" i="7"/>
  <c r="DB470" i="7"/>
  <c r="BC468" i="7"/>
  <c r="DR468" i="7" s="1"/>
  <c r="AY468" i="7"/>
  <c r="DN468" i="7" s="1"/>
  <c r="AU468" i="7"/>
  <c r="DJ468" i="7" s="1"/>
  <c r="BA468" i="7"/>
  <c r="DP468" i="7" s="1"/>
  <c r="AV468" i="7"/>
  <c r="DK468" i="7" s="1"/>
  <c r="AZ468" i="7"/>
  <c r="DO468" i="7" s="1"/>
  <c r="AT468" i="7"/>
  <c r="AX468" i="7"/>
  <c r="DM468" i="7" s="1"/>
  <c r="BB468" i="7"/>
  <c r="DQ468" i="7" s="1"/>
  <c r="AW468" i="7"/>
  <c r="DL468" i="7" s="1"/>
  <c r="AG468" i="7"/>
  <c r="AH468" i="7"/>
  <c r="AF468" i="7"/>
  <c r="AI468" i="7" s="1"/>
  <c r="EN471" i="7" l="1"/>
  <c r="BZ472" i="7"/>
  <c r="CU471" i="7"/>
  <c r="AR470" i="7"/>
  <c r="BI470" i="7" s="1"/>
  <c r="AQ470" i="7"/>
  <c r="AP470" i="7"/>
  <c r="BV472" i="7"/>
  <c r="CQ471" i="7"/>
  <c r="CK473" i="7"/>
  <c r="DF472" i="7"/>
  <c r="BK460" i="7"/>
  <c r="D460" i="7"/>
  <c r="AK461" i="7"/>
  <c r="CI472" i="7"/>
  <c r="DD471" i="7"/>
  <c r="DS471" i="7"/>
  <c r="BB469" i="7"/>
  <c r="DQ469" i="7" s="1"/>
  <c r="AX469" i="7"/>
  <c r="DM469" i="7" s="1"/>
  <c r="AT469" i="7"/>
  <c r="AZ469" i="7"/>
  <c r="DO469" i="7" s="1"/>
  <c r="AU469" i="7"/>
  <c r="DJ469" i="7" s="1"/>
  <c r="AY469" i="7"/>
  <c r="DN469" i="7" s="1"/>
  <c r="BC469" i="7"/>
  <c r="DR469" i="7" s="1"/>
  <c r="AW469" i="7"/>
  <c r="DL469" i="7" s="1"/>
  <c r="BA469" i="7"/>
  <c r="DP469" i="7" s="1"/>
  <c r="AV469" i="7"/>
  <c r="DK469" i="7" s="1"/>
  <c r="AH469" i="7"/>
  <c r="AF469" i="7"/>
  <c r="AI469" i="7" s="1"/>
  <c r="AG469" i="7"/>
  <c r="BY473" i="7"/>
  <c r="CT472" i="7"/>
  <c r="CB472" i="7"/>
  <c r="CW471" i="7"/>
  <c r="DG472" i="7"/>
  <c r="EM472" i="7"/>
  <c r="CL473" i="7"/>
  <c r="BU473" i="7"/>
  <c r="CP472" i="7"/>
  <c r="CZ470" i="7"/>
  <c r="AM470" i="7"/>
  <c r="BG470" i="7" s="1"/>
  <c r="CE471" i="7"/>
  <c r="CO471" i="7"/>
  <c r="BT472" i="7"/>
  <c r="EO471" i="7"/>
  <c r="DI468" i="7"/>
  <c r="DI469" i="7" s="1"/>
  <c r="CS471" i="7"/>
  <c r="BX472" i="7"/>
  <c r="BJ460" i="7"/>
  <c r="BM460" i="7" s="1"/>
  <c r="B460" i="7" s="1"/>
  <c r="C460" i="7"/>
  <c r="F460" i="7" s="1"/>
  <c r="AJ461" i="7"/>
  <c r="CM472" i="7"/>
  <c r="DH471" i="7"/>
  <c r="CF471" i="7"/>
  <c r="DA470" i="7"/>
  <c r="AN470" i="7"/>
  <c r="BH470" i="7" s="1"/>
  <c r="CY471" i="7"/>
  <c r="CD472" i="7"/>
  <c r="CH471" i="7"/>
  <c r="BN470" i="7"/>
  <c r="DC470" i="7"/>
  <c r="P470" i="7"/>
  <c r="DE471" i="7"/>
  <c r="CJ472" i="7"/>
  <c r="BO468" i="7"/>
  <c r="EA470" i="7"/>
  <c r="DV470" i="7"/>
  <c r="BS471" i="7"/>
  <c r="EC470" i="7"/>
  <c r="DW470" i="7"/>
  <c r="EB470" i="7"/>
  <c r="CN470" i="7"/>
  <c r="BO469" i="7" s="1"/>
  <c r="DZ470" i="7"/>
  <c r="EF470" i="7"/>
  <c r="DX470" i="7"/>
  <c r="M470" i="7"/>
  <c r="BL460" i="7"/>
  <c r="E460" i="7"/>
  <c r="AL461" i="7"/>
  <c r="BP467" i="7"/>
  <c r="BF468" i="7"/>
  <c r="BE468" i="7"/>
  <c r="BD468" i="7"/>
  <c r="CG472" i="7"/>
  <c r="DB471" i="7"/>
  <c r="AO471" i="7"/>
  <c r="BG469" i="7"/>
  <c r="CC473" i="7"/>
  <c r="CX472" i="7"/>
  <c r="CA472" i="7"/>
  <c r="CV471" i="7"/>
  <c r="BQ467" i="7"/>
  <c r="BW472" i="7"/>
  <c r="CR471" i="7"/>
  <c r="BP469" i="7" l="1"/>
  <c r="BQ469" i="7" s="1"/>
  <c r="CR472" i="7"/>
  <c r="BW473" i="7"/>
  <c r="BN471" i="7"/>
  <c r="DC471" i="7"/>
  <c r="CH472" i="7"/>
  <c r="BJ461" i="7"/>
  <c r="BM461" i="7" s="1"/>
  <c r="B461" i="7" s="1"/>
  <c r="C461" i="7"/>
  <c r="F461" i="7" s="1"/>
  <c r="AJ462" i="7"/>
  <c r="BY474" i="7"/>
  <c r="CT473" i="7"/>
  <c r="DS472" i="7"/>
  <c r="CI473" i="7"/>
  <c r="DD472" i="7"/>
  <c r="N471" i="7"/>
  <c r="CD473" i="7"/>
  <c r="CY472" i="7"/>
  <c r="AN471" i="7"/>
  <c r="CF472" i="7"/>
  <c r="DA471" i="7"/>
  <c r="DI470" i="7"/>
  <c r="CE472" i="7"/>
  <c r="CZ471" i="7"/>
  <c r="AM471" i="7"/>
  <c r="BU474" i="7"/>
  <c r="CP473" i="7"/>
  <c r="BK461" i="7"/>
  <c r="D461" i="7"/>
  <c r="AK462" i="7"/>
  <c r="CK474" i="7"/>
  <c r="DF473" i="7"/>
  <c r="G467" i="7"/>
  <c r="H467" i="7"/>
  <c r="CC474" i="7"/>
  <c r="CX473" i="7"/>
  <c r="DB472" i="7"/>
  <c r="AO472" i="7"/>
  <c r="CG473" i="7"/>
  <c r="BA470" i="7"/>
  <c r="DP470" i="7" s="1"/>
  <c r="AW470" i="7"/>
  <c r="DL470" i="7" s="1"/>
  <c r="AY470" i="7"/>
  <c r="DN470" i="7" s="1"/>
  <c r="AT470" i="7"/>
  <c r="BC470" i="7"/>
  <c r="DR470" i="7" s="1"/>
  <c r="AX470" i="7"/>
  <c r="DM470" i="7" s="1"/>
  <c r="BB470" i="7"/>
  <c r="DQ470" i="7" s="1"/>
  <c r="AV470" i="7"/>
  <c r="DK470" i="7" s="1"/>
  <c r="AZ470" i="7"/>
  <c r="DO470" i="7" s="1"/>
  <c r="AU470" i="7"/>
  <c r="DJ470" i="7" s="1"/>
  <c r="AG470" i="7"/>
  <c r="AF470" i="7"/>
  <c r="AI470" i="7" s="1"/>
  <c r="AH470" i="7"/>
  <c r="BS472" i="7"/>
  <c r="EF471" i="7"/>
  <c r="DZ471" i="7"/>
  <c r="CN471" i="7"/>
  <c r="BO470" i="7" s="1"/>
  <c r="EA471" i="7"/>
  <c r="DX471" i="7"/>
  <c r="EC471" i="7"/>
  <c r="DW471" i="7"/>
  <c r="EB471" i="7"/>
  <c r="DV471" i="7"/>
  <c r="M471" i="7"/>
  <c r="CJ473" i="7"/>
  <c r="DE472" i="7"/>
  <c r="DG473" i="7"/>
  <c r="EM473" i="7"/>
  <c r="CL474" i="7"/>
  <c r="CW472" i="7"/>
  <c r="CB473" i="7"/>
  <c r="P471" i="7"/>
  <c r="N472" i="7" s="1"/>
  <c r="BP468" i="7"/>
  <c r="BQ468" i="7" s="1"/>
  <c r="CA473" i="7"/>
  <c r="CV472" i="7"/>
  <c r="E461" i="7"/>
  <c r="BL461" i="7"/>
  <c r="AL462" i="7"/>
  <c r="DH472" i="7"/>
  <c r="CM473" i="7"/>
  <c r="BX473" i="7"/>
  <c r="CS472" i="7"/>
  <c r="EO472" i="7"/>
  <c r="BT473" i="7"/>
  <c r="CO472" i="7"/>
  <c r="BF469" i="7"/>
  <c r="BE469" i="7"/>
  <c r="BD469" i="7"/>
  <c r="BV473" i="7"/>
  <c r="CQ472" i="7"/>
  <c r="BZ473" i="7"/>
  <c r="CU472" i="7"/>
  <c r="EN472" i="7"/>
  <c r="BP470" i="7" l="1"/>
  <c r="BQ470" i="7" s="1"/>
  <c r="H468" i="7"/>
  <c r="G468" i="7"/>
  <c r="CD474" i="7"/>
  <c r="CY473" i="7"/>
  <c r="CI474" i="7"/>
  <c r="DD473" i="7"/>
  <c r="DS473" i="7"/>
  <c r="BJ462" i="7"/>
  <c r="BM462" i="7" s="1"/>
  <c r="B462" i="7" s="1"/>
  <c r="C462" i="7"/>
  <c r="F462" i="7" s="1"/>
  <c r="AJ463" i="7"/>
  <c r="H469" i="7"/>
  <c r="G469" i="7"/>
  <c r="CM474" i="7"/>
  <c r="DH473" i="7"/>
  <c r="EN473" i="7"/>
  <c r="BZ474" i="7"/>
  <c r="CU473" i="7"/>
  <c r="CF473" i="7"/>
  <c r="DA472" i="7"/>
  <c r="AN472" i="7"/>
  <c r="AR471" i="7"/>
  <c r="BI471" i="7" s="1"/>
  <c r="AQ471" i="7"/>
  <c r="AP471" i="7"/>
  <c r="BG471" i="7" s="1"/>
  <c r="P472" i="7"/>
  <c r="EM474" i="7"/>
  <c r="DG474" i="7"/>
  <c r="CL475" i="7"/>
  <c r="CJ474" i="7"/>
  <c r="DE473" i="7"/>
  <c r="AQ472" i="7"/>
  <c r="AP472" i="7"/>
  <c r="AR472" i="7"/>
  <c r="AZ471" i="7"/>
  <c r="DO471" i="7" s="1"/>
  <c r="AV471" i="7"/>
  <c r="DK471" i="7" s="1"/>
  <c r="BC471" i="7"/>
  <c r="DR471" i="7" s="1"/>
  <c r="AX471" i="7"/>
  <c r="DM471" i="7" s="1"/>
  <c r="BB471" i="7"/>
  <c r="DQ471" i="7" s="1"/>
  <c r="AW471" i="7"/>
  <c r="DL471" i="7" s="1"/>
  <c r="BA471" i="7"/>
  <c r="DP471" i="7" s="1"/>
  <c r="AU471" i="7"/>
  <c r="DJ471" i="7" s="1"/>
  <c r="AY471" i="7"/>
  <c r="DN471" i="7" s="1"/>
  <c r="AT471" i="7"/>
  <c r="AF471" i="7"/>
  <c r="AI471" i="7" s="1"/>
  <c r="AG471" i="7"/>
  <c r="AH471" i="7"/>
  <c r="BE470" i="7"/>
  <c r="BD470" i="7"/>
  <c r="BF470" i="7"/>
  <c r="CG474" i="7"/>
  <c r="DB473" i="7"/>
  <c r="AO473" i="7"/>
  <c r="CC475" i="7"/>
  <c r="CX474" i="7"/>
  <c r="DF474" i="7"/>
  <c r="CK475" i="7"/>
  <c r="AM472" i="7"/>
  <c r="BG472" i="7" s="1"/>
  <c r="CE473" i="7"/>
  <c r="CZ472" i="7"/>
  <c r="BH471" i="7"/>
  <c r="BT474" i="7"/>
  <c r="CO473" i="7"/>
  <c r="EO473" i="7"/>
  <c r="EC472" i="7"/>
  <c r="DX472" i="7"/>
  <c r="DZ472" i="7"/>
  <c r="EF472" i="7"/>
  <c r="DW472" i="7"/>
  <c r="BS473" i="7"/>
  <c r="EB472" i="7"/>
  <c r="DV472" i="7"/>
  <c r="EA472" i="7"/>
  <c r="CN472" i="7"/>
  <c r="M472" i="7"/>
  <c r="CQ473" i="7"/>
  <c r="BV474" i="7"/>
  <c r="BX474" i="7"/>
  <c r="CS473" i="7"/>
  <c r="BL462" i="7"/>
  <c r="E462" i="7"/>
  <c r="AL463" i="7"/>
  <c r="CV473" i="7"/>
  <c r="CA474" i="7"/>
  <c r="CB474" i="7"/>
  <c r="CW473" i="7"/>
  <c r="BI472" i="7"/>
  <c r="D462" i="7"/>
  <c r="BK462" i="7"/>
  <c r="AK463" i="7"/>
  <c r="CP474" i="7"/>
  <c r="BU475" i="7"/>
  <c r="DI471" i="7"/>
  <c r="BY475" i="7"/>
  <c r="CT474" i="7"/>
  <c r="CH473" i="7"/>
  <c r="DC472" i="7"/>
  <c r="BN472" i="7"/>
  <c r="BW474" i="7"/>
  <c r="CR473" i="7"/>
  <c r="BP471" i="7" l="1"/>
  <c r="H470" i="7"/>
  <c r="G470" i="7"/>
  <c r="BT475" i="7"/>
  <c r="CO474" i="7"/>
  <c r="EO474" i="7"/>
  <c r="CX475" i="7"/>
  <c r="CC476" i="7"/>
  <c r="EM475" i="7"/>
  <c r="DG475" i="7"/>
  <c r="CL476" i="7"/>
  <c r="N473" i="7"/>
  <c r="BH472" i="7"/>
  <c r="CU474" i="7"/>
  <c r="EN474" i="7"/>
  <c r="BZ475" i="7"/>
  <c r="DI472" i="7"/>
  <c r="CB475" i="7"/>
  <c r="CW474" i="7"/>
  <c r="BV475" i="7"/>
  <c r="CQ474" i="7"/>
  <c r="CK476" i="7"/>
  <c r="DF475" i="7"/>
  <c r="P473" i="7"/>
  <c r="N474" i="7" s="1"/>
  <c r="CD475" i="7"/>
  <c r="CY474" i="7"/>
  <c r="CT475" i="7"/>
  <c r="BY476" i="7"/>
  <c r="BK463" i="7"/>
  <c r="D463" i="7"/>
  <c r="AK464" i="7"/>
  <c r="BO471" i="7"/>
  <c r="BQ471" i="7" s="1"/>
  <c r="BD471" i="7"/>
  <c r="BF471" i="7"/>
  <c r="BE471" i="7"/>
  <c r="DA473" i="7"/>
  <c r="AN473" i="7"/>
  <c r="CF474" i="7"/>
  <c r="C463" i="7"/>
  <c r="F463" i="7" s="1"/>
  <c r="BJ463" i="7"/>
  <c r="BM463" i="7" s="1"/>
  <c r="B463" i="7" s="1"/>
  <c r="AJ464" i="7"/>
  <c r="BL463" i="7"/>
  <c r="E463" i="7"/>
  <c r="AL464" i="7"/>
  <c r="BX475" i="7"/>
  <c r="CS474" i="7"/>
  <c r="EB473" i="7"/>
  <c r="DW473" i="7"/>
  <c r="EF473" i="7"/>
  <c r="DX473" i="7"/>
  <c r="BS474" i="7"/>
  <c r="EC473" i="7"/>
  <c r="DV473" i="7"/>
  <c r="EA473" i="7"/>
  <c r="CN473" i="7"/>
  <c r="BO472" i="7" s="1"/>
  <c r="DZ473" i="7"/>
  <c r="M473" i="7"/>
  <c r="BN473" i="7"/>
  <c r="CH474" i="7"/>
  <c r="DC473" i="7"/>
  <c r="BU476" i="7"/>
  <c r="CP475" i="7"/>
  <c r="CA475" i="7"/>
  <c r="CV474" i="7"/>
  <c r="BW475" i="7"/>
  <c r="CR474" i="7"/>
  <c r="BC472" i="7"/>
  <c r="DR472" i="7" s="1"/>
  <c r="AY472" i="7"/>
  <c r="DN472" i="7" s="1"/>
  <c r="AU472" i="7"/>
  <c r="DJ472" i="7" s="1"/>
  <c r="BA472" i="7"/>
  <c r="DP472" i="7" s="1"/>
  <c r="AV472" i="7"/>
  <c r="DK472" i="7" s="1"/>
  <c r="AZ472" i="7"/>
  <c r="DO472" i="7" s="1"/>
  <c r="AT472" i="7"/>
  <c r="AX472" i="7"/>
  <c r="DM472" i="7" s="1"/>
  <c r="BB472" i="7"/>
  <c r="DQ472" i="7" s="1"/>
  <c r="AW472" i="7"/>
  <c r="DL472" i="7" s="1"/>
  <c r="AF472" i="7"/>
  <c r="AI472" i="7" s="1"/>
  <c r="AH472" i="7"/>
  <c r="AG472" i="7"/>
  <c r="CE474" i="7"/>
  <c r="CZ473" i="7"/>
  <c r="AM473" i="7"/>
  <c r="AO474" i="7"/>
  <c r="CG475" i="7"/>
  <c r="DB474" i="7"/>
  <c r="CJ475" i="7"/>
  <c r="DE474" i="7"/>
  <c r="CM475" i="7"/>
  <c r="DH474" i="7"/>
  <c r="CI475" i="7"/>
  <c r="DD474" i="7"/>
  <c r="DS474" i="7"/>
  <c r="BP472" i="7" l="1"/>
  <c r="BQ472" i="7" s="1"/>
  <c r="CF475" i="7"/>
  <c r="DA474" i="7"/>
  <c r="AN474" i="7"/>
  <c r="AR474" i="7"/>
  <c r="AQ474" i="7"/>
  <c r="AP474" i="7"/>
  <c r="BF472" i="7"/>
  <c r="BE472" i="7"/>
  <c r="BD472" i="7"/>
  <c r="BW476" i="7"/>
  <c r="CR475" i="7"/>
  <c r="BU477" i="7"/>
  <c r="CP476" i="7"/>
  <c r="BB473" i="7"/>
  <c r="DQ473" i="7" s="1"/>
  <c r="AX473" i="7"/>
  <c r="DM473" i="7" s="1"/>
  <c r="AT473" i="7"/>
  <c r="AZ473" i="7"/>
  <c r="DO473" i="7" s="1"/>
  <c r="AU473" i="7"/>
  <c r="DJ473" i="7" s="1"/>
  <c r="AY473" i="7"/>
  <c r="DN473" i="7" s="1"/>
  <c r="BC473" i="7"/>
  <c r="DR473" i="7" s="1"/>
  <c r="AW473" i="7"/>
  <c r="DL473" i="7" s="1"/>
  <c r="BA473" i="7"/>
  <c r="DP473" i="7" s="1"/>
  <c r="AV473" i="7"/>
  <c r="DK473" i="7" s="1"/>
  <c r="AH473" i="7"/>
  <c r="AG473" i="7"/>
  <c r="AF473" i="7"/>
  <c r="AI473" i="7" s="1"/>
  <c r="CS475" i="7"/>
  <c r="BX476" i="7"/>
  <c r="BJ464" i="7"/>
  <c r="BM464" i="7" s="1"/>
  <c r="B464" i="7" s="1"/>
  <c r="C464" i="7"/>
  <c r="F464" i="7" s="1"/>
  <c r="AJ465" i="7"/>
  <c r="BH473" i="7"/>
  <c r="BV476" i="7"/>
  <c r="CQ475" i="7"/>
  <c r="EN475" i="7"/>
  <c r="BZ476" i="7"/>
  <c r="CU475" i="7"/>
  <c r="AP473" i="7"/>
  <c r="BG473" i="7" s="1"/>
  <c r="AR473" i="7"/>
  <c r="BI473" i="7" s="1"/>
  <c r="AQ473" i="7"/>
  <c r="CC477" i="7"/>
  <c r="CX476" i="7"/>
  <c r="CO475" i="7"/>
  <c r="BT476" i="7"/>
  <c r="EO475" i="7"/>
  <c r="CI476" i="7"/>
  <c r="DD475" i="7"/>
  <c r="DS475" i="7"/>
  <c r="DE475" i="7"/>
  <c r="CJ476" i="7"/>
  <c r="DI473" i="7"/>
  <c r="P474" i="7"/>
  <c r="CM476" i="7"/>
  <c r="DH475" i="7"/>
  <c r="CG476" i="7"/>
  <c r="DB475" i="7"/>
  <c r="AO475" i="7"/>
  <c r="CZ474" i="7"/>
  <c r="AM474" i="7"/>
  <c r="BG474" i="7" s="1"/>
  <c r="CE475" i="7"/>
  <c r="BL464" i="7"/>
  <c r="E464" i="7"/>
  <c r="AL465" i="7"/>
  <c r="G471" i="7"/>
  <c r="H471" i="7"/>
  <c r="BY477" i="7"/>
  <c r="CT476" i="7"/>
  <c r="CY475" i="7"/>
  <c r="CD476" i="7"/>
  <c r="DG476" i="7"/>
  <c r="EM476" i="7"/>
  <c r="CL477" i="7"/>
  <c r="BI474" i="7"/>
  <c r="CA476" i="7"/>
  <c r="CV475" i="7"/>
  <c r="CH475" i="7"/>
  <c r="BN474" i="7"/>
  <c r="DC474" i="7"/>
  <c r="EA474" i="7"/>
  <c r="DV474" i="7"/>
  <c r="BS475" i="7"/>
  <c r="EC474" i="7"/>
  <c r="DW474" i="7"/>
  <c r="EB474" i="7"/>
  <c r="CN474" i="7"/>
  <c r="BO473" i="7" s="1"/>
  <c r="DZ474" i="7"/>
  <c r="EF474" i="7"/>
  <c r="DX474" i="7"/>
  <c r="M474" i="7"/>
  <c r="BK464" i="7"/>
  <c r="D464" i="7"/>
  <c r="AK465" i="7"/>
  <c r="CK477" i="7"/>
  <c r="DF476" i="7"/>
  <c r="CB476" i="7"/>
  <c r="CW475" i="7"/>
  <c r="BP473" i="7" l="1"/>
  <c r="BQ473" i="7"/>
  <c r="CK478" i="7"/>
  <c r="DF477" i="7"/>
  <c r="BS476" i="7"/>
  <c r="EF475" i="7"/>
  <c r="DZ475" i="7"/>
  <c r="CN475" i="7"/>
  <c r="EA475" i="7"/>
  <c r="DX475" i="7"/>
  <c r="EC475" i="7"/>
  <c r="DW475" i="7"/>
  <c r="EB475" i="7"/>
  <c r="DV475" i="7"/>
  <c r="M475" i="7"/>
  <c r="CD477" i="7"/>
  <c r="CY476" i="7"/>
  <c r="CM477" i="7"/>
  <c r="DH476" i="7"/>
  <c r="CJ477" i="7"/>
  <c r="DE476" i="7"/>
  <c r="DS476" i="7"/>
  <c r="CI477" i="7"/>
  <c r="DD476" i="7"/>
  <c r="BV477" i="7"/>
  <c r="CQ476" i="7"/>
  <c r="H472" i="7"/>
  <c r="G472" i="7"/>
  <c r="CE476" i="7"/>
  <c r="CZ475" i="7"/>
  <c r="AM475" i="7"/>
  <c r="CC478" i="7"/>
  <c r="CX477" i="7"/>
  <c r="BZ477" i="7"/>
  <c r="CU476" i="7"/>
  <c r="EN476" i="7"/>
  <c r="BX477" i="7"/>
  <c r="CS476" i="7"/>
  <c r="BF473" i="7"/>
  <c r="BE473" i="7"/>
  <c r="BD473" i="7"/>
  <c r="BU478" i="7"/>
  <c r="CP477" i="7"/>
  <c r="BH474" i="7"/>
  <c r="BA474" i="7"/>
  <c r="DP474" i="7" s="1"/>
  <c r="AW474" i="7"/>
  <c r="DL474" i="7" s="1"/>
  <c r="AY474" i="7"/>
  <c r="DN474" i="7" s="1"/>
  <c r="AT474" i="7"/>
  <c r="BC474" i="7"/>
  <c r="DR474" i="7" s="1"/>
  <c r="AX474" i="7"/>
  <c r="DM474" i="7" s="1"/>
  <c r="BB474" i="7"/>
  <c r="DQ474" i="7" s="1"/>
  <c r="AV474" i="7"/>
  <c r="DK474" i="7" s="1"/>
  <c r="AZ474" i="7"/>
  <c r="DO474" i="7" s="1"/>
  <c r="AU474" i="7"/>
  <c r="DJ474" i="7" s="1"/>
  <c r="AG474" i="7"/>
  <c r="AF474" i="7"/>
  <c r="AI474" i="7" s="1"/>
  <c r="AH474" i="7"/>
  <c r="BK465" i="7"/>
  <c r="D465" i="7"/>
  <c r="AK466" i="7"/>
  <c r="BN475" i="7"/>
  <c r="DC475" i="7"/>
  <c r="CH476" i="7"/>
  <c r="EM477" i="7"/>
  <c r="DG477" i="7"/>
  <c r="CL478" i="7"/>
  <c r="CB477" i="7"/>
  <c r="CW476" i="7"/>
  <c r="E465" i="7"/>
  <c r="BL465" i="7"/>
  <c r="AL466" i="7"/>
  <c r="CG477" i="7"/>
  <c r="DB476" i="7"/>
  <c r="AO476" i="7"/>
  <c r="N475" i="7"/>
  <c r="P475" i="7"/>
  <c r="N476" i="7" s="1"/>
  <c r="EO476" i="7"/>
  <c r="BT477" i="7"/>
  <c r="CO476" i="7"/>
  <c r="BJ465" i="7"/>
  <c r="BM465" i="7" s="1"/>
  <c r="B465" i="7" s="1"/>
  <c r="C465" i="7"/>
  <c r="F465" i="7" s="1"/>
  <c r="AJ466" i="7"/>
  <c r="CA477" i="7"/>
  <c r="CV476" i="7"/>
  <c r="BY478" i="7"/>
  <c r="CT477" i="7"/>
  <c r="DI474" i="7"/>
  <c r="BW477" i="7"/>
  <c r="CR476" i="7"/>
  <c r="AN475" i="7"/>
  <c r="CF476" i="7"/>
  <c r="DA475" i="7"/>
  <c r="BP474" i="7" l="1"/>
  <c r="BU479" i="7"/>
  <c r="CP478" i="7"/>
  <c r="EN477" i="7"/>
  <c r="BZ478" i="7"/>
  <c r="CU477" i="7"/>
  <c r="P476" i="7"/>
  <c r="CM478" i="7"/>
  <c r="DH477" i="7"/>
  <c r="BO474" i="7"/>
  <c r="BQ474" i="7" s="1"/>
  <c r="H473" i="7"/>
  <c r="G473" i="7"/>
  <c r="CS477" i="7"/>
  <c r="BX478" i="7"/>
  <c r="AM476" i="7"/>
  <c r="CE477" i="7"/>
  <c r="CZ476" i="7"/>
  <c r="BV478" i="7"/>
  <c r="CQ477" i="7"/>
  <c r="AZ475" i="7"/>
  <c r="DO475" i="7" s="1"/>
  <c r="AV475" i="7"/>
  <c r="DK475" i="7" s="1"/>
  <c r="BC475" i="7"/>
  <c r="DR475" i="7" s="1"/>
  <c r="AX475" i="7"/>
  <c r="DM475" i="7" s="1"/>
  <c r="BB475" i="7"/>
  <c r="DQ475" i="7" s="1"/>
  <c r="AW475" i="7"/>
  <c r="DL475" i="7" s="1"/>
  <c r="BA475" i="7"/>
  <c r="DP475" i="7" s="1"/>
  <c r="AU475" i="7"/>
  <c r="DJ475" i="7" s="1"/>
  <c r="AY475" i="7"/>
  <c r="DN475" i="7" s="1"/>
  <c r="AT475" i="7"/>
  <c r="AH475" i="7"/>
  <c r="AF475" i="7"/>
  <c r="AI475" i="7" s="1"/>
  <c r="AG475" i="7"/>
  <c r="CK479" i="7"/>
  <c r="DF478" i="7"/>
  <c r="BW478" i="7"/>
  <c r="CR477" i="7"/>
  <c r="CF477" i="7"/>
  <c r="DA476" i="7"/>
  <c r="AN476" i="7"/>
  <c r="CA478" i="7"/>
  <c r="CV477" i="7"/>
  <c r="D466" i="7"/>
  <c r="BK466" i="7"/>
  <c r="AK467" i="7"/>
  <c r="BE474" i="7"/>
  <c r="BD474" i="7"/>
  <c r="BF474" i="7"/>
  <c r="CX478" i="7"/>
  <c r="CC479" i="7"/>
  <c r="CJ478" i="7"/>
  <c r="DE477" i="7"/>
  <c r="BY479" i="7"/>
  <c r="CT478" i="7"/>
  <c r="EM478" i="7"/>
  <c r="DG478" i="7"/>
  <c r="CL479" i="7"/>
  <c r="DI475" i="7"/>
  <c r="AQ476" i="7"/>
  <c r="AP476" i="7"/>
  <c r="AR476" i="7"/>
  <c r="BI476" i="7" s="1"/>
  <c r="CG478" i="7"/>
  <c r="DB477" i="7"/>
  <c r="AO477" i="7"/>
  <c r="BJ466" i="7"/>
  <c r="BM466" i="7" s="1"/>
  <c r="B466" i="7" s="1"/>
  <c r="C466" i="7"/>
  <c r="F466" i="7" s="1"/>
  <c r="AJ467" i="7"/>
  <c r="EO477" i="7"/>
  <c r="BT478" i="7"/>
  <c r="CO477" i="7"/>
  <c r="AR475" i="7"/>
  <c r="BI475" i="7" s="1"/>
  <c r="AQ475" i="7"/>
  <c r="BH475" i="7" s="1"/>
  <c r="AP475" i="7"/>
  <c r="BL466" i="7"/>
  <c r="E466" i="7"/>
  <c r="AL467" i="7"/>
  <c r="CB478" i="7"/>
  <c r="CW477" i="7"/>
  <c r="CH477" i="7"/>
  <c r="DC476" i="7"/>
  <c r="BN476" i="7"/>
  <c r="BG475" i="7"/>
  <c r="DD477" i="7"/>
  <c r="DS477" i="7"/>
  <c r="CI478" i="7"/>
  <c r="CY477" i="7"/>
  <c r="CD478" i="7"/>
  <c r="EC476" i="7"/>
  <c r="DX476" i="7"/>
  <c r="DZ476" i="7"/>
  <c r="EF476" i="7"/>
  <c r="DW476" i="7"/>
  <c r="BS477" i="7"/>
  <c r="EB476" i="7"/>
  <c r="DV476" i="7"/>
  <c r="EA476" i="7"/>
  <c r="CN476" i="7"/>
  <c r="M476" i="7"/>
  <c r="BP475" i="7" l="1"/>
  <c r="P477" i="7"/>
  <c r="CD479" i="7"/>
  <c r="CY478" i="7"/>
  <c r="BT479" i="7"/>
  <c r="CO478" i="7"/>
  <c r="EO478" i="7"/>
  <c r="AO478" i="7"/>
  <c r="CG479" i="7"/>
  <c r="DB478" i="7"/>
  <c r="DG479" i="7"/>
  <c r="EM479" i="7"/>
  <c r="CL480" i="7"/>
  <c r="BY480" i="7"/>
  <c r="CT479" i="7"/>
  <c r="BK467" i="7"/>
  <c r="D467" i="7"/>
  <c r="AK468" i="7"/>
  <c r="CA479" i="7"/>
  <c r="CV478" i="7"/>
  <c r="CE478" i="7"/>
  <c r="CZ477" i="7"/>
  <c r="AM477" i="7"/>
  <c r="CP479" i="7"/>
  <c r="BU480" i="7"/>
  <c r="BC476" i="7"/>
  <c r="DR476" i="7" s="1"/>
  <c r="AY476" i="7"/>
  <c r="DN476" i="7" s="1"/>
  <c r="AU476" i="7"/>
  <c r="DJ476" i="7" s="1"/>
  <c r="BA476" i="7"/>
  <c r="DP476" i="7" s="1"/>
  <c r="AV476" i="7"/>
  <c r="DK476" i="7" s="1"/>
  <c r="AZ476" i="7"/>
  <c r="DO476" i="7" s="1"/>
  <c r="AT476" i="7"/>
  <c r="AX476" i="7"/>
  <c r="DM476" i="7" s="1"/>
  <c r="BB476" i="7"/>
  <c r="DQ476" i="7" s="1"/>
  <c r="AW476" i="7"/>
  <c r="DL476" i="7" s="1"/>
  <c r="AF476" i="7"/>
  <c r="AI476" i="7" s="1"/>
  <c r="AG476" i="7"/>
  <c r="AH476" i="7"/>
  <c r="BO475" i="7"/>
  <c r="BQ475" i="7" s="1"/>
  <c r="EB477" i="7"/>
  <c r="DW477" i="7"/>
  <c r="EA477" i="7"/>
  <c r="CN477" i="7"/>
  <c r="DZ477" i="7"/>
  <c r="EF477" i="7"/>
  <c r="DX477" i="7"/>
  <c r="BS478" i="7"/>
  <c r="EC477" i="7"/>
  <c r="DV477" i="7"/>
  <c r="M477" i="7"/>
  <c r="DS478" i="7"/>
  <c r="CI479" i="7"/>
  <c r="DD478" i="7"/>
  <c r="CB479" i="7"/>
  <c r="CW478" i="7"/>
  <c r="BH476" i="7"/>
  <c r="CR478" i="7"/>
  <c r="BW479" i="7"/>
  <c r="BG476" i="7"/>
  <c r="DH478" i="7"/>
  <c r="CM479" i="7"/>
  <c r="EN478" i="7"/>
  <c r="BZ479" i="7"/>
  <c r="CU478" i="7"/>
  <c r="BL467" i="7"/>
  <c r="E467" i="7"/>
  <c r="AL468" i="7"/>
  <c r="C467" i="7"/>
  <c r="F467" i="7" s="1"/>
  <c r="BJ467" i="7"/>
  <c r="BM467" i="7" s="1"/>
  <c r="B467" i="7" s="1"/>
  <c r="AJ468" i="7"/>
  <c r="CJ479" i="7"/>
  <c r="DE478" i="7"/>
  <c r="BV479" i="7"/>
  <c r="CQ478" i="7"/>
  <c r="BX479" i="7"/>
  <c r="CS478" i="7"/>
  <c r="N477" i="7"/>
  <c r="BN477" i="7"/>
  <c r="CH478" i="7"/>
  <c r="DC477" i="7"/>
  <c r="DI476" i="7"/>
  <c r="CC480" i="7"/>
  <c r="CX479" i="7"/>
  <c r="CF478" i="7"/>
  <c r="DA477" i="7"/>
  <c r="AN477" i="7"/>
  <c r="DF479" i="7"/>
  <c r="CK480" i="7"/>
  <c r="BD475" i="7"/>
  <c r="BF475" i="7"/>
  <c r="BE475" i="7"/>
  <c r="H474" i="7"/>
  <c r="G474" i="7"/>
  <c r="BP476" i="7" l="1"/>
  <c r="AP477" i="7"/>
  <c r="AR477" i="7"/>
  <c r="BI477" i="7" s="1"/>
  <c r="AQ477" i="7"/>
  <c r="CQ479" i="7"/>
  <c r="BV480" i="7"/>
  <c r="BJ468" i="7"/>
  <c r="BM468" i="7" s="1"/>
  <c r="B468" i="7" s="1"/>
  <c r="C468" i="7"/>
  <c r="F468" i="7" s="1"/>
  <c r="AJ469" i="7"/>
  <c r="BW480" i="7"/>
  <c r="CR479" i="7"/>
  <c r="CW479" i="7"/>
  <c r="CB480" i="7"/>
  <c r="P478" i="7"/>
  <c r="EA478" i="7"/>
  <c r="DV478" i="7"/>
  <c r="DZ478" i="7"/>
  <c r="EF478" i="7"/>
  <c r="DX478" i="7"/>
  <c r="BS479" i="7"/>
  <c r="EC478" i="7"/>
  <c r="DW478" i="7"/>
  <c r="EB478" i="7"/>
  <c r="CN478" i="7"/>
  <c r="M478" i="7"/>
  <c r="BO476" i="7"/>
  <c r="BQ476" i="7" s="1"/>
  <c r="G475" i="7"/>
  <c r="H475" i="7"/>
  <c r="BG477" i="7"/>
  <c r="CA480" i="7"/>
  <c r="CV479" i="7"/>
  <c r="CD480" i="7"/>
  <c r="CY479" i="7"/>
  <c r="BB477" i="7"/>
  <c r="DQ477" i="7" s="1"/>
  <c r="AX477" i="7"/>
  <c r="DM477" i="7" s="1"/>
  <c r="AT477" i="7"/>
  <c r="DI477" i="7" s="1"/>
  <c r="AZ477" i="7"/>
  <c r="DO477" i="7" s="1"/>
  <c r="AU477" i="7"/>
  <c r="DJ477" i="7" s="1"/>
  <c r="AY477" i="7"/>
  <c r="DN477" i="7" s="1"/>
  <c r="BC477" i="7"/>
  <c r="DR477" i="7" s="1"/>
  <c r="AW477" i="7"/>
  <c r="DL477" i="7" s="1"/>
  <c r="BA477" i="7"/>
  <c r="DP477" i="7" s="1"/>
  <c r="AV477" i="7"/>
  <c r="DK477" i="7" s="1"/>
  <c r="AH477" i="7"/>
  <c r="AG477" i="7"/>
  <c r="AF477" i="7"/>
  <c r="AI477" i="7" s="1"/>
  <c r="BK468" i="7"/>
  <c r="D468" i="7"/>
  <c r="AK469" i="7"/>
  <c r="CT480" i="7"/>
  <c r="BY481" i="7"/>
  <c r="CM480" i="7"/>
  <c r="DH479" i="7"/>
  <c r="DC478" i="7"/>
  <c r="CH479" i="7"/>
  <c r="BN478" i="7"/>
  <c r="BX480" i="7"/>
  <c r="CS479" i="7"/>
  <c r="CJ480" i="7"/>
  <c r="DE479" i="7"/>
  <c r="BU481" i="7"/>
  <c r="CP480" i="7"/>
  <c r="CE479" i="7"/>
  <c r="CZ478" i="7"/>
  <c r="AM478" i="7"/>
  <c r="EM480" i="7"/>
  <c r="DG480" i="7"/>
  <c r="CL481" i="7"/>
  <c r="DB479" i="7"/>
  <c r="AO479" i="7"/>
  <c r="CG480" i="7"/>
  <c r="BT480" i="7"/>
  <c r="EO479" i="7"/>
  <c r="CO479" i="7"/>
  <c r="N478" i="7"/>
  <c r="DF480" i="7"/>
  <c r="CK481" i="7"/>
  <c r="CF479" i="7"/>
  <c r="DA478" i="7"/>
  <c r="AN478" i="7"/>
  <c r="BH477" i="7"/>
  <c r="CC481" i="7"/>
  <c r="CX480" i="7"/>
  <c r="BL468" i="7"/>
  <c r="E468" i="7"/>
  <c r="AL469" i="7"/>
  <c r="CU479" i="7"/>
  <c r="EN479" i="7"/>
  <c r="BZ480" i="7"/>
  <c r="CI480" i="7"/>
  <c r="DD479" i="7"/>
  <c r="DS479" i="7"/>
  <c r="BF476" i="7"/>
  <c r="BE476" i="7"/>
  <c r="BD476" i="7"/>
  <c r="BP477" i="7" l="1"/>
  <c r="CX481" i="7"/>
  <c r="CC482" i="7"/>
  <c r="AN479" i="7"/>
  <c r="DA479" i="7"/>
  <c r="CF480" i="7"/>
  <c r="CA481" i="7"/>
  <c r="CV480" i="7"/>
  <c r="H476" i="7"/>
  <c r="G476" i="7"/>
  <c r="DD480" i="7"/>
  <c r="CI481" i="7"/>
  <c r="DS480" i="7"/>
  <c r="CU480" i="7"/>
  <c r="BZ481" i="7"/>
  <c r="EN480" i="7"/>
  <c r="P479" i="7"/>
  <c r="CK482" i="7"/>
  <c r="DF481" i="7"/>
  <c r="BU482" i="7"/>
  <c r="CP481" i="7"/>
  <c r="BX481" i="7"/>
  <c r="CS480" i="7"/>
  <c r="BK469" i="7"/>
  <c r="D469" i="7"/>
  <c r="AK470" i="7"/>
  <c r="BA478" i="7"/>
  <c r="DP478" i="7" s="1"/>
  <c r="AW478" i="7"/>
  <c r="DL478" i="7" s="1"/>
  <c r="BB478" i="7"/>
  <c r="DQ478" i="7" s="1"/>
  <c r="AV478" i="7"/>
  <c r="DK478" i="7" s="1"/>
  <c r="AZ478" i="7"/>
  <c r="DO478" i="7" s="1"/>
  <c r="AU478" i="7"/>
  <c r="DJ478" i="7" s="1"/>
  <c r="AY478" i="7"/>
  <c r="DN478" i="7" s="1"/>
  <c r="AT478" i="7"/>
  <c r="BC478" i="7"/>
  <c r="DR478" i="7" s="1"/>
  <c r="AX478" i="7"/>
  <c r="DM478" i="7" s="1"/>
  <c r="AG478" i="7"/>
  <c r="AH478" i="7"/>
  <c r="AF478" i="7"/>
  <c r="AI478" i="7" s="1"/>
  <c r="N479" i="7"/>
  <c r="BW481" i="7"/>
  <c r="CR480" i="7"/>
  <c r="CQ480" i="7"/>
  <c r="BV481" i="7"/>
  <c r="BT481" i="7"/>
  <c r="EO480" i="7"/>
  <c r="CO480" i="7"/>
  <c r="EM481" i="7"/>
  <c r="DG481" i="7"/>
  <c r="CL482" i="7"/>
  <c r="CM481" i="7"/>
  <c r="DH480" i="7"/>
  <c r="BF477" i="7"/>
  <c r="BE477" i="7"/>
  <c r="BD477" i="7"/>
  <c r="CY480" i="7"/>
  <c r="CD481" i="7"/>
  <c r="BO477" i="7"/>
  <c r="BQ477" i="7" s="1"/>
  <c r="BS480" i="7"/>
  <c r="EF479" i="7"/>
  <c r="DZ479" i="7"/>
  <c r="CN479" i="7"/>
  <c r="EC479" i="7"/>
  <c r="DW479" i="7"/>
  <c r="EB479" i="7"/>
  <c r="DV479" i="7"/>
  <c r="EA479" i="7"/>
  <c r="DX479" i="7"/>
  <c r="M479" i="7"/>
  <c r="CB481" i="7"/>
  <c r="CW480" i="7"/>
  <c r="BJ469" i="7"/>
  <c r="BM469" i="7" s="1"/>
  <c r="B469" i="7" s="1"/>
  <c r="C469" i="7"/>
  <c r="F469" i="7" s="1"/>
  <c r="AJ470" i="7"/>
  <c r="E469" i="7"/>
  <c r="BL469" i="7"/>
  <c r="AL470" i="7"/>
  <c r="AQ478" i="7"/>
  <c r="BH478" i="7" s="1"/>
  <c r="AP478" i="7"/>
  <c r="BG478" i="7" s="1"/>
  <c r="AR478" i="7"/>
  <c r="BI478" i="7" s="1"/>
  <c r="CG481" i="7"/>
  <c r="DB480" i="7"/>
  <c r="AO480" i="7"/>
  <c r="CE480" i="7"/>
  <c r="CZ479" i="7"/>
  <c r="AM479" i="7"/>
  <c r="CJ481" i="7"/>
  <c r="DE480" i="7"/>
  <c r="CH480" i="7"/>
  <c r="BN479" i="7"/>
  <c r="DC479" i="7"/>
  <c r="BY482" i="7"/>
  <c r="CT481" i="7"/>
  <c r="BY483" i="7" l="1"/>
  <c r="CT482" i="7"/>
  <c r="BL470" i="7"/>
  <c r="E470" i="7"/>
  <c r="AL471" i="7"/>
  <c r="AZ479" i="7"/>
  <c r="DO479" i="7" s="1"/>
  <c r="AV479" i="7"/>
  <c r="DK479" i="7" s="1"/>
  <c r="BA479" i="7"/>
  <c r="DP479" i="7" s="1"/>
  <c r="AU479" i="7"/>
  <c r="DJ479" i="7" s="1"/>
  <c r="AY479" i="7"/>
  <c r="DN479" i="7" s="1"/>
  <c r="AT479" i="7"/>
  <c r="BC479" i="7"/>
  <c r="DR479" i="7" s="1"/>
  <c r="AX479" i="7"/>
  <c r="DM479" i="7" s="1"/>
  <c r="BB479" i="7"/>
  <c r="DQ479" i="7" s="1"/>
  <c r="AW479" i="7"/>
  <c r="DL479" i="7" s="1"/>
  <c r="AF479" i="7"/>
  <c r="AI479" i="7" s="1"/>
  <c r="AG479" i="7"/>
  <c r="AH479" i="7"/>
  <c r="CD482" i="7"/>
  <c r="CY481" i="7"/>
  <c r="DG482" i="7"/>
  <c r="EM482" i="7"/>
  <c r="CL483" i="7"/>
  <c r="N480" i="7"/>
  <c r="P480" i="7"/>
  <c r="CF481" i="7"/>
  <c r="DA480" i="7"/>
  <c r="AN480" i="7"/>
  <c r="AM480" i="7"/>
  <c r="CZ480" i="7"/>
  <c r="CE481" i="7"/>
  <c r="CH481" i="7"/>
  <c r="BN480" i="7"/>
  <c r="DC480" i="7"/>
  <c r="CG482" i="7"/>
  <c r="DB481" i="7"/>
  <c r="AO481" i="7"/>
  <c r="EO481" i="7"/>
  <c r="CO481" i="7"/>
  <c r="BT482" i="7"/>
  <c r="BE478" i="7"/>
  <c r="BF478" i="7"/>
  <c r="BD478" i="7"/>
  <c r="D470" i="7"/>
  <c r="BK470" i="7"/>
  <c r="AK471" i="7"/>
  <c r="CS481" i="7"/>
  <c r="BX482" i="7"/>
  <c r="CI482" i="7"/>
  <c r="DD481" i="7"/>
  <c r="DS481" i="7"/>
  <c r="EA480" i="7"/>
  <c r="DV480" i="7"/>
  <c r="EB480" i="7"/>
  <c r="EC480" i="7"/>
  <c r="BS481" i="7"/>
  <c r="DZ480" i="7"/>
  <c r="CN480" i="7"/>
  <c r="BO479" i="7" s="1"/>
  <c r="DX480" i="7"/>
  <c r="EF480" i="7"/>
  <c r="DW480" i="7"/>
  <c r="M480" i="7"/>
  <c r="CM482" i="7"/>
  <c r="DH481" i="7"/>
  <c r="BW482" i="7"/>
  <c r="CR481" i="7"/>
  <c r="DF482" i="7"/>
  <c r="CK483" i="7"/>
  <c r="BZ482" i="7"/>
  <c r="EN481" i="7"/>
  <c r="CU481" i="7"/>
  <c r="CA482" i="7"/>
  <c r="CV481" i="7"/>
  <c r="BH479" i="7"/>
  <c r="DE481" i="7"/>
  <c r="CJ482" i="7"/>
  <c r="BJ470" i="7"/>
  <c r="BM470" i="7" s="1"/>
  <c r="B470" i="7" s="1"/>
  <c r="C470" i="7"/>
  <c r="F470" i="7" s="1"/>
  <c r="AJ471" i="7"/>
  <c r="CW481" i="7"/>
  <c r="CB482" i="7"/>
  <c r="BO478" i="7"/>
  <c r="H477" i="7"/>
  <c r="G477" i="7"/>
  <c r="BV482" i="7"/>
  <c r="CQ481" i="7"/>
  <c r="AR479" i="7"/>
  <c r="BI479" i="7" s="1"/>
  <c r="AP479" i="7"/>
  <c r="BG479" i="7" s="1"/>
  <c r="AQ479" i="7"/>
  <c r="CP482" i="7"/>
  <c r="BU483" i="7"/>
  <c r="CC483" i="7"/>
  <c r="CX482" i="7"/>
  <c r="DI478" i="7"/>
  <c r="DI479" i="7" s="1"/>
  <c r="BP479" i="7" l="1"/>
  <c r="BQ479" i="7" s="1"/>
  <c r="BU484" i="7"/>
  <c r="CP483" i="7"/>
  <c r="CM483" i="7"/>
  <c r="DH482" i="7"/>
  <c r="P481" i="7"/>
  <c r="AO482" i="7"/>
  <c r="DB482" i="7"/>
  <c r="CG483" i="7"/>
  <c r="CE482" i="7"/>
  <c r="CZ481" i="7"/>
  <c r="AM481" i="7"/>
  <c r="AQ480" i="7"/>
  <c r="AR480" i="7"/>
  <c r="BI480" i="7" s="1"/>
  <c r="AP480" i="7"/>
  <c r="CB483" i="7"/>
  <c r="CW482" i="7"/>
  <c r="BK471" i="7"/>
  <c r="D471" i="7"/>
  <c r="AK472" i="7"/>
  <c r="AN481" i="7"/>
  <c r="CF482" i="7"/>
  <c r="DA481" i="7"/>
  <c r="EM483" i="7"/>
  <c r="DG483" i="7"/>
  <c r="CL484" i="7"/>
  <c r="CD483" i="7"/>
  <c r="CY482" i="7"/>
  <c r="BD479" i="7"/>
  <c r="BF479" i="7"/>
  <c r="BE479" i="7"/>
  <c r="BY484" i="7"/>
  <c r="CT483" i="7"/>
  <c r="BP478" i="7"/>
  <c r="BQ478" i="7" s="1"/>
  <c r="BV483" i="7"/>
  <c r="CQ482" i="7"/>
  <c r="BC480" i="7"/>
  <c r="DR480" i="7" s="1"/>
  <c r="AY480" i="7"/>
  <c r="DN480" i="7" s="1"/>
  <c r="AU480" i="7"/>
  <c r="DJ480" i="7" s="1"/>
  <c r="AX480" i="7"/>
  <c r="DM480" i="7" s="1"/>
  <c r="BB480" i="7"/>
  <c r="DQ480" i="7" s="1"/>
  <c r="AW480" i="7"/>
  <c r="DL480" i="7" s="1"/>
  <c r="BA480" i="7"/>
  <c r="DP480" i="7" s="1"/>
  <c r="AV480" i="7"/>
  <c r="DK480" i="7" s="1"/>
  <c r="AZ480" i="7"/>
  <c r="DO480" i="7" s="1"/>
  <c r="AT480" i="7"/>
  <c r="DI480" i="7" s="1"/>
  <c r="AF480" i="7"/>
  <c r="AI480" i="7" s="1"/>
  <c r="AG480" i="7"/>
  <c r="AH480" i="7"/>
  <c r="BZ483" i="7"/>
  <c r="CU482" i="7"/>
  <c r="EN482" i="7"/>
  <c r="BW483" i="7"/>
  <c r="CR482" i="7"/>
  <c r="DS482" i="7"/>
  <c r="CI483" i="7"/>
  <c r="DD482" i="7"/>
  <c r="BG480" i="7"/>
  <c r="N481" i="7"/>
  <c r="CC484" i="7"/>
  <c r="CX483" i="7"/>
  <c r="C471" i="7"/>
  <c r="F471" i="7" s="1"/>
  <c r="BJ471" i="7"/>
  <c r="BM471" i="7" s="1"/>
  <c r="B471" i="7" s="1"/>
  <c r="AJ472" i="7"/>
  <c r="CJ483" i="7"/>
  <c r="DE482" i="7"/>
  <c r="CV482" i="7"/>
  <c r="CA483" i="7"/>
  <c r="CK484" i="7"/>
  <c r="DF483" i="7"/>
  <c r="BS482" i="7"/>
  <c r="EF481" i="7"/>
  <c r="DZ481" i="7"/>
  <c r="CN481" i="7"/>
  <c r="DX481" i="7"/>
  <c r="EA481" i="7"/>
  <c r="DW481" i="7"/>
  <c r="EC481" i="7"/>
  <c r="DV481" i="7"/>
  <c r="EB481" i="7"/>
  <c r="M481" i="7"/>
  <c r="BX483" i="7"/>
  <c r="CS482" i="7"/>
  <c r="EO482" i="7"/>
  <c r="BT483" i="7"/>
  <c r="CO482" i="7"/>
  <c r="DC481" i="7"/>
  <c r="BN481" i="7"/>
  <c r="CH482" i="7"/>
  <c r="BH480" i="7"/>
  <c r="BL471" i="7"/>
  <c r="E471" i="7"/>
  <c r="AL472" i="7"/>
  <c r="BP480" i="7" l="1"/>
  <c r="H478" i="7"/>
  <c r="G478" i="7"/>
  <c r="G479" i="7"/>
  <c r="H479" i="7"/>
  <c r="BO480" i="7"/>
  <c r="BQ480" i="7" s="1"/>
  <c r="CI484" i="7"/>
  <c r="DS483" i="7"/>
  <c r="DD483" i="7"/>
  <c r="CT484" i="7"/>
  <c r="BY485" i="7"/>
  <c r="BK472" i="7"/>
  <c r="D472" i="7"/>
  <c r="AK473" i="7"/>
  <c r="CB484" i="7"/>
  <c r="CW483" i="7"/>
  <c r="DH483" i="7"/>
  <c r="CM484" i="7"/>
  <c r="AZ481" i="7"/>
  <c r="DO481" i="7" s="1"/>
  <c r="AV481" i="7"/>
  <c r="DK481" i="7" s="1"/>
  <c r="BB481" i="7"/>
  <c r="DQ481" i="7" s="1"/>
  <c r="AW481" i="7"/>
  <c r="DL481" i="7" s="1"/>
  <c r="AY481" i="7"/>
  <c r="DN481" i="7" s="1"/>
  <c r="AX481" i="7"/>
  <c r="DM481" i="7" s="1"/>
  <c r="BC481" i="7"/>
  <c r="DR481" i="7" s="1"/>
  <c r="AU481" i="7"/>
  <c r="DJ481" i="7" s="1"/>
  <c r="BA481" i="7"/>
  <c r="DP481" i="7" s="1"/>
  <c r="AT481" i="7"/>
  <c r="AH481" i="7"/>
  <c r="AG481" i="7"/>
  <c r="AF481" i="7"/>
  <c r="AI481" i="7" s="1"/>
  <c r="DF484" i="7"/>
  <c r="CK485" i="7"/>
  <c r="DE483" i="7"/>
  <c r="CJ484" i="7"/>
  <c r="P482" i="7"/>
  <c r="BV484" i="7"/>
  <c r="CQ483" i="7"/>
  <c r="CD484" i="7"/>
  <c r="CY483" i="7"/>
  <c r="AM482" i="7"/>
  <c r="CE483" i="7"/>
  <c r="CZ482" i="7"/>
  <c r="BX484" i="7"/>
  <c r="CS483" i="7"/>
  <c r="BL472" i="7"/>
  <c r="E472" i="7"/>
  <c r="AL473" i="7"/>
  <c r="CH483" i="7"/>
  <c r="DC482" i="7"/>
  <c r="BN482" i="7"/>
  <c r="CO483" i="7"/>
  <c r="BT484" i="7"/>
  <c r="EO483" i="7"/>
  <c r="CA484" i="7"/>
  <c r="CV483" i="7"/>
  <c r="BJ472" i="7"/>
  <c r="BM472" i="7" s="1"/>
  <c r="B472" i="7" s="1"/>
  <c r="C472" i="7"/>
  <c r="F472" i="7" s="1"/>
  <c r="AJ473" i="7"/>
  <c r="CC485" i="7"/>
  <c r="CX484" i="7"/>
  <c r="EN483" i="7"/>
  <c r="CU483" i="7"/>
  <c r="BZ484" i="7"/>
  <c r="BD480" i="7"/>
  <c r="BF480" i="7"/>
  <c r="BE480" i="7"/>
  <c r="EM484" i="7"/>
  <c r="DG484" i="7"/>
  <c r="CL485" i="7"/>
  <c r="DA482" i="7"/>
  <c r="CF483" i="7"/>
  <c r="AN482" i="7"/>
  <c r="CG484" i="7"/>
  <c r="DB483" i="7"/>
  <c r="AO483" i="7"/>
  <c r="N482" i="7"/>
  <c r="EC482" i="7"/>
  <c r="DX482" i="7"/>
  <c r="EF482" i="7"/>
  <c r="DW482" i="7"/>
  <c r="DZ482" i="7"/>
  <c r="CN482" i="7"/>
  <c r="BO481" i="7" s="1"/>
  <c r="DV482" i="7"/>
  <c r="EB482" i="7"/>
  <c r="BS483" i="7"/>
  <c r="EA482" i="7"/>
  <c r="M482" i="7"/>
  <c r="AR481" i="7"/>
  <c r="BI481" i="7" s="1"/>
  <c r="AQ481" i="7"/>
  <c r="AP481" i="7"/>
  <c r="BW484" i="7"/>
  <c r="CR483" i="7"/>
  <c r="BH481" i="7"/>
  <c r="BG481" i="7"/>
  <c r="BU485" i="7"/>
  <c r="CP484" i="7"/>
  <c r="BU486" i="7" l="1"/>
  <c r="CP485" i="7"/>
  <c r="BW485" i="7"/>
  <c r="CR484" i="7"/>
  <c r="BJ473" i="7"/>
  <c r="BM473" i="7" s="1"/>
  <c r="B473" i="7" s="1"/>
  <c r="C473" i="7"/>
  <c r="F473" i="7" s="1"/>
  <c r="AJ474" i="7"/>
  <c r="CA485" i="7"/>
  <c r="CV484" i="7"/>
  <c r="E473" i="7"/>
  <c r="BL473" i="7"/>
  <c r="AL474" i="7"/>
  <c r="BX485" i="7"/>
  <c r="CS484" i="7"/>
  <c r="N483" i="7"/>
  <c r="CK486" i="7"/>
  <c r="DF485" i="7"/>
  <c r="BK473" i="7"/>
  <c r="D473" i="7"/>
  <c r="AK474" i="7"/>
  <c r="H480" i="7"/>
  <c r="G480" i="7"/>
  <c r="EB483" i="7"/>
  <c r="DW483" i="7"/>
  <c r="BS484" i="7"/>
  <c r="EC483" i="7"/>
  <c r="DV483" i="7"/>
  <c r="DX483" i="7"/>
  <c r="EF483" i="7"/>
  <c r="EA483" i="7"/>
  <c r="DZ483" i="7"/>
  <c r="CN483" i="7"/>
  <c r="M483" i="7"/>
  <c r="AO484" i="7"/>
  <c r="CG485" i="7"/>
  <c r="DB484" i="7"/>
  <c r="EM485" i="7"/>
  <c r="DG485" i="7"/>
  <c r="CL486" i="7"/>
  <c r="CY484" i="7"/>
  <c r="CD485" i="7"/>
  <c r="BD481" i="7"/>
  <c r="BF481" i="7"/>
  <c r="BE481" i="7"/>
  <c r="AQ482" i="7"/>
  <c r="AP482" i="7"/>
  <c r="AR482" i="7"/>
  <c r="BI482" i="7" s="1"/>
  <c r="CZ483" i="7"/>
  <c r="CE484" i="7"/>
  <c r="AM483" i="7"/>
  <c r="CJ485" i="7"/>
  <c r="DE484" i="7"/>
  <c r="P483" i="7"/>
  <c r="N484" i="7" s="1"/>
  <c r="DI481" i="7"/>
  <c r="BH482" i="7"/>
  <c r="BC482" i="7"/>
  <c r="DR482" i="7" s="1"/>
  <c r="AY482" i="7"/>
  <c r="DN482" i="7" s="1"/>
  <c r="AU482" i="7"/>
  <c r="DJ482" i="7" s="1"/>
  <c r="AZ482" i="7"/>
  <c r="DO482" i="7" s="1"/>
  <c r="AT482" i="7"/>
  <c r="AW482" i="7"/>
  <c r="DL482" i="7" s="1"/>
  <c r="BB482" i="7"/>
  <c r="DQ482" i="7" s="1"/>
  <c r="AV482" i="7"/>
  <c r="DK482" i="7" s="1"/>
  <c r="BA482" i="7"/>
  <c r="DP482" i="7" s="1"/>
  <c r="AX482" i="7"/>
  <c r="DM482" i="7" s="1"/>
  <c r="AH482" i="7"/>
  <c r="AG482" i="7"/>
  <c r="AF482" i="7"/>
  <c r="AI482" i="7" s="1"/>
  <c r="AN483" i="7"/>
  <c r="DA483" i="7"/>
  <c r="CF484" i="7"/>
  <c r="BZ485" i="7"/>
  <c r="EN484" i="7"/>
  <c r="CU484" i="7"/>
  <c r="CX485" i="7"/>
  <c r="CC486" i="7"/>
  <c r="BT485" i="7"/>
  <c r="CO484" i="7"/>
  <c r="EO484" i="7"/>
  <c r="BN483" i="7"/>
  <c r="CH484" i="7"/>
  <c r="DC483" i="7"/>
  <c r="BG482" i="7"/>
  <c r="CQ484" i="7"/>
  <c r="BV485" i="7"/>
  <c r="CM485" i="7"/>
  <c r="DH484" i="7"/>
  <c r="CB485" i="7"/>
  <c r="CW484" i="7"/>
  <c r="BY486" i="7"/>
  <c r="CT485" i="7"/>
  <c r="DD484" i="7"/>
  <c r="CI485" i="7"/>
  <c r="DS484" i="7"/>
  <c r="CF485" i="7" l="1"/>
  <c r="DA484" i="7"/>
  <c r="AN484" i="7"/>
  <c r="BE482" i="7"/>
  <c r="BD482" i="7"/>
  <c r="BF482" i="7"/>
  <c r="AR484" i="7"/>
  <c r="AQ484" i="7"/>
  <c r="AP484" i="7"/>
  <c r="AM484" i="7"/>
  <c r="CZ484" i="7"/>
  <c r="CE485" i="7"/>
  <c r="BB483" i="7"/>
  <c r="DQ483" i="7" s="1"/>
  <c r="AX483" i="7"/>
  <c r="DM483" i="7" s="1"/>
  <c r="AT483" i="7"/>
  <c r="AY483" i="7"/>
  <c r="DN483" i="7" s="1"/>
  <c r="BC483" i="7"/>
  <c r="DR483" i="7" s="1"/>
  <c r="AV483" i="7"/>
  <c r="DK483" i="7" s="1"/>
  <c r="BA483" i="7"/>
  <c r="DP483" i="7" s="1"/>
  <c r="AU483" i="7"/>
  <c r="DJ483" i="7" s="1"/>
  <c r="AZ483" i="7"/>
  <c r="DO483" i="7" s="1"/>
  <c r="AW483" i="7"/>
  <c r="DL483" i="7" s="1"/>
  <c r="AG483" i="7"/>
  <c r="AH483" i="7"/>
  <c r="AF483" i="7"/>
  <c r="AI483" i="7" s="1"/>
  <c r="EA484" i="7"/>
  <c r="DV484" i="7"/>
  <c r="EB484" i="7"/>
  <c r="CN484" i="7"/>
  <c r="EC484" i="7"/>
  <c r="BS485" i="7"/>
  <c r="DZ484" i="7"/>
  <c r="DX484" i="7"/>
  <c r="EF484" i="7"/>
  <c r="DW484" i="7"/>
  <c r="M484" i="7"/>
  <c r="CS485" i="7"/>
  <c r="BX486" i="7"/>
  <c r="CP486" i="7"/>
  <c r="BU487" i="7"/>
  <c r="BO482" i="7"/>
  <c r="D474" i="7"/>
  <c r="BK474" i="7"/>
  <c r="AK475" i="7"/>
  <c r="DF486" i="7"/>
  <c r="CK487" i="7"/>
  <c r="BL474" i="7"/>
  <c r="E474" i="7"/>
  <c r="AL475" i="7"/>
  <c r="CA486" i="7"/>
  <c r="CV485" i="7"/>
  <c r="P484" i="7"/>
  <c r="N485" i="7" s="1"/>
  <c r="CM486" i="7"/>
  <c r="DH485" i="7"/>
  <c r="CI486" i="7"/>
  <c r="DD485" i="7"/>
  <c r="DS485" i="7"/>
  <c r="BV486" i="7"/>
  <c r="CQ485" i="7"/>
  <c r="CH485" i="7"/>
  <c r="BN484" i="7"/>
  <c r="DC484" i="7"/>
  <c r="EO485" i="7"/>
  <c r="CO485" i="7"/>
  <c r="BT486" i="7"/>
  <c r="DI482" i="7"/>
  <c r="DI483" i="7" s="1"/>
  <c r="DE485" i="7"/>
  <c r="CJ486" i="7"/>
  <c r="DG486" i="7"/>
  <c r="EM486" i="7"/>
  <c r="CL487" i="7"/>
  <c r="CG486" i="7"/>
  <c r="DB485" i="7"/>
  <c r="AO485" i="7"/>
  <c r="AP483" i="7"/>
  <c r="BG483" i="7" s="1"/>
  <c r="AR483" i="7"/>
  <c r="BI483" i="7" s="1"/>
  <c r="AQ483" i="7"/>
  <c r="BH483" i="7" s="1"/>
  <c r="BJ474" i="7"/>
  <c r="BM474" i="7" s="1"/>
  <c r="B474" i="7" s="1"/>
  <c r="C474" i="7"/>
  <c r="F474" i="7" s="1"/>
  <c r="AJ475" i="7"/>
  <c r="BW486" i="7"/>
  <c r="CR485" i="7"/>
  <c r="BP481" i="7"/>
  <c r="BQ481" i="7" s="1"/>
  <c r="BY487" i="7"/>
  <c r="CT486" i="7"/>
  <c r="CW485" i="7"/>
  <c r="CB486" i="7"/>
  <c r="CC487" i="7"/>
  <c r="CX486" i="7"/>
  <c r="BZ486" i="7"/>
  <c r="EN485" i="7"/>
  <c r="CU485" i="7"/>
  <c r="CD486" i="7"/>
  <c r="CY485" i="7"/>
  <c r="BI484" i="7"/>
  <c r="BP483" i="7" l="1"/>
  <c r="BY488" i="7"/>
  <c r="CT487" i="7"/>
  <c r="BV487" i="7"/>
  <c r="CQ486" i="7"/>
  <c r="BS486" i="7"/>
  <c r="EF485" i="7"/>
  <c r="DZ485" i="7"/>
  <c r="CN485" i="7"/>
  <c r="DX485" i="7"/>
  <c r="EA485" i="7"/>
  <c r="DW485" i="7"/>
  <c r="EC485" i="7"/>
  <c r="DV485" i="7"/>
  <c r="EB485" i="7"/>
  <c r="M485" i="7"/>
  <c r="BF483" i="7"/>
  <c r="BD483" i="7"/>
  <c r="BE483" i="7"/>
  <c r="EM487" i="7"/>
  <c r="DG487" i="7"/>
  <c r="CL488" i="7"/>
  <c r="BZ487" i="7"/>
  <c r="CU486" i="7"/>
  <c r="EN486" i="7"/>
  <c r="CC488" i="7"/>
  <c r="CX487" i="7"/>
  <c r="BW487" i="7"/>
  <c r="CR486" i="7"/>
  <c r="AO486" i="7"/>
  <c r="DB486" i="7"/>
  <c r="CG487" i="7"/>
  <c r="CJ487" i="7"/>
  <c r="DE486" i="7"/>
  <c r="EO486" i="7"/>
  <c r="BT487" i="7"/>
  <c r="CO486" i="7"/>
  <c r="P485" i="7"/>
  <c r="N486" i="7" s="1"/>
  <c r="CM487" i="7"/>
  <c r="DH486" i="7"/>
  <c r="CV486" i="7"/>
  <c r="CA487" i="7"/>
  <c r="CK488" i="7"/>
  <c r="DF487" i="7"/>
  <c r="BX487" i="7"/>
  <c r="CS486" i="7"/>
  <c r="BG484" i="7"/>
  <c r="AN485" i="7"/>
  <c r="CF486" i="7"/>
  <c r="DA485" i="7"/>
  <c r="BP482" i="7"/>
  <c r="C475" i="7"/>
  <c r="F475" i="7" s="1"/>
  <c r="BJ475" i="7"/>
  <c r="BM475" i="7" s="1"/>
  <c r="B475" i="7" s="1"/>
  <c r="AJ476" i="7"/>
  <c r="DC485" i="7"/>
  <c r="BN485" i="7"/>
  <c r="CH486" i="7"/>
  <c r="BL475" i="7"/>
  <c r="E475" i="7"/>
  <c r="AL476" i="7"/>
  <c r="BQ482" i="7"/>
  <c r="BO483" i="7"/>
  <c r="BQ483" i="7" s="1"/>
  <c r="CD487" i="7"/>
  <c r="CY486" i="7"/>
  <c r="CB487" i="7"/>
  <c r="CW486" i="7"/>
  <c r="G481" i="7"/>
  <c r="H481" i="7"/>
  <c r="DS486" i="7"/>
  <c r="CI487" i="7"/>
  <c r="DD486" i="7"/>
  <c r="AR485" i="7"/>
  <c r="BI485" i="7" s="1"/>
  <c r="AQ485" i="7"/>
  <c r="AP485" i="7"/>
  <c r="BK475" i="7"/>
  <c r="D475" i="7"/>
  <c r="AK476" i="7"/>
  <c r="BU488" i="7"/>
  <c r="CP487" i="7"/>
  <c r="BA484" i="7"/>
  <c r="DP484" i="7" s="1"/>
  <c r="AW484" i="7"/>
  <c r="DL484" i="7" s="1"/>
  <c r="BC484" i="7"/>
  <c r="DR484" i="7" s="1"/>
  <c r="AX484" i="7"/>
  <c r="DM484" i="7" s="1"/>
  <c r="BB484" i="7"/>
  <c r="DQ484" i="7" s="1"/>
  <c r="AU484" i="7"/>
  <c r="DJ484" i="7" s="1"/>
  <c r="AZ484" i="7"/>
  <c r="DO484" i="7" s="1"/>
  <c r="AT484" i="7"/>
  <c r="DI484" i="7" s="1"/>
  <c r="AY484" i="7"/>
  <c r="DN484" i="7" s="1"/>
  <c r="AV484" i="7"/>
  <c r="DK484" i="7" s="1"/>
  <c r="AG484" i="7"/>
  <c r="AF484" i="7"/>
  <c r="AI484" i="7" s="1"/>
  <c r="AH484" i="7"/>
  <c r="CE486" i="7"/>
  <c r="CZ485" i="7"/>
  <c r="AM485" i="7"/>
  <c r="BG485" i="7" s="1"/>
  <c r="BH484" i="7"/>
  <c r="BP484" i="7" l="1"/>
  <c r="BK476" i="7"/>
  <c r="D476" i="7"/>
  <c r="AK477" i="7"/>
  <c r="H483" i="7"/>
  <c r="G483" i="7"/>
  <c r="BJ476" i="7"/>
  <c r="BM476" i="7" s="1"/>
  <c r="B476" i="7" s="1"/>
  <c r="C476" i="7"/>
  <c r="F476" i="7" s="1"/>
  <c r="AJ477" i="7"/>
  <c r="CA488" i="7"/>
  <c r="CV487" i="7"/>
  <c r="CO487" i="7"/>
  <c r="BT488" i="7"/>
  <c r="EO487" i="7"/>
  <c r="CG488" i="7"/>
  <c r="DB487" i="7"/>
  <c r="AO487" i="7"/>
  <c r="BW488" i="7"/>
  <c r="CR487" i="7"/>
  <c r="AZ485" i="7"/>
  <c r="DO485" i="7" s="1"/>
  <c r="AV485" i="7"/>
  <c r="DK485" i="7" s="1"/>
  <c r="BB485" i="7"/>
  <c r="DQ485" i="7" s="1"/>
  <c r="AW485" i="7"/>
  <c r="DL485" i="7" s="1"/>
  <c r="AY485" i="7"/>
  <c r="DN485" i="7" s="1"/>
  <c r="AX485" i="7"/>
  <c r="DM485" i="7" s="1"/>
  <c r="BC485" i="7"/>
  <c r="DR485" i="7" s="1"/>
  <c r="AU485" i="7"/>
  <c r="DJ485" i="7" s="1"/>
  <c r="BA485" i="7"/>
  <c r="DP485" i="7" s="1"/>
  <c r="AT485" i="7"/>
  <c r="AF485" i="7"/>
  <c r="AI485" i="7" s="1"/>
  <c r="AH485" i="7"/>
  <c r="AG485" i="7"/>
  <c r="BV488" i="7"/>
  <c r="CQ487" i="7"/>
  <c r="AM486" i="7"/>
  <c r="CE487" i="7"/>
  <c r="CZ486" i="7"/>
  <c r="CB488" i="7"/>
  <c r="CW487" i="7"/>
  <c r="H482" i="7"/>
  <c r="G482" i="7"/>
  <c r="CH487" i="7"/>
  <c r="DC486" i="7"/>
  <c r="BN486" i="7"/>
  <c r="DA486" i="7"/>
  <c r="CF487" i="7"/>
  <c r="AN486" i="7"/>
  <c r="BH486" i="7" s="1"/>
  <c r="BX488" i="7"/>
  <c r="CS487" i="7"/>
  <c r="AQ486" i="7"/>
  <c r="AP486" i="7"/>
  <c r="AR486" i="7"/>
  <c r="EN487" i="7"/>
  <c r="CU487" i="7"/>
  <c r="BZ488" i="7"/>
  <c r="BE484" i="7"/>
  <c r="BF484" i="7"/>
  <c r="BD484" i="7"/>
  <c r="CI488" i="7"/>
  <c r="DS487" i="7"/>
  <c r="DD487" i="7"/>
  <c r="BL476" i="7"/>
  <c r="E476" i="7"/>
  <c r="AL477" i="7"/>
  <c r="BH485" i="7"/>
  <c r="BI486" i="7"/>
  <c r="CC489" i="7"/>
  <c r="CX488" i="7"/>
  <c r="EM488" i="7"/>
  <c r="DG488" i="7"/>
  <c r="CL489" i="7"/>
  <c r="EC486" i="7"/>
  <c r="DX486" i="7"/>
  <c r="EF486" i="7"/>
  <c r="DW486" i="7"/>
  <c r="DZ486" i="7"/>
  <c r="CN486" i="7"/>
  <c r="BO485" i="7" s="1"/>
  <c r="DV486" i="7"/>
  <c r="EB486" i="7"/>
  <c r="BS487" i="7"/>
  <c r="EA486" i="7"/>
  <c r="M486" i="7"/>
  <c r="CT488" i="7"/>
  <c r="BY489" i="7"/>
  <c r="BU489" i="7"/>
  <c r="CP488" i="7"/>
  <c r="P486" i="7"/>
  <c r="N487" i="7" s="1"/>
  <c r="CD488" i="7"/>
  <c r="CY487" i="7"/>
  <c r="DF488" i="7"/>
  <c r="CK489" i="7"/>
  <c r="DH487" i="7"/>
  <c r="CM488" i="7"/>
  <c r="DE487" i="7"/>
  <c r="CJ488" i="7"/>
  <c r="BO484" i="7"/>
  <c r="BQ484" i="7" s="1"/>
  <c r="BU490" i="7" l="1"/>
  <c r="CP489" i="7"/>
  <c r="CQ488" i="7"/>
  <c r="BV489" i="7"/>
  <c r="BD485" i="7"/>
  <c r="BF485" i="7"/>
  <c r="BE485" i="7"/>
  <c r="BT489" i="7"/>
  <c r="CO488" i="7"/>
  <c r="EO488" i="7"/>
  <c r="BJ477" i="7"/>
  <c r="BM477" i="7" s="1"/>
  <c r="B477" i="7" s="1"/>
  <c r="C477" i="7"/>
  <c r="F477" i="7" s="1"/>
  <c r="AJ478" i="7"/>
  <c r="CJ489" i="7"/>
  <c r="DE488" i="7"/>
  <c r="CK490" i="7"/>
  <c r="DF489" i="7"/>
  <c r="BY490" i="7"/>
  <c r="CT489" i="7"/>
  <c r="BX489" i="7"/>
  <c r="CS488" i="7"/>
  <c r="CZ487" i="7"/>
  <c r="CE488" i="7"/>
  <c r="AM487" i="7"/>
  <c r="BK477" i="7"/>
  <c r="D477" i="7"/>
  <c r="AK478" i="7"/>
  <c r="DI485" i="7"/>
  <c r="H484" i="7"/>
  <c r="G484" i="7"/>
  <c r="E477" i="7"/>
  <c r="BL477" i="7"/>
  <c r="AL478" i="7"/>
  <c r="BG486" i="7"/>
  <c r="AO488" i="7"/>
  <c r="CG489" i="7"/>
  <c r="DB488" i="7"/>
  <c r="CY488" i="7"/>
  <c r="CD489" i="7"/>
  <c r="AP487" i="7"/>
  <c r="AR487" i="7"/>
  <c r="BI487" i="7" s="1"/>
  <c r="AQ487" i="7"/>
  <c r="EB487" i="7"/>
  <c r="DW487" i="7"/>
  <c r="BS488" i="7"/>
  <c r="EC487" i="7"/>
  <c r="DV487" i="7"/>
  <c r="DX487" i="7"/>
  <c r="EF487" i="7"/>
  <c r="EA487" i="7"/>
  <c r="DZ487" i="7"/>
  <c r="CN487" i="7"/>
  <c r="M487" i="7"/>
  <c r="EM489" i="7"/>
  <c r="DG489" i="7"/>
  <c r="CL490" i="7"/>
  <c r="CX489" i="7"/>
  <c r="CC490" i="7"/>
  <c r="P487" i="7"/>
  <c r="N488" i="7" s="1"/>
  <c r="CM489" i="7"/>
  <c r="DH488" i="7"/>
  <c r="BC486" i="7"/>
  <c r="DR486" i="7" s="1"/>
  <c r="AY486" i="7"/>
  <c r="DN486" i="7" s="1"/>
  <c r="AU486" i="7"/>
  <c r="DJ486" i="7" s="1"/>
  <c r="AZ486" i="7"/>
  <c r="DO486" i="7" s="1"/>
  <c r="AT486" i="7"/>
  <c r="AW486" i="7"/>
  <c r="DL486" i="7" s="1"/>
  <c r="BB486" i="7"/>
  <c r="DQ486" i="7" s="1"/>
  <c r="AV486" i="7"/>
  <c r="DK486" i="7" s="1"/>
  <c r="BA486" i="7"/>
  <c r="DP486" i="7" s="1"/>
  <c r="AX486" i="7"/>
  <c r="DM486" i="7" s="1"/>
  <c r="AH486" i="7"/>
  <c r="AG486" i="7"/>
  <c r="AF486" i="7"/>
  <c r="AI486" i="7" s="1"/>
  <c r="DD488" i="7"/>
  <c r="CI489" i="7"/>
  <c r="DS488" i="7"/>
  <c r="BZ489" i="7"/>
  <c r="EN488" i="7"/>
  <c r="CU488" i="7"/>
  <c r="AN487" i="7"/>
  <c r="BH487" i="7" s="1"/>
  <c r="DA487" i="7"/>
  <c r="CF488" i="7"/>
  <c r="BN487" i="7"/>
  <c r="CH488" i="7"/>
  <c r="DC487" i="7"/>
  <c r="CB489" i="7"/>
  <c r="CW488" i="7"/>
  <c r="BW489" i="7"/>
  <c r="CR488" i="7"/>
  <c r="CA489" i="7"/>
  <c r="CV488" i="7"/>
  <c r="CW489" i="7" l="1"/>
  <c r="CB490" i="7"/>
  <c r="CF489" i="7"/>
  <c r="DA488" i="7"/>
  <c r="AN488" i="7"/>
  <c r="BH488" i="7" s="1"/>
  <c r="BZ490" i="7"/>
  <c r="EN489" i="7"/>
  <c r="CU489" i="7"/>
  <c r="BE486" i="7"/>
  <c r="BD486" i="7"/>
  <c r="BF486" i="7"/>
  <c r="AR488" i="7"/>
  <c r="AQ488" i="7"/>
  <c r="AP488" i="7"/>
  <c r="BV490" i="7"/>
  <c r="CQ489" i="7"/>
  <c r="P488" i="7"/>
  <c r="CC491" i="7"/>
  <c r="CX490" i="7"/>
  <c r="BL478" i="7"/>
  <c r="E478" i="7"/>
  <c r="AL479" i="7"/>
  <c r="BY491" i="7"/>
  <c r="CT490" i="7"/>
  <c r="DE489" i="7"/>
  <c r="CJ490" i="7"/>
  <c r="BW490" i="7"/>
  <c r="CR489" i="7"/>
  <c r="CH489" i="7"/>
  <c r="BN488" i="7"/>
  <c r="DC488" i="7"/>
  <c r="CI490" i="7"/>
  <c r="DD489" i="7"/>
  <c r="DS489" i="7"/>
  <c r="CM490" i="7"/>
  <c r="DH489" i="7"/>
  <c r="BB487" i="7"/>
  <c r="DQ487" i="7" s="1"/>
  <c r="AX487" i="7"/>
  <c r="DM487" i="7" s="1"/>
  <c r="AT487" i="7"/>
  <c r="AY487" i="7"/>
  <c r="DN487" i="7" s="1"/>
  <c r="BC487" i="7"/>
  <c r="DR487" i="7" s="1"/>
  <c r="AV487" i="7"/>
  <c r="DK487" i="7" s="1"/>
  <c r="BA487" i="7"/>
  <c r="DP487" i="7" s="1"/>
  <c r="AU487" i="7"/>
  <c r="DJ487" i="7" s="1"/>
  <c r="AZ487" i="7"/>
  <c r="DO487" i="7" s="1"/>
  <c r="AW487" i="7"/>
  <c r="DL487" i="7" s="1"/>
  <c r="AH487" i="7"/>
  <c r="AG487" i="7"/>
  <c r="AF487" i="7"/>
  <c r="AI487" i="7" s="1"/>
  <c r="EA488" i="7"/>
  <c r="DV488" i="7"/>
  <c r="EB488" i="7"/>
  <c r="CN488" i="7"/>
  <c r="EC488" i="7"/>
  <c r="BS489" i="7"/>
  <c r="DZ488" i="7"/>
  <c r="DX488" i="7"/>
  <c r="EF488" i="7"/>
  <c r="DW488" i="7"/>
  <c r="M488" i="7"/>
  <c r="CG490" i="7"/>
  <c r="DB489" i="7"/>
  <c r="AO489" i="7"/>
  <c r="DI486" i="7"/>
  <c r="DI487" i="7" s="1"/>
  <c r="BG487" i="7"/>
  <c r="BJ478" i="7"/>
  <c r="BM478" i="7" s="1"/>
  <c r="B478" i="7" s="1"/>
  <c r="C478" i="7"/>
  <c r="F478" i="7" s="1"/>
  <c r="AJ479" i="7"/>
  <c r="BP485" i="7"/>
  <c r="BQ485" i="7" s="1"/>
  <c r="CA490" i="7"/>
  <c r="CV489" i="7"/>
  <c r="DG490" i="7"/>
  <c r="EM490" i="7"/>
  <c r="CL491" i="7"/>
  <c r="BO486" i="7"/>
  <c r="CD490" i="7"/>
  <c r="CY489" i="7"/>
  <c r="BI488" i="7"/>
  <c r="D478" i="7"/>
  <c r="BK478" i="7"/>
  <c r="AK479" i="7"/>
  <c r="AM488" i="7"/>
  <c r="BG488" i="7" s="1"/>
  <c r="CZ488" i="7"/>
  <c r="CE489" i="7"/>
  <c r="CS489" i="7"/>
  <c r="BX490" i="7"/>
  <c r="DF490" i="7"/>
  <c r="CK491" i="7"/>
  <c r="EO489" i="7"/>
  <c r="CO489" i="7"/>
  <c r="BT490" i="7"/>
  <c r="CP490" i="7"/>
  <c r="BU491" i="7"/>
  <c r="BP487" i="7" l="1"/>
  <c r="G485" i="7"/>
  <c r="H485" i="7"/>
  <c r="AO490" i="7"/>
  <c r="DB490" i="7"/>
  <c r="CG491" i="7"/>
  <c r="BO487" i="7"/>
  <c r="CJ491" i="7"/>
  <c r="DE490" i="7"/>
  <c r="BL479" i="7"/>
  <c r="E479" i="7"/>
  <c r="AL480" i="7"/>
  <c r="CC492" i="7"/>
  <c r="CX491" i="7"/>
  <c r="BV491" i="7"/>
  <c r="CQ490" i="7"/>
  <c r="BZ491" i="7"/>
  <c r="CU490" i="7"/>
  <c r="EN490" i="7"/>
  <c r="CB491" i="7"/>
  <c r="CW490" i="7"/>
  <c r="BK479" i="7"/>
  <c r="D479" i="7"/>
  <c r="AK480" i="7"/>
  <c r="CK492" i="7"/>
  <c r="DF491" i="7"/>
  <c r="C479" i="7"/>
  <c r="F479" i="7" s="1"/>
  <c r="BJ479" i="7"/>
  <c r="BM479" i="7" s="1"/>
  <c r="B479" i="7" s="1"/>
  <c r="AJ480" i="7"/>
  <c r="BA488" i="7"/>
  <c r="DP488" i="7" s="1"/>
  <c r="AW488" i="7"/>
  <c r="DL488" i="7" s="1"/>
  <c r="BC488" i="7"/>
  <c r="DR488" i="7" s="1"/>
  <c r="AX488" i="7"/>
  <c r="DM488" i="7" s="1"/>
  <c r="BB488" i="7"/>
  <c r="DQ488" i="7" s="1"/>
  <c r="AU488" i="7"/>
  <c r="DJ488" i="7" s="1"/>
  <c r="AZ488" i="7"/>
  <c r="DO488" i="7" s="1"/>
  <c r="AT488" i="7"/>
  <c r="AY488" i="7"/>
  <c r="DN488" i="7" s="1"/>
  <c r="AV488" i="7"/>
  <c r="DK488" i="7" s="1"/>
  <c r="AG488" i="7"/>
  <c r="AF488" i="7"/>
  <c r="AI488" i="7" s="1"/>
  <c r="AH488" i="7"/>
  <c r="DS490" i="7"/>
  <c r="CI491" i="7"/>
  <c r="DD490" i="7"/>
  <c r="DC489" i="7"/>
  <c r="BN489" i="7"/>
  <c r="CH490" i="7"/>
  <c r="BU492" i="7"/>
  <c r="CP491" i="7"/>
  <c r="CE490" i="7"/>
  <c r="CZ489" i="7"/>
  <c r="AM489" i="7"/>
  <c r="CD491" i="7"/>
  <c r="CY490" i="7"/>
  <c r="EO490" i="7"/>
  <c r="BT491" i="7"/>
  <c r="CO490" i="7"/>
  <c r="BS490" i="7"/>
  <c r="EF489" i="7"/>
  <c r="DZ489" i="7"/>
  <c r="CN489" i="7"/>
  <c r="DX489" i="7"/>
  <c r="EA489" i="7"/>
  <c r="DW489" i="7"/>
  <c r="EC489" i="7"/>
  <c r="DV489" i="7"/>
  <c r="EB489" i="7"/>
  <c r="M489" i="7"/>
  <c r="BF487" i="7"/>
  <c r="BD487" i="7"/>
  <c r="BE487" i="7"/>
  <c r="CM491" i="7"/>
  <c r="DH490" i="7"/>
  <c r="N489" i="7"/>
  <c r="BX491" i="7"/>
  <c r="CS490" i="7"/>
  <c r="EM491" i="7"/>
  <c r="DG491" i="7"/>
  <c r="CL492" i="7"/>
  <c r="CV490" i="7"/>
  <c r="CA491" i="7"/>
  <c r="P489" i="7"/>
  <c r="BW491" i="7"/>
  <c r="CR490" i="7"/>
  <c r="BY492" i="7"/>
  <c r="CT491" i="7"/>
  <c r="AN489" i="7"/>
  <c r="CF490" i="7"/>
  <c r="DA489" i="7"/>
  <c r="BP486" i="7"/>
  <c r="BQ486" i="7" s="1"/>
  <c r="H486" i="7" l="1"/>
  <c r="G486" i="7"/>
  <c r="DA490" i="7"/>
  <c r="CF491" i="7"/>
  <c r="AN490" i="7"/>
  <c r="CA492" i="7"/>
  <c r="CV491" i="7"/>
  <c r="BO488" i="7"/>
  <c r="CH491" i="7"/>
  <c r="DC490" i="7"/>
  <c r="BN490" i="7"/>
  <c r="CI492" i="7"/>
  <c r="DS491" i="7"/>
  <c r="DD491" i="7"/>
  <c r="C480" i="7"/>
  <c r="F480" i="7" s="1"/>
  <c r="BJ480" i="7"/>
  <c r="BM480" i="7" s="1"/>
  <c r="B480" i="7" s="1"/>
  <c r="AJ481" i="7"/>
  <c r="DF492" i="7"/>
  <c r="CK493" i="7"/>
  <c r="EN491" i="7"/>
  <c r="CU491" i="7"/>
  <c r="BZ492" i="7"/>
  <c r="CC493" i="7"/>
  <c r="CX492" i="7"/>
  <c r="CG492" i="7"/>
  <c r="DB491" i="7"/>
  <c r="AO491" i="7"/>
  <c r="DH491" i="7"/>
  <c r="CM492" i="7"/>
  <c r="AZ489" i="7"/>
  <c r="DO489" i="7" s="1"/>
  <c r="AV489" i="7"/>
  <c r="DK489" i="7" s="1"/>
  <c r="BB489" i="7"/>
  <c r="DQ489" i="7" s="1"/>
  <c r="AW489" i="7"/>
  <c r="DL489" i="7" s="1"/>
  <c r="AY489" i="7"/>
  <c r="DN489" i="7" s="1"/>
  <c r="AX489" i="7"/>
  <c r="DM489" i="7" s="1"/>
  <c r="BC489" i="7"/>
  <c r="DR489" i="7" s="1"/>
  <c r="AU489" i="7"/>
  <c r="DJ489" i="7" s="1"/>
  <c r="BA489" i="7"/>
  <c r="DP489" i="7" s="1"/>
  <c r="AT489" i="7"/>
  <c r="AG489" i="7"/>
  <c r="AF489" i="7"/>
  <c r="AI489" i="7" s="1"/>
  <c r="AH489" i="7"/>
  <c r="AM490" i="7"/>
  <c r="CE491" i="7"/>
  <c r="CZ490" i="7"/>
  <c r="P490" i="7"/>
  <c r="BK480" i="7"/>
  <c r="D480" i="7"/>
  <c r="AK481" i="7"/>
  <c r="CB492" i="7"/>
  <c r="CW491" i="7"/>
  <c r="BL480" i="7"/>
  <c r="E480" i="7"/>
  <c r="AL481" i="7"/>
  <c r="DE491" i="7"/>
  <c r="CJ492" i="7"/>
  <c r="BW492" i="7"/>
  <c r="CR491" i="7"/>
  <c r="EM492" i="7"/>
  <c r="DG492" i="7"/>
  <c r="CL493" i="7"/>
  <c r="BX492" i="7"/>
  <c r="CS491" i="7"/>
  <c r="CD492" i="7"/>
  <c r="CY491" i="7"/>
  <c r="BV492" i="7"/>
  <c r="CQ491" i="7"/>
  <c r="CT492" i="7"/>
  <c r="BY493" i="7"/>
  <c r="N490" i="7"/>
  <c r="AR489" i="7"/>
  <c r="BI489" i="7" s="1"/>
  <c r="AQ489" i="7"/>
  <c r="BH489" i="7" s="1"/>
  <c r="AP489" i="7"/>
  <c r="EC490" i="7"/>
  <c r="DX490" i="7"/>
  <c r="EF490" i="7"/>
  <c r="DW490" i="7"/>
  <c r="DZ490" i="7"/>
  <c r="CN490" i="7"/>
  <c r="BO489" i="7" s="1"/>
  <c r="DV490" i="7"/>
  <c r="EB490" i="7"/>
  <c r="BS491" i="7"/>
  <c r="EA490" i="7"/>
  <c r="M490" i="7"/>
  <c r="CO491" i="7"/>
  <c r="BT492" i="7"/>
  <c r="EO491" i="7"/>
  <c r="BG489" i="7"/>
  <c r="BU493" i="7"/>
  <c r="CP492" i="7"/>
  <c r="BE488" i="7"/>
  <c r="BF488" i="7"/>
  <c r="BD488" i="7"/>
  <c r="DI488" i="7"/>
  <c r="DI489" i="7" s="1"/>
  <c r="BQ487" i="7"/>
  <c r="BP489" i="7" l="1"/>
  <c r="BQ489" i="7" s="1"/>
  <c r="H487" i="7"/>
  <c r="G487" i="7"/>
  <c r="AQ490" i="7"/>
  <c r="AP490" i="7"/>
  <c r="AR490" i="7"/>
  <c r="BI490" i="7" s="1"/>
  <c r="CM493" i="7"/>
  <c r="DH492" i="7"/>
  <c r="BZ493" i="7"/>
  <c r="EN492" i="7"/>
  <c r="CU492" i="7"/>
  <c r="CA493" i="7"/>
  <c r="CV492" i="7"/>
  <c r="BT493" i="7"/>
  <c r="CO492" i="7"/>
  <c r="EO492" i="7"/>
  <c r="EB491" i="7"/>
  <c r="DW491" i="7"/>
  <c r="BS492" i="7"/>
  <c r="EC491" i="7"/>
  <c r="DV491" i="7"/>
  <c r="DX491" i="7"/>
  <c r="EF491" i="7"/>
  <c r="EA491" i="7"/>
  <c r="DZ491" i="7"/>
  <c r="CN491" i="7"/>
  <c r="M491" i="7"/>
  <c r="BY494" i="7"/>
  <c r="CT493" i="7"/>
  <c r="CQ492" i="7"/>
  <c r="BV493" i="7"/>
  <c r="BX493" i="7"/>
  <c r="CS492" i="7"/>
  <c r="BL481" i="7"/>
  <c r="E481" i="7"/>
  <c r="AL482" i="7"/>
  <c r="CB493" i="7"/>
  <c r="CW492" i="7"/>
  <c r="N491" i="7"/>
  <c r="CZ491" i="7"/>
  <c r="CE492" i="7"/>
  <c r="AM491" i="7"/>
  <c r="AO492" i="7"/>
  <c r="CG493" i="7"/>
  <c r="DB492" i="7"/>
  <c r="C481" i="7"/>
  <c r="F481" i="7" s="1"/>
  <c r="BJ481" i="7"/>
  <c r="BM481" i="7" s="1"/>
  <c r="B481" i="7" s="1"/>
  <c r="AJ482" i="7"/>
  <c r="P491" i="7"/>
  <c r="N492" i="7" s="1"/>
  <c r="BN491" i="7"/>
  <c r="CH492" i="7"/>
  <c r="DC491" i="7"/>
  <c r="BH490" i="7"/>
  <c r="BP488" i="7"/>
  <c r="BU494" i="7"/>
  <c r="CP493" i="7"/>
  <c r="EM493" i="7"/>
  <c r="DG493" i="7"/>
  <c r="CL494" i="7"/>
  <c r="BW493" i="7"/>
  <c r="CR492" i="7"/>
  <c r="D481" i="7"/>
  <c r="BK481" i="7"/>
  <c r="AK482" i="7"/>
  <c r="BG490" i="7"/>
  <c r="BD489" i="7"/>
  <c r="BF489" i="7"/>
  <c r="BE489" i="7"/>
  <c r="DD492" i="7"/>
  <c r="CI493" i="7"/>
  <c r="DS492" i="7"/>
  <c r="BQ488" i="7"/>
  <c r="AN491" i="7"/>
  <c r="DA491" i="7"/>
  <c r="CF492" i="7"/>
  <c r="BC490" i="7"/>
  <c r="DR490" i="7" s="1"/>
  <c r="AY490" i="7"/>
  <c r="DN490" i="7" s="1"/>
  <c r="AU490" i="7"/>
  <c r="DJ490" i="7" s="1"/>
  <c r="AZ490" i="7"/>
  <c r="DO490" i="7" s="1"/>
  <c r="AT490" i="7"/>
  <c r="DI490" i="7" s="1"/>
  <c r="AW490" i="7"/>
  <c r="DL490" i="7" s="1"/>
  <c r="BB490" i="7"/>
  <c r="DQ490" i="7" s="1"/>
  <c r="AV490" i="7"/>
  <c r="DK490" i="7" s="1"/>
  <c r="BA490" i="7"/>
  <c r="DP490" i="7" s="1"/>
  <c r="AX490" i="7"/>
  <c r="DM490" i="7" s="1"/>
  <c r="AH490" i="7"/>
  <c r="AF490" i="7"/>
  <c r="AI490" i="7" s="1"/>
  <c r="AG490" i="7"/>
  <c r="CY492" i="7"/>
  <c r="CD493" i="7"/>
  <c r="CJ493" i="7"/>
  <c r="DE492" i="7"/>
  <c r="CX493" i="7"/>
  <c r="CC494" i="7"/>
  <c r="CK494" i="7"/>
  <c r="DF493" i="7"/>
  <c r="BP490" i="7" l="1"/>
  <c r="G489" i="7"/>
  <c r="H489" i="7"/>
  <c r="BO490" i="7"/>
  <c r="BQ490" i="7" s="1"/>
  <c r="EO493" i="7"/>
  <c r="CO493" i="7"/>
  <c r="BT494" i="7"/>
  <c r="CM494" i="7"/>
  <c r="DH493" i="7"/>
  <c r="H488" i="7"/>
  <c r="G488" i="7"/>
  <c r="BK482" i="7"/>
  <c r="D482" i="7"/>
  <c r="AK483" i="7"/>
  <c r="BW494" i="7"/>
  <c r="CR493" i="7"/>
  <c r="AR492" i="7"/>
  <c r="AQ492" i="7"/>
  <c r="AP492" i="7"/>
  <c r="AM492" i="7"/>
  <c r="CZ492" i="7"/>
  <c r="CE493" i="7"/>
  <c r="CW493" i="7"/>
  <c r="CB494" i="7"/>
  <c r="CC495" i="7"/>
  <c r="CX494" i="7"/>
  <c r="DE493" i="7"/>
  <c r="CJ494" i="7"/>
  <c r="CF493" i="7"/>
  <c r="DA492" i="7"/>
  <c r="AN492" i="7"/>
  <c r="BH492" i="7" s="1"/>
  <c r="P492" i="7"/>
  <c r="DG494" i="7"/>
  <c r="EM494" i="7"/>
  <c r="CL495" i="7"/>
  <c r="CP494" i="7"/>
  <c r="BU495" i="7"/>
  <c r="CH493" i="7"/>
  <c r="BN492" i="7"/>
  <c r="DC492" i="7"/>
  <c r="BJ482" i="7"/>
  <c r="BM482" i="7" s="1"/>
  <c r="B482" i="7" s="1"/>
  <c r="C482" i="7"/>
  <c r="F482" i="7" s="1"/>
  <c r="AJ483" i="7"/>
  <c r="CG494" i="7"/>
  <c r="DB493" i="7"/>
  <c r="AO493" i="7"/>
  <c r="BL482" i="7"/>
  <c r="E482" i="7"/>
  <c r="AL483" i="7"/>
  <c r="CS493" i="7"/>
  <c r="BX494" i="7"/>
  <c r="BY495" i="7"/>
  <c r="CT494" i="7"/>
  <c r="BZ494" i="7"/>
  <c r="EN493" i="7"/>
  <c r="CU493" i="7"/>
  <c r="DF494" i="7"/>
  <c r="CK495" i="7"/>
  <c r="BE490" i="7"/>
  <c r="BD490" i="7"/>
  <c r="BF490" i="7"/>
  <c r="CD494" i="7"/>
  <c r="CY493" i="7"/>
  <c r="CI494" i="7"/>
  <c r="DD493" i="7"/>
  <c r="DS493" i="7"/>
  <c r="BI492" i="7"/>
  <c r="AP491" i="7"/>
  <c r="BG491" i="7" s="1"/>
  <c r="AR491" i="7"/>
  <c r="BI491" i="7" s="1"/>
  <c r="AQ491" i="7"/>
  <c r="BH491" i="7" s="1"/>
  <c r="BV494" i="7"/>
  <c r="CQ493" i="7"/>
  <c r="BB491" i="7"/>
  <c r="DQ491" i="7" s="1"/>
  <c r="AX491" i="7"/>
  <c r="DM491" i="7" s="1"/>
  <c r="AT491" i="7"/>
  <c r="AY491" i="7"/>
  <c r="DN491" i="7" s="1"/>
  <c r="BC491" i="7"/>
  <c r="DR491" i="7" s="1"/>
  <c r="AV491" i="7"/>
  <c r="DK491" i="7" s="1"/>
  <c r="BA491" i="7"/>
  <c r="DP491" i="7" s="1"/>
  <c r="AU491" i="7"/>
  <c r="DJ491" i="7" s="1"/>
  <c r="AZ491" i="7"/>
  <c r="DO491" i="7" s="1"/>
  <c r="AW491" i="7"/>
  <c r="DL491" i="7" s="1"/>
  <c r="AG491" i="7"/>
  <c r="AH491" i="7"/>
  <c r="AF491" i="7"/>
  <c r="AI491" i="7" s="1"/>
  <c r="EA492" i="7"/>
  <c r="DV492" i="7"/>
  <c r="EB492" i="7"/>
  <c r="CN492" i="7"/>
  <c r="BO491" i="7" s="1"/>
  <c r="EC492" i="7"/>
  <c r="BS493" i="7"/>
  <c r="DZ492" i="7"/>
  <c r="DX492" i="7"/>
  <c r="EF492" i="7"/>
  <c r="DW492" i="7"/>
  <c r="M492" i="7"/>
  <c r="CA494" i="7"/>
  <c r="CV493" i="7"/>
  <c r="DS494" i="7" l="1"/>
  <c r="CI495" i="7"/>
  <c r="DD494" i="7"/>
  <c r="BY496" i="7"/>
  <c r="CT495" i="7"/>
  <c r="AO494" i="7"/>
  <c r="CG495" i="7"/>
  <c r="DB494" i="7"/>
  <c r="AN493" i="7"/>
  <c r="CF494" i="7"/>
  <c r="DA493" i="7"/>
  <c r="CC496" i="7"/>
  <c r="CX495" i="7"/>
  <c r="CM495" i="7"/>
  <c r="DH494" i="7"/>
  <c r="H490" i="7"/>
  <c r="G490" i="7"/>
  <c r="CV494" i="7"/>
  <c r="CA495" i="7"/>
  <c r="BA492" i="7"/>
  <c r="DP492" i="7" s="1"/>
  <c r="AW492" i="7"/>
  <c r="DL492" i="7" s="1"/>
  <c r="BC492" i="7"/>
  <c r="DR492" i="7" s="1"/>
  <c r="AX492" i="7"/>
  <c r="DM492" i="7" s="1"/>
  <c r="BB492" i="7"/>
  <c r="DQ492" i="7" s="1"/>
  <c r="AU492" i="7"/>
  <c r="DJ492" i="7" s="1"/>
  <c r="AZ492" i="7"/>
  <c r="DO492" i="7" s="1"/>
  <c r="AT492" i="7"/>
  <c r="AY492" i="7"/>
  <c r="DN492" i="7" s="1"/>
  <c r="AV492" i="7"/>
  <c r="DK492" i="7" s="1"/>
  <c r="AG492" i="7"/>
  <c r="AH492" i="7"/>
  <c r="AF492" i="7"/>
  <c r="AI492" i="7" s="1"/>
  <c r="BS494" i="7"/>
  <c r="EF493" i="7"/>
  <c r="DZ493" i="7"/>
  <c r="CN493" i="7"/>
  <c r="DX493" i="7"/>
  <c r="EA493" i="7"/>
  <c r="DW493" i="7"/>
  <c r="EC493" i="7"/>
  <c r="DV493" i="7"/>
  <c r="EB493" i="7"/>
  <c r="M493" i="7"/>
  <c r="BF491" i="7"/>
  <c r="BD491" i="7"/>
  <c r="BE491" i="7"/>
  <c r="BV495" i="7"/>
  <c r="CQ494" i="7"/>
  <c r="BX495" i="7"/>
  <c r="CS494" i="7"/>
  <c r="BJ483" i="7"/>
  <c r="BM483" i="7" s="1"/>
  <c r="B483" i="7" s="1"/>
  <c r="C483" i="7"/>
  <c r="F483" i="7" s="1"/>
  <c r="AJ484" i="7"/>
  <c r="DG495" i="7"/>
  <c r="EM495" i="7"/>
  <c r="CL496" i="7"/>
  <c r="N493" i="7"/>
  <c r="CJ495" i="7"/>
  <c r="DE494" i="7"/>
  <c r="CB495" i="7"/>
  <c r="CW494" i="7"/>
  <c r="BG492" i="7"/>
  <c r="BW495" i="7"/>
  <c r="CR494" i="7"/>
  <c r="EO494" i="7"/>
  <c r="BT495" i="7"/>
  <c r="CO494" i="7"/>
  <c r="DI491" i="7"/>
  <c r="DI492" i="7" s="1"/>
  <c r="P493" i="7"/>
  <c r="N494" i="7" s="1"/>
  <c r="CD495" i="7"/>
  <c r="CY494" i="7"/>
  <c r="CK496" i="7"/>
  <c r="DF495" i="7"/>
  <c r="BZ495" i="7"/>
  <c r="CU494" i="7"/>
  <c r="EN494" i="7"/>
  <c r="DC493" i="7"/>
  <c r="BN493" i="7"/>
  <c r="CH494" i="7"/>
  <c r="BK483" i="7"/>
  <c r="D483" i="7"/>
  <c r="AK484" i="7"/>
  <c r="E483" i="7"/>
  <c r="BL483" i="7"/>
  <c r="AL484" i="7"/>
  <c r="BU496" i="7"/>
  <c r="CP495" i="7"/>
  <c r="CE494" i="7"/>
  <c r="CZ493" i="7"/>
  <c r="AM493" i="7"/>
  <c r="BP492" i="7" l="1"/>
  <c r="EN495" i="7"/>
  <c r="CU495" i="7"/>
  <c r="BZ496" i="7"/>
  <c r="CH495" i="7"/>
  <c r="DC494" i="7"/>
  <c r="BN494" i="7"/>
  <c r="DF496" i="7"/>
  <c r="CK497" i="7"/>
  <c r="AQ494" i="7"/>
  <c r="AP494" i="7"/>
  <c r="AR494" i="7"/>
  <c r="BI494" i="7" s="1"/>
  <c r="AR493" i="7"/>
  <c r="BI493" i="7" s="1"/>
  <c r="AQ493" i="7"/>
  <c r="BH493" i="7" s="1"/>
  <c r="AP493" i="7"/>
  <c r="CM496" i="7"/>
  <c r="DH495" i="7"/>
  <c r="DA494" i="7"/>
  <c r="CF495" i="7"/>
  <c r="AN494" i="7"/>
  <c r="BH494" i="7" s="1"/>
  <c r="CI496" i="7"/>
  <c r="DS495" i="7"/>
  <c r="DD495" i="7"/>
  <c r="BP491" i="7"/>
  <c r="BQ491" i="7" s="1"/>
  <c r="BG493" i="7"/>
  <c r="CP496" i="7"/>
  <c r="BU497" i="7"/>
  <c r="D484" i="7"/>
  <c r="BK484" i="7"/>
  <c r="AK485" i="7"/>
  <c r="CB496" i="7"/>
  <c r="CW495" i="7"/>
  <c r="EM496" i="7"/>
  <c r="DG496" i="7"/>
  <c r="CL497" i="7"/>
  <c r="BJ484" i="7"/>
  <c r="BM484" i="7" s="1"/>
  <c r="B484" i="7" s="1"/>
  <c r="C484" i="7"/>
  <c r="F484" i="7" s="1"/>
  <c r="AJ485" i="7"/>
  <c r="BX496" i="7"/>
  <c r="CS495" i="7"/>
  <c r="EC494" i="7"/>
  <c r="DX494" i="7"/>
  <c r="EF494" i="7"/>
  <c r="DW494" i="7"/>
  <c r="BS495" i="7"/>
  <c r="DZ494" i="7"/>
  <c r="CN494" i="7"/>
  <c r="DV494" i="7"/>
  <c r="EB494" i="7"/>
  <c r="EA494" i="7"/>
  <c r="M494" i="7"/>
  <c r="P494" i="7"/>
  <c r="N495" i="7" s="1"/>
  <c r="E484" i="7"/>
  <c r="BL484" i="7"/>
  <c r="AL485" i="7"/>
  <c r="BO492" i="7"/>
  <c r="BQ492" i="7" s="1"/>
  <c r="CC497" i="7"/>
  <c r="CX496" i="7"/>
  <c r="CT496" i="7"/>
  <c r="BY497" i="7"/>
  <c r="CD496" i="7"/>
  <c r="CY495" i="7"/>
  <c r="CR495" i="7"/>
  <c r="BW496" i="7"/>
  <c r="AM494" i="7"/>
  <c r="BG494" i="7" s="1"/>
  <c r="CE495" i="7"/>
  <c r="CZ494" i="7"/>
  <c r="CO495" i="7"/>
  <c r="BT496" i="7"/>
  <c r="EO495" i="7"/>
  <c r="DE495" i="7"/>
  <c r="CJ496" i="7"/>
  <c r="BV496" i="7"/>
  <c r="CQ495" i="7"/>
  <c r="AZ493" i="7"/>
  <c r="DO493" i="7" s="1"/>
  <c r="AV493" i="7"/>
  <c r="DK493" i="7" s="1"/>
  <c r="BB493" i="7"/>
  <c r="DQ493" i="7" s="1"/>
  <c r="AW493" i="7"/>
  <c r="DL493" i="7" s="1"/>
  <c r="AY493" i="7"/>
  <c r="DN493" i="7" s="1"/>
  <c r="AX493" i="7"/>
  <c r="DM493" i="7" s="1"/>
  <c r="BC493" i="7"/>
  <c r="DR493" i="7" s="1"/>
  <c r="AU493" i="7"/>
  <c r="DJ493" i="7" s="1"/>
  <c r="BA493" i="7"/>
  <c r="DP493" i="7" s="1"/>
  <c r="AT493" i="7"/>
  <c r="AG493" i="7"/>
  <c r="AF493" i="7"/>
  <c r="AI493" i="7" s="1"/>
  <c r="AH493" i="7"/>
  <c r="BE492" i="7"/>
  <c r="BF492" i="7"/>
  <c r="BD492" i="7"/>
  <c r="CA496" i="7"/>
  <c r="CV495" i="7"/>
  <c r="CG496" i="7"/>
  <c r="DB495" i="7"/>
  <c r="AO495" i="7"/>
  <c r="BD493" i="7" l="1"/>
  <c r="BF493" i="7"/>
  <c r="BE493" i="7"/>
  <c r="CJ497" i="7"/>
  <c r="DE496" i="7"/>
  <c r="BW497" i="7"/>
  <c r="CR496" i="7"/>
  <c r="CT497" i="7"/>
  <c r="BY498" i="7"/>
  <c r="H492" i="7"/>
  <c r="G492" i="7"/>
  <c r="AP495" i="7"/>
  <c r="AR495" i="7"/>
  <c r="BI495" i="7" s="1"/>
  <c r="AQ495" i="7"/>
  <c r="C485" i="7"/>
  <c r="F485" i="7" s="1"/>
  <c r="BJ485" i="7"/>
  <c r="BM485" i="7" s="1"/>
  <c r="B485" i="7" s="1"/>
  <c r="AJ486" i="7"/>
  <c r="DI493" i="7"/>
  <c r="BP493" i="7" s="1"/>
  <c r="H491" i="7"/>
  <c r="G491" i="7"/>
  <c r="BL485" i="7"/>
  <c r="E485" i="7"/>
  <c r="AL486" i="7"/>
  <c r="EB495" i="7"/>
  <c r="DW495" i="7"/>
  <c r="BS496" i="7"/>
  <c r="EC495" i="7"/>
  <c r="DV495" i="7"/>
  <c r="EF495" i="7"/>
  <c r="EA495" i="7"/>
  <c r="DZ495" i="7"/>
  <c r="CN495" i="7"/>
  <c r="DX495" i="7"/>
  <c r="M495" i="7"/>
  <c r="BU498" i="7"/>
  <c r="CP497" i="7"/>
  <c r="CM497" i="7"/>
  <c r="DH496" i="7"/>
  <c r="CZ495" i="7"/>
  <c r="AM495" i="7"/>
  <c r="BG495" i="7" s="1"/>
  <c r="CE496" i="7"/>
  <c r="D485" i="7"/>
  <c r="BK485" i="7"/>
  <c r="AK486" i="7"/>
  <c r="P495" i="7"/>
  <c r="N496" i="7" s="1"/>
  <c r="AN495" i="7"/>
  <c r="BH495" i="7" s="1"/>
  <c r="CF496" i="7"/>
  <c r="DA495" i="7"/>
  <c r="CK498" i="7"/>
  <c r="DF497" i="7"/>
  <c r="BN495" i="7"/>
  <c r="CH496" i="7"/>
  <c r="DC495" i="7"/>
  <c r="CV496" i="7"/>
  <c r="CA497" i="7"/>
  <c r="AO496" i="7"/>
  <c r="CG497" i="7"/>
  <c r="DB496" i="7"/>
  <c r="CQ496" i="7"/>
  <c r="BV497" i="7"/>
  <c r="BT497" i="7"/>
  <c r="CO496" i="7"/>
  <c r="EO496" i="7"/>
  <c r="CY496" i="7"/>
  <c r="CD497" i="7"/>
  <c r="CX497" i="7"/>
  <c r="CC498" i="7"/>
  <c r="BC494" i="7"/>
  <c r="DR494" i="7" s="1"/>
  <c r="AY494" i="7"/>
  <c r="DN494" i="7" s="1"/>
  <c r="AU494" i="7"/>
  <c r="DJ494" i="7" s="1"/>
  <c r="AZ494" i="7"/>
  <c r="DO494" i="7" s="1"/>
  <c r="AT494" i="7"/>
  <c r="AW494" i="7"/>
  <c r="DL494" i="7" s="1"/>
  <c r="BB494" i="7"/>
  <c r="DQ494" i="7" s="1"/>
  <c r="AV494" i="7"/>
  <c r="DK494" i="7" s="1"/>
  <c r="BA494" i="7"/>
  <c r="DP494" i="7" s="1"/>
  <c r="AX494" i="7"/>
  <c r="DM494" i="7" s="1"/>
  <c r="AH494" i="7"/>
  <c r="AF494" i="7"/>
  <c r="AI494" i="7" s="1"/>
  <c r="AG494" i="7"/>
  <c r="BO493" i="7"/>
  <c r="BX497" i="7"/>
  <c r="CS496" i="7"/>
  <c r="EM497" i="7"/>
  <c r="DG497" i="7"/>
  <c r="CL498" i="7"/>
  <c r="CB497" i="7"/>
  <c r="CW496" i="7"/>
  <c r="DD496" i="7"/>
  <c r="DS496" i="7"/>
  <c r="CI497" i="7"/>
  <c r="BZ497" i="7"/>
  <c r="EN496" i="7"/>
  <c r="CU496" i="7"/>
  <c r="CD498" i="7" l="1"/>
  <c r="CY497" i="7"/>
  <c r="CO497" i="7"/>
  <c r="BT498" i="7"/>
  <c r="EO497" i="7"/>
  <c r="DB497" i="7"/>
  <c r="AO497" i="7"/>
  <c r="CG498" i="7"/>
  <c r="DF498" i="7"/>
  <c r="CK499" i="7"/>
  <c r="BB495" i="7"/>
  <c r="DQ495" i="7" s="1"/>
  <c r="AX495" i="7"/>
  <c r="DM495" i="7" s="1"/>
  <c r="AT495" i="7"/>
  <c r="AY495" i="7"/>
  <c r="DN495" i="7" s="1"/>
  <c r="BA495" i="7"/>
  <c r="DP495" i="7" s="1"/>
  <c r="AU495" i="7"/>
  <c r="DJ495" i="7" s="1"/>
  <c r="AZ495" i="7"/>
  <c r="DO495" i="7" s="1"/>
  <c r="BC495" i="7"/>
  <c r="DR495" i="7" s="1"/>
  <c r="AV495" i="7"/>
  <c r="DK495" i="7" s="1"/>
  <c r="AW495" i="7"/>
  <c r="DL495" i="7" s="1"/>
  <c r="AG495" i="7"/>
  <c r="AH495" i="7"/>
  <c r="AF495" i="7"/>
  <c r="AI495" i="7" s="1"/>
  <c r="EA496" i="7"/>
  <c r="DV496" i="7"/>
  <c r="EB496" i="7"/>
  <c r="CN496" i="7"/>
  <c r="BS497" i="7"/>
  <c r="DZ496" i="7"/>
  <c r="DX496" i="7"/>
  <c r="EF496" i="7"/>
  <c r="DW496" i="7"/>
  <c r="EC496" i="7"/>
  <c r="M496" i="7"/>
  <c r="BW498" i="7"/>
  <c r="CR497" i="7"/>
  <c r="BV498" i="7"/>
  <c r="CQ497" i="7"/>
  <c r="BI496" i="7"/>
  <c r="CH497" i="7"/>
  <c r="BN496" i="7"/>
  <c r="DC496" i="7"/>
  <c r="AR496" i="7"/>
  <c r="AQ496" i="7"/>
  <c r="AP496" i="7"/>
  <c r="AM496" i="7"/>
  <c r="BG496" i="7" s="1"/>
  <c r="CE497" i="7"/>
  <c r="CZ496" i="7"/>
  <c r="CM498" i="7"/>
  <c r="DH497" i="7"/>
  <c r="DI494" i="7"/>
  <c r="DI495" i="7" s="1"/>
  <c r="BY499" i="7"/>
  <c r="CT498" i="7"/>
  <c r="BZ498" i="7"/>
  <c r="EN497" i="7"/>
  <c r="CU497" i="7"/>
  <c r="BE494" i="7"/>
  <c r="BD494" i="7"/>
  <c r="BF494" i="7"/>
  <c r="CI498" i="7"/>
  <c r="DD497" i="7"/>
  <c r="DS497" i="7"/>
  <c r="CB498" i="7"/>
  <c r="CW497" i="7"/>
  <c r="CC499" i="7"/>
  <c r="CX498" i="7"/>
  <c r="CA498" i="7"/>
  <c r="CV497" i="7"/>
  <c r="CF497" i="7"/>
  <c r="DA496" i="7"/>
  <c r="AN496" i="7"/>
  <c r="BK486" i="7"/>
  <c r="D486" i="7"/>
  <c r="AK487" i="7"/>
  <c r="BO494" i="7"/>
  <c r="BJ486" i="7"/>
  <c r="BM486" i="7" s="1"/>
  <c r="B486" i="7" s="1"/>
  <c r="C486" i="7"/>
  <c r="F486" i="7" s="1"/>
  <c r="AJ487" i="7"/>
  <c r="CJ498" i="7"/>
  <c r="DE497" i="7"/>
  <c r="BQ493" i="7"/>
  <c r="P496" i="7"/>
  <c r="N497" i="7" s="1"/>
  <c r="DG498" i="7"/>
  <c r="EM498" i="7"/>
  <c r="CL499" i="7"/>
  <c r="CS497" i="7"/>
  <c r="BX498" i="7"/>
  <c r="CP498" i="7"/>
  <c r="BU499" i="7"/>
  <c r="BL486" i="7"/>
  <c r="E486" i="7"/>
  <c r="AL487" i="7"/>
  <c r="BP495" i="7" l="1"/>
  <c r="EM499" i="7"/>
  <c r="DG499" i="7"/>
  <c r="CL500" i="7"/>
  <c r="BK487" i="7"/>
  <c r="D487" i="7"/>
  <c r="AK488" i="7"/>
  <c r="CB499" i="7"/>
  <c r="CW498" i="7"/>
  <c r="BA496" i="7"/>
  <c r="DP496" i="7" s="1"/>
  <c r="AW496" i="7"/>
  <c r="DL496" i="7" s="1"/>
  <c r="BC496" i="7"/>
  <c r="DR496" i="7" s="1"/>
  <c r="AX496" i="7"/>
  <c r="DM496" i="7" s="1"/>
  <c r="AZ496" i="7"/>
  <c r="DO496" i="7" s="1"/>
  <c r="AT496" i="7"/>
  <c r="AY496" i="7"/>
  <c r="DN496" i="7" s="1"/>
  <c r="AV496" i="7"/>
  <c r="DK496" i="7" s="1"/>
  <c r="BB496" i="7"/>
  <c r="DQ496" i="7" s="1"/>
  <c r="AU496" i="7"/>
  <c r="DJ496" i="7" s="1"/>
  <c r="AG496" i="7"/>
  <c r="AH496" i="7"/>
  <c r="AF496" i="7"/>
  <c r="AI496" i="7" s="1"/>
  <c r="CK500" i="7"/>
  <c r="DF499" i="7"/>
  <c r="BU500" i="7"/>
  <c r="CP499" i="7"/>
  <c r="BJ487" i="7"/>
  <c r="BM487" i="7" s="1"/>
  <c r="B487" i="7" s="1"/>
  <c r="C487" i="7"/>
  <c r="F487" i="7" s="1"/>
  <c r="AJ488" i="7"/>
  <c r="CV498" i="7"/>
  <c r="CA499" i="7"/>
  <c r="E487" i="7"/>
  <c r="BL487" i="7"/>
  <c r="AL488" i="7"/>
  <c r="AN497" i="7"/>
  <c r="CF498" i="7"/>
  <c r="DA497" i="7"/>
  <c r="P497" i="7"/>
  <c r="BZ499" i="7"/>
  <c r="CU498" i="7"/>
  <c r="EN498" i="7"/>
  <c r="BV499" i="7"/>
  <c r="CQ498" i="7"/>
  <c r="BF495" i="7"/>
  <c r="BD495" i="7"/>
  <c r="BE495" i="7"/>
  <c r="CD499" i="7"/>
  <c r="CY498" i="7"/>
  <c r="BP494" i="7"/>
  <c r="AR497" i="7"/>
  <c r="AQ497" i="7"/>
  <c r="AP497" i="7"/>
  <c r="CE498" i="7"/>
  <c r="CZ497" i="7"/>
  <c r="AM497" i="7"/>
  <c r="BG497" i="7" s="1"/>
  <c r="CX499" i="7"/>
  <c r="CC500" i="7"/>
  <c r="DH498" i="7"/>
  <c r="CM499" i="7"/>
  <c r="DC497" i="7"/>
  <c r="CH498" i="7"/>
  <c r="BN497" i="7"/>
  <c r="BS498" i="7"/>
  <c r="EF497" i="7"/>
  <c r="DZ497" i="7"/>
  <c r="CN497" i="7"/>
  <c r="BO496" i="7" s="1"/>
  <c r="DX497" i="7"/>
  <c r="DW497" i="7"/>
  <c r="EC497" i="7"/>
  <c r="DV497" i="7"/>
  <c r="EB497" i="7"/>
  <c r="EA497" i="7"/>
  <c r="M497" i="7"/>
  <c r="AO498" i="7"/>
  <c r="CG499" i="7"/>
  <c r="DB498" i="7"/>
  <c r="EO498" i="7"/>
  <c r="BT499" i="7"/>
  <c r="CO498" i="7"/>
  <c r="DI496" i="7"/>
  <c r="G493" i="7"/>
  <c r="H493" i="7"/>
  <c r="CS498" i="7"/>
  <c r="BX499" i="7"/>
  <c r="CJ499" i="7"/>
  <c r="DE498" i="7"/>
  <c r="BQ494" i="7"/>
  <c r="BH496" i="7"/>
  <c r="DS498" i="7"/>
  <c r="CI499" i="7"/>
  <c r="DD498" i="7"/>
  <c r="CT499" i="7"/>
  <c r="BY500" i="7"/>
  <c r="BW499" i="7"/>
  <c r="CR498" i="7"/>
  <c r="BO495" i="7"/>
  <c r="BQ495" i="7" s="1"/>
  <c r="BI497" i="7"/>
  <c r="BP496" i="7" l="1"/>
  <c r="BQ496" i="7" s="1"/>
  <c r="BW500" i="7"/>
  <c r="CR499" i="7"/>
  <c r="CI500" i="7"/>
  <c r="DS499" i="7"/>
  <c r="DD499" i="7"/>
  <c r="CO499" i="7"/>
  <c r="BT500" i="7"/>
  <c r="EO499" i="7"/>
  <c r="BH497" i="7"/>
  <c r="CA500" i="7"/>
  <c r="CV499" i="7"/>
  <c r="DF500" i="7"/>
  <c r="CK501" i="7"/>
  <c r="BE496" i="7"/>
  <c r="BF496" i="7"/>
  <c r="BD496" i="7"/>
  <c r="D488" i="7"/>
  <c r="BK488" i="7"/>
  <c r="AK489" i="7"/>
  <c r="BY501" i="7"/>
  <c r="CT500" i="7"/>
  <c r="P498" i="7"/>
  <c r="DE499" i="7"/>
  <c r="CJ500" i="7"/>
  <c r="AZ497" i="7"/>
  <c r="DO497" i="7" s="1"/>
  <c r="AV497" i="7"/>
  <c r="DK497" i="7" s="1"/>
  <c r="BB497" i="7"/>
  <c r="DQ497" i="7" s="1"/>
  <c r="AW497" i="7"/>
  <c r="DL497" i="7" s="1"/>
  <c r="AX497" i="7"/>
  <c r="DM497" i="7" s="1"/>
  <c r="BC497" i="7"/>
  <c r="DR497" i="7" s="1"/>
  <c r="AU497" i="7"/>
  <c r="DJ497" i="7" s="1"/>
  <c r="BA497" i="7"/>
  <c r="DP497" i="7" s="1"/>
  <c r="AT497" i="7"/>
  <c r="AY497" i="7"/>
  <c r="DN497" i="7" s="1"/>
  <c r="AG497" i="7"/>
  <c r="AF497" i="7"/>
  <c r="AI497" i="7" s="1"/>
  <c r="AH497" i="7"/>
  <c r="CH499" i="7"/>
  <c r="DC498" i="7"/>
  <c r="BN498" i="7"/>
  <c r="CC501" i="7"/>
  <c r="CX500" i="7"/>
  <c r="AM498" i="7"/>
  <c r="CE499" i="7"/>
  <c r="CZ498" i="7"/>
  <c r="N498" i="7"/>
  <c r="E488" i="7"/>
  <c r="BL488" i="7"/>
  <c r="AL489" i="7"/>
  <c r="BX500" i="7"/>
  <c r="CS499" i="7"/>
  <c r="DI497" i="7"/>
  <c r="CD500" i="7"/>
  <c r="CY499" i="7"/>
  <c r="BJ488" i="7"/>
  <c r="BM488" i="7" s="1"/>
  <c r="B488" i="7" s="1"/>
  <c r="C488" i="7"/>
  <c r="F488" i="7" s="1"/>
  <c r="AJ489" i="7"/>
  <c r="CP500" i="7"/>
  <c r="BU501" i="7"/>
  <c r="H495" i="7"/>
  <c r="G495" i="7"/>
  <c r="H494" i="7"/>
  <c r="G494" i="7"/>
  <c r="DB499" i="7"/>
  <c r="CG500" i="7"/>
  <c r="AO499" i="7"/>
  <c r="EC498" i="7"/>
  <c r="DX498" i="7"/>
  <c r="EF498" i="7"/>
  <c r="DW498" i="7"/>
  <c r="DV498" i="7"/>
  <c r="EB498" i="7"/>
  <c r="BS499" i="7"/>
  <c r="EA498" i="7"/>
  <c r="DZ498" i="7"/>
  <c r="CN498" i="7"/>
  <c r="M498" i="7"/>
  <c r="CM500" i="7"/>
  <c r="DH499" i="7"/>
  <c r="CQ499" i="7"/>
  <c r="BV500" i="7"/>
  <c r="BZ500" i="7"/>
  <c r="EN499" i="7"/>
  <c r="CU499" i="7"/>
  <c r="DA498" i="7"/>
  <c r="AN498" i="7"/>
  <c r="CF499" i="7"/>
  <c r="CB500" i="7"/>
  <c r="CW499" i="7"/>
  <c r="DG500" i="7"/>
  <c r="EM500" i="7"/>
  <c r="CL501" i="7"/>
  <c r="DR498" i="7" l="1"/>
  <c r="BP497" i="7"/>
  <c r="H496" i="7"/>
  <c r="G496" i="7"/>
  <c r="BC498" i="7"/>
  <c r="AY498" i="7"/>
  <c r="DN498" i="7" s="1"/>
  <c r="AU498" i="7"/>
  <c r="DJ498" i="7" s="1"/>
  <c r="AZ498" i="7"/>
  <c r="DO498" i="7" s="1"/>
  <c r="AT498" i="7"/>
  <c r="BB498" i="7"/>
  <c r="DQ498" i="7" s="1"/>
  <c r="AV498" i="7"/>
  <c r="DK498" i="7" s="1"/>
  <c r="BA498" i="7"/>
  <c r="DP498" i="7" s="1"/>
  <c r="AX498" i="7"/>
  <c r="DM498" i="7" s="1"/>
  <c r="AW498" i="7"/>
  <c r="DL498" i="7" s="1"/>
  <c r="AH498" i="7"/>
  <c r="AF498" i="7"/>
  <c r="AI498" i="7" s="1"/>
  <c r="AG498" i="7"/>
  <c r="BS500" i="7"/>
  <c r="EF499" i="7"/>
  <c r="DZ499" i="7"/>
  <c r="DX499" i="7"/>
  <c r="DW499" i="7"/>
  <c r="DV499" i="7"/>
  <c r="EC499" i="7"/>
  <c r="EB499" i="7"/>
  <c r="CN499" i="7"/>
  <c r="EA499" i="7"/>
  <c r="M499" i="7"/>
  <c r="AO500" i="7"/>
  <c r="CG501" i="7"/>
  <c r="DB500" i="7"/>
  <c r="C489" i="7"/>
  <c r="F489" i="7" s="1"/>
  <c r="BJ489" i="7"/>
  <c r="BM489" i="7" s="1"/>
  <c r="B489" i="7" s="1"/>
  <c r="AJ490" i="7"/>
  <c r="CD501" i="7"/>
  <c r="CY500" i="7"/>
  <c r="BL489" i="7"/>
  <c r="E489" i="7"/>
  <c r="AL490" i="7"/>
  <c r="CC502" i="7"/>
  <c r="CX501" i="7"/>
  <c r="BD497" i="7"/>
  <c r="BE497" i="7"/>
  <c r="BF497" i="7"/>
  <c r="D489" i="7"/>
  <c r="BK489" i="7"/>
  <c r="AK490" i="7"/>
  <c r="P499" i="7"/>
  <c r="N500" i="7" s="1"/>
  <c r="BO497" i="7"/>
  <c r="BQ497" i="7" s="1"/>
  <c r="DI498" i="7"/>
  <c r="CE500" i="7"/>
  <c r="CZ499" i="7"/>
  <c r="AM499" i="7"/>
  <c r="CJ501" i="7"/>
  <c r="DE500" i="7"/>
  <c r="CV500" i="7"/>
  <c r="CA501" i="7"/>
  <c r="EO500" i="7"/>
  <c r="BT501" i="7"/>
  <c r="CO500" i="7"/>
  <c r="DS500" i="7"/>
  <c r="DD500" i="7"/>
  <c r="CI501" i="7"/>
  <c r="DG501" i="7"/>
  <c r="EM501" i="7"/>
  <c r="CL502" i="7"/>
  <c r="CF500" i="7"/>
  <c r="AN499" i="7"/>
  <c r="DA499" i="7"/>
  <c r="BU502" i="7"/>
  <c r="CP501" i="7"/>
  <c r="BY502" i="7"/>
  <c r="CT501" i="7"/>
  <c r="CK502" i="7"/>
  <c r="DF501" i="7"/>
  <c r="BV501" i="7"/>
  <c r="CQ500" i="7"/>
  <c r="CW500" i="7"/>
  <c r="CB501" i="7"/>
  <c r="BZ501" i="7"/>
  <c r="CU500" i="7"/>
  <c r="EN500" i="7"/>
  <c r="DH500" i="7"/>
  <c r="CM501" i="7"/>
  <c r="CS500" i="7"/>
  <c r="BX501" i="7"/>
  <c r="AQ498" i="7"/>
  <c r="BH498" i="7" s="1"/>
  <c r="AR498" i="7"/>
  <c r="BI498" i="7" s="1"/>
  <c r="AP498" i="7"/>
  <c r="BG498" i="7" s="1"/>
  <c r="BN499" i="7"/>
  <c r="CH500" i="7"/>
  <c r="DC499" i="7"/>
  <c r="N499" i="7"/>
  <c r="BW501" i="7"/>
  <c r="CR500" i="7"/>
  <c r="BP498" i="7" l="1"/>
  <c r="DH501" i="7"/>
  <c r="CM502" i="7"/>
  <c r="EN501" i="7"/>
  <c r="CU501" i="7"/>
  <c r="BZ502" i="7"/>
  <c r="CP502" i="7"/>
  <c r="BU503" i="7"/>
  <c r="EM502" i="7"/>
  <c r="DG502" i="7"/>
  <c r="CL503" i="7"/>
  <c r="DE501" i="7"/>
  <c r="CJ502" i="7"/>
  <c r="AM500" i="7"/>
  <c r="CE501" i="7"/>
  <c r="CZ500" i="7"/>
  <c r="AQ500" i="7"/>
  <c r="AR500" i="7"/>
  <c r="AP500" i="7"/>
  <c r="CC503" i="7"/>
  <c r="CX502" i="7"/>
  <c r="BB499" i="7"/>
  <c r="DQ499" i="7" s="1"/>
  <c r="AX499" i="7"/>
  <c r="DM499" i="7" s="1"/>
  <c r="AT499" i="7"/>
  <c r="AY499" i="7"/>
  <c r="DN499" i="7" s="1"/>
  <c r="BA499" i="7"/>
  <c r="DP499" i="7" s="1"/>
  <c r="AU499" i="7"/>
  <c r="DJ499" i="7" s="1"/>
  <c r="AZ499" i="7"/>
  <c r="DO499" i="7" s="1"/>
  <c r="AW499" i="7"/>
  <c r="DL499" i="7" s="1"/>
  <c r="BC499" i="7"/>
  <c r="DR499" i="7" s="1"/>
  <c r="AV499" i="7"/>
  <c r="DK499" i="7" s="1"/>
  <c r="AG499" i="7"/>
  <c r="AH499" i="7"/>
  <c r="AF499" i="7"/>
  <c r="AI499" i="7" s="1"/>
  <c r="BV502" i="7"/>
  <c r="CQ501" i="7"/>
  <c r="CT502" i="7"/>
  <c r="BY503" i="7"/>
  <c r="P500" i="7"/>
  <c r="CV501" i="7"/>
  <c r="CA502" i="7"/>
  <c r="DI499" i="7"/>
  <c r="BK490" i="7"/>
  <c r="D490" i="7"/>
  <c r="AK491" i="7"/>
  <c r="BL490" i="7"/>
  <c r="E490" i="7"/>
  <c r="AL491" i="7"/>
  <c r="CD502" i="7"/>
  <c r="CY501" i="7"/>
  <c r="BX502" i="7"/>
  <c r="CS501" i="7"/>
  <c r="CR501" i="7"/>
  <c r="BW502" i="7"/>
  <c r="CB502" i="7"/>
  <c r="CW501" i="7"/>
  <c r="G497" i="7"/>
  <c r="H497" i="7"/>
  <c r="BJ490" i="7"/>
  <c r="BM490" i="7" s="1"/>
  <c r="B490" i="7" s="1"/>
  <c r="C490" i="7"/>
  <c r="F490" i="7" s="1"/>
  <c r="AJ491" i="7"/>
  <c r="CG502" i="7"/>
  <c r="DB501" i="7"/>
  <c r="AO501" i="7"/>
  <c r="BO498" i="7"/>
  <c r="BQ498" i="7" s="1"/>
  <c r="EC500" i="7"/>
  <c r="DX500" i="7"/>
  <c r="EF500" i="7"/>
  <c r="DW500" i="7"/>
  <c r="DV500" i="7"/>
  <c r="EA500" i="7"/>
  <c r="CN500" i="7"/>
  <c r="DZ500" i="7"/>
  <c r="BS501" i="7"/>
  <c r="EB500" i="7"/>
  <c r="M500" i="7"/>
  <c r="CH501" i="7"/>
  <c r="DC500" i="7"/>
  <c r="BN500" i="7"/>
  <c r="AP499" i="7"/>
  <c r="BG499" i="7" s="1"/>
  <c r="AR499" i="7"/>
  <c r="BI499" i="7" s="1"/>
  <c r="AQ499" i="7"/>
  <c r="BH499" i="7" s="1"/>
  <c r="DF502" i="7"/>
  <c r="CK503" i="7"/>
  <c r="DA500" i="7"/>
  <c r="AN500" i="7"/>
  <c r="BH500" i="7" s="1"/>
  <c r="CF501" i="7"/>
  <c r="CI502" i="7"/>
  <c r="DS501" i="7"/>
  <c r="DD501" i="7"/>
  <c r="CO501" i="7"/>
  <c r="BT502" i="7"/>
  <c r="EO501" i="7"/>
  <c r="BI500" i="7"/>
  <c r="BE498" i="7"/>
  <c r="BF498" i="7"/>
  <c r="BD498" i="7"/>
  <c r="BP499" i="7" l="1"/>
  <c r="BC500" i="7"/>
  <c r="DR500" i="7" s="1"/>
  <c r="AY500" i="7"/>
  <c r="DN500" i="7" s="1"/>
  <c r="AU500" i="7"/>
  <c r="DJ500" i="7" s="1"/>
  <c r="AZ500" i="7"/>
  <c r="DO500" i="7" s="1"/>
  <c r="AT500" i="7"/>
  <c r="BB500" i="7"/>
  <c r="DQ500" i="7" s="1"/>
  <c r="AV500" i="7"/>
  <c r="DK500" i="7" s="1"/>
  <c r="BA500" i="7"/>
  <c r="DP500" i="7" s="1"/>
  <c r="AX500" i="7"/>
  <c r="DM500" i="7" s="1"/>
  <c r="AW500" i="7"/>
  <c r="DL500" i="7" s="1"/>
  <c r="AH500" i="7"/>
  <c r="AF500" i="7"/>
  <c r="AI500" i="7" s="1"/>
  <c r="AG500" i="7"/>
  <c r="BO499" i="7"/>
  <c r="BQ499" i="7" s="1"/>
  <c r="BX503" i="7"/>
  <c r="CS502" i="7"/>
  <c r="N501" i="7"/>
  <c r="BU504" i="7"/>
  <c r="CP503" i="7"/>
  <c r="P501" i="7"/>
  <c r="BT503" i="7"/>
  <c r="CO502" i="7"/>
  <c r="EO502" i="7"/>
  <c r="DD502" i="7"/>
  <c r="DS502" i="7"/>
  <c r="CI503" i="7"/>
  <c r="CK504" i="7"/>
  <c r="DF503" i="7"/>
  <c r="BW503" i="7"/>
  <c r="CR502" i="7"/>
  <c r="DI500" i="7"/>
  <c r="CQ502" i="7"/>
  <c r="BV503" i="7"/>
  <c r="BF499" i="7"/>
  <c r="BD499" i="7"/>
  <c r="BE499" i="7"/>
  <c r="CX503" i="7"/>
  <c r="CC504" i="7"/>
  <c r="CZ501" i="7"/>
  <c r="AM501" i="7"/>
  <c r="CE502" i="7"/>
  <c r="EM503" i="7"/>
  <c r="DG503" i="7"/>
  <c r="CL504" i="7"/>
  <c r="CM503" i="7"/>
  <c r="DH502" i="7"/>
  <c r="AN501" i="7"/>
  <c r="DA501" i="7"/>
  <c r="CF502" i="7"/>
  <c r="EB501" i="7"/>
  <c r="DW501" i="7"/>
  <c r="BS502" i="7"/>
  <c r="EC501" i="7"/>
  <c r="DV501" i="7"/>
  <c r="EF501" i="7"/>
  <c r="EA501" i="7"/>
  <c r="DZ501" i="7"/>
  <c r="CN501" i="7"/>
  <c r="DX501" i="7"/>
  <c r="M501" i="7"/>
  <c r="AO502" i="7"/>
  <c r="CG503" i="7"/>
  <c r="DB502" i="7"/>
  <c r="CY502" i="7"/>
  <c r="CD503" i="7"/>
  <c r="BK491" i="7"/>
  <c r="D491" i="7"/>
  <c r="AK492" i="7"/>
  <c r="CA503" i="7"/>
  <c r="CV502" i="7"/>
  <c r="CT503" i="7"/>
  <c r="BY504" i="7"/>
  <c r="BG500" i="7"/>
  <c r="BZ503" i="7"/>
  <c r="EN502" i="7"/>
  <c r="CU502" i="7"/>
  <c r="BN501" i="7"/>
  <c r="CH502" i="7"/>
  <c r="DC501" i="7"/>
  <c r="G498" i="7"/>
  <c r="H498" i="7"/>
  <c r="BJ491" i="7"/>
  <c r="BM491" i="7" s="1"/>
  <c r="B491" i="7" s="1"/>
  <c r="C491" i="7"/>
  <c r="F491" i="7" s="1"/>
  <c r="AJ492" i="7"/>
  <c r="CB503" i="7"/>
  <c r="CW502" i="7"/>
  <c r="E491" i="7"/>
  <c r="BL491" i="7"/>
  <c r="AL492" i="7"/>
  <c r="CJ503" i="7"/>
  <c r="DE502" i="7"/>
  <c r="BP500" i="7" l="1"/>
  <c r="BJ492" i="7"/>
  <c r="BM492" i="7" s="1"/>
  <c r="B492" i="7" s="1"/>
  <c r="C492" i="7"/>
  <c r="F492" i="7" s="1"/>
  <c r="AJ493" i="7"/>
  <c r="D492" i="7"/>
  <c r="BK492" i="7"/>
  <c r="AK493" i="7"/>
  <c r="BB501" i="7"/>
  <c r="DQ501" i="7" s="1"/>
  <c r="AX501" i="7"/>
  <c r="DM501" i="7" s="1"/>
  <c r="AT501" i="7"/>
  <c r="AY501" i="7"/>
  <c r="DN501" i="7" s="1"/>
  <c r="BA501" i="7"/>
  <c r="DP501" i="7" s="1"/>
  <c r="AU501" i="7"/>
  <c r="DJ501" i="7" s="1"/>
  <c r="AV501" i="7"/>
  <c r="DK501" i="7" s="1"/>
  <c r="BC501" i="7"/>
  <c r="DR501" i="7" s="1"/>
  <c r="AZ501" i="7"/>
  <c r="DO501" i="7" s="1"/>
  <c r="AW501" i="7"/>
  <c r="DL501" i="7" s="1"/>
  <c r="AG501" i="7"/>
  <c r="AH501" i="7"/>
  <c r="AF501" i="7"/>
  <c r="AI501" i="7" s="1"/>
  <c r="EA502" i="7"/>
  <c r="DV502" i="7"/>
  <c r="EB502" i="7"/>
  <c r="CN502" i="7"/>
  <c r="BS503" i="7"/>
  <c r="DZ502" i="7"/>
  <c r="EF502" i="7"/>
  <c r="EC502" i="7"/>
  <c r="DX502" i="7"/>
  <c r="DW502" i="7"/>
  <c r="M502" i="7"/>
  <c r="DG504" i="7"/>
  <c r="EM504" i="7"/>
  <c r="CL505" i="7"/>
  <c r="BG501" i="7"/>
  <c r="P502" i="7"/>
  <c r="N503" i="7" s="1"/>
  <c r="CO503" i="7"/>
  <c r="BT504" i="7"/>
  <c r="EO503" i="7"/>
  <c r="CP504" i="7"/>
  <c r="BU505" i="7"/>
  <c r="BY505" i="7"/>
  <c r="CT504" i="7"/>
  <c r="DI501" i="7"/>
  <c r="AP501" i="7"/>
  <c r="AR501" i="7"/>
  <c r="BI501" i="7" s="1"/>
  <c r="AQ501" i="7"/>
  <c r="BH501" i="7" s="1"/>
  <c r="H499" i="7"/>
  <c r="G499" i="7"/>
  <c r="DE503" i="7"/>
  <c r="CJ504" i="7"/>
  <c r="BZ504" i="7"/>
  <c r="EN503" i="7"/>
  <c r="CU503" i="7"/>
  <c r="DB503" i="7"/>
  <c r="AO503" i="7"/>
  <c r="CG504" i="7"/>
  <c r="BO500" i="7"/>
  <c r="BQ500" i="7" s="1"/>
  <c r="CC505" i="7"/>
  <c r="CX504" i="7"/>
  <c r="DF504" i="7"/>
  <c r="CK505" i="7"/>
  <c r="N502" i="7"/>
  <c r="BE500" i="7"/>
  <c r="BF500" i="7"/>
  <c r="BD500" i="7"/>
  <c r="CH503" i="7"/>
  <c r="BN502" i="7"/>
  <c r="DC502" i="7"/>
  <c r="E492" i="7"/>
  <c r="BL492" i="7"/>
  <c r="AL493" i="7"/>
  <c r="CB504" i="7"/>
  <c r="CW503" i="7"/>
  <c r="CA504" i="7"/>
  <c r="CV503" i="7"/>
  <c r="CD504" i="7"/>
  <c r="CY503" i="7"/>
  <c r="CF503" i="7"/>
  <c r="DA502" i="7"/>
  <c r="AN502" i="7"/>
  <c r="CM504" i="7"/>
  <c r="DH503" i="7"/>
  <c r="AM502" i="7"/>
  <c r="CZ502" i="7"/>
  <c r="CE503" i="7"/>
  <c r="CQ503" i="7"/>
  <c r="BV504" i="7"/>
  <c r="BW504" i="7"/>
  <c r="CR503" i="7"/>
  <c r="CI504" i="7"/>
  <c r="DD503" i="7"/>
  <c r="DS503" i="7"/>
  <c r="CS503" i="7"/>
  <c r="BX504" i="7"/>
  <c r="BP501" i="7" l="1"/>
  <c r="P503" i="7"/>
  <c r="BW505" i="7"/>
  <c r="CR504" i="7"/>
  <c r="CK506" i="7"/>
  <c r="DF505" i="7"/>
  <c r="G500" i="7"/>
  <c r="H500" i="7"/>
  <c r="BY506" i="7"/>
  <c r="CT505" i="7"/>
  <c r="EO504" i="7"/>
  <c r="BT505" i="7"/>
  <c r="CO504" i="7"/>
  <c r="BA502" i="7"/>
  <c r="DP502" i="7" s="1"/>
  <c r="AW502" i="7"/>
  <c r="DL502" i="7" s="1"/>
  <c r="BC502" i="7"/>
  <c r="DR502" i="7" s="1"/>
  <c r="AX502" i="7"/>
  <c r="DM502" i="7" s="1"/>
  <c r="AZ502" i="7"/>
  <c r="DO502" i="7" s="1"/>
  <c r="AT502" i="7"/>
  <c r="AV502" i="7"/>
  <c r="DK502" i="7" s="1"/>
  <c r="AU502" i="7"/>
  <c r="DJ502" i="7" s="1"/>
  <c r="BB502" i="7"/>
  <c r="DQ502" i="7" s="1"/>
  <c r="AY502" i="7"/>
  <c r="DN502" i="7" s="1"/>
  <c r="AG502" i="7"/>
  <c r="AH502" i="7"/>
  <c r="AF502" i="7"/>
  <c r="AI502" i="7" s="1"/>
  <c r="D493" i="7"/>
  <c r="BK493" i="7"/>
  <c r="AK494" i="7"/>
  <c r="DS504" i="7"/>
  <c r="DD504" i="7"/>
  <c r="CI505" i="7"/>
  <c r="AO504" i="7"/>
  <c r="CG505" i="7"/>
  <c r="DB504" i="7"/>
  <c r="BU506" i="7"/>
  <c r="CP505" i="7"/>
  <c r="DG505" i="7"/>
  <c r="EM505" i="7"/>
  <c r="CL506" i="7"/>
  <c r="BF501" i="7"/>
  <c r="BD501" i="7"/>
  <c r="BE501" i="7"/>
  <c r="BV505" i="7"/>
  <c r="CQ504" i="7"/>
  <c r="CD505" i="7"/>
  <c r="CY504" i="7"/>
  <c r="CS504" i="7"/>
  <c r="BX505" i="7"/>
  <c r="AN503" i="7"/>
  <c r="CF504" i="7"/>
  <c r="DA503" i="7"/>
  <c r="CW504" i="7"/>
  <c r="CB505" i="7"/>
  <c r="CE504" i="7"/>
  <c r="CZ503" i="7"/>
  <c r="AM503" i="7"/>
  <c r="DH504" i="7"/>
  <c r="CM505" i="7"/>
  <c r="CV504" i="7"/>
  <c r="CA505" i="7"/>
  <c r="BL493" i="7"/>
  <c r="E493" i="7"/>
  <c r="AL494" i="7"/>
  <c r="BZ505" i="7"/>
  <c r="CU504" i="7"/>
  <c r="EN504" i="7"/>
  <c r="DI502" i="7"/>
  <c r="BS504" i="7"/>
  <c r="EF503" i="7"/>
  <c r="DZ503" i="7"/>
  <c r="CN503" i="7"/>
  <c r="BO502" i="7" s="1"/>
  <c r="DX503" i="7"/>
  <c r="DW503" i="7"/>
  <c r="DV503" i="7"/>
  <c r="EC503" i="7"/>
  <c r="EB503" i="7"/>
  <c r="EA503" i="7"/>
  <c r="M503" i="7"/>
  <c r="DC503" i="7"/>
  <c r="CH504" i="7"/>
  <c r="BN503" i="7"/>
  <c r="AR502" i="7"/>
  <c r="BI502" i="7" s="1"/>
  <c r="AQ502" i="7"/>
  <c r="BH502" i="7" s="1"/>
  <c r="AP502" i="7"/>
  <c r="BG502" i="7" s="1"/>
  <c r="CC506" i="7"/>
  <c r="CX505" i="7"/>
  <c r="CJ505" i="7"/>
  <c r="DE504" i="7"/>
  <c r="AR503" i="7"/>
  <c r="BI503" i="7" s="1"/>
  <c r="AQ503" i="7"/>
  <c r="AP503" i="7"/>
  <c r="BO501" i="7"/>
  <c r="BQ501" i="7" s="1"/>
  <c r="C493" i="7"/>
  <c r="F493" i="7" s="1"/>
  <c r="BJ493" i="7"/>
  <c r="BM493" i="7" s="1"/>
  <c r="B493" i="7" s="1"/>
  <c r="AJ494" i="7"/>
  <c r="BP502" i="7" l="1"/>
  <c r="BQ502" i="7" s="1"/>
  <c r="BJ494" i="7"/>
  <c r="BM494" i="7" s="1"/>
  <c r="B494" i="7" s="1"/>
  <c r="C494" i="7"/>
  <c r="F494" i="7" s="1"/>
  <c r="AJ495" i="7"/>
  <c r="AZ503" i="7"/>
  <c r="DO503" i="7" s="1"/>
  <c r="AV503" i="7"/>
  <c r="DK503" i="7" s="1"/>
  <c r="BB503" i="7"/>
  <c r="DQ503" i="7" s="1"/>
  <c r="AW503" i="7"/>
  <c r="DL503" i="7" s="1"/>
  <c r="AX503" i="7"/>
  <c r="DM503" i="7" s="1"/>
  <c r="AY503" i="7"/>
  <c r="DN503" i="7" s="1"/>
  <c r="AU503" i="7"/>
  <c r="DJ503" i="7" s="1"/>
  <c r="BC503" i="7"/>
  <c r="DR503" i="7" s="1"/>
  <c r="AT503" i="7"/>
  <c r="BA503" i="7"/>
  <c r="DP503" i="7" s="1"/>
  <c r="AH503" i="7"/>
  <c r="AG503" i="7"/>
  <c r="AF503" i="7"/>
  <c r="AI503" i="7" s="1"/>
  <c r="CA506" i="7"/>
  <c r="CV505" i="7"/>
  <c r="BG503" i="7"/>
  <c r="BX506" i="7"/>
  <c r="CS505" i="7"/>
  <c r="CG506" i="7"/>
  <c r="DB505" i="7"/>
  <c r="AO505" i="7"/>
  <c r="P504" i="7"/>
  <c r="CC507" i="7"/>
  <c r="CX506" i="7"/>
  <c r="CH505" i="7"/>
  <c r="DC504" i="7"/>
  <c r="BN504" i="7"/>
  <c r="BL494" i="7"/>
  <c r="E494" i="7"/>
  <c r="AL495" i="7"/>
  <c r="BK494" i="7"/>
  <c r="D494" i="7"/>
  <c r="AK495" i="7"/>
  <c r="CT506" i="7"/>
  <c r="BY507" i="7"/>
  <c r="CK507" i="7"/>
  <c r="DF506" i="7"/>
  <c r="N504" i="7"/>
  <c r="EC504" i="7"/>
  <c r="DX504" i="7"/>
  <c r="EF504" i="7"/>
  <c r="DW504" i="7"/>
  <c r="DV504" i="7"/>
  <c r="EA504" i="7"/>
  <c r="CN504" i="7"/>
  <c r="DZ504" i="7"/>
  <c r="BS505" i="7"/>
  <c r="EB504" i="7"/>
  <c r="M504" i="7"/>
  <c r="EN505" i="7"/>
  <c r="CU505" i="7"/>
  <c r="BZ506" i="7"/>
  <c r="DH505" i="7"/>
  <c r="CM506" i="7"/>
  <c r="AM504" i="7"/>
  <c r="CE505" i="7"/>
  <c r="CZ504" i="7"/>
  <c r="DA504" i="7"/>
  <c r="AN504" i="7"/>
  <c r="CF505" i="7"/>
  <c r="BV506" i="7"/>
  <c r="CQ505" i="7"/>
  <c r="EM506" i="7"/>
  <c r="DG506" i="7"/>
  <c r="CL507" i="7"/>
  <c r="BU507" i="7"/>
  <c r="CP506" i="7"/>
  <c r="CI506" i="7"/>
  <c r="DS505" i="7"/>
  <c r="DD505" i="7"/>
  <c r="CO505" i="7"/>
  <c r="BT506" i="7"/>
  <c r="EO505" i="7"/>
  <c r="H501" i="7"/>
  <c r="G501" i="7"/>
  <c r="DE505" i="7"/>
  <c r="CJ506" i="7"/>
  <c r="DI503" i="7"/>
  <c r="CB506" i="7"/>
  <c r="CW505" i="7"/>
  <c r="BH503" i="7"/>
  <c r="CD506" i="7"/>
  <c r="CY505" i="7"/>
  <c r="BE502" i="7"/>
  <c r="BF502" i="7"/>
  <c r="BD502" i="7"/>
  <c r="BW506" i="7"/>
  <c r="CR505" i="7"/>
  <c r="BP503" i="7" l="1"/>
  <c r="H502" i="7"/>
  <c r="G502" i="7"/>
  <c r="P505" i="7"/>
  <c r="BV507" i="7"/>
  <c r="CQ506" i="7"/>
  <c r="BC504" i="7"/>
  <c r="DR504" i="7" s="1"/>
  <c r="AY504" i="7"/>
  <c r="DN504" i="7" s="1"/>
  <c r="AU504" i="7"/>
  <c r="DJ504" i="7" s="1"/>
  <c r="AZ504" i="7"/>
  <c r="DO504" i="7" s="1"/>
  <c r="AT504" i="7"/>
  <c r="BB504" i="7"/>
  <c r="DQ504" i="7" s="1"/>
  <c r="AV504" i="7"/>
  <c r="DK504" i="7" s="1"/>
  <c r="BA504" i="7"/>
  <c r="DP504" i="7" s="1"/>
  <c r="AX504" i="7"/>
  <c r="DM504" i="7" s="1"/>
  <c r="AW504" i="7"/>
  <c r="DL504" i="7" s="1"/>
  <c r="AH504" i="7"/>
  <c r="AG504" i="7"/>
  <c r="AF504" i="7"/>
  <c r="AI504" i="7" s="1"/>
  <c r="BO503" i="7"/>
  <c r="BQ503" i="7" s="1"/>
  <c r="BK495" i="7"/>
  <c r="D495" i="7"/>
  <c r="AK496" i="7"/>
  <c r="E495" i="7"/>
  <c r="BL495" i="7"/>
  <c r="AL496" i="7"/>
  <c r="N505" i="7"/>
  <c r="AO506" i="7"/>
  <c r="CG507" i="7"/>
  <c r="DB506" i="7"/>
  <c r="BJ495" i="7"/>
  <c r="BM495" i="7" s="1"/>
  <c r="B495" i="7" s="1"/>
  <c r="C495" i="7"/>
  <c r="F495" i="7" s="1"/>
  <c r="AJ496" i="7"/>
  <c r="BT507" i="7"/>
  <c r="CO506" i="7"/>
  <c r="EO506" i="7"/>
  <c r="DD506" i="7"/>
  <c r="CI507" i="7"/>
  <c r="DS506" i="7"/>
  <c r="AN505" i="7"/>
  <c r="CF506" i="7"/>
  <c r="DA505" i="7"/>
  <c r="CZ505" i="7"/>
  <c r="CE506" i="7"/>
  <c r="AM505" i="7"/>
  <c r="EN506" i="7"/>
  <c r="BZ507" i="7"/>
  <c r="CU506" i="7"/>
  <c r="CK508" i="7"/>
  <c r="DF507" i="7"/>
  <c r="BN505" i="7"/>
  <c r="CH506" i="7"/>
  <c r="DC505" i="7"/>
  <c r="CA507" i="7"/>
  <c r="CV506" i="7"/>
  <c r="CJ507" i="7"/>
  <c r="DE506" i="7"/>
  <c r="EM507" i="7"/>
  <c r="DG507" i="7"/>
  <c r="CL508" i="7"/>
  <c r="BW507" i="7"/>
  <c r="CR506" i="7"/>
  <c r="CB507" i="7"/>
  <c r="CW506" i="7"/>
  <c r="EB505" i="7"/>
  <c r="DW505" i="7"/>
  <c r="BS506" i="7"/>
  <c r="EC505" i="7"/>
  <c r="DV505" i="7"/>
  <c r="EF505" i="7"/>
  <c r="EA505" i="7"/>
  <c r="DZ505" i="7"/>
  <c r="CN505" i="7"/>
  <c r="BO504" i="7" s="1"/>
  <c r="DX505" i="7"/>
  <c r="M505" i="7"/>
  <c r="BY508" i="7"/>
  <c r="CT507" i="7"/>
  <c r="BX507" i="7"/>
  <c r="CS506" i="7"/>
  <c r="BD503" i="7"/>
  <c r="BE503" i="7"/>
  <c r="BF503" i="7"/>
  <c r="CY506" i="7"/>
  <c r="CD507" i="7"/>
  <c r="DI504" i="7"/>
  <c r="BU508" i="7"/>
  <c r="CP507" i="7"/>
  <c r="CM507" i="7"/>
  <c r="DH506" i="7"/>
  <c r="AQ504" i="7"/>
  <c r="BH504" i="7" s="1"/>
  <c r="AR504" i="7"/>
  <c r="BI504" i="7" s="1"/>
  <c r="AP504" i="7"/>
  <c r="BG504" i="7" s="1"/>
  <c r="CX507" i="7"/>
  <c r="CC508" i="7"/>
  <c r="BP504" i="7" l="1"/>
  <c r="BQ504" i="7" s="1"/>
  <c r="BY509" i="7"/>
  <c r="CT509" i="7" s="1"/>
  <c r="CT508" i="7"/>
  <c r="CA508" i="7"/>
  <c r="CV507" i="7"/>
  <c r="CI508" i="7"/>
  <c r="DD507" i="7"/>
  <c r="DS507" i="7"/>
  <c r="EO507" i="7"/>
  <c r="BT508" i="7"/>
  <c r="CO507" i="7"/>
  <c r="E496" i="7"/>
  <c r="BL496" i="7"/>
  <c r="AL497" i="7"/>
  <c r="BB505" i="7"/>
  <c r="DQ505" i="7" s="1"/>
  <c r="AX505" i="7"/>
  <c r="DM505" i="7" s="1"/>
  <c r="AT505" i="7"/>
  <c r="AY505" i="7"/>
  <c r="DN505" i="7" s="1"/>
  <c r="BA505" i="7"/>
  <c r="DP505" i="7" s="1"/>
  <c r="AU505" i="7"/>
  <c r="DJ505" i="7" s="1"/>
  <c r="AV505" i="7"/>
  <c r="DK505" i="7" s="1"/>
  <c r="BC505" i="7"/>
  <c r="DR505" i="7" s="1"/>
  <c r="AZ505" i="7"/>
  <c r="DO505" i="7" s="1"/>
  <c r="AW505" i="7"/>
  <c r="DL505" i="7" s="1"/>
  <c r="AH505" i="7"/>
  <c r="AG505" i="7"/>
  <c r="AF505" i="7"/>
  <c r="AI505" i="7" s="1"/>
  <c r="EA506" i="7"/>
  <c r="DV506" i="7"/>
  <c r="EB506" i="7"/>
  <c r="CN506" i="7"/>
  <c r="EC506" i="7"/>
  <c r="DX506" i="7"/>
  <c r="EF506" i="7"/>
  <c r="DZ506" i="7"/>
  <c r="BS507" i="7"/>
  <c r="DW506" i="7"/>
  <c r="M506" i="7"/>
  <c r="BW508" i="7"/>
  <c r="CR507" i="7"/>
  <c r="DF508" i="7"/>
  <c r="CK509" i="7"/>
  <c r="DF509" i="7" s="1"/>
  <c r="CF507" i="7"/>
  <c r="DA506" i="7"/>
  <c r="AN506" i="7"/>
  <c r="C496" i="7"/>
  <c r="F496" i="7" s="1"/>
  <c r="BJ496" i="7"/>
  <c r="BM496" i="7" s="1"/>
  <c r="B496" i="7" s="1"/>
  <c r="AJ497" i="7"/>
  <c r="CG508" i="7"/>
  <c r="AO507" i="7"/>
  <c r="DB507" i="7"/>
  <c r="BV508" i="7"/>
  <c r="CQ507" i="7"/>
  <c r="CP508" i="7"/>
  <c r="BU509" i="7"/>
  <c r="CP509" i="7" s="1"/>
  <c r="CS507" i="7"/>
  <c r="BX508" i="7"/>
  <c r="DI505" i="7"/>
  <c r="DG508" i="7"/>
  <c r="EM508" i="7"/>
  <c r="CL509" i="7"/>
  <c r="DE507" i="7"/>
  <c r="CJ508" i="7"/>
  <c r="CH507" i="7"/>
  <c r="BN506" i="7"/>
  <c r="DC506" i="7"/>
  <c r="AM506" i="7"/>
  <c r="CZ506" i="7"/>
  <c r="CE507" i="7"/>
  <c r="BH505" i="7"/>
  <c r="G503" i="7"/>
  <c r="H503" i="7"/>
  <c r="CC509" i="7"/>
  <c r="CX509" i="7" s="1"/>
  <c r="CX508" i="7"/>
  <c r="CM508" i="7"/>
  <c r="DH507" i="7"/>
  <c r="CY507" i="7"/>
  <c r="CD508" i="7"/>
  <c r="CW507" i="7"/>
  <c r="CB508" i="7"/>
  <c r="BZ508" i="7"/>
  <c r="CU507" i="7"/>
  <c r="EN507" i="7"/>
  <c r="P506" i="7"/>
  <c r="N507" i="7" s="1"/>
  <c r="AP505" i="7"/>
  <c r="BG505" i="7" s="1"/>
  <c r="AR505" i="7"/>
  <c r="BI505" i="7" s="1"/>
  <c r="AQ505" i="7"/>
  <c r="D496" i="7"/>
  <c r="BK496" i="7"/>
  <c r="AK497" i="7"/>
  <c r="BE504" i="7"/>
  <c r="BF504" i="7"/>
  <c r="BD504" i="7"/>
  <c r="N506" i="7"/>
  <c r="BP505" i="7" l="1"/>
  <c r="BW509" i="7"/>
  <c r="CR509" i="7" s="1"/>
  <c r="CR508" i="7"/>
  <c r="BO505" i="7"/>
  <c r="G504" i="7"/>
  <c r="H504" i="7"/>
  <c r="CB509" i="7"/>
  <c r="CW509" i="7" s="1"/>
  <c r="CW508" i="7"/>
  <c r="CE508" i="7"/>
  <c r="CZ507" i="7"/>
  <c r="AM507" i="7"/>
  <c r="EM509" i="7"/>
  <c r="DG509" i="7"/>
  <c r="BX509" i="7"/>
  <c r="CS509" i="7" s="1"/>
  <c r="CS508" i="7"/>
  <c r="AO508" i="7"/>
  <c r="DB508" i="7"/>
  <c r="CG509" i="7"/>
  <c r="BA506" i="7"/>
  <c r="DP506" i="7" s="1"/>
  <c r="AW506" i="7"/>
  <c r="DL506" i="7" s="1"/>
  <c r="BC506" i="7"/>
  <c r="DR506" i="7" s="1"/>
  <c r="AX506" i="7"/>
  <c r="DM506" i="7" s="1"/>
  <c r="BB506" i="7"/>
  <c r="DQ506" i="7" s="1"/>
  <c r="AU506" i="7"/>
  <c r="DJ506" i="7" s="1"/>
  <c r="AY506" i="7"/>
  <c r="DN506" i="7" s="1"/>
  <c r="AZ506" i="7"/>
  <c r="DO506" i="7" s="1"/>
  <c r="AV506" i="7"/>
  <c r="DK506" i="7" s="1"/>
  <c r="AT506" i="7"/>
  <c r="DI506" i="7" s="1"/>
  <c r="AG506" i="7"/>
  <c r="AH506" i="7"/>
  <c r="AF506" i="7"/>
  <c r="AI506" i="7" s="1"/>
  <c r="BL497" i="7"/>
  <c r="E497" i="7"/>
  <c r="AL498" i="7"/>
  <c r="EO508" i="7"/>
  <c r="BT509" i="7"/>
  <c r="CO508" i="7"/>
  <c r="DS508" i="7"/>
  <c r="CI509" i="7"/>
  <c r="DD508" i="7"/>
  <c r="AR507" i="7"/>
  <c r="BI507" i="7" s="1"/>
  <c r="AQ507" i="7"/>
  <c r="AP507" i="7"/>
  <c r="AR506" i="7"/>
  <c r="BI506" i="7" s="1"/>
  <c r="AQ506" i="7"/>
  <c r="BH506" i="7" s="1"/>
  <c r="AP506" i="7"/>
  <c r="DH508" i="7"/>
  <c r="CM509" i="7"/>
  <c r="DH509" i="7" s="1"/>
  <c r="DC507" i="7"/>
  <c r="BN507" i="7"/>
  <c r="CH508" i="7"/>
  <c r="BV509" i="7"/>
  <c r="CQ509" i="7" s="1"/>
  <c r="CQ508" i="7"/>
  <c r="C497" i="7"/>
  <c r="F497" i="7" s="1"/>
  <c r="BJ497" i="7"/>
  <c r="BM497" i="7" s="1"/>
  <c r="B497" i="7" s="1"/>
  <c r="AJ498" i="7"/>
  <c r="BF505" i="7"/>
  <c r="BD505" i="7"/>
  <c r="BE505" i="7"/>
  <c r="BK497" i="7"/>
  <c r="D497" i="7"/>
  <c r="AK498" i="7"/>
  <c r="BZ509" i="7"/>
  <c r="CU508" i="7"/>
  <c r="EN508" i="7"/>
  <c r="CD509" i="7"/>
  <c r="CY509" i="7" s="1"/>
  <c r="CY508" i="7"/>
  <c r="BG506" i="7"/>
  <c r="CJ509" i="7"/>
  <c r="DE509" i="7" s="1"/>
  <c r="DE508" i="7"/>
  <c r="AN507" i="7"/>
  <c r="BH507" i="7" s="1"/>
  <c r="CF508" i="7"/>
  <c r="DA507" i="7"/>
  <c r="BS508" i="7"/>
  <c r="EF507" i="7"/>
  <c r="DZ507" i="7"/>
  <c r="CN507" i="7"/>
  <c r="DX507" i="7"/>
  <c r="EA507" i="7"/>
  <c r="EC507" i="7"/>
  <c r="DV507" i="7"/>
  <c r="EB507" i="7"/>
  <c r="DW507" i="7"/>
  <c r="M507" i="7"/>
  <c r="P507" i="7"/>
  <c r="N508" i="7" s="1"/>
  <c r="CV508" i="7"/>
  <c r="CA509" i="7"/>
  <c r="CV509" i="7" s="1"/>
  <c r="BP506" i="7" l="1"/>
  <c r="EC508" i="7"/>
  <c r="DX508" i="7"/>
  <c r="EF508" i="7"/>
  <c r="DW508" i="7"/>
  <c r="DZ508" i="7"/>
  <c r="CN508" i="7"/>
  <c r="BS509" i="7"/>
  <c r="EB508" i="7"/>
  <c r="DV508" i="7"/>
  <c r="EA508" i="7"/>
  <c r="M508" i="7"/>
  <c r="DS509" i="7"/>
  <c r="DD509" i="7"/>
  <c r="AM508" i="7"/>
  <c r="BG508" i="7" s="1"/>
  <c r="CE509" i="7"/>
  <c r="CZ508" i="7"/>
  <c r="AQ508" i="7"/>
  <c r="AP508" i="7"/>
  <c r="AR508" i="7"/>
  <c r="BI508" i="7" s="1"/>
  <c r="BO506" i="7"/>
  <c r="BQ506" i="7" s="1"/>
  <c r="AZ507" i="7"/>
  <c r="DO507" i="7" s="1"/>
  <c r="AV507" i="7"/>
  <c r="DK507" i="7" s="1"/>
  <c r="BB507" i="7"/>
  <c r="DQ507" i="7" s="1"/>
  <c r="AW507" i="7"/>
  <c r="DL507" i="7" s="1"/>
  <c r="AY507" i="7"/>
  <c r="DN507" i="7" s="1"/>
  <c r="BC507" i="7"/>
  <c r="DR507" i="7" s="1"/>
  <c r="AU507" i="7"/>
  <c r="DJ507" i="7" s="1"/>
  <c r="AT507" i="7"/>
  <c r="AX507" i="7"/>
  <c r="DM507" i="7" s="1"/>
  <c r="BA507" i="7"/>
  <c r="DP507" i="7" s="1"/>
  <c r="AH507" i="7"/>
  <c r="AF507" i="7"/>
  <c r="AI507" i="7" s="1"/>
  <c r="AG507" i="7"/>
  <c r="DA508" i="7"/>
  <c r="CF509" i="7"/>
  <c r="AN508" i="7"/>
  <c r="BH508" i="7" s="1"/>
  <c r="BJ498" i="7"/>
  <c r="BM498" i="7" s="1"/>
  <c r="B498" i="7" s="1"/>
  <c r="C498" i="7"/>
  <c r="F498" i="7" s="1"/>
  <c r="AJ499" i="7"/>
  <c r="P508" i="7"/>
  <c r="N509" i="7" s="1"/>
  <c r="E498" i="7"/>
  <c r="BL498" i="7"/>
  <c r="AL499" i="7"/>
  <c r="BQ505" i="7"/>
  <c r="EN509" i="7"/>
  <c r="CU509" i="7"/>
  <c r="CH509" i="7"/>
  <c r="DC508" i="7"/>
  <c r="BN508" i="7"/>
  <c r="DB509" i="7"/>
  <c r="AO509" i="7"/>
  <c r="BG507" i="7"/>
  <c r="BK498" i="7"/>
  <c r="D498" i="7"/>
  <c r="AK499" i="7"/>
  <c r="CO509" i="7"/>
  <c r="EO509" i="7"/>
  <c r="BE506" i="7"/>
  <c r="BF506" i="7"/>
  <c r="BD506" i="7"/>
  <c r="BO507" i="7" l="1"/>
  <c r="H505" i="7"/>
  <c r="G505" i="7"/>
  <c r="AP509" i="7"/>
  <c r="AR509" i="7"/>
  <c r="AQ509" i="7"/>
  <c r="D499" i="7"/>
  <c r="BK499" i="7"/>
  <c r="AK500" i="7"/>
  <c r="BI509" i="7"/>
  <c r="BN509" i="7"/>
  <c r="DC509" i="7"/>
  <c r="E499" i="7"/>
  <c r="BL499" i="7"/>
  <c r="AL500" i="7"/>
  <c r="BD507" i="7"/>
  <c r="BF507" i="7"/>
  <c r="BE507" i="7"/>
  <c r="H506" i="7"/>
  <c r="G506" i="7"/>
  <c r="CZ509" i="7"/>
  <c r="AM509" i="7"/>
  <c r="BG509" i="7" s="1"/>
  <c r="P509" i="7"/>
  <c r="DI507" i="7"/>
  <c r="BJ499" i="7"/>
  <c r="BM499" i="7" s="1"/>
  <c r="B499" i="7" s="1"/>
  <c r="C499" i="7"/>
  <c r="F499" i="7" s="1"/>
  <c r="AJ500" i="7"/>
  <c r="AN509" i="7"/>
  <c r="BH509" i="7" s="1"/>
  <c r="DA509" i="7"/>
  <c r="BC508" i="7"/>
  <c r="DR508" i="7" s="1"/>
  <c r="AY508" i="7"/>
  <c r="DN508" i="7" s="1"/>
  <c r="AU508" i="7"/>
  <c r="DJ508" i="7" s="1"/>
  <c r="AZ508" i="7"/>
  <c r="DO508" i="7" s="1"/>
  <c r="AT508" i="7"/>
  <c r="AW508" i="7"/>
  <c r="DL508" i="7" s="1"/>
  <c r="BA508" i="7"/>
  <c r="DP508" i="7" s="1"/>
  <c r="BB508" i="7"/>
  <c r="DQ508" i="7" s="1"/>
  <c r="AX508" i="7"/>
  <c r="DM508" i="7" s="1"/>
  <c r="AV508" i="7"/>
  <c r="DK508" i="7" s="1"/>
  <c r="AH508" i="7"/>
  <c r="AF508" i="7"/>
  <c r="AI508" i="7" s="1"/>
  <c r="AG508" i="7"/>
  <c r="EB509" i="7"/>
  <c r="DW509" i="7"/>
  <c r="EC509" i="7"/>
  <c r="DV509" i="7"/>
  <c r="DX509" i="7"/>
  <c r="EF509" i="7"/>
  <c r="DZ509" i="7"/>
  <c r="CN509" i="7"/>
  <c r="BO508" i="7" s="1"/>
  <c r="EA509" i="7"/>
  <c r="M509" i="7"/>
  <c r="BB509" i="7" l="1"/>
  <c r="DQ509" i="7" s="1"/>
  <c r="AX509" i="7"/>
  <c r="DM509" i="7" s="1"/>
  <c r="AT509" i="7"/>
  <c r="AY509" i="7"/>
  <c r="DN509" i="7" s="1"/>
  <c r="BC509" i="7"/>
  <c r="DR509" i="7" s="1"/>
  <c r="AV509" i="7"/>
  <c r="DK509" i="7" s="1"/>
  <c r="AZ509" i="7"/>
  <c r="DO509" i="7" s="1"/>
  <c r="BA509" i="7"/>
  <c r="DP509" i="7" s="1"/>
  <c r="AW509" i="7"/>
  <c r="DL509" i="7" s="1"/>
  <c r="AU509" i="7"/>
  <c r="DJ509" i="7" s="1"/>
  <c r="AH509" i="7"/>
  <c r="AG509" i="7"/>
  <c r="AF509" i="7"/>
  <c r="AI509" i="7" s="1"/>
  <c r="DI508" i="7"/>
  <c r="DI509" i="7" s="1"/>
  <c r="BK500" i="7"/>
  <c r="D500" i="7"/>
  <c r="AK501" i="7"/>
  <c r="BJ500" i="7"/>
  <c r="BM500" i="7" s="1"/>
  <c r="B500" i="7" s="1"/>
  <c r="C500" i="7"/>
  <c r="F500" i="7" s="1"/>
  <c r="AJ501" i="7"/>
  <c r="BP507" i="7"/>
  <c r="BQ507" i="7" s="1"/>
  <c r="BE508" i="7"/>
  <c r="BD508" i="7"/>
  <c r="BF508" i="7"/>
  <c r="BL500" i="7"/>
  <c r="E500" i="7"/>
  <c r="AL501" i="7"/>
  <c r="BP509" i="7" l="1"/>
  <c r="BQ509" i="7" s="1"/>
  <c r="G507" i="7"/>
  <c r="H507" i="7"/>
  <c r="BJ501" i="7"/>
  <c r="BM501" i="7" s="1"/>
  <c r="B501" i="7" s="1"/>
  <c r="C501" i="7"/>
  <c r="F501" i="7" s="1"/>
  <c r="AJ502" i="7"/>
  <c r="D501" i="7"/>
  <c r="BK501" i="7"/>
  <c r="AK502" i="7"/>
  <c r="BP508" i="7"/>
  <c r="BQ508" i="7" s="1"/>
  <c r="E501" i="7"/>
  <c r="BL501" i="7"/>
  <c r="AL502" i="7"/>
  <c r="BF509" i="7"/>
  <c r="BD509" i="7"/>
  <c r="BE509" i="7"/>
  <c r="H508" i="7" l="1"/>
  <c r="G508" i="7"/>
  <c r="C502" i="7"/>
  <c r="F502" i="7" s="1"/>
  <c r="BJ502" i="7"/>
  <c r="BM502" i="7" s="1"/>
  <c r="B502" i="7" s="1"/>
  <c r="AJ503" i="7"/>
  <c r="E502" i="7"/>
  <c r="BL502" i="7"/>
  <c r="AL503" i="7"/>
  <c r="D502" i="7"/>
  <c r="BK502" i="7"/>
  <c r="AK503" i="7"/>
  <c r="H509" i="7"/>
  <c r="G509" i="7"/>
  <c r="BL503" i="7" l="1"/>
  <c r="E503" i="7"/>
  <c r="AL504" i="7"/>
  <c r="BK503" i="7"/>
  <c r="D503" i="7"/>
  <c r="AK504" i="7"/>
  <c r="C503" i="7"/>
  <c r="F503" i="7" s="1"/>
  <c r="BJ503" i="7"/>
  <c r="BM503" i="7" s="1"/>
  <c r="B503" i="7" s="1"/>
  <c r="AJ504" i="7"/>
  <c r="BK504" i="7" l="1"/>
  <c r="D504" i="7"/>
  <c r="AK505" i="7"/>
  <c r="BL504" i="7"/>
  <c r="E504" i="7"/>
  <c r="AL505" i="7"/>
  <c r="BJ504" i="7"/>
  <c r="BM504" i="7" s="1"/>
  <c r="B504" i="7" s="1"/>
  <c r="C504" i="7"/>
  <c r="F504" i="7" s="1"/>
  <c r="AJ505" i="7"/>
  <c r="E505" i="7" l="1"/>
  <c r="BL505" i="7"/>
  <c r="AL506" i="7"/>
  <c r="D505" i="7"/>
  <c r="BK505" i="7"/>
  <c r="AK506" i="7"/>
  <c r="BJ505" i="7"/>
  <c r="BM505" i="7" s="1"/>
  <c r="B505" i="7" s="1"/>
  <c r="C505" i="7"/>
  <c r="F505" i="7" s="1"/>
  <c r="AJ506" i="7"/>
  <c r="BL506" i="7" l="1"/>
  <c r="E506" i="7"/>
  <c r="AL507" i="7"/>
  <c r="D506" i="7"/>
  <c r="BK506" i="7"/>
  <c r="AK507" i="7"/>
  <c r="BJ506" i="7"/>
  <c r="BM506" i="7" s="1"/>
  <c r="B506" i="7" s="1"/>
  <c r="C506" i="7"/>
  <c r="F506" i="7" s="1"/>
  <c r="AJ507" i="7"/>
  <c r="BL507" i="7" l="1"/>
  <c r="E507" i="7"/>
  <c r="AL508" i="7"/>
  <c r="D507" i="7"/>
  <c r="BK507" i="7"/>
  <c r="AK508" i="7"/>
  <c r="C507" i="7"/>
  <c r="F507" i="7" s="1"/>
  <c r="BJ507" i="7"/>
  <c r="BM507" i="7" s="1"/>
  <c r="B507" i="7" s="1"/>
  <c r="AJ508" i="7"/>
  <c r="BL508" i="7" l="1"/>
  <c r="E508" i="7"/>
  <c r="AL509" i="7"/>
  <c r="BK508" i="7"/>
  <c r="D508" i="7"/>
  <c r="AK509" i="7"/>
  <c r="BJ508" i="7"/>
  <c r="BM508" i="7" s="1"/>
  <c r="B508" i="7" s="1"/>
  <c r="C508" i="7"/>
  <c r="F508" i="7" s="1"/>
  <c r="AJ509" i="7"/>
  <c r="BK509" i="7" l="1"/>
  <c r="D509" i="7"/>
  <c r="E509" i="7"/>
  <c r="BL509" i="7"/>
  <c r="BJ509" i="7"/>
  <c r="BM509" i="7" s="1"/>
  <c r="B509" i="7" s="1"/>
  <c r="C509" i="7"/>
  <c r="F509" i="7" s="1"/>
</calcChain>
</file>

<file path=xl/connections.xml><?xml version="1.0" encoding="utf-8"?>
<connections xmlns="http://schemas.openxmlformats.org/spreadsheetml/2006/main">
  <connection id="1" name="Dörfer Import" description="Welt 178" type="4" refreshedVersion="5" saveData="1">
    <webPr sourceData="1" parsePre="1" consecutive="1" xl2000="1" url="https://de178.die-staemme.de/map/village.txt"/>
  </connection>
  <connection id="2" name="Spieler Import" description="Welt 178" type="4" refreshedVersion="5" saveData="1">
    <webPr sourceData="1" parsePre="1" consecutive="1" xl2000="1" url="https://de178.die-staemme.de/map/player.txt"/>
  </connection>
</connections>
</file>

<file path=xl/sharedStrings.xml><?xml version="1.0" encoding="utf-8"?>
<sst xmlns="http://schemas.openxmlformats.org/spreadsheetml/2006/main" count="46866" uniqueCount="37456">
  <si>
    <t>village headquarters</t>
  </si>
  <si>
    <t>barracks</t>
  </si>
  <si>
    <t>stable</t>
  </si>
  <si>
    <t>workshop</t>
  </si>
  <si>
    <t>academy</t>
  </si>
  <si>
    <t>smithy</t>
  </si>
  <si>
    <t>rally point</t>
  </si>
  <si>
    <t>statue</t>
  </si>
  <si>
    <t>market</t>
  </si>
  <si>
    <t>timber camp</t>
  </si>
  <si>
    <t>clay pit</t>
  </si>
  <si>
    <t>iron mine</t>
  </si>
  <si>
    <t>farm</t>
  </si>
  <si>
    <t>warehouse</t>
  </si>
  <si>
    <t>hiding place</t>
  </si>
  <si>
    <t>wall</t>
  </si>
  <si>
    <t>speed:</t>
  </si>
  <si>
    <t>base unit:</t>
  </si>
  <si>
    <t>hq modifier</t>
  </si>
  <si>
    <t>hq factor:</t>
  </si>
  <si>
    <t>factor</t>
  </si>
  <si>
    <t>capacity</t>
  </si>
  <si>
    <t>maximum population</t>
  </si>
  <si>
    <t>construction time</t>
  </si>
  <si>
    <t>Population</t>
  </si>
  <si>
    <t>available</t>
  </si>
  <si>
    <t>max</t>
  </si>
  <si>
    <t>next building</t>
  </si>
  <si>
    <t>upgrade to level</t>
  </si>
  <si>
    <t>timber</t>
  </si>
  <si>
    <t>clay</t>
  </si>
  <si>
    <t>iron</t>
  </si>
  <si>
    <t>stored resources</t>
  </si>
  <si>
    <t>Building Levels</t>
  </si>
  <si>
    <t>Construction Assignment</t>
  </si>
  <si>
    <t>time</t>
  </si>
  <si>
    <t>current time</t>
  </si>
  <si>
    <t>duration of construction</t>
  </si>
  <si>
    <t>begin constuction at</t>
  </si>
  <si>
    <t>timber available in</t>
  </si>
  <si>
    <t>Clay available in</t>
  </si>
  <si>
    <t>Iron available in</t>
  </si>
  <si>
    <t>waiting for resources</t>
  </si>
  <si>
    <t>resources produced per hour</t>
  </si>
  <si>
    <t>other income (per hour estimate)</t>
  </si>
  <si>
    <t>world speed:</t>
  </si>
  <si>
    <t>will use</t>
  </si>
  <si>
    <t>unit of measure for cost/time</t>
  </si>
  <si>
    <t>population breakdown</t>
  </si>
  <si>
    <t>total</t>
  </si>
  <si>
    <t>hour</t>
  </si>
  <si>
    <t>minute</t>
  </si>
  <si>
    <t>second</t>
  </si>
  <si>
    <t>total income per hour</t>
  </si>
  <si>
    <t>ready in</t>
  </si>
  <si>
    <t>warehouse capacity</t>
  </si>
  <si>
    <t>queue</t>
  </si>
  <si>
    <t>cost modifier</t>
  </si>
  <si>
    <t>base</t>
  </si>
  <si>
    <t>first church</t>
  </si>
  <si>
    <t>church</t>
  </si>
  <si>
    <t>upgrade by</t>
  </si>
  <si>
    <t>Spalte</t>
  </si>
  <si>
    <t>BH frei</t>
  </si>
  <si>
    <t>watchtower</t>
  </si>
  <si>
    <t>build time factor</t>
  </si>
  <si>
    <t>Speed</t>
  </si>
  <si>
    <t>Baracks</t>
  </si>
  <si>
    <t>Factor</t>
  </si>
  <si>
    <t>Stable</t>
  </si>
  <si>
    <t>Unit</t>
  </si>
  <si>
    <t>Scout</t>
  </si>
  <si>
    <t>lvl building</t>
  </si>
  <si>
    <t>Spear fighter</t>
  </si>
  <si>
    <t>Swordsman</t>
  </si>
  <si>
    <t>Axeman</t>
  </si>
  <si>
    <t>Light cavalry</t>
  </si>
  <si>
    <t>Heavy cavalry</t>
  </si>
  <si>
    <t>Ram</t>
  </si>
  <si>
    <t>Catapult</t>
  </si>
  <si>
    <t>Workshop</t>
  </si>
  <si>
    <t>Speed 1</t>
  </si>
  <si>
    <t>Total</t>
  </si>
  <si>
    <t>wood</t>
  </si>
  <si>
    <t>Wood</t>
  </si>
  <si>
    <t>Clay</t>
  </si>
  <si>
    <t>Iron</t>
  </si>
  <si>
    <t>Cost/ hour</t>
  </si>
  <si>
    <t>used building</t>
  </si>
  <si>
    <t>used troops</t>
  </si>
  <si>
    <t>Recruting Assignment</t>
  </si>
  <si>
    <t>cost building</t>
  </si>
  <si>
    <t>cost buildung/time</t>
  </si>
  <si>
    <t>Recruted Units during building construction</t>
  </si>
  <si>
    <t>costs for units</t>
  </si>
  <si>
    <t>3er tech</t>
  </si>
  <si>
    <t>1er tech</t>
  </si>
  <si>
    <t>10er tech</t>
  </si>
  <si>
    <t>research time</t>
  </si>
  <si>
    <t>Ressi Faktor</t>
  </si>
  <si>
    <t>Zeitfaktor</t>
  </si>
  <si>
    <t>Base</t>
  </si>
  <si>
    <t>Smith</t>
  </si>
  <si>
    <t>Level</t>
  </si>
  <si>
    <t>Smithy</t>
  </si>
  <si>
    <t>Rammbock</t>
  </si>
  <si>
    <t>coin</t>
  </si>
  <si>
    <t>noble</t>
  </si>
  <si>
    <t>Speicher inkl. Schleife</t>
  </si>
  <si>
    <t>mind. Frei</t>
  </si>
  <si>
    <t>BH frei inkl. Schleife</t>
  </si>
  <si>
    <t>Kampfkraft</t>
  </si>
  <si>
    <t>Gebäudestufe vor Angriff</t>
  </si>
  <si>
    <t>Anzahl gesenkter Stufen</t>
  </si>
  <si>
    <t>Katatech</t>
  </si>
  <si>
    <t>Stufe Bauernhof</t>
  </si>
  <si>
    <t>Einheiten je Stufe</t>
  </si>
  <si>
    <t>Aktuell im Dorf</t>
  </si>
  <si>
    <t>Speere</t>
  </si>
  <si>
    <t>Schwerter</t>
  </si>
  <si>
    <t>Äxte</t>
  </si>
  <si>
    <t>Späher</t>
  </si>
  <si>
    <t>Lkav</t>
  </si>
  <si>
    <t>Rammen</t>
  </si>
  <si>
    <t>Katas</t>
  </si>
  <si>
    <t>Skav</t>
  </si>
  <si>
    <t>Bei Stufe 30</t>
  </si>
  <si>
    <t>max. Truppen</t>
  </si>
  <si>
    <t>Techsystem</t>
  </si>
  <si>
    <t>Tech 10er</t>
  </si>
  <si>
    <t>Tech 3 er</t>
  </si>
  <si>
    <t>Tech 1er</t>
  </si>
  <si>
    <t>1er Tech</t>
  </si>
  <si>
    <t>3er Tech</t>
  </si>
  <si>
    <t>10er Tech</t>
  </si>
  <si>
    <t>Kampfkraft Rammen</t>
  </si>
  <si>
    <t>Rammentech</t>
  </si>
  <si>
    <t>Wallstufe</t>
  </si>
  <si>
    <t>Angreifende Rammen</t>
  </si>
  <si>
    <t>Anteil überlebende Rammen</t>
  </si>
  <si>
    <t>Rechnerische Anzahl an Rammen</t>
  </si>
  <si>
    <t>Mind. Rammen zum halbieren</t>
  </si>
  <si>
    <t>Academy</t>
  </si>
  <si>
    <t>Wenn angreifer gewinnt</t>
  </si>
  <si>
    <t>Wenn Verteidiger gewinnt</t>
  </si>
  <si>
    <t>Anteil besiegter Gegner</t>
  </si>
  <si>
    <t>ressourcen speed</t>
  </si>
  <si>
    <t>mine speed:</t>
  </si>
  <si>
    <t>Minenprodi</t>
  </si>
  <si>
    <t>Gesamt Ressi</t>
  </si>
  <si>
    <t>Dorf</t>
  </si>
  <si>
    <t>Holz</t>
  </si>
  <si>
    <t>Lehm</t>
  </si>
  <si>
    <t>Eisen</t>
  </si>
  <si>
    <t>Gesamt</t>
  </si>
  <si>
    <t>Minen</t>
  </si>
  <si>
    <t>Rohstoffe</t>
  </si>
  <si>
    <t>Bauzeit Truppen</t>
  </si>
  <si>
    <t>Auslastung Truppen</t>
  </si>
  <si>
    <t>Stundenrohstoff Verbrauch</t>
  </si>
  <si>
    <t>Speer</t>
  </si>
  <si>
    <t>Schwert</t>
  </si>
  <si>
    <t>Stundenproduktion:</t>
  </si>
  <si>
    <t>Beutelimit</t>
  </si>
  <si>
    <t>Farming</t>
  </si>
  <si>
    <t>AG Limit</t>
  </si>
  <si>
    <t>h</t>
  </si>
  <si>
    <t>Rekru Gebäude</t>
  </si>
  <si>
    <t>Kaserne</t>
  </si>
  <si>
    <t>Stall</t>
  </si>
  <si>
    <t>Werkstatt</t>
  </si>
  <si>
    <t>Axt</t>
  </si>
  <si>
    <t>Anzahl Ags</t>
  </si>
  <si>
    <t>Anzahl Dörfer</t>
  </si>
  <si>
    <t>Soll Ags</t>
  </si>
  <si>
    <t>Noch benötigte Ress.</t>
  </si>
  <si>
    <t>Gebäude/ Stunde</t>
  </si>
  <si>
    <t>Truppen/ Stunde</t>
  </si>
  <si>
    <t>Frei für Ags/ Stunde</t>
  </si>
  <si>
    <t>Sondereffekte</t>
  </si>
  <si>
    <t>Summe  Ressi für AG</t>
  </si>
  <si>
    <t>Einkommen/ Stunde</t>
  </si>
  <si>
    <t>Aktuelle Uhrzeit</t>
  </si>
  <si>
    <t>Dorftyp</t>
  </si>
  <si>
    <t>Off</t>
  </si>
  <si>
    <t>Dualdeff</t>
  </si>
  <si>
    <t>Frontdeff</t>
  </si>
  <si>
    <t>Sprache</t>
  </si>
  <si>
    <t>Deutsch</t>
  </si>
  <si>
    <t>Englisch</t>
  </si>
  <si>
    <t>Archer</t>
  </si>
  <si>
    <t>Mounted archer</t>
  </si>
  <si>
    <t>Paladin</t>
  </si>
  <si>
    <t>Nobleman</t>
  </si>
  <si>
    <t>Militia</t>
  </si>
  <si>
    <t>Mounted Archer</t>
  </si>
  <si>
    <t>Einheit</t>
  </si>
  <si>
    <t>Speerträger</t>
  </si>
  <si>
    <t>Schwertkämpfer</t>
  </si>
  <si>
    <t>Äxtkämpfer</t>
  </si>
  <si>
    <t>Bogenschütze</t>
  </si>
  <si>
    <t>Leichte Kavallerie</t>
  </si>
  <si>
    <t>Berittener Bogenschütze</t>
  </si>
  <si>
    <t>Schwere Kavallerie</t>
  </si>
  <si>
    <t>Katapult</t>
  </si>
  <si>
    <t>Adelsgeschlecht</t>
  </si>
  <si>
    <t>Miliz</t>
  </si>
  <si>
    <t>Kampfkraft Katapult</t>
  </si>
  <si>
    <t>Waiting</t>
  </si>
  <si>
    <t>Angriffswert</t>
  </si>
  <si>
    <t>Deff Infanterie</t>
  </si>
  <si>
    <t>Deff Kavallerie</t>
  </si>
  <si>
    <t>Deff Bogenschützen</t>
  </si>
  <si>
    <t>Angr.</t>
  </si>
  <si>
    <t>D. Inf.</t>
  </si>
  <si>
    <t>D. Kav.</t>
  </si>
  <si>
    <t>Tech</t>
  </si>
  <si>
    <t>D. Bogen</t>
  </si>
  <si>
    <t>Tech Faktor 10er Tech</t>
  </si>
  <si>
    <t>Attacker</t>
  </si>
  <si>
    <t>Defender</t>
  </si>
  <si>
    <t>Techs</t>
  </si>
  <si>
    <t>value attacker</t>
  </si>
  <si>
    <t>total value</t>
  </si>
  <si>
    <t>value inf.</t>
  </si>
  <si>
    <t>value cav</t>
  </si>
  <si>
    <t>Stufe</t>
  </si>
  <si>
    <t>Verh. Cav/Inf</t>
  </si>
  <si>
    <t>Faktor für Truppen</t>
  </si>
  <si>
    <t>Grundver- teidigung</t>
  </si>
  <si>
    <t>Glück</t>
  </si>
  <si>
    <t>Wall</t>
  </si>
  <si>
    <t>davor</t>
  </si>
  <si>
    <t>temporär</t>
  </si>
  <si>
    <t>danach</t>
  </si>
  <si>
    <t>Angreifer</t>
  </si>
  <si>
    <t>Truppen</t>
  </si>
  <si>
    <t>Verluste</t>
  </si>
  <si>
    <t>Überlebende</t>
  </si>
  <si>
    <t>Verteidiger</t>
  </si>
  <si>
    <t>Mit Wall/ Glück</t>
  </si>
  <si>
    <t>Altes Kampfsystem</t>
  </si>
  <si>
    <t>Verlust Verteidiger</t>
  </si>
  <si>
    <t>Verlust Angreifer</t>
  </si>
  <si>
    <t>calc. Ram</t>
  </si>
  <si>
    <t>Infanterie</t>
  </si>
  <si>
    <t>Neues Kampfsystem</t>
  </si>
  <si>
    <t>Kavalerie</t>
  </si>
  <si>
    <t>Verteidigung gegen Infanterie</t>
  </si>
  <si>
    <t>Verteidigung gegen Kavalerie</t>
  </si>
  <si>
    <t>BBogen</t>
  </si>
  <si>
    <t>Verteidigung gegen Berittene Bogen</t>
  </si>
  <si>
    <t>value BBogen</t>
  </si>
  <si>
    <t>Runde 1 - Mit diesen Daten eine erneute Runde simulieren</t>
  </si>
  <si>
    <t>Nachtbonus</t>
  </si>
  <si>
    <t>nein</t>
  </si>
  <si>
    <t>X-Koordinate</t>
  </si>
  <si>
    <t>Y-Koordinate</t>
  </si>
  <si>
    <t>Typ</t>
  </si>
  <si>
    <t>Basis LZ</t>
  </si>
  <si>
    <t>Welten LZ</t>
  </si>
  <si>
    <t>Herkunft</t>
  </si>
  <si>
    <t>Ziel</t>
  </si>
  <si>
    <t>Differenz</t>
  </si>
  <si>
    <t>Distanz</t>
  </si>
  <si>
    <t>LKAV</t>
  </si>
  <si>
    <t>AG</t>
  </si>
  <si>
    <t>SKAV</t>
  </si>
  <si>
    <t>Laufzeit je Feld</t>
  </si>
  <si>
    <t>Ramme</t>
  </si>
  <si>
    <t>Laufzeit gesamt</t>
  </si>
  <si>
    <t>Kata</t>
  </si>
  <si>
    <t>Abschickzeit</t>
  </si>
  <si>
    <t>Ankunftszeit</t>
  </si>
  <si>
    <t>Rückkehr</t>
  </si>
  <si>
    <t>Bogen</t>
  </si>
  <si>
    <t>Noble</t>
  </si>
  <si>
    <t>Offbash</t>
  </si>
  <si>
    <t>Deffbash</t>
  </si>
  <si>
    <t>Bashpunkte</t>
  </si>
  <si>
    <t>Minenproduktion</t>
  </si>
  <si>
    <t>Kosten Minen</t>
  </si>
  <si>
    <t>Amortisierungsdauer</t>
  </si>
  <si>
    <t>Anstieg (mal 3)</t>
  </si>
  <si>
    <t>Troops produced</t>
  </si>
  <si>
    <t>Building Levels at start</t>
  </si>
  <si>
    <t>Troops at start</t>
  </si>
  <si>
    <t>stored resources at start</t>
  </si>
  <si>
    <r>
      <t xml:space="preserve">Zeitpunkt </t>
    </r>
    <r>
      <rPr>
        <b/>
        <sz val="11"/>
        <color theme="1"/>
        <rFont val="Calibri"/>
        <family val="2"/>
        <scheme val="minor"/>
      </rPr>
      <t>mit</t>
    </r>
    <r>
      <rPr>
        <sz val="11"/>
        <color theme="1"/>
        <rFont val="Calibri"/>
        <family val="2"/>
        <scheme val="minor"/>
      </rPr>
      <t xml:space="preserve"> Truppen</t>
    </r>
  </si>
  <si>
    <r>
      <t xml:space="preserve">Zeitpunkt </t>
    </r>
    <r>
      <rPr>
        <b/>
        <sz val="11"/>
        <color theme="1"/>
        <rFont val="Calibri"/>
        <family val="2"/>
        <scheme val="minor"/>
      </rPr>
      <t>ohne</t>
    </r>
    <r>
      <rPr>
        <sz val="11"/>
        <color theme="1"/>
        <rFont val="Calibri"/>
        <family val="2"/>
        <scheme val="minor"/>
      </rPr>
      <t xml:space="preserve"> Truppen</t>
    </r>
  </si>
  <si>
    <t>Punkte</t>
  </si>
  <si>
    <t>525|480</t>
  </si>
  <si>
    <t>kummuliert</t>
  </si>
  <si>
    <t>HG Stufe</t>
  </si>
  <si>
    <t>BH Plätze</t>
  </si>
  <si>
    <t>Bauernhofplätze frei für Truppen</t>
  </si>
  <si>
    <t>Erfolg ist Erfolg (522|500) K55 </t>
  </si>
  <si>
    <t>Erfolg ist Erfolg (521|498) K45 </t>
  </si>
  <si>
    <t>522|500</t>
  </si>
  <si>
    <t>521|498</t>
  </si>
  <si>
    <t> Erfolg ist Erfolg (522|500) K55 </t>
  </si>
  <si>
    <t>8604 / 24000</t>
  </si>
  <si>
    <t>2. Deff</t>
  </si>
  <si>
    <t>» bearbeiten</t>
  </si>
  <si>
    <t> Erfolg ist Erfolg (521|498) K45 </t>
  </si>
  <si>
    <t>2024 / 4904</t>
  </si>
  <si>
    <t>Gewinner des Kampfs</t>
  </si>
  <si>
    <t>Rechnersiche Kattas</t>
  </si>
  <si>
    <t>Angreifende Katas</t>
  </si>
  <si>
    <t>Ressourcenboost</t>
  </si>
  <si>
    <t>Buildingspeedbooster</t>
  </si>
  <si>
    <t>Item</t>
  </si>
  <si>
    <t>Recruitingbooster</t>
  </si>
  <si>
    <t>Bh Regel?</t>
  </si>
  <si>
    <t>nicht zeitbasiert</t>
  </si>
  <si>
    <t>zeitbasiert</t>
  </si>
  <si>
    <t>Spielzeit Verteidiger</t>
  </si>
  <si>
    <t>kleinst mögliche Moral</t>
  </si>
  <si>
    <t>Mindest Moral später</t>
  </si>
  <si>
    <t>Spielzeit bis top limit</t>
  </si>
  <si>
    <t>Punkte Verteidiger</t>
  </si>
  <si>
    <t>Punkte Angreifer</t>
  </si>
  <si>
    <t>Moral</t>
  </si>
  <si>
    <t>Verhältnis</t>
  </si>
  <si>
    <t>Aktuell mindest Moral</t>
  </si>
  <si>
    <t>Erreicht bei Verhältnis</t>
  </si>
  <si>
    <t>100% bei Verhältnis</t>
  </si>
  <si>
    <t>100% ab Verteider P.</t>
  </si>
  <si>
    <t>mindest Moral bei P.</t>
  </si>
  <si>
    <t>Aktuell</t>
  </si>
  <si>
    <t>Zeit auf der Welt</t>
  </si>
  <si>
    <t>Dörfer</t>
  </si>
  <si>
    <t>Aktuelles Limit</t>
  </si>
  <si>
    <t>Ress je h</t>
  </si>
  <si>
    <t>Start des Spielers</t>
  </si>
  <si>
    <t>Gebäudevorraussetzung</t>
  </si>
  <si>
    <t>[table]</t>
  </si>
  <si>
    <t>Gebäude</t>
  </si>
  <si>
    <t>Baubeginn</t>
  </si>
  <si>
    <t>Dauer</t>
  </si>
  <si>
    <t>Ende</t>
  </si>
  <si>
    <t>Eisenmine</t>
  </si>
  <si>
    <t>Speicher</t>
  </si>
  <si>
    <t>Hauptgebäude</t>
  </si>
  <si>
    <t>Bauernhof</t>
  </si>
  <si>
    <t>Lehmgrube</t>
  </si>
  <si>
    <t>Holzfäller</t>
  </si>
  <si>
    <t>Markt</t>
  </si>
  <si>
    <t>Schmiede</t>
  </si>
  <si>
    <t>Adelshof</t>
  </si>
  <si>
    <t>Goldmünze</t>
  </si>
  <si>
    <t>[/table]</t>
  </si>
  <si>
    <t>Wachturm</t>
  </si>
  <si>
    <t>Kirche</t>
  </si>
  <si>
    <t>Erste Kirche</t>
  </si>
  <si>
    <t>Folgende Features sind in dem Dokument zu finden</t>
  </si>
  <si>
    <r>
      <rPr>
        <b/>
        <sz val="11"/>
        <color theme="1"/>
        <rFont val="Calibri"/>
        <family val="2"/>
        <scheme val="minor"/>
      </rPr>
      <t>Formatierung:</t>
    </r>
    <r>
      <rPr>
        <sz val="11"/>
        <color theme="1"/>
        <rFont val="Calibri"/>
        <family val="2"/>
        <scheme val="minor"/>
      </rPr>
      <t xml:space="preserve"> Ermöglicht es den "Construction Planner" als Tabelle Formatiert in DS zu exportieren</t>
    </r>
  </si>
  <si>
    <r>
      <rPr>
        <b/>
        <sz val="11"/>
        <color theme="1"/>
        <rFont val="Calibri"/>
        <family val="2"/>
        <scheme val="minor"/>
      </rPr>
      <t xml:space="preserve">Recruting Planner: </t>
    </r>
    <r>
      <rPr>
        <sz val="11"/>
        <color theme="1"/>
        <rFont val="Calibri"/>
        <family val="2"/>
        <scheme val="minor"/>
      </rPr>
      <t>Einfache Berechnung der Bauzeiten und Baukosten von Truppen in Abhängigkeit der Kaserne/ Stall/ Werkstatt Stufe.</t>
    </r>
  </si>
  <si>
    <r>
      <rPr>
        <b/>
        <sz val="11"/>
        <color theme="1"/>
        <rFont val="Calibri"/>
        <family val="2"/>
        <scheme val="minor"/>
      </rPr>
      <t>Village planner:</t>
    </r>
    <r>
      <rPr>
        <sz val="11"/>
        <color theme="1"/>
        <rFont val="Calibri"/>
        <family val="2"/>
        <scheme val="minor"/>
      </rPr>
      <t xml:space="preserve"> Ermittlung von BH-Plätzen und Punkten eines Dorfes</t>
    </r>
  </si>
  <si>
    <r>
      <rPr>
        <b/>
        <sz val="11"/>
        <color theme="1"/>
        <rFont val="Calibri"/>
        <family val="2"/>
        <scheme val="minor"/>
      </rPr>
      <t xml:space="preserve">Laufzeitrechner: </t>
    </r>
    <r>
      <rPr>
        <sz val="11"/>
        <color theme="1"/>
        <rFont val="Calibri"/>
        <family val="2"/>
        <scheme val="minor"/>
      </rPr>
      <t>Berechnung der Laufzeit, sowie der Abschick - bzw. Ankunftszeit und der Rückkehr</t>
    </r>
  </si>
  <si>
    <r>
      <rPr>
        <b/>
        <sz val="11"/>
        <color theme="1"/>
        <rFont val="Calibri"/>
        <family val="2"/>
        <scheme val="minor"/>
      </rPr>
      <t>Bashpointrechner:</t>
    </r>
    <r>
      <rPr>
        <sz val="11"/>
        <color theme="1"/>
        <rFont val="Calibri"/>
        <family val="2"/>
        <scheme val="minor"/>
      </rPr>
      <t xml:space="preserve"> Hier kann errechnet werden, wie viel Offbash, bzw. Deffbash es für die eingetragenen Verluste des Angreifers, bzw. Verteidigers es gibt</t>
    </r>
  </si>
  <si>
    <r>
      <rPr>
        <b/>
        <sz val="11"/>
        <color theme="1"/>
        <rFont val="Calibri"/>
        <family val="2"/>
        <scheme val="minor"/>
      </rPr>
      <t>Tech times:</t>
    </r>
    <r>
      <rPr>
        <sz val="11"/>
        <color theme="1"/>
        <rFont val="Calibri"/>
        <family val="2"/>
        <scheme val="minor"/>
      </rPr>
      <t xml:space="preserve"> Hier kann man die Forschungszeiten und Kosten in Abhängigkeit der Schmiedestufen anschauen</t>
    </r>
  </si>
  <si>
    <r>
      <rPr>
        <b/>
        <sz val="11"/>
        <color theme="1"/>
        <rFont val="Calibri"/>
        <family val="2"/>
        <scheme val="minor"/>
      </rPr>
      <t xml:space="preserve">Amortisierung Minen: </t>
    </r>
    <r>
      <rPr>
        <sz val="11"/>
        <color theme="1"/>
        <rFont val="Calibri"/>
        <family val="2"/>
        <scheme val="minor"/>
      </rPr>
      <t>Berechnung wie lange es dauert, bis die Kosten einer Stufe aller Minen sich durch die Produktionssteigerung rentiert.</t>
    </r>
  </si>
  <si>
    <r>
      <rPr>
        <b/>
        <sz val="11"/>
        <color theme="1"/>
        <rFont val="Calibri"/>
        <family val="2"/>
        <scheme val="minor"/>
      </rPr>
      <t>Rammentabelle</t>
    </r>
    <r>
      <rPr>
        <sz val="11"/>
        <color theme="1"/>
        <rFont val="Calibri"/>
        <family val="2"/>
        <scheme val="minor"/>
      </rPr>
      <t>: Hier kann man die Senkung der Wallstufen in Abhängigkeit der Rammentechs anschauen - Erklärungen siehe anderer Thread</t>
    </r>
  </si>
  <si>
    <r>
      <rPr>
        <b/>
        <sz val="11"/>
        <color theme="1"/>
        <rFont val="Calibri"/>
        <family val="2"/>
        <scheme val="minor"/>
      </rPr>
      <t>Catapult table:</t>
    </r>
    <r>
      <rPr>
        <sz val="11"/>
        <color theme="1"/>
        <rFont val="Calibri"/>
        <family val="2"/>
        <scheme val="minor"/>
      </rPr>
      <t xml:space="preserve"> Hier kann man sehen, wie viele Gebäudestufen mit wie vielen katas zerstört werden. Voraussetzung: Alle Katas überleben. Diese Tabelle ist techabhängig </t>
    </r>
  </si>
  <si>
    <r>
      <rPr>
        <b/>
        <sz val="11"/>
        <color theme="1"/>
        <rFont val="Calibri"/>
        <family val="2"/>
        <scheme val="minor"/>
      </rPr>
      <t>Catapult table_surviving:</t>
    </r>
    <r>
      <rPr>
        <sz val="11"/>
        <color theme="1"/>
        <rFont val="Calibri"/>
        <family val="2"/>
        <scheme val="minor"/>
      </rPr>
      <t xml:space="preserve"> Hier kann die rechnerische Anzahl an Kattapulten ermittelt werden und daran die Zerstörung ermittlt werden.</t>
    </r>
  </si>
  <si>
    <r>
      <rPr>
        <b/>
        <sz val="11"/>
        <color theme="1"/>
        <rFont val="Calibri"/>
        <family val="2"/>
        <scheme val="minor"/>
      </rPr>
      <t>Bauernhofregel:</t>
    </r>
    <r>
      <rPr>
        <sz val="11"/>
        <color theme="1"/>
        <rFont val="Calibri"/>
        <family val="2"/>
        <scheme val="minor"/>
      </rPr>
      <t xml:space="preserve"> Hier kann die Kampfkraft simuliert werden, wenn die BH-Regel aktiviert ist.</t>
    </r>
  </si>
  <si>
    <r>
      <rPr>
        <b/>
        <sz val="11"/>
        <color theme="1"/>
        <rFont val="Calibri"/>
        <family val="2"/>
        <scheme val="minor"/>
      </rPr>
      <t>Simulator alt:</t>
    </r>
    <r>
      <rPr>
        <sz val="11"/>
        <color theme="1"/>
        <rFont val="Calibri"/>
        <family val="2"/>
        <scheme val="minor"/>
      </rPr>
      <t xml:space="preserve"> Ein Simulator für das alte Kampfsystem (ohne Bogen!). </t>
    </r>
  </si>
  <si>
    <r>
      <rPr>
        <b/>
        <sz val="11"/>
        <color theme="1"/>
        <rFont val="Calibri"/>
        <family val="2"/>
        <scheme val="minor"/>
      </rPr>
      <t>Moralrechner</t>
    </r>
    <r>
      <rPr>
        <sz val="11"/>
        <color theme="1"/>
        <rFont val="Calibri"/>
        <family val="2"/>
        <scheme val="minor"/>
      </rPr>
      <t>: Im Prinzip dasselbe wie der Moralrechner im Simulator- allerdings sieht man hier mehr Informationen. Leider gibt es hier noch ein paar rundungsfehler bei einer serverlaufzeit von unter 125 Tagen</t>
    </r>
  </si>
  <si>
    <r>
      <rPr>
        <b/>
        <sz val="11"/>
        <color theme="1"/>
        <rFont val="Calibri"/>
        <family val="2"/>
        <scheme val="minor"/>
      </rPr>
      <t>Construction times:</t>
    </r>
    <r>
      <rPr>
        <sz val="11"/>
        <color theme="1"/>
        <rFont val="Calibri"/>
        <family val="2"/>
        <scheme val="minor"/>
      </rPr>
      <t xml:space="preserve"> Hier sind die Bauzeiten hinterlegt, welche im Construction Planner verwendet werden. (Hier ist noch etwas optimierungspotenzial)</t>
    </r>
  </si>
  <si>
    <r>
      <rPr>
        <b/>
        <sz val="11"/>
        <color theme="1"/>
        <rFont val="Calibri"/>
        <family val="2"/>
        <scheme val="minor"/>
      </rPr>
      <t>Construction Costs timber/ clay/ iron</t>
    </r>
    <r>
      <rPr>
        <sz val="11"/>
        <color theme="1"/>
        <rFont val="Calibri"/>
        <family val="2"/>
        <scheme val="minor"/>
      </rPr>
      <t>: Hier sind die Kosten der Gebäude für den Construction Planner hinterlegt</t>
    </r>
  </si>
  <si>
    <r>
      <rPr>
        <b/>
        <sz val="11"/>
        <color theme="1"/>
        <rFont val="Calibri"/>
        <family val="2"/>
        <scheme val="minor"/>
      </rPr>
      <t>Miscelaneous:</t>
    </r>
    <r>
      <rPr>
        <sz val="11"/>
        <color theme="1"/>
        <rFont val="Calibri"/>
        <family val="2"/>
        <scheme val="minor"/>
      </rPr>
      <t xml:space="preserve"> Hier sind ein paar Faktoren hinterlegt</t>
    </r>
  </si>
  <si>
    <r>
      <rPr>
        <b/>
        <sz val="11"/>
        <color theme="1"/>
        <rFont val="Calibri"/>
        <family val="2"/>
        <scheme val="minor"/>
      </rPr>
      <t xml:space="preserve">Translation: </t>
    </r>
    <r>
      <rPr>
        <sz val="11"/>
        <color theme="1"/>
        <rFont val="Calibri"/>
        <family val="2"/>
        <scheme val="minor"/>
      </rPr>
      <t>Hier sind ein paar Begriffsübersetzungen hinterlegt (ist noch im Aufbau)</t>
    </r>
  </si>
  <si>
    <t>Truppentyp</t>
  </si>
  <si>
    <t>Minen Stufen</t>
  </si>
  <si>
    <t>Produzierte Ressi je Stunde</t>
  </si>
  <si>
    <t>383|473</t>
  </si>
  <si>
    <t>lkavs je Stunde</t>
  </si>
  <si>
    <t>Angriffshäufigkeit</t>
  </si>
  <si>
    <t>Farmplanung</t>
  </si>
  <si>
    <t>381|474</t>
  </si>
  <si>
    <t>Wall Stufe</t>
  </si>
  <si>
    <t>Scripterstellung</t>
  </si>
  <si>
    <t>Goldmünzen</t>
  </si>
  <si>
    <t>Einlagerungen/ Goldmünzen</t>
  </si>
  <si>
    <t>Items</t>
  </si>
  <si>
    <t>Flag</t>
  </si>
  <si>
    <t>Eroberungssystem</t>
  </si>
  <si>
    <t>Ausschöpfung Farmlimit</t>
  </si>
  <si>
    <t>Anzahl Klammern</t>
  </si>
  <si>
    <t>Summe Klammern</t>
  </si>
  <si>
    <t>Nr.</t>
  </si>
  <si>
    <t>Userscript für die Schnelleiste</t>
  </si>
  <si>
    <t>Anzahl Lkavs bei Wall &gt; 0</t>
  </si>
  <si>
    <t>Eigenes Dorf</t>
  </si>
  <si>
    <t>382|475</t>
  </si>
  <si>
    <t>Laufzeit lkav</t>
  </si>
  <si>
    <t>Mindest Lkav je Angriff</t>
  </si>
  <si>
    <t>Dorf (2)</t>
  </si>
  <si>
    <r>
      <t xml:space="preserve">Dauer </t>
    </r>
    <r>
      <rPr>
        <b/>
        <sz val="11"/>
        <color theme="1"/>
        <rFont val="Calibri"/>
        <family val="2"/>
        <scheme val="minor"/>
      </rPr>
      <t>ohne</t>
    </r>
    <r>
      <rPr>
        <sz val="11"/>
        <color theme="1"/>
        <rFont val="Calibri"/>
        <family val="2"/>
        <scheme val="minor"/>
      </rPr>
      <t xml:space="preserve"> Truppen/ Gebäude</t>
    </r>
  </si>
  <si>
    <r>
      <t xml:space="preserve">Dauer </t>
    </r>
    <r>
      <rPr>
        <b/>
        <sz val="11"/>
        <color theme="1"/>
        <rFont val="Calibri"/>
        <family val="2"/>
        <scheme val="minor"/>
      </rPr>
      <t>mit</t>
    </r>
    <r>
      <rPr>
        <sz val="11"/>
        <color theme="1"/>
        <rFont val="Calibri"/>
        <family val="2"/>
        <scheme val="minor"/>
      </rPr>
      <t xml:space="preserve"> Truppen/ Gebäude</t>
    </r>
  </si>
  <si>
    <t>Building</t>
  </si>
  <si>
    <t>Total Time</t>
  </si>
  <si>
    <t>Building time</t>
  </si>
  <si>
    <t>Welteneinstellungen</t>
  </si>
  <si>
    <t>Beute</t>
  </si>
  <si>
    <t>aktiv</t>
  </si>
  <si>
    <t>inaktiv</t>
  </si>
  <si>
    <t>Plausibel?</t>
  </si>
  <si>
    <t>ja</t>
  </si>
  <si>
    <t>Start 21P (no farm)</t>
  </si>
  <si>
    <t>Start 26P</t>
  </si>
  <si>
    <t>10.019P (mit Pala)</t>
  </si>
  <si>
    <t>10.000P (mit Pala)</t>
  </si>
  <si>
    <t xml:space="preserve">9.995P </t>
  </si>
  <si>
    <t>9.969P  (no farm)</t>
  </si>
  <si>
    <t>9.995P (Kirche 3)</t>
  </si>
  <si>
    <t>9.995P (Kirche 2)</t>
  </si>
  <si>
    <t>9.995P (Kirche 1)</t>
  </si>
  <si>
    <t>9.995P (Wachturm 20)</t>
  </si>
  <si>
    <t>Einheitengeschwindigkeit</t>
  </si>
  <si>
    <t>Weltengeschwindigkeit</t>
  </si>
  <si>
    <t>Laufzeitgeschwindigkeit</t>
  </si>
  <si>
    <t>Ressourcen Speed</t>
  </si>
  <si>
    <t>Bögen</t>
  </si>
  <si>
    <t>Bbogen</t>
  </si>
  <si>
    <r>
      <rPr>
        <b/>
        <sz val="11"/>
        <color theme="1"/>
        <rFont val="Calibri"/>
        <family val="2"/>
        <scheme val="minor"/>
      </rPr>
      <t xml:space="preserve">Unit information: </t>
    </r>
    <r>
      <rPr>
        <sz val="11"/>
        <color theme="1"/>
        <rFont val="Calibri"/>
        <family val="2"/>
        <scheme val="minor"/>
      </rPr>
      <t>Hier sind die Bauzeiten, die Kampfkräfte und Kosten der Truppen hinterlegt (werden auch im Construction Planner verwendet)</t>
    </r>
  </si>
  <si>
    <t>Villagers: Hier ist die Bevölkerung der einzelnen Gebäudestufen hinterlegt -&gt; auch für den Construction PLanner</t>
  </si>
  <si>
    <t>Watchtower range</t>
  </si>
  <si>
    <t>376|480</t>
  </si>
  <si>
    <t>392|480</t>
  </si>
  <si>
    <t>392|481</t>
  </si>
  <si>
    <t>394|481</t>
  </si>
  <si>
    <t>392|484</t>
  </si>
  <si>
    <t>393|487</t>
  </si>
  <si>
    <t>394|487</t>
  </si>
  <si>
    <t>395|488</t>
  </si>
  <si>
    <t>395|492</t>
  </si>
  <si>
    <t>395|491</t>
  </si>
  <si>
    <t>396|490</t>
  </si>
  <si>
    <t>397|490</t>
  </si>
  <si>
    <t>397|491</t>
  </si>
  <si>
    <t>400|486</t>
  </si>
  <si>
    <t>399|481</t>
  </si>
  <si>
    <t>399|488</t>
  </si>
  <si>
    <t>401|489</t>
  </si>
  <si>
    <t>399|489</t>
  </si>
  <si>
    <t>391|454</t>
  </si>
  <si>
    <t>397|460</t>
  </si>
  <si>
    <t>373|469</t>
  </si>
  <si>
    <t>393|486</t>
  </si>
  <si>
    <t>391|485</t>
  </si>
  <si>
    <t>395|485</t>
  </si>
  <si>
    <t>396|487</t>
  </si>
  <si>
    <t>384|446</t>
  </si>
  <si>
    <t>383|451</t>
  </si>
  <si>
    <t>390|482</t>
  </si>
  <si>
    <t>386|482</t>
  </si>
  <si>
    <t>388|482</t>
  </si>
  <si>
    <t>390|487</t>
  </si>
  <si>
    <t>400|482</t>
  </si>
  <si>
    <t>388|473</t>
  </si>
  <si>
    <t>384|470</t>
  </si>
  <si>
    <t>387|474</t>
  </si>
  <si>
    <t>388|474</t>
  </si>
  <si>
    <t>391|474</t>
  </si>
  <si>
    <t>390|474</t>
  </si>
  <si>
    <t>386|468</t>
  </si>
  <si>
    <t>392|477</t>
  </si>
  <si>
    <t>386|470</t>
  </si>
  <si>
    <t>385|470</t>
  </si>
  <si>
    <t>387|476</t>
  </si>
  <si>
    <t>389|478</t>
  </si>
  <si>
    <t>392|460</t>
  </si>
  <si>
    <t>387|472</t>
  </si>
  <si>
    <t>383|464</t>
  </si>
  <si>
    <t>392|468</t>
  </si>
  <si>
    <t>388|465</t>
  </si>
  <si>
    <t>388|466</t>
  </si>
  <si>
    <t>387|468</t>
  </si>
  <si>
    <t>388|471</t>
  </si>
  <si>
    <t>388|476</t>
  </si>
  <si>
    <t>386|477</t>
  </si>
  <si>
    <t>389|468</t>
  </si>
  <si>
    <t>391|456</t>
  </si>
  <si>
    <t>390|465</t>
  </si>
  <si>
    <t>385|462</t>
  </si>
  <si>
    <t>387|463</t>
  </si>
  <si>
    <t>547|592</t>
  </si>
  <si>
    <t>384|465</t>
  </si>
  <si>
    <t>394|445</t>
  </si>
  <si>
    <t>387|473</t>
  </si>
  <si>
    <t>384|473</t>
  </si>
  <si>
    <t>392|459</t>
  </si>
  <si>
    <t>391|452</t>
  </si>
  <si>
    <t>388|453</t>
  </si>
  <si>
    <t>392|458</t>
  </si>
  <si>
    <t>390|455</t>
  </si>
  <si>
    <t>382|451</t>
  </si>
  <si>
    <t>390|464</t>
  </si>
  <si>
    <t>391|467</t>
  </si>
  <si>
    <t>393|457</t>
  </si>
  <si>
    <t>391|463</t>
  </si>
  <si>
    <t>385|461</t>
  </si>
  <si>
    <t>385|465</t>
  </si>
  <si>
    <t>386|463</t>
  </si>
  <si>
    <t>382|468</t>
  </si>
  <si>
    <t>382|474</t>
  </si>
  <si>
    <t>386|476</t>
  </si>
  <si>
    <t>381|473</t>
  </si>
  <si>
    <t>381|472</t>
  </si>
  <si>
    <t>387|458</t>
  </si>
  <si>
    <t>381|466</t>
  </si>
  <si>
    <t>385|474</t>
  </si>
  <si>
    <t>384|457</t>
  </si>
  <si>
    <t>Zieldörfer</t>
  </si>
  <si>
    <t>Abschickzeit Ende</t>
  </si>
  <si>
    <t>Abschickzeit Start</t>
  </si>
  <si>
    <t>Tribalwars Planner - Version 4.4 by Kis4m3</t>
  </si>
  <si>
    <r>
      <rPr>
        <b/>
        <sz val="11"/>
        <color theme="1"/>
        <rFont val="Calibri"/>
        <family val="2"/>
        <scheme val="minor"/>
      </rPr>
      <t xml:space="preserve">Construction Planner: </t>
    </r>
    <r>
      <rPr>
        <sz val="11"/>
        <color theme="1"/>
        <rFont val="Calibri"/>
        <family val="2"/>
        <scheme val="minor"/>
      </rPr>
      <t>Optimaler Ausbau eines Dorfes kann geplant werden (inkl. Truppen). Man kann ihn aber auch verwenden um ein ausgeglichene Accountmanager-Vorlage zu entwerfen. Auf diesem Blatt sollten auch die Welteneinstellungen (Geschwindigkeit und Minenproduktion, sowie Einheitengeschwindigkeit) eingestellt werden. Wenn man die Aktuellen Informationen eines Dorfes einträgt (Gebäude, Truppen und Ress), können alle weiteren Gebäude und die Rekrutierung (über die prozentuale Auslastung der Kaserne/Stall/Werkstatt) geplant werden. -&gt; Gut fürs early</t>
    </r>
  </si>
  <si>
    <r>
      <rPr>
        <b/>
        <sz val="11"/>
        <color theme="1"/>
        <rFont val="Calibri"/>
        <family val="2"/>
        <scheme val="minor"/>
      </rPr>
      <t>Farm Planner:</t>
    </r>
    <r>
      <rPr>
        <sz val="11"/>
        <color theme="1"/>
        <rFont val="Calibri"/>
        <family val="2"/>
        <scheme val="minor"/>
      </rPr>
      <t xml:space="preserve"> Berechnet die Rohstoffproduktion und die somit die Anzahl der benötigten lkavs zum farmen</t>
    </r>
  </si>
  <si>
    <r>
      <rPr>
        <b/>
        <sz val="11"/>
        <color theme="1"/>
        <rFont val="Calibri"/>
        <family val="2"/>
        <scheme val="minor"/>
      </rPr>
      <t>Noble Planner:</t>
    </r>
    <r>
      <rPr>
        <sz val="11"/>
        <color theme="1"/>
        <rFont val="Calibri"/>
        <family val="2"/>
        <scheme val="minor"/>
      </rPr>
      <t xml:space="preserve"> Hier wird unter Eingabe von den Minen und Rekrutierungsgebäuden, sowie dem Dorftyp (Off, Dualdeff, Flexdeff), sowie den aktuellen und den Soll-AGs errechnet, wann die Resisi für die Einlagerungen für die gewünschten AGs vorhanden sind. -&gt; Gut fürs Midgame</t>
    </r>
  </si>
  <si>
    <t>Mindest Laufzeit</t>
  </si>
  <si>
    <t>Maximale Laufzeit</t>
  </si>
  <si>
    <r>
      <t xml:space="preserve">Angriffsplaner_Abschickzeiten: </t>
    </r>
    <r>
      <rPr>
        <sz val="11"/>
        <color theme="1"/>
        <rFont val="Calibri"/>
        <family val="2"/>
        <scheme val="minor"/>
      </rPr>
      <t>Hier kann in einer Matrix die Abschickzeiten von mehreren Herkunftsdörfer auf mehrere Zieldörfer für eine Ankunftszeit ermittelt werden. Die Abschickzeit wird dabei eingefärbt auf Basis eines eingegebenen Zeitrahmens</t>
    </r>
  </si>
  <si>
    <r>
      <t xml:space="preserve">Angriffsplaner_Laufzeiten: </t>
    </r>
    <r>
      <rPr>
        <sz val="11"/>
        <color theme="1"/>
        <rFont val="Calibri"/>
        <family val="2"/>
        <scheme val="minor"/>
      </rPr>
      <t>Hier kann in einer Matrix die Laufzeiten von mehreren Herkunftsdörfer auf mehrere Zieldörfer ermittelt werden. Die Laufzeit wird dabei eingefärbt auf Basis eines eingegebenen Zeitrahmens</t>
    </r>
  </si>
  <si>
    <t>Herkunftsdorf</t>
  </si>
  <si>
    <t>Zieldorf</t>
  </si>
  <si>
    <t>Laufzeit</t>
  </si>
  <si>
    <t xml:space="preserve"> </t>
  </si>
  <si>
    <t>Oberpfalz-1-</t>
  </si>
  <si>
    <t>Barbarendorf</t>
  </si>
  <si>
    <t>Kelaris2</t>
  </si>
  <si>
    <t>Krokopolis</t>
  </si>
  <si>
    <t>Zahnstein</t>
  </si>
  <si>
    <t>Lothlorien</t>
  </si>
  <si>
    <t>Bada-Bimm</t>
  </si>
  <si>
    <t>Mordor</t>
  </si>
  <si>
    <t>....</t>
  </si>
  <si>
    <t>Kirsche</t>
  </si>
  <si>
    <t>NIE</t>
  </si>
  <si>
    <t>O.o</t>
  </si>
  <si>
    <t>Drachenschanze</t>
  </si>
  <si>
    <t>Hollow</t>
  </si>
  <si>
    <t>SaMcRo</t>
  </si>
  <si>
    <t>xx_Elstal_xx</t>
  </si>
  <si>
    <t>Feiertag</t>
  </si>
  <si>
    <t>Maulsperre</t>
  </si>
  <si>
    <t>Beef</t>
  </si>
  <si>
    <t>Biergarten</t>
  </si>
  <si>
    <t>RazorShark</t>
  </si>
  <si>
    <t>Bergheim</t>
  </si>
  <si>
    <t>Delta</t>
  </si>
  <si>
    <t>Stadt01</t>
  </si>
  <si>
    <t>54%3A44%3A37</t>
  </si>
  <si>
    <t>HK71</t>
  </si>
  <si>
    <t>Arbeitstag</t>
  </si>
  <si>
    <t>Arbeitstag_02</t>
  </si>
  <si>
    <t>GetAGrip</t>
  </si>
  <si>
    <t>Arbeitstag_01</t>
  </si>
  <si>
    <t>Ielal</t>
  </si>
  <si>
    <t>Void</t>
  </si>
  <si>
    <t>Coitophobie</t>
  </si>
  <si>
    <t>Z003</t>
  </si>
  <si>
    <t>Acryltoffel</t>
  </si>
  <si>
    <t>1UP</t>
  </si>
  <si>
    <t>Versteck10</t>
  </si>
  <si>
    <t>Turchia</t>
  </si>
  <si>
    <t>SugarDaddy</t>
  </si>
  <si>
    <t>Isengard</t>
  </si>
  <si>
    <t>003......Ilirya.....</t>
  </si>
  <si>
    <t>AAA</t>
  </si>
  <si>
    <t>Japantown</t>
  </si>
  <si>
    <t>Abfallsortieranlage</t>
  </si>
  <si>
    <t>Neckarstadion</t>
  </si>
  <si>
    <t>001.....Nefillim.....</t>
  </si>
  <si>
    <t>RS01</t>
  </si>
  <si>
    <t>Salapura85</t>
  </si>
  <si>
    <t>Lumbridge</t>
  </si>
  <si>
    <t>Apachen-Pub</t>
  </si>
  <si>
    <t>Mindagmes.</t>
  </si>
  <si>
    <t>Hemer</t>
  </si>
  <si>
    <t>Rumpelstilzagchen</t>
  </si>
  <si>
    <t>Alexandria</t>
  </si>
  <si>
    <t>Lanzen</t>
  </si>
  <si>
    <t>Sunnyvale</t>
  </si>
  <si>
    <t>moini</t>
  </si>
  <si>
    <t>Akk002</t>
  </si>
  <si>
    <t>Gurtnellen</t>
  </si>
  <si>
    <t>Cebalrai</t>
  </si>
  <si>
    <t>Pietschmanni</t>
  </si>
  <si>
    <t>MUC</t>
  </si>
  <si>
    <t>55%3A00%3A99</t>
  </si>
  <si>
    <t>Berlin</t>
  </si>
  <si>
    <t>Nairobi</t>
  </si>
  <si>
    <t>Helsinki</t>
  </si>
  <si>
    <t>zirndorf</t>
  </si>
  <si>
    <t>Stems</t>
  </si>
  <si>
    <t>BROOKLYN</t>
  </si>
  <si>
    <t>.%3A01%3A.</t>
  </si>
  <si>
    <t>Home</t>
  </si>
  <si>
    <t>Gondor</t>
  </si>
  <si>
    <t>Barbera</t>
  </si>
  <si>
    <t>Schmon</t>
  </si>
  <si>
    <t>Helms+Klamm</t>
  </si>
  <si>
    <t>-02-</t>
  </si>
  <si>
    <t>Beograd</t>
  </si>
  <si>
    <t>Lausner</t>
  </si>
  <si>
    <t>oo3</t>
  </si>
  <si>
    <t>NIEmalsland</t>
  </si>
  <si>
    <t>Gassenhauer</t>
  </si>
  <si>
    <t>NIEderbrennen</t>
  </si>
  <si>
    <t>Bockwursthausen</t>
  </si>
  <si>
    <t>-004-</t>
  </si>
  <si>
    <t>Hood</t>
  </si>
  <si>
    <t>Sovngarde</t>
  </si>
  <si>
    <t>Grenzdorf</t>
  </si>
  <si>
    <t>Salzburg</t>
  </si>
  <si>
    <t>Cerodyll</t>
  </si>
  <si>
    <t>XxX5</t>
  </si>
  <si>
    <t>Osterdorf_002</t>
  </si>
  <si>
    <t>Wanstschrecke</t>
  </si>
  <si>
    <t>Kayseri</t>
  </si>
  <si>
    <t>%23SWS%23</t>
  </si>
  <si>
    <t>001Dada</t>
  </si>
  <si>
    <t>003Dada</t>
  </si>
  <si>
    <t>%40Bauernkeile%40</t>
  </si>
  <si>
    <t>Jane2604</t>
  </si>
  <si>
    <t>Angel001</t>
  </si>
  <si>
    <t>Moin</t>
  </si>
  <si>
    <t>Alpha</t>
  </si>
  <si>
    <t>01-Adana</t>
  </si>
  <si>
    <t>Aatrox</t>
  </si>
  <si>
    <t>.Rautispitz</t>
  </si>
  <si>
    <t>Minas+Tirith</t>
  </si>
  <si>
    <t>Wurst</t>
  </si>
  <si>
    <t>%7B001%7D</t>
  </si>
  <si>
    <t>.Schilt</t>
  </si>
  <si>
    <t>Hopfenquelle</t>
  </si>
  <si>
    <t>SoulSociety</t>
  </si>
  <si>
    <t>HIMYM</t>
  </si>
  <si>
    <t>Lululu</t>
  </si>
  <si>
    <t>Abrakadabra</t>
  </si>
  <si>
    <t>Winterfell</t>
  </si>
  <si>
    <t>Moskau</t>
  </si>
  <si>
    <t>Ethereum</t>
  </si>
  <si>
    <t>001+Bisasam</t>
  </si>
  <si>
    <t>Genetix</t>
  </si>
  <si>
    <t>Hondrum</t>
  </si>
  <si>
    <t>Boykott</t>
  </si>
  <si>
    <t>Avalon</t>
  </si>
  <si>
    <t>Besaid</t>
  </si>
  <si>
    <t>Caesar</t>
  </si>
  <si>
    <t>Varrock</t>
  </si>
  <si>
    <t>Braavos</t>
  </si>
  <si>
    <t>Herzfeld</t>
  </si>
  <si>
    <t>XXXTwo</t>
  </si>
  <si>
    <t>Livonia</t>
  </si>
  <si>
    <t>Peking</t>
  </si>
  <si>
    <t>Professor</t>
  </si>
  <si>
    <t>-002-</t>
  </si>
  <si>
    <t>%23AFFA1881%23</t>
  </si>
  <si>
    <t>Maaskantje</t>
  </si>
  <si>
    <t>Taron</t>
  </si>
  <si>
    <t>K55_004_Gnadenlos65-1</t>
  </si>
  <si>
    <t>Alpengeist</t>
  </si>
  <si>
    <t>Heinrich</t>
  </si>
  <si>
    <t>-001-</t>
  </si>
  <si>
    <t>0x01</t>
  </si>
  <si>
    <t>Nest</t>
  </si>
  <si>
    <t>w178.01</t>
  </si>
  <si>
    <t>A-Town</t>
  </si>
  <si>
    <t>.%3A-_-%3A.</t>
  </si>
  <si>
    <t>xxx</t>
  </si>
  <si>
    <t>LachenNichtVergessen</t>
  </si>
  <si>
    <t>Lichtschein</t>
  </si>
  <si>
    <t>_Stifmaster_</t>
  </si>
  <si>
    <t>----</t>
  </si>
  <si>
    <t>Resident</t>
  </si>
  <si>
    <t>Viren</t>
  </si>
  <si>
    <t>Toerring</t>
  </si>
  <si>
    <t>Rohan</t>
  </si>
  <si>
    <t>Mercedes-Benz-Arena</t>
  </si>
  <si>
    <t>178_003</t>
  </si>
  <si>
    <t>Z3R02</t>
  </si>
  <si>
    <t>178_001</t>
  </si>
  <si>
    <t>Napur</t>
  </si>
  <si>
    <t>xXx</t>
  </si>
  <si>
    <t>luu</t>
  </si>
  <si>
    <t>BVB002</t>
  </si>
  <si>
    <t>Karaman</t>
  </si>
  <si>
    <t>Z001</t>
  </si>
  <si>
    <t>Lady</t>
  </si>
  <si>
    <t>Beauxbatons</t>
  </si>
  <si>
    <t>ZKN</t>
  </si>
  <si>
    <t>---</t>
  </si>
  <si>
    <t>Moarhaus</t>
  </si>
  <si>
    <t>Pascha</t>
  </si>
  <si>
    <t>Drachenstein</t>
  </si>
  <si>
    <t>Affenstark</t>
  </si>
  <si>
    <t>Be%40stModeOn</t>
  </si>
  <si>
    <t>Yggdrasil</t>
  </si>
  <si>
    <t>Mittersill</t>
  </si>
  <si>
    <t>Silvermoon</t>
  </si>
  <si>
    <t>Paracetamol</t>
  </si>
  <si>
    <t>XxX4</t>
  </si>
  <si>
    <t>loewenherz01s+Dorf</t>
  </si>
  <si>
    <t>XxX2</t>
  </si>
  <si>
    <t>Bethel</t>
  </si>
  <si>
    <t>NoobHunter</t>
  </si>
  <si>
    <t>Todescool</t>
  </si>
  <si>
    <t>Ballerdorf</t>
  </si>
  <si>
    <t>Zanarkand</t>
  </si>
  <si>
    <t>Yondus</t>
  </si>
  <si>
    <t>Dhoem</t>
  </si>
  <si>
    <t>HER</t>
  </si>
  <si>
    <t>Gammelfleisch</t>
  </si>
  <si>
    <t>Southampton</t>
  </si>
  <si>
    <t>Schweinebauch</t>
  </si>
  <si>
    <t>Keller</t>
  </si>
  <si>
    <t>%23DermitdemBlubb</t>
  </si>
  <si>
    <t>KnittelCity</t>
  </si>
  <si>
    <t>XXDarkNightXX</t>
  </si>
  <si>
    <t>E-Town</t>
  </si>
  <si>
    <t>LiciniusCrassus</t>
  </si>
  <si>
    <t>Imperium</t>
  </si>
  <si>
    <t>%23dripdrop</t>
  </si>
  <si>
    <t>Zeckengras</t>
  </si>
  <si>
    <t>Nervenzentrale</t>
  </si>
  <si>
    <t>Scheiterhaufen</t>
  </si>
  <si>
    <t>Bremen</t>
  </si>
  <si>
    <t>Moddor</t>
  </si>
  <si>
    <t>-003-</t>
  </si>
  <si>
    <t>Poison</t>
  </si>
  <si>
    <t>%23%23%23</t>
  </si>
  <si>
    <t>Wrack</t>
  </si>
  <si>
    <t>oo1</t>
  </si>
  <si>
    <t>.%3A02%3A.</t>
  </si>
  <si>
    <t>w4-hk7</t>
  </si>
  <si>
    <t>oggksh</t>
  </si>
  <si>
    <t>Wolfsbau03</t>
  </si>
  <si>
    <t>Dorf+2</t>
  </si>
  <si>
    <t>Gaugenwald</t>
  </si>
  <si>
    <t>0%2C02%25...Loading</t>
  </si>
  <si>
    <t>Dkmonkey</t>
  </si>
  <si>
    <t>DamnJam%233</t>
  </si>
  <si>
    <t>Windbeutel</t>
  </si>
  <si>
    <t>Metropolis</t>
  </si>
  <si>
    <t>kjkn28123fnkaslkfas</t>
  </si>
  <si>
    <t>Eclair</t>
  </si>
  <si>
    <t>Basingsai</t>
  </si>
  <si>
    <t>Cremschnittes+Dorf</t>
  </si>
  <si>
    <t>W312</t>
  </si>
  <si>
    <t>Quarktasche</t>
  </si>
  <si>
    <t>Prinzenrolle</t>
  </si>
  <si>
    <t>ABMS001</t>
  </si>
  <si>
    <t>dough-town_001</t>
  </si>
  <si>
    <t>Klaustrophobie</t>
  </si>
  <si>
    <t>ABC</t>
  </si>
  <si>
    <t>Kopenhagen</t>
  </si>
  <si>
    <t>Danke</t>
  </si>
  <si>
    <t>Hailod07s+Dorf</t>
  </si>
  <si>
    <t>Duisburg</t>
  </si>
  <si>
    <t>Detmold</t>
  </si>
  <si>
    <t>HZ002</t>
  </si>
  <si>
    <t>Walhalla</t>
  </si>
  <si>
    <t>Dorfgeil.</t>
  </si>
  <si>
    <t>54%3A57%3A30</t>
  </si>
  <si>
    <t>Kursk</t>
  </si>
  <si>
    <t>Gul-AG</t>
  </si>
  <si>
    <t>------3------</t>
  </si>
  <si>
    <t>lego</t>
  </si>
  <si>
    <t>Schnuckenack</t>
  </si>
  <si>
    <t>PlayOne</t>
  </si>
  <si>
    <t>Kattegat</t>
  </si>
  <si>
    <t>Thaqotrap</t>
  </si>
  <si>
    <t>New+York</t>
  </si>
  <si>
    <t>PowerPuffGirls</t>
  </si>
  <si>
    <t>Zentrale+1</t>
  </si>
  <si>
    <t>Crepesalarm</t>
  </si>
  <si>
    <t>llllllllllllllll</t>
  </si>
  <si>
    <t>Neuguinea</t>
  </si>
  <si>
    <t>TOTE</t>
  </si>
  <si>
    <t>Twinkies</t>
  </si>
  <si>
    <t>55%3A11%3A40</t>
  </si>
  <si>
    <t>Aladar</t>
  </si>
  <si>
    <t>Bums</t>
  </si>
  <si>
    <t>Weinregal</t>
  </si>
  <si>
    <t>%23ZiehtWieHechtsuppe</t>
  </si>
  <si>
    <t>Athanum</t>
  </si>
  <si>
    <t>Giotto</t>
  </si>
  <si>
    <t>AA03</t>
  </si>
  <si>
    <t>Batushka</t>
  </si>
  <si>
    <t>EisVillage</t>
  </si>
  <si>
    <t>Neustadt</t>
  </si>
  <si>
    <t>Westfalenstadion</t>
  </si>
  <si>
    <t>Konstantinopel</t>
  </si>
  <si>
    <t>lag</t>
  </si>
  <si>
    <t>Eppelborn</t>
  </si>
  <si>
    <t>Fonsingen</t>
  </si>
  <si>
    <t>20.16.08.16</t>
  </si>
  <si>
    <t>Spider9024</t>
  </si>
  <si>
    <t>AG%2301</t>
  </si>
  <si>
    <t>Valaskjalf</t>
  </si>
  <si>
    <t>Bankschalter</t>
  </si>
  <si>
    <t>Dasda</t>
  </si>
  <si>
    <t>Holziken</t>
  </si>
  <si>
    <t>Jupiter</t>
  </si>
  <si>
    <t>Xxx</t>
  </si>
  <si>
    <t>Noctum</t>
  </si>
  <si>
    <t>%23JustChilln</t>
  </si>
  <si>
    <t>Okubeam</t>
  </si>
  <si>
    <t>AbrissanfrAGe</t>
  </si>
  <si>
    <t>Wolfsbau01</t>
  </si>
  <si>
    <t>MT1</t>
  </si>
  <si>
    <t>killer</t>
  </si>
  <si>
    <t>November</t>
  </si>
  <si>
    <t>K55_001_Pengu-1</t>
  </si>
  <si>
    <t>Duhnido</t>
  </si>
  <si>
    <t>Zuckerschnute</t>
  </si>
  <si>
    <t>Arcadia</t>
  </si>
  <si>
    <t>Specialized</t>
  </si>
  <si>
    <t>MyHomeismyCastle1</t>
  </si>
  <si>
    <t>RKM%232</t>
  </si>
  <si>
    <t>Arbeitstag_05</t>
  </si>
  <si>
    <t>2.0</t>
  </si>
  <si>
    <t>dope.</t>
  </si>
  <si>
    <t>Wessex</t>
  </si>
  <si>
    <t>Fulmine</t>
  </si>
  <si>
    <t>ZA6bO</t>
  </si>
  <si>
    <t>Artemis</t>
  </si>
  <si>
    <t>Ephesos</t>
  </si>
  <si>
    <t>Coruscant</t>
  </si>
  <si>
    <t>Molle</t>
  </si>
  <si>
    <t>A-Ribra</t>
  </si>
  <si>
    <t>Easy</t>
  </si>
  <si>
    <t>Island</t>
  </si>
  <si>
    <t>Venezuela</t>
  </si>
  <si>
    <t>Edirne</t>
  </si>
  <si>
    <t>hade</t>
  </si>
  <si>
    <t>Kartoffel</t>
  </si>
  <si>
    <t>02-Adiyaman</t>
  </si>
  <si>
    <t>Rohstoffquelle</t>
  </si>
  <si>
    <t>XxX9</t>
  </si>
  <si>
    <t>Alfa-City</t>
  </si>
  <si>
    <t>Burghausen</t>
  </si>
  <si>
    <t>.....ErRoR......</t>
  </si>
  <si>
    <t>Peponia</t>
  </si>
  <si>
    <t>Hotfarmer</t>
  </si>
  <si>
    <t>Genesis</t>
  </si>
  <si>
    <t>Hoppsing</t>
  </si>
  <si>
    <t>Donauinsel</t>
  </si>
  <si>
    <t>Matterhorn</t>
  </si>
  <si>
    <t>Due</t>
  </si>
  <si>
    <t>Wustweiler</t>
  </si>
  <si>
    <t>Halen</t>
  </si>
  <si>
    <t>Dallas</t>
  </si>
  <si>
    <t>Westen</t>
  </si>
  <si>
    <t>ChamberOfSins002</t>
  </si>
  <si>
    <t>Illingen</t>
  </si>
  <si>
    <t>AG%2310</t>
  </si>
  <si>
    <t>AG%2309</t>
  </si>
  <si>
    <t>069-Bayburt</t>
  </si>
  <si>
    <t>Nefprak</t>
  </si>
  <si>
    <t>Gelsenkirchen</t>
  </si>
  <si>
    <t>Deriho</t>
  </si>
  <si>
    <t>ZA2bO</t>
  </si>
  <si>
    <t>Ferchels</t>
  </si>
  <si>
    <t>Kingerum</t>
  </si>
  <si>
    <t>TSCH%C3%9CSS</t>
  </si>
  <si>
    <t>PT001</t>
  </si>
  <si>
    <t>s03</t>
  </si>
  <si>
    <t>JE1</t>
  </si>
  <si>
    <t>TubusStartDorf</t>
  </si>
  <si>
    <t>Sydney</t>
  </si>
  <si>
    <t>Kholinar</t>
  </si>
  <si>
    <t>Istanbul</t>
  </si>
  <si>
    <t>HARLEM</t>
  </si>
  <si>
    <t>Havanna</t>
  </si>
  <si>
    <t>Riva</t>
  </si>
  <si>
    <t>BVB003</t>
  </si>
  <si>
    <t>Ahri</t>
  </si>
  <si>
    <t>Bonjour</t>
  </si>
  <si>
    <t>Waterkant</t>
  </si>
  <si>
    <t>54%3A34%3A46</t>
  </si>
  <si>
    <t>54%3A34%3A57</t>
  </si>
  <si>
    <t>Sameiti</t>
  </si>
  <si>
    <t>5%3A3666</t>
  </si>
  <si>
    <t>Colfosco</t>
  </si>
  <si>
    <t>Ameisenhaufen</t>
  </si>
  <si>
    <t>Massengrab</t>
  </si>
  <si>
    <t>Festung+001</t>
  </si>
  <si>
    <t>Steiermark</t>
  </si>
  <si>
    <t>Feiertag.</t>
  </si>
  <si>
    <t>Paris</t>
  </si>
  <si>
    <t>GHI</t>
  </si>
  <si>
    <t>JKL</t>
  </si>
  <si>
    <t>Hamburg</t>
  </si>
  <si>
    <t>Magdeburg</t>
  </si>
  <si>
    <t>APFEL</t>
  </si>
  <si>
    <t>35%3A93%3A85</t>
  </si>
  <si>
    <t>Osterdorf_001</t>
  </si>
  <si>
    <t>Osterdorf_004</t>
  </si>
  <si>
    <t>Kapernaum</t>
  </si>
  <si>
    <t>Betsaida</t>
  </si>
  <si>
    <t>Loznica</t>
  </si>
  <si>
    <t>Alina123</t>
  </si>
  <si>
    <t>FMK1</t>
  </si>
  <si>
    <t>Farmerarama</t>
  </si>
  <si>
    <t>Linsensuppe1</t>
  </si>
  <si>
    <t>Altbach</t>
  </si>
  <si>
    <t>Ebersbach061</t>
  </si>
  <si>
    <t>Reeperbahn</t>
  </si>
  <si>
    <t>Victoria</t>
  </si>
  <si>
    <t>Olson</t>
  </si>
  <si>
    <t>Kampfgeist</t>
  </si>
  <si>
    <t>Konstablerwache</t>
  </si>
  <si>
    <t>55%3A62%3A42</t>
  </si>
  <si>
    <t>55%3A53%3A80</t>
  </si>
  <si>
    <t>E.T.s</t>
  </si>
  <si>
    <t>bibi102</t>
  </si>
  <si>
    <t>Augustiner</t>
  </si>
  <si>
    <t>Rachel</t>
  </si>
  <si>
    <t>RKM%231</t>
  </si>
  <si>
    <t>finn</t>
  </si>
  <si>
    <t>Pils97</t>
  </si>
  <si>
    <t>AG-Angriff</t>
  </si>
  <si>
    <t>Arbeitstag_03</t>
  </si>
  <si>
    <t>Schlumpfhausen</t>
  </si>
  <si>
    <t>Itzehoe</t>
  </si>
  <si>
    <t>EEE</t>
  </si>
  <si>
    <t>45%3A03%3A15</t>
  </si>
  <si>
    <t>Anklagebank</t>
  </si>
  <si>
    <t>Oswald</t>
  </si>
  <si>
    <t>ZA3bO</t>
  </si>
  <si>
    <t>Z005</t>
  </si>
  <si>
    <t>Spider9027</t>
  </si>
  <si>
    <t>Auenland</t>
  </si>
  <si>
    <t>Hagistan</t>
  </si>
  <si>
    <t>lego02</t>
  </si>
  <si>
    <t>BigCityLife</t>
  </si>
  <si>
    <t>54%3A44%3A27</t>
  </si>
  <si>
    <t>Atlanta</t>
  </si>
  <si>
    <t>Hogwarts</t>
  </si>
  <si>
    <t>Killshot</t>
  </si>
  <si>
    <t>BM2</t>
  </si>
  <si>
    <t>Konohagakure</t>
  </si>
  <si>
    <t>K55_--7--</t>
  </si>
  <si>
    <t>Black.Sun</t>
  </si>
  <si>
    <t>Perle</t>
  </si>
  <si>
    <t>Safe</t>
  </si>
  <si>
    <t>K55_--8--</t>
  </si>
  <si>
    <t>K55_--4--</t>
  </si>
  <si>
    <t>Garten</t>
  </si>
  <si>
    <t>%23002%23</t>
  </si>
  <si>
    <t>Teotihuacan</t>
  </si>
  <si>
    <t>Weasley</t>
  </si>
  <si>
    <t>BeliveInStupidity</t>
  </si>
  <si>
    <t>1Amauropia</t>
  </si>
  <si>
    <t>.%3A001%3A.</t>
  </si>
  <si>
    <t>X01</t>
  </si>
  <si>
    <t>Andy24L</t>
  </si>
  <si>
    <t>Pennsylvania</t>
  </si>
  <si>
    <t>Jakarta</t>
  </si>
  <si>
    <t>55%3A62%3A27</t>
  </si>
  <si>
    <t>Hypotheken</t>
  </si>
  <si>
    <t>%23LS23%23</t>
  </si>
  <si>
    <t>DAH</t>
  </si>
  <si>
    <t>Kuhnemonster</t>
  </si>
  <si>
    <t>Neuweiler</t>
  </si>
  <si>
    <t>Jarlshof</t>
  </si>
  <si>
    <t>Goldfinger</t>
  </si>
  <si>
    <t>Stuttgart%2303</t>
  </si>
  <si>
    <t>bla</t>
  </si>
  <si>
    <t>Geisteskrank</t>
  </si>
  <si>
    <t>dorfdorfdorf</t>
  </si>
  <si>
    <t>%23003PT</t>
  </si>
  <si>
    <t>Hollersbach</t>
  </si>
  <si>
    <t>Magie</t>
  </si>
  <si>
    <t>%23keinermagpaddi</t>
  </si>
  <si>
    <t>Fukushima</t>
  </si>
  <si>
    <t>Pirmasens</t>
  </si>
  <si>
    <t>Simonduck111</t>
  </si>
  <si>
    <t>nOiiSe.</t>
  </si>
  <si>
    <t>ffs</t>
  </si>
  <si>
    <t>Bahamas</t>
  </si>
  <si>
    <t>chrismaster</t>
  </si>
  <si>
    <t>Hrrrrr</t>
  </si>
  <si>
    <t>-2-</t>
  </si>
  <si>
    <t>Festung</t>
  </si>
  <si>
    <t>%7B0004%7D</t>
  </si>
  <si>
    <t>Hexvessel</t>
  </si>
  <si>
    <t>K55_--5--</t>
  </si>
  <si>
    <t>Gottmarws</t>
  </si>
  <si>
    <t>Dracay</t>
  </si>
  <si>
    <t>E-Weiler061</t>
  </si>
  <si>
    <t>oo2</t>
  </si>
  <si>
    <t>Fleischwurst</t>
  </si>
  <si>
    <t>35%3A93%3A95</t>
  </si>
  <si>
    <t>MarcoUndNils</t>
  </si>
  <si>
    <t>Sprantal</t>
  </si>
  <si>
    <t>%7B0001%7D</t>
  </si>
  <si>
    <t>PhoenixCity</t>
  </si>
  <si>
    <t>DeanGuitar</t>
  </si>
  <si>
    <t>Heringsdorf</t>
  </si>
  <si>
    <t>Petersburg</t>
  </si>
  <si>
    <t>Enzkofen</t>
  </si>
  <si>
    <t>Honigfarm</t>
  </si>
  <si>
    <t>chrismaster2</t>
  </si>
  <si>
    <t>Kryos</t>
  </si>
  <si>
    <t>Gimli</t>
  </si>
  <si>
    <t>Torte</t>
  </si>
  <si>
    <t>55%3A62%3A08</t>
  </si>
  <si>
    <t>mainz</t>
  </si>
  <si>
    <t>Forellenbach</t>
  </si>
  <si>
    <t>Sankt-Peterburg</t>
  </si>
  <si>
    <t>003AgtionAbgeschlossen</t>
  </si>
  <si>
    <t>Spider9021</t>
  </si>
  <si>
    <t>AG%2305</t>
  </si>
  <si>
    <t>Hvinur</t>
  </si>
  <si>
    <t>Menemiste</t>
  </si>
  <si>
    <t>K55_--2--</t>
  </si>
  <si>
    <t>002AgtionReagtion</t>
  </si>
  <si>
    <t>Rifton</t>
  </si>
  <si>
    <t>Ulcinj</t>
  </si>
  <si>
    <t>Greccotown</t>
  </si>
  <si>
    <t>54%3A65%3A49</t>
  </si>
  <si>
    <t>54%3A46%3A59</t>
  </si>
  <si>
    <t>Moskwa</t>
  </si>
  <si>
    <t>BINWIEDERDA</t>
  </si>
  <si>
    <t>Ironforge</t>
  </si>
  <si>
    <t>%7B002%7D</t>
  </si>
  <si>
    <t>55%3A52%3A75</t>
  </si>
  <si>
    <t>ZA1bO</t>
  </si>
  <si>
    <t>%7B0002%7D</t>
  </si>
  <si>
    <t>Kilika</t>
  </si>
  <si>
    <t>Attacke</t>
  </si>
  <si>
    <t>K55_--6--</t>
  </si>
  <si>
    <t>Stuttgart%2302</t>
  </si>
  <si>
    <t>54%3A56%3A32</t>
  </si>
  <si>
    <t>lagII</t>
  </si>
  <si>
    <t>Valhalla</t>
  </si>
  <si>
    <t>Montipora</t>
  </si>
  <si>
    <t>Truppenlager</t>
  </si>
  <si>
    <t>Numb</t>
  </si>
  <si>
    <t>Gary</t>
  </si>
  <si>
    <t>Bursa</t>
  </si>
  <si>
    <t>Erebor</t>
  </si>
  <si>
    <t>X02</t>
  </si>
  <si>
    <t>003-Koopspieler</t>
  </si>
  <si>
    <t>ChePrinzessin</t>
  </si>
  <si>
    <t>Sendling</t>
  </si>
  <si>
    <t>Haithabu</t>
  </si>
  <si>
    <t>X04</t>
  </si>
  <si>
    <t>004Spasstamleben</t>
  </si>
  <si>
    <t>XxX3</t>
  </si>
  <si>
    <t>Athen</t>
  </si>
  <si>
    <t>Pummelparty</t>
  </si>
  <si>
    <t>Island001</t>
  </si>
  <si>
    <t>BVB004</t>
  </si>
  <si>
    <t>SBG001</t>
  </si>
  <si>
    <t>Teslz</t>
  </si>
  <si>
    <t>%23labor-zwo</t>
  </si>
  <si>
    <t>%C3%96lkofen</t>
  </si>
  <si>
    <t>%2B%2B2%2B%2B</t>
  </si>
  <si>
    <t>Hedeby</t>
  </si>
  <si>
    <t>%7B0003%7D</t>
  </si>
  <si>
    <t>Terra</t>
  </si>
  <si>
    <t>Noord-Brabant</t>
  </si>
  <si>
    <t>joker</t>
  </si>
  <si>
    <t>Rehbeischl</t>
  </si>
  <si>
    <t>error</t>
  </si>
  <si>
    <t>Schwaben</t>
  </si>
  <si>
    <t>ATH</t>
  </si>
  <si>
    <t>LonchHD</t>
  </si>
  <si>
    <t>Stadt04</t>
  </si>
  <si>
    <t>BVB001</t>
  </si>
  <si>
    <t>QWER</t>
  </si>
  <si>
    <t>MNS</t>
  </si>
  <si>
    <t>xVaserx</t>
  </si>
  <si>
    <t>001AG</t>
  </si>
  <si>
    <t>-I34SH-</t>
  </si>
  <si>
    <t>Troja</t>
  </si>
  <si>
    <t>AGGRO</t>
  </si>
  <si>
    <t>Dorf+1</t>
  </si>
  <si>
    <t>Babylon</t>
  </si>
  <si>
    <t>COERDE</t>
  </si>
  <si>
    <t>wHaTsgOiNgOn</t>
  </si>
  <si>
    <t>DJ777</t>
  </si>
  <si>
    <t>Asbach</t>
  </si>
  <si>
    <t>SouperBot</t>
  </si>
  <si>
    <t>Theskipperone</t>
  </si>
  <si>
    <t>tuete1</t>
  </si>
  <si>
    <t>Hallo</t>
  </si>
  <si>
    <t>Viersen</t>
  </si>
  <si>
    <t>%23ROAD2GOAT</t>
  </si>
  <si>
    <t>Mopsstadt</t>
  </si>
  <si>
    <t>001-Moria</t>
  </si>
  <si>
    <t>Frankfurt</t>
  </si>
  <si>
    <t>Stuttgart%2301</t>
  </si>
  <si>
    <t>%23EaSyGoInG</t>
  </si>
  <si>
    <t>Naxatras</t>
  </si>
  <si>
    <t>Fenerios</t>
  </si>
  <si>
    <t>%23Team_Platin</t>
  </si>
  <si>
    <t>Sweetheart</t>
  </si>
  <si>
    <t>Cheydinhal</t>
  </si>
  <si>
    <t>003Spasstanderfreude</t>
  </si>
  <si>
    <t>Hauptburg</t>
  </si>
  <si>
    <t>Grenzstadt</t>
  </si>
  <si>
    <t>Widerwehr</t>
  </si>
  <si>
    <t>Vengerberg</t>
  </si>
  <si>
    <t>chrismaster1</t>
  </si>
  <si>
    <t>Asylantenheim</t>
  </si>
  <si>
    <t>inYourFace</t>
  </si>
  <si>
    <t>Thanatophobie</t>
  </si>
  <si>
    <t>Bullzay</t>
  </si>
  <si>
    <t>Schemsem</t>
  </si>
  <si>
    <t>Chaostoffel</t>
  </si>
  <si>
    <t>Lasnik</t>
  </si>
  <si>
    <t>54%3A56%3A84</t>
  </si>
  <si>
    <t>Biercelona</t>
  </si>
  <si>
    <t>Bunker</t>
  </si>
  <si>
    <t>n-n</t>
  </si>
  <si>
    <t>Vik</t>
  </si>
  <si>
    <t>Schnitzeljagd</t>
  </si>
  <si>
    <t>w178.00</t>
  </si>
  <si>
    <t>Brutus333s</t>
  </si>
  <si>
    <t>TimeForBelieving</t>
  </si>
  <si>
    <t>Adana</t>
  </si>
  <si>
    <t>Fruchtsaft</t>
  </si>
  <si>
    <t>55%3A53%3A60</t>
  </si>
  <si>
    <t>Entenhausen</t>
  </si>
  <si>
    <t>%23bunkerIstBoss</t>
  </si>
  <si>
    <t>--001--</t>
  </si>
  <si>
    <t>PT003</t>
  </si>
  <si>
    <t>%23%23%23%23%23</t>
  </si>
  <si>
    <t>Inverness</t>
  </si>
  <si>
    <t>Keksteig</t>
  </si>
  <si>
    <t>Neu-Moskau</t>
  </si>
  <si>
    <t>Undead</t>
  </si>
  <si>
    <t>Kyoshi</t>
  </si>
  <si>
    <t>AG%2302</t>
  </si>
  <si>
    <t>oo4</t>
  </si>
  <si>
    <t>Bliesen</t>
  </si>
  <si>
    <t>Hauptquartier</t>
  </si>
  <si>
    <t>Casterlystein</t>
  </si>
  <si>
    <t>Jokkmokk</t>
  </si>
  <si>
    <t>Fluse0815</t>
  </si>
  <si>
    <t>X001</t>
  </si>
  <si>
    <t>004Dada</t>
  </si>
  <si>
    <t>Guffelstadt</t>
  </si>
  <si>
    <t>Barad-dur</t>
  </si>
  <si>
    <t>Verbot</t>
  </si>
  <si>
    <t>EinsRafSieben</t>
  </si>
  <si>
    <t>Angmar</t>
  </si>
  <si>
    <t>%3D002%3D</t>
  </si>
  <si>
    <t>3.2.1..meins</t>
  </si>
  <si>
    <t>Markarth</t>
  </si>
  <si>
    <t>Mailand</t>
  </si>
  <si>
    <t>skanderbeg</t>
  </si>
  <si>
    <t>Grenzfeste</t>
  </si>
  <si>
    <t>Twer</t>
  </si>
  <si>
    <t>E-Werk</t>
  </si>
  <si>
    <t>Apfel</t>
  </si>
  <si>
    <t>Chrizistan</t>
  </si>
  <si>
    <t>Burgerbude</t>
  </si>
  <si>
    <t>Metropolitano</t>
  </si>
  <si>
    <t>%7B0006%7D</t>
  </si>
  <si>
    <t>Prypjat</t>
  </si>
  <si>
    <t>Dienstag</t>
  </si>
  <si>
    <t>-01-</t>
  </si>
  <si>
    <t>Bdorf</t>
  </si>
  <si>
    <t>Desperize</t>
  </si>
  <si>
    <t>%23CLA%24%24IC</t>
  </si>
  <si>
    <t>r1schuetzes</t>
  </si>
  <si>
    <t>WildeWilma69</t>
  </si>
  <si>
    <t>Chacahua</t>
  </si>
  <si>
    <t>Knidda2</t>
  </si>
  <si>
    <t>XxX8</t>
  </si>
  <si>
    <t>XYX</t>
  </si>
  <si>
    <t>%7B0007%7D</t>
  </si>
  <si>
    <t>interesting</t>
  </si>
  <si>
    <t>...</t>
  </si>
  <si>
    <t>Kelaris</t>
  </si>
  <si>
    <t>Len</t>
  </si>
  <si>
    <t>No.1</t>
  </si>
  <si>
    <t>Ardea</t>
  </si>
  <si>
    <t>Nachtschicht</t>
  </si>
  <si>
    <t>Josnak</t>
  </si>
  <si>
    <t>Fab</t>
  </si>
  <si>
    <t>Pollhagen</t>
  </si>
  <si>
    <t>Motorschaden</t>
  </si>
  <si>
    <t>Pyhra</t>
  </si>
  <si>
    <t>Surculuss</t>
  </si>
  <si>
    <t>.%3A003%3A.</t>
  </si>
  <si>
    <t>Wolfsschlucht</t>
  </si>
  <si>
    <t>%23JJ%23</t>
  </si>
  <si>
    <t>Unbekannt</t>
  </si>
  <si>
    <t>Cambridge</t>
  </si>
  <si>
    <t>Hotel</t>
  </si>
  <si>
    <t>Spider9025</t>
  </si>
  <si>
    <t>003Jimmy</t>
  </si>
  <si>
    <t>Feuermops</t>
  </si>
  <si>
    <t>--003--</t>
  </si>
  <si>
    <t>Mezmerize</t>
  </si>
  <si>
    <t>BONEYARD</t>
  </si>
  <si>
    <t>Kopfballungeheuer</t>
  </si>
  <si>
    <t>iCameForTheBeer</t>
  </si>
  <si>
    <t>Jasnik</t>
  </si>
  <si>
    <t>Bruno</t>
  </si>
  <si>
    <t>Glasgow</t>
  </si>
  <si>
    <t>Edoras</t>
  </si>
  <si>
    <t>Spider9022</t>
  </si>
  <si>
    <t>K55_--1--</t>
  </si>
  <si>
    <t>Windeweht</t>
  </si>
  <si>
    <t>%3A-D</t>
  </si>
  <si>
    <t>BeiMamiWohnen001</t>
  </si>
  <si>
    <t>-108-</t>
  </si>
  <si>
    <t>Dahoam</t>
  </si>
  <si>
    <t>frangelicos</t>
  </si>
  <si>
    <t>Bruchbude</t>
  </si>
  <si>
    <t>Mitu</t>
  </si>
  <si>
    <t>Eppendorf</t>
  </si>
  <si>
    <t>Chaironeia</t>
  </si>
  <si>
    <t>X03</t>
  </si>
  <si>
    <t>AG%2304</t>
  </si>
  <si>
    <t>Horeb</t>
  </si>
  <si>
    <t>Red</t>
  </si>
  <si>
    <t>54%3A34%3A92</t>
  </si>
  <si>
    <t>GULAG</t>
  </si>
  <si>
    <t>Felsennest</t>
  </si>
  <si>
    <t>Rom</t>
  </si>
  <si>
    <t>003-Belegost</t>
  </si>
  <si>
    <t>54%3A46%3A02</t>
  </si>
  <si>
    <t>stinger</t>
  </si>
  <si>
    <t>PT004</t>
  </si>
  <si>
    <t>Gottmarws2</t>
  </si>
  <si>
    <t>-005-</t>
  </si>
  <si>
    <t>003.</t>
  </si>
  <si>
    <t>HardcoreHartmut69</t>
  </si>
  <si>
    <t>JE4</t>
  </si>
  <si>
    <t>HA-001</t>
  </si>
  <si>
    <t>eslebt</t>
  </si>
  <si>
    <t>-1-</t>
  </si>
  <si>
    <t>54%3A47%3A72</t>
  </si>
  <si>
    <t>Pudding</t>
  </si>
  <si>
    <t>Shanks</t>
  </si>
  <si>
    <t>Kaff_1</t>
  </si>
  <si>
    <t>2%23Sassun</t>
  </si>
  <si>
    <t>XXX</t>
  </si>
  <si>
    <t>Knack</t>
  </si>
  <si>
    <t>Ragnar029</t>
  </si>
  <si>
    <t>Krampe.</t>
  </si>
  <si>
    <t>Amaranthe</t>
  </si>
  <si>
    <t>Edinburgh</t>
  </si>
  <si>
    <t>Hochburg</t>
  </si>
  <si>
    <t>54%3A65%3A07</t>
  </si>
  <si>
    <t>1780001.</t>
  </si>
  <si>
    <t>Zwei</t>
  </si>
  <si>
    <t>Tenochtitlan</t>
  </si>
  <si>
    <t>Aggro</t>
  </si>
  <si>
    <t>Jasnak</t>
  </si>
  <si>
    <t>Magdeburger-Jungs</t>
  </si>
  <si>
    <t>178_002</t>
  </si>
  <si>
    <t>wuRsTwErfeR</t>
  </si>
  <si>
    <t>VIE</t>
  </si>
  <si>
    <t>Oberkirchen</t>
  </si>
  <si>
    <t>w178.03</t>
  </si>
  <si>
    <t>3%2C14159265358979323846264338328</t>
  </si>
  <si>
    <t>D-Town</t>
  </si>
  <si>
    <t>Requests</t>
  </si>
  <si>
    <t>Askir</t>
  </si>
  <si>
    <t>Dolomit</t>
  </si>
  <si>
    <t>TROJA</t>
  </si>
  <si>
    <t>Claudia</t>
  </si>
  <si>
    <t>Miramar</t>
  </si>
  <si>
    <t>Churchhill</t>
  </si>
  <si>
    <t>002Jimmy</t>
  </si>
  <si>
    <t>Affalterbach</t>
  </si>
  <si>
    <t>Nr.2</t>
  </si>
  <si>
    <t>Akk001</t>
  </si>
  <si>
    <t>K-Town</t>
  </si>
  <si>
    <t>Bologna</t>
  </si>
  <si>
    <t>Fa_Shizzy</t>
  </si>
  <si>
    <t>Vienna</t>
  </si>
  <si>
    <t>Bada-Boom</t>
  </si>
  <si>
    <t>AG%2303</t>
  </si>
  <si>
    <t>Atacke</t>
  </si>
  <si>
    <t>001Propaganda</t>
  </si>
  <si>
    <t>Beizkofen</t>
  </si>
  <si>
    <t>01+Dorf</t>
  </si>
  <si>
    <t>Katsching</t>
  </si>
  <si>
    <t>home3</t>
  </si>
  <si>
    <t>Atttacke</t>
  </si>
  <si>
    <t>lego01</t>
  </si>
  <si>
    <t>Stadtmitte</t>
  </si>
  <si>
    <t>K55_--3--</t>
  </si>
  <si>
    <t>54%3A56%3A34</t>
  </si>
  <si>
    <t>Zoapalooza</t>
  </si>
  <si>
    <t>001Jimmy</t>
  </si>
  <si>
    <t>Starkenberg_de178</t>
  </si>
  <si>
    <t>Flusswald</t>
  </si>
  <si>
    <t>54%3A47%3A21</t>
  </si>
  <si>
    <t>Merci</t>
  </si>
  <si>
    <t>ASTROWORLD</t>
  </si>
  <si>
    <t>Ponyranch</t>
  </si>
  <si>
    <t>W311</t>
  </si>
  <si>
    <t>Kreuznach</t>
  </si>
  <si>
    <t>001Hase</t>
  </si>
  <si>
    <t>Karlsruhe01</t>
  </si>
  <si>
    <t>------1------</t>
  </si>
  <si>
    <t>Charlie</t>
  </si>
  <si>
    <t>%7B003%7D</t>
  </si>
  <si>
    <t>MAGIC_001</t>
  </si>
  <si>
    <t>VoOck</t>
  </si>
  <si>
    <t>54%3A44%3A08</t>
  </si>
  <si>
    <t>Danfort1</t>
  </si>
  <si>
    <t>Hauptstadt</t>
  </si>
  <si>
    <t>Delaware</t>
  </si>
  <si>
    <t>Vitez</t>
  </si>
  <si>
    <t>.retime</t>
  </si>
  <si>
    <t>Asgard</t>
  </si>
  <si>
    <t>-003-Sandhofen-</t>
  </si>
  <si>
    <t>Niemand</t>
  </si>
  <si>
    <t>003Hase</t>
  </si>
  <si>
    <t>King2</t>
  </si>
  <si>
    <t>%23sendit</t>
  </si>
  <si>
    <t>Turmenz</t>
  </si>
  <si>
    <t>Desperados</t>
  </si>
  <si>
    <t>A003</t>
  </si>
  <si>
    <t>54%3A56%3A83</t>
  </si>
  <si>
    <t>RIP</t>
  </si>
  <si>
    <t>FrankElstner</t>
  </si>
  <si>
    <t>Razeschanze</t>
  </si>
  <si>
    <t>Podolski</t>
  </si>
  <si>
    <t>Panzerhausen</t>
  </si>
  <si>
    <t>NOOBSBASHEN</t>
  </si>
  <si>
    <t>Amnesia</t>
  </si>
  <si>
    <t>Gulag</t>
  </si>
  <si>
    <t>Lappland</t>
  </si>
  <si>
    <t>--004--</t>
  </si>
  <si>
    <t>Broye</t>
  </si>
  <si>
    <t>Braaa</t>
  </si>
  <si>
    <t>Dragonien</t>
  </si>
  <si>
    <t>DEF</t>
  </si>
  <si>
    <t>NIEmehrLOST</t>
  </si>
  <si>
    <t>Warschau</t>
  </si>
  <si>
    <t>Moo</t>
  </si>
  <si>
    <t>optimus83</t>
  </si>
  <si>
    <t>Hansestadt+Hamburg</t>
  </si>
  <si>
    <t>o1o</t>
  </si>
  <si>
    <t>Mohle</t>
  </si>
  <si>
    <t>SuperDario</t>
  </si>
  <si>
    <t>Barbi</t>
  </si>
  <si>
    <t>Alabastia</t>
  </si>
  <si>
    <t>Armleuchterdorf</t>
  </si>
  <si>
    <t>Dingsda</t>
  </si>
  <si>
    <t>Dattel</t>
  </si>
  <si>
    <t>HAGNER</t>
  </si>
  <si>
    <t>hehexd</t>
  </si>
  <si>
    <t>Attttacke</t>
  </si>
  <si>
    <t>55%3A53%3A82</t>
  </si>
  <si>
    <t>Hochmut</t>
  </si>
  <si>
    <t>%23CrystalOps</t>
  </si>
  <si>
    <t>Dragonsreach</t>
  </si>
  <si>
    <t>ekaans</t>
  </si>
  <si>
    <t>IORETH%23666</t>
  </si>
  <si>
    <t>TROJA3</t>
  </si>
  <si>
    <t>Igeltime</t>
  </si>
  <si>
    <t>Reissdorf</t>
  </si>
  <si>
    <t>District-69</t>
  </si>
  <si>
    <t>Weizenbier</t>
  </si>
  <si>
    <t>Bernabeu</t>
  </si>
  <si>
    <t>Barbarendorf001</t>
  </si>
  <si>
    <t>Z004</t>
  </si>
  <si>
    <t>%23005%23</t>
  </si>
  <si>
    <t>003NK</t>
  </si>
  <si>
    <t>ThomasGottschalk</t>
  </si>
  <si>
    <t>MT2</t>
  </si>
  <si>
    <t>Moria</t>
  </si>
  <si>
    <t>Asgard01</t>
  </si>
  <si>
    <t>Banane</t>
  </si>
  <si>
    <t>Solzried</t>
  </si>
  <si>
    <t>54%3A56%3A70</t>
  </si>
  <si>
    <t>MrJunior23</t>
  </si>
  <si>
    <t>Athos</t>
  </si>
  <si>
    <t>Versteck</t>
  </si>
  <si>
    <t>001Vielspasst</t>
  </si>
  <si>
    <t>002Spasstbremse</t>
  </si>
  <si>
    <t>AgentxKx</t>
  </si>
  <si>
    <t>26506.2</t>
  </si>
  <si>
    <t>xyz</t>
  </si>
  <si>
    <t>Riften</t>
  </si>
  <si>
    <t>Linhares</t>
  </si>
  <si>
    <t>DaHeinze</t>
  </si>
  <si>
    <t>Herz</t>
  </si>
  <si>
    <t>1%2C41421356237309504880168872421</t>
  </si>
  <si>
    <t>Kumogakure</t>
  </si>
  <si>
    <t>Exodar</t>
  </si>
  <si>
    <t>03___</t>
  </si>
  <si>
    <t>Cotta</t>
  </si>
  <si>
    <t>Donnerwetter</t>
  </si>
  <si>
    <t>ZA5bO</t>
  </si>
  <si>
    <t>Leibnitz</t>
  </si>
  <si>
    <t>Bravo</t>
  </si>
  <si>
    <t>54%3A46%3A47</t>
  </si>
  <si>
    <t>Coldfarmer</t>
  </si>
  <si>
    <t>chrissi1610s+Dorf</t>
  </si>
  <si>
    <t>Iskender</t>
  </si>
  <si>
    <t>Matzedonien</t>
  </si>
  <si>
    <t>Herbolzheim</t>
  </si>
  <si>
    <t>K55_--9--</t>
  </si>
  <si>
    <t>Vituzuela</t>
  </si>
  <si>
    <t>moin</t>
  </si>
  <si>
    <t>ZA4bO</t>
  </si>
  <si>
    <t>Donutladen</t>
  </si>
  <si>
    <t>Arambol</t>
  </si>
  <si>
    <t>Dresden</t>
  </si>
  <si>
    <t>Cdorf</t>
  </si>
  <si>
    <t>-4-</t>
  </si>
  <si>
    <t>%23001%23</t>
  </si>
  <si>
    <t>.H1</t>
  </si>
  <si>
    <t>freshfield</t>
  </si>
  <si>
    <t>Dresdz</t>
  </si>
  <si>
    <t>Dschungel</t>
  </si>
  <si>
    <t>%7B0005%7D</t>
  </si>
  <si>
    <t>X002</t>
  </si>
  <si>
    <t>004Valar-Morghulis</t>
  </si>
  <si>
    <t>MAGIC_002</t>
  </si>
  <si>
    <t>Mettwurst</t>
  </si>
  <si>
    <t>.%3A03%3A.</t>
  </si>
  <si>
    <t>Helmut</t>
  </si>
  <si>
    <t>C-Town</t>
  </si>
  <si>
    <t>Niflheim</t>
  </si>
  <si>
    <t>Akronym</t>
  </si>
  <si>
    <t>Sanhok</t>
  </si>
  <si>
    <t>home1</t>
  </si>
  <si>
    <t>Essen</t>
  </si>
  <si>
    <t>Freibier</t>
  </si>
  <si>
    <t>Altona</t>
  </si>
  <si>
    <t>Sportgemeinschaft</t>
  </si>
  <si>
    <t>Zoo</t>
  </si>
  <si>
    <t>Optimal</t>
  </si>
  <si>
    <t>Busovaca</t>
  </si>
  <si>
    <t>Damengambit</t>
  </si>
  <si>
    <t>Guccigang</t>
  </si>
  <si>
    <t>Mushtisht</t>
  </si>
  <si>
    <t>Deichkate</t>
  </si>
  <si>
    <t>Gigoos+Dorf</t>
  </si>
  <si>
    <t>D-Sturb</t>
  </si>
  <si>
    <t>002_AtesKangal</t>
  </si>
  <si>
    <t>54%3A56%3A09</t>
  </si>
  <si>
    <t>Arbeitstag_04</t>
  </si>
  <si>
    <t>TROJA4</t>
  </si>
  <si>
    <t>Twix</t>
  </si>
  <si>
    <t>Kenzingen</t>
  </si>
  <si>
    <t>25-Erzurum</t>
  </si>
  <si>
    <t>Grab</t>
  </si>
  <si>
    <t>TKKG</t>
  </si>
  <si>
    <t>Sepia</t>
  </si>
  <si>
    <t>Gotcha</t>
  </si>
  <si>
    <t>Lord+Calibras+Dorf</t>
  </si>
  <si>
    <t>AG%2311</t>
  </si>
  <si>
    <t>Endlager</t>
  </si>
  <si>
    <t>Unknown</t>
  </si>
  <si>
    <t>Ponyhof</t>
  </si>
  <si>
    <t>Elastriss</t>
  </si>
  <si>
    <t>Sigtuna</t>
  </si>
  <si>
    <t>Casanova</t>
  </si>
  <si>
    <t>Oxford</t>
  </si>
  <si>
    <t>001-DieWeltistKonsum</t>
  </si>
  <si>
    <t>B-Town</t>
  </si>
  <si>
    <t>Hey</t>
  </si>
  <si>
    <t>%23Palmen_aus_Plastik</t>
  </si>
  <si>
    <t>Arbeitstag_06</t>
  </si>
  <si>
    <t>funny-frisch</t>
  </si>
  <si>
    <t>Trend</t>
  </si>
  <si>
    <t>55%3A53%3A43</t>
  </si>
  <si>
    <t>Stirbus001</t>
  </si>
  <si>
    <t>Eierspeis</t>
  </si>
  <si>
    <t>Haze</t>
  </si>
  <si>
    <t>F-Town</t>
  </si>
  <si>
    <t>AG%2306</t>
  </si>
  <si>
    <t>%3D003%3D</t>
  </si>
  <si>
    <t>1.Erzberg</t>
  </si>
  <si>
    <t>Risiko</t>
  </si>
  <si>
    <t>renardon</t>
  </si>
  <si>
    <t>Tulpe</t>
  </si>
  <si>
    <t>Kesselflasch</t>
  </si>
  <si>
    <t>HotnCold4You</t>
  </si>
  <si>
    <t>BM1</t>
  </si>
  <si>
    <t>Ulm73Ost</t>
  </si>
  <si>
    <t>Liverpool</t>
  </si>
  <si>
    <t>Paxi-Lexi-Fixi</t>
  </si>
  <si>
    <t>Gerolding</t>
  </si>
  <si>
    <t>%23004%23</t>
  </si>
  <si>
    <t>006Williwill06</t>
  </si>
  <si>
    <t>Z002</t>
  </si>
  <si>
    <t>002NK</t>
  </si>
  <si>
    <t>------2------</t>
  </si>
  <si>
    <t>Disneyland</t>
  </si>
  <si>
    <t>HA-004</t>
  </si>
  <si>
    <t>LOST</t>
  </si>
  <si>
    <t>Lissabon</t>
  </si>
  <si>
    <t>Chemz</t>
  </si>
  <si>
    <t>Adventszeit</t>
  </si>
  <si>
    <t>Lavandia</t>
  </si>
  <si>
    <t>ScheissDieWandAn</t>
  </si>
  <si>
    <t>Aschmark</t>
  </si>
  <si>
    <t>Sett</t>
  </si>
  <si>
    <t>Helheim</t>
  </si>
  <si>
    <t>Titan</t>
  </si>
  <si>
    <t>Stadt</t>
  </si>
  <si>
    <t>Pilgerwood</t>
  </si>
  <si>
    <t>H%C3%84MR</t>
  </si>
  <si>
    <t>Potter</t>
  </si>
  <si>
    <t>Zinnowitz</t>
  </si>
  <si>
    <t>Bramberg</t>
  </si>
  <si>
    <t>55%3A62%3A04</t>
  </si>
  <si>
    <t>TROJA5</t>
  </si>
  <si>
    <t>Wallhalla</t>
  </si>
  <si>
    <t>Bockert</t>
  </si>
  <si>
    <t>%7B004%7D</t>
  </si>
  <si>
    <t>Marianopel</t>
  </si>
  <si>
    <t>TROJA2</t>
  </si>
  <si>
    <t>GIEVENBECK</t>
  </si>
  <si>
    <t>Vikendi</t>
  </si>
  <si>
    <t>Asgard02</t>
  </si>
  <si>
    <t>Sidney</t>
  </si>
  <si>
    <t>Northumbria</t>
  </si>
  <si>
    <t>Urfa</t>
  </si>
  <si>
    <t>Ascalon</t>
  </si>
  <si>
    <t>Beta</t>
  </si>
  <si>
    <t>Schlicktown</t>
  </si>
  <si>
    <t>Isegrim</t>
  </si>
  <si>
    <t>%23002PT</t>
  </si>
  <si>
    <t>El-hasani</t>
  </si>
  <si>
    <t>Karthago</t>
  </si>
  <si>
    <t>35%3A93%3A62</t>
  </si>
  <si>
    <t>Germania</t>
  </si>
  <si>
    <t>Baustelle</t>
  </si>
  <si>
    <t>Spider9026</t>
  </si>
  <si>
    <t>Spider9023</t>
  </si>
  <si>
    <t>004Jimmy</t>
  </si>
  <si>
    <t>Windfang</t>
  </si>
  <si>
    <t>Wabbel</t>
  </si>
  <si>
    <t>Bitburg</t>
  </si>
  <si>
    <t>HZ003</t>
  </si>
  <si>
    <t>Radieschensalat</t>
  </si>
  <si>
    <t>Village</t>
  </si>
  <si>
    <t>Stuttgart</t>
  </si>
  <si>
    <t>1%2C618033988749894848204586834366</t>
  </si>
  <si>
    <t>Probstheida</t>
  </si>
  <si>
    <t>Graz</t>
  </si>
  <si>
    <t>pathetic</t>
  </si>
  <si>
    <t>SCR01</t>
  </si>
  <si>
    <t>%7B0008%7D</t>
  </si>
  <si>
    <t>ChamberOfSins001</t>
  </si>
  <si>
    <t>%C3%84thiopien</t>
  </si>
  <si>
    <t>Spielplagz</t>
  </si>
  <si>
    <t>Kattegatt</t>
  </si>
  <si>
    <t>Bochum</t>
  </si>
  <si>
    <t>002......Troja......</t>
  </si>
  <si>
    <t>Osterdorf_003</t>
  </si>
  <si>
    <t>Anchorage</t>
  </si>
  <si>
    <t>Hogsmeade</t>
  </si>
  <si>
    <t>SARAJEVO</t>
  </si>
  <si>
    <t>Guffeldorf</t>
  </si>
  <si>
    <t>RR02</t>
  </si>
  <si>
    <t>002Hase</t>
  </si>
  <si>
    <t>Wild</t>
  </si>
  <si>
    <t>AG_Quercus</t>
  </si>
  <si>
    <t>Pilsner</t>
  </si>
  <si>
    <t>Bilecik</t>
  </si>
  <si>
    <t>home2</t>
  </si>
  <si>
    <t>JE3</t>
  </si>
  <si>
    <t>X003</t>
  </si>
  <si>
    <t>Pilsette</t>
  </si>
  <si>
    <t>-3-</t>
  </si>
  <si>
    <t>Mitus</t>
  </si>
  <si>
    <t>olliwisly1</t>
  </si>
  <si>
    <t>Kapitol</t>
  </si>
  <si>
    <t>Provide</t>
  </si>
  <si>
    <t>1%23Puderrosaranch</t>
  </si>
  <si>
    <t>Alagmo</t>
  </si>
  <si>
    <t>Votuporanga</t>
  </si>
  <si>
    <t>Houlerstaudn</t>
  </si>
  <si>
    <t>NeverWasSoEasy</t>
  </si>
  <si>
    <t>Prometheus</t>
  </si>
  <si>
    <t>AG-Hope1-</t>
  </si>
  <si>
    <t>elhoM</t>
  </si>
  <si>
    <t>Veltinsarena</t>
  </si>
  <si>
    <t>ungarisch</t>
  </si>
  <si>
    <t>Denkmal</t>
  </si>
  <si>
    <t>Mosterei</t>
  </si>
  <si>
    <t>TabulaRasa</t>
  </si>
  <si>
    <t>Flask</t>
  </si>
  <si>
    <t>w178.02</t>
  </si>
  <si>
    <t>Kashyyyk</t>
  </si>
  <si>
    <t>Pulli</t>
  </si>
  <si>
    <t>Dorf+001</t>
  </si>
  <si>
    <t>-03-</t>
  </si>
  <si>
    <t>Adrianopel</t>
  </si>
  <si>
    <t>Banana</t>
  </si>
  <si>
    <t>Sonnenschein</t>
  </si>
  <si>
    <t>002Dada</t>
  </si>
  <si>
    <t>Wagnis</t>
  </si>
  <si>
    <t>M2020-01</t>
  </si>
  <si>
    <t>Germanium</t>
  </si>
  <si>
    <t>Wohnwagen</t>
  </si>
  <si>
    <t>Wut</t>
  </si>
  <si>
    <t>E39</t>
  </si>
  <si>
    <t>%2B%2B1%2B%2B</t>
  </si>
  <si>
    <t>Zwerenberg</t>
  </si>
  <si>
    <t>PaperLove</t>
  </si>
  <si>
    <t>MIR</t>
  </si>
  <si>
    <t>Fenrir</t>
  </si>
  <si>
    <t>TheDoku</t>
  </si>
  <si>
    <t>Zink</t>
  </si>
  <si>
    <t>XTrible</t>
  </si>
  <si>
    <t>HILLS</t>
  </si>
  <si>
    <t>Horizon</t>
  </si>
  <si>
    <t>steinbock10s</t>
  </si>
  <si>
    <t>FoodLove</t>
  </si>
  <si>
    <t>X-01</t>
  </si>
  <si>
    <t>Jochen</t>
  </si>
  <si>
    <t>Felsen</t>
  </si>
  <si>
    <t>AG-Hope2-</t>
  </si>
  <si>
    <t>%7B0011%7D</t>
  </si>
  <si>
    <t>Wawern</t>
  </si>
  <si>
    <t>andreas4444s+Dorf</t>
  </si>
  <si>
    <t>Zell</t>
  </si>
  <si>
    <t>Valyria</t>
  </si>
  <si>
    <t>Clementine</t>
  </si>
  <si>
    <t>TheFlens</t>
  </si>
  <si>
    <t>Aprikosenfarm</t>
  </si>
  <si>
    <t>Alcicornis</t>
  </si>
  <si>
    <t>Jisnak</t>
  </si>
  <si>
    <t>--002--</t>
  </si>
  <si>
    <t>Schnellwasser</t>
  </si>
  <si>
    <t>Amegakure</t>
  </si>
  <si>
    <t>Deutschland</t>
  </si>
  <si>
    <t>Zorbau+001</t>
  </si>
  <si>
    <t>Allear</t>
  </si>
  <si>
    <t>Spitzkopflarryyy</t>
  </si>
  <si>
    <t>Len2</t>
  </si>
  <si>
    <t>Jordi</t>
  </si>
  <si>
    <t>Turm</t>
  </si>
  <si>
    <t>-Leito-</t>
  </si>
  <si>
    <t>%23Destroyl</t>
  </si>
  <si>
    <t>Glane</t>
  </si>
  <si>
    <t>Melnibone</t>
  </si>
  <si>
    <t>Einsamkeit</t>
  </si>
  <si>
    <t>-V-</t>
  </si>
  <si>
    <t>Pr3stig3</t>
  </si>
  <si>
    <t>001+H</t>
  </si>
  <si>
    <t>Patrone90</t>
  </si>
  <si>
    <t>Deluxe3</t>
  </si>
  <si>
    <t>horscht79s+Dorf</t>
  </si>
  <si>
    <t>Lebkuchenhaus</t>
  </si>
  <si>
    <t>Schneckenhaus</t>
  </si>
  <si>
    <t>Zweigstelle</t>
  </si>
  <si>
    <t>Fishtown</t>
  </si>
  <si>
    <t>Halle</t>
  </si>
  <si>
    <t>Schijndel</t>
  </si>
  <si>
    <t>Gunther</t>
  </si>
  <si>
    <t>Joke-City</t>
  </si>
  <si>
    <t>Rangpur</t>
  </si>
  <si>
    <t>Roion</t>
  </si>
  <si>
    <t>Killesberg</t>
  </si>
  <si>
    <t>WeedyPuh</t>
  </si>
  <si>
    <t>62-Ansage</t>
  </si>
  <si>
    <t>Farmland</t>
  </si>
  <si>
    <t>minimi</t>
  </si>
  <si>
    <t>Ouagadougou</t>
  </si>
  <si>
    <t>Ganymed</t>
  </si>
  <si>
    <t>gitlab</t>
  </si>
  <si>
    <t>-Black_Cordula-</t>
  </si>
  <si>
    <t>Reblaus</t>
  </si>
  <si>
    <t>0%2C01%25...Loading</t>
  </si>
  <si>
    <t>furkanderg</t>
  </si>
  <si>
    <t>oriental</t>
  </si>
  <si>
    <t>altheim</t>
  </si>
  <si>
    <t>Bern</t>
  </si>
  <si>
    <t>Lmaa</t>
  </si>
  <si>
    <t>Arnstadt</t>
  </si>
  <si>
    <t>..1</t>
  </si>
  <si>
    <t>Bonker</t>
  </si>
  <si>
    <t>Braigans</t>
  </si>
  <si>
    <t>02_Bumerang</t>
  </si>
  <si>
    <t>DOOM</t>
  </si>
  <si>
    <t>Luchsbau</t>
  </si>
  <si>
    <t>Countdown</t>
  </si>
  <si>
    <t>Langenfeld</t>
  </si>
  <si>
    <t>Gareth</t>
  </si>
  <si>
    <t>Kapstadt</t>
  </si>
  <si>
    <t>Weideplatz</t>
  </si>
  <si>
    <t>Hornberg</t>
  </si>
  <si>
    <t>005Spasstbeiseite</t>
  </si>
  <si>
    <t>XxX1</t>
  </si>
  <si>
    <t>Dorfbewohner</t>
  </si>
  <si>
    <t>Hank</t>
  </si>
  <si>
    <t>Schokimonster</t>
  </si>
  <si>
    <t>Vodka</t>
  </si>
  <si>
    <t>hopfen65s+Dorf</t>
  </si>
  <si>
    <t>Herne</t>
  </si>
  <si>
    <t>Venator</t>
  </si>
  <si>
    <t>chakalaka</t>
  </si>
  <si>
    <t>Danfort1.1</t>
  </si>
  <si>
    <t>Schwartemoche</t>
  </si>
  <si>
    <t>Dorf001</t>
  </si>
  <si>
    <t>%23003%23</t>
  </si>
  <si>
    <t>Karl-Marx-Stadt</t>
  </si>
  <si>
    <t>Leiko</t>
  </si>
  <si>
    <t>Klafexhausen</t>
  </si>
  <si>
    <t>BeliveInDeviousness</t>
  </si>
  <si>
    <t>Das+Dorf</t>
  </si>
  <si>
    <t>Kaff_2</t>
  </si>
  <si>
    <t>YMCMB</t>
  </si>
  <si>
    <t>Krakenfeste</t>
  </si>
  <si>
    <t>Anor</t>
  </si>
  <si>
    <t>grun</t>
  </si>
  <si>
    <t>HW4-Festung</t>
  </si>
  <si>
    <t>Farm</t>
  </si>
  <si>
    <t>D002</t>
  </si>
  <si>
    <t>Dinesh</t>
  </si>
  <si>
    <t>Queen</t>
  </si>
  <si>
    <t>Castrop</t>
  </si>
  <si>
    <t>No.2</t>
  </si>
  <si>
    <t>Minion</t>
  </si>
  <si>
    <t>xlRiieqeL</t>
  </si>
  <si>
    <t>Sunagakure</t>
  </si>
  <si>
    <t>01-Wels</t>
  </si>
  <si>
    <t>gren</t>
  </si>
  <si>
    <t>DamnJam%232</t>
  </si>
  <si>
    <t>NIEsolo</t>
  </si>
  <si>
    <t>HDO</t>
  </si>
  <si>
    <t>oo5</t>
  </si>
  <si>
    <t>Meppen</t>
  </si>
  <si>
    <t>Schwarzach</t>
  </si>
  <si>
    <t>XT660X</t>
  </si>
  <si>
    <t>Bregensteh</t>
  </si>
  <si>
    <t>Gottlieb-Daimler-Stadion</t>
  </si>
  <si>
    <t>55%3A62%3A12</t>
  </si>
  <si>
    <t>Zarret</t>
  </si>
  <si>
    <t>LottisVillage2</t>
  </si>
  <si>
    <t>aaa</t>
  </si>
  <si>
    <t>Queen+Quendolines+Dorf</t>
  </si>
  <si>
    <t>Zwinger</t>
  </si>
  <si>
    <t>USBkistan</t>
  </si>
  <si>
    <t>-001-Waldhof-</t>
  </si>
  <si>
    <t>ick</t>
  </si>
  <si>
    <t>Klasis</t>
  </si>
  <si>
    <t>DamnJam</t>
  </si>
  <si>
    <t>Skyskyr</t>
  </si>
  <si>
    <t>oo6</t>
  </si>
  <si>
    <t>Stirbus</t>
  </si>
  <si>
    <t>Angel002</t>
  </si>
  <si>
    <t>Josnik</t>
  </si>
  <si>
    <t>-Silentium-</t>
  </si>
  <si>
    <t>WTRD</t>
  </si>
  <si>
    <t>Elaison</t>
  </si>
  <si>
    <t>03-Afyon</t>
  </si>
  <si>
    <t>Eva</t>
  </si>
  <si>
    <t>Siggi</t>
  </si>
  <si>
    <t>village</t>
  </si>
  <si>
    <t>Ohnegrundgebannt</t>
  </si>
  <si>
    <t>ISS</t>
  </si>
  <si>
    <t>Tara</t>
  </si>
  <si>
    <t>Lima</t>
  </si>
  <si>
    <t>Lager</t>
  </si>
  <si>
    <t>Omashu</t>
  </si>
  <si>
    <t>NIEmalsLOST</t>
  </si>
  <si>
    <t>Chuuu</t>
  </si>
  <si>
    <t>grin</t>
  </si>
  <si>
    <t>Crossroads</t>
  </si>
  <si>
    <t>54%3A33%3A37</t>
  </si>
  <si>
    <t>Praterdome</t>
  </si>
  <si>
    <t>F-003</t>
  </si>
  <si>
    <t>dhvfil</t>
  </si>
  <si>
    <t>BBB</t>
  </si>
  <si>
    <t>Dortmund</t>
  </si>
  <si>
    <t>s04</t>
  </si>
  <si>
    <t>MusaBaba</t>
  </si>
  <si>
    <t>Grasmeer</t>
  </si>
  <si>
    <t>Anstallt</t>
  </si>
  <si>
    <t>Ponyfarm</t>
  </si>
  <si>
    <t>-Black_Mamba-</t>
  </si>
  <si>
    <t>D001</t>
  </si>
  <si>
    <t>Flicker</t>
  </si>
  <si>
    <t>blabla</t>
  </si>
  <si>
    <t>54%3A44%3A14</t>
  </si>
  <si>
    <t>54%3A56%3A98</t>
  </si>
  <si>
    <t>KartoffelSack</t>
  </si>
  <si>
    <t>PumpenderPatrik</t>
  </si>
  <si>
    <t>HA-002</t>
  </si>
  <si>
    <t>Fex18.01.</t>
  </si>
  <si>
    <t>55%3A39%3A76</t>
  </si>
  <si>
    <t>LNZ</t>
  </si>
  <si>
    <t>Fuchsbau</t>
  </si>
  <si>
    <t>Anna</t>
  </si>
  <si>
    <t>Geckos</t>
  </si>
  <si>
    <t>redneck96</t>
  </si>
  <si>
    <t>Frauenkirche</t>
  </si>
  <si>
    <t>Pabloseiers</t>
  </si>
  <si>
    <t>Seoul</t>
  </si>
  <si>
    <t>Sansibarbar</t>
  </si>
  <si>
    <t>Knirzsistan</t>
  </si>
  <si>
    <t>chicharito</t>
  </si>
  <si>
    <t>Warface</t>
  </si>
  <si>
    <t>slaawik</t>
  </si>
  <si>
    <t>Lentia</t>
  </si>
  <si>
    <t>Kanada</t>
  </si>
  <si>
    <t>Mallorca</t>
  </si>
  <si>
    <t>GuMo</t>
  </si>
  <si>
    <t>W+178</t>
  </si>
  <si>
    <t>65%3A01%3A74</t>
  </si>
  <si>
    <t>Bitcoin</t>
  </si>
  <si>
    <t>Esselberg</t>
  </si>
  <si>
    <t>Roma</t>
  </si>
  <si>
    <t>Yogi</t>
  </si>
  <si>
    <t>HvB_002</t>
  </si>
  <si>
    <t>54%3A71%3A18</t>
  </si>
  <si>
    <t>Sternocleidomastoideus</t>
  </si>
  <si>
    <t>Birstein</t>
  </si>
  <si>
    <t>Django</t>
  </si>
  <si>
    <t>Tomorrowland</t>
  </si>
  <si>
    <t>Obelix</t>
  </si>
  <si>
    <t>only+Vs+Dorf</t>
  </si>
  <si>
    <t>bbb</t>
  </si>
  <si>
    <t>Winestein</t>
  </si>
  <si>
    <t>XXXThree</t>
  </si>
  <si>
    <t>CANDYSHOP</t>
  </si>
  <si>
    <t>Midgard</t>
  </si>
  <si>
    <t>Doerner98</t>
  </si>
  <si>
    <t>Harrenhagel</t>
  </si>
  <si>
    <t>Ericsson</t>
  </si>
  <si>
    <t>Gudanggarams</t>
  </si>
  <si>
    <t>Hansi</t>
  </si>
  <si>
    <t>ChocolateLove</t>
  </si>
  <si>
    <t>Silver</t>
  </si>
  <si>
    <t>Intelektueller</t>
  </si>
  <si>
    <t>Sturmwind</t>
  </si>
  <si>
    <t>Brucklyn</t>
  </si>
  <si>
    <t>Ddorf</t>
  </si>
  <si>
    <t>Woof</t>
  </si>
  <si>
    <t>Baggern</t>
  </si>
  <si>
    <t>Macadamia</t>
  </si>
  <si>
    <t>Test01</t>
  </si>
  <si>
    <t>001-Einzelspieler</t>
  </si>
  <si>
    <t>dragon2s+Dorf</t>
  </si>
  <si>
    <t>Narzisse</t>
  </si>
  <si>
    <t>AG%2307</t>
  </si>
  <si>
    <t>FCKNZS</t>
  </si>
  <si>
    <t>HZ001</t>
  </si>
  <si>
    <t>1st</t>
  </si>
  <si>
    <t>Citra</t>
  </si>
  <si>
    <t>London</t>
  </si>
  <si>
    <t>Nordwestafrika</t>
  </si>
  <si>
    <t>O001</t>
  </si>
  <si>
    <t>Coldbrew1</t>
  </si>
  <si>
    <t>KonohaGakure</t>
  </si>
  <si>
    <t>Spaghetti</t>
  </si>
  <si>
    <t>MyLilBaby</t>
  </si>
  <si>
    <t>Bronze</t>
  </si>
  <si>
    <t>HA-003</t>
  </si>
  <si>
    <t>Kiano</t>
  </si>
  <si>
    <t>Friedenau</t>
  </si>
  <si>
    <t>Tiegeln</t>
  </si>
  <si>
    <t>wagna11s+Dorf</t>
  </si>
  <si>
    <t>Fex18</t>
  </si>
  <si>
    <t>Lambichl</t>
  </si>
  <si>
    <t>SHEESH</t>
  </si>
  <si>
    <t>Anvil</t>
  </si>
  <si>
    <t>Ostrau</t>
  </si>
  <si>
    <t>Carthago</t>
  </si>
  <si>
    <t>Bayfort</t>
  </si>
  <si>
    <t>Prag</t>
  </si>
  <si>
    <t>ChamberOfSins003</t>
  </si>
  <si>
    <t>Zahra</t>
  </si>
  <si>
    <t>Mittelscheytel</t>
  </si>
  <si>
    <t>Timebot</t>
  </si>
  <si>
    <t>Adlerhorst</t>
  </si>
  <si>
    <t>Syxgott</t>
  </si>
  <si>
    <t>Mugiwara</t>
  </si>
  <si>
    <t>Brennerei</t>
  </si>
  <si>
    <t>Nr.1</t>
  </si>
  <si>
    <t>Eisenschmiede</t>
  </si>
  <si>
    <t>Pufff</t>
  </si>
  <si>
    <t>Camelot</t>
  </si>
  <si>
    <t>Overkill</t>
  </si>
  <si>
    <t>plp</t>
  </si>
  <si>
    <t>Wolkenkuckucksheim</t>
  </si>
  <si>
    <t>Volantis</t>
  </si>
  <si>
    <t>Bolzplagz</t>
  </si>
  <si>
    <t>2.Spessart</t>
  </si>
  <si>
    <t>Frevance</t>
  </si>
  <si>
    <t>PT002</t>
  </si>
  <si>
    <t>Megalodon</t>
  </si>
  <si>
    <t>Herdstein</t>
  </si>
  <si>
    <t>XxX</t>
  </si>
  <si>
    <t>blablabla</t>
  </si>
  <si>
    <t>Servus</t>
  </si>
  <si>
    <t>55%3A39%3A86</t>
  </si>
  <si>
    <t>Friesland</t>
  </si>
  <si>
    <t>Dorfhausen</t>
  </si>
  <si>
    <t>zeuserbe</t>
  </si>
  <si>
    <t>Meinz</t>
  </si>
  <si>
    <t>aycekirdek</t>
  </si>
  <si>
    <t>Jump</t>
  </si>
  <si>
    <t>chris.kyle</t>
  </si>
  <si>
    <t>Salm</t>
  </si>
  <si>
    <t>Splinter</t>
  </si>
  <si>
    <t>Neverlucky</t>
  </si>
  <si>
    <t>0%2C03%25...Loading</t>
  </si>
  <si>
    <t>Metzlingen</t>
  </si>
  <si>
    <t>Amsterdam</t>
  </si>
  <si>
    <t>M-003-</t>
  </si>
  <si>
    <t>Skipper59</t>
  </si>
  <si>
    <t>55%3A10%3A34</t>
  </si>
  <si>
    <t>-----</t>
  </si>
  <si>
    <t>BlackForest</t>
  </si>
  <si>
    <t>62-Berserker</t>
  </si>
  <si>
    <t>Gossi</t>
  </si>
  <si>
    <t>Swynburn</t>
  </si>
  <si>
    <t>BIRNE</t>
  </si>
  <si>
    <t>GrayWolf</t>
  </si>
  <si>
    <t>Abfalllager</t>
  </si>
  <si>
    <t>okay</t>
  </si>
  <si>
    <t>JacksVillage</t>
  </si>
  <si>
    <t>-Black_Spider-</t>
  </si>
  <si>
    <t>orgrimmar</t>
  </si>
  <si>
    <t>Aare</t>
  </si>
  <si>
    <t>Raftel</t>
  </si>
  <si>
    <t>Westeros</t>
  </si>
  <si>
    <t>HvB_001</t>
  </si>
  <si>
    <t>01_YottwaldAG</t>
  </si>
  <si>
    <t>Dressrosa</t>
  </si>
  <si>
    <t>Golf</t>
  </si>
  <si>
    <t>Keksmonster</t>
  </si>
  <si>
    <t>Island000</t>
  </si>
  <si>
    <t>Maze</t>
  </si>
  <si>
    <t>Chino</t>
  </si>
  <si>
    <t>Sabo01</t>
  </si>
  <si>
    <t>Crowns</t>
  </si>
  <si>
    <t>178-1</t>
  </si>
  <si>
    <t>excision</t>
  </si>
  <si>
    <t>Anfield</t>
  </si>
  <si>
    <t>bITBURGER</t>
  </si>
  <si>
    <t>deff2</t>
  </si>
  <si>
    <t>004-Foruminaktiv</t>
  </si>
  <si>
    <t>Sorgenkind</t>
  </si>
  <si>
    <t>Dorfname</t>
  </si>
  <si>
    <t>-d5-</t>
  </si>
  <si>
    <t>Kuschler</t>
  </si>
  <si>
    <t>BB-Dorf</t>
  </si>
  <si>
    <t>Nougat</t>
  </si>
  <si>
    <t>Adorf</t>
  </si>
  <si>
    <t>Wagenburg</t>
  </si>
  <si>
    <t>Pew</t>
  </si>
  <si>
    <t>01_Bangarang</t>
  </si>
  <si>
    <t>Frommisbumsbude</t>
  </si>
  <si>
    <t>Karlsruhe02</t>
  </si>
  <si>
    <t>16-Bursa</t>
  </si>
  <si>
    <t>993-7</t>
  </si>
  <si>
    <t>Vindobona</t>
  </si>
  <si>
    <t>Angadoor</t>
  </si>
  <si>
    <t>Sabo02</t>
  </si>
  <si>
    <t>Hagen</t>
  </si>
  <si>
    <t>Kingconi60</t>
  </si>
  <si>
    <t>SKV</t>
  </si>
  <si>
    <t>Kebabistan</t>
  </si>
  <si>
    <t>jeennsanien</t>
  </si>
  <si>
    <t>Plumpschrecke</t>
  </si>
  <si>
    <t>Idiotenhausen</t>
  </si>
  <si>
    <t>Ikonheim</t>
  </si>
  <si>
    <t>%23003HEY</t>
  </si>
  <si>
    <t>Tokio</t>
  </si>
  <si>
    <t>Mollebas</t>
  </si>
  <si>
    <t>Dickerchen</t>
  </si>
  <si>
    <t>Werwolf</t>
  </si>
  <si>
    <t>juwenkusen</t>
  </si>
  <si>
    <t>001NK</t>
  </si>
  <si>
    <t>Ghost+Town</t>
  </si>
  <si>
    <t>Knidda1</t>
  </si>
  <si>
    <t>Havena</t>
  </si>
  <si>
    <t>_x-x-x_</t>
  </si>
  <si>
    <t>Nebendorf</t>
  </si>
  <si>
    <t>Bananenplantage</t>
  </si>
  <si>
    <t>Genderbender2</t>
  </si>
  <si>
    <t>002-Erebor</t>
  </si>
  <si>
    <t>Zwiesel</t>
  </si>
  <si>
    <t>Madvillage</t>
  </si>
  <si>
    <t>B-Ribra</t>
  </si>
  <si>
    <t>One</t>
  </si>
  <si>
    <t>A-100</t>
  </si>
  <si>
    <t>bibi101</t>
  </si>
  <si>
    <t>Bingo</t>
  </si>
  <si>
    <t>Chesterfield</t>
  </si>
  <si>
    <t>--005--</t>
  </si>
  <si>
    <t>Chinatown</t>
  </si>
  <si>
    <t>Elgershausen</t>
  </si>
  <si>
    <t>Brain</t>
  </si>
  <si>
    <t>Kaupang</t>
  </si>
  <si>
    <t>Brackwede</t>
  </si>
  <si>
    <t>AG_Acer</t>
  </si>
  <si>
    <t>Athenas</t>
  </si>
  <si>
    <t>Wolfstown</t>
  </si>
  <si>
    <t>RedwoodOriginal-01-</t>
  </si>
  <si>
    <t>%23tru</t>
  </si>
  <si>
    <t>Schnitzel</t>
  </si>
  <si>
    <t>1000-7</t>
  </si>
  <si>
    <t>TheCity</t>
  </si>
  <si>
    <t>Jop</t>
  </si>
  <si>
    <t>KK-001</t>
  </si>
  <si>
    <t>Walhall</t>
  </si>
  <si>
    <t>Birmingham</t>
  </si>
  <si>
    <t>Agst</t>
  </si>
  <si>
    <t>Agentinien</t>
  </si>
  <si>
    <t>Pinky</t>
  </si>
  <si>
    <t>Bier</t>
  </si>
  <si>
    <t>Agenistan</t>
  </si>
  <si>
    <t>Kaiserschmarrn</t>
  </si>
  <si>
    <t>Waffenlager</t>
  </si>
  <si>
    <t>Julia</t>
  </si>
  <si>
    <t>Wilkommen</t>
  </si>
  <si>
    <t>Teichmanagement</t>
  </si>
  <si>
    <t>Augsburg</t>
  </si>
  <si>
    <t>Dorf%2301</t>
  </si>
  <si>
    <t>NASENSTEIN</t>
  </si>
  <si>
    <t>ffcbr3</t>
  </si>
  <si>
    <t>%7B0010%7D</t>
  </si>
  <si>
    <t>Darkon001</t>
  </si>
  <si>
    <t>Hoof</t>
  </si>
  <si>
    <t>deff1</t>
  </si>
  <si>
    <t>1.Nf3</t>
  </si>
  <si>
    <t>Wolfenstein</t>
  </si>
  <si>
    <t>Aggamemnon</t>
  </si>
  <si>
    <t>Holzhaufen</t>
  </si>
  <si>
    <t>Severnaya</t>
  </si>
  <si>
    <t>Erlaubt</t>
  </si>
  <si>
    <t>Novigrad</t>
  </si>
  <si>
    <t>AA01</t>
  </si>
  <si>
    <t>DorfNE</t>
  </si>
  <si>
    <t>Wien</t>
  </si>
  <si>
    <t>CCC</t>
  </si>
  <si>
    <t>Aqua</t>
  </si>
  <si>
    <t>-_-</t>
  </si>
  <si>
    <t>%7B0009%7D</t>
  </si>
  <si>
    <t>Socialdistanceville</t>
  </si>
  <si>
    <t>2%2C718281828459045235360287471353</t>
  </si>
  <si>
    <t>SmellsLikeTeenSpirit</t>
  </si>
  <si>
    <t>Suits</t>
  </si>
  <si>
    <t>%23AK-47</t>
  </si>
  <si>
    <t>Moloko</t>
  </si>
  <si>
    <t>2nd</t>
  </si>
  <si>
    <t>Granger</t>
  </si>
  <si>
    <t>Hertha</t>
  </si>
  <si>
    <t>Oreo</t>
  </si>
  <si>
    <t>ruit</t>
  </si>
  <si>
    <t>%23mathis996</t>
  </si>
  <si>
    <t>004_Skipper</t>
  </si>
  <si>
    <t>%23wartezimmer-drai</t>
  </si>
  <si>
    <t>Flexonia</t>
  </si>
  <si>
    <t>Rammendorf</t>
  </si>
  <si>
    <t>G-Data</t>
  </si>
  <si>
    <t>003_Rico</t>
  </si>
  <si>
    <t>AA02</t>
  </si>
  <si>
    <t>001_Private</t>
  </si>
  <si>
    <t>Truppenschmide</t>
  </si>
  <si>
    <t>Jahnstadion</t>
  </si>
  <si>
    <t>Minden</t>
  </si>
  <si>
    <t>Pinte</t>
  </si>
  <si>
    <t>Spandau</t>
  </si>
  <si>
    <t>Waldrodung</t>
  </si>
  <si>
    <t>derhaendler</t>
  </si>
  <si>
    <t>RomeroLand</t>
  </si>
  <si>
    <t>llllllllllllllll1</t>
  </si>
  <si>
    <t>Diffamierungskampagne</t>
  </si>
  <si>
    <t>DoeF</t>
  </si>
  <si>
    <t>schleimig</t>
  </si>
  <si>
    <t>Heineken</t>
  </si>
  <si>
    <t>betuesss</t>
  </si>
  <si>
    <t>003_Minusman</t>
  </si>
  <si>
    <t>Tiefpunkt</t>
  </si>
  <si>
    <t>TMTown</t>
  </si>
  <si>
    <t>Morpheus</t>
  </si>
  <si>
    <t>luftwaffe</t>
  </si>
  <si>
    <t>Haifischbecken</t>
  </si>
  <si>
    <t>Venniedorf</t>
  </si>
  <si>
    <t>Heizungsraum</t>
  </si>
  <si>
    <t>Marcusleens+Dorf</t>
  </si>
  <si>
    <t>Gaucho</t>
  </si>
  <si>
    <t>Oberthal</t>
  </si>
  <si>
    <t>__________________</t>
  </si>
  <si>
    <t>Heiligenhafen</t>
  </si>
  <si>
    <t>%23Dicht</t>
  </si>
  <si>
    <t>.%3A002%3A.</t>
  </si>
  <si>
    <t>Hillmicke</t>
  </si>
  <si>
    <t>AMK1</t>
  </si>
  <si>
    <t>ZombieLove</t>
  </si>
  <si>
    <t>%23JPM</t>
  </si>
  <si>
    <t>ecki</t>
  </si>
  <si>
    <t>Schlierbach</t>
  </si>
  <si>
    <t>003-Ghostface</t>
  </si>
  <si>
    <t>s02</t>
  </si>
  <si>
    <t>Hora</t>
  </si>
  <si>
    <t>xXWaSGeHtXx</t>
  </si>
  <si>
    <t>A001</t>
  </si>
  <si>
    <t>%23lumpe95</t>
  </si>
  <si>
    <t>Kairo</t>
  </si>
  <si>
    <t>M-001-</t>
  </si>
  <si>
    <t>%3D001%3D</t>
  </si>
  <si>
    <t>Rengeldengel</t>
  </si>
  <si>
    <t>Zaubereiministerium</t>
  </si>
  <si>
    <t>Knusperkeks</t>
  </si>
  <si>
    <t>_003_</t>
  </si>
  <si>
    <t>Schattenfels</t>
  </si>
  <si>
    <t>Kaoz002</t>
  </si>
  <si>
    <t>Alderaan</t>
  </si>
  <si>
    <t>Mkolls+Dorf</t>
  </si>
  <si>
    <t>M-002-</t>
  </si>
  <si>
    <t>Barbarendorf002</t>
  </si>
  <si>
    <t>Wanheimerort</t>
  </si>
  <si>
    <t>Gandalf</t>
  </si>
  <si>
    <t>178-001</t>
  </si>
  <si>
    <t>Frithreich</t>
  </si>
  <si>
    <t>Stadt03</t>
  </si>
  <si>
    <t>A002</t>
  </si>
  <si>
    <t>bibi103</t>
  </si>
  <si>
    <t>KK-002</t>
  </si>
  <si>
    <t>Textdokument</t>
  </si>
  <si>
    <t>Meeko</t>
  </si>
  <si>
    <t>s01</t>
  </si>
  <si>
    <t>Hookton</t>
  </si>
  <si>
    <t>Gondol</t>
  </si>
  <si>
    <t>CLEMENTINE</t>
  </si>
  <si>
    <t>Altheim</t>
  </si>
  <si>
    <t>ggEZ</t>
  </si>
  <si>
    <t>Mopshausen</t>
  </si>
  <si>
    <t>Darkon002</t>
  </si>
  <si>
    <t>StuSta</t>
  </si>
  <si>
    <t>Stonewallcity</t>
  </si>
  <si>
    <t>WakeMeUp</t>
  </si>
  <si>
    <t>RR01</t>
  </si>
  <si>
    <t>Gronig</t>
  </si>
  <si>
    <t>Grubenleger</t>
  </si>
  <si>
    <t>bibi100</t>
  </si>
  <si>
    <t>Stitches</t>
  </si>
  <si>
    <t>54%3A71%3A26</t>
  </si>
  <si>
    <t>Viper1999</t>
  </si>
  <si>
    <t>Baiser</t>
  </si>
  <si>
    <t>Fiji</t>
  </si>
  <si>
    <t>002-Gondor</t>
  </si>
  <si>
    <t>Sternmarke</t>
  </si>
  <si>
    <t>s05</t>
  </si>
  <si>
    <t>55%3A52%3A72</t>
  </si>
  <si>
    <t>130er</t>
  </si>
  <si>
    <t>Sinaloa</t>
  </si>
  <si>
    <t>Paulaner</t>
  </si>
  <si>
    <t>Zorc</t>
  </si>
  <si>
    <t>Auslese</t>
  </si>
  <si>
    <t>LosSantos</t>
  </si>
  <si>
    <t>Chicago</t>
  </si>
  <si>
    <t>Abfahrt</t>
  </si>
  <si>
    <t>PixelLove</t>
  </si>
  <si>
    <t>Da2</t>
  </si>
  <si>
    <t>Nostria</t>
  </si>
  <si>
    <t>-002-Neckarau-</t>
  </si>
  <si>
    <t>Golling</t>
  </si>
  <si>
    <t>3%23Puderrosaranch</t>
  </si>
  <si>
    <t>Groot</t>
  </si>
  <si>
    <t>siegburg</t>
  </si>
  <si>
    <t>Amor</t>
  </si>
  <si>
    <t>Wolfsbau02</t>
  </si>
  <si>
    <t>Turmschild</t>
  </si>
  <si>
    <t>Dominos</t>
  </si>
  <si>
    <t>Kebap</t>
  </si>
  <si>
    <t>Almalexia</t>
  </si>
  <si>
    <t>ritter27s+Dorf</t>
  </si>
  <si>
    <t>Hypnotize</t>
  </si>
  <si>
    <t>Dange</t>
  </si>
  <si>
    <t>Corvara</t>
  </si>
  <si>
    <t>%24%24%24</t>
  </si>
  <si>
    <t>kemnat</t>
  </si>
  <si>
    <t>Braavveente</t>
  </si>
  <si>
    <t>Barbarendorf003</t>
  </si>
  <si>
    <t>XxX6</t>
  </si>
  <si>
    <t>XxX7</t>
  </si>
  <si>
    <t>Fulldeff</t>
  </si>
  <si>
    <t>Da1</t>
  </si>
  <si>
    <t>Reutlingen</t>
  </si>
  <si>
    <t>Buer</t>
  </si>
  <si>
    <t>asd</t>
  </si>
  <si>
    <t>BlackZz</t>
  </si>
  <si>
    <t>RobotLove</t>
  </si>
  <si>
    <t>Bruchtal</t>
  </si>
  <si>
    <t>Dachstock</t>
  </si>
  <si>
    <t>Nudeltruppe</t>
  </si>
  <si>
    <t>Selbach</t>
  </si>
  <si>
    <t>001-Bruchtal</t>
  </si>
  <si>
    <t>LoLLoL111</t>
  </si>
  <si>
    <t>Razeland</t>
  </si>
  <si>
    <t>MeinDorf</t>
  </si>
  <si>
    <t>Wales</t>
  </si>
  <si>
    <t>Town</t>
  </si>
  <si>
    <t>Viserion</t>
  </si>
  <si>
    <t>Casualplayer93</t>
  </si>
  <si>
    <t>Trap</t>
  </si>
  <si>
    <t>Babler178</t>
  </si>
  <si>
    <t>JE2</t>
  </si>
  <si>
    <t>Klatsche</t>
  </si>
  <si>
    <t>Fallbala</t>
  </si>
  <si>
    <t>Dschambalaja</t>
  </si>
  <si>
    <t>FLEXYY</t>
  </si>
  <si>
    <t>wonderwall</t>
  </si>
  <si>
    <t>Pipinsburg-Langen</t>
  </si>
  <si>
    <t>UVier</t>
  </si>
  <si>
    <t>KingRain</t>
  </si>
  <si>
    <t>Paladorf</t>
  </si>
  <si>
    <t>XXXOne</t>
  </si>
  <si>
    <t>Rufu</t>
  </si>
  <si>
    <t>ffcbr</t>
  </si>
  <si>
    <t>Xzabe901s</t>
  </si>
  <si>
    <t>Snakebite</t>
  </si>
  <si>
    <t>Kreta</t>
  </si>
  <si>
    <t>bannockburn</t>
  </si>
  <si>
    <t>Morty</t>
  </si>
  <si>
    <t>DUNHILL</t>
  </si>
  <si>
    <t>Noxus</t>
  </si>
  <si>
    <t>Lauterburg</t>
  </si>
  <si>
    <t>%23Kanzlei</t>
  </si>
  <si>
    <t>Reuter</t>
  </si>
  <si>
    <t>Pocahontas</t>
  </si>
  <si>
    <t>Zomb1e</t>
  </si>
  <si>
    <t>Gurkerlglas</t>
  </si>
  <si>
    <t>Brandrodung</t>
  </si>
  <si>
    <t>Neu-Scheoth</t>
  </si>
  <si>
    <t>Odin</t>
  </si>
  <si>
    <t>Bliss</t>
  </si>
  <si>
    <t>DATTEL</t>
  </si>
  <si>
    <t>Patrick</t>
  </si>
  <si>
    <t>Olympia</t>
  </si>
  <si>
    <t>Hauptbahnhof</t>
  </si>
  <si>
    <t>M-004-</t>
  </si>
  <si>
    <t>Heimat</t>
  </si>
  <si>
    <t>Keltenheim</t>
  </si>
  <si>
    <t>cake</t>
  </si>
  <si>
    <t>adidas</t>
  </si>
  <si>
    <t>kruja</t>
  </si>
  <si>
    <t>Nordhaim</t>
  </si>
  <si>
    <t>Uruz</t>
  </si>
  <si>
    <t>Kos</t>
  </si>
  <si>
    <t>Puma</t>
  </si>
  <si>
    <t>schaneider</t>
  </si>
  <si>
    <t>Wookah</t>
  </si>
  <si>
    <t>wubbel</t>
  </si>
  <si>
    <t>Lahore</t>
  </si>
  <si>
    <t>Bierabteilungs</t>
  </si>
  <si>
    <t>Weidenfeller</t>
  </si>
  <si>
    <t>Sevilla</t>
  </si>
  <si>
    <t>EIC</t>
  </si>
  <si>
    <t>Thurisaz</t>
  </si>
  <si>
    <t>Kneipe</t>
  </si>
  <si>
    <t>Z3R01</t>
  </si>
  <si>
    <t>sgd</t>
  </si>
  <si>
    <t>Erlenholz</t>
  </si>
  <si>
    <t>Ellesmera</t>
  </si>
  <si>
    <t>Montag</t>
  </si>
  <si>
    <t>Floooooo</t>
  </si>
  <si>
    <t>Eulendorf</t>
  </si>
  <si>
    <t>danischmDorf</t>
  </si>
  <si>
    <t>Zion</t>
  </si>
  <si>
    <t>Hannoi</t>
  </si>
  <si>
    <t>Waco1</t>
  </si>
  <si>
    <t>Zigeunertown</t>
  </si>
  <si>
    <t>Reserviert</t>
  </si>
  <si>
    <t>LittleBigCityLife</t>
  </si>
  <si>
    <t>Kirigakure</t>
  </si>
  <si>
    <t>Dana</t>
  </si>
  <si>
    <t>Stadt02</t>
  </si>
  <si>
    <t>Beleriand</t>
  </si>
  <si>
    <t>002AG</t>
  </si>
  <si>
    <t>mimix</t>
  </si>
  <si>
    <t>Vanaheim</t>
  </si>
  <si>
    <t>87373hjfkr7363</t>
  </si>
  <si>
    <t>Indianapolis</t>
  </si>
  <si>
    <t>Neu-Novosibirsk</t>
  </si>
  <si>
    <t>Obermarchtal</t>
  </si>
  <si>
    <t>ThunderPo</t>
  </si>
  <si>
    <t>Frittenbude</t>
  </si>
  <si>
    <t>%24METH%24</t>
  </si>
  <si>
    <t>Cojofell</t>
  </si>
  <si>
    <t>Solidanosz</t>
  </si>
  <si>
    <t>54%3A56%3A08</t>
  </si>
  <si>
    <t>%23Angels_Forever81</t>
  </si>
  <si>
    <t>Konoha</t>
  </si>
  <si>
    <t>Durmstrang</t>
  </si>
  <si>
    <t>Gilead</t>
  </si>
  <si>
    <t>Gauloises</t>
  </si>
  <si>
    <t>gran</t>
  </si>
  <si>
    <t>56-02</t>
  </si>
  <si>
    <t>troisdorf</t>
  </si>
  <si>
    <t>Fehu</t>
  </si>
  <si>
    <t>Lieblingsbaba</t>
  </si>
  <si>
    <t>Nartkala</t>
  </si>
  <si>
    <t>Nana</t>
  </si>
  <si>
    <t>abd</t>
  </si>
  <si>
    <t>.H2</t>
  </si>
  <si>
    <t>Elastross</t>
  </si>
  <si>
    <t>konfuzius16s</t>
  </si>
  <si>
    <t>LABBY</t>
  </si>
  <si>
    <t>Mr.Greeen+Dorf</t>
  </si>
  <si>
    <t>Myiako</t>
  </si>
  <si>
    <t>Dorf02</t>
  </si>
  <si>
    <t>Nyktophobie</t>
  </si>
  <si>
    <t>Muckeburg</t>
  </si>
  <si>
    <t>Toxic</t>
  </si>
  <si>
    <t>Barbarendorf004</t>
  </si>
  <si>
    <t>Furunkel</t>
  </si>
  <si>
    <t>Arena</t>
  </si>
  <si>
    <t>Taverne</t>
  </si>
  <si>
    <t>Leer</t>
  </si>
  <si>
    <t>002_Kowalski</t>
  </si>
  <si>
    <t>Auckland</t>
  </si>
  <si>
    <t>Hochberg</t>
  </si>
  <si>
    <t>NumeroUno</t>
  </si>
  <si>
    <t>005_Marty</t>
  </si>
  <si>
    <t>xnxx</t>
  </si>
  <si>
    <t>Selandra01</t>
  </si>
  <si>
    <t>-Verwaltung-</t>
  </si>
  <si>
    <t>Vierpunkt-Sichelschrecke</t>
  </si>
  <si>
    <t>Achim</t>
  </si>
  <si>
    <t>Xyvio2</t>
  </si>
  <si>
    <t>Botanik</t>
  </si>
  <si>
    <t>Shadowlands</t>
  </si>
  <si>
    <t>Dorf01</t>
  </si>
  <si>
    <t>Gallien</t>
  </si>
  <si>
    <t>icebreaker88s</t>
  </si>
  <si>
    <t>UniteD</t>
  </si>
  <si>
    <t>46OGTown</t>
  </si>
  <si>
    <t>Mopslingen</t>
  </si>
  <si>
    <t>1.Wabadombo</t>
  </si>
  <si>
    <t>Peanutfarm</t>
  </si>
  <si>
    <t>voitijaners</t>
  </si>
  <si>
    <t>Fotzingen</t>
  </si>
  <si>
    <t>Freudian</t>
  </si>
  <si>
    <t>Dudelhof</t>
  </si>
  <si>
    <t>Old+Trafford</t>
  </si>
  <si>
    <t>Barddlmui</t>
  </si>
  <si>
    <t>TRitter</t>
  </si>
  <si>
    <t>Charlestone</t>
  </si>
  <si>
    <t>Sissa</t>
  </si>
  <si>
    <t>Heimathafen</t>
  </si>
  <si>
    <t>Finkenwerder</t>
  </si>
  <si>
    <t>AlterMann</t>
  </si>
  <si>
    <t>Bono</t>
  </si>
  <si>
    <t>eragon</t>
  </si>
  <si>
    <t>GUMO</t>
  </si>
  <si>
    <t>Bilabong</t>
  </si>
  <si>
    <t>Wueppers1</t>
  </si>
  <si>
    <t>Smaragd</t>
  </si>
  <si>
    <t>Spion</t>
  </si>
  <si>
    <t>Ellmau</t>
  </si>
  <si>
    <t>Mykene</t>
  </si>
  <si>
    <t>Bilbao</t>
  </si>
  <si>
    <t>Nicola</t>
  </si>
  <si>
    <t>Tronjheim</t>
  </si>
  <si>
    <t>Berg</t>
  </si>
  <si>
    <t>Demacia</t>
  </si>
  <si>
    <t>Start</t>
  </si>
  <si>
    <t>JimsVillage</t>
  </si>
  <si>
    <t>KegelDorf</t>
  </si>
  <si>
    <t>Zauberturm</t>
  </si>
  <si>
    <t>Ortenburg</t>
  </si>
  <si>
    <t>GeilDicht</t>
  </si>
  <si>
    <t>Stammbaum</t>
  </si>
  <si>
    <t>001_Shiggy</t>
  </si>
  <si>
    <t>Brill</t>
  </si>
  <si>
    <t>Heldenschmiede</t>
  </si>
  <si>
    <t>Elberfeld</t>
  </si>
  <si>
    <t>Ostgiliath</t>
  </si>
  <si>
    <t>Hi.</t>
  </si>
  <si>
    <t>Seelenschlund</t>
  </si>
  <si>
    <t>Sudhaus</t>
  </si>
  <si>
    <t>Tal</t>
  </si>
  <si>
    <t>murxlboellern</t>
  </si>
  <si>
    <t>dUmbfakiStAn</t>
  </si>
  <si>
    <t>Hiltop</t>
  </si>
  <si>
    <t>Honigtot</t>
  </si>
  <si>
    <t>Nike</t>
  </si>
  <si>
    <t>aaa000</t>
  </si>
  <si>
    <t>aaa001</t>
  </si>
  <si>
    <t>2%23Puderrosaranch</t>
  </si>
  <si>
    <t>LV001</t>
  </si>
  <si>
    <t>W313</t>
  </si>
  <si>
    <t>HolzBurg</t>
  </si>
  <si>
    <t>Ground_Zero_Dresden</t>
  </si>
  <si>
    <t>Thessaloniki</t>
  </si>
  <si>
    <t>Unterentersbach</t>
  </si>
  <si>
    <t>THC</t>
  </si>
  <si>
    <t>04-Agri</t>
  </si>
  <si>
    <t>Flo+Hoeges+Dorf</t>
  </si>
  <si>
    <t>Atlantis</t>
  </si>
  <si>
    <t>Heikendorf</t>
  </si>
  <si>
    <t>Pusteblume</t>
  </si>
  <si>
    <t>svenja</t>
  </si>
  <si>
    <t>Kaff78</t>
  </si>
  <si>
    <t>Blockwurst</t>
  </si>
  <si>
    <t>Reste</t>
  </si>
  <si>
    <t>Mega-Park</t>
  </si>
  <si>
    <t>Krabichl</t>
  </si>
  <si>
    <t>Main</t>
  </si>
  <si>
    <t>Meister1</t>
  </si>
  <si>
    <t>Echo</t>
  </si>
  <si>
    <t>%7B0012%7D</t>
  </si>
  <si>
    <t>G-Town</t>
  </si>
  <si>
    <t>sDorf</t>
  </si>
  <si>
    <t>ash178</t>
  </si>
  <si>
    <t>dough-town_003</t>
  </si>
  <si>
    <t>2.Hanamono</t>
  </si>
  <si>
    <t>Orgrimmar</t>
  </si>
  <si>
    <t>Kings+Landing</t>
  </si>
  <si>
    <t>Selandra</t>
  </si>
  <si>
    <t>youtoxs+Dorf</t>
  </si>
  <si>
    <t>Ewedors</t>
  </si>
  <si>
    <t>DRACULA</t>
  </si>
  <si>
    <t>Hullalala</t>
  </si>
  <si>
    <t>TheSwamp</t>
  </si>
  <si>
    <t>Graveyard</t>
  </si>
  <si>
    <t>Dboy</t>
  </si>
  <si>
    <t>Slaughtery</t>
  </si>
  <si>
    <t>ichmagpffffroooont</t>
  </si>
  <si>
    <t>Matzetanien</t>
  </si>
  <si>
    <t>Side</t>
  </si>
  <si>
    <t>tokyo</t>
  </si>
  <si>
    <t>yummy</t>
  </si>
  <si>
    <t>Suspicious</t>
  </si>
  <si>
    <t>Z3R03</t>
  </si>
  <si>
    <t>Zombie</t>
  </si>
  <si>
    <t>Wallenborn</t>
  </si>
  <si>
    <t>Eins</t>
  </si>
  <si>
    <t>miKe</t>
  </si>
  <si>
    <t>Windhelm</t>
  </si>
  <si>
    <t>Wrens</t>
  </si>
  <si>
    <t>Ecuagor</t>
  </si>
  <si>
    <t>Rabenwehr</t>
  </si>
  <si>
    <t>TobyG235s</t>
  </si>
  <si>
    <t>-Kaserne-</t>
  </si>
  <si>
    <t>Minas-Tirith</t>
  </si>
  <si>
    <t>Schinken</t>
  </si>
  <si>
    <t>Havana</t>
  </si>
  <si>
    <t>Rose</t>
  </si>
  <si>
    <t>steffi</t>
  </si>
  <si>
    <t>Fleischfresser</t>
  </si>
  <si>
    <t>Madarchod</t>
  </si>
  <si>
    <t>Dong</t>
  </si>
  <si>
    <t>53-03</t>
  </si>
  <si>
    <t>Svetlojarsk</t>
  </si>
  <si>
    <t>HAXI</t>
  </si>
  <si>
    <t>54%3A03%3A74</t>
  </si>
  <si>
    <t>Acropora</t>
  </si>
  <si>
    <t>Sommerwiese</t>
  </si>
  <si>
    <t>Steve</t>
  </si>
  <si>
    <t>Farmville</t>
  </si>
  <si>
    <t>Brokkolital</t>
  </si>
  <si>
    <t>Sternberg</t>
  </si>
  <si>
    <t>Bebbernburg</t>
  </si>
  <si>
    <t>main</t>
  </si>
  <si>
    <t>Compton</t>
  </si>
  <si>
    <t>Violonce</t>
  </si>
  <si>
    <t>Vanilla</t>
  </si>
  <si>
    <t>Vodka-O</t>
  </si>
  <si>
    <t>Peterslahr</t>
  </si>
  <si>
    <t>GD_01</t>
  </si>
  <si>
    <t>56-01</t>
  </si>
  <si>
    <t>Abrissbirne</t>
  </si>
  <si>
    <t>Funkaveli</t>
  </si>
  <si>
    <t>Shrokenbards</t>
  </si>
  <si>
    <t>-SRZ-</t>
  </si>
  <si>
    <t>Heio</t>
  </si>
  <si>
    <t>Wehr</t>
  </si>
  <si>
    <t>Draufhau</t>
  </si>
  <si>
    <t>XXXX</t>
  </si>
  <si>
    <t>BAUM</t>
  </si>
  <si>
    <t>Altenmarkt</t>
  </si>
  <si>
    <t>Furth</t>
  </si>
  <si>
    <t>New_punch</t>
  </si>
  <si>
    <t>55%3A85%3A18</t>
  </si>
  <si>
    <t>XYZ</t>
  </si>
  <si>
    <t>Canakkale</t>
  </si>
  <si>
    <t>dough-town_002</t>
  </si>
  <si>
    <t>Xanadu</t>
  </si>
  <si>
    <t>PT005</t>
  </si>
  <si>
    <t>Docs</t>
  </si>
  <si>
    <t>Hottentotten</t>
  </si>
  <si>
    <t>Funken</t>
  </si>
  <si>
    <t>Fashion</t>
  </si>
  <si>
    <t>Darkover</t>
  </si>
  <si>
    <t>Muckum</t>
  </si>
  <si>
    <t>Leuchtturm</t>
  </si>
  <si>
    <t>Korra</t>
  </si>
  <si>
    <t>Recur</t>
  </si>
  <si>
    <t>vorminator</t>
  </si>
  <si>
    <t>%23again</t>
  </si>
  <si>
    <t>MagicUlban1412</t>
  </si>
  <si>
    <t>Bankk</t>
  </si>
  <si>
    <t>cittycat</t>
  </si>
  <si>
    <t>Plusmacher</t>
  </si>
  <si>
    <t>Martina</t>
  </si>
  <si>
    <t>Megiddo</t>
  </si>
  <si>
    <t>SGA</t>
  </si>
  <si>
    <t>Mont</t>
  </si>
  <si>
    <t>Kleenneente</t>
  </si>
  <si>
    <t>Cambodia001</t>
  </si>
  <si>
    <t>Eastcoast</t>
  </si>
  <si>
    <t>3..2..1..</t>
  </si>
  <si>
    <t>Napolionhof</t>
  </si>
  <si>
    <t>Deppendorf</t>
  </si>
  <si>
    <t>poscheis+Dorf</t>
  </si>
  <si>
    <t>Ballerburg</t>
  </si>
  <si>
    <t>Thorshafen</t>
  </si>
  <si>
    <t>Arkus</t>
  </si>
  <si>
    <t>Vendetta</t>
  </si>
  <si>
    <t>neskes</t>
  </si>
  <si>
    <t>o.o</t>
  </si>
  <si>
    <t>Reach</t>
  </si>
  <si>
    <t>Jok3ers</t>
  </si>
  <si>
    <t>Herbachemosan</t>
  </si>
  <si>
    <t>Tristone</t>
  </si>
  <si>
    <t>Odour</t>
  </si>
  <si>
    <t>H96</t>
  </si>
  <si>
    <t>Olymp</t>
  </si>
  <si>
    <t>Club</t>
  </si>
  <si>
    <t>0001-SinCity</t>
  </si>
  <si>
    <t>B01</t>
  </si>
  <si>
    <t>Hanseburg</t>
  </si>
  <si>
    <t>Andromeda</t>
  </si>
  <si>
    <t>DownieAbteil</t>
  </si>
  <si>
    <t>Retime</t>
  </si>
  <si>
    <t>lordghf</t>
  </si>
  <si>
    <t>130erStyle</t>
  </si>
  <si>
    <t>00Salzgitter</t>
  </si>
  <si>
    <t>Bebbanburg</t>
  </si>
  <si>
    <t>Berlin%23</t>
  </si>
  <si>
    <t>Strasshof</t>
  </si>
  <si>
    <t>Versteckdichnicht</t>
  </si>
  <si>
    <t>Metaxa</t>
  </si>
  <si>
    <t>xxxCoCoxxxs</t>
  </si>
  <si>
    <t>Vilpian</t>
  </si>
  <si>
    <t>Bellersheim</t>
  </si>
  <si>
    <t>Eisenfaust</t>
  </si>
  <si>
    <t>Turtle</t>
  </si>
  <si>
    <t>Lallapalooza</t>
  </si>
  <si>
    <t>Dunwich</t>
  </si>
  <si>
    <t>Dorfi</t>
  </si>
  <si>
    <t>Ricken</t>
  </si>
  <si>
    <t>DARWIN</t>
  </si>
  <si>
    <t>OstBerlin</t>
  </si>
  <si>
    <t>Untergang</t>
  </si>
  <si>
    <t>SinuskelchsDorf</t>
  </si>
  <si>
    <t>Mopsfurt</t>
  </si>
  <si>
    <t>Kalor</t>
  </si>
  <si>
    <t>Abgehts</t>
  </si>
  <si>
    <t>Dd30</t>
  </si>
  <si>
    <t>BlackPaddy</t>
  </si>
  <si>
    <t>A12</t>
  </si>
  <si>
    <t>Heraklion</t>
  </si>
  <si>
    <t>dorrrtferingen</t>
  </si>
  <si>
    <t>Spich</t>
  </si>
  <si>
    <t>Container</t>
  </si>
  <si>
    <t>Inferox001</t>
  </si>
  <si>
    <t>RUBBERDUCK</t>
  </si>
  <si>
    <t>Rosenpark</t>
  </si>
  <si>
    <t>Finsterherzdickicht</t>
  </si>
  <si>
    <t>Rondell</t>
  </si>
  <si>
    <t>BOBELHOF</t>
  </si>
  <si>
    <t>Jawie</t>
  </si>
  <si>
    <t>Basti</t>
  </si>
  <si>
    <t>definitelynotadorf</t>
  </si>
  <si>
    <t>Misthaufen</t>
  </si>
  <si>
    <t>Suamel</t>
  </si>
  <si>
    <t>Mops</t>
  </si>
  <si>
    <t>LeaderFarbenblindeIstAbfall</t>
  </si>
  <si>
    <t>Hope</t>
  </si>
  <si>
    <t>178.1</t>
  </si>
  <si>
    <t>002-Mehrspieler</t>
  </si>
  <si>
    <t>Kamino</t>
  </si>
  <si>
    <t>Drecksloch</t>
  </si>
  <si>
    <t>Zwackelbutze</t>
  </si>
  <si>
    <t>Freitagabend</t>
  </si>
  <si>
    <t>Anwesend</t>
  </si>
  <si>
    <t>-_-1-_-</t>
  </si>
  <si>
    <t>hammerbrother</t>
  </si>
  <si>
    <t>Friesenburg</t>
  </si>
  <si>
    <t>BD1</t>
  </si>
  <si>
    <t>CHAOSSchlachtbank</t>
  </si>
  <si>
    <t>Burg</t>
  </si>
  <si>
    <t>Sincity</t>
  </si>
  <si>
    <t>65%3A08%3A04</t>
  </si>
  <si>
    <t>IDA</t>
  </si>
  <si>
    <t>Alkatras</t>
  </si>
  <si>
    <t>Maxsann</t>
  </si>
  <si>
    <t>..madness..</t>
  </si>
  <si>
    <t>W-001</t>
  </si>
  <si>
    <t>QS-5HS</t>
  </si>
  <si>
    <t>Ronald+12s+Dorf</t>
  </si>
  <si>
    <t>Hacke-peter</t>
  </si>
  <si>
    <t>Gabrianas</t>
  </si>
  <si>
    <t>Usbekistan</t>
  </si>
  <si>
    <t>RitterBurg</t>
  </si>
  <si>
    <t>PTL1994s+Dorf</t>
  </si>
  <si>
    <t>KOIMAD</t>
  </si>
  <si>
    <t>0rpans+Dorf</t>
  </si>
  <si>
    <t>schiffenbergs</t>
  </si>
  <si>
    <t>Coco+der+Schreckliches+Dorf</t>
  </si>
  <si>
    <t>Playboy32s+Dorf</t>
  </si>
  <si>
    <t>deine+mudda</t>
  </si>
  <si>
    <t>Warrior+Raphaels+Dorf</t>
  </si>
  <si>
    <t>Lederriemens+Dorf</t>
  </si>
  <si>
    <t>dodo3011s+Dorf</t>
  </si>
  <si>
    <t>Ulen+Orsalans+Dorf</t>
  </si>
  <si>
    <t>001+-+Peter+Silie</t>
  </si>
  <si>
    <t>macelchs+Dorf</t>
  </si>
  <si>
    <t>Bubble+Shooter</t>
  </si>
  <si>
    <t>Gttzs+Dorf</t>
  </si>
  <si>
    <t>Alikay</t>
  </si>
  <si>
    <t>Dr.Schwukeles+NR1.</t>
  </si>
  <si>
    <t>Wzybrs+Dorf</t>
  </si>
  <si>
    <t>itzreuters+Dorf</t>
  </si>
  <si>
    <t>steffen1992s+Dorf</t>
  </si>
  <si>
    <t>TF+DNDs+Dorf</t>
  </si>
  <si>
    <t>Dorf+des+hl.+Lazarus</t>
  </si>
  <si>
    <t>MueffelBueffels+Dorf</t>
  </si>
  <si>
    <t>keine_Farm</t>
  </si>
  <si>
    <t>Barrio</t>
  </si>
  <si>
    <t>Ruhmeswolf68s+Dorf</t>
  </si>
  <si>
    <t>alfricers+Dorf</t>
  </si>
  <si>
    <t>The+Aftermath</t>
  </si>
  <si>
    <t>Texos+Dorf</t>
  </si>
  <si>
    <t>Florida1245s+Dorf</t>
  </si>
  <si>
    <t>Lareqs+Dorf</t>
  </si>
  <si>
    <t>Schmied+von+Kochel</t>
  </si>
  <si>
    <t>3+Bier+Bitte</t>
  </si>
  <si>
    <t>Foureyess+Dorf</t>
  </si>
  <si>
    <t>Rogler13s+Dorf</t>
  </si>
  <si>
    <t>Arthur+Erikssons+Dorf</t>
  </si>
  <si>
    <t>KKK</t>
  </si>
  <si>
    <t>Knjass+Dorf</t>
  </si>
  <si>
    <t>Vikingshall</t>
  </si>
  <si>
    <t>berni2241s+Dorf</t>
  </si>
  <si>
    <t>Dein+Untergang</t>
  </si>
  <si>
    <t>Zocker3000s+Dorf</t>
  </si>
  <si>
    <t>Kampf-Berlis+Dorf</t>
  </si>
  <si>
    <t>The+Castle</t>
  </si>
  <si>
    <t>003+auboch</t>
  </si>
  <si>
    <t>Nymphos+Dorf</t>
  </si>
  <si>
    <t>Philms+Stadt</t>
  </si>
  <si>
    <t>Baby+Groots+Dorf</t>
  </si>
  <si>
    <t>Bromikuss+Dorf</t>
  </si>
  <si>
    <t>Xeonoexs+Dorf</t>
  </si>
  <si>
    <t>lex70s+Dorf</t>
  </si>
  <si>
    <t>Hof+der+Sterne</t>
  </si>
  <si>
    <t>LkwFahr3rs+Dorf</t>
  </si>
  <si>
    <t>Spooklly</t>
  </si>
  <si>
    <t>Himasters+Dorf</t>
  </si>
  <si>
    <t>Brausis+Dorf</t>
  </si>
  <si>
    <t>Goblin+178</t>
  </si>
  <si>
    <t>Bangkok%232</t>
  </si>
  <si>
    <t>f123456s+Dorf</t>
  </si>
  <si>
    <t>musicinmyveinss+Dorf</t>
  </si>
  <si>
    <t>Jule13s+Dorf</t>
  </si>
  <si>
    <t>001+Graz</t>
  </si>
  <si>
    <t>elhayats+Dorf</t>
  </si>
  <si>
    <t>-Daydreamer-01s+Dorf</t>
  </si>
  <si>
    <t>General+Cartman+Lees+Dorf</t>
  </si>
  <si>
    <t>nobbydrawelli1s+Dorf</t>
  </si>
  <si>
    <t>pluffis+Dorf</t>
  </si>
  <si>
    <t>BobiixDs+Dorf</t>
  </si>
  <si>
    <t>mystic178</t>
  </si>
  <si>
    <t>Sassuns+Dorf</t>
  </si>
  <si>
    <t>heimpel1999</t>
  </si>
  <si>
    <t>CPTA1s+Dorf.</t>
  </si>
  <si>
    <t>sikevs+Dorf</t>
  </si>
  <si>
    <t>reiben1s+Dorf.</t>
  </si>
  <si>
    <t>Anno+1602</t>
  </si>
  <si>
    <t>johstos+Dorf</t>
  </si>
  <si>
    <t>LPG-178-0001</t>
  </si>
  <si>
    <t>ruehrli1s+Dorf</t>
  </si>
  <si>
    <t>YYYY</t>
  </si>
  <si>
    <t>El+Gordos+Dorf</t>
  </si>
  <si>
    <t>Festung+des+PaulBong</t>
  </si>
  <si>
    <t>Renaissance</t>
  </si>
  <si>
    <t>raucher+55s+Dorf</t>
  </si>
  <si>
    <t>Berliner+Weisse</t>
  </si>
  <si>
    <t>-Kantine-</t>
  </si>
  <si>
    <t>Beisser</t>
  </si>
  <si>
    <t>Potexxs+Dorf</t>
  </si>
  <si>
    <t>Gatz</t>
  </si>
  <si>
    <t>RB_Arena</t>
  </si>
  <si>
    <t>011+-+Alexandria</t>
  </si>
  <si>
    <t>Winged+Hussars+Dorf</t>
  </si>
  <si>
    <t>IEsTas+Dorf+1</t>
  </si>
  <si>
    <t>Lip1893s+Dorf</t>
  </si>
  <si>
    <t>USL</t>
  </si>
  <si>
    <t>RuMbLe+runSs+Dorf</t>
  </si>
  <si>
    <t>DombrossA</t>
  </si>
  <si>
    <t>CherryCubs+Dorf</t>
  </si>
  <si>
    <t>keep+it+69+and+unprotected</t>
  </si>
  <si>
    <t>dommdoms+village</t>
  </si>
  <si>
    <t>niceguys+Dorf</t>
  </si>
  <si>
    <t>BertaMueller</t>
  </si>
  <si>
    <t>bumpolos+Dorf</t>
  </si>
  <si>
    <t>Oldsql</t>
  </si>
  <si>
    <t>Stollingers+Dorf</t>
  </si>
  <si>
    <t>Tifobs+Dorf</t>
  </si>
  <si>
    <t>xDeadLines+Dorf</t>
  </si>
  <si>
    <t>cashmo135s+Dorf</t>
  </si>
  <si>
    <t>dwwdwaws+Dorf</t>
  </si>
  <si>
    <t>K4R3s+Dorf</t>
  </si>
  <si>
    <t>Paninialbums+Dorf</t>
  </si>
  <si>
    <t>VasKos1</t>
  </si>
  <si>
    <t>pat20s+Dorf</t>
  </si>
  <si>
    <t>Gordon_Freemans+Dorf</t>
  </si>
  <si>
    <t>Etherious+Natsu+Dragneels+Dorf</t>
  </si>
  <si>
    <t>Flankengott+71s+Dorf</t>
  </si>
  <si>
    <t>404+Error+-+Dorf+nicht+gefunden</t>
  </si>
  <si>
    <t>Kobra+001</t>
  </si>
  <si>
    <t>back+to+the+roots+-000000000001-</t>
  </si>
  <si>
    <t>J.M.88s+Dorf</t>
  </si>
  <si>
    <t>fabian1357s+Dorf</t>
  </si>
  <si>
    <t>City</t>
  </si>
  <si>
    <t>KingVitass+Dorf</t>
  </si>
  <si>
    <t>TheReapers+Kitchen</t>
  </si>
  <si>
    <t>.-001-.</t>
  </si>
  <si>
    <t>Medved1s+Dorf</t>
  </si>
  <si>
    <t>condottieros+Dorf</t>
  </si>
  <si>
    <t>M.x.ri.xs+Dorf</t>
  </si>
  <si>
    <t>Scheckas+Dorf</t>
  </si>
  <si>
    <t>odinsherrs+Dorf</t>
  </si>
  <si>
    <t>Greystashs+Dorf</t>
  </si>
  <si>
    <t>Hogatown</t>
  </si>
  <si>
    <t>Lady+Marallas+Dorf</t>
  </si>
  <si>
    <t>Lorig123s+Dorf</t>
  </si>
  <si>
    <t>Rohan+-+oo2</t>
  </si>
  <si>
    <t>mauerbauer66s+Dorf</t>
  </si>
  <si>
    <t>45.94.65</t>
  </si>
  <si>
    <t>Holztraubach</t>
  </si>
  <si>
    <t>K43%3A77%3A54</t>
  </si>
  <si>
    <t>Paddys+Dorf</t>
  </si>
  <si>
    <t>Novana+1</t>
  </si>
  <si>
    <t>Start+2</t>
  </si>
  <si>
    <t>FB-01</t>
  </si>
  <si>
    <t>TWEEZYs+Dorf</t>
  </si>
  <si>
    <t>GHOST+001</t>
  </si>
  <si>
    <t>nik-os+Dorf</t>
  </si>
  <si>
    <t>Osorno</t>
  </si>
  <si>
    <t>003+-+Deppenhausen</t>
  </si>
  <si>
    <t>Dummheit</t>
  </si>
  <si>
    <t>Arvedius</t>
  </si>
  <si>
    <t>DerHusters+Dorf</t>
  </si>
  <si>
    <t>VanRaven</t>
  </si>
  <si>
    <t>Lord+Vari</t>
  </si>
  <si>
    <t>TechTronizZs+Dorf</t>
  </si>
  <si>
    <t>Exciles+Dorf</t>
  </si>
  <si>
    <t>Marvco</t>
  </si>
  <si>
    <t>Stippos+Dorf</t>
  </si>
  <si>
    <t>oida</t>
  </si>
  <si>
    <t>Xraxsys+Dorf</t>
  </si>
  <si>
    <t>Den+Dugen</t>
  </si>
  <si>
    <t>Zachilluss+Dorf</t>
  </si>
  <si>
    <t>Cold+blood</t>
  </si>
  <si>
    <t>Kaiservilla</t>
  </si>
  <si>
    <t>Briareos-Hammersteins+Dorf</t>
  </si>
  <si>
    <t>Kevin</t>
  </si>
  <si>
    <t>Drecksauhausn</t>
  </si>
  <si>
    <t>Lord+Rudi1s+Dorf</t>
  </si>
  <si>
    <t>SJ_1.</t>
  </si>
  <si>
    <t>Death-Fighters+Dorf</t>
  </si>
  <si>
    <t>Taipan1509s+Dorf+.</t>
  </si>
  <si>
    <t>Engelshausen+001</t>
  </si>
  <si>
    <t>Drauf+hauns+Dorf</t>
  </si>
  <si>
    <t>Take+II</t>
  </si>
  <si>
    <t>GoodTime1s+Dorf</t>
  </si>
  <si>
    <t>lisents+Dorf</t>
  </si>
  <si>
    <t>004+Amin</t>
  </si>
  <si>
    <t>augusta_vindelicorum</t>
  </si>
  <si>
    <t>LoveMarie2009s+Dorf</t>
  </si>
  <si>
    <t>KronenExs+Dorf</t>
  </si>
  <si>
    <t>19malibu92s+Dorf</t>
  </si>
  <si>
    <t>Festung1</t>
  </si>
  <si>
    <t>Inc.266s+Dorf</t>
  </si>
  <si>
    <t>nedu96</t>
  </si>
  <si>
    <t>TheHerminatorAUTs+Dorf</t>
  </si>
  <si>
    <t>RedVisionD</t>
  </si>
  <si>
    <t>Devilspoint</t>
  </si>
  <si>
    <t>nedu97</t>
  </si>
  <si>
    <t>Samris+Dorf</t>
  </si>
  <si>
    <t>Deans+Dorf</t>
  </si>
  <si>
    <t>TheKingPhilips+Dorf</t>
  </si>
  <si>
    <t>Ich+knechte+euch+alle</t>
  </si>
  <si>
    <t>Thor-hammers+Dorf</t>
  </si>
  <si>
    <t>Lord+adospas+Dorf</t>
  </si>
  <si>
    <t>KnackerVomAckers+Dorf</t>
  </si>
  <si>
    <t>Burg1</t>
  </si>
  <si>
    <t>superstar12s+Dorf</t>
  </si>
  <si>
    <t>Kriegsdorf</t>
  </si>
  <si>
    <t>Oldschool.</t>
  </si>
  <si>
    <t>Vilsa</t>
  </si>
  <si>
    <t>xYomoxs+Dorf</t>
  </si>
  <si>
    <t>swagger107s+Dorf</t>
  </si>
  <si>
    <t>Phoenix+Main</t>
  </si>
  <si>
    <t>zezzaNs+Dorf</t>
  </si>
  <si>
    <t>Majestix88+Dorf</t>
  </si>
  <si>
    <t>anotherOne</t>
  </si>
  <si>
    <t>Alethkar</t>
  </si>
  <si>
    <t>Second</t>
  </si>
  <si>
    <t>Adrianopolis</t>
  </si>
  <si>
    <t>Hexals+Dorf</t>
  </si>
  <si>
    <t>Exitos+Dorf</t>
  </si>
  <si>
    <t>Kitzs+Dorf</t>
  </si>
  <si>
    <t>cola231</t>
  </si>
  <si>
    <t>Faces</t>
  </si>
  <si>
    <t>PaulH</t>
  </si>
  <si>
    <t>Z-Cash</t>
  </si>
  <si>
    <t>crowdenes+Dorf</t>
  </si>
  <si>
    <t>Irukandjis+Dorf</t>
  </si>
  <si>
    <t>faebs85s+Dorf</t>
  </si>
  <si>
    <t>Christoph1994s+Dorf</t>
  </si>
  <si>
    <t>Burning+Love</t>
  </si>
  <si>
    <t>Sanneh+Da+Nielson</t>
  </si>
  <si>
    <t>N02+RAG</t>
  </si>
  <si>
    <t>bartrockss+Dorf</t>
  </si>
  <si>
    <t>Ice+Box</t>
  </si>
  <si>
    <t>Lettays+Dorf</t>
  </si>
  <si>
    <t>Tux</t>
  </si>
  <si>
    <t>Dehmer76s+Dorf</t>
  </si>
  <si>
    <t>Madomios+Dorf+1</t>
  </si>
  <si>
    <t>Wall+Maria</t>
  </si>
  <si>
    <t>Warfstede</t>
  </si>
  <si>
    <t>Neverland+01</t>
  </si>
  <si>
    <t>Medical+Manfreds+Dorf</t>
  </si>
  <si>
    <t>TAIL+OF+THE+PONY</t>
  </si>
  <si>
    <t>Trash+002</t>
  </si>
  <si>
    <t>ItsYourEnd07s+Dorf</t>
  </si>
  <si>
    <t>Skorkalles+Home</t>
  </si>
  <si>
    <t>Brandenburg</t>
  </si>
  <si>
    <t>Wickie+1974s+Dorf</t>
  </si>
  <si>
    <t>NeeOders+Dorf</t>
  </si>
  <si>
    <t>Stewzs+Dorf</t>
  </si>
  <si>
    <t>Robfacks+Dorf</t>
  </si>
  <si>
    <t>SDS</t>
  </si>
  <si>
    <t>Chrisk3ks+Dorf</t>
  </si>
  <si>
    <t>Eiskrone</t>
  </si>
  <si>
    <t>www.schrotte+truppen+hier.com</t>
  </si>
  <si>
    <t>wotan178s+Dorf</t>
  </si>
  <si>
    <t>KingGioxxs+Dorf</t>
  </si>
  <si>
    <t>DannyB69s+Dorf</t>
  </si>
  <si>
    <t>Ice+Croft</t>
  </si>
  <si>
    <t>Steinkolloss+Dorf</t>
  </si>
  <si>
    <t>Haudegin</t>
  </si>
  <si>
    <t>georg60s+Dorf</t>
  </si>
  <si>
    <t>Hakan61s+Dorf</t>
  </si>
  <si>
    <t>Emmingen</t>
  </si>
  <si>
    <t>DasEnteTVs+Dorf</t>
  </si>
  <si>
    <t>lucki274s+Dorf</t>
  </si>
  <si>
    <t>skyjumper01s+Dorf</t>
  </si>
  <si>
    <t>Kinorushi+3</t>
  </si>
  <si>
    <t>LochnessRapgoddesss+Dorf</t>
  </si>
  <si>
    <t>Dexter90s+Dorf</t>
  </si>
  <si>
    <t>Burg+Hohenschramberg</t>
  </si>
  <si>
    <t>Vollmond62s+Dorf</t>
  </si>
  <si>
    <t>xseverins+Dorf</t>
  </si>
  <si>
    <t>austriacus+2.0.</t>
  </si>
  <si>
    <t>flingis+Dorf</t>
  </si>
  <si>
    <t>%23001+Ram</t>
  </si>
  <si>
    <t>AJL-93s+Dorf</t>
  </si>
  <si>
    <t>DrOglums+Dorf</t>
  </si>
  <si>
    <t>Marry</t>
  </si>
  <si>
    <t>xXRuoKXxs</t>
  </si>
  <si>
    <t>wickilias+Dorf</t>
  </si>
  <si>
    <t>Feiertagggg</t>
  </si>
  <si>
    <t>Skaterffms+Dorf-002</t>
  </si>
  <si>
    <t>Sir+Luneys+Dorf</t>
  </si>
  <si>
    <t>Siberias+Dorf</t>
  </si>
  <si>
    <t>Mobile-Infantrys</t>
  </si>
  <si>
    <t>redskorpions+Dorf</t>
  </si>
  <si>
    <t>pl4yst4ti0n4s+Dorf</t>
  </si>
  <si>
    <t>Championdragons+Dorf</t>
  </si>
  <si>
    <t>suilenrocs+Dorf</t>
  </si>
  <si>
    <t>Osariess+Dorf</t>
  </si>
  <si>
    <t>gaitzi92s+Dorf</t>
  </si>
  <si>
    <t>SonMaxikings+Dorf</t>
  </si>
  <si>
    <t>sepprassssssss+Dorf</t>
  </si>
  <si>
    <t>Toni+Kroos</t>
  </si>
  <si>
    <t>Purelikes+Dorf</t>
  </si>
  <si>
    <t>MrBlueballs+Dorf</t>
  </si>
  <si>
    <t>Abrahm</t>
  </si>
  <si>
    <t>JonnyCool11s+Dorf</t>
  </si>
  <si>
    <t>KEP</t>
  </si>
  <si>
    <t>moks+Dorf</t>
  </si>
  <si>
    <t>Alexanderdererstes+Dorf</t>
  </si>
  <si>
    <t>MoeG15</t>
  </si>
  <si>
    <t>Trollo311s+Dorf</t>
  </si>
  <si>
    <t>JojoThomas95+Dorf</t>
  </si>
  <si>
    <t>A-001</t>
  </si>
  <si>
    <t>Sven+1974s+Dorf</t>
  </si>
  <si>
    <t>Tomy.rw</t>
  </si>
  <si>
    <t>Felix1006s+Dorf</t>
  </si>
  <si>
    <t>Sir.Snoopys+Dorf</t>
  </si>
  <si>
    <t>DerSchwonkinators+Dorf</t>
  </si>
  <si>
    <t>%23aktiv</t>
  </si>
  <si>
    <t>Reyves+Dorf</t>
  </si>
  <si>
    <t>areskill7xs+Dorf</t>
  </si>
  <si>
    <t>Helvegen</t>
  </si>
  <si>
    <t>Megahalems+Dorf</t>
  </si>
  <si>
    <t>paulschlusss+Dorf</t>
  </si>
  <si>
    <t>Gaylords+Dorf+78</t>
  </si>
  <si>
    <t>Marc2610s+Dorf</t>
  </si>
  <si>
    <t>Shingargs+Dor</t>
  </si>
  <si>
    <t>Bajor178</t>
  </si>
  <si>
    <t>Kempten+Kings+Dorf</t>
  </si>
  <si>
    <t>AFROmanns+Dorf</t>
  </si>
  <si>
    <t>Artiss+Dorf</t>
  </si>
  <si>
    <t>Ties89s+Dorf</t>
  </si>
  <si>
    <t>SCR02</t>
  </si>
  <si>
    <t>Albert+Einstein</t>
  </si>
  <si>
    <t>BenWess+Dorf</t>
  </si>
  <si>
    <t>K34-002-AG</t>
  </si>
  <si>
    <t>Aincrad+Ebene+001</t>
  </si>
  <si>
    <t>UMTAMA</t>
  </si>
  <si>
    <t>Narells+Dorf</t>
  </si>
  <si>
    <t>Friedliches+Dorf+ohne+Plan</t>
  </si>
  <si>
    <t>Free+farm</t>
  </si>
  <si>
    <t>HaveRespectSons+Dorf</t>
  </si>
  <si>
    <t>Schloss1</t>
  </si>
  <si>
    <t>Rambo</t>
  </si>
  <si>
    <t>bernti11</t>
  </si>
  <si>
    <t>hinkebein01s+Dorf</t>
  </si>
  <si>
    <t>again</t>
  </si>
  <si>
    <t>J-Wildfires+Dorf</t>
  </si>
  <si>
    <t>KX22s+Dorf</t>
  </si>
  <si>
    <t>Banger257s+Dorf</t>
  </si>
  <si>
    <t>Scheisedu1s+Dorf</t>
  </si>
  <si>
    <t>JuinXs+Dorf</t>
  </si>
  <si>
    <t>Herbys+Castle</t>
  </si>
  <si>
    <t>Cemetery</t>
  </si>
  <si>
    <t>Weidi93s+Dorf</t>
  </si>
  <si>
    <t>Flos+Dorf</t>
  </si>
  <si>
    <t>Lord+Kampfochses+Dorf</t>
  </si>
  <si>
    <t>HerrAlexs+Dorf</t>
  </si>
  <si>
    <t>Korn</t>
  </si>
  <si>
    <t>iSunys+Dorf</t>
  </si>
  <si>
    <t>Toxisch</t>
  </si>
  <si>
    <t>Das+Loch+aus+dem+ich+kroch...</t>
  </si>
  <si>
    <t>Nemesis19s+Dorf</t>
  </si>
  <si>
    <t>harzburgers+Do</t>
  </si>
  <si>
    <t>Hab+keine+Angst</t>
  </si>
  <si>
    <t>Altstadt</t>
  </si>
  <si>
    <t>jibillis+Dorf</t>
  </si>
  <si>
    <t>Uruk</t>
  </si>
  <si>
    <t>Bayernpower</t>
  </si>
  <si>
    <t>Agressive+Ag+Plage+55%3A81%3A04</t>
  </si>
  <si>
    <t>Kenus+Dorf</t>
  </si>
  <si>
    <t>Emul63s+Dorf</t>
  </si>
  <si>
    <t>zitronenkuchens+Dorf</t>
  </si>
  <si>
    <t>Kitana+Khan</t>
  </si>
  <si>
    <t>r0b0c0ps+Dorf</t>
  </si>
  <si>
    <t>MasterLemis</t>
  </si>
  <si>
    <t>deadturtles+Dorf</t>
  </si>
  <si>
    <t>Bier+Bier+und+noch+mehr+Bier</t>
  </si>
  <si>
    <t>Ninja+come+back</t>
  </si>
  <si>
    <t>Polek1994s+Dorf</t>
  </si>
  <si>
    <t>Taktak</t>
  </si>
  <si>
    <t>meins</t>
  </si>
  <si>
    <t>Krebs</t>
  </si>
  <si>
    <t>Impel+Down</t>
  </si>
  <si>
    <t>Even+Rave</t>
  </si>
  <si>
    <t>Konoha+gakure</t>
  </si>
  <si>
    <t>kinghansi99s+Dorf</t>
  </si>
  <si>
    <t>Randerscheinung</t>
  </si>
  <si>
    <t>Khorinis</t>
  </si>
  <si>
    <t>Zonks+Dorf</t>
  </si>
  <si>
    <t>R.I.P+SDS+03.05.2020</t>
  </si>
  <si>
    <t>apdokerns+Dorf</t>
  </si>
  <si>
    <t>Schlaupis+Dorf</t>
  </si>
  <si>
    <t>snodos+Dorf</t>
  </si>
  <si>
    <t>TubenSalzs+Dorf</t>
  </si>
  <si>
    <t>PapaNappas+Dorf</t>
  </si>
  <si>
    <t>No.3</t>
  </si>
  <si>
    <t>Coming+for+YOUU</t>
  </si>
  <si>
    <t>Secret+Garden</t>
  </si>
  <si>
    <t>Graves+Cove</t>
  </si>
  <si>
    <t>Wattwurm93+Dorf</t>
  </si>
  <si>
    <t>Capitol</t>
  </si>
  <si>
    <t>Baffys+Home</t>
  </si>
  <si>
    <t>Brueder01s+Dorf</t>
  </si>
  <si>
    <t>Gordo1900s+Dorf</t>
  </si>
  <si>
    <t>R0bby</t>
  </si>
  <si>
    <t>HoodiePubs+Dorf</t>
  </si>
  <si>
    <t>Kameltreiber94s+Dorf</t>
  </si>
  <si>
    <t>paningas+Dorf</t>
  </si>
  <si>
    <t>DogTier</t>
  </si>
  <si>
    <t>Chroomixs+Dorf</t>
  </si>
  <si>
    <t>No.+1</t>
  </si>
  <si>
    <t>Baummeisters+Dorf</t>
  </si>
  <si>
    <t>Poppenhausen</t>
  </si>
  <si>
    <t>EdlerRitter69s+Dorf</t>
  </si>
  <si>
    <t>Bartholo+Simaros+Dorf</t>
  </si>
  <si>
    <t>RiKuls+Dorf</t>
  </si>
  <si>
    <t>Smookkyys+Dorf</t>
  </si>
  <si>
    <t>Atze170s+Dorf</t>
  </si>
  <si>
    <t>Cargos+Dorf</t>
  </si>
  <si>
    <t>Lady+pidies+Dorf</t>
  </si>
  <si>
    <t>xCreedy.176s+Dorf</t>
  </si>
  <si>
    <t>papa1971s+Dorf</t>
  </si>
  <si>
    <t>marcus1976s+Dorf</t>
  </si>
  <si>
    <t>Nalgos+Dorf</t>
  </si>
  <si>
    <t>preussenks+Dorf</t>
  </si>
  <si>
    <t>Siachans+Paradise</t>
  </si>
  <si>
    <t>Chillerforever95s+Dorf</t>
  </si>
  <si>
    <t>NIE+aufgeben</t>
  </si>
  <si>
    <t>%23Nope</t>
  </si>
  <si>
    <t>dcmudzborghs+Dorf</t>
  </si>
  <si>
    <t>Castle+Black</t>
  </si>
  <si>
    <t>Illegale+Hobbys</t>
  </si>
  <si>
    <t>merlinns+Dorf</t>
  </si>
  <si>
    <t>ronny+der+dickes+Dorf</t>
  </si>
  <si>
    <t>odin1977s+Dorf</t>
  </si>
  <si>
    <t>Skuldaven</t>
  </si>
  <si>
    <t>Tresdins+Dorf</t>
  </si>
  <si>
    <t>AladinderPaladins+Dorf</t>
  </si>
  <si>
    <t>ShXz+Incs+Dorf</t>
  </si>
  <si>
    <t>S3rums+Dorf</t>
  </si>
  <si>
    <t>atzntoms+Dorf</t>
  </si>
  <si>
    <t>001+Imsum</t>
  </si>
  <si>
    <t>dome17s+Dorf</t>
  </si>
  <si>
    <t>deleator</t>
  </si>
  <si>
    <t>Agranulozytose</t>
  </si>
  <si>
    <t>1SAO1+Kiritos+Dorf</t>
  </si>
  <si>
    <t>Schnuppe+Dorf</t>
  </si>
  <si>
    <t>Holy+One</t>
  </si>
  <si>
    <t>sambors+Dorf</t>
  </si>
  <si>
    <t>Real%C3%96Ps+Dorf</t>
  </si>
  <si>
    <t>iTheIntexs</t>
  </si>
  <si>
    <t>Loriens+Dorf</t>
  </si>
  <si>
    <t>BluesRocks+Dorf</t>
  </si>
  <si>
    <t>fritzerichs+Dorf</t>
  </si>
  <si>
    <t>Ricardinho+2.0s+Dorf</t>
  </si>
  <si>
    <t>35%3A73%3A37</t>
  </si>
  <si>
    <t>Scherzer7s+Dorf</t>
  </si>
  <si>
    <t>Queenstown001</t>
  </si>
  <si>
    <t>Nordpol</t>
  </si>
  <si>
    <t>Tranquility</t>
  </si>
  <si>
    <t>Be2Hero77s+Dorf</t>
  </si>
  <si>
    <t>pissbecken</t>
  </si>
  <si>
    <t>Gonlboy+III</t>
  </si>
  <si>
    <t>Fonso</t>
  </si>
  <si>
    <t>001-Fuchbau+2</t>
  </si>
  <si>
    <t>MRWizZlerzZzs+Dorf</t>
  </si>
  <si>
    <t>Loccos+Dorf</t>
  </si>
  <si>
    <t>Dreisatzs+Dorf</t>
  </si>
  <si>
    <t>Lustlose+Ponyreiters+Dorf</t>
  </si>
  <si>
    <t>gluecklichs+Dorf</t>
  </si>
  <si>
    <t>Riesenpansen</t>
  </si>
  <si>
    <t>MBFr33s+Dorf</t>
  </si>
  <si>
    <t>Verross+Dorf</t>
  </si>
  <si>
    <t>awricks+Dorf</t>
  </si>
  <si>
    <t>Ottheinrich1502s+Dorf</t>
  </si>
  <si>
    <t>damn.shits+Dorf</t>
  </si>
  <si>
    <t>Widi.13s+Dorf</t>
  </si>
  <si>
    <t>Dorf+Winnie+01</t>
  </si>
  <si>
    <t>Du+wurdest+gehackt</t>
  </si>
  <si>
    <t>klenes+Dorf</t>
  </si>
  <si>
    <t>001+Anti+Kiz</t>
  </si>
  <si>
    <t>topsy-turvys+Dorf</t>
  </si>
  <si>
    <t>DickerDon666s+Dorf</t>
  </si>
  <si>
    <t>Xaraxass+Dorf</t>
  </si>
  <si>
    <t>LuckyAcess+Dorf</t>
  </si>
  <si>
    <t>erni1934+Dorf</t>
  </si>
  <si>
    <t>lemmuegs+Dorf</t>
  </si>
  <si>
    <t>Uubiks+Dorf</t>
  </si>
  <si>
    <t>w17+001</t>
  </si>
  <si>
    <t>Bene272s+Dorf</t>
  </si>
  <si>
    <t>Dream+of+Mirrors</t>
  </si>
  <si>
    <t>KW+Barbers+Dorf</t>
  </si>
  <si>
    <t>hengst12s+Dorf</t>
  </si>
  <si>
    <t>Ghostrider1996s+Dorf</t>
  </si>
  <si>
    <t>Midgard178</t>
  </si>
  <si>
    <t>Maxmaster2011s+Dorf</t>
  </si>
  <si>
    <t>Blechbuechse9000s+Dorf</t>
  </si>
  <si>
    <t>Restaurant+Rosin</t>
  </si>
  <si>
    <t>NightFalls+Dorf</t>
  </si>
  <si>
    <t>raydons+Dorf</t>
  </si>
  <si>
    <t>Feste+Xadolon+I.</t>
  </si>
  <si>
    <t>Wishmaster69s+Dorf</t>
  </si>
  <si>
    <t>SuperSayajinxGogetas+Dorf</t>
  </si>
  <si>
    <t>Gorilla+City</t>
  </si>
  <si>
    <t>Kaer+Morhen</t>
  </si>
  <si>
    <t>TheLastChanceForUs+Dorf</t>
  </si>
  <si>
    <t>kleiner-manns+Dorf</t>
  </si>
  <si>
    <t>01+Bommelbacke</t>
  </si>
  <si>
    <t>morganas+Dorf</t>
  </si>
  <si>
    <t>Arkanos+Dorf</t>
  </si>
  <si>
    <t>lord+Balus+Dorf</t>
  </si>
  <si>
    <t>Krokos+Dorf</t>
  </si>
  <si>
    <t>fubu1501s+Dorf</t>
  </si>
  <si>
    <t>Ja+Moin</t>
  </si>
  <si>
    <t>Karin</t>
  </si>
  <si>
    <t>lord+der+1s+Dorf</t>
  </si>
  <si>
    <t>nilas+Dorf</t>
  </si>
  <si>
    <t>Hubi0909s+Dorf</t>
  </si>
  <si>
    <t>neenees+Dorf</t>
  </si>
  <si>
    <t>Nemes+Dorf</t>
  </si>
  <si>
    <t>DopplTrippls+Dorf</t>
  </si>
  <si>
    <t>viktor-85s+Dorf</t>
  </si>
  <si>
    <t>BlackStorys+Dorf</t>
  </si>
  <si>
    <t>Caprisonne</t>
  </si>
  <si>
    <t>henkeeeeees+Dorf</t>
  </si>
  <si>
    <t>Fanbites+Dorf</t>
  </si>
  <si>
    <t>Le+Roche</t>
  </si>
  <si>
    <t>wochta1+s+Dorf</t>
  </si>
  <si>
    <t>Saray</t>
  </si>
  <si>
    <t>Whitebeard91s+Dorf</t>
  </si>
  <si>
    <t>loislbuas+Dorf</t>
  </si>
  <si>
    <t>Nork+100s+Dorf</t>
  </si>
  <si>
    <t>drache+07s+Dorf</t>
  </si>
  <si>
    <t>Etagenwohnung</t>
  </si>
  <si>
    <t>Wacken</t>
  </si>
  <si>
    <t>The+Village</t>
  </si>
  <si>
    <t>Foerk2s+Dorf</t>
  </si>
  <si>
    <t>Ezpzlemonsquishys+Dorf</t>
  </si>
  <si>
    <t>alf11s+Dorf</t>
  </si>
  <si>
    <t>Kinimod9592s+Dorf</t>
  </si>
  <si>
    <t>Genrors+Dorf</t>
  </si>
  <si>
    <t>Berserker89s+Dorf</t>
  </si>
  <si>
    <t>blondiethebests+Dorf</t>
  </si>
  <si>
    <t>MindLess</t>
  </si>
  <si>
    <t>mitzekatzes+Dorf</t>
  </si>
  <si>
    <t>bergsteiger1s+Dorf</t>
  </si>
  <si>
    <t>Bridadoon+001</t>
  </si>
  <si>
    <t>Torgor</t>
  </si>
  <si>
    <t>OneWay</t>
  </si>
  <si>
    <t>Lichtenberg</t>
  </si>
  <si>
    <t>Happy+Place</t>
  </si>
  <si>
    <t>PyroMasters+Hood+1</t>
  </si>
  <si>
    <t>MabraHDs+Dorf</t>
  </si>
  <si>
    <t>Back+Devil-Storms+Dorf</t>
  </si>
  <si>
    <t>Memoy0815s+Dorf</t>
  </si>
  <si>
    <t>veler619s+Dorf</t>
  </si>
  <si>
    <t>Graveyard+001</t>
  </si>
  <si>
    <t>Wincs+Wardrobe</t>
  </si>
  <si>
    <t>Kelzahrts+Dorf</t>
  </si>
  <si>
    <t>Starscream18s+Dorf</t>
  </si>
  <si>
    <t>Morgental</t>
  </si>
  <si>
    <t>hoibi420s+Dorf</t>
  </si>
  <si>
    <t>Extreme+2.s</t>
  </si>
  <si>
    <t>EndlessChills+Dorf</t>
  </si>
  <si>
    <t>micamuellers+Dorf</t>
  </si>
  <si>
    <t>juklis+Dorf</t>
  </si>
  <si>
    <t>juipos+Dorf</t>
  </si>
  <si>
    <t>vansyyys+Dorf</t>
  </si>
  <si>
    <t>Wolfsschanze</t>
  </si>
  <si>
    <t>xTheReXxI</t>
  </si>
  <si>
    <t>Battlebibers+Village</t>
  </si>
  <si>
    <t>Miner+Prides+Dorf</t>
  </si>
  <si>
    <t>Kemmler93s+Dorf</t>
  </si>
  <si>
    <t>DreamZx040s+Dorf</t>
  </si>
  <si>
    <t>Pr.+Drogons+Dorf</t>
  </si>
  <si>
    <t>SEHERIN1s+Dorf</t>
  </si>
  <si>
    <t>DON+SAIs+Dorf</t>
  </si>
  <si>
    <t>Sellexs+Dorf</t>
  </si>
  <si>
    <t>bannybs+Dorf</t>
  </si>
  <si>
    <t>Taimmonanias+Dorf</t>
  </si>
  <si>
    <t>Klabustermanns+Dorf</t>
  </si>
  <si>
    <t>44+-+1</t>
  </si>
  <si>
    <t>MarzixDs+Dorf</t>
  </si>
  <si>
    <t>El-schubsereros+Dorf</t>
  </si>
  <si>
    <t>Jan-R-s+Dorf</t>
  </si>
  <si>
    <t>Punschys+Dorf</t>
  </si>
  <si>
    <t>Wurmloch+1</t>
  </si>
  <si>
    <t>Spieler1s+Dorf</t>
  </si>
  <si>
    <t>Lazzarets+Dorf</t>
  </si>
  <si>
    <t>Shooters+Dorf</t>
  </si>
  <si>
    <t>Pfanners+Dorf</t>
  </si>
  <si>
    <t>kalfxxs+Dorf</t>
  </si>
  <si>
    <t>FlyingHirschs+Dorf</t>
  </si>
  <si>
    <t>MBeezy+Gloup+dinero</t>
  </si>
  <si>
    <t>iaquinta.s+Dorf</t>
  </si>
  <si>
    <t>001+Timon</t>
  </si>
  <si>
    <t>Baubude</t>
  </si>
  <si>
    <t>Babylon+-01-</t>
  </si>
  <si>
    <t>blablAGbla</t>
  </si>
  <si>
    <t>jonas2345s+Dorf</t>
  </si>
  <si>
    <t>Andreas1997s+Dorf</t>
  </si>
  <si>
    <t>Yesterday</t>
  </si>
  <si>
    <t>Dragon17</t>
  </si>
  <si>
    <t>Kiryokus+Dorf</t>
  </si>
  <si>
    <t>Hansaplast</t>
  </si>
  <si>
    <t>CONDORs+Dorf</t>
  </si>
  <si>
    <t>uuuuus+Dorf</t>
  </si>
  <si>
    <t>Lordlehs+Dorf</t>
  </si>
  <si>
    <t>Busted5s+Dorf</t>
  </si>
  <si>
    <t>Fnsms</t>
  </si>
  <si>
    <t>dobermann2s+Dorf</t>
  </si>
  <si>
    <t>Todtts+Dorf</t>
  </si>
  <si>
    <t>HighJokers+Dorf</t>
  </si>
  <si>
    <t>Ponte51s+Dorf</t>
  </si>
  <si>
    <t>Chrysalis+mit+Herzs+Dorf</t>
  </si>
  <si>
    <t>Jambo89s+Dorf</t>
  </si>
  <si>
    <t>Hass81s+Dorf</t>
  </si>
  <si>
    <t>SCHURI</t>
  </si>
  <si>
    <t>August+der+Braumeisters+Dorf</t>
  </si>
  <si>
    <t>C-Lab</t>
  </si>
  <si>
    <t>Boomrays+Dorf</t>
  </si>
  <si>
    <t>Tobsen94s+Dorf</t>
  </si>
  <si>
    <t>Tommy+der+1.s+Dorf</t>
  </si>
  <si>
    <t>Shadow+Isles</t>
  </si>
  <si>
    <t>Awesome+Olongs+Dorf</t>
  </si>
  <si>
    <t>g0nn213s+Dorf</t>
  </si>
  <si>
    <t>Roman119s+Dorf</t>
  </si>
  <si>
    <t>Weiburg+ist+Back</t>
  </si>
  <si>
    <t>Integer99s+Dorf</t>
  </si>
  <si>
    <t>Nachtwaches+Dorf</t>
  </si>
  <si>
    <t>Old-ECKESs+Dorf</t>
  </si>
  <si>
    <t>staywhoyouares+Dorf</t>
  </si>
  <si>
    <t>The_Killeers+Dorf</t>
  </si>
  <si>
    <t>TyVoles+Dorf</t>
  </si>
  <si>
    <t>RobQs+Dorf</t>
  </si>
  <si>
    <t>Micha1188s+Dorf</t>
  </si>
  <si>
    <t>Mega+1</t>
  </si>
  <si>
    <t>saftschinkens+Dorf</t>
  </si>
  <si>
    <t>Ymmot</t>
  </si>
  <si>
    <t>xBorhoKxs+Dorf</t>
  </si>
  <si>
    <t>stefaan2311s+Dorf</t>
  </si>
  <si>
    <t>Lod+g41s+Dorf</t>
  </si>
  <si>
    <t>Quorexxxs+Dorf</t>
  </si>
  <si>
    <t>Fratzen</t>
  </si>
  <si>
    <t>Harmonistes+Dorf</t>
  </si>
  <si>
    <t>Schmitti</t>
  </si>
  <si>
    <t>Bimbim</t>
  </si>
  <si>
    <t>Dosos+Dorf</t>
  </si>
  <si>
    <t>Spielmakers+Dorf</t>
  </si>
  <si>
    <t>Abcdefg23s+Dorf</t>
  </si>
  <si>
    <t>VincentVega96s+Dorf</t>
  </si>
  <si>
    <t>Brambles+Dorf</t>
  </si>
  <si>
    <t>Traumloss+Dorf</t>
  </si>
  <si>
    <t>Marscandys+Dorf</t>
  </si>
  <si>
    <t>friedi25s+Dorf</t>
  </si>
  <si>
    <t>kdk+Adelsnest</t>
  </si>
  <si>
    <t>TilionWhites+Dorf</t>
  </si>
  <si>
    <t>Lord+Unterhopfts+Dorf</t>
  </si>
  <si>
    <t>Off+Dorf+1</t>
  </si>
  <si>
    <t>Imperativs+Dorf</t>
  </si>
  <si>
    <t>Amarocs+Dorf</t>
  </si>
  <si>
    <t>DjDurchfalls+Dorf</t>
  </si>
  <si>
    <t>mastauops+Dorf</t>
  </si>
  <si>
    <t>Lord+Mac+Georgs+Dorf</t>
  </si>
  <si>
    <t>Rasselbande+%231</t>
  </si>
  <si>
    <t>Narcos</t>
  </si>
  <si>
    <t>Lord+Baba54s+Dorf</t>
  </si>
  <si>
    <t>Amy.s+Dorf</t>
  </si>
  <si>
    <t>001+Breuberg</t>
  </si>
  <si>
    <t>Apullis+Dorf+11</t>
  </si>
  <si>
    <t>Lacsis+Dorf</t>
  </si>
  <si>
    <t>marcel.kornes+Dorf</t>
  </si>
  <si>
    <t>Asvivas+Dorf</t>
  </si>
  <si>
    <t>Nikkel406s+Dorf</t>
  </si>
  <si>
    <t>Bude001</t>
  </si>
  <si>
    <t>.Destr0yers+Dorf</t>
  </si>
  <si>
    <t>Insulaner</t>
  </si>
  <si>
    <t>Waterboys+Imperium</t>
  </si>
  <si>
    <t>tillinators</t>
  </si>
  <si>
    <t>Stone+3110s+Dorf</t>
  </si>
  <si>
    <t>Baroness</t>
  </si>
  <si>
    <t>Heller+Angels+Dorf</t>
  </si>
  <si>
    <t>hawkslayers+Dorf</t>
  </si>
  <si>
    <t>Dachbauers+doch+nicht+Farm</t>
  </si>
  <si>
    <t>AnbauersFaketruppes+Dorf</t>
  </si>
  <si>
    <t>Old+Yorks+Dorf</t>
  </si>
  <si>
    <t>Wolverine2309</t>
  </si>
  <si>
    <t>Altogangztaztown</t>
  </si>
  <si>
    <t>Teclis44s+Dorf</t>
  </si>
  <si>
    <t>Fightlord5s+Dorf</t>
  </si>
  <si>
    <t>Jazzos+Dorf</t>
  </si>
  <si>
    <t>Jigubigule</t>
  </si>
  <si>
    <t>ARCADIA</t>
  </si>
  <si>
    <t>Lord+Predators+Dorf</t>
  </si>
  <si>
    <t>Drago94s+Dorf</t>
  </si>
  <si>
    <t>Jaytan420s+Dorf</t>
  </si>
  <si>
    <t>Raml1777s+Dorf</t>
  </si>
  <si>
    <t>Australien</t>
  </si>
  <si>
    <t>LVM1</t>
  </si>
  <si>
    <t>Gustav-King-95s+Dorf</t>
  </si>
  <si>
    <t>Redwood007s+Dorf</t>
  </si>
  <si>
    <t>Plainlazy88s+Dorf</t>
  </si>
  <si>
    <t>Maximierer0815s+Dorf</t>
  </si>
  <si>
    <t>Grabwurms+Dorf</t>
  </si>
  <si>
    <t>Lord+tillis+Dorf</t>
  </si>
  <si>
    <t>udolins+Dorf</t>
  </si>
  <si>
    <t>MrFireblade</t>
  </si>
  <si>
    <t>bANDYts+Dorf</t>
  </si>
  <si>
    <t>CoffeeAbusers+Dorf</t>
  </si>
  <si>
    <t>Frontsoldats+Dorf</t>
  </si>
  <si>
    <t>DaKickZzs+Dorf</t>
  </si>
  <si>
    <t>JMLGF17s+Dorf</t>
  </si>
  <si>
    <t>Ventho+01</t>
  </si>
  <si>
    <t>AG+1</t>
  </si>
  <si>
    <t>SmartPandas+Dorf</t>
  </si>
  <si>
    <t>White69s+Dorf</t>
  </si>
  <si>
    <t>Servuslis+Dorf</t>
  </si>
  <si>
    <t>Volniss+Dorf</t>
  </si>
  <si>
    <t>Melaxos+Dorf</t>
  </si>
  <si>
    <t>HeikeUndFlos+Dorf</t>
  </si>
  <si>
    <t>Briegeltown</t>
  </si>
  <si>
    <t>AK136s+Dorf</t>
  </si>
  <si>
    <t>mapbugs+Dorf</t>
  </si>
  <si>
    <t>georg+189s+Dorf</t>
  </si>
  <si>
    <t>beninokinds+Dorf</t>
  </si>
  <si>
    <t>Pug+c.+D.s+Dorf</t>
  </si>
  <si>
    <t>semoh87s+Dorf</t>
  </si>
  <si>
    <t>lihis+Dorf</t>
  </si>
  <si>
    <t>Ulfus+Maximuss+Dorf</t>
  </si>
  <si>
    <t>TheLonelyIsland.s+Dorf</t>
  </si>
  <si>
    <t>essas+Dorf</t>
  </si>
  <si>
    <t>Edik92</t>
  </si>
  <si>
    <t>Prokrastina</t>
  </si>
  <si>
    <t>HNNSs+Dorf</t>
  </si>
  <si>
    <t>Hackepeter</t>
  </si>
  <si>
    <t>Land+an+der+Thaya</t>
  </si>
  <si>
    <t>djblyatmans+Dorf</t>
  </si>
  <si>
    <t>Gumbars+Dorf</t>
  </si>
  <si>
    <t>Ceylon</t>
  </si>
  <si>
    <t>schlecris+Dorf</t>
  </si>
  <si>
    <t>wat+mach+ich+hier</t>
  </si>
  <si>
    <t>XxDiegoxXs+Dorf</t>
  </si>
  <si>
    <t>Vlatten</t>
  </si>
  <si>
    <t>Dorfnames+Dorf</t>
  </si>
  <si>
    <t>Asterix67s+Dorf</t>
  </si>
  <si>
    <t>Trost</t>
  </si>
  <si>
    <t>Ananas</t>
  </si>
  <si>
    <t>Hugss+Dorf</t>
  </si>
  <si>
    <t>leverkusen044s+Dorf</t>
  </si>
  <si>
    <t>ConfusedGatsbys+Dorf</t>
  </si>
  <si>
    <t>Herbesedel</t>
  </si>
  <si>
    <t>B-City</t>
  </si>
  <si>
    <t>Lord+Hoschi45s+Dorf</t>
  </si>
  <si>
    <t>KillaKays+Dorf</t>
  </si>
  <si>
    <t>wolledogs+Dorf</t>
  </si>
  <si>
    <t>xxlxon1s+Dorf</t>
  </si>
  <si>
    <t>Dietmar91s+Dorf</t>
  </si>
  <si>
    <t>001+Cascada</t>
  </si>
  <si>
    <t>Herry11s+Dorf</t>
  </si>
  <si>
    <t>Peace+803</t>
  </si>
  <si>
    <t>Cim+City+01</t>
  </si>
  <si>
    <t>thelittles+Dorf</t>
  </si>
  <si>
    <t>donat2s</t>
  </si>
  <si>
    <t>JPS10s+Dorf</t>
  </si>
  <si>
    <t>LJG88s+Dorf</t>
  </si>
  <si>
    <t>Mick1312s+Dorf</t>
  </si>
  <si>
    <t>002+-+Thanh+Hoa</t>
  </si>
  <si>
    <t>Nami25s+Dorf</t>
  </si>
  <si>
    <t>Veronaville+001</t>
  </si>
  <si>
    <t>schurli12s+Dorf</t>
  </si>
  <si>
    <t>einhorn081s+Dorf</t>
  </si>
  <si>
    <t>Ina9s+Dorf</t>
  </si>
  <si>
    <t>Nix+Drin</t>
  </si>
  <si>
    <t>Galaxy21zeros+Dorf</t>
  </si>
  <si>
    <t>Grompers+Dorf</t>
  </si>
  <si>
    <t>Orgimmar</t>
  </si>
  <si>
    <t>Akkarsys+Dorf</t>
  </si>
  <si>
    <t>Rutkarfolleksnattaks+Dorf</t>
  </si>
  <si>
    <t>spataner33s+Dorf</t>
  </si>
  <si>
    <t>brimstone12s+Dorf</t>
  </si>
  <si>
    <t>Muh</t>
  </si>
  <si>
    <t>Fidas+Dorf</t>
  </si>
  <si>
    <t>666Jesus666s+Dorf</t>
  </si>
  <si>
    <t>AceKobras+Dorf</t>
  </si>
  <si>
    <t>Bela99s+Dorf</t>
  </si>
  <si>
    <t>bomb3rs+Dorf</t>
  </si>
  <si>
    <t>Melvinus71s+Dorf</t>
  </si>
  <si>
    <t>Mateo1s+Dorf</t>
  </si>
  <si>
    <t>bofrost9000s+Dorf</t>
  </si>
  <si>
    <t>Th+01</t>
  </si>
  <si>
    <t>luc</t>
  </si>
  <si>
    <t>--Kla%24%24--s+Dorf</t>
  </si>
  <si>
    <t>Affenfestung+01</t>
  </si>
  <si>
    <t>Angor+Wat</t>
  </si>
  <si>
    <t>teikos+Dorf</t>
  </si>
  <si>
    <t>Neodamondens+Dorf</t>
  </si>
  <si>
    <t>immer+noch+hier</t>
  </si>
  <si>
    <t>TerrorErnis+Dorf</t>
  </si>
  <si>
    <t>GUMPI97s+Dorf</t>
  </si>
  <si>
    <t>Babarendave1s+Dorf</t>
  </si>
  <si>
    <t>sillex3s+Dorf</t>
  </si>
  <si>
    <t>Resistance</t>
  </si>
  <si>
    <t>Dorf.</t>
  </si>
  <si>
    <t>FeTTa+LaPPns+Dorf</t>
  </si>
  <si>
    <t>Sparta</t>
  </si>
  <si>
    <t>DontGetUpsets+Dorf</t>
  </si>
  <si>
    <t>AurVels+Dorf</t>
  </si>
  <si>
    <t>Darren-Shans+Dorf</t>
  </si>
  <si>
    <t>XX+II</t>
  </si>
  <si>
    <t>Roubeys+Dorf</t>
  </si>
  <si>
    <t>LRiiiis+Dorf</t>
  </si>
  <si>
    <t>KingKennys+Dorf</t>
  </si>
  <si>
    <t>kedoexes+Dorf</t>
  </si>
  <si>
    <t>Killbratens+Dorf</t>
  </si>
  <si>
    <t>WarDog5051s</t>
  </si>
  <si>
    <t>Gramfeste</t>
  </si>
  <si>
    <t>Sparvieros+Dorf</t>
  </si>
  <si>
    <t>Kuhdorf</t>
  </si>
  <si>
    <t>Gerhardeasys+Dorf</t>
  </si>
  <si>
    <t>Kudasais+Dorf</t>
  </si>
  <si>
    <t>Pinkmans+Dorf</t>
  </si>
  <si>
    <t>Elenor</t>
  </si>
  <si>
    <t>Meiselkurts+Dorf</t>
  </si>
  <si>
    <t>Pfohliciouss+Dorf</t>
  </si>
  <si>
    <t>LispelndesGeistleins+Dorf</t>
  </si>
  <si>
    <t>Alcatraz</t>
  </si>
  <si>
    <t>Farmer00s+Dorf</t>
  </si>
  <si>
    <t>Big-Bauss+Dorf</t>
  </si>
  <si>
    <t>obetikks+Dorf</t>
  </si>
  <si>
    <t>doubble9999s+Dorf</t>
  </si>
  <si>
    <t>Hamm</t>
  </si>
  <si>
    <t>telgos+Dorf</t>
  </si>
  <si>
    <t>SirSilvas+Dorf</t>
  </si>
  <si>
    <t>K56.1+Windmill+VillAGe</t>
  </si>
  <si>
    <t>blubb</t>
  </si>
  <si>
    <t>Baumwollplantage</t>
  </si>
  <si>
    <t>AlphaZs+Dorf</t>
  </si>
  <si>
    <t>Sportlerheim</t>
  </si>
  <si>
    <t>TD+Woodys+Dorf</t>
  </si>
  <si>
    <t>Endeavour</t>
  </si>
  <si>
    <t>001+Itsalone+Suckt</t>
  </si>
  <si>
    <t>Ben+the+Zen+2.0</t>
  </si>
  <si>
    <t>Enelyas+Dorf</t>
  </si>
  <si>
    <t>Trewwer</t>
  </si>
  <si>
    <t>TyrNordwindss+Dorf</t>
  </si>
  <si>
    <t>Kampfnarbe2s+Dorf+01</t>
  </si>
  <si>
    <t>Stabilo+Boss+Dorf</t>
  </si>
  <si>
    <t>FRIP.s+Dorf</t>
  </si>
  <si>
    <t>michael7777s+Dorf</t>
  </si>
  <si>
    <t>prioos+Dorf</t>
  </si>
  <si>
    <t>LegionZeazys+Dorf</t>
  </si>
  <si>
    <t>Falke1180s+Dorf</t>
  </si>
  <si>
    <t>Emma96s+Dorf</t>
  </si>
  <si>
    <t>Dson+Faimon</t>
  </si>
  <si>
    <t>R4ZiELs+Dorf</t>
  </si>
  <si>
    <t>Tubaluloma</t>
  </si>
  <si>
    <t>Dooomlords+Dorf</t>
  </si>
  <si>
    <t>OXOX+01</t>
  </si>
  <si>
    <t>jahginkos+Dorf</t>
  </si>
  <si>
    <t>FaRm+DoRf</t>
  </si>
  <si>
    <t>SmolBrains+Dorf</t>
  </si>
  <si>
    <t>Lord+soldats+Dorf</t>
  </si>
  <si>
    <t>PineappleTheFruitDude99s+Dorf</t>
  </si>
  <si>
    <t>Speedy79s+Dorf</t>
  </si>
  <si>
    <t>Chill+as+Buddhas+Dorf</t>
  </si>
  <si>
    <t>ItchyandScratchysrf</t>
  </si>
  <si>
    <t>zocker18954s+Dorf</t>
  </si>
  <si>
    <t>BO+001</t>
  </si>
  <si>
    <t>Sir+Henrys+Dorf</t>
  </si>
  <si>
    <t>Dreiburg</t>
  </si>
  <si>
    <t>rote-tomates+Dorf</t>
  </si>
  <si>
    <t>UG5593s+Dorf</t>
  </si>
  <si>
    <t>Lord+Pivos+Dorf</t>
  </si>
  <si>
    <t>Kann+nicht+spielens+Dorf</t>
  </si>
  <si>
    <t>dreckiger+daens+Dorf</t>
  </si>
  <si>
    <t>Karottenstadt</t>
  </si>
  <si>
    <t>lohsis+Dorf2</t>
  </si>
  <si>
    <t>HellesWassers+Dorf</t>
  </si>
  <si>
    <t>The+Phantom+007s+Dorf</t>
  </si>
  <si>
    <t>King+Lothar+3s+Dorf</t>
  </si>
  <si>
    <t>HardbassHelmuts+Dorf</t>
  </si>
  <si>
    <t>Only+1+Village</t>
  </si>
  <si>
    <t>Nycros+Dorf</t>
  </si>
  <si>
    <t>rezlifus+Dorf</t>
  </si>
  <si>
    <t>snxys+Dorf</t>
  </si>
  <si>
    <t>Killer-Bees+Dorf</t>
  </si>
  <si>
    <t>JINshin</t>
  </si>
  <si>
    <t>Tijuana</t>
  </si>
  <si>
    <t>Bloodstalker</t>
  </si>
  <si>
    <t>..%3A%3AOsTHooD%3A%3A..</t>
  </si>
  <si>
    <t>Das+Blut+der+Rosens+Dorf</t>
  </si>
  <si>
    <t>S2021</t>
  </si>
  <si>
    <t>wompek+man+from+space</t>
  </si>
  <si>
    <t>Luni</t>
  </si>
  <si>
    <t>Bluesons13s+Dorf</t>
  </si>
  <si>
    <t>RealPegasuss+Dorf</t>
  </si>
  <si>
    <t>Elefant</t>
  </si>
  <si>
    <t>Nashorn</t>
  </si>
  <si>
    <t>Neue+Zeiten+001</t>
  </si>
  <si>
    <t>Tangierss+Dorf</t>
  </si>
  <si>
    <t>dixerys+Dorf</t>
  </si>
  <si>
    <t>Kandurs+Dorf</t>
  </si>
  <si>
    <t>Toruns+Dorf</t>
  </si>
  <si>
    <t>svenni10s+Dorf</t>
  </si>
  <si>
    <t>Mxrrxs02s+Dorf</t>
  </si>
  <si>
    <t>Tromlers+Dorf</t>
  </si>
  <si>
    <t>Sweet+Home</t>
  </si>
  <si>
    <t>Desperados1s+Dorf</t>
  </si>
  <si>
    <t>hans23s+Dorf</t>
  </si>
  <si>
    <t>scratchy.s+Dorf</t>
  </si>
  <si>
    <t>BFGAs+Dorf</t>
  </si>
  <si>
    <t>Ankyluss+Dorf</t>
  </si>
  <si>
    <t>Tatooine</t>
  </si>
  <si>
    <t>maix+de+paixs+Dorf</t>
  </si>
  <si>
    <t>Mr.Langes+Dorf</t>
  </si>
  <si>
    <t>timit</t>
  </si>
  <si>
    <t>Bude01</t>
  </si>
  <si>
    <t>Meins</t>
  </si>
  <si>
    <t>Jason94s+Dorf</t>
  </si>
  <si>
    <t>wigger224s+Dorf</t>
  </si>
  <si>
    <t>Dolf+0815s+Dorf</t>
  </si>
  <si>
    <t>Lasarius+Slukuss+Dorf</t>
  </si>
  <si>
    <t>Hartmann+Dorf</t>
  </si>
  <si>
    <t>Elektrixels+Dorf</t>
  </si>
  <si>
    <t>Lord+Marshs+Dorf</t>
  </si>
  <si>
    <t>darksamy1s+Dorf</t>
  </si>
  <si>
    <t>No.+02</t>
  </si>
  <si>
    <t>SolomonKanees+Dorf</t>
  </si>
  <si>
    <t>KingGrimmGorks+Dorf</t>
  </si>
  <si>
    <t>Der+Hive</t>
  </si>
  <si>
    <t>UFFFFFFFF</t>
  </si>
  <si>
    <t>Loguetown+001</t>
  </si>
  <si>
    <t>vester1s+Dorf</t>
  </si>
  <si>
    <t>Jeder90s+Dorf</t>
  </si>
  <si>
    <t>parps01s+Dorf</t>
  </si>
  <si>
    <t>VAN+THELENs+Dorf</t>
  </si>
  <si>
    <t>tgbvfrs+Dorf</t>
  </si>
  <si>
    <t>Stevesworld</t>
  </si>
  <si>
    <t>fc+hansa+rostock</t>
  </si>
  <si>
    <t>Scharlos+Dorf</t>
  </si>
  <si>
    <t>Guter+Freund</t>
  </si>
  <si>
    <t>Schachmatt3s+Dorf1</t>
  </si>
  <si>
    <t>AMG+GT1</t>
  </si>
  <si>
    <t>Mantgas+Dorf</t>
  </si>
  <si>
    <t>Carp+City+001</t>
  </si>
  <si>
    <t>Rudi</t>
  </si>
  <si>
    <t>Sebi386s+Dorf</t>
  </si>
  <si>
    <t>Oh+Kay</t>
  </si>
  <si>
    <t>Rehsters+Dorf</t>
  </si>
  <si>
    <t>fireschs+Dorf</t>
  </si>
  <si>
    <t>Chlytalers+Dorf</t>
  </si>
  <si>
    <t>eXouLs+Dorf</t>
  </si>
  <si>
    <t>Thidrik88s+Dorf</t>
  </si>
  <si>
    <t>oViruzs+Dorf</t>
  </si>
  <si>
    <t>Daniel.18944s+Dorf</t>
  </si>
  <si>
    <t>MasterMidgets+Dorf</t>
  </si>
  <si>
    <t>mt383838s+Dorf</t>
  </si>
  <si>
    <t>Corjis+Dorf</t>
  </si>
  <si>
    <t>Kann+nix</t>
  </si>
  <si>
    <t>Hennessy</t>
  </si>
  <si>
    <t>b17801</t>
  </si>
  <si>
    <t>Wessex2.0</t>
  </si>
  <si>
    <t>Timbonators+Dorf</t>
  </si>
  <si>
    <t>Oberbayernduos+Dorf</t>
  </si>
  <si>
    <t>blinder2015s+Dorf</t>
  </si>
  <si>
    <t>001+keinC0r0na</t>
  </si>
  <si>
    <t>anke01s+Dorf</t>
  </si>
  <si>
    <t>CH1LL3R26s+Dorf</t>
  </si>
  <si>
    <t>waldikoksts+Dorf</t>
  </si>
  <si>
    <t>thebob95s+Dorf</t>
  </si>
  <si>
    <t>beowulf26s+Dorf</t>
  </si>
  <si>
    <t>001+SChmutz</t>
  </si>
  <si>
    <t>MassivMs+Dorf</t>
  </si>
  <si>
    <t>Kude1978s+Dorf</t>
  </si>
  <si>
    <t>Siyahsbesters+Dorf</t>
  </si>
  <si>
    <t>sawdelias+Dorf</t>
  </si>
  <si>
    <t>huabas+Dorf</t>
  </si>
  <si>
    <t>Lafayette</t>
  </si>
  <si>
    <t>Paris+1</t>
  </si>
  <si>
    <t>Giesing</t>
  </si>
  <si>
    <t>Yeet</t>
  </si>
  <si>
    <t>St.Tropez90s+Dorf</t>
  </si>
  <si>
    <t>ritter315s+Dorf</t>
  </si>
  <si>
    <t>Hoodlum</t>
  </si>
  <si>
    <t>001+Astrid</t>
  </si>
  <si>
    <t>Solvi</t>
  </si>
  <si>
    <t>Babarendorf</t>
  </si>
  <si>
    <t>Adam+und+Eva</t>
  </si>
  <si>
    <t>M%40ster-xs+Dorf</t>
  </si>
  <si>
    <t>EmperorLuans+Dorf</t>
  </si>
  <si>
    <t>Hell</t>
  </si>
  <si>
    <t>motormans+Dorf</t>
  </si>
  <si>
    <t>DieSpartaner</t>
  </si>
  <si>
    <t>Famouzbloods+Dorf</t>
  </si>
  <si>
    <t>ElCannabios+Dorf</t>
  </si>
  <si>
    <t>Tantiellyis+Dorf</t>
  </si>
  <si>
    <t>Paninis+knecht</t>
  </si>
  <si>
    <t>Harry+Spotters+Dorf</t>
  </si>
  <si>
    <t>AragornIVs+Dorf</t>
  </si>
  <si>
    <t>Dorf+Dullalu</t>
  </si>
  <si>
    <t>voitei123s+Dorf</t>
  </si>
  <si>
    <t>Mike088+Dorf</t>
  </si>
  <si>
    <t>DerLongJohnsons+Dorf</t>
  </si>
  <si>
    <t>Lord+Alliass+Dorf</t>
  </si>
  <si>
    <t>Starcity1</t>
  </si>
  <si>
    <t>Zombie+Station</t>
  </si>
  <si>
    <t>mollidks+Dorf</t>
  </si>
  <si>
    <t>01+-+Gotham</t>
  </si>
  <si>
    <t>Blacky94s+Dorf</t>
  </si>
  <si>
    <t>Marie2406</t>
  </si>
  <si>
    <t>.Shadow.s+Dorf</t>
  </si>
  <si>
    <t>Pat1508s+Dorf</t>
  </si>
  <si>
    <t>MoralBasher2020s</t>
  </si>
  <si>
    <t>Debrays+Dorf</t>
  </si>
  <si>
    <t>Sea1</t>
  </si>
  <si>
    <t>ralfi22s+Dorf</t>
  </si>
  <si>
    <t>skyrim1997s+Dorf</t>
  </si>
  <si>
    <t>Superspreaders+Dorf</t>
  </si>
  <si>
    <t>dorf+chemnitz</t>
  </si>
  <si>
    <t>farm+wo+anders+xD</t>
  </si>
  <si>
    <t>Ramblows+Dorf</t>
  </si>
  <si>
    <t>Dunzi1995s+Dorf</t>
  </si>
  <si>
    <t>Wurstles+Dorf</t>
  </si>
  <si>
    <t>A-Worms</t>
  </si>
  <si>
    <t>LordHelmchen1999s+Dorf</t>
  </si>
  <si>
    <t>Naktaras+Dorf</t>
  </si>
  <si>
    <t>Lord+of+Megadesasters+Dorf</t>
  </si>
  <si>
    <t>Schlappekicker</t>
  </si>
  <si>
    <t>Zocken+x3s+Dorf</t>
  </si>
  <si>
    <t>Virmans+Dorf</t>
  </si>
  <si>
    <t>mesocools+Dorf</t>
  </si>
  <si>
    <t>GranSport</t>
  </si>
  <si>
    <t>Blue+SFs+Dorf</t>
  </si>
  <si>
    <t>KimJongUnbesiegbars+Dorf</t>
  </si>
  <si>
    <t>Katze123s+Dorf</t>
  </si>
  <si>
    <t>Bunkaaa</t>
  </si>
  <si>
    <t>dein+Untergang</t>
  </si>
  <si>
    <t>Comeback+%231</t>
  </si>
  <si>
    <t>Hyrule</t>
  </si>
  <si>
    <t>Welle</t>
  </si>
  <si>
    <t>Justine4s+Dorf</t>
  </si>
  <si>
    <t>Lukas95s+Dorf</t>
  </si>
  <si>
    <t>Ich+habe+ein+Alkohol+Problem</t>
  </si>
  <si>
    <t>xXpsychowelleXxs+Dorf</t>
  </si>
  <si>
    <t>funnyskills+Dorf</t>
  </si>
  <si>
    <t>Nexus</t>
  </si>
  <si>
    <t>Ulrich+v.D.s+Dorf</t>
  </si>
  <si>
    <t>Der+Boss+in+seinem+Schloss</t>
  </si>
  <si>
    <t>Amadiss+Dorf</t>
  </si>
  <si>
    <t>Der+Whiskys+Dorf</t>
  </si>
  <si>
    <t>Wizzard13</t>
  </si>
  <si>
    <t>heisenberg1000s+Dorf</t>
  </si>
  <si>
    <t>Die+Axt</t>
  </si>
  <si>
    <t>1Mazda-Fan2021s+Dorf</t>
  </si>
  <si>
    <t>Stop</t>
  </si>
  <si>
    <t>%231+Smitty+Werbenjaggermanjensen</t>
  </si>
  <si>
    <t>Pegasuss</t>
  </si>
  <si>
    <t>FairnotGGs+Dorfi</t>
  </si>
  <si>
    <t>Donnerfels</t>
  </si>
  <si>
    <t>Bandle</t>
  </si>
  <si>
    <t>Ginozars+Dorf</t>
  </si>
  <si>
    <t>Leipoons+Dorf</t>
  </si>
  <si>
    <t>Chechenizs+Dorf</t>
  </si>
  <si>
    <t>Seraphions+Dorf</t>
  </si>
  <si>
    <t>Jokergnomes+Dorf</t>
  </si>
  <si>
    <t>peelos+Dorf</t>
  </si>
  <si>
    <t>G-Punkt</t>
  </si>
  <si>
    <t>008tomcats+Dorf</t>
  </si>
  <si>
    <t>depp007s+Dorf</t>
  </si>
  <si>
    <t>ritter+patricks+Dorf</t>
  </si>
  <si>
    <t>Charly+Hapers+Dorf</t>
  </si>
  <si>
    <t>Der+eiserne+Gustavs+Dorf+2.0</t>
  </si>
  <si>
    <t>Ankastros+Dorf</t>
  </si>
  <si>
    <t>Attendorn</t>
  </si>
  <si>
    <t>SAHBAZ41s+Dorf</t>
  </si>
  <si>
    <t>cheinrichs+Dorf</t>
  </si>
  <si>
    <t>Deliler+Dorf</t>
  </si>
  <si>
    <t>detpul</t>
  </si>
  <si>
    <t>Hanni1</t>
  </si>
  <si>
    <t>Toto999s+Dorf</t>
  </si>
  <si>
    <t>Samsels+Dorf</t>
  </si>
  <si>
    <t>Sport</t>
  </si>
  <si>
    <t>xMailss+Dorf</t>
  </si>
  <si>
    <t>White+Dragonflys+Dorf</t>
  </si>
  <si>
    <t>andrs+Dorf</t>
  </si>
  <si>
    <t>Phonix11s+Dorf</t>
  </si>
  <si>
    <t>gear.9s+Dorf</t>
  </si>
  <si>
    <t>Trotro</t>
  </si>
  <si>
    <t>H-P.+K.s+Dorf</t>
  </si>
  <si>
    <t>tallha5757s+Dorf</t>
  </si>
  <si>
    <t>Short-Hupes+Dorf</t>
  </si>
  <si>
    <t>elWambo</t>
  </si>
  <si>
    <t>ben13.12s+Dorf</t>
  </si>
  <si>
    <t>Buxtehude</t>
  </si>
  <si>
    <t>AleksandeR+Der+KleinE+178</t>
  </si>
  <si>
    <t>Rumpelkammer</t>
  </si>
  <si>
    <t>Sir+Jons+Dorf</t>
  </si>
  <si>
    <t>Kangertechs+Dorf</t>
  </si>
  <si>
    <t>Hot+Dog+Stadt</t>
  </si>
  <si>
    <t>WATERWORLD</t>
  </si>
  <si>
    <t>BaraBar</t>
  </si>
  <si>
    <t>Tom+Clancys+Dorf</t>
  </si>
  <si>
    <t>Waltershausen</t>
  </si>
  <si>
    <t>Luzifinas+Dorf</t>
  </si>
  <si>
    <t>Alpacas+Dorf</t>
  </si>
  <si>
    <t>spenco92</t>
  </si>
  <si>
    <t>KR+City</t>
  </si>
  <si>
    <t>MUHAHAMUHs+Dorf</t>
  </si>
  <si>
    <t>Wolnzach</t>
  </si>
  <si>
    <t>Reverdens+Dorf</t>
  </si>
  <si>
    <t>Sonderausgabe</t>
  </si>
  <si>
    <t>001+Shanghai</t>
  </si>
  <si>
    <t>lukithebests+Dorf</t>
  </si>
  <si>
    <t>Veltins</t>
  </si>
  <si>
    <t>tansis99s+Dorf</t>
  </si>
  <si>
    <t>KaKaDu337s+Dorf</t>
  </si>
  <si>
    <t>Hi2002s+Dorf</t>
  </si>
  <si>
    <t>Puschls+Dorf</t>
  </si>
  <si>
    <t>rocki6s+Dorf</t>
  </si>
  <si>
    <t>Wall-Brecher91s+Dorf</t>
  </si>
  <si>
    <t>The-Old-Jenkinss+Dorf</t>
  </si>
  <si>
    <t>Patrick+Dorf</t>
  </si>
  <si>
    <t>happymeals+Dorf</t>
  </si>
  <si>
    <t>caclo99s+Dorf</t>
  </si>
  <si>
    <t>lukevitos+Dorf</t>
  </si>
  <si>
    <t>Unbekannter+Spielers+Dorf</t>
  </si>
  <si>
    <t>motis261s+Dorf</t>
  </si>
  <si>
    <t>_+_</t>
  </si>
  <si>
    <t>Listiger+Lokis+Dorf</t>
  </si>
  <si>
    <t>Actualdobrys+Dorf</t>
  </si>
  <si>
    <t>burzlstiegns+Dorf</t>
  </si>
  <si>
    <t>Efelknefels+Dorf</t>
  </si>
  <si>
    <t>Lechz</t>
  </si>
  <si>
    <t>Der+Spieler+VIs+Dorf</t>
  </si>
  <si>
    <t>Happysticks+Dorf</t>
  </si>
  <si>
    <t>maudi+Dorf</t>
  </si>
  <si>
    <t>HeidemastersHomeTown</t>
  </si>
  <si>
    <t>martados+Dorf</t>
  </si>
  <si>
    <t>moewiedes+Dorf</t>
  </si>
  <si>
    <t>Lord+WhiteFlags+Dorf</t>
  </si>
  <si>
    <t>Dol+Guldur</t>
  </si>
  <si>
    <t>Darthkitters+Dorf</t>
  </si>
  <si>
    <t>Mr+Quack+%3AD</t>
  </si>
  <si>
    <t>Vogtland</t>
  </si>
  <si>
    <t>Schnepfenthal</t>
  </si>
  <si>
    <t>GladiatorJos+Dorfs</t>
  </si>
  <si>
    <t>Xs+Dorf</t>
  </si>
  <si>
    <t>heidrun00s+Dorf</t>
  </si>
  <si>
    <t>Flaris</t>
  </si>
  <si>
    <t>Saint+Morning</t>
  </si>
  <si>
    <t>Kreuzers+Dorf</t>
  </si>
  <si>
    <t>notyournames+Dorf</t>
  </si>
  <si>
    <t>Netflixs+Dorf</t>
  </si>
  <si>
    <t>saperlotts+Dorf</t>
  </si>
  <si>
    <t>DDD0PEs+Dorf</t>
  </si>
  <si>
    <t>The+ONE</t>
  </si>
  <si>
    <t>MrSpeedyGonzaless+Dorf</t>
  </si>
  <si>
    <t>DamaniDadas+Dorf</t>
  </si>
  <si>
    <t>underkill</t>
  </si>
  <si>
    <t>HarryMK7s+Dorf</t>
  </si>
  <si>
    <t>Lord+xXP4n3mst4rXxs+Dorf</t>
  </si>
  <si>
    <t>.Ph4nt0m.s+Dorf</t>
  </si>
  <si>
    <t>002+Gilead</t>
  </si>
  <si>
    <t>Volkspark</t>
  </si>
  <si>
    <t>bene-bs+Dorf</t>
  </si>
  <si>
    <t>genti45s+Dorf</t>
  </si>
  <si>
    <t>concorde112s+Dorf</t>
  </si>
  <si>
    <t>Tinchen285s+Dorf</t>
  </si>
  <si>
    <t>Langenhain</t>
  </si>
  <si>
    <t>igorscenes+Dorf</t>
  </si>
  <si>
    <t>Donaustadt</t>
  </si>
  <si>
    <t>Friedrichroda</t>
  </si>
  <si>
    <t>Master+Louis+Dorf</t>
  </si>
  <si>
    <t>Askirs+Dorf</t>
  </si>
  <si>
    <t>stonks</t>
  </si>
  <si>
    <t>matti491s+Dorf</t>
  </si>
  <si>
    <t>SOA</t>
  </si>
  <si>
    <t>Horst</t>
  </si>
  <si>
    <t>Sephixs+Dorf</t>
  </si>
  <si>
    <t>Die+Hood+der+quessen+Quesadillas</t>
  </si>
  <si>
    <t>Roman77s+Dorf</t>
  </si>
  <si>
    <t>xL+schulLes+Dorf</t>
  </si>
  <si>
    <t>Zwinglis+Dorf</t>
  </si>
  <si>
    <t>KanSpors+Dorf</t>
  </si>
  <si>
    <t>Schulze91s+Dorf</t>
  </si>
  <si>
    <t>fox001</t>
  </si>
  <si>
    <t>Michelfeld</t>
  </si>
  <si>
    <t>PUTA</t>
  </si>
  <si>
    <t>El+Neesoss+Dorf</t>
  </si>
  <si>
    <t>weisihodanklans+Dorf</t>
  </si>
  <si>
    <t>Berlin+01</t>
  </si>
  <si>
    <t>NeeseHoes+Dorf</t>
  </si>
  <si>
    <t>Elektrosmog+Hypochonder</t>
  </si>
  <si>
    <t>Sp1k3x2014</t>
  </si>
  <si>
    <t>001+SUNNY</t>
  </si>
  <si>
    <t>Fledermausland</t>
  </si>
  <si>
    <t>Lord+Manss+Dorf</t>
  </si>
  <si>
    <t>Rentens+Dorf</t>
  </si>
  <si>
    <t>Frankfurt+001</t>
  </si>
  <si>
    <t>Gott96s+Dorf</t>
  </si>
  <si>
    <t>Box</t>
  </si>
  <si>
    <t>hunter0307s+Dorf</t>
  </si>
  <si>
    <t>Hier+gibt+es+keine+RESSIS</t>
  </si>
  <si>
    <t>ilkays+Dorf</t>
  </si>
  <si>
    <t>Mattios+Dorf</t>
  </si>
  <si>
    <t>sgub82s+Dorf</t>
  </si>
  <si>
    <t>Kampf90s+Dorf</t>
  </si>
  <si>
    <t>Osgiliath</t>
  </si>
  <si>
    <t>Inataptais+Dorf</t>
  </si>
  <si>
    <t>KoRben.s+Dorf</t>
  </si>
  <si>
    <t>.eZ+-001-</t>
  </si>
  <si>
    <t>Azeroth</t>
  </si>
  <si>
    <t>Budda80s+Dorf</t>
  </si>
  <si>
    <t>Olegeshs+Dorf</t>
  </si>
  <si>
    <t>Lordkuks69s+Dorf</t>
  </si>
  <si>
    <t>safran2003s+Dorf</t>
  </si>
  <si>
    <t>Uktraks+Dorf</t>
  </si>
  <si>
    <t>Mehlbeeres+Dorf</t>
  </si>
  <si>
    <t>Neal+George+Caffreys+Dorf</t>
  </si>
  <si>
    <t>the99s+Dorf</t>
  </si>
  <si>
    <t>Annaas+Dorf</t>
  </si>
  <si>
    <t>spasmos+Dorf</t>
  </si>
  <si>
    <t>mrhashtags+Dorf</t>
  </si>
  <si>
    <t>Darkwood+one</t>
  </si>
  <si>
    <t>ovebastischs+Dorf</t>
  </si>
  <si>
    <t>ovemeister</t>
  </si>
  <si>
    <t>Seemopss001s+Dorf</t>
  </si>
  <si>
    <t>Zontino</t>
  </si>
  <si>
    <t>Maxl53s+Dorf</t>
  </si>
  <si>
    <t>Bene2001s+Dorf</t>
  </si>
  <si>
    <t>okan41s+Dorf</t>
  </si>
  <si>
    <t>Bartelmess+Dorf</t>
  </si>
  <si>
    <t>Nussstrudlrudls+Dorf</t>
  </si>
  <si>
    <t>darklord+xxs+Dorf</t>
  </si>
  <si>
    <t>LadyEllis+Dorf</t>
  </si>
  <si>
    <t>maytin69s+Dorf</t>
  </si>
  <si>
    <t>Base+001</t>
  </si>
  <si>
    <t>streammm+Dorf</t>
  </si>
  <si>
    <t>TerorrKillers+Dorf</t>
  </si>
  <si>
    <t>Jimmy97Prs+Dorf</t>
  </si>
  <si>
    <t>lordosels+Dorf</t>
  </si>
  <si>
    <t>Zentrale</t>
  </si>
  <si>
    <t>twists+Dorf</t>
  </si>
  <si>
    <t>Olaf+Holzs+Dorf</t>
  </si>
  <si>
    <t>AngelofDooms+Dorf</t>
  </si>
  <si>
    <t>t1o2m3s+Dorf</t>
  </si>
  <si>
    <t>Riverdale_County</t>
  </si>
  <si>
    <t>Catweazle+2.0s+Dorf</t>
  </si>
  <si>
    <t>EspressoRistrettos+Dorf</t>
  </si>
  <si>
    <t>iceman87s+Dorf</t>
  </si>
  <si>
    <t>Nibelheim</t>
  </si>
  <si>
    <t>stephander12s+Dorf</t>
  </si>
  <si>
    <t>random+Dorf</t>
  </si>
  <si>
    <t>Capios+Dorf</t>
  </si>
  <si>
    <t>A+Storm+Is+Coming</t>
  </si>
  <si>
    <t>kadies+Dorf</t>
  </si>
  <si>
    <t>Rivertown+001</t>
  </si>
  <si>
    <t>fazerkexs+Dorf</t>
  </si>
  <si>
    <t>178-PP-Farm</t>
  </si>
  <si>
    <t>Barsoom</t>
  </si>
  <si>
    <t>Sachse89s+Dorf</t>
  </si>
  <si>
    <t>LowTown</t>
  </si>
  <si>
    <t>miezunder12s+Dorf</t>
  </si>
  <si>
    <t>SBL+AUTs+Dorf</t>
  </si>
  <si>
    <t>Graf+v.+Neckartals+Dorf</t>
  </si>
  <si>
    <t>hatschib17s+Dorf</t>
  </si>
  <si>
    <t>BigKing</t>
  </si>
  <si>
    <t>Rembos+Dorf</t>
  </si>
  <si>
    <t>Graf+Herzers+Dorf</t>
  </si>
  <si>
    <t>Borgias+Dorf001</t>
  </si>
  <si>
    <t>lord+fussls+Dorf</t>
  </si>
  <si>
    <t>nick77933s+Dorf</t>
  </si>
  <si>
    <t>Bl3nd97s+Dorf</t>
  </si>
  <si>
    <t>IrgendeinGamers+Dorf</t>
  </si>
  <si>
    <t>Farmer62s+Dorf</t>
  </si>
  <si>
    <t>Rockywuffs+Dorf</t>
  </si>
  <si>
    <t>Sebastiano+100s+Dorf</t>
  </si>
  <si>
    <t>nightraider4s+Dorf</t>
  </si>
  <si>
    <t>Mainz+1</t>
  </si>
  <si>
    <t>001+Wache</t>
  </si>
  <si>
    <t>Tr.Generals+Dorf</t>
  </si>
  <si>
    <t>R3AGs+Dorf</t>
  </si>
  <si>
    <t>Ziyo+01</t>
  </si>
  <si>
    <t>Ellalonnas+Dorf</t>
  </si>
  <si>
    <t>KeyRuns+Dorf</t>
  </si>
  <si>
    <t>Jermany</t>
  </si>
  <si>
    <t>Callas</t>
  </si>
  <si>
    <t>chauruss+Dorf</t>
  </si>
  <si>
    <t>178+ALPHA</t>
  </si>
  <si>
    <t>Das+Dorf+00</t>
  </si>
  <si>
    <t>King-Cados+Dorf</t>
  </si>
  <si>
    <t>HeroMasters+Dorf</t>
  </si>
  <si>
    <t>schingkens+Dorf</t>
  </si>
  <si>
    <t>bailey+on+ices</t>
  </si>
  <si>
    <t>54%3A94%3A75+Barbarendorf</t>
  </si>
  <si>
    <t>Wahlwinkel</t>
  </si>
  <si>
    <t>Anor+Londo</t>
  </si>
  <si>
    <t>Rom+178</t>
  </si>
  <si>
    <t>Osmanli+Imperatoru+001</t>
  </si>
  <si>
    <t>thebigplay94s+Dorf</t>
  </si>
  <si>
    <t>butters+Dorf</t>
  </si>
  <si>
    <t>melli87s+Dorf</t>
  </si>
  <si>
    <t>Richberts+Dorf</t>
  </si>
  <si>
    <t>Champachos+Dorf</t>
  </si>
  <si>
    <t>Smokerclubs+Dorf</t>
  </si>
  <si>
    <t>olywia97s+Dorf</t>
  </si>
  <si>
    <t>BlaackVipers+Dorf</t>
  </si>
  <si>
    <t>anno1416_001</t>
  </si>
  <si>
    <t>galien</t>
  </si>
  <si>
    <t>steini011s+Dorf</t>
  </si>
  <si>
    <t>DerBaertiges+Dorf</t>
  </si>
  <si>
    <t>Ina+Instabil</t>
  </si>
  <si>
    <t>Scaleo+H1s+Dorf</t>
  </si>
  <si>
    <t>adgaras+Dorf</t>
  </si>
  <si>
    <t>luzifer63s+Dorf</t>
  </si>
  <si>
    <t>Roter+Shankss+Dorf</t>
  </si>
  <si>
    <t>Bei+mir+gibts+nix</t>
  </si>
  <si>
    <t>Textus+Dorf</t>
  </si>
  <si>
    <t>BlackxLeafs+Dorf</t>
  </si>
  <si>
    <t>Grimslades+Dorf</t>
  </si>
  <si>
    <t>Pokalsieger+1974</t>
  </si>
  <si>
    <t>Gay+Gamers</t>
  </si>
  <si>
    <t>Basti23s+Dorf</t>
  </si>
  <si>
    <t>Wongaas+Dorf</t>
  </si>
  <si>
    <t>TimetoBashs+Dorf</t>
  </si>
  <si>
    <t>hemblos+Dorf</t>
  </si>
  <si>
    <t>Skopagandas+Dorf</t>
  </si>
  <si>
    <t>Ghost888s+Dorf</t>
  </si>
  <si>
    <t>resurrectionJag</t>
  </si>
  <si>
    <t>001_Bisasam</t>
  </si>
  <si>
    <t>Mediteranes+Dorf</t>
  </si>
  <si>
    <t>Bronko84</t>
  </si>
  <si>
    <t>fishies+Dorf</t>
  </si>
  <si>
    <t>Bomber74s+Dorf</t>
  </si>
  <si>
    <t>voalii</t>
  </si>
  <si>
    <t>Basis+001</t>
  </si>
  <si>
    <t>Rosthagels+Dorf</t>
  </si>
  <si>
    <t>Rhodridges+Dorf</t>
  </si>
  <si>
    <t>Sir+Hadoukens+Dorf</t>
  </si>
  <si>
    <t>Silencemars+Dorf</t>
  </si>
  <si>
    <t>kracc4evers+Dorf</t>
  </si>
  <si>
    <t>Chrisobs+Dorf</t>
  </si>
  <si>
    <t>Lordarios+Dorf</t>
  </si>
  <si>
    <t>Eisenfaust+Dorf</t>
  </si>
  <si>
    <t>G-001</t>
  </si>
  <si>
    <t>oh+a+bandits+Dorf</t>
  </si>
  <si>
    <t>wernerbbgs+Dorf</t>
  </si>
  <si>
    <t>127.0.0.1</t>
  </si>
  <si>
    <t>valdoniers+Dorf</t>
  </si>
  <si>
    <t>Werner+Bremens+Dorf</t>
  </si>
  <si>
    <t>01+Bier</t>
  </si>
  <si>
    <t>Nordland</t>
  </si>
  <si>
    <t>cnon.lloyds+Dorf</t>
  </si>
  <si>
    <t>maik07s+Dorf</t>
  </si>
  <si>
    <t>Ralfkellermanns+Dorf</t>
  </si>
  <si>
    <t>HadesRaches+Dorf</t>
  </si>
  <si>
    <t>nepumuk+111s+Dorf</t>
  </si>
  <si>
    <t>Fogers+Dorf</t>
  </si>
  <si>
    <t>Die+bude...</t>
  </si>
  <si>
    <t>Festung+Wien</t>
  </si>
  <si>
    <t>Bmw67</t>
  </si>
  <si>
    <t>jacksoncabos+Dorf</t>
  </si>
  <si>
    <t>Ringenberg+1</t>
  </si>
  <si>
    <t>PuBkrackers+Dorf</t>
  </si>
  <si>
    <t>Benschops+Dorf</t>
  </si>
  <si>
    <t>UnknownUser1995s+Dorf</t>
  </si>
  <si>
    <t>Herrundmeisters+Dorf</t>
  </si>
  <si>
    <t>Gundabad</t>
  </si>
  <si>
    <t>daddy44s+Dorf</t>
  </si>
  <si>
    <t>geno72s+Dorf</t>
  </si>
  <si>
    <t>puners+Dorf</t>
  </si>
  <si>
    <t>King+Horss+Dorf</t>
  </si>
  <si>
    <t>elegal588s+Dorf</t>
  </si>
  <si>
    <t>BrokenMonks+Dorf</t>
  </si>
  <si>
    <t>roock7s+Dorf</t>
  </si>
  <si>
    <t>Michael2304s+Dorf</t>
  </si>
  <si>
    <t>Peterdettmans+Dorf</t>
  </si>
  <si>
    <t>Wallerhu</t>
  </si>
  <si>
    <t>To4stKriegers+Dorf</t>
  </si>
  <si>
    <t>fabi.004s+Dorf</t>
  </si>
  <si>
    <t>jonesarss+Dorf</t>
  </si>
  <si>
    <t>Revenge+178</t>
  </si>
  <si>
    <t>HonzzZs+Dorf</t>
  </si>
  <si>
    <t>Sepps</t>
  </si>
  <si>
    <t>Ageroth</t>
  </si>
  <si>
    <t>MatzeKings+Dorf</t>
  </si>
  <si>
    <t>CptNexuss+Dorf</t>
  </si>
  <si>
    <t>gertie1234</t>
  </si>
  <si>
    <t>Bam</t>
  </si>
  <si>
    <t>.Kekshandels+Dorf</t>
  </si>
  <si>
    <t>Cere</t>
  </si>
  <si>
    <t>calmanes+Dorf</t>
  </si>
  <si>
    <t>ultralord7s+Dorf</t>
  </si>
  <si>
    <t>Mohhrs+Dorf</t>
  </si>
  <si>
    <t>Molkanauten+Dorf</t>
  </si>
  <si>
    <t>Dado32s+Dorf</t>
  </si>
  <si>
    <t>Waya+Dorf</t>
  </si>
  <si>
    <t>Cremifanum+Orientis</t>
  </si>
  <si>
    <t>Lodernde+Flame</t>
  </si>
  <si>
    <t>FuDG3s+Dorf</t>
  </si>
  <si>
    <t>Hurnado</t>
  </si>
  <si>
    <t>Henni6000s+Dorf</t>
  </si>
  <si>
    <t>arnold75s+Dorf+001</t>
  </si>
  <si>
    <t>xxx69xxxs+Dorf</t>
  </si>
  <si>
    <t>Lichterfeld+City</t>
  </si>
  <si>
    <t>.Flip.s+Dorf</t>
  </si>
  <si>
    <t>pape25s+Dorf</t>
  </si>
  <si>
    <t>Nicos+Dorf</t>
  </si>
  <si>
    <t>OmitBangs+Dorf</t>
  </si>
  <si>
    <t>Mercals+Dorf</t>
  </si>
  <si>
    <t>zar+nikolaus+TRSs+Dorf</t>
  </si>
  <si>
    <t>keksnusss+Dorf</t>
  </si>
  <si>
    <t>Sir+Hools+Dorf</t>
  </si>
  <si>
    <t>iHa1001s+Dorf</t>
  </si>
  <si>
    <t>schnupfen</t>
  </si>
  <si>
    <t>eXtreme89s+Dorf</t>
  </si>
  <si>
    <t>Alpha+Centauri</t>
  </si>
  <si>
    <t>Sternennacht</t>
  </si>
  <si>
    <t>Mountain+II</t>
  </si>
  <si>
    <t>Blend1s+Dorf</t>
  </si>
  <si>
    <t>Patch+of+Heavens</t>
  </si>
  <si>
    <t>xxxxxx</t>
  </si>
  <si>
    <t>ali7474s+Dorf</t>
  </si>
  <si>
    <t>Werlorduss+Dorf</t>
  </si>
  <si>
    <t>RC1</t>
  </si>
  <si>
    <t>001+Windhoek</t>
  </si>
  <si>
    <t>butzinger81s+Dorf</t>
  </si>
  <si>
    <t>Lukas1205</t>
  </si>
  <si>
    <t>Silvernatos+Dorf</t>
  </si>
  <si>
    <t>Lemmip</t>
  </si>
  <si>
    <t>Bullzzzs+Dorf</t>
  </si>
  <si>
    <t>Ausahrium</t>
  </si>
  <si>
    <t>Big+City</t>
  </si>
  <si>
    <t>B1tchMoves+Dorf</t>
  </si>
  <si>
    <t>Hans23</t>
  </si>
  <si>
    <t>Ferrius92s+Dorf</t>
  </si>
  <si>
    <t>BlackTiger</t>
  </si>
  <si>
    <t>no+surrenders+Dorf</t>
  </si>
  <si>
    <t>56%3A12%3A87</t>
  </si>
  <si>
    <t>El+Diabolos+Dorf</t>
  </si>
  <si>
    <t>-A-</t>
  </si>
  <si>
    <t>Clown+der+ewigen+Nachts+Dorf</t>
  </si>
  <si>
    <t>Simcity</t>
  </si>
  <si>
    <t>.OCB.s+Dorf</t>
  </si>
  <si>
    <t>CurlyKluft</t>
  </si>
  <si>
    <t>UncleDolans+Dorf</t>
  </si>
  <si>
    <t>Ivanhoe21s+Dorf</t>
  </si>
  <si>
    <t>chripo19s+Dorf</t>
  </si>
  <si>
    <t>Ernsees+Dorf</t>
  </si>
  <si>
    <t>Animahl</t>
  </si>
  <si>
    <t>Nach+langer+Zeit...</t>
  </si>
  <si>
    <t>TW0FUNs+Dorf</t>
  </si>
  <si>
    <t>Kloster+Kellenried</t>
  </si>
  <si>
    <t>KilluaTWOs+Dorf</t>
  </si>
  <si>
    <t>Benutzernames+Dorf</t>
  </si>
  <si>
    <t>Vybr1orns+Dorf</t>
  </si>
  <si>
    <t>Federation83s+Dorf</t>
  </si>
  <si>
    <t>LostWeekends+Dorf</t>
  </si>
  <si>
    <t>53%3A98%3A46</t>
  </si>
  <si>
    <t>1337.Pains+Dorf</t>
  </si>
  <si>
    <t>scy-xds+Dorf</t>
  </si>
  <si>
    <t>braubergers+Dorf</t>
  </si>
  <si>
    <t>bro+maxikings+Dorf</t>
  </si>
  <si>
    <t>Pyrrhuss+Dorf</t>
  </si>
  <si>
    <t>BornToDestroyYous+Dorf</t>
  </si>
  <si>
    <t>BennettHHs+Dorf</t>
  </si>
  <si>
    <t>Walter011s+Dorf</t>
  </si>
  <si>
    <t>Med0xs+Dorf</t>
  </si>
  <si>
    <t>SouLRevolutions+Dorf</t>
  </si>
  <si>
    <t>Flomass+Dorf</t>
  </si>
  <si>
    <t>Empicss+Dorf</t>
  </si>
  <si>
    <t>Mercedes+Benz+AMGs+Dorf</t>
  </si>
  <si>
    <t>Robnoschs+Dorf</t>
  </si>
  <si>
    <t>pauliboy94s+Dorf</t>
  </si>
  <si>
    <t>Emilio+Eisenfausts+Dorf</t>
  </si>
  <si>
    <t>Spielsucht01s+Dorf</t>
  </si>
  <si>
    <t>resSlinger69s+Dorf</t>
  </si>
  <si>
    <t>Wladimir123s+Dorf</t>
  </si>
  <si>
    <t>Dominik09s+Dorf</t>
  </si>
  <si>
    <t>cyrus79s+Dorf</t>
  </si>
  <si>
    <t>001%23Naboo</t>
  </si>
  <si>
    <t>xlVeritass+Dorf</t>
  </si>
  <si>
    <t>Cernache</t>
  </si>
  <si>
    <t>Anubis442s+Dorf</t>
  </si>
  <si>
    <t>timxcr7s+Dorf</t>
  </si>
  <si>
    <t>Magic</t>
  </si>
  <si>
    <t>noah-2003s+Dorf</t>
  </si>
  <si>
    <t>Doenerbude97s+Dorf</t>
  </si>
  <si>
    <t>manindis+Dorf</t>
  </si>
  <si>
    <t>thebuggymans+Dorf</t>
  </si>
  <si>
    <t>Drago+Dorf</t>
  </si>
  <si>
    <t>KeVs+Dorf</t>
  </si>
  <si>
    <t>bergerbes+Dorf</t>
  </si>
  <si>
    <t>Casper13s+Dorf</t>
  </si>
  <si>
    <t>Barnimskunow</t>
  </si>
  <si>
    <t>Zeseskas+Dorf</t>
  </si>
  <si>
    <t>rellef220s+Dorf</t>
  </si>
  <si>
    <t>nebukadnezar</t>
  </si>
  <si>
    <t>BegForMercys+Dorf</t>
  </si>
  <si>
    <t>Burn</t>
  </si>
  <si>
    <t>cynztwisstys+Dorf</t>
  </si>
  <si>
    <t>%2B%2B%2B</t>
  </si>
  <si>
    <t>apollo1345s+Dorf</t>
  </si>
  <si>
    <t>IchBinReich69s+Dorf</t>
  </si>
  <si>
    <t>Akt1vs+Dorf</t>
  </si>
  <si>
    <t>I+dOm+Ya+Is+Dorf</t>
  </si>
  <si>
    <t>HeilandSacks+Dorf</t>
  </si>
  <si>
    <t>DaddyIsBack7s+Dorf</t>
  </si>
  <si>
    <t>Krieger+Gondorss+Dorf</t>
  </si>
  <si>
    <t>Baron10gs+Dorf</t>
  </si>
  <si>
    <t>Inaunsos+Dorf</t>
  </si>
  <si>
    <t>HarambeGods+Dorf</t>
  </si>
  <si>
    <t>FreezZzers+Dorf</t>
  </si>
  <si>
    <t>Zeven</t>
  </si>
  <si>
    <t>Bernabeau</t>
  </si>
  <si>
    <t>spliff</t>
  </si>
  <si>
    <t>xudos+Dorf</t>
  </si>
  <si>
    <t>AnderesFernglass+Dorf</t>
  </si>
  <si>
    <t>Neundorf</t>
  </si>
  <si>
    <t>FreeWorld</t>
  </si>
  <si>
    <t>Matrix+01</t>
  </si>
  <si>
    <t>Lady+Eisenhauers+Dorf</t>
  </si>
  <si>
    <t>i+know+its+Dorf</t>
  </si>
  <si>
    <t>Cayis+Dorf</t>
  </si>
  <si>
    <t>Eisteemanns+Dorf</t>
  </si>
  <si>
    <t>condantes+Dorf</t>
  </si>
  <si>
    <t>Ragnar029s+Dorf</t>
  </si>
  <si>
    <t>DirkDigglers+Dorf</t>
  </si>
  <si>
    <t>x-tuss+Dorf</t>
  </si>
  <si>
    <t>derayess+Dorf</t>
  </si>
  <si>
    <t>lars-94s+Dorf</t>
  </si>
  <si>
    <t>WhiteDragons+Dorf</t>
  </si>
  <si>
    <t>Alex+333s+Dorf</t>
  </si>
  <si>
    <t>Goofehs+Dorf</t>
  </si>
  <si>
    <t>Phersiixs+Dorf</t>
  </si>
  <si>
    <t>Kaiser+2014s+Dorf</t>
  </si>
  <si>
    <t>Phersixs+Dorf</t>
  </si>
  <si>
    <t>Shadowhunter87s+Dorf</t>
  </si>
  <si>
    <t>Zsouls+Dorf</t>
  </si>
  <si>
    <t>knightstars+Dorf</t>
  </si>
  <si>
    <t>DJone10s+Dorf</t>
  </si>
  <si>
    <t>dragonridergirls+Dorf</t>
  </si>
  <si>
    <t>Hautzys+Dorf</t>
  </si>
  <si>
    <t>Brooklyn+Brawlers+Dorf</t>
  </si>
  <si>
    <t>KingMakreles+Dorf</t>
  </si>
  <si>
    <t>Jacky-Anzas+Dorf</t>
  </si>
  <si>
    <t>Morgen007s+Dorf</t>
  </si>
  <si>
    <t>Hustleline</t>
  </si>
  <si>
    <t>NeoTraces+Dorf</t>
  </si>
  <si>
    <t>Wilds+Dorf</t>
  </si>
  <si>
    <t>Tini-Queeny+s+Dorf</t>
  </si>
  <si>
    <t>franzi-bts+Dorf</t>
  </si>
  <si>
    <t>Dorfkinds+Dorf</t>
  </si>
  <si>
    <t>Verbrechers+Dorf</t>
  </si>
  <si>
    <t>Cezaxs+Dorf</t>
  </si>
  <si>
    <t>pisa13s+Dorf</t>
  </si>
  <si>
    <t>Supersausers+Dorf</t>
  </si>
  <si>
    <t>Mr.Reeds+Dorf</t>
  </si>
  <si>
    <t>Veitsburg</t>
  </si>
  <si>
    <t>qwerty77s+Dorf</t>
  </si>
  <si>
    <t>Klaushausen</t>
  </si>
  <si>
    <t>Esgabnur15stells+Dorf</t>
  </si>
  <si>
    <t>Rudolfsheim</t>
  </si>
  <si>
    <t>Dante+VIIs+Dorf</t>
  </si>
  <si>
    <t>frezas+Dorf</t>
  </si>
  <si>
    <t>nineTnine99</t>
  </si>
  <si>
    <t>Arni+der+1.s+Dorf</t>
  </si>
  <si>
    <t>Goodbye</t>
  </si>
  <si>
    <t>Sieger+5s+Dorf</t>
  </si>
  <si>
    <t>Nicole</t>
  </si>
  <si>
    <t>Spamalot</t>
  </si>
  <si>
    <t>marten+der+3s+Dorf</t>
  </si>
  <si>
    <t>Anaphylaxiss+Dorf</t>
  </si>
  <si>
    <t>Laetitia</t>
  </si>
  <si>
    <t>helm7s+Dorf</t>
  </si>
  <si>
    <t>IzzNight</t>
  </si>
  <si>
    <t>ClemmKs+Dorf</t>
  </si>
  <si>
    <t>Hinterdupfinga</t>
  </si>
  <si>
    <t>Windulsts+Dorf</t>
  </si>
  <si>
    <t>Howard+266s+Dorf</t>
  </si>
  <si>
    <t>Atariandis+Dorf</t>
  </si>
  <si>
    <t>c-256s+Dorf</t>
  </si>
  <si>
    <t>xTwitchs+Dorf</t>
  </si>
  <si>
    <t>HanfBlatt90s+Dorf</t>
  </si>
  <si>
    <t>ds+pros+Dorf</t>
  </si>
  <si>
    <t>King+Baustis+Dorf</t>
  </si>
  <si>
    <t>Trepoliss+Dorf</t>
  </si>
  <si>
    <t>apfelgriepschs+Dorf</t>
  </si>
  <si>
    <t>REEEE</t>
  </si>
  <si>
    <t>Riverdale</t>
  </si>
  <si>
    <t>thunfisch.lifestyles+Dorf</t>
  </si>
  <si>
    <t>Yzerman19s+Dorf</t>
  </si>
  <si>
    <t>reinilss+Dorf</t>
  </si>
  <si>
    <t>DirtySs+Dorf</t>
  </si>
  <si>
    <t>.Marcelluss+Dorf</t>
  </si>
  <si>
    <t>oSIEGFRIEDos+Dorf</t>
  </si>
  <si>
    <t>LamboFags+Dorf</t>
  </si>
  <si>
    <t>second+try</t>
  </si>
  <si>
    <t>Rydus+Dorf</t>
  </si>
  <si>
    <t>Mars</t>
  </si>
  <si>
    <t>templer+1118s+Dorf</t>
  </si>
  <si>
    <t>NoBorders21s+Dorf</t>
  </si>
  <si>
    <t>chrisler.clks+Dorf</t>
  </si>
  <si>
    <t>Stefan16051s+Dorf</t>
  </si>
  <si>
    <t>Saschamws+Dorf</t>
  </si>
  <si>
    <t>Hello+There</t>
  </si>
  <si>
    <t>Taneos+Dorf</t>
  </si>
  <si>
    <t>Sgl1s+Dorf</t>
  </si>
  <si>
    <t>Ayanokojis+Dorf</t>
  </si>
  <si>
    <t>Munchels+Dorf</t>
  </si>
  <si>
    <t>LordBendtner90s+Dorf</t>
  </si>
  <si>
    <t>Ein+Kessel+Buntes</t>
  </si>
  <si>
    <t>nestea32s+Dorf</t>
  </si>
  <si>
    <t>Cyclonlulzs+Dorf</t>
  </si>
  <si>
    <t>Sierra+Melone</t>
  </si>
  <si>
    <t>MrLeitzs+Dorf</t>
  </si>
  <si>
    <t>ABmen83s+Dorf</t>
  </si>
  <si>
    <t>Dr.Med.Rasen00s+Dorf</t>
  </si>
  <si>
    <t>Jugulariss+Dorf</t>
  </si>
  <si>
    <t>Alpha+Base</t>
  </si>
  <si>
    <t>Bolgur+Dorf</t>
  </si>
  <si>
    <t>FireWolf</t>
  </si>
  <si>
    <t>Fallen+Saturos+Dorf</t>
  </si>
  <si>
    <t>kill1099s+Dorf</t>
  </si>
  <si>
    <t>Ichhabdeindorfs+Dorf</t>
  </si>
  <si>
    <t>Amprofiss+Dorf</t>
  </si>
  <si>
    <t>Linkin+Parks+Dorf</t>
  </si>
  <si>
    <t>ZiRXs+Dorf</t>
  </si>
  <si>
    <t>Tortuga</t>
  </si>
  <si>
    <t>DerStimpels+Dorf</t>
  </si>
  <si>
    <t>Weltensagt_001_630461</t>
  </si>
  <si>
    <t>Syntax95s+Dorf</t>
  </si>
  <si>
    <t>Sleepomaxs+Dorf</t>
  </si>
  <si>
    <t>Adinons+Dorf</t>
  </si>
  <si>
    <t>Walhalla001</t>
  </si>
  <si>
    <t>Schloss+Camelot</t>
  </si>
  <si>
    <t>fabio93s+Dorf</t>
  </si>
  <si>
    <t>rednexxs+Dorf</t>
  </si>
  <si>
    <t>KINGSTON</t>
  </si>
  <si>
    <t>barny1955s+Dorf</t>
  </si>
  <si>
    <t>Steinibachs+Dorf</t>
  </si>
  <si>
    <t>B4C1s+Dorf</t>
  </si>
  <si>
    <t>Ehrenmann</t>
  </si>
  <si>
    <t>yourdeath29s+Dorf</t>
  </si>
  <si>
    <t>Darkskys+Dorf</t>
  </si>
  <si>
    <t>Tigarnos+Dorf</t>
  </si>
  <si>
    <t>Iundex+Gundyr</t>
  </si>
  <si>
    <t>Butcherking</t>
  </si>
  <si>
    <t>Elementerhelds+Dorf</t>
  </si>
  <si>
    <t>aSsieVoXs+Dorf</t>
  </si>
  <si>
    <t>arrpols+Dorf</t>
  </si>
  <si>
    <t>bilal20032000s+Dorf</t>
  </si>
  <si>
    <t>bizebss+Dorf</t>
  </si>
  <si>
    <t>Loki1976s+Dorf</t>
  </si>
  <si>
    <t>ZarvonZamundas+Dorf</t>
  </si>
  <si>
    <t>Villig</t>
  </si>
  <si>
    <t>Dani-27</t>
  </si>
  <si>
    <t>AMHuckZs+Dorf</t>
  </si>
  <si>
    <t>joni0018s+Dorf</t>
  </si>
  <si>
    <t>tomasus+Dorf</t>
  </si>
  <si>
    <t>tomasuus+Dorf</t>
  </si>
  <si>
    <t>fgh</t>
  </si>
  <si>
    <t>winerles+Dorf</t>
  </si>
  <si>
    <t>Zornings+Dorf</t>
  </si>
  <si>
    <t>Ontimpas+Dorf</t>
  </si>
  <si>
    <t>zlToddis+Dorf</t>
  </si>
  <si>
    <t>dominik.zoes+Dorf</t>
  </si>
  <si>
    <t>ExVi+der+Richters+Dorf</t>
  </si>
  <si>
    <t>Kallohoos+Dorf</t>
  </si>
  <si>
    <t>andreas3110s+Dorf</t>
  </si>
  <si>
    <t>pederskis+Dorf</t>
  </si>
  <si>
    <t>Hasijr1s+Dorf</t>
  </si>
  <si>
    <t>KingMaddins+Dorf</t>
  </si>
  <si>
    <t>xTheToddis+Dorf</t>
  </si>
  <si>
    <t>TheyCallMeZeds+Dorf</t>
  </si>
  <si>
    <t>IAmStevos+Dorf</t>
  </si>
  <si>
    <t>xTheStevos+Dorf</t>
  </si>
  <si>
    <t>zlStevos+Dorf</t>
  </si>
  <si>
    <t>ToddiStevos+Dorf</t>
  </si>
  <si>
    <t>SteveToddis+Dorf</t>
  </si>
  <si>
    <t>hgmatzes+Dorf</t>
  </si>
  <si>
    <t>blizard1972s+Dorf</t>
  </si>
  <si>
    <t>Keinbiervorvier1s+Dorf</t>
  </si>
  <si>
    <t>frisinga+germanias+Dorf</t>
  </si>
  <si>
    <t>Mr.+Whys+Dorf</t>
  </si>
  <si>
    <t>Orlando2500s+Dorf</t>
  </si>
  <si>
    <t>Wien+1880</t>
  </si>
  <si>
    <t>Carl+Hanrattys+Dorf</t>
  </si>
  <si>
    <t>AGATHE</t>
  </si>
  <si>
    <t>Florida</t>
  </si>
  <si>
    <t>001+Minas+Tirith</t>
  </si>
  <si>
    <t>Haydewitzkers+Dorf</t>
  </si>
  <si>
    <t>Hubba+Bubbas+Dorf</t>
  </si>
  <si>
    <t>DontTrustMes+Dorf</t>
  </si>
  <si>
    <t>Funbasher1s+Dorf</t>
  </si>
  <si>
    <t>Tiurio</t>
  </si>
  <si>
    <t>Raven</t>
  </si>
  <si>
    <t>super+m%40cs+Dorf</t>
  </si>
  <si>
    <t>Jerome+Polenz</t>
  </si>
  <si>
    <t>gregens+Dorf</t>
  </si>
  <si>
    <t>Rondos+Dorf</t>
  </si>
  <si>
    <t>Tokyo</t>
  </si>
  <si>
    <t>warkid1s+Dorf</t>
  </si>
  <si>
    <t>Oger1991s+Dorf</t>
  </si>
  <si>
    <t>Morre84s+Dorf</t>
  </si>
  <si>
    <t>Skracheys+Dorf</t>
  </si>
  <si>
    <t>Osteowills+Dorf</t>
  </si>
  <si>
    <t>Thorfinns+Dorf</t>
  </si>
  <si>
    <t>Seahawks</t>
  </si>
  <si>
    <t>Miss+Innocents+Dorf</t>
  </si>
  <si>
    <t>JOMboters+Dorf</t>
  </si>
  <si>
    <t>Stentmans+Festung+2</t>
  </si>
  <si>
    <t>skorpion+powers+Dorf</t>
  </si>
  <si>
    <t>Itschis+Dorf</t>
  </si>
  <si>
    <t>FAbii127s+Dorf</t>
  </si>
  <si>
    <t>Seifenspenders+Dorf</t>
  </si>
  <si>
    <t>ElNino97s+Dorf</t>
  </si>
  <si>
    <t>busibaer666</t>
  </si>
  <si>
    <t>Bonus93s+Dorf</t>
  </si>
  <si>
    <t>Ring96s+Dorf</t>
  </si>
  <si>
    <t>Celsiuss+Dorf</t>
  </si>
  <si>
    <t>Diemacht1s+Dorf</t>
  </si>
  <si>
    <t>JAAAAAAAAAAAAAAAAAA</t>
  </si>
  <si>
    <t>STORMMIs+Dorf</t>
  </si>
  <si>
    <t>Dedaggis+Dorf</t>
  </si>
  <si>
    <t>Groll</t>
  </si>
  <si>
    <t>King+Men+10s+Dorf</t>
  </si>
  <si>
    <t>Essix3s+Dorf</t>
  </si>
  <si>
    <t>Boomtown</t>
  </si>
  <si>
    <t>Black.Suns+Dorf</t>
  </si>
  <si>
    <t>Alexandra1996s+Dorf</t>
  </si>
  <si>
    <t>Bobfireds+Dorf</t>
  </si>
  <si>
    <t>CallMeSandys</t>
  </si>
  <si>
    <t>Siroliros+Dorf</t>
  </si>
  <si>
    <t>Weisermanns+Dorf</t>
  </si>
  <si>
    <t>Master+Rallers+Dorf</t>
  </si>
  <si>
    <t>Queen+Sue</t>
  </si>
  <si>
    <t>wora60s+Dorf</t>
  </si>
  <si>
    <t>archevils+Dorf</t>
  </si>
  <si>
    <t>Lady-Mercedess+Dorf</t>
  </si>
  <si>
    <t>HansHausen</t>
  </si>
  <si>
    <t>Zolwer</t>
  </si>
  <si>
    <t>Gnadenlos65s+Dorf</t>
  </si>
  <si>
    <t>Schroooms+Dorf</t>
  </si>
  <si>
    <t>schnapper</t>
  </si>
  <si>
    <t>Suedons+Dorf</t>
  </si>
  <si>
    <t>kiam11s+Dorf</t>
  </si>
  <si>
    <t>LozLappoz</t>
  </si>
  <si>
    <t>Folklores+Dorf</t>
  </si>
  <si>
    <t>Zeineruss+Dorf</t>
  </si>
  <si>
    <t>Nero311s+Dorf</t>
  </si>
  <si>
    <t>.Alwayss+Dorf</t>
  </si>
  <si>
    <t>der-eiskaltes+Dorf</t>
  </si>
  <si>
    <t>StefanHegis+Dorf</t>
  </si>
  <si>
    <t>Lord+heiniprinzs+Dorf</t>
  </si>
  <si>
    <t>galer10s+Dorf</t>
  </si>
  <si>
    <t>Tomtos+Dorf</t>
  </si>
  <si>
    <t>19CrazyCore96s+Dorf</t>
  </si>
  <si>
    <t>highflyer1s+Dorf</t>
  </si>
  <si>
    <t>Dhoems+Dorf</t>
  </si>
  <si>
    <t>Nagelfars+Dorf</t>
  </si>
  <si>
    <t>MXBRs+Dorf</t>
  </si>
  <si>
    <t>zico</t>
  </si>
  <si>
    <t>7bacca7+Dorf</t>
  </si>
  <si>
    <t>Manu+178</t>
  </si>
  <si>
    <t>H.S.s+Dorf</t>
  </si>
  <si>
    <t>Servant+of+Hecates+Dorf</t>
  </si>
  <si>
    <t>junas3000s+Dorf</t>
  </si>
  <si>
    <t>manu2003s+Dorf</t>
  </si>
  <si>
    <t>Weissla</t>
  </si>
  <si>
    <t>Boazn+%231</t>
  </si>
  <si>
    <t>Clownsverein</t>
  </si>
  <si>
    <t>caddy81s+Dorf</t>
  </si>
  <si>
    <t>Nobadtis+Dorf</t>
  </si>
  <si>
    <t>Ritter+Lukass+Dorf</t>
  </si>
  <si>
    <t>warumbinichsoeinbosss+Dorf</t>
  </si>
  <si>
    <t>K3nob1s+Dorf</t>
  </si>
  <si>
    <t>Mattlbombers+Dorf</t>
  </si>
  <si>
    <t>MajrManus+Dorf</t>
  </si>
  <si>
    <t>ninjanames+Dorf</t>
  </si>
  <si>
    <t>heizergdb19s+Dorf</t>
  </si>
  <si>
    <t>solomonreallys+Dorf</t>
  </si>
  <si>
    <t>Morduk666s+Dorf</t>
  </si>
  <si>
    <t>FummelKlauss+Dorf</t>
  </si>
  <si>
    <t>Mazda-Fan2017s+Dorf</t>
  </si>
  <si>
    <t>Berlin+Kreuzberg</t>
  </si>
  <si>
    <t>DerEroberers+Dorf</t>
  </si>
  <si>
    <t>L3gend124s+Dorf</t>
  </si>
  <si>
    <t>Pheansa</t>
  </si>
  <si>
    <t>Eierkopf</t>
  </si>
  <si>
    <t>Zykroms+Dorf</t>
  </si>
  <si>
    <t>Riddagshausen</t>
  </si>
  <si>
    <t>TomHaegers+Dorf</t>
  </si>
  <si>
    <t>antira</t>
  </si>
  <si>
    <t>cherry21s+Dorf</t>
  </si>
  <si>
    <t>peter2805s+Dorf</t>
  </si>
  <si>
    <t>SirLarfs+Dorf</t>
  </si>
  <si>
    <t>world8vets+Dorf</t>
  </si>
  <si>
    <t>duckMe.s+Dorf</t>
  </si>
  <si>
    <t>Loki2001s+Dorf</t>
  </si>
  <si>
    <t>Denniizs+Dorf</t>
  </si>
  <si>
    <t>Ruasnosns+Dorf</t>
  </si>
  <si>
    <t>300123s+Dorf</t>
  </si>
  <si>
    <t>alexsims+Dorf</t>
  </si>
  <si>
    <t>Graf+Doofys+Dorf</t>
  </si>
  <si>
    <t>Trulla110s+Dorf</t>
  </si>
  <si>
    <t>funnyflash2000s+Dorf</t>
  </si>
  <si>
    <t>olliwisls+Dorf</t>
  </si>
  <si>
    <t>adikills+Dorf</t>
  </si>
  <si>
    <t>001+B-Town</t>
  </si>
  <si>
    <t>Wilke+Wursts+Dorf</t>
  </si>
  <si>
    <t>resch121s+Dorf</t>
  </si>
  <si>
    <t>Eollass+Dorf%2C</t>
  </si>
  <si>
    <t>Mr.Keks+Dorf</t>
  </si>
  <si>
    <t>Niggoooos+Dorf</t>
  </si>
  <si>
    <t>phlebotosmoss+Dorf</t>
  </si>
  <si>
    <t>MasterKuchens+Dorf</t>
  </si>
  <si>
    <t>VendoQuacks+Dorf</t>
  </si>
  <si>
    <t>Schorsch31s+Dorf</t>
  </si>
  <si>
    <t>Matascheks+Dorf</t>
  </si>
  <si>
    <t>General+Stonewall+Jackson</t>
  </si>
  <si>
    <t>freshmasterjs+Dorf</t>
  </si>
  <si>
    <t>MINDBASHERs+Dorf</t>
  </si>
  <si>
    <t>Blackxmass+Dorf</t>
  </si>
  <si>
    <t>Amnezia</t>
  </si>
  <si>
    <t>Melbies+Dorf</t>
  </si>
  <si>
    <t>Paperkids+Dorf</t>
  </si>
  <si>
    <t>texas</t>
  </si>
  <si>
    <t>Fireschluker255s+Dorf</t>
  </si>
  <si>
    <t>xRomstaaas+Dorf</t>
  </si>
  <si>
    <t>casks+Dorf</t>
  </si>
  <si>
    <t>masterluk24s+Dorf</t>
  </si>
  <si>
    <t>Dragothers+Dorf</t>
  </si>
  <si>
    <t>Burgruine+Regenstein</t>
  </si>
  <si>
    <t>Tammuzs+Dorf</t>
  </si>
  <si>
    <t>izmir35</t>
  </si>
  <si>
    <t>Jauaauauau</t>
  </si>
  <si>
    <t>Flxe.</t>
  </si>
  <si>
    <t>MaxistDa</t>
  </si>
  <si>
    <t>schmankerls+Dorf</t>
  </si>
  <si>
    <t>Groobis+Dorf</t>
  </si>
  <si>
    <t>loddums+Hood</t>
  </si>
  <si>
    <t>knie77s+Dorf</t>
  </si>
  <si>
    <t>Cry+or+Bash</t>
  </si>
  <si>
    <t>Dr.+Arkulas+Dorf</t>
  </si>
  <si>
    <t>NoGameNoLife23s+Dorf</t>
  </si>
  <si>
    <t>Andygos+Dorf</t>
  </si>
  <si>
    <t>Rachnum</t>
  </si>
  <si>
    <t>BoingShadows+Dorf</t>
  </si>
  <si>
    <t>Matjesmonsters+Dorf</t>
  </si>
  <si>
    <t>kankarnes+Dorf</t>
  </si>
  <si>
    <t>Jok3ers+Dorf</t>
  </si>
  <si>
    <t>Burg+Stahlnacken</t>
  </si>
  <si>
    <t>Direflakes+Dorf</t>
  </si>
  <si>
    <t>Kronas</t>
  </si>
  <si>
    <t>oOJaczakOos+Dorf</t>
  </si>
  <si>
    <t>hanfixs-ville</t>
  </si>
  <si>
    <t>gerry19981s+Dorf</t>
  </si>
  <si>
    <t>haefi95s+Dorf</t>
  </si>
  <si>
    <t>Fujjionier-City</t>
  </si>
  <si>
    <t>Northstorms+Dorf</t>
  </si>
  <si>
    <t>Zustimmung+100</t>
  </si>
  <si>
    <t>BMI250s+Dorf</t>
  </si>
  <si>
    <t>loko1988s+Dorf</t>
  </si>
  <si>
    <t>Back+in+Town</t>
  </si>
  <si>
    <t>Gast564256s+Dorf</t>
  </si>
  <si>
    <t>Zander1998s+Dorf</t>
  </si>
  <si>
    <t>Ganjaexpresss</t>
  </si>
  <si>
    <t>fleions+Dorf</t>
  </si>
  <si>
    <t>Freudenreiche+Kieselsteinburg</t>
  </si>
  <si>
    <t>Marvel</t>
  </si>
  <si>
    <t>wolfi+001</t>
  </si>
  <si>
    <t>Euli</t>
  </si>
  <si>
    <t>Sakuijas+Dorf</t>
  </si>
  <si>
    <t>Krieger3s+Dorf</t>
  </si>
  <si>
    <t>Nippel-Twisters+Dorf</t>
  </si>
  <si>
    <t>Felix+ists+Dorf</t>
  </si>
  <si>
    <t>ChilledLucs+Dorf</t>
  </si>
  <si>
    <t>.exotic</t>
  </si>
  <si>
    <t>Chefkoch+the+Kings+Dorf</t>
  </si>
  <si>
    <t>Paule11s+Dorf</t>
  </si>
  <si>
    <t>FishiMas+Dorf</t>
  </si>
  <si>
    <t>Deutsches+Reich</t>
  </si>
  <si>
    <t>steknadels+Dorf</t>
  </si>
  <si>
    <t>walvater+wotans+Dorf</t>
  </si>
  <si>
    <t>Herrn+Xs+Dorf</t>
  </si>
  <si>
    <t>I3easts+Dorf</t>
  </si>
  <si>
    <t>001.</t>
  </si>
  <si>
    <t>001_Plantage</t>
  </si>
  <si>
    <t>SaschAMasTeRs+Dorf</t>
  </si>
  <si>
    <t>Sikici500s+Dorf</t>
  </si>
  <si>
    <t>Sikiminucu52</t>
  </si>
  <si>
    <t>Pulheim</t>
  </si>
  <si>
    <t>Mr.Nilsons+Dorf</t>
  </si>
  <si>
    <t>Brotachoss+Dorf</t>
  </si>
  <si>
    <t>%3DIceMan%3D</t>
  </si>
  <si>
    <t>wassolldenndass+Dorf</t>
  </si>
  <si>
    <t>LordVaryss+Dorf</t>
  </si>
  <si>
    <t>barbar03s+Dorf</t>
  </si>
  <si>
    <t>mrknowitalls+Dorf</t>
  </si>
  <si>
    <t>Ich+bin+ein+Lappen</t>
  </si>
  <si>
    <t>Pulvertoast724s+Dorf</t>
  </si>
  <si>
    <t>Hobbits+Home</t>
  </si>
  <si>
    <t>Birgden</t>
  </si>
  <si>
    <t>Mulfelino</t>
  </si>
  <si>
    <t>Salomos+Tempel</t>
  </si>
  <si>
    <t>Boaznbua</t>
  </si>
  <si>
    <t>avennars+Dorf</t>
  </si>
  <si>
    <t>Wodan48s+Dorf</t>
  </si>
  <si>
    <t>Fotes+Dorf</t>
  </si>
  <si>
    <t>helmi59s+Dorf</t>
  </si>
  <si>
    <t>gaiscas+Dorf</t>
  </si>
  <si>
    <t>Cloppzones+Dorf</t>
  </si>
  <si>
    <t>roemer13s+Dorf</t>
  </si>
  <si>
    <t>Do+not+Disturb</t>
  </si>
  <si>
    <t>Ap0calyp5es+Dorf</t>
  </si>
  <si>
    <t>kfc1991s+Dorf</t>
  </si>
  <si>
    <t>delmates+Dorf</t>
  </si>
  <si>
    <t>Snoop+Doggy+Doggs+Dorf</t>
  </si>
  <si>
    <t>Villageee</t>
  </si>
  <si>
    <t>TingelTangel+Bobs+Dorf</t>
  </si>
  <si>
    <t>Icees+Dorf</t>
  </si>
  <si>
    <t>justpeets+Dorf</t>
  </si>
  <si>
    <t>Mafuros+Dorf</t>
  </si>
  <si>
    <t>Schneewitchens+Dorf</t>
  </si>
  <si>
    <t>CarloMasss+Dorf</t>
  </si>
  <si>
    <t>Kiryns+Dorf</t>
  </si>
  <si>
    <t>holzs+Dorf</t>
  </si>
  <si>
    <t>LordUhtreds+Dorf</t>
  </si>
  <si>
    <t>sharks+ruless+Dorf</t>
  </si>
  <si>
    <t>Kampfzwerg1979s+Dorf</t>
  </si>
  <si>
    <t>RiesJoni2000s+Dorf</t>
  </si>
  <si>
    <t>Leopold+1</t>
  </si>
  <si>
    <t>Gh0sTas+Dorf</t>
  </si>
  <si>
    <t>F+u+c+k+Off</t>
  </si>
  <si>
    <t>DerSteins+Dorf</t>
  </si>
  <si>
    <t>Dani.-s+Dorf</t>
  </si>
  <si>
    <t>Wetterleuchten+1</t>
  </si>
  <si>
    <t>01+MGK</t>
  </si>
  <si>
    <t>Phenomens+Dorf</t>
  </si>
  <si>
    <t>LuffySnackmann</t>
  </si>
  <si>
    <t>Kulimuhs+Dorf</t>
  </si>
  <si>
    <t>Wildtoeters+Dorf</t>
  </si>
  <si>
    <t>itchbos+Dorf</t>
  </si>
  <si>
    <t>Rick+AG</t>
  </si>
  <si>
    <t>king+lutters+Dorf</t>
  </si>
  <si>
    <t>01+-+Metrona</t>
  </si>
  <si>
    <t>Cousinplays+Dorf</t>
  </si>
  <si>
    <t>Queen+Freddes+Dorf</t>
  </si>
  <si>
    <t>Caot17s+Dorf</t>
  </si>
  <si>
    <t>19devil96s+Dorf</t>
  </si>
  <si>
    <t>Wos+isna+des</t>
  </si>
  <si>
    <t>Starscaller-officials+Dorf</t>
  </si>
  <si>
    <t>Mkate-Brothers+Dorf</t>
  </si>
  <si>
    <t>blackandi5s+Dorf</t>
  </si>
  <si>
    <t>Lord+Bastos+Dorf</t>
  </si>
  <si>
    <t>Bangerl810s+Dorf</t>
  </si>
  <si>
    <t>Prof.Twexs+Dorf</t>
  </si>
  <si>
    <t>Lorena001</t>
  </si>
  <si>
    <t>edamike27s+Dorf</t>
  </si>
  <si>
    <t>Fr33stylers+Dorf</t>
  </si>
  <si>
    <t>edamikes+Dorf</t>
  </si>
  <si>
    <t>DjPremiers+Dorf</t>
  </si>
  <si>
    <t>NaNoXiDs+Dorf</t>
  </si>
  <si>
    <t>Das+Tal+der+Emmen</t>
  </si>
  <si>
    <t>julileo</t>
  </si>
  <si>
    <t>FREDAYSs+Dorf</t>
  </si>
  <si>
    <t>Chemars+Dorf</t>
  </si>
  <si>
    <t>Laviras+Dorf+1</t>
  </si>
  <si>
    <t>Fouracesss+Dorf</t>
  </si>
  <si>
    <t>enchantras+Dorf</t>
  </si>
  <si>
    <t>Valleys+Dorf</t>
  </si>
  <si>
    <t>dergnadenloses+Dorf</t>
  </si>
  <si>
    <t>Nightfall1s+Dorf</t>
  </si>
  <si>
    <t>Germanorum</t>
  </si>
  <si>
    <t>LordKingsons+Dorf</t>
  </si>
  <si>
    <t>Anton</t>
  </si>
  <si>
    <t>Veltins+Arena</t>
  </si>
  <si>
    <t>InuYashas+Dorf</t>
  </si>
  <si>
    <t>Hansdampf+1312s+Dorf</t>
  </si>
  <si>
    <t>chrisdergrobes+Dorf</t>
  </si>
  <si>
    <t>CindyKimberlyys+Dorf</t>
  </si>
  <si>
    <t>Schabuskuss+Dorf</t>
  </si>
  <si>
    <t>fclukkis+Dorf</t>
  </si>
  <si>
    <t>Sharps+Dorf</t>
  </si>
  <si>
    <t>DiU95s+Dorf</t>
  </si>
  <si>
    <t>01+Excalibur</t>
  </si>
  <si>
    <t>Master+DEs+Dorf</t>
  </si>
  <si>
    <t>jonny1053s+Dorf</t>
  </si>
  <si>
    <t>Flip+Flop</t>
  </si>
  <si>
    <t>Crystalas+Dorf</t>
  </si>
  <si>
    <t>192.168.1.101</t>
  </si>
  <si>
    <t>Buxheim</t>
  </si>
  <si>
    <t>employs+Dorf</t>
  </si>
  <si>
    <t>IngridP85s+Dorf</t>
  </si>
  <si>
    <t>Schokirellas+Dorf</t>
  </si>
  <si>
    <t>FlashBangs+Dorf</t>
  </si>
  <si>
    <t>Selandriels+Dorf</t>
  </si>
  <si>
    <t>Vizima</t>
  </si>
  <si>
    <t>Mars.</t>
  </si>
  <si>
    <t>kleiner+schlumpfs+Dorf+1</t>
  </si>
  <si>
    <t>prototyp3s+Dorf</t>
  </si>
  <si>
    <t>Belfords+Dorf</t>
  </si>
  <si>
    <t>deathhimselfs+Dorf</t>
  </si>
  <si>
    <t>Kamyschenka</t>
  </si>
  <si>
    <t>Lougs+Dorf</t>
  </si>
  <si>
    <t>Hopfensacks+Dorf</t>
  </si>
  <si>
    <t>Wolfwood-42s+Dorf</t>
  </si>
  <si>
    <t>Rammess+Dorf</t>
  </si>
  <si>
    <t>IVIaI2TiiNiis+Dorf</t>
  </si>
  <si>
    <t>aNNNs+Dorf</t>
  </si>
  <si>
    <t>Schwenks+Dorf</t>
  </si>
  <si>
    <t>Matzefrickis+Dorf</t>
  </si>
  <si>
    <t>Killerfischs+Dorf</t>
  </si>
  <si>
    <t>ulusoys+Dorf</t>
  </si>
  <si>
    <t>Mr+Smrts+Dorf</t>
  </si>
  <si>
    <t>masterdevel21s+Dorf</t>
  </si>
  <si>
    <t>adler+999s+Dorf</t>
  </si>
  <si>
    <t>Moinsals+Dorf</t>
  </si>
  <si>
    <t>FAST3RASYOUs+Dorf</t>
  </si>
  <si>
    <t>sepppi91s+Dorf</t>
  </si>
  <si>
    <t>czcz</t>
  </si>
  <si>
    <t>Artjom361s+Dorf</t>
  </si>
  <si>
    <t>Markifixs+Dorf</t>
  </si>
  <si>
    <t>good+punishers+Dorf</t>
  </si>
  <si>
    <t>august09s+Dorf</t>
  </si>
  <si>
    <t>xCodeTurk+Dorf</t>
  </si>
  <si>
    <t>Alex960714s+Dorf</t>
  </si>
  <si>
    <t>karakartals+Dorf</t>
  </si>
  <si>
    <t>browsergametrottels+Dorf</t>
  </si>
  <si>
    <t>makaas+Dorf</t>
  </si>
  <si>
    <t>sickojaennes+Dorf</t>
  </si>
  <si>
    <t>Silden</t>
  </si>
  <si>
    <t>Rotmilan+Horst</t>
  </si>
  <si>
    <t>timmy1997s+Dorf</t>
  </si>
  <si>
    <t>Mayo</t>
  </si>
  <si>
    <t>Luke23</t>
  </si>
  <si>
    <t>SpikeZzHDs+Dorf</t>
  </si>
  <si>
    <t>001+Dark+Castle</t>
  </si>
  <si>
    <t>001%3ACombat</t>
  </si>
  <si>
    <t>.Ehuhns+Dorf</t>
  </si>
  <si>
    <t>FilipTheSlayers+Dorf</t>
  </si>
  <si>
    <t>flushameds+Dorf</t>
  </si>
  <si>
    <t>M-19-Hs+Dorf</t>
  </si>
  <si>
    <t>%7B01%7D+Loyal+to+the+Game</t>
  </si>
  <si>
    <t>Lord+Afromans+Dorf</t>
  </si>
  <si>
    <t>Sparrow+Dreams</t>
  </si>
  <si>
    <t>romes+Dorf</t>
  </si>
  <si>
    <t>AndreasI.s+Dorf</t>
  </si>
  <si>
    <t>Nike-boy1s+Dorf</t>
  </si>
  <si>
    <t>Habsburg+II</t>
  </si>
  <si>
    <t>erdem54s+Dorf</t>
  </si>
  <si>
    <t>GTR4s+Dorf</t>
  </si>
  <si>
    <t>DerKrasses+Dorf</t>
  </si>
  <si>
    <t>Froggystyle12s</t>
  </si>
  <si>
    <t>Mosbach</t>
  </si>
  <si>
    <t>Goggoloriss+Dorf</t>
  </si>
  <si>
    <t>Bronaldor</t>
  </si>
  <si>
    <t>Galapagos</t>
  </si>
  <si>
    <t>01+Konohagakure</t>
  </si>
  <si>
    <t>SrgKoals+Dorf</t>
  </si>
  <si>
    <t>Himbi123s+Dorf</t>
  </si>
  <si>
    <t>Harryhirchs+Dorf</t>
  </si>
  <si>
    <t>Philippinhos+Dorf</t>
  </si>
  <si>
    <t>Gollum95s+Dorf</t>
  </si>
  <si>
    <t>Energycontrols+Dorf</t>
  </si>
  <si>
    <t>Saftbar</t>
  </si>
  <si>
    <t>Oix2020s+Dorf</t>
  </si>
  <si>
    <t>1210wiens+Dorf</t>
  </si>
  <si>
    <t>Mach+nicht+diesen</t>
  </si>
  <si>
    <t>Drakyls+Dorf</t>
  </si>
  <si>
    <t>Renolds+Dorf</t>
  </si>
  <si>
    <t>olbi309s+Dorf</t>
  </si>
  <si>
    <t>bloodhammer666s+Dorf</t>
  </si>
  <si>
    <t>herrpos+Dorf</t>
  </si>
  <si>
    <t>ice1001s+Dorf+001</t>
  </si>
  <si>
    <t>Sibi1988s+Dorf</t>
  </si>
  <si>
    <t>Janosh+Kronos</t>
  </si>
  <si>
    <t>Otogakure</t>
  </si>
  <si>
    <t>forazerTM</t>
  </si>
  <si>
    <t>KvdHs+Dorf</t>
  </si>
  <si>
    <t>Potsus+Dorf</t>
  </si>
  <si>
    <t>boggy2s+Dorf</t>
  </si>
  <si>
    <t>rumen123s+Dorf</t>
  </si>
  <si>
    <t>Villager+Dorf</t>
  </si>
  <si>
    <t>tilleichs+Dorf</t>
  </si>
  <si>
    <t>STORMBURNS</t>
  </si>
  <si>
    <t>Wandersocke3000s+Dorf</t>
  </si>
  <si>
    <t>Buntenbock+City</t>
  </si>
  <si>
    <t>Kaiserslautern</t>
  </si>
  <si>
    <t>Opfergotts+Dorf</t>
  </si>
  <si>
    <t>HDKartoffelsalats+Dorf</t>
  </si>
  <si>
    <t>Spidi204s+Dorf</t>
  </si>
  <si>
    <t>LuckyTeras+Dorf</t>
  </si>
  <si>
    <t>starwars71s+Dorf</t>
  </si>
  <si>
    <t>Marsalam</t>
  </si>
  <si>
    <t>Dani91s+Dorf</t>
  </si>
  <si>
    <t>PB+Dealer95s+Dorf</t>
  </si>
  <si>
    <t>Zarrocs+Dorf</t>
  </si>
  <si>
    <t>KingPin147s+Dorf</t>
  </si>
  <si>
    <t>Jogi1989s+Dorf</t>
  </si>
  <si>
    <t>Cologne</t>
  </si>
  <si>
    <t>._.</t>
  </si>
  <si>
    <t>longus18s+Dorf</t>
  </si>
  <si>
    <t>Awesome+Lordms+Dorf</t>
  </si>
  <si>
    <t>Don+Nikos+Dorf</t>
  </si>
  <si>
    <t>BetonOcco</t>
  </si>
  <si>
    <t>.007s+Dorf</t>
  </si>
  <si>
    <t>lukas+1992s+Dorf</t>
  </si>
  <si>
    <t>No+Pain</t>
  </si>
  <si>
    <t>wopas+Dorf</t>
  </si>
  <si>
    <t>Dunkelwald</t>
  </si>
  <si>
    <t>Schuppen</t>
  </si>
  <si>
    <t>Find4uss+Dorf</t>
  </si>
  <si>
    <t>xxdaxoss+Dorf</t>
  </si>
  <si>
    <t>NooReturns+Dorf</t>
  </si>
  <si>
    <t>Zzz</t>
  </si>
  <si>
    <t>Dumpfbackefreus+Dorf</t>
  </si>
  <si>
    <t>Assgard</t>
  </si>
  <si>
    <t>001+WINDHUND97</t>
  </si>
  <si>
    <t>Pepe1000s+Dorf</t>
  </si>
  <si>
    <t>johnny26s+Dorf.</t>
  </si>
  <si>
    <t>Tobi-Wankenobis+Dorf</t>
  </si>
  <si>
    <t>gurugurus+Dorf</t>
  </si>
  <si>
    <t>Kova445s+Dorf</t>
  </si>
  <si>
    <t>The+Colossuss+Dorf</t>
  </si>
  <si>
    <t>lostimpacts+Dorf</t>
  </si>
  <si>
    <t>Wagano</t>
  </si>
  <si>
    <t>RamaLamas+Dorf</t>
  </si>
  <si>
    <t>Gera</t>
  </si>
  <si>
    <t>Ein+Basher+s+Dorf</t>
  </si>
  <si>
    <t>Mel0ns+Dorf</t>
  </si>
  <si>
    <t>Dopex3s+Dorf</t>
  </si>
  <si>
    <t>Baronlcs+Dorf</t>
  </si>
  <si>
    <t>LionSinOfPrides+Dorf</t>
  </si>
  <si>
    <t>Denybests+Dorf</t>
  </si>
  <si>
    <t>SadisticCookies+Dorf</t>
  </si>
  <si>
    <t>silvan03s+Dorf</t>
  </si>
  <si>
    <t>Eykeys+Dorf</t>
  </si>
  <si>
    <t>Lord+Willis+Dorf</t>
  </si>
  <si>
    <t>Zikkgzzs+Dorf</t>
  </si>
  <si>
    <t>Eykey-6s+Dorf</t>
  </si>
  <si>
    <t>Der+Anfang</t>
  </si>
  <si>
    <t>f1r3sh0ts+Dorf</t>
  </si>
  <si>
    <t>Freakii11s+Dorf</t>
  </si>
  <si>
    <t>Area+51</t>
  </si>
  <si>
    <t>kris99s+Dorf</t>
  </si>
  <si>
    <t>Unlucky</t>
  </si>
  <si>
    <t>Tim2.000s+Dorf</t>
  </si>
  <si>
    <t>Feuerwehrautos+Dorf</t>
  </si>
  <si>
    <t>ueli+murers+Dorf</t>
  </si>
  <si>
    <t>Lilanes+Tal</t>
  </si>
  <si>
    <t>Hardsequencers+Dorf</t>
  </si>
  <si>
    <t>H%40RDLINER1s+Dorf</t>
  </si>
  <si>
    <t>flake+001</t>
  </si>
  <si>
    <t>athilas+reich</t>
  </si>
  <si>
    <t>..SmokeY..at..HomeY..s+Dorf</t>
  </si>
  <si>
    <t>Xorlog</t>
  </si>
  <si>
    <t>UnsereMudis+Dorf</t>
  </si>
  <si>
    <t>Sennmanns+Dorf</t>
  </si>
  <si>
    <t>Dr.Mohys+Dorf</t>
  </si>
  <si>
    <t>Zappows+Dorf</t>
  </si>
  <si>
    <t>Danalinas+Dorf</t>
  </si>
  <si>
    <t>Villa+Kunterbunter</t>
  </si>
  <si>
    <t>Attila+der+Hunne</t>
  </si>
  <si>
    <t>gama8s+Dorf</t>
  </si>
  <si>
    <t>carlos+velhinhos+Dorf</t>
  </si>
  <si>
    <t>Pasio94s+Dorf</t>
  </si>
  <si>
    <t>JS11s+Dorf</t>
  </si>
  <si>
    <t>Leviathanias+Dorf</t>
  </si>
  <si>
    <t>WotoLPs+Dorf</t>
  </si>
  <si>
    <t>balo6300s+Dorf</t>
  </si>
  <si>
    <t>Rosettenandis+Dorf</t>
  </si>
  <si>
    <t>alex31011995s+Dorf</t>
  </si>
  <si>
    <t>JanekM98s+Dorf</t>
  </si>
  <si>
    <t>BehaarteRenates+Dorf</t>
  </si>
  <si>
    <t>Maxportals+Dorf</t>
  </si>
  <si>
    <t>ATWG+001</t>
  </si>
  <si>
    <t>ZGFJLs+Dorf</t>
  </si>
  <si>
    <t>Noxists+Dorf</t>
  </si>
  <si>
    <t>SwabianCoders+Dorf</t>
  </si>
  <si>
    <t>Okubeams+Dorf</t>
  </si>
  <si>
    <t>mtheb3s+Dorf</t>
  </si>
  <si>
    <t>GonzoGurkenheimers+Dorf</t>
  </si>
  <si>
    <t>Seit+W13+dabei.+Suche+Stamm</t>
  </si>
  <si>
    <t>Thailand</t>
  </si>
  <si>
    <t>Beelzebuths+Dorf</t>
  </si>
  <si>
    <t>schnecke12345s+Dorf</t>
  </si>
  <si>
    <t>nws178</t>
  </si>
  <si>
    <t>iMAKEYOUSeXYs+Dorf</t>
  </si>
  <si>
    <t>Gaschimas+Dorf</t>
  </si>
  <si>
    <t>Lorzings+Dorf</t>
  </si>
  <si>
    <t>Quaders+Dorf</t>
  </si>
  <si>
    <t>Korns+Dorf</t>
  </si>
  <si>
    <t>Lukas</t>
  </si>
  <si>
    <t>Privat98s+Dorf</t>
  </si>
  <si>
    <t>%C3%96rmis+Dorf</t>
  </si>
  <si>
    <t>vanderhoods+Dorf</t>
  </si>
  <si>
    <t>Nico22s+Dorf</t>
  </si>
  <si>
    <t>ehrenbruder+8is+Dorf</t>
  </si>
  <si>
    <t>Gettisburg</t>
  </si>
  <si>
    <t>hoedt09s+Dorf</t>
  </si>
  <si>
    <t>mrcruxs+Dorf</t>
  </si>
  <si>
    <t>Malchinhos+Dorf</t>
  </si>
  <si>
    <t>RietenLus+Dorf</t>
  </si>
  <si>
    <t>evo92+2k10s+Dorf</t>
  </si>
  <si>
    <t>wnaxs+Dorf</t>
  </si>
  <si>
    <t>sodomundgomorras+Dorf</t>
  </si>
  <si>
    <t>178+...</t>
  </si>
  <si>
    <t>DOWN-88s+Dorf</t>
  </si>
  <si>
    <t>Viagras+Dorf</t>
  </si>
  <si>
    <t>Austrolixs+Dorf</t>
  </si>
  <si>
    <t>Last+Man+Standing</t>
  </si>
  <si>
    <t>BaangXs+Dorf</t>
  </si>
  <si>
    <t>xx+bjoern+xxs+Dorf</t>
  </si>
  <si>
    <t>KingEgos+Dorf</t>
  </si>
  <si>
    <t>SzumilasLs+Dorf</t>
  </si>
  <si>
    <t>brille02s+Dorf</t>
  </si>
  <si>
    <t>dicka01s+Dorf</t>
  </si>
  <si>
    <t>Lady+Walters+Dorf</t>
  </si>
  <si>
    <t>kate94s+Dorf</t>
  </si>
  <si>
    <t>Elizabeth+Keens+Dorf</t>
  </si>
  <si>
    <t>tickbooms+Dorf</t>
  </si>
  <si>
    <t>Bumas+Dorf</t>
  </si>
  <si>
    <t>Zoom</t>
  </si>
  <si>
    <t>tolik87s+Dorf</t>
  </si>
  <si>
    <t>Sonques+Dorf</t>
  </si>
  <si>
    <t>Nutz99s+Dorf</t>
  </si>
  <si>
    <t>Tyr-1s+Dorf</t>
  </si>
  <si>
    <t>.Bardock.s+Dorf</t>
  </si>
  <si>
    <t>kalle03s+Dorf</t>
  </si>
  <si>
    <t>Malcoxs+Dorf</t>
  </si>
  <si>
    <t>Schnecken.Hauss+Dorf</t>
  </si>
  <si>
    <t>Sky+Gabers+Dorf</t>
  </si>
  <si>
    <t>Deff1</t>
  </si>
  <si>
    <t>bindaaas+Dorf</t>
  </si>
  <si>
    <t>Tobilischess+Dorf</t>
  </si>
  <si>
    <t>Screedas+Dorf</t>
  </si>
  <si>
    <t>stef222s+Dorf</t>
  </si>
  <si>
    <t>luk.frers+Dorf</t>
  </si>
  <si>
    <t>menollis+Dorf</t>
  </si>
  <si>
    <t>Elrond+von+Bruchtals+Dorf</t>
  </si>
  <si>
    <t>fernglass+Dorf</t>
  </si>
  <si>
    <t>Beilkriegers+Dorf</t>
  </si>
  <si>
    <t>Karl+der+Dickes+Dorf</t>
  </si>
  <si>
    <t>StefanHentschels+Dorf</t>
  </si>
  <si>
    <t>Smerfiks+Dorf</t>
  </si>
  <si>
    <t>Preyyers+Dorf</t>
  </si>
  <si>
    <t>Lord+Zeus+Graces+Dorf</t>
  </si>
  <si>
    <t>Prayyers+Dorf</t>
  </si>
  <si>
    <t>LordPferzis+Dorf</t>
  </si>
  <si>
    <t>astramanns+Dorf</t>
  </si>
  <si>
    <t>melmels+Dorf</t>
  </si>
  <si>
    <t>Ang3z0ckt</t>
  </si>
  <si>
    <t>JnnyLRs+Dorf</t>
  </si>
  <si>
    <t>RoofstopSnipers+Dorf</t>
  </si>
  <si>
    <t>klaris+Dorf</t>
  </si>
  <si>
    <t>Matzemaus</t>
  </si>
  <si>
    <t>Triiizyyys+Dorf</t>
  </si>
  <si>
    <t>sputnick</t>
  </si>
  <si>
    <t>bondfan007s+Dorf</t>
  </si>
  <si>
    <t>Derketas+Dorf</t>
  </si>
  <si>
    <t>Juan+Rauls+Dorf</t>
  </si>
  <si>
    <t>spielas+Dorf</t>
  </si>
  <si>
    <t>derDonalpha30s+Dorf</t>
  </si>
  <si>
    <t>St.Gallens+Dorf</t>
  </si>
  <si>
    <t>Stonewall</t>
  </si>
  <si>
    <t>Puschkin2006s+Dorf</t>
  </si>
  <si>
    <t>mojoBwls+Dorf</t>
  </si>
  <si>
    <t>Discobauers+Dorf</t>
  </si>
  <si>
    <t>L1895s+Dorf</t>
  </si>
  <si>
    <t>Stormshadow91s+Dorf</t>
  </si>
  <si>
    <t>Residence+of+Evil+001</t>
  </si>
  <si>
    <t>Millanders+Dorf</t>
  </si>
  <si>
    <t>Daarle</t>
  </si>
  <si>
    <t>R.S3s+Dorf</t>
  </si>
  <si>
    <t>Riddick30s+Dorf</t>
  </si>
  <si>
    <t>Naturkatastrophes+Dorf</t>
  </si>
  <si>
    <t>Weltuntergangs+Dorf</t>
  </si>
  <si>
    <t>Falukisias+Dorf</t>
  </si>
  <si>
    <t>Inferno</t>
  </si>
  <si>
    <t>ILoveShishas+Dorf</t>
  </si>
  <si>
    <t>Mortimer1000s+Dorf</t>
  </si>
  <si>
    <t>Wurstzweitopfs+Dorf</t>
  </si>
  <si>
    <t>Piksi83s+Dorf</t>
  </si>
  <si>
    <t>X-Tempo-Xs+Dorf</t>
  </si>
  <si>
    <t>Immunsystem</t>
  </si>
  <si>
    <t>Kerberos.1900s+Dorf</t>
  </si>
  <si>
    <t>Baba+Samus+Dorf</t>
  </si>
  <si>
    <t>Clanks+Dorf</t>
  </si>
  <si>
    <t>iNsaN3+in+BraiNs+Dorf</t>
  </si>
  <si>
    <t>ChelseaFCs+Dorf</t>
  </si>
  <si>
    <t>Mysterion</t>
  </si>
  <si>
    <t>Kapitanos+Dorf</t>
  </si>
  <si>
    <t>DaBuckis+Dorf</t>
  </si>
  <si>
    <t>Lord+Woots+Dorf</t>
  </si>
  <si>
    <t>LePfannenwenders+Dorf</t>
  </si>
  <si>
    <t>NiNjAtUrTlE</t>
  </si>
  <si>
    <t>BadLuds+Dorf</t>
  </si>
  <si>
    <t>Cpt.+America+%3A3</t>
  </si>
  <si>
    <t>Smillo</t>
  </si>
  <si>
    <t>Kurdians+Dorf</t>
  </si>
  <si>
    <t>Der+Taichus+Dorf</t>
  </si>
  <si>
    <t>FranzOzs+Dorf</t>
  </si>
  <si>
    <t>King+kevs+Dorf</t>
  </si>
  <si>
    <t>001+H0rde</t>
  </si>
  <si>
    <t>Acordics+Dorf</t>
  </si>
  <si>
    <t>The+Flaks+Dorf</t>
  </si>
  <si>
    <t>Black-Pythons+Dorf</t>
  </si>
  <si>
    <t>De+Kings+Dorf</t>
  </si>
  <si>
    <t>Tuoimunts+Dorf</t>
  </si>
  <si>
    <t>263+WHV</t>
  </si>
  <si>
    <t>mif1s+Dorf</t>
  </si>
  <si>
    <t>elhan17s+Dorf</t>
  </si>
  <si>
    <t>PhantomJuunges+Dorf</t>
  </si>
  <si>
    <t>Klassiker+001</t>
  </si>
  <si>
    <t>Nod42s+Dorf</t>
  </si>
  <si>
    <t>slayer-hazes+Dorf</t>
  </si>
  <si>
    <t>lakiluk1998s+Dorf</t>
  </si>
  <si>
    <t>SiiLexXs+Dorf</t>
  </si>
  <si>
    <t>Wildpark</t>
  </si>
  <si>
    <t>Thirolis+Dorf</t>
  </si>
  <si>
    <t>Roflcopterinhos+Dorf</t>
  </si>
  <si>
    <t>Kaiserbvbs+Dorf</t>
  </si>
  <si>
    <t>dirtys+Dorf</t>
  </si>
  <si>
    <t>edhers+Dorf</t>
  </si>
  <si>
    <t>aWeSomE+bIgyVeSs+Dorf</t>
  </si>
  <si>
    <t>Dorfkaktuss+Dorf</t>
  </si>
  <si>
    <t>Kubitza1984s+Dorf</t>
  </si>
  <si>
    <t>Autogrammgeber96s+Dorf</t>
  </si>
  <si>
    <t>Katuunkos+Dorf</t>
  </si>
  <si>
    <t>Stoobs+Dorf</t>
  </si>
  <si>
    <t>beroti99s+Dorf</t>
  </si>
  <si>
    <t>goutiers+Dorf</t>
  </si>
  <si>
    <t>458|480</t>
  </si>
  <si>
    <t>449|590</t>
  </si>
  <si>
    <t>479|471</t>
  </si>
  <si>
    <t>458|592</t>
  </si>
  <si>
    <t>479|478</t>
  </si>
  <si>
    <t>451|598</t>
  </si>
  <si>
    <t>488|482</t>
  </si>
  <si>
    <t>476|474</t>
  </si>
  <si>
    <t>477|478</t>
  </si>
  <si>
    <t>463|541</t>
  </si>
  <si>
    <t>472|478</t>
  </si>
  <si>
    <t>493|483</t>
  </si>
  <si>
    <t>566|469</t>
  </si>
  <si>
    <t>531|521</t>
  </si>
  <si>
    <t>561|464</t>
  </si>
  <si>
    <t>572|467</t>
  </si>
  <si>
    <t>574|463</t>
  </si>
  <si>
    <t>569|466</t>
  </si>
  <si>
    <t>572|473</t>
  </si>
  <si>
    <t>454|505</t>
  </si>
  <si>
    <t>458|495</t>
  </si>
  <si>
    <t>602|481</t>
  </si>
  <si>
    <t>602|474</t>
  </si>
  <si>
    <t>600|478</t>
  </si>
  <si>
    <t>605|480</t>
  </si>
  <si>
    <t>604|471</t>
  </si>
  <si>
    <t>451|458</t>
  </si>
  <si>
    <t>541|508</t>
  </si>
  <si>
    <t>540|511</t>
  </si>
  <si>
    <t>539|515</t>
  </si>
  <si>
    <t>534|506</t>
  </si>
  <si>
    <t>550|505</t>
  </si>
  <si>
    <t>539|505</t>
  </si>
  <si>
    <t>546|500</t>
  </si>
  <si>
    <t>553|469</t>
  </si>
  <si>
    <t>544|506</t>
  </si>
  <si>
    <t>539|507</t>
  </si>
  <si>
    <t>495|575</t>
  </si>
  <si>
    <t>484|475</t>
  </si>
  <si>
    <t>540|505</t>
  </si>
  <si>
    <t>533|507</t>
  </si>
  <si>
    <t>531|506</t>
  </si>
  <si>
    <t>482|477</t>
  </si>
  <si>
    <t>529|512</t>
  </si>
  <si>
    <t>529|513</t>
  </si>
  <si>
    <t>538|507</t>
  </si>
  <si>
    <t>548|500</t>
  </si>
  <si>
    <t>530|509</t>
  </si>
  <si>
    <t>532|509</t>
  </si>
  <si>
    <t>493|475</t>
  </si>
  <si>
    <t>610|480</t>
  </si>
  <si>
    <t>607|481</t>
  </si>
  <si>
    <t>610|483</t>
  </si>
  <si>
    <t>453|448</t>
  </si>
  <si>
    <t>489|465</t>
  </si>
  <si>
    <t>603|477</t>
  </si>
  <si>
    <t>606|481</t>
  </si>
  <si>
    <t>603|487</t>
  </si>
  <si>
    <t>543|568</t>
  </si>
  <si>
    <t>494|469</t>
  </si>
  <si>
    <t>609|474</t>
  </si>
  <si>
    <t>606|482</t>
  </si>
  <si>
    <t>605|476</t>
  </si>
  <si>
    <t>609|484</t>
  </si>
  <si>
    <t>602|487</t>
  </si>
  <si>
    <t>604|481</t>
  </si>
  <si>
    <t>602|484</t>
  </si>
  <si>
    <t>465|516</t>
  </si>
  <si>
    <t>470|520</t>
  </si>
  <si>
    <t>465|430</t>
  </si>
  <si>
    <t>463|517</t>
  </si>
  <si>
    <t>460|515</t>
  </si>
  <si>
    <t>462|522</t>
  </si>
  <si>
    <t>422|527</t>
  </si>
  <si>
    <t>453|530</t>
  </si>
  <si>
    <t>454|519</t>
  </si>
  <si>
    <t>484|513</t>
  </si>
  <si>
    <t>481|521</t>
  </si>
  <si>
    <t>454|509</t>
  </si>
  <si>
    <t>460|520</t>
  </si>
  <si>
    <t>443|515</t>
  </si>
  <si>
    <t>542|464</t>
  </si>
  <si>
    <t>453|523</t>
  </si>
  <si>
    <t>467|529</t>
  </si>
  <si>
    <t>422|518</t>
  </si>
  <si>
    <t>559|555</t>
  </si>
  <si>
    <t>480|463</t>
  </si>
  <si>
    <t>450|510</t>
  </si>
  <si>
    <t>473|507</t>
  </si>
  <si>
    <t>462|510</t>
  </si>
  <si>
    <t>463|508</t>
  </si>
  <si>
    <t>477|473</t>
  </si>
  <si>
    <t>458|510</t>
  </si>
  <si>
    <t>451|513</t>
  </si>
  <si>
    <t>451|526</t>
  </si>
  <si>
    <t>434|514</t>
  </si>
  <si>
    <t>470|546</t>
  </si>
  <si>
    <t>488|470</t>
  </si>
  <si>
    <t>541|488</t>
  </si>
  <si>
    <t>548|549</t>
  </si>
  <si>
    <t>537|488</t>
  </si>
  <si>
    <t>475|430</t>
  </si>
  <si>
    <t>544|489</t>
  </si>
  <si>
    <t>547|482</t>
  </si>
  <si>
    <t>532|495</t>
  </si>
  <si>
    <t>530|489</t>
  </si>
  <si>
    <t>537|496</t>
  </si>
  <si>
    <t>499|546</t>
  </si>
  <si>
    <t>533|537</t>
  </si>
  <si>
    <t>481|520</t>
  </si>
  <si>
    <t>463|524</t>
  </si>
  <si>
    <t>489|528</t>
  </si>
  <si>
    <t>481|535</t>
  </si>
  <si>
    <t>497|507</t>
  </si>
  <si>
    <t>495|511</t>
  </si>
  <si>
    <t>496|508</t>
  </si>
  <si>
    <t>499|509</t>
  </si>
  <si>
    <t>482|544</t>
  </si>
  <si>
    <t>493|528</t>
  </si>
  <si>
    <t>428|516</t>
  </si>
  <si>
    <t>460|545</t>
  </si>
  <si>
    <t>429|520</t>
  </si>
  <si>
    <t>410|527</t>
  </si>
  <si>
    <t>418|529</t>
  </si>
  <si>
    <t>445|415</t>
  </si>
  <si>
    <t>439|413</t>
  </si>
  <si>
    <t>544|484</t>
  </si>
  <si>
    <t>435|410</t>
  </si>
  <si>
    <t>535|492</t>
  </si>
  <si>
    <t>441|410</t>
  </si>
  <si>
    <t>524|488</t>
  </si>
  <si>
    <t>448|410</t>
  </si>
  <si>
    <t>438|411</t>
  </si>
  <si>
    <t>519|537</t>
  </si>
  <si>
    <t>540|569</t>
  </si>
  <si>
    <t>433|530</t>
  </si>
  <si>
    <t>462|538</t>
  </si>
  <si>
    <t>447|543</t>
  </si>
  <si>
    <t>445|543</t>
  </si>
  <si>
    <t>454|541</t>
  </si>
  <si>
    <t>483|489</t>
  </si>
  <si>
    <t>446|555</t>
  </si>
  <si>
    <t>522|473</t>
  </si>
  <si>
    <t>518|466</t>
  </si>
  <si>
    <t>525|469</t>
  </si>
  <si>
    <t>528|459</t>
  </si>
  <si>
    <t>537|495</t>
  </si>
  <si>
    <t>520|465</t>
  </si>
  <si>
    <t>524|475</t>
  </si>
  <si>
    <t>515|469</t>
  </si>
  <si>
    <t>529|460</t>
  </si>
  <si>
    <t>511|456</t>
  </si>
  <si>
    <t>508|475</t>
  </si>
  <si>
    <t>523|458</t>
  </si>
  <si>
    <t>435|536</t>
  </si>
  <si>
    <t>512|466</t>
  </si>
  <si>
    <t>518|476</t>
  </si>
  <si>
    <t>518|461</t>
  </si>
  <si>
    <t>519|471</t>
  </si>
  <si>
    <t>501|531</t>
  </si>
  <si>
    <t>521|480</t>
  </si>
  <si>
    <t>515|472</t>
  </si>
  <si>
    <t>505|484</t>
  </si>
  <si>
    <t>519|458</t>
  </si>
  <si>
    <t>511|470</t>
  </si>
  <si>
    <t>462|551</t>
  </si>
  <si>
    <t>524|466</t>
  </si>
  <si>
    <t>516|468</t>
  </si>
  <si>
    <t>510|477</t>
  </si>
  <si>
    <t>523|455</t>
  </si>
  <si>
    <t>515|468</t>
  </si>
  <si>
    <t>488|424</t>
  </si>
  <si>
    <t>532|457</t>
  </si>
  <si>
    <t>465|599</t>
  </si>
  <si>
    <t>490|594</t>
  </si>
  <si>
    <t>496|533</t>
  </si>
  <si>
    <t>491|598</t>
  </si>
  <si>
    <t>488|534</t>
  </si>
  <si>
    <t>422|478</t>
  </si>
  <si>
    <t>485|542</t>
  </si>
  <si>
    <t>493|601</t>
  </si>
  <si>
    <t>475|593</t>
  </si>
  <si>
    <t>487|525</t>
  </si>
  <si>
    <t>540|559</t>
  </si>
  <si>
    <t>468|599</t>
  </si>
  <si>
    <t>476|594</t>
  </si>
  <si>
    <t>514|536</t>
  </si>
  <si>
    <t>486|592</t>
  </si>
  <si>
    <t>479|454</t>
  </si>
  <si>
    <t>485|599</t>
  </si>
  <si>
    <t>484|597</t>
  </si>
  <si>
    <t>461|537</t>
  </si>
  <si>
    <t>464|599</t>
  </si>
  <si>
    <t>491|606</t>
  </si>
  <si>
    <t>425|510</t>
  </si>
  <si>
    <t>490|602</t>
  </si>
  <si>
    <t>482|604</t>
  </si>
  <si>
    <t>488|591</t>
  </si>
  <si>
    <t>500|524</t>
  </si>
  <si>
    <t>493|598</t>
  </si>
  <si>
    <t>473|601</t>
  </si>
  <si>
    <t>488|527</t>
  </si>
  <si>
    <t>486|602</t>
  </si>
  <si>
    <t>490|596</t>
  </si>
  <si>
    <t>470|474</t>
  </si>
  <si>
    <t>468|603</t>
  </si>
  <si>
    <t>477|520</t>
  </si>
  <si>
    <t>502|506</t>
  </si>
  <si>
    <t>499|514</t>
  </si>
  <si>
    <t>518|393</t>
  </si>
  <si>
    <t>484|504</t>
  </si>
  <si>
    <t>507|403</t>
  </si>
  <si>
    <t>503|392</t>
  </si>
  <si>
    <t>503|397</t>
  </si>
  <si>
    <t>507|389</t>
  </si>
  <si>
    <t>516|401</t>
  </si>
  <si>
    <t>520|390</t>
  </si>
  <si>
    <t>514|397</t>
  </si>
  <si>
    <t>508|392</t>
  </si>
  <si>
    <t>508|410</t>
  </si>
  <si>
    <t>490|512</t>
  </si>
  <si>
    <t>521|400</t>
  </si>
  <si>
    <t>489|523</t>
  </si>
  <si>
    <t>490|519</t>
  </si>
  <si>
    <t>505|397</t>
  </si>
  <si>
    <t>505|405</t>
  </si>
  <si>
    <t>507|398</t>
  </si>
  <si>
    <t>505|390</t>
  </si>
  <si>
    <t>495|392</t>
  </si>
  <si>
    <t>505|393</t>
  </si>
  <si>
    <t>512|390</t>
  </si>
  <si>
    <t>514|393</t>
  </si>
  <si>
    <t>515|394</t>
  </si>
  <si>
    <t>506|394</t>
  </si>
  <si>
    <t>479|518</t>
  </si>
  <si>
    <t>513|390</t>
  </si>
  <si>
    <t>509|394</t>
  </si>
  <si>
    <t>541|443</t>
  </si>
  <si>
    <t>497|391</t>
  </si>
  <si>
    <t>516|390</t>
  </si>
  <si>
    <t>519|394</t>
  </si>
  <si>
    <t>510|396</t>
  </si>
  <si>
    <t>508|400</t>
  </si>
  <si>
    <t>512|391</t>
  </si>
  <si>
    <t>513|389</t>
  </si>
  <si>
    <t>509|393</t>
  </si>
  <si>
    <t>511|404</t>
  </si>
  <si>
    <t>512|393</t>
  </si>
  <si>
    <t>517|395</t>
  </si>
  <si>
    <t>513|402</t>
  </si>
  <si>
    <t>524|428</t>
  </si>
  <si>
    <t>512|396</t>
  </si>
  <si>
    <t>511|394</t>
  </si>
  <si>
    <t>508|389</t>
  </si>
  <si>
    <t>454|472</t>
  </si>
  <si>
    <t>456|580</t>
  </si>
  <si>
    <t>534|398</t>
  </si>
  <si>
    <t>532|415</t>
  </si>
  <si>
    <t>533|403</t>
  </si>
  <si>
    <t>473|589</t>
  </si>
  <si>
    <t>557|410</t>
  </si>
  <si>
    <t>523|401</t>
  </si>
  <si>
    <t>564|498</t>
  </si>
  <si>
    <t>533|408</t>
  </si>
  <si>
    <t>528|415</t>
  </si>
  <si>
    <t>532|417</t>
  </si>
  <si>
    <t>527|408</t>
  </si>
  <si>
    <t>546|416</t>
  </si>
  <si>
    <t>536|412</t>
  </si>
  <si>
    <t>527|508</t>
  </si>
  <si>
    <t>504|511</t>
  </si>
  <si>
    <t>500|521</t>
  </si>
  <si>
    <t>511|517</t>
  </si>
  <si>
    <t>502|512</t>
  </si>
  <si>
    <t>506|526</t>
  </si>
  <si>
    <t>505|501</t>
  </si>
  <si>
    <t>498|521</t>
  </si>
  <si>
    <t>530|548</t>
  </si>
  <si>
    <t>419|531</t>
  </si>
  <si>
    <t>538|444</t>
  </si>
  <si>
    <t>518|506</t>
  </si>
  <si>
    <t>504|520</t>
  </si>
  <si>
    <t>493|507</t>
  </si>
  <si>
    <t>508|506</t>
  </si>
  <si>
    <t>513|527</t>
  </si>
  <si>
    <t>510|514</t>
  </si>
  <si>
    <t>503|515</t>
  </si>
  <si>
    <t>513|530</t>
  </si>
  <si>
    <t>520|498</t>
  </si>
  <si>
    <t>509|526</t>
  </si>
  <si>
    <t>485|510</t>
  </si>
  <si>
    <t>500|520</t>
  </si>
  <si>
    <t>516|522</t>
  </si>
  <si>
    <t>509|509</t>
  </si>
  <si>
    <t>507|514</t>
  </si>
  <si>
    <t>502|497</t>
  </si>
  <si>
    <t>488|508</t>
  </si>
  <si>
    <t>513|497</t>
  </si>
  <si>
    <t>502|508</t>
  </si>
  <si>
    <t>478|469</t>
  </si>
  <si>
    <t>476|475</t>
  </si>
  <si>
    <t>471|463</t>
  </si>
  <si>
    <t>476|470</t>
  </si>
  <si>
    <t>478|464</t>
  </si>
  <si>
    <t>555|501</t>
  </si>
  <si>
    <t>398|540</t>
  </si>
  <si>
    <t>480|479</t>
  </si>
  <si>
    <t>450|524</t>
  </si>
  <si>
    <t>491|471</t>
  </si>
  <si>
    <t>481|464</t>
  </si>
  <si>
    <t>484|476</t>
  </si>
  <si>
    <t>479|479</t>
  </si>
  <si>
    <t>483|467</t>
  </si>
  <si>
    <t>478|457</t>
  </si>
  <si>
    <t>523|460</t>
  </si>
  <si>
    <t>459|462</t>
  </si>
  <si>
    <t>472|476</t>
  </si>
  <si>
    <t>484|479</t>
  </si>
  <si>
    <t>488|480</t>
  </si>
  <si>
    <t>476|477</t>
  </si>
  <si>
    <t>477|585</t>
  </si>
  <si>
    <t>537|542</t>
  </si>
  <si>
    <t>478|477</t>
  </si>
  <si>
    <t>470|480</t>
  </si>
  <si>
    <t>502|454</t>
  </si>
  <si>
    <t>474|480</t>
  </si>
  <si>
    <t>482|473</t>
  </si>
  <si>
    <t>462|477</t>
  </si>
  <si>
    <t>481|490</t>
  </si>
  <si>
    <t>483|453</t>
  </si>
  <si>
    <t>480|492</t>
  </si>
  <si>
    <t>457|464</t>
  </si>
  <si>
    <t>553|497</t>
  </si>
  <si>
    <t>456|466</t>
  </si>
  <si>
    <t>474|476</t>
  </si>
  <si>
    <t>479|483</t>
  </si>
  <si>
    <t>480|490</t>
  </si>
  <si>
    <t>467|472</t>
  </si>
  <si>
    <t>479|448</t>
  </si>
  <si>
    <t>479|500</t>
  </si>
  <si>
    <t>477|454</t>
  </si>
  <si>
    <t>460|461</t>
  </si>
  <si>
    <t>473|413</t>
  </si>
  <si>
    <t>489|478</t>
  </si>
  <si>
    <t>463|477</t>
  </si>
  <si>
    <t>473|491</t>
  </si>
  <si>
    <t>461|458</t>
  </si>
  <si>
    <t>495|456</t>
  </si>
  <si>
    <t>504|561</t>
  </si>
  <si>
    <t>475|458</t>
  </si>
  <si>
    <t>486|470</t>
  </si>
  <si>
    <t>485|564</t>
  </si>
  <si>
    <t>504|443</t>
  </si>
  <si>
    <t>579|556</t>
  </si>
  <si>
    <t>452|596</t>
  </si>
  <si>
    <t>421|521</t>
  </si>
  <si>
    <t>440|592</t>
  </si>
  <si>
    <t>473|468</t>
  </si>
  <si>
    <t>476|487</t>
  </si>
  <si>
    <t>447|591</t>
  </si>
  <si>
    <t>488|404</t>
  </si>
  <si>
    <t>497|473</t>
  </si>
  <si>
    <t>482|471</t>
  </si>
  <si>
    <t>486|451</t>
  </si>
  <si>
    <t>467|458</t>
  </si>
  <si>
    <t>495|491</t>
  </si>
  <si>
    <t>531|483</t>
  </si>
  <si>
    <t>493|496</t>
  </si>
  <si>
    <t>501|496</t>
  </si>
  <si>
    <t>497|490</t>
  </si>
  <si>
    <t>495|494</t>
  </si>
  <si>
    <t>499|492</t>
  </si>
  <si>
    <t>501|486</t>
  </si>
  <si>
    <t>498|495</t>
  </si>
  <si>
    <t>490|494</t>
  </si>
  <si>
    <t>521|548</t>
  </si>
  <si>
    <t>519|543</t>
  </si>
  <si>
    <t>516|551</t>
  </si>
  <si>
    <t>467|404</t>
  </si>
  <si>
    <t>473|410</t>
  </si>
  <si>
    <t>475|408</t>
  </si>
  <si>
    <t>586|462</t>
  </si>
  <si>
    <t>596|466</t>
  </si>
  <si>
    <t>592|458</t>
  </si>
  <si>
    <t>599|472</t>
  </si>
  <si>
    <t>594|467</t>
  </si>
  <si>
    <t>597|460</t>
  </si>
  <si>
    <t>590|476</t>
  </si>
  <si>
    <t>599|473</t>
  </si>
  <si>
    <t>596|457</t>
  </si>
  <si>
    <t>593|467</t>
  </si>
  <si>
    <t>589|473</t>
  </si>
  <si>
    <t>511|440</t>
  </si>
  <si>
    <t>595|474</t>
  </si>
  <si>
    <t>427|517</t>
  </si>
  <si>
    <t>587|473</t>
  </si>
  <si>
    <t>585|480</t>
  </si>
  <si>
    <t>595|473</t>
  </si>
  <si>
    <t>603|465</t>
  </si>
  <si>
    <t>505|474</t>
  </si>
  <si>
    <t>596|470</t>
  </si>
  <si>
    <t>594|474</t>
  </si>
  <si>
    <t>476|458</t>
  </si>
  <si>
    <t>604|475</t>
  </si>
  <si>
    <t>526|552</t>
  </si>
  <si>
    <t>597|461</t>
  </si>
  <si>
    <t>594|451</t>
  </si>
  <si>
    <t>594|476</t>
  </si>
  <si>
    <t>594|459</t>
  </si>
  <si>
    <t>567|418</t>
  </si>
  <si>
    <t>560|418</t>
  </si>
  <si>
    <t>598|458</t>
  </si>
  <si>
    <t>589|461</t>
  </si>
  <si>
    <t>600|464</t>
  </si>
  <si>
    <t>490|472</t>
  </si>
  <si>
    <t>479|451</t>
  </si>
  <si>
    <t>548|528</t>
  </si>
  <si>
    <t>599|454</t>
  </si>
  <si>
    <t>592|471</t>
  </si>
  <si>
    <t>579|459</t>
  </si>
  <si>
    <t>578|477</t>
  </si>
  <si>
    <t>464|500</t>
  </si>
  <si>
    <t>466|496</t>
  </si>
  <si>
    <t>492|534</t>
  </si>
  <si>
    <t>460|497</t>
  </si>
  <si>
    <t>474|494</t>
  </si>
  <si>
    <t>463|496</t>
  </si>
  <si>
    <t>536|527</t>
  </si>
  <si>
    <t>515|527</t>
  </si>
  <si>
    <t>519|517</t>
  </si>
  <si>
    <t>518|530</t>
  </si>
  <si>
    <t>517|526</t>
  </si>
  <si>
    <t>513|516</t>
  </si>
  <si>
    <t>517|524</t>
  </si>
  <si>
    <t>490|578</t>
  </si>
  <si>
    <t>509|519</t>
  </si>
  <si>
    <t>500|532</t>
  </si>
  <si>
    <t>515|516</t>
  </si>
  <si>
    <t>476|527</t>
  </si>
  <si>
    <t>426|416</t>
  </si>
  <si>
    <t>485|535</t>
  </si>
  <si>
    <t>478|542</t>
  </si>
  <si>
    <t>430|414</t>
  </si>
  <si>
    <t>439|415</t>
  </si>
  <si>
    <t>484|536</t>
  </si>
  <si>
    <t>476|535</t>
  </si>
  <si>
    <t>482|529</t>
  </si>
  <si>
    <t>482|539</t>
  </si>
  <si>
    <t>475|549</t>
  </si>
  <si>
    <t>500|429</t>
  </si>
  <si>
    <t>475|544</t>
  </si>
  <si>
    <t>479|541</t>
  </si>
  <si>
    <t>422|418</t>
  </si>
  <si>
    <t>447|412</t>
  </si>
  <si>
    <t>431|416</t>
  </si>
  <si>
    <t>489|542</t>
  </si>
  <si>
    <t>516|481</t>
  </si>
  <si>
    <t>471|502</t>
  </si>
  <si>
    <t>458|459</t>
  </si>
  <si>
    <t>478|449</t>
  </si>
  <si>
    <t>480|445</t>
  </si>
  <si>
    <t>473|460</t>
  </si>
  <si>
    <t>472|450</t>
  </si>
  <si>
    <t>534|518</t>
  </si>
  <si>
    <t>471|457</t>
  </si>
  <si>
    <t>465|457</t>
  </si>
  <si>
    <t>475|449</t>
  </si>
  <si>
    <t>469|448</t>
  </si>
  <si>
    <t>460|470</t>
  </si>
  <si>
    <t>490|471</t>
  </si>
  <si>
    <t>464|446</t>
  </si>
  <si>
    <t>503|446</t>
  </si>
  <si>
    <t>525|398</t>
  </si>
  <si>
    <t>521|399</t>
  </si>
  <si>
    <t>520|411</t>
  </si>
  <si>
    <t>522|402</t>
  </si>
  <si>
    <t>517|399</t>
  </si>
  <si>
    <t>471|436</t>
  </si>
  <si>
    <t>526|407</t>
  </si>
  <si>
    <t>485|609</t>
  </si>
  <si>
    <t>495|525</t>
  </si>
  <si>
    <t>520|408</t>
  </si>
  <si>
    <t>524|404</t>
  </si>
  <si>
    <t>529|410</t>
  </si>
  <si>
    <t>529|407</t>
  </si>
  <si>
    <t>479|568</t>
  </si>
  <si>
    <t>523|406</t>
  </si>
  <si>
    <t>528|397</t>
  </si>
  <si>
    <t>498|516</t>
  </si>
  <si>
    <t>532|402</t>
  </si>
  <si>
    <t>517|401</t>
  </si>
  <si>
    <t>519|409</t>
  </si>
  <si>
    <t>513|416</t>
  </si>
  <si>
    <t>417|467</t>
  </si>
  <si>
    <t>409|460</t>
  </si>
  <si>
    <t>397|481</t>
  </si>
  <si>
    <t>415|474</t>
  </si>
  <si>
    <t>548|448</t>
  </si>
  <si>
    <t>421|465</t>
  </si>
  <si>
    <t>416|457</t>
  </si>
  <si>
    <t>408|459</t>
  </si>
  <si>
    <t>413|450</t>
  </si>
  <si>
    <t>405|451</t>
  </si>
  <si>
    <t>414|453</t>
  </si>
  <si>
    <t>409|452</t>
  </si>
  <si>
    <t>416|460</t>
  </si>
  <si>
    <t>412|452</t>
  </si>
  <si>
    <t>404|467</t>
  </si>
  <si>
    <t>406|454</t>
  </si>
  <si>
    <t>404|469</t>
  </si>
  <si>
    <t>495|544</t>
  </si>
  <si>
    <t>400|487</t>
  </si>
  <si>
    <t>410|467</t>
  </si>
  <si>
    <t>413|447</t>
  </si>
  <si>
    <t>416|445</t>
  </si>
  <si>
    <t>416|454</t>
  </si>
  <si>
    <t>423|456</t>
  </si>
  <si>
    <t>420|471</t>
  </si>
  <si>
    <t>417|450</t>
  </si>
  <si>
    <t>412|451</t>
  </si>
  <si>
    <t>493|464</t>
  </si>
  <si>
    <t>410|444</t>
  </si>
  <si>
    <t>481|544</t>
  </si>
  <si>
    <t>411|462</t>
  </si>
  <si>
    <t>416|464</t>
  </si>
  <si>
    <t>416|463</t>
  </si>
  <si>
    <t>405|476</t>
  </si>
  <si>
    <t>412|464</t>
  </si>
  <si>
    <t>573|524</t>
  </si>
  <si>
    <t>425|462</t>
  </si>
  <si>
    <t>412|460</t>
  </si>
  <si>
    <t>409|454</t>
  </si>
  <si>
    <t>411|465</t>
  </si>
  <si>
    <t>396|477</t>
  </si>
  <si>
    <t>406|452</t>
  </si>
  <si>
    <t>416|459</t>
  </si>
  <si>
    <t>422|460</t>
  </si>
  <si>
    <t>405|455</t>
  </si>
  <si>
    <t>410|462</t>
  </si>
  <si>
    <t>403|468</t>
  </si>
  <si>
    <t>417|469</t>
  </si>
  <si>
    <t>423|465</t>
  </si>
  <si>
    <t>409|449</t>
  </si>
  <si>
    <t>412|458</t>
  </si>
  <si>
    <t>393|488</t>
  </si>
  <si>
    <t>578|427</t>
  </si>
  <si>
    <t>578|419</t>
  </si>
  <si>
    <t>448|481</t>
  </si>
  <si>
    <t>570|424</t>
  </si>
  <si>
    <t>574|429</t>
  </si>
  <si>
    <t>573|420</t>
  </si>
  <si>
    <t>575|425</t>
  </si>
  <si>
    <t>470|538</t>
  </si>
  <si>
    <t>576|424</t>
  </si>
  <si>
    <t>576|423</t>
  </si>
  <si>
    <t>571|427</t>
  </si>
  <si>
    <t>478|511</t>
  </si>
  <si>
    <t>573|428</t>
  </si>
  <si>
    <t>573|426</t>
  </si>
  <si>
    <t>577|422</t>
  </si>
  <si>
    <t>571|415</t>
  </si>
  <si>
    <t>575|429</t>
  </si>
  <si>
    <t>571|419</t>
  </si>
  <si>
    <t>579|432</t>
  </si>
  <si>
    <t>573|433</t>
  </si>
  <si>
    <t>567|444</t>
  </si>
  <si>
    <t>562|424</t>
  </si>
  <si>
    <t>558|439</t>
  </si>
  <si>
    <t>564|434</t>
  </si>
  <si>
    <t>565|421</t>
  </si>
  <si>
    <t>573|425</t>
  </si>
  <si>
    <t>581|429</t>
  </si>
  <si>
    <t>576|430</t>
  </si>
  <si>
    <t>509|439</t>
  </si>
  <si>
    <t>570|430</t>
  </si>
  <si>
    <t>557|430</t>
  </si>
  <si>
    <t>493|447</t>
  </si>
  <si>
    <t>579|428</t>
  </si>
  <si>
    <t>547|536</t>
  </si>
  <si>
    <t>566|418</t>
  </si>
  <si>
    <t>580|437</t>
  </si>
  <si>
    <t>577|424</t>
  </si>
  <si>
    <t>521|468</t>
  </si>
  <si>
    <t>562|421</t>
  </si>
  <si>
    <t>479|475</t>
  </si>
  <si>
    <t>457|553</t>
  </si>
  <si>
    <t>479|485</t>
  </si>
  <si>
    <t>477|490</t>
  </si>
  <si>
    <t>485|477</t>
  </si>
  <si>
    <t>475|474</t>
  </si>
  <si>
    <t>474|475</t>
  </si>
  <si>
    <t>519|393</t>
  </si>
  <si>
    <t>526|399</t>
  </si>
  <si>
    <t>495|507</t>
  </si>
  <si>
    <t>526|409</t>
  </si>
  <si>
    <t>529|426</t>
  </si>
  <si>
    <t>542|407</t>
  </si>
  <si>
    <t>527|498</t>
  </si>
  <si>
    <t>542|403</t>
  </si>
  <si>
    <t>555|411</t>
  </si>
  <si>
    <t>527|405</t>
  </si>
  <si>
    <t>553|422</t>
  </si>
  <si>
    <t>554|414</t>
  </si>
  <si>
    <t>529|408</t>
  </si>
  <si>
    <t>475|471</t>
  </si>
  <si>
    <t>538|423</t>
  </si>
  <si>
    <t>521|511</t>
  </si>
  <si>
    <t>587|454</t>
  </si>
  <si>
    <t>533|410</t>
  </si>
  <si>
    <t>532|406</t>
  </si>
  <si>
    <t>537|461</t>
  </si>
  <si>
    <t>536|418</t>
  </si>
  <si>
    <t>450|538</t>
  </si>
  <si>
    <t>542|402</t>
  </si>
  <si>
    <t>485|536</t>
  </si>
  <si>
    <t>532|411</t>
  </si>
  <si>
    <t>544|421</t>
  </si>
  <si>
    <t>547|415</t>
  </si>
  <si>
    <t>530|483</t>
  </si>
  <si>
    <t>531|399</t>
  </si>
  <si>
    <t>546|415</t>
  </si>
  <si>
    <t>528|405</t>
  </si>
  <si>
    <t>530|405</t>
  </si>
  <si>
    <t>549|423</t>
  </si>
  <si>
    <t>546|447</t>
  </si>
  <si>
    <t>542|425</t>
  </si>
  <si>
    <t>541|422</t>
  </si>
  <si>
    <t>479|513</t>
  </si>
  <si>
    <t>529|395</t>
  </si>
  <si>
    <t>536|409</t>
  </si>
  <si>
    <t>525|409</t>
  </si>
  <si>
    <t>530|397</t>
  </si>
  <si>
    <t>541|407</t>
  </si>
  <si>
    <t>532|481</t>
  </si>
  <si>
    <t>527|413</t>
  </si>
  <si>
    <t>554|411</t>
  </si>
  <si>
    <t>536|403</t>
  </si>
  <si>
    <t>528|480</t>
  </si>
  <si>
    <t>541|408</t>
  </si>
  <si>
    <t>543|403</t>
  </si>
  <si>
    <t>543|413</t>
  </si>
  <si>
    <t>555|491</t>
  </si>
  <si>
    <t>542|412</t>
  </si>
  <si>
    <t>544|407</t>
  </si>
  <si>
    <t>540|414</t>
  </si>
  <si>
    <t>544|410</t>
  </si>
  <si>
    <t>522|399</t>
  </si>
  <si>
    <t>552|416</t>
  </si>
  <si>
    <t>532|407</t>
  </si>
  <si>
    <t>537|427</t>
  </si>
  <si>
    <t>541|415</t>
  </si>
  <si>
    <t>468|431</t>
  </si>
  <si>
    <t>544|412</t>
  </si>
  <si>
    <t>446|456</t>
  </si>
  <si>
    <t>441|461</t>
  </si>
  <si>
    <t>478|576</t>
  </si>
  <si>
    <t>442|457</t>
  </si>
  <si>
    <t>539|473</t>
  </si>
  <si>
    <t>438|449</t>
  </si>
  <si>
    <t>445|453</t>
  </si>
  <si>
    <t>444|454</t>
  </si>
  <si>
    <t>450|453</t>
  </si>
  <si>
    <t>444|446</t>
  </si>
  <si>
    <t>597|527</t>
  </si>
  <si>
    <t>545|509</t>
  </si>
  <si>
    <t>584|522</t>
  </si>
  <si>
    <t>482|504</t>
  </si>
  <si>
    <t>582|531</t>
  </si>
  <si>
    <t>587|519</t>
  </si>
  <si>
    <t>589|528</t>
  </si>
  <si>
    <t>499|497</t>
  </si>
  <si>
    <t>599|526</t>
  </si>
  <si>
    <t>582|523</t>
  </si>
  <si>
    <t>586|528</t>
  </si>
  <si>
    <t>591|527</t>
  </si>
  <si>
    <t>581|539</t>
  </si>
  <si>
    <t>471|504</t>
  </si>
  <si>
    <t>576|543</t>
  </si>
  <si>
    <t>487|497</t>
  </si>
  <si>
    <t>598|529</t>
  </si>
  <si>
    <t>446|585</t>
  </si>
  <si>
    <t>488|533</t>
  </si>
  <si>
    <t>542|521</t>
  </si>
  <si>
    <t>501|534</t>
  </si>
  <si>
    <t>542|500</t>
  </si>
  <si>
    <t>544|496</t>
  </si>
  <si>
    <t>551|507</t>
  </si>
  <si>
    <t>550|510</t>
  </si>
  <si>
    <t>534|505</t>
  </si>
  <si>
    <t>540|487</t>
  </si>
  <si>
    <t>553|502</t>
  </si>
  <si>
    <t>547|498</t>
  </si>
  <si>
    <t>542|504</t>
  </si>
  <si>
    <t>529|498</t>
  </si>
  <si>
    <t>542|494</t>
  </si>
  <si>
    <t>543|502</t>
  </si>
  <si>
    <t>554|505</t>
  </si>
  <si>
    <t>539|503</t>
  </si>
  <si>
    <t>545|506</t>
  </si>
  <si>
    <t>540|500</t>
  </si>
  <si>
    <t>498|424</t>
  </si>
  <si>
    <t>539|513</t>
  </si>
  <si>
    <t>533|543</t>
  </si>
  <si>
    <t>558|510</t>
  </si>
  <si>
    <t>535|505</t>
  </si>
  <si>
    <t>397|535</t>
  </si>
  <si>
    <t>542|495</t>
  </si>
  <si>
    <t>538|510</t>
  </si>
  <si>
    <t>550|507</t>
  </si>
  <si>
    <t>528|507</t>
  </si>
  <si>
    <t>543|509</t>
  </si>
  <si>
    <t>548|515</t>
  </si>
  <si>
    <t>536|510</t>
  </si>
  <si>
    <t>408|564</t>
  </si>
  <si>
    <t>410|561</t>
  </si>
  <si>
    <t>525|466</t>
  </si>
  <si>
    <t>524|468</t>
  </si>
  <si>
    <t>532|472</t>
  </si>
  <si>
    <t>494|412</t>
  </si>
  <si>
    <t>485|412</t>
  </si>
  <si>
    <t>482|404</t>
  </si>
  <si>
    <t>484|413</t>
  </si>
  <si>
    <t>492|412</t>
  </si>
  <si>
    <t>474|401</t>
  </si>
  <si>
    <t>428|476</t>
  </si>
  <si>
    <t>485|411</t>
  </si>
  <si>
    <t>483|410</t>
  </si>
  <si>
    <t>479|402</t>
  </si>
  <si>
    <t>486|403</t>
  </si>
  <si>
    <t>489|402</t>
  </si>
  <si>
    <t>481|404</t>
  </si>
  <si>
    <t>491|402</t>
  </si>
  <si>
    <t>482|407</t>
  </si>
  <si>
    <t>436|500</t>
  </si>
  <si>
    <t>501|467</t>
  </si>
  <si>
    <t>493|411</t>
  </si>
  <si>
    <t>486|414</t>
  </si>
  <si>
    <t>485|414</t>
  </si>
  <si>
    <t>585|558</t>
  </si>
  <si>
    <t>488|478</t>
  </si>
  <si>
    <t>470|500</t>
  </si>
  <si>
    <t>473|505</t>
  </si>
  <si>
    <t>477|498</t>
  </si>
  <si>
    <t>471|511</t>
  </si>
  <si>
    <t>468|520</t>
  </si>
  <si>
    <t>477|516</t>
  </si>
  <si>
    <t>458|491</t>
  </si>
  <si>
    <t>517|567</t>
  </si>
  <si>
    <t>469|501</t>
  </si>
  <si>
    <t>514|578</t>
  </si>
  <si>
    <t>464|510</t>
  </si>
  <si>
    <t>451|499</t>
  </si>
  <si>
    <t>467|505</t>
  </si>
  <si>
    <t>498|479</t>
  </si>
  <si>
    <t>503|529</t>
  </si>
  <si>
    <t>501|472</t>
  </si>
  <si>
    <t>503|466</t>
  </si>
  <si>
    <t>516|458</t>
  </si>
  <si>
    <t>515|460</t>
  </si>
  <si>
    <t>512|468</t>
  </si>
  <si>
    <t>521|465</t>
  </si>
  <si>
    <t>560|530</t>
  </si>
  <si>
    <t>509|463</t>
  </si>
  <si>
    <t>509|452</t>
  </si>
  <si>
    <t>518|457</t>
  </si>
  <si>
    <t>518|469</t>
  </si>
  <si>
    <t>410|546</t>
  </si>
  <si>
    <t>401|541</t>
  </si>
  <si>
    <t>483|606</t>
  </si>
  <si>
    <t>471|506</t>
  </si>
  <si>
    <t>407|540</t>
  </si>
  <si>
    <t>498|387</t>
  </si>
  <si>
    <t>473|521</t>
  </si>
  <si>
    <t>518|566</t>
  </si>
  <si>
    <t>573|477</t>
  </si>
  <si>
    <t>554|541</t>
  </si>
  <si>
    <t>430|499</t>
  </si>
  <si>
    <t>524|568</t>
  </si>
  <si>
    <t>504|519</t>
  </si>
  <si>
    <t>506|514</t>
  </si>
  <si>
    <t>459|484</t>
  </si>
  <si>
    <t>499|515</t>
  </si>
  <si>
    <t>494|517</t>
  </si>
  <si>
    <t>514|502</t>
  </si>
  <si>
    <t>495|508</t>
  </si>
  <si>
    <t>493|534</t>
  </si>
  <si>
    <t>533|572</t>
  </si>
  <si>
    <t>502|515</t>
  </si>
  <si>
    <t>468|462</t>
  </si>
  <si>
    <t>566|544</t>
  </si>
  <si>
    <t>559|538</t>
  </si>
  <si>
    <t>462|480</t>
  </si>
  <si>
    <t>552|566</t>
  </si>
  <si>
    <t>494|489</t>
  </si>
  <si>
    <t>507|499</t>
  </si>
  <si>
    <t>542|519</t>
  </si>
  <si>
    <t>516|442</t>
  </si>
  <si>
    <t>507|454</t>
  </si>
  <si>
    <t>497|453</t>
  </si>
  <si>
    <t>509|457</t>
  </si>
  <si>
    <t>504|452</t>
  </si>
  <si>
    <t>446|466</t>
  </si>
  <si>
    <t>500|459</t>
  </si>
  <si>
    <t>511|450</t>
  </si>
  <si>
    <t>512|448</t>
  </si>
  <si>
    <t>505|445</t>
  </si>
  <si>
    <t>457|494</t>
  </si>
  <si>
    <t>495|448</t>
  </si>
  <si>
    <t>502|474</t>
  </si>
  <si>
    <t>505|441</t>
  </si>
  <si>
    <t>510|462</t>
  </si>
  <si>
    <t>496|470</t>
  </si>
  <si>
    <t>457|541</t>
  </si>
  <si>
    <t>493|478</t>
  </si>
  <si>
    <t>499|472</t>
  </si>
  <si>
    <t>404|506</t>
  </si>
  <si>
    <t>494|460</t>
  </si>
  <si>
    <t>443|539</t>
  </si>
  <si>
    <t>501|452</t>
  </si>
  <si>
    <t>500|461</t>
  </si>
  <si>
    <t>508|444</t>
  </si>
  <si>
    <t>496|455</t>
  </si>
  <si>
    <t>519|449</t>
  </si>
  <si>
    <t>508|470</t>
  </si>
  <si>
    <t>518|542</t>
  </si>
  <si>
    <t>515|445</t>
  </si>
  <si>
    <t>513|441</t>
  </si>
  <si>
    <t>502|457</t>
  </si>
  <si>
    <t>501|462</t>
  </si>
  <si>
    <t>506|468</t>
  </si>
  <si>
    <t>447|422</t>
  </si>
  <si>
    <t>435|427</t>
  </si>
  <si>
    <t>436|428</t>
  </si>
  <si>
    <t>439|426</t>
  </si>
  <si>
    <t>437|432</t>
  </si>
  <si>
    <t>527|571</t>
  </si>
  <si>
    <t>521|524</t>
  </si>
  <si>
    <t>520|526</t>
  </si>
  <si>
    <t>605|475</t>
  </si>
  <si>
    <t>511|531</t>
  </si>
  <si>
    <t>518|513</t>
  </si>
  <si>
    <t>513|517</t>
  </si>
  <si>
    <t>514|534</t>
  </si>
  <si>
    <t>513|528</t>
  </si>
  <si>
    <t>523|536</t>
  </si>
  <si>
    <t>468|544</t>
  </si>
  <si>
    <t>504|521</t>
  </si>
  <si>
    <t>523|569</t>
  </si>
  <si>
    <t>516|532</t>
  </si>
  <si>
    <t>531|536</t>
  </si>
  <si>
    <t>506|529</t>
  </si>
  <si>
    <t>521|540</t>
  </si>
  <si>
    <t>530|528</t>
  </si>
  <si>
    <t>516|530</t>
  </si>
  <si>
    <t>517|527</t>
  </si>
  <si>
    <t>513|533</t>
  </si>
  <si>
    <t>524|523</t>
  </si>
  <si>
    <t>523|512</t>
  </si>
  <si>
    <t>517|522</t>
  </si>
  <si>
    <t>515|550</t>
  </si>
  <si>
    <t>526|538</t>
  </si>
  <si>
    <t>519|531</t>
  </si>
  <si>
    <t>513|544</t>
  </si>
  <si>
    <t>524|527</t>
  </si>
  <si>
    <t>507|531</t>
  </si>
  <si>
    <t>507|540</t>
  </si>
  <si>
    <t>517|523</t>
  </si>
  <si>
    <t>458|551</t>
  </si>
  <si>
    <t>514|535</t>
  </si>
  <si>
    <t>519|521</t>
  </si>
  <si>
    <t>509|528</t>
  </si>
  <si>
    <t>520|536</t>
  </si>
  <si>
    <t>477|508</t>
  </si>
  <si>
    <t>476|512</t>
  </si>
  <si>
    <t>474|506</t>
  </si>
  <si>
    <t>473|510</t>
  </si>
  <si>
    <t>476|500</t>
  </si>
  <si>
    <t>466|506</t>
  </si>
  <si>
    <t>480|503</t>
  </si>
  <si>
    <t>490|524</t>
  </si>
  <si>
    <t>466|512</t>
  </si>
  <si>
    <t>477|494</t>
  </si>
  <si>
    <t>580|436</t>
  </si>
  <si>
    <t>583|445</t>
  </si>
  <si>
    <t>595|447</t>
  </si>
  <si>
    <t>581|427</t>
  </si>
  <si>
    <t>581|433</t>
  </si>
  <si>
    <t>573|421</t>
  </si>
  <si>
    <t>582|432</t>
  </si>
  <si>
    <t>583|437</t>
  </si>
  <si>
    <t>584|433</t>
  </si>
  <si>
    <t>471|526</t>
  </si>
  <si>
    <t>588|436</t>
  </si>
  <si>
    <t>577|448</t>
  </si>
  <si>
    <t>585|437</t>
  </si>
  <si>
    <t>581|430</t>
  </si>
  <si>
    <t>519|426</t>
  </si>
  <si>
    <t>580|438</t>
  </si>
  <si>
    <t>588|438</t>
  </si>
  <si>
    <t>584|449</t>
  </si>
  <si>
    <t>593|447</t>
  </si>
  <si>
    <t>600|451</t>
  </si>
  <si>
    <t>478|564</t>
  </si>
  <si>
    <t>513|522</t>
  </si>
  <si>
    <t>524|519</t>
  </si>
  <si>
    <t>585|443</t>
  </si>
  <si>
    <t>581|442</t>
  </si>
  <si>
    <t>582|438</t>
  </si>
  <si>
    <t>586|441</t>
  </si>
  <si>
    <t>580|424</t>
  </si>
  <si>
    <t>522|521</t>
  </si>
  <si>
    <t>572|417</t>
  </si>
  <si>
    <t>568|421</t>
  </si>
  <si>
    <t>562|415</t>
  </si>
  <si>
    <t>564|418</t>
  </si>
  <si>
    <t>557|414</t>
  </si>
  <si>
    <t>555|419</t>
  </si>
  <si>
    <t>554|403</t>
  </si>
  <si>
    <t>572|418</t>
  </si>
  <si>
    <t>552|405</t>
  </si>
  <si>
    <t>549|397</t>
  </si>
  <si>
    <t>499|477</t>
  </si>
  <si>
    <t>553|401</t>
  </si>
  <si>
    <t>546|406</t>
  </si>
  <si>
    <t>566|413</t>
  </si>
  <si>
    <t>556|402</t>
  </si>
  <si>
    <t>554|404</t>
  </si>
  <si>
    <t>572|412</t>
  </si>
  <si>
    <t>549|512</t>
  </si>
  <si>
    <t>545|415</t>
  </si>
  <si>
    <t>490|539</t>
  </si>
  <si>
    <t>544|516</t>
  </si>
  <si>
    <t>548|396</t>
  </si>
  <si>
    <t>567|414</t>
  </si>
  <si>
    <t>558|547</t>
  </si>
  <si>
    <t>562|407</t>
  </si>
  <si>
    <t>515|508</t>
  </si>
  <si>
    <t>448|451</t>
  </si>
  <si>
    <t>533|513</t>
  </si>
  <si>
    <t>536|504</t>
  </si>
  <si>
    <t>539|518</t>
  </si>
  <si>
    <t>532|507</t>
  </si>
  <si>
    <t>544|515</t>
  </si>
  <si>
    <t>540|501</t>
  </si>
  <si>
    <t>536|517</t>
  </si>
  <si>
    <t>538|511</t>
  </si>
  <si>
    <t>541|503</t>
  </si>
  <si>
    <t>533|506</t>
  </si>
  <si>
    <t>542|509</t>
  </si>
  <si>
    <t>537|503</t>
  </si>
  <si>
    <t>553|514</t>
  </si>
  <si>
    <t>457|524</t>
  </si>
  <si>
    <t>545|500</t>
  </si>
  <si>
    <t>541|514</t>
  </si>
  <si>
    <t>544|521</t>
  </si>
  <si>
    <t>528|508</t>
  </si>
  <si>
    <t>539|567</t>
  </si>
  <si>
    <t>543|505</t>
  </si>
  <si>
    <t>528|504</t>
  </si>
  <si>
    <t>505|443</t>
  </si>
  <si>
    <t>526|512</t>
  </si>
  <si>
    <t>530|526</t>
  </si>
  <si>
    <t>541|518</t>
  </si>
  <si>
    <t>537|434</t>
  </si>
  <si>
    <t>533|505</t>
  </si>
  <si>
    <t>504|550</t>
  </si>
  <si>
    <t>483|465</t>
  </si>
  <si>
    <t>484|463</t>
  </si>
  <si>
    <t>477|460</t>
  </si>
  <si>
    <t>522|438</t>
  </si>
  <si>
    <t>493|459</t>
  </si>
  <si>
    <t>481|451</t>
  </si>
  <si>
    <t>481|463</t>
  </si>
  <si>
    <t>486|434</t>
  </si>
  <si>
    <t>587|566</t>
  </si>
  <si>
    <t>591|569</t>
  </si>
  <si>
    <t>582|573</t>
  </si>
  <si>
    <t>592|452</t>
  </si>
  <si>
    <t>573|449</t>
  </si>
  <si>
    <t>577|441</t>
  </si>
  <si>
    <t>581|438</t>
  </si>
  <si>
    <t>584|444</t>
  </si>
  <si>
    <t>583|443</t>
  </si>
  <si>
    <t>589|453</t>
  </si>
  <si>
    <t>587|433</t>
  </si>
  <si>
    <t>591|441</t>
  </si>
  <si>
    <t>577|452</t>
  </si>
  <si>
    <t>596|451</t>
  </si>
  <si>
    <t>578|448</t>
  </si>
  <si>
    <t>592|434</t>
  </si>
  <si>
    <t>563|413</t>
  </si>
  <si>
    <t>481|533</t>
  </si>
  <si>
    <t>583|453</t>
  </si>
  <si>
    <t>585|441</t>
  </si>
  <si>
    <t>583|447</t>
  </si>
  <si>
    <t>523|431</t>
  </si>
  <si>
    <t>591|449</t>
  </si>
  <si>
    <t>585|440</t>
  </si>
  <si>
    <t>580|447</t>
  </si>
  <si>
    <t>499|448</t>
  </si>
  <si>
    <t>587|438</t>
  </si>
  <si>
    <t>584|441</t>
  </si>
  <si>
    <t>579|451</t>
  </si>
  <si>
    <t>583|457</t>
  </si>
  <si>
    <t>587|448</t>
  </si>
  <si>
    <t>589|444</t>
  </si>
  <si>
    <t>599|455</t>
  </si>
  <si>
    <t>512|467</t>
  </si>
  <si>
    <t>423|505</t>
  </si>
  <si>
    <t>526|561</t>
  </si>
  <si>
    <t>471|497</t>
  </si>
  <si>
    <t>468|517</t>
  </si>
  <si>
    <t>589|482</t>
  </si>
  <si>
    <t>515|478</t>
  </si>
  <si>
    <t>525|468</t>
  </si>
  <si>
    <t>470|488</t>
  </si>
  <si>
    <t>463|499</t>
  </si>
  <si>
    <t>477|464</t>
  </si>
  <si>
    <t>498|504</t>
  </si>
  <si>
    <t>469|491</t>
  </si>
  <si>
    <t>495|513</t>
  </si>
  <si>
    <t>494|515</t>
  </si>
  <si>
    <t>500|505</t>
  </si>
  <si>
    <t>500|503</t>
  </si>
  <si>
    <t>557|538</t>
  </si>
  <si>
    <t>561|534</t>
  </si>
  <si>
    <t>566|534</t>
  </si>
  <si>
    <t>574|545</t>
  </si>
  <si>
    <t>424|474</t>
  </si>
  <si>
    <t>527|586</t>
  </si>
  <si>
    <t>526|581</t>
  </si>
  <si>
    <t>519|586</t>
  </si>
  <si>
    <t>555|585</t>
  </si>
  <si>
    <t>478|458</t>
  </si>
  <si>
    <t>497|502</t>
  </si>
  <si>
    <t>480|452</t>
  </si>
  <si>
    <t>476|456</t>
  </si>
  <si>
    <t>478|456</t>
  </si>
  <si>
    <t>484|462</t>
  </si>
  <si>
    <t>488|449</t>
  </si>
  <si>
    <t>480|457</t>
  </si>
  <si>
    <t>477|451</t>
  </si>
  <si>
    <t>484|461</t>
  </si>
  <si>
    <t>485|447</t>
  </si>
  <si>
    <t>472|466</t>
  </si>
  <si>
    <t>496|452</t>
  </si>
  <si>
    <t>498|447</t>
  </si>
  <si>
    <t>489|459</t>
  </si>
  <si>
    <t>482|460</t>
  </si>
  <si>
    <t>495|515</t>
  </si>
  <si>
    <t>428|539</t>
  </si>
  <si>
    <t>429|542</t>
  </si>
  <si>
    <t>430|534</t>
  </si>
  <si>
    <t>415|527</t>
  </si>
  <si>
    <t>497|408</t>
  </si>
  <si>
    <t>497|405</t>
  </si>
  <si>
    <t>505|465</t>
  </si>
  <si>
    <t>418|434</t>
  </si>
  <si>
    <t>422|434</t>
  </si>
  <si>
    <t>503|477</t>
  </si>
  <si>
    <t>546|483</t>
  </si>
  <si>
    <t>427|441</t>
  </si>
  <si>
    <t>444|523</t>
  </si>
  <si>
    <t>422|444</t>
  </si>
  <si>
    <t>432|430</t>
  </si>
  <si>
    <t>416|436</t>
  </si>
  <si>
    <t>425|438</t>
  </si>
  <si>
    <t>490|492</t>
  </si>
  <si>
    <t>416|433</t>
  </si>
  <si>
    <t>413|443</t>
  </si>
  <si>
    <t>521|487</t>
  </si>
  <si>
    <t>425|433</t>
  </si>
  <si>
    <t>419|431</t>
  </si>
  <si>
    <t>413|434</t>
  </si>
  <si>
    <t>423|439</t>
  </si>
  <si>
    <t>426|428</t>
  </si>
  <si>
    <t>426|434</t>
  </si>
  <si>
    <t>472|500</t>
  </si>
  <si>
    <t>470|506</t>
  </si>
  <si>
    <t>473|498</t>
  </si>
  <si>
    <t>609|473</t>
  </si>
  <si>
    <t>501|538</t>
  </si>
  <si>
    <t>604|462</t>
  </si>
  <si>
    <t>608|466</t>
  </si>
  <si>
    <t>609|490</t>
  </si>
  <si>
    <t>609|470</t>
  </si>
  <si>
    <t>607|464</t>
  </si>
  <si>
    <t>526|432</t>
  </si>
  <si>
    <t>595|464</t>
  </si>
  <si>
    <t>595|467</t>
  </si>
  <si>
    <t>606|472</t>
  </si>
  <si>
    <t>504|489</t>
  </si>
  <si>
    <t>604|464</t>
  </si>
  <si>
    <t>602|466</t>
  </si>
  <si>
    <t>608|472</t>
  </si>
  <si>
    <t>605|473</t>
  </si>
  <si>
    <t>472|569</t>
  </si>
  <si>
    <t>489|530</t>
  </si>
  <si>
    <t>486|547</t>
  </si>
  <si>
    <t>604|463</t>
  </si>
  <si>
    <t>602|463</t>
  </si>
  <si>
    <t>605|464</t>
  </si>
  <si>
    <t>600|457</t>
  </si>
  <si>
    <t>608|482</t>
  </si>
  <si>
    <t>603|458</t>
  </si>
  <si>
    <t>604|479</t>
  </si>
  <si>
    <t>502|431</t>
  </si>
  <si>
    <t>599|477</t>
  </si>
  <si>
    <t>607|471</t>
  </si>
  <si>
    <t>606|468</t>
  </si>
  <si>
    <t>443|499</t>
  </si>
  <si>
    <t>601|465</t>
  </si>
  <si>
    <t>598|456</t>
  </si>
  <si>
    <t>495|424</t>
  </si>
  <si>
    <t>597|466</t>
  </si>
  <si>
    <t>598|474</t>
  </si>
  <si>
    <t>606|471</t>
  </si>
  <si>
    <t>612|483</t>
  </si>
  <si>
    <t>605|466</t>
  </si>
  <si>
    <t>607|468</t>
  </si>
  <si>
    <t>598|453</t>
  </si>
  <si>
    <t>604|472</t>
  </si>
  <si>
    <t>508|391</t>
  </si>
  <si>
    <t>533|444</t>
  </si>
  <si>
    <t>523|474</t>
  </si>
  <si>
    <t>557|488</t>
  </si>
  <si>
    <t>509|514</t>
  </si>
  <si>
    <t>480|475</t>
  </si>
  <si>
    <t>506|522</t>
  </si>
  <si>
    <t>503|530</t>
  </si>
  <si>
    <t>505|511</t>
  </si>
  <si>
    <t>506|504</t>
  </si>
  <si>
    <t>504|510</t>
  </si>
  <si>
    <t>486|524</t>
  </si>
  <si>
    <t>489|515</t>
  </si>
  <si>
    <t>478|518</t>
  </si>
  <si>
    <t>484|507</t>
  </si>
  <si>
    <t>485|517</t>
  </si>
  <si>
    <t>483|523</t>
  </si>
  <si>
    <t>481|514</t>
  </si>
  <si>
    <t>479|521</t>
  </si>
  <si>
    <t>539|467</t>
  </si>
  <si>
    <t>486|525</t>
  </si>
  <si>
    <t>488|520</t>
  </si>
  <si>
    <t>483|520</t>
  </si>
  <si>
    <t>490|523</t>
  </si>
  <si>
    <t>486|536</t>
  </si>
  <si>
    <t>607|467</t>
  </si>
  <si>
    <t>602|475</t>
  </si>
  <si>
    <t>477|533</t>
  </si>
  <si>
    <t>476|536</t>
  </si>
  <si>
    <t>475|555</t>
  </si>
  <si>
    <t>478|538</t>
  </si>
  <si>
    <t>463|530</t>
  </si>
  <si>
    <t>461|535</t>
  </si>
  <si>
    <t>523|425</t>
  </si>
  <si>
    <t>459|541</t>
  </si>
  <si>
    <t>460|538</t>
  </si>
  <si>
    <t>475|537</t>
  </si>
  <si>
    <t>465|545</t>
  </si>
  <si>
    <t>479|533</t>
  </si>
  <si>
    <t>475|562</t>
  </si>
  <si>
    <t>483|541</t>
  </si>
  <si>
    <t>472|535</t>
  </si>
  <si>
    <t>468|535</t>
  </si>
  <si>
    <t>470|553</t>
  </si>
  <si>
    <t>465|547</t>
  </si>
  <si>
    <t>533|519</t>
  </si>
  <si>
    <t>487|550</t>
  </si>
  <si>
    <t>429|562</t>
  </si>
  <si>
    <t>436|570</t>
  </si>
  <si>
    <t>430|571</t>
  </si>
  <si>
    <t>429|570</t>
  </si>
  <si>
    <t>436|573</t>
  </si>
  <si>
    <t>497|533</t>
  </si>
  <si>
    <t>446|592</t>
  </si>
  <si>
    <t>439|579</t>
  </si>
  <si>
    <t>423|570</t>
  </si>
  <si>
    <t>434|566</t>
  </si>
  <si>
    <t>489|466</t>
  </si>
  <si>
    <t>492|458</t>
  </si>
  <si>
    <t>498|474</t>
  </si>
  <si>
    <t>503|467</t>
  </si>
  <si>
    <t>491|468</t>
  </si>
  <si>
    <t>503|471</t>
  </si>
  <si>
    <t>496|481</t>
  </si>
  <si>
    <t>502|481</t>
  </si>
  <si>
    <t>514|477</t>
  </si>
  <si>
    <t>483|556</t>
  </si>
  <si>
    <t>483|470</t>
  </si>
  <si>
    <t>572|468</t>
  </si>
  <si>
    <t>490|473</t>
  </si>
  <si>
    <t>512|529</t>
  </si>
  <si>
    <t>486|483</t>
  </si>
  <si>
    <t>492|474</t>
  </si>
  <si>
    <t>493|471</t>
  </si>
  <si>
    <t>485|476</t>
  </si>
  <si>
    <t>491|477</t>
  </si>
  <si>
    <t>497|474</t>
  </si>
  <si>
    <t>488|476</t>
  </si>
  <si>
    <t>506|469</t>
  </si>
  <si>
    <t>499|522</t>
  </si>
  <si>
    <t>505|520</t>
  </si>
  <si>
    <t>506|521</t>
  </si>
  <si>
    <t>505|531</t>
  </si>
  <si>
    <t>507|520</t>
  </si>
  <si>
    <t>501|522</t>
  </si>
  <si>
    <t>508|519</t>
  </si>
  <si>
    <t>503|521</t>
  </si>
  <si>
    <t>489|544</t>
  </si>
  <si>
    <t>487|549</t>
  </si>
  <si>
    <t>514|506</t>
  </si>
  <si>
    <t>515|504</t>
  </si>
  <si>
    <t>509|502</t>
  </si>
  <si>
    <t>511|507</t>
  </si>
  <si>
    <t>476|537</t>
  </si>
  <si>
    <t>479|530</t>
  </si>
  <si>
    <t>474|535</t>
  </si>
  <si>
    <t>478|536</t>
  </si>
  <si>
    <t>475|530</t>
  </si>
  <si>
    <t>480|538</t>
  </si>
  <si>
    <t>474|541</t>
  </si>
  <si>
    <t>466|596</t>
  </si>
  <si>
    <t>469|597</t>
  </si>
  <si>
    <t>451|600</t>
  </si>
  <si>
    <t>471|604</t>
  </si>
  <si>
    <t>465|602</t>
  </si>
  <si>
    <t>462|601</t>
  </si>
  <si>
    <t>468|597</t>
  </si>
  <si>
    <t>458|600</t>
  </si>
  <si>
    <t>460|599</t>
  </si>
  <si>
    <t>478|605</t>
  </si>
  <si>
    <t>455|601</t>
  </si>
  <si>
    <t>478|598</t>
  </si>
  <si>
    <t>555|500</t>
  </si>
  <si>
    <t>462|593</t>
  </si>
  <si>
    <t>477|604</t>
  </si>
  <si>
    <t>467|603</t>
  </si>
  <si>
    <t>492|503</t>
  </si>
  <si>
    <t>599|546</t>
  </si>
  <si>
    <t>465|590</t>
  </si>
  <si>
    <t>471|595</t>
  </si>
  <si>
    <t>465|603</t>
  </si>
  <si>
    <t>460|593</t>
  </si>
  <si>
    <t>463|597</t>
  </si>
  <si>
    <t>467|600</t>
  </si>
  <si>
    <t>464|598</t>
  </si>
  <si>
    <t>471|607</t>
  </si>
  <si>
    <t>473|607</t>
  </si>
  <si>
    <t>470|601</t>
  </si>
  <si>
    <t>463|594</t>
  </si>
  <si>
    <t>473|605</t>
  </si>
  <si>
    <t>468|600</t>
  </si>
  <si>
    <t>479|514</t>
  </si>
  <si>
    <t>514|514</t>
  </si>
  <si>
    <t>517|505</t>
  </si>
  <si>
    <t>519|500</t>
  </si>
  <si>
    <t>515|515</t>
  </si>
  <si>
    <t>516|513</t>
  </si>
  <si>
    <t>513|510</t>
  </si>
  <si>
    <t>505|512</t>
  </si>
  <si>
    <t>514|510</t>
  </si>
  <si>
    <t>519|513</t>
  </si>
  <si>
    <t>507|457</t>
  </si>
  <si>
    <t>502|458</t>
  </si>
  <si>
    <t>509|458</t>
  </si>
  <si>
    <t>535|562</t>
  </si>
  <si>
    <t>498|498</t>
  </si>
  <si>
    <t>495|504</t>
  </si>
  <si>
    <t>495|498</t>
  </si>
  <si>
    <t>491|500</t>
  </si>
  <si>
    <t>489|494</t>
  </si>
  <si>
    <t>503|489</t>
  </si>
  <si>
    <t>483|464</t>
  </si>
  <si>
    <t>504|487</t>
  </si>
  <si>
    <t>495|482</t>
  </si>
  <si>
    <t>485|496</t>
  </si>
  <si>
    <t>591|519</t>
  </si>
  <si>
    <t>599|520</t>
  </si>
  <si>
    <t>599|536</t>
  </si>
  <si>
    <t>598|546</t>
  </si>
  <si>
    <t>606|528</t>
  </si>
  <si>
    <t>608|528</t>
  </si>
  <si>
    <t>601|543</t>
  </si>
  <si>
    <t>604|544</t>
  </si>
  <si>
    <t>474|426</t>
  </si>
  <si>
    <t>599|532</t>
  </si>
  <si>
    <t>506|453</t>
  </si>
  <si>
    <t>595|520</t>
  </si>
  <si>
    <t>597|547</t>
  </si>
  <si>
    <t>593|543</t>
  </si>
  <si>
    <t>558|502</t>
  </si>
  <si>
    <t>554|492</t>
  </si>
  <si>
    <t>596|526</t>
  </si>
  <si>
    <t>598|534</t>
  </si>
  <si>
    <t>585|552</t>
  </si>
  <si>
    <t>593|556</t>
  </si>
  <si>
    <t>603|534</t>
  </si>
  <si>
    <t>610|523</t>
  </si>
  <si>
    <t>601|532</t>
  </si>
  <si>
    <t>444|448</t>
  </si>
  <si>
    <t>591|480</t>
  </si>
  <si>
    <t>604|473</t>
  </si>
  <si>
    <t>606|485</t>
  </si>
  <si>
    <t>582|480</t>
  </si>
  <si>
    <t>607|485</t>
  </si>
  <si>
    <t>500|482</t>
  </si>
  <si>
    <t>499|485</t>
  </si>
  <si>
    <t>512|395</t>
  </si>
  <si>
    <t>510|417</t>
  </si>
  <si>
    <t>501|401</t>
  </si>
  <si>
    <t>503|391</t>
  </si>
  <si>
    <t>511|389</t>
  </si>
  <si>
    <t>541|459</t>
  </si>
  <si>
    <t>508|397</t>
  </si>
  <si>
    <t>516|413</t>
  </si>
  <si>
    <t>515|391</t>
  </si>
  <si>
    <t>518|411</t>
  </si>
  <si>
    <t>516|394</t>
  </si>
  <si>
    <t>514|391</t>
  </si>
  <si>
    <t>509|391</t>
  </si>
  <si>
    <t>520|398</t>
  </si>
  <si>
    <t>505|388</t>
  </si>
  <si>
    <t>507|491</t>
  </si>
  <si>
    <t>508|395</t>
  </si>
  <si>
    <t>499|393</t>
  </si>
  <si>
    <t>499|387</t>
  </si>
  <si>
    <t>501|399</t>
  </si>
  <si>
    <t>435|452</t>
  </si>
  <si>
    <t>499|396</t>
  </si>
  <si>
    <t>496|398</t>
  </si>
  <si>
    <t>507|395</t>
  </si>
  <si>
    <t>564|500</t>
  </si>
  <si>
    <t>509|396</t>
  </si>
  <si>
    <t>499|404</t>
  </si>
  <si>
    <t>473|480</t>
  </si>
  <si>
    <t>511|392</t>
  </si>
  <si>
    <t>500|394</t>
  </si>
  <si>
    <t>504|388</t>
  </si>
  <si>
    <t>499|401</t>
  </si>
  <si>
    <t>509|489</t>
  </si>
  <si>
    <t>511|484</t>
  </si>
  <si>
    <t>503|486</t>
  </si>
  <si>
    <t>504|492</t>
  </si>
  <si>
    <t>553|526</t>
  </si>
  <si>
    <t>511|503</t>
  </si>
  <si>
    <t>507|495</t>
  </si>
  <si>
    <t>563|419</t>
  </si>
  <si>
    <t>573|423</t>
  </si>
  <si>
    <t>529|477</t>
  </si>
  <si>
    <t>485|452</t>
  </si>
  <si>
    <t>477|453</t>
  </si>
  <si>
    <t>480|444</t>
  </si>
  <si>
    <t>465|513</t>
  </si>
  <si>
    <t>424|568</t>
  </si>
  <si>
    <t>531|479</t>
  </si>
  <si>
    <t>527|489</t>
  </si>
  <si>
    <t>527|476</t>
  </si>
  <si>
    <t>542|473</t>
  </si>
  <si>
    <t>540|479</t>
  </si>
  <si>
    <t>540|477</t>
  </si>
  <si>
    <t>545|471</t>
  </si>
  <si>
    <t>532|484</t>
  </si>
  <si>
    <t>536|479</t>
  </si>
  <si>
    <t>534|542</t>
  </si>
  <si>
    <t>536|541</t>
  </si>
  <si>
    <t>535|539</t>
  </si>
  <si>
    <t>533|533</t>
  </si>
  <si>
    <t>536|542</t>
  </si>
  <si>
    <t>548|548</t>
  </si>
  <si>
    <t>516|519</t>
  </si>
  <si>
    <t>540|557</t>
  </si>
  <si>
    <t>540|544</t>
  </si>
  <si>
    <t>535|549</t>
  </si>
  <si>
    <t>509|516</t>
  </si>
  <si>
    <t>543|552</t>
  </si>
  <si>
    <t>538|550</t>
  </si>
  <si>
    <t>544|546</t>
  </si>
  <si>
    <t>533|542</t>
  </si>
  <si>
    <t>462|420</t>
  </si>
  <si>
    <t>556|531</t>
  </si>
  <si>
    <t>475|418</t>
  </si>
  <si>
    <t>491|478</t>
  </si>
  <si>
    <t>441|462</t>
  </si>
  <si>
    <t>464|423</t>
  </si>
  <si>
    <t>448|502</t>
  </si>
  <si>
    <t>462|411</t>
  </si>
  <si>
    <t>452|411</t>
  </si>
  <si>
    <t>453|414</t>
  </si>
  <si>
    <t>457|411</t>
  </si>
  <si>
    <t>459|409</t>
  </si>
  <si>
    <t>471|404</t>
  </si>
  <si>
    <t>480|402</t>
  </si>
  <si>
    <t>556|446</t>
  </si>
  <si>
    <t>471|401</t>
  </si>
  <si>
    <t>458|405</t>
  </si>
  <si>
    <t>460|409</t>
  </si>
  <si>
    <t>466|414</t>
  </si>
  <si>
    <t>466|401</t>
  </si>
  <si>
    <t>459|418</t>
  </si>
  <si>
    <t>475|407</t>
  </si>
  <si>
    <t>498|512</t>
  </si>
  <si>
    <t>496|518</t>
  </si>
  <si>
    <t>495|509</t>
  </si>
  <si>
    <t>504|509</t>
  </si>
  <si>
    <t>442|475</t>
  </si>
  <si>
    <t>499|520</t>
  </si>
  <si>
    <t>499|504</t>
  </si>
  <si>
    <t>494|521</t>
  </si>
  <si>
    <t>494|516</t>
  </si>
  <si>
    <t>490|520</t>
  </si>
  <si>
    <t>494|509</t>
  </si>
  <si>
    <t>497|511</t>
  </si>
  <si>
    <t>500|517</t>
  </si>
  <si>
    <t>502|507</t>
  </si>
  <si>
    <t>558|452</t>
  </si>
  <si>
    <t>508|500</t>
  </si>
  <si>
    <t>502|509</t>
  </si>
  <si>
    <t>445|499</t>
  </si>
  <si>
    <t>481|515</t>
  </si>
  <si>
    <t>497|516</t>
  </si>
  <si>
    <t>494|510</t>
  </si>
  <si>
    <t>497|510</t>
  </si>
  <si>
    <t>501|515</t>
  </si>
  <si>
    <t>494|500</t>
  </si>
  <si>
    <t>506|496</t>
  </si>
  <si>
    <t>580|542</t>
  </si>
  <si>
    <t>601|533</t>
  </si>
  <si>
    <t>457|497</t>
  </si>
  <si>
    <t>455|502</t>
  </si>
  <si>
    <t>457|498</t>
  </si>
  <si>
    <t>461|501</t>
  </si>
  <si>
    <t>565|526</t>
  </si>
  <si>
    <t>524|514</t>
  </si>
  <si>
    <t>521|522</t>
  </si>
  <si>
    <t>526|516</t>
  </si>
  <si>
    <t>553|532</t>
  </si>
  <si>
    <t>522|514</t>
  </si>
  <si>
    <t>523|508</t>
  </si>
  <si>
    <t>516|499</t>
  </si>
  <si>
    <t>408|482</t>
  </si>
  <si>
    <t>498|578</t>
  </si>
  <si>
    <t>451|472</t>
  </si>
  <si>
    <t>500|570</t>
  </si>
  <si>
    <t>497|480</t>
  </si>
  <si>
    <t>455|435</t>
  </si>
  <si>
    <t>561|479</t>
  </si>
  <si>
    <t>476|483</t>
  </si>
  <si>
    <t>400|517</t>
  </si>
  <si>
    <t>397|515</t>
  </si>
  <si>
    <t>409|537</t>
  </si>
  <si>
    <t>495|464</t>
  </si>
  <si>
    <t>506|539</t>
  </si>
  <si>
    <t>485|462</t>
  </si>
  <si>
    <t>484|466</t>
  </si>
  <si>
    <t>482|459</t>
  </si>
  <si>
    <t>532|453</t>
  </si>
  <si>
    <t>483|456</t>
  </si>
  <si>
    <t>489|460</t>
  </si>
  <si>
    <t>485|461</t>
  </si>
  <si>
    <t>474|460</t>
  </si>
  <si>
    <t>436|494</t>
  </si>
  <si>
    <t>472|467</t>
  </si>
  <si>
    <t>494|447</t>
  </si>
  <si>
    <t>479|455</t>
  </si>
  <si>
    <t>475|465</t>
  </si>
  <si>
    <t>488|462</t>
  </si>
  <si>
    <t>490|457</t>
  </si>
  <si>
    <t>495|451</t>
  </si>
  <si>
    <t>498|499</t>
  </si>
  <si>
    <t>450|442</t>
  </si>
  <si>
    <t>484|393</t>
  </si>
  <si>
    <t>485|395</t>
  </si>
  <si>
    <t>464|471</t>
  </si>
  <si>
    <t>479|401</t>
  </si>
  <si>
    <t>481|397</t>
  </si>
  <si>
    <t>524|498</t>
  </si>
  <si>
    <t>521|507</t>
  </si>
  <si>
    <t>525|473</t>
  </si>
  <si>
    <t>526|472</t>
  </si>
  <si>
    <t>461|521</t>
  </si>
  <si>
    <t>458|530</t>
  </si>
  <si>
    <t>453|514</t>
  </si>
  <si>
    <t>465|519</t>
  </si>
  <si>
    <t>459|511</t>
  </si>
  <si>
    <t>494|436</t>
  </si>
  <si>
    <t>444|518</t>
  </si>
  <si>
    <t>458|525</t>
  </si>
  <si>
    <t>462|520</t>
  </si>
  <si>
    <t>494|467</t>
  </si>
  <si>
    <t>455|523</t>
  </si>
  <si>
    <t>461|500</t>
  </si>
  <si>
    <t>459|533</t>
  </si>
  <si>
    <t>454|530</t>
  </si>
  <si>
    <t>456|534</t>
  </si>
  <si>
    <t>442|524</t>
  </si>
  <si>
    <t>465|501</t>
  </si>
  <si>
    <t>496|545</t>
  </si>
  <si>
    <t>603|464</t>
  </si>
  <si>
    <t>480|481</t>
  </si>
  <si>
    <t>478|497</t>
  </si>
  <si>
    <t>478|486</t>
  </si>
  <si>
    <t>483|484</t>
  </si>
  <si>
    <t>499|467</t>
  </si>
  <si>
    <t>527|530</t>
  </si>
  <si>
    <t>495|477</t>
  </si>
  <si>
    <t>490|479</t>
  </si>
  <si>
    <t>510|460</t>
  </si>
  <si>
    <t>598|541</t>
  </si>
  <si>
    <t>597|541</t>
  </si>
  <si>
    <t>458|493</t>
  </si>
  <si>
    <t>609|527</t>
  </si>
  <si>
    <t>592|538</t>
  </si>
  <si>
    <t>553|592</t>
  </si>
  <si>
    <t>563|594</t>
  </si>
  <si>
    <t>478|444</t>
  </si>
  <si>
    <t>554|591</t>
  </si>
  <si>
    <t>533|568</t>
  </si>
  <si>
    <t>521|537</t>
  </si>
  <si>
    <t>523|514</t>
  </si>
  <si>
    <t>455|508</t>
  </si>
  <si>
    <t>524|511</t>
  </si>
  <si>
    <t>535|468</t>
  </si>
  <si>
    <t>394|507</t>
  </si>
  <si>
    <t>530|511</t>
  </si>
  <si>
    <t>484|485</t>
  </si>
  <si>
    <t>392|504</t>
  </si>
  <si>
    <t>480|467</t>
  </si>
  <si>
    <t>501|494</t>
  </si>
  <si>
    <t>479|470</t>
  </si>
  <si>
    <t>448|550</t>
  </si>
  <si>
    <t>582|445</t>
  </si>
  <si>
    <t>468|519</t>
  </si>
  <si>
    <t>467|523</t>
  </si>
  <si>
    <t>462|514</t>
  </si>
  <si>
    <t>472|517</t>
  </si>
  <si>
    <t>466|509</t>
  </si>
  <si>
    <t>468|503</t>
  </si>
  <si>
    <t>467|402</t>
  </si>
  <si>
    <t>470|408</t>
  </si>
  <si>
    <t>467|409</t>
  </si>
  <si>
    <t>460|414</t>
  </si>
  <si>
    <t>468|411</t>
  </si>
  <si>
    <t>469|411</t>
  </si>
  <si>
    <t>465|406</t>
  </si>
  <si>
    <t>473|415</t>
  </si>
  <si>
    <t>452|450</t>
  </si>
  <si>
    <t>539|486</t>
  </si>
  <si>
    <t>538|488</t>
  </si>
  <si>
    <t>523|447</t>
  </si>
  <si>
    <t>544|490</t>
  </si>
  <si>
    <t>543|484</t>
  </si>
  <si>
    <t>539|489</t>
  </si>
  <si>
    <t>551|488</t>
  </si>
  <si>
    <t>530|501</t>
  </si>
  <si>
    <t>452|603</t>
  </si>
  <si>
    <t>449|601</t>
  </si>
  <si>
    <t>463|596</t>
  </si>
  <si>
    <t>458|601</t>
  </si>
  <si>
    <t>507|530</t>
  </si>
  <si>
    <t>449|602</t>
  </si>
  <si>
    <t>462|588</t>
  </si>
  <si>
    <t>465|600</t>
  </si>
  <si>
    <t>457|601</t>
  </si>
  <si>
    <t>465|595</t>
  </si>
  <si>
    <t>542|547</t>
  </si>
  <si>
    <t>463|600</t>
  </si>
  <si>
    <t>452|595</t>
  </si>
  <si>
    <t>455|604</t>
  </si>
  <si>
    <t>542|444</t>
  </si>
  <si>
    <t>472|595</t>
  </si>
  <si>
    <t>456|597</t>
  </si>
  <si>
    <t>454|601</t>
  </si>
  <si>
    <t>469|601</t>
  </si>
  <si>
    <t>474|592</t>
  </si>
  <si>
    <t>462|599</t>
  </si>
  <si>
    <t>457|597</t>
  </si>
  <si>
    <t>480|504</t>
  </si>
  <si>
    <t>481|502</t>
  </si>
  <si>
    <t>509|441</t>
  </si>
  <si>
    <t>486|509</t>
  </si>
  <si>
    <t>490|498</t>
  </si>
  <si>
    <t>482|513</t>
  </si>
  <si>
    <t>467|502</t>
  </si>
  <si>
    <t>484|498</t>
  </si>
  <si>
    <t>531|532</t>
  </si>
  <si>
    <t>530|529</t>
  </si>
  <si>
    <t>525|527</t>
  </si>
  <si>
    <t>540|527</t>
  </si>
  <si>
    <t>458|508</t>
  </si>
  <si>
    <t>459|505</t>
  </si>
  <si>
    <t>452|503</t>
  </si>
  <si>
    <t>454|499</t>
  </si>
  <si>
    <t>457|491</t>
  </si>
  <si>
    <t>461|506</t>
  </si>
  <si>
    <t>456|509</t>
  </si>
  <si>
    <t>446|506</t>
  </si>
  <si>
    <t>451|509</t>
  </si>
  <si>
    <t>463|485</t>
  </si>
  <si>
    <t>465|496</t>
  </si>
  <si>
    <t>454|504</t>
  </si>
  <si>
    <t>419|448</t>
  </si>
  <si>
    <t>412|457</t>
  </si>
  <si>
    <t>415|453</t>
  </si>
  <si>
    <t>416|456</t>
  </si>
  <si>
    <t>413|451</t>
  </si>
  <si>
    <t>517|531</t>
  </si>
  <si>
    <t>520|522</t>
  </si>
  <si>
    <t>512|527</t>
  </si>
  <si>
    <t>511|535</t>
  </si>
  <si>
    <t>515|519</t>
  </si>
  <si>
    <t>392|506</t>
  </si>
  <si>
    <t>392|507</t>
  </si>
  <si>
    <t>391|504</t>
  </si>
  <si>
    <t>389|497</t>
  </si>
  <si>
    <t>397|500</t>
  </si>
  <si>
    <t>532|508</t>
  </si>
  <si>
    <t>540|480</t>
  </si>
  <si>
    <t>541|486</t>
  </si>
  <si>
    <t>542|471</t>
  </si>
  <si>
    <t>541|509</t>
  </si>
  <si>
    <t>538|518</t>
  </si>
  <si>
    <t>532|501</t>
  </si>
  <si>
    <t>550|504</t>
  </si>
  <si>
    <t>539|497</t>
  </si>
  <si>
    <t>469|445</t>
  </si>
  <si>
    <t>469|455</t>
  </si>
  <si>
    <t>559|421</t>
  </si>
  <si>
    <t>557|420</t>
  </si>
  <si>
    <t>548|408</t>
  </si>
  <si>
    <t>561|417</t>
  </si>
  <si>
    <t>554|413</t>
  </si>
  <si>
    <t>559|427</t>
  </si>
  <si>
    <t>562|414</t>
  </si>
  <si>
    <t>530|487</t>
  </si>
  <si>
    <t>533|479</t>
  </si>
  <si>
    <t>529|486</t>
  </si>
  <si>
    <t>494|558</t>
  </si>
  <si>
    <t>536|483</t>
  </si>
  <si>
    <t>523|490</t>
  </si>
  <si>
    <t>530|479</t>
  </si>
  <si>
    <t>533|483</t>
  </si>
  <si>
    <t>529|483</t>
  </si>
  <si>
    <t>471|588</t>
  </si>
  <si>
    <t>468|583</t>
  </si>
  <si>
    <t>478|577</t>
  </si>
  <si>
    <t>540|584</t>
  </si>
  <si>
    <t>526|463</t>
  </si>
  <si>
    <t>530|474</t>
  </si>
  <si>
    <t>413|441</t>
  </si>
  <si>
    <t>417|435</t>
  </si>
  <si>
    <t>412|446</t>
  </si>
  <si>
    <t>411|455</t>
  </si>
  <si>
    <t>590|450</t>
  </si>
  <si>
    <t>400|450</t>
  </si>
  <si>
    <t>413|449</t>
  </si>
  <si>
    <t>423|419</t>
  </si>
  <si>
    <t>423|426</t>
  </si>
  <si>
    <t>410|445</t>
  </si>
  <si>
    <t>547|491</t>
  </si>
  <si>
    <t>411|439</t>
  </si>
  <si>
    <t>475|464</t>
  </si>
  <si>
    <t>476|461</t>
  </si>
  <si>
    <t>480|468</t>
  </si>
  <si>
    <t>466|469</t>
  </si>
  <si>
    <t>474|456</t>
  </si>
  <si>
    <t>468|463</t>
  </si>
  <si>
    <t>483|451</t>
  </si>
  <si>
    <t>482|472</t>
  </si>
  <si>
    <t>542|441</t>
  </si>
  <si>
    <t>479|603</t>
  </si>
  <si>
    <t>511|486</t>
  </si>
  <si>
    <t>472|596</t>
  </si>
  <si>
    <t>464|600</t>
  </si>
  <si>
    <t>424|523</t>
  </si>
  <si>
    <t>481|598</t>
  </si>
  <si>
    <t>493|531</t>
  </si>
  <si>
    <t>520|514</t>
  </si>
  <si>
    <t>519|515</t>
  </si>
  <si>
    <t>515|499</t>
  </si>
  <si>
    <t>495|522</t>
  </si>
  <si>
    <t>517|493</t>
  </si>
  <si>
    <t>506|492</t>
  </si>
  <si>
    <t>505|495</t>
  </si>
  <si>
    <t>512|497</t>
  </si>
  <si>
    <t>510|490</t>
  </si>
  <si>
    <t>506|489</t>
  </si>
  <si>
    <t>505|489</t>
  </si>
  <si>
    <t>524|487</t>
  </si>
  <si>
    <t>513|487</t>
  </si>
  <si>
    <t>520|486</t>
  </si>
  <si>
    <t>523|485</t>
  </si>
  <si>
    <t>545|527</t>
  </si>
  <si>
    <t>475|492</t>
  </si>
  <si>
    <t>541|536</t>
  </si>
  <si>
    <t>542|527</t>
  </si>
  <si>
    <t>510|451</t>
  </si>
  <si>
    <t>531|466</t>
  </si>
  <si>
    <t>534|458</t>
  </si>
  <si>
    <t>535|469</t>
  </si>
  <si>
    <t>460|542</t>
  </si>
  <si>
    <t>537|464</t>
  </si>
  <si>
    <t>545|469</t>
  </si>
  <si>
    <t>530|460</t>
  </si>
  <si>
    <t>436|533</t>
  </si>
  <si>
    <t>527|465</t>
  </si>
  <si>
    <t>533|463</t>
  </si>
  <si>
    <t>465|405</t>
  </si>
  <si>
    <t>553|445</t>
  </si>
  <si>
    <t>551|459</t>
  </si>
  <si>
    <t>558|455</t>
  </si>
  <si>
    <t>540|469</t>
  </si>
  <si>
    <t>541|467</t>
  </si>
  <si>
    <t>582|429</t>
  </si>
  <si>
    <t>530|499</t>
  </si>
  <si>
    <t>541|454</t>
  </si>
  <si>
    <t>524|453</t>
  </si>
  <si>
    <t>550|463</t>
  </si>
  <si>
    <t>529|475</t>
  </si>
  <si>
    <t>524|462</t>
  </si>
  <si>
    <t>536|462</t>
  </si>
  <si>
    <t>536|482</t>
  </si>
  <si>
    <t>552|467</t>
  </si>
  <si>
    <t>524|484</t>
  </si>
  <si>
    <t>548|481</t>
  </si>
  <si>
    <t>557|468</t>
  </si>
  <si>
    <t>532|475</t>
  </si>
  <si>
    <t>569|472</t>
  </si>
  <si>
    <t>567|471</t>
  </si>
  <si>
    <t>543|483</t>
  </si>
  <si>
    <t>543|481</t>
  </si>
  <si>
    <t>493|558</t>
  </si>
  <si>
    <t>544|462</t>
  </si>
  <si>
    <t>531|461</t>
  </si>
  <si>
    <t>516|507</t>
  </si>
  <si>
    <t>532|459</t>
  </si>
  <si>
    <t>467|468</t>
  </si>
  <si>
    <t>539|464</t>
  </si>
  <si>
    <t>540|456</t>
  </si>
  <si>
    <t>525|454</t>
  </si>
  <si>
    <t>538|465</t>
  </si>
  <si>
    <t>534|454</t>
  </si>
  <si>
    <t>523|454</t>
  </si>
  <si>
    <t>552|443</t>
  </si>
  <si>
    <t>534|477</t>
  </si>
  <si>
    <t>484|531</t>
  </si>
  <si>
    <t>481|539</t>
  </si>
  <si>
    <t>486|532</t>
  </si>
  <si>
    <t>488|541</t>
  </si>
  <si>
    <t>485|538</t>
  </si>
  <si>
    <t>481|538</t>
  </si>
  <si>
    <t>401|525</t>
  </si>
  <si>
    <t>457|534</t>
  </si>
  <si>
    <t>470|514</t>
  </si>
  <si>
    <t>501|461</t>
  </si>
  <si>
    <t>491|445</t>
  </si>
  <si>
    <t>502|443</t>
  </si>
  <si>
    <t>506|456</t>
  </si>
  <si>
    <t>499|449</t>
  </si>
  <si>
    <t>520|496</t>
  </si>
  <si>
    <t>517|464</t>
  </si>
  <si>
    <t>507|451</t>
  </si>
  <si>
    <t>505|467</t>
  </si>
  <si>
    <t>494|464</t>
  </si>
  <si>
    <t>501|457</t>
  </si>
  <si>
    <t>441|452</t>
  </si>
  <si>
    <t>541|500</t>
  </si>
  <si>
    <t>543|493</t>
  </si>
  <si>
    <t>532|492</t>
  </si>
  <si>
    <t>547|496</t>
  </si>
  <si>
    <t>509|531</t>
  </si>
  <si>
    <t>508|533</t>
  </si>
  <si>
    <t>511|533</t>
  </si>
  <si>
    <t>514|520</t>
  </si>
  <si>
    <t>515|536</t>
  </si>
  <si>
    <t>503|523</t>
  </si>
  <si>
    <t>510|528</t>
  </si>
  <si>
    <t>511|528</t>
  </si>
  <si>
    <t>507|535</t>
  </si>
  <si>
    <t>559|551</t>
  </si>
  <si>
    <t>479|488</t>
  </si>
  <si>
    <t>476|495</t>
  </si>
  <si>
    <t>488|496</t>
  </si>
  <si>
    <t>472|492</t>
  </si>
  <si>
    <t>478|480</t>
  </si>
  <si>
    <t>466|486</t>
  </si>
  <si>
    <t>484|480</t>
  </si>
  <si>
    <t>475|484</t>
  </si>
  <si>
    <t>465|493</t>
  </si>
  <si>
    <t>547|441</t>
  </si>
  <si>
    <t>464|496</t>
  </si>
  <si>
    <t>489|493</t>
  </si>
  <si>
    <t>467|491</t>
  </si>
  <si>
    <t>479|506</t>
  </si>
  <si>
    <t>486|491</t>
  </si>
  <si>
    <t>464|502</t>
  </si>
  <si>
    <t>462|508</t>
  </si>
  <si>
    <t>471|508</t>
  </si>
  <si>
    <t>458|505</t>
  </si>
  <si>
    <t>466|514</t>
  </si>
  <si>
    <t>451|500</t>
  </si>
  <si>
    <t>448|508</t>
  </si>
  <si>
    <t>458|512</t>
  </si>
  <si>
    <t>406|455</t>
  </si>
  <si>
    <t>412|461</t>
  </si>
  <si>
    <t>405|461</t>
  </si>
  <si>
    <t>467|548</t>
  </si>
  <si>
    <t>407|454</t>
  </si>
  <si>
    <t>401|461</t>
  </si>
  <si>
    <t>410|439</t>
  </si>
  <si>
    <t>407|447</t>
  </si>
  <si>
    <t>446|544</t>
  </si>
  <si>
    <t>443|540</t>
  </si>
  <si>
    <t>444|540</t>
  </si>
  <si>
    <t>452|525</t>
  </si>
  <si>
    <t>446|534</t>
  </si>
  <si>
    <t>579|490</t>
  </si>
  <si>
    <t>457|535</t>
  </si>
  <si>
    <t>451|527</t>
  </si>
  <si>
    <t>447|548</t>
  </si>
  <si>
    <t>449|527</t>
  </si>
  <si>
    <t>449|530</t>
  </si>
  <si>
    <t>447|535</t>
  </si>
  <si>
    <t>504|526</t>
  </si>
  <si>
    <t>502|532</t>
  </si>
  <si>
    <t>531|427</t>
  </si>
  <si>
    <t>509|525</t>
  </si>
  <si>
    <t>502|527</t>
  </si>
  <si>
    <t>506|536</t>
  </si>
  <si>
    <t>505|539</t>
  </si>
  <si>
    <t>502|546</t>
  </si>
  <si>
    <t>511|532</t>
  </si>
  <si>
    <t>497|538</t>
  </si>
  <si>
    <t>438|498</t>
  </si>
  <si>
    <t>563|412</t>
  </si>
  <si>
    <t>561|416</t>
  </si>
  <si>
    <t>558|404</t>
  </si>
  <si>
    <t>559|409</t>
  </si>
  <si>
    <t>557|422</t>
  </si>
  <si>
    <t>487|513</t>
  </si>
  <si>
    <t>477|515</t>
  </si>
  <si>
    <t>559|411</t>
  </si>
  <si>
    <t>502|580</t>
  </si>
  <si>
    <t>560|413</t>
  </si>
  <si>
    <t>448|599</t>
  </si>
  <si>
    <t>461|594</t>
  </si>
  <si>
    <t>525|549</t>
  </si>
  <si>
    <t>452|602</t>
  </si>
  <si>
    <t>510|469</t>
  </si>
  <si>
    <t>498|517</t>
  </si>
  <si>
    <t>429|524</t>
  </si>
  <si>
    <t>465|486</t>
  </si>
  <si>
    <t>538|480</t>
  </si>
  <si>
    <t>464|488</t>
  </si>
  <si>
    <t>470|490</t>
  </si>
  <si>
    <t>461|488</t>
  </si>
  <si>
    <t>465|478</t>
  </si>
  <si>
    <t>457|490</t>
  </si>
  <si>
    <t>504|463</t>
  </si>
  <si>
    <t>536|495</t>
  </si>
  <si>
    <t>494|468</t>
  </si>
  <si>
    <t>493|470</t>
  </si>
  <si>
    <t>491|476</t>
  </si>
  <si>
    <t>454|478</t>
  </si>
  <si>
    <t>499|475</t>
  </si>
  <si>
    <t>504|468</t>
  </si>
  <si>
    <t>470|463</t>
  </si>
  <si>
    <t>522|477</t>
  </si>
  <si>
    <t>525|462</t>
  </si>
  <si>
    <t>526|458</t>
  </si>
  <si>
    <t>506|460</t>
  </si>
  <si>
    <t>518|456</t>
  </si>
  <si>
    <t>530|503</t>
  </si>
  <si>
    <t>495|521</t>
  </si>
  <si>
    <t>479|583</t>
  </si>
  <si>
    <t>517|502</t>
  </si>
  <si>
    <t>474|590</t>
  </si>
  <si>
    <t>507|517</t>
  </si>
  <si>
    <t>506|520</t>
  </si>
  <si>
    <t>503|509</t>
  </si>
  <si>
    <t>501|521</t>
  </si>
  <si>
    <t>537|396</t>
  </si>
  <si>
    <t>536|401</t>
  </si>
  <si>
    <t>533|394</t>
  </si>
  <si>
    <t>539|411</t>
  </si>
  <si>
    <t>462|524</t>
  </si>
  <si>
    <t>535|398</t>
  </si>
  <si>
    <t>531|394</t>
  </si>
  <si>
    <t>540|404</t>
  </si>
  <si>
    <t>533|397</t>
  </si>
  <si>
    <t>486|461</t>
  </si>
  <si>
    <t>485|463</t>
  </si>
  <si>
    <t>498|539</t>
  </si>
  <si>
    <t>504|538</t>
  </si>
  <si>
    <t>555|449</t>
  </si>
  <si>
    <t>501|545</t>
  </si>
  <si>
    <t>506|540</t>
  </si>
  <si>
    <t>501|532</t>
  </si>
  <si>
    <t>506|549</t>
  </si>
  <si>
    <t>513|541</t>
  </si>
  <si>
    <t>507|534</t>
  </si>
  <si>
    <t>508|531</t>
  </si>
  <si>
    <t>506|538</t>
  </si>
  <si>
    <t>418|576</t>
  </si>
  <si>
    <t>497|542</t>
  </si>
  <si>
    <t>499|549</t>
  </si>
  <si>
    <t>498|549</t>
  </si>
  <si>
    <t>443|594</t>
  </si>
  <si>
    <t>436|584</t>
  </si>
  <si>
    <t>459|549</t>
  </si>
  <si>
    <t>472|515</t>
  </si>
  <si>
    <t>431|584</t>
  </si>
  <si>
    <t>433|588</t>
  </si>
  <si>
    <t>441|592</t>
  </si>
  <si>
    <t>439|577</t>
  </si>
  <si>
    <t>466|484</t>
  </si>
  <si>
    <t>501|516</t>
  </si>
  <si>
    <t>467|482</t>
  </si>
  <si>
    <t>459|478</t>
  </si>
  <si>
    <t>470|481</t>
  </si>
  <si>
    <t>465|479</t>
  </si>
  <si>
    <t>541|432</t>
  </si>
  <si>
    <t>474|486</t>
  </si>
  <si>
    <t>477|437</t>
  </si>
  <si>
    <t>473|431</t>
  </si>
  <si>
    <t>558|454</t>
  </si>
  <si>
    <t>512|438</t>
  </si>
  <si>
    <t>510|422</t>
  </si>
  <si>
    <t>476|460</t>
  </si>
  <si>
    <t>502|424</t>
  </si>
  <si>
    <t>469|478</t>
  </si>
  <si>
    <t>472|469</t>
  </si>
  <si>
    <t>466|476</t>
  </si>
  <si>
    <t>446|583</t>
  </si>
  <si>
    <t>447|596</t>
  </si>
  <si>
    <t>454|582</t>
  </si>
  <si>
    <t>453|584</t>
  </si>
  <si>
    <t>522|564</t>
  </si>
  <si>
    <t>511|568</t>
  </si>
  <si>
    <t>562|472</t>
  </si>
  <si>
    <t>508|552</t>
  </si>
  <si>
    <t>530|558</t>
  </si>
  <si>
    <t>502|492</t>
  </si>
  <si>
    <t>503|490</t>
  </si>
  <si>
    <t>505|485</t>
  </si>
  <si>
    <t>416|438</t>
  </si>
  <si>
    <t>412|434</t>
  </si>
  <si>
    <t>413|433</t>
  </si>
  <si>
    <t>485|448</t>
  </si>
  <si>
    <t>421|432</t>
  </si>
  <si>
    <t>424|433</t>
  </si>
  <si>
    <t>531|515</t>
  </si>
  <si>
    <t>533|509</t>
  </si>
  <si>
    <t>533|517</t>
  </si>
  <si>
    <t>537|501</t>
  </si>
  <si>
    <t>539|496</t>
  </si>
  <si>
    <t>596|543</t>
  </si>
  <si>
    <t>604|534</t>
  </si>
  <si>
    <t>422|520</t>
  </si>
  <si>
    <t>602|540</t>
  </si>
  <si>
    <t>487|456</t>
  </si>
  <si>
    <t>479|468</t>
  </si>
  <si>
    <t>471|464</t>
  </si>
  <si>
    <t>473|471</t>
  </si>
  <si>
    <t>570|427</t>
  </si>
  <si>
    <t>537|518</t>
  </si>
  <si>
    <t>463|481</t>
  </si>
  <si>
    <t>460|490</t>
  </si>
  <si>
    <t>469|490</t>
  </si>
  <si>
    <t>547|490</t>
  </si>
  <si>
    <t>556|578</t>
  </si>
  <si>
    <t>558|583</t>
  </si>
  <si>
    <t>567|574</t>
  </si>
  <si>
    <t>563|586</t>
  </si>
  <si>
    <t>551|580</t>
  </si>
  <si>
    <t>560|571</t>
  </si>
  <si>
    <t>548|495</t>
  </si>
  <si>
    <t>550|489</t>
  </si>
  <si>
    <t>524|542</t>
  </si>
  <si>
    <t>524|544</t>
  </si>
  <si>
    <t>522|540</t>
  </si>
  <si>
    <t>482|503</t>
  </si>
  <si>
    <t>522|543</t>
  </si>
  <si>
    <t>515|548</t>
  </si>
  <si>
    <t>518|540</t>
  </si>
  <si>
    <t>473|395</t>
  </si>
  <si>
    <t>475|395</t>
  </si>
  <si>
    <t>464|505</t>
  </si>
  <si>
    <t>473|397</t>
  </si>
  <si>
    <t>459|477</t>
  </si>
  <si>
    <t>471|481</t>
  </si>
  <si>
    <t>470|537</t>
  </si>
  <si>
    <t>533|467</t>
  </si>
  <si>
    <t>519|467</t>
  </si>
  <si>
    <t>466|415</t>
  </si>
  <si>
    <t>460|422</t>
  </si>
  <si>
    <t>455|481</t>
  </si>
  <si>
    <t>548|502</t>
  </si>
  <si>
    <t>551|493</t>
  </si>
  <si>
    <t>553|507</t>
  </si>
  <si>
    <t>458|446</t>
  </si>
  <si>
    <t>537|508</t>
  </si>
  <si>
    <t>519|430</t>
  </si>
  <si>
    <t>483|543</t>
  </si>
  <si>
    <t>482|547</t>
  </si>
  <si>
    <t>530|402</t>
  </si>
  <si>
    <t>534|402</t>
  </si>
  <si>
    <t>538|405</t>
  </si>
  <si>
    <t>535|401</t>
  </si>
  <si>
    <t>523|409</t>
  </si>
  <si>
    <t>529|397</t>
  </si>
  <si>
    <t>518|408</t>
  </si>
  <si>
    <t>522|396</t>
  </si>
  <si>
    <t>550|402</t>
  </si>
  <si>
    <t>530|399</t>
  </si>
  <si>
    <t>570|529</t>
  </si>
  <si>
    <t>520|393</t>
  </si>
  <si>
    <t>522|401</t>
  </si>
  <si>
    <t>541|399</t>
  </si>
  <si>
    <t>566|487</t>
  </si>
  <si>
    <t>540|399</t>
  </si>
  <si>
    <t>535|395</t>
  </si>
  <si>
    <t>525|403</t>
  </si>
  <si>
    <t>513|397</t>
  </si>
  <si>
    <t>544|403</t>
  </si>
  <si>
    <t>526|402</t>
  </si>
  <si>
    <t>524|396</t>
  </si>
  <si>
    <t>533|409</t>
  </si>
  <si>
    <t>532|397</t>
  </si>
  <si>
    <t>512|450</t>
  </si>
  <si>
    <t>529|399</t>
  </si>
  <si>
    <t>556|494</t>
  </si>
  <si>
    <t>530|393</t>
  </si>
  <si>
    <t>539|471</t>
  </si>
  <si>
    <t>542|462</t>
  </si>
  <si>
    <t>547|478</t>
  </si>
  <si>
    <t>546|467</t>
  </si>
  <si>
    <t>537|462</t>
  </si>
  <si>
    <t>541|452</t>
  </si>
  <si>
    <t>528|567</t>
  </si>
  <si>
    <t>555|474</t>
  </si>
  <si>
    <t>544|463</t>
  </si>
  <si>
    <t>547|454</t>
  </si>
  <si>
    <t>546|516</t>
  </si>
  <si>
    <t>544|520</t>
  </si>
  <si>
    <t>548|518</t>
  </si>
  <si>
    <t>555|511</t>
  </si>
  <si>
    <t>547|524</t>
  </si>
  <si>
    <t>446|447</t>
  </si>
  <si>
    <t>552|514</t>
  </si>
  <si>
    <t>475|443</t>
  </si>
  <si>
    <t>559|532</t>
  </si>
  <si>
    <t>553|513</t>
  </si>
  <si>
    <t>502|471</t>
  </si>
  <si>
    <t>563|522</t>
  </si>
  <si>
    <t>479|457</t>
  </si>
  <si>
    <t>478|460</t>
  </si>
  <si>
    <t>474|453</t>
  </si>
  <si>
    <t>568|476</t>
  </si>
  <si>
    <t>475|463</t>
  </si>
  <si>
    <t>481|467</t>
  </si>
  <si>
    <t>473|456</t>
  </si>
  <si>
    <t>435|465</t>
  </si>
  <si>
    <t>482|452</t>
  </si>
  <si>
    <t>522|513</t>
  </si>
  <si>
    <t>461|463</t>
  </si>
  <si>
    <t>462|531</t>
  </si>
  <si>
    <t>409|509</t>
  </si>
  <si>
    <t>454|524</t>
  </si>
  <si>
    <t>450|534</t>
  </si>
  <si>
    <t>431|507</t>
  </si>
  <si>
    <t>447|542</t>
  </si>
  <si>
    <t>456|583</t>
  </si>
  <si>
    <t>460|521</t>
  </si>
  <si>
    <t>457|530</t>
  </si>
  <si>
    <t>500|549</t>
  </si>
  <si>
    <t>503|541</t>
  </si>
  <si>
    <t>507|539</t>
  </si>
  <si>
    <t>507|544</t>
  </si>
  <si>
    <t>498|544</t>
  </si>
  <si>
    <t>474|604</t>
  </si>
  <si>
    <t>482|607</t>
  </si>
  <si>
    <t>471|608</t>
  </si>
  <si>
    <t>492|609</t>
  </si>
  <si>
    <t>570|537</t>
  </si>
  <si>
    <t>476|596</t>
  </si>
  <si>
    <t>475|611</t>
  </si>
  <si>
    <t>470|595</t>
  </si>
  <si>
    <t>562|537</t>
  </si>
  <si>
    <t>560|543</t>
  </si>
  <si>
    <t>440|533</t>
  </si>
  <si>
    <t>512|489</t>
  </si>
  <si>
    <t>528|523</t>
  </si>
  <si>
    <t>534|496</t>
  </si>
  <si>
    <t>508|399</t>
  </si>
  <si>
    <t>586|444</t>
  </si>
  <si>
    <t>419|575</t>
  </si>
  <si>
    <t>424|567</t>
  </si>
  <si>
    <t>511|413</t>
  </si>
  <si>
    <t>437|486</t>
  </si>
  <si>
    <t>434|494</t>
  </si>
  <si>
    <t>403|506</t>
  </si>
  <si>
    <t>547|538</t>
  </si>
  <si>
    <t>549|532</t>
  </si>
  <si>
    <t>550|550</t>
  </si>
  <si>
    <t>553|535</t>
  </si>
  <si>
    <t>557|556</t>
  </si>
  <si>
    <t>552|539</t>
  </si>
  <si>
    <t>555|530</t>
  </si>
  <si>
    <t>558|522</t>
  </si>
  <si>
    <t>560|535</t>
  </si>
  <si>
    <t>546|535</t>
  </si>
  <si>
    <t>545|542</t>
  </si>
  <si>
    <t>518|543</t>
  </si>
  <si>
    <t>542|550</t>
  </si>
  <si>
    <t>552|542</t>
  </si>
  <si>
    <t>476|568</t>
  </si>
  <si>
    <t>525|523</t>
  </si>
  <si>
    <t>475|571</t>
  </si>
  <si>
    <t>503|558</t>
  </si>
  <si>
    <t>471|549</t>
  </si>
  <si>
    <t>423|492</t>
  </si>
  <si>
    <t>421|489</t>
  </si>
  <si>
    <t>501|610</t>
  </si>
  <si>
    <t>484|424</t>
  </si>
  <si>
    <t>529|552</t>
  </si>
  <si>
    <t>491|411</t>
  </si>
  <si>
    <t>479|411</t>
  </si>
  <si>
    <t>499|420</t>
  </si>
  <si>
    <t>455|409</t>
  </si>
  <si>
    <t>424|519</t>
  </si>
  <si>
    <t>552|421</t>
  </si>
  <si>
    <t>451|539</t>
  </si>
  <si>
    <t>449|545</t>
  </si>
  <si>
    <t>458|545</t>
  </si>
  <si>
    <t>441|545</t>
  </si>
  <si>
    <t>443|503</t>
  </si>
  <si>
    <t>447|538</t>
  </si>
  <si>
    <t>443|548</t>
  </si>
  <si>
    <t>449|543</t>
  </si>
  <si>
    <t>448|536</t>
  </si>
  <si>
    <t>432|546</t>
  </si>
  <si>
    <t>574|520</t>
  </si>
  <si>
    <t>444|547</t>
  </si>
  <si>
    <t>571|528</t>
  </si>
  <si>
    <t>567|514</t>
  </si>
  <si>
    <t>477|489</t>
  </si>
  <si>
    <t>474|498</t>
  </si>
  <si>
    <t>510|467</t>
  </si>
  <si>
    <t>509|469</t>
  </si>
  <si>
    <t>527|562</t>
  </si>
  <si>
    <t>525|562</t>
  </si>
  <si>
    <t>551|520</t>
  </si>
  <si>
    <t>549|525</t>
  </si>
  <si>
    <t>456|569</t>
  </si>
  <si>
    <t>453|566</t>
  </si>
  <si>
    <t>452|566</t>
  </si>
  <si>
    <t>455|567</t>
  </si>
  <si>
    <t>478|443</t>
  </si>
  <si>
    <t>473|520</t>
  </si>
  <si>
    <t>507|575</t>
  </si>
  <si>
    <t>509|571</t>
  </si>
  <si>
    <t>506|503</t>
  </si>
  <si>
    <t>505|507</t>
  </si>
  <si>
    <t>464|442</t>
  </si>
  <si>
    <t>507|497</t>
  </si>
  <si>
    <t>576|442</t>
  </si>
  <si>
    <t>574|433</t>
  </si>
  <si>
    <t>582|443</t>
  </si>
  <si>
    <t>508|424</t>
  </si>
  <si>
    <t>575|436</t>
  </si>
  <si>
    <t>534|553</t>
  </si>
  <si>
    <t>577|436</t>
  </si>
  <si>
    <t>572|434</t>
  </si>
  <si>
    <t>431|534</t>
  </si>
  <si>
    <t>521|592</t>
  </si>
  <si>
    <t>528|595</t>
  </si>
  <si>
    <t>550|512</t>
  </si>
  <si>
    <t>529|538</t>
  </si>
  <si>
    <t>533|528</t>
  </si>
  <si>
    <t>537|525</t>
  </si>
  <si>
    <t>530|569</t>
  </si>
  <si>
    <t>464|499</t>
  </si>
  <si>
    <t>551|480</t>
  </si>
  <si>
    <t>467|590</t>
  </si>
  <si>
    <t>568|525</t>
  </si>
  <si>
    <t>543|561</t>
  </si>
  <si>
    <t>457|493</t>
  </si>
  <si>
    <t>497|564</t>
  </si>
  <si>
    <t>525|407</t>
  </si>
  <si>
    <t>425|426</t>
  </si>
  <si>
    <t>565|454</t>
  </si>
  <si>
    <t>557|454</t>
  </si>
  <si>
    <t>545|438</t>
  </si>
  <si>
    <t>462|509</t>
  </si>
  <si>
    <t>555|556</t>
  </si>
  <si>
    <t>459|432</t>
  </si>
  <si>
    <t>577|556</t>
  </si>
  <si>
    <t>496|517</t>
  </si>
  <si>
    <t>570|429</t>
  </si>
  <si>
    <t>553|458</t>
  </si>
  <si>
    <t>470|478</t>
  </si>
  <si>
    <t>438|464</t>
  </si>
  <si>
    <t>489|437</t>
  </si>
  <si>
    <t>566|465</t>
  </si>
  <si>
    <t>464|507</t>
  </si>
  <si>
    <t>459|587</t>
  </si>
  <si>
    <t>607|535</t>
  </si>
  <si>
    <t>405|464</t>
  </si>
  <si>
    <t>567|570</t>
  </si>
  <si>
    <t>564|457</t>
  </si>
  <si>
    <t>446|441</t>
  </si>
  <si>
    <t>476|422</t>
  </si>
  <si>
    <t>583|448</t>
  </si>
  <si>
    <t>416|569</t>
  </si>
  <si>
    <t>579|558</t>
  </si>
  <si>
    <t>439|539</t>
  </si>
  <si>
    <t>524|612</t>
  </si>
  <si>
    <t>522|608</t>
  </si>
  <si>
    <t>458|537</t>
  </si>
  <si>
    <t>531|553</t>
  </si>
  <si>
    <t>590|521</t>
  </si>
  <si>
    <t>449|559</t>
  </si>
  <si>
    <t>467|599</t>
  </si>
  <si>
    <t>416|465</t>
  </si>
  <si>
    <t>459|497</t>
  </si>
  <si>
    <t>440|497</t>
  </si>
  <si>
    <t>512|509</t>
  </si>
  <si>
    <t>520|555</t>
  </si>
  <si>
    <t>402|472</t>
  </si>
  <si>
    <t>474|493</t>
  </si>
  <si>
    <t>494|448</t>
  </si>
  <si>
    <t>553|494</t>
  </si>
  <si>
    <t>499|600</t>
  </si>
  <si>
    <t>496|453</t>
  </si>
  <si>
    <t>450|425</t>
  </si>
  <si>
    <t>557|472</t>
  </si>
  <si>
    <t>590|444</t>
  </si>
  <si>
    <t>465|506</t>
  </si>
  <si>
    <t>480|408</t>
  </si>
  <si>
    <t>590|515</t>
  </si>
  <si>
    <t>458|489</t>
  </si>
  <si>
    <t>506|575</t>
  </si>
  <si>
    <t>551|549</t>
  </si>
  <si>
    <t>581|552</t>
  </si>
  <si>
    <t>415|531</t>
  </si>
  <si>
    <t>446|533</t>
  </si>
  <si>
    <t>516|434</t>
  </si>
  <si>
    <t>418|567</t>
  </si>
  <si>
    <t>428|481</t>
  </si>
  <si>
    <t>566|576</t>
  </si>
  <si>
    <t>425|530</t>
  </si>
  <si>
    <t>598|520</t>
  </si>
  <si>
    <t>558|477</t>
  </si>
  <si>
    <t>516|435</t>
  </si>
  <si>
    <t>533|476</t>
  </si>
  <si>
    <t>529|567</t>
  </si>
  <si>
    <t>526|573</t>
  </si>
  <si>
    <t>484|545</t>
  </si>
  <si>
    <t>583|569</t>
  </si>
  <si>
    <t>441|481</t>
  </si>
  <si>
    <t>475|512</t>
  </si>
  <si>
    <t>519|561</t>
  </si>
  <si>
    <t>560|462</t>
  </si>
  <si>
    <t>550|411</t>
  </si>
  <si>
    <t>457|519</t>
  </si>
  <si>
    <t>573|515</t>
  </si>
  <si>
    <t>581|545</t>
  </si>
  <si>
    <t>573|507</t>
  </si>
  <si>
    <t>483|539</t>
  </si>
  <si>
    <t>445|451</t>
  </si>
  <si>
    <t>532|452</t>
  </si>
  <si>
    <t>575|559</t>
  </si>
  <si>
    <t>454|473</t>
  </si>
  <si>
    <t>473|484</t>
  </si>
  <si>
    <t>434|476</t>
  </si>
  <si>
    <t>446|599</t>
  </si>
  <si>
    <t>419|469</t>
  </si>
  <si>
    <t>529|586</t>
  </si>
  <si>
    <t>415|555</t>
  </si>
  <si>
    <t>438|468</t>
  </si>
  <si>
    <t>522|539</t>
  </si>
  <si>
    <t>547|470</t>
  </si>
  <si>
    <t>435|500</t>
  </si>
  <si>
    <t>397|495</t>
  </si>
  <si>
    <t>407|528</t>
  </si>
  <si>
    <t>588|554</t>
  </si>
  <si>
    <t>572|437</t>
  </si>
  <si>
    <t>455|404</t>
  </si>
  <si>
    <t>452|498</t>
  </si>
  <si>
    <t>507|485</t>
  </si>
  <si>
    <t>533|451</t>
  </si>
  <si>
    <t>435|442</t>
  </si>
  <si>
    <t>472|568</t>
  </si>
  <si>
    <t>428|506</t>
  </si>
  <si>
    <t>582|451</t>
  </si>
  <si>
    <t>543|480</t>
  </si>
  <si>
    <t>567|464</t>
  </si>
  <si>
    <t>432|419</t>
  </si>
  <si>
    <t>530|434</t>
  </si>
  <si>
    <t>476|595</t>
  </si>
  <si>
    <t>591|461</t>
  </si>
  <si>
    <t>505|487</t>
  </si>
  <si>
    <t>471|488</t>
  </si>
  <si>
    <t>423|544</t>
  </si>
  <si>
    <t>567|567</t>
  </si>
  <si>
    <t>594|438</t>
  </si>
  <si>
    <t>559|452</t>
  </si>
  <si>
    <t>538|540</t>
  </si>
  <si>
    <t>561|544</t>
  </si>
  <si>
    <t>496|500</t>
  </si>
  <si>
    <t>461|508</t>
  </si>
  <si>
    <t>455|492</t>
  </si>
  <si>
    <t>506|602</t>
  </si>
  <si>
    <t>443|421</t>
  </si>
  <si>
    <t>480|448</t>
  </si>
  <si>
    <t>458|504</t>
  </si>
  <si>
    <t>548|461</t>
  </si>
  <si>
    <t>556|554</t>
  </si>
  <si>
    <t>429|463</t>
  </si>
  <si>
    <t>450|432</t>
  </si>
  <si>
    <t>534|583</t>
  </si>
  <si>
    <t>535|413</t>
  </si>
  <si>
    <t>509|476</t>
  </si>
  <si>
    <t>516|503</t>
  </si>
  <si>
    <t>489|444</t>
  </si>
  <si>
    <t>539|459</t>
  </si>
  <si>
    <t>433|587</t>
  </si>
  <si>
    <t>507|458</t>
  </si>
  <si>
    <t>463|566</t>
  </si>
  <si>
    <t>590|459</t>
  </si>
  <si>
    <t>511|548</t>
  </si>
  <si>
    <t>414|568</t>
  </si>
  <si>
    <t>478|433</t>
  </si>
  <si>
    <t>587|462</t>
  </si>
  <si>
    <t>599|461</t>
  </si>
  <si>
    <t>594|458</t>
  </si>
  <si>
    <t>555|544</t>
  </si>
  <si>
    <t>413|562</t>
  </si>
  <si>
    <t>539|437</t>
  </si>
  <si>
    <t>477|468</t>
  </si>
  <si>
    <t>468|539</t>
  </si>
  <si>
    <t>501|480</t>
  </si>
  <si>
    <t>513|549</t>
  </si>
  <si>
    <t>473|429</t>
  </si>
  <si>
    <t>501|544</t>
  </si>
  <si>
    <t>535|399</t>
  </si>
  <si>
    <t>437|423</t>
  </si>
  <si>
    <t>453|558</t>
  </si>
  <si>
    <t>587|564</t>
  </si>
  <si>
    <t>587|545</t>
  </si>
  <si>
    <t>477|542</t>
  </si>
  <si>
    <t>413|534</t>
  </si>
  <si>
    <t>496|471</t>
  </si>
  <si>
    <t>531|435</t>
  </si>
  <si>
    <t>556|444</t>
  </si>
  <si>
    <t>468|499</t>
  </si>
  <si>
    <t>511|562</t>
  </si>
  <si>
    <t>437|498</t>
  </si>
  <si>
    <t>545|516</t>
  </si>
  <si>
    <t>549|443</t>
  </si>
  <si>
    <t>526|422</t>
  </si>
  <si>
    <t>568|468</t>
  </si>
  <si>
    <t>507|405</t>
  </si>
  <si>
    <t>505|436</t>
  </si>
  <si>
    <t>418|561</t>
  </si>
  <si>
    <t>459|426</t>
  </si>
  <si>
    <t>488|417</t>
  </si>
  <si>
    <t>433|485</t>
  </si>
  <si>
    <t>461|516</t>
  </si>
  <si>
    <t>500|578</t>
  </si>
  <si>
    <t>565|549</t>
  </si>
  <si>
    <t>546|565</t>
  </si>
  <si>
    <t>452|494</t>
  </si>
  <si>
    <t>596|502</t>
  </si>
  <si>
    <t>428|521</t>
  </si>
  <si>
    <t>456|560</t>
  </si>
  <si>
    <t>582|552</t>
  </si>
  <si>
    <t>461|593</t>
  </si>
  <si>
    <t>529|413</t>
  </si>
  <si>
    <t>425|421</t>
  </si>
  <si>
    <t>575|455</t>
  </si>
  <si>
    <t>450|472</t>
  </si>
  <si>
    <t>585|564</t>
  </si>
  <si>
    <t>591|549</t>
  </si>
  <si>
    <t>551|451</t>
  </si>
  <si>
    <t>557|494</t>
  </si>
  <si>
    <t>514|554</t>
  </si>
  <si>
    <t>604|518</t>
  </si>
  <si>
    <t>538|478</t>
  </si>
  <si>
    <t>445|509</t>
  </si>
  <si>
    <t>570|471</t>
  </si>
  <si>
    <t>503|575</t>
  </si>
  <si>
    <t>419|435</t>
  </si>
  <si>
    <t>461|600</t>
  </si>
  <si>
    <t>584|470</t>
  </si>
  <si>
    <t>513|554</t>
  </si>
  <si>
    <t>580|490</t>
  </si>
  <si>
    <t>490|557</t>
  </si>
  <si>
    <t>463|450</t>
  </si>
  <si>
    <t>545|514</t>
  </si>
  <si>
    <t>463|564</t>
  </si>
  <si>
    <t>481|432</t>
  </si>
  <si>
    <t>529|529</t>
  </si>
  <si>
    <t>528|560</t>
  </si>
  <si>
    <t>555|416</t>
  </si>
  <si>
    <t>450|493</t>
  </si>
  <si>
    <t>555|571</t>
  </si>
  <si>
    <t>582|439</t>
  </si>
  <si>
    <t>449|598</t>
  </si>
  <si>
    <t>515|575</t>
  </si>
  <si>
    <t>483|425</t>
  </si>
  <si>
    <t>557|466</t>
  </si>
  <si>
    <t>410|536</t>
  </si>
  <si>
    <t>565|462</t>
  </si>
  <si>
    <t>534|479</t>
  </si>
  <si>
    <t>432|471</t>
  </si>
  <si>
    <t>440|507</t>
  </si>
  <si>
    <t>465|541</t>
  </si>
  <si>
    <t>396|500</t>
  </si>
  <si>
    <t>459|562</t>
  </si>
  <si>
    <t>591|470</t>
  </si>
  <si>
    <t>546|496</t>
  </si>
  <si>
    <t>552|471</t>
  </si>
  <si>
    <t>466|491</t>
  </si>
  <si>
    <t>532|547</t>
  </si>
  <si>
    <t>590|462</t>
  </si>
  <si>
    <t>560|564</t>
  </si>
  <si>
    <t>522|393</t>
  </si>
  <si>
    <t>476|447</t>
  </si>
  <si>
    <t>585|553</t>
  </si>
  <si>
    <t>454|433</t>
  </si>
  <si>
    <t>507|440</t>
  </si>
  <si>
    <t>445|445</t>
  </si>
  <si>
    <t>547|550</t>
  </si>
  <si>
    <t>455|512</t>
  </si>
  <si>
    <t>441|505</t>
  </si>
  <si>
    <t>476|582</t>
  </si>
  <si>
    <t>405|540</t>
  </si>
  <si>
    <t>500|423</t>
  </si>
  <si>
    <t>525|606</t>
  </si>
  <si>
    <t>577|474</t>
  </si>
  <si>
    <t>586|455</t>
  </si>
  <si>
    <t>498|560</t>
  </si>
  <si>
    <t>563|466</t>
  </si>
  <si>
    <t>592|461</t>
  </si>
  <si>
    <t>432|469</t>
  </si>
  <si>
    <t>539|527</t>
  </si>
  <si>
    <t>439|551</t>
  </si>
  <si>
    <t>545|505</t>
  </si>
  <si>
    <t>473|434</t>
  </si>
  <si>
    <t>503|563</t>
  </si>
  <si>
    <t>535|605</t>
  </si>
  <si>
    <t>576|451</t>
  </si>
  <si>
    <t>526|590</t>
  </si>
  <si>
    <t>531|438</t>
  </si>
  <si>
    <t>510|541</t>
  </si>
  <si>
    <t>451|521</t>
  </si>
  <si>
    <t>516|536</t>
  </si>
  <si>
    <t>490|544</t>
  </si>
  <si>
    <t>567|528</t>
  </si>
  <si>
    <t>515|501</t>
  </si>
  <si>
    <t>524|570</t>
  </si>
  <si>
    <t>548|559</t>
  </si>
  <si>
    <t>520|418</t>
  </si>
  <si>
    <t>515|431</t>
  </si>
  <si>
    <t>490|546</t>
  </si>
  <si>
    <t>577|446</t>
  </si>
  <si>
    <t>459|564</t>
  </si>
  <si>
    <t>544|420</t>
  </si>
  <si>
    <t>489|399</t>
  </si>
  <si>
    <t>469|545</t>
  </si>
  <si>
    <t>595|454</t>
  </si>
  <si>
    <t>466|427</t>
  </si>
  <si>
    <t>532|608</t>
  </si>
  <si>
    <t>500|594</t>
  </si>
  <si>
    <t>536|428</t>
  </si>
  <si>
    <t>407|445</t>
  </si>
  <si>
    <t>460|603</t>
  </si>
  <si>
    <t>563|461</t>
  </si>
  <si>
    <t>408|515</t>
  </si>
  <si>
    <t>561|467</t>
  </si>
  <si>
    <t>551|491</t>
  </si>
  <si>
    <t>527|528</t>
  </si>
  <si>
    <t>564|469</t>
  </si>
  <si>
    <t>527|537</t>
  </si>
  <si>
    <t>551|464</t>
  </si>
  <si>
    <t>487|396</t>
  </si>
  <si>
    <t>531|429</t>
  </si>
  <si>
    <t>471|536</t>
  </si>
  <si>
    <t>568|521</t>
  </si>
  <si>
    <t>492|598</t>
  </si>
  <si>
    <t>420|501</t>
  </si>
  <si>
    <t>584|569</t>
  </si>
  <si>
    <t>422|516</t>
  </si>
  <si>
    <t>580|443</t>
  </si>
  <si>
    <t>518|565</t>
  </si>
  <si>
    <t>456|557</t>
  </si>
  <si>
    <t>536|441</t>
  </si>
  <si>
    <t>525|557</t>
  </si>
  <si>
    <t>475|563</t>
  </si>
  <si>
    <t>547|483</t>
  </si>
  <si>
    <t>532|433</t>
  </si>
  <si>
    <t>442|497</t>
  </si>
  <si>
    <t>581|530</t>
  </si>
  <si>
    <t>542|461</t>
  </si>
  <si>
    <t>506|560</t>
  </si>
  <si>
    <t>499|612</t>
  </si>
  <si>
    <t>529|432</t>
  </si>
  <si>
    <t>555|578</t>
  </si>
  <si>
    <t>570|540</t>
  </si>
  <si>
    <t>581|431</t>
  </si>
  <si>
    <t>471|440</t>
  </si>
  <si>
    <t>526|428</t>
  </si>
  <si>
    <t>436|453</t>
  </si>
  <si>
    <t>544|531</t>
  </si>
  <si>
    <t>570|576</t>
  </si>
  <si>
    <t>521|565</t>
  </si>
  <si>
    <t>589|438</t>
  </si>
  <si>
    <t>467|462</t>
  </si>
  <si>
    <t>489|403</t>
  </si>
  <si>
    <t>491|425</t>
  </si>
  <si>
    <t>544|471</t>
  </si>
  <si>
    <t>417|456</t>
  </si>
  <si>
    <t>469|441</t>
  </si>
  <si>
    <t>512|435</t>
  </si>
  <si>
    <t>565|536</t>
  </si>
  <si>
    <t>535|569</t>
  </si>
  <si>
    <t>426|483</t>
  </si>
  <si>
    <t>456|478</t>
  </si>
  <si>
    <t>476|406</t>
  </si>
  <si>
    <t>478|581</t>
  </si>
  <si>
    <t>591|537</t>
  </si>
  <si>
    <t>425|486</t>
  </si>
  <si>
    <t>457|531</t>
  </si>
  <si>
    <t>550|541</t>
  </si>
  <si>
    <t>488|604</t>
  </si>
  <si>
    <t>442|447</t>
  </si>
  <si>
    <t>603|521</t>
  </si>
  <si>
    <t>425|552</t>
  </si>
  <si>
    <t>428|579</t>
  </si>
  <si>
    <t>591|468</t>
  </si>
  <si>
    <t>469|595</t>
  </si>
  <si>
    <t>490|438</t>
  </si>
  <si>
    <t>565|487</t>
  </si>
  <si>
    <t>462|553</t>
  </si>
  <si>
    <t>587|456</t>
  </si>
  <si>
    <t>406|561</t>
  </si>
  <si>
    <t>507|597</t>
  </si>
  <si>
    <t>443|468</t>
  </si>
  <si>
    <t>457|547</t>
  </si>
  <si>
    <t>413|527</t>
  </si>
  <si>
    <t>564|459</t>
  </si>
  <si>
    <t>455|590</t>
  </si>
  <si>
    <t>518|428</t>
  </si>
  <si>
    <t>447|520</t>
  </si>
  <si>
    <t>446|597</t>
  </si>
  <si>
    <t>441|547</t>
  </si>
  <si>
    <t>484|568</t>
  </si>
  <si>
    <t>509|454</t>
  </si>
  <si>
    <t>526|577</t>
  </si>
  <si>
    <t>436|424</t>
  </si>
  <si>
    <t>463|547</t>
  </si>
  <si>
    <t>594|524</t>
  </si>
  <si>
    <t>424|461</t>
  </si>
  <si>
    <t>499|400</t>
  </si>
  <si>
    <t>529|506</t>
  </si>
  <si>
    <t>448|478</t>
  </si>
  <si>
    <t>441|544</t>
  </si>
  <si>
    <t>445|585</t>
  </si>
  <si>
    <t>517|579</t>
  </si>
  <si>
    <t>464|479</t>
  </si>
  <si>
    <t>551|600</t>
  </si>
  <si>
    <t>510|491</t>
  </si>
  <si>
    <t>540|502</t>
  </si>
  <si>
    <t>539|492</t>
  </si>
  <si>
    <t>469|475</t>
  </si>
  <si>
    <t>522|573</t>
  </si>
  <si>
    <t>421|443</t>
  </si>
  <si>
    <t>420|532</t>
  </si>
  <si>
    <t>574|531</t>
  </si>
  <si>
    <t>578|449</t>
  </si>
  <si>
    <t>602|525</t>
  </si>
  <si>
    <t>510|508</t>
  </si>
  <si>
    <t>575|518</t>
  </si>
  <si>
    <t>548|554</t>
  </si>
  <si>
    <t>450|438</t>
  </si>
  <si>
    <t>527|451</t>
  </si>
  <si>
    <t>475|421</t>
  </si>
  <si>
    <t>429|510</t>
  </si>
  <si>
    <t>524|604</t>
  </si>
  <si>
    <t>429|464</t>
  </si>
  <si>
    <t>421|424</t>
  </si>
  <si>
    <t>467|503</t>
  </si>
  <si>
    <t>552|515</t>
  </si>
  <si>
    <t>542|442</t>
  </si>
  <si>
    <t>476|451</t>
  </si>
  <si>
    <t>432|537</t>
  </si>
  <si>
    <t>471|438</t>
  </si>
  <si>
    <t>524|555</t>
  </si>
  <si>
    <t>580|560</t>
  </si>
  <si>
    <t>590|558</t>
  </si>
  <si>
    <t>453|596</t>
  </si>
  <si>
    <t>515|487</t>
  </si>
  <si>
    <t>603|541</t>
  </si>
  <si>
    <t>501|439</t>
  </si>
  <si>
    <t>441|515</t>
  </si>
  <si>
    <t>567|571</t>
  </si>
  <si>
    <t>555|503</t>
  </si>
  <si>
    <t>556|530</t>
  </si>
  <si>
    <t>446|532</t>
  </si>
  <si>
    <t>559|459</t>
  </si>
  <si>
    <t>532|400</t>
  </si>
  <si>
    <t>448|535</t>
  </si>
  <si>
    <t>484|457</t>
  </si>
  <si>
    <t>464|431</t>
  </si>
  <si>
    <t>436|472</t>
  </si>
  <si>
    <t>469|544</t>
  </si>
  <si>
    <t>446|488</t>
  </si>
  <si>
    <t>507|542</t>
  </si>
  <si>
    <t>566|466</t>
  </si>
  <si>
    <t>467|434</t>
  </si>
  <si>
    <t>415|541</t>
  </si>
  <si>
    <t>492|553</t>
  </si>
  <si>
    <t>479|605</t>
  </si>
  <si>
    <t>491|442</t>
  </si>
  <si>
    <t>529|545</t>
  </si>
  <si>
    <t>557|445</t>
  </si>
  <si>
    <t>563|446</t>
  </si>
  <si>
    <t>487|475</t>
  </si>
  <si>
    <t>600|475</t>
  </si>
  <si>
    <t>435|533</t>
  </si>
  <si>
    <t>579|487</t>
  </si>
  <si>
    <t>582|564</t>
  </si>
  <si>
    <t>509|428</t>
  </si>
  <si>
    <t>576|453</t>
  </si>
  <si>
    <t>475|541</t>
  </si>
  <si>
    <t>445|537</t>
  </si>
  <si>
    <t>517|574</t>
  </si>
  <si>
    <t>600|465</t>
  </si>
  <si>
    <t>535|557</t>
  </si>
  <si>
    <t>443|449</t>
  </si>
  <si>
    <t>530|461</t>
  </si>
  <si>
    <t>472|455</t>
  </si>
  <si>
    <t>524|526</t>
  </si>
  <si>
    <t>440|414</t>
  </si>
  <si>
    <t>573|465</t>
  </si>
  <si>
    <t>503|551</t>
  </si>
  <si>
    <t>467|428</t>
  </si>
  <si>
    <t>421|570</t>
  </si>
  <si>
    <t>512|490</t>
  </si>
  <si>
    <t>465|473</t>
  </si>
  <si>
    <t>472|460</t>
  </si>
  <si>
    <t>446|444</t>
  </si>
  <si>
    <t>465|499</t>
  </si>
  <si>
    <t>565|457</t>
  </si>
  <si>
    <t>507|423</t>
  </si>
  <si>
    <t>417|451</t>
  </si>
  <si>
    <t>478|586</t>
  </si>
  <si>
    <t>523|507</t>
  </si>
  <si>
    <t>422|576</t>
  </si>
  <si>
    <t>469|562</t>
  </si>
  <si>
    <t>567|455</t>
  </si>
  <si>
    <t>499|575</t>
  </si>
  <si>
    <t>446|505</t>
  </si>
  <si>
    <t>516|482</t>
  </si>
  <si>
    <t>548|524</t>
  </si>
  <si>
    <t>608|478</t>
  </si>
  <si>
    <t>484|428</t>
  </si>
  <si>
    <t>593|491</t>
  </si>
  <si>
    <t>573|482</t>
  </si>
  <si>
    <t>520|569</t>
  </si>
  <si>
    <t>565|475</t>
  </si>
  <si>
    <t>539|526</t>
  </si>
  <si>
    <t>554|513</t>
  </si>
  <si>
    <t>538|528</t>
  </si>
  <si>
    <t>442|463</t>
  </si>
  <si>
    <t>475|551</t>
  </si>
  <si>
    <t>449|491</t>
  </si>
  <si>
    <t>585|561</t>
  </si>
  <si>
    <t>459|515</t>
  </si>
  <si>
    <t>553|478</t>
  </si>
  <si>
    <t>595|492</t>
  </si>
  <si>
    <t>474|524</t>
  </si>
  <si>
    <t>556|448</t>
  </si>
  <si>
    <t>564|477</t>
  </si>
  <si>
    <t>454|517</t>
  </si>
  <si>
    <t>596|453</t>
  </si>
  <si>
    <t>531|434</t>
  </si>
  <si>
    <t>453|562</t>
  </si>
  <si>
    <t>528|461</t>
  </si>
  <si>
    <t>505|425</t>
  </si>
  <si>
    <t>404|503</t>
  </si>
  <si>
    <t>514|476</t>
  </si>
  <si>
    <t>463|548</t>
  </si>
  <si>
    <t>423|514</t>
  </si>
  <si>
    <t>540|397</t>
  </si>
  <si>
    <t>449|465</t>
  </si>
  <si>
    <t>424|431</t>
  </si>
  <si>
    <t>477|431</t>
  </si>
  <si>
    <t>518|502</t>
  </si>
  <si>
    <t>481|582</t>
  </si>
  <si>
    <t>503|581</t>
  </si>
  <si>
    <t>422|501</t>
  </si>
  <si>
    <t>480|582</t>
  </si>
  <si>
    <t>460|482</t>
  </si>
  <si>
    <t>495|440</t>
  </si>
  <si>
    <t>456|601</t>
  </si>
  <si>
    <t>535|553</t>
  </si>
  <si>
    <t>423|515</t>
  </si>
  <si>
    <t>550|511</t>
  </si>
  <si>
    <t>525|438</t>
  </si>
  <si>
    <t>442|551</t>
  </si>
  <si>
    <t>535|408</t>
  </si>
  <si>
    <t>450|517</t>
  </si>
  <si>
    <t>476|573</t>
  </si>
  <si>
    <t>448|545</t>
  </si>
  <si>
    <t>468|399</t>
  </si>
  <si>
    <t>543|525</t>
  </si>
  <si>
    <t>548|440</t>
  </si>
  <si>
    <t>471|493</t>
  </si>
  <si>
    <t>490|501</t>
  </si>
  <si>
    <t>427|476</t>
  </si>
  <si>
    <t>559|535</t>
  </si>
  <si>
    <t>466|537</t>
  </si>
  <si>
    <t>469|557</t>
  </si>
  <si>
    <t>459|545</t>
  </si>
  <si>
    <t>432|482</t>
  </si>
  <si>
    <t>541|599</t>
  </si>
  <si>
    <t>454|440</t>
  </si>
  <si>
    <t>581|533</t>
  </si>
  <si>
    <t>493|442</t>
  </si>
  <si>
    <t>583|561</t>
  </si>
  <si>
    <t>571|573</t>
  </si>
  <si>
    <t>441|444</t>
  </si>
  <si>
    <t>594|535</t>
  </si>
  <si>
    <t>486|530</t>
  </si>
  <si>
    <t>454|427</t>
  </si>
  <si>
    <t>479|477</t>
  </si>
  <si>
    <t>456|471</t>
  </si>
  <si>
    <t>511|524</t>
  </si>
  <si>
    <t>569|471</t>
  </si>
  <si>
    <t>438|409</t>
  </si>
  <si>
    <t>449|503</t>
  </si>
  <si>
    <t>553|569</t>
  </si>
  <si>
    <t>490|488</t>
  </si>
  <si>
    <t>530|435</t>
  </si>
  <si>
    <t>557|529</t>
  </si>
  <si>
    <t>558|423</t>
  </si>
  <si>
    <t>559|465</t>
  </si>
  <si>
    <t>453|589</t>
  </si>
  <si>
    <t>548|435</t>
  </si>
  <si>
    <t>574|473</t>
  </si>
  <si>
    <t>527|431</t>
  </si>
  <si>
    <t>430|478</t>
  </si>
  <si>
    <t>494|453</t>
  </si>
  <si>
    <t>522|430</t>
  </si>
  <si>
    <t>474|437</t>
  </si>
  <si>
    <t>534|511</t>
  </si>
  <si>
    <t>486|395</t>
  </si>
  <si>
    <t>447|502</t>
  </si>
  <si>
    <t>577|500</t>
  </si>
  <si>
    <t>563|570</t>
  </si>
  <si>
    <t>545|491</t>
  </si>
  <si>
    <t>567|539</t>
  </si>
  <si>
    <t>475|454</t>
  </si>
  <si>
    <t>444|472</t>
  </si>
  <si>
    <t>598|531</t>
  </si>
  <si>
    <t>408|537</t>
  </si>
  <si>
    <t>487|600</t>
  </si>
  <si>
    <t>463|466</t>
  </si>
  <si>
    <t>443|470</t>
  </si>
  <si>
    <t>559|567</t>
  </si>
  <si>
    <t>525|392</t>
  </si>
  <si>
    <t>496|546</t>
  </si>
  <si>
    <t>538|521</t>
  </si>
  <si>
    <t>577|458</t>
  </si>
  <si>
    <t>459|435</t>
  </si>
  <si>
    <t>478|506</t>
  </si>
  <si>
    <t>408|443</t>
  </si>
  <si>
    <t>511|398</t>
  </si>
  <si>
    <t>438|548</t>
  </si>
  <si>
    <t>559|460</t>
  </si>
  <si>
    <t>579|574</t>
  </si>
  <si>
    <t>443|462</t>
  </si>
  <si>
    <t>519|544</t>
  </si>
  <si>
    <t>475|529</t>
  </si>
  <si>
    <t>479|444</t>
  </si>
  <si>
    <t>553|490</t>
  </si>
  <si>
    <t>439|502</t>
  </si>
  <si>
    <t>565|520</t>
  </si>
  <si>
    <t>532|442</t>
  </si>
  <si>
    <t>476|402</t>
  </si>
  <si>
    <t>595|502</t>
  </si>
  <si>
    <t>571|516</t>
  </si>
  <si>
    <t>470|427</t>
  </si>
  <si>
    <t>476|551</t>
  </si>
  <si>
    <t>539|536</t>
  </si>
  <si>
    <t>542|499</t>
  </si>
  <si>
    <t>466|536</t>
  </si>
  <si>
    <t>591|457</t>
  </si>
  <si>
    <t>467|518</t>
  </si>
  <si>
    <t>556|484</t>
  </si>
  <si>
    <t>465|528</t>
  </si>
  <si>
    <t>490|504</t>
  </si>
  <si>
    <t>517|472</t>
  </si>
  <si>
    <t>578|455</t>
  </si>
  <si>
    <t>493|580</t>
  </si>
  <si>
    <t>493|564</t>
  </si>
  <si>
    <t>524|593</t>
  </si>
  <si>
    <t>411|447</t>
  </si>
  <si>
    <t>604|488</t>
  </si>
  <si>
    <t>489|420</t>
  </si>
  <si>
    <t>502|489</t>
  </si>
  <si>
    <t>436|415</t>
  </si>
  <si>
    <t>519|559</t>
  </si>
  <si>
    <t>599|459</t>
  </si>
  <si>
    <t>561|486</t>
  </si>
  <si>
    <t>454|518</t>
  </si>
  <si>
    <t>434|519</t>
  </si>
  <si>
    <t>472|442</t>
  </si>
  <si>
    <t>568|470</t>
  </si>
  <si>
    <t>490|478</t>
  </si>
  <si>
    <t>484|473</t>
  </si>
  <si>
    <t>580|553</t>
  </si>
  <si>
    <t>540|513</t>
  </si>
  <si>
    <t>561|407</t>
  </si>
  <si>
    <t>452|601</t>
  </si>
  <si>
    <t>448|551</t>
  </si>
  <si>
    <t>512|479</t>
  </si>
  <si>
    <t>459|595</t>
  </si>
  <si>
    <t>409|466</t>
  </si>
  <si>
    <t>443|443</t>
  </si>
  <si>
    <t>448|507</t>
  </si>
  <si>
    <t>535|540</t>
  </si>
  <si>
    <t>581|453</t>
  </si>
  <si>
    <t>490|439</t>
  </si>
  <si>
    <t>420|515</t>
  </si>
  <si>
    <t>480|570</t>
  </si>
  <si>
    <t>416|447</t>
  </si>
  <si>
    <t>579|579</t>
  </si>
  <si>
    <t>457|564</t>
  </si>
  <si>
    <t>478|563</t>
  </si>
  <si>
    <t>600|481</t>
  </si>
  <si>
    <t>530|412</t>
  </si>
  <si>
    <t>445|461</t>
  </si>
  <si>
    <t>570|531</t>
  </si>
  <si>
    <t>536|540</t>
  </si>
  <si>
    <t>512|493</t>
  </si>
  <si>
    <t>422|427</t>
  </si>
  <si>
    <t>496|446</t>
  </si>
  <si>
    <t>561|475</t>
  </si>
  <si>
    <t>582|561</t>
  </si>
  <si>
    <t>458|548</t>
  </si>
  <si>
    <t>537|482</t>
  </si>
  <si>
    <t>405|545</t>
  </si>
  <si>
    <t>567|510</t>
  </si>
  <si>
    <t>475|412</t>
  </si>
  <si>
    <t>534|456</t>
  </si>
  <si>
    <t>473|442</t>
  </si>
  <si>
    <t>484|574</t>
  </si>
  <si>
    <t>555|442</t>
  </si>
  <si>
    <t>562|467</t>
  </si>
  <si>
    <t>441|503</t>
  </si>
  <si>
    <t>495|557</t>
  </si>
  <si>
    <t>459|517</t>
  </si>
  <si>
    <t>533|428</t>
  </si>
  <si>
    <t>469|584</t>
  </si>
  <si>
    <t>515|433</t>
  </si>
  <si>
    <t>431|457</t>
  </si>
  <si>
    <t>440|423</t>
  </si>
  <si>
    <t>564|473</t>
  </si>
  <si>
    <t>464|516</t>
  </si>
  <si>
    <t>443|450</t>
  </si>
  <si>
    <t>480|446</t>
  </si>
  <si>
    <t>601|497</t>
  </si>
  <si>
    <t>582|517</t>
  </si>
  <si>
    <t>529|404</t>
  </si>
  <si>
    <t>529|461</t>
  </si>
  <si>
    <t>501|411</t>
  </si>
  <si>
    <t>469|553</t>
  </si>
  <si>
    <t>455|462</t>
  </si>
  <si>
    <t>447|472</t>
  </si>
  <si>
    <t>476|531</t>
  </si>
  <si>
    <t>420|505</t>
  </si>
  <si>
    <t>522|588</t>
  </si>
  <si>
    <t>563|487</t>
  </si>
  <si>
    <t>457|567</t>
  </si>
  <si>
    <t>470|499</t>
  </si>
  <si>
    <t>584|546</t>
  </si>
  <si>
    <t>588|544</t>
  </si>
  <si>
    <t>533|453</t>
  </si>
  <si>
    <t>555|526</t>
  </si>
  <si>
    <t>600|518</t>
  </si>
  <si>
    <t>593|438</t>
  </si>
  <si>
    <t>493|391</t>
  </si>
  <si>
    <t>515|561</t>
  </si>
  <si>
    <t>511|567</t>
  </si>
  <si>
    <t>532|460</t>
  </si>
  <si>
    <t>571|553</t>
  </si>
  <si>
    <t>452|495</t>
  </si>
  <si>
    <t>504|576</t>
  </si>
  <si>
    <t>446|543</t>
  </si>
  <si>
    <t>435|457</t>
  </si>
  <si>
    <t>530|550</t>
  </si>
  <si>
    <t>504|604</t>
  </si>
  <si>
    <t>503|440</t>
  </si>
  <si>
    <t>603|472</t>
  </si>
  <si>
    <t>480|399</t>
  </si>
  <si>
    <t>572|521</t>
  </si>
  <si>
    <t>555|519</t>
  </si>
  <si>
    <t>525|533</t>
  </si>
  <si>
    <t>526|576</t>
  </si>
  <si>
    <t>542|465</t>
  </si>
  <si>
    <t>444|466</t>
  </si>
  <si>
    <t>577|552</t>
  </si>
  <si>
    <t>549|472</t>
  </si>
  <si>
    <t>538|457</t>
  </si>
  <si>
    <t>539|446</t>
  </si>
  <si>
    <t>511|600</t>
  </si>
  <si>
    <t>505|597</t>
  </si>
  <si>
    <t>489|554</t>
  </si>
  <si>
    <t>542|582</t>
  </si>
  <si>
    <t>499|531</t>
  </si>
  <si>
    <t>437|435</t>
  </si>
  <si>
    <t>404|463</t>
  </si>
  <si>
    <t>544|456</t>
  </si>
  <si>
    <t>463|465</t>
  </si>
  <si>
    <t>521|448</t>
  </si>
  <si>
    <t>532|605</t>
  </si>
  <si>
    <t>494|392</t>
  </si>
  <si>
    <t>441|555</t>
  </si>
  <si>
    <t>431|422</t>
  </si>
  <si>
    <t>577|475</t>
  </si>
  <si>
    <t>401|546</t>
  </si>
  <si>
    <t>464|558</t>
  </si>
  <si>
    <t>560|578</t>
  </si>
  <si>
    <t>428|514</t>
  </si>
  <si>
    <t>525|547</t>
  </si>
  <si>
    <t>543|600</t>
  </si>
  <si>
    <t>501|400</t>
  </si>
  <si>
    <t>538|575</t>
  </si>
  <si>
    <t>474|576</t>
  </si>
  <si>
    <t>440|512</t>
  </si>
  <si>
    <t>501|440</t>
  </si>
  <si>
    <t>527|401</t>
  </si>
  <si>
    <t>482|463</t>
  </si>
  <si>
    <t>494|592</t>
  </si>
  <si>
    <t>535|427</t>
  </si>
  <si>
    <t>402|526</t>
  </si>
  <si>
    <t>455|500</t>
  </si>
  <si>
    <t>400|522</t>
  </si>
  <si>
    <t>439|450</t>
  </si>
  <si>
    <t>530|466</t>
  </si>
  <si>
    <t>559|477</t>
  </si>
  <si>
    <t>508|601</t>
  </si>
  <si>
    <t>568|469</t>
  </si>
  <si>
    <t>502|600</t>
  </si>
  <si>
    <t>483|448</t>
  </si>
  <si>
    <t>557|437</t>
  </si>
  <si>
    <t>496|431</t>
  </si>
  <si>
    <t>540|592</t>
  </si>
  <si>
    <t>449|494</t>
  </si>
  <si>
    <t>586|550</t>
  </si>
  <si>
    <t>488|393</t>
  </si>
  <si>
    <t>529|481</t>
  </si>
  <si>
    <t>410|543</t>
  </si>
  <si>
    <t>572|462</t>
  </si>
  <si>
    <t>542|413</t>
  </si>
  <si>
    <t>522|409</t>
  </si>
  <si>
    <t>527|427</t>
  </si>
  <si>
    <t>563|518</t>
  </si>
  <si>
    <t>478|409</t>
  </si>
  <si>
    <t>434|486</t>
  </si>
  <si>
    <t>507|421</t>
  </si>
  <si>
    <t>498|577</t>
  </si>
  <si>
    <t>432|478</t>
  </si>
  <si>
    <t>532|566</t>
  </si>
  <si>
    <t>550|548</t>
  </si>
  <si>
    <t>530|556</t>
  </si>
  <si>
    <t>458|427</t>
  </si>
  <si>
    <t>599|457</t>
  </si>
  <si>
    <t>451|420</t>
  </si>
  <si>
    <t>489|551</t>
  </si>
  <si>
    <t>536|487</t>
  </si>
  <si>
    <t>444|484</t>
  </si>
  <si>
    <t>526|484</t>
  </si>
  <si>
    <t>474|582</t>
  </si>
  <si>
    <t>503|545</t>
  </si>
  <si>
    <t>433|577</t>
  </si>
  <si>
    <t>583|464</t>
  </si>
  <si>
    <t>478|508</t>
  </si>
  <si>
    <t>451|601</t>
  </si>
  <si>
    <t>596|505</t>
  </si>
  <si>
    <t>527|435</t>
  </si>
  <si>
    <t>494|401</t>
  </si>
  <si>
    <t>429|477</t>
  </si>
  <si>
    <t>474|551</t>
  </si>
  <si>
    <t>473|420</t>
  </si>
  <si>
    <t>526|539</t>
  </si>
  <si>
    <t>480|498</t>
  </si>
  <si>
    <t>470|446</t>
  </si>
  <si>
    <t>558|538</t>
  </si>
  <si>
    <t>562|565</t>
  </si>
  <si>
    <t>506|572</t>
  </si>
  <si>
    <t>469|512</t>
  </si>
  <si>
    <t>548|457</t>
  </si>
  <si>
    <t>573|553</t>
  </si>
  <si>
    <t>543|584</t>
  </si>
  <si>
    <t>468|510</t>
  </si>
  <si>
    <t>548|584</t>
  </si>
  <si>
    <t>482|410</t>
  </si>
  <si>
    <t>608|483</t>
  </si>
  <si>
    <t>522|483</t>
  </si>
  <si>
    <t>482|556</t>
  </si>
  <si>
    <t>538|450</t>
  </si>
  <si>
    <t>443|482</t>
  </si>
  <si>
    <t>532|394</t>
  </si>
  <si>
    <t>559|470</t>
  </si>
  <si>
    <t>491|572</t>
  </si>
  <si>
    <t>545|536</t>
  </si>
  <si>
    <t>490|502</t>
  </si>
  <si>
    <t>489|549</t>
  </si>
  <si>
    <t>525|460</t>
  </si>
  <si>
    <t>585|516</t>
  </si>
  <si>
    <t>523|404</t>
  </si>
  <si>
    <t>551|596</t>
  </si>
  <si>
    <t>483|455</t>
  </si>
  <si>
    <t>586|489</t>
  </si>
  <si>
    <t>469|497</t>
  </si>
  <si>
    <t>541|442</t>
  </si>
  <si>
    <t>432|423</t>
  </si>
  <si>
    <t>579|573</t>
  </si>
  <si>
    <t>527|567</t>
  </si>
  <si>
    <t>423|508</t>
  </si>
  <si>
    <t>569|520</t>
  </si>
  <si>
    <t>489|522</t>
  </si>
  <si>
    <t>415|465</t>
  </si>
  <si>
    <t>506|603</t>
  </si>
  <si>
    <t>476|549</t>
  </si>
  <si>
    <t>567|537</t>
  </si>
  <si>
    <t>433|414</t>
  </si>
  <si>
    <t>544|510</t>
  </si>
  <si>
    <t>457|602</t>
  </si>
  <si>
    <t>534|541</t>
  </si>
  <si>
    <t>531|538</t>
  </si>
  <si>
    <t>498|445</t>
  </si>
  <si>
    <t>495|434</t>
  </si>
  <si>
    <t>563|444</t>
  </si>
  <si>
    <t>512|603</t>
  </si>
  <si>
    <t>450|553</t>
  </si>
  <si>
    <t>482|576</t>
  </si>
  <si>
    <t>452|490</t>
  </si>
  <si>
    <t>572|510</t>
  </si>
  <si>
    <t>589|470</t>
  </si>
  <si>
    <t>524|439</t>
  </si>
  <si>
    <t>507|489</t>
  </si>
  <si>
    <t>510|494</t>
  </si>
  <si>
    <t>551|585</t>
  </si>
  <si>
    <t>468|397</t>
  </si>
  <si>
    <t>573|561</t>
  </si>
  <si>
    <t>548|589</t>
  </si>
  <si>
    <t>493|577</t>
  </si>
  <si>
    <t>484|496</t>
  </si>
  <si>
    <t>439|481</t>
  </si>
  <si>
    <t>425|473</t>
  </si>
  <si>
    <t>479|579</t>
  </si>
  <si>
    <t>413|569</t>
  </si>
  <si>
    <t>445|434</t>
  </si>
  <si>
    <t>505|398</t>
  </si>
  <si>
    <t>560|508</t>
  </si>
  <si>
    <t>434|575</t>
  </si>
  <si>
    <t>453|435</t>
  </si>
  <si>
    <t>499|451</t>
  </si>
  <si>
    <t>557|484</t>
  </si>
  <si>
    <t>452|598</t>
  </si>
  <si>
    <t>564|452</t>
  </si>
  <si>
    <t>576|500</t>
  </si>
  <si>
    <t>580|556</t>
  </si>
  <si>
    <t>463|441</t>
  </si>
  <si>
    <t>564|474</t>
  </si>
  <si>
    <t>559|502</t>
  </si>
  <si>
    <t>504|484</t>
  </si>
  <si>
    <t>441|540</t>
  </si>
  <si>
    <t>582|453</t>
  </si>
  <si>
    <t>526|499</t>
  </si>
  <si>
    <t>450|514</t>
  </si>
  <si>
    <t>448|509</t>
  </si>
  <si>
    <t>526|394</t>
  </si>
  <si>
    <t>591|471</t>
  </si>
  <si>
    <t>491|541</t>
  </si>
  <si>
    <t>421|507</t>
  </si>
  <si>
    <t>457|549</t>
  </si>
  <si>
    <t>469|449</t>
  </si>
  <si>
    <t>569|460</t>
  </si>
  <si>
    <t>530|440</t>
  </si>
  <si>
    <t>522|492</t>
  </si>
  <si>
    <t>481|452</t>
  </si>
  <si>
    <t>437|494</t>
  </si>
  <si>
    <t>512|528</t>
  </si>
  <si>
    <t>591|528</t>
  </si>
  <si>
    <t>562|486</t>
  </si>
  <si>
    <t>477|441</t>
  </si>
  <si>
    <t>414|541</t>
  </si>
  <si>
    <t>539|565</t>
  </si>
  <si>
    <t>504|424</t>
  </si>
  <si>
    <t>431|510</t>
  </si>
  <si>
    <t>491|423</t>
  </si>
  <si>
    <t>515|488</t>
  </si>
  <si>
    <t>508|503</t>
  </si>
  <si>
    <t>580|563</t>
  </si>
  <si>
    <t>506|605</t>
  </si>
  <si>
    <t>456|603</t>
  </si>
  <si>
    <t>520|453</t>
  </si>
  <si>
    <t>565|460</t>
  </si>
  <si>
    <t>573|469</t>
  </si>
  <si>
    <t>534|427</t>
  </si>
  <si>
    <t>462|430</t>
  </si>
  <si>
    <t>471|487</t>
  </si>
  <si>
    <t>557|553</t>
  </si>
  <si>
    <t>441|587</t>
  </si>
  <si>
    <t>516|406</t>
  </si>
  <si>
    <t>451|541</t>
  </si>
  <si>
    <t>525|402</t>
  </si>
  <si>
    <t>463|442</t>
  </si>
  <si>
    <t>455|505</t>
  </si>
  <si>
    <t>436|481</t>
  </si>
  <si>
    <t>552|578</t>
  </si>
  <si>
    <t>458|476</t>
  </si>
  <si>
    <t>541|554</t>
  </si>
  <si>
    <t>455|600</t>
  </si>
  <si>
    <t>568|571</t>
  </si>
  <si>
    <t>458|432</t>
  </si>
  <si>
    <t>567|560</t>
  </si>
  <si>
    <t>591|561</t>
  </si>
  <si>
    <t>540|582</t>
  </si>
  <si>
    <t>443|514</t>
  </si>
  <si>
    <t>508|559</t>
  </si>
  <si>
    <t>415|567</t>
  </si>
  <si>
    <t>448|483</t>
  </si>
  <si>
    <t>548|415</t>
  </si>
  <si>
    <t>568|567</t>
  </si>
  <si>
    <t>476|443</t>
  </si>
  <si>
    <t>606|520</t>
  </si>
  <si>
    <t>491|519</t>
  </si>
  <si>
    <t>459|559</t>
  </si>
  <si>
    <t>576|562</t>
  </si>
  <si>
    <t>465|540</t>
  </si>
  <si>
    <t>459|563</t>
  </si>
  <si>
    <t>526|530</t>
  </si>
  <si>
    <t>458|450</t>
  </si>
  <si>
    <t>438|565</t>
  </si>
  <si>
    <t>570|474</t>
  </si>
  <si>
    <t>454|549</t>
  </si>
  <si>
    <t>440|521</t>
  </si>
  <si>
    <t>438|461</t>
  </si>
  <si>
    <t>537|511</t>
  </si>
  <si>
    <t>526|575</t>
  </si>
  <si>
    <t>544|541</t>
  </si>
  <si>
    <t>584|438</t>
  </si>
  <si>
    <t>434|505</t>
  </si>
  <si>
    <t>458|538</t>
  </si>
  <si>
    <t>478|414</t>
  </si>
  <si>
    <t>470|475</t>
  </si>
  <si>
    <t>581|561</t>
  </si>
  <si>
    <t>436|538</t>
  </si>
  <si>
    <t>472|545</t>
  </si>
  <si>
    <t>551|475</t>
  </si>
  <si>
    <t>407|452</t>
  </si>
  <si>
    <t>465|445</t>
  </si>
  <si>
    <t>503|567</t>
  </si>
  <si>
    <t>470|454</t>
  </si>
  <si>
    <t>444|476</t>
  </si>
  <si>
    <t>562|460</t>
  </si>
  <si>
    <t>573|555</t>
  </si>
  <si>
    <t>492|427</t>
  </si>
  <si>
    <t>575|479</t>
  </si>
  <si>
    <t>593|454</t>
  </si>
  <si>
    <t>518|451</t>
  </si>
  <si>
    <t>555|527</t>
  </si>
  <si>
    <t>521|429</t>
  </si>
  <si>
    <t>532|426</t>
  </si>
  <si>
    <t>501|556</t>
  </si>
  <si>
    <t>487|552</t>
  </si>
  <si>
    <t>512|558</t>
  </si>
  <si>
    <t>462|428</t>
  </si>
  <si>
    <t>559|523</t>
  </si>
  <si>
    <t>439|592</t>
  </si>
  <si>
    <t>465|453</t>
  </si>
  <si>
    <t>446|565</t>
  </si>
  <si>
    <t>580|428</t>
  </si>
  <si>
    <t>494|443</t>
  </si>
  <si>
    <t>513|448</t>
  </si>
  <si>
    <t>572|503</t>
  </si>
  <si>
    <t>522|491</t>
  </si>
  <si>
    <t>488|608</t>
  </si>
  <si>
    <t>484|591</t>
  </si>
  <si>
    <t>447|561</t>
  </si>
  <si>
    <t>446|454</t>
  </si>
  <si>
    <t>530|575</t>
  </si>
  <si>
    <t>544|518</t>
  </si>
  <si>
    <t>431|436</t>
  </si>
  <si>
    <t>466|499</t>
  </si>
  <si>
    <t>515|566</t>
  </si>
  <si>
    <t>409|442</t>
  </si>
  <si>
    <t>512|565</t>
  </si>
  <si>
    <t>529|485</t>
  </si>
  <si>
    <t>508|421</t>
  </si>
  <si>
    <t>463|427</t>
  </si>
  <si>
    <t>501|517</t>
  </si>
  <si>
    <t>582|553</t>
  </si>
  <si>
    <t>580|558</t>
  </si>
  <si>
    <t>533|438</t>
  </si>
  <si>
    <t>503|429</t>
  </si>
  <si>
    <t>514|507</t>
  </si>
  <si>
    <t>460|450</t>
  </si>
  <si>
    <t>490|556</t>
  </si>
  <si>
    <t>418|439</t>
  </si>
  <si>
    <t>457|525</t>
  </si>
  <si>
    <t>534|428</t>
  </si>
  <si>
    <t>602|462</t>
  </si>
  <si>
    <t>476|424</t>
  </si>
  <si>
    <t>438|492</t>
  </si>
  <si>
    <t>449|425</t>
  </si>
  <si>
    <t>565|521</t>
  </si>
  <si>
    <t>574|551</t>
  </si>
  <si>
    <t>459|493</t>
  </si>
  <si>
    <t>566|560</t>
  </si>
  <si>
    <t>431|567</t>
  </si>
  <si>
    <t>530|606</t>
  </si>
  <si>
    <t>479|458</t>
  </si>
  <si>
    <t>511|608</t>
  </si>
  <si>
    <t>610|481</t>
  </si>
  <si>
    <t>470|574</t>
  </si>
  <si>
    <t>519|594</t>
  </si>
  <si>
    <t>501|502</t>
  </si>
  <si>
    <t>591|462</t>
  </si>
  <si>
    <t>507|433</t>
  </si>
  <si>
    <t>475|425</t>
  </si>
  <si>
    <t>588|537</t>
  </si>
  <si>
    <t>553|575</t>
  </si>
  <si>
    <t>495|472</t>
  </si>
  <si>
    <t>487|554</t>
  </si>
  <si>
    <t>481|411</t>
  </si>
  <si>
    <t>523|568</t>
  </si>
  <si>
    <t>479|569</t>
  </si>
  <si>
    <t>482|603</t>
  </si>
  <si>
    <t>520|534</t>
  </si>
  <si>
    <t>478|463</t>
  </si>
  <si>
    <t>432|429</t>
  </si>
  <si>
    <t>571|506</t>
  </si>
  <si>
    <t>557|449</t>
  </si>
  <si>
    <t>541|561</t>
  </si>
  <si>
    <t>419|574</t>
  </si>
  <si>
    <t>477|424</t>
  </si>
  <si>
    <t>512|473</t>
  </si>
  <si>
    <t>577|570</t>
  </si>
  <si>
    <t>552|593</t>
  </si>
  <si>
    <t>512|563</t>
  </si>
  <si>
    <t>506|392</t>
  </si>
  <si>
    <t>581|515</t>
  </si>
  <si>
    <t>472|507</t>
  </si>
  <si>
    <t>437|513</t>
  </si>
  <si>
    <t>550|452</t>
  </si>
  <si>
    <t>405|547</t>
  </si>
  <si>
    <t>449|512</t>
  </si>
  <si>
    <t>542|410</t>
  </si>
  <si>
    <t>587|464</t>
  </si>
  <si>
    <t>460|399</t>
  </si>
  <si>
    <t>538|437</t>
  </si>
  <si>
    <t>536|509</t>
  </si>
  <si>
    <t>474|445</t>
  </si>
  <si>
    <t>435|514</t>
  </si>
  <si>
    <t>554|573</t>
  </si>
  <si>
    <t>552|462</t>
  </si>
  <si>
    <t>437|473</t>
  </si>
  <si>
    <t>542|399</t>
  </si>
  <si>
    <t>518|564</t>
  </si>
  <si>
    <t>582|574</t>
  </si>
  <si>
    <t>508|458</t>
  </si>
  <si>
    <t>531|464</t>
  </si>
  <si>
    <t>507|548</t>
  </si>
  <si>
    <t>506|580</t>
  </si>
  <si>
    <t>553|516</t>
  </si>
  <si>
    <t>474|555</t>
  </si>
  <si>
    <t>604|468</t>
  </si>
  <si>
    <t>512|526</t>
  </si>
  <si>
    <t>435|461</t>
  </si>
  <si>
    <t>422|508</t>
  </si>
  <si>
    <t>519|526</t>
  </si>
  <si>
    <t>569|529</t>
  </si>
  <si>
    <t>420|459</t>
  </si>
  <si>
    <t>534|437</t>
  </si>
  <si>
    <t>548|533</t>
  </si>
  <si>
    <t>415|570</t>
  </si>
  <si>
    <t>457|556</t>
  </si>
  <si>
    <t>453|449</t>
  </si>
  <si>
    <t>451|528</t>
  </si>
  <si>
    <t>549|529</t>
  </si>
  <si>
    <t>460|464</t>
  </si>
  <si>
    <t>590|456</t>
  </si>
  <si>
    <t>577|432</t>
  </si>
  <si>
    <t>519|443</t>
  </si>
  <si>
    <t>558|493</t>
  </si>
  <si>
    <t>405|523</t>
  </si>
  <si>
    <t>544|559</t>
  </si>
  <si>
    <t>546|445</t>
  </si>
  <si>
    <t>441|502</t>
  </si>
  <si>
    <t>490|599</t>
  </si>
  <si>
    <t>576|567</t>
  </si>
  <si>
    <t>553|534</t>
  </si>
  <si>
    <t>581|572</t>
  </si>
  <si>
    <t>530|429</t>
  </si>
  <si>
    <t>459|604</t>
  </si>
  <si>
    <t>569|485</t>
  </si>
  <si>
    <t>425|580</t>
  </si>
  <si>
    <t>529|427</t>
  </si>
  <si>
    <t>539|493</t>
  </si>
  <si>
    <t>434|423</t>
  </si>
  <si>
    <t>483|537</t>
  </si>
  <si>
    <t>420|497</t>
  </si>
  <si>
    <t>457|542</t>
  </si>
  <si>
    <t>565|408</t>
  </si>
  <si>
    <t>579|561</t>
  </si>
  <si>
    <t>491|463</t>
  </si>
  <si>
    <t>529|581</t>
  </si>
  <si>
    <t>521|546</t>
  </si>
  <si>
    <t>561|460</t>
  </si>
  <si>
    <t>450|523</t>
  </si>
  <si>
    <t>499|473</t>
  </si>
  <si>
    <t>606|470</t>
  </si>
  <si>
    <t>515|465</t>
  </si>
  <si>
    <t>450|475</t>
  </si>
  <si>
    <t>517|560</t>
  </si>
  <si>
    <t>471|500</t>
  </si>
  <si>
    <t>553|568</t>
  </si>
  <si>
    <t>460|405</t>
  </si>
  <si>
    <t>514|430</t>
  </si>
  <si>
    <t>522|490</t>
  </si>
  <si>
    <t>458|434</t>
  </si>
  <si>
    <t>569|467</t>
  </si>
  <si>
    <t>601|469</t>
  </si>
  <si>
    <t>466|569</t>
  </si>
  <si>
    <t>597|455</t>
  </si>
  <si>
    <t>494|457</t>
  </si>
  <si>
    <t>449|444</t>
  </si>
  <si>
    <t>488|569</t>
  </si>
  <si>
    <t>421|459</t>
  </si>
  <si>
    <t>587|552</t>
  </si>
  <si>
    <t>512|412</t>
  </si>
  <si>
    <t>521|554</t>
  </si>
  <si>
    <t>573|510</t>
  </si>
  <si>
    <t>568|565</t>
  </si>
  <si>
    <t>460|500</t>
  </si>
  <si>
    <t>469|457</t>
  </si>
  <si>
    <t>464|429</t>
  </si>
  <si>
    <t>428|564</t>
  </si>
  <si>
    <t>455|553</t>
  </si>
  <si>
    <t>459|553</t>
  </si>
  <si>
    <t>453|453</t>
  </si>
  <si>
    <t>545|551</t>
  </si>
  <si>
    <t>597|479</t>
  </si>
  <si>
    <t>440|465</t>
  </si>
  <si>
    <t>480|458</t>
  </si>
  <si>
    <t>445|498</t>
  </si>
  <si>
    <t>499|574</t>
  </si>
  <si>
    <t>472|479</t>
  </si>
  <si>
    <t>513|561</t>
  </si>
  <si>
    <t>543|563</t>
  </si>
  <si>
    <t>431|466</t>
  </si>
  <si>
    <t>428|517</t>
  </si>
  <si>
    <t>454|562</t>
  </si>
  <si>
    <t>491|422</t>
  </si>
  <si>
    <t>539|582</t>
  </si>
  <si>
    <t>489|553</t>
  </si>
  <si>
    <t>540|409</t>
  </si>
  <si>
    <t>453|518</t>
  </si>
  <si>
    <t>551|474</t>
  </si>
  <si>
    <t>500|470</t>
  </si>
  <si>
    <t>515|498</t>
  </si>
  <si>
    <t>455|597</t>
  </si>
  <si>
    <t>584|567</t>
  </si>
  <si>
    <t>466|483</t>
  </si>
  <si>
    <t>572|425</t>
  </si>
  <si>
    <t>469|534</t>
  </si>
  <si>
    <t>538|448</t>
  </si>
  <si>
    <t>413|453</t>
  </si>
  <si>
    <t>606|476</t>
  </si>
  <si>
    <t>515|564</t>
  </si>
  <si>
    <t>426|518</t>
  </si>
  <si>
    <t>591|568</t>
  </si>
  <si>
    <t>525|484</t>
  </si>
  <si>
    <t>531|550</t>
  </si>
  <si>
    <t>605|522</t>
  </si>
  <si>
    <t>479|464</t>
  </si>
  <si>
    <t>459|536</t>
  </si>
  <si>
    <t>505|497</t>
  </si>
  <si>
    <t>453|403</t>
  </si>
  <si>
    <t>472|542</t>
  </si>
  <si>
    <t>517|498</t>
  </si>
  <si>
    <t>472|526</t>
  </si>
  <si>
    <t>411|524</t>
  </si>
  <si>
    <t>491|533</t>
  </si>
  <si>
    <t>427|532</t>
  </si>
  <si>
    <t>492|428</t>
  </si>
  <si>
    <t>438|501</t>
  </si>
  <si>
    <t>468|572</t>
  </si>
  <si>
    <t>452|562</t>
  </si>
  <si>
    <t>539|538</t>
  </si>
  <si>
    <t>522|424</t>
  </si>
  <si>
    <t>469|520</t>
  </si>
  <si>
    <t>424|456</t>
  </si>
  <si>
    <t>454|557</t>
  </si>
  <si>
    <t>477|443</t>
  </si>
  <si>
    <t>449|522</t>
  </si>
  <si>
    <t>545|524</t>
  </si>
  <si>
    <t>456|538</t>
  </si>
  <si>
    <t>594|532</t>
  </si>
  <si>
    <t>458|603</t>
  </si>
  <si>
    <t>589|455</t>
  </si>
  <si>
    <t>522|501</t>
  </si>
  <si>
    <t>482|467</t>
  </si>
  <si>
    <t>564|511</t>
  </si>
  <si>
    <t>512|564</t>
  </si>
  <si>
    <t>458|439</t>
  </si>
  <si>
    <t>546|452</t>
  </si>
  <si>
    <t>407|458</t>
  </si>
  <si>
    <t>470|438</t>
  </si>
  <si>
    <t>488|498</t>
  </si>
  <si>
    <t>455|452</t>
  </si>
  <si>
    <t>546|474</t>
  </si>
  <si>
    <t>507|527</t>
  </si>
  <si>
    <t>438|481</t>
  </si>
  <si>
    <t>431|473</t>
  </si>
  <si>
    <t>546|488</t>
  </si>
  <si>
    <t>526|398</t>
  </si>
  <si>
    <t>541|507</t>
  </si>
  <si>
    <t>486|396</t>
  </si>
  <si>
    <t>502|394</t>
  </si>
  <si>
    <t>534|604</t>
  </si>
  <si>
    <t>482|442</t>
  </si>
  <si>
    <t>430|525</t>
  </si>
  <si>
    <t>557|541</t>
  </si>
  <si>
    <t>556|476</t>
  </si>
  <si>
    <t>435|538</t>
  </si>
  <si>
    <t>404|441</t>
  </si>
  <si>
    <t>403|545</t>
  </si>
  <si>
    <t>524|473</t>
  </si>
  <si>
    <t>565|470</t>
  </si>
  <si>
    <t>553|539</t>
  </si>
  <si>
    <t>478|594</t>
  </si>
  <si>
    <t>575|509</t>
  </si>
  <si>
    <t>451|553</t>
  </si>
  <si>
    <t>484|397</t>
  </si>
  <si>
    <t>427|559</t>
  </si>
  <si>
    <t>467|473</t>
  </si>
  <si>
    <t>574|560</t>
  </si>
  <si>
    <t>489|519</t>
  </si>
  <si>
    <t>445|593</t>
  </si>
  <si>
    <t>422|512</t>
  </si>
  <si>
    <t>520|389</t>
  </si>
  <si>
    <t>446|531</t>
  </si>
  <si>
    <t>509|447</t>
  </si>
  <si>
    <t>498|518</t>
  </si>
  <si>
    <t>421|518</t>
  </si>
  <si>
    <t>503|454</t>
  </si>
  <si>
    <t>528|440</t>
  </si>
  <si>
    <t>439|541</t>
  </si>
  <si>
    <t>411|551</t>
  </si>
  <si>
    <t>453|560</t>
  </si>
  <si>
    <t>560|497</t>
  </si>
  <si>
    <t>438|460</t>
  </si>
  <si>
    <t>562|510</t>
  </si>
  <si>
    <t>544|554</t>
  </si>
  <si>
    <t>471|523</t>
  </si>
  <si>
    <t>497|534</t>
  </si>
  <si>
    <t>441|510</t>
  </si>
  <si>
    <t>512|416</t>
  </si>
  <si>
    <t>407|544</t>
  </si>
  <si>
    <t>445|506</t>
  </si>
  <si>
    <t>462|461</t>
  </si>
  <si>
    <t>471|521</t>
  </si>
  <si>
    <t>537|429</t>
  </si>
  <si>
    <t>493|420</t>
  </si>
  <si>
    <t>588|466</t>
  </si>
  <si>
    <t>464|515</t>
  </si>
  <si>
    <t>484|429</t>
  </si>
  <si>
    <t>453|444</t>
  </si>
  <si>
    <t>512|548</t>
  </si>
  <si>
    <t>486|444</t>
  </si>
  <si>
    <t>547|440</t>
  </si>
  <si>
    <t>507|577</t>
  </si>
  <si>
    <t>501|495</t>
  </si>
  <si>
    <t>508|401</t>
  </si>
  <si>
    <t>485|457</t>
  </si>
  <si>
    <t>442|499</t>
  </si>
  <si>
    <t>561|410</t>
  </si>
  <si>
    <t>600|468</t>
  </si>
  <si>
    <t>405|462</t>
  </si>
  <si>
    <t>540|485</t>
  </si>
  <si>
    <t>592|516</t>
  </si>
  <si>
    <t>506|435</t>
  </si>
  <si>
    <t>427|535</t>
  </si>
  <si>
    <t>576|445</t>
  </si>
  <si>
    <t>589|447</t>
  </si>
  <si>
    <t>413|542</t>
  </si>
  <si>
    <t>448|442</t>
  </si>
  <si>
    <t>430|490</t>
  </si>
  <si>
    <t>437|530</t>
  </si>
  <si>
    <t>481|445</t>
  </si>
  <si>
    <t>553|472</t>
  </si>
  <si>
    <t>454|506</t>
  </si>
  <si>
    <t>414|533</t>
  </si>
  <si>
    <t>468|428</t>
  </si>
  <si>
    <t>486|429</t>
  </si>
  <si>
    <t>562|516</t>
  </si>
  <si>
    <t>413|537</t>
  </si>
  <si>
    <t>464|447</t>
  </si>
  <si>
    <t>551|548</t>
  </si>
  <si>
    <t>469|446</t>
  </si>
  <si>
    <t>572|509</t>
  </si>
  <si>
    <t>424|477</t>
  </si>
  <si>
    <t>521|432</t>
  </si>
  <si>
    <t>506|396</t>
  </si>
  <si>
    <t>578|490</t>
  </si>
  <si>
    <t>421|486</t>
  </si>
  <si>
    <t>407|462</t>
  </si>
  <si>
    <t>468|518</t>
  </si>
  <si>
    <t>454|455</t>
  </si>
  <si>
    <t>560|568</t>
  </si>
  <si>
    <t>476|454</t>
  </si>
  <si>
    <t>426|508</t>
  </si>
  <si>
    <t>602|460</t>
  </si>
  <si>
    <t>442|462</t>
  </si>
  <si>
    <t>464|437</t>
  </si>
  <si>
    <t>482|495</t>
  </si>
  <si>
    <t>495|579</t>
  </si>
  <si>
    <t>528|607</t>
  </si>
  <si>
    <t>411|539</t>
  </si>
  <si>
    <t>488|553</t>
  </si>
  <si>
    <t>518|528</t>
  </si>
  <si>
    <t>426|477</t>
  </si>
  <si>
    <t>470|554</t>
  </si>
  <si>
    <t>412|547</t>
  </si>
  <si>
    <t>491|557</t>
  </si>
  <si>
    <t>546|508</t>
  </si>
  <si>
    <t>477|432</t>
  </si>
  <si>
    <t>538|441</t>
  </si>
  <si>
    <t>478|560</t>
  </si>
  <si>
    <t>568|575</t>
  </si>
  <si>
    <t>563|509</t>
  </si>
  <si>
    <t>546|515</t>
  </si>
  <si>
    <t>508|584</t>
  </si>
  <si>
    <t>528|431</t>
  </si>
  <si>
    <t>460|472</t>
  </si>
  <si>
    <t>417|529</t>
  </si>
  <si>
    <t>468|560</t>
  </si>
  <si>
    <t>449|453</t>
  </si>
  <si>
    <t>415|438</t>
  </si>
  <si>
    <t>496|441</t>
  </si>
  <si>
    <t>515|471</t>
  </si>
  <si>
    <t>405|503</t>
  </si>
  <si>
    <t>571|529</t>
  </si>
  <si>
    <t>569|461</t>
  </si>
  <si>
    <t>479|433</t>
  </si>
  <si>
    <t>567|515</t>
  </si>
  <si>
    <t>572|568</t>
  </si>
  <si>
    <t>454|497</t>
  </si>
  <si>
    <t>548|455</t>
  </si>
  <si>
    <t>546|527</t>
  </si>
  <si>
    <t>441|490</t>
  </si>
  <si>
    <t>437|540</t>
  </si>
  <si>
    <t>595|457</t>
  </si>
  <si>
    <t>492|610</t>
  </si>
  <si>
    <t>587|459</t>
  </si>
  <si>
    <t>426|523</t>
  </si>
  <si>
    <t>419|568</t>
  </si>
  <si>
    <t>428|573</t>
  </si>
  <si>
    <t>514|458</t>
  </si>
  <si>
    <t>569|571</t>
  </si>
  <si>
    <t>447|488</t>
  </si>
  <si>
    <t>551|521</t>
  </si>
  <si>
    <t>445|535</t>
  </si>
  <si>
    <t>491|413</t>
  </si>
  <si>
    <t>526|601</t>
  </si>
  <si>
    <t>562|461</t>
  </si>
  <si>
    <t>603|469</t>
  </si>
  <si>
    <t>596|464</t>
  </si>
  <si>
    <t>461|445</t>
  </si>
  <si>
    <t>482|512</t>
  </si>
  <si>
    <t>540|553</t>
  </si>
  <si>
    <t>465|488</t>
  </si>
  <si>
    <t>443|521</t>
  </si>
  <si>
    <t>493|533</t>
  </si>
  <si>
    <t>487|560</t>
  </si>
  <si>
    <t>571|442</t>
  </si>
  <si>
    <t>480|605</t>
  </si>
  <si>
    <t>468|541</t>
  </si>
  <si>
    <t>442|503</t>
  </si>
  <si>
    <t>434|587</t>
  </si>
  <si>
    <t>439|533</t>
  </si>
  <si>
    <t>495|512</t>
  </si>
  <si>
    <t>474|443</t>
  </si>
  <si>
    <t>510|501</t>
  </si>
  <si>
    <t>601|461</t>
  </si>
  <si>
    <t>536|569</t>
  </si>
  <si>
    <t>587|549</t>
  </si>
  <si>
    <t>497|426</t>
  </si>
  <si>
    <t>576|529</t>
  </si>
  <si>
    <t>515|585</t>
  </si>
  <si>
    <t>462|436</t>
  </si>
  <si>
    <t>495|577</t>
  </si>
  <si>
    <t>565|502</t>
  </si>
  <si>
    <t>473|477</t>
  </si>
  <si>
    <t>481|423</t>
  </si>
  <si>
    <t>570|415</t>
  </si>
  <si>
    <t>492|547</t>
  </si>
  <si>
    <t>446|537</t>
  </si>
  <si>
    <t>529|551</t>
  </si>
  <si>
    <t>510|542</t>
  </si>
  <si>
    <t>518|438</t>
  </si>
  <si>
    <t>421|576</t>
  </si>
  <si>
    <t>443|445</t>
  </si>
  <si>
    <t>577|560</t>
  </si>
  <si>
    <t>513|574</t>
  </si>
  <si>
    <t>578|505</t>
  </si>
  <si>
    <t>493|578</t>
  </si>
  <si>
    <t>528|426</t>
  </si>
  <si>
    <t>538|501</t>
  </si>
  <si>
    <t>434|485</t>
  </si>
  <si>
    <t>453|545</t>
  </si>
  <si>
    <t>445|443</t>
  </si>
  <si>
    <t>445|503</t>
  </si>
  <si>
    <t>430|470</t>
  </si>
  <si>
    <t>442|539</t>
  </si>
  <si>
    <t>556|469</t>
  </si>
  <si>
    <t>481|438</t>
  </si>
  <si>
    <t>586|473</t>
  </si>
  <si>
    <t>582|460</t>
  </si>
  <si>
    <t>528|471</t>
  </si>
  <si>
    <t>491|508</t>
  </si>
  <si>
    <t>436|457</t>
  </si>
  <si>
    <t>477|439</t>
  </si>
  <si>
    <t>405|466</t>
  </si>
  <si>
    <t>496|496</t>
  </si>
  <si>
    <t>467|557</t>
  </si>
  <si>
    <t>556|449</t>
  </si>
  <si>
    <t>548|459</t>
  </si>
  <si>
    <t>533|532</t>
  </si>
  <si>
    <t>540|493</t>
  </si>
  <si>
    <t>423|530</t>
  </si>
  <si>
    <t>453|599</t>
  </si>
  <si>
    <t>462|540</t>
  </si>
  <si>
    <t>578|506</t>
  </si>
  <si>
    <t>591|540</t>
  </si>
  <si>
    <t>554|552</t>
  </si>
  <si>
    <t>533|493</t>
  </si>
  <si>
    <t>467|433</t>
  </si>
  <si>
    <t>482|430</t>
  </si>
  <si>
    <t>473|555</t>
  </si>
  <si>
    <t>448|446</t>
  </si>
  <si>
    <t>457|472</t>
  </si>
  <si>
    <t>492|442</t>
  </si>
  <si>
    <t>462|464</t>
  </si>
  <si>
    <t>453|410</t>
  </si>
  <si>
    <t>569|484</t>
  </si>
  <si>
    <t>463|569</t>
  </si>
  <si>
    <t>566|575</t>
  </si>
  <si>
    <t>526|480</t>
  </si>
  <si>
    <t>537|450</t>
  </si>
  <si>
    <t>456|420</t>
  </si>
  <si>
    <t>489|533</t>
  </si>
  <si>
    <t>426|457</t>
  </si>
  <si>
    <t>585|546</t>
  </si>
  <si>
    <t>449|555</t>
  </si>
  <si>
    <t>551|529</t>
  </si>
  <si>
    <t>508|581</t>
  </si>
  <si>
    <t>403|517</t>
  </si>
  <si>
    <t>482|608</t>
  </si>
  <si>
    <t>467|569</t>
  </si>
  <si>
    <t>569|531</t>
  </si>
  <si>
    <t>543|550</t>
  </si>
  <si>
    <t>531|460</t>
  </si>
  <si>
    <t>445|446</t>
  </si>
  <si>
    <t>597|515</t>
  </si>
  <si>
    <t>562|569</t>
  </si>
  <si>
    <t>471|590</t>
  </si>
  <si>
    <t>513|576</t>
  </si>
  <si>
    <t>528|556</t>
  </si>
  <si>
    <t>508|547</t>
  </si>
  <si>
    <t>442|535</t>
  </si>
  <si>
    <t>399|508</t>
  </si>
  <si>
    <t>545|560</t>
  </si>
  <si>
    <t>538|599</t>
  </si>
  <si>
    <t>404|448</t>
  </si>
  <si>
    <t>468|509</t>
  </si>
  <si>
    <t>535|448</t>
  </si>
  <si>
    <t>606|511</t>
  </si>
  <si>
    <t>444|492</t>
  </si>
  <si>
    <t>490|423</t>
  </si>
  <si>
    <t>542|563</t>
  </si>
  <si>
    <t>436|527</t>
  </si>
  <si>
    <t>594|446</t>
  </si>
  <si>
    <t>495|437</t>
  </si>
  <si>
    <t>437|544</t>
  </si>
  <si>
    <t>520|532</t>
  </si>
  <si>
    <t>522|475</t>
  </si>
  <si>
    <t>458|524</t>
  </si>
  <si>
    <t>535|471</t>
  </si>
  <si>
    <t>405|513</t>
  </si>
  <si>
    <t>536|463</t>
  </si>
  <si>
    <t>569|540</t>
  </si>
  <si>
    <t>479|572</t>
  </si>
  <si>
    <t>443|481</t>
  </si>
  <si>
    <t>482|438</t>
  </si>
  <si>
    <t>424|484</t>
  </si>
  <si>
    <t>415|533</t>
  </si>
  <si>
    <t>439|425</t>
  </si>
  <si>
    <t>493|408</t>
  </si>
  <si>
    <t>428|417</t>
  </si>
  <si>
    <t>417|466</t>
  </si>
  <si>
    <t>522|422</t>
  </si>
  <si>
    <t>592|487</t>
  </si>
  <si>
    <t>517|519</t>
  </si>
  <si>
    <t>538|536</t>
  </si>
  <si>
    <t>534|510</t>
  </si>
  <si>
    <t>494|463</t>
  </si>
  <si>
    <t>474|527</t>
  </si>
  <si>
    <t>501|484</t>
  </si>
  <si>
    <t>469|504</t>
  </si>
  <si>
    <t>560|527</t>
  </si>
  <si>
    <t>563|459</t>
  </si>
  <si>
    <t>447|448</t>
  </si>
  <si>
    <t>588|443</t>
  </si>
  <si>
    <t>445|551</t>
  </si>
  <si>
    <t>500|606</t>
  </si>
  <si>
    <t>546|435</t>
  </si>
  <si>
    <t>540|555</t>
  </si>
  <si>
    <t>452|488</t>
  </si>
  <si>
    <t>463|523</t>
  </si>
  <si>
    <t>509|568</t>
  </si>
  <si>
    <t>437|490</t>
  </si>
  <si>
    <t>549|456</t>
  </si>
  <si>
    <t>559|512</t>
  </si>
  <si>
    <t>494|450</t>
  </si>
  <si>
    <t>441|445</t>
  </si>
  <si>
    <t>542|436</t>
  </si>
  <si>
    <t>470|428</t>
  </si>
  <si>
    <t>443|585</t>
  </si>
  <si>
    <t>442|507</t>
  </si>
  <si>
    <t>405|497</t>
  </si>
  <si>
    <t>467|606</t>
  </si>
  <si>
    <t>465|446</t>
  </si>
  <si>
    <t>579|519</t>
  </si>
  <si>
    <t>472|547</t>
  </si>
  <si>
    <t>531|404</t>
  </si>
  <si>
    <t>479|553</t>
  </si>
  <si>
    <t>473|432</t>
  </si>
  <si>
    <t>401|472</t>
  </si>
  <si>
    <t>516|402</t>
  </si>
  <si>
    <t>532|522</t>
  </si>
  <si>
    <t>455|542</t>
  </si>
  <si>
    <t>536|451</t>
  </si>
  <si>
    <t>454|501</t>
  </si>
  <si>
    <t>513|535</t>
  </si>
  <si>
    <t>546|551</t>
  </si>
  <si>
    <t>501|403</t>
  </si>
  <si>
    <t>562|539</t>
  </si>
  <si>
    <t>498|576</t>
  </si>
  <si>
    <t>533|435</t>
  </si>
  <si>
    <t>497|427</t>
  </si>
  <si>
    <t>424|515</t>
  </si>
  <si>
    <t>541|401</t>
  </si>
  <si>
    <t>547|488</t>
  </si>
  <si>
    <t>526|426</t>
  </si>
  <si>
    <t>607|503</t>
  </si>
  <si>
    <t>471|476</t>
  </si>
  <si>
    <t>436|496</t>
  </si>
  <si>
    <t>480|545</t>
  </si>
  <si>
    <t>571|470</t>
  </si>
  <si>
    <t>505|564</t>
  </si>
  <si>
    <t>441|506</t>
  </si>
  <si>
    <t>534|533</t>
  </si>
  <si>
    <t>536|570</t>
  </si>
  <si>
    <t>509|560</t>
  </si>
  <si>
    <t>547|544</t>
  </si>
  <si>
    <t>465|571</t>
  </si>
  <si>
    <t>435|542</t>
  </si>
  <si>
    <t>514|543</t>
  </si>
  <si>
    <t>502|430</t>
  </si>
  <si>
    <t>582|458</t>
  </si>
  <si>
    <t>506|542</t>
  </si>
  <si>
    <t>513|454</t>
  </si>
  <si>
    <t>455|566</t>
  </si>
  <si>
    <t>410|547</t>
  </si>
  <si>
    <t>455|507</t>
  </si>
  <si>
    <t>440|485</t>
  </si>
  <si>
    <t>427|481</t>
  </si>
  <si>
    <t>519|450</t>
  </si>
  <si>
    <t>470|532</t>
  </si>
  <si>
    <t>568|450</t>
  </si>
  <si>
    <t>426|580</t>
  </si>
  <si>
    <t>454|592</t>
  </si>
  <si>
    <t>404|498</t>
  </si>
  <si>
    <t>591|522</t>
  </si>
  <si>
    <t>489|445</t>
  </si>
  <si>
    <t>554|452</t>
  </si>
  <si>
    <t>498|411</t>
  </si>
  <si>
    <t>560|476</t>
  </si>
  <si>
    <t>457|560</t>
  </si>
  <si>
    <t>544|524</t>
  </si>
  <si>
    <t>564|509</t>
  </si>
  <si>
    <t>544|493</t>
  </si>
  <si>
    <t>413|538</t>
  </si>
  <si>
    <t>531|517</t>
  </si>
  <si>
    <t>524|467</t>
  </si>
  <si>
    <t>565|504</t>
  </si>
  <si>
    <t>463|462</t>
  </si>
  <si>
    <t>557|519</t>
  </si>
  <si>
    <t>560|576</t>
  </si>
  <si>
    <t>501|491</t>
  </si>
  <si>
    <t>535|558</t>
  </si>
  <si>
    <t>407|463</t>
  </si>
  <si>
    <t>460|465</t>
  </si>
  <si>
    <t>522|485</t>
  </si>
  <si>
    <t>427|536</t>
  </si>
  <si>
    <t>495|517</t>
  </si>
  <si>
    <t>469|463</t>
  </si>
  <si>
    <t>392|488</t>
  </si>
  <si>
    <t>452|444</t>
  </si>
  <si>
    <t>410|454</t>
  </si>
  <si>
    <t>428|500</t>
  </si>
  <si>
    <t>541|568</t>
  </si>
  <si>
    <t>560|452</t>
  </si>
  <si>
    <t>444|462</t>
  </si>
  <si>
    <t>456|491</t>
  </si>
  <si>
    <t>554|526</t>
  </si>
  <si>
    <t>475|450</t>
  </si>
  <si>
    <t>488|600</t>
  </si>
  <si>
    <t>427|579</t>
  </si>
  <si>
    <t>565|507</t>
  </si>
  <si>
    <t>494|473</t>
  </si>
  <si>
    <t>449|517</t>
  </si>
  <si>
    <t>514|429</t>
  </si>
  <si>
    <t>423|513</t>
  </si>
  <si>
    <t>417|540</t>
  </si>
  <si>
    <t>570|496</t>
  </si>
  <si>
    <t>439|503</t>
  </si>
  <si>
    <t>465|503</t>
  </si>
  <si>
    <t>421|488</t>
  </si>
  <si>
    <t>466|458</t>
  </si>
  <si>
    <t>525|575</t>
  </si>
  <si>
    <t>399|522</t>
  </si>
  <si>
    <t>448|459</t>
  </si>
  <si>
    <t>448|484</t>
  </si>
  <si>
    <t>603|508</t>
  </si>
  <si>
    <t>470|455</t>
  </si>
  <si>
    <t>466|604</t>
  </si>
  <si>
    <t>505|455</t>
  </si>
  <si>
    <t>543|417</t>
  </si>
  <si>
    <t>401|514</t>
  </si>
  <si>
    <t>506|434</t>
  </si>
  <si>
    <t>536|435</t>
  </si>
  <si>
    <t>410|514</t>
  </si>
  <si>
    <t>521|576</t>
  </si>
  <si>
    <t>405|519</t>
  </si>
  <si>
    <t>449|560</t>
  </si>
  <si>
    <t>451|444</t>
  </si>
  <si>
    <t>487|573</t>
  </si>
  <si>
    <t>395|517</t>
  </si>
  <si>
    <t>512|560</t>
  </si>
  <si>
    <t>415|547</t>
  </si>
  <si>
    <t>608|486</t>
  </si>
  <si>
    <t>524|421</t>
  </si>
  <si>
    <t>464|544</t>
  </si>
  <si>
    <t>465|531</t>
  </si>
  <si>
    <t>463|469</t>
  </si>
  <si>
    <t>505|477</t>
  </si>
  <si>
    <t>453|458</t>
  </si>
  <si>
    <t>468|558</t>
  </si>
  <si>
    <t>484|407</t>
  </si>
  <si>
    <t>396|498</t>
  </si>
  <si>
    <t>528|563</t>
  </si>
  <si>
    <t>528|546</t>
  </si>
  <si>
    <t>565|530</t>
  </si>
  <si>
    <t>592|466</t>
  </si>
  <si>
    <t>481|494</t>
  </si>
  <si>
    <t>516|523</t>
  </si>
  <si>
    <t>575|461</t>
  </si>
  <si>
    <t>501|548</t>
  </si>
  <si>
    <t>433|497</t>
  </si>
  <si>
    <t>417|532</t>
  </si>
  <si>
    <t>405|527</t>
  </si>
  <si>
    <t>460|494</t>
  </si>
  <si>
    <t>548|510</t>
  </si>
  <si>
    <t>478|428</t>
  </si>
  <si>
    <t>474|434</t>
  </si>
  <si>
    <t>527|422</t>
  </si>
  <si>
    <t>527|412</t>
  </si>
  <si>
    <t>479|501</t>
  </si>
  <si>
    <t>547|468</t>
  </si>
  <si>
    <t>433|448</t>
  </si>
  <si>
    <t>458|431</t>
  </si>
  <si>
    <t>466|462</t>
  </si>
  <si>
    <t>600|534</t>
  </si>
  <si>
    <t>471|454</t>
  </si>
  <si>
    <t>504|451</t>
  </si>
  <si>
    <t>538|525</t>
  </si>
  <si>
    <t>527|555</t>
  </si>
  <si>
    <t>398|521</t>
  </si>
  <si>
    <t>478|451</t>
  </si>
  <si>
    <t>578|555</t>
  </si>
  <si>
    <t>589|464</t>
  </si>
  <si>
    <t>509|567</t>
  </si>
  <si>
    <t>459|434</t>
  </si>
  <si>
    <t>428|465</t>
  </si>
  <si>
    <t>570|482</t>
  </si>
  <si>
    <t>400|524</t>
  </si>
  <si>
    <t>450|455</t>
  </si>
  <si>
    <t>586|563</t>
  </si>
  <si>
    <t>445|423</t>
  </si>
  <si>
    <t>419|533</t>
  </si>
  <si>
    <t>448|510</t>
  </si>
  <si>
    <t>532|545</t>
  </si>
  <si>
    <t>546|601</t>
  </si>
  <si>
    <t>540|570</t>
  </si>
  <si>
    <t>466|560</t>
  </si>
  <si>
    <t>570|514</t>
  </si>
  <si>
    <t>546|438</t>
  </si>
  <si>
    <t>577|430</t>
  </si>
  <si>
    <t>562|479</t>
  </si>
  <si>
    <t>444|536</t>
  </si>
  <si>
    <t>539|442</t>
  </si>
  <si>
    <t>435|487</t>
  </si>
  <si>
    <t>545|427</t>
  </si>
  <si>
    <t>429|521</t>
  </si>
  <si>
    <t>469|509</t>
  </si>
  <si>
    <t>558|556</t>
  </si>
  <si>
    <t>470|519</t>
  </si>
  <si>
    <t>453|598</t>
  </si>
  <si>
    <t>485|563</t>
  </si>
  <si>
    <t>455|563</t>
  </si>
  <si>
    <t>420|439</t>
  </si>
  <si>
    <t>460|583</t>
  </si>
  <si>
    <t>498|574</t>
  </si>
  <si>
    <t>437|433</t>
  </si>
  <si>
    <t>473|503</t>
  </si>
  <si>
    <t>475|535</t>
  </si>
  <si>
    <t>434|518</t>
  </si>
  <si>
    <t>503|443</t>
  </si>
  <si>
    <t>489|439</t>
  </si>
  <si>
    <t>451|562</t>
  </si>
  <si>
    <t>479|443</t>
  </si>
  <si>
    <t>487|558</t>
  </si>
  <si>
    <t>400|499</t>
  </si>
  <si>
    <t>567|563</t>
  </si>
  <si>
    <t>517|509</t>
  </si>
  <si>
    <t>544|472</t>
  </si>
  <si>
    <t>406|505</t>
  </si>
  <si>
    <t>483|452</t>
  </si>
  <si>
    <t>491|511</t>
  </si>
  <si>
    <t>582|440</t>
  </si>
  <si>
    <t>424|443</t>
  </si>
  <si>
    <t>403|518</t>
  </si>
  <si>
    <t>428|513</t>
  </si>
  <si>
    <t>403|521</t>
  </si>
  <si>
    <t>534|394</t>
  </si>
  <si>
    <t>584|551</t>
  </si>
  <si>
    <t>400|521</t>
  </si>
  <si>
    <t>578|493</t>
  </si>
  <si>
    <t>425|427</t>
  </si>
  <si>
    <t>572|582</t>
  </si>
  <si>
    <t>424|508</t>
  </si>
  <si>
    <t>477|444</t>
  </si>
  <si>
    <t>462|577</t>
  </si>
  <si>
    <t>445|428</t>
  </si>
  <si>
    <t>527|552</t>
  </si>
  <si>
    <t>599|513</t>
  </si>
  <si>
    <t>446|562</t>
  </si>
  <si>
    <t>473|453</t>
  </si>
  <si>
    <t>567|581</t>
  </si>
  <si>
    <t>555|537</t>
  </si>
  <si>
    <t>563|583</t>
  </si>
  <si>
    <t>441|514</t>
  </si>
  <si>
    <t>440|484</t>
  </si>
  <si>
    <t>486|426</t>
  </si>
  <si>
    <t>545|531</t>
  </si>
  <si>
    <t>597|483</t>
  </si>
  <si>
    <t>592|468</t>
  </si>
  <si>
    <t>571|492</t>
  </si>
  <si>
    <t>502|567</t>
  </si>
  <si>
    <t>413|429</t>
  </si>
  <si>
    <t>514|608</t>
  </si>
  <si>
    <t>605|489</t>
  </si>
  <si>
    <t>510|474</t>
  </si>
  <si>
    <t>599|464</t>
  </si>
  <si>
    <t>509|433</t>
  </si>
  <si>
    <t>472|600</t>
  </si>
  <si>
    <t>424|503</t>
  </si>
  <si>
    <t>542|460</t>
  </si>
  <si>
    <t>500|465</t>
  </si>
  <si>
    <t>531|426</t>
  </si>
  <si>
    <t>458|554</t>
  </si>
  <si>
    <t>454|552</t>
  </si>
  <si>
    <t>570|495</t>
  </si>
  <si>
    <t>547|500</t>
  </si>
  <si>
    <t>506|553</t>
  </si>
  <si>
    <t>543|534</t>
  </si>
  <si>
    <t>483|576</t>
  </si>
  <si>
    <t>546|541</t>
  </si>
  <si>
    <t>549|502</t>
  </si>
  <si>
    <t>506|561</t>
  </si>
  <si>
    <t>504|499</t>
  </si>
  <si>
    <t>451|557</t>
  </si>
  <si>
    <t>440|490</t>
  </si>
  <si>
    <t>522|425</t>
  </si>
  <si>
    <t>449|528</t>
  </si>
  <si>
    <t>502|564</t>
  </si>
  <si>
    <t>446|428</t>
  </si>
  <si>
    <t>579|557</t>
  </si>
  <si>
    <t>460|469</t>
  </si>
  <si>
    <t>482|536</t>
  </si>
  <si>
    <t>446|461</t>
  </si>
  <si>
    <t>511|480</t>
  </si>
  <si>
    <t>494|478</t>
  </si>
  <si>
    <t>499|604</t>
  </si>
  <si>
    <t>448|558</t>
  </si>
  <si>
    <t>489|440</t>
  </si>
  <si>
    <t>415|529</t>
  </si>
  <si>
    <t>473|606</t>
  </si>
  <si>
    <t>538|469</t>
  </si>
  <si>
    <t>464|564</t>
  </si>
  <si>
    <t>543|498</t>
  </si>
  <si>
    <t>463|403</t>
  </si>
  <si>
    <t>581|522</t>
  </si>
  <si>
    <t>548|407</t>
  </si>
  <si>
    <t>465|574</t>
  </si>
  <si>
    <t>604|466</t>
  </si>
  <si>
    <t>511|540</t>
  </si>
  <si>
    <t>519|535</t>
  </si>
  <si>
    <t>564|523</t>
  </si>
  <si>
    <t>564|512</t>
  </si>
  <si>
    <t>464|463</t>
  </si>
  <si>
    <t>539|508</t>
  </si>
  <si>
    <t>485|600</t>
  </si>
  <si>
    <t>398|512</t>
  </si>
  <si>
    <t>422|421</t>
  </si>
  <si>
    <t>567|430</t>
  </si>
  <si>
    <t>451|476</t>
  </si>
  <si>
    <t>606|499</t>
  </si>
  <si>
    <t>421|538</t>
  </si>
  <si>
    <t>587|442</t>
  </si>
  <si>
    <t>460|402</t>
  </si>
  <si>
    <t>461|584</t>
  </si>
  <si>
    <t>537|541</t>
  </si>
  <si>
    <t>489|580</t>
  </si>
  <si>
    <t>523|566</t>
  </si>
  <si>
    <t>448|429</t>
  </si>
  <si>
    <t>524|494</t>
  </si>
  <si>
    <t>477|534</t>
  </si>
  <si>
    <t>511|555</t>
  </si>
  <si>
    <t>401|458</t>
  </si>
  <si>
    <t>421|485</t>
  </si>
  <si>
    <t>439|519</t>
  </si>
  <si>
    <t>454|546</t>
  </si>
  <si>
    <t>465|494</t>
  </si>
  <si>
    <t>454|528</t>
  </si>
  <si>
    <t>601|554</t>
  </si>
  <si>
    <t>443|506</t>
  </si>
  <si>
    <t>526|460</t>
  </si>
  <si>
    <t>476|534</t>
  </si>
  <si>
    <t>440|455</t>
  </si>
  <si>
    <t>462|513</t>
  </si>
  <si>
    <t>611|491</t>
  </si>
  <si>
    <t>488|580</t>
  </si>
  <si>
    <t>409|496</t>
  </si>
  <si>
    <t>471|418</t>
  </si>
  <si>
    <t>476|492</t>
  </si>
  <si>
    <t>468|555</t>
  </si>
  <si>
    <t>445|462</t>
  </si>
  <si>
    <t>537|408</t>
  </si>
  <si>
    <t>571|538</t>
  </si>
  <si>
    <t>551|490</t>
  </si>
  <si>
    <t>490|486</t>
  </si>
  <si>
    <t>566|507</t>
  </si>
  <si>
    <t>429|532</t>
  </si>
  <si>
    <t>438|531</t>
  </si>
  <si>
    <t>449|508</t>
  </si>
  <si>
    <t>439|515</t>
  </si>
  <si>
    <t>475|527</t>
  </si>
  <si>
    <t>489|546</t>
  </si>
  <si>
    <t>423|487</t>
  </si>
  <si>
    <t>498|597</t>
  </si>
  <si>
    <t>432|425</t>
  </si>
  <si>
    <t>416|473</t>
  </si>
  <si>
    <t>573|508</t>
  </si>
  <si>
    <t>408|540</t>
  </si>
  <si>
    <t>425|544</t>
  </si>
  <si>
    <t>431|478</t>
  </si>
  <si>
    <t>504|471</t>
  </si>
  <si>
    <t>455|541</t>
  </si>
  <si>
    <t>522|533</t>
  </si>
  <si>
    <t>505|525</t>
  </si>
  <si>
    <t>514|453</t>
  </si>
  <si>
    <t>511|579</t>
  </si>
  <si>
    <t>569|465</t>
  </si>
  <si>
    <t>506|509</t>
  </si>
  <si>
    <t>473|502</t>
  </si>
  <si>
    <t>443|456</t>
  </si>
  <si>
    <t>456|579</t>
  </si>
  <si>
    <t>430|531</t>
  </si>
  <si>
    <t>489|429</t>
  </si>
  <si>
    <t>590|439</t>
  </si>
  <si>
    <t>445|500</t>
  </si>
  <si>
    <t>561|509</t>
  </si>
  <si>
    <t>473|514</t>
  </si>
  <si>
    <t>486|449</t>
  </si>
  <si>
    <t>449|592</t>
  </si>
  <si>
    <t>459|520</t>
  </si>
  <si>
    <t>500|564</t>
  </si>
  <si>
    <t>553|551</t>
  </si>
  <si>
    <t>522|426</t>
  </si>
  <si>
    <t>521|535</t>
  </si>
  <si>
    <t>401|450</t>
  </si>
  <si>
    <t>464|553</t>
  </si>
  <si>
    <t>404|466</t>
  </si>
  <si>
    <t>443|509</t>
  </si>
  <si>
    <t>554|559</t>
  </si>
  <si>
    <t>599|515</t>
  </si>
  <si>
    <t>582|570</t>
  </si>
  <si>
    <t>485|441</t>
  </si>
  <si>
    <t>504|431</t>
  </si>
  <si>
    <t>455|551</t>
  </si>
  <si>
    <t>525|605</t>
  </si>
  <si>
    <t>584|430</t>
  </si>
  <si>
    <t>471|542</t>
  </si>
  <si>
    <t>524|431</t>
  </si>
  <si>
    <t>425|512</t>
  </si>
  <si>
    <t>595|538</t>
  </si>
  <si>
    <t>441|499</t>
  </si>
  <si>
    <t>415|471</t>
  </si>
  <si>
    <t>424|530</t>
  </si>
  <si>
    <t>473|527</t>
  </si>
  <si>
    <t>411|460</t>
  </si>
  <si>
    <t>529|463</t>
  </si>
  <si>
    <t>443|542</t>
  </si>
  <si>
    <t>498|515</t>
  </si>
  <si>
    <t>483|544</t>
  </si>
  <si>
    <t>434|462</t>
  </si>
  <si>
    <t>505|561</t>
  </si>
  <si>
    <t>531|453</t>
  </si>
  <si>
    <t>511|471</t>
  </si>
  <si>
    <t>596|469</t>
  </si>
  <si>
    <t>518|515</t>
  </si>
  <si>
    <t>516|471</t>
  </si>
  <si>
    <t>418|569</t>
  </si>
  <si>
    <t>599|466</t>
  </si>
  <si>
    <t>452|553</t>
  </si>
  <si>
    <t>428|490</t>
  </si>
  <si>
    <t>421|512</t>
  </si>
  <si>
    <t>568|526</t>
  </si>
  <si>
    <t>428|420</t>
  </si>
  <si>
    <t>449|427</t>
  </si>
  <si>
    <t>575|521</t>
  </si>
  <si>
    <t>480|435</t>
  </si>
  <si>
    <t>475|506</t>
  </si>
  <si>
    <t>460|507</t>
  </si>
  <si>
    <t>422|506</t>
  </si>
  <si>
    <t>581|556</t>
  </si>
  <si>
    <t>469|499</t>
  </si>
  <si>
    <t>498|567</t>
  </si>
  <si>
    <t>433|423</t>
  </si>
  <si>
    <t>503|557</t>
  </si>
  <si>
    <t>606|465</t>
  </si>
  <si>
    <t>469|528</t>
  </si>
  <si>
    <t>527|556</t>
  </si>
  <si>
    <t>504|580</t>
  </si>
  <si>
    <t>484|421</t>
  </si>
  <si>
    <t>477|457</t>
  </si>
  <si>
    <t>534|471</t>
  </si>
  <si>
    <t>579|425</t>
  </si>
  <si>
    <t>482|436</t>
  </si>
  <si>
    <t>558|498</t>
  </si>
  <si>
    <t>447|595</t>
  </si>
  <si>
    <t>489|600</t>
  </si>
  <si>
    <t>490|554</t>
  </si>
  <si>
    <t>434|537</t>
  </si>
  <si>
    <t>595|463</t>
  </si>
  <si>
    <t>575|477</t>
  </si>
  <si>
    <t>516|417</t>
  </si>
  <si>
    <t>477|568</t>
  </si>
  <si>
    <t>497|553</t>
  </si>
  <si>
    <t>542|490</t>
  </si>
  <si>
    <t>441|549</t>
  </si>
  <si>
    <t>466|435</t>
  </si>
  <si>
    <t>472|606</t>
  </si>
  <si>
    <t>536|480</t>
  </si>
  <si>
    <t>521|536</t>
  </si>
  <si>
    <t>557|450</t>
  </si>
  <si>
    <t>549|518</t>
  </si>
  <si>
    <t>560|515</t>
  </si>
  <si>
    <t>483|399</t>
  </si>
  <si>
    <t>559|519</t>
  </si>
  <si>
    <t>426|417</t>
  </si>
  <si>
    <t>548|560</t>
  </si>
  <si>
    <t>456|537</t>
  </si>
  <si>
    <t>578|554</t>
  </si>
  <si>
    <t>569|469</t>
  </si>
  <si>
    <t>590|457</t>
  </si>
  <si>
    <t>449|549</t>
  </si>
  <si>
    <t>433|464</t>
  </si>
  <si>
    <t>434|413</t>
  </si>
  <si>
    <t>474|574</t>
  </si>
  <si>
    <t>567|415</t>
  </si>
  <si>
    <t>404|502</t>
  </si>
  <si>
    <t>459|546</t>
  </si>
  <si>
    <t>409|513</t>
  </si>
  <si>
    <t>575|496</t>
  </si>
  <si>
    <t>427|570</t>
  </si>
  <si>
    <t>408|451</t>
  </si>
  <si>
    <t>583|467</t>
  </si>
  <si>
    <t>534|570</t>
  </si>
  <si>
    <t>517|424</t>
  </si>
  <si>
    <t>408|466</t>
  </si>
  <si>
    <t>430|576</t>
  </si>
  <si>
    <t>551|439</t>
  </si>
  <si>
    <t>546|537</t>
  </si>
  <si>
    <t>507|608</t>
  </si>
  <si>
    <t>583|554</t>
  </si>
  <si>
    <t>471|434</t>
  </si>
  <si>
    <t>509|573</t>
  </si>
  <si>
    <t>541|413</t>
  </si>
  <si>
    <t>501|435</t>
  </si>
  <si>
    <t>398|496</t>
  </si>
  <si>
    <t>484|427</t>
  </si>
  <si>
    <t>519|448</t>
  </si>
  <si>
    <t>458|433</t>
  </si>
  <si>
    <t>507|419</t>
  </si>
  <si>
    <t>428|509</t>
  </si>
  <si>
    <t>561|507</t>
  </si>
  <si>
    <t>459|425</t>
  </si>
  <si>
    <t>502|569</t>
  </si>
  <si>
    <t>569|468</t>
  </si>
  <si>
    <t>479|542</t>
  </si>
  <si>
    <t>489|425</t>
  </si>
  <si>
    <t>405|443</t>
  </si>
  <si>
    <t>535|397</t>
  </si>
  <si>
    <t>399|480</t>
  </si>
  <si>
    <t>448|525</t>
  </si>
  <si>
    <t>543|531</t>
  </si>
  <si>
    <t>473|541</t>
  </si>
  <si>
    <t>457|522</t>
  </si>
  <si>
    <t>501|571</t>
  </si>
  <si>
    <t>526|431</t>
  </si>
  <si>
    <t>605|511</t>
  </si>
  <si>
    <t>571|582</t>
  </si>
  <si>
    <t>461|503</t>
  </si>
  <si>
    <t>404|501</t>
  </si>
  <si>
    <t>545|444</t>
  </si>
  <si>
    <t>440|496</t>
  </si>
  <si>
    <t>438|520</t>
  </si>
  <si>
    <t>511|472</t>
  </si>
  <si>
    <t>419|569</t>
  </si>
  <si>
    <t>487|586</t>
  </si>
  <si>
    <t>501|430</t>
  </si>
  <si>
    <t>537|442</t>
  </si>
  <si>
    <t>448|540</t>
  </si>
  <si>
    <t>431|582</t>
  </si>
  <si>
    <t>515|574</t>
  </si>
  <si>
    <t>570|574</t>
  </si>
  <si>
    <t>581|463</t>
  </si>
  <si>
    <t>522|431</t>
  </si>
  <si>
    <t>509|431</t>
  </si>
  <si>
    <t>516|443</t>
  </si>
  <si>
    <t>510|410</t>
  </si>
  <si>
    <t>543|564</t>
  </si>
  <si>
    <t>451|451</t>
  </si>
  <si>
    <t>484|444</t>
  </si>
  <si>
    <t>547|564</t>
  </si>
  <si>
    <t>600|493</t>
  </si>
  <si>
    <t>412|564</t>
  </si>
  <si>
    <t>568|493</t>
  </si>
  <si>
    <t>527|445</t>
  </si>
  <si>
    <t>523|594</t>
  </si>
  <si>
    <t>482|462</t>
  </si>
  <si>
    <t>433|534</t>
  </si>
  <si>
    <t>420|578</t>
  </si>
  <si>
    <t>562|477</t>
  </si>
  <si>
    <t>435|546</t>
  </si>
  <si>
    <t>550|465</t>
  </si>
  <si>
    <t>445|484</t>
  </si>
  <si>
    <t>514|579</t>
  </si>
  <si>
    <t>419|426</t>
  </si>
  <si>
    <t>610|522</t>
  </si>
  <si>
    <t>474|529</t>
  </si>
  <si>
    <t>581|523</t>
  </si>
  <si>
    <t>460|511</t>
  </si>
  <si>
    <t>541|544</t>
  </si>
  <si>
    <t>414|571</t>
  </si>
  <si>
    <t>418|564</t>
  </si>
  <si>
    <t>430|578</t>
  </si>
  <si>
    <t>500|558</t>
  </si>
  <si>
    <t>555|451</t>
  </si>
  <si>
    <t>473|438</t>
  </si>
  <si>
    <t>479|495</t>
  </si>
  <si>
    <t>536|430</t>
  </si>
  <si>
    <t>574|517</t>
  </si>
  <si>
    <t>455|582</t>
  </si>
  <si>
    <t>432|433</t>
  </si>
  <si>
    <t>531|425</t>
  </si>
  <si>
    <t>458|596</t>
  </si>
  <si>
    <t>452|545</t>
  </si>
  <si>
    <t>422|580</t>
  </si>
  <si>
    <t>505|574</t>
  </si>
  <si>
    <t>491|556</t>
  </si>
  <si>
    <t>531|589</t>
  </si>
  <si>
    <t>435|463</t>
  </si>
  <si>
    <t>458|406</t>
  </si>
  <si>
    <t>509|444</t>
  </si>
  <si>
    <t>603|484</t>
  </si>
  <si>
    <t>449|502</t>
  </si>
  <si>
    <t>559|539</t>
  </si>
  <si>
    <t>418|570</t>
  </si>
  <si>
    <t>416|537</t>
  </si>
  <si>
    <t>481|461</t>
  </si>
  <si>
    <t>583|430</t>
  </si>
  <si>
    <t>467|445</t>
  </si>
  <si>
    <t>427|501</t>
  </si>
  <si>
    <t>491|453</t>
  </si>
  <si>
    <t>576|485</t>
  </si>
  <si>
    <t>422|540</t>
  </si>
  <si>
    <t>597|482</t>
  </si>
  <si>
    <t>558|457</t>
  </si>
  <si>
    <t>570|524</t>
  </si>
  <si>
    <t>545|556</t>
  </si>
  <si>
    <t>594|554</t>
  </si>
  <si>
    <t>576|508</t>
  </si>
  <si>
    <t>555|484</t>
  </si>
  <si>
    <t>522|567</t>
  </si>
  <si>
    <t>468|427</t>
  </si>
  <si>
    <t>572|529</t>
  </si>
  <si>
    <t>527|548</t>
  </si>
  <si>
    <t>501|437</t>
  </si>
  <si>
    <t>550|474</t>
  </si>
  <si>
    <t>572|502</t>
  </si>
  <si>
    <t>466|545</t>
  </si>
  <si>
    <t>497|508</t>
  </si>
  <si>
    <t>504|516</t>
  </si>
  <si>
    <t>454|566</t>
  </si>
  <si>
    <t>463|491</t>
  </si>
  <si>
    <t>494|605</t>
  </si>
  <si>
    <t>463|558</t>
  </si>
  <si>
    <t>588|559</t>
  </si>
  <si>
    <t>508|425</t>
  </si>
  <si>
    <t>543|441</t>
  </si>
  <si>
    <t>521|492</t>
  </si>
  <si>
    <t>467|520</t>
  </si>
  <si>
    <t>417|569</t>
  </si>
  <si>
    <t>546|454</t>
  </si>
  <si>
    <t>469|487</t>
  </si>
  <si>
    <t>557|442</t>
  </si>
  <si>
    <t>419|429</t>
  </si>
  <si>
    <t>516|424</t>
  </si>
  <si>
    <t>521|533</t>
  </si>
  <si>
    <t>460|462</t>
  </si>
  <si>
    <t>529|514</t>
  </si>
  <si>
    <t>419|453</t>
  </si>
  <si>
    <t>561|456</t>
  </si>
  <si>
    <t>553|560</t>
  </si>
  <si>
    <t>460|540</t>
  </si>
  <si>
    <t>458|564</t>
  </si>
  <si>
    <t>425|561</t>
  </si>
  <si>
    <t>503|434</t>
  </si>
  <si>
    <t>446|528</t>
  </si>
  <si>
    <t>566|467</t>
  </si>
  <si>
    <t>447|464</t>
  </si>
  <si>
    <t>434|497</t>
  </si>
  <si>
    <t>571|507</t>
  </si>
  <si>
    <t>572|571</t>
  </si>
  <si>
    <t>466|426</t>
  </si>
  <si>
    <t>440|514</t>
  </si>
  <si>
    <t>418|471</t>
  </si>
  <si>
    <t>589|487</t>
  </si>
  <si>
    <t>523|552</t>
  </si>
  <si>
    <t>594|557</t>
  </si>
  <si>
    <t>493|506</t>
  </si>
  <si>
    <t>518|560</t>
  </si>
  <si>
    <t>539|443</t>
  </si>
  <si>
    <t>488|547</t>
  </si>
  <si>
    <t>554|504</t>
  </si>
  <si>
    <t>432|462</t>
  </si>
  <si>
    <t>589|440</t>
  </si>
  <si>
    <t>556|438</t>
  </si>
  <si>
    <t>457|523</t>
  </si>
  <si>
    <t>430|533</t>
  </si>
  <si>
    <t>429|535</t>
  </si>
  <si>
    <t>422|569</t>
  </si>
  <si>
    <t>428|574</t>
  </si>
  <si>
    <t>520|434</t>
  </si>
  <si>
    <t>407|459</t>
  </si>
  <si>
    <t>476|452</t>
  </si>
  <si>
    <t>404|452</t>
  </si>
  <si>
    <t>510|463</t>
  </si>
  <si>
    <t>509|427</t>
  </si>
  <si>
    <t>485|560</t>
  </si>
  <si>
    <t>552|470</t>
  </si>
  <si>
    <t>503|428</t>
  </si>
  <si>
    <t>472|433</t>
  </si>
  <si>
    <t>569|432</t>
  </si>
  <si>
    <t>507|487</t>
  </si>
  <si>
    <t>556|466</t>
  </si>
  <si>
    <t>575|520</t>
  </si>
  <si>
    <t>516|457</t>
  </si>
  <si>
    <t>505|424</t>
  </si>
  <si>
    <t>421|577</t>
  </si>
  <si>
    <t>566|500</t>
  </si>
  <si>
    <t>515|476</t>
  </si>
  <si>
    <t>602|461</t>
  </si>
  <si>
    <t>510|609</t>
  </si>
  <si>
    <t>407|492</t>
  </si>
  <si>
    <t>508|520</t>
  </si>
  <si>
    <t>594|475</t>
  </si>
  <si>
    <t>466|431</t>
  </si>
  <si>
    <t>429|522</t>
  </si>
  <si>
    <t>425|572</t>
  </si>
  <si>
    <t>475|542</t>
  </si>
  <si>
    <t>499|488</t>
  </si>
  <si>
    <t>446|475</t>
  </si>
  <si>
    <t>496|488</t>
  </si>
  <si>
    <t>511|560</t>
  </si>
  <si>
    <t>422|535</t>
  </si>
  <si>
    <t>490|451</t>
  </si>
  <si>
    <t>576|502</t>
  </si>
  <si>
    <t>503|394</t>
  </si>
  <si>
    <t>596|530</t>
  </si>
  <si>
    <t>404|500</t>
  </si>
  <si>
    <t>561|500</t>
  </si>
  <si>
    <t>604|525</t>
  </si>
  <si>
    <t>465|491</t>
  </si>
  <si>
    <t>501|560</t>
  </si>
  <si>
    <t>452|591</t>
  </si>
  <si>
    <t>435|521</t>
  </si>
  <si>
    <t>424|524</t>
  </si>
  <si>
    <t>580|555</t>
  </si>
  <si>
    <t>410|451</t>
  </si>
  <si>
    <t>542|433</t>
  </si>
  <si>
    <t>465|482</t>
  </si>
  <si>
    <t>502|519</t>
  </si>
  <si>
    <t>465|524</t>
  </si>
  <si>
    <t>606|479</t>
  </si>
  <si>
    <t>515|518</t>
  </si>
  <si>
    <t>479|571</t>
  </si>
  <si>
    <t>490|572</t>
  </si>
  <si>
    <t>500|446</t>
  </si>
  <si>
    <t>533|491</t>
  </si>
  <si>
    <t>556|462</t>
  </si>
  <si>
    <t>463|415</t>
  </si>
  <si>
    <t>510|443</t>
  </si>
  <si>
    <t>469|559</t>
  </si>
  <si>
    <t>425|420</t>
  </si>
  <si>
    <t>556|575</t>
  </si>
  <si>
    <t>479|440</t>
  </si>
  <si>
    <t>459|464</t>
  </si>
  <si>
    <t>561|548</t>
  </si>
  <si>
    <t>467|396</t>
  </si>
  <si>
    <t>515|429</t>
  </si>
  <si>
    <t>438|458</t>
  </si>
  <si>
    <t>530|581</t>
  </si>
  <si>
    <t>513|595</t>
  </si>
  <si>
    <t>500|445</t>
  </si>
  <si>
    <t>422|511</t>
  </si>
  <si>
    <t>496|584</t>
  </si>
  <si>
    <t>465|423</t>
  </si>
  <si>
    <t>501|446</t>
  </si>
  <si>
    <t>476|591</t>
  </si>
  <si>
    <t>465|428</t>
  </si>
  <si>
    <t>460|426</t>
  </si>
  <si>
    <t>517|486</t>
  </si>
  <si>
    <t>568|563</t>
  </si>
  <si>
    <t>577|494</t>
  </si>
  <si>
    <t>569|443</t>
  </si>
  <si>
    <t>540|556</t>
  </si>
  <si>
    <t>543|477</t>
  </si>
  <si>
    <t>551|524</t>
  </si>
  <si>
    <t>420|569</t>
  </si>
  <si>
    <t>517|406</t>
  </si>
  <si>
    <t>572|471</t>
  </si>
  <si>
    <t>584|437</t>
  </si>
  <si>
    <t>453|557</t>
  </si>
  <si>
    <t>599|522</t>
  </si>
  <si>
    <t>492|558</t>
  </si>
  <si>
    <t>601|479</t>
  </si>
  <si>
    <t>427|477</t>
  </si>
  <si>
    <t>466|504</t>
  </si>
  <si>
    <t>564|458</t>
  </si>
  <si>
    <t>514|571</t>
  </si>
  <si>
    <t>537|584</t>
  </si>
  <si>
    <t>532|558</t>
  </si>
  <si>
    <t>581|490</t>
  </si>
  <si>
    <t>572|456</t>
  </si>
  <si>
    <t>473|575</t>
  </si>
  <si>
    <t>569|494</t>
  </si>
  <si>
    <t>412|559</t>
  </si>
  <si>
    <t>443|596</t>
  </si>
  <si>
    <t>601|467</t>
  </si>
  <si>
    <t>428|488</t>
  </si>
  <si>
    <t>498|457</t>
  </si>
  <si>
    <t>603|515</t>
  </si>
  <si>
    <t>455|454</t>
  </si>
  <si>
    <t>506|432</t>
  </si>
  <si>
    <t>554|441</t>
  </si>
  <si>
    <t>591|447</t>
  </si>
  <si>
    <t>560|456</t>
  </si>
  <si>
    <t>450|452</t>
  </si>
  <si>
    <t>522|518</t>
  </si>
  <si>
    <t>437|414</t>
  </si>
  <si>
    <t>467|565</t>
  </si>
  <si>
    <t>472|426</t>
  </si>
  <si>
    <t>585|457</t>
  </si>
  <si>
    <t>433|539</t>
  </si>
  <si>
    <t>485|513</t>
  </si>
  <si>
    <t>502|396</t>
  </si>
  <si>
    <t>428|533</t>
  </si>
  <si>
    <t>498|563</t>
  </si>
  <si>
    <t>408|502</t>
  </si>
  <si>
    <t>483|446</t>
  </si>
  <si>
    <t>534|568</t>
  </si>
  <si>
    <t>575|580</t>
  </si>
  <si>
    <t>574|480</t>
  </si>
  <si>
    <t>554|486</t>
  </si>
  <si>
    <t>591|520</t>
  </si>
  <si>
    <t>436|486</t>
  </si>
  <si>
    <t>603|511</t>
  </si>
  <si>
    <t>438|486</t>
  </si>
  <si>
    <t>547|517</t>
  </si>
  <si>
    <t>473|425</t>
  </si>
  <si>
    <t>563|452</t>
  </si>
  <si>
    <t>415|434</t>
  </si>
  <si>
    <t>449|547</t>
  </si>
  <si>
    <t>469|424</t>
  </si>
  <si>
    <t>570|571</t>
  </si>
  <si>
    <t>561|483</t>
  </si>
  <si>
    <t>474|435</t>
  </si>
  <si>
    <t>554|506</t>
  </si>
  <si>
    <t>610|499</t>
  </si>
  <si>
    <t>471|426</t>
  </si>
  <si>
    <t>432|565</t>
  </si>
  <si>
    <t>463|417</t>
  </si>
  <si>
    <t>571|476</t>
  </si>
  <si>
    <t>601|477</t>
  </si>
  <si>
    <t>471|538</t>
  </si>
  <si>
    <t>556|580</t>
  </si>
  <si>
    <t>455|483</t>
  </si>
  <si>
    <t>461|495</t>
  </si>
  <si>
    <t>448|471</t>
  </si>
  <si>
    <t>458|435</t>
  </si>
  <si>
    <t>578|518</t>
  </si>
  <si>
    <t>441|467</t>
  </si>
  <si>
    <t>551|562</t>
  </si>
  <si>
    <t>494|572</t>
  </si>
  <si>
    <t>501|567</t>
  </si>
  <si>
    <t>477|524</t>
  </si>
  <si>
    <t>612|519</t>
  </si>
  <si>
    <t>412|531</t>
  </si>
  <si>
    <t>537|524</t>
  </si>
  <si>
    <t>427|521</t>
  </si>
  <si>
    <t>461|604</t>
  </si>
  <si>
    <t>473|408</t>
  </si>
  <si>
    <t>481|504</t>
  </si>
  <si>
    <t>456|584</t>
  </si>
  <si>
    <t>553|576</t>
  </si>
  <si>
    <t>498|573</t>
  </si>
  <si>
    <t>411|452</t>
  </si>
  <si>
    <t>483|575</t>
  </si>
  <si>
    <t>519|593</t>
  </si>
  <si>
    <t>607|490</t>
  </si>
  <si>
    <t>447|463</t>
  </si>
  <si>
    <t>471|437</t>
  </si>
  <si>
    <t>426|497</t>
  </si>
  <si>
    <t>568|569</t>
  </si>
  <si>
    <t>449|518</t>
  </si>
  <si>
    <t>426|505</t>
  </si>
  <si>
    <t>590|466</t>
  </si>
  <si>
    <t>586|469</t>
  </si>
  <si>
    <t>569|421</t>
  </si>
  <si>
    <t>570|503</t>
  </si>
  <si>
    <t>531|439</t>
  </si>
  <si>
    <t>566|489</t>
  </si>
  <si>
    <t>451|564</t>
  </si>
  <si>
    <t>543|400</t>
  </si>
  <si>
    <t>436|452</t>
  </si>
  <si>
    <t>520|459</t>
  </si>
  <si>
    <t>519|428</t>
  </si>
  <si>
    <t>562|547</t>
  </si>
  <si>
    <t>577|484</t>
  </si>
  <si>
    <t>402|502</t>
  </si>
  <si>
    <t>464|478</t>
  </si>
  <si>
    <t>402|518</t>
  </si>
  <si>
    <t>542|496</t>
  </si>
  <si>
    <t>459|416</t>
  </si>
  <si>
    <t>433|563</t>
  </si>
  <si>
    <t>441|496</t>
  </si>
  <si>
    <t>486|575</t>
  </si>
  <si>
    <t>590|513</t>
  </si>
  <si>
    <t>506|502</t>
  </si>
  <si>
    <t>468|406</t>
  </si>
  <si>
    <t>452|471</t>
  </si>
  <si>
    <t>435|417</t>
  </si>
  <si>
    <t>454|556</t>
  </si>
  <si>
    <t>600|467</t>
  </si>
  <si>
    <t>423|434</t>
  </si>
  <si>
    <t>471|467</t>
  </si>
  <si>
    <t>398|501</t>
  </si>
  <si>
    <t>503|473</t>
  </si>
  <si>
    <t>416|551</t>
  </si>
  <si>
    <t>517|421</t>
  </si>
  <si>
    <t>537|565</t>
  </si>
  <si>
    <t>600|509</t>
  </si>
  <si>
    <t>471|448</t>
  </si>
  <si>
    <t>558|565</t>
  </si>
  <si>
    <t>485|543</t>
  </si>
  <si>
    <t>555|508</t>
  </si>
  <si>
    <t>508|441</t>
  </si>
  <si>
    <t>508|390</t>
  </si>
  <si>
    <t>583|562</t>
  </si>
  <si>
    <t>429|539</t>
  </si>
  <si>
    <t>606|515</t>
  </si>
  <si>
    <t>431|472</t>
  </si>
  <si>
    <t>482|443</t>
  </si>
  <si>
    <t>567|545</t>
  </si>
  <si>
    <t>532|519</t>
  </si>
  <si>
    <t>461|539</t>
  </si>
  <si>
    <t>440|540</t>
  </si>
  <si>
    <t>473|426</t>
  </si>
  <si>
    <t>609|523</t>
  </si>
  <si>
    <t>414|507</t>
  </si>
  <si>
    <t>428|529</t>
  </si>
  <si>
    <t>553|454</t>
  </si>
  <si>
    <t>575|490</t>
  </si>
  <si>
    <t>460|539</t>
  </si>
  <si>
    <t>567|507</t>
  </si>
  <si>
    <t>554|488</t>
  </si>
  <si>
    <t>436|455</t>
  </si>
  <si>
    <t>461|507</t>
  </si>
  <si>
    <t>460|557</t>
  </si>
  <si>
    <t>516|501</t>
  </si>
  <si>
    <t>604|460</t>
  </si>
  <si>
    <t>443|455</t>
  </si>
  <si>
    <t>472|420</t>
  </si>
  <si>
    <t>475|459</t>
  </si>
  <si>
    <t>559|492</t>
  </si>
  <si>
    <t>483|499</t>
  </si>
  <si>
    <t>433|421</t>
  </si>
  <si>
    <t>581|500</t>
  </si>
  <si>
    <t>598|449</t>
  </si>
  <si>
    <t>517|470</t>
  </si>
  <si>
    <t>460|601</t>
  </si>
  <si>
    <t>566|414</t>
  </si>
  <si>
    <t>514|515</t>
  </si>
  <si>
    <t>528|424</t>
  </si>
  <si>
    <t>441|469</t>
  </si>
  <si>
    <t>486|452</t>
  </si>
  <si>
    <t>544|483</t>
  </si>
  <si>
    <t>529|438</t>
  </si>
  <si>
    <t>474|492</t>
  </si>
  <si>
    <t>426|503</t>
  </si>
  <si>
    <t>570|477</t>
  </si>
  <si>
    <t>487|494</t>
  </si>
  <si>
    <t>489|417</t>
  </si>
  <si>
    <t>563|499</t>
  </si>
  <si>
    <t>438|532</t>
  </si>
  <si>
    <t>566|498</t>
  </si>
  <si>
    <t>435|412</t>
  </si>
  <si>
    <t>564|508</t>
  </si>
  <si>
    <t>502|511</t>
  </si>
  <si>
    <t>470|567</t>
  </si>
  <si>
    <t>556|519</t>
  </si>
  <si>
    <t>543|445</t>
  </si>
  <si>
    <t>475|427</t>
  </si>
  <si>
    <t>539|539</t>
  </si>
  <si>
    <t>573|491</t>
  </si>
  <si>
    <t>536|562</t>
  </si>
  <si>
    <t>479|460</t>
  </si>
  <si>
    <t>584|475</t>
  </si>
  <si>
    <t>504|490</t>
  </si>
  <si>
    <t>402|527</t>
  </si>
  <si>
    <t>435|477</t>
  </si>
  <si>
    <t>451|477</t>
  </si>
  <si>
    <t>501|505</t>
  </si>
  <si>
    <t>467|541</t>
  </si>
  <si>
    <t>574|479</t>
  </si>
  <si>
    <t>545|450</t>
  </si>
  <si>
    <t>541|457</t>
  </si>
  <si>
    <t>440|447</t>
  </si>
  <si>
    <t>556|442</t>
  </si>
  <si>
    <t>489|410</t>
  </si>
  <si>
    <t>442|422</t>
  </si>
  <si>
    <t>436|446</t>
  </si>
  <si>
    <t>534|576</t>
  </si>
  <si>
    <t>489|524</t>
  </si>
  <si>
    <t>512|482</t>
  </si>
  <si>
    <t>423|479</t>
  </si>
  <si>
    <t>475|435</t>
  </si>
  <si>
    <t>427|510</t>
  </si>
  <si>
    <t>574|472</t>
  </si>
  <si>
    <t>592|451</t>
  </si>
  <si>
    <t>482|427</t>
  </si>
  <si>
    <t>570|428</t>
  </si>
  <si>
    <t>428|469</t>
  </si>
  <si>
    <t>571|478</t>
  </si>
  <si>
    <t>516|433</t>
  </si>
  <si>
    <t>467|471</t>
  </si>
  <si>
    <t>546|529</t>
  </si>
  <si>
    <t>406|496</t>
  </si>
  <si>
    <t>481|545</t>
  </si>
  <si>
    <t>502|439</t>
  </si>
  <si>
    <t>495|416</t>
  </si>
  <si>
    <t>520|489</t>
  </si>
  <si>
    <t>573|474</t>
  </si>
  <si>
    <t>572|458</t>
  </si>
  <si>
    <t>445|510</t>
  </si>
  <si>
    <t>476|552</t>
  </si>
  <si>
    <t>539|581</t>
  </si>
  <si>
    <t>434|548</t>
  </si>
  <si>
    <t>452|458</t>
  </si>
  <si>
    <t>463|601</t>
  </si>
  <si>
    <t>449|594</t>
  </si>
  <si>
    <t>417|430</t>
  </si>
  <si>
    <t>601|512</t>
  </si>
  <si>
    <t>582|441</t>
  </si>
  <si>
    <t>459|513</t>
  </si>
  <si>
    <t>511|534</t>
  </si>
  <si>
    <t>573|523</t>
  </si>
  <si>
    <t>523|399</t>
  </si>
  <si>
    <t>606|514</t>
  </si>
  <si>
    <t>530|506</t>
  </si>
  <si>
    <t>538|401</t>
  </si>
  <si>
    <t>484|526</t>
  </si>
  <si>
    <t>516|467</t>
  </si>
  <si>
    <t>479|469</t>
  </si>
  <si>
    <t>511|509</t>
  </si>
  <si>
    <t>488|396</t>
  </si>
  <si>
    <t>471|573</t>
  </si>
  <si>
    <t>490|396</t>
  </si>
  <si>
    <t>503|596</t>
  </si>
  <si>
    <t>516|470</t>
  </si>
  <si>
    <t>508|495</t>
  </si>
  <si>
    <t>536|515</t>
  </si>
  <si>
    <t>547|512</t>
  </si>
  <si>
    <t>440|449</t>
  </si>
  <si>
    <t>526|464</t>
  </si>
  <si>
    <t>438|575</t>
  </si>
  <si>
    <t>579|492</t>
  </si>
  <si>
    <t>463|540</t>
  </si>
  <si>
    <t>399|529</t>
  </si>
  <si>
    <t>434|460</t>
  </si>
  <si>
    <t>504|549</t>
  </si>
  <si>
    <t>444|538</t>
  </si>
  <si>
    <t>578|557</t>
  </si>
  <si>
    <t>468|419</t>
  </si>
  <si>
    <t>499|516</t>
  </si>
  <si>
    <t>524|591</t>
  </si>
  <si>
    <t>420|551</t>
  </si>
  <si>
    <t>506|471</t>
  </si>
  <si>
    <t>463|537</t>
  </si>
  <si>
    <t>491|454</t>
  </si>
  <si>
    <t>590|467</t>
  </si>
  <si>
    <t>564|486</t>
  </si>
  <si>
    <t>485|525</t>
  </si>
  <si>
    <t>586|488</t>
  </si>
  <si>
    <t>415|564</t>
  </si>
  <si>
    <t>463|561</t>
  </si>
  <si>
    <t>427|496</t>
  </si>
  <si>
    <t>577|485</t>
  </si>
  <si>
    <t>608|496</t>
  </si>
  <si>
    <t>449|440</t>
  </si>
  <si>
    <t>428|425</t>
  </si>
  <si>
    <t>595|469</t>
  </si>
  <si>
    <t>409|526</t>
  </si>
  <si>
    <t>415|561</t>
  </si>
  <si>
    <t>447|410</t>
  </si>
  <si>
    <t>444|459</t>
  </si>
  <si>
    <t>452|431</t>
  </si>
  <si>
    <t>492|556</t>
  </si>
  <si>
    <t>557|585</t>
  </si>
  <si>
    <t>589|518</t>
  </si>
  <si>
    <t>540|447</t>
  </si>
  <si>
    <t>518|429</t>
  </si>
  <si>
    <t>545|485</t>
  </si>
  <si>
    <t>467|488</t>
  </si>
  <si>
    <t>512|451</t>
  </si>
  <si>
    <t>453|482</t>
  </si>
  <si>
    <t>407|461</t>
  </si>
  <si>
    <t>593|477</t>
  </si>
  <si>
    <t>558|546</t>
  </si>
  <si>
    <t>533|449</t>
  </si>
  <si>
    <t>438|515</t>
  </si>
  <si>
    <t>564|447</t>
  </si>
  <si>
    <t>570|510</t>
  </si>
  <si>
    <t>467|544</t>
  </si>
  <si>
    <t>547|445</t>
  </si>
  <si>
    <t>452|516</t>
  </si>
  <si>
    <t>559|425</t>
  </si>
  <si>
    <t>398|464</t>
  </si>
  <si>
    <t>498|505</t>
  </si>
  <si>
    <t>533|599</t>
  </si>
  <si>
    <t>519|482</t>
  </si>
  <si>
    <t>427|534</t>
  </si>
  <si>
    <t>476|555</t>
  </si>
  <si>
    <t>565|546</t>
  </si>
  <si>
    <t>484|423</t>
  </si>
  <si>
    <t>517|555</t>
  </si>
  <si>
    <t>447|484</t>
  </si>
  <si>
    <t>593|548</t>
  </si>
  <si>
    <t>531|561</t>
  </si>
  <si>
    <t>497|605</t>
  </si>
  <si>
    <t>575|484</t>
  </si>
  <si>
    <t>565|418</t>
  </si>
  <si>
    <t>459|510</t>
  </si>
  <si>
    <t>520|407</t>
  </si>
  <si>
    <t>527|502</t>
  </si>
  <si>
    <t>505|578</t>
  </si>
  <si>
    <t>437|591</t>
  </si>
  <si>
    <t>441|477</t>
  </si>
  <si>
    <t>431|538</t>
  </si>
  <si>
    <t>478|426</t>
  </si>
  <si>
    <t>509|576</t>
  </si>
  <si>
    <t>403|489</t>
  </si>
  <si>
    <t>535|407</t>
  </si>
  <si>
    <t>444|480</t>
  </si>
  <si>
    <t>398|467</t>
  </si>
  <si>
    <t>554|535</t>
  </si>
  <si>
    <t>454|558</t>
  </si>
  <si>
    <t>507|555</t>
  </si>
  <si>
    <t>459|428</t>
  </si>
  <si>
    <t>443|477</t>
  </si>
  <si>
    <t>437|587</t>
  </si>
  <si>
    <t>464|436</t>
  </si>
  <si>
    <t>451|602</t>
  </si>
  <si>
    <t>572|508</t>
  </si>
  <si>
    <t>425|509</t>
  </si>
  <si>
    <t>428|559</t>
  </si>
  <si>
    <t>424|472</t>
  </si>
  <si>
    <t>424|507</t>
  </si>
  <si>
    <t>467|438</t>
  </si>
  <si>
    <t>522|440</t>
  </si>
  <si>
    <t>435|475</t>
  </si>
  <si>
    <t>520|524</t>
  </si>
  <si>
    <t>585|523</t>
  </si>
  <si>
    <t>435|434</t>
  </si>
  <si>
    <t>562|552</t>
  </si>
  <si>
    <t>557|493</t>
  </si>
  <si>
    <t>489|565</t>
  </si>
  <si>
    <t>549|460</t>
  </si>
  <si>
    <t>497|562</t>
  </si>
  <si>
    <t>527|561</t>
  </si>
  <si>
    <t>435|528</t>
  </si>
  <si>
    <t>526|525</t>
  </si>
  <si>
    <t>482|538</t>
  </si>
  <si>
    <t>545|484</t>
  </si>
  <si>
    <t>516|445</t>
  </si>
  <si>
    <t>520|432</t>
  </si>
  <si>
    <t>462|429</t>
  </si>
  <si>
    <t>490|562</t>
  </si>
  <si>
    <t>450|551</t>
  </si>
  <si>
    <t>471|461</t>
  </si>
  <si>
    <t>517|489</t>
  </si>
  <si>
    <t>475|457</t>
  </si>
  <si>
    <t>429|531</t>
  </si>
  <si>
    <t>523|509</t>
  </si>
  <si>
    <t>398|537</t>
  </si>
  <si>
    <t>515|605</t>
  </si>
  <si>
    <t>455|595</t>
  </si>
  <si>
    <t>547|494</t>
  </si>
  <si>
    <t>470|425</t>
  </si>
  <si>
    <t>555|514</t>
  </si>
  <si>
    <t>523|543</t>
  </si>
  <si>
    <t>510|484</t>
  </si>
  <si>
    <t>449|536</t>
  </si>
  <si>
    <t>436|465</t>
  </si>
  <si>
    <t>481|586</t>
  </si>
  <si>
    <t>582|424</t>
  </si>
  <si>
    <t>506|438</t>
  </si>
  <si>
    <t>421|531</t>
  </si>
  <si>
    <t>518|561</t>
  </si>
  <si>
    <t>431|446</t>
  </si>
  <si>
    <t>510|487</t>
  </si>
  <si>
    <t>532|463</t>
  </si>
  <si>
    <t>553|462</t>
  </si>
  <si>
    <t>508|467</t>
  </si>
  <si>
    <t>540|560</t>
  </si>
  <si>
    <t>533|420</t>
  </si>
  <si>
    <t>494|552</t>
  </si>
  <si>
    <t>468|449</t>
  </si>
  <si>
    <t>485|575</t>
  </si>
  <si>
    <t>553|557</t>
  </si>
  <si>
    <t>543|501</t>
  </si>
  <si>
    <t>440|427</t>
  </si>
  <si>
    <t>550|525</t>
  </si>
  <si>
    <t>437|484</t>
  </si>
  <si>
    <t>446|438</t>
  </si>
  <si>
    <t>477|428</t>
  </si>
  <si>
    <t>435|512</t>
  </si>
  <si>
    <t>504|554</t>
  </si>
  <si>
    <t>557|512</t>
  </si>
  <si>
    <t>474|441</t>
  </si>
  <si>
    <t>496|509</t>
  </si>
  <si>
    <t>533|427</t>
  </si>
  <si>
    <t>586|459</t>
  </si>
  <si>
    <t>575|513</t>
  </si>
  <si>
    <t>434|510</t>
  </si>
  <si>
    <t>473|574</t>
  </si>
  <si>
    <t>512|425</t>
  </si>
  <si>
    <t>464|494</t>
  </si>
  <si>
    <t>459|406</t>
  </si>
  <si>
    <t>533|552</t>
  </si>
  <si>
    <t>498|389</t>
  </si>
  <si>
    <t>503|546</t>
  </si>
  <si>
    <t>517|441</t>
  </si>
  <si>
    <t>559|533</t>
  </si>
  <si>
    <t>406|458</t>
  </si>
  <si>
    <t>435|517</t>
  </si>
  <si>
    <t>448|493</t>
  </si>
  <si>
    <t>402|531</t>
  </si>
  <si>
    <t>564|478</t>
  </si>
  <si>
    <t>445|547</t>
  </si>
  <si>
    <t>548|421</t>
  </si>
  <si>
    <t>536|453</t>
  </si>
  <si>
    <t>463|498</t>
  </si>
  <si>
    <t>494|554</t>
  </si>
  <si>
    <t>495|550</t>
  </si>
  <si>
    <t>541|439</t>
  </si>
  <si>
    <t>598|446</t>
  </si>
  <si>
    <t>475|561</t>
  </si>
  <si>
    <t>603|463</t>
  </si>
  <si>
    <t>472|440</t>
  </si>
  <si>
    <t>497|424</t>
  </si>
  <si>
    <t>461|520</t>
  </si>
  <si>
    <t>551|569</t>
  </si>
  <si>
    <t>428|448</t>
  </si>
  <si>
    <t>519|572</t>
  </si>
  <si>
    <t>523|489</t>
  </si>
  <si>
    <t>538|434</t>
  </si>
  <si>
    <t>593|464</t>
  </si>
  <si>
    <t>538|506</t>
  </si>
  <si>
    <t>426|506</t>
  </si>
  <si>
    <t>445|459</t>
  </si>
  <si>
    <t>572|498</t>
  </si>
  <si>
    <t>488|561</t>
  </si>
  <si>
    <t>470|440</t>
  </si>
  <si>
    <t>548|565</t>
  </si>
  <si>
    <t>557|458</t>
  </si>
  <si>
    <t>454|551</t>
  </si>
  <si>
    <t>593|473</t>
  </si>
  <si>
    <t>501|483</t>
  </si>
  <si>
    <t>532|518</t>
  </si>
  <si>
    <t>525|588</t>
  </si>
  <si>
    <t>531|440</t>
  </si>
  <si>
    <t>441|491</t>
  </si>
  <si>
    <t>439|505</t>
  </si>
  <si>
    <t>410|560</t>
  </si>
  <si>
    <t>496|443</t>
  </si>
  <si>
    <t>525|458</t>
  </si>
  <si>
    <t>494|440</t>
  </si>
  <si>
    <t>435|471</t>
  </si>
  <si>
    <t>467|538</t>
  </si>
  <si>
    <t>563|472</t>
  </si>
  <si>
    <t>528|413</t>
  </si>
  <si>
    <t>458|507</t>
  </si>
  <si>
    <t>516|485</t>
  </si>
  <si>
    <t>497|522</t>
  </si>
  <si>
    <t>409|523</t>
  </si>
  <si>
    <t>527|542</t>
  </si>
  <si>
    <t>536|466</t>
  </si>
  <si>
    <t>604|492</t>
  </si>
  <si>
    <t>475|447</t>
  </si>
  <si>
    <t>602|497</t>
  </si>
  <si>
    <t>560|570</t>
  </si>
  <si>
    <t>473|509</t>
  </si>
  <si>
    <t>445|466</t>
  </si>
  <si>
    <t>538|576</t>
  </si>
  <si>
    <t>449|455</t>
  </si>
  <si>
    <t>419|525</t>
  </si>
  <si>
    <t>476|528</t>
  </si>
  <si>
    <t>527|472</t>
  </si>
  <si>
    <t>409|536</t>
  </si>
  <si>
    <t>550|448</t>
  </si>
  <si>
    <t>456|590</t>
  </si>
  <si>
    <t>452|554</t>
  </si>
  <si>
    <t>530|453</t>
  </si>
  <si>
    <t>513|534</t>
  </si>
  <si>
    <t>501|429</t>
  </si>
  <si>
    <t>515|568</t>
  </si>
  <si>
    <t>411|528</t>
  </si>
  <si>
    <t>546|397</t>
  </si>
  <si>
    <t>457|433</t>
  </si>
  <si>
    <t>582|449</t>
  </si>
  <si>
    <t>507|488</t>
  </si>
  <si>
    <t>425|511</t>
  </si>
  <si>
    <t>534|590</t>
  </si>
  <si>
    <t>441|534</t>
  </si>
  <si>
    <t>572|501</t>
  </si>
  <si>
    <t>561|473</t>
  </si>
  <si>
    <t>450|591</t>
  </si>
  <si>
    <t>420|504</t>
  </si>
  <si>
    <t>409|443</t>
  </si>
  <si>
    <t>489|563</t>
  </si>
  <si>
    <t>505|533</t>
  </si>
  <si>
    <t>569|477</t>
  </si>
  <si>
    <t>502|604</t>
  </si>
  <si>
    <t>496|425</t>
  </si>
  <si>
    <t>557|496</t>
  </si>
  <si>
    <t>423|480</t>
  </si>
  <si>
    <t>502|557</t>
  </si>
  <si>
    <t>573|427</t>
  </si>
  <si>
    <t>445|559</t>
  </si>
  <si>
    <t>552|550</t>
  </si>
  <si>
    <t>580|545</t>
  </si>
  <si>
    <t>500|493</t>
  </si>
  <si>
    <t>442|454</t>
  </si>
  <si>
    <t>482|519</t>
  </si>
  <si>
    <t>432|426</t>
  </si>
  <si>
    <t>573|511</t>
  </si>
  <si>
    <t>558|526</t>
  </si>
  <si>
    <t>487|553</t>
  </si>
  <si>
    <t>446|452</t>
  </si>
  <si>
    <t>448|534</t>
  </si>
  <si>
    <t>538|556</t>
  </si>
  <si>
    <t>580|488</t>
  </si>
  <si>
    <t>573|522</t>
  </si>
  <si>
    <t>487|506</t>
  </si>
  <si>
    <t>506|598</t>
  </si>
  <si>
    <t>434|571</t>
  </si>
  <si>
    <t>393|490</t>
  </si>
  <si>
    <t>566|521</t>
  </si>
  <si>
    <t>541|564</t>
  </si>
  <si>
    <t>569|478</t>
  </si>
  <si>
    <t>531|409</t>
  </si>
  <si>
    <t>481|567</t>
  </si>
  <si>
    <t>495|427</t>
  </si>
  <si>
    <t>393|491</t>
  </si>
  <si>
    <t>532|533</t>
  </si>
  <si>
    <t>402|482</t>
  </si>
  <si>
    <t>537|544</t>
  </si>
  <si>
    <t>449|507</t>
  </si>
  <si>
    <t>441|482</t>
  </si>
  <si>
    <t>581|458</t>
  </si>
  <si>
    <t>432|566</t>
  </si>
  <si>
    <t>549|478</t>
  </si>
  <si>
    <t>485|568</t>
  </si>
  <si>
    <t>520|562</t>
  </si>
  <si>
    <t>537|463</t>
  </si>
  <si>
    <t>516|547</t>
  </si>
  <si>
    <t>444|414</t>
  </si>
  <si>
    <t>610|486</t>
  </si>
  <si>
    <t>606|512</t>
  </si>
  <si>
    <t>423|526</t>
  </si>
  <si>
    <t>496|507</t>
  </si>
  <si>
    <t>517|400</t>
  </si>
  <si>
    <t>601|464</t>
  </si>
  <si>
    <t>457|441</t>
  </si>
  <si>
    <t>547|510</t>
  </si>
  <si>
    <t>465|441</t>
  </si>
  <si>
    <t>549|552</t>
  </si>
  <si>
    <t>555|577</t>
  </si>
  <si>
    <t>487|486</t>
  </si>
  <si>
    <t>502|484</t>
  </si>
  <si>
    <t>476|494</t>
  </si>
  <si>
    <t>460|434</t>
  </si>
  <si>
    <t>427|518</t>
  </si>
  <si>
    <t>497|445</t>
  </si>
  <si>
    <t>542|530</t>
  </si>
  <si>
    <t>440|483</t>
  </si>
  <si>
    <t>540|522</t>
  </si>
  <si>
    <t>508|558</t>
  </si>
  <si>
    <t>505|496</t>
  </si>
  <si>
    <t>484|509</t>
  </si>
  <si>
    <t>467|500</t>
  </si>
  <si>
    <t>530|521</t>
  </si>
  <si>
    <t>546|468</t>
  </si>
  <si>
    <t>557|507</t>
  </si>
  <si>
    <t>542|450</t>
  </si>
  <si>
    <t>459|440</t>
  </si>
  <si>
    <t>604|520</t>
  </si>
  <si>
    <t>448|518</t>
  </si>
  <si>
    <t>465|518</t>
  </si>
  <si>
    <t>402|449</t>
  </si>
  <si>
    <t>553|567</t>
  </si>
  <si>
    <t>545|479</t>
  </si>
  <si>
    <t>467|533</t>
  </si>
  <si>
    <t>534|484</t>
  </si>
  <si>
    <t>435|499</t>
  </si>
  <si>
    <t>584|523</t>
  </si>
  <si>
    <t>574|420</t>
  </si>
  <si>
    <t>572|517</t>
  </si>
  <si>
    <t>437|515</t>
  </si>
  <si>
    <t>434|459</t>
  </si>
  <si>
    <t>441|539</t>
  </si>
  <si>
    <t>411|532</t>
  </si>
  <si>
    <t>568|535</t>
  </si>
  <si>
    <t>440|522</t>
  </si>
  <si>
    <t>550|533</t>
  </si>
  <si>
    <t>443|454</t>
  </si>
  <si>
    <t>452|442</t>
  </si>
  <si>
    <t>508|394</t>
  </si>
  <si>
    <t>493|606</t>
  </si>
  <si>
    <t>427|502</t>
  </si>
  <si>
    <t>533|597</t>
  </si>
  <si>
    <t>441|460</t>
  </si>
  <si>
    <t>534|455</t>
  </si>
  <si>
    <t>433|512</t>
  </si>
  <si>
    <t>482|518</t>
  </si>
  <si>
    <t>517|426</t>
  </si>
  <si>
    <t>455|540</t>
  </si>
  <si>
    <t>472|560</t>
  </si>
  <si>
    <t>474|583</t>
  </si>
  <si>
    <t>428|493</t>
  </si>
  <si>
    <t>435|525</t>
  </si>
  <si>
    <t>603|480</t>
  </si>
  <si>
    <t>492|424</t>
  </si>
  <si>
    <t>466|432</t>
  </si>
  <si>
    <t>480|597</t>
  </si>
  <si>
    <t>472|429</t>
  </si>
  <si>
    <t>451|580</t>
  </si>
  <si>
    <t>506|430</t>
  </si>
  <si>
    <t>476|433</t>
  </si>
  <si>
    <t>533|579</t>
  </si>
  <si>
    <t>496|505</t>
  </si>
  <si>
    <t>483|444</t>
  </si>
  <si>
    <t>548|504</t>
  </si>
  <si>
    <t>533|447</t>
  </si>
  <si>
    <t>534|519</t>
  </si>
  <si>
    <t>457|458</t>
  </si>
  <si>
    <t>437|510</t>
  </si>
  <si>
    <t>559|455</t>
  </si>
  <si>
    <t>559|575</t>
  </si>
  <si>
    <t>522|551</t>
  </si>
  <si>
    <t>575|445</t>
  </si>
  <si>
    <t>524|558</t>
  </si>
  <si>
    <t>487|495</t>
  </si>
  <si>
    <t>475|522</t>
  </si>
  <si>
    <t>417|571</t>
  </si>
  <si>
    <t>420|467</t>
  </si>
  <si>
    <t>600|476</t>
  </si>
  <si>
    <t>573|505</t>
  </si>
  <si>
    <t>520|566</t>
  </si>
  <si>
    <t>450|547</t>
  </si>
  <si>
    <t>561|499</t>
  </si>
  <si>
    <t>511|432</t>
  </si>
  <si>
    <t>531|411</t>
  </si>
  <si>
    <t>518|567</t>
  </si>
  <si>
    <t>535|430</t>
  </si>
  <si>
    <t>402|516</t>
  </si>
  <si>
    <t>562|411</t>
  </si>
  <si>
    <t>555|531</t>
  </si>
  <si>
    <t>503|547</t>
  </si>
  <si>
    <t>605|533</t>
  </si>
  <si>
    <t>591|469</t>
  </si>
  <si>
    <t>469|550</t>
  </si>
  <si>
    <t>526|456</t>
  </si>
  <si>
    <t>481|593</t>
  </si>
  <si>
    <t>533|469</t>
  </si>
  <si>
    <t>516|441</t>
  </si>
  <si>
    <t>543|567</t>
  </si>
  <si>
    <t>407|553</t>
  </si>
  <si>
    <t>565|503</t>
  </si>
  <si>
    <t>571|570</t>
  </si>
  <si>
    <t>496|567</t>
  </si>
  <si>
    <t>596|471</t>
  </si>
  <si>
    <t>556|503</t>
  </si>
  <si>
    <t>426|501</t>
  </si>
  <si>
    <t>517|394</t>
  </si>
  <si>
    <t>443|592</t>
  </si>
  <si>
    <t>444|546</t>
  </si>
  <si>
    <t>485|421</t>
  </si>
  <si>
    <t>419|518</t>
  </si>
  <si>
    <t>464|532</t>
  </si>
  <si>
    <t>543|528</t>
  </si>
  <si>
    <t>544|447</t>
  </si>
  <si>
    <t>452|502</t>
  </si>
  <si>
    <t>561|437</t>
  </si>
  <si>
    <t>532|412</t>
  </si>
  <si>
    <t>451|480</t>
  </si>
  <si>
    <t>447|447</t>
  </si>
  <si>
    <t>401|523</t>
  </si>
  <si>
    <t>517|549</t>
  </si>
  <si>
    <t>440|470</t>
  </si>
  <si>
    <t>434|536</t>
  </si>
  <si>
    <t>532|450</t>
  </si>
  <si>
    <t>519|571</t>
  </si>
  <si>
    <t>491|484</t>
  </si>
  <si>
    <t>481|476</t>
  </si>
  <si>
    <t>527|406</t>
  </si>
  <si>
    <t>410|516</t>
  </si>
  <si>
    <t>486|432</t>
  </si>
  <si>
    <t>598|485</t>
  </si>
  <si>
    <t>502|402</t>
  </si>
  <si>
    <t>454|548</t>
  </si>
  <si>
    <t>479|502</t>
  </si>
  <si>
    <t>569|514</t>
  </si>
  <si>
    <t>398|476</t>
  </si>
  <si>
    <t>550|564</t>
  </si>
  <si>
    <t>594|466</t>
  </si>
  <si>
    <t>536|496</t>
  </si>
  <si>
    <t>501|578</t>
  </si>
  <si>
    <t>426|524</t>
  </si>
  <si>
    <t>502|401</t>
  </si>
  <si>
    <t>561|461</t>
  </si>
  <si>
    <t>470|447</t>
  </si>
  <si>
    <t>600|466</t>
  </si>
  <si>
    <t>471|431</t>
  </si>
  <si>
    <t>574|515</t>
  </si>
  <si>
    <t>568|536</t>
  </si>
  <si>
    <t>507|439</t>
  </si>
  <si>
    <t>551|424</t>
  </si>
  <si>
    <t>405|471</t>
  </si>
  <si>
    <t>435|531</t>
  </si>
  <si>
    <t>528|402</t>
  </si>
  <si>
    <t>511|455</t>
  </si>
  <si>
    <t>534|434</t>
  </si>
  <si>
    <t>486|605</t>
  </si>
  <si>
    <t>505|442</t>
  </si>
  <si>
    <t>438|539</t>
  </si>
  <si>
    <t>558|518</t>
  </si>
  <si>
    <t>485|396</t>
  </si>
  <si>
    <t>467|539</t>
  </si>
  <si>
    <t>471|535</t>
  </si>
  <si>
    <t>587|447</t>
  </si>
  <si>
    <t>500|402</t>
  </si>
  <si>
    <t>516|432</t>
  </si>
  <si>
    <t>412|550</t>
  </si>
  <si>
    <t>524|537</t>
  </si>
  <si>
    <t>518|490</t>
  </si>
  <si>
    <t>603|512</t>
  </si>
  <si>
    <t>559|446</t>
  </si>
  <si>
    <t>487|508</t>
  </si>
  <si>
    <t>558|524</t>
  </si>
  <si>
    <t>531|548</t>
  </si>
  <si>
    <t>456|533</t>
  </si>
  <si>
    <t>538|522</t>
  </si>
  <si>
    <t>477|434</t>
  </si>
  <si>
    <t>492|420</t>
  </si>
  <si>
    <t>506|531</t>
  </si>
  <si>
    <t>420|513</t>
  </si>
  <si>
    <t>450|557</t>
  </si>
  <si>
    <t>417|424</t>
  </si>
  <si>
    <t>491|595</t>
  </si>
  <si>
    <t>543|452</t>
  </si>
  <si>
    <t>536|534</t>
  </si>
  <si>
    <t>464|582</t>
  </si>
  <si>
    <t>484|453</t>
  </si>
  <si>
    <t>549|560</t>
  </si>
  <si>
    <t>573|567</t>
  </si>
  <si>
    <t>483|407</t>
  </si>
  <si>
    <t>463|394</t>
  </si>
  <si>
    <t>438|504</t>
  </si>
  <si>
    <t>607|477</t>
  </si>
  <si>
    <t>412|524</t>
  </si>
  <si>
    <t>425|493</t>
  </si>
  <si>
    <t>412|542</t>
  </si>
  <si>
    <t>462|485</t>
  </si>
  <si>
    <t>464|460</t>
  </si>
  <si>
    <t>560|545</t>
  </si>
  <si>
    <t>566|479</t>
  </si>
  <si>
    <t>458|552</t>
  </si>
  <si>
    <t>435|583</t>
  </si>
  <si>
    <t>599|456</t>
  </si>
  <si>
    <t>507|501</t>
  </si>
  <si>
    <t>532|580</t>
  </si>
  <si>
    <t>475|564</t>
  </si>
  <si>
    <t>568|540</t>
  </si>
  <si>
    <t>554|490</t>
  </si>
  <si>
    <t>429|502</t>
  </si>
  <si>
    <t>419|570</t>
  </si>
  <si>
    <t>609|487</t>
  </si>
  <si>
    <t>449|526</t>
  </si>
  <si>
    <t>494|493</t>
  </si>
  <si>
    <t>463|595</t>
  </si>
  <si>
    <t>460|448</t>
  </si>
  <si>
    <t>424|457</t>
  </si>
  <si>
    <t>559|482</t>
  </si>
  <si>
    <t>440|539</t>
  </si>
  <si>
    <t>499|578</t>
  </si>
  <si>
    <t>552|559</t>
  </si>
  <si>
    <t>482|424</t>
  </si>
  <si>
    <t>402|484</t>
  </si>
  <si>
    <t>451|422</t>
  </si>
  <si>
    <t>463|505</t>
  </si>
  <si>
    <t>534|572</t>
  </si>
  <si>
    <t>434|503</t>
  </si>
  <si>
    <t>423|481</t>
  </si>
  <si>
    <t>457|492</t>
  </si>
  <si>
    <t>539|457</t>
  </si>
  <si>
    <t>524|508</t>
  </si>
  <si>
    <t>567|463</t>
  </si>
  <si>
    <t>607|483</t>
  </si>
  <si>
    <t>442|504</t>
  </si>
  <si>
    <t>569|511</t>
  </si>
  <si>
    <t>523|506</t>
  </si>
  <si>
    <t>567|492</t>
  </si>
  <si>
    <t>453|455</t>
  </si>
  <si>
    <t>517|533</t>
  </si>
  <si>
    <t>464|459</t>
  </si>
  <si>
    <t>565|458</t>
  </si>
  <si>
    <t>413|445</t>
  </si>
  <si>
    <t>591|535</t>
  </si>
  <si>
    <t>536|567</t>
  </si>
  <si>
    <t>456|451</t>
  </si>
  <si>
    <t>569|568</t>
  </si>
  <si>
    <t>524|430</t>
  </si>
  <si>
    <t>550|524</t>
  </si>
  <si>
    <t>559|534</t>
  </si>
  <si>
    <t>530|459</t>
  </si>
  <si>
    <t>574|561</t>
  </si>
  <si>
    <t>495|500</t>
  </si>
  <si>
    <t>597|517</t>
  </si>
  <si>
    <t>544|545</t>
  </si>
  <si>
    <t>473|441</t>
  </si>
  <si>
    <t>535|463</t>
  </si>
  <si>
    <t>443|517</t>
  </si>
  <si>
    <t>535|498</t>
  </si>
  <si>
    <t>496|421</t>
  </si>
  <si>
    <t>454|581</t>
  </si>
  <si>
    <t>440|532</t>
  </si>
  <si>
    <t>425|566</t>
  </si>
  <si>
    <t>425|468</t>
  </si>
  <si>
    <t>508|398</t>
  </si>
  <si>
    <t>533|554</t>
  </si>
  <si>
    <t>469|551</t>
  </si>
  <si>
    <t>456|486</t>
  </si>
  <si>
    <t>409|563</t>
  </si>
  <si>
    <t>459|452</t>
  </si>
  <si>
    <t>412|439</t>
  </si>
  <si>
    <t>546|440</t>
  </si>
  <si>
    <t>527|459</t>
  </si>
  <si>
    <t>544|505</t>
  </si>
  <si>
    <t>466|444</t>
  </si>
  <si>
    <t>570|511</t>
  </si>
  <si>
    <t>493|544</t>
  </si>
  <si>
    <t>477|571</t>
  </si>
  <si>
    <t>427|514</t>
  </si>
  <si>
    <t>516|440</t>
  </si>
  <si>
    <t>511|465</t>
  </si>
  <si>
    <t>555|549</t>
  </si>
  <si>
    <t>436|588</t>
  </si>
  <si>
    <t>558|525</t>
  </si>
  <si>
    <t>451|565</t>
  </si>
  <si>
    <t>604|536</t>
  </si>
  <si>
    <t>510|525</t>
  </si>
  <si>
    <t>465|429</t>
  </si>
  <si>
    <t>512|575</t>
  </si>
  <si>
    <t>524|575</t>
  </si>
  <si>
    <t>527|466</t>
  </si>
  <si>
    <t>449|550</t>
  </si>
  <si>
    <t>416|468</t>
  </si>
  <si>
    <t>477|578</t>
  </si>
  <si>
    <t>526|555</t>
  </si>
  <si>
    <t>455|446</t>
  </si>
  <si>
    <t>571|567</t>
  </si>
  <si>
    <t>448|452</t>
  </si>
  <si>
    <t>480|586</t>
  </si>
  <si>
    <t>430|586</t>
  </si>
  <si>
    <t>491|433</t>
  </si>
  <si>
    <t>504|607</t>
  </si>
  <si>
    <t>605|468</t>
  </si>
  <si>
    <t>435|474</t>
  </si>
  <si>
    <t>509|529</t>
  </si>
  <si>
    <t>545|532</t>
  </si>
  <si>
    <t>564|563</t>
  </si>
  <si>
    <t>542|539</t>
  </si>
  <si>
    <t>571|482</t>
  </si>
  <si>
    <t>591|516</t>
  </si>
  <si>
    <t>454|484</t>
  </si>
  <si>
    <t>556|556</t>
  </si>
  <si>
    <t>486|424</t>
  </si>
  <si>
    <t>584|555</t>
  </si>
  <si>
    <t>485|473</t>
  </si>
  <si>
    <t>489|602</t>
  </si>
  <si>
    <t>501|568</t>
  </si>
  <si>
    <t>554|581</t>
  </si>
  <si>
    <t>542|455</t>
  </si>
  <si>
    <t>547|551</t>
  </si>
  <si>
    <t>512|453</t>
  </si>
  <si>
    <t>575|493</t>
  </si>
  <si>
    <t>569|509</t>
  </si>
  <si>
    <t>512|566</t>
  </si>
  <si>
    <t>507|511</t>
  </si>
  <si>
    <t>493|424</t>
  </si>
  <si>
    <t>595|511</t>
  </si>
  <si>
    <t>460|495</t>
  </si>
  <si>
    <t>536|446</t>
  </si>
  <si>
    <t>541|470</t>
  </si>
  <si>
    <t>496|480</t>
  </si>
  <si>
    <t>538|570</t>
  </si>
  <si>
    <t>504|436</t>
  </si>
  <si>
    <t>578|562</t>
  </si>
  <si>
    <t>451|491</t>
  </si>
  <si>
    <t>469|598</t>
  </si>
  <si>
    <t>447|537</t>
  </si>
  <si>
    <t>494|576</t>
  </si>
  <si>
    <t>583|519</t>
  </si>
  <si>
    <t>527|452</t>
  </si>
  <si>
    <t>437|524</t>
  </si>
  <si>
    <t>498|396</t>
  </si>
  <si>
    <t>474|429</t>
  </si>
  <si>
    <t>555|446</t>
  </si>
  <si>
    <t>564|503</t>
  </si>
  <si>
    <t>571|473</t>
  </si>
  <si>
    <t>498|440</t>
  </si>
  <si>
    <t>534|473</t>
  </si>
  <si>
    <t>491|503</t>
  </si>
  <si>
    <t>473|462</t>
  </si>
  <si>
    <t>442|478</t>
  </si>
  <si>
    <t>540|442</t>
  </si>
  <si>
    <t>426|516</t>
  </si>
  <si>
    <t>441|422</t>
  </si>
  <si>
    <t>462|529</t>
  </si>
  <si>
    <t>449|469</t>
  </si>
  <si>
    <t>575|422</t>
  </si>
  <si>
    <t>448|423</t>
  </si>
  <si>
    <t>450|515</t>
  </si>
  <si>
    <t>479|427</t>
  </si>
  <si>
    <t>537|566</t>
  </si>
  <si>
    <t>576|556</t>
  </si>
  <si>
    <t>537|451</t>
  </si>
  <si>
    <t>400|504</t>
  </si>
  <si>
    <t>475|528</t>
  </si>
  <si>
    <t>470|552</t>
  </si>
  <si>
    <t>540|540</t>
  </si>
  <si>
    <t>603|509</t>
  </si>
  <si>
    <t>487|428</t>
  </si>
  <si>
    <t>468|469</t>
  </si>
  <si>
    <t>550|498</t>
  </si>
  <si>
    <t>568|423</t>
  </si>
  <si>
    <t>447|429</t>
  </si>
  <si>
    <t>489|421</t>
  </si>
  <si>
    <t>454|521</t>
  </si>
  <si>
    <t>439|417</t>
  </si>
  <si>
    <t>602|486</t>
  </si>
  <si>
    <t>520|482</t>
  </si>
  <si>
    <t>591|476</t>
  </si>
  <si>
    <t>464|555</t>
  </si>
  <si>
    <t>495|592</t>
  </si>
  <si>
    <t>477|404</t>
  </si>
  <si>
    <t>467|456</t>
  </si>
  <si>
    <t>478|410</t>
  </si>
  <si>
    <t>442|482</t>
  </si>
  <si>
    <t>447|519</t>
  </si>
  <si>
    <t>403|527</t>
  </si>
  <si>
    <t>494|573</t>
  </si>
  <si>
    <t>562|576</t>
  </si>
  <si>
    <t>421|449</t>
  </si>
  <si>
    <t>521|477</t>
  </si>
  <si>
    <t>586|492</t>
  </si>
  <si>
    <t>511|566</t>
  </si>
  <si>
    <t>456|456</t>
  </si>
  <si>
    <t>470|421</t>
  </si>
  <si>
    <t>488|461</t>
  </si>
  <si>
    <t>508|545</t>
  </si>
  <si>
    <t>565|456</t>
  </si>
  <si>
    <t>482|596</t>
  </si>
  <si>
    <t>457|435</t>
  </si>
  <si>
    <t>483|563</t>
  </si>
  <si>
    <t>547|543</t>
  </si>
  <si>
    <t>510|517</t>
  </si>
  <si>
    <t>563|512</t>
  </si>
  <si>
    <t>450|586</t>
  </si>
  <si>
    <t>490|443</t>
  </si>
  <si>
    <t>455|460</t>
  </si>
  <si>
    <t>420|454</t>
  </si>
  <si>
    <t>478|468</t>
  </si>
  <si>
    <t>440|471</t>
  </si>
  <si>
    <t>448|543</t>
  </si>
  <si>
    <t>530|520</t>
  </si>
  <si>
    <t>521|542</t>
  </si>
  <si>
    <t>516|557</t>
  </si>
  <si>
    <t>569|457</t>
  </si>
  <si>
    <t>433|477</t>
  </si>
  <si>
    <t>495|443</t>
  </si>
  <si>
    <t>546|465</t>
  </si>
  <si>
    <t>480|401</t>
  </si>
  <si>
    <t>516|574</t>
  </si>
  <si>
    <t>575|444</t>
  </si>
  <si>
    <t>475|572</t>
  </si>
  <si>
    <t>527|491</t>
  </si>
  <si>
    <t>442|449</t>
  </si>
  <si>
    <t>560|410</t>
  </si>
  <si>
    <t>465|470</t>
  </si>
  <si>
    <t>467|444</t>
  </si>
  <si>
    <t>434|452</t>
  </si>
  <si>
    <t>449|524</t>
  </si>
  <si>
    <t>488|395</t>
  </si>
  <si>
    <t>410|436</t>
  </si>
  <si>
    <t>570|518</t>
  </si>
  <si>
    <t>489|428</t>
  </si>
  <si>
    <t>538|470</t>
  </si>
  <si>
    <t>573|458</t>
  </si>
  <si>
    <t>577|499</t>
  </si>
  <si>
    <t>494|556</t>
  </si>
  <si>
    <t>466|497</t>
  </si>
  <si>
    <t>417|507</t>
  </si>
  <si>
    <t>558|545</t>
  </si>
  <si>
    <t>464|567</t>
  </si>
  <si>
    <t>517|458</t>
  </si>
  <si>
    <t>579|464</t>
  </si>
  <si>
    <t>455|565</t>
  </si>
  <si>
    <t>432|418</t>
  </si>
  <si>
    <t>541|555</t>
  </si>
  <si>
    <t>551|556</t>
  </si>
  <si>
    <t>494|437</t>
  </si>
  <si>
    <t>555|505</t>
  </si>
  <si>
    <t>465|404</t>
  </si>
  <si>
    <t>550|549</t>
  </si>
  <si>
    <t>568|482</t>
  </si>
  <si>
    <t>592|436</t>
  </si>
  <si>
    <t>609|510</t>
  </si>
  <si>
    <t>516|476</t>
  </si>
  <si>
    <t>453|492</t>
  </si>
  <si>
    <t>553|446</t>
  </si>
  <si>
    <t>578|558</t>
  </si>
  <si>
    <t>448|501</t>
  </si>
  <si>
    <t>408|531</t>
  </si>
  <si>
    <t>551|417</t>
  </si>
  <si>
    <t>592|456</t>
  </si>
  <si>
    <t>517|538</t>
  </si>
  <si>
    <t>427|571</t>
  </si>
  <si>
    <t>453|595</t>
  </si>
  <si>
    <t>501|493</t>
  </si>
  <si>
    <t>436|454</t>
  </si>
  <si>
    <t>563|536</t>
  </si>
  <si>
    <t>528|536</t>
  </si>
  <si>
    <t>423|518</t>
  </si>
  <si>
    <t>476|427</t>
  </si>
  <si>
    <t>438|459</t>
  </si>
  <si>
    <t>573|506</t>
  </si>
  <si>
    <t>574|481</t>
  </si>
  <si>
    <t>587|476</t>
  </si>
  <si>
    <t>502|554</t>
  </si>
  <si>
    <t>605|487</t>
  </si>
  <si>
    <t>452|517</t>
  </si>
  <si>
    <t>438|518</t>
  </si>
  <si>
    <t>500|430</t>
  </si>
  <si>
    <t>487|496</t>
  </si>
  <si>
    <t>465|464</t>
  </si>
  <si>
    <t>516|533</t>
  </si>
  <si>
    <t>606|523</t>
  </si>
  <si>
    <t>430|467</t>
  </si>
  <si>
    <t>525|405</t>
  </si>
  <si>
    <t>526|442</t>
  </si>
  <si>
    <t>451|456</t>
  </si>
  <si>
    <t>463|460</t>
  </si>
  <si>
    <t>510|436</t>
  </si>
  <si>
    <t>584|553</t>
  </si>
  <si>
    <t>556|570</t>
  </si>
  <si>
    <t>439|470</t>
  </si>
  <si>
    <t>487|561</t>
  </si>
  <si>
    <t>564|499</t>
  </si>
  <si>
    <t>592|560</t>
  </si>
  <si>
    <t>543|518</t>
  </si>
  <si>
    <t>481|603</t>
  </si>
  <si>
    <t>596|483</t>
  </si>
  <si>
    <t>440|516</t>
  </si>
  <si>
    <t>537|554</t>
  </si>
  <si>
    <t>440|436</t>
  </si>
  <si>
    <t>500|562</t>
  </si>
  <si>
    <t>563|479</t>
  </si>
  <si>
    <t>554|455</t>
  </si>
  <si>
    <t>527|574</t>
  </si>
  <si>
    <t>526|522</t>
  </si>
  <si>
    <t>583|475</t>
  </si>
  <si>
    <t>455|490</t>
  </si>
  <si>
    <t>401|505</t>
  </si>
  <si>
    <t>439|532</t>
  </si>
  <si>
    <t>556|528</t>
  </si>
  <si>
    <t>404|453</t>
  </si>
  <si>
    <t>540|411</t>
  </si>
  <si>
    <t>524|449</t>
  </si>
  <si>
    <t>483|573</t>
  </si>
  <si>
    <t>481|472</t>
  </si>
  <si>
    <t>491|487</t>
  </si>
  <si>
    <t>433|492</t>
  </si>
  <si>
    <t>463|454</t>
  </si>
  <si>
    <t>497|430</t>
  </si>
  <si>
    <t>565|422</t>
  </si>
  <si>
    <t>534|462</t>
  </si>
  <si>
    <t>555|452</t>
  </si>
  <si>
    <t>426|537</t>
  </si>
  <si>
    <t>428|532</t>
  </si>
  <si>
    <t>580|500</t>
  </si>
  <si>
    <t>444|463</t>
  </si>
  <si>
    <t>453|561</t>
  </si>
  <si>
    <t>517|432</t>
  </si>
  <si>
    <t>435|454</t>
  </si>
  <si>
    <t>512|568</t>
  </si>
  <si>
    <t>526|543</t>
  </si>
  <si>
    <t>563|565</t>
  </si>
  <si>
    <t>435|534</t>
  </si>
  <si>
    <t>469|427</t>
  </si>
  <si>
    <t>602|449</t>
  </si>
  <si>
    <t>494|474</t>
  </si>
  <si>
    <t>495|445</t>
  </si>
  <si>
    <t>446|412</t>
  </si>
  <si>
    <t>453|533</t>
  </si>
  <si>
    <t>497|481</t>
  </si>
  <si>
    <t>445|425</t>
  </si>
  <si>
    <t>490|441</t>
  </si>
  <si>
    <t>558|571</t>
  </si>
  <si>
    <t>490|480</t>
  </si>
  <si>
    <t>557|509</t>
  </si>
  <si>
    <t>495|421</t>
  </si>
  <si>
    <t>440|450</t>
  </si>
  <si>
    <t>428|474</t>
  </si>
  <si>
    <t>496|568</t>
  </si>
  <si>
    <t>496|418</t>
  </si>
  <si>
    <t>450|536</t>
  </si>
  <si>
    <t>421|475</t>
  </si>
  <si>
    <t>445|519</t>
  </si>
  <si>
    <t>571|471</t>
  </si>
  <si>
    <t>464|559</t>
  </si>
  <si>
    <t>508|456</t>
  </si>
  <si>
    <t>529|524</t>
  </si>
  <si>
    <t>586|562</t>
  </si>
  <si>
    <t>465|502</t>
  </si>
  <si>
    <t>490|450</t>
  </si>
  <si>
    <t>450|539</t>
  </si>
  <si>
    <t>502|529</t>
  </si>
  <si>
    <t>485|531</t>
  </si>
  <si>
    <t>447|500</t>
  </si>
  <si>
    <t>568|472</t>
  </si>
  <si>
    <t>524|560</t>
  </si>
  <si>
    <t>457|505</t>
  </si>
  <si>
    <t>435|498</t>
  </si>
  <si>
    <t>576|477</t>
  </si>
  <si>
    <t>430|573</t>
  </si>
  <si>
    <t>460|443</t>
  </si>
  <si>
    <t>429|500</t>
  </si>
  <si>
    <t>425|497</t>
  </si>
  <si>
    <t>483|414</t>
  </si>
  <si>
    <t>491|575</t>
  </si>
  <si>
    <t>552|600</t>
  </si>
  <si>
    <t>425|476</t>
  </si>
  <si>
    <t>542|602</t>
  </si>
  <si>
    <t>454|471</t>
  </si>
  <si>
    <t>463|538</t>
  </si>
  <si>
    <t>458|462</t>
  </si>
  <si>
    <t>572|579</t>
  </si>
  <si>
    <t>448|566</t>
  </si>
  <si>
    <t>457|589</t>
  </si>
  <si>
    <t>574|498</t>
  </si>
  <si>
    <t>475|452</t>
  </si>
  <si>
    <t>474|526</t>
  </si>
  <si>
    <t>570|567</t>
  </si>
  <si>
    <t>564|530</t>
  </si>
  <si>
    <t>598|504</t>
  </si>
  <si>
    <t>434|528</t>
  </si>
  <si>
    <t>519|564</t>
  </si>
  <si>
    <t>523|451</t>
  </si>
  <si>
    <t>552|459</t>
  </si>
  <si>
    <t>433|520</t>
  </si>
  <si>
    <t>534|561</t>
  </si>
  <si>
    <t>479|558</t>
  </si>
  <si>
    <t>439|435</t>
  </si>
  <si>
    <t>584|552</t>
  </si>
  <si>
    <t>497|448</t>
  </si>
  <si>
    <t>521|425</t>
  </si>
  <si>
    <t>485|432</t>
  </si>
  <si>
    <t>504|475</t>
  </si>
  <si>
    <t>546|553</t>
  </si>
  <si>
    <t>512|399</t>
  </si>
  <si>
    <t>431|493</t>
  </si>
  <si>
    <t>458|534</t>
  </si>
  <si>
    <t>486|555</t>
  </si>
  <si>
    <t>586|454</t>
  </si>
  <si>
    <t>427|474</t>
  </si>
  <si>
    <t>555|525</t>
  </si>
  <si>
    <t>459|458</t>
  </si>
  <si>
    <t>584|472</t>
  </si>
  <si>
    <t>431|469</t>
  </si>
  <si>
    <t>538|455</t>
  </si>
  <si>
    <t>534|438</t>
  </si>
  <si>
    <t>576|505</t>
  </si>
  <si>
    <t>482|546</t>
  </si>
  <si>
    <t>491|559</t>
  </si>
  <si>
    <t>571|465</t>
  </si>
  <si>
    <t>453|427</t>
  </si>
  <si>
    <t>520|449</t>
  </si>
  <si>
    <t>605|470</t>
  </si>
  <si>
    <t>462|533</t>
  </si>
  <si>
    <t>440|547</t>
  </si>
  <si>
    <t>485|481</t>
  </si>
  <si>
    <t>515|563</t>
  </si>
  <si>
    <t>482|437</t>
  </si>
  <si>
    <t>513|450</t>
  </si>
  <si>
    <t>517|512</t>
  </si>
  <si>
    <t>488|477</t>
  </si>
  <si>
    <t>526|455</t>
  </si>
  <si>
    <t>469|408</t>
  </si>
  <si>
    <t>518|575</t>
  </si>
  <si>
    <t>454|600</t>
  </si>
  <si>
    <t>591|503</t>
  </si>
  <si>
    <t>601|517</t>
  </si>
  <si>
    <t>469|569</t>
  </si>
  <si>
    <t>479|574</t>
  </si>
  <si>
    <t>475|434</t>
  </si>
  <si>
    <t>441|484</t>
  </si>
  <si>
    <t>527|414</t>
  </si>
  <si>
    <t>469|429</t>
  </si>
  <si>
    <t>418|466</t>
  </si>
  <si>
    <t>430|515</t>
  </si>
  <si>
    <t>586|429</t>
  </si>
  <si>
    <t>533|551</t>
  </si>
  <si>
    <t>505|575</t>
  </si>
  <si>
    <t>495|601</t>
  </si>
  <si>
    <t>526|479</t>
  </si>
  <si>
    <t>460|596</t>
  </si>
  <si>
    <t>546|471</t>
  </si>
  <si>
    <t>433|483</t>
  </si>
  <si>
    <t>423|444</t>
  </si>
  <si>
    <t>469|587</t>
  </si>
  <si>
    <t>420|537</t>
  </si>
  <si>
    <t>444|420</t>
  </si>
  <si>
    <t>441|470</t>
  </si>
  <si>
    <t>519|399</t>
  </si>
  <si>
    <t>486|419</t>
  </si>
  <si>
    <t>445|424</t>
  </si>
  <si>
    <t>452|469</t>
  </si>
  <si>
    <t>511|441</t>
  </si>
  <si>
    <t>442|545</t>
  </si>
  <si>
    <t>562|535</t>
  </si>
  <si>
    <t>547|529</t>
  </si>
  <si>
    <t>447|414</t>
  </si>
  <si>
    <t>445|477</t>
  </si>
  <si>
    <t>454|510</t>
  </si>
  <si>
    <t>458|591</t>
  </si>
  <si>
    <t>497|440</t>
  </si>
  <si>
    <t>549|494</t>
  </si>
  <si>
    <t>475|590</t>
  </si>
  <si>
    <t>531|516</t>
  </si>
  <si>
    <t>490|429</t>
  </si>
  <si>
    <t>531|584</t>
  </si>
  <si>
    <t>562|418</t>
  </si>
  <si>
    <t>520|460</t>
  </si>
  <si>
    <t>548|566</t>
  </si>
  <si>
    <t>564|421</t>
  </si>
  <si>
    <t>464|566</t>
  </si>
  <si>
    <t>525|442</t>
  </si>
  <si>
    <t>433|503</t>
  </si>
  <si>
    <t>465|598</t>
  </si>
  <si>
    <t>440|509</t>
  </si>
  <si>
    <t>455|459</t>
  </si>
  <si>
    <t>474|428</t>
  </si>
  <si>
    <t>446|493</t>
  </si>
  <si>
    <t>422|564</t>
  </si>
  <si>
    <t>532|396</t>
  </si>
  <si>
    <t>573|464</t>
  </si>
  <si>
    <t>558|465</t>
  </si>
  <si>
    <t>507|567</t>
  </si>
  <si>
    <t>573|539</t>
  </si>
  <si>
    <t>546|413</t>
  </si>
  <si>
    <t>452|429</t>
  </si>
  <si>
    <t>444|474</t>
  </si>
  <si>
    <t>423|478</t>
  </si>
  <si>
    <t>559|508</t>
  </si>
  <si>
    <t>533|445</t>
  </si>
  <si>
    <t>569|542</t>
  </si>
  <si>
    <t>516|473</t>
  </si>
  <si>
    <t>514|558</t>
  </si>
  <si>
    <t>466|510</t>
  </si>
  <si>
    <t>417|567</t>
  </si>
  <si>
    <t>550|421</t>
  </si>
  <si>
    <t>603|486</t>
  </si>
  <si>
    <t>493|570</t>
  </si>
  <si>
    <t>553|474</t>
  </si>
  <si>
    <t>545|449</t>
  </si>
  <si>
    <t>545|552</t>
  </si>
  <si>
    <t>551|481</t>
  </si>
  <si>
    <t>448|592</t>
  </si>
  <si>
    <t>509|402</t>
  </si>
  <si>
    <t>482|435</t>
  </si>
  <si>
    <t>538|461</t>
  </si>
  <si>
    <t>503|426</t>
  </si>
  <si>
    <t>407|515</t>
  </si>
  <si>
    <t>470|489</t>
  </si>
  <si>
    <t>563|465</t>
  </si>
  <si>
    <t>465|434</t>
  </si>
  <si>
    <t>528|500</t>
  </si>
  <si>
    <t>571|436</t>
  </si>
  <si>
    <t>478|498</t>
  </si>
  <si>
    <t>461|523</t>
  </si>
  <si>
    <t>571|511</t>
  </si>
  <si>
    <t>420|566</t>
  </si>
  <si>
    <t>562|478</t>
  </si>
  <si>
    <t>453|535</t>
  </si>
  <si>
    <t>533|564</t>
  </si>
  <si>
    <t>489|404</t>
  </si>
  <si>
    <t>456|507</t>
  </si>
  <si>
    <t>540|521</t>
  </si>
  <si>
    <t>427|515</t>
  </si>
  <si>
    <t>488|542</t>
  </si>
  <si>
    <t>595|503</t>
  </si>
  <si>
    <t>599|488</t>
  </si>
  <si>
    <t>421|501</t>
  </si>
  <si>
    <t>480|536</t>
  </si>
  <si>
    <t>480|547</t>
  </si>
  <si>
    <t>476|466</t>
  </si>
  <si>
    <t>491|506</t>
  </si>
  <si>
    <t>460|571</t>
  </si>
  <si>
    <t>452|546</t>
  </si>
  <si>
    <t>565|531</t>
  </si>
  <si>
    <t>433|462</t>
  </si>
  <si>
    <t>541|569</t>
  </si>
  <si>
    <t>479|528</t>
  </si>
  <si>
    <t>502|417</t>
  </si>
  <si>
    <t>497|568</t>
  </si>
  <si>
    <t>463|546</t>
  </si>
  <si>
    <t>464|533</t>
  </si>
  <si>
    <t>421|505</t>
  </si>
  <si>
    <t>435|543</t>
  </si>
  <si>
    <t>436|498</t>
  </si>
  <si>
    <t>495|461</t>
  </si>
  <si>
    <t>470|535</t>
  </si>
  <si>
    <t>450|555</t>
  </si>
  <si>
    <t>547|525</t>
  </si>
  <si>
    <t>580|561</t>
  </si>
  <si>
    <t>450|569</t>
  </si>
  <si>
    <t>436|537</t>
  </si>
  <si>
    <t>425|485</t>
  </si>
  <si>
    <t>566|416</t>
  </si>
  <si>
    <t>492|527</t>
  </si>
  <si>
    <t>404|524</t>
  </si>
  <si>
    <t>415|426</t>
  </si>
  <si>
    <t>486|571</t>
  </si>
  <si>
    <t>438|542</t>
  </si>
  <si>
    <t>473|571</t>
  </si>
  <si>
    <t>519|542</t>
  </si>
  <si>
    <t>566|462</t>
  </si>
  <si>
    <t>445|553</t>
  </si>
  <si>
    <t>556|522</t>
  </si>
  <si>
    <t>492|532</t>
  </si>
  <si>
    <t>509|610</t>
  </si>
  <si>
    <t>528|457</t>
  </si>
  <si>
    <t>527|563</t>
  </si>
  <si>
    <t>439|567</t>
  </si>
  <si>
    <t>545|442</t>
  </si>
  <si>
    <t>550|447</t>
  </si>
  <si>
    <t>476|525</t>
  </si>
  <si>
    <t>433|516</t>
  </si>
  <si>
    <t>549|453</t>
  </si>
  <si>
    <t>444|589</t>
  </si>
  <si>
    <t>507|554</t>
  </si>
  <si>
    <t>566|523</t>
  </si>
  <si>
    <t>533|518</t>
  </si>
  <si>
    <t>460|467</t>
  </si>
  <si>
    <t>505|488</t>
  </si>
  <si>
    <t>503|579</t>
  </si>
  <si>
    <t>489|534</t>
  </si>
  <si>
    <t>461|489</t>
  </si>
  <si>
    <t>576|486</t>
  </si>
  <si>
    <t>401|531</t>
  </si>
  <si>
    <t>564|504</t>
  </si>
  <si>
    <t>432|493</t>
  </si>
  <si>
    <t>599|458</t>
  </si>
  <si>
    <t>595|472</t>
  </si>
  <si>
    <t>444|532</t>
  </si>
  <si>
    <t>529|409</t>
  </si>
  <si>
    <t>455|450</t>
  </si>
  <si>
    <t>554|525</t>
  </si>
  <si>
    <t>462|448</t>
  </si>
  <si>
    <t>531|491</t>
  </si>
  <si>
    <t>500|509</t>
  </si>
  <si>
    <t>500|576</t>
  </si>
  <si>
    <t>488|459</t>
  </si>
  <si>
    <t>558|514</t>
  </si>
  <si>
    <t>537|452</t>
  </si>
  <si>
    <t>509|500</t>
  </si>
  <si>
    <t>578|435</t>
  </si>
  <si>
    <t>568|496</t>
  </si>
  <si>
    <t>493|547</t>
  </si>
  <si>
    <t>432|505</t>
  </si>
  <si>
    <t>434|463</t>
  </si>
  <si>
    <t>448|458</t>
  </si>
  <si>
    <t>492|470</t>
  </si>
  <si>
    <t>579|524</t>
  </si>
  <si>
    <t>510|439</t>
  </si>
  <si>
    <t>536|434</t>
  </si>
  <si>
    <t>541|435</t>
  </si>
  <si>
    <t>523|555</t>
  </si>
  <si>
    <t>513|493</t>
  </si>
  <si>
    <t>539|429</t>
  </si>
  <si>
    <t>497|536</t>
  </si>
  <si>
    <t>521|408</t>
  </si>
  <si>
    <t>525|592</t>
  </si>
  <si>
    <t>556|453</t>
  </si>
  <si>
    <t>543|446</t>
  </si>
  <si>
    <t>577|492</t>
  </si>
  <si>
    <t>458|597</t>
  </si>
  <si>
    <t>497|569</t>
  </si>
  <si>
    <t>555|423</t>
  </si>
  <si>
    <t>422|563</t>
  </si>
  <si>
    <t>437|528</t>
  </si>
  <si>
    <t>481|575</t>
  </si>
  <si>
    <t>479|515</t>
  </si>
  <si>
    <t>419|535</t>
  </si>
  <si>
    <t>409|555</t>
  </si>
  <si>
    <t>552|487</t>
  </si>
  <si>
    <t>460|574</t>
  </si>
  <si>
    <t>429|487</t>
  </si>
  <si>
    <t>421|455</t>
  </si>
  <si>
    <t>503|555</t>
  </si>
  <si>
    <t>422|571</t>
  </si>
  <si>
    <t>567|543</t>
  </si>
  <si>
    <t>454|486</t>
  </si>
  <si>
    <t>580|499</t>
  </si>
  <si>
    <t>440|543</t>
  </si>
  <si>
    <t>557|435</t>
  </si>
  <si>
    <t>529|516</t>
  </si>
  <si>
    <t>458|582</t>
  </si>
  <si>
    <t>452|452</t>
  </si>
  <si>
    <t>509|589</t>
  </si>
  <si>
    <t>410|469</t>
  </si>
  <si>
    <t>591|454</t>
  </si>
  <si>
    <t>549|475</t>
  </si>
  <si>
    <t>514|392</t>
  </si>
  <si>
    <t>422|457</t>
  </si>
  <si>
    <t>546|552</t>
  </si>
  <si>
    <t>531|595</t>
  </si>
  <si>
    <t>489|579</t>
  </si>
  <si>
    <t>571|534</t>
  </si>
  <si>
    <t>504|537</t>
  </si>
  <si>
    <t>460|445</t>
  </si>
  <si>
    <t>582|558</t>
  </si>
  <si>
    <t>486|591</t>
  </si>
  <si>
    <t>417|463</t>
  </si>
  <si>
    <t>584|462</t>
  </si>
  <si>
    <t>499|581</t>
  </si>
  <si>
    <t>572|538</t>
  </si>
  <si>
    <t>480|579</t>
  </si>
  <si>
    <t>408|498</t>
  </si>
  <si>
    <t>520|592</t>
  </si>
  <si>
    <t>407|483</t>
  </si>
  <si>
    <t>484|484</t>
  </si>
  <si>
    <t>574|475</t>
  </si>
  <si>
    <t>477|397</t>
  </si>
  <si>
    <t>567|511</t>
  </si>
  <si>
    <t>575|434</t>
  </si>
  <si>
    <t>555|495</t>
  </si>
  <si>
    <t>501|445</t>
  </si>
  <si>
    <t>460|401</t>
  </si>
  <si>
    <t>497|417</t>
  </si>
  <si>
    <t>467|537</t>
  </si>
  <si>
    <t>519|499</t>
  </si>
  <si>
    <t>504|479</t>
  </si>
  <si>
    <t>545|499</t>
  </si>
  <si>
    <t>439|509</t>
  </si>
  <si>
    <t>432|524</t>
  </si>
  <si>
    <t>508|579</t>
  </si>
  <si>
    <t>476|393</t>
  </si>
  <si>
    <t>508|551</t>
  </si>
  <si>
    <t>494|538</t>
  </si>
  <si>
    <t>562|408</t>
  </si>
  <si>
    <t>522|569</t>
  </si>
  <si>
    <t>593|453</t>
  </si>
  <si>
    <t>432|465</t>
  </si>
  <si>
    <t>475|429</t>
  </si>
  <si>
    <t>434|517</t>
  </si>
  <si>
    <t>405|530</t>
  </si>
  <si>
    <t>535|510</t>
  </si>
  <si>
    <t>555|539</t>
  </si>
  <si>
    <t>519|567</t>
  </si>
  <si>
    <t>576|484</t>
  </si>
  <si>
    <t>420|565</t>
  </si>
  <si>
    <t>555|498</t>
  </si>
  <si>
    <t>577|425</t>
  </si>
  <si>
    <t>500|434</t>
  </si>
  <si>
    <t>443|527</t>
  </si>
  <si>
    <t>535|538</t>
  </si>
  <si>
    <t>531|473</t>
  </si>
  <si>
    <t>561|493</t>
  </si>
  <si>
    <t>511|558</t>
  </si>
  <si>
    <t>552|432</t>
  </si>
  <si>
    <t>451|447</t>
  </si>
  <si>
    <t>460|587</t>
  </si>
  <si>
    <t>545|533</t>
  </si>
  <si>
    <t>446|549</t>
  </si>
  <si>
    <t>473|418</t>
  </si>
  <si>
    <t>451|507</t>
  </si>
  <si>
    <t>489|450</t>
  </si>
  <si>
    <t>432|542</t>
  </si>
  <si>
    <t>470|599</t>
  </si>
  <si>
    <t>477|602</t>
  </si>
  <si>
    <t>589|485</t>
  </si>
  <si>
    <t>584|550</t>
  </si>
  <si>
    <t>565|461</t>
  </si>
  <si>
    <t>417|575</t>
  </si>
  <si>
    <t>564|416</t>
  </si>
  <si>
    <t>564|521</t>
  </si>
  <si>
    <t>395|528</t>
  </si>
  <si>
    <t>520|437</t>
  </si>
  <si>
    <t>582|485</t>
  </si>
  <si>
    <t>459|446</t>
  </si>
  <si>
    <t>541|460</t>
  </si>
  <si>
    <t>565|517</t>
  </si>
  <si>
    <t>512|535</t>
  </si>
  <si>
    <t>484|450</t>
  </si>
  <si>
    <t>475|433</t>
  </si>
  <si>
    <t>464|455</t>
  </si>
  <si>
    <t>442|516</t>
  </si>
  <si>
    <t>464|461</t>
  </si>
  <si>
    <t>510|537</t>
  </si>
  <si>
    <t>609|509</t>
  </si>
  <si>
    <t>548|492</t>
  </si>
  <si>
    <t>564|454</t>
  </si>
  <si>
    <t>411|548</t>
  </si>
  <si>
    <t>424|502</t>
  </si>
  <si>
    <t>444|595</t>
  </si>
  <si>
    <t>431|426</t>
  </si>
  <si>
    <t>502|425</t>
  </si>
  <si>
    <t>471|482</t>
  </si>
  <si>
    <t>481|559</t>
  </si>
  <si>
    <t>477|588</t>
  </si>
  <si>
    <t>512|465</t>
  </si>
  <si>
    <t>461|504</t>
  </si>
  <si>
    <t>438|566</t>
  </si>
  <si>
    <t>575|419</t>
  </si>
  <si>
    <t>461|432</t>
  </si>
  <si>
    <t>458|496</t>
  </si>
  <si>
    <t>410|541</t>
  </si>
  <si>
    <t>520|491</t>
  </si>
  <si>
    <t>513|571</t>
  </si>
  <si>
    <t>503|451</t>
  </si>
  <si>
    <t>408|510</t>
  </si>
  <si>
    <t>587|451</t>
  </si>
  <si>
    <t>520|533</t>
  </si>
  <si>
    <t>492|429</t>
  </si>
  <si>
    <t>430|420</t>
  </si>
  <si>
    <t>525|496</t>
  </si>
  <si>
    <t>494|458</t>
  </si>
  <si>
    <t>485|434</t>
  </si>
  <si>
    <t>580|429</t>
  </si>
  <si>
    <t>549|421</t>
  </si>
  <si>
    <t>511|559</t>
  </si>
  <si>
    <t>507|443</t>
  </si>
  <si>
    <t>594|507</t>
  </si>
  <si>
    <t>426|527</t>
  </si>
  <si>
    <t>486|422</t>
  </si>
  <si>
    <t>473|414</t>
  </si>
  <si>
    <t>589|551</t>
  </si>
  <si>
    <t>433|526</t>
  </si>
  <si>
    <t>523|448</t>
  </si>
  <si>
    <t>497|579</t>
  </si>
  <si>
    <t>607|495</t>
  </si>
  <si>
    <t>420|448</t>
  </si>
  <si>
    <t>431|537</t>
  </si>
  <si>
    <t>585|446</t>
  </si>
  <si>
    <t>462|483</t>
  </si>
  <si>
    <t>513|455</t>
  </si>
  <si>
    <t>584|566</t>
  </si>
  <si>
    <t>422|505</t>
  </si>
  <si>
    <t>437|585</t>
  </si>
  <si>
    <t>477|593</t>
  </si>
  <si>
    <t>530|512</t>
  </si>
  <si>
    <t>568|533</t>
  </si>
  <si>
    <t>421|520</t>
  </si>
  <si>
    <t>449|481</t>
  </si>
  <si>
    <t>585|467</t>
  </si>
  <si>
    <t>446|501</t>
  </si>
  <si>
    <t>427|459</t>
  </si>
  <si>
    <t>453|529</t>
  </si>
  <si>
    <t>478|599</t>
  </si>
  <si>
    <t>607|512</t>
  </si>
  <si>
    <t>596|509</t>
  </si>
  <si>
    <t>541|405</t>
  </si>
  <si>
    <t>503|576</t>
  </si>
  <si>
    <t>474|433</t>
  </si>
  <si>
    <t>449|558</t>
  </si>
  <si>
    <t>604|489</t>
  </si>
  <si>
    <t>535|596</t>
  </si>
  <si>
    <t>505|546</t>
  </si>
  <si>
    <t>532|462</t>
  </si>
  <si>
    <t>511|508</t>
  </si>
  <si>
    <t>518|570</t>
  </si>
  <si>
    <t>455|499</t>
  </si>
  <si>
    <t>560|446</t>
  </si>
  <si>
    <t>428|566</t>
  </si>
  <si>
    <t>559|456</t>
  </si>
  <si>
    <t>575|483</t>
  </si>
  <si>
    <t>462|414</t>
  </si>
  <si>
    <t>468|480</t>
  </si>
  <si>
    <t>550|426</t>
  </si>
  <si>
    <t>412|496</t>
  </si>
  <si>
    <t>604|470</t>
  </si>
  <si>
    <t>538|532</t>
  </si>
  <si>
    <t>578|513</t>
  </si>
  <si>
    <t>500|420</t>
  </si>
  <si>
    <t>435|548</t>
  </si>
  <si>
    <t>498|511</t>
  </si>
  <si>
    <t>572|524</t>
  </si>
  <si>
    <t>562|509</t>
  </si>
  <si>
    <t>569|528</t>
  </si>
  <si>
    <t>432|437</t>
  </si>
  <si>
    <t>459|528</t>
  </si>
  <si>
    <t>468|444</t>
  </si>
  <si>
    <t>447|433</t>
  </si>
  <si>
    <t>516|596</t>
  </si>
  <si>
    <t>442|571</t>
  </si>
  <si>
    <t>560|439</t>
  </si>
  <si>
    <t>427|479</t>
  </si>
  <si>
    <t>560|569</t>
  </si>
  <si>
    <t>572|482</t>
  </si>
  <si>
    <t>450|424</t>
  </si>
  <si>
    <t>438|450</t>
  </si>
  <si>
    <t>496|493</t>
  </si>
  <si>
    <t>572|432</t>
  </si>
  <si>
    <t>453|451</t>
  </si>
  <si>
    <t>587|436</t>
  </si>
  <si>
    <t>596|468</t>
  </si>
  <si>
    <t>580|456</t>
  </si>
  <si>
    <t>531|500</t>
  </si>
  <si>
    <t>545|521</t>
  </si>
  <si>
    <t>538|597</t>
  </si>
  <si>
    <t>464|551</t>
  </si>
  <si>
    <t>563|464</t>
  </si>
  <si>
    <t>537|433</t>
  </si>
  <si>
    <t>567|487</t>
  </si>
  <si>
    <t>573|441</t>
  </si>
  <si>
    <t>436|525</t>
  </si>
  <si>
    <t>488|537</t>
  </si>
  <si>
    <t>570|461</t>
  </si>
  <si>
    <t>453|450</t>
  </si>
  <si>
    <t>442|464</t>
  </si>
  <si>
    <t>571|517</t>
  </si>
  <si>
    <t>414|465</t>
  </si>
  <si>
    <t>417|446</t>
  </si>
  <si>
    <t>579|572</t>
  </si>
  <si>
    <t>595|441</t>
  </si>
  <si>
    <t>468|441</t>
  </si>
  <si>
    <t>502|500</t>
  </si>
  <si>
    <t>500|577</t>
  </si>
  <si>
    <t>451|599</t>
  </si>
  <si>
    <t>509|565</t>
  </si>
  <si>
    <t>487|489</t>
  </si>
  <si>
    <t>545|519</t>
  </si>
  <si>
    <t>400|492</t>
  </si>
  <si>
    <t>455|568</t>
  </si>
  <si>
    <t>574|529</t>
  </si>
  <si>
    <t>479|566</t>
  </si>
  <si>
    <t>551|499</t>
  </si>
  <si>
    <t>501|557</t>
  </si>
  <si>
    <t>557|444</t>
  </si>
  <si>
    <t>593|434</t>
  </si>
  <si>
    <t>564|585</t>
  </si>
  <si>
    <t>515|565</t>
  </si>
  <si>
    <t>604|487</t>
  </si>
  <si>
    <t>433|567</t>
  </si>
  <si>
    <t>507|459</t>
  </si>
  <si>
    <t>444|517</t>
  </si>
  <si>
    <t>478|470</t>
  </si>
  <si>
    <t>557|500</t>
  </si>
  <si>
    <t>443|525</t>
  </si>
  <si>
    <t>485|574</t>
  </si>
  <si>
    <t>459|481</t>
  </si>
  <si>
    <t>517|455</t>
  </si>
  <si>
    <t>474|603</t>
  </si>
  <si>
    <t>573|534</t>
  </si>
  <si>
    <t>471|449</t>
  </si>
  <si>
    <t>602|468</t>
  </si>
  <si>
    <t>491|489</t>
  </si>
  <si>
    <t>429|434</t>
  </si>
  <si>
    <t>532|454</t>
  </si>
  <si>
    <t>555|444</t>
  </si>
  <si>
    <t>515|490</t>
  </si>
  <si>
    <t>443|546</t>
  </si>
  <si>
    <t>470|545</t>
  </si>
  <si>
    <t>508|502</t>
  </si>
  <si>
    <t>480|534</t>
  </si>
  <si>
    <t>543|582</t>
  </si>
  <si>
    <t>595|488</t>
  </si>
  <si>
    <t>515|560</t>
  </si>
  <si>
    <t>560|575</t>
  </si>
  <si>
    <t>543|464</t>
  </si>
  <si>
    <t>570|515</t>
  </si>
  <si>
    <t>492|580</t>
  </si>
  <si>
    <t>489|422</t>
  </si>
  <si>
    <t>444|422</t>
  </si>
  <si>
    <t>473|486</t>
  </si>
  <si>
    <t>469|566</t>
  </si>
  <si>
    <t>535|544</t>
  </si>
  <si>
    <t>433|510</t>
  </si>
  <si>
    <t>437|511</t>
  </si>
  <si>
    <t>519|423</t>
  </si>
  <si>
    <t>499|430</t>
  </si>
  <si>
    <t>452|561</t>
  </si>
  <si>
    <t>475|426</t>
  </si>
  <si>
    <t>598|514</t>
  </si>
  <si>
    <t>504|459</t>
  </si>
  <si>
    <t>470|597</t>
  </si>
  <si>
    <t>525|448</t>
  </si>
  <si>
    <t>441|478</t>
  </si>
  <si>
    <t>507|506</t>
  </si>
  <si>
    <t>436|478</t>
  </si>
  <si>
    <t>461|569</t>
  </si>
  <si>
    <t>531|403</t>
  </si>
  <si>
    <t>439|453</t>
  </si>
  <si>
    <t>450|468</t>
  </si>
  <si>
    <t>579|483</t>
  </si>
  <si>
    <t>561|564</t>
  </si>
  <si>
    <t>461|570</t>
  </si>
  <si>
    <t>438|550</t>
  </si>
  <si>
    <t>471|477</t>
  </si>
  <si>
    <t>507|564</t>
  </si>
  <si>
    <t>497|420</t>
  </si>
  <si>
    <t>464|592</t>
  </si>
  <si>
    <t>490|560</t>
  </si>
  <si>
    <t>507|430</t>
  </si>
  <si>
    <t>581|560</t>
  </si>
  <si>
    <t>539|434</t>
  </si>
  <si>
    <t>428|507</t>
  </si>
  <si>
    <t>471|480</t>
  </si>
  <si>
    <t>540|530</t>
  </si>
  <si>
    <t>488|445</t>
  </si>
  <si>
    <t>481|471</t>
  </si>
  <si>
    <t>549|427</t>
  </si>
  <si>
    <t>555|485</t>
  </si>
  <si>
    <t>481|473</t>
  </si>
  <si>
    <t>444|501</t>
  </si>
  <si>
    <t>457|483</t>
  </si>
  <si>
    <t>537|597</t>
  </si>
  <si>
    <t>601|476</t>
  </si>
  <si>
    <t>495|573</t>
  </si>
  <si>
    <t>446|522</t>
  </si>
  <si>
    <t>601|463</t>
  </si>
  <si>
    <t>554|477</t>
  </si>
  <si>
    <t>600|477</t>
  </si>
  <si>
    <t>441|475</t>
  </si>
  <si>
    <t>478|431</t>
  </si>
  <si>
    <t>510|578</t>
  </si>
  <si>
    <t>513|489</t>
  </si>
  <si>
    <t>529|411</t>
  </si>
  <si>
    <t>558|414</t>
  </si>
  <si>
    <t>479|431</t>
  </si>
  <si>
    <t>559|588</t>
  </si>
  <si>
    <t>473|558</t>
  </si>
  <si>
    <t>494|580</t>
  </si>
  <si>
    <t>525|599</t>
  </si>
  <si>
    <t>494|568</t>
  </si>
  <si>
    <t>541|547</t>
  </si>
  <si>
    <t>429|533</t>
  </si>
  <si>
    <t>593|441</t>
  </si>
  <si>
    <t>487|512</t>
  </si>
  <si>
    <t>427|490</t>
  </si>
  <si>
    <t>428|496</t>
  </si>
  <si>
    <t>432|540</t>
  </si>
  <si>
    <t>424|426</t>
  </si>
  <si>
    <t>496|502</t>
  </si>
  <si>
    <t>507|545</t>
  </si>
  <si>
    <t>482|456</t>
  </si>
  <si>
    <t>577|493</t>
  </si>
  <si>
    <t>452|401</t>
  </si>
  <si>
    <t>439|454</t>
  </si>
  <si>
    <t>479|507</t>
  </si>
  <si>
    <t>535|514</t>
  </si>
  <si>
    <t>587|463</t>
  </si>
  <si>
    <t>522|482</t>
  </si>
  <si>
    <t>536|470</t>
  </si>
  <si>
    <t>517|557</t>
  </si>
  <si>
    <t>425|532</t>
  </si>
  <si>
    <t>541|434</t>
  </si>
  <si>
    <t>469|436</t>
  </si>
  <si>
    <t>527|575</t>
  </si>
  <si>
    <t>410|455</t>
  </si>
  <si>
    <t>553|443</t>
  </si>
  <si>
    <t>572|460</t>
  </si>
  <si>
    <t>515|420</t>
  </si>
  <si>
    <t>456|431</t>
  </si>
  <si>
    <t>469|426</t>
  </si>
  <si>
    <t>469|604</t>
  </si>
  <si>
    <t>482|406</t>
  </si>
  <si>
    <t>511|418</t>
  </si>
  <si>
    <t>442|465</t>
  </si>
  <si>
    <t>566|452</t>
  </si>
  <si>
    <t>419|509</t>
  </si>
  <si>
    <t>468|418</t>
  </si>
  <si>
    <t>398|536</t>
  </si>
  <si>
    <t>440|544</t>
  </si>
  <si>
    <t>505|419</t>
  </si>
  <si>
    <t>598|511</t>
  </si>
  <si>
    <t>539|414</t>
  </si>
  <si>
    <t>460|570</t>
  </si>
  <si>
    <t>572|491</t>
  </si>
  <si>
    <t>581|499</t>
  </si>
  <si>
    <t>440|558</t>
  </si>
  <si>
    <t>556|439</t>
  </si>
  <si>
    <t>526|408</t>
  </si>
  <si>
    <t>439|557</t>
  </si>
  <si>
    <t>419|487</t>
  </si>
  <si>
    <t>452|568</t>
  </si>
  <si>
    <t>570|544</t>
  </si>
  <si>
    <t>558|441</t>
  </si>
  <si>
    <t>545|430</t>
  </si>
  <si>
    <t>452|518</t>
  </si>
  <si>
    <t>577|468</t>
  </si>
  <si>
    <t>407|455</t>
  </si>
  <si>
    <t>461|429</t>
  </si>
  <si>
    <t>595|529</t>
  </si>
  <si>
    <t>608|521</t>
  </si>
  <si>
    <t>458|430</t>
  </si>
  <si>
    <t>453|452</t>
  </si>
  <si>
    <t>580|485</t>
  </si>
  <si>
    <t>584|491</t>
  </si>
  <si>
    <t>607|506</t>
  </si>
  <si>
    <t>560|466</t>
  </si>
  <si>
    <t>536|455</t>
  </si>
  <si>
    <t>474|444</t>
  </si>
  <si>
    <t>569|459</t>
  </si>
  <si>
    <t>544|578</t>
  </si>
  <si>
    <t>583|492</t>
  </si>
  <si>
    <t>484|420</t>
  </si>
  <si>
    <t>590|538</t>
  </si>
  <si>
    <t>494|418</t>
  </si>
  <si>
    <t>549|523</t>
  </si>
  <si>
    <t>573|463</t>
  </si>
  <si>
    <t>464|575</t>
  </si>
  <si>
    <t>579|480</t>
  </si>
  <si>
    <t>539|427</t>
  </si>
  <si>
    <t>543|579</t>
  </si>
  <si>
    <t>500|582</t>
  </si>
  <si>
    <t>463|571</t>
  </si>
  <si>
    <t>412|536</t>
  </si>
  <si>
    <t>466|466</t>
  </si>
  <si>
    <t>473|577</t>
  </si>
  <si>
    <t>581|510</t>
  </si>
  <si>
    <t>527|580</t>
  </si>
  <si>
    <t>504|400</t>
  </si>
  <si>
    <t>491|582</t>
  </si>
  <si>
    <t>534|417</t>
  </si>
  <si>
    <t>536|410</t>
  </si>
  <si>
    <t>423|523</t>
  </si>
  <si>
    <t>600|522</t>
  </si>
  <si>
    <t>531|568</t>
  </si>
  <si>
    <t>570|541</t>
  </si>
  <si>
    <t>591|436</t>
  </si>
  <si>
    <t>533|575</t>
  </si>
  <si>
    <t>482|582</t>
  </si>
  <si>
    <t>595|444</t>
  </si>
  <si>
    <t>480|417</t>
  </si>
  <si>
    <t>398|498</t>
  </si>
  <si>
    <t>583|572</t>
  </si>
  <si>
    <t>485|606</t>
  </si>
  <si>
    <t>521|597</t>
  </si>
  <si>
    <t>552|562</t>
  </si>
  <si>
    <t>419|517</t>
  </si>
  <si>
    <t>476|579</t>
  </si>
  <si>
    <t>571|456</t>
  </si>
  <si>
    <t>473|579</t>
  </si>
  <si>
    <t>560|447</t>
  </si>
  <si>
    <t>538|429</t>
  </si>
  <si>
    <t>453|568</t>
  </si>
  <si>
    <t>493|419</t>
  </si>
  <si>
    <t>498|583</t>
  </si>
  <si>
    <t>438|553</t>
  </si>
  <si>
    <t>470|578</t>
  </si>
  <si>
    <t>460|572</t>
  </si>
  <si>
    <t>582|496</t>
  </si>
  <si>
    <t>459|431</t>
  </si>
  <si>
    <t>463|573</t>
  </si>
  <si>
    <t>532|576</t>
  </si>
  <si>
    <t>422|530</t>
  </si>
  <si>
    <t>540|428</t>
  </si>
  <si>
    <t>473|578</t>
  </si>
  <si>
    <t>421|528</t>
  </si>
  <si>
    <t>581|483</t>
  </si>
  <si>
    <t>544|432</t>
  </si>
  <si>
    <t>528|421</t>
  </si>
  <si>
    <t>438|443</t>
  </si>
  <si>
    <t>580|518</t>
  </si>
  <si>
    <t>418|514</t>
  </si>
  <si>
    <t>573|538</t>
  </si>
  <si>
    <t>483|582</t>
  </si>
  <si>
    <t>571|542</t>
  </si>
  <si>
    <t>444|434</t>
  </si>
  <si>
    <t>538|426</t>
  </si>
  <si>
    <t>512|581</t>
  </si>
  <si>
    <t>493|417</t>
  </si>
  <si>
    <t>429|455</t>
  </si>
  <si>
    <t>576|531</t>
  </si>
  <si>
    <t>473|490</t>
  </si>
  <si>
    <t>420|522</t>
  </si>
  <si>
    <t>582|490</t>
  </si>
  <si>
    <t>426|539</t>
  </si>
  <si>
    <t>562|567</t>
  </si>
  <si>
    <t>544|425</t>
  </si>
  <si>
    <t>527|424</t>
  </si>
  <si>
    <t>579|474</t>
  </si>
  <si>
    <t>542|429</t>
  </si>
  <si>
    <t>434|449</t>
  </si>
  <si>
    <t>419|522</t>
  </si>
  <si>
    <t>418|507</t>
  </si>
  <si>
    <t>547|431</t>
  </si>
  <si>
    <t>417|506</t>
  </si>
  <si>
    <t>416|505</t>
  </si>
  <si>
    <t>601|513</t>
  </si>
  <si>
    <t>580|484</t>
  </si>
  <si>
    <t>542|438</t>
  </si>
  <si>
    <t>598|545</t>
  </si>
  <si>
    <t>582|491</t>
  </si>
  <si>
    <t>417|501</t>
  </si>
  <si>
    <t>547|567</t>
  </si>
  <si>
    <t>432|450</t>
  </si>
  <si>
    <t>416|492</t>
  </si>
  <si>
    <t>494|416</t>
  </si>
  <si>
    <t>566|449</t>
  </si>
  <si>
    <t>577|473</t>
  </si>
  <si>
    <t>580|519</t>
  </si>
  <si>
    <t>518|396</t>
  </si>
  <si>
    <t>466|575</t>
  </si>
  <si>
    <t>504|419</t>
  </si>
  <si>
    <t>452|432</t>
  </si>
  <si>
    <t>551|566</t>
  </si>
  <si>
    <t>580|481</t>
  </si>
  <si>
    <t>525|420</t>
  </si>
  <si>
    <t>550|568</t>
  </si>
  <si>
    <t>453|431</t>
  </si>
  <si>
    <t>583|493</t>
  </si>
  <si>
    <t>536|427</t>
  </si>
  <si>
    <t>586|450</t>
  </si>
  <si>
    <t>423|532</t>
  </si>
  <si>
    <t>419|484</t>
  </si>
  <si>
    <t>420|491</t>
  </si>
  <si>
    <t>440|555</t>
  </si>
  <si>
    <t>419|498</t>
  </si>
  <si>
    <t>450|568</t>
  </si>
  <si>
    <t>539|412</t>
  </si>
  <si>
    <t>480|420</t>
  </si>
  <si>
    <t>559|415</t>
  </si>
  <si>
    <t>424|466</t>
  </si>
  <si>
    <t>524|579</t>
  </si>
  <si>
    <t>474|420</t>
  </si>
  <si>
    <t>578|579</t>
  </si>
  <si>
    <t>570|547</t>
  </si>
  <si>
    <t>471|421</t>
  </si>
  <si>
    <t>584|503</t>
  </si>
  <si>
    <t>475|581</t>
  </si>
  <si>
    <t>578|475</t>
  </si>
  <si>
    <t>471|577</t>
  </si>
  <si>
    <t>539|574</t>
  </si>
  <si>
    <t>563|447</t>
  </si>
  <si>
    <t>423|524</t>
  </si>
  <si>
    <t>526|421</t>
  </si>
  <si>
    <t>542|572</t>
  </si>
  <si>
    <t>416|503</t>
  </si>
  <si>
    <t>455|538</t>
  </si>
  <si>
    <t>489|584</t>
  </si>
  <si>
    <t>419|515</t>
  </si>
  <si>
    <t>450|565</t>
  </si>
  <si>
    <t>574|464</t>
  </si>
  <si>
    <t>572|543</t>
  </si>
  <si>
    <t>481|421</t>
  </si>
  <si>
    <t>579|522</t>
  </si>
  <si>
    <t>454|429</t>
  </si>
  <si>
    <t>433|450</t>
  </si>
  <si>
    <t>567|452</t>
  </si>
  <si>
    <t>559|556</t>
  </si>
  <si>
    <t>419|512</t>
  </si>
  <si>
    <t>556|561</t>
  </si>
  <si>
    <t>577|465</t>
  </si>
  <si>
    <t>438|557</t>
  </si>
  <si>
    <t>581|504</t>
  </si>
  <si>
    <t>452|414</t>
  </si>
  <si>
    <t>568|454</t>
  </si>
  <si>
    <t>416|512</t>
  </si>
  <si>
    <t>561|557</t>
  </si>
  <si>
    <t>431|546</t>
  </si>
  <si>
    <t>534|423</t>
  </si>
  <si>
    <t>569|543</t>
  </si>
  <si>
    <t>586|545</t>
  </si>
  <si>
    <t>585|455</t>
  </si>
  <si>
    <t>602|534</t>
  </si>
  <si>
    <t>563|448</t>
  </si>
  <si>
    <t>540|566</t>
  </si>
  <si>
    <t>569|544</t>
  </si>
  <si>
    <t>583|497</t>
  </si>
  <si>
    <t>435|550</t>
  </si>
  <si>
    <t>430|455</t>
  </si>
  <si>
    <t>450|563</t>
  </si>
  <si>
    <t>578|531</t>
  </si>
  <si>
    <t>416|510</t>
  </si>
  <si>
    <t>557|440</t>
  </si>
  <si>
    <t>457|430</t>
  </si>
  <si>
    <t>541|416</t>
  </si>
  <si>
    <t>419|494</t>
  </si>
  <si>
    <t>438|556</t>
  </si>
  <si>
    <t>484|417</t>
  </si>
  <si>
    <t>563|551</t>
  </si>
  <si>
    <t>503|417</t>
  </si>
  <si>
    <t>474|579</t>
  </si>
  <si>
    <t>501|417</t>
  </si>
  <si>
    <t>519|579</t>
  </si>
  <si>
    <t>555|437</t>
  </si>
  <si>
    <t>552|565</t>
  </si>
  <si>
    <t>448|435</t>
  </si>
  <si>
    <t>467|422</t>
  </si>
  <si>
    <t>427|537</t>
  </si>
  <si>
    <t>482|595</t>
  </si>
  <si>
    <t>507|416</t>
  </si>
  <si>
    <t>399|511</t>
  </si>
  <si>
    <t>569|549</t>
  </si>
  <si>
    <t>488|582</t>
  </si>
  <si>
    <t>554|575</t>
  </si>
  <si>
    <t>568|551</t>
  </si>
  <si>
    <t>566|561</t>
  </si>
  <si>
    <t>453|430</t>
  </si>
  <si>
    <t>571|455</t>
  </si>
  <si>
    <t>535|575</t>
  </si>
  <si>
    <t>571|459</t>
  </si>
  <si>
    <t>574|533</t>
  </si>
  <si>
    <t>425|461</t>
  </si>
  <si>
    <t>492|586</t>
  </si>
  <si>
    <t>435|446</t>
  </si>
  <si>
    <t>493|416</t>
  </si>
  <si>
    <t>487|418</t>
  </si>
  <si>
    <t>455|571</t>
  </si>
  <si>
    <t>396|465</t>
  </si>
  <si>
    <t>441|443</t>
  </si>
  <si>
    <t>533|578</t>
  </si>
  <si>
    <t>567|451</t>
  </si>
  <si>
    <t>526|420</t>
  </si>
  <si>
    <t>502|415</t>
  </si>
  <si>
    <t>433|547</t>
  </si>
  <si>
    <t>492|417</t>
  </si>
  <si>
    <t>590|479</t>
  </si>
  <si>
    <t>532|577</t>
  </si>
  <si>
    <t>576|464</t>
  </si>
  <si>
    <t>580|482</t>
  </si>
  <si>
    <t>579|477</t>
  </si>
  <si>
    <t>540|542</t>
  </si>
  <si>
    <t>585|504</t>
  </si>
  <si>
    <t>489|419</t>
  </si>
  <si>
    <t>529|421</t>
  </si>
  <si>
    <t>556|441</t>
  </si>
  <si>
    <t>469|421</t>
  </si>
  <si>
    <t>425|465</t>
  </si>
  <si>
    <t>581|495</t>
  </si>
  <si>
    <t>431|544</t>
  </si>
  <si>
    <t>401|518</t>
  </si>
  <si>
    <t>464|508</t>
  </si>
  <si>
    <t>417|488</t>
  </si>
  <si>
    <t>569|547</t>
  </si>
  <si>
    <t>505|418</t>
  </si>
  <si>
    <t>582|494</t>
  </si>
  <si>
    <t>422|532</t>
  </si>
  <si>
    <t>572|540</t>
  </si>
  <si>
    <t>467|423</t>
  </si>
  <si>
    <t>432|454</t>
  </si>
  <si>
    <t>511|582</t>
  </si>
  <si>
    <t>462|574</t>
  </si>
  <si>
    <t>522|581</t>
  </si>
  <si>
    <t>466|423</t>
  </si>
  <si>
    <t>438|446</t>
  </si>
  <si>
    <t>416|501</t>
  </si>
  <si>
    <t>422|528</t>
  </si>
  <si>
    <t>572|455</t>
  </si>
  <si>
    <t>521|593</t>
  </si>
  <si>
    <t>577|534</t>
  </si>
  <si>
    <t>474|419</t>
  </si>
  <si>
    <t>578|535</t>
  </si>
  <si>
    <t>483|580</t>
  </si>
  <si>
    <t>410|475</t>
  </si>
  <si>
    <t>546|432</t>
  </si>
  <si>
    <t>560|441</t>
  </si>
  <si>
    <t>561|558</t>
  </si>
  <si>
    <t>564|446</t>
  </si>
  <si>
    <t>509|456</t>
  </si>
  <si>
    <t>480|419</t>
  </si>
  <si>
    <t>543|430</t>
  </si>
  <si>
    <t>582|505</t>
  </si>
  <si>
    <t>467|575</t>
  </si>
  <si>
    <t>417|505</t>
  </si>
  <si>
    <t>416|483</t>
  </si>
  <si>
    <t>570|454</t>
  </si>
  <si>
    <t>457|572</t>
  </si>
  <si>
    <t>502|495</t>
  </si>
  <si>
    <t>445|586</t>
  </si>
  <si>
    <t>546|430</t>
  </si>
  <si>
    <t>435|568</t>
  </si>
  <si>
    <t>546|428</t>
  </si>
  <si>
    <t>449|565</t>
  </si>
  <si>
    <t>518|582</t>
  </si>
  <si>
    <t>482|419</t>
  </si>
  <si>
    <t>517|419</t>
  </si>
  <si>
    <t>506|416</t>
  </si>
  <si>
    <t>417|483</t>
  </si>
  <si>
    <t>582|507</t>
  </si>
  <si>
    <t>419|519</t>
  </si>
  <si>
    <t>420|517</t>
  </si>
  <si>
    <t>534|601</t>
  </si>
  <si>
    <t>418|475</t>
  </si>
  <si>
    <t>574|543</t>
  </si>
  <si>
    <t>494|585</t>
  </si>
  <si>
    <t>485|419</t>
  </si>
  <si>
    <t>418|489</t>
  </si>
  <si>
    <t>432|549</t>
  </si>
  <si>
    <t>584|494</t>
  </si>
  <si>
    <t>576|530</t>
  </si>
  <si>
    <t>422|468</t>
  </si>
  <si>
    <t>552|435</t>
  </si>
  <si>
    <t>471|578</t>
  </si>
  <si>
    <t>571|460</t>
  </si>
  <si>
    <t>488|581</t>
  </si>
  <si>
    <t>582|518</t>
  </si>
  <si>
    <t>583|491</t>
  </si>
  <si>
    <t>604|478</t>
  </si>
  <si>
    <t>481|418</t>
  </si>
  <si>
    <t>488|416</t>
  </si>
  <si>
    <t>574|459</t>
  </si>
  <si>
    <t>438|442</t>
  </si>
  <si>
    <t>468|400</t>
  </si>
  <si>
    <t>545|569</t>
  </si>
  <si>
    <t>504|583</t>
  </si>
  <si>
    <t>489|585</t>
  </si>
  <si>
    <t>493|582</t>
  </si>
  <si>
    <t>420|477</t>
  </si>
  <si>
    <t>519|419</t>
  </si>
  <si>
    <t>438|554</t>
  </si>
  <si>
    <t>543|428</t>
  </si>
  <si>
    <t>583|487</t>
  </si>
  <si>
    <t>427|458</t>
  </si>
  <si>
    <t>479|417</t>
  </si>
  <si>
    <t>428|545</t>
  </si>
  <si>
    <t>520|581</t>
  </si>
  <si>
    <t>488|469</t>
  </si>
  <si>
    <t>420|480</t>
  </si>
  <si>
    <t>453|428</t>
  </si>
  <si>
    <t>419|480</t>
  </si>
  <si>
    <t>428|458</t>
  </si>
  <si>
    <t>594|485</t>
  </si>
  <si>
    <t>430|453</t>
  </si>
  <si>
    <t>559|560</t>
  </si>
  <si>
    <t>417|516</t>
  </si>
  <si>
    <t>506|414</t>
  </si>
  <si>
    <t>415|503</t>
  </si>
  <si>
    <t>583|502</t>
  </si>
  <si>
    <t>481|581</t>
  </si>
  <si>
    <t>569|548</t>
  </si>
  <si>
    <t>566|426</t>
  </si>
  <si>
    <t>524|481</t>
  </si>
  <si>
    <t>460|425</t>
  </si>
  <si>
    <t>433|425</t>
  </si>
  <si>
    <t>430|450</t>
  </si>
  <si>
    <t>430|550</t>
  </si>
  <si>
    <t>445|563</t>
  </si>
  <si>
    <t>486|581</t>
  </si>
  <si>
    <t>579|476</t>
  </si>
  <si>
    <t>420|479</t>
  </si>
  <si>
    <t>489|416</t>
  </si>
  <si>
    <t>419|523</t>
  </si>
  <si>
    <t>417|441</t>
  </si>
  <si>
    <t>453|432</t>
  </si>
  <si>
    <t>575|458</t>
  </si>
  <si>
    <t>455|431</t>
  </si>
  <si>
    <t>428|457</t>
  </si>
  <si>
    <t>515|584</t>
  </si>
  <si>
    <t>549|570</t>
  </si>
  <si>
    <t>534|403</t>
  </si>
  <si>
    <t>581|488</t>
  </si>
  <si>
    <t>421|466</t>
  </si>
  <si>
    <t>458|426</t>
  </si>
  <si>
    <t>558|440</t>
  </si>
  <si>
    <t>420|528</t>
  </si>
  <si>
    <t>456|558</t>
  </si>
  <si>
    <t>498|600</t>
  </si>
  <si>
    <t>432|548</t>
  </si>
  <si>
    <t>583|511</t>
  </si>
  <si>
    <t>497|585</t>
  </si>
  <si>
    <t>581|518</t>
  </si>
  <si>
    <t>465|594</t>
  </si>
  <si>
    <t>498|417</t>
  </si>
  <si>
    <t>415|492</t>
  </si>
  <si>
    <t>432|552</t>
  </si>
  <si>
    <t>416|458</t>
  </si>
  <si>
    <t>556|436</t>
  </si>
  <si>
    <t>560|455</t>
  </si>
  <si>
    <t>539|426</t>
  </si>
  <si>
    <t>458|574</t>
  </si>
  <si>
    <t>423|531</t>
  </si>
  <si>
    <t>560|560</t>
  </si>
  <si>
    <t>470|576</t>
  </si>
  <si>
    <t>555|564</t>
  </si>
  <si>
    <t>580|479</t>
  </si>
  <si>
    <t>479|582</t>
  </si>
  <si>
    <t>460|576</t>
  </si>
  <si>
    <t>518|417</t>
  </si>
  <si>
    <t>443|436</t>
  </si>
  <si>
    <t>536|422</t>
  </si>
  <si>
    <t>428|459</t>
  </si>
  <si>
    <t>556|437</t>
  </si>
  <si>
    <t>554|566</t>
  </si>
  <si>
    <t>584|514</t>
  </si>
  <si>
    <t>460|575</t>
  </si>
  <si>
    <t>585|513</t>
  </si>
  <si>
    <t>515|418</t>
  </si>
  <si>
    <t>546|427</t>
  </si>
  <si>
    <t>460|427</t>
  </si>
  <si>
    <t>449|566</t>
  </si>
  <si>
    <t>505|586</t>
  </si>
  <si>
    <t>434|551</t>
  </si>
  <si>
    <t>499|583</t>
  </si>
  <si>
    <t>560|443</t>
  </si>
  <si>
    <t>414|506</t>
  </si>
  <si>
    <t>496|491</t>
  </si>
  <si>
    <t>414|461</t>
  </si>
  <si>
    <t>431|549</t>
  </si>
  <si>
    <t>398|535</t>
  </si>
  <si>
    <t>418|482</t>
  </si>
  <si>
    <t>474|421</t>
  </si>
  <si>
    <t>425|534</t>
  </si>
  <si>
    <t>584|512</t>
  </si>
  <si>
    <t>605|524</t>
  </si>
  <si>
    <t>575|534</t>
  </si>
  <si>
    <t>455|569</t>
  </si>
  <si>
    <t>584|521</t>
  </si>
  <si>
    <t>420|518</t>
  </si>
  <si>
    <t>540|600</t>
  </si>
  <si>
    <t>576|538</t>
  </si>
  <si>
    <t>525|587</t>
  </si>
  <si>
    <t>513|596</t>
  </si>
  <si>
    <t>434|552</t>
  </si>
  <si>
    <t>575|525</t>
  </si>
  <si>
    <t>534|397</t>
  </si>
  <si>
    <t>526|419</t>
  </si>
  <si>
    <t>580|550</t>
  </si>
  <si>
    <t>570|449</t>
  </si>
  <si>
    <t>573|448</t>
  </si>
  <si>
    <t>442|436</t>
  </si>
  <si>
    <t>556|434</t>
  </si>
  <si>
    <t>505|411</t>
  </si>
  <si>
    <t>570|455</t>
  </si>
  <si>
    <t>417|481</t>
  </si>
  <si>
    <t>495|586</t>
  </si>
  <si>
    <t>415|491</t>
  </si>
  <si>
    <t>418|485</t>
  </si>
  <si>
    <t>544|427</t>
  </si>
  <si>
    <t>415|485</t>
  </si>
  <si>
    <t>476|419</t>
  </si>
  <si>
    <t>439|560</t>
  </si>
  <si>
    <t>398|543</t>
  </si>
  <si>
    <t>563|560</t>
  </si>
  <si>
    <t>439|439</t>
  </si>
  <si>
    <t>605|474</t>
  </si>
  <si>
    <t>605|471</t>
  </si>
  <si>
    <t>525|417</t>
  </si>
  <si>
    <t>550|430</t>
  </si>
  <si>
    <t>550|403</t>
  </si>
  <si>
    <t>538|427</t>
  </si>
  <si>
    <t>475|420</t>
  </si>
  <si>
    <t>420|541</t>
  </si>
  <si>
    <t>582|524</t>
  </si>
  <si>
    <t>419|471</t>
  </si>
  <si>
    <t>570|426</t>
  </si>
  <si>
    <t>417|509</t>
  </si>
  <si>
    <t>420|478</t>
  </si>
  <si>
    <t>414|499</t>
  </si>
  <si>
    <t>567|554</t>
  </si>
  <si>
    <t>608|500</t>
  </si>
  <si>
    <t>418|517</t>
  </si>
  <si>
    <t>416|484</t>
  </si>
  <si>
    <t>451|572</t>
  </si>
  <si>
    <t>494|435</t>
  </si>
  <si>
    <t>554|433</t>
  </si>
  <si>
    <t>483|418</t>
  </si>
  <si>
    <t>424|534</t>
  </si>
  <si>
    <t>458|575</t>
  </si>
  <si>
    <t>418|480</t>
  </si>
  <si>
    <t>433|552</t>
  </si>
  <si>
    <t>582|560</t>
  </si>
  <si>
    <t>558|437</t>
  </si>
  <si>
    <t>453|429</t>
  </si>
  <si>
    <t>422|531</t>
  </si>
  <si>
    <t>568|447</t>
  </si>
  <si>
    <t>470|581</t>
  </si>
  <si>
    <t>547|568</t>
  </si>
  <si>
    <t>573|546</t>
  </si>
  <si>
    <t>396|532</t>
  </si>
  <si>
    <t>583|494</t>
  </si>
  <si>
    <t>543|427</t>
  </si>
  <si>
    <t>583|478</t>
  </si>
  <si>
    <t>447|567</t>
  </si>
  <si>
    <t>425|538</t>
  </si>
  <si>
    <t>520|584</t>
  </si>
  <si>
    <t>566|556</t>
  </si>
  <si>
    <t>554|567</t>
  </si>
  <si>
    <t>576|465</t>
  </si>
  <si>
    <t>560|426</t>
  </si>
  <si>
    <t>578|536</t>
  </si>
  <si>
    <t>585|489</t>
  </si>
  <si>
    <t>572|541</t>
  </si>
  <si>
    <t>416|482</t>
  </si>
  <si>
    <t>549|428</t>
  </si>
  <si>
    <t>507|418</t>
  </si>
  <si>
    <t>511|415</t>
  </si>
  <si>
    <t>424|464</t>
  </si>
  <si>
    <t>434|416</t>
  </si>
  <si>
    <t>424|463</t>
  </si>
  <si>
    <t>428|547</t>
  </si>
  <si>
    <t>564|558</t>
  </si>
  <si>
    <t>428|549</t>
  </si>
  <si>
    <t>434|555</t>
  </si>
  <si>
    <t>505|583</t>
  </si>
  <si>
    <t>515|583</t>
  </si>
  <si>
    <t>496|557</t>
  </si>
  <si>
    <t>585|518</t>
  </si>
  <si>
    <t>581|528</t>
  </si>
  <si>
    <t>533|421</t>
  </si>
  <si>
    <t>523|583</t>
  </si>
  <si>
    <t>417|525</t>
  </si>
  <si>
    <t>518|584</t>
  </si>
  <si>
    <t>418|519</t>
  </si>
  <si>
    <t>580|474</t>
  </si>
  <si>
    <t>499|489</t>
  </si>
  <si>
    <t>414|504</t>
  </si>
  <si>
    <t>540|574</t>
  </si>
  <si>
    <t>418|474</t>
  </si>
  <si>
    <t>504|584</t>
  </si>
  <si>
    <t>492|414</t>
  </si>
  <si>
    <t>442|561</t>
  </si>
  <si>
    <t>568|552</t>
  </si>
  <si>
    <t>581|479</t>
  </si>
  <si>
    <t>580|575</t>
  </si>
  <si>
    <t>417|520</t>
  </si>
  <si>
    <t>586|503</t>
  </si>
  <si>
    <t>585|482</t>
  </si>
  <si>
    <t>579|466</t>
  </si>
  <si>
    <t>397|476</t>
  </si>
  <si>
    <t>403|471</t>
  </si>
  <si>
    <t>506|584</t>
  </si>
  <si>
    <t>510|414</t>
  </si>
  <si>
    <t>563|558</t>
  </si>
  <si>
    <t>526|580</t>
  </si>
  <si>
    <t>412|498</t>
  </si>
  <si>
    <t>416|506</t>
  </si>
  <si>
    <t>483|415</t>
  </si>
  <si>
    <t>573|459</t>
  </si>
  <si>
    <t>537|577</t>
  </si>
  <si>
    <t>444|564</t>
  </si>
  <si>
    <t>525|582</t>
  </si>
  <si>
    <t>580|533</t>
  </si>
  <si>
    <t>522|416</t>
  </si>
  <si>
    <t>437|442</t>
  </si>
  <si>
    <t>559|436</t>
  </si>
  <si>
    <t>479|581</t>
  </si>
  <si>
    <t>414|498</t>
  </si>
  <si>
    <t>549|431</t>
  </si>
  <si>
    <t>573|544</t>
  </si>
  <si>
    <t>435|444</t>
  </si>
  <si>
    <t>560|559</t>
  </si>
  <si>
    <t>580|524</t>
  </si>
  <si>
    <t>521|582</t>
  </si>
  <si>
    <t>580|478</t>
  </si>
  <si>
    <t>575|539</t>
  </si>
  <si>
    <t>447|568</t>
  </si>
  <si>
    <t>435|555</t>
  </si>
  <si>
    <t>567|446</t>
  </si>
  <si>
    <t>499|587</t>
  </si>
  <si>
    <t>522|417</t>
  </si>
  <si>
    <t>480|584</t>
  </si>
  <si>
    <t>528|420</t>
  </si>
  <si>
    <t>436|558</t>
  </si>
  <si>
    <t>578|465</t>
  </si>
  <si>
    <t>433|444</t>
  </si>
  <si>
    <t>562|561</t>
  </si>
  <si>
    <t>551|414</t>
  </si>
  <si>
    <t>534|421</t>
  </si>
  <si>
    <t>476|416</t>
  </si>
  <si>
    <t>433|550</t>
  </si>
  <si>
    <t>417|492</t>
  </si>
  <si>
    <t>546|572</t>
  </si>
  <si>
    <t>459|577</t>
  </si>
  <si>
    <t>558|562</t>
  </si>
  <si>
    <t>541|577</t>
  </si>
  <si>
    <t>491|417</t>
  </si>
  <si>
    <t>459|574</t>
  </si>
  <si>
    <t>442|563</t>
  </si>
  <si>
    <t>572|452</t>
  </si>
  <si>
    <t>534|579</t>
  </si>
  <si>
    <t>419|470</t>
  </si>
  <si>
    <t>484|582</t>
  </si>
  <si>
    <t>414|516</t>
  </si>
  <si>
    <t>428|546</t>
  </si>
  <si>
    <t>544|426</t>
  </si>
  <si>
    <t>477|594</t>
  </si>
  <si>
    <t>415|516</t>
  </si>
  <si>
    <t>465|576</t>
  </si>
  <si>
    <t>429|452</t>
  </si>
  <si>
    <t>436|557</t>
  </si>
  <si>
    <t>517|417</t>
  </si>
  <si>
    <t>480|418</t>
  </si>
  <si>
    <t>536|424</t>
  </si>
  <si>
    <t>494|415</t>
  </si>
  <si>
    <t>586|494</t>
  </si>
  <si>
    <t>406|457</t>
  </si>
  <si>
    <t>584|524</t>
  </si>
  <si>
    <t>473|581</t>
  </si>
  <si>
    <t>575|553</t>
  </si>
  <si>
    <t>578|468</t>
  </si>
  <si>
    <t>414|493</t>
  </si>
  <si>
    <t>519|470</t>
  </si>
  <si>
    <t>585|502</t>
  </si>
  <si>
    <t>452|572</t>
  </si>
  <si>
    <t>446|568</t>
  </si>
  <si>
    <t>522|582</t>
  </si>
  <si>
    <t>459|427</t>
  </si>
  <si>
    <t>597|467</t>
  </si>
  <si>
    <t>583|528</t>
  </si>
  <si>
    <t>498|413</t>
  </si>
  <si>
    <t>433|556</t>
  </si>
  <si>
    <t>578|533</t>
  </si>
  <si>
    <t>440|559</t>
  </si>
  <si>
    <t>472|501</t>
  </si>
  <si>
    <t>582|475</t>
  </si>
  <si>
    <t>581|567</t>
  </si>
  <si>
    <t>477|419</t>
  </si>
  <si>
    <t>488|583</t>
  </si>
  <si>
    <t>474|417</t>
  </si>
  <si>
    <t>525|416</t>
  </si>
  <si>
    <t>462|425</t>
  </si>
  <si>
    <t>495|587</t>
  </si>
  <si>
    <t>566|444</t>
  </si>
  <si>
    <t>574|457</t>
  </si>
  <si>
    <t>551|429</t>
  </si>
  <si>
    <t>517|415</t>
  </si>
  <si>
    <t>486|583</t>
  </si>
  <si>
    <t>487|492</t>
  </si>
  <si>
    <t>446|434</t>
  </si>
  <si>
    <t>551|421</t>
  </si>
  <si>
    <t>473|583</t>
  </si>
  <si>
    <t>565|444</t>
  </si>
  <si>
    <t>542|574</t>
  </si>
  <si>
    <t>581|473</t>
  </si>
  <si>
    <t>553|432</t>
  </si>
  <si>
    <t>583|477</t>
  </si>
  <si>
    <t>528|583</t>
  </si>
  <si>
    <t>525|583</t>
  </si>
  <si>
    <t>552|567</t>
  </si>
  <si>
    <t>424|458</t>
  </si>
  <si>
    <t>569|553</t>
  </si>
  <si>
    <t>586|498</t>
  </si>
  <si>
    <t>505|584</t>
  </si>
  <si>
    <t>433|566</t>
  </si>
  <si>
    <t>416|434</t>
  </si>
  <si>
    <t>531|602</t>
  </si>
  <si>
    <t>451|573</t>
  </si>
  <si>
    <t>582|470</t>
  </si>
  <si>
    <t>420|525</t>
  </si>
  <si>
    <t>508|414</t>
  </si>
  <si>
    <t>563|568</t>
  </si>
  <si>
    <t>491|398</t>
  </si>
  <si>
    <t>421|463</t>
  </si>
  <si>
    <t>481|585</t>
  </si>
  <si>
    <t>444|453</t>
  </si>
  <si>
    <t>540|424</t>
  </si>
  <si>
    <t>441|561</t>
  </si>
  <si>
    <t>421|467</t>
  </si>
  <si>
    <t>514|417</t>
  </si>
  <si>
    <t>416|485</t>
  </si>
  <si>
    <t>552|568</t>
  </si>
  <si>
    <t>494|588</t>
  </si>
  <si>
    <t>443|433</t>
  </si>
  <si>
    <t>569|446</t>
  </si>
  <si>
    <t>415|480</t>
  </si>
  <si>
    <t>416|494</t>
  </si>
  <si>
    <t>514|413</t>
  </si>
  <si>
    <t>586|484</t>
  </si>
  <si>
    <t>470|444</t>
  </si>
  <si>
    <t>560|562</t>
  </si>
  <si>
    <t>500|499</t>
  </si>
  <si>
    <t>467|418</t>
  </si>
  <si>
    <t>449|504</t>
  </si>
  <si>
    <t>535|581</t>
  </si>
  <si>
    <t>416|513</t>
  </si>
  <si>
    <t>482|583</t>
  </si>
  <si>
    <t>568|448</t>
  </si>
  <si>
    <t>483|417</t>
  </si>
  <si>
    <t>576|458</t>
  </si>
  <si>
    <t>607|504</t>
  </si>
  <si>
    <t>434|557</t>
  </si>
  <si>
    <t>543|425</t>
  </si>
  <si>
    <t>441|564</t>
  </si>
  <si>
    <t>539|575</t>
  </si>
  <si>
    <t>467|588</t>
  </si>
  <si>
    <t>405|516</t>
  </si>
  <si>
    <t>492|416</t>
  </si>
  <si>
    <t>584|525</t>
  </si>
  <si>
    <t>518|583</t>
  </si>
  <si>
    <t>432|448</t>
  </si>
  <si>
    <t>414|484</t>
  </si>
  <si>
    <t>520|417</t>
  </si>
  <si>
    <t>444|435</t>
  </si>
  <si>
    <t>557|433</t>
  </si>
  <si>
    <t>527|584</t>
  </si>
  <si>
    <t>579|463</t>
  </si>
  <si>
    <t>566|448</t>
  </si>
  <si>
    <t>536|577</t>
  </si>
  <si>
    <t>559|426</t>
  </si>
  <si>
    <t>471|583</t>
  </si>
  <si>
    <t>485|415</t>
  </si>
  <si>
    <t>559|419</t>
  </si>
  <si>
    <t>555|434</t>
  </si>
  <si>
    <t>584|480</t>
  </si>
  <si>
    <t>569|444</t>
  </si>
  <si>
    <t>461|572</t>
  </si>
  <si>
    <t>426|550</t>
  </si>
  <si>
    <t>407|525</t>
  </si>
  <si>
    <t>420|526</t>
  </si>
  <si>
    <t>430|549</t>
  </si>
  <si>
    <t>456|574</t>
  </si>
  <si>
    <t>413|499</t>
  </si>
  <si>
    <t>487|585</t>
  </si>
  <si>
    <t>516|414</t>
  </si>
  <si>
    <t>470|419</t>
  </si>
  <si>
    <t>423|542</t>
  </si>
  <si>
    <t>494|470</t>
  </si>
  <si>
    <t>587|487</t>
  </si>
  <si>
    <t>572|420</t>
  </si>
  <si>
    <t>414|511</t>
  </si>
  <si>
    <t>455|574</t>
  </si>
  <si>
    <t>586|511</t>
  </si>
  <si>
    <t>578|542</t>
  </si>
  <si>
    <t>583|517</t>
  </si>
  <si>
    <t>586|520</t>
  </si>
  <si>
    <t>425|457</t>
  </si>
  <si>
    <t>540|423</t>
  </si>
  <si>
    <t>416|520</t>
  </si>
  <si>
    <t>576|457</t>
  </si>
  <si>
    <t>416|489</t>
  </si>
  <si>
    <t>600|507</t>
  </si>
  <si>
    <t>514|585</t>
  </si>
  <si>
    <t>552|570</t>
  </si>
  <si>
    <t>466|421</t>
  </si>
  <si>
    <t>453|572</t>
  </si>
  <si>
    <t>462|579</t>
  </si>
  <si>
    <t>604|529</t>
  </si>
  <si>
    <t>420|465</t>
  </si>
  <si>
    <t>557|567</t>
  </si>
  <si>
    <t>418|525</t>
  </si>
  <si>
    <t>587|492</t>
  </si>
  <si>
    <t>510|587</t>
  </si>
  <si>
    <t>562|560</t>
  </si>
  <si>
    <t>571|552</t>
  </si>
  <si>
    <t>584|515</t>
  </si>
  <si>
    <t>433|551</t>
  </si>
  <si>
    <t>482|416</t>
  </si>
  <si>
    <t>497|599</t>
  </si>
  <si>
    <t>532|420</t>
  </si>
  <si>
    <t>413|530</t>
  </si>
  <si>
    <t>482|414</t>
  </si>
  <si>
    <t>418|473</t>
  </si>
  <si>
    <t>444|404</t>
  </si>
  <si>
    <t>505|412</t>
  </si>
  <si>
    <t>414|509</t>
  </si>
  <si>
    <t>486|416</t>
  </si>
  <si>
    <t>472|597</t>
  </si>
  <si>
    <t>415|505</t>
  </si>
  <si>
    <t>413|493</t>
  </si>
  <si>
    <t>542|577</t>
  </si>
  <si>
    <t>411|498</t>
  </si>
  <si>
    <t>545|576</t>
  </si>
  <si>
    <t>503|415</t>
  </si>
  <si>
    <t>559|437</t>
  </si>
  <si>
    <t>449|429</t>
  </si>
  <si>
    <t>493|415</t>
  </si>
  <si>
    <t>434|554</t>
  </si>
  <si>
    <t>503|414</t>
  </si>
  <si>
    <t>413|501</t>
  </si>
  <si>
    <t>578|463</t>
  </si>
  <si>
    <t>420|463</t>
  </si>
  <si>
    <t>575|427</t>
  </si>
  <si>
    <t>469|582</t>
  </si>
  <si>
    <t>509|587</t>
  </si>
  <si>
    <t>433|447</t>
  </si>
  <si>
    <t>532|582</t>
  </si>
  <si>
    <t>579|569</t>
  </si>
  <si>
    <t>433|446</t>
  </si>
  <si>
    <t>413|491</t>
  </si>
  <si>
    <t>501|589</t>
  </si>
  <si>
    <t>584|485</t>
  </si>
  <si>
    <t>417|524</t>
  </si>
  <si>
    <t>448|430</t>
  </si>
  <si>
    <t>489|586</t>
  </si>
  <si>
    <t>566|483</t>
  </si>
  <si>
    <t>470|583</t>
  </si>
  <si>
    <t>504|589</t>
  </si>
  <si>
    <t>429|451</t>
  </si>
  <si>
    <t>567|552</t>
  </si>
  <si>
    <t>521|416</t>
  </si>
  <si>
    <t>416|519</t>
  </si>
  <si>
    <t>580|538</t>
  </si>
  <si>
    <t>561|438</t>
  </si>
  <si>
    <t>543|424</t>
  </si>
  <si>
    <t>577|462</t>
  </si>
  <si>
    <t>533|419</t>
  </si>
  <si>
    <t>411|499</t>
  </si>
  <si>
    <t>520|591</t>
  </si>
  <si>
    <t>463|447</t>
  </si>
  <si>
    <t>535|580</t>
  </si>
  <si>
    <t>416|474</t>
  </si>
  <si>
    <t>522|414</t>
  </si>
  <si>
    <t>586|479</t>
  </si>
  <si>
    <t>473|417</t>
  </si>
  <si>
    <t>418|470</t>
  </si>
  <si>
    <t>497|411</t>
  </si>
  <si>
    <t>585|491</t>
  </si>
  <si>
    <t>413|551</t>
  </si>
  <si>
    <t>414|481</t>
  </si>
  <si>
    <t>453|575</t>
  </si>
  <si>
    <t>567|447</t>
  </si>
  <si>
    <t>539|423</t>
  </si>
  <si>
    <t>475|583</t>
  </si>
  <si>
    <t>576|456</t>
  </si>
  <si>
    <t>564|562</t>
  </si>
  <si>
    <t>413|490</t>
  </si>
  <si>
    <t>546|412</t>
  </si>
  <si>
    <t>542|578</t>
  </si>
  <si>
    <t>424|544</t>
  </si>
  <si>
    <t>609|511</t>
  </si>
  <si>
    <t>582|479</t>
  </si>
  <si>
    <t>518|416</t>
  </si>
  <si>
    <t>416|471</t>
  </si>
  <si>
    <t>519|413</t>
  </si>
  <si>
    <t>550|503</t>
  </si>
  <si>
    <t>416|522</t>
  </si>
  <si>
    <t>439|562</t>
  </si>
  <si>
    <t>583|482</t>
  </si>
  <si>
    <t>577|456</t>
  </si>
  <si>
    <t>438|437</t>
  </si>
  <si>
    <t>551|427</t>
  </si>
  <si>
    <t>436|444</t>
  </si>
  <si>
    <t>423|462</t>
  </si>
  <si>
    <t>483|586</t>
  </si>
  <si>
    <t>527|581</t>
  </si>
  <si>
    <t>416|486</t>
  </si>
  <si>
    <t>402|539</t>
  </si>
  <si>
    <t>471|584</t>
  </si>
  <si>
    <t>414|438</t>
  </si>
  <si>
    <t>410|517</t>
  </si>
  <si>
    <t>415|510</t>
  </si>
  <si>
    <t>472|417</t>
  </si>
  <si>
    <t>487|584</t>
  </si>
  <si>
    <t>477|601</t>
  </si>
  <si>
    <t>516|585</t>
  </si>
  <si>
    <t>420|466</t>
  </si>
  <si>
    <t>477|586</t>
  </si>
  <si>
    <t>531|580</t>
  </si>
  <si>
    <t>491|585</t>
  </si>
  <si>
    <t>446|571</t>
  </si>
  <si>
    <t>420|530</t>
  </si>
  <si>
    <t>514|497</t>
  </si>
  <si>
    <t>515|587</t>
  </si>
  <si>
    <t>567|440</t>
  </si>
  <si>
    <t>415|490</t>
  </si>
  <si>
    <t>505|589</t>
  </si>
  <si>
    <t>509|588</t>
  </si>
  <si>
    <t>597|454</t>
  </si>
  <si>
    <t>465|412</t>
  </si>
  <si>
    <t>430|563</t>
  </si>
  <si>
    <t>587|486</t>
  </si>
  <si>
    <t>414|479</t>
  </si>
  <si>
    <t>513|413</t>
  </si>
  <si>
    <t>515|414</t>
  </si>
  <si>
    <t>571|447</t>
  </si>
  <si>
    <t>518|587</t>
  </si>
  <si>
    <t>585|519</t>
  </si>
  <si>
    <t>431|444</t>
  </si>
  <si>
    <t>544|423</t>
  </si>
  <si>
    <t>587|505</t>
  </si>
  <si>
    <t>415|509</t>
  </si>
  <si>
    <t>586|521</t>
  </si>
  <si>
    <t>427|549</t>
  </si>
  <si>
    <t>531|581</t>
  </si>
  <si>
    <t>565|555</t>
  </si>
  <si>
    <t>412|485</t>
  </si>
  <si>
    <t>479|584</t>
  </si>
  <si>
    <t>482|599</t>
  </si>
  <si>
    <t>451|571</t>
  </si>
  <si>
    <t>535|422</t>
  </si>
  <si>
    <t>441|435</t>
  </si>
  <si>
    <t>585|479</t>
  </si>
  <si>
    <t>437|439</t>
  </si>
  <si>
    <t>435|557</t>
  </si>
  <si>
    <t>443|566</t>
  </si>
  <si>
    <t>438|439</t>
  </si>
  <si>
    <t>527|583</t>
  </si>
  <si>
    <t>531|579</t>
  </si>
  <si>
    <t>495|412</t>
  </si>
  <si>
    <t>587|498</t>
  </si>
  <si>
    <t>488|398</t>
  </si>
  <si>
    <t>413|505</t>
  </si>
  <si>
    <t>587|510</t>
  </si>
  <si>
    <t>587|501</t>
  </si>
  <si>
    <t>585|481</t>
  </si>
  <si>
    <t>438|496</t>
  </si>
  <si>
    <t>491|587</t>
  </si>
  <si>
    <t>574|544</t>
  </si>
  <si>
    <t>456|505</t>
  </si>
  <si>
    <t>462|422</t>
  </si>
  <si>
    <t>550|427</t>
  </si>
  <si>
    <t>588|489</t>
  </si>
  <si>
    <t>486|586</t>
  </si>
  <si>
    <t>588|504</t>
  </si>
  <si>
    <t>415|560</t>
  </si>
  <si>
    <t>586|483</t>
  </si>
  <si>
    <t>571|452</t>
  </si>
  <si>
    <t>415|523</t>
  </si>
  <si>
    <t>417|533</t>
  </si>
  <si>
    <t>588|508</t>
  </si>
  <si>
    <t>413|514</t>
  </si>
  <si>
    <t>541|576</t>
  </si>
  <si>
    <t>543|576</t>
  </si>
  <si>
    <t>580|464</t>
  </si>
  <si>
    <t>543|577</t>
  </si>
  <si>
    <t>456|425</t>
  </si>
  <si>
    <t>584|532</t>
  </si>
  <si>
    <t>412|560</t>
  </si>
  <si>
    <t>580|454</t>
  </si>
  <si>
    <t>414|482</t>
  </si>
  <si>
    <t>578|541</t>
  </si>
  <si>
    <t>533|580</t>
  </si>
  <si>
    <t>495|401</t>
  </si>
  <si>
    <t>568|444</t>
  </si>
  <si>
    <t>412|497</t>
  </si>
  <si>
    <t>484|416</t>
  </si>
  <si>
    <t>414|494</t>
  </si>
  <si>
    <t>598|470</t>
  </si>
  <si>
    <t>511|412</t>
  </si>
  <si>
    <t>523|415</t>
  </si>
  <si>
    <t>491|412</t>
  </si>
  <si>
    <t>412|490</t>
  </si>
  <si>
    <t>575|441</t>
  </si>
  <si>
    <t>491|589</t>
  </si>
  <si>
    <t>584|469</t>
  </si>
  <si>
    <t>461|579</t>
  </si>
  <si>
    <t>545|414</t>
  </si>
  <si>
    <t>433|445</t>
  </si>
  <si>
    <t>493|413</t>
  </si>
  <si>
    <t>417|521</t>
  </si>
  <si>
    <t>583|560</t>
  </si>
  <si>
    <t>409|457</t>
  </si>
  <si>
    <t>578|567</t>
  </si>
  <si>
    <t>472|584</t>
  </si>
  <si>
    <t>541|578</t>
  </si>
  <si>
    <t>552|427</t>
  </si>
  <si>
    <t>404|523</t>
  </si>
  <si>
    <t>586|522</t>
  </si>
  <si>
    <t>419|466</t>
  </si>
  <si>
    <t>509|585</t>
  </si>
  <si>
    <t>539|422</t>
  </si>
  <si>
    <t>484|414</t>
  </si>
  <si>
    <t>486|413</t>
  </si>
  <si>
    <t>524|524</t>
  </si>
  <si>
    <t>538|420</t>
  </si>
  <si>
    <t>521|539</t>
  </si>
  <si>
    <t>534|418</t>
  </si>
  <si>
    <t>540|417</t>
  </si>
  <si>
    <t>521|427</t>
  </si>
  <si>
    <t>468|420</t>
  </si>
  <si>
    <t>457|422</t>
  </si>
  <si>
    <t>423|457</t>
  </si>
  <si>
    <t>535|579</t>
  </si>
  <si>
    <t>444|425</t>
  </si>
  <si>
    <t>466|418</t>
  </si>
  <si>
    <t>464|420</t>
  </si>
  <si>
    <t>584|428</t>
  </si>
  <si>
    <t>452|573</t>
  </si>
  <si>
    <t>421|461</t>
  </si>
  <si>
    <t>477|413</t>
  </si>
  <si>
    <t>413|481</t>
  </si>
  <si>
    <t>545|423</t>
  </si>
  <si>
    <t>533|418</t>
  </si>
  <si>
    <t>552|573</t>
  </si>
  <si>
    <t>475|580</t>
  </si>
  <si>
    <t>532|581</t>
  </si>
  <si>
    <t>556|569</t>
  </si>
  <si>
    <t>584|478</t>
  </si>
  <si>
    <t>500|494</t>
  </si>
  <si>
    <t>474|585</t>
  </si>
  <si>
    <t>414|490</t>
  </si>
  <si>
    <t>424|543</t>
  </si>
  <si>
    <t>585|490</t>
  </si>
  <si>
    <t>587|508</t>
  </si>
  <si>
    <t>408|506</t>
  </si>
  <si>
    <t>442|435</t>
  </si>
  <si>
    <t>504|449</t>
  </si>
  <si>
    <t>428|553</t>
  </si>
  <si>
    <t>586|435</t>
  </si>
  <si>
    <t>441|431</t>
  </si>
  <si>
    <t>537|420</t>
  </si>
  <si>
    <t>414|497</t>
  </si>
  <si>
    <t>417|471</t>
  </si>
  <si>
    <t>573|549</t>
  </si>
  <si>
    <t>437|561</t>
  </si>
  <si>
    <t>582|466</t>
  </si>
  <si>
    <t>424|453</t>
  </si>
  <si>
    <t>580|462</t>
  </si>
  <si>
    <t>481|412</t>
  </si>
  <si>
    <t>440|564</t>
  </si>
  <si>
    <t>584|477</t>
  </si>
  <si>
    <t>480|414</t>
  </si>
  <si>
    <t>563|439</t>
  </si>
  <si>
    <t>419|537</t>
  </si>
  <si>
    <t>427|548</t>
  </si>
  <si>
    <t>440|563</t>
  </si>
  <si>
    <t>448|431</t>
  </si>
  <si>
    <t>450|559</t>
  </si>
  <si>
    <t>415|514</t>
  </si>
  <si>
    <t>580|467</t>
  </si>
  <si>
    <t>533|581</t>
  </si>
  <si>
    <t>423|459</t>
  </si>
  <si>
    <t>521|585</t>
  </si>
  <si>
    <t>551|430</t>
  </si>
  <si>
    <t>424|547</t>
  </si>
  <si>
    <t>575|548</t>
  </si>
  <si>
    <t>410|494</t>
  </si>
  <si>
    <t>560|437</t>
  </si>
  <si>
    <t>571|448</t>
  </si>
  <si>
    <t>412|492</t>
  </si>
  <si>
    <t>574|549</t>
  </si>
  <si>
    <t>475|414</t>
  </si>
  <si>
    <t>586|509</t>
  </si>
  <si>
    <t>415|519</t>
  </si>
  <si>
    <t>461|422</t>
  </si>
  <si>
    <t>556|431</t>
  </si>
  <si>
    <t>558|432</t>
  </si>
  <si>
    <t>412|528</t>
  </si>
  <si>
    <t>587|517</t>
  </si>
  <si>
    <t>526|414</t>
  </si>
  <si>
    <t>566|559</t>
  </si>
  <si>
    <t>576|455</t>
  </si>
  <si>
    <t>593|510</t>
  </si>
  <si>
    <t>423|538</t>
  </si>
  <si>
    <t>417|470</t>
  </si>
  <si>
    <t>414|485</t>
  </si>
  <si>
    <t>456|421</t>
  </si>
  <si>
    <t>412|484</t>
  </si>
  <si>
    <t>586|486</t>
  </si>
  <si>
    <t>496|414</t>
  </si>
  <si>
    <t>500|587</t>
  </si>
  <si>
    <t>583|526</t>
  </si>
  <si>
    <t>414|474</t>
  </si>
  <si>
    <t>586|480</t>
  </si>
  <si>
    <t>514|411</t>
  </si>
  <si>
    <t>467|584</t>
  </si>
  <si>
    <t>450|574</t>
  </si>
  <si>
    <t>424|455</t>
  </si>
  <si>
    <t>440|565</t>
  </si>
  <si>
    <t>552|569</t>
  </si>
  <si>
    <t>414|523</t>
  </si>
  <si>
    <t>418|535</t>
  </si>
  <si>
    <t>425|546</t>
  </si>
  <si>
    <t>498|590</t>
  </si>
  <si>
    <t>588|521</t>
  </si>
  <si>
    <t>532|583</t>
  </si>
  <si>
    <t>531|418</t>
  </si>
  <si>
    <t>500|411</t>
  </si>
  <si>
    <t>425|543</t>
  </si>
  <si>
    <t>425|442</t>
  </si>
  <si>
    <t>464|579</t>
  </si>
  <si>
    <t>509|408</t>
  </si>
  <si>
    <t>497|590</t>
  </si>
  <si>
    <t>581|535</t>
  </si>
  <si>
    <t>447|428</t>
  </si>
  <si>
    <t>462|515</t>
  </si>
  <si>
    <t>480|415</t>
  </si>
  <si>
    <t>418|465</t>
  </si>
  <si>
    <t>413|504</t>
  </si>
  <si>
    <t>448|426</t>
  </si>
  <si>
    <t>479|415</t>
  </si>
  <si>
    <t>477|416</t>
  </si>
  <si>
    <t>480|411</t>
  </si>
  <si>
    <t>577|547</t>
  </si>
  <si>
    <t>470|418</t>
  </si>
  <si>
    <t>451|427</t>
  </si>
  <si>
    <t>586|524</t>
  </si>
  <si>
    <t>550|592</t>
  </si>
  <si>
    <t>447|516</t>
  </si>
  <si>
    <t>524|582</t>
  </si>
  <si>
    <t>412|505</t>
  </si>
  <si>
    <t>549|576</t>
  </si>
  <si>
    <t>435|562</t>
  </si>
  <si>
    <t>581|465</t>
  </si>
  <si>
    <t>437|529</t>
  </si>
  <si>
    <t>431|559</t>
  </si>
  <si>
    <t>584|533</t>
  </si>
  <si>
    <t>551|572</t>
  </si>
  <si>
    <t>545|421</t>
  </si>
  <si>
    <t>455|426</t>
  </si>
  <si>
    <t>558|566</t>
  </si>
  <si>
    <t>589|509</t>
  </si>
  <si>
    <t>416|528</t>
  </si>
  <si>
    <t>547|576</t>
  </si>
  <si>
    <t>413|500</t>
  </si>
  <si>
    <t>445|573</t>
  </si>
  <si>
    <t>431|445</t>
  </si>
  <si>
    <t>557|431</t>
  </si>
  <si>
    <t>587|477</t>
  </si>
  <si>
    <t>534|396</t>
  </si>
  <si>
    <t>459|579</t>
  </si>
  <si>
    <t>580|433</t>
  </si>
  <si>
    <t>469|417</t>
  </si>
  <si>
    <t>402|496</t>
  </si>
  <si>
    <t>540|420</t>
  </si>
  <si>
    <t>417|472</t>
  </si>
  <si>
    <t>540|578</t>
  </si>
  <si>
    <t>411|514</t>
  </si>
  <si>
    <t>415|521</t>
  </si>
  <si>
    <t>428|552</t>
  </si>
  <si>
    <t>468|580</t>
  </si>
  <si>
    <t>582|532</t>
  </si>
  <si>
    <t>479|414</t>
  </si>
  <si>
    <t>540|580</t>
  </si>
  <si>
    <t>412|491</t>
  </si>
  <si>
    <t>470|584</t>
  </si>
  <si>
    <t>467|417</t>
  </si>
  <si>
    <t>596|514</t>
  </si>
  <si>
    <t>582|463</t>
  </si>
  <si>
    <t>577|541</t>
  </si>
  <si>
    <t>477|415</t>
  </si>
  <si>
    <t>412|522</t>
  </si>
  <si>
    <t>416|469</t>
  </si>
  <si>
    <t>410|492</t>
  </si>
  <si>
    <t>414|512</t>
  </si>
  <si>
    <t>494|410</t>
  </si>
  <si>
    <t>591|502</t>
  </si>
  <si>
    <t>422|454</t>
  </si>
  <si>
    <t>493|590</t>
  </si>
  <si>
    <t>418|534</t>
  </si>
  <si>
    <t>517|414</t>
  </si>
  <si>
    <t>413|495</t>
  </si>
  <si>
    <t>539|418</t>
  </si>
  <si>
    <t>602|473</t>
  </si>
  <si>
    <t>475|409</t>
  </si>
  <si>
    <t>525|413</t>
  </si>
  <si>
    <t>412|472</t>
  </si>
  <si>
    <t>522|415</t>
  </si>
  <si>
    <t>458|576</t>
  </si>
  <si>
    <t>463|420</t>
  </si>
  <si>
    <t>577|454</t>
  </si>
  <si>
    <t>556|418</t>
  </si>
  <si>
    <t>434|562</t>
  </si>
  <si>
    <t>566|437</t>
  </si>
  <si>
    <t>505|591</t>
  </si>
  <si>
    <t>412|483</t>
  </si>
  <si>
    <t>454|507</t>
  </si>
  <si>
    <t>435|560</t>
  </si>
  <si>
    <t>548|423</t>
  </si>
  <si>
    <t>481|478</t>
  </si>
  <si>
    <t>446|431</t>
  </si>
  <si>
    <t>511|588</t>
  </si>
  <si>
    <t>580|441</t>
  </si>
  <si>
    <t>556|429</t>
  </si>
  <si>
    <t>544|576</t>
  </si>
  <si>
    <t>465|584</t>
  </si>
  <si>
    <t>567|438</t>
  </si>
  <si>
    <t>589|502</t>
  </si>
  <si>
    <t>411|488</t>
  </si>
  <si>
    <t>574|448</t>
  </si>
  <si>
    <t>525|415</t>
  </si>
  <si>
    <t>420|542</t>
  </si>
  <si>
    <t>446|569</t>
  </si>
  <si>
    <t>522|519</t>
  </si>
  <si>
    <t>414|521</t>
  </si>
  <si>
    <t>455|578</t>
  </si>
  <si>
    <t>591|500</t>
  </si>
  <si>
    <t>591|495</t>
  </si>
  <si>
    <t>569|556</t>
  </si>
  <si>
    <t>582|537</t>
  </si>
  <si>
    <t>413|528</t>
  </si>
  <si>
    <t>538|407</t>
  </si>
  <si>
    <t>500|410</t>
  </si>
  <si>
    <t>587|515</t>
  </si>
  <si>
    <t>552|572</t>
  </si>
  <si>
    <t>590|508</t>
  </si>
  <si>
    <t>452|578</t>
  </si>
  <si>
    <t>477|414</t>
  </si>
  <si>
    <t>542|421</t>
  </si>
  <si>
    <t>426|453</t>
  </si>
  <si>
    <t>585|468</t>
  </si>
  <si>
    <t>461|581</t>
  </si>
  <si>
    <t>587|518</t>
  </si>
  <si>
    <t>424|550</t>
  </si>
  <si>
    <t>465|417</t>
  </si>
  <si>
    <t>419|465</t>
  </si>
  <si>
    <t>465|416</t>
  </si>
  <si>
    <t>462|484</t>
  </si>
  <si>
    <t>494|409</t>
  </si>
  <si>
    <t>546|577</t>
  </si>
  <si>
    <t>516|589</t>
  </si>
  <si>
    <t>475|588</t>
  </si>
  <si>
    <t>543|405</t>
  </si>
  <si>
    <t>411|521</t>
  </si>
  <si>
    <t>413|480</t>
  </si>
  <si>
    <t>496|410</t>
  </si>
  <si>
    <t>414|552</t>
  </si>
  <si>
    <t>513|414</t>
  </si>
  <si>
    <t>518|589</t>
  </si>
  <si>
    <t>587|479</t>
  </si>
  <si>
    <t>526|586</t>
  </si>
  <si>
    <t>591|508</t>
  </si>
  <si>
    <t>577|549</t>
  </si>
  <si>
    <t>589|514</t>
  </si>
  <si>
    <t>463|582</t>
  </si>
  <si>
    <t>588|525</t>
  </si>
  <si>
    <t>510|589</t>
  </si>
  <si>
    <t>426|452</t>
  </si>
  <si>
    <t>480|585</t>
  </si>
  <si>
    <t>456|422</t>
  </si>
  <si>
    <t>588|522</t>
  </si>
  <si>
    <t>602|509</t>
  </si>
  <si>
    <t>494|411</t>
  </si>
  <si>
    <t>416|533</t>
  </si>
  <si>
    <t>589|516</t>
  </si>
  <si>
    <t>508|574</t>
  </si>
  <si>
    <t>482|411</t>
  </si>
  <si>
    <t>416|535</t>
  </si>
  <si>
    <t>431|461</t>
  </si>
  <si>
    <t>420|455</t>
  </si>
  <si>
    <t>418|451</t>
  </si>
  <si>
    <t>413|489</t>
  </si>
  <si>
    <t>588|477</t>
  </si>
  <si>
    <t>539|420</t>
  </si>
  <si>
    <t>497|591</t>
  </si>
  <si>
    <t>410|490</t>
  </si>
  <si>
    <t>540|418</t>
  </si>
  <si>
    <t>587|452</t>
  </si>
  <si>
    <t>415|526</t>
  </si>
  <si>
    <t>410|503</t>
  </si>
  <si>
    <t>586|523</t>
  </si>
  <si>
    <t>516|588</t>
  </si>
  <si>
    <t>480|589</t>
  </si>
  <si>
    <t>433|441</t>
  </si>
  <si>
    <t>417|528</t>
  </si>
  <si>
    <t>556|573</t>
  </si>
  <si>
    <t>451|423</t>
  </si>
  <si>
    <t>422|462</t>
  </si>
  <si>
    <t>560|567</t>
  </si>
  <si>
    <t>455|405</t>
  </si>
  <si>
    <t>502|405</t>
  </si>
  <si>
    <t>512|413</t>
  </si>
  <si>
    <t>440|412</t>
  </si>
  <si>
    <t>411|485</t>
  </si>
  <si>
    <t>519|589</t>
  </si>
  <si>
    <t>517|591</t>
  </si>
  <si>
    <t>451|578</t>
  </si>
  <si>
    <t>410|500</t>
  </si>
  <si>
    <t>574|552</t>
  </si>
  <si>
    <t>549|424</t>
  </si>
  <si>
    <t>506|588</t>
  </si>
  <si>
    <t>418|536</t>
  </si>
  <si>
    <t>564|561</t>
  </si>
  <si>
    <t>576|547</t>
  </si>
  <si>
    <t>465|596</t>
  </si>
  <si>
    <t>453|426</t>
  </si>
  <si>
    <t>465|418</t>
  </si>
  <si>
    <t>439|436</t>
  </si>
  <si>
    <t>411|519</t>
  </si>
  <si>
    <t>567|562</t>
  </si>
  <si>
    <t>411|483</t>
  </si>
  <si>
    <t>559|570</t>
  </si>
  <si>
    <t>447|570</t>
  </si>
  <si>
    <t>562|434</t>
  </si>
  <si>
    <t>409|507</t>
  </si>
  <si>
    <t>463|419</t>
  </si>
  <si>
    <t>417|476</t>
  </si>
  <si>
    <t>485|588</t>
  </si>
  <si>
    <t>462|602</t>
  </si>
  <si>
    <t>573|550</t>
  </si>
  <si>
    <t>530|417</t>
  </si>
  <si>
    <t>481|584</t>
  </si>
  <si>
    <t>588|505</t>
  </si>
  <si>
    <t>579|547</t>
  </si>
  <si>
    <t>574|446</t>
  </si>
  <si>
    <t>393|519</t>
  </si>
  <si>
    <t>536|582</t>
  </si>
  <si>
    <t>448|427</t>
  </si>
  <si>
    <t>491|410</t>
  </si>
  <si>
    <t>585|469</t>
  </si>
  <si>
    <t>533|582</t>
  </si>
  <si>
    <t>406|487</t>
  </si>
  <si>
    <t>515|413</t>
  </si>
  <si>
    <t>519|411</t>
  </si>
  <si>
    <t>454|579</t>
  </si>
  <si>
    <t>529|416</t>
  </si>
  <si>
    <t>534|416</t>
  </si>
  <si>
    <t>550|428</t>
  </si>
  <si>
    <t>486|521</t>
  </si>
  <si>
    <t>595|448</t>
  </si>
  <si>
    <t>568|561</t>
  </si>
  <si>
    <t>582|462</t>
  </si>
  <si>
    <t>440|433</t>
  </si>
  <si>
    <t>422|546</t>
  </si>
  <si>
    <t>578|457</t>
  </si>
  <si>
    <t>588|500</t>
  </si>
  <si>
    <t>579|540</t>
  </si>
  <si>
    <t>440|567</t>
  </si>
  <si>
    <t>586|531</t>
  </si>
  <si>
    <t>515|407</t>
  </si>
  <si>
    <t>470|402</t>
  </si>
  <si>
    <t>590|507</t>
  </si>
  <si>
    <t>416|534</t>
  </si>
  <si>
    <t>578|543</t>
  </si>
  <si>
    <t>417|534</t>
  </si>
  <si>
    <t>466|417</t>
  </si>
  <si>
    <t>583|537</t>
  </si>
  <si>
    <t>415|476</t>
  </si>
  <si>
    <t>558|429</t>
  </si>
  <si>
    <t>453|424</t>
  </si>
  <si>
    <t>412|511</t>
  </si>
  <si>
    <t>501|590</t>
  </si>
  <si>
    <t>534|419</t>
  </si>
  <si>
    <t>557|570</t>
  </si>
  <si>
    <t>575|448</t>
  </si>
  <si>
    <t>493|412</t>
  </si>
  <si>
    <t>423|572</t>
  </si>
  <si>
    <t>566|438</t>
  </si>
  <si>
    <t>449|426</t>
  </si>
  <si>
    <t>472|585</t>
  </si>
  <si>
    <t>516|561</t>
  </si>
  <si>
    <t>506|589</t>
  </si>
  <si>
    <t>583|462</t>
  </si>
  <si>
    <t>571|446</t>
  </si>
  <si>
    <t>525|586</t>
  </si>
  <si>
    <t>570|553</t>
  </si>
  <si>
    <t>462|581</t>
  </si>
  <si>
    <t>480|588</t>
  </si>
  <si>
    <t>414|527</t>
  </si>
  <si>
    <t>595|468</t>
  </si>
  <si>
    <t>480|546</t>
  </si>
  <si>
    <t>549|578</t>
  </si>
  <si>
    <t>529|583</t>
  </si>
  <si>
    <t>568|441</t>
  </si>
  <si>
    <t>579|542</t>
  </si>
  <si>
    <t>574|447</t>
  </si>
  <si>
    <t>498|410</t>
  </si>
  <si>
    <t>575|451</t>
  </si>
  <si>
    <t>416|529</t>
  </si>
  <si>
    <t>424|551</t>
  </si>
  <si>
    <t>588|480</t>
  </si>
  <si>
    <t>468|584</t>
  </si>
  <si>
    <t>502|410</t>
  </si>
  <si>
    <t>591|558</t>
  </si>
  <si>
    <t>575|491</t>
  </si>
  <si>
    <t>569|555</t>
  </si>
  <si>
    <t>514|408</t>
  </si>
  <si>
    <t>524|414</t>
  </si>
  <si>
    <t>418|464</t>
  </si>
  <si>
    <t>416|536</t>
  </si>
  <si>
    <t>436|528</t>
  </si>
  <si>
    <t>553|425</t>
  </si>
  <si>
    <t>538|560</t>
  </si>
  <si>
    <t>554|574</t>
  </si>
  <si>
    <t>435|527</t>
  </si>
  <si>
    <t>415|472</t>
  </si>
  <si>
    <t>470|415</t>
  </si>
  <si>
    <t>555|430</t>
  </si>
  <si>
    <t>505|579</t>
  </si>
  <si>
    <t>429|556</t>
  </si>
  <si>
    <t>559|431</t>
  </si>
  <si>
    <t>471|586</t>
  </si>
  <si>
    <t>496|592</t>
  </si>
  <si>
    <t>503|410</t>
  </si>
  <si>
    <t>470|587</t>
  </si>
  <si>
    <t>587|525</t>
  </si>
  <si>
    <t>484|590</t>
  </si>
  <si>
    <t>528|600</t>
  </si>
  <si>
    <t>589|513</t>
  </si>
  <si>
    <t>565|560</t>
  </si>
  <si>
    <t>534|584</t>
  </si>
  <si>
    <t>421|454</t>
  </si>
  <si>
    <t>507|412</t>
  </si>
  <si>
    <t>565|565</t>
  </si>
  <si>
    <t>575|447</t>
  </si>
  <si>
    <t>554|571</t>
  </si>
  <si>
    <t>461|419</t>
  </si>
  <si>
    <t>541|420</t>
  </si>
  <si>
    <t>535|582</t>
  </si>
  <si>
    <t>510|409</t>
  </si>
  <si>
    <t>409|487</t>
  </si>
  <si>
    <t>498|409</t>
  </si>
  <si>
    <t>582|446</t>
  </si>
  <si>
    <t>587|524</t>
  </si>
  <si>
    <t>581|467</t>
  </si>
  <si>
    <t>440|408</t>
  </si>
  <si>
    <t>590|514</t>
  </si>
  <si>
    <t>585|530</t>
  </si>
  <si>
    <t>409|510</t>
  </si>
  <si>
    <t>590|522</t>
  </si>
  <si>
    <t>544|580</t>
  </si>
  <si>
    <t>512|590</t>
  </si>
  <si>
    <t>478|547</t>
  </si>
  <si>
    <t>590|495</t>
  </si>
  <si>
    <t>425|450</t>
  </si>
  <si>
    <t>422|451</t>
  </si>
  <si>
    <t>419|536</t>
  </si>
  <si>
    <t>591|491</t>
  </si>
  <si>
    <t>588|473</t>
  </si>
  <si>
    <t>587|469</t>
  </si>
  <si>
    <t>480|587</t>
  </si>
  <si>
    <t>483|608</t>
  </si>
  <si>
    <t>590|503</t>
  </si>
  <si>
    <t>411|494</t>
  </si>
  <si>
    <t>459|419</t>
  </si>
  <si>
    <t>506|590</t>
  </si>
  <si>
    <t>446|426</t>
  </si>
  <si>
    <t>475|591</t>
  </si>
  <si>
    <t>580|427</t>
  </si>
  <si>
    <t>526|412</t>
  </si>
  <si>
    <t>456|436</t>
  </si>
  <si>
    <t>447|430</t>
  </si>
  <si>
    <t>502|590</t>
  </si>
  <si>
    <t>591|486</t>
  </si>
  <si>
    <t>467|414</t>
  </si>
  <si>
    <t>416|539</t>
  </si>
  <si>
    <t>572|558</t>
  </si>
  <si>
    <t>509|590</t>
  </si>
  <si>
    <t>513|591</t>
  </si>
  <si>
    <t>580|540</t>
  </si>
  <si>
    <t>452|569</t>
  </si>
  <si>
    <t>518|409</t>
  </si>
  <si>
    <t>412|530</t>
  </si>
  <si>
    <t>413|523</t>
  </si>
  <si>
    <t>582|540</t>
  </si>
  <si>
    <t>571|559</t>
  </si>
  <si>
    <t>558|572</t>
  </si>
  <si>
    <t>419|541</t>
  </si>
  <si>
    <t>435|545</t>
  </si>
  <si>
    <t>425|551</t>
  </si>
  <si>
    <t>518|591</t>
  </si>
  <si>
    <t>591|490</t>
  </si>
  <si>
    <t>537|415</t>
  </si>
  <si>
    <t>407|502</t>
  </si>
  <si>
    <t>538|419</t>
  </si>
  <si>
    <t>420|458</t>
  </si>
  <si>
    <t>410|501</t>
  </si>
  <si>
    <t>539|419</t>
  </si>
  <si>
    <t>523|589</t>
  </si>
  <si>
    <t>428|446</t>
  </si>
  <si>
    <t>418|457</t>
  </si>
  <si>
    <t>590|491</t>
  </si>
  <si>
    <t>458|422</t>
  </si>
  <si>
    <t>545|577</t>
  </si>
  <si>
    <t>585|465</t>
  </si>
  <si>
    <t>478|590</t>
  </si>
  <si>
    <t>592|485</t>
  </si>
  <si>
    <t>411|523</t>
  </si>
  <si>
    <t>582|544</t>
  </si>
  <si>
    <t>538|582</t>
  </si>
  <si>
    <t>422|545</t>
  </si>
  <si>
    <t>507|541</t>
  </si>
  <si>
    <t>452|577</t>
  </si>
  <si>
    <t>532|584</t>
  </si>
  <si>
    <t>449|577</t>
  </si>
  <si>
    <t>455|420</t>
  </si>
  <si>
    <t>590|490</t>
  </si>
  <si>
    <t>484|594</t>
  </si>
  <si>
    <t>473|587</t>
  </si>
  <si>
    <t>418|460</t>
  </si>
  <si>
    <t>586|476</t>
  </si>
  <si>
    <t>409|499</t>
  </si>
  <si>
    <t>453|420</t>
  </si>
  <si>
    <t>578|450</t>
  </si>
  <si>
    <t>591|456</t>
  </si>
  <si>
    <t>462|494</t>
  </si>
  <si>
    <t>587|480</t>
  </si>
  <si>
    <t>408|507</t>
  </si>
  <si>
    <t>411|492</t>
  </si>
  <si>
    <t>579|546</t>
  </si>
  <si>
    <t>589|525</t>
  </si>
  <si>
    <t>412|454</t>
  </si>
  <si>
    <t>415|473</t>
  </si>
  <si>
    <t>497|589</t>
  </si>
  <si>
    <t>501|592</t>
  </si>
  <si>
    <t>413|520</t>
  </si>
  <si>
    <t>465|586</t>
  </si>
  <si>
    <t>438|568</t>
  </si>
  <si>
    <t>564|564</t>
  </si>
  <si>
    <t>504|405</t>
  </si>
  <si>
    <t>547|420</t>
  </si>
  <si>
    <t>547|424</t>
  </si>
  <si>
    <t>564|433</t>
  </si>
  <si>
    <t>515|411</t>
  </si>
  <si>
    <t>423|552</t>
  </si>
  <si>
    <t>459|580</t>
  </si>
  <si>
    <t>423|546</t>
  </si>
  <si>
    <t>553|427</t>
  </si>
  <si>
    <t>570|440</t>
  </si>
  <si>
    <t>580|547</t>
  </si>
  <si>
    <t>421|542</t>
  </si>
  <si>
    <t>589|479</t>
  </si>
  <si>
    <t>567|559</t>
  </si>
  <si>
    <t>583|458</t>
  </si>
  <si>
    <t>435|561</t>
  </si>
  <si>
    <t>520|410</t>
  </si>
  <si>
    <t>587|474</t>
  </si>
  <si>
    <t>451|432</t>
  </si>
  <si>
    <t>513|412</t>
  </si>
  <si>
    <t>429|555</t>
  </si>
  <si>
    <t>513|391</t>
  </si>
  <si>
    <t>408|497</t>
  </si>
  <si>
    <t>442|429</t>
  </si>
  <si>
    <t>407|500</t>
  </si>
  <si>
    <t>418|459</t>
  </si>
  <si>
    <t>439|434</t>
  </si>
  <si>
    <t>430|445</t>
  </si>
  <si>
    <t>457|580</t>
  </si>
  <si>
    <t>591|512</t>
  </si>
  <si>
    <t>530|416</t>
  </si>
  <si>
    <t>515|590</t>
  </si>
  <si>
    <t>560|538</t>
  </si>
  <si>
    <t>464|415</t>
  </si>
  <si>
    <t>568|437</t>
  </si>
  <si>
    <t>576|553</t>
  </si>
  <si>
    <t>480|608</t>
  </si>
  <si>
    <t>568|560</t>
  </si>
  <si>
    <t>409|480</t>
  </si>
  <si>
    <t>530|584</t>
  </si>
  <si>
    <t>451|577</t>
  </si>
  <si>
    <t>585|470</t>
  </si>
  <si>
    <t>587|468</t>
  </si>
  <si>
    <t>546|421</t>
  </si>
  <si>
    <t>591|465</t>
  </si>
  <si>
    <t>434|440</t>
  </si>
  <si>
    <t>586|465</t>
  </si>
  <si>
    <t>562|564</t>
  </si>
  <si>
    <t>532|416</t>
  </si>
  <si>
    <t>522|561</t>
  </si>
  <si>
    <t>582|543</t>
  </si>
  <si>
    <t>426|569</t>
  </si>
  <si>
    <t>502|591</t>
  </si>
  <si>
    <t>429|559</t>
  </si>
  <si>
    <t>410|523</t>
  </si>
  <si>
    <t>426|443</t>
  </si>
  <si>
    <t>448|574</t>
  </si>
  <si>
    <t>492|591</t>
  </si>
  <si>
    <t>506|407</t>
  </si>
  <si>
    <t>414|534</t>
  </si>
  <si>
    <t>570|560</t>
  </si>
  <si>
    <t>505|593</t>
  </si>
  <si>
    <t>467|415</t>
  </si>
  <si>
    <t>477|506</t>
  </si>
  <si>
    <t>496|591</t>
  </si>
  <si>
    <t>586|468</t>
  </si>
  <si>
    <t>545|420</t>
  </si>
  <si>
    <t>477|589</t>
  </si>
  <si>
    <t>574|555</t>
  </si>
  <si>
    <t>459|441</t>
  </si>
  <si>
    <t>510|408</t>
  </si>
  <si>
    <t>487|409</t>
  </si>
  <si>
    <t>590|524</t>
  </si>
  <si>
    <t>506|593</t>
  </si>
  <si>
    <t>462|585</t>
  </si>
  <si>
    <t>517|588</t>
  </si>
  <si>
    <t>451|424</t>
  </si>
  <si>
    <t>593|500</t>
  </si>
  <si>
    <t>561|433</t>
  </si>
  <si>
    <t>412|470</t>
  </si>
  <si>
    <t>421|457</t>
  </si>
  <si>
    <t>437|431</t>
  </si>
  <si>
    <t>521|412</t>
  </si>
  <si>
    <t>590|487</t>
  </si>
  <si>
    <t>402|456</t>
  </si>
  <si>
    <t>569|558</t>
  </si>
  <si>
    <t>515|409</t>
  </si>
  <si>
    <t>416|542</t>
  </si>
  <si>
    <t>529|412</t>
  </si>
  <si>
    <t>547|421</t>
  </si>
  <si>
    <t>421|548</t>
  </si>
  <si>
    <t>589|522</t>
  </si>
  <si>
    <t>423|448</t>
  </si>
  <si>
    <t>533|416</t>
  </si>
  <si>
    <t>574|550</t>
  </si>
  <si>
    <t>560|457</t>
  </si>
  <si>
    <t>558|430</t>
  </si>
  <si>
    <t>436|565</t>
  </si>
  <si>
    <t>433|436</t>
  </si>
  <si>
    <t>590|475</t>
  </si>
  <si>
    <t>581|543</t>
  </si>
  <si>
    <t>410|525</t>
  </si>
  <si>
    <t>576|552</t>
  </si>
  <si>
    <t>523|410</t>
  </si>
  <si>
    <t>588|479</t>
  </si>
  <si>
    <t>417|464</t>
  </si>
  <si>
    <t>412|532</t>
  </si>
  <si>
    <t>586|472</t>
  </si>
  <si>
    <t>532|587</t>
  </si>
  <si>
    <t>589|472</t>
  </si>
  <si>
    <t>589|481</t>
  </si>
  <si>
    <t>459|436</t>
  </si>
  <si>
    <t>592|484</t>
  </si>
  <si>
    <t>561|432</t>
  </si>
  <si>
    <t>475|587</t>
  </si>
  <si>
    <t>562|436</t>
  </si>
  <si>
    <t>436|568</t>
  </si>
  <si>
    <t>413|536</t>
  </si>
  <si>
    <t>587|472</t>
  </si>
  <si>
    <t>483|409</t>
  </si>
  <si>
    <t>482|592</t>
  </si>
  <si>
    <t>487|592</t>
  </si>
  <si>
    <t>570|559</t>
  </si>
  <si>
    <t>565|568</t>
  </si>
  <si>
    <t>409|494</t>
  </si>
  <si>
    <t>583|465</t>
  </si>
  <si>
    <t>505|407</t>
  </si>
  <si>
    <t>409|491</t>
  </si>
  <si>
    <t>411|517</t>
  </si>
  <si>
    <t>557|429</t>
  </si>
  <si>
    <t>566|435</t>
  </si>
  <si>
    <t>482|408</t>
  </si>
  <si>
    <t>549|577</t>
  </si>
  <si>
    <t>523|591</t>
  </si>
  <si>
    <t>592|488</t>
  </si>
  <si>
    <t>547|422</t>
  </si>
  <si>
    <t>553|578</t>
  </si>
  <si>
    <t>418|458</t>
  </si>
  <si>
    <t>578|553</t>
  </si>
  <si>
    <t>587|533</t>
  </si>
  <si>
    <t>443|430</t>
  </si>
  <si>
    <t>428|441</t>
  </si>
  <si>
    <t>575|550</t>
  </si>
  <si>
    <t>583|435</t>
  </si>
  <si>
    <t>406|501</t>
  </si>
  <si>
    <t>499|590</t>
  </si>
  <si>
    <t>586|536</t>
  </si>
  <si>
    <t>433|437</t>
  </si>
  <si>
    <t>451|412</t>
  </si>
  <si>
    <t>587|467</t>
  </si>
  <si>
    <t>596|529</t>
  </si>
  <si>
    <t>517|409</t>
  </si>
  <si>
    <t>414|470</t>
  </si>
  <si>
    <t>414|526</t>
  </si>
  <si>
    <t>409|498</t>
  </si>
  <si>
    <t>567|439</t>
  </si>
  <si>
    <t>502|592</t>
  </si>
  <si>
    <t>591|494</t>
  </si>
  <si>
    <t>432|562</t>
  </si>
  <si>
    <t>429|444</t>
  </si>
  <si>
    <t>417|541</t>
  </si>
  <si>
    <t>585|540</t>
  </si>
  <si>
    <t>562|572</t>
  </si>
  <si>
    <t>496|594</t>
  </si>
  <si>
    <t>563|435</t>
  </si>
  <si>
    <t>535|586</t>
  </si>
  <si>
    <t>419|461</t>
  </si>
  <si>
    <t>451|540</t>
  </si>
  <si>
    <t>520|392</t>
  </si>
  <si>
    <t>544|579</t>
  </si>
  <si>
    <t>474|413</t>
  </si>
  <si>
    <t>569|563</t>
  </si>
  <si>
    <t>551|576</t>
  </si>
  <si>
    <t>586|537</t>
  </si>
  <si>
    <t>585|533</t>
  </si>
  <si>
    <t>592|480</t>
  </si>
  <si>
    <t>585|462</t>
  </si>
  <si>
    <t>414|464</t>
  </si>
  <si>
    <t>594|505</t>
  </si>
  <si>
    <t>470|589</t>
  </si>
  <si>
    <t>514|590</t>
  </si>
  <si>
    <t>580|544</t>
  </si>
  <si>
    <t>460|416</t>
  </si>
  <si>
    <t>591|507</t>
  </si>
  <si>
    <t>425|449</t>
  </si>
  <si>
    <t>575|487</t>
  </si>
  <si>
    <t>521|410</t>
  </si>
  <si>
    <t>588|470</t>
  </si>
  <si>
    <t>411|472</t>
  </si>
  <si>
    <t>412|529</t>
  </si>
  <si>
    <t>409|517</t>
  </si>
  <si>
    <t>581|540</t>
  </si>
  <si>
    <t>408|481</t>
  </si>
  <si>
    <t>567|435</t>
  </si>
  <si>
    <t>433|565</t>
  </si>
  <si>
    <t>423|548</t>
  </si>
  <si>
    <t>591|517</t>
  </si>
  <si>
    <t>432|438</t>
  </si>
  <si>
    <t>482|581</t>
  </si>
  <si>
    <t>516|591</t>
  </si>
  <si>
    <t>564|566</t>
  </si>
  <si>
    <t>407|514</t>
  </si>
  <si>
    <t>407|501</t>
  </si>
  <si>
    <t>408|483</t>
  </si>
  <si>
    <t>427|555</t>
  </si>
  <si>
    <t>417|459</t>
  </si>
  <si>
    <t>565|428</t>
  </si>
  <si>
    <t>568|412</t>
  </si>
  <si>
    <t>580|458</t>
  </si>
  <si>
    <t>593|499</t>
  </si>
  <si>
    <t>562|568</t>
  </si>
  <si>
    <t>413|525</t>
  </si>
  <si>
    <t>576|555</t>
  </si>
  <si>
    <t>567|525</t>
  </si>
  <si>
    <t>477|595</t>
  </si>
  <si>
    <t>494|431</t>
  </si>
  <si>
    <t>413|470</t>
  </si>
  <si>
    <t>520|576</t>
  </si>
  <si>
    <t>583|436</t>
  </si>
  <si>
    <t>454|580</t>
  </si>
  <si>
    <t>591|485</t>
  </si>
  <si>
    <t>469|589</t>
  </si>
  <si>
    <t>521|415</t>
  </si>
  <si>
    <t>418|528</t>
  </si>
  <si>
    <t>470|413</t>
  </si>
  <si>
    <t>420|546</t>
  </si>
  <si>
    <t>562|532</t>
  </si>
  <si>
    <t>490|591</t>
  </si>
  <si>
    <t>592|440</t>
  </si>
  <si>
    <t>468|412</t>
  </si>
  <si>
    <t>442|419</t>
  </si>
  <si>
    <t>547|580</t>
  </si>
  <si>
    <t>515|593</t>
  </si>
  <si>
    <t>440|430</t>
  </si>
  <si>
    <t>522|397</t>
  </si>
  <si>
    <t>467|419</t>
  </si>
  <si>
    <t>555|535</t>
  </si>
  <si>
    <t>603|516</t>
  </si>
  <si>
    <t>415|459</t>
  </si>
  <si>
    <t>594|499</t>
  </si>
  <si>
    <t>565|433</t>
  </si>
  <si>
    <t>410|509</t>
  </si>
  <si>
    <t>589|434</t>
  </si>
  <si>
    <t>564|468</t>
  </si>
  <si>
    <t>480|541</t>
  </si>
  <si>
    <t>445|448</t>
  </si>
  <si>
    <t>576|492</t>
  </si>
  <si>
    <t>584|468</t>
  </si>
  <si>
    <t>463|416</t>
  </si>
  <si>
    <t>494|446</t>
  </si>
  <si>
    <t>478|592</t>
  </si>
  <si>
    <t>466|531</t>
  </si>
  <si>
    <t>520|590</t>
  </si>
  <si>
    <t>414|536</t>
  </si>
  <si>
    <t>480|533</t>
  </si>
  <si>
    <t>454|448</t>
  </si>
  <si>
    <t>428|445</t>
  </si>
  <si>
    <t>591|511</t>
  </si>
  <si>
    <t>509|409</t>
  </si>
  <si>
    <t>502|433</t>
  </si>
  <si>
    <t>449|413</t>
  </si>
  <si>
    <t>477|529</t>
  </si>
  <si>
    <t>508|408</t>
  </si>
  <si>
    <t>589|471</t>
  </si>
  <si>
    <t>440|518</t>
  </si>
  <si>
    <t>508|449</t>
  </si>
  <si>
    <t>572|439</t>
  </si>
  <si>
    <t>508|428</t>
  </si>
  <si>
    <t>575|446</t>
  </si>
  <si>
    <t>571|440</t>
  </si>
  <si>
    <t>582|457</t>
  </si>
  <si>
    <t>498|406</t>
  </si>
  <si>
    <t>439|428</t>
  </si>
  <si>
    <t>463|414</t>
  </si>
  <si>
    <t>574|439</t>
  </si>
  <si>
    <t>549|580</t>
  </si>
  <si>
    <t>569|576</t>
  </si>
  <si>
    <t>583|542</t>
  </si>
  <si>
    <t>466|467</t>
  </si>
  <si>
    <t>502|510</t>
  </si>
  <si>
    <t>434|433</t>
  </si>
  <si>
    <t>413|469</t>
  </si>
  <si>
    <t>575|557</t>
  </si>
  <si>
    <t>574|557</t>
  </si>
  <si>
    <t>408|496</t>
  </si>
  <si>
    <t>409|520</t>
  </si>
  <si>
    <t>448|563</t>
  </si>
  <si>
    <t>498|430</t>
  </si>
  <si>
    <t>413|476</t>
  </si>
  <si>
    <t>431|442</t>
  </si>
  <si>
    <t>560|431</t>
  </si>
  <si>
    <t>424|555</t>
  </si>
  <si>
    <t>538|414</t>
  </si>
  <si>
    <t>491|592</t>
  </si>
  <si>
    <t>591|475</t>
  </si>
  <si>
    <t>419|524</t>
  </si>
  <si>
    <t>466|528</t>
  </si>
  <si>
    <t>438|569</t>
  </si>
  <si>
    <t>433|564</t>
  </si>
  <si>
    <t>595|455</t>
  </si>
  <si>
    <t>469|599</t>
  </si>
  <si>
    <t>411|536</t>
  </si>
  <si>
    <t>538|413</t>
  </si>
  <si>
    <t>589|486</t>
  </si>
  <si>
    <t>415|532</t>
  </si>
  <si>
    <t>514|490</t>
  </si>
  <si>
    <t>492|407</t>
  </si>
  <si>
    <t>443|426</t>
  </si>
  <si>
    <t>557|566</t>
  </si>
  <si>
    <t>596|475</t>
  </si>
  <si>
    <t>409|477</t>
  </si>
  <si>
    <t>589|466</t>
  </si>
  <si>
    <t>520|416</t>
  </si>
  <si>
    <t>568|413</t>
  </si>
  <si>
    <t>419|546</t>
  </si>
  <si>
    <t>576|574</t>
  </si>
  <si>
    <t>590|474</t>
  </si>
  <si>
    <t>462|580</t>
  </si>
  <si>
    <t>406|527</t>
  </si>
  <si>
    <t>523|526</t>
  </si>
  <si>
    <t>455|486</t>
  </si>
  <si>
    <t>478|408</t>
  </si>
  <si>
    <t>520|409</t>
  </si>
  <si>
    <t>397|482</t>
  </si>
  <si>
    <t>419|548</t>
  </si>
  <si>
    <t>552|423</t>
  </si>
  <si>
    <t>420|550</t>
  </si>
  <si>
    <t>452|559</t>
  </si>
  <si>
    <t>599|475</t>
  </si>
  <si>
    <t>588|534</t>
  </si>
  <si>
    <t>592|477</t>
  </si>
  <si>
    <t>578|439</t>
  </si>
  <si>
    <t>456|581</t>
  </si>
  <si>
    <t>430|564</t>
  </si>
  <si>
    <t>407|510</t>
  </si>
  <si>
    <t>495|410</t>
  </si>
  <si>
    <t>577|450</t>
  </si>
  <si>
    <t>450|422</t>
  </si>
  <si>
    <t>430|560</t>
  </si>
  <si>
    <t>426|446</t>
  </si>
  <si>
    <t>440|583</t>
  </si>
  <si>
    <t>504|406</t>
  </si>
  <si>
    <t>476|604</t>
  </si>
  <si>
    <t>463|531</t>
  </si>
  <si>
    <t>414|537</t>
  </si>
  <si>
    <t>432|568</t>
  </si>
  <si>
    <t>455|560</t>
  </si>
  <si>
    <t>503|416</t>
  </si>
  <si>
    <t>407|507</t>
  </si>
  <si>
    <t>579|554</t>
  </si>
  <si>
    <t>474|595</t>
  </si>
  <si>
    <t>418|540</t>
  </si>
  <si>
    <t>441|575</t>
  </si>
  <si>
    <t>552|451</t>
  </si>
  <si>
    <t>458|583</t>
  </si>
  <si>
    <t>507|425</t>
  </si>
  <si>
    <t>522|408</t>
  </si>
  <si>
    <t>417|458</t>
  </si>
  <si>
    <t>535|587</t>
  </si>
  <si>
    <t>456|430</t>
  </si>
  <si>
    <t>491|387</t>
  </si>
  <si>
    <t>454|597</t>
  </si>
  <si>
    <t>431|561</t>
  </si>
  <si>
    <t>438|572</t>
  </si>
  <si>
    <t>408|505</t>
  </si>
  <si>
    <t>557|533</t>
  </si>
  <si>
    <t>544|519</t>
  </si>
  <si>
    <t>541|583</t>
  </si>
  <si>
    <t>527|410</t>
  </si>
  <si>
    <t>453|578</t>
  </si>
  <si>
    <t>502|406</t>
  </si>
  <si>
    <t>550|399</t>
  </si>
  <si>
    <t>410|520</t>
  </si>
  <si>
    <t>590|431</t>
  </si>
  <si>
    <t>585|459</t>
  </si>
  <si>
    <t>579|430</t>
  </si>
  <si>
    <t>457|401</t>
  </si>
  <si>
    <t>504|582</t>
  </si>
  <si>
    <t>512|407</t>
  </si>
  <si>
    <t>519|536</t>
  </si>
  <si>
    <t>523|511</t>
  </si>
  <si>
    <t>589|559</t>
  </si>
  <si>
    <t>483|590</t>
  </si>
  <si>
    <t>438|433</t>
  </si>
  <si>
    <t>493|587</t>
  </si>
  <si>
    <t>444|426</t>
  </si>
  <si>
    <t>542|601</t>
  </si>
  <si>
    <t>475|586</t>
  </si>
  <si>
    <t>408|525</t>
  </si>
  <si>
    <t>471|587</t>
  </si>
  <si>
    <t>575|558</t>
  </si>
  <si>
    <t>418|456</t>
  </si>
  <si>
    <t>527|512</t>
  </si>
  <si>
    <t>468|436</t>
  </si>
  <si>
    <t>420|543</t>
  </si>
  <si>
    <t>439|427</t>
  </si>
  <si>
    <t>459|582</t>
  </si>
  <si>
    <t>567|432</t>
  </si>
  <si>
    <t>612|500</t>
  </si>
  <si>
    <t>537|602</t>
  </si>
  <si>
    <t>580|457</t>
  </si>
  <si>
    <t>422|453</t>
  </si>
  <si>
    <t>594|502</t>
  </si>
  <si>
    <t>549|422</t>
  </si>
  <si>
    <t>405|478</t>
  </si>
  <si>
    <t>541|428</t>
  </si>
  <si>
    <t>591|513</t>
  </si>
  <si>
    <t>583|446</t>
  </si>
  <si>
    <t>573|438</t>
  </si>
  <si>
    <t>450|463</t>
  </si>
  <si>
    <t>490|564</t>
  </si>
  <si>
    <t>422|544</t>
  </si>
  <si>
    <t>579|454</t>
  </si>
  <si>
    <t>467|587</t>
  </si>
  <si>
    <t>479|590</t>
  </si>
  <si>
    <t>582|444</t>
  </si>
  <si>
    <t>441|576</t>
  </si>
  <si>
    <t>522|579</t>
  </si>
  <si>
    <t>575|556</t>
  </si>
  <si>
    <t>594|487</t>
  </si>
  <si>
    <t>590|437</t>
  </si>
  <si>
    <t>592|490</t>
  </si>
  <si>
    <t>510|415</t>
  </si>
  <si>
    <t>541|570</t>
  </si>
  <si>
    <t>512|410</t>
  </si>
  <si>
    <t>576|559</t>
  </si>
  <si>
    <t>595|487</t>
  </si>
  <si>
    <t>498|568</t>
  </si>
  <si>
    <t>577|550</t>
  </si>
  <si>
    <t>412|535</t>
  </si>
  <si>
    <t>466|585</t>
  </si>
  <si>
    <t>418|542</t>
  </si>
  <si>
    <t>575|443</t>
  </si>
  <si>
    <t>542|584</t>
  </si>
  <si>
    <t>405|493</t>
  </si>
  <si>
    <t>521|596</t>
  </si>
  <si>
    <t>439|569</t>
  </si>
  <si>
    <t>586|467</t>
  </si>
  <si>
    <t>591|505</t>
  </si>
  <si>
    <t>445|422</t>
  </si>
  <si>
    <t>529|595</t>
  </si>
  <si>
    <t>592|478</t>
  </si>
  <si>
    <t>584|465</t>
  </si>
  <si>
    <t>555|425</t>
  </si>
  <si>
    <t>500|584</t>
  </si>
  <si>
    <t>582|452</t>
  </si>
  <si>
    <t>393|520</t>
  </si>
  <si>
    <t>585|435</t>
  </si>
  <si>
    <t>436|413</t>
  </si>
  <si>
    <t>407|520</t>
  </si>
  <si>
    <t>590|478</t>
  </si>
  <si>
    <t>424|552</t>
  </si>
  <si>
    <t>594|511</t>
  </si>
  <si>
    <t>423|449</t>
  </si>
  <si>
    <t>579|551</t>
  </si>
  <si>
    <t>504|593</t>
  </si>
  <si>
    <t>409|527</t>
  </si>
  <si>
    <t>440|574</t>
  </si>
  <si>
    <t>590|519</t>
  </si>
  <si>
    <t>588|563</t>
  </si>
  <si>
    <t>584|540</t>
  </si>
  <si>
    <t>505|406</t>
  </si>
  <si>
    <t>488|574</t>
  </si>
  <si>
    <t>445|574</t>
  </si>
  <si>
    <t>569|454</t>
  </si>
  <si>
    <t>410|472</t>
  </si>
  <si>
    <t>457|583</t>
  </si>
  <si>
    <t>472|461</t>
  </si>
  <si>
    <t>577|554</t>
  </si>
  <si>
    <t>483|564</t>
  </si>
  <si>
    <t>515|578</t>
  </si>
  <si>
    <t>576|496</t>
  </si>
  <si>
    <t>413|463</t>
  </si>
  <si>
    <t>551|422</t>
  </si>
  <si>
    <t>412|549</t>
  </si>
  <si>
    <t>484|596</t>
  </si>
  <si>
    <t>505|408</t>
  </si>
  <si>
    <t>506|402</t>
  </si>
  <si>
    <t>506|399</t>
  </si>
  <si>
    <t>484|442</t>
  </si>
  <si>
    <t>497|570</t>
  </si>
  <si>
    <t>521|591</t>
  </si>
  <si>
    <t>577|551</t>
  </si>
  <si>
    <t>576|448</t>
  </si>
  <si>
    <t>589|441</t>
  </si>
  <si>
    <t>555|420</t>
  </si>
  <si>
    <t>409|488</t>
  </si>
  <si>
    <t>558|590</t>
  </si>
  <si>
    <t>439|561</t>
  </si>
  <si>
    <t>458|415</t>
  </si>
  <si>
    <t>442|424</t>
  </si>
  <si>
    <t>408|501</t>
  </si>
  <si>
    <t>517|592</t>
  </si>
  <si>
    <t>416|541</t>
  </si>
  <si>
    <t>452|426</t>
  </si>
  <si>
    <t>543|497</t>
  </si>
  <si>
    <t>544|581</t>
  </si>
  <si>
    <t>469|591</t>
  </si>
  <si>
    <t>527|411</t>
  </si>
  <si>
    <t>585|538</t>
  </si>
  <si>
    <t>568|442</t>
  </si>
  <si>
    <t>543|419</t>
  </si>
  <si>
    <t>549|583</t>
  </si>
  <si>
    <t>521|594</t>
  </si>
  <si>
    <t>528|587</t>
  </si>
  <si>
    <t>461|587</t>
  </si>
  <si>
    <t>425|581</t>
  </si>
  <si>
    <t>409|479</t>
  </si>
  <si>
    <t>549|420</t>
  </si>
  <si>
    <t>541|521</t>
  </si>
  <si>
    <t>509|541</t>
  </si>
  <si>
    <t>506|413</t>
  </si>
  <si>
    <t>506|594</t>
  </si>
  <si>
    <t>559|528</t>
  </si>
  <si>
    <t>501|404</t>
  </si>
  <si>
    <t>549|415</t>
  </si>
  <si>
    <t>484|592</t>
  </si>
  <si>
    <t>415|464</t>
  </si>
  <si>
    <t>407|513</t>
  </si>
  <si>
    <t>406|498</t>
  </si>
  <si>
    <t>496|469</t>
  </si>
  <si>
    <t>442|426</t>
  </si>
  <si>
    <t>528|513</t>
  </si>
  <si>
    <t>592|528</t>
  </si>
  <si>
    <t>505|557</t>
  </si>
  <si>
    <t>522|471</t>
  </si>
  <si>
    <t>603|468</t>
  </si>
  <si>
    <t>577|523</t>
  </si>
  <si>
    <t>442|427</t>
  </si>
  <si>
    <t>417|543</t>
  </si>
  <si>
    <t>436|550</t>
  </si>
  <si>
    <t>602|479</t>
  </si>
  <si>
    <t>564|587</t>
  </si>
  <si>
    <t>593|497</t>
  </si>
  <si>
    <t>543|414</t>
  </si>
  <si>
    <t>594|513</t>
  </si>
  <si>
    <t>603|499</t>
  </si>
  <si>
    <t>492|593</t>
  </si>
  <si>
    <t>434|568</t>
  </si>
  <si>
    <t>452|407</t>
  </si>
  <si>
    <t>477|429</t>
  </si>
  <si>
    <t>427|567</t>
  </si>
  <si>
    <t>551|433</t>
  </si>
  <si>
    <t>521|590</t>
  </si>
  <si>
    <t>407|488</t>
  </si>
  <si>
    <t>412|467</t>
  </si>
  <si>
    <t>406|490</t>
  </si>
  <si>
    <t>501|492</t>
  </si>
  <si>
    <t>514|407</t>
  </si>
  <si>
    <t>552|529</t>
  </si>
  <si>
    <t>532|409</t>
  </si>
  <si>
    <t>514|544</t>
  </si>
  <si>
    <t>417|547</t>
  </si>
  <si>
    <t>466|410</t>
  </si>
  <si>
    <t>509|405</t>
  </si>
  <si>
    <t>554|577</t>
  </si>
  <si>
    <t>561|526</t>
  </si>
  <si>
    <t>481|588</t>
  </si>
  <si>
    <t>585|536</t>
  </si>
  <si>
    <t>416|575</t>
  </si>
  <si>
    <t>578|573</t>
  </si>
  <si>
    <t>519|404</t>
  </si>
  <si>
    <t>485|408</t>
  </si>
  <si>
    <t>502|404</t>
  </si>
  <si>
    <t>497|554</t>
  </si>
  <si>
    <t>556|574</t>
  </si>
  <si>
    <t>436|433</t>
  </si>
  <si>
    <t>489|593</t>
  </si>
  <si>
    <t>575|442</t>
  </si>
  <si>
    <t>537|414</t>
  </si>
  <si>
    <t>558|596</t>
  </si>
  <si>
    <t>420|533</t>
  </si>
  <si>
    <t>584|455</t>
  </si>
  <si>
    <t>565|566</t>
  </si>
  <si>
    <t>482|409</t>
  </si>
  <si>
    <t>540|561</t>
  </si>
  <si>
    <t>539|603</t>
  </si>
  <si>
    <t>573|444</t>
  </si>
  <si>
    <t>422|450</t>
  </si>
  <si>
    <t>494|405</t>
  </si>
  <si>
    <t>481|534</t>
  </si>
  <si>
    <t>449|578</t>
  </si>
  <si>
    <t>426|547</t>
  </si>
  <si>
    <t>568|434</t>
  </si>
  <si>
    <t>405|488</t>
  </si>
  <si>
    <t>555|406</t>
  </si>
  <si>
    <t>398|480</t>
  </si>
  <si>
    <t>579|444</t>
  </si>
  <si>
    <t>451|546</t>
  </si>
  <si>
    <t>589|462</t>
  </si>
  <si>
    <t>395|496</t>
  </si>
  <si>
    <t>469|410</t>
  </si>
  <si>
    <t>507|404</t>
  </si>
  <si>
    <t>452|419</t>
  </si>
  <si>
    <t>511|591</t>
  </si>
  <si>
    <t>435|432</t>
  </si>
  <si>
    <t>578|549</t>
  </si>
  <si>
    <t>457|554</t>
  </si>
  <si>
    <t>485|410</t>
  </si>
  <si>
    <t>474|408</t>
  </si>
  <si>
    <t>526|592</t>
  </si>
  <si>
    <t>501|407</t>
  </si>
  <si>
    <t>561|429</t>
  </si>
  <si>
    <t>446|429</t>
  </si>
  <si>
    <t>605|530</t>
  </si>
  <si>
    <t>569|566</t>
  </si>
  <si>
    <t>519|607</t>
  </si>
  <si>
    <t>462|586</t>
  </si>
  <si>
    <t>530|410</t>
  </si>
  <si>
    <t>520|406</t>
  </si>
  <si>
    <t>561|425</t>
  </si>
  <si>
    <t>415|539</t>
  </si>
  <si>
    <t>453|416</t>
  </si>
  <si>
    <t>404|492</t>
  </si>
  <si>
    <t>432|563</t>
  </si>
  <si>
    <t>468|591</t>
  </si>
  <si>
    <t>404|505</t>
  </si>
  <si>
    <t>520|594</t>
  </si>
  <si>
    <t>403|502</t>
  </si>
  <si>
    <t>472|400</t>
  </si>
  <si>
    <t>477|408</t>
  </si>
  <si>
    <t>480|591</t>
  </si>
  <si>
    <t>578|456</t>
  </si>
  <si>
    <t>475|546</t>
  </si>
  <si>
    <t>421|451</t>
  </si>
  <si>
    <t>606|503</t>
  </si>
  <si>
    <t>458|587</t>
  </si>
  <si>
    <t>585|461</t>
  </si>
  <si>
    <t>405|498</t>
  </si>
  <si>
    <t>444|541</t>
  </si>
  <si>
    <t>406|513</t>
  </si>
  <si>
    <t>468|559</t>
  </si>
  <si>
    <t>469|420</t>
  </si>
  <si>
    <t>420|544</t>
  </si>
  <si>
    <t>399|531</t>
  </si>
  <si>
    <t>497|515</t>
  </si>
  <si>
    <t>477|592</t>
  </si>
  <si>
    <t>516|600</t>
  </si>
  <si>
    <t>478|398</t>
  </si>
  <si>
    <t>418|449</t>
  </si>
  <si>
    <t>547|418</t>
  </si>
  <si>
    <t>511|593</t>
  </si>
  <si>
    <t>504|498</t>
  </si>
  <si>
    <t>569|436</t>
  </si>
  <si>
    <t>578|451</t>
  </si>
  <si>
    <t>596|489</t>
  </si>
  <si>
    <t>595|489</t>
  </si>
  <si>
    <t>462|589</t>
  </si>
  <si>
    <t>561|428</t>
  </si>
  <si>
    <t>596|537</t>
  </si>
  <si>
    <t>460|586</t>
  </si>
  <si>
    <t>406|502</t>
  </si>
  <si>
    <t>564|571</t>
  </si>
  <si>
    <t>525|591</t>
  </si>
  <si>
    <t>481|594</t>
  </si>
  <si>
    <t>424|558</t>
  </si>
  <si>
    <t>579|446</t>
  </si>
  <si>
    <t>458|407</t>
  </si>
  <si>
    <t>577|555</t>
  </si>
  <si>
    <t>531|592</t>
  </si>
  <si>
    <t>448|413</t>
  </si>
  <si>
    <t>541|587</t>
  </si>
  <si>
    <t>443|446</t>
  </si>
  <si>
    <t>529|584</t>
  </si>
  <si>
    <t>484|406</t>
  </si>
  <si>
    <t>585|453</t>
  </si>
  <si>
    <t>425|559</t>
  </si>
  <si>
    <t>544|582</t>
  </si>
  <si>
    <t>581|450</t>
  </si>
  <si>
    <t>582|547</t>
  </si>
  <si>
    <t>443|587</t>
  </si>
  <si>
    <t>530|590</t>
  </si>
  <si>
    <t>514|409</t>
  </si>
  <si>
    <t>430|417</t>
  </si>
  <si>
    <t>505|541</t>
  </si>
  <si>
    <t>412|539</t>
  </si>
  <si>
    <t>418|547</t>
  </si>
  <si>
    <t>602|503</t>
  </si>
  <si>
    <t>592|530</t>
  </si>
  <si>
    <t>597|486</t>
  </si>
  <si>
    <t>593|472</t>
  </si>
  <si>
    <t>513|523</t>
  </si>
  <si>
    <t>416|453</t>
  </si>
  <si>
    <t>406|530</t>
  </si>
  <si>
    <t>500|610</t>
  </si>
  <si>
    <t>452|552</t>
  </si>
  <si>
    <t>409|519</t>
  </si>
  <si>
    <t>420|549</t>
  </si>
  <si>
    <t>515|596</t>
  </si>
  <si>
    <t>510|530</t>
  </si>
  <si>
    <t>409|530</t>
  </si>
  <si>
    <t>485|523</t>
  </si>
  <si>
    <t>554|580</t>
  </si>
  <si>
    <t>429|437</t>
  </si>
  <si>
    <t>572|559</t>
  </si>
  <si>
    <t>409|492</t>
  </si>
  <si>
    <t>455|584</t>
  </si>
  <si>
    <t>475|423</t>
  </si>
  <si>
    <t>446|577</t>
  </si>
  <si>
    <t>573|560</t>
  </si>
  <si>
    <t>606|529</t>
  </si>
  <si>
    <t>512|594</t>
  </si>
  <si>
    <t>593|442</t>
  </si>
  <si>
    <t>545|592</t>
  </si>
  <si>
    <t>549|589</t>
  </si>
  <si>
    <t>456|416</t>
  </si>
  <si>
    <t>404|484</t>
  </si>
  <si>
    <t>461|491</t>
  </si>
  <si>
    <t>438|582</t>
  </si>
  <si>
    <t>461|484</t>
  </si>
  <si>
    <t>527|592</t>
  </si>
  <si>
    <t>426|563</t>
  </si>
  <si>
    <t>465|560</t>
  </si>
  <si>
    <t>574|469</t>
  </si>
  <si>
    <t>415|452</t>
  </si>
  <si>
    <t>571|565</t>
  </si>
  <si>
    <t>595|445</t>
  </si>
  <si>
    <t>506|534</t>
  </si>
  <si>
    <t>584|466</t>
  </si>
  <si>
    <t>431|566</t>
  </si>
  <si>
    <t>547|419</t>
  </si>
  <si>
    <t>595|491</t>
  </si>
  <si>
    <t>518|448</t>
  </si>
  <si>
    <t>542|587</t>
  </si>
  <si>
    <t>474|409</t>
  </si>
  <si>
    <t>542|586</t>
  </si>
  <si>
    <t>567|524</t>
  </si>
  <si>
    <t>408|520</t>
  </si>
  <si>
    <t>608|510</t>
  </si>
  <si>
    <t>570|564</t>
  </si>
  <si>
    <t>465|442</t>
  </si>
  <si>
    <t>510|595</t>
  </si>
  <si>
    <t>426|562</t>
  </si>
  <si>
    <t>447|578</t>
  </si>
  <si>
    <t>406|521</t>
  </si>
  <si>
    <t>431|435</t>
  </si>
  <si>
    <t>478|416</t>
  </si>
  <si>
    <t>507|538</t>
  </si>
  <si>
    <t>397|498</t>
  </si>
  <si>
    <t>493|406</t>
  </si>
  <si>
    <t>449|579</t>
  </si>
  <si>
    <t>434|450</t>
  </si>
  <si>
    <t>577|445</t>
  </si>
  <si>
    <t>446|586</t>
  </si>
  <si>
    <t>405|482</t>
  </si>
  <si>
    <t>506|405</t>
  </si>
  <si>
    <t>606|507</t>
  </si>
  <si>
    <t>592|457</t>
  </si>
  <si>
    <t>413|535</t>
  </si>
  <si>
    <t>449|452</t>
  </si>
  <si>
    <t>554|578</t>
  </si>
  <si>
    <t>445|576</t>
  </si>
  <si>
    <t>589|533</t>
  </si>
  <si>
    <t>452|585</t>
  </si>
  <si>
    <t>449|417</t>
  </si>
  <si>
    <t>548|416</t>
  </si>
  <si>
    <t>476|423</t>
  </si>
  <si>
    <t>590|443</t>
  </si>
  <si>
    <t>441|565</t>
  </si>
  <si>
    <t>405|477</t>
  </si>
  <si>
    <t>455|416</t>
  </si>
  <si>
    <t>609|518</t>
  </si>
  <si>
    <t>594|504</t>
  </si>
  <si>
    <t>569|439</t>
  </si>
  <si>
    <t>598|473</t>
  </si>
  <si>
    <t>497|406</t>
  </si>
  <si>
    <t>591|518</t>
  </si>
  <si>
    <t>438|429</t>
  </si>
  <si>
    <t>411|464</t>
  </si>
  <si>
    <t>455|558</t>
  </si>
  <si>
    <t>530|578</t>
  </si>
  <si>
    <t>530|591</t>
  </si>
  <si>
    <t>444|489</t>
  </si>
  <si>
    <t>523|593</t>
  </si>
  <si>
    <t>491|440</t>
  </si>
  <si>
    <t>449|470</t>
  </si>
  <si>
    <t>579|443</t>
  </si>
  <si>
    <t>444|421</t>
  </si>
  <si>
    <t>437|572</t>
  </si>
  <si>
    <t>527|520</t>
  </si>
  <si>
    <t>509|596</t>
  </si>
  <si>
    <t>403|513</t>
  </si>
  <si>
    <t>470|407</t>
  </si>
  <si>
    <t>512|597</t>
  </si>
  <si>
    <t>409|469</t>
  </si>
  <si>
    <t>587|457</t>
  </si>
  <si>
    <t>460|584</t>
  </si>
  <si>
    <t>406|504</t>
  </si>
  <si>
    <t>416|478</t>
  </si>
  <si>
    <t>576|561</t>
  </si>
  <si>
    <t>539|397</t>
  </si>
  <si>
    <t>493|593</t>
  </si>
  <si>
    <t>544|588</t>
  </si>
  <si>
    <t>571|544</t>
  </si>
  <si>
    <t>567|482</t>
  </si>
  <si>
    <t>416|451</t>
  </si>
  <si>
    <t>406|489</t>
  </si>
  <si>
    <t>403|507</t>
  </si>
  <si>
    <t>556|440</t>
  </si>
  <si>
    <t>466|413</t>
  </si>
  <si>
    <t>410|518</t>
  </si>
  <si>
    <t>607|514</t>
  </si>
  <si>
    <t>411|533</t>
  </si>
  <si>
    <t>429|578</t>
  </si>
  <si>
    <t>587|465</t>
  </si>
  <si>
    <t>474|482</t>
  </si>
  <si>
    <t>578|442</t>
  </si>
  <si>
    <t>543|601</t>
  </si>
  <si>
    <t>416|548</t>
  </si>
  <si>
    <t>596|484</t>
  </si>
  <si>
    <t>544|585</t>
  </si>
  <si>
    <t>487|596</t>
  </si>
  <si>
    <t>448|583</t>
  </si>
  <si>
    <t>495|425</t>
  </si>
  <si>
    <t>587|542</t>
  </si>
  <si>
    <t>475|609</t>
  </si>
  <si>
    <t>480|409</t>
  </si>
  <si>
    <t>482|415</t>
  </si>
  <si>
    <t>406|473</t>
  </si>
  <si>
    <t>570|548</t>
  </si>
  <si>
    <t>457|415</t>
  </si>
  <si>
    <t>590|531</t>
  </si>
  <si>
    <t>463|589</t>
  </si>
  <si>
    <t>536|411</t>
  </si>
  <si>
    <t>596|490</t>
  </si>
  <si>
    <t>407|503</t>
  </si>
  <si>
    <t>576|557</t>
  </si>
  <si>
    <t>439|573</t>
  </si>
  <si>
    <t>553|421</t>
  </si>
  <si>
    <t>457|413</t>
  </si>
  <si>
    <t>471|411</t>
  </si>
  <si>
    <t>585|452</t>
  </si>
  <si>
    <t>498|403</t>
  </si>
  <si>
    <t>509|403</t>
  </si>
  <si>
    <t>470|491</t>
  </si>
  <si>
    <t>462|412</t>
  </si>
  <si>
    <t>512|518</t>
  </si>
  <si>
    <t>412|543</t>
  </si>
  <si>
    <t>451|542</t>
  </si>
  <si>
    <t>449|582</t>
  </si>
  <si>
    <t>594|490</t>
  </si>
  <si>
    <t>581|553</t>
  </si>
  <si>
    <t>501|405</t>
  </si>
  <si>
    <t>407|470</t>
  </si>
  <si>
    <t>586|460</t>
  </si>
  <si>
    <t>514|533</t>
  </si>
  <si>
    <t>558|421</t>
  </si>
  <si>
    <t>507|399</t>
  </si>
  <si>
    <t>442|425</t>
  </si>
  <si>
    <t>415|466</t>
  </si>
  <si>
    <t>508|403</t>
  </si>
  <si>
    <t>505|395</t>
  </si>
  <si>
    <t>415|546</t>
  </si>
  <si>
    <t>551|584</t>
  </si>
  <si>
    <t>587|544</t>
  </si>
  <si>
    <t>567|572</t>
  </si>
  <si>
    <t>569|437</t>
  </si>
  <si>
    <t>476|541</t>
  </si>
  <si>
    <t>582|546</t>
  </si>
  <si>
    <t>402|514</t>
  </si>
  <si>
    <t>450|416</t>
  </si>
  <si>
    <t>504|508</t>
  </si>
  <si>
    <t>418|571</t>
  </si>
  <si>
    <t>522|592</t>
  </si>
  <si>
    <t>590|539</t>
  </si>
  <si>
    <t>427|439</t>
  </si>
  <si>
    <t>582|448</t>
  </si>
  <si>
    <t>406|474</t>
  </si>
  <si>
    <t>472|411</t>
  </si>
  <si>
    <t>424|444</t>
  </si>
  <si>
    <t>459|548</t>
  </si>
  <si>
    <t>583|454</t>
  </si>
  <si>
    <t>455|429</t>
  </si>
  <si>
    <t>403|514</t>
  </si>
  <si>
    <t>585|456</t>
  </si>
  <si>
    <t>523|407</t>
  </si>
  <si>
    <t>597|487</t>
  </si>
  <si>
    <t>457|481</t>
  </si>
  <si>
    <t>515|398</t>
  </si>
  <si>
    <t>496|596</t>
  </si>
  <si>
    <t>525|412</t>
  </si>
  <si>
    <t>562|571</t>
  </si>
  <si>
    <t>458|584</t>
  </si>
  <si>
    <t>543|586</t>
  </si>
  <si>
    <t>523|510</t>
  </si>
  <si>
    <t>523|605</t>
  </si>
  <si>
    <t>594|482</t>
  </si>
  <si>
    <t>523|596</t>
  </si>
  <si>
    <t>405|522</t>
  </si>
  <si>
    <t>574|538</t>
  </si>
  <si>
    <t>418|554</t>
  </si>
  <si>
    <t>490|597</t>
  </si>
  <si>
    <t>468|409</t>
  </si>
  <si>
    <t>403|505</t>
  </si>
  <si>
    <t>457|584</t>
  </si>
  <si>
    <t>402|503</t>
  </si>
  <si>
    <t>439|424</t>
  </si>
  <si>
    <t>437|499</t>
  </si>
  <si>
    <t>559|461</t>
  </si>
  <si>
    <t>597|492</t>
  </si>
  <si>
    <t>590|461</t>
  </si>
  <si>
    <t>518|391</t>
  </si>
  <si>
    <t>595|504</t>
  </si>
  <si>
    <t>565|430</t>
  </si>
  <si>
    <t>459|415</t>
  </si>
  <si>
    <t>477|410</t>
  </si>
  <si>
    <t>408|465</t>
  </si>
  <si>
    <t>561|422</t>
  </si>
  <si>
    <t>576|560</t>
  </si>
  <si>
    <t>410|526</t>
  </si>
  <si>
    <t>556|420</t>
  </si>
  <si>
    <t>581|549</t>
  </si>
  <si>
    <t>540|587</t>
  </si>
  <si>
    <t>529|592</t>
  </si>
  <si>
    <t>415|544</t>
  </si>
  <si>
    <t>492|565</t>
  </si>
  <si>
    <t>439|414</t>
  </si>
  <si>
    <t>539|589</t>
  </si>
  <si>
    <t>394|525</t>
  </si>
  <si>
    <t>597|501</t>
  </si>
  <si>
    <t>553|419</t>
  </si>
  <si>
    <t>425|443</t>
  </si>
  <si>
    <t>506|556</t>
  </si>
  <si>
    <t>509|496</t>
  </si>
  <si>
    <t>465|433</t>
  </si>
  <si>
    <t>407|527</t>
  </si>
  <si>
    <t>582|550</t>
  </si>
  <si>
    <t>405|524</t>
  </si>
  <si>
    <t>489|476</t>
  </si>
  <si>
    <t>588|463</t>
  </si>
  <si>
    <t>409|476</t>
  </si>
  <si>
    <t>405|489</t>
  </si>
  <si>
    <t>591|464</t>
  </si>
  <si>
    <t>574|440</t>
  </si>
  <si>
    <t>462|410</t>
  </si>
  <si>
    <t>537|562</t>
  </si>
  <si>
    <t>544|414</t>
  </si>
  <si>
    <t>554|419</t>
  </si>
  <si>
    <t>513|405</t>
  </si>
  <si>
    <t>436|450</t>
  </si>
  <si>
    <t>409|438</t>
  </si>
  <si>
    <t>561|532</t>
  </si>
  <si>
    <t>568|566</t>
  </si>
  <si>
    <t>536|588</t>
  </si>
  <si>
    <t>544|566</t>
  </si>
  <si>
    <t>539|555</t>
  </si>
  <si>
    <t>528|594</t>
  </si>
  <si>
    <t>450|580</t>
  </si>
  <si>
    <t>593|528</t>
  </si>
  <si>
    <t>586|452</t>
  </si>
  <si>
    <t>539|556</t>
  </si>
  <si>
    <t>579|448</t>
  </si>
  <si>
    <t>472|473</t>
  </si>
  <si>
    <t>539|409</t>
  </si>
  <si>
    <t>595|446</t>
  </si>
  <si>
    <t>474|406</t>
  </si>
  <si>
    <t>404|515</t>
  </si>
  <si>
    <t>436|439</t>
  </si>
  <si>
    <t>404|516</t>
  </si>
  <si>
    <t>554|427</t>
  </si>
  <si>
    <t>550|420</t>
  </si>
  <si>
    <t>403|516</t>
  </si>
  <si>
    <t>409|470</t>
  </si>
  <si>
    <t>555|426</t>
  </si>
  <si>
    <t>550|416</t>
  </si>
  <si>
    <t>597|446</t>
  </si>
  <si>
    <t>569|430</t>
  </si>
  <si>
    <t>577|439</t>
  </si>
  <si>
    <t>426|481</t>
  </si>
  <si>
    <t>456|415</t>
  </si>
  <si>
    <t>597|494</t>
  </si>
  <si>
    <t>451|417</t>
  </si>
  <si>
    <t>598|507</t>
  </si>
  <si>
    <t>469|590</t>
  </si>
  <si>
    <t>420|443</t>
  </si>
  <si>
    <t>511|529</t>
  </si>
  <si>
    <t>576|563</t>
  </si>
  <si>
    <t>513|594</t>
  </si>
  <si>
    <t>596|480</t>
  </si>
  <si>
    <t>497|403</t>
  </si>
  <si>
    <t>547|410</t>
  </si>
  <si>
    <t>494|567</t>
  </si>
  <si>
    <t>458|423</t>
  </si>
  <si>
    <t>560|424</t>
  </si>
  <si>
    <t>409|461</t>
  </si>
  <si>
    <t>484|403</t>
  </si>
  <si>
    <t>480|407</t>
  </si>
  <si>
    <t>581|550</t>
  </si>
  <si>
    <t>572|427</t>
  </si>
  <si>
    <t>553|420</t>
  </si>
  <si>
    <t>470|409</t>
  </si>
  <si>
    <t>579|421</t>
  </si>
  <si>
    <t>555|528</t>
  </si>
  <si>
    <t>478|403</t>
  </si>
  <si>
    <t>439|511</t>
  </si>
  <si>
    <t>443|589</t>
  </si>
  <si>
    <t>461|497</t>
  </si>
  <si>
    <t>561|462</t>
  </si>
  <si>
    <t>554|418</t>
  </si>
  <si>
    <t>571|564</t>
  </si>
  <si>
    <t>476|407</t>
  </si>
  <si>
    <t>554|417</t>
  </si>
  <si>
    <t>579|441</t>
  </si>
  <si>
    <t>565|535</t>
  </si>
  <si>
    <t>569|506</t>
  </si>
  <si>
    <t>422|568</t>
  </si>
  <si>
    <t>574|418</t>
  </si>
  <si>
    <t>499|405</t>
  </si>
  <si>
    <t>596|519</t>
  </si>
  <si>
    <t>470|472</t>
  </si>
  <si>
    <t>445|581</t>
  </si>
  <si>
    <t>506|404</t>
  </si>
  <si>
    <t>500|405</t>
  </si>
  <si>
    <t>590|530</t>
  </si>
  <si>
    <t>492|413</t>
  </si>
  <si>
    <t>471|439</t>
  </si>
  <si>
    <t>572|428</t>
  </si>
  <si>
    <t>417|449</t>
  </si>
  <si>
    <t>562|416</t>
  </si>
  <si>
    <t>537|402</t>
  </si>
  <si>
    <t>545|399</t>
  </si>
  <si>
    <t>414|573</t>
  </si>
  <si>
    <t>570|565</t>
  </si>
  <si>
    <t>594|519</t>
  </si>
  <si>
    <t>532|593</t>
  </si>
  <si>
    <t>530|398</t>
  </si>
  <si>
    <t>536|587</t>
  </si>
  <si>
    <t>514|404</t>
  </si>
  <si>
    <t>427|540</t>
  </si>
  <si>
    <t>504|599</t>
  </si>
  <si>
    <t>410|562</t>
  </si>
  <si>
    <t>406|485</t>
  </si>
  <si>
    <t>479|466</t>
  </si>
  <si>
    <t>584|457</t>
  </si>
  <si>
    <t>462|427</t>
  </si>
  <si>
    <t>580|459</t>
  </si>
  <si>
    <t>538|533</t>
  </si>
  <si>
    <t>476|409</t>
  </si>
  <si>
    <t>495|407</t>
  </si>
  <si>
    <t>565|427</t>
  </si>
  <si>
    <t>513|597</t>
  </si>
  <si>
    <t>607|524</t>
  </si>
  <si>
    <t>404|517</t>
  </si>
  <si>
    <t>420|442</t>
  </si>
  <si>
    <t>406|479</t>
  </si>
  <si>
    <t>521|562</t>
  </si>
  <si>
    <t>480|537</t>
  </si>
  <si>
    <t>592|523</t>
  </si>
  <si>
    <t>405|528</t>
  </si>
  <si>
    <t>488|444</t>
  </si>
  <si>
    <t>526|554</t>
  </si>
  <si>
    <t>597|481</t>
  </si>
  <si>
    <t>403|485</t>
  </si>
  <si>
    <t>426|560</t>
  </si>
  <si>
    <t>411|543</t>
  </si>
  <si>
    <t>589|535</t>
  </si>
  <si>
    <t>420|564</t>
  </si>
  <si>
    <t>597|497</t>
  </si>
  <si>
    <t>470|594</t>
  </si>
  <si>
    <t>596|482</t>
  </si>
  <si>
    <t>578|438</t>
  </si>
  <si>
    <t>588|541</t>
  </si>
  <si>
    <t>495|403</t>
  </si>
  <si>
    <t>604|480</t>
  </si>
  <si>
    <t>586|514</t>
  </si>
  <si>
    <t>561|522</t>
  </si>
  <si>
    <t>520|596</t>
  </si>
  <si>
    <t>509|548</t>
  </si>
  <si>
    <t>568|517</t>
  </si>
  <si>
    <t>578|443</t>
  </si>
  <si>
    <t>598|513</t>
  </si>
  <si>
    <t>526|568</t>
  </si>
  <si>
    <t>595|479</t>
  </si>
  <si>
    <t>520|585</t>
  </si>
  <si>
    <t>501|402</t>
  </si>
  <si>
    <t>528|406</t>
  </si>
  <si>
    <t>435|425</t>
  </si>
  <si>
    <t>606|488</t>
  </si>
  <si>
    <t>472|590</t>
  </si>
  <si>
    <t>407|494</t>
  </si>
  <si>
    <t>518|595</t>
  </si>
  <si>
    <t>441|577</t>
  </si>
  <si>
    <t>405|550</t>
  </si>
  <si>
    <t>571|569</t>
  </si>
  <si>
    <t>569|431</t>
  </si>
  <si>
    <t>569|440</t>
  </si>
  <si>
    <t>500|401</t>
  </si>
  <si>
    <t>450|521</t>
  </si>
  <si>
    <t>569|567</t>
  </si>
  <si>
    <t>472|586</t>
  </si>
  <si>
    <t>498|402</t>
  </si>
  <si>
    <t>589|463</t>
  </si>
  <si>
    <t>445|516</t>
  </si>
  <si>
    <t>431|506</t>
  </si>
  <si>
    <t>517|595</t>
  </si>
  <si>
    <t>474|601</t>
  </si>
  <si>
    <t>568|429</t>
  </si>
  <si>
    <t>518|494</t>
  </si>
  <si>
    <t>592|462</t>
  </si>
  <si>
    <t>395|471</t>
  </si>
  <si>
    <t>476|412</t>
  </si>
  <si>
    <t>548|409</t>
  </si>
  <si>
    <t>593|480</t>
  </si>
  <si>
    <t>563|426</t>
  </si>
  <si>
    <t>407|465</t>
  </si>
  <si>
    <t>398|481</t>
  </si>
  <si>
    <t>471|597</t>
  </si>
  <si>
    <t>450|546</t>
  </si>
  <si>
    <t>539|403</t>
  </si>
  <si>
    <t>585|537</t>
  </si>
  <si>
    <t>449|415</t>
  </si>
  <si>
    <t>567|427</t>
  </si>
  <si>
    <t>426|433</t>
  </si>
  <si>
    <t>403|524</t>
  </si>
  <si>
    <t>548|405</t>
  </si>
  <si>
    <t>417|452</t>
  </si>
  <si>
    <t>559|568</t>
  </si>
  <si>
    <t>594|481</t>
  </si>
  <si>
    <t>441|463</t>
  </si>
  <si>
    <t>473|464</t>
  </si>
  <si>
    <t>505|609</t>
  </si>
  <si>
    <t>547|416</t>
  </si>
  <si>
    <t>404|522</t>
  </si>
  <si>
    <t>490|417</t>
  </si>
  <si>
    <t>454|587</t>
  </si>
  <si>
    <t>563|425</t>
  </si>
  <si>
    <t>401|492</t>
  </si>
  <si>
    <t>448|417</t>
  </si>
  <si>
    <t>407|532</t>
  </si>
  <si>
    <t>565|482</t>
  </si>
  <si>
    <t>596|488</t>
  </si>
  <si>
    <t>406|529</t>
  </si>
  <si>
    <t>417|448</t>
  </si>
  <si>
    <t>547|586</t>
  </si>
  <si>
    <t>406|475</t>
  </si>
  <si>
    <t>596|465</t>
  </si>
  <si>
    <t>474|511</t>
  </si>
  <si>
    <t>583|548</t>
  </si>
  <si>
    <t>552|419</t>
  </si>
  <si>
    <t>520|537</t>
  </si>
  <si>
    <t>440|422</t>
  </si>
  <si>
    <t>472|577</t>
  </si>
  <si>
    <t>522|594</t>
  </si>
  <si>
    <t>559|578</t>
  </si>
  <si>
    <t>485|404</t>
  </si>
  <si>
    <t>552|595</t>
  </si>
  <si>
    <t>447|579</t>
  </si>
  <si>
    <t>586|456</t>
  </si>
  <si>
    <t>462|548</t>
  </si>
  <si>
    <t>559|513</t>
  </si>
  <si>
    <t>525|595</t>
  </si>
  <si>
    <t>524|594</t>
  </si>
  <si>
    <t>465|410</t>
  </si>
  <si>
    <t>563|575</t>
  </si>
  <si>
    <t>591|541</t>
  </si>
  <si>
    <t>549|413</t>
  </si>
  <si>
    <t>591|452</t>
  </si>
  <si>
    <t>430|430</t>
  </si>
  <si>
    <t>423|447</t>
  </si>
  <si>
    <t>446|418</t>
  </si>
  <si>
    <t>502|598</t>
  </si>
  <si>
    <t>419|447</t>
  </si>
  <si>
    <t>469|406</t>
  </si>
  <si>
    <t>415|447</t>
  </si>
  <si>
    <t>418|447</t>
  </si>
  <si>
    <t>585|449</t>
  </si>
  <si>
    <t>415|444</t>
  </si>
  <si>
    <t>469|416</t>
  </si>
  <si>
    <t>458|413</t>
  </si>
  <si>
    <t>416|547</t>
  </si>
  <si>
    <t>453|534</t>
  </si>
  <si>
    <t>416|452</t>
  </si>
  <si>
    <t>588|456</t>
  </si>
  <si>
    <t>454|420</t>
  </si>
  <si>
    <t>593|466</t>
  </si>
  <si>
    <t>588|553</t>
  </si>
  <si>
    <t>440|580</t>
  </si>
  <si>
    <t>427|433</t>
  </si>
  <si>
    <t>480|595</t>
  </si>
  <si>
    <t>581|445</t>
  </si>
  <si>
    <t>414|457</t>
  </si>
  <si>
    <t>510|405</t>
  </si>
  <si>
    <t>454|417</t>
  </si>
  <si>
    <t>563|561</t>
  </si>
  <si>
    <t>510|488</t>
  </si>
  <si>
    <t>473|596</t>
  </si>
  <si>
    <t>443|422</t>
  </si>
  <si>
    <t>480|405</t>
  </si>
  <si>
    <t>456|589</t>
  </si>
  <si>
    <t>417|465</t>
  </si>
  <si>
    <t>463|480</t>
  </si>
  <si>
    <t>410|459</t>
  </si>
  <si>
    <t>556|538</t>
  </si>
  <si>
    <t>461|424</t>
  </si>
  <si>
    <t>438|436</t>
  </si>
  <si>
    <t>582|459</t>
  </si>
  <si>
    <t>520|608</t>
  </si>
  <si>
    <t>597|516</t>
  </si>
  <si>
    <t>405|496</t>
  </si>
  <si>
    <t>448|418</t>
  </si>
  <si>
    <t>455|588</t>
  </si>
  <si>
    <t>408|508</t>
  </si>
  <si>
    <t>409|502</t>
  </si>
  <si>
    <t>426|565</t>
  </si>
  <si>
    <t>465|409</t>
  </si>
  <si>
    <t>555|417</t>
  </si>
  <si>
    <t>402|513</t>
  </si>
  <si>
    <t>446|421</t>
  </si>
  <si>
    <t>466|451</t>
  </si>
  <si>
    <t>406|476</t>
  </si>
  <si>
    <t>518|410</t>
  </si>
  <si>
    <t>599|498</t>
  </si>
  <si>
    <t>406|533</t>
  </si>
  <si>
    <t>413|550</t>
  </si>
  <si>
    <t>530|593</t>
  </si>
  <si>
    <t>409|462</t>
  </si>
  <si>
    <t>439|423</t>
  </si>
  <si>
    <t>510|598</t>
  </si>
  <si>
    <t>403|499</t>
  </si>
  <si>
    <t>448|581</t>
  </si>
  <si>
    <t>403|512</t>
  </si>
  <si>
    <t>568|426</t>
  </si>
  <si>
    <t>454|435</t>
  </si>
  <si>
    <t>462|408</t>
  </si>
  <si>
    <t>457|424</t>
  </si>
  <si>
    <t>599|494</t>
  </si>
  <si>
    <t>516|403</t>
  </si>
  <si>
    <t>409|529</t>
  </si>
  <si>
    <t>403|483</t>
  </si>
  <si>
    <t>404|509</t>
  </si>
  <si>
    <t>486|598</t>
  </si>
  <si>
    <t>407|509</t>
  </si>
  <si>
    <t>584|571</t>
  </si>
  <si>
    <t>461|467</t>
  </si>
  <si>
    <t>424|539</t>
  </si>
  <si>
    <t>595|521</t>
  </si>
  <si>
    <t>576|551</t>
  </si>
  <si>
    <t>521|599</t>
  </si>
  <si>
    <t>422|441</t>
  </si>
  <si>
    <t>487|404</t>
  </si>
  <si>
    <t>511|403</t>
  </si>
  <si>
    <t>468|601</t>
  </si>
  <si>
    <t>590|545</t>
  </si>
  <si>
    <t>444|433</t>
  </si>
  <si>
    <t>442|430</t>
  </si>
  <si>
    <t>505|389</t>
  </si>
  <si>
    <t>520|472</t>
  </si>
  <si>
    <t>532|408</t>
  </si>
  <si>
    <t>587|453</t>
  </si>
  <si>
    <t>597|510</t>
  </si>
  <si>
    <t>476|467</t>
  </si>
  <si>
    <t>600|545</t>
  </si>
  <si>
    <t>410|464</t>
  </si>
  <si>
    <t>565|426</t>
  </si>
  <si>
    <t>597|478</t>
  </si>
  <si>
    <t>455|412</t>
  </si>
  <si>
    <t>416|555</t>
  </si>
  <si>
    <t>515|597</t>
  </si>
  <si>
    <t>497|390</t>
  </si>
  <si>
    <t>436|571</t>
  </si>
  <si>
    <t>515|408</t>
  </si>
  <si>
    <t>480|594</t>
  </si>
  <si>
    <t>438|426</t>
  </si>
  <si>
    <t>440|576</t>
  </si>
  <si>
    <t>402|517</t>
  </si>
  <si>
    <t>488|486</t>
  </si>
  <si>
    <t>581|555</t>
  </si>
  <si>
    <t>404|504</t>
  </si>
  <si>
    <t>406|506</t>
  </si>
  <si>
    <t>470|404</t>
  </si>
  <si>
    <t>595|483</t>
  </si>
  <si>
    <t>576|550</t>
  </si>
  <si>
    <t>546|408</t>
  </si>
  <si>
    <t>499|471</t>
  </si>
  <si>
    <t>544|601</t>
  </si>
  <si>
    <t>401|496</t>
  </si>
  <si>
    <t>475|406</t>
  </si>
  <si>
    <t>526|593</t>
  </si>
  <si>
    <t>567|569</t>
  </si>
  <si>
    <t>546|588</t>
  </si>
  <si>
    <t>408|462</t>
  </si>
  <si>
    <t>505|600</t>
  </si>
  <si>
    <t>438|576</t>
  </si>
  <si>
    <t>477|407</t>
  </si>
  <si>
    <t>456|595</t>
  </si>
  <si>
    <t>397|473</t>
  </si>
  <si>
    <t>491|600</t>
  </si>
  <si>
    <t>503|389</t>
  </si>
  <si>
    <t>539|588</t>
  </si>
  <si>
    <t>411|463</t>
  </si>
  <si>
    <t>578|571</t>
  </si>
  <si>
    <t>592|537</t>
  </si>
  <si>
    <t>548|600</t>
  </si>
  <si>
    <t>518|597</t>
  </si>
  <si>
    <t>409|471</t>
  </si>
  <si>
    <t>416|462</t>
  </si>
  <si>
    <t>536|589</t>
  </si>
  <si>
    <t>477|579</t>
  </si>
  <si>
    <t>409|465</t>
  </si>
  <si>
    <t>473|594</t>
  </si>
  <si>
    <t>406|462</t>
  </si>
  <si>
    <t>553|593</t>
  </si>
  <si>
    <t>608|499</t>
  </si>
  <si>
    <t>516|524</t>
  </si>
  <si>
    <t>437|576</t>
  </si>
  <si>
    <t>552|400</t>
  </si>
  <si>
    <t>592|535</t>
  </si>
  <si>
    <t>424|569</t>
  </si>
  <si>
    <t>416|524</t>
  </si>
  <si>
    <t>399|470</t>
  </si>
  <si>
    <t>552|583</t>
  </si>
  <si>
    <t>442|573</t>
  </si>
  <si>
    <t>409|503</t>
  </si>
  <si>
    <t>453|489</t>
  </si>
  <si>
    <t>540|591</t>
  </si>
  <si>
    <t>562|574</t>
  </si>
  <si>
    <t>419|425</t>
  </si>
  <si>
    <t>461|418</t>
  </si>
  <si>
    <t>442|540</t>
  </si>
  <si>
    <t>587|460</t>
  </si>
  <si>
    <t>571|437</t>
  </si>
  <si>
    <t>552|429</t>
  </si>
  <si>
    <t>567|433</t>
  </si>
  <si>
    <t>406|540</t>
  </si>
  <si>
    <t>576|444</t>
  </si>
  <si>
    <t>398|503</t>
  </si>
  <si>
    <t>410|460</t>
  </si>
  <si>
    <t>414|466</t>
  </si>
  <si>
    <t>534|450</t>
  </si>
  <si>
    <t>550|593</t>
  </si>
  <si>
    <t>398|465</t>
  </si>
  <si>
    <t>400|458</t>
  </si>
  <si>
    <t>580|450</t>
  </si>
  <si>
    <t>593|532</t>
  </si>
  <si>
    <t>424|537</t>
  </si>
  <si>
    <t>404|471</t>
  </si>
  <si>
    <t>547|588</t>
  </si>
  <si>
    <t>597|475</t>
  </si>
  <si>
    <t>436|578</t>
  </si>
  <si>
    <t>568|568</t>
  </si>
  <si>
    <t>433|429</t>
  </si>
  <si>
    <t>551|415</t>
  </si>
  <si>
    <t>527|404</t>
  </si>
  <si>
    <t>457|590</t>
  </si>
  <si>
    <t>423|511</t>
  </si>
  <si>
    <t>508|596</t>
  </si>
  <si>
    <t>413|544</t>
  </si>
  <si>
    <t>487|498</t>
  </si>
  <si>
    <t>573|528</t>
  </si>
  <si>
    <t>595|534</t>
  </si>
  <si>
    <t>400|495</t>
  </si>
  <si>
    <t>598|484</t>
  </si>
  <si>
    <t>448|415</t>
  </si>
  <si>
    <t>501|585</t>
  </si>
  <si>
    <t>496|600</t>
  </si>
  <si>
    <t>418|424</t>
  </si>
  <si>
    <t>421|519</t>
  </si>
  <si>
    <t>432|483</t>
  </si>
  <si>
    <t>407|530</t>
  </si>
  <si>
    <t>461|588</t>
  </si>
  <si>
    <t>421|444</t>
  </si>
  <si>
    <t>494|583</t>
  </si>
  <si>
    <t>535|593</t>
  </si>
  <si>
    <t>544|552</t>
  </si>
  <si>
    <t>451|484</t>
  </si>
  <si>
    <t>505|577</t>
  </si>
  <si>
    <t>471|489</t>
  </si>
  <si>
    <t>596|538</t>
  </si>
  <si>
    <t>452|586</t>
  </si>
  <si>
    <t>500|400</t>
  </si>
  <si>
    <t>450|583</t>
  </si>
  <si>
    <t>434|574</t>
  </si>
  <si>
    <t>425|571</t>
  </si>
  <si>
    <t>423|567</t>
  </si>
  <si>
    <t>460|419</t>
  </si>
  <si>
    <t>496|399</t>
  </si>
  <si>
    <t>461|430</t>
  </si>
  <si>
    <t>596|467</t>
  </si>
  <si>
    <t>401|493</t>
  </si>
  <si>
    <t>398|513</t>
  </si>
  <si>
    <t>403|515</t>
  </si>
  <si>
    <t>594|522</t>
  </si>
  <si>
    <t>570|572</t>
  </si>
  <si>
    <t>467|583</t>
  </si>
  <si>
    <t>475|402</t>
  </si>
  <si>
    <t>558|427</t>
  </si>
  <si>
    <t>546|414</t>
  </si>
  <si>
    <t>598|500</t>
  </si>
  <si>
    <t>599|500</t>
  </si>
  <si>
    <t>600|498</t>
  </si>
  <si>
    <t>537|590</t>
  </si>
  <si>
    <t>404|494</t>
  </si>
  <si>
    <t>561|595</t>
  </si>
  <si>
    <t>413|498</t>
  </si>
  <si>
    <t>533|407</t>
  </si>
  <si>
    <t>540|593</t>
  </si>
  <si>
    <t>390|501</t>
  </si>
  <si>
    <t>502|597</t>
  </si>
  <si>
    <t>553|415</t>
  </si>
  <si>
    <t>525|598</t>
  </si>
  <si>
    <t>407|511</t>
  </si>
  <si>
    <t>530|597</t>
  </si>
  <si>
    <t>431|535</t>
  </si>
  <si>
    <t>434|426</t>
  </si>
  <si>
    <t>467|407</t>
  </si>
  <si>
    <t>558|422</t>
  </si>
  <si>
    <t>588|548</t>
  </si>
  <si>
    <t>415|448</t>
  </si>
  <si>
    <t>541|430</t>
  </si>
  <si>
    <t>412|463</t>
  </si>
  <si>
    <t>410|528</t>
  </si>
  <si>
    <t>397|486</t>
  </si>
  <si>
    <t>509|401</t>
  </si>
  <si>
    <t>418|448</t>
  </si>
  <si>
    <t>422|442</t>
  </si>
  <si>
    <t>505|402</t>
  </si>
  <si>
    <t>514|600</t>
  </si>
  <si>
    <t>447|417</t>
  </si>
  <si>
    <t>409|514</t>
  </si>
  <si>
    <t>481|602</t>
  </si>
  <si>
    <t>521|405</t>
  </si>
  <si>
    <t>458|585</t>
  </si>
  <si>
    <t>534|596</t>
  </si>
  <si>
    <t>599|518</t>
  </si>
  <si>
    <t>575|562</t>
  </si>
  <si>
    <t>571|572</t>
  </si>
  <si>
    <t>519|603</t>
  </si>
  <si>
    <t>412|453</t>
  </si>
  <si>
    <t>412|456</t>
  </si>
  <si>
    <t>585|551</t>
  </si>
  <si>
    <t>560|577</t>
  </si>
  <si>
    <t>485|592</t>
  </si>
  <si>
    <t>414|547</t>
  </si>
  <si>
    <t>406|528</t>
  </si>
  <si>
    <t>515|543</t>
  </si>
  <si>
    <t>594|464</t>
  </si>
  <si>
    <t>509|601</t>
  </si>
  <si>
    <t>599|523</t>
  </si>
  <si>
    <t>434|572</t>
  </si>
  <si>
    <t>437|575</t>
  </si>
  <si>
    <t>440|575</t>
  </si>
  <si>
    <t>435|566</t>
  </si>
  <si>
    <t>442|583</t>
  </si>
  <si>
    <t>437|578</t>
  </si>
  <si>
    <t>579|576</t>
  </si>
  <si>
    <t>550|530</t>
  </si>
  <si>
    <t>517|598</t>
  </si>
  <si>
    <t>459|592</t>
  </si>
  <si>
    <t>485|413</t>
  </si>
  <si>
    <t>398|487</t>
  </si>
  <si>
    <t>515|412</t>
  </si>
  <si>
    <t>416|526</t>
  </si>
  <si>
    <t>495|523</t>
  </si>
  <si>
    <t>538|561</t>
  </si>
  <si>
    <t>582|554</t>
  </si>
  <si>
    <t>400|506</t>
  </si>
  <si>
    <t>592|442</t>
  </si>
  <si>
    <t>581|440</t>
  </si>
  <si>
    <t>517|403</t>
  </si>
  <si>
    <t>543|588</t>
  </si>
  <si>
    <t>470|461</t>
  </si>
  <si>
    <t>485|597</t>
  </si>
  <si>
    <t>547|526</t>
  </si>
  <si>
    <t>547|414</t>
  </si>
  <si>
    <t>485|400</t>
  </si>
  <si>
    <t>438|477</t>
  </si>
  <si>
    <t>485|401</t>
  </si>
  <si>
    <t>446|572</t>
  </si>
  <si>
    <t>467|596</t>
  </si>
  <si>
    <t>547|587</t>
  </si>
  <si>
    <t>503|594</t>
  </si>
  <si>
    <t>539|578</t>
  </si>
  <si>
    <t>546|595</t>
  </si>
  <si>
    <t>541|414</t>
  </si>
  <si>
    <t>492|399</t>
  </si>
  <si>
    <t>504|407</t>
  </si>
  <si>
    <t>555|586</t>
  </si>
  <si>
    <t>513|504</t>
  </si>
  <si>
    <t>397|501</t>
  </si>
  <si>
    <t>401|487</t>
  </si>
  <si>
    <t>473|405</t>
  </si>
  <si>
    <t>409|538</t>
  </si>
  <si>
    <t>557|421</t>
  </si>
  <si>
    <t>419|555</t>
  </si>
  <si>
    <t>406|488</t>
  </si>
  <si>
    <t>447|547</t>
  </si>
  <si>
    <t>478|526</t>
  </si>
  <si>
    <t>451|588</t>
  </si>
  <si>
    <t>583|553</t>
  </si>
  <si>
    <t>435|577</t>
  </si>
  <si>
    <t>420|445</t>
  </si>
  <si>
    <t>429|427</t>
  </si>
  <si>
    <t>404|480</t>
  </si>
  <si>
    <t>506|476</t>
  </si>
  <si>
    <t>500|591</t>
  </si>
  <si>
    <t>534|407</t>
  </si>
  <si>
    <t>476|599</t>
  </si>
  <si>
    <t>504|600</t>
  </si>
  <si>
    <t>497|600</t>
  </si>
  <si>
    <t>506|613</t>
  </si>
  <si>
    <t>532|594</t>
  </si>
  <si>
    <t>407|537</t>
  </si>
  <si>
    <t>496|457</t>
  </si>
  <si>
    <t>482|535</t>
  </si>
  <si>
    <t>572|430</t>
  </si>
  <si>
    <t>458|520</t>
  </si>
  <si>
    <t>447|413</t>
  </si>
  <si>
    <t>583|546</t>
  </si>
  <si>
    <t>566|419</t>
  </si>
  <si>
    <t>522|406</t>
  </si>
  <si>
    <t>600|506</t>
  </si>
  <si>
    <t>466|593</t>
  </si>
  <si>
    <t>399|500</t>
  </si>
  <si>
    <t>474|554</t>
  </si>
  <si>
    <t>399|512</t>
  </si>
  <si>
    <t>474|403</t>
  </si>
  <si>
    <t>575|432</t>
  </si>
  <si>
    <t>430|429</t>
  </si>
  <si>
    <t>439|451</t>
  </si>
  <si>
    <t>400|501</t>
  </si>
  <si>
    <t>567|428</t>
  </si>
  <si>
    <t>520|597</t>
  </si>
  <si>
    <t>525|584</t>
  </si>
  <si>
    <t>477|599</t>
  </si>
  <si>
    <t>430|572</t>
  </si>
  <si>
    <t>491|395</t>
  </si>
  <si>
    <t>591|460</t>
  </si>
  <si>
    <t>466|511</t>
  </si>
  <si>
    <t>455|415</t>
  </si>
  <si>
    <t>465|537</t>
  </si>
  <si>
    <t>457|603</t>
  </si>
  <si>
    <t>590|547</t>
  </si>
  <si>
    <t>596|474</t>
  </si>
  <si>
    <t>415|525</t>
  </si>
  <si>
    <t>417|518</t>
  </si>
  <si>
    <t>455|413</t>
  </si>
  <si>
    <t>604|539</t>
  </si>
  <si>
    <t>441|417</t>
  </si>
  <si>
    <t>549|416</t>
  </si>
  <si>
    <t>599|503</t>
  </si>
  <si>
    <t>552|413</t>
  </si>
  <si>
    <t>583|552</t>
  </si>
  <si>
    <t>557|581</t>
  </si>
  <si>
    <t>529|473</t>
  </si>
  <si>
    <t>471|407</t>
  </si>
  <si>
    <t>567|424</t>
  </si>
  <si>
    <t>422|472</t>
  </si>
  <si>
    <t>548|410</t>
  </si>
  <si>
    <t>443|581</t>
  </si>
  <si>
    <t>533|398</t>
  </si>
  <si>
    <t>572|569</t>
  </si>
  <si>
    <t>511|399</t>
  </si>
  <si>
    <t>397|502</t>
  </si>
  <si>
    <t>481|592</t>
  </si>
  <si>
    <t>415|475</t>
  </si>
  <si>
    <t>512|398</t>
  </si>
  <si>
    <t>491|403</t>
  </si>
  <si>
    <t>527|550</t>
  </si>
  <si>
    <t>568|427</t>
  </si>
  <si>
    <t>429|433</t>
  </si>
  <si>
    <t>574|437</t>
  </si>
  <si>
    <t>568|433</t>
  </si>
  <si>
    <t>560|430</t>
  </si>
  <si>
    <t>559|424</t>
  </si>
  <si>
    <t>412|521</t>
  </si>
  <si>
    <t>583|551</t>
  </si>
  <si>
    <t>512|596</t>
  </si>
  <si>
    <t>402|473</t>
  </si>
  <si>
    <t>534|595</t>
  </si>
  <si>
    <t>470|596</t>
  </si>
  <si>
    <t>536|406</t>
  </si>
  <si>
    <t>484|492</t>
  </si>
  <si>
    <t>577|434</t>
  </si>
  <si>
    <t>548|539</t>
  </si>
  <si>
    <t>605|520</t>
  </si>
  <si>
    <t>481|600</t>
  </si>
  <si>
    <t>410|457</t>
  </si>
  <si>
    <t>486|601</t>
  </si>
  <si>
    <t>477|545</t>
  </si>
  <si>
    <t>512|392</t>
  </si>
  <si>
    <t>575|435</t>
  </si>
  <si>
    <t>542|411</t>
  </si>
  <si>
    <t>568|430</t>
  </si>
  <si>
    <t>486|597</t>
  </si>
  <si>
    <t>517|596</t>
  </si>
  <si>
    <t>394|512</t>
  </si>
  <si>
    <t>482|600</t>
  </si>
  <si>
    <t>589|548</t>
  </si>
  <si>
    <t>458|408</t>
  </si>
  <si>
    <t>598|489</t>
  </si>
  <si>
    <t>601|502</t>
  </si>
  <si>
    <t>493|597</t>
  </si>
  <si>
    <t>571|430</t>
  </si>
  <si>
    <t>588|530</t>
  </si>
  <si>
    <t>499|452</t>
  </si>
  <si>
    <t>550|413</t>
  </si>
  <si>
    <t>533|503</t>
  </si>
  <si>
    <t>509|536</t>
  </si>
  <si>
    <t>587|547</t>
  </si>
  <si>
    <t>473|592</t>
  </si>
  <si>
    <t>495|600</t>
  </si>
  <si>
    <t>488|598</t>
  </si>
  <si>
    <t>418|446</t>
  </si>
  <si>
    <t>495|602</t>
  </si>
  <si>
    <t>495|604</t>
  </si>
  <si>
    <t>592|465</t>
  </si>
  <si>
    <t>469|593</t>
  </si>
  <si>
    <t>419|564</t>
  </si>
  <si>
    <t>600|521</t>
  </si>
  <si>
    <t>590|440</t>
  </si>
  <si>
    <t>404|530</t>
  </si>
  <si>
    <t>443|425</t>
  </si>
  <si>
    <t>414|554</t>
  </si>
  <si>
    <t>494|551</t>
  </si>
  <si>
    <t>587|520</t>
  </si>
  <si>
    <t>583|440</t>
  </si>
  <si>
    <t>480|598</t>
  </si>
  <si>
    <t>512|609</t>
  </si>
  <si>
    <t>405|463</t>
  </si>
  <si>
    <t>408|463</t>
  </si>
  <si>
    <t>562|577</t>
  </si>
  <si>
    <t>537|587</t>
  </si>
  <si>
    <t>600|492</t>
  </si>
  <si>
    <t>585|438</t>
  </si>
  <si>
    <t>581|444</t>
  </si>
  <si>
    <t>514|402</t>
  </si>
  <si>
    <t>586|438</t>
  </si>
  <si>
    <t>597|493</t>
  </si>
  <si>
    <t>462|407</t>
  </si>
  <si>
    <t>478|401</t>
  </si>
  <si>
    <t>482|493</t>
  </si>
  <si>
    <t>518|596</t>
  </si>
  <si>
    <t>443|584</t>
  </si>
  <si>
    <t>463|405</t>
  </si>
  <si>
    <t>429|426</t>
  </si>
  <si>
    <t>607|511</t>
  </si>
  <si>
    <t>408|455</t>
  </si>
  <si>
    <t>402|493</t>
  </si>
  <si>
    <t>402|470</t>
  </si>
  <si>
    <t>402|507</t>
  </si>
  <si>
    <t>411|550</t>
  </si>
  <si>
    <t>543|408</t>
  </si>
  <si>
    <t>598|510</t>
  </si>
  <si>
    <t>463|500</t>
  </si>
  <si>
    <t>593|463</t>
  </si>
  <si>
    <t>414|449</t>
  </si>
  <si>
    <t>418|463</t>
  </si>
  <si>
    <t>503|398</t>
  </si>
  <si>
    <t>442|584</t>
  </si>
  <si>
    <t>506|612</t>
  </si>
  <si>
    <t>432|577</t>
  </si>
  <si>
    <t>416|556</t>
  </si>
  <si>
    <t>572|433</t>
  </si>
  <si>
    <t>429|573</t>
  </si>
  <si>
    <t>599|511</t>
  </si>
  <si>
    <t>539|592</t>
  </si>
  <si>
    <t>444|585</t>
  </si>
  <si>
    <t>456|408</t>
  </si>
  <si>
    <t>424|438</t>
  </si>
  <si>
    <t>565|584</t>
  </si>
  <si>
    <t>411|457</t>
  </si>
  <si>
    <t>519|596</t>
  </si>
  <si>
    <t>573|576</t>
  </si>
  <si>
    <t>511|395</t>
  </si>
  <si>
    <t>473|539</t>
  </si>
  <si>
    <t>516|605</t>
  </si>
  <si>
    <t>595|543</t>
  </si>
  <si>
    <t>605|536</t>
  </si>
  <si>
    <t>425|430</t>
  </si>
  <si>
    <t>417|436</t>
  </si>
  <si>
    <t>565|513</t>
  </si>
  <si>
    <t>578|552</t>
  </si>
  <si>
    <t>549|448</t>
  </si>
  <si>
    <t>427|437</t>
  </si>
  <si>
    <t>410|522</t>
  </si>
  <si>
    <t>450|590</t>
  </si>
  <si>
    <t>507|532</t>
  </si>
  <si>
    <t>428|518</t>
  </si>
  <si>
    <t>601|494</t>
  </si>
  <si>
    <t>536|591</t>
  </si>
  <si>
    <t>541|552</t>
  </si>
  <si>
    <t>435|422</t>
  </si>
  <si>
    <t>399|494</t>
  </si>
  <si>
    <t>438|527</t>
  </si>
  <si>
    <t>569|570</t>
  </si>
  <si>
    <t>594|538</t>
  </si>
  <si>
    <t>576|571</t>
  </si>
  <si>
    <t>545|410</t>
  </si>
  <si>
    <t>536|407</t>
  </si>
  <si>
    <t>529|406</t>
  </si>
  <si>
    <t>446|598</t>
  </si>
  <si>
    <t>488|427</t>
  </si>
  <si>
    <t>588|450</t>
  </si>
  <si>
    <t>453|411</t>
  </si>
  <si>
    <t>459|521</t>
  </si>
  <si>
    <t>582|515</t>
  </si>
  <si>
    <t>541|409</t>
  </si>
  <si>
    <t>444|582</t>
  </si>
  <si>
    <t>531|596</t>
  </si>
  <si>
    <t>548|586</t>
  </si>
  <si>
    <t>514|403</t>
  </si>
  <si>
    <t>575|424</t>
  </si>
  <si>
    <t>599|492</t>
  </si>
  <si>
    <t>527|602</t>
  </si>
  <si>
    <t>598|480</t>
  </si>
  <si>
    <t>585|554</t>
  </si>
  <si>
    <t>503|600</t>
  </si>
  <si>
    <t>561|578</t>
  </si>
  <si>
    <t>416|558</t>
  </si>
  <si>
    <t>572|567</t>
  </si>
  <si>
    <t>550|591</t>
  </si>
  <si>
    <t>572|544</t>
  </si>
  <si>
    <t>451|563</t>
  </si>
  <si>
    <t>534|405</t>
  </si>
  <si>
    <t>601|492</t>
  </si>
  <si>
    <t>399|516</t>
  </si>
  <si>
    <t>437|424</t>
  </si>
  <si>
    <t>603|497</t>
  </si>
  <si>
    <t>564|576</t>
  </si>
  <si>
    <t>481|536</t>
  </si>
  <si>
    <t>396|519</t>
  </si>
  <si>
    <t>434|429</t>
  </si>
  <si>
    <t>504|399</t>
  </si>
  <si>
    <t>533|402</t>
  </si>
  <si>
    <t>477|406</t>
  </si>
  <si>
    <t>574|442</t>
  </si>
  <si>
    <t>575|565</t>
  </si>
  <si>
    <t>512|601</t>
  </si>
  <si>
    <t>543|407</t>
  </si>
  <si>
    <t>434|422</t>
  </si>
  <si>
    <t>521|404</t>
  </si>
  <si>
    <t>461|409</t>
  </si>
  <si>
    <t>457|585</t>
  </si>
  <si>
    <t>485|450</t>
  </si>
  <si>
    <t>561|567</t>
  </si>
  <si>
    <t>573|572</t>
  </si>
  <si>
    <t>592|483</t>
  </si>
  <si>
    <t>456|592</t>
  </si>
  <si>
    <t>528|525</t>
  </si>
  <si>
    <t>570|579</t>
  </si>
  <si>
    <t>398|500</t>
  </si>
  <si>
    <t>409|458</t>
  </si>
  <si>
    <t>400|518</t>
  </si>
  <si>
    <t>494|499</t>
  </si>
  <si>
    <t>433|426</t>
  </si>
  <si>
    <t>563|591</t>
  </si>
  <si>
    <t>416|475</t>
  </si>
  <si>
    <t>426|504</t>
  </si>
  <si>
    <t>449|574</t>
  </si>
  <si>
    <t>452|590</t>
  </si>
  <si>
    <t>518|598</t>
  </si>
  <si>
    <t>590|455</t>
  </si>
  <si>
    <t>584|442</t>
  </si>
  <si>
    <t>401|504</t>
  </si>
  <si>
    <t>607|462</t>
  </si>
  <si>
    <t>494|610</t>
  </si>
  <si>
    <t>505|602</t>
  </si>
  <si>
    <t>404|475</t>
  </si>
  <si>
    <t>588|526</t>
  </si>
  <si>
    <t>451|591</t>
  </si>
  <si>
    <t>553|588</t>
  </si>
  <si>
    <t>598|482</t>
  </si>
  <si>
    <t>417|552</t>
  </si>
  <si>
    <t>414|443</t>
  </si>
  <si>
    <t>445|582</t>
  </si>
  <si>
    <t>500|397</t>
  </si>
  <si>
    <t>576|438</t>
  </si>
  <si>
    <t>436|514</t>
  </si>
  <si>
    <t>414|444</t>
  </si>
  <si>
    <t>590|458</t>
  </si>
  <si>
    <t>399|496</t>
  </si>
  <si>
    <t>566|577</t>
  </si>
  <si>
    <t>489|601</t>
  </si>
  <si>
    <t>446|567</t>
  </si>
  <si>
    <t>399|505</t>
  </si>
  <si>
    <t>487|442</t>
  </si>
  <si>
    <t>581|559</t>
  </si>
  <si>
    <t>449|589</t>
  </si>
  <si>
    <t>480|455</t>
  </si>
  <si>
    <t>448|411</t>
  </si>
  <si>
    <t>436|423</t>
  </si>
  <si>
    <t>589|556</t>
  </si>
  <si>
    <t>484|600</t>
  </si>
  <si>
    <t>406|539</t>
  </si>
  <si>
    <t>411|507</t>
  </si>
  <si>
    <t>512|600</t>
  </si>
  <si>
    <t>592|540</t>
  </si>
  <si>
    <t>412|449</t>
  </si>
  <si>
    <t>422|437</t>
  </si>
  <si>
    <t>547|407</t>
  </si>
  <si>
    <t>490|598</t>
  </si>
  <si>
    <t>531|402</t>
  </si>
  <si>
    <t>468|598</t>
  </si>
  <si>
    <t>422|567</t>
  </si>
  <si>
    <t>538|595</t>
  </si>
  <si>
    <t>434|576</t>
  </si>
  <si>
    <t>476|593</t>
  </si>
  <si>
    <t>480|599</t>
  </si>
  <si>
    <t>406|531</t>
  </si>
  <si>
    <t>523|400</t>
  </si>
  <si>
    <t>473|595</t>
  </si>
  <si>
    <t>524|538</t>
  </si>
  <si>
    <t>602|491</t>
  </si>
  <si>
    <t>414|557</t>
  </si>
  <si>
    <t>577|571</t>
  </si>
  <si>
    <t>587|449</t>
  </si>
  <si>
    <t>573|571</t>
  </si>
  <si>
    <t>595|533</t>
  </si>
  <si>
    <t>551|406</t>
  </si>
  <si>
    <t>428|570</t>
  </si>
  <si>
    <t>404|534</t>
  </si>
  <si>
    <t>592|539</t>
  </si>
  <si>
    <t>551|413</t>
  </si>
  <si>
    <t>558|548</t>
  </si>
  <si>
    <t>428|430</t>
  </si>
  <si>
    <t>427|432</t>
  </si>
  <si>
    <t>592|541</t>
  </si>
  <si>
    <t>582|430</t>
  </si>
  <si>
    <t>440|579</t>
  </si>
  <si>
    <t>439|578</t>
  </si>
  <si>
    <t>595|451</t>
  </si>
  <si>
    <t>455|528</t>
  </si>
  <si>
    <t>441|579</t>
  </si>
  <si>
    <t>403|501</t>
  </si>
  <si>
    <t>541|455</t>
  </si>
  <si>
    <t>600|486</t>
  </si>
  <si>
    <t>448|588</t>
  </si>
  <si>
    <t>446|500</t>
  </si>
  <si>
    <t>542|445</t>
  </si>
  <si>
    <t>535|404</t>
  </si>
  <si>
    <t>420|435</t>
  </si>
  <si>
    <t>515|400</t>
  </si>
  <si>
    <t>486|599</t>
  </si>
  <si>
    <t>459|591</t>
  </si>
  <si>
    <t>515|586</t>
  </si>
  <si>
    <t>480|477</t>
  </si>
  <si>
    <t>454|409</t>
  </si>
  <si>
    <t>588|555</t>
  </si>
  <si>
    <t>481|601</t>
  </si>
  <si>
    <t>549|405</t>
  </si>
  <si>
    <t>490|474</t>
  </si>
  <si>
    <t>441|578</t>
  </si>
  <si>
    <t>598|475</t>
  </si>
  <si>
    <t>572|570</t>
  </si>
  <si>
    <t>421|448</t>
  </si>
  <si>
    <t>445|577</t>
  </si>
  <si>
    <t>601|478</t>
  </si>
  <si>
    <t>439|421</t>
  </si>
  <si>
    <t>553|438</t>
  </si>
  <si>
    <t>401|507</t>
  </si>
  <si>
    <t>570|570</t>
  </si>
  <si>
    <t>408|535</t>
  </si>
  <si>
    <t>604|497</t>
  </si>
  <si>
    <t>577|575</t>
  </si>
  <si>
    <t>594|465</t>
  </si>
  <si>
    <t>466|598</t>
  </si>
  <si>
    <t>582|562</t>
  </si>
  <si>
    <t>540|394</t>
  </si>
  <si>
    <t>597|526</t>
  </si>
  <si>
    <t>401|478</t>
  </si>
  <si>
    <t>500|527</t>
  </si>
  <si>
    <t>476|597</t>
  </si>
  <si>
    <t>439|591</t>
  </si>
  <si>
    <t>499|397</t>
  </si>
  <si>
    <t>551|458</t>
  </si>
  <si>
    <t>409|497</t>
  </si>
  <si>
    <t>575|433</t>
  </si>
  <si>
    <t>396|496</t>
  </si>
  <si>
    <t>397|505</t>
  </si>
  <si>
    <t>401|499</t>
  </si>
  <si>
    <t>509|397</t>
  </si>
  <si>
    <t>468|405</t>
  </si>
  <si>
    <t>571|571</t>
  </si>
  <si>
    <t>400|494</t>
  </si>
  <si>
    <t>404|468</t>
  </si>
  <si>
    <t>424|430</t>
  </si>
  <si>
    <t>426|575</t>
  </si>
  <si>
    <t>565|580</t>
  </si>
  <si>
    <t>446|584</t>
  </si>
  <si>
    <t>419|438</t>
  </si>
  <si>
    <t>433|576</t>
  </si>
  <si>
    <t>562|582</t>
  </si>
  <si>
    <t>496|603</t>
  </si>
  <si>
    <t>580|567</t>
  </si>
  <si>
    <t>545|588</t>
  </si>
  <si>
    <t>400|493</t>
  </si>
  <si>
    <t>452|410</t>
  </si>
  <si>
    <t>486|541</t>
  </si>
  <si>
    <t>600|512</t>
  </si>
  <si>
    <t>477|458</t>
  </si>
  <si>
    <t>397|507</t>
  </si>
  <si>
    <t>393|534</t>
  </si>
  <si>
    <t>597|476</t>
  </si>
  <si>
    <t>445|413</t>
  </si>
  <si>
    <t>457|406</t>
  </si>
  <si>
    <t>597|480</t>
  </si>
  <si>
    <t>452|409</t>
  </si>
  <si>
    <t>426|556</t>
  </si>
  <si>
    <t>399|499</t>
  </si>
  <si>
    <t>404|528</t>
  </si>
  <si>
    <t>598|532</t>
  </si>
  <si>
    <t>477|400</t>
  </si>
  <si>
    <t>473|403</t>
  </si>
  <si>
    <t>483|400</t>
  </si>
  <si>
    <t>417|557</t>
  </si>
  <si>
    <t>426|431</t>
  </si>
  <si>
    <t>434|527</t>
  </si>
  <si>
    <t>542|409</t>
  </si>
  <si>
    <t>419|442</t>
  </si>
  <si>
    <t>429|418</t>
  </si>
  <si>
    <t>429|417</t>
  </si>
  <si>
    <t>558|419</t>
  </si>
  <si>
    <t>430|423</t>
  </si>
  <si>
    <t>411|554</t>
  </si>
  <si>
    <t>437|412</t>
  </si>
  <si>
    <t>425|418</t>
  </si>
  <si>
    <t>431|425</t>
  </si>
  <si>
    <t>428|418</t>
  </si>
  <si>
    <t>514|390</t>
  </si>
  <si>
    <t>406|534</t>
  </si>
  <si>
    <t>400|511</t>
  </si>
  <si>
    <t>415|551</t>
  </si>
  <si>
    <t>538|594</t>
  </si>
  <si>
    <t>431|518</t>
  </si>
  <si>
    <t>479|435</t>
  </si>
  <si>
    <t>556|413</t>
  </si>
  <si>
    <t>444|418</t>
  </si>
  <si>
    <t>419|558</t>
  </si>
  <si>
    <t>410|463</t>
  </si>
  <si>
    <t>406|459</t>
  </si>
  <si>
    <t>510|440</t>
  </si>
  <si>
    <t>601|499</t>
  </si>
  <si>
    <t>491|605</t>
  </si>
  <si>
    <t>430|575</t>
  </si>
  <si>
    <t>457|496</t>
  </si>
  <si>
    <t>552|585</t>
  </si>
  <si>
    <t>435|565</t>
  </si>
  <si>
    <t>564|581</t>
  </si>
  <si>
    <t>418|436</t>
  </si>
  <si>
    <t>572|575</t>
  </si>
  <si>
    <t>441|508</t>
  </si>
  <si>
    <t>409|451</t>
  </si>
  <si>
    <t>593|459</t>
  </si>
  <si>
    <t>487|476</t>
  </si>
  <si>
    <t>587|548</t>
  </si>
  <si>
    <t>400|481</t>
  </si>
  <si>
    <t>467|595</t>
  </si>
  <si>
    <t>558|585</t>
  </si>
  <si>
    <t>473|597</t>
  </si>
  <si>
    <t>560|415</t>
  </si>
  <si>
    <t>461|406</t>
  </si>
  <si>
    <t>586|448</t>
  </si>
  <si>
    <t>593|544</t>
  </si>
  <si>
    <t>432|499</t>
  </si>
  <si>
    <t>546|409</t>
  </si>
  <si>
    <t>560|417</t>
  </si>
  <si>
    <t>528|401</t>
  </si>
  <si>
    <t>459|584</t>
  </si>
  <si>
    <t>562|586</t>
  </si>
  <si>
    <t>604|493</t>
  </si>
  <si>
    <t>553|589</t>
  </si>
  <si>
    <t>559|590</t>
  </si>
  <si>
    <t>573|431</t>
  </si>
  <si>
    <t>406|466</t>
  </si>
  <si>
    <t>581|441</t>
  </si>
  <si>
    <t>447|586</t>
  </si>
  <si>
    <t>553|583</t>
  </si>
  <si>
    <t>593|552</t>
  </si>
  <si>
    <t>485|444</t>
  </si>
  <si>
    <t>555|588</t>
  </si>
  <si>
    <t>445|584</t>
  </si>
  <si>
    <t>598|536</t>
  </si>
  <si>
    <t>553|584</t>
  </si>
  <si>
    <t>511|556</t>
  </si>
  <si>
    <t>600|529</t>
  </si>
  <si>
    <t>559|410</t>
  </si>
  <si>
    <t>607|525</t>
  </si>
  <si>
    <t>507|604</t>
  </si>
  <si>
    <t>470|403</t>
  </si>
  <si>
    <t>540|406</t>
  </si>
  <si>
    <t>596|542</t>
  </si>
  <si>
    <t>594|455</t>
  </si>
  <si>
    <t>604|491</t>
  </si>
  <si>
    <t>595|544</t>
  </si>
  <si>
    <t>588|451</t>
  </si>
  <si>
    <t>504|602</t>
  </si>
  <si>
    <t>421|568</t>
  </si>
  <si>
    <t>515|602</t>
  </si>
  <si>
    <t>600|502</t>
  </si>
  <si>
    <t>451|590</t>
  </si>
  <si>
    <t>466|405</t>
  </si>
  <si>
    <t>398|510</t>
  </si>
  <si>
    <t>402|476</t>
  </si>
  <si>
    <t>457|408</t>
  </si>
  <si>
    <t>434|468</t>
  </si>
  <si>
    <t>507|603</t>
  </si>
  <si>
    <t>483|413</t>
  </si>
  <si>
    <t>493|600</t>
  </si>
  <si>
    <t>462|404</t>
  </si>
  <si>
    <t>568|424</t>
  </si>
  <si>
    <t>424|565</t>
  </si>
  <si>
    <t>494|396</t>
  </si>
  <si>
    <t>469|404</t>
  </si>
  <si>
    <t>594|541</t>
  </si>
  <si>
    <t>405|539</t>
  </si>
  <si>
    <t>412|553</t>
  </si>
  <si>
    <t>417|442</t>
  </si>
  <si>
    <t>549|591</t>
  </si>
  <si>
    <t>593|458</t>
  </si>
  <si>
    <t>485|602</t>
  </si>
  <si>
    <t>519|402</t>
  </si>
  <si>
    <t>427|583</t>
  </si>
  <si>
    <t>469|596</t>
  </si>
  <si>
    <t>585|559</t>
  </si>
  <si>
    <t>562|422</t>
  </si>
  <si>
    <t>425|432</t>
  </si>
  <si>
    <t>586|551</t>
  </si>
  <si>
    <t>507|400</t>
  </si>
  <si>
    <t>403|470</t>
  </si>
  <si>
    <t>442|416</t>
  </si>
  <si>
    <t>431|571</t>
  </si>
  <si>
    <t>466|404</t>
  </si>
  <si>
    <t>460|592</t>
  </si>
  <si>
    <t>398|505</t>
  </si>
  <si>
    <t>436|577</t>
  </si>
  <si>
    <t>418|562</t>
  </si>
  <si>
    <t>601|498</t>
  </si>
  <si>
    <t>572|440</t>
  </si>
  <si>
    <t>401|491</t>
  </si>
  <si>
    <t>581|565</t>
  </si>
  <si>
    <t>584|554</t>
  </si>
  <si>
    <t>399|483</t>
  </si>
  <si>
    <t>500|603</t>
  </si>
  <si>
    <t>413|539</t>
  </si>
  <si>
    <t>593|553</t>
  </si>
  <si>
    <t>449|587</t>
  </si>
  <si>
    <t>557|419</t>
  </si>
  <si>
    <t>566|447</t>
  </si>
  <si>
    <t>564|556</t>
  </si>
  <si>
    <t>540|595</t>
  </si>
  <si>
    <t>438|421</t>
  </si>
  <si>
    <t>509|395</t>
  </si>
  <si>
    <t>581|437</t>
  </si>
  <si>
    <t>601|525</t>
  </si>
  <si>
    <t>558|415</t>
  </si>
  <si>
    <t>600|531</t>
  </si>
  <si>
    <t>566|423</t>
  </si>
  <si>
    <t>431|438</t>
  </si>
  <si>
    <t>452|592</t>
  </si>
  <si>
    <t>593|452</t>
  </si>
  <si>
    <t>575|430</t>
  </si>
  <si>
    <t>402|475</t>
  </si>
  <si>
    <t>570|425</t>
  </si>
  <si>
    <t>409|456</t>
  </si>
  <si>
    <t>506|604</t>
  </si>
  <si>
    <t>582|447</t>
  </si>
  <si>
    <t>460|595</t>
  </si>
  <si>
    <t>599|533</t>
  </si>
  <si>
    <t>427|415</t>
  </si>
  <si>
    <t>554|587</t>
  </si>
  <si>
    <t>533|455</t>
  </si>
  <si>
    <t>601|482</t>
  </si>
  <si>
    <t>421|440</t>
  </si>
  <si>
    <t>457|577</t>
  </si>
  <si>
    <t>584|443</t>
  </si>
  <si>
    <t>488|399</t>
  </si>
  <si>
    <t>464|597</t>
  </si>
  <si>
    <t>586|445</t>
  </si>
  <si>
    <t>544|557</t>
  </si>
  <si>
    <t>405|470</t>
  </si>
  <si>
    <t>446|587</t>
  </si>
  <si>
    <t>396|528</t>
  </si>
  <si>
    <t>407|457</t>
  </si>
  <si>
    <t>555|455</t>
  </si>
  <si>
    <t>499|605</t>
  </si>
  <si>
    <t>461|405</t>
  </si>
  <si>
    <t>391|532</t>
  </si>
  <si>
    <t>509|404</t>
  </si>
  <si>
    <t>597|558</t>
  </si>
  <si>
    <t>412|465</t>
  </si>
  <si>
    <t>405|459</t>
  </si>
  <si>
    <t>493|557</t>
  </si>
  <si>
    <t>401|506</t>
  </si>
  <si>
    <t>600|503</t>
  </si>
  <si>
    <t>541|602</t>
  </si>
  <si>
    <t>452|404</t>
  </si>
  <si>
    <t>594|534</t>
  </si>
  <si>
    <t>536|597</t>
  </si>
  <si>
    <t>525|399</t>
  </si>
  <si>
    <t>447|572</t>
  </si>
  <si>
    <t>597|468</t>
  </si>
  <si>
    <t>409|447</t>
  </si>
  <si>
    <t>573|432</t>
  </si>
  <si>
    <t>496|602</t>
  </si>
  <si>
    <t>399|476</t>
  </si>
  <si>
    <t>455|410</t>
  </si>
  <si>
    <t>574|565</t>
  </si>
  <si>
    <t>409|542</t>
  </si>
  <si>
    <t>442|417</t>
  </si>
  <si>
    <t>512|400</t>
  </si>
  <si>
    <t>607|517</t>
  </si>
  <si>
    <t>406|537</t>
  </si>
  <si>
    <t>404|460</t>
  </si>
  <si>
    <t>411|546</t>
  </si>
  <si>
    <t>590|543</t>
  </si>
  <si>
    <t>599|482</t>
  </si>
  <si>
    <t>421|511</t>
  </si>
  <si>
    <t>421|433</t>
  </si>
  <si>
    <t>407|546</t>
  </si>
  <si>
    <t>605|478</t>
  </si>
  <si>
    <t>475|602</t>
  </si>
  <si>
    <t>426|419</t>
  </si>
  <si>
    <t>588|441</t>
  </si>
  <si>
    <t>555|418</t>
  </si>
  <si>
    <t>403|443</t>
  </si>
  <si>
    <t>541|603</t>
  </si>
  <si>
    <t>503|407</t>
  </si>
  <si>
    <t>401|547</t>
  </si>
  <si>
    <t>478|519</t>
  </si>
  <si>
    <t>397|540</t>
  </si>
  <si>
    <t>458|535</t>
  </si>
  <si>
    <t>423|435</t>
  </si>
  <si>
    <t>432|420</t>
  </si>
  <si>
    <t>538|456</t>
  </si>
  <si>
    <t>408|533</t>
  </si>
  <si>
    <t>473|534</t>
  </si>
  <si>
    <t>493|395</t>
  </si>
  <si>
    <t>400|531</t>
  </si>
  <si>
    <t>508|602</t>
  </si>
  <si>
    <t>474|528</t>
  </si>
  <si>
    <t>423|441</t>
  </si>
  <si>
    <t>430|434</t>
  </si>
  <si>
    <t>416|564</t>
  </si>
  <si>
    <t>598|463</t>
  </si>
  <si>
    <t>531|604</t>
  </si>
  <si>
    <t>459|539</t>
  </si>
  <si>
    <t>597|463</t>
  </si>
  <si>
    <t>425|537</t>
  </si>
  <si>
    <t>519|395</t>
  </si>
  <si>
    <t>443|412</t>
  </si>
  <si>
    <t>417|563</t>
  </si>
  <si>
    <t>585|560</t>
  </si>
  <si>
    <t>406|544</t>
  </si>
  <si>
    <t>602|523</t>
  </si>
  <si>
    <t>503|406</t>
  </si>
  <si>
    <t>422|556</t>
  </si>
  <si>
    <t>472|520</t>
  </si>
  <si>
    <t>415|437</t>
  </si>
  <si>
    <t>503|601</t>
  </si>
  <si>
    <t>399|520</t>
  </si>
  <si>
    <t>553|585</t>
  </si>
  <si>
    <t>422|430</t>
  </si>
  <si>
    <t>561|583</t>
  </si>
  <si>
    <t>455|411</t>
  </si>
  <si>
    <t>501|395</t>
  </si>
  <si>
    <t>538|601</t>
  </si>
  <si>
    <t>583|563</t>
  </si>
  <si>
    <t>432|578</t>
  </si>
  <si>
    <t>407|535</t>
  </si>
  <si>
    <t>475|399</t>
  </si>
  <si>
    <t>586|557</t>
  </si>
  <si>
    <t>532|604</t>
  </si>
  <si>
    <t>399|477</t>
  </si>
  <si>
    <t>485|464</t>
  </si>
  <si>
    <t>585|567</t>
  </si>
  <si>
    <t>589|562</t>
  </si>
  <si>
    <t>471|402</t>
  </si>
  <si>
    <t>506|398</t>
  </si>
  <si>
    <t>455|593</t>
  </si>
  <si>
    <t>483|601</t>
  </si>
  <si>
    <t>452|415</t>
  </si>
  <si>
    <t>513|601</t>
  </si>
  <si>
    <t>437|580</t>
  </si>
  <si>
    <t>478|600</t>
  </si>
  <si>
    <t>539|595</t>
  </si>
  <si>
    <t>590|548</t>
  </si>
  <si>
    <t>405|531</t>
  </si>
  <si>
    <t>601|527</t>
  </si>
  <si>
    <t>439|580</t>
  </si>
  <si>
    <t>408|548</t>
  </si>
  <si>
    <t>397|477</t>
  </si>
  <si>
    <t>493|607</t>
  </si>
  <si>
    <t>423|559</t>
  </si>
  <si>
    <t>395|511</t>
  </si>
  <si>
    <t>427|575</t>
  </si>
  <si>
    <t>610|519</t>
  </si>
  <si>
    <t>491|396</t>
  </si>
  <si>
    <t>429|423</t>
  </si>
  <si>
    <t>603|490</t>
  </si>
  <si>
    <t>551|447</t>
  </si>
  <si>
    <t>608|526</t>
  </si>
  <si>
    <t>399|536</t>
  </si>
  <si>
    <t>581|544</t>
  </si>
  <si>
    <t>421|565</t>
  </si>
  <si>
    <t>448|577</t>
  </si>
  <si>
    <t>433|575</t>
  </si>
  <si>
    <t>541|596</t>
  </si>
  <si>
    <t>418|563</t>
  </si>
  <si>
    <t>568|580</t>
  </si>
  <si>
    <t>598|462</t>
  </si>
  <si>
    <t>599|471</t>
  </si>
  <si>
    <t>426|566</t>
  </si>
  <si>
    <t>574|426</t>
  </si>
  <si>
    <t>427|553</t>
  </si>
  <si>
    <t>435|575</t>
  </si>
  <si>
    <t>539|597</t>
  </si>
  <si>
    <t>428|576</t>
  </si>
  <si>
    <t>521|397</t>
  </si>
  <si>
    <t>442|408</t>
  </si>
  <si>
    <t>415|441</t>
  </si>
  <si>
    <t>601|528</t>
  </si>
  <si>
    <t>425|558</t>
  </si>
  <si>
    <t>431|420</t>
  </si>
  <si>
    <t>602|498</t>
  </si>
  <si>
    <t>431|573</t>
  </si>
  <si>
    <t>426|558</t>
  </si>
  <si>
    <t>604|490</t>
  </si>
  <si>
    <t>421|563</t>
  </si>
  <si>
    <t>564|417</t>
  </si>
  <si>
    <t>580|566</t>
  </si>
  <si>
    <t>436|576</t>
  </si>
  <si>
    <t>431|580</t>
  </si>
  <si>
    <t>456|596</t>
  </si>
  <si>
    <t>408|447</t>
  </si>
  <si>
    <t>470|525</t>
  </si>
  <si>
    <t>435|582</t>
  </si>
  <si>
    <t>396|512</t>
  </si>
  <si>
    <t>587|558</t>
  </si>
  <si>
    <t>459|603</t>
  </si>
  <si>
    <t>491|603</t>
  </si>
  <si>
    <t>484|611</t>
  </si>
  <si>
    <t>430|580</t>
  </si>
  <si>
    <t>445|575</t>
  </si>
  <si>
    <t>505|601</t>
  </si>
  <si>
    <t>426|568</t>
  </si>
  <si>
    <t>559|412</t>
  </si>
  <si>
    <t>450|589</t>
  </si>
  <si>
    <t>438|585</t>
  </si>
  <si>
    <t>552|409</t>
  </si>
  <si>
    <t>417|562</t>
  </si>
  <si>
    <t>438|578</t>
  </si>
  <si>
    <t>473|543</t>
  </si>
  <si>
    <t>438|420</t>
  </si>
  <si>
    <t>423|581</t>
  </si>
  <si>
    <t>428|572</t>
  </si>
  <si>
    <t>432|575</t>
  </si>
  <si>
    <t>601|515</t>
  </si>
  <si>
    <t>530|600</t>
  </si>
  <si>
    <t>444|592</t>
  </si>
  <si>
    <t>587|560</t>
  </si>
  <si>
    <t>547|601</t>
  </si>
  <si>
    <t>543|593</t>
  </si>
  <si>
    <t>442|579</t>
  </si>
  <si>
    <t>450|576</t>
  </si>
  <si>
    <t>583|550</t>
  </si>
  <si>
    <t>440|578</t>
  </si>
  <si>
    <t>465|580</t>
  </si>
  <si>
    <t>419|580</t>
  </si>
  <si>
    <t>449|588</t>
  </si>
  <si>
    <t>412|447</t>
  </si>
  <si>
    <t>432|576</t>
  </si>
  <si>
    <t>429|571</t>
  </si>
  <si>
    <t>432|571</t>
  </si>
  <si>
    <t>581|434</t>
  </si>
  <si>
    <t>431|563</t>
  </si>
  <si>
    <t>419|434</t>
  </si>
  <si>
    <t>603|514</t>
  </si>
  <si>
    <t>446|512</t>
  </si>
  <si>
    <t>584|436</t>
  </si>
  <si>
    <t>395|507</t>
  </si>
  <si>
    <t>450|412</t>
  </si>
  <si>
    <t>443|593</t>
  </si>
  <si>
    <t>603|481</t>
  </si>
  <si>
    <t>402|491</t>
  </si>
  <si>
    <t>397|508</t>
  </si>
  <si>
    <t>579|564</t>
  </si>
  <si>
    <t>501|431</t>
  </si>
  <si>
    <t>433|573</t>
  </si>
  <si>
    <t>419|571</t>
  </si>
  <si>
    <t>547|408</t>
  </si>
  <si>
    <t>488|605</t>
  </si>
  <si>
    <t>395|483</t>
  </si>
  <si>
    <t>436|569</t>
  </si>
  <si>
    <t>405|491</t>
  </si>
  <si>
    <t>433|572</t>
  </si>
  <si>
    <t>602|516</t>
  </si>
  <si>
    <t>452|477</t>
  </si>
  <si>
    <t>526|599</t>
  </si>
  <si>
    <t>433|585</t>
  </si>
  <si>
    <t>476|601</t>
  </si>
  <si>
    <t>432|570</t>
  </si>
  <si>
    <t>432|581</t>
  </si>
  <si>
    <t>400|479</t>
  </si>
  <si>
    <t>420|560</t>
  </si>
  <si>
    <t>418|574</t>
  </si>
  <si>
    <t>443|599</t>
  </si>
  <si>
    <t>576|570</t>
  </si>
  <si>
    <t>419|579</t>
  </si>
  <si>
    <t>568|420</t>
  </si>
  <si>
    <t>604|519</t>
  </si>
  <si>
    <t>489|396</t>
  </si>
  <si>
    <t>430|574</t>
  </si>
  <si>
    <t>417|566</t>
  </si>
  <si>
    <t>434|579</t>
  </si>
  <si>
    <t>399|533</t>
  </si>
  <si>
    <t>495|603</t>
  </si>
  <si>
    <t>544|422</t>
  </si>
  <si>
    <t>534|597</t>
  </si>
  <si>
    <t>443|583</t>
  </si>
  <si>
    <t>439|583</t>
  </si>
  <si>
    <t>434|583</t>
  </si>
  <si>
    <t>489|443</t>
  </si>
  <si>
    <t>449|595</t>
  </si>
  <si>
    <t>437|581</t>
  </si>
  <si>
    <t>496|605</t>
  </si>
  <si>
    <t>415|571</t>
  </si>
  <si>
    <t>579|429</t>
  </si>
  <si>
    <t>480|397</t>
  </si>
  <si>
    <t>475|573</t>
  </si>
  <si>
    <t>434|582</t>
  </si>
  <si>
    <t>462|502</t>
  </si>
  <si>
    <t>600|527</t>
  </si>
  <si>
    <t>550|509</t>
  </si>
  <si>
    <t>604|511</t>
  </si>
  <si>
    <t>450|410</t>
  </si>
  <si>
    <t>438|412</t>
  </si>
  <si>
    <t>547|565</t>
  </si>
  <si>
    <t>409|562</t>
  </si>
  <si>
    <t>558|587</t>
  </si>
  <si>
    <t>394|504</t>
  </si>
  <si>
    <t>507|592</t>
  </si>
  <si>
    <t>501|396</t>
  </si>
  <si>
    <t>577|568</t>
  </si>
  <si>
    <t>576|431</t>
  </si>
  <si>
    <t>422|581</t>
  </si>
  <si>
    <t>602|527</t>
  </si>
  <si>
    <t>453|592</t>
  </si>
  <si>
    <t>460|590</t>
  </si>
  <si>
    <t>603|506</t>
  </si>
  <si>
    <t>548|406</t>
  </si>
  <si>
    <t>419|578</t>
  </si>
  <si>
    <t>430|422</t>
  </si>
  <si>
    <t>472|602</t>
  </si>
  <si>
    <t>474|400</t>
  </si>
  <si>
    <t>432|580</t>
  </si>
  <si>
    <t>438|417</t>
  </si>
  <si>
    <t>398|484</t>
  </si>
  <si>
    <t>407|456</t>
  </si>
  <si>
    <t>429|572</t>
  </si>
  <si>
    <t>457|582</t>
  </si>
  <si>
    <t>435|472</t>
  </si>
  <si>
    <t>606|498</t>
  </si>
  <si>
    <t>418|438</t>
  </si>
  <si>
    <t>600|537</t>
  </si>
  <si>
    <t>397|506</t>
  </si>
  <si>
    <t>476|437</t>
  </si>
  <si>
    <t>478|399</t>
  </si>
  <si>
    <t>524|590</t>
  </si>
  <si>
    <t>438|589</t>
  </si>
  <si>
    <t>456|566</t>
  </si>
  <si>
    <t>425|563</t>
  </si>
  <si>
    <t>406|542</t>
  </si>
  <si>
    <t>572|429</t>
  </si>
  <si>
    <t>520|425</t>
  </si>
  <si>
    <t>561|572</t>
  </si>
  <si>
    <t>446|410</t>
  </si>
  <si>
    <t>397|536</t>
  </si>
  <si>
    <t>601|475</t>
  </si>
  <si>
    <t>443|582</t>
  </si>
  <si>
    <t>450|518</t>
  </si>
  <si>
    <t>523|550</t>
  </si>
  <si>
    <t>403|533</t>
  </si>
  <si>
    <t>527|462</t>
  </si>
  <si>
    <t>457|397</t>
  </si>
  <si>
    <t>576|568</t>
  </si>
  <si>
    <t>510|509</t>
  </si>
  <si>
    <t>437|584</t>
  </si>
  <si>
    <t>600|520</t>
  </si>
  <si>
    <t>444|415</t>
  </si>
  <si>
    <t>479|531</t>
  </si>
  <si>
    <t>447|598</t>
  </si>
  <si>
    <t>529|422</t>
  </si>
  <si>
    <t>413|556</t>
  </si>
  <si>
    <t>490|604</t>
  </si>
  <si>
    <t>601|468</t>
  </si>
  <si>
    <t>400|464</t>
  </si>
  <si>
    <t>546|407</t>
  </si>
  <si>
    <t>569|589</t>
  </si>
  <si>
    <t>489|414</t>
  </si>
  <si>
    <t>486|604</t>
  </si>
  <si>
    <t>524|553</t>
  </si>
  <si>
    <t>394|499</t>
  </si>
  <si>
    <t>476|546</t>
  </si>
  <si>
    <t>439|568</t>
  </si>
  <si>
    <t>440|577</t>
  </si>
  <si>
    <t>500|480</t>
  </si>
  <si>
    <t>457|514</t>
  </si>
  <si>
    <t>603|461</t>
  </si>
  <si>
    <t>432|572</t>
  </si>
  <si>
    <t>592|454</t>
  </si>
  <si>
    <t>551|419</t>
  </si>
  <si>
    <t>606|519</t>
  </si>
  <si>
    <t>398|486</t>
  </si>
  <si>
    <t>504|523</t>
  </si>
  <si>
    <t>575|572</t>
  </si>
  <si>
    <t>433|582</t>
  </si>
  <si>
    <t>539|601</t>
  </si>
  <si>
    <t>543|595</t>
  </si>
  <si>
    <t>585|487</t>
  </si>
  <si>
    <t>582|431</t>
  </si>
  <si>
    <t>419|566</t>
  </si>
  <si>
    <t>585|539</t>
  </si>
  <si>
    <t>527|603</t>
  </si>
  <si>
    <t>582|565</t>
  </si>
  <si>
    <t>461|598</t>
  </si>
  <si>
    <t>541|597</t>
  </si>
  <si>
    <t>416|560</t>
  </si>
  <si>
    <t>597|462</t>
  </si>
  <si>
    <t>513|394</t>
  </si>
  <si>
    <t>527|599</t>
  </si>
  <si>
    <t>506|395</t>
  </si>
  <si>
    <t>567|420</t>
  </si>
  <si>
    <t>512|394</t>
  </si>
  <si>
    <t>463|599</t>
  </si>
  <si>
    <t>573|577</t>
  </si>
  <si>
    <t>567|419</t>
  </si>
  <si>
    <t>514|601</t>
  </si>
  <si>
    <t>453|406</t>
  </si>
  <si>
    <t>586|442</t>
  </si>
  <si>
    <t>469|600</t>
  </si>
  <si>
    <t>404|455</t>
  </si>
  <si>
    <t>571|575</t>
  </si>
  <si>
    <t>438|591</t>
  </si>
  <si>
    <t>448|590</t>
  </si>
  <si>
    <t>480|400</t>
  </si>
  <si>
    <t>589|478</t>
  </si>
  <si>
    <t>569|422</t>
  </si>
  <si>
    <t>438|583</t>
  </si>
  <si>
    <t>434|577</t>
  </si>
  <si>
    <t>450|582</t>
  </si>
  <si>
    <t>578|429</t>
  </si>
  <si>
    <t>452|406</t>
  </si>
  <si>
    <t>596|459</t>
  </si>
  <si>
    <t>427|573</t>
  </si>
  <si>
    <t>606|513</t>
  </si>
  <si>
    <t>603|502</t>
  </si>
  <si>
    <t>452|408</t>
  </si>
  <si>
    <t>554|592</t>
  </si>
  <si>
    <t>467|401</t>
  </si>
  <si>
    <t>541|404</t>
  </si>
  <si>
    <t>400|534</t>
  </si>
  <si>
    <t>401|473</t>
  </si>
  <si>
    <t>509|602</t>
  </si>
  <si>
    <t>604|484</t>
  </si>
  <si>
    <t>599|534</t>
  </si>
  <si>
    <t>542|597</t>
  </si>
  <si>
    <t>507|396</t>
  </si>
  <si>
    <t>590|442</t>
  </si>
  <si>
    <t>604|517</t>
  </si>
  <si>
    <t>458|577</t>
  </si>
  <si>
    <t>554|409</t>
  </si>
  <si>
    <t>529|598</t>
  </si>
  <si>
    <t>408|450</t>
  </si>
  <si>
    <t>448|404</t>
  </si>
  <si>
    <t>605|492</t>
  </si>
  <si>
    <t>407|542</t>
  </si>
  <si>
    <t>423|573</t>
  </si>
  <si>
    <t>396|475</t>
  </si>
  <si>
    <t>519|397</t>
  </si>
  <si>
    <t>419|563</t>
  </si>
  <si>
    <t>606|490</t>
  </si>
  <si>
    <t>560|490</t>
  </si>
  <si>
    <t>455|596</t>
  </si>
  <si>
    <t>397|518</t>
  </si>
  <si>
    <t>437|418</t>
  </si>
  <si>
    <t>572|578</t>
  </si>
  <si>
    <t>424|573</t>
  </si>
  <si>
    <t>465|403</t>
  </si>
  <si>
    <t>430|577</t>
  </si>
  <si>
    <t>487|395</t>
  </si>
  <si>
    <t>569|578</t>
  </si>
  <si>
    <t>415|436</t>
  </si>
  <si>
    <t>597|458</t>
  </si>
  <si>
    <t>409|554</t>
  </si>
  <si>
    <t>476|400</t>
  </si>
  <si>
    <t>419|436</t>
  </si>
  <si>
    <t>584|435</t>
  </si>
  <si>
    <t>470|600</t>
  </si>
  <si>
    <t>416|440</t>
  </si>
  <si>
    <t>457|402</t>
  </si>
  <si>
    <t>458|397</t>
  </si>
  <si>
    <t>424|575</t>
  </si>
  <si>
    <t>596|454</t>
  </si>
  <si>
    <t>437|421</t>
  </si>
  <si>
    <t>413|517</t>
  </si>
  <si>
    <t>456|403</t>
  </si>
  <si>
    <t>582|495</t>
  </si>
  <si>
    <t>545|594</t>
  </si>
  <si>
    <t>479|516</t>
  </si>
  <si>
    <t>477|600</t>
  </si>
  <si>
    <t>404|540</t>
  </si>
  <si>
    <t>487|516</t>
  </si>
  <si>
    <t>434|595</t>
  </si>
  <si>
    <t>443|590</t>
  </si>
  <si>
    <t>601|473</t>
  </si>
  <si>
    <t>482|601</t>
  </si>
  <si>
    <t>454|596</t>
  </si>
  <si>
    <t>567|577</t>
  </si>
  <si>
    <t>571|578</t>
  </si>
  <si>
    <t>489|394</t>
  </si>
  <si>
    <t>602|526</t>
  </si>
  <si>
    <t>540|596</t>
  </si>
  <si>
    <t>530|603</t>
  </si>
  <si>
    <t>578|428</t>
  </si>
  <si>
    <t>513|602</t>
  </si>
  <si>
    <t>501|607</t>
  </si>
  <si>
    <t>532|399</t>
  </si>
  <si>
    <t>606|487</t>
  </si>
  <si>
    <t>573|579</t>
  </si>
  <si>
    <t>413|557</t>
  </si>
  <si>
    <t>446|408</t>
  </si>
  <si>
    <t>513|605</t>
  </si>
  <si>
    <t>545|403</t>
  </si>
  <si>
    <t>445|408</t>
  </si>
  <si>
    <t>395|514</t>
  </si>
  <si>
    <t>606|505</t>
  </si>
  <si>
    <t>423|565</t>
  </si>
  <si>
    <t>558|578</t>
  </si>
  <si>
    <t>603|473</t>
  </si>
  <si>
    <t>607|499</t>
  </si>
  <si>
    <t>414|569</t>
  </si>
  <si>
    <t>570|568</t>
  </si>
  <si>
    <t>604|526</t>
  </si>
  <si>
    <t>396|526</t>
  </si>
  <si>
    <t>467|400</t>
  </si>
  <si>
    <t>566|417</t>
  </si>
  <si>
    <t>423|427</t>
  </si>
  <si>
    <t>569|418</t>
  </si>
  <si>
    <t>500|406</t>
  </si>
  <si>
    <t>403|552</t>
  </si>
  <si>
    <t>399|523</t>
  </si>
  <si>
    <t>474|397</t>
  </si>
  <si>
    <t>504|606</t>
  </si>
  <si>
    <t>503|607</t>
  </si>
  <si>
    <t>418|568</t>
  </si>
  <si>
    <t>542|599</t>
  </si>
  <si>
    <t>463|603</t>
  </si>
  <si>
    <t>523|560</t>
  </si>
  <si>
    <t>405|544</t>
  </si>
  <si>
    <t>602|500</t>
  </si>
  <si>
    <t>470|398</t>
  </si>
  <si>
    <t>602|514</t>
  </si>
  <si>
    <t>428|424</t>
  </si>
  <si>
    <t>443|434</t>
  </si>
  <si>
    <t>438|584</t>
  </si>
  <si>
    <t>497|604</t>
  </si>
  <si>
    <t>406|546</t>
  </si>
  <si>
    <t>409|557</t>
  </si>
  <si>
    <t>537|441</t>
  </si>
  <si>
    <t>481|426</t>
  </si>
  <si>
    <t>400|465</t>
  </si>
  <si>
    <t>448|407</t>
  </si>
  <si>
    <t>397|478</t>
  </si>
  <si>
    <t>600|472</t>
  </si>
  <si>
    <t>579|570</t>
  </si>
  <si>
    <t>564|420</t>
  </si>
  <si>
    <t>508|396</t>
  </si>
  <si>
    <t>561|584</t>
  </si>
  <si>
    <t>402|543</t>
  </si>
  <si>
    <t>447|573</t>
  </si>
  <si>
    <t>506|393</t>
  </si>
  <si>
    <t>394|514</t>
  </si>
  <si>
    <t>404|543</t>
  </si>
  <si>
    <t>402|542</t>
  </si>
  <si>
    <t>418|532</t>
  </si>
  <si>
    <t>396|524</t>
  </si>
  <si>
    <t>400|477</t>
  </si>
  <si>
    <t>534|598</t>
  </si>
  <si>
    <t>402|464</t>
  </si>
  <si>
    <t>391|487</t>
  </si>
  <si>
    <t>497|603</t>
  </si>
  <si>
    <t>501|428</t>
  </si>
  <si>
    <t>528|438</t>
  </si>
  <si>
    <t>433|574</t>
  </si>
  <si>
    <t>589|442</t>
  </si>
  <si>
    <t>575|560</t>
  </si>
  <si>
    <t>395|487</t>
  </si>
  <si>
    <t>597|457</t>
  </si>
  <si>
    <t>394|478</t>
  </si>
  <si>
    <t>436|583</t>
  </si>
  <si>
    <t>443|598</t>
  </si>
  <si>
    <t>493|559</t>
  </si>
  <si>
    <t>441|585</t>
  </si>
  <si>
    <t>402|458</t>
  </si>
  <si>
    <t>584|572</t>
  </si>
  <si>
    <t>416|562</t>
  </si>
  <si>
    <t>595|546</t>
  </si>
  <si>
    <t>586|548</t>
  </si>
  <si>
    <t>477|396</t>
  </si>
  <si>
    <t>568|415</t>
  </si>
  <si>
    <t>430|419</t>
  </si>
  <si>
    <t>500|590</t>
  </si>
  <si>
    <t>598|467</t>
  </si>
  <si>
    <t>439|586</t>
  </si>
  <si>
    <t>431|564</t>
  </si>
  <si>
    <t>570|413</t>
  </si>
  <si>
    <t>483|471</t>
  </si>
  <si>
    <t>505|610</t>
  </si>
  <si>
    <t>595|548</t>
  </si>
  <si>
    <t>469|398</t>
  </si>
  <si>
    <t>562|583</t>
  </si>
  <si>
    <t>547|594</t>
  </si>
  <si>
    <t>567|416</t>
  </si>
  <si>
    <t>553|412</t>
  </si>
  <si>
    <t>587|572</t>
  </si>
  <si>
    <t>442|413</t>
  </si>
  <si>
    <t>593|536</t>
  </si>
  <si>
    <t>396|518</t>
  </si>
  <si>
    <t>394|492</t>
  </si>
  <si>
    <t>471|412</t>
  </si>
  <si>
    <t>488|443</t>
  </si>
  <si>
    <t>483|396</t>
  </si>
  <si>
    <t>425|521</t>
  </si>
  <si>
    <t>605|503</t>
  </si>
  <si>
    <t>491|416</t>
  </si>
  <si>
    <t>394|521</t>
  </si>
  <si>
    <t>464|506</t>
  </si>
  <si>
    <t>552|490</t>
  </si>
  <si>
    <t>597|465</t>
  </si>
  <si>
    <t>424|424</t>
  </si>
  <si>
    <t>400|461</t>
  </si>
  <si>
    <t>589|557</t>
  </si>
  <si>
    <t>466|398</t>
  </si>
  <si>
    <t>536|592</t>
  </si>
  <si>
    <t>604|498</t>
  </si>
  <si>
    <t>562|426</t>
  </si>
  <si>
    <t>422|428</t>
  </si>
  <si>
    <t>424|570</t>
  </si>
  <si>
    <t>593|511</t>
  </si>
  <si>
    <t>428|544</t>
  </si>
  <si>
    <t>451|406</t>
  </si>
  <si>
    <t>422|429</t>
  </si>
  <si>
    <t>600|501</t>
  </si>
  <si>
    <t>602|494</t>
  </si>
  <si>
    <t>587|461</t>
  </si>
  <si>
    <t>577|427</t>
  </si>
  <si>
    <t>508|404</t>
  </si>
  <si>
    <t>396|504</t>
  </si>
  <si>
    <t>513|399</t>
  </si>
  <si>
    <t>599|462</t>
  </si>
  <si>
    <t>437|586</t>
  </si>
  <si>
    <t>422|570</t>
  </si>
  <si>
    <t>608|518</t>
  </si>
  <si>
    <t>520|477</t>
  </si>
  <si>
    <t>515|440</t>
  </si>
  <si>
    <t>398|531</t>
  </si>
  <si>
    <t>448|500</t>
  </si>
  <si>
    <t>475|600</t>
  </si>
  <si>
    <t>576|425</t>
  </si>
  <si>
    <t>484|606</t>
  </si>
  <si>
    <t>551|582</t>
  </si>
  <si>
    <t>512|605</t>
  </si>
  <si>
    <t>467|601</t>
  </si>
  <si>
    <t>494|395</t>
  </si>
  <si>
    <t>582|436</t>
  </si>
  <si>
    <t>494|604</t>
  </si>
  <si>
    <t>417|437</t>
  </si>
  <si>
    <t>518|604</t>
  </si>
  <si>
    <t>557|584</t>
  </si>
  <si>
    <t>601|538</t>
  </si>
  <si>
    <t>476|565</t>
  </si>
  <si>
    <t>404|549</t>
  </si>
  <si>
    <t>480|398</t>
  </si>
  <si>
    <t>536|404</t>
  </si>
  <si>
    <t>559|585</t>
  </si>
  <si>
    <t>601|519</t>
  </si>
  <si>
    <t>552|407</t>
  </si>
  <si>
    <t>545|581</t>
  </si>
  <si>
    <t>502|475</t>
  </si>
  <si>
    <t>512|485</t>
  </si>
  <si>
    <t>432|497</t>
  </si>
  <si>
    <t>506|606</t>
  </si>
  <si>
    <t>595|545</t>
  </si>
  <si>
    <t>552|430</t>
  </si>
  <si>
    <t>556|592</t>
  </si>
  <si>
    <t>584|426</t>
  </si>
  <si>
    <t>604|528</t>
  </si>
  <si>
    <t>398|518</t>
  </si>
  <si>
    <t>593|448</t>
  </si>
  <si>
    <t>412|515</t>
  </si>
  <si>
    <t>606|486</t>
  </si>
  <si>
    <t>448|477</t>
  </si>
  <si>
    <t>582|427</t>
  </si>
  <si>
    <t>572|426</t>
  </si>
  <si>
    <t>553|409</t>
  </si>
  <si>
    <t>434|573</t>
  </si>
  <si>
    <t>594|454</t>
  </si>
  <si>
    <t>503|612</t>
  </si>
  <si>
    <t>534|586</t>
  </si>
  <si>
    <t>492|592</t>
  </si>
  <si>
    <t>453|408</t>
  </si>
  <si>
    <t>402|524</t>
  </si>
  <si>
    <t>408|446</t>
  </si>
  <si>
    <t>415|435</t>
  </si>
  <si>
    <t>521|589</t>
  </si>
  <si>
    <t>403|457</t>
  </si>
  <si>
    <t>420|571</t>
  </si>
  <si>
    <t>409|455</t>
  </si>
  <si>
    <t>393|501</t>
  </si>
  <si>
    <t>406|453</t>
  </si>
  <si>
    <t>403|450</t>
  </si>
  <si>
    <t>454|407</t>
  </si>
  <si>
    <t>400|532</t>
  </si>
  <si>
    <t>440|413</t>
  </si>
  <si>
    <t>404|454</t>
  </si>
  <si>
    <t>530|400</t>
  </si>
  <si>
    <t>603|530</t>
  </si>
  <si>
    <t>546|571</t>
  </si>
  <si>
    <t>394|497</t>
  </si>
  <si>
    <t>409|453</t>
  </si>
  <si>
    <t>418|437</t>
  </si>
  <si>
    <t>605|508</t>
  </si>
  <si>
    <t>445|419</t>
  </si>
  <si>
    <t>437|570</t>
  </si>
  <si>
    <t>446|591</t>
  </si>
  <si>
    <t>527|579</t>
  </si>
  <si>
    <t>605|531</t>
  </si>
  <si>
    <t>394|480</t>
  </si>
  <si>
    <t>531|398</t>
  </si>
  <si>
    <t>495|605</t>
  </si>
  <si>
    <t>486|393</t>
  </si>
  <si>
    <t>591|439</t>
  </si>
  <si>
    <t>472|601</t>
  </si>
  <si>
    <t>602|538</t>
  </si>
  <si>
    <t>606|494</t>
  </si>
  <si>
    <t>478|593</t>
  </si>
  <si>
    <t>586|432</t>
  </si>
  <si>
    <t>605|519</t>
  </si>
  <si>
    <t>528|396</t>
  </si>
  <si>
    <t>571|580</t>
  </si>
  <si>
    <t>481|420</t>
  </si>
  <si>
    <t>590|434</t>
  </si>
  <si>
    <t>411|552</t>
  </si>
  <si>
    <t>601|540</t>
  </si>
  <si>
    <t>608|517</t>
  </si>
  <si>
    <t>612|513</t>
  </si>
  <si>
    <t>606|546</t>
  </si>
  <si>
    <t>608|529</t>
  </si>
  <si>
    <t>585|436</t>
  </si>
  <si>
    <t>605|539</t>
  </si>
  <si>
    <t>605|547</t>
  </si>
  <si>
    <t>605|515</t>
  </si>
  <si>
    <t>604|514</t>
  </si>
  <si>
    <t>608|543</t>
  </si>
  <si>
    <t>614|528</t>
  </si>
  <si>
    <t>401|464</t>
  </si>
  <si>
    <t>440|415</t>
  </si>
  <si>
    <t>588|437</t>
  </si>
  <si>
    <t>605|538</t>
  </si>
  <si>
    <t>565|416</t>
  </si>
  <si>
    <t>602|465</t>
  </si>
  <si>
    <t>614|520</t>
  </si>
  <si>
    <t>611|514</t>
  </si>
  <si>
    <t>611|532</t>
  </si>
  <si>
    <t>603|544</t>
  </si>
  <si>
    <t>612|527</t>
  </si>
  <si>
    <t>597|539</t>
  </si>
  <si>
    <t>604|516</t>
  </si>
  <si>
    <t>550|409</t>
  </si>
  <si>
    <t>596|449</t>
  </si>
  <si>
    <t>609|528</t>
  </si>
  <si>
    <t>464|402</t>
  </si>
  <si>
    <t>584|432</t>
  </si>
  <si>
    <t>598|525</t>
  </si>
  <si>
    <t>603|523</t>
  </si>
  <si>
    <t>478|603</t>
  </si>
  <si>
    <t>562|570</t>
  </si>
  <si>
    <t>587|563</t>
  </si>
  <si>
    <t>591|450</t>
  </si>
  <si>
    <t>600|541</t>
  </si>
  <si>
    <t>604|535</t>
  </si>
  <si>
    <t>551|592</t>
  </si>
  <si>
    <t>464|602</t>
  </si>
  <si>
    <t>596|547</t>
  </si>
  <si>
    <t>490|394</t>
  </si>
  <si>
    <t>610|521</t>
  </si>
  <si>
    <t>401|534</t>
  </si>
  <si>
    <t>541|403</t>
  </si>
  <si>
    <t>613|528</t>
  </si>
  <si>
    <t>555|407</t>
  </si>
  <si>
    <t>614|527</t>
  </si>
  <si>
    <t>613|527</t>
  </si>
  <si>
    <t>517|606</t>
  </si>
  <si>
    <t>413|436</t>
  </si>
  <si>
    <t>435|580</t>
  </si>
  <si>
    <t>455|403</t>
  </si>
  <si>
    <t>608|540</t>
  </si>
  <si>
    <t>607|509</t>
  </si>
  <si>
    <t>477|401</t>
  </si>
  <si>
    <t>537|403</t>
  </si>
  <si>
    <t>599|535</t>
  </si>
  <si>
    <t>598|543</t>
  </si>
  <si>
    <t>600|533</t>
  </si>
  <si>
    <t>428|422</t>
  </si>
  <si>
    <t>510|604</t>
  </si>
  <si>
    <t>533|601</t>
  </si>
  <si>
    <t>595|549</t>
  </si>
  <si>
    <t>400|473</t>
  </si>
  <si>
    <t>538|400</t>
  </si>
  <si>
    <t>423|576</t>
  </si>
  <si>
    <t>450|407</t>
  </si>
  <si>
    <t>582|575</t>
  </si>
  <si>
    <t>570|578</t>
  </si>
  <si>
    <t>548|595</t>
  </si>
  <si>
    <t>507|614</t>
  </si>
  <si>
    <t>534|593</t>
  </si>
  <si>
    <t>449|405</t>
  </si>
  <si>
    <t>511|607</t>
  </si>
  <si>
    <t>589|467</t>
  </si>
  <si>
    <t>456|594</t>
  </si>
  <si>
    <t>505|387</t>
  </si>
  <si>
    <t>604|530</t>
  </si>
  <si>
    <t>553|416</t>
  </si>
  <si>
    <t>590|445</t>
  </si>
  <si>
    <t>470|608</t>
  </si>
  <si>
    <t>394|495</t>
  </si>
  <si>
    <t>480|603</t>
  </si>
  <si>
    <t>459|404</t>
  </si>
  <si>
    <t>603|520</t>
  </si>
  <si>
    <t>436|412</t>
  </si>
  <si>
    <t>533|399</t>
  </si>
  <si>
    <t>512|591</t>
  </si>
  <si>
    <t>574|526</t>
  </si>
  <si>
    <t>514|607</t>
  </si>
  <si>
    <t>606|537</t>
  </si>
  <si>
    <t>405|458</t>
  </si>
  <si>
    <t>424|423</t>
  </si>
  <si>
    <t>576|573</t>
  </si>
  <si>
    <t>443|591</t>
  </si>
  <si>
    <t>455|447</t>
  </si>
  <si>
    <t>443|586</t>
  </si>
  <si>
    <t>544|596</t>
  </si>
  <si>
    <t>552|411</t>
  </si>
  <si>
    <t>393|492</t>
  </si>
  <si>
    <t>506|607</t>
  </si>
  <si>
    <t>565|585</t>
  </si>
  <si>
    <t>606|524</t>
  </si>
  <si>
    <t>605|501</t>
  </si>
  <si>
    <t>573|578</t>
  </si>
  <si>
    <t>600|524</t>
  </si>
  <si>
    <t>523|396</t>
  </si>
  <si>
    <t>541|562</t>
  </si>
  <si>
    <t>605|512</t>
  </si>
  <si>
    <t>433|418</t>
  </si>
  <si>
    <t>603|528</t>
  </si>
  <si>
    <t>529|451</t>
  </si>
  <si>
    <t>599|512</t>
  </si>
  <si>
    <t>597|522</t>
  </si>
  <si>
    <t>611|520</t>
  </si>
  <si>
    <t>604|532</t>
  </si>
  <si>
    <t>611|509</t>
  </si>
  <si>
    <t>607|527</t>
  </si>
  <si>
    <t>611|519</t>
  </si>
  <si>
    <t>608|509</t>
  </si>
  <si>
    <t>599|508</t>
  </si>
  <si>
    <t>507|394</t>
  </si>
  <si>
    <t>608|511</t>
  </si>
  <si>
    <t>613|514</t>
  </si>
  <si>
    <t>607|510</t>
  </si>
  <si>
    <t>539|398</t>
  </si>
  <si>
    <t>614|512</t>
  </si>
  <si>
    <t>423|421</t>
  </si>
  <si>
    <t>610|505</t>
  </si>
  <si>
    <t>609|506</t>
  </si>
  <si>
    <t>413|459</t>
  </si>
  <si>
    <t>402|523</t>
  </si>
  <si>
    <t>614|503</t>
  </si>
  <si>
    <t>604|505</t>
  </si>
  <si>
    <t>610|509</t>
  </si>
  <si>
    <t>399|463</t>
  </si>
  <si>
    <t>608|534</t>
  </si>
  <si>
    <t>441|416</t>
  </si>
  <si>
    <t>508|423</t>
  </si>
  <si>
    <t>397|533</t>
  </si>
  <si>
    <t>510|426</t>
  </si>
  <si>
    <t>508|415</t>
  </si>
  <si>
    <t>583|427</t>
  </si>
  <si>
    <t>421|571</t>
  </si>
  <si>
    <t>551|487</t>
  </si>
  <si>
    <t>443|407</t>
  </si>
  <si>
    <t>516|400</t>
  </si>
  <si>
    <t>392|496</t>
  </si>
  <si>
    <t>441|427</t>
  </si>
  <si>
    <t>426|581</t>
  </si>
  <si>
    <t>560|414</t>
  </si>
  <si>
    <t>408|555</t>
  </si>
  <si>
    <t>567|421</t>
  </si>
  <si>
    <t>402|460</t>
  </si>
  <si>
    <t>467|397</t>
  </si>
  <si>
    <t>422|579</t>
  </si>
  <si>
    <t>416|570</t>
  </si>
  <si>
    <t>571|584</t>
  </si>
  <si>
    <t>430|569</t>
  </si>
  <si>
    <t>598|533</t>
  </si>
  <si>
    <t>420|573</t>
  </si>
  <si>
    <t>402|459</t>
  </si>
  <si>
    <t>403|464</t>
  </si>
  <si>
    <t>614|490</t>
  </si>
  <si>
    <t>582|442</t>
  </si>
  <si>
    <t>428|575</t>
  </si>
  <si>
    <t>395|460</t>
  </si>
  <si>
    <t>391|488</t>
  </si>
  <si>
    <t>424|572</t>
  </si>
  <si>
    <t>442|492</t>
  </si>
  <si>
    <t>605|502</t>
  </si>
  <si>
    <t>432|569</t>
  </si>
  <si>
    <t>600|469</t>
  </si>
  <si>
    <t>422|573</t>
  </si>
  <si>
    <t>507|393</t>
  </si>
  <si>
    <t>429|580</t>
  </si>
  <si>
    <t>421|573</t>
  </si>
  <si>
    <t>573|447</t>
  </si>
  <si>
    <t>560|588</t>
  </si>
  <si>
    <t>426|571</t>
  </si>
  <si>
    <t>424|577</t>
  </si>
  <si>
    <t>572|553</t>
  </si>
  <si>
    <t>420|567</t>
  </si>
  <si>
    <t>582|433</t>
  </si>
  <si>
    <t>439|574</t>
  </si>
  <si>
    <t>564|588</t>
  </si>
  <si>
    <t>568|549</t>
  </si>
  <si>
    <t>428|580</t>
  </si>
  <si>
    <t>599|465</t>
  </si>
  <si>
    <t>401|537</t>
  </si>
  <si>
    <t>457|598</t>
  </si>
  <si>
    <t>553|407</t>
  </si>
  <si>
    <t>424|579</t>
  </si>
  <si>
    <t>502|393</t>
  </si>
  <si>
    <t>598|465</t>
  </si>
  <si>
    <t>428|583</t>
  </si>
  <si>
    <t>449|424</t>
  </si>
  <si>
    <t>439|494</t>
  </si>
  <si>
    <t>427|572</t>
  </si>
  <si>
    <t>521|398</t>
  </si>
  <si>
    <t>418|431</t>
  </si>
  <si>
    <t>421|574</t>
  </si>
  <si>
    <t>424|574</t>
  </si>
  <si>
    <t>398|469</t>
  </si>
  <si>
    <t>600|462</t>
  </si>
  <si>
    <t>579|553</t>
  </si>
  <si>
    <t>574|554</t>
  </si>
  <si>
    <t>439|500</t>
  </si>
  <si>
    <t>457|595</t>
  </si>
  <si>
    <t>507|609</t>
  </si>
  <si>
    <t>425|583</t>
  </si>
  <si>
    <t>472|394</t>
  </si>
  <si>
    <t>423|574</t>
  </si>
  <si>
    <t>571|577</t>
  </si>
  <si>
    <t>445|589</t>
  </si>
  <si>
    <t>422|426</t>
  </si>
  <si>
    <t>424|566</t>
  </si>
  <si>
    <t>469|399</t>
  </si>
  <si>
    <t>550|404</t>
  </si>
  <si>
    <t>483|589</t>
  </si>
  <si>
    <t>425|579</t>
  </si>
  <si>
    <t>425|575</t>
  </si>
  <si>
    <t>421|579</t>
  </si>
  <si>
    <t>440|409</t>
  </si>
  <si>
    <t>435|501</t>
  </si>
  <si>
    <t>421|578</t>
  </si>
  <si>
    <t>425|578</t>
  </si>
  <si>
    <t>485|541</t>
  </si>
  <si>
    <t>423|575</t>
  </si>
  <si>
    <t>420|575</t>
  </si>
  <si>
    <t>431|575</t>
  </si>
  <si>
    <t>607|491</t>
  </si>
  <si>
    <t>515|393</t>
  </si>
  <si>
    <t>414|434</t>
  </si>
  <si>
    <t>604|513</t>
  </si>
  <si>
    <t>423|577</t>
  </si>
  <si>
    <t>419|567</t>
  </si>
  <si>
    <t>588|498</t>
  </si>
  <si>
    <t>592|449</t>
  </si>
  <si>
    <t>422|565</t>
  </si>
  <si>
    <t>468|395</t>
  </si>
  <si>
    <t>509|607</t>
  </si>
  <si>
    <t>426|572</t>
  </si>
  <si>
    <t>453|505</t>
  </si>
  <si>
    <t>427|581</t>
  </si>
  <si>
    <t>468|602</t>
  </si>
  <si>
    <t>425|577</t>
  </si>
  <si>
    <t>448|593</t>
  </si>
  <si>
    <t>418|573</t>
  </si>
  <si>
    <t>606|484</t>
  </si>
  <si>
    <t>428|571</t>
  </si>
  <si>
    <t>392|517</t>
  </si>
  <si>
    <t>414|565</t>
  </si>
  <si>
    <t>610|537</t>
  </si>
  <si>
    <t>572|581</t>
  </si>
  <si>
    <t>471|400</t>
  </si>
  <si>
    <t>462|598</t>
  </si>
  <si>
    <t>420|570</t>
  </si>
  <si>
    <t>436|589</t>
  </si>
  <si>
    <t>589|563</t>
  </si>
  <si>
    <t>416|566</t>
  </si>
  <si>
    <t>475|606</t>
  </si>
  <si>
    <t>568|581</t>
  </si>
  <si>
    <t>412|569</t>
  </si>
  <si>
    <t>565|529</t>
  </si>
  <si>
    <t>417|429</t>
  </si>
  <si>
    <t>396|545</t>
  </si>
  <si>
    <t>522|398</t>
  </si>
  <si>
    <t>482|545</t>
  </si>
  <si>
    <t>608|491</t>
  </si>
  <si>
    <t>557|408</t>
  </si>
  <si>
    <t>548|593</t>
  </si>
  <si>
    <t>417|568</t>
  </si>
  <si>
    <t>485|530</t>
  </si>
  <si>
    <t>421|580</t>
  </si>
  <si>
    <t>503|393</t>
  </si>
  <si>
    <t>420|577</t>
  </si>
  <si>
    <t>413|442</t>
  </si>
  <si>
    <t>394|483</t>
  </si>
  <si>
    <t>425|584</t>
  </si>
  <si>
    <t>422|577</t>
  </si>
  <si>
    <t>424|583</t>
  </si>
  <si>
    <t>515|606</t>
  </si>
  <si>
    <t>421|569</t>
  </si>
  <si>
    <t>420|568</t>
  </si>
  <si>
    <t>522|604</t>
  </si>
  <si>
    <t>438|587</t>
  </si>
  <si>
    <t>453|536</t>
  </si>
  <si>
    <t>434|584</t>
  </si>
  <si>
    <t>430|584</t>
  </si>
  <si>
    <t>429|582</t>
  </si>
  <si>
    <t>427|576</t>
  </si>
  <si>
    <t>391|507</t>
  </si>
  <si>
    <t>429|574</t>
  </si>
  <si>
    <t>421|575</t>
  </si>
  <si>
    <t>407|444</t>
  </si>
  <si>
    <t>577|421</t>
  </si>
  <si>
    <t>492|548</t>
  </si>
  <si>
    <t>394|496</t>
  </si>
  <si>
    <t>421|566</t>
  </si>
  <si>
    <t>418|575</t>
  </si>
  <si>
    <t>582|455</t>
  </si>
  <si>
    <t>419|573</t>
  </si>
  <si>
    <t>502|518</t>
  </si>
  <si>
    <t>431|572</t>
  </si>
  <si>
    <t>604|541</t>
  </si>
  <si>
    <t>429|541</t>
  </si>
  <si>
    <t>419|576</t>
  </si>
  <si>
    <t>415|569</t>
  </si>
  <si>
    <t>400|541</t>
  </si>
  <si>
    <t>413|570</t>
  </si>
  <si>
    <t>605|469</t>
  </si>
  <si>
    <t>424|571</t>
  </si>
  <si>
    <t>416|567</t>
  </si>
  <si>
    <t>420|574</t>
  </si>
  <si>
    <t>607|523</t>
  </si>
  <si>
    <t>495|394</t>
  </si>
  <si>
    <t>494|389</t>
  </si>
  <si>
    <t>584|458</t>
  </si>
  <si>
    <t>549|593</t>
  </si>
  <si>
    <t>426|573</t>
  </si>
  <si>
    <t>605|517</t>
  </si>
  <si>
    <t>419|572</t>
  </si>
  <si>
    <t>405|442</t>
  </si>
  <si>
    <t>419|577</t>
  </si>
  <si>
    <t>451|589</t>
  </si>
  <si>
    <t>536|397</t>
  </si>
  <si>
    <t>445|409</t>
  </si>
  <si>
    <t>493|398</t>
  </si>
  <si>
    <t>496|395</t>
  </si>
  <si>
    <t>424|581</t>
  </si>
  <si>
    <t>492|394</t>
  </si>
  <si>
    <t>496|390</t>
  </si>
  <si>
    <t>427|574</t>
  </si>
  <si>
    <t>395|524</t>
  </si>
  <si>
    <t>489|388</t>
  </si>
  <si>
    <t>395|529</t>
  </si>
  <si>
    <t>426|579</t>
  </si>
  <si>
    <t>487|392</t>
  </si>
  <si>
    <t>487|391</t>
  </si>
  <si>
    <t>577|426</t>
  </si>
  <si>
    <t>420|580</t>
  </si>
  <si>
    <t>587|434</t>
  </si>
  <si>
    <t>444|483</t>
  </si>
  <si>
    <t>486|608</t>
  </si>
  <si>
    <t>486|496</t>
  </si>
  <si>
    <t>498|390</t>
  </si>
  <si>
    <t>523|395</t>
  </si>
  <si>
    <t>476|605</t>
  </si>
  <si>
    <t>592|441</t>
  </si>
  <si>
    <t>425|574</t>
  </si>
  <si>
    <t>425|576</t>
  </si>
  <si>
    <t>499|608</t>
  </si>
  <si>
    <t>493|396</t>
  </si>
  <si>
    <t>475|604</t>
  </si>
  <si>
    <t>427|577</t>
  </si>
  <si>
    <t>409|525</t>
  </si>
  <si>
    <t>407|558</t>
  </si>
  <si>
    <t>489|395</t>
  </si>
  <si>
    <t>491|392</t>
  </si>
  <si>
    <t>605|486</t>
  </si>
  <si>
    <t>418|572</t>
  </si>
  <si>
    <t>417|572</t>
  </si>
  <si>
    <t>496|391</t>
  </si>
  <si>
    <t>499|388</t>
  </si>
  <si>
    <t>555|405</t>
  </si>
  <si>
    <t>391|508</t>
  </si>
  <si>
    <t>428|431</t>
  </si>
  <si>
    <t>608|505</t>
  </si>
  <si>
    <t>462|536</t>
  </si>
  <si>
    <t>471|395</t>
  </si>
  <si>
    <t>568|418</t>
  </si>
  <si>
    <t>609|513</t>
  </si>
  <si>
    <t>599|545</t>
  </si>
  <si>
    <t>606|478</t>
  </si>
  <si>
    <t>570|442</t>
  </si>
  <si>
    <t>486|390</t>
  </si>
  <si>
    <t>597|445</t>
  </si>
  <si>
    <t>572|422</t>
  </si>
  <si>
    <t>433|586</t>
  </si>
  <si>
    <t>480|606</t>
  </si>
  <si>
    <t>396|483</t>
  </si>
  <si>
    <t>481|393</t>
  </si>
  <si>
    <t>488|387</t>
  </si>
  <si>
    <t>544|399</t>
  </si>
  <si>
    <t>609|500</t>
  </si>
  <si>
    <t>423|566</t>
  </si>
  <si>
    <t>423|431</t>
  </si>
  <si>
    <t>445|587</t>
  </si>
  <si>
    <t>504|610</t>
  </si>
  <si>
    <t>612|506</t>
  </si>
  <si>
    <t>421|564</t>
  </si>
  <si>
    <t>417|431</t>
  </si>
  <si>
    <t>417|440</t>
  </si>
  <si>
    <t>414|562</t>
  </si>
  <si>
    <t>416|435</t>
  </si>
  <si>
    <t>415|440</t>
  </si>
  <si>
    <t>522|575</t>
  </si>
  <si>
    <t>557|594</t>
  </si>
  <si>
    <t>456|402</t>
  </si>
  <si>
    <t>609|495</t>
  </si>
  <si>
    <t>600|543</t>
  </si>
  <si>
    <t>511|609</t>
  </si>
  <si>
    <t>608|476</t>
  </si>
  <si>
    <t>545|416</t>
  </si>
  <si>
    <t>476|533</t>
  </si>
  <si>
    <t>524|395</t>
  </si>
  <si>
    <t>535|400</t>
  </si>
  <si>
    <t>506|610</t>
  </si>
  <si>
    <t>470|394</t>
  </si>
  <si>
    <t>453|603</t>
  </si>
  <si>
    <t>420|430</t>
  </si>
  <si>
    <t>430|561</t>
  </si>
  <si>
    <t>414|436</t>
  </si>
  <si>
    <t>603|522</t>
  </si>
  <si>
    <t>400|476</t>
  </si>
  <si>
    <t>539|599</t>
  </si>
  <si>
    <t>545|401</t>
  </si>
  <si>
    <t>487|386</t>
  </si>
  <si>
    <t>585|570</t>
  </si>
  <si>
    <t>435|418</t>
  </si>
  <si>
    <t>451|492</t>
  </si>
  <si>
    <t>423|418</t>
  </si>
  <si>
    <t>512|524</t>
  </si>
  <si>
    <t>549|595</t>
  </si>
  <si>
    <t>474|607</t>
  </si>
  <si>
    <t>480|393</t>
  </si>
  <si>
    <t>522|603</t>
  </si>
  <si>
    <t>394|508</t>
  </si>
  <si>
    <t>416|538</t>
  </si>
  <si>
    <t>613|508</t>
  </si>
  <si>
    <t>425|556</t>
  </si>
  <si>
    <t>522|394</t>
  </si>
  <si>
    <t>569|417</t>
  </si>
  <si>
    <t>519|606</t>
  </si>
  <si>
    <t>604|477</t>
  </si>
  <si>
    <t>406|550</t>
  </si>
  <si>
    <t>453|404</t>
  </si>
  <si>
    <t>601|456</t>
  </si>
  <si>
    <t>491|394</t>
  </si>
  <si>
    <t>578|430</t>
  </si>
  <si>
    <t>611|516</t>
  </si>
  <si>
    <t>411|456</t>
  </si>
  <si>
    <t>605|500</t>
  </si>
  <si>
    <t>402|541</t>
  </si>
  <si>
    <t>521|501</t>
  </si>
  <si>
    <t>423|458</t>
  </si>
  <si>
    <t>408|440</t>
  </si>
  <si>
    <t>420|427</t>
  </si>
  <si>
    <t>543|395</t>
  </si>
  <si>
    <t>604|522</t>
  </si>
  <si>
    <t>607|482</t>
  </si>
  <si>
    <t>394|518</t>
  </si>
  <si>
    <t>397|463</t>
  </si>
  <si>
    <t>499|386</t>
  </si>
  <si>
    <t>412|435</t>
  </si>
  <si>
    <t>428|415</t>
  </si>
  <si>
    <t>451|593</t>
  </si>
  <si>
    <t>472|605</t>
  </si>
  <si>
    <t>532|395</t>
  </si>
  <si>
    <t>407|442</t>
  </si>
  <si>
    <t>570|585</t>
  </si>
  <si>
    <t>523|604</t>
  </si>
  <si>
    <t>523|403</t>
  </si>
  <si>
    <t>472|425</t>
  </si>
  <si>
    <t>430|426</t>
  </si>
  <si>
    <t>392|513</t>
  </si>
  <si>
    <t>521|393</t>
  </si>
  <si>
    <t>403|539</t>
  </si>
  <si>
    <t>606|475</t>
  </si>
  <si>
    <t>393|479</t>
  </si>
  <si>
    <t>559|408</t>
  </si>
  <si>
    <t>400|455</t>
  </si>
  <si>
    <t>497|388</t>
  </si>
  <si>
    <t>604|465</t>
  </si>
  <si>
    <t>438|592</t>
  </si>
  <si>
    <t>436|414</t>
  </si>
  <si>
    <t>410|440</t>
  </si>
  <si>
    <t>398|542</t>
  </si>
  <si>
    <t>480|559</t>
  </si>
  <si>
    <t>518|605</t>
  </si>
  <si>
    <t>430|421</t>
  </si>
  <si>
    <t>406|449</t>
  </si>
  <si>
    <t>426|423</t>
  </si>
  <si>
    <t>466|422</t>
  </si>
  <si>
    <t>523|608</t>
  </si>
  <si>
    <t>553|406</t>
  </si>
  <si>
    <t>405|560</t>
  </si>
  <si>
    <t>582|566</t>
  </si>
  <si>
    <t>553|408</t>
  </si>
  <si>
    <t>594|443</t>
  </si>
  <si>
    <t>406|548</t>
  </si>
  <si>
    <t>501|615</t>
  </si>
  <si>
    <t>581|562</t>
  </si>
  <si>
    <t>410|556</t>
  </si>
  <si>
    <t>482|394</t>
  </si>
  <si>
    <t>417|570</t>
  </si>
  <si>
    <t>610|507</t>
  </si>
  <si>
    <t>609|537</t>
  </si>
  <si>
    <t>436|411</t>
  </si>
  <si>
    <t>604|540</t>
  </si>
  <si>
    <t>587|562</t>
  </si>
  <si>
    <t>439|416</t>
  </si>
  <si>
    <t>437|419</t>
  </si>
  <si>
    <t>477|463</t>
  </si>
  <si>
    <t>581|428</t>
  </si>
  <si>
    <t>392|491</t>
  </si>
  <si>
    <t>550|407</t>
  </si>
  <si>
    <t>583|566</t>
  </si>
  <si>
    <t>437|588</t>
  </si>
  <si>
    <t>608|501</t>
  </si>
  <si>
    <t>394|529</t>
  </si>
  <si>
    <t>588|464</t>
  </si>
  <si>
    <t>483|604</t>
  </si>
  <si>
    <t>606|491</t>
  </si>
  <si>
    <t>547|403</t>
  </si>
  <si>
    <t>605|509</t>
  </si>
  <si>
    <t>397|530</t>
  </si>
  <si>
    <t>607|513</t>
  </si>
  <si>
    <t>609|512</t>
  </si>
  <si>
    <t>552|408</t>
  </si>
  <si>
    <t>611|506</t>
  </si>
  <si>
    <t>610|516</t>
  </si>
  <si>
    <t>605|546</t>
  </si>
  <si>
    <t>612|507</t>
  </si>
  <si>
    <t>601|455</t>
  </si>
  <si>
    <t>407|451</t>
  </si>
  <si>
    <t>390|507</t>
  </si>
  <si>
    <t>609|479</t>
  </si>
  <si>
    <t>505|613</t>
  </si>
  <si>
    <t>397|529</t>
  </si>
  <si>
    <t>393|517</t>
  </si>
  <si>
    <t>477|402</t>
  </si>
  <si>
    <t>461|397</t>
  </si>
  <si>
    <t>604|545</t>
  </si>
  <si>
    <t>393|478</t>
  </si>
  <si>
    <t>401|457</t>
  </si>
  <si>
    <t>441|571</t>
  </si>
  <si>
    <t>522|392</t>
  </si>
  <si>
    <t>566|567</t>
  </si>
  <si>
    <t>409|444</t>
  </si>
  <si>
    <t>559|418</t>
  </si>
  <si>
    <t>396|476</t>
  </si>
  <si>
    <t>458|402</t>
  </si>
  <si>
    <t>386|501</t>
  </si>
  <si>
    <t>607|529</t>
  </si>
  <si>
    <t>406|461</t>
  </si>
  <si>
    <t>478|607</t>
  </si>
  <si>
    <t>529|393</t>
  </si>
  <si>
    <t>479|594</t>
  </si>
  <si>
    <t>416|429</t>
  </si>
  <si>
    <t>460|602</t>
  </si>
  <si>
    <t>469|397</t>
  </si>
  <si>
    <t>440|573</t>
  </si>
  <si>
    <t>523|391</t>
  </si>
  <si>
    <t>403|559</t>
  </si>
  <si>
    <t>424|563</t>
  </si>
  <si>
    <t>596|546</t>
  </si>
  <si>
    <t>396|527</t>
  </si>
  <si>
    <t>535|603</t>
  </si>
  <si>
    <t>599|529</t>
  </si>
  <si>
    <t>393|523</t>
  </si>
  <si>
    <t>540|597</t>
  </si>
  <si>
    <t>445|405</t>
  </si>
  <si>
    <t>605|484</t>
  </si>
  <si>
    <t>400|520</t>
  </si>
  <si>
    <t>399|466</t>
  </si>
  <si>
    <t>386|503</t>
  </si>
  <si>
    <t>395|515</t>
  </si>
  <si>
    <t>496|394</t>
  </si>
  <si>
    <t>395|468</t>
  </si>
  <si>
    <t>602|532</t>
  </si>
  <si>
    <t>462|399</t>
  </si>
  <si>
    <t>524|605</t>
  </si>
  <si>
    <t>511|606</t>
  </si>
  <si>
    <t>474|393</t>
  </si>
  <si>
    <t>425|423</t>
  </si>
  <si>
    <t>462|398</t>
  </si>
  <si>
    <t>561|412</t>
  </si>
  <si>
    <t>549|403</t>
  </si>
  <si>
    <t>391|498</t>
  </si>
  <si>
    <t>529|391</t>
  </si>
  <si>
    <t>454|599</t>
  </si>
  <si>
    <t>479|535</t>
  </si>
  <si>
    <t>496|388</t>
  </si>
  <si>
    <t>519|392</t>
  </si>
  <si>
    <t>413|439</t>
  </si>
  <si>
    <t>526|519</t>
  </si>
  <si>
    <t>575|579</t>
  </si>
  <si>
    <t>587|439</t>
  </si>
  <si>
    <t>414|437</t>
  </si>
  <si>
    <t>532|393</t>
  </si>
  <si>
    <t>488|394</t>
  </si>
  <si>
    <t>505|607</t>
  </si>
  <si>
    <t>400|548</t>
  </si>
  <si>
    <t>547|412</t>
  </si>
  <si>
    <t>462|587</t>
  </si>
  <si>
    <t>401|456</t>
  </si>
  <si>
    <t>497|392</t>
  </si>
  <si>
    <t>431|419</t>
  </si>
  <si>
    <t>534|575</t>
  </si>
  <si>
    <t>562|406</t>
  </si>
  <si>
    <t>449|403</t>
  </si>
  <si>
    <t>611|510</t>
  </si>
  <si>
    <t>563|590</t>
  </si>
  <si>
    <t>450|405</t>
  </si>
  <si>
    <t>558|589</t>
  </si>
  <si>
    <t>561|586</t>
  </si>
  <si>
    <t>563|582</t>
  </si>
  <si>
    <t>549|410</t>
  </si>
  <si>
    <t>424|420</t>
  </si>
  <si>
    <t>396|534</t>
  </si>
  <si>
    <t>446|403</t>
  </si>
  <si>
    <t>559|407</t>
  </si>
  <si>
    <t>509|490</t>
  </si>
  <si>
    <t>540|549</t>
  </si>
  <si>
    <t>497|447</t>
  </si>
  <si>
    <t>413|431</t>
  </si>
  <si>
    <t>444|405</t>
  </si>
  <si>
    <t>390|514</t>
  </si>
  <si>
    <t>400|451</t>
  </si>
  <si>
    <t>397|471</t>
  </si>
  <si>
    <t>399|487</t>
  </si>
  <si>
    <t>446|582</t>
  </si>
  <si>
    <t>436|422</t>
  </si>
  <si>
    <t>445|579</t>
  </si>
  <si>
    <t>419|423</t>
  </si>
  <si>
    <t>537|395</t>
  </si>
  <si>
    <t>560|591</t>
  </si>
  <si>
    <t>531|393</t>
  </si>
  <si>
    <t>576|415</t>
  </si>
  <si>
    <t>510|588</t>
  </si>
  <si>
    <t>423|420</t>
  </si>
  <si>
    <t>448|544</t>
  </si>
  <si>
    <t>396|540</t>
  </si>
  <si>
    <t>446|548</t>
  </si>
  <si>
    <t>588|567</t>
  </si>
  <si>
    <t>401|548</t>
  </si>
  <si>
    <t>562|412</t>
  </si>
  <si>
    <t>599|507</t>
  </si>
  <si>
    <t>476|408</t>
  </si>
  <si>
    <t>594|442</t>
  </si>
  <si>
    <t>490|611</t>
  </si>
  <si>
    <t>566|578</t>
  </si>
  <si>
    <t>606|521</t>
  </si>
  <si>
    <t>456|599</t>
  </si>
  <si>
    <t>407|443</t>
  </si>
  <si>
    <t>475|392</t>
  </si>
  <si>
    <t>435|576</t>
  </si>
  <si>
    <t>444|590</t>
  </si>
  <si>
    <t>456|598</t>
  </si>
  <si>
    <t>530|604</t>
  </si>
  <si>
    <t>417|428</t>
  </si>
  <si>
    <t>478|569</t>
  </si>
  <si>
    <t>608|504</t>
  </si>
  <si>
    <t>466|396</t>
  </si>
  <si>
    <t>435|585</t>
  </si>
  <si>
    <t>418|432</t>
  </si>
  <si>
    <t>393|475</t>
  </si>
  <si>
    <t>518|608</t>
  </si>
  <si>
    <t>411|436</t>
  </si>
  <si>
    <t>397|458</t>
  </si>
  <si>
    <t>473|407</t>
  </si>
  <si>
    <t>421|546</t>
  </si>
  <si>
    <t>548|403</t>
  </si>
  <si>
    <t>452|531</t>
  </si>
  <si>
    <t>478|392</t>
  </si>
  <si>
    <t>568|582</t>
  </si>
  <si>
    <t>603|531</t>
  </si>
  <si>
    <t>440|586</t>
  </si>
  <si>
    <t>398|508</t>
  </si>
  <si>
    <t>411|566</t>
  </si>
  <si>
    <t>395|525</t>
  </si>
  <si>
    <t>416|572</t>
  </si>
  <si>
    <t>480|388</t>
  </si>
  <si>
    <t>398|532</t>
  </si>
  <si>
    <t>585|432</t>
  </si>
  <si>
    <t>595|557</t>
  </si>
  <si>
    <t>605|467</t>
  </si>
  <si>
    <t>414|458</t>
  </si>
  <si>
    <t>430|585</t>
  </si>
  <si>
    <t>398|499</t>
  </si>
  <si>
    <t>419|529</t>
  </si>
  <si>
    <t>483|613</t>
  </si>
  <si>
    <t>486|404</t>
  </si>
  <si>
    <t>572|411</t>
  </si>
  <si>
    <t>423|550</t>
  </si>
  <si>
    <t>420|423</t>
  </si>
  <si>
    <t>395|470</t>
  </si>
  <si>
    <t>394|506</t>
  </si>
  <si>
    <t>524|606</t>
  </si>
  <si>
    <t>406|445</t>
  </si>
  <si>
    <t>597|449</t>
  </si>
  <si>
    <t>400|463</t>
  </si>
  <si>
    <t>472|427</t>
  </si>
  <si>
    <t>484|607</t>
  </si>
  <si>
    <t>520|607</t>
  </si>
  <si>
    <t>490|607</t>
  </si>
  <si>
    <t>395|469</t>
  </si>
  <si>
    <t>525|395</t>
  </si>
  <si>
    <t>459|460</t>
  </si>
  <si>
    <t>390|480</t>
  </si>
  <si>
    <t>468|410</t>
  </si>
  <si>
    <t>609|508</t>
  </si>
  <si>
    <t>596|460</t>
  </si>
  <si>
    <t>549|401</t>
  </si>
  <si>
    <t>478|601</t>
  </si>
  <si>
    <t>408|449</t>
  </si>
  <si>
    <t>544|400</t>
  </si>
  <si>
    <t>440|542</t>
  </si>
  <si>
    <t>478|608</t>
  </si>
  <si>
    <t>487|534</t>
  </si>
  <si>
    <t>522|557</t>
  </si>
  <si>
    <t>390|492</t>
  </si>
  <si>
    <t>587|441</t>
  </si>
  <si>
    <t>392|474</t>
  </si>
  <si>
    <t>396|536</t>
  </si>
  <si>
    <t>391|513</t>
  </si>
  <si>
    <t>526|395</t>
  </si>
  <si>
    <t>565|588</t>
  </si>
  <si>
    <t>424|419</t>
  </si>
  <si>
    <t>608|493</t>
  </si>
  <si>
    <t>509|608</t>
  </si>
  <si>
    <t>409|436</t>
  </si>
  <si>
    <t>576|575</t>
  </si>
  <si>
    <t>578|551</t>
  </si>
  <si>
    <t>477|393</t>
  </si>
  <si>
    <t>472|389</t>
  </si>
  <si>
    <t>611|500</t>
  </si>
  <si>
    <t>428|443</t>
  </si>
  <si>
    <t>558|593</t>
  </si>
  <si>
    <t>480|416</t>
  </si>
  <si>
    <t>597|448</t>
  </si>
  <si>
    <t>400|551</t>
  </si>
  <si>
    <t>403|546</t>
  </si>
  <si>
    <t>463|604</t>
  </si>
  <si>
    <t>486|610</t>
  </si>
  <si>
    <t>489|456</t>
  </si>
  <si>
    <t>607|508</t>
  </si>
  <si>
    <t>569|585</t>
  </si>
  <si>
    <t>426|421</t>
  </si>
  <si>
    <t>508|607</t>
  </si>
  <si>
    <t>454|401</t>
  </si>
  <si>
    <t>546|399</t>
  </si>
  <si>
    <t>434|589</t>
  </si>
  <si>
    <t>564|592</t>
  </si>
  <si>
    <t>497|385</t>
  </si>
  <si>
    <t>603|539</t>
  </si>
  <si>
    <t>556|584</t>
  </si>
  <si>
    <t>458|393</t>
  </si>
  <si>
    <t>392|510</t>
  </si>
  <si>
    <t>599|543</t>
  </si>
  <si>
    <t>523|394</t>
  </si>
  <si>
    <t>471|603</t>
  </si>
  <si>
    <t>527|394</t>
  </si>
  <si>
    <t>554|596</t>
  </si>
  <si>
    <t>477|607</t>
  </si>
  <si>
    <t>399|546</t>
  </si>
  <si>
    <t>427|417</t>
  </si>
  <si>
    <t>600|470</t>
  </si>
  <si>
    <t>494|444</t>
  </si>
  <si>
    <t>561|411</t>
  </si>
  <si>
    <t>601|454</t>
  </si>
  <si>
    <t>473|561</t>
  </si>
  <si>
    <t>454|408</t>
  </si>
  <si>
    <t>552|597</t>
  </si>
  <si>
    <t>549|404</t>
  </si>
  <si>
    <t>489|442</t>
  </si>
  <si>
    <t>578|436</t>
  </si>
  <si>
    <t>488|609</t>
  </si>
  <si>
    <t>508|609</t>
  </si>
  <si>
    <t>596|558</t>
  </si>
  <si>
    <t>476|598</t>
  </si>
  <si>
    <t>501|389</t>
  </si>
  <si>
    <t>451|411</t>
  </si>
  <si>
    <t>465|394</t>
  </si>
  <si>
    <t>481|609</t>
  </si>
  <si>
    <t>416|425</t>
  </si>
  <si>
    <t>594|449</t>
  </si>
  <si>
    <t>392|522</t>
  </si>
  <si>
    <t>527|608</t>
  </si>
  <si>
    <t>392|525</t>
  </si>
  <si>
    <t>598|450</t>
  </si>
  <si>
    <t>500|612</t>
  </si>
  <si>
    <t>393|484</t>
  </si>
  <si>
    <t>503|603</t>
  </si>
  <si>
    <t>420|579</t>
  </si>
  <si>
    <t>508|611</t>
  </si>
  <si>
    <t>553|598</t>
  </si>
  <si>
    <t>397|534</t>
  </si>
  <si>
    <t>511|527</t>
  </si>
  <si>
    <t>608|512</t>
  </si>
  <si>
    <t>594|448</t>
  </si>
  <si>
    <t>399|457</t>
  </si>
  <si>
    <t>559|593</t>
  </si>
  <si>
    <t>492|402</t>
  </si>
  <si>
    <t>399|460</t>
  </si>
  <si>
    <t>507|578</t>
  </si>
  <si>
    <t>399|548</t>
  </si>
  <si>
    <t>472|493</t>
  </si>
  <si>
    <t>463|425</t>
  </si>
  <si>
    <t>514|605</t>
  </si>
  <si>
    <t>444|591</t>
  </si>
  <si>
    <t>512|612</t>
  </si>
  <si>
    <t>520|609</t>
  </si>
  <si>
    <t>543|603</t>
  </si>
  <si>
    <t>505|614</t>
  </si>
  <si>
    <t>608|503</t>
  </si>
  <si>
    <t>611|495</t>
  </si>
  <si>
    <t>556|406</t>
  </si>
  <si>
    <t>394|534</t>
  </si>
  <si>
    <t>439|571</t>
  </si>
  <si>
    <t>402|454</t>
  </si>
  <si>
    <t>408|479</t>
  </si>
  <si>
    <t>387|512</t>
  </si>
  <si>
    <t>473|447</t>
  </si>
  <si>
    <t>583|428</t>
  </si>
  <si>
    <t>547|402</t>
  </si>
  <si>
    <t>406|559</t>
  </si>
  <si>
    <t>540|603</t>
  </si>
  <si>
    <t>394|520</t>
  </si>
  <si>
    <t>415|565</t>
  </si>
  <si>
    <t>540|599</t>
  </si>
  <si>
    <t>459|396</t>
  </si>
  <si>
    <t>565|406</t>
  </si>
  <si>
    <t>564|412</t>
  </si>
  <si>
    <t>565|417</t>
  </si>
  <si>
    <t>557|416</t>
  </si>
  <si>
    <t>392|531</t>
  </si>
  <si>
    <t>431|526</t>
  </si>
  <si>
    <t>593|559</t>
  </si>
  <si>
    <t>389|504</t>
  </si>
  <si>
    <t>584|570</t>
  </si>
  <si>
    <t>461|536</t>
  </si>
  <si>
    <t>392|521</t>
  </si>
  <si>
    <t>464|520</t>
  </si>
  <si>
    <t>485|389</t>
  </si>
  <si>
    <t>571|445</t>
  </si>
  <si>
    <t>416|446</t>
  </si>
  <si>
    <t>407|499</t>
  </si>
  <si>
    <t>441|406</t>
  </si>
  <si>
    <t>412|443</t>
  </si>
  <si>
    <t>397|523</t>
  </si>
  <si>
    <t>390|526</t>
  </si>
  <si>
    <t>602|543</t>
  </si>
  <si>
    <t>585|427</t>
  </si>
  <si>
    <t>439|594</t>
  </si>
  <si>
    <t>598|547</t>
  </si>
  <si>
    <t>417|438</t>
  </si>
  <si>
    <t>396|531</t>
  </si>
  <si>
    <t>577|580</t>
  </si>
  <si>
    <t>462|523</t>
  </si>
  <si>
    <t>579|438</t>
  </si>
  <si>
    <t>571|451</t>
  </si>
  <si>
    <t>475|390</t>
  </si>
  <si>
    <t>453|579</t>
  </si>
  <si>
    <t>566|590</t>
  </si>
  <si>
    <t>416|579</t>
  </si>
  <si>
    <t>588|565</t>
  </si>
  <si>
    <t>456|519</t>
  </si>
  <si>
    <t>596|551</t>
  </si>
  <si>
    <t>504|577</t>
  </si>
  <si>
    <t>472|604</t>
  </si>
  <si>
    <t>399|541</t>
  </si>
  <si>
    <t>556|596</t>
  </si>
  <si>
    <t>455|521</t>
  </si>
  <si>
    <t>393|512</t>
  </si>
  <si>
    <t>416|426</t>
  </si>
  <si>
    <t>488|611</t>
  </si>
  <si>
    <t>510|475</t>
  </si>
  <si>
    <t>392|478</t>
  </si>
  <si>
    <t>509|480</t>
  </si>
  <si>
    <t>461|522</t>
  </si>
  <si>
    <t>611|496</t>
  </si>
  <si>
    <t>446|594</t>
  </si>
  <si>
    <t>554|410</t>
  </si>
  <si>
    <t>563|598</t>
  </si>
  <si>
    <t>503|578</t>
  </si>
  <si>
    <t>607|528</t>
  </si>
  <si>
    <t>471|393</t>
  </si>
  <si>
    <t>608|484</t>
  </si>
  <si>
    <t>527|529</t>
  </si>
  <si>
    <t>610|482</t>
  </si>
  <si>
    <t>582|420</t>
  </si>
  <si>
    <t>471|397</t>
  </si>
  <si>
    <t>400|452</t>
  </si>
  <si>
    <t>494|593</t>
  </si>
  <si>
    <t>498|596</t>
  </si>
  <si>
    <t>599|446</t>
  </si>
  <si>
    <t>393|467</t>
  </si>
  <si>
    <t>413|568</t>
  </si>
  <si>
    <t>568|411</t>
  </si>
  <si>
    <t>389|499</t>
  </si>
  <si>
    <t>594|440</t>
  </si>
  <si>
    <t>454|403</t>
  </si>
  <si>
    <t>533|414</t>
  </si>
  <si>
    <t>389|494</t>
  </si>
  <si>
    <t>389|483</t>
  </si>
  <si>
    <t>430|551</t>
  </si>
  <si>
    <t>403|453</t>
  </si>
  <si>
    <t>451|409</t>
  </si>
  <si>
    <t>397|467</t>
  </si>
  <si>
    <t>493|611</t>
  </si>
  <si>
    <t>427|580</t>
  </si>
  <si>
    <t>409|441</t>
  </si>
  <si>
    <t>542|561</t>
  </si>
  <si>
    <t>609|534</t>
  </si>
  <si>
    <t>607|475</t>
  </si>
  <si>
    <t>491|459</t>
  </si>
  <si>
    <t>442|597</t>
  </si>
  <si>
    <t>539|392</t>
  </si>
  <si>
    <t>606|534</t>
  </si>
  <si>
    <t>525|607</t>
  </si>
  <si>
    <t>573|526</t>
  </si>
  <si>
    <t>438|462</t>
  </si>
  <si>
    <t>447|600</t>
  </si>
  <si>
    <t>478|395</t>
  </si>
  <si>
    <t>481|391</t>
  </si>
  <si>
    <t>469|606</t>
  </si>
  <si>
    <t>398|452</t>
  </si>
  <si>
    <t>499|389</t>
  </si>
  <si>
    <t>419|449</t>
  </si>
  <si>
    <t>447|571</t>
  </si>
  <si>
    <t>399|454</t>
  </si>
  <si>
    <t>589|431</t>
  </si>
  <si>
    <t>436|408</t>
  </si>
  <si>
    <t>512|593</t>
  </si>
  <si>
    <t>401|553</t>
  </si>
  <si>
    <t>485|582</t>
  </si>
  <si>
    <t>579|426</t>
  </si>
  <si>
    <t>394|516</t>
  </si>
  <si>
    <t>391|521</t>
  </si>
  <si>
    <t>511|464</t>
  </si>
  <si>
    <t>414|551</t>
  </si>
  <si>
    <t>400|457</t>
  </si>
  <si>
    <t>537|599</t>
  </si>
  <si>
    <t>490|549</t>
  </si>
  <si>
    <t>389|502</t>
  </si>
  <si>
    <t>543|607</t>
  </si>
  <si>
    <t>609|498</t>
  </si>
  <si>
    <t>601|546</t>
  </si>
  <si>
    <t>549|400</t>
  </si>
  <si>
    <t>608|469</t>
  </si>
  <si>
    <t>411|542</t>
  </si>
  <si>
    <t>480|461</t>
  </si>
  <si>
    <t>609|491</t>
  </si>
  <si>
    <t>443|404</t>
  </si>
  <si>
    <t>611|494</t>
  </si>
  <si>
    <t>433|589</t>
  </si>
  <si>
    <t>479|606</t>
  </si>
  <si>
    <t>475|410</t>
  </si>
  <si>
    <t>418|577</t>
  </si>
  <si>
    <t>387|503</t>
  </si>
  <si>
    <t>408|546</t>
  </si>
  <si>
    <t>442|592</t>
  </si>
  <si>
    <t>454|598</t>
  </si>
  <si>
    <t>543|396</t>
  </si>
  <si>
    <t>405|440</t>
  </si>
  <si>
    <t>416|574</t>
  </si>
  <si>
    <t>483|607</t>
  </si>
  <si>
    <t>582|578</t>
  </si>
  <si>
    <t>560|407</t>
  </si>
  <si>
    <t>580|574</t>
  </si>
  <si>
    <t>506|544</t>
  </si>
  <si>
    <t>536|604</t>
  </si>
  <si>
    <t>410|565</t>
  </si>
  <si>
    <t>403|553</t>
  </si>
  <si>
    <t>476|609</t>
  </si>
  <si>
    <t>518|611</t>
  </si>
  <si>
    <t>526|608</t>
  </si>
  <si>
    <t>511|530</t>
  </si>
  <si>
    <t>608|475</t>
  </si>
  <si>
    <t>448|412</t>
  </si>
  <si>
    <t>395|464</t>
  </si>
  <si>
    <t>390|523</t>
  </si>
  <si>
    <t>501|392</t>
  </si>
  <si>
    <t>600|532</t>
  </si>
  <si>
    <t>480|394</t>
  </si>
  <si>
    <t>604|476</t>
  </si>
  <si>
    <t>415|524</t>
  </si>
  <si>
    <t>487|414</t>
  </si>
  <si>
    <t>395|536</t>
  </si>
  <si>
    <t>516|609</t>
  </si>
  <si>
    <t>585|574</t>
  </si>
  <si>
    <t>564|408</t>
  </si>
  <si>
    <t>611|476</t>
  </si>
  <si>
    <t>563|405</t>
  </si>
  <si>
    <t>587|569</t>
  </si>
  <si>
    <t>392|523</t>
  </si>
  <si>
    <t>581|575</t>
  </si>
  <si>
    <t>518|609</t>
  </si>
  <si>
    <t>499|392</t>
  </si>
  <si>
    <t>453|394</t>
  </si>
  <si>
    <t>469|459</t>
  </si>
  <si>
    <t>605|542</t>
  </si>
  <si>
    <t>511|550</t>
  </si>
  <si>
    <t>422|420</t>
  </si>
  <si>
    <t>468|556</t>
  </si>
  <si>
    <t>443|497</t>
  </si>
  <si>
    <t>388|486</t>
  </si>
  <si>
    <t>577|417</t>
  </si>
  <si>
    <t>480|592</t>
  </si>
  <si>
    <t>436|591</t>
  </si>
  <si>
    <t>445|495</t>
  </si>
  <si>
    <t>573|584</t>
  </si>
  <si>
    <t>419|421</t>
  </si>
  <si>
    <t>500|550</t>
  </si>
  <si>
    <t>441|586</t>
  </si>
  <si>
    <t>582|559</t>
  </si>
  <si>
    <t>571|443</t>
  </si>
  <si>
    <t>556|421</t>
  </si>
  <si>
    <t>524|533</t>
  </si>
  <si>
    <t>608|516</t>
  </si>
  <si>
    <t>487|611</t>
  </si>
  <si>
    <t>515|392</t>
  </si>
  <si>
    <t>525|390</t>
  </si>
  <si>
    <t>480|391</t>
  </si>
  <si>
    <t>596|441</t>
  </si>
  <si>
    <t>403|444</t>
  </si>
  <si>
    <t>566|410</t>
  </si>
  <si>
    <t>522|391</t>
  </si>
  <si>
    <t>573|416</t>
  </si>
  <si>
    <t>605|534</t>
  </si>
  <si>
    <t>540|602</t>
  </si>
  <si>
    <t>532|392</t>
  </si>
  <si>
    <t>524|388</t>
  </si>
  <si>
    <t>518|394</t>
  </si>
  <si>
    <t>507|594</t>
  </si>
  <si>
    <t>573|414</t>
  </si>
  <si>
    <t>392|466</t>
  </si>
  <si>
    <t>608|495</t>
  </si>
  <si>
    <t>564|409</t>
  </si>
  <si>
    <t>391|503</t>
  </si>
  <si>
    <t>408|435</t>
  </si>
  <si>
    <t>433|595</t>
  </si>
  <si>
    <t>517|610</t>
  </si>
  <si>
    <t>390|525</t>
  </si>
  <si>
    <t>610|504</t>
  </si>
  <si>
    <t>397|456</t>
  </si>
  <si>
    <t>478|389</t>
  </si>
  <si>
    <t>562|593</t>
  </si>
  <si>
    <t>391|500</t>
  </si>
  <si>
    <t>607|545</t>
  </si>
  <si>
    <t>597|538</t>
  </si>
  <si>
    <t>610|538</t>
  </si>
  <si>
    <t>610|536</t>
  </si>
  <si>
    <t>539|396</t>
  </si>
  <si>
    <t>538|604</t>
  </si>
  <si>
    <t>405|438</t>
  </si>
  <si>
    <t>563|588</t>
  </si>
  <si>
    <t>526|607</t>
  </si>
  <si>
    <t>399|472</t>
  </si>
  <si>
    <t>509|524</t>
  </si>
  <si>
    <t>520|525</t>
  </si>
  <si>
    <t>518|531</t>
  </si>
  <si>
    <t>445|583</t>
  </si>
  <si>
    <t>417|426</t>
  </si>
  <si>
    <t>471|394</t>
  </si>
  <si>
    <t>611|518</t>
  </si>
  <si>
    <t>611|541</t>
  </si>
  <si>
    <t>525|391</t>
  </si>
  <si>
    <t>389|505</t>
  </si>
  <si>
    <t>575|582</t>
  </si>
  <si>
    <t>589|568</t>
  </si>
  <si>
    <t>604|543</t>
  </si>
  <si>
    <t>584|574</t>
  </si>
  <si>
    <t>448|400</t>
  </si>
  <si>
    <t>607|536</t>
  </si>
  <si>
    <t>563|599</t>
  </si>
  <si>
    <t>578|581</t>
  </si>
  <si>
    <t>592|566</t>
  </si>
  <si>
    <t>569|410</t>
  </si>
  <si>
    <t>550|398</t>
  </si>
  <si>
    <t>455|397</t>
  </si>
  <si>
    <t>403|556</t>
  </si>
  <si>
    <t>392|483</t>
  </si>
  <si>
    <t>586|426</t>
  </si>
  <si>
    <t>542|600</t>
  </si>
  <si>
    <t>433|409</t>
  </si>
  <si>
    <t>456|604</t>
  </si>
  <si>
    <t>552|596</t>
  </si>
  <si>
    <t>568|417</t>
  </si>
  <si>
    <t>485|608</t>
  </si>
  <si>
    <t>451|413</t>
  </si>
  <si>
    <t>454|398</t>
  </si>
  <si>
    <t>545|601</t>
  </si>
  <si>
    <t>612|518</t>
  </si>
  <si>
    <t>570|583</t>
  </si>
  <si>
    <t>410|431</t>
  </si>
  <si>
    <t>599|550</t>
  </si>
  <si>
    <t>459|538</t>
  </si>
  <si>
    <t>474|394</t>
  </si>
  <si>
    <t>570|588</t>
  </si>
  <si>
    <t>527|387</t>
  </si>
  <si>
    <t>527|393</t>
  </si>
  <si>
    <t>522|395</t>
  </si>
  <si>
    <t>610|500</t>
  </si>
  <si>
    <t>563|410</t>
  </si>
  <si>
    <t>535|394</t>
  </si>
  <si>
    <t>528|398</t>
  </si>
  <si>
    <t>401|454</t>
  </si>
  <si>
    <t>613|507</t>
  </si>
  <si>
    <t>579|420</t>
  </si>
  <si>
    <t>615|523</t>
  </si>
  <si>
    <t>611|526</t>
  </si>
  <si>
    <t>609|492</t>
  </si>
  <si>
    <t>454|399</t>
  </si>
  <si>
    <t>589|567</t>
  </si>
  <si>
    <t>589|564</t>
  </si>
  <si>
    <t>612|499</t>
  </si>
  <si>
    <t>524|389</t>
  </si>
  <si>
    <t>612|528</t>
  </si>
  <si>
    <t>585|572</t>
  </si>
  <si>
    <t>394|462</t>
  </si>
  <si>
    <t>607|472</t>
  </si>
  <si>
    <t>456|399</t>
  </si>
  <si>
    <t>568|537</t>
  </si>
  <si>
    <t>607|516</t>
  </si>
  <si>
    <t>528|606</t>
  </si>
  <si>
    <t>596|439</t>
  </si>
  <si>
    <t>394|539</t>
  </si>
  <si>
    <t>503|387</t>
  </si>
  <si>
    <t>465|607</t>
  </si>
  <si>
    <t>389|519</t>
  </si>
  <si>
    <t>568|407</t>
  </si>
  <si>
    <t>440|404</t>
  </si>
  <si>
    <t>500|604</t>
  </si>
  <si>
    <t>599|501</t>
  </si>
  <si>
    <t>443|597</t>
  </si>
  <si>
    <t>603|456</t>
  </si>
  <si>
    <t>389|514</t>
  </si>
  <si>
    <t>490|612</t>
  </si>
  <si>
    <t>398|453</t>
  </si>
  <si>
    <t>399|461</t>
  </si>
  <si>
    <t>543|398</t>
  </si>
  <si>
    <t>603|540</t>
  </si>
  <si>
    <t>538|508</t>
  </si>
  <si>
    <t>465|395</t>
  </si>
  <si>
    <t>397|548</t>
  </si>
  <si>
    <t>476|390</t>
  </si>
  <si>
    <t>601|457</t>
  </si>
  <si>
    <t>388|506</t>
  </si>
  <si>
    <t>595|561</t>
  </si>
  <si>
    <t>568|583</t>
  </si>
  <si>
    <t>441|597</t>
  </si>
  <si>
    <t>408|560</t>
  </si>
  <si>
    <t>476|610</t>
  </si>
  <si>
    <t>438|593</t>
  </si>
  <si>
    <t>529|611</t>
  </si>
  <si>
    <t>496|386</t>
  </si>
  <si>
    <t>582|428</t>
  </si>
  <si>
    <t>499|384</t>
  </si>
  <si>
    <t>404|555</t>
  </si>
  <si>
    <t>427|446</t>
  </si>
  <si>
    <t>570|412</t>
  </si>
  <si>
    <t>562|594</t>
  </si>
  <si>
    <t>507|422</t>
  </si>
  <si>
    <t>515|423</t>
  </si>
  <si>
    <t>544|603</t>
  </si>
  <si>
    <t>581|460</t>
  </si>
  <si>
    <t>437|594</t>
  </si>
  <si>
    <t>475|389</t>
  </si>
  <si>
    <t>388|505</t>
  </si>
  <si>
    <t>540|605</t>
  </si>
  <si>
    <t>476|404</t>
  </si>
  <si>
    <t>478|413</t>
  </si>
  <si>
    <t>554|458</t>
  </si>
  <si>
    <t>562|425</t>
  </si>
  <si>
    <t>559|600</t>
  </si>
  <si>
    <t>460|412</t>
  </si>
  <si>
    <t>596|442</t>
  </si>
  <si>
    <t>445|404</t>
  </si>
  <si>
    <t>523|393</t>
  </si>
  <si>
    <t>584|489</t>
  </si>
  <si>
    <t>413|571</t>
  </si>
  <si>
    <t>491|573</t>
  </si>
  <si>
    <t>473|394</t>
  </si>
  <si>
    <t>518|603</t>
  </si>
  <si>
    <t>547|413</t>
  </si>
  <si>
    <t>559|594</t>
  </si>
  <si>
    <t>443|415</t>
  </si>
  <si>
    <t>569|479</t>
  </si>
  <si>
    <t>393|529</t>
  </si>
  <si>
    <t>602|550</t>
  </si>
  <si>
    <t>488|613</t>
  </si>
  <si>
    <t>514|388</t>
  </si>
  <si>
    <t>473|518</t>
  </si>
  <si>
    <t>501|602</t>
  </si>
  <si>
    <t>442|560</t>
  </si>
  <si>
    <t>471|610</t>
  </si>
  <si>
    <t>431|418</t>
  </si>
  <si>
    <t>616|489</t>
  </si>
  <si>
    <t>553|597</t>
  </si>
  <si>
    <t>423|568</t>
  </si>
  <si>
    <t>595|566</t>
  </si>
  <si>
    <t>570|587</t>
  </si>
  <si>
    <t>589|428</t>
  </si>
  <si>
    <t>598|512</t>
  </si>
  <si>
    <t>568|577</t>
  </si>
  <si>
    <t>480|607</t>
  </si>
  <si>
    <t>603|471</t>
  </si>
  <si>
    <t>406|437</t>
  </si>
  <si>
    <t>540|489</t>
  </si>
  <si>
    <t>603|457</t>
  </si>
  <si>
    <t>402|512</t>
  </si>
  <si>
    <t>597|557</t>
  </si>
  <si>
    <t>386|508</t>
  </si>
  <si>
    <t>584|456</t>
  </si>
  <si>
    <t>566|411</t>
  </si>
  <si>
    <t>387|502</t>
  </si>
  <si>
    <t>392|538</t>
  </si>
  <si>
    <t>518|551</t>
  </si>
  <si>
    <t>453|397</t>
  </si>
  <si>
    <t>504|609</t>
  </si>
  <si>
    <t>449|583</t>
  </si>
  <si>
    <t>396|473</t>
  </si>
  <si>
    <t>399|450</t>
  </si>
  <si>
    <t>575|417</t>
  </si>
  <si>
    <t>503|610</t>
  </si>
  <si>
    <t>420|425</t>
  </si>
  <si>
    <t>475|401</t>
  </si>
  <si>
    <t>420|422</t>
  </si>
  <si>
    <t>479|416</t>
  </si>
  <si>
    <t>578|452</t>
  </si>
  <si>
    <t>404|553</t>
  </si>
  <si>
    <t>390|506</t>
  </si>
  <si>
    <t>459|605</t>
  </si>
  <si>
    <t>398|541</t>
  </si>
  <si>
    <t>393|524</t>
  </si>
  <si>
    <t>456|395</t>
  </si>
  <si>
    <t>428|585</t>
  </si>
  <si>
    <t>396|494</t>
  </si>
  <si>
    <t>594|436</t>
  </si>
  <si>
    <t>397|546</t>
  </si>
  <si>
    <t>402|548</t>
  </si>
  <si>
    <t>456|433</t>
  </si>
  <si>
    <t>515|535</t>
  </si>
  <si>
    <t>395|537</t>
  </si>
  <si>
    <t>448|416</t>
  </si>
  <si>
    <t>425|417</t>
  </si>
  <si>
    <t>403|460</t>
  </si>
  <si>
    <t>605|493</t>
  </si>
  <si>
    <t>515|389</t>
  </si>
  <si>
    <t>566|594</t>
  </si>
  <si>
    <t>528|394</t>
  </si>
  <si>
    <t>496|522</t>
  </si>
  <si>
    <t>501|509</t>
  </si>
  <si>
    <t>396|537</t>
  </si>
  <si>
    <t>388|517</t>
  </si>
  <si>
    <t>397|537</t>
  </si>
  <si>
    <t>615|506</t>
  </si>
  <si>
    <t>497|613</t>
  </si>
  <si>
    <t>386|519</t>
  </si>
  <si>
    <t>482|391</t>
  </si>
  <si>
    <t>544|415</t>
  </si>
  <si>
    <t>484|615</t>
  </si>
  <si>
    <t>576|586</t>
  </si>
  <si>
    <t>391|480</t>
  </si>
  <si>
    <t>576|421</t>
  </si>
  <si>
    <t>574|428</t>
  </si>
  <si>
    <t>595|439</t>
  </si>
  <si>
    <t>434|456</t>
  </si>
  <si>
    <t>607|465</t>
  </si>
  <si>
    <t>389|508</t>
  </si>
  <si>
    <t>564|431</t>
  </si>
  <si>
    <t>613|495</t>
  </si>
  <si>
    <t>565|593</t>
  </si>
  <si>
    <t>404|561</t>
  </si>
  <si>
    <t>417|432</t>
  </si>
  <si>
    <t>444|503</t>
  </si>
  <si>
    <t>439|597</t>
  </si>
  <si>
    <t>529|609</t>
  </si>
  <si>
    <t>455|395</t>
  </si>
  <si>
    <t>612|521</t>
  </si>
  <si>
    <t>498|613</t>
  </si>
  <si>
    <t>608|530</t>
  </si>
  <si>
    <t>484|488</t>
  </si>
  <si>
    <t>603|545</t>
  </si>
  <si>
    <t>465|396</t>
  </si>
  <si>
    <t>606|455</t>
  </si>
  <si>
    <t>601|551</t>
  </si>
  <si>
    <t>553|596</t>
  </si>
  <si>
    <t>609|485</t>
  </si>
  <si>
    <t>567|458</t>
  </si>
  <si>
    <t>615|490</t>
  </si>
  <si>
    <t>566|589</t>
  </si>
  <si>
    <t>531|390</t>
  </si>
  <si>
    <t>398|470</t>
  </si>
  <si>
    <t>450|491</t>
  </si>
  <si>
    <t>609|532</t>
  </si>
  <si>
    <t>530|582</t>
  </si>
  <si>
    <t>492|611</t>
  </si>
  <si>
    <t>515|387</t>
  </si>
  <si>
    <t>493|400</t>
  </si>
  <si>
    <t>482|465</t>
  </si>
  <si>
    <t>548|398</t>
  </si>
  <si>
    <t>422|557</t>
  </si>
  <si>
    <t>529|389</t>
  </si>
  <si>
    <t>464|408</t>
  </si>
  <si>
    <t>474|407</t>
  </si>
  <si>
    <t>386|488</t>
  </si>
  <si>
    <t>403|555</t>
  </si>
  <si>
    <t>432|408</t>
  </si>
  <si>
    <t>539|602</t>
  </si>
  <si>
    <t>536|392</t>
  </si>
  <si>
    <t>493|389</t>
  </si>
  <si>
    <t>593|558</t>
  </si>
  <si>
    <t>417|423</t>
  </si>
  <si>
    <t>438|561</t>
  </si>
  <si>
    <t>592|556</t>
  </si>
  <si>
    <t>418|421</t>
  </si>
  <si>
    <t>537|391</t>
  </si>
  <si>
    <t>598|448</t>
  </si>
  <si>
    <t>399|506</t>
  </si>
  <si>
    <t>610|473</t>
  </si>
  <si>
    <t>594|555</t>
  </si>
  <si>
    <t>416|576</t>
  </si>
  <si>
    <t>602|452</t>
  </si>
  <si>
    <t>441|573</t>
  </si>
  <si>
    <t>426|445</t>
  </si>
  <si>
    <t>493|387</t>
  </si>
  <si>
    <t>597|441</t>
  </si>
  <si>
    <t>614|488</t>
  </si>
  <si>
    <t>536|393</t>
  </si>
  <si>
    <t>438|423</t>
  </si>
  <si>
    <t>595|449</t>
  </si>
  <si>
    <t>399|542</t>
  </si>
  <si>
    <t>583|523</t>
  </si>
  <si>
    <t>387|510</t>
  </si>
  <si>
    <t>494|616</t>
  </si>
  <si>
    <t>494|386</t>
  </si>
  <si>
    <t>409|433</t>
  </si>
  <si>
    <t>529|607</t>
  </si>
  <si>
    <t>565|409</t>
  </si>
  <si>
    <t>597|443</t>
  </si>
  <si>
    <t>571|405</t>
  </si>
  <si>
    <t>588|434</t>
  </si>
  <si>
    <t>498|541</t>
  </si>
  <si>
    <t>527|606</t>
  </si>
  <si>
    <t>554|600</t>
  </si>
  <si>
    <t>613|488</t>
  </si>
  <si>
    <t>551|398</t>
  </si>
  <si>
    <t>539|395</t>
  </si>
  <si>
    <t>604|524</t>
  </si>
  <si>
    <t>470|610</t>
  </si>
  <si>
    <t>600|551</t>
  </si>
  <si>
    <t>592|561</t>
  </si>
  <si>
    <t>608|508</t>
  </si>
  <si>
    <t>443|403</t>
  </si>
  <si>
    <t>402|551</t>
  </si>
  <si>
    <t>463|606</t>
  </si>
  <si>
    <t>454|396</t>
  </si>
  <si>
    <t>576|585</t>
  </si>
  <si>
    <t>455|392</t>
  </si>
  <si>
    <t>409|432</t>
  </si>
  <si>
    <t>561|421</t>
  </si>
  <si>
    <t>428|411</t>
  </si>
  <si>
    <t>472|610</t>
  </si>
  <si>
    <t>386|510</t>
  </si>
  <si>
    <t>387|506</t>
  </si>
  <si>
    <t>390|485</t>
  </si>
  <si>
    <t>395|539</t>
  </si>
  <si>
    <t>419|422</t>
  </si>
  <si>
    <t>610|490</t>
  </si>
  <si>
    <t>545|497</t>
  </si>
  <si>
    <t>612|524</t>
  </si>
  <si>
    <t>388|509</t>
  </si>
  <si>
    <t>395|457</t>
  </si>
  <si>
    <t>457|604</t>
  </si>
  <si>
    <t>388|483</t>
  </si>
  <si>
    <t>483|389</t>
  </si>
  <si>
    <t>598|551</t>
  </si>
  <si>
    <t>419|527</t>
  </si>
  <si>
    <t>487|614</t>
  </si>
  <si>
    <t>438|402</t>
  </si>
  <si>
    <t>403|558</t>
  </si>
  <si>
    <t>457|517</t>
  </si>
  <si>
    <t>402|559</t>
  </si>
  <si>
    <t>560|406</t>
  </si>
  <si>
    <t>386|496</t>
  </si>
  <si>
    <t>608|522</t>
  </si>
  <si>
    <t>431|409</t>
  </si>
  <si>
    <t>529|519</t>
  </si>
  <si>
    <t>402|471</t>
  </si>
  <si>
    <t>391|536</t>
  </si>
  <si>
    <t>444|417</t>
  </si>
  <si>
    <t>493|615</t>
  </si>
  <si>
    <t>547|399</t>
  </si>
  <si>
    <t>538|605</t>
  </si>
  <si>
    <t>467|430</t>
  </si>
  <si>
    <t>510|432</t>
  </si>
  <si>
    <t>610|530</t>
  </si>
  <si>
    <t>613|516</t>
  </si>
  <si>
    <t>456|591</t>
  </si>
  <si>
    <t>451|396</t>
  </si>
  <si>
    <t>466|400</t>
  </si>
  <si>
    <t>525|610</t>
  </si>
  <si>
    <t>444|581</t>
  </si>
  <si>
    <t>475|577</t>
  </si>
  <si>
    <t>514|548</t>
  </si>
  <si>
    <t>613|502</t>
  </si>
  <si>
    <t>457|605</t>
  </si>
  <si>
    <t>489|418</t>
  </si>
  <si>
    <t>528|390</t>
  </si>
  <si>
    <t>554|461</t>
  </si>
  <si>
    <t>565|590</t>
  </si>
  <si>
    <t>389|523</t>
  </si>
  <si>
    <t>580|422</t>
  </si>
  <si>
    <t>387|517</t>
  </si>
  <si>
    <t>412|572</t>
  </si>
  <si>
    <t>389|501</t>
  </si>
  <si>
    <t>388|510</t>
  </si>
  <si>
    <t>512|613</t>
  </si>
  <si>
    <t>406|558</t>
  </si>
  <si>
    <t>460|394</t>
  </si>
  <si>
    <t>395|546</t>
  </si>
  <si>
    <t>398|451</t>
  </si>
  <si>
    <t>574|414</t>
  </si>
  <si>
    <t>607|502</t>
  </si>
  <si>
    <t>456|389</t>
  </si>
  <si>
    <t>589|566</t>
  </si>
  <si>
    <t>532|597</t>
  </si>
  <si>
    <t>439|405</t>
  </si>
  <si>
    <t>513|419</t>
  </si>
  <si>
    <t>530|391</t>
  </si>
  <si>
    <t>592|439</t>
  </si>
  <si>
    <t>394|467</t>
  </si>
  <si>
    <t>539|604</t>
  </si>
  <si>
    <t>602|512</t>
  </si>
  <si>
    <t>520|601</t>
  </si>
  <si>
    <t>573|481</t>
  </si>
  <si>
    <t>499|517</t>
  </si>
  <si>
    <t>492|389</t>
  </si>
  <si>
    <t>588|427</t>
  </si>
  <si>
    <t>535|604</t>
  </si>
  <si>
    <t>531|610</t>
  </si>
  <si>
    <t>535|609</t>
  </si>
  <si>
    <t>385|513</t>
  </si>
  <si>
    <t>489|611</t>
  </si>
  <si>
    <t>388|518</t>
  </si>
  <si>
    <t>521|611</t>
  </si>
  <si>
    <t>480|387</t>
  </si>
  <si>
    <t>502|387</t>
  </si>
  <si>
    <t>531|512</t>
  </si>
  <si>
    <t>453|395</t>
  </si>
  <si>
    <t>501|390</t>
  </si>
  <si>
    <t>487|383</t>
  </si>
  <si>
    <t>488|388</t>
  </si>
  <si>
    <t>491|391</t>
  </si>
  <si>
    <t>488|389</t>
  </si>
  <si>
    <t>473|389</t>
  </si>
  <si>
    <t>498|385</t>
  </si>
  <si>
    <t>523|465</t>
  </si>
  <si>
    <t>466|429</t>
  </si>
  <si>
    <t>401|558</t>
  </si>
  <si>
    <t>400|554</t>
  </si>
  <si>
    <t>600|452</t>
  </si>
  <si>
    <t>509|387</t>
  </si>
  <si>
    <t>396|464</t>
  </si>
  <si>
    <t>405|556</t>
  </si>
  <si>
    <t>563|562</t>
  </si>
  <si>
    <t>593|435</t>
  </si>
  <si>
    <t>390|481</t>
  </si>
  <si>
    <t>601|555</t>
  </si>
  <si>
    <t>423|415</t>
  </si>
  <si>
    <t>575|583</t>
  </si>
  <si>
    <t>455|559</t>
  </si>
  <si>
    <t>427|412</t>
  </si>
  <si>
    <t>530|608</t>
  </si>
  <si>
    <t>469|466</t>
  </si>
  <si>
    <t>584|424</t>
  </si>
  <si>
    <t>504|398</t>
  </si>
  <si>
    <t>507|613</t>
  </si>
  <si>
    <t>501|388</t>
  </si>
  <si>
    <t>577|579</t>
  </si>
  <si>
    <t>506|615</t>
  </si>
  <si>
    <t>595|560</t>
  </si>
  <si>
    <t>542|395</t>
  </si>
  <si>
    <t>609|522</t>
  </si>
  <si>
    <t>557|588</t>
  </si>
  <si>
    <t>613|515</t>
  </si>
  <si>
    <t>606|508</t>
  </si>
  <si>
    <t>385|497</t>
  </si>
  <si>
    <t>407|433</t>
  </si>
  <si>
    <t>409|439</t>
  </si>
  <si>
    <t>450|396</t>
  </si>
  <si>
    <t>545|396</t>
  </si>
  <si>
    <t>568|428</t>
  </si>
  <si>
    <t>445|601</t>
  </si>
  <si>
    <t>504|506</t>
  </si>
  <si>
    <t>600|480</t>
  </si>
  <si>
    <t>534|614</t>
  </si>
  <si>
    <t>410|568</t>
  </si>
  <si>
    <t>556|404</t>
  </si>
  <si>
    <t>415|559</t>
  </si>
  <si>
    <t>463|608</t>
  </si>
  <si>
    <t>429|413</t>
  </si>
  <si>
    <t>531|391</t>
  </si>
  <si>
    <t>520|391</t>
  </si>
  <si>
    <t>412|425</t>
  </si>
  <si>
    <t>441|596</t>
  </si>
  <si>
    <t>400|505</t>
  </si>
  <si>
    <t>401|444</t>
  </si>
  <si>
    <t>578|423</t>
  </si>
  <si>
    <t>566|432</t>
  </si>
  <si>
    <t>534|605</t>
  </si>
  <si>
    <t>598|561</t>
  </si>
  <si>
    <t>432|409</t>
  </si>
  <si>
    <t>568|439</t>
  </si>
  <si>
    <t>506|436</t>
  </si>
  <si>
    <t>396|548</t>
  </si>
  <si>
    <t>486|546</t>
  </si>
  <si>
    <t>601|510</t>
  </si>
  <si>
    <t>528|391</t>
  </si>
  <si>
    <t>613|482</t>
  </si>
  <si>
    <t>456|449</t>
  </si>
  <si>
    <t>528|604</t>
  </si>
  <si>
    <t>411|570</t>
  </si>
  <si>
    <t>465|609</t>
  </si>
  <si>
    <t>438|598</t>
  </si>
  <si>
    <t>528|608</t>
  </si>
  <si>
    <t>589|432</t>
  </si>
  <si>
    <t>412|574</t>
  </si>
  <si>
    <t>416|577</t>
  </si>
  <si>
    <t>536|489</t>
  </si>
  <si>
    <t>394|536</t>
  </si>
  <si>
    <t>610|470</t>
  </si>
  <si>
    <t>538|606</t>
  </si>
  <si>
    <t>407|498</t>
  </si>
  <si>
    <t>477|492</t>
  </si>
  <si>
    <t>401|502</t>
  </si>
  <si>
    <t>605|459</t>
  </si>
  <si>
    <t>539|394</t>
  </si>
  <si>
    <t>579|418</t>
  </si>
  <si>
    <t>506|616</t>
  </si>
  <si>
    <t>486|612</t>
  </si>
  <si>
    <t>525|432</t>
  </si>
  <si>
    <t>491|611</t>
  </si>
  <si>
    <t>454|395</t>
  </si>
  <si>
    <t>502|389</t>
  </si>
  <si>
    <t>394|538</t>
  </si>
  <si>
    <t>429|408</t>
  </si>
  <si>
    <t>394|533</t>
  </si>
  <si>
    <t>432|404</t>
  </si>
  <si>
    <t>541|606</t>
  </si>
  <si>
    <t>393|528</t>
  </si>
  <si>
    <t>396|554</t>
  </si>
  <si>
    <t>542|606</t>
  </si>
  <si>
    <t>551|602</t>
  </si>
  <si>
    <t>610|515</t>
  </si>
  <si>
    <t>543|611</t>
  </si>
  <si>
    <t>539|607</t>
  </si>
  <si>
    <t>433|417</t>
  </si>
  <si>
    <t>540|393</t>
  </si>
  <si>
    <t>526|391</t>
  </si>
  <si>
    <t>614|509</t>
  </si>
  <si>
    <t>405|566</t>
  </si>
  <si>
    <t>586|519</t>
  </si>
  <si>
    <t>615|507</t>
  </si>
  <si>
    <t>447|531</t>
  </si>
  <si>
    <t>501|384</t>
  </si>
  <si>
    <t>538|609</t>
  </si>
  <si>
    <t>592|562</t>
  </si>
  <si>
    <t>400|443</t>
  </si>
  <si>
    <t>528|610</t>
  </si>
  <si>
    <t>567|407</t>
  </si>
  <si>
    <t>505|616</t>
  </si>
  <si>
    <t>567|406</t>
  </si>
  <si>
    <t>616|493</t>
  </si>
  <si>
    <t>577|566</t>
  </si>
  <si>
    <t>537|407</t>
  </si>
  <si>
    <t>558|405</t>
  </si>
  <si>
    <t>468|389</t>
  </si>
  <si>
    <t>469|395</t>
  </si>
  <si>
    <t>493|388</t>
  </si>
  <si>
    <t>496|384</t>
  </si>
  <si>
    <t>498|582</t>
  </si>
  <si>
    <t>611|530</t>
  </si>
  <si>
    <t>495|386</t>
  </si>
  <si>
    <t>427|584</t>
  </si>
  <si>
    <t>485|394</t>
  </si>
  <si>
    <t>571|412</t>
  </si>
  <si>
    <t>555|404</t>
  </si>
  <si>
    <t>399|503</t>
  </si>
  <si>
    <t>386|492</t>
  </si>
  <si>
    <t>391|461</t>
  </si>
  <si>
    <t>403|549</t>
  </si>
  <si>
    <t>393|547</t>
  </si>
  <si>
    <t>484|497</t>
  </si>
  <si>
    <t>390|518</t>
  </si>
  <si>
    <t>432|587</t>
  </si>
  <si>
    <t>466|610</t>
  </si>
  <si>
    <t>589|565</t>
  </si>
  <si>
    <t>521|614</t>
  </si>
  <si>
    <t>563|462</t>
  </si>
  <si>
    <t>526|389</t>
  </si>
  <si>
    <t>410|571</t>
  </si>
  <si>
    <t>552|603</t>
  </si>
  <si>
    <t>609|465</t>
  </si>
  <si>
    <t>445|397</t>
  </si>
  <si>
    <t>559|597</t>
  </si>
  <si>
    <t>614|495</t>
  </si>
  <si>
    <t>547|599</t>
  </si>
  <si>
    <t>496|541</t>
  </si>
  <si>
    <t>616|501</t>
  </si>
  <si>
    <t>548|596</t>
  </si>
  <si>
    <t>618|498</t>
  </si>
  <si>
    <t>464|449</t>
  </si>
  <si>
    <t>576|583</t>
  </si>
  <si>
    <t>543|606</t>
  </si>
  <si>
    <t>470|389</t>
  </si>
  <si>
    <t>569|588</t>
  </si>
  <si>
    <t>388|521</t>
  </si>
  <si>
    <t>548|609</t>
  </si>
  <si>
    <t>462|393</t>
  </si>
  <si>
    <t>553|603</t>
  </si>
  <si>
    <t>410|567</t>
  </si>
  <si>
    <t>614|487</t>
  </si>
  <si>
    <t>430|587</t>
  </si>
  <si>
    <t>388|493</t>
  </si>
  <si>
    <t>388|536</t>
  </si>
  <si>
    <t>388|516</t>
  </si>
  <si>
    <t>462|394</t>
  </si>
  <si>
    <t>555|597</t>
  </si>
  <si>
    <t>464|394</t>
  </si>
  <si>
    <t>440|432</t>
  </si>
  <si>
    <t>518|614</t>
  </si>
  <si>
    <t>431|408</t>
  </si>
  <si>
    <t>536|573</t>
  </si>
  <si>
    <t>457|606</t>
  </si>
  <si>
    <t>430|409</t>
  </si>
  <si>
    <t>474|609</t>
  </si>
  <si>
    <t>409|571</t>
  </si>
  <si>
    <t>616|503</t>
  </si>
  <si>
    <t>496|614</t>
  </si>
  <si>
    <t>594|564</t>
  </si>
  <si>
    <t>539|389</t>
  </si>
  <si>
    <t>559|405</t>
  </si>
  <si>
    <t>581|417</t>
  </si>
  <si>
    <t>592|432</t>
  </si>
  <si>
    <t>590|424</t>
  </si>
  <si>
    <t>585|428</t>
  </si>
  <si>
    <t>408|527</t>
  </si>
  <si>
    <t>571|409</t>
  </si>
  <si>
    <t>426|418</t>
  </si>
  <si>
    <t>409|431</t>
  </si>
  <si>
    <t>616|492</t>
  </si>
  <si>
    <t>461|394</t>
  </si>
  <si>
    <t>606|535</t>
  </si>
  <si>
    <t>384|492</t>
  </si>
  <si>
    <t>406|564</t>
  </si>
  <si>
    <t>589|526</t>
  </si>
  <si>
    <t>439|402</t>
  </si>
  <si>
    <t>614|480</t>
  </si>
  <si>
    <t>424|414</t>
  </si>
  <si>
    <t>407|567</t>
  </si>
  <si>
    <t>553|600</t>
  </si>
  <si>
    <t>419|544</t>
  </si>
  <si>
    <t>388|528</t>
  </si>
  <si>
    <t>583|419</t>
  </si>
  <si>
    <t>573|415</t>
  </si>
  <si>
    <t>588|428</t>
  </si>
  <si>
    <t>594|545</t>
  </si>
  <si>
    <t>611|492</t>
  </si>
  <si>
    <t>564|520</t>
  </si>
  <si>
    <t>498|401</t>
  </si>
  <si>
    <t>486|388</t>
  </si>
  <si>
    <t>523|606</t>
  </si>
  <si>
    <t>435|590</t>
  </si>
  <si>
    <t>614|477</t>
  </si>
  <si>
    <t>481|458</t>
  </si>
  <si>
    <t>439|596</t>
  </si>
  <si>
    <t>475|585</t>
  </si>
  <si>
    <t>387|507</t>
  </si>
  <si>
    <t>455|396</t>
  </si>
  <si>
    <t>498|465</t>
  </si>
  <si>
    <t>598|447</t>
  </si>
  <si>
    <t>606|453</t>
  </si>
  <si>
    <t>447|592</t>
  </si>
  <si>
    <t>403|557</t>
  </si>
  <si>
    <t>405|433</t>
  </si>
  <si>
    <t>424|586</t>
  </si>
  <si>
    <t>389|542</t>
  </si>
  <si>
    <t>396|461</t>
  </si>
  <si>
    <t>608|460</t>
  </si>
  <si>
    <t>616|511</t>
  </si>
  <si>
    <t>428|412</t>
  </si>
  <si>
    <t>430|406</t>
  </si>
  <si>
    <t>467|610</t>
  </si>
  <si>
    <t>577|416</t>
  </si>
  <si>
    <t>394|540</t>
  </si>
  <si>
    <t>562|592</t>
  </si>
  <si>
    <t>419|520</t>
  </si>
  <si>
    <t>454|525</t>
  </si>
  <si>
    <t>396|457</t>
  </si>
  <si>
    <t>490|615</t>
  </si>
  <si>
    <t>483|568</t>
  </si>
  <si>
    <t>475|557</t>
  </si>
  <si>
    <t>464|610</t>
  </si>
  <si>
    <t>439|403</t>
  </si>
  <si>
    <t>394|498</t>
  </si>
  <si>
    <t>471|563</t>
  </si>
  <si>
    <t>501|528</t>
  </si>
  <si>
    <t>614|479</t>
  </si>
  <si>
    <t>490|399</t>
  </si>
  <si>
    <t>612|516</t>
  </si>
  <si>
    <t>489|389</t>
  </si>
  <si>
    <t>449|400</t>
  </si>
  <si>
    <t>455|606</t>
  </si>
  <si>
    <t>425|560</t>
  </si>
  <si>
    <t>410|432</t>
  </si>
  <si>
    <t>428|410</t>
  </si>
  <si>
    <t>386|506</t>
  </si>
  <si>
    <t>446|398</t>
  </si>
  <si>
    <t>615|482</t>
  </si>
  <si>
    <t>541|437</t>
  </si>
  <si>
    <t>392|534</t>
  </si>
  <si>
    <t>557|590</t>
  </si>
  <si>
    <t>613|517</t>
  </si>
  <si>
    <t>421|418</t>
  </si>
  <si>
    <t>388|513</t>
  </si>
  <si>
    <t>592|565</t>
  </si>
  <si>
    <t>437|403</t>
  </si>
  <si>
    <t>509|613</t>
  </si>
  <si>
    <t>492|386</t>
  </si>
  <si>
    <t>533|388</t>
  </si>
  <si>
    <t>583|422</t>
  </si>
  <si>
    <t>612|523</t>
  </si>
  <si>
    <t>589|427</t>
  </si>
  <si>
    <t>401|542</t>
  </si>
  <si>
    <t>510|613</t>
  </si>
  <si>
    <t>398|455</t>
  </si>
  <si>
    <t>584|576</t>
  </si>
  <si>
    <t>571|589</t>
  </si>
  <si>
    <t>431|412</t>
  </si>
  <si>
    <t>461|610</t>
  </si>
  <si>
    <t>436|592</t>
  </si>
  <si>
    <t>614|494</t>
  </si>
  <si>
    <t>515|388</t>
  </si>
  <si>
    <t>537|606</t>
  </si>
  <si>
    <t>441|408</t>
  </si>
  <si>
    <t>431|565</t>
  </si>
  <si>
    <t>385|489</t>
  </si>
  <si>
    <t>565|597</t>
  </si>
  <si>
    <t>389|524</t>
  </si>
  <si>
    <t>442|402</t>
  </si>
  <si>
    <t>496|534</t>
  </si>
  <si>
    <t>602|553</t>
  </si>
  <si>
    <t>514|538</t>
  </si>
  <si>
    <t>617|493</t>
  </si>
  <si>
    <t>508|543</t>
  </si>
  <si>
    <t>395|552</t>
  </si>
  <si>
    <t>526|413</t>
  </si>
  <si>
    <t>554|602</t>
  </si>
  <si>
    <t>601|484</t>
  </si>
  <si>
    <t>440|452</t>
  </si>
  <si>
    <t>587|440</t>
  </si>
  <si>
    <t>396|451</t>
  </si>
  <si>
    <t>465|392</t>
  </si>
  <si>
    <t>403|436</t>
  </si>
  <si>
    <t>600|442</t>
  </si>
  <si>
    <t>613|472</t>
  </si>
  <si>
    <t>467|390</t>
  </si>
  <si>
    <t>434|407</t>
  </si>
  <si>
    <t>557|497</t>
  </si>
  <si>
    <t>538|571</t>
  </si>
  <si>
    <t>411|569</t>
  </si>
  <si>
    <t>499|466</t>
  </si>
  <si>
    <t>615|516</t>
  </si>
  <si>
    <t>574|511</t>
  </si>
  <si>
    <t>405|532</t>
  </si>
  <si>
    <t>614|502</t>
  </si>
  <si>
    <t>588|569</t>
  </si>
  <si>
    <t>550|521</t>
  </si>
  <si>
    <t>389|522</t>
  </si>
  <si>
    <t>430|410</t>
  </si>
  <si>
    <t>395|450</t>
  </si>
  <si>
    <t>426|413</t>
  </si>
  <si>
    <t>604|456</t>
  </si>
  <si>
    <t>592|573</t>
  </si>
  <si>
    <t>426|422</t>
  </si>
  <si>
    <t>429|412</t>
  </si>
  <si>
    <t>582|417</t>
  </si>
  <si>
    <t>437|411</t>
  </si>
  <si>
    <t>428|413</t>
  </si>
  <si>
    <t>407|564</t>
  </si>
  <si>
    <t>593|568</t>
  </si>
  <si>
    <t>604|446</t>
  </si>
  <si>
    <t>600|444</t>
  </si>
  <si>
    <t>602|445</t>
  </si>
  <si>
    <t>581|422</t>
  </si>
  <si>
    <t>387|466</t>
  </si>
  <si>
    <t>611|497</t>
  </si>
  <si>
    <t>611|503</t>
  </si>
  <si>
    <t>478|614</t>
  </si>
  <si>
    <t>527|389</t>
  </si>
  <si>
    <t>592|564</t>
  </si>
  <si>
    <t>408|570</t>
  </si>
  <si>
    <t>446|502</t>
  </si>
  <si>
    <t>571|408</t>
  </si>
  <si>
    <t>610|539</t>
  </si>
  <si>
    <t>562|404</t>
  </si>
  <si>
    <t>601|449</t>
  </si>
  <si>
    <t>385|481</t>
  </si>
  <si>
    <t>600|552</t>
  </si>
  <si>
    <t>402|438</t>
  </si>
  <si>
    <t>423|588</t>
  </si>
  <si>
    <t>576|419</t>
  </si>
  <si>
    <t>417|548</t>
  </si>
  <si>
    <t>605|472</t>
  </si>
  <si>
    <t>440|504</t>
  </si>
  <si>
    <t>391|550</t>
  </si>
  <si>
    <t>497|537</t>
  </si>
  <si>
    <t>564|593</t>
  </si>
  <si>
    <t>395|538</t>
  </si>
  <si>
    <t>417|581</t>
  </si>
  <si>
    <t>393|538</t>
  </si>
  <si>
    <t>619|496</t>
  </si>
  <si>
    <t>390|538</t>
  </si>
  <si>
    <t>581|570</t>
  </si>
  <si>
    <t>580|580</t>
  </si>
  <si>
    <t>496|460</t>
  </si>
  <si>
    <t>386|517</t>
  </si>
  <si>
    <t>388|527</t>
  </si>
  <si>
    <t>439|497</t>
  </si>
  <si>
    <t>548|601</t>
  </si>
  <si>
    <t>460|591</t>
  </si>
  <si>
    <t>579|581</t>
  </si>
  <si>
    <t>486|462</t>
  </si>
  <si>
    <t>448|403</t>
  </si>
  <si>
    <t>605|545</t>
  </si>
  <si>
    <t>563|404</t>
  </si>
  <si>
    <t>387|489</t>
  </si>
  <si>
    <t>546|605</t>
  </si>
  <si>
    <t>389|515</t>
  </si>
  <si>
    <t>387|519</t>
  </si>
  <si>
    <t>453|398</t>
  </si>
  <si>
    <t>490|460</t>
  </si>
  <si>
    <t>445|401</t>
  </si>
  <si>
    <t>453|392</t>
  </si>
  <si>
    <t>416|518</t>
  </si>
  <si>
    <t>438|597</t>
  </si>
  <si>
    <t>461|387</t>
  </si>
  <si>
    <t>449|393</t>
  </si>
  <si>
    <t>446|460</t>
  </si>
  <si>
    <t>395|543</t>
  </si>
  <si>
    <t>511|385</t>
  </si>
  <si>
    <t>428|591</t>
  </si>
  <si>
    <t>442|399</t>
  </si>
  <si>
    <t>401|443</t>
  </si>
  <si>
    <t>569|594</t>
  </si>
  <si>
    <t>552|398</t>
  </si>
  <si>
    <t>385|507</t>
  </si>
  <si>
    <t>504|613</t>
  </si>
  <si>
    <t>522|613</t>
  </si>
  <si>
    <t>401|557</t>
  </si>
  <si>
    <t>553|601</t>
  </si>
  <si>
    <t>406|503</t>
  </si>
  <si>
    <t>597|440</t>
  </si>
  <si>
    <t>521|612</t>
  </si>
  <si>
    <t>402|494</t>
  </si>
  <si>
    <t>466|393</t>
  </si>
  <si>
    <t>463|393</t>
  </si>
  <si>
    <t>576|417</t>
  </si>
  <si>
    <t>451|605</t>
  </si>
  <si>
    <t>567|594</t>
  </si>
  <si>
    <t>409|570</t>
  </si>
  <si>
    <t>614|499</t>
  </si>
  <si>
    <t>386|514</t>
  </si>
  <si>
    <t>596|561</t>
  </si>
  <si>
    <t>605|551</t>
  </si>
  <si>
    <t>403|494</t>
  </si>
  <si>
    <t>438|599</t>
  </si>
  <si>
    <t>394|547</t>
  </si>
  <si>
    <t>605|454</t>
  </si>
  <si>
    <t>394|460</t>
  </si>
  <si>
    <t>514|394</t>
  </si>
  <si>
    <t>526|388</t>
  </si>
  <si>
    <t>564|586</t>
  </si>
  <si>
    <t>582|582</t>
  </si>
  <si>
    <t>530|612</t>
  </si>
  <si>
    <t>405|437</t>
  </si>
  <si>
    <t>585|422</t>
  </si>
  <si>
    <t>496|473</t>
  </si>
  <si>
    <t>566|405</t>
  </si>
  <si>
    <t>402|558</t>
  </si>
  <si>
    <t>614|521</t>
  </si>
  <si>
    <t>393|453</t>
  </si>
  <si>
    <t>594|543</t>
  </si>
  <si>
    <t>574|412</t>
  </si>
  <si>
    <t>474|432</t>
  </si>
  <si>
    <t>468|550</t>
  </si>
  <si>
    <t>443|399</t>
  </si>
  <si>
    <t>596|445</t>
  </si>
  <si>
    <t>435|406</t>
  </si>
  <si>
    <t>496|515</t>
  </si>
  <si>
    <t>430|540</t>
  </si>
  <si>
    <t>542|598</t>
  </si>
  <si>
    <t>478|439</t>
  </si>
  <si>
    <t>422|586</t>
  </si>
  <si>
    <t>421|421</t>
  </si>
  <si>
    <t>599|481</t>
  </si>
  <si>
    <t>583|424</t>
  </si>
  <si>
    <t>383|488</t>
  </si>
  <si>
    <t>497|614</t>
  </si>
  <si>
    <t>394|535</t>
  </si>
  <si>
    <t>503|518</t>
  </si>
  <si>
    <t>426|412</t>
  </si>
  <si>
    <t>544|393</t>
  </si>
  <si>
    <t>616|532</t>
  </si>
  <si>
    <t>572|585</t>
  </si>
  <si>
    <t>477|612</t>
  </si>
  <si>
    <t>615|532</t>
  </si>
  <si>
    <t>449|458</t>
  </si>
  <si>
    <t>614|491</t>
  </si>
  <si>
    <t>616|525</t>
  </si>
  <si>
    <t>446|401</t>
  </si>
  <si>
    <t>483|616</t>
  </si>
  <si>
    <t>540|608</t>
  </si>
  <si>
    <t>608|536</t>
  </si>
  <si>
    <t>479|612</t>
  </si>
  <si>
    <t>425|591</t>
  </si>
  <si>
    <t>474|608</t>
  </si>
  <si>
    <t>385|499</t>
  </si>
  <si>
    <t>476|387</t>
  </si>
  <si>
    <t>420|583</t>
  </si>
  <si>
    <t>591|434</t>
  </si>
  <si>
    <t>435|589</t>
  </si>
  <si>
    <t>581|425</t>
  </si>
  <si>
    <t>598|564</t>
  </si>
  <si>
    <t>550|395</t>
  </si>
  <si>
    <t>388|500</t>
  </si>
  <si>
    <t>563|403</t>
  </si>
  <si>
    <t>519|385</t>
  </si>
  <si>
    <t>432|410</t>
  </si>
  <si>
    <t>585|580</t>
  </si>
  <si>
    <t>561|565</t>
  </si>
  <si>
    <t>547|393</t>
  </si>
  <si>
    <t>525|393</t>
  </si>
  <si>
    <t>410|498</t>
  </si>
  <si>
    <t>602|455</t>
  </si>
  <si>
    <t>612|505</t>
  </si>
  <si>
    <t>584|422</t>
  </si>
  <si>
    <t>577|581</t>
  </si>
  <si>
    <t>586|572</t>
  </si>
  <si>
    <t>454|603</t>
  </si>
  <si>
    <t>408|544</t>
  </si>
  <si>
    <t>603|542</t>
  </si>
  <si>
    <t>542|607</t>
  </si>
  <si>
    <t>429|407</t>
  </si>
  <si>
    <t>578|582</t>
  </si>
  <si>
    <t>485|388</t>
  </si>
  <si>
    <t>388|525</t>
  </si>
  <si>
    <t>386|475</t>
  </si>
  <si>
    <t>391|535</t>
  </si>
  <si>
    <t>451|395</t>
  </si>
  <si>
    <t>563|408</t>
  </si>
  <si>
    <t>397|453</t>
  </si>
  <si>
    <t>401|552</t>
  </si>
  <si>
    <t>465|608</t>
  </si>
  <si>
    <t>568|592</t>
  </si>
  <si>
    <t>487|615</t>
  </si>
  <si>
    <t>483|615</t>
  </si>
  <si>
    <t>414|425</t>
  </si>
  <si>
    <t>557|402</t>
  </si>
  <si>
    <t>440|571</t>
  </si>
  <si>
    <t>553|590</t>
  </si>
  <si>
    <t>482|385</t>
  </si>
  <si>
    <t>399|451</t>
  </si>
  <si>
    <t>413|423</t>
  </si>
  <si>
    <t>400|560</t>
  </si>
  <si>
    <t>474|605</t>
  </si>
  <si>
    <t>387|490</t>
  </si>
  <si>
    <t>419|514</t>
  </si>
  <si>
    <t>396|547</t>
  </si>
  <si>
    <t>550|605</t>
  </si>
  <si>
    <t>389|525</t>
  </si>
  <si>
    <t>552|602</t>
  </si>
  <si>
    <t>386|489</t>
  </si>
  <si>
    <t>419|584</t>
  </si>
  <si>
    <t>392|456</t>
  </si>
  <si>
    <t>516|586</t>
  </si>
  <si>
    <t>406|486</t>
  </si>
  <si>
    <t>429|410</t>
  </si>
  <si>
    <t>444|401</t>
  </si>
  <si>
    <t>389|518</t>
  </si>
  <si>
    <t>500|384</t>
  </si>
  <si>
    <t>530|387</t>
  </si>
  <si>
    <t>614|519</t>
  </si>
  <si>
    <t>615|519</t>
  </si>
  <si>
    <t>612|510</t>
  </si>
  <si>
    <t>614|513</t>
  </si>
  <si>
    <t>506|473</t>
  </si>
  <si>
    <t>610|476</t>
  </si>
  <si>
    <t>407|569</t>
  </si>
  <si>
    <t>444|548</t>
  </si>
  <si>
    <t>579|416</t>
  </si>
  <si>
    <t>482|573</t>
  </si>
  <si>
    <t>619|512</t>
  </si>
  <si>
    <t>481|579</t>
  </si>
  <si>
    <t>562|589</t>
  </si>
  <si>
    <t>504|614</t>
  </si>
  <si>
    <t>493|458</t>
  </si>
  <si>
    <t>569|409</t>
  </si>
  <si>
    <t>397|553</t>
  </si>
  <si>
    <t>476|611</t>
  </si>
  <si>
    <t>586|428</t>
  </si>
  <si>
    <t>465|606</t>
  </si>
  <si>
    <t>391|540</t>
  </si>
  <si>
    <t>544|424</t>
  </si>
  <si>
    <t>606|522</t>
  </si>
  <si>
    <t>616|513</t>
  </si>
  <si>
    <t>501|617</t>
  </si>
  <si>
    <t>498|383</t>
  </si>
  <si>
    <t>613|521</t>
  </si>
  <si>
    <t>386|507</t>
  </si>
  <si>
    <t>385|512</t>
  </si>
  <si>
    <t>387|505</t>
  </si>
  <si>
    <t>548|395</t>
  </si>
  <si>
    <t>595|567</t>
  </si>
  <si>
    <t>502|615</t>
  </si>
  <si>
    <t>432|406</t>
  </si>
  <si>
    <t>393|468</t>
  </si>
  <si>
    <t>435|404</t>
  </si>
  <si>
    <t>615|476</t>
  </si>
  <si>
    <t>518|612</t>
  </si>
  <si>
    <t>411|428</t>
  </si>
  <si>
    <t>399|442</t>
  </si>
  <si>
    <t>507|385</t>
  </si>
  <si>
    <t>497|581</t>
  </si>
  <si>
    <t>566|593</t>
  </si>
  <si>
    <t>587|577</t>
  </si>
  <si>
    <t>566|599</t>
  </si>
  <si>
    <t>494|465</t>
  </si>
  <si>
    <t>474|599</t>
  </si>
  <si>
    <t>556|595</t>
  </si>
  <si>
    <t>387|491</t>
  </si>
  <si>
    <t>457|608</t>
  </si>
  <si>
    <t>387|500</t>
  </si>
  <si>
    <t>511|474</t>
  </si>
  <si>
    <t>470|611</t>
  </si>
  <si>
    <t>504|387</t>
  </si>
  <si>
    <t>415|566</t>
  </si>
  <si>
    <t>612|474</t>
  </si>
  <si>
    <t>408|495</t>
  </si>
  <si>
    <t>403|497</t>
  </si>
  <si>
    <t>586|577</t>
  </si>
  <si>
    <t>536|611</t>
  </si>
  <si>
    <t>475|553</t>
  </si>
  <si>
    <t>569|593</t>
  </si>
  <si>
    <t>549|601</t>
  </si>
  <si>
    <t>478|612</t>
  </si>
  <si>
    <t>414|572</t>
  </si>
  <si>
    <t>413|575</t>
  </si>
  <si>
    <t>422|413</t>
  </si>
  <si>
    <t>591|432</t>
  </si>
  <si>
    <t>570|407</t>
  </si>
  <si>
    <t>448|396</t>
  </si>
  <si>
    <t>489|385</t>
  </si>
  <si>
    <t>388|530</t>
  </si>
  <si>
    <t>575|585</t>
  </si>
  <si>
    <t>398|446</t>
  </si>
  <si>
    <t>550|604</t>
  </si>
  <si>
    <t>599|438</t>
  </si>
  <si>
    <t>402|563</t>
  </si>
  <si>
    <t>438|596</t>
  </si>
  <si>
    <t>572|409</t>
  </si>
  <si>
    <t>446|596</t>
  </si>
  <si>
    <t>414|426</t>
  </si>
  <si>
    <t>467|607</t>
  </si>
  <si>
    <t>564|404</t>
  </si>
  <si>
    <t>412|495</t>
  </si>
  <si>
    <t>383|505</t>
  </si>
  <si>
    <t>415|420</t>
  </si>
  <si>
    <t>614|474</t>
  </si>
  <si>
    <t>526|610</t>
  </si>
  <si>
    <t>525|611</t>
  </si>
  <si>
    <t>533|389</t>
  </si>
  <si>
    <t>570|410</t>
  </si>
  <si>
    <t>415|575</t>
  </si>
  <si>
    <t>509|385</t>
  </si>
  <si>
    <t>610|461</t>
  </si>
  <si>
    <t>390|532</t>
  </si>
  <si>
    <t>502|561</t>
  </si>
  <si>
    <t>393|454</t>
  </si>
  <si>
    <t>533|610</t>
  </si>
  <si>
    <t>414|579</t>
  </si>
  <si>
    <t>607|542</t>
  </si>
  <si>
    <t>495|388</t>
  </si>
  <si>
    <t>407|479</t>
  </si>
  <si>
    <t>540|594</t>
  </si>
  <si>
    <t>483|384</t>
  </si>
  <si>
    <t>616|491</t>
  </si>
  <si>
    <t>418|416</t>
  </si>
  <si>
    <t>603|476</t>
  </si>
  <si>
    <t>468|392</t>
  </si>
  <si>
    <t>407|566</t>
  </si>
  <si>
    <t>570|592</t>
  </si>
  <si>
    <t>464|611</t>
  </si>
  <si>
    <t>421|585</t>
  </si>
  <si>
    <t>407|471</t>
  </si>
  <si>
    <t>524|600</t>
  </si>
  <si>
    <t>390|462</t>
  </si>
  <si>
    <t>424|408</t>
  </si>
  <si>
    <t>504|615</t>
  </si>
  <si>
    <t>548|603</t>
  </si>
  <si>
    <t>579|580</t>
  </si>
  <si>
    <t>577|578</t>
  </si>
  <si>
    <t>548|607</t>
  </si>
  <si>
    <t>495|385</t>
  </si>
  <si>
    <t>616|518</t>
  </si>
  <si>
    <t>508|385</t>
  </si>
  <si>
    <t>391|471</t>
  </si>
  <si>
    <t>387|497</t>
  </si>
  <si>
    <t>429|409</t>
  </si>
  <si>
    <t>580|416</t>
  </si>
  <si>
    <t>387|492</t>
  </si>
  <si>
    <t>617|509</t>
  </si>
  <si>
    <t>505|394</t>
  </si>
  <si>
    <t>524|602</t>
  </si>
  <si>
    <t>444|598</t>
  </si>
  <si>
    <t>594|432</t>
  </si>
  <si>
    <t>593|567</t>
  </si>
  <si>
    <t>588|422</t>
  </si>
  <si>
    <t>514|614</t>
  </si>
  <si>
    <t>388|531</t>
  </si>
  <si>
    <t>429|587</t>
  </si>
  <si>
    <t>500|453</t>
  </si>
  <si>
    <t>499|385</t>
  </si>
  <si>
    <t>396|546</t>
  </si>
  <si>
    <t>598|556</t>
  </si>
  <si>
    <t>601|440</t>
  </si>
  <si>
    <t>458|391</t>
  </si>
  <si>
    <t>577|588</t>
  </si>
  <si>
    <t>598|442</t>
  </si>
  <si>
    <t>439|601</t>
  </si>
  <si>
    <t>593|443</t>
  </si>
  <si>
    <t>596|437</t>
  </si>
  <si>
    <t>405|529</t>
  </si>
  <si>
    <t>435|409</t>
  </si>
  <si>
    <t>500|390</t>
  </si>
  <si>
    <t>423|582</t>
  </si>
  <si>
    <t>506|383</t>
  </si>
  <si>
    <t>518|383</t>
  </si>
  <si>
    <t>504|389</t>
  </si>
  <si>
    <t>393|535</t>
  </si>
  <si>
    <t>464|401</t>
  </si>
  <si>
    <t>438|538</t>
  </si>
  <si>
    <t>461|393</t>
  </si>
  <si>
    <t>393|544</t>
  </si>
  <si>
    <t>394|537</t>
  </si>
  <si>
    <t>613|520</t>
  </si>
  <si>
    <t>464|607</t>
  </si>
  <si>
    <t>506|385</t>
  </si>
  <si>
    <t>573|411</t>
  </si>
  <si>
    <t>515|385</t>
  </si>
  <si>
    <t>492|615</t>
  </si>
  <si>
    <t>433|596</t>
  </si>
  <si>
    <t>470|613</t>
  </si>
  <si>
    <t>540|610</t>
  </si>
  <si>
    <t>414|559</t>
  </si>
  <si>
    <t>506|391</t>
  </si>
  <si>
    <t>446|414</t>
  </si>
  <si>
    <t>434|580</t>
  </si>
  <si>
    <t>504|395</t>
  </si>
  <si>
    <t>499|530</t>
  </si>
  <si>
    <t>458|394</t>
  </si>
  <si>
    <t>487|613</t>
  </si>
  <si>
    <t>414|423</t>
  </si>
  <si>
    <t>463|389</t>
  </si>
  <si>
    <t>542|393</t>
  </si>
  <si>
    <t>449|396</t>
  </si>
  <si>
    <t>442|401</t>
  </si>
  <si>
    <t>519|613</t>
  </si>
  <si>
    <t>517|411</t>
  </si>
  <si>
    <t>481|389</t>
  </si>
  <si>
    <t>598|555</t>
  </si>
  <si>
    <t>488|386</t>
  </si>
  <si>
    <t>537|609</t>
  </si>
  <si>
    <t>607|541</t>
  </si>
  <si>
    <t>529|394</t>
  </si>
  <si>
    <t>503|559</t>
  </si>
  <si>
    <t>531|389</t>
  </si>
  <si>
    <t>503|613</t>
  </si>
  <si>
    <t>593|427</t>
  </si>
  <si>
    <t>498|608</t>
  </si>
  <si>
    <t>503|604</t>
  </si>
  <si>
    <t>441|398</t>
  </si>
  <si>
    <t>502|610</t>
  </si>
  <si>
    <t>387|526</t>
  </si>
  <si>
    <t>560|596</t>
  </si>
  <si>
    <t>592|567</t>
  </si>
  <si>
    <t>617|495</t>
  </si>
  <si>
    <t>505|603</t>
  </si>
  <si>
    <t>402|555</t>
  </si>
  <si>
    <t>503|617</t>
  </si>
  <si>
    <t>499|616</t>
  </si>
  <si>
    <t>460|390</t>
  </si>
  <si>
    <t>501|611</t>
  </si>
  <si>
    <t>502|607</t>
  </si>
  <si>
    <t>500|617</t>
  </si>
  <si>
    <t>527|611</t>
  </si>
  <si>
    <t>452|587</t>
  </si>
  <si>
    <t>541|395</t>
  </si>
  <si>
    <t>609|471</t>
  </si>
  <si>
    <t>609|533</t>
  </si>
  <si>
    <t>575|416</t>
  </si>
  <si>
    <t>603|501</t>
  </si>
  <si>
    <t>525|385</t>
  </si>
  <si>
    <t>594|572</t>
  </si>
  <si>
    <t>422|583</t>
  </si>
  <si>
    <t>527|614</t>
  </si>
  <si>
    <t>610|460</t>
  </si>
  <si>
    <t>509|382</t>
  </si>
  <si>
    <t>470|550</t>
  </si>
  <si>
    <t>401|447</t>
  </si>
  <si>
    <t>510|607</t>
  </si>
  <si>
    <t>603|546</t>
  </si>
  <si>
    <t>496|601</t>
  </si>
  <si>
    <t>498|603</t>
  </si>
  <si>
    <t>571|591</t>
  </si>
  <si>
    <t>500|615</t>
  </si>
  <si>
    <t>496|615</t>
  </si>
  <si>
    <t>492|613</t>
  </si>
  <si>
    <t>518|615</t>
  </si>
  <si>
    <t>495|616</t>
  </si>
  <si>
    <t>615|483</t>
  </si>
  <si>
    <t>584|418</t>
  </si>
  <si>
    <t>477|386</t>
  </si>
  <si>
    <t>482|616</t>
  </si>
  <si>
    <t>428|592</t>
  </si>
  <si>
    <t>485|615</t>
  </si>
  <si>
    <t>396|448</t>
  </si>
  <si>
    <t>507|456</t>
  </si>
  <si>
    <t>587|424</t>
  </si>
  <si>
    <t>384|512</t>
  </si>
  <si>
    <t>388|515</t>
  </si>
  <si>
    <t>545|393</t>
  </si>
  <si>
    <t>387|518</t>
  </si>
  <si>
    <t>548|606</t>
  </si>
  <si>
    <t>568|404</t>
  </si>
  <si>
    <t>462|439</t>
  </si>
  <si>
    <t>577|583</t>
  </si>
  <si>
    <t>549|393</t>
  </si>
  <si>
    <t>392|453</t>
  </si>
  <si>
    <t>596|569</t>
  </si>
  <si>
    <t>451|532</t>
  </si>
  <si>
    <t>574|596</t>
  </si>
  <si>
    <t>617|519</t>
  </si>
  <si>
    <t>395|553</t>
  </si>
  <si>
    <t>568|588</t>
  </si>
  <si>
    <t>453|493</t>
  </si>
  <si>
    <t>442|400</t>
  </si>
  <si>
    <t>519|386</t>
  </si>
  <si>
    <t>597|439</t>
  </si>
  <si>
    <t>470|605</t>
  </si>
  <si>
    <t>559|599</t>
  </si>
  <si>
    <t>546|493</t>
  </si>
  <si>
    <t>430|418</t>
  </si>
  <si>
    <t>565|594</t>
  </si>
  <si>
    <t>440|403</t>
  </si>
  <si>
    <t>393|543</t>
  </si>
  <si>
    <t>514|617</t>
  </si>
  <si>
    <t>472|609</t>
  </si>
  <si>
    <t>478|385</t>
  </si>
  <si>
    <t>437|593</t>
  </si>
  <si>
    <t>605|447</t>
  </si>
  <si>
    <t>570|405</t>
  </si>
  <si>
    <t>507|620</t>
  </si>
  <si>
    <t>383|485</t>
  </si>
  <si>
    <t>467|392</t>
  </si>
  <si>
    <t>510|614</t>
  </si>
  <si>
    <t>408|578</t>
  </si>
  <si>
    <t>404|432</t>
  </si>
  <si>
    <t>592|429</t>
  </si>
  <si>
    <t>427|421</t>
  </si>
  <si>
    <t>416|416</t>
  </si>
  <si>
    <t>521|615</t>
  </si>
  <si>
    <t>414|421</t>
  </si>
  <si>
    <t>420|420</t>
  </si>
  <si>
    <t>585|425</t>
  </si>
  <si>
    <t>613|477</t>
  </si>
  <si>
    <t>516|614</t>
  </si>
  <si>
    <t>487|384</t>
  </si>
  <si>
    <t>418|418</t>
  </si>
  <si>
    <t>596|434</t>
  </si>
  <si>
    <t>491|385</t>
  </si>
  <si>
    <t>516|616</t>
  </si>
  <si>
    <t>409|569</t>
  </si>
  <si>
    <t>423|587</t>
  </si>
  <si>
    <t>520|616</t>
  </si>
  <si>
    <t>618|506</t>
  </si>
  <si>
    <t>444|397</t>
  </si>
  <si>
    <t>613|519</t>
  </si>
  <si>
    <t>583|423</t>
  </si>
  <si>
    <t>503|618</t>
  </si>
  <si>
    <t>614|475</t>
  </si>
  <si>
    <t>580|581</t>
  </si>
  <si>
    <t>398|444</t>
  </si>
  <si>
    <t>617|513</t>
  </si>
  <si>
    <t>575|587</t>
  </si>
  <si>
    <t>403|486</t>
  </si>
  <si>
    <t>449|515</t>
  </si>
  <si>
    <t>386|483</t>
  </si>
  <si>
    <t>472|390</t>
  </si>
  <si>
    <t>603|445</t>
  </si>
  <si>
    <t>418|415</t>
  </si>
  <si>
    <t>581|586</t>
  </si>
  <si>
    <t>550|607</t>
  </si>
  <si>
    <t>606|452</t>
  </si>
  <si>
    <t>584|585</t>
  </si>
  <si>
    <t>437|598</t>
  </si>
  <si>
    <t>506|617</t>
  </si>
  <si>
    <t>530|609</t>
  </si>
  <si>
    <t>586|580</t>
  </si>
  <si>
    <t>529|388</t>
  </si>
  <si>
    <t>502|587</t>
  </si>
  <si>
    <t>605|458</t>
  </si>
  <si>
    <t>491|386</t>
  </si>
  <si>
    <t>446|496</t>
  </si>
  <si>
    <t>615|529</t>
  </si>
  <si>
    <t>430|411</t>
  </si>
  <si>
    <t>579|419</t>
  </si>
  <si>
    <t>414|420</t>
  </si>
  <si>
    <t>499|399</t>
  </si>
  <si>
    <t>409|467</t>
  </si>
  <si>
    <t>425|416</t>
  </si>
  <si>
    <t>598|558</t>
  </si>
  <si>
    <t>382|505</t>
  </si>
  <si>
    <t>518|610</t>
  </si>
  <si>
    <t>617|515</t>
  </si>
  <si>
    <t>460|389</t>
  </si>
  <si>
    <t>612|514</t>
  </si>
  <si>
    <t>516|613</t>
  </si>
  <si>
    <t>530|390</t>
  </si>
  <si>
    <t>545|392</t>
  </si>
  <si>
    <t>472|499</t>
  </si>
  <si>
    <t>505|379</t>
  </si>
  <si>
    <t>512|621</t>
  </si>
  <si>
    <t>574|409</t>
  </si>
  <si>
    <t>416|418</t>
  </si>
  <si>
    <t>444|602</t>
  </si>
  <si>
    <t>516|387</t>
  </si>
  <si>
    <t>411|571</t>
  </si>
  <si>
    <t>548|420</t>
  </si>
  <si>
    <t>455|608</t>
  </si>
  <si>
    <t>566|407</t>
  </si>
  <si>
    <t>386|521</t>
  </si>
  <si>
    <t>517|614</t>
  </si>
  <si>
    <t>468|390</t>
  </si>
  <si>
    <t>600|440</t>
  </si>
  <si>
    <t>412|428</t>
  </si>
  <si>
    <t>385|482</t>
  </si>
  <si>
    <t>403|438</t>
  </si>
  <si>
    <t>578|585</t>
  </si>
  <si>
    <t>524|425</t>
  </si>
  <si>
    <t>453|396</t>
  </si>
  <si>
    <t>401|434</t>
  </si>
  <si>
    <t>491|469</t>
  </si>
  <si>
    <t>591|429</t>
  </si>
  <si>
    <t>456|392</t>
  </si>
  <si>
    <t>486|617</t>
  </si>
  <si>
    <t>453|393</t>
  </si>
  <si>
    <t>490|618</t>
  </si>
  <si>
    <t>558|403</t>
  </si>
  <si>
    <t>482|615</t>
  </si>
  <si>
    <t>397|559</t>
  </si>
  <si>
    <t>413|420</t>
  </si>
  <si>
    <t>407|572</t>
  </si>
  <si>
    <t>396|556</t>
  </si>
  <si>
    <t>487|618</t>
  </si>
  <si>
    <t>443|397</t>
  </si>
  <si>
    <t>433|410</t>
  </si>
  <si>
    <t>493|617</t>
  </si>
  <si>
    <t>419|585</t>
  </si>
  <si>
    <t>515|384</t>
  </si>
  <si>
    <t>421|410</t>
  </si>
  <si>
    <t>614|531</t>
  </si>
  <si>
    <t>449|398</t>
  </si>
  <si>
    <t>397|527</t>
  </si>
  <si>
    <t>489|387</t>
  </si>
  <si>
    <t>545|582</t>
  </si>
  <si>
    <t>395|534</t>
  </si>
  <si>
    <t>416|417</t>
  </si>
  <si>
    <t>388|537</t>
  </si>
  <si>
    <t>428|405</t>
  </si>
  <si>
    <t>471|524</t>
  </si>
  <si>
    <t>427|410</t>
  </si>
  <si>
    <t>604|445</t>
  </si>
  <si>
    <t>611|521</t>
  </si>
  <si>
    <t>568|405</t>
  </si>
  <si>
    <t>438|404</t>
  </si>
  <si>
    <t>420|581</t>
  </si>
  <si>
    <t>421|581</t>
  </si>
  <si>
    <t>411|453</t>
  </si>
  <si>
    <t>418|588</t>
  </si>
  <si>
    <t>425|587</t>
  </si>
  <si>
    <t>508|615</t>
  </si>
  <si>
    <t>495|615</t>
  </si>
  <si>
    <t>537|611</t>
  </si>
  <si>
    <t>464|387</t>
  </si>
  <si>
    <t>613|483</t>
  </si>
  <si>
    <t>467|388</t>
  </si>
  <si>
    <t>444|399</t>
  </si>
  <si>
    <t>404|565</t>
  </si>
  <si>
    <t>423|583</t>
  </si>
  <si>
    <t>613|511</t>
  </si>
  <si>
    <t>419|419</t>
  </si>
  <si>
    <t>387|520</t>
  </si>
  <si>
    <t>517|382</t>
  </si>
  <si>
    <t>513|616</t>
  </si>
  <si>
    <t>462|388</t>
  </si>
  <si>
    <t>526|384</t>
  </si>
  <si>
    <t>604|448</t>
  </si>
  <si>
    <t>524|391</t>
  </si>
  <si>
    <t>444|391</t>
  </si>
  <si>
    <t>590|426</t>
  </si>
  <si>
    <t>421|567</t>
  </si>
  <si>
    <t>393|450</t>
  </si>
  <si>
    <t>599|555</t>
  </si>
  <si>
    <t>419|557</t>
  </si>
  <si>
    <t>446|400</t>
  </si>
  <si>
    <t>523|472</t>
  </si>
  <si>
    <t>613|533</t>
  </si>
  <si>
    <t>419|581</t>
  </si>
  <si>
    <t>425|585</t>
  </si>
  <si>
    <t>592|447</t>
  </si>
  <si>
    <t>599|440</t>
  </si>
  <si>
    <t>562|403</t>
  </si>
  <si>
    <t>539|436</t>
  </si>
  <si>
    <t>564|401</t>
  </si>
  <si>
    <t>590|425</t>
  </si>
  <si>
    <t>405|570</t>
  </si>
  <si>
    <t>602|554</t>
  </si>
  <si>
    <t>463|611</t>
  </si>
  <si>
    <t>600|564</t>
  </si>
  <si>
    <t>418|442</t>
  </si>
  <si>
    <t>415|427</t>
  </si>
  <si>
    <t>382|508</t>
  </si>
  <si>
    <t>408|576</t>
  </si>
  <si>
    <t>389|511</t>
  </si>
  <si>
    <t>386|505</t>
  </si>
  <si>
    <t>414|435</t>
  </si>
  <si>
    <t>409|430</t>
  </si>
  <si>
    <t>582|580</t>
  </si>
  <si>
    <t>390|457</t>
  </si>
  <si>
    <t>422|440</t>
  </si>
  <si>
    <t>398|552</t>
  </si>
  <si>
    <t>384|489</t>
  </si>
  <si>
    <t>556|400</t>
  </si>
  <si>
    <t>597|561</t>
  </si>
  <si>
    <t>422|589</t>
  </si>
  <si>
    <t>608|533</t>
  </si>
  <si>
    <t>535|483</t>
  </si>
  <si>
    <t>612|473</t>
  </si>
  <si>
    <t>506|382</t>
  </si>
  <si>
    <t>390|468</t>
  </si>
  <si>
    <t>549|608</t>
  </si>
  <si>
    <t>487|617</t>
  </si>
  <si>
    <t>390|471</t>
  </si>
  <si>
    <t>498|379</t>
  </si>
  <si>
    <t>504|379</t>
  </si>
  <si>
    <t>496|378</t>
  </si>
  <si>
    <t>540|391</t>
  </si>
  <si>
    <t>572|591</t>
  </si>
  <si>
    <t>606|504</t>
  </si>
  <si>
    <t>617|526</t>
  </si>
  <si>
    <t>578|412</t>
  </si>
  <si>
    <t>610|511</t>
  </si>
  <si>
    <t>412|426</t>
  </si>
  <si>
    <t>499|379</t>
  </si>
  <si>
    <t>457|395</t>
  </si>
  <si>
    <t>469|613</t>
  </si>
  <si>
    <t>610|471</t>
  </si>
  <si>
    <t>383|503</t>
  </si>
  <si>
    <t>503|384</t>
  </si>
  <si>
    <t>505|381</t>
  </si>
  <si>
    <t>506|386</t>
  </si>
  <si>
    <t>417|416</t>
  </si>
  <si>
    <t>383|519</t>
  </si>
  <si>
    <t>609|531</t>
  </si>
  <si>
    <t>537|389</t>
  </si>
  <si>
    <t>614|482</t>
  </si>
  <si>
    <t>457|610</t>
  </si>
  <si>
    <t>390|550</t>
  </si>
  <si>
    <t>515|386</t>
  </si>
  <si>
    <t>436|597</t>
  </si>
  <si>
    <t>602|552</t>
  </si>
  <si>
    <t>603|554</t>
  </si>
  <si>
    <t>387|482</t>
  </si>
  <si>
    <t>523|389</t>
  </si>
  <si>
    <t>384|511</t>
  </si>
  <si>
    <t>563|596</t>
  </si>
  <si>
    <t>449|607</t>
  </si>
  <si>
    <t>440|398</t>
  </si>
  <si>
    <t>544|443</t>
  </si>
  <si>
    <t>398|558</t>
  </si>
  <si>
    <t>559|400</t>
  </si>
  <si>
    <t>607|461</t>
  </si>
  <si>
    <t>615|502</t>
  </si>
  <si>
    <t>617|483</t>
  </si>
  <si>
    <t>532|391</t>
  </si>
  <si>
    <t>545|604</t>
  </si>
  <si>
    <t>391|464</t>
  </si>
  <si>
    <t>613|486</t>
  </si>
  <si>
    <t>388|472</t>
  </si>
  <si>
    <t>604|547</t>
  </si>
  <si>
    <t>570|594</t>
  </si>
  <si>
    <t>572|406</t>
  </si>
  <si>
    <t>405|428</t>
  </si>
  <si>
    <t>390|537</t>
  </si>
  <si>
    <t>388|464</t>
  </si>
  <si>
    <t>520|613</t>
  </si>
  <si>
    <t>583|417</t>
  </si>
  <si>
    <t>397|552</t>
  </si>
  <si>
    <t>466|389</t>
  </si>
  <si>
    <t>545|566</t>
  </si>
  <si>
    <t>571|502</t>
  </si>
  <si>
    <t>617|479</t>
  </si>
  <si>
    <t>382|510</t>
  </si>
  <si>
    <t>426|535</t>
  </si>
  <si>
    <t>549|395</t>
  </si>
  <si>
    <t>595|437</t>
  </si>
  <si>
    <t>598|566</t>
  </si>
  <si>
    <t>615|499</t>
  </si>
  <si>
    <t>405|429</t>
  </si>
  <si>
    <t>421|439</t>
  </si>
  <si>
    <t>384|490</t>
  </si>
  <si>
    <t>386|494</t>
  </si>
  <si>
    <t>610|502</t>
  </si>
  <si>
    <t>500|614</t>
  </si>
  <si>
    <t>538|517</t>
  </si>
  <si>
    <t>382|496</t>
  </si>
  <si>
    <t>425|586</t>
  </si>
  <si>
    <t>617|492</t>
  </si>
  <si>
    <t>618|509</t>
  </si>
  <si>
    <t>519|609</t>
  </si>
  <si>
    <t>385|477</t>
  </si>
  <si>
    <t>546|394</t>
  </si>
  <si>
    <t>425|431</t>
  </si>
  <si>
    <t>399|439</t>
  </si>
  <si>
    <t>530|614</t>
  </si>
  <si>
    <t>439|501</t>
  </si>
  <si>
    <t>587|425</t>
  </si>
  <si>
    <t>608|548</t>
  </si>
  <si>
    <t>388|478</t>
  </si>
  <si>
    <t>399|443</t>
  </si>
  <si>
    <t>554|601</t>
  </si>
  <si>
    <t>459|391</t>
  </si>
  <si>
    <t>511|618</t>
  </si>
  <si>
    <t>506|618</t>
  </si>
  <si>
    <t>420|440</t>
  </si>
  <si>
    <t>507|615</t>
  </si>
  <si>
    <t>445|605</t>
  </si>
  <si>
    <t>412|576</t>
  </si>
  <si>
    <t>391|460</t>
  </si>
  <si>
    <t>490|455</t>
  </si>
  <si>
    <t>442|603</t>
  </si>
  <si>
    <t>580|414</t>
  </si>
  <si>
    <t>465|386</t>
  </si>
  <si>
    <t>567|404</t>
  </si>
  <si>
    <t>413|427</t>
  </si>
  <si>
    <t>407|430</t>
  </si>
  <si>
    <t>615|511</t>
  </si>
  <si>
    <t>407|429</t>
  </si>
  <si>
    <t>511|610</t>
  </si>
  <si>
    <t>596|568</t>
  </si>
  <si>
    <t>512|617</t>
  </si>
  <si>
    <t>526|556</t>
  </si>
  <si>
    <t>476|617</t>
  </si>
  <si>
    <t>573|587</t>
  </si>
  <si>
    <t>511|382</t>
  </si>
  <si>
    <t>511|616</t>
  </si>
  <si>
    <t>403|561</t>
  </si>
  <si>
    <t>389|529</t>
  </si>
  <si>
    <t>519|396</t>
  </si>
  <si>
    <t>390|519</t>
  </si>
  <si>
    <t>499|618</t>
  </si>
  <si>
    <t>607|458</t>
  </si>
  <si>
    <t>469|386</t>
  </si>
  <si>
    <t>445|395</t>
  </si>
  <si>
    <t>525|384</t>
  </si>
  <si>
    <t>592|433</t>
  </si>
  <si>
    <t>443|405</t>
  </si>
  <si>
    <t>565|403</t>
  </si>
  <si>
    <t>444|411</t>
  </si>
  <si>
    <t>440|402</t>
  </si>
  <si>
    <t>423|564</t>
  </si>
  <si>
    <t>594|566</t>
  </si>
  <si>
    <t>510|382</t>
  </si>
  <si>
    <t>535|391</t>
  </si>
  <si>
    <t>618|505</t>
  </si>
  <si>
    <t>407|434</t>
  </si>
  <si>
    <t>536|391</t>
  </si>
  <si>
    <t>467|612</t>
  </si>
  <si>
    <t>508|383</t>
  </si>
  <si>
    <t>570|436</t>
  </si>
  <si>
    <t>598|435</t>
  </si>
  <si>
    <t>616|509</t>
  </si>
  <si>
    <t>400|435</t>
  </si>
  <si>
    <t>594|570</t>
  </si>
  <si>
    <t>405|569</t>
  </si>
  <si>
    <t>519|614</t>
  </si>
  <si>
    <t>569|407</t>
  </si>
  <si>
    <t>425|592</t>
  </si>
  <si>
    <t>613|530</t>
  </si>
  <si>
    <t>533|606</t>
  </si>
  <si>
    <t>595|564</t>
  </si>
  <si>
    <t>418|417</t>
  </si>
  <si>
    <t>570|591</t>
  </si>
  <si>
    <t>614|510</t>
  </si>
  <si>
    <t>420|415</t>
  </si>
  <si>
    <t>500|508</t>
  </si>
  <si>
    <t>490|384</t>
  </si>
  <si>
    <t>392|544</t>
  </si>
  <si>
    <t>430|595</t>
  </si>
  <si>
    <t>572|405</t>
  </si>
  <si>
    <t>414|418</t>
  </si>
  <si>
    <t>567|405</t>
  </si>
  <si>
    <t>470|387</t>
  </si>
  <si>
    <t>402|437</t>
  </si>
  <si>
    <t>570|589</t>
  </si>
  <si>
    <t>505|468</t>
  </si>
  <si>
    <t>387|525</t>
  </si>
  <si>
    <t>431|578</t>
  </si>
  <si>
    <t>403|528</t>
  </si>
  <si>
    <t>565|404</t>
  </si>
  <si>
    <t>391|533</t>
  </si>
  <si>
    <t>405|521</t>
  </si>
  <si>
    <t>452|609</t>
  </si>
  <si>
    <t>491|384</t>
  </si>
  <si>
    <t>397|554</t>
  </si>
  <si>
    <t>382|471</t>
  </si>
  <si>
    <t>393|550</t>
  </si>
  <si>
    <t>384|493</t>
  </si>
  <si>
    <t>401|539</t>
  </si>
  <si>
    <t>516|618</t>
  </si>
  <si>
    <t>454|390</t>
  </si>
  <si>
    <t>474|385</t>
  </si>
  <si>
    <t>503|584</t>
  </si>
  <si>
    <t>514|528</t>
  </si>
  <si>
    <t>421|428</t>
  </si>
  <si>
    <t>497|616</t>
  </si>
  <si>
    <t>391|543</t>
  </si>
  <si>
    <t>585|576</t>
  </si>
  <si>
    <t>551|604</t>
  </si>
  <si>
    <t>617|511</t>
  </si>
  <si>
    <t>585|426</t>
  </si>
  <si>
    <t>461|613</t>
  </si>
  <si>
    <t>585|429</t>
  </si>
  <si>
    <t>489|411</t>
  </si>
  <si>
    <t>591|431</t>
  </si>
  <si>
    <t>602|546</t>
  </si>
  <si>
    <t>593|431</t>
  </si>
  <si>
    <t>472|614</t>
  </si>
  <si>
    <t>418|433</t>
  </si>
  <si>
    <t>409|572</t>
  </si>
  <si>
    <t>427|593</t>
  </si>
  <si>
    <t>384|488</t>
  </si>
  <si>
    <t>418|580</t>
  </si>
  <si>
    <t>413|572</t>
  </si>
  <si>
    <t>415|577</t>
  </si>
  <si>
    <t>602|556</t>
  </si>
  <si>
    <t>408|571</t>
  </si>
  <si>
    <t>546|391</t>
  </si>
  <si>
    <t>478|617</t>
  </si>
  <si>
    <t>611|533</t>
  </si>
  <si>
    <t>443|601</t>
  </si>
  <si>
    <t>522|611</t>
  </si>
  <si>
    <t>510|619</t>
  </si>
  <si>
    <t>507|386</t>
  </si>
  <si>
    <t>436|399</t>
  </si>
  <si>
    <t>541|384</t>
  </si>
  <si>
    <t>477|383</t>
  </si>
  <si>
    <t>459|611</t>
  </si>
  <si>
    <t>542|611</t>
  </si>
  <si>
    <t>514|385</t>
  </si>
  <si>
    <t>578|586</t>
  </si>
  <si>
    <t>399|452</t>
  </si>
  <si>
    <t>506|388</t>
  </si>
  <si>
    <t>600|437</t>
  </si>
  <si>
    <t>564|599</t>
  </si>
  <si>
    <t>399|441</t>
  </si>
  <si>
    <t>384|491</t>
  </si>
  <si>
    <t>385|518</t>
  </si>
  <si>
    <t>553|414</t>
  </si>
  <si>
    <t>610|510</t>
  </si>
  <si>
    <t>475|388</t>
  </si>
  <si>
    <t>485|382</t>
  </si>
  <si>
    <t>447|583</t>
  </si>
  <si>
    <t>437|404</t>
  </si>
  <si>
    <t>384|501</t>
  </si>
  <si>
    <t>617|478</t>
  </si>
  <si>
    <t>612|460</t>
  </si>
  <si>
    <t>599|564</t>
  </si>
  <si>
    <t>577|589</t>
  </si>
  <si>
    <t>421|590</t>
  </si>
  <si>
    <t>457|390</t>
  </si>
  <si>
    <t>526|387</t>
  </si>
  <si>
    <t>395|458</t>
  </si>
  <si>
    <t>466|562</t>
  </si>
  <si>
    <t>615|473</t>
  </si>
  <si>
    <t>386|474</t>
  </si>
  <si>
    <t>389|538</t>
  </si>
  <si>
    <t>616|499</t>
  </si>
  <si>
    <t>570|593</t>
  </si>
  <si>
    <t>465|389</t>
  </si>
  <si>
    <t>429|579</t>
  </si>
  <si>
    <t>390|461</t>
  </si>
  <si>
    <t>382|512</t>
  </si>
  <si>
    <t>490|386</t>
  </si>
  <si>
    <t>600|436</t>
  </si>
  <si>
    <t>617|529</t>
  </si>
  <si>
    <t>405|434</t>
  </si>
  <si>
    <t>382|507</t>
  </si>
  <si>
    <t>469|388</t>
  </si>
  <si>
    <t>596|571</t>
  </si>
  <si>
    <t>610|459</t>
  </si>
  <si>
    <t>523|617</t>
  </si>
  <si>
    <t>555|606</t>
  </si>
  <si>
    <t>568|596</t>
  </si>
  <si>
    <t>383|520</t>
  </si>
  <si>
    <t>385|494</t>
  </si>
  <si>
    <t>523|384</t>
  </si>
  <si>
    <t>595|428</t>
  </si>
  <si>
    <t>470|385</t>
  </si>
  <si>
    <t>533|614</t>
  </si>
  <si>
    <t>568|406</t>
  </si>
  <si>
    <t>529|614</t>
  </si>
  <si>
    <t>543|389</t>
  </si>
  <si>
    <t>574|449</t>
  </si>
  <si>
    <t>597|566</t>
  </si>
  <si>
    <t>492|619</t>
  </si>
  <si>
    <t>489|617</t>
  </si>
  <si>
    <t>456|606</t>
  </si>
  <si>
    <t>483|385</t>
  </si>
  <si>
    <t>412|427</t>
  </si>
  <si>
    <t>491|381</t>
  </si>
  <si>
    <t>387|461</t>
  </si>
  <si>
    <t>435|414</t>
  </si>
  <si>
    <t>496|618</t>
  </si>
  <si>
    <t>466|611</t>
  </si>
  <si>
    <t>579|467</t>
  </si>
  <si>
    <t>580|584</t>
  </si>
  <si>
    <t>578|569</t>
  </si>
  <si>
    <t>587|420</t>
  </si>
  <si>
    <t>571|594</t>
  </si>
  <si>
    <t>541|388</t>
  </si>
  <si>
    <t>425|410</t>
  </si>
  <si>
    <t>407|425</t>
  </si>
  <si>
    <t>396|553</t>
  </si>
  <si>
    <t>452|608</t>
  </si>
  <si>
    <t>604|554</t>
  </si>
  <si>
    <t>556|605</t>
  </si>
  <si>
    <t>419|586</t>
  </si>
  <si>
    <t>396|507</t>
  </si>
  <si>
    <t>430|579</t>
  </si>
  <si>
    <t>603|567</t>
  </si>
  <si>
    <t>414|563</t>
  </si>
  <si>
    <t>604|451</t>
  </si>
  <si>
    <t>383|477</t>
  </si>
  <si>
    <t>413|578</t>
  </si>
  <si>
    <t>608|560</t>
  </si>
  <si>
    <t>580|583</t>
  </si>
  <si>
    <t>423|571</t>
  </si>
  <si>
    <t>591|458</t>
  </si>
  <si>
    <t>410|574</t>
  </si>
  <si>
    <t>617|521</t>
  </si>
  <si>
    <t>586|583</t>
  </si>
  <si>
    <t>488|618</t>
  </si>
  <si>
    <t>606|450</t>
  </si>
  <si>
    <t>508|619</t>
  </si>
  <si>
    <t>414|583</t>
  </si>
  <si>
    <t>515|621</t>
  </si>
  <si>
    <t>429|581</t>
  </si>
  <si>
    <t>528|616</t>
  </si>
  <si>
    <t>417|576</t>
  </si>
  <si>
    <t>608|454</t>
  </si>
  <si>
    <t>618|507</t>
  </si>
  <si>
    <t>614|468</t>
  </si>
  <si>
    <t>428|584</t>
  </si>
  <si>
    <t>613|465</t>
  </si>
  <si>
    <t>385|508</t>
  </si>
  <si>
    <t>563|577</t>
  </si>
  <si>
    <t>429|575</t>
  </si>
  <si>
    <t>382|514</t>
  </si>
  <si>
    <t>616|488</t>
  </si>
  <si>
    <t>525|615</t>
  </si>
  <si>
    <t>417|577</t>
  </si>
  <si>
    <t>563|597</t>
  </si>
  <si>
    <t>608|544</t>
  </si>
  <si>
    <t>383|497</t>
  </si>
  <si>
    <t>479|538</t>
  </si>
  <si>
    <t>381|502</t>
  </si>
  <si>
    <t>495|381</t>
  </si>
  <si>
    <t>532|384</t>
  </si>
  <si>
    <t>587|423</t>
  </si>
  <si>
    <t>425|564</t>
  </si>
  <si>
    <t>617|504</t>
  </si>
  <si>
    <t>452|395</t>
  </si>
  <si>
    <t>618|497</t>
  </si>
  <si>
    <t>416|583</t>
  </si>
  <si>
    <t>388|539</t>
  </si>
  <si>
    <t>415|578</t>
  </si>
  <si>
    <t>424|582</t>
  </si>
  <si>
    <t>426|564</t>
  </si>
  <si>
    <t>607|446</t>
  </si>
  <si>
    <t>422|415</t>
  </si>
  <si>
    <t>606|445</t>
  </si>
  <si>
    <t>513|619</t>
  </si>
  <si>
    <t>435|403</t>
  </si>
  <si>
    <t>532|613</t>
  </si>
  <si>
    <t>612|458</t>
  </si>
  <si>
    <t>435|400</t>
  </si>
  <si>
    <t>404|485</t>
  </si>
  <si>
    <t>475|385</t>
  </si>
  <si>
    <t>413|582</t>
  </si>
  <si>
    <t>431|574</t>
  </si>
  <si>
    <t>608|449</t>
  </si>
  <si>
    <t>430|568</t>
  </si>
  <si>
    <t>412|580</t>
  </si>
  <si>
    <t>463|613</t>
  </si>
  <si>
    <t>608|558</t>
  </si>
  <si>
    <t>426|582</t>
  </si>
  <si>
    <t>444|542</t>
  </si>
  <si>
    <t>430|582</t>
  </si>
  <si>
    <t>581|583</t>
  </si>
  <si>
    <t>610|497</t>
  </si>
  <si>
    <t>408|424</t>
  </si>
  <si>
    <t>417|573</t>
  </si>
  <si>
    <t>448|397</t>
  </si>
  <si>
    <t>426|583</t>
  </si>
  <si>
    <t>607|453</t>
  </si>
  <si>
    <t>612|454</t>
  </si>
  <si>
    <t>422|410</t>
  </si>
  <si>
    <t>447|602</t>
  </si>
  <si>
    <t>432|598</t>
  </si>
  <si>
    <t>410|427</t>
  </si>
  <si>
    <t>516|590</t>
  </si>
  <si>
    <t>410|578</t>
  </si>
  <si>
    <t>489|381</t>
  </si>
  <si>
    <t>387|537</t>
  </si>
  <si>
    <t>422|409</t>
  </si>
  <si>
    <t>614|516</t>
  </si>
  <si>
    <t>396|442</t>
  </si>
  <si>
    <t>493|385</t>
  </si>
  <si>
    <t>396|446</t>
  </si>
  <si>
    <t>447|552</t>
  </si>
  <si>
    <t>490|617</t>
  </si>
  <si>
    <t>428|589</t>
  </si>
  <si>
    <t>590|429</t>
  </si>
  <si>
    <t>613|461</t>
  </si>
  <si>
    <t>616|457</t>
  </si>
  <si>
    <t>611|461</t>
  </si>
  <si>
    <t>467|387</t>
  </si>
  <si>
    <t>519|615</t>
  </si>
  <si>
    <t>416|419</t>
  </si>
  <si>
    <t>591|574</t>
  </si>
  <si>
    <t>544|408</t>
  </si>
  <si>
    <t>446|604</t>
  </si>
  <si>
    <t>592|425</t>
  </si>
  <si>
    <t>442|407</t>
  </si>
  <si>
    <t>481|505</t>
  </si>
  <si>
    <t>587|555</t>
  </si>
  <si>
    <t>383|483</t>
  </si>
  <si>
    <t>521|531</t>
  </si>
  <si>
    <t>570|456</t>
  </si>
  <si>
    <t>551|609</t>
  </si>
  <si>
    <t>464|615</t>
  </si>
  <si>
    <t>400|561</t>
  </si>
  <si>
    <t>590|568</t>
  </si>
  <si>
    <t>511|525</t>
  </si>
  <si>
    <t>549|604</t>
  </si>
  <si>
    <t>494|614</t>
  </si>
  <si>
    <t>615|492</t>
  </si>
  <si>
    <t>413|422</t>
  </si>
  <si>
    <t>458|608</t>
  </si>
  <si>
    <t>549|527</t>
  </si>
  <si>
    <t>391|547</t>
  </si>
  <si>
    <t>607|549</t>
  </si>
  <si>
    <t>587|418</t>
  </si>
  <si>
    <t>619|495</t>
  </si>
  <si>
    <t>610|445</t>
  </si>
  <si>
    <t>401|436</t>
  </si>
  <si>
    <t>550|392</t>
  </si>
  <si>
    <t>441|396</t>
  </si>
  <si>
    <t>504|386</t>
  </si>
  <si>
    <t>449|492</t>
  </si>
  <si>
    <t>440|400</t>
  </si>
  <si>
    <t>585|579</t>
  </si>
  <si>
    <t>566|400</t>
  </si>
  <si>
    <t>389|472</t>
  </si>
  <si>
    <t>562|602</t>
  </si>
  <si>
    <t>609|550</t>
  </si>
  <si>
    <t>495|469</t>
  </si>
  <si>
    <t>598|443</t>
  </si>
  <si>
    <t>489|622</t>
  </si>
  <si>
    <t>561|598</t>
  </si>
  <si>
    <t>588|419</t>
  </si>
  <si>
    <t>402|431</t>
  </si>
  <si>
    <t>409|426</t>
  </si>
  <si>
    <t>557|427</t>
  </si>
  <si>
    <t>475|616</t>
  </si>
  <si>
    <t>441|400</t>
  </si>
  <si>
    <t>555|596</t>
  </si>
  <si>
    <t>596|570</t>
  </si>
  <si>
    <t>597|571</t>
  </si>
  <si>
    <t>439|400</t>
  </si>
  <si>
    <t>545|608</t>
  </si>
  <si>
    <t>383|492</t>
  </si>
  <si>
    <t>490|382</t>
  </si>
  <si>
    <t>597|436</t>
  </si>
  <si>
    <t>448|395</t>
  </si>
  <si>
    <t>383|510</t>
  </si>
  <si>
    <t>617|508</t>
  </si>
  <si>
    <t>511|619</t>
  </si>
  <si>
    <t>592|577</t>
  </si>
  <si>
    <t>469|390</t>
  </si>
  <si>
    <t>393|458</t>
  </si>
  <si>
    <t>579|415</t>
  </si>
  <si>
    <t>523|618</t>
  </si>
  <si>
    <t>475|419</t>
  </si>
  <si>
    <t>577|415</t>
  </si>
  <si>
    <t>529|383</t>
  </si>
  <si>
    <t>482|378</t>
  </si>
  <si>
    <t>485|386</t>
  </si>
  <si>
    <t>613|539</t>
  </si>
  <si>
    <t>382|487</t>
  </si>
  <si>
    <t>581|412</t>
  </si>
  <si>
    <t>486|385</t>
  </si>
  <si>
    <t>592|569</t>
  </si>
  <si>
    <t>393|506</t>
  </si>
  <si>
    <t>559|598</t>
  </si>
  <si>
    <t>554|399</t>
  </si>
  <si>
    <t>381|489</t>
  </si>
  <si>
    <t>456|391</t>
  </si>
  <si>
    <t>615|487</t>
  </si>
  <si>
    <t>421|589</t>
  </si>
  <si>
    <t>524|615</t>
  </si>
  <si>
    <t>466|391</t>
  </si>
  <si>
    <t>474|387</t>
  </si>
  <si>
    <t>416|578</t>
  </si>
  <si>
    <t>543|612</t>
  </si>
  <si>
    <t>516|381</t>
  </si>
  <si>
    <t>447|607</t>
  </si>
  <si>
    <t>596|435</t>
  </si>
  <si>
    <t>424|587</t>
  </si>
  <si>
    <t>619|490</t>
  </si>
  <si>
    <t>554|606</t>
  </si>
  <si>
    <t>514|382</t>
  </si>
  <si>
    <t>493|619</t>
  </si>
  <si>
    <t>618|496</t>
  </si>
  <si>
    <t>590|428</t>
  </si>
  <si>
    <t>397|449</t>
  </si>
  <si>
    <t>418|422</t>
  </si>
  <si>
    <t>413|418</t>
  </si>
  <si>
    <t>415|451</t>
  </si>
  <si>
    <t>523|383</t>
  </si>
  <si>
    <t>565|451</t>
  </si>
  <si>
    <t>443|600</t>
  </si>
  <si>
    <t>411|425</t>
  </si>
  <si>
    <t>618|504</t>
  </si>
  <si>
    <t>608|459</t>
  </si>
  <si>
    <t>474|616</t>
  </si>
  <si>
    <t>550|396</t>
  </si>
  <si>
    <t>489|618</t>
  </si>
  <si>
    <t>571|406</t>
  </si>
  <si>
    <t>412|581</t>
  </si>
  <si>
    <t>450|391</t>
  </si>
  <si>
    <t>388|455</t>
  </si>
  <si>
    <t>551|396</t>
  </si>
  <si>
    <t>416|584</t>
  </si>
  <si>
    <t>601|557</t>
  </si>
  <si>
    <t>613|467</t>
  </si>
  <si>
    <t>525|613</t>
  </si>
  <si>
    <t>419|418</t>
  </si>
  <si>
    <t>440|435</t>
  </si>
  <si>
    <t>495|619</t>
  </si>
  <si>
    <t>617|514</t>
  </si>
  <si>
    <t>445|393</t>
  </si>
  <si>
    <t>614|522</t>
  </si>
  <si>
    <t>620|509</t>
  </si>
  <si>
    <t>551|603</t>
  </si>
  <si>
    <t>381|511</t>
  </si>
  <si>
    <t>510|383</t>
  </si>
  <si>
    <t>523|382</t>
  </si>
  <si>
    <t>461|386</t>
  </si>
  <si>
    <t>555|398</t>
  </si>
  <si>
    <t>496|519</t>
  </si>
  <si>
    <t>560|400</t>
  </si>
  <si>
    <t>406|573</t>
  </si>
  <si>
    <t>390|546</t>
  </si>
  <si>
    <t>583|451</t>
  </si>
  <si>
    <t>445|546</t>
  </si>
  <si>
    <t>533|616</t>
  </si>
  <si>
    <t>511|393</t>
  </si>
  <si>
    <t>569|445</t>
  </si>
  <si>
    <t>584|414</t>
  </si>
  <si>
    <t>575|561</t>
  </si>
  <si>
    <t>509|619</t>
  </si>
  <si>
    <t>430|598</t>
  </si>
  <si>
    <t>509|615</t>
  </si>
  <si>
    <t>450|554</t>
  </si>
  <si>
    <t>594|575</t>
  </si>
  <si>
    <t>438|397</t>
  </si>
  <si>
    <t>411|576</t>
  </si>
  <si>
    <t>467|613</t>
  </si>
  <si>
    <t>383|507</t>
  </si>
  <si>
    <t>383|486</t>
  </si>
  <si>
    <t>548|610</t>
  </si>
  <si>
    <t>525|612</t>
  </si>
  <si>
    <t>393|552</t>
  </si>
  <si>
    <t>385|488</t>
  </si>
  <si>
    <t>382|490</t>
  </si>
  <si>
    <t>592|574</t>
  </si>
  <si>
    <t>385|483</t>
  </si>
  <si>
    <t>616|515</t>
  </si>
  <si>
    <t>503|386</t>
  </si>
  <si>
    <t>389|540</t>
  </si>
  <si>
    <t>582|584</t>
  </si>
  <si>
    <t>433|404</t>
  </si>
  <si>
    <t>513|382</t>
  </si>
  <si>
    <t>519|384</t>
  </si>
  <si>
    <t>505|618</t>
  </si>
  <si>
    <t>393|445</t>
  </si>
  <si>
    <t>408|569</t>
  </si>
  <si>
    <t>616|517</t>
  </si>
  <si>
    <t>446|404</t>
  </si>
  <si>
    <t>572|408</t>
  </si>
  <si>
    <t>550|490</t>
  </si>
  <si>
    <t>426|591</t>
  </si>
  <si>
    <t>620|520</t>
  </si>
  <si>
    <t>519|383</t>
  </si>
  <si>
    <t>604|447</t>
  </si>
  <si>
    <t>401|559</t>
  </si>
  <si>
    <t>386|522</t>
  </si>
  <si>
    <t>455|445</t>
  </si>
  <si>
    <t>575|411</t>
  </si>
  <si>
    <t>384|483</t>
  </si>
  <si>
    <t>512|384</t>
  </si>
  <si>
    <t>618|510</t>
  </si>
  <si>
    <t>604|509</t>
  </si>
  <si>
    <t>604|510</t>
  </si>
  <si>
    <t>382|491</t>
  </si>
  <si>
    <t>488|620</t>
  </si>
  <si>
    <t>501|622</t>
  </si>
  <si>
    <t>445|396</t>
  </si>
  <si>
    <t>617|516</t>
  </si>
  <si>
    <t>407|432</t>
  </si>
  <si>
    <t>605|513</t>
  </si>
  <si>
    <t>580|410</t>
  </si>
  <si>
    <t>617|480</t>
  </si>
  <si>
    <t>435|399</t>
  </si>
  <si>
    <t>461|427</t>
  </si>
  <si>
    <t>451|410</t>
  </si>
  <si>
    <t>608|542</t>
  </si>
  <si>
    <t>471|618</t>
  </si>
  <si>
    <t>385|472</t>
  </si>
  <si>
    <t>428|595</t>
  </si>
  <si>
    <t>383|514</t>
  </si>
  <si>
    <t>396|555</t>
  </si>
  <si>
    <t>531|613</t>
  </si>
  <si>
    <t>557|399</t>
  </si>
  <si>
    <t>620|511</t>
  </si>
  <si>
    <t>397|447</t>
  </si>
  <si>
    <t>614|523</t>
  </si>
  <si>
    <t>578|587</t>
  </si>
  <si>
    <t>533|613</t>
  </si>
  <si>
    <t>474|384</t>
  </si>
  <si>
    <t>392|455</t>
  </si>
  <si>
    <t>599|561</t>
  </si>
  <si>
    <t>425|588</t>
  </si>
  <si>
    <t>608|553</t>
  </si>
  <si>
    <t>587|578</t>
  </si>
  <si>
    <t>612|463</t>
  </si>
  <si>
    <t>536|586</t>
  </si>
  <si>
    <t>549|610</t>
  </si>
  <si>
    <t>433|413</t>
  </si>
  <si>
    <t>527|531</t>
  </si>
  <si>
    <t>582|583</t>
  </si>
  <si>
    <t>558|397</t>
  </si>
  <si>
    <t>438|602</t>
  </si>
  <si>
    <t>378|497</t>
  </si>
  <si>
    <t>398|436</t>
  </si>
  <si>
    <t>584|579</t>
  </si>
  <si>
    <t>463|614</t>
  </si>
  <si>
    <t>466|612</t>
  </si>
  <si>
    <t>438|601</t>
  </si>
  <si>
    <t>481|383</t>
  </si>
  <si>
    <t>430|435</t>
  </si>
  <si>
    <t>476|615</t>
  </si>
  <si>
    <t>596|429</t>
  </si>
  <si>
    <t>487|619</t>
  </si>
  <si>
    <t>458|609</t>
  </si>
  <si>
    <t>428|434</t>
  </si>
  <si>
    <t>458|389</t>
  </si>
  <si>
    <t>486|386</t>
  </si>
  <si>
    <t>619|501</t>
  </si>
  <si>
    <t>459|602</t>
  </si>
  <si>
    <t>482|548</t>
  </si>
  <si>
    <t>543|580</t>
  </si>
  <si>
    <t>606|556</t>
  </si>
  <si>
    <t>421|591</t>
  </si>
  <si>
    <t>616|516</t>
  </si>
  <si>
    <t>590|573</t>
  </si>
  <si>
    <t>398|560</t>
  </si>
  <si>
    <t>407|431</t>
  </si>
  <si>
    <t>442|395</t>
  </si>
  <si>
    <t>620|485</t>
  </si>
  <si>
    <t>527|384</t>
  </si>
  <si>
    <t>448|609</t>
  </si>
  <si>
    <t>586|538</t>
  </si>
  <si>
    <t>470|383</t>
  </si>
  <si>
    <t>603|444</t>
  </si>
  <si>
    <t>583|584</t>
  </si>
  <si>
    <t>398|437</t>
  </si>
  <si>
    <t>587|582</t>
  </si>
  <si>
    <t>606|495</t>
  </si>
  <si>
    <t>556|602</t>
  </si>
  <si>
    <t>495|622</t>
  </si>
  <si>
    <t>596|427</t>
  </si>
  <si>
    <t>504|617</t>
  </si>
  <si>
    <t>506|384</t>
  </si>
  <si>
    <t>544|577</t>
  </si>
  <si>
    <t>577|412</t>
  </si>
  <si>
    <t>380|516</t>
  </si>
  <si>
    <t>417|453</t>
  </si>
  <si>
    <t>387|541</t>
  </si>
  <si>
    <t>405|426</t>
  </si>
  <si>
    <t>598|499</t>
  </si>
  <si>
    <t>414|463</t>
  </si>
  <si>
    <t>380|486</t>
  </si>
  <si>
    <t>586|585</t>
  </si>
  <si>
    <t>618|487</t>
  </si>
  <si>
    <t>526|418</t>
  </si>
  <si>
    <t>415|415</t>
  </si>
  <si>
    <t>494|615</t>
  </si>
  <si>
    <t>523|477</t>
  </si>
  <si>
    <t>384|494</t>
  </si>
  <si>
    <t>454|610</t>
  </si>
  <si>
    <t>403|569</t>
  </si>
  <si>
    <t>525|543</t>
  </si>
  <si>
    <t>503|519</t>
  </si>
  <si>
    <t>417|588</t>
  </si>
  <si>
    <t>454|393</t>
  </si>
  <si>
    <t>538|388</t>
  </si>
  <si>
    <t>530|419</t>
  </si>
  <si>
    <t>609|538</t>
  </si>
  <si>
    <t>434|598</t>
  </si>
  <si>
    <t>437|401</t>
  </si>
  <si>
    <t>403|570</t>
  </si>
  <si>
    <t>595|431</t>
  </si>
  <si>
    <t>600|561</t>
  </si>
  <si>
    <t>403|564</t>
  </si>
  <si>
    <t>410|566</t>
  </si>
  <si>
    <t>385|511</t>
  </si>
  <si>
    <t>404|570</t>
  </si>
  <si>
    <t>504|409</t>
  </si>
  <si>
    <t>521|619</t>
  </si>
  <si>
    <t>396|565</t>
  </si>
  <si>
    <t>402|570</t>
  </si>
  <si>
    <t>412|573</t>
  </si>
  <si>
    <t>389|548</t>
  </si>
  <si>
    <t>414|578</t>
  </si>
  <si>
    <t>383|501</t>
  </si>
  <si>
    <t>516|418</t>
  </si>
  <si>
    <t>381|507</t>
  </si>
  <si>
    <t>532|387</t>
  </si>
  <si>
    <t>510|380</t>
  </si>
  <si>
    <t>499|621</t>
  </si>
  <si>
    <t>395|551</t>
  </si>
  <si>
    <t>464|407</t>
  </si>
  <si>
    <t>475|552</t>
  </si>
  <si>
    <t>526|382</t>
  </si>
  <si>
    <t>610|554</t>
  </si>
  <si>
    <t>382|519</t>
  </si>
  <si>
    <t>407|424</t>
  </si>
  <si>
    <t>581|414</t>
  </si>
  <si>
    <t>507|490</t>
  </si>
  <si>
    <t>606|448</t>
  </si>
  <si>
    <t>599|567</t>
  </si>
  <si>
    <t>400|544</t>
  </si>
  <si>
    <t>457|391</t>
  </si>
  <si>
    <t>430|424</t>
  </si>
  <si>
    <t>612|465</t>
  </si>
  <si>
    <t>610|469</t>
  </si>
  <si>
    <t>616|535</t>
  </si>
  <si>
    <t>615|474</t>
  </si>
  <si>
    <t>447|608</t>
  </si>
  <si>
    <t>433|400</t>
  </si>
  <si>
    <t>618|523</t>
  </si>
  <si>
    <t>614|470</t>
  </si>
  <si>
    <t>599|563</t>
  </si>
  <si>
    <t>419|587</t>
  </si>
  <si>
    <t>577|409</t>
  </si>
  <si>
    <t>590|421</t>
  </si>
  <si>
    <t>608|448</t>
  </si>
  <si>
    <t>402|564</t>
  </si>
  <si>
    <t>399|559</t>
  </si>
  <si>
    <t>432|600</t>
  </si>
  <si>
    <t>382|479</t>
  </si>
  <si>
    <t>576|581</t>
  </si>
  <si>
    <t>572|592</t>
  </si>
  <si>
    <t>428|597</t>
  </si>
  <si>
    <t>387|475</t>
  </si>
  <si>
    <t>583|412</t>
  </si>
  <si>
    <t>397|558</t>
  </si>
  <si>
    <t>410|423</t>
  </si>
  <si>
    <t>617|470</t>
  </si>
  <si>
    <t>610|546</t>
  </si>
  <si>
    <t>525|619</t>
  </si>
  <si>
    <t>520|518</t>
  </si>
  <si>
    <t>494|601</t>
  </si>
  <si>
    <t>613|475</t>
  </si>
  <si>
    <t>431|406</t>
  </si>
  <si>
    <t>532|615</t>
  </si>
  <si>
    <t>603|436</t>
  </si>
  <si>
    <t>617|471</t>
  </si>
  <si>
    <t>452|391</t>
  </si>
  <si>
    <t>389|549</t>
  </si>
  <si>
    <t>417|418</t>
  </si>
  <si>
    <t>617|512</t>
  </si>
  <si>
    <t>484|618</t>
  </si>
  <si>
    <t>621|505</t>
  </si>
  <si>
    <t>498|618</t>
  </si>
  <si>
    <t>557|397</t>
  </si>
  <si>
    <t>610|544</t>
  </si>
  <si>
    <t>486|616</t>
  </si>
  <si>
    <t>483|581</t>
  </si>
  <si>
    <t>531|405</t>
  </si>
  <si>
    <t>470|437</t>
  </si>
  <si>
    <t>400|433</t>
  </si>
  <si>
    <t>612|468</t>
  </si>
  <si>
    <t>537|419</t>
  </si>
  <si>
    <t>381|509</t>
  </si>
  <si>
    <t>560|601</t>
  </si>
  <si>
    <t>381|508</t>
  </si>
  <si>
    <t>497|383</t>
  </si>
  <si>
    <t>472|521</t>
  </si>
  <si>
    <t>467|524</t>
  </si>
  <si>
    <t>499|571</t>
  </si>
  <si>
    <t>612|462</t>
  </si>
  <si>
    <t>585|419</t>
  </si>
  <si>
    <t>379|493</t>
  </si>
  <si>
    <t>423|410</t>
  </si>
  <si>
    <t>554|605</t>
  </si>
  <si>
    <t>467|614</t>
  </si>
  <si>
    <t>392|551</t>
  </si>
  <si>
    <t>531|386</t>
  </si>
  <si>
    <t>582|588</t>
  </si>
  <si>
    <t>613|536</t>
  </si>
  <si>
    <t>395|550</t>
  </si>
  <si>
    <t>514|619</t>
  </si>
  <si>
    <t>469|383</t>
  </si>
  <si>
    <t>437|400</t>
  </si>
  <si>
    <t>389|533</t>
  </si>
  <si>
    <t>383|481</t>
  </si>
  <si>
    <t>379|508</t>
  </si>
  <si>
    <t>475|613</t>
  </si>
  <si>
    <t>379|510</t>
  </si>
  <si>
    <t>420|589</t>
  </si>
  <si>
    <t>466|386</t>
  </si>
  <si>
    <t>381|518</t>
  </si>
  <si>
    <t>428|403</t>
  </si>
  <si>
    <t>440|395</t>
  </si>
  <si>
    <t>613|535</t>
  </si>
  <si>
    <t>597|427</t>
  </si>
  <si>
    <t>431|405</t>
  </si>
  <si>
    <t>467|386</t>
  </si>
  <si>
    <t>455|389</t>
  </si>
  <si>
    <t>384|485</t>
  </si>
  <si>
    <t>516|393</t>
  </si>
  <si>
    <t>406|423</t>
  </si>
  <si>
    <t>602|562</t>
  </si>
  <si>
    <t>506|620</t>
  </si>
  <si>
    <t>621|498</t>
  </si>
  <si>
    <t>454|392</t>
  </si>
  <si>
    <t>488|621</t>
  </si>
  <si>
    <t>440|604</t>
  </si>
  <si>
    <t>393|452</t>
  </si>
  <si>
    <t>590|579</t>
  </si>
  <si>
    <t>420|411</t>
  </si>
  <si>
    <t>524|384</t>
  </si>
  <si>
    <t>430|599</t>
  </si>
  <si>
    <t>496|379</t>
  </si>
  <si>
    <t>469|382</t>
  </si>
  <si>
    <t>426|593</t>
  </si>
  <si>
    <t>380|483</t>
  </si>
  <si>
    <t>516|380</t>
  </si>
  <si>
    <t>488|385</t>
  </si>
  <si>
    <t>530|384</t>
  </si>
  <si>
    <t>575|410</t>
  </si>
  <si>
    <t>435|602</t>
  </si>
  <si>
    <t>486|447</t>
  </si>
  <si>
    <t>461|614</t>
  </si>
  <si>
    <t>383|494</t>
  </si>
  <si>
    <t>510|515</t>
  </si>
  <si>
    <t>621|506</t>
  </si>
  <si>
    <t>435|402</t>
  </si>
  <si>
    <t>391|555</t>
  </si>
  <si>
    <t>422|590</t>
  </si>
  <si>
    <t>422|582</t>
  </si>
  <si>
    <t>551|594</t>
  </si>
  <si>
    <t>620|491</t>
  </si>
  <si>
    <t>444|603</t>
  </si>
  <si>
    <t>619|500</t>
  </si>
  <si>
    <t>609|460</t>
  </si>
  <si>
    <t>480|384</t>
  </si>
  <si>
    <t>379|509</t>
  </si>
  <si>
    <t>561|401</t>
  </si>
  <si>
    <t>398|441</t>
  </si>
  <si>
    <t>618|479</t>
  </si>
  <si>
    <t>406|429</t>
  </si>
  <si>
    <t>468|612</t>
  </si>
  <si>
    <t>421|586</t>
  </si>
  <si>
    <t>585|581</t>
  </si>
  <si>
    <t>414|447</t>
  </si>
  <si>
    <t>507|619</t>
  </si>
  <si>
    <t>433|597</t>
  </si>
  <si>
    <t>430|600</t>
  </si>
  <si>
    <t>416|413</t>
  </si>
  <si>
    <t>619|485</t>
  </si>
  <si>
    <t>576|410</t>
  </si>
  <si>
    <t>463|385</t>
  </si>
  <si>
    <t>539|614</t>
  </si>
  <si>
    <t>584|417</t>
  </si>
  <si>
    <t>568|597</t>
  </si>
  <si>
    <t>478|386</t>
  </si>
  <si>
    <t>420|416</t>
  </si>
  <si>
    <t>615|468</t>
  </si>
  <si>
    <t>602|558</t>
  </si>
  <si>
    <t>497|540</t>
  </si>
  <si>
    <t>482|382</t>
  </si>
  <si>
    <t>511|620</t>
  </si>
  <si>
    <t>397|436</t>
  </si>
  <si>
    <t>440|602</t>
  </si>
  <si>
    <t>478|384</t>
  </si>
  <si>
    <t>392|450</t>
  </si>
  <si>
    <t>533|612</t>
  </si>
  <si>
    <t>549|605</t>
  </si>
  <si>
    <t>432|402</t>
  </si>
  <si>
    <t>577|408</t>
  </si>
  <si>
    <t>603|557</t>
  </si>
  <si>
    <t>424|588</t>
  </si>
  <si>
    <t>379|504</t>
  </si>
  <si>
    <t>466|601</t>
  </si>
  <si>
    <t>485|380</t>
  </si>
  <si>
    <t>382|476</t>
  </si>
  <si>
    <t>420|585</t>
  </si>
  <si>
    <t>591|577</t>
  </si>
  <si>
    <t>483|388</t>
  </si>
  <si>
    <t>592|513</t>
  </si>
  <si>
    <t>453|391</t>
  </si>
  <si>
    <t>602|442</t>
  </si>
  <si>
    <t>559|576</t>
  </si>
  <si>
    <t>594|423</t>
  </si>
  <si>
    <t>505|535</t>
  </si>
  <si>
    <t>598|573</t>
  </si>
  <si>
    <t>588|583</t>
  </si>
  <si>
    <t>476|382</t>
  </si>
  <si>
    <t>382|489</t>
  </si>
  <si>
    <t>600|567</t>
  </si>
  <si>
    <t>517|380</t>
  </si>
  <si>
    <t>382|504</t>
  </si>
  <si>
    <t>394|559</t>
  </si>
  <si>
    <t>567|399</t>
  </si>
  <si>
    <t>570|402</t>
  </si>
  <si>
    <t>564|602</t>
  </si>
  <si>
    <t>595|571</t>
  </si>
  <si>
    <t>616|463</t>
  </si>
  <si>
    <t>613|541</t>
  </si>
  <si>
    <t>487|390</t>
  </si>
  <si>
    <t>385|530</t>
  </si>
  <si>
    <t>566|598</t>
  </si>
  <si>
    <t>472|617</t>
  </si>
  <si>
    <t>472|612</t>
  </si>
  <si>
    <t>381|520</t>
  </si>
  <si>
    <t>556|604</t>
  </si>
  <si>
    <t>589|433</t>
  </si>
  <si>
    <t>417|587</t>
  </si>
  <si>
    <t>437|397</t>
  </si>
  <si>
    <t>521|620</t>
  </si>
  <si>
    <t>525|383</t>
  </si>
  <si>
    <t>511|617</t>
  </si>
  <si>
    <t>468|616</t>
  </si>
  <si>
    <t>615|536</t>
  </si>
  <si>
    <t>453|388</t>
  </si>
  <si>
    <t>595|432</t>
  </si>
  <si>
    <t>381|485</t>
  </si>
  <si>
    <t>452|387</t>
  </si>
  <si>
    <t>444|607</t>
  </si>
  <si>
    <t>599|572</t>
  </si>
  <si>
    <t>539|616</t>
  </si>
  <si>
    <t>472|391</t>
  </si>
  <si>
    <t>603|535</t>
  </si>
  <si>
    <t>612|537</t>
  </si>
  <si>
    <t>576|408</t>
  </si>
  <si>
    <t>521|383</t>
  </si>
  <si>
    <t>385|490</t>
  </si>
  <si>
    <t>611|453</t>
  </si>
  <si>
    <t>572|407</t>
  </si>
  <si>
    <t>471|617</t>
  </si>
  <si>
    <t>608|452</t>
  </si>
  <si>
    <t>473|614</t>
  </si>
  <si>
    <t>541|611</t>
  </si>
  <si>
    <t>517|618</t>
  </si>
  <si>
    <t>480|379</t>
  </si>
  <si>
    <t>599|435</t>
  </si>
  <si>
    <t>402|566</t>
  </si>
  <si>
    <t>478|393</t>
  </si>
  <si>
    <t>471|386</t>
  </si>
  <si>
    <t>390|449</t>
  </si>
  <si>
    <t>380|492</t>
  </si>
  <si>
    <t>424|595</t>
  </si>
  <si>
    <t>601|438</t>
  </si>
  <si>
    <t>409|420</t>
  </si>
  <si>
    <t>556|593</t>
  </si>
  <si>
    <t>494|388</t>
  </si>
  <si>
    <t>545|384</t>
  </si>
  <si>
    <t>414|419</t>
  </si>
  <si>
    <t>390|534</t>
  </si>
  <si>
    <t>483|617</t>
  </si>
  <si>
    <t>510|621</t>
  </si>
  <si>
    <t>461|619</t>
  </si>
  <si>
    <t>412|421</t>
  </si>
  <si>
    <t>497|380</t>
  </si>
  <si>
    <t>461|615</t>
  </si>
  <si>
    <t>477|381</t>
  </si>
  <si>
    <t>534|383</t>
  </si>
  <si>
    <t>575|404</t>
  </si>
  <si>
    <t>424|411</t>
  </si>
  <si>
    <t>602|448</t>
  </si>
  <si>
    <t>601|558</t>
  </si>
  <si>
    <t>602|568</t>
  </si>
  <si>
    <t>599|547</t>
  </si>
  <si>
    <t>487|380</t>
  </si>
  <si>
    <t>498|500</t>
  </si>
  <si>
    <t>621|514</t>
  </si>
  <si>
    <t>592|576</t>
  </si>
  <si>
    <t>438|396</t>
  </si>
  <si>
    <t>579|591</t>
  </si>
  <si>
    <t>466|463</t>
  </si>
  <si>
    <t>562|604</t>
  </si>
  <si>
    <t>574|403</t>
  </si>
  <si>
    <t>518|495</t>
  </si>
  <si>
    <t>388|548</t>
  </si>
  <si>
    <t>586|581</t>
  </si>
  <si>
    <t>400|437</t>
  </si>
  <si>
    <t>388|546</t>
  </si>
  <si>
    <t>381|496</t>
  </si>
  <si>
    <t>532|612</t>
  </si>
  <si>
    <t>616|514</t>
  </si>
  <si>
    <t>615|526</t>
  </si>
  <si>
    <t>399|564</t>
  </si>
  <si>
    <t>598|567</t>
  </si>
  <si>
    <t>554|395</t>
  </si>
  <si>
    <t>503|516</t>
  </si>
  <si>
    <t>618|468</t>
  </si>
  <si>
    <t>383|465</t>
  </si>
  <si>
    <t>405|568</t>
  </si>
  <si>
    <t>614|536</t>
  </si>
  <si>
    <t>450|612</t>
  </si>
  <si>
    <t>476|616</t>
  </si>
  <si>
    <t>473|381</t>
  </si>
  <si>
    <t>591|418</t>
  </si>
  <si>
    <t>488|619</t>
  </si>
  <si>
    <t>494|620</t>
  </si>
  <si>
    <t>602|559</t>
  </si>
  <si>
    <t>478|380</t>
  </si>
  <si>
    <t>488|401</t>
  </si>
  <si>
    <t>478|383</t>
  </si>
  <si>
    <t>546|609</t>
  </si>
  <si>
    <t>518|621</t>
  </si>
  <si>
    <t>473|385</t>
  </si>
  <si>
    <t>585|416</t>
  </si>
  <si>
    <t>618|503</t>
  </si>
  <si>
    <t>577|594</t>
  </si>
  <si>
    <t>611|454</t>
  </si>
  <si>
    <t>430|399</t>
  </si>
  <si>
    <t>473|465</t>
  </si>
  <si>
    <t>616|490</t>
  </si>
  <si>
    <t>403|573</t>
  </si>
  <si>
    <t>392|454</t>
  </si>
  <si>
    <t>564|400</t>
  </si>
  <si>
    <t>497|381</t>
  </si>
  <si>
    <t>617|507</t>
  </si>
  <si>
    <t>606|531</t>
  </si>
  <si>
    <t>451|390</t>
  </si>
  <si>
    <t>614|542</t>
  </si>
  <si>
    <t>386|539</t>
  </si>
  <si>
    <t>417|411</t>
  </si>
  <si>
    <t>544|389</t>
  </si>
  <si>
    <t>606|446</t>
  </si>
  <si>
    <t>615|477</t>
  </si>
  <si>
    <t>408|421</t>
  </si>
  <si>
    <t>614|544</t>
  </si>
  <si>
    <t>482|376</t>
  </si>
  <si>
    <t>397|557</t>
  </si>
  <si>
    <t>459|388</t>
  </si>
  <si>
    <t>575|589</t>
  </si>
  <si>
    <t>467|617</t>
  </si>
  <si>
    <t>621|482</t>
  </si>
  <si>
    <t>475|620</t>
  </si>
  <si>
    <t>587|581</t>
  </si>
  <si>
    <t>529|387</t>
  </si>
  <si>
    <t>477|616</t>
  </si>
  <si>
    <t>380|507</t>
  </si>
  <si>
    <t>513|383</t>
  </si>
  <si>
    <t>489|619</t>
  </si>
  <si>
    <t>436|598</t>
  </si>
  <si>
    <t>508|544</t>
  </si>
  <si>
    <t>394|450</t>
  </si>
  <si>
    <t>411|578</t>
  </si>
  <si>
    <t>562|397</t>
  </si>
  <si>
    <t>619|522</t>
  </si>
  <si>
    <t>611|540</t>
  </si>
  <si>
    <t>419|588</t>
  </si>
  <si>
    <t>520|617</t>
  </si>
  <si>
    <t>592|422</t>
  </si>
  <si>
    <t>615|525</t>
  </si>
  <si>
    <t>571|401</t>
  </si>
  <si>
    <t>584|416</t>
  </si>
  <si>
    <t>484|382</t>
  </si>
  <si>
    <t>451|391</t>
  </si>
  <si>
    <t>574|408</t>
  </si>
  <si>
    <t>497|379</t>
  </si>
  <si>
    <t>379|515</t>
  </si>
  <si>
    <t>386|528</t>
  </si>
  <si>
    <t>389|461</t>
  </si>
  <si>
    <t>475|598</t>
  </si>
  <si>
    <t>585|586</t>
  </si>
  <si>
    <t>611|459</t>
  </si>
  <si>
    <t>408|419</t>
  </si>
  <si>
    <t>586|582</t>
  </si>
  <si>
    <t>486|380</t>
  </si>
  <si>
    <t>620|517</t>
  </si>
  <si>
    <t>565|397</t>
  </si>
  <si>
    <t>614|455</t>
  </si>
  <si>
    <t>584|412</t>
  </si>
  <si>
    <t>402|567</t>
  </si>
  <si>
    <t>401|568</t>
  </si>
  <si>
    <t>440|439</t>
  </si>
  <si>
    <t>387|538</t>
  </si>
  <si>
    <t>508|380</t>
  </si>
  <si>
    <t>384|528</t>
  </si>
  <si>
    <t>470|382</t>
  </si>
  <si>
    <t>508|382</t>
  </si>
  <si>
    <t>450|611</t>
  </si>
  <si>
    <t>381|476</t>
  </si>
  <si>
    <t>442|393</t>
  </si>
  <si>
    <t>383|517</t>
  </si>
  <si>
    <t>393|446</t>
  </si>
  <si>
    <t>481|384</t>
  </si>
  <si>
    <t>517|525</t>
  </si>
  <si>
    <t>394|440</t>
  </si>
  <si>
    <t>595|577</t>
  </si>
  <si>
    <t>582|585</t>
  </si>
  <si>
    <t>500|382</t>
  </si>
  <si>
    <t>595|570</t>
  </si>
  <si>
    <t>591|444</t>
  </si>
  <si>
    <t>421|593</t>
  </si>
  <si>
    <t>398|564</t>
  </si>
  <si>
    <t>381|483</t>
  </si>
  <si>
    <t>403|574</t>
  </si>
  <si>
    <t>589|448</t>
  </si>
  <si>
    <t>500|447</t>
  </si>
  <si>
    <t>541|386</t>
  </si>
  <si>
    <t>579|521</t>
  </si>
  <si>
    <t>432|601</t>
  </si>
  <si>
    <t>578|532</t>
  </si>
  <si>
    <t>414|413</t>
  </si>
  <si>
    <t>469|387</t>
  </si>
  <si>
    <t>385|480</t>
  </si>
  <si>
    <t>391|556</t>
  </si>
  <si>
    <t>604|553</t>
  </si>
  <si>
    <t>389|539</t>
  </si>
  <si>
    <t>456|613</t>
  </si>
  <si>
    <t>492|617</t>
  </si>
  <si>
    <t>547|611</t>
  </si>
  <si>
    <t>512|619</t>
  </si>
  <si>
    <t>518|619</t>
  </si>
  <si>
    <t>458|386</t>
  </si>
  <si>
    <t>459|394</t>
  </si>
  <si>
    <t>511|381</t>
  </si>
  <si>
    <t>604|557</t>
  </si>
  <si>
    <t>423|595</t>
  </si>
  <si>
    <t>447|391</t>
  </si>
  <si>
    <t>449|389</t>
  </si>
  <si>
    <t>581|410</t>
  </si>
  <si>
    <t>396|437</t>
  </si>
  <si>
    <t>547|392</t>
  </si>
  <si>
    <t>596|567</t>
  </si>
  <si>
    <t>597|469</t>
  </si>
  <si>
    <t>596|432</t>
  </si>
  <si>
    <t>444|394</t>
  </si>
  <si>
    <t>426|406</t>
  </si>
  <si>
    <t>598|571</t>
  </si>
  <si>
    <t>537|615</t>
  </si>
  <si>
    <t>588|415</t>
  </si>
  <si>
    <t>621|490</t>
  </si>
  <si>
    <t>618|530</t>
  </si>
  <si>
    <t>412|585</t>
  </si>
  <si>
    <t>470|381</t>
  </si>
  <si>
    <t>614|454</t>
  </si>
  <si>
    <t>410|422</t>
  </si>
  <si>
    <t>385|491</t>
  </si>
  <si>
    <t>417|417</t>
  </si>
  <si>
    <t>612|448</t>
  </si>
  <si>
    <t>532|382</t>
  </si>
  <si>
    <t>593|575</t>
  </si>
  <si>
    <t>593|425</t>
  </si>
  <si>
    <t>555|394</t>
  </si>
  <si>
    <t>620|488</t>
  </si>
  <si>
    <t>595|576</t>
  </si>
  <si>
    <t>536|615</t>
  </si>
  <si>
    <t>389|449</t>
  </si>
  <si>
    <t>591|423</t>
  </si>
  <si>
    <t>560|595</t>
  </si>
  <si>
    <t>580|590</t>
  </si>
  <si>
    <t>463|386</t>
  </si>
  <si>
    <t>597|575</t>
  </si>
  <si>
    <t>562|605</t>
  </si>
  <si>
    <t>511|379</t>
  </si>
  <si>
    <t>385|535</t>
  </si>
  <si>
    <t>615|530</t>
  </si>
  <si>
    <t>507|382</t>
  </si>
  <si>
    <t>378|513</t>
  </si>
  <si>
    <t>504|378</t>
  </si>
  <si>
    <t>378|486</t>
  </si>
  <si>
    <t>398|559</t>
  </si>
  <si>
    <t>608|453</t>
  </si>
  <si>
    <t>588|417</t>
  </si>
  <si>
    <t>613|543</t>
  </si>
  <si>
    <t>498|623</t>
  </si>
  <si>
    <t>412|419</t>
  </si>
  <si>
    <t>618|511</t>
  </si>
  <si>
    <t>541|387</t>
  </si>
  <si>
    <t>434|597</t>
  </si>
  <si>
    <t>619|498</t>
  </si>
  <si>
    <t>456|612</t>
  </si>
  <si>
    <t>587|579</t>
  </si>
  <si>
    <t>402|534</t>
  </si>
  <si>
    <t>570|404</t>
  </si>
  <si>
    <t>620|504</t>
  </si>
  <si>
    <t>395|555</t>
  </si>
  <si>
    <t>506|622</t>
  </si>
  <si>
    <t>568|403</t>
  </si>
  <si>
    <t>477|619</t>
  </si>
  <si>
    <t>427|566</t>
  </si>
  <si>
    <t>424|592</t>
  </si>
  <si>
    <t>446|605</t>
  </si>
  <si>
    <t>509|468</t>
  </si>
  <si>
    <t>570|604</t>
  </si>
  <si>
    <t>533|382</t>
  </si>
  <si>
    <t>568|502</t>
  </si>
  <si>
    <t>436|396</t>
  </si>
  <si>
    <t>494|622</t>
  </si>
  <si>
    <t>485|617</t>
  </si>
  <si>
    <t>578|511</t>
  </si>
  <si>
    <t>543|615</t>
  </si>
  <si>
    <t>397|566</t>
  </si>
  <si>
    <t>416|410</t>
  </si>
  <si>
    <t>619|514</t>
  </si>
  <si>
    <t>621|488</t>
  </si>
  <si>
    <t>380|504</t>
  </si>
  <si>
    <t>611|552</t>
  </si>
  <si>
    <t>562|399</t>
  </si>
  <si>
    <t>540|387</t>
  </si>
  <si>
    <t>427|404</t>
  </si>
  <si>
    <t>382|509</t>
  </si>
  <si>
    <t>495|620</t>
  </si>
  <si>
    <t>420|586</t>
  </si>
  <si>
    <t>466|616</t>
  </si>
  <si>
    <t>529|507</t>
  </si>
  <si>
    <t>391|448</t>
  </si>
  <si>
    <t>434|602</t>
  </si>
  <si>
    <t>516|382</t>
  </si>
  <si>
    <t>388|508</t>
  </si>
  <si>
    <t>449|388</t>
  </si>
  <si>
    <t>398|561</t>
  </si>
  <si>
    <t>387|548</t>
  </si>
  <si>
    <t>453|387</t>
  </si>
  <si>
    <t>483|620</t>
  </si>
  <si>
    <t>490|378</t>
  </si>
  <si>
    <t>380|490</t>
  </si>
  <si>
    <t>461|612</t>
  </si>
  <si>
    <t>544|386</t>
  </si>
  <si>
    <t>522|508</t>
  </si>
  <si>
    <t>609|553</t>
  </si>
  <si>
    <t>553|393</t>
  </si>
  <si>
    <t>618|502</t>
  </si>
  <si>
    <t>383|534</t>
  </si>
  <si>
    <t>537|610</t>
  </si>
  <si>
    <t>615|540</t>
  </si>
  <si>
    <t>512|480</t>
  </si>
  <si>
    <t>622|502</t>
  </si>
  <si>
    <t>599|566</t>
  </si>
  <si>
    <t>505|377</t>
  </si>
  <si>
    <t>412|416</t>
  </si>
  <si>
    <t>440|607</t>
  </si>
  <si>
    <t>384|539</t>
  </si>
  <si>
    <t>442|392</t>
  </si>
  <si>
    <t>425|597</t>
  </si>
  <si>
    <t>506|619</t>
  </si>
  <si>
    <t>480|618</t>
  </si>
  <si>
    <t>466|385</t>
  </si>
  <si>
    <t>618|483</t>
  </si>
  <si>
    <t>413|415</t>
  </si>
  <si>
    <t>592|420</t>
  </si>
  <si>
    <t>589|416</t>
  </si>
  <si>
    <t>619|477</t>
  </si>
  <si>
    <t>531|619</t>
  </si>
  <si>
    <t>396|562</t>
  </si>
  <si>
    <t>616|527</t>
  </si>
  <si>
    <t>580|408</t>
  </si>
  <si>
    <t>622|512</t>
  </si>
  <si>
    <t>566|603</t>
  </si>
  <si>
    <t>533|384</t>
  </si>
  <si>
    <t>541|616</t>
  </si>
  <si>
    <t>415|419</t>
  </si>
  <si>
    <t>453|609</t>
  </si>
  <si>
    <t>548|386</t>
  </si>
  <si>
    <t>544|385</t>
  </si>
  <si>
    <t>482|380</t>
  </si>
  <si>
    <t>384|530</t>
  </si>
  <si>
    <t>620|499</t>
  </si>
  <si>
    <t>430|594</t>
  </si>
  <si>
    <t>621|513</t>
  </si>
  <si>
    <t>557|394</t>
  </si>
  <si>
    <t>593|451</t>
  </si>
  <si>
    <t>556|608</t>
  </si>
  <si>
    <t>504|619</t>
  </si>
  <si>
    <t>403|431</t>
  </si>
  <si>
    <t>620|519</t>
  </si>
  <si>
    <t>472|562</t>
  </si>
  <si>
    <t>395|557</t>
  </si>
  <si>
    <t>616|462</t>
  </si>
  <si>
    <t>620|494</t>
  </si>
  <si>
    <t>619|497</t>
  </si>
  <si>
    <t>598|426</t>
  </si>
  <si>
    <t>618|533</t>
  </si>
  <si>
    <t>378|485</t>
  </si>
  <si>
    <t>431|414</t>
  </si>
  <si>
    <t>610|547</t>
  </si>
  <si>
    <t>522|620</t>
  </si>
  <si>
    <t>516|621</t>
  </si>
  <si>
    <t>500|381</t>
  </si>
  <si>
    <t>457|615</t>
  </si>
  <si>
    <t>501|473</t>
  </si>
  <si>
    <t>446|609</t>
  </si>
  <si>
    <t>436|601</t>
  </si>
  <si>
    <t>590|584</t>
  </si>
  <si>
    <t>620|479</t>
  </si>
  <si>
    <t>397|564</t>
  </si>
  <si>
    <t>621|500</t>
  </si>
  <si>
    <t>615|495</t>
  </si>
  <si>
    <t>531|384</t>
  </si>
  <si>
    <t>455|612</t>
  </si>
  <si>
    <t>439|604</t>
  </si>
  <si>
    <t>395|441</t>
  </si>
  <si>
    <t>447|397</t>
  </si>
  <si>
    <t>446|397</t>
  </si>
  <si>
    <t>611|548</t>
  </si>
  <si>
    <t>519|619</t>
  </si>
  <si>
    <t>438|607</t>
  </si>
  <si>
    <t>387|546</t>
  </si>
  <si>
    <t>385|534</t>
  </si>
  <si>
    <t>609|454</t>
  </si>
  <si>
    <t>460|385</t>
  </si>
  <si>
    <t>578|593</t>
  </si>
  <si>
    <t>618|520</t>
  </si>
  <si>
    <t>451|608</t>
  </si>
  <si>
    <t>600|566</t>
  </si>
  <si>
    <t>486|620</t>
  </si>
  <si>
    <t>399|567</t>
  </si>
  <si>
    <t>383|484</t>
  </si>
  <si>
    <t>415|412</t>
  </si>
  <si>
    <t>391|524</t>
  </si>
  <si>
    <t>463|383</t>
  </si>
  <si>
    <t>565|395</t>
  </si>
  <si>
    <t>429|596</t>
  </si>
  <si>
    <t>599|568</t>
  </si>
  <si>
    <t>388|524</t>
  </si>
  <si>
    <t>452|388</t>
  </si>
  <si>
    <t>405|577</t>
  </si>
  <si>
    <t>386|460</t>
  </si>
  <si>
    <t>435|603</t>
  </si>
  <si>
    <t>534|384</t>
  </si>
  <si>
    <t>381|501</t>
  </si>
  <si>
    <t>561|391</t>
  </si>
  <si>
    <t>611|544</t>
  </si>
  <si>
    <t>570|396</t>
  </si>
  <si>
    <t>618|489</t>
  </si>
  <si>
    <t>620|476</t>
  </si>
  <si>
    <t>400|431</t>
  </si>
  <si>
    <t>474|379</t>
  </si>
  <si>
    <t>618|482</t>
  </si>
  <si>
    <t>542|387</t>
  </si>
  <si>
    <t>476|619</t>
  </si>
  <si>
    <t>615|531</t>
  </si>
  <si>
    <t>395|556</t>
  </si>
  <si>
    <t>403|424</t>
  </si>
  <si>
    <t>623|492</t>
  </si>
  <si>
    <t>489|378</t>
  </si>
  <si>
    <t>382|527</t>
  </si>
  <si>
    <t>407|554</t>
  </si>
  <si>
    <t>615|463</t>
  </si>
  <si>
    <t>562|603</t>
  </si>
  <si>
    <t>547|387</t>
  </si>
  <si>
    <t>565|605</t>
  </si>
  <si>
    <t>557|608</t>
  </si>
  <si>
    <t>586|587</t>
  </si>
  <si>
    <t>543|386</t>
  </si>
  <si>
    <t>558|396</t>
  </si>
  <si>
    <t>476|620</t>
  </si>
  <si>
    <t>540|451</t>
  </si>
  <si>
    <t>428|504</t>
  </si>
  <si>
    <t>496|524</t>
  </si>
  <si>
    <t>540|389</t>
  </si>
  <si>
    <t>381|500</t>
  </si>
  <si>
    <t>533|378</t>
  </si>
  <si>
    <t>620|512</t>
  </si>
  <si>
    <t>530|383</t>
  </si>
  <si>
    <t>580|407</t>
  </si>
  <si>
    <t>534|382</t>
  </si>
  <si>
    <t>456|609</t>
  </si>
  <si>
    <t>413|419</t>
  </si>
  <si>
    <t>460|611</t>
  </si>
  <si>
    <t>386|548</t>
  </si>
  <si>
    <t>382|501</t>
  </si>
  <si>
    <t>612|511</t>
  </si>
  <si>
    <t>446|610</t>
  </si>
  <si>
    <t>585|587</t>
  </si>
  <si>
    <t>477|380</t>
  </si>
  <si>
    <t>496|566</t>
  </si>
  <si>
    <t>534|379</t>
  </si>
  <si>
    <t>463|617</t>
  </si>
  <si>
    <t>538|396</t>
  </si>
  <si>
    <t>531|383</t>
  </si>
  <si>
    <t>575|408</t>
  </si>
  <si>
    <t>561|604</t>
  </si>
  <si>
    <t>551|393</t>
  </si>
  <si>
    <t>477|379</t>
  </si>
  <si>
    <t>612|450</t>
  </si>
  <si>
    <t>466|382</t>
  </si>
  <si>
    <t>420|408</t>
  </si>
  <si>
    <t>404|531</t>
  </si>
  <si>
    <t>469|602</t>
  </si>
  <si>
    <t>617|462</t>
  </si>
  <si>
    <t>492|379</t>
  </si>
  <si>
    <t>486|621</t>
  </si>
  <si>
    <t>531|382</t>
  </si>
  <si>
    <t>487|379</t>
  </si>
  <si>
    <t>576|454</t>
  </si>
  <si>
    <t>474|620</t>
  </si>
  <si>
    <t>391|442</t>
  </si>
  <si>
    <t>535|616</t>
  </si>
  <si>
    <t>433|598</t>
  </si>
  <si>
    <t>444|396</t>
  </si>
  <si>
    <t>502|381</t>
  </si>
  <si>
    <t>605|434</t>
  </si>
  <si>
    <t>540|388</t>
  </si>
  <si>
    <t>536|386</t>
  </si>
  <si>
    <t>404|423</t>
  </si>
  <si>
    <t>581|593</t>
  </si>
  <si>
    <t>620|501</t>
  </si>
  <si>
    <t>619|523</t>
  </si>
  <si>
    <t>382|532</t>
  </si>
  <si>
    <t>614|456</t>
  </si>
  <si>
    <t>590|419</t>
  </si>
  <si>
    <t>618|458</t>
  </si>
  <si>
    <t>593|421</t>
  </si>
  <si>
    <t>604|561</t>
  </si>
  <si>
    <t>541|389</t>
  </si>
  <si>
    <t>376|498</t>
  </si>
  <si>
    <t>389|458</t>
  </si>
  <si>
    <t>620|483</t>
  </si>
  <si>
    <t>618|486</t>
  </si>
  <si>
    <t>442|606</t>
  </si>
  <si>
    <t>478|620</t>
  </si>
  <si>
    <t>577|597</t>
  </si>
  <si>
    <t>580|588</t>
  </si>
  <si>
    <t>397|474</t>
  </si>
  <si>
    <t>468|383</t>
  </si>
  <si>
    <t>491|619</t>
  </si>
  <si>
    <t>472|385</t>
  </si>
  <si>
    <t>459|389</t>
  </si>
  <si>
    <t>601|567</t>
  </si>
  <si>
    <t>612|452</t>
  </si>
  <si>
    <t>563|397</t>
  </si>
  <si>
    <t>611|527</t>
  </si>
  <si>
    <t>417|591</t>
  </si>
  <si>
    <t>514|379</t>
  </si>
  <si>
    <t>538|397</t>
  </si>
  <si>
    <t>591|580</t>
  </si>
  <si>
    <t>489|564</t>
  </si>
  <si>
    <t>394|564</t>
  </si>
  <si>
    <t>546|614</t>
  </si>
  <si>
    <t>519|551</t>
  </si>
  <si>
    <t>427|400</t>
  </si>
  <si>
    <t>408|420</t>
  </si>
  <si>
    <t>579|590</t>
  </si>
  <si>
    <t>449|392</t>
  </si>
  <si>
    <t>538|385</t>
  </si>
  <si>
    <t>589|419</t>
  </si>
  <si>
    <t>395|564</t>
  </si>
  <si>
    <t>390|563</t>
  </si>
  <si>
    <t>592|578</t>
  </si>
  <si>
    <t>576|407</t>
  </si>
  <si>
    <t>549|390</t>
  </si>
  <si>
    <t>584|413</t>
  </si>
  <si>
    <t>549|387</t>
  </si>
  <si>
    <t>380|526</t>
  </si>
  <si>
    <t>572|594</t>
  </si>
  <si>
    <t>623|494</t>
  </si>
  <si>
    <t>432|452</t>
  </si>
  <si>
    <t>413|416</t>
  </si>
  <si>
    <t>607|444</t>
  </si>
  <si>
    <t>609|438</t>
  </si>
  <si>
    <t>571|434</t>
  </si>
  <si>
    <t>506|378</t>
  </si>
  <si>
    <t>506|623</t>
  </si>
  <si>
    <t>511|622</t>
  </si>
  <si>
    <t>612|447</t>
  </si>
  <si>
    <t>546|390</t>
  </si>
  <si>
    <t>452|389</t>
  </si>
  <si>
    <t>515|378</t>
  </si>
  <si>
    <t>423|403</t>
  </si>
  <si>
    <t>428|399</t>
  </si>
  <si>
    <t>577|431</t>
  </si>
  <si>
    <t>403|429</t>
  </si>
  <si>
    <t>593|580</t>
  </si>
  <si>
    <t>622|503</t>
  </si>
  <si>
    <t>428|601</t>
  </si>
  <si>
    <t>405|421</t>
  </si>
  <si>
    <t>434|607</t>
  </si>
  <si>
    <t>615|460</t>
  </si>
  <si>
    <t>609|549</t>
  </si>
  <si>
    <t>530|617</t>
  </si>
  <si>
    <t>492|377</t>
  </si>
  <si>
    <t>436|596</t>
  </si>
  <si>
    <t>378|499</t>
  </si>
  <si>
    <t>520|379</t>
  </si>
  <si>
    <t>622|511</t>
  </si>
  <si>
    <t>381|531</t>
  </si>
  <si>
    <t>548|404</t>
  </si>
  <si>
    <t>408|575</t>
  </si>
  <si>
    <t>570|600</t>
  </si>
  <si>
    <t>605|560</t>
  </si>
  <si>
    <t>620|490</t>
  </si>
  <si>
    <t>477|499</t>
  </si>
  <si>
    <t>595|575</t>
  </si>
  <si>
    <t>434|399</t>
  </si>
  <si>
    <t>386|465</t>
  </si>
  <si>
    <t>499|620</t>
  </si>
  <si>
    <t>553|389</t>
  </si>
  <si>
    <t>379|483</t>
  </si>
  <si>
    <t>472|504</t>
  </si>
  <si>
    <t>619|508</t>
  </si>
  <si>
    <t>488|377</t>
  </si>
  <si>
    <t>488|382</t>
  </si>
  <si>
    <t>622|507</t>
  </si>
  <si>
    <t>395|433</t>
  </si>
  <si>
    <t>529|617</t>
  </si>
  <si>
    <t>532|389</t>
  </si>
  <si>
    <t>533|603</t>
  </si>
  <si>
    <t>616|467</t>
  </si>
  <si>
    <t>529|385</t>
  </si>
  <si>
    <t>543|614</t>
  </si>
  <si>
    <t>616|512</t>
  </si>
  <si>
    <t>431|596</t>
  </si>
  <si>
    <t>378|498</t>
  </si>
  <si>
    <t>584|591</t>
  </si>
  <si>
    <t>505|623</t>
  </si>
  <si>
    <t>623|512</t>
  </si>
  <si>
    <t>499|624</t>
  </si>
  <si>
    <t>530|621</t>
  </si>
  <si>
    <t>504|390</t>
  </si>
  <si>
    <t>620|514</t>
  </si>
  <si>
    <t>461|383</t>
  </si>
  <si>
    <t>547|615</t>
  </si>
  <si>
    <t>386|549</t>
  </si>
  <si>
    <t>438|398</t>
  </si>
  <si>
    <t>560|608</t>
  </si>
  <si>
    <t>482|381</t>
  </si>
  <si>
    <t>500|376</t>
  </si>
  <si>
    <t>449|613</t>
  </si>
  <si>
    <t>517|377</t>
  </si>
  <si>
    <t>517|511</t>
  </si>
  <si>
    <t>383|524</t>
  </si>
  <si>
    <t>378|521</t>
  </si>
  <si>
    <t>463|615</t>
  </si>
  <si>
    <t>562|394</t>
  </si>
  <si>
    <t>391|445</t>
  </si>
  <si>
    <t>426|597</t>
  </si>
  <si>
    <t>560|600</t>
  </si>
  <si>
    <t>616|472</t>
  </si>
  <si>
    <t>527|381</t>
  </si>
  <si>
    <t>475|444</t>
  </si>
  <si>
    <t>477|620</t>
  </si>
  <si>
    <t>477|442</t>
  </si>
  <si>
    <t>597|577</t>
  </si>
  <si>
    <t>473|620</t>
  </si>
  <si>
    <t>495|377</t>
  </si>
  <si>
    <t>512|623</t>
  </si>
  <si>
    <t>537|623</t>
  </si>
  <si>
    <t>409|516</t>
  </si>
  <si>
    <t>441|393</t>
  </si>
  <si>
    <t>484|622</t>
  </si>
  <si>
    <t>561|603</t>
  </si>
  <si>
    <t>583|589</t>
  </si>
  <si>
    <t>619|475</t>
  </si>
  <si>
    <t>451|388</t>
  </si>
  <si>
    <t>574|405</t>
  </si>
  <si>
    <t>528|380</t>
  </si>
  <si>
    <t>437|579</t>
  </si>
  <si>
    <t>377|514</t>
  </si>
  <si>
    <t>593|418</t>
  </si>
  <si>
    <t>589|414</t>
  </si>
  <si>
    <t>620|525</t>
  </si>
  <si>
    <t>531|620</t>
  </si>
  <si>
    <t>382|486</t>
  </si>
  <si>
    <t>389|552</t>
  </si>
  <si>
    <t>575|405</t>
  </si>
  <si>
    <t>613|460</t>
  </si>
  <si>
    <t>597|569</t>
  </si>
  <si>
    <t>386|525</t>
  </si>
  <si>
    <t>439|392</t>
  </si>
  <si>
    <t>528|617</t>
  </si>
  <si>
    <t>587|417</t>
  </si>
  <si>
    <t>522|383</t>
  </si>
  <si>
    <t>379|517</t>
  </si>
  <si>
    <t>453|612</t>
  </si>
  <si>
    <t>607|445</t>
  </si>
  <si>
    <t>576|598</t>
  </si>
  <si>
    <t>514|596</t>
  </si>
  <si>
    <t>586|586</t>
  </si>
  <si>
    <t>596|578</t>
  </si>
  <si>
    <t>577|406</t>
  </si>
  <si>
    <t>376|500</t>
  </si>
  <si>
    <t>561|457</t>
  </si>
  <si>
    <t>549|388</t>
  </si>
  <si>
    <t>550|397</t>
  </si>
  <si>
    <t>431|597</t>
  </si>
  <si>
    <t>434|400</t>
  </si>
  <si>
    <t>475|383</t>
  </si>
  <si>
    <t>468|382</t>
  </si>
  <si>
    <t>421|405</t>
  </si>
  <si>
    <t>612|540</t>
  </si>
  <si>
    <t>379|501</t>
  </si>
  <si>
    <t>376|501</t>
  </si>
  <si>
    <t>382|497</t>
  </si>
  <si>
    <t>405|575</t>
  </si>
  <si>
    <t>564|600</t>
  </si>
  <si>
    <t>611|550</t>
  </si>
  <si>
    <t>394|439</t>
  </si>
  <si>
    <t>601|437</t>
  </si>
  <si>
    <t>615|541</t>
  </si>
  <si>
    <t>574|598</t>
  </si>
  <si>
    <t>608|439</t>
  </si>
  <si>
    <t>481|546</t>
  </si>
  <si>
    <t>377|507</t>
  </si>
  <si>
    <t>392|449</t>
  </si>
  <si>
    <t>622|477</t>
  </si>
  <si>
    <t>610|552</t>
  </si>
  <si>
    <t>572|597</t>
  </si>
  <si>
    <t>529|384</t>
  </si>
  <si>
    <t>603|569</t>
  </si>
  <si>
    <t>491|534</t>
  </si>
  <si>
    <t>606|440</t>
  </si>
  <si>
    <t>427|601</t>
  </si>
  <si>
    <t>519|377</t>
  </si>
  <si>
    <t>377|490</t>
  </si>
  <si>
    <t>568|416</t>
  </si>
  <si>
    <t>479|492</t>
  </si>
  <si>
    <t>486|619</t>
  </si>
  <si>
    <t>621|483</t>
  </si>
  <si>
    <t>617|524</t>
  </si>
  <si>
    <t>622|506</t>
  </si>
  <si>
    <t>445|544</t>
  </si>
  <si>
    <t>384|538</t>
  </si>
  <si>
    <t>621|525</t>
  </si>
  <si>
    <t>474|622</t>
  </si>
  <si>
    <t>585|411</t>
  </si>
  <si>
    <t>434|603</t>
  </si>
  <si>
    <t>411|587</t>
  </si>
  <si>
    <t>520|561</t>
  </si>
  <si>
    <t>512|373</t>
  </si>
  <si>
    <t>423|404</t>
  </si>
  <si>
    <t>483|516</t>
  </si>
  <si>
    <t>570|398</t>
  </si>
  <si>
    <t>601|518</t>
  </si>
  <si>
    <t>471|385</t>
  </si>
  <si>
    <t>474|619</t>
  </si>
  <si>
    <t>477|613</t>
  </si>
  <si>
    <t>407|418</t>
  </si>
  <si>
    <t>540|612</t>
  </si>
  <si>
    <t>457|387</t>
  </si>
  <si>
    <t>433|603</t>
  </si>
  <si>
    <t>548|387</t>
  </si>
  <si>
    <t>469|379</t>
  </si>
  <si>
    <t>520|497</t>
  </si>
  <si>
    <t>539|382</t>
  </si>
  <si>
    <t>569|399</t>
  </si>
  <si>
    <t>392|541</t>
  </si>
  <si>
    <t>376|493</t>
  </si>
  <si>
    <t>569|403</t>
  </si>
  <si>
    <t>480|381</t>
  </si>
  <si>
    <t>485|621</t>
  </si>
  <si>
    <t>377|501</t>
  </si>
  <si>
    <t>500|588</t>
  </si>
  <si>
    <t>557|605</t>
  </si>
  <si>
    <t>385|451</t>
  </si>
  <si>
    <t>622|494</t>
  </si>
  <si>
    <t>532|619</t>
  </si>
  <si>
    <t>385|542</t>
  </si>
  <si>
    <t>483|378</t>
  </si>
  <si>
    <t>431|401</t>
  </si>
  <si>
    <t>443|390</t>
  </si>
  <si>
    <t>592|575</t>
  </si>
  <si>
    <t>453|386</t>
  </si>
  <si>
    <t>391|552</t>
  </si>
  <si>
    <t>553|611</t>
  </si>
  <si>
    <t>611|549</t>
  </si>
  <si>
    <t>528|621</t>
  </si>
  <si>
    <t>558|391</t>
  </si>
  <si>
    <t>382|481</t>
  </si>
  <si>
    <t>485|618</t>
  </si>
  <si>
    <t>392|448</t>
  </si>
  <si>
    <t>523|378</t>
  </si>
  <si>
    <t>462|382</t>
  </si>
  <si>
    <t>415|410</t>
  </si>
  <si>
    <t>489|623</t>
  </si>
  <si>
    <t>621|497</t>
  </si>
  <si>
    <t>478|382</t>
  </si>
  <si>
    <t>380|528</t>
  </si>
  <si>
    <t>485|624</t>
  </si>
  <si>
    <t>556|576</t>
  </si>
  <si>
    <t>489|624</t>
  </si>
  <si>
    <t>595|422</t>
  </si>
  <si>
    <t>462|503</t>
  </si>
  <si>
    <t>587|586</t>
  </si>
  <si>
    <t>579|407</t>
  </si>
  <si>
    <t>426|403</t>
  </si>
  <si>
    <t>479|382</t>
  </si>
  <si>
    <t>378|520</t>
  </si>
  <si>
    <t>614|543</t>
  </si>
  <si>
    <t>386|451</t>
  </si>
  <si>
    <t>387|522</t>
  </si>
  <si>
    <t>400|573</t>
  </si>
  <si>
    <t>384|458</t>
  </si>
  <si>
    <t>596|579</t>
  </si>
  <si>
    <t>536|616</t>
  </si>
  <si>
    <t>524|415</t>
  </si>
  <si>
    <t>552|392</t>
  </si>
  <si>
    <t>595|421</t>
  </si>
  <si>
    <t>578|407</t>
  </si>
  <si>
    <t>572|595</t>
  </si>
  <si>
    <t>541|615</t>
  </si>
  <si>
    <t>530|619</t>
  </si>
  <si>
    <t>421|594</t>
  </si>
  <si>
    <t>493|622</t>
  </si>
  <si>
    <t>481|378</t>
  </si>
  <si>
    <t>409|585</t>
  </si>
  <si>
    <t>397|433</t>
  </si>
  <si>
    <t>599|429</t>
  </si>
  <si>
    <t>397|524</t>
  </si>
  <si>
    <t>400|427</t>
  </si>
  <si>
    <t>431|579</t>
  </si>
  <si>
    <t>571|593</t>
  </si>
  <si>
    <t>431|598</t>
  </si>
  <si>
    <t>568|598</t>
  </si>
  <si>
    <t>475|382</t>
  </si>
  <si>
    <t>445|610</t>
  </si>
  <si>
    <t>599|575</t>
  </si>
  <si>
    <t>386|452</t>
  </si>
  <si>
    <t>523|379</t>
  </si>
  <si>
    <t>391|451</t>
  </si>
  <si>
    <t>525|618</t>
  </si>
  <si>
    <t>410|583</t>
  </si>
  <si>
    <t>420|405</t>
  </si>
  <si>
    <t>472|619</t>
  </si>
  <si>
    <t>448|392</t>
  </si>
  <si>
    <t>605|561</t>
  </si>
  <si>
    <t>483|624</t>
  </si>
  <si>
    <t>472|379</t>
  </si>
  <si>
    <t>459|613</t>
  </si>
  <si>
    <t>534|615</t>
  </si>
  <si>
    <t>568|398</t>
  </si>
  <si>
    <t>602|432</t>
  </si>
  <si>
    <t>620|500</t>
  </si>
  <si>
    <t>405|420</t>
  </si>
  <si>
    <t>541|614</t>
  </si>
  <si>
    <t>405|422</t>
  </si>
  <si>
    <t>393|435</t>
  </si>
  <si>
    <t>573|600</t>
  </si>
  <si>
    <t>414|416</t>
  </si>
  <si>
    <t>400|423</t>
  </si>
  <si>
    <t>433|602</t>
  </si>
  <si>
    <t>613|562</t>
  </si>
  <si>
    <t>566|596</t>
  </si>
  <si>
    <t>388|451</t>
  </si>
  <si>
    <t>474|617</t>
  </si>
  <si>
    <t>588|589</t>
  </si>
  <si>
    <t>590|576</t>
  </si>
  <si>
    <t>593|584</t>
  </si>
  <si>
    <t>547|613</t>
  </si>
  <si>
    <t>606|560</t>
  </si>
  <si>
    <t>393|447</t>
  </si>
  <si>
    <t>381|463</t>
  </si>
  <si>
    <t>495|375</t>
  </si>
  <si>
    <t>434|592</t>
  </si>
  <si>
    <t>404|420</t>
  </si>
  <si>
    <t>388|454</t>
  </si>
  <si>
    <t>565|602</t>
  </si>
  <si>
    <t>373|483</t>
  </si>
  <si>
    <t>410|580</t>
  </si>
  <si>
    <t>386|461</t>
  </si>
  <si>
    <t>382|482</t>
  </si>
  <si>
    <t>381|493</t>
  </si>
  <si>
    <t>578|597</t>
  </si>
  <si>
    <t>411|584</t>
  </si>
  <si>
    <t>400|575</t>
  </si>
  <si>
    <t>486|425</t>
  </si>
  <si>
    <t>378|488</t>
  </si>
  <si>
    <t>618|471</t>
  </si>
  <si>
    <t>391|449</t>
  </si>
  <si>
    <t>587|422</t>
  </si>
  <si>
    <t>609|445</t>
  </si>
  <si>
    <t>398|445</t>
  </si>
  <si>
    <t>598|578</t>
  </si>
  <si>
    <t>499|510</t>
  </si>
  <si>
    <t>385|458</t>
  </si>
  <si>
    <t>398|432</t>
  </si>
  <si>
    <t>591|416</t>
  </si>
  <si>
    <t>577|600</t>
  </si>
  <si>
    <t>384|487</t>
  </si>
  <si>
    <t>557|391</t>
  </si>
  <si>
    <t>618|522</t>
  </si>
  <si>
    <t>433|399</t>
  </si>
  <si>
    <t>389|537</t>
  </si>
  <si>
    <t>618|470</t>
  </si>
  <si>
    <t>577|602</t>
  </si>
  <si>
    <t>626|471</t>
  </si>
  <si>
    <t>614|553</t>
  </si>
  <si>
    <t>600|425</t>
  </si>
  <si>
    <t>445|590</t>
  </si>
  <si>
    <t>424|449</t>
  </si>
  <si>
    <t>374|499</t>
  </si>
  <si>
    <t>622|480</t>
  </si>
  <si>
    <t>379|500</t>
  </si>
  <si>
    <t>572|399</t>
  </si>
  <si>
    <t>398|549</t>
  </si>
  <si>
    <t>573|599</t>
  </si>
  <si>
    <t>602|565</t>
  </si>
  <si>
    <t>385|539</t>
  </si>
  <si>
    <t>445|390</t>
  </si>
  <si>
    <t>465|383</t>
  </si>
  <si>
    <t>396|569</t>
  </si>
  <si>
    <t>624|504</t>
  </si>
  <si>
    <t>614|541</t>
  </si>
  <si>
    <t>526|622</t>
  </si>
  <si>
    <t>377|489</t>
  </si>
  <si>
    <t>538|384</t>
  </si>
  <si>
    <t>379|528</t>
  </si>
  <si>
    <t>625|503</t>
  </si>
  <si>
    <t>558|605</t>
  </si>
  <si>
    <t>445|608</t>
  </si>
  <si>
    <t>471|619</t>
  </si>
  <si>
    <t>483|622</t>
  </si>
  <si>
    <t>522|526</t>
  </si>
  <si>
    <t>484|396</t>
  </si>
  <si>
    <t>622|483</t>
  </si>
  <si>
    <t>580|594</t>
  </si>
  <si>
    <t>585|589</t>
  </si>
  <si>
    <t>606|558</t>
  </si>
  <si>
    <t>449|397</t>
  </si>
  <si>
    <t>622|496</t>
  </si>
  <si>
    <t>599|557</t>
  </si>
  <si>
    <t>541|618</t>
  </si>
  <si>
    <t>424|404</t>
  </si>
  <si>
    <t>462|618</t>
  </si>
  <si>
    <t>382|525</t>
  </si>
  <si>
    <t>506|487</t>
  </si>
  <si>
    <t>460|613</t>
  </si>
  <si>
    <t>420|410</t>
  </si>
  <si>
    <t>382|538</t>
  </si>
  <si>
    <t>550|615</t>
  </si>
  <si>
    <t>375|504</t>
  </si>
  <si>
    <t>558|394</t>
  </si>
  <si>
    <t>573|398</t>
  </si>
  <si>
    <t>380|472</t>
  </si>
  <si>
    <t>598|432</t>
  </si>
  <si>
    <t>462|386</t>
  </si>
  <si>
    <t>385|459</t>
  </si>
  <si>
    <t>596|446</t>
  </si>
  <si>
    <t>561|397</t>
  </si>
  <si>
    <t>449|387</t>
  </si>
  <si>
    <t>490|376</t>
  </si>
  <si>
    <t>380|525</t>
  </si>
  <si>
    <t>418|589</t>
  </si>
  <si>
    <t>424|597</t>
  </si>
  <si>
    <t>425|406</t>
  </si>
  <si>
    <t>480|621</t>
  </si>
  <si>
    <t>379|507</t>
  </si>
  <si>
    <t>475|379</t>
  </si>
  <si>
    <t>547|616</t>
  </si>
  <si>
    <t>436|416</t>
  </si>
  <si>
    <t>488|378</t>
  </si>
  <si>
    <t>413|417</t>
  </si>
  <si>
    <t>429|471</t>
  </si>
  <si>
    <t>526|623</t>
  </si>
  <si>
    <t>583|402</t>
  </si>
  <si>
    <t>611|551</t>
  </si>
  <si>
    <t>407|416</t>
  </si>
  <si>
    <t>489|512</t>
  </si>
  <si>
    <t>488|523</t>
  </si>
  <si>
    <t>524|618</t>
  </si>
  <si>
    <t>504|622</t>
  </si>
  <si>
    <t>610|549</t>
  </si>
  <si>
    <t>534|381</t>
  </si>
  <si>
    <t>403|426</t>
  </si>
  <si>
    <t>576|401</t>
  </si>
  <si>
    <t>492|621</t>
  </si>
  <si>
    <t>614|551</t>
  </si>
  <si>
    <t>560|454</t>
  </si>
  <si>
    <t>618|541</t>
  </si>
  <si>
    <t>380|493</t>
  </si>
  <si>
    <t>620|477</t>
  </si>
  <si>
    <t>578|404</t>
  </si>
  <si>
    <t>492|380</t>
  </si>
  <si>
    <t>554|612</t>
  </si>
  <si>
    <t>618|477</t>
  </si>
  <si>
    <t>377|474</t>
  </si>
  <si>
    <t>467|380</t>
  </si>
  <si>
    <t>510|379</t>
  </si>
  <si>
    <t>614|451</t>
  </si>
  <si>
    <t>414|410</t>
  </si>
  <si>
    <t>379|488</t>
  </si>
  <si>
    <t>519|623</t>
  </si>
  <si>
    <t>397|430</t>
  </si>
  <si>
    <t>598|422</t>
  </si>
  <si>
    <t>505|396</t>
  </si>
  <si>
    <t>601|569</t>
  </si>
  <si>
    <t>559|611</t>
  </si>
  <si>
    <t>620|521</t>
  </si>
  <si>
    <t>484|556</t>
  </si>
  <si>
    <t>507|380</t>
  </si>
  <si>
    <t>554|613</t>
  </si>
  <si>
    <t>389|454</t>
  </si>
  <si>
    <t>385|476</t>
  </si>
  <si>
    <t>616|542</t>
  </si>
  <si>
    <t>616|537</t>
  </si>
  <si>
    <t>586|439</t>
  </si>
  <si>
    <t>389|554</t>
  </si>
  <si>
    <t>420|447</t>
  </si>
  <si>
    <t>566|394</t>
  </si>
  <si>
    <t>425|399</t>
  </si>
  <si>
    <t>375|492</t>
  </si>
  <si>
    <t>594|417</t>
  </si>
  <si>
    <t>376|488</t>
  </si>
  <si>
    <t>504|621</t>
  </si>
  <si>
    <t>397|428</t>
  </si>
  <si>
    <t>399|572</t>
  </si>
  <si>
    <t>471|413</t>
  </si>
  <si>
    <t>411|418</t>
  </si>
  <si>
    <t>543|617</t>
  </si>
  <si>
    <t>592|583</t>
  </si>
  <si>
    <t>519|622</t>
  </si>
  <si>
    <t>600|572</t>
  </si>
  <si>
    <t>453|385</t>
  </si>
  <si>
    <t>566|610</t>
  </si>
  <si>
    <t>556|463</t>
  </si>
  <si>
    <t>620|532</t>
  </si>
  <si>
    <t>480|620</t>
  </si>
  <si>
    <t>416|525</t>
  </si>
  <si>
    <t>589|583</t>
  </si>
  <si>
    <t>385|452</t>
  </si>
  <si>
    <t>383|528</t>
  </si>
  <si>
    <t>625|476</t>
  </si>
  <si>
    <t>425|403</t>
  </si>
  <si>
    <t>411|586</t>
  </si>
  <si>
    <t>376|489</t>
  </si>
  <si>
    <t>559|596</t>
  </si>
  <si>
    <t>380|488</t>
  </si>
  <si>
    <t>493|625</t>
  </si>
  <si>
    <t>528|379</t>
  </si>
  <si>
    <t>580|593</t>
  </si>
  <si>
    <t>486|376</t>
  </si>
  <si>
    <t>620|472</t>
  </si>
  <si>
    <t>389|555</t>
  </si>
  <si>
    <t>379|480</t>
  </si>
  <si>
    <t>552|387</t>
  </si>
  <si>
    <t>614|550</t>
  </si>
  <si>
    <t>406|579</t>
  </si>
  <si>
    <t>454|595</t>
  </si>
  <si>
    <t>449|414</t>
  </si>
  <si>
    <t>380|484</t>
  </si>
  <si>
    <t>623|519</t>
  </si>
  <si>
    <t>412|418</t>
  </si>
  <si>
    <t>489|401</t>
  </si>
  <si>
    <t>587|591</t>
  </si>
  <si>
    <t>526|380</t>
  </si>
  <si>
    <t>620|529</t>
  </si>
  <si>
    <t>390|549</t>
  </si>
  <si>
    <t>509|621</t>
  </si>
  <si>
    <t>547|401</t>
  </si>
  <si>
    <t>526|621</t>
  </si>
  <si>
    <t>384|540</t>
  </si>
  <si>
    <t>446|455</t>
  </si>
  <si>
    <t>466|558</t>
  </si>
  <si>
    <t>460|386</t>
  </si>
  <si>
    <t>408|585</t>
  </si>
  <si>
    <t>617|543</t>
  </si>
  <si>
    <t>410|418</t>
  </si>
  <si>
    <t>620|527</t>
  </si>
  <si>
    <t>390|441</t>
  </si>
  <si>
    <t>609|556</t>
  </si>
  <si>
    <t>587|414</t>
  </si>
  <si>
    <t>529|620</t>
  </si>
  <si>
    <t>585|592</t>
  </si>
  <si>
    <t>485|625</t>
  </si>
  <si>
    <t>621|489</t>
  </si>
  <si>
    <t>430|603</t>
  </si>
  <si>
    <t>625|502</t>
  </si>
  <si>
    <t>609|441</t>
  </si>
  <si>
    <t>378|529</t>
  </si>
  <si>
    <t>585|408</t>
  </si>
  <si>
    <t>619|530</t>
  </si>
  <si>
    <t>376|495</t>
  </si>
  <si>
    <t>624|489</t>
  </si>
  <si>
    <t>376|494</t>
  </si>
  <si>
    <t>391|446</t>
  </si>
  <si>
    <t>578|594</t>
  </si>
  <si>
    <t>579|594</t>
  </si>
  <si>
    <t>598|427</t>
  </si>
  <si>
    <t>437|605</t>
  </si>
  <si>
    <t>486|625</t>
  </si>
  <si>
    <t>618|475</t>
  </si>
  <si>
    <t>392|564</t>
  </si>
  <si>
    <t>414|586</t>
  </si>
  <si>
    <t>417|409</t>
  </si>
  <si>
    <t>618|535</t>
  </si>
  <si>
    <t>505|624</t>
  </si>
  <si>
    <t>602|426</t>
  </si>
  <si>
    <t>601|426</t>
  </si>
  <si>
    <t>598|576</t>
  </si>
  <si>
    <t>427|603</t>
  </si>
  <si>
    <t>426|400</t>
  </si>
  <si>
    <t>521|377</t>
  </si>
  <si>
    <t>625|505</t>
  </si>
  <si>
    <t>443|610</t>
  </si>
  <si>
    <t>534|620</t>
  </si>
  <si>
    <t>575|406</t>
  </si>
  <si>
    <t>614|445</t>
  </si>
  <si>
    <t>436|575</t>
  </si>
  <si>
    <t>626|504</t>
  </si>
  <si>
    <t>620|489</t>
  </si>
  <si>
    <t>626|502</t>
  </si>
  <si>
    <t>419|589</t>
  </si>
  <si>
    <t>623|479</t>
  </si>
  <si>
    <t>563|605</t>
  </si>
  <si>
    <t>541|381</t>
  </si>
  <si>
    <t>551|390</t>
  </si>
  <si>
    <t>376|515</t>
  </si>
  <si>
    <t>623|528</t>
  </si>
  <si>
    <t>534|613</t>
  </si>
  <si>
    <t>581|404</t>
  </si>
  <si>
    <t>413|432</t>
  </si>
  <si>
    <t>621|473</t>
  </si>
  <si>
    <t>389|439</t>
  </si>
  <si>
    <t>375|512</t>
  </si>
  <si>
    <t>605|569</t>
  </si>
  <si>
    <t>406|538</t>
  </si>
  <si>
    <t>487|402</t>
  </si>
  <si>
    <t>401|429</t>
  </si>
  <si>
    <t>599|424</t>
  </si>
  <si>
    <t>562|468</t>
  </si>
  <si>
    <t>507|376</t>
  </si>
  <si>
    <t>469|620</t>
  </si>
  <si>
    <t>620|534</t>
  </si>
  <si>
    <t>550|610</t>
  </si>
  <si>
    <t>401|577</t>
  </si>
  <si>
    <t>379|494</t>
  </si>
  <si>
    <t>581|408</t>
  </si>
  <si>
    <t>619|543</t>
  </si>
  <si>
    <t>465|615</t>
  </si>
  <si>
    <t>469|610</t>
  </si>
  <si>
    <t>612|543</t>
  </si>
  <si>
    <t>392|435</t>
  </si>
  <si>
    <t>448|447</t>
  </si>
  <si>
    <t>519|524</t>
  </si>
  <si>
    <t>578|592</t>
  </si>
  <si>
    <t>429|396</t>
  </si>
  <si>
    <t>419|592</t>
  </si>
  <si>
    <t>448|424</t>
  </si>
  <si>
    <t>390|556</t>
  </si>
  <si>
    <t>402|499</t>
  </si>
  <si>
    <t>501|625</t>
  </si>
  <si>
    <t>380|511</t>
  </si>
  <si>
    <t>418|404</t>
  </si>
  <si>
    <t>512|379</t>
  </si>
  <si>
    <t>549|613</t>
  </si>
  <si>
    <t>612|553</t>
  </si>
  <si>
    <t>561|610</t>
  </si>
  <si>
    <t>380|515</t>
  </si>
  <si>
    <t>567|398</t>
  </si>
  <si>
    <t>379|526</t>
  </si>
  <si>
    <t>576|506</t>
  </si>
  <si>
    <t>620|528</t>
  </si>
  <si>
    <t>382|458</t>
  </si>
  <si>
    <t>396|438</t>
  </si>
  <si>
    <t>479|453</t>
  </si>
  <si>
    <t>413|589</t>
  </si>
  <si>
    <t>487|624</t>
  </si>
  <si>
    <t>622|479</t>
  </si>
  <si>
    <t>392|438</t>
  </si>
  <si>
    <t>494|621</t>
  </si>
  <si>
    <t>437|396</t>
  </si>
  <si>
    <t>524|620</t>
  </si>
  <si>
    <t>594|580</t>
  </si>
  <si>
    <t>415|588</t>
  </si>
  <si>
    <t>452|385</t>
  </si>
  <si>
    <t>566|606</t>
  </si>
  <si>
    <t>381|468</t>
  </si>
  <si>
    <t>547|385</t>
  </si>
  <si>
    <t>532|398</t>
  </si>
  <si>
    <t>405|582</t>
  </si>
  <si>
    <t>449|612</t>
  </si>
  <si>
    <t>449|611</t>
  </si>
  <si>
    <t>625|479</t>
  </si>
  <si>
    <t>485|449</t>
  </si>
  <si>
    <t>432|604</t>
  </si>
  <si>
    <t>612|551</t>
  </si>
  <si>
    <t>540|617</t>
  </si>
  <si>
    <t>619|550</t>
  </si>
  <si>
    <t>376|517</t>
  </si>
  <si>
    <t>525|381</t>
  </si>
  <si>
    <t>607|552</t>
  </si>
  <si>
    <t>415|423</t>
  </si>
  <si>
    <t>425|596</t>
  </si>
  <si>
    <t>426|601</t>
  </si>
  <si>
    <t>544|383</t>
  </si>
  <si>
    <t>581|596</t>
  </si>
  <si>
    <t>571|603</t>
  </si>
  <si>
    <t>379|536</t>
  </si>
  <si>
    <t>418|591</t>
  </si>
  <si>
    <t>503|378</t>
  </si>
  <si>
    <t>576|597</t>
  </si>
  <si>
    <t>569|400</t>
  </si>
  <si>
    <t>587|587</t>
  </si>
  <si>
    <t>385|553</t>
  </si>
  <si>
    <t>565|394</t>
  </si>
  <si>
    <t>594|415</t>
  </si>
  <si>
    <t>527|399</t>
  </si>
  <si>
    <t>553|390</t>
  </si>
  <si>
    <t>422|403</t>
  </si>
  <si>
    <t>490|453</t>
  </si>
  <si>
    <t>483|449</t>
  </si>
  <si>
    <t>394|435</t>
  </si>
  <si>
    <t>383|532</t>
  </si>
  <si>
    <t>562|393</t>
  </si>
  <si>
    <t>508|376</t>
  </si>
  <si>
    <t>579|402</t>
  </si>
  <si>
    <t>472|381</t>
  </si>
  <si>
    <t>485|374</t>
  </si>
  <si>
    <t>378|509</t>
  </si>
  <si>
    <t>530|622</t>
  </si>
  <si>
    <t>577|407</t>
  </si>
  <si>
    <t>465|621</t>
  </si>
  <si>
    <t>621|530</t>
  </si>
  <si>
    <t>375|506</t>
  </si>
  <si>
    <t>550|612</t>
  </si>
  <si>
    <t>516|395</t>
  </si>
  <si>
    <t>526|466</t>
  </si>
  <si>
    <t>380|478</t>
  </si>
  <si>
    <t>435|396</t>
  </si>
  <si>
    <t>385|454</t>
  </si>
  <si>
    <t>540|413</t>
  </si>
  <si>
    <t>537|617</t>
  </si>
  <si>
    <t>532|618</t>
  </si>
  <si>
    <t>619|464</t>
  </si>
  <si>
    <t>520|378</t>
  </si>
  <si>
    <t>416|563</t>
  </si>
  <si>
    <t>502|375</t>
  </si>
  <si>
    <t>623|529</t>
  </si>
  <si>
    <t>407|421</t>
  </si>
  <si>
    <t>610|517</t>
  </si>
  <si>
    <t>394|441</t>
  </si>
  <si>
    <t>437|394</t>
  </si>
  <si>
    <t>527|623</t>
  </si>
  <si>
    <t>420|521</t>
  </si>
  <si>
    <t>593|578</t>
  </si>
  <si>
    <t>405|424</t>
  </si>
  <si>
    <t>612|557</t>
  </si>
  <si>
    <t>378|500</t>
  </si>
  <si>
    <t>382|541</t>
  </si>
  <si>
    <t>423|401</t>
  </si>
  <si>
    <t>604|523</t>
  </si>
  <si>
    <t>459|383</t>
  </si>
  <si>
    <t>582|407</t>
  </si>
  <si>
    <t>612|556</t>
  </si>
  <si>
    <t>401|570</t>
  </si>
  <si>
    <t>508|387</t>
  </si>
  <si>
    <t>558|598</t>
  </si>
  <si>
    <t>555|605</t>
  </si>
  <si>
    <t>407|417</t>
  </si>
  <si>
    <t>560|606</t>
  </si>
  <si>
    <t>621|527</t>
  </si>
  <si>
    <t>546|495</t>
  </si>
  <si>
    <t>595|418</t>
  </si>
  <si>
    <t>478|624</t>
  </si>
  <si>
    <t>622|464</t>
  </si>
  <si>
    <t>429|583</t>
  </si>
  <si>
    <t>606|431</t>
  </si>
  <si>
    <t>379|474</t>
  </si>
  <si>
    <t>572|400</t>
  </si>
  <si>
    <t>424|601</t>
  </si>
  <si>
    <t>431|601</t>
  </si>
  <si>
    <t>446|545</t>
  </si>
  <si>
    <t>473|380</t>
  </si>
  <si>
    <t>428|400</t>
  </si>
  <si>
    <t>620|541</t>
  </si>
  <si>
    <t>557|610</t>
  </si>
  <si>
    <t>500|557</t>
  </si>
  <si>
    <t>519|598</t>
  </si>
  <si>
    <t>460|384</t>
  </si>
  <si>
    <t>376|479</t>
  </si>
  <si>
    <t>584|600</t>
  </si>
  <si>
    <t>584|597</t>
  </si>
  <si>
    <t>624|514</t>
  </si>
  <si>
    <t>489|374</t>
  </si>
  <si>
    <t>593|585</t>
  </si>
  <si>
    <t>410|588</t>
  </si>
  <si>
    <t>460|615</t>
  </si>
  <si>
    <t>402|579</t>
  </si>
  <si>
    <t>604|429</t>
  </si>
  <si>
    <t>591|585</t>
  </si>
  <si>
    <t>512|382</t>
  </si>
  <si>
    <t>587|585</t>
  </si>
  <si>
    <t>430|565</t>
  </si>
  <si>
    <t>396|495</t>
  </si>
  <si>
    <t>613|556</t>
  </si>
  <si>
    <t>504|377</t>
  </si>
  <si>
    <t>401|425</t>
  </si>
  <si>
    <t>465|382</t>
  </si>
  <si>
    <t>622|472</t>
  </si>
  <si>
    <t>389|563</t>
  </si>
  <si>
    <t>379|521</t>
  </si>
  <si>
    <t>535|459</t>
  </si>
  <si>
    <t>437|609</t>
  </si>
  <si>
    <t>401|428</t>
  </si>
  <si>
    <t>596|525</t>
  </si>
  <si>
    <t>401|426</t>
  </si>
  <si>
    <t>605|562</t>
  </si>
  <si>
    <t>618|534</t>
  </si>
  <si>
    <t>422|402</t>
  </si>
  <si>
    <t>427|470</t>
  </si>
  <si>
    <t>475|384</t>
  </si>
  <si>
    <t>600|432</t>
  </si>
  <si>
    <t>557|390</t>
  </si>
  <si>
    <t>565|391</t>
  </si>
  <si>
    <t>536|461</t>
  </si>
  <si>
    <t>376|467</t>
  </si>
  <si>
    <t>498|624</t>
  </si>
  <si>
    <t>499|378</t>
  </si>
  <si>
    <t>620|522</t>
  </si>
  <si>
    <t>458|379</t>
  </si>
  <si>
    <t>380|538</t>
  </si>
  <si>
    <t>589|412</t>
  </si>
  <si>
    <t>595|526</t>
  </si>
  <si>
    <t>484|395</t>
  </si>
  <si>
    <t>623|505</t>
  </si>
  <si>
    <t>432|396</t>
  </si>
  <si>
    <t>616|506</t>
  </si>
  <si>
    <t>623|475</t>
  </si>
  <si>
    <t>628|509</t>
  </si>
  <si>
    <t>483|623</t>
  </si>
  <si>
    <t>390|446</t>
  </si>
  <si>
    <t>436|574</t>
  </si>
  <si>
    <t>416|411</t>
  </si>
  <si>
    <t>466|621</t>
  </si>
  <si>
    <t>382|465</t>
  </si>
  <si>
    <t>610|559</t>
  </si>
  <si>
    <t>380|479</t>
  </si>
  <si>
    <t>612|444</t>
  </si>
  <si>
    <t>456|384</t>
  </si>
  <si>
    <t>472|382</t>
  </si>
  <si>
    <t>546|510</t>
  </si>
  <si>
    <t>490|497</t>
  </si>
  <si>
    <t>573|466</t>
  </si>
  <si>
    <t>624|497</t>
  </si>
  <si>
    <t>624|525</t>
  </si>
  <si>
    <t>624|485</t>
  </si>
  <si>
    <t>548|615</t>
  </si>
  <si>
    <t>570|584</t>
  </si>
  <si>
    <t>486|623</t>
  </si>
  <si>
    <t>460|620</t>
  </si>
  <si>
    <t>486|585</t>
  </si>
  <si>
    <t>376|528</t>
  </si>
  <si>
    <t>380|523</t>
  </si>
  <si>
    <t>416|590</t>
  </si>
  <si>
    <t>436|607</t>
  </si>
  <si>
    <t>417|596</t>
  </si>
  <si>
    <t>461|582</t>
  </si>
  <si>
    <t>549|616</t>
  </si>
  <si>
    <t>466|586</t>
  </si>
  <si>
    <t>396|535</t>
  </si>
  <si>
    <t>457|385</t>
  </si>
  <si>
    <t>374|496</t>
  </si>
  <si>
    <t>566|392</t>
  </si>
  <si>
    <t>607|565</t>
  </si>
  <si>
    <t>434|564</t>
  </si>
  <si>
    <t>535|576</t>
  </si>
  <si>
    <t>391|562</t>
  </si>
  <si>
    <t>608|561</t>
  </si>
  <si>
    <t>438|391</t>
  </si>
  <si>
    <t>385|444</t>
  </si>
  <si>
    <t>596|536</t>
  </si>
  <si>
    <t>617|537</t>
  </si>
  <si>
    <t>401|543</t>
  </si>
  <si>
    <t>468|522</t>
  </si>
  <si>
    <t>596|577</t>
  </si>
  <si>
    <t>620|458</t>
  </si>
  <si>
    <t>621|479</t>
  </si>
  <si>
    <t>582|403</t>
  </si>
  <si>
    <t>373|495</t>
  </si>
  <si>
    <t>378|510</t>
  </si>
  <si>
    <t>380|542</t>
  </si>
  <si>
    <t>557|615</t>
  </si>
  <si>
    <t>419|407</t>
  </si>
  <si>
    <t>617|549</t>
  </si>
  <si>
    <t>524|377</t>
  </si>
  <si>
    <t>445|456</t>
  </si>
  <si>
    <t>564|444</t>
  </si>
  <si>
    <t>385|456</t>
  </si>
  <si>
    <t>498|373</t>
  </si>
  <si>
    <t>566|415</t>
  </si>
  <si>
    <t>548|427</t>
  </si>
  <si>
    <t>553|612</t>
  </si>
  <si>
    <t>570|406</t>
  </si>
  <si>
    <t>378|483</t>
  </si>
  <si>
    <t>450|394</t>
  </si>
  <si>
    <t>456|485</t>
  </si>
  <si>
    <t>610|503</t>
  </si>
  <si>
    <t>600|423</t>
  </si>
  <si>
    <t>415|591</t>
  </si>
  <si>
    <t>444|389</t>
  </si>
  <si>
    <t>378|502</t>
  </si>
  <si>
    <t>430|395</t>
  </si>
  <si>
    <t>543|619</t>
  </si>
  <si>
    <t>385|547</t>
  </si>
  <si>
    <t>490|625</t>
  </si>
  <si>
    <t>610|443</t>
  </si>
  <si>
    <t>424|556</t>
  </si>
  <si>
    <t>548|384</t>
  </si>
  <si>
    <t>443|388</t>
  </si>
  <si>
    <t>402|576</t>
  </si>
  <si>
    <t>430|606</t>
  </si>
  <si>
    <t>392|567</t>
  </si>
  <si>
    <t>600|575</t>
  </si>
  <si>
    <t>454|485</t>
  </si>
  <si>
    <t>466|594</t>
  </si>
  <si>
    <t>612|555</t>
  </si>
  <si>
    <t>380|461</t>
  </si>
  <si>
    <t>583|588</t>
  </si>
  <si>
    <t>378|467</t>
  </si>
  <si>
    <t>599|519</t>
  </si>
  <si>
    <t>375|521</t>
  </si>
  <si>
    <t>623|495</t>
  </si>
  <si>
    <t>611|511</t>
  </si>
  <si>
    <t>617|501</t>
  </si>
  <si>
    <t>377|525</t>
  </si>
  <si>
    <t>538|565</t>
  </si>
  <si>
    <t>429|398</t>
  </si>
  <si>
    <t>403|495</t>
  </si>
  <si>
    <t>507|379</t>
  </si>
  <si>
    <t>597|535</t>
  </si>
  <si>
    <t>493|627</t>
  </si>
  <si>
    <t>417|590</t>
  </si>
  <si>
    <t>541|380</t>
  </si>
  <si>
    <t>486|415</t>
  </si>
  <si>
    <t>625|518</t>
  </si>
  <si>
    <t>435|606</t>
  </si>
  <si>
    <t>618|549</t>
  </si>
  <si>
    <t>519|462</t>
  </si>
  <si>
    <t>547|428</t>
  </si>
  <si>
    <t>541|517</t>
  </si>
  <si>
    <t>439|602</t>
  </si>
  <si>
    <t>438|600</t>
  </si>
  <si>
    <t>583|522</t>
  </si>
  <si>
    <t>564|394</t>
  </si>
  <si>
    <t>519|378</t>
  </si>
  <si>
    <t>556|611</t>
  </si>
  <si>
    <t>566|545</t>
  </si>
  <si>
    <t>615|546</t>
  </si>
  <si>
    <t>464|526</t>
  </si>
  <si>
    <t>398|534</t>
  </si>
  <si>
    <t>393|451</t>
  </si>
  <si>
    <t>485|623</t>
  </si>
  <si>
    <t>582|418</t>
  </si>
  <si>
    <t>536|621</t>
  </si>
  <si>
    <t>604|512</t>
  </si>
  <si>
    <t>543|402</t>
  </si>
  <si>
    <t>611|447</t>
  </si>
  <si>
    <t>606|518</t>
  </si>
  <si>
    <t>574|423</t>
  </si>
  <si>
    <t>609|516</t>
  </si>
  <si>
    <t>460|382</t>
  </si>
  <si>
    <t>602|515</t>
  </si>
  <si>
    <t>606|510</t>
  </si>
  <si>
    <t>605|521</t>
  </si>
  <si>
    <t>484|625</t>
  </si>
  <si>
    <t>506|525</t>
  </si>
  <si>
    <t>627|503</t>
  </si>
  <si>
    <t>565|396</t>
  </si>
  <si>
    <t>525|379</t>
  </si>
  <si>
    <t>408|588</t>
  </si>
  <si>
    <t>403|538</t>
  </si>
  <si>
    <t>455|484</t>
  </si>
  <si>
    <t>378|512</t>
  </si>
  <si>
    <t>393|560</t>
  </si>
  <si>
    <t>387|464</t>
  </si>
  <si>
    <t>615|542</t>
  </si>
  <si>
    <t>385|460</t>
  </si>
  <si>
    <t>573|608</t>
  </si>
  <si>
    <t>388|552</t>
  </si>
  <si>
    <t>516|525</t>
  </si>
  <si>
    <t>488|376</t>
  </si>
  <si>
    <t>389|443</t>
  </si>
  <si>
    <t>397|429</t>
  </si>
  <si>
    <t>377|467</t>
  </si>
  <si>
    <t>409|574</t>
  </si>
  <si>
    <t>406|580</t>
  </si>
  <si>
    <t>486|506</t>
  </si>
  <si>
    <t>497|623</t>
  </si>
  <si>
    <t>386|558</t>
  </si>
  <si>
    <t>387|558</t>
  </si>
  <si>
    <t>606|516</t>
  </si>
  <si>
    <t>556|391</t>
  </si>
  <si>
    <t>416|546</t>
  </si>
  <si>
    <t>392|558</t>
  </si>
  <si>
    <t>619|468</t>
  </si>
  <si>
    <t>487|626</t>
  </si>
  <si>
    <t>388|441</t>
  </si>
  <si>
    <t>379|465</t>
  </si>
  <si>
    <t>376|527</t>
  </si>
  <si>
    <t>610|506</t>
  </si>
  <si>
    <t>618|456</t>
  </si>
  <si>
    <t>497|627</t>
  </si>
  <si>
    <t>510|570</t>
  </si>
  <si>
    <t>436|585</t>
  </si>
  <si>
    <t>437|395</t>
  </si>
  <si>
    <t>429|603</t>
  </si>
  <si>
    <t>400|570</t>
  </si>
  <si>
    <t>500|422</t>
  </si>
  <si>
    <t>618|452</t>
  </si>
  <si>
    <t>505|625</t>
  </si>
  <si>
    <t>533|450</t>
  </si>
  <si>
    <t>375|520</t>
  </si>
  <si>
    <t>620|542</t>
  </si>
  <si>
    <t>541|385</t>
  </si>
  <si>
    <t>418|598</t>
  </si>
  <si>
    <t>414|591</t>
  </si>
  <si>
    <t>552|383</t>
  </si>
  <si>
    <t>603|576</t>
  </si>
  <si>
    <t>502|626</t>
  </si>
  <si>
    <t>466|470</t>
  </si>
  <si>
    <t>381|547</t>
  </si>
  <si>
    <t>463|381</t>
  </si>
  <si>
    <t>576|603</t>
  </si>
  <si>
    <t>526|625</t>
  </si>
  <si>
    <t>528|381</t>
  </si>
  <si>
    <t>625|477</t>
  </si>
  <si>
    <t>465|378</t>
  </si>
  <si>
    <t>582|405</t>
  </si>
  <si>
    <t>409|417</t>
  </si>
  <si>
    <t>620|539</t>
  </si>
  <si>
    <t>400|577</t>
  </si>
  <si>
    <t>592|544</t>
  </si>
  <si>
    <t>492|623</t>
  </si>
  <si>
    <t>593|417</t>
  </si>
  <si>
    <t>385|453</t>
  </si>
  <si>
    <t>625|504</t>
  </si>
  <si>
    <t>463|622</t>
  </si>
  <si>
    <t>455|614</t>
  </si>
  <si>
    <t>620|544</t>
  </si>
  <si>
    <t>586|588</t>
  </si>
  <si>
    <t>381|535</t>
  </si>
  <si>
    <t>537|392</t>
  </si>
  <si>
    <t>446|595</t>
  </si>
  <si>
    <t>408|589</t>
  </si>
  <si>
    <t>558|388</t>
  </si>
  <si>
    <t>534|623</t>
  </si>
  <si>
    <t>556|388</t>
  </si>
  <si>
    <t>376|477</t>
  </si>
  <si>
    <t>622|468</t>
  </si>
  <si>
    <t>522|379</t>
  </si>
  <si>
    <t>432|602</t>
  </si>
  <si>
    <t>500|609</t>
  </si>
  <si>
    <t>422|594</t>
  </si>
  <si>
    <t>397|574</t>
  </si>
  <si>
    <t>438|609</t>
  </si>
  <si>
    <t>524|376</t>
  </si>
  <si>
    <t>595|417</t>
  </si>
  <si>
    <t>406|525</t>
  </si>
  <si>
    <t>381|469</t>
  </si>
  <si>
    <t>384|543</t>
  </si>
  <si>
    <t>413|591</t>
  </si>
  <si>
    <t>485|630</t>
  </si>
  <si>
    <t>377|535</t>
  </si>
  <si>
    <t>384|554</t>
  </si>
  <si>
    <t>482|373</t>
  </si>
  <si>
    <t>585|433</t>
  </si>
  <si>
    <t>618|543</t>
  </si>
  <si>
    <t>493|374</t>
  </si>
  <si>
    <t>444|577</t>
  </si>
  <si>
    <t>558|608</t>
  </si>
  <si>
    <t>435|390</t>
  </si>
  <si>
    <t>377|492</t>
  </si>
  <si>
    <t>399|429</t>
  </si>
  <si>
    <t>612|451</t>
  </si>
  <si>
    <t>439|570</t>
  </si>
  <si>
    <t>402|553</t>
  </si>
  <si>
    <t>536|465</t>
  </si>
  <si>
    <t>619|463</t>
  </si>
  <si>
    <t>572|601</t>
  </si>
  <si>
    <t>436|391</t>
  </si>
  <si>
    <t>524|405</t>
  </si>
  <si>
    <t>592|411</t>
  </si>
  <si>
    <t>383|543</t>
  </si>
  <si>
    <t>515|627</t>
  </si>
  <si>
    <t>436|456</t>
  </si>
  <si>
    <t>391|440</t>
  </si>
  <si>
    <t>598|581</t>
  </si>
  <si>
    <t>619|540</t>
  </si>
  <si>
    <t>491|373</t>
  </si>
  <si>
    <t>617|538</t>
  </si>
  <si>
    <t>488|627</t>
  </si>
  <si>
    <t>466|379</t>
  </si>
  <si>
    <t>545|615</t>
  </si>
  <si>
    <t>474|376</t>
  </si>
  <si>
    <t>422|599</t>
  </si>
  <si>
    <t>606|429</t>
  </si>
  <si>
    <t>610|553</t>
  </si>
  <si>
    <t>394|433</t>
  </si>
  <si>
    <t>607|572</t>
  </si>
  <si>
    <t>393|562</t>
  </si>
  <si>
    <t>400|421</t>
  </si>
  <si>
    <t>621|475</t>
  </si>
  <si>
    <t>403|537</t>
  </si>
  <si>
    <t>494|626</t>
  </si>
  <si>
    <t>484|448</t>
  </si>
  <si>
    <t>480|451</t>
  </si>
  <si>
    <t>410|589</t>
  </si>
  <si>
    <t>375|495</t>
  </si>
  <si>
    <t>564|610</t>
  </si>
  <si>
    <t>584|407</t>
  </si>
  <si>
    <t>563|611</t>
  </si>
  <si>
    <t>457|619</t>
  </si>
  <si>
    <t>618|451</t>
  </si>
  <si>
    <t>586|446</t>
  </si>
  <si>
    <t>421|408</t>
  </si>
  <si>
    <t>405|580</t>
  </si>
  <si>
    <t>609|443</t>
  </si>
  <si>
    <t>543|379</t>
  </si>
  <si>
    <t>384|438</t>
  </si>
  <si>
    <t>536|555</t>
  </si>
  <si>
    <t>597|582</t>
  </si>
  <si>
    <t>489|375</t>
  </si>
  <si>
    <t>546|615</t>
  </si>
  <si>
    <t>415|411</t>
  </si>
  <si>
    <t>423|402</t>
  </si>
  <si>
    <t>516|486</t>
  </si>
  <si>
    <t>597|424</t>
  </si>
  <si>
    <t>608|471</t>
  </si>
  <si>
    <t>452|613</t>
  </si>
  <si>
    <t>605|433</t>
  </si>
  <si>
    <t>593|420</t>
  </si>
  <si>
    <t>426|465</t>
  </si>
  <si>
    <t>561|426</t>
  </si>
  <si>
    <t>627|489</t>
  </si>
  <si>
    <t>379|525</t>
  </si>
  <si>
    <t>377|500</t>
  </si>
  <si>
    <t>544|614</t>
  </si>
  <si>
    <t>398|426</t>
  </si>
  <si>
    <t>434|392</t>
  </si>
  <si>
    <t>388|551</t>
  </si>
  <si>
    <t>530|375</t>
  </si>
  <si>
    <t>564|608</t>
  </si>
  <si>
    <t>610|435</t>
  </si>
  <si>
    <t>480|596</t>
  </si>
  <si>
    <t>514|620</t>
  </si>
  <si>
    <t>520|618</t>
  </si>
  <si>
    <t>373|513</t>
  </si>
  <si>
    <t>545|496</t>
  </si>
  <si>
    <t>401|576</t>
  </si>
  <si>
    <t>531|503</t>
  </si>
  <si>
    <t>511|625</t>
  </si>
  <si>
    <t>406|585</t>
  </si>
  <si>
    <t>484|372</t>
  </si>
  <si>
    <t>374|475</t>
  </si>
  <si>
    <t>498|408</t>
  </si>
  <si>
    <t>504|627</t>
  </si>
  <si>
    <t>585|585</t>
  </si>
  <si>
    <t>432|573</t>
  </si>
  <si>
    <t>528|392</t>
  </si>
  <si>
    <t>454|385</t>
  </si>
  <si>
    <t>569|606</t>
  </si>
  <si>
    <t>416|571</t>
  </si>
  <si>
    <t>503|623</t>
  </si>
  <si>
    <t>375|485</t>
  </si>
  <si>
    <t>614|442</t>
  </si>
  <si>
    <t>381|546</t>
  </si>
  <si>
    <t>620|538</t>
  </si>
  <si>
    <t>602|431</t>
  </si>
  <si>
    <t>627|500</t>
  </si>
  <si>
    <t>577|599</t>
  </si>
  <si>
    <t>596|584</t>
  </si>
  <si>
    <t>501|368</t>
  </si>
  <si>
    <t>626|514</t>
  </si>
  <si>
    <t>618|538</t>
  </si>
  <si>
    <t>574|600</t>
  </si>
  <si>
    <t>465|597</t>
  </si>
  <si>
    <t>614|546</t>
  </si>
  <si>
    <t>379|529</t>
  </si>
  <si>
    <t>460|619</t>
  </si>
  <si>
    <t>600|495</t>
  </si>
  <si>
    <t>623|517</t>
  </si>
  <si>
    <t>544|380</t>
  </si>
  <si>
    <t>613|445</t>
  </si>
  <si>
    <t>512|627</t>
  </si>
  <si>
    <t>544|617</t>
  </si>
  <si>
    <t>432|558</t>
  </si>
  <si>
    <t>541|379</t>
  </si>
  <si>
    <t>534|387</t>
  </si>
  <si>
    <t>576|406</t>
  </si>
  <si>
    <t>624|480</t>
  </si>
  <si>
    <t>620|459</t>
  </si>
  <si>
    <t>619|470</t>
  </si>
  <si>
    <t>409|409</t>
  </si>
  <si>
    <t>620|469</t>
  </si>
  <si>
    <t>626|482</t>
  </si>
  <si>
    <t>499|626</t>
  </si>
  <si>
    <t>489|377</t>
  </si>
  <si>
    <t>498|519</t>
  </si>
  <si>
    <t>532|624</t>
  </si>
  <si>
    <t>542|475</t>
  </si>
  <si>
    <t>612|446</t>
  </si>
  <si>
    <t>454|616</t>
  </si>
  <si>
    <t>459|621</t>
  </si>
  <si>
    <t>408|574</t>
  </si>
  <si>
    <t>627|484</t>
  </si>
  <si>
    <t>390|557</t>
  </si>
  <si>
    <t>417|597</t>
  </si>
  <si>
    <t>622|516</t>
  </si>
  <si>
    <t>389|447</t>
  </si>
  <si>
    <t>405|583</t>
  </si>
  <si>
    <t>419|593</t>
  </si>
  <si>
    <t>547|381</t>
  </si>
  <si>
    <t>624|477</t>
  </si>
  <si>
    <t>444|614</t>
  </si>
  <si>
    <t>409|413</t>
  </si>
  <si>
    <t>413|581</t>
  </si>
  <si>
    <t>476|377</t>
  </si>
  <si>
    <t>484|495</t>
  </si>
  <si>
    <t>583|438</t>
  </si>
  <si>
    <t>377|529</t>
  </si>
  <si>
    <t>614|443</t>
  </si>
  <si>
    <t>408|590</t>
  </si>
  <si>
    <t>582|401</t>
  </si>
  <si>
    <t>509|628</t>
  </si>
  <si>
    <t>421|600</t>
  </si>
  <si>
    <t>413|407</t>
  </si>
  <si>
    <t>403|420</t>
  </si>
  <si>
    <t>532|377</t>
  </si>
  <si>
    <t>377|478</t>
  </si>
  <si>
    <t>409|594</t>
  </si>
  <si>
    <t>372|492</t>
  </si>
  <si>
    <t>629|495</t>
  </si>
  <si>
    <t>623|464</t>
  </si>
  <si>
    <t>524|624</t>
  </si>
  <si>
    <t>606|436</t>
  </si>
  <si>
    <t>624|493</t>
  </si>
  <si>
    <t>434|605</t>
  </si>
  <si>
    <t>630|490</t>
  </si>
  <si>
    <t>591|589</t>
  </si>
  <si>
    <t>395|573</t>
  </si>
  <si>
    <t>555|614</t>
  </si>
  <si>
    <t>604|425</t>
  </si>
  <si>
    <t>596|436</t>
  </si>
  <si>
    <t>523|551</t>
  </si>
  <si>
    <t>376|465</t>
  </si>
  <si>
    <t>468|380</t>
  </si>
  <si>
    <t>430|604</t>
  </si>
  <si>
    <t>438|613</t>
  </si>
  <si>
    <t>497|628</t>
  </si>
  <si>
    <t>384|516</t>
  </si>
  <si>
    <t>459|622</t>
  </si>
  <si>
    <t>482|587</t>
  </si>
  <si>
    <t>410|587</t>
  </si>
  <si>
    <t>586|410</t>
  </si>
  <si>
    <t>445|614</t>
  </si>
  <si>
    <t>527|376</t>
  </si>
  <si>
    <t>428|397</t>
  </si>
  <si>
    <t>424|416</t>
  </si>
  <si>
    <t>578|595</t>
  </si>
  <si>
    <t>628|505</t>
  </si>
  <si>
    <t>550|617</t>
  </si>
  <si>
    <t>581|406</t>
  </si>
  <si>
    <t>530|377</t>
  </si>
  <si>
    <t>436|586</t>
  </si>
  <si>
    <t>625|487</t>
  </si>
  <si>
    <t>484|376</t>
  </si>
  <si>
    <t>409|587</t>
  </si>
  <si>
    <t>528|383</t>
  </si>
  <si>
    <t>413|406</t>
  </si>
  <si>
    <t>408|413</t>
  </si>
  <si>
    <t>503|373</t>
  </si>
  <si>
    <t>463|378</t>
  </si>
  <si>
    <t>619|486</t>
  </si>
  <si>
    <t>432|392</t>
  </si>
  <si>
    <t>380|467</t>
  </si>
  <si>
    <t>559|390</t>
  </si>
  <si>
    <t>381|462</t>
  </si>
  <si>
    <t>414|544</t>
  </si>
  <si>
    <t>374|486</t>
  </si>
  <si>
    <t>558|612</t>
  </si>
  <si>
    <t>613|446</t>
  </si>
  <si>
    <t>596|421</t>
  </si>
  <si>
    <t>464|576</t>
  </si>
  <si>
    <t>432|390</t>
  </si>
  <si>
    <t>372|511</t>
  </si>
  <si>
    <t>426|515</t>
  </si>
  <si>
    <t>631|504</t>
  </si>
  <si>
    <t>412|410</t>
  </si>
  <si>
    <t>625|514</t>
  </si>
  <si>
    <t>404|417</t>
  </si>
  <si>
    <t>584|446</t>
  </si>
  <si>
    <t>535|381</t>
  </si>
  <si>
    <t>444|613</t>
  </si>
  <si>
    <t>478|541</t>
  </si>
  <si>
    <t>517|376</t>
  </si>
  <si>
    <t>519|387</t>
  </si>
  <si>
    <t>525|625</t>
  </si>
  <si>
    <t>372|510</t>
  </si>
  <si>
    <t>453|519</t>
  </si>
  <si>
    <t>391|436</t>
  </si>
  <si>
    <t>402|418</t>
  </si>
  <si>
    <t>436|610</t>
  </si>
  <si>
    <t>625|531</t>
  </si>
  <si>
    <t>477|377</t>
  </si>
  <si>
    <t>627|499</t>
  </si>
  <si>
    <t>617|533</t>
  </si>
  <si>
    <t>586|411</t>
  </si>
  <si>
    <t>612|563</t>
  </si>
  <si>
    <t>628|494</t>
  </si>
  <si>
    <t>452|383</t>
  </si>
  <si>
    <t>394|567</t>
  </si>
  <si>
    <t>611|559</t>
  </si>
  <si>
    <t>377|533</t>
  </si>
  <si>
    <t>575|600</t>
  </si>
  <si>
    <t>604|424</t>
  </si>
  <si>
    <t>457|380</t>
  </si>
  <si>
    <t>437|606</t>
  </si>
  <si>
    <t>618|465</t>
  </si>
  <si>
    <t>501|485</t>
  </si>
  <si>
    <t>449|618</t>
  </si>
  <si>
    <t>456|484</t>
  </si>
  <si>
    <t>506|505</t>
  </si>
  <si>
    <t>453|616</t>
  </si>
  <si>
    <t>515|406</t>
  </si>
  <si>
    <t>490|374</t>
  </si>
  <si>
    <t>480|378</t>
  </si>
  <si>
    <t>611|450</t>
  </si>
  <si>
    <t>456|381</t>
  </si>
  <si>
    <t>488|375</t>
  </si>
  <si>
    <t>479|375</t>
  </si>
  <si>
    <t>464|620</t>
  </si>
  <si>
    <t>482|372</t>
  </si>
  <si>
    <t>608|566</t>
  </si>
  <si>
    <t>491|374</t>
  </si>
  <si>
    <t>444|583</t>
  </si>
  <si>
    <t>445|457</t>
  </si>
  <si>
    <t>459|379</t>
  </si>
  <si>
    <t>537|621</t>
  </si>
  <si>
    <t>500|373</t>
  </si>
  <si>
    <t>606|496</t>
  </si>
  <si>
    <t>502|380</t>
  </si>
  <si>
    <t>404|586</t>
  </si>
  <si>
    <t>544|495</t>
  </si>
  <si>
    <t>560|610</t>
  </si>
  <si>
    <t>629|502</t>
  </si>
  <si>
    <t>388|480</t>
  </si>
  <si>
    <t>490|415</t>
  </si>
  <si>
    <t>465|492</t>
  </si>
  <si>
    <t>423|597</t>
  </si>
  <si>
    <t>457|381</t>
  </si>
  <si>
    <t>610|550</t>
  </si>
  <si>
    <t>439|611</t>
  </si>
  <si>
    <t>479|587</t>
  </si>
  <si>
    <t>372|495</t>
  </si>
  <si>
    <t>384|546</t>
  </si>
  <si>
    <t>375|498</t>
  </si>
  <si>
    <t>391|561</t>
  </si>
  <si>
    <t>376|514</t>
  </si>
  <si>
    <t>399|576</t>
  </si>
  <si>
    <t>620|457</t>
  </si>
  <si>
    <t>397|575</t>
  </si>
  <si>
    <t>405|578</t>
  </si>
  <si>
    <t>487|376</t>
  </si>
  <si>
    <t>504|374</t>
  </si>
  <si>
    <t>625|523</t>
  </si>
  <si>
    <t>563|559</t>
  </si>
  <si>
    <t>501|370</t>
  </si>
  <si>
    <t>596|513</t>
  </si>
  <si>
    <t>583|401</t>
  </si>
  <si>
    <t>572|395</t>
  </si>
  <si>
    <t>613|440</t>
  </si>
  <si>
    <t>561|392</t>
  </si>
  <si>
    <t>583|586</t>
  </si>
  <si>
    <t>383|447</t>
  </si>
  <si>
    <t>439|391</t>
  </si>
  <si>
    <t>379|546</t>
  </si>
  <si>
    <t>511|373</t>
  </si>
  <si>
    <t>431|410</t>
  </si>
  <si>
    <t>426|411</t>
  </si>
  <si>
    <t>445|613</t>
  </si>
  <si>
    <t>416|415</t>
  </si>
  <si>
    <t>617|553</t>
  </si>
  <si>
    <t>466|375</t>
  </si>
  <si>
    <t>626|529</t>
  </si>
  <si>
    <t>417|406</t>
  </si>
  <si>
    <t>624|535</t>
  </si>
  <si>
    <t>419|403</t>
  </si>
  <si>
    <t>591|414</t>
  </si>
  <si>
    <t>382|488</t>
  </si>
  <si>
    <t>624|487</t>
  </si>
  <si>
    <t>621|462</t>
  </si>
  <si>
    <t>519|416</t>
  </si>
  <si>
    <t>561|388</t>
  </si>
  <si>
    <t>549|381</t>
  </si>
  <si>
    <t>378|461</t>
  </si>
  <si>
    <t>565|578</t>
  </si>
  <si>
    <t>412|409</t>
  </si>
  <si>
    <t>614|446</t>
  </si>
  <si>
    <t>594|583</t>
  </si>
  <si>
    <t>400|414</t>
  </si>
  <si>
    <t>621|471</t>
  </si>
  <si>
    <t>372|506</t>
  </si>
  <si>
    <t>551|381</t>
  </si>
  <si>
    <t>401|413</t>
  </si>
  <si>
    <t>529|376</t>
  </si>
  <si>
    <t>515|628</t>
  </si>
  <si>
    <t>403|418</t>
  </si>
  <si>
    <t>515|486</t>
  </si>
  <si>
    <t>581|579</t>
  </si>
  <si>
    <t>625|516</t>
  </si>
  <si>
    <t>412|593</t>
  </si>
  <si>
    <t>393|573</t>
  </si>
  <si>
    <t>553|378</t>
  </si>
  <si>
    <t>383|555</t>
  </si>
  <si>
    <t>376|534</t>
  </si>
  <si>
    <t>542|382</t>
  </si>
  <si>
    <t>380|491</t>
  </si>
  <si>
    <t>497|370</t>
  </si>
  <si>
    <t>451|382</t>
  </si>
  <si>
    <t>457|486</t>
  </si>
  <si>
    <t>596|463</t>
  </si>
  <si>
    <t>427|393</t>
  </si>
  <si>
    <t>431|391</t>
  </si>
  <si>
    <t>533|385</t>
  </si>
  <si>
    <t>385|548</t>
  </si>
  <si>
    <t>386|561</t>
  </si>
  <si>
    <t>621|528</t>
  </si>
  <si>
    <t>441|609</t>
  </si>
  <si>
    <t>538|621</t>
  </si>
  <si>
    <t>375|530</t>
  </si>
  <si>
    <t>439|389</t>
  </si>
  <si>
    <t>376|529</t>
  </si>
  <si>
    <t>479|625</t>
  </si>
  <si>
    <t>618|542</t>
  </si>
  <si>
    <t>379|540</t>
  </si>
  <si>
    <t>408|587</t>
  </si>
  <si>
    <t>432|394</t>
  </si>
  <si>
    <t>471|555</t>
  </si>
  <si>
    <t>410|415</t>
  </si>
  <si>
    <t>593|594</t>
  </si>
  <si>
    <t>500|371</t>
  </si>
  <si>
    <t>539|381</t>
  </si>
  <si>
    <t>545|428</t>
  </si>
  <si>
    <t>533|470</t>
  </si>
  <si>
    <t>484|494</t>
  </si>
  <si>
    <t>393|563</t>
  </si>
  <si>
    <t>577|396</t>
  </si>
  <si>
    <t>495|473</t>
  </si>
  <si>
    <t>618|459</t>
  </si>
  <si>
    <t>392|571</t>
  </si>
  <si>
    <t>530|618</t>
  </si>
  <si>
    <t>580|398</t>
  </si>
  <si>
    <t>490|377</t>
  </si>
  <si>
    <t>541|382</t>
  </si>
  <si>
    <t>618|462</t>
  </si>
  <si>
    <t>490|627</t>
  </si>
  <si>
    <t>374|471</t>
  </si>
  <si>
    <t>523|625</t>
  </si>
  <si>
    <t>625|522</t>
  </si>
  <si>
    <t>515|629</t>
  </si>
  <si>
    <t>448|614</t>
  </si>
  <si>
    <t>426|435</t>
  </si>
  <si>
    <t>528|539</t>
  </si>
  <si>
    <t>625|491</t>
  </si>
  <si>
    <t>446|546</t>
  </si>
  <si>
    <t>611|435</t>
  </si>
  <si>
    <t>473|376</t>
  </si>
  <si>
    <t>386|441</t>
  </si>
  <si>
    <t>589|409</t>
  </si>
  <si>
    <t>624|482</t>
  </si>
  <si>
    <t>460|381</t>
  </si>
  <si>
    <t>449|614</t>
  </si>
  <si>
    <t>608|437</t>
  </si>
  <si>
    <t>627|504</t>
  </si>
  <si>
    <t>439|387</t>
  </si>
  <si>
    <t>371|507</t>
  </si>
  <si>
    <t>581|447</t>
  </si>
  <si>
    <t>621|472</t>
  </si>
  <si>
    <t>612|554</t>
  </si>
  <si>
    <t>382|545</t>
  </si>
  <si>
    <t>606|569</t>
  </si>
  <si>
    <t>459|378</t>
  </si>
  <si>
    <t>586|409</t>
  </si>
  <si>
    <t>498|629</t>
  </si>
  <si>
    <t>380|546</t>
  </si>
  <si>
    <t>375|468</t>
  </si>
  <si>
    <t>595|416</t>
  </si>
  <si>
    <t>567|606</t>
  </si>
  <si>
    <t>377|485</t>
  </si>
  <si>
    <t>628|517</t>
  </si>
  <si>
    <t>486|626</t>
  </si>
  <si>
    <t>374|532</t>
  </si>
  <si>
    <t>441|387</t>
  </si>
  <si>
    <t>609|524</t>
  </si>
  <si>
    <t>389|445</t>
  </si>
  <si>
    <t>444|455</t>
  </si>
  <si>
    <t>418|406</t>
  </si>
  <si>
    <t>522|377</t>
  </si>
  <si>
    <t>601|524</t>
  </si>
  <si>
    <t>507|624</t>
  </si>
  <si>
    <t>581|595</t>
  </si>
  <si>
    <t>380|547</t>
  </si>
  <si>
    <t>604|521</t>
  </si>
  <si>
    <t>495|371</t>
  </si>
  <si>
    <t>515|372</t>
  </si>
  <si>
    <t>518|372</t>
  </si>
  <si>
    <t>476|627</t>
  </si>
  <si>
    <t>376|492</t>
  </si>
  <si>
    <t>549|382</t>
  </si>
  <si>
    <t>625|534</t>
  </si>
  <si>
    <t>501|373</t>
  </si>
  <si>
    <t>425|466</t>
  </si>
  <si>
    <t>403|421</t>
  </si>
  <si>
    <t>460|621</t>
  </si>
  <si>
    <t>433|389</t>
  </si>
  <si>
    <t>579|400</t>
  </si>
  <si>
    <t>378|533</t>
  </si>
  <si>
    <t>372|493</t>
  </si>
  <si>
    <t>553|385</t>
  </si>
  <si>
    <t>621|529</t>
  </si>
  <si>
    <t>427|394</t>
  </si>
  <si>
    <t>620|464</t>
  </si>
  <si>
    <t>621|541</t>
  </si>
  <si>
    <t>403|415</t>
  </si>
  <si>
    <t>533|375</t>
  </si>
  <si>
    <t>441|388</t>
  </si>
  <si>
    <t>627|517</t>
  </si>
  <si>
    <t>593|588</t>
  </si>
  <si>
    <t>372|524</t>
  </si>
  <si>
    <t>485|416</t>
  </si>
  <si>
    <t>472|375</t>
  </si>
  <si>
    <t>520|628</t>
  </si>
  <si>
    <t>486|535</t>
  </si>
  <si>
    <t>429|393</t>
  </si>
  <si>
    <t>615|549</t>
  </si>
  <si>
    <t>585|405</t>
  </si>
  <si>
    <t>588|408</t>
  </si>
  <si>
    <t>496|475</t>
  </si>
  <si>
    <t>468|620</t>
  </si>
  <si>
    <t>406|412</t>
  </si>
  <si>
    <t>540|618</t>
  </si>
  <si>
    <t>625|499</t>
  </si>
  <si>
    <t>621|460</t>
  </si>
  <si>
    <t>479|374</t>
  </si>
  <si>
    <t>525|376</t>
  </si>
  <si>
    <t>374|480</t>
  </si>
  <si>
    <t>571|395</t>
  </si>
  <si>
    <t>613|444</t>
  </si>
  <si>
    <t>619|448</t>
  </si>
  <si>
    <t>514|595</t>
  </si>
  <si>
    <t>550|385</t>
  </si>
  <si>
    <t>402|581</t>
  </si>
  <si>
    <t>629|505</t>
  </si>
  <si>
    <t>619|450</t>
  </si>
  <si>
    <t>437|428</t>
  </si>
  <si>
    <t>375|475</t>
  </si>
  <si>
    <t>588|595</t>
  </si>
  <si>
    <t>514|486</t>
  </si>
  <si>
    <t>454|619</t>
  </si>
  <si>
    <t>616|448</t>
  </si>
  <si>
    <t>507|630</t>
  </si>
  <si>
    <t>427|527</t>
  </si>
  <si>
    <t>530|625</t>
  </si>
  <si>
    <t>409|411</t>
  </si>
  <si>
    <t>492|633</t>
  </si>
  <si>
    <t>522|374</t>
  </si>
  <si>
    <t>525|404</t>
  </si>
  <si>
    <t>385|504</t>
  </si>
  <si>
    <t>405|414</t>
  </si>
  <si>
    <t>383|535</t>
  </si>
  <si>
    <t>625|515</t>
  </si>
  <si>
    <t>380|450</t>
  </si>
  <si>
    <t>628|487</t>
  </si>
  <si>
    <t>543|381</t>
  </si>
  <si>
    <t>456|487</t>
  </si>
  <si>
    <t>373|478</t>
  </si>
  <si>
    <t>457|620</t>
  </si>
  <si>
    <t>403|578</t>
  </si>
  <si>
    <t>391|438</t>
  </si>
  <si>
    <t>617|446</t>
  </si>
  <si>
    <t>552|381</t>
  </si>
  <si>
    <t>484|375</t>
  </si>
  <si>
    <t>586|525</t>
  </si>
  <si>
    <t>400|422</t>
  </si>
  <si>
    <t>627|472</t>
  </si>
  <si>
    <t>629|497</t>
  </si>
  <si>
    <t>557|388</t>
  </si>
  <si>
    <t>493|375</t>
  </si>
  <si>
    <t>508|370</t>
  </si>
  <si>
    <t>508|379</t>
  </si>
  <si>
    <t>577|399</t>
  </si>
  <si>
    <t>530|385</t>
  </si>
  <si>
    <t>371|512</t>
  </si>
  <si>
    <t>371|501</t>
  </si>
  <si>
    <t>420|600</t>
  </si>
  <si>
    <t>450|383</t>
  </si>
  <si>
    <t>377|534</t>
  </si>
  <si>
    <t>387|552</t>
  </si>
  <si>
    <t>527|390</t>
  </si>
  <si>
    <t>443|614</t>
  </si>
  <si>
    <t>377|461</t>
  </si>
  <si>
    <t>373|518</t>
  </si>
  <si>
    <t>626|525</t>
  </si>
  <si>
    <t>422|603</t>
  </si>
  <si>
    <t>585|598</t>
  </si>
  <si>
    <t>579|604</t>
  </si>
  <si>
    <t>580|514</t>
  </si>
  <si>
    <t>606|571</t>
  </si>
  <si>
    <t>603|570</t>
  </si>
  <si>
    <t>604|431</t>
  </si>
  <si>
    <t>571|607</t>
  </si>
  <si>
    <t>461|379</t>
  </si>
  <si>
    <t>406|413</t>
  </si>
  <si>
    <t>380|537</t>
  </si>
  <si>
    <t>457|550</t>
  </si>
  <si>
    <t>606|565</t>
  </si>
  <si>
    <t>373|494</t>
  </si>
  <si>
    <t>509|455</t>
  </si>
  <si>
    <t>538|381</t>
  </si>
  <si>
    <t>624|531</t>
  </si>
  <si>
    <t>373|538</t>
  </si>
  <si>
    <t>424|445</t>
  </si>
  <si>
    <t>626|507</t>
  </si>
  <si>
    <t>582|464</t>
  </si>
  <si>
    <t>374|534</t>
  </si>
  <si>
    <t>546|619</t>
  </si>
  <si>
    <t>404|584</t>
  </si>
  <si>
    <t>467|625</t>
  </si>
  <si>
    <t>482|624</t>
  </si>
  <si>
    <t>505|374</t>
  </si>
  <si>
    <t>481|373</t>
  </si>
  <si>
    <t>452|619</t>
  </si>
  <si>
    <t>473|372</t>
  </si>
  <si>
    <t>400|583</t>
  </si>
  <si>
    <t>549|481</t>
  </si>
  <si>
    <t>375|511</t>
  </si>
  <si>
    <t>534|376</t>
  </si>
  <si>
    <t>481|400</t>
  </si>
  <si>
    <t>393|567</t>
  </si>
  <si>
    <t>422|399</t>
  </si>
  <si>
    <t>532|451</t>
  </si>
  <si>
    <t>416|598</t>
  </si>
  <si>
    <t>413|596</t>
  </si>
  <si>
    <t>506|465</t>
  </si>
  <si>
    <t>512|553</t>
  </si>
  <si>
    <t>615|493</t>
  </si>
  <si>
    <t>610|494</t>
  </si>
  <si>
    <t>523|628</t>
  </si>
  <si>
    <t>412|407</t>
  </si>
  <si>
    <t>535|386</t>
  </si>
  <si>
    <t>507|373</t>
  </si>
  <si>
    <t>490|630</t>
  </si>
  <si>
    <t>531|621</t>
  </si>
  <si>
    <t>524|626</t>
  </si>
  <si>
    <t>390|565</t>
  </si>
  <si>
    <t>561|611</t>
  </si>
  <si>
    <t>624|496</t>
  </si>
  <si>
    <t>479|626</t>
  </si>
  <si>
    <t>609|566</t>
  </si>
  <si>
    <t>465|626</t>
  </si>
  <si>
    <t>536|395</t>
  </si>
  <si>
    <t>610|430</t>
  </si>
  <si>
    <t>535|377</t>
  </si>
  <si>
    <t>374|514</t>
  </si>
  <si>
    <t>480|374</t>
  </si>
  <si>
    <t>621|549</t>
  </si>
  <si>
    <t>594|445</t>
  </si>
  <si>
    <t>568|393</t>
  </si>
  <si>
    <t>546|382</t>
  </si>
  <si>
    <t>519|375</t>
  </si>
  <si>
    <t>372|516</t>
  </si>
  <si>
    <t>619|461</t>
  </si>
  <si>
    <t>606|506</t>
  </si>
  <si>
    <t>531|513</t>
  </si>
  <si>
    <t>475|536</t>
  </si>
  <si>
    <t>370|513</t>
  </si>
  <si>
    <t>373|511</t>
  </si>
  <si>
    <t>519|587</t>
  </si>
  <si>
    <t>579|600</t>
  </si>
  <si>
    <t>557|384</t>
  </si>
  <si>
    <t>485|584</t>
  </si>
  <si>
    <t>546|380</t>
  </si>
  <si>
    <t>462|376</t>
  </si>
  <si>
    <t>557|383</t>
  </si>
  <si>
    <t>456|575</t>
  </si>
  <si>
    <t>393|551</t>
  </si>
  <si>
    <t>535|375</t>
  </si>
  <si>
    <t>622|462</t>
  </si>
  <si>
    <t>626|490</t>
  </si>
  <si>
    <t>451|621</t>
  </si>
  <si>
    <t>606|483</t>
  </si>
  <si>
    <t>614|489</t>
  </si>
  <si>
    <t>628|506</t>
  </si>
  <si>
    <t>475|376</t>
  </si>
  <si>
    <t>401|420</t>
  </si>
  <si>
    <t>379|466</t>
  </si>
  <si>
    <t>497|624</t>
  </si>
  <si>
    <t>480|373</t>
  </si>
  <si>
    <t>532|621</t>
  </si>
  <si>
    <t>375|515</t>
  </si>
  <si>
    <t>481|629</t>
  </si>
  <si>
    <t>410|411</t>
  </si>
  <si>
    <t>471|388</t>
  </si>
  <si>
    <t>532|390</t>
  </si>
  <si>
    <t>435|393</t>
  </si>
  <si>
    <t>380|452</t>
  </si>
  <si>
    <t>494|372</t>
  </si>
  <si>
    <t>566|585</t>
  </si>
  <si>
    <t>450|587</t>
  </si>
  <si>
    <t>624|466</t>
  </si>
  <si>
    <t>593|474</t>
  </si>
  <si>
    <t>557|613</t>
  </si>
  <si>
    <t>541|376</t>
  </si>
  <si>
    <t>546|475</t>
  </si>
  <si>
    <t>588|596</t>
  </si>
  <si>
    <t>409|586</t>
  </si>
  <si>
    <t>513|406</t>
  </si>
  <si>
    <t>629|509</t>
  </si>
  <si>
    <t>601|574</t>
  </si>
  <si>
    <t>394|429</t>
  </si>
  <si>
    <t>378|530</t>
  </si>
  <si>
    <t>491|375</t>
  </si>
  <si>
    <t>502|453</t>
  </si>
  <si>
    <t>594|591</t>
  </si>
  <si>
    <t>444|506</t>
  </si>
  <si>
    <t>514|594</t>
  </si>
  <si>
    <t>622|456</t>
  </si>
  <si>
    <t>388|439</t>
  </si>
  <si>
    <t>456|429</t>
  </si>
  <si>
    <t>608|573</t>
  </si>
  <si>
    <t>415|402</t>
  </si>
  <si>
    <t>372|476</t>
  </si>
  <si>
    <t>597|421</t>
  </si>
  <si>
    <t>608|564</t>
  </si>
  <si>
    <t>619|456</t>
  </si>
  <si>
    <t>545|382</t>
  </si>
  <si>
    <t>628|510</t>
  </si>
  <si>
    <t>466|615</t>
  </si>
  <si>
    <t>424|400</t>
  </si>
  <si>
    <t>429|527</t>
  </si>
  <si>
    <t>544|379</t>
  </si>
  <si>
    <t>623|535</t>
  </si>
  <si>
    <t>434|391</t>
  </si>
  <si>
    <t>468|624</t>
  </si>
  <si>
    <t>375|513</t>
  </si>
  <si>
    <t>378|489</t>
  </si>
  <si>
    <t>399|577</t>
  </si>
  <si>
    <t>481|370</t>
  </si>
  <si>
    <t>406|411</t>
  </si>
  <si>
    <t>574|597</t>
  </si>
  <si>
    <t>537|373</t>
  </si>
  <si>
    <t>377|455</t>
  </si>
  <si>
    <t>375|535</t>
  </si>
  <si>
    <t>371|508</t>
  </si>
  <si>
    <t>620|452</t>
  </si>
  <si>
    <t>422|439</t>
  </si>
  <si>
    <t>568|610</t>
  </si>
  <si>
    <t>565|576</t>
  </si>
  <si>
    <t>376|461</t>
  </si>
  <si>
    <t>406|414</t>
  </si>
  <si>
    <t>620|563</t>
  </si>
  <si>
    <t>546|377</t>
  </si>
  <si>
    <t>526|371</t>
  </si>
  <si>
    <t>381|452</t>
  </si>
  <si>
    <t>484|394</t>
  </si>
  <si>
    <t>374|536</t>
  </si>
  <si>
    <t>376|516</t>
  </si>
  <si>
    <t>613|563</t>
  </si>
  <si>
    <t>536|505</t>
  </si>
  <si>
    <t>371|505</t>
  </si>
  <si>
    <t>584|403</t>
  </si>
  <si>
    <t>469|433</t>
  </si>
  <si>
    <t>498|371</t>
  </si>
  <si>
    <t>504|375</t>
  </si>
  <si>
    <t>615|554</t>
  </si>
  <si>
    <t>389|567</t>
  </si>
  <si>
    <t>414|592</t>
  </si>
  <si>
    <t>616|561</t>
  </si>
  <si>
    <t>381|445</t>
  </si>
  <si>
    <t>621|546</t>
  </si>
  <si>
    <t>621|459</t>
  </si>
  <si>
    <t>432|611</t>
  </si>
  <si>
    <t>474|623</t>
  </si>
  <si>
    <t>404|411</t>
  </si>
  <si>
    <t>380|519</t>
  </si>
  <si>
    <t>379|535</t>
  </si>
  <si>
    <t>621|457</t>
  </si>
  <si>
    <t>573|395</t>
  </si>
  <si>
    <t>574|606</t>
  </si>
  <si>
    <t>609|428</t>
  </si>
  <si>
    <t>572|390</t>
  </si>
  <si>
    <t>415|563</t>
  </si>
  <si>
    <t>552|616</t>
  </si>
  <si>
    <t>617|547</t>
  </si>
  <si>
    <t>619|551</t>
  </si>
  <si>
    <t>568|609</t>
  </si>
  <si>
    <t>421|604</t>
  </si>
  <si>
    <t>452|620</t>
  </si>
  <si>
    <t>572|605</t>
  </si>
  <si>
    <t>628|500</t>
  </si>
  <si>
    <t>554|412</t>
  </si>
  <si>
    <t>614|563</t>
  </si>
  <si>
    <t>517|375</t>
  </si>
  <si>
    <t>561|616</t>
  </si>
  <si>
    <t>398|550</t>
  </si>
  <si>
    <t>576|605</t>
  </si>
  <si>
    <t>581|598</t>
  </si>
  <si>
    <t>515|594</t>
  </si>
  <si>
    <t>506|455</t>
  </si>
  <si>
    <t>422|604</t>
  </si>
  <si>
    <t>410|591</t>
  </si>
  <si>
    <t>627|495</t>
  </si>
  <si>
    <t>420|403</t>
  </si>
  <si>
    <t>468|379</t>
  </si>
  <si>
    <t>405|415</t>
  </si>
  <si>
    <t>464|574</t>
  </si>
  <si>
    <t>628|488</t>
  </si>
  <si>
    <t>373|493</t>
  </si>
  <si>
    <t>475|623</t>
  </si>
  <si>
    <t>618|454</t>
  </si>
  <si>
    <t>384|556</t>
  </si>
  <si>
    <t>418|403</t>
  </si>
  <si>
    <t>407|584</t>
  </si>
  <si>
    <t>424|396</t>
  </si>
  <si>
    <t>405|589</t>
  </si>
  <si>
    <t>407|413</t>
  </si>
  <si>
    <t>537|625</t>
  </si>
  <si>
    <t>385|443</t>
  </si>
  <si>
    <t>578|602</t>
  </si>
  <si>
    <t>623|545</t>
  </si>
  <si>
    <t>617|551</t>
  </si>
  <si>
    <t>546|378</t>
  </si>
  <si>
    <t>607|486</t>
  </si>
  <si>
    <t>627|513</t>
  </si>
  <si>
    <t>576|535</t>
  </si>
  <si>
    <t>451|622</t>
  </si>
  <si>
    <t>572|560</t>
  </si>
  <si>
    <t>495|628</t>
  </si>
  <si>
    <t>425|395</t>
  </si>
  <si>
    <t>450|619</t>
  </si>
  <si>
    <t>425|436</t>
  </si>
  <si>
    <t>412|408</t>
  </si>
  <si>
    <t>597|413</t>
  </si>
  <si>
    <t>624|478</t>
  </si>
  <si>
    <t>381|541</t>
  </si>
  <si>
    <t>455|487</t>
  </si>
  <si>
    <t>463|624</t>
  </si>
  <si>
    <t>627|497</t>
  </si>
  <si>
    <t>395|423</t>
  </si>
  <si>
    <t>445|454</t>
  </si>
  <si>
    <t>388|436</t>
  </si>
  <si>
    <t>452|593</t>
  </si>
  <si>
    <t>613|558</t>
  </si>
  <si>
    <t>407|409</t>
  </si>
  <si>
    <t>615|439</t>
  </si>
  <si>
    <t>449|381</t>
  </si>
  <si>
    <t>370|496</t>
  </si>
  <si>
    <t>373|464</t>
  </si>
  <si>
    <t>515|397</t>
  </si>
  <si>
    <t>415|600</t>
  </si>
  <si>
    <t>387|442</t>
  </si>
  <si>
    <t>590|593</t>
  </si>
  <si>
    <t>385|533</t>
  </si>
  <si>
    <t>626|481</t>
  </si>
  <si>
    <t>404|414</t>
  </si>
  <si>
    <t>442|617</t>
  </si>
  <si>
    <t>512|374</t>
  </si>
  <si>
    <t>373|470</t>
  </si>
  <si>
    <t>587|593</t>
  </si>
  <si>
    <t>384|447</t>
  </si>
  <si>
    <t>591|590</t>
  </si>
  <si>
    <t>629|516</t>
  </si>
  <si>
    <t>390|434</t>
  </si>
  <si>
    <t>564|611</t>
  </si>
  <si>
    <t>489|616</t>
  </si>
  <si>
    <t>388|568</t>
  </si>
  <si>
    <t>612|442</t>
  </si>
  <si>
    <t>394|425</t>
  </si>
  <si>
    <t>526|374</t>
  </si>
  <si>
    <t>625|527</t>
  </si>
  <si>
    <t>435|586</t>
  </si>
  <si>
    <t>452|379</t>
  </si>
  <si>
    <t>583|400</t>
  </si>
  <si>
    <t>598|414</t>
  </si>
  <si>
    <t>501|627</t>
  </si>
  <si>
    <t>433|388</t>
  </si>
  <si>
    <t>496|631</t>
  </si>
  <si>
    <t>617|439</t>
  </si>
  <si>
    <t>368|519</t>
  </si>
  <si>
    <t>508|388</t>
  </si>
  <si>
    <t>624|530</t>
  </si>
  <si>
    <t>446|620</t>
  </si>
  <si>
    <t>376|475</t>
  </si>
  <si>
    <t>595|589</t>
  </si>
  <si>
    <t>625|521</t>
  </si>
  <si>
    <t>628|528</t>
  </si>
  <si>
    <t>376|469</t>
  </si>
  <si>
    <t>374|462</t>
  </si>
  <si>
    <t>374|487</t>
  </si>
  <si>
    <t>389|441</t>
  </si>
  <si>
    <t>587|404</t>
  </si>
  <si>
    <t>502|608</t>
  </si>
  <si>
    <t>436|385</t>
  </si>
  <si>
    <t>565|607</t>
  </si>
  <si>
    <t>598|575</t>
  </si>
  <si>
    <t>535|506</t>
  </si>
  <si>
    <t>506|366</t>
  </si>
  <si>
    <t>540|375</t>
  </si>
  <si>
    <t>396|572</t>
  </si>
  <si>
    <t>429|391</t>
  </si>
  <si>
    <t>383|558</t>
  </si>
  <si>
    <t>444|395</t>
  </si>
  <si>
    <t>387|563</t>
  </si>
  <si>
    <t>509|369</t>
  </si>
  <si>
    <t>576|394</t>
  </si>
  <si>
    <t>569|610</t>
  </si>
  <si>
    <t>419|398</t>
  </si>
  <si>
    <t>607|505</t>
  </si>
  <si>
    <t>500|369</t>
  </si>
  <si>
    <t>465|373</t>
  </si>
  <si>
    <t>608|506</t>
  </si>
  <si>
    <t>415|593</t>
  </si>
  <si>
    <t>598|515</t>
  </si>
  <si>
    <t>425|392</t>
  </si>
  <si>
    <t>574|608</t>
  </si>
  <si>
    <t>562|387</t>
  </si>
  <si>
    <t>371|524</t>
  </si>
  <si>
    <t>549|621</t>
  </si>
  <si>
    <t>488|577</t>
  </si>
  <si>
    <t>383|441</t>
  </si>
  <si>
    <t>383|546</t>
  </si>
  <si>
    <t>373|488</t>
  </si>
  <si>
    <t>593|409</t>
  </si>
  <si>
    <t>402|585</t>
  </si>
  <si>
    <t>594|526</t>
  </si>
  <si>
    <t>501|371</t>
  </si>
  <si>
    <t>579|602</t>
  </si>
  <si>
    <t>450|382</t>
  </si>
  <si>
    <t>438|427</t>
  </si>
  <si>
    <t>589|592</t>
  </si>
  <si>
    <t>484|415</t>
  </si>
  <si>
    <t>373|519</t>
  </si>
  <si>
    <t>604|570</t>
  </si>
  <si>
    <t>456|556</t>
  </si>
  <si>
    <t>540|625</t>
  </si>
  <si>
    <t>504|435</t>
  </si>
  <si>
    <t>482|371</t>
  </si>
  <si>
    <t>378|470</t>
  </si>
  <si>
    <t>470|624</t>
  </si>
  <si>
    <t>558|383</t>
  </si>
  <si>
    <t>410|408</t>
  </si>
  <si>
    <t>496|396</t>
  </si>
  <si>
    <t>629|486</t>
  </si>
  <si>
    <t>453|378</t>
  </si>
  <si>
    <t>458|381</t>
  </si>
  <si>
    <t>471|626</t>
  </si>
  <si>
    <t>372|504</t>
  </si>
  <si>
    <t>546|505</t>
  </si>
  <si>
    <t>478|406</t>
  </si>
  <si>
    <t>427|392</t>
  </si>
  <si>
    <t>475|625</t>
  </si>
  <si>
    <t>528|627</t>
  </si>
  <si>
    <t>559|612</t>
  </si>
  <si>
    <t>589|406</t>
  </si>
  <si>
    <t>374|513</t>
  </si>
  <si>
    <t>584|595</t>
  </si>
  <si>
    <t>603|582</t>
  </si>
  <si>
    <t>470|626</t>
  </si>
  <si>
    <t>474|377</t>
  </si>
  <si>
    <t>369|499</t>
  </si>
  <si>
    <t>451|603</t>
  </si>
  <si>
    <t>434|565</t>
  </si>
  <si>
    <t>405|419</t>
  </si>
  <si>
    <t>628|470</t>
  </si>
  <si>
    <t>590|411</t>
  </si>
  <si>
    <t>450|620</t>
  </si>
  <si>
    <t>434|585</t>
  </si>
  <si>
    <t>521|629</t>
  </si>
  <si>
    <t>622|465</t>
  </si>
  <si>
    <t>491|629</t>
  </si>
  <si>
    <t>623|459</t>
  </si>
  <si>
    <t>379|449</t>
  </si>
  <si>
    <t>621|550</t>
  </si>
  <si>
    <t>442|381</t>
  </si>
  <si>
    <t>424|436</t>
  </si>
  <si>
    <t>397|420</t>
  </si>
  <si>
    <t>377|464</t>
  </si>
  <si>
    <t>369|487</t>
  </si>
  <si>
    <t>560|425</t>
  </si>
  <si>
    <t>472|376</t>
  </si>
  <si>
    <t>423|606</t>
  </si>
  <si>
    <t>381|464</t>
  </si>
  <si>
    <t>378|457</t>
  </si>
  <si>
    <t>556|525</t>
  </si>
  <si>
    <t>563|609</t>
  </si>
  <si>
    <t>615|441</t>
  </si>
  <si>
    <t>485|626</t>
  </si>
  <si>
    <t>595|408</t>
  </si>
  <si>
    <t>608|433</t>
  </si>
  <si>
    <t>464|378</t>
  </si>
  <si>
    <t>372|474</t>
  </si>
  <si>
    <t>372|469</t>
  </si>
  <si>
    <t>571|611</t>
  </si>
  <si>
    <t>456|382</t>
  </si>
  <si>
    <t>608|432</t>
  </si>
  <si>
    <t>473|371</t>
  </si>
  <si>
    <t>566|605</t>
  </si>
  <si>
    <t>597|583</t>
  </si>
  <si>
    <t>566|612</t>
  </si>
  <si>
    <t>603|573</t>
  </si>
  <si>
    <t>626|503</t>
  </si>
  <si>
    <t>509|373</t>
  </si>
  <si>
    <t>494|476</t>
  </si>
  <si>
    <t>368|496</t>
  </si>
  <si>
    <t>373|499</t>
  </si>
  <si>
    <t>465|623</t>
  </si>
  <si>
    <t>413|408</t>
  </si>
  <si>
    <t>492|632</t>
  </si>
  <si>
    <t>479|409</t>
  </si>
  <si>
    <t>372|473</t>
  </si>
  <si>
    <t>375|467</t>
  </si>
  <si>
    <t>530|628</t>
  </si>
  <si>
    <t>596|587</t>
  </si>
  <si>
    <t>517|597</t>
  </si>
  <si>
    <t>486|542</t>
  </si>
  <si>
    <t>592|414</t>
  </si>
  <si>
    <t>465|426</t>
  </si>
  <si>
    <t>571|609</t>
  </si>
  <si>
    <t>496|369</t>
  </si>
  <si>
    <t>604|578</t>
  </si>
  <si>
    <t>465|376</t>
  </si>
  <si>
    <t>377|469</t>
  </si>
  <si>
    <t>422|400</t>
  </si>
  <si>
    <t>427|599</t>
  </si>
  <si>
    <t>611|563</t>
  </si>
  <si>
    <t>586|401</t>
  </si>
  <si>
    <t>608|568</t>
  </si>
  <si>
    <t>567|613</t>
  </si>
  <si>
    <t>525|516</t>
  </si>
  <si>
    <t>485|381</t>
  </si>
  <si>
    <t>437|385</t>
  </si>
  <si>
    <t>459|507</t>
  </si>
  <si>
    <t>384|563</t>
  </si>
  <si>
    <t>396|573</t>
  </si>
  <si>
    <t>468|585</t>
  </si>
  <si>
    <t>444|619</t>
  </si>
  <si>
    <t>630|506</t>
  </si>
  <si>
    <t>481|407</t>
  </si>
  <si>
    <t>517|625</t>
  </si>
  <si>
    <t>442|421</t>
  </si>
  <si>
    <t>495|399</t>
  </si>
  <si>
    <t>369|519</t>
  </si>
  <si>
    <t>419|597</t>
  </si>
  <si>
    <t>627|469</t>
  </si>
  <si>
    <t>618|450</t>
  </si>
  <si>
    <t>482|631</t>
  </si>
  <si>
    <t>412|596</t>
  </si>
  <si>
    <t>625|543</t>
  </si>
  <si>
    <t>595|537</t>
  </si>
  <si>
    <t>440|383</t>
  </si>
  <si>
    <t>629|473</t>
  </si>
  <si>
    <t>380|454</t>
  </si>
  <si>
    <t>503|374</t>
  </si>
  <si>
    <t>553|379</t>
  </si>
  <si>
    <t>431|607</t>
  </si>
  <si>
    <t>384|442</t>
  </si>
  <si>
    <t>497|373</t>
  </si>
  <si>
    <t>379|442</t>
  </si>
  <si>
    <t>539|625</t>
  </si>
  <si>
    <t>614|476</t>
  </si>
  <si>
    <t>371|486</t>
  </si>
  <si>
    <t>420|594</t>
  </si>
  <si>
    <t>427|389</t>
  </si>
  <si>
    <t>468|373</t>
  </si>
  <si>
    <t>581|599</t>
  </si>
  <si>
    <t>554|426</t>
  </si>
  <si>
    <t>481|626</t>
  </si>
  <si>
    <t>604|574</t>
  </si>
  <si>
    <t>421|596</t>
  </si>
  <si>
    <t>628|474</t>
  </si>
  <si>
    <t>491|630</t>
  </si>
  <si>
    <t>515|632</t>
  </si>
  <si>
    <t>410|403</t>
  </si>
  <si>
    <t>477|375</t>
  </si>
  <si>
    <t>599|414</t>
  </si>
  <si>
    <t>373|491</t>
  </si>
  <si>
    <t>602|521</t>
  </si>
  <si>
    <t>368|507</t>
  </si>
  <si>
    <t>536|605</t>
  </si>
  <si>
    <t>406|592</t>
  </si>
  <si>
    <t>598|582</t>
  </si>
  <si>
    <t>429|392</t>
  </si>
  <si>
    <t>626|516</t>
  </si>
  <si>
    <t>543|375</t>
  </si>
  <si>
    <t>555|384</t>
  </si>
  <si>
    <t>437|455</t>
  </si>
  <si>
    <t>560|582</t>
  </si>
  <si>
    <t>516|594</t>
  </si>
  <si>
    <t>612|567</t>
  </si>
  <si>
    <t>372|508</t>
  </si>
  <si>
    <t>424|405</t>
  </si>
  <si>
    <t>372|479</t>
  </si>
  <si>
    <t>619|555</t>
  </si>
  <si>
    <t>381|444</t>
  </si>
  <si>
    <t>410|590</t>
  </si>
  <si>
    <t>391|431</t>
  </si>
  <si>
    <t>624|534</t>
  </si>
  <si>
    <t>620|451</t>
  </si>
  <si>
    <t>412|406</t>
  </si>
  <si>
    <t>627|531</t>
  </si>
  <si>
    <t>586|403</t>
  </si>
  <si>
    <t>609|429</t>
  </si>
  <si>
    <t>451|623</t>
  </si>
  <si>
    <t>607|430</t>
  </si>
  <si>
    <t>630|512</t>
  </si>
  <si>
    <t>631|498</t>
  </si>
  <si>
    <t>387|565</t>
  </si>
  <si>
    <t>370|501</t>
  </si>
  <si>
    <t>627|498</t>
  </si>
  <si>
    <t>629|498</t>
  </si>
  <si>
    <t>496|370</t>
  </si>
  <si>
    <t>379|538</t>
  </si>
  <si>
    <t>625|540</t>
  </si>
  <si>
    <t>623|540</t>
  </si>
  <si>
    <t>625|539</t>
  </si>
  <si>
    <t>627|530</t>
  </si>
  <si>
    <t>616|485</t>
  </si>
  <si>
    <t>470|628</t>
  </si>
  <si>
    <t>627|545</t>
  </si>
  <si>
    <t>420|511</t>
  </si>
  <si>
    <t>586|406</t>
  </si>
  <si>
    <t>423|607</t>
  </si>
  <si>
    <t>487|546</t>
  </si>
  <si>
    <t>620|551</t>
  </si>
  <si>
    <t>461|502</t>
  </si>
  <si>
    <t>478|371</t>
  </si>
  <si>
    <t>629|476</t>
  </si>
  <si>
    <t>487|415</t>
  </si>
  <si>
    <t>464|377</t>
  </si>
  <si>
    <t>490|632</t>
  </si>
  <si>
    <t>489|628</t>
  </si>
  <si>
    <t>604|573</t>
  </si>
  <si>
    <t>571|388</t>
  </si>
  <si>
    <t>401|419</t>
  </si>
  <si>
    <t>412|592</t>
  </si>
  <si>
    <t>550|383</t>
  </si>
  <si>
    <t>523|405</t>
  </si>
  <si>
    <t>625|546</t>
  </si>
  <si>
    <t>370|484</t>
  </si>
  <si>
    <t>575|607</t>
  </si>
  <si>
    <t>447|615</t>
  </si>
  <si>
    <t>572|607</t>
  </si>
  <si>
    <t>520|626</t>
  </si>
  <si>
    <t>544|619</t>
  </si>
  <si>
    <t>547|620</t>
  </si>
  <si>
    <t>520|374</t>
  </si>
  <si>
    <t>371|489</t>
  </si>
  <si>
    <t>446|481</t>
  </si>
  <si>
    <t>632|486</t>
  </si>
  <si>
    <t>464|426</t>
  </si>
  <si>
    <t>436|615</t>
  </si>
  <si>
    <t>368|499</t>
  </si>
  <si>
    <t>408|410</t>
  </si>
  <si>
    <t>591|409</t>
  </si>
  <si>
    <t>369|520</t>
  </si>
  <si>
    <t>567|389</t>
  </si>
  <si>
    <t>429|565</t>
  </si>
  <si>
    <t>615|436</t>
  </si>
  <si>
    <t>401|586</t>
  </si>
  <si>
    <t>611|430</t>
  </si>
  <si>
    <t>574|610</t>
  </si>
  <si>
    <t>388|440</t>
  </si>
  <si>
    <t>428|390</t>
  </si>
  <si>
    <t>434|611</t>
  </si>
  <si>
    <t>387|433</t>
  </si>
  <si>
    <t>628|476</t>
  </si>
  <si>
    <t>397|426</t>
  </si>
  <si>
    <t>434|393</t>
  </si>
  <si>
    <t>606|570</t>
  </si>
  <si>
    <t>401|582</t>
  </si>
  <si>
    <t>616|440</t>
  </si>
  <si>
    <t>547|377</t>
  </si>
  <si>
    <t>586|598</t>
  </si>
  <si>
    <t>494|371</t>
  </si>
  <si>
    <t>577|393</t>
  </si>
  <si>
    <t>389|571</t>
  </si>
  <si>
    <t>539|624</t>
  </si>
  <si>
    <t>573|393</t>
  </si>
  <si>
    <t>413|598</t>
  </si>
  <si>
    <t>548|376</t>
  </si>
  <si>
    <t>516|371</t>
  </si>
  <si>
    <t>378|455</t>
  </si>
  <si>
    <t>609|430</t>
  </si>
  <si>
    <t>486|369</t>
  </si>
  <si>
    <t>384|437</t>
  </si>
  <si>
    <t>405|590</t>
  </si>
  <si>
    <t>568|391</t>
  </si>
  <si>
    <t>575|395</t>
  </si>
  <si>
    <t>450|561</t>
  </si>
  <si>
    <t>480|627</t>
  </si>
  <si>
    <t>399|584</t>
  </si>
  <si>
    <t>429|403</t>
  </si>
  <si>
    <t>631|476</t>
  </si>
  <si>
    <t>630|491</t>
  </si>
  <si>
    <t>506|445</t>
  </si>
  <si>
    <t>631|512</t>
  </si>
  <si>
    <t>423|395</t>
  </si>
  <si>
    <t>629|499</t>
  </si>
  <si>
    <t>482|626</t>
  </si>
  <si>
    <t>419|400</t>
  </si>
  <si>
    <t>378|546</t>
  </si>
  <si>
    <t>399|415</t>
  </si>
  <si>
    <t>540|624</t>
  </si>
  <si>
    <t>606|430</t>
  </si>
  <si>
    <t>568|466</t>
  </si>
  <si>
    <t>527|375</t>
  </si>
  <si>
    <t>617|560</t>
  </si>
  <si>
    <t>427|395</t>
  </si>
  <si>
    <t>509|368</t>
  </si>
  <si>
    <t>597|409</t>
  </si>
  <si>
    <t>593|410</t>
  </si>
  <si>
    <t>493|630</t>
  </si>
  <si>
    <t>532|626</t>
  </si>
  <si>
    <t>625|480</t>
  </si>
  <si>
    <t>604|576</t>
  </si>
  <si>
    <t>503|629</t>
  </si>
  <si>
    <t>433|610</t>
  </si>
  <si>
    <t>492|423</t>
  </si>
  <si>
    <t>631|505</t>
  </si>
  <si>
    <t>614|567</t>
  </si>
  <si>
    <t>519|628</t>
  </si>
  <si>
    <t>468|595</t>
  </si>
  <si>
    <t>623|450</t>
  </si>
  <si>
    <t>375|541</t>
  </si>
  <si>
    <t>623|449</t>
  </si>
  <si>
    <t>613|566</t>
  </si>
  <si>
    <t>570|507</t>
  </si>
  <si>
    <t>375|456</t>
  </si>
  <si>
    <t>530|613</t>
  </si>
  <si>
    <t>444|545</t>
  </si>
  <si>
    <t>439|399</t>
  </si>
  <si>
    <t>625|464</t>
  </si>
  <si>
    <t>555|617</t>
  </si>
  <si>
    <t>533|371</t>
  </si>
  <si>
    <t>438|383</t>
  </si>
  <si>
    <t>579|399</t>
  </si>
  <si>
    <t>368|493</t>
  </si>
  <si>
    <t>369|484</t>
  </si>
  <si>
    <t>526|627</t>
  </si>
  <si>
    <t>457|442</t>
  </si>
  <si>
    <t>427|406</t>
  </si>
  <si>
    <t>531|374</t>
  </si>
  <si>
    <t>623|548</t>
  </si>
  <si>
    <t>617|546</t>
  </si>
  <si>
    <t>395|425</t>
  </si>
  <si>
    <t>374|467</t>
  </si>
  <si>
    <t>400|417</t>
  </si>
  <si>
    <t>368|490</t>
  </si>
  <si>
    <t>585|406</t>
  </si>
  <si>
    <t>456|554</t>
  </si>
  <si>
    <t>599|580</t>
  </si>
  <si>
    <t>384|564</t>
  </si>
  <si>
    <t>534|624</t>
  </si>
  <si>
    <t>368|508</t>
  </si>
  <si>
    <t>611|570</t>
  </si>
  <si>
    <t>378|542</t>
  </si>
  <si>
    <t>522|373</t>
  </si>
  <si>
    <t>383|439</t>
  </si>
  <si>
    <t>372|523</t>
  </si>
  <si>
    <t>439|383</t>
  </si>
  <si>
    <t>411|599</t>
  </si>
  <si>
    <t>435|564</t>
  </si>
  <si>
    <t>456|380</t>
  </si>
  <si>
    <t>377|550</t>
  </si>
  <si>
    <t>627|509</t>
  </si>
  <si>
    <t>556|586</t>
  </si>
  <si>
    <t>541|374</t>
  </si>
  <si>
    <t>623|538</t>
  </si>
  <si>
    <t>536|606</t>
  </si>
  <si>
    <t>489|369</t>
  </si>
  <si>
    <t>572|392</t>
  </si>
  <si>
    <t>374|537</t>
  </si>
  <si>
    <t>625|532</t>
  </si>
  <si>
    <t>624|467</t>
  </si>
  <si>
    <t>547|622</t>
  </si>
  <si>
    <t>393|572</t>
  </si>
  <si>
    <t>371|503</t>
  </si>
  <si>
    <t>518|395</t>
  </si>
  <si>
    <t>566|611</t>
  </si>
  <si>
    <t>532|372</t>
  </si>
  <si>
    <t>443|382</t>
  </si>
  <si>
    <t>564|389</t>
  </si>
  <si>
    <t>530|374</t>
  </si>
  <si>
    <t>514|371</t>
  </si>
  <si>
    <t>537|376</t>
  </si>
  <si>
    <t>448|620</t>
  </si>
  <si>
    <t>423|604</t>
  </si>
  <si>
    <t>564|425</t>
  </si>
  <si>
    <t>450|380</t>
  </si>
  <si>
    <t>458|627</t>
  </si>
  <si>
    <t>575|506</t>
  </si>
  <si>
    <t>390|568</t>
  </si>
  <si>
    <t>448|616</t>
  </si>
  <si>
    <t>513|404</t>
  </si>
  <si>
    <t>439|388</t>
  </si>
  <si>
    <t>574|395</t>
  </si>
  <si>
    <t>608|429</t>
  </si>
  <si>
    <t>607|422</t>
  </si>
  <si>
    <t>420|397</t>
  </si>
  <si>
    <t>381|447</t>
  </si>
  <si>
    <t>627|480</t>
  </si>
  <si>
    <t>609|576</t>
  </si>
  <si>
    <t>495|631</t>
  </si>
  <si>
    <t>630|510</t>
  </si>
  <si>
    <t>367|509</t>
  </si>
  <si>
    <t>631|480</t>
  </si>
  <si>
    <t>577|397</t>
  </si>
  <si>
    <t>476|628</t>
  </si>
  <si>
    <t>596|516</t>
  </si>
  <si>
    <t>370|519</t>
  </si>
  <si>
    <t>444|385</t>
  </si>
  <si>
    <t>485|494</t>
  </si>
  <si>
    <t>625|455</t>
  </si>
  <si>
    <t>537|377</t>
  </si>
  <si>
    <t>457|623</t>
  </si>
  <si>
    <t>467|374</t>
  </si>
  <si>
    <t>492|369</t>
  </si>
  <si>
    <t>386|436</t>
  </si>
  <si>
    <t>384|444</t>
  </si>
  <si>
    <t>545|494</t>
  </si>
  <si>
    <t>383|448</t>
  </si>
  <si>
    <t>421|398</t>
  </si>
  <si>
    <t>597|459</t>
  </si>
  <si>
    <t>588|599</t>
  </si>
  <si>
    <t>486|370</t>
  </si>
  <si>
    <t>545|377</t>
  </si>
  <si>
    <t>465|616</t>
  </si>
  <si>
    <t>607|427</t>
  </si>
  <si>
    <t>601|462</t>
  </si>
  <si>
    <t>388|433</t>
  </si>
  <si>
    <t>390|431</t>
  </si>
  <si>
    <t>624|539</t>
  </si>
  <si>
    <t>370|515</t>
  </si>
  <si>
    <t>387|488</t>
  </si>
  <si>
    <t>428|606</t>
  </si>
  <si>
    <t>373|524</t>
  </si>
  <si>
    <t>600|420</t>
  </si>
  <si>
    <t>624|546</t>
  </si>
  <si>
    <t>582|400</t>
  </si>
  <si>
    <t>390|575</t>
  </si>
  <si>
    <t>628|450</t>
  </si>
  <si>
    <t>379|550</t>
  </si>
  <si>
    <t>382|559</t>
  </si>
  <si>
    <t>385|556</t>
  </si>
  <si>
    <t>622|454</t>
  </si>
  <si>
    <t>383|559</t>
  </si>
  <si>
    <t>567|611</t>
  </si>
  <si>
    <t>388|567</t>
  </si>
  <si>
    <t>583|399</t>
  </si>
  <si>
    <t>371|483</t>
  </si>
  <si>
    <t>503|630</t>
  </si>
  <si>
    <t>632|502</t>
  </si>
  <si>
    <t>630|474</t>
  </si>
  <si>
    <t>573|392</t>
  </si>
  <si>
    <t>450|622</t>
  </si>
  <si>
    <t>487|416</t>
  </si>
  <si>
    <t>557|400</t>
  </si>
  <si>
    <t>581|398</t>
  </si>
  <si>
    <t>490|372</t>
  </si>
  <si>
    <t>417|396</t>
  </si>
  <si>
    <t>631|501</t>
  </si>
  <si>
    <t>451|381</t>
  </si>
  <si>
    <t>385|569</t>
  </si>
  <si>
    <t>460|580</t>
  </si>
  <si>
    <t>524|554</t>
  </si>
  <si>
    <t>507|371</t>
  </si>
  <si>
    <t>576|434</t>
  </si>
  <si>
    <t>370|523</t>
  </si>
  <si>
    <t>434|612</t>
  </si>
  <si>
    <t>610|432</t>
  </si>
  <si>
    <t>559|601</t>
  </si>
  <si>
    <t>493|383</t>
  </si>
  <si>
    <t>488|397</t>
  </si>
  <si>
    <t>389|566</t>
  </si>
  <si>
    <t>442|387</t>
  </si>
  <si>
    <t>378|548</t>
  </si>
  <si>
    <t>627|483</t>
  </si>
  <si>
    <t>596|412</t>
  </si>
  <si>
    <t>383|557</t>
  </si>
  <si>
    <t>370|516</t>
  </si>
  <si>
    <t>416|559</t>
  </si>
  <si>
    <t>446|383</t>
  </si>
  <si>
    <t>464|624</t>
  </si>
  <si>
    <t>612|572</t>
  </si>
  <si>
    <t>623|536</t>
  </si>
  <si>
    <t>427|612</t>
  </si>
  <si>
    <t>457|625</t>
  </si>
  <si>
    <t>572|393</t>
  </si>
  <si>
    <t>441|384</t>
  </si>
  <si>
    <t>449|623</t>
  </si>
  <si>
    <t>620|443</t>
  </si>
  <si>
    <t>533|627</t>
  </si>
  <si>
    <t>617|443</t>
  </si>
  <si>
    <t>503|375</t>
  </si>
  <si>
    <t>624|545</t>
  </si>
  <si>
    <t>562|617</t>
  </si>
  <si>
    <t>427|409</t>
  </si>
  <si>
    <t>586|596</t>
  </si>
  <si>
    <t>554|584</t>
  </si>
  <si>
    <t>566|555</t>
  </si>
  <si>
    <t>617|552</t>
  </si>
  <si>
    <t>432|564</t>
  </si>
  <si>
    <t>574|425</t>
  </si>
  <si>
    <t>515|369</t>
  </si>
  <si>
    <t>421|607</t>
  </si>
  <si>
    <t>607|426</t>
  </si>
  <si>
    <t>403|584</t>
  </si>
  <si>
    <t>371|475</t>
  </si>
  <si>
    <t>535|606</t>
  </si>
  <si>
    <t>425|604</t>
  </si>
  <si>
    <t>482|368</t>
  </si>
  <si>
    <t>595|586</t>
  </si>
  <si>
    <t>368|492</t>
  </si>
  <si>
    <t>479|627</t>
  </si>
  <si>
    <t>499|372</t>
  </si>
  <si>
    <t>511|371</t>
  </si>
  <si>
    <t>560|384</t>
  </si>
  <si>
    <t>580|548</t>
  </si>
  <si>
    <t>604|417</t>
  </si>
  <si>
    <t>577|390</t>
  </si>
  <si>
    <t>576|389</t>
  </si>
  <si>
    <t>449|386</t>
  </si>
  <si>
    <t>510|369</t>
  </si>
  <si>
    <t>614|435</t>
  </si>
  <si>
    <t>509|631</t>
  </si>
  <si>
    <t>538|390</t>
  </si>
  <si>
    <t>395|575</t>
  </si>
  <si>
    <t>390|567</t>
  </si>
  <si>
    <t>562|615</t>
  </si>
  <si>
    <t>383|563</t>
  </si>
  <si>
    <t>617|559</t>
  </si>
  <si>
    <t>387|564</t>
  </si>
  <si>
    <t>552|382</t>
  </si>
  <si>
    <t>470|435</t>
  </si>
  <si>
    <t>432|588</t>
  </si>
  <si>
    <t>614|438</t>
  </si>
  <si>
    <t>627|542</t>
  </si>
  <si>
    <t>618|430</t>
  </si>
  <si>
    <t>617|438</t>
  </si>
  <si>
    <t>376|459</t>
  </si>
  <si>
    <t>601|570</t>
  </si>
  <si>
    <t>624|458</t>
  </si>
  <si>
    <t>465|399</t>
  </si>
  <si>
    <t>601|414</t>
  </si>
  <si>
    <t>453|381</t>
  </si>
  <si>
    <t>541|621</t>
  </si>
  <si>
    <t>555|391</t>
  </si>
  <si>
    <t>559|384</t>
  </si>
  <si>
    <t>375|545</t>
  </si>
  <si>
    <t>429|388</t>
  </si>
  <si>
    <t>601|416</t>
  </si>
  <si>
    <t>370|492</t>
  </si>
  <si>
    <t>623|461</t>
  </si>
  <si>
    <t>605|439</t>
  </si>
  <si>
    <t>581|587</t>
  </si>
  <si>
    <t>431|395</t>
  </si>
  <si>
    <t>587|400</t>
  </si>
  <si>
    <t>483|368</t>
  </si>
  <si>
    <t>597|412</t>
  </si>
  <si>
    <t>549|392</t>
  </si>
  <si>
    <t>391|478</t>
  </si>
  <si>
    <t>546|525</t>
  </si>
  <si>
    <t>485|627</t>
  </si>
  <si>
    <t>455|616</t>
  </si>
  <si>
    <t>427|591</t>
  </si>
  <si>
    <t>620|449</t>
  </si>
  <si>
    <t>574|611</t>
  </si>
  <si>
    <t>569|614</t>
  </si>
  <si>
    <t>578|606</t>
  </si>
  <si>
    <t>506|367</t>
  </si>
  <si>
    <t>629|531</t>
  </si>
  <si>
    <t>372|528</t>
  </si>
  <si>
    <t>597|407</t>
  </si>
  <si>
    <t>490|393</t>
  </si>
  <si>
    <t>373|515</t>
  </si>
  <si>
    <t>592|590</t>
  </si>
  <si>
    <t>627|467</t>
  </si>
  <si>
    <t>373|481</t>
  </si>
  <si>
    <t>453|619</t>
  </si>
  <si>
    <t>405|594</t>
  </si>
  <si>
    <t>469|372</t>
  </si>
  <si>
    <t>388|431</t>
  </si>
  <si>
    <t>632|512</t>
  </si>
  <si>
    <t>627|543</t>
  </si>
  <si>
    <t>398|415</t>
  </si>
  <si>
    <t>429|613</t>
  </si>
  <si>
    <t>478|595</t>
  </si>
  <si>
    <t>630|500</t>
  </si>
  <si>
    <t>516|593</t>
  </si>
  <si>
    <t>628|504</t>
  </si>
  <si>
    <t>530|432</t>
  </si>
  <si>
    <t>630|524</t>
  </si>
  <si>
    <t>417|398</t>
  </si>
  <si>
    <t>367|499</t>
  </si>
  <si>
    <t>367|506</t>
  </si>
  <si>
    <t>606|420</t>
  </si>
  <si>
    <t>469|628</t>
  </si>
  <si>
    <t>374|457</t>
  </si>
  <si>
    <t>379|541</t>
  </si>
  <si>
    <t>579|392</t>
  </si>
  <si>
    <t>430|391</t>
  </si>
  <si>
    <t>582|602</t>
  </si>
  <si>
    <t>566|383</t>
  </si>
  <si>
    <t>487|483</t>
  </si>
  <si>
    <t>438|616</t>
  </si>
  <si>
    <t>414|595</t>
  </si>
  <si>
    <t>630|525</t>
  </si>
  <si>
    <t>462|626</t>
  </si>
  <si>
    <t>607|473</t>
  </si>
  <si>
    <t>534|606</t>
  </si>
  <si>
    <t>535|629</t>
  </si>
  <si>
    <t>453|556</t>
  </si>
  <si>
    <t>428|389</t>
  </si>
  <si>
    <t>415|506</t>
  </si>
  <si>
    <t>571|614</t>
  </si>
  <si>
    <t>554|622</t>
  </si>
  <si>
    <t>495|606</t>
  </si>
  <si>
    <t>372|526</t>
  </si>
  <si>
    <t>485|371</t>
  </si>
  <si>
    <t>454|625</t>
  </si>
  <si>
    <t>530|379</t>
  </si>
  <si>
    <t>426|401</t>
  </si>
  <si>
    <t>469|371</t>
  </si>
  <si>
    <t>502|633</t>
  </si>
  <si>
    <t>418|398</t>
  </si>
  <si>
    <t>371|500</t>
  </si>
  <si>
    <t>572|612</t>
  </si>
  <si>
    <t>408|409</t>
  </si>
  <si>
    <t>629|489</t>
  </si>
  <si>
    <t>606|425</t>
  </si>
  <si>
    <t>549|620</t>
  </si>
  <si>
    <t>608|577</t>
  </si>
  <si>
    <t>431|387</t>
  </si>
  <si>
    <t>414|601</t>
  </si>
  <si>
    <t>597|590</t>
  </si>
  <si>
    <t>550|618</t>
  </si>
  <si>
    <t>599|417</t>
  </si>
  <si>
    <t>368|509</t>
  </si>
  <si>
    <t>627|460</t>
  </si>
  <si>
    <t>628|495</t>
  </si>
  <si>
    <t>621|456</t>
  </si>
  <si>
    <t>626|524</t>
  </si>
  <si>
    <t>627|462</t>
  </si>
  <si>
    <t>628|492</t>
  </si>
  <si>
    <t>596|408</t>
  </si>
  <si>
    <t>448|602</t>
  </si>
  <si>
    <t>622|455</t>
  </si>
  <si>
    <t>596|496</t>
  </si>
  <si>
    <t>557|569</t>
  </si>
  <si>
    <t>488|372</t>
  </si>
  <si>
    <t>629|500</t>
  </si>
  <si>
    <t>598|476</t>
  </si>
  <si>
    <t>468|481</t>
  </si>
  <si>
    <t>623|463</t>
  </si>
  <si>
    <t>598|477</t>
  </si>
  <si>
    <t>626|458</t>
  </si>
  <si>
    <t>556|384</t>
  </si>
  <si>
    <t>593|404</t>
  </si>
  <si>
    <t>369|507</t>
  </si>
  <si>
    <t>618|440</t>
  </si>
  <si>
    <t>566|485</t>
  </si>
  <si>
    <t>583|605</t>
  </si>
  <si>
    <t>446|575</t>
  </si>
  <si>
    <t>536|398</t>
  </si>
  <si>
    <t>594|546</t>
  </si>
  <si>
    <t>377|450</t>
  </si>
  <si>
    <t>618|546</t>
  </si>
  <si>
    <t>618|448</t>
  </si>
  <si>
    <t>404|589</t>
  </si>
  <si>
    <t>625|544</t>
  </si>
  <si>
    <t>425|606</t>
  </si>
  <si>
    <t>410|453</t>
  </si>
  <si>
    <t>581|400</t>
  </si>
  <si>
    <t>476|476</t>
  </si>
  <si>
    <t>408|593</t>
  </si>
  <si>
    <t>589|600</t>
  </si>
  <si>
    <t>373|461</t>
  </si>
  <si>
    <t>623|550</t>
  </si>
  <si>
    <t>409|408</t>
  </si>
  <si>
    <t>620|450</t>
  </si>
  <si>
    <t>418|396</t>
  </si>
  <si>
    <t>622|546</t>
  </si>
  <si>
    <t>469|480</t>
  </si>
  <si>
    <t>546|494</t>
  </si>
  <si>
    <t>559|383</t>
  </si>
  <si>
    <t>606|573</t>
  </si>
  <si>
    <t>459|445</t>
  </si>
  <si>
    <t>578|431</t>
  </si>
  <si>
    <t>601|585</t>
  </si>
  <si>
    <t>420|389</t>
  </si>
  <si>
    <t>543|622</t>
  </si>
  <si>
    <t>611|564</t>
  </si>
  <si>
    <t>377|551</t>
  </si>
  <si>
    <t>406|408</t>
  </si>
  <si>
    <t>377|540</t>
  </si>
  <si>
    <t>549|625</t>
  </si>
  <si>
    <t>612|433</t>
  </si>
  <si>
    <t>621|447</t>
  </si>
  <si>
    <t>367|479</t>
  </si>
  <si>
    <t>590|596</t>
  </si>
  <si>
    <t>416|595</t>
  </si>
  <si>
    <t>490|633</t>
  </si>
  <si>
    <t>475|584</t>
  </si>
  <si>
    <t>628|538</t>
  </si>
  <si>
    <t>494|475</t>
  </si>
  <si>
    <t>454|563</t>
  </si>
  <si>
    <t>396|585</t>
  </si>
  <si>
    <t>616|557</t>
  </si>
  <si>
    <t>628|461</t>
  </si>
  <si>
    <t>504|456</t>
  </si>
  <si>
    <t>413|398</t>
  </si>
  <si>
    <t>573|417</t>
  </si>
  <si>
    <t>458|624</t>
  </si>
  <si>
    <t>375|544</t>
  </si>
  <si>
    <t>379|553</t>
  </si>
  <si>
    <t>634|510</t>
  </si>
  <si>
    <t>623|448</t>
  </si>
  <si>
    <t>434|436</t>
  </si>
  <si>
    <t>619|449</t>
  </si>
  <si>
    <t>426|464</t>
  </si>
  <si>
    <t>533|370</t>
  </si>
  <si>
    <t>624|471</t>
  </si>
  <si>
    <t>441|380</t>
  </si>
  <si>
    <t>379|551</t>
  </si>
  <si>
    <t>447|618</t>
  </si>
  <si>
    <t>413|567</t>
  </si>
  <si>
    <t>369|504</t>
  </si>
  <si>
    <t>434|616</t>
  </si>
  <si>
    <t>576|611</t>
  </si>
  <si>
    <t>414|599</t>
  </si>
  <si>
    <t>619|548</t>
  </si>
  <si>
    <t>441|382</t>
  </si>
  <si>
    <t>385|559</t>
  </si>
  <si>
    <t>625|549</t>
  </si>
  <si>
    <t>516|631</t>
  </si>
  <si>
    <t>463|371</t>
  </si>
  <si>
    <t>372|488</t>
  </si>
  <si>
    <t>371|532</t>
  </si>
  <si>
    <t>594|544</t>
  </si>
  <si>
    <t>383|529</t>
  </si>
  <si>
    <t>413|400</t>
  </si>
  <si>
    <t>612|429</t>
  </si>
  <si>
    <t>586|604</t>
  </si>
  <si>
    <t>451|619</t>
  </si>
  <si>
    <t>495|368</t>
  </si>
  <si>
    <t>371|474</t>
  </si>
  <si>
    <t>380|555</t>
  </si>
  <si>
    <t>525|375</t>
  </si>
  <si>
    <t>629|508</t>
  </si>
  <si>
    <t>410|599</t>
  </si>
  <si>
    <t>466|376</t>
  </si>
  <si>
    <t>617|565</t>
  </si>
  <si>
    <t>535|371</t>
  </si>
  <si>
    <t>581|606</t>
  </si>
  <si>
    <t>424|389</t>
  </si>
  <si>
    <t>417|604</t>
  </si>
  <si>
    <t>622|541</t>
  </si>
  <si>
    <t>624|538</t>
  </si>
  <si>
    <t>630|522</t>
  </si>
  <si>
    <t>434|386</t>
  </si>
  <si>
    <t>417|401</t>
  </si>
  <si>
    <t>395|576</t>
  </si>
  <si>
    <t>589|597</t>
  </si>
  <si>
    <t>565|424</t>
  </si>
  <si>
    <t>394|494</t>
  </si>
  <si>
    <t>624|549</t>
  </si>
  <si>
    <t>416|398</t>
  </si>
  <si>
    <t>616|545</t>
  </si>
  <si>
    <t>454|487</t>
  </si>
  <si>
    <t>545|378</t>
  </si>
  <si>
    <t>422|608</t>
  </si>
  <si>
    <t>517|405</t>
  </si>
  <si>
    <t>400|410</t>
  </si>
  <si>
    <t>436|617</t>
  </si>
  <si>
    <t>368|525</t>
  </si>
  <si>
    <t>526|373</t>
  </si>
  <si>
    <t>407|592</t>
  </si>
  <si>
    <t>561|419</t>
  </si>
  <si>
    <t>444|505</t>
  </si>
  <si>
    <t>631|516</t>
  </si>
  <si>
    <t>592|581</t>
  </si>
  <si>
    <t>630|509</t>
  </si>
  <si>
    <t>421|392</t>
  </si>
  <si>
    <t>619|438</t>
  </si>
  <si>
    <t>622|543</t>
  </si>
  <si>
    <t>546|624</t>
  </si>
  <si>
    <t>382|555</t>
  </si>
  <si>
    <t>516|632</t>
  </si>
  <si>
    <t>366|503</t>
  </si>
  <si>
    <t>536|624</t>
  </si>
  <si>
    <t>608|421</t>
  </si>
  <si>
    <t>406|581</t>
  </si>
  <si>
    <t>629|467</t>
  </si>
  <si>
    <t>376|547</t>
  </si>
  <si>
    <t>574|612</t>
  </si>
  <si>
    <t>525|627</t>
  </si>
  <si>
    <t>626|532</t>
  </si>
  <si>
    <t>625|557</t>
  </si>
  <si>
    <t>506|506</t>
  </si>
  <si>
    <t>624|550</t>
  </si>
  <si>
    <t>609|581</t>
  </si>
  <si>
    <t>378|450</t>
  </si>
  <si>
    <t>525|396</t>
  </si>
  <si>
    <t>372|541</t>
  </si>
  <si>
    <t>372|540</t>
  </si>
  <si>
    <t>539|633</t>
  </si>
  <si>
    <t>604|587</t>
  </si>
  <si>
    <t>536|618</t>
  </si>
  <si>
    <t>567|612</t>
  </si>
  <si>
    <t>390|574</t>
  </si>
  <si>
    <t>527|383</t>
  </si>
  <si>
    <t>611|426</t>
  </si>
  <si>
    <t>501|377</t>
  </si>
  <si>
    <t>545|374</t>
  </si>
  <si>
    <t>600|580</t>
  </si>
  <si>
    <t>600|479</t>
  </si>
  <si>
    <t>529|632</t>
  </si>
  <si>
    <t>576|612</t>
  </si>
  <si>
    <t>527|539</t>
  </si>
  <si>
    <t>478|373</t>
  </si>
  <si>
    <t>487|366</t>
  </si>
  <si>
    <t>379|548</t>
  </si>
  <si>
    <t>622|553</t>
  </si>
  <si>
    <t>409|403</t>
  </si>
  <si>
    <t>379|448</t>
  </si>
  <si>
    <t>450|625</t>
  </si>
  <si>
    <t>479|369</t>
  </si>
  <si>
    <t>434|615</t>
  </si>
  <si>
    <t>630|546</t>
  </si>
  <si>
    <t>625|460</t>
  </si>
  <si>
    <t>629|474</t>
  </si>
  <si>
    <t>415|599</t>
  </si>
  <si>
    <t>493|371</t>
  </si>
  <si>
    <t>451|375</t>
  </si>
  <si>
    <t>507|369</t>
  </si>
  <si>
    <t>425|388</t>
  </si>
  <si>
    <t>539|623</t>
  </si>
  <si>
    <t>556|619</t>
  </si>
  <si>
    <t>512|631</t>
  </si>
  <si>
    <t>618|564</t>
  </si>
  <si>
    <t>377|539</t>
  </si>
  <si>
    <t>479|370</t>
  </si>
  <si>
    <t>610|573</t>
  </si>
  <si>
    <t>547|376</t>
  </si>
  <si>
    <t>633|522</t>
  </si>
  <si>
    <t>589|539</t>
  </si>
  <si>
    <t>630|501</t>
  </si>
  <si>
    <t>378|453</t>
  </si>
  <si>
    <t>422|606</t>
  </si>
  <si>
    <t>417|400</t>
  </si>
  <si>
    <t>631|503</t>
  </si>
  <si>
    <t>446|416</t>
  </si>
  <si>
    <t>622|545</t>
  </si>
  <si>
    <t>388|437</t>
  </si>
  <si>
    <t>572|391</t>
  </si>
  <si>
    <t>631|470</t>
  </si>
  <si>
    <t>606|576</t>
  </si>
  <si>
    <t>379|555</t>
  </si>
  <si>
    <t>600|482</t>
  </si>
  <si>
    <t>607|580</t>
  </si>
  <si>
    <t>498|367</t>
  </si>
  <si>
    <t>375|484</t>
  </si>
  <si>
    <t>556|617</t>
  </si>
  <si>
    <t>602|545</t>
  </si>
  <si>
    <t>597|580</t>
  </si>
  <si>
    <t>382|438</t>
  </si>
  <si>
    <t>634|519</t>
  </si>
  <si>
    <t>624|544</t>
  </si>
  <si>
    <t>559|622</t>
  </si>
  <si>
    <t>628|529</t>
  </si>
  <si>
    <t>392|576</t>
  </si>
  <si>
    <t>480|367</t>
  </si>
  <si>
    <t>474|366</t>
  </si>
  <si>
    <t>485|403</t>
  </si>
  <si>
    <t>532|627</t>
  </si>
  <si>
    <t>456|622</t>
  </si>
  <si>
    <t>591|401</t>
  </si>
  <si>
    <t>611|574</t>
  </si>
  <si>
    <t>616|466</t>
  </si>
  <si>
    <t>370|469</t>
  </si>
  <si>
    <t>571|387</t>
  </si>
  <si>
    <t>551|624</t>
  </si>
  <si>
    <t>505|633</t>
  </si>
  <si>
    <t>387|569</t>
  </si>
  <si>
    <t>539|383</t>
  </si>
  <si>
    <t>626|473</t>
  </si>
  <si>
    <t>391|571</t>
  </si>
  <si>
    <t>444|504</t>
  </si>
  <si>
    <t>486|526</t>
  </si>
  <si>
    <t>581|608</t>
  </si>
  <si>
    <t>473|370</t>
  </si>
  <si>
    <t>416|396</t>
  </si>
  <si>
    <t>404|592</t>
  </si>
  <si>
    <t>483|382</t>
  </si>
  <si>
    <t>430|389</t>
  </si>
  <si>
    <t>402|408</t>
  </si>
  <si>
    <t>608|578</t>
  </si>
  <si>
    <t>558|616</t>
  </si>
  <si>
    <t>624|460</t>
  </si>
  <si>
    <t>527|378</t>
  </si>
  <si>
    <t>380|445</t>
  </si>
  <si>
    <t>622|551</t>
  </si>
  <si>
    <t>389|578</t>
  </si>
  <si>
    <t>536|440</t>
  </si>
  <si>
    <t>632|472</t>
  </si>
  <si>
    <t>583|603</t>
  </si>
  <si>
    <t>398|580</t>
  </si>
  <si>
    <t>584|406</t>
  </si>
  <si>
    <t>418|390</t>
  </si>
  <si>
    <t>474|485</t>
  </si>
  <si>
    <t>441|385</t>
  </si>
  <si>
    <t>521|630</t>
  </si>
  <si>
    <t>366|488</t>
  </si>
  <si>
    <t>536|396</t>
  </si>
  <si>
    <t>580|394</t>
  </si>
  <si>
    <t>631|510</t>
  </si>
  <si>
    <t>368|495</t>
  </si>
  <si>
    <t>376|556</t>
  </si>
  <si>
    <t>377|542</t>
  </si>
  <si>
    <t>634|501</t>
  </si>
  <si>
    <t>371|534</t>
  </si>
  <si>
    <t>518|367</t>
  </si>
  <si>
    <t>524|633</t>
  </si>
  <si>
    <t>482|629</t>
  </si>
  <si>
    <t>449|625</t>
  </si>
  <si>
    <t>373|474</t>
  </si>
  <si>
    <t>631|471</t>
  </si>
  <si>
    <t>368|511</t>
  </si>
  <si>
    <t>577|385</t>
  </si>
  <si>
    <t>434|385</t>
  </si>
  <si>
    <t>574|383</t>
  </si>
  <si>
    <t>548|624</t>
  </si>
  <si>
    <t>601|588</t>
  </si>
  <si>
    <t>632|529</t>
  </si>
  <si>
    <t>442|383</t>
  </si>
  <si>
    <t>571|392</t>
  </si>
  <si>
    <t>627|532</t>
  </si>
  <si>
    <t>582|392</t>
  </si>
  <si>
    <t>619|435</t>
  </si>
  <si>
    <t>370|477</t>
  </si>
  <si>
    <t>374|454</t>
  </si>
  <si>
    <t>373|525</t>
  </si>
  <si>
    <t>371|477</t>
  </si>
  <si>
    <t>368|522</t>
  </si>
  <si>
    <t>378|559</t>
  </si>
  <si>
    <t>436|386</t>
  </si>
  <si>
    <t>567|616</t>
  </si>
  <si>
    <t>366|496</t>
  </si>
  <si>
    <t>425|611</t>
  </si>
  <si>
    <t>588|400</t>
  </si>
  <si>
    <t>548|445</t>
  </si>
  <si>
    <t>634|523</t>
  </si>
  <si>
    <t>410|601</t>
  </si>
  <si>
    <t>545|624</t>
  </si>
  <si>
    <t>589|399</t>
  </si>
  <si>
    <t>374|464</t>
  </si>
  <si>
    <t>528|369</t>
  </si>
  <si>
    <t>626|537</t>
  </si>
  <si>
    <t>610|568</t>
  </si>
  <si>
    <t>588|586</t>
  </si>
  <si>
    <t>422|396</t>
  </si>
  <si>
    <t>610|579</t>
  </si>
  <si>
    <t>605|581</t>
  </si>
  <si>
    <t>378|545</t>
  </si>
  <si>
    <t>492|629</t>
  </si>
  <si>
    <t>584|559</t>
  </si>
  <si>
    <t>440|384</t>
  </si>
  <si>
    <t>375|452</t>
  </si>
  <si>
    <t>373|463</t>
  </si>
  <si>
    <t>489|630</t>
  </si>
  <si>
    <t>505|367</t>
  </si>
  <si>
    <t>592|464</t>
  </si>
  <si>
    <t>446|386</t>
  </si>
  <si>
    <t>387|570</t>
  </si>
  <si>
    <t>367|483</t>
  </si>
  <si>
    <t>386|437</t>
  </si>
  <si>
    <t>446|618</t>
  </si>
  <si>
    <t>385|571</t>
  </si>
  <si>
    <t>555|622</t>
  </si>
  <si>
    <t>607|582</t>
  </si>
  <si>
    <t>609|579</t>
  </si>
  <si>
    <t>513|633</t>
  </si>
  <si>
    <t>486|465</t>
  </si>
  <si>
    <t>602|584</t>
  </si>
  <si>
    <t>442|388</t>
  </si>
  <si>
    <t>526|629</t>
  </si>
  <si>
    <t>490|365</t>
  </si>
  <si>
    <t>375|450</t>
  </si>
  <si>
    <t>594|525</t>
  </si>
  <si>
    <t>608|584</t>
  </si>
  <si>
    <t>457|372</t>
  </si>
  <si>
    <t>611|578</t>
  </si>
  <si>
    <t>466|505</t>
  </si>
  <si>
    <t>526|390</t>
  </si>
  <si>
    <t>570|612</t>
  </si>
  <si>
    <t>438|621</t>
  </si>
  <si>
    <t>450|593</t>
  </si>
  <si>
    <t>435|618</t>
  </si>
  <si>
    <t>489|382</t>
  </si>
  <si>
    <t>494|367</t>
  </si>
  <si>
    <t>491|366</t>
  </si>
  <si>
    <t>555|618</t>
  </si>
  <si>
    <t>365|491</t>
  </si>
  <si>
    <t>514|630</t>
  </si>
  <si>
    <t>412|566</t>
  </si>
  <si>
    <t>595|478</t>
  </si>
  <si>
    <t>505|386</t>
  </si>
  <si>
    <t>368|486</t>
  </si>
  <si>
    <t>484|368</t>
  </si>
  <si>
    <t>375|461</t>
  </si>
  <si>
    <t>366|489</t>
  </si>
  <si>
    <t>546|626</t>
  </si>
  <si>
    <t>534|378</t>
  </si>
  <si>
    <t>630|504</t>
  </si>
  <si>
    <t>368|514</t>
  </si>
  <si>
    <t>370|503</t>
  </si>
  <si>
    <t>505|632</t>
  </si>
  <si>
    <t>482|630</t>
  </si>
  <si>
    <t>373|475</t>
  </si>
  <si>
    <t>496|634</t>
  </si>
  <si>
    <t>535|392</t>
  </si>
  <si>
    <t>543|377</t>
  </si>
  <si>
    <t>438|385</t>
  </si>
  <si>
    <t>421|608</t>
  </si>
  <si>
    <t>522|630</t>
  </si>
  <si>
    <t>632|473</t>
  </si>
  <si>
    <t>558|446</t>
  </si>
  <si>
    <t>389|421</t>
  </si>
  <si>
    <t>390|425</t>
  </si>
  <si>
    <t>535|396</t>
  </si>
  <si>
    <t>513|632</t>
  </si>
  <si>
    <t>366|519</t>
  </si>
  <si>
    <t>570|389</t>
  </si>
  <si>
    <t>484|387</t>
  </si>
  <si>
    <t>391|424</t>
  </si>
  <si>
    <t>394|422</t>
  </si>
  <si>
    <t>493|462</t>
  </si>
  <si>
    <t>621|553</t>
  </si>
  <si>
    <t>631|473</t>
  </si>
  <si>
    <t>416|606</t>
  </si>
  <si>
    <t>470|390</t>
  </si>
  <si>
    <t>589|401</t>
  </si>
  <si>
    <t>479|368</t>
  </si>
  <si>
    <t>520|368</t>
  </si>
  <si>
    <t>390|553</t>
  </si>
  <si>
    <t>457|596</t>
  </si>
  <si>
    <t>434|613</t>
  </si>
  <si>
    <t>495|364</t>
  </si>
  <si>
    <t>369|513</t>
  </si>
  <si>
    <t>385|437</t>
  </si>
  <si>
    <t>370|486</t>
  </si>
  <si>
    <t>376|446</t>
  </si>
  <si>
    <t>474|631</t>
  </si>
  <si>
    <t>633|493</t>
  </si>
  <si>
    <t>576|525</t>
  </si>
  <si>
    <t>389|427</t>
  </si>
  <si>
    <t>506|387</t>
  </si>
  <si>
    <t>375|459</t>
  </si>
  <si>
    <t>384|497</t>
  </si>
  <si>
    <t>377|496</t>
  </si>
  <si>
    <t>474|484</t>
  </si>
  <si>
    <t>631|488</t>
  </si>
  <si>
    <t>624|441</t>
  </si>
  <si>
    <t>424|392</t>
  </si>
  <si>
    <t>528|368</t>
  </si>
  <si>
    <t>500|364</t>
  </si>
  <si>
    <t>465|628</t>
  </si>
  <si>
    <t>603|579</t>
  </si>
  <si>
    <t>453|483</t>
  </si>
  <si>
    <t>500|365</t>
  </si>
  <si>
    <t>423|392</t>
  </si>
  <si>
    <t>379|495</t>
  </si>
  <si>
    <t>617|442</t>
  </si>
  <si>
    <t>597|594</t>
  </si>
  <si>
    <t>625|458</t>
  </si>
  <si>
    <t>579|605</t>
  </si>
  <si>
    <t>465|631</t>
  </si>
  <si>
    <t>469|366</t>
  </si>
  <si>
    <t>445|597</t>
  </si>
  <si>
    <t>442|622</t>
  </si>
  <si>
    <t>390|569</t>
  </si>
  <si>
    <t>540|383</t>
  </si>
  <si>
    <t>390|579</t>
  </si>
  <si>
    <t>445|379</t>
  </si>
  <si>
    <t>371|529</t>
  </si>
  <si>
    <t>440|385</t>
  </si>
  <si>
    <t>372|546</t>
  </si>
  <si>
    <t>577|447</t>
  </si>
  <si>
    <t>622|457</t>
  </si>
  <si>
    <t>386|574</t>
  </si>
  <si>
    <t>371|460</t>
  </si>
  <si>
    <t>396|577</t>
  </si>
  <si>
    <t>519|630</t>
  </si>
  <si>
    <t>439|619</t>
  </si>
  <si>
    <t>607|581</t>
  </si>
  <si>
    <t>534|574</t>
  </si>
  <si>
    <t>533|625</t>
  </si>
  <si>
    <t>524|372</t>
  </si>
  <si>
    <t>466|628</t>
  </si>
  <si>
    <t>451|380</t>
  </si>
  <si>
    <t>551|620</t>
  </si>
  <si>
    <t>633|486</t>
  </si>
  <si>
    <t>632|515</t>
  </si>
  <si>
    <t>476|585</t>
  </si>
  <si>
    <t>543|376</t>
  </si>
  <si>
    <t>474|584</t>
  </si>
  <si>
    <t>549|379</t>
  </si>
  <si>
    <t>373|467</t>
  </si>
  <si>
    <t>417|393</t>
  </si>
  <si>
    <t>594|595</t>
  </si>
  <si>
    <t>581|392</t>
  </si>
  <si>
    <t>581|396</t>
  </si>
  <si>
    <t>420|393</t>
  </si>
  <si>
    <t>461|375</t>
  </si>
  <si>
    <t>381|442</t>
  </si>
  <si>
    <t>369|466</t>
  </si>
  <si>
    <t>480|632</t>
  </si>
  <si>
    <t>468|631</t>
  </si>
  <si>
    <t>493|366</t>
  </si>
  <si>
    <t>368|517</t>
  </si>
  <si>
    <t>622|443</t>
  </si>
  <si>
    <t>450|621</t>
  </si>
  <si>
    <t>594|409</t>
  </si>
  <si>
    <t>625|463</t>
  </si>
  <si>
    <t>393|584</t>
  </si>
  <si>
    <t>456|605</t>
  </si>
  <si>
    <t>532|631</t>
  </si>
  <si>
    <t>381|564</t>
  </si>
  <si>
    <t>414|451</t>
  </si>
  <si>
    <t>571|610</t>
  </si>
  <si>
    <t>449|568</t>
  </si>
  <si>
    <t>426|393</t>
  </si>
  <si>
    <t>447|380</t>
  </si>
  <si>
    <t>620|438</t>
  </si>
  <si>
    <t>433|578</t>
  </si>
  <si>
    <t>543|581</t>
  </si>
  <si>
    <t>506|631</t>
  </si>
  <si>
    <t>386|429</t>
  </si>
  <si>
    <t>537|405</t>
  </si>
  <si>
    <t>519|522</t>
  </si>
  <si>
    <t>425|390</t>
  </si>
  <si>
    <t>604|586</t>
  </si>
  <si>
    <t>630|471</t>
  </si>
  <si>
    <t>637|502</t>
  </si>
  <si>
    <t>632|532</t>
  </si>
  <si>
    <t>552|375</t>
  </si>
  <si>
    <t>587|402</t>
  </si>
  <si>
    <t>446|622</t>
  </si>
  <si>
    <t>432|574</t>
  </si>
  <si>
    <t>517|416</t>
  </si>
  <si>
    <t>537|626</t>
  </si>
  <si>
    <t>438|574</t>
  </si>
  <si>
    <t>536|625</t>
  </si>
  <si>
    <t>430|383</t>
  </si>
  <si>
    <t>508|635</t>
  </si>
  <si>
    <t>372|464</t>
  </si>
  <si>
    <t>381|434</t>
  </si>
  <si>
    <t>490|367</t>
  </si>
  <si>
    <t>423|389</t>
  </si>
  <si>
    <t>532|623</t>
  </si>
  <si>
    <t>594|496</t>
  </si>
  <si>
    <t>433|433</t>
  </si>
  <si>
    <t>407|405</t>
  </si>
  <si>
    <t>506|633</t>
  </si>
  <si>
    <t>591|399</t>
  </si>
  <si>
    <t>586|606</t>
  </si>
  <si>
    <t>542|375</t>
  </si>
  <si>
    <t>513|400</t>
  </si>
  <si>
    <t>379|445</t>
  </si>
  <si>
    <t>557|374</t>
  </si>
  <si>
    <t>637|487</t>
  </si>
  <si>
    <t>496|368</t>
  </si>
  <si>
    <t>433|411</t>
  </si>
  <si>
    <t>596|403</t>
  </si>
  <si>
    <t>421|611</t>
  </si>
  <si>
    <t>479|631</t>
  </si>
  <si>
    <t>508|630</t>
  </si>
  <si>
    <t>464|371</t>
  </si>
  <si>
    <t>467|370</t>
  </si>
  <si>
    <t>612|577</t>
  </si>
  <si>
    <t>590|399</t>
  </si>
  <si>
    <t>600|592</t>
  </si>
  <si>
    <t>372|530</t>
  </si>
  <si>
    <t>396|583</t>
  </si>
  <si>
    <t>456|472</t>
  </si>
  <si>
    <t>425|609</t>
  </si>
  <si>
    <t>416|392</t>
  </si>
  <si>
    <t>430|390</t>
  </si>
  <si>
    <t>388|426</t>
  </si>
  <si>
    <t>387|566</t>
  </si>
  <si>
    <t>369|467</t>
  </si>
  <si>
    <t>520|634</t>
  </si>
  <si>
    <t>367|512</t>
  </si>
  <si>
    <t>508|633</t>
  </si>
  <si>
    <t>393|574</t>
  </si>
  <si>
    <t>461|428</t>
  </si>
  <si>
    <t>591|602</t>
  </si>
  <si>
    <t>457|627</t>
  </si>
  <si>
    <t>591|496</t>
  </si>
  <si>
    <t>619|447</t>
  </si>
  <si>
    <t>621|449</t>
  </si>
  <si>
    <t>631|467</t>
  </si>
  <si>
    <t>372|539</t>
  </si>
  <si>
    <t>374|551</t>
  </si>
  <si>
    <t>618|566</t>
  </si>
  <si>
    <t>377|556</t>
  </si>
  <si>
    <t>393|418</t>
  </si>
  <si>
    <t>429|614</t>
  </si>
  <si>
    <t>626|496</t>
  </si>
  <si>
    <t>483|635</t>
  </si>
  <si>
    <t>615|572</t>
  </si>
  <si>
    <t>628|540</t>
  </si>
  <si>
    <t>407|464</t>
  </si>
  <si>
    <t>545|376</t>
  </si>
  <si>
    <t>369|493</t>
  </si>
  <si>
    <t>469|368</t>
  </si>
  <si>
    <t>464|631</t>
  </si>
  <si>
    <t>506|632</t>
  </si>
  <si>
    <t>632|466</t>
  </si>
  <si>
    <t>524|625</t>
  </si>
  <si>
    <t>616|567</t>
  </si>
  <si>
    <t>398|416</t>
  </si>
  <si>
    <t>583|599</t>
  </si>
  <si>
    <t>610|422</t>
  </si>
  <si>
    <t>368|478</t>
  </si>
  <si>
    <t>412|599</t>
  </si>
  <si>
    <t>566|614</t>
  </si>
  <si>
    <t>497|369</t>
  </si>
  <si>
    <t>389|428</t>
  </si>
  <si>
    <t>461|624</t>
  </si>
  <si>
    <t>523|632</t>
  </si>
  <si>
    <t>552|620</t>
  </si>
  <si>
    <t>631|491</t>
  </si>
  <si>
    <t>571|389</t>
  </si>
  <si>
    <t>627|456</t>
  </si>
  <si>
    <t>369|494</t>
  </si>
  <si>
    <t>581|607</t>
  </si>
  <si>
    <t>596|591</t>
  </si>
  <si>
    <t>447|624</t>
  </si>
  <si>
    <t>635|504</t>
  </si>
  <si>
    <t>399|574</t>
  </si>
  <si>
    <t>502|632</t>
  </si>
  <si>
    <t>628|526</t>
  </si>
  <si>
    <t>384|569</t>
  </si>
  <si>
    <t>397|532</t>
  </si>
  <si>
    <t>579|390</t>
  </si>
  <si>
    <t>543|625</t>
  </si>
  <si>
    <t>582|388</t>
  </si>
  <si>
    <t>486|368</t>
  </si>
  <si>
    <t>375|549</t>
  </si>
  <si>
    <t>419|396</t>
  </si>
  <si>
    <t>376|557</t>
  </si>
  <si>
    <t>474|629</t>
  </si>
  <si>
    <t>368|475</t>
  </si>
  <si>
    <t>520|369</t>
  </si>
  <si>
    <t>512|368</t>
  </si>
  <si>
    <t>515|534</t>
  </si>
  <si>
    <t>484|609</t>
  </si>
  <si>
    <t>525|631</t>
  </si>
  <si>
    <t>634|524</t>
  </si>
  <si>
    <t>611|555</t>
  </si>
  <si>
    <t>617|566</t>
  </si>
  <si>
    <t>476|629</t>
  </si>
  <si>
    <t>433|612</t>
  </si>
  <si>
    <t>473|633</t>
  </si>
  <si>
    <t>606|585</t>
  </si>
  <si>
    <t>599|474</t>
  </si>
  <si>
    <t>512|636</t>
  </si>
  <si>
    <t>596|600</t>
  </si>
  <si>
    <t>503|639</t>
  </si>
  <si>
    <t>629|540</t>
  </si>
  <si>
    <t>627|518</t>
  </si>
  <si>
    <t>437|620</t>
  </si>
  <si>
    <t>410|602</t>
  </si>
  <si>
    <t>417|607</t>
  </si>
  <si>
    <t>633|473</t>
  </si>
  <si>
    <t>603|577</t>
  </si>
  <si>
    <t>600|587</t>
  </si>
  <si>
    <t>368|532</t>
  </si>
  <si>
    <t>437|601</t>
  </si>
  <si>
    <t>627|550</t>
  </si>
  <si>
    <t>380|446</t>
  </si>
  <si>
    <t>430|617</t>
  </si>
  <si>
    <t>555|619</t>
  </si>
  <si>
    <t>618|563</t>
  </si>
  <si>
    <t>400|592</t>
  </si>
  <si>
    <t>577|394</t>
  </si>
  <si>
    <t>463|626</t>
  </si>
  <si>
    <t>499|368</t>
  </si>
  <si>
    <t>420|392</t>
  </si>
  <si>
    <t>457|626</t>
  </si>
  <si>
    <t>613|544</t>
  </si>
  <si>
    <t>426|388</t>
  </si>
  <si>
    <t>405|592</t>
  </si>
  <si>
    <t>445|619</t>
  </si>
  <si>
    <t>400|409</t>
  </si>
  <si>
    <t>530|488</t>
  </si>
  <si>
    <t>507|631</t>
  </si>
  <si>
    <t>526|526</t>
  </si>
  <si>
    <t>516|546</t>
  </si>
  <si>
    <t>482|365</t>
  </si>
  <si>
    <t>396|584</t>
  </si>
  <si>
    <t>418|394</t>
  </si>
  <si>
    <t>619|434</t>
  </si>
  <si>
    <t>633|515</t>
  </si>
  <si>
    <t>498|632</t>
  </si>
  <si>
    <t>459|495</t>
  </si>
  <si>
    <t>486|635</t>
  </si>
  <si>
    <t>607|417</t>
  </si>
  <si>
    <t>538|377</t>
  </si>
  <si>
    <t>556|379</t>
  </si>
  <si>
    <t>453|407</t>
  </si>
  <si>
    <t>577|608</t>
  </si>
  <si>
    <t>593|545</t>
  </si>
  <si>
    <t>549|378</t>
  </si>
  <si>
    <t>456|545</t>
  </si>
  <si>
    <t>499|632</t>
  </si>
  <si>
    <t>636|486</t>
  </si>
  <si>
    <t>472|502</t>
  </si>
  <si>
    <t>412|403</t>
  </si>
  <si>
    <t>614|424</t>
  </si>
  <si>
    <t>471|369</t>
  </si>
  <si>
    <t>501|631</t>
  </si>
  <si>
    <t>444|623</t>
  </si>
  <si>
    <t>542|625</t>
  </si>
  <si>
    <t>372|525</t>
  </si>
  <si>
    <t>503|505</t>
  </si>
  <si>
    <t>369|521</t>
  </si>
  <si>
    <t>469|633</t>
  </si>
  <si>
    <t>579|393</t>
  </si>
  <si>
    <t>583|398</t>
  </si>
  <si>
    <t>617|564</t>
  </si>
  <si>
    <t>402|406</t>
  </si>
  <si>
    <t>398|414</t>
  </si>
  <si>
    <t>517|407</t>
  </si>
  <si>
    <t>506|614</t>
  </si>
  <si>
    <t>370|527</t>
  </si>
  <si>
    <t>512|367</t>
  </si>
  <si>
    <t>557|625</t>
  </si>
  <si>
    <t>423|610</t>
  </si>
  <si>
    <t>389|422</t>
  </si>
  <si>
    <t>432|612</t>
  </si>
  <si>
    <t>461|634</t>
  </si>
  <si>
    <t>613|459</t>
  </si>
  <si>
    <t>546|386</t>
  </si>
  <si>
    <t>605|413</t>
  </si>
  <si>
    <t>418|533</t>
  </si>
  <si>
    <t>617|489</t>
  </si>
  <si>
    <t>408|596</t>
  </si>
  <si>
    <t>464|386</t>
  </si>
  <si>
    <t>372|465</t>
  </si>
  <si>
    <t>436|621</t>
  </si>
  <si>
    <t>612|426</t>
  </si>
  <si>
    <t>379|446</t>
  </si>
  <si>
    <t>494|634</t>
  </si>
  <si>
    <t>582|605</t>
  </si>
  <si>
    <t>629|534</t>
  </si>
  <si>
    <t>413|397</t>
  </si>
  <si>
    <t>625|552</t>
  </si>
  <si>
    <t>496|364</t>
  </si>
  <si>
    <t>419|390</t>
  </si>
  <si>
    <t>543|374</t>
  </si>
  <si>
    <t>540|395</t>
  </si>
  <si>
    <t>456|623</t>
  </si>
  <si>
    <t>383|438</t>
  </si>
  <si>
    <t>616|565</t>
  </si>
  <si>
    <t>629|530</t>
  </si>
  <si>
    <t>583|397</t>
  </si>
  <si>
    <t>621|487</t>
  </si>
  <si>
    <t>377|552</t>
  </si>
  <si>
    <t>429|566</t>
  </si>
  <si>
    <t>442|517</t>
  </si>
  <si>
    <t>549|626</t>
  </si>
  <si>
    <t>637|503</t>
  </si>
  <si>
    <t>375|540</t>
  </si>
  <si>
    <t>452|372</t>
  </si>
  <si>
    <t>569|615</t>
  </si>
  <si>
    <t>595|484</t>
  </si>
  <si>
    <t>393|420</t>
  </si>
  <si>
    <t>627|548</t>
  </si>
  <si>
    <t>598|407</t>
  </si>
  <si>
    <t>552|626</t>
  </si>
  <si>
    <t>373|546</t>
  </si>
  <si>
    <t>384|573</t>
  </si>
  <si>
    <t>379|562</t>
  </si>
  <si>
    <t>388|575</t>
  </si>
  <si>
    <t>595|401</t>
  </si>
  <si>
    <t>591|402</t>
  </si>
  <si>
    <t>588|402</t>
  </si>
  <si>
    <t>567|445</t>
  </si>
  <si>
    <t>366|495</t>
  </si>
  <si>
    <t>616|553</t>
  </si>
  <si>
    <t>416|607</t>
  </si>
  <si>
    <t>632|543</t>
  </si>
  <si>
    <t>630|529</t>
  </si>
  <si>
    <t>535|369</t>
  </si>
  <si>
    <t>422|607</t>
  </si>
  <si>
    <t>516|416</t>
  </si>
  <si>
    <t>537|605</t>
  </si>
  <si>
    <t>489|368</t>
  </si>
  <si>
    <t>566|613</t>
  </si>
  <si>
    <t>581|605</t>
  </si>
  <si>
    <t>620|552</t>
  </si>
  <si>
    <t>555|377</t>
  </si>
  <si>
    <t>371|455</t>
  </si>
  <si>
    <t>476|415</t>
  </si>
  <si>
    <t>528|632</t>
  </si>
  <si>
    <t>375|548</t>
  </si>
  <si>
    <t>493|363</t>
  </si>
  <si>
    <t>405|593</t>
  </si>
  <si>
    <t>510|631</t>
  </si>
  <si>
    <t>374|450</t>
  </si>
  <si>
    <t>418|607</t>
  </si>
  <si>
    <t>559|379</t>
  </si>
  <si>
    <t>504|496</t>
  </si>
  <si>
    <t>368|501</t>
  </si>
  <si>
    <t>597|474</t>
  </si>
  <si>
    <t>502|370</t>
  </si>
  <si>
    <t>376|445</t>
  </si>
  <si>
    <t>503|370</t>
  </si>
  <si>
    <t>437|463</t>
  </si>
  <si>
    <t>363|501</t>
  </si>
  <si>
    <t>391|421</t>
  </si>
  <si>
    <t>502|602</t>
  </si>
  <si>
    <t>546|625</t>
  </si>
  <si>
    <t>371|450</t>
  </si>
  <si>
    <t>515|368</t>
  </si>
  <si>
    <t>464|584</t>
  </si>
  <si>
    <t>367|523</t>
  </si>
  <si>
    <t>627|546</t>
  </si>
  <si>
    <t>534|629</t>
  </si>
  <si>
    <t>386|426</t>
  </si>
  <si>
    <t>456|627</t>
  </si>
  <si>
    <t>466|627</t>
  </si>
  <si>
    <t>469|444</t>
  </si>
  <si>
    <t>447|623</t>
  </si>
  <si>
    <t>381|563</t>
  </si>
  <si>
    <t>564|384</t>
  </si>
  <si>
    <t>567|380</t>
  </si>
  <si>
    <t>476|515</t>
  </si>
  <si>
    <t>534|589</t>
  </si>
  <si>
    <t>395|580</t>
  </si>
  <si>
    <t>572|388</t>
  </si>
  <si>
    <t>453|538</t>
  </si>
  <si>
    <t>594|444</t>
  </si>
  <si>
    <t>621|542</t>
  </si>
  <si>
    <t>600|590</t>
  </si>
  <si>
    <t>503|369</t>
  </si>
  <si>
    <t>372|459</t>
  </si>
  <si>
    <t>496|632</t>
  </si>
  <si>
    <t>466|633</t>
  </si>
  <si>
    <t>434|617</t>
  </si>
  <si>
    <t>635|485</t>
  </si>
  <si>
    <t>433|614</t>
  </si>
  <si>
    <t>631|531</t>
  </si>
  <si>
    <t>382|436</t>
  </si>
  <si>
    <t>369|505</t>
  </si>
  <si>
    <t>572|424</t>
  </si>
  <si>
    <t>520|632</t>
  </si>
  <si>
    <t>422|609</t>
  </si>
  <si>
    <t>486|475</t>
  </si>
  <si>
    <t>365|504</t>
  </si>
  <si>
    <t>445|376</t>
  </si>
  <si>
    <t>480|396</t>
  </si>
  <si>
    <t>611|575</t>
  </si>
  <si>
    <t>592|405</t>
  </si>
  <si>
    <t>516|364</t>
  </si>
  <si>
    <t>493|631</t>
  </si>
  <si>
    <t>397|411</t>
  </si>
  <si>
    <t>588|396</t>
  </si>
  <si>
    <t>607|484</t>
  </si>
  <si>
    <t>416|608</t>
  </si>
  <si>
    <t>580|608</t>
  </si>
  <si>
    <t>397|415</t>
  </si>
  <si>
    <t>381|567</t>
  </si>
  <si>
    <t>535|516</t>
  </si>
  <si>
    <t>484|477</t>
  </si>
  <si>
    <t>626|455</t>
  </si>
  <si>
    <t>529|629</t>
  </si>
  <si>
    <t>382|437</t>
  </si>
  <si>
    <t>391|426</t>
  </si>
  <si>
    <t>631|507</t>
  </si>
  <si>
    <t>543|373</t>
  </si>
  <si>
    <t>597|495</t>
  </si>
  <si>
    <t>496|633</t>
  </si>
  <si>
    <t>368|488</t>
  </si>
  <si>
    <t>367|481</t>
  </si>
  <si>
    <t>608|579</t>
  </si>
  <si>
    <t>513|415</t>
  </si>
  <si>
    <t>371|541</t>
  </si>
  <si>
    <t>366|528</t>
  </si>
  <si>
    <t>501|595</t>
  </si>
  <si>
    <t>500|632</t>
  </si>
  <si>
    <t>520|633</t>
  </si>
  <si>
    <t>535|633</t>
  </si>
  <si>
    <t>367|500</t>
  </si>
  <si>
    <t>405|571</t>
  </si>
  <si>
    <t>597|592</t>
  </si>
  <si>
    <t>506|466</t>
  </si>
  <si>
    <t>366|478</t>
  </si>
  <si>
    <t>617|440</t>
  </si>
  <si>
    <t>478|635</t>
  </si>
  <si>
    <t>439|377</t>
  </si>
  <si>
    <t>395|494</t>
  </si>
  <si>
    <t>399|413</t>
  </si>
  <si>
    <t>394|419</t>
  </si>
  <si>
    <t>489|632</t>
  </si>
  <si>
    <t>607|496</t>
  </si>
  <si>
    <t>446|425</t>
  </si>
  <si>
    <t>363|503</t>
  </si>
  <si>
    <t>457|375</t>
  </si>
  <si>
    <t>431|617</t>
  </si>
  <si>
    <t>507|383</t>
  </si>
  <si>
    <t>419|392</t>
  </si>
  <si>
    <t>389|573</t>
  </si>
  <si>
    <t>569|612</t>
  </si>
  <si>
    <t>605|416</t>
  </si>
  <si>
    <t>563|381</t>
  </si>
  <si>
    <t>626|459</t>
  </si>
  <si>
    <t>486|455</t>
  </si>
  <si>
    <t>616|429</t>
  </si>
  <si>
    <t>393|581</t>
  </si>
  <si>
    <t>563|619</t>
  </si>
  <si>
    <t>377|448</t>
  </si>
  <si>
    <t>584|391</t>
  </si>
  <si>
    <t>633|485</t>
  </si>
  <si>
    <t>528|370</t>
  </si>
  <si>
    <t>373|544</t>
  </si>
  <si>
    <t>369|460</t>
  </si>
  <si>
    <t>598|590</t>
  </si>
  <si>
    <t>522|369</t>
  </si>
  <si>
    <t>485|634</t>
  </si>
  <si>
    <t>366|498</t>
  </si>
  <si>
    <t>479|634</t>
  </si>
  <si>
    <t>627|536</t>
  </si>
  <si>
    <t>634|500</t>
  </si>
  <si>
    <t>531|373</t>
  </si>
  <si>
    <t>421|389</t>
  </si>
  <si>
    <t>406|599</t>
  </si>
  <si>
    <t>592|598</t>
  </si>
  <si>
    <t>630|461</t>
  </si>
  <si>
    <t>619|556</t>
  </si>
  <si>
    <t>515|403</t>
  </si>
  <si>
    <t>398|409</t>
  </si>
  <si>
    <t>627|452</t>
  </si>
  <si>
    <t>366|521</t>
  </si>
  <si>
    <t>424|608</t>
  </si>
  <si>
    <t>411|397</t>
  </si>
  <si>
    <t>397|578</t>
  </si>
  <si>
    <t>463|369</t>
  </si>
  <si>
    <t>388|570</t>
  </si>
  <si>
    <t>445|377</t>
  </si>
  <si>
    <t>594|514</t>
  </si>
  <si>
    <t>594|478</t>
  </si>
  <si>
    <t>566|386</t>
  </si>
  <si>
    <t>626|548</t>
  </si>
  <si>
    <t>394|420</t>
  </si>
  <si>
    <t>592|401</t>
  </si>
  <si>
    <t>393|571</t>
  </si>
  <si>
    <t>532|374</t>
  </si>
  <si>
    <t>484|631</t>
  </si>
  <si>
    <t>474|367</t>
  </si>
  <si>
    <t>515|396</t>
  </si>
  <si>
    <t>505|365</t>
  </si>
  <si>
    <t>466|369</t>
  </si>
  <si>
    <t>498|365</t>
  </si>
  <si>
    <t>605|415</t>
  </si>
  <si>
    <t>500|377</t>
  </si>
  <si>
    <t>378|560</t>
  </si>
  <si>
    <t>386|557</t>
  </si>
  <si>
    <t>537|582</t>
  </si>
  <si>
    <t>563|445</t>
  </si>
  <si>
    <t>480|421</t>
  </si>
  <si>
    <t>592|406</t>
  </si>
  <si>
    <t>608|422</t>
  </si>
  <si>
    <t>602|413</t>
  </si>
  <si>
    <t>579|611</t>
  </si>
  <si>
    <t>407|596</t>
  </si>
  <si>
    <t>468|605</t>
  </si>
  <si>
    <t>405|408</t>
  </si>
  <si>
    <t>450|372</t>
  </si>
  <si>
    <t>555|376</t>
  </si>
  <si>
    <t>444|625</t>
  </si>
  <si>
    <t>413|393</t>
  </si>
  <si>
    <t>481|364</t>
  </si>
  <si>
    <t>364|486</t>
  </si>
  <si>
    <t>477|626</t>
  </si>
  <si>
    <t>585|397</t>
  </si>
  <si>
    <t>629|541</t>
  </si>
  <si>
    <t>516|487</t>
  </si>
  <si>
    <t>421|395</t>
  </si>
  <si>
    <t>489|365</t>
  </si>
  <si>
    <t>565|385</t>
  </si>
  <si>
    <t>545|413</t>
  </si>
  <si>
    <t>556|499</t>
  </si>
  <si>
    <t>459|606</t>
  </si>
  <si>
    <t>460|604</t>
  </si>
  <si>
    <t>368|538</t>
  </si>
  <si>
    <t>376|549</t>
  </si>
  <si>
    <t>613|570</t>
  </si>
  <si>
    <t>586|602</t>
  </si>
  <si>
    <t>426|615</t>
  </si>
  <si>
    <t>631|544</t>
  </si>
  <si>
    <t>429|617</t>
  </si>
  <si>
    <t>524|516</t>
  </si>
  <si>
    <t>366|526</t>
  </si>
  <si>
    <t>552|373</t>
  </si>
  <si>
    <t>481|627</t>
  </si>
  <si>
    <t>597|411</t>
  </si>
  <si>
    <t>627|535</t>
  </si>
  <si>
    <t>404|593</t>
  </si>
  <si>
    <t>463|632</t>
  </si>
  <si>
    <t>522|460</t>
  </si>
  <si>
    <t>400|590</t>
  </si>
  <si>
    <t>634|475</t>
  </si>
  <si>
    <t>462|372</t>
  </si>
  <si>
    <t>514|487</t>
  </si>
  <si>
    <t>606|412</t>
  </si>
  <si>
    <t>487|423</t>
  </si>
  <si>
    <t>407|595</t>
  </si>
  <si>
    <t>514|593</t>
  </si>
  <si>
    <t>631|459</t>
  </si>
  <si>
    <t>364|494</t>
  </si>
  <si>
    <t>478|368</t>
  </si>
  <si>
    <t>518|415</t>
  </si>
  <si>
    <t>625|450</t>
  </si>
  <si>
    <t>555|371</t>
  </si>
  <si>
    <t>626|435</t>
  </si>
  <si>
    <t>395|420</t>
  </si>
  <si>
    <t>437|382</t>
  </si>
  <si>
    <t>415|604</t>
  </si>
  <si>
    <t>618|435</t>
  </si>
  <si>
    <t>635|523</t>
  </si>
  <si>
    <t>401|581</t>
  </si>
  <si>
    <t>458|396</t>
  </si>
  <si>
    <t>604|589</t>
  </si>
  <si>
    <t>593|547</t>
  </si>
  <si>
    <t>631|528</t>
  </si>
  <si>
    <t>498|635</t>
  </si>
  <si>
    <t>454|624</t>
  </si>
  <si>
    <t>386|569</t>
  </si>
  <si>
    <t>407|594</t>
  </si>
  <si>
    <t>579|608</t>
  </si>
  <si>
    <t>637|515</t>
  </si>
  <si>
    <t>430|378</t>
  </si>
  <si>
    <t>366|525</t>
  </si>
  <si>
    <t>486|367</t>
  </si>
  <si>
    <t>419|610</t>
  </si>
  <si>
    <t>533|368</t>
  </si>
  <si>
    <t>366|508</t>
  </si>
  <si>
    <t>440|381</t>
  </si>
  <si>
    <t>449|379</t>
  </si>
  <si>
    <t>430|386</t>
  </si>
  <si>
    <t>484|543</t>
  </si>
  <si>
    <t>507|367</t>
  </si>
  <si>
    <t>579|607</t>
  </si>
  <si>
    <t>377|447</t>
  </si>
  <si>
    <t>366|502</t>
  </si>
  <si>
    <t>395|422</t>
  </si>
  <si>
    <t>481|372</t>
  </si>
  <si>
    <t>634|529</t>
  </si>
  <si>
    <t>597|496</t>
  </si>
  <si>
    <t>478|367</t>
  </si>
  <si>
    <t>369|543</t>
  </si>
  <si>
    <t>611|427</t>
  </si>
  <si>
    <t>627|554</t>
  </si>
  <si>
    <t>371|543</t>
  </si>
  <si>
    <t>371|536</t>
  </si>
  <si>
    <t>516|495</t>
  </si>
  <si>
    <t>366|493</t>
  </si>
  <si>
    <t>460|627</t>
  </si>
  <si>
    <t>637|508</t>
  </si>
  <si>
    <t>436|405</t>
  </si>
  <si>
    <t>385|570</t>
  </si>
  <si>
    <t>635|512</t>
  </si>
  <si>
    <t>607|579</t>
  </si>
  <si>
    <t>411|398</t>
  </si>
  <si>
    <t>594|588</t>
  </si>
  <si>
    <t>469|635</t>
  </si>
  <si>
    <t>418|605</t>
  </si>
  <si>
    <t>439|378</t>
  </si>
  <si>
    <t>436|445</t>
  </si>
  <si>
    <t>390|421</t>
  </si>
  <si>
    <t>429|612</t>
  </si>
  <si>
    <t>532|375</t>
  </si>
  <si>
    <t>415|394</t>
  </si>
  <si>
    <t>427|611</t>
  </si>
  <si>
    <t>407|404</t>
  </si>
  <si>
    <t>365|484</t>
  </si>
  <si>
    <t>443|375</t>
  </si>
  <si>
    <t>507|635</t>
  </si>
  <si>
    <t>379|564</t>
  </si>
  <si>
    <t>371|530</t>
  </si>
  <si>
    <t>530|630</t>
  </si>
  <si>
    <t>402|589</t>
  </si>
  <si>
    <t>632|522</t>
  </si>
  <si>
    <t>383|428</t>
  </si>
  <si>
    <t>582|391</t>
  </si>
  <si>
    <t>400|591</t>
  </si>
  <si>
    <t>528|498</t>
  </si>
  <si>
    <t>470|370</t>
  </si>
  <si>
    <t>636|525</t>
  </si>
  <si>
    <t>543|371</t>
  </si>
  <si>
    <t>487|470</t>
  </si>
  <si>
    <t>558|623</t>
  </si>
  <si>
    <t>373|449</t>
  </si>
  <si>
    <t>389|424</t>
  </si>
  <si>
    <t>486|636</t>
  </si>
  <si>
    <t>453|625</t>
  </si>
  <si>
    <t>574|385</t>
  </si>
  <si>
    <t>520|635</t>
  </si>
  <si>
    <t>517|637</t>
  </si>
  <si>
    <t>436|378</t>
  </si>
  <si>
    <t>399|592</t>
  </si>
  <si>
    <t>503|385</t>
  </si>
  <si>
    <t>554|374</t>
  </si>
  <si>
    <t>425|607</t>
  </si>
  <si>
    <t>636|505</t>
  </si>
  <si>
    <t>562|624</t>
  </si>
  <si>
    <t>632|461</t>
  </si>
  <si>
    <t>608|586</t>
  </si>
  <si>
    <t>609|554</t>
  </si>
  <si>
    <t>376|456</t>
  </si>
  <si>
    <t>509|638</t>
  </si>
  <si>
    <t>365|526</t>
  </si>
  <si>
    <t>544|369</t>
  </si>
  <si>
    <t>606|580</t>
  </si>
  <si>
    <t>634|513</t>
  </si>
  <si>
    <t>507|636</t>
  </si>
  <si>
    <t>562|380</t>
  </si>
  <si>
    <t>633|511</t>
  </si>
  <si>
    <t>472|633</t>
  </si>
  <si>
    <t>594|516</t>
  </si>
  <si>
    <t>428|388</t>
  </si>
  <si>
    <t>603|505</t>
  </si>
  <si>
    <t>537|632</t>
  </si>
  <si>
    <t>611|508</t>
  </si>
  <si>
    <t>396|575</t>
  </si>
  <si>
    <t>499|633</t>
  </si>
  <si>
    <t>486|563</t>
  </si>
  <si>
    <t>542|369</t>
  </si>
  <si>
    <t>369|479</t>
  </si>
  <si>
    <t>628|532</t>
  </si>
  <si>
    <t>600|407</t>
  </si>
  <si>
    <t>605|583</t>
  </si>
  <si>
    <t>381|565</t>
  </si>
  <si>
    <t>386|433</t>
  </si>
  <si>
    <t>383|567</t>
  </si>
  <si>
    <t>506|375</t>
  </si>
  <si>
    <t>536|607</t>
  </si>
  <si>
    <t>595|412</t>
  </si>
  <si>
    <t>598|591</t>
  </si>
  <si>
    <t>564|620</t>
  </si>
  <si>
    <t>516|598</t>
  </si>
  <si>
    <t>468|367</t>
  </si>
  <si>
    <t>417|606</t>
  </si>
  <si>
    <t>484|637</t>
  </si>
  <si>
    <t>632|491</t>
  </si>
  <si>
    <t>411|605</t>
  </si>
  <si>
    <t>381|435</t>
  </si>
  <si>
    <t>521|634</t>
  </si>
  <si>
    <t>523|364</t>
  </si>
  <si>
    <t>618|436</t>
  </si>
  <si>
    <t>367|477</t>
  </si>
  <si>
    <t>457|537</t>
  </si>
  <si>
    <t>638|500</t>
  </si>
  <si>
    <t>518|397</t>
  </si>
  <si>
    <t>447|626</t>
  </si>
  <si>
    <t>406|545</t>
  </si>
  <si>
    <t>549|374</t>
  </si>
  <si>
    <t>398|577</t>
  </si>
  <si>
    <t>544|628</t>
  </si>
  <si>
    <t>493|633</t>
  </si>
  <si>
    <t>418|603</t>
  </si>
  <si>
    <t>600|404</t>
  </si>
  <si>
    <t>364|516</t>
  </si>
  <si>
    <t>622|559</t>
  </si>
  <si>
    <t>611|429</t>
  </si>
  <si>
    <t>620|431</t>
  </si>
  <si>
    <t>385|432</t>
  </si>
  <si>
    <t>400|587</t>
  </si>
  <si>
    <t>383|562</t>
  </si>
  <si>
    <t>632|508</t>
  </si>
  <si>
    <t>636|512</t>
  </si>
  <si>
    <t>428|615</t>
  </si>
  <si>
    <t>450|623</t>
  </si>
  <si>
    <t>539|626</t>
  </si>
  <si>
    <t>552|622</t>
  </si>
  <si>
    <t>512|639</t>
  </si>
  <si>
    <t>624|556</t>
  </si>
  <si>
    <t>553|376</t>
  </si>
  <si>
    <t>398|408</t>
  </si>
  <si>
    <t>373|445</t>
  </si>
  <si>
    <t>388|428</t>
  </si>
  <si>
    <t>410|597</t>
  </si>
  <si>
    <t>438|563</t>
  </si>
  <si>
    <t>441|376</t>
  </si>
  <si>
    <t>533|366</t>
  </si>
  <si>
    <t>633|505</t>
  </si>
  <si>
    <t>531|368</t>
  </si>
  <si>
    <t>566|378</t>
  </si>
  <si>
    <t>368|464</t>
  </si>
  <si>
    <t>556|566</t>
  </si>
  <si>
    <t>427|563</t>
  </si>
  <si>
    <t>405|596</t>
  </si>
  <si>
    <t>631|550</t>
  </si>
  <si>
    <t>544|604</t>
  </si>
  <si>
    <t>557|626</t>
  </si>
  <si>
    <t>601|415</t>
  </si>
  <si>
    <t>365|471</t>
  </si>
  <si>
    <t>594|600</t>
  </si>
  <si>
    <t>392|418</t>
  </si>
  <si>
    <t>536|371</t>
  </si>
  <si>
    <t>534|367</t>
  </si>
  <si>
    <t>532|632</t>
  </si>
  <si>
    <t>589|394</t>
  </si>
  <si>
    <t>484|633</t>
  </si>
  <si>
    <t>633|492</t>
  </si>
  <si>
    <t>541|373</t>
  </si>
  <si>
    <t>631|472</t>
  </si>
  <si>
    <t>578|607</t>
  </si>
  <si>
    <t>576|385</t>
  </si>
  <si>
    <t>502|638</t>
  </si>
  <si>
    <t>558|581</t>
  </si>
  <si>
    <t>534|366</t>
  </si>
  <si>
    <t>603|588</t>
  </si>
  <si>
    <t>411|603</t>
  </si>
  <si>
    <t>453|372</t>
  </si>
  <si>
    <t>430|615</t>
  </si>
  <si>
    <t>597|477</t>
  </si>
  <si>
    <t>517|365</t>
  </si>
  <si>
    <t>595|595</t>
  </si>
  <si>
    <t>461|631</t>
  </si>
  <si>
    <t>462|630</t>
  </si>
  <si>
    <t>628|547</t>
  </si>
  <si>
    <t>476|496</t>
  </si>
  <si>
    <t>610|427</t>
  </si>
  <si>
    <t>403|406</t>
  </si>
  <si>
    <t>371|540</t>
  </si>
  <si>
    <t>412|602</t>
  </si>
  <si>
    <t>630|538</t>
  </si>
  <si>
    <t>613|584</t>
  </si>
  <si>
    <t>398|406</t>
  </si>
  <si>
    <t>524|382</t>
  </si>
  <si>
    <t>451|626</t>
  </si>
  <si>
    <t>436|622</t>
  </si>
  <si>
    <t>609|425</t>
  </si>
  <si>
    <t>476|370</t>
  </si>
  <si>
    <t>635|493</t>
  </si>
  <si>
    <t>641|500</t>
  </si>
  <si>
    <t>438|378</t>
  </si>
  <si>
    <t>521|384</t>
  </si>
  <si>
    <t>389|426</t>
  </si>
  <si>
    <t>556|375</t>
  </si>
  <si>
    <t>416|610</t>
  </si>
  <si>
    <t>487|637</t>
  </si>
  <si>
    <t>523|537</t>
  </si>
  <si>
    <t>634|514</t>
  </si>
  <si>
    <t>635|503</t>
  </si>
  <si>
    <t>595|590</t>
  </si>
  <si>
    <t>474|536</t>
  </si>
  <si>
    <t>380|508</t>
  </si>
  <si>
    <t>606|592</t>
  </si>
  <si>
    <t>485|635</t>
  </si>
  <si>
    <t>380|570</t>
  </si>
  <si>
    <t>464|369</t>
  </si>
  <si>
    <t>527|371</t>
  </si>
  <si>
    <t>613|505</t>
  </si>
  <si>
    <t>616|569</t>
  </si>
  <si>
    <t>362|514</t>
  </si>
  <si>
    <t>368|521</t>
  </si>
  <si>
    <t>518|637</t>
  </si>
  <si>
    <t>621|554</t>
  </si>
  <si>
    <t>485|365</t>
  </si>
  <si>
    <t>486|362</t>
  </si>
  <si>
    <t>404|594</t>
  </si>
  <si>
    <t>627|448</t>
  </si>
  <si>
    <t>495|359</t>
  </si>
  <si>
    <t>427|618</t>
  </si>
  <si>
    <t>393|504</t>
  </si>
  <si>
    <t>598|411</t>
  </si>
  <si>
    <t>432|385</t>
  </si>
  <si>
    <t>531|629</t>
  </si>
  <si>
    <t>481|636</t>
  </si>
  <si>
    <t>620|564</t>
  </si>
  <si>
    <t>548|462</t>
  </si>
  <si>
    <t>433|380</t>
  </si>
  <si>
    <t>375|557</t>
  </si>
  <si>
    <t>375|563</t>
  </si>
  <si>
    <t>572|615</t>
  </si>
  <si>
    <t>428|384</t>
  </si>
  <si>
    <t>527|368</t>
  </si>
  <si>
    <t>612|424</t>
  </si>
  <si>
    <t>633|495</t>
  </si>
  <si>
    <t>605|411</t>
  </si>
  <si>
    <t>485|383</t>
  </si>
  <si>
    <t>482|633</t>
  </si>
  <si>
    <t>556|373</t>
  </si>
  <si>
    <t>413|524</t>
  </si>
  <si>
    <t>597|581</t>
  </si>
  <si>
    <t>387|575</t>
  </si>
  <si>
    <t>404|532</t>
  </si>
  <si>
    <t>403|596</t>
  </si>
  <si>
    <t>604|595</t>
  </si>
  <si>
    <t>497|636</t>
  </si>
  <si>
    <t>601|410</t>
  </si>
  <si>
    <t>616|427</t>
  </si>
  <si>
    <t>529|365</t>
  </si>
  <si>
    <t>633|529</t>
  </si>
  <si>
    <t>447|377</t>
  </si>
  <si>
    <t>369|535</t>
  </si>
  <si>
    <t>585|394</t>
  </si>
  <si>
    <t>500|637</t>
  </si>
  <si>
    <t>599|463</t>
  </si>
  <si>
    <t>513|366</t>
  </si>
  <si>
    <t>638|492</t>
  </si>
  <si>
    <t>461|372</t>
  </si>
  <si>
    <t>542|373</t>
  </si>
  <si>
    <t>574|613</t>
  </si>
  <si>
    <t>621|444</t>
  </si>
  <si>
    <t>480|363</t>
  </si>
  <si>
    <t>508|461</t>
  </si>
  <si>
    <t>594|399</t>
  </si>
  <si>
    <t>605|440</t>
  </si>
  <si>
    <t>371|457</t>
  </si>
  <si>
    <t>487|403</t>
  </si>
  <si>
    <t>528|367</t>
  </si>
  <si>
    <t>438|618</t>
  </si>
  <si>
    <t>425|612</t>
  </si>
  <si>
    <t>605|417</t>
  </si>
  <si>
    <t>560|624</t>
  </si>
  <si>
    <t>434|381</t>
  </si>
  <si>
    <t>425|616</t>
  </si>
  <si>
    <t>492|367</t>
  </si>
  <si>
    <t>634|515</t>
  </si>
  <si>
    <t>446|424</t>
  </si>
  <si>
    <t>374|550</t>
  </si>
  <si>
    <t>410|603</t>
  </si>
  <si>
    <t>536|373</t>
  </si>
  <si>
    <t>384|571</t>
  </si>
  <si>
    <t>486|397</t>
  </si>
  <si>
    <t>464|616</t>
  </si>
  <si>
    <t>633|490</t>
  </si>
  <si>
    <t>630|530</t>
  </si>
  <si>
    <t>530|633</t>
  </si>
  <si>
    <t>540|372</t>
  </si>
  <si>
    <t>534|616</t>
  </si>
  <si>
    <t>637|519</t>
  </si>
  <si>
    <t>384|576</t>
  </si>
  <si>
    <t>414|604</t>
  </si>
  <si>
    <t>491|637</t>
  </si>
  <si>
    <t>362|498</t>
  </si>
  <si>
    <t>471|635</t>
  </si>
  <si>
    <t>494|365</t>
  </si>
  <si>
    <t>468|635</t>
  </si>
  <si>
    <t>362|489</t>
  </si>
  <si>
    <t>368|482</t>
  </si>
  <si>
    <t>388|577</t>
  </si>
  <si>
    <t>384|428</t>
  </si>
  <si>
    <t>629|542</t>
  </si>
  <si>
    <t>593|400</t>
  </si>
  <si>
    <t>522|366</t>
  </si>
  <si>
    <t>368|481</t>
  </si>
  <si>
    <t>370|544</t>
  </si>
  <si>
    <t>459|632</t>
  </si>
  <si>
    <t>505|635</t>
  </si>
  <si>
    <t>365|487</t>
  </si>
  <si>
    <t>366|497</t>
  </si>
  <si>
    <t>634|466</t>
  </si>
  <si>
    <t>469|370</t>
  </si>
  <si>
    <t>632|525</t>
  </si>
  <si>
    <t>595|598</t>
  </si>
  <si>
    <t>411|604</t>
  </si>
  <si>
    <t>385|427</t>
  </si>
  <si>
    <t>500|367</t>
  </si>
  <si>
    <t>495|637</t>
  </si>
  <si>
    <t>636|523</t>
  </si>
  <si>
    <t>625|453</t>
  </si>
  <si>
    <t>495|634</t>
  </si>
  <si>
    <t>490|638</t>
  </si>
  <si>
    <t>596|497</t>
  </si>
  <si>
    <t>498|638</t>
  </si>
  <si>
    <t>596|485</t>
  </si>
  <si>
    <t>416|393</t>
  </si>
  <si>
    <t>592|403</t>
  </si>
  <si>
    <t>419|605</t>
  </si>
  <si>
    <t>543|627</t>
  </si>
  <si>
    <t>368|541</t>
  </si>
  <si>
    <t>606|415</t>
  </si>
  <si>
    <t>626|559</t>
  </si>
  <si>
    <t>374|444</t>
  </si>
  <si>
    <t>620|559</t>
  </si>
  <si>
    <t>415|598</t>
  </si>
  <si>
    <t>633|525</t>
  </si>
  <si>
    <t>534|386</t>
  </si>
  <si>
    <t>370|535</t>
  </si>
  <si>
    <t>365|498</t>
  </si>
  <si>
    <t>366|474</t>
  </si>
  <si>
    <t>374|552</t>
  </si>
  <si>
    <t>411|401</t>
  </si>
  <si>
    <t>368|483</t>
  </si>
  <si>
    <t>637|488</t>
  </si>
  <si>
    <t>494|639</t>
  </si>
  <si>
    <t>504|383</t>
  </si>
  <si>
    <t>441|378</t>
  </si>
  <si>
    <t>505|634</t>
  </si>
  <si>
    <t>366|514</t>
  </si>
  <si>
    <t>437|383</t>
  </si>
  <si>
    <t>387|421</t>
  </si>
  <si>
    <t>577|611</t>
  </si>
  <si>
    <t>562|625</t>
  </si>
  <si>
    <t>633|480</t>
  </si>
  <si>
    <t>576|616</t>
  </si>
  <si>
    <t>448|587</t>
  </si>
  <si>
    <t>621|434</t>
  </si>
  <si>
    <t>391|582</t>
  </si>
  <si>
    <t>373|462</t>
  </si>
  <si>
    <t>630|531</t>
  </si>
  <si>
    <t>376|555</t>
  </si>
  <si>
    <t>613|420</t>
  </si>
  <si>
    <t>635|481</t>
  </si>
  <si>
    <t>493|362</t>
  </si>
  <si>
    <t>493|365</t>
  </si>
  <si>
    <t>446|556</t>
  </si>
  <si>
    <t>592|602</t>
  </si>
  <si>
    <t>534|370</t>
  </si>
  <si>
    <t>506|565</t>
  </si>
  <si>
    <t>533|629</t>
  </si>
  <si>
    <t>433|384</t>
  </si>
  <si>
    <t>614|430</t>
  </si>
  <si>
    <t>362|485</t>
  </si>
  <si>
    <t>631|458</t>
  </si>
  <si>
    <t>510|630</t>
  </si>
  <si>
    <t>481|368</t>
  </si>
  <si>
    <t>505|383</t>
  </si>
  <si>
    <t>470|633</t>
  </si>
  <si>
    <t>625|449</t>
  </si>
  <si>
    <t>632|463</t>
  </si>
  <si>
    <t>637|497</t>
  </si>
  <si>
    <t>566|617</t>
  </si>
  <si>
    <t>585|526</t>
  </si>
  <si>
    <t>607|589</t>
  </si>
  <si>
    <t>547|372</t>
  </si>
  <si>
    <t>619|541</t>
  </si>
  <si>
    <t>508|364</t>
  </si>
  <si>
    <t>454|483</t>
  </si>
  <si>
    <t>573|385</t>
  </si>
  <si>
    <t>605|414</t>
  </si>
  <si>
    <t>408|597</t>
  </si>
  <si>
    <t>542|372</t>
  </si>
  <si>
    <t>535|501</t>
  </si>
  <si>
    <t>596|478</t>
  </si>
  <si>
    <t>439|379</t>
  </si>
  <si>
    <t>492|638</t>
  </si>
  <si>
    <t>445|628</t>
  </si>
  <si>
    <t>562|378</t>
  </si>
  <si>
    <t>638|490</t>
  </si>
  <si>
    <t>441|620</t>
  </si>
  <si>
    <t>558|384</t>
  </si>
  <si>
    <t>426|616</t>
  </si>
  <si>
    <t>617|562</t>
  </si>
  <si>
    <t>591|600</t>
  </si>
  <si>
    <t>609|413</t>
  </si>
  <si>
    <t>380|563</t>
  </si>
  <si>
    <t>577|610</t>
  </si>
  <si>
    <t>414|392</t>
  </si>
  <si>
    <t>396|576</t>
  </si>
  <si>
    <t>613|571</t>
  </si>
  <si>
    <t>569|620</t>
  </si>
  <si>
    <t>363|509</t>
  </si>
  <si>
    <t>430|380</t>
  </si>
  <si>
    <t>460|631</t>
  </si>
  <si>
    <t>591|403</t>
  </si>
  <si>
    <t>517|639</t>
  </si>
  <si>
    <t>517|368</t>
  </si>
  <si>
    <t>639|498</t>
  </si>
  <si>
    <t>476|584</t>
  </si>
  <si>
    <t>465|367</t>
  </si>
  <si>
    <t>417|609</t>
  </si>
  <si>
    <t>367|518</t>
  </si>
  <si>
    <t>406|397</t>
  </si>
  <si>
    <t>565|619</t>
  </si>
  <si>
    <t>584|526</t>
  </si>
  <si>
    <t>561|621</t>
  </si>
  <si>
    <t>544|428</t>
  </si>
  <si>
    <t>447|426</t>
  </si>
  <si>
    <t>476|637</t>
  </si>
  <si>
    <t>456|515</t>
  </si>
  <si>
    <t>626|442</t>
  </si>
  <si>
    <t>624|555</t>
  </si>
  <si>
    <t>446|624</t>
  </si>
  <si>
    <t>442|590</t>
  </si>
  <si>
    <t>502|639</t>
  </si>
  <si>
    <t>493|632</t>
  </si>
  <si>
    <t>585|395</t>
  </si>
  <si>
    <t>395|588</t>
  </si>
  <si>
    <t>523|367</t>
  </si>
  <si>
    <t>537|364</t>
  </si>
  <si>
    <t>362|481</t>
  </si>
  <si>
    <t>414|540</t>
  </si>
  <si>
    <t>560|379</t>
  </si>
  <si>
    <t>567|621</t>
  </si>
  <si>
    <t>373|554</t>
  </si>
  <si>
    <t>428|614</t>
  </si>
  <si>
    <t>415|609</t>
  </si>
  <si>
    <t>458|632</t>
  </si>
  <si>
    <t>464|370</t>
  </si>
  <si>
    <t>609|583</t>
  </si>
  <si>
    <t>383|572</t>
  </si>
  <si>
    <t>529|375</t>
  </si>
  <si>
    <t>366|513</t>
  </si>
  <si>
    <t>365|530</t>
  </si>
  <si>
    <t>405|597</t>
  </si>
  <si>
    <t>568|618</t>
  </si>
  <si>
    <t>476|368</t>
  </si>
  <si>
    <t>547|367</t>
  </si>
  <si>
    <t>362|499</t>
  </si>
  <si>
    <t>377|555</t>
  </si>
  <si>
    <t>589|396</t>
  </si>
  <si>
    <t>368|470</t>
  </si>
  <si>
    <t>599|517</t>
  </si>
  <si>
    <t>386|422</t>
  </si>
  <si>
    <t>596|592</t>
  </si>
  <si>
    <t>595|516</t>
  </si>
  <si>
    <t>397|414</t>
  </si>
  <si>
    <t>460|372</t>
  </si>
  <si>
    <t>613|419</t>
  </si>
  <si>
    <t>539|372</t>
  </si>
  <si>
    <t>615|423</t>
  </si>
  <si>
    <t>483|632</t>
  </si>
  <si>
    <t>625|451</t>
  </si>
  <si>
    <t>630|464</t>
  </si>
  <si>
    <t>385|567</t>
  </si>
  <si>
    <t>430|613</t>
  </si>
  <si>
    <t>486|375</t>
  </si>
  <si>
    <t>371|545</t>
  </si>
  <si>
    <t>566|377</t>
  </si>
  <si>
    <t>625|486</t>
  </si>
  <si>
    <t>610|415</t>
  </si>
  <si>
    <t>631|453</t>
  </si>
  <si>
    <t>480|636</t>
  </si>
  <si>
    <t>636|495</t>
  </si>
  <si>
    <t>422|387</t>
  </si>
  <si>
    <t>417|610</t>
  </si>
  <si>
    <t>425|608</t>
  </si>
  <si>
    <t>625|447</t>
  </si>
  <si>
    <t>577|613</t>
  </si>
  <si>
    <t>377|559</t>
  </si>
  <si>
    <t>540|378</t>
  </si>
  <si>
    <t>609|582</t>
  </si>
  <si>
    <t>466|366</t>
  </si>
  <si>
    <t>474|632</t>
  </si>
  <si>
    <t>404|406</t>
  </si>
  <si>
    <t>387|572</t>
  </si>
  <si>
    <t>376|548</t>
  </si>
  <si>
    <t>618|433</t>
  </si>
  <si>
    <t>630|527</t>
  </si>
  <si>
    <t>526|365</t>
  </si>
  <si>
    <t>485|633</t>
  </si>
  <si>
    <t>610|421</t>
  </si>
  <si>
    <t>504|393</t>
  </si>
  <si>
    <t>430|619</t>
  </si>
  <si>
    <t>570|385</t>
  </si>
  <si>
    <t>634|509</t>
  </si>
  <si>
    <t>369|469</t>
  </si>
  <si>
    <t>515|634</t>
  </si>
  <si>
    <t>616|431</t>
  </si>
  <si>
    <t>411|396</t>
  </si>
  <si>
    <t>628|556</t>
  </si>
  <si>
    <t>485|547</t>
  </si>
  <si>
    <t>633|532</t>
  </si>
  <si>
    <t>383|429</t>
  </si>
  <si>
    <t>376|447</t>
  </si>
  <si>
    <t>476|435</t>
  </si>
  <si>
    <t>427|552</t>
  </si>
  <si>
    <t>508|639</t>
  </si>
  <si>
    <t>506|376</t>
  </si>
  <si>
    <t>464|614</t>
  </si>
  <si>
    <t>577|614</t>
  </si>
  <si>
    <t>362|506</t>
  </si>
  <si>
    <t>385|431</t>
  </si>
  <si>
    <t>376|554</t>
  </si>
  <si>
    <t>636|468</t>
  </si>
  <si>
    <t>370|551</t>
  </si>
  <si>
    <t>364|477</t>
  </si>
  <si>
    <t>470|630</t>
  </si>
  <si>
    <t>538|417</t>
  </si>
  <si>
    <t>534|626</t>
  </si>
  <si>
    <t>586|610</t>
  </si>
  <si>
    <t>639|490</t>
  </si>
  <si>
    <t>376|564</t>
  </si>
  <si>
    <t>628|447</t>
  </si>
  <si>
    <t>473|636</t>
  </si>
  <si>
    <t>366|529</t>
  </si>
  <si>
    <t>385|433</t>
  </si>
  <si>
    <t>578|610</t>
  </si>
  <si>
    <t>378|433</t>
  </si>
  <si>
    <t>409|598</t>
  </si>
  <si>
    <t>615|567</t>
  </si>
  <si>
    <t>568|383</t>
  </si>
  <si>
    <t>379|441</t>
  </si>
  <si>
    <t>621|437</t>
  </si>
  <si>
    <t>432|382</t>
  </si>
  <si>
    <t>636|528</t>
  </si>
  <si>
    <t>373|547</t>
  </si>
  <si>
    <t>624|564</t>
  </si>
  <si>
    <t>626|454</t>
  </si>
  <si>
    <t>391|415</t>
  </si>
  <si>
    <t>383|570</t>
  </si>
  <si>
    <t>446|379</t>
  </si>
  <si>
    <t>575|617</t>
  </si>
  <si>
    <t>469|364</t>
  </si>
  <si>
    <t>485|362</t>
  </si>
  <si>
    <t>561|380</t>
  </si>
  <si>
    <t>634|486</t>
  </si>
  <si>
    <t>366|520</t>
  </si>
  <si>
    <t>363|483</t>
  </si>
  <si>
    <t>514|362</t>
  </si>
  <si>
    <t>388|424</t>
  </si>
  <si>
    <t>594|402</t>
  </si>
  <si>
    <t>465|634</t>
  </si>
  <si>
    <t>376|436</t>
  </si>
  <si>
    <t>557|621</t>
  </si>
  <si>
    <t>611|416</t>
  </si>
  <si>
    <t>634|481</t>
  </si>
  <si>
    <t>633|458</t>
  </si>
  <si>
    <t>536|414</t>
  </si>
  <si>
    <t>556|495</t>
  </si>
  <si>
    <t>555|623</t>
  </si>
  <si>
    <t>637|496</t>
  </si>
  <si>
    <t>391|585</t>
  </si>
  <si>
    <t>424|612</t>
  </si>
  <si>
    <t>396|582</t>
  </si>
  <si>
    <t>475|363</t>
  </si>
  <si>
    <t>637|498</t>
  </si>
  <si>
    <t>614|515</t>
  </si>
  <si>
    <t>376|444</t>
  </si>
  <si>
    <t>381|554</t>
  </si>
  <si>
    <t>437|377</t>
  </si>
  <si>
    <t>378|557</t>
  </si>
  <si>
    <t>617|432</t>
  </si>
  <si>
    <t>593|478</t>
  </si>
  <si>
    <t>376|437</t>
  </si>
  <si>
    <t>372|491</t>
  </si>
  <si>
    <t>447|372</t>
  </si>
  <si>
    <t>374|539</t>
  </si>
  <si>
    <t>399|588</t>
  </si>
  <si>
    <t>582|607</t>
  </si>
  <si>
    <t>602|411</t>
  </si>
  <si>
    <t>475|633</t>
  </si>
  <si>
    <t>564|619</t>
  </si>
  <si>
    <t>560|621</t>
  </si>
  <si>
    <t>460|366</t>
  </si>
  <si>
    <t>404|465</t>
  </si>
  <si>
    <t>399|591</t>
  </si>
  <si>
    <t>499|380</t>
  </si>
  <si>
    <t>636|473</t>
  </si>
  <si>
    <t>505|637</t>
  </si>
  <si>
    <t>458|370</t>
  </si>
  <si>
    <t>444|376</t>
  </si>
  <si>
    <t>476|436</t>
  </si>
  <si>
    <t>598|592</t>
  </si>
  <si>
    <t>471|633</t>
  </si>
  <si>
    <t>634|487</t>
  </si>
  <si>
    <t>364|517</t>
  </si>
  <si>
    <t>598|405</t>
  </si>
  <si>
    <t>449|371</t>
  </si>
  <si>
    <t>554|524</t>
  </si>
  <si>
    <t>437|621</t>
  </si>
  <si>
    <t>367|540</t>
  </si>
  <si>
    <t>596|486</t>
  </si>
  <si>
    <t>413|392</t>
  </si>
  <si>
    <t>368|471</t>
  </si>
  <si>
    <t>450|628</t>
  </si>
  <si>
    <t>416|466</t>
  </si>
  <si>
    <t>468|364</t>
  </si>
  <si>
    <t>392|421</t>
  </si>
  <si>
    <t>517|397</t>
  </si>
  <si>
    <t>369|454</t>
  </si>
  <si>
    <t>629|446</t>
  </si>
  <si>
    <t>497|363</t>
  </si>
  <si>
    <t>546|627</t>
  </si>
  <si>
    <t>524|366</t>
  </si>
  <si>
    <t>525|635</t>
  </si>
  <si>
    <t>569|383</t>
  </si>
  <si>
    <t>428|616</t>
  </si>
  <si>
    <t>421|616</t>
  </si>
  <si>
    <t>380|433</t>
  </si>
  <si>
    <t>447|622</t>
  </si>
  <si>
    <t>611|582</t>
  </si>
  <si>
    <t>450|630</t>
  </si>
  <si>
    <t>382|566</t>
  </si>
  <si>
    <t>440|379</t>
  </si>
  <si>
    <t>459|370</t>
  </si>
  <si>
    <t>506|389</t>
  </si>
  <si>
    <t>387|581</t>
  </si>
  <si>
    <t>449|628</t>
  </si>
  <si>
    <t>607|412</t>
  </si>
  <si>
    <t>612|579</t>
  </si>
  <si>
    <t>586|397</t>
  </si>
  <si>
    <t>635|494</t>
  </si>
  <si>
    <t>367|525</t>
  </si>
  <si>
    <t>592|474</t>
  </si>
  <si>
    <t>432|621</t>
  </si>
  <si>
    <t>592|398</t>
  </si>
  <si>
    <t>558|459</t>
  </si>
  <si>
    <t>635|526</t>
  </si>
  <si>
    <t>592|400</t>
  </si>
  <si>
    <t>547|373</t>
  </si>
  <si>
    <t>481|362</t>
  </si>
  <si>
    <t>558|377</t>
  </si>
  <si>
    <t>535|607</t>
  </si>
  <si>
    <t>368|461</t>
  </si>
  <si>
    <t>428|613</t>
  </si>
  <si>
    <t>608|589</t>
  </si>
  <si>
    <t>375|439</t>
  </si>
  <si>
    <t>394|591</t>
  </si>
  <si>
    <t>358|493</t>
  </si>
  <si>
    <t>636|477</t>
  </si>
  <si>
    <t>391|587</t>
  </si>
  <si>
    <t>366|492</t>
  </si>
  <si>
    <t>528|366</t>
  </si>
  <si>
    <t>366|466</t>
  </si>
  <si>
    <t>361|492</t>
  </si>
  <si>
    <t>610|578</t>
  </si>
  <si>
    <t>594|397</t>
  </si>
  <si>
    <t>639|507</t>
  </si>
  <si>
    <t>420|610</t>
  </si>
  <si>
    <t>535|634</t>
  </si>
  <si>
    <t>470|365</t>
  </si>
  <si>
    <t>398|595</t>
  </si>
  <si>
    <t>549|371</t>
  </si>
  <si>
    <t>582|612</t>
  </si>
  <si>
    <t>400|405</t>
  </si>
  <si>
    <t>604|593</t>
  </si>
  <si>
    <t>566|621</t>
  </si>
  <si>
    <t>623|440</t>
  </si>
  <si>
    <t>557|627</t>
  </si>
  <si>
    <t>429|384</t>
  </si>
  <si>
    <t>629|555</t>
  </si>
  <si>
    <t>637|516</t>
  </si>
  <si>
    <t>436|381</t>
  </si>
  <si>
    <t>399|410</t>
  </si>
  <si>
    <t>497|637</t>
  </si>
  <si>
    <t>617|568</t>
  </si>
  <si>
    <t>422|385</t>
  </si>
  <si>
    <t>489|367</t>
  </si>
  <si>
    <t>477|632</t>
  </si>
  <si>
    <t>450|376</t>
  </si>
  <si>
    <t>498|404</t>
  </si>
  <si>
    <t>490|366</t>
  </si>
  <si>
    <t>532|378</t>
  </si>
  <si>
    <t>507|363</t>
  </si>
  <si>
    <t>383|569</t>
  </si>
  <si>
    <t>586|390</t>
  </si>
  <si>
    <t>570|622</t>
  </si>
  <si>
    <t>639|487</t>
  </si>
  <si>
    <t>378|443</t>
  </si>
  <si>
    <t>362|501</t>
  </si>
  <si>
    <t>417|616</t>
  </si>
  <si>
    <t>481|366</t>
  </si>
  <si>
    <t>571|384</t>
  </si>
  <si>
    <t>430|379</t>
  </si>
  <si>
    <t>366|509</t>
  </si>
  <si>
    <t>633|469</t>
  </si>
  <si>
    <t>604|409</t>
  </si>
  <si>
    <t>497|635</t>
  </si>
  <si>
    <t>413|593</t>
  </si>
  <si>
    <t>390|586</t>
  </si>
  <si>
    <t>559|374</t>
  </si>
  <si>
    <t>392|582</t>
  </si>
  <si>
    <t>519|633</t>
  </si>
  <si>
    <t>411|609</t>
  </si>
  <si>
    <t>637|511</t>
  </si>
  <si>
    <t>586|608</t>
  </si>
  <si>
    <t>506|361</t>
  </si>
  <si>
    <t>642|505</t>
  </si>
  <si>
    <t>639|512</t>
  </si>
  <si>
    <t>491|365</t>
  </si>
  <si>
    <t>371|539</t>
  </si>
  <si>
    <t>477|366</t>
  </si>
  <si>
    <t>524|638</t>
  </si>
  <si>
    <t>580|388</t>
  </si>
  <si>
    <t>567|620</t>
  </si>
  <si>
    <t>467|636</t>
  </si>
  <si>
    <t>590|604</t>
  </si>
  <si>
    <t>363|488</t>
  </si>
  <si>
    <t>389|420</t>
  </si>
  <si>
    <t>479|366</t>
  </si>
  <si>
    <t>576|610</t>
  </si>
  <si>
    <t>365|490</t>
  </si>
  <si>
    <t>538|634</t>
  </si>
  <si>
    <t>365|464</t>
  </si>
  <si>
    <t>607|420</t>
  </si>
  <si>
    <t>569|621</t>
  </si>
  <si>
    <t>443|373</t>
  </si>
  <si>
    <t>483|363</t>
  </si>
  <si>
    <t>444|544</t>
  </si>
  <si>
    <t>374|554</t>
  </si>
  <si>
    <t>396|568</t>
  </si>
  <si>
    <t>566|376</t>
  </si>
  <si>
    <t>428|382</t>
  </si>
  <si>
    <t>504|434</t>
  </si>
  <si>
    <t>447|545</t>
  </si>
  <si>
    <t>591|397</t>
  </si>
  <si>
    <t>476|364</t>
  </si>
  <si>
    <t>615|568</t>
  </si>
  <si>
    <t>366|536</t>
  </si>
  <si>
    <t>630|533</t>
  </si>
  <si>
    <t>383|575</t>
  </si>
  <si>
    <t>364|515</t>
  </si>
  <si>
    <t>411|409</t>
  </si>
  <si>
    <t>366|540</t>
  </si>
  <si>
    <t>364|484</t>
  </si>
  <si>
    <t>401|599</t>
  </si>
  <si>
    <t>454|370</t>
  </si>
  <si>
    <t>440|601</t>
  </si>
  <si>
    <t>586|605</t>
  </si>
  <si>
    <t>622|437</t>
  </si>
  <si>
    <t>404|464</t>
  </si>
  <si>
    <t>482|366</t>
  </si>
  <si>
    <t>362|503</t>
  </si>
  <si>
    <t>596|413</t>
  </si>
  <si>
    <t>637|501</t>
  </si>
  <si>
    <t>453|373</t>
  </si>
  <si>
    <t>466|446</t>
  </si>
  <si>
    <t>485|397</t>
  </si>
  <si>
    <t>369|458</t>
  </si>
  <si>
    <t>443|580</t>
  </si>
  <si>
    <t>569|380</t>
  </si>
  <si>
    <t>613|456</t>
  </si>
  <si>
    <t>365|516</t>
  </si>
  <si>
    <t>373|543</t>
  </si>
  <si>
    <t>578|611</t>
  </si>
  <si>
    <t>454|381</t>
  </si>
  <si>
    <t>554|623</t>
  </si>
  <si>
    <t>595|403</t>
  </si>
  <si>
    <t>549|380</t>
  </si>
  <si>
    <t>423|612</t>
  </si>
  <si>
    <t>534|634</t>
  </si>
  <si>
    <t>631|462</t>
  </si>
  <si>
    <t>536|629</t>
  </si>
  <si>
    <t>392|420</t>
  </si>
  <si>
    <t>536|630</t>
  </si>
  <si>
    <t>477|634</t>
  </si>
  <si>
    <t>596|455</t>
  </si>
  <si>
    <t>370|449</t>
  </si>
  <si>
    <t>372|452</t>
  </si>
  <si>
    <t>607|585</t>
  </si>
  <si>
    <t>417|392</t>
  </si>
  <si>
    <t>370|447</t>
  </si>
  <si>
    <t>495|361</t>
  </si>
  <si>
    <t>382|427</t>
  </si>
  <si>
    <t>541|631</t>
  </si>
  <si>
    <t>513|360</t>
  </si>
  <si>
    <t>631|549</t>
  </si>
  <si>
    <t>616|430</t>
  </si>
  <si>
    <t>622|531</t>
  </si>
  <si>
    <t>404|398</t>
  </si>
  <si>
    <t>388|417</t>
  </si>
  <si>
    <t>612|576</t>
  </si>
  <si>
    <t>360|489</t>
  </si>
  <si>
    <t>390|581</t>
  </si>
  <si>
    <t>389|583</t>
  </si>
  <si>
    <t>369|465</t>
  </si>
  <si>
    <t>564|443</t>
  </si>
  <si>
    <t>629|452</t>
  </si>
  <si>
    <t>399|407</t>
  </si>
  <si>
    <t>552|439</t>
  </si>
  <si>
    <t>597|525</t>
  </si>
  <si>
    <t>582|394</t>
  </si>
  <si>
    <t>Montezuma</t>
  </si>
  <si>
    <t>schmutzhund</t>
  </si>
  <si>
    <t>Hardsequencer</t>
  </si>
  <si>
    <t>OdinsWolf</t>
  </si>
  <si>
    <t>Bigmama</t>
  </si>
  <si>
    <t>Lenders</t>
  </si>
  <si>
    <t>AlHatschi</t>
  </si>
  <si>
    <t>Hotspot</t>
  </si>
  <si>
    <t>pseon</t>
  </si>
  <si>
    <t>Hzombi</t>
  </si>
  <si>
    <t>hemblo</t>
  </si>
  <si>
    <t>Artis</t>
  </si>
  <si>
    <t>MasterPeth</t>
  </si>
  <si>
    <t>The_Killeer</t>
  </si>
  <si>
    <t>ANTWORLD</t>
  </si>
  <si>
    <t>Taktiker</t>
  </si>
  <si>
    <t>r0b0c0p</t>
  </si>
  <si>
    <t>pierre100</t>
  </si>
  <si>
    <t>adgara</t>
  </si>
  <si>
    <t>Slayer17</t>
  </si>
  <si>
    <t>Meadro</t>
  </si>
  <si>
    <t>kasperkarl</t>
  </si>
  <si>
    <t>Nullpicker</t>
  </si>
  <si>
    <t>Meierd2</t>
  </si>
  <si>
    <t>tipcooler</t>
  </si>
  <si>
    <t>Floridus</t>
  </si>
  <si>
    <t>erni1934</t>
  </si>
  <si>
    <t>mudder</t>
  </si>
  <si>
    <t>Shirina</t>
  </si>
  <si>
    <t>Taps0815</t>
  </si>
  <si>
    <t>-QT-</t>
  </si>
  <si>
    <t>Weltenraecher</t>
  </si>
  <si>
    <t>fishie</t>
  </si>
  <si>
    <t>redskorpion</t>
  </si>
  <si>
    <t>buuh</t>
  </si>
  <si>
    <t>kampffalke</t>
  </si>
  <si>
    <t>Getisch</t>
  </si>
  <si>
    <t>Seewue</t>
  </si>
  <si>
    <t>leon.s.kennedy</t>
  </si>
  <si>
    <t>calmane</t>
  </si>
  <si>
    <t>theillnes</t>
  </si>
  <si>
    <t>Celina-Marie</t>
  </si>
  <si>
    <t>svenni10</t>
  </si>
  <si>
    <t>Raddix</t>
  </si>
  <si>
    <t>DerGaertner</t>
  </si>
  <si>
    <t>tokra14</t>
  </si>
  <si>
    <t>EDYtheFOX</t>
  </si>
  <si>
    <t>RobQ</t>
  </si>
  <si>
    <t>Gordon_Freeman</t>
  </si>
  <si>
    <t>sambor</t>
  </si>
  <si>
    <t>goldenei</t>
  </si>
  <si>
    <t>rednexx</t>
  </si>
  <si>
    <t>Ralfkellermann</t>
  </si>
  <si>
    <t>Berserker89</t>
  </si>
  <si>
    <t>Spielmaker</t>
  </si>
  <si>
    <t>Schmali</t>
  </si>
  <si>
    <t>hoppsing</t>
  </si>
  <si>
    <t>rediclow</t>
  </si>
  <si>
    <t>hubeno</t>
  </si>
  <si>
    <t>lMonchi</t>
  </si>
  <si>
    <t>N-Key</t>
  </si>
  <si>
    <t>Feuerhand</t>
  </si>
  <si>
    <t>udo0</t>
  </si>
  <si>
    <t>eisbear</t>
  </si>
  <si>
    <t>xmarlon</t>
  </si>
  <si>
    <t>steknadel</t>
  </si>
  <si>
    <t>RiKul</t>
  </si>
  <si>
    <t>Nuitari</t>
  </si>
  <si>
    <t>VincentVega96</t>
  </si>
  <si>
    <t>Goldnase</t>
  </si>
  <si>
    <t>daniel017</t>
  </si>
  <si>
    <t>Linkinho</t>
  </si>
  <si>
    <t>Basel86</t>
  </si>
  <si>
    <t>keksnuss</t>
  </si>
  <si>
    <t>sdhfsod</t>
  </si>
  <si>
    <t>mpeG</t>
  </si>
  <si>
    <t>bastianot</t>
  </si>
  <si>
    <t>Carven</t>
  </si>
  <si>
    <t>Evangelina</t>
  </si>
  <si>
    <t>Tifob</t>
  </si>
  <si>
    <t>zikku</t>
  </si>
  <si>
    <t>Spiritfenix</t>
  </si>
  <si>
    <t>Stadler27</t>
  </si>
  <si>
    <t>Honeywell</t>
  </si>
  <si>
    <t>Stiesel</t>
  </si>
  <si>
    <t>erdmundo</t>
  </si>
  <si>
    <t>freenation</t>
  </si>
  <si>
    <t>Krahitna</t>
  </si>
  <si>
    <t>Braco</t>
  </si>
  <si>
    <t>apfelgriepsch</t>
  </si>
  <si>
    <t>K.G.S</t>
  </si>
  <si>
    <t>Kehrmann3</t>
  </si>
  <si>
    <t>Grinser007</t>
  </si>
  <si>
    <t>RTW-93</t>
  </si>
  <si>
    <t>Schwager</t>
  </si>
  <si>
    <t>blumentopf1</t>
  </si>
  <si>
    <t>Metanman</t>
  </si>
  <si>
    <t>Broiler22</t>
  </si>
  <si>
    <t>socca</t>
  </si>
  <si>
    <t>Shado</t>
  </si>
  <si>
    <t>DerChucky</t>
  </si>
  <si>
    <t>Decimator</t>
  </si>
  <si>
    <t>Taeler</t>
  </si>
  <si>
    <t>ChekkisBack</t>
  </si>
  <si>
    <t>tommi015</t>
  </si>
  <si>
    <t>opossum888</t>
  </si>
  <si>
    <t>magnum11</t>
  </si>
  <si>
    <t>19DeeJay85</t>
  </si>
  <si>
    <t>Berlichingen</t>
  </si>
  <si>
    <t>Thaudrim</t>
  </si>
  <si>
    <t>amselnestererrt</t>
  </si>
  <si>
    <t>barbiegirl</t>
  </si>
  <si>
    <t>JayBe</t>
  </si>
  <si>
    <t>rex009</t>
  </si>
  <si>
    <t>samadamas</t>
  </si>
  <si>
    <t>7bacca7</t>
  </si>
  <si>
    <t>Groobi</t>
  </si>
  <si>
    <t>wuestenhund</t>
  </si>
  <si>
    <t>Janusch</t>
  </si>
  <si>
    <t>jonas2345</t>
  </si>
  <si>
    <t>Puschkin2006</t>
  </si>
  <si>
    <t>Devilkill</t>
  </si>
  <si>
    <t>Pemi</t>
  </si>
  <si>
    <t>Hlevagast</t>
  </si>
  <si>
    <t>PaiRaN</t>
  </si>
  <si>
    <t>akumiku</t>
  </si>
  <si>
    <t>makaa</t>
  </si>
  <si>
    <t>TizianW</t>
  </si>
  <si>
    <t>monno</t>
  </si>
  <si>
    <t>Landry</t>
  </si>
  <si>
    <t>doenges-team</t>
  </si>
  <si>
    <t>Proty</t>
  </si>
  <si>
    <t>mantu</t>
  </si>
  <si>
    <t>Golborg</t>
  </si>
  <si>
    <t>-Frisco-</t>
  </si>
  <si>
    <t>Aschilos61</t>
  </si>
  <si>
    <t>Ironhorse</t>
  </si>
  <si>
    <t>Accce</t>
  </si>
  <si>
    <t>Seven035</t>
  </si>
  <si>
    <t>Noctrox</t>
  </si>
  <si>
    <t>volawi</t>
  </si>
  <si>
    <t>Zagreus</t>
  </si>
  <si>
    <t>Weisermann</t>
  </si>
  <si>
    <t>meluana</t>
  </si>
  <si>
    <t>Asterix07</t>
  </si>
  <si>
    <t>InvincibleB</t>
  </si>
  <si>
    <t>--Kla%24%24--</t>
  </si>
  <si>
    <t>Atariandi</t>
  </si>
  <si>
    <t>CrowBlackHorse</t>
  </si>
  <si>
    <t>hedoth</t>
  </si>
  <si>
    <t>Skaterffm</t>
  </si>
  <si>
    <t>Basti110</t>
  </si>
  <si>
    <t>Bromikus</t>
  </si>
  <si>
    <t>zicke07</t>
  </si>
  <si>
    <t>rubinhoss</t>
  </si>
  <si>
    <t>Fanbite</t>
  </si>
  <si>
    <t>Speedy79</t>
  </si>
  <si>
    <t>willi46</t>
  </si>
  <si>
    <t>HeliosHades</t>
  </si>
  <si>
    <t>boosterkilla</t>
  </si>
  <si>
    <t>Kamiya</t>
  </si>
  <si>
    <t>Brausi</t>
  </si>
  <si>
    <t>skullet</t>
  </si>
  <si>
    <t>dilo123</t>
  </si>
  <si>
    <t>Horschtt</t>
  </si>
  <si>
    <t>joshear</t>
  </si>
  <si>
    <t>HerbeSoKrass</t>
  </si>
  <si>
    <t>-DEFENDER-</t>
  </si>
  <si>
    <t>Bond120294</t>
  </si>
  <si>
    <t>florian113</t>
  </si>
  <si>
    <t>Capio</t>
  </si>
  <si>
    <t>Roman119</t>
  </si>
  <si>
    <t>adebar25</t>
  </si>
  <si>
    <t>BlayGlor</t>
  </si>
  <si>
    <t>manni60</t>
  </si>
  <si>
    <t>Langschwert</t>
  </si>
  <si>
    <t>Benni-8-</t>
  </si>
  <si>
    <t>bindaaa</t>
  </si>
  <si>
    <t>Dr.Sh4k3r</t>
  </si>
  <si>
    <t>ur-death</t>
  </si>
  <si>
    <t>peter2805</t>
  </si>
  <si>
    <t>Grabwurm</t>
  </si>
  <si>
    <t>euterz</t>
  </si>
  <si>
    <t>Selandriel</t>
  </si>
  <si>
    <t>Maurizion</t>
  </si>
  <si>
    <t>Merdio</t>
  </si>
  <si>
    <t>Slaid</t>
  </si>
  <si>
    <t>Nikeboy2</t>
  </si>
  <si>
    <t>hartbach</t>
  </si>
  <si>
    <t>MoreDreadofother</t>
  </si>
  <si>
    <t>3PAR</t>
  </si>
  <si>
    <t>Jule13</t>
  </si>
  <si>
    <t>rei94</t>
  </si>
  <si>
    <t>Lovag</t>
  </si>
  <si>
    <t>schuschei</t>
  </si>
  <si>
    <t>asd12345</t>
  </si>
  <si>
    <t>Murno</t>
  </si>
  <si>
    <t>pumucklhigh</t>
  </si>
  <si>
    <t>Mr.Lange</t>
  </si>
  <si>
    <t>Seraphion</t>
  </si>
  <si>
    <t>superkrauss</t>
  </si>
  <si>
    <t>Blackeagle2000</t>
  </si>
  <si>
    <t>luna2</t>
  </si>
  <si>
    <t>jeannedarc49</t>
  </si>
  <si>
    <t>slaven-town</t>
  </si>
  <si>
    <t>Gravedigger8456</t>
  </si>
  <si>
    <t>Big-Baus</t>
  </si>
  <si>
    <t>nici55</t>
  </si>
  <si>
    <t>Blend1</t>
  </si>
  <si>
    <t>nik-o</t>
  </si>
  <si>
    <t>Moritz148</t>
  </si>
  <si>
    <t>dreamer81a</t>
  </si>
  <si>
    <t>Gromper</t>
  </si>
  <si>
    <t>Messi11</t>
  </si>
  <si>
    <t>nikollus</t>
  </si>
  <si>
    <t>Brom95</t>
  </si>
  <si>
    <t>-RoyalFlush-</t>
  </si>
  <si>
    <t>eminem01379</t>
  </si>
  <si>
    <t>maui1974</t>
  </si>
  <si>
    <t>Asasello</t>
  </si>
  <si>
    <t>Tromler</t>
  </si>
  <si>
    <t>m-k-zwonix</t>
  </si>
  <si>
    <t>Klitschko007</t>
  </si>
  <si>
    <t>unwitzig</t>
  </si>
  <si>
    <t>Chemar</t>
  </si>
  <si>
    <t>MandM</t>
  </si>
  <si>
    <t>0815kh</t>
  </si>
  <si>
    <t>Whitestylz</t>
  </si>
  <si>
    <t>Mkoll</t>
  </si>
  <si>
    <t>Markifix</t>
  </si>
  <si>
    <t>siztachiqz</t>
  </si>
  <si>
    <t>Adelsritter95</t>
  </si>
  <si>
    <t>Milnox</t>
  </si>
  <si>
    <t>Darmstadt2</t>
  </si>
  <si>
    <t>Itsnok</t>
  </si>
  <si>
    <t>cVraCer</t>
  </si>
  <si>
    <t>andrestaar</t>
  </si>
  <si>
    <t>Grassi07</t>
  </si>
  <si>
    <t>Schaefery</t>
  </si>
  <si>
    <t>Flatussi</t>
  </si>
  <si>
    <t>Krababel</t>
  </si>
  <si>
    <t>Motfahrer</t>
  </si>
  <si>
    <t>ALEXWAF</t>
  </si>
  <si>
    <t>pattaya</t>
  </si>
  <si>
    <t>Pumbah</t>
  </si>
  <si>
    <t>Federation83</t>
  </si>
  <si>
    <t>evilwar</t>
  </si>
  <si>
    <t>saicxs</t>
  </si>
  <si>
    <t>jomag</t>
  </si>
  <si>
    <t>Aganus</t>
  </si>
  <si>
    <t>xXdaywalkerXx</t>
  </si>
  <si>
    <t>portobello</t>
  </si>
  <si>
    <t>Linessa</t>
  </si>
  <si>
    <t>-Kaan-</t>
  </si>
  <si>
    <t>JoeContana</t>
  </si>
  <si>
    <t>Ennds</t>
  </si>
  <si>
    <t>cenko94</t>
  </si>
  <si>
    <t>Tanitha</t>
  </si>
  <si>
    <t>SaschAMasTeR</t>
  </si>
  <si>
    <t>Rondolo</t>
  </si>
  <si>
    <t>Chico99</t>
  </si>
  <si>
    <t>Vernichter08</t>
  </si>
  <si>
    <t>DerBoeseBub</t>
  </si>
  <si>
    <t>skipistensau</t>
  </si>
  <si>
    <t>diphinila</t>
  </si>
  <si>
    <t>THELE</t>
  </si>
  <si>
    <t>Jtaily</t>
  </si>
  <si>
    <t>Cellme</t>
  </si>
  <si>
    <t>.OCB.</t>
  </si>
  <si>
    <t>Fremdius</t>
  </si>
  <si>
    <t>Rakier</t>
  </si>
  <si>
    <t>UnsMarky</t>
  </si>
  <si>
    <t>Gollum95</t>
  </si>
  <si>
    <t>Moritz119</t>
  </si>
  <si>
    <t>nick77933</t>
  </si>
  <si>
    <t>masterchief-hauser</t>
  </si>
  <si>
    <t>djka</t>
  </si>
  <si>
    <t>Zizou1992</t>
  </si>
  <si>
    <t>Carlisto</t>
  </si>
  <si>
    <t>redsunshine6</t>
  </si>
  <si>
    <t>maxtin96</t>
  </si>
  <si>
    <t>diedadu</t>
  </si>
  <si>
    <t>pisa13</t>
  </si>
  <si>
    <t>ThanaTos3k</t>
  </si>
  <si>
    <t>bigpapa66</t>
  </si>
  <si>
    <t>Grimslade</t>
  </si>
  <si>
    <t>rolli01</t>
  </si>
  <si>
    <t>XxDiegoxX</t>
  </si>
  <si>
    <t>alu73</t>
  </si>
  <si>
    <t>Pipimanns</t>
  </si>
  <si>
    <t>Kaslaberl</t>
  </si>
  <si>
    <t>itofino</t>
  </si>
  <si>
    <t>schugger</t>
  </si>
  <si>
    <t>RINGLER</t>
  </si>
  <si>
    <t>Sovelles</t>
  </si>
  <si>
    <t>hoyohoyo</t>
  </si>
  <si>
    <t>Deadman1995</t>
  </si>
  <si>
    <t>Hummes</t>
  </si>
  <si>
    <t>Dorek</t>
  </si>
  <si>
    <t>weather45</t>
  </si>
  <si>
    <t>Lenni94</t>
  </si>
  <si>
    <t>Klose100</t>
  </si>
  <si>
    <t>Stevesworldaid</t>
  </si>
  <si>
    <t>HijaDelFuego</t>
  </si>
  <si>
    <t>FCKFREAK</t>
  </si>
  <si>
    <t>aphox</t>
  </si>
  <si>
    <t>lisent</t>
  </si>
  <si>
    <t>Wolfwood-42</t>
  </si>
  <si>
    <t>Bauer214</t>
  </si>
  <si>
    <t>Kurde.</t>
  </si>
  <si>
    <t>kinghansi99</t>
  </si>
  <si>
    <t>MM-Master</t>
  </si>
  <si>
    <t>rs3000</t>
  </si>
  <si>
    <t>tominator19888</t>
  </si>
  <si>
    <t>kili6c</t>
  </si>
  <si>
    <t>Tjata</t>
  </si>
  <si>
    <t>suilenroc</t>
  </si>
  <si>
    <t>panda28</t>
  </si>
  <si>
    <t>kev-king</t>
  </si>
  <si>
    <t>ad220294</t>
  </si>
  <si>
    <t>Askinus</t>
  </si>
  <si>
    <t>flynelka</t>
  </si>
  <si>
    <t>klaudesi</t>
  </si>
  <si>
    <t>Hermanvaan</t>
  </si>
  <si>
    <t>spasmo</t>
  </si>
  <si>
    <t>Hass81</t>
  </si>
  <si>
    <t>gunnar11</t>
  </si>
  <si>
    <t>elegal588</t>
  </si>
  <si>
    <t>flextrust</t>
  </si>
  <si>
    <t>lugi007</t>
  </si>
  <si>
    <t>love.machine</t>
  </si>
  <si>
    <t>SirLelalot</t>
  </si>
  <si>
    <t>genti45</t>
  </si>
  <si>
    <t>hummler68</t>
  </si>
  <si>
    <t>Tz1994</t>
  </si>
  <si>
    <t>Biker750</t>
  </si>
  <si>
    <t>-.ShocK.-</t>
  </si>
  <si>
    <t>Robinso</t>
  </si>
  <si>
    <t>9PRF</t>
  </si>
  <si>
    <t>Keltigun</t>
  </si>
  <si>
    <t>voo83</t>
  </si>
  <si>
    <t>Walnuss10</t>
  </si>
  <si>
    <t>JustusLA</t>
  </si>
  <si>
    <t>emre134</t>
  </si>
  <si>
    <t>death-lord</t>
  </si>
  <si>
    <t>Moali.93</t>
  </si>
  <si>
    <t>Dalledara</t>
  </si>
  <si>
    <t>Hlinka10</t>
  </si>
  <si>
    <t>T-Cup</t>
  </si>
  <si>
    <t>looch</t>
  </si>
  <si>
    <t>L-e-s-m-o-n-a</t>
  </si>
  <si>
    <t>afa11</t>
  </si>
  <si>
    <t>Eto1</t>
  </si>
  <si>
    <t>McCooLLL</t>
  </si>
  <si>
    <t>f1r3sh0t</t>
  </si>
  <si>
    <t>Nike-boy1</t>
  </si>
  <si>
    <t>Machinedramon</t>
  </si>
  <si>
    <t>Scheisedu1</t>
  </si>
  <si>
    <t>zx6r02</t>
  </si>
  <si>
    <t>ADA09</t>
  </si>
  <si>
    <t>hangrunt</t>
  </si>
  <si>
    <t>gunther1</t>
  </si>
  <si>
    <t>Gratschi</t>
  </si>
  <si>
    <t>jonny1053</t>
  </si>
  <si>
    <t>ralle01</t>
  </si>
  <si>
    <t>andreas4444</t>
  </si>
  <si>
    <t>highflyer1</t>
  </si>
  <si>
    <t>JumboXXL</t>
  </si>
  <si>
    <t>wagna11</t>
  </si>
  <si>
    <t>X-er3000</t>
  </si>
  <si>
    <t>Leon1992</t>
  </si>
  <si>
    <t>Pechpilz</t>
  </si>
  <si>
    <t>SouLRevolution</t>
  </si>
  <si>
    <t>J.M.88</t>
  </si>
  <si>
    <t>Quadratlatschen</t>
  </si>
  <si>
    <t>svandy</t>
  </si>
  <si>
    <t>laolamia</t>
  </si>
  <si>
    <t>jonas-97</t>
  </si>
  <si>
    <t>BMW1200GS</t>
  </si>
  <si>
    <t>dedlacrio</t>
  </si>
  <si>
    <t>I3east</t>
  </si>
  <si>
    <t>StarPointer.1.</t>
  </si>
  <si>
    <t>jenbet</t>
  </si>
  <si>
    <t>dizzer1992</t>
  </si>
  <si>
    <t>Akia89</t>
  </si>
  <si>
    <t>Bacaci</t>
  </si>
  <si>
    <t>fleischerdestodes</t>
  </si>
  <si>
    <t>bumsy</t>
  </si>
  <si>
    <t>Alexander11111</t>
  </si>
  <si>
    <t>gaitzi92</t>
  </si>
  <si>
    <t>RockyRock</t>
  </si>
  <si>
    <t>Matze47</t>
  </si>
  <si>
    <t>marvinho270695</t>
  </si>
  <si>
    <t>Deutscher1991</t>
  </si>
  <si>
    <t>QUINCY28</t>
  </si>
  <si>
    <t>Stellonyus</t>
  </si>
  <si>
    <t>kartoffelmaster</t>
  </si>
  <si>
    <t>Frechdachs69</t>
  </si>
  <si>
    <t>Burgviertel</t>
  </si>
  <si>
    <t>TH1985</t>
  </si>
  <si>
    <t>fubro</t>
  </si>
  <si>
    <t>ZGFJL</t>
  </si>
  <si>
    <t>Oberdiva</t>
  </si>
  <si>
    <t>Schnecken.Haus</t>
  </si>
  <si>
    <t>snodo</t>
  </si>
  <si>
    <t>Passball</t>
  </si>
  <si>
    <t>Daisuke222</t>
  </si>
  <si>
    <t>008tomcat</t>
  </si>
  <si>
    <t>andi0273</t>
  </si>
  <si>
    <t>shaggx</t>
  </si>
  <si>
    <t>Legolas42</t>
  </si>
  <si>
    <t>gerrysorry</t>
  </si>
  <si>
    <t>safran2003</t>
  </si>
  <si>
    <t>leonsge274</t>
  </si>
  <si>
    <t>freddy1972</t>
  </si>
  <si>
    <t>Mehlbeere</t>
  </si>
  <si>
    <t>torsten2409</t>
  </si>
  <si>
    <t>Glabatorix</t>
  </si>
  <si>
    <t>Trebor</t>
  </si>
  <si>
    <t>Onkelzclan</t>
  </si>
  <si>
    <t>-Mine-</t>
  </si>
  <si>
    <t>Darkrico</t>
  </si>
  <si>
    <t>ulanbator</t>
  </si>
  <si>
    <t>lammazon</t>
  </si>
  <si>
    <t>Kelevra</t>
  </si>
  <si>
    <t>Sassun</t>
  </si>
  <si>
    <t>Rolandinho69</t>
  </si>
  <si>
    <t>Iniuascha</t>
  </si>
  <si>
    <t>Ghostrider1996</t>
  </si>
  <si>
    <t>Stinkbombe</t>
  </si>
  <si>
    <t>RavenDK</t>
  </si>
  <si>
    <t>Sanderbs</t>
  </si>
  <si>
    <t>Vallian</t>
  </si>
  <si>
    <t>richy2</t>
  </si>
  <si>
    <t>Scheuchel</t>
  </si>
  <si>
    <t>Heinzerika</t>
  </si>
  <si>
    <t>emmiundlenni</t>
  </si>
  <si>
    <t>turbobaerchen</t>
  </si>
  <si>
    <t>Torun</t>
  </si>
  <si>
    <t>Generalissimus</t>
  </si>
  <si>
    <t>hallo-13</t>
  </si>
  <si>
    <t>alpaserhat</t>
  </si>
  <si>
    <t>f123456</t>
  </si>
  <si>
    <t>Drykeri</t>
  </si>
  <si>
    <t>Fransl</t>
  </si>
  <si>
    <t>Vulshok77</t>
  </si>
  <si>
    <t>Frohlix</t>
  </si>
  <si>
    <t>dodona</t>
  </si>
  <si>
    <t>olliwilli</t>
  </si>
  <si>
    <t>Dedaggi</t>
  </si>
  <si>
    <t>Jutas</t>
  </si>
  <si>
    <t>egroht</t>
  </si>
  <si>
    <t>Ogapushu</t>
  </si>
  <si>
    <t>Woodfish</t>
  </si>
  <si>
    <t>Pippiar</t>
  </si>
  <si>
    <t>boch84</t>
  </si>
  <si>
    <t>Bauernsepp</t>
  </si>
  <si>
    <t>Chilliiii91</t>
  </si>
  <si>
    <t>Norminho</t>
  </si>
  <si>
    <t>cask</t>
  </si>
  <si>
    <t>Flausel</t>
  </si>
  <si>
    <t>Elbenkrieger13</t>
  </si>
  <si>
    <t>WINDHUND97</t>
  </si>
  <si>
    <t>Sneeter</t>
  </si>
  <si>
    <t>ItchyandScratchy</t>
  </si>
  <si>
    <t>Spidersponge</t>
  </si>
  <si>
    <t>slater107</t>
  </si>
  <si>
    <t>Bethan</t>
  </si>
  <si>
    <t>demessa</t>
  </si>
  <si>
    <t>Groschatau</t>
  </si>
  <si>
    <t>einhorn081</t>
  </si>
  <si>
    <t>Sir.Snoopy</t>
  </si>
  <si>
    <t>Scribby</t>
  </si>
  <si>
    <t>Cipolla</t>
  </si>
  <si>
    <t>klobi97</t>
  </si>
  <si>
    <t>niklerarasa</t>
  </si>
  <si>
    <t>Empics</t>
  </si>
  <si>
    <t>Lanzerlot</t>
  </si>
  <si>
    <t>mao-tsetung</t>
  </si>
  <si>
    <t>dudeH96</t>
  </si>
  <si>
    <t>HeinzOber</t>
  </si>
  <si>
    <t>nono55</t>
  </si>
  <si>
    <t>cpu-007</t>
  </si>
  <si>
    <t>werwoolf</t>
  </si>
  <si>
    <t>sturkopf</t>
  </si>
  <si>
    <t>Ruhmeswolf68</t>
  </si>
  <si>
    <t>Amydala32</t>
  </si>
  <si>
    <t>Frostmonarch44</t>
  </si>
  <si>
    <t>gergl</t>
  </si>
  <si>
    <t>Staublurch</t>
  </si>
  <si>
    <t>oli55</t>
  </si>
  <si>
    <t>Gernschi</t>
  </si>
  <si>
    <t>Gnadenlos65</t>
  </si>
  <si>
    <t>dev.baker</t>
  </si>
  <si>
    <t>andyja</t>
  </si>
  <si>
    <t>Lucas-99</t>
  </si>
  <si>
    <t>tortelinie</t>
  </si>
  <si>
    <t>Axt94</t>
  </si>
  <si>
    <t>Lord-Saliven</t>
  </si>
  <si>
    <t>Tului</t>
  </si>
  <si>
    <t>MoneyHoney</t>
  </si>
  <si>
    <t>sim001</t>
  </si>
  <si>
    <t>eagle173</t>
  </si>
  <si>
    <t>ilja1000000</t>
  </si>
  <si>
    <t>R4zZ0R</t>
  </si>
  <si>
    <t>MefoHunter</t>
  </si>
  <si>
    <t>zuckerzicke1984</t>
  </si>
  <si>
    <t>Anglerin</t>
  </si>
  <si>
    <t>fkhgj</t>
  </si>
  <si>
    <t>keppi1968</t>
  </si>
  <si>
    <t>wikinger1978</t>
  </si>
  <si>
    <t>futzy</t>
  </si>
  <si>
    <t>Gechocher</t>
  </si>
  <si>
    <t>Andygo</t>
  </si>
  <si>
    <t>GSMarkus</t>
  </si>
  <si>
    <t>Adisch</t>
  </si>
  <si>
    <t>micamueller</t>
  </si>
  <si>
    <t>ice1001</t>
  </si>
  <si>
    <t>dtgz</t>
  </si>
  <si>
    <t>Kame22</t>
  </si>
  <si>
    <t>tomm9</t>
  </si>
  <si>
    <t>Linkon</t>
  </si>
  <si>
    <t>jens980729</t>
  </si>
  <si>
    <t>Cr00ked</t>
  </si>
  <si>
    <t>Diver0704</t>
  </si>
  <si>
    <t>alf11</t>
  </si>
  <si>
    <t>timmy1997</t>
  </si>
  <si>
    <t>gluecklich</t>
  </si>
  <si>
    <t>zwingherr</t>
  </si>
  <si>
    <t>kill1099</t>
  </si>
  <si>
    <t>Tettenbura</t>
  </si>
  <si>
    <t>wotan178</t>
  </si>
  <si>
    <t>tillus95</t>
  </si>
  <si>
    <t>MIBs</t>
  </si>
  <si>
    <t>8n0nym</t>
  </si>
  <si>
    <t>navy25</t>
  </si>
  <si>
    <t>Peter1955</t>
  </si>
  <si>
    <t>SEHERIN1</t>
  </si>
  <si>
    <t>tankris</t>
  </si>
  <si>
    <t>flash17</t>
  </si>
  <si>
    <t>herrpo</t>
  </si>
  <si>
    <t>Championdragon</t>
  </si>
  <si>
    <t>ICHKILLDICH1</t>
  </si>
  <si>
    <t>clubfan96</t>
  </si>
  <si>
    <t>Loonys</t>
  </si>
  <si>
    <t>Dino02</t>
  </si>
  <si>
    <t>Teddybaer1253</t>
  </si>
  <si>
    <t>pajori</t>
  </si>
  <si>
    <t>Rettigheim123</t>
  </si>
  <si>
    <t>Desiel</t>
  </si>
  <si>
    <t>zelli46</t>
  </si>
  <si>
    <t>Zeilor</t>
  </si>
  <si>
    <t>Wiesele</t>
  </si>
  <si>
    <t>HonzzZ</t>
  </si>
  <si>
    <t>boggy2</t>
  </si>
  <si>
    <t>RussischerPlayer</t>
  </si>
  <si>
    <t>Mattyzero</t>
  </si>
  <si>
    <t>Diemacht1</t>
  </si>
  <si>
    <t>Luftbahn</t>
  </si>
  <si>
    <t>tarikinho</t>
  </si>
  <si>
    <t>Skorden92</t>
  </si>
  <si>
    <t>beyreyde</t>
  </si>
  <si>
    <t>kerls</t>
  </si>
  <si>
    <t>doubble9999</t>
  </si>
  <si>
    <t>EDI-95</t>
  </si>
  <si>
    <t>Djego66</t>
  </si>
  <si>
    <t>altaa</t>
  </si>
  <si>
    <t>Grauhelm</t>
  </si>
  <si>
    <t>skeli</t>
  </si>
  <si>
    <t>esse3</t>
  </si>
  <si>
    <t>Tangiers</t>
  </si>
  <si>
    <t>donavn</t>
  </si>
  <si>
    <t>Sennerin</t>
  </si>
  <si>
    <t>96mk96</t>
  </si>
  <si>
    <t>LodbrokRagnar</t>
  </si>
  <si>
    <t>colahefe</t>
  </si>
  <si>
    <t>balo6300</t>
  </si>
  <si>
    <t>feuerspion</t>
  </si>
  <si>
    <t>schwarze-Schwadron</t>
  </si>
  <si>
    <t>champ96</t>
  </si>
  <si>
    <t>Cayi</t>
  </si>
  <si>
    <t>babross</t>
  </si>
  <si>
    <t>Alpaca</t>
  </si>
  <si>
    <t>mungo133</t>
  </si>
  <si>
    <t>Bodum</t>
  </si>
  <si>
    <t>Joszef</t>
  </si>
  <si>
    <t>juljy</t>
  </si>
  <si>
    <t>resch121</t>
  </si>
  <si>
    <t>McRio</t>
  </si>
  <si>
    <t>Kiffelowbob</t>
  </si>
  <si>
    <t>Alexhunt</t>
  </si>
  <si>
    <t>Sephiroth.</t>
  </si>
  <si>
    <t>Matzefricki</t>
  </si>
  <si>
    <t>STORMMI</t>
  </si>
  <si>
    <t>hallo-gisela</t>
  </si>
  <si>
    <t>bananenfaust</t>
  </si>
  <si>
    <t>MasterDrake</t>
  </si>
  <si>
    <t>nearak</t>
  </si>
  <si>
    <t>xXlordiXx1</t>
  </si>
  <si>
    <t>motorman</t>
  </si>
  <si>
    <t>Pattk</t>
  </si>
  <si>
    <t>.Lord.</t>
  </si>
  <si>
    <t>crazy1206</t>
  </si>
  <si>
    <t>kampfzahn</t>
  </si>
  <si>
    <t>playerluki09</t>
  </si>
  <si>
    <t>haefi95</t>
  </si>
  <si>
    <t>bizebs</t>
  </si>
  <si>
    <t>ninos65</t>
  </si>
  <si>
    <t>hexe63</t>
  </si>
  <si>
    <t>Bomber74</t>
  </si>
  <si>
    <t>Barmbeckham</t>
  </si>
  <si>
    <t>goutier</t>
  </si>
  <si>
    <t>habib25</t>
  </si>
  <si>
    <t>Engel1000</t>
  </si>
  <si>
    <t>Torti22222</t>
  </si>
  <si>
    <t>Katuunko</t>
  </si>
  <si>
    <t>qierli</t>
  </si>
  <si>
    <t>fekiks</t>
  </si>
  <si>
    <t>Klingonenkotze</t>
  </si>
  <si>
    <t>Skrachey</t>
  </si>
  <si>
    <t>Fote</t>
  </si>
  <si>
    <t>Prinz-Porko</t>
  </si>
  <si>
    <t>Kifferkatz</t>
  </si>
  <si>
    <t>Halsbandleguan</t>
  </si>
  <si>
    <t>Born2Fight87</t>
  </si>
  <si>
    <t>Loug</t>
  </si>
  <si>
    <t>Chaosdragon1992</t>
  </si>
  <si>
    <t>Kaiserbvb</t>
  </si>
  <si>
    <t>luckylos3r</t>
  </si>
  <si>
    <t>ZeraMorpheus</t>
  </si>
  <si>
    <t>Hero-Queen</t>
  </si>
  <si>
    <t>NAxxxOR</t>
  </si>
  <si>
    <t>parps01</t>
  </si>
  <si>
    <t>Buckel-Stryke</t>
  </si>
  <si>
    <t>zyler21</t>
  </si>
  <si>
    <t>ultralord7</t>
  </si>
  <si>
    <t>xaver39</t>
  </si>
  <si>
    <t>john1988</t>
  </si>
  <si>
    <t>hengst12</t>
  </si>
  <si>
    <t>KingKonni</t>
  </si>
  <si>
    <t>mamalulu</t>
  </si>
  <si>
    <t>kunigunde62</t>
  </si>
  <si>
    <t>Niggoooo</t>
  </si>
  <si>
    <t>Matt239</t>
  </si>
  <si>
    <t>Shadowoka</t>
  </si>
  <si>
    <t>MBFr33</t>
  </si>
  <si>
    <t>David1197</t>
  </si>
  <si>
    <t>schimmelreiter1</t>
  </si>
  <si>
    <t>bobo-exe</t>
  </si>
  <si>
    <t>clemi222</t>
  </si>
  <si>
    <t>reiben1</t>
  </si>
  <si>
    <t>..Headbaenger..</t>
  </si>
  <si>
    <t>LOK3</t>
  </si>
  <si>
    <t>der-eiskalte</t>
  </si>
  <si>
    <t>TerorrKiller</t>
  </si>
  <si>
    <t>butchermr</t>
  </si>
  <si>
    <t>ufoman444</t>
  </si>
  <si>
    <t>gery40</t>
  </si>
  <si>
    <t>.TheSimpsons.</t>
  </si>
  <si>
    <t>salz39</t>
  </si>
  <si>
    <t>Bullay</t>
  </si>
  <si>
    <t>moclopo</t>
  </si>
  <si>
    <t>Sincro</t>
  </si>
  <si>
    <t>nibor1995</t>
  </si>
  <si>
    <t>Koma1</t>
  </si>
  <si>
    <t>ema54</t>
  </si>
  <si>
    <t>Melniebone</t>
  </si>
  <si>
    <t>miniatumarex</t>
  </si>
  <si>
    <t>Schakal054</t>
  </si>
  <si>
    <t>LiloFelton</t>
  </si>
  <si>
    <t>Tallanvor</t>
  </si>
  <si>
    <t>Ego93</t>
  </si>
  <si>
    <t>geno72</t>
  </si>
  <si>
    <t>Lieskauer</t>
  </si>
  <si>
    <t>Damast</t>
  </si>
  <si>
    <t>esterhazy</t>
  </si>
  <si>
    <t>Schmunzelmonster</t>
  </si>
  <si>
    <t>True-Death</t>
  </si>
  <si>
    <t>steini011</t>
  </si>
  <si>
    <t>Dexxer</t>
  </si>
  <si>
    <t>Emeil</t>
  </si>
  <si>
    <t>nico943</t>
  </si>
  <si>
    <t>BlackJack99</t>
  </si>
  <si>
    <t>Erendil-Atreides</t>
  </si>
  <si>
    <t>veler619</t>
  </si>
  <si>
    <t>ChrisiMaster123</t>
  </si>
  <si>
    <t>Bevely</t>
  </si>
  <si>
    <t>Ciolith</t>
  </si>
  <si>
    <t>yugioh13</t>
  </si>
  <si>
    <t>bekloppter09</t>
  </si>
  <si>
    <t>alex31011995</t>
  </si>
  <si>
    <t>Silvanus.Lupus</t>
  </si>
  <si>
    <t>Orlando2500</t>
  </si>
  <si>
    <t>kongi1234</t>
  </si>
  <si>
    <t>zejwa</t>
  </si>
  <si>
    <t>Us934</t>
  </si>
  <si>
    <t>Vinfox2</t>
  </si>
  <si>
    <t>Buhrdur</t>
  </si>
  <si>
    <t>astramann</t>
  </si>
  <si>
    <t>-Guderian-</t>
  </si>
  <si>
    <t>Madomio</t>
  </si>
  <si>
    <t>Samri</t>
  </si>
  <si>
    <t>NeNeDuii</t>
  </si>
  <si>
    <t>wnax</t>
  </si>
  <si>
    <t>Akiela</t>
  </si>
  <si>
    <t>THJM</t>
  </si>
  <si>
    <t>Discraider</t>
  </si>
  <si>
    <t>alfricer</t>
  </si>
  <si>
    <t>Dr.Klapperstorch</t>
  </si>
  <si>
    <t>Mario1974</t>
  </si>
  <si>
    <t>Morqok</t>
  </si>
  <si>
    <t>diego-94</t>
  </si>
  <si>
    <t>Krypto666</t>
  </si>
  <si>
    <t>Brennzelle</t>
  </si>
  <si>
    <t>samka96</t>
  </si>
  <si>
    <t>Annina09</t>
  </si>
  <si>
    <t>sweetsun83</t>
  </si>
  <si>
    <t>Jazzo</t>
  </si>
  <si>
    <t>ssrr</t>
  </si>
  <si>
    <t>frechegosch</t>
  </si>
  <si>
    <t>LordBigMac</t>
  </si>
  <si>
    <t>Canim123</t>
  </si>
  <si>
    <t>Hanuban</t>
  </si>
  <si>
    <t>Immer-im-stress</t>
  </si>
  <si>
    <t>Saixe</t>
  </si>
  <si>
    <t>Rimato</t>
  </si>
  <si>
    <t>Reyve</t>
  </si>
  <si>
    <t>Taramis</t>
  </si>
  <si>
    <t>Paladin-Dragan</t>
  </si>
  <si>
    <t>caddy81</t>
  </si>
  <si>
    <t>wuzzibear</t>
  </si>
  <si>
    <t>jens76</t>
  </si>
  <si>
    <t>Matzerot29</t>
  </si>
  <si>
    <t>parker10</t>
  </si>
  <si>
    <t>Aiyomayo</t>
  </si>
  <si>
    <t>SnakeMountain</t>
  </si>
  <si>
    <t>Daniel8880</t>
  </si>
  <si>
    <t>bloodhammer666</t>
  </si>
  <si>
    <t>VOTOS</t>
  </si>
  <si>
    <t>saperlott</t>
  </si>
  <si>
    <t>blizard1972</t>
  </si>
  <si>
    <t>spongo4</t>
  </si>
  <si>
    <t>Opfergott</t>
  </si>
  <si>
    <t>Roberto62</t>
  </si>
  <si>
    <t>Vollmond62</t>
  </si>
  <si>
    <t>Torasu</t>
  </si>
  <si>
    <t>chrissi1610</t>
  </si>
  <si>
    <t>rachus</t>
  </si>
  <si>
    <t>Gerhard1950</t>
  </si>
  <si>
    <t>XTzX</t>
  </si>
  <si>
    <t>Johel</t>
  </si>
  <si>
    <t>gjk1</t>
  </si>
  <si>
    <t>DocGonzo</t>
  </si>
  <si>
    <t>chaurus</t>
  </si>
  <si>
    <t>serhat95</t>
  </si>
  <si>
    <t>rb001</t>
  </si>
  <si>
    <t>Mythos-GTI</t>
  </si>
  <si>
    <t>Jaguar2303</t>
  </si>
  <si>
    <t>app3l</t>
  </si>
  <si>
    <t>frauknurri</t>
  </si>
  <si>
    <t>Aggaliy</t>
  </si>
  <si>
    <t>mondschein12</t>
  </si>
  <si>
    <t>sasakul</t>
  </si>
  <si>
    <t>TheGold4me</t>
  </si>
  <si>
    <t>Sire93</t>
  </si>
  <si>
    <t>der.eisenbieger</t>
  </si>
  <si>
    <t>soul.silver</t>
  </si>
  <si>
    <t>terranueva</t>
  </si>
  <si>
    <t>Blausternchen</t>
  </si>
  <si>
    <t>Chiller-boy1</t>
  </si>
  <si>
    <t>DerCemo47</t>
  </si>
  <si>
    <t>loewenherz01</t>
  </si>
  <si>
    <t>-Eroberer-</t>
  </si>
  <si>
    <t>Person15</t>
  </si>
  <si>
    <t>Hulk321</t>
  </si>
  <si>
    <t>frane77</t>
  </si>
  <si>
    <t>Fabschn</t>
  </si>
  <si>
    <t>wuatena</t>
  </si>
  <si>
    <t>Peterus1</t>
  </si>
  <si>
    <t>circe01</t>
  </si>
  <si>
    <t>Normannenfels</t>
  </si>
  <si>
    <t>Tilltanungman</t>
  </si>
  <si>
    <t>Lo0xIs</t>
  </si>
  <si>
    <t>KoRben.</t>
  </si>
  <si>
    <t>wickilia</t>
  </si>
  <si>
    <t>Laky1222</t>
  </si>
  <si>
    <t>menolli</t>
  </si>
  <si>
    <t>hesse40</t>
  </si>
  <si>
    <t>lucas04</t>
  </si>
  <si>
    <t>BlackWitch2</t>
  </si>
  <si>
    <t>ARCHIVAL</t>
  </si>
  <si>
    <t>Scherzer7</t>
  </si>
  <si>
    <t>unfeeling19</t>
  </si>
  <si>
    <t>KingTiger63</t>
  </si>
  <si>
    <t>GUMPI97</t>
  </si>
  <si>
    <t>Dietmar91</t>
  </si>
  <si>
    <t>Norman23456</t>
  </si>
  <si>
    <t>Kulle.jr</t>
  </si>
  <si>
    <t>ApOx</t>
  </si>
  <si>
    <t>Aramer</t>
  </si>
  <si>
    <t>Lipsiator</t>
  </si>
  <si>
    <t>Jack191995</t>
  </si>
  <si>
    <t>DerRode</t>
  </si>
  <si>
    <t>rackloss</t>
  </si>
  <si>
    <t>19malibu92</t>
  </si>
  <si>
    <t>LispelndesGeistlein</t>
  </si>
  <si>
    <t>fanaticaldios</t>
  </si>
  <si>
    <t>.Bardock.</t>
  </si>
  <si>
    <t>Wasserhund</t>
  </si>
  <si>
    <t>autumntime</t>
  </si>
  <si>
    <t>BuiHu</t>
  </si>
  <si>
    <t>Schattenlegionaer</t>
  </si>
  <si>
    <t>Otjischussi</t>
  </si>
  <si>
    <t>Petrosus4</t>
  </si>
  <si>
    <t>sebastil2</t>
  </si>
  <si>
    <t>DasZombieJo</t>
  </si>
  <si>
    <t>Hinsel</t>
  </si>
  <si>
    <t>Venamor</t>
  </si>
  <si>
    <t>DirtyS</t>
  </si>
  <si>
    <t>NAZARIUS</t>
  </si>
  <si>
    <t>Schand79</t>
  </si>
  <si>
    <t>oladele</t>
  </si>
  <si>
    <t>Steinibach</t>
  </si>
  <si>
    <t>KingMaddin</t>
  </si>
  <si>
    <t>Vaadi</t>
  </si>
  <si>
    <t>Skibius</t>
  </si>
  <si>
    <t>rote-tomate</t>
  </si>
  <si>
    <t>ANeu</t>
  </si>
  <si>
    <t>Xului</t>
  </si>
  <si>
    <t>starwars71</t>
  </si>
  <si>
    <t>morphyn</t>
  </si>
  <si>
    <t>Pizzadorf</t>
  </si>
  <si>
    <t>jojo9898</t>
  </si>
  <si>
    <t>ToxArchos</t>
  </si>
  <si>
    <t>Sgl1</t>
  </si>
  <si>
    <t>ekaps</t>
  </si>
  <si>
    <t>--BARROW--</t>
  </si>
  <si>
    <t>luk.frer</t>
  </si>
  <si>
    <t>jochen678</t>
  </si>
  <si>
    <t>Rexaron</t>
  </si>
  <si>
    <t>Holli47</t>
  </si>
  <si>
    <t>winerle</t>
  </si>
  <si>
    <t>Bretagne</t>
  </si>
  <si>
    <t>chlodwigis</t>
  </si>
  <si>
    <t>Energycontrol</t>
  </si>
  <si>
    <t>dullus</t>
  </si>
  <si>
    <t>Meriva</t>
  </si>
  <si>
    <t>Vuksan</t>
  </si>
  <si>
    <t>Tiger1896</t>
  </si>
  <si>
    <t>alexsim</t>
  </si>
  <si>
    <t>Nervan</t>
  </si>
  <si>
    <t>tst30</t>
  </si>
  <si>
    <t>mc43</t>
  </si>
  <si>
    <t>seppl0410</t>
  </si>
  <si>
    <t>dancol</t>
  </si>
  <si>
    <t>Lutz1970</t>
  </si>
  <si>
    <t>mathis996</t>
  </si>
  <si>
    <t>Orschlochwattn</t>
  </si>
  <si>
    <t>Herzog.Wolf</t>
  </si>
  <si>
    <t>BockWurschtPlautze</t>
  </si>
  <si>
    <t>TRIFFI31</t>
  </si>
  <si>
    <t>Skt95</t>
  </si>
  <si>
    <t>kokojo3</t>
  </si>
  <si>
    <t>Caprylic</t>
  </si>
  <si>
    <t>WaseSolleMachen</t>
  </si>
  <si>
    <t>Stevenc</t>
  </si>
  <si>
    <t>Cartige</t>
  </si>
  <si>
    <t>x3rikx</t>
  </si>
  <si>
    <t>Nightflaver</t>
  </si>
  <si>
    <t>bumpolo</t>
  </si>
  <si>
    <t>Neodamonden</t>
  </si>
  <si>
    <t>maxir1</t>
  </si>
  <si>
    <t>kostas68</t>
  </si>
  <si>
    <t>huberni</t>
  </si>
  <si>
    <t>wednesdayyy</t>
  </si>
  <si>
    <t>Godemar</t>
  </si>
  <si>
    <t>StefanHentschel</t>
  </si>
  <si>
    <t>DieSteph</t>
  </si>
  <si>
    <t>kiing-kasthe</t>
  </si>
  <si>
    <t>mesocool</t>
  </si>
  <si>
    <t>sue-ellen</t>
  </si>
  <si>
    <t>Maggesch</t>
  </si>
  <si>
    <t>kreutzriter</t>
  </si>
  <si>
    <t>Dragonheart666</t>
  </si>
  <si>
    <t>wowka85</t>
  </si>
  <si>
    <t>satanrego</t>
  </si>
  <si>
    <t>nonstop6</t>
  </si>
  <si>
    <t>Tutuvina</t>
  </si>
  <si>
    <t>xHannes</t>
  </si>
  <si>
    <t>JonesnBones</t>
  </si>
  <si>
    <t>24.04</t>
  </si>
  <si>
    <t>Makawee</t>
  </si>
  <si>
    <t>Boboboba</t>
  </si>
  <si>
    <t>Ap0calyp5e</t>
  </si>
  <si>
    <t>sethti</t>
  </si>
  <si>
    <t>Lorig123</t>
  </si>
  <si>
    <t>AndreasI.</t>
  </si>
  <si>
    <t>daniel4jacki</t>
  </si>
  <si>
    <t>woodi002</t>
  </si>
  <si>
    <t>LolliNWO</t>
  </si>
  <si>
    <t>motz31</t>
  </si>
  <si>
    <t>Bella27</t>
  </si>
  <si>
    <t>bannyb</t>
  </si>
  <si>
    <t>aL3xEy</t>
  </si>
  <si>
    <t>hgmatze</t>
  </si>
  <si>
    <t>TyrNordwinds</t>
  </si>
  <si>
    <t>WindLegioner</t>
  </si>
  <si>
    <t>ChrisDC</t>
  </si>
  <si>
    <t>nicole68</t>
  </si>
  <si>
    <t>coolarhund</t>
  </si>
  <si>
    <t>Dr.Deadpool</t>
  </si>
  <si>
    <t>Grisu14</t>
  </si>
  <si>
    <t>wiermann</t>
  </si>
  <si>
    <t>Aphrodite66</t>
  </si>
  <si>
    <t>JayX</t>
  </si>
  <si>
    <t>heizergdb19</t>
  </si>
  <si>
    <t>luca210</t>
  </si>
  <si>
    <t>Kubitza1984</t>
  </si>
  <si>
    <t>MichiDJ</t>
  </si>
  <si>
    <t>KleinerRoterDrache</t>
  </si>
  <si>
    <t>saik06</t>
  </si>
  <si>
    <t>nico144123</t>
  </si>
  <si>
    <t>Pfulo</t>
  </si>
  <si>
    <t>grizzi</t>
  </si>
  <si>
    <t>Lukassp12345</t>
  </si>
  <si>
    <t>Maytrix</t>
  </si>
  <si>
    <t>lywas</t>
  </si>
  <si>
    <t>Medi-Master</t>
  </si>
  <si>
    <t>Dorfkaktus</t>
  </si>
  <si>
    <t>DarkDarco</t>
  </si>
  <si>
    <t>PuiPui66</t>
  </si>
  <si>
    <t>Maxl53</t>
  </si>
  <si>
    <t>Untertreiber</t>
  </si>
  <si>
    <t>Kaijes</t>
  </si>
  <si>
    <t>Harakon</t>
  </si>
  <si>
    <t>brille02</t>
  </si>
  <si>
    <t>fxcftgchg</t>
  </si>
  <si>
    <t>thebiggesttim</t>
  </si>
  <si>
    <t>kai987321</t>
  </si>
  <si>
    <t>mani686</t>
  </si>
  <si>
    <t>Lordmatze33</t>
  </si>
  <si>
    <t>papa1971</t>
  </si>
  <si>
    <t>Platinum74</t>
  </si>
  <si>
    <t>thedeadman0</t>
  </si>
  <si>
    <t>Iconfighter</t>
  </si>
  <si>
    <t>Chris588n</t>
  </si>
  <si>
    <t>ZZacharias</t>
  </si>
  <si>
    <t>linie23</t>
  </si>
  <si>
    <t>dh70</t>
  </si>
  <si>
    <t>DieBonze</t>
  </si>
  <si>
    <t>Hasijr1</t>
  </si>
  <si>
    <t>Dani.-</t>
  </si>
  <si>
    <t>Nairolflol</t>
  </si>
  <si>
    <t>mina153</t>
  </si>
  <si>
    <t>blackandi5</t>
  </si>
  <si>
    <t>TheClausii</t>
  </si>
  <si>
    <t>BAT-M</t>
  </si>
  <si>
    <t>xXxSnoopyxXx</t>
  </si>
  <si>
    <t>NILSTER</t>
  </si>
  <si>
    <t>gregsen</t>
  </si>
  <si>
    <t>--secret--</t>
  </si>
  <si>
    <t>zitronenkuchen</t>
  </si>
  <si>
    <t>shadowlich</t>
  </si>
  <si>
    <t>Ganjaexpress</t>
  </si>
  <si>
    <t>Yamking1</t>
  </si>
  <si>
    <t>Goldraven</t>
  </si>
  <si>
    <t>floschrei05</t>
  </si>
  <si>
    <t>Jo.Mi.</t>
  </si>
  <si>
    <t>Cuij</t>
  </si>
  <si>
    <t>B.Randstifter</t>
  </si>
  <si>
    <t>Elektric</t>
  </si>
  <si>
    <t>sauereraffe</t>
  </si>
  <si>
    <t>thomaner15</t>
  </si>
  <si>
    <t>J--O</t>
  </si>
  <si>
    <t>wiskybier</t>
  </si>
  <si>
    <t>Piksi83</t>
  </si>
  <si>
    <t>maxhaxlefax</t>
  </si>
  <si>
    <t>JoeHotze</t>
  </si>
  <si>
    <t>sincheeen</t>
  </si>
  <si>
    <t>.Klaue4.</t>
  </si>
  <si>
    <t>Hartmann.</t>
  </si>
  <si>
    <t>YourDecline</t>
  </si>
  <si>
    <t>Kurdian</t>
  </si>
  <si>
    <t>XM414</t>
  </si>
  <si>
    <t>SquoX</t>
  </si>
  <si>
    <t>spataner33</t>
  </si>
  <si>
    <t>Giulia09</t>
  </si>
  <si>
    <t>roemer13</t>
  </si>
  <si>
    <t>Patta1997</t>
  </si>
  <si>
    <t>Helfersyndro</t>
  </si>
  <si>
    <t>mayladynrw</t>
  </si>
  <si>
    <t>Ares901</t>
  </si>
  <si>
    <t>mich1101</t>
  </si>
  <si>
    <t>19stiffler89</t>
  </si>
  <si>
    <t>erztttt</t>
  </si>
  <si>
    <t>Ghetto-Nudel</t>
  </si>
  <si>
    <t>Bangodboya</t>
  </si>
  <si>
    <t>Atze170</t>
  </si>
  <si>
    <t>PanterWien</t>
  </si>
  <si>
    <t>Pecksbyr</t>
  </si>
  <si>
    <t>Nemesis19</t>
  </si>
  <si>
    <t>unowned</t>
  </si>
  <si>
    <t>peelo</t>
  </si>
  <si>
    <t>WaBoUnleashed</t>
  </si>
  <si>
    <t>Surtic09</t>
  </si>
  <si>
    <t>XmetonX</t>
  </si>
  <si>
    <t>Bahoz91</t>
  </si>
  <si>
    <t>Freakii11</t>
  </si>
  <si>
    <t>RX.7</t>
  </si>
  <si>
    <t>Tonsor</t>
  </si>
  <si>
    <t>spartanerII</t>
  </si>
  <si>
    <t>Baint</t>
  </si>
  <si>
    <t>Cheguevarra</t>
  </si>
  <si>
    <t>Scham93i</t>
  </si>
  <si>
    <t>Niceldio</t>
  </si>
  <si>
    <t>Danielreifegerst</t>
  </si>
  <si>
    <t>Wongaa</t>
  </si>
  <si>
    <t>...BiGM4m4...</t>
  </si>
  <si>
    <t>Askiela</t>
  </si>
  <si>
    <t>caravan16</t>
  </si>
  <si>
    <t>haida92</t>
  </si>
  <si>
    <t>Schlumpfinchen</t>
  </si>
  <si>
    <t>squetci</t>
  </si>
  <si>
    <t>lumpe95</t>
  </si>
  <si>
    <t>Stoff.93</t>
  </si>
  <si>
    <t>RudelGemuese</t>
  </si>
  <si>
    <t>hydra66</t>
  </si>
  <si>
    <t>Kracitshl</t>
  </si>
  <si>
    <t>reporunner</t>
  </si>
  <si>
    <t>Elektrixel</t>
  </si>
  <si>
    <t>OGVMKA</t>
  </si>
  <si>
    <t>esug</t>
  </si>
  <si>
    <t>Hamamelis</t>
  </si>
  <si>
    <t>kdorf</t>
  </si>
  <si>
    <t>Fritz70</t>
  </si>
  <si>
    <t>oOJaczakOo</t>
  </si>
  <si>
    <t>Sennmann</t>
  </si>
  <si>
    <t>Jogi1989</t>
  </si>
  <si>
    <t>.King-Dani.</t>
  </si>
  <si>
    <t>Ensei</t>
  </si>
  <si>
    <t>franzjup</t>
  </si>
  <si>
    <t>lordkevga95</t>
  </si>
  <si>
    <t>paulsener</t>
  </si>
  <si>
    <t>BlackStory</t>
  </si>
  <si>
    <t>Schbabba</t>
  </si>
  <si>
    <t>Eworks</t>
  </si>
  <si>
    <t>Yoggi2010</t>
  </si>
  <si>
    <t>Londo-Molari</t>
  </si>
  <si>
    <t>Mr.Keli</t>
  </si>
  <si>
    <t>Prinz-11</t>
  </si>
  <si>
    <t>Leviathania</t>
  </si>
  <si>
    <t>Kort1000</t>
  </si>
  <si>
    <t>Meter2010</t>
  </si>
  <si>
    <t>ben13.12</t>
  </si>
  <si>
    <t>Judgement01</t>
  </si>
  <si>
    <t>.Apollos.</t>
  </si>
  <si>
    <t>Slytherin1997</t>
  </si>
  <si>
    <t>miles96</t>
  </si>
  <si>
    <t>FabyH</t>
  </si>
  <si>
    <t>BierBaron.</t>
  </si>
  <si>
    <t>sannio</t>
  </si>
  <si>
    <t>Enya24</t>
  </si>
  <si>
    <t>jcb68</t>
  </si>
  <si>
    <t>Bozkurt361</t>
  </si>
  <si>
    <t>Cid15</t>
  </si>
  <si>
    <t>MakeOutHill</t>
  </si>
  <si>
    <t>galer10</t>
  </si>
  <si>
    <t>imik16</t>
  </si>
  <si>
    <t>Draginiiicaa</t>
  </si>
  <si>
    <t>servus123456</t>
  </si>
  <si>
    <t>Heilbronner68</t>
  </si>
  <si>
    <t>Dr4g0n97</t>
  </si>
  <si>
    <t>reinhard84</t>
  </si>
  <si>
    <t>vansyyy</t>
  </si>
  <si>
    <t>TheHardyBoy94</t>
  </si>
  <si>
    <t>scirocco09</t>
  </si>
  <si>
    <t>Gut96</t>
  </si>
  <si>
    <t>Gut0</t>
  </si>
  <si>
    <t>Enforcer41</t>
  </si>
  <si>
    <t>Jan-R-</t>
  </si>
  <si>
    <t>Strykehammer</t>
  </si>
  <si>
    <t>hamburg23</t>
  </si>
  <si>
    <t>gruner17</t>
  </si>
  <si>
    <t>Inataptai</t>
  </si>
  <si>
    <t>20Hanzi02</t>
  </si>
  <si>
    <t>Dein17.Tod</t>
  </si>
  <si>
    <t>Schlumpfkot</t>
  </si>
  <si>
    <t>X-Tempo-X</t>
  </si>
  <si>
    <t>Short-Hupe</t>
  </si>
  <si>
    <t>Verros</t>
  </si>
  <si>
    <t>gingermaster</t>
  </si>
  <si>
    <t>Zwoogel1</t>
  </si>
  <si>
    <t>PyramediX</t>
  </si>
  <si>
    <t>--robi98--</t>
  </si>
  <si>
    <t>Azerlord</t>
  </si>
  <si>
    <t>ShizzleMaNizzle</t>
  </si>
  <si>
    <t>Atariboy</t>
  </si>
  <si>
    <t>enchantra</t>
  </si>
  <si>
    <t>d1abloO</t>
  </si>
  <si>
    <t>Yzerman19</t>
  </si>
  <si>
    <t>Cirion2</t>
  </si>
  <si>
    <t>MasterDeath</t>
  </si>
  <si>
    <t>Gawain1973</t>
  </si>
  <si>
    <t>Eliminator78</t>
  </si>
  <si>
    <t>Amaterzu</t>
  </si>
  <si>
    <t>Werlordus</t>
  </si>
  <si>
    <t>Maus-15</t>
  </si>
  <si>
    <t>HipHopHardy</t>
  </si>
  <si>
    <t>enrico97</t>
  </si>
  <si>
    <t>Wingendorfer</t>
  </si>
  <si>
    <t>alexxDDDD</t>
  </si>
  <si>
    <t>1000Volt</t>
  </si>
  <si>
    <t>Kamerad1</t>
  </si>
  <si>
    <t>Interceptor96</t>
  </si>
  <si>
    <t>colderaser</t>
  </si>
  <si>
    <t>Miss-Persidrall</t>
  </si>
  <si>
    <t>loko1988</t>
  </si>
  <si>
    <t>felli1</t>
  </si>
  <si>
    <t>yourself2406</t>
  </si>
  <si>
    <t>rittervomseckenpferd</t>
  </si>
  <si>
    <t>DerDerMitDerSonneTanzt</t>
  </si>
  <si>
    <t>JuinX</t>
  </si>
  <si>
    <t>Shiroianer</t>
  </si>
  <si>
    <t>Ole66</t>
  </si>
  <si>
    <t>dragonridergirl</t>
  </si>
  <si>
    <t>Nachtweide</t>
  </si>
  <si>
    <t>Lukasato</t>
  </si>
  <si>
    <t>adriadri209</t>
  </si>
  <si>
    <t>Monne-81</t>
  </si>
  <si>
    <t>blvm3ng43rtn3r</t>
  </si>
  <si>
    <t>thehaaacker</t>
  </si>
  <si>
    <t>the99</t>
  </si>
  <si>
    <t>Noxist</t>
  </si>
  <si>
    <t>CologneHighlander</t>
  </si>
  <si>
    <t>Chaosridden</t>
  </si>
  <si>
    <t>ISSC</t>
  </si>
  <si>
    <t>STGermany</t>
  </si>
  <si>
    <t>apollo1345</t>
  </si>
  <si>
    <t>006Tom</t>
  </si>
  <si>
    <t>Ochi2</t>
  </si>
  <si>
    <t>HackeBoy</t>
  </si>
  <si>
    <t>easywin</t>
  </si>
  <si>
    <t>heiron1</t>
  </si>
  <si>
    <t>helmi59</t>
  </si>
  <si>
    <t>ghlk15</t>
  </si>
  <si>
    <t>SirLeoDer1</t>
  </si>
  <si>
    <t>-Dragon1994-</t>
  </si>
  <si>
    <t>Zappenduster64</t>
  </si>
  <si>
    <t>SpecialAirService</t>
  </si>
  <si>
    <t>Linus04</t>
  </si>
  <si>
    <t>MassivM</t>
  </si>
  <si>
    <t>Robfack</t>
  </si>
  <si>
    <t>hunter0307</t>
  </si>
  <si>
    <t>ronkong</t>
  </si>
  <si>
    <t>Brenni2011</t>
  </si>
  <si>
    <t>yakusa75</t>
  </si>
  <si>
    <t>Adminflose</t>
  </si>
  <si>
    <t>scratchy.</t>
  </si>
  <si>
    <t>revenger53</t>
  </si>
  <si>
    <t>vanhelsink1</t>
  </si>
  <si>
    <t>Vanessa2704</t>
  </si>
  <si>
    <t>schnauzevollnix</t>
  </si>
  <si>
    <t>xYomox</t>
  </si>
  <si>
    <t>Visor</t>
  </si>
  <si>
    <t>Harryhirch</t>
  </si>
  <si>
    <t>Gladiator2112</t>
  </si>
  <si>
    <t>1337.Pain</t>
  </si>
  <si>
    <t>Adffe</t>
  </si>
  <si>
    <t>ABmen83</t>
  </si>
  <si>
    <t>Maxutaurus</t>
  </si>
  <si>
    <t>TheDemonSoul</t>
  </si>
  <si>
    <t>klo3b</t>
  </si>
  <si>
    <t>Angelo.99</t>
  </si>
  <si>
    <t>mif1</t>
  </si>
  <si>
    <t>Waikiki00</t>
  </si>
  <si>
    <t>f4v0l31n</t>
  </si>
  <si>
    <t>Fortunator96</t>
  </si>
  <si>
    <t>dieweltmacht</t>
  </si>
  <si>
    <t>huhu123456</t>
  </si>
  <si>
    <t>semoh87</t>
  </si>
  <si>
    <t>xXdD123</t>
  </si>
  <si>
    <t>LandoderEroberer</t>
  </si>
  <si>
    <t>Peganx</t>
  </si>
  <si>
    <t>AllnMcDelluxe</t>
  </si>
  <si>
    <t>NetworXxX</t>
  </si>
  <si>
    <t>xandi4</t>
  </si>
  <si>
    <t>Zoker204</t>
  </si>
  <si>
    <t>-Kobr-</t>
  </si>
  <si>
    <t>tscheki11</t>
  </si>
  <si>
    <t>HilariousLotus</t>
  </si>
  <si>
    <t>King-Cado</t>
  </si>
  <si>
    <t>Flachskopf</t>
  </si>
  <si>
    <t>Georg2134</t>
  </si>
  <si>
    <t>ironshadow</t>
  </si>
  <si>
    <t>daLUiSeL</t>
  </si>
  <si>
    <t>HanfBlatt90</t>
  </si>
  <si>
    <t>T3chn4k</t>
  </si>
  <si>
    <t>mister.max1</t>
  </si>
  <si>
    <t>dominik.zoe</t>
  </si>
  <si>
    <t>Troja987</t>
  </si>
  <si>
    <t>Funky98</t>
  </si>
  <si>
    <t>MantanaJuniors</t>
  </si>
  <si>
    <t>InsaneBastard</t>
  </si>
  <si>
    <t>LE-GE</t>
  </si>
  <si>
    <t>terrorist8</t>
  </si>
  <si>
    <t>germania77</t>
  </si>
  <si>
    <t>Sunnyschine</t>
  </si>
  <si>
    <t>Essix3</t>
  </si>
  <si>
    <t>SVL500</t>
  </si>
  <si>
    <t>Pettiwa</t>
  </si>
  <si>
    <t>bob107</t>
  </si>
  <si>
    <t>lordosel</t>
  </si>
  <si>
    <t>beckdan936</t>
  </si>
  <si>
    <t>Ult1maT1V</t>
  </si>
  <si>
    <t>brronass</t>
  </si>
  <si>
    <t>Eis-Wolf</t>
  </si>
  <si>
    <t>Stahl669</t>
  </si>
  <si>
    <t>Kontaktverbot</t>
  </si>
  <si>
    <t>Xaraxas</t>
  </si>
  <si>
    <t>honkkk</t>
  </si>
  <si>
    <t>MJ2Chill</t>
  </si>
  <si>
    <t>Jinxor</t>
  </si>
  <si>
    <t>stampede.</t>
  </si>
  <si>
    <t>DarkShadow5</t>
  </si>
  <si>
    <t>ochsee</t>
  </si>
  <si>
    <t>LENOSI</t>
  </si>
  <si>
    <t>B4ShM4ST3R</t>
  </si>
  <si>
    <t>Nextwe</t>
  </si>
  <si>
    <t>Dango37</t>
  </si>
  <si>
    <t>icebreaker59</t>
  </si>
  <si>
    <t>Lalutscha</t>
  </si>
  <si>
    <t>Kriegsdampfer</t>
  </si>
  <si>
    <t>EvilPups</t>
  </si>
  <si>
    <t>-Psylon-</t>
  </si>
  <si>
    <t>Tarrja</t>
  </si>
  <si>
    <t>lassgutsein.</t>
  </si>
  <si>
    <t>Florianwin</t>
  </si>
  <si>
    <t>Kenneth5</t>
  </si>
  <si>
    <t>-Vanillegipfel-</t>
  </si>
  <si>
    <t>bettydog</t>
  </si>
  <si>
    <t>blakhunter</t>
  </si>
  <si>
    <t>nikeid</t>
  </si>
  <si>
    <t>Melkin</t>
  </si>
  <si>
    <t>DieterVonHinten</t>
  </si>
  <si>
    <t>Marzipanmann</t>
  </si>
  <si>
    <t>killer659</t>
  </si>
  <si>
    <t>Lordlebkuchen</t>
  </si>
  <si>
    <t>Mattlbomber</t>
  </si>
  <si>
    <t>Flomas</t>
  </si>
  <si>
    <t>nictac</t>
  </si>
  <si>
    <t>Bruntus</t>
  </si>
  <si>
    <t>Bernd1901</t>
  </si>
  <si>
    <t>Sarabi1</t>
  </si>
  <si>
    <t>Naaki</t>
  </si>
  <si>
    <t>Fidor23</t>
  </si>
  <si>
    <t>Felix1006</t>
  </si>
  <si>
    <t>funnyskill</t>
  </si>
  <si>
    <t>noah-2003</t>
  </si>
  <si>
    <t>Meisterknecht001</t>
  </si>
  <si>
    <t>falke077</t>
  </si>
  <si>
    <t>-kleine-ulla-</t>
  </si>
  <si>
    <t>Inferox</t>
  </si>
  <si>
    <t>Aemok</t>
  </si>
  <si>
    <t>Tille1974</t>
  </si>
  <si>
    <t>PinoArt</t>
  </si>
  <si>
    <t>Scoprionz</t>
  </si>
  <si>
    <t>tik99</t>
  </si>
  <si>
    <t>Moritz5590</t>
  </si>
  <si>
    <t>Beisch</t>
  </si>
  <si>
    <t>bene-b</t>
  </si>
  <si>
    <t>Madafiii</t>
  </si>
  <si>
    <t>PoStI94</t>
  </si>
  <si>
    <t>sieger42</t>
  </si>
  <si>
    <t>Daed12</t>
  </si>
  <si>
    <t>Ger3liteChris</t>
  </si>
  <si>
    <t>Gringen</t>
  </si>
  <si>
    <t>5ims</t>
  </si>
  <si>
    <t>L3on07</t>
  </si>
  <si>
    <t>Tommyli1</t>
  </si>
  <si>
    <t>Vypo</t>
  </si>
  <si>
    <t>Stormflame</t>
  </si>
  <si>
    <t>Matjesmonster</t>
  </si>
  <si>
    <t>Hofkirchen10</t>
  </si>
  <si>
    <t>Mahus1</t>
  </si>
  <si>
    <t>mrknowitall</t>
  </si>
  <si>
    <t>Dexter1997</t>
  </si>
  <si>
    <t>erstyle98</t>
  </si>
  <si>
    <t>roock7</t>
  </si>
  <si>
    <t>AvalonFee</t>
  </si>
  <si>
    <t>zwin</t>
  </si>
  <si>
    <t>IceTeaZero</t>
  </si>
  <si>
    <t>Castro</t>
  </si>
  <si>
    <t>Shadowhunter87</t>
  </si>
  <si>
    <t>Athcor</t>
  </si>
  <si>
    <t>-SkullCrusher-</t>
  </si>
  <si>
    <t>Maxmaster2011</t>
  </si>
  <si>
    <t>FiGhTeR.1996</t>
  </si>
  <si>
    <t>nOiiSe</t>
  </si>
  <si>
    <t>Kamikaze1986</t>
  </si>
  <si>
    <t>Turmwacht</t>
  </si>
  <si>
    <t>DiazLive</t>
  </si>
  <si>
    <t>snowdruss</t>
  </si>
  <si>
    <t>DamaniDada</t>
  </si>
  <si>
    <t>Turbo-Ghost</t>
  </si>
  <si>
    <t>yourdeath29</t>
  </si>
  <si>
    <t>PapageiKatze941</t>
  </si>
  <si>
    <t>lenzi1112</t>
  </si>
  <si>
    <t>Therux1122</t>
  </si>
  <si>
    <t>xxrexixx112</t>
  </si>
  <si>
    <t>MunichCowboy</t>
  </si>
  <si>
    <t>PhantomJuunge</t>
  </si>
  <si>
    <t>Kasbianx3</t>
  </si>
  <si>
    <t>BBC-Atze</t>
  </si>
  <si>
    <t>Ratze89</t>
  </si>
  <si>
    <t>.Ph4nt0m.</t>
  </si>
  <si>
    <t>story2</t>
  </si>
  <si>
    <t>isdochwurst</t>
  </si>
  <si>
    <t>Bufdi</t>
  </si>
  <si>
    <t>wagnalove</t>
  </si>
  <si>
    <t>MRDriver</t>
  </si>
  <si>
    <t>RealLegolas</t>
  </si>
  <si>
    <t>SsGT-FraGGy</t>
  </si>
  <si>
    <t>puner</t>
  </si>
  <si>
    <t>Kasaran</t>
  </si>
  <si>
    <t>Hedoma</t>
  </si>
  <si>
    <t>Leffekopp</t>
  </si>
  <si>
    <t>schwaldiniho</t>
  </si>
  <si>
    <t>Memoy0815</t>
  </si>
  <si>
    <t>kiam11</t>
  </si>
  <si>
    <t>Acroon</t>
  </si>
  <si>
    <t>CarloMass</t>
  </si>
  <si>
    <t>Wexx124</t>
  </si>
  <si>
    <t>Spencer99</t>
  </si>
  <si>
    <t>Wander16</t>
  </si>
  <si>
    <t>lukamen</t>
  </si>
  <si>
    <t>Frowl</t>
  </si>
  <si>
    <t>Thildur</t>
  </si>
  <si>
    <t>zimmerer20</t>
  </si>
  <si>
    <t>Masch112</t>
  </si>
  <si>
    <t>Tim2.000</t>
  </si>
  <si>
    <t>w1nchester</t>
  </si>
  <si>
    <t>EricT.2020</t>
  </si>
  <si>
    <t>schwidni</t>
  </si>
  <si>
    <t>DaveRida</t>
  </si>
  <si>
    <t>macelch</t>
  </si>
  <si>
    <t>keniboy89</t>
  </si>
  <si>
    <t>eisiluci</t>
  </si>
  <si>
    <t>mrcrux</t>
  </si>
  <si>
    <t>Token96</t>
  </si>
  <si>
    <t>stahlprofi9</t>
  </si>
  <si>
    <t>sawdelia</t>
  </si>
  <si>
    <t>loddar2012</t>
  </si>
  <si>
    <t>Bashimpuls</t>
  </si>
  <si>
    <t>Eollas</t>
  </si>
  <si>
    <t>Luxi5000</t>
  </si>
  <si>
    <t>Masterali</t>
  </si>
  <si>
    <t>KillWatti</t>
  </si>
  <si>
    <t>xSirTobi</t>
  </si>
  <si>
    <t>erbeben</t>
  </si>
  <si>
    <t>jibilli</t>
  </si>
  <si>
    <t>Nikka93</t>
  </si>
  <si>
    <t>iW0X</t>
  </si>
  <si>
    <t>Swordmaster1200</t>
  </si>
  <si>
    <t>karawankenjugo147</t>
  </si>
  <si>
    <t>Wow4ik21</t>
  </si>
  <si>
    <t>Zodalis</t>
  </si>
  <si>
    <t>Gagabrii</t>
  </si>
  <si>
    <t>muschelmj</t>
  </si>
  <si>
    <t>Kampf90</t>
  </si>
  <si>
    <t>Coci00</t>
  </si>
  <si>
    <t>Bluddeux</t>
  </si>
  <si>
    <t>lychees</t>
  </si>
  <si>
    <t>Stormshadow91</t>
  </si>
  <si>
    <t>Bossi39</t>
  </si>
  <si>
    <t>HSVSuchti</t>
  </si>
  <si>
    <t>.incasabil</t>
  </si>
  <si>
    <t>andi97912</t>
  </si>
  <si>
    <t>majroe</t>
  </si>
  <si>
    <t>K3ZU</t>
  </si>
  <si>
    <t>radix333</t>
  </si>
  <si>
    <t>tiktakto70</t>
  </si>
  <si>
    <t>Jokergnome</t>
  </si>
  <si>
    <t>dixery</t>
  </si>
  <si>
    <t>Dregonheart</t>
  </si>
  <si>
    <t>Herrkogel</t>
  </si>
  <si>
    <t>Silicon</t>
  </si>
  <si>
    <t>hyhi20</t>
  </si>
  <si>
    <t>fabian1357</t>
  </si>
  <si>
    <t>POMEE</t>
  </si>
  <si>
    <t>Sinouu</t>
  </si>
  <si>
    <t>detlef00</t>
  </si>
  <si>
    <t>Sepp11111</t>
  </si>
  <si>
    <t>Bookeye</t>
  </si>
  <si>
    <t>vipchris</t>
  </si>
  <si>
    <t>detlef02</t>
  </si>
  <si>
    <t>stephander12</t>
  </si>
  <si>
    <t>Mohi123</t>
  </si>
  <si>
    <t>turkeyboy-99</t>
  </si>
  <si>
    <t>blacky564</t>
  </si>
  <si>
    <t>ImSryBut</t>
  </si>
  <si>
    <t>davethedave84</t>
  </si>
  <si>
    <t>Kampf-Berli</t>
  </si>
  <si>
    <t>BruderAbraham</t>
  </si>
  <si>
    <t>wersus10</t>
  </si>
  <si>
    <t>balin2000</t>
  </si>
  <si>
    <t>FuDG3</t>
  </si>
  <si>
    <t>Pejot88</t>
  </si>
  <si>
    <t>Ninkasi</t>
  </si>
  <si>
    <t>kjelder</t>
  </si>
  <si>
    <t>Vampirow</t>
  </si>
  <si>
    <t>DarioDerBoss</t>
  </si>
  <si>
    <t>donald.mcronald</t>
  </si>
  <si>
    <t>Micha041</t>
  </si>
  <si>
    <t>ahtos67</t>
  </si>
  <si>
    <t>AweZzomE</t>
  </si>
  <si>
    <t>.Gulaschkanonier.</t>
  </si>
  <si>
    <t>GapG21</t>
  </si>
  <si>
    <t>Ramblow</t>
  </si>
  <si>
    <t>Riefenstahl</t>
  </si>
  <si>
    <t>saubau..42</t>
  </si>
  <si>
    <t>DarkWoman15</t>
  </si>
  <si>
    <t>Kerberos</t>
  </si>
  <si>
    <t>rodrigues66</t>
  </si>
  <si>
    <t>rellef220</t>
  </si>
  <si>
    <t>marcy101</t>
  </si>
  <si>
    <t>KleopatraVII</t>
  </si>
  <si>
    <t>VirusWare</t>
  </si>
  <si>
    <t>MyNameIst</t>
  </si>
  <si>
    <t>Lumpi1995</t>
  </si>
  <si>
    <t>Tomawhok</t>
  </si>
  <si>
    <t>FoE0001</t>
  </si>
  <si>
    <t>Saftzahn</t>
  </si>
  <si>
    <t>flake45</t>
  </si>
  <si>
    <t>Cousinplay</t>
  </si>
  <si>
    <t>-DerInderInDerInderin-</t>
  </si>
  <si>
    <t>fritzerich</t>
  </si>
  <si>
    <t>Kroko.-</t>
  </si>
  <si>
    <t>superstar12</t>
  </si>
  <si>
    <t>LordNos</t>
  </si>
  <si>
    <t>Lerbanoel</t>
  </si>
  <si>
    <t>dresden0101</t>
  </si>
  <si>
    <t>chrisdergrobe</t>
  </si>
  <si>
    <t>brazzo0815</t>
  </si>
  <si>
    <t>Broda</t>
  </si>
  <si>
    <t>GamePri</t>
  </si>
  <si>
    <t>iTheIntex</t>
  </si>
  <si>
    <t>AlleinzuZweit</t>
  </si>
  <si>
    <t>balestia</t>
  </si>
  <si>
    <t>Funbasher1</t>
  </si>
  <si>
    <t>voitei123</t>
  </si>
  <si>
    <t>Morgen007</t>
  </si>
  <si>
    <t>Punschy</t>
  </si>
  <si>
    <t>BigL1</t>
  </si>
  <si>
    <t>GrafvonT.</t>
  </si>
  <si>
    <t>19CrazyCore96</t>
  </si>
  <si>
    <t>darmsprenger</t>
  </si>
  <si>
    <t>Flipsi777</t>
  </si>
  <si>
    <t>The-Old-Jenkins</t>
  </si>
  <si>
    <t>newBaby13</t>
  </si>
  <si>
    <t>AWolf33</t>
  </si>
  <si>
    <t>Corvus-noctis</t>
  </si>
  <si>
    <t>Cadaverous66</t>
  </si>
  <si>
    <t>tallha5757</t>
  </si>
  <si>
    <t>G1g4nt</t>
  </si>
  <si>
    <t>TELETUBBIE.</t>
  </si>
  <si>
    <t>TomTom7777777</t>
  </si>
  <si>
    <t>Shin-Shi</t>
  </si>
  <si>
    <t>Pvt.First</t>
  </si>
  <si>
    <t>hi98hi98</t>
  </si>
  <si>
    <t>Harmoniste</t>
  </si>
  <si>
    <t>TBCxXSchoppesXx</t>
  </si>
  <si>
    <t>DJone10</t>
  </si>
  <si>
    <t>michaelino</t>
  </si>
  <si>
    <t>Maxim2024</t>
  </si>
  <si>
    <t>todakr</t>
  </si>
  <si>
    <t>Moinsal</t>
  </si>
  <si>
    <t>wiwiwi3</t>
  </si>
  <si>
    <t>Dovev</t>
  </si>
  <si>
    <t>mykeee</t>
  </si>
  <si>
    <t>hagenxd</t>
  </si>
  <si>
    <t>HiidanX</t>
  </si>
  <si>
    <t>lichtstrahl1408</t>
  </si>
  <si>
    <t>Capt.Bizeps</t>
  </si>
  <si>
    <t>Drekotta</t>
  </si>
  <si>
    <t>Roger1313</t>
  </si>
  <si>
    <t>Uktrak</t>
  </si>
  <si>
    <t>Erharn</t>
  </si>
  <si>
    <t>huligen3</t>
  </si>
  <si>
    <t>tobinator2345</t>
  </si>
  <si>
    <t>Orka07</t>
  </si>
  <si>
    <t>SpartaBamf</t>
  </si>
  <si>
    <t>JoMaster69</t>
  </si>
  <si>
    <t>Pizzachilis</t>
  </si>
  <si>
    <t>2Crapy4Bash</t>
  </si>
  <si>
    <t>D-H-B</t>
  </si>
  <si>
    <t>dennisk23</t>
  </si>
  <si>
    <t>HeTrOGraDe</t>
  </si>
  <si>
    <t>bongtopf</t>
  </si>
  <si>
    <t>hanfix</t>
  </si>
  <si>
    <t>kingjerome99</t>
  </si>
  <si>
    <t>Doubl3E</t>
  </si>
  <si>
    <t>jolennyjo123</t>
  </si>
  <si>
    <t>Donut08</t>
  </si>
  <si>
    <t>Trollo311</t>
  </si>
  <si>
    <t>cKiesco</t>
  </si>
  <si>
    <t>Baratus</t>
  </si>
  <si>
    <t>Saveworld</t>
  </si>
  <si>
    <t>BITCOIN</t>
  </si>
  <si>
    <t>Mateo1</t>
  </si>
  <si>
    <t>l22lBandito</t>
  </si>
  <si>
    <t>blondu</t>
  </si>
  <si>
    <t>willschmitt</t>
  </si>
  <si>
    <t>Juventino96</t>
  </si>
  <si>
    <t>jaden87</t>
  </si>
  <si>
    <t>robinhood-007</t>
  </si>
  <si>
    <t>Debray</t>
  </si>
  <si>
    <t>Tirao</t>
  </si>
  <si>
    <t>mambuso</t>
  </si>
  <si>
    <t>TTinglE</t>
  </si>
  <si>
    <t>CyserixXx</t>
  </si>
  <si>
    <t>FreakyBasher</t>
  </si>
  <si>
    <t>juriranger</t>
  </si>
  <si>
    <t>Snukkles</t>
  </si>
  <si>
    <t>Conqueror42</t>
  </si>
  <si>
    <t>anna</t>
  </si>
  <si>
    <t>bomberdragon</t>
  </si>
  <si>
    <t>Riji</t>
  </si>
  <si>
    <t>Dose</t>
  </si>
  <si>
    <t>brauberger</t>
  </si>
  <si>
    <t>chrismaster10</t>
  </si>
  <si>
    <t>Ursl</t>
  </si>
  <si>
    <t>Lettow</t>
  </si>
  <si>
    <t>FightersXD</t>
  </si>
  <si>
    <t>TimetoBash</t>
  </si>
  <si>
    <t>Lowhit</t>
  </si>
  <si>
    <t>Phil117</t>
  </si>
  <si>
    <t>Sibi1988</t>
  </si>
  <si>
    <t>OhrpheuZ</t>
  </si>
  <si>
    <t>V44nish</t>
  </si>
  <si>
    <t>Rainerzufall123</t>
  </si>
  <si>
    <t>LeeTer.</t>
  </si>
  <si>
    <t>Stardefender97</t>
  </si>
  <si>
    <t>mojoBwl</t>
  </si>
  <si>
    <t>Fraentah</t>
  </si>
  <si>
    <t>robbbert</t>
  </si>
  <si>
    <t>skyrim1997</t>
  </si>
  <si>
    <t>theLIONxx</t>
  </si>
  <si>
    <t>T5000</t>
  </si>
  <si>
    <t>MrFreakeffect</t>
  </si>
  <si>
    <t>CheckPrime</t>
  </si>
  <si>
    <t>Spackmann</t>
  </si>
  <si>
    <t>HixIt</t>
  </si>
  <si>
    <t>TheMrMineLP</t>
  </si>
  <si>
    <t>Paimon</t>
  </si>
  <si>
    <t>EkoCobra</t>
  </si>
  <si>
    <t>NakedPanda</t>
  </si>
  <si>
    <t>Hautzy</t>
  </si>
  <si>
    <t>Cheese03</t>
  </si>
  <si>
    <t>Herby68</t>
  </si>
  <si>
    <t>jagru15</t>
  </si>
  <si>
    <t>fabio93</t>
  </si>
  <si>
    <t>Tadeus92310</t>
  </si>
  <si>
    <t>carineloveya</t>
  </si>
  <si>
    <t>-Oni-</t>
  </si>
  <si>
    <t>torbentop</t>
  </si>
  <si>
    <t>defender5</t>
  </si>
  <si>
    <t>Aggro321</t>
  </si>
  <si>
    <t>griesis</t>
  </si>
  <si>
    <t>harun219</t>
  </si>
  <si>
    <t>schru2thetek</t>
  </si>
  <si>
    <t>michi1887</t>
  </si>
  <si>
    <t>SoeSide</t>
  </si>
  <si>
    <t>xGuzzix</t>
  </si>
  <si>
    <t>b4yer1</t>
  </si>
  <si>
    <t>.Taboo</t>
  </si>
  <si>
    <t>topas711</t>
  </si>
  <si>
    <t>RTMG2</t>
  </si>
  <si>
    <t>Futschel</t>
  </si>
  <si>
    <t>Michael2502</t>
  </si>
  <si>
    <t>Marcelino99</t>
  </si>
  <si>
    <t>Ankylus</t>
  </si>
  <si>
    <t>Tassos81</t>
  </si>
  <si>
    <t>almtraum</t>
  </si>
  <si>
    <t>Ronny263</t>
  </si>
  <si>
    <t>Champp</t>
  </si>
  <si>
    <t>heinzicr</t>
  </si>
  <si>
    <t>Antiparallel</t>
  </si>
  <si>
    <t>Gonni</t>
  </si>
  <si>
    <t>Taimmonania</t>
  </si>
  <si>
    <t>luchse</t>
  </si>
  <si>
    <t>PandoMeteoraX</t>
  </si>
  <si>
    <t>willmi</t>
  </si>
  <si>
    <t>derbozz98</t>
  </si>
  <si>
    <t>SonGekko</t>
  </si>
  <si>
    <t>exitus63</t>
  </si>
  <si>
    <t>heyheynickel</t>
  </si>
  <si>
    <t>Dragother</t>
  </si>
  <si>
    <t>KingGino1998</t>
  </si>
  <si>
    <t>LoveMarie2009</t>
  </si>
  <si>
    <t>yumSchoki</t>
  </si>
  <si>
    <t>Gondor66</t>
  </si>
  <si>
    <t>mavi43</t>
  </si>
  <si>
    <t>Baba-Boyka12</t>
  </si>
  <si>
    <t>wasenkarle</t>
  </si>
  <si>
    <t>Smokerclub</t>
  </si>
  <si>
    <t>florator</t>
  </si>
  <si>
    <t>3der.don3</t>
  </si>
  <si>
    <t>Daniel455</t>
  </si>
  <si>
    <t>ProPhoner</t>
  </si>
  <si>
    <t>glane13</t>
  </si>
  <si>
    <t>MkAvenger</t>
  </si>
  <si>
    <t>-Lucifer1-</t>
  </si>
  <si>
    <t>NeoTrace</t>
  </si>
  <si>
    <t>OstBerlin188</t>
  </si>
  <si>
    <t>Marius73</t>
  </si>
  <si>
    <t>Tr.General</t>
  </si>
  <si>
    <t>MXBR</t>
  </si>
  <si>
    <t>-DRHDT-</t>
  </si>
  <si>
    <t>olli962</t>
  </si>
  <si>
    <t>Millepora</t>
  </si>
  <si>
    <t>karneda</t>
  </si>
  <si>
    <t>Rosettenandi</t>
  </si>
  <si>
    <t>Nicinho13</t>
  </si>
  <si>
    <t>Cr1meZ</t>
  </si>
  <si>
    <t>dumdom</t>
  </si>
  <si>
    <t>DoctorDark12</t>
  </si>
  <si>
    <t>Gott96</t>
  </si>
  <si>
    <t>itchbo</t>
  </si>
  <si>
    <t>Cranky23</t>
  </si>
  <si>
    <t>Sayler1</t>
  </si>
  <si>
    <t>Branis7</t>
  </si>
  <si>
    <t>WILLIxDx</t>
  </si>
  <si>
    <t>lucky-punch</t>
  </si>
  <si>
    <t>Kaeasafar</t>
  </si>
  <si>
    <t>Feliz01</t>
  </si>
  <si>
    <t>EnoxAUT</t>
  </si>
  <si>
    <t>YONDA</t>
  </si>
  <si>
    <t>Poitzn</t>
  </si>
  <si>
    <t>slimcar</t>
  </si>
  <si>
    <t>Schecka</t>
  </si>
  <si>
    <t>EcoMiX</t>
  </si>
  <si>
    <t>LgPrantas</t>
  </si>
  <si>
    <t>majo2212</t>
  </si>
  <si>
    <t>Grizzles</t>
  </si>
  <si>
    <t>reinils</t>
  </si>
  <si>
    <t>sosnik</t>
  </si>
  <si>
    <t>john956</t>
  </si>
  <si>
    <t>xXDestroyedXx</t>
  </si>
  <si>
    <t>s4ng4r.</t>
  </si>
  <si>
    <t>sVraCer</t>
  </si>
  <si>
    <t>Cartman1333</t>
  </si>
  <si>
    <t>FreezZzer</t>
  </si>
  <si>
    <t>SteveToddi</t>
  </si>
  <si>
    <t>Hasselberry-Fin</t>
  </si>
  <si>
    <t>FredoXX</t>
  </si>
  <si>
    <t>stigokiller</t>
  </si>
  <si>
    <t>Cpt.Sinep</t>
  </si>
  <si>
    <t>konkom</t>
  </si>
  <si>
    <t>Robin.a</t>
  </si>
  <si>
    <t>avennar</t>
  </si>
  <si>
    <t>Abelos</t>
  </si>
  <si>
    <t>Lareq</t>
  </si>
  <si>
    <t>WilhelmXII</t>
  </si>
  <si>
    <t>valdonier</t>
  </si>
  <si>
    <t>d.fox</t>
  </si>
  <si>
    <t>Strohhutpiraten</t>
  </si>
  <si>
    <t>shiiinos</t>
  </si>
  <si>
    <t>Gringonymous</t>
  </si>
  <si>
    <t>nexuspremium</t>
  </si>
  <si>
    <t>tack69</t>
  </si>
  <si>
    <t>WennaMorloch</t>
  </si>
  <si>
    <t>Nasel</t>
  </si>
  <si>
    <t>joesef</t>
  </si>
  <si>
    <t>Konterbier</t>
  </si>
  <si>
    <t>Fischei15</t>
  </si>
  <si>
    <t>ibengames</t>
  </si>
  <si>
    <t>Neeophil</t>
  </si>
  <si>
    <t>wombastisch</t>
  </si>
  <si>
    <t>whatzup27x</t>
  </si>
  <si>
    <t>Daco</t>
  </si>
  <si>
    <t>Chroomix</t>
  </si>
  <si>
    <t>langbeinjonny</t>
  </si>
  <si>
    <t>GoodTime1</t>
  </si>
  <si>
    <t>Revolutia</t>
  </si>
  <si>
    <t>Jeyme5</t>
  </si>
  <si>
    <t>Harlekin77</t>
  </si>
  <si>
    <t>Lordleh</t>
  </si>
  <si>
    <t>Bartelmes</t>
  </si>
  <si>
    <t>Gael94</t>
  </si>
  <si>
    <t>SUCOTER</t>
  </si>
  <si>
    <t>Shad0wjumper</t>
  </si>
  <si>
    <t>franz75</t>
  </si>
  <si>
    <t>rockstarXD</t>
  </si>
  <si>
    <t>PinguShock</t>
  </si>
  <si>
    <t>Goofeh</t>
  </si>
  <si>
    <t>SirVendetta</t>
  </si>
  <si>
    <t>DOWN-88</t>
  </si>
  <si>
    <t>tolik87</t>
  </si>
  <si>
    <t>Beilkrieger</t>
  </si>
  <si>
    <t>yakumo23</t>
  </si>
  <si>
    <t>kracherx</t>
  </si>
  <si>
    <t>Blupperich</t>
  </si>
  <si>
    <t>TubenSalz</t>
  </si>
  <si>
    <t>STQFFEL</t>
  </si>
  <si>
    <t>jutschiin2</t>
  </si>
  <si>
    <t>Gudexam</t>
  </si>
  <si>
    <t>klaus1266</t>
  </si>
  <si>
    <t>Ghostsight7</t>
  </si>
  <si>
    <t>tombart1997</t>
  </si>
  <si>
    <t>superneusi</t>
  </si>
  <si>
    <t>qasid</t>
  </si>
  <si>
    <t>KingSain</t>
  </si>
  <si>
    <t>facelessvoid007</t>
  </si>
  <si>
    <t>Reverden</t>
  </si>
  <si>
    <t>Joheger95</t>
  </si>
  <si>
    <t>Jericho1337</t>
  </si>
  <si>
    <t>M3ss3rM3ist3r</t>
  </si>
  <si>
    <t>Braiser94</t>
  </si>
  <si>
    <t>Bambus-Mensch</t>
  </si>
  <si>
    <t>Templaarr</t>
  </si>
  <si>
    <t>jogru</t>
  </si>
  <si>
    <t>rgking</t>
  </si>
  <si>
    <t>Waldinator3005</t>
  </si>
  <si>
    <t>Rockywuff</t>
  </si>
  <si>
    <t>harzburger</t>
  </si>
  <si>
    <t>Pic1000</t>
  </si>
  <si>
    <t>.Flip.</t>
  </si>
  <si>
    <t>Dihydrogenmonoxid</t>
  </si>
  <si>
    <t>GodEnel</t>
  </si>
  <si>
    <t>Bubi957</t>
  </si>
  <si>
    <t>MoskitoVier80</t>
  </si>
  <si>
    <t>Woelfefan2</t>
  </si>
  <si>
    <t>lord-hazelnut</t>
  </si>
  <si>
    <t>smotteri</t>
  </si>
  <si>
    <t>iz00n</t>
  </si>
  <si>
    <t>Teletubbieman</t>
  </si>
  <si>
    <t>lokshooter</t>
  </si>
  <si>
    <t>odinsherr</t>
  </si>
  <si>
    <t>biergaming</t>
  </si>
  <si>
    <t>FrancescoSan</t>
  </si>
  <si>
    <t>Budda80</t>
  </si>
  <si>
    <t>Denybest</t>
  </si>
  <si>
    <t>Mkate-Brothers</t>
  </si>
  <si>
    <t>Hermine-Granger</t>
  </si>
  <si>
    <t>Mohhr</t>
  </si>
  <si>
    <t>xXNadjeschdaXx</t>
  </si>
  <si>
    <t>Kuru</t>
  </si>
  <si>
    <t>Lexo2013</t>
  </si>
  <si>
    <t>Potsu</t>
  </si>
  <si>
    <t>DoctorKaBoom</t>
  </si>
  <si>
    <t>swagger107</t>
  </si>
  <si>
    <t>UncleDolan</t>
  </si>
  <si>
    <t>KX22</t>
  </si>
  <si>
    <t>oli88</t>
  </si>
  <si>
    <t>pederski</t>
  </si>
  <si>
    <t>-363-</t>
  </si>
  <si>
    <t>franzi-bt</t>
  </si>
  <si>
    <t>Ojeh</t>
  </si>
  <si>
    <t>Weedstar07</t>
  </si>
  <si>
    <t>Krieger19</t>
  </si>
  <si>
    <t>Robnosch</t>
  </si>
  <si>
    <t>bdammy</t>
  </si>
  <si>
    <t>HillesXx</t>
  </si>
  <si>
    <t>LuckyPunch11</t>
  </si>
  <si>
    <t>racing60</t>
  </si>
  <si>
    <t>Zakumii</t>
  </si>
  <si>
    <t>Kagawa09</t>
  </si>
  <si>
    <t>HoodiePub</t>
  </si>
  <si>
    <t>Stucki99</t>
  </si>
  <si>
    <t>Dubbry1</t>
  </si>
  <si>
    <t>caclo99</t>
  </si>
  <si>
    <t>manu2003</t>
  </si>
  <si>
    <t>nycros1</t>
  </si>
  <si>
    <t>Dawul</t>
  </si>
  <si>
    <t>Yeronimo</t>
  </si>
  <si>
    <t>-I3lack-</t>
  </si>
  <si>
    <t>Kili131</t>
  </si>
  <si>
    <t>FuSioN87</t>
  </si>
  <si>
    <t>BashinsXsicht</t>
  </si>
  <si>
    <t>Blage</t>
  </si>
  <si>
    <t>delmate</t>
  </si>
  <si>
    <t>scorpio72</t>
  </si>
  <si>
    <t>-DamaretiK-</t>
  </si>
  <si>
    <t>Phelykz</t>
  </si>
  <si>
    <t>OverlordArcanis</t>
  </si>
  <si>
    <t>Stifti97</t>
  </si>
  <si>
    <t>mikemaradona</t>
  </si>
  <si>
    <t>prinz-licht</t>
  </si>
  <si>
    <t>MacParker</t>
  </si>
  <si>
    <t>Delicious007</t>
  </si>
  <si>
    <t>Sachse89</t>
  </si>
  <si>
    <t>Bosstronaut</t>
  </si>
  <si>
    <t>SourScr3am</t>
  </si>
  <si>
    <t>Tavas</t>
  </si>
  <si>
    <t>Wallaballa</t>
  </si>
  <si>
    <t>SirFukALot</t>
  </si>
  <si>
    <t>duckMe.</t>
  </si>
  <si>
    <t>666Jesus666</t>
  </si>
  <si>
    <t>Schellenbruda</t>
  </si>
  <si>
    <t>DasThier</t>
  </si>
  <si>
    <t>Honau</t>
  </si>
  <si>
    <t>LocalDogs</t>
  </si>
  <si>
    <t>Xxgoodstar98Xx</t>
  </si>
  <si>
    <t>deadturtle</t>
  </si>
  <si>
    <t>Blackw3r</t>
  </si>
  <si>
    <t>JANGOUS</t>
  </si>
  <si>
    <t>sub-t</t>
  </si>
  <si>
    <t>friedi25</t>
  </si>
  <si>
    <t>Neotheror99</t>
  </si>
  <si>
    <t>Pfohlicious</t>
  </si>
  <si>
    <t>iInder</t>
  </si>
  <si>
    <t>GomezAddams</t>
  </si>
  <si>
    <t>tronten</t>
  </si>
  <si>
    <t>Fayzal</t>
  </si>
  <si>
    <t>46erWaden</t>
  </si>
  <si>
    <t>xJeeff</t>
  </si>
  <si>
    <t>Fr3shDee</t>
  </si>
  <si>
    <t>n-xeus</t>
  </si>
  <si>
    <t>wingsxyz</t>
  </si>
  <si>
    <t>dobermann2</t>
  </si>
  <si>
    <t>dodo3011</t>
  </si>
  <si>
    <t>Synethic</t>
  </si>
  <si>
    <t>rosatuftuf</t>
  </si>
  <si>
    <t>k-ds</t>
  </si>
  <si>
    <t>Didek</t>
  </si>
  <si>
    <t>Paspa12</t>
  </si>
  <si>
    <t>c-256</t>
  </si>
  <si>
    <t>Diamondhunter22</t>
  </si>
  <si>
    <t>micha021</t>
  </si>
  <si>
    <t>Chilla008</t>
  </si>
  <si>
    <t>winnie68</t>
  </si>
  <si>
    <t>drbeni</t>
  </si>
  <si>
    <t>Baldor01</t>
  </si>
  <si>
    <t>Nippel-Twister</t>
  </si>
  <si>
    <t>PRoXiS</t>
  </si>
  <si>
    <t>frechplayer</t>
  </si>
  <si>
    <t>xXNeoExdeathXx</t>
  </si>
  <si>
    <t>luinaldo</t>
  </si>
  <si>
    <t>Champacho</t>
  </si>
  <si>
    <t>NoBorders21</t>
  </si>
  <si>
    <t>Peed94</t>
  </si>
  <si>
    <t>hail-of-bullets</t>
  </si>
  <si>
    <t>letenor</t>
  </si>
  <si>
    <t>leaguezok</t>
  </si>
  <si>
    <t>wofchek2k3</t>
  </si>
  <si>
    <t>lakiluk1998</t>
  </si>
  <si>
    <t>Playsocke</t>
  </si>
  <si>
    <t>Sn0ks</t>
  </si>
  <si>
    <t>Saftsack27</t>
  </si>
  <si>
    <t>KingKenzo</t>
  </si>
  <si>
    <t>mitu</t>
  </si>
  <si>
    <t>Sirfider</t>
  </si>
  <si>
    <t>softkey</t>
  </si>
  <si>
    <t>lordyauwa88</t>
  </si>
  <si>
    <t>Heldian</t>
  </si>
  <si>
    <t>Weizen19</t>
  </si>
  <si>
    <t>parawhore</t>
  </si>
  <si>
    <t>cyania</t>
  </si>
  <si>
    <t>Ejderler</t>
  </si>
  <si>
    <t>Rabadon1</t>
  </si>
  <si>
    <t>Siroliro</t>
  </si>
  <si>
    <t>Virman</t>
  </si>
  <si>
    <t>Candysh0p</t>
  </si>
  <si>
    <t>Tesserac</t>
  </si>
  <si>
    <t>Disturb</t>
  </si>
  <si>
    <t>ProMoise</t>
  </si>
  <si>
    <t>LordShivaz</t>
  </si>
  <si>
    <t>Destroyl</t>
  </si>
  <si>
    <t>Drachenelfe</t>
  </si>
  <si>
    <t>Fulgi1104</t>
  </si>
  <si>
    <t>J4CzeK</t>
  </si>
  <si>
    <t>dome261</t>
  </si>
  <si>
    <t>MrInvisibleHD</t>
  </si>
  <si>
    <t>oSiegi</t>
  </si>
  <si>
    <t>tufiga</t>
  </si>
  <si>
    <t>HNNS</t>
  </si>
  <si>
    <t>stammph</t>
  </si>
  <si>
    <t>kadie</t>
  </si>
  <si>
    <t>Meldrio</t>
  </si>
  <si>
    <t>hazefee</t>
  </si>
  <si>
    <t>carbon487</t>
  </si>
  <si>
    <t>divinity666</t>
  </si>
  <si>
    <t>marceltressl</t>
  </si>
  <si>
    <t>Mongo6000</t>
  </si>
  <si>
    <t>TheLonelyIsland.</t>
  </si>
  <si>
    <t>sombrero1997</t>
  </si>
  <si>
    <t>Gudanggaram</t>
  </si>
  <si>
    <t>Sellex</t>
  </si>
  <si>
    <t>Brazzors</t>
  </si>
  <si>
    <t>superhuhn2013</t>
  </si>
  <si>
    <t>klimaraum</t>
  </si>
  <si>
    <t>RiesJoni2000</t>
  </si>
  <si>
    <t>BFGA</t>
  </si>
  <si>
    <t>Dachbauer</t>
  </si>
  <si>
    <t>flolol77</t>
  </si>
  <si>
    <t>GerFreak</t>
  </si>
  <si>
    <t>emily567</t>
  </si>
  <si>
    <t>fabi.004</t>
  </si>
  <si>
    <t>mmaarrccii</t>
  </si>
  <si>
    <t>Ewedor</t>
  </si>
  <si>
    <t>PaPaScHuMpF</t>
  </si>
  <si>
    <t>Collazon</t>
  </si>
  <si>
    <t>Fuschl0815</t>
  </si>
  <si>
    <t>TaKeItEaSy</t>
  </si>
  <si>
    <t>Nick311</t>
  </si>
  <si>
    <t>Sarpentis</t>
  </si>
  <si>
    <t>royal12</t>
  </si>
  <si>
    <t>Dana-cup</t>
  </si>
  <si>
    <t>gaisca</t>
  </si>
  <si>
    <t>michaelsch</t>
  </si>
  <si>
    <t>xabel</t>
  </si>
  <si>
    <t>XXscarXX</t>
  </si>
  <si>
    <t>Beaker</t>
  </si>
  <si>
    <t>stefaan2311</t>
  </si>
  <si>
    <t>Pommerance</t>
  </si>
  <si>
    <t>sebi97</t>
  </si>
  <si>
    <t>Optimatum</t>
  </si>
  <si>
    <t>ulchenbbq</t>
  </si>
  <si>
    <t>Fouracess</t>
  </si>
  <si>
    <t>Insider6872</t>
  </si>
  <si>
    <t>tilleich</t>
  </si>
  <si>
    <t>ms9969</t>
  </si>
  <si>
    <t>Backtraak</t>
  </si>
  <si>
    <t>KingofWorld23</t>
  </si>
  <si>
    <t>horscht79</t>
  </si>
  <si>
    <t>Nosferas</t>
  </si>
  <si>
    <t>Akiadis</t>
  </si>
  <si>
    <t>dragon2</t>
  </si>
  <si>
    <t>Elementerheld</t>
  </si>
  <si>
    <t>Moulan</t>
  </si>
  <si>
    <t>owndbyced</t>
  </si>
  <si>
    <t>Zeinerus</t>
  </si>
  <si>
    <t>chrisler.clk</t>
  </si>
  <si>
    <t>NightReptile</t>
  </si>
  <si>
    <t>fabian991112</t>
  </si>
  <si>
    <t>refleXHD76</t>
  </si>
  <si>
    <t>comcon1710</t>
  </si>
  <si>
    <t>Funnymaker</t>
  </si>
  <si>
    <t>psycho-destroyer</t>
  </si>
  <si>
    <t>samlalap</t>
  </si>
  <si>
    <t>Cyriten</t>
  </si>
  <si>
    <t>Fireschluker255</t>
  </si>
  <si>
    <t>Djar1806</t>
  </si>
  <si>
    <t>Dexter90</t>
  </si>
  <si>
    <t>Baboz</t>
  </si>
  <si>
    <t>funplayer1</t>
  </si>
  <si>
    <t>iBulle</t>
  </si>
  <si>
    <t>killtecs</t>
  </si>
  <si>
    <t>timobau</t>
  </si>
  <si>
    <t>ScHmerzmITtel</t>
  </si>
  <si>
    <t>Taipan1509</t>
  </si>
  <si>
    <t>Dumpfbackefreu</t>
  </si>
  <si>
    <t>nacktschnecke69</t>
  </si>
  <si>
    <t>CrazyTyp</t>
  </si>
  <si>
    <t>lilamuhkuh.</t>
  </si>
  <si>
    <t>zezzaN</t>
  </si>
  <si>
    <t>KaKaDu337</t>
  </si>
  <si>
    <t>JoeSantos</t>
  </si>
  <si>
    <t>matzebvb</t>
  </si>
  <si>
    <t>faebs85</t>
  </si>
  <si>
    <t>reipser18</t>
  </si>
  <si>
    <t>Privat98</t>
  </si>
  <si>
    <t>Oger1991</t>
  </si>
  <si>
    <t>Los-Coqos</t>
  </si>
  <si>
    <t>HighSeven</t>
  </si>
  <si>
    <t>MK24</t>
  </si>
  <si>
    <t>MueffelBueffel</t>
  </si>
  <si>
    <t>keylll</t>
  </si>
  <si>
    <t>lord1809</t>
  </si>
  <si>
    <t>BruderSamuel</t>
  </si>
  <si>
    <t>TheFQx</t>
  </si>
  <si>
    <t>julesk</t>
  </si>
  <si>
    <t>blackbronn</t>
  </si>
  <si>
    <t>Atragon</t>
  </si>
  <si>
    <t>Henning88</t>
  </si>
  <si>
    <t>andzq</t>
  </si>
  <si>
    <t>Tecumseh</t>
  </si>
  <si>
    <t>Black.Hawk</t>
  </si>
  <si>
    <t>Keocuk</t>
  </si>
  <si>
    <t>Torix</t>
  </si>
  <si>
    <t>Mondguggerin</t>
  </si>
  <si>
    <t>asvsta</t>
  </si>
  <si>
    <t>Finnibear</t>
  </si>
  <si>
    <t>L1895</t>
  </si>
  <si>
    <t>Phenomen</t>
  </si>
  <si>
    <t>SaschaFC</t>
  </si>
  <si>
    <t>xxpkrxx</t>
  </si>
  <si>
    <t>FliNN.q</t>
  </si>
  <si>
    <t>Zefnix</t>
  </si>
  <si>
    <t>Coleburn</t>
  </si>
  <si>
    <t>Bauer03</t>
  </si>
  <si>
    <t>offhausen</t>
  </si>
  <si>
    <t>Fightlord5</t>
  </si>
  <si>
    <t>YV35L4N6H4RD</t>
  </si>
  <si>
    <t>GameTriiXHD</t>
  </si>
  <si>
    <t>luwi123654</t>
  </si>
  <si>
    <t>Manne18</t>
  </si>
  <si>
    <t>Wolfstter</t>
  </si>
  <si>
    <t>Rittick3</t>
  </si>
  <si>
    <t>kilian1104</t>
  </si>
  <si>
    <t>FabFabFabian</t>
  </si>
  <si>
    <t>Zerfallgesetz-</t>
  </si>
  <si>
    <t>Feuerwehrauto</t>
  </si>
  <si>
    <t>Woggli</t>
  </si>
  <si>
    <t>Hofitribe</t>
  </si>
  <si>
    <t>Jon2206</t>
  </si>
  <si>
    <t>kuscheltierfriedhof</t>
  </si>
  <si>
    <t>noreflex</t>
  </si>
  <si>
    <t>DA.Rage</t>
  </si>
  <si>
    <t>Lazzaret</t>
  </si>
  <si>
    <t>Luddiwig</t>
  </si>
  <si>
    <t>Schyro</t>
  </si>
  <si>
    <t>Suizidfisch</t>
  </si>
  <si>
    <t>sluik10</t>
  </si>
  <si>
    <t>Augustina1860</t>
  </si>
  <si>
    <t>vkvipper1</t>
  </si>
  <si>
    <t>TechTronizZ</t>
  </si>
  <si>
    <t>Bauer19</t>
  </si>
  <si>
    <t>Jugoboy95</t>
  </si>
  <si>
    <t>chefgox89</t>
  </si>
  <si>
    <t>Sceentic</t>
  </si>
  <si>
    <t>NathanTyson</t>
  </si>
  <si>
    <t>naaz65</t>
  </si>
  <si>
    <t>Baron10g</t>
  </si>
  <si>
    <t>Der0lle</t>
  </si>
  <si>
    <t>PaulPdG</t>
  </si>
  <si>
    <t>Impares</t>
  </si>
  <si>
    <t>R3AG</t>
  </si>
  <si>
    <t>schnitteNr.1</t>
  </si>
  <si>
    <t>ma77i</t>
  </si>
  <si>
    <t>BlackJack575757</t>
  </si>
  <si>
    <t>baarbratings</t>
  </si>
  <si>
    <t>Ghost888</t>
  </si>
  <si>
    <t>Zeseska</t>
  </si>
  <si>
    <t>Spidi204</t>
  </si>
  <si>
    <t>olbi309</t>
  </si>
  <si>
    <t>MySkillNoSkill</t>
  </si>
  <si>
    <t>graf-stifensee</t>
  </si>
  <si>
    <t>Nyko</t>
  </si>
  <si>
    <t>ulusoy</t>
  </si>
  <si>
    <t>Xraxsy</t>
  </si>
  <si>
    <t>drachseelen</t>
  </si>
  <si>
    <t>Smard-king</t>
  </si>
  <si>
    <t>joshjosh39</t>
  </si>
  <si>
    <t>Eritjan</t>
  </si>
  <si>
    <t>Cyrano03</t>
  </si>
  <si>
    <t>bofrost9000</t>
  </si>
  <si>
    <t>Asap-mob</t>
  </si>
  <si>
    <t>UfBeX</t>
  </si>
  <si>
    <t>TEDx</t>
  </si>
  <si>
    <t>Hoerstchen</t>
  </si>
  <si>
    <t>Dny1893</t>
  </si>
  <si>
    <t>threeplayer</t>
  </si>
  <si>
    <t>EndlessChill</t>
  </si>
  <si>
    <t>Roomaaan</t>
  </si>
  <si>
    <t>knightstar</t>
  </si>
  <si>
    <t>Timschka</t>
  </si>
  <si>
    <t>Traumlos</t>
  </si>
  <si>
    <t>mamba1993</t>
  </si>
  <si>
    <t>viktor-85</t>
  </si>
  <si>
    <t>Christoph1994</t>
  </si>
  <si>
    <t>Crystala</t>
  </si>
  <si>
    <t>KingGrimmGork</t>
  </si>
  <si>
    <t>iRage</t>
  </si>
  <si>
    <t>Markidinho7</t>
  </si>
  <si>
    <t>Bangerl810</t>
  </si>
  <si>
    <t>finale15</t>
  </si>
  <si>
    <t>melli87</t>
  </si>
  <si>
    <t>imchen12</t>
  </si>
  <si>
    <t>base2299</t>
  </si>
  <si>
    <t>TheCrusher1712</t>
  </si>
  <si>
    <t>Raymez</t>
  </si>
  <si>
    <t>ReVivE91</t>
  </si>
  <si>
    <t>Weedlord1</t>
  </si>
  <si>
    <t>MaRoDual</t>
  </si>
  <si>
    <t>istosch</t>
  </si>
  <si>
    <t>Bene2001</t>
  </si>
  <si>
    <t>FishiMa</t>
  </si>
  <si>
    <t>pat20</t>
  </si>
  <si>
    <t>maxwell.</t>
  </si>
  <si>
    <t>DaBucki</t>
  </si>
  <si>
    <t>artoss</t>
  </si>
  <si>
    <t>Prosse93</t>
  </si>
  <si>
    <t>Mongokind1</t>
  </si>
  <si>
    <t>KvdH</t>
  </si>
  <si>
    <t>banki05</t>
  </si>
  <si>
    <t>MM125</t>
  </si>
  <si>
    <t>Lodulo</t>
  </si>
  <si>
    <t>topetoka</t>
  </si>
  <si>
    <t>Riotyouth</t>
  </si>
  <si>
    <t>Tinca12</t>
  </si>
  <si>
    <t>Cupradupra</t>
  </si>
  <si>
    <t>Death-Fighter</t>
  </si>
  <si>
    <t>R.S3</t>
  </si>
  <si>
    <t>DasHaze</t>
  </si>
  <si>
    <t>Gammler9</t>
  </si>
  <si>
    <t>mortib</t>
  </si>
  <si>
    <t>ludwiga</t>
  </si>
  <si>
    <t>TheLastOttoman</t>
  </si>
  <si>
    <t>M0ser</t>
  </si>
  <si>
    <t>Mufga</t>
  </si>
  <si>
    <t>Jenetschev1989</t>
  </si>
  <si>
    <t>Tobackg</t>
  </si>
  <si>
    <t>Mizero</t>
  </si>
  <si>
    <t>Munaliii</t>
  </si>
  <si>
    <t>Fr3iburg3r</t>
  </si>
  <si>
    <t>Fruchtsaftschorle</t>
  </si>
  <si>
    <t>Chewbacci</t>
  </si>
  <si>
    <t>ezBeatzZ</t>
  </si>
  <si>
    <t>Matchless</t>
  </si>
  <si>
    <t>BlackHorse24</t>
  </si>
  <si>
    <t>Eisfuchs</t>
  </si>
  <si>
    <t>pr0gam3r0ne</t>
  </si>
  <si>
    <t>kingacht</t>
  </si>
  <si>
    <t>Porky</t>
  </si>
  <si>
    <t>g0nn213</t>
  </si>
  <si>
    <t>pasca19</t>
  </si>
  <si>
    <t>Hoepfner</t>
  </si>
  <si>
    <t>skaliii</t>
  </si>
  <si>
    <t>HeilandSack</t>
  </si>
  <si>
    <t>Ginelli</t>
  </si>
  <si>
    <t>Bauer300</t>
  </si>
  <si>
    <t>TIOL</t>
  </si>
  <si>
    <t>NewAge</t>
  </si>
  <si>
    <t>KaptainObvious</t>
  </si>
  <si>
    <t>ralfom</t>
  </si>
  <si>
    <t>Mezzokuh</t>
  </si>
  <si>
    <t>kingdonaldi</t>
  </si>
  <si>
    <t>mapbug</t>
  </si>
  <si>
    <t>kartoffelklaus1</t>
  </si>
  <si>
    <t>Skellofraktur</t>
  </si>
  <si>
    <t>-.Sylar</t>
  </si>
  <si>
    <t>aksaid</t>
  </si>
  <si>
    <t>DrMurke</t>
  </si>
  <si>
    <t>Pinkman</t>
  </si>
  <si>
    <t>Ziulic</t>
  </si>
  <si>
    <t>SoaZ</t>
  </si>
  <si>
    <t>XeRuNiX</t>
  </si>
  <si>
    <t>Cloppzone</t>
  </si>
  <si>
    <t>BlackDestroyers</t>
  </si>
  <si>
    <t>Hi2002</t>
  </si>
  <si>
    <t>Player12</t>
  </si>
  <si>
    <t>daniakaspast</t>
  </si>
  <si>
    <t>X1312</t>
  </si>
  <si>
    <t>SokoLoco</t>
  </si>
  <si>
    <t>fabian20</t>
  </si>
  <si>
    <t>Plainlazy88</t>
  </si>
  <si>
    <t>Emarek</t>
  </si>
  <si>
    <t>xElectric</t>
  </si>
  <si>
    <t>Putinsrechtehand</t>
  </si>
  <si>
    <t>Octesh</t>
  </si>
  <si>
    <t>BoostedBonobos</t>
  </si>
  <si>
    <t>xRomstaaa</t>
  </si>
  <si>
    <t>KingEgo</t>
  </si>
  <si>
    <t>FreeshLP</t>
  </si>
  <si>
    <t>rezlifu</t>
  </si>
  <si>
    <t>dinosyrus</t>
  </si>
  <si>
    <t>arijen92</t>
  </si>
  <si>
    <t>MurphyMcLoud</t>
  </si>
  <si>
    <t>JimBimJimBim</t>
  </si>
  <si>
    <t>gama8</t>
  </si>
  <si>
    <t>styloxd</t>
  </si>
  <si>
    <t>McGridge</t>
  </si>
  <si>
    <t>NameStillUnavailable</t>
  </si>
  <si>
    <t>FAST3RASYOU</t>
  </si>
  <si>
    <t>Biest1</t>
  </si>
  <si>
    <t>Sandokan3</t>
  </si>
  <si>
    <t>Alex2503</t>
  </si>
  <si>
    <t>german3r</t>
  </si>
  <si>
    <t>Pfandwart88</t>
  </si>
  <si>
    <t>Aweda014</t>
  </si>
  <si>
    <t>FCBNr1</t>
  </si>
  <si>
    <t>KingGome</t>
  </si>
  <si>
    <t>beroti99</t>
  </si>
  <si>
    <t>bigbossbanger42</t>
  </si>
  <si>
    <t>ekaan</t>
  </si>
  <si>
    <t>Zecplus</t>
  </si>
  <si>
    <t>DanjePetzold</t>
  </si>
  <si>
    <t>ShenL0ng</t>
  </si>
  <si>
    <t>Placebo25</t>
  </si>
  <si>
    <t>Sasna12</t>
  </si>
  <si>
    <t>ViciousSeal</t>
  </si>
  <si>
    <t>leng10</t>
  </si>
  <si>
    <t>missdreamy</t>
  </si>
  <si>
    <t>hammuul</t>
  </si>
  <si>
    <t>Mumba</t>
  </si>
  <si>
    <t>ecki91</t>
  </si>
  <si>
    <t>Strezzer</t>
  </si>
  <si>
    <t>firet0uch</t>
  </si>
  <si>
    <t>marcus1976</t>
  </si>
  <si>
    <t>N3XtG3N</t>
  </si>
  <si>
    <t>jonesars</t>
  </si>
  <si>
    <t>MeisterWolf</t>
  </si>
  <si>
    <t>Blackroad</t>
  </si>
  <si>
    <t>Kekscookie</t>
  </si>
  <si>
    <t>Bratze82</t>
  </si>
  <si>
    <t>barbar03</t>
  </si>
  <si>
    <t>shrdd</t>
  </si>
  <si>
    <t>Jakob.1</t>
  </si>
  <si>
    <t>Animus95</t>
  </si>
  <si>
    <t>Kerberos.1900</t>
  </si>
  <si>
    <t>Broxas</t>
  </si>
  <si>
    <t>masai93</t>
  </si>
  <si>
    <t>Arrowflight</t>
  </si>
  <si>
    <t>Fellow13</t>
  </si>
  <si>
    <t>merlinn</t>
  </si>
  <si>
    <t>kodabea</t>
  </si>
  <si>
    <t>archevil</t>
  </si>
  <si>
    <t>mtheb3</t>
  </si>
  <si>
    <t>Hakuna-Matada</t>
  </si>
  <si>
    <t>Matzenio67</t>
  </si>
  <si>
    <t>TomHaeger</t>
  </si>
  <si>
    <t>tosaib</t>
  </si>
  <si>
    <t>armin77</t>
  </si>
  <si>
    <t>Zahltag4u</t>
  </si>
  <si>
    <t>kape0815</t>
  </si>
  <si>
    <t>Tzikguu</t>
  </si>
  <si>
    <t>mollidk</t>
  </si>
  <si>
    <t>VfB-xandi</t>
  </si>
  <si>
    <t>KeyRun</t>
  </si>
  <si>
    <t>Warhol</t>
  </si>
  <si>
    <t>Norikita</t>
  </si>
  <si>
    <t>PriMiSco</t>
  </si>
  <si>
    <t>.Shadow.</t>
  </si>
  <si>
    <t>Chillerforever95</t>
  </si>
  <si>
    <t>xandrej</t>
  </si>
  <si>
    <t>PAS5I</t>
  </si>
  <si>
    <t>Taygco</t>
  </si>
  <si>
    <t>HerrAlex</t>
  </si>
  <si>
    <t>Hallanes</t>
  </si>
  <si>
    <t>Draric</t>
  </si>
  <si>
    <t>siggi68</t>
  </si>
  <si>
    <t>Weili25</t>
  </si>
  <si>
    <t>HappyEmpire</t>
  </si>
  <si>
    <t>killerbiker</t>
  </si>
  <si>
    <t>stef222</t>
  </si>
  <si>
    <t>Tini-Queeny</t>
  </si>
  <si>
    <t>gunga</t>
  </si>
  <si>
    <t>L0sPollosHermanos</t>
  </si>
  <si>
    <t>AdelsArmada</t>
  </si>
  <si>
    <t>-Luk-</t>
  </si>
  <si>
    <t>Bambe77</t>
  </si>
  <si>
    <t>shibata</t>
  </si>
  <si>
    <t>Askandi</t>
  </si>
  <si>
    <t>Saenzgi</t>
  </si>
  <si>
    <t>Shezoye</t>
  </si>
  <si>
    <t>MorgenFreeMan</t>
  </si>
  <si>
    <t>kate94</t>
  </si>
  <si>
    <t>MabraHD</t>
  </si>
  <si>
    <t>EnjoY</t>
  </si>
  <si>
    <t>%C3%96ggi</t>
  </si>
  <si>
    <t>LocalHero</t>
  </si>
  <si>
    <t>Doromat</t>
  </si>
  <si>
    <t>BenWes</t>
  </si>
  <si>
    <t>Quarko</t>
  </si>
  <si>
    <t>90sKid</t>
  </si>
  <si>
    <t>Asgardinger</t>
  </si>
  <si>
    <t>Nestronz</t>
  </si>
  <si>
    <t>LadyElli</t>
  </si>
  <si>
    <t>Dungeonheld</t>
  </si>
  <si>
    <t>DragonLore</t>
  </si>
  <si>
    <t>BaBooN334</t>
  </si>
  <si>
    <t>sandrovitto</t>
  </si>
  <si>
    <t>walker71</t>
  </si>
  <si>
    <t>Folklore</t>
  </si>
  <si>
    <t>Inferos</t>
  </si>
  <si>
    <t>Hasenburg</t>
  </si>
  <si>
    <t>zInvalid</t>
  </si>
  <si>
    <t>Kuyo04</t>
  </si>
  <si>
    <t>Megahalem</t>
  </si>
  <si>
    <t>nico0815</t>
  </si>
  <si>
    <t>siolo</t>
  </si>
  <si>
    <t>darwyn</t>
  </si>
  <si>
    <t>Briefpapier</t>
  </si>
  <si>
    <t>kartenkw</t>
  </si>
  <si>
    <t>Elena59</t>
  </si>
  <si>
    <t>cowboy08</t>
  </si>
  <si>
    <t>Seemann77</t>
  </si>
  <si>
    <t>Danielb93</t>
  </si>
  <si>
    <t>BlackxLeaf</t>
  </si>
  <si>
    <t>SonYann</t>
  </si>
  <si>
    <t>Altfried</t>
  </si>
  <si>
    <t>Anubis442</t>
  </si>
  <si>
    <t>H.S.</t>
  </si>
  <si>
    <t>KhaNickel</t>
  </si>
  <si>
    <t>KingPin301</t>
  </si>
  <si>
    <t>edher</t>
  </si>
  <si>
    <t>tekkneut</t>
  </si>
  <si>
    <t>FAITH</t>
  </si>
  <si>
    <t>Behexe</t>
  </si>
  <si>
    <t>Karottenlord</t>
  </si>
  <si>
    <t>lulatsch7</t>
  </si>
  <si>
    <t>chris347</t>
  </si>
  <si>
    <t>El-chefo-Hias</t>
  </si>
  <si>
    <t>Dr.Dee</t>
  </si>
  <si>
    <t>Jonas2303</t>
  </si>
  <si>
    <t>sikev</t>
  </si>
  <si>
    <t>Kreuzzzfeuer</t>
  </si>
  <si>
    <t>TilionWhite</t>
  </si>
  <si>
    <t>D.A.OApocalypse</t>
  </si>
  <si>
    <t>Gbaboc</t>
  </si>
  <si>
    <t>zentraler</t>
  </si>
  <si>
    <t>Ziegem</t>
  </si>
  <si>
    <t>b0nes</t>
  </si>
  <si>
    <t>Sam85</t>
  </si>
  <si>
    <t>.Destr0yer</t>
  </si>
  <si>
    <t>Toilettengeist</t>
  </si>
  <si>
    <t>linerider15</t>
  </si>
  <si>
    <t>Bellisima</t>
  </si>
  <si>
    <t>coolermanyes</t>
  </si>
  <si>
    <t>oldmarcel</t>
  </si>
  <si>
    <t>Elevenith</t>
  </si>
  <si>
    <t>Chamandra</t>
  </si>
  <si>
    <t>Vytani</t>
  </si>
  <si>
    <t>Jonepaffi</t>
  </si>
  <si>
    <t>AngelofDoom</t>
  </si>
  <si>
    <t>tickboom</t>
  </si>
  <si>
    <t>warumbinichsoeinboss</t>
  </si>
  <si>
    <t>Doso</t>
  </si>
  <si>
    <t>momo1417</t>
  </si>
  <si>
    <t>.exoticlemon</t>
  </si>
  <si>
    <t>Luzifina</t>
  </si>
  <si>
    <t>knie77</t>
  </si>
  <si>
    <t>lokderboss</t>
  </si>
  <si>
    <t>Kootstulle</t>
  </si>
  <si>
    <t>Wonderboy-</t>
  </si>
  <si>
    <t>War2014</t>
  </si>
  <si>
    <t>TiMetoBaSh1</t>
  </si>
  <si>
    <t>Robert9663</t>
  </si>
  <si>
    <t>Zerfallgesetz</t>
  </si>
  <si>
    <t>Grawp</t>
  </si>
  <si>
    <t>Cataclysmus</t>
  </si>
  <si>
    <t>grillz0r</t>
  </si>
  <si>
    <t>diegosam1000</t>
  </si>
  <si>
    <t>JohnyBravo</t>
  </si>
  <si>
    <t>Dray-of-Gelp</t>
  </si>
  <si>
    <t>Kanubasti</t>
  </si>
  <si>
    <t>xTrobby</t>
  </si>
  <si>
    <t>lostimpact</t>
  </si>
  <si>
    <t>Flowag</t>
  </si>
  <si>
    <t>Alfodo</t>
  </si>
  <si>
    <t>kleiner-mann</t>
  </si>
  <si>
    <t>Vybr1on</t>
  </si>
  <si>
    <t>pannza1899</t>
  </si>
  <si>
    <t>Bready96</t>
  </si>
  <si>
    <t>Shakur.</t>
  </si>
  <si>
    <t>tulf</t>
  </si>
  <si>
    <t>hasispatzi</t>
  </si>
  <si>
    <t>Merkutius</t>
  </si>
  <si>
    <t>Michakopter</t>
  </si>
  <si>
    <t>BoingShadow</t>
  </si>
  <si>
    <t>Slenderer</t>
  </si>
  <si>
    <t>Ruxxax</t>
  </si>
  <si>
    <t>KaliTan</t>
  </si>
  <si>
    <t>Cezax</t>
  </si>
  <si>
    <t>Calypso1919</t>
  </si>
  <si>
    <t>IsoldeMaduschen</t>
  </si>
  <si>
    <t>Dorfkind</t>
  </si>
  <si>
    <t>xTheStevo</t>
  </si>
  <si>
    <t>IAmStevo</t>
  </si>
  <si>
    <t>Arctic-Soldier</t>
  </si>
  <si>
    <t>MJ.White</t>
  </si>
  <si>
    <t>Goettlich</t>
  </si>
  <si>
    <t>Darwin</t>
  </si>
  <si>
    <t>papa5443</t>
  </si>
  <si>
    <t>ToddiStevo</t>
  </si>
  <si>
    <t>blbkiller</t>
  </si>
  <si>
    <t>anno1416</t>
  </si>
  <si>
    <t>xcmalitxc</t>
  </si>
  <si>
    <t>OnlyHD</t>
  </si>
  <si>
    <t>Schwachsinn1909</t>
  </si>
  <si>
    <t>e-garten</t>
  </si>
  <si>
    <t>Trollingislife</t>
  </si>
  <si>
    <t>Stewz</t>
  </si>
  <si>
    <t>skyjumper01</t>
  </si>
  <si>
    <t>steinbock10</t>
  </si>
  <si>
    <t>nennaur</t>
  </si>
  <si>
    <t>michibe1</t>
  </si>
  <si>
    <t>Warumimmerich</t>
  </si>
  <si>
    <t>avengar</t>
  </si>
  <si>
    <t>.g0dlike</t>
  </si>
  <si>
    <t>timospanel</t>
  </si>
  <si>
    <t>Kev1n</t>
  </si>
  <si>
    <t>Kallohoo</t>
  </si>
  <si>
    <t>Tiddl</t>
  </si>
  <si>
    <t>dome.</t>
  </si>
  <si>
    <t>blinder2015</t>
  </si>
  <si>
    <t>supinator</t>
  </si>
  <si>
    <t>Tobias33</t>
  </si>
  <si>
    <t>BobiixD</t>
  </si>
  <si>
    <t>Hikala</t>
  </si>
  <si>
    <t>likeHell</t>
  </si>
  <si>
    <t>RoyalRangers</t>
  </si>
  <si>
    <t>concorde112</t>
  </si>
  <si>
    <t>iMAKEYOUSeXY</t>
  </si>
  <si>
    <t>jokiller</t>
  </si>
  <si>
    <t>FRIP.</t>
  </si>
  <si>
    <t>Nackt</t>
  </si>
  <si>
    <t>xTheToddi</t>
  </si>
  <si>
    <t>Meibierisnetdeppert</t>
  </si>
  <si>
    <t>FGO1</t>
  </si>
  <si>
    <t>kl-33-</t>
  </si>
  <si>
    <t>Chekky</t>
  </si>
  <si>
    <t>Russman</t>
  </si>
  <si>
    <t>BornToDestroyYou</t>
  </si>
  <si>
    <t>dieselopfer</t>
  </si>
  <si>
    <t>attila53</t>
  </si>
  <si>
    <t>sally7372</t>
  </si>
  <si>
    <t>Gulasch.de</t>
  </si>
  <si>
    <t>Bomber3991</t>
  </si>
  <si>
    <t>cestino</t>
  </si>
  <si>
    <t>dombora99</t>
  </si>
  <si>
    <t>ItsYourEnd07</t>
  </si>
  <si>
    <t>Gast564256</t>
  </si>
  <si>
    <t>Kiyosuki</t>
  </si>
  <si>
    <t>Scubo123</t>
  </si>
  <si>
    <t>Schabuskus</t>
  </si>
  <si>
    <t>RonnyVomGhettoberg</t>
  </si>
  <si>
    <t>nachtii</t>
  </si>
  <si>
    <t>xXxNoRealLifexXx</t>
  </si>
  <si>
    <t>Skellini</t>
  </si>
  <si>
    <t>Switi1703</t>
  </si>
  <si>
    <t>Andrasta</t>
  </si>
  <si>
    <t>Samingo</t>
  </si>
  <si>
    <t>Velicx</t>
  </si>
  <si>
    <t>2HCL</t>
  </si>
  <si>
    <t>0rpan</t>
  </si>
  <si>
    <t>Enes54</t>
  </si>
  <si>
    <t>xInfamous</t>
  </si>
  <si>
    <t>Renold</t>
  </si>
  <si>
    <t>KingBobo</t>
  </si>
  <si>
    <t>a1992er</t>
  </si>
  <si>
    <t>Fatooo</t>
  </si>
  <si>
    <t>opjeff</t>
  </si>
  <si>
    <t>jack.born</t>
  </si>
  <si>
    <t>Sunber</t>
  </si>
  <si>
    <t>KimJongUnbesiegbar</t>
  </si>
  <si>
    <t>asrener</t>
  </si>
  <si>
    <t>TheBroker</t>
  </si>
  <si>
    <t>Desperados1</t>
  </si>
  <si>
    <t>thermos007</t>
  </si>
  <si>
    <t>ErliFuckingWashington</t>
  </si>
  <si>
    <t>Lavalia</t>
  </si>
  <si>
    <t>FogDog</t>
  </si>
  <si>
    <t>darkogi</t>
  </si>
  <si>
    <t>Spartacus20</t>
  </si>
  <si>
    <t>Lorzing</t>
  </si>
  <si>
    <t>DEgatRon</t>
  </si>
  <si>
    <t>SorLaG</t>
  </si>
  <si>
    <t>Kameltreiber94</t>
  </si>
  <si>
    <t>alter-mann</t>
  </si>
  <si>
    <t>Kiritou</t>
  </si>
  <si>
    <t>klaver61</t>
  </si>
  <si>
    <t>blauespikachu</t>
  </si>
  <si>
    <t>ratfighter</t>
  </si>
  <si>
    <t>IMatzeI</t>
  </si>
  <si>
    <t>CrystalOps</t>
  </si>
  <si>
    <t>Minusman</t>
  </si>
  <si>
    <t>-Schnee-im-Sommer-</t>
  </si>
  <si>
    <t>Thor-hammer</t>
  </si>
  <si>
    <t>LifeEncrypter</t>
  </si>
  <si>
    <t>Ossmos</t>
  </si>
  <si>
    <t>Bumaye.</t>
  </si>
  <si>
    <t>NaphetsTV</t>
  </si>
  <si>
    <t>warkill</t>
  </si>
  <si>
    <t>ZiRX</t>
  </si>
  <si>
    <t>jonas27</t>
  </si>
  <si>
    <t>Fitz-Gervais</t>
  </si>
  <si>
    <t>DiU95</t>
  </si>
  <si>
    <t>kLITSCHQ</t>
  </si>
  <si>
    <t>Ettenfreak</t>
  </si>
  <si>
    <t>lord-blacky1</t>
  </si>
  <si>
    <t>snxy</t>
  </si>
  <si>
    <t>Napoli081</t>
  </si>
  <si>
    <t>SK4RT3R</t>
  </si>
  <si>
    <t>JonnyAlpha</t>
  </si>
  <si>
    <t>Backcourt</t>
  </si>
  <si>
    <t>Grusskarte</t>
  </si>
  <si>
    <t>Marcaul</t>
  </si>
  <si>
    <t>who-is-awesome</t>
  </si>
  <si>
    <t>MM70</t>
  </si>
  <si>
    <t>Hutzu</t>
  </si>
  <si>
    <t>Droggel</t>
  </si>
  <si>
    <t>Celo</t>
  </si>
  <si>
    <t>WikingerFlex</t>
  </si>
  <si>
    <t>dcmudzborgh</t>
  </si>
  <si>
    <t>zaun04</t>
  </si>
  <si>
    <t>hyperboreu</t>
  </si>
  <si>
    <t>bimmeldings</t>
  </si>
  <si>
    <t>Munchel</t>
  </si>
  <si>
    <t>clifford76</t>
  </si>
  <si>
    <t>Antey</t>
  </si>
  <si>
    <t>AnPa1995</t>
  </si>
  <si>
    <t>ralfi22</t>
  </si>
  <si>
    <t>stafflv2</t>
  </si>
  <si>
    <t>jinro727</t>
  </si>
  <si>
    <t>Zackrack</t>
  </si>
  <si>
    <t>ASAP-TEDDY</t>
  </si>
  <si>
    <t>colege</t>
  </si>
  <si>
    <t>anolisl</t>
  </si>
  <si>
    <t>K4LL3</t>
  </si>
  <si>
    <t>gyoparlol</t>
  </si>
  <si>
    <t>Aklat</t>
  </si>
  <si>
    <t>stuzelchen</t>
  </si>
  <si>
    <t>lacki13</t>
  </si>
  <si>
    <t>Lasaart</t>
  </si>
  <si>
    <t>TheHerminatorAUT</t>
  </si>
  <si>
    <t>Septerra</t>
  </si>
  <si>
    <t>cynztwissty</t>
  </si>
  <si>
    <t>GIB8</t>
  </si>
  <si>
    <t>LuemmelKeks</t>
  </si>
  <si>
    <t>Knallhart</t>
  </si>
  <si>
    <t>Gh0sTa</t>
  </si>
  <si>
    <t>Blueberry143</t>
  </si>
  <si>
    <t>Blaice36</t>
  </si>
  <si>
    <t>Rainer0171</t>
  </si>
  <si>
    <t>Lordan</t>
  </si>
  <si>
    <t>Maxmaier</t>
  </si>
  <si>
    <t>Be2Hero77</t>
  </si>
  <si>
    <t>beninokind</t>
  </si>
  <si>
    <t>oSIEGFRIEDo</t>
  </si>
  <si>
    <t>RasurPur</t>
  </si>
  <si>
    <t>ashalion</t>
  </si>
  <si>
    <t>HeavenKeeper</t>
  </si>
  <si>
    <t>TouchedByAPriest</t>
  </si>
  <si>
    <t>.Datzi22.</t>
  </si>
  <si>
    <t>jujus96</t>
  </si>
  <si>
    <t>Devildog</t>
  </si>
  <si>
    <t>Angel27</t>
  </si>
  <si>
    <t>Sparsau</t>
  </si>
  <si>
    <t>SirCrasher</t>
  </si>
  <si>
    <t>Faja</t>
  </si>
  <si>
    <t>Trinfect</t>
  </si>
  <si>
    <t>MrSpeedyGonzales</t>
  </si>
  <si>
    <t>Puzzels188</t>
  </si>
  <si>
    <t>Steeeve</t>
  </si>
  <si>
    <t>Froztea</t>
  </si>
  <si>
    <t>Darko67</t>
  </si>
  <si>
    <t>MajrManu</t>
  </si>
  <si>
    <t>ThaiMingh</t>
  </si>
  <si>
    <t>Brettvormkopp</t>
  </si>
  <si>
    <t>VoraXx</t>
  </si>
  <si>
    <t>preuse66</t>
  </si>
  <si>
    <t>Phyton1</t>
  </si>
  <si>
    <t>Heromo219</t>
  </si>
  <si>
    <t>.FaulPilz</t>
  </si>
  <si>
    <t>tschingler</t>
  </si>
  <si>
    <t>YellowStrikeLXBG</t>
  </si>
  <si>
    <t>Sorpmeister</t>
  </si>
  <si>
    <t>Kingatala</t>
  </si>
  <si>
    <t>Roschat</t>
  </si>
  <si>
    <t>BElschen</t>
  </si>
  <si>
    <t>Shorteii</t>
  </si>
  <si>
    <t>Schattenloch</t>
  </si>
  <si>
    <t>sumole</t>
  </si>
  <si>
    <t>thorina</t>
  </si>
  <si>
    <t>benutzer</t>
  </si>
  <si>
    <t>burzlstiegn</t>
  </si>
  <si>
    <t>Ottloverot</t>
  </si>
  <si>
    <t>hawkslayer</t>
  </si>
  <si>
    <t>wendico</t>
  </si>
  <si>
    <t>wortoc</t>
  </si>
  <si>
    <t>Kuddel1953</t>
  </si>
  <si>
    <t>Brueder01</t>
  </si>
  <si>
    <t>SerpentCrown1</t>
  </si>
  <si>
    <t>kapgam</t>
  </si>
  <si>
    <t>Belford</t>
  </si>
  <si>
    <t>ManOfPiece</t>
  </si>
  <si>
    <t>Ragini66</t>
  </si>
  <si>
    <t>Killbraten</t>
  </si>
  <si>
    <t>KingKlooz</t>
  </si>
  <si>
    <t>ac10003</t>
  </si>
  <si>
    <t>-FreSSe-</t>
  </si>
  <si>
    <t>Cookilie</t>
  </si>
  <si>
    <t>lauridrum</t>
  </si>
  <si>
    <t>WhiteHammer</t>
  </si>
  <si>
    <t>IdontspareGirls</t>
  </si>
  <si>
    <t>xCreedy.176</t>
  </si>
  <si>
    <t>fredos1411</t>
  </si>
  <si>
    <t>Pat1508</t>
  </si>
  <si>
    <t>Schallke</t>
  </si>
  <si>
    <t>.abZ</t>
  </si>
  <si>
    <t>run4way</t>
  </si>
  <si>
    <t>Merun</t>
  </si>
  <si>
    <t>gruborg</t>
  </si>
  <si>
    <t>MrBond</t>
  </si>
  <si>
    <t>Bela99</t>
  </si>
  <si>
    <t>Boris-with-skill</t>
  </si>
  <si>
    <t>IchigoKorusaki</t>
  </si>
  <si>
    <t>Diegoslav</t>
  </si>
  <si>
    <t>Kulimuh</t>
  </si>
  <si>
    <t>ryan40k</t>
  </si>
  <si>
    <t>erdush97</t>
  </si>
  <si>
    <t>nestea32</t>
  </si>
  <si>
    <t>XBlooDCrusherX</t>
  </si>
  <si>
    <t>suchtymf</t>
  </si>
  <si>
    <t>KimJonun</t>
  </si>
  <si>
    <t>3ATMYEGO</t>
  </si>
  <si>
    <t>peterzwegat22</t>
  </si>
  <si>
    <t>xLamko</t>
  </si>
  <si>
    <t>Karax</t>
  </si>
  <si>
    <t>Farmer62</t>
  </si>
  <si>
    <t>DownForWhat</t>
  </si>
  <si>
    <t>LordTim24</t>
  </si>
  <si>
    <t>Caissa</t>
  </si>
  <si>
    <t>DerAusL4ndeR</t>
  </si>
  <si>
    <t>Haydewitzker</t>
  </si>
  <si>
    <t>halbe17</t>
  </si>
  <si>
    <t>ToMe104</t>
  </si>
  <si>
    <t>BMI250</t>
  </si>
  <si>
    <t>purzel74</t>
  </si>
  <si>
    <t>SchlingelUrs</t>
  </si>
  <si>
    <t>fettwansterrich</t>
  </si>
  <si>
    <t>janwe01</t>
  </si>
  <si>
    <t>DaddyIsBack7</t>
  </si>
  <si>
    <t>lakinho</t>
  </si>
  <si>
    <t>Cedric89</t>
  </si>
  <si>
    <t>TimoM1</t>
  </si>
  <si>
    <t>Trassi</t>
  </si>
  <si>
    <t>Bramble</t>
  </si>
  <si>
    <t>HeroMaster</t>
  </si>
  <si>
    <t>ogkushg</t>
  </si>
  <si>
    <t>TheyCallMeZed</t>
  </si>
  <si>
    <t>feuerflo-mgn</t>
  </si>
  <si>
    <t>ben.lun</t>
  </si>
  <si>
    <t>Foerk2</t>
  </si>
  <si>
    <t>katzenbande</t>
  </si>
  <si>
    <t>jeriksson7</t>
  </si>
  <si>
    <t>boxbox</t>
  </si>
  <si>
    <t>Manu2096</t>
  </si>
  <si>
    <t>anionymus</t>
  </si>
  <si>
    <t>derbessere</t>
  </si>
  <si>
    <t>Ordrac</t>
  </si>
  <si>
    <t>SirDon1965</t>
  </si>
  <si>
    <t>Basto1986</t>
  </si>
  <si>
    <t>Bierchen812</t>
  </si>
  <si>
    <t>Luggi0110</t>
  </si>
  <si>
    <t>-DNC-</t>
  </si>
  <si>
    <t>wassolldenndas</t>
  </si>
  <si>
    <t>Hasse89</t>
  </si>
  <si>
    <t>PinkPumpkin</t>
  </si>
  <si>
    <t>colix97</t>
  </si>
  <si>
    <t>w00x</t>
  </si>
  <si>
    <t>Badgirl.1</t>
  </si>
  <si>
    <t>krassegangster</t>
  </si>
  <si>
    <t>WildeWaldelfe</t>
  </si>
  <si>
    <t>Tyr-1</t>
  </si>
  <si>
    <t>Enelya</t>
  </si>
  <si>
    <t>187forfree</t>
  </si>
  <si>
    <t>youtox</t>
  </si>
  <si>
    <t>Sinsatik</t>
  </si>
  <si>
    <t>Anti-HFC</t>
  </si>
  <si>
    <t>Feuersturm77</t>
  </si>
  <si>
    <t>Lady-Lord</t>
  </si>
  <si>
    <t>berni2241</t>
  </si>
  <si>
    <t>Myforce</t>
  </si>
  <si>
    <t>Bpic</t>
  </si>
  <si>
    <t>GoldenVengeance</t>
  </si>
  <si>
    <t>Neme</t>
  </si>
  <si>
    <t>St.Tropez90</t>
  </si>
  <si>
    <t>antonbayern</t>
  </si>
  <si>
    <t>csonny</t>
  </si>
  <si>
    <t>Weazel96</t>
  </si>
  <si>
    <t>Sryer</t>
  </si>
  <si>
    <t>Suedon</t>
  </si>
  <si>
    <t>Tammuz</t>
  </si>
  <si>
    <t>TexxDark</t>
  </si>
  <si>
    <t>Razzorblaide</t>
  </si>
  <si>
    <t>leiluck</t>
  </si>
  <si>
    <t>Piri7</t>
  </si>
  <si>
    <t>Siedler11</t>
  </si>
  <si>
    <t>TWEEZY</t>
  </si>
  <si>
    <t>Genshirou</t>
  </si>
  <si>
    <t>mani9107</t>
  </si>
  <si>
    <t>Wall-Brecher91</t>
  </si>
  <si>
    <t>JoGiii89</t>
  </si>
  <si>
    <t>PowerShark</t>
  </si>
  <si>
    <t>Kick-Ass</t>
  </si>
  <si>
    <t>RomkaTomka</t>
  </si>
  <si>
    <t>t1o2m3</t>
  </si>
  <si>
    <t>King-Julien-11</t>
  </si>
  <si>
    <t>Mafuro</t>
  </si>
  <si>
    <t>King-Julien-24</t>
  </si>
  <si>
    <t>Odin101</t>
  </si>
  <si>
    <t>Yiio</t>
  </si>
  <si>
    <t>ComeForthMyArmies</t>
  </si>
  <si>
    <t>Heineken909</t>
  </si>
  <si>
    <t>HyperHydra</t>
  </si>
  <si>
    <t>DDD0PE</t>
  </si>
  <si>
    <t>DerJoker95</t>
  </si>
  <si>
    <t>raydon</t>
  </si>
  <si>
    <t>Grendler</t>
  </si>
  <si>
    <t>Tiesty</t>
  </si>
  <si>
    <t>Pepe1000</t>
  </si>
  <si>
    <t>Erypth</t>
  </si>
  <si>
    <t>HeldxD</t>
  </si>
  <si>
    <t>rambog0at</t>
  </si>
  <si>
    <t>Ichhabdeindorf</t>
  </si>
  <si>
    <t>Dr.Axel-Stoll</t>
  </si>
  <si>
    <t>LeonxD</t>
  </si>
  <si>
    <t>Michl1990</t>
  </si>
  <si>
    <t>Lady-Fanny</t>
  </si>
  <si>
    <t>Caligula-Minus</t>
  </si>
  <si>
    <t>ihi7</t>
  </si>
  <si>
    <t>schiffenberg</t>
  </si>
  <si>
    <t>KingMakrele</t>
  </si>
  <si>
    <t>Bahlin</t>
  </si>
  <si>
    <t>Niclas1904</t>
  </si>
  <si>
    <t>Ix.An0nYm.xI</t>
  </si>
  <si>
    <t>kappmaster</t>
  </si>
  <si>
    <t>DerBergMitDemHaus</t>
  </si>
  <si>
    <t>SirHiglod</t>
  </si>
  <si>
    <t>wolkengestalten</t>
  </si>
  <si>
    <t>%C3%96rmi</t>
  </si>
  <si>
    <t>Hazack</t>
  </si>
  <si>
    <t>MannyDasGrimmigeMamut</t>
  </si>
  <si>
    <t>MasterMidget</t>
  </si>
  <si>
    <t>PokeTrainer</t>
  </si>
  <si>
    <t>Lmonti</t>
  </si>
  <si>
    <t>srmpx</t>
  </si>
  <si>
    <t>DVD91</t>
  </si>
  <si>
    <t>Mengez89</t>
  </si>
  <si>
    <t>hpo973</t>
  </si>
  <si>
    <t>DirtyHeiner</t>
  </si>
  <si>
    <t>McSpargel</t>
  </si>
  <si>
    <t>xLadyLupa</t>
  </si>
  <si>
    <t>yolo1991</t>
  </si>
  <si>
    <t>PandaBear</t>
  </si>
  <si>
    <t>Sephix</t>
  </si>
  <si>
    <t>Bresio1335</t>
  </si>
  <si>
    <t>HighEndNoob</t>
  </si>
  <si>
    <t>DunMaster</t>
  </si>
  <si>
    <t>IgnisHelios</t>
  </si>
  <si>
    <t>Zander1998</t>
  </si>
  <si>
    <t>Moorbach</t>
  </si>
  <si>
    <t>.Always</t>
  </si>
  <si>
    <t>qwerty77</t>
  </si>
  <si>
    <t>Steinadler16</t>
  </si>
  <si>
    <t>UselessTeam</t>
  </si>
  <si>
    <t>Schnubbo</t>
  </si>
  <si>
    <t>kiritoxeno</t>
  </si>
  <si>
    <t>Nutzi21</t>
  </si>
  <si>
    <t>Alex31</t>
  </si>
  <si>
    <t>Frosch300</t>
  </si>
  <si>
    <t>marie420</t>
  </si>
  <si>
    <t>VareMeGaming</t>
  </si>
  <si>
    <t>vonderwarnow</t>
  </si>
  <si>
    <t>Traumschwiegersohn</t>
  </si>
  <si>
    <t>NeTsRaK3107</t>
  </si>
  <si>
    <t>RedJersey</t>
  </si>
  <si>
    <t>Jackey</t>
  </si>
  <si>
    <t>RekrutSteininger</t>
  </si>
  <si>
    <t>Frantic110</t>
  </si>
  <si>
    <t>Schapo27</t>
  </si>
  <si>
    <t>Tresdin</t>
  </si>
  <si>
    <t>AxelFII</t>
  </si>
  <si>
    <t>birano62</t>
  </si>
  <si>
    <t>Kaputus</t>
  </si>
  <si>
    <t>Geggi93</t>
  </si>
  <si>
    <t>TAiTO3107</t>
  </si>
  <si>
    <t>bayerrene</t>
  </si>
  <si>
    <t>luzifer63</t>
  </si>
  <si>
    <t>rabbIT95</t>
  </si>
  <si>
    <t>borken1997</t>
  </si>
  <si>
    <t>Imperativ</t>
  </si>
  <si>
    <t>Schnitzel88</t>
  </si>
  <si>
    <t>..SmokeY..at..HomeY..</t>
  </si>
  <si>
    <t>Lokist2003</t>
  </si>
  <si>
    <t>caspi11</t>
  </si>
  <si>
    <t>basiic011</t>
  </si>
  <si>
    <t>Nikkel406</t>
  </si>
  <si>
    <t>blackicetea3</t>
  </si>
  <si>
    <t>gocaman28</t>
  </si>
  <si>
    <t>deaver27</t>
  </si>
  <si>
    <t>Schulzi241</t>
  </si>
  <si>
    <t>andreas3110</t>
  </si>
  <si>
    <t>veromax</t>
  </si>
  <si>
    <t>gregen</t>
  </si>
  <si>
    <t>Feuli94</t>
  </si>
  <si>
    <t>Wiedi97</t>
  </si>
  <si>
    <t>Schaui.</t>
  </si>
  <si>
    <t>miyagi57</t>
  </si>
  <si>
    <t>schimy</t>
  </si>
  <si>
    <t>VamosJoe</t>
  </si>
  <si>
    <t>ChelseaForWin</t>
  </si>
  <si>
    <t>neenee</t>
  </si>
  <si>
    <t>Lorien</t>
  </si>
  <si>
    <t>MissDiamond</t>
  </si>
  <si>
    <t>stepup</t>
  </si>
  <si>
    <t>areskill7x</t>
  </si>
  <si>
    <t>Maxe666</t>
  </si>
  <si>
    <t>Flow526</t>
  </si>
  <si>
    <t>Ties89</t>
  </si>
  <si>
    <t>AFROmann</t>
  </si>
  <si>
    <t>TheDarki</t>
  </si>
  <si>
    <t>Killasani</t>
  </si>
  <si>
    <t>Schlucke13</t>
  </si>
  <si>
    <t>NaNoXiD</t>
  </si>
  <si>
    <t>Widi61</t>
  </si>
  <si>
    <t>NeHechEret</t>
  </si>
  <si>
    <t>Eisblumme1996</t>
  </si>
  <si>
    <t>Tennismuecke</t>
  </si>
  <si>
    <t>Philipp2395</t>
  </si>
  <si>
    <t>KontrA</t>
  </si>
  <si>
    <t>derRichter95</t>
  </si>
  <si>
    <t>lubenko1</t>
  </si>
  <si>
    <t>iToxic</t>
  </si>
  <si>
    <t>Jambo89</t>
  </si>
  <si>
    <t>BashBrothers</t>
  </si>
  <si>
    <t>Tankfrank</t>
  </si>
  <si>
    <t>Apulli</t>
  </si>
  <si>
    <t>CommanderLarry</t>
  </si>
  <si>
    <t>ondyyy</t>
  </si>
  <si>
    <t>SirKingSlayer</t>
  </si>
  <si>
    <t>manindi</t>
  </si>
  <si>
    <t>Namelocked</t>
  </si>
  <si>
    <t>Lukas95</t>
  </si>
  <si>
    <t>nepobjediv55</t>
  </si>
  <si>
    <t>GREEN.POWER</t>
  </si>
  <si>
    <t>AJL-93</t>
  </si>
  <si>
    <t>zlToddi</t>
  </si>
  <si>
    <t>zlStevo</t>
  </si>
  <si>
    <t>zlRengar</t>
  </si>
  <si>
    <t>KingOfAustria</t>
  </si>
  <si>
    <t>lukithebest</t>
  </si>
  <si>
    <t>At0mFlunder</t>
  </si>
  <si>
    <t>gbpAR12</t>
  </si>
  <si>
    <t>eufi</t>
  </si>
  <si>
    <t>Mingatobi97</t>
  </si>
  <si>
    <t>sillex3</t>
  </si>
  <si>
    <t>Dlaxxol</t>
  </si>
  <si>
    <t>MiAl95</t>
  </si>
  <si>
    <t>Matzetutu</t>
  </si>
  <si>
    <t>Marina54</t>
  </si>
  <si>
    <t>Butcher007</t>
  </si>
  <si>
    <t>wababa</t>
  </si>
  <si>
    <t>gerrijator</t>
  </si>
  <si>
    <t>4seasons.</t>
  </si>
  <si>
    <t>chris3009</t>
  </si>
  <si>
    <t>BegForMercy</t>
  </si>
  <si>
    <t>Wardog96</t>
  </si>
  <si>
    <t>stefan1809</t>
  </si>
  <si>
    <t>CptNexus</t>
  </si>
  <si>
    <t>Pigles</t>
  </si>
  <si>
    <t>JasperSt.iNCt</t>
  </si>
  <si>
    <t>Mel0n</t>
  </si>
  <si>
    <t>BergerHustler</t>
  </si>
  <si>
    <t>NiggoH</t>
  </si>
  <si>
    <t>epicer98</t>
  </si>
  <si>
    <t>Hakuna-</t>
  </si>
  <si>
    <t>DiePommes</t>
  </si>
  <si>
    <t>sambucaworld</t>
  </si>
  <si>
    <t>fe08</t>
  </si>
  <si>
    <t>Julliian</t>
  </si>
  <si>
    <t>Darzuk1337</t>
  </si>
  <si>
    <t>Greyback</t>
  </si>
  <si>
    <t>Trashtan</t>
  </si>
  <si>
    <t>xJoniOmi</t>
  </si>
  <si>
    <t>Pacino576</t>
  </si>
  <si>
    <t>Chickenmagdeeex</t>
  </si>
  <si>
    <t>Tigarno</t>
  </si>
  <si>
    <t>Weltuntergang</t>
  </si>
  <si>
    <t>nikgame34</t>
  </si>
  <si>
    <t>Anselmus93</t>
  </si>
  <si>
    <t>ExiiL</t>
  </si>
  <si>
    <t>J.Sheridan</t>
  </si>
  <si>
    <t>Tunichgut</t>
  </si>
  <si>
    <t>Harmogy</t>
  </si>
  <si>
    <t>stickman4848</t>
  </si>
  <si>
    <t>JessiStressi</t>
  </si>
  <si>
    <t>MatzeKing</t>
  </si>
  <si>
    <t>Piwi1994</t>
  </si>
  <si>
    <t>ultma189</t>
  </si>
  <si>
    <t>MuZe</t>
  </si>
  <si>
    <t>z4row</t>
  </si>
  <si>
    <t>Uubik</t>
  </si>
  <si>
    <t>Apfel15</t>
  </si>
  <si>
    <t>Trishy</t>
  </si>
  <si>
    <t>phskill</t>
  </si>
  <si>
    <t>DopplTrippl</t>
  </si>
  <si>
    <t>SuperSayajinxGogeta</t>
  </si>
  <si>
    <t>XHighOwnX</t>
  </si>
  <si>
    <t>Weltensagt</t>
  </si>
  <si>
    <t>dumdudel</t>
  </si>
  <si>
    <t>Lingab</t>
  </si>
  <si>
    <t>Banger2003</t>
  </si>
  <si>
    <t>charlesloppo</t>
  </si>
  <si>
    <t>TheLastChanceForU</t>
  </si>
  <si>
    <t>Venuxian</t>
  </si>
  <si>
    <t>Rabauk1</t>
  </si>
  <si>
    <t>Integer99</t>
  </si>
  <si>
    <t>Escobar3962</t>
  </si>
  <si>
    <t>Weidi93</t>
  </si>
  <si>
    <t>MarzixD</t>
  </si>
  <si>
    <t>KingKoelln</t>
  </si>
  <si>
    <t>funnyflash2000</t>
  </si>
  <si>
    <t>BennettHH</t>
  </si>
  <si>
    <t>xDeadLine</t>
  </si>
  <si>
    <t>vorletzter</t>
  </si>
  <si>
    <t>I3east09</t>
  </si>
  <si>
    <t>Zarroc</t>
  </si>
  <si>
    <t>Arkinon</t>
  </si>
  <si>
    <t>pt1102</t>
  </si>
  <si>
    <t>KingGioxx</t>
  </si>
  <si>
    <t>schnarschsack</t>
  </si>
  <si>
    <t>MaSiWi</t>
  </si>
  <si>
    <t>Bakhira</t>
  </si>
  <si>
    <t>hokahe</t>
  </si>
  <si>
    <t>Un2ealSkillZ</t>
  </si>
  <si>
    <t>xBorhoKx</t>
  </si>
  <si>
    <t>Liranda</t>
  </si>
  <si>
    <t>Tuoimunt</t>
  </si>
  <si>
    <t>crUsh3r96</t>
  </si>
  <si>
    <t>DrMinzlauer</t>
  </si>
  <si>
    <t>TheRedDevil</t>
  </si>
  <si>
    <t>SirAdel</t>
  </si>
  <si>
    <t>thimmex</t>
  </si>
  <si>
    <t>HGButte</t>
  </si>
  <si>
    <t>ThaBuuu</t>
  </si>
  <si>
    <t>MrSponkley</t>
  </si>
  <si>
    <t>Vercingetorix64</t>
  </si>
  <si>
    <t>Eumel12</t>
  </si>
  <si>
    <t>Zachillus</t>
  </si>
  <si>
    <t>bake</t>
  </si>
  <si>
    <t>9Csaba9</t>
  </si>
  <si>
    <t>Kooonsten</t>
  </si>
  <si>
    <t>Barca4ever</t>
  </si>
  <si>
    <t>FIoRunner</t>
  </si>
  <si>
    <t>Bonemonkey</t>
  </si>
  <si>
    <t>malomsderechte</t>
  </si>
  <si>
    <t>Warcon</t>
  </si>
  <si>
    <t>JuSt4FuN97</t>
  </si>
  <si>
    <t>dsyd.Timbo</t>
  </si>
  <si>
    <t>midland</t>
  </si>
  <si>
    <t>Smookkyy</t>
  </si>
  <si>
    <t>xMails</t>
  </si>
  <si>
    <t>Tonnly</t>
  </si>
  <si>
    <t>MatzeX</t>
  </si>
  <si>
    <t>jonny1509</t>
  </si>
  <si>
    <t>Memelord</t>
  </si>
  <si>
    <t>BerserkX</t>
  </si>
  <si>
    <t>killagorilla</t>
  </si>
  <si>
    <t>Rohrgranate</t>
  </si>
  <si>
    <t>JMLGF17</t>
  </si>
  <si>
    <t>lebuff</t>
  </si>
  <si>
    <t>Blackbeazz</t>
  </si>
  <si>
    <t>jimmy9797</t>
  </si>
  <si>
    <t>Exodos93</t>
  </si>
  <si>
    <t>LtFeroX</t>
  </si>
  <si>
    <t>holydevil9</t>
  </si>
  <si>
    <t>Systemfehler</t>
  </si>
  <si>
    <t>SirWilson15295</t>
  </si>
  <si>
    <t>alexoo</t>
  </si>
  <si>
    <t>Mokutooon</t>
  </si>
  <si>
    <t>Sheldor00</t>
  </si>
  <si>
    <t>DrTerror</t>
  </si>
  <si>
    <t>Ahaleks</t>
  </si>
  <si>
    <t>Arkano</t>
  </si>
  <si>
    <t>xEdelmensch</t>
  </si>
  <si>
    <t>P0nza</t>
  </si>
  <si>
    <t>apdokern</t>
  </si>
  <si>
    <t>AnbauersFaketruppe</t>
  </si>
  <si>
    <t>UnsereMudi</t>
  </si>
  <si>
    <t>Lewizz95</t>
  </si>
  <si>
    <t>Preyyer</t>
  </si>
  <si>
    <t>Candide</t>
  </si>
  <si>
    <t>CUB25</t>
  </si>
  <si>
    <t>StefanHegi</t>
  </si>
  <si>
    <t>Grummel7</t>
  </si>
  <si>
    <t>eXouL</t>
  </si>
  <si>
    <t>OXOX</t>
  </si>
  <si>
    <t>employ</t>
  </si>
  <si>
    <t>FrEaK-010</t>
  </si>
  <si>
    <t>fabvo</t>
  </si>
  <si>
    <t>Cheata</t>
  </si>
  <si>
    <t>Nutz99</t>
  </si>
  <si>
    <t>nummer90zummitnehmen</t>
  </si>
  <si>
    <t>KronenEx</t>
  </si>
  <si>
    <t>TheJoker08-16</t>
  </si>
  <si>
    <t>TriplexD</t>
  </si>
  <si>
    <t>Spielsucht01</t>
  </si>
  <si>
    <t>Signed1</t>
  </si>
  <si>
    <t>LamboFag</t>
  </si>
  <si>
    <t>dreamer187</t>
  </si>
  <si>
    <t>Briareos-Hammerstein</t>
  </si>
  <si>
    <t>XFrontschweinX</t>
  </si>
  <si>
    <t>bendermeyang</t>
  </si>
  <si>
    <t>TimS</t>
  </si>
  <si>
    <t>Flire</t>
  </si>
  <si>
    <t>CreekOve</t>
  </si>
  <si>
    <t>Dopex3</t>
  </si>
  <si>
    <t>boerns.m</t>
  </si>
  <si>
    <t>Veldor</t>
  </si>
  <si>
    <t>Hamza67</t>
  </si>
  <si>
    <t>2Hasis</t>
  </si>
  <si>
    <t>kerrigan5</t>
  </si>
  <si>
    <t>TimJJ</t>
  </si>
  <si>
    <t>gottimperator</t>
  </si>
  <si>
    <t>Espritor2</t>
  </si>
  <si>
    <t>pyromanoid</t>
  </si>
  <si>
    <t>Gremlinseye</t>
  </si>
  <si>
    <t>Lena92</t>
  </si>
  <si>
    <t>ciWie</t>
  </si>
  <si>
    <t>Highturn</t>
  </si>
  <si>
    <t>Andenkarakara</t>
  </si>
  <si>
    <t>hallix</t>
  </si>
  <si>
    <t>Dragenball12</t>
  </si>
  <si>
    <t>KnallerXx</t>
  </si>
  <si>
    <t>InYourFaCe</t>
  </si>
  <si>
    <t>schmugler</t>
  </si>
  <si>
    <t>Task-Force117</t>
  </si>
  <si>
    <t>silvan03</t>
  </si>
  <si>
    <t>NoNameFree</t>
  </si>
  <si>
    <t>FiestaHeitzer</t>
  </si>
  <si>
    <t>Kamunraah</t>
  </si>
  <si>
    <t>TodescooI</t>
  </si>
  <si>
    <t>Foxfox</t>
  </si>
  <si>
    <t>DaisyMeBashing</t>
  </si>
  <si>
    <t>hamzaata</t>
  </si>
  <si>
    <t>Revy2603</t>
  </si>
  <si>
    <t>PrinceLukas</t>
  </si>
  <si>
    <t>MaxKing2000</t>
  </si>
  <si>
    <t>Rengo-</t>
  </si>
  <si>
    <t>Felix1310</t>
  </si>
  <si>
    <t>DeepSilver</t>
  </si>
  <si>
    <t>Gordo1900</t>
  </si>
  <si>
    <t>DontGetUpset</t>
  </si>
  <si>
    <t>freza</t>
  </si>
  <si>
    <t>xGreenkayx</t>
  </si>
  <si>
    <t>Falke1180</t>
  </si>
  <si>
    <t>D1A9M9i0EN</t>
  </si>
  <si>
    <t>Quorexxx</t>
  </si>
  <si>
    <t>AignerMichael12</t>
  </si>
  <si>
    <t>PowerGamer122</t>
  </si>
  <si>
    <t>the.machine</t>
  </si>
  <si>
    <t>Anaphylaxis</t>
  </si>
  <si>
    <t>MeKzeT</t>
  </si>
  <si>
    <t>mofugga</t>
  </si>
  <si>
    <t>Pyrotiger86</t>
  </si>
  <si>
    <t>Marion1</t>
  </si>
  <si>
    <t>chrissyky</t>
  </si>
  <si>
    <t>prioo</t>
  </si>
  <si>
    <t>Baummeister</t>
  </si>
  <si>
    <t>Test0817</t>
  </si>
  <si>
    <t>jogro00</t>
  </si>
  <si>
    <t>JLC.</t>
  </si>
  <si>
    <t>mcrain</t>
  </si>
  <si>
    <t>J-P-M</t>
  </si>
  <si>
    <t>justlol</t>
  </si>
  <si>
    <t>Typhaon</t>
  </si>
  <si>
    <t>Fcl8</t>
  </si>
  <si>
    <t>nils005</t>
  </si>
  <si>
    <t>KiritoFP</t>
  </si>
  <si>
    <t>Polonius24</t>
  </si>
  <si>
    <t>TraderJoey2</t>
  </si>
  <si>
    <t>DontTrustMe</t>
  </si>
  <si>
    <t>HerzogTheodoric0305</t>
  </si>
  <si>
    <t>.Marcellus</t>
  </si>
  <si>
    <t>nukeex</t>
  </si>
  <si>
    <t>huberm88</t>
  </si>
  <si>
    <t>rowo</t>
  </si>
  <si>
    <t>xtcwx</t>
  </si>
  <si>
    <t>xRollstuhlcowboy</t>
  </si>
  <si>
    <t>Oisch25</t>
  </si>
  <si>
    <t>Mimo117</t>
  </si>
  <si>
    <t>Dooomlord</t>
  </si>
  <si>
    <t>Sirex</t>
  </si>
  <si>
    <t>Hailod07</t>
  </si>
  <si>
    <t>Silviii</t>
  </si>
  <si>
    <t>-Rexxor-</t>
  </si>
  <si>
    <t>InternationalRelation</t>
  </si>
  <si>
    <t>NoFarmShit</t>
  </si>
  <si>
    <t>BetterCallSaul</t>
  </si>
  <si>
    <t>Berthold13</t>
  </si>
  <si>
    <t>MB333</t>
  </si>
  <si>
    <t>Spachris</t>
  </si>
  <si>
    <t>Kiryoku</t>
  </si>
  <si>
    <t>Jimmy97Pr</t>
  </si>
  <si>
    <t>xsyx</t>
  </si>
  <si>
    <t>Sanasar</t>
  </si>
  <si>
    <t>pickman969</t>
  </si>
  <si>
    <t>Nightfall1</t>
  </si>
  <si>
    <t>asterix0001</t>
  </si>
  <si>
    <t>bernii2806</t>
  </si>
  <si>
    <t>TheSinister33</t>
  </si>
  <si>
    <t>Bodinator88</t>
  </si>
  <si>
    <t>SCHM%C3%84TTERling</t>
  </si>
  <si>
    <t>Homer7</t>
  </si>
  <si>
    <t>Cojones1</t>
  </si>
  <si>
    <t>LuckyAces</t>
  </si>
  <si>
    <t>FischerR1408</t>
  </si>
  <si>
    <t>xMaXiMuSx</t>
  </si>
  <si>
    <t>Burggeist123</t>
  </si>
  <si>
    <t>DjDurchfall</t>
  </si>
  <si>
    <t>DaCosta</t>
  </si>
  <si>
    <t>resbey25</t>
  </si>
  <si>
    <t>.MaJo.</t>
  </si>
  <si>
    <t>locy1900</t>
  </si>
  <si>
    <t>Studmedlc</t>
  </si>
  <si>
    <t>-0815-</t>
  </si>
  <si>
    <t>kova445</t>
  </si>
  <si>
    <t>Kelzahrt</t>
  </si>
  <si>
    <t>Apocalyptics</t>
  </si>
  <si>
    <t>RubelDieKatz</t>
  </si>
  <si>
    <t>Hansjir</t>
  </si>
  <si>
    <t>Florxy</t>
  </si>
  <si>
    <t>Screeda</t>
  </si>
  <si>
    <t>topsy-turvy</t>
  </si>
  <si>
    <t>Albicolo</t>
  </si>
  <si>
    <t>crowdene</t>
  </si>
  <si>
    <t>Manzuin</t>
  </si>
  <si>
    <t>x3Funky</t>
  </si>
  <si>
    <t>darkvieri</t>
  </si>
  <si>
    <t>steffen1992</t>
  </si>
  <si>
    <t>papa5</t>
  </si>
  <si>
    <t>mustea</t>
  </si>
  <si>
    <t>Sgt-Reznov</t>
  </si>
  <si>
    <t>Feroculus</t>
  </si>
  <si>
    <t>DeAwesomeFux</t>
  </si>
  <si>
    <t>DSGamr</t>
  </si>
  <si>
    <t>henben</t>
  </si>
  <si>
    <t>Yggrasil</t>
  </si>
  <si>
    <t>Pedro1</t>
  </si>
  <si>
    <t>Baronlc</t>
  </si>
  <si>
    <t>Real%C3%96P</t>
  </si>
  <si>
    <t>Durli</t>
  </si>
  <si>
    <t>aLeecher</t>
  </si>
  <si>
    <t>Starscaller-official</t>
  </si>
  <si>
    <t>Chiller1893</t>
  </si>
  <si>
    <t>Zoipa</t>
  </si>
  <si>
    <t>debre</t>
  </si>
  <si>
    <t>mirg</t>
  </si>
  <si>
    <t>Gustav-King-95</t>
  </si>
  <si>
    <t>SAHBAZ41</t>
  </si>
  <si>
    <t>Amenhotep</t>
  </si>
  <si>
    <t>Zikkgzz</t>
  </si>
  <si>
    <t>Oops</t>
  </si>
  <si>
    <t>Thidrik88</t>
  </si>
  <si>
    <t>Jag04</t>
  </si>
  <si>
    <t>Eisteemann</t>
  </si>
  <si>
    <t>Panaritium</t>
  </si>
  <si>
    <t>Overflow</t>
  </si>
  <si>
    <t>RF19</t>
  </si>
  <si>
    <t>elhan17</t>
  </si>
  <si>
    <t>D.Kraft91</t>
  </si>
  <si>
    <t>Toinok</t>
  </si>
  <si>
    <t>Bashexpress</t>
  </si>
  <si>
    <t>Wagner1860</t>
  </si>
  <si>
    <t>SuperKathiii</t>
  </si>
  <si>
    <t>xKopela</t>
  </si>
  <si>
    <t>legrend</t>
  </si>
  <si>
    <t>funit</t>
  </si>
  <si>
    <t>Byakko1996</t>
  </si>
  <si>
    <t>MatzeSGA</t>
  </si>
  <si>
    <t>Flay</t>
  </si>
  <si>
    <t>Pumbaa2010</t>
  </si>
  <si>
    <t>Eykey</t>
  </si>
  <si>
    <t>keay</t>
  </si>
  <si>
    <t>berkemeister</t>
  </si>
  <si>
    <t>Beelzebuth</t>
  </si>
  <si>
    <t>derdorftoeter</t>
  </si>
  <si>
    <t>IIIIIIII</t>
  </si>
  <si>
    <t>hansheino</t>
  </si>
  <si>
    <t>Synxp</t>
  </si>
  <si>
    <t>killerbee1986</t>
  </si>
  <si>
    <t>Wurthi414</t>
  </si>
  <si>
    <t>accab1</t>
  </si>
  <si>
    <t>diggaman</t>
  </si>
  <si>
    <t>-Thorin-Eichenschild-</t>
  </si>
  <si>
    <t>kfc1991</t>
  </si>
  <si>
    <t>Loki1976</t>
  </si>
  <si>
    <t>EFZone</t>
  </si>
  <si>
    <t>jannik1234</t>
  </si>
  <si>
    <t>Brix05</t>
  </si>
  <si>
    <t>RNGesus</t>
  </si>
  <si>
    <t>clownsq</t>
  </si>
  <si>
    <t>Feel0Good0Inc</t>
  </si>
  <si>
    <t>Gallone</t>
  </si>
  <si>
    <t>klenes</t>
  </si>
  <si>
    <t>Hinnerk97</t>
  </si>
  <si>
    <t>SirNatsch</t>
  </si>
  <si>
    <t>alois4</t>
  </si>
  <si>
    <t>Nordmann73</t>
  </si>
  <si>
    <t>TheBoss458</t>
  </si>
  <si>
    <t>k0m1sch</t>
  </si>
  <si>
    <t>Riddick30</t>
  </si>
  <si>
    <t>AlbiZH</t>
  </si>
  <si>
    <t>Kastalistein</t>
  </si>
  <si>
    <t>xXshariefwinsXx</t>
  </si>
  <si>
    <t>Netflix</t>
  </si>
  <si>
    <t>Flodo</t>
  </si>
  <si>
    <t>DoveVader</t>
  </si>
  <si>
    <t>WarDog249</t>
  </si>
  <si>
    <t>Adolphina</t>
  </si>
  <si>
    <t>Rhodridge</t>
  </si>
  <si>
    <t>Taschi18</t>
  </si>
  <si>
    <t>Nordlord</t>
  </si>
  <si>
    <t>Rodebert</t>
  </si>
  <si>
    <t>Termina</t>
  </si>
  <si>
    <t>Steeegi</t>
  </si>
  <si>
    <t>Lavira</t>
  </si>
  <si>
    <t>Bwing2017</t>
  </si>
  <si>
    <t>Ravdrizzy</t>
  </si>
  <si>
    <t>Basti23</t>
  </si>
  <si>
    <t>InstandKiller</t>
  </si>
  <si>
    <t>bomb3r</t>
  </si>
  <si>
    <t>KingJango</t>
  </si>
  <si>
    <t>nigges204</t>
  </si>
  <si>
    <t>Gimilay</t>
  </si>
  <si>
    <t>Venom17</t>
  </si>
  <si>
    <t>Julian2807</t>
  </si>
  <si>
    <t>ImSoHigh</t>
  </si>
  <si>
    <t>Wander</t>
  </si>
  <si>
    <t>KingArdi72</t>
  </si>
  <si>
    <t>Marcusleen</t>
  </si>
  <si>
    <t>Bastel20</t>
  </si>
  <si>
    <t>Heartstyler</t>
  </si>
  <si>
    <t>Arcentay</t>
  </si>
  <si>
    <t>m.freemann</t>
  </si>
  <si>
    <t>Toolrebel</t>
  </si>
  <si>
    <t>Adobras</t>
  </si>
  <si>
    <t>Bunney27</t>
  </si>
  <si>
    <t>MaGuggen</t>
  </si>
  <si>
    <t>xxx90-60-90xxx</t>
  </si>
  <si>
    <t>Awesome...what</t>
  </si>
  <si>
    <t>BorussiaFighter</t>
  </si>
  <si>
    <t>DasEnteTV</t>
  </si>
  <si>
    <t>Future777</t>
  </si>
  <si>
    <t>Krebii</t>
  </si>
  <si>
    <t>Kevko94</t>
  </si>
  <si>
    <t>preussenk</t>
  </si>
  <si>
    <t>sascha911</t>
  </si>
  <si>
    <t>RokMount</t>
  </si>
  <si>
    <t>Frontschwein1812</t>
  </si>
  <si>
    <t>Happystick</t>
  </si>
  <si>
    <t>FinallyDark</t>
  </si>
  <si>
    <t>Sportivo</t>
  </si>
  <si>
    <t>dieterdetlef</t>
  </si>
  <si>
    <t>Mongogriepsch</t>
  </si>
  <si>
    <t>Trulla110</t>
  </si>
  <si>
    <t>derayes</t>
  </si>
  <si>
    <t>Inaunso</t>
  </si>
  <si>
    <t>ILoveShisha</t>
  </si>
  <si>
    <t>Cyclonlulz</t>
  </si>
  <si>
    <t>Raegge80</t>
  </si>
  <si>
    <t>NooReturn</t>
  </si>
  <si>
    <t>KingKenny</t>
  </si>
  <si>
    <t>LoopingLouie99</t>
  </si>
  <si>
    <t>kotbatzen</t>
  </si>
  <si>
    <t>Achillesx</t>
  </si>
  <si>
    <t>FleXus</t>
  </si>
  <si>
    <t>Thrawn66</t>
  </si>
  <si>
    <t>adikill</t>
  </si>
  <si>
    <t>RealBigT</t>
  </si>
  <si>
    <t>Narell</t>
  </si>
  <si>
    <t>PaHaRoXx-97</t>
  </si>
  <si>
    <t>Stollinger</t>
  </si>
  <si>
    <t>MajestiC1993</t>
  </si>
  <si>
    <t>Raml1777</t>
  </si>
  <si>
    <t>Trepolis</t>
  </si>
  <si>
    <t>CoffeeArsch</t>
  </si>
  <si>
    <t>Marijain</t>
  </si>
  <si>
    <t>Turgaeren</t>
  </si>
  <si>
    <t>ili16</t>
  </si>
  <si>
    <t>aSsieVoX</t>
  </si>
  <si>
    <t>Willibatz</t>
  </si>
  <si>
    <t>buBbelsss</t>
  </si>
  <si>
    <t>Inditex</t>
  </si>
  <si>
    <t>RedFrog2018</t>
  </si>
  <si>
    <t>sodomundgomorra</t>
  </si>
  <si>
    <t>Kinimod9592</t>
  </si>
  <si>
    <t>Melvinus71</t>
  </si>
  <si>
    <t>veelora</t>
  </si>
  <si>
    <t>pape25</t>
  </si>
  <si>
    <t>Peanutfarmer</t>
  </si>
  <si>
    <t>salitoz</t>
  </si>
  <si>
    <t>ElNino97</t>
  </si>
  <si>
    <t>Royale22000</t>
  </si>
  <si>
    <t>Zottel96</t>
  </si>
  <si>
    <t>Karpfen96</t>
  </si>
  <si>
    <t>Burn2g</t>
  </si>
  <si>
    <t>Berserker1848</t>
  </si>
  <si>
    <t>JonnyCool11</t>
  </si>
  <si>
    <t>Zwicklpub</t>
  </si>
  <si>
    <t>x3l5t3r6l4n2x</t>
  </si>
  <si>
    <t>darkcommander1</t>
  </si>
  <si>
    <t>Ragemaste</t>
  </si>
  <si>
    <t>masterdevel21</t>
  </si>
  <si>
    <t>motis261</t>
  </si>
  <si>
    <t>Frannco</t>
  </si>
  <si>
    <t>sWEN8055</t>
  </si>
  <si>
    <t>TMinator</t>
  </si>
  <si>
    <t>kungfupandamaster</t>
  </si>
  <si>
    <t>mahoni92</t>
  </si>
  <si>
    <t>Hmbgr</t>
  </si>
  <si>
    <t>Maiwald98</t>
  </si>
  <si>
    <t>Iordanidis</t>
  </si>
  <si>
    <t>Uncas23</t>
  </si>
  <si>
    <t>SirLarf</t>
  </si>
  <si>
    <t>MosiYT</t>
  </si>
  <si>
    <t>Chrisk3k</t>
  </si>
  <si>
    <t>i-CrooniX</t>
  </si>
  <si>
    <t>St.Gallen</t>
  </si>
  <si>
    <t>hubnor101</t>
  </si>
  <si>
    <t>Artjom361</t>
  </si>
  <si>
    <t>Sikk97</t>
  </si>
  <si>
    <t>Norbert123</t>
  </si>
  <si>
    <t>Seifenspender</t>
  </si>
  <si>
    <t>Deffnoob</t>
  </si>
  <si>
    <t>.FAITH.</t>
  </si>
  <si>
    <t>Goldi97</t>
  </si>
  <si>
    <t>Ynef</t>
  </si>
  <si>
    <t>Pancake-l3unny</t>
  </si>
  <si>
    <t>schulli1</t>
  </si>
  <si>
    <t>NikkelangeloHS</t>
  </si>
  <si>
    <t>DontDrinkAndDs</t>
  </si>
  <si>
    <t>loislbua</t>
  </si>
  <si>
    <t>jake1998</t>
  </si>
  <si>
    <t>DrKnelloggs</t>
  </si>
  <si>
    <t>Transgenderbanane</t>
  </si>
  <si>
    <t>Pierrevowi</t>
  </si>
  <si>
    <t>Arrow2018</t>
  </si>
  <si>
    <t>Fabs95</t>
  </si>
  <si>
    <t>stbaumann1972</t>
  </si>
  <si>
    <t>Habemeister</t>
  </si>
  <si>
    <t>Thiwak</t>
  </si>
  <si>
    <t>Logos3</t>
  </si>
  <si>
    <t>CheFlamous</t>
  </si>
  <si>
    <t>Goblin31</t>
  </si>
  <si>
    <t>Sweet69</t>
  </si>
  <si>
    <t>Markus16092002</t>
  </si>
  <si>
    <t>Umanic</t>
  </si>
  <si>
    <t>SolomonKanee</t>
  </si>
  <si>
    <t>MindMySkill</t>
  </si>
  <si>
    <t>KobeerBryant</t>
  </si>
  <si>
    <t>Pumpkin7777</t>
  </si>
  <si>
    <t>wolfy60</t>
  </si>
  <si>
    <t>my1234</t>
  </si>
  <si>
    <t>TheeEqualizer</t>
  </si>
  <si>
    <t>Mitschi97</t>
  </si>
  <si>
    <t>ZeeroxTV</t>
  </si>
  <si>
    <t>Stativ93</t>
  </si>
  <si>
    <t>Tantiellyi</t>
  </si>
  <si>
    <t>macan96</t>
  </si>
  <si>
    <t>Renten</t>
  </si>
  <si>
    <t>tommy2016</t>
  </si>
  <si>
    <t>Philippinho</t>
  </si>
  <si>
    <t>KscFreak94</t>
  </si>
  <si>
    <t>fm633</t>
  </si>
  <si>
    <t>Yuled54</t>
  </si>
  <si>
    <t>Sturmi1105</t>
  </si>
  <si>
    <t>UnitedChief</t>
  </si>
  <si>
    <t>Konexxx</t>
  </si>
  <si>
    <t>LePfannenwender</t>
  </si>
  <si>
    <t>DonCorleone3103</t>
  </si>
  <si>
    <t>Walze43</t>
  </si>
  <si>
    <t>TMXttZ</t>
  </si>
  <si>
    <t>Zephirus</t>
  </si>
  <si>
    <t>Grisu0815</t>
  </si>
  <si>
    <t>JJ2002</t>
  </si>
  <si>
    <t>Andrea01</t>
  </si>
  <si>
    <t>marci1</t>
  </si>
  <si>
    <t>ocv1234</t>
  </si>
  <si>
    <t>BrokenMonk</t>
  </si>
  <si>
    <t>Strobosphere</t>
  </si>
  <si>
    <t>Asviva</t>
  </si>
  <si>
    <t>yasmina93</t>
  </si>
  <si>
    <t>MzudemO</t>
  </si>
  <si>
    <t>wagni</t>
  </si>
  <si>
    <t>Galaxy21zero</t>
  </si>
  <si>
    <t>teiko</t>
  </si>
  <si>
    <t>JSCG-Freak91</t>
  </si>
  <si>
    <t>asdfg12345</t>
  </si>
  <si>
    <t>Apored</t>
  </si>
  <si>
    <t>MrLoot</t>
  </si>
  <si>
    <t>Inaktiv-Keine-Zeit</t>
  </si>
  <si>
    <t>DonJenser</t>
  </si>
  <si>
    <t>BlueHeisenberg</t>
  </si>
  <si>
    <t>matti491</t>
  </si>
  <si>
    <t>HarryMK7</t>
  </si>
  <si>
    <t>RexWolke</t>
  </si>
  <si>
    <t>KingKuh</t>
  </si>
  <si>
    <t>RealNyic</t>
  </si>
  <si>
    <t>Guffy3</t>
  </si>
  <si>
    <t>schnecke12345</t>
  </si>
  <si>
    <t>Lunula</t>
  </si>
  <si>
    <t>william008</t>
  </si>
  <si>
    <t>braigans</t>
  </si>
  <si>
    <t>vantroche</t>
  </si>
  <si>
    <t>Maxim98</t>
  </si>
  <si>
    <t>Gttz</t>
  </si>
  <si>
    <t>Paladin68</t>
  </si>
  <si>
    <t>Zangi1988</t>
  </si>
  <si>
    <t>Joeys2929</t>
  </si>
  <si>
    <t>Syntax95</t>
  </si>
  <si>
    <t>Gurkenpeter</t>
  </si>
  <si>
    <t>Deanguin</t>
  </si>
  <si>
    <t>tby13</t>
  </si>
  <si>
    <t>heidrun00</t>
  </si>
  <si>
    <t>Enigmatic</t>
  </si>
  <si>
    <t>berni365</t>
  </si>
  <si>
    <t>jones24</t>
  </si>
  <si>
    <t>ImPirio</t>
  </si>
  <si>
    <t>Dantzelot</t>
  </si>
  <si>
    <t>W4ster</t>
  </si>
  <si>
    <t>kaozfreak</t>
  </si>
  <si>
    <t>K3nob1</t>
  </si>
  <si>
    <t>JFM10618</t>
  </si>
  <si>
    <t>Madl</t>
  </si>
  <si>
    <t>SonerGFB95</t>
  </si>
  <si>
    <t>Jodler</t>
  </si>
  <si>
    <t>SpikeZzHD</t>
  </si>
  <si>
    <t>Zemo</t>
  </si>
  <si>
    <t>Knuddels</t>
  </si>
  <si>
    <t>krie</t>
  </si>
  <si>
    <t>damn.shit</t>
  </si>
  <si>
    <t>auran90</t>
  </si>
  <si>
    <t>einholz</t>
  </si>
  <si>
    <t>cheinrich</t>
  </si>
  <si>
    <t>flox1435</t>
  </si>
  <si>
    <t>Catenaccio</t>
  </si>
  <si>
    <t>Schmendrick</t>
  </si>
  <si>
    <t>tomfire</t>
  </si>
  <si>
    <t>optiik</t>
  </si>
  <si>
    <t>iHa1001</t>
  </si>
  <si>
    <t>Giagl99</t>
  </si>
  <si>
    <t>RainerInkler</t>
  </si>
  <si>
    <t>Karnalos</t>
  </si>
  <si>
    <t>lex70</t>
  </si>
  <si>
    <t>SerenaMoon</t>
  </si>
  <si>
    <t>Bifi24</t>
  </si>
  <si>
    <t>Blackhell1</t>
  </si>
  <si>
    <t>Mouna95</t>
  </si>
  <si>
    <t>Wodan48</t>
  </si>
  <si>
    <t>angryt3chnican</t>
  </si>
  <si>
    <t>Taneo</t>
  </si>
  <si>
    <t>Chocogasm</t>
  </si>
  <si>
    <t>ritter27</t>
  </si>
  <si>
    <t>FilipTheSlayer</t>
  </si>
  <si>
    <t>DonPromillo96</t>
  </si>
  <si>
    <t>Alex1708</t>
  </si>
  <si>
    <t>Danbil</t>
  </si>
  <si>
    <t>Thiroli</t>
  </si>
  <si>
    <t>LegionZeazy</t>
  </si>
  <si>
    <t>sirwatt</t>
  </si>
  <si>
    <t>Kettenkrieger</t>
  </si>
  <si>
    <t>Giro88</t>
  </si>
  <si>
    <t>ElCannabio</t>
  </si>
  <si>
    <t>Avenduil</t>
  </si>
  <si>
    <t>EasySnacks</t>
  </si>
  <si>
    <t>DirkDiggler</t>
  </si>
  <si>
    <t>Ceza</t>
  </si>
  <si>
    <t>wolledog</t>
  </si>
  <si>
    <t>oOIKillYou</t>
  </si>
  <si>
    <t>LockenHammer</t>
  </si>
  <si>
    <t>KingArthursBruder</t>
  </si>
  <si>
    <t>oOHaaseOo</t>
  </si>
  <si>
    <t>LordOp</t>
  </si>
  <si>
    <t>Chimpator1395</t>
  </si>
  <si>
    <t>timi</t>
  </si>
  <si>
    <t>.Kekshandel</t>
  </si>
  <si>
    <t>Xiretsa</t>
  </si>
  <si>
    <t>jablonski</t>
  </si>
  <si>
    <t>Werner</t>
  </si>
  <si>
    <t>Jorlen</t>
  </si>
  <si>
    <t>xSynC1992</t>
  </si>
  <si>
    <t>DickeLippe</t>
  </si>
  <si>
    <t>bondfan007</t>
  </si>
  <si>
    <t>robert47</t>
  </si>
  <si>
    <t>Nightwolf</t>
  </si>
  <si>
    <t>mshjm</t>
  </si>
  <si>
    <t>brauner</t>
  </si>
  <si>
    <t>Harry95</t>
  </si>
  <si>
    <t>Berserker1817</t>
  </si>
  <si>
    <t>Dumbstar</t>
  </si>
  <si>
    <t>DickerDon666</t>
  </si>
  <si>
    <t>Thekingisback93</t>
  </si>
  <si>
    <t>GmaesProu</t>
  </si>
  <si>
    <t>Kruger</t>
  </si>
  <si>
    <t>Nooo1</t>
  </si>
  <si>
    <t>Spanholz</t>
  </si>
  <si>
    <t>Darksider</t>
  </si>
  <si>
    <t>DomiZockt17</t>
  </si>
  <si>
    <t>Rosthagel</t>
  </si>
  <si>
    <t>Widi.13</t>
  </si>
  <si>
    <t>Mecco</t>
  </si>
  <si>
    <t>smudo84</t>
  </si>
  <si>
    <t>Hier.Kommt.Der.Neue.</t>
  </si>
  <si>
    <t>lollemax88</t>
  </si>
  <si>
    <t>jogy59</t>
  </si>
  <si>
    <t>zekicee</t>
  </si>
  <si>
    <t>takeuchi</t>
  </si>
  <si>
    <t>Test007</t>
  </si>
  <si>
    <t>Jacky</t>
  </si>
  <si>
    <t>gear.9</t>
  </si>
  <si>
    <t>j9a6n</t>
  </si>
  <si>
    <t>Schattensoul</t>
  </si>
  <si>
    <t>RpY93</t>
  </si>
  <si>
    <t>555RGNE</t>
  </si>
  <si>
    <t>User-LD</t>
  </si>
  <si>
    <t>stripThies</t>
  </si>
  <si>
    <t>46erOberweite</t>
  </si>
  <si>
    <t>onur3838</t>
  </si>
  <si>
    <t>Kapitano</t>
  </si>
  <si>
    <t>Pflanzenvolumen</t>
  </si>
  <si>
    <t>Wurstle</t>
  </si>
  <si>
    <t>SteveIRL07</t>
  </si>
  <si>
    <t>Businessfreak</t>
  </si>
  <si>
    <t>SirAmon</t>
  </si>
  <si>
    <t>Frontsoldat</t>
  </si>
  <si>
    <t>LordUhtred</t>
  </si>
  <si>
    <t>mulan1982</t>
  </si>
  <si>
    <t>A.M.F.</t>
  </si>
  <si>
    <t>Jacky.</t>
  </si>
  <si>
    <t>Tomate</t>
  </si>
  <si>
    <t>aNNN</t>
  </si>
  <si>
    <t>imaanoob</t>
  </si>
  <si>
    <t>Rondo</t>
  </si>
  <si>
    <t>jan110007</t>
  </si>
  <si>
    <t>Markooos</t>
  </si>
  <si>
    <t>MarcDerZerstoerer</t>
  </si>
  <si>
    <t>Blackstone-</t>
  </si>
  <si>
    <t>Verbrecher</t>
  </si>
  <si>
    <t>Felix1987</t>
  </si>
  <si>
    <t>boombot95</t>
  </si>
  <si>
    <t>Blue</t>
  </si>
  <si>
    <t>Rollo</t>
  </si>
  <si>
    <t>Drizzlek</t>
  </si>
  <si>
    <t>Zwingli</t>
  </si>
  <si>
    <t>Stefan16051</t>
  </si>
  <si>
    <t>leverkusen044</t>
  </si>
  <si>
    <t>hans777</t>
  </si>
  <si>
    <t>Raucus</t>
  </si>
  <si>
    <t>Schwertfisch</t>
  </si>
  <si>
    <t>CommanderAli</t>
  </si>
  <si>
    <t>Blechfurt</t>
  </si>
  <si>
    <t>morgana</t>
  </si>
  <si>
    <t>Torsten</t>
  </si>
  <si>
    <t>udolin</t>
  </si>
  <si>
    <t>rumen123</t>
  </si>
  <si>
    <t>Guadalajara</t>
  </si>
  <si>
    <t>Vinitu</t>
  </si>
  <si>
    <t>Idefixi</t>
  </si>
  <si>
    <t>SteppenWolf</t>
  </si>
  <si>
    <t>Quader</t>
  </si>
  <si>
    <t>chirox44</t>
  </si>
  <si>
    <t>HulkHodn</t>
  </si>
  <si>
    <t>TopalOsman</t>
  </si>
  <si>
    <t>SirBiedi</t>
  </si>
  <si>
    <t>Latusia</t>
  </si>
  <si>
    <t>Janischare28</t>
  </si>
  <si>
    <t>nikki</t>
  </si>
  <si>
    <t>CPTA1</t>
  </si>
  <si>
    <t>Bensch</t>
  </si>
  <si>
    <t>Flesch</t>
  </si>
  <si>
    <t>apptrex</t>
  </si>
  <si>
    <t>Zsoul</t>
  </si>
  <si>
    <t>Benutzername</t>
  </si>
  <si>
    <t>Panther</t>
  </si>
  <si>
    <t>basti263</t>
  </si>
  <si>
    <t>JoEck55</t>
  </si>
  <si>
    <t>kris99</t>
  </si>
  <si>
    <t>SirSilva</t>
  </si>
  <si>
    <t>schingken</t>
  </si>
  <si>
    <t>xxxLouisVuittonxxx</t>
  </si>
  <si>
    <t>Kinorushi12</t>
  </si>
  <si>
    <t>DarkForce9955</t>
  </si>
  <si>
    <t>QuaponiiX</t>
  </si>
  <si>
    <t>F8Vengeance</t>
  </si>
  <si>
    <t>Anthraxx07</t>
  </si>
  <si>
    <t>Germane1910</t>
  </si>
  <si>
    <t>Huskydrive</t>
  </si>
  <si>
    <t>Sunnyspeed</t>
  </si>
  <si>
    <t>timo</t>
  </si>
  <si>
    <t>Kandur</t>
  </si>
  <si>
    <t>Bastelschlumpf</t>
  </si>
  <si>
    <t>happymeal</t>
  </si>
  <si>
    <t>Danalina</t>
  </si>
  <si>
    <t>Einstein</t>
  </si>
  <si>
    <t>rome</t>
  </si>
  <si>
    <t>xXBuddhaXx</t>
  </si>
  <si>
    <t>Puschl</t>
  </si>
  <si>
    <t>Amy.</t>
  </si>
  <si>
    <t>harrypotterultras</t>
  </si>
  <si>
    <t>Ernsee</t>
  </si>
  <si>
    <t>dorschden</t>
  </si>
  <si>
    <t>UnknownUser1995</t>
  </si>
  <si>
    <t>Drago</t>
  </si>
  <si>
    <t>michael7777</t>
  </si>
  <si>
    <t>deintot5</t>
  </si>
  <si>
    <t>Lausi22</t>
  </si>
  <si>
    <t>arnold75</t>
  </si>
  <si>
    <t>S04Monk</t>
  </si>
  <si>
    <t>Hoschy</t>
  </si>
  <si>
    <t>thompson10</t>
  </si>
  <si>
    <t>rinni1976</t>
  </si>
  <si>
    <t>Niciboy</t>
  </si>
  <si>
    <t>Aust3r</t>
  </si>
  <si>
    <t>drvuudo</t>
  </si>
  <si>
    <t>Strizelino</t>
  </si>
  <si>
    <t>Svobby</t>
  </si>
  <si>
    <t>joker6666</t>
  </si>
  <si>
    <t>K1R3</t>
  </si>
  <si>
    <t>SiiLexX</t>
  </si>
  <si>
    <t>schoefer93S</t>
  </si>
  <si>
    <t>NeeOder</t>
  </si>
  <si>
    <t>Torbas05</t>
  </si>
  <si>
    <t>LadyGato</t>
  </si>
  <si>
    <t>mt383838</t>
  </si>
  <si>
    <t>nalp-niok</t>
  </si>
  <si>
    <t>Streex4242</t>
  </si>
  <si>
    <t>spiela</t>
  </si>
  <si>
    <t>Miho-Ne</t>
  </si>
  <si>
    <t>YungF</t>
  </si>
  <si>
    <t>Fida</t>
  </si>
  <si>
    <t>WhyAlwaysMe</t>
  </si>
  <si>
    <t>Tidus</t>
  </si>
  <si>
    <t>Farmer4Life</t>
  </si>
  <si>
    <t>derRalle</t>
  </si>
  <si>
    <t>Shedid21</t>
  </si>
  <si>
    <t>Raupe</t>
  </si>
  <si>
    <t>Nord3n88</t>
  </si>
  <si>
    <t>tp1904</t>
  </si>
  <si>
    <t>OmitBang</t>
  </si>
  <si>
    <t>MrBowties</t>
  </si>
  <si>
    <t>bnnysnntg</t>
  </si>
  <si>
    <t>korny</t>
  </si>
  <si>
    <t>bertl</t>
  </si>
  <si>
    <t>Haima07</t>
  </si>
  <si>
    <t>Lagger04</t>
  </si>
  <si>
    <t>Phildo1</t>
  </si>
  <si>
    <t>HaYzEnx</t>
  </si>
  <si>
    <t>Phipsor</t>
  </si>
  <si>
    <t>rocki6</t>
  </si>
  <si>
    <t>Whitebeard91</t>
  </si>
  <si>
    <t>DerBaertige</t>
  </si>
  <si>
    <t>Cleankan</t>
  </si>
  <si>
    <t>Albozz</t>
  </si>
  <si>
    <t>Casper13</t>
  </si>
  <si>
    <t>PerFekT</t>
  </si>
  <si>
    <t>IfkedOprah</t>
  </si>
  <si>
    <t>LordVarys</t>
  </si>
  <si>
    <t>arrpol</t>
  </si>
  <si>
    <t>VendoQuack</t>
  </si>
  <si>
    <t>Smaaax</t>
  </si>
  <si>
    <t>Irukandji</t>
  </si>
  <si>
    <t>Lukas9876</t>
  </si>
  <si>
    <t>Gunti</t>
  </si>
  <si>
    <t>Icee</t>
  </si>
  <si>
    <t>Grandpa</t>
  </si>
  <si>
    <t>DerderohneRammenkommt</t>
  </si>
  <si>
    <t>SimbaChibi</t>
  </si>
  <si>
    <t>marcel.kornes</t>
  </si>
  <si>
    <t>heegus89</t>
  </si>
  <si>
    <t>Kroko</t>
  </si>
  <si>
    <t>Passing</t>
  </si>
  <si>
    <t>Wladimir123</t>
  </si>
  <si>
    <t>telgo</t>
  </si>
  <si>
    <t>GrinGo</t>
  </si>
  <si>
    <t>luckum3000</t>
  </si>
  <si>
    <t>saltypalms</t>
  </si>
  <si>
    <t>michaelcom</t>
  </si>
  <si>
    <t>KingsAndQueens</t>
  </si>
  <si>
    <t>Olga24humorlos</t>
  </si>
  <si>
    <t>nizopruegel</t>
  </si>
  <si>
    <t>Stoffel21</t>
  </si>
  <si>
    <t>Praetorian-from-hell</t>
  </si>
  <si>
    <t>moonlight</t>
  </si>
  <si>
    <t>Bloodyroots84</t>
  </si>
  <si>
    <t>tyinade99</t>
  </si>
  <si>
    <t>Timo1205</t>
  </si>
  <si>
    <t>untoldplayer</t>
  </si>
  <si>
    <t>Sigmund</t>
  </si>
  <si>
    <t>Christen</t>
  </si>
  <si>
    <t>Bobfired</t>
  </si>
  <si>
    <t>skullbreaker</t>
  </si>
  <si>
    <t>ichbindermo</t>
  </si>
  <si>
    <t>edamike</t>
  </si>
  <si>
    <t>Northstorm</t>
  </si>
  <si>
    <t>Shooter</t>
  </si>
  <si>
    <t>Urangutan</t>
  </si>
  <si>
    <t>sirisambuca</t>
  </si>
  <si>
    <t>FvN1899</t>
  </si>
  <si>
    <t>niceguy</t>
  </si>
  <si>
    <t>Gang01</t>
  </si>
  <si>
    <t>Nod42</t>
  </si>
  <si>
    <t>LaCoste97</t>
  </si>
  <si>
    <t>Muska110</t>
  </si>
  <si>
    <t>stehbeisl3002</t>
  </si>
  <si>
    <t>boehmi</t>
  </si>
  <si>
    <t>Salmey18</t>
  </si>
  <si>
    <t>klari</t>
  </si>
  <si>
    <t>Loikaemie</t>
  </si>
  <si>
    <t>solo</t>
  </si>
  <si>
    <t>Koile</t>
  </si>
  <si>
    <t>Darthkitter</t>
  </si>
  <si>
    <t>DonFrodo</t>
  </si>
  <si>
    <t>elkernaso</t>
  </si>
  <si>
    <t>Editor</t>
  </si>
  <si>
    <t>Jauchebomber</t>
  </si>
  <si>
    <t>alternative9</t>
  </si>
  <si>
    <t>Traffy</t>
  </si>
  <si>
    <t>Tischhax</t>
  </si>
  <si>
    <t>FlashBang</t>
  </si>
  <si>
    <t>neondlegend</t>
  </si>
  <si>
    <t>ferdi1999</t>
  </si>
  <si>
    <t>spitzbube69</t>
  </si>
  <si>
    <t>Froggystyle12</t>
  </si>
  <si>
    <t>.007</t>
  </si>
  <si>
    <t>ZarAndrej</t>
  </si>
  <si>
    <t>IVVI</t>
  </si>
  <si>
    <t>Schmiddi</t>
  </si>
  <si>
    <t>Rentierhunter</t>
  </si>
  <si>
    <t>hatschib17</t>
  </si>
  <si>
    <t>Klasi</t>
  </si>
  <si>
    <t>CON4CHY</t>
  </si>
  <si>
    <t>niqqo</t>
  </si>
  <si>
    <t>nobbydrawelli1</t>
  </si>
  <si>
    <t>Rogler13</t>
  </si>
  <si>
    <t>KingKasper</t>
  </si>
  <si>
    <t>Nachtspecht</t>
  </si>
  <si>
    <t>lucki274</t>
  </si>
  <si>
    <t>BlaackViper</t>
  </si>
  <si>
    <t>Fr33styler</t>
  </si>
  <si>
    <t>Lyseah</t>
  </si>
  <si>
    <t>Prayyer</t>
  </si>
  <si>
    <t>Till-T2201</t>
  </si>
  <si>
    <t>AtesKangal</t>
  </si>
  <si>
    <t>paddyani</t>
  </si>
  <si>
    <t>Biduu</t>
  </si>
  <si>
    <t>Franzi2112</t>
  </si>
  <si>
    <t>Clank</t>
  </si>
  <si>
    <t>naddi4711</t>
  </si>
  <si>
    <t>xczeus</t>
  </si>
  <si>
    <t>CONDOR</t>
  </si>
  <si>
    <t>waldikokst</t>
  </si>
  <si>
    <t>Khal-Drago</t>
  </si>
  <si>
    <t>ZenLuffy</t>
  </si>
  <si>
    <t>GammelFaul</t>
  </si>
  <si>
    <t>gruber</t>
  </si>
  <si>
    <t>iaquinta.</t>
  </si>
  <si>
    <t>Reza</t>
  </si>
  <si>
    <t>KarateSchinken</t>
  </si>
  <si>
    <t>Metaphyse</t>
  </si>
  <si>
    <t>gshamburg</t>
  </si>
  <si>
    <t>TomHardy</t>
  </si>
  <si>
    <t>save.maschine</t>
  </si>
  <si>
    <t>OpiWinston</t>
  </si>
  <si>
    <t>Bateman</t>
  </si>
  <si>
    <t>awruK</t>
  </si>
  <si>
    <t>Toto999</t>
  </si>
  <si>
    <t>Kekse</t>
  </si>
  <si>
    <t>Klaeyjaehs</t>
  </si>
  <si>
    <t>pl4yst4ti0n4</t>
  </si>
  <si>
    <t>UG5593</t>
  </si>
  <si>
    <t>ineedwood</t>
  </si>
  <si>
    <t>DerEroberer</t>
  </si>
  <si>
    <t>BlackerPearl</t>
  </si>
  <si>
    <t>philandfred</t>
  </si>
  <si>
    <t>Longturner</t>
  </si>
  <si>
    <t>pati89</t>
  </si>
  <si>
    <t>thebob95</t>
  </si>
  <si>
    <t>Gabriana</t>
  </si>
  <si>
    <t>Nachtwache</t>
  </si>
  <si>
    <t>Daniel03</t>
  </si>
  <si>
    <t>rippe123</t>
  </si>
  <si>
    <t>eXtreme89</t>
  </si>
  <si>
    <t>justpeet</t>
  </si>
  <si>
    <t>JB007</t>
  </si>
  <si>
    <t>imschn</t>
  </si>
  <si>
    <t>kiddykorn</t>
  </si>
  <si>
    <t>Killerfisch</t>
  </si>
  <si>
    <t>xihu</t>
  </si>
  <si>
    <t>zocker18954</t>
  </si>
  <si>
    <t>Zoapy</t>
  </si>
  <si>
    <t>Schlaupi</t>
  </si>
  <si>
    <t>stark2019</t>
  </si>
  <si>
    <t>Exito</t>
  </si>
  <si>
    <t>Kitz</t>
  </si>
  <si>
    <t>Oberbayernduo</t>
  </si>
  <si>
    <t>svudro</t>
  </si>
  <si>
    <t>PARAsympathikus</t>
  </si>
  <si>
    <t>FeuerfaustSabo</t>
  </si>
  <si>
    <t>nikiz</t>
  </si>
  <si>
    <t>OnkelPhil</t>
  </si>
  <si>
    <t>Nikimanija</t>
  </si>
  <si>
    <t>Cortex</t>
  </si>
  <si>
    <t>Olegesh</t>
  </si>
  <si>
    <t>Bolzer01</t>
  </si>
  <si>
    <t>Mieschekasche</t>
  </si>
  <si>
    <t>Toaster</t>
  </si>
  <si>
    <t>BluesRock</t>
  </si>
  <si>
    <t>tansis99</t>
  </si>
  <si>
    <t>Fr34k</t>
  </si>
  <si>
    <t>Owain</t>
  </si>
  <si>
    <t>x-tus</t>
  </si>
  <si>
    <t>Spukulus</t>
  </si>
  <si>
    <t>Ribra</t>
  </si>
  <si>
    <t>pizza1804</t>
  </si>
  <si>
    <t>Bangbaby</t>
  </si>
  <si>
    <t>MINDBASHER</t>
  </si>
  <si>
    <t>Darki24</t>
  </si>
  <si>
    <t>wigger224</t>
  </si>
  <si>
    <t>Doepp98</t>
  </si>
  <si>
    <t>TheDarkside</t>
  </si>
  <si>
    <t>Hektorrebell</t>
  </si>
  <si>
    <t>GoffyAufCrack</t>
  </si>
  <si>
    <t>Bohnski</t>
  </si>
  <si>
    <t>Ying</t>
  </si>
  <si>
    <t>Yang</t>
  </si>
  <si>
    <t>T-Eazy</t>
  </si>
  <si>
    <t>cremerius</t>
  </si>
  <si>
    <t>Wurstwassersorbet</t>
  </si>
  <si>
    <t>alican22233</t>
  </si>
  <si>
    <t>BestVayne</t>
  </si>
  <si>
    <t>sirandy</t>
  </si>
  <si>
    <t>Pullover</t>
  </si>
  <si>
    <t>Sk0rpi</t>
  </si>
  <si>
    <t>soeren-fried</t>
  </si>
  <si>
    <t>marty345</t>
  </si>
  <si>
    <t>RoterPit</t>
  </si>
  <si>
    <t>holz</t>
  </si>
  <si>
    <t>dirtymonkey</t>
  </si>
  <si>
    <t>GTRixe</t>
  </si>
  <si>
    <t>DeleteFromW168</t>
  </si>
  <si>
    <t>KesLan</t>
  </si>
  <si>
    <t>pferdekieferabc</t>
  </si>
  <si>
    <t>Zornatus</t>
  </si>
  <si>
    <t>Gerdi55</t>
  </si>
  <si>
    <t>VikG</t>
  </si>
  <si>
    <t>Chrisob</t>
  </si>
  <si>
    <t>Xadertim</t>
  </si>
  <si>
    <t>Pegasus</t>
  </si>
  <si>
    <t>scotty191</t>
  </si>
  <si>
    <t>Mqce</t>
  </si>
  <si>
    <t>ciniminik</t>
  </si>
  <si>
    <t>loddum</t>
  </si>
  <si>
    <t>Hopfensack</t>
  </si>
  <si>
    <t>ultimus8</t>
  </si>
  <si>
    <t>Kri1003</t>
  </si>
  <si>
    <t>nudel-Boxx</t>
  </si>
  <si>
    <t>cheekynuts</t>
  </si>
  <si>
    <t>Boehseronkel</t>
  </si>
  <si>
    <t>strupi</t>
  </si>
  <si>
    <t>cyber100</t>
  </si>
  <si>
    <t>Morduk666</t>
  </si>
  <si>
    <t>Gilan01</t>
  </si>
  <si>
    <t>Timgl97</t>
  </si>
  <si>
    <t>flingi</t>
  </si>
  <si>
    <t>Samwize</t>
  </si>
  <si>
    <t>longus18</t>
  </si>
  <si>
    <t>Frodont</t>
  </si>
  <si>
    <t>FlodoBeutlin</t>
  </si>
  <si>
    <t>oPTC</t>
  </si>
  <si>
    <t>ElliGT</t>
  </si>
  <si>
    <t>Pasco1</t>
  </si>
  <si>
    <t>dome17</t>
  </si>
  <si>
    <t>Porschi1991</t>
  </si>
  <si>
    <t>sins</t>
  </si>
  <si>
    <t>seu-madruga</t>
  </si>
  <si>
    <t>Feldqualle</t>
  </si>
  <si>
    <t>Niggis</t>
  </si>
  <si>
    <t>Why-SoS-erious</t>
  </si>
  <si>
    <t>ERZmarter</t>
  </si>
  <si>
    <t>capt.krum</t>
  </si>
  <si>
    <t>LordDumpfnase</t>
  </si>
  <si>
    <t>Domi-ubb</t>
  </si>
  <si>
    <t>wusis</t>
  </si>
  <si>
    <t>Pasio94</t>
  </si>
  <si>
    <t>Just4Fun</t>
  </si>
  <si>
    <t>Soldierofdeath</t>
  </si>
  <si>
    <t>Phime</t>
  </si>
  <si>
    <t>Chroneston</t>
  </si>
  <si>
    <t>condottiero</t>
  </si>
  <si>
    <t>Babbe</t>
  </si>
  <si>
    <t>Esylum</t>
  </si>
  <si>
    <t>michelle306</t>
  </si>
  <si>
    <t>meusamm</t>
  </si>
  <si>
    <t>Wandersocke3000</t>
  </si>
  <si>
    <t>Seeburg</t>
  </si>
  <si>
    <t>partytoy</t>
  </si>
  <si>
    <t>xxx69xxx</t>
  </si>
  <si>
    <t>Marlon</t>
  </si>
  <si>
    <t>Niggi97</t>
  </si>
  <si>
    <t>Nilser</t>
  </si>
  <si>
    <t>Beagle73</t>
  </si>
  <si>
    <t>Wallbraker</t>
  </si>
  <si>
    <t>Minidekus92</t>
  </si>
  <si>
    <t>Ehrenbeton</t>
  </si>
  <si>
    <t>Babler007</t>
  </si>
  <si>
    <t>BlackPanther411</t>
  </si>
  <si>
    <t>DeMaK</t>
  </si>
  <si>
    <t>RealPegasus</t>
  </si>
  <si>
    <t>Equinox</t>
  </si>
  <si>
    <t>Mortes</t>
  </si>
  <si>
    <t>Dr.Mohy</t>
  </si>
  <si>
    <t>Sille56</t>
  </si>
  <si>
    <t>Katinz</t>
  </si>
  <si>
    <t>GoldenkiNNz</t>
  </si>
  <si>
    <t>Lady-Mercedes</t>
  </si>
  <si>
    <t>odin1977</t>
  </si>
  <si>
    <t>SliXz</t>
  </si>
  <si>
    <t>KingNorbi</t>
  </si>
  <si>
    <t>MomoMerge</t>
  </si>
  <si>
    <t>Avenger</t>
  </si>
  <si>
    <t>XxXSquadXxX</t>
  </si>
  <si>
    <t>Mucks</t>
  </si>
  <si>
    <t>ralfiii94</t>
  </si>
  <si>
    <t>B4C1</t>
  </si>
  <si>
    <t>Loewenklaus</t>
  </si>
  <si>
    <t>Pollux028</t>
  </si>
  <si>
    <t>TatusIsGod</t>
  </si>
  <si>
    <t>SrgKoal</t>
  </si>
  <si>
    <t>Archibow</t>
  </si>
  <si>
    <t>Ohaio18</t>
  </si>
  <si>
    <t>DSEhrenmann93</t>
  </si>
  <si>
    <t>XrelentlessX</t>
  </si>
  <si>
    <t>Imochdiplatt</t>
  </si>
  <si>
    <t>slinshady</t>
  </si>
  <si>
    <t>Aworks</t>
  </si>
  <si>
    <t>Boomray</t>
  </si>
  <si>
    <t>Devilbeatz</t>
  </si>
  <si>
    <t>oViruz</t>
  </si>
  <si>
    <t>Sniper-Soldier</t>
  </si>
  <si>
    <t>Foureyes</t>
  </si>
  <si>
    <t>Storchenschnabel</t>
  </si>
  <si>
    <t>tom00saltu</t>
  </si>
  <si>
    <t>maik07</t>
  </si>
  <si>
    <t>xlVeritas</t>
  </si>
  <si>
    <t>CpTFreeZz</t>
  </si>
  <si>
    <t>hinckstar</t>
  </si>
  <si>
    <t>Chamsif</t>
  </si>
  <si>
    <t>Dohan</t>
  </si>
  <si>
    <t>Lanxon</t>
  </si>
  <si>
    <t>UniqueTio</t>
  </si>
  <si>
    <t>nic214</t>
  </si>
  <si>
    <t>MasterRaller</t>
  </si>
  <si>
    <t>thelittle</t>
  </si>
  <si>
    <t>HannesDe</t>
  </si>
  <si>
    <t>MJ267-</t>
  </si>
  <si>
    <t>Paperkid</t>
  </si>
  <si>
    <t>diskustheone</t>
  </si>
  <si>
    <t>xTwitch</t>
  </si>
  <si>
    <t>SerbianBoss</t>
  </si>
  <si>
    <t>Loka1s</t>
  </si>
  <si>
    <t>Mouschder</t>
  </si>
  <si>
    <t>Knoten</t>
  </si>
  <si>
    <t>Potm4ever</t>
  </si>
  <si>
    <t>osse</t>
  </si>
  <si>
    <t>deniclu</t>
  </si>
  <si>
    <t>Asterix67</t>
  </si>
  <si>
    <t>melmel</t>
  </si>
  <si>
    <t>Actionpunzel</t>
  </si>
  <si>
    <t>Runenmagier</t>
  </si>
  <si>
    <t>lxmk</t>
  </si>
  <si>
    <t>Melbie</t>
  </si>
  <si>
    <t>Mellbie</t>
  </si>
  <si>
    <t>Asterix9969</t>
  </si>
  <si>
    <t>Rob961004</t>
  </si>
  <si>
    <t>tom1957</t>
  </si>
  <si>
    <t>Bl00Dy</t>
  </si>
  <si>
    <t>Chrisi117</t>
  </si>
  <si>
    <t>Leinad1998</t>
  </si>
  <si>
    <t>Oldnixo</t>
  </si>
  <si>
    <t>Ellalonna</t>
  </si>
  <si>
    <t>pierce21686</t>
  </si>
  <si>
    <t>Schneewitchen</t>
  </si>
  <si>
    <t>Beatdown7211</t>
  </si>
  <si>
    <t>Freibier4alle</t>
  </si>
  <si>
    <t>Rinasu</t>
  </si>
  <si>
    <t>Gero1909</t>
  </si>
  <si>
    <t>Phonix11</t>
  </si>
  <si>
    <t>Sunako</t>
  </si>
  <si>
    <t>Condoriano</t>
  </si>
  <si>
    <t>Calle2163</t>
  </si>
  <si>
    <t>ichbinsnur</t>
  </si>
  <si>
    <t>shroominger</t>
  </si>
  <si>
    <t>Eikos1</t>
  </si>
  <si>
    <t>adamweisshaupt</t>
  </si>
  <si>
    <t>vester1</t>
  </si>
  <si>
    <t>fclukki</t>
  </si>
  <si>
    <t>MaxlBu</t>
  </si>
  <si>
    <t>Baalrogh</t>
  </si>
  <si>
    <t>MrTix</t>
  </si>
  <si>
    <t>BeNNeTheOne</t>
  </si>
  <si>
    <t>PeaceIsTheWay</t>
  </si>
  <si>
    <t>pascal96</t>
  </si>
  <si>
    <t>Madara.</t>
  </si>
  <si>
    <t>Schrooom</t>
  </si>
  <si>
    <t>c0sch</t>
  </si>
  <si>
    <t>Fischi</t>
  </si>
  <si>
    <t>Gemini13</t>
  </si>
  <si>
    <t>THEGOO</t>
  </si>
  <si>
    <t>Alex960714</t>
  </si>
  <si>
    <t>DerDon</t>
  </si>
  <si>
    <t>GrummelJan</t>
  </si>
  <si>
    <t>flohchen</t>
  </si>
  <si>
    <t>G384</t>
  </si>
  <si>
    <t>MCBlood</t>
  </si>
  <si>
    <t>VeYsooo</t>
  </si>
  <si>
    <t>Flexen93</t>
  </si>
  <si>
    <t>Sgt.Woody</t>
  </si>
  <si>
    <t>Killerbox111</t>
  </si>
  <si>
    <t>Andre-He97</t>
  </si>
  <si>
    <t>lejuice</t>
  </si>
  <si>
    <t>JadeDrachen</t>
  </si>
  <si>
    <t>ClitCommander</t>
  </si>
  <si>
    <t>zzer</t>
  </si>
  <si>
    <t>Krieger3</t>
  </si>
  <si>
    <t>KingXayya</t>
  </si>
  <si>
    <t>Karlsen</t>
  </si>
  <si>
    <t>Etstargamer</t>
  </si>
  <si>
    <t>Denkar</t>
  </si>
  <si>
    <t>baumoosa</t>
  </si>
  <si>
    <t>Error418</t>
  </si>
  <si>
    <t>MATMAR</t>
  </si>
  <si>
    <t>ricky008</t>
  </si>
  <si>
    <t>Belvedere</t>
  </si>
  <si>
    <t>Ralfinator990</t>
  </si>
  <si>
    <t>Kampfnarbe2</t>
  </si>
  <si>
    <t>Jetztbistdran</t>
  </si>
  <si>
    <t>Flo1995</t>
  </si>
  <si>
    <t>frostibs</t>
  </si>
  <si>
    <t>icomeiwin</t>
  </si>
  <si>
    <t>Whisper</t>
  </si>
  <si>
    <t>beda35</t>
  </si>
  <si>
    <t>Benutztername</t>
  </si>
  <si>
    <t>fubu1501</t>
  </si>
  <si>
    <t>Busted5</t>
  </si>
  <si>
    <t>giulu</t>
  </si>
  <si>
    <t>philipp206</t>
  </si>
  <si>
    <t>Kackvogel</t>
  </si>
  <si>
    <t>Jerry3005</t>
  </si>
  <si>
    <t>2LowNico</t>
  </si>
  <si>
    <t>Viagra</t>
  </si>
  <si>
    <t>Sweet.Psycho</t>
  </si>
  <si>
    <t>DrTheo</t>
  </si>
  <si>
    <t>Flersfanboy</t>
  </si>
  <si>
    <t>BK42</t>
  </si>
  <si>
    <t>DrOglum</t>
  </si>
  <si>
    <t>-Katchan-</t>
  </si>
  <si>
    <t>Arthurdasalpaka</t>
  </si>
  <si>
    <t>Lucille91</t>
  </si>
  <si>
    <t>Mostuff86</t>
  </si>
  <si>
    <t>JeSa</t>
  </si>
  <si>
    <t>slawik</t>
  </si>
  <si>
    <t>Arrogumz</t>
  </si>
  <si>
    <t>foxracing</t>
  </si>
  <si>
    <t>Soulfood90</t>
  </si>
  <si>
    <t>TriebVer</t>
  </si>
  <si>
    <t>hopfen65</t>
  </si>
  <si>
    <t>Kampfzwerg1979</t>
  </si>
  <si>
    <t>lappe374</t>
  </si>
  <si>
    <t>Avkin</t>
  </si>
  <si>
    <t>beerbe</t>
  </si>
  <si>
    <t>Schatten99</t>
  </si>
  <si>
    <t>HisDudeness</t>
  </si>
  <si>
    <t>PreY</t>
  </si>
  <si>
    <t>Rengeldengel86</t>
  </si>
  <si>
    <t>dieschlaue64</t>
  </si>
  <si>
    <t>wende</t>
  </si>
  <si>
    <t>humor6</t>
  </si>
  <si>
    <t>AxPass</t>
  </si>
  <si>
    <t>Schermo</t>
  </si>
  <si>
    <t>Siberia</t>
  </si>
  <si>
    <t>BlackCobra88</t>
  </si>
  <si>
    <t>Waya</t>
  </si>
  <si>
    <t>cptchile</t>
  </si>
  <si>
    <t>bergerbe</t>
  </si>
  <si>
    <t>Dani91</t>
  </si>
  <si>
    <t>Christians4</t>
  </si>
  <si>
    <t>Phil87</t>
  </si>
  <si>
    <t>blubisback</t>
  </si>
  <si>
    <t>Michi160</t>
  </si>
  <si>
    <t>ErichderBeisser</t>
  </si>
  <si>
    <t>Davinces</t>
  </si>
  <si>
    <t>RAHOWA88</t>
  </si>
  <si>
    <t>UpNextLevel</t>
  </si>
  <si>
    <t>king1307</t>
  </si>
  <si>
    <t>Lucy-fer</t>
  </si>
  <si>
    <t>Ezpzlemonsquishy</t>
  </si>
  <si>
    <t>Smaragd666</t>
  </si>
  <si>
    <t>DerKlausKleber</t>
  </si>
  <si>
    <t>Quatle</t>
  </si>
  <si>
    <t>Michinhio</t>
  </si>
  <si>
    <t>AffeMitWaffe</t>
  </si>
  <si>
    <t>KarateKurt</t>
  </si>
  <si>
    <t>Zschau</t>
  </si>
  <si>
    <t>Kulturbanause</t>
  </si>
  <si>
    <t>KingHaajoo</t>
  </si>
  <si>
    <t>Trapadomi</t>
  </si>
  <si>
    <t>olliwisl</t>
  </si>
  <si>
    <t>Sven-01</t>
  </si>
  <si>
    <t>Jeff3191</t>
  </si>
  <si>
    <t>henf</t>
  </si>
  <si>
    <t>FranzOz</t>
  </si>
  <si>
    <t>Knjas</t>
  </si>
  <si>
    <t>pazi2709</t>
  </si>
  <si>
    <t>schmausi</t>
  </si>
  <si>
    <t>longus</t>
  </si>
  <si>
    <t>WasabiLimited</t>
  </si>
  <si>
    <t>Adinon</t>
  </si>
  <si>
    <t>FraWag</t>
  </si>
  <si>
    <t>Forbi</t>
  </si>
  <si>
    <t>timxcr7</t>
  </si>
  <si>
    <t>Bjonity</t>
  </si>
  <si>
    <t>Pfanner</t>
  </si>
  <si>
    <t>Yellowmaha</t>
  </si>
  <si>
    <t>Austrolix</t>
  </si>
  <si>
    <t>BigMorty</t>
  </si>
  <si>
    <t>J3tP4ck93</t>
  </si>
  <si>
    <t>Aufguss582</t>
  </si>
  <si>
    <t>Sa-Men</t>
  </si>
  <si>
    <t>dadalu199</t>
  </si>
  <si>
    <t>Buma</t>
  </si>
  <si>
    <t>Daya</t>
  </si>
  <si>
    <t>BlackEspadaz</t>
  </si>
  <si>
    <t>Germane147</t>
  </si>
  <si>
    <t>RXCK</t>
  </si>
  <si>
    <t>miezunder12</t>
  </si>
  <si>
    <t>Valak</t>
  </si>
  <si>
    <t>RuShApFeL</t>
  </si>
  <si>
    <t>mnzke</t>
  </si>
  <si>
    <t>TyberZann</t>
  </si>
  <si>
    <t>Jacky-Anza</t>
  </si>
  <si>
    <t>Walter011</t>
  </si>
  <si>
    <t>Ghost.Apokalypto</t>
  </si>
  <si>
    <t>DarkFighter</t>
  </si>
  <si>
    <t>TJane13</t>
  </si>
  <si>
    <t>Grounded</t>
  </si>
  <si>
    <t>camike</t>
  </si>
  <si>
    <t>MD1999</t>
  </si>
  <si>
    <t>OttiAUT</t>
  </si>
  <si>
    <t>lucymarvin</t>
  </si>
  <si>
    <t>rallef69</t>
  </si>
  <si>
    <t>bubiwa13</t>
  </si>
  <si>
    <t>Hydrata</t>
  </si>
  <si>
    <t>Raifge</t>
  </si>
  <si>
    <t>Juubi</t>
  </si>
  <si>
    <t>RambaJoe</t>
  </si>
  <si>
    <t>ralle912</t>
  </si>
  <si>
    <t>Paulchen35</t>
  </si>
  <si>
    <t>Karlos3</t>
  </si>
  <si>
    <t>Navarro</t>
  </si>
  <si>
    <t>StayCool</t>
  </si>
  <si>
    <t>Leuchter54</t>
  </si>
  <si>
    <t>bOne</t>
  </si>
  <si>
    <t>Gustav11012</t>
  </si>
  <si>
    <t>PrinceLahey</t>
  </si>
  <si>
    <t>Huffi95</t>
  </si>
  <si>
    <t>Spikie</t>
  </si>
  <si>
    <t>Muddii</t>
  </si>
  <si>
    <t>Baron-Zimtstern</t>
  </si>
  <si>
    <t>Tanathas</t>
  </si>
  <si>
    <t>GelatoChico</t>
  </si>
  <si>
    <t>klaam24</t>
  </si>
  <si>
    <t>Drachengott</t>
  </si>
  <si>
    <t>Alexanderdererste</t>
  </si>
  <si>
    <t>Nagelfar</t>
  </si>
  <si>
    <t>cyrus79</t>
  </si>
  <si>
    <t>KidCudi</t>
  </si>
  <si>
    <t>Onassis</t>
  </si>
  <si>
    <t>Lettay</t>
  </si>
  <si>
    <t>kapuzo</t>
  </si>
  <si>
    <t>xXpsychowelleXx</t>
  </si>
  <si>
    <t>thedarklordrises</t>
  </si>
  <si>
    <t>Nikut</t>
  </si>
  <si>
    <t>Kaisers</t>
  </si>
  <si>
    <t>Fettkopf96</t>
  </si>
  <si>
    <t>LadyHara</t>
  </si>
  <si>
    <t>sascha228</t>
  </si>
  <si>
    <t>Thori36</t>
  </si>
  <si>
    <t>Kenus</t>
  </si>
  <si>
    <t>diffusor</t>
  </si>
  <si>
    <t>Tausspaul</t>
  </si>
  <si>
    <t>snakem</t>
  </si>
  <si>
    <t>Mr.Kek</t>
  </si>
  <si>
    <t>Roman77</t>
  </si>
  <si>
    <t>Excile</t>
  </si>
  <si>
    <t>Dammei64</t>
  </si>
  <si>
    <t>Rhobar</t>
  </si>
  <si>
    <t>YOUNGGOD</t>
  </si>
  <si>
    <t>Ruffy61</t>
  </si>
  <si>
    <t>Akt1v</t>
  </si>
  <si>
    <t>Jonas617</t>
  </si>
  <si>
    <t>V3RO</t>
  </si>
  <si>
    <t>maudi</t>
  </si>
  <si>
    <t>KINGJURI</t>
  </si>
  <si>
    <t>sirpeter</t>
  </si>
  <si>
    <t>Daxin</t>
  </si>
  <si>
    <t>BurnMofo</t>
  </si>
  <si>
    <t>Peterdettman</t>
  </si>
  <si>
    <t>tacki</t>
  </si>
  <si>
    <t>Timo99</t>
  </si>
  <si>
    <t>Iscoo</t>
  </si>
  <si>
    <t>derBabadook</t>
  </si>
  <si>
    <t>Dany6</t>
  </si>
  <si>
    <t>Felix112</t>
  </si>
  <si>
    <t>Naddel37</t>
  </si>
  <si>
    <t>Janoru</t>
  </si>
  <si>
    <t>Zabum</t>
  </si>
  <si>
    <t>Ioreth</t>
  </si>
  <si>
    <t>PeaceBRo159</t>
  </si>
  <si>
    <t>Killstealer</t>
  </si>
  <si>
    <t>chrissle</t>
  </si>
  <si>
    <t>raugh-raugh</t>
  </si>
  <si>
    <t>Hoaler91</t>
  </si>
  <si>
    <t>MessiG420</t>
  </si>
  <si>
    <t>Timotheus23</t>
  </si>
  <si>
    <t>plp51</t>
  </si>
  <si>
    <t>saynotoslow</t>
  </si>
  <si>
    <t>Himaster</t>
  </si>
  <si>
    <t>Mr.Frost</t>
  </si>
  <si>
    <t>Xain</t>
  </si>
  <si>
    <t>azog83</t>
  </si>
  <si>
    <t>TommyB</t>
  </si>
  <si>
    <t>yeter001</t>
  </si>
  <si>
    <t>Ljubix98</t>
  </si>
  <si>
    <t>Freddy-ue</t>
  </si>
  <si>
    <t>Dargoth</t>
  </si>
  <si>
    <t>Boiler</t>
  </si>
  <si>
    <t>Simonika</t>
  </si>
  <si>
    <t>littleswiss</t>
  </si>
  <si>
    <t>Romero</t>
  </si>
  <si>
    <t>SupremeMeanFightMachine</t>
  </si>
  <si>
    <t>SoWag</t>
  </si>
  <si>
    <t>Nikey20</t>
  </si>
  <si>
    <t>senorita</t>
  </si>
  <si>
    <t>Stipce98</t>
  </si>
  <si>
    <t>AlfDerVierzweinullste</t>
  </si>
  <si>
    <t>PascalTV</t>
  </si>
  <si>
    <t>BlauerOsterhase</t>
  </si>
  <si>
    <t>gtdtrhtrj</t>
  </si>
  <si>
    <t>juipo</t>
  </si>
  <si>
    <t>jukli</t>
  </si>
  <si>
    <t>eXistence</t>
  </si>
  <si>
    <t>jahginko</t>
  </si>
  <si>
    <t>aRucXi</t>
  </si>
  <si>
    <t>EyLeude</t>
  </si>
  <si>
    <t>rmanu77</t>
  </si>
  <si>
    <t>IEsTa</t>
  </si>
  <si>
    <t>BobKelsow</t>
  </si>
  <si>
    <t>DerKrasse</t>
  </si>
  <si>
    <t>kingbobby</t>
  </si>
  <si>
    <t>Timmsi</t>
  </si>
  <si>
    <t>schlecri</t>
  </si>
  <si>
    <t>sheldorf</t>
  </si>
  <si>
    <t>Ciel</t>
  </si>
  <si>
    <t>ali7474</t>
  </si>
  <si>
    <t>Calla</t>
  </si>
  <si>
    <t>Old-ECKES</t>
  </si>
  <si>
    <t>Raw-Instinct</t>
  </si>
  <si>
    <t>ForRealistic</t>
  </si>
  <si>
    <t>Howie1504</t>
  </si>
  <si>
    <t>Ewiger-Strolch</t>
  </si>
  <si>
    <t>Rageshot</t>
  </si>
  <si>
    <t>Simsala7</t>
  </si>
  <si>
    <t>Emul63</t>
  </si>
  <si>
    <t>dadaone</t>
  </si>
  <si>
    <t>Berserker18</t>
  </si>
  <si>
    <t>DaGschupfteFerdl</t>
  </si>
  <si>
    <t>harleqin</t>
  </si>
  <si>
    <t>DarkDecipio</t>
  </si>
  <si>
    <t>Rauchi0077</t>
  </si>
  <si>
    <t>ToRRssTeN</t>
  </si>
  <si>
    <t>affenstuhl</t>
  </si>
  <si>
    <t>Dorina</t>
  </si>
  <si>
    <t>00Thomas00</t>
  </si>
  <si>
    <t>brotzeit</t>
  </si>
  <si>
    <t>twist</t>
  </si>
  <si>
    <t>Guenter61</t>
  </si>
  <si>
    <t>Ahriy</t>
  </si>
  <si>
    <t>Rave2DaGrave</t>
  </si>
  <si>
    <t>Zuckerfritte</t>
  </si>
  <si>
    <t>Timbus</t>
  </si>
  <si>
    <t>Rambo1289</t>
  </si>
  <si>
    <t>Oix2020</t>
  </si>
  <si>
    <t>Direflake</t>
  </si>
  <si>
    <t>Remoge</t>
  </si>
  <si>
    <t>.pueblo.</t>
  </si>
  <si>
    <t>hermann13</t>
  </si>
  <si>
    <t>Herrundmeister</t>
  </si>
  <si>
    <t>RustyNail</t>
  </si>
  <si>
    <t>depp007</t>
  </si>
  <si>
    <t>Blacky94</t>
  </si>
  <si>
    <t>Argeast</t>
  </si>
  <si>
    <t>bluechick</t>
  </si>
  <si>
    <t>Reborning</t>
  </si>
  <si>
    <t>Assassin9205</t>
  </si>
  <si>
    <t>ramppioriginal</t>
  </si>
  <si>
    <t>Burgrammler</t>
  </si>
  <si>
    <t>Chrissize</t>
  </si>
  <si>
    <t>CeeJayzn</t>
  </si>
  <si>
    <t>Micha1188</t>
  </si>
  <si>
    <t>xseverin</t>
  </si>
  <si>
    <t>amonidas</t>
  </si>
  <si>
    <t>plsdontbanme</t>
  </si>
  <si>
    <t>gcz025</t>
  </si>
  <si>
    <t>DunklerRitter</t>
  </si>
  <si>
    <t>Disemborg1</t>
  </si>
  <si>
    <t>paulschluss</t>
  </si>
  <si>
    <t>Braham</t>
  </si>
  <si>
    <t>Garten1210</t>
  </si>
  <si>
    <t>xTrickOnMe</t>
  </si>
  <si>
    <t>cecke95</t>
  </si>
  <si>
    <t>Marek1910</t>
  </si>
  <si>
    <t>Schnattchen</t>
  </si>
  <si>
    <t>oitzingerbua</t>
  </si>
  <si>
    <t>gameking53</t>
  </si>
  <si>
    <t>alrie</t>
  </si>
  <si>
    <t>Xeonoex</t>
  </si>
  <si>
    <t>HauDiNei</t>
  </si>
  <si>
    <t>georg60</t>
  </si>
  <si>
    <t>Paulipaul</t>
  </si>
  <si>
    <t>Pnemesis93</t>
  </si>
  <si>
    <t>fabiosi</t>
  </si>
  <si>
    <t>RadlerIstKeinBier</t>
  </si>
  <si>
    <t>Predator3k5</t>
  </si>
  <si>
    <t>knight0014</t>
  </si>
  <si>
    <t>ProudBy</t>
  </si>
  <si>
    <t>Schengor</t>
  </si>
  <si>
    <t>Kuruk</t>
  </si>
  <si>
    <t>Holzmichl</t>
  </si>
  <si>
    <t>DarkDevil93</t>
  </si>
  <si>
    <t>Nudelsalat</t>
  </si>
  <si>
    <t>coek197</t>
  </si>
  <si>
    <t>hausei</t>
  </si>
  <si>
    <t>quaison</t>
  </si>
  <si>
    <t>gor-sensei</t>
  </si>
  <si>
    <t>Lordkuks69</t>
  </si>
  <si>
    <t>Blitzangriff</t>
  </si>
  <si>
    <t>m3lon3</t>
  </si>
  <si>
    <t>Pazzo</t>
  </si>
  <si>
    <t>HDKartoffelsalat</t>
  </si>
  <si>
    <t>Eggi1301</t>
  </si>
  <si>
    <t>Lois97</t>
  </si>
  <si>
    <t>Nexo96</t>
  </si>
  <si>
    <t>captainyc</t>
  </si>
  <si>
    <t>haui04</t>
  </si>
  <si>
    <t>Perser-Krieger</t>
  </si>
  <si>
    <t>MatejDzg</t>
  </si>
  <si>
    <t>JustinKoenig</t>
  </si>
  <si>
    <t>NarrderZeit</t>
  </si>
  <si>
    <t>Emma96</t>
  </si>
  <si>
    <t>Chrisael1</t>
  </si>
  <si>
    <t>LordKingson</t>
  </si>
  <si>
    <t>Xyvio</t>
  </si>
  <si>
    <t>Finexx</t>
  </si>
  <si>
    <t>Roman106</t>
  </si>
  <si>
    <t>nobbyk</t>
  </si>
  <si>
    <t>Darren-Shan</t>
  </si>
  <si>
    <t>swani</t>
  </si>
  <si>
    <t>PhoenixFire</t>
  </si>
  <si>
    <t>Destonix</t>
  </si>
  <si>
    <t>luzifer2111</t>
  </si>
  <si>
    <t>hubertus33</t>
  </si>
  <si>
    <t>letifer</t>
  </si>
  <si>
    <t>taladion</t>
  </si>
  <si>
    <t>BigBadWolf</t>
  </si>
  <si>
    <t>JulsRules</t>
  </si>
  <si>
    <t>kmh1987</t>
  </si>
  <si>
    <t>obetikk</t>
  </si>
  <si>
    <t>Vatan1</t>
  </si>
  <si>
    <t>Cell18</t>
  </si>
  <si>
    <t>androlini</t>
  </si>
  <si>
    <t>Tomla</t>
  </si>
  <si>
    <t>Strike</t>
  </si>
  <si>
    <t>Kevisback7</t>
  </si>
  <si>
    <t>Karabat</t>
  </si>
  <si>
    <t>WarriorOfDoom97</t>
  </si>
  <si>
    <t>ArmeRitter</t>
  </si>
  <si>
    <t>DrugsAreBad</t>
  </si>
  <si>
    <t>Blackview39</t>
  </si>
  <si>
    <t>Denniiz</t>
  </si>
  <si>
    <t>phlebotosmos</t>
  </si>
  <si>
    <t>giuseppe</t>
  </si>
  <si>
    <t>Miles2Cosmic</t>
  </si>
  <si>
    <t>ShadowDragon</t>
  </si>
  <si>
    <t>legolaslu</t>
  </si>
  <si>
    <t>maximus1234</t>
  </si>
  <si>
    <t>Sternenfalter</t>
  </si>
  <si>
    <t>Schonnafan</t>
  </si>
  <si>
    <t>cashmo135</t>
  </si>
  <si>
    <t>Egoschwein87</t>
  </si>
  <si>
    <t>traineee</t>
  </si>
  <si>
    <t>Sonque</t>
  </si>
  <si>
    <t>Fabiuszzz85</t>
  </si>
  <si>
    <t>PeaceOut0804</t>
  </si>
  <si>
    <t>CherryCub</t>
  </si>
  <si>
    <t>DerStein</t>
  </si>
  <si>
    <t>Kemperatze</t>
  </si>
  <si>
    <t>Supamaario</t>
  </si>
  <si>
    <t>Breuninger</t>
  </si>
  <si>
    <t>gschisti-gschasti</t>
  </si>
  <si>
    <t>Bertls</t>
  </si>
  <si>
    <t>GamerCookie</t>
  </si>
  <si>
    <t>SylarX</t>
  </si>
  <si>
    <t>LightekG</t>
  </si>
  <si>
    <t>Baxxter58</t>
  </si>
  <si>
    <t>Geistreich</t>
  </si>
  <si>
    <t>Krybezz</t>
  </si>
  <si>
    <t>Max0981</t>
  </si>
  <si>
    <t>rathhunter</t>
  </si>
  <si>
    <t>1210wien</t>
  </si>
  <si>
    <t>rudi-rudolf</t>
  </si>
  <si>
    <t>maxi2020</t>
  </si>
  <si>
    <t>Chrizz10</t>
  </si>
  <si>
    <t>GrmLGaming</t>
  </si>
  <si>
    <t>Ju7788</t>
  </si>
  <si>
    <t>Blacki029ost</t>
  </si>
  <si>
    <t>Dexter17</t>
  </si>
  <si>
    <t>Mergimtar</t>
  </si>
  <si>
    <t>micha189241</t>
  </si>
  <si>
    <t>dicka68</t>
  </si>
  <si>
    <t>Henni6000</t>
  </si>
  <si>
    <t>Schnuppe</t>
  </si>
  <si>
    <t>zockerfussball95</t>
  </si>
  <si>
    <t>Viiiana</t>
  </si>
  <si>
    <t>Pun1sh3r</t>
  </si>
  <si>
    <t>Simione11</t>
  </si>
  <si>
    <t>Isolalai</t>
  </si>
  <si>
    <t>AkitoReborn</t>
  </si>
  <si>
    <t>jonaspi</t>
  </si>
  <si>
    <t>EisJ3aer4</t>
  </si>
  <si>
    <t>darksamy1</t>
  </si>
  <si>
    <t>Texo</t>
  </si>
  <si>
    <t>Jens123</t>
  </si>
  <si>
    <t>Samwise</t>
  </si>
  <si>
    <t>Maxkre</t>
  </si>
  <si>
    <t>Goovy12</t>
  </si>
  <si>
    <t>RaxonSpoor</t>
  </si>
  <si>
    <t>tom777</t>
  </si>
  <si>
    <t>Greystash</t>
  </si>
  <si>
    <t>Herrscher</t>
  </si>
  <si>
    <t>datGCP</t>
  </si>
  <si>
    <t>Holzhacker</t>
  </si>
  <si>
    <t>datSmartyy</t>
  </si>
  <si>
    <t>schlummci</t>
  </si>
  <si>
    <t>Patrick666</t>
  </si>
  <si>
    <t>Kevin199602</t>
  </si>
  <si>
    <t>felu</t>
  </si>
  <si>
    <t>buchee</t>
  </si>
  <si>
    <t>olenhio</t>
  </si>
  <si>
    <t>Cherusker55</t>
  </si>
  <si>
    <t>Raddie</t>
  </si>
  <si>
    <t>PTO300</t>
  </si>
  <si>
    <t>Klafex</t>
  </si>
  <si>
    <t>Nevada.vP</t>
  </si>
  <si>
    <t>jacksoncabo</t>
  </si>
  <si>
    <t>Illl</t>
  </si>
  <si>
    <t>Master-Matze</t>
  </si>
  <si>
    <t>Zonk</t>
  </si>
  <si>
    <t>Daylight</t>
  </si>
  <si>
    <t>DR.Jekyll</t>
  </si>
  <si>
    <t>Zipfeklatscher</t>
  </si>
  <si>
    <t>Leitner</t>
  </si>
  <si>
    <t>NightFall</t>
  </si>
  <si>
    <t>Mountainfarm</t>
  </si>
  <si>
    <t>malakaz</t>
  </si>
  <si>
    <t>Ref422</t>
  </si>
  <si>
    <t>J0J0--</t>
  </si>
  <si>
    <t>CoconutBong</t>
  </si>
  <si>
    <t>FunKz.</t>
  </si>
  <si>
    <t>Tobilisches</t>
  </si>
  <si>
    <t>thedfh</t>
  </si>
  <si>
    <t>Ferran</t>
  </si>
  <si>
    <t>L4nz3l0b3r</t>
  </si>
  <si>
    <t>paninga</t>
  </si>
  <si>
    <t>RecurRampage</t>
  </si>
  <si>
    <t>Meiselkurt</t>
  </si>
  <si>
    <t>Siegfriedius</t>
  </si>
  <si>
    <t>GreatFlo</t>
  </si>
  <si>
    <t>Sleeker</t>
  </si>
  <si>
    <t>HilloGames</t>
  </si>
  <si>
    <t>KevinKohlrabi</t>
  </si>
  <si>
    <t>MikuChan</t>
  </si>
  <si>
    <t>Scherox</t>
  </si>
  <si>
    <t>tobu97</t>
  </si>
  <si>
    <t>xOberyn</t>
  </si>
  <si>
    <t>Leenz1</t>
  </si>
  <si>
    <t>IchBinReich69</t>
  </si>
  <si>
    <t>Flashdown</t>
  </si>
  <si>
    <t>sickojaenne</t>
  </si>
  <si>
    <t>AurVel</t>
  </si>
  <si>
    <t>Domi-92</t>
  </si>
  <si>
    <t>Hopfenreiter</t>
  </si>
  <si>
    <t>Braggan</t>
  </si>
  <si>
    <t>Schokirella</t>
  </si>
  <si>
    <t>philipvsh</t>
  </si>
  <si>
    <t>itzreuter</t>
  </si>
  <si>
    <t>E4SYYYY</t>
  </si>
  <si>
    <t>ahmadino109</t>
  </si>
  <si>
    <t>Donut</t>
  </si>
  <si>
    <t>gehmirnicht</t>
  </si>
  <si>
    <t>Banacusy</t>
  </si>
  <si>
    <t>WuidNarrisch96</t>
  </si>
  <si>
    <t>Mux20</t>
  </si>
  <si>
    <t>ScheisshausKlaus</t>
  </si>
  <si>
    <t>Crizzler19</t>
  </si>
  <si>
    <t>xingo</t>
  </si>
  <si>
    <t>HaveRespectSon</t>
  </si>
  <si>
    <t>Nerro12</t>
  </si>
  <si>
    <t>24hrs</t>
  </si>
  <si>
    <t>beowulf26</t>
  </si>
  <si>
    <t>Spidlex</t>
  </si>
  <si>
    <t>Mantga</t>
  </si>
  <si>
    <t>Spinatknedl</t>
  </si>
  <si>
    <t>DerAnthilope</t>
  </si>
  <si>
    <t>ausska</t>
  </si>
  <si>
    <t>KingKarloDer3te</t>
  </si>
  <si>
    <t>Bierabteilung</t>
  </si>
  <si>
    <t>Eagle9611</t>
  </si>
  <si>
    <t>annagottwald</t>
  </si>
  <si>
    <t>Donquijote</t>
  </si>
  <si>
    <t>flushamed</t>
  </si>
  <si>
    <t>PinguinBrutalo</t>
  </si>
  <si>
    <t>Alsazar</t>
  </si>
  <si>
    <t>cnon.lloyd</t>
  </si>
  <si>
    <t>PapaNappa</t>
  </si>
  <si>
    <t>Adam959595</t>
  </si>
  <si>
    <t>wzzzup</t>
  </si>
  <si>
    <t>Radres-1</t>
  </si>
  <si>
    <t>Vindi</t>
  </si>
  <si>
    <t>PlayOneMaurice</t>
  </si>
  <si>
    <t>Bar2020</t>
  </si>
  <si>
    <t>Calalal</t>
  </si>
  <si>
    <t>Finn334</t>
  </si>
  <si>
    <t>Tinchen285</t>
  </si>
  <si>
    <t>NARR</t>
  </si>
  <si>
    <t>Nalgo</t>
  </si>
  <si>
    <t>Banger257</t>
  </si>
  <si>
    <t>Marco.....</t>
  </si>
  <si>
    <t>SkiRiiEach</t>
  </si>
  <si>
    <t>Jassen</t>
  </si>
  <si>
    <t>freshmasterj</t>
  </si>
  <si>
    <t>MultiCore</t>
  </si>
  <si>
    <t>Reaperkill</t>
  </si>
  <si>
    <t>DeffBot</t>
  </si>
  <si>
    <t>johnrambo</t>
  </si>
  <si>
    <t>1OdinsSohn1</t>
  </si>
  <si>
    <t>IronBarWolf</t>
  </si>
  <si>
    <t>Medved1</t>
  </si>
  <si>
    <t>steffanka85</t>
  </si>
  <si>
    <t>feli</t>
  </si>
  <si>
    <t>elhayat</t>
  </si>
  <si>
    <t>Kyr1ll</t>
  </si>
  <si>
    <t>sims12354</t>
  </si>
  <si>
    <t>Nightmarry</t>
  </si>
  <si>
    <t>Derketa</t>
  </si>
  <si>
    <t>Auschu</t>
  </si>
  <si>
    <t>j.krek</t>
  </si>
  <si>
    <t>fear0304</t>
  </si>
  <si>
    <t>Hormillo</t>
  </si>
  <si>
    <t>BangerZ</t>
  </si>
  <si>
    <t>avavi</t>
  </si>
  <si>
    <t>DirtyDan793</t>
  </si>
  <si>
    <t>Akkarsy</t>
  </si>
  <si>
    <t>Sven-104</t>
  </si>
  <si>
    <t>HydroOo</t>
  </si>
  <si>
    <t>Horseman17</t>
  </si>
  <si>
    <t>DoMii</t>
  </si>
  <si>
    <t>Leevi.</t>
  </si>
  <si>
    <t>Trikxa</t>
  </si>
  <si>
    <t>daddy.</t>
  </si>
  <si>
    <t>dereisernekrieger</t>
  </si>
  <si>
    <t>Pascha93</t>
  </si>
  <si>
    <t>MikeLitoris</t>
  </si>
  <si>
    <t>Tactic</t>
  </si>
  <si>
    <t>Autogrammgeber96</t>
  </si>
  <si>
    <t>thunfisch.lifestyle</t>
  </si>
  <si>
    <t>Schmidster</t>
  </si>
  <si>
    <t>NaothePanda</t>
  </si>
  <si>
    <t>Maxi0109</t>
  </si>
  <si>
    <t>HauFestDrauf</t>
  </si>
  <si>
    <t>Kannnix</t>
  </si>
  <si>
    <t>EmperorLuan</t>
  </si>
  <si>
    <t>xRyzen</t>
  </si>
  <si>
    <t>zGreenDragonz</t>
  </si>
  <si>
    <t>EspressoRistretto</t>
  </si>
  <si>
    <t>Averdiamonds</t>
  </si>
  <si>
    <t>IngridP85</t>
  </si>
  <si>
    <t>TheKingPhilip</t>
  </si>
  <si>
    <t>Bullzzz</t>
  </si>
  <si>
    <t>whirlyy</t>
  </si>
  <si>
    <t>jokra</t>
  </si>
  <si>
    <t>Bohnsdorfer</t>
  </si>
  <si>
    <t>Oppi</t>
  </si>
  <si>
    <t>Ruasnosn</t>
  </si>
  <si>
    <t>Mycros</t>
  </si>
  <si>
    <t>NGx3</t>
  </si>
  <si>
    <t>Redwood007</t>
  </si>
  <si>
    <t>CommanderT</t>
  </si>
  <si>
    <t>jaiiqz</t>
  </si>
  <si>
    <t>EdlerRitter69</t>
  </si>
  <si>
    <t>RedFly</t>
  </si>
  <si>
    <t>Locco</t>
  </si>
  <si>
    <t>MasonGunner</t>
  </si>
  <si>
    <t>Deditus</t>
  </si>
  <si>
    <t>ALN.</t>
  </si>
  <si>
    <t>Bronco69</t>
  </si>
  <si>
    <t>Bluesons13</t>
  </si>
  <si>
    <t>Renner93</t>
  </si>
  <si>
    <t>Fusion-kan-55</t>
  </si>
  <si>
    <t>Suedhauser</t>
  </si>
  <si>
    <t>nav050590</t>
  </si>
  <si>
    <t>l4330hd</t>
  </si>
  <si>
    <t>Ankastro</t>
  </si>
  <si>
    <t>Face</t>
  </si>
  <si>
    <t>birri</t>
  </si>
  <si>
    <t>Bienhardson</t>
  </si>
  <si>
    <t>xLuker</t>
  </si>
  <si>
    <t>immvp</t>
  </si>
  <si>
    <t>thebigplay94</t>
  </si>
  <si>
    <t>thoja137</t>
  </si>
  <si>
    <t>Don-Niere</t>
  </si>
  <si>
    <t>gutijahr10</t>
  </si>
  <si>
    <t>Marek28</t>
  </si>
  <si>
    <t>Adriolf</t>
  </si>
  <si>
    <t>RapTor10</t>
  </si>
  <si>
    <t>FabNe</t>
  </si>
  <si>
    <t>irakliooo1</t>
  </si>
  <si>
    <t>LuckyTera</t>
  </si>
  <si>
    <t>Scharlo</t>
  </si>
  <si>
    <t>Klopapier-ist-alle</t>
  </si>
  <si>
    <t>Dante999</t>
  </si>
  <si>
    <t>T-jag</t>
  </si>
  <si>
    <t>Saketh145</t>
  </si>
  <si>
    <t>Gambrinus24</t>
  </si>
  <si>
    <t>kardalon</t>
  </si>
  <si>
    <t>DerHausmeister88</t>
  </si>
  <si>
    <t>YottwaldAG</t>
  </si>
  <si>
    <t>MAIN</t>
  </si>
  <si>
    <t>XTfg3ZAbO</t>
  </si>
  <si>
    <t>Jelle72</t>
  </si>
  <si>
    <t>ffhildegard</t>
  </si>
  <si>
    <t>Dr.NOo</t>
  </si>
  <si>
    <t>skrival07</t>
  </si>
  <si>
    <t>iNooBik</t>
  </si>
  <si>
    <t>Wondy</t>
  </si>
  <si>
    <t>fruityxjuice</t>
  </si>
  <si>
    <t>mecafee</t>
  </si>
  <si>
    <t>PatiPato</t>
  </si>
  <si>
    <t>Sayres90</t>
  </si>
  <si>
    <t>Pitbull170519</t>
  </si>
  <si>
    <t>Omu77</t>
  </si>
  <si>
    <t>LordBendtner90</t>
  </si>
  <si>
    <t>McTheBozz</t>
  </si>
  <si>
    <t>koronastylez</t>
  </si>
  <si>
    <t>FunkTheTank88</t>
  </si>
  <si>
    <t>nicokk</t>
  </si>
  <si>
    <t>August69Ames</t>
  </si>
  <si>
    <t>richamster</t>
  </si>
  <si>
    <t>mikeqwonzz</t>
  </si>
  <si>
    <t>Paule11</t>
  </si>
  <si>
    <t>ChanelPreston69</t>
  </si>
  <si>
    <t>Andi17</t>
  </si>
  <si>
    <t>T0TI</t>
  </si>
  <si>
    <t>CYLLEYA</t>
  </si>
  <si>
    <t>hanniii</t>
  </si>
  <si>
    <t>Elaysia</t>
  </si>
  <si>
    <t>La84</t>
  </si>
  <si>
    <t>Pecnology</t>
  </si>
  <si>
    <t>Transgender-Muhammed</t>
  </si>
  <si>
    <t>BMG.Fan</t>
  </si>
  <si>
    <t>Maxe95</t>
  </si>
  <si>
    <t>Overlord.</t>
  </si>
  <si>
    <t>Borchi</t>
  </si>
  <si>
    <t>Bausi</t>
  </si>
  <si>
    <t>xSkiLLTimeXx</t>
  </si>
  <si>
    <t>Fabsn1337</t>
  </si>
  <si>
    <t>Pante09</t>
  </si>
  <si>
    <t>atzntom</t>
  </si>
  <si>
    <t>Osaries</t>
  </si>
  <si>
    <t>FicoMico</t>
  </si>
  <si>
    <t>Acordic</t>
  </si>
  <si>
    <t>PuuuKY</t>
  </si>
  <si>
    <t>flonixx2020</t>
  </si>
  <si>
    <t>Vumas</t>
  </si>
  <si>
    <t>Valley</t>
  </si>
  <si>
    <t>S3rum</t>
  </si>
  <si>
    <t>gonckident</t>
  </si>
  <si>
    <t>Diesdaszitrusfrucht</t>
  </si>
  <si>
    <t>lakipom</t>
  </si>
  <si>
    <t>XYJYX</t>
  </si>
  <si>
    <t>Glowi</t>
  </si>
  <si>
    <t>walki</t>
  </si>
  <si>
    <t>AbfahrtOpferbaum</t>
  </si>
  <si>
    <t>crankzkp</t>
  </si>
  <si>
    <t>MadMaxx</t>
  </si>
  <si>
    <t>Xtreme</t>
  </si>
  <si>
    <t>Vani0304</t>
  </si>
  <si>
    <t>Jannooo</t>
  </si>
  <si>
    <t>Kaefz</t>
  </si>
  <si>
    <t>Schereschleifer</t>
  </si>
  <si>
    <t>Thesoulman</t>
  </si>
  <si>
    <t>jack.daniels</t>
  </si>
  <si>
    <t>Robin217</t>
  </si>
  <si>
    <t>Robnic</t>
  </si>
  <si>
    <t>xJoshke</t>
  </si>
  <si>
    <t>k1ngk4rl</t>
  </si>
  <si>
    <t>colona</t>
  </si>
  <si>
    <t>Seffle</t>
  </si>
  <si>
    <t>Sakuija</t>
  </si>
  <si>
    <t>Napoleon66</t>
  </si>
  <si>
    <t>haddsn</t>
  </si>
  <si>
    <t>Tompi</t>
  </si>
  <si>
    <t>To4stKrieger</t>
  </si>
  <si>
    <t>Eisern14</t>
  </si>
  <si>
    <t>Opi00</t>
  </si>
  <si>
    <t>Dr-GTI</t>
  </si>
  <si>
    <t>Hugo66</t>
  </si>
  <si>
    <t>Br4inD4m4ge</t>
  </si>
  <si>
    <t>AragornIV</t>
  </si>
  <si>
    <t>Mercal</t>
  </si>
  <si>
    <t>Tiragon</t>
  </si>
  <si>
    <t>Pemapeta</t>
  </si>
  <si>
    <t>Molleba</t>
  </si>
  <si>
    <t>Kalle1992</t>
  </si>
  <si>
    <t>Hoffi93</t>
  </si>
  <si>
    <t>BigG96</t>
  </si>
  <si>
    <t>Welt176</t>
  </si>
  <si>
    <t>Rob301096</t>
  </si>
  <si>
    <t>hannselott</t>
  </si>
  <si>
    <t>APSnovaplay</t>
  </si>
  <si>
    <t>EarlyGray</t>
  </si>
  <si>
    <t>Bisaknosp</t>
  </si>
  <si>
    <t>1312fcu.</t>
  </si>
  <si>
    <t>ioio1999</t>
  </si>
  <si>
    <t>mr.alwayshungry</t>
  </si>
  <si>
    <t>G1ov4nni</t>
  </si>
  <si>
    <t>AM2824</t>
  </si>
  <si>
    <t>TheYurek</t>
  </si>
  <si>
    <t>NovemberMama</t>
  </si>
  <si>
    <t>Ohnesorg</t>
  </si>
  <si>
    <t>Daniel.18944</t>
  </si>
  <si>
    <t>Sturmfister25</t>
  </si>
  <si>
    <t>Bitobsch</t>
  </si>
  <si>
    <t>mauricesvb98</t>
  </si>
  <si>
    <t>Butcher1887</t>
  </si>
  <si>
    <t>xRayQore</t>
  </si>
  <si>
    <t>SHREDZ69</t>
  </si>
  <si>
    <t>junas3000</t>
  </si>
  <si>
    <t>EggeHeiza</t>
  </si>
  <si>
    <t>Ikonoklast</t>
  </si>
  <si>
    <t>QEVOX</t>
  </si>
  <si>
    <t>cn96</t>
  </si>
  <si>
    <t>420xShine</t>
  </si>
  <si>
    <t>.Cookie.</t>
  </si>
  <si>
    <t>Daniel47</t>
  </si>
  <si>
    <t>hoffi77</t>
  </si>
  <si>
    <t>Discobauer</t>
  </si>
  <si>
    <t>muffripper666</t>
  </si>
  <si>
    <t>-FF-</t>
  </si>
  <si>
    <t>geileklezz</t>
  </si>
  <si>
    <t>Nachtadler</t>
  </si>
  <si>
    <t>JimmyFerrari</t>
  </si>
  <si>
    <t>Bene272</t>
  </si>
  <si>
    <t>Logitech</t>
  </si>
  <si>
    <t>Chaot777</t>
  </si>
  <si>
    <t>Casiics</t>
  </si>
  <si>
    <t>Laserlord</t>
  </si>
  <si>
    <t>Nycro</t>
  </si>
  <si>
    <t>Cecil</t>
  </si>
  <si>
    <t>dubfried</t>
  </si>
  <si>
    <t>Hooodiinii</t>
  </si>
  <si>
    <t>BabaKartoffel</t>
  </si>
  <si>
    <t>BaangX</t>
  </si>
  <si>
    <t>Hubi0909</t>
  </si>
  <si>
    <t>haltdieFresse-Ingo</t>
  </si>
  <si>
    <t>bengel008</t>
  </si>
  <si>
    <t>TheChef</t>
  </si>
  <si>
    <t>Tandox</t>
  </si>
  <si>
    <t>MartSam</t>
  </si>
  <si>
    <t>WerkstattStufe15</t>
  </si>
  <si>
    <t>Duubrot</t>
  </si>
  <si>
    <t>LordPferzi</t>
  </si>
  <si>
    <t>AntikerPro</t>
  </si>
  <si>
    <t>Goggoloris</t>
  </si>
  <si>
    <t>klempnerklaus</t>
  </si>
  <si>
    <t>Bboy</t>
  </si>
  <si>
    <t>senn1d</t>
  </si>
  <si>
    <t>TrollPick</t>
  </si>
  <si>
    <t>Valar-Morghulis</t>
  </si>
  <si>
    <t>KlabauterKlaus</t>
  </si>
  <si>
    <t>Apfelring</t>
  </si>
  <si>
    <t>Pfeiler</t>
  </si>
  <si>
    <t>Almbach</t>
  </si>
  <si>
    <t>Kartenrand</t>
  </si>
  <si>
    <t>n1k0</t>
  </si>
  <si>
    <t>Morre84</t>
  </si>
  <si>
    <t>Eule42</t>
  </si>
  <si>
    <t>Ssvenna</t>
  </si>
  <si>
    <t>Foger</t>
  </si>
  <si>
    <t>Klabustermann</t>
  </si>
  <si>
    <t>Firlehans</t>
  </si>
  <si>
    <t>StayHome</t>
  </si>
  <si>
    <t>Quickfidel</t>
  </si>
  <si>
    <t>OnkelHip</t>
  </si>
  <si>
    <t>ladydescloud</t>
  </si>
  <si>
    <t>Rouv826</t>
  </si>
  <si>
    <t>Prof.Twex</t>
  </si>
  <si>
    <t>Huller.Buller.DC</t>
  </si>
  <si>
    <t>Watzinger95</t>
  </si>
  <si>
    <t>tischlermri</t>
  </si>
  <si>
    <t>exoh</t>
  </si>
  <si>
    <t>brigg69</t>
  </si>
  <si>
    <t>PenithbartDerGrobe</t>
  </si>
  <si>
    <t>RietenLu</t>
  </si>
  <si>
    <t>TreqsiiiV</t>
  </si>
  <si>
    <t>maxlhimself</t>
  </si>
  <si>
    <t>astralavista</t>
  </si>
  <si>
    <t>TirolerX</t>
  </si>
  <si>
    <t>Cpt-Mike</t>
  </si>
  <si>
    <t>Lordbballer</t>
  </si>
  <si>
    <t>rAYRYN</t>
  </si>
  <si>
    <t>aTioXueL</t>
  </si>
  <si>
    <t>bier69</t>
  </si>
  <si>
    <t>Timo1702</t>
  </si>
  <si>
    <t>HellGamer90</t>
  </si>
  <si>
    <t>Saiyuki</t>
  </si>
  <si>
    <t>firesch</t>
  </si>
  <si>
    <t>JuckiJucki</t>
  </si>
  <si>
    <t>CoffeeAbuser</t>
  </si>
  <si>
    <t>GlatzenDan</t>
  </si>
  <si>
    <t>M-19-H</t>
  </si>
  <si>
    <t>FaDoS</t>
  </si>
  <si>
    <t>Stinktier92</t>
  </si>
  <si>
    <t>the-worm</t>
  </si>
  <si>
    <t>str1nT</t>
  </si>
  <si>
    <t>jaaaan3</t>
  </si>
  <si>
    <t>MaKer237</t>
  </si>
  <si>
    <t>saalfsef</t>
  </si>
  <si>
    <t>IxRevolution</t>
  </si>
  <si>
    <t>Maenju1905</t>
  </si>
  <si>
    <t>Raztur</t>
  </si>
  <si>
    <t>hoi-</t>
  </si>
  <si>
    <t>EvilSadness</t>
  </si>
  <si>
    <t>Hary014</t>
  </si>
  <si>
    <t>MrLeitz</t>
  </si>
  <si>
    <t>Michael2304</t>
  </si>
  <si>
    <t>filme</t>
  </si>
  <si>
    <t>maxidiekleine</t>
  </si>
  <si>
    <t>timbo322</t>
  </si>
  <si>
    <t>kinnaj92</t>
  </si>
  <si>
    <t>Kutshniac</t>
  </si>
  <si>
    <t>Dann</t>
  </si>
  <si>
    <t>Sergio93</t>
  </si>
  <si>
    <t>Hoschweiler</t>
  </si>
  <si>
    <t>Kelewan2</t>
  </si>
  <si>
    <t>Koalaking</t>
  </si>
  <si>
    <t>andue12</t>
  </si>
  <si>
    <t>ruehrli1</t>
  </si>
  <si>
    <t>Toschie</t>
  </si>
  <si>
    <t>Aggadonis</t>
  </si>
  <si>
    <t>Wattwurm93</t>
  </si>
  <si>
    <t>dakartoffel</t>
  </si>
  <si>
    <t>.Brian</t>
  </si>
  <si>
    <t>Manduchai</t>
  </si>
  <si>
    <t>.Ehuhn</t>
  </si>
  <si>
    <t>dirtydungeon</t>
  </si>
  <si>
    <t>SirLangerStock</t>
  </si>
  <si>
    <t>road992</t>
  </si>
  <si>
    <t>DNY92</t>
  </si>
  <si>
    <t>Lardshe</t>
  </si>
  <si>
    <t>xXxFragezeichenxXx</t>
  </si>
  <si>
    <t>LiciniusCrassus92</t>
  </si>
  <si>
    <t>RoyalFlash</t>
  </si>
  <si>
    <t>Timerius</t>
  </si>
  <si>
    <t>Samsel</t>
  </si>
  <si>
    <t>Manyak1</t>
  </si>
  <si>
    <t>Trogar</t>
  </si>
  <si>
    <t>timy92</t>
  </si>
  <si>
    <t>motomey</t>
  </si>
  <si>
    <t>STRNGZ-</t>
  </si>
  <si>
    <t>Schulze91</t>
  </si>
  <si>
    <t>phagozyt</t>
  </si>
  <si>
    <t>Josef1996</t>
  </si>
  <si>
    <t>Arti91</t>
  </si>
  <si>
    <t>DonAld</t>
  </si>
  <si>
    <t>DiebrauneWurst</t>
  </si>
  <si>
    <t>ZoKKazoRRo</t>
  </si>
  <si>
    <t>fabian1221</t>
  </si>
  <si>
    <t>GTR4</t>
  </si>
  <si>
    <t>Chrismk7</t>
  </si>
  <si>
    <t>awrick</t>
  </si>
  <si>
    <t>Jeanni77</t>
  </si>
  <si>
    <t>Majikujanisch</t>
  </si>
  <si>
    <t>Ingo1324</t>
  </si>
  <si>
    <t>hecht.2</t>
  </si>
  <si>
    <t>Setarkos</t>
  </si>
  <si>
    <t>Sir-lord</t>
  </si>
  <si>
    <t>.Skyliner.</t>
  </si>
  <si>
    <t>nepf1997</t>
  </si>
  <si>
    <t>KingOfArmy1997</t>
  </si>
  <si>
    <t>Hazardous</t>
  </si>
  <si>
    <t>%3DLordcyres%3D</t>
  </si>
  <si>
    <t>floriii</t>
  </si>
  <si>
    <t>ClemmK</t>
  </si>
  <si>
    <t>ritnik3</t>
  </si>
  <si>
    <t>PenguBoy</t>
  </si>
  <si>
    <t>JojoThomas95</t>
  </si>
  <si>
    <t>Crysis.PEX</t>
  </si>
  <si>
    <t>HarambeGod</t>
  </si>
  <si>
    <t>philippovic</t>
  </si>
  <si>
    <t>fex18</t>
  </si>
  <si>
    <t>ExpersGratia.</t>
  </si>
  <si>
    <t>MademoiselleNicht</t>
  </si>
  <si>
    <t>Asenbluth</t>
  </si>
  <si>
    <t>1Talent</t>
  </si>
  <si>
    <t>Lukstar123</t>
  </si>
  <si>
    <t>xIncr3dible</t>
  </si>
  <si>
    <t>-DLHDT-</t>
  </si>
  <si>
    <t>Milcharbeiter</t>
  </si>
  <si>
    <t>Bayernhasser2</t>
  </si>
  <si>
    <t>Pommesbote</t>
  </si>
  <si>
    <t>Kreuzer</t>
  </si>
  <si>
    <t>benthin</t>
  </si>
  <si>
    <t>Blackdevil4991</t>
  </si>
  <si>
    <t>Kaitaku</t>
  </si>
  <si>
    <t>HerrVomBerg</t>
  </si>
  <si>
    <t>Motueka</t>
  </si>
  <si>
    <t>kkoooo</t>
  </si>
  <si>
    <t>marcelmarvin</t>
  </si>
  <si>
    <t>Pelamon</t>
  </si>
  <si>
    <t>Kiryn</t>
  </si>
  <si>
    <t>bilal20032000</t>
  </si>
  <si>
    <t>Nipero</t>
  </si>
  <si>
    <t>P3pp3roni</t>
  </si>
  <si>
    <t>Nicekred</t>
  </si>
  <si>
    <t>HateMyName</t>
  </si>
  <si>
    <t>Zlatantim</t>
  </si>
  <si>
    <t>seeroxs</t>
  </si>
  <si>
    <t>Bolton</t>
  </si>
  <si>
    <t>WhyIsThisNull</t>
  </si>
  <si>
    <t>Shuro</t>
  </si>
  <si>
    <t>enjuli</t>
  </si>
  <si>
    <t>Varothem</t>
  </si>
  <si>
    <t>Sikilation</t>
  </si>
  <si>
    <t>Yanman10</t>
  </si>
  <si>
    <t>ichundmeinvolk</t>
  </si>
  <si>
    <t>LiquidMolly</t>
  </si>
  <si>
    <t>Duby73</t>
  </si>
  <si>
    <t>mike1403</t>
  </si>
  <si>
    <t>syroc</t>
  </si>
  <si>
    <t>kenny.tod</t>
  </si>
  <si>
    <t>Gatzlord</t>
  </si>
  <si>
    <t>warkid1</t>
  </si>
  <si>
    <t>DerHuster</t>
  </si>
  <si>
    <t>Hippogryph</t>
  </si>
  <si>
    <t>Daisydraufunddran</t>
  </si>
  <si>
    <t>lucinator3000</t>
  </si>
  <si>
    <t>Muggebatscher</t>
  </si>
  <si>
    <t>Cihan35</t>
  </si>
  <si>
    <t>FlowRyan2012</t>
  </si>
  <si>
    <t>CaptainOPFA</t>
  </si>
  <si>
    <t>innerdreamz</t>
  </si>
  <si>
    <t>Just-Honn</t>
  </si>
  <si>
    <t>dredor</t>
  </si>
  <si>
    <t>Nucle4r</t>
  </si>
  <si>
    <t>Mot1</t>
  </si>
  <si>
    <t>H8erboy</t>
  </si>
  <si>
    <t>anynight</t>
  </si>
  <si>
    <t>Lederriemen</t>
  </si>
  <si>
    <t>Malz77</t>
  </si>
  <si>
    <t>HerbyKill</t>
  </si>
  <si>
    <t>nightraider4</t>
  </si>
  <si>
    <t>maximator19</t>
  </si>
  <si>
    <t>esistokay</t>
  </si>
  <si>
    <t>CrispigerSultanT</t>
  </si>
  <si>
    <t>Global63</t>
  </si>
  <si>
    <t>IVIaI2TiiNii</t>
  </si>
  <si>
    <t>Relocked</t>
  </si>
  <si>
    <t>Jason94</t>
  </si>
  <si>
    <t>JackyAce</t>
  </si>
  <si>
    <t>olywia97</t>
  </si>
  <si>
    <t>Smookylein</t>
  </si>
  <si>
    <t>scotty422</t>
  </si>
  <si>
    <t>Matthias39</t>
  </si>
  <si>
    <t>TheBiteStorm</t>
  </si>
  <si>
    <t>Jimbo97</t>
  </si>
  <si>
    <t>NiMaWi</t>
  </si>
  <si>
    <t>August.iner</t>
  </si>
  <si>
    <t>haciiosman</t>
  </si>
  <si>
    <t>Heinz34</t>
  </si>
  <si>
    <t>alteeer</t>
  </si>
  <si>
    <t>LaBestia</t>
  </si>
  <si>
    <t>tapp0</t>
  </si>
  <si>
    <t>KingEdwardX</t>
  </si>
  <si>
    <t>IchHabNenBart</t>
  </si>
  <si>
    <t>Armades-DNVZ</t>
  </si>
  <si>
    <t>Dunzi1995</t>
  </si>
  <si>
    <t>byClops</t>
  </si>
  <si>
    <t>EyeSpy</t>
  </si>
  <si>
    <t>PregoatnDude69</t>
  </si>
  <si>
    <t>Rydu</t>
  </si>
  <si>
    <t>Halapaloosa</t>
  </si>
  <si>
    <t>Kleineraffe</t>
  </si>
  <si>
    <t>Brisant</t>
  </si>
  <si>
    <t>Maxportal</t>
  </si>
  <si>
    <t>petrickstar</t>
  </si>
  <si>
    <t>MachoMacho</t>
  </si>
  <si>
    <t>LostWeekend</t>
  </si>
  <si>
    <t>Nemesis2020</t>
  </si>
  <si>
    <t>FrozzenGreen</t>
  </si>
  <si>
    <t>wookianer</t>
  </si>
  <si>
    <t>std1007</t>
  </si>
  <si>
    <t>wochta1</t>
  </si>
  <si>
    <t>Globi1</t>
  </si>
  <si>
    <t>xmagical5</t>
  </si>
  <si>
    <t>joker52</t>
  </si>
  <si>
    <t>RitterRunkel</t>
  </si>
  <si>
    <t>Schnuepfel</t>
  </si>
  <si>
    <t>Ilovemyskills</t>
  </si>
  <si>
    <t>icloud</t>
  </si>
  <si>
    <t>Yoshi85</t>
  </si>
  <si>
    <t>aposociety</t>
  </si>
  <si>
    <t>ebber</t>
  </si>
  <si>
    <t>Strobeeel</t>
  </si>
  <si>
    <t>Surculus</t>
  </si>
  <si>
    <t>Nico211</t>
  </si>
  <si>
    <t>shere-ahimadi</t>
  </si>
  <si>
    <t>-Shiki-</t>
  </si>
  <si>
    <t>s1m199</t>
  </si>
  <si>
    <t>schere95</t>
  </si>
  <si>
    <t>CallMeSandy</t>
  </si>
  <si>
    <t>HazeZH</t>
  </si>
  <si>
    <t>Dave98</t>
  </si>
  <si>
    <t>LJG88</t>
  </si>
  <si>
    <t>Riley1803</t>
  </si>
  <si>
    <t>Firewoman1981</t>
  </si>
  <si>
    <t>Slippi91</t>
  </si>
  <si>
    <t>Schery</t>
  </si>
  <si>
    <t>Alum578</t>
  </si>
  <si>
    <t>IKA-HH</t>
  </si>
  <si>
    <t>littlesunrise</t>
  </si>
  <si>
    <t>P0et</t>
  </si>
  <si>
    <t>Slix</t>
  </si>
  <si>
    <t>CB927</t>
  </si>
  <si>
    <t>essa</t>
  </si>
  <si>
    <t>Wowa20</t>
  </si>
  <si>
    <t>Diek118</t>
  </si>
  <si>
    <t>DiesDasKiwi</t>
  </si>
  <si>
    <t>sabbanajones</t>
  </si>
  <si>
    <t>94Norbi</t>
  </si>
  <si>
    <t>Polarwolf</t>
  </si>
  <si>
    <t>Visang1506</t>
  </si>
  <si>
    <t>JPS10</t>
  </si>
  <si>
    <t>Urdus</t>
  </si>
  <si>
    <t>hannes1717</t>
  </si>
  <si>
    <t>etap</t>
  </si>
  <si>
    <t>Ron1604</t>
  </si>
  <si>
    <t>Silv3rh4ze</t>
  </si>
  <si>
    <t>Russ198801</t>
  </si>
  <si>
    <t>GrrGr</t>
  </si>
  <si>
    <t>Taussie</t>
  </si>
  <si>
    <t>SeverinoAlPacino</t>
  </si>
  <si>
    <t>drodo</t>
  </si>
  <si>
    <t>Promi2332</t>
  </si>
  <si>
    <t>progangster</t>
  </si>
  <si>
    <t>flexizzle</t>
  </si>
  <si>
    <t>Mammr0n</t>
  </si>
  <si>
    <t>Gladiator95</t>
  </si>
  <si>
    <t>KingKoblini</t>
  </si>
  <si>
    <t>mgmw</t>
  </si>
  <si>
    <t>RoRscHacH925</t>
  </si>
  <si>
    <t>TinaEevee</t>
  </si>
  <si>
    <t>Sheela</t>
  </si>
  <si>
    <t>frangelico</t>
  </si>
  <si>
    <t>Ottheinrich1502</t>
  </si>
  <si>
    <t>BadLud</t>
  </si>
  <si>
    <t>Asunie</t>
  </si>
  <si>
    <t>xD3L4x</t>
  </si>
  <si>
    <t>chris1234chris</t>
  </si>
  <si>
    <t>Cerebron</t>
  </si>
  <si>
    <t>madmcdoc</t>
  </si>
  <si>
    <t>Rohan92</t>
  </si>
  <si>
    <t>claudioitalia</t>
  </si>
  <si>
    <t>Zocker3000</t>
  </si>
  <si>
    <t>gorillax4</t>
  </si>
  <si>
    <t>Butterbrezenhannes</t>
  </si>
  <si>
    <t>DaniTheLord</t>
  </si>
  <si>
    <t>Spieler1</t>
  </si>
  <si>
    <t>Deejay-MCL</t>
  </si>
  <si>
    <t>erdem54</t>
  </si>
  <si>
    <t>Thorfinn</t>
  </si>
  <si>
    <t>cmervis57</t>
  </si>
  <si>
    <t>Neikyy05</t>
  </si>
  <si>
    <t>AUT-Chrisi33</t>
  </si>
  <si>
    <t>Peli</t>
  </si>
  <si>
    <t>DaPidi</t>
  </si>
  <si>
    <t>Libertador</t>
  </si>
  <si>
    <t>Desertjack</t>
  </si>
  <si>
    <t>Cafra13</t>
  </si>
  <si>
    <t>xXpromiiXx</t>
  </si>
  <si>
    <t>Oneshot1977</t>
  </si>
  <si>
    <t>Tanzmarie</t>
  </si>
  <si>
    <t>Sleepomax</t>
  </si>
  <si>
    <t>Andyann</t>
  </si>
  <si>
    <t>hagaZ</t>
  </si>
  <si>
    <t>schmankerl</t>
  </si>
  <si>
    <t>larasponyhof</t>
  </si>
  <si>
    <t>Maxof94</t>
  </si>
  <si>
    <t>mok2906</t>
  </si>
  <si>
    <t>viq20</t>
  </si>
  <si>
    <t>optiPre</t>
  </si>
  <si>
    <t>InuYasha</t>
  </si>
  <si>
    <t>Tetra</t>
  </si>
  <si>
    <t>danyvonluxemburg</t>
  </si>
  <si>
    <t>Becks94</t>
  </si>
  <si>
    <t>mfc1992</t>
  </si>
  <si>
    <t>Cassra</t>
  </si>
  <si>
    <t>CriPTiccX</t>
  </si>
  <si>
    <t>iSuny</t>
  </si>
  <si>
    <t>Brucksi</t>
  </si>
  <si>
    <t>lordina</t>
  </si>
  <si>
    <t>Hugs</t>
  </si>
  <si>
    <t>BehaarteRenate</t>
  </si>
  <si>
    <t>wisel3000</t>
  </si>
  <si>
    <t>risk</t>
  </si>
  <si>
    <t>Hamsterbaby</t>
  </si>
  <si>
    <t>Dorge</t>
  </si>
  <si>
    <t>Brutus333</t>
  </si>
  <si>
    <t>IBasher</t>
  </si>
  <si>
    <t>Sebi605</t>
  </si>
  <si>
    <t>prototyp3</t>
  </si>
  <si>
    <t>Ponte51</t>
  </si>
  <si>
    <t>Dolores</t>
  </si>
  <si>
    <t>lionhart</t>
  </si>
  <si>
    <t>Obtainaex</t>
  </si>
  <si>
    <t>Sandberg</t>
  </si>
  <si>
    <t>almalike</t>
  </si>
  <si>
    <t>Konpai</t>
  </si>
  <si>
    <t>Holzhaus</t>
  </si>
  <si>
    <t>meckez</t>
  </si>
  <si>
    <t>henhil24</t>
  </si>
  <si>
    <t>Seth</t>
  </si>
  <si>
    <t>Wolle09</t>
  </si>
  <si>
    <t>davitiano</t>
  </si>
  <si>
    <t>kankarne</t>
  </si>
  <si>
    <t>mikrolai</t>
  </si>
  <si>
    <t>PhilDiesel14</t>
  </si>
  <si>
    <t>Etoo04</t>
  </si>
  <si>
    <t>MisterMJ</t>
  </si>
  <si>
    <t>Salomin</t>
  </si>
  <si>
    <t>sren259</t>
  </si>
  <si>
    <t>Emern</t>
  </si>
  <si>
    <t>Flocki1108</t>
  </si>
  <si>
    <t>Chefvonjesus</t>
  </si>
  <si>
    <t>LiCoWD</t>
  </si>
  <si>
    <t>Gigoo</t>
  </si>
  <si>
    <t>schalker1904</t>
  </si>
  <si>
    <t>Schambo1893</t>
  </si>
  <si>
    <t>jenny1313</t>
  </si>
  <si>
    <t>Ostwald</t>
  </si>
  <si>
    <t>KrasserTyp</t>
  </si>
  <si>
    <t>Lemontree36</t>
  </si>
  <si>
    <t>LRiiii</t>
  </si>
  <si>
    <t>F.KoppJunior</t>
  </si>
  <si>
    <t>Eugensis</t>
  </si>
  <si>
    <t>Checheniz</t>
  </si>
  <si>
    <t>Ketapeter</t>
  </si>
  <si>
    <t>Finstergrins</t>
  </si>
  <si>
    <t>Himbeermarmelade88</t>
  </si>
  <si>
    <t>DreamZx040</t>
  </si>
  <si>
    <t>iReaLexeHD</t>
  </si>
  <si>
    <t>Esgabnur15stell</t>
  </si>
  <si>
    <t>Amaroc</t>
  </si>
  <si>
    <t>-CHUI-</t>
  </si>
  <si>
    <t>Kampfzwerg0815</t>
  </si>
  <si>
    <t>g3mus3supp3</t>
  </si>
  <si>
    <t>Invader80</t>
  </si>
  <si>
    <t>johnny26</t>
  </si>
  <si>
    <t>Maui</t>
  </si>
  <si>
    <t>Henrik.040</t>
  </si>
  <si>
    <t>LordAchi793</t>
  </si>
  <si>
    <t>Chrison</t>
  </si>
  <si>
    <t>Launga</t>
  </si>
  <si>
    <t>Austriangrizzly</t>
  </si>
  <si>
    <t>Enno73</t>
  </si>
  <si>
    <t>.Django.</t>
  </si>
  <si>
    <t>Knoedler99</t>
  </si>
  <si>
    <t>Noananas</t>
  </si>
  <si>
    <t>PyroMaster</t>
  </si>
  <si>
    <t>Steve.Deluxe</t>
  </si>
  <si>
    <t>laloco</t>
  </si>
  <si>
    <t>Knorktoffel</t>
  </si>
  <si>
    <t>LOrdxDDD</t>
  </si>
  <si>
    <t>IsGeil</t>
  </si>
  <si>
    <t>sparza1961</t>
  </si>
  <si>
    <t>Sir.Lance</t>
  </si>
  <si>
    <t>FrancisBigsby</t>
  </si>
  <si>
    <t>DieterKrause</t>
  </si>
  <si>
    <t>BaerliBua</t>
  </si>
  <si>
    <t>Landogar</t>
  </si>
  <si>
    <t>ElJoker</t>
  </si>
  <si>
    <t>NeoNapat</t>
  </si>
  <si>
    <t>TheOwnageZero</t>
  </si>
  <si>
    <t>Azubie</t>
  </si>
  <si>
    <t>Lorena3</t>
  </si>
  <si>
    <t>Succoso</t>
  </si>
  <si>
    <t>Ostsee-Dude</t>
  </si>
  <si>
    <t>Siachan</t>
  </si>
  <si>
    <t>PTL1994</t>
  </si>
  <si>
    <t>TheDope</t>
  </si>
  <si>
    <t>Mys-terion</t>
  </si>
  <si>
    <t>JK23</t>
  </si>
  <si>
    <t>eda4</t>
  </si>
  <si>
    <t>KitschKrieg</t>
  </si>
  <si>
    <t>Mick1312</t>
  </si>
  <si>
    <t>RaymondRed</t>
  </si>
  <si>
    <t>Playerdh</t>
  </si>
  <si>
    <t>Mo2211</t>
  </si>
  <si>
    <t>Jacoree</t>
  </si>
  <si>
    <t>dirty</t>
  </si>
  <si>
    <t>cherry21</t>
  </si>
  <si>
    <t>hoibi420</t>
  </si>
  <si>
    <t>alcon</t>
  </si>
  <si>
    <t>simonduck111</t>
  </si>
  <si>
    <t>Neschener</t>
  </si>
  <si>
    <t>harvey</t>
  </si>
  <si>
    <t>PirayaRay</t>
  </si>
  <si>
    <t>RoyalHxze</t>
  </si>
  <si>
    <t>RocketJack</t>
  </si>
  <si>
    <t>JanekM98</t>
  </si>
  <si>
    <t>Nico22</t>
  </si>
  <si>
    <t>Jojo157</t>
  </si>
  <si>
    <t>MikMik188</t>
  </si>
  <si>
    <t>Throgen</t>
  </si>
  <si>
    <t>Lukas4Bst</t>
  </si>
  <si>
    <t>Stevie95</t>
  </si>
  <si>
    <t>Thodie</t>
  </si>
  <si>
    <t>Enno</t>
  </si>
  <si>
    <t>rescuespeed</t>
  </si>
  <si>
    <t>razler</t>
  </si>
  <si>
    <t>Paddy253</t>
  </si>
  <si>
    <t>saufa95</t>
  </si>
  <si>
    <t>Dr.Deff</t>
  </si>
  <si>
    <t>derbeweiss</t>
  </si>
  <si>
    <t>Mamboo</t>
  </si>
  <si>
    <t>Domo</t>
  </si>
  <si>
    <t>drsick</t>
  </si>
  <si>
    <t>Schreck</t>
  </si>
  <si>
    <t>kartoffeltoast</t>
  </si>
  <si>
    <t>TTOGOTT</t>
  </si>
  <si>
    <t>ef145</t>
  </si>
  <si>
    <t>hoedt09</t>
  </si>
  <si>
    <t>-Albi-</t>
  </si>
  <si>
    <t>tribolith51</t>
  </si>
  <si>
    <t>Thorair</t>
  </si>
  <si>
    <t>Lord0711</t>
  </si>
  <si>
    <t>keithstackz1</t>
  </si>
  <si>
    <t>Ovii</t>
  </si>
  <si>
    <t>Fatboislim27</t>
  </si>
  <si>
    <t>Med0x</t>
  </si>
  <si>
    <t>mk1093</t>
  </si>
  <si>
    <t>Klappstuhl2009</t>
  </si>
  <si>
    <t>Placebokordel</t>
  </si>
  <si>
    <t>xsavic</t>
  </si>
  <si>
    <t>Chrizzz.de</t>
  </si>
  <si>
    <t>hptmBuck</t>
  </si>
  <si>
    <t>Macarena3010</t>
  </si>
  <si>
    <t>Lemmis</t>
  </si>
  <si>
    <t>Hobbit1904</t>
  </si>
  <si>
    <t>MasterLemi</t>
  </si>
  <si>
    <t>Halbe1008</t>
  </si>
  <si>
    <t>bANDYt</t>
  </si>
  <si>
    <t>LamboFabi</t>
  </si>
  <si>
    <t>Erthoran</t>
  </si>
  <si>
    <t>Schneeflocke</t>
  </si>
  <si>
    <t>Killerbrot</t>
  </si>
  <si>
    <t>mauerbauer66</t>
  </si>
  <si>
    <t>Lordario</t>
  </si>
  <si>
    <t>kh64tak</t>
  </si>
  <si>
    <t>Lienhardt</t>
  </si>
  <si>
    <t>KnochenhechAkkt</t>
  </si>
  <si>
    <t>slayer96</t>
  </si>
  <si>
    <t>sharkbuddy</t>
  </si>
  <si>
    <t>SonMaxiking</t>
  </si>
  <si>
    <t>MarioXVI</t>
  </si>
  <si>
    <t>iceman87</t>
  </si>
  <si>
    <t>schmarrnuel</t>
  </si>
  <si>
    <t>Spurtefix</t>
  </si>
  <si>
    <t>Aranya</t>
  </si>
  <si>
    <t>anotherpog</t>
  </si>
  <si>
    <t>Ayanokoji</t>
  </si>
  <si>
    <t>Mikael</t>
  </si>
  <si>
    <t>laura1504</t>
  </si>
  <si>
    <t>Screaper90</t>
  </si>
  <si>
    <t>wolfpack3d</t>
  </si>
  <si>
    <t>j0si</t>
  </si>
  <si>
    <t>njeri</t>
  </si>
  <si>
    <t>AsuhDude</t>
  </si>
  <si>
    <t>dergnadenlose</t>
  </si>
  <si>
    <t>eric-2602</t>
  </si>
  <si>
    <t>Atavratsilah</t>
  </si>
  <si>
    <t>solomonreally</t>
  </si>
  <si>
    <t>Marscandy</t>
  </si>
  <si>
    <t>Midline</t>
  </si>
  <si>
    <t>ninjaname</t>
  </si>
  <si>
    <t>Licom</t>
  </si>
  <si>
    <t>Dr4m4</t>
  </si>
  <si>
    <t>JayWinchester666</t>
  </si>
  <si>
    <t>NightWolf15</t>
  </si>
  <si>
    <t>Mvrph</t>
  </si>
  <si>
    <t>UltimateCuB3R</t>
  </si>
  <si>
    <t>Fraenkileinkleini</t>
  </si>
  <si>
    <t>Peti</t>
  </si>
  <si>
    <t>NeeseHoe</t>
  </si>
  <si>
    <t>Ederson10</t>
  </si>
  <si>
    <t>heyje</t>
  </si>
  <si>
    <t>Mamorion</t>
  </si>
  <si>
    <t>Gergl15</t>
  </si>
  <si>
    <t>Pfiifoltra</t>
  </si>
  <si>
    <t>rurik1338</t>
  </si>
  <si>
    <t>okan41</t>
  </si>
  <si>
    <t>Manuellsen92</t>
  </si>
  <si>
    <t>Tomatenbrot</t>
  </si>
  <si>
    <t>TheMagicSniper</t>
  </si>
  <si>
    <t>Rdien</t>
  </si>
  <si>
    <t>hackel</t>
  </si>
  <si>
    <t>Mobile-Infantry</t>
  </si>
  <si>
    <t>Bierflex</t>
  </si>
  <si>
    <t>saschaaa</t>
  </si>
  <si>
    <t>Blackice147</t>
  </si>
  <si>
    <t>Ennda</t>
  </si>
  <si>
    <t>DjPremier</t>
  </si>
  <si>
    <t>RRwoody</t>
  </si>
  <si>
    <t>Tr3x0r420</t>
  </si>
  <si>
    <t>Tomczio</t>
  </si>
  <si>
    <t>Havock</t>
  </si>
  <si>
    <t>earlyd</t>
  </si>
  <si>
    <t>Yagyuu</t>
  </si>
  <si>
    <t>bear911</t>
  </si>
  <si>
    <t>Boehmling1997</t>
  </si>
  <si>
    <t>JetSheeran</t>
  </si>
  <si>
    <t>Mr.Greeen</t>
  </si>
  <si>
    <t>Earlyeve</t>
  </si>
  <si>
    <t>Caot17</t>
  </si>
  <si>
    <t>xlFamous</t>
  </si>
  <si>
    <t>Blackburny</t>
  </si>
  <si>
    <t>Yasei</t>
  </si>
  <si>
    <t>Killstein</t>
  </si>
  <si>
    <t>Dunkelzwerg</t>
  </si>
  <si>
    <t>Black-Python</t>
  </si>
  <si>
    <t>Mischamalist</t>
  </si>
  <si>
    <t>jj44</t>
  </si>
  <si>
    <t>dapeter</t>
  </si>
  <si>
    <t>Chlytaler</t>
  </si>
  <si>
    <t>Fenerium</t>
  </si>
  <si>
    <t>Deal94</t>
  </si>
  <si>
    <t>Hallo1r</t>
  </si>
  <si>
    <t>Mikasa-Schleicher</t>
  </si>
  <si>
    <t>gmpwt</t>
  </si>
  <si>
    <t>PHMU</t>
  </si>
  <si>
    <t>Teclis44</t>
  </si>
  <si>
    <t>Swaface</t>
  </si>
  <si>
    <t>Nobadti</t>
  </si>
  <si>
    <t>Scorpo</t>
  </si>
  <si>
    <t>Tigger.</t>
  </si>
  <si>
    <t>AK-Schuetze</t>
  </si>
  <si>
    <t>kleindutz</t>
  </si>
  <si>
    <t>mulek</t>
  </si>
  <si>
    <t>Torres</t>
  </si>
  <si>
    <t>radoradi</t>
  </si>
  <si>
    <t>TEET</t>
  </si>
  <si>
    <t>Kubi-12345</t>
  </si>
  <si>
    <t>Corpehofi</t>
  </si>
  <si>
    <t>djbazy</t>
  </si>
  <si>
    <t>Morti001</t>
  </si>
  <si>
    <t>Knusi77</t>
  </si>
  <si>
    <t>BappoChoked</t>
  </si>
  <si>
    <t>sleax96</t>
  </si>
  <si>
    <t>barny1955</t>
  </si>
  <si>
    <t>Dr.Stein</t>
  </si>
  <si>
    <t>Jeder90</t>
  </si>
  <si>
    <t>Futzi1</t>
  </si>
  <si>
    <t>daniminga</t>
  </si>
  <si>
    <t>Hellnoicer</t>
  </si>
  <si>
    <t>Kettlord</t>
  </si>
  <si>
    <t>Belon</t>
  </si>
  <si>
    <t>kresti1992</t>
  </si>
  <si>
    <t>Apathie</t>
  </si>
  <si>
    <t>Charly2407</t>
  </si>
  <si>
    <t>tgbvfr</t>
  </si>
  <si>
    <t>Milo90</t>
  </si>
  <si>
    <t>zappes</t>
  </si>
  <si>
    <t>kleineLotti</t>
  </si>
  <si>
    <t>Alpha94</t>
  </si>
  <si>
    <t>SaimonS</t>
  </si>
  <si>
    <t>wernerbbg</t>
  </si>
  <si>
    <t>TheMwS</t>
  </si>
  <si>
    <t>hamster97</t>
  </si>
  <si>
    <t>cheesy94</t>
  </si>
  <si>
    <t>Dietach</t>
  </si>
  <si>
    <t>DayWalk3r</t>
  </si>
  <si>
    <t>GonkoBonko</t>
  </si>
  <si>
    <t>Crackmaier117</t>
  </si>
  <si>
    <t>Lugge738</t>
  </si>
  <si>
    <t>robin2909</t>
  </si>
  <si>
    <t>Polek1994</t>
  </si>
  <si>
    <t>JulianT2391</t>
  </si>
  <si>
    <t>Xzabe901</t>
  </si>
  <si>
    <t>K5in1</t>
  </si>
  <si>
    <t>Sidney69</t>
  </si>
  <si>
    <t>blitza99</t>
  </si>
  <si>
    <t>Ordensk1ll3r</t>
  </si>
  <si>
    <t>El-schubserero</t>
  </si>
  <si>
    <t>Mauki38</t>
  </si>
  <si>
    <t>toxxit</t>
  </si>
  <si>
    <t>Vamarox</t>
  </si>
  <si>
    <t>chupapueblos</t>
  </si>
  <si>
    <t>Xetas</t>
  </si>
  <si>
    <t>darren</t>
  </si>
  <si>
    <t>masterluk24</t>
  </si>
  <si>
    <t>Pr3Soul</t>
  </si>
  <si>
    <t>TheSensei27</t>
  </si>
  <si>
    <t>Siaz</t>
  </si>
  <si>
    <t>W4yne</t>
  </si>
  <si>
    <t>Sykhness</t>
  </si>
  <si>
    <t>CikeCvit</t>
  </si>
  <si>
    <t>SendMeNoodles</t>
  </si>
  <si>
    <t>mitzekatze</t>
  </si>
  <si>
    <t>bergsteiger1</t>
  </si>
  <si>
    <t>Monkey-D.-Ruffy</t>
  </si>
  <si>
    <t>KingKuerbi</t>
  </si>
  <si>
    <t>Krona</t>
  </si>
  <si>
    <t>peila0815</t>
  </si>
  <si>
    <t>Nimm2Lachgummis</t>
  </si>
  <si>
    <t>RSPSOG</t>
  </si>
  <si>
    <t>Deathic</t>
  </si>
  <si>
    <t>WtfImLagging</t>
  </si>
  <si>
    <t>EmuSaFaRi</t>
  </si>
  <si>
    <t>Timmaey</t>
  </si>
  <si>
    <t>grizdian</t>
  </si>
  <si>
    <t>DiiiN0</t>
  </si>
  <si>
    <t>Sir.Gunter</t>
  </si>
  <si>
    <t>blondiethebest</t>
  </si>
  <si>
    <t>walujew</t>
  </si>
  <si>
    <t>M.x.ri.x</t>
  </si>
  <si>
    <t>Xandna</t>
  </si>
  <si>
    <t>OldManMarc</t>
  </si>
  <si>
    <t>Farazzuu</t>
  </si>
  <si>
    <t>fazerkex</t>
  </si>
  <si>
    <t>ProfessorHastig</t>
  </si>
  <si>
    <t>killjumper</t>
  </si>
  <si>
    <t>Tobsen94</t>
  </si>
  <si>
    <t>pauliboy94</t>
  </si>
  <si>
    <t>lukasnixie</t>
  </si>
  <si>
    <t>MrNixie5555</t>
  </si>
  <si>
    <t>Bavaria.Fantastica</t>
  </si>
  <si>
    <t>Dragonfly</t>
  </si>
  <si>
    <t>Cochiloco</t>
  </si>
  <si>
    <t>Zentzer</t>
  </si>
  <si>
    <t>nicoooo</t>
  </si>
  <si>
    <t>condante</t>
  </si>
  <si>
    <t>alex27</t>
  </si>
  <si>
    <t>Streak94</t>
  </si>
  <si>
    <t>Ittai</t>
  </si>
  <si>
    <t>Meikaay</t>
  </si>
  <si>
    <t>PuzzIes</t>
  </si>
  <si>
    <t>WassilijFukov</t>
  </si>
  <si>
    <t>PaChrEd</t>
  </si>
  <si>
    <t>grimreaper89</t>
  </si>
  <si>
    <t>Cloud17</t>
  </si>
  <si>
    <t>snoop2810</t>
  </si>
  <si>
    <t>Quastenflosser</t>
  </si>
  <si>
    <t>alterschwede008</t>
  </si>
  <si>
    <t>Camacho</t>
  </si>
  <si>
    <t>Fusspilz</t>
  </si>
  <si>
    <t>Jonnybanana</t>
  </si>
  <si>
    <t>Darano</t>
  </si>
  <si>
    <t>annilywe</t>
  </si>
  <si>
    <t>Alkoholik</t>
  </si>
  <si>
    <t>Tiramisu</t>
  </si>
  <si>
    <t>Vanilletraeumchen</t>
  </si>
  <si>
    <t>Schokokuss</t>
  </si>
  <si>
    <t>Thaqlol</t>
  </si>
  <si>
    <t>LorimoD420</t>
  </si>
  <si>
    <t>Kernei</t>
  </si>
  <si>
    <t>Tatranka</t>
  </si>
  <si>
    <t>Fr0ze</t>
  </si>
  <si>
    <t>Mattio</t>
  </si>
  <si>
    <t>staywhoyouare</t>
  </si>
  <si>
    <t>Overdose704</t>
  </si>
  <si>
    <t>rumantsch</t>
  </si>
  <si>
    <t>Islander2</t>
  </si>
  <si>
    <t>hego</t>
  </si>
  <si>
    <t>Arsix</t>
  </si>
  <si>
    <t>Vermicelles</t>
  </si>
  <si>
    <t>Cookie1204</t>
  </si>
  <si>
    <t>Erdbeerschokogeist</t>
  </si>
  <si>
    <t>robotov</t>
  </si>
  <si>
    <t>schokowoelkchen</t>
  </si>
  <si>
    <t>DerBrummer</t>
  </si>
  <si>
    <t>Nonameder1.</t>
  </si>
  <si>
    <t>MRWizZlerzZz</t>
  </si>
  <si>
    <t>LordKreuzWolf</t>
  </si>
  <si>
    <t>tosch99</t>
  </si>
  <si>
    <t>bandito-.</t>
  </si>
  <si>
    <t>Juligon93</t>
  </si>
  <si>
    <t>Summseseumm</t>
  </si>
  <si>
    <t>Oxiro</t>
  </si>
  <si>
    <t>Cremschnitte</t>
  </si>
  <si>
    <t>Goggei</t>
  </si>
  <si>
    <t>bpm-junk</t>
  </si>
  <si>
    <t>Schneeleopard</t>
  </si>
  <si>
    <t>Blackaerox03</t>
  </si>
  <si>
    <t>Seploure</t>
  </si>
  <si>
    <t>michi011</t>
  </si>
  <si>
    <t>Supersauser</t>
  </si>
  <si>
    <t>Petra64</t>
  </si>
  <si>
    <t>Alina12</t>
  </si>
  <si>
    <t>Add-On-</t>
  </si>
  <si>
    <t>Meisterproperin</t>
  </si>
  <si>
    <t>Fortuna88</t>
  </si>
  <si>
    <t>DerMorich</t>
  </si>
  <si>
    <t>klaus4</t>
  </si>
  <si>
    <t>Kinglu-N</t>
  </si>
  <si>
    <t>Zwahlen</t>
  </si>
  <si>
    <t>Wixxer08</t>
  </si>
  <si>
    <t>Sev01</t>
  </si>
  <si>
    <t>EyeDay</t>
  </si>
  <si>
    <t>Reisender.</t>
  </si>
  <si>
    <t>EuPhArDi</t>
  </si>
  <si>
    <t>Bakeroll</t>
  </si>
  <si>
    <t>Playboy32</t>
  </si>
  <si>
    <t>Osteowill</t>
  </si>
  <si>
    <t>Malcox</t>
  </si>
  <si>
    <t>SupremooZ</t>
  </si>
  <si>
    <t>agatokle</t>
  </si>
  <si>
    <t>Saschamw</t>
  </si>
  <si>
    <t>Ixamreniets</t>
  </si>
  <si>
    <t>ZerOne</t>
  </si>
  <si>
    <t>voitijaner</t>
  </si>
  <si>
    <t>Pyrrhus</t>
  </si>
  <si>
    <t>Friderik</t>
  </si>
  <si>
    <t>nExtremo</t>
  </si>
  <si>
    <t>UntoldKing</t>
  </si>
  <si>
    <t>XxVamPiRexX</t>
  </si>
  <si>
    <t>Gilfchecker</t>
  </si>
  <si>
    <t>KnackerVomAcker</t>
  </si>
  <si>
    <t>Stempa20</t>
  </si>
  <si>
    <t>pYrat</t>
  </si>
  <si>
    <t>Bagomet</t>
  </si>
  <si>
    <t>Grifin</t>
  </si>
  <si>
    <t>dorluggas</t>
  </si>
  <si>
    <t>N3verlucky</t>
  </si>
  <si>
    <t>karakartal</t>
  </si>
  <si>
    <t>Goliantos</t>
  </si>
  <si>
    <t>Thunderus</t>
  </si>
  <si>
    <t>Cako73</t>
  </si>
  <si>
    <t>Donauwelle</t>
  </si>
  <si>
    <t>moenchen7</t>
  </si>
  <si>
    <t>Schwenk</t>
  </si>
  <si>
    <t>kiel90</t>
  </si>
  <si>
    <t>weberweber1995</t>
  </si>
  <si>
    <t>Daarler</t>
  </si>
  <si>
    <t>xUganax</t>
  </si>
  <si>
    <t>gwendoline</t>
  </si>
  <si>
    <t>Bonus93</t>
  </si>
  <si>
    <t>LordWilhelm</t>
  </si>
  <si>
    <t>schonbesser</t>
  </si>
  <si>
    <t>lolpop4</t>
  </si>
  <si>
    <t>musicinmyveins</t>
  </si>
  <si>
    <t>Harz4Hubi</t>
  </si>
  <si>
    <t>henkeeeeee</t>
  </si>
  <si>
    <t>SgtCoward</t>
  </si>
  <si>
    <t>herzn</t>
  </si>
  <si>
    <t>Spider902</t>
  </si>
  <si>
    <t>VATAN06</t>
  </si>
  <si>
    <t>Zimpi</t>
  </si>
  <si>
    <t>Raubritter-Grabi</t>
  </si>
  <si>
    <t>kampfsalami94</t>
  </si>
  <si>
    <t>lockfire</t>
  </si>
  <si>
    <t>mrhashtag</t>
  </si>
  <si>
    <t>Fraggy</t>
  </si>
  <si>
    <t>SnowxD</t>
  </si>
  <si>
    <t>Retep</t>
  </si>
  <si>
    <t>Bammkuh</t>
  </si>
  <si>
    <t>heissi</t>
  </si>
  <si>
    <t>Pumuckel77</t>
  </si>
  <si>
    <t>Jocki</t>
  </si>
  <si>
    <t>Gottmarw</t>
  </si>
  <si>
    <t>ihsoh</t>
  </si>
  <si>
    <t>FinalItachi</t>
  </si>
  <si>
    <t>BraznRagnor</t>
  </si>
  <si>
    <t>criox</t>
  </si>
  <si>
    <t>logoutwirzockenminecraft</t>
  </si>
  <si>
    <t>Rembo</t>
  </si>
  <si>
    <t>Aarminius</t>
  </si>
  <si>
    <t>SturmHans</t>
  </si>
  <si>
    <t>fuxxy</t>
  </si>
  <si>
    <t>Olga77</t>
  </si>
  <si>
    <t>Akaviri</t>
  </si>
  <si>
    <t>BigPoppa</t>
  </si>
  <si>
    <t>SirLanzeloterus</t>
  </si>
  <si>
    <t>Jibbolo</t>
  </si>
  <si>
    <t>BierBierBierBettBettBett</t>
  </si>
  <si>
    <t>xxlxon1</t>
  </si>
  <si>
    <t>Bonkikong</t>
  </si>
  <si>
    <t>Squatusalem</t>
  </si>
  <si>
    <t>DanX187</t>
  </si>
  <si>
    <t>Luts</t>
  </si>
  <si>
    <t>baumeister39</t>
  </si>
  <si>
    <t>Thisek</t>
  </si>
  <si>
    <t>Horst2000</t>
  </si>
  <si>
    <t>Spindoctor</t>
  </si>
  <si>
    <t>wrzlprzl</t>
  </si>
  <si>
    <t>xAliceD</t>
  </si>
  <si>
    <t>Mongobums</t>
  </si>
  <si>
    <t>slinDynamic</t>
  </si>
  <si>
    <t>westii95</t>
  </si>
  <si>
    <t>Rayric</t>
  </si>
  <si>
    <t>tomki0610</t>
  </si>
  <si>
    <t>LawVii</t>
  </si>
  <si>
    <t>Jyggalag</t>
  </si>
  <si>
    <t>SeltaGlas</t>
  </si>
  <si>
    <t>John117</t>
  </si>
  <si>
    <t>marcelbk</t>
  </si>
  <si>
    <t>SpongeMe</t>
  </si>
  <si>
    <t>Benschop</t>
  </si>
  <si>
    <t>feednaz</t>
  </si>
  <si>
    <t>Komiker</t>
  </si>
  <si>
    <t>AdelnNachZahlen</t>
  </si>
  <si>
    <t>madox</t>
  </si>
  <si>
    <t>Tubu</t>
  </si>
  <si>
    <t>Eneee</t>
  </si>
  <si>
    <t>ToStrikeBack</t>
  </si>
  <si>
    <t>Mikel-chan</t>
  </si>
  <si>
    <t>Rontschi</t>
  </si>
  <si>
    <t>Omit0</t>
  </si>
  <si>
    <t>Murasaki-kun</t>
  </si>
  <si>
    <t>SeppGustl</t>
  </si>
  <si>
    <t>Salamander</t>
  </si>
  <si>
    <t>ChilledLuc</t>
  </si>
  <si>
    <t>Flamonet</t>
  </si>
  <si>
    <t>Daro</t>
  </si>
  <si>
    <t>serear</t>
  </si>
  <si>
    <t>atakan5252</t>
  </si>
  <si>
    <t>JoeFromSchool</t>
  </si>
  <si>
    <t>PurpleUnicum</t>
  </si>
  <si>
    <t>DannyB</t>
  </si>
  <si>
    <t>Wildtoeter</t>
  </si>
  <si>
    <t>Yoxcu</t>
  </si>
  <si>
    <t>sanchezz.</t>
  </si>
  <si>
    <t>DexOshikuru</t>
  </si>
  <si>
    <t>LordBabo</t>
  </si>
  <si>
    <t>Lauri1803</t>
  </si>
  <si>
    <t>DieWaldfee</t>
  </si>
  <si>
    <t>Doodlemonster</t>
  </si>
  <si>
    <t>Didavo</t>
  </si>
  <si>
    <t>Kkkolibri</t>
  </si>
  <si>
    <t>FreeVolmer</t>
  </si>
  <si>
    <t>kedoexe</t>
  </si>
  <si>
    <t>d0ppelkeks</t>
  </si>
  <si>
    <t>halllloooo</t>
  </si>
  <si>
    <t>Oachkazlschwoaf</t>
  </si>
  <si>
    <t>LordBendtnerr</t>
  </si>
  <si>
    <t>Daneben4</t>
  </si>
  <si>
    <t>zwisler</t>
  </si>
  <si>
    <t>Torde</t>
  </si>
  <si>
    <t>BioHazard</t>
  </si>
  <si>
    <t>Daen1893</t>
  </si>
  <si>
    <t>Rivern</t>
  </si>
  <si>
    <t>snagghetty</t>
  </si>
  <si>
    <t>RobinHood007</t>
  </si>
  <si>
    <t>Earny</t>
  </si>
  <si>
    <t>KeyKey</t>
  </si>
  <si>
    <t>Chiller-Buraggg</t>
  </si>
  <si>
    <t>SatansBratan</t>
  </si>
  <si>
    <t>ggborat</t>
  </si>
  <si>
    <t>LaggyScream</t>
  </si>
  <si>
    <t>roger98</t>
  </si>
  <si>
    <t>Blacksmith</t>
  </si>
  <si>
    <t>tunk</t>
  </si>
  <si>
    <t>Rapt1le</t>
  </si>
  <si>
    <t>Superspreader</t>
  </si>
  <si>
    <t>Trainspot</t>
  </si>
  <si>
    <t>-Morti-</t>
  </si>
  <si>
    <t>Aber.bitte.mit.Sahne</t>
  </si>
  <si>
    <t>bashsch</t>
  </si>
  <si>
    <t>Pumikel</t>
  </si>
  <si>
    <t>igorscene</t>
  </si>
  <si>
    <t>Cr3p3s</t>
  </si>
  <si>
    <t>Nussstrudlrudl</t>
  </si>
  <si>
    <t>Obronko</t>
  </si>
  <si>
    <t>V4p3X</t>
  </si>
  <si>
    <t>Adelnos</t>
  </si>
  <si>
    <t>Hexal</t>
  </si>
  <si>
    <t>Streier04</t>
  </si>
  <si>
    <t>Amaterasu-o-mi-kami</t>
  </si>
  <si>
    <t>Timo1997</t>
  </si>
  <si>
    <t>Schnilsi</t>
  </si>
  <si>
    <t>DaKickZz</t>
  </si>
  <si>
    <t>Panzerband</t>
  </si>
  <si>
    <t>Timbosliceee</t>
  </si>
  <si>
    <t>EmBo123</t>
  </si>
  <si>
    <t>Manusfredus21</t>
  </si>
  <si>
    <t>Klausinger</t>
  </si>
  <si>
    <t>Jimi30</t>
  </si>
  <si>
    <t>Corji</t>
  </si>
  <si>
    <t>Tsume</t>
  </si>
  <si>
    <t>Hypax</t>
  </si>
  <si>
    <t>Cup-Cake</t>
  </si>
  <si>
    <t>ILMagnifico95</t>
  </si>
  <si>
    <t>Damnus</t>
  </si>
  <si>
    <t>JooWieso</t>
  </si>
  <si>
    <t>Legou</t>
  </si>
  <si>
    <t>Vlasche</t>
  </si>
  <si>
    <t>18Miki</t>
  </si>
  <si>
    <t>hardknorr</t>
  </si>
  <si>
    <t>Reeses</t>
  </si>
  <si>
    <t>Capipizza</t>
  </si>
  <si>
    <t>Topfengolatschen</t>
  </si>
  <si>
    <t>BonziusPilates</t>
  </si>
  <si>
    <t>danischm28</t>
  </si>
  <si>
    <t>R3D-KILL-M0NK3Y</t>
  </si>
  <si>
    <t>Kelar</t>
  </si>
  <si>
    <t>ChillenD</t>
  </si>
  <si>
    <t>McPaolo</t>
  </si>
  <si>
    <t>Panshow</t>
  </si>
  <si>
    <t>schuessel</t>
  </si>
  <si>
    <t>SanchowPanchow</t>
  </si>
  <si>
    <t>ttprofi</t>
  </si>
  <si>
    <t>Korir</t>
  </si>
  <si>
    <t>WMitty</t>
  </si>
  <si>
    <t>8DX247</t>
  </si>
  <si>
    <t>KingCurrywurst</t>
  </si>
  <si>
    <t>Treece</t>
  </si>
  <si>
    <t>Yondu</t>
  </si>
  <si>
    <t>Stronzo</t>
  </si>
  <si>
    <t>Dakurlzz</t>
  </si>
  <si>
    <t>RedDevIL15</t>
  </si>
  <si>
    <t>Linn214</t>
  </si>
  <si>
    <t>domsen123</t>
  </si>
  <si>
    <t>LochnessRapgoddess</t>
  </si>
  <si>
    <t>Wiederlich</t>
  </si>
  <si>
    <t>Beefky</t>
  </si>
  <si>
    <t>Stinker11</t>
  </si>
  <si>
    <t>Leeeeeni</t>
  </si>
  <si>
    <t>Kine84</t>
  </si>
  <si>
    <t>Hadhod</t>
  </si>
  <si>
    <t>luke21</t>
  </si>
  <si>
    <t>TheOneAndOnly</t>
  </si>
  <si>
    <t>Grotob1</t>
  </si>
  <si>
    <t>Taaaimz</t>
  </si>
  <si>
    <t>Gang06</t>
  </si>
  <si>
    <t>johsto</t>
  </si>
  <si>
    <t>Millander</t>
  </si>
  <si>
    <t>Beton7</t>
  </si>
  <si>
    <t>pewpew2000</t>
  </si>
  <si>
    <t>Shape123</t>
  </si>
  <si>
    <t>96slayer</t>
  </si>
  <si>
    <t>xray66629</t>
  </si>
  <si>
    <t>SM69</t>
  </si>
  <si>
    <t>Anto</t>
  </si>
  <si>
    <t>Nasuuus</t>
  </si>
  <si>
    <t>McTank</t>
  </si>
  <si>
    <t>KevGoetzi</t>
  </si>
  <si>
    <t>Dekk</t>
  </si>
  <si>
    <t>Benery</t>
  </si>
  <si>
    <t>oraenv</t>
  </si>
  <si>
    <t>lihi</t>
  </si>
  <si>
    <t>Maskman95</t>
  </si>
  <si>
    <t>solarkraftwerk</t>
  </si>
  <si>
    <t>DesT1nY1</t>
  </si>
  <si>
    <t>jakusizz</t>
  </si>
  <si>
    <t>HappyFisherman</t>
  </si>
  <si>
    <t>Zoox</t>
  </si>
  <si>
    <t>Wolfgang85</t>
  </si>
  <si>
    <t>Cedii92</t>
  </si>
  <si>
    <t>Flexeer</t>
  </si>
  <si>
    <t>fruitisiert</t>
  </si>
  <si>
    <t>Greidl</t>
  </si>
  <si>
    <t>HjalmarT</t>
  </si>
  <si>
    <t>Hardey17</t>
  </si>
  <si>
    <t>jacques1</t>
  </si>
  <si>
    <t>WaYnN</t>
  </si>
  <si>
    <t>ZuWildhrrr</t>
  </si>
  <si>
    <t>NightWolf1708</t>
  </si>
  <si>
    <t>EinSpion</t>
  </si>
  <si>
    <t>3RorR1</t>
  </si>
  <si>
    <t>Beton2</t>
  </si>
  <si>
    <t>D3nGeR0uZ</t>
  </si>
  <si>
    <t>ialbix3</t>
  </si>
  <si>
    <t>weihnaxmann</t>
  </si>
  <si>
    <t>SilentDeath</t>
  </si>
  <si>
    <t>Copter</t>
  </si>
  <si>
    <t>Shaun</t>
  </si>
  <si>
    <t>19devil96</t>
  </si>
  <si>
    <t>Somewhere</t>
  </si>
  <si>
    <t>xXStubenhockerXx</t>
  </si>
  <si>
    <t>Elastris</t>
  </si>
  <si>
    <t>brimstone12</t>
  </si>
  <si>
    <t>chriiissiii30</t>
  </si>
  <si>
    <t>Tomatenmonster</t>
  </si>
  <si>
    <t>c.ronaldo-17</t>
  </si>
  <si>
    <t>Siloballe</t>
  </si>
  <si>
    <t>Seasonxhd</t>
  </si>
  <si>
    <t>Morgomar</t>
  </si>
  <si>
    <t>haemmy2</t>
  </si>
  <si>
    <t>fetti23</t>
  </si>
  <si>
    <t>Spriee</t>
  </si>
  <si>
    <t>destroyer13</t>
  </si>
  <si>
    <t>Sking</t>
  </si>
  <si>
    <t>jaab</t>
  </si>
  <si>
    <t>Bierserker88</t>
  </si>
  <si>
    <t>Anstrum7</t>
  </si>
  <si>
    <t>BaumeisterBob</t>
  </si>
  <si>
    <t>Bierstattskill</t>
  </si>
  <si>
    <t>Gargoyle123</t>
  </si>
  <si>
    <t>ChrizJey</t>
  </si>
  <si>
    <t>Doodlebrot</t>
  </si>
  <si>
    <t>TyVole</t>
  </si>
  <si>
    <t>Schlewis</t>
  </si>
  <si>
    <t>ToadsWut</t>
  </si>
  <si>
    <t>Pinguin168</t>
  </si>
  <si>
    <t>Sinthoras13</t>
  </si>
  <si>
    <t>Schrappi</t>
  </si>
  <si>
    <t>10Noah10</t>
  </si>
  <si>
    <t>FloAttake</t>
  </si>
  <si>
    <t>Panschu</t>
  </si>
  <si>
    <t>ManuFr</t>
  </si>
  <si>
    <t>therealeliminator</t>
  </si>
  <si>
    <t>GaNgStEr-HL95</t>
  </si>
  <si>
    <t>JamesBompf</t>
  </si>
  <si>
    <t>Fis4Febboe</t>
  </si>
  <si>
    <t>Farmer00</t>
  </si>
  <si>
    <t>Roja</t>
  </si>
  <si>
    <t>DerSchwonkinator</t>
  </si>
  <si>
    <t>Cindysan</t>
  </si>
  <si>
    <t>Wiztard</t>
  </si>
  <si>
    <t>FuchsTrix</t>
  </si>
  <si>
    <t>Schlabbesaacher</t>
  </si>
  <si>
    <t>Nuvenor</t>
  </si>
  <si>
    <t>Anna09</t>
  </si>
  <si>
    <t>Dreisatz</t>
  </si>
  <si>
    <t>Ratskrone</t>
  </si>
  <si>
    <t>Purete</t>
  </si>
  <si>
    <t>ravedave69</t>
  </si>
  <si>
    <t>Drex</t>
  </si>
  <si>
    <t>DrSpecht</t>
  </si>
  <si>
    <t>Maximierer0815</t>
  </si>
  <si>
    <t>Pabloseier</t>
  </si>
  <si>
    <t>BidiT4</t>
  </si>
  <si>
    <t>Knirz</t>
  </si>
  <si>
    <t>BernieBlanco</t>
  </si>
  <si>
    <t>OBiOnEX</t>
  </si>
  <si>
    <t>.Streuselcake</t>
  </si>
  <si>
    <t>Amox2k</t>
  </si>
  <si>
    <t>QueenKlaus461</t>
  </si>
  <si>
    <t>AdrianH96</t>
  </si>
  <si>
    <t>sili0</t>
  </si>
  <si>
    <t>daddy44</t>
  </si>
  <si>
    <t>Paninialbum</t>
  </si>
  <si>
    <t>Oxlfoxl</t>
  </si>
  <si>
    <t>AladinderPaladin</t>
  </si>
  <si>
    <t>Takki</t>
  </si>
  <si>
    <t>Bl3nd97</t>
  </si>
  <si>
    <t>Umbrae</t>
  </si>
  <si>
    <t>Mikinecko</t>
  </si>
  <si>
    <t>ninja96</t>
  </si>
  <si>
    <t>HorseBatteryStaple</t>
  </si>
  <si>
    <t>masterblaster3000</t>
  </si>
  <si>
    <t>Kampfnudel</t>
  </si>
  <si>
    <t>rudolfo269</t>
  </si>
  <si>
    <t>ShaquilleOatmeal</t>
  </si>
  <si>
    <t>SchlauerMensch</t>
  </si>
  <si>
    <t>Rakethe93</t>
  </si>
  <si>
    <t>Bazille</t>
  </si>
  <si>
    <t>boris78</t>
  </si>
  <si>
    <t>Brotbacker</t>
  </si>
  <si>
    <t>olitheowner</t>
  </si>
  <si>
    <t>FREDAYS</t>
  </si>
  <si>
    <t>Cludeo</t>
  </si>
  <si>
    <t>SyxItInMan</t>
  </si>
  <si>
    <t>argon.</t>
  </si>
  <si>
    <t>blossomguard8</t>
  </si>
  <si>
    <t>DerKlassiker</t>
  </si>
  <si>
    <t>Rush5</t>
  </si>
  <si>
    <t>Ausaht</t>
  </si>
  <si>
    <t>Peyksi</t>
  </si>
  <si>
    <t>Tiri0s</t>
  </si>
  <si>
    <t>Ivanhoe21</t>
  </si>
  <si>
    <t>Gerado</t>
  </si>
  <si>
    <t>GrimTheDevil</t>
  </si>
  <si>
    <t>WC-Ente</t>
  </si>
  <si>
    <t>redien</t>
  </si>
  <si>
    <t>Eugenda</t>
  </si>
  <si>
    <t>op77</t>
  </si>
  <si>
    <t>Xeroc</t>
  </si>
  <si>
    <t>JumpJack</t>
  </si>
  <si>
    <t>Todtt</t>
  </si>
  <si>
    <t>BigDigMarcellus</t>
  </si>
  <si>
    <t>Cellle</t>
  </si>
  <si>
    <t>johnwick19</t>
  </si>
  <si>
    <t>KevR6S</t>
  </si>
  <si>
    <t>MarcKackBob</t>
  </si>
  <si>
    <t>EinfachGW.</t>
  </si>
  <si>
    <t>Ghosper</t>
  </si>
  <si>
    <t>Akiro</t>
  </si>
  <si>
    <t>Ruthchen</t>
  </si>
  <si>
    <t>Dero46</t>
  </si>
  <si>
    <t>icebreaker88</t>
  </si>
  <si>
    <t>Kingcrog</t>
  </si>
  <si>
    <t>Sheribaaam</t>
  </si>
  <si>
    <t>OG-Lakers</t>
  </si>
  <si>
    <t>Inc.266</t>
  </si>
  <si>
    <t>sashquad1992</t>
  </si>
  <si>
    <t>Fabo</t>
  </si>
  <si>
    <t>nicolofsci</t>
  </si>
  <si>
    <t>blackout.</t>
  </si>
  <si>
    <t>bigpi</t>
  </si>
  <si>
    <t>HallOfFam3</t>
  </si>
  <si>
    <t>Skaxi</t>
  </si>
  <si>
    <t>pr0gamer</t>
  </si>
  <si>
    <t>Tribalfighter</t>
  </si>
  <si>
    <t>lockeplayer93</t>
  </si>
  <si>
    <t>Kingxg</t>
  </si>
  <si>
    <t>Uwe1995</t>
  </si>
  <si>
    <t>ChrissiWuute</t>
  </si>
  <si>
    <t>bibabobba85</t>
  </si>
  <si>
    <t>liddle.lo</t>
  </si>
  <si>
    <t>Hamgun</t>
  </si>
  <si>
    <t>xFaTeDx</t>
  </si>
  <si>
    <t>helm7</t>
  </si>
  <si>
    <t>Amadis</t>
  </si>
  <si>
    <t>Dstern</t>
  </si>
  <si>
    <t>bruno434</t>
  </si>
  <si>
    <t>jeennssuuss</t>
  </si>
  <si>
    <t>saftschinken</t>
  </si>
  <si>
    <t>Fannalh</t>
  </si>
  <si>
    <t>M.A.R.K.13</t>
  </si>
  <si>
    <t>TJay</t>
  </si>
  <si>
    <t>Sgtalex</t>
  </si>
  <si>
    <t>Kroton</t>
  </si>
  <si>
    <t>JayJayoko</t>
  </si>
  <si>
    <t>boombot94</t>
  </si>
  <si>
    <t>Paninihunter</t>
  </si>
  <si>
    <t>heisenberg1000</t>
  </si>
  <si>
    <t>GrizzlySin</t>
  </si>
  <si>
    <t>Balu0378</t>
  </si>
  <si>
    <t>Tabbinator</t>
  </si>
  <si>
    <t>G.VonderFrau</t>
  </si>
  <si>
    <t>schurli12</t>
  </si>
  <si>
    <t>Quambec</t>
  </si>
  <si>
    <t>Ulbanizer1412</t>
  </si>
  <si>
    <t>Gilsandro</t>
  </si>
  <si>
    <t>SirHenty</t>
  </si>
  <si>
    <t>ForbiddenChild</t>
  </si>
  <si>
    <t>Killer-Bee</t>
  </si>
  <si>
    <t>mivoch</t>
  </si>
  <si>
    <t>Mortimer1000</t>
  </si>
  <si>
    <t>greenwolf94</t>
  </si>
  <si>
    <t>kloetentoeter</t>
  </si>
  <si>
    <t>Blackhell2301</t>
  </si>
  <si>
    <t>geyer36</t>
  </si>
  <si>
    <t>BademeisterLuis</t>
  </si>
  <si>
    <t>Milchbulle</t>
  </si>
  <si>
    <t>DerLongJohnson</t>
  </si>
  <si>
    <t>paolopercussini</t>
  </si>
  <si>
    <t>Gerhat</t>
  </si>
  <si>
    <t>RamaLama</t>
  </si>
  <si>
    <t>sheen</t>
  </si>
  <si>
    <t>Lollypop1807</t>
  </si>
  <si>
    <t>kirchi</t>
  </si>
  <si>
    <t>Yasu24</t>
  </si>
  <si>
    <t>Roflcopterinho</t>
  </si>
  <si>
    <t>ReKros</t>
  </si>
  <si>
    <t>Thelina</t>
  </si>
  <si>
    <t>Desparabro</t>
  </si>
  <si>
    <t>Hakan61</t>
  </si>
  <si>
    <t>Ballon</t>
  </si>
  <si>
    <t>Soleya</t>
  </si>
  <si>
    <t>Mc-Benz</t>
  </si>
  <si>
    <t>Klearn</t>
  </si>
  <si>
    <t>Vennie</t>
  </si>
  <si>
    <t>Actualdobry</t>
  </si>
  <si>
    <t>lucas112</t>
  </si>
  <si>
    <t>Asswin</t>
  </si>
  <si>
    <t>LordDrebin</t>
  </si>
  <si>
    <t>HerroHaze</t>
  </si>
  <si>
    <t>TheYufkaaa</t>
  </si>
  <si>
    <t>MichaelScofield</t>
  </si>
  <si>
    <t>Coooold</t>
  </si>
  <si>
    <t>Blancomanco</t>
  </si>
  <si>
    <t>HelleBelle</t>
  </si>
  <si>
    <t>Rutkarfolleksnattak</t>
  </si>
  <si>
    <t>TobyG235</t>
  </si>
  <si>
    <t>KleinerRacker</t>
  </si>
  <si>
    <t>Icky95</t>
  </si>
  <si>
    <t>xBergbaron</t>
  </si>
  <si>
    <t>Nympho</t>
  </si>
  <si>
    <t>quantus</t>
  </si>
  <si>
    <t>browsergametrottel</t>
  </si>
  <si>
    <t>Dr.Srwall</t>
  </si>
  <si>
    <t>Daison</t>
  </si>
  <si>
    <t>wgo-habasch</t>
  </si>
  <si>
    <t>DominatorPopeyeSaurus</t>
  </si>
  <si>
    <t>Max963235</t>
  </si>
  <si>
    <t>Philm</t>
  </si>
  <si>
    <t>ironn</t>
  </si>
  <si>
    <t>Socke76</t>
  </si>
  <si>
    <t>Katze123</t>
  </si>
  <si>
    <t>Purelike</t>
  </si>
  <si>
    <t>Shingarg</t>
  </si>
  <si>
    <t>extremmartin</t>
  </si>
  <si>
    <t>Axelsei</t>
  </si>
  <si>
    <t>Potexx</t>
  </si>
  <si>
    <t>Heide07</t>
  </si>
  <si>
    <t>Mightyace</t>
  </si>
  <si>
    <t>JLDD14</t>
  </si>
  <si>
    <t>Hastur</t>
  </si>
  <si>
    <t>ElChapito</t>
  </si>
  <si>
    <t>LosPersos</t>
  </si>
  <si>
    <t>DieAxt85</t>
  </si>
  <si>
    <t>Nami25</t>
  </si>
  <si>
    <t>BVB.09</t>
  </si>
  <si>
    <t>Aela</t>
  </si>
  <si>
    <t>Muhkuh1</t>
  </si>
  <si>
    <t>einmalik</t>
  </si>
  <si>
    <t>lynex</t>
  </si>
  <si>
    <t>Crood8</t>
  </si>
  <si>
    <t>fernglas</t>
  </si>
  <si>
    <t>CH1LL3R26</t>
  </si>
  <si>
    <t>Dado32</t>
  </si>
  <si>
    <t>Zenzei10</t>
  </si>
  <si>
    <t>FAbii127</t>
  </si>
  <si>
    <t>ChelseaFC</t>
  </si>
  <si>
    <t>fidorocks</t>
  </si>
  <si>
    <t>Terrorsatan</t>
  </si>
  <si>
    <t>mateamargo</t>
  </si>
  <si>
    <t>Gerhardeasy</t>
  </si>
  <si>
    <t>Sebi386</t>
  </si>
  <si>
    <t>schnappmacher</t>
  </si>
  <si>
    <t>DorfTrottel</t>
  </si>
  <si>
    <t>Ritzkeks</t>
  </si>
  <si>
    <t>Kangertech</t>
  </si>
  <si>
    <t>room101</t>
  </si>
  <si>
    <t>Mo1608</t>
  </si>
  <si>
    <t>Verdeli</t>
  </si>
  <si>
    <t>Thalthy</t>
  </si>
  <si>
    <t>Mike088</t>
  </si>
  <si>
    <t>Silverspeed</t>
  </si>
  <si>
    <t>maytin69</t>
  </si>
  <si>
    <t>Falukisia</t>
  </si>
  <si>
    <t>pluffi</t>
  </si>
  <si>
    <t>chris233</t>
  </si>
  <si>
    <t>Pascal2303</t>
  </si>
  <si>
    <t>Kapslbracker</t>
  </si>
  <si>
    <t>Urbanizer1412</t>
  </si>
  <si>
    <t>Trapsetter</t>
  </si>
  <si>
    <t>Kemmler93</t>
  </si>
  <si>
    <t>Sharp</t>
  </si>
  <si>
    <t>pSwag</t>
  </si>
  <si>
    <t>shigamini1</t>
  </si>
  <si>
    <t>VanKai1980</t>
  </si>
  <si>
    <t>99my99</t>
  </si>
  <si>
    <t>Venum</t>
  </si>
  <si>
    <t>Massaaaa</t>
  </si>
  <si>
    <t>Orgasmusmensch</t>
  </si>
  <si>
    <t>inf0rm4t1k0r</t>
  </si>
  <si>
    <t>THEC-Suffkopf</t>
  </si>
  <si>
    <t>vintruxius</t>
  </si>
  <si>
    <t>h010</t>
  </si>
  <si>
    <t>alleinsamkeit</t>
  </si>
  <si>
    <t>BurningsStyle</t>
  </si>
  <si>
    <t>Rico90</t>
  </si>
  <si>
    <t>ThiccChicc</t>
  </si>
  <si>
    <t>vonStarhemberg</t>
  </si>
  <si>
    <t>Richbert</t>
  </si>
  <si>
    <t>NewDesign</t>
  </si>
  <si>
    <t>Frohlicks</t>
  </si>
  <si>
    <t>philobi237</t>
  </si>
  <si>
    <t>Hugo-XXX</t>
  </si>
  <si>
    <t>Lacsi</t>
  </si>
  <si>
    <t>PineappleTheFruitDude99</t>
  </si>
  <si>
    <t>Katazing87</t>
  </si>
  <si>
    <t>aNraNr</t>
  </si>
  <si>
    <t>Pannen</t>
  </si>
  <si>
    <t>tanzba</t>
  </si>
  <si>
    <t>baba1</t>
  </si>
  <si>
    <t>KanSpor</t>
  </si>
  <si>
    <t>Babarendave1</t>
  </si>
  <si>
    <t>kudasai</t>
  </si>
  <si>
    <t>Perssie96</t>
  </si>
  <si>
    <t>Gurkerllift</t>
  </si>
  <si>
    <t>Lexsama</t>
  </si>
  <si>
    <t>S1qube</t>
  </si>
  <si>
    <t>Tomto</t>
  </si>
  <si>
    <t>martado</t>
  </si>
  <si>
    <t>Blackarrow</t>
  </si>
  <si>
    <t>Odini1972</t>
  </si>
  <si>
    <t>rikao</t>
  </si>
  <si>
    <t>Windulst</t>
  </si>
  <si>
    <t>kuchengurl</t>
  </si>
  <si>
    <t>S1ckFlick</t>
  </si>
  <si>
    <t>Kude1978</t>
  </si>
  <si>
    <t>Pasidas</t>
  </si>
  <si>
    <t>Niko78</t>
  </si>
  <si>
    <t>resurrection117</t>
  </si>
  <si>
    <t>wubbelus</t>
  </si>
  <si>
    <t>Just</t>
  </si>
  <si>
    <t>ckBescheid</t>
  </si>
  <si>
    <t>LadyTyrann</t>
  </si>
  <si>
    <t>delfinman</t>
  </si>
  <si>
    <t>easyeasy</t>
  </si>
  <si>
    <t>e-di</t>
  </si>
  <si>
    <t>JustRomanus</t>
  </si>
  <si>
    <t>federerer</t>
  </si>
  <si>
    <t>DaJuWi</t>
  </si>
  <si>
    <t>Wuestenfuchs</t>
  </si>
  <si>
    <t>puton</t>
  </si>
  <si>
    <t>LilJoseph27</t>
  </si>
  <si>
    <t>Wishmaster69</t>
  </si>
  <si>
    <t>KeverKatever</t>
  </si>
  <si>
    <t>Boboluager</t>
  </si>
  <si>
    <t>Genror</t>
  </si>
  <si>
    <t>djblyatman</t>
  </si>
  <si>
    <t>Gesetzesbrecher</t>
  </si>
  <si>
    <t>AkumiContent</t>
  </si>
  <si>
    <t>Crazy-Jo</t>
  </si>
  <si>
    <t>nick2</t>
  </si>
  <si>
    <t>Manu738</t>
  </si>
  <si>
    <t>Schoscho</t>
  </si>
  <si>
    <t>Dieter50</t>
  </si>
  <si>
    <t>MrBones</t>
  </si>
  <si>
    <t>Kamato</t>
  </si>
  <si>
    <t>fabiog1995</t>
  </si>
  <si>
    <t>Sienii</t>
  </si>
  <si>
    <t>Hagakure</t>
  </si>
  <si>
    <t>mmkZ</t>
  </si>
  <si>
    <t>Silas153</t>
  </si>
  <si>
    <t>Rhyi</t>
  </si>
  <si>
    <t>Mr.Jarves</t>
  </si>
  <si>
    <t>Andruscha</t>
  </si>
  <si>
    <t>Baba001</t>
  </si>
  <si>
    <t>DerHanner</t>
  </si>
  <si>
    <t>wora60</t>
  </si>
  <si>
    <t>Smarttron</t>
  </si>
  <si>
    <t>konfuzius16</t>
  </si>
  <si>
    <t>oli42</t>
  </si>
  <si>
    <t>XandorDD</t>
  </si>
  <si>
    <t>Akki</t>
  </si>
  <si>
    <t>sepprass</t>
  </si>
  <si>
    <t>Sytra</t>
  </si>
  <si>
    <t>eno19</t>
  </si>
  <si>
    <t>UtzPalutz</t>
  </si>
  <si>
    <t>Biaboy</t>
  </si>
  <si>
    <t>Famouzblood</t>
  </si>
  <si>
    <t>resSlinger69</t>
  </si>
  <si>
    <t>welovefeedz</t>
  </si>
  <si>
    <t>Mr.Reed</t>
  </si>
  <si>
    <t>TheScotsman</t>
  </si>
  <si>
    <t>C6M0</t>
  </si>
  <si>
    <t>Frexey</t>
  </si>
  <si>
    <t>Luxxine</t>
  </si>
  <si>
    <t>Oldi22</t>
  </si>
  <si>
    <t>Huuan</t>
  </si>
  <si>
    <t>Darksky</t>
  </si>
  <si>
    <t>carecry123</t>
  </si>
  <si>
    <t>HansiderBoss</t>
  </si>
  <si>
    <t>Nowak1956</t>
  </si>
  <si>
    <t>Gartoffel</t>
  </si>
  <si>
    <t>2way</t>
  </si>
  <si>
    <t>chocka7</t>
  </si>
  <si>
    <t>Thom4Zz</t>
  </si>
  <si>
    <t>2lms3</t>
  </si>
  <si>
    <t>RoastedAmena</t>
  </si>
  <si>
    <t>Eti1166</t>
  </si>
  <si>
    <t>jajaalbrooks</t>
  </si>
  <si>
    <t>Enorev</t>
  </si>
  <si>
    <t>achim32</t>
  </si>
  <si>
    <t>guanako20</t>
  </si>
  <si>
    <t>schame</t>
  </si>
  <si>
    <t>M4sterpiece</t>
  </si>
  <si>
    <t>HellesWasser</t>
  </si>
  <si>
    <t>FullMetalBender</t>
  </si>
  <si>
    <t>FunkyMaschine</t>
  </si>
  <si>
    <t>IsNoGuttt</t>
  </si>
  <si>
    <t>chw42413</t>
  </si>
  <si>
    <t>Smily</t>
  </si>
  <si>
    <t>tobi97</t>
  </si>
  <si>
    <t>OGMOFO187</t>
  </si>
  <si>
    <t>Trolly</t>
  </si>
  <si>
    <t>Jo98hannes</t>
  </si>
  <si>
    <t>discoschnupfen</t>
  </si>
  <si>
    <t>ritter315</t>
  </si>
  <si>
    <t>ossi978</t>
  </si>
  <si>
    <t>SpicyCunt</t>
  </si>
  <si>
    <t>WildHuntn9R</t>
  </si>
  <si>
    <t>Ironielol</t>
  </si>
  <si>
    <t>Ragekopter</t>
  </si>
  <si>
    <t>clau1313</t>
  </si>
  <si>
    <t>Raabinho</t>
  </si>
  <si>
    <t>Robiray18</t>
  </si>
  <si>
    <t>Andreas1997</t>
  </si>
  <si>
    <t>Brotachos</t>
  </si>
  <si>
    <t>Gilch</t>
  </si>
  <si>
    <t>Sparkman</t>
  </si>
  <si>
    <t>ItzMee28</t>
  </si>
  <si>
    <t>Kobaltblau-9</t>
  </si>
  <si>
    <t>Mirandena</t>
  </si>
  <si>
    <t>Vurok</t>
  </si>
  <si>
    <t>NeoxD</t>
  </si>
  <si>
    <t>Dr.Boss</t>
  </si>
  <si>
    <t>ChrZz</t>
  </si>
  <si>
    <t>Friese</t>
  </si>
  <si>
    <t>Lip1893</t>
  </si>
  <si>
    <t>bloder19</t>
  </si>
  <si>
    <t>Raddikov</t>
  </si>
  <si>
    <t>GreeceMousse</t>
  </si>
  <si>
    <t>Kimberly</t>
  </si>
  <si>
    <t>Saftladen</t>
  </si>
  <si>
    <t>Krustenbraten</t>
  </si>
  <si>
    <t>InfernoDer1</t>
  </si>
  <si>
    <t>C0hen93</t>
  </si>
  <si>
    <t>Timotsch</t>
  </si>
  <si>
    <t>torvinho</t>
  </si>
  <si>
    <t>TheRealRBB</t>
  </si>
  <si>
    <t>Kuisil</t>
  </si>
  <si>
    <t>lomegal</t>
  </si>
  <si>
    <t>TN14</t>
  </si>
  <si>
    <t>mifry</t>
  </si>
  <si>
    <t>HasteNichtGesehn</t>
  </si>
  <si>
    <t>KillaKay</t>
  </si>
  <si>
    <t>EddyBlack</t>
  </si>
  <si>
    <t>punisher27</t>
  </si>
  <si>
    <t>wladik1997</t>
  </si>
  <si>
    <t>pfeife</t>
  </si>
  <si>
    <t>j0onEs</t>
  </si>
  <si>
    <t>pmea66</t>
  </si>
  <si>
    <t>Mataschek</t>
  </si>
  <si>
    <t>maicham</t>
  </si>
  <si>
    <t>R3tard</t>
  </si>
  <si>
    <t>Gannicus17</t>
  </si>
  <si>
    <t>Murx</t>
  </si>
  <si>
    <t>Vlatt</t>
  </si>
  <si>
    <t>notyourname</t>
  </si>
  <si>
    <t>Mr.Nilson</t>
  </si>
  <si>
    <t>executer44</t>
  </si>
  <si>
    <t>AnderesFernglas</t>
  </si>
  <si>
    <t>TheReaper</t>
  </si>
  <si>
    <t>Zykrom</t>
  </si>
  <si>
    <t>Migiboi</t>
  </si>
  <si>
    <t>BlueLantern</t>
  </si>
  <si>
    <t>Enrico77</t>
  </si>
  <si>
    <t>Hitcher72</t>
  </si>
  <si>
    <t>Loki2001</t>
  </si>
  <si>
    <t>iChris226</t>
  </si>
  <si>
    <t>Battlebiber</t>
  </si>
  <si>
    <t>Piff3l</t>
  </si>
  <si>
    <t>Corsinbro</t>
  </si>
  <si>
    <t>JulCo</t>
  </si>
  <si>
    <t>UnlimitedSW</t>
  </si>
  <si>
    <t>skuppi21</t>
  </si>
  <si>
    <t>AMHuckZ</t>
  </si>
  <si>
    <t>LordHelmchen1999</t>
  </si>
  <si>
    <t>Drakyl</t>
  </si>
  <si>
    <t>Heinzine</t>
  </si>
  <si>
    <t>Charama</t>
  </si>
  <si>
    <t>GeniusRosa</t>
  </si>
  <si>
    <t>the.dark.knight.224</t>
  </si>
  <si>
    <t>SXeno</t>
  </si>
  <si>
    <t>Amin</t>
  </si>
  <si>
    <t>Wzybr</t>
  </si>
  <si>
    <t>Teacapunt</t>
  </si>
  <si>
    <t>Hamad72</t>
  </si>
  <si>
    <t>Naktara</t>
  </si>
  <si>
    <t>LowerBob</t>
  </si>
  <si>
    <t>Hulla</t>
  </si>
  <si>
    <t>DannyB69</t>
  </si>
  <si>
    <t>JoycePan</t>
  </si>
  <si>
    <t>TheDrJ</t>
  </si>
  <si>
    <t>L36abc</t>
  </si>
  <si>
    <t>Kamoi</t>
  </si>
  <si>
    <t>Florida1245</t>
  </si>
  <si>
    <t>poschei</t>
  </si>
  <si>
    <t>Bnxatd</t>
  </si>
  <si>
    <t>Legendaryy</t>
  </si>
  <si>
    <t>FimbultyrOdin</t>
  </si>
  <si>
    <t>XRush1701</t>
  </si>
  <si>
    <t>NotAkkarin</t>
  </si>
  <si>
    <t>Zeratekx</t>
  </si>
  <si>
    <t>slayer-haze</t>
  </si>
  <si>
    <t>bauminator97</t>
  </si>
  <si>
    <t>nurmalschaun</t>
  </si>
  <si>
    <t>emft</t>
  </si>
  <si>
    <t>Josel20022002</t>
  </si>
  <si>
    <t>FrogWithCloak</t>
  </si>
  <si>
    <t>Kaiser3dabei</t>
  </si>
  <si>
    <t>huaba</t>
  </si>
  <si>
    <t>Jochen25</t>
  </si>
  <si>
    <t>radlereddy</t>
  </si>
  <si>
    <t>Slaughter</t>
  </si>
  <si>
    <t>Ketotopp</t>
  </si>
  <si>
    <t>Mr-D</t>
  </si>
  <si>
    <t>mrklein1995</t>
  </si>
  <si>
    <t>BreakTheCircle</t>
  </si>
  <si>
    <t>Vahoi</t>
  </si>
  <si>
    <t>ichwersonst</t>
  </si>
  <si>
    <t>MasterMlnd</t>
  </si>
  <si>
    <t>streammmm</t>
  </si>
  <si>
    <t>Ralf989</t>
  </si>
  <si>
    <t>MiniMl</t>
  </si>
  <si>
    <t>KilzHuz</t>
  </si>
  <si>
    <t>NeverEnd</t>
  </si>
  <si>
    <t>Infern0</t>
  </si>
  <si>
    <t>MakroMan</t>
  </si>
  <si>
    <t>Mikroman</t>
  </si>
  <si>
    <t>I2eichsritter</t>
  </si>
  <si>
    <t>UntBarbarossa</t>
  </si>
  <si>
    <t>Jokerjulian</t>
  </si>
  <si>
    <t>schurschur</t>
  </si>
  <si>
    <t>Benjew333</t>
  </si>
  <si>
    <t>Resti</t>
  </si>
  <si>
    <t>GERMarveX</t>
  </si>
  <si>
    <t>Soltera</t>
  </si>
  <si>
    <t>Masacre86</t>
  </si>
  <si>
    <t>4nTiBoT</t>
  </si>
  <si>
    <t>SkyTheMine</t>
  </si>
  <si>
    <t>Gustello</t>
  </si>
  <si>
    <t>steffi18</t>
  </si>
  <si>
    <t>InLoveWithUMum</t>
  </si>
  <si>
    <t>K4R3</t>
  </si>
  <si>
    <t>blackmo</t>
  </si>
  <si>
    <t>Titankaempfer</t>
  </si>
  <si>
    <t>legalgras</t>
  </si>
  <si>
    <t>Gon45</t>
  </si>
  <si>
    <t>JanaBananaMcHannah</t>
  </si>
  <si>
    <t>neble</t>
  </si>
  <si>
    <t>xxxCoCoxxx</t>
  </si>
  <si>
    <t>GlockOuDroTop</t>
  </si>
  <si>
    <t>boone</t>
  </si>
  <si>
    <t>Sgtdaddyfections</t>
  </si>
  <si>
    <t>wolferpa</t>
  </si>
  <si>
    <t>Marco1197</t>
  </si>
  <si>
    <t>Feldhai</t>
  </si>
  <si>
    <t>Darry</t>
  </si>
  <si>
    <t>gerry19981</t>
  </si>
  <si>
    <t>Pedacore1000</t>
  </si>
  <si>
    <t>aljosha100</t>
  </si>
  <si>
    <t>MyphisTheKing</t>
  </si>
  <si>
    <t>Mazda-Fan2017</t>
  </si>
  <si>
    <t>Silvernato</t>
  </si>
  <si>
    <t>Viperfeeling</t>
  </si>
  <si>
    <t>puschel</t>
  </si>
  <si>
    <t>Deam</t>
  </si>
  <si>
    <t>sepppi91</t>
  </si>
  <si>
    <t>Shrokenbard</t>
  </si>
  <si>
    <t>schwon</t>
  </si>
  <si>
    <t>Luthien90</t>
  </si>
  <si>
    <t>Padex</t>
  </si>
  <si>
    <t>beni8scb</t>
  </si>
  <si>
    <t>CindyKimberlyy</t>
  </si>
  <si>
    <t>Baraldo</t>
  </si>
  <si>
    <t>Rammes</t>
  </si>
  <si>
    <t>Tchipo</t>
  </si>
  <si>
    <t>Eramos.Knight</t>
  </si>
  <si>
    <t>Luxl</t>
  </si>
  <si>
    <t>Schmidl</t>
  </si>
  <si>
    <t>berti04</t>
  </si>
  <si>
    <t>MarcoMarcoo</t>
  </si>
  <si>
    <t>Hannes778</t>
  </si>
  <si>
    <t>Lopalli97</t>
  </si>
  <si>
    <t>robs</t>
  </si>
  <si>
    <t>AlphaZ</t>
  </si>
  <si>
    <t>quicknic7</t>
  </si>
  <si>
    <t>Blazze</t>
  </si>
  <si>
    <t>Wurstzweitopf</t>
  </si>
  <si>
    <t>lukevito</t>
  </si>
  <si>
    <t>Dr.Med.Rasen00</t>
  </si>
  <si>
    <t>bigal5845</t>
  </si>
  <si>
    <t>Bl3k</t>
  </si>
  <si>
    <t>voormii</t>
  </si>
  <si>
    <t>Winterfell1</t>
  </si>
  <si>
    <t>Golfballtaucher</t>
  </si>
  <si>
    <t>weisihodanklan</t>
  </si>
  <si>
    <t>Stamm1234</t>
  </si>
  <si>
    <t>deltar</t>
  </si>
  <si>
    <t>lumiboy</t>
  </si>
  <si>
    <t>Junaak</t>
  </si>
  <si>
    <t>R4ZiEL</t>
  </si>
  <si>
    <t>Schwanz18</t>
  </si>
  <si>
    <t>slegah</t>
  </si>
  <si>
    <t>ACTOFRAGE</t>
  </si>
  <si>
    <t>LuckyNation</t>
  </si>
  <si>
    <t>Venox19972</t>
  </si>
  <si>
    <t>Defake</t>
  </si>
  <si>
    <t>Briegel</t>
  </si>
  <si>
    <t>luana</t>
  </si>
  <si>
    <t>Waterboy</t>
  </si>
  <si>
    <t>Schokoherz</t>
  </si>
  <si>
    <t>tillinator</t>
  </si>
  <si>
    <t>link007007999</t>
  </si>
  <si>
    <t>Wadenstecher</t>
  </si>
  <si>
    <t>Ontimpa</t>
  </si>
  <si>
    <t>josho42</t>
  </si>
  <si>
    <t>BigNick81</t>
  </si>
  <si>
    <t>Fives</t>
  </si>
  <si>
    <t>qwerty75</t>
  </si>
  <si>
    <t>R4VENGE</t>
  </si>
  <si>
    <t>Domme384</t>
  </si>
  <si>
    <t>Fetz187</t>
  </si>
  <si>
    <t>Jok3er</t>
  </si>
  <si>
    <t>Tripsitter</t>
  </si>
  <si>
    <t>Pupanz</t>
  </si>
  <si>
    <t>KatyHorseGirl</t>
  </si>
  <si>
    <t>GhostBasti</t>
  </si>
  <si>
    <t>xray168</t>
  </si>
  <si>
    <t>HorstHeldt</t>
  </si>
  <si>
    <t>gven</t>
  </si>
  <si>
    <t>Aventi</t>
  </si>
  <si>
    <t>pyrazid</t>
  </si>
  <si>
    <t>Jackfrost27</t>
  </si>
  <si>
    <t>bartrocks</t>
  </si>
  <si>
    <t>Funkiller</t>
  </si>
  <si>
    <t>xFireWolfx</t>
  </si>
  <si>
    <t>Churchiller</t>
  </si>
  <si>
    <t>Hervic</t>
  </si>
  <si>
    <t>Schmidi2301</t>
  </si>
  <si>
    <t>GyrosKatapult</t>
  </si>
  <si>
    <t>DEL1VERY-</t>
  </si>
  <si>
    <t>NurzurInfo</t>
  </si>
  <si>
    <t>Silenoz</t>
  </si>
  <si>
    <t>lemmueg</t>
  </si>
  <si>
    <t>Justine4</t>
  </si>
  <si>
    <t>Wabbodermeister</t>
  </si>
  <si>
    <t>joeykarate</t>
  </si>
  <si>
    <t>Styxi</t>
  </si>
  <si>
    <t>Hammerhead</t>
  </si>
  <si>
    <t>BDJogi</t>
  </si>
  <si>
    <t>Sinuskelch</t>
  </si>
  <si>
    <t>Malchinho</t>
  </si>
  <si>
    <t>Ales44</t>
  </si>
  <si>
    <t>Mara</t>
  </si>
  <si>
    <t>Medis</t>
  </si>
  <si>
    <t>MBACOMMANDER28</t>
  </si>
  <si>
    <t>Doktordude</t>
  </si>
  <si>
    <t>SchniedmarSchnabelbert</t>
  </si>
  <si>
    <t>AceKobra</t>
  </si>
  <si>
    <t>xxJ0k3Rxx</t>
  </si>
  <si>
    <t>VeqasZ</t>
  </si>
  <si>
    <t>Belzebuub</t>
  </si>
  <si>
    <t>ARMYGUNZ</t>
  </si>
  <si>
    <t>TheDutchman</t>
  </si>
  <si>
    <t>Ivo187</t>
  </si>
  <si>
    <t>FernandoDerTeufel</t>
  </si>
  <si>
    <t>nimatek</t>
  </si>
  <si>
    <t>MittwochAbend</t>
  </si>
  <si>
    <t>miwo91</t>
  </si>
  <si>
    <t>Boggla</t>
  </si>
  <si>
    <t>Rette1605</t>
  </si>
  <si>
    <t>TazTL</t>
  </si>
  <si>
    <t>Lugen</t>
  </si>
  <si>
    <t>kempti98</t>
  </si>
  <si>
    <t>fabianzii</t>
  </si>
  <si>
    <t>Derdiog</t>
  </si>
  <si>
    <t>XoCo</t>
  </si>
  <si>
    <t>Dopiixz187</t>
  </si>
  <si>
    <t>Ruffnoris</t>
  </si>
  <si>
    <t>Balsath</t>
  </si>
  <si>
    <t>lisa69</t>
  </si>
  <si>
    <t>Lagerthaa</t>
  </si>
  <si>
    <t>Zhurak</t>
  </si>
  <si>
    <t>L3gend124</t>
  </si>
  <si>
    <t>Ch3eZuS</t>
  </si>
  <si>
    <t>Venom-X</t>
  </si>
  <si>
    <t>chrisi20</t>
  </si>
  <si>
    <t>Rozaaa</t>
  </si>
  <si>
    <t>Ugandagandalf</t>
  </si>
  <si>
    <t>RitterM93</t>
  </si>
  <si>
    <t>FrankoRosino</t>
  </si>
  <si>
    <t>dwwdwaw</t>
  </si>
  <si>
    <t>Dr.Schwukele</t>
  </si>
  <si>
    <t>MuellerKnueller</t>
  </si>
  <si>
    <t>KingVitas</t>
  </si>
  <si>
    <t>Fauxi91</t>
  </si>
  <si>
    <t>Celsius</t>
  </si>
  <si>
    <t>Huginux</t>
  </si>
  <si>
    <t>bruSeb01</t>
  </si>
  <si>
    <t>Patrick210487</t>
  </si>
  <si>
    <t>Sergej</t>
  </si>
  <si>
    <t>LkwFahr3r</t>
  </si>
  <si>
    <t>PS98</t>
  </si>
  <si>
    <t>xl-TheLeGenDe-lx</t>
  </si>
  <si>
    <t>hinkebein01</t>
  </si>
  <si>
    <t>Lord0rth</t>
  </si>
  <si>
    <t>Wegal</t>
  </si>
  <si>
    <t>HustleStyler</t>
  </si>
  <si>
    <t>Rapfeeling</t>
  </si>
  <si>
    <t>dommdom</t>
  </si>
  <si>
    <t>VasKos</t>
  </si>
  <si>
    <t>FairnotGG</t>
  </si>
  <si>
    <t>KillerMatze</t>
  </si>
  <si>
    <t>Barry753</t>
  </si>
  <si>
    <t>censored</t>
  </si>
  <si>
    <t>donat1</t>
  </si>
  <si>
    <t>scy-xd</t>
  </si>
  <si>
    <t>dennis07</t>
  </si>
  <si>
    <t>Stippo</t>
  </si>
  <si>
    <t>00rainbow00</t>
  </si>
  <si>
    <t>xXRuoKXx</t>
  </si>
  <si>
    <t>xxdaxos</t>
  </si>
  <si>
    <t>SickJunkie</t>
  </si>
  <si>
    <t>Sehr3st</t>
  </si>
  <si>
    <t>saarlandpower</t>
  </si>
  <si>
    <t>JS11</t>
  </si>
  <si>
    <t>Haha1231</t>
  </si>
  <si>
    <t>siggisig</t>
  </si>
  <si>
    <t>Gumbar</t>
  </si>
  <si>
    <t>FreshTube</t>
  </si>
  <si>
    <t>Offizier1231</t>
  </si>
  <si>
    <t>ainsleyH</t>
  </si>
  <si>
    <t>Majestix88</t>
  </si>
  <si>
    <t>StonedByHaze</t>
  </si>
  <si>
    <t>Dehmer470</t>
  </si>
  <si>
    <t>Skorkalle</t>
  </si>
  <si>
    <t>superst1ck</t>
  </si>
  <si>
    <t>Steinkollos</t>
  </si>
  <si>
    <t>Hanswurst666</t>
  </si>
  <si>
    <t>EmBix0</t>
  </si>
  <si>
    <t>MrBlueball</t>
  </si>
  <si>
    <t>Luxey1986</t>
  </si>
  <si>
    <t>FlyingHirsch</t>
  </si>
  <si>
    <t>Rehster</t>
  </si>
  <si>
    <t>J-Wildfire</t>
  </si>
  <si>
    <t>NordicBo</t>
  </si>
  <si>
    <t>GladiatorJo</t>
  </si>
  <si>
    <t>hayanh</t>
  </si>
  <si>
    <t>Baffy</t>
  </si>
  <si>
    <t>Cargoo</t>
  </si>
  <si>
    <t>Kamiera</t>
  </si>
  <si>
    <t>Quanarie</t>
  </si>
  <si>
    <t>Blechbuechse9000</t>
  </si>
  <si>
    <t>SpeedmaxCFSLX</t>
  </si>
  <si>
    <t>Skopaganda</t>
  </si>
  <si>
    <t>nila</t>
  </si>
  <si>
    <t>Varkaz</t>
  </si>
  <si>
    <t>Sparviero</t>
  </si>
  <si>
    <t>Kanatan</t>
  </si>
  <si>
    <t>8lank</t>
  </si>
  <si>
    <t>Simany</t>
  </si>
  <si>
    <t>Starscream18</t>
  </si>
  <si>
    <t>DeSirZ1701</t>
  </si>
  <si>
    <t>kalfxxx</t>
  </si>
  <si>
    <t>uuuuu</t>
  </si>
  <si>
    <t>HighJoker</t>
  </si>
  <si>
    <t>mastauop</t>
  </si>
  <si>
    <t>Dr.Dreibein95</t>
  </si>
  <si>
    <t>Abcdefg23</t>
  </si>
  <si>
    <t>Drago94</t>
  </si>
  <si>
    <t>Leipoon</t>
  </si>
  <si>
    <t>xFrostiex</t>
  </si>
  <si>
    <t>Jaytan420</t>
  </si>
  <si>
    <t>Kued</t>
  </si>
  <si>
    <t>Edku</t>
  </si>
  <si>
    <t>butzinger81</t>
  </si>
  <si>
    <t>Ventho</t>
  </si>
  <si>
    <t>SmartPanda</t>
  </si>
  <si>
    <t>White69</t>
  </si>
  <si>
    <t>Servusli</t>
  </si>
  <si>
    <t>Volnis</t>
  </si>
  <si>
    <t>Melaxo</t>
  </si>
  <si>
    <t>HeikeUndFlo</t>
  </si>
  <si>
    <t>AK136</t>
  </si>
  <si>
    <t>BaertigerDrache</t>
  </si>
  <si>
    <t>ilkay</t>
  </si>
  <si>
    <t>ConfusedGatsby</t>
  </si>
  <si>
    <t>Herry11</t>
  </si>
  <si>
    <t>Ina9</t>
  </si>
  <si>
    <t>Blacky26</t>
  </si>
  <si>
    <t>Roubey</t>
  </si>
  <si>
    <t>Flitzpiepe</t>
  </si>
  <si>
    <t>TerrorErni</t>
  </si>
  <si>
    <t>Feliks</t>
  </si>
  <si>
    <t>WarDog5051</t>
  </si>
  <si>
    <t>Heidemaster</t>
  </si>
  <si>
    <t>crasher965</t>
  </si>
  <si>
    <t>andr</t>
  </si>
  <si>
    <t>Schachmatt3</t>
  </si>
  <si>
    <t>RaZeRbLaDe</t>
  </si>
  <si>
    <t>SmolBrain</t>
  </si>
  <si>
    <t>Silencemar</t>
  </si>
  <si>
    <t>lohsi</t>
  </si>
  <si>
    <t>HardbassHelmut</t>
  </si>
  <si>
    <t>Mxrrxs02</t>
  </si>
  <si>
    <t>sputnick23</t>
  </si>
  <si>
    <t>hans23</t>
  </si>
  <si>
    <t>Efelknefel</t>
  </si>
  <si>
    <t>Alcrus</t>
  </si>
  <si>
    <t>TheFiinn95</t>
  </si>
  <si>
    <t>Gottzila</t>
  </si>
  <si>
    <t>Syrie</t>
  </si>
  <si>
    <t>Timbonator</t>
  </si>
  <si>
    <t>anke01</t>
  </si>
  <si>
    <t>thebob9595</t>
  </si>
  <si>
    <t>Siyahsbester</t>
  </si>
  <si>
    <t>Solvi420</t>
  </si>
  <si>
    <t>WotoLP</t>
  </si>
  <si>
    <t>HighWin</t>
  </si>
  <si>
    <t>Alexandra1996</t>
  </si>
  <si>
    <t>DummerMensch</t>
  </si>
  <si>
    <t>Shaggy005</t>
  </si>
  <si>
    <t>BrainCatcher</t>
  </si>
  <si>
    <t>Findus</t>
  </si>
  <si>
    <t>MoralBasher2020</t>
  </si>
  <si>
    <t>JosefStelin</t>
  </si>
  <si>
    <t>Zappow</t>
  </si>
  <si>
    <t>bobber</t>
  </si>
  <si>
    <t>wargog950</t>
  </si>
  <si>
    <t>MUHAHAMUH</t>
  </si>
  <si>
    <t>1Mazda-Fan2021</t>
  </si>
  <si>
    <t>ShroomsofRgnrck</t>
  </si>
  <si>
    <t>Ginozar</t>
  </si>
  <si>
    <t>WhiteDragon</t>
  </si>
  <si>
    <t>Deliler</t>
  </si>
  <si>
    <t>Letzinger</t>
  </si>
  <si>
    <t>lars-94</t>
  </si>
  <si>
    <t>moewiede</t>
  </si>
  <si>
    <t>brwstoffi</t>
  </si>
  <si>
    <t>TetRis</t>
  </si>
  <si>
    <t>SeamusHarper</t>
  </si>
  <si>
    <t>spartador89</t>
  </si>
  <si>
    <t>DrStoeckchen</t>
  </si>
  <si>
    <t>TheMaoam</t>
  </si>
  <si>
    <t>Geige31</t>
  </si>
  <si>
    <t>Tom273x</t>
  </si>
  <si>
    <t>ovebastisch</t>
  </si>
  <si>
    <t>Mountain</t>
  </si>
  <si>
    <t>Quarzerback</t>
  </si>
  <si>
    <t>B1tchMove</t>
  </si>
  <si>
    <t>sgub82</t>
  </si>
  <si>
    <t>Annaa</t>
  </si>
  <si>
    <t>Seemopss001</t>
  </si>
  <si>
    <t>DarkDamone</t>
  </si>
  <si>
    <t>randomplayer</t>
  </si>
  <si>
    <t>Schlechtwetterfront</t>
  </si>
  <si>
    <t>IrgendeinGamer</t>
  </si>
  <si>
    <t>Leopold20</t>
  </si>
  <si>
    <t>Ziyo</t>
  </si>
  <si>
    <t>Chillx</t>
  </si>
  <si>
    <t>HubertusSt.</t>
  </si>
  <si>
    <t>butter</t>
  </si>
  <si>
    <t>Timmy125</t>
  </si>
  <si>
    <t>Textu</t>
  </si>
  <si>
    <t>SwabianCoder</t>
  </si>
  <si>
    <t>kracc4ever</t>
  </si>
  <si>
    <t>PuBkracker</t>
  </si>
  <si>
    <t>HadesRache</t>
  </si>
  <si>
    <t>KingPin147</t>
  </si>
  <si>
    <t>Gaschima</t>
  </si>
  <si>
    <t>SzumilasL</t>
  </si>
  <si>
    <t>chripo19</t>
  </si>
  <si>
    <t>Kevkev98</t>
  </si>
  <si>
    <t>xNeaze</t>
  </si>
  <si>
    <t>xudo</t>
  </si>
  <si>
    <t>Paridam</t>
  </si>
  <si>
    <t>Antandra</t>
  </si>
  <si>
    <t>Johannes23</t>
  </si>
  <si>
    <t>Ferrius92</t>
  </si>
  <si>
    <t>Matzinho</t>
  </si>
  <si>
    <t>TW0FUN</t>
  </si>
  <si>
    <t>wigge99</t>
  </si>
  <si>
    <t>KilluaTWO</t>
  </si>
  <si>
    <t>Dominik09</t>
  </si>
  <si>
    <t>Donsilvio</t>
  </si>
  <si>
    <t>thebuggyman</t>
  </si>
  <si>
    <t>Doenerbude97</t>
  </si>
  <si>
    <t>spliffhanger</t>
  </si>
  <si>
    <t>Bluemoon</t>
  </si>
  <si>
    <t>kalle03</t>
  </si>
  <si>
    <t>Phersix</t>
  </si>
  <si>
    <t>Phersiix</t>
  </si>
  <si>
    <t>Nero311</t>
  </si>
  <si>
    <t>Brandkanne</t>
  </si>
  <si>
    <t>Maxiking1.1</t>
  </si>
  <si>
    <t>MedifleX</t>
  </si>
  <si>
    <t>MasterKuchen</t>
  </si>
  <si>
    <t>Bluthilde</t>
  </si>
  <si>
    <t>Jugularis</t>
  </si>
  <si>
    <t>Bolgur</t>
  </si>
  <si>
    <t>Amprofis</t>
  </si>
  <si>
    <t>DerStimpel</t>
  </si>
  <si>
    <t>its-markus</t>
  </si>
  <si>
    <t>Triiizyyy</t>
  </si>
  <si>
    <t>ZarvonZamunda</t>
  </si>
  <si>
    <t>Gadreel</t>
  </si>
  <si>
    <t>Narnia127</t>
  </si>
  <si>
    <t>joni0018</t>
  </si>
  <si>
    <t>tomasu</t>
  </si>
  <si>
    <t>tomasuu</t>
  </si>
  <si>
    <t>Zorning</t>
  </si>
  <si>
    <t>Keinbiervorvier1</t>
  </si>
  <si>
    <t>dicka01</t>
  </si>
  <si>
    <t>Ravenu</t>
  </si>
  <si>
    <t>marcusn</t>
  </si>
  <si>
    <t>deathhimself</t>
  </si>
  <si>
    <t>Anwax2</t>
  </si>
  <si>
    <t>JOMboter</t>
  </si>
  <si>
    <t>Itschi</t>
  </si>
  <si>
    <t>AkumaEnix</t>
  </si>
  <si>
    <t>Ring96</t>
  </si>
  <si>
    <t>sp1r</t>
  </si>
  <si>
    <t>Flysurfer-fan</t>
  </si>
  <si>
    <t>SB235</t>
  </si>
  <si>
    <t>FummelKlaus</t>
  </si>
  <si>
    <t>antialles</t>
  </si>
  <si>
    <t>world8vet</t>
  </si>
  <si>
    <t>Schorsch31</t>
  </si>
  <si>
    <t>NoGameNoLife23</t>
  </si>
  <si>
    <t>Blackxmas</t>
  </si>
  <si>
    <t>Unken</t>
  </si>
  <si>
    <t>ReneKB</t>
  </si>
  <si>
    <t>fleion</t>
  </si>
  <si>
    <t>Zelda21</t>
  </si>
  <si>
    <t>Partyhorst</t>
  </si>
  <si>
    <t>Sikici500</t>
  </si>
  <si>
    <t>kieulynyuxx01</t>
  </si>
  <si>
    <t>Pulvertoast724</t>
  </si>
  <si>
    <t>Freazzy10</t>
  </si>
  <si>
    <t>Solider</t>
  </si>
  <si>
    <t>BeyondCereal</t>
  </si>
  <si>
    <t>edamike27</t>
  </si>
  <si>
    <t>Johnny-ohne-Cash</t>
  </si>
  <si>
    <t>supplie</t>
  </si>
  <si>
    <t>Eszett</t>
  </si>
  <si>
    <t>Hemiro</t>
  </si>
  <si>
    <t>Shraik</t>
  </si>
  <si>
    <t>Prof.Dr.Auerhahn</t>
  </si>
  <si>
    <t>Tupacboy93</t>
  </si>
  <si>
    <t>LiSS--</t>
  </si>
  <si>
    <t>Himbi123</t>
  </si>
  <si>
    <t>guruguru</t>
  </si>
  <si>
    <t>Occo40</t>
  </si>
  <si>
    <t>wopa</t>
  </si>
  <si>
    <t>Prahech</t>
  </si>
  <si>
    <t>Find4us</t>
  </si>
  <si>
    <t>Tobi-Wankenobi</t>
  </si>
  <si>
    <t>LionSinOfPride</t>
  </si>
  <si>
    <t>SadisticCookie</t>
  </si>
  <si>
    <t>Eykey-6</t>
  </si>
  <si>
    <t>FrIAImEx</t>
  </si>
  <si>
    <t>derhagen</t>
  </si>
  <si>
    <t>ralf9898</t>
  </si>
  <si>
    <t>GonzoGurkenheimer</t>
  </si>
  <si>
    <t>vanderhood</t>
  </si>
  <si>
    <t>Smerfik</t>
  </si>
  <si>
    <t>JnnyLR</t>
  </si>
  <si>
    <t>RoofstopSniper</t>
  </si>
  <si>
    <t>derDonalpha30</t>
  </si>
  <si>
    <t>Naturkatastrophe</t>
  </si>
  <si>
    <t>Mysterion13</t>
  </si>
  <si>
    <t>Smilodon</t>
  </si>
  <si>
    <t>Stoob</t>
  </si>
  <si>
    <t>MehTeh</t>
  </si>
  <si>
    <t>Spieler</t>
  </si>
  <si>
    <t>Art</t>
  </si>
  <si>
    <t>Zeit 1</t>
  </si>
  <si>
    <t>Zeit 2</t>
  </si>
  <si>
    <t>Dorf ID</t>
  </si>
  <si>
    <t>Welt</t>
  </si>
  <si>
    <t>spear</t>
  </si>
  <si>
    <t>sword</t>
  </si>
  <si>
    <t>axe</t>
  </si>
  <si>
    <t>archer</t>
  </si>
  <si>
    <t>spy</t>
  </si>
  <si>
    <t>light</t>
  </si>
  <si>
    <t>heavy</t>
  </si>
  <si>
    <t>ram</t>
  </si>
  <si>
    <t>catapult</t>
  </si>
  <si>
    <t>snob</t>
  </si>
  <si>
    <t>knight</t>
  </si>
  <si>
    <t>marcher</t>
  </si>
  <si>
    <t>Link</t>
  </si>
  <si>
    <t>lkav</t>
  </si>
  <si>
    <t>P%C3%A4uli</t>
  </si>
  <si>
    <t>cola500</t>
  </si>
  <si>
    <t>Wendell+Bud+White</t>
  </si>
  <si>
    <t>Erzengel-%2A-Raziel</t>
  </si>
  <si>
    <t>Lucky+the+best</t>
  </si>
  <si>
    <t>L%C3%B6wenherz+17</t>
  </si>
  <si>
    <t>-Schpider%2A</t>
  </si>
  <si>
    <t>little+Lotschi</t>
  </si>
  <si>
    <t>Mr.+MacDonald</t>
  </si>
  <si>
    <t>RaZE+pWnz+EU</t>
  </si>
  <si>
    <t>Warum+liegt+hier+Stroh%3F</t>
  </si>
  <si>
    <t>OJO+der+Gro%C3%9Fe</t>
  </si>
  <si>
    <t>An+hor</t>
  </si>
  <si>
    <t>Blue+Haze</t>
  </si>
  <si>
    <t>Lord+Mac+Georg</t>
  </si>
  <si>
    <t>Rainer+Wahnsinn</t>
  </si>
  <si>
    <t>nur+mal+schaun</t>
  </si>
  <si>
    <t>Lord+York</t>
  </si>
  <si>
    <t>Optimus+Crime</t>
  </si>
  <si>
    <t>Lord+K%C3%B6nig+jay+1.</t>
  </si>
  <si>
    <t>Sn1tch1</t>
  </si>
  <si>
    <t>Der+M%C3%BCde+Joe</t>
  </si>
  <si>
    <t>Big+Boss+69</t>
  </si>
  <si>
    <t>%2ATheWall%2A</t>
  </si>
  <si>
    <t>Ach+Wirklich%3F</t>
  </si>
  <si>
    <t>Gr%C3%B6ssenwahnsinnig</t>
  </si>
  <si>
    <t>Dr.+Power</t>
  </si>
  <si>
    <t>tr%C3%A4umerische+Tim</t>
  </si>
  <si>
    <t>Ch1ll+0ut</t>
  </si>
  <si>
    <t>Lord+Neesos</t>
  </si>
  <si>
    <t>G%C3%BCnther+Sch%C3%A4fer</t>
  </si>
  <si>
    <t>Der+Gr%C3%BCne+Baron</t>
  </si>
  <si>
    <t>Maximilian+723</t>
  </si>
  <si>
    <t>huba+bubba</t>
  </si>
  <si>
    <t>L%C3%A4B%C3%A4r04</t>
  </si>
  <si>
    <t>Lord+Dome</t>
  </si>
  <si>
    <t>f...+y..</t>
  </si>
  <si>
    <t>SHADOW+WINGS</t>
  </si>
  <si>
    <t>Greift+sich+selber+an</t>
  </si>
  <si>
    <t>Flo420</t>
  </si>
  <si>
    <t>foxton4</t>
  </si>
  <si>
    <t>001%7C+Ayla</t>
  </si>
  <si>
    <t>%7Cxxx</t>
  </si>
  <si>
    <t>Fitz-Gervaiss+Dorf</t>
  </si>
  <si>
    <t>002+%2F+Argos</t>
  </si>
  <si>
    <t>005+Majestix</t>
  </si>
  <si>
    <t>Widerstand+swaglos</t>
  </si>
  <si>
    <t>Popolius+Maiers+Dorf</t>
  </si>
  <si>
    <t>007+aWeSomE+bIgyVeS</t>
  </si>
  <si>
    <t>Viren+2</t>
  </si>
  <si>
    <t>02+Doodlejump</t>
  </si>
  <si>
    <t>%7C006%7C+Nita</t>
  </si>
  <si>
    <t>Burg+Pykulessun</t>
  </si>
  <si>
    <t>%7C004%7C+Johanna</t>
  </si>
  <si>
    <t>002+Weizenfelder+Heide</t>
  </si>
  <si>
    <t>xArgusHausenx+1.3</t>
  </si>
  <si>
    <t>%7EBunker%7E</t>
  </si>
  <si>
    <t>WC..+.00</t>
  </si>
  <si>
    <t>Engel+Bluten+nicht</t>
  </si>
  <si>
    <t>002+Feiertag</t>
  </si>
  <si>
    <t>003+Sn00x</t>
  </si>
  <si>
    <t>Relockeds+Dorf</t>
  </si>
  <si>
    <t>Grabis+Dorf</t>
  </si>
  <si>
    <t>Zahnb%C3%BCrste</t>
  </si>
  <si>
    <t>3PARs+Dorf</t>
  </si>
  <si>
    <t>001+Susanoo</t>
  </si>
  <si>
    <t>Was+ist+hier+los+%3F%21</t>
  </si>
  <si>
    <t>001+Orclivesmatter</t>
  </si>
  <si>
    <t>Sucht+euch+noch+einen+11ten+%3AP</t>
  </si>
  <si>
    <t>N%C3%BCrnburg</t>
  </si>
  <si>
    <t>002+orclivesmatter</t>
  </si>
  <si>
    <t>...Old+boys+in+town%21</t>
  </si>
  <si>
    <t>SquoXs+Dorf</t>
  </si>
  <si>
    <t>Pr%C3%BCgelheide</t>
  </si>
  <si>
    <t>Terra+002</t>
  </si>
  <si>
    <t>001+%7C+GREEN.POWER</t>
  </si>
  <si>
    <t>%5B001%5D+Arbeitslos</t>
  </si>
  <si>
    <t>V.Y.+Love</t>
  </si>
  <si>
    <t>%23001+TomHardy</t>
  </si>
  <si>
    <t>%5B005%5D-DRHDT-</t>
  </si>
  <si>
    <t>macan96s+Dorf</t>
  </si>
  <si>
    <t>001+KleineMischung</t>
  </si>
  <si>
    <t>45%3A83%3A87+-+Impaqt</t>
  </si>
  <si>
    <t>Prinz+Albert</t>
  </si>
  <si>
    <t>Land+der+bl%C3%BChenden+Tulpenfelder</t>
  </si>
  <si>
    <t>Work+3</t>
  </si>
  <si>
    <t>Frohlixs+Dorf</t>
  </si>
  <si>
    <t>Pistol+Ds+Dorf</t>
  </si>
  <si>
    <t>004+Izanagi</t>
  </si>
  <si>
    <t>01+Im+Optimalfall</t>
  </si>
  <si>
    <t>02+Bleibt+keiner+Liegen</t>
  </si>
  <si>
    <t>x+003</t>
  </si>
  <si>
    <t>Ein+Sack+Zwiebeln</t>
  </si>
  <si>
    <t>54%3A192%3A00+-+PaaTAlex</t>
  </si>
  <si>
    <t>funits+Dorf</t>
  </si>
  <si>
    <t>%5B005%5D+B%C3%BCck+Dich</t>
  </si>
  <si>
    <t>ffcbrs+Dorf</t>
  </si>
  <si>
    <t>001+Lux</t>
  </si>
  <si>
    <t>gery40s+Dorf</t>
  </si>
  <si>
    <t>The+Only+Easy+Day+Was+Yesterday%21</t>
  </si>
  <si>
    <t>%23013+Team+Rocket+HQ</t>
  </si>
  <si>
    <t>Flocki1108s+Dorf</t>
  </si>
  <si>
    <t>Dresden+%28001%29</t>
  </si>
  <si>
    <t>TeslaGigafactory+1</t>
  </si>
  <si>
    <t>001+%7C+Wunderjunge</t>
  </si>
  <si>
    <t>Anyones+Daughter</t>
  </si>
  <si>
    <t>PlayOneMaurices+Dorf</t>
  </si>
  <si>
    <t>Alagmo+II</t>
  </si>
  <si>
    <t>03+Elektriker</t>
  </si>
  <si>
    <t>001+Buckeliger+Pinguin</t>
  </si>
  <si>
    <t>Friends%2C+Will+Robinson</t>
  </si>
  <si>
    <t>005+%7C+Axtk%C3%A4mpfer+Alex</t>
  </si>
  <si>
    <t>K64+46%3A90%3A31+Hawaii</t>
  </si>
  <si>
    <t>heiron1s+Dorf</t>
  </si>
  <si>
    <t>001%7CNieder</t>
  </si>
  <si>
    <t>%3F%21N0+Name+in+M%21nd%3F%21</t>
  </si>
  <si>
    <t>001+kleinMittelGRO%C3%9Fst%C3%A4dt+I</t>
  </si>
  <si>
    <t>005+kleinMittelGRO%C3%9Fst%C3%A4dt+V+-+M</t>
  </si>
  <si>
    <t>Fynnus+Maximuhsuss+Dorf</t>
  </si>
  <si>
    <t>01+Papaya</t>
  </si>
  <si>
    <t>catch+me+if+u+can</t>
  </si>
  <si>
    <t>Capital+of+the+World+Istanbul</t>
  </si>
  <si>
    <t>002+Buckeliger+Pinguin</t>
  </si>
  <si>
    <t>o.O+Dont+Worry%2CBe+HaPpY%21+O.o</t>
  </si>
  <si>
    <t>WhyAlwaysMes+Dorf</t>
  </si>
  <si>
    <t>Disco+La+Cola</t>
  </si>
  <si>
    <t>AbfahrtOpferbaums+Dorf</t>
  </si>
  <si>
    <t>01+Spieler+XXXs+Dorf</t>
  </si>
  <si>
    <t>%5B003%5D+El+Spenco</t>
  </si>
  <si>
    <t>%7E%5B001-AG%5D%7E</t>
  </si>
  <si>
    <t>004%7C+Arabian+Nights</t>
  </si>
  <si>
    <t>178+-+001</t>
  </si>
  <si>
    <t>%7E001%7E</t>
  </si>
  <si>
    <t>003+Feuerstein3a</t>
  </si>
  <si>
    <t>%5B-.-%5D</t>
  </si>
  <si>
    <t>178%2F2v3</t>
  </si>
  <si>
    <t>002+TorpedoMC</t>
  </si>
  <si>
    <t>Neustadt+%28Breuberg%29</t>
  </si>
  <si>
    <t>%7E%7E002%7E%7E+09%3A06%3A2020</t>
  </si>
  <si>
    <t>004%7C+Alistar</t>
  </si>
  <si>
    <t>Limette+002</t>
  </si>
  <si>
    <t>%23001+Es+geht+schon+wieder+los+%3AD</t>
  </si>
  <si>
    <t>003+%7C+Cucumber+Chill</t>
  </si>
  <si>
    <t>001+Alpha</t>
  </si>
  <si>
    <t>Royale+%232</t>
  </si>
  <si>
    <t>Zitrone+001</t>
  </si>
  <si>
    <t>M%C3%B6nchengladbach</t>
  </si>
  <si>
    <t>004+%7C+Strohhut-Piraten</t>
  </si>
  <si>
    <t>Dorfnamen+ge%C3%A4ndert</t>
  </si>
  <si>
    <t>003+I+am+a+Mancycle</t>
  </si>
  <si>
    <t>001+%7C+Strohhut-Piraten</t>
  </si>
  <si>
    <t>M%C3%BCnchen+001</t>
  </si>
  <si>
    <t>004%7CDwelly</t>
  </si>
  <si>
    <t>KillWattis+001</t>
  </si>
  <si>
    <t>66887+Rammelsbach</t>
  </si>
  <si>
    <t>Fort+William</t>
  </si>
  <si>
    <t>%2A%7ERolante%7E%2A</t>
  </si>
  <si>
    <t>001+lion</t>
  </si>
  <si>
    <t>ISSCs+Dorf</t>
  </si>
  <si>
    <t>90537+Feucht</t>
  </si>
  <si>
    <t>1+Dorf</t>
  </si>
  <si>
    <t>Ruhrpott+001</t>
  </si>
  <si>
    <t>AG+Incoming</t>
  </si>
  <si>
    <t>%5B004%5D</t>
  </si>
  <si>
    <t>wenn+gott+will</t>
  </si>
  <si>
    <t>Alone+002</t>
  </si>
  <si>
    <t>006+%7C+Capitol+Versicherung</t>
  </si>
  <si>
    <t>0004+InsaneBastards+Dorf</t>
  </si>
  <si>
    <t>x006+%7C+Ok+Jeff</t>
  </si>
  <si>
    <t>%7C002%7C+Jerusalem</t>
  </si>
  <si>
    <t>004+%7C+Ivan+der+Niedliche</t>
  </si>
  <si>
    <t>Eneees+Hood</t>
  </si>
  <si>
    <t>Jagger+Men</t>
  </si>
  <si>
    <t>Heartstylers+Dorf</t>
  </si>
  <si>
    <t>scharfe+So%C3%9Fe+mit+D%C3%B6ner</t>
  </si>
  <si>
    <t>001+-+Main</t>
  </si>
  <si>
    <t>002+Sage+alles....</t>
  </si>
  <si>
    <t>Home+2</t>
  </si>
  <si>
    <t>Nachtbonus%3F</t>
  </si>
  <si>
    <t>05%7CBad+Radkersburg</t>
  </si>
  <si>
    <t>Neuer+Wirt</t>
  </si>
  <si>
    <t>Germanisches+Reich</t>
  </si>
  <si>
    <t>Angel+Beats</t>
  </si>
  <si>
    <t>Del+Piero+1996s+Dorf</t>
  </si>
  <si>
    <t>The+golden+Empire+002</t>
  </si>
  <si>
    <t>%5B003%5D+Tegernseer</t>
  </si>
  <si>
    <t>24%2F7</t>
  </si>
  <si>
    <t>Happy+Not+Sad</t>
  </si>
  <si>
    <t>RIP+Meldrio+%3A%28</t>
  </si>
  <si>
    <t>agathe+feeling</t>
  </si>
  <si>
    <t>%5B003%5D</t>
  </si>
  <si>
    <t>Hong+Kong</t>
  </si>
  <si>
    <t>403+AG+Forbidden</t>
  </si>
  <si>
    <t>Le+Planteur</t>
  </si>
  <si>
    <t>HZ+4</t>
  </si>
  <si>
    <t>AG+%7C%7C%7C%7C%7C%7C%7C%7C%7C%7C%7C%7C%7C%7C%7C%7C%7C%7C%7C%7C%7C%7C%7C%7C%7C%7C%7C%7C%7C</t>
  </si>
  <si>
    <t>Xiretsas+Dorf</t>
  </si>
  <si>
    <t>baba+hoods+Dorf</t>
  </si>
  <si>
    <t>Lovag+178-02</t>
  </si>
  <si>
    <t>HZ+3</t>
  </si>
  <si>
    <t>Dorf+des+Geldes+2</t>
  </si>
  <si>
    <t>taladion+001</t>
  </si>
  <si>
    <t>Ph%C3%B6nix</t>
  </si>
  <si>
    <t>%5B003%5D+MRWizZlerzZz</t>
  </si>
  <si>
    <t>Nu%C3%9Fbaum</t>
  </si>
  <si>
    <t>KC-City+2</t>
  </si>
  <si>
    <t>%7E007%7E</t>
  </si>
  <si>
    <t>-03-+44%3A99%3A07+HeilandSack</t>
  </si>
  <si>
    <t>E.T.+2</t>
  </si>
  <si>
    <t>Horst2000s+Playland</t>
  </si>
  <si>
    <t>langer+Wunsch3</t>
  </si>
  <si>
    <t>002+31igerfee</t>
  </si>
  <si>
    <t>Flash+Over</t>
  </si>
  <si>
    <t>Welle+03</t>
  </si>
  <si>
    <t>006+Copterhausen</t>
  </si>
  <si>
    <t>2.+Schnitzel</t>
  </si>
  <si>
    <t>NIEdere+Abstammung</t>
  </si>
  <si>
    <t>4.+fabvo</t>
  </si>
  <si>
    <t>001+-+TEST</t>
  </si>
  <si>
    <t>%2F%2F001%2F%2F+Ich+baue+NIE+Truppen</t>
  </si>
  <si>
    <t>K%C3%B6nigin+Steckens+Dorf</t>
  </si>
  <si>
    <t>45-79-06+Underdog</t>
  </si>
  <si>
    <t>001+BTs+Dorf</t>
  </si>
  <si>
    <t>004+NIE</t>
  </si>
  <si>
    <t>45-59-14+Broken+Mirrors</t>
  </si>
  <si>
    <t>Kazuto+Kirigayas+Dorf</t>
  </si>
  <si>
    <t>-%23003-+here+comes+the+boom</t>
  </si>
  <si>
    <t>Bad+N%C3%BCrnberger</t>
  </si>
  <si>
    <t>Nuclear+Fission</t>
  </si>
  <si>
    <t>Killstealers+Dorf</t>
  </si>
  <si>
    <t>45-79-12+Back+In+Black</t>
  </si>
  <si>
    <t>003+%7C+Theben</t>
  </si>
  <si>
    <t>Der+dritte+Streich</t>
  </si>
  <si>
    <t>Klarer+fall</t>
  </si>
  <si>
    <t>fabian991112s+Dorf</t>
  </si>
  <si>
    <t>hyhi20s+Dorf</t>
  </si>
  <si>
    <t>x005+%7C+Veterans+Memorial</t>
  </si>
  <si>
    <t>003+-+ice1001s</t>
  </si>
  <si>
    <t>002+%7C+Sorpendorf</t>
  </si>
  <si>
    <t>Dorf+0816</t>
  </si>
  <si>
    <t>dieselopfers+Dorf</t>
  </si>
  <si>
    <t>03%7C+Bacardi%2A</t>
  </si>
  <si>
    <t>Nadelholz-S%C3%A4belschrecke</t>
  </si>
  <si>
    <t>%7E009%7E+What+is+Love%3F</t>
  </si>
  <si>
    <t>Rosie+auch%21</t>
  </si>
  <si>
    <t>NECKROPE+XDXDXDXDXDXDXDXDXDXDXD</t>
  </si>
  <si>
    <t>003+Lehndorf</t>
  </si>
  <si>
    <t>Run+Ralu+is+coming</t>
  </si>
  <si>
    <t>New+Start</t>
  </si>
  <si>
    <t>Villa+%23001</t>
  </si>
  <si>
    <t>Villa+%23006</t>
  </si>
  <si>
    <t>%5B003%5D+Ostwacht</t>
  </si>
  <si>
    <t>006+Vo+wege+Du+willscht+verdiene</t>
  </si>
  <si>
    <t>Do+ut+des</t>
  </si>
  <si>
    <t>G1ov4nnis+Dorf</t>
  </si>
  <si>
    <t>Maxof94s+Dorf</t>
  </si>
  <si>
    <t>%7E004%7E+What+is+Love%3F</t>
  </si>
  <si>
    <t>HZ+1</t>
  </si>
  <si>
    <t>03+Winkelhaid</t>
  </si>
  <si>
    <t>05+M%C3%BCnchen</t>
  </si>
  <si>
    <t>feuerflo-mgns+Dorf</t>
  </si>
  <si>
    <t>Black+Lagoon</t>
  </si>
  <si>
    <t>%2A002%2A+Pazzo</t>
  </si>
  <si>
    <t>Harakiri+AG</t>
  </si>
  <si>
    <t>kerlss+Dorf</t>
  </si>
  <si>
    <t>001+%7C+Bisasam</t>
  </si>
  <si>
    <t>Die+H%C3%B6hle+des+L%C3%B6wen%21</t>
  </si>
  <si>
    <t>54%3A21%3A90+NE</t>
  </si>
  <si>
    <t>002+Sonderschuleeeee</t>
  </si>
  <si>
    <t>Agentur+f%C3%BCr+Arbeit</t>
  </si>
  <si>
    <t>002+M%C3%A4rchen+-+was+ist+real%3F</t>
  </si>
  <si>
    <t>Agox+001</t>
  </si>
  <si>
    <t>Tag+001</t>
  </si>
  <si>
    <t>44%3A61%3A77+%2F%2F+Ragemode</t>
  </si>
  <si>
    <t>001+AG+inc</t>
  </si>
  <si>
    <t>Peter+01</t>
  </si>
  <si>
    <t>04+Schakakunga</t>
  </si>
  <si>
    <t>001+-+Code+Geass</t>
  </si>
  <si>
    <t>joesefs+Dorf</t>
  </si>
  <si>
    <t>%23001+Lappenhort+Spastingen</t>
  </si>
  <si>
    <t>Frohlixs+Dorf+2</t>
  </si>
  <si>
    <t>IchigoKorusakis+Dorf</t>
  </si>
  <si>
    <t>44%3A41%3A56+%2F%2F+-+chris</t>
  </si>
  <si>
    <t>Snacky+Snack</t>
  </si>
  <si>
    <t>sascha911s+Dorf</t>
  </si>
  <si>
    <t>44%3A51%3A07+%2F%2F+-+chris</t>
  </si>
  <si>
    <t>001+Die+Gelbe+Wand</t>
  </si>
  <si>
    <t>003+Nur+der+HSV%21</t>
  </si>
  <si>
    <t>Tischhaxs+Dorf</t>
  </si>
  <si>
    <t>Zoapys+Dorf</t>
  </si>
  <si>
    <t>Sk0rpis+Dorf</t>
  </si>
  <si>
    <t>02+Badehose</t>
  </si>
  <si>
    <t>005+Rinasu</t>
  </si>
  <si>
    <t>Lutherstadt+Wittenberg</t>
  </si>
  <si>
    <t>III.+Byzantium</t>
  </si>
  <si>
    <t>01+Jeans</t>
  </si>
  <si>
    <t>1.+Zeytin</t>
  </si>
  <si>
    <t>001+BAZINGA%21</t>
  </si>
  <si>
    <t>Monne-81s+Dorf</t>
  </si>
  <si>
    <t>%231.2+Homel</t>
  </si>
  <si>
    <t>%7C000%7C+Neudorf</t>
  </si>
  <si>
    <t>%23001+DrMinzlauers+Dorf</t>
  </si>
  <si>
    <t>%5B002%5D+Kuruks+Dorf</t>
  </si>
  <si>
    <t>%231.1+Minsk</t>
  </si>
  <si>
    <t>%5B001%5D+Kuruks+Dorf</t>
  </si>
  <si>
    <t>AG+1Anna</t>
  </si>
  <si>
    <t>%23Andrews+Maschinenpistole</t>
  </si>
  <si>
    <t>M%C3%BClsen</t>
  </si>
  <si>
    <t>%5B002%5D+BB</t>
  </si>
  <si>
    <t>002+Hexenh%C3%A4uschen</t>
  </si>
  <si>
    <t>001+Dumm+wie+Brot</t>
  </si>
  <si>
    <t>Rattenf%C3%A4nger</t>
  </si>
  <si>
    <t>001+dag</t>
  </si>
  <si>
    <t>Siedler11s+Dorf</t>
  </si>
  <si>
    <t>Hamburg+AG</t>
  </si>
  <si>
    <t>%5B002%5D+Oettinger</t>
  </si>
  <si>
    <t>Rand+der+Welt</t>
  </si>
  <si>
    <t>45%3A02%3A96+Bash+Nachtaktiv%3F</t>
  </si>
  <si>
    <t>Us934s+Dorf</t>
  </si>
  <si>
    <t>Bash%7C01</t>
  </si>
  <si>
    <t>%7C%7C03%7C%7C</t>
  </si>
  <si>
    <t>%7E01%7E+Mittelerde</t>
  </si>
  <si>
    <t>003+M%C3%A4rchen+-+was+ist+real%3F</t>
  </si>
  <si>
    <t>001+Havanna+%7E+531%7C513</t>
  </si>
  <si>
    <t>003+Memories+%7E+554%7C414</t>
  </si>
  <si>
    <t>55776+Tittenkofen</t>
  </si>
  <si>
    <t>45%3A03%3A62+%2F%2FBash%2FHorst%2FRocki</t>
  </si>
  <si>
    <t>asvstas+Dorf</t>
  </si>
  <si>
    <t>Wolfsh%C3%BCtte+03</t>
  </si>
  <si>
    <t>001+Auf+Kuschelkurs+%3A%29</t>
  </si>
  <si>
    <t>001+Black</t>
  </si>
  <si>
    <t>001+Alexandria</t>
  </si>
  <si>
    <t>D+i+n+g+D+o+n+g+001</t>
  </si>
  <si>
    <t>001+M%C3%A4rchen+-+was+ist+real%3F</t>
  </si>
  <si>
    <t>005+Lutetia</t>
  </si>
  <si>
    <t>001+Thunder</t>
  </si>
  <si>
    <t>Franzi2112s+Dorf</t>
  </si>
  <si>
    <t>Fort+Knox</t>
  </si>
  <si>
    <t>Village+1.0</t>
  </si>
  <si>
    <t>005+%7C+let+it+rock</t>
  </si>
  <si>
    <t>001+%2A%2A%7ETraumf%C3%A4nger%7E%2A%2A</t>
  </si>
  <si>
    <t>001+%7C%7C+Konoha</t>
  </si>
  <si>
    <t>001+%7C+let+it+rock</t>
  </si>
  <si>
    <t>001+I+Deff-Dorf</t>
  </si>
  <si>
    <t>0x02+Valorant+ist+besser+als+CS%21</t>
  </si>
  <si>
    <t>Meh+1</t>
  </si>
  <si>
    <t>Sven-104s+Dorf</t>
  </si>
  <si>
    <t>007+Thunder</t>
  </si>
  <si>
    <t>%7C001%7C+Camp+Maxi</t>
  </si>
  <si>
    <t>009+Black</t>
  </si>
  <si>
    <t>Meh+3</t>
  </si>
  <si>
    <t>002_tiefenrauschs+Dorf</t>
  </si>
  <si>
    <t>44%3A54%3A66+Ehre</t>
  </si>
  <si>
    <t>%5B005%5D+Barbaren</t>
  </si>
  <si>
    <t>Stuttgart+City</t>
  </si>
  <si>
    <t>Gibts+hier+Bier%3F</t>
  </si>
  <si>
    <t>Tokyo+Ghoul</t>
  </si>
  <si>
    <t>%5BAG%5Drro+%3F</t>
  </si>
  <si>
    <t>XXXXX%5BAG%5DXXXXX</t>
  </si>
  <si>
    <t>blue+phantasies+Dorf</t>
  </si>
  <si>
    <t>%5B001%5D+Schnapsladen</t>
  </si>
  <si>
    <t>%5BAG%5Dgressive+Expansion</t>
  </si>
  <si>
    <t>%C2%BB+A%7C005+%C2%AB</t>
  </si>
  <si>
    <t>hallo+welt+1</t>
  </si>
  <si>
    <t>Audi+GmbH</t>
  </si>
  <si>
    <t>Omas+Dorf+178</t>
  </si>
  <si>
    <t>Bada-B%C3%A4%C3%A4m</t>
  </si>
  <si>
    <t>Spandau+001</t>
  </si>
  <si>
    <t>buBbelssss+Dorf</t>
  </si>
  <si>
    <t>45%3A94%3A52+-+Wasted+Lands</t>
  </si>
  <si>
    <t>xArgusHausenx+1.0</t>
  </si>
  <si>
    <t>1+Ag</t>
  </si>
  <si>
    <t>fabiosis+Dorf</t>
  </si>
  <si>
    <t>Black+Phoenix</t>
  </si>
  <si>
    <t>%7E005%7ETr%C3%A4um+weiter</t>
  </si>
  <si>
    <t>S%C3%B6g%C3%BCt</t>
  </si>
  <si>
    <t>Dkmonkeys+Dorf</t>
  </si>
  <si>
    <t>Peganxs+Dorf</t>
  </si>
  <si>
    <t>No.1+%5B484%7C413%5D+AG</t>
  </si>
  <si>
    <t>is+meins+0001</t>
  </si>
  <si>
    <t>001+Dorf</t>
  </si>
  <si>
    <t>01+Randale</t>
  </si>
  <si>
    <t>4+ever+alone</t>
  </si>
  <si>
    <t>%2A001%2A_178</t>
  </si>
  <si>
    <t>%5B002%5D+Peacemaker</t>
  </si>
  <si>
    <t>Murder+One</t>
  </si>
  <si>
    <t>sirisambuca+wh-ph%23001</t>
  </si>
  <si>
    <t>boehmis+Dorf</t>
  </si>
  <si>
    <t>Hauptsitz+der+Miau%21+AG</t>
  </si>
  <si>
    <t>AG+Inc%21+003%2A</t>
  </si>
  <si>
    <t>004+Bastards+and+Broken+Things</t>
  </si>
  <si>
    <t>003+Tsukoyomi</t>
  </si>
  <si>
    <t>Grawps+Dorf</t>
  </si>
  <si>
    <t>Aggro321s+Dorf</t>
  </si>
  <si>
    <t>Mauseb%C3%A4r69s+Dorf</t>
  </si>
  <si>
    <t>WILLIxDxs+Dorf</t>
  </si>
  <si>
    <t>djkas+Dorf</t>
  </si>
  <si>
    <t>Arbeitstag+4</t>
  </si>
  <si>
    <t>Choronia+2</t>
  </si>
  <si>
    <t>Asgardingers+Dorf</t>
  </si>
  <si>
    <t>001+%7C+Jomir</t>
  </si>
  <si>
    <t>001+Karabiata</t>
  </si>
  <si>
    <t>01+Bubafisch</t>
  </si>
  <si>
    <t>%7C%7C02%7C%7C</t>
  </si>
  <si>
    <t>002+Hometown</t>
  </si>
  <si>
    <t>Al3x4ndra+die+Kl3ine18Zwiebel</t>
  </si>
  <si>
    <t>Svan+Is+Dorf</t>
  </si>
  <si>
    <t>Valhalla+II</t>
  </si>
  <si>
    <t>why+so+serious%3F</t>
  </si>
  <si>
    <t>Teugonia+%7B3%7D</t>
  </si>
  <si>
    <t>PandoMeteoraXs+Dorf</t>
  </si>
  <si>
    <t>04+OCB+plus+Kippe+f%C3%BCr+Mische</t>
  </si>
  <si>
    <t>Dray-of-Gelps+Dorf</t>
  </si>
  <si>
    <t>Fajas+Dorf</t>
  </si>
  <si>
    <t>ufoman444s+Dorf+%7C+003</t>
  </si>
  <si>
    <t>...+mit+Schokoglasur</t>
  </si>
  <si>
    <t>Bikini+Bottom</t>
  </si>
  <si>
    <t>Immodium+Akut</t>
  </si>
  <si>
    <t>pickman969s+Dorf</t>
  </si>
  <si>
    <t>001+Nightmarrys+Dorf</t>
  </si>
  <si>
    <t>Ich+bin+7+Farbenblinder</t>
  </si>
  <si>
    <t>006-Big+Ridaz</t>
  </si>
  <si>
    <t>Lord+Reagons+Dorf</t>
  </si>
  <si>
    <t>0001+Bauernbrot</t>
  </si>
  <si>
    <t>XXX+Center+0002</t>
  </si>
  <si>
    <t>K55+-+001</t>
  </si>
  <si>
    <t>%7EBlockbuster%7E</t>
  </si>
  <si>
    <t>Roma+III</t>
  </si>
  <si>
    <t>%5B002%5D+Stammbierbrauerei</t>
  </si>
  <si>
    <t>%7C003+RiVa</t>
  </si>
  <si>
    <t>Ice+wallow+come</t>
  </si>
  <si>
    <t>%7B2%7D+Casa+Tamarindo</t>
  </si>
  <si>
    <t>x002+%7C+Best+Village+ever</t>
  </si>
  <si>
    <t>003+%7C+Sorpenhort</t>
  </si>
  <si>
    <t>The+Gentle</t>
  </si>
  <si>
    <t>003+Cafe+Somewhere</t>
  </si>
  <si>
    <t>%7C001+RiVa</t>
  </si>
  <si>
    <t>Magic+Lupus</t>
  </si>
  <si>
    <t>%28+.+Y+.+%29</t>
  </si>
  <si>
    <t>%5B02%5DNoName</t>
  </si>
  <si>
    <t>Baten+Kaitos</t>
  </si>
  <si>
    <t>%7EBashpoint%7E</t>
  </si>
  <si>
    <t>%7C002%7C+Rammelndes+AG</t>
  </si>
  <si>
    <t>Om%40+Nr.+001</t>
  </si>
  <si>
    <t>%23002+Chicken+0420</t>
  </si>
  <si>
    <t>004%7C+Rohan</t>
  </si>
  <si>
    <t>002+The+Kingsroad</t>
  </si>
  <si>
    <t>006+A+Golden+Crown</t>
  </si>
  <si>
    <t>178%2F3v3</t>
  </si>
  <si>
    <t>%5B004%5D-DRHDT-</t>
  </si>
  <si>
    <t>%5B002%5D+A-Mainz</t>
  </si>
  <si>
    <t>Timen%3F+Kann+ich+nicht.</t>
  </si>
  <si>
    <t>%2AWeed</t>
  </si>
  <si>
    <t>%7C001%7C+Neustadt</t>
  </si>
  <si>
    <t>45%7C38%7C34</t>
  </si>
  <si>
    <t>54%3A83%3A86+der+beleidigte+Berg</t>
  </si>
  <si>
    <t>Es+werde+Licht...</t>
  </si>
  <si>
    <t>%5B007%5D+Agasul</t>
  </si>
  <si>
    <t>frauknurris+Dorf</t>
  </si>
  <si>
    <t>Retimen%3F+Kann+ich+nicht.</t>
  </si>
  <si>
    <t>001%7CNippelzwicke</t>
  </si>
  <si>
    <t>Osmanischer+Imperator+55</t>
  </si>
  <si>
    <t>xAdlers+Dorf</t>
  </si>
  <si>
    <t>001+%7C+Tegernseer</t>
  </si>
  <si>
    <t>Inselverbot+%7C+001</t>
  </si>
  <si>
    <t>-%5B001%5D-Im+Profil+stehen+die+AGBs</t>
  </si>
  <si>
    <t>002+%7C+Augustiner</t>
  </si>
  <si>
    <t>KaliTans+Dorf</t>
  </si>
  <si>
    <t>01+Spastardo</t>
  </si>
  <si>
    <t>Inselverbot+%7C+005</t>
  </si>
  <si>
    <t>Nani%3F+oo3</t>
  </si>
  <si>
    <t>002%7CPiepmatz</t>
  </si>
  <si>
    <t>Keep+out+plz</t>
  </si>
  <si>
    <t>Xadertims+Dorf</t>
  </si>
  <si>
    <t>%231+Las+Vegas</t>
  </si>
  <si>
    <t>005+Altb%C3%BCron</t>
  </si>
  <si>
    <t>Colter+01</t>
  </si>
  <si>
    <t>K55_003_Dietrich+von+Bern-1</t>
  </si>
  <si>
    <t>3+Lucky+Charms</t>
  </si>
  <si>
    <t>Rojas+Dorf</t>
  </si>
  <si>
    <t>001+%2F%2F%5B44%3A68%3A53%5D%2F%2F</t>
  </si>
  <si>
    <t>Thrakien+01</t>
  </si>
  <si>
    <t>Verdansk+01</t>
  </si>
  <si>
    <t>Thrakien+06</t>
  </si>
  <si>
    <t>%5BAG%5DMeins</t>
  </si>
  <si>
    <t>002+-+Wyzima</t>
  </si>
  <si>
    <t>45-59-22+Hells+Bells</t>
  </si>
  <si>
    <t>hoyohoyos+Dorf</t>
  </si>
  <si>
    <t>Who+Cares%3F</t>
  </si>
  <si>
    <t>TheHardyBoy94s+Dorf</t>
  </si>
  <si>
    <t>Austria+Wien</t>
  </si>
  <si>
    <t>%5B005%5D+Luckystrike.</t>
  </si>
  <si>
    <t>AG+003</t>
  </si>
  <si>
    <t>AG+001</t>
  </si>
  <si>
    <t>d+empires+Dorf</t>
  </si>
  <si>
    <t>Hentai+is+Art%21</t>
  </si>
  <si>
    <t>001+-+MFG</t>
  </si>
  <si>
    <t>001+%7C+El+Patron</t>
  </si>
  <si>
    <t>Kempen+001</t>
  </si>
  <si>
    <t>NoHands+I</t>
  </si>
  <si>
    <t>Adelshofer+Premium+Pils</t>
  </si>
  <si>
    <t>Veni+Vidi+Vici</t>
  </si>
  <si>
    <t>%5B005%5D+Amnesia+Haze</t>
  </si>
  <si>
    <t>SeppGustls+Dorf</t>
  </si>
  <si>
    <t>1.+Dorf</t>
  </si>
  <si>
    <t>Lemmiss+Dorff</t>
  </si>
  <si>
    <t>001%7CJonesnDestrict</t>
  </si>
  <si>
    <t>001+Radeburg</t>
  </si>
  <si>
    <t>%5BAG%5DFerne</t>
  </si>
  <si>
    <t>diego-94s+Dorf</t>
  </si>
  <si>
    <t>%5B012%5D</t>
  </si>
  <si>
    <t>Rom+III</t>
  </si>
  <si>
    <t>002+Magnus+Apex</t>
  </si>
  <si>
    <t>Thrakien+03</t>
  </si>
  <si>
    <t>002+Paris</t>
  </si>
  <si>
    <t>Brians+Bude</t>
  </si>
  <si>
    <t>Troja+1</t>
  </si>
  <si>
    <t>03+Bubawels</t>
  </si>
  <si>
    <t>Hydro+%5B002%5D</t>
  </si>
  <si>
    <t>Rainer+Bash</t>
  </si>
  <si>
    <t>TizianWs+Dorf</t>
  </si>
  <si>
    <t>Ahalekss+Dorf</t>
  </si>
  <si>
    <t>ToStrikeBacks+Dorf</t>
  </si>
  <si>
    <t>Rainer+Retime</t>
  </si>
  <si>
    <t>Brettvormkopps+Dorf%21</t>
  </si>
  <si>
    <t>Where+is+winter%3F</t>
  </si>
  <si>
    <t>Altenb%C3%B6gge</t>
  </si>
  <si>
    <t>Welle+02</t>
  </si>
  <si>
    <t>001-Made+by+Cecile</t>
  </si>
  <si>
    <t>Needful+Things</t>
  </si>
  <si>
    <t>Gschw%C3%BC%C3%BCr</t>
  </si>
  <si>
    <t>V%28an%29illage</t>
  </si>
  <si>
    <t>001+Biskotte</t>
  </si>
  <si>
    <t>Powergirl+4evers+Dorf</t>
  </si>
  <si>
    <t>Village+001</t>
  </si>
  <si>
    <t>Village+003+RIP+Brownie</t>
  </si>
  <si>
    <t>Cookie1204s+Dorf</t>
  </si>
  <si>
    <t>Schokodorf+78-001</t>
  </si>
  <si>
    <t>T%C3%B6rti</t>
  </si>
  <si>
    <t>Welle+01</t>
  </si>
  <si>
    <t>mit+Nutella</t>
  </si>
  <si>
    <t>Hallo+Pizza</t>
  </si>
  <si>
    <t>005+NIE</t>
  </si>
  <si>
    <t>%7E002%7E</t>
  </si>
  <si>
    <t>005+F%C3%BC%C3%9Fe+hochlegen</t>
  </si>
  <si>
    <t>Age+Of+Excuse+I</t>
  </si>
  <si>
    <t>%7C003%7C+Colombo</t>
  </si>
  <si>
    <t>001+%7C+Czech+Garden+Party</t>
  </si>
  <si>
    <t>001+Ravenhill</t>
  </si>
  <si>
    <t>004+B%C3%BCchsewurst</t>
  </si>
  <si>
    <t>004+Raven</t>
  </si>
  <si>
    <t>002+%7C+Lemon+Chill</t>
  </si>
  <si>
    <t>003+Raven</t>
  </si>
  <si>
    <t>Adam959595s+Dorf</t>
  </si>
  <si>
    <t>002+Raven</t>
  </si>
  <si>
    <t>%7E008%7E+What+is+Love%3F</t>
  </si>
  <si>
    <t>011+%2F+ADRENALIN+%21</t>
  </si>
  <si>
    <t>%23005+Mondberg</t>
  </si>
  <si>
    <t>%23006+Azuria+City</t>
  </si>
  <si>
    <t>%23003+Vertania-Wald</t>
  </si>
  <si>
    <t>%7B005%7D+Echinopsis+Tubiflora</t>
  </si>
  <si>
    <t>001+%2F+SYSTEM+FAILURE</t>
  </si>
  <si>
    <t>Neotheror99s+Dorf</t>
  </si>
  <si>
    <t>Globi1s+Dorf</t>
  </si>
  <si>
    <t>004+%7C+L</t>
  </si>
  <si>
    <t>Blubb%3F</t>
  </si>
  <si>
    <t>K%C3%B6nig+Heckis+Dorf</t>
  </si>
  <si>
    <t>Verdansk+04</t>
  </si>
  <si>
    <t>Verdansk+03</t>
  </si>
  <si>
    <t>%5B002%5DWilliam+Wallace</t>
  </si>
  <si>
    <t>RIP+Lord+Veralus+%3A%28</t>
  </si>
  <si>
    <t>Egloffsteins+Spital</t>
  </si>
  <si>
    <t>001+Feiertag</t>
  </si>
  <si>
    <t>Egloffsteins+M%C3%BC%C3%9Figgang</t>
  </si>
  <si>
    <t>Feroculuss+Dorf</t>
  </si>
  <si>
    <t>hamdulilah+bruder</t>
  </si>
  <si>
    <t>002+%7C+J%C3%BCrgen%2C+mach+pic%21</t>
  </si>
  <si>
    <t>002+%7C+BBC</t>
  </si>
  <si>
    <t>Freund+des+Briggs</t>
  </si>
  <si>
    <t>003+%7C+BBW</t>
  </si>
  <si>
    <t>Bezwinger+des+Wolfgangs</t>
  </si>
  <si>
    <t>Geiler+Skillers+Dorf</t>
  </si>
  <si>
    <t>heyjes+Dorf</t>
  </si>
  <si>
    <t>%7C001%7C+Tijuana</t>
  </si>
  <si>
    <t>AG+Agrigento</t>
  </si>
  <si>
    <t>%7B007%7D+Ariocarpus</t>
  </si>
  <si>
    <t>05%7C+Bacardi%2Aaka+Housekrawall</t>
  </si>
  <si>
    <t>%7B004%7D+Homatocactus</t>
  </si>
  <si>
    <t>From+Snake+with+hate</t>
  </si>
  <si>
    <t>We+will+Rock+you+001</t>
  </si>
  <si>
    <t>Caillous+Glatze</t>
  </si>
  <si>
    <t>0o5+-+GO</t>
  </si>
  <si>
    <t>%5B004%5D+Born4Bran</t>
  </si>
  <si>
    <t>Old+World</t>
  </si>
  <si>
    <t>006%7CLandleben</t>
  </si>
  <si>
    <t>K64+46%3A60%3A21+Mykonos</t>
  </si>
  <si>
    <t>0o6+-+RUMMS</t>
  </si>
  <si>
    <t>%7C%3A..%3A..%3A%7C</t>
  </si>
  <si>
    <t>45%3A69%3A09+%7C+Paule11</t>
  </si>
  <si>
    <t>Teddy+Arroganz+006</t>
  </si>
  <si>
    <t>K64+46%3A50%3A51+Honolulu</t>
  </si>
  <si>
    <t>004%7C%7CWaseSolleMachen</t>
  </si>
  <si>
    <t>K54+45%3A69%3A23+Fiji</t>
  </si>
  <si>
    <t>gettin+jiggy+with+it</t>
  </si>
  <si>
    <t>Village+Villa</t>
  </si>
  <si>
    <t>K54+45%3A69%3A50+Kos</t>
  </si>
  <si>
    <t>Feel+free+to+Surrender.</t>
  </si>
  <si>
    <t>02+-+Dol+Guldur</t>
  </si>
  <si>
    <t>002%7Cmit</t>
  </si>
  <si>
    <t>Teddy+Arroganz+009</t>
  </si>
  <si>
    <t>K54+45%3A69%3A34+Dehli</t>
  </si>
  <si>
    <t>005%7CFreitag%2C+Samstag</t>
  </si>
  <si>
    <t>Dorf+0815</t>
  </si>
  <si>
    <t>1+Lucky+Charms</t>
  </si>
  <si>
    <t>threeplayers+Dorf</t>
  </si>
  <si>
    <t>001+nicht+Hans+Dorf+%3BD</t>
  </si>
  <si>
    <t>001+-+Kings+Landing</t>
  </si>
  <si>
    <t>Hoschys+Dorf</t>
  </si>
  <si>
    <t>XXX+Center+0001</t>
  </si>
  <si>
    <t>001+Jim+Panse</t>
  </si>
  <si>
    <t>Anne+Wandnageln</t>
  </si>
  <si>
    <t>Marquez+von+Hinten</t>
  </si>
  <si>
    <t>Horst2000s+Harem</t>
  </si>
  <si>
    <t>Claus+Kleber</t>
  </si>
  <si>
    <t>FreakyBashers+Dorf</t>
  </si>
  <si>
    <t>Penny-Markt+auf+der+Reeperbahn</t>
  </si>
  <si>
    <t>Moritz148s+Dorf</t>
  </si>
  <si>
    <t>%C2%BB+A%7C001+%C2%AB</t>
  </si>
  <si>
    <t>m%21necr%40ft</t>
  </si>
  <si>
    <t>%C2%BB+A%7C002+%C2%AB</t>
  </si>
  <si>
    <t>Mainhatten+002</t>
  </si>
  <si>
    <t>Gewissensbisse%3F</t>
  </si>
  <si>
    <t>H%C3%BCtte+02</t>
  </si>
  <si>
    <t>001+Bult</t>
  </si>
  <si>
    <t>Flo+ist+ein+Lappen%21</t>
  </si>
  <si>
    <t>Beklopptes+Dorf+004</t>
  </si>
  <si>
    <t>Mochis+Mystery</t>
  </si>
  <si>
    <t>004+St%C3%B6rteb%C3%B6ker</t>
  </si>
  <si>
    <t>Ins+Gsicht+oida%21</t>
  </si>
  <si>
    <t>%7C001%7C+Darmstadt</t>
  </si>
  <si>
    <t>Du+GaGet+Schwifty%21</t>
  </si>
  <si>
    <t>002-Ruffy+der+M.+m.+d.+Strohhut</t>
  </si>
  <si>
    <t>001+A+Good+Year</t>
  </si>
  <si>
    <t>001%7C+Limited+Edition+Alpha</t>
  </si>
  <si>
    <t>%7E%7E001%7E%7E+06%3A05%3A2020</t>
  </si>
  <si>
    <t>%23003+Berittene+Infanterie</t>
  </si>
  <si>
    <t>001+Crazy%21</t>
  </si>
  <si>
    <t>%7C005%7C+Dresden</t>
  </si>
  <si>
    <t>003+T%C3%BCpl+Allensteigs+Dorf</t>
  </si>
  <si>
    <t>Ehrenmann+W%C3%A4ldi</t>
  </si>
  <si>
    <t>003%7C+Akali</t>
  </si>
  <si>
    <t>%7E%5B003-AG%5D%7E</t>
  </si>
  <si>
    <t>%5B01%5D+Cartagena</t>
  </si>
  <si>
    <t>001%7C+Aatrox</t>
  </si>
  <si>
    <t>004+QT</t>
  </si>
  <si>
    <t>M%C3%BCnster</t>
  </si>
  <si>
    <t>0001+Giovanni+Cobolli+Gigli+Dorf</t>
  </si>
  <si>
    <t>Megges+drive-in</t>
  </si>
  <si>
    <t>002+dag</t>
  </si>
  <si>
    <t>Casa+del+Breuni+002</t>
  </si>
  <si>
    <t>Rom+I</t>
  </si>
  <si>
    <t>Hotspot+004</t>
  </si>
  <si>
    <t>Deutscher1991s+Dorf</t>
  </si>
  <si>
    <t>004+%7C+Lisa+AG</t>
  </si>
  <si>
    <t>002+%2F+Sickboyrari</t>
  </si>
  <si>
    <t>Roma+I</t>
  </si>
  <si>
    <t>drvuudos+Dorf</t>
  </si>
  <si>
    <t>Svobby+001</t>
  </si>
  <si>
    <t>001+-+Vitos+Erbe</t>
  </si>
  <si>
    <t>004+-001-</t>
  </si>
  <si>
    <t>Wondys+Dorf</t>
  </si>
  <si>
    <t>Svobby+003%7EFlos+Ehrenbruderbasis</t>
  </si>
  <si>
    <t>P+008-1</t>
  </si>
  <si>
    <t>Svobby+004</t>
  </si>
  <si>
    <t>0001+The+Village</t>
  </si>
  <si>
    <t>003.+Purbach</t>
  </si>
  <si>
    <t>%5B0009%5D+AG-ANGRIFF</t>
  </si>
  <si>
    <t>001%7C+Gondor</t>
  </si>
  <si>
    <t>M%40giXxs+002</t>
  </si>
  <si>
    <t>Nicht+die+Mama</t>
  </si>
  <si>
    <t>L%C3%A4cherliche+Welt+178</t>
  </si>
  <si>
    <t>001+Kasperhausen</t>
  </si>
  <si>
    <t>Detlef+dreht+sich</t>
  </si>
  <si>
    <t>%2A004%2A_178</t>
  </si>
  <si>
    <t>002+Schlabbefligger</t>
  </si>
  <si>
    <t>002+Siberia</t>
  </si>
  <si>
    <t>001+Holla</t>
  </si>
  <si>
    <t>D.Kraft91s+Dorf</t>
  </si>
  <si>
    <t>Jagger+Man+Jensen</t>
  </si>
  <si>
    <t>420xShines+Dorf</t>
  </si>
  <si>
    <t>K%C3%B6nigsschlucht</t>
  </si>
  <si>
    <t>001+%7C+Kiel</t>
  </si>
  <si>
    <t>002+Hundeh%C3%BCtte</t>
  </si>
  <si>
    <t>0002+Rosthagels+Dorf</t>
  </si>
  <si>
    <t>002+Karabiata</t>
  </si>
  <si>
    <t>K%C3%B6nigsmund</t>
  </si>
  <si>
    <t>Lutscher+City+2.0</t>
  </si>
  <si>
    <t>Be+HaPpY</t>
  </si>
  <si>
    <t>Tennismueckes+Dorf+3</t>
  </si>
  <si>
    <t>Walhalla+003</t>
  </si>
  <si>
    <t>D%C3%B6rfli</t>
  </si>
  <si>
    <t>K55_002_L%C3%B6li-1</t>
  </si>
  <si>
    <t>Laugh+Not+Cry</t>
  </si>
  <si>
    <t>ema54s+Dorf</t>
  </si>
  <si>
    <t>J%C3%B6els+Dorf</t>
  </si>
  <si>
    <t>Albtraum%21</t>
  </si>
  <si>
    <t>Thrakien+05</t>
  </si>
  <si>
    <t>The+golden+Empire+001</t>
  </si>
  <si>
    <t>001+Garga+und+Sohn+AG</t>
  </si>
  <si>
    <t>Adelsschl%C3%A4chters</t>
  </si>
  <si>
    <t>001+Berlin</t>
  </si>
  <si>
    <t>AM2824s+Dorf</t>
  </si>
  <si>
    <t>WHO+DAT+Nation+004</t>
  </si>
  <si>
    <t>MovesLikeJ%C3%A4ger+sein+Dorf</t>
  </si>
  <si>
    <t>K34+-001-+AG</t>
  </si>
  <si>
    <t>15+owa</t>
  </si>
  <si>
    <t>Oberdivas+Dorf</t>
  </si>
  <si>
    <t>Chill+mal+dein+Leben</t>
  </si>
  <si>
    <t>AG+Offense</t>
  </si>
  <si>
    <t>001+Schwaadlappe</t>
  </si>
  <si>
    <t>Terra+001</t>
  </si>
  <si>
    <t>W178+54%3A26%3A02</t>
  </si>
  <si>
    <t>Red+Hair+pirates</t>
  </si>
  <si>
    <t>Walhalla+001</t>
  </si>
  <si>
    <t>Barmbek+001</t>
  </si>
  <si>
    <t>M%C3%BCnchen</t>
  </si>
  <si>
    <t>%3F%3F%3F%2F%2F%2F%3F%3F%3F</t>
  </si>
  <si>
    <t>Nicht+der+Norden</t>
  </si>
  <si>
    <t>Tolles+Dorf</t>
  </si>
  <si>
    <t>%7C003%7C+Pablo</t>
  </si>
  <si>
    <t>%7C002%7C+Escobar</t>
  </si>
  <si>
    <t>002+FREE+CANDY</t>
  </si>
  <si>
    <t>001+-+Weidenau</t>
  </si>
  <si>
    <t>TeslaGigafactory+2</t>
  </si>
  <si>
    <t>Totale+Vernichtung</t>
  </si>
  <si>
    <t>001+Cleaners+Hell</t>
  </si>
  <si>
    <t>Beaver+Creek</t>
  </si>
  <si>
    <t>Lord+Swagstaus+Dorf+2</t>
  </si>
  <si>
    <t>003%7C+Blauer+Chocobo</t>
  </si>
  <si>
    <t>Bedlam+Weiler</t>
  </si>
  <si>
    <t>%7C002%7C+dorny</t>
  </si>
  <si>
    <t>001%7C-+Rocks+D.+Zebec</t>
  </si>
  <si>
    <t>Adidas+Store</t>
  </si>
  <si>
    <t>Hier+k%C3%B6nnte+Ihre+Werbung+stehen%21</t>
  </si>
  <si>
    <t>001+Home+of+Snus</t>
  </si>
  <si>
    <t>%5B000%5DSchweiz</t>
  </si>
  <si>
    <t>Windschl%C3%A4chterei</t>
  </si>
  <si>
    <t>Dosenbier+macht+schlau</t>
  </si>
  <si>
    <t>003+M%C3%BChlenkontor</t>
  </si>
  <si>
    <t>Holy+Diver+%28DIO%29</t>
  </si>
  <si>
    <t>AG0001+Budapest+on+Fire</t>
  </si>
  <si>
    <t>Der+Lord</t>
  </si>
  <si>
    <t>46%3A50%3A71+%7C+Flesch</t>
  </si>
  <si>
    <t>K64+46%3A60%3A30+G%C3%B6bekli+Tepe</t>
  </si>
  <si>
    <t>Xyvios+Dorf</t>
  </si>
  <si>
    <t>%28B%29</t>
  </si>
  <si>
    <t>K64+46%3A50%3A41+Kitzb%C3%BChel</t>
  </si>
  <si>
    <t>007%7CDie+Farm</t>
  </si>
  <si>
    <t>54%3A97%3A24+-+Capit%C3%A4n</t>
  </si>
  <si>
    <t>Das+macht+Spass.</t>
  </si>
  <si>
    <t>%5B002%5D+Glutexo</t>
  </si>
  <si>
    <t>005+Bishamon</t>
  </si>
  <si>
    <t>...Mob+of+the+dead%21</t>
  </si>
  <si>
    <t>002+%7C+Hustensaft+Heiko</t>
  </si>
  <si>
    <t>...der+immer+sehr...</t>
  </si>
  <si>
    <t>001+Asterix</t>
  </si>
  <si>
    <t>m1+Dorf</t>
  </si>
  <si>
    <t>Tennismueckes+Dorf</t>
  </si>
  <si>
    <t>TADA+BANRI</t>
  </si>
  <si>
    <t>001+-+Konohagakure</t>
  </si>
  <si>
    <t>008+%2F%2F+ez+pz</t>
  </si>
  <si>
    <t>FicoMicos+Dorf</t>
  </si>
  <si>
    <t>002+Obelix</t>
  </si>
  <si>
    <t>002+BAZINGA%21</t>
  </si>
  <si>
    <t>IchigoKorusakis+Dorf+002</t>
  </si>
  <si>
    <t>001%7C+Gelber+Chocobo</t>
  </si>
  <si>
    <t>Lord+Swagstaus+Dorf</t>
  </si>
  <si>
    <t>Pizzab%C3%A4cker+001</t>
  </si>
  <si>
    <t>L+AG+E+R+H+A+L+L+E</t>
  </si>
  <si>
    <t>45%3A74%3A12%7C+Sturmfront</t>
  </si>
  <si>
    <t>xArgusHausenx+1.5</t>
  </si>
  <si>
    <t>05+Guten+Morgen</t>
  </si>
  <si>
    <t>003%7C%2A_%2A</t>
  </si>
  <si>
    <t>001+Cafe+Extrablatt</t>
  </si>
  <si>
    <t>001%7C%2A_%2A</t>
  </si>
  <si>
    <t>003+Arktur</t>
  </si>
  <si>
    <t>000+dahoam</t>
  </si>
  <si>
    <t>-+0001+-</t>
  </si>
  <si>
    <t>001+%2F+Chauvinistischer+Kern</t>
  </si>
  <si>
    <t>N%C3%B6+hab+nur+USD</t>
  </si>
  <si>
    <t>-+0002+-</t>
  </si>
  <si>
    <t>Theos+Reich</t>
  </si>
  <si>
    <t>003+%2F+Uber+X</t>
  </si>
  <si>
    <t>Edo+Sojabohnes+Dorf</t>
  </si>
  <si>
    <t>-+0003+-</t>
  </si>
  <si>
    <t>Marine+Ford</t>
  </si>
  <si>
    <t>.Vrenelisg%C3%A4rtli</t>
  </si>
  <si>
    <t>Brettvormkopps+Dorf</t>
  </si>
  <si>
    <t>%5B002%5D+Bananarama</t>
  </si>
  <si>
    <t>44%3A96%3A80+%2F%2F+-+chris</t>
  </si>
  <si>
    <t>NiggoHs+Dorf</t>
  </si>
  <si>
    <t>Assassination+Weiler</t>
  </si>
  <si>
    <t>Team+Katusha+Alpecin</t>
  </si>
  <si>
    <t>401+AG+Unauthorized</t>
  </si>
  <si>
    <t>%5B001%5D+Bikini+Atoll</t>
  </si>
  <si>
    <t>RIP+Lady+Emerald+%3A%28</t>
  </si>
  <si>
    <t>0o1+-+BamAG</t>
  </si>
  <si>
    <t>Boom+Pow</t>
  </si>
  <si>
    <t>003+xX%7E001%7EXx</t>
  </si>
  <si>
    <t>P.und+B.s+Dorf</t>
  </si>
  <si>
    <t>001+Dies+und+Das-.-</t>
  </si>
  <si>
    <t>Vanessa2704+01</t>
  </si>
  <si>
    <t>derRalles+Dorf</t>
  </si>
  <si>
    <t>Ironhorses+Dorf</t>
  </si>
  <si>
    <t>Schleswig+Holstein+01</t>
  </si>
  <si>
    <t>Hast+mal+ein+Euro</t>
  </si>
  <si>
    <t>alter-manns+Dorf</t>
  </si>
  <si>
    <t>Caribena+001</t>
  </si>
  <si>
    <t>Svobby+005</t>
  </si>
  <si>
    <t>002+%7C+TaiimzZ</t>
  </si>
  <si>
    <t>003+%7C+TaiimzZ</t>
  </si>
  <si>
    <t>Pferd+2</t>
  </si>
  <si>
    <t>Ajaxtown+1</t>
  </si>
  <si>
    <t>%5B003%5D+Dorf%3F+Dorf%3F+Dorf%3F+Doof%3F</t>
  </si>
  <si>
    <t>No+Farm</t>
  </si>
  <si>
    <t>the+brave+little+helpers+Dorf</t>
  </si>
  <si>
    <t>002+Barcelona+AG</t>
  </si>
  <si>
    <t>Weihnachtsmann+u.+Co.+KG</t>
  </si>
  <si>
    <t>001%7C+Mien+Dorf</t>
  </si>
  <si>
    <t>-+0004+-</t>
  </si>
  <si>
    <t>003+Liverpool+AG</t>
  </si>
  <si>
    <t>01+Sol</t>
  </si>
  <si>
    <t>%7E002%7E+Bergedorf</t>
  </si>
  <si>
    <t>Los+Angeles+Lakers</t>
  </si>
  <si>
    <t>45%3A64%3A24%7C+Sturmfront</t>
  </si>
  <si>
    <t>004%7CRighteous</t>
  </si>
  <si>
    <t>45%3A63%3A49%7C+Sturmfront</t>
  </si>
  <si>
    <t>008+Raven</t>
  </si>
  <si>
    <t>Zum+Goldenen+Schuss</t>
  </si>
  <si>
    <t>%7E007%7E+What+is+Love%3F</t>
  </si>
  <si>
    <t>wer+cleant+der+adelt</t>
  </si>
  <si>
    <t>Villa+%23003</t>
  </si>
  <si>
    <t>004+Gauloises</t>
  </si>
  <si>
    <t>Aspirin+%2BC</t>
  </si>
  <si>
    <t>I+am+your+number+%7B2%7D</t>
  </si>
  <si>
    <t>002+Nur+der+HSV%21</t>
  </si>
  <si>
    <t>Spandau+002</t>
  </si>
  <si>
    <t>45%3A94%3A33+-+Decibel</t>
  </si>
  <si>
    <t>Work+1</t>
  </si>
  <si>
    <t>%5B001%5D</t>
  </si>
  <si>
    <t>F%2Ack+ned+mim+boazn+kini</t>
  </si>
  <si>
    <t>Ain+al+Rami</t>
  </si>
  <si>
    <t>%5B002%5D</t>
  </si>
  <si>
    <t>M%C3%BCcheln</t>
  </si>
  <si>
    <t>Love+Not+Hate</t>
  </si>
  <si>
    <t>Lavalias+anderes+Dorf</t>
  </si>
  <si>
    <t>%5B002%5D-DRHDT-</t>
  </si>
  <si>
    <t>%5B001%5D-DRHDT-</t>
  </si>
  <si>
    <t>1%23+Dorf</t>
  </si>
  <si>
    <t>003+Idefix</t>
  </si>
  <si>
    <t>003+Bl%C3%B6tschkopp</t>
  </si>
  <si>
    <t>%3B%29%29</t>
  </si>
  <si>
    <t>002+AG+excl</t>
  </si>
  <si>
    <t>Kapit%C3%A4nsDorf</t>
  </si>
  <si>
    <t>Agentur+f%C3%BCr+Arbeit%7C002</t>
  </si>
  <si>
    <t>54%3A44%3A03+%2F%2F+lepra</t>
  </si>
  <si>
    <t>002+VerspielteMischung</t>
  </si>
  <si>
    <t>Henrik.040s+Dorf</t>
  </si>
  <si>
    <t>Doll+Haus</t>
  </si>
  <si>
    <t>%2A%2A002%2A%2ANew+Town%2A%2A002%2A%2A</t>
  </si>
  <si>
    <t>003+WingsterMischung</t>
  </si>
  <si>
    <t>%5B001%5D+Schlachtbank</t>
  </si>
  <si>
    <t>Bisonh%C3%BCtte</t>
  </si>
  <si>
    <t>K55+-+002</t>
  </si>
  <si>
    <t>Hollywood+Whore</t>
  </si>
  <si>
    <t>Psychiatrie+%7E001%7E</t>
  </si>
  <si>
    <t>La+Casa</t>
  </si>
  <si>
    <t>Arc+0</t>
  </si>
  <si>
    <t>Psychiatrie+%7E003%7E</t>
  </si>
  <si>
    <t>Arc+I+Huffi</t>
  </si>
  <si>
    <t>benthins+Dorf</t>
  </si>
  <si>
    <t>Painkiller+%28Judas+Priest%29</t>
  </si>
  <si>
    <t>01+-+Barad-dur</t>
  </si>
  <si>
    <t>Fuhleh%C3%B6rn</t>
  </si>
  <si>
    <t>Ghetto-Nudels+Dorf</t>
  </si>
  <si>
    <t>005+%7C+Wunderjunge</t>
  </si>
  <si>
    <t>mitus+Dorf</t>
  </si>
  <si>
    <t>%5B004%5D+Super+Skunk</t>
  </si>
  <si>
    <t>Tennismueckes+Dorf+2</t>
  </si>
  <si>
    <t>Bl%C3%B6ffers+Dorf</t>
  </si>
  <si>
    <t>04%7CBad+Loipersdorf</t>
  </si>
  <si>
    <t>002%7CSonnenstein</t>
  </si>
  <si>
    <t>%21Ts+B4ShT%21M3%3F%21</t>
  </si>
  <si>
    <t>Jagger+Man</t>
  </si>
  <si>
    <t>%5B001%5D+Geonosis</t>
  </si>
  <si>
    <t>006+Hansa+ist+gro%C3%9F</t>
  </si>
  <si>
    <t>Treuer+als+der+Moritz</t>
  </si>
  <si>
    <t>KillWattis+002</t>
  </si>
  <si>
    <t>Thrakien+02</t>
  </si>
  <si>
    <t>%5B001%5D-OneOf500</t>
  </si>
  <si>
    <t>DirtyD%C3%B6rte69</t>
  </si>
  <si>
    <t>001+%7C+H</t>
  </si>
  <si>
    <t>002+Amaterasu</t>
  </si>
  <si>
    <t>Ententeich+AG</t>
  </si>
  <si>
    <t>x1+Nimm+Ihn+In+Den+Mund</t>
  </si>
  <si>
    <t>Hueco+Mundo</t>
  </si>
  <si>
    <t>Kopfballungeheuer+002</t>
  </si>
  <si>
    <t>Danke+Joel97</t>
  </si>
  <si>
    <t>%5B0004%5D+Mars+Angriffsbagsis</t>
  </si>
  <si>
    <t>werde+wieder+fischen+brudi+%3B%29</t>
  </si>
  <si>
    <t>51%3A04%3A22+Innere+Unruhe</t>
  </si>
  <si>
    <t>%5B001%5D+Chiemseer</t>
  </si>
  <si>
    <t>Raus+mit+die+Viecher+01</t>
  </si>
  <si>
    <t>Mount+Weather</t>
  </si>
  <si>
    <t>%5B01%5DNoName</t>
  </si>
  <si>
    <t>%7E033%7E</t>
  </si>
  <si>
    <t>Bazys+D%C3%B6rf</t>
  </si>
  <si>
    <t>BV+Renektons+Dorf</t>
  </si>
  <si>
    <t>H%C3%BCtte+der+Queen+Helgo+III</t>
  </si>
  <si>
    <t>Nikeboy2s+Dorf</t>
  </si>
  <si>
    <t>%7EHUK%7E002</t>
  </si>
  <si>
    <t>Verdansk+02</t>
  </si>
  <si>
    <t>%7C004%7C+corny</t>
  </si>
  <si>
    <t>03%7CBad+Gleichenberg</t>
  </si>
  <si>
    <t>02%7CBad+Goisern</t>
  </si>
  <si>
    <t>003+GERMANIA</t>
  </si>
  <si>
    <t>%7E005%7E</t>
  </si>
  <si>
    <t>%7E006%7E</t>
  </si>
  <si>
    <t>trontens+Dorf</t>
  </si>
  <si>
    <t>%234+Forstbetrieb+meckez+GmbH</t>
  </si>
  <si>
    <t>Cookie+Monster</t>
  </si>
  <si>
    <t>Hartheim+2</t>
  </si>
  <si>
    <t>Svobby+007</t>
  </si>
  <si>
    <t>0003+The+Village</t>
  </si>
  <si>
    <t>%7B3%7D+Casa+Kongo</t>
  </si>
  <si>
    <t>03+Hunters+Will+Be+Hunted</t>
  </si>
  <si>
    <t>Helms+Klam</t>
  </si>
  <si>
    <t>0000+0001</t>
  </si>
  <si>
    <t>xArgusHausenx+1.1</t>
  </si>
  <si>
    <t>Dracay+006</t>
  </si>
  <si>
    <t>Pseudomonas+Aeruginosa</t>
  </si>
  <si>
    <t>Village+2.0</t>
  </si>
  <si>
    <t>0001+Mann+mit+Mond</t>
  </si>
  <si>
    <t>Minato+Sensei</t>
  </si>
  <si>
    <t>002+Hamburg</t>
  </si>
  <si>
    <t>005+I+Deff-Dorf</t>
  </si>
  <si>
    <t>001+Auf+Gute+Freunde</t>
  </si>
  <si>
    <t>Do-+Dodonpa</t>
  </si>
  <si>
    <t>Totengr%C3%A4ber</t>
  </si>
  <si>
    <t>45%3A04%3A34+Fear+The+Wolf</t>
  </si>
  <si>
    <t>%2A001%2A+Pazzo</t>
  </si>
  <si>
    <t>45%3A03%3A93+%2F%2FBashen+was+ist+das%3F</t>
  </si>
  <si>
    <t>Village+3.0</t>
  </si>
  <si>
    <t>003+%7C+Fabi+Herz+AG</t>
  </si>
  <si>
    <t>45%3A64%3A22%7C+Sturmfront</t>
  </si>
  <si>
    <t>005+Scham93i</t>
  </si>
  <si>
    <t>45%3A64%3A34%7C+Sturmfront</t>
  </si>
  <si>
    <t>004+Rohrbach</t>
  </si>
  <si>
    <t>001+Wankdorffestung</t>
  </si>
  <si>
    <t>%7B001%7D+Schwamendinge</t>
  </si>
  <si>
    <t>%7B003%7D+Stettbach</t>
  </si>
  <si>
    <t>Kurruls+Grube</t>
  </si>
  <si>
    <t>Hartz+IV+Antrag</t>
  </si>
  <si>
    <t>Team+Bora-Hansgrohe</t>
  </si>
  <si>
    <t>Rom+IV</t>
  </si>
  <si>
    <t>Goliantos+Dorf</t>
  </si>
  <si>
    <t>%7C003%7C+sorny</t>
  </si>
  <si>
    <t>Gotham+City</t>
  </si>
  <si>
    <t>%5B003%5D+Tschernobyl</t>
  </si>
  <si>
    <t>%5B001%5D+James+Harden</t>
  </si>
  <si>
    <t>%7C003%7C</t>
  </si>
  <si>
    <t>Mojo200s+Dorf</t>
  </si>
  <si>
    <t>Forum+03+-+svsjo</t>
  </si>
  <si>
    <t>Delete+VIP</t>
  </si>
  <si>
    <t>Slide+In+My+Dm</t>
  </si>
  <si>
    <t>der+letzte+hashishins+Dorf</t>
  </si>
  <si>
    <t>008_Support+f%C3%BCr+meine+B%C3%A4rchen</t>
  </si>
  <si>
    <t>002%7C%7C</t>
  </si>
  <si>
    <t>Mittlerer+Osten</t>
  </si>
  <si>
    <t>002+Dresden</t>
  </si>
  <si>
    <t>Fette+Beute</t>
  </si>
  <si>
    <t>00+AG</t>
  </si>
  <si>
    <t>003+-+MFG</t>
  </si>
  <si>
    <t>Orange+County</t>
  </si>
  <si>
    <t>shiiinoss+Dorf</t>
  </si>
  <si>
    <t>Ich+Gsp%C3%A4heret+Schwifty%21</t>
  </si>
  <si>
    <t>001+M%C3%BCnchen</t>
  </si>
  <si>
    <t>All+you+need+is+Love</t>
  </si>
  <si>
    <t>%7C002%7C</t>
  </si>
  <si>
    <t>002+B%C3%A4renplatz</t>
  </si>
  <si>
    <t>Inkassob%C3%BCro+01</t>
  </si>
  <si>
    <t>Ghetto+Netto</t>
  </si>
  <si>
    <t>AG%2312+die+muss+weg</t>
  </si>
  <si>
    <t>Die+Kasse+1</t>
  </si>
  <si>
    <t>004+-+Santinos+Bausparvertrag</t>
  </si>
  <si>
    <t>Azuria+City</t>
  </si>
  <si>
    <t>002+SNX</t>
  </si>
  <si>
    <t>002+Bude</t>
  </si>
  <si>
    <t>OO3+-+Prototyp+Alpha</t>
  </si>
  <si>
    <t>004+Vorposten</t>
  </si>
  <si>
    <t>Br%C3%B6slfetzn</t>
  </si>
  <si>
    <t>54%3A191%3A03+-+PaaTAlex</t>
  </si>
  <si>
    <t>Susi+Live</t>
  </si>
  <si>
    <t>006+Conny</t>
  </si>
  <si>
    <t>001+Der+tickende+Wolkenkratzer</t>
  </si>
  <si>
    <t>boxbox+ist+chef</t>
  </si>
  <si>
    <t>005+The+Wolf+and+The+Lion</t>
  </si>
  <si>
    <t>002+%7C+Wunderjunge</t>
  </si>
  <si>
    <t>%7B002%7D+Wallisellen</t>
  </si>
  <si>
    <t>BANK+hat+keine+klare+Moral</t>
  </si>
  <si>
    <t>joshears+Dorf</t>
  </si>
  <si>
    <t>Camp+Nou</t>
  </si>
  <si>
    <t>SerpentCrown1s+Dorf</t>
  </si>
  <si>
    <t>Lordachi793+ist+schlecht</t>
  </si>
  <si>
    <t>2.+Dorf</t>
  </si>
  <si>
    <t>BurgerKing+Lieferservice</t>
  </si>
  <si>
    <t>45%3A47%3A26+-+Village</t>
  </si>
  <si>
    <t>%23LOST%21-Q4</t>
  </si>
  <si>
    <t>Silent+Hill</t>
  </si>
  <si>
    <t>oo3+%7C%7C+Orschlochwattn</t>
  </si>
  <si>
    <t>001+Cafe+Nowhere</t>
  </si>
  <si>
    <t>Mike+Hunt</t>
  </si>
  <si>
    <t>Manfreds+Frittenbude</t>
  </si>
  <si>
    <t>%7C%7E001%7E%7C+Baba+aller+Babas</t>
  </si>
  <si>
    <t>Der+erste+Streich</t>
  </si>
  <si>
    <t>-001-+J%C3%A4germeister</t>
  </si>
  <si>
    <t>02+55%3A64%3A13+Hartheim</t>
  </si>
  <si>
    <t>Phases+-+2+Best+Enemies</t>
  </si>
  <si>
    <t>-001-M%C3%BCnchen</t>
  </si>
  <si>
    <t>0001+-+first</t>
  </si>
  <si>
    <t>Froschk%C3%B6nig</t>
  </si>
  <si>
    <t>das+kr%C3%BCmelmonster+schl%C3%A4gt+zu</t>
  </si>
  <si>
    <t>%231+Belarus</t>
  </si>
  <si>
    <t>001+Drei</t>
  </si>
  <si>
    <t>002%2A%7C+B%C3%BCrstenmann</t>
  </si>
  <si>
    <t>Holzhacker+Co.KG</t>
  </si>
  <si>
    <t>%5B002%5D+K%C3%B6nigsberg</t>
  </si>
  <si>
    <t>001+%7C+Odlmass</t>
  </si>
  <si>
    <t>Sterni+alder</t>
  </si>
  <si>
    <t>01-Y%40r0ns+Dorf</t>
  </si>
  <si>
    <t>%23002+Vertania+City</t>
  </si>
  <si>
    <t>004+-+Weihnachtsb%C3%A4ckerei</t>
  </si>
  <si>
    <t>44%3A61%3A56+%2F%2F+Chaos</t>
  </si>
  <si>
    <t>%5B-%5B3%5D-%5D</t>
  </si>
  <si>
    <t>Er+konnte+Wirklich+Nicht+Spielen</t>
  </si>
  <si>
    <t>Lovag+178-03</t>
  </si>
  <si>
    <t>01+Endzeit</t>
  </si>
  <si>
    <t>Auenland+01</t>
  </si>
  <si>
    <t>%7C+006+%7C+Wealth+of+the+Nations+AG</t>
  </si>
  <si>
    <t>007+Chuu+Chuu</t>
  </si>
  <si>
    <t>AG%2C+xCoreZedx</t>
  </si>
  <si>
    <t>001+Valhalla</t>
  </si>
  <si>
    <t>Buffed+AGs</t>
  </si>
  <si>
    <t>gestrandet+im+Eingangsbereich</t>
  </si>
  <si>
    <t>%5BAG%5D</t>
  </si>
  <si>
    <t>Fairy+One</t>
  </si>
  <si>
    <t>Feel+001</t>
  </si>
  <si>
    <t>004+%2F+Hoodtales</t>
  </si>
  <si>
    <t>Ich+mag+Kekse</t>
  </si>
  <si>
    <t>%5B004%5D+Silent+Hill</t>
  </si>
  <si>
    <t>001+Innere+Ruhe</t>
  </si>
  <si>
    <t>002+M%C3%B6hrenfeld</t>
  </si>
  <si>
    <t>%7E001%7E+Wasserburg</t>
  </si>
  <si>
    <t>54%3A94%3A96+Barbarendorf</t>
  </si>
  <si>
    <t>%7E0002%7E</t>
  </si>
  <si>
    <t>Bierk%C3%B6nig</t>
  </si>
  <si>
    <t>02_Legendary+Sawano+Drop</t>
  </si>
  <si>
    <t>Optimal+M</t>
  </si>
  <si>
    <t>001+Micha041s+Dorf</t>
  </si>
  <si>
    <t>Veldaren+002</t>
  </si>
  <si>
    <t>001+Meliodas</t>
  </si>
  <si>
    <t>001+Bhof</t>
  </si>
  <si>
    <t>54%3A97%3A56+-+Jimmy</t>
  </si>
  <si>
    <t>NIE+aufgegeben</t>
  </si>
  <si>
    <t>Bazys+D%C3%B6rf+2</t>
  </si>
  <si>
    <t>002%7C+Bree</t>
  </si>
  <si>
    <t>005+%7C+0.o</t>
  </si>
  <si>
    <t>Klappe+zu+Affe+lebt</t>
  </si>
  <si>
    <t>003+Cookies</t>
  </si>
  <si>
    <t>HAYASHIDA+NANA</t>
  </si>
  <si>
    <t>%5B003%5D+Oberhausen</t>
  </si>
  <si>
    <t>%5B1%5D+Ofaso</t>
  </si>
  <si>
    <t>04+Kattegat</t>
  </si>
  <si>
    <t>001+ggborats+Dorf</t>
  </si>
  <si>
    <t>jonas27s+Dorf</t>
  </si>
  <si>
    <t>003+%7C+Libra+the+%5BScale%5D</t>
  </si>
  <si>
    <t>%7E0001%7E+Death+Town</t>
  </si>
  <si>
    <t>tschinglers+Dorf</t>
  </si>
  <si>
    <t>004+Fightclub</t>
  </si>
  <si>
    <t>%5B03%5DNoName</t>
  </si>
  <si>
    <t>Kinorushi+1</t>
  </si>
  <si>
    <t>NIEmals+Ant%C3%A4uschen</t>
  </si>
  <si>
    <t>Flexxn+im+NB</t>
  </si>
  <si>
    <t>Ratze89s+Dorf</t>
  </si>
  <si>
    <t>Die+Basics</t>
  </si>
  <si>
    <t>%5B0001%5D+Mars+Angriffsbagsis</t>
  </si>
  <si>
    <t>04-+NoName</t>
  </si>
  <si>
    <t>%5B02%5D+RIP+Adffe</t>
  </si>
  <si>
    <t>Villa+%23004</t>
  </si>
  <si>
    <t>004+prioo</t>
  </si>
  <si>
    <t>%2BTimmy+g%C3%B6nnt+sich%21</t>
  </si>
  <si>
    <t>50%3A54%3A36+Besserung+in+Sicht</t>
  </si>
  <si>
    <t>gutijahr10s+Dorf+001</t>
  </si>
  <si>
    <t>001.+Breitenbrunn</t>
  </si>
  <si>
    <t>002+%23%23%23</t>
  </si>
  <si>
    <t>AG+Home+003</t>
  </si>
  <si>
    <t>Igors+Dorf</t>
  </si>
  <si>
    <t>III+-+KIZ+Investment+Fond</t>
  </si>
  <si>
    <t>003+RIP+Lady-Mercedess</t>
  </si>
  <si>
    <t>004+Stark</t>
  </si>
  <si>
    <t>Lucky+%2A4%2A</t>
  </si>
  <si>
    <t>Haters+gonna+hate</t>
  </si>
  <si>
    <t>007+%2F%2F+ez+pz</t>
  </si>
  <si>
    <t>STORAGE+TOWN</t>
  </si>
  <si>
    <t>Hot+Dog+to+Go</t>
  </si>
  <si>
    <t>The+Prophecy+-+Deepack</t>
  </si>
  <si>
    <t>%2A001%2A+wutanfall</t>
  </si>
  <si>
    <t>Rohrer+H%C3%B6he</t>
  </si>
  <si>
    <t>001+pika</t>
  </si>
  <si>
    <t>%5B006%5D+Hallomann</t>
  </si>
  <si>
    <t>From+srmpx+with+love</t>
  </si>
  <si>
    <t>45-79-01+Sons+of+Anarchy</t>
  </si>
  <si>
    <t>%5B003%5D+Purple+Haze</t>
  </si>
  <si>
    <t>Ssvennas%21</t>
  </si>
  <si>
    <t>nearaks+Dorf</t>
  </si>
  <si>
    <t>From+Ina+with+Love+%3A%29</t>
  </si>
  <si>
    <t>Sad+Statue</t>
  </si>
  <si>
    <t>Xandna+%5B01%5D</t>
  </si>
  <si>
    <t>002+Sejuani</t>
  </si>
  <si>
    <t>Tribut+f%C3%BCr+Queen%28boggy+the+best%29</t>
  </si>
  <si>
    <t>004+King+is+Back</t>
  </si>
  <si>
    <t>-%23001-+here+comes+the+boom</t>
  </si>
  <si>
    <t>SpecialAirServices+Dorf</t>
  </si>
  <si>
    <t>Keine+Ahnung</t>
  </si>
  <si>
    <t>%5B0002%5D+Master+Magics+Dorf</t>
  </si>
  <si>
    <t>000+-+ISOLDEMAADELN</t>
  </si>
  <si>
    <t>oo1+%7C%7C+Orschlochwattn</t>
  </si>
  <si>
    <t>BBQ+2</t>
  </si>
  <si>
    <t>%7C%7C01%7C%7C</t>
  </si>
  <si>
    <t>%7CTimmy+g%C3%B6nnt+sich%21</t>
  </si>
  <si>
    <t>%7E001%7E+What+is+Love%3F</t>
  </si>
  <si>
    <t>001%7C+Heidelberg+AG</t>
  </si>
  <si>
    <t>004+Black</t>
  </si>
  <si>
    <t>08-Y%40r0ns+Dorf</t>
  </si>
  <si>
    <t>Bis+zum+n%C3%A4chsten+Mal%21</t>
  </si>
  <si>
    <t>%7C006%7C</t>
  </si>
  <si>
    <t>phillip+amthor+1</t>
  </si>
  <si>
    <t>001+Munich+AG</t>
  </si>
  <si>
    <t>%5B03%5D+Zerlegung</t>
  </si>
  <si>
    <t>mashallah+die+h%C3%BCbsche</t>
  </si>
  <si>
    <t>001+Tomatenmark</t>
  </si>
  <si>
    <t>Umanics+Dorf</t>
  </si>
  <si>
    <t>001+whirlyy</t>
  </si>
  <si>
    <t>005+Geistercity</t>
  </si>
  <si>
    <t>Timerius+Base</t>
  </si>
  <si>
    <t>Holy+Knight+Escanors+Dorf</t>
  </si>
  <si>
    <t>Rum+und+%C3%84hre+%7C%7C+003</t>
  </si>
  <si>
    <t>002+Inside+The+Fire</t>
  </si>
  <si>
    <t>004+letzte+buzze</t>
  </si>
  <si>
    <t>svandys+Dorf</t>
  </si>
  <si>
    <t>Timmy+g%C3%B6nnt+sich%21</t>
  </si>
  <si>
    <t>%5BAG%5D+006</t>
  </si>
  <si>
    <t>Schweinsteiger+%3A%29</t>
  </si>
  <si>
    <t>%5B001%5D+I+am+friendly</t>
  </si>
  <si>
    <t>001+%7EAiRBEAT+ONE+FESTiVAL%7E</t>
  </si>
  <si>
    <t>45%3A74%3A14%7C+Sturmfront</t>
  </si>
  <si>
    <t>3.0+AG+xihus+Dorf</t>
  </si>
  <si>
    <t>Auenland+04</t>
  </si>
  <si>
    <t>In+der+Ruhe+liegt+die+Kraft</t>
  </si>
  <si>
    <t>001_Support+f%C3%BCr+meine+B%C3%A4rchen</t>
  </si>
  <si>
    <t>%5B002%5D+Born4Bran</t>
  </si>
  <si>
    <t>01+Mostown</t>
  </si>
  <si>
    <t>54%3A85%3A76+rippidy+Boggydi</t>
  </si>
  <si>
    <t>001+ruhiger+Adel+heute</t>
  </si>
  <si>
    <t>o1+%7C+2%2Agood%2A4%2Ayous+Dorf</t>
  </si>
  <si>
    <t>04+Fingeborg</t>
  </si>
  <si>
    <t>54%3A191%3A12+-+PaaTAlex</t>
  </si>
  <si>
    <t>Ente+Ente+Ente</t>
  </si>
  <si>
    <t>006+Schtabil</t>
  </si>
  <si>
    <t>1+FCK+Lautern+2</t>
  </si>
  <si>
    <t>0+%28Razecraft%3ARaze%29</t>
  </si>
  <si>
    <t>54%3A94%3A76+Barbarendorf</t>
  </si>
  <si>
    <t>Prismania+City</t>
  </si>
  <si>
    <t>%5B003%5D+-+AKK%21+and+feel+it</t>
  </si>
  <si>
    <t>Gemeine+Eichenschrecke</t>
  </si>
  <si>
    <t>Hawk%2As+Dorf</t>
  </si>
  <si>
    <t>error+I</t>
  </si>
  <si>
    <t>003+Hex+Hex%21</t>
  </si>
  <si>
    <t>Bozkurt361s+Dorf</t>
  </si>
  <si>
    <t>002+pika+pika</t>
  </si>
  <si>
    <t>Adlerhorst+002</t>
  </si>
  <si>
    <t>01+Doodlebase</t>
  </si>
  <si>
    <t>marci1s+Dorf</t>
  </si>
  <si>
    <t>%5B002%5D+%C3%BCber</t>
  </si>
  <si>
    <t>Klasis+2.0</t>
  </si>
  <si>
    <t>wolfy60s+Dorf</t>
  </si>
  <si>
    <t>%5BAg%5Dain+Grundsee</t>
  </si>
  <si>
    <t>%5B0004%5D+AG-ANGRIFF</t>
  </si>
  <si>
    <t>004+lets+get+started</t>
  </si>
  <si>
    <t>%7B005%7D+Seebach</t>
  </si>
  <si>
    <t>001+Magnus+Apex</t>
  </si>
  <si>
    <t>Dorge+2</t>
  </si>
  <si>
    <t>%5B004%5DYellow</t>
  </si>
  <si>
    <t>54%3A95%3A63+Barbarendorf</t>
  </si>
  <si>
    <t>V%C3%B6llig+Lost</t>
  </si>
  <si>
    <t>Hansestadt+Bremen</t>
  </si>
  <si>
    <t>%5B02%5DK%C3%B6nig+Gymru</t>
  </si>
  <si>
    <t>Forum+02+-+Lukcopenhagen</t>
  </si>
  <si>
    <t>%5B004%5D+Sellafield</t>
  </si>
  <si>
    <t>001+%7C+Hill+112</t>
  </si>
  <si>
    <t>002+Winterfell</t>
  </si>
  <si>
    <t>%5B002%5D+Guten+Morgen</t>
  </si>
  <si>
    <t>Timbuktu+IV</t>
  </si>
  <si>
    <t>SvenC%40s+Dorf</t>
  </si>
  <si>
    <t>Ich+habe+deff+und+schon+2+Dorfer</t>
  </si>
  <si>
    <t>%5B005%5D%23H4H4%40DonTCaRe</t>
  </si>
  <si>
    <t>Manus+manum+lavat</t>
  </si>
  <si>
    <t>003+pika+pika+pika</t>
  </si>
  <si>
    <t>001+%7C+Festiales</t>
  </si>
  <si>
    <t>003%7CLarus+marinus</t>
  </si>
  <si>
    <t>Stop+geadelt</t>
  </si>
  <si>
    <t>001+Veltenhof</t>
  </si>
  <si>
    <t>becky+lynchs+Dorf</t>
  </si>
  <si>
    <t>Doofenshmirtz+Evil+Inc.</t>
  </si>
  <si>
    <t>002+Dorf</t>
  </si>
  <si>
    <t>Bye+bye</t>
  </si>
  <si>
    <t>Beklopptes+Dorf+002</t>
  </si>
  <si>
    <t>Wolf+003</t>
  </si>
  <si>
    <t>Kattas+gegen+Hass</t>
  </si>
  <si>
    <t>Stitch-Counter+2</t>
  </si>
  <si>
    <t>004+%2F+Asterix07s+Dorf</t>
  </si>
  <si>
    <t>001+Lagerfeuer</t>
  </si>
  <si>
    <t>Willst+du+k%C3%A4mpfen%3F%21%3F</t>
  </si>
  <si>
    <t>01+F%C3%BCrstenberg</t>
  </si>
  <si>
    <t>Steckihn+Reinhart</t>
  </si>
  <si>
    <t>Surtic09s+Dorf</t>
  </si>
  <si>
    <t>001+NIEmals+ohne+mein+Team</t>
  </si>
  <si>
    <t>Aggro+II</t>
  </si>
  <si>
    <t>4+Lucky+Charms</t>
  </si>
  <si>
    <t>Suedhausers+Dorf</t>
  </si>
  <si>
    <t>001+Basel</t>
  </si>
  <si>
    <t>K64+46%3A50%3A61+Athen</t>
  </si>
  <si>
    <t>45%3A03%3A85%2F%2F+Bash+Baby+Bash</t>
  </si>
  <si>
    <t>004+%7C+PinguinBrutalo</t>
  </si>
  <si>
    <t>001+K%C3%B6then</t>
  </si>
  <si>
    <t>001+Europa</t>
  </si>
  <si>
    <t>Lovag+178-04</t>
  </si>
  <si>
    <t>bogi+flufft</t>
  </si>
  <si>
    <t>002%7CJonesnResidence</t>
  </si>
  <si>
    <t>Wastl+44s+Dorf</t>
  </si>
  <si>
    <t>huhu+003</t>
  </si>
  <si>
    <t>001+Lordmatze33s+Dorf+3S</t>
  </si>
  <si>
    <t>%5BSP%C3%84H%5D</t>
  </si>
  <si>
    <t>Villa+Kunterbunt+003</t>
  </si>
  <si>
    <t>Sabines+Lustgrotte</t>
  </si>
  <si>
    <t>dorf%5B2%5D%3DChemnitz</t>
  </si>
  <si>
    <t>001+Zyra</t>
  </si>
  <si>
    <t>Eders+Werkstatt</t>
  </si>
  <si>
    <t>001+Indestructible</t>
  </si>
  <si>
    <t>Hinterdupfingen+%7C+002</t>
  </si>
  <si>
    <t>flextrusts+Dorf</t>
  </si>
  <si>
    <t>%5B001%5D+Ohne+Dich</t>
  </si>
  <si>
    <t>Impel+Down+002</t>
  </si>
  <si>
    <t>Fischis+Dorf</t>
  </si>
  <si>
    <t>06+Hirsch</t>
  </si>
  <si>
    <t>nepobjediv55s+Dorf</t>
  </si>
  <si>
    <t>hagaZs+Dorf1</t>
  </si>
  <si>
    <t>Tsume+s+Dorf</t>
  </si>
  <si>
    <t>%5B-%5B1%5D-%5D</t>
  </si>
  <si>
    <t>Walhalla+01</t>
  </si>
  <si>
    <t>Kings+Canyon</t>
  </si>
  <si>
    <t>%5BAg%5Dain+Schwarze+Festung</t>
  </si>
  <si>
    <t>%28K54%29+%5B002%5D+Roma</t>
  </si>
  <si>
    <t>American+pie</t>
  </si>
  <si>
    <t>%7B001%7D+Cactaceae</t>
  </si>
  <si>
    <t>001+Targaryen</t>
  </si>
  <si>
    <t>002+%7EHELENE+BEACH+FESTiVAL%7E</t>
  </si>
  <si>
    <t>004+Vechelde</t>
  </si>
  <si>
    <t>Gulag+2</t>
  </si>
  <si>
    <t>The+VILLAGE</t>
  </si>
  <si>
    <t>002+-+H%C3%BCttental</t>
  </si>
  <si>
    <t>Bad+Iburg</t>
  </si>
  <si>
    <t>IV.+Antiochia</t>
  </si>
  <si>
    <t>DONT+TRY+IT+003</t>
  </si>
  <si>
    <t>Marmoria+City</t>
  </si>
  <si>
    <t>003+%2F+Lower+Middle+St.</t>
  </si>
  <si>
    <t>Dorf+Beisch</t>
  </si>
  <si>
    <t>03+Rip+Minisdt</t>
  </si>
  <si>
    <t>Mochi+Mayhem</t>
  </si>
  <si>
    <t>-+0005+-</t>
  </si>
  <si>
    <t>D-Town+03</t>
  </si>
  <si>
    <t>t-jag+ist+chef</t>
  </si>
  <si>
    <t>Detlef+dreht+sich3</t>
  </si>
  <si>
    <t>003+Atme+aus</t>
  </si>
  <si>
    <t>%7B003%7D+Liebef%C3%BCrHeffner</t>
  </si>
  <si>
    <t>Mahagony+Town</t>
  </si>
  <si>
    <t>nicky+butts+Dorf</t>
  </si>
  <si>
    <t>003+Abart</t>
  </si>
  <si>
    <t>005+Stofftier</t>
  </si>
  <si>
    <t>IstdeineMamastolzaufdichLudi%3F</t>
  </si>
  <si>
    <t>Siu+siu+siu</t>
  </si>
  <si>
    <t>001+Hauptschuleeeee</t>
  </si>
  <si>
    <t>002+oh+Maybe+next+Time</t>
  </si>
  <si>
    <t>01+Rohan</t>
  </si>
  <si>
    <t>%5BAG%5D+UnDestroyaBle</t>
  </si>
  <si>
    <t>%5B03%5D+Sinsatik+City</t>
  </si>
  <si>
    <t>Ambosch+Sweatheard</t>
  </si>
  <si>
    <t>Die+Chance</t>
  </si>
  <si>
    <t>02+Bobos+anderes+Dorf</t>
  </si>
  <si>
    <t>Azerlords+Dorf</t>
  </si>
  <si>
    <t>%5B001%5D+Devils+Home</t>
  </si>
  <si>
    <t>L%C3%B6wenstein</t>
  </si>
  <si>
    <t>%5B05%5D+R%C3%A4ucherkammer</t>
  </si>
  <si>
    <t>%5BAg%5Dain+K%C3%B6nigintor</t>
  </si>
  <si>
    <t>001+Hui+ein+Niciboy</t>
  </si>
  <si>
    <t>Eworks+Dorf</t>
  </si>
  <si>
    <t>45%3A64%3A52%7C+Sturmfront</t>
  </si>
  <si>
    <t>Lucky+%2A3%2A</t>
  </si>
  <si>
    <t>AG%2C+Pfeil60s+Dorf</t>
  </si>
  <si>
    <t>%5B001%5D+FleischWertSenkung</t>
  </si>
  <si>
    <t>002+Pvt.First</t>
  </si>
  <si>
    <t>%7C65%3A03%3A52%7C+Rungholt</t>
  </si>
  <si>
    <t>%5B003+Brokenblade%5D</t>
  </si>
  <si>
    <t>000+Bumsbude</t>
  </si>
  <si>
    <t>%7E008%7E</t>
  </si>
  <si>
    <t>huhu+002</t>
  </si>
  <si>
    <t>001-+Das+Abenteuer+beginnt</t>
  </si>
  <si>
    <t>003+Pvt.First</t>
  </si>
  <si>
    <t>ssrrs+Dorf</t>
  </si>
  <si>
    <t>K%C3%B6ftespie%C3%9F</t>
  </si>
  <si>
    <t>003%7C+%23keinermagpaddi</t>
  </si>
  <si>
    <t>Schattensoul+002</t>
  </si>
  <si>
    <t>002+-+Garste</t>
  </si>
  <si>
    <t>D-Town+02</t>
  </si>
  <si>
    <t>Zakumiis+Dorf</t>
  </si>
  <si>
    <t>D%C3%BCsterwald</t>
  </si>
  <si>
    <t>Walhalla+05</t>
  </si>
  <si>
    <t>001+%5B-NN-%5D+Deffnoob</t>
  </si>
  <si>
    <t>TaekwondoThommys+Dorf</t>
  </si>
  <si>
    <t>%230000005+-+AG+Dorf</t>
  </si>
  <si>
    <t>Kenning+NORTH+alder</t>
  </si>
  <si>
    <t>Bromi+broke+my+heart</t>
  </si>
  <si>
    <t>%7C001%7C+Rammelndes+AG</t>
  </si>
  <si>
    <t>Zelli+III</t>
  </si>
  <si>
    <t>001+MaXiMuS+HOME</t>
  </si>
  <si>
    <t>%5B0001%5D+AG-ANGRIFF</t>
  </si>
  <si>
    <t>Brunnest%C3%BCbsche</t>
  </si>
  <si>
    <t>QVC+Hirn</t>
  </si>
  <si>
    <t>%5BAG%5D%23003</t>
  </si>
  <si>
    <t>003+Lord+Snow</t>
  </si>
  <si>
    <t>005+Eule06</t>
  </si>
  <si>
    <t>K54+482%7C556</t>
  </si>
  <si>
    <t>002+Malphite</t>
  </si>
  <si>
    <t>%7B005%7D+Cheezy</t>
  </si>
  <si>
    <t>%7E002%7E+What+is+Love%3F</t>
  </si>
  <si>
    <t>Aggregat%3A+Helium</t>
  </si>
  <si>
    <t>006Toms+Dorf</t>
  </si>
  <si>
    <t>Dorf+002</t>
  </si>
  <si>
    <t>Agent+Orange</t>
  </si>
  <si>
    <t>%5BAg%5Dain+Langh%C3%BCgel</t>
  </si>
  <si>
    <t>Sevilla%21</t>
  </si>
  <si>
    <t>.%3A.%3A.%7C.%3A.%3A.</t>
  </si>
  <si>
    <t>002+Cafe+Everywhere</t>
  </si>
  <si>
    <t>001+Abi+Klaus+Uhr</t>
  </si>
  <si>
    <t>Schattensoul+001</t>
  </si>
  <si>
    <t>Twin+Leaf+Town</t>
  </si>
  <si>
    <t>001+R%C3%BCbenstein</t>
  </si>
  <si>
    <t>Bad+Goisern</t>
  </si>
  <si>
    <t>003+N%C3%BCrnberg</t>
  </si>
  <si>
    <t>Tobi+meints+heute+gut+mit+mir</t>
  </si>
  <si>
    <t>01+tobu97</t>
  </si>
  <si>
    <t>Zweibr%C3%BCcken</t>
  </si>
  <si>
    <t>003+%7C+Bierkeller</t>
  </si>
  <si>
    <t>Mochis+Mountain</t>
  </si>
  <si>
    <t>009+%2F%2F+ez+pz</t>
  </si>
  <si>
    <t>Hashirama+Senju</t>
  </si>
  <si>
    <t>001+Hometown</t>
  </si>
  <si>
    <t>54%3A191%3A22+-+PaaTAlex</t>
  </si>
  <si>
    <t>f%C3%BCrth</t>
  </si>
  <si>
    <t>%7E003%7E+Neuengamme</t>
  </si>
  <si>
    <t>New+Age</t>
  </si>
  <si>
    <t>foxracings+Dorf</t>
  </si>
  <si>
    <t>K64+46%3A50%3A63+Gizeh</t>
  </si>
  <si>
    <t>Duum+Brot</t>
  </si>
  <si>
    <t>006+%7C+let+it+rock</t>
  </si>
  <si>
    <t>001%7C+Minas+Tirith</t>
  </si>
  <si>
    <t>Inkassob%C3%BCro+02</t>
  </si>
  <si>
    <t>007+Bashk%C3%B6nig</t>
  </si>
  <si>
    <t>KAGA+KOUKO</t>
  </si>
  <si>
    <t>P+001-1</t>
  </si>
  <si>
    <t>K64+46%3A50%3A50+Rom</t>
  </si>
  <si>
    <t>%5BAG%5D%23006</t>
  </si>
  <si>
    <t>Dorfname+%7C+002</t>
  </si>
  <si>
    <t>002+Karthago</t>
  </si>
  <si>
    <t>001+GTown</t>
  </si>
  <si>
    <t>Aint+no+stopping+us+now</t>
  </si>
  <si>
    <t>Agritechniker+002</t>
  </si>
  <si>
    <t>%23008+M.S.+Anne</t>
  </si>
  <si>
    <t>005+Schlachthaus</t>
  </si>
  <si>
    <t>%5B002%5DYellow</t>
  </si>
  <si>
    <t>Speertr%C3%A4ger</t>
  </si>
  <si>
    <t>002+%7C+Athen</t>
  </si>
  <si>
    <t>006+NIE</t>
  </si>
  <si>
    <t>ClitCommanders+Dorf</t>
  </si>
  <si>
    <t>001+Whatchu+gonna+do%3F</t>
  </si>
  <si>
    <t>%23004+Klatschkind</t>
  </si>
  <si>
    <t>002+Mykene</t>
  </si>
  <si>
    <t>%7C004%7C</t>
  </si>
  <si>
    <t>Don-Nieres+Dorf</t>
  </si>
  <si>
    <t>Teddy+Arroganz+008</t>
  </si>
  <si>
    <t>K%C3%B6ln</t>
  </si>
  <si>
    <t>44%3A54%3A46+Playboii</t>
  </si>
  <si>
    <t>002-Laurin+der+Banause</t>
  </si>
  <si>
    <t>ThanaTos3ks+Dorf</t>
  </si>
  <si>
    <t>Cowards+Ferienwohnung</t>
  </si>
  <si>
    <t>Wham%21</t>
  </si>
  <si>
    <t>%23003+Klatschkind</t>
  </si>
  <si>
    <t>003+Karabiata</t>
  </si>
  <si>
    <t>walujews+Dorf</t>
  </si>
  <si>
    <t>002+%7C+Bierdorf</t>
  </si>
  <si>
    <t>Timbuktu+III</t>
  </si>
  <si>
    <t>Village+002</t>
  </si>
  <si>
    <t>%5B0010%5D+AG-ANGRIFF</t>
  </si>
  <si>
    <t>Zabums+Barbarendorf</t>
  </si>
  <si>
    <t>%5BAG%5D%23002</t>
  </si>
  <si>
    <t>PuuuKYs+Dorf</t>
  </si>
  <si>
    <t>unowned+Dorf</t>
  </si>
  <si>
    <t>006+%23WerIstDieserDie3</t>
  </si>
  <si>
    <t>NIrgendwo+REaktion</t>
  </si>
  <si>
    <t>alert%281%29%3B</t>
  </si>
  <si>
    <t>%5B05%5D+Rush+B</t>
  </si>
  <si>
    <t>55%3A75%3A53+Second+Fly</t>
  </si>
  <si>
    <t>178+Free+01-01</t>
  </si>
  <si>
    <t>Stitch-Counter+4</t>
  </si>
  <si>
    <t>Schattensoul+003</t>
  </si>
  <si>
    <t>%5BAG%5D%5BAG%5D%5BAG%5D</t>
  </si>
  <si>
    <t>PhoenixCity%5B002%5D</t>
  </si>
  <si>
    <t>%5B001%5D+Gondor</t>
  </si>
  <si>
    <t>Elaison+II</t>
  </si>
  <si>
    <t>006+%7C+DerBaumf%C3%A4ller</t>
  </si>
  <si>
    <t>003+Norimberga</t>
  </si>
  <si>
    <t>Wolfsh%C3%BCtte+01</t>
  </si>
  <si>
    <t>003+%7C+Ephel+Brandir</t>
  </si>
  <si>
    <t>010+%2F+xWaNTiiDs+Dorf</t>
  </si>
  <si>
    <t>%7E0001%7E</t>
  </si>
  <si>
    <t>%2A%2A001%2A%2ANew+Town%2A%2A001%2A%2A</t>
  </si>
  <si>
    <t>Infinite+Power%21</t>
  </si>
  <si>
    <t>003+Madrid</t>
  </si>
  <si>
    <t>stahp+attack</t>
  </si>
  <si>
    <t>Brennzelles+Dorf</t>
  </si>
  <si>
    <t>001+-+Kaer+Morhen</t>
  </si>
  <si>
    <t>Alles+Gute.</t>
  </si>
  <si>
    <t>54%7C82%7C05</t>
  </si>
  <si>
    <t>45%3A93%3A39+-+Intents</t>
  </si>
  <si>
    <t>003+-+FredoXXs+Dorf</t>
  </si>
  <si>
    <t>54%3A171%3A12+-+PaaTAlex</t>
  </si>
  <si>
    <t>Gro%C3%9Fe+Klappe%2C+nix+dahinter</t>
  </si>
  <si>
    <t>Shending+Help</t>
  </si>
  <si>
    <t>Wolf+002</t>
  </si>
  <si>
    <t>Arbeitstag+2</t>
  </si>
  <si>
    <t>001+%7C+Isengart</t>
  </si>
  <si>
    <t>004-Gross+Cunnersdorf</t>
  </si>
  <si>
    <t>Urangutans+Dorf</t>
  </si>
  <si>
    <t>001+-+Kamikaze+Pilot</t>
  </si>
  <si>
    <t>%3A-%28</t>
  </si>
  <si>
    <t>003%7C+Rand%2A</t>
  </si>
  <si>
    <t>002+Magdeburg</t>
  </si>
  <si>
    <t>%5B002%5D+Silent+Hill</t>
  </si>
  <si>
    <t>Walhalla+002</t>
  </si>
  <si>
    <t>imaanoobs+Dorf</t>
  </si>
  <si>
    <t>%23001+Klatschkind</t>
  </si>
  <si>
    <t>FR+5%2F83-1</t>
  </si>
  <si>
    <t>54%2F%2F55%2F%2F35+Boooris</t>
  </si>
  <si>
    <t>02+hihi</t>
  </si>
  <si>
    <t>%5B001%5D+V-Town</t>
  </si>
  <si>
    <t>luckylos3rs+AGDorf</t>
  </si>
  <si>
    <t>01+Ingeborg</t>
  </si>
  <si>
    <t>Lastkraftwagenfahrer+tuuut+tuuut</t>
  </si>
  <si>
    <t>03+55%3A64%3A33+Hartheim</t>
  </si>
  <si>
    <t>002+%7C+let+it+rock</t>
  </si>
  <si>
    <t>002+Tetra+Dorf</t>
  </si>
  <si>
    <t>%28A%29</t>
  </si>
  <si>
    <t>keine+farm+mehr</t>
  </si>
  <si>
    <t>%2A_%2A</t>
  </si>
  <si>
    <t>Cowards+Bude</t>
  </si>
  <si>
    <t>.Taboos+Dorf</t>
  </si>
  <si>
    <t>%23001+Alabastia</t>
  </si>
  <si>
    <t>004+Frage+nichts+...</t>
  </si>
  <si>
    <t>Tick+%232</t>
  </si>
  <si>
    <t>003+Sage+nichts+...</t>
  </si>
  <si>
    <t>02%7C+Bacardi%2A</t>
  </si>
  <si>
    <t>001+Fightclub</t>
  </si>
  <si>
    <t>001+-+Weihnachtsb%C3%A4ckerei</t>
  </si>
  <si>
    <t>%7C001%7C</t>
  </si>
  <si>
    <t>C+ya+%3A%29</t>
  </si>
  <si>
    <t>002+%2F%2F%5B44%3A68%3A72%5D%2F%2F</t>
  </si>
  <si>
    <t>Der+Norden+Vergisst+nicht+Bolton</t>
  </si>
  <si>
    <t>%5B0008%5D+Mars+Angriffsbagsis</t>
  </si>
  <si>
    <t>45%7C45%7C25</t>
  </si>
  <si>
    <t>CapAcros+Dorf</t>
  </si>
  <si>
    <t>%5B005%5Dhierkanndeinewerbungstehen</t>
  </si>
  <si>
    <t>CikeCvits+Dorf</t>
  </si>
  <si>
    <t>Sasuke+Uchiha</t>
  </si>
  <si>
    <t>001%7C</t>
  </si>
  <si>
    <t>V%C3%B6ran</t>
  </si>
  <si>
    <t>Mochis+Mansion</t>
  </si>
  <si>
    <t>Agentur+f%C3%BCr+Arbeit%7C001</t>
  </si>
  <si>
    <t>Dresden+%28002%29</t>
  </si>
  <si>
    <t>02+Stuttgart</t>
  </si>
  <si>
    <t>%5B04%5D+K%C3%BChlraum</t>
  </si>
  <si>
    <t>Burg+Eringerfeld</t>
  </si>
  <si>
    <t>Scheiterhaufen+1</t>
  </si>
  <si>
    <t>VIVA+LA+DEALER</t>
  </si>
  <si>
    <t>Champps+Dorf</t>
  </si>
  <si>
    <t>004+%7C+West+Ham</t>
  </si>
  <si>
    <t>rosatuftufs+Dorf</t>
  </si>
  <si>
    <t>Harmogys+Dorf</t>
  </si>
  <si>
    <t>02+tobu97</t>
  </si>
  <si>
    <t>D%C3%BCsseldorf</t>
  </si>
  <si>
    <t>001+%7C+Absolut+Zero</t>
  </si>
  <si>
    <t>003+%7C+L</t>
  </si>
  <si>
    <t>Tag+002</t>
  </si>
  <si>
    <t>001+%7C+Nasenspray+Nele</t>
  </si>
  <si>
    <t>003+Das+Bier+ist+aus</t>
  </si>
  <si>
    <t>006+Chuu</t>
  </si>
  <si>
    <t>%5B002%5D+El+Ragequito</t>
  </si>
  <si>
    <t>%7EAudi%7E01</t>
  </si>
  <si>
    <t>001%7C+Rand%2A</t>
  </si>
  <si>
    <t>003%2A%7C+B%C3%BCrstenmann</t>
  </si>
  <si>
    <t>50%3A64%3A35+Zwangsarbeit</t>
  </si>
  <si>
    <t>45%3A47%3A56+-+Village</t>
  </si>
  <si>
    <t>54%3A84%3A97+H4il+Hayvan</t>
  </si>
  <si>
    <t>%5B001%5D%23BigMAD</t>
  </si>
  <si>
    <t>D%C3%B6nerKebabHaus</t>
  </si>
  <si>
    <t>Warte+auf+Freitag</t>
  </si>
  <si>
    <t>Dorf+102</t>
  </si>
  <si>
    <t>55%3A16%3A62+4</t>
  </si>
  <si>
    <t>M%C3%A4rchenbuch</t>
  </si>
  <si>
    <t>Royale+%231</t>
  </si>
  <si>
    <t>%7C003%7C+Naloxon</t>
  </si>
  <si>
    <t>%7B001%7D+aGeT+on+my+LVL</t>
  </si>
  <si>
    <t>Rom+II</t>
  </si>
  <si>
    <t>In+The+End</t>
  </si>
  <si>
    <t>46%3A60%3A02+%7C+DEUTSCHER+MEI8TER</t>
  </si>
  <si>
    <t>02+Zingeborg</t>
  </si>
  <si>
    <t>Grotob1+Dorf</t>
  </si>
  <si>
    <t>bogi+rulez</t>
  </si>
  <si>
    <t>009+%2F+werwoolfs+Dorf</t>
  </si>
  <si>
    <t>001+-+Mit+garkein+reden+so</t>
  </si>
  <si>
    <t>01+Des+M%C3%BCllers+Rechte</t>
  </si>
  <si>
    <t>Bashimpulss+Dorf</t>
  </si>
  <si>
    <t>004+HdH</t>
  </si>
  <si>
    <t>Dresden+%28003%29</t>
  </si>
  <si>
    <t>03+Klau+Dein+Handy+In+Der+Ubahn</t>
  </si>
  <si>
    <t>002+Das+14.+Ziel</t>
  </si>
  <si>
    <t>n%C3%A4chstes+mal+bitte+VdT</t>
  </si>
  <si>
    <t>006%7C%7CIch+adel+alle</t>
  </si>
  <si>
    <t>Mount+Everesch</t>
  </si>
  <si>
    <t>%5BAG%5D%5BAG%5D</t>
  </si>
  <si>
    <t>3.Rh%C3%B6n</t>
  </si>
  <si>
    <t>%7B004%7D+Volketswil</t>
  </si>
  <si>
    <t>Earnys+Dorf</t>
  </si>
  <si>
    <t>Annas+Allianz+Arena</t>
  </si>
  <si>
    <t>%7C65%3A02%3A16%7C+Rungholt</t>
  </si>
  <si>
    <t>Vee+003+Denkmal+f%C3%BCr+Korbi</t>
  </si>
  <si>
    <t>P+002-1</t>
  </si>
  <si>
    <t>Zell+am+see</t>
  </si>
  <si>
    <t>Timeless+-+Wildstylez</t>
  </si>
  <si>
    <t>007_Support+f%C3%BCr+meine+B%C3%A4rchen</t>
  </si>
  <si>
    <t>%5B-%5B2%5D-%5D</t>
  </si>
  <si>
    <t>DonFrodos+Dorf</t>
  </si>
  <si>
    <t>0000+Lord+Bergis+Dorf</t>
  </si>
  <si>
    <t>001%7C+Fraggys+Dorf</t>
  </si>
  <si>
    <t>55%7C60%7C52+Howdy+Partner%21AG</t>
  </si>
  <si>
    <t>%23AMT+Hardballer</t>
  </si>
  <si>
    <t>Stitch-Counter+3</t>
  </si>
  <si>
    <t>002+Psychiatrie</t>
  </si>
  <si>
    <t>001%7CMonkey+D.+Luffy</t>
  </si>
  <si>
    <t>002+%5B-NN-%5D+Deffnoob</t>
  </si>
  <si>
    <t>AG+Home+002</t>
  </si>
  <si>
    <t>Beklopptes+Dorf+001</t>
  </si>
  <si>
    <t>Bagger+002</t>
  </si>
  <si>
    <t>002+Lannister</t>
  </si>
  <si>
    <t>001+%7C+TaiimzZ</t>
  </si>
  <si>
    <t>03+Schlaghose</t>
  </si>
  <si>
    <t>-01-+54%3A09%3A89+Bready96</t>
  </si>
  <si>
    <t>bimon00s+Dorf</t>
  </si>
  <si>
    <t>001+Busendorf</t>
  </si>
  <si>
    <t>Vooduu+02</t>
  </si>
  <si>
    <t>001+%7C+Dinopolis</t>
  </si>
  <si>
    <t>%7E002%7E+Zwangsversteigerung</t>
  </si>
  <si>
    <t>%28K54%29+%5B005%5D+Kerpinna</t>
  </si>
  <si>
    <t>001+Anstalt</t>
  </si>
  <si>
    <t>kenny.tods+Dorf</t>
  </si>
  <si>
    <t>005_Support+f%C3%BCr+meine+B%C3%A4rchen</t>
  </si>
  <si>
    <t>002+-+Michaels+Sparbuch</t>
  </si>
  <si>
    <t>My+Hero+Academia</t>
  </si>
  <si>
    <t>0o3+-+RanAG</t>
  </si>
  <si>
    <t>001+Patrioten+sind+vereint%21</t>
  </si>
  <si>
    <t>1%7C55%3A64%3A05+-+Ilirea</t>
  </si>
  <si>
    <t>03+Phobos</t>
  </si>
  <si>
    <t>006+Harte+Arbeit</t>
  </si>
  <si>
    <t>Gismo+2007s+Bastion</t>
  </si>
  <si>
    <t>54%3A23%3A76+DeleteFromW168</t>
  </si>
  <si>
    <t>Ich+mag+Brot</t>
  </si>
  <si>
    <t>Age+Of+Excuse+II</t>
  </si>
  <si>
    <t>001+%7C+45.52.84+%7C+AG</t>
  </si>
  <si>
    <t>03+xElectrics</t>
  </si>
  <si>
    <t>Gr%C3%BC%C3%9Fe+Zur%C3%BCck%21</t>
  </si>
  <si>
    <t>001+SNX</t>
  </si>
  <si>
    <t>%5B003%5D+kein+Dorf+f%C3%BCr+Wiederlich</t>
  </si>
  <si>
    <t>Ich+bin+6+Farbenblinder</t>
  </si>
  <si>
    <t>%7E001%7E+Bisasam</t>
  </si>
  <si>
    <t>Boilers+Dorf</t>
  </si>
  <si>
    <t>xArgusHausenx+1.2</t>
  </si>
  <si>
    <t>01%7C+Bacardi%2A</t>
  </si>
  <si>
    <t>Hempels+Couch</t>
  </si>
  <si>
    <t>Sword+Art+Online</t>
  </si>
  <si>
    <t>NoHands+II</t>
  </si>
  <si>
    <t>06+Stuttgart</t>
  </si>
  <si>
    <t>005+Thunder</t>
  </si>
  <si>
    <t>004+Grooob</t>
  </si>
  <si>
    <t>004+Augsburg</t>
  </si>
  <si>
    <t>DONT+TRY+IT+001</t>
  </si>
  <si>
    <t>04+Nur+ein+S%C3%A4nger</t>
  </si>
  <si>
    <t>Dracay+005</t>
  </si>
  <si>
    <t>04+Kater</t>
  </si>
  <si>
    <t>%23014+Pokemon+Turm</t>
  </si>
  <si>
    <t>%5B003%5D+NullGrammEhre</t>
  </si>
  <si>
    <t>La+Villa</t>
  </si>
  <si>
    <t>001+Wag1</t>
  </si>
  <si>
    <t>001+Haifisch+Nikez</t>
  </si>
  <si>
    <t>%5B006%5D+Dutch+Haze</t>
  </si>
  <si>
    <t>002+Zugspitze</t>
  </si>
  <si>
    <t>Hexe+002</t>
  </si>
  <si>
    <t>The+Dreammaker</t>
  </si>
  <si>
    <t>002+.egal</t>
  </si>
  <si>
    <t>54%3A43%3A25+%2F%2F+lepra</t>
  </si>
  <si>
    <t>001+Kehl</t>
  </si>
  <si>
    <t>%7C002%7C+Beaufort</t>
  </si>
  <si>
    <t>001+TIOLs+Dorf</t>
  </si>
  <si>
    <t>003+Eppelheim</t>
  </si>
  <si>
    <t>45%3A56%3A08+-+Village</t>
  </si>
  <si>
    <t>004%7C+Fortaleza</t>
  </si>
  <si>
    <t>001+Mazinger-Z</t>
  </si>
  <si>
    <t>55%7C60%7C49+Howdy+Partner%21AG</t>
  </si>
  <si>
    <t>001+F%C3%A4cherstadt</t>
  </si>
  <si>
    <t>Signal+Iduna+Park</t>
  </si>
  <si>
    <t>Lychees+II</t>
  </si>
  <si>
    <t>%5B004%5D+Hennweiler</t>
  </si>
  <si>
    <t>%5B001+Bern%5D</t>
  </si>
  <si>
    <t>Impel+Down+001</t>
  </si>
  <si>
    <t>Black-Blubb%3F</t>
  </si>
  <si>
    <t>005+%7C+Enrico97</t>
  </si>
  <si>
    <t>02+Barbarendorf</t>
  </si>
  <si>
    <t>%5B001%5D+Ballerbude</t>
  </si>
  <si>
    <t>02+Godiva</t>
  </si>
  <si>
    <t>001+KAGG-HAIDER%21</t>
  </si>
  <si>
    <t>stevs+Dorf</t>
  </si>
  <si>
    <t>NAxxxORs+Dorf</t>
  </si>
  <si>
    <t>02+Mongolei</t>
  </si>
  <si>
    <t>003+Athen</t>
  </si>
  <si>
    <t>%2301+B-A-L-L-E-R-B-U-D-E</t>
  </si>
  <si>
    <t>002+Wag2</t>
  </si>
  <si>
    <t>001+Error</t>
  </si>
  <si>
    <t>Ins+Klo+44%3A45%3A41</t>
  </si>
  <si>
    <t>Choronia+1</t>
  </si>
  <si>
    <t>006+apfelgriepsch</t>
  </si>
  <si>
    <t>Gl+me+%3A%29</t>
  </si>
  <si>
    <t>%7B002%7D+Pereskioideae</t>
  </si>
  <si>
    <t>Walhalla+03</t>
  </si>
  <si>
    <t>002+%7C+A</t>
  </si>
  <si>
    <t>004+MaXiMuS</t>
  </si>
  <si>
    <t>%5B001%5D+Fragen</t>
  </si>
  <si>
    <t>001+Lucky+Strike</t>
  </si>
  <si>
    <t>%5B0001%5D+Master+Magics+Dorf</t>
  </si>
  <si>
    <t>B%C3%B6hse+Onkelz</t>
  </si>
  <si>
    <t>002+%7C+Caen</t>
  </si>
  <si>
    <t>u+made+Bro+AG%21</t>
  </si>
  <si>
    <t>SecondChief+RIP</t>
  </si>
  <si>
    <t>AxelFIIs+Dorf</t>
  </si>
  <si>
    <t>002+Voltron</t>
  </si>
  <si>
    <t>Alone+001</t>
  </si>
  <si>
    <t>Svobby+002</t>
  </si>
  <si>
    <t>%5B002%5D+Reservoir+Dogs</t>
  </si>
  <si>
    <t>007+%2F+Magdeburger-Jungs</t>
  </si>
  <si>
    <t>%7C+003+%7C+Wealth+of+the+Nations+AG</t>
  </si>
  <si>
    <t>Bibis+flexxen+euch</t>
  </si>
  <si>
    <t>001+HillesXx</t>
  </si>
  <si>
    <t>AG+Home+004</t>
  </si>
  <si>
    <t>001%7C+last+dance</t>
  </si>
  <si>
    <t>001+Winter+Is+Coming</t>
  </si>
  <si>
    <t>Inkassob%C3%BCro+03</t>
  </si>
  <si>
    <t>%7B002%7D+ALGE+ALGE+ALGE</t>
  </si>
  <si>
    <t>Triple+1</t>
  </si>
  <si>
    <t>002+-+Weihnachtsb%C3%A4ckerei</t>
  </si>
  <si>
    <t>02+Das+Mehl+des+M%C3%BCllers</t>
  </si>
  <si>
    <t>002+-+Gates+Of+Hell</t>
  </si>
  <si>
    <t>Age+Of+Excuse+III</t>
  </si>
  <si>
    <t>The+Island</t>
  </si>
  <si>
    <t>DemKlausKleber+sein+Dorf</t>
  </si>
  <si>
    <t>Wurminator69s+Dorf</t>
  </si>
  <si>
    <t>Bausis+Bude</t>
  </si>
  <si>
    <t>M%C3%B6nch</t>
  </si>
  <si>
    <t>001+bubiwa13</t>
  </si>
  <si>
    <t>Apfelsch%C3%A4lmaschine</t>
  </si>
  <si>
    <t>002+TURBO-SWAG+DORF</t>
  </si>
  <si>
    <t>%5B001%5D+-+Srj</t>
  </si>
  <si>
    <t>001.+Holzf%C3%A4ller+Co.+KG</t>
  </si>
  <si>
    <t>003+Mathe+Klaus+Uhr</t>
  </si>
  <si>
    <t>010+%23allespusherau%C3%9Feraccce</t>
  </si>
  <si>
    <t>Silo+003</t>
  </si>
  <si>
    <t>001%7COlympiastadion</t>
  </si>
  <si>
    <t>Heinz+Dorf</t>
  </si>
  <si>
    <t>%5BAG%5D+001</t>
  </si>
  <si>
    <t>004%7CJonesnCastle</t>
  </si>
  <si>
    <t>006+%2F%2F+ez+pz</t>
  </si>
  <si>
    <t>001+Heidelberg</t>
  </si>
  <si>
    <t>002+Freibier4alle</t>
  </si>
  <si>
    <t>Siggis+H%C3%BCtte</t>
  </si>
  <si>
    <t>Havana+-00-</t>
  </si>
  <si>
    <t>Child+in+Time</t>
  </si>
  <si>
    <t>alert%282%29%3B</t>
  </si>
  <si>
    <t>01+hihi</t>
  </si>
  <si>
    <t>03+Stuttgart</t>
  </si>
  <si>
    <t>001+Kranplatz</t>
  </si>
  <si>
    <t>03-+NoName</t>
  </si>
  <si>
    <t>Out+from+your+Raze</t>
  </si>
  <si>
    <t>Hexe+003</t>
  </si>
  <si>
    <t>Die+feuchte+Grotte</t>
  </si>
  <si>
    <t>Villa+%23007</t>
  </si>
  <si>
    <t>001+Rotherma</t>
  </si>
  <si>
    <t>05-+NoName</t>
  </si>
  <si>
    <t>N00+RAG</t>
  </si>
  <si>
    <t>44%3A06%3A33+%7C%7C</t>
  </si>
  <si>
    <t>plsdontbanmes+Dorf</t>
  </si>
  <si>
    <t>Mike+Rosofft+I</t>
  </si>
  <si>
    <t>006+Fightclub</t>
  </si>
  <si>
    <t>Act+of+Rage</t>
  </si>
  <si>
    <t>55%7C61%7C42+Howdy+Partner%21AG</t>
  </si>
  <si>
    <t>002+bubiwa13</t>
  </si>
  <si>
    <t>Ich+bin+3+Farbenblinder</t>
  </si>
  <si>
    <t>kings+Canyon</t>
  </si>
  <si>
    <t>%5B003%5D+Fragen</t>
  </si>
  <si>
    <t>44%3A06%3A20+%7C</t>
  </si>
  <si>
    <t>Lets+Get+This+Party+Started.</t>
  </si>
  <si>
    <t>%230000001+-+AG+Dorf</t>
  </si>
  <si>
    <t>%7B008%7D+Stenocactus</t>
  </si>
  <si>
    <t>Monster+S+III</t>
  </si>
  <si>
    <t>005+%2F%2F+ez+pz</t>
  </si>
  <si>
    <t>54%3A190%3A09+-+PaaTAlex</t>
  </si>
  <si>
    <t>%28002%29</t>
  </si>
  <si>
    <t>OnlyHDs+Dorf+3</t>
  </si>
  <si>
    <t>E+Wuascht</t>
  </si>
  <si>
    <t>003+%7C+let+it+rock</t>
  </si>
  <si>
    <t>55%7C60%7C67+Howdy+Partner%21AG</t>
  </si>
  <si>
    <t>Putins+Kreml</t>
  </si>
  <si>
    <t>003+Li</t>
  </si>
  <si>
    <t>%23012+Prismania+City</t>
  </si>
  <si>
    <t>K55+-+003</t>
  </si>
  <si>
    <t>TeslaGigafactory+3</t>
  </si>
  <si>
    <t>MoneyHoneys+Dorf</t>
  </si>
  <si>
    <t>004+Whis</t>
  </si>
  <si>
    <t>.+oraenv</t>
  </si>
  <si>
    <t>002%7CDeebo</t>
  </si>
  <si>
    <t>002%7C+Ilha</t>
  </si>
  <si>
    <t>003+Haram+diese</t>
  </si>
  <si>
    <t>004+Deify</t>
  </si>
  <si>
    <t>x003+%7C+Pride+and+Fall</t>
  </si>
  <si>
    <t>Kev+I</t>
  </si>
  <si>
    <t>Hansestadt+Alfeld</t>
  </si>
  <si>
    <t>In+Remember+of+Gee19</t>
  </si>
  <si>
    <t>Clemens+gr%C3%B6%C3%9Fer+Erik</t>
  </si>
  <si>
    <t>%C2%BB+A%7C003+%C2%AB</t>
  </si>
  <si>
    <t>babrosss+Dorf</t>
  </si>
  <si>
    <t>Fairy+Three</t>
  </si>
  <si>
    <t>54%3A44%3A23+%2F%2F+Lepra</t>
  </si>
  <si>
    <t>The+Garisson+Pub</t>
  </si>
  <si>
    <t>Hexe+001</t>
  </si>
  <si>
    <t>2+Lucky+Charms</t>
  </si>
  <si>
    <t>%5B003%5D+Koch+auf+Crack</t>
  </si>
  <si>
    <t>Ich+bin+1+Farbenblinder</t>
  </si>
  <si>
    <t>BeatifulSoup</t>
  </si>
  <si>
    <t>002+Gross+Hausdorf</t>
  </si>
  <si>
    <t>003+-+Kumogakure</t>
  </si>
  <si>
    <t>001+-+Eto1s+Dorf</t>
  </si>
  <si>
    <t>02+Arctan</t>
  </si>
  <si>
    <t>001+Erbach+%28Odw.%29</t>
  </si>
  <si>
    <t>Rudolfsheim+1</t>
  </si>
  <si>
    <t>001+BAG</t>
  </si>
  <si>
    <t>%3F%3F%3F</t>
  </si>
  <si>
    <t>001+%7C+Sparta</t>
  </si>
  <si>
    <t>64%3A07%3A62+-+Sammy</t>
  </si>
  <si>
    <t>bettydogs+Dorf</t>
  </si>
  <si>
    <t>55%3A16%3A50+1</t>
  </si>
  <si>
    <t>04+tobu97</t>
  </si>
  <si>
    <t>1+von+80+Million+eheha</t>
  </si>
  <si>
    <t>%23007+Orania+City</t>
  </si>
  <si>
    <t>00%2F1+Festung</t>
  </si>
  <si>
    <t>%C3%96ggis+Dorf</t>
  </si>
  <si>
    <t>Dai+Li</t>
  </si>
  <si>
    <t>002+mehrnboch</t>
  </si>
  <si>
    <t>54%3A191%3A09+-+PaaTAlex</t>
  </si>
  <si>
    <t>001+A+Weizn+dat+mi+reizn</t>
  </si>
  <si>
    <t>Hokage+004</t>
  </si>
  <si>
    <t>linkes+Dorf</t>
  </si>
  <si>
    <t>AG+Gladiator</t>
  </si>
  <si>
    <t>Dracay+001</t>
  </si>
  <si>
    <t>topetokas+Dorf</t>
  </si>
  <si>
    <t>Taboo+zieht+gerne+Lowbuden</t>
  </si>
  <si>
    <t>%2301+R3sG+Chillers+Dorf</t>
  </si>
  <si>
    <t>002.+Winden</t>
  </si>
  <si>
    <t>%5B003%5D+Weidemilch</t>
  </si>
  <si>
    <t>%7E001%7E+Melkins+Dorf</t>
  </si>
  <si>
    <t>Agentur+f%C3%BCr+Arbeit%7C005</t>
  </si>
  <si>
    <t>Candis%2A+o.02</t>
  </si>
  <si>
    <t>003+%7C+K%C3%B6nig+vong+K%C3%B6nigreich</t>
  </si>
  <si>
    <t>002+%7C+derero</t>
  </si>
  <si>
    <t>%5B001%5D+Landliebe+3%2C8%25</t>
  </si>
  <si>
    <t>Kriegsdampfers+Dorf</t>
  </si>
  <si>
    <t>004.+Holzf%C3%A4ller+Co.+KG</t>
  </si>
  <si>
    <t>Pizzadorfs+Dorf</t>
  </si>
  <si>
    <t>Bernbachers+Schlosserei</t>
  </si>
  <si>
    <t>Hiro+000</t>
  </si>
  <si>
    <t>%7E0002%7E+Death+Town</t>
  </si>
  <si>
    <t>002+Stw</t>
  </si>
  <si>
    <t>why%3F</t>
  </si>
  <si>
    <t>002+HdH</t>
  </si>
  <si>
    <t>II+-+Zentralbank</t>
  </si>
  <si>
    <t>%5B002%5D+Manhattan</t>
  </si>
  <si>
    <t>P+005-1</t>
  </si>
  <si>
    <t>Dr.+Off+Smasher</t>
  </si>
  <si>
    <t>%7C55%3A92%3A43%7C_ZeRoPAGIn</t>
  </si>
  <si>
    <t>Kattas+unerw%C3%BCnscht%21</t>
  </si>
  <si>
    <t>001+Kellerbier</t>
  </si>
  <si>
    <t>001+God+Save+The+Rave</t>
  </si>
  <si>
    <t>Blubb%3F+-+h%C3%A4ppsche</t>
  </si>
  <si>
    <t>%5B0011%5D+Mars+Angriffsbagsis</t>
  </si>
  <si>
    <t>%23nicky+butts+Dorf</t>
  </si>
  <si>
    <t>%5BAg%5Dain+Grauwacht</t>
  </si>
  <si>
    <t>001-Luis+der+Banause</t>
  </si>
  <si>
    <t>K54+45%3A59%3A86+Palenque</t>
  </si>
  <si>
    <t>54%3A190%3A02+-+PaaTAlex</t>
  </si>
  <si>
    <t>Schwertk%C3%A4mpfer</t>
  </si>
  <si>
    <t>91448+Altschauerberg</t>
  </si>
  <si>
    <t>Player12s+Dorf</t>
  </si>
  <si>
    <t>Bunker+wegen+Darmspiegelung</t>
  </si>
  <si>
    <t>Masters+of+Hardcore</t>
  </si>
  <si>
    <t>IcH+mAcH+AG+iN+NaMeN+COOOOL</t>
  </si>
  <si>
    <t>%5BAg%5Dain+Schattenturm</t>
  </si>
  <si>
    <t>01+Baengerz+World+%28no+entry%29</t>
  </si>
  <si>
    <t>187forfrees+Dorf</t>
  </si>
  <si>
    <t>Katjas+Spielaplatz</t>
  </si>
  <si>
    <t>AG+Gladiator+001</t>
  </si>
  <si>
    <t>003+Stw</t>
  </si>
  <si>
    <t>%7B004%7D+RaZorShark</t>
  </si>
  <si>
    <t>%7C002+RiVa</t>
  </si>
  <si>
    <t>404+AG+Not+Found</t>
  </si>
  <si>
    <t>nikeids+Dorf</t>
  </si>
  <si>
    <t>%23011+Lavandia</t>
  </si>
  <si>
    <t>philipp+amthor+2</t>
  </si>
  <si>
    <t>003+MaXiMuS</t>
  </si>
  <si>
    <t>Black+hole+003</t>
  </si>
  <si>
    <t>Hansestadt+Ahlen</t>
  </si>
  <si>
    <t>Lottis+Village</t>
  </si>
  <si>
    <t>langer+Wunsch2</t>
  </si>
  <si>
    <t>-Forza+KSG+02-</t>
  </si>
  <si>
    <t>hasispatzis+Dorf</t>
  </si>
  <si>
    <t>Usertown+02</t>
  </si>
  <si>
    <t>AG-Unterst%C3%BCtzung</t>
  </si>
  <si>
    <t>II.+Carthago</t>
  </si>
  <si>
    <t>02+Schakanani</t>
  </si>
  <si>
    <t>003+%7C+Wunderjunge</t>
  </si>
  <si>
    <t>Heizungsraum+2</t>
  </si>
  <si>
    <t>tandem+270s+Dorf</t>
  </si>
  <si>
    <t>tommy2016s+Dorf</t>
  </si>
  <si>
    <t>%23Ag%2FFake+1</t>
  </si>
  <si>
    <t>Quarktasche+02</t>
  </si>
  <si>
    <t>%23001+%7C+Make+It+Nasty</t>
  </si>
  <si>
    <t>Dorf+100</t>
  </si>
  <si>
    <t>W170+Dominanz</t>
  </si>
  <si>
    <t>01+Askaban</t>
  </si>
  <si>
    <t>Villa+%23005</t>
  </si>
  <si>
    <t>Grummel7s+Dorf</t>
  </si>
  <si>
    <t>Bully+Boy</t>
  </si>
  <si>
    <t>Alone+007</t>
  </si>
  <si>
    <t>%7E%5B002-AG%5D%7E</t>
  </si>
  <si>
    <t>Die+Universit%C3%A4t</t>
  </si>
  <si>
    <t>0061s+Dorf</t>
  </si>
  <si>
    <t>005+UHNWI</t>
  </si>
  <si>
    <t>%7B001%7D+Knatterpultmetropole</t>
  </si>
  <si>
    <t>0000+0010</t>
  </si>
  <si>
    <t>ufoman444s+Dorf+%7C+001</t>
  </si>
  <si>
    <t>%7E003%7E</t>
  </si>
  <si>
    <t>%5B001%5DLass+Knacken</t>
  </si>
  <si>
    <t>004+%5B-NN-%5D+Deffnoob</t>
  </si>
  <si>
    <t>003%7C+Barad-dur</t>
  </si>
  <si>
    <t>Minas+Morgul</t>
  </si>
  <si>
    <t>006.+Sch%C3%BCtzen</t>
  </si>
  <si>
    <t>45%3A46%3A49+-+Village</t>
  </si>
  <si>
    <t>003%7C+Hui+ein+Clank</t>
  </si>
  <si>
    <t>Ostsee-Dudes+Dorf</t>
  </si>
  <si>
    <t>W178+54%3A06%3A46</t>
  </si>
  <si>
    <t>Quarant%C3%A4neFestung</t>
  </si>
  <si>
    <t>Dorf+7</t>
  </si>
  <si>
    <t>Vertania+City</t>
  </si>
  <si>
    <t>x5+Eine+Ente+INCt+selten+allein</t>
  </si>
  <si>
    <t>45%7C45%7C45</t>
  </si>
  <si>
    <t>%5B001%5D+Banana</t>
  </si>
  <si>
    <t>speedis+1%23</t>
  </si>
  <si>
    <t>005+Vechelade</t>
  </si>
  <si>
    <t>009+Hochtiiiiiiiiet</t>
  </si>
  <si>
    <t>Greidl+Dorf</t>
  </si>
  <si>
    <t>rathhunters+Dorf</t>
  </si>
  <si>
    <t>AG+Fake</t>
  </si>
  <si>
    <t>AG+Hartheim+1</t>
  </si>
  <si>
    <t>002+Regensburg</t>
  </si>
  <si>
    <t>005+Ingolstadt</t>
  </si>
  <si>
    <t>%5B0010%5D+Mars+Angriffsbagsis</t>
  </si>
  <si>
    <t>Valhalla+-I-</t>
  </si>
  <si>
    <t>001+Ja+-+Mir+gehts+Gut%21</t>
  </si>
  <si>
    <t>Geiz+Haus</t>
  </si>
  <si>
    <t>002+Karnage+Tyrants+D%C3%B6rf</t>
  </si>
  <si>
    <t>Verr%C3%A4ter</t>
  </si>
  <si>
    <t>%5B0007%5D+Mars+Angriffsbagsis</t>
  </si>
  <si>
    <t>Spade+001</t>
  </si>
  <si>
    <t>0000+0100</t>
  </si>
  <si>
    <t>wortocs+Dorf</t>
  </si>
  <si>
    <t>2%7C55%3A65%3A21+-+Feinster</t>
  </si>
  <si>
    <t>%5B004%5D+Stuttgart</t>
  </si>
  <si>
    <t>Mein+Dorf+ist+dein+Dorf</t>
  </si>
  <si>
    <t>006+TAB+BUUUUH+Larasa</t>
  </si>
  <si>
    <t>003%7CFreeeloader</t>
  </si>
  <si>
    <t>55%3A75%3A63+First+Train</t>
  </si>
  <si>
    <t>003+AG+kp</t>
  </si>
  <si>
    <t>oo4+%7C%7C+Orschlochwattn</t>
  </si>
  <si>
    <t>Gut96s+Dorf</t>
  </si>
  <si>
    <t>Porzellan+Gerhard+H%C3%B6hle</t>
  </si>
  <si>
    <t>45-69-60+Andorra</t>
  </si>
  <si>
    <t>GsC+BloodWars+Dorf</t>
  </si>
  <si>
    <t>speedy2520+Dorf</t>
  </si>
  <si>
    <t>%5B003%5D+TheSensei</t>
  </si>
  <si>
    <t>NightWolf15s+Dorf</t>
  </si>
  <si>
    <t>Valhalla+III</t>
  </si>
  <si>
    <t>0000+0011</t>
  </si>
  <si>
    <t>Kd+003</t>
  </si>
  <si>
    <t>Hiro+001</t>
  </si>
  <si>
    <t>003+Salat%2C+So%C3%9Fe+alles%3F</t>
  </si>
  <si>
    <t>02-+NoName</t>
  </si>
  <si>
    <t>004%7C+Rand%2A</t>
  </si>
  <si>
    <t>Vee+002</t>
  </si>
  <si>
    <t>lucas04s+Dorf</t>
  </si>
  <si>
    <t>%5B07%5D+Cartagena</t>
  </si>
  <si>
    <t>Nice+to+have</t>
  </si>
  <si>
    <t>%23009+Digdas+H%C3%B6hle</t>
  </si>
  <si>
    <t>%5B0006%5D+Mars+Angriffsbagsis</t>
  </si>
  <si>
    <t>003+ErrOr_ErrOr_ErrOr</t>
  </si>
  <si>
    <t>001+%7C+Riesling</t>
  </si>
  <si>
    <t>%23004+Marmoria+City</t>
  </si>
  <si>
    <t>55%3A06%3A77+3</t>
  </si>
  <si>
    <t>%5B002%5D+Austernfarm</t>
  </si>
  <si>
    <t>002+royal12s+Dorf</t>
  </si>
  <si>
    <t>Gaggstatts+Dorf</t>
  </si>
  <si>
    <t>%5B0002%5D+AG-ANGRIFF</t>
  </si>
  <si>
    <t>01+Hamburg</t>
  </si>
  <si>
    <t>46%3A60%3A01+%7C+Gang</t>
  </si>
  <si>
    <t>05+Hamdeborg</t>
  </si>
  <si>
    <t>Casa+del+Breuni</t>
  </si>
  <si>
    <t>sim001s+Dorf</t>
  </si>
  <si>
    <t>004+%23%23%23</t>
  </si>
  <si>
    <t>Ba+Sing+Se</t>
  </si>
  <si>
    <t>brotzeits+Dorf</t>
  </si>
  <si>
    <t>005+capix</t>
  </si>
  <si>
    <t>Viel+Spass+%3A%29</t>
  </si>
  <si>
    <t>Sir+Alexanders+Dorf</t>
  </si>
  <si>
    <t>1.+Huhu</t>
  </si>
  <si>
    <t>Aggro+III</t>
  </si>
  <si>
    <t>farmer+5s+Dorf</t>
  </si>
  <si>
    <t>boehmis+Dorf+3</t>
  </si>
  <si>
    <t>178%2F001A</t>
  </si>
  <si>
    <t>Xatars+Dorf</t>
  </si>
  <si>
    <t>%5B0003%5D+Master+Magics+Dorf</t>
  </si>
  <si>
    <t>M%C3%B6nch+2</t>
  </si>
  <si>
    <t>003%7C+Mannheim</t>
  </si>
  <si>
    <t>001+Mach+erschtmal+die+Baschycs</t>
  </si>
  <si>
    <t>I+am+your+number+%7B1%7D</t>
  </si>
  <si>
    <t>Monster+AG</t>
  </si>
  <si>
    <t>001+Village+002</t>
  </si>
  <si>
    <t>W%C3%BCstefeld</t>
  </si>
  <si>
    <t>sgfgffffs+Dorf</t>
  </si>
  <si>
    <t>K64+46%3A60%3A31+Casablanca</t>
  </si>
  <si>
    <t>4seasons.s+Dorf</t>
  </si>
  <si>
    <t>007+Raven</t>
  </si>
  <si>
    <t>%5B02%5D+Schlachthaus</t>
  </si>
  <si>
    <t>001+Laura+M%C3%BCller</t>
  </si>
  <si>
    <t>Schreibf%C3%A4hler</t>
  </si>
  <si>
    <t>K%C3%B6ftespie%C3%9Ffabrik</t>
  </si>
  <si>
    <t>DONT+TRY+IT+002</t>
  </si>
  <si>
    <t>IVVIs+Dorf</t>
  </si>
  <si>
    <t>%7CBVB%7C</t>
  </si>
  <si>
    <t>Caligula-Minuss+Dorf</t>
  </si>
  <si>
    <t>xx_Elstal+_xx</t>
  </si>
  <si>
    <t>Ph%C3%B6nix01</t>
  </si>
  <si>
    <t>bad+timings</t>
  </si>
  <si>
    <t>%5B0007%5D+AG-ANGRIFF</t>
  </si>
  <si>
    <t>%7C55%3A92%3A14%7C+Rungholt</t>
  </si>
  <si>
    <t>DD+04</t>
  </si>
  <si>
    <t>006+Raven</t>
  </si>
  <si>
    <t>Dorfname+%7C+001</t>
  </si>
  <si>
    <t>Die+linke+Hand+des+Teufels</t>
  </si>
  <si>
    <t>%5B001%5D+Imladris</t>
  </si>
  <si>
    <t>%5B001%5D+Marienburg</t>
  </si>
  <si>
    <t>001+Iuavavum</t>
  </si>
  <si>
    <t>006+American+Spirit</t>
  </si>
  <si>
    <t>Double+Chocolate</t>
  </si>
  <si>
    <t>003+Obein</t>
  </si>
  <si>
    <t>still+Duby</t>
  </si>
  <si>
    <t>003+Warrior</t>
  </si>
  <si>
    <t>001+baumeister39</t>
  </si>
  <si>
    <t>geil+w%C3%BCrde</t>
  </si>
  <si>
    <t>004+Entspannung</t>
  </si>
  <si>
    <t>001+Schrobenhausen</t>
  </si>
  <si>
    <t>%5B003%5D+Silent+Hill</t>
  </si>
  <si>
    <t>002+Yoshi+again</t>
  </si>
  <si>
    <t>002+Palast</t>
  </si>
  <si>
    <t>0x01+%7C+Ekhad</t>
  </si>
  <si>
    <t>Burg+Drachenfels</t>
  </si>
  <si>
    <t>002+Make+them+hush</t>
  </si>
  <si>
    <t>wowka85s+Dorf</t>
  </si>
  <si>
    <t>005+pika+pika+pika+pika+pika</t>
  </si>
  <si>
    <t>Monster+K+II</t>
  </si>
  <si>
    <t>01-+NoName</t>
  </si>
  <si>
    <t>Festung+1</t>
  </si>
  <si>
    <t>KarateKurts+Dorf</t>
  </si>
  <si>
    <t>%3A-%29</t>
  </si>
  <si>
    <t>X+AE+A-10</t>
  </si>
  <si>
    <t>005+Lentia</t>
  </si>
  <si>
    <t>002+%7C+Aries+the+%5BRam%5D</t>
  </si>
  <si>
    <t>05+Weizen</t>
  </si>
  <si>
    <t>lolpop4s+Dorf</t>
  </si>
  <si>
    <t>Kaffee+in+der+Nase</t>
  </si>
  <si>
    <t>Prinz-11s+Dorf</t>
  </si>
  <si>
    <t>Villa+%23002</t>
  </si>
  <si>
    <t>03+Korn</t>
  </si>
  <si>
    <t>Prinz+Ludwigs+Dorf</t>
  </si>
  <si>
    <t>Royal+Oak</t>
  </si>
  <si>
    <t>02+Pelle</t>
  </si>
  <si>
    <t>Theater+of+Dreams</t>
  </si>
  <si>
    <t>GTRixes+178</t>
  </si>
  <si>
    <t>The+spy+who+shagged+me+%7C+002</t>
  </si>
  <si>
    <t>langer+Wunsch4</t>
  </si>
  <si>
    <t>002+D%C3%A4nemarktour</t>
  </si>
  <si>
    <t>50%3A64%3A38+Prio+RS</t>
  </si>
  <si>
    <t>Alone+004</t>
  </si>
  <si>
    <t>002+%7C+Menegroth</t>
  </si>
  <si>
    <t>002+4.794+Punkte</t>
  </si>
  <si>
    <t>Inkassob%C3%BCro+04</t>
  </si>
  <si>
    <t>002+MaXiMuS</t>
  </si>
  <si>
    <t>Fr34ks+%23001</t>
  </si>
  <si>
    <t>Baustelle+2</t>
  </si>
  <si>
    <t>03%7C+NIEver+gonna+give+you+up%21</t>
  </si>
  <si>
    <t>WaSysUstgZ+1</t>
  </si>
  <si>
    <t>001-Dol+Guldur</t>
  </si>
  <si>
    <t>003+-+Grabstein</t>
  </si>
  <si>
    <t>Punctum+saliens</t>
  </si>
  <si>
    <t>008+Black</t>
  </si>
  <si>
    <t>Der+zweite+Streich</t>
  </si>
  <si>
    <t>001+477+Punkte</t>
  </si>
  <si>
    <t>%5B003%5D+Sicko</t>
  </si>
  <si>
    <t>006+%2F+Streuner1905s+Dorf</t>
  </si>
  <si>
    <t>01+-+Riechma</t>
  </si>
  <si>
    <t>%5B004%5D+-+Sandmann</t>
  </si>
  <si>
    <t>Caribena+002</t>
  </si>
  <si>
    <t>Izmit%5B41%5D</t>
  </si>
  <si>
    <t>002+Ridvan</t>
  </si>
  <si>
    <t>K54+488%7C561</t>
  </si>
  <si>
    <t>svandys+Dorf+2</t>
  </si>
  <si>
    <t>55%3A64%3A58+-+B%C3%A4ng</t>
  </si>
  <si>
    <t>54%2F%2F55%2F%2F14+Boooris</t>
  </si>
  <si>
    <t>oo2+%7C%7C+Orschlochwattn</t>
  </si>
  <si>
    <t>001+Regelversto%C3%9F%3F+%3Ap</t>
  </si>
  <si>
    <t>002+Bern</t>
  </si>
  <si>
    <t>002+-+Sunagakure</t>
  </si>
  <si>
    <t>%5B004%5DHedeby</t>
  </si>
  <si>
    <t>%5B002%5D+Amerika</t>
  </si>
  <si>
    <t>1+FCK+Lautern</t>
  </si>
  <si>
    <t>04+Stuttgart</t>
  </si>
  <si>
    <t>007+Workaholic</t>
  </si>
  <si>
    <t>001+Schreckensherrscher</t>
  </si>
  <si>
    <t>-%5B002%5D-Im+Profil+stehen+die+AGBs</t>
  </si>
  <si>
    <t>Schallkes+Dorf</t>
  </si>
  <si>
    <t>Scheiterhaufen+3</t>
  </si>
  <si>
    <t>0002+Farm%3F%21</t>
  </si>
  <si>
    <t>023+-+Zukunft</t>
  </si>
  <si>
    <t>Wasserwerk+West</t>
  </si>
  <si>
    <t>Encore+-+Wildstylez</t>
  </si>
  <si>
    <t>Hokage+002</t>
  </si>
  <si>
    <t>TX+%21</t>
  </si>
  <si>
    <t>Cataclysmuss+Dorf</t>
  </si>
  <si>
    <t>Jordi+El+Nino66+Dorf</t>
  </si>
  <si>
    <t>%5B001%5D+Silent+Hill</t>
  </si>
  <si>
    <t>Area+69</t>
  </si>
  <si>
    <t>44%3A54%3A26+Malus+%3B%29</t>
  </si>
  <si>
    <t>Forum+01+-+Malts</t>
  </si>
  <si>
    <t>...First+sniff+at+the+glue%21</t>
  </si>
  <si>
    <t>save.maschines+Dorf</t>
  </si>
  <si>
    <t>Lamia+Scale</t>
  </si>
  <si>
    <t>Elias+in+the+House</t>
  </si>
  <si>
    <t>003+Zac</t>
  </si>
  <si>
    <t>Fort+Vienna</t>
  </si>
  <si>
    <t>Doofes+AG+%3A%28</t>
  </si>
  <si>
    <t>%230005%23+Bambus+Town</t>
  </si>
  <si>
    <t>Kempen+004</t>
  </si>
  <si>
    <t>D+%3A3+L</t>
  </si>
  <si>
    <t>Ihr+bekommt+mich+nicht</t>
  </si>
  <si>
    <t>Agox+002</t>
  </si>
  <si>
    <t>2.0+AG+xihus+Dorf</t>
  </si>
  <si>
    <t>Jack+Daniels</t>
  </si>
  <si>
    <t>%7E004%7E</t>
  </si>
  <si>
    <t>Hempels+Sofa</t>
  </si>
  <si>
    <t>Hexe+004</t>
  </si>
  <si>
    <t>Pferd+1</t>
  </si>
  <si>
    <t>004+%7C+Bierbunker</t>
  </si>
  <si>
    <t>N3verluckys+Dorf</t>
  </si>
  <si>
    <t>2Hasiss+Dorf</t>
  </si>
  <si>
    <t>Saban+Saulic</t>
  </si>
  <si>
    <t>EnjoY+iT+ToO</t>
  </si>
  <si>
    <t>Hansestadt+Anklam</t>
  </si>
  <si>
    <t>%5B002%5DVernichtung</t>
  </si>
  <si>
    <t>D-Town+06</t>
  </si>
  <si>
    <t>%5B02%5D+Cartagena</t>
  </si>
  <si>
    <t>Katjas+Prinzessinenturm</t>
  </si>
  <si>
    <t>003+Sisinga</t>
  </si>
  <si>
    <t>Dorf+City</t>
  </si>
  <si>
    <t>%2801%29+Amsterdam</t>
  </si>
  <si>
    <t>Aporeds+Dorf</t>
  </si>
  <si>
    <t>Hansestadt+Beckum</t>
  </si>
  <si>
    <t>Fokus+01</t>
  </si>
  <si>
    <t>1.+Touring</t>
  </si>
  <si>
    <t>%5B0002%5D+Mars+Angriffsbagsis</t>
  </si>
  <si>
    <t>AG-+Br0+I+Altair</t>
  </si>
  <si>
    <t>Kobra+2</t>
  </si>
  <si>
    <t>004+Marrakesch</t>
  </si>
  <si>
    <t>Meinhart+Erschwanz</t>
  </si>
  <si>
    <t>bayerrenes+Dorf</t>
  </si>
  <si>
    <t>jobi+B.s+Dorf</t>
  </si>
  <si>
    <t>BorussiaFighters+Dorf</t>
  </si>
  <si>
    <t>Breschdlingsgs%C3%A4ls</t>
  </si>
  <si>
    <t>0003+Miami</t>
  </si>
  <si>
    <t>Dorf+Dorge</t>
  </si>
  <si>
    <t>001+Winterfell</t>
  </si>
  <si>
    <t>%5B004%5D+RN+5%2F85-1</t>
  </si>
  <si>
    <t>Lord+2</t>
  </si>
  <si>
    <t>Gemexxt+wird+bis+zum+Schluss</t>
  </si>
  <si>
    <t>Z+I+N+N+O+W+I+T+Z</t>
  </si>
  <si>
    <t>002+RIP+Weihnaxmann</t>
  </si>
  <si>
    <t>%7EDiesel-Power%7E02</t>
  </si>
  <si>
    <t>001+Capital+City</t>
  </si>
  <si>
    <t>I+-+Zentralbank</t>
  </si>
  <si>
    <t>Golden+Eye</t>
  </si>
  <si>
    <t>Alpha+1</t>
  </si>
  <si>
    <t>%5B007%5D+3er+mit+Laura+und+Franny</t>
  </si>
  <si>
    <t>Au%C3%9Fenposten+Alter</t>
  </si>
  <si>
    <t>004+hi-tech</t>
  </si>
  <si>
    <t>Bash%7C05</t>
  </si>
  <si>
    <t>001+Auenland</t>
  </si>
  <si>
    <t>Shokugeki+no+Soma</t>
  </si>
  <si>
    <t>03+Lingeborg</t>
  </si>
  <si>
    <t>Lord+H3ilands+Dorf</t>
  </si>
  <si>
    <t>RIP+GEORG%2A1+%3A%28</t>
  </si>
  <si>
    <t>Plus+Ultra</t>
  </si>
  <si>
    <t>Schlaflos+Dahoam</t>
  </si>
  <si>
    <t>3%7C55%3A65%3A40+-+Belatona</t>
  </si>
  <si>
    <t>Arsix+001</t>
  </si>
  <si>
    <t>Der+Norden</t>
  </si>
  <si>
    <t>Disney+World</t>
  </si>
  <si>
    <t>Tigger%21</t>
  </si>
  <si>
    <t>0002+-+Barbarendorf</t>
  </si>
  <si>
    <t>%23001+Die+Wand</t>
  </si>
  <si>
    <t>%23Ag%2FFake+2</t>
  </si>
  <si>
    <t>50%3A74%3A39+Zeitsprung</t>
  </si>
  <si>
    <t>005+Rising+%7E+551%7C424</t>
  </si>
  <si>
    <t>%5B003%5D%23ShesMAD</t>
  </si>
  <si>
    <t>Hagen-002+%23%23+a</t>
  </si>
  <si>
    <t>Jake+in+the+House</t>
  </si>
  <si>
    <t>001%7C+Laubegast</t>
  </si>
  <si>
    <t>Du+bist+schlecht%2A</t>
  </si>
  <si>
    <t>%7E001%7E+AG+im+NB</t>
  </si>
  <si>
    <t>x004+%7C+Bye+Traitor</t>
  </si>
  <si>
    <t>Lorenor+Zorro</t>
  </si>
  <si>
    <t>Grounded+001</t>
  </si>
  <si>
    <t>002+-+Second</t>
  </si>
  <si>
    <t>parawhores+Dorf</t>
  </si>
  <si>
    <t>005+Kleine+Nachtschicht</t>
  </si>
  <si>
    <t>03+Rothaus</t>
  </si>
  <si>
    <t>nobbyks+Dorf</t>
  </si>
  <si>
    <t>005+%23%23%23</t>
  </si>
  <si>
    <t>003+BAG</t>
  </si>
  <si>
    <t>Fairness+wins+championships</t>
  </si>
  <si>
    <t>44%3A08%3A73+%2F%2F+-+Adelsagentur</t>
  </si>
  <si>
    <t>005%7C+Moria</t>
  </si>
  <si>
    <t>%7E003%7E+Panzert%C3%BCr</t>
  </si>
  <si>
    <t>Heulende+H%C3%BCtte</t>
  </si>
  <si>
    <t>Chrisons+Dorf</t>
  </si>
  <si>
    <t>%28A%29%28002%29</t>
  </si>
  <si>
    <t>GG%21</t>
  </si>
  <si>
    <t>ritnik3s+Dorf</t>
  </si>
  <si>
    <t>002+Rawlyk</t>
  </si>
  <si>
    <t>55%3A55%3A92+-+B%C3%A4ng</t>
  </si>
  <si>
    <t>%230001%23+Bambus+Town</t>
  </si>
  <si>
    <t>%230000002+-+AG+Dorf</t>
  </si>
  <si>
    <t>005+MaXiMuS</t>
  </si>
  <si>
    <t>001+HateMyNames+Dorf</t>
  </si>
  <si>
    <t>%7C+005+%7C+Wealth+of+the+Nations+AG</t>
  </si>
  <si>
    <t>%5B002%5D+Kawhi+Leonard</t>
  </si>
  <si>
    <t>Terra+003</t>
  </si>
  <si>
    <t>Better+call+Paul</t>
  </si>
  <si>
    <t>001+Dein+Tod</t>
  </si>
  <si>
    <t>01+AG</t>
  </si>
  <si>
    <t>only+for+noobs</t>
  </si>
  <si>
    <t>patrock+20s+Dorf</t>
  </si>
  <si>
    <t>Penny+Markt</t>
  </si>
  <si>
    <t>B%C3%A4rtoffel</t>
  </si>
  <si>
    <t>1+Tomate</t>
  </si>
  <si>
    <t>Defense+wins+championships</t>
  </si>
  <si>
    <t>demolisher+%23001</t>
  </si>
  <si>
    <t>001+%7C+Twelve+Heavenly+Stars</t>
  </si>
  <si>
    <t>B%C3%B6%C3%B6zzeente</t>
  </si>
  <si>
    <t>Kranplatz+%28verdichtet%29</t>
  </si>
  <si>
    <t>POWERblitz100s+Dorf</t>
  </si>
  <si>
    <t>%23002+Klatschkind</t>
  </si>
  <si>
    <t>Agritechniker+003</t>
  </si>
  <si>
    <t>jagru15s+Dorf</t>
  </si>
  <si>
    <t>-From+Ina+with+Love+%3A%29</t>
  </si>
  <si>
    <t>003+QUAK</t>
  </si>
  <si>
    <t>M%C3%BClltonne</t>
  </si>
  <si>
    <t>0002+The+Village</t>
  </si>
  <si>
    <t>Spiel+mir+das+Lied+vom+Tod</t>
  </si>
  <si>
    <t>Kamerad1s+Dorf</t>
  </si>
  <si>
    <t>%7E003%7E+saufa95</t>
  </si>
  <si>
    <t>AG+Inc%21+002%2A</t>
  </si>
  <si>
    <t>linerider15s+Dorf</t>
  </si>
  <si>
    <t>Katjas+Pub</t>
  </si>
  <si>
    <t>55%3A85%3A14+High-Five</t>
  </si>
  <si>
    <t>003+RIP+DerBaertige</t>
  </si>
  <si>
    <t>002+%7C+Homer+AG</t>
  </si>
  <si>
    <t>%5B003%5DYellow</t>
  </si>
  <si>
    <t>cpu-007s+Dorf</t>
  </si>
  <si>
    <t>004%7CLord</t>
  </si>
  <si>
    <t>Forum+05+-+Supersauser</t>
  </si>
  <si>
    <t>%7B003%7D+Book+of+DEAD</t>
  </si>
  <si>
    <t>002%7C+Ahri</t>
  </si>
  <si>
    <t>%5B0003%5D+Mars+Angriffsbagsis</t>
  </si>
  <si>
    <t>%3A-%2F</t>
  </si>
  <si>
    <t>Castle+Of+Glass</t>
  </si>
  <si>
    <t>004%7C%2A_%2A</t>
  </si>
  <si>
    <t>005+Patrioten+sind+vereint%21</t>
  </si>
  <si>
    <t>Ordensk1ll3rs+Dorf</t>
  </si>
  <si>
    <t>%7E005%7E+Hofitribe</t>
  </si>
  <si>
    <t>Troja+2</t>
  </si>
  <si>
    <t>The+Garrison</t>
  </si>
  <si>
    <t>Silo+001</t>
  </si>
  <si>
    <t>Du+stehst+nicht+auf+der+Liste</t>
  </si>
  <si>
    <t>Auenland+02</t>
  </si>
  <si>
    <t>Auenland+03</t>
  </si>
  <si>
    <t>Rohrkrepierer+Hose+VOLL</t>
  </si>
  <si>
    <t>b%C3%B6ser+keks</t>
  </si>
  <si>
    <t>Hic+Forum+est</t>
  </si>
  <si>
    <t>Scubo1234s+Dorf</t>
  </si>
  <si>
    <t>%5B0005%5D+AG-ANGRIFF</t>
  </si>
  <si>
    <t>Gold+Ochsa+Hell</t>
  </si>
  <si>
    <t>Wolf+001</t>
  </si>
  <si>
    <t>K54+483%7C563</t>
  </si>
  <si>
    <t>Lady+TIMbaland89s+Dorf</t>
  </si>
  <si>
    <t>03+tobu97</t>
  </si>
  <si>
    <t>HZ+2</t>
  </si>
  <si>
    <t>005+Hase</t>
  </si>
  <si>
    <t>05+Stuttgart</t>
  </si>
  <si>
    <t>001+Village+001</t>
  </si>
  <si>
    <t>AG+Home+005</t>
  </si>
  <si>
    <t>I+am+your+daddy+%7B3%7D</t>
  </si>
  <si>
    <t>001+%7C+Bart+AG</t>
  </si>
  <si>
    <t>Sektor+0</t>
  </si>
  <si>
    <t>eissi+123s+Dorf</t>
  </si>
  <si>
    <t>006+Hase</t>
  </si>
  <si>
    <t>no+Ressis</t>
  </si>
  <si>
    <t>%5B01%5D+Wurstk%C3%BCche</t>
  </si>
  <si>
    <t>Sp%C3%A4her</t>
  </si>
  <si>
    <t>%7C+001+%7C+Wealth+of+the+Nations+AG</t>
  </si>
  <si>
    <t>005+-+Vados</t>
  </si>
  <si>
    <t>Timbuktu+II</t>
  </si>
  <si>
    <t>Lavalias+Dorf</t>
  </si>
  <si>
    <t>Technoschmiede%2F%2F001</t>
  </si>
  <si>
    <t>003+-+Toms+Aktienfond</t>
  </si>
  <si>
    <t>M%C3%BChlhausen001</t>
  </si>
  <si>
    <t>002+K%C3%A4rntenwacht</t>
  </si>
  <si>
    <t>001+Karnage+Tyrants+Dorfi</t>
  </si>
  <si>
    <t>Mayonaise+ist+ein+Instrument</t>
  </si>
  <si>
    <t>Demons+Eye</t>
  </si>
  <si>
    <t>Veldaren+001</t>
  </si>
  <si>
    <t>02_winfield83s+Dorf</t>
  </si>
  <si>
    <t>GEIL+MANN%21</t>
  </si>
  <si>
    <t>001+Demon+Slayer</t>
  </si>
  <si>
    <t>003+Berlin</t>
  </si>
  <si>
    <t>%28003%29</t>
  </si>
  <si>
    <t>001+Sonnspeer</t>
  </si>
  <si>
    <t>%5B004%5D+Thranduils+Halls</t>
  </si>
  <si>
    <t>000+Homebase</t>
  </si>
  <si>
    <t>Kap+Dun</t>
  </si>
  <si>
    <t>%5B003%5D+V-Town</t>
  </si>
  <si>
    <t>Vindi+1</t>
  </si>
  <si>
    <t>001%7C%7C</t>
  </si>
  <si>
    <t>Fr34ks+%23003</t>
  </si>
  <si>
    <t>%5B002%5D+Kirn</t>
  </si>
  <si>
    <t>006+Patrioten+sind+vereint%21</t>
  </si>
  <si>
    <t>002+Hui+ein+Zuckersch%C3%BCtli</t>
  </si>
  <si>
    <t>004+Haaland</t>
  </si>
  <si>
    <t>001+%7C+Bierzentrale</t>
  </si>
  <si>
    <t>%28571%7C427%29+K45</t>
  </si>
  <si>
    <t>Black+hole+002</t>
  </si>
  <si>
    <t>%5B004%5D+c0sch</t>
  </si>
  <si>
    <t>Blauer+Eisenhut</t>
  </si>
  <si>
    <t>Archibows+geiles+Dorf</t>
  </si>
  <si>
    <t>002+Chemie+Klaus+Uhr</t>
  </si>
  <si>
    <t>CCa+Town+%231</t>
  </si>
  <si>
    <t>%7B01%7D+Perle+im+Jagsttal</t>
  </si>
  <si>
    <t>002+Sven+Lennister+2W</t>
  </si>
  <si>
    <t>001+Borsigplatz</t>
  </si>
  <si>
    <t>001+Startl%C3%B6cher</t>
  </si>
  <si>
    <t>Mist+BB+Adler</t>
  </si>
  <si>
    <t>Bemmo10s+Dorf1</t>
  </si>
  <si>
    <t>001+Kha+Zix</t>
  </si>
  <si>
    <t>%5B004%5D+V-Town</t>
  </si>
  <si>
    <t>No.2+%5B483%7C414%5D+AG</t>
  </si>
  <si>
    <t>%7B007%7D+Bashis4free</t>
  </si>
  <si>
    <t>Werners+Dorf</t>
  </si>
  <si>
    <t>Niggi97s+Dorf</t>
  </si>
  <si>
    <t>Skings+Dorf</t>
  </si>
  <si>
    <t>Rein+in+die+Olga</t>
  </si>
  <si>
    <t>002+Holzhacker+Co.KG-Hacker</t>
  </si>
  <si>
    <t>S%C3%B6rien</t>
  </si>
  <si>
    <t>Luddi+Ehrenlos</t>
  </si>
  <si>
    <t>Teletubbiemans+Dorf</t>
  </si>
  <si>
    <t>002+Rosengarten</t>
  </si>
  <si>
    <t>004+Barbarendorf+1K</t>
  </si>
  <si>
    <t>Drachenelfes+Dorf</t>
  </si>
  <si>
    <t>%21%21%21%2F%2F%2F%21%21%21</t>
  </si>
  <si>
    <t>LordHayvans+Ex-Unterhose</t>
  </si>
  <si>
    <t>Maxutauruss+Dorf</t>
  </si>
  <si>
    <t>British+Union+Of+F%2A%2Ahi%2Ats</t>
  </si>
  <si>
    <t>JDX+-+Live+the+Moment</t>
  </si>
  <si>
    <t>003+DJ+Spinach</t>
  </si>
  <si>
    <t>Sabines+Freudenhaus</t>
  </si>
  <si>
    <t>Altona+002</t>
  </si>
  <si>
    <t>Hell+s+Kitchen</t>
  </si>
  <si>
    <t>002+Barbarendorf</t>
  </si>
  <si>
    <t>M%40giXxs+003</t>
  </si>
  <si>
    <t>001+Puppenfriedhof</t>
  </si>
  <si>
    <t>Feel+002</t>
  </si>
  <si>
    <t>007+Battin+Gambrinus</t>
  </si>
  <si>
    <t>%7EWallhalla%7E+-%7C001%7C-</t>
  </si>
  <si>
    <t>Puzzle+box</t>
  </si>
  <si>
    <t>45%3A28%3A96+AG%3F%21+Kostet+ja+nix</t>
  </si>
  <si>
    <t>008+Chuu+Chuu+Chuu</t>
  </si>
  <si>
    <t>%5B000%5DBASE</t>
  </si>
  <si>
    <t>AG+Home+001</t>
  </si>
  <si>
    <t>PyramediXs+Dorf</t>
  </si>
  <si>
    <t>%7E+dIRtY+wORkZ+%7E</t>
  </si>
  <si>
    <t>Herbsth%C3%A4user_Edelpils</t>
  </si>
  <si>
    <t>D%C3%A4mmerungsdorf</t>
  </si>
  <si>
    <t>ALPHA+III</t>
  </si>
  <si>
    <t>005+%7ENATURE+ONE%7E</t>
  </si>
  <si>
    <t>Seffles+Dorf</t>
  </si>
  <si>
    <t>004+M%C3%BCnchen</t>
  </si>
  <si>
    <t>Karl+Esch+von+de+Mount+Everesch</t>
  </si>
  <si>
    <t>003+Solothurn</t>
  </si>
  <si>
    <t>RINGLERs+Dorf</t>
  </si>
  <si>
    <t>Kenning+SOUTH+alder</t>
  </si>
  <si>
    <t>004+%7ETOMORROWLAND%7E</t>
  </si>
  <si>
    <t>NeTsRaK3107s+Dorf</t>
  </si>
  <si>
    <t>002%7C%2A_%2A</t>
  </si>
  <si>
    <t>55%3A64%3A68+-+B%C3%A4ng</t>
  </si>
  <si>
    <t>006+-NN-+100+Membersclub</t>
  </si>
  <si>
    <t>001+Back</t>
  </si>
  <si>
    <t>Guffeld%C3%B6rfchen</t>
  </si>
  <si>
    <t>D+i+n+g+D+o+n+g+002</t>
  </si>
  <si>
    <t>Chekkys+Dorf</t>
  </si>
  <si>
    <t>004+World+Club+Dome</t>
  </si>
  <si>
    <t>Nike+Store</t>
  </si>
  <si>
    <t>Jannooos+Dorf</t>
  </si>
  <si>
    <t>D+i+n+g+D+o+n+g+005</t>
  </si>
  <si>
    <t>Luftbahns+Dorf</t>
  </si>
  <si>
    <t>Fischei15s+Dorf</t>
  </si>
  <si>
    <t>Elaison+I</t>
  </si>
  <si>
    <t>P+007-1</t>
  </si>
  <si>
    <t>001+Totalversagen</t>
  </si>
  <si>
    <t>003+%7C+Nur+die+SGE</t>
  </si>
  <si>
    <t>%5B001%5D+Lemon+Haze</t>
  </si>
  <si>
    <t>002+ALLESHABENSIE</t>
  </si>
  <si>
    <t>Hokage+001</t>
  </si>
  <si>
    <t>Rauch+ma+einen...</t>
  </si>
  <si>
    <t>%23001+PT</t>
  </si>
  <si>
    <t>%7E005%7E+What+is+Love%3F</t>
  </si>
  <si>
    <t>%28K54%29+%5B001%5D+Colonia</t>
  </si>
  <si>
    <t>008+awesome+mix</t>
  </si>
  <si>
    <t>Finn+in+the+House</t>
  </si>
  <si>
    <t>1.+Innere+Stadt</t>
  </si>
  <si>
    <t>%7B003%7D+Caryophyllales</t>
  </si>
  <si>
    <t>54%3A43%3A35+%2F%2F+lepra</t>
  </si>
  <si>
    <t>hokahes+Dorf</t>
  </si>
  <si>
    <t>barbiegirls+Dorf</t>
  </si>
  <si>
    <t>Mot1s+Dorf</t>
  </si>
  <si>
    <t>%5B001%5DYellow</t>
  </si>
  <si>
    <t>01%7C+Simmering</t>
  </si>
  <si>
    <t>%7B002%7D+zackgezicht</t>
  </si>
  <si>
    <t>%7E004%7E+Kirchwerder</t>
  </si>
  <si>
    <t>Spinatkn%C3%B6del</t>
  </si>
  <si>
    <t>End+of+an+Era</t>
  </si>
  <si>
    <t>04%7C+Bacardi%2Aaka+Housekrawall</t>
  </si>
  <si>
    <t>Mondguggerins+Dorf</t>
  </si>
  <si>
    <t>Elaison+III</t>
  </si>
  <si>
    <t>Burg+Eringerfeld+3</t>
  </si>
  <si>
    <t>Pedro1s+Dorf</t>
  </si>
  <si>
    <t>Walhalla+02</t>
  </si>
  <si>
    <t>Hundeh%C3%BCtte</t>
  </si>
  <si>
    <t>-+001+-</t>
  </si>
  <si>
    <t>H%C3%B6hle+des+B%C3%A4ren%21</t>
  </si>
  <si>
    <t>Deins+wird+meins</t>
  </si>
  <si>
    <t>Work+2</t>
  </si>
  <si>
    <t>002+%7C+M%C3%BCnchen</t>
  </si>
  <si>
    <t>Gold+Ochsa+Brauerei</t>
  </si>
  <si>
    <t>mambusos+Dorf</t>
  </si>
  <si>
    <t>M%C3%BCslimonster</t>
  </si>
  <si>
    <t>What+Ive+Done</t>
  </si>
  <si>
    <t>Lucky+%2A1%2A</t>
  </si>
  <si>
    <t>%5BAG%5DWinterfell</t>
  </si>
  <si>
    <t>ufoman444s+Dorf+%7C+002</t>
  </si>
  <si>
    <t>007+Mykonos</t>
  </si>
  <si>
    <t>Clostridium+botulinum</t>
  </si>
  <si>
    <t>%7C55%3A92%3A25%7C+Rungholt</t>
  </si>
  <si>
    <t>001+Fr%40nky1</t>
  </si>
  <si>
    <t>002+K%C3%B6nigsgrab</t>
  </si>
  <si>
    <t>45%3A59%3A87+%7C+RXCK</t>
  </si>
  <si>
    <t>001+Freak</t>
  </si>
  <si>
    <t>Alone+006</t>
  </si>
  <si>
    <t>%5B002%5D+Steglitz</t>
  </si>
  <si>
    <t>005+Ciao+Kakao</t>
  </si>
  <si>
    <t>LuckyPunch11s+Dorf</t>
  </si>
  <si>
    <t>44%3A52%3A51+%2F%2F+Papperlapapp</t>
  </si>
  <si>
    <t>%5B005%5D+V-Town</t>
  </si>
  <si>
    <t>American+Cookies</t>
  </si>
  <si>
    <t>%5B003%5D+Salve+Jochen+der+Rochen</t>
  </si>
  <si>
    <t>Gargoyle123s+Dorf</t>
  </si>
  <si>
    <t>Vee+001</t>
  </si>
  <si>
    <t>004+BAG</t>
  </si>
  <si>
    <t>Lord+Dr.Jokers+Dorf+%231</t>
  </si>
  <si>
    <t>%7C003%7C+Arsur</t>
  </si>
  <si>
    <t>Sleepy+Joes+Dorf</t>
  </si>
  <si>
    <t>%7E01+Horizon</t>
  </si>
  <si>
    <t>%7C001%7C+freeSanchez</t>
  </si>
  <si>
    <t>Der+mit+dem+Wolf+tanzt</t>
  </si>
  <si>
    <t>I+K%C3%B6nigsmund</t>
  </si>
  <si>
    <t>Braunb%C3%A4r</t>
  </si>
  <si>
    <t>001+Backstube</t>
  </si>
  <si>
    <t>003+Hometown</t>
  </si>
  <si>
    <t>002+Horizon</t>
  </si>
  <si>
    <t>46+lebt</t>
  </si>
  <si>
    <t>%5B0005%5D+Mars+Angriffsbagsis</t>
  </si>
  <si>
    <t>Giagl99s+Dorf</t>
  </si>
  <si>
    <t>rei%C3%9FemeineSchmiede20nunabtrololo</t>
  </si>
  <si>
    <t>45%3A87%3A46+%2F%2F+-+Tokio</t>
  </si>
  <si>
    <t>K%C3%A4mpfer+Daranss+Dorf</t>
  </si>
  <si>
    <t>%21001%21+D+CANE</t>
  </si>
  <si>
    <t>Santa+Cruz</t>
  </si>
  <si>
    <t>Roma+II</t>
  </si>
  <si>
    <t>Hokage+003</t>
  </si>
  <si>
    <t>Hzombis+Dorf</t>
  </si>
  <si>
    <t>Ins+Klo+44%3A45%3A71</t>
  </si>
  <si>
    <t>A+Eitrige</t>
  </si>
  <si>
    <t>%7E006%7E+-xxx-</t>
  </si>
  <si>
    <t>Das+Stemmparadies</t>
  </si>
  <si>
    <t>BierBaron.s+Dorf</t>
  </si>
  <si>
    <t>45%3A16%3A64+Wolfsschanze</t>
  </si>
  <si>
    <t>McSpargels+Dorf</t>
  </si>
  <si>
    <t>%5B006%5D</t>
  </si>
  <si>
    <t>45%3A88%3A52+%2F%2F+-+Yokohama</t>
  </si>
  <si>
    <t>AG+xihus+Dorf</t>
  </si>
  <si>
    <t>55%3A16%3A75+2</t>
  </si>
  <si>
    <t>Yuled54s+Dorf</t>
  </si>
  <si>
    <t>004+%2F%2F+ez+pz</t>
  </si>
  <si>
    <t>BBQ+3</t>
  </si>
  <si>
    <t>001+%7C+Schalker+Meile</t>
  </si>
  <si>
    <t>Blackstone-s+Dorf</t>
  </si>
  <si>
    <t>K54+481%7C559</t>
  </si>
  <si>
    <t>Arbeitstag+3</t>
  </si>
  <si>
    <t>004+Miraculix</t>
  </si>
  <si>
    <t>AG+Dorf</t>
  </si>
  <si>
    <t>Fl%C3%B6llyEhrenmann</t>
  </si>
  <si>
    <t>Dr.+No</t>
  </si>
  <si>
    <t>001+Jordan+Belfort</t>
  </si>
  <si>
    <t>004+pika+pika+pika+pika</t>
  </si>
  <si>
    <t>54%3A85%3A71+Nico%3F%21+WTF</t>
  </si>
  <si>
    <t>Xandna+%5B02%5D</t>
  </si>
  <si>
    <t>Ich+bin+2+Farbenblinder</t>
  </si>
  <si>
    <t>001+Nur+der+HSV%21</t>
  </si>
  <si>
    <t>007+Black</t>
  </si>
  <si>
    <t>Mighty+Mike</t>
  </si>
  <si>
    <t>002+%7C+Wei%C3%9Fburgunder</t>
  </si>
  <si>
    <t>003+%7ESPUTNiK+SPRiNGBREAK%7E</t>
  </si>
  <si>
    <t>Riotyouths+Dorf</t>
  </si>
  <si>
    <t>Hig+City</t>
  </si>
  <si>
    <t>Alles+f%C3%BCr+die+Katz</t>
  </si>
  <si>
    <t>Quak+Quak</t>
  </si>
  <si>
    <t>%5B002%5D+Student</t>
  </si>
  <si>
    <t>002+Helms+Klamm</t>
  </si>
  <si>
    <t>003+StartUp</t>
  </si>
  <si>
    <t>%2A%2A003%2A%2ANew+Town%2A%2A003%2A%2A</t>
  </si>
  <si>
    <t>003%7C%7C</t>
  </si>
  <si>
    <t>005+RIP+Eulinspiegel</t>
  </si>
  <si>
    <t>004+%7C+let+it+rock</t>
  </si>
  <si>
    <t>%5B0004%5D+Master+Magics+Dorf</t>
  </si>
  <si>
    <t>hb4473s+Dorf</t>
  </si>
  <si>
    <t>002+Tittycity</t>
  </si>
  <si>
    <t>004+free+%7E+550%7C426</t>
  </si>
  <si>
    <t>OnlyHDs+Dorf+1</t>
  </si>
  <si>
    <t>Vuudoo+3</t>
  </si>
  <si>
    <t>Aranyas+Dorf</t>
  </si>
  <si>
    <t>1.+Sabaody+Achipel</t>
  </si>
  <si>
    <t>001+Schlucht</t>
  </si>
  <si>
    <t>004+Ovilava</t>
  </si>
  <si>
    <t>02+N%C3%BCrnberg</t>
  </si>
  <si>
    <t>003+hi-tech</t>
  </si>
  <si>
    <t>-02-+44%3A99%3A36+Johnrambo</t>
  </si>
  <si>
    <t>54%3A83%3A76+EasySnackss+Dorf</t>
  </si>
  <si>
    <t>02%7C+..please+help+me%21</t>
  </si>
  <si>
    <t>03+Doodlesketch</t>
  </si>
  <si>
    <t>003+Ostring</t>
  </si>
  <si>
    <t>Danke+Alter</t>
  </si>
  <si>
    <t>as+i+said</t>
  </si>
  <si>
    <t>%7C+004+%7C+Wealth+of+the+Nations+AG</t>
  </si>
  <si>
    <t>003+%7C+Medellin</t>
  </si>
  <si>
    <t>Flying+Scotsman</t>
  </si>
  <si>
    <t>%5BAG%5DHeimat</t>
  </si>
  <si>
    <t>%2Ajacky+chan%2As+Dorf</t>
  </si>
  <si>
    <t>Ursls+Dorf</t>
  </si>
  <si>
    <t>001+%2F%2F+ez+pz</t>
  </si>
  <si>
    <t>%7C001%7C+horny</t>
  </si>
  <si>
    <t>Hansestadt+PommesBude</t>
  </si>
  <si>
    <t>001+Schnecken.Haus</t>
  </si>
  <si>
    <t>002+Atme+ein</t>
  </si>
  <si>
    <t>Lardshes+Dorfff</t>
  </si>
  <si>
    <t>%28A%29%28001%29</t>
  </si>
  <si>
    <t>001+Pvt.First</t>
  </si>
  <si>
    <t>01+Bobobobas+Dorf</t>
  </si>
  <si>
    <t>%7C+002+%7C+Wealth+of+the+Nations+AG</t>
  </si>
  <si>
    <t>%7E007%7E+DudaC</t>
  </si>
  <si>
    <t>%5B3%5D+Toshi</t>
  </si>
  <si>
    <t>War2014s+Dorf</t>
  </si>
  <si>
    <t>AG%2308+Dimas+kleines+baby</t>
  </si>
  <si>
    <t>Burn+it+down</t>
  </si>
  <si>
    <t>%5B001%5D+Pyke</t>
  </si>
  <si>
    <t>Schattensoul+004</t>
  </si>
  <si>
    <t>%5B001%5D+Born4Bran</t>
  </si>
  <si>
    <t>%5B01%5D+NoTry%3F</t>
  </si>
  <si>
    <t>004+M+oder+W%3F</t>
  </si>
  <si>
    <t>Blue+haze</t>
  </si>
  <si>
    <t>%5B003%5DLord+Talos</t>
  </si>
  <si>
    <t>02+dum</t>
  </si>
  <si>
    <t>RIP+Dose+%3A%28</t>
  </si>
  <si>
    <t>004%7C+teamwork</t>
  </si>
  <si>
    <t>%5B001%5D+Kreuzberg</t>
  </si>
  <si>
    <t>%7B006%7D+Jayjay</t>
  </si>
  <si>
    <t>jaffa+cake</t>
  </si>
  <si>
    <t>Fraentahs+Dorf</t>
  </si>
  <si>
    <t>udo0s+Dorf</t>
  </si>
  <si>
    <t>54%3A21%3A91+LA</t>
  </si>
  <si>
    <t>008+%2F+Bunker</t>
  </si>
  <si>
    <t>%7B008%7D+NoName</t>
  </si>
  <si>
    <t>P+004-1</t>
  </si>
  <si>
    <t>...Theatre+of+the+dead%21</t>
  </si>
  <si>
    <t>Creators+Dorf</t>
  </si>
  <si>
    <t>M%C3%B6nch+3</t>
  </si>
  <si>
    <t>NiggoHs+zweites+Dorf</t>
  </si>
  <si>
    <t>04+Das+1-8-7</t>
  </si>
  <si>
    <t>Waste+Love</t>
  </si>
  <si>
    <t>03+Ag</t>
  </si>
  <si>
    <t>deviLz+001</t>
  </si>
  <si>
    <t>%28001%29</t>
  </si>
  <si>
    <t>Jahman+Kingdom</t>
  </si>
  <si>
    <t>NIEmals+ohne+mein+Team</t>
  </si>
  <si>
    <t>Feneriums+Dorf</t>
  </si>
  <si>
    <t>Aura+002</t>
  </si>
  <si>
    <t>Agritechniker+001</t>
  </si>
  <si>
    <t>Celestic+Town</t>
  </si>
  <si>
    <t>003+Jiren</t>
  </si>
  <si>
    <t>6k+Dual</t>
  </si>
  <si>
    <t>Mags+Mustermann</t>
  </si>
  <si>
    <t>Lucky+%2A2%2A</t>
  </si>
  <si>
    <t>001+Ytsan</t>
  </si>
  <si>
    <t>004+RIP+Dave</t>
  </si>
  <si>
    <t>%7C005%7C</t>
  </si>
  <si>
    <t>004+Hupendorf</t>
  </si>
  <si>
    <t>%7C001%7C+Hydrogenchlorid</t>
  </si>
  <si>
    <t>aua+aua+a</t>
  </si>
  <si>
    <t>003%7C+relaxed</t>
  </si>
  <si>
    <t>001+Pinguin</t>
  </si>
  <si>
    <t>Alex31s+Dorf</t>
  </si>
  <si>
    <t>Doppel+Buch</t>
  </si>
  <si>
    <t>%5B002%5D+V-Town</t>
  </si>
  <si>
    <t>Aggregat%3A+Lithium</t>
  </si>
  <si>
    <t>Nur+f%C3%BCr+Geld</t>
  </si>
  <si>
    <t>003+%23%23%23</t>
  </si>
  <si>
    <t>Ich+seh+Dich%21</t>
  </si>
  <si>
    <t>005+Fightclub</t>
  </si>
  <si>
    <t>%5B004%5D+Waidmanns+Heil</t>
  </si>
  <si>
    <t>402+AG+Payment+Required</t>
  </si>
  <si>
    <t>%7C004%7C+D%C3%BCsseldorf</t>
  </si>
  <si>
    <t>Suff+Town</t>
  </si>
  <si>
    <t>%7C%7E002%7E%7C+Baba+aller+Babas</t>
  </si>
  <si>
    <t>l%C3%BCgnerisch</t>
  </si>
  <si>
    <t>OdinsWolfs+Dorf</t>
  </si>
  <si>
    <t>Katjas+Muckibude</t>
  </si>
  <si>
    <t>Dorf+5</t>
  </si>
  <si>
    <t>Engel+desTodess+Dorf</t>
  </si>
  <si>
    <t>003+%5B-NN-%5D+Deffnoob</t>
  </si>
  <si>
    <t>DW+Castle</t>
  </si>
  <si>
    <t>Bracos+Dorf</t>
  </si>
  <si>
    <t>002+Fightclub</t>
  </si>
  <si>
    <t>Vik+lo</t>
  </si>
  <si>
    <t>004+Thunder</t>
  </si>
  <si>
    <t>Silo+002</t>
  </si>
  <si>
    <t>04+Rip+Black+Willy</t>
  </si>
  <si>
    <t>Lovag+178-01</t>
  </si>
  <si>
    <t>04+Cool</t>
  </si>
  <si>
    <t>Technoschmiede%2F%2F002</t>
  </si>
  <si>
    <t>Flatussis+Dorf</t>
  </si>
  <si>
    <t>diphinilas+Dorf1</t>
  </si>
  <si>
    <t>55%3A64%3A77+-+B%C3%A4ng</t>
  </si>
  <si>
    <t>%23002+Radlose+Rammen</t>
  </si>
  <si>
    <t>ayran+001</t>
  </si>
  <si>
    <t>%5B001%5D+Mein+Dorf%21</t>
  </si>
  <si>
    <t>SOS+Affenalarm</t>
  </si>
  <si>
    <t>Die+rechte+Hand+des+Teufels</t>
  </si>
  <si>
    <t>wild+nobbys+Stadt</t>
  </si>
  <si>
    <t>SirLelalots+Dorf</t>
  </si>
  <si>
    <t>Fairy+Two</t>
  </si>
  <si>
    <t>ADA09s+Dorf</t>
  </si>
  <si>
    <t>Wo+ist+Zachillus</t>
  </si>
  <si>
    <t>Stahlprofi9+2te</t>
  </si>
  <si>
    <t>Candy+Crusher</t>
  </si>
  <si>
    <t>Danke+Merkel+002</t>
  </si>
  <si>
    <t>Spidersponges+Dorf</t>
  </si>
  <si>
    <t>%23010+Felstunnel</t>
  </si>
  <si>
    <t>sturkopfs+Dorf</t>
  </si>
  <si>
    <t>Zwins+2tes+Dorf</t>
  </si>
  <si>
    <t>%5B01%5D+AG-Inc+City</t>
  </si>
  <si>
    <t>04%7C+..missing+boggy+already.</t>
  </si>
  <si>
    <t>02+%7C+Simmering</t>
  </si>
  <si>
    <t>Dracay+003</t>
  </si>
  <si>
    <t>RobertMUC+Rullleezzz%21</t>
  </si>
  <si>
    <t>Tallanvors+Dorf</t>
  </si>
  <si>
    <t>yugioh13s+Dorf</t>
  </si>
  <si>
    <t>Bateman+4</t>
  </si>
  <si>
    <t>002+Lord+Eastwick</t>
  </si>
  <si>
    <t>004+Buckeliger+Pinguin</t>
  </si>
  <si>
    <t>Fresh+Dumbledores+Residence</t>
  </si>
  <si>
    <t>Mythos-GTIs+Dorf</t>
  </si>
  <si>
    <t>Sire93s+Dorf</t>
  </si>
  <si>
    <t>Die+Kasse+2</t>
  </si>
  <si>
    <t>Get+Down+0003</t>
  </si>
  <si>
    <t>%5B0006%5D+AG-ANGRIFF</t>
  </si>
  <si>
    <t>004+Grendizer</t>
  </si>
  <si>
    <t>Killer+.Monsters+Dorf</t>
  </si>
  <si>
    <t>Xuluis+Dorf</t>
  </si>
  <si>
    <t>Hokage+005</t>
  </si>
  <si>
    <t>%5B001%5D+jojo9898s+Dorf</t>
  </si>
  <si>
    <t>004%7C+Cirith+Ungol</t>
  </si>
  <si>
    <t>007+Fightclub</t>
  </si>
  <si>
    <t>001%7C+Hans-J%C3%B6rg+Butt</t>
  </si>
  <si>
    <t>Langweilt+mich...</t>
  </si>
  <si>
    <t>satanregos+Dorf</t>
  </si>
  <si>
    <t>005%7C+frustrated</t>
  </si>
  <si>
    <t>graf+pits+Dorf</t>
  </si>
  <si>
    <t>ZZachariass+Dorf</t>
  </si>
  <si>
    <t>shadowlichs+Dorf</t>
  </si>
  <si>
    <t>Pony+AG+inc</t>
  </si>
  <si>
    <t>%7C002%7C+Benzodiazepam</t>
  </si>
  <si>
    <t>%C3%9Cbungsplatz+F%C3%BCr+Dummies</t>
  </si>
  <si>
    <t>%7E014%7E</t>
  </si>
  <si>
    <t>Empty+Town</t>
  </si>
  <si>
    <t>franzjups+Dorf</t>
  </si>
  <si>
    <t>scirocco09s+Dorf</t>
  </si>
  <si>
    <t>Fairy+Tail</t>
  </si>
  <si>
    <t>Dragon+Bridge</t>
  </si>
  <si>
    <t>Lisna+Bore</t>
  </si>
  <si>
    <t>002+Escanor</t>
  </si>
  <si>
    <t>005+Buckeliger+Pinguin</t>
  </si>
  <si>
    <t>%5BAg%5Dain+Ostwacht</t>
  </si>
  <si>
    <t>003+Biskotte</t>
  </si>
  <si>
    <t>%7E004%7E+Dark+Pitbull</t>
  </si>
  <si>
    <t>%7C+Only+Deff</t>
  </si>
  <si>
    <t>Purete+2</t>
  </si>
  <si>
    <t>002+Thunder</t>
  </si>
  <si>
    <t>Aggregat%3A+Wasserstoff</t>
  </si>
  <si>
    <t>%5B004%5D+Bronass+Dorf</t>
  </si>
  <si>
    <t>%23FrOzEn+001%23</t>
  </si>
  <si>
    <t>Achtung%21%21%21%21</t>
  </si>
  <si>
    <t>Der+Kapit%C3%A4n+zur+See</t>
  </si>
  <si>
    <t>Wander16s+Dorf</t>
  </si>
  <si>
    <t>%5B002%5D+Rheine</t>
  </si>
  <si>
    <t>zimmerer20s+Dorf</t>
  </si>
  <si>
    <t>004+Rengar</t>
  </si>
  <si>
    <t>Alone+005</t>
  </si>
  <si>
    <t>%5B005%5D+Silent+Hill</t>
  </si>
  <si>
    <t>Water+Seven</t>
  </si>
  <si>
    <t>01+ba</t>
  </si>
  <si>
    <t>OnlyHDs+Dorf+4</t>
  </si>
  <si>
    <t>44%3A51%3A86+%2F%2F+C+regelt+immer</t>
  </si>
  <si>
    <t>Such+dir+nen+Job+%3AD</t>
  </si>
  <si>
    <t>DarkWoman15s+Dorf</t>
  </si>
  <si>
    <t>AWolf33s+Dorf</t>
  </si>
  <si>
    <t>jolennyjo123s+Dorf</t>
  </si>
  <si>
    <t>%7E003%7E+Cochem</t>
  </si>
  <si>
    <t>King+charly88s+Dorf</t>
  </si>
  <si>
    <t>006+SandalettenSalsa</t>
  </si>
  <si>
    <t>%5B002%5D+RN+2%2F85-1</t>
  </si>
  <si>
    <t>%23AG%2FFake+3</t>
  </si>
  <si>
    <t>0000+FC+Bayern</t>
  </si>
  <si>
    <t>%7C55%3A82%3A75%7C_ZeRoPAGIn</t>
  </si>
  <si>
    <t>AG+Inc-+Munster</t>
  </si>
  <si>
    <t>%7C002%7C+Camp+Maxi</t>
  </si>
  <si>
    <t>45%3A47%3A83+%2F%2F+Bash</t>
  </si>
  <si>
    <t>Gringonymouss+Dorf</t>
  </si>
  <si>
    <t>rockstarXDs+Dorf</t>
  </si>
  <si>
    <t>Beklopptes+Dorf+003</t>
  </si>
  <si>
    <t>-%5B006%5D-Im+Profil+stehen+die+AGBs</t>
  </si>
  <si>
    <t>MoskitoVier80s+Dorf</t>
  </si>
  <si>
    <t>King+Walzs+Dorf</t>
  </si>
  <si>
    <t>Anorien</t>
  </si>
  <si>
    <t>Get+Down+0002</t>
  </si>
  <si>
    <t>Versteck+10+Boyzzzz</t>
  </si>
  <si>
    <t>Wonder+Broz</t>
  </si>
  <si>
    <t>003+Ramrod</t>
  </si>
  <si>
    <t>King+Farmer</t>
  </si>
  <si>
    <t>St+Michael</t>
  </si>
  <si>
    <t>05+Alles+klar</t>
  </si>
  <si>
    <t>006+Thunder</t>
  </si>
  <si>
    <t>Choronia+3</t>
  </si>
  <si>
    <t>Alone+008</t>
  </si>
  <si>
    <t>004+snOw_BoMb_Code_ErrOr</t>
  </si>
  <si>
    <t>WindClan+Lager</t>
  </si>
  <si>
    <t>Bateman+3</t>
  </si>
  <si>
    <t>LIKE+A+VIRGIN</t>
  </si>
  <si>
    <t>Speicher1+Versteck10+%3B%29</t>
  </si>
  <si>
    <t>43%3A79%3A67+%2F%2F+bot.php</t>
  </si>
  <si>
    <t>Jaaaaa+Moiin</t>
  </si>
  <si>
    <t>Gerhard1950s+Dorf</t>
  </si>
  <si>
    <t>DanjePetzolds+Dorf</t>
  </si>
  <si>
    <t>leng10s+Dorf</t>
  </si>
  <si>
    <t>%5B003%5D+sVraCer</t>
  </si>
  <si>
    <t>002+marcus1976s+Dorf</t>
  </si>
  <si>
    <t>45%3A46%3A67+%2F%2F+Bash</t>
  </si>
  <si>
    <t>Kerch+%7E003%7E</t>
  </si>
  <si>
    <t>Suche+Dorf</t>
  </si>
  <si>
    <t>K%C3%B6nig+Raas+Dorf</t>
  </si>
  <si>
    <t>005+Athen</t>
  </si>
  <si>
    <t>K%C3%B6nig+Eisenherzs+Dorf</t>
  </si>
  <si>
    <t>%2801%29+Sarching</t>
  </si>
  <si>
    <t>002%7C+unlucky</t>
  </si>
  <si>
    <t>54%3A97%3A47+-+Eddy</t>
  </si>
  <si>
    <t>Scubo123s+Dorf</t>
  </si>
  <si>
    <t>03+Schakanaki</t>
  </si>
  <si>
    <t>Munchels-Ex+Dorf</t>
  </si>
  <si>
    <t>Darko67s+Dorf</t>
  </si>
  <si>
    <t>Skill+sind+Spackos</t>
  </si>
  <si>
    <t>gruborgs+Dorf</t>
  </si>
  <si>
    <t>Kerch+%7E002%7E</t>
  </si>
  <si>
    <t>Valhalla+-III-</t>
  </si>
  <si>
    <t>%7E01%7EEve%7E</t>
  </si>
  <si>
    <t>006+Rhodos</t>
  </si>
  <si>
    <t>AG%2C+Eichenbaum</t>
  </si>
  <si>
    <t>%7C65%3A03%3A21%7C+Rungholt</t>
  </si>
  <si>
    <t>Steinadler16s+Dorf</t>
  </si>
  <si>
    <t>Asswin+the+god+II</t>
  </si>
  <si>
    <t>Heftiges+Dorf</t>
  </si>
  <si>
    <t>01+Midgar</t>
  </si>
  <si>
    <t>002+Claire+Grube</t>
  </si>
  <si>
    <t>K+I+N+Gs+Dorf</t>
  </si>
  <si>
    <t>stefan1809s+Dorf</t>
  </si>
  <si>
    <t>Mike+Rosofft+III</t>
  </si>
  <si>
    <t>F%C3%BCr+Pvt.First</t>
  </si>
  <si>
    <t>Puerto+de+Santa+Maria</t>
  </si>
  <si>
    <t>Aggro+I</t>
  </si>
  <si>
    <t>Danny+Crane</t>
  </si>
  <si>
    <t>vorletzters+Dorf</t>
  </si>
  <si>
    <t>thimmexs+Dorf</t>
  </si>
  <si>
    <t>9Csaba9s+Dorf</t>
  </si>
  <si>
    <t>001+renetshom</t>
  </si>
  <si>
    <t>002+hi-tech</t>
  </si>
  <si>
    <t>%23LOST%21-Q5</t>
  </si>
  <si>
    <t>003+Fightclub</t>
  </si>
  <si>
    <t>Choronia+4</t>
  </si>
  <si>
    <t>Lord+Schnee002</t>
  </si>
  <si>
    <t>005+B</t>
  </si>
  <si>
    <t>%23Mauser+SR+94</t>
  </si>
  <si>
    <t>Lord+Schnee001</t>
  </si>
  <si>
    <t>DeepSilvers+Dorf</t>
  </si>
  <si>
    <t>007+Hase</t>
  </si>
  <si>
    <t>010+Black</t>
  </si>
  <si>
    <t>%5B006%5D+Marihuana+Plantage</t>
  </si>
  <si>
    <t>Heftiges+Dorf+2</t>
  </si>
  <si>
    <t>%5B001%5D+Rheine</t>
  </si>
  <si>
    <t>Peter+02</t>
  </si>
  <si>
    <t>Florxys+Dorf</t>
  </si>
  <si>
    <t>Danger%21</t>
  </si>
  <si>
    <t>0o2+-+BuleAG</t>
  </si>
  <si>
    <t>Dorf+3</t>
  </si>
  <si>
    <t>178+-+1</t>
  </si>
  <si>
    <t>178+-+2</t>
  </si>
  <si>
    <t>Tiger+1</t>
  </si>
  <si>
    <t>Get+Down+0001</t>
  </si>
  <si>
    <t>Dorf+4</t>
  </si>
  <si>
    <t>Peter+03</t>
  </si>
  <si>
    <t>Toter+Thors+Dorf</t>
  </si>
  <si>
    <t>02+M4usitown</t>
  </si>
  <si>
    <t>KobeerBryants+Dorf</t>
  </si>
  <si>
    <t>Bauer19s+Dorf</t>
  </si>
  <si>
    <t>D+i+n+g+D+o+n+g+004</t>
  </si>
  <si>
    <t>brauners+Dorf</t>
  </si>
  <si>
    <t>jogy59s+Dorf</t>
  </si>
  <si>
    <t>K%C3%B6lner+Keller</t>
  </si>
  <si>
    <t>003+%7C+Forward</t>
  </si>
  <si>
    <t>%5B002%5D+BuHees+Dorf</t>
  </si>
  <si>
    <t>%7E01+Cypress+Hill%7E</t>
  </si>
  <si>
    <t>-+004+-+V%C3%B6lkerbund</t>
  </si>
  <si>
    <t>Ritter+von+Rosts+Dorf</t>
  </si>
  <si>
    <t>Haima07s+Dorf</t>
  </si>
  <si>
    <t>Lagger04s+Dorf</t>
  </si>
  <si>
    <t>saltypalmss+Dorf</t>
  </si>
  <si>
    <t>Agritechniker+004</t>
  </si>
  <si>
    <t>005+Nasty+Girl</t>
  </si>
  <si>
    <t>002+Moskau</t>
  </si>
  <si>
    <t>grubersg+Dorf</t>
  </si>
  <si>
    <t>Lager+002</t>
  </si>
  <si>
    <t>STINKEFINGER+F%C3%9CR+2000er+und+3000</t>
  </si>
  <si>
    <t>KLEINBONUM+%3A-%29</t>
  </si>
  <si>
    <t>Wo+ist+MickyMaus</t>
  </si>
  <si>
    <t>006%7C+Rand%2A</t>
  </si>
  <si>
    <t>Computer+fragt+wann%3F</t>
  </si>
  <si>
    <t>AG+005</t>
  </si>
  <si>
    <t>cyber100s+Dorf</t>
  </si>
  <si>
    <t>Domi-ubbs+Dorf</t>
  </si>
  <si>
    <t>003+Lurchiger+Aalkot</t>
  </si>
  <si>
    <t>Aworks+Dorf</t>
  </si>
  <si>
    <t>Dracay+002</t>
  </si>
  <si>
    <t>Seffle+2</t>
  </si>
  <si>
    <t>45%3A28%3A84+AG%3F%21+Kostet+ja+nix</t>
  </si>
  <si>
    <t>toms+bau</t>
  </si>
  <si>
    <t>002+Easy</t>
  </si>
  <si>
    <t>3.+wizzard</t>
  </si>
  <si>
    <t>003+Andi+Mauer</t>
  </si>
  <si>
    <t>004+Be</t>
  </si>
  <si>
    <t>04+Mystic+Dew</t>
  </si>
  <si>
    <t>Jackys+dorf+2</t>
  </si>
  <si>
    <t>003+philipp206s+Dorf</t>
  </si>
  <si>
    <t>Christians4s+Dorf</t>
  </si>
  <si>
    <t>Trapadomis+Dorf</t>
  </si>
  <si>
    <t>WasabiLimiteds+Dorf</t>
  </si>
  <si>
    <t>Aufguss582s+Dorf</t>
  </si>
  <si>
    <t>Raifges+Dorf</t>
  </si>
  <si>
    <t>005.+Neusiedl</t>
  </si>
  <si>
    <t>Arkham+City</t>
  </si>
  <si>
    <t>44%3A71%3A07+%2F%2F+el+sur</t>
  </si>
  <si>
    <t>Dingenskirchen+2.0</t>
  </si>
  <si>
    <t>dadaones+Dorf</t>
  </si>
  <si>
    <t>K%C3%B6ftespie%C3%9F+003</t>
  </si>
  <si>
    <t>Technoschmiede%2F%2F003</t>
  </si>
  <si>
    <t>Disemborg1s+Dorf</t>
  </si>
  <si>
    <t>Distrikt+1</t>
  </si>
  <si>
    <t>Backroom+CastingCouch</t>
  </si>
  <si>
    <t>X+AE+A-11</t>
  </si>
  <si>
    <t>Karl+Renner</t>
  </si>
  <si>
    <t>010+%2F%2F+ez+pz</t>
  </si>
  <si>
    <t>Ehre+und+St%C3%A4rke</t>
  </si>
  <si>
    <t>%5B002%5D%23HesMAD</t>
  </si>
  <si>
    <t>JustinKoenigs+Dorf</t>
  </si>
  <si>
    <t>178+-+3</t>
  </si>
  <si>
    <t>Leti+Capital</t>
  </si>
  <si>
    <t>Dorf+II</t>
  </si>
  <si>
    <t>Burg+Leoch</t>
  </si>
  <si>
    <t>Cell18s+Dorf</t>
  </si>
  <si>
    <t>003+Thunder</t>
  </si>
  <si>
    <t>Saarbr%C3%BCcken</t>
  </si>
  <si>
    <t>Max0981s+Dorf</t>
  </si>
  <si>
    <t>RaxonSpoors+Dorf</t>
  </si>
  <si>
    <t>Farmt+mich+ab.</t>
  </si>
  <si>
    <t>Gsemmer+denn</t>
  </si>
  <si>
    <t>Bratw%C3%BCrstl</t>
  </si>
  <si>
    <t>004+Ich+bin+ein+Rockstar</t>
  </si>
  <si>
    <t>Braggans+Bleibe</t>
  </si>
  <si>
    <t>178+001</t>
  </si>
  <si>
    <t>%7C005%7C+RED</t>
  </si>
  <si>
    <t>Hall+01+Dorf</t>
  </si>
  <si>
    <t>Hydro+%5B001%5D</t>
  </si>
  <si>
    <t>002+RIP+Robbenking</t>
  </si>
  <si>
    <t>gl+hf+1s+Dorf</t>
  </si>
  <si>
    <t>002+%7C%7C+Suna</t>
  </si>
  <si>
    <t>%5B004%5D+Salve+Renner93</t>
  </si>
  <si>
    <t>004+I+Deff-Dorf</t>
  </si>
  <si>
    <t>006+-+Mit+garkein+reden+so</t>
  </si>
  <si>
    <t>-Crazy+City-</t>
  </si>
  <si>
    <t>Hey+Martha+Focker+%3A%29</t>
  </si>
  <si>
    <t>004+Hase</t>
  </si>
  <si>
    <t>002+Simsalabim</t>
  </si>
  <si>
    <t>Sir+Vitamins+Dorf</t>
  </si>
  <si>
    <t>001+Fake</t>
  </si>
  <si>
    <t>003+kleinMittelGRO%C3%9Fst%C3%A4dt+III</t>
  </si>
  <si>
    <t>Eisb%C3%A4r</t>
  </si>
  <si>
    <t>chocolate+chip</t>
  </si>
  <si>
    <t>%7E02+Apache+-+Fame</t>
  </si>
  <si>
    <t>Brandi+Love</t>
  </si>
  <si>
    <t>Casiicss+Dorf</t>
  </si>
  <si>
    <t>%5B005%5D+Born4Bran</t>
  </si>
  <si>
    <t>Rising+SunCity</t>
  </si>
  <si>
    <t>Lordbballers+Dorf</t>
  </si>
  <si>
    <t>Noice+10</t>
  </si>
  <si>
    <t>Dojo-mojo%21</t>
  </si>
  <si>
    <t>001+%7C+F%C3%BCgen</t>
  </si>
  <si>
    <t>Blackdevil4991s+Dorf</t>
  </si>
  <si>
    <t>002+F%C3%A4cherstadt</t>
  </si>
  <si>
    <t>Garnichts+kriegst+Du</t>
  </si>
  <si>
    <t>%230000003+-+AG+Dorf</t>
  </si>
  <si>
    <t>003+Error</t>
  </si>
  <si>
    <t>001+%7C+In+the+end</t>
  </si>
  <si>
    <t>beck+600s+Dorf</t>
  </si>
  <si>
    <t>Atropos+Gasthaus</t>
  </si>
  <si>
    <t>Finchs+Dorf.</t>
  </si>
  <si>
    <t>004+-+MFG</t>
  </si>
  <si>
    <t>%5B005%5D+Lets+go%21+Play+minecraft</t>
  </si>
  <si>
    <t>Russ198801s+Dorf</t>
  </si>
  <si>
    <t>%5B004%5D%23B%21G%2F%24aD</t>
  </si>
  <si>
    <t>-008-+B%C3%B6rsenabteilung</t>
  </si>
  <si>
    <t>54%3A23%3A75+DeleteFromW168</t>
  </si>
  <si>
    <t>Kd+002</t>
  </si>
  <si>
    <t>Slippery+when+wet</t>
  </si>
  <si>
    <t>Stop+farm+for+more+Resis</t>
  </si>
  <si>
    <t>Provinz+Sleppo</t>
  </si>
  <si>
    <t>oo5+%7C%7C+Orschlochwattn</t>
  </si>
  <si>
    <t>%7C+007+%7C+Wealth+of+the+Nations+AG</t>
  </si>
  <si>
    <t>%28K54%29+%5B003%5D+Lutetia</t>
  </si>
  <si>
    <t>003+F%C3%A4cherstadt</t>
  </si>
  <si>
    <t>rechtes+Dorf</t>
  </si>
  <si>
    <t>002+%7C+Crawling</t>
  </si>
  <si>
    <t>OnlyHDs+Dorf+2</t>
  </si>
  <si>
    <t>%5BAG%5D%23005</t>
  </si>
  <si>
    <t>TheOwnageZeros+Dorf</t>
  </si>
  <si>
    <t>%7E0004%7E</t>
  </si>
  <si>
    <t>The+Cabin+in+the+Woods</t>
  </si>
  <si>
    <t>Paddy253s+Dorf</t>
  </si>
  <si>
    <t>Ligowski+Prospekt</t>
  </si>
  <si>
    <t>Basher+Ente</t>
  </si>
  <si>
    <t>Hansbergburg+I</t>
  </si>
  <si>
    <t>Waldk%C3%B6nigen</t>
  </si>
  <si>
    <t>Kenning+WEST+alder</t>
  </si>
  <si>
    <t>Wo+ist+Donald+Duck</t>
  </si>
  <si>
    <t>error+III</t>
  </si>
  <si>
    <t>TheMagicSnipers1+Dorf</t>
  </si>
  <si>
    <t>Boehmling1997s+Dorf</t>
  </si>
  <si>
    <t>003%7C+Monnem</t>
  </si>
  <si>
    <t>003+Dessau</t>
  </si>
  <si>
    <t>01+-+Spagetti+Carbonara</t>
  </si>
  <si>
    <t>K%C3%A4se+Town</t>
  </si>
  <si>
    <t>003%7CJonesnBourough</t>
  </si>
  <si>
    <t>hamster97+Dorf</t>
  </si>
  <si>
    <t>Teddy+Arroganz+002</t>
  </si>
  <si>
    <t>002+Black</t>
  </si>
  <si>
    <t>DONT+TRY+IT+005</t>
  </si>
  <si>
    <t>Bad+Gams</t>
  </si>
  <si>
    <t>%23003+Lustmolsch</t>
  </si>
  <si>
    <t>AG%2C+Ladazium</t>
  </si>
  <si>
    <t>006+Black</t>
  </si>
  <si>
    <t>003+%7C+Ouistreham</t>
  </si>
  <si>
    <t>001+hi-tech</t>
  </si>
  <si>
    <t>Fortuna88s+Dorf</t>
  </si>
  <si>
    <t>004+Sky+City+2</t>
  </si>
  <si>
    <t>002+Error</t>
  </si>
  <si>
    <t>Zimpis+Dorf</t>
  </si>
  <si>
    <t>45%7C38%7C53</t>
  </si>
  <si>
    <t>King+2</t>
  </si>
  <si>
    <t>%28573%7C426%29+K45</t>
  </si>
  <si>
    <t>003%7CEisbrecher</t>
  </si>
  <si>
    <t>Dingenskirchen+3.0</t>
  </si>
  <si>
    <t>Woods+Supa+Dupa+Shop</t>
  </si>
  <si>
    <t>Ein+Dorf</t>
  </si>
  <si>
    <t>%5B002%5D+-+Pogen</t>
  </si>
  <si>
    <t>Kr%C3%BCmelmonster</t>
  </si>
  <si>
    <t>002+B%C3%A4renbunker</t>
  </si>
  <si>
    <t>%7ETreyway%7E</t>
  </si>
  <si>
    <t>004+%7C+0.o</t>
  </si>
  <si>
    <t>Kenning+Muddii+alderr</t>
  </si>
  <si>
    <t>AG+004</t>
  </si>
  <si>
    <t>%5B001%5D+Dawn</t>
  </si>
  <si>
    <t>04+Dorf</t>
  </si>
  <si>
    <t>Inkassob%C3%BCro+05</t>
  </si>
  <si>
    <t>hijos+de+la+lunas+Dorf</t>
  </si>
  <si>
    <t>%5B002%5D+-+Srj</t>
  </si>
  <si>
    <t>03+Dorf</t>
  </si>
  <si>
    <t>Die+letzte+Festung</t>
  </si>
  <si>
    <t>1+178+Tiobraid+Arann</t>
  </si>
  <si>
    <t>%21002%21+Youngmo</t>
  </si>
  <si>
    <t>Computer+is+heut+lagsam</t>
  </si>
  <si>
    <t>003+%2F%2F+ez+pz</t>
  </si>
  <si>
    <t>Omicron+Persei+8</t>
  </si>
  <si>
    <t>004%7C-+Rocks+D.+Xebec</t>
  </si>
  <si>
    <t>003+Nightcity</t>
  </si>
  <si>
    <t>tackis+Dorf</t>
  </si>
  <si>
    <t>%5BAG%5D+004</t>
  </si>
  <si>
    <t>405+AG+Method+Not+Allowed</t>
  </si>
  <si>
    <t>Tropfsteinh%C3%B6hle</t>
  </si>
  <si>
    <t>005-Kampfgeist+4</t>
  </si>
  <si>
    <t>Bavaria+IV</t>
  </si>
  <si>
    <t>Aggro+IV</t>
  </si>
  <si>
    <t>%5B002%5D+Schwarze+Festung</t>
  </si>
  <si>
    <t>WALL%3F%21</t>
  </si>
  <si>
    <t>%5B003%5D+Todesstern</t>
  </si>
  <si>
    <t>Dingenskirchen+1.0</t>
  </si>
  <si>
    <t>003+NIE</t>
  </si>
  <si>
    <t>DoctorDark12s+Dorf</t>
  </si>
  <si>
    <t>Castle+001</t>
  </si>
  <si>
    <t>007%7C+Rand%2A</t>
  </si>
  <si>
    <t>Lager+003</t>
  </si>
  <si>
    <t>004%7CFeuerwehr</t>
  </si>
  <si>
    <t>F%C3%BCr+khal+drago</t>
  </si>
  <si>
    <t>003+Oans+Zwoa</t>
  </si>
  <si>
    <t>002+Marlboro</t>
  </si>
  <si>
    <t>Festung+der+Einsamkeit+2</t>
  </si>
  <si>
    <t>MusaBaba%7C1</t>
  </si>
  <si>
    <t>Choronia+5</t>
  </si>
  <si>
    <t>felu+2.0</t>
  </si>
  <si>
    <t>Roomaaans+Dorf</t>
  </si>
  <si>
    <t>Neu+Sheoth</t>
  </si>
  <si>
    <t>Toddy+wh-ph%23003</t>
  </si>
  <si>
    <t>Kempen+002</t>
  </si>
  <si>
    <t>001+Dson+Faimon</t>
  </si>
  <si>
    <t>Lord+Hahnschwegwes+Dorf</t>
  </si>
  <si>
    <t>001+Mainstaige</t>
  </si>
  <si>
    <t>002+whirlyy</t>
  </si>
  <si>
    <t>2.+Lincoln+Financial+Field</t>
  </si>
  <si>
    <t>54%3A97%3A54+-+Barcadi</t>
  </si>
  <si>
    <t>Staphylococcus+Aureus</t>
  </si>
  <si>
    <t>Burggeist123s+Dorf</t>
  </si>
  <si>
    <t>Lord+Stini</t>
  </si>
  <si>
    <t>Versucht+es+weiter+xDDD</t>
  </si>
  <si>
    <t>45%3A39%3A10+AG%3F%21+Kostet+ja+nix</t>
  </si>
  <si>
    <t>Computer+sagt+NEIN</t>
  </si>
  <si>
    <t>AG+Inc%21+004%2A</t>
  </si>
  <si>
    <t>Memento+moris</t>
  </si>
  <si>
    <t>004+Marrytown</t>
  </si>
  <si>
    <t>003+Buckeliger+Pinguin</t>
  </si>
  <si>
    <t>Huhu+004</t>
  </si>
  <si>
    <t>Langfl%C3%BCgelige+Schwertschrecke</t>
  </si>
  <si>
    <t>Isildur+K%C3%B6nig+von+Gondors+Dorf</t>
  </si>
  <si>
    <t>The+Drunken+Clam</t>
  </si>
  <si>
    <t>%7C001%7C+Akkon</t>
  </si>
  <si>
    <t>%5B002%5D+Salve+Barbarendorf</t>
  </si>
  <si>
    <t>Terra+Nova</t>
  </si>
  <si>
    <t>000%7C-+Rocks+D.+Zebec</t>
  </si>
  <si>
    <t>Lord+von+Namors+Dorf</t>
  </si>
  <si>
    <t>01+Zappeduster</t>
  </si>
  <si>
    <t>AlqaiD%C3%B6ners+Dorf</t>
  </si>
  <si>
    <t>54%3A93%3A07+Kr%C3%BCmel</t>
  </si>
  <si>
    <t>001+Halle</t>
  </si>
  <si>
    <t>K%C3%B6ftespie%C3%9F+002</t>
  </si>
  <si>
    <t>002+%23JustInTown</t>
  </si>
  <si>
    <t>%5B4%5D+RambaJoe</t>
  </si>
  <si>
    <t>%5B55%3A92%3A59%5D+%2ARAGE%2A</t>
  </si>
  <si>
    <t>Flodos+Dorf</t>
  </si>
  <si>
    <t>003+Copterhausen</t>
  </si>
  <si>
    <t>001+goosebumps</t>
  </si>
  <si>
    <t>%23LOST%21-Q1</t>
  </si>
  <si>
    <t>005+John+Player</t>
  </si>
  <si>
    <t>Dorf+6</t>
  </si>
  <si>
    <t>Kings+Cross</t>
  </si>
  <si>
    <t>AG%2C+Error418</t>
  </si>
  <si>
    <t>K54+483%7C564</t>
  </si>
  <si>
    <t>%5B003%5D+-+Srj</t>
  </si>
  <si>
    <t>%7C-002-%7C</t>
  </si>
  <si>
    <t>006+Buckeliger+Pinguin</t>
  </si>
  <si>
    <t>004+Neuenburg</t>
  </si>
  <si>
    <t>Knock+Knock</t>
  </si>
  <si>
    <t>AG%2C+doenges-teams+Dorf</t>
  </si>
  <si>
    <t>-Forza+KSG+01-</t>
  </si>
  <si>
    <t>002+Kuba+%7E+555%7C420</t>
  </si>
  <si>
    <t>EDY+001</t>
  </si>
  <si>
    <t>kanalt%C3%BCrpe</t>
  </si>
  <si>
    <t>Goldmember+%7C+001</t>
  </si>
  <si>
    <t>Wohnanh%C3%A4nger</t>
  </si>
  <si>
    <t>-deine+Cousine-</t>
  </si>
  <si>
    <t>Alexstraszas+Lair</t>
  </si>
  <si>
    <t>005+Black</t>
  </si>
  <si>
    <t>MC+PUG</t>
  </si>
  <si>
    <t>%7C55%3A92%3A41%7C+Rungholt</t>
  </si>
  <si>
    <t>54%7C82%7C15</t>
  </si>
  <si>
    <t>Lord+Klaus+Gr%C3%B6schls+Dorf</t>
  </si>
  <si>
    <t>Lord+LoeffelKuhs+Dorf</t>
  </si>
  <si>
    <t>o4+%7C+Parge+Lenis</t>
  </si>
  <si>
    <t>Vertraut+nicht+BANK</t>
  </si>
  <si>
    <t>Karlos3s+Dorf</t>
  </si>
  <si>
    <t>OO1+-+P%40ntholero</t>
  </si>
  <si>
    <t>002+kleinMittelGRO%C3%9Fst%C3%A4dt+II</t>
  </si>
  <si>
    <t>44%3A61%3A45+%2F%2F+Tea+time</t>
  </si>
  <si>
    <t>kurtohnegurts+Dorf</t>
  </si>
  <si>
    <t>%7B02%7D+kein+Name+eingefallen</t>
  </si>
  <si>
    <t>Rojas+Lager</t>
  </si>
  <si>
    <t>Fr34ks+%23002</t>
  </si>
  <si>
    <t>nudel-Boxxs+Dorf</t>
  </si>
  <si>
    <t>Puretes+Dorf</t>
  </si>
  <si>
    <t>Premium+Export</t>
  </si>
  <si>
    <t>%231+Forstbetrieb+meckez+GmbH</t>
  </si>
  <si>
    <t>003+Lagerfeuer</t>
  </si>
  <si>
    <t>agatokles+Dorf</t>
  </si>
  <si>
    <t>Conqueror42s+Dorf</t>
  </si>
  <si>
    <t>Hotspot+005</t>
  </si>
  <si>
    <t>2+Dorf</t>
  </si>
  <si>
    <t>Magic+City</t>
  </si>
  <si>
    <t>DD+01</t>
  </si>
  <si>
    <t>M%40giXxs+001</t>
  </si>
  <si>
    <t>Kenning+EAST+alder</t>
  </si>
  <si>
    <t>Sigmunds+Dorf</t>
  </si>
  <si>
    <t>Dorf+004</t>
  </si>
  <si>
    <t>Cleos+Dorf</t>
  </si>
  <si>
    <t>04+Kr%C3%BCmel+vom+Brot</t>
  </si>
  <si>
    <t>002+BAG</t>
  </si>
  <si>
    <t>Huhu+008</t>
  </si>
  <si>
    <t>Spider+Miles</t>
  </si>
  <si>
    <t>Champagne+Papi</t>
  </si>
  <si>
    <t>003+%7C+Chiemseer</t>
  </si>
  <si>
    <t>Lost+Village</t>
  </si>
  <si>
    <t>001+Skyfall</t>
  </si>
  <si>
    <t>o02%7C+Nasels+Dorf</t>
  </si>
  <si>
    <t>02+Dosen+Sprite</t>
  </si>
  <si>
    <t>Die+Lustgrotte</t>
  </si>
  <si>
    <t>Down+Town</t>
  </si>
  <si>
    <t>%5B006%5D+Born4Bran</t>
  </si>
  <si>
    <t>Detlef+dreht+sich4</t>
  </si>
  <si>
    <t>%7C004%7C+Chastel+Blanc</t>
  </si>
  <si>
    <t>Bavaria+I</t>
  </si>
  <si>
    <t>Sleepy+Joes+2.+Dorf</t>
  </si>
  <si>
    <t>gyoparlols+Dorf</t>
  </si>
  <si>
    <t>Projekt+I.</t>
  </si>
  <si>
    <t>0o7+-+LuckY</t>
  </si>
  <si>
    <t>servus123456s+Dorf</t>
  </si>
  <si>
    <t>3.+Touring</t>
  </si>
  <si>
    <t>002+-+MFG</t>
  </si>
  <si>
    <t>Schwarzb%C3%A4r</t>
  </si>
  <si>
    <t>M%C3%B6hrenstein</t>
  </si>
  <si>
    <t>000+DRUCK</t>
  </si>
  <si>
    <t>0003+Vokuhila</t>
  </si>
  <si>
    <t>S%C3%BCdliche+Eichenschrecke</t>
  </si>
  <si>
    <t>BBQ+1</t>
  </si>
  <si>
    <t>%5B003%5D+Schicke+Bude</t>
  </si>
  <si>
    <t>002+%7C+0.o</t>
  </si>
  <si>
    <t>Dr.Deffs+Dorf</t>
  </si>
  <si>
    <t>Rum+und+%C3%84hre+%7C%7C+001</t>
  </si>
  <si>
    <t>01+Stuttgart</t>
  </si>
  <si>
    <t>001+%7C+0.o</t>
  </si>
  <si>
    <t>005+Raven</t>
  </si>
  <si>
    <t>Rainer+Zufall</t>
  </si>
  <si>
    <t>Lord+tachauchs+Dorf</t>
  </si>
  <si>
    <t>%5B0008%5D+AG-ANGRIFF</t>
  </si>
  <si>
    <t>Schnubbos+Dorf</t>
  </si>
  <si>
    <t>003+-+Gardegsen</t>
  </si>
  <si>
    <t>%5B55%3A92%3A27%5D+%2ARAGE%2A</t>
  </si>
  <si>
    <t>D%C3%B6nerhausen</t>
  </si>
  <si>
    <t>Death+In+My+Pocket</t>
  </si>
  <si>
    <t>005+WinterfellAG</t>
  </si>
  <si>
    <t>004+Retime</t>
  </si>
  <si>
    <t>Momo+in+the+House</t>
  </si>
  <si>
    <t>Tara+0001</t>
  </si>
  <si>
    <t>Fidor23s+Dorf</t>
  </si>
  <si>
    <t>Alles+Gute+Kommt+Von+Oben</t>
  </si>
  <si>
    <t>Villa+Kunterbunt+001</t>
  </si>
  <si>
    <t>55%3A75%3A84+Third+Walk</t>
  </si>
  <si>
    <t>%5B0003%5D+AG-ANGRIFF</t>
  </si>
  <si>
    <t>WindLegioners+Dorf</t>
  </si>
  <si>
    <t>Prag+II</t>
  </si>
  <si>
    <t>%28572%7C427%29+K45</t>
  </si>
  <si>
    <t>005%7C+Rand%2A</t>
  </si>
  <si>
    <t>002+Marrytown</t>
  </si>
  <si>
    <t>%2F%2F55%3A73%3A80%2F%2F</t>
  </si>
  <si>
    <t>0001+Troll</t>
  </si>
  <si>
    <t>Stevie95s+Home</t>
  </si>
  <si>
    <t>o2+%7C+Was+machen+Sachen%3F%21</t>
  </si>
  <si>
    <t>Bethans+Dorf</t>
  </si>
  <si>
    <t>002+London</t>
  </si>
  <si>
    <t>VAR+is+time+for+QUADRO</t>
  </si>
  <si>
    <t>St%C3%A4abachtal</t>
  </si>
  <si>
    <t>Candis%2A+o.01</t>
  </si>
  <si>
    <t>Ein+Dorf+2</t>
  </si>
  <si>
    <t>%7E001%7E+Curslack</t>
  </si>
  <si>
    <t>005+Bootytown</t>
  </si>
  <si>
    <t>thomaner15s+Dorf</t>
  </si>
  <si>
    <t>002+Sky+City</t>
  </si>
  <si>
    <t>003%7C+Erebor</t>
  </si>
  <si>
    <t>Huhu+006</t>
  </si>
  <si>
    <t>Teddy+Arroganz+007</t>
  </si>
  <si>
    <t>No.3+%5B480%7C409%5D+AG</t>
  </si>
  <si>
    <t>keinDingf%C3%BCrdenKing%21</t>
  </si>
  <si>
    <t>002+-+Requiem+for+the+Phantom</t>
  </si>
  <si>
    <t>Bateman+2</t>
  </si>
  <si>
    <t>55%3A39%3A10+Home+Sweet+Home</t>
  </si>
  <si>
    <t>002+Lagerfeuer</t>
  </si>
  <si>
    <t>Dagoth+Ur</t>
  </si>
  <si>
    <t>%5B001%5D+El+D%C3%B6rago</t>
  </si>
  <si>
    <t>%5B002%5D+Silver+Haze</t>
  </si>
  <si>
    <t>Paladin-Dragans+Dorf</t>
  </si>
  <si>
    <t>002+-+Mit+garkein+reden+so</t>
  </si>
  <si>
    <t>The+Promised+Land</t>
  </si>
  <si>
    <t>Auch+ein+Dorf</t>
  </si>
  <si>
    <t>x001+%7C+Here+we+go+again</t>
  </si>
  <si>
    <t>Magens%C3%A4ure</t>
  </si>
  <si>
    <t>%5B001%5D+RN+5%2F83-1</t>
  </si>
  <si>
    <t>%5B005%5D+El+Desp%C3%A4herado</t>
  </si>
  <si>
    <t>%5B03%5D+Cartagena</t>
  </si>
  <si>
    <t>%5B04%5D+Ich+smoke+euch+CT+Jungs%21%21</t>
  </si>
  <si>
    <t>Puff+Daddy</t>
  </si>
  <si>
    <t>Quid+pro+quo</t>
  </si>
  <si>
    <t>h%C3%BCtte</t>
  </si>
  <si>
    <t>K%C3%B6nig+Hank662s+Stadt</t>
  </si>
  <si>
    <t>Flaschenhals+178</t>
  </si>
  <si>
    <t>02-Y%40r0ns+Dorf</t>
  </si>
  <si>
    <t>Flos+Domizil</t>
  </si>
  <si>
    <t>-001-+R%C3%B6nshausen</t>
  </si>
  <si>
    <t>%5B6%5D+Sykhness</t>
  </si>
  <si>
    <t>NIEmals+das+Wasser+reichen</t>
  </si>
  <si>
    <t>02+Spieler+XXXs+Dorf</t>
  </si>
  <si>
    <t>003+Verzockt</t>
  </si>
  <si>
    <t>Lhorkans+Herz</t>
  </si>
  <si>
    <t>%23000+Main</t>
  </si>
  <si>
    <t>002+Watenb%C3%BCttel</t>
  </si>
  <si>
    <t>001+%7C%7C+187+-+Rammelbude</t>
  </si>
  <si>
    <t>Zelli+II</t>
  </si>
  <si>
    <t>VOSSI+der+Gro%C3%9Fes+Dorf</t>
  </si>
  <si>
    <t>%23%23Dojo-mojo%21</t>
  </si>
  <si>
    <t>Mariechens+Schloss</t>
  </si>
  <si>
    <t>05+55%3A63%3A27+Hartheim</t>
  </si>
  <si>
    <t>002+I+Deff-Dorf</t>
  </si>
  <si>
    <t>001+Black+Trinitys+Dorf</t>
  </si>
  <si>
    <t>003+%7C%7C+Kumo</t>
  </si>
  <si>
    <t>002+wir+brauchen+mehr+sp%C3%A4her</t>
  </si>
  <si>
    <t>DONT+TRY+IT+004</t>
  </si>
  <si>
    <t>004+Rom</t>
  </si>
  <si>
    <t>%5B001%5D+sVraCer</t>
  </si>
  <si>
    <t>Eaglehood+-1-</t>
  </si>
  <si>
    <t>der+pans+Dorf</t>
  </si>
  <si>
    <t>AbsolutVorschriftsm%C3%A4%C3%9FigesDefDorf</t>
  </si>
  <si>
    <t>003+I+Deff-Dorf</t>
  </si>
  <si>
    <t>004.+Jois</t>
  </si>
  <si>
    <t>ocv1234s+Dorf</t>
  </si>
  <si>
    <t>001+Strassenbande</t>
  </si>
  <si>
    <t>004+%7C+AG+Fake</t>
  </si>
  <si>
    <t>Cranky23s+Dorf</t>
  </si>
  <si>
    <t>%2A002%2A_178</t>
  </si>
  <si>
    <t>Twix+3</t>
  </si>
  <si>
    <t>Sen+Jin</t>
  </si>
  <si>
    <t>%5B005%5D</t>
  </si>
  <si>
    <t>002+%7C+AG+Fake</t>
  </si>
  <si>
    <t>006+Skyline+%7E+554%7C417</t>
  </si>
  <si>
    <t>Hotspot+001</t>
  </si>
  <si>
    <t>EnjoY+iT</t>
  </si>
  <si>
    <t>01%7CBad+Aussee</t>
  </si>
  <si>
    <t>IsGeils+Dorf</t>
  </si>
  <si>
    <t>HeldxDs+Dorf</t>
  </si>
  <si>
    <t>Toddy+wh-ph%23002</t>
  </si>
  <si>
    <t>%5B0009%5D+Mars+Angriffsbagsis</t>
  </si>
  <si>
    <t>001.+Dorf</t>
  </si>
  <si>
    <t>jannik1234s+Dorf</t>
  </si>
  <si>
    <t>002+Nilfgaard</t>
  </si>
  <si>
    <t>-Forza+KSG+03-</t>
  </si>
  <si>
    <t>Dorf+101</t>
  </si>
  <si>
    <t>%5B001%5D+Zellkern</t>
  </si>
  <si>
    <t>Queen+2</t>
  </si>
  <si>
    <t>%230004%23+Bambus+Town</t>
  </si>
  <si>
    <t>%230003%23+Bambus+Town</t>
  </si>
  <si>
    <t>Correct+Horse+Battery+Staple</t>
  </si>
  <si>
    <t>Walhalla+06</t>
  </si>
  <si>
    <t>003+Verdichten</t>
  </si>
  <si>
    <t>%5B003%5D+Born4Bran</t>
  </si>
  <si>
    <t>004+Nilfgaard</t>
  </si>
  <si>
    <t>001+Shelbyville</t>
  </si>
  <si>
    <t>001+B%C3%A4renbau</t>
  </si>
  <si>
    <t>DieDrei%3F%3F%3F%28002%29</t>
  </si>
  <si>
    <t>001+L%C3%B6wenbrauerei+Wasseralfingen</t>
  </si>
  <si>
    <t>Sailormoons+Dorf</t>
  </si>
  <si>
    <t>007+adieu+rockstars</t>
  </si>
  <si>
    <t>001+Sirius</t>
  </si>
  <si>
    <t>%23002+Lappenoska</t>
  </si>
  <si>
    <t>Petertown+%232</t>
  </si>
  <si>
    <t>Risenpr%C3%BCgel</t>
  </si>
  <si>
    <t>002+-+TEST</t>
  </si>
  <si>
    <t>Kriegt+nix</t>
  </si>
  <si>
    <t>43%3A89%3A14+%2F%2F+-+AG</t>
  </si>
  <si>
    <t>Dead+Land+II</t>
  </si>
  <si>
    <t>und+es+hat+DOOM+gemacht</t>
  </si>
  <si>
    <t>harun219s+Dorf</t>
  </si>
  <si>
    <t>005+%23AFK%3F+next+pls</t>
  </si>
  <si>
    <t>%7E010%7E</t>
  </si>
  <si>
    <t>R%C3%B6nest+Nordwall</t>
  </si>
  <si>
    <t>Unumg%C3%A4nglicher+Situationsausgang</t>
  </si>
  <si>
    <t>001+Paris</t>
  </si>
  <si>
    <t>%5B55%3A92%3A55%5D+%2ARAGE%2A</t>
  </si>
  <si>
    <t>%7C55%3A92%3A44%7C+Rungholt</t>
  </si>
  <si>
    <t>003-Bad+Luck</t>
  </si>
  <si>
    <t>Cartman+02</t>
  </si>
  <si>
    <t>Detlef+dreht+sich2</t>
  </si>
  <si>
    <t>44%3A41%3A75+%2F%2F+-+chris</t>
  </si>
  <si>
    <t>003+Tully</t>
  </si>
  <si>
    <t>02+Dorf</t>
  </si>
  <si>
    <t>DD+02</t>
  </si>
  <si>
    <t>Bergedorf+003</t>
  </si>
  <si>
    <t>44%3A51%3A26+%2F%2F+-+chris</t>
  </si>
  <si>
    <t>%230000004+-+AG+Dorf</t>
  </si>
  <si>
    <t>Rainer+Timegott</t>
  </si>
  <si>
    <t>02+DeathVeNoMs+Dorf</t>
  </si>
  <si>
    <t>%5B004%5D+El+Bazille</t>
  </si>
  <si>
    <t>%7CWhy+so+SeRioUs%3F%21</t>
  </si>
  <si>
    <t>4.+Touring</t>
  </si>
  <si>
    <t>%5B2%5D+Tipsy+Turtles</t>
  </si>
  <si>
    <t>44%3A61%3A57+%2F%2F+Chaos</t>
  </si>
  <si>
    <t>Einfache+Mathematik</t>
  </si>
  <si>
    <t>Triple+2</t>
  </si>
  <si>
    <t>lordina+ihrs</t>
  </si>
  <si>
    <t>03-Y%40r0ns+Dorf</t>
  </si>
  <si>
    <t>%23002+%7C+There+You+Go</t>
  </si>
  <si>
    <t>03+Lucky+Pharaoh</t>
  </si>
  <si>
    <t>01+Allesspitze</t>
  </si>
  <si>
    <t>002+-+Down+Under</t>
  </si>
  <si>
    <t>Tangerine+Dream</t>
  </si>
  <si>
    <t>Herbsth%C3%A4user_Hefeweizen</t>
  </si>
  <si>
    <t>0001+%7C+Konfetti+im+Bier</t>
  </si>
  <si>
    <t>Windm%C3%BChlendorf</t>
  </si>
  <si>
    <t>%7E002%7E+Offs+Ohne+Rammen</t>
  </si>
  <si>
    <t>Gro%C3%9Fe+Schiefkopfschrecke</t>
  </si>
  <si>
    <t>Champagne+Haze</t>
  </si>
  <si>
    <t>02+Rammendorf</t>
  </si>
  <si>
    <t>003+Bruchbude</t>
  </si>
  <si>
    <t>02+Multiwild</t>
  </si>
  <si>
    <t>Merle+60s+Dorf</t>
  </si>
  <si>
    <t>%5B004%5D+OMG+SCHWERT+FAKE</t>
  </si>
  <si>
    <t>005%7C+Amumu</t>
  </si>
  <si>
    <t>I.+Rom</t>
  </si>
  <si>
    <t>%5B003%5D+Rio</t>
  </si>
  <si>
    <t>2.+Touring</t>
  </si>
  <si>
    <t>Ich+bin+8+Farbenblinder</t>
  </si>
  <si>
    <t>02+Airmax+wei%C3%9Fer+als+Eminem</t>
  </si>
  <si>
    <t>01+Zieh+2+mal+und+rap+souver%C3%A4n</t>
  </si>
  <si>
    <t>AG+Inc-+Osnabrooklyn</t>
  </si>
  <si>
    <t>45%3A04%3A86+Fear+The+Wolf</t>
  </si>
  <si>
    <t>003+Feiertag</t>
  </si>
  <si>
    <t>huhu+001</t>
  </si>
  <si>
    <t>Dr.Axel-Stolls+Dorf</t>
  </si>
  <si>
    <t>o3+%7C+Cig+Bock</t>
  </si>
  <si>
    <t>Gallisches+Dorf</t>
  </si>
  <si>
    <t>005%7C+Azeitona</t>
  </si>
  <si>
    <t>This+is+Sparta</t>
  </si>
  <si>
    <t>Ein+w%C3%BCrdiger+Name</t>
  </si>
  <si>
    <t>%5B05%5D+Cartagena</t>
  </si>
  <si>
    <t>%7C-001-%7C</t>
  </si>
  <si>
    <t>Dorf+003</t>
  </si>
  <si>
    <t>WhySoMadBro%3Fs+Dorf</t>
  </si>
  <si>
    <t>%5B001%5D+Aqua</t>
  </si>
  <si>
    <t>006%2A%7C+B%C3%BCrstenmann</t>
  </si>
  <si>
    <t>echt+super</t>
  </si>
  <si>
    <t>001%2A%7C+B%C3%BCrstenmann</t>
  </si>
  <si>
    <t>Adlerhorst+001</t>
  </si>
  <si>
    <t>Deffer+Ente</t>
  </si>
  <si>
    <t>Keine+Fussion+Herr+Support%21</t>
  </si>
  <si>
    <t>JVA+Stammheim</t>
  </si>
  <si>
    <t>002+Landbier</t>
  </si>
  <si>
    <t>003+Gemma+Bendl</t>
  </si>
  <si>
    <t>Rattenf%C3%A4nger.</t>
  </si>
  <si>
    <t>D-Town+04</t>
  </si>
  <si>
    <t>001+Paradise+Echterdingen</t>
  </si>
  <si>
    <t>Kommt+ruhig+ran%2C+Junge</t>
  </si>
  <si>
    <t>Kranf%C3%BChrer+Ronnys+Dorf</t>
  </si>
  <si>
    <t>Fiji+auf+die+Uhrs+Dorf</t>
  </si>
  <si>
    <t>002+Melbourne</t>
  </si>
  <si>
    <t>001+Holzhacker+Co.KG-Hacker</t>
  </si>
  <si>
    <t>Scheiterhaufen+2</t>
  </si>
  <si>
    <t>Sparsaus+Dorf</t>
  </si>
  <si>
    <t>02+Rip+boba</t>
  </si>
  <si>
    <t>%C2%BB+A%7C004+%C2%AB</t>
  </si>
  <si>
    <t>45%3A89%3A48+Gef%C3%A4hrliches+Laubtier</t>
  </si>
  <si>
    <t>KK+001</t>
  </si>
  <si>
    <t>%5B004%5D+Maschinenf%C3%BChrer</t>
  </si>
  <si>
    <t>001%7CKittle</t>
  </si>
  <si>
    <t>Usertown+01</t>
  </si>
  <si>
    <t>Hotspot+002</t>
  </si>
  <si>
    <t>%23005+Klatschkind</t>
  </si>
  <si>
    <t>Dont+be+hatin</t>
  </si>
  <si>
    <t>Marcels+Bad</t>
  </si>
  <si>
    <t>Kenning+Sterni+alder</t>
  </si>
  <si>
    <t>bei+mir+gibt+es+nichts</t>
  </si>
  <si>
    <t>ganz%2Fsnitch%2Fwamsa</t>
  </si>
  <si>
    <t>OnlyHDs+Dorf+5</t>
  </si>
  <si>
    <t>001+-+Lemlern</t>
  </si>
  <si>
    <t>007%7C+T%C3%BCrkiser+Chocobo</t>
  </si>
  <si>
    <t>IfkedOprahs+Dorf</t>
  </si>
  <si>
    <t>Pommes+001</t>
  </si>
  <si>
    <t>002+-+Dschibuti</t>
  </si>
  <si>
    <t>Easy+Town</t>
  </si>
  <si>
    <t>%5B007%5D</t>
  </si>
  <si>
    <t>%230006%23+Bambus+Town</t>
  </si>
  <si>
    <t>Le+G%C3%BCnnis+Agrarministerium</t>
  </si>
  <si>
    <t>%5B5%5D+SaD</t>
  </si>
  <si>
    <t>Lord+lasergurke1112s+Dorf</t>
  </si>
  <si>
    <t>Danke+Support%2C+HAMMER%21</t>
  </si>
  <si>
    <t>Deffenbach+am+Main</t>
  </si>
  <si>
    <t>Taps0815s+Dorf</t>
  </si>
  <si>
    <t>BANK+sind+feige+NAP-Brecher</t>
  </si>
  <si>
    <t>Lord+JackBauer88s+Dorf</t>
  </si>
  <si>
    <t>03+%7C+Simmering</t>
  </si>
  <si>
    <t>003+Sydney</t>
  </si>
  <si>
    <t>002%7C+%23keinermagpaddi</t>
  </si>
  <si>
    <t>High+End</t>
  </si>
  <si>
    <t>Meh+2</t>
  </si>
  <si>
    <t>Guido+Buchwald</t>
  </si>
  <si>
    <t>Vollstrecker+2010s+Dorf</t>
  </si>
  <si>
    <t>002+Freak</t>
  </si>
  <si>
    <t>Titty+Twister</t>
  </si>
  <si>
    <t>004%2A%7C+B%C3%BCrstenmann</t>
  </si>
  <si>
    <t>001%7C+%23keinermagpaddi</t>
  </si>
  <si>
    <t>002+-OuT-</t>
  </si>
  <si>
    <t>Dorf+des+Geldes+1</t>
  </si>
  <si>
    <t>Ralu+Platz+1+Hinterh%C3%A4ltig</t>
  </si>
  <si>
    <t>Dorf+000000000001</t>
  </si>
  <si>
    <t>volle+H%C3%BCtte</t>
  </si>
  <si>
    <t>%5BAG%5Davendicksaft</t>
  </si>
  <si>
    <t>Taurus+I</t>
  </si>
  <si>
    <t>Thousand+Sunny</t>
  </si>
  <si>
    <t>%28K54%29+%5B004%5D+Bon</t>
  </si>
  <si>
    <t>%2302+B-A-L-L-E-R-B-U-D-E</t>
  </si>
  <si>
    <t>cowboy08s+Dorf</t>
  </si>
  <si>
    <t>%231.3+Mahiljou</t>
  </si>
  <si>
    <t>001+%23LakicIsBack</t>
  </si>
  <si>
    <t>Enigmatics+Dorf</t>
  </si>
  <si>
    <t>%23001+Bebbanburg</t>
  </si>
  <si>
    <t>%5B002%5DSchweiz</t>
  </si>
  <si>
    <t>ChaosHD+Dorf</t>
  </si>
  <si>
    <t>Magic+B</t>
  </si>
  <si>
    <t>01+Sp%C3%A4herdorf</t>
  </si>
  <si>
    <t>002+Vindobona</t>
  </si>
  <si>
    <t>Big+Poppa</t>
  </si>
  <si>
    <t>K54+412%7C521</t>
  </si>
  <si>
    <t>in+memory+of+Moe</t>
  </si>
  <si>
    <t>0o4+-+DaleAG</t>
  </si>
  <si>
    <t>%23LOST%21-Q3</t>
  </si>
  <si>
    <t>Add-On-s+%7B%231%7D</t>
  </si>
  <si>
    <t>003+Mount+Everescht</t>
  </si>
  <si>
    <t>002%7C+Limited+Edition+Beta</t>
  </si>
  <si>
    <t>Ast.+I.</t>
  </si>
  <si>
    <t>Impel+Down+003</t>
  </si>
  <si>
    <t>002%7C+Roter+Chocobo</t>
  </si>
  <si>
    <t>00+und+im+wc+ist+alles+ok</t>
  </si>
  <si>
    <t>Casterly+Rock</t>
  </si>
  <si>
    <t>54%3A97%3A23+-+Bombay</t>
  </si>
  <si>
    <t>003+How+Much+Is+The+Fish</t>
  </si>
  <si>
    <t>000+0+Punkte</t>
  </si>
  <si>
    <t>Bing+Bang</t>
  </si>
  <si>
    <t>003+ESG</t>
  </si>
  <si>
    <t>%23LOST%21-Q2</t>
  </si>
  <si>
    <t>003%7C-+Rocks+D.+Xebec</t>
  </si>
  <si>
    <t>Nothing+else+matters</t>
  </si>
  <si>
    <t>Fields+of+Gold</t>
  </si>
  <si>
    <t>%2304+B-A-L-L-E-R-B-U-D-E</t>
  </si>
  <si>
    <t>005+-+Mit+garkein+reden+so</t>
  </si>
  <si>
    <t>002%7CBerlin</t>
  </si>
  <si>
    <t>Istanbul%5B002%5D</t>
  </si>
  <si>
    <t>Kingcrogs+Dorf</t>
  </si>
  <si>
    <t>%5B002%5D+Rohan</t>
  </si>
  <si>
    <t>Sheribaaams+Village</t>
  </si>
  <si>
    <t>%232+Forstbetrieb+meckez+GmbH</t>
  </si>
  <si>
    <t>%7C002%7C+M%C3%BCnchen</t>
  </si>
  <si>
    <t>einfach+der+aller+sch%C3%B6nste%21</t>
  </si>
  <si>
    <t>alexxDDDDs+Dorf</t>
  </si>
  <si>
    <t>006+Boobie+Town</t>
  </si>
  <si>
    <t>sheldorfs+Dorf</t>
  </si>
  <si>
    <t>Fr%C3%B6hliche+Ente</t>
  </si>
  <si>
    <t>Ludwigderverr%C3%A4ter</t>
  </si>
  <si>
    <t>001+Sisinga</t>
  </si>
  <si>
    <t>P+003-1</t>
  </si>
  <si>
    <t>54%3A23%3A78+DeleteFromW168</t>
  </si>
  <si>
    <t>Euer+Grab</t>
  </si>
  <si>
    <t>MAINs+Dorf</t>
  </si>
  <si>
    <t>Firelink+Shrine</t>
  </si>
  <si>
    <t>002%7C-+Rocks+D.+Zebec</t>
  </si>
  <si>
    <t>Pfeilers+Onkel</t>
  </si>
  <si>
    <t>W178+54%3A25%3A19</t>
  </si>
  <si>
    <t>%5B002%5D+Naboo</t>
  </si>
  <si>
    <t>Shells+Town</t>
  </si>
  <si>
    <t>005%7C%2A_%2A</t>
  </si>
  <si>
    <t>AG+Inc%21+001</t>
  </si>
  <si>
    <t>BigPis+Favela</t>
  </si>
  <si>
    <t>001+Mengez89s+Dorf</t>
  </si>
  <si>
    <t>003+-+Weihnachtsb%C3%A4ckerei</t>
  </si>
  <si>
    <t>003+Realschuleeeee</t>
  </si>
  <si>
    <t>ABC+-+Die+Ente+mag+Schnee</t>
  </si>
  <si>
    <t>Neue+Welten</t>
  </si>
  <si>
    <t>Leevi.s+Erstes</t>
  </si>
  <si>
    <t>Bash%7C03</t>
  </si>
  <si>
    <t>Local+Hero</t>
  </si>
  <si>
    <t>Malakaz+2</t>
  </si>
  <si>
    <t>005+HdH</t>
  </si>
  <si>
    <t>Bullays+Dorf</t>
  </si>
  <si>
    <t>003+HdH</t>
  </si>
  <si>
    <t>Harri+Gem%C3%B6se</t>
  </si>
  <si>
    <t>004+-+xtrz</t>
  </si>
  <si>
    <t>jokillers+Dorf</t>
  </si>
  <si>
    <t>0002+%7C+Kind+aus+Hinterwald</t>
  </si>
  <si>
    <t>error+II</t>
  </si>
  <si>
    <t>069+Slum</t>
  </si>
  <si>
    <t>000%7C</t>
  </si>
  <si>
    <t>007+Patrioten+sind+vereint%21</t>
  </si>
  <si>
    <t>003%7C+H%C3%A4ngematte</t>
  </si>
  <si>
    <t>A+Castle+Of+Dreams</t>
  </si>
  <si>
    <t>Sasna12s+Dorf</t>
  </si>
  <si>
    <t>002+Drei+Farben+Haus</t>
  </si>
  <si>
    <t>45%3A04%3A77+Fear+The+Wolf</t>
  </si>
  <si>
    <t>Dracay+004</t>
  </si>
  <si>
    <t>003%7Cdem</t>
  </si>
  <si>
    <t>Hotspot+003</t>
  </si>
  <si>
    <t>002+Sisinga</t>
  </si>
  <si>
    <t>Cordon+Bleu</t>
  </si>
  <si>
    <t>%2A003%2A+Pazzo</t>
  </si>
  <si>
    <t>%7C004+RiVa</t>
  </si>
  <si>
    <t>NoHands+III</t>
  </si>
  <si>
    <t>Alex2503s+Dorf</t>
  </si>
  <si>
    <t>%7E001%7E+Geldautomat</t>
  </si>
  <si>
    <t>004-J%C3%BCrgen+der+Rebell</t>
  </si>
  <si>
    <t>003+Ja+-+Mir+gehts+Gut%21</t>
  </si>
  <si>
    <t>Rolinck+lecker</t>
  </si>
  <si>
    <t>46%3A80%3A60+Braunbrustigel</t>
  </si>
  <si>
    <t>%5B002%5D+Marlboro</t>
  </si>
  <si>
    <t>003+FaTeDx</t>
  </si>
  <si>
    <t>004+Ja+-+Mir+gehts+Gut%21</t>
  </si>
  <si>
    <t>AG0003+Wunderland</t>
  </si>
  <si>
    <t>%7E03+nammus+Dorf</t>
  </si>
  <si>
    <t>004+%7C+L%C3%B6wenbr%C3%A4u</t>
  </si>
  <si>
    <t>%5B003%5D+Ich+Tu+Dir+Weh</t>
  </si>
  <si>
    <t>King+Ehrenlos+Luddiwig</t>
  </si>
  <si>
    <t>45-69-54+Tribute+to+kfc1991</t>
  </si>
  <si>
    <t>%5B005%5D+Hoth</t>
  </si>
  <si>
    <t>Dsterns+Dorf</t>
  </si>
  <si>
    <t>54%3A97%3A76+-+Hugo</t>
  </si>
  <si>
    <t>54%2F3991</t>
  </si>
  <si>
    <t>004+Torino+AG</t>
  </si>
  <si>
    <t>Mr.+Toms+Dorf</t>
  </si>
  <si>
    <t>%7C003%7C+Berlin</t>
  </si>
  <si>
    <t>178+Linz+AG</t>
  </si>
  <si>
    <t>Michl1990s+Dorf</t>
  </si>
  <si>
    <t>%7E006%7E+What+is+Love%3F</t>
  </si>
  <si>
    <t>The+D</t>
  </si>
  <si>
    <t>WALLUM%3F%21%3F</t>
  </si>
  <si>
    <t>%5B001%5D+Dorf%3F+Dorf%3F+Dorf%3F+Doof%3F</t>
  </si>
  <si>
    <t>DD+03</t>
  </si>
  <si>
    <t>Shedid21s+Dorf</t>
  </si>
  <si>
    <t>Riley+Reid</t>
  </si>
  <si>
    <t>Gestreifte+Zartschrecke</t>
  </si>
  <si>
    <t>Elena+Koshka</t>
  </si>
  <si>
    <t>Putins+Faust</t>
  </si>
  <si>
    <t>Little+Caprice</t>
  </si>
  <si>
    <t>Austrian+bravehearts+Dorf</t>
  </si>
  <si>
    <t>004+Pvt.First</t>
  </si>
  <si>
    <t>005+%7C+Maxlrainer</t>
  </si>
  <si>
    <t>Peterchen+Lustigs+Dorf</t>
  </si>
  <si>
    <t>31er+Luddiwig</t>
  </si>
  <si>
    <t>Liebesgr%C3%BC%C3%9Fe+aus+Moskau</t>
  </si>
  <si>
    <t>EDY+002</t>
  </si>
  <si>
    <t>-%23004-+here+comes+the+boom</t>
  </si>
  <si>
    <t>BIG+BESTs+Dorf</t>
  </si>
  <si>
    <t>002+Cindidar</t>
  </si>
  <si>
    <t>Mike+Rosofft+II</t>
  </si>
  <si>
    <t>005+Holzhacker+Co.KG</t>
  </si>
  <si>
    <t>001+-+Bl%C3%B6desheim</t>
  </si>
  <si>
    <t>Theodor+K%C3%B6rner</t>
  </si>
  <si>
    <t>Fort+I.</t>
  </si>
  <si>
    <t>Malakaz+1</t>
  </si>
  <si>
    <t>Psychiatrie+%7E004%7E</t>
  </si>
  <si>
    <t>00%2F2+Dampflok</t>
  </si>
  <si>
    <t>%7C%7C%7C%7C%7C%7C%7C%7C%7C%7C%7C</t>
  </si>
  <si>
    <t>%5B003%5D+Schweiz</t>
  </si>
  <si>
    <t>002+Fannalhs+D%C3%B6rfl</t>
  </si>
  <si>
    <t>003+-+Mit+garkein+reden+so</t>
  </si>
  <si>
    <t>AG+Kekw+001</t>
  </si>
  <si>
    <t>Ruxxaxs+Dorf</t>
  </si>
  <si>
    <t>Rainer+Unfug</t>
  </si>
  <si>
    <t>003+-+Death+Note</t>
  </si>
  <si>
    <t>004+Patrioten+sind+vereint%21</t>
  </si>
  <si>
    <t>003+Wok</t>
  </si>
  <si>
    <t>005%2A%7C+B%C3%BCrstenmann</t>
  </si>
  <si>
    <t>etzr%C3%84s+Dorf</t>
  </si>
  <si>
    <t>003+%7C+AG+Fake</t>
  </si>
  <si>
    <t>%5BAG%5D%23004</t>
  </si>
  <si>
    <t>Hansbergburg+II</t>
  </si>
  <si>
    <t>M%C3%BCnchen+002</t>
  </si>
  <si>
    <t>%7CDick%7C</t>
  </si>
  <si>
    <t>Inselverbot+%7C+006</t>
  </si>
  <si>
    <t>005+Ja+-+Mir+gehts+Gut%21</t>
  </si>
  <si>
    <t>%5B003%5D+RN+2%2F85-2</t>
  </si>
  <si>
    <t>Laubholz-S%C3%A4belschrecke</t>
  </si>
  <si>
    <t>phskills+Dorf</t>
  </si>
  <si>
    <t>YOUNGGODs+Dorf</t>
  </si>
  <si>
    <t>3%23binary+tree</t>
  </si>
  <si>
    <t>Valhalla+-II-</t>
  </si>
  <si>
    <t>und+alle+so+yeeows+Dorf</t>
  </si>
  <si>
    <t>Timbuktu+I</t>
  </si>
  <si>
    <t>004+bubiwa13</t>
  </si>
  <si>
    <t>Huhu+007</t>
  </si>
  <si>
    <t>0002+Ciao+Kakao</t>
  </si>
  <si>
    <t>Shkurt+Gurts+Dorf</t>
  </si>
  <si>
    <t>Grabr%C3%A4uber</t>
  </si>
  <si>
    <t>One+Man+Armys+Dorf</t>
  </si>
  <si>
    <t>St.+Rikes+Dorf</t>
  </si>
  <si>
    <t>002+%7C+Chinatown</t>
  </si>
  <si>
    <t>Agentur+f%C3%BCr+Arbeit%7C003</t>
  </si>
  <si>
    <t>Huhu+009</t>
  </si>
  <si>
    <t>002+%7C+Uderns</t>
  </si>
  <si>
    <t>T%C3%A4nkeplatsens+Dorf</t>
  </si>
  <si>
    <t>001+Ka7d3423lsch</t>
  </si>
  <si>
    <t>%5B002%5D+Hola+Hola%2C+bims+zusp%C3%A4ht</t>
  </si>
  <si>
    <t>003+Carnuntum</t>
  </si>
  <si>
    <t>Godemars+Dorf</t>
  </si>
  <si>
    <t>oo6+%7C%7C+Orschlochwattn</t>
  </si>
  <si>
    <t>D-Town+05</t>
  </si>
  <si>
    <t>FLEX%3F%21</t>
  </si>
  <si>
    <t>Clayms+Dorf</t>
  </si>
  <si>
    <t>Bielefeld+004</t>
  </si>
  <si>
    <t>Knallh%C3%A4rters+Dorf</t>
  </si>
  <si>
    <t>%7C420%7CSm0gH1t</t>
  </si>
  <si>
    <t>43%3A79%3A79+%2F%2F+script.sh</t>
  </si>
  <si>
    <t>Thrakien+04</t>
  </si>
  <si>
    <t>Katjas+Yogastudio</t>
  </si>
  <si>
    <t>Katze+1</t>
  </si>
  <si>
    <t>01+frechplayers+Dorf</t>
  </si>
  <si>
    <t>Bielefeld+001</t>
  </si>
  <si>
    <t>002+MyGabber</t>
  </si>
  <si>
    <t>Kinorushi+2</t>
  </si>
  <si>
    <t>Toast+Hawai</t>
  </si>
  <si>
    <t>ochsis+Dorf</t>
  </si>
  <si>
    <t>WALLA%3F%21</t>
  </si>
  <si>
    <t>Wallbrakers+Dorf</t>
  </si>
  <si>
    <t>001+Fleischfabrik</t>
  </si>
  <si>
    <t>zicke07s+Dorf</t>
  </si>
  <si>
    <t>Linessas+Dorf...</t>
  </si>
  <si>
    <t>DNWE+ist+wieder+da</t>
  </si>
  <si>
    <t>Finger+weg+Kollegen</t>
  </si>
  <si>
    <t>Ich+bin+5+Farbenblinder</t>
  </si>
  <si>
    <t>002+Send+Nudes+not+Hate</t>
  </si>
  <si>
    <t>Br0+ist+da+Beste</t>
  </si>
  <si>
    <t>005%7CSchiffsjunge</t>
  </si>
  <si>
    <t>006_Support+f%C3%BCr+meine+B%C3%A4rchen</t>
  </si>
  <si>
    <t>Sexy+T%40dys+Dorf</t>
  </si>
  <si>
    <t>001%2F%2FSkrupelloser+GrumpelOpa</t>
  </si>
  <si>
    <t>001+Bratpfanne</t>
  </si>
  <si>
    <t>Schwarze+Nacht</t>
  </si>
  <si>
    <t>438%7C420</t>
  </si>
  <si>
    <t>0002+Challas</t>
  </si>
  <si>
    <t>Aggressiv%3F%21</t>
  </si>
  <si>
    <t>K%C3%B6ftespie%C3%9F+001</t>
  </si>
  <si>
    <t>000+AG+Suite</t>
  </si>
  <si>
    <t>Rumpelh%C3%BCtte</t>
  </si>
  <si>
    <t>Spade+002</t>
  </si>
  <si>
    <t>002+Ja+-+Mir+gehts+Gut%21</t>
  </si>
  <si>
    <t>002+%2F%2F+ez+pz</t>
  </si>
  <si>
    <t>004%7C+Gr%C3%BCner+Chocobo</t>
  </si>
  <si>
    <t>x2+Aber+Er+StINCt</t>
  </si>
  <si>
    <t>K%C3%A4sebrot</t>
  </si>
  <si>
    <t>002+Kings+Landing</t>
  </si>
  <si>
    <t>002_Support+f%C3%BCr+meine+B%C3%A4rchen</t>
  </si>
  <si>
    <t>Balus+H%C3%BCtte</t>
  </si>
  <si>
    <t>Ciao+Jumbo+%3A%29</t>
  </si>
  <si>
    <t>Annika+Jamess+Dorf</t>
  </si>
  <si>
    <t>002+QUAK</t>
  </si>
  <si>
    <t>A-Blubb%3F</t>
  </si>
  <si>
    <t>002+Dampfkochtopf</t>
  </si>
  <si>
    <t>Bissle+deff+dr%C3%BCcken</t>
  </si>
  <si>
    <t>Fal+Dara</t>
  </si>
  <si>
    <t>Off+unerw%C3%BCnscht%21</t>
  </si>
  <si>
    <t>drsicks+Dorf</t>
  </si>
  <si>
    <t>Das+g+steht+f%C3%BCr+g%C3%B6nnen</t>
  </si>
  <si>
    <t>Veldaren+004</t>
  </si>
  <si>
    <t>003+Black</t>
  </si>
  <si>
    <t>Pascal+stinkt</t>
  </si>
  <si>
    <t>Spa%C3%9F+ohne+Flaggen</t>
  </si>
  <si>
    <t>Samtpf%C3%B6tchen</t>
  </si>
  <si>
    <t>Pai+Sho</t>
  </si>
  <si>
    <t>04+55%3A64%3A57+Hartheim</t>
  </si>
  <si>
    <t>%7E011%7E</t>
  </si>
  <si>
    <t>%7E001%7E+Alhambra</t>
  </si>
  <si>
    <t>Soooo+Auf+gehts+%3A%29</t>
  </si>
  <si>
    <t>Meruns+Dorf</t>
  </si>
  <si>
    <t>AG0002+Ich+komme+aus</t>
  </si>
  <si>
    <t>1000Volts+Bunker</t>
  </si>
  <si>
    <t>%230002%23+Bambus+Town</t>
  </si>
  <si>
    <t>dev.bakers+Dorf</t>
  </si>
  <si>
    <t>Killer.+Monsters+Dorf</t>
  </si>
  <si>
    <t>M%C3%BChlhausen002</t>
  </si>
  <si>
    <t>%5B001%5D+Midgard</t>
  </si>
  <si>
    <t>004+SchnelleMischung</t>
  </si>
  <si>
    <t>langer+Wunsch1</t>
  </si>
  <si>
    <t>Ich+und+mein+Team</t>
  </si>
  <si>
    <t>Spaghetti+Carbonara</t>
  </si>
  <si>
    <t>Seppl+ist+gar+kein+Bauer+%3A-O</t>
  </si>
  <si>
    <t>N+o+v+a+a+Rs+Dorf</t>
  </si>
  <si>
    <t>%23003+du+l%C3%A4ufst</t>
  </si>
  <si>
    <t>002+Trolling+Stone</t>
  </si>
  <si>
    <t>langer+Wunsch5</t>
  </si>
  <si>
    <t>Age+of+War</t>
  </si>
  <si>
    <t>Pilgerwood+2</t>
  </si>
  <si>
    <t>46%3A60%3A13+%7C+DEUTSCHER+MEI8TER</t>
  </si>
  <si>
    <t>001+-+Untertullnerbach</t>
  </si>
  <si>
    <t>45%7C38%7C12</t>
  </si>
  <si>
    <t>Nachts+ist+es+k%C3%A4lter+aus+drau%C3%9Fen</t>
  </si>
  <si>
    <t>Venuxians+Lair</t>
  </si>
  <si>
    <t>%5B001%5DAusenposten</t>
  </si>
  <si>
    <t>%23002+gegen+die</t>
  </si>
  <si>
    <t>002+%7C+Strohhut-Piraten</t>
  </si>
  <si>
    <t>10Speertr%C3%A4ger%2BAG</t>
  </si>
  <si>
    <t>Le+Havre</t>
  </si>
  <si>
    <t>AG+002</t>
  </si>
  <si>
    <t>54%2F3891</t>
  </si>
  <si>
    <t>Virus+01</t>
  </si>
  <si>
    <t>003+Odens</t>
  </si>
  <si>
    <t>Bash%7C02</t>
  </si>
  <si>
    <t>001+Zentrum</t>
  </si>
  <si>
    <t>Bielefeld+002</t>
  </si>
  <si>
    <t>%7C55%3A92%3A89%7C_ZeRoPAGIn</t>
  </si>
  <si>
    <t>Fr%C3%BChst%C3%BCckstrichter</t>
  </si>
  <si>
    <t>D-Town+01</t>
  </si>
  <si>
    <t>Resident+EVILL</t>
  </si>
  <si>
    <t>%5BAG%5D+005</t>
  </si>
  <si>
    <t>%2A003%2A_178</t>
  </si>
  <si>
    <t>45%7C38%7C54</t>
  </si>
  <si>
    <t>Danke+%C3%96rmi</t>
  </si>
  <si>
    <t>%5Bspoiler%5Doo1%5B%2Fspoiler%5D</t>
  </si>
  <si>
    <t>002+NIE</t>
  </si>
  <si>
    <t>Castle+Of+Love</t>
  </si>
  <si>
    <t>%5B005%5D+Kr%C3%A4uterbube</t>
  </si>
  <si>
    <t>Fetti+kann+was</t>
  </si>
  <si>
    <t>Sunt+dus+cu+pluta%21%21</t>
  </si>
  <si>
    <t>Twix+2</t>
  </si>
  <si>
    <t>%5BAG%5D+003</t>
  </si>
  <si>
    <t>001+HdH</t>
  </si>
  <si>
    <t>mamalulus+Dorf</t>
  </si>
  <si>
    <t>kappmasters+Dorf</t>
  </si>
  <si>
    <t>red+earths+Dorf</t>
  </si>
  <si>
    <t>Erste+Bastion+des+Mutterf.</t>
  </si>
  <si>
    <t>01+ROLEX+PATEK+DAYTONA</t>
  </si>
  <si>
    <t>Pippiars+Dorf</t>
  </si>
  <si>
    <t>Alllein+allein+wir+sind+allein</t>
  </si>
  <si>
    <t>I+nehm+die+3</t>
  </si>
  <si>
    <t>002+-+Hintertupfing</t>
  </si>
  <si>
    <t>K%C3%B6nig+BraverFans+Dorf</t>
  </si>
  <si>
    <t>Stirb+langsam</t>
  </si>
  <si>
    <t>Hausverbot+im+Pennymarkt</t>
  </si>
  <si>
    <t>Ganz+entspannt</t>
  </si>
  <si>
    <t>005+Nilfgaard</t>
  </si>
  <si>
    <t>0001+San+Frantsch%C3%BCssko</t>
  </si>
  <si>
    <t>Gummipuppes+Dorf</t>
  </si>
  <si>
    <t>%2303+B-A-L-L-E-R-B-U-D-E</t>
  </si>
  <si>
    <t>Alone+003</t>
  </si>
  <si>
    <t>0x02+%7C+Shtaim</t>
  </si>
  <si>
    <t>Monster+K+I</t>
  </si>
  <si>
    <t>G%C3%B6rlitzer+Park</t>
  </si>
  <si>
    <t>Ententeich+AG+lnc</t>
  </si>
  <si>
    <t>Angel+-+The+Nasty+Boys</t>
  </si>
  <si>
    <t>Monster+K+III</t>
  </si>
  <si>
    <t>Apfelbeere+AG</t>
  </si>
  <si>
    <t>Punktierte+Zartschrecke</t>
  </si>
  <si>
    <t>Whoopie+Pie</t>
  </si>
  <si>
    <t>Ruddiks+Dom</t>
  </si>
  <si>
    <t>RIP+-fcb-fan+%3A%28</t>
  </si>
  <si>
    <t>01%7C+xIncr3dible</t>
  </si>
  <si>
    <t>%28442%7C413%29+K44</t>
  </si>
  <si>
    <t>Kneipe+Down</t>
  </si>
  <si>
    <t>004+-+Mit+garkein+reden+so</t>
  </si>
  <si>
    <t>Black+Cobras+Dorf+01</t>
  </si>
  <si>
    <t>%5B003%5D-DRHDT-</t>
  </si>
  <si>
    <t>Deutsche+Bank+Park</t>
  </si>
  <si>
    <t>002.+31er+Luddiwig</t>
  </si>
  <si>
    <t>Paolopercussinis+Dorf</t>
  </si>
  <si>
    <t>Hayatis+Schlemmereck</t>
  </si>
  <si>
    <t>31+Luddiwig</t>
  </si>
  <si>
    <t>001.+31er+Luddiwig</t>
  </si>
  <si>
    <t>003+Goldfinger</t>
  </si>
  <si>
    <t>003+%7C+Strohhut-Piraten</t>
  </si>
  <si>
    <t>%7E%7E%7E%7E%7E</t>
  </si>
  <si>
    <t>%5B01%5D+M%C3%BCnchen</t>
  </si>
  <si>
    <t>64%3A09%3A44+-+NewFoundGlory</t>
  </si>
  <si>
    <t>%7E009%7E</t>
  </si>
  <si>
    <t>Orania+City</t>
  </si>
  <si>
    <t>%7C002%7C+Dorf</t>
  </si>
  <si>
    <t>005+Pvt.First</t>
  </si>
  <si>
    <t>Ifa+Junkys+Dorf</t>
  </si>
  <si>
    <t>Lutscher+City</t>
  </si>
  <si>
    <t>Optimal+S</t>
  </si>
  <si>
    <t>Mys-terions+Dorf</t>
  </si>
  <si>
    <t>004+Loco+Oida</t>
  </si>
  <si>
    <t>K54+412%7C515</t>
  </si>
  <si>
    <t>app3ls+Dorf</t>
  </si>
  <si>
    <t>45-59-44+Ocean+Drive</t>
  </si>
  <si>
    <t>001+%23ichmagpaddi</t>
  </si>
  <si>
    <t>%7C55%3A82%3A91%7C_ZeRoPAGIn</t>
  </si>
  <si>
    <t>Tief+im+Westen</t>
  </si>
  <si>
    <t>02+Mond</t>
  </si>
  <si>
    <t>Veldaren+003</t>
  </si>
  <si>
    <t>Erdinger+Wei%C3%9Fbier</t>
  </si>
  <si>
    <t>01+Sonne</t>
  </si>
  <si>
    <t>%7E%28%7C001%7C%29%7E+%7BTraitorCity%7D+%7E</t>
  </si>
  <si>
    <t>01+Schakawani</t>
  </si>
  <si>
    <t>Castle+on+the+hill</t>
  </si>
  <si>
    <t>44%3A40%3A76+%2F%2F+-+Blubb%3F</t>
  </si>
  <si>
    <t>du+Hirschs+Dorf</t>
  </si>
  <si>
    <t>001_fu%C3%9Fball7_RiP+%3A%2Cc</t>
  </si>
  <si>
    <t>64%3A09%3A55+-+Blink182</t>
  </si>
  <si>
    <t>Gonlboy+II</t>
  </si>
  <si>
    <t>Kek+City</t>
  </si>
  <si>
    <t>5.+Touring</t>
  </si>
  <si>
    <t>Nicht+Quarantinos+Dorf</t>
  </si>
  <si>
    <t>006+Wenden</t>
  </si>
  <si>
    <t>002+Biskotte</t>
  </si>
  <si>
    <t>Virus+02</t>
  </si>
  <si>
    <t>%2A%7EArcadia%7E%2A</t>
  </si>
  <si>
    <t>001+Mexico</t>
  </si>
  <si>
    <t>Hacked+Gack</t>
  </si>
  <si>
    <t>44%3A07%3A17+%2F%2F+-+Adelsagentur</t>
  </si>
  <si>
    <t>004+%7C%7C+Kiri</t>
  </si>
  <si>
    <t>Der+inaktive+Noobs+Dorf</t>
  </si>
  <si>
    <t>Darth+Yoshis+Dorf</t>
  </si>
  <si>
    <t>Ich+bin+4+Farbenblinder</t>
  </si>
  <si>
    <t>001+%7C+Heimat</t>
  </si>
  <si>
    <t>Raptor+Domination+3</t>
  </si>
  <si>
    <t>Skirr+Skirr</t>
  </si>
  <si>
    <t>Fritz+Walter</t>
  </si>
  <si>
    <t>002+ESG</t>
  </si>
  <si>
    <t>002+Kampf7s+Dorf</t>
  </si>
  <si>
    <t>01_master%40alls+Dorf</t>
  </si>
  <si>
    <t>004+-+31er</t>
  </si>
  <si>
    <t>SupremeMeanFightMachines+Dorf</t>
  </si>
  <si>
    <t>0001+Abbaty</t>
  </si>
  <si>
    <t>002+Canopus</t>
  </si>
  <si>
    <t>K.A.+Hornissennest</t>
  </si>
  <si>
    <t>001+Insanity</t>
  </si>
  <si>
    <t>HB%7C%7C002</t>
  </si>
  <si>
    <t>%5B001%5D+%21</t>
  </si>
  <si>
    <t>Midlines+Dorf</t>
  </si>
  <si>
    <t>Jirayia+Sensei</t>
  </si>
  <si>
    <t>55%3A64%3A21+-+B%C3%A4ng</t>
  </si>
  <si>
    <t>Bolzer01s+Dorf</t>
  </si>
  <si>
    <t>Haai+bierflex+%3A3</t>
  </si>
  <si>
    <t>Flamonets+Dorf+e</t>
  </si>
  <si>
    <t>GrimTheDevils+Dorf</t>
  </si>
  <si>
    <t>Ponys+Farmdorf</t>
  </si>
  <si>
    <t>Eugendas+Dorf</t>
  </si>
  <si>
    <t>VATAN06s+Dorf</t>
  </si>
  <si>
    <t>02+Monat+lang+gespart</t>
  </si>
  <si>
    <t>Wolle+1</t>
  </si>
  <si>
    <t>Asswins+The+God</t>
  </si>
  <si>
    <t>Robinsos+Dorf</t>
  </si>
  <si>
    <t>0003+Bis+Baldrian</t>
  </si>
  <si>
    <t>01.+Don+Juan+de+Johans+Dorf</t>
  </si>
  <si>
    <t>001+Holzhacker+Co.KG</t>
  </si>
  <si>
    <t>03.+Don+Juan</t>
  </si>
  <si>
    <t>HB%7C%7C001</t>
  </si>
  <si>
    <t>AG+Traum+Hotel</t>
  </si>
  <si>
    <t>003+5+sehen+mehr+als+454</t>
  </si>
  <si>
    <t>43%3A79%3A54+%2F%2F+Bash</t>
  </si>
  <si>
    <t>%5BAG%5D%23001</t>
  </si>
  <si>
    <t>%233+Forstbetrieb+meckez+GmbH</t>
  </si>
  <si>
    <t>Batemans+Dorf</t>
  </si>
  <si>
    <t>Eimsb%C3%BCttel</t>
  </si>
  <si>
    <t>%5B001%5D+Glumanda</t>
  </si>
  <si>
    <t>Inselverbot+%7C+002</t>
  </si>
  <si>
    <t>Arsix+002</t>
  </si>
  <si>
    <t>%5B002%5D+Dorf%3F+Dorf%3F+Dorf%3F+Dorf%3F</t>
  </si>
  <si>
    <t>Lord+Gaillards+Dorf</t>
  </si>
  <si>
    <t>004+Holzhacker+Co.KG</t>
  </si>
  <si>
    <t>Walhalla+04</t>
  </si>
  <si>
    <t>falke077s+Dorf</t>
  </si>
  <si>
    <t>Inselverbot+%7C+004</t>
  </si>
  <si>
    <t>Andreas+Buck</t>
  </si>
  <si>
    <t>Tara+0002</t>
  </si>
  <si>
    <t>AG+2doro</t>
  </si>
  <si>
    <t>01%7C+..is+anyone+here%3F</t>
  </si>
  <si>
    <t>001+haui04s+Dorf</t>
  </si>
  <si>
    <t>ABC+-+Die+Ente+mag+keinen+Schnee</t>
  </si>
  <si>
    <t>02+Winkelgasse</t>
  </si>
  <si>
    <t>H%C3%B6nis+Dorf</t>
  </si>
  <si>
    <t>001+-%3DAachen%3D-</t>
  </si>
  <si>
    <t>derRichter95s+Dorf</t>
  </si>
  <si>
    <t>Gonlboy+I</t>
  </si>
  <si>
    <t>solos+Dorf</t>
  </si>
  <si>
    <t>Katze+2</t>
  </si>
  <si>
    <t>Druffi+Ente</t>
  </si>
  <si>
    <t>003+Lannisport</t>
  </si>
  <si>
    <t>%5B001+Bjergsen%5D</t>
  </si>
  <si>
    <t>Inselverbot+%7C+003</t>
  </si>
  <si>
    <t>001+QUAK</t>
  </si>
  <si>
    <t>Teddy+Arroganz+001</t>
  </si>
  <si>
    <t>MusaBaba%7C2</t>
  </si>
  <si>
    <t>WHO+DAT+Nation+001</t>
  </si>
  <si>
    <t>%5B001%5D+-+Wohnwagensiedlung</t>
  </si>
  <si>
    <t>Ix.An0nYm.xI+%7E+%7C%2A+_001_%2A%7C</t>
  </si>
  <si>
    <t>001_DrMurkes+Dorf</t>
  </si>
  <si>
    <t>%28470%7C394%29K34</t>
  </si>
  <si>
    <t>Koeb+et+Vagttaarn</t>
  </si>
  <si>
    <t>%7EHeart+full+of+pride%7E</t>
  </si>
  <si>
    <t>004+HALLOBITTSCH%C3%96N%3F%21</t>
  </si>
  <si>
    <t>Ella04s+Dorf</t>
  </si>
  <si>
    <t>001+%7C+Sorpenfort</t>
  </si>
  <si>
    <t>lucymarvins+Dorf</t>
  </si>
  <si>
    <t>K%C3%BCkens+Dorf</t>
  </si>
  <si>
    <t>001+-+BARCELONA</t>
  </si>
  <si>
    <t>07-Y%40r0ns+Dorf</t>
  </si>
  <si>
    <t>005+Patrioten</t>
  </si>
  <si>
    <t>Ganz+sch%C3%B6n+weit+drau%C3%9Fen</t>
  </si>
  <si>
    <t>FLEXYROCKS%3F</t>
  </si>
  <si>
    <t>Hakuna+Matata+%231</t>
  </si>
  <si>
    <t>m-k-zwonixs+Dorf</t>
  </si>
  <si>
    <t>HB%7C%7C003</t>
  </si>
  <si>
    <t>AL+Alessandria</t>
  </si>
  <si>
    <t>43%3A89%3A02+%2F%2F+-+AG</t>
  </si>
  <si>
    <t>%7E0003%7E</t>
  </si>
  <si>
    <t>%5BAG%5DStrontium+90</t>
  </si>
  <si>
    <t>KleinerRackers+Dorf</t>
  </si>
  <si>
    <t>J%C3%B6tunheim</t>
  </si>
  <si>
    <t>%5B001%5D+Helsinki</t>
  </si>
  <si>
    <t>002+%2F+KonradAdelsklauers+Dorf</t>
  </si>
  <si>
    <t>002%7C+Mordor</t>
  </si>
  <si>
    <t>003+Nilfgaard</t>
  </si>
  <si>
    <t>Ekaps+OnE</t>
  </si>
  <si>
    <t>003+42+Wallaby+Way%2C+Sydney</t>
  </si>
  <si>
    <t>9+Cent+das+Kilo</t>
  </si>
  <si>
    <t>Bu%C3%9Fgeldstelle</t>
  </si>
  <si>
    <t>Nicht+hasenb%C3%A4rs+Dorf</t>
  </si>
  <si>
    <t>Minipr%C3%BCgel</t>
  </si>
  <si>
    <t>003+%2A%2A%7EKleeblatt%7E%2A%2A</t>
  </si>
  <si>
    <t>004+%7C+Park</t>
  </si>
  <si>
    <t>003+B%C3%BCrki</t>
  </si>
  <si>
    <t>Kr%C3%BCmelKeks%2As+Dorf</t>
  </si>
  <si>
    <t>003+-OuT-</t>
  </si>
  <si>
    <t>44%3A07%3A27+%2F%2F+-+Adelsagentur</t>
  </si>
  <si>
    <t>002+%7C+Bunker</t>
  </si>
  <si>
    <t>004+-+Shingeki+no+Kyojin</t>
  </si>
  <si>
    <t>ALPHA+II</t>
  </si>
  <si>
    <t>%2A%7EDalmasca%7E%2A</t>
  </si>
  <si>
    <t>revenger53s+D%C3%B6rfchen</t>
  </si>
  <si>
    <t>1+Erster%21</t>
  </si>
  <si>
    <t>ALPHA+I</t>
  </si>
  <si>
    <t>%232+Nationale+Krise</t>
  </si>
  <si>
    <t>Z%C3%BCrich</t>
  </si>
  <si>
    <t>%23003+Beamfleot</t>
  </si>
  <si>
    <t>002+butterfly+effect</t>
  </si>
  <si>
    <t>Raptor+Domination+2</t>
  </si>
  <si>
    <t>Zeugen+Yeboahs</t>
  </si>
  <si>
    <t>Dein+Friedhof</t>
  </si>
  <si>
    <t>OskadaZerst%C3%B6rers+Dorf</t>
  </si>
  <si>
    <t>oo1+%7CItachi+Uchiha</t>
  </si>
  <si>
    <t>OO2+-+RPG</t>
  </si>
  <si>
    <t>AG0004+von+Alice</t>
  </si>
  <si>
    <t>%5B002+Doublelift%5D</t>
  </si>
  <si>
    <t>001+Coruscant</t>
  </si>
  <si>
    <t>BABYLON+%7C+2</t>
  </si>
  <si>
    <t>Track+%234</t>
  </si>
  <si>
    <t>007+Holzhacker+Co.KG</t>
  </si>
  <si>
    <t>Drecks+Kaff+K44%2F001</t>
  </si>
  <si>
    <t>Vanessa2704+02</t>
  </si>
  <si>
    <t>P+006-1</t>
  </si>
  <si>
    <t>Minas+Tirth</t>
  </si>
  <si>
    <t>Raptor+Domination+1</t>
  </si>
  <si>
    <t>Noice+07</t>
  </si>
  <si>
    <t>Spiritfenixs+Dorf</t>
  </si>
  <si>
    <t>Gemeine+Sichelschrecke</t>
  </si>
  <si>
    <t>KK+002</t>
  </si>
  <si>
    <t>Wolfsh%C3%BCtte+02</t>
  </si>
  <si>
    <t>002+Bisaknosp</t>
  </si>
  <si>
    <t>3%2F5</t>
  </si>
  <si>
    <t>004.+31er+Luddiwig</t>
  </si>
  <si>
    <t>%5BAG%5D+002</t>
  </si>
  <si>
    <t>%28C%29</t>
  </si>
  <si>
    <t>Monster+S+II</t>
  </si>
  <si>
    <t>003+%7C+0.o</t>
  </si>
  <si>
    <t>45%3A04%3A38+Fear+The+Wolf</t>
  </si>
  <si>
    <t>003+Urlaubsflirt</t>
  </si>
  <si>
    <t>%5BAG%5DStrontium</t>
  </si>
  <si>
    <t>003+Patrioten+sind+vereint%21</t>
  </si>
  <si>
    <t>Extrem+001</t>
  </si>
  <si>
    <t>BlackWitch2s+Dorf</t>
  </si>
  <si>
    <t>Axelseis+Dorf</t>
  </si>
  <si>
    <t>Teddy+Arroganz+005</t>
  </si>
  <si>
    <t>Blaubeere+AG</t>
  </si>
  <si>
    <t>CUB25s+Dorf</t>
  </si>
  <si>
    <t>ICI+Paris</t>
  </si>
  <si>
    <t>Burn2gs+Dorf</t>
  </si>
  <si>
    <t>%5B001%5D+Schweiz</t>
  </si>
  <si>
    <t>Lost%21%3F+NIEderstrecken</t>
  </si>
  <si>
    <t>005%7C%7CBlechlesb%C3%A4tscher</t>
  </si>
  <si>
    <t>BashBrotherss+Dorf</t>
  </si>
  <si>
    <t>snowdrusss+Dorf</t>
  </si>
  <si>
    <t>Teddy+Arroganz+004</t>
  </si>
  <si>
    <t>001+Metropolis</t>
  </si>
  <si>
    <t>Noice+09</t>
  </si>
  <si>
    <t>JayBes+Dorf</t>
  </si>
  <si>
    <t>Kris+Dorf</t>
  </si>
  <si>
    <t>%28%2F-%29</t>
  </si>
  <si>
    <t>-Forza+KSG+04-</t>
  </si>
  <si>
    <t>%7E004%7E+Nicht+%C3%BCberm%C3%BCtig+werden</t>
  </si>
  <si>
    <t>R%C3%B6misches+Reich</t>
  </si>
  <si>
    <t>AM2824s+Dorf+1</t>
  </si>
  <si>
    <t>Bedde+001</t>
  </si>
  <si>
    <t>55%3A85%3A46+Four+Times</t>
  </si>
  <si>
    <t>LosPersoss+D</t>
  </si>
  <si>
    <t>002%7C+Rand%2A</t>
  </si>
  <si>
    <t>003+Big+Knoll+1S</t>
  </si>
  <si>
    <t>Psychiatrie+%7E002%7E</t>
  </si>
  <si>
    <t>005+%2F+LazyTown</t>
  </si>
  <si>
    <t>Olapa+City</t>
  </si>
  <si>
    <t>xtcwxs+Dorf</t>
  </si>
  <si>
    <t>54%3A97%3A86+-+Ernie</t>
  </si>
  <si>
    <t>Teddy+Arroganz+003</t>
  </si>
  <si>
    <t>%7C+002+%7C+Vegeta</t>
  </si>
  <si>
    <t>risks+Dorf</t>
  </si>
  <si>
    <t>02+0815</t>
  </si>
  <si>
    <t>Sch%C3%B6nes+Dorf</t>
  </si>
  <si>
    <t>399%2F457</t>
  </si>
  <si>
    <t>Die+Axt+im+Walde</t>
  </si>
  <si>
    <t>002+%7C+Rofl</t>
  </si>
  <si>
    <t>0003+%7C+Engel+l%C3%BCgen+doch</t>
  </si>
  <si>
    <t>06+Ingolstadt</t>
  </si>
  <si>
    <t>Huhu+010</t>
  </si>
  <si>
    <t>Himbeere+AG</t>
  </si>
  <si>
    <t>Irrenanstalt+02</t>
  </si>
  <si>
    <t>8K+STEIN%21</t>
  </si>
  <si>
    <t>Pizzab%C3%A4cker+003</t>
  </si>
  <si>
    <t>002+Dicke+Pitter</t>
  </si>
  <si>
    <t>001%7C+Heidelberg</t>
  </si>
  <si>
    <t>Bavaria+II</t>
  </si>
  <si>
    <t>Dark+1</t>
  </si>
  <si>
    <t>Mainhatten+001</t>
  </si>
  <si>
    <t>%7B006%7D+Isolatocereus</t>
  </si>
  <si>
    <t>001%7CHeidelberg</t>
  </si>
  <si>
    <t>Extrem+002</t>
  </si>
  <si>
    <t>W178+54%3A15%3A96</t>
  </si>
  <si>
    <t>OTTown2s+Dorf</t>
  </si>
  <si>
    <t>004+Rapha+RulezZ</t>
  </si>
  <si>
    <t>002+%2A%2A%7EFeder%7E%2A%2A</t>
  </si>
  <si>
    <t>005+%5B-NN-%5D+Deffnoob</t>
  </si>
  <si>
    <t>%5B001%5D+Sick%3F</t>
  </si>
  <si>
    <t>002+Michelstadt</t>
  </si>
  <si>
    <t>minas+thirit</t>
  </si>
  <si>
    <t>D%C3%B6rf+178</t>
  </si>
  <si>
    <t>%5B006%5D+Halbschuh</t>
  </si>
  <si>
    <t>Trick+%233</t>
  </si>
  <si>
    <t>%7E+Dorfstra%C3%9Fe+14+%7E</t>
  </si>
  <si>
    <t>Stamford+Bridge</t>
  </si>
  <si>
    <t>01+55%3A64%3A12+Hartheim</t>
  </si>
  <si>
    <t>Sefirah+Castle</t>
  </si>
  <si>
    <t>002+2020+sucks...</t>
  </si>
  <si>
    <t>robert47s+Dorf</t>
  </si>
  <si>
    <t>Kev+II</t>
  </si>
  <si>
    <t>%5B002%5D+Nairobi</t>
  </si>
  <si>
    <t>DUMP%7C001%7CF</t>
  </si>
  <si>
    <t>004+%7C+Wunderjunge</t>
  </si>
  <si>
    <t>%7E003%7E+Gute+Offs</t>
  </si>
  <si>
    <t>02.+Don+Juan</t>
  </si>
  <si>
    <t>%7E003%7E+What+is+Love%3F</t>
  </si>
  <si>
    <t>006%7C+Schwarzer+Chocobo</t>
  </si>
  <si>
    <t>003+M%C3%BCnchen</t>
  </si>
  <si>
    <t>002-Lucky_Horse+%3A%29%29%29</t>
  </si>
  <si>
    <t>%5B003%5D+Caras+Galadhon</t>
  </si>
  <si>
    <t>9PRFs+Dorf</t>
  </si>
  <si>
    <t>004+Sunspear</t>
  </si>
  <si>
    <t>%23003+Lappingen+an+der+Po</t>
  </si>
  <si>
    <t>Noice+04</t>
  </si>
  <si>
    <t>xBergbarons+Dorf+1</t>
  </si>
  <si>
    <t>002+-+PARIS</t>
  </si>
  <si>
    <t>boehmis+Dorf+2</t>
  </si>
  <si>
    <t>dilo123s+Dorf</t>
  </si>
  <si>
    <t>Noice+01</t>
  </si>
  <si>
    <t>003+-+Novigrad</t>
  </si>
  <si>
    <t>001+-+York</t>
  </si>
  <si>
    <t>Stinkender+K%C3%A4se+kommt</t>
  </si>
  <si>
    <t>%5B04%5DNoName</t>
  </si>
  <si>
    <t>002+Hai</t>
  </si>
  <si>
    <t>Kirchheim%2FTeck</t>
  </si>
  <si>
    <t>003+Iron+Islands</t>
  </si>
  <si>
    <t>Frohlixs+Dorf+3</t>
  </si>
  <si>
    <t>002%7C+Karlsruhe</t>
  </si>
  <si>
    <t>002+Cup+und+Cino</t>
  </si>
  <si>
    <t>001+HellsKitchen+AG</t>
  </si>
  <si>
    <t>Itachi+Uchiha</t>
  </si>
  <si>
    <t>ALPHA+IV</t>
  </si>
  <si>
    <t>003+Bisaflor</t>
  </si>
  <si>
    <t>Alfa+ti+300s+Dorf</t>
  </si>
  <si>
    <t>Reudnitz-+Thonberg</t>
  </si>
  <si>
    <t>%7E002%7E+Buckingham</t>
  </si>
  <si>
    <t>Cako73s+Dorf</t>
  </si>
  <si>
    <t>Pizzab%C3%A4cker+002</t>
  </si>
  <si>
    <t>Village+name</t>
  </si>
  <si>
    <t>005%7C+Wei%C3%9Fer+Chocobo</t>
  </si>
  <si>
    <t>Danielb93s+Dorf</t>
  </si>
  <si>
    <t>AG+Inc</t>
  </si>
  <si>
    <t>003+Rauchbier</t>
  </si>
  <si>
    <t>RedFrog2018s+Dorf</t>
  </si>
  <si>
    <t>Pizzab%C3%A4cker+004</t>
  </si>
  <si>
    <t>wolkengestaltens+Dorf</t>
  </si>
  <si>
    <t>001.+-+Freihafen</t>
  </si>
  <si>
    <t>Z%C3%BCckerli</t>
  </si>
  <si>
    <t>Assassin9205s+Dorf</t>
  </si>
  <si>
    <t>Der+kleine+fieses</t>
  </si>
  <si>
    <t>huhu+005</t>
  </si>
  <si>
    <t>Sardo+nimmer+da</t>
  </si>
  <si>
    <t>Pfeilers+Vatta</t>
  </si>
  <si>
    <t>deviLz+002</t>
  </si>
  <si>
    <t>deniclus+Dorf</t>
  </si>
  <si>
    <t>002.+Holzf%C3%A4ller+Co.+KG</t>
  </si>
  <si>
    <t>Wolfsh%C3%BCtte+04</t>
  </si>
  <si>
    <t>almalikes+Dorf</t>
  </si>
  <si>
    <t>meusamms+Dorf</t>
  </si>
  <si>
    <t>Sennerins+Dorf</t>
  </si>
  <si>
    <t>1%2F5</t>
  </si>
  <si>
    <t>AG+-+002+-+Asgard</t>
  </si>
  <si>
    <t>Zelli+IV</t>
  </si>
  <si>
    <t>Stiesels+Dorf</t>
  </si>
  <si>
    <t>xArgusHausenx+1.4</t>
  </si>
  <si>
    <t>Lucky+Strike</t>
  </si>
  <si>
    <t>%233+MeinDorf</t>
  </si>
  <si>
    <t>003.+Holzf%C3%A4ller+Co.+KG</t>
  </si>
  <si>
    <t>05-Y%40r0ns+Dorf</t>
  </si>
  <si>
    <t>do+holsch+nix</t>
  </si>
  <si>
    <t>%5B002%5D+Mitochondrium</t>
  </si>
  <si>
    <t>WHO+DAT+Nation+003</t>
  </si>
  <si>
    <t>%5B001%5D+cVraCer</t>
  </si>
  <si>
    <t>Holzhacker+Co.+KG</t>
  </si>
  <si>
    <t>%5B001%5D+Brody+Hallag</t>
  </si>
  <si>
    <t>Farm+%21</t>
  </si>
  <si>
    <t>versteck+stufe+10+%3A%29</t>
  </si>
  <si>
    <t>%7B004%7D+D%C3%B6nerteller</t>
  </si>
  <si>
    <t>004+%23KataNoob</t>
  </si>
  <si>
    <t>Schaui.s+Dorf</t>
  </si>
  <si>
    <t>003_Support+f%C3%BCr+meine+B%C3%A4rchen</t>
  </si>
  <si>
    <t>Schau+auf+mein+Profil</t>
  </si>
  <si>
    <t>kilian1104s+Dorf</t>
  </si>
  <si>
    <t>003+Holzhacker+Co.KG</t>
  </si>
  <si>
    <t>SimCity+%7C%7C</t>
  </si>
  <si>
    <t>Pascal2303+Dorf</t>
  </si>
  <si>
    <t>Erdbeerschnitten+Fabrik</t>
  </si>
  <si>
    <t>Z+KALAZIAs+Dorf</t>
  </si>
  <si>
    <t>4+Blubb</t>
  </si>
  <si>
    <t>auf+Wunsch+ge%C3%A4ndert</t>
  </si>
  <si>
    <t>01+Innere+Stadt</t>
  </si>
  <si>
    <t>Florids+Dorf</t>
  </si>
  <si>
    <t>Lord+Swagstaus+Dorf+3</t>
  </si>
  <si>
    <t>Noice+02</t>
  </si>
  <si>
    <t>Ernte+23</t>
  </si>
  <si>
    <t>Monster+S+I</t>
  </si>
  <si>
    <t>002+-+Geilenkirchen</t>
  </si>
  <si>
    <t>eric-2602s+Dorf</t>
  </si>
  <si>
    <t>shigamini1s+Dorf</t>
  </si>
  <si>
    <t>Frostmonarch44s+Dorf</t>
  </si>
  <si>
    <t>Rum+und+%C3%84hre+%7C%7C+002</t>
  </si>
  <si>
    <t>UA+school</t>
  </si>
  <si>
    <t>D+i+n+g+D+o+n+g+003</t>
  </si>
  <si>
    <t>004_Support+f%C3%BCr+meine+B%C3%A4rchen</t>
  </si>
  <si>
    <t>002+Holzhacker+Co.KG</t>
  </si>
  <si>
    <t>Das+Zerfigg</t>
  </si>
  <si>
    <t>m.freemanns+Dorf</t>
  </si>
  <si>
    <t>G%C3%BCntherJauch</t>
  </si>
  <si>
    <t>Z%C3%BCri</t>
  </si>
  <si>
    <t>004+%2A%2AVaRaVa%2A%2A</t>
  </si>
  <si>
    <t>Brausepulver+Hausen</t>
  </si>
  <si>
    <t>005+%7C%7C+Iwa</t>
  </si>
  <si>
    <t>vintruxius+Dorf</t>
  </si>
  <si>
    <t>-%5B003%5D-Im+Profil+stehen+die+AGBs</t>
  </si>
  <si>
    <t>003+easy+day</t>
  </si>
  <si>
    <t>Nix+zu+holen</t>
  </si>
  <si>
    <t>Tommyli1s+Dorf</t>
  </si>
  <si>
    <t>002+Patrioten+sind+vereint%21</t>
  </si>
  <si>
    <t>Dirty+Doggys</t>
  </si>
  <si>
    <t>MachoMachos+Dorf</t>
  </si>
  <si>
    <t>%5B004%5D+Rat+House</t>
  </si>
  <si>
    <t>Turkish+Ottomans</t>
  </si>
  <si>
    <t>xXNadjeschdaXxs+Dorf</t>
  </si>
  <si>
    <t>005+%7C+O</t>
  </si>
  <si>
    <t>Mir+reichts%21+Ich+geh+schaukeln.</t>
  </si>
  <si>
    <t>006+Holzhacker+Co.KG</t>
  </si>
  <si>
    <t>EUReKA+01</t>
  </si>
  <si>
    <t>004.+-+Mechagon+Schrottplatz</t>
  </si>
  <si>
    <t>178+Tox</t>
  </si>
  <si>
    <t>nachtiis+Dorf</t>
  </si>
  <si>
    <t>%232+MeinDorf</t>
  </si>
  <si>
    <t>OG+Kush</t>
  </si>
  <si>
    <t>Knecht+1s+Dorf</t>
  </si>
  <si>
    <t>N01+RAG</t>
  </si>
  <si>
    <t>oo2+%7CNeji+Hyuga</t>
  </si>
  <si>
    <t>nett+hier</t>
  </si>
  <si>
    <t>ressus+der+Is+Doof</t>
  </si>
  <si>
    <t>Hack+sag+mal+Guten+Tag</t>
  </si>
  <si>
    <t>2+Der+Support+sagt+ich+darf+das%21</t>
  </si>
  <si>
    <t>The+City</t>
  </si>
  <si>
    <t>003+K%C3%B6nigreich</t>
  </si>
  <si>
    <t>03+Barbarendorf</t>
  </si>
  <si>
    <t>Chaot777s+Dorf+Nr.1</t>
  </si>
  <si>
    <t>1+FCK+Lautern+1</t>
  </si>
  <si>
    <t>08+Josefstadt</t>
  </si>
  <si>
    <t>HSV%21</t>
  </si>
  <si>
    <t>Luggi0110s+Dorf</t>
  </si>
  <si>
    <t>Noice+05</t>
  </si>
  <si>
    <t>Noice+06</t>
  </si>
  <si>
    <t>001+-OuT-</t>
  </si>
  <si>
    <t>%7C02%7C+vanillia+ice+cream</t>
  </si>
  <si>
    <t>fabis+Dorf</t>
  </si>
  <si>
    <t>003%7CHertha+BSC</t>
  </si>
  <si>
    <t>003+%23Neider</t>
  </si>
  <si>
    <t>%5B001%5D+Scheed</t>
  </si>
  <si>
    <t>Future777s+Dorf</t>
  </si>
  <si>
    <t>%5B002%5D+Dr.+Ogen</t>
  </si>
  <si>
    <t>janwe01s+Dorf</t>
  </si>
  <si>
    <t>zwins+Dorf</t>
  </si>
  <si>
    <t>FoE0001s+Dorf</t>
  </si>
  <si>
    <t>%7C+003+%7C+Muten-Roshi</t>
  </si>
  <si>
    <t>Ich+hab+keinen+Spa%C3%9F</t>
  </si>
  <si>
    <t>Monkey+D.+Ruffy</t>
  </si>
  <si>
    <t>003+Guanajuato</t>
  </si>
  <si>
    <t>EUReKA+02</t>
  </si>
  <si>
    <t>steffanka85+Dorf</t>
  </si>
  <si>
    <t>06-Y%40r0ns+Dorf</t>
  </si>
  <si>
    <t>002+Einverleibung</t>
  </si>
  <si>
    <t>Phnom+Penh</t>
  </si>
  <si>
    <t>Hellraiser+%28Mot%C3%B6rhead%29</t>
  </si>
  <si>
    <t>%2AFuldozer%2As+Dorf</t>
  </si>
  <si>
    <t>50%3A64%3A36+wir+m%C3%BCssen+warten</t>
  </si>
  <si>
    <t>Atropos+Schenke</t>
  </si>
  <si>
    <t>Death+Killers</t>
  </si>
  <si>
    <t>Bartolomeu+Diazs+Dorf</t>
  </si>
  <si>
    <t>-+Svartalfheim+-</t>
  </si>
  <si>
    <t>02+-+Spagetti+Bolognese</t>
  </si>
  <si>
    <t>%5B004%5D+Jakku</t>
  </si>
  <si>
    <t>Account+umbenennens+Dorf</t>
  </si>
  <si>
    <t>01+Reddock</t>
  </si>
  <si>
    <t>KarlDerGro%C3%9Fes+Dorf</t>
  </si>
  <si>
    <t>Irrenanstalt+01</t>
  </si>
  <si>
    <t>K%C3%BCche</t>
  </si>
  <si>
    <t>%5B008%5D</t>
  </si>
  <si>
    <t>002+%7C%7C+187+-+Knochen+MC</t>
  </si>
  <si>
    <t>lukas2513s+Dorf</t>
  </si>
  <si>
    <t>003%7C+Unlimited+Edition</t>
  </si>
  <si>
    <t>FischerR1408s+Dorf</t>
  </si>
  <si>
    <t>Gibt+nichts+zuholen+%3B-%29</t>
  </si>
  <si>
    <t>Black.Hawks+Dorf</t>
  </si>
  <si>
    <t>Big+Crazy+Horse+sein+Dorf</t>
  </si>
  <si>
    <t>BruderAbrahams+Dorf</t>
  </si>
  <si>
    <t>DerHanners+D%C3%B6rfchen+002</t>
  </si>
  <si>
    <t>Tecumsehs+Dorf</t>
  </si>
  <si>
    <t>LoLLoL111s+Dorf</t>
  </si>
  <si>
    <t>rikas+Dorf</t>
  </si>
  <si>
    <t>Patta1997s+Dorf</t>
  </si>
  <si>
    <t>AG+Kekw+002</t>
  </si>
  <si>
    <t>Live+And+Let+Die</t>
  </si>
  <si>
    <t>002+SaimonS</t>
  </si>
  <si>
    <t>006+%7C</t>
  </si>
  <si>
    <t>Was+tust+du</t>
  </si>
  <si>
    <t>%5B001%5DSchorle+herb</t>
  </si>
  <si>
    <t>Yeronimos+Dorf</t>
  </si>
  <si>
    <t>Big+Foot</t>
  </si>
  <si>
    <t>Keocuks+Dorf</t>
  </si>
  <si>
    <t>.%3A%28Trafins%2F000%29%3A.</t>
  </si>
  <si>
    <t>Die+Festung</t>
  </si>
  <si>
    <t>%5B001%5D+Imryrr</t>
  </si>
  <si>
    <t>%7C002%7C+Wuatena</t>
  </si>
  <si>
    <t>-03-+G%C3%BClden</t>
  </si>
  <si>
    <t>Dr.Srwalls+Dorf</t>
  </si>
  <si>
    <t>Brum+Brum</t>
  </si>
  <si>
    <t>La+Casa+2te</t>
  </si>
  <si>
    <t>Das+Bollwerk</t>
  </si>
  <si>
    <t>45%3A28%3A85+AG%3F%21+Kostet+ja+nix</t>
  </si>
  <si>
    <t>H%C3%BCtte+01</t>
  </si>
  <si>
    <t>002+He</t>
  </si>
  <si>
    <t>%7C01%7C+girl+scout+cookies</t>
  </si>
  <si>
    <t>%23Anwaltsb%C3%BCro</t>
  </si>
  <si>
    <t>Zabums+Dorf</t>
  </si>
  <si>
    <t>Dschungelk%C3%B6nig+%2F%2F3</t>
  </si>
  <si>
    <t>002+Garga+und+S%C3%B6hne+AG</t>
  </si>
  <si>
    <t>03+Gl%C3%BCck</t>
  </si>
  <si>
    <t>Kenning+MID+alder</t>
  </si>
  <si>
    <t>lenfealis+is+backs+Dorf</t>
  </si>
  <si>
    <t>%7E1%7E</t>
  </si>
  <si>
    <t>001+FREE+CANDY</t>
  </si>
  <si>
    <t>Burg+Eringerfeld+2</t>
  </si>
  <si>
    <t>001+Kornarum</t>
  </si>
  <si>
    <t>Atropos+Taverne</t>
  </si>
  <si>
    <t>Roastbeef+Terrys+Dorf</t>
  </si>
  <si>
    <t>Brenni2011s+Dorf</t>
  </si>
  <si>
    <t>federerers+Dorf</t>
  </si>
  <si>
    <t>Barbarendorf+III</t>
  </si>
  <si>
    <t>02+Sea+Dweller</t>
  </si>
  <si>
    <t>Machen+wir+%3A-%29+nebenbei+benennen</t>
  </si>
  <si>
    <t>%7C-_-%7C</t>
  </si>
  <si>
    <t>baumoosas+Dorf</t>
  </si>
  <si>
    <t>Buke+D%C3%B6ner</t>
  </si>
  <si>
    <t>003+%7C%7C+187+-+JZUZ</t>
  </si>
  <si>
    <t>53%7C59%7C25+%23Bash%23</t>
  </si>
  <si>
    <t>54%3A21%3A63+CB</t>
  </si>
  <si>
    <t>EvilPupss+Dorf</t>
  </si>
  <si>
    <t>002+Metropolis</t>
  </si>
  <si>
    <t>Winterwonderland+001</t>
  </si>
  <si>
    <t>Zac+Zac</t>
  </si>
  <si>
    <t>B%C3%A4renh%C3%B6hle</t>
  </si>
  <si>
    <t>Abigaile+Johnson</t>
  </si>
  <si>
    <t>04%7C+xIncr3dible</t>
  </si>
  <si>
    <t>Mia+Khalifa</t>
  </si>
  <si>
    <t>03+-+Moin</t>
  </si>
  <si>
    <t>Ag+2alf</t>
  </si>
  <si>
    <t>Anger-+Crottendorf</t>
  </si>
  <si>
    <t>02+Nationaler+Konter</t>
  </si>
  <si>
    <t>Frohlixs+Dorf+4</t>
  </si>
  <si>
    <t>54%7C81%7C17</t>
  </si>
  <si>
    <t>001+-+All+Eyez+on+Me</t>
  </si>
  <si>
    <t>berni365s+Dorf</t>
  </si>
  <si>
    <t>Gold+Ochsa+Kellerbier</t>
  </si>
  <si>
    <t>Gro%C3%9Fen+Dank+an+alle+Erntehelfer%21</t>
  </si>
  <si>
    <t>Noice+03</t>
  </si>
  <si>
    <t>Meine+Second+Hood</t>
  </si>
  <si>
    <t>34%3A95%3A23+%7C+Achtung+Quarant%C3%A4ne</t>
  </si>
  <si>
    <t>%5B001%5D+Dr.+Acula</t>
  </si>
  <si>
    <t>Braiser94s+Dorf</t>
  </si>
  <si>
    <t>005+FullyRetarded</t>
  </si>
  <si>
    <t>Unknown+2</t>
  </si>
  <si>
    <t>Taschi18s+Dorf</t>
  </si>
  <si>
    <t>Dorinas+Dorf+1</t>
  </si>
  <si>
    <t>001+Haltern+am+See</t>
  </si>
  <si>
    <t>%5B0005%5D+Hab+ich+ja+gesagt</t>
  </si>
  <si>
    <t>003+Lux</t>
  </si>
  <si>
    <t>02+Grundelbertstrauss</t>
  </si>
  <si>
    <t>Pommes+002</t>
  </si>
  <si>
    <t>Bielefeld+003</t>
  </si>
  <si>
    <t>Grendlers+Dorf</t>
  </si>
  <si>
    <t>%5BAG%5DXerum+525</t>
  </si>
  <si>
    <t>K%C3%B6nig+Nigels+Dorf</t>
  </si>
  <si>
    <t>Lord+alpenrahms+Dorf</t>
  </si>
  <si>
    <t>Faken%3F+Kann+ich+nicht.</t>
  </si>
  <si>
    <t>AG+Inc%21+006%2A</t>
  </si>
  <si>
    <t>Cali+Love</t>
  </si>
  <si>
    <t>Madara+Uchiha</t>
  </si>
  <si>
    <t>002+Naboo</t>
  </si>
  <si>
    <t>Cojofell+2</t>
  </si>
  <si>
    <t>streit+mit+dem+mond</t>
  </si>
  <si>
    <t>02%7C+xIncr3dible</t>
  </si>
  <si>
    <t>02+Gone+For+The+Head</t>
  </si>
  <si>
    <t>Matzerot29s+Dorf</t>
  </si>
  <si>
    <t>Mr.Jarvess+Dorf</t>
  </si>
  <si>
    <t>Adlerhorst+003</t>
  </si>
  <si>
    <t>Dunkle+Festung</t>
  </si>
  <si>
    <t>Sikk97s+Dorf</t>
  </si>
  <si>
    <t>Adlerhorst+005</t>
  </si>
  <si>
    <t>Taelers+Dorf</t>
  </si>
  <si>
    <t>xabels+Dorf</t>
  </si>
  <si>
    <t>-001%7CAkatsuki-</t>
  </si>
  <si>
    <t>Ghost+Town+1</t>
  </si>
  <si>
    <t>Hinterdupfingen+%7C+001</t>
  </si>
  <si>
    <t>Au%C3%9Fenposten+B%C3%BCchenberg+%231</t>
  </si>
  <si>
    <t>%235+MeinDorf</t>
  </si>
  <si>
    <t>dahaus%2Ferste+Bastion</t>
  </si>
  <si>
    <t>006+%5B-NN-%5D+Deffnoob</t>
  </si>
  <si>
    <t>BABYLON+%7C+3</t>
  </si>
  <si>
    <t>YOU+WONT</t>
  </si>
  <si>
    <t>Gewaltiger+Marsch</t>
  </si>
  <si>
    <t>3+Umdien%C3%A4chsteEcke</t>
  </si>
  <si>
    <t>Black+Night</t>
  </si>
  <si>
    <t>002+%7C+Vodka+Maggi</t>
  </si>
  <si>
    <t>Bavaria+III</t>
  </si>
  <si>
    <t>004+Hokusch+Pokusch</t>
  </si>
  <si>
    <t>Gbabocs+Dorf</t>
  </si>
  <si>
    <t>Raubm%C3%B6rder2s+Dorf</t>
  </si>
  <si>
    <t>54%3A94%3A66+Barbarendorf</t>
  </si>
  <si>
    <t>OnlyHDs+Dorf+6</t>
  </si>
  <si>
    <t>Was+luegsh%3F</t>
  </si>
  <si>
    <t>ProMoises+Dorf</t>
  </si>
  <si>
    <t>Baden+Baden</t>
  </si>
  <si>
    <t>.King-Dani.s+Dorf</t>
  </si>
  <si>
    <t>Sasha+Grey</t>
  </si>
  <si>
    <t>oli42s+Dorf</t>
  </si>
  <si>
    <t>Jockis+Dorf</t>
  </si>
  <si>
    <t>006+enchantras+Dorf</t>
  </si>
  <si>
    <t>Labor+-003-</t>
  </si>
  <si>
    <t>%5B04%5D+Cartagena</t>
  </si>
  <si>
    <t>Base+Marambio</t>
  </si>
  <si>
    <t>02+Kap+Dun</t>
  </si>
  <si>
    <t>surprise+motherf%2A</t>
  </si>
  <si>
    <t>oldmarcels+Dorf</t>
  </si>
  <si>
    <t>002+Lux</t>
  </si>
  <si>
    <t>%7E%5B004-AG%5D%7E</t>
  </si>
  <si>
    <t>AG+Angriff</t>
  </si>
  <si>
    <t>philobi237s+Dorf</t>
  </si>
  <si>
    <t>%5B06%5D+Cartagena</t>
  </si>
  <si>
    <t>Irrenanstalt+03</t>
  </si>
  <si>
    <t>53%7C49%7C43+-+017represent</t>
  </si>
  <si>
    <t>005+Odini</t>
  </si>
  <si>
    <t>King+dorf</t>
  </si>
  <si>
    <t>High+Wall+of+Lothric</t>
  </si>
  <si>
    <t>Bigpis+Gulag</t>
  </si>
  <si>
    <t>Stadion+an+der+Kreuzeiche</t>
  </si>
  <si>
    <t>0004+Sayonara+Carbonara</t>
  </si>
  <si>
    <t>VeYsooos+Dorf</t>
  </si>
  <si>
    <t>Royale+%233</t>
  </si>
  <si>
    <t>pascal96s+Dorf</t>
  </si>
  <si>
    <t>01+Frankfurt-Bornheim</t>
  </si>
  <si>
    <t>002+Bandma%C3%9F</t>
  </si>
  <si>
    <t>The+Beginning</t>
  </si>
  <si>
    <t>001+-+DerRode</t>
  </si>
  <si>
    <t>002+%7C+W%C3%BCrttemberg</t>
  </si>
  <si>
    <t>002.+-+Tol+Dagor</t>
  </si>
  <si>
    <t>001+UniteD</t>
  </si>
  <si>
    <t>01.%2C+Innere+Stadt</t>
  </si>
  <si>
    <t>michibe1s+Dorf</t>
  </si>
  <si>
    <t>Bouldar+Dash</t>
  </si>
  <si>
    <t>Es+gibt+hier+nichts+zu+sehen.</t>
  </si>
  <si>
    <t>004+-+Skellige</t>
  </si>
  <si>
    <t>Forum+04+-+Sebastian87</t>
  </si>
  <si>
    <t>K%C3%B6then</t>
  </si>
  <si>
    <t>K1R3s+Dorf</t>
  </si>
  <si>
    <t>iz00ns+Dorf</t>
  </si>
  <si>
    <t>Paimons+Dorf</t>
  </si>
  <si>
    <t>Kurzfl%C3%BCgelige+Schwertschrecke</t>
  </si>
  <si>
    <t>53%7C49%7C33+-+017represent</t>
  </si>
  <si>
    <t>%7C001%7C+Chilliiii</t>
  </si>
  <si>
    <t>M%C3%BChrigwald+Sportpark</t>
  </si>
  <si>
    <t>%7C001%7C+Moosburg</t>
  </si>
  <si>
    <t>003+Kartenrand+ist+mir+heilig</t>
  </si>
  <si>
    <t>-+Asgard+-</t>
  </si>
  <si>
    <t>%5B001%5D+Nautilus</t>
  </si>
  <si>
    <t>Guck+An</t>
  </si>
  <si>
    <t>turbo+000</t>
  </si>
  <si>
    <t>Agrigentum+001</t>
  </si>
  <si>
    <t>Wir+unsere+D%C3%B6rfer+albern+um</t>
  </si>
  <si>
    <t>%7C005%7C+Generalisimus</t>
  </si>
  <si>
    <t>Grafschaft+B%C3%BCchenberg</t>
  </si>
  <si>
    <t>Dschungelk%C3%B6nig+%2F%2F1</t>
  </si>
  <si>
    <t>vogelspinne+1s+Dorf</t>
  </si>
  <si>
    <t>big+boy+baba</t>
  </si>
  <si>
    <t>%23Press+Exit</t>
  </si>
  <si>
    <t>%7C+001+%7C+Son-Goku</t>
  </si>
  <si>
    <t>Versteck+zu+hoch+zum+pl%C3%BCndern+%3AD</t>
  </si>
  <si>
    <t>Marcauls+Dorf</t>
  </si>
  <si>
    <t>cremeriuss+Dorf</t>
  </si>
  <si>
    <t>%3F%3F%3F%3F</t>
  </si>
  <si>
    <t>04-Y%40r0ns+Dorf</t>
  </si>
  <si>
    <t>2+Bier+Bitte</t>
  </si>
  <si>
    <t>%7C001%7C+Scars+Dorf</t>
  </si>
  <si>
    <t>Zoller+HOF+Brauerei</t>
  </si>
  <si>
    <t>Agentur+f%C3%BCr+Arbeit%7C004</t>
  </si>
  <si>
    <t>-+Vanaheim+-</t>
  </si>
  <si>
    <t>Gratschis+Dorf</t>
  </si>
  <si>
    <t>34%3A95%3A33+%7C+Achtung+Quarant%C3%A4ne</t>
  </si>
  <si>
    <t>PriMiScos+Dorf</t>
  </si>
  <si>
    <t>53%7C59%7C97%23Bash%23</t>
  </si>
  <si>
    <t>53%7C59%7C66+%23Bash%23</t>
  </si>
  <si>
    <t>Johnny+Sins</t>
  </si>
  <si>
    <t>Orientalisches+Dorf</t>
  </si>
  <si>
    <t>Hannah+Hawthorne</t>
  </si>
  <si>
    <t>FullMetalBenders+Dorf</t>
  </si>
  <si>
    <t>DerHanners+D%C3%B6rfchen+001</t>
  </si>
  <si>
    <t>001+ESG</t>
  </si>
  <si>
    <t>SaschaFCs+Dorf</t>
  </si>
  <si>
    <t>IceTeaZeros+Dorf</t>
  </si>
  <si>
    <t>unimartix+zero</t>
  </si>
  <si>
    <t>002+-+Smily</t>
  </si>
  <si>
    <t>K64+46%3A61%3A31+Barbados</t>
  </si>
  <si>
    <t>Ithaka</t>
  </si>
  <si>
    <t>%7E01+Sechzig</t>
  </si>
  <si>
    <t>005+Big+Mac%2C+Deff+den+weg</t>
  </si>
  <si>
    <t>002+Jalisco</t>
  </si>
  <si>
    <t>AG+Inc%21+005%2A</t>
  </si>
  <si>
    <t>003+Amy+Santiago</t>
  </si>
  <si>
    <t>Zentrum+der+Macht</t>
  </si>
  <si>
    <t>1+Bier+Bitte</t>
  </si>
  <si>
    <t>%5B002%5DFriedhof+der+Seelen</t>
  </si>
  <si>
    <t>AyYildiz+%231</t>
  </si>
  <si>
    <t>%5B002%5D+EFH</t>
  </si>
  <si>
    <t>Noice+08</t>
  </si>
  <si>
    <t>003+MajestiC</t>
  </si>
  <si>
    <t>LE-GEs+Dorf</t>
  </si>
  <si>
    <t>%7EKurdistan%7E</t>
  </si>
  <si>
    <t>004+Bacon</t>
  </si>
  <si>
    <t>ludwigas+Dorf</t>
  </si>
  <si>
    <t>02+Gottk%C3%B6nigsreich</t>
  </si>
  <si>
    <t>dome.s+Dorf</t>
  </si>
  <si>
    <t>Schengors+Dorf</t>
  </si>
  <si>
    <t>meep%21</t>
  </si>
  <si>
    <t>IV+-+Fort+Knox</t>
  </si>
  <si>
    <t>White+Hart+Lane</t>
  </si>
  <si>
    <t>Dein+Vater</t>
  </si>
  <si>
    <t>Nackts+Dorf</t>
  </si>
  <si>
    <t>lynexs+Burg</t>
  </si>
  <si>
    <t>Koi+no+Jokan</t>
  </si>
  <si>
    <t>bluechicks+Dorf</t>
  </si>
  <si>
    <t>%7C002%7C+Vienna</t>
  </si>
  <si>
    <t>manni60s+Dorf</t>
  </si>
  <si>
    <t>002+-+Loro</t>
  </si>
  <si>
    <t>Mo1608s+Dorf</t>
  </si>
  <si>
    <t>Johels+Dorf</t>
  </si>
  <si>
    <t>main+town+wo+wir+lernen</t>
  </si>
  <si>
    <t>%7C003%7C+Brotachos</t>
  </si>
  <si>
    <t>chacky+chans+Dorf</t>
  </si>
  <si>
    <t>003+stargazing</t>
  </si>
  <si>
    <t>34%3A94%3A55+%7C+Achtung+Quarant%C3%A4ne</t>
  </si>
  <si>
    <t>.Klaue4.s+Dorf</t>
  </si>
  <si>
    <t>Blupperichs+Dorf</t>
  </si>
  <si>
    <t>.Datzi22.s+Dorf</t>
  </si>
  <si>
    <t>Inv1ctus%2As+Dorf</t>
  </si>
  <si>
    <t>%7C004%7C+ChrZz</t>
  </si>
  <si>
    <t>mungo133s+Dorf</t>
  </si>
  <si>
    <t>001+Weh+du+greifst+mich+an</t>
  </si>
  <si>
    <t>AyYildiz+%233</t>
  </si>
  <si>
    <t>e-dis+Dorf</t>
  </si>
  <si>
    <t>03+Leben+auf+dem+Drahtseil%2C</t>
  </si>
  <si>
    <t>nonstop6s+Dorf</t>
  </si>
  <si>
    <t>02+Frankfurt-Sachsenhausen</t>
  </si>
  <si>
    <t>Chamsifs+Dorf</t>
  </si>
  <si>
    <t>003+Pueblo</t>
  </si>
  <si>
    <t>003+bubiwa13</t>
  </si>
  <si>
    <t>muleks+dorf</t>
  </si>
  <si>
    <t>001+Ecki</t>
  </si>
  <si>
    <t>bier69s+Dorf</t>
  </si>
  <si>
    <t>Adlerhorst+004</t>
  </si>
  <si>
    <t>45%3A28%3A95+AG%3F%21+Kostet+ja+nix</t>
  </si>
  <si>
    <t>-+Ljossalfheim+-</t>
  </si>
  <si>
    <t>max1+Kolosseum</t>
  </si>
  <si>
    <t>YungSvnds+Dorf</t>
  </si>
  <si>
    <t>-%5B005%5D-Im+Profil+stehen+die+AGBs</t>
  </si>
  <si>
    <t>Smock+City</t>
  </si>
  <si>
    <t>Gestiefelter+Kater</t>
  </si>
  <si>
    <t>Saftladens+D%C3%B6rle</t>
  </si>
  <si>
    <t>Greidl+2+Dorf</t>
  </si>
  <si>
    <t>stuzelchens+Dorf</t>
  </si>
  <si>
    <t>01+You+Should+Have</t>
  </si>
  <si>
    <t>Royale+%234</t>
  </si>
  <si>
    <t>004+BlubisBacks</t>
  </si>
  <si>
    <t>Kontrol%C3%B6r</t>
  </si>
  <si>
    <t>Burg+Herzberg</t>
  </si>
  <si>
    <t>Almbachs+Dorf</t>
  </si>
  <si>
    <t>%2A%7EMeep%7E%2A</t>
  </si>
  <si>
    <t>AyYildiz+%232</t>
  </si>
  <si>
    <t>AG+Inc%21+007%2A</t>
  </si>
  <si>
    <t>Djego66s+Dorf</t>
  </si>
  <si>
    <t>01+Royal+Oak</t>
  </si>
  <si>
    <t>Karl+der+Unbeirrbares+Dorf</t>
  </si>
  <si>
    <t>CommanderLarrys+Dorf</t>
  </si>
  <si>
    <t>S+Town</t>
  </si>
  <si>
    <t>torvinhos+Dorf</t>
  </si>
  <si>
    <t>Napoleon66s+Dorf</t>
  </si>
  <si>
    <t>Zerclicker%21+004</t>
  </si>
  <si>
    <t>Der+Schrei</t>
  </si>
  <si>
    <t>Kempen+003</t>
  </si>
  <si>
    <t>001+Ellesmera</t>
  </si>
  <si>
    <t>%5B01%5D+Were+No+Strangers+to+Love</t>
  </si>
  <si>
    <t>The+Ragged+Flagon</t>
  </si>
  <si>
    <t>nein+nein</t>
  </si>
  <si>
    <t>%2A%7ERozzaria%7E%2A</t>
  </si>
  <si>
    <t>hois+Dorf</t>
  </si>
  <si>
    <t>S%C3%B6llereck</t>
  </si>
  <si>
    <t>65%7C10%7C87</t>
  </si>
  <si>
    <t>Esylums+Dorf</t>
  </si>
  <si>
    <t>Getischs+Dorf</t>
  </si>
  <si>
    <t>Labor+-001-</t>
  </si>
  <si>
    <t>der+anfaengers+Dorf</t>
  </si>
  <si>
    <t>%5B002%5D+kein+Barbarendorf</t>
  </si>
  <si>
    <t>%5B002%5D+runnergeranzt</t>
  </si>
  <si>
    <t>GEADELT%21%21%21%21</t>
  </si>
  <si>
    <t>Farm+%2301</t>
  </si>
  <si>
    <t>WHO+DAT+Nation+005</t>
  </si>
  <si>
    <t>In+Bertis+Heim+bist+nie+allein</t>
  </si>
  <si>
    <t>Adolphinas+Dorf</t>
  </si>
  <si>
    <t>T+01</t>
  </si>
  <si>
    <t>Nini+der+Ritters+Dorf</t>
  </si>
  <si>
    <t>welovefeedzs+Dorf</t>
  </si>
  <si>
    <t>beckdan936s+Dorf</t>
  </si>
  <si>
    <t>legrends+Dorf</t>
  </si>
  <si>
    <t>Bedde+002</t>
  </si>
  <si>
    <t>T-Town+1.</t>
  </si>
  <si>
    <t>Katjas+Starbucks+um+die+Ecke</t>
  </si>
  <si>
    <t>02+-+Gibma</t>
  </si>
  <si>
    <t>Bash%7C04</t>
  </si>
  <si>
    <t>Fitness+Factory</t>
  </si>
  <si>
    <t>Kiyosukis+Dorf</t>
  </si>
  <si>
    <t>001%7CMannheim</t>
  </si>
  <si>
    <t>%5B010%5D</t>
  </si>
  <si>
    <t>South+Park</t>
  </si>
  <si>
    <t>Oberes+Karazan</t>
  </si>
  <si>
    <t>53%7C49%7C71+-+017represent</t>
  </si>
  <si>
    <t>FabyHs+Dorf</t>
  </si>
  <si>
    <t>Januschs+Dorf</t>
  </si>
  <si>
    <t>Tank+Zackenbarsch</t>
  </si>
  <si>
    <t>001+-+Dien+Phu</t>
  </si>
  <si>
    <t>von+Aschens+Dorf</t>
  </si>
  <si>
    <t>%5B001%5DAchilles</t>
  </si>
  <si>
    <t>Great+Widewill</t>
  </si>
  <si>
    <t>Wall+auf+69</t>
  </si>
  <si>
    <t>001+Atlantis</t>
  </si>
  <si>
    <t>%5B002%5D+sVraCer</t>
  </si>
  <si>
    <t>Orka07s+Dorf</t>
  </si>
  <si>
    <t>2Crapy4Bashs+Dorf</t>
  </si>
  <si>
    <t>%5B009%5D</t>
  </si>
  <si>
    <t>Danke+Merkel+001</t>
  </si>
  <si>
    <t>178+%7E+Kumk%C3%B6y</t>
  </si>
  <si>
    <t>Viserion+001</t>
  </si>
  <si>
    <t>Jodlers+Dorf</t>
  </si>
  <si>
    <t>Valhalla+1</t>
  </si>
  <si>
    <t>%5B003%5DEyHaschtduPlatzf%C3%BCrmeiBike%3F</t>
  </si>
  <si>
    <t>KK+003</t>
  </si>
  <si>
    <t>2.+Dedaggi</t>
  </si>
  <si>
    <t>002+UniteD</t>
  </si>
  <si>
    <t>%5B001%5D+M%C3%BCnchen</t>
  </si>
  <si>
    <t>%23001+Konohagakure</t>
  </si>
  <si>
    <t>54%7C81%7C12</t>
  </si>
  <si>
    <t>Berthold13s+Dorf+Kolin</t>
  </si>
  <si>
    <t>stehbeisl3002s+Dorf</t>
  </si>
  <si>
    <t>Hailey+Brooks</t>
  </si>
  <si>
    <t>Triple+3</t>
  </si>
  <si>
    <t>Robos+Dorf</t>
  </si>
  <si>
    <t>Bravo+1</t>
  </si>
  <si>
    <t>004+%7C+Paffegrund</t>
  </si>
  <si>
    <t>Rudi+das+R%C3%BCsslschweins+Dorf</t>
  </si>
  <si>
    <t>M%C3%BCsli</t>
  </si>
  <si>
    <t>%5B011%5D</t>
  </si>
  <si>
    <t>Easy+Joe</t>
  </si>
  <si>
    <t>%7C001%7C+Bob+Marley</t>
  </si>
  <si>
    <t>03%7C+xIncr3dible</t>
  </si>
  <si>
    <t>006%7C+Anivia</t>
  </si>
  <si>
    <t>Charamas+Dorfilein</t>
  </si>
  <si>
    <t>%7C004%7C+Ativaros+Dorf</t>
  </si>
  <si>
    <t>%5B002%5D+The+Riffag</t>
  </si>
  <si>
    <t>x3+Er+Muss+StINCen</t>
  </si>
  <si>
    <t>GeniusRosas+Dorf</t>
  </si>
  <si>
    <t>%231+Nationaler+Schwachsinn</t>
  </si>
  <si>
    <t>mystery+castles+Dorf</t>
  </si>
  <si>
    <t>002+Sythen</t>
  </si>
  <si>
    <t>002+Crazy%21</t>
  </si>
  <si>
    <t>001+Amin</t>
  </si>
  <si>
    <t>Its+TeaTime</t>
  </si>
  <si>
    <t>BurnMofos+Dorf</t>
  </si>
  <si>
    <t>Lord+Wischnboarts+Dorf</t>
  </si>
  <si>
    <t>Dorfh%C3%BCtte</t>
  </si>
  <si>
    <t>ac10003s+Dorf</t>
  </si>
  <si>
    <t>saschaaas+Dorf</t>
  </si>
  <si>
    <t>terranuevas+Dorf</t>
  </si>
  <si>
    <t>Undead+Settlement</t>
  </si>
  <si>
    <t>ciniminiks+Dorf</t>
  </si>
  <si>
    <t>%7E2%7E</t>
  </si>
  <si>
    <t>Festung+%7B002%7D</t>
  </si>
  <si>
    <t>%7EBleeds+no+more%7E</t>
  </si>
  <si>
    <t>Billie+Kimber</t>
  </si>
  <si>
    <t>High+Way</t>
  </si>
  <si>
    <t>Pierrevowis+Dorf</t>
  </si>
  <si>
    <t>003.+-+Riesenfl%C3%B6tz</t>
  </si>
  <si>
    <t>%5B002%5D+Mithlond</t>
  </si>
  <si>
    <t>003.+31er+Luddiwig</t>
  </si>
  <si>
    <t>Easy+Town+2</t>
  </si>
  <si>
    <t>Fort+Alcatraz</t>
  </si>
  <si>
    <t>Svobby+006</t>
  </si>
  <si>
    <t>003+%7C+Lirum.Lara.L%C3%B6ffelstiel</t>
  </si>
  <si>
    <t>%5B001%5DEiskronenzitadelle</t>
  </si>
  <si>
    <t>DRAGOON+01</t>
  </si>
  <si>
    <t>01+Nationaler+Konter</t>
  </si>
  <si>
    <t>Ben+I+do+rechtig%3Fs+Dorf</t>
  </si>
  <si>
    <t>GameTriiXHDs+Dorf</t>
  </si>
  <si>
    <t>03+in+Ehren+R.S3+%3A%2A</t>
  </si>
  <si>
    <t>002+Spectre</t>
  </si>
  <si>
    <t>imchen12s+Dorf</t>
  </si>
  <si>
    <t>53%7C69%7C56%23Bash%23</t>
  </si>
  <si>
    <t>L36abcS+Dorf</t>
  </si>
  <si>
    <t>Dorfplatz+000</t>
  </si>
  <si>
    <t>AG+Asgard</t>
  </si>
  <si>
    <t>Keystone+City</t>
  </si>
  <si>
    <t>Flying+Lamb</t>
  </si>
  <si>
    <t>Tropfsteinh%C3%B6lle</t>
  </si>
  <si>
    <t>killtecss+Dorf</t>
  </si>
  <si>
    <t>bla+bla</t>
  </si>
  <si>
    <t>Ameise</t>
  </si>
  <si>
    <t>Glitzert%C3%B6rti</t>
  </si>
  <si>
    <t>seu-madrugas+Dorf</t>
  </si>
  <si>
    <t>Dat+Lisbetts+Dorf</t>
  </si>
  <si>
    <t>Zomb%21e</t>
  </si>
  <si>
    <t>Simonikas+Bleibe</t>
  </si>
  <si>
    <t>Burg+Mark</t>
  </si>
  <si>
    <t>x4+Enten+StINCen+Nicht</t>
  </si>
  <si>
    <t>Parisienne+Vert</t>
  </si>
  <si>
    <t>Dschungelk%C3%B6nig+%2F%2F2</t>
  </si>
  <si>
    <t>Der0lles+Dorf</t>
  </si>
  <si>
    <t>simonduck111s+Dorf</t>
  </si>
  <si>
    <t>Ghost+Town+2</t>
  </si>
  <si>
    <t>%2801%29</t>
  </si>
  <si>
    <t>%7C000</t>
  </si>
  <si>
    <t>54%3A30%3A15+PE</t>
  </si>
  <si>
    <t>Saljut+1</t>
  </si>
  <si>
    <t>%5B002%5D+B%C3%A4renmarke+3%2C8%25</t>
  </si>
  <si>
    <t>asd12345s+Dorf</t>
  </si>
  <si>
    <t>K%C3%BCste</t>
  </si>
  <si>
    <t>Schbabbas+Dorf</t>
  </si>
  <si>
    <t>xmarlons+Dorf</t>
  </si>
  <si>
    <t>pt1102s+Dorf</t>
  </si>
  <si>
    <t>Death+City</t>
  </si>
  <si>
    <t>DomiZockt17s+Dorf</t>
  </si>
  <si>
    <t>Gustav+xDs+Dorf</t>
  </si>
  <si>
    <t>M%C3%BCll</t>
  </si>
  <si>
    <t>lord+s23s+Dorf</t>
  </si>
  <si>
    <t>02+%7C+%23bLuB</t>
  </si>
  <si>
    <t>03+ChrisisStripSchuppen</t>
  </si>
  <si>
    <t>NightReptiles+Dorf</t>
  </si>
  <si>
    <t>%5B002%5D+Schnappi</t>
  </si>
  <si>
    <t>Rohan+-+oo1</t>
  </si>
  <si>
    <t>keppi1968s+Dorf</t>
  </si>
  <si>
    <t>slaven-towns+Dorf</t>
  </si>
  <si>
    <t>Bauer03s+Dorf</t>
  </si>
  <si>
    <t>Zitadelle+Berlin-Spandau</t>
  </si>
  <si>
    <t>Germane147s+Dorf</t>
  </si>
  <si>
    <t>1%7C+Genesis</t>
  </si>
  <si>
    <t>Des+dunklen+Vaters+Dorf</t>
  </si>
  <si>
    <t>navy25s+Dorf</t>
  </si>
  <si>
    <t>Knallh%C3%BCtte</t>
  </si>
  <si>
    <t>001+AG+Suite</t>
  </si>
  <si>
    <t>%7C003%7C+Brotachos+ex+Dorf</t>
  </si>
  <si>
    <t>Mr-Ds+Festung</t>
  </si>
  <si>
    <t>Pflaumenpfl%C3%BCcker</t>
  </si>
  <si>
    <t>GORGON+01</t>
  </si>
  <si>
    <t>%231+-+Schmalhans</t>
  </si>
  <si>
    <t>dorschden+Dorf1</t>
  </si>
  <si>
    <t>WHO+DAT+Nation+002</t>
  </si>
  <si>
    <t>kunigunde62s+Dorf</t>
  </si>
  <si>
    <t>Jokerjulians+Dorf</t>
  </si>
  <si>
    <t>Bedde+003</t>
  </si>
  <si>
    <t>No.1+%28390%2F534%29</t>
  </si>
  <si>
    <t>Masteralis+Dorf</t>
  </si>
  <si>
    <t>%5B003%5D+LeBron+James</t>
  </si>
  <si>
    <t>tekkneuts+Dorf</t>
  </si>
  <si>
    <t>cyrus+der+Arme%2F18Zwiebel</t>
  </si>
  <si>
    <t>Marion1s+Dorf</t>
  </si>
  <si>
    <t>Anejo+especial</t>
  </si>
  <si>
    <t>T+02</t>
  </si>
  <si>
    <t>Viserion+002</t>
  </si>
  <si>
    <t>Cair+Andros</t>
  </si>
  <si>
    <t>-There+Will+Be+Blood-</t>
  </si>
  <si>
    <t>BlackerPearls+Dorf</t>
  </si>
  <si>
    <t>Dedituss+Dor</t>
  </si>
  <si>
    <t>C0rona+ist+besiegt</t>
  </si>
  <si>
    <t>54%2F3698</t>
  </si>
  <si>
    <t>Koiles+erstes+und+letztes+Dorf</t>
  </si>
  <si>
    <t>Weltenraechers+Dorf</t>
  </si>
  <si>
    <t>petrickstars+Dorf</t>
  </si>
  <si>
    <t>01+%7C+%23bLuB</t>
  </si>
  <si>
    <t>%5B001%5D+Geist+schafft+Materie</t>
  </si>
  <si>
    <t>Sev01s+Dorf</t>
  </si>
  <si>
    <t>006+Ja+-+Mir+gehts+Gut%21</t>
  </si>
  <si>
    <t>Der+Blaue+Lord+Helmchens+Dorf</t>
  </si>
  <si>
    <t>lenzi1112s+Dorf</t>
  </si>
  <si>
    <t>-002%7CBetrayed-</t>
  </si>
  <si>
    <t>Toinoks+Dorf</t>
  </si>
  <si>
    <t>002+get+the+London+Look</t>
  </si>
  <si>
    <t>Double+Lemon+Haze</t>
  </si>
  <si>
    <t>Warum+hast+du+eine+Maske+auf%3F</t>
  </si>
  <si>
    <t>009_Support+f%C3%BCr+meine+B%C3%A4rchen</t>
  </si>
  <si>
    <t>AkitoReborns+Dorf</t>
  </si>
  <si>
    <t>S%C3%B6lden</t>
  </si>
  <si>
    <t>Big+Boy</t>
  </si>
  <si>
    <t>003+%7C+Au%C3%9Fenposten</t>
  </si>
  <si>
    <t>imschns+Dorf</t>
  </si>
  <si>
    <t>avavis+Dorf</t>
  </si>
  <si>
    <t>nebles+Dorf</t>
  </si>
  <si>
    <t>SKILL+ist+f%C3%BCr+Leute+ohne+Luck</t>
  </si>
  <si>
    <t>FvN1899s+Dorf</t>
  </si>
  <si>
    <t>Altes+Lager</t>
  </si>
  <si>
    <t>K%C3%B6nig+ritter+wittstocks+Dorf</t>
  </si>
  <si>
    <t>031+Wichshausen</t>
  </si>
  <si>
    <t>einsamer+Wolf54s+Dorf</t>
  </si>
  <si>
    <t>Dorf+der+Zerst%C3%B6rung+01</t>
  </si>
  <si>
    <t>Imochdiplatts+Dorf</t>
  </si>
  <si>
    <t>Schloss+Moritzburg</t>
  </si>
  <si>
    <t>Garten+Eden</t>
  </si>
  <si>
    <t>43%3A58%3A87+LConnewitz</t>
  </si>
  <si>
    <t>005+Amin</t>
  </si>
  <si>
    <t>Tal+der+Tr%C3%A4nen</t>
  </si>
  <si>
    <t>Black+hole+001</t>
  </si>
  <si>
    <t>-.ShocK.-s+Dorf</t>
  </si>
  <si>
    <t>Jo98hanness+Dorf</t>
  </si>
  <si>
    <t>Pfandwart88s+Dorf</t>
  </si>
  <si>
    <t>005+Lord+Afroman</t>
  </si>
  <si>
    <t>Deams+Dor</t>
  </si>
  <si>
    <t>Siegfried+Bunker</t>
  </si>
  <si>
    <t>%234+Nicht+dein+Dorf</t>
  </si>
  <si>
    <t>Hlinka10s+Dorf</t>
  </si>
  <si>
    <t>53%7C48%7C87+-+017represent</t>
  </si>
  <si>
    <t>Master+DE+001</t>
  </si>
  <si>
    <t>Achillesxs+Dorf</t>
  </si>
  <si>
    <t>004+K%C3%B6ln</t>
  </si>
  <si>
    <t>tankriss+Dorf</t>
  </si>
  <si>
    <t>Schatten+Clans+Dorf</t>
  </si>
  <si>
    <t>%5B004%5D+Ponyhof</t>
  </si>
  <si>
    <t>-The+Pleasant+Offering-</t>
  </si>
  <si>
    <t>K%C3%A4se</t>
  </si>
  <si>
    <t>idiot+auf+reises+Dorf</t>
  </si>
  <si>
    <t>Padexs+Dorf</t>
  </si>
  <si>
    <t>Medellin+Kartell</t>
  </si>
  <si>
    <t>Br%C3%BCssow</t>
  </si>
  <si>
    <t>beni8scbs+Dorf</t>
  </si>
  <si>
    <t>New+Xandor+City</t>
  </si>
  <si>
    <t>%7C005%7C+Enceladus+ex+Dorf</t>
  </si>
  <si>
    <t>schulli1s+Dorf</t>
  </si>
  <si>
    <t>Lady+Manys+Dorf</t>
  </si>
  <si>
    <t>53%7C59%7C75+%23Bash%23</t>
  </si>
  <si>
    <t>002+-+Sky+lila%2C+wie+Milka</t>
  </si>
  <si>
    <t>%5B004%5D+Nuff+mit+die+Viecher</t>
  </si>
  <si>
    <t>Lord+Urdnot+Wrexs+Dorf</t>
  </si>
  <si>
    <t>Lord+PwndByPonys+Dorf</t>
  </si>
  <si>
    <t>motz31s+Dorf</t>
  </si>
  <si>
    <t>2%2F5</t>
  </si>
  <si>
    <t>Strength+Cartels+Dorf</t>
  </si>
  <si>
    <t>H+Dorf</t>
  </si>
  <si>
    <t>resurrection117s+Dorf</t>
  </si>
  <si>
    <t>Benutzternames+Dorfs</t>
  </si>
  <si>
    <t>-004-+Die+Bourne+Identit%C3%A4t</t>
  </si>
  <si>
    <t>gregsens+Dorf</t>
  </si>
  <si>
    <t>Henri+Henrisohn</t>
  </si>
  <si>
    <t>Cadaverous66s+Dorf</t>
  </si>
  <si>
    <t>BW+Galgenmoor+2</t>
  </si>
  <si>
    <t>Steeeves+Dorf</t>
  </si>
  <si>
    <t>mantus+Dorf</t>
  </si>
  <si>
    <t>Tettenburas+Dorf</t>
  </si>
  <si>
    <t>35%3A84%3A77+Great+Grey+Wolf+Sif</t>
  </si>
  <si>
    <t>Dorf+der+Zerst%C3%B6rung+02</t>
  </si>
  <si>
    <t>Royal+Bunker</t>
  </si>
  <si>
    <t>005+%7C+Verr%C3%BCckter+Kern</t>
  </si>
  <si>
    <t>Nehmt+meine+Frauen%2C+nicht+die+Re</t>
  </si>
  <si>
    <t>001+Festung</t>
  </si>
  <si>
    <t>%5B003%5D+Affalterbach</t>
  </si>
  <si>
    <t>Ich+lach+mich+kaputt+%3AD%21</t>
  </si>
  <si>
    <t>Kutscherhaus+%7C1%7C</t>
  </si>
  <si>
    <t>Vahois+Dorf</t>
  </si>
  <si>
    <t>No.4+%5B477%7C379%5D+AG</t>
  </si>
  <si>
    <t>Franky+De+Witts+Reich</t>
  </si>
  <si>
    <t>Bretter+Dorf</t>
  </si>
  <si>
    <t>%C3%84h+%C3%84h+%C3%84hs+Dorf</t>
  </si>
  <si>
    <t>Blumenwiese+mit+Dorf</t>
  </si>
  <si>
    <t>Oh+weh</t>
  </si>
  <si>
    <t>Jeepers+Creepers</t>
  </si>
  <si>
    <t>178%2F1</t>
  </si>
  <si>
    <t>K%C3%BCpfendorf</t>
  </si>
  <si>
    <t>Friedliches+H%C3%A4ndlerdorf</t>
  </si>
  <si>
    <t>Captian+Marvel+%3A3</t>
  </si>
  <si>
    <t>IronMan+%3A3</t>
  </si>
  <si>
    <t>Central+Station</t>
  </si>
  <si>
    <t>yeter001s+Dorf</t>
  </si>
  <si>
    <t>GROUND+ZERO</t>
  </si>
  <si>
    <t>L%C3%B6wenzahn</t>
  </si>
  <si>
    <t>Bastard+City</t>
  </si>
  <si>
    <t>%2BSkill+Lappen+Dorf</t>
  </si>
  <si>
    <t>304K+umsonst+gefarmt</t>
  </si>
  <si>
    <t>Camachos+Dorf</t>
  </si>
  <si>
    <t>Wingendorfers+Dorf</t>
  </si>
  <si>
    <t>Corvus-noctiss+Dorf</t>
  </si>
  <si>
    <t>Trash+001</t>
  </si>
  <si>
    <t>003+Amin</t>
  </si>
  <si>
    <t>%7C002%7C+lumiboys+ex+Dorf</t>
  </si>
  <si>
    <t>MD1999s+Dorf</t>
  </si>
  <si>
    <t>keithstackz1s+Dorf</t>
  </si>
  <si>
    <t>Kaiser3dabeis+Dorf</t>
  </si>
  <si>
    <t>St.+Sebastian</t>
  </si>
  <si>
    <t>rurik1338s+Dorf</t>
  </si>
  <si>
    <t>Lord+Titankaempfer</t>
  </si>
  <si>
    <t>D%C3%A4mmerwacht</t>
  </si>
  <si>
    <t>M%C3%A4xPowers+Dorf</t>
  </si>
  <si>
    <t>Susanna+Glockes+Dorf</t>
  </si>
  <si>
    <t>oli55s+Dorf</t>
  </si>
  <si>
    <t>accab1s+Dorf</t>
  </si>
  <si>
    <t>002+Amin</t>
  </si>
  <si>
    <t>Aphrodite66s+Dorf</t>
  </si>
  <si>
    <t>Der+Weg+der+Freiheit</t>
  </si>
  <si>
    <t>Jinxors+Dorf</t>
  </si>
  <si>
    <t>Lord+Rubikubs+Dorf</t>
  </si>
  <si>
    <t>Lady-Fannys+Dorf</t>
  </si>
  <si>
    <t>%5B000%5D</t>
  </si>
  <si>
    <t>AN+Ancona</t>
  </si>
  <si>
    <t>Defakes+Doof</t>
  </si>
  <si>
    <t>%5B000%5D+Bardau</t>
  </si>
  <si>
    <t>01+Britania</t>
  </si>
  <si>
    <t>Rembo+%3D+Noob</t>
  </si>
  <si>
    <t>Dorf+des+Drachen</t>
  </si>
  <si>
    <t>Verlies+der+W%C3%A4chterin</t>
  </si>
  <si>
    <t>-Finger+weg-</t>
  </si>
  <si>
    <t>futzys+Dorf</t>
  </si>
  <si>
    <t>Lord+Springers+Dorf</t>
  </si>
  <si>
    <t>VOTOSs+Dorf</t>
  </si>
  <si>
    <t>04+Day-Date</t>
  </si>
  <si>
    <t>Mucks+Dorf</t>
  </si>
  <si>
    <t>quantuss+Dorf</t>
  </si>
  <si>
    <t>tom+1s+Dorf</t>
  </si>
  <si>
    <t>Fraenkileinkleinis+Stadt</t>
  </si>
  <si>
    <t>Minas+Tirid</t>
  </si>
  <si>
    <t>El+Dorfo</t>
  </si>
  <si>
    <t>Luanas+Dorf</t>
  </si>
  <si>
    <t>Bella+Ciao</t>
  </si>
  <si>
    <t>Michelles+Dorf</t>
  </si>
  <si>
    <t>-%5B004%5D-Im+Profil+stehen+die+AGBs</t>
  </si>
  <si>
    <t>SuperKathiiis+Dorf</t>
  </si>
  <si>
    <t>%23001+COLT</t>
  </si>
  <si>
    <t>001+Lena+Mayer+Landrut+Fanclub</t>
  </si>
  <si>
    <t>005+Reisch+dich+ma+am+Rieme%21</t>
  </si>
  <si>
    <t>xAliceDs+Dorf</t>
  </si>
  <si>
    <t>R4VENGEs+Dorf</t>
  </si>
  <si>
    <t>%5B001%5D+Eustass+Kid</t>
  </si>
  <si>
    <t>Cranberry+AG</t>
  </si>
  <si>
    <t>Torti22222s+Dorf</t>
  </si>
  <si>
    <t>go+fear+yourself</t>
  </si>
  <si>
    <t>Holli47s+Dorf</t>
  </si>
  <si>
    <t>Pupanzs+Village</t>
  </si>
  <si>
    <t>Saenzgis+Dorf</t>
  </si>
  <si>
    <t>Faulige+Krypta</t>
  </si>
  <si>
    <t>BumBum+roXx</t>
  </si>
  <si>
    <t>Flo%C3%9Ffahrt</t>
  </si>
  <si>
    <t>xray168s+Dorf</t>
  </si>
  <si>
    <t>de+black+mambas+Dorf</t>
  </si>
  <si>
    <t>Lord+Beckys+Dorf</t>
  </si>
  <si>
    <t>LOrdxDDDs+Dorf</t>
  </si>
  <si>
    <t>Schwarzw%C3%A4lders+Dorf</t>
  </si>
  <si>
    <t>KLT+%2F%2F+001</t>
  </si>
  <si>
    <t>madmcdocs+Dorf</t>
  </si>
  <si>
    <t>Wendenerh%C3%BCtte</t>
  </si>
  <si>
    <t>Aventi+Dorf</t>
  </si>
  <si>
    <t>Pyrazids+D%C3%B6rfchen</t>
  </si>
  <si>
    <t>Nicks+Dorf</t>
  </si>
  <si>
    <t>%5B001%5D+Rome</t>
  </si>
  <si>
    <t>%2A%2AT.P.M.%2A%2As+Dorf</t>
  </si>
  <si>
    <t>Poitzns+Dorf</t>
  </si>
  <si>
    <t>Dynamo+Dosenbiers+Dorf</t>
  </si>
  <si>
    <t>%7EVillage%7E</t>
  </si>
  <si>
    <t>Rocky+Beach</t>
  </si>
  <si>
    <t>scheini+98s+Dorf</t>
  </si>
  <si>
    <t>42551+Velbert+1</t>
  </si>
  <si>
    <t>Devils+Catacomb</t>
  </si>
  <si>
    <t>04+Eradicate</t>
  </si>
  <si>
    <t>K%C3%A4rnten</t>
  </si>
  <si>
    <t>dizzer1992s+Dorf</t>
  </si>
  <si>
    <t>Black+Label</t>
  </si>
  <si>
    <t>NAZARIUSs+Dorf</t>
  </si>
  <si>
    <t>wofchek2k3s+Dorf</t>
  </si>
  <si>
    <t>Schwarze+Festung</t>
  </si>
  <si>
    <t>B%C3%B6siM%C3%B6sis+Dorf</t>
  </si>
  <si>
    <t>Skaterffms+Dorf-001</t>
  </si>
  <si>
    <t>Der+Zerst%C3%B6rer</t>
  </si>
  <si>
    <t>Got+a+girlfriend</t>
  </si>
  <si>
    <t>crankzkps+Dorf</t>
  </si>
  <si>
    <t>006+Schenzilas+B%C3%BCro</t>
  </si>
  <si>
    <t>Rhabarbers+Dorf</t>
  </si>
  <si>
    <t>Tourist+Attraction</t>
  </si>
  <si>
    <t>wuzzibears+Dorf+1</t>
  </si>
  <si>
    <t>littleswisss+Dorf</t>
  </si>
  <si>
    <t>34%3A94%3A28+%7C+Achtung+Quarant%C3%A4ne</t>
  </si>
  <si>
    <t>der+Blutschleckers+Dorf</t>
  </si>
  <si>
    <t>Storchenschnabels+Dorf</t>
  </si>
  <si>
    <t>Blackhell2301s+Dorf</t>
  </si>
  <si>
    <t>pierce21686s+Dorf</t>
  </si>
  <si>
    <t>Barbaras+Dorf</t>
  </si>
  <si>
    <t>Puzzels188s+Dorf</t>
  </si>
  <si>
    <t>NurzurInfos+1+Dorf</t>
  </si>
  <si>
    <t>05%7C+xIncr3dible</t>
  </si>
  <si>
    <t>D%C3%B6rfi</t>
  </si>
  <si>
    <t>Gustellos+Dorf</t>
  </si>
  <si>
    <t>Tiger+Town</t>
  </si>
  <si>
    <t>Tchipos+Dorf</t>
  </si>
  <si>
    <t>Kein+Sack+Zwiebeln</t>
  </si>
  <si>
    <t>Mac+der+M%C3%A4chtiges+Dorf</t>
  </si>
  <si>
    <t>Bossis+Dorf</t>
  </si>
  <si>
    <t>Spongebob+Schwammkopf</t>
  </si>
  <si>
    <t>Tanithas+Dorf</t>
  </si>
  <si>
    <t>Port+Andromeda</t>
  </si>
  <si>
    <t>Hutzus+Dorf</t>
  </si>
  <si>
    <t>Len+3</t>
  </si>
  <si>
    <t>New+Black</t>
  </si>
  <si>
    <t>jaden87s+3nd</t>
  </si>
  <si>
    <t>RAHOWA88s+Dorf</t>
  </si>
  <si>
    <t>Koma1s+Dorf</t>
  </si>
  <si>
    <t>13+Hietzing</t>
  </si>
  <si>
    <t>Shadowokas+Dorf</t>
  </si>
  <si>
    <t>oladeles+Dorf01</t>
  </si>
  <si>
    <t>Silenoz+Dorf</t>
  </si>
  <si>
    <t>Gustav11012s+Dorf</t>
  </si>
  <si>
    <t>mmaarrcciis+Dorf</t>
  </si>
  <si>
    <t>%5B02%5D+You+Know+The+Rules</t>
  </si>
  <si>
    <t>Turbo+Town</t>
  </si>
  <si>
    <t>TheDrJs+Dorf</t>
  </si>
  <si>
    <t>rodrigues66s+Dorf</t>
  </si>
  <si>
    <t>HulkHodns+Dorf+1</t>
  </si>
  <si>
    <t>Nameless+Emperor+Dorf</t>
  </si>
  <si>
    <t>Jugoboy95s+Dorf</t>
  </si>
  <si>
    <t>Summseseumms+Dorf</t>
  </si>
  <si>
    <t>wendicos+Dorf</t>
  </si>
  <si>
    <t>Rohan+-+oo3</t>
  </si>
  <si>
    <t>Neustadt+%28Hessen%29</t>
  </si>
  <si>
    <t>001+-+Montabaur</t>
  </si>
  <si>
    <t>H%C3%B6hle</t>
  </si>
  <si>
    <t>MasterDeaths+Dorf</t>
  </si>
  <si>
    <t>schmuglers+Dorf</t>
  </si>
  <si>
    <t>K+53+-+58+Burgviertels+Dorf</t>
  </si>
  <si>
    <t>Bunker+001</t>
  </si>
  <si>
    <t>Habgut+Lightek</t>
  </si>
  <si>
    <t>Dorf+Dorf</t>
  </si>
  <si>
    <t>Caer+Powys</t>
  </si>
  <si>
    <t>TheDutchmans+Imperium</t>
  </si>
  <si>
    <t>D-Generation+X93s+Dorf</t>
  </si>
  <si>
    <t>The+Hell</t>
  </si>
  <si>
    <t>ChaosFlavoured+38%7C88%7C04</t>
  </si>
  <si>
    <t>K%C3%B6nig+Durans+Dorf</t>
  </si>
  <si>
    <t>facelessvoid007s+Dorf</t>
  </si>
  <si>
    <t>dei+mems+Dorf</t>
  </si>
  <si>
    <t>Burg+Bodenteich</t>
  </si>
  <si>
    <t>Mareks+Dorf</t>
  </si>
  <si>
    <t>jcb68s+Dorf</t>
  </si>
  <si>
    <t>FernandoDerTeufels+Dorf</t>
  </si>
  <si>
    <t>Wyatt+Stepp+Earps+Dorf</t>
  </si>
  <si>
    <t>eda4s+Dor</t>
  </si>
  <si>
    <t>Nervans+Dorf</t>
  </si>
  <si>
    <t>majroes+Dorf</t>
  </si>
  <si>
    <t>Nooo1s+Dorf</t>
  </si>
  <si>
    <t>gunther1s+Dorf</t>
  </si>
  <si>
    <t>%7B001%7D+Gurmels</t>
  </si>
  <si>
    <t>frane77s+Dorf</t>
  </si>
  <si>
    <t>drbenis+Dorf</t>
  </si>
  <si>
    <t>AdelnNachZahlens+Dorf</t>
  </si>
  <si>
    <t>001+Woodfishs+Dorf</t>
  </si>
  <si>
    <t>caravan16s+Dorf</t>
  </si>
  <si>
    <t>Warumimmerichs+Dorf</t>
  </si>
  <si>
    <t>Bogglas+Dorf</t>
  </si>
  <si>
    <t>tokra14s+Dorf</t>
  </si>
  <si>
    <t>FabNes+Dorf</t>
  </si>
  <si>
    <t>%5B001%5D+Qualityland</t>
  </si>
  <si>
    <t>RasurPurs+Dorf</t>
  </si>
  <si>
    <t>Gr%C3%BCtze</t>
  </si>
  <si>
    <t>Hasenb%C3%BCttel</t>
  </si>
  <si>
    <t>Cala+Tortas+Dorf</t>
  </si>
  <si>
    <t>peterzwegat22s+Dorf</t>
  </si>
  <si>
    <t>002+-%3DBochum%3D-</t>
  </si>
  <si>
    <t>Unsere+kleine+Farm</t>
  </si>
  <si>
    <t>mavi43s+Dorf</t>
  </si>
  <si>
    <t>Lo0xIs+Dorf</t>
  </si>
  <si>
    <t>Lupus+Angelus+01</t>
  </si>
  <si>
    <t>Der+Berserkers+Dorf</t>
  </si>
  <si>
    <t>Villa+Kunterbunt+002</t>
  </si>
  <si>
    <t>jenbets+Dorf</t>
  </si>
  <si>
    <t>Sinouus+Dorf</t>
  </si>
  <si>
    <t>SerbianBosss+Dorf</t>
  </si>
  <si>
    <t>maxhaxlefaxs+Dorf</t>
  </si>
  <si>
    <t>Neues+Lager</t>
  </si>
  <si>
    <t>001+Dress+Rosa</t>
  </si>
  <si>
    <t>deintot5s+Dorf</t>
  </si>
  <si>
    <t>Obtainaexs+Dorf</t>
  </si>
  <si>
    <t>Honolulu+Strandbikini</t>
  </si>
  <si>
    <t>Golden+City</t>
  </si>
  <si>
    <t>LodbrokRagnars+Dorf</t>
  </si>
  <si>
    <t>D-H-Bs+Dorf</t>
  </si>
  <si>
    <t>kkoooos+Dorf</t>
  </si>
  <si>
    <t>Die+Bude</t>
  </si>
  <si>
    <t>Lord+Eric+der+1.s+Dorf</t>
  </si>
  <si>
    <t>M%C3%B6rf</t>
  </si>
  <si>
    <t>1+inch</t>
  </si>
  <si>
    <t>Derdiogs+Dorf</t>
  </si>
  <si>
    <t>002+tiger</t>
  </si>
  <si>
    <t>%5B001%5D+Winterfell</t>
  </si>
  <si>
    <t>-crazy+town-</t>
  </si>
  <si>
    <t>Blackbeazzs+Dorf</t>
  </si>
  <si>
    <t>z4rows+Dorfsdd</t>
  </si>
  <si>
    <t>Dragonheart666s+Dorf</t>
  </si>
  <si>
    <t>chris233s+Dorf</t>
  </si>
  <si>
    <t>Soldierofdeaths+Dorf</t>
  </si>
  <si>
    <t>.abZs+Dorf</t>
  </si>
  <si>
    <t>tobi97s+Dorf</t>
  </si>
  <si>
    <t>vantroches+Dorf</t>
  </si>
  <si>
    <t>KingKarloDer3tes+Dorf</t>
  </si>
  <si>
    <t>La+Catedral</t>
  </si>
  <si>
    <t>HauFestDraufs+Dorf</t>
  </si>
  <si>
    <t>178+YMT+001</t>
  </si>
  <si>
    <t>Eti1166s+Dorf</t>
  </si>
  <si>
    <t>24.04s+Dorf</t>
  </si>
  <si>
    <t>Thelinas+Dorf</t>
  </si>
  <si>
    <t>Ruffnoris+001</t>
  </si>
  <si>
    <t>ELITE+BASE</t>
  </si>
  <si>
    <t>Sryers+Dorf</t>
  </si>
  <si>
    <t>yakusa75s+Dorf</t>
  </si>
  <si>
    <t>Tz1994s+Dorf+001</t>
  </si>
  <si>
    <t>FaKeT+maksi1212s+Dorf</t>
  </si>
  <si>
    <t>hallo+welt+2</t>
  </si>
  <si>
    <t>Switi1703s+Dorf</t>
  </si>
  <si>
    <t>keiner+f1ckt+den+Fanclub</t>
  </si>
  <si>
    <t>donavns+Dorf</t>
  </si>
  <si>
    <t>Gringens+Dorf</t>
  </si>
  <si>
    <t>Lowhits+Dorf</t>
  </si>
  <si>
    <t>Lagerthaas+Dorf</t>
  </si>
  <si>
    <t>kracherxs+Dorf</t>
  </si>
  <si>
    <t>kev+5+11+92s+Dorf</t>
  </si>
  <si>
    <t>Bastian+Balthasar+Buxs+Dorf</t>
  </si>
  <si>
    <t>%7E%5D001%5B%7E</t>
  </si>
  <si>
    <t>k%C3%B6nig+hanz+peters+Dorf</t>
  </si>
  <si>
    <t>Atal+Dazar</t>
  </si>
  <si>
    <t>WeedyPuh+002</t>
  </si>
  <si>
    <t>ironns+Dorf</t>
  </si>
  <si>
    <t>UntBarbarossas+Dorf</t>
  </si>
  <si>
    <t>Highturns+Dorf</t>
  </si>
  <si>
    <t>Salamanders+Dorf</t>
  </si>
  <si>
    <t>H%C3%BClmess+Dorf</t>
  </si>
  <si>
    <t>%23001+B%C3%B6singfeld</t>
  </si>
  <si>
    <t>Tofu+Taverne</t>
  </si>
  <si>
    <t>Jackb%C3%A4ms+Dorf</t>
  </si>
  <si>
    <t>Waldthurn+001</t>
  </si>
  <si>
    <t>champ96s+Dorf</t>
  </si>
  <si>
    <t>Sven+Lennisters+Dorf</t>
  </si>
  <si>
    <t>yakumo23s+Dorf</t>
  </si>
  <si>
    <t>%23OhNooo%21</t>
  </si>
  <si>
    <t>Ebenerz+Festung</t>
  </si>
  <si>
    <t>K%C3%B6nigdererdes+Dorf</t>
  </si>
  <si>
    <t>Kaufhaus+des+S%C3%BCdens</t>
  </si>
  <si>
    <t>001+BLM</t>
  </si>
  <si>
    <t>Mein+stressiges+D%C3%B6rfchen</t>
  </si>
  <si>
    <t>LeckaK%C3%B6lschs+Dorf</t>
  </si>
  <si>
    <t>Fr%C3%A4ulein+Frees+Dorf</t>
  </si>
  <si>
    <t>Front+row+%7C+Welcher+Stamm+siegt%3F</t>
  </si>
  <si>
    <t>b%C3%A4renstarks+Dorf</t>
  </si>
  <si>
    <t>L%C3%BCttringhausers+Dorf</t>
  </si>
  <si>
    <t>001+Zu+Ehren+des+gro%C3%9Fen+zore</t>
  </si>
  <si>
    <t>M%C3%B6%C3%B6p</t>
  </si>
  <si>
    <t>OhneKevinL%C3%A4ufts+Dorf</t>
  </si>
  <si>
    <t>%7E3%7E</t>
  </si>
  <si>
    <t>%23OhYesss%21</t>
  </si>
  <si>
    <t>nAme%3F%3F</t>
  </si>
  <si>
    <t>%7EKillerMatze%7E</t>
  </si>
  <si>
    <t>Brath%C3%A4hnchenbratger%C3%A4t</t>
  </si>
  <si>
    <t>Polis%2F1</t>
  </si>
  <si>
    <t>Kr%C3%A4nkys+Dorf</t>
  </si>
  <si>
    <t>%5B002%5D+Geist+schafft+Materie</t>
  </si>
  <si>
    <t>004+Nicht+so+viel+Deff+R%C3%BCdiger</t>
  </si>
  <si>
    <t>Regenbogenbr%C3%BCcke</t>
  </si>
  <si>
    <t>WhatTheFuchs%3Fs+Dorf</t>
  </si>
  <si>
    <t>001%7C+Bauerbach</t>
  </si>
  <si>
    <t>004+kleinMittelGRO%C3%9Fst%C3%A4dt+IV</t>
  </si>
  <si>
    <t>%2A%2A178%2A%2A</t>
  </si>
  <si>
    <t>001%7C+CrooniX</t>
  </si>
  <si>
    <t>%7B001%7D+Ragnar%C3%B6k</t>
  </si>
  <si>
    <t>46%3A90%3A66+%2F%2F+-AG</t>
  </si>
  <si>
    <t>Dickas+B%C3%BCro</t>
  </si>
  <si>
    <t>L%C3%B6chCrime</t>
  </si>
  <si>
    <t>K%C3%B6nig+Bum-Bums+Dorf</t>
  </si>
  <si>
    <t>%5B001%5D+Koalaking</t>
  </si>
  <si>
    <t>001+%7C+Harley</t>
  </si>
  <si>
    <t>Haffer%C3%B6der</t>
  </si>
  <si>
    <t>viper+mit+So%C3%9Fes+Dorf</t>
  </si>
  <si>
    <t>001+%7C+W%C3%BCrzburg</t>
  </si>
  <si>
    <t>001+%7C+Abraxas</t>
  </si>
  <si>
    <t>%5BIN%5Daktiv</t>
  </si>
  <si>
    <t>D%C3%BCmpel</t>
  </si>
  <si>
    <t>K45%7C001</t>
  </si>
  <si>
    <t>-001-+Z%C3%BCri</t>
  </si>
  <si>
    <t>35%3A70%3A98+%7C+lets+goo</t>
  </si>
  <si>
    <t>%23Castor%2FPollux</t>
  </si>
  <si>
    <t>Burg+R%C3%BCbenstein</t>
  </si>
  <si>
    <t>die+Sauerl%C3%A4nderins+Dorf</t>
  </si>
  <si>
    <t>Zwergenk%C3%B6nig+Sebi+IIs+Dorf</t>
  </si>
  <si>
    <t>%7C%7C%7C%7C%7C%7C%7C</t>
  </si>
  <si>
    <t>%5B001%5D+Hollow</t>
  </si>
  <si>
    <t>Zerst%C3%B6rer+1993s+Dorf</t>
  </si>
  <si>
    <t>%5B0001%5DDarkForce</t>
  </si>
  <si>
    <t>king%C3%A4hhs+Dorf</t>
  </si>
  <si>
    <t>Marcel+der+gro%C3%9Fes+Dorf</t>
  </si>
  <si>
    <t>d%C3%B6nertellers+Dorf</t>
  </si>
  <si>
    <t>01+%7C+Zugspitze</t>
  </si>
  <si>
    <t>Sch%C3%BCttinopolis</t>
  </si>
  <si>
    <t>%5B001%5D+Togo</t>
  </si>
  <si>
    <t>001+Stadtschlo%C3%9F+Berlin</t>
  </si>
  <si>
    <t>L%C3%A4ufers+Dorf</t>
  </si>
  <si>
    <t>178+%7C+000</t>
  </si>
  <si>
    <t>M%C3%BCnchen+003</t>
  </si>
  <si>
    <t>%2A001%2A</t>
  </si>
  <si>
    <t>Willst+du+viel%2C+sp%C3%BCl+mit+...</t>
  </si>
  <si>
    <t>sch%C3%BCtze28s+Dorf</t>
  </si>
  <si>
    <t>001%7C+Simanys+Dorf</t>
  </si>
  <si>
    <t>K%C3%B6nig+Mammuts+Dorf</t>
  </si>
  <si>
    <t>%2A%2A%2A</t>
  </si>
  <si>
    <t>001+%7C+Kahimodus</t>
  </si>
  <si>
    <t>K%C3%B6nig+imads+Dorf</t>
  </si>
  <si>
    <t>L%C3%B6lis</t>
  </si>
  <si>
    <t>Was+machen+Sachen%3F</t>
  </si>
  <si>
    <t>Oppidum+%7C001%7C</t>
  </si>
  <si>
    <t>%2AalbaSTAR%2As+Dorf</t>
  </si>
  <si>
    <t>Wei%C3%9Fweins+Dorf</t>
  </si>
  <si>
    <t>Alexx+der+Gro%C3%9Fes+Dorf</t>
  </si>
  <si>
    <t>DerGottK%C3%B6nigs+Dorf</t>
  </si>
  <si>
    <t>B%C3%A4%C3%A4ls+Dorf</t>
  </si>
  <si>
    <t>Mischus+H%C3%BCtte</t>
  </si>
  <si>
    <t>K%C3%B6nig+Dargoneths+Dorf</t>
  </si>
  <si>
    <t>01+%2F+Bab</t>
  </si>
  <si>
    <t>Eigenst%C3%A4ndig+Problemanf%C3%A4llig</t>
  </si>
  <si>
    <t>Was+guckst+du%3F</t>
  </si>
  <si>
    <t>K%C3%B6nig+Daniel1990s+Dorf</t>
  </si>
  <si>
    <t>Quarktasche+03</t>
  </si>
  <si>
    <t>001+Aber+Hallo%21</t>
  </si>
  <si>
    <t>SuperE%3Fs+Dorf</t>
  </si>
  <si>
    <t>Voller+Speicher+Inaktiv%3A%29+%28Trap%29</t>
  </si>
  <si>
    <t>frank+der+%C3%A4lteres+Dorf</t>
  </si>
  <si>
    <t>B%C3%A4rendorf</t>
  </si>
  <si>
    <t>W%C3%A4ldianers+Dorf</t>
  </si>
  <si>
    <t>SKILL%21+h%C3%A4lt+NAPs+nicht+ein</t>
  </si>
  <si>
    <t>Harvey%2As+Dorf</t>
  </si>
  <si>
    <t>Karthager%2A%2A%2As+Dorf</t>
  </si>
  <si>
    <t>Ragnar%C3%B6k</t>
  </si>
  <si>
    <t>%2A%2A%2A+%2F+2</t>
  </si>
  <si>
    <t>legion%C3%A4rVll+001</t>
  </si>
  <si>
    <t>Back+in+the+Game%21%21</t>
  </si>
  <si>
    <t>Streuselt%C3%B6rti</t>
  </si>
  <si>
    <t>blechsch%C3%A4dels+Dorf</t>
  </si>
  <si>
    <t>Haush%C3%BCtte</t>
  </si>
  <si>
    <t>Tegrit%C3%A4t</t>
  </si>
  <si>
    <t>Insulaner+or+Wha%3F</t>
  </si>
  <si>
    <t>PzAufkl%C3%A4rers+Dorf</t>
  </si>
  <si>
    <t>Gandalf+der+wei%C3%9Fes+Dorf</t>
  </si>
  <si>
    <t>Ein+anderes+nettes+Pl%C3%A4tzchen</t>
  </si>
  <si>
    <t>%2A9999%2A</t>
  </si>
  <si>
    <t>Warum+bist+du+so+dumm%3F%21</t>
  </si>
  <si>
    <t>53%7C47%7C89</t>
  </si>
  <si>
    <t>W%C3%B6lfe+01</t>
  </si>
  <si>
    <t>%28001%29+Feuerburg</t>
  </si>
  <si>
    <t>A01-001%2A</t>
  </si>
  <si>
    <t>K%C3%B6nigin+Bobbys+Dorf</t>
  </si>
  <si>
    <t>Gro%C3%9Ftemplers+Dorf</t>
  </si>
  <si>
    <t>Bl%C3%BCtes+Dorf</t>
  </si>
  <si>
    <t>%28paintkiller%29s+Dorf</t>
  </si>
  <si>
    <t>Spielstra%C3%9Fe</t>
  </si>
  <si>
    <t>F%C3%BCrst+Lokis+town</t>
  </si>
  <si>
    <t>Tschau+Kakao%21</t>
  </si>
  <si>
    <t>35+1+505%7C367</t>
  </si>
  <si>
    <t>K%C3%B6nig+Nasenb%C3%A4rs+Dorf</t>
  </si>
  <si>
    <t>LadyD%C3%B6rtes+Dorf</t>
  </si>
  <si>
    <t>dies%C3%BChners+Dorf</t>
  </si>
  <si>
    <t>-%3D%5B001%5D%3D-+Optimal</t>
  </si>
  <si>
    <t>%2AKattegat%2A</t>
  </si>
  <si>
    <t>K%C3%B6nig+Jakobs+Dorf</t>
  </si>
  <si>
    <t>K64+44%7C26%7C22</t>
  </si>
  <si>
    <t>St.Hubertus%21%21%21</t>
  </si>
  <si>
    <t>Schweineb%C3%A4rmann</t>
  </si>
  <si>
    <t>intoxicated%2As+Dorf</t>
  </si>
  <si>
    <t>twitch.tv%2Ftimmy125</t>
  </si>
  <si>
    <t>Feuer+Frei%21</t>
  </si>
  <si>
    <t>Reu%C3%9Fs+Dorf</t>
  </si>
  <si>
    <t>04+%7C+Simmering</t>
  </si>
  <si>
    <t>j%C3%BCrgen64s+Dorf</t>
  </si>
  <si>
    <t>KX+591%7C399</t>
  </si>
  <si>
    <t>xNeaze+%281%29</t>
  </si>
  <si>
    <t>01%7CTschiggLuggi</t>
  </si>
  <si>
    <t>who%3Fs+Dorf</t>
  </si>
  <si>
    <t>%5B001%5D+Celestis</t>
  </si>
  <si>
    <t>Dr.+Kr%C3%A4mer1s+Dorf</t>
  </si>
  <si>
    <t>basti+der+b%C3%A4rs+Dorf</t>
  </si>
  <si>
    <t>%5B001%5D+Ice+Cube</t>
  </si>
  <si>
    <t>G%C3%B6ppingen</t>
  </si>
  <si>
    <t>Schl%C3%A4ferHs+Dorf</t>
  </si>
  <si>
    <t>01+-+Schokokekse%2A-%2A</t>
  </si>
  <si>
    <t>Milchstra%C3%9Fe</t>
  </si>
  <si>
    <t>56%3A23%3A90+-+B%C3%A4ng</t>
  </si>
  <si>
    <t>001+%7C+Fear+and+Loathing</t>
  </si>
  <si>
    <t>Marvin+der+Gro%C3%9Fes+Dorf</t>
  </si>
  <si>
    <t>N%C3%B6%C3%B6hhh</t>
  </si>
  <si>
    <t>64%3A39%3A13+REDSKIN%2A</t>
  </si>
  <si>
    <t>Ulf+M%C3%B6lls+Dorf</t>
  </si>
  <si>
    <t>Au%C3%9Fenposten</t>
  </si>
  <si>
    <t>Gasthaus+zum+s%C3%BCndigen+Pfuhl</t>
  </si>
  <si>
    <t>%7ESAHI%7E</t>
  </si>
  <si>
    <t>%2Akingjulien%2As+Dorf</t>
  </si>
  <si>
    <t>R%C3%B6mische+Kolonies+Dorf</t>
  </si>
  <si>
    <t>%5B001%5D+Amar0k</t>
  </si>
  <si>
    <t>K%C3%B6nig+Gymrus+Dorf</t>
  </si>
  <si>
    <t>%21GOTYOU%21</t>
  </si>
  <si>
    <t>01%7C+Ferragamo</t>
  </si>
  <si>
    <t>Weiberj%C3%A4gers+1</t>
  </si>
  <si>
    <t>%5Boo1%5D</t>
  </si>
  <si>
    <t>H%C3%B6tz</t>
  </si>
  <si>
    <t>K%C3%B6nig+Mr.Cools+Dorf</t>
  </si>
  <si>
    <t>Bock+auf+Stock%3F%21</t>
  </si>
  <si>
    <t>Schmajo%2As+Dorf</t>
  </si>
  <si>
    <t>H%C3%B6lle+eins+K</t>
  </si>
  <si>
    <t>Lord+Legion%C3%A4rs+Dorf</t>
  </si>
  <si>
    <t>K%C3%B6nigsschwund</t>
  </si>
  <si>
    <t>%21c3%5E42s+Dorf</t>
  </si>
  <si>
    <t>D%C3%BCt+%C3%84we</t>
  </si>
  <si>
    <t>l%C3%B6wenherz27796s+Dorf</t>
  </si>
  <si>
    <t>Fatoni+-+Autithenzit%C3%A4t</t>
  </si>
  <si>
    <t>Ou-est-Herbert%3Fs+Dorf</t>
  </si>
  <si>
    <t>Alexander+der+Gro%C3%9Fe+Dorf</t>
  </si>
  <si>
    <t>%5B001%5DNew+Days+Expample</t>
  </si>
  <si>
    <t>M%C3%A4cBastards+Dorf</t>
  </si>
  <si>
    <t>001+Ebbe+langts%21</t>
  </si>
  <si>
    <t>.Whatever%3Fs+Dorf</t>
  </si>
  <si>
    <t>%7E%7C001%7C%7E</t>
  </si>
  <si>
    <t>C%C3%BCneyts+Dorf+1</t>
  </si>
  <si>
    <t>M%C3%BChlenwirts+Dorf</t>
  </si>
  <si>
    <t>Pe-%C3%A4hm-ter+sein+cooles+Dorf</t>
  </si>
  <si>
    <t>Waldm%C3%A4nnchens+Dorf</t>
  </si>
  <si>
    <t>s%C3%BC%C3%9Fe+Maus+Dorf</t>
  </si>
  <si>
    <t>%C3%96l%C3%BCms%C3%BCz+Kahramans+Dorf</t>
  </si>
  <si>
    <t>Gr%C3%BCner+Planet</t>
  </si>
  <si>
    <t>K%C3%B6nigRagnar88s+Dorf</t>
  </si>
  <si>
    <t>Sie+w%C3%BCnschen...+%21%3F</t>
  </si>
  <si>
    <t>rosa+schl%C3%BCpper</t>
  </si>
  <si>
    <t>Angelheart+%28001%29</t>
  </si>
  <si>
    <t>Schokot%C3%B6rtchens+Dorf</t>
  </si>
  <si>
    <t>NicN%C3%A4cs+Dorf</t>
  </si>
  <si>
    <t>.arroganz%3Fs+Dorf</t>
  </si>
  <si>
    <t>H%C3%A4uptling+Nics+Dorf</t>
  </si>
  <si>
    <t>Spotzeb%C3%A4rs+Dorf</t>
  </si>
  <si>
    <t>K%C3%B6nigderAlpens+Dorf</t>
  </si>
  <si>
    <t>Marlboro+Rot%21</t>
  </si>
  <si>
    <t>-Andy%2As+Dorf</t>
  </si>
  <si>
    <t>schr%C3%B6rs+Dorf</t>
  </si>
  <si>
    <t>K%C3%B6nig+Bj%C3%B6rnEisenseites+Dorf</t>
  </si>
  <si>
    <t>001+N%C3%BCrnberg</t>
  </si>
  <si>
    <t>%7Euno%7E</t>
  </si>
  <si>
    <t>d%C3%B6das+Dorf</t>
  </si>
  <si>
    <t>Brummmb%C3%A4rs+Dorf</t>
  </si>
  <si>
    <t>Fensterpl%C3%A4tzchens+Dorf</t>
  </si>
  <si>
    <t>L%C3%B6we</t>
  </si>
  <si>
    <t>%2AShadow%2As+Dorf</t>
  </si>
  <si>
    <t>D%C3%B6rfchen</t>
  </si>
  <si>
    <t>alles+fit%3Fs+Dorf</t>
  </si>
  <si>
    <t>JoanaM%C3%A4ks+Dorf</t>
  </si>
  <si>
    <t>Premst%C3%A4tten</t>
  </si>
  <si>
    <t>K%C3%BChlwalda</t>
  </si>
  <si>
    <t>K%C3%B6nig+AeRo98s+Dorf</t>
  </si>
  <si>
    <t>F%C3%BCrst1s+Dorf</t>
  </si>
  <si>
    <t>bombenschlag</t>
  </si>
  <si>
    <t>K%C3%B6nigin+Elligorans+Dorf</t>
  </si>
  <si>
    <t>enrico97s+Dorf</t>
  </si>
  <si>
    <t>str1nTs+Dorf</t>
  </si>
  <si>
    <t>Nykos+Dorf</t>
  </si>
  <si>
    <t>ben.luns+Dorf</t>
  </si>
  <si>
    <t>MehTehs+Dorf</t>
  </si>
  <si>
    <t>Flersfanboys+Dorf</t>
  </si>
  <si>
    <t>598|406</t>
  </si>
  <si>
    <t>517|634</t>
  </si>
  <si>
    <t>634|457</t>
  </si>
  <si>
    <t>639|514</t>
  </si>
  <si>
    <t>528|363</t>
  </si>
  <si>
    <t>411|395</t>
  </si>
  <si>
    <t>429|379</t>
  </si>
  <si>
    <t>413|390</t>
  </si>
  <si>
    <t>456|625</t>
  </si>
  <si>
    <t>Acker</t>
  </si>
  <si>
    <t>%5BAG%5D+llllllllllllllll</t>
  </si>
  <si>
    <t>%5B08%5D+Cartagena</t>
  </si>
  <si>
    <t>Supraspinatus</t>
  </si>
  <si>
    <t>54%3A44%3A46</t>
  </si>
  <si>
    <t>Njardarheimr</t>
  </si>
  <si>
    <t>006+Izanami</t>
  </si>
  <si>
    <t>AG%2314</t>
  </si>
  <si>
    <t>Paule+hei%C3%9Ft+er%2C+ist+Bademeister</t>
  </si>
  <si>
    <t>Chasseral</t>
  </si>
  <si>
    <t>luck+on+world+178%3F+NOPE</t>
  </si>
  <si>
    <t>54%3A65%3A06</t>
  </si>
  <si>
    <t>Katsching+-+Kno%24%24i+ft.+Atzen</t>
  </si>
  <si>
    <t>54%3A65%3A47</t>
  </si>
  <si>
    <t>54%3A65%3A39</t>
  </si>
  <si>
    <t>002+Schlucht</t>
  </si>
  <si>
    <t>lllllll4lllllllll</t>
  </si>
  <si>
    <t>Havana+X</t>
  </si>
  <si>
    <t>llllllll3llllllll</t>
  </si>
  <si>
    <t>AG%2313</t>
  </si>
  <si>
    <t>%7C+008+%7C+Wealth+of+the+Nations+AG</t>
  </si>
  <si>
    <t>B001</t>
  </si>
  <si>
    <t>lllllll5lllllllll</t>
  </si>
  <si>
    <t>Dresden+001</t>
  </si>
  <si>
    <t>llllllll1llllllll</t>
  </si>
  <si>
    <t>HA-005</t>
  </si>
  <si>
    <t>Piplica-Festung</t>
  </si>
  <si>
    <t>002%2F%2FOpa+pfafft+jetz+Ph%C3%B6nixAsche</t>
  </si>
  <si>
    <t>%7B009%7D+Prof.+Dagmar</t>
  </si>
  <si>
    <t>AG0005+Miau+Miau</t>
  </si>
  <si>
    <t>%23002+DrMinzlauers+Dorf</t>
  </si>
  <si>
    <t>003%2F%2FOpi+CA%24Ht+PP-Welten</t>
  </si>
  <si>
    <t>Dresden+002</t>
  </si>
  <si>
    <t>lllllll2lllllllll</t>
  </si>
  <si>
    <t>%5B0012%5D+Mars+Angriffsbagsis</t>
  </si>
  <si>
    <t>%5B003%5D+Timo01</t>
  </si>
  <si>
    <t>%7E010%7E+What+is+Love%3F</t>
  </si>
  <si>
    <t>Backstabbas</t>
  </si>
  <si>
    <t>Wolle+2</t>
  </si>
  <si>
    <t>Super+PU%24H+Account%3F</t>
  </si>
  <si>
    <t>Daneb+Algedi</t>
  </si>
  <si>
    <t>Warum+hast+du+ne+Maske+auf%3F</t>
  </si>
  <si>
    <t>Lifeline</t>
  </si>
  <si>
    <t>ZA0b0</t>
  </si>
  <si>
    <t>01+Satyr</t>
  </si>
  <si>
    <t>Medellin</t>
  </si>
  <si>
    <t>Dorf+%2301</t>
  </si>
  <si>
    <t>Flo420s+Dorf</t>
  </si>
  <si>
    <t>Blancomancos+Dorf</t>
  </si>
  <si>
    <t>Land+der+ewigen+Sonnes+Dorf</t>
  </si>
  <si>
    <t>Vussel%40Backs+Dorf</t>
  </si>
  <si>
    <t>crUsh3r96s+Dorf</t>
  </si>
  <si>
    <t>xXdD123s+Dorf</t>
  </si>
  <si>
    <t>timy92s+Dorf</t>
  </si>
  <si>
    <t>cola500s+Dorf</t>
  </si>
  <si>
    <t>Sn1tch1s+Dorf</t>
  </si>
  <si>
    <t>Lord+testuser123s+Dorf</t>
  </si>
  <si>
    <t>Roberto+Stechers+Dorf</t>
  </si>
  <si>
    <t>ultimus8s+Dorf</t>
  </si>
  <si>
    <t>Pechpilzs+Dorf</t>
  </si>
  <si>
    <t>foxton4s+Dorf</t>
  </si>
  <si>
    <t>Raveratown</t>
  </si>
  <si>
    <t>Lord-Salivens+Dorf</t>
  </si>
  <si>
    <t>401|408</t>
  </si>
  <si>
    <t>503|636</t>
  </si>
  <si>
    <t>503|366</t>
  </si>
  <si>
    <t>502|547</t>
  </si>
  <si>
    <t>494|477</t>
  </si>
  <si>
    <t>536|636</t>
  </si>
  <si>
    <t>479|384</t>
  </si>
  <si>
    <t>365|513</t>
  </si>
  <si>
    <t>379|560</t>
  </si>
  <si>
    <t>495|638</t>
  </si>
  <si>
    <t>371|552</t>
  </si>
  <si>
    <t>520|367</t>
  </si>
  <si>
    <t>608|582</t>
  </si>
  <si>
    <t>637|512</t>
  </si>
  <si>
    <t>636|496</t>
  </si>
  <si>
    <t>582|606</t>
  </si>
  <si>
    <t>631|469</t>
  </si>
  <si>
    <t>598|599</t>
  </si>
  <si>
    <t>420|394</t>
  </si>
  <si>
    <t>444|596</t>
  </si>
  <si>
    <t>635|464</t>
  </si>
  <si>
    <t>436|476</t>
  </si>
  <si>
    <t>Truppen einfügen</t>
  </si>
  <si>
    <t>Nein</t>
  </si>
  <si>
    <t>Ja</t>
  </si>
  <si>
    <t>red earth</t>
  </si>
  <si>
    <t>Absolut Slayer</t>
  </si>
  <si>
    <t>Lord Bergi</t>
  </si>
  <si>
    <t>klein erna</t>
  </si>
  <si>
    <t>Master Magic</t>
  </si>
  <si>
    <t>tandem 270</t>
  </si>
  <si>
    <t>Elrond von Bruchtal</t>
  </si>
  <si>
    <t>Spieler XXX</t>
  </si>
  <si>
    <t>Engel desTodes</t>
  </si>
  <si>
    <t>Klark 55</t>
  </si>
  <si>
    <t>Black Terror</t>
  </si>
  <si>
    <t>Tante Nein-Nein</t>
  </si>
  <si>
    <t>King George</t>
  </si>
  <si>
    <t>good punisher</t>
  </si>
  <si>
    <t>Hubi 1st</t>
  </si>
  <si>
    <t>Lady Elaine</t>
  </si>
  <si>
    <t>Dragon Warrior</t>
  </si>
  <si>
    <t>Der Held schlecht hin</t>
  </si>
  <si>
    <t>Lord Willi</t>
  </si>
  <si>
    <t>Pontius Penatus</t>
  </si>
  <si>
    <t>der letzte hashishin</t>
  </si>
  <si>
    <t>der slawe</t>
  </si>
  <si>
    <t>Van Dan</t>
  </si>
  <si>
    <t>Flankengott 71</t>
  </si>
  <si>
    <t>El Gordo</t>
  </si>
  <si>
    <t>nicky butt</t>
  </si>
  <si>
    <t>Don Zaloog</t>
  </si>
  <si>
    <t>Das Blut der Rosen</t>
  </si>
  <si>
    <t>Andreas G</t>
  </si>
  <si>
    <t>der Blutschlecker</t>
  </si>
  <si>
    <t>Harald Krull</t>
  </si>
  <si>
    <t>King of the Islands</t>
  </si>
  <si>
    <t>Han Solo 7</t>
  </si>
  <si>
    <t>Wolf 007</t>
  </si>
  <si>
    <t>de black mamba</t>
  </si>
  <si>
    <t>Knecht 1</t>
  </si>
  <si>
    <t>Queen Quendoline</t>
  </si>
  <si>
    <t>d ugt</t>
  </si>
  <si>
    <t>Thunder Bellen</t>
  </si>
  <si>
    <t>Onkel Skav</t>
  </si>
  <si>
    <t>zar nikolaus TRS</t>
  </si>
  <si>
    <t>king of gilching</t>
  </si>
  <si>
    <t>Ulfus Maximus</t>
  </si>
  <si>
    <t>King Bausti</t>
  </si>
  <si>
    <t>Go D. Usopp</t>
  </si>
  <si>
    <t>chacky chan</t>
  </si>
  <si>
    <t>Black Willy</t>
  </si>
  <si>
    <t>Lord of Megadesaster</t>
  </si>
  <si>
    <t>Der Hanseat</t>
  </si>
  <si>
    <t>ELDORADO 999</t>
  </si>
  <si>
    <t>toni 5900</t>
  </si>
  <si>
    <t>MoB der 1.</t>
  </si>
  <si>
    <t>P.und B.</t>
  </si>
  <si>
    <t>Soundcraft Si Impact</t>
  </si>
  <si>
    <t>shiva 10</t>
  </si>
  <si>
    <t>Sunshine domi</t>
  </si>
  <si>
    <t>K. Arthus</t>
  </si>
  <si>
    <t>Master E.</t>
  </si>
  <si>
    <t>Nothing to say</t>
  </si>
  <si>
    <t>jojo the hunter</t>
  </si>
  <si>
    <t>Kempten King</t>
  </si>
  <si>
    <t>Juan Raul</t>
  </si>
  <si>
    <t>General Dima</t>
  </si>
  <si>
    <t>Don Niko</t>
  </si>
  <si>
    <t>Kazuto Kirigaya</t>
  </si>
  <si>
    <t>Randy Orton32</t>
  </si>
  <si>
    <t>Lord Reagon</t>
  </si>
  <si>
    <t>Invasion Marc</t>
  </si>
  <si>
    <t>Ambosch Winterberg</t>
  </si>
  <si>
    <t>King of Cambodia</t>
  </si>
  <si>
    <t>Schatten Clan</t>
  </si>
  <si>
    <t>Scaleo H1</t>
  </si>
  <si>
    <t>Alexander B</t>
  </si>
  <si>
    <t>Fabi Khan</t>
  </si>
  <si>
    <t>Powergirl 4ever</t>
  </si>
  <si>
    <t>master jpm</t>
  </si>
  <si>
    <t>ich bin hamma 56</t>
  </si>
  <si>
    <t>Lord Blaubart</t>
  </si>
  <si>
    <t>Xadolon Fensom</t>
  </si>
  <si>
    <t>Strength Cartel</t>
  </si>
  <si>
    <t>du ei</t>
  </si>
  <si>
    <t>DJ SHOCK</t>
  </si>
  <si>
    <t>lukas 1992</t>
  </si>
  <si>
    <t>Werner Bremen</t>
  </si>
  <si>
    <t>King Burak33</t>
  </si>
  <si>
    <t>king lutter</t>
  </si>
  <si>
    <t>wild nobby</t>
  </si>
  <si>
    <t>Wendell Bud White</t>
  </si>
  <si>
    <t>thomson 69</t>
  </si>
  <si>
    <t>LG KE</t>
  </si>
  <si>
    <t>mac collin</t>
  </si>
  <si>
    <t>wolfen stein</t>
  </si>
  <si>
    <t>The Plague</t>
  </si>
  <si>
    <t>Sniperkill 001</t>
  </si>
  <si>
    <t>Leonardo di Caprisonne</t>
  </si>
  <si>
    <t>FREEKY MAN</t>
  </si>
  <si>
    <t>playboii aus wersten</t>
  </si>
  <si>
    <t>xx bjoern xx</t>
  </si>
  <si>
    <t>kuno 03</t>
  </si>
  <si>
    <t>King Mater</t>
  </si>
  <si>
    <t>ajax der III</t>
  </si>
  <si>
    <t>Tell 10</t>
  </si>
  <si>
    <t>Neron D Arc</t>
  </si>
  <si>
    <t>THIS IS SPARTAA</t>
  </si>
  <si>
    <t>Beowolf der Wahre</t>
  </si>
  <si>
    <t>D-Generation X93</t>
  </si>
  <si>
    <t>der peruaner</t>
  </si>
  <si>
    <t>St. Rike</t>
  </si>
  <si>
    <t>Flo Hoege</t>
  </si>
  <si>
    <t>Virtual Hunter</t>
  </si>
  <si>
    <t>von Aschen</t>
  </si>
  <si>
    <t>Tankred Antiochensis</t>
  </si>
  <si>
    <t>Der Ruhige60</t>
  </si>
  <si>
    <t>Graf Doofy</t>
  </si>
  <si>
    <t>Saphira vom Mars</t>
  </si>
  <si>
    <t>h0ly jesiz</t>
  </si>
  <si>
    <t>Lod g41</t>
  </si>
  <si>
    <t>The SK</t>
  </si>
  <si>
    <t>nepumuk 111</t>
  </si>
  <si>
    <t>Extreme 2.</t>
  </si>
  <si>
    <t>ASTRA 23</t>
  </si>
  <si>
    <t>Irgendwas mit ELVIS</t>
  </si>
  <si>
    <t>ritter patrick</t>
  </si>
  <si>
    <t>Aris 26</t>
  </si>
  <si>
    <t>Pepe SGD</t>
  </si>
  <si>
    <t>Lady Juliane</t>
  </si>
  <si>
    <t>Ritter Gold</t>
  </si>
  <si>
    <t>maix de paix</t>
  </si>
  <si>
    <t>der anfaenger</t>
  </si>
  <si>
    <t>King Lebra</t>
  </si>
  <si>
    <t>Lord Matthikus</t>
  </si>
  <si>
    <t>King Men 10</t>
  </si>
  <si>
    <t>Wastl 44</t>
  </si>
  <si>
    <t>Plug in Baby</t>
  </si>
  <si>
    <t>homer 681</t>
  </si>
  <si>
    <t>karl der klein</t>
  </si>
  <si>
    <t>frederike b.</t>
  </si>
  <si>
    <t>Infernalischer Drache</t>
  </si>
  <si>
    <t>kev 5 11 92</t>
  </si>
  <si>
    <t>iN sM0ke</t>
  </si>
  <si>
    <t>FeTTa LaPPn</t>
  </si>
  <si>
    <t>Fritz Benedict</t>
  </si>
  <si>
    <t>Lord Aries</t>
  </si>
  <si>
    <t>King Lothar 3</t>
  </si>
  <si>
    <t>Warrior Raphael</t>
  </si>
  <si>
    <t>Lord of Worm</t>
  </si>
  <si>
    <t>Nittelter Dennis</t>
  </si>
  <si>
    <t>Coco der Schreckliche</t>
  </si>
  <si>
    <t>Lord Calibra</t>
  </si>
  <si>
    <t>.Baby Bugs</t>
  </si>
  <si>
    <t>der pan</t>
  </si>
  <si>
    <t>ressus der I</t>
  </si>
  <si>
    <t>ronny der dicke</t>
  </si>
  <si>
    <t>Herzog Andre</t>
  </si>
  <si>
    <t>Jan Cux</t>
  </si>
  <si>
    <t>Tom Traitor</t>
  </si>
  <si>
    <t>Robert P.</t>
  </si>
  <si>
    <t>Herzog der Bayern</t>
  </si>
  <si>
    <t>Chlodwig I.</t>
  </si>
  <si>
    <t>Sebastiano 100</t>
  </si>
  <si>
    <t>templer 1118</t>
  </si>
  <si>
    <t>Lucky the best</t>
  </si>
  <si>
    <t>Hammer 2</t>
  </si>
  <si>
    <t>Dragon Master1997</t>
  </si>
  <si>
    <t>Kikas Reich</t>
  </si>
  <si>
    <t>King of World 30</t>
  </si>
  <si>
    <t>morbidus cantus</t>
  </si>
  <si>
    <t>GsC BloodWar</t>
  </si>
  <si>
    <t>Redfront KB</t>
  </si>
  <si>
    <t>Graf von Leipzig</t>
  </si>
  <si>
    <t>Epyx OnE</t>
  </si>
  <si>
    <t>%C3%84h %C3%84h %C3%84h</t>
  </si>
  <si>
    <t>Spere krieger2</t>
  </si>
  <si>
    <t>Lady Sparrow</t>
  </si>
  <si>
    <t>S H V</t>
  </si>
  <si>
    <t>The Phantom 007</t>
  </si>
  <si>
    <t>ARME DER GUTEN</t>
  </si>
  <si>
    <t>julien the king</t>
  </si>
  <si>
    <t>Hollywood Undead</t>
  </si>
  <si>
    <t>Lionheart II</t>
  </si>
  <si>
    <t>Lord Eastwick</t>
  </si>
  <si>
    <t>dick sein ist rund</t>
  </si>
  <si>
    <t>Saxo 1974</t>
  </si>
  <si>
    <t>Herr des Hasses</t>
  </si>
  <si>
    <t>Fire Falco 1</t>
  </si>
  <si>
    <t>Oli der kriegsgott</t>
  </si>
  <si>
    <t>Pug c. D.</t>
  </si>
  <si>
    <t>Alex 333</t>
  </si>
  <si>
    <t>Das Katzenvieh</t>
  </si>
  <si>
    <t>the brave little helper</t>
  </si>
  <si>
    <t>Der Spieler VI</t>
  </si>
  <si>
    <t>Master Raller</t>
  </si>
  <si>
    <t>East India Company</t>
  </si>
  <si>
    <t>Nikola T.</t>
  </si>
  <si>
    <t>adler 999</t>
  </si>
  <si>
    <t>baua sucht frau</t>
  </si>
  <si>
    <t>eis tee pfirsich</t>
  </si>
  <si>
    <t>Krieger Gondors</t>
  </si>
  <si>
    <t>Sir Joiner</t>
  </si>
  <si>
    <t>DreamCatcher is back</t>
  </si>
  <si>
    <t>Leitender Wolf</t>
  </si>
  <si>
    <t>Killer .Monster</t>
  </si>
  <si>
    <t>Lord Diggnsagg</t>
  </si>
  <si>
    <t>Kevin Aus Oberzell</t>
  </si>
  <si>
    <t>Count Urdays</t>
  </si>
  <si>
    <t>Honor of war</t>
  </si>
  <si>
    <t>Dian Keto</t>
  </si>
  <si>
    <t>blue phantasie</t>
  </si>
  <si>
    <t>Feel my Hardstyle Spirit</t>
  </si>
  <si>
    <t>Vollstrecker 2010</t>
  </si>
  <si>
    <t>Dark Knait</t>
  </si>
  <si>
    <t>Graf Herzer</t>
  </si>
  <si>
    <t>Falko der Gladiator</t>
  </si>
  <si>
    <t>lord diegod</t>
  </si>
  <si>
    <t>Der dunkle Vater</t>
  </si>
  <si>
    <t>Herzog Uli</t>
  </si>
  <si>
    <t>Jaqen H ghar</t>
  </si>
  <si>
    <t>Gyros Styler</t>
  </si>
  <si>
    <t>lord fussl</t>
  </si>
  <si>
    <t>Del Piero 1996</t>
  </si>
  <si>
    <t>Freiherr von Sternberg</t>
  </si>
  <si>
    <t>Sir Sterni82</t>
  </si>
  <si>
    <t>Manu 555</t>
  </si>
  <si>
    <t>Nork 100</t>
  </si>
  <si>
    <t>H-P. K.</t>
  </si>
  <si>
    <t>Charly Haper</t>
  </si>
  <si>
    <t>Svan I</t>
  </si>
  <si>
    <t>little Lotschi</t>
  </si>
  <si>
    <t>graf pit</t>
  </si>
  <si>
    <t>Nairolf 2000</t>
  </si>
  <si>
    <t>kOttY bAzzUka</t>
  </si>
  <si>
    <t>du Hirsch</t>
  </si>
  <si>
    <t>Angus von Geldar</t>
  </si>
  <si>
    <t>fabian A.</t>
  </si>
  <si>
    <t>commandt speed</t>
  </si>
  <si>
    <t>Lord D4RK</t>
  </si>
  <si>
    <t>Dead Money</t>
  </si>
  <si>
    <t>samba olek</t>
  </si>
  <si>
    <t>Konda Hasamoto</t>
  </si>
  <si>
    <t>Sven Giggs</t>
  </si>
  <si>
    <t>Graf Simonius</t>
  </si>
  <si>
    <t>stefanuss der 1</t>
  </si>
  <si>
    <t>Zar Peter der Grosse</t>
  </si>
  <si>
    <t>G-Data 99</t>
  </si>
  <si>
    <t>Sir Luney</t>
  </si>
  <si>
    <t>ueli murer</t>
  </si>
  <si>
    <t>el charlynero</t>
  </si>
  <si>
    <t>wittwer 15</t>
  </si>
  <si>
    <t>Lord Ozner</t>
  </si>
  <si>
    <t>Zocken x3</t>
  </si>
  <si>
    <t>Ich adel alle</t>
  </si>
  <si>
    <t>Novana die 1.</t>
  </si>
  <si>
    <t>VAN THELEN</t>
  </si>
  <si>
    <t>davebest 1</t>
  </si>
  <si>
    <t>Super Fabio</t>
  </si>
  <si>
    <t>Coer de Lion II</t>
  </si>
  <si>
    <t>Lukrezia Borgia</t>
  </si>
  <si>
    <t>Braver Kater</t>
  </si>
  <si>
    <t>Der-Papst 1234</t>
  </si>
  <si>
    <t>Neon XXiiV</t>
  </si>
  <si>
    <t>Light Lion</t>
  </si>
  <si>
    <t>Master DE</t>
  </si>
  <si>
    <t>big steeve</t>
  </si>
  <si>
    <t>Hammer auf Fresse</t>
  </si>
  <si>
    <t>Ritter des Rosts</t>
  </si>
  <si>
    <t>evo92 2k10</t>
  </si>
  <si>
    <t>Lorenz Ha.</t>
  </si>
  <si>
    <t>aWeSomE bIgyVeS</t>
  </si>
  <si>
    <t>miss sofie</t>
  </si>
  <si>
    <t>Mr. MacDonald</t>
  </si>
  <si>
    <t>Graf.C.von Topondo</t>
  </si>
  <si>
    <t>frisinga germania</t>
  </si>
  <si>
    <t>Sir Megawolf</t>
  </si>
  <si>
    <t>Roter Shanks</t>
  </si>
  <si>
    <t>Pokalsieger 1974</t>
  </si>
  <si>
    <t>El Diabolo</t>
  </si>
  <si>
    <t>Dr. Arkula</t>
  </si>
  <si>
    <t>darklord xx</t>
  </si>
  <si>
    <t>Lord Giesen</t>
  </si>
  <si>
    <t>Magic Catweazle</t>
  </si>
  <si>
    <t>Wiesel 1</t>
  </si>
  <si>
    <t>RaZE pWnz EU</t>
  </si>
  <si>
    <t>DJ TobiTobSucht</t>
  </si>
  <si>
    <t>The Big Bang Kloster</t>
  </si>
  <si>
    <t>Kreuzritter 14</t>
  </si>
  <si>
    <t>GC Joblack</t>
  </si>
  <si>
    <t>Arthur Eriksson</t>
  </si>
  <si>
    <t>II. Abdulhamid</t>
  </si>
  <si>
    <t>Der Blaue Lord Helmchen</t>
  </si>
  <si>
    <t>Nini der Ritter</t>
  </si>
  <si>
    <t>Mr. Why</t>
  </si>
  <si>
    <t>Lustlose Ponyreiter</t>
  </si>
  <si>
    <t>Mariechen Jolie</t>
  </si>
  <si>
    <t>SIR ASCHI</t>
  </si>
  <si>
    <t>Tanzender Wolf</t>
  </si>
  <si>
    <t>Der Dorfdepp</t>
  </si>
  <si>
    <t>Killer. Monster</t>
  </si>
  <si>
    <t>Erzengel Armin</t>
  </si>
  <si>
    <t>marten der 3</t>
  </si>
  <si>
    <t>Spielmann Lindner</t>
  </si>
  <si>
    <t>Fiji auf die Uhr</t>
  </si>
  <si>
    <t>micha 98</t>
  </si>
  <si>
    <t>Dead By Sunrise</t>
  </si>
  <si>
    <t>malte 12</t>
  </si>
  <si>
    <t>Ronald 12</t>
  </si>
  <si>
    <t>GHOST 64</t>
  </si>
  <si>
    <t>Darth Stitch</t>
  </si>
  <si>
    <t>Karl der Unbeirrbare</t>
  </si>
  <si>
    <t>Die Glatze 01</t>
  </si>
  <si>
    <t>Rupert der Erste</t>
  </si>
  <si>
    <t>lenny x3</t>
  </si>
  <si>
    <t>White Dragonfly</t>
  </si>
  <si>
    <t>golem xiv</t>
  </si>
  <si>
    <t>und alle so yeeow</t>
  </si>
  <si>
    <t>little bad boy</t>
  </si>
  <si>
    <t>Navier Xaidoo</t>
  </si>
  <si>
    <t>Crxi Lol</t>
  </si>
  <si>
    <t>Emilio Eisenfaust</t>
  </si>
  <si>
    <t>Blue SF</t>
  </si>
  <si>
    <t>panne 1998</t>
  </si>
  <si>
    <t>scheini 98</t>
  </si>
  <si>
    <t>patrock 20</t>
  </si>
  <si>
    <t>Alfa ti 300</t>
  </si>
  <si>
    <t>hellgate devil123</t>
  </si>
  <si>
    <t>Prinz Benji</t>
  </si>
  <si>
    <t>As High As Honor</t>
  </si>
  <si>
    <t>Boss Nike von Burgwalde</t>
  </si>
  <si>
    <t>Madame Kiekeberg</t>
  </si>
  <si>
    <t>N o v a a R</t>
  </si>
  <si>
    <t>Milady Marian</t>
  </si>
  <si>
    <t>wer du</t>
  </si>
  <si>
    <t>Arni der 1.</t>
  </si>
  <si>
    <t>Capu u Keks</t>
  </si>
  <si>
    <t>up to no good</t>
  </si>
  <si>
    <t>sharks rules</t>
  </si>
  <si>
    <t>KING HUGO DER GROSSE</t>
  </si>
  <si>
    <t>Dr. Laggs</t>
  </si>
  <si>
    <t>Lord oimel</t>
  </si>
  <si>
    <t>Cry or Bash</t>
  </si>
  <si>
    <t>Cala Torta</t>
  </si>
  <si>
    <t>Lord Eric der 1.</t>
  </si>
  <si>
    <t>skorpion power</t>
  </si>
  <si>
    <t>Lord adospa</t>
  </si>
  <si>
    <t>Fallen Saturo</t>
  </si>
  <si>
    <t>bro maxiking</t>
  </si>
  <si>
    <t>lord of century</t>
  </si>
  <si>
    <t>Lord BOZZ</t>
  </si>
  <si>
    <t>King charly88</t>
  </si>
  <si>
    <t>Lord Springer</t>
  </si>
  <si>
    <t>Lord 777</t>
  </si>
  <si>
    <t>Lady TIMbaland89</t>
  </si>
  <si>
    <t>Ray Runner</t>
  </si>
  <si>
    <t>Lord mkopp67</t>
  </si>
  <si>
    <t>Lady Catweazel</t>
  </si>
  <si>
    <t>MR. Hotzenplotz</t>
  </si>
  <si>
    <t>Black Gecko</t>
  </si>
  <si>
    <t>Lady whitecat</t>
  </si>
  <si>
    <t>Lord HuboBoss</t>
  </si>
  <si>
    <t>Listiger Loki</t>
  </si>
  <si>
    <t>Lord Big Boom</t>
  </si>
  <si>
    <t>Lord H3iland</t>
  </si>
  <si>
    <t>Lord Aarben</t>
  </si>
  <si>
    <t>Zar Peter der 1.</t>
  </si>
  <si>
    <t>Lord Kampfochse</t>
  </si>
  <si>
    <t>Graf Maori</t>
  </si>
  <si>
    <t>BIG BEST</t>
  </si>
  <si>
    <t>Crazy Toffi</t>
  </si>
  <si>
    <t>Lord Wormar</t>
  </si>
  <si>
    <t>R3sG Chiller</t>
  </si>
  <si>
    <t>Lord Woot</t>
  </si>
  <si>
    <t>Lord MasterOfWar</t>
  </si>
  <si>
    <t>kaiser martin77</t>
  </si>
  <si>
    <t>Gustav xD</t>
  </si>
  <si>
    <t>PB Dealer95</t>
  </si>
  <si>
    <t>sir bene88</t>
  </si>
  <si>
    <t>Lord Richy Rich</t>
  </si>
  <si>
    <t>WATB Faker</t>
  </si>
  <si>
    <t>Don Juan de Johan</t>
  </si>
  <si>
    <t>Sir MScott</t>
  </si>
  <si>
    <t>Ricardinho 2.0</t>
  </si>
  <si>
    <t>Land der ewigen Sonne</t>
  </si>
  <si>
    <t>British Knights</t>
  </si>
  <si>
    <t>Lord derlolmann</t>
  </si>
  <si>
    <t>Der Verbannte</t>
  </si>
  <si>
    <t>Kaiser Kurbel</t>
  </si>
  <si>
    <t>Lady Finn</t>
  </si>
  <si>
    <t>Meister Dogfi</t>
  </si>
  <si>
    <t>Lord PrinzPI</t>
  </si>
  <si>
    <t>hijos de la luna</t>
  </si>
  <si>
    <t>Bartolomeu Diaz</t>
  </si>
  <si>
    <t>Phasen Kasper</t>
  </si>
  <si>
    <t>walsi the lord</t>
  </si>
  <si>
    <t>Master Vadda</t>
  </si>
  <si>
    <t>RaVeR 91</t>
  </si>
  <si>
    <t>Lord ackylos</t>
  </si>
  <si>
    <t>Lady Shania</t>
  </si>
  <si>
    <t>mystery rico</t>
  </si>
  <si>
    <t>King Walz</t>
  </si>
  <si>
    <t>no surrender</t>
  </si>
  <si>
    <t>lR a Z o lR</t>
  </si>
  <si>
    <t>Floating Coffin</t>
  </si>
  <si>
    <t>i know it</t>
  </si>
  <si>
    <t>El Piso</t>
  </si>
  <si>
    <t>King Hors</t>
  </si>
  <si>
    <t>Lord Neidlein III</t>
  </si>
  <si>
    <t>Lord Lord jesus</t>
  </si>
  <si>
    <t>Big Crazy Horse</t>
  </si>
  <si>
    <t>only V</t>
  </si>
  <si>
    <t>kingkong 2013</t>
  </si>
  <si>
    <t>Lord nik96</t>
  </si>
  <si>
    <t>Hagen von Z.</t>
  </si>
  <si>
    <t>Lord Bigan</t>
  </si>
  <si>
    <t>Ivan Schlitzer</t>
  </si>
  <si>
    <t>Pirate King Ruffy</t>
  </si>
  <si>
    <t>Tollpatsch 5</t>
  </si>
  <si>
    <t>King of the Bongos</t>
  </si>
  <si>
    <t>Sir Eric Cartman</t>
  </si>
  <si>
    <t>Bill Gates</t>
  </si>
  <si>
    <t>Lord Skullduggery</t>
  </si>
  <si>
    <t>Br0 I Altair</t>
  </si>
  <si>
    <t>Heller Angel</t>
  </si>
  <si>
    <t>einsamer Wolf54</t>
  </si>
  <si>
    <t>Lord LostPaiN</t>
  </si>
  <si>
    <t>Annika James</t>
  </si>
  <si>
    <t>Angsthasen 2.0</t>
  </si>
  <si>
    <t>Bartholo Simaro</t>
  </si>
  <si>
    <t>Awesome Holo</t>
  </si>
  <si>
    <t>Black Trinity</t>
  </si>
  <si>
    <t>An hor</t>
  </si>
  <si>
    <t>Yusuf mach de Bus uf</t>
  </si>
  <si>
    <t>Chrysalis mit Herz</t>
  </si>
  <si>
    <t>Lord Harris</t>
  </si>
  <si>
    <t>Silent Wing</t>
  </si>
  <si>
    <t>Lord Philipp der Erste</t>
  </si>
  <si>
    <t>Lord JackBauer88</t>
  </si>
  <si>
    <t>Lord topsi</t>
  </si>
  <si>
    <t>King Dom</t>
  </si>
  <si>
    <t>Der kleine fiese</t>
  </si>
  <si>
    <t>Captn Kaliba</t>
  </si>
  <si>
    <t>lord der 1</t>
  </si>
  <si>
    <t>Miss Innocent</t>
  </si>
  <si>
    <t>dark knight88</t>
  </si>
  <si>
    <t>Lord Allias</t>
  </si>
  <si>
    <t>Serath Mubumbu</t>
  </si>
  <si>
    <t>Oma Wetterwachs</t>
  </si>
  <si>
    <t>Der Bekloppte Barnabas</t>
  </si>
  <si>
    <t>Lord Newcastle</t>
  </si>
  <si>
    <t>Lord der Nette</t>
  </si>
  <si>
    <t>Cameron Jibril Thomaz</t>
  </si>
  <si>
    <t>SLK Brook</t>
  </si>
  <si>
    <t>Graf Sinus</t>
  </si>
  <si>
    <t>Fantastic Four</t>
  </si>
  <si>
    <t>Lord Multan</t>
  </si>
  <si>
    <t>BV Renekton</t>
  </si>
  <si>
    <t>Lord Hoanser92</t>
  </si>
  <si>
    <t>Portgas D. Ace</t>
  </si>
  <si>
    <t>Herrn X</t>
  </si>
  <si>
    <t>l ber</t>
  </si>
  <si>
    <t>Peterchen Lustig</t>
  </si>
  <si>
    <t>Die Erntehelfer</t>
  </si>
  <si>
    <t>-Project X-</t>
  </si>
  <si>
    <t>SMX FiiGhTA</t>
  </si>
  <si>
    <t>Lord soldat</t>
  </si>
  <si>
    <t>Blue Haze</t>
  </si>
  <si>
    <t>Lady Sommersprosse</t>
  </si>
  <si>
    <t>Lord Tiger9094</t>
  </si>
  <si>
    <t>Lord Jordy</t>
  </si>
  <si>
    <t>J M K</t>
  </si>
  <si>
    <t>Nar Garzhvog</t>
  </si>
  <si>
    <t>d empire</t>
  </si>
  <si>
    <t>Ulen Orsalan</t>
  </si>
  <si>
    <t>Asinaria Basinator</t>
  </si>
  <si>
    <t>Lord TeRRoRsOldier</t>
  </si>
  <si>
    <t>Ein Basher</t>
  </si>
  <si>
    <t>Lord Jean-Jaques</t>
  </si>
  <si>
    <t>Sir Alexander</t>
  </si>
  <si>
    <t>Mach erstmal die Basics</t>
  </si>
  <si>
    <t>Kabelschreck No.1</t>
  </si>
  <si>
    <t>drache 07</t>
  </si>
  <si>
    <t>Lady Maralla</t>
  </si>
  <si>
    <t>Sr Galgenhad</t>
  </si>
  <si>
    <t>Lord Hoschi45</t>
  </si>
  <si>
    <t>mystery castle</t>
  </si>
  <si>
    <t>lord erdna</t>
  </si>
  <si>
    <t>Lord Mans</t>
  </si>
  <si>
    <t>Lord Twigh</t>
  </si>
  <si>
    <t>Sir Goffy</t>
  </si>
  <si>
    <t>Gustav Gans</t>
  </si>
  <si>
    <t>House Lannister</t>
  </si>
  <si>
    <t>Morgaine 2014</t>
  </si>
  <si>
    <t>iNsaN3 in BraiN</t>
  </si>
  <si>
    <t>Warriors 1</t>
  </si>
  <si>
    <t>Lord Pyrene</t>
  </si>
  <si>
    <t>Kaiser 2014</t>
  </si>
  <si>
    <t>Mr. Bonuspunkt</t>
  </si>
  <si>
    <t>Lord Basto</t>
  </si>
  <si>
    <t>ExVi der Richter</t>
  </si>
  <si>
    <t>Prinzessin Sansa</t>
  </si>
  <si>
    <t>NiPz i Storm</t>
  </si>
  <si>
    <t>Blue Wolf</t>
  </si>
  <si>
    <t>Lord Urdnot Wrex</t>
  </si>
  <si>
    <t>Limmos Dorf</t>
  </si>
  <si>
    <t>kleiner schlumpf</t>
  </si>
  <si>
    <t>idiot auf reise</t>
  </si>
  <si>
    <t>Awesome Olong</t>
  </si>
  <si>
    <t>Der Erzherzog</t>
  </si>
  <si>
    <t>T y F e a T</t>
  </si>
  <si>
    <t>Lord Swagstau</t>
  </si>
  <si>
    <t>Gods Angel79</t>
  </si>
  <si>
    <t>Sir Hool</t>
  </si>
  <si>
    <t>Drauf haun</t>
  </si>
  <si>
    <t>Der Krieger Gondors.</t>
  </si>
  <si>
    <t>Haze Slayer</t>
  </si>
  <si>
    <t>Hauptschulniveau Yoo</t>
  </si>
  <si>
    <t>Croco Loco</t>
  </si>
  <si>
    <t>Lord Pivo</t>
  </si>
  <si>
    <t>Lord Banshin</t>
  </si>
  <si>
    <t>Lord Nico96</t>
  </si>
  <si>
    <t>Lord Unterhopft</t>
  </si>
  <si>
    <t>Collin Jennings</t>
  </si>
  <si>
    <t>Hirito Yomi</t>
  </si>
  <si>
    <t>Der W0lf</t>
  </si>
  <si>
    <t>Lord Gaillard</t>
  </si>
  <si>
    <t>Tom Clancy</t>
  </si>
  <si>
    <t>Tenue korrigiere</t>
  </si>
  <si>
    <t>DON SAI</t>
  </si>
  <si>
    <t>Miner Pride</t>
  </si>
  <si>
    <t>Lady Many</t>
  </si>
  <si>
    <t>Lord Zeus Grace</t>
  </si>
  <si>
    <t>Carol Beer</t>
  </si>
  <si>
    <t>Etherious Natsu Dragneel</t>
  </si>
  <si>
    <t>Canis lupus</t>
  </si>
  <si>
    <t>Lord the nox</t>
  </si>
  <si>
    <t>Renegade Corps</t>
  </si>
  <si>
    <t>Sir Hendriks</t>
  </si>
  <si>
    <t>Lorn John snow</t>
  </si>
  <si>
    <t>Einmal mit Profis</t>
  </si>
  <si>
    <t>Der Rote Baron</t>
  </si>
  <si>
    <t>Lord Raphnix</t>
  </si>
  <si>
    <t>lenker der schlachten96</t>
  </si>
  <si>
    <t>Absoluter Diplomatierer</t>
  </si>
  <si>
    <t>Hubba Bubba</t>
  </si>
  <si>
    <t>Lord Sydios</t>
  </si>
  <si>
    <t>Lord MaSaCkA</t>
  </si>
  <si>
    <t>King MKay</t>
  </si>
  <si>
    <t>The Colossus</t>
  </si>
  <si>
    <t>Ifa Junky</t>
  </si>
  <si>
    <t>Sir Feldherr</t>
  </si>
  <si>
    <t>Gillette Marcus</t>
  </si>
  <si>
    <t>Lord Mac Georg</t>
  </si>
  <si>
    <t>Lord Ziegenbert</t>
  </si>
  <si>
    <t>Freiherr von Kosmo</t>
  </si>
  <si>
    <t>Lord Wischnboart</t>
  </si>
  <si>
    <t>Old Man Joe</t>
  </si>
  <si>
    <t>Kann nicht spielen</t>
  </si>
  <si>
    <t>Lady pidie</t>
  </si>
  <si>
    <t>El Nefes</t>
  </si>
  <si>
    <t>The DarkWolf Returns</t>
  </si>
  <si>
    <t>Z KALAZIA</t>
  </si>
  <si>
    <t>Ritter Lukas</t>
  </si>
  <si>
    <t>Lord von Namor</t>
  </si>
  <si>
    <t>Awesome Lordm</t>
  </si>
  <si>
    <t>Lord HinniYoo</t>
  </si>
  <si>
    <t>Rainer Wahnsinn</t>
  </si>
  <si>
    <t>The Big Boy</t>
  </si>
  <si>
    <t>Hiro Nakamura</t>
  </si>
  <si>
    <t>Guter Freund</t>
  </si>
  <si>
    <t>Anna Leindringen</t>
  </si>
  <si>
    <t>Lady Sanni</t>
  </si>
  <si>
    <t>Lady Kenispuchen</t>
  </si>
  <si>
    <t>nur mal schaun</t>
  </si>
  <si>
    <t>Dynamo Dosenbier</t>
  </si>
  <si>
    <t>Sky Gaber</t>
  </si>
  <si>
    <t>TD Woody</t>
  </si>
  <si>
    <t>Baby Groot</t>
  </si>
  <si>
    <t>I C A R U S</t>
  </si>
  <si>
    <t>K I N G</t>
  </si>
  <si>
    <t>Darkkiller 30</t>
  </si>
  <si>
    <t>King of the Monsters</t>
  </si>
  <si>
    <t>Incoming Attack</t>
  </si>
  <si>
    <t>Lord Steinberg</t>
  </si>
  <si>
    <t>Cuneglas of Powys</t>
  </si>
  <si>
    <t>Julius Zweidrittelstein</t>
  </si>
  <si>
    <t>One Man Army</t>
  </si>
  <si>
    <t>Lord Vaider</t>
  </si>
  <si>
    <t>Lord Virus</t>
  </si>
  <si>
    <t>MA6IC CU3E</t>
  </si>
  <si>
    <t>Tony Ciccione</t>
  </si>
  <si>
    <t>King Ka</t>
  </si>
  <si>
    <t>Mr Quack</t>
  </si>
  <si>
    <t>John Shelby</t>
  </si>
  <si>
    <t>Lord Hahnschwegwe</t>
  </si>
  <si>
    <t>Don Poseidon</t>
  </si>
  <si>
    <t>Zwerg der zwei Klingen</t>
  </si>
  <si>
    <t>King Overdrive</t>
  </si>
  <si>
    <t>Lord Scheppi</t>
  </si>
  <si>
    <t>Lady Gamb</t>
  </si>
  <si>
    <t>Der Blauadler</t>
  </si>
  <si>
    <t>Lord York</t>
  </si>
  <si>
    <t>Lord Schnee77</t>
  </si>
  <si>
    <t>NoSkill justLuck</t>
  </si>
  <si>
    <t>Lord Verlos</t>
  </si>
  <si>
    <t>Lord Burnsens</t>
  </si>
  <si>
    <t>Rotzen bald dein Dorf</t>
  </si>
  <si>
    <t>Hunger und Durst</t>
  </si>
  <si>
    <t>Jacques Moliere</t>
  </si>
  <si>
    <t>Lord Rubikub</t>
  </si>
  <si>
    <t>SaMcRo RedwoodOriginal</t>
  </si>
  <si>
    <t>Vikinger 77</t>
  </si>
  <si>
    <t>farmer 5</t>
  </si>
  <si>
    <t>Servant of Hecate</t>
  </si>
  <si>
    <t>Lord xXP4n3mst4rXx</t>
  </si>
  <si>
    <t>sir qwertzuiop</t>
  </si>
  <si>
    <t>Olaf Holz</t>
  </si>
  <si>
    <t>jobi B.</t>
  </si>
  <si>
    <t>Der Whisky</t>
  </si>
  <si>
    <t>ehrenbruder 8i</t>
  </si>
  <si>
    <t>Ryan Stecken</t>
  </si>
  <si>
    <t>Der neue Wahnsinn-bolli</t>
  </si>
  <si>
    <t>Dat Boi</t>
  </si>
  <si>
    <t>Sir Meldor</t>
  </si>
  <si>
    <t>Lyrion Tennister</t>
  </si>
  <si>
    <t>Susanna Glocke</t>
  </si>
  <si>
    <t>hallo erstmal1</t>
  </si>
  <si>
    <t>.Bonnie and Clyde.</t>
  </si>
  <si>
    <t>Jack hat Tripper</t>
  </si>
  <si>
    <t>Phantom 2</t>
  </si>
  <si>
    <t>Lord Rudi1</t>
  </si>
  <si>
    <t>Winged Hussar</t>
  </si>
  <si>
    <t>Wickie 1974</t>
  </si>
  <si>
    <t>Malamute Man</t>
  </si>
  <si>
    <t>ReUnited TerrorCorps</t>
  </si>
  <si>
    <t>Graf v. Neckartal</t>
  </si>
  <si>
    <t>xL schulLe</t>
  </si>
  <si>
    <t>Lord tilli</t>
  </si>
  <si>
    <t>Account umbenennen</t>
  </si>
  <si>
    <t>ShXz Inc</t>
  </si>
  <si>
    <t>Lord Andy444</t>
  </si>
  <si>
    <t>Crushing Coin</t>
  </si>
  <si>
    <t>Dein Freund und Helfer</t>
  </si>
  <si>
    <t>Lord Vader83</t>
  </si>
  <si>
    <t>lord andre xxx</t>
  </si>
  <si>
    <t>Ser Wackersburger</t>
  </si>
  <si>
    <t>ick und du</t>
  </si>
  <si>
    <t>Gaucho Ronalbimbo</t>
  </si>
  <si>
    <t>Klaus Samstag</t>
  </si>
  <si>
    <t>Optimus Crime</t>
  </si>
  <si>
    <t>Toter Thor</t>
  </si>
  <si>
    <t>Kleine Hexe123</t>
  </si>
  <si>
    <t>I Xailu I</t>
  </si>
  <si>
    <t>Lord Peter 95</t>
  </si>
  <si>
    <t>La Valentia</t>
  </si>
  <si>
    <t>Basti 88</t>
  </si>
  <si>
    <t>Lasarius Slukus</t>
  </si>
  <si>
    <t>Prinz Fallobst</t>
  </si>
  <si>
    <t>TF DND</t>
  </si>
  <si>
    <t>Wyatt Stepp Earp</t>
  </si>
  <si>
    <t>Ganjalf the Green</t>
  </si>
  <si>
    <t>Kaiser 2.0</t>
  </si>
  <si>
    <t>Schnuckenack Reinhardt</t>
  </si>
  <si>
    <t>Lord Elron McBong</t>
  </si>
  <si>
    <t>Leutnant Retterspitz</t>
  </si>
  <si>
    <t>Drunken Jedi</t>
  </si>
  <si>
    <t>lenfealis is back</t>
  </si>
  <si>
    <t>Pizzy the deff offer</t>
  </si>
  <si>
    <t>Ice and Fire</t>
  </si>
  <si>
    <t>Harry Spotter</t>
  </si>
  <si>
    <t>Damian Toerring</t>
  </si>
  <si>
    <t>Fabian Dragon 1909</t>
  </si>
  <si>
    <t>Teer Dooht</t>
  </si>
  <si>
    <t>Mario Ahner</t>
  </si>
  <si>
    <t>becky lynch</t>
  </si>
  <si>
    <t>SCHMUSE DIE PAMPELMUSE</t>
  </si>
  <si>
    <t>Sergeant Schweinebacke</t>
  </si>
  <si>
    <t>Lord Veralus</t>
  </si>
  <si>
    <t>Der eiserne Gustav</t>
  </si>
  <si>
    <t>Bauer sucht Sau</t>
  </si>
  <si>
    <t>the Godfather</t>
  </si>
  <si>
    <t>Arvedius der 4te</t>
  </si>
  <si>
    <t>Der Berserker</t>
  </si>
  <si>
    <t>Sigurd 1</t>
  </si>
  <si>
    <t>Lord Audifreak der II</t>
  </si>
  <si>
    <t>Salvatore Ferragamo</t>
  </si>
  <si>
    <t>Der Taichu</t>
  </si>
  <si>
    <t>Genus Primal</t>
  </si>
  <si>
    <t>Linkin Park</t>
  </si>
  <si>
    <t>Sven Lennister</t>
  </si>
  <si>
    <t>Snoop Doggy Dogg</t>
  </si>
  <si>
    <t>Ritter von Rost</t>
  </si>
  <si>
    <t>Lord Winston IV</t>
  </si>
  <si>
    <t>Play 86</t>
  </si>
  <si>
    <t>Reggae Man</t>
  </si>
  <si>
    <t>Ash Ketchum</t>
  </si>
  <si>
    <t>Carsten Maschmeyer</t>
  </si>
  <si>
    <t>Konrad der Salier</t>
  </si>
  <si>
    <t>Geiler Skiller</t>
  </si>
  <si>
    <t>Lady Shado</t>
  </si>
  <si>
    <t>Pistol D</t>
  </si>
  <si>
    <t>vogelspinne 1</t>
  </si>
  <si>
    <t>Jay Korota</t>
  </si>
  <si>
    <t>Queen Fredde</t>
  </si>
  <si>
    <t>der Falke</t>
  </si>
  <si>
    <t>Otto I.</t>
  </si>
  <si>
    <t>Gimli der Zwerg</t>
  </si>
  <si>
    <t>King of Kings</t>
  </si>
  <si>
    <t>Karl Adalbert Friederich</t>
  </si>
  <si>
    <t>TingelTangel Bob</t>
  </si>
  <si>
    <t>TSM Drogon</t>
  </si>
  <si>
    <t>Smitty Werben</t>
  </si>
  <si>
    <t>Brooklyn Brawler</t>
  </si>
  <si>
    <t>baba hood</t>
  </si>
  <si>
    <t>Big Babba58</t>
  </si>
  <si>
    <t>women of darkness</t>
  </si>
  <si>
    <t>Sir Hadouken</t>
  </si>
  <si>
    <t>Gisela von Schwaben</t>
  </si>
  <si>
    <t>San Remo</t>
  </si>
  <si>
    <t>Hansdampf 1312</t>
  </si>
  <si>
    <t>Lord lasergurke1112</t>
  </si>
  <si>
    <t>Elizabeth Keen</t>
  </si>
  <si>
    <t>El Pharao</t>
  </si>
  <si>
    <t>Fabulous Freakz</t>
  </si>
  <si>
    <t>Lord PickleRick</t>
  </si>
  <si>
    <t>Lord FP</t>
  </si>
  <si>
    <t>Joah Theron</t>
  </si>
  <si>
    <t>Stabilo Boss</t>
  </si>
  <si>
    <t>Karnage Tyrant</t>
  </si>
  <si>
    <t>Rudi Ratlos</t>
  </si>
  <si>
    <t>Sieger 5</t>
  </si>
  <si>
    <t>Sven 1974</t>
  </si>
  <si>
    <t>ganz entspannt</t>
  </si>
  <si>
    <t>Medical Manfred</t>
  </si>
  <si>
    <t>Devil Strike</t>
  </si>
  <si>
    <t>butzi 1</t>
  </si>
  <si>
    <t>Chris Run</t>
  </si>
  <si>
    <t>Zac Pac</t>
  </si>
  <si>
    <t>Aki der Wilde</t>
  </si>
  <si>
    <t>Bastian Balthasar Bux</t>
  </si>
  <si>
    <t>Ritter popo</t>
  </si>
  <si>
    <t>Lord Patte V</t>
  </si>
  <si>
    <t>Der Metzler</t>
  </si>
  <si>
    <t>AleksandeR Der KleinE</t>
  </si>
  <si>
    <t>Freiherr von Licht</t>
  </si>
  <si>
    <t>eissi 123</t>
  </si>
  <si>
    <t>lord s23</t>
  </si>
  <si>
    <t>Puma Di Ace</t>
  </si>
  <si>
    <t>Lord von Rotfuchs</t>
  </si>
  <si>
    <t>Lady Devilsgirl</t>
  </si>
  <si>
    <t>Big Boss 69</t>
  </si>
  <si>
    <t>Mosas Reloaded</t>
  </si>
  <si>
    <t>Wilke Wurst</t>
  </si>
  <si>
    <t>Banane in Pyjama</t>
  </si>
  <si>
    <t>fourth try</t>
  </si>
  <si>
    <t>Imperator Baked</t>
  </si>
  <si>
    <t>Ina Instabil</t>
  </si>
  <si>
    <t>Lord Herkulles4444</t>
  </si>
  <si>
    <t>Rofa TTN</t>
  </si>
  <si>
    <t>Black Cobra</t>
  </si>
  <si>
    <t>Lord wankelhoden</t>
  </si>
  <si>
    <t>Lord Baba54</t>
  </si>
  <si>
    <t>Alexander von Babylon</t>
  </si>
  <si>
    <t>Ragnar Lockbrock</t>
  </si>
  <si>
    <t>Lord Jon Snow</t>
  </si>
  <si>
    <t>Devil Dome</t>
  </si>
  <si>
    <t>RAT IRL</t>
  </si>
  <si>
    <t>Lord Steinhose</t>
  </si>
  <si>
    <t>Powerbash 08</t>
  </si>
  <si>
    <t>Old Witcher</t>
  </si>
  <si>
    <t>Konstantin II</t>
  </si>
  <si>
    <t>Gismo 2007</t>
  </si>
  <si>
    <t>Tom Braider</t>
  </si>
  <si>
    <t>RuMbLe runS</t>
  </si>
  <si>
    <t>mister pingu</t>
  </si>
  <si>
    <t>Lord LittleGummi</t>
  </si>
  <si>
    <t>Edgar Evernever</t>
  </si>
  <si>
    <t>Wenzel IV</t>
  </si>
  <si>
    <t>Bayernpower 2</t>
  </si>
  <si>
    <t>Rentaro Kazami</t>
  </si>
  <si>
    <t>Prinz Ludwig</t>
  </si>
  <si>
    <t>Kira Nerris</t>
  </si>
  <si>
    <t>Sultan Selim al Chasid</t>
  </si>
  <si>
    <t>LORD R3BORN</t>
  </si>
  <si>
    <t>Clown der ewigen Nacht</t>
  </si>
  <si>
    <t>TuTsckin Dark</t>
  </si>
  <si>
    <t>Ulrich v.D.</t>
  </si>
  <si>
    <t>o Nala o</t>
  </si>
  <si>
    <t>Cook1e Dough</t>
  </si>
  <si>
    <t>Lady Eisenhauer</t>
  </si>
  <si>
    <t>Neues Textdokument</t>
  </si>
  <si>
    <t>Baron Kater</t>
  </si>
  <si>
    <t>Lord VidaR</t>
  </si>
  <si>
    <t>Lord Dr.Joker</t>
  </si>
  <si>
    <t>Sir Henry</t>
  </si>
  <si>
    <t>Chuck Norris Jun</t>
  </si>
  <si>
    <t>Katapult Klaus</t>
  </si>
  <si>
    <t>Mr Smrt</t>
  </si>
  <si>
    <t>1SAO1 Kirito</t>
  </si>
  <si>
    <t>Held des Kampfes</t>
  </si>
  <si>
    <t>Bulk Biceps</t>
  </si>
  <si>
    <t>Mia Julia</t>
  </si>
  <si>
    <t>Sir Norman</t>
  </si>
  <si>
    <t>Sir Caramba</t>
  </si>
  <si>
    <t>3 Kinder und Kein Geld</t>
  </si>
  <si>
    <t>Popolius Maier</t>
  </si>
  <si>
    <t>Nicer Dude</t>
  </si>
  <si>
    <t>Unbekannter Spieler</t>
  </si>
  <si>
    <t>gl hf 1</t>
  </si>
  <si>
    <t>Captain M</t>
  </si>
  <si>
    <t>Lord alpenrahm</t>
  </si>
  <si>
    <t>Dirty Harry</t>
  </si>
  <si>
    <t>Austrian braveheart</t>
  </si>
  <si>
    <t>Gallus Bonus</t>
  </si>
  <si>
    <t>The Chapel</t>
  </si>
  <si>
    <t>true dope</t>
  </si>
  <si>
    <t>Gasmask Terror</t>
  </si>
  <si>
    <t>Lord Hamburg97</t>
  </si>
  <si>
    <t>Stay at Home</t>
  </si>
  <si>
    <t>Mister Mou</t>
  </si>
  <si>
    <t>Jordi El Nino66</t>
  </si>
  <si>
    <t>Bausi the best</t>
  </si>
  <si>
    <t>Peter Tebartz-van-Elst</t>
  </si>
  <si>
    <t>Lord C2205</t>
  </si>
  <si>
    <t>Sir Vitamin</t>
  </si>
  <si>
    <t>Parge Lenis73</t>
  </si>
  <si>
    <t>Wenzel der Germane</t>
  </si>
  <si>
    <t>Felix von van Blume</t>
  </si>
  <si>
    <t>OG BananaJoe</t>
  </si>
  <si>
    <t>Lord Traliwatsch</t>
  </si>
  <si>
    <t>Moneybagg yo</t>
  </si>
  <si>
    <t>Parge Lenis.</t>
  </si>
  <si>
    <t>dei mem</t>
  </si>
  <si>
    <t>Neal George Caffrey</t>
  </si>
  <si>
    <t>Dark Pitbull</t>
  </si>
  <si>
    <t>Heinrich von Skalitz</t>
  </si>
  <si>
    <t>EL HIRSCHO</t>
  </si>
  <si>
    <t>Lady Mona</t>
  </si>
  <si>
    <t>Don Leon</t>
  </si>
  <si>
    <t>Stone 3110</t>
  </si>
  <si>
    <t>El Neesos</t>
  </si>
  <si>
    <t>Meister Klaus</t>
  </si>
  <si>
    <t>sanki D yok</t>
  </si>
  <si>
    <t>L. Targaryen</t>
  </si>
  <si>
    <t>Dietrich von Bern</t>
  </si>
  <si>
    <t>Lisl Wiesl</t>
  </si>
  <si>
    <t>Sir Ulrich</t>
  </si>
  <si>
    <t>c plus plus</t>
  </si>
  <si>
    <t>Lord Kaktus</t>
  </si>
  <si>
    <t>Lord Afroman</t>
  </si>
  <si>
    <t>Lady Walter</t>
  </si>
  <si>
    <t>Lord Claas</t>
  </si>
  <si>
    <t>Talon der Wanderer</t>
  </si>
  <si>
    <t>Der Prinz vom Alsergrund</t>
  </si>
  <si>
    <t>Sir John</t>
  </si>
  <si>
    <t>kinimod 96</t>
  </si>
  <si>
    <t>Black Idefix</t>
  </si>
  <si>
    <t>EZ STOMP</t>
  </si>
  <si>
    <t>Conny Ke</t>
  </si>
  <si>
    <t>King Atzu</t>
  </si>
  <si>
    <t>Der Tempelritter</t>
  </si>
  <si>
    <t>Dr. Blobb</t>
  </si>
  <si>
    <t>beck 600</t>
  </si>
  <si>
    <t>Lord Grapefruit</t>
  </si>
  <si>
    <t>Osman der Erste</t>
  </si>
  <si>
    <t>Fynnus Maximuhsus</t>
  </si>
  <si>
    <t>Ted Romato</t>
  </si>
  <si>
    <t>Gzuz von Nazareth</t>
  </si>
  <si>
    <t>Kein alexi</t>
  </si>
  <si>
    <t>Der Haie</t>
  </si>
  <si>
    <t>Sum thing wong</t>
  </si>
  <si>
    <t>Lord tachauch</t>
  </si>
  <si>
    <t>Graf Dr. Acula</t>
  </si>
  <si>
    <t>The Quari</t>
  </si>
  <si>
    <t>kinq erol</t>
  </si>
  <si>
    <t>Tribal Maze</t>
  </si>
  <si>
    <t>King SKP</t>
  </si>
  <si>
    <t>Jochen der Rochen</t>
  </si>
  <si>
    <t>Lord Predator</t>
  </si>
  <si>
    <t>Chicken 0420</t>
  </si>
  <si>
    <t>antep baklava</t>
  </si>
  <si>
    <t>Der Pizzamann</t>
  </si>
  <si>
    <t>Lord 3raZor</t>
  </si>
  <si>
    <t>Karma Baby</t>
  </si>
  <si>
    <t>Stammspieler wie Benzema</t>
  </si>
  <si>
    <t>Yana Al Manara</t>
  </si>
  <si>
    <t>Combat X</t>
  </si>
  <si>
    <t>Somato Letu</t>
  </si>
  <si>
    <t>Karin Gallus</t>
  </si>
  <si>
    <t>Herr Fuchs</t>
  </si>
  <si>
    <t>Triple Y</t>
  </si>
  <si>
    <t>Lord Nedib</t>
  </si>
  <si>
    <t>Mann mit Axt</t>
  </si>
  <si>
    <t>lx MedeK xl</t>
  </si>
  <si>
    <t>Sanneh Da Nielson</t>
  </si>
  <si>
    <t>Ein Feldweg</t>
  </si>
  <si>
    <t>Catweazle 2.0</t>
  </si>
  <si>
    <t>lord Balu</t>
  </si>
  <si>
    <t>raucher 55</t>
  </si>
  <si>
    <t>King Maddin</t>
  </si>
  <si>
    <t>Portgas D Ace</t>
  </si>
  <si>
    <t>LW Vogy</t>
  </si>
  <si>
    <t>Lady Cleo</t>
  </si>
  <si>
    <t>Dirk 1998</t>
  </si>
  <si>
    <t>Max Mustermann</t>
  </si>
  <si>
    <t>El Tigre</t>
  </si>
  <si>
    <t>EarlyEva for real</t>
  </si>
  <si>
    <t>Sir Balu</t>
  </si>
  <si>
    <t>The Crack FoX</t>
  </si>
  <si>
    <t>Angelo Merte</t>
  </si>
  <si>
    <t>Eric Cartman</t>
  </si>
  <si>
    <t>Manollo 123</t>
  </si>
  <si>
    <t>Dr. Rauchsau</t>
  </si>
  <si>
    <t>White Wolf</t>
  </si>
  <si>
    <t>Onkel Dagobert</t>
  </si>
  <si>
    <t>Toller Hecht</t>
  </si>
  <si>
    <t>Pizza Prociutto</t>
  </si>
  <si>
    <t>Lord Fiebs</t>
  </si>
  <si>
    <t>Sue lu</t>
  </si>
  <si>
    <t>Nameless Emperor</t>
  </si>
  <si>
    <t>Roastbeef Terry</t>
  </si>
  <si>
    <t>TrQ Deqoutee</t>
  </si>
  <si>
    <t>Dummer Dino</t>
  </si>
  <si>
    <t>Natalie Lust</t>
  </si>
  <si>
    <t>Edo Sojabohne</t>
  </si>
  <si>
    <t>Hoga der Schreckliche</t>
  </si>
  <si>
    <t>Carl Hanratty</t>
  </si>
  <si>
    <t>Peter Pan 09</t>
  </si>
  <si>
    <t>darth vadr</t>
  </si>
  <si>
    <t>Dr. Power</t>
  </si>
  <si>
    <t>Magic Ulban</t>
  </si>
  <si>
    <t>Tiberius Quintus</t>
  </si>
  <si>
    <t>King Juju</t>
  </si>
  <si>
    <t>The Recipient</t>
  </si>
  <si>
    <t>Tim Traitor</t>
  </si>
  <si>
    <t>Janosh Kronos</t>
  </si>
  <si>
    <t>Ch1ll 0ut</t>
  </si>
  <si>
    <t>Riven Bot</t>
  </si>
  <si>
    <t>Lord Tormund-Riesentod</t>
  </si>
  <si>
    <t>Klaus Uhr</t>
  </si>
  <si>
    <t>Revenge is sweet</t>
  </si>
  <si>
    <t>Holy Knight Escanor</t>
  </si>
  <si>
    <t>TyL3R DuRd3N</t>
  </si>
  <si>
    <t>. basher</t>
  </si>
  <si>
    <t>La Casa De Papel</t>
  </si>
  <si>
    <t>Lord Sprantie</t>
  </si>
  <si>
    <t>Dieter Hacking</t>
  </si>
  <si>
    <t>Lord Neesos</t>
  </si>
  <si>
    <t>Bot Pumpkin</t>
  </si>
  <si>
    <t>Las Miranda Den Sevilla</t>
  </si>
  <si>
    <t>Papi Chulo</t>
  </si>
  <si>
    <t>SBL AUT</t>
  </si>
  <si>
    <t>Drago der Rebell</t>
  </si>
  <si>
    <t>Ned Stark</t>
  </si>
  <si>
    <t>Lord Nicken 1</t>
  </si>
  <si>
    <t>Sleepy Joe</t>
  </si>
  <si>
    <t>Le Boa</t>
  </si>
  <si>
    <t>Le Bratan</t>
  </si>
  <si>
    <t>Master Loui</t>
  </si>
  <si>
    <t>Stini 94</t>
  </si>
  <si>
    <t>Der Besorger</t>
  </si>
  <si>
    <t>Lord LoeffelKuh</t>
  </si>
  <si>
    <t>King Inka</t>
  </si>
  <si>
    <t>Flo 92</t>
  </si>
  <si>
    <t>Le Samra</t>
  </si>
  <si>
    <t>R O L F</t>
  </si>
  <si>
    <t>Crustulum Lupus</t>
  </si>
  <si>
    <t>Paul der 3.</t>
  </si>
  <si>
    <t>AtomAtze 9</t>
  </si>
  <si>
    <t>Merkur Fazzel</t>
  </si>
  <si>
    <t>Mister Bekannt</t>
  </si>
  <si>
    <t>Ragner L</t>
  </si>
  <si>
    <t>dark seid</t>
  </si>
  <si>
    <t>Fear slayer</t>
  </si>
  <si>
    <t>Lord Spacelord</t>
  </si>
  <si>
    <t>Sepp Star</t>
  </si>
  <si>
    <t>Dr. Ulkan</t>
  </si>
  <si>
    <t>Darth Yoshi</t>
  </si>
  <si>
    <t>Der inaktive Noob</t>
  </si>
  <si>
    <t>ds pro</t>
  </si>
  <si>
    <t>Mr. Panda</t>
  </si>
  <si>
    <t>Ewald Brenner</t>
  </si>
  <si>
    <t>Justus Christus</t>
  </si>
  <si>
    <t>Lord VokuFarm</t>
  </si>
  <si>
    <t>Maunschl jr</t>
  </si>
  <si>
    <t>Memento mori</t>
  </si>
  <si>
    <t>De King</t>
  </si>
  <si>
    <t>Black lava</t>
  </si>
  <si>
    <t>Wiggal Drechsel</t>
  </si>
  <si>
    <t>Los Persos</t>
  </si>
  <si>
    <t>the Destroyer</t>
  </si>
  <si>
    <t>I IziBizi I</t>
  </si>
  <si>
    <t>Lysander II</t>
  </si>
  <si>
    <t>Dante VII</t>
  </si>
  <si>
    <t>Caligo de Zerfigger</t>
  </si>
  <si>
    <t>tom 2</t>
  </si>
  <si>
    <t>Lord Scheo</t>
  </si>
  <si>
    <t>Death Killer</t>
  </si>
  <si>
    <t>bailey on ice</t>
  </si>
  <si>
    <t>Lord PwndByPony</t>
  </si>
  <si>
    <t>Der Sandmann</t>
  </si>
  <si>
    <t>Dat Lisbett</t>
  </si>
  <si>
    <t>Lord RedDevil</t>
  </si>
  <si>
    <t>Lord Shisui</t>
  </si>
  <si>
    <t>Lord Hessi</t>
  </si>
  <si>
    <t>Howard 266</t>
  </si>
  <si>
    <t>Hinni Labrador</t>
  </si>
  <si>
    <t>BW Galgenmoor</t>
  </si>
  <si>
    <t>Lord Hideki</t>
  </si>
  <si>
    <t>August der Braumeister</t>
  </si>
  <si>
    <t>Thor Odinson</t>
  </si>
  <si>
    <t>Lord Becky</t>
  </si>
  <si>
    <t>Lord Bacon</t>
  </si>
  <si>
    <t>Oldschooler is back</t>
  </si>
  <si>
    <t>Lord Wuepper</t>
  </si>
  <si>
    <t>Eckbert von Eckenhagen</t>
  </si>
  <si>
    <t>Captain Buggy</t>
  </si>
  <si>
    <t>back to the roots</t>
  </si>
  <si>
    <t>Sir vom Sieg</t>
  </si>
  <si>
    <t>Lady Berti</t>
  </si>
  <si>
    <t>Franky De Witt</t>
  </si>
  <si>
    <t>Der Afrikaner</t>
  </si>
  <si>
    <t>Maximilian 723</t>
  </si>
  <si>
    <t>General Cartman Lee</t>
  </si>
  <si>
    <t>Kleiner Bruder</t>
  </si>
  <si>
    <t>KW Barber</t>
  </si>
  <si>
    <t>huba bubba</t>
  </si>
  <si>
    <t>Pr. Drogon</t>
  </si>
  <si>
    <t>oh a bandit</t>
  </si>
  <si>
    <t>WeedEnjoyer 420</t>
  </si>
  <si>
    <t>Dave I</t>
  </si>
  <si>
    <t>Ronald the Raper</t>
  </si>
  <si>
    <t>der wahre schweiger</t>
  </si>
  <si>
    <t>great live</t>
  </si>
  <si>
    <t>Lord Dome</t>
  </si>
  <si>
    <t>Back Devil-Storm</t>
  </si>
  <si>
    <t>Lord Pille</t>
  </si>
  <si>
    <t>Nikon Toni</t>
  </si>
  <si>
    <t>Felix ist</t>
  </si>
  <si>
    <t>f... y..</t>
  </si>
  <si>
    <t>SHADOW WINGS</t>
  </si>
  <si>
    <t>Greift sich selber an</t>
  </si>
  <si>
    <t>FaKeT maksi1212</t>
  </si>
  <si>
    <t>Sir Jon</t>
  </si>
  <si>
    <t>Lord Vari</t>
  </si>
  <si>
    <t>Carls Berg</t>
  </si>
  <si>
    <t>Tommy der 1.</t>
  </si>
  <si>
    <t>Crimson Prince</t>
  </si>
  <si>
    <t>Shikamaru Nara</t>
  </si>
  <si>
    <t>Lady Eri</t>
  </si>
  <si>
    <t>dreckiger daen</t>
  </si>
  <si>
    <t>Old York</t>
  </si>
  <si>
    <t>georg 189</t>
  </si>
  <si>
    <t>Lady Yuno</t>
  </si>
  <si>
    <t>Chill as Buddha</t>
  </si>
  <si>
    <t>Roberto Stecher</t>
  </si>
  <si>
    <t>BlackTiger is back</t>
  </si>
  <si>
    <t>Dolf 0815</t>
  </si>
  <si>
    <t>Lord Simba</t>
  </si>
  <si>
    <t>Lord Marsh</t>
  </si>
  <si>
    <t>Euli beuli</t>
  </si>
  <si>
    <t>walvater wotan</t>
  </si>
  <si>
    <t>Lord WhiteFlag</t>
  </si>
  <si>
    <t>Mercedes Benz AMG</t>
  </si>
  <si>
    <t>I dOm Ya I</t>
  </si>
  <si>
    <t>Agent Neo 2.0</t>
  </si>
  <si>
    <t>Sir Jim Panse</t>
  </si>
  <si>
    <t>Lord heiniprinz</t>
  </si>
  <si>
    <t>Lukas 30</t>
  </si>
  <si>
    <t>carlos velhinho</t>
  </si>
  <si>
    <t>Karl der Dicke</t>
  </si>
  <si>
    <t>Baba Samu</t>
  </si>
  <si>
    <t>King kev</t>
  </si>
  <si>
    <t>The Flak</t>
  </si>
  <si>
    <t>Lord testuser123</t>
  </si>
  <si>
    <t>*DOC*</t>
  </si>
  <si>
    <t>GEORG*1</t>
  </si>
  <si>
    <t>-Andy*</t>
  </si>
  <si>
    <t>maze*</t>
  </si>
  <si>
    <t>Erzengel-*-Raziel</t>
  </si>
  <si>
    <t>*AcEDrink*</t>
  </si>
  <si>
    <t>*Shadow*</t>
  </si>
  <si>
    <t>Billionaire*</t>
  </si>
  <si>
    <t>-Schpider*</t>
  </si>
  <si>
    <t>2*good*4*you</t>
  </si>
  <si>
    <t>Ultimat3Mast3r*</t>
  </si>
  <si>
    <t>*jacky chan*</t>
  </si>
  <si>
    <t>intoxicated*</t>
  </si>
  <si>
    <t>*kingjulien*</t>
  </si>
  <si>
    <t>Golden*Rose</t>
  </si>
  <si>
    <t>-powerkid*</t>
  </si>
  <si>
    <t>Kati **</t>
  </si>
  <si>
    <t>*Fuldozer*</t>
  </si>
  <si>
    <t>*albaSTAR*</t>
  </si>
  <si>
    <t>079*</t>
  </si>
  <si>
    <t>*DoctorWeed*</t>
  </si>
  <si>
    <t>toxic*vision</t>
  </si>
  <si>
    <t>Holid4y H**</t>
  </si>
  <si>
    <t>*The-Hunter*</t>
  </si>
  <si>
    <t>Karthager***</t>
  </si>
  <si>
    <t>-Fabi*</t>
  </si>
  <si>
    <t>*-*Odin*-*</t>
  </si>
  <si>
    <t>-V Sky*</t>
  </si>
  <si>
    <t>-TeaCup*</t>
  </si>
  <si>
    <t>Inv1ctus*</t>
  </si>
  <si>
    <t>*Kitana*</t>
  </si>
  <si>
    <t>Quarantino*</t>
  </si>
  <si>
    <t>Munin*</t>
  </si>
  <si>
    <t>Hawk*</t>
  </si>
  <si>
    <t>Nameless*</t>
  </si>
  <si>
    <t>Schmajo*</t>
  </si>
  <si>
    <t>**T.P.M.**</t>
  </si>
  <si>
    <t>-schpider *</t>
  </si>
  <si>
    <t>Harvey*</t>
  </si>
  <si>
    <t>**VaRaVa**</t>
  </si>
  <si>
    <t>-FinnTheHuman*</t>
  </si>
  <si>
    <t>REDSKIN*</t>
  </si>
  <si>
    <t>*RagnarLodbrok*</t>
  </si>
  <si>
    <t>*Tha**Bull*</t>
  </si>
  <si>
    <t>*TheWall*</t>
  </si>
  <si>
    <t>Rand*</t>
  </si>
  <si>
    <t>EisTea*</t>
  </si>
  <si>
    <t>-Samra*</t>
  </si>
  <si>
    <t>.P0WERR4DE*</t>
  </si>
  <si>
    <t>*KeyLess*</t>
  </si>
  <si>
    <t>*HolladieWaldfee*</t>
  </si>
  <si>
    <t>Ninja*</t>
  </si>
  <si>
    <t>zurük</t>
  </si>
  <si>
    <t>Rudi das Rüsslschwein</t>
  </si>
  <si>
    <t>Lüttringhauser</t>
  </si>
  <si>
    <t>%C3%96lümsüz Kahraman</t>
  </si>
  <si>
    <t>Rüdiger IV</t>
  </si>
  <si>
    <t>berühmt008</t>
  </si>
  <si>
    <t>Rübenstein</t>
  </si>
  <si>
    <t>Kurfürst von Sachsen</t>
  </si>
  <si>
    <t>Fürst Musashi</t>
  </si>
  <si>
    <t>Süsse Sandra</t>
  </si>
  <si>
    <t>Liebe ist für alle da</t>
  </si>
  <si>
    <t>Mühlenwirt</t>
  </si>
  <si>
    <t>Münch10011997</t>
  </si>
  <si>
    <t>schütze28</t>
  </si>
  <si>
    <t>jürgen64</t>
  </si>
  <si>
    <t>KrümelKeks*</t>
  </si>
  <si>
    <t>Klopapierrollenschütze</t>
  </si>
  <si>
    <t>Spielführer</t>
  </si>
  <si>
    <t>Strüffler</t>
  </si>
  <si>
    <t>Grünkohl90</t>
  </si>
  <si>
    <t>McMü</t>
  </si>
  <si>
    <t>Fürst Finn</t>
  </si>
  <si>
    <t>Herr der Hühnchen</t>
  </si>
  <si>
    <t>Mr.Knüppel</t>
  </si>
  <si>
    <t>Plüschi69</t>
  </si>
  <si>
    <t>Günter D</t>
  </si>
  <si>
    <t>Südwest</t>
  </si>
  <si>
    <t>Defferfürheffner</t>
  </si>
  <si>
    <t>Det Müller</t>
  </si>
  <si>
    <t>Blüte</t>
  </si>
  <si>
    <t>Le Günni</t>
  </si>
  <si>
    <t>Der Müde Joe</t>
  </si>
  <si>
    <t>drücker78</t>
  </si>
  <si>
    <t>*München</t>
  </si>
  <si>
    <t>Flauschiges Küken</t>
  </si>
  <si>
    <t>RumfürAlle</t>
  </si>
  <si>
    <t>Rücken</t>
  </si>
  <si>
    <t>MelanieMüller</t>
  </si>
  <si>
    <t>Fürst1</t>
  </si>
  <si>
    <t>Sir Schütti</t>
  </si>
  <si>
    <t>FürstVelten</t>
  </si>
  <si>
    <t>Borstiger Bürstenmann</t>
  </si>
  <si>
    <t>Marcel der Kühne</t>
  </si>
  <si>
    <t>Fürst Oja</t>
  </si>
  <si>
    <t>diesühner</t>
  </si>
  <si>
    <t>Cüneyt</t>
  </si>
  <si>
    <t>jürgenevers</t>
  </si>
  <si>
    <t>Kriegsfürst Vurtne</t>
  </si>
  <si>
    <t>Zuckerschütli</t>
  </si>
  <si>
    <t>FührerFux</t>
  </si>
  <si>
    <t>Kranführer Ronny</t>
  </si>
  <si>
    <t>Muhammet Akagündüz</t>
  </si>
  <si>
    <t>Jülianne</t>
  </si>
  <si>
    <t>EinfachDerHübsche</t>
  </si>
  <si>
    <t>Der Grüne Baron</t>
  </si>
  <si>
    <t>Gürke</t>
  </si>
  <si>
    <t>schnüffeli</t>
  </si>
  <si>
    <t>Hülmes</t>
  </si>
  <si>
    <t>Fürst Loki</t>
  </si>
  <si>
    <t>türk123</t>
  </si>
  <si>
    <t>!c3^42</t>
  </si>
  <si>
    <t>super m@c</t>
  </si>
  <si>
    <t>Y@r0n</t>
  </si>
  <si>
    <t>Vussel@Back</t>
  </si>
  <si>
    <t>master@all</t>
  </si>
  <si>
    <t>SvenC@</t>
  </si>
  <si>
    <t>El C@pitano</t>
  </si>
  <si>
    <t>Tribal@wall</t>
  </si>
  <si>
    <t>Fr@nky1</t>
  </si>
  <si>
    <t>M@ster-x</t>
  </si>
  <si>
    <t>M@giXx</t>
  </si>
  <si>
    <t>T@dyB%C3%84r</t>
  </si>
  <si>
    <t>H@RDLINER1</t>
  </si>
  <si>
    <t>ICr@shyourVillage</t>
  </si>
  <si>
    <t>L@ser</t>
  </si>
  <si>
    <t>(paintkiller)</t>
  </si>
  <si>
    <t>Kero22((ger)</t>
  </si>
  <si>
    <t>Päuli</t>
  </si>
  <si>
    <t>die Sauerländerin</t>
  </si>
  <si>
    <t>Fräulein Free</t>
  </si>
  <si>
    <t>PzAufklärer</t>
  </si>
  <si>
    <t>Kämpfer Darans</t>
  </si>
  <si>
    <t>Mac der Mächtige</t>
  </si>
  <si>
    <t>Tiimmää</t>
  </si>
  <si>
    <t>hasenbär</t>
  </si>
  <si>
    <t>Fumabär</t>
  </si>
  <si>
    <t>DickPäff</t>
  </si>
  <si>
    <t>Weiberjäger</t>
  </si>
  <si>
    <t>niewieder-stämme</t>
  </si>
  <si>
    <t>Schlangenkämpfer</t>
  </si>
  <si>
    <t>schwertkämpfer18</t>
  </si>
  <si>
    <t>JoanaMäk</t>
  </si>
  <si>
    <t>OhneKevinLäuft</t>
  </si>
  <si>
    <t>Mausebär69</t>
  </si>
  <si>
    <t>Kätzchen1001</t>
  </si>
  <si>
    <t>LegionärBorimier</t>
  </si>
  <si>
    <t>Verräterus 2</t>
  </si>
  <si>
    <t>Kränky</t>
  </si>
  <si>
    <t>basti der bär</t>
  </si>
  <si>
    <t>Lutenend Dään</t>
  </si>
  <si>
    <t>Querschläger1903</t>
  </si>
  <si>
    <t>MäcBastard</t>
  </si>
  <si>
    <t>Dr. med. Räscher</t>
  </si>
  <si>
    <t>zu Eckstädt</t>
  </si>
  <si>
    <t>Lord Legionär</t>
  </si>
  <si>
    <t>Vogtländer1</t>
  </si>
  <si>
    <t>Spotzebär</t>
  </si>
  <si>
    <t>kingähh</t>
  </si>
  <si>
    <t>Windwächter</t>
  </si>
  <si>
    <t>Der Stammälteste</t>
  </si>
  <si>
    <t>Ds-Koryphäe</t>
  </si>
  <si>
    <t>Schlächter Armkart</t>
  </si>
  <si>
    <t>Bärenkatapult</t>
  </si>
  <si>
    <t>SchläferH</t>
  </si>
  <si>
    <t>Snackverkäufer</t>
  </si>
  <si>
    <t>Tänkeplatsen</t>
  </si>
  <si>
    <t>KäptenHeftig</t>
  </si>
  <si>
    <t>CrazyStämmling</t>
  </si>
  <si>
    <t>Bääl</t>
  </si>
  <si>
    <t>dafälltmirnixein</t>
  </si>
  <si>
    <t>blechschädel</t>
  </si>
  <si>
    <t>MäxPower98</t>
  </si>
  <si>
    <t>DerBaumfäller</t>
  </si>
  <si>
    <t>Fliegende Holländer X</t>
  </si>
  <si>
    <t>Dänerys Targaryen</t>
  </si>
  <si>
    <t>Lord keulenkämpfer23</t>
  </si>
  <si>
    <t>Brummmbär</t>
  </si>
  <si>
    <t>Jackbäm</t>
  </si>
  <si>
    <t>der jäger</t>
  </si>
  <si>
    <t>LilaLauneBär</t>
  </si>
  <si>
    <t>Bräusler</t>
  </si>
  <si>
    <t>Fensterplätzchen</t>
  </si>
  <si>
    <t>KäptnBlaubär</t>
  </si>
  <si>
    <t>legionärVll</t>
  </si>
  <si>
    <t>Cäsar 1970</t>
  </si>
  <si>
    <t>Wäldianer</t>
  </si>
  <si>
    <t>Sändi99</t>
  </si>
  <si>
    <t>Schwarzwälder</t>
  </si>
  <si>
    <t>Gefährliches Laubtier</t>
  </si>
  <si>
    <t>zäufer</t>
  </si>
  <si>
    <t>Läufer</t>
  </si>
  <si>
    <t>Schäuferla Vernichter</t>
  </si>
  <si>
    <t>Der mit das Gerät</t>
  </si>
  <si>
    <t>...päddy...</t>
  </si>
  <si>
    <t>Pe-ähm-ter</t>
  </si>
  <si>
    <t>Hofbräu1108</t>
  </si>
  <si>
    <t>Adelsschlächter</t>
  </si>
  <si>
    <t>anfängerfänger</t>
  </si>
  <si>
    <t>Schädelknacker</t>
  </si>
  <si>
    <t>Die Wunderbäume</t>
  </si>
  <si>
    <t>räRR789</t>
  </si>
  <si>
    <t>Kämpferlicht</t>
  </si>
  <si>
    <t>Häuptlingqualmendesocke</t>
  </si>
  <si>
    <t>MovesLikeJäger</t>
  </si>
  <si>
    <t>Jäger25</t>
  </si>
  <si>
    <t>Eisbär hat heiss</t>
  </si>
  <si>
    <t>bärenstark</t>
  </si>
  <si>
    <t>Dorfältester</t>
  </si>
  <si>
    <t>Schwarzwälderkirschtorte</t>
  </si>
  <si>
    <t>träumerische Tim</t>
  </si>
  <si>
    <t>Dr.Yäru</t>
  </si>
  <si>
    <t>Meurisch der Mächtige</t>
  </si>
  <si>
    <t>Häuptling Nic</t>
  </si>
  <si>
    <t>Knallhärter</t>
  </si>
  <si>
    <t>Günther Schäfer</t>
  </si>
  <si>
    <t>Dämion</t>
  </si>
  <si>
    <t>Kapitän Glühbirne</t>
  </si>
  <si>
    <t>sexystämmegirl</t>
  </si>
  <si>
    <t>Määääge</t>
  </si>
  <si>
    <t>Pradabär</t>
  </si>
  <si>
    <t>Huraknächt</t>
  </si>
  <si>
    <t>Verräterrus</t>
  </si>
  <si>
    <t>Bähmelähm</t>
  </si>
  <si>
    <t>LäBär04</t>
  </si>
  <si>
    <t>Dr. Krämer1</t>
  </si>
  <si>
    <t>Friesä</t>
  </si>
  <si>
    <t>NicNäc</t>
  </si>
  <si>
    <t>Waldmännchen</t>
  </si>
  <si>
    <t>frank der ältere</t>
  </si>
  <si>
    <t>Gandalf der weiße</t>
  </si>
  <si>
    <t>Gerhard der Große</t>
  </si>
  <si>
    <t>Marcel der große</t>
  </si>
  <si>
    <t>Karl der Große 123</t>
  </si>
  <si>
    <t>Großtempler</t>
  </si>
  <si>
    <t>MaximusDerGroße</t>
  </si>
  <si>
    <t>eduard der Gr0ße</t>
  </si>
  <si>
    <t>Reuß</t>
  </si>
  <si>
    <t>Simon der Groooße</t>
  </si>
  <si>
    <t>VOSSI der Große</t>
  </si>
  <si>
    <t>OJO der Große</t>
  </si>
  <si>
    <t>Alexx der Große</t>
  </si>
  <si>
    <t>Branterra der Große</t>
  </si>
  <si>
    <t>Marvin der Große</t>
  </si>
  <si>
    <t>AlexanderderGroße95</t>
  </si>
  <si>
    <t>max groß</t>
  </si>
  <si>
    <t>synek der großzügige</t>
  </si>
  <si>
    <t>viper mit Soße</t>
  </si>
  <si>
    <t>Heiße-Zitrone</t>
  </si>
  <si>
    <t>K-G der Große</t>
  </si>
  <si>
    <t>Litke der große</t>
  </si>
  <si>
    <t>Georg der Große 69</t>
  </si>
  <si>
    <t>Weißich</t>
  </si>
  <si>
    <t>KarlDerGroße</t>
  </si>
  <si>
    <t>Weißwein</t>
  </si>
  <si>
    <t>Lukas der Große</t>
  </si>
  <si>
    <t>maxi der unzerstörbare</t>
  </si>
  <si>
    <t>Mr König</t>
  </si>
  <si>
    <t>die böse Gabi</t>
  </si>
  <si>
    <t>KönigArtur1234</t>
  </si>
  <si>
    <t>phönix03</t>
  </si>
  <si>
    <t>BösiMösi</t>
  </si>
  <si>
    <t>Söni</t>
  </si>
  <si>
    <t>derbööösewicht</t>
  </si>
  <si>
    <t>Störfaktor</t>
  </si>
  <si>
    <t>Römische Kolonie</t>
  </si>
  <si>
    <t>Raubmörder2</t>
  </si>
  <si>
    <t>pöser Wichtel</t>
  </si>
  <si>
    <t>König Madrid</t>
  </si>
  <si>
    <t>Flölly</t>
  </si>
  <si>
    <t>Isildur König von Gondor</t>
  </si>
  <si>
    <t>Völkerbund</t>
  </si>
  <si>
    <t>DerStaubtöter</t>
  </si>
  <si>
    <t>Jöel</t>
  </si>
  <si>
    <t>König der Raute</t>
  </si>
  <si>
    <t>König Hans Wurst</t>
  </si>
  <si>
    <t>König Pilsener</t>
  </si>
  <si>
    <t>Löwenherz 17</t>
  </si>
  <si>
    <t>König van der Heid</t>
  </si>
  <si>
    <t>Löschzwerg10</t>
  </si>
  <si>
    <t>Dein Tödchen</t>
  </si>
  <si>
    <t>HeinBlöd</t>
  </si>
  <si>
    <t>König Gymru</t>
  </si>
  <si>
    <t>Zerstörer 1993</t>
  </si>
  <si>
    <t>dönergang87</t>
  </si>
  <si>
    <t>OskadaZerstörer</t>
  </si>
  <si>
    <t>schrör</t>
  </si>
  <si>
    <t>t-löx</t>
  </si>
  <si>
    <t>Optimösen</t>
  </si>
  <si>
    <t>König Friedrich d. I</t>
  </si>
  <si>
    <t>König Alex13</t>
  </si>
  <si>
    <t>löwenherz27796</t>
  </si>
  <si>
    <t>Blöffer</t>
  </si>
  <si>
    <t>königsadler</t>
  </si>
  <si>
    <t>götze95</t>
  </si>
  <si>
    <t>vögeli</t>
  </si>
  <si>
    <t>König Nigel</t>
  </si>
  <si>
    <t>Dörfersammler</t>
  </si>
  <si>
    <t>Dönerboer</t>
  </si>
  <si>
    <t>KönigKärtnerderHerzen</t>
  </si>
  <si>
    <t>König Marcelinho 1992</t>
  </si>
  <si>
    <t>König Alaneo</t>
  </si>
  <si>
    <t>König Lord r2d2</t>
  </si>
  <si>
    <t>Eroberer von Königsmund</t>
  </si>
  <si>
    <t>König BlackAngel1994</t>
  </si>
  <si>
    <t>Königdererde</t>
  </si>
  <si>
    <t>König imad</t>
  </si>
  <si>
    <t>König AeRo98</t>
  </si>
  <si>
    <t>König xBeggax</t>
  </si>
  <si>
    <t>König Raa</t>
  </si>
  <si>
    <t>König Mr.Cool</t>
  </si>
  <si>
    <t>König Eisenherz</t>
  </si>
  <si>
    <t>König Bananenbauer</t>
  </si>
  <si>
    <t>König Jakob</t>
  </si>
  <si>
    <t>Königin Lady angie</t>
  </si>
  <si>
    <t>König Janosch2000</t>
  </si>
  <si>
    <t>König BraverFan</t>
  </si>
  <si>
    <t>König Bum-Bum</t>
  </si>
  <si>
    <t>König Kevin die Seegurke</t>
  </si>
  <si>
    <t>König Mammut</t>
  </si>
  <si>
    <t>König putin</t>
  </si>
  <si>
    <t>König-Rumpelstilzchen</t>
  </si>
  <si>
    <t>Lord Klaus Gröschl</t>
  </si>
  <si>
    <t>König Lord MaxiKing</t>
  </si>
  <si>
    <t>König betixy</t>
  </si>
  <si>
    <t>König Mattias</t>
  </si>
  <si>
    <t>KönigRagnar88</t>
  </si>
  <si>
    <t>König lippenfred1</t>
  </si>
  <si>
    <t>KönigderAlpen</t>
  </si>
  <si>
    <t>König Günther1</t>
  </si>
  <si>
    <t>Lord MassenMörder</t>
  </si>
  <si>
    <t>König Duran</t>
  </si>
  <si>
    <t>böserbub89</t>
  </si>
  <si>
    <t>König Jonny</t>
  </si>
  <si>
    <t>Höni</t>
  </si>
  <si>
    <t>könig hanz peter</t>
  </si>
  <si>
    <t>Lord König jay 1.</t>
  </si>
  <si>
    <t>König MikeDeRibber</t>
  </si>
  <si>
    <t>König ritter wittstock</t>
  </si>
  <si>
    <t>König Paddy</t>
  </si>
  <si>
    <t>Königin Jinxor</t>
  </si>
  <si>
    <t>PhöniiX</t>
  </si>
  <si>
    <t>Römer</t>
  </si>
  <si>
    <t>jöshy</t>
  </si>
  <si>
    <t>Störtebeker I.</t>
  </si>
  <si>
    <t>Stören der kevin</t>
  </si>
  <si>
    <t>Björn1978</t>
  </si>
  <si>
    <t>König Felix19</t>
  </si>
  <si>
    <t>Schokotörtchen</t>
  </si>
  <si>
    <t>König WeeDerLicH</t>
  </si>
  <si>
    <t>König Remiee</t>
  </si>
  <si>
    <t>königin jaxxiiii</t>
  </si>
  <si>
    <t>König BjörnEisenseite</t>
  </si>
  <si>
    <t>AlqaiDöner</t>
  </si>
  <si>
    <t>Diöche</t>
  </si>
  <si>
    <t>LeckaKölsch</t>
  </si>
  <si>
    <t>monadieschöne</t>
  </si>
  <si>
    <t>SörenHagen</t>
  </si>
  <si>
    <t>König Storch</t>
  </si>
  <si>
    <t>Chlöpfer</t>
  </si>
  <si>
    <t>lönes92</t>
  </si>
  <si>
    <t>König David</t>
  </si>
  <si>
    <t>Kleiner dicker König</t>
  </si>
  <si>
    <t>Sir üöä</t>
  </si>
  <si>
    <t>flöru</t>
  </si>
  <si>
    <t>LadyDörte</t>
  </si>
  <si>
    <t>Königin Elligoran</t>
  </si>
  <si>
    <t>Ulf Möll</t>
  </si>
  <si>
    <t>Phönix II</t>
  </si>
  <si>
    <t>König Hecki</t>
  </si>
  <si>
    <t>Zwergenkönig Sebi</t>
  </si>
  <si>
    <t>König Burn</t>
  </si>
  <si>
    <t>Königin Stecken</t>
  </si>
  <si>
    <t>Törtchen</t>
  </si>
  <si>
    <t>Grössenwahnsinnig</t>
  </si>
  <si>
    <t>Löli</t>
  </si>
  <si>
    <t>pörtsch</t>
  </si>
  <si>
    <t>Körnivasall</t>
  </si>
  <si>
    <t>Krösus der Adlige</t>
  </si>
  <si>
    <t>Sheriff Söder</t>
  </si>
  <si>
    <t>König vong Königreich</t>
  </si>
  <si>
    <t>Seriöses Wasser</t>
  </si>
  <si>
    <t>König Olum</t>
  </si>
  <si>
    <t>xPhöniiX</t>
  </si>
  <si>
    <t>König Hank662</t>
  </si>
  <si>
    <t>Mister Riös</t>
  </si>
  <si>
    <t>Röninho</t>
  </si>
  <si>
    <t>DerGottKönig</t>
  </si>
  <si>
    <t>EinfachBöller</t>
  </si>
  <si>
    <t>Königin Stella</t>
  </si>
  <si>
    <t>DerHenningTöter</t>
  </si>
  <si>
    <t>KönigDüsis</t>
  </si>
  <si>
    <t>König BIG KNOLL</t>
  </si>
  <si>
    <t>Adelkönig</t>
  </si>
  <si>
    <t>König Meier</t>
  </si>
  <si>
    <t>dönerteller</t>
  </si>
  <si>
    <t>Böhmi</t>
  </si>
  <si>
    <t>König Nasenbär</t>
  </si>
  <si>
    <t>König Lord Blackheart</t>
  </si>
  <si>
    <t>König Rexo</t>
  </si>
  <si>
    <t>König Dargoneth</t>
  </si>
  <si>
    <t>König Daniel1990</t>
  </si>
  <si>
    <t>Rödler</t>
  </si>
  <si>
    <t>SchniedmarSchnösel</t>
  </si>
  <si>
    <t>Zwergenkönig Sebi II</t>
  </si>
  <si>
    <t>döda</t>
  </si>
  <si>
    <t>Königin Bobby</t>
  </si>
  <si>
    <t>XBjörnEisenseiteX</t>
  </si>
  <si>
    <t>WhatTheFuchs?</t>
  </si>
  <si>
    <t>-Lutschdn?</t>
  </si>
  <si>
    <t>Bashtime?</t>
  </si>
  <si>
    <t>dieList?</t>
  </si>
  <si>
    <t>Warum liegt hier Stroh?</t>
  </si>
  <si>
    <t>SuperE?</t>
  </si>
  <si>
    <t>Rest In Peace?</t>
  </si>
  <si>
    <t>derFrust?</t>
  </si>
  <si>
    <t>Ou-est-Herbert?</t>
  </si>
  <si>
    <t>Rocki Fight?</t>
  </si>
  <si>
    <t>.arroganz?</t>
  </si>
  <si>
    <t>IsWasDoc?</t>
  </si>
  <si>
    <t>WarumDefen?</t>
  </si>
  <si>
    <t>WhySoMadBro?</t>
  </si>
  <si>
    <t>Why So Mad Bro?</t>
  </si>
  <si>
    <t>warrrum?</t>
  </si>
  <si>
    <t>AufbauSklave?</t>
  </si>
  <si>
    <t>Ben I do rechtig?</t>
  </si>
  <si>
    <t>who?</t>
  </si>
  <si>
    <t>.Whatever?</t>
  </si>
  <si>
    <t>JustusJonas???</t>
  </si>
  <si>
    <t>Ach Wirklich?</t>
  </si>
  <si>
    <t>Influenza?</t>
  </si>
  <si>
    <t>-WeedorMeth?.</t>
  </si>
  <si>
    <t>WoHinGenau?</t>
  </si>
  <si>
    <t>?Krawatte</t>
  </si>
  <si>
    <t>WhyAsk?</t>
  </si>
  <si>
    <t>.retime?</t>
  </si>
  <si>
    <t>alles fit?</t>
  </si>
  <si>
    <t>SLEEPLESS ?</t>
  </si>
  <si>
    <t>Export</t>
  </si>
  <si>
    <t>Truppen, die übertragen werden sollen</t>
  </si>
  <si>
    <t>IGM</t>
  </si>
  <si>
    <t>Nr</t>
  </si>
  <si>
    <t>Befehlstyp</t>
  </si>
  <si>
    <r>
      <t>Befehlsplaner:</t>
    </r>
    <r>
      <rPr>
        <sz val="11"/>
        <color theme="1"/>
        <rFont val="Calibri"/>
        <family val="2"/>
        <scheme val="minor"/>
      </rPr>
      <t xml:space="preserve"> Lässt einzelne Befehle Planen und für IGMs/ Notizblock exportieren</t>
    </r>
  </si>
  <si>
    <r>
      <rPr>
        <b/>
        <sz val="11"/>
        <color theme="1"/>
        <rFont val="Calibri"/>
        <family val="2"/>
        <scheme val="minor"/>
      </rPr>
      <t>DSDörfer:</t>
    </r>
    <r>
      <rPr>
        <sz val="11"/>
        <color theme="1"/>
        <rFont val="Calibri"/>
        <family val="2"/>
        <scheme val="minor"/>
      </rPr>
      <t xml:space="preserve"> Import der Dörfer einer Welt und Aufsplittung in merhere Spalten, damit sie in anderen Arbeitsblättern verwendet werden können</t>
    </r>
  </si>
  <si>
    <r>
      <rPr>
        <b/>
        <sz val="11"/>
        <color theme="1"/>
        <rFont val="Calibri"/>
        <family val="2"/>
        <scheme val="minor"/>
      </rPr>
      <t>DSSpieler:</t>
    </r>
    <r>
      <rPr>
        <sz val="11"/>
        <color theme="1"/>
        <rFont val="Calibri"/>
        <family val="2"/>
        <scheme val="minor"/>
      </rPr>
      <t xml:space="preserve"> Import der Spieler einer Welt und Aufsplittung in mehrere Spalten, damit sie in anderen Arbeitsblättern verwendet werden können</t>
    </r>
  </si>
  <si>
    <t>UV Account?</t>
  </si>
  <si>
    <t>MiDragonChi</t>
  </si>
  <si>
    <t>MichaHe</t>
  </si>
  <si>
    <t>pau.fra</t>
  </si>
  <si>
    <t>Talcid</t>
  </si>
  <si>
    <t>ralf334</t>
  </si>
  <si>
    <t>BadVice</t>
  </si>
  <si>
    <t>burkx</t>
  </si>
  <si>
    <t>Asevedo</t>
  </si>
  <si>
    <t>Denniko</t>
  </si>
  <si>
    <t>faxy</t>
  </si>
  <si>
    <t>Lessich1998</t>
  </si>
  <si>
    <t>NeoNx3</t>
  </si>
  <si>
    <t>Miesling1969</t>
  </si>
  <si>
    <t>Gogoloris</t>
  </si>
  <si>
    <t>Streuner1905</t>
  </si>
  <si>
    <t>Anni2112</t>
  </si>
  <si>
    <t>conozco</t>
  </si>
  <si>
    <t>Produziiert</t>
  </si>
  <si>
    <t>Flo42O</t>
  </si>
  <si>
    <t>.BAAMBAAM.</t>
  </si>
  <si>
    <t>faulpranke</t>
  </si>
  <si>
    <t>Fabian.G</t>
  </si>
  <si>
    <t>Altersvorsorge</t>
  </si>
  <si>
    <t>King Pflo</t>
  </si>
  <si>
    <t>Lord Arky III</t>
  </si>
  <si>
    <t>Jodler Juri</t>
  </si>
  <si>
    <t>Gerhard II</t>
  </si>
  <si>
    <t>Fürst der Finsternis</t>
  </si>
  <si>
    <t>Alexander der Rächer</t>
  </si>
  <si>
    <t>Schööni</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</si>
</sst>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 _€_-;\-* #,##0.00\ _€_-;_-* &quot;-&quot;??\ _€_-;_-@_-"/>
    <numFmt numFmtId="164" formatCode="[$-F400]h:mm:ss\ AM/PM"/>
    <numFmt numFmtId="165" formatCode="dd/mm/yyyy\ hh:mm:ss"/>
    <numFmt numFmtId="166" formatCode="0.000"/>
    <numFmt numFmtId="167" formatCode="0.0%"/>
    <numFmt numFmtId="168" formatCode="0.000000"/>
    <numFmt numFmtId="169" formatCode="0.0"/>
    <numFmt numFmtId="170" formatCode="dd/mm/\ hh:mm"/>
    <numFmt numFmtId="171" formatCode="0.00000000"/>
    <numFmt numFmtId="172" formatCode="0.00000"/>
    <numFmt numFmtId="173" formatCode="dd/mm\ hh:mm:ss"/>
    <numFmt numFmtId="174" formatCode="dd/mm/yyyy\ hh:mm:ss.000"/>
  </numFmts>
  <fonts count="12" x14ac:knownFonts="1">
    <font>
      <sz val="11"/>
      <color theme="1"/>
      <name val="Calibri"/>
      <family val="2"/>
      <scheme val="minor"/>
    </font>
    <font>
      <sz val="11"/>
      <name val="Calibri"/>
      <family val="2"/>
      <scheme val="minor"/>
    </font>
    <font>
      <b/>
      <sz val="16"/>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6"/>
      <color theme="1"/>
      <name val="Calibri"/>
      <family val="2"/>
      <scheme val="minor"/>
    </font>
    <font>
      <sz val="12"/>
      <color theme="1"/>
      <name val="Calibri"/>
      <family val="2"/>
      <scheme val="minor"/>
    </font>
    <font>
      <sz val="10"/>
      <color theme="1"/>
      <name val="Calibri"/>
      <family val="2"/>
      <scheme val="minor"/>
    </font>
    <font>
      <sz val="11"/>
      <color rgb="FF464646"/>
      <name val="Arial"/>
      <family val="2"/>
    </font>
    <font>
      <u/>
      <sz val="11"/>
      <color theme="10"/>
      <name val="Calibri"/>
      <family val="2"/>
      <scheme val="minor"/>
    </font>
    <font>
      <sz val="11"/>
      <color rgb="FF000000"/>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1"/>
        <bgColor indexed="64"/>
      </patternFill>
    </fill>
    <fill>
      <patternFill patternType="solid">
        <fgColor theme="9" tint="-0.249977111117893"/>
        <bgColor indexed="64"/>
      </patternFill>
    </fill>
    <fill>
      <patternFill patternType="solid">
        <fgColor theme="9"/>
        <bgColor indexed="64"/>
      </patternFill>
    </fill>
    <fill>
      <patternFill patternType="solid">
        <fgColor theme="0" tint="-0.249977111117893"/>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9" fontId="5" fillId="0" borderId="0" applyFont="0" applyFill="0" applyBorder="0" applyAlignment="0" applyProtection="0"/>
    <xf numFmtId="43" fontId="5" fillId="0" borderId="0" applyFont="0" applyFill="0" applyBorder="0" applyAlignment="0" applyProtection="0"/>
    <xf numFmtId="0" fontId="10" fillId="0" borderId="0" applyNumberFormat="0" applyFill="0" applyBorder="0" applyAlignment="0" applyProtection="0"/>
  </cellStyleXfs>
  <cellXfs count="491">
    <xf numFmtId="0" fontId="0" fillId="0" borderId="0" xfId="0"/>
    <xf numFmtId="0" fontId="0" fillId="0" borderId="0" xfId="0" applyFont="1" applyAlignment="1">
      <alignment horizontal="center"/>
    </xf>
    <xf numFmtId="21" fontId="0" fillId="0" borderId="0" xfId="0" applyNumberFormat="1"/>
    <xf numFmtId="0" fontId="0" fillId="0" borderId="0" xfId="0" applyNumberFormat="1"/>
    <xf numFmtId="0" fontId="0" fillId="2" borderId="0" xfId="0" applyFill="1"/>
    <xf numFmtId="0" fontId="0" fillId="0" borderId="0" xfId="0" applyAlignment="1">
      <alignment horizontal="center"/>
    </xf>
    <xf numFmtId="0" fontId="0" fillId="0" borderId="0" xfId="0" applyAlignment="1">
      <alignment horizontal="right"/>
    </xf>
    <xf numFmtId="46" fontId="0" fillId="0" borderId="0" xfId="0" applyNumberFormat="1"/>
    <xf numFmtId="0" fontId="0" fillId="0" borderId="0" xfId="0" applyAlignment="1">
      <alignment horizontal="left"/>
    </xf>
    <xf numFmtId="0" fontId="0" fillId="0" borderId="0" xfId="0" applyNumberFormat="1" applyFont="1" applyAlignment="1">
      <alignment horizontal="center"/>
    </xf>
    <xf numFmtId="0" fontId="0" fillId="0" borderId="0" xfId="0" applyFill="1"/>
    <xf numFmtId="0" fontId="0" fillId="2" borderId="1" xfId="0" applyFill="1" applyBorder="1"/>
    <xf numFmtId="0" fontId="0" fillId="0" borderId="0" xfId="0" applyBorder="1"/>
    <xf numFmtId="0" fontId="0" fillId="0" borderId="0" xfId="0" applyFill="1" applyBorder="1"/>
    <xf numFmtId="0" fontId="0" fillId="3" borderId="1" xfId="0" applyFill="1" applyBorder="1"/>
    <xf numFmtId="0" fontId="0" fillId="4" borderId="0" xfId="0" applyFill="1"/>
    <xf numFmtId="21" fontId="0" fillId="0" borderId="0" xfId="0" applyNumberFormat="1" applyFill="1" applyBorder="1"/>
    <xf numFmtId="0" fontId="1" fillId="0" borderId="0" xfId="0" applyFont="1" applyFill="1"/>
    <xf numFmtId="46" fontId="0" fillId="3" borderId="1" xfId="0" applyNumberFormat="1" applyFill="1" applyBorder="1"/>
    <xf numFmtId="0" fontId="0" fillId="0" borderId="0" xfId="0" applyFill="1" applyBorder="1" applyAlignment="1">
      <alignment horizontal="center"/>
    </xf>
    <xf numFmtId="0" fontId="0" fillId="0" borderId="0" xfId="0" applyBorder="1" applyAlignment="1">
      <alignment horizontal="center"/>
    </xf>
    <xf numFmtId="0" fontId="0" fillId="0" borderId="0" xfId="0" applyNumberFormat="1" applyFill="1"/>
    <xf numFmtId="46" fontId="0" fillId="0" borderId="0" xfId="0" applyNumberFormat="1" applyFill="1"/>
    <xf numFmtId="0" fontId="0" fillId="0" borderId="2" xfId="0" applyFill="1" applyBorder="1"/>
    <xf numFmtId="0" fontId="0" fillId="0" borderId="3" xfId="0" applyFill="1" applyBorder="1"/>
    <xf numFmtId="0" fontId="0" fillId="3" borderId="4" xfId="0" applyFill="1" applyBorder="1" applyAlignment="1"/>
    <xf numFmtId="0" fontId="0" fillId="0" borderId="2" xfId="0" applyBorder="1"/>
    <xf numFmtId="46" fontId="0" fillId="3" borderId="4" xfId="0" applyNumberFormat="1" applyFill="1" applyBorder="1"/>
    <xf numFmtId="46" fontId="0" fillId="3" borderId="5" xfId="0" applyNumberFormat="1" applyFill="1" applyBorder="1"/>
    <xf numFmtId="46" fontId="0" fillId="3" borderId="6" xfId="0" applyNumberFormat="1" applyFill="1" applyBorder="1"/>
    <xf numFmtId="46" fontId="0" fillId="3" borderId="7" xfId="0" applyNumberFormat="1" applyFill="1" applyBorder="1"/>
    <xf numFmtId="46" fontId="0" fillId="3" borderId="8" xfId="0" applyNumberFormat="1" applyFill="1" applyBorder="1"/>
    <xf numFmtId="0" fontId="0" fillId="0" borderId="3" xfId="0"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46" fontId="1" fillId="3" borderId="4" xfId="0" applyNumberFormat="1" applyFont="1" applyFill="1" applyBorder="1" applyAlignment="1"/>
    <xf numFmtId="0" fontId="0" fillId="2" borderId="4" xfId="0" applyFill="1" applyBorder="1"/>
    <xf numFmtId="0" fontId="0" fillId="2" borderId="5" xfId="0" applyFill="1" applyBorder="1"/>
    <xf numFmtId="0" fontId="0" fillId="3" borderId="9" xfId="0" applyFill="1" applyBorder="1" applyAlignment="1">
      <alignment horizontal="right"/>
    </xf>
    <xf numFmtId="21" fontId="0" fillId="3" borderId="10" xfId="0" applyNumberFormat="1" applyFill="1" applyBorder="1" applyAlignment="1">
      <alignment horizontal="left"/>
    </xf>
    <xf numFmtId="0" fontId="0" fillId="0" borderId="2" xfId="0" applyFont="1" applyBorder="1" applyAlignment="1">
      <alignment horizontal="center"/>
    </xf>
    <xf numFmtId="0" fontId="0" fillId="0" borderId="0" xfId="0" applyFont="1" applyBorder="1" applyAlignment="1">
      <alignment horizontal="center"/>
    </xf>
    <xf numFmtId="0" fontId="0" fillId="0" borderId="3" xfId="0" applyFont="1" applyBorder="1" applyAlignment="1">
      <alignment horizontal="center"/>
    </xf>
    <xf numFmtId="0" fontId="0" fillId="0" borderId="11" xfId="0" applyBorder="1"/>
    <xf numFmtId="0" fontId="0" fillId="0" borderId="14" xfId="0" applyBorder="1"/>
    <xf numFmtId="0" fontId="0" fillId="5" borderId="15" xfId="0" applyFill="1" applyBorder="1"/>
    <xf numFmtId="0" fontId="0" fillId="5" borderId="4" xfId="0" applyFill="1" applyBorder="1"/>
    <xf numFmtId="0" fontId="0" fillId="5" borderId="1" xfId="0" applyFill="1" applyBorder="1"/>
    <xf numFmtId="0" fontId="0" fillId="5" borderId="5" xfId="0" applyFill="1" applyBorder="1"/>
    <xf numFmtId="0" fontId="0" fillId="5" borderId="4" xfId="0" applyFill="1" applyBorder="1" applyAlignment="1"/>
    <xf numFmtId="0" fontId="0" fillId="5" borderId="1" xfId="0" applyFill="1" applyBorder="1" applyAlignment="1"/>
    <xf numFmtId="0" fontId="0" fillId="5" borderId="5" xfId="0" applyFill="1" applyBorder="1" applyAlignment="1"/>
    <xf numFmtId="0" fontId="0" fillId="5" borderId="6" xfId="0" applyFill="1" applyBorder="1"/>
    <xf numFmtId="0" fontId="0" fillId="5" borderId="7" xfId="0" applyFill="1" applyBorder="1"/>
    <xf numFmtId="0" fontId="0" fillId="5" borderId="8" xfId="0" applyFill="1" applyBorder="1"/>
    <xf numFmtId="0" fontId="0" fillId="0" borderId="0" xfId="0" applyAlignment="1">
      <alignment horizontal="center"/>
    </xf>
    <xf numFmtId="0" fontId="0" fillId="0" borderId="0" xfId="0" applyAlignment="1">
      <alignment horizontal="center"/>
    </xf>
    <xf numFmtId="21" fontId="0" fillId="6" borderId="10" xfId="0" applyNumberFormat="1" applyFill="1" applyBorder="1"/>
    <xf numFmtId="1" fontId="0" fillId="0" borderId="0" xfId="0" applyNumberFormat="1"/>
    <xf numFmtId="0" fontId="0" fillId="0" borderId="0" xfId="0" applyFont="1"/>
    <xf numFmtId="0" fontId="0" fillId="5" borderId="15" xfId="0" applyFont="1" applyFill="1" applyBorder="1"/>
    <xf numFmtId="0" fontId="0" fillId="2" borderId="4" xfId="0" applyFont="1" applyFill="1" applyBorder="1"/>
    <xf numFmtId="0" fontId="0" fillId="3" borderId="4" xfId="0" applyFont="1" applyFill="1" applyBorder="1"/>
    <xf numFmtId="0" fontId="0" fillId="3" borderId="1" xfId="0" applyFont="1" applyFill="1" applyBorder="1"/>
    <xf numFmtId="0" fontId="0" fillId="3" borderId="5" xfId="0" applyFont="1" applyFill="1" applyBorder="1"/>
    <xf numFmtId="0" fontId="0" fillId="5" borderId="4" xfId="0" applyFont="1" applyFill="1" applyBorder="1"/>
    <xf numFmtId="0" fontId="0" fillId="3" borderId="4" xfId="0" applyFont="1" applyFill="1" applyBorder="1" applyAlignment="1"/>
    <xf numFmtId="0" fontId="0" fillId="5" borderId="1" xfId="0" applyFont="1" applyFill="1" applyBorder="1"/>
    <xf numFmtId="0" fontId="0" fillId="5" borderId="5" xfId="0" applyFont="1" applyFill="1" applyBorder="1"/>
    <xf numFmtId="46" fontId="0" fillId="3" borderId="4" xfId="0" applyNumberFormat="1" applyFont="1" applyFill="1" applyBorder="1"/>
    <xf numFmtId="46" fontId="0" fillId="3" borderId="1" xfId="0" applyNumberFormat="1" applyFont="1" applyFill="1" applyBorder="1"/>
    <xf numFmtId="46" fontId="0" fillId="3" borderId="5" xfId="0" applyNumberFormat="1" applyFont="1" applyFill="1" applyBorder="1"/>
    <xf numFmtId="0" fontId="0" fillId="0" borderId="0" xfId="0" applyAlignment="1">
      <alignment horizontal="center"/>
    </xf>
    <xf numFmtId="0" fontId="0" fillId="0" borderId="0" xfId="0" applyAlignment="1"/>
    <xf numFmtId="2" fontId="0" fillId="0" borderId="0" xfId="0" applyNumberFormat="1"/>
    <xf numFmtId="46" fontId="0" fillId="2" borderId="0" xfId="0" applyNumberFormat="1" applyFill="1"/>
    <xf numFmtId="0" fontId="0" fillId="0" borderId="1" xfId="0" applyBorder="1"/>
    <xf numFmtId="164" fontId="0" fillId="0" borderId="1" xfId="0" applyNumberFormat="1" applyBorder="1"/>
    <xf numFmtId="0" fontId="0" fillId="0" borderId="4" xfId="0" applyBorder="1"/>
    <xf numFmtId="0" fontId="0" fillId="0" borderId="5" xfId="0" applyBorder="1"/>
    <xf numFmtId="164" fontId="0" fillId="0" borderId="4" xfId="0" applyNumberFormat="1" applyBorder="1"/>
    <xf numFmtId="164" fontId="0" fillId="0" borderId="5" xfId="0" applyNumberFormat="1" applyBorder="1"/>
    <xf numFmtId="164" fontId="0" fillId="0" borderId="6" xfId="0" applyNumberFormat="1" applyBorder="1"/>
    <xf numFmtId="164" fontId="0" fillId="0" borderId="7" xfId="0" applyNumberFormat="1" applyBorder="1"/>
    <xf numFmtId="164" fontId="0" fillId="0" borderId="8" xfId="0" applyNumberFormat="1" applyBorder="1"/>
    <xf numFmtId="0" fontId="0" fillId="0" borderId="6" xfId="0" applyBorder="1"/>
    <xf numFmtId="0" fontId="0" fillId="0" borderId="8" xfId="0" applyBorder="1"/>
    <xf numFmtId="0" fontId="3" fillId="0" borderId="23" xfId="0" applyFont="1" applyBorder="1"/>
    <xf numFmtId="0" fontId="0" fillId="0" borderId="24" xfId="0" applyBorder="1"/>
    <xf numFmtId="0" fontId="0" fillId="0" borderId="25" xfId="0" applyBorder="1"/>
    <xf numFmtId="0" fontId="0" fillId="0" borderId="7" xfId="0" applyBorder="1"/>
    <xf numFmtId="1" fontId="4" fillId="6" borderId="8" xfId="0" applyNumberFormat="1" applyFont="1" applyFill="1" applyBorder="1"/>
    <xf numFmtId="46" fontId="4" fillId="6" borderId="7" xfId="0" applyNumberFormat="1" applyFont="1" applyFill="1" applyBorder="1"/>
    <xf numFmtId="0" fontId="0" fillId="3" borderId="29" xfId="0" applyFill="1" applyBorder="1"/>
    <xf numFmtId="0" fontId="0" fillId="3" borderId="29" xfId="0" applyFont="1" applyFill="1" applyBorder="1"/>
    <xf numFmtId="0" fontId="0" fillId="3" borderId="30" xfId="0" applyFill="1" applyBorder="1"/>
    <xf numFmtId="0" fontId="0" fillId="0" borderId="3" xfId="0" applyFill="1" applyBorder="1" applyAlignment="1">
      <alignment horizontal="center"/>
    </xf>
    <xf numFmtId="0" fontId="0" fillId="0" borderId="23" xfId="0" applyBorder="1"/>
    <xf numFmtId="0" fontId="0" fillId="3" borderId="33" xfId="0" applyFill="1" applyBorder="1"/>
    <xf numFmtId="0" fontId="0" fillId="3" borderId="33" xfId="0" applyFont="1" applyFill="1" applyBorder="1"/>
    <xf numFmtId="10" fontId="0" fillId="5" borderId="4" xfId="0" applyNumberFormat="1" applyFill="1" applyBorder="1" applyAlignment="1"/>
    <xf numFmtId="10" fontId="0" fillId="5" borderId="1" xfId="0" applyNumberFormat="1" applyFill="1" applyBorder="1" applyAlignment="1"/>
    <xf numFmtId="10" fontId="0" fillId="5" borderId="5" xfId="0" applyNumberFormat="1" applyFill="1" applyBorder="1" applyAlignment="1"/>
    <xf numFmtId="2" fontId="0" fillId="5" borderId="4" xfId="0" applyNumberFormat="1" applyFill="1" applyBorder="1" applyAlignment="1"/>
    <xf numFmtId="2" fontId="0" fillId="5" borderId="1" xfId="0" applyNumberFormat="1" applyFill="1" applyBorder="1" applyAlignment="1"/>
    <xf numFmtId="2" fontId="0" fillId="5" borderId="5" xfId="0" applyNumberFormat="1" applyFill="1" applyBorder="1" applyAlignment="1"/>
    <xf numFmtId="1" fontId="0" fillId="5" borderId="4" xfId="0" applyNumberFormat="1" applyFill="1" applyBorder="1"/>
    <xf numFmtId="0" fontId="0" fillId="0" borderId="0" xfId="0" applyAlignment="1">
      <alignment horizontal="center"/>
    </xf>
    <xf numFmtId="9" fontId="0" fillId="0" borderId="0" xfId="0" applyNumberFormat="1"/>
    <xf numFmtId="166" fontId="0" fillId="0" borderId="0" xfId="0" applyNumberFormat="1"/>
    <xf numFmtId="0" fontId="0" fillId="0" borderId="34" xfId="0" applyBorder="1"/>
    <xf numFmtId="0" fontId="0" fillId="0" borderId="35" xfId="0" applyBorder="1"/>
    <xf numFmtId="0" fontId="0" fillId="0" borderId="36" xfId="0" applyBorder="1"/>
    <xf numFmtId="46" fontId="0" fillId="0" borderId="5" xfId="0" applyNumberFormat="1" applyBorder="1"/>
    <xf numFmtId="46" fontId="0" fillId="0" borderId="8" xfId="0" applyNumberFormat="1" applyBorder="1"/>
    <xf numFmtId="3" fontId="0" fillId="0" borderId="4" xfId="0" applyNumberFormat="1" applyBorder="1"/>
    <xf numFmtId="3" fontId="0" fillId="0" borderId="1" xfId="0" applyNumberFormat="1" applyBorder="1"/>
    <xf numFmtId="46" fontId="0" fillId="0" borderId="31" xfId="0" applyNumberFormat="1" applyBorder="1"/>
    <xf numFmtId="1" fontId="0" fillId="0" borderId="4" xfId="0" applyNumberFormat="1" applyBorder="1"/>
    <xf numFmtId="1" fontId="0" fillId="0" borderId="1" xfId="0" applyNumberFormat="1" applyBorder="1"/>
    <xf numFmtId="46" fontId="0" fillId="0" borderId="32" xfId="0" applyNumberFormat="1" applyBorder="1"/>
    <xf numFmtId="46" fontId="0" fillId="0" borderId="36" xfId="0" applyNumberFormat="1" applyBorder="1"/>
    <xf numFmtId="0" fontId="0" fillId="6" borderId="5" xfId="0" applyFill="1" applyBorder="1"/>
    <xf numFmtId="0" fontId="0" fillId="0" borderId="4" xfId="0" applyFill="1" applyBorder="1"/>
    <xf numFmtId="21" fontId="0" fillId="0" borderId="0" xfId="0" applyNumberFormat="1" applyAlignment="1">
      <alignment horizontal="left"/>
    </xf>
    <xf numFmtId="21" fontId="0" fillId="0" borderId="0" xfId="0" applyNumberFormat="1" applyAlignment="1">
      <alignment horizontal="right"/>
    </xf>
    <xf numFmtId="0" fontId="3" fillId="0" borderId="0" xfId="0" applyFont="1" applyFill="1" applyBorder="1"/>
    <xf numFmtId="46" fontId="0" fillId="0" borderId="0" xfId="0" applyNumberFormat="1" applyFill="1" applyBorder="1"/>
    <xf numFmtId="0" fontId="0" fillId="0" borderId="9" xfId="0" applyBorder="1"/>
    <xf numFmtId="0" fontId="0" fillId="6" borderId="10" xfId="0" applyFill="1" applyBorder="1"/>
    <xf numFmtId="164" fontId="0" fillId="0" borderId="0" xfId="0" applyNumberFormat="1"/>
    <xf numFmtId="167" fontId="0" fillId="0" borderId="0" xfId="1" applyNumberFormat="1" applyFont="1"/>
    <xf numFmtId="0" fontId="0" fillId="0" borderId="39" xfId="0" applyBorder="1"/>
    <xf numFmtId="0" fontId="6" fillId="0" borderId="0" xfId="0" applyFont="1" applyAlignment="1">
      <alignment horizontal="center"/>
    </xf>
    <xf numFmtId="20" fontId="0" fillId="0" borderId="0" xfId="0" applyNumberFormat="1"/>
    <xf numFmtId="168" fontId="0" fillId="0" borderId="0" xfId="0" applyNumberFormat="1"/>
    <xf numFmtId="0" fontId="3" fillId="0" borderId="0" xfId="0" applyFont="1"/>
    <xf numFmtId="0" fontId="0" fillId="2" borderId="25" xfId="0" applyFill="1" applyBorder="1"/>
    <xf numFmtId="9" fontId="0" fillId="2" borderId="5" xfId="0" applyNumberFormat="1" applyFill="1" applyBorder="1"/>
    <xf numFmtId="1" fontId="0" fillId="0" borderId="0" xfId="0" applyNumberFormat="1" applyFill="1" applyBorder="1"/>
    <xf numFmtId="0" fontId="0" fillId="0" borderId="31" xfId="0" applyBorder="1"/>
    <xf numFmtId="164" fontId="0" fillId="0" borderId="31" xfId="0" applyNumberFormat="1" applyBorder="1"/>
    <xf numFmtId="0" fontId="0" fillId="0" borderId="32" xfId="0" applyBorder="1"/>
    <xf numFmtId="0" fontId="0" fillId="0" borderId="12" xfId="0" applyFill="1" applyBorder="1"/>
    <xf numFmtId="0" fontId="0" fillId="0" borderId="12" xfId="0" applyBorder="1"/>
    <xf numFmtId="21" fontId="0" fillId="0" borderId="12" xfId="0" applyNumberFormat="1" applyBorder="1"/>
    <xf numFmtId="0" fontId="0" fillId="0" borderId="13" xfId="0" applyBorder="1"/>
    <xf numFmtId="0" fontId="0" fillId="2" borderId="25" xfId="0" applyFill="1" applyBorder="1" applyAlignment="1">
      <alignment horizontal="center"/>
    </xf>
    <xf numFmtId="0" fontId="0" fillId="2" borderId="8" xfId="0" applyFill="1" applyBorder="1" applyAlignment="1">
      <alignment horizontal="center"/>
    </xf>
    <xf numFmtId="0" fontId="0" fillId="6" borderId="10" xfId="0" applyFill="1" applyBorder="1" applyAlignment="1">
      <alignment horizontal="center"/>
    </xf>
    <xf numFmtId="49" fontId="0" fillId="0" borderId="0" xfId="0" applyNumberFormat="1"/>
    <xf numFmtId="3" fontId="0" fillId="0" borderId="0" xfId="0" applyNumberFormat="1"/>
    <xf numFmtId="3" fontId="3" fillId="0" borderId="0" xfId="0" applyNumberFormat="1" applyFont="1"/>
    <xf numFmtId="0" fontId="0" fillId="0" borderId="24" xfId="0" applyBorder="1" applyAlignment="1">
      <alignment horizontal="center"/>
    </xf>
    <xf numFmtId="0" fontId="0" fillId="0" borderId="25" xfId="0" applyBorder="1" applyAlignment="1">
      <alignment horizontal="center"/>
    </xf>
    <xf numFmtId="49" fontId="0" fillId="0" borderId="23" xfId="0" applyNumberFormat="1" applyBorder="1"/>
    <xf numFmtId="49" fontId="0" fillId="0" borderId="4" xfId="0" applyNumberFormat="1" applyBorder="1"/>
    <xf numFmtId="21" fontId="0" fillId="0" borderId="1" xfId="0" applyNumberFormat="1" applyBorder="1"/>
    <xf numFmtId="0" fontId="0" fillId="0" borderId="0" xfId="0" applyBorder="1" applyAlignment="1"/>
    <xf numFmtId="0" fontId="0" fillId="0" borderId="9" xfId="0" applyBorder="1" applyAlignment="1"/>
    <xf numFmtId="1" fontId="0" fillId="0" borderId="25" xfId="0" applyNumberFormat="1" applyBorder="1" applyAlignment="1">
      <alignment horizontal="right"/>
    </xf>
    <xf numFmtId="0" fontId="0" fillId="6" borderId="1" xfId="0" applyFill="1" applyBorder="1"/>
    <xf numFmtId="0" fontId="0" fillId="0" borderId="33" xfId="0" applyBorder="1"/>
    <xf numFmtId="0" fontId="0" fillId="0" borderId="23" xfId="0" applyBorder="1" applyAlignment="1">
      <alignment horizontal="center"/>
    </xf>
    <xf numFmtId="0" fontId="0" fillId="0" borderId="25" xfId="0" applyBorder="1" applyAlignment="1">
      <alignment horizontal="center"/>
    </xf>
    <xf numFmtId="164" fontId="0" fillId="0" borderId="32" xfId="0" applyNumberFormat="1" applyBorder="1"/>
    <xf numFmtId="0" fontId="3" fillId="0" borderId="1" xfId="0" applyFont="1" applyBorder="1"/>
    <xf numFmtId="0" fontId="0" fillId="0" borderId="1" xfId="0" applyFill="1" applyBorder="1"/>
    <xf numFmtId="0" fontId="0" fillId="0" borderId="39" xfId="0" applyBorder="1" applyAlignment="1">
      <alignment horizontal="center"/>
    </xf>
    <xf numFmtId="46" fontId="0" fillId="0" borderId="12" xfId="0" applyNumberFormat="1" applyBorder="1"/>
    <xf numFmtId="46" fontId="0" fillId="0" borderId="12" xfId="0" applyNumberFormat="1" applyFont="1" applyBorder="1"/>
    <xf numFmtId="46" fontId="0" fillId="0" borderId="13" xfId="0" applyNumberFormat="1" applyBorder="1"/>
    <xf numFmtId="0" fontId="0" fillId="0" borderId="5" xfId="0" applyFill="1" applyBorder="1"/>
    <xf numFmtId="1" fontId="0" fillId="0" borderId="5" xfId="0" applyNumberFormat="1" applyBorder="1"/>
    <xf numFmtId="1" fontId="0" fillId="0" borderId="6" xfId="0" applyNumberFormat="1" applyBorder="1"/>
    <xf numFmtId="1" fontId="0" fillId="0" borderId="7" xfId="0" applyNumberFormat="1" applyBorder="1"/>
    <xf numFmtId="1" fontId="0" fillId="0" borderId="8" xfId="0" applyNumberFormat="1" applyBorder="1"/>
    <xf numFmtId="1" fontId="0" fillId="0" borderId="4" xfId="0" applyNumberFormat="1" applyFont="1" applyBorder="1"/>
    <xf numFmtId="2" fontId="0" fillId="0" borderId="1" xfId="0" applyNumberFormat="1" applyBorder="1"/>
    <xf numFmtId="2" fontId="0" fillId="0" borderId="7" xfId="0" applyNumberFormat="1" applyBorder="1"/>
    <xf numFmtId="9" fontId="0" fillId="0" borderId="0" xfId="1" applyFont="1"/>
    <xf numFmtId="0" fontId="0" fillId="0" borderId="37" xfId="0" applyBorder="1"/>
    <xf numFmtId="0" fontId="0" fillId="0" borderId="44" xfId="0" applyBorder="1"/>
    <xf numFmtId="2" fontId="0" fillId="0" borderId="31" xfId="0" applyNumberFormat="1" applyBorder="1"/>
    <xf numFmtId="2" fontId="0" fillId="0" borderId="32" xfId="0" applyNumberFormat="1" applyBorder="1"/>
    <xf numFmtId="0" fontId="0" fillId="0" borderId="23" xfId="0" applyFill="1" applyBorder="1"/>
    <xf numFmtId="0" fontId="0" fillId="0" borderId="25" xfId="0" applyFill="1" applyBorder="1"/>
    <xf numFmtId="169" fontId="0" fillId="0" borderId="0" xfId="0" applyNumberFormat="1"/>
    <xf numFmtId="169" fontId="0" fillId="0" borderId="5" xfId="0" applyNumberFormat="1" applyBorder="1"/>
    <xf numFmtId="0" fontId="3" fillId="0" borderId="8" xfId="0" applyFont="1" applyBorder="1"/>
    <xf numFmtId="0" fontId="0" fillId="2" borderId="24" xfId="0" applyFill="1" applyBorder="1"/>
    <xf numFmtId="0" fontId="0" fillId="2" borderId="41" xfId="0" applyFill="1" applyBorder="1"/>
    <xf numFmtId="1" fontId="3" fillId="0" borderId="1" xfId="0" applyNumberFormat="1" applyFont="1" applyBorder="1"/>
    <xf numFmtId="1" fontId="3" fillId="0" borderId="5" xfId="0" applyNumberFormat="1" applyFont="1" applyBorder="1"/>
    <xf numFmtId="1" fontId="3" fillId="0" borderId="7" xfId="0" applyNumberFormat="1" applyFont="1" applyBorder="1"/>
    <xf numFmtId="1" fontId="3" fillId="0" borderId="8" xfId="0" applyNumberFormat="1" applyFont="1" applyBorder="1"/>
    <xf numFmtId="169" fontId="0" fillId="0" borderId="6" xfId="0" applyNumberFormat="1" applyBorder="1"/>
    <xf numFmtId="169" fontId="0" fillId="0" borderId="8" xfId="0" applyNumberFormat="1" applyBorder="1"/>
    <xf numFmtId="0" fontId="3" fillId="0" borderId="0" xfId="0" applyFont="1" applyAlignment="1"/>
    <xf numFmtId="10" fontId="0" fillId="0" borderId="0" xfId="1" applyNumberFormat="1" applyFont="1" applyAlignment="1">
      <alignment horizontal="left"/>
    </xf>
    <xf numFmtId="167" fontId="5" fillId="0" borderId="0" xfId="1" applyNumberFormat="1" applyFont="1" applyAlignment="1"/>
    <xf numFmtId="0" fontId="0" fillId="0" borderId="46" xfId="0" applyBorder="1"/>
    <xf numFmtId="0" fontId="0" fillId="0" borderId="45" xfId="0" applyBorder="1"/>
    <xf numFmtId="0" fontId="0" fillId="0" borderId="47" xfId="0" applyBorder="1"/>
    <xf numFmtId="0" fontId="0" fillId="2" borderId="13" xfId="0" applyFill="1" applyBorder="1"/>
    <xf numFmtId="20" fontId="0" fillId="0" borderId="4" xfId="0" applyNumberFormat="1" applyBorder="1"/>
    <xf numFmtId="21" fontId="0" fillId="0" borderId="5" xfId="0" applyNumberFormat="1" applyBorder="1"/>
    <xf numFmtId="21" fontId="0" fillId="0" borderId="7" xfId="0" applyNumberFormat="1" applyBorder="1"/>
    <xf numFmtId="21" fontId="0" fillId="0" borderId="8" xfId="0" applyNumberFormat="1" applyBorder="1"/>
    <xf numFmtId="46" fontId="0" fillId="0" borderId="43" xfId="0" applyNumberFormat="1" applyBorder="1"/>
    <xf numFmtId="46" fontId="0" fillId="0" borderId="22" xfId="0" applyNumberFormat="1" applyBorder="1"/>
    <xf numFmtId="1" fontId="0" fillId="0" borderId="22" xfId="0" applyNumberFormat="1" applyBorder="1"/>
    <xf numFmtId="0" fontId="3" fillId="0" borderId="5" xfId="0" applyFont="1" applyBorder="1"/>
    <xf numFmtId="0" fontId="0" fillId="0" borderId="1" xfId="0" applyFont="1" applyBorder="1" applyAlignment="1">
      <alignment horizontal="center"/>
    </xf>
    <xf numFmtId="0" fontId="3" fillId="0" borderId="1" xfId="0" applyFont="1" applyBorder="1" applyAlignment="1">
      <alignment horizontal="center"/>
    </xf>
    <xf numFmtId="46" fontId="3" fillId="0" borderId="1" xfId="0" applyNumberFormat="1" applyFont="1" applyBorder="1"/>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0" xfId="0" applyFill="1" applyBorder="1" applyAlignment="1">
      <alignment horizontal="right"/>
    </xf>
    <xf numFmtId="21" fontId="0" fillId="0" borderId="0" xfId="0" applyNumberFormat="1" applyFill="1" applyBorder="1" applyAlignment="1">
      <alignment horizontal="left"/>
    </xf>
    <xf numFmtId="0" fontId="0" fillId="2" borderId="6" xfId="0" applyFill="1" applyBorder="1"/>
    <xf numFmtId="0" fontId="0" fillId="2" borderId="7" xfId="0" applyFill="1" applyBorder="1"/>
    <xf numFmtId="0" fontId="0" fillId="2" borderId="8" xfId="0" applyFill="1" applyBorder="1"/>
    <xf numFmtId="0" fontId="0" fillId="6" borderId="25" xfId="0" applyFill="1" applyBorder="1"/>
    <xf numFmtId="49" fontId="0" fillId="2" borderId="4" xfId="0" applyNumberFormat="1" applyFill="1" applyBorder="1"/>
    <xf numFmtId="1" fontId="0" fillId="3" borderId="1" xfId="0" applyNumberFormat="1" applyFill="1" applyBorder="1"/>
    <xf numFmtId="21" fontId="0" fillId="3" borderId="33" xfId="0" applyNumberFormat="1" applyFill="1" applyBorder="1"/>
    <xf numFmtId="21" fontId="0" fillId="3" borderId="1" xfId="0" applyNumberFormat="1" applyFill="1" applyBorder="1"/>
    <xf numFmtId="9" fontId="0" fillId="3" borderId="1" xfId="0" applyNumberFormat="1" applyFill="1" applyBorder="1" applyAlignment="1">
      <alignment horizontal="right"/>
    </xf>
    <xf numFmtId="0" fontId="3" fillId="0" borderId="26" xfId="0" applyFont="1" applyBorder="1"/>
    <xf numFmtId="0" fontId="0" fillId="0" borderId="15" xfId="0" applyBorder="1"/>
    <xf numFmtId="0" fontId="0" fillId="0" borderId="48" xfId="0" applyBorder="1"/>
    <xf numFmtId="0" fontId="0" fillId="0" borderId="9" xfId="0" applyFill="1" applyBorder="1"/>
    <xf numFmtId="22" fontId="0" fillId="0" borderId="38" xfId="0" applyNumberFormat="1" applyBorder="1"/>
    <xf numFmtId="3" fontId="0" fillId="2" borderId="4" xfId="0" applyNumberFormat="1" applyFill="1" applyBorder="1"/>
    <xf numFmtId="3" fontId="0" fillId="2" borderId="1" xfId="0" applyNumberFormat="1" applyFill="1" applyBorder="1"/>
    <xf numFmtId="3" fontId="0" fillId="6" borderId="23" xfId="0" applyNumberFormat="1" applyFill="1" applyBorder="1"/>
    <xf numFmtId="3" fontId="0" fillId="6" borderId="24" xfId="0" applyNumberFormat="1" applyFill="1" applyBorder="1"/>
    <xf numFmtId="3" fontId="0" fillId="6" borderId="25" xfId="0" applyNumberFormat="1" applyFont="1" applyFill="1" applyBorder="1"/>
    <xf numFmtId="3" fontId="0" fillId="6" borderId="5" xfId="0" applyNumberFormat="1" applyFont="1" applyFill="1" applyBorder="1"/>
    <xf numFmtId="3" fontId="0" fillId="6" borderId="8" xfId="0" applyNumberFormat="1" applyFont="1" applyFill="1" applyBorder="1"/>
    <xf numFmtId="3" fontId="0" fillId="6" borderId="4" xfId="0" applyNumberFormat="1" applyFill="1" applyBorder="1"/>
    <xf numFmtId="3" fontId="0" fillId="6" borderId="1" xfId="0" applyNumberFormat="1" applyFill="1" applyBorder="1"/>
    <xf numFmtId="3" fontId="0" fillId="6" borderId="6" xfId="0" applyNumberFormat="1" applyFill="1" applyBorder="1"/>
    <xf numFmtId="3" fontId="0" fillId="6" borderId="7" xfId="0" applyNumberFormat="1" applyFill="1" applyBorder="1"/>
    <xf numFmtId="3" fontId="0" fillId="6" borderId="1" xfId="0" applyNumberFormat="1" applyFont="1" applyFill="1" applyBorder="1"/>
    <xf numFmtId="169" fontId="0" fillId="6" borderId="1" xfId="0" applyNumberFormat="1" applyFill="1" applyBorder="1"/>
    <xf numFmtId="169" fontId="3" fillId="6" borderId="5" xfId="0" applyNumberFormat="1" applyFont="1" applyFill="1" applyBorder="1"/>
    <xf numFmtId="170" fontId="0" fillId="6" borderId="1" xfId="0" applyNumberFormat="1" applyFill="1" applyBorder="1"/>
    <xf numFmtId="170" fontId="3" fillId="6" borderId="5" xfId="0" applyNumberFormat="1" applyFont="1" applyFill="1" applyBorder="1"/>
    <xf numFmtId="170" fontId="0" fillId="6" borderId="7" xfId="0" applyNumberFormat="1" applyFill="1" applyBorder="1"/>
    <xf numFmtId="170" fontId="3" fillId="6" borderId="8" xfId="0" applyNumberFormat="1" applyFont="1" applyFill="1" applyBorder="1"/>
    <xf numFmtId="0" fontId="0" fillId="6" borderId="24" xfId="0" applyFill="1" applyBorder="1"/>
    <xf numFmtId="46" fontId="0" fillId="6" borderId="1" xfId="0" applyNumberFormat="1" applyFill="1" applyBorder="1"/>
    <xf numFmtId="0" fontId="0" fillId="6" borderId="7" xfId="0" applyFill="1" applyBorder="1"/>
    <xf numFmtId="165" fontId="1" fillId="6" borderId="1" xfId="0" applyNumberFormat="1" applyFont="1" applyFill="1" applyBorder="1"/>
    <xf numFmtId="0" fontId="0" fillId="0" borderId="16" xfId="0" applyBorder="1"/>
    <xf numFmtId="165" fontId="0" fillId="2" borderId="24" xfId="0" applyNumberFormat="1" applyFill="1" applyBorder="1"/>
    <xf numFmtId="165" fontId="1" fillId="6" borderId="25" xfId="0" applyNumberFormat="1" applyFont="1" applyFill="1" applyBorder="1"/>
    <xf numFmtId="165" fontId="0" fillId="2" borderId="5" xfId="0" applyNumberFormat="1" applyFill="1" applyBorder="1"/>
    <xf numFmtId="0" fontId="0" fillId="0" borderId="53" xfId="0" applyBorder="1"/>
    <xf numFmtId="165" fontId="0" fillId="6" borderId="7" xfId="0" applyNumberFormat="1" applyFill="1" applyBorder="1"/>
    <xf numFmtId="165" fontId="0" fillId="6" borderId="8" xfId="0" applyNumberFormat="1" applyFill="1" applyBorder="1"/>
    <xf numFmtId="0" fontId="0" fillId="0" borderId="17" xfId="0" applyBorder="1"/>
    <xf numFmtId="0" fontId="0" fillId="0" borderId="18" xfId="0" applyBorder="1"/>
    <xf numFmtId="0" fontId="0" fillId="0" borderId="55" xfId="0" applyBorder="1"/>
    <xf numFmtId="0" fontId="0" fillId="0" borderId="54" xfId="0" applyBorder="1"/>
    <xf numFmtId="164" fontId="0" fillId="3" borderId="5" xfId="0" applyNumberFormat="1" applyFill="1" applyBorder="1"/>
    <xf numFmtId="164" fontId="0" fillId="3" borderId="56" xfId="0" applyNumberFormat="1" applyFill="1" applyBorder="1"/>
    <xf numFmtId="171" fontId="0" fillId="0" borderId="0" xfId="0" applyNumberFormat="1" applyFill="1" applyBorder="1"/>
    <xf numFmtId="2" fontId="0" fillId="0" borderId="0" xfId="0" applyNumberFormat="1" applyFill="1" applyBorder="1"/>
    <xf numFmtId="0" fontId="0" fillId="0" borderId="0" xfId="0" applyAlignment="1">
      <alignment horizontal="center"/>
    </xf>
    <xf numFmtId="1" fontId="0" fillId="2" borderId="6" xfId="0" applyNumberFormat="1" applyFill="1" applyBorder="1"/>
    <xf numFmtId="1" fontId="0" fillId="2" borderId="7" xfId="0" applyNumberFormat="1" applyFill="1" applyBorder="1"/>
    <xf numFmtId="1" fontId="0" fillId="2" borderId="8" xfId="0" applyNumberFormat="1" applyFill="1" applyBorder="1"/>
    <xf numFmtId="46" fontId="0" fillId="0" borderId="4" xfId="0" applyNumberFormat="1" applyBorder="1"/>
    <xf numFmtId="46" fontId="0" fillId="0" borderId="6" xfId="0" applyNumberFormat="1" applyBorder="1"/>
    <xf numFmtId="1" fontId="0" fillId="0" borderId="39" xfId="0" applyNumberFormat="1" applyBorder="1"/>
    <xf numFmtId="1" fontId="0" fillId="0" borderId="12" xfId="0" applyNumberFormat="1" applyBorder="1"/>
    <xf numFmtId="1" fontId="0" fillId="0" borderId="13" xfId="0" applyNumberFormat="1" applyBorder="1"/>
    <xf numFmtId="0" fontId="3" fillId="0" borderId="6" xfId="0" applyFont="1" applyBorder="1"/>
    <xf numFmtId="0" fontId="0" fillId="2" borderId="1" xfId="0" applyFill="1" applyBorder="1" applyAlignment="1">
      <alignment horizontal="right"/>
    </xf>
    <xf numFmtId="0" fontId="0" fillId="0" borderId="1" xfId="0" applyBorder="1" applyAlignment="1">
      <alignment horizontal="right"/>
    </xf>
    <xf numFmtId="0" fontId="0" fillId="0" borderId="5" xfId="0" applyBorder="1" applyAlignment="1">
      <alignment horizontal="right"/>
    </xf>
    <xf numFmtId="0" fontId="0" fillId="0" borderId="7" xfId="0" applyBorder="1" applyAlignment="1">
      <alignment horizontal="right"/>
    </xf>
    <xf numFmtId="0" fontId="3" fillId="0" borderId="7" xfId="0" applyFont="1" applyBorder="1" applyAlignment="1">
      <alignment horizontal="right"/>
    </xf>
    <xf numFmtId="0" fontId="3" fillId="0" borderId="8" xfId="0" applyFont="1" applyBorder="1" applyAlignment="1">
      <alignment horizontal="right"/>
    </xf>
    <xf numFmtId="0" fontId="3" fillId="0" borderId="24" xfId="0" applyFont="1" applyBorder="1"/>
    <xf numFmtId="0" fontId="3" fillId="0" borderId="25" xfId="0" applyFont="1" applyBorder="1"/>
    <xf numFmtId="0" fontId="3" fillId="0" borderId="4" xfId="0" applyFont="1" applyBorder="1"/>
    <xf numFmtId="0" fontId="6" fillId="0" borderId="0" xfId="0" applyFont="1" applyAlignment="1">
      <alignment horizontal="center"/>
    </xf>
    <xf numFmtId="0" fontId="0" fillId="0" borderId="9" xfId="0" applyBorder="1" applyAlignment="1">
      <alignment horizontal="center"/>
    </xf>
    <xf numFmtId="1" fontId="3" fillId="0" borderId="0" xfId="0" applyNumberFormat="1" applyFont="1"/>
    <xf numFmtId="9" fontId="0" fillId="0" borderId="0" xfId="0" applyNumberFormat="1" applyFill="1" applyBorder="1"/>
    <xf numFmtId="0" fontId="7" fillId="0" borderId="0" xfId="0" applyFont="1" applyFill="1" applyBorder="1" applyAlignment="1"/>
    <xf numFmtId="9" fontId="0" fillId="6" borderId="10" xfId="1" applyFont="1" applyFill="1" applyBorder="1" applyAlignment="1">
      <alignment horizontal="center"/>
    </xf>
    <xf numFmtId="0" fontId="0" fillId="0" borderId="4" xfId="0" applyBorder="1" applyAlignment="1">
      <alignment horizontal="center"/>
    </xf>
    <xf numFmtId="0" fontId="0" fillId="0" borderId="45" xfId="0" applyBorder="1" applyAlignment="1">
      <alignment horizontal="center"/>
    </xf>
    <xf numFmtId="9" fontId="0" fillId="2" borderId="5" xfId="1" applyFont="1" applyFill="1" applyBorder="1" applyAlignment="1">
      <alignment horizontal="center"/>
    </xf>
    <xf numFmtId="9" fontId="0" fillId="2" borderId="47" xfId="1" applyFont="1" applyFill="1" applyBorder="1" applyAlignment="1">
      <alignment horizontal="center"/>
    </xf>
    <xf numFmtId="0" fontId="0" fillId="2" borderId="31" xfId="0" applyFill="1" applyBorder="1"/>
    <xf numFmtId="1" fontId="0" fillId="0" borderId="0" xfId="1" applyNumberFormat="1" applyFont="1"/>
    <xf numFmtId="169" fontId="0" fillId="0" borderId="3" xfId="0" applyNumberFormat="1" applyBorder="1"/>
    <xf numFmtId="1" fontId="3" fillId="2" borderId="25" xfId="0" applyNumberFormat="1" applyFont="1" applyFill="1" applyBorder="1" applyAlignment="1">
      <alignment horizontal="center" vertical="center"/>
    </xf>
    <xf numFmtId="1" fontId="3" fillId="2" borderId="5" xfId="2" applyNumberFormat="1" applyFont="1" applyFill="1" applyBorder="1" applyAlignment="1">
      <alignment horizontal="center" vertical="center"/>
    </xf>
    <xf numFmtId="1" fontId="3" fillId="2" borderId="8" xfId="2" applyNumberFormat="1" applyFont="1" applyFill="1" applyBorder="1" applyAlignment="1">
      <alignment horizontal="center" vertical="center"/>
    </xf>
    <xf numFmtId="1" fontId="3" fillId="2" borderId="25" xfId="2" applyNumberFormat="1" applyFont="1" applyFill="1" applyBorder="1" applyAlignment="1">
      <alignment horizontal="center" vertical="center"/>
    </xf>
    <xf numFmtId="22" fontId="0" fillId="2" borderId="5" xfId="0" applyNumberFormat="1" applyFill="1" applyBorder="1"/>
    <xf numFmtId="22" fontId="0" fillId="5" borderId="5" xfId="0" applyNumberFormat="1" applyFill="1" applyBorder="1"/>
    <xf numFmtId="169" fontId="0" fillId="5" borderId="5" xfId="0" applyNumberFormat="1" applyFill="1" applyBorder="1"/>
    <xf numFmtId="0" fontId="0" fillId="0" borderId="6" xfId="0" applyFill="1" applyBorder="1" applyAlignment="1">
      <alignment horizontal="right"/>
    </xf>
    <xf numFmtId="2" fontId="0" fillId="5" borderId="8" xfId="0" applyNumberFormat="1" applyFill="1" applyBorder="1" applyAlignment="1">
      <alignment horizontal="left"/>
    </xf>
    <xf numFmtId="9" fontId="0" fillId="5" borderId="22" xfId="0" applyNumberFormat="1" applyFill="1" applyBorder="1" applyAlignment="1"/>
    <xf numFmtId="9" fontId="0" fillId="2" borderId="22" xfId="0" applyNumberFormat="1" applyFill="1" applyBorder="1" applyAlignment="1"/>
    <xf numFmtId="0" fontId="0" fillId="0" borderId="42" xfId="0" applyBorder="1"/>
    <xf numFmtId="0" fontId="0" fillId="0" borderId="17" xfId="0" applyBorder="1" applyAlignment="1">
      <alignment horizontal="center"/>
    </xf>
    <xf numFmtId="0" fontId="0" fillId="0" borderId="24" xfId="0" applyBorder="1" applyAlignment="1">
      <alignment horizontal="center"/>
    </xf>
    <xf numFmtId="0" fontId="0" fillId="0" borderId="0" xfId="0" applyAlignment="1">
      <alignment horizontal="center"/>
    </xf>
    <xf numFmtId="2" fontId="0" fillId="0" borderId="0" xfId="0" applyNumberFormat="1" applyFont="1" applyAlignment="1">
      <alignment horizontal="center"/>
    </xf>
    <xf numFmtId="0" fontId="0" fillId="0" borderId="16" xfId="0" applyFont="1" applyBorder="1" applyAlignment="1">
      <alignment horizontal="center"/>
    </xf>
    <xf numFmtId="0" fontId="0" fillId="0" borderId="17" xfId="0" applyFont="1" applyBorder="1" applyAlignment="1">
      <alignment horizontal="center"/>
    </xf>
    <xf numFmtId="0" fontId="0" fillId="0" borderId="18" xfId="0" applyFont="1" applyBorder="1" applyAlignment="1">
      <alignment horizontal="center"/>
    </xf>
    <xf numFmtId="0" fontId="9" fillId="0" borderId="0" xfId="0" applyFont="1"/>
    <xf numFmtId="0" fontId="2" fillId="0" borderId="0" xfId="0" applyFont="1" applyFill="1" applyAlignment="1"/>
    <xf numFmtId="0" fontId="0" fillId="0" borderId="34" xfId="0" applyFont="1" applyBorder="1" applyAlignment="1">
      <alignment horizontal="center"/>
    </xf>
    <xf numFmtId="0" fontId="0" fillId="0" borderId="35" xfId="0" applyFont="1" applyBorder="1" applyAlignment="1">
      <alignment horizontal="center"/>
    </xf>
    <xf numFmtId="0" fontId="0" fillId="0" borderId="35" xfId="0" applyBorder="1" applyAlignment="1">
      <alignment horizontal="center"/>
    </xf>
    <xf numFmtId="0" fontId="0" fillId="0" borderId="36" xfId="0" applyFont="1" applyBorder="1" applyAlignment="1">
      <alignment horizontal="center"/>
    </xf>
    <xf numFmtId="0" fontId="0" fillId="0" borderId="14" xfId="0" applyFill="1" applyBorder="1" applyAlignment="1">
      <alignment horizontal="center"/>
    </xf>
    <xf numFmtId="0" fontId="0" fillId="3" borderId="15" xfId="0" applyFill="1" applyBorder="1"/>
    <xf numFmtId="0" fontId="0" fillId="3" borderId="15" xfId="0" applyFont="1" applyFill="1" applyBorder="1"/>
    <xf numFmtId="0" fontId="0" fillId="3" borderId="48" xfId="0" applyFill="1" applyBorder="1"/>
    <xf numFmtId="0" fontId="0" fillId="0" borderId="23" xfId="0" applyFont="1" applyBorder="1" applyAlignment="1">
      <alignment horizontal="center"/>
    </xf>
    <xf numFmtId="0" fontId="0" fillId="0" borderId="24" xfId="0" applyFont="1" applyBorder="1" applyAlignment="1">
      <alignment horizontal="center"/>
    </xf>
    <xf numFmtId="0" fontId="0" fillId="0" borderId="25" xfId="0" applyFont="1" applyBorder="1" applyAlignment="1">
      <alignment horizontal="center"/>
    </xf>
    <xf numFmtId="0" fontId="0" fillId="0" borderId="0" xfId="0" applyAlignment="1">
      <alignment wrapText="1"/>
    </xf>
    <xf numFmtId="0" fontId="4" fillId="0" borderId="0" xfId="0" applyFont="1" applyAlignment="1">
      <alignment wrapText="1"/>
    </xf>
    <xf numFmtId="0" fontId="0" fillId="6" borderId="8" xfId="0" applyFill="1" applyBorder="1"/>
    <xf numFmtId="0" fontId="0" fillId="2" borderId="10" xfId="0" applyFill="1" applyBorder="1"/>
    <xf numFmtId="21" fontId="0" fillId="7" borderId="10" xfId="0" applyNumberFormat="1" applyFill="1" applyBorder="1"/>
    <xf numFmtId="1" fontId="0" fillId="0" borderId="0" xfId="0" applyNumberFormat="1" applyFont="1" applyAlignment="1">
      <alignment horizontal="center"/>
    </xf>
    <xf numFmtId="0" fontId="0" fillId="0" borderId="41" xfId="0" applyFont="1" applyBorder="1" applyAlignment="1">
      <alignment horizontal="center"/>
    </xf>
    <xf numFmtId="0" fontId="0" fillId="0" borderId="28" xfId="0" applyBorder="1" applyAlignment="1">
      <alignment horizontal="center"/>
    </xf>
    <xf numFmtId="10" fontId="0" fillId="2" borderId="4" xfId="0" applyNumberFormat="1" applyFill="1" applyBorder="1" applyAlignment="1"/>
    <xf numFmtId="10" fontId="0" fillId="2" borderId="1" xfId="0" applyNumberFormat="1" applyFill="1" applyBorder="1" applyAlignment="1"/>
    <xf numFmtId="10" fontId="0" fillId="2" borderId="5" xfId="0" applyNumberFormat="1" applyFill="1" applyBorder="1" applyAlignment="1"/>
    <xf numFmtId="0" fontId="0" fillId="3" borderId="22" xfId="0" applyFill="1" applyBorder="1"/>
    <xf numFmtId="1" fontId="0" fillId="3" borderId="4" xfId="0" applyNumberFormat="1" applyFill="1" applyBorder="1"/>
    <xf numFmtId="1" fontId="0" fillId="6" borderId="5" xfId="0" applyNumberFormat="1" applyFill="1" applyBorder="1"/>
    <xf numFmtId="0" fontId="0" fillId="0" borderId="57" xfId="0" applyFill="1" applyBorder="1"/>
    <xf numFmtId="9" fontId="0" fillId="2" borderId="54" xfId="0" applyNumberFormat="1" applyFill="1" applyBorder="1"/>
    <xf numFmtId="0" fontId="0" fillId="0" borderId="0" xfId="0" applyAlignment="1">
      <alignment horizontal="center"/>
    </xf>
    <xf numFmtId="0" fontId="0" fillId="0" borderId="58" xfId="0" applyBorder="1"/>
    <xf numFmtId="0" fontId="0" fillId="0" borderId="59" xfId="0" applyBorder="1"/>
    <xf numFmtId="169" fontId="0" fillId="0" borderId="1" xfId="0" applyNumberFormat="1" applyBorder="1"/>
    <xf numFmtId="169" fontId="0" fillId="0" borderId="7" xfId="0" applyNumberFormat="1" applyBorder="1"/>
    <xf numFmtId="0" fontId="0" fillId="0" borderId="21" xfId="0" applyBorder="1"/>
    <xf numFmtId="0" fontId="0" fillId="0" borderId="60" xfId="0" applyBorder="1"/>
    <xf numFmtId="164" fontId="0" fillId="0" borderId="33" xfId="0" applyNumberFormat="1" applyBorder="1"/>
    <xf numFmtId="0" fontId="0" fillId="2" borderId="38" xfId="0" applyFill="1" applyBorder="1"/>
    <xf numFmtId="21" fontId="0" fillId="7" borderId="38" xfId="0" applyNumberFormat="1" applyFill="1" applyBorder="1"/>
    <xf numFmtId="21" fontId="0" fillId="5" borderId="38" xfId="0" applyNumberFormat="1" applyFill="1" applyBorder="1"/>
    <xf numFmtId="164" fontId="0" fillId="0" borderId="49" xfId="0" applyNumberFormat="1" applyBorder="1"/>
    <xf numFmtId="3" fontId="0" fillId="0" borderId="0" xfId="0" applyNumberFormat="1" applyFont="1"/>
    <xf numFmtId="46" fontId="0" fillId="6" borderId="5" xfId="0" applyNumberFormat="1" applyFill="1" applyBorder="1"/>
    <xf numFmtId="46" fontId="0" fillId="6" borderId="8" xfId="0" applyNumberFormat="1" applyFill="1" applyBorder="1"/>
    <xf numFmtId="0" fontId="0" fillId="3" borderId="31" xfId="0" applyFill="1" applyBorder="1"/>
    <xf numFmtId="172" fontId="0" fillId="0" borderId="0" xfId="0" applyNumberFormat="1"/>
    <xf numFmtId="0" fontId="0" fillId="6" borderId="1" xfId="0" applyFill="1" applyBorder="1" applyAlignment="1">
      <alignment horizontal="right"/>
    </xf>
    <xf numFmtId="0" fontId="3" fillId="6" borderId="8" xfId="0" applyFont="1" applyFill="1" applyBorder="1"/>
    <xf numFmtId="0" fontId="3" fillId="6" borderId="1" xfId="0" applyFont="1" applyFill="1" applyBorder="1"/>
    <xf numFmtId="0" fontId="3" fillId="6" borderId="7" xfId="0" applyFont="1" applyFill="1" applyBorder="1"/>
    <xf numFmtId="2" fontId="0" fillId="6" borderId="0" xfId="0" applyNumberFormat="1" applyFill="1"/>
    <xf numFmtId="1" fontId="0" fillId="6" borderId="18" xfId="0" applyNumberFormat="1" applyFill="1" applyBorder="1"/>
    <xf numFmtId="1" fontId="0" fillId="6" borderId="3" xfId="0" applyNumberFormat="1" applyFill="1" applyBorder="1"/>
    <xf numFmtId="167" fontId="3" fillId="0" borderId="61" xfId="1" applyNumberFormat="1" applyFont="1" applyBorder="1"/>
    <xf numFmtId="0" fontId="0" fillId="0" borderId="19" xfId="0" applyBorder="1"/>
    <xf numFmtId="9" fontId="0" fillId="2" borderId="25" xfId="0" applyNumberFormat="1" applyFill="1" applyBorder="1"/>
    <xf numFmtId="1" fontId="0" fillId="2" borderId="5" xfId="1" applyNumberFormat="1" applyFont="1" applyFill="1" applyBorder="1"/>
    <xf numFmtId="9" fontId="0" fillId="6" borderId="5" xfId="1" applyNumberFormat="1" applyFont="1" applyFill="1" applyBorder="1"/>
    <xf numFmtId="167" fontId="0" fillId="6" borderId="5" xfId="1" applyNumberFormat="1" applyFont="1" applyFill="1" applyBorder="1"/>
    <xf numFmtId="167" fontId="0" fillId="6" borderId="8" xfId="1" applyNumberFormat="1" applyFont="1" applyFill="1" applyBorder="1"/>
    <xf numFmtId="167" fontId="3" fillId="6" borderId="13" xfId="0" applyNumberFormat="1" applyFont="1" applyFill="1" applyBorder="1"/>
    <xf numFmtId="0" fontId="3" fillId="2" borderId="38" xfId="0" applyFont="1" applyFill="1" applyBorder="1"/>
    <xf numFmtId="167" fontId="0" fillId="2" borderId="25" xfId="1" applyNumberFormat="1" applyFont="1" applyFill="1" applyBorder="1"/>
    <xf numFmtId="167" fontId="0" fillId="2" borderId="8" xfId="1" applyNumberFormat="1" applyFont="1" applyFill="1" applyBorder="1"/>
    <xf numFmtId="0" fontId="0" fillId="0" borderId="45" xfId="0" applyFill="1" applyBorder="1"/>
    <xf numFmtId="1" fontId="0" fillId="0" borderId="47" xfId="0" applyNumberFormat="1" applyBorder="1"/>
    <xf numFmtId="1" fontId="3" fillId="0" borderId="10" xfId="0" applyNumberFormat="1" applyFont="1" applyBorder="1"/>
    <xf numFmtId="173" fontId="0" fillId="0" borderId="33" xfId="0" applyNumberFormat="1" applyBorder="1"/>
    <xf numFmtId="21" fontId="0" fillId="6" borderId="25" xfId="0" applyNumberFormat="1" applyFill="1" applyBorder="1"/>
    <xf numFmtId="22" fontId="0" fillId="2" borderId="8" xfId="0" applyNumberFormat="1" applyFill="1" applyBorder="1"/>
    <xf numFmtId="0" fontId="0" fillId="2" borderId="8" xfId="0" applyFill="1" applyBorder="1" applyAlignment="1">
      <alignment horizontal="center" vertical="center"/>
    </xf>
    <xf numFmtId="0" fontId="3" fillId="0" borderId="0" xfId="0" applyFont="1" applyAlignment="1">
      <alignment wrapText="1"/>
    </xf>
    <xf numFmtId="164" fontId="0" fillId="2" borderId="23" xfId="0" applyNumberFormat="1" applyFill="1" applyBorder="1"/>
    <xf numFmtId="46" fontId="0" fillId="0" borderId="33" xfId="0" applyNumberFormat="1" applyBorder="1"/>
    <xf numFmtId="46" fontId="0" fillId="2" borderId="5" xfId="0" applyNumberFormat="1" applyFill="1" applyBorder="1"/>
    <xf numFmtId="46" fontId="0" fillId="2" borderId="8" xfId="0" applyNumberFormat="1" applyFill="1" applyBorder="1"/>
    <xf numFmtId="17" fontId="0" fillId="0" borderId="0" xfId="0" applyNumberFormat="1"/>
    <xf numFmtId="16" fontId="0" fillId="0" borderId="0" xfId="0" applyNumberFormat="1"/>
    <xf numFmtId="0" fontId="0" fillId="0" borderId="0" xfId="0" quotePrefix="1"/>
    <xf numFmtId="17" fontId="0" fillId="0" borderId="0" xfId="0" quotePrefix="1" applyNumberFormat="1"/>
    <xf numFmtId="0" fontId="10" fillId="0" borderId="0" xfId="3"/>
    <xf numFmtId="164" fontId="0" fillId="2" borderId="1" xfId="0" applyNumberFormat="1" applyFill="1" applyBorder="1" applyAlignment="1"/>
    <xf numFmtId="21" fontId="0" fillId="6" borderId="1" xfId="0" applyNumberFormat="1" applyFill="1" applyBorder="1"/>
    <xf numFmtId="2" fontId="0" fillId="6" borderId="1" xfId="0" applyNumberFormat="1" applyFill="1" applyBorder="1"/>
    <xf numFmtId="174" fontId="0" fillId="2" borderId="1" xfId="0" applyNumberFormat="1" applyFill="1" applyBorder="1"/>
    <xf numFmtId="165" fontId="0" fillId="6" borderId="1" xfId="0" applyNumberFormat="1" applyFill="1" applyBorder="1"/>
    <xf numFmtId="165" fontId="0" fillId="2" borderId="1" xfId="0" applyNumberFormat="1" applyFill="1" applyBorder="1"/>
    <xf numFmtId="0" fontId="10" fillId="0" borderId="1" xfId="3" applyBorder="1"/>
    <xf numFmtId="164" fontId="0" fillId="2" borderId="7" xfId="0" applyNumberFormat="1" applyFill="1" applyBorder="1" applyAlignment="1"/>
    <xf numFmtId="21" fontId="0" fillId="6" borderId="7" xfId="0" applyNumberFormat="1" applyFill="1" applyBorder="1"/>
    <xf numFmtId="2" fontId="0" fillId="6" borderId="7" xfId="0" applyNumberFormat="1" applyFill="1" applyBorder="1"/>
    <xf numFmtId="174" fontId="0" fillId="2" borderId="7" xfId="0" applyNumberFormat="1" applyFill="1" applyBorder="1"/>
    <xf numFmtId="165" fontId="0" fillId="2" borderId="7" xfId="0" applyNumberFormat="1" applyFill="1" applyBorder="1"/>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38" xfId="0" applyBorder="1" applyAlignment="1">
      <alignment horizontal="center"/>
    </xf>
    <xf numFmtId="0" fontId="0" fillId="0" borderId="23"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4" xfId="0" applyBorder="1" applyAlignment="1">
      <alignment horizontal="center"/>
    </xf>
    <xf numFmtId="0" fontId="0" fillId="0" borderId="43" xfId="0" applyBorder="1" applyAlignment="1">
      <alignment horizontal="center"/>
    </xf>
    <xf numFmtId="0" fontId="0" fillId="0" borderId="52" xfId="0" applyBorder="1" applyAlignment="1">
      <alignment horizontal="center"/>
    </xf>
    <xf numFmtId="0" fontId="0" fillId="0" borderId="50" xfId="0" applyBorder="1" applyAlignment="1">
      <alignment horizontal="center"/>
    </xf>
    <xf numFmtId="0" fontId="0" fillId="0" borderId="48" xfId="0" applyBorder="1" applyAlignment="1">
      <alignment horizontal="center"/>
    </xf>
    <xf numFmtId="0" fontId="0" fillId="0" borderId="51" xfId="0" applyBorder="1" applyAlignment="1">
      <alignment horizontal="center"/>
    </xf>
    <xf numFmtId="0" fontId="0" fillId="0" borderId="49" xfId="0" applyBorder="1" applyAlignment="1">
      <alignment horizontal="center"/>
    </xf>
    <xf numFmtId="0" fontId="0" fillId="0" borderId="21" xfId="0" applyBorder="1" applyAlignment="1">
      <alignment horizontal="center"/>
    </xf>
    <xf numFmtId="0" fontId="2" fillId="0" borderId="0" xfId="0" applyFont="1" applyFill="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2" borderId="53" xfId="0" applyFill="1" applyBorder="1" applyAlignment="1">
      <alignment horizontal="center"/>
    </xf>
    <xf numFmtId="0" fontId="0" fillId="2" borderId="54" xfId="0" applyFill="1" applyBorder="1" applyAlignment="1">
      <alignment horizontal="center"/>
    </xf>
    <xf numFmtId="165" fontId="0" fillId="3" borderId="31" xfId="0" applyNumberFormat="1" applyFill="1" applyBorder="1" applyAlignment="1">
      <alignment horizontal="center"/>
    </xf>
    <xf numFmtId="165" fontId="0" fillId="3" borderId="33" xfId="0" applyNumberFormat="1" applyFill="1" applyBorder="1" applyAlignment="1">
      <alignment horizontal="center"/>
    </xf>
    <xf numFmtId="165" fontId="0" fillId="2" borderId="31" xfId="0" applyNumberFormat="1" applyFill="1" applyBorder="1" applyAlignment="1">
      <alignment horizontal="center"/>
    </xf>
    <xf numFmtId="165" fontId="0" fillId="2" borderId="33" xfId="0" applyNumberFormat="1" applyFill="1" applyBorder="1" applyAlignment="1">
      <alignment horizontal="center"/>
    </xf>
    <xf numFmtId="165" fontId="0" fillId="5" borderId="31" xfId="0" applyNumberFormat="1" applyFill="1" applyBorder="1" applyAlignment="1">
      <alignment horizontal="center"/>
    </xf>
    <xf numFmtId="165" fontId="0" fillId="5" borderId="29" xfId="0" applyNumberFormat="1" applyFill="1" applyBorder="1" applyAlignment="1">
      <alignment horizontal="center"/>
    </xf>
    <xf numFmtId="0" fontId="0" fillId="0" borderId="37" xfId="0" applyBorder="1" applyAlignment="1">
      <alignment horizontal="center"/>
    </xf>
    <xf numFmtId="0" fontId="0" fillId="0" borderId="44" xfId="0" applyBorder="1" applyAlignment="1">
      <alignment horizontal="center"/>
    </xf>
    <xf numFmtId="0" fontId="0" fillId="0" borderId="4" xfId="0" applyBorder="1" applyAlignment="1">
      <alignment horizontal="center"/>
    </xf>
    <xf numFmtId="0" fontId="0" fillId="0" borderId="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164" fontId="0" fillId="2" borderId="23" xfId="0" applyNumberFormat="1" applyFill="1" applyBorder="1" applyAlignment="1">
      <alignment horizontal="center"/>
    </xf>
    <xf numFmtId="164" fontId="0" fillId="2" borderId="24" xfId="0" applyNumberFormat="1" applyFill="1" applyBorder="1" applyAlignment="1">
      <alignment horizontal="center"/>
    </xf>
    <xf numFmtId="0" fontId="8" fillId="0" borderId="1" xfId="0" applyFont="1" applyBorder="1" applyAlignment="1">
      <alignment horizontal="center"/>
    </xf>
    <xf numFmtId="49" fontId="0" fillId="0" borderId="24" xfId="0" applyNumberFormat="1" applyBorder="1" applyAlignment="1">
      <alignment horizontal="center"/>
    </xf>
    <xf numFmtId="0" fontId="0" fillId="0" borderId="33" xfId="0" applyBorder="1" applyAlignment="1">
      <alignment horizontal="center"/>
    </xf>
    <xf numFmtId="0" fontId="3" fillId="0" borderId="23" xfId="0" applyFont="1" applyFill="1" applyBorder="1" applyAlignment="1">
      <alignment horizontal="center"/>
    </xf>
    <xf numFmtId="0" fontId="3" fillId="0" borderId="25" xfId="0" applyFont="1" applyFill="1" applyBorder="1" applyAlignment="1">
      <alignment horizontal="center"/>
    </xf>
    <xf numFmtId="0" fontId="0" fillId="0" borderId="24" xfId="0" applyBorder="1" applyAlignment="1">
      <alignment horizontal="center" vertical="center" wrapText="1"/>
    </xf>
    <xf numFmtId="0" fontId="0" fillId="0" borderId="1" xfId="0" applyBorder="1" applyAlignment="1">
      <alignment horizontal="center" vertical="center" wrapText="1"/>
    </xf>
    <xf numFmtId="0" fontId="3" fillId="0" borderId="23" xfId="0" applyFont="1" applyFill="1" applyBorder="1" applyAlignment="1">
      <alignment horizontal="center" vertical="center"/>
    </xf>
    <xf numFmtId="0" fontId="3" fillId="0" borderId="4" xfId="0" applyFont="1" applyFill="1" applyBorder="1" applyAlignment="1">
      <alignment horizontal="center" vertical="center"/>
    </xf>
    <xf numFmtId="0" fontId="0" fillId="0" borderId="25"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xf>
    <xf numFmtId="0" fontId="0" fillId="0" borderId="10" xfId="0" applyBorder="1" applyAlignment="1">
      <alignment horizontal="center"/>
    </xf>
    <xf numFmtId="0" fontId="6" fillId="0" borderId="0" xfId="0" applyFont="1" applyAlignment="1">
      <alignment horizontal="center" vertical="center" textRotation="90"/>
    </xf>
    <xf numFmtId="0" fontId="0" fillId="0" borderId="25" xfId="0" applyBorder="1" applyAlignment="1">
      <alignment horizontal="center" wrapText="1"/>
    </xf>
    <xf numFmtId="0" fontId="0" fillId="0" borderId="5" xfId="0" applyBorder="1" applyAlignment="1">
      <alignment horizontal="center" wrapText="1"/>
    </xf>
    <xf numFmtId="0" fontId="0" fillId="0" borderId="40" xfId="0" applyBorder="1" applyAlignment="1">
      <alignment horizontal="center" wrapText="1"/>
    </xf>
    <xf numFmtId="0" fontId="0" fillId="0" borderId="34" xfId="0" applyBorder="1" applyAlignment="1">
      <alignment horizontal="center" wrapText="1"/>
    </xf>
    <xf numFmtId="0" fontId="0" fillId="2" borderId="0" xfId="0" applyFill="1" applyAlignment="1">
      <alignment horizontal="center"/>
    </xf>
    <xf numFmtId="0" fontId="6" fillId="0" borderId="0" xfId="0" applyFont="1" applyAlignment="1">
      <alignment horizontal="center"/>
    </xf>
    <xf numFmtId="0" fontId="7" fillId="0" borderId="19" xfId="0" applyFont="1" applyBorder="1" applyAlignment="1">
      <alignment horizontal="center"/>
    </xf>
    <xf numFmtId="0" fontId="7" fillId="0" borderId="38" xfId="0" applyFont="1" applyBorder="1" applyAlignment="1">
      <alignment horizontal="center"/>
    </xf>
    <xf numFmtId="0" fontId="3" fillId="0" borderId="4" xfId="0" applyFont="1" applyBorder="1" applyAlignment="1">
      <alignment horizontal="center" vertical="center"/>
    </xf>
    <xf numFmtId="0" fontId="3" fillId="0" borderId="6" xfId="0" applyFont="1" applyBorder="1" applyAlignment="1">
      <alignment horizontal="center" vertical="center"/>
    </xf>
    <xf numFmtId="0" fontId="3" fillId="0" borderId="0" xfId="0" applyFont="1" applyAlignment="1">
      <alignment horizontal="center"/>
    </xf>
    <xf numFmtId="0" fontId="3" fillId="0" borderId="23" xfId="0" applyFont="1" applyBorder="1" applyAlignment="1">
      <alignment horizontal="center" vertical="center"/>
    </xf>
    <xf numFmtId="0" fontId="3" fillId="0" borderId="45" xfId="0" applyFont="1" applyBorder="1" applyAlignment="1">
      <alignment horizontal="center" vertical="center"/>
    </xf>
    <xf numFmtId="0" fontId="0" fillId="0" borderId="41" xfId="0" applyBorder="1" applyAlignment="1">
      <alignment horizontal="center"/>
    </xf>
    <xf numFmtId="0" fontId="0" fillId="0" borderId="31" xfId="0" applyBorder="1" applyAlignment="1">
      <alignment horizontal="center"/>
    </xf>
    <xf numFmtId="0" fontId="0" fillId="0" borderId="22" xfId="0" applyBorder="1" applyAlignment="1">
      <alignment horizontal="center"/>
    </xf>
    <xf numFmtId="0" fontId="0" fillId="0" borderId="42" xfId="0" applyBorder="1" applyAlignment="1">
      <alignment horizontal="center"/>
    </xf>
  </cellXfs>
  <cellStyles count="4">
    <cellStyle name="Komma" xfId="2" builtinId="3"/>
    <cellStyle name="Link" xfId="3" builtinId="8"/>
    <cellStyle name="Prozent" xfId="1" builtinId="5"/>
    <cellStyle name="Standard" xfId="0" builtinId="0"/>
  </cellStyles>
  <dxfs count="5">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66675</xdr:colOff>
          <xdr:row>0</xdr:row>
          <xdr:rowOff>95250</xdr:rowOff>
        </xdr:from>
        <xdr:to>
          <xdr:col>9</xdr:col>
          <xdr:colOff>781050</xdr:colOff>
          <xdr:row>2</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Spieler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0</xdr:row>
          <xdr:rowOff>104775</xdr:rowOff>
        </xdr:from>
        <xdr:to>
          <xdr:col>12</xdr:col>
          <xdr:colOff>638175</xdr:colOff>
          <xdr:row>2</xdr:row>
          <xdr:rowOff>190500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Dörfer Update</a:t>
              </a:r>
            </a:p>
          </xdr:txBody>
        </xdr:sp>
        <xdr:clientData fPrintsWithSheet="0"/>
      </xdr:twoCellAnchor>
    </mc:Choice>
    <mc:Fallback/>
  </mc:AlternateContent>
</xdr:wsDr>
</file>

<file path=xl/queryTables/queryTable1.xml><?xml version="1.0" encoding="utf-8"?>
<queryTable xmlns="http://schemas.openxmlformats.org/spreadsheetml/2006/main" name="village" backgroundRefresh="0"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layer" backgroundRefresh="0"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3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28"/>
  <sheetViews>
    <sheetView workbookViewId="0">
      <selection activeCell="A21" sqref="A21"/>
    </sheetView>
  </sheetViews>
  <sheetFormatPr baseColWidth="10" defaultRowHeight="15" x14ac:dyDescent="0.25"/>
  <cols>
    <col min="1" max="1" width="106.42578125" style="339" customWidth="1"/>
  </cols>
  <sheetData>
    <row r="1" spans="1:1" ht="15.75" x14ac:dyDescent="0.25">
      <c r="A1" s="340" t="s">
        <v>355</v>
      </c>
    </row>
    <row r="2" spans="1:1" ht="90" x14ac:dyDescent="0.25">
      <c r="A2" s="339" t="s">
        <v>519</v>
      </c>
    </row>
    <row r="3" spans="1:1" x14ac:dyDescent="0.25">
      <c r="A3" s="339" t="s">
        <v>356</v>
      </c>
    </row>
    <row r="4" spans="1:1" x14ac:dyDescent="0.25">
      <c r="A4" s="339" t="s">
        <v>520</v>
      </c>
    </row>
    <row r="5" spans="1:1" ht="45" x14ac:dyDescent="0.25">
      <c r="A5" s="397" t="s">
        <v>524</v>
      </c>
    </row>
    <row r="6" spans="1:1" ht="30" x14ac:dyDescent="0.25">
      <c r="A6" s="397" t="s">
        <v>525</v>
      </c>
    </row>
    <row r="7" spans="1:1" x14ac:dyDescent="0.25">
      <c r="A7" s="397" t="s">
        <v>37422</v>
      </c>
    </row>
    <row r="8" spans="1:1" ht="45" x14ac:dyDescent="0.25">
      <c r="A8" s="339" t="s">
        <v>521</v>
      </c>
    </row>
    <row r="9" spans="1:1" ht="30" x14ac:dyDescent="0.25">
      <c r="A9" s="339" t="s">
        <v>357</v>
      </c>
    </row>
    <row r="10" spans="1:1" x14ac:dyDescent="0.25">
      <c r="A10" s="339" t="s">
        <v>358</v>
      </c>
    </row>
    <row r="11" spans="1:1" x14ac:dyDescent="0.25">
      <c r="A11" s="339" t="s">
        <v>359</v>
      </c>
    </row>
    <row r="12" spans="1:1" ht="30" x14ac:dyDescent="0.25">
      <c r="A12" s="339" t="s">
        <v>360</v>
      </c>
    </row>
    <row r="13" spans="1:1" x14ac:dyDescent="0.25">
      <c r="A13" s="339" t="s">
        <v>361</v>
      </c>
    </row>
    <row r="14" spans="1:1" ht="30" x14ac:dyDescent="0.25">
      <c r="A14" s="339" t="s">
        <v>362</v>
      </c>
    </row>
    <row r="15" spans="1:1" ht="30" x14ac:dyDescent="0.25">
      <c r="A15" s="339" t="s">
        <v>363</v>
      </c>
    </row>
    <row r="16" spans="1:1" ht="30" x14ac:dyDescent="0.25">
      <c r="A16" s="339" t="s">
        <v>364</v>
      </c>
    </row>
    <row r="17" spans="1:1" ht="30" x14ac:dyDescent="0.25">
      <c r="A17" s="339" t="s">
        <v>365</v>
      </c>
    </row>
    <row r="18" spans="1:1" x14ac:dyDescent="0.25">
      <c r="A18" s="339" t="s">
        <v>366</v>
      </c>
    </row>
    <row r="19" spans="1:1" x14ac:dyDescent="0.25">
      <c r="A19" s="339" t="s">
        <v>367</v>
      </c>
    </row>
    <row r="20" spans="1:1" ht="30" x14ac:dyDescent="0.25">
      <c r="A20" s="339" t="s">
        <v>368</v>
      </c>
    </row>
    <row r="21" spans="1:1" ht="30" x14ac:dyDescent="0.25">
      <c r="A21" s="339" t="s">
        <v>369</v>
      </c>
    </row>
    <row r="22" spans="1:1" x14ac:dyDescent="0.25">
      <c r="A22" s="339" t="s">
        <v>370</v>
      </c>
    </row>
    <row r="23" spans="1:1" x14ac:dyDescent="0.25">
      <c r="A23" s="339" t="s">
        <v>427</v>
      </c>
    </row>
    <row r="24" spans="1:1" x14ac:dyDescent="0.25">
      <c r="A24" s="339" t="s">
        <v>371</v>
      </c>
    </row>
    <row r="25" spans="1:1" ht="30" x14ac:dyDescent="0.25">
      <c r="A25" s="339" t="s">
        <v>426</v>
      </c>
    </row>
    <row r="26" spans="1:1" x14ac:dyDescent="0.25">
      <c r="A26" s="339" t="s">
        <v>372</v>
      </c>
    </row>
    <row r="27" spans="1:1" ht="30" x14ac:dyDescent="0.25">
      <c r="A27" s="339" t="s">
        <v>37423</v>
      </c>
    </row>
    <row r="28" spans="1:1" ht="30" x14ac:dyDescent="0.25">
      <c r="A28" s="339" t="s">
        <v>37424</v>
      </c>
    </row>
  </sheetData>
  <pageMargins left="0.7" right="0.7" top="0.78740157499999996" bottom="0.78740157499999996"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O509"/>
  <sheetViews>
    <sheetView tabSelected="1" workbookViewId="0">
      <selection activeCell="E1" sqref="E1"/>
    </sheetView>
  </sheetViews>
  <sheetFormatPr baseColWidth="10" defaultRowHeight="15" x14ac:dyDescent="0.25"/>
  <cols>
    <col min="1" max="1" width="6.5703125" bestFit="1" customWidth="1"/>
    <col min="2" max="2" width="10.140625" bestFit="1" customWidth="1"/>
    <col min="3" max="3" width="7.85546875" bestFit="1" customWidth="1"/>
    <col min="4" max="5" width="7.7109375" bestFit="1" customWidth="1"/>
    <col min="6" max="6" width="10" bestFit="1" customWidth="1"/>
    <col min="7" max="7" width="7" bestFit="1" customWidth="1"/>
    <col min="8" max="8" width="19" bestFit="1" customWidth="1"/>
    <col min="9" max="9" width="9.140625" customWidth="1"/>
    <col min="10" max="10" width="13.42578125" customWidth="1"/>
    <col min="11" max="11" width="10.85546875" bestFit="1" customWidth="1"/>
    <col min="12" max="12" width="10.140625" customWidth="1"/>
    <col min="13" max="14" width="10.42578125" customWidth="1"/>
    <col min="15" max="15" width="11.85546875" bestFit="1" customWidth="1"/>
    <col min="16" max="16" width="13" customWidth="1"/>
    <col min="17" max="17" width="10" customWidth="1"/>
    <col min="18" max="18" width="12.42578125" customWidth="1"/>
    <col min="19" max="19" width="11.28515625" bestFit="1" customWidth="1"/>
    <col min="20" max="20" width="8.28515625" bestFit="1" customWidth="1"/>
    <col min="21" max="21" width="8.28515625" customWidth="1"/>
    <col min="22" max="22" width="7.140625" bestFit="1" customWidth="1"/>
    <col min="23" max="23" width="11.85546875" bestFit="1" customWidth="1"/>
    <col min="24" max="24" width="11.85546875" customWidth="1"/>
    <col min="25" max="25" width="11.42578125" customWidth="1"/>
    <col min="26" max="26" width="8.140625" bestFit="1" customWidth="1"/>
    <col min="27" max="27" width="8.42578125" bestFit="1" customWidth="1"/>
    <col min="28" max="28" width="7.85546875" customWidth="1"/>
    <col min="29" max="29" width="8.42578125" customWidth="1"/>
    <col min="30" max="31" width="7.28515625" customWidth="1"/>
    <col min="32" max="32" width="8.42578125" customWidth="1"/>
    <col min="33" max="33" width="7.28515625" customWidth="1"/>
    <col min="34" max="34" width="9.42578125" customWidth="1"/>
    <col min="35" max="35" width="7.28515625" customWidth="1"/>
    <col min="36" max="36" width="15.85546875" bestFit="1" customWidth="1"/>
    <col min="37" max="37" width="15.140625" bestFit="1" customWidth="1"/>
    <col min="38" max="38" width="10" customWidth="1"/>
    <col min="39" max="39" width="9.140625" customWidth="1"/>
    <col min="40" max="40" width="10.7109375" customWidth="1"/>
    <col min="41" max="41" width="11.5703125" customWidth="1"/>
    <col min="42" max="69" width="11" customWidth="1"/>
    <col min="70" max="70" width="11.5703125" bestFit="1" customWidth="1"/>
    <col min="71" max="294" width="9.140625" customWidth="1"/>
  </cols>
  <sheetData>
    <row r="1" spans="1:145" ht="21" x14ac:dyDescent="0.35">
      <c r="B1" s="427" t="s">
        <v>45</v>
      </c>
      <c r="C1" s="428"/>
      <c r="D1" s="433"/>
      <c r="E1" s="150">
        <v>1</v>
      </c>
      <c r="G1" s="439" t="s">
        <v>387</v>
      </c>
      <c r="H1" s="440"/>
      <c r="J1" s="438" t="s">
        <v>518</v>
      </c>
      <c r="K1" s="438"/>
      <c r="L1" s="438"/>
      <c r="M1" s="438"/>
      <c r="N1" s="438"/>
      <c r="O1" s="438"/>
      <c r="P1" s="438"/>
      <c r="Q1" s="438"/>
      <c r="R1" s="327"/>
      <c r="S1" s="327"/>
      <c r="T1" s="327"/>
      <c r="U1" s="327"/>
      <c r="V1" s="327"/>
      <c r="W1" s="327"/>
      <c r="X1" s="327"/>
      <c r="Y1" s="327"/>
      <c r="Z1" s="327"/>
      <c r="AA1" s="327"/>
      <c r="AB1" s="327"/>
      <c r="AC1" s="76"/>
      <c r="AD1" s="76"/>
      <c r="AE1" s="76"/>
      <c r="AF1" s="76"/>
      <c r="AG1" s="76"/>
      <c r="AH1" s="76"/>
      <c r="AI1" s="76"/>
      <c r="AJ1" s="76"/>
      <c r="AP1" s="10"/>
      <c r="AQ1" s="10"/>
      <c r="AR1" s="10"/>
      <c r="AS1" s="10"/>
      <c r="AT1" s="10"/>
      <c r="AU1" s="10"/>
      <c r="AV1" s="10"/>
      <c r="AW1" s="10"/>
      <c r="AX1" s="10"/>
      <c r="AY1" s="10"/>
      <c r="AZ1" s="10"/>
      <c r="BA1" s="10"/>
      <c r="BB1" s="10"/>
      <c r="BC1" s="10"/>
      <c r="BD1" s="10"/>
      <c r="BE1" s="10"/>
      <c r="BF1" s="10"/>
      <c r="BG1" s="10"/>
      <c r="BH1" s="10"/>
      <c r="BI1" s="10"/>
      <c r="BJ1" s="10"/>
      <c r="BK1" s="10"/>
      <c r="BL1" s="10"/>
      <c r="BM1" s="10"/>
      <c r="BN1" s="10"/>
      <c r="BO1" s="10"/>
      <c r="BP1" s="10"/>
      <c r="BQ1" s="10"/>
      <c r="BR1" s="10"/>
      <c r="BS1" s="10"/>
      <c r="BT1" s="10"/>
      <c r="BU1" s="10"/>
      <c r="BV1" s="10"/>
      <c r="BW1" s="10"/>
      <c r="BX1" s="10"/>
      <c r="BY1" s="10"/>
      <c r="BZ1" s="10"/>
      <c r="CA1" s="10"/>
      <c r="CB1" s="10"/>
      <c r="CC1" s="10"/>
      <c r="CD1" s="10"/>
      <c r="CE1" s="10"/>
      <c r="CF1" s="10"/>
      <c r="CG1" s="10"/>
      <c r="CH1" s="10"/>
      <c r="CI1" s="10"/>
      <c r="CJ1" s="10"/>
      <c r="CK1" s="10"/>
      <c r="CL1" s="10"/>
      <c r="CM1" s="10"/>
      <c r="CN1" s="10"/>
      <c r="CO1" s="10"/>
      <c r="CP1" s="10"/>
      <c r="CQ1" s="10"/>
      <c r="CR1" s="10"/>
      <c r="CS1" s="10"/>
      <c r="CT1" s="10"/>
      <c r="CU1" s="10"/>
      <c r="CV1" s="10"/>
      <c r="CW1" s="10"/>
      <c r="CX1" s="10"/>
      <c r="CY1" s="10"/>
      <c r="CZ1" s="10"/>
      <c r="DA1" s="10"/>
      <c r="DB1" s="10"/>
      <c r="DC1" s="10"/>
      <c r="DD1" s="10"/>
      <c r="DE1" s="10"/>
      <c r="DF1" s="10"/>
      <c r="DG1" s="10"/>
      <c r="DH1" s="10"/>
      <c r="DI1" s="10"/>
      <c r="DJ1" s="10"/>
      <c r="DK1" s="10"/>
      <c r="DL1" s="10"/>
      <c r="DM1" s="10"/>
      <c r="DN1" s="10"/>
      <c r="DO1" s="10"/>
      <c r="DP1" s="10"/>
      <c r="DQ1" s="10"/>
      <c r="DR1" s="10"/>
      <c r="DS1" s="10"/>
      <c r="DT1" s="10"/>
      <c r="DU1" s="10"/>
      <c r="DV1" s="10"/>
      <c r="DW1" s="10"/>
      <c r="DX1" s="10"/>
      <c r="DY1" s="10"/>
    </row>
    <row r="2" spans="1:145" ht="15.75" thickBot="1" x14ac:dyDescent="0.3">
      <c r="B2" s="434" t="s">
        <v>147</v>
      </c>
      <c r="C2" s="435"/>
      <c r="D2" s="436"/>
      <c r="E2" s="151">
        <v>1</v>
      </c>
      <c r="G2" s="441" t="s">
        <v>383</v>
      </c>
      <c r="H2" s="442"/>
      <c r="I2" s="10"/>
      <c r="J2" s="15"/>
      <c r="K2" s="15"/>
      <c r="L2" s="15"/>
      <c r="M2" s="15"/>
      <c r="N2" s="15"/>
      <c r="O2" s="15"/>
      <c r="P2" s="15"/>
      <c r="Q2" s="15"/>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c r="BP2" s="10"/>
      <c r="BQ2" s="10"/>
      <c r="BR2" s="10"/>
      <c r="BS2" s="10"/>
      <c r="BT2" s="10"/>
      <c r="BU2" s="10"/>
      <c r="BV2" s="10"/>
      <c r="BW2" s="10"/>
      <c r="BX2" s="10"/>
      <c r="BY2" s="10"/>
      <c r="BZ2" s="10"/>
      <c r="CA2" s="10"/>
      <c r="CB2" s="10"/>
      <c r="CC2" s="10"/>
      <c r="CD2" s="10"/>
      <c r="CE2" s="10"/>
      <c r="CF2" s="10"/>
      <c r="CG2" s="10"/>
      <c r="CH2" s="10"/>
      <c r="CI2" s="10"/>
      <c r="CJ2" s="10"/>
      <c r="CK2" s="10"/>
      <c r="CL2" s="10"/>
      <c r="CM2" s="10"/>
      <c r="CN2" s="10"/>
      <c r="CO2" s="10"/>
      <c r="CP2" s="10"/>
      <c r="CQ2" s="10"/>
      <c r="CR2" s="10"/>
      <c r="CS2" s="10"/>
      <c r="CT2" s="10"/>
      <c r="CU2" s="10"/>
      <c r="CV2" s="10"/>
      <c r="CW2" s="10"/>
      <c r="CX2" s="10"/>
      <c r="CY2" s="10"/>
      <c r="CZ2" s="10"/>
      <c r="DA2" s="10"/>
      <c r="DB2" s="10"/>
      <c r="DC2" s="10"/>
      <c r="DD2" s="10"/>
      <c r="DE2" s="10"/>
      <c r="DF2" s="10"/>
      <c r="DG2" s="10"/>
      <c r="DH2" s="10"/>
      <c r="DI2" s="10"/>
      <c r="DJ2" s="10"/>
      <c r="DK2" s="10"/>
      <c r="DL2" s="10"/>
      <c r="DM2" s="10"/>
      <c r="DN2" s="10"/>
      <c r="DO2" s="10"/>
      <c r="DP2" s="10"/>
      <c r="DQ2" s="10"/>
      <c r="DR2" s="10"/>
      <c r="DS2" s="10"/>
      <c r="DT2" s="10"/>
      <c r="DU2" s="10"/>
      <c r="DV2" s="10"/>
      <c r="DW2" s="10"/>
      <c r="DX2" s="10"/>
      <c r="DY2" s="10"/>
    </row>
    <row r="3" spans="1:145" ht="15.75" thickBot="1" x14ac:dyDescent="0.3">
      <c r="B3" s="422" t="s">
        <v>146</v>
      </c>
      <c r="C3" s="423"/>
      <c r="D3" s="437"/>
      <c r="E3" s="152">
        <f>E2*E1</f>
        <v>1</v>
      </c>
      <c r="M3" s="19"/>
      <c r="N3" s="19"/>
      <c r="O3" s="19"/>
      <c r="P3" s="19"/>
      <c r="Q3" s="19"/>
      <c r="R3" s="19"/>
      <c r="S3" s="19"/>
      <c r="T3" s="19"/>
      <c r="U3" s="19"/>
      <c r="V3" s="19"/>
      <c r="W3" s="19"/>
      <c r="X3" s="19"/>
      <c r="Y3" s="19"/>
      <c r="Z3" s="19"/>
      <c r="AA3" s="19"/>
      <c r="AC3" s="422" t="s">
        <v>47</v>
      </c>
      <c r="AD3" s="423"/>
      <c r="AE3" s="423"/>
      <c r="AF3" s="423"/>
      <c r="AG3" s="437"/>
      <c r="AH3" s="60">
        <v>4.1666666666666664E-2</v>
      </c>
      <c r="AI3" s="16"/>
      <c r="AJ3" s="41" t="s">
        <v>50</v>
      </c>
      <c r="AK3" s="42">
        <v>4.1666666666666664E-2</v>
      </c>
      <c r="AL3" s="41" t="s">
        <v>51</v>
      </c>
      <c r="AM3" s="42">
        <v>6.9444444444444447E-4</v>
      </c>
      <c r="AN3" s="41" t="s">
        <v>52</v>
      </c>
      <c r="AO3" s="42">
        <v>1.1574074074074073E-5</v>
      </c>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c r="BP3" s="10"/>
      <c r="BQ3" s="10"/>
      <c r="BR3" s="10"/>
      <c r="BS3" s="10"/>
      <c r="BT3" s="10"/>
      <c r="BU3" s="10"/>
      <c r="BV3" s="10"/>
      <c r="BW3" s="10"/>
      <c r="BX3" s="10"/>
      <c r="BY3" s="10"/>
      <c r="BZ3" s="10"/>
      <c r="CA3" s="10"/>
      <c r="CB3" s="10"/>
      <c r="CC3" s="10"/>
      <c r="CD3" s="10"/>
      <c r="CE3" s="10"/>
      <c r="CF3" s="10"/>
      <c r="CG3" s="10"/>
      <c r="CH3" s="10"/>
      <c r="CI3" s="10"/>
      <c r="CJ3" s="10"/>
      <c r="CK3" s="10"/>
      <c r="CL3" s="10"/>
      <c r="CM3" s="10"/>
      <c r="CN3" s="10"/>
      <c r="CO3" s="10"/>
      <c r="CP3" s="10"/>
      <c r="CQ3" s="10"/>
      <c r="CR3" s="10"/>
      <c r="CS3" s="10"/>
      <c r="CT3" s="10"/>
      <c r="CU3" s="10"/>
      <c r="CV3" s="10"/>
      <c r="CW3" s="10"/>
      <c r="CX3" s="10"/>
      <c r="CY3" s="10"/>
      <c r="CZ3" s="10"/>
      <c r="DA3" s="10"/>
      <c r="DB3" s="10"/>
      <c r="DC3" s="10"/>
      <c r="DD3" s="10"/>
      <c r="DE3" s="10"/>
      <c r="DF3" s="10"/>
      <c r="DG3" s="10"/>
      <c r="DH3" s="10"/>
      <c r="DI3" s="10"/>
      <c r="DJ3" s="10"/>
      <c r="DK3" s="10"/>
      <c r="DL3" s="10"/>
      <c r="DM3" s="10"/>
      <c r="DN3" s="10"/>
      <c r="DO3" s="10"/>
      <c r="DP3" s="10"/>
      <c r="DQ3" s="10"/>
      <c r="DR3" s="10"/>
      <c r="DS3" s="10"/>
      <c r="DT3" s="10"/>
      <c r="DU3" s="10"/>
      <c r="DV3" s="10"/>
      <c r="DW3" s="10"/>
      <c r="DX3" s="10"/>
      <c r="DY3" s="17"/>
    </row>
    <row r="4" spans="1:145" ht="15.75" thickBot="1" x14ac:dyDescent="0.3">
      <c r="B4" s="422" t="s">
        <v>420</v>
      </c>
      <c r="C4" s="423"/>
      <c r="D4" s="437"/>
      <c r="E4" s="396">
        <v>1</v>
      </c>
      <c r="K4" s="222"/>
      <c r="L4" s="19"/>
      <c r="M4" s="19"/>
      <c r="N4" s="19"/>
      <c r="O4" s="19"/>
      <c r="P4" s="19"/>
      <c r="Q4" s="19"/>
      <c r="R4" s="19"/>
      <c r="S4" s="19"/>
      <c r="T4" s="19"/>
      <c r="U4" s="19"/>
      <c r="V4" s="19"/>
      <c r="W4" s="19"/>
      <c r="X4" s="19"/>
      <c r="Y4" s="19"/>
      <c r="Z4" s="19"/>
      <c r="AA4" s="19"/>
      <c r="AB4" s="10"/>
      <c r="AC4" s="19"/>
      <c r="AD4" s="19"/>
      <c r="AE4" s="20"/>
      <c r="AF4" s="20"/>
      <c r="AG4" s="20"/>
      <c r="AH4" s="16"/>
      <c r="AI4" s="16"/>
      <c r="AJ4" s="222"/>
      <c r="AK4" s="223"/>
      <c r="AL4" s="222"/>
      <c r="AM4" s="223"/>
      <c r="AN4" s="222"/>
      <c r="AO4" s="223"/>
      <c r="AP4" s="10"/>
      <c r="AQ4" s="10"/>
      <c r="AR4" s="10"/>
      <c r="AS4" s="10"/>
      <c r="AT4" s="10"/>
      <c r="AU4" s="10"/>
      <c r="AV4" s="10"/>
      <c r="AW4" s="10"/>
      <c r="AX4" s="10"/>
      <c r="AY4" s="10"/>
      <c r="AZ4" s="10"/>
      <c r="BA4" s="10"/>
      <c r="BB4" s="10"/>
      <c r="BC4" s="10"/>
      <c r="BD4" s="10"/>
      <c r="BE4" s="10"/>
      <c r="BF4" s="10"/>
      <c r="BG4" s="10"/>
      <c r="BH4" s="10"/>
      <c r="BI4" s="10"/>
      <c r="BJ4" s="10"/>
      <c r="BK4" s="10"/>
      <c r="BL4" s="10"/>
      <c r="BM4" s="10"/>
      <c r="BN4" s="10"/>
      <c r="BO4" s="10"/>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7"/>
    </row>
    <row r="5" spans="1:145" ht="15.75" thickBot="1" x14ac:dyDescent="0.3">
      <c r="C5" s="20"/>
      <c r="D5" s="20"/>
      <c r="E5" s="20"/>
      <c r="F5" s="19"/>
      <c r="I5" s="19"/>
      <c r="J5" s="422" t="s">
        <v>285</v>
      </c>
      <c r="K5" s="423"/>
      <c r="L5" s="423"/>
      <c r="M5" s="423"/>
      <c r="N5" s="423"/>
      <c r="O5" s="423"/>
      <c r="P5" s="423"/>
      <c r="Q5" s="423"/>
      <c r="R5" s="423"/>
      <c r="S5" s="423"/>
      <c r="T5" s="423"/>
      <c r="U5" s="423"/>
      <c r="V5" s="423"/>
      <c r="W5" s="423"/>
      <c r="X5" s="423"/>
      <c r="Y5" s="423"/>
      <c r="Z5" s="423"/>
      <c r="AA5" s="423"/>
      <c r="AB5" s="423"/>
      <c r="AC5" s="423"/>
      <c r="AD5" s="424"/>
      <c r="AE5" s="161"/>
      <c r="AF5" s="20"/>
      <c r="AG5" s="20"/>
      <c r="AH5" s="16"/>
      <c r="AI5" s="16"/>
      <c r="AJ5" s="188" t="s">
        <v>163</v>
      </c>
      <c r="AK5" s="140">
        <v>10000</v>
      </c>
      <c r="AL5" s="222"/>
      <c r="AM5" s="223"/>
      <c r="AN5" s="222"/>
      <c r="AO5" s="223"/>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7"/>
    </row>
    <row r="6" spans="1:145" x14ac:dyDescent="0.25">
      <c r="A6" s="425" t="s">
        <v>309</v>
      </c>
      <c r="B6" s="426"/>
      <c r="D6" s="425" t="s">
        <v>312</v>
      </c>
      <c r="E6" s="426"/>
      <c r="G6" s="425" t="s">
        <v>310</v>
      </c>
      <c r="H6" s="426"/>
      <c r="I6" s="19"/>
      <c r="J6" s="328" t="s">
        <v>0</v>
      </c>
      <c r="K6" s="329" t="s">
        <v>1</v>
      </c>
      <c r="L6" s="329" t="s">
        <v>2</v>
      </c>
      <c r="M6" s="329" t="s">
        <v>3</v>
      </c>
      <c r="N6" s="330" t="s">
        <v>59</v>
      </c>
      <c r="O6" s="330" t="s">
        <v>60</v>
      </c>
      <c r="P6" s="329" t="s">
        <v>64</v>
      </c>
      <c r="Q6" s="329" t="s">
        <v>4</v>
      </c>
      <c r="R6" s="329" t="s">
        <v>5</v>
      </c>
      <c r="S6" s="329" t="s">
        <v>6</v>
      </c>
      <c r="T6" s="329" t="s">
        <v>7</v>
      </c>
      <c r="U6" s="329" t="s">
        <v>8</v>
      </c>
      <c r="V6" s="329" t="s">
        <v>9</v>
      </c>
      <c r="W6" s="329" t="s">
        <v>10</v>
      </c>
      <c r="X6" s="329" t="s">
        <v>11</v>
      </c>
      <c r="Y6" s="329" t="s">
        <v>12</v>
      </c>
      <c r="Z6" s="329" t="s">
        <v>13</v>
      </c>
      <c r="AA6" s="329" t="s">
        <v>14</v>
      </c>
      <c r="AB6" s="329" t="s">
        <v>107</v>
      </c>
      <c r="AC6" s="329" t="s">
        <v>106</v>
      </c>
      <c r="AD6" s="331" t="s">
        <v>15</v>
      </c>
      <c r="AE6" s="12"/>
      <c r="AF6" s="20"/>
      <c r="AG6" s="20"/>
      <c r="AH6" s="16"/>
      <c r="AI6" s="16"/>
      <c r="AJ6" s="126" t="s">
        <v>334</v>
      </c>
      <c r="AK6" s="311">
        <v>43971.855555555558</v>
      </c>
      <c r="AL6" s="222"/>
      <c r="AM6" s="223"/>
      <c r="AN6" s="222"/>
      <c r="AO6" s="223"/>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7"/>
    </row>
    <row r="7" spans="1:145" ht="15.75" thickBot="1" x14ac:dyDescent="0.3">
      <c r="A7" s="300" t="s">
        <v>192</v>
      </c>
      <c r="B7" s="302">
        <v>0</v>
      </c>
      <c r="D7" s="300" t="s">
        <v>386</v>
      </c>
      <c r="E7" s="302">
        <v>0</v>
      </c>
      <c r="G7" s="300" t="s">
        <v>386</v>
      </c>
      <c r="H7" s="302">
        <v>0</v>
      </c>
      <c r="I7" s="19"/>
      <c r="J7" s="276">
        <v>1</v>
      </c>
      <c r="K7" s="277">
        <v>0</v>
      </c>
      <c r="L7" s="277">
        <v>0</v>
      </c>
      <c r="M7" s="277">
        <v>0</v>
      </c>
      <c r="N7" s="277">
        <v>0</v>
      </c>
      <c r="O7" s="277">
        <v>0</v>
      </c>
      <c r="P7" s="277">
        <v>0</v>
      </c>
      <c r="Q7" s="277">
        <v>0</v>
      </c>
      <c r="R7" s="277">
        <v>0</v>
      </c>
      <c r="S7" s="277">
        <v>1</v>
      </c>
      <c r="T7" s="277">
        <v>0</v>
      </c>
      <c r="U7" s="277">
        <v>0</v>
      </c>
      <c r="V7" s="277">
        <v>0</v>
      </c>
      <c r="W7" s="277">
        <v>0</v>
      </c>
      <c r="X7" s="277">
        <v>0</v>
      </c>
      <c r="Y7" s="277">
        <v>1</v>
      </c>
      <c r="Z7" s="277">
        <v>1</v>
      </c>
      <c r="AA7" s="277">
        <v>1</v>
      </c>
      <c r="AB7" s="277">
        <v>0</v>
      </c>
      <c r="AC7" s="277">
        <v>0</v>
      </c>
      <c r="AD7" s="278">
        <v>0</v>
      </c>
      <c r="AE7" s="12"/>
      <c r="AF7" s="20"/>
      <c r="AG7" s="20"/>
      <c r="AH7" s="16"/>
      <c r="AI7" s="16"/>
      <c r="AJ7" s="126" t="s">
        <v>329</v>
      </c>
      <c r="AK7" s="312">
        <f ca="1">NOW()</f>
        <v>44000.924285185189</v>
      </c>
      <c r="AL7" s="222"/>
      <c r="AM7" s="223"/>
      <c r="AN7" s="222"/>
      <c r="AO7" s="223"/>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7"/>
    </row>
    <row r="8" spans="1:145" ht="15.75" thickBot="1" x14ac:dyDescent="0.3">
      <c r="A8" s="300" t="s">
        <v>386</v>
      </c>
      <c r="B8" s="302">
        <v>0</v>
      </c>
      <c r="D8" s="300" t="s">
        <v>311</v>
      </c>
      <c r="E8" s="302">
        <v>0</v>
      </c>
      <c r="G8" s="300" t="s">
        <v>311</v>
      </c>
      <c r="H8" s="302">
        <v>0</v>
      </c>
      <c r="I8" s="19"/>
      <c r="J8" s="19"/>
      <c r="K8" s="222"/>
      <c r="L8" s="19"/>
      <c r="M8" s="19"/>
      <c r="N8" s="19"/>
      <c r="O8" s="19"/>
      <c r="P8" s="19"/>
      <c r="Q8" s="19"/>
      <c r="R8" s="19"/>
      <c r="S8" s="19"/>
      <c r="T8" s="19"/>
      <c r="U8" s="19"/>
      <c r="V8" s="19"/>
      <c r="W8" s="19"/>
      <c r="X8" s="19"/>
      <c r="Y8" s="19"/>
      <c r="Z8" s="19"/>
      <c r="AA8" s="19"/>
      <c r="AB8" s="10"/>
      <c r="AC8" s="19"/>
      <c r="AD8" s="19"/>
      <c r="AE8" s="20"/>
      <c r="AF8" s="20"/>
      <c r="AG8" s="20"/>
      <c r="AH8" s="16"/>
      <c r="AI8" s="16"/>
      <c r="AJ8" s="126" t="s">
        <v>330</v>
      </c>
      <c r="AK8" s="313">
        <f ca="1">AK7-AK6</f>
        <v>29.06872962963098</v>
      </c>
      <c r="AL8" s="222"/>
      <c r="AM8" s="223"/>
      <c r="AN8" s="222"/>
      <c r="AO8" s="223"/>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7"/>
    </row>
    <row r="9" spans="1:145" ht="15.75" thickBot="1" x14ac:dyDescent="0.3">
      <c r="A9" s="301" t="s">
        <v>385</v>
      </c>
      <c r="B9" s="303">
        <v>0</v>
      </c>
      <c r="D9" s="295" t="s">
        <v>82</v>
      </c>
      <c r="E9" s="299">
        <f>SUM(E7:E8)</f>
        <v>0</v>
      </c>
      <c r="G9" s="295" t="s">
        <v>82</v>
      </c>
      <c r="H9" s="299">
        <f>SUM(H7:H8)</f>
        <v>0</v>
      </c>
      <c r="I9" s="19"/>
      <c r="J9" s="425" t="s">
        <v>286</v>
      </c>
      <c r="K9" s="430"/>
      <c r="L9" s="430"/>
      <c r="M9" s="430"/>
      <c r="N9" s="430"/>
      <c r="O9" s="430"/>
      <c r="P9" s="430"/>
      <c r="Q9" s="430"/>
      <c r="R9" s="430"/>
      <c r="S9" s="426"/>
      <c r="T9" s="161"/>
      <c r="U9" s="161"/>
      <c r="V9" s="19"/>
      <c r="W9" s="419" t="s">
        <v>287</v>
      </c>
      <c r="X9" s="420"/>
      <c r="Y9" s="421"/>
      <c r="Z9" s="19"/>
      <c r="AA9" s="19"/>
      <c r="AB9" s="10"/>
      <c r="AC9" s="19"/>
      <c r="AD9" s="19"/>
      <c r="AE9" s="20"/>
      <c r="AF9" s="20"/>
      <c r="AG9" s="20"/>
      <c r="AH9" s="16"/>
      <c r="AI9" s="16"/>
      <c r="AJ9" s="126" t="s">
        <v>331</v>
      </c>
      <c r="AK9" s="40">
        <v>1</v>
      </c>
      <c r="AL9" s="222"/>
      <c r="AM9" s="223"/>
      <c r="AN9" s="222"/>
      <c r="AO9" s="223"/>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7"/>
    </row>
    <row r="10" spans="1:145" ht="15.75" thickBot="1" x14ac:dyDescent="0.3">
      <c r="A10" s="295" t="s">
        <v>82</v>
      </c>
      <c r="B10" s="299">
        <f>SUM(B7:B9)</f>
        <v>0</v>
      </c>
      <c r="E10" s="20"/>
      <c r="F10" s="19"/>
      <c r="I10" s="19"/>
      <c r="J10" s="81" t="s">
        <v>73</v>
      </c>
      <c r="K10" s="79" t="s">
        <v>74</v>
      </c>
      <c r="L10" s="79" t="s">
        <v>75</v>
      </c>
      <c r="M10" s="79" t="s">
        <v>190</v>
      </c>
      <c r="N10" s="79" t="s">
        <v>71</v>
      </c>
      <c r="O10" s="79" t="s">
        <v>76</v>
      </c>
      <c r="P10" s="79" t="s">
        <v>195</v>
      </c>
      <c r="Q10" s="79" t="s">
        <v>77</v>
      </c>
      <c r="R10" s="79" t="s">
        <v>78</v>
      </c>
      <c r="S10" s="82" t="s">
        <v>79</v>
      </c>
      <c r="T10" s="12"/>
      <c r="U10" s="12"/>
      <c r="V10" s="19"/>
      <c r="W10" s="26" t="s">
        <v>29</v>
      </c>
      <c r="X10" s="12" t="s">
        <v>30</v>
      </c>
      <c r="Y10" s="32" t="s">
        <v>31</v>
      </c>
      <c r="Z10" s="19"/>
      <c r="AA10" s="19"/>
      <c r="AB10" s="10"/>
      <c r="AC10" s="19"/>
      <c r="AD10" s="19"/>
      <c r="AE10" s="20"/>
      <c r="AF10" s="20"/>
      <c r="AG10" s="20"/>
      <c r="AH10" s="16"/>
      <c r="AI10" s="16"/>
      <c r="AJ10" s="126" t="s">
        <v>332</v>
      </c>
      <c r="AK10" s="313">
        <f ca="1">(AK9+AK8+1)*AK5</f>
        <v>310687.2962963098</v>
      </c>
      <c r="AL10" s="222"/>
      <c r="AM10" s="223"/>
      <c r="AN10" s="222"/>
      <c r="AO10" s="223"/>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7"/>
    </row>
    <row r="11" spans="1:145" ht="15.75" thickBot="1" x14ac:dyDescent="0.3">
      <c r="C11" s="20"/>
      <c r="D11" s="20"/>
      <c r="I11" s="19"/>
      <c r="J11" s="224">
        <v>0</v>
      </c>
      <c r="K11" s="225">
        <v>0</v>
      </c>
      <c r="L11" s="225">
        <v>0</v>
      </c>
      <c r="M11" s="225">
        <v>0</v>
      </c>
      <c r="N11" s="225">
        <v>0</v>
      </c>
      <c r="O11" s="225">
        <v>0</v>
      </c>
      <c r="P11" s="225">
        <v>0</v>
      </c>
      <c r="Q11" s="225">
        <v>0</v>
      </c>
      <c r="R11" s="225">
        <v>0</v>
      </c>
      <c r="S11" s="226">
        <v>0</v>
      </c>
      <c r="T11" s="12"/>
      <c r="U11" s="12"/>
      <c r="V11" s="19"/>
      <c r="W11" s="224">
        <v>500</v>
      </c>
      <c r="X11" s="225">
        <v>500</v>
      </c>
      <c r="Y11" s="226">
        <v>500</v>
      </c>
      <c r="Z11" s="19"/>
      <c r="AA11" s="19"/>
      <c r="AB11" s="10"/>
      <c r="AC11" s="19"/>
      <c r="AD11" s="19"/>
      <c r="AE11" s="20"/>
      <c r="AF11" s="20"/>
      <c r="AG11" s="20"/>
      <c r="AH11" s="16"/>
      <c r="AI11" s="16"/>
      <c r="AJ11" s="314" t="s">
        <v>333</v>
      </c>
      <c r="AK11" s="315">
        <f ca="1">AK10/3/24</f>
        <v>4315.1013374487475</v>
      </c>
      <c r="AL11" s="222"/>
      <c r="AM11" s="223"/>
      <c r="AN11" s="222"/>
      <c r="AO11" s="223"/>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7"/>
    </row>
    <row r="12" spans="1:145" ht="15.75" thickBot="1" x14ac:dyDescent="0.3">
      <c r="I12" s="19"/>
      <c r="J12" s="19"/>
      <c r="K12" s="222"/>
      <c r="L12" s="19"/>
      <c r="M12" s="19"/>
      <c r="N12" s="19"/>
      <c r="O12" s="19"/>
      <c r="P12" s="19"/>
      <c r="Q12" s="19"/>
      <c r="R12" s="19"/>
      <c r="S12" s="19"/>
      <c r="T12" s="19"/>
      <c r="U12" s="19"/>
      <c r="V12" s="19"/>
      <c r="W12" s="19"/>
      <c r="X12" s="19"/>
      <c r="Y12" s="19"/>
      <c r="Z12" s="19"/>
      <c r="AA12" s="19"/>
      <c r="AB12" s="10"/>
      <c r="AC12" s="19"/>
      <c r="AD12" s="19"/>
      <c r="AE12" s="20"/>
      <c r="AF12" s="20"/>
      <c r="AG12" s="20"/>
      <c r="AH12" s="16"/>
      <c r="AI12" s="16"/>
      <c r="AJ12" s="222"/>
      <c r="AK12" s="223"/>
      <c r="AL12" s="222"/>
      <c r="AM12" s="223"/>
      <c r="AN12" s="222"/>
      <c r="AO12" s="223"/>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7"/>
    </row>
    <row r="13" spans="1:145" ht="15.75" thickBot="1" x14ac:dyDescent="0.3">
      <c r="A13" t="s">
        <v>62</v>
      </c>
      <c r="B13" s="171" t="s">
        <v>208</v>
      </c>
      <c r="C13" s="425" t="s">
        <v>108</v>
      </c>
      <c r="D13" s="430"/>
      <c r="E13" s="430"/>
      <c r="F13" s="426"/>
      <c r="G13" s="166" t="s">
        <v>63</v>
      </c>
      <c r="H13" s="167" t="s">
        <v>110</v>
      </c>
      <c r="I13" s="427" t="s">
        <v>34</v>
      </c>
      <c r="J13" s="428"/>
      <c r="K13" s="428"/>
      <c r="L13" s="429"/>
      <c r="M13" s="427" t="s">
        <v>35</v>
      </c>
      <c r="N13" s="428"/>
      <c r="O13" s="428"/>
      <c r="P13" s="428"/>
      <c r="Q13" s="429"/>
      <c r="R13" s="425" t="s">
        <v>90</v>
      </c>
      <c r="S13" s="430"/>
      <c r="T13" s="430"/>
      <c r="U13" s="430"/>
      <c r="V13" s="430"/>
      <c r="W13" s="430"/>
      <c r="X13" s="430"/>
      <c r="Y13" s="430"/>
      <c r="Z13" s="430"/>
      <c r="AA13" s="426"/>
      <c r="AB13" s="427" t="s">
        <v>91</v>
      </c>
      <c r="AC13" s="428"/>
      <c r="AD13" s="428"/>
      <c r="AE13" s="429"/>
      <c r="AF13" s="427" t="s">
        <v>92</v>
      </c>
      <c r="AG13" s="428"/>
      <c r="AH13" s="428"/>
      <c r="AI13" s="429"/>
      <c r="AJ13" s="427" t="s">
        <v>32</v>
      </c>
      <c r="AK13" s="428"/>
      <c r="AL13" s="429"/>
      <c r="AM13" s="427" t="s">
        <v>43</v>
      </c>
      <c r="AN13" s="428"/>
      <c r="AO13" s="429"/>
      <c r="AP13" s="427" t="s">
        <v>44</v>
      </c>
      <c r="AQ13" s="428"/>
      <c r="AR13" s="429"/>
      <c r="AS13" s="346" t="s">
        <v>163</v>
      </c>
      <c r="AT13" s="425" t="s">
        <v>93</v>
      </c>
      <c r="AU13" s="430"/>
      <c r="AV13" s="430"/>
      <c r="AW13" s="430"/>
      <c r="AX13" s="430"/>
      <c r="AY13" s="430"/>
      <c r="AZ13" s="430"/>
      <c r="BA13" s="430"/>
      <c r="BB13" s="430"/>
      <c r="BC13" s="426"/>
      <c r="BD13" s="427" t="s">
        <v>94</v>
      </c>
      <c r="BE13" s="428"/>
      <c r="BF13" s="429"/>
      <c r="BG13" s="427" t="s">
        <v>53</v>
      </c>
      <c r="BH13" s="428"/>
      <c r="BI13" s="429"/>
      <c r="BJ13" s="427" t="s">
        <v>42</v>
      </c>
      <c r="BK13" s="428"/>
      <c r="BL13" s="428"/>
      <c r="BM13" s="429"/>
      <c r="BN13" s="427" t="s">
        <v>24</v>
      </c>
      <c r="BO13" s="428"/>
      <c r="BP13" s="428"/>
      <c r="BQ13" s="428"/>
      <c r="BR13" s="429"/>
      <c r="BS13" s="422" t="s">
        <v>33</v>
      </c>
      <c r="BT13" s="423"/>
      <c r="BU13" s="423"/>
      <c r="BV13" s="423"/>
      <c r="BW13" s="423"/>
      <c r="BX13" s="423"/>
      <c r="BY13" s="423"/>
      <c r="BZ13" s="423"/>
      <c r="CA13" s="423"/>
      <c r="CB13" s="423"/>
      <c r="CC13" s="423"/>
      <c r="CD13" s="423"/>
      <c r="CE13" s="423"/>
      <c r="CF13" s="423"/>
      <c r="CG13" s="423"/>
      <c r="CH13" s="423"/>
      <c r="CI13" s="423"/>
      <c r="CJ13" s="423"/>
      <c r="CK13" s="423"/>
      <c r="CL13" s="423"/>
      <c r="CM13" s="424"/>
      <c r="CN13" s="419" t="s">
        <v>48</v>
      </c>
      <c r="CO13" s="420"/>
      <c r="CP13" s="420"/>
      <c r="CQ13" s="420"/>
      <c r="CR13" s="420"/>
      <c r="CS13" s="420"/>
      <c r="CT13" s="420"/>
      <c r="CU13" s="420"/>
      <c r="CV13" s="420"/>
      <c r="CW13" s="420"/>
      <c r="CX13" s="420"/>
      <c r="CY13" s="420"/>
      <c r="CZ13" s="420"/>
      <c r="DA13" s="420"/>
      <c r="DB13" s="420"/>
      <c r="DC13" s="420"/>
      <c r="DD13" s="420"/>
      <c r="DE13" s="420"/>
      <c r="DF13" s="420"/>
      <c r="DG13" s="420"/>
      <c r="DH13" s="420"/>
      <c r="DI13" s="423" t="s">
        <v>284</v>
      </c>
      <c r="DJ13" s="423"/>
      <c r="DK13" s="423"/>
      <c r="DL13" s="423"/>
      <c r="DM13" s="423"/>
      <c r="DN13" s="423"/>
      <c r="DO13" s="423"/>
      <c r="DP13" s="423"/>
      <c r="DQ13" s="423"/>
      <c r="DR13" s="424"/>
      <c r="DS13" s="46" t="s">
        <v>55</v>
      </c>
      <c r="DT13" s="46" t="s">
        <v>56</v>
      </c>
      <c r="DU13" s="419" t="s">
        <v>335</v>
      </c>
      <c r="DV13" s="420"/>
      <c r="DW13" s="420"/>
      <c r="DX13" s="420"/>
      <c r="DY13" s="420"/>
      <c r="DZ13" s="420"/>
      <c r="EA13" s="420"/>
      <c r="EB13" s="420"/>
      <c r="EC13" s="420"/>
      <c r="ED13" s="420"/>
      <c r="EE13" s="420"/>
      <c r="EF13" s="420"/>
      <c r="EG13" s="420"/>
      <c r="EH13" s="420"/>
      <c r="EI13" s="420"/>
      <c r="EJ13" s="420"/>
      <c r="EK13" s="420"/>
      <c r="EL13" s="420"/>
      <c r="EM13" s="420"/>
      <c r="EN13" s="420"/>
      <c r="EO13" s="421"/>
    </row>
    <row r="14" spans="1:145" x14ac:dyDescent="0.25">
      <c r="B14" s="146" t="s">
        <v>54</v>
      </c>
      <c r="C14" s="126" t="s">
        <v>83</v>
      </c>
      <c r="D14" s="170" t="s">
        <v>30</v>
      </c>
      <c r="E14" s="170" t="s">
        <v>31</v>
      </c>
      <c r="F14" s="175" t="s">
        <v>109</v>
      </c>
      <c r="G14" s="126"/>
      <c r="H14" s="175"/>
      <c r="I14" s="47" t="s">
        <v>56</v>
      </c>
      <c r="J14" s="12" t="s">
        <v>27</v>
      </c>
      <c r="K14" s="12" t="s">
        <v>61</v>
      </c>
      <c r="L14" s="32" t="s">
        <v>28</v>
      </c>
      <c r="M14" s="26" t="s">
        <v>37</v>
      </c>
      <c r="N14" s="431" t="s">
        <v>36</v>
      </c>
      <c r="O14" s="431"/>
      <c r="P14" s="431" t="s">
        <v>38</v>
      </c>
      <c r="Q14" s="432"/>
      <c r="R14" s="81" t="s">
        <v>73</v>
      </c>
      <c r="S14" s="79" t="s">
        <v>74</v>
      </c>
      <c r="T14" s="79" t="s">
        <v>75</v>
      </c>
      <c r="U14" s="79" t="s">
        <v>190</v>
      </c>
      <c r="V14" s="79" t="s">
        <v>71</v>
      </c>
      <c r="W14" s="79" t="s">
        <v>76</v>
      </c>
      <c r="X14" s="79" t="s">
        <v>191</v>
      </c>
      <c r="Y14" s="79" t="s">
        <v>77</v>
      </c>
      <c r="Z14" s="79" t="s">
        <v>78</v>
      </c>
      <c r="AA14" s="82" t="s">
        <v>79</v>
      </c>
      <c r="AB14" s="12" t="s">
        <v>29</v>
      </c>
      <c r="AC14" s="12" t="s">
        <v>30</v>
      </c>
      <c r="AD14" s="12" t="s">
        <v>31</v>
      </c>
      <c r="AE14" s="32" t="s">
        <v>49</v>
      </c>
      <c r="AF14" s="26" t="s">
        <v>29</v>
      </c>
      <c r="AG14" s="12" t="s">
        <v>30</v>
      </c>
      <c r="AH14" s="12" t="s">
        <v>31</v>
      </c>
      <c r="AI14" s="32" t="s">
        <v>49</v>
      </c>
      <c r="AJ14" s="26" t="s">
        <v>29</v>
      </c>
      <c r="AK14" s="12" t="s">
        <v>30</v>
      </c>
      <c r="AL14" s="32" t="s">
        <v>31</v>
      </c>
      <c r="AM14" s="23" t="s">
        <v>29</v>
      </c>
      <c r="AN14" s="13" t="s">
        <v>30</v>
      </c>
      <c r="AO14" s="24" t="s">
        <v>31</v>
      </c>
      <c r="AP14" s="23" t="s">
        <v>29</v>
      </c>
      <c r="AQ14" s="13" t="s">
        <v>30</v>
      </c>
      <c r="AR14" s="24" t="s">
        <v>31</v>
      </c>
      <c r="AS14" s="13" t="s">
        <v>154</v>
      </c>
      <c r="AT14" s="81" t="s">
        <v>73</v>
      </c>
      <c r="AU14" s="79" t="s">
        <v>74</v>
      </c>
      <c r="AV14" s="79" t="s">
        <v>75</v>
      </c>
      <c r="AW14" s="79" t="s">
        <v>190</v>
      </c>
      <c r="AX14" s="79" t="s">
        <v>71</v>
      </c>
      <c r="AY14" s="79" t="s">
        <v>76</v>
      </c>
      <c r="AZ14" s="79" t="s">
        <v>195</v>
      </c>
      <c r="BA14" s="79" t="s">
        <v>77</v>
      </c>
      <c r="BB14" s="79" t="s">
        <v>78</v>
      </c>
      <c r="BC14" s="82" t="s">
        <v>79</v>
      </c>
      <c r="BD14" s="23" t="s">
        <v>29</v>
      </c>
      <c r="BE14" s="13" t="s">
        <v>30</v>
      </c>
      <c r="BF14" s="24" t="s">
        <v>31</v>
      </c>
      <c r="BG14" s="23" t="s">
        <v>29</v>
      </c>
      <c r="BH14" s="13" t="s">
        <v>30</v>
      </c>
      <c r="BI14" s="24" t="s">
        <v>31</v>
      </c>
      <c r="BJ14" s="26" t="s">
        <v>39</v>
      </c>
      <c r="BK14" s="12" t="s">
        <v>40</v>
      </c>
      <c r="BL14" s="12" t="s">
        <v>41</v>
      </c>
      <c r="BM14" s="24" t="s">
        <v>54</v>
      </c>
      <c r="BN14" s="26" t="s">
        <v>26</v>
      </c>
      <c r="BO14" s="12" t="s">
        <v>88</v>
      </c>
      <c r="BP14" s="13" t="s">
        <v>89</v>
      </c>
      <c r="BQ14" s="12" t="s">
        <v>25</v>
      </c>
      <c r="BR14" s="32" t="s">
        <v>46</v>
      </c>
      <c r="BS14" s="43" t="s">
        <v>0</v>
      </c>
      <c r="BT14" s="44" t="s">
        <v>1</v>
      </c>
      <c r="BU14" s="44" t="s">
        <v>2</v>
      </c>
      <c r="BV14" s="44" t="s">
        <v>3</v>
      </c>
      <c r="BW14" s="20" t="s">
        <v>59</v>
      </c>
      <c r="BX14" s="20" t="s">
        <v>60</v>
      </c>
      <c r="BY14" s="20" t="s">
        <v>64</v>
      </c>
      <c r="BZ14" s="44" t="s">
        <v>4</v>
      </c>
      <c r="CA14" s="44" t="s">
        <v>5</v>
      </c>
      <c r="CB14" s="44" t="s">
        <v>6</v>
      </c>
      <c r="CC14" s="44" t="s">
        <v>7</v>
      </c>
      <c r="CD14" s="44" t="s">
        <v>8</v>
      </c>
      <c r="CE14" s="44" t="s">
        <v>9</v>
      </c>
      <c r="CF14" s="44" t="s">
        <v>10</v>
      </c>
      <c r="CG14" s="44" t="s">
        <v>11</v>
      </c>
      <c r="CH14" s="44" t="s">
        <v>12</v>
      </c>
      <c r="CI14" s="44" t="s">
        <v>13</v>
      </c>
      <c r="CJ14" s="44" t="s">
        <v>14</v>
      </c>
      <c r="CK14" s="44" t="s">
        <v>107</v>
      </c>
      <c r="CL14" t="str">
        <f>IF('Construction Planner'!$G$2="Goldmünzen","Coin",IF('Construction Planner'!$G$2="Einlagerung","Package","Einstellung wählen"))</f>
        <v>Coin</v>
      </c>
      <c r="CM14" s="45" t="s">
        <v>15</v>
      </c>
      <c r="CN14" s="323" t="s">
        <v>0</v>
      </c>
      <c r="CO14" s="324" t="s">
        <v>1</v>
      </c>
      <c r="CP14" s="324" t="s">
        <v>2</v>
      </c>
      <c r="CQ14" s="324" t="s">
        <v>3</v>
      </c>
      <c r="CR14" s="319" t="s">
        <v>59</v>
      </c>
      <c r="CS14" s="319" t="s">
        <v>60</v>
      </c>
      <c r="CT14" s="319" t="s">
        <v>64</v>
      </c>
      <c r="CU14" s="324" t="s">
        <v>4</v>
      </c>
      <c r="CV14" s="324" t="s">
        <v>5</v>
      </c>
      <c r="CW14" s="324" t="s">
        <v>6</v>
      </c>
      <c r="CX14" s="324" t="s">
        <v>7</v>
      </c>
      <c r="CY14" s="324" t="s">
        <v>8</v>
      </c>
      <c r="CZ14" s="324" t="s">
        <v>9</v>
      </c>
      <c r="DA14" s="324" t="s">
        <v>10</v>
      </c>
      <c r="DB14" s="324" t="s">
        <v>11</v>
      </c>
      <c r="DC14" s="324" t="s">
        <v>12</v>
      </c>
      <c r="DD14" s="324" t="s">
        <v>13</v>
      </c>
      <c r="DE14" s="324" t="s">
        <v>14</v>
      </c>
      <c r="DF14" s="324" t="s">
        <v>107</v>
      </c>
      <c r="DG14" s="324" t="str">
        <f>IF('Construction Planner'!$G$2="Goldmünzen","Coin",IF('Construction Planner'!$G$2="Einlagerung","Package","Einstellung wählen"))</f>
        <v>Coin</v>
      </c>
      <c r="DH14" s="325" t="s">
        <v>15</v>
      </c>
      <c r="DI14" s="100" t="s">
        <v>73</v>
      </c>
      <c r="DJ14" s="91" t="s">
        <v>74</v>
      </c>
      <c r="DK14" s="91" t="s">
        <v>75</v>
      </c>
      <c r="DL14" s="91" t="s">
        <v>190</v>
      </c>
      <c r="DM14" s="91" t="s">
        <v>71</v>
      </c>
      <c r="DN14" s="91" t="s">
        <v>76</v>
      </c>
      <c r="DO14" s="91" t="s">
        <v>195</v>
      </c>
      <c r="DP14" s="91" t="s">
        <v>77</v>
      </c>
      <c r="DQ14" s="91" t="s">
        <v>78</v>
      </c>
      <c r="DR14" s="92" t="s">
        <v>79</v>
      </c>
      <c r="DS14" s="99" t="s">
        <v>13</v>
      </c>
      <c r="DT14" s="332" t="s">
        <v>57</v>
      </c>
      <c r="DU14" s="336" t="s">
        <v>0</v>
      </c>
      <c r="DV14" s="337" t="s">
        <v>1</v>
      </c>
      <c r="DW14" s="337" t="s">
        <v>2</v>
      </c>
      <c r="DX14" s="337" t="s">
        <v>3</v>
      </c>
      <c r="DY14" s="320" t="s">
        <v>59</v>
      </c>
      <c r="DZ14" s="320" t="s">
        <v>60</v>
      </c>
      <c r="EA14" s="320" t="s">
        <v>64</v>
      </c>
      <c r="EB14" s="337" t="s">
        <v>4</v>
      </c>
      <c r="EC14" s="337" t="s">
        <v>5</v>
      </c>
      <c r="ED14" s="337" t="s">
        <v>6</v>
      </c>
      <c r="EE14" s="337" t="s">
        <v>7</v>
      </c>
      <c r="EF14" s="337" t="s">
        <v>8</v>
      </c>
      <c r="EG14" s="337" t="s">
        <v>9</v>
      </c>
      <c r="EH14" s="337" t="s">
        <v>10</v>
      </c>
      <c r="EI14" s="337" t="s">
        <v>11</v>
      </c>
      <c r="EJ14" s="337" t="s">
        <v>12</v>
      </c>
      <c r="EK14" s="337" t="s">
        <v>13</v>
      </c>
      <c r="EL14" s="337" t="s">
        <v>14</v>
      </c>
      <c r="EM14" s="345" t="s">
        <v>107</v>
      </c>
      <c r="EN14" s="345" t="s">
        <v>106</v>
      </c>
      <c r="EO14" s="338" t="s">
        <v>15</v>
      </c>
    </row>
    <row r="15" spans="1:145" x14ac:dyDescent="0.25">
      <c r="A15">
        <v>1</v>
      </c>
      <c r="B15" s="172">
        <f>BM15</f>
        <v>0</v>
      </c>
      <c r="C15" s="121" t="e">
        <f t="shared" ref="C15:C78" si="0">AJ15-SUM(AB15:AB19)</f>
        <v>#N/A</v>
      </c>
      <c r="D15" s="122" t="e">
        <f t="shared" ref="D15:D78" si="1">AK15-SUM(AC15:AC19)</f>
        <v>#N/A</v>
      </c>
      <c r="E15" s="122" t="e">
        <f t="shared" ref="E15:E78" si="2">AL15-SUM(AD15:AD19)</f>
        <v>#N/A</v>
      </c>
      <c r="F15" s="176" t="e">
        <f t="shared" ref="F15:F78" si="3">IF(AND(MAX(C15:E15)&gt;0,DS15-MAX(C15:E15)&lt;DS15),DS15-MAX(C15:E15),DS15)</f>
        <v>#N/A</v>
      </c>
      <c r="G15" s="121">
        <f>BQ15</f>
        <v>228</v>
      </c>
      <c r="H15" s="176" t="e">
        <f>BQ15-SUM(BR15:BR19)</f>
        <v>#N/A</v>
      </c>
      <c r="I15" s="48">
        <v>1</v>
      </c>
      <c r="J15" s="39" t="s">
        <v>9</v>
      </c>
      <c r="K15" s="350">
        <v>1</v>
      </c>
      <c r="L15" s="34">
        <f t="shared" ref="L15:L78" si="4">HLOOKUP(J15,$BS$14:$CM$508,A16,FALSE)+K15</f>
        <v>1</v>
      </c>
      <c r="M15" s="38">
        <f>(HLOOKUP(J15,'Construction Times'!$B$3:$W$34,L15+2,FALSE)*HLOOKUP("hq modifier",'Construction Times'!$W$3:$W$34,BS15+2,FALSE))*(1-$H$9)</f>
        <v>8.1237518540402276E-5</v>
      </c>
      <c r="N15" s="445">
        <v>43971.688194444447</v>
      </c>
      <c r="O15" s="446"/>
      <c r="P15" s="447">
        <f>IF(MAX(AB15:AD15)&gt;DS15,"Speicher zu klein",IF(HLOOKUP(J15,$DU$14:$EO$509,A15+2,FALSE)=0,"Gebäude Vor. nicht erfüllt",N15+BM15))</f>
        <v>43971.688194444447</v>
      </c>
      <c r="Q15" s="448"/>
      <c r="R15" s="347">
        <v>0</v>
      </c>
      <c r="S15" s="348">
        <v>0</v>
      </c>
      <c r="T15" s="348">
        <v>0</v>
      </c>
      <c r="U15" s="348">
        <v>0</v>
      </c>
      <c r="V15" s="348">
        <v>9.9999999999999995E-8</v>
      </c>
      <c r="W15" s="348">
        <v>0</v>
      </c>
      <c r="X15" s="348">
        <v>0</v>
      </c>
      <c r="Y15" s="348">
        <v>9.9999999999999995E-8</v>
      </c>
      <c r="Z15" s="348">
        <v>9.9999999999999995E-8</v>
      </c>
      <c r="AA15" s="349">
        <v>9.9999999999999995E-8</v>
      </c>
      <c r="AB15" s="101">
        <f>$DT15*HLOOKUP($J15,'Construction Costs (timber)'!$B$1:$V$32,'Construction Planner'!$L15+2,FALSE)</f>
        <v>50</v>
      </c>
      <c r="AC15" s="14">
        <f>$DT15*HLOOKUP($J15,'Construction Costs (clay)'!$B$1:$V$32,'Construction Planner'!$L15+2,FALSE)</f>
        <v>60</v>
      </c>
      <c r="AD15" s="14">
        <f>$DT15*HLOOKUP($J15,'Construction Costs (iron)'!$B$1:$V$32,'Construction Planner'!$L15+2,FALSE)</f>
        <v>40</v>
      </c>
      <c r="AE15" s="34">
        <f>SUM(AB15:AD15)</f>
        <v>150</v>
      </c>
      <c r="AF15" s="33">
        <f t="shared" ref="AF15:AF78" si="5">AB15*($AH$3/$M15)</f>
        <v>25644.965168368828</v>
      </c>
      <c r="AG15" s="14">
        <f t="shared" ref="AG15:AG78" si="6">AC15*($AH$3/$M15)</f>
        <v>30773.958202042591</v>
      </c>
      <c r="AH15" s="14">
        <f t="shared" ref="AH15:AH78" si="7">AD15*($AH$3/$M15)</f>
        <v>20515.972134695061</v>
      </c>
      <c r="AI15" s="34">
        <f>SUM(AF15:AH15)</f>
        <v>76934.895505106484</v>
      </c>
      <c r="AJ15" s="33">
        <f>W11</f>
        <v>500</v>
      </c>
      <c r="AK15" s="33">
        <f>X11</f>
        <v>500</v>
      </c>
      <c r="AL15" s="33">
        <f>Y11</f>
        <v>500</v>
      </c>
      <c r="AM15" s="25">
        <f t="shared" ref="AM15:AM78" si="8">IF(CE15 = 0,$E$3*5,$E$3*30*1.163118^(CE15-1))*(1+$B$10)</f>
        <v>5</v>
      </c>
      <c r="AN15" s="25">
        <f t="shared" ref="AN15:AN78" si="9">IF(CF15 = 0,$E$3*5,$E$3*30*1.163118^(CF15-1))*(1+$B$10)</f>
        <v>5</v>
      </c>
      <c r="AO15" s="25">
        <f t="shared" ref="AO15:AO78" si="10">IF(CG15 = 0,$E$3*5,$E$3*30*1.163118^(CG15-1))*(1+$B$10)</f>
        <v>5</v>
      </c>
      <c r="AP15" s="52">
        <f>($N15-$AK$6+$AK$9+1)*$AK$5/24/3*$AS15</f>
        <v>0</v>
      </c>
      <c r="AQ15" s="53">
        <f t="shared" ref="AQ15:AR30" si="11">($N15-$AK$6+$AK$9+1)*$AK$5/24/3*$AS15</f>
        <v>0</v>
      </c>
      <c r="AR15" s="54">
        <f t="shared" si="11"/>
        <v>0</v>
      </c>
      <c r="AS15" s="317">
        <v>0</v>
      </c>
      <c r="AT15" s="106">
        <f>_xlfn.IFNA($M15/VLOOKUP($BT15,'Unit information'!$A$2:$K$29,2,FALSE)*R15,0)*(1+$E$9)</f>
        <v>0</v>
      </c>
      <c r="AU15" s="107">
        <f>_xlfn.IFNA($M15/VLOOKUP($BT15,'Unit information'!$A$2:$K$29,3,FALSE)*S15,0)*(1+$E$9)</f>
        <v>0</v>
      </c>
      <c r="AV15" s="107">
        <f>_xlfn.IFNA($M15/VLOOKUP($BT15,'Unit information'!$A$2:$K$29,4,FALSE)*T15,0)*(1+$E$9)</f>
        <v>0</v>
      </c>
      <c r="AW15" s="107">
        <f>_xlfn.IFNA($M15/VLOOKUP($BT15,'Unit information'!$A$2:$K$29,5,FALSE)*U15,0)*(1+$E$9)</f>
        <v>0</v>
      </c>
      <c r="AX15" s="107">
        <f>_xlfn.IFNA($M15/VLOOKUP($BU15,'Unit information'!$A$2:$K$29,6,FALSE)*V15,0)*(1+$E$9)</f>
        <v>0</v>
      </c>
      <c r="AY15" s="107">
        <f>_xlfn.IFNA($M15/VLOOKUP($BU15,'Unit information'!$A$2:$K$29,7,FALSE)*W15,0)*(1+$E$9)</f>
        <v>0</v>
      </c>
      <c r="AZ15" s="107">
        <f>_xlfn.IFNA($M15/VLOOKUP($BU15,'Unit information'!$A$2:$K$29,8,FALSE)*X15,0)*(1+$E$9)</f>
        <v>0</v>
      </c>
      <c r="BA15" s="107">
        <f>_xlfn.IFNA($M15/VLOOKUP($BU15,'Unit information'!$A$2:$K$29,9,FALSE)*Y15,0)*(1+$E$9)</f>
        <v>0</v>
      </c>
      <c r="BB15" s="107">
        <f>_xlfn.IFNA($M15/VLOOKUP($BV15,'Unit information'!$A$2:$K$29,10,FALSE)*Z15,0)*(1+$E$9)</f>
        <v>0</v>
      </c>
      <c r="BC15" s="108">
        <f>_xlfn.IFNA($M15/VLOOKUP($BV15,'Unit information'!$A$2:$K$29,11,FALSE)*AA15,0)*(1+$E$9)</f>
        <v>0</v>
      </c>
      <c r="BD15" s="106">
        <f t="shared" ref="BD15:BD78" si="12">$AT15*50+$AU15*30+$AV15*60+$AX15*50+$AY15*125+$BA15*200+$BB15*300+$BC15*320</f>
        <v>0</v>
      </c>
      <c r="BE15" s="107">
        <f t="shared" ref="BE15:BE78" si="13">$AT15*30+$AU15*30+$AV15*30+$AX15*50+$AY15*100+$BA15*150+$BB15*200+$BC15*400</f>
        <v>0</v>
      </c>
      <c r="BF15" s="108">
        <f t="shared" ref="BF15:BF78" si="14">$AT15*10+$AU15*70+$AV15*40+$AX15*20+$AY15*250+$BA15*600+$BB15*200+$BC15*100</f>
        <v>0</v>
      </c>
      <c r="BG15" s="25">
        <f t="shared" ref="BG15:BG78" si="15">AM15+AP15</f>
        <v>5</v>
      </c>
      <c r="BH15" s="25">
        <f t="shared" ref="BH15:BH78" si="16">AN15+AQ15</f>
        <v>5</v>
      </c>
      <c r="BI15" s="25">
        <f t="shared" ref="BI15:BI78" si="17">AO15+AR15</f>
        <v>5</v>
      </c>
      <c r="BJ15" s="27">
        <f t="shared" ref="BJ15:BJ78" si="18">IF(AJ15&gt;AB15,0,(AB15-AJ15)/BG15*$AK$3)</f>
        <v>0</v>
      </c>
      <c r="BK15" s="18">
        <f t="shared" ref="BK15:BK78" si="19">IF(AK15&gt;AC15,0,(AC15-AK15)/BH15*$AK$3)</f>
        <v>0</v>
      </c>
      <c r="BL15" s="18">
        <f t="shared" ref="BL15:BL78" si="20">IF(AL15&gt;AD15,0,(AD15-AL15)/BI15*$AK$3)</f>
        <v>0</v>
      </c>
      <c r="BM15" s="28">
        <f>MAX(BJ15:BL15)</f>
        <v>0</v>
      </c>
      <c r="BN15" s="33">
        <f>HLOOKUP("maximum population",Miscelaneous!$C$1:$C$33,CH15+3,FALSE)</f>
        <v>240</v>
      </c>
      <c r="BO15" s="14">
        <f>SUM(CN16:DH16)</f>
        <v>12</v>
      </c>
      <c r="BP15" s="14">
        <f>SUM(DI15:DL15)+DM15*2+DN15*4+DO15*5+DP15*6+DQ15*5+DR15*8</f>
        <v>0</v>
      </c>
      <c r="BQ15" s="14">
        <f>BN15-BO15-BP15</f>
        <v>228</v>
      </c>
      <c r="BR15" s="34">
        <f>HLOOKUP(J15,Villagers!$B$1:$V$33,L15+3,FALSE)-HLOOKUP(J15,Villagers!$B$1:$V$33,L15+2,FALSE)</f>
        <v>5</v>
      </c>
      <c r="BS15" s="33">
        <f t="shared" ref="BS15:CM15" si="21">J7</f>
        <v>1</v>
      </c>
      <c r="BT15" s="14">
        <f t="shared" si="21"/>
        <v>0</v>
      </c>
      <c r="BU15" s="14">
        <f t="shared" si="21"/>
        <v>0</v>
      </c>
      <c r="BV15" s="14">
        <f t="shared" si="21"/>
        <v>0</v>
      </c>
      <c r="BW15" s="14">
        <f t="shared" si="21"/>
        <v>0</v>
      </c>
      <c r="BX15" s="14">
        <f t="shared" si="21"/>
        <v>0</v>
      </c>
      <c r="BY15" s="229">
        <f t="shared" si="21"/>
        <v>0</v>
      </c>
      <c r="BZ15" s="14">
        <f t="shared" si="21"/>
        <v>0</v>
      </c>
      <c r="CA15" s="14">
        <f t="shared" si="21"/>
        <v>0</v>
      </c>
      <c r="CB15" s="14">
        <f t="shared" si="21"/>
        <v>1</v>
      </c>
      <c r="CC15" s="14">
        <f t="shared" si="21"/>
        <v>0</v>
      </c>
      <c r="CD15" s="14">
        <f t="shared" si="21"/>
        <v>0</v>
      </c>
      <c r="CE15" s="14">
        <f t="shared" si="21"/>
        <v>0</v>
      </c>
      <c r="CF15" s="14">
        <f t="shared" si="21"/>
        <v>0</v>
      </c>
      <c r="CG15" s="14">
        <f t="shared" si="21"/>
        <v>0</v>
      </c>
      <c r="CH15" s="14">
        <f t="shared" si="21"/>
        <v>1</v>
      </c>
      <c r="CI15" s="14">
        <f t="shared" si="21"/>
        <v>1</v>
      </c>
      <c r="CJ15" s="14">
        <f t="shared" si="21"/>
        <v>1</v>
      </c>
      <c r="CK15" s="14">
        <f t="shared" si="21"/>
        <v>0</v>
      </c>
      <c r="CL15" s="14">
        <f t="shared" si="21"/>
        <v>0</v>
      </c>
      <c r="CM15" s="34">
        <f t="shared" si="21"/>
        <v>0</v>
      </c>
      <c r="CN15" s="33">
        <f>ROUND(IF(BS15=0,0,HLOOKUP(BS$14,Villagers!$B$1:$V$33,BS15+3,FALSE)),)</f>
        <v>5</v>
      </c>
      <c r="CO15" s="14">
        <f>ROUND(IF(BT15=0,0,HLOOKUP(BT$14,Villagers!$B$1:$V$33,BT15+3,FALSE)),)</f>
        <v>0</v>
      </c>
      <c r="CP15" s="14">
        <f>ROUND(IF(BU15=0,0,HLOOKUP(BU$14,Villagers!$B$1:$V$33,BU15+3,FALSE)),)</f>
        <v>0</v>
      </c>
      <c r="CQ15" s="14">
        <f>ROUND(IF(BV15=0,0,HLOOKUP(BV$14,Villagers!$B$1:$V$33,BV15+3,FALSE)),)</f>
        <v>0</v>
      </c>
      <c r="CR15" s="14">
        <f>ROUND(IF(BW15=0,0,HLOOKUP(BW$14,Villagers!$B$1:$V$33,BW15+3,FALSE)),)</f>
        <v>0</v>
      </c>
      <c r="CS15" s="14">
        <f>ROUND(IF(BX15=0,0,HLOOKUP(BX$14,Villagers!$B$1:$V$33,BX15+3,FALSE)),)</f>
        <v>0</v>
      </c>
      <c r="CT15" s="14">
        <f>ROUND(IF(BY15=0,0,HLOOKUP(BY$14,Villagers!$B$1:$V$33,BY15+3,FALSE)),)</f>
        <v>0</v>
      </c>
      <c r="CU15" s="14">
        <f>ROUND(IF(BZ15=0,0,HLOOKUP(BZ$14,Villagers!$B$1:$V$33,BZ15+3,FALSE)),)</f>
        <v>0</v>
      </c>
      <c r="CV15" s="14">
        <f>ROUND(IF(CA15=0,0,HLOOKUP(CA$14,Villagers!$B$1:$V$33,CA15+3,FALSE)),)</f>
        <v>0</v>
      </c>
      <c r="CW15" s="14">
        <f>ROUND(IF(CB15=0,0,HLOOKUP(CB$14,Villagers!$B$1:$V$33,CB15+3,FALSE)),)</f>
        <v>0</v>
      </c>
      <c r="CX15" s="14">
        <f>ROUND(IF(CC15=0,0,HLOOKUP(CC$14,Villagers!$B$1:$V$33,CC15+3,FALSE)),)</f>
        <v>0</v>
      </c>
      <c r="CY15" s="14">
        <f>ROUND(IF(CD15=0,0,HLOOKUP(CD$14,Villagers!$B$1:$V$33,CD15+3,FALSE)),)</f>
        <v>0</v>
      </c>
      <c r="CZ15" s="14">
        <f>ROUND(IF(CE15=0,0,HLOOKUP(CE$14,Villagers!$B$1:$V$33,CE15+3,FALSE)),)</f>
        <v>0</v>
      </c>
      <c r="DA15" s="14">
        <f>ROUND(IF(CF15=0,0,HLOOKUP(CF$14,Villagers!$B$1:$V$33,CF15+3,FALSE)),)</f>
        <v>0</v>
      </c>
      <c r="DB15" s="14">
        <f>ROUND(IF(CG15=0,0,HLOOKUP(CG$14,Villagers!$B$1:$V$33,CG15+3,FALSE)),)</f>
        <v>0</v>
      </c>
      <c r="DC15" s="14">
        <f>ROUND(IF(CH15=0,0,HLOOKUP(CH$14,Villagers!$B$1:$V$33,CH15+3,FALSE)),)</f>
        <v>0</v>
      </c>
      <c r="DD15" s="14">
        <f>ROUND(IF(CI15=0,0,HLOOKUP(CI$14,Villagers!$B$1:$V$33,CI15+3,FALSE)),)</f>
        <v>0</v>
      </c>
      <c r="DE15" s="14">
        <f>ROUND(IF(CJ15=0,0,HLOOKUP(CJ$14,Villagers!$B$1:$V$33,CJ15+3,FALSE)),)</f>
        <v>2</v>
      </c>
      <c r="DF15" s="370">
        <f>ROUND(IF(CK15=0,0,HLOOKUP(CK$14,Villagers!$B$1:$V$33,CK15+3,FALSE)),)</f>
        <v>0</v>
      </c>
      <c r="DG15" s="370">
        <f>ROUND(IF(CL15=0,0,HLOOKUP(CL$14,Villagers!$B$1:$V$33,CL15+3,FALSE)),)</f>
        <v>0</v>
      </c>
      <c r="DH15" s="34">
        <f>ROUND(IF(CM15=0,0,HLOOKUP(CM$14,Villagers!$B$1:$V$33,CM15+3,FALSE)),)</f>
        <v>0</v>
      </c>
      <c r="DI15" s="351">
        <f t="shared" ref="DI15:DR15" si="22">J11</f>
        <v>0</v>
      </c>
      <c r="DJ15" s="14">
        <f t="shared" si="22"/>
        <v>0</v>
      </c>
      <c r="DK15" s="14">
        <f t="shared" si="22"/>
        <v>0</v>
      </c>
      <c r="DL15" s="14">
        <f t="shared" si="22"/>
        <v>0</v>
      </c>
      <c r="DM15" s="14">
        <f t="shared" si="22"/>
        <v>0</v>
      </c>
      <c r="DN15" s="14">
        <f t="shared" si="22"/>
        <v>0</v>
      </c>
      <c r="DO15" s="14">
        <f t="shared" si="22"/>
        <v>0</v>
      </c>
      <c r="DP15" s="14">
        <f t="shared" si="22"/>
        <v>0</v>
      </c>
      <c r="DQ15" s="14">
        <f t="shared" si="22"/>
        <v>0</v>
      </c>
      <c r="DR15" s="14">
        <f t="shared" si="22"/>
        <v>0</v>
      </c>
      <c r="DS15" s="96">
        <f>Miscelaneous!$D$4*Miscelaneous!$D$2^($CI15-1)</f>
        <v>1000</v>
      </c>
      <c r="DT15" s="333">
        <f>IF(I15&lt;5,1,1.125^(I15-5))</f>
        <v>1</v>
      </c>
      <c r="DU15" s="81">
        <v>1</v>
      </c>
      <c r="DV15" s="79">
        <f>IF(BS15&gt;2,1,0)</f>
        <v>0</v>
      </c>
      <c r="DW15" s="79">
        <f t="shared" ref="DW15:DW79" si="23">IF(AND(BS15&gt;9,CA15&gt;4,BT15&gt;4)=TRUE,1,0)</f>
        <v>0</v>
      </c>
      <c r="DX15" s="79">
        <f>IF(AND(BS15&gt;9,CA15&gt;9)=TRUE,1,0)</f>
        <v>0</v>
      </c>
      <c r="DY15" s="79">
        <v>1</v>
      </c>
      <c r="DZ15" s="79">
        <f t="shared" ref="DZ15:DZ79" si="24">IF(AND(BS15&gt;4,CH15&gt;4),1,0)</f>
        <v>0</v>
      </c>
      <c r="EA15" s="79">
        <f>IF(AND(BS15&gt;4,CH15&gt;4),1,0)</f>
        <v>0</v>
      </c>
      <c r="EB15" s="79">
        <f>IF(AND(BS15&gt;19,CA15&gt;19,CD15&gt;9)=TRUE,1,0)</f>
        <v>0</v>
      </c>
      <c r="EC15" s="79">
        <f>IF(AND(BS15&gt;4,BT15&gt;0)=TRUE,1,0)</f>
        <v>0</v>
      </c>
      <c r="ED15" s="79">
        <v>1</v>
      </c>
      <c r="EE15" s="79">
        <v>1</v>
      </c>
      <c r="EF15" s="79">
        <f>IF(AND(BS15&gt;2,CI15&gt;1),1,0)</f>
        <v>0</v>
      </c>
      <c r="EG15" s="79">
        <v>1</v>
      </c>
      <c r="EH15" s="79">
        <v>1</v>
      </c>
      <c r="EI15" s="79">
        <v>1</v>
      </c>
      <c r="EJ15" s="79">
        <v>1</v>
      </c>
      <c r="EK15" s="79">
        <v>1</v>
      </c>
      <c r="EL15" s="79">
        <v>1</v>
      </c>
      <c r="EM15" s="143">
        <f>IF(CL15&gt;0,1,0)</f>
        <v>0</v>
      </c>
      <c r="EN15" s="143">
        <f>IF(BZ15&gt;0,1,0)</f>
        <v>0</v>
      </c>
      <c r="EO15" s="82">
        <f>IF(BT15&gt;0,1,0)</f>
        <v>0</v>
      </c>
    </row>
    <row r="16" spans="1:145" x14ac:dyDescent="0.25">
      <c r="A16">
        <v>2</v>
      </c>
      <c r="B16" s="172">
        <f t="shared" ref="B16:B79" si="25">BM16</f>
        <v>0</v>
      </c>
      <c r="C16" s="121" t="e">
        <f t="shared" si="0"/>
        <v>#N/A</v>
      </c>
      <c r="D16" s="122" t="e">
        <f t="shared" si="1"/>
        <v>#N/A</v>
      </c>
      <c r="E16" s="122" t="e">
        <f t="shared" si="2"/>
        <v>#N/A</v>
      </c>
      <c r="F16" s="176" t="e">
        <f t="shared" si="3"/>
        <v>#N/A</v>
      </c>
      <c r="G16" s="121">
        <f t="shared" ref="G16:G79" si="26">BQ16</f>
        <v>218</v>
      </c>
      <c r="H16" s="176" t="e">
        <f t="shared" ref="H16:H79" si="27">BQ16-SUM(BR16:BR20)</f>
        <v>#N/A</v>
      </c>
      <c r="I16" s="48">
        <v>1</v>
      </c>
      <c r="J16" s="39" t="s">
        <v>10</v>
      </c>
      <c r="K16" s="350">
        <v>1</v>
      </c>
      <c r="L16" s="34">
        <f t="shared" si="4"/>
        <v>1</v>
      </c>
      <c r="M16" s="38">
        <f>(HLOOKUP(J16,'Construction Times'!$B$3:$W$34,L16+2,FALSE)*HLOOKUP("hq modifier",'Construction Times'!$W$3:$W$34,BS16+2,FALSE))*(1-$H$9)</f>
        <v>8.1237518540402276E-5</v>
      </c>
      <c r="N16" s="443">
        <f t="shared" ref="N16:N79" si="28">P15+M15</f>
        <v>43971.688275681969</v>
      </c>
      <c r="O16" s="444"/>
      <c r="P16" s="447">
        <f t="shared" ref="P16:P79" si="29">IF(MAX(AB16:AD16)&gt;DS16,"Speicher zu klein",IF(HLOOKUP(J16,$DU$14:$EO$509,A16+2,FALSE)=0,"Gebäude Vor. nicht erfüllt",N16+BM16))</f>
        <v>43971.688275681969</v>
      </c>
      <c r="Q16" s="448"/>
      <c r="R16" s="103">
        <f>R15</f>
        <v>0</v>
      </c>
      <c r="S16" s="104">
        <f t="shared" ref="S16:AA16" si="30">S15</f>
        <v>0</v>
      </c>
      <c r="T16" s="104">
        <f>T15</f>
        <v>0</v>
      </c>
      <c r="U16" s="104">
        <f t="shared" ref="U16:AA44" si="31">U15</f>
        <v>0</v>
      </c>
      <c r="V16" s="104">
        <f t="shared" si="30"/>
        <v>9.9999999999999995E-8</v>
      </c>
      <c r="W16" s="104">
        <f t="shared" si="30"/>
        <v>0</v>
      </c>
      <c r="X16" s="104">
        <f>X15</f>
        <v>0</v>
      </c>
      <c r="Y16" s="104">
        <f t="shared" si="30"/>
        <v>9.9999999999999995E-8</v>
      </c>
      <c r="Z16" s="104">
        <f t="shared" si="30"/>
        <v>9.9999999999999995E-8</v>
      </c>
      <c r="AA16" s="105">
        <f t="shared" si="30"/>
        <v>9.9999999999999995E-8</v>
      </c>
      <c r="AB16" s="101">
        <f>$DT16*HLOOKUP($J16,'Construction Costs (timber)'!$B$1:$V$32,'Construction Planner'!$L16+2,FALSE)</f>
        <v>65</v>
      </c>
      <c r="AC16" s="14">
        <f>$DT16*HLOOKUP($J16,'Construction Costs (clay)'!$B$1:$V$32,'Construction Planner'!$L16+2,FALSE)</f>
        <v>50</v>
      </c>
      <c r="AD16" s="14">
        <f>$DT16*HLOOKUP($J16,'Construction Costs (iron)'!$B$1:$V$32,'Construction Planner'!$L16+2,FALSE)</f>
        <v>40</v>
      </c>
      <c r="AE16" s="34">
        <f>SUM(AB16:AD16)</f>
        <v>155</v>
      </c>
      <c r="AF16" s="33">
        <f t="shared" si="5"/>
        <v>33338.454718879475</v>
      </c>
      <c r="AG16" s="14">
        <f t="shared" si="6"/>
        <v>25644.965168368828</v>
      </c>
      <c r="AH16" s="14">
        <f t="shared" si="7"/>
        <v>20515.972134695061</v>
      </c>
      <c r="AI16" s="34">
        <f>SUM(AF16:AH16)</f>
        <v>79499.392021943364</v>
      </c>
      <c r="AJ16" s="49">
        <f t="shared" ref="AJ16:AJ79" si="32">(($N16-$N15)/$AK$3)*BG15+AJ15-AB15-BD15</f>
        <v>450.00974850263447</v>
      </c>
      <c r="AK16" s="49">
        <f t="shared" ref="AK16:AK79" si="33">(($N16-$N15)/$AK$3)*BH15+AK15-AC15-BE15</f>
        <v>440.00974850263447</v>
      </c>
      <c r="AL16" s="49">
        <f t="shared" ref="AL16:AL79" si="34">(($N16-$N15)/$AK$3)*BI15+AL15-AD15-BF15</f>
        <v>460.00974850263447</v>
      </c>
      <c r="AM16" s="25">
        <f t="shared" si="8"/>
        <v>30</v>
      </c>
      <c r="AN16" s="25">
        <f t="shared" si="9"/>
        <v>5</v>
      </c>
      <c r="AO16" s="25">
        <f t="shared" si="10"/>
        <v>5</v>
      </c>
      <c r="AP16" s="52">
        <f t="shared" ref="AP16:AR79" si="35">($N16-$AK$6+$AK$9+1)*$AK$5/24/3*$AS16</f>
        <v>0</v>
      </c>
      <c r="AQ16" s="53">
        <f t="shared" si="11"/>
        <v>0</v>
      </c>
      <c r="AR16" s="54">
        <f t="shared" si="11"/>
        <v>0</v>
      </c>
      <c r="AS16" s="316">
        <f>AS15</f>
        <v>0</v>
      </c>
      <c r="AT16" s="106">
        <f>_xlfn.IFNA($M16/VLOOKUP($BT16,'Unit information'!$A$2:$K$29,2,FALSE)*R16,0)*(1+$E$9)</f>
        <v>0</v>
      </c>
      <c r="AU16" s="107">
        <f>_xlfn.IFNA($M16/VLOOKUP($BT16,'Unit information'!$A$2:$K$29,3,FALSE)*S16,0)*(1+$E$9)</f>
        <v>0</v>
      </c>
      <c r="AV16" s="107">
        <f>_xlfn.IFNA($M16/VLOOKUP($BT16,'Unit information'!$A$2:$K$29,4,FALSE)*T16,0)*(1+$E$9)</f>
        <v>0</v>
      </c>
      <c r="AW16" s="107">
        <f>_xlfn.IFNA($M16/VLOOKUP($BT16,'Unit information'!$A$2:$K$29,5,FALSE)*U16,0)*(1+$E$9)</f>
        <v>0</v>
      </c>
      <c r="AX16" s="107">
        <f>_xlfn.IFNA($M16/VLOOKUP($BU16,'Unit information'!$A$2:$K$29,6,FALSE)*V16,0)*(1+$E$9)</f>
        <v>0</v>
      </c>
      <c r="AY16" s="107">
        <f>_xlfn.IFNA($M16/VLOOKUP($BU16,'Unit information'!$A$2:$K$29,7,FALSE)*W16,0)*(1+$E$9)</f>
        <v>0</v>
      </c>
      <c r="AZ16" s="107">
        <f>_xlfn.IFNA($M16/VLOOKUP($BU16,'Unit information'!$A$2:$K$29,8,FALSE)*X16,0)*(1+$E$9)</f>
        <v>0</v>
      </c>
      <c r="BA16" s="107">
        <f>_xlfn.IFNA($M16/VLOOKUP($BU16,'Unit information'!$A$2:$K$29,9,FALSE)*Y16,0)*(1+$E$9)</f>
        <v>0</v>
      </c>
      <c r="BB16" s="107">
        <f>_xlfn.IFNA($M16/VLOOKUP($BV16,'Unit information'!$A$2:$K$29,10,FALSE)*Z16,0)*(1+$E$9)</f>
        <v>0</v>
      </c>
      <c r="BC16" s="108">
        <f>_xlfn.IFNA($M16/VLOOKUP($BV16,'Unit information'!$A$2:$K$29,11,FALSE)*AA16,0)*(1+$E$9)</f>
        <v>0</v>
      </c>
      <c r="BD16" s="106">
        <f t="shared" si="12"/>
        <v>0</v>
      </c>
      <c r="BE16" s="107">
        <f t="shared" si="13"/>
        <v>0</v>
      </c>
      <c r="BF16" s="108">
        <f t="shared" si="14"/>
        <v>0</v>
      </c>
      <c r="BG16" s="25">
        <f t="shared" si="15"/>
        <v>30</v>
      </c>
      <c r="BH16" s="25">
        <f t="shared" si="16"/>
        <v>5</v>
      </c>
      <c r="BI16" s="25">
        <f t="shared" si="17"/>
        <v>5</v>
      </c>
      <c r="BJ16" s="27">
        <f t="shared" si="18"/>
        <v>0</v>
      </c>
      <c r="BK16" s="18">
        <f t="shared" si="19"/>
        <v>0</v>
      </c>
      <c r="BL16" s="18">
        <f t="shared" si="20"/>
        <v>0</v>
      </c>
      <c r="BM16" s="28">
        <f>MAX(BJ16:BL16)</f>
        <v>0</v>
      </c>
      <c r="BN16" s="33">
        <f>HLOOKUP("maximum population",Miscelaneous!$C$1:$C$33,CH16+3,FALSE)</f>
        <v>240</v>
      </c>
      <c r="BO16" s="14">
        <f t="shared" ref="BO16:BO79" si="36">SUM(CN17:DH17)</f>
        <v>22</v>
      </c>
      <c r="BP16" s="14">
        <f t="shared" ref="BP16:BP79" si="37">SUM(DI16:DL16)+DM16*2+DN16*4+DO16*5+DP16*6+DQ16*5+DR16*8</f>
        <v>0</v>
      </c>
      <c r="BQ16" s="14">
        <f t="shared" ref="BQ16:BQ79" si="38">BN16-BO16-BP16</f>
        <v>218</v>
      </c>
      <c r="BR16" s="34">
        <f>HLOOKUP(J16,Villagers!$B$1:$V$33,L16+3,FALSE)-HLOOKUP(J16,Villagers!$B$1:$V$33,L16+2,FALSE)</f>
        <v>10</v>
      </c>
      <c r="BS16" s="49">
        <f t="shared" ref="BS16:BS79" si="39">IF($J15=BS$14,$L15,BS15)</f>
        <v>1</v>
      </c>
      <c r="BT16" s="50">
        <f t="shared" ref="BT16:BT79" si="40">IF($J15=BT$14,$L15,BT15)</f>
        <v>0</v>
      </c>
      <c r="BU16" s="50">
        <f t="shared" ref="BU16:BU79" si="41">IF($J15=BU$14,$L15,BU15)</f>
        <v>0</v>
      </c>
      <c r="BV16" s="50">
        <f t="shared" ref="BV16:BV47" si="42">IF($J15=BV$14,$L15,BV15)</f>
        <v>0</v>
      </c>
      <c r="BW16" s="50">
        <f t="shared" ref="BW16:BW47" si="43">IF($J15=BW$14,$L15,BW15)</f>
        <v>0</v>
      </c>
      <c r="BX16" s="50">
        <f t="shared" ref="BX16:BY47" si="44">IF($J15=BX$14,$L15,BX15)</f>
        <v>0</v>
      </c>
      <c r="BY16" s="50">
        <f>IF($J15=BY$14,$L15,BY15)</f>
        <v>0</v>
      </c>
      <c r="BZ16" s="50">
        <f t="shared" ref="BZ16:BZ79" si="45">IF($J15=BZ$14,$L15,BZ15)</f>
        <v>0</v>
      </c>
      <c r="CA16" s="50">
        <f t="shared" ref="CA16:CA79" si="46">IF($J15=CA$14,$L15,CA15)</f>
        <v>0</v>
      </c>
      <c r="CB16" s="50">
        <f t="shared" ref="CB16:CB79" si="47">IF($J15=CB$14,$L15,CB15)</f>
        <v>1</v>
      </c>
      <c r="CC16" s="50">
        <f t="shared" ref="CC16:CC79" si="48">IF($J15=CC$14,$L15,CC15)</f>
        <v>0</v>
      </c>
      <c r="CD16" s="50">
        <f t="shared" ref="CD16:CD79" si="49">IF($J15=CD$14,$L15,CD15)</f>
        <v>0</v>
      </c>
      <c r="CE16" s="50">
        <f t="shared" ref="CE16:CE79" si="50">IF($J15=CE$14,$L15,CE15)</f>
        <v>1</v>
      </c>
      <c r="CF16" s="50">
        <f t="shared" ref="CF16:CF79" si="51">IF($J15=CF$14,$L15,CF15)</f>
        <v>0</v>
      </c>
      <c r="CG16" s="50">
        <f t="shared" ref="CG16:CG79" si="52">IF($J15=CG$14,$L15,CG15)</f>
        <v>0</v>
      </c>
      <c r="CH16" s="50">
        <f t="shared" ref="CH16:CH79" si="53">IF($J15=CH$14,$L15,CH15)</f>
        <v>1</v>
      </c>
      <c r="CI16" s="50">
        <f t="shared" ref="CI16:CI79" si="54">IF($J15=CI$14,$L15,CI15)</f>
        <v>1</v>
      </c>
      <c r="CJ16" s="50">
        <f t="shared" ref="CJ16:CL79" si="55">IF($J15=CJ$14,$L15,CJ15)</f>
        <v>1</v>
      </c>
      <c r="CK16" s="50">
        <f t="shared" ref="CK16:CK79" si="56">IF($J15=CK$14,$L15,CK15)</f>
        <v>0</v>
      </c>
      <c r="CL16" s="50">
        <f t="shared" si="55"/>
        <v>0</v>
      </c>
      <c r="CM16" s="51">
        <f t="shared" ref="CM16:CM79" si="57">IF($J15=CM$14,$L15,CM15)</f>
        <v>0</v>
      </c>
      <c r="CN16" s="33">
        <f>ROUND(IF(BS16=0,0,HLOOKUP(BS$14,Villagers!$B$1:$V$33,BS16+3,FALSE)),)</f>
        <v>5</v>
      </c>
      <c r="CO16" s="14">
        <f>ROUND(IF(BT16=0,0,HLOOKUP(BT$14,Villagers!$B$1:$V$33,BT16+3,FALSE)),)</f>
        <v>0</v>
      </c>
      <c r="CP16" s="14">
        <f>ROUND(IF(BU16=0,0,HLOOKUP(BU$14,Villagers!$B$1:$V$33,BU16+3,FALSE)),)</f>
        <v>0</v>
      </c>
      <c r="CQ16" s="14">
        <f>ROUND(IF(BV16=0,0,HLOOKUP(BV$14,Villagers!$B$1:$V$33,BV16+3,FALSE)),)</f>
        <v>0</v>
      </c>
      <c r="CR16" s="14">
        <f>ROUND(IF(BW16=0,0,HLOOKUP(BW$14,Villagers!$B$1:$V$33,BW16+3,FALSE)),)</f>
        <v>0</v>
      </c>
      <c r="CS16" s="14">
        <f>ROUND(IF(BX16=0,0,HLOOKUP(BX$14,Villagers!$B$1:$V$33,BX16+3,FALSE)),)</f>
        <v>0</v>
      </c>
      <c r="CT16" s="14">
        <f>ROUND(IF(BY16=0,0,HLOOKUP(BY$14,Villagers!$B$1:$V$33,BY16+3,FALSE)),)</f>
        <v>0</v>
      </c>
      <c r="CU16" s="14">
        <f>ROUND(IF(BZ16=0,0,HLOOKUP(BZ$14,Villagers!$B$1:$V$33,BZ16+3,FALSE)),)</f>
        <v>0</v>
      </c>
      <c r="CV16" s="14">
        <f>ROUND(IF(CA16=0,0,HLOOKUP(CA$14,Villagers!$B$1:$V$33,CA16+3,FALSE)),)</f>
        <v>0</v>
      </c>
      <c r="CW16" s="14">
        <f>ROUND(IF(CB16=0,0,HLOOKUP(CB$14,Villagers!$B$1:$V$33,CB16+3,FALSE)),)</f>
        <v>0</v>
      </c>
      <c r="CX16" s="14">
        <f>ROUND(IF(CC16=0,0,HLOOKUP(CC$14,Villagers!$B$1:$V$33,CC16+3,FALSE)),)</f>
        <v>0</v>
      </c>
      <c r="CY16" s="14">
        <f>ROUND(IF(CD16=0,0,HLOOKUP(CD$14,Villagers!$B$1:$V$33,CD16+3,FALSE)),)</f>
        <v>0</v>
      </c>
      <c r="CZ16" s="14">
        <f>ROUND(IF(CE16=0,0,HLOOKUP(CE$14,Villagers!$B$1:$V$33,CE16+3,FALSE)),)</f>
        <v>5</v>
      </c>
      <c r="DA16" s="14">
        <f>ROUND(IF(CF16=0,0,HLOOKUP(CF$14,Villagers!$B$1:$V$33,CF16+3,FALSE)),)</f>
        <v>0</v>
      </c>
      <c r="DB16" s="14">
        <f>ROUND(IF(CG16=0,0,HLOOKUP(CG$14,Villagers!$B$1:$V$33,CG16+3,FALSE)),)</f>
        <v>0</v>
      </c>
      <c r="DC16" s="14">
        <f>ROUND(IF(CH16=0,0,HLOOKUP(CH$14,Villagers!$B$1:$V$33,CH16+3,FALSE)),)</f>
        <v>0</v>
      </c>
      <c r="DD16" s="14">
        <f>ROUND(IF(CI16=0,0,HLOOKUP(CI$14,Villagers!$B$1:$V$33,CI16+3,FALSE)),)</f>
        <v>0</v>
      </c>
      <c r="DE16" s="14">
        <f>ROUND(IF(CJ16=0,0,HLOOKUP(CJ$14,Villagers!$B$1:$V$33,CJ16+3,FALSE)),)</f>
        <v>2</v>
      </c>
      <c r="DF16" s="370">
        <f>ROUND(IF(CK16=0,0,HLOOKUP(CK$14,Villagers!$B$1:$V$33,CK16+3,FALSE)),)</f>
        <v>0</v>
      </c>
      <c r="DG16" s="370">
        <f>ROUND(IF(CL16=0,0,HLOOKUP(CL$14,Villagers!$B$1:$V$33,CL16+3,FALSE)),)</f>
        <v>0</v>
      </c>
      <c r="DH16" s="34">
        <f>ROUND(IF(CM16=0,0,HLOOKUP(CM$14,Villagers!$B$1:$V$33,CM16+3,FALSE)),)</f>
        <v>0</v>
      </c>
      <c r="DI16" s="109">
        <f t="shared" ref="DI16:DP16" si="58">ROUND(_xlfn.IFNA(DI15+AT16,DI15),0)</f>
        <v>0</v>
      </c>
      <c r="DJ16" s="50">
        <f t="shared" si="58"/>
        <v>0</v>
      </c>
      <c r="DK16" s="50">
        <f t="shared" si="58"/>
        <v>0</v>
      </c>
      <c r="DL16" s="50">
        <f t="shared" si="58"/>
        <v>0</v>
      </c>
      <c r="DM16" s="50">
        <f t="shared" si="58"/>
        <v>0</v>
      </c>
      <c r="DN16" s="50">
        <f t="shared" si="58"/>
        <v>0</v>
      </c>
      <c r="DO16" s="50">
        <f t="shared" si="58"/>
        <v>0</v>
      </c>
      <c r="DP16" s="50">
        <f t="shared" si="58"/>
        <v>0</v>
      </c>
      <c r="DQ16" s="50">
        <f t="shared" ref="DQ16:DQ79" si="59">ROUND(_xlfn.IFNA(DQ15+BB16,DQ15),0)</f>
        <v>0</v>
      </c>
      <c r="DR16" s="50">
        <f t="shared" ref="DR16:DR79" si="60">ROUND(_xlfn.IFNA(DR15+BC16,DR15),0)</f>
        <v>0</v>
      </c>
      <c r="DS16" s="96">
        <f>Miscelaneous!$D$4*Miscelaneous!$D$2^($CI16-1)</f>
        <v>1000</v>
      </c>
      <c r="DT16" s="333">
        <f t="shared" ref="DT16:DT78" si="61">IF(I16&lt;3,1,1.125^(I16-3))</f>
        <v>1</v>
      </c>
      <c r="DU16" s="81">
        <v>1</v>
      </c>
      <c r="DV16" s="79">
        <f t="shared" ref="DV16:DV79" si="62">IF(BS16&gt;2,1,0)</f>
        <v>0</v>
      </c>
      <c r="DW16" s="79">
        <f t="shared" si="23"/>
        <v>0</v>
      </c>
      <c r="DX16" s="79">
        <f t="shared" ref="DX16:DX79" si="63">IF(AND(BS16&gt;9,CA16&gt;9)=TRUE,1,0)</f>
        <v>0</v>
      </c>
      <c r="DY16" s="79">
        <v>1</v>
      </c>
      <c r="DZ16" s="79">
        <f t="shared" si="24"/>
        <v>0</v>
      </c>
      <c r="EA16" s="79">
        <f t="shared" ref="EA16:EA79" si="64">IF(AND(BS16&gt;4,CH16&gt;4),1,0)</f>
        <v>0</v>
      </c>
      <c r="EB16" s="79">
        <f t="shared" ref="EB16:EB79" si="65">IF(AND(BS16&gt;19,CA16&gt;19,CD16&gt;9)=TRUE,1,0)</f>
        <v>0</v>
      </c>
      <c r="EC16" s="79">
        <f t="shared" ref="EC16:EC79" si="66">IF(AND(BS16&gt;4,BT16&gt;0)=TRUE,1,0)</f>
        <v>0</v>
      </c>
      <c r="ED16" s="79">
        <v>1</v>
      </c>
      <c r="EE16" s="79">
        <v>1</v>
      </c>
      <c r="EF16" s="79">
        <f t="shared" ref="EF16:EF79" si="67">IF(AND(BS16&gt;2,CI16&gt;1),1,0)</f>
        <v>0</v>
      </c>
      <c r="EG16" s="79">
        <v>1</v>
      </c>
      <c r="EH16" s="79">
        <v>1</v>
      </c>
      <c r="EI16" s="79">
        <v>1</v>
      </c>
      <c r="EJ16" s="79">
        <v>1</v>
      </c>
      <c r="EK16" s="79">
        <v>1</v>
      </c>
      <c r="EL16" s="79">
        <v>1</v>
      </c>
      <c r="EM16" s="143">
        <f t="shared" ref="EM16:EM79" si="68">IF(CL16&gt;0,1,0)</f>
        <v>0</v>
      </c>
      <c r="EN16" s="143">
        <f t="shared" ref="EN16:EN79" si="69">IF(BZ16&gt;0,1,0)</f>
        <v>0</v>
      </c>
      <c r="EO16" s="82">
        <f t="shared" ref="EO16:EO79" si="70">IF(BT16&gt;0,1,0)</f>
        <v>0</v>
      </c>
    </row>
    <row r="17" spans="1:145" x14ac:dyDescent="0.25">
      <c r="A17">
        <v>3</v>
      </c>
      <c r="B17" s="172">
        <f t="shared" si="25"/>
        <v>0</v>
      </c>
      <c r="C17" s="121" t="e">
        <f t="shared" si="0"/>
        <v>#N/A</v>
      </c>
      <c r="D17" s="122" t="e">
        <f t="shared" si="1"/>
        <v>#N/A</v>
      </c>
      <c r="E17" s="122" t="e">
        <f t="shared" si="2"/>
        <v>#N/A</v>
      </c>
      <c r="F17" s="176" t="e">
        <f t="shared" si="3"/>
        <v>#N/A</v>
      </c>
      <c r="G17" s="121">
        <f t="shared" si="26"/>
        <v>208</v>
      </c>
      <c r="H17" s="176" t="e">
        <f t="shared" si="27"/>
        <v>#N/A</v>
      </c>
      <c r="I17" s="48">
        <v>1</v>
      </c>
      <c r="J17" s="39" t="s">
        <v>11</v>
      </c>
      <c r="K17" s="350">
        <v>1</v>
      </c>
      <c r="L17" s="34">
        <f t="shared" si="4"/>
        <v>1</v>
      </c>
      <c r="M17" s="38">
        <f>(HLOOKUP(J17,'Construction Times'!$B$3:$W$34,L17+2,FALSE)*HLOOKUP("hq modifier",'Construction Times'!$W$3:$W$34,BS17+2,FALSE))*(1-$H$9)</f>
        <v>9.7485022248482725E-5</v>
      </c>
      <c r="N17" s="443">
        <f t="shared" si="28"/>
        <v>43971.688356919491</v>
      </c>
      <c r="O17" s="444"/>
      <c r="P17" s="447">
        <f t="shared" si="29"/>
        <v>43971.688356919491</v>
      </c>
      <c r="Q17" s="448"/>
      <c r="R17" s="103">
        <f t="shared" ref="R17:S80" si="71">R16</f>
        <v>0</v>
      </c>
      <c r="S17" s="104">
        <f t="shared" si="71"/>
        <v>0</v>
      </c>
      <c r="T17" s="104">
        <f t="shared" ref="T17:W80" si="72">T16</f>
        <v>0</v>
      </c>
      <c r="U17" s="104">
        <f t="shared" si="31"/>
        <v>0</v>
      </c>
      <c r="V17" s="104">
        <f t="shared" si="31"/>
        <v>9.9999999999999995E-8</v>
      </c>
      <c r="W17" s="104">
        <f t="shared" si="31"/>
        <v>0</v>
      </c>
      <c r="X17" s="104">
        <f t="shared" si="31"/>
        <v>0</v>
      </c>
      <c r="Y17" s="104">
        <f t="shared" si="31"/>
        <v>9.9999999999999995E-8</v>
      </c>
      <c r="Z17" s="104">
        <f t="shared" si="31"/>
        <v>9.9999999999999995E-8</v>
      </c>
      <c r="AA17" s="105">
        <f t="shared" si="31"/>
        <v>9.9999999999999995E-8</v>
      </c>
      <c r="AB17" s="101">
        <f>$DT17*HLOOKUP($J17,'Construction Costs (timber)'!$B$1:$V$32,'Construction Planner'!$L17+2,FALSE)</f>
        <v>75</v>
      </c>
      <c r="AC17" s="14">
        <f>$DT17*HLOOKUP($J17,'Construction Costs (clay)'!$B$1:$V$32,'Construction Planner'!$L17+2,FALSE)</f>
        <v>65</v>
      </c>
      <c r="AD17" s="14">
        <f>$DT17*HLOOKUP($J17,'Construction Costs (iron)'!$B$1:$V$32,'Construction Planner'!$L17+2,FALSE)</f>
        <v>70</v>
      </c>
      <c r="AE17" s="34">
        <f>SUM(AB17:AD17)</f>
        <v>210</v>
      </c>
      <c r="AF17" s="33">
        <f t="shared" si="5"/>
        <v>32056.206460461039</v>
      </c>
      <c r="AG17" s="14">
        <f t="shared" si="6"/>
        <v>27782.045599066234</v>
      </c>
      <c r="AH17" s="14">
        <f t="shared" si="7"/>
        <v>29919.126029763636</v>
      </c>
      <c r="AI17" s="34">
        <f>SUM(AF17:AH17)</f>
        <v>89757.378089290913</v>
      </c>
      <c r="AJ17" s="49">
        <f t="shared" si="32"/>
        <v>385.06823951844126</v>
      </c>
      <c r="AK17" s="49">
        <f t="shared" si="33"/>
        <v>390.01949700526893</v>
      </c>
      <c r="AL17" s="49">
        <f t="shared" si="34"/>
        <v>420.01949700526893</v>
      </c>
      <c r="AM17" s="25">
        <f t="shared" si="8"/>
        <v>30</v>
      </c>
      <c r="AN17" s="25">
        <f t="shared" si="9"/>
        <v>30</v>
      </c>
      <c r="AO17" s="25">
        <f t="shared" si="10"/>
        <v>5</v>
      </c>
      <c r="AP17" s="52">
        <f t="shared" si="35"/>
        <v>0</v>
      </c>
      <c r="AQ17" s="53">
        <f t="shared" si="11"/>
        <v>0</v>
      </c>
      <c r="AR17" s="54">
        <f t="shared" si="11"/>
        <v>0</v>
      </c>
      <c r="AS17" s="316">
        <f>AS16</f>
        <v>0</v>
      </c>
      <c r="AT17" s="106">
        <f>_xlfn.IFNA($M17/VLOOKUP($BT17,'Unit information'!$A$2:$K$29,2,FALSE)*R17,0)*(1+$E$9)</f>
        <v>0</v>
      </c>
      <c r="AU17" s="107">
        <f>_xlfn.IFNA($M17/VLOOKUP($BT17,'Unit information'!$A$2:$K$29,3,FALSE)*S17,0)*(1+$E$9)</f>
        <v>0</v>
      </c>
      <c r="AV17" s="107">
        <f>_xlfn.IFNA($M17/VLOOKUP($BT17,'Unit information'!$A$2:$K$29,4,FALSE)*T17,0)*(1+$E$9)</f>
        <v>0</v>
      </c>
      <c r="AW17" s="107">
        <f>_xlfn.IFNA($M17/VLOOKUP($BT17,'Unit information'!$A$2:$K$29,5,FALSE)*U17,0)*(1+$E$9)</f>
        <v>0</v>
      </c>
      <c r="AX17" s="107">
        <f>_xlfn.IFNA($M17/VLOOKUP($BU17,'Unit information'!$A$2:$K$29,6,FALSE)*V17,0)*(1+$E$9)</f>
        <v>0</v>
      </c>
      <c r="AY17" s="107">
        <f>_xlfn.IFNA($M17/VLOOKUP($BU17,'Unit information'!$A$2:$K$29,7,FALSE)*W17,0)*(1+$E$9)</f>
        <v>0</v>
      </c>
      <c r="AZ17" s="107">
        <f>_xlfn.IFNA($M17/VLOOKUP($BU17,'Unit information'!$A$2:$K$29,8,FALSE)*X17,0)*(1+$E$9)</f>
        <v>0</v>
      </c>
      <c r="BA17" s="107">
        <f>_xlfn.IFNA($M17/VLOOKUP($BU17,'Unit information'!$A$2:$K$29,9,FALSE)*Y17,0)*(1+$E$9)</f>
        <v>0</v>
      </c>
      <c r="BB17" s="107">
        <f>_xlfn.IFNA($M17/VLOOKUP($BV17,'Unit information'!$A$2:$K$29,10,FALSE)*Z17,0)*(1+$E$9)</f>
        <v>0</v>
      </c>
      <c r="BC17" s="108">
        <f>_xlfn.IFNA($M17/VLOOKUP($BV17,'Unit information'!$A$2:$K$29,11,FALSE)*AA17,0)*(1+$E$9)</f>
        <v>0</v>
      </c>
      <c r="BD17" s="106">
        <f t="shared" si="12"/>
        <v>0</v>
      </c>
      <c r="BE17" s="107">
        <f t="shared" si="13"/>
        <v>0</v>
      </c>
      <c r="BF17" s="108">
        <f t="shared" si="14"/>
        <v>0</v>
      </c>
      <c r="BG17" s="25">
        <f t="shared" si="15"/>
        <v>30</v>
      </c>
      <c r="BH17" s="25">
        <f t="shared" si="16"/>
        <v>30</v>
      </c>
      <c r="BI17" s="25">
        <f t="shared" si="17"/>
        <v>5</v>
      </c>
      <c r="BJ17" s="27">
        <f t="shared" si="18"/>
        <v>0</v>
      </c>
      <c r="BK17" s="18">
        <f t="shared" si="19"/>
        <v>0</v>
      </c>
      <c r="BL17" s="18">
        <f t="shared" si="20"/>
        <v>0</v>
      </c>
      <c r="BM17" s="28">
        <f>MAX(BJ17:BL17)</f>
        <v>0</v>
      </c>
      <c r="BN17" s="33">
        <f>HLOOKUP("maximum population",Miscelaneous!$C$1:$C$33,CH17+3,FALSE)</f>
        <v>240</v>
      </c>
      <c r="BO17" s="14">
        <f t="shared" si="36"/>
        <v>32</v>
      </c>
      <c r="BP17" s="14">
        <f t="shared" si="37"/>
        <v>0</v>
      </c>
      <c r="BQ17" s="14">
        <f t="shared" si="38"/>
        <v>208</v>
      </c>
      <c r="BR17" s="34">
        <f>HLOOKUP(J17,Villagers!$B$1:$V$33,L17+3,FALSE)-HLOOKUP(J17,Villagers!$B$1:$V$33,L17+2,FALSE)</f>
        <v>10</v>
      </c>
      <c r="BS17" s="49">
        <f t="shared" si="39"/>
        <v>1</v>
      </c>
      <c r="BT17" s="50">
        <f t="shared" si="40"/>
        <v>0</v>
      </c>
      <c r="BU17" s="50">
        <f t="shared" si="41"/>
        <v>0</v>
      </c>
      <c r="BV17" s="50">
        <f t="shared" si="42"/>
        <v>0</v>
      </c>
      <c r="BW17" s="50">
        <f t="shared" si="43"/>
        <v>0</v>
      </c>
      <c r="BX17" s="50">
        <f t="shared" si="44"/>
        <v>0</v>
      </c>
      <c r="BY17" s="50">
        <f t="shared" si="44"/>
        <v>0</v>
      </c>
      <c r="BZ17" s="50">
        <f t="shared" si="45"/>
        <v>0</v>
      </c>
      <c r="CA17" s="50">
        <f t="shared" si="46"/>
        <v>0</v>
      </c>
      <c r="CB17" s="50">
        <f t="shared" si="47"/>
        <v>1</v>
      </c>
      <c r="CC17" s="50">
        <f t="shared" si="48"/>
        <v>0</v>
      </c>
      <c r="CD17" s="50">
        <f t="shared" si="49"/>
        <v>0</v>
      </c>
      <c r="CE17" s="50">
        <f t="shared" si="50"/>
        <v>1</v>
      </c>
      <c r="CF17" s="50">
        <f t="shared" si="51"/>
        <v>1</v>
      </c>
      <c r="CG17" s="50">
        <f t="shared" si="52"/>
        <v>0</v>
      </c>
      <c r="CH17" s="50">
        <f t="shared" si="53"/>
        <v>1</v>
      </c>
      <c r="CI17" s="50">
        <f t="shared" si="54"/>
        <v>1</v>
      </c>
      <c r="CJ17" s="50">
        <f t="shared" si="55"/>
        <v>1</v>
      </c>
      <c r="CK17" s="50">
        <f t="shared" si="56"/>
        <v>0</v>
      </c>
      <c r="CL17" s="50">
        <f t="shared" si="55"/>
        <v>0</v>
      </c>
      <c r="CM17" s="51">
        <f t="shared" si="57"/>
        <v>0</v>
      </c>
      <c r="CN17" s="33">
        <f>ROUND(IF(BS17=0,0,HLOOKUP(BS$14,Villagers!$B$1:$V$33,BS17+3,FALSE)),)</f>
        <v>5</v>
      </c>
      <c r="CO17" s="14">
        <f>ROUND(IF(BT17=0,0,HLOOKUP(BT$14,Villagers!$B$1:$V$33,BT17+3,FALSE)),)</f>
        <v>0</v>
      </c>
      <c r="CP17" s="14">
        <f>ROUND(IF(BU17=0,0,HLOOKUP(BU$14,Villagers!$B$1:$V$33,BU17+3,FALSE)),)</f>
        <v>0</v>
      </c>
      <c r="CQ17" s="14">
        <f>ROUND(IF(BV17=0,0,HLOOKUP(BV$14,Villagers!$B$1:$V$33,BV17+3,FALSE)),)</f>
        <v>0</v>
      </c>
      <c r="CR17" s="14">
        <f>ROUND(IF(BW17=0,0,HLOOKUP(BW$14,Villagers!$B$1:$V$33,BW17+3,FALSE)),)</f>
        <v>0</v>
      </c>
      <c r="CS17" s="14">
        <f>ROUND(IF(BX17=0,0,HLOOKUP(BX$14,Villagers!$B$1:$V$33,BX17+3,FALSE)),)</f>
        <v>0</v>
      </c>
      <c r="CT17" s="14">
        <f>ROUND(IF(BY17=0,0,HLOOKUP(BY$14,Villagers!$B$1:$V$33,BY17+3,FALSE)),)</f>
        <v>0</v>
      </c>
      <c r="CU17" s="14">
        <f>ROUND(IF(BZ17=0,0,HLOOKUP(BZ$14,Villagers!$B$1:$V$33,BZ17+3,FALSE)),)</f>
        <v>0</v>
      </c>
      <c r="CV17" s="14">
        <f>ROUND(IF(CA17=0,0,HLOOKUP(CA$14,Villagers!$B$1:$V$33,CA17+3,FALSE)),)</f>
        <v>0</v>
      </c>
      <c r="CW17" s="14">
        <f>ROUND(IF(CB17=0,0,HLOOKUP(CB$14,Villagers!$B$1:$V$33,CB17+3,FALSE)),)</f>
        <v>0</v>
      </c>
      <c r="CX17" s="14">
        <f>ROUND(IF(CC17=0,0,HLOOKUP(CC$14,Villagers!$B$1:$V$33,CC17+3,FALSE)),)</f>
        <v>0</v>
      </c>
      <c r="CY17" s="14">
        <f>ROUND(IF(CD17=0,0,HLOOKUP(CD$14,Villagers!$B$1:$V$33,CD17+3,FALSE)),)</f>
        <v>0</v>
      </c>
      <c r="CZ17" s="14">
        <f>ROUND(IF(CE17=0,0,HLOOKUP(CE$14,Villagers!$B$1:$V$33,CE17+3,FALSE)),)</f>
        <v>5</v>
      </c>
      <c r="DA17" s="14">
        <f>ROUND(IF(CF17=0,0,HLOOKUP(CF$14,Villagers!$B$1:$V$33,CF17+3,FALSE)),)</f>
        <v>10</v>
      </c>
      <c r="DB17" s="14">
        <f>ROUND(IF(CG17=0,0,HLOOKUP(CG$14,Villagers!$B$1:$V$33,CG17+3,FALSE)),)</f>
        <v>0</v>
      </c>
      <c r="DC17" s="14">
        <f>ROUND(IF(CH17=0,0,HLOOKUP(CH$14,Villagers!$B$1:$V$33,CH17+3,FALSE)),)</f>
        <v>0</v>
      </c>
      <c r="DD17" s="14">
        <f>ROUND(IF(CI17=0,0,HLOOKUP(CI$14,Villagers!$B$1:$V$33,CI17+3,FALSE)),)</f>
        <v>0</v>
      </c>
      <c r="DE17" s="14">
        <f>ROUND(IF(CJ17=0,0,HLOOKUP(CJ$14,Villagers!$B$1:$V$33,CJ17+3,FALSE)),)</f>
        <v>2</v>
      </c>
      <c r="DF17" s="370">
        <f>ROUND(IF(CK17=0,0,HLOOKUP(CK$14,Villagers!$B$1:$V$33,CK17+3,FALSE)),)</f>
        <v>0</v>
      </c>
      <c r="DG17" s="370">
        <f>ROUND(IF(CL17=0,0,HLOOKUP(CL$14,Villagers!$B$1:$V$33,CL17+3,FALSE)),)</f>
        <v>0</v>
      </c>
      <c r="DH17" s="34">
        <f>ROUND(IF(CM17=0,0,HLOOKUP(CM$14,Villagers!$B$1:$V$33,CM17+3,FALSE)),)</f>
        <v>0</v>
      </c>
      <c r="DI17" s="109">
        <f t="shared" ref="DI17:DI80" si="73">ROUND(_xlfn.IFNA(DI16+AT17,DI16),0)</f>
        <v>0</v>
      </c>
      <c r="DJ17" s="50">
        <f t="shared" ref="DJ17:DJ80" si="74">ROUND(_xlfn.IFNA(DJ16+AU17,DJ16),0)</f>
        <v>0</v>
      </c>
      <c r="DK17" s="50">
        <f t="shared" ref="DK17:DK80" si="75">ROUND(_xlfn.IFNA(DK16+AV17,DK16),0)</f>
        <v>0</v>
      </c>
      <c r="DL17" s="50">
        <f t="shared" ref="DL17:DL80" si="76">ROUND(_xlfn.IFNA(DL16+AW17,DL16),0)</f>
        <v>0</v>
      </c>
      <c r="DM17" s="50">
        <f t="shared" ref="DM17:DM80" si="77">ROUND(_xlfn.IFNA(DM16+AX17,DM16),0)</f>
        <v>0</v>
      </c>
      <c r="DN17" s="50">
        <f t="shared" ref="DN17:DN80" si="78">ROUND(_xlfn.IFNA(DN16+AY17,DN16),0)</f>
        <v>0</v>
      </c>
      <c r="DO17" s="50">
        <f t="shared" ref="DO17:DO80" si="79">ROUND(_xlfn.IFNA(DO16+AZ17,DO16),0)</f>
        <v>0</v>
      </c>
      <c r="DP17" s="50">
        <f t="shared" ref="DP17:DP80" si="80">ROUND(_xlfn.IFNA(DP16+BA17,DP16),0)</f>
        <v>0</v>
      </c>
      <c r="DQ17" s="50">
        <f t="shared" si="59"/>
        <v>0</v>
      </c>
      <c r="DR17" s="50">
        <f t="shared" si="60"/>
        <v>0</v>
      </c>
      <c r="DS17" s="96">
        <f>Miscelaneous!$D$4*Miscelaneous!$D$2^($CI17-1)</f>
        <v>1000</v>
      </c>
      <c r="DT17" s="333">
        <f t="shared" si="61"/>
        <v>1</v>
      </c>
      <c r="DU17" s="81">
        <v>1</v>
      </c>
      <c r="DV17" s="79">
        <f t="shared" si="62"/>
        <v>0</v>
      </c>
      <c r="DW17" s="79">
        <f t="shared" si="23"/>
        <v>0</v>
      </c>
      <c r="DX17" s="79">
        <f t="shared" si="63"/>
        <v>0</v>
      </c>
      <c r="DY17" s="79">
        <v>1</v>
      </c>
      <c r="DZ17" s="79">
        <f t="shared" si="24"/>
        <v>0</v>
      </c>
      <c r="EA17" s="79">
        <f t="shared" si="64"/>
        <v>0</v>
      </c>
      <c r="EB17" s="79">
        <f t="shared" si="65"/>
        <v>0</v>
      </c>
      <c r="EC17" s="79">
        <f t="shared" si="66"/>
        <v>0</v>
      </c>
      <c r="ED17" s="79">
        <v>1</v>
      </c>
      <c r="EE17" s="79">
        <v>1</v>
      </c>
      <c r="EF17" s="79">
        <f t="shared" si="67"/>
        <v>0</v>
      </c>
      <c r="EG17" s="79">
        <v>1</v>
      </c>
      <c r="EH17" s="79">
        <v>1</v>
      </c>
      <c r="EI17" s="79">
        <v>1</v>
      </c>
      <c r="EJ17" s="79">
        <v>1</v>
      </c>
      <c r="EK17" s="79">
        <v>1</v>
      </c>
      <c r="EL17" s="79">
        <v>1</v>
      </c>
      <c r="EM17" s="143">
        <f t="shared" si="68"/>
        <v>0</v>
      </c>
      <c r="EN17" s="143">
        <f t="shared" si="69"/>
        <v>0</v>
      </c>
      <c r="EO17" s="82">
        <f t="shared" si="70"/>
        <v>0</v>
      </c>
    </row>
    <row r="18" spans="1:145" x14ac:dyDescent="0.25">
      <c r="A18">
        <v>4</v>
      </c>
      <c r="B18" s="172" t="e">
        <f t="shared" si="25"/>
        <v>#N/A</v>
      </c>
      <c r="C18" s="121" t="e">
        <f t="shared" si="0"/>
        <v>#N/A</v>
      </c>
      <c r="D18" s="122" t="e">
        <f t="shared" si="1"/>
        <v>#N/A</v>
      </c>
      <c r="E18" s="122" t="e">
        <f t="shared" si="2"/>
        <v>#N/A</v>
      </c>
      <c r="F18" s="176" t="e">
        <f t="shared" si="3"/>
        <v>#N/A</v>
      </c>
      <c r="G18" s="121">
        <f t="shared" si="26"/>
        <v>208</v>
      </c>
      <c r="H18" s="176" t="e">
        <f t="shared" si="27"/>
        <v>#N/A</v>
      </c>
      <c r="I18" s="48">
        <v>1</v>
      </c>
      <c r="J18" s="39"/>
      <c r="K18" s="350">
        <v>1</v>
      </c>
      <c r="L18" s="34" t="e">
        <f t="shared" si="4"/>
        <v>#N/A</v>
      </c>
      <c r="M18" s="38" t="e">
        <f>(HLOOKUP(J18,'Construction Times'!$B$3:$W$34,L18+2,FALSE)*HLOOKUP("hq modifier",'Construction Times'!$W$3:$W$34,BS18+2,FALSE))*(1-$H$9)</f>
        <v>#N/A</v>
      </c>
      <c r="N18" s="443">
        <f t="shared" si="28"/>
        <v>43971.68845440451</v>
      </c>
      <c r="O18" s="444"/>
      <c r="P18" s="447" t="e">
        <f t="shared" si="29"/>
        <v>#N/A</v>
      </c>
      <c r="Q18" s="448"/>
      <c r="R18" s="103">
        <f t="shared" si="71"/>
        <v>0</v>
      </c>
      <c r="S18" s="104">
        <f t="shared" si="71"/>
        <v>0</v>
      </c>
      <c r="T18" s="104">
        <f t="shared" si="72"/>
        <v>0</v>
      </c>
      <c r="U18" s="104">
        <f t="shared" si="31"/>
        <v>0</v>
      </c>
      <c r="V18" s="104">
        <f t="shared" si="31"/>
        <v>9.9999999999999995E-8</v>
      </c>
      <c r="W18" s="104">
        <f t="shared" si="31"/>
        <v>0</v>
      </c>
      <c r="X18" s="104">
        <f t="shared" si="31"/>
        <v>0</v>
      </c>
      <c r="Y18" s="104">
        <f t="shared" si="31"/>
        <v>9.9999999999999995E-8</v>
      </c>
      <c r="Z18" s="104">
        <f t="shared" si="31"/>
        <v>9.9999999999999995E-8</v>
      </c>
      <c r="AA18" s="105">
        <f t="shared" si="31"/>
        <v>9.9999999999999995E-8</v>
      </c>
      <c r="AB18" s="101" t="e">
        <f>$DT18*HLOOKUP($J18,'Construction Costs (timber)'!$B$1:$V$32,'Construction Planner'!$L18+2,FALSE)</f>
        <v>#N/A</v>
      </c>
      <c r="AC18" s="14" t="e">
        <f>$DT18*HLOOKUP($J18,'Construction Costs (clay)'!$B$1:$V$32,'Construction Planner'!$L18+2,FALSE)</f>
        <v>#N/A</v>
      </c>
      <c r="AD18" s="14" t="e">
        <f>$DT18*HLOOKUP($J18,'Construction Costs (iron)'!$B$1:$V$32,'Construction Planner'!$L18+2,FALSE)</f>
        <v>#N/A</v>
      </c>
      <c r="AE18" s="34" t="e">
        <f>SUM(AB18:AD18)</f>
        <v>#N/A</v>
      </c>
      <c r="AF18" s="33" t="e">
        <f t="shared" si="5"/>
        <v>#N/A</v>
      </c>
      <c r="AG18" s="14" t="e">
        <f t="shared" si="6"/>
        <v>#N/A</v>
      </c>
      <c r="AH18" s="14" t="e">
        <f t="shared" si="7"/>
        <v>#N/A</v>
      </c>
      <c r="AI18" s="34" t="e">
        <f>SUM(AF18:AH18)</f>
        <v>#N/A</v>
      </c>
      <c r="AJ18" s="49">
        <f t="shared" si="32"/>
        <v>310.13842873217072</v>
      </c>
      <c r="AK18" s="49">
        <f t="shared" si="33"/>
        <v>325.08968621899839</v>
      </c>
      <c r="AL18" s="49">
        <f t="shared" si="34"/>
        <v>350.03119520755718</v>
      </c>
      <c r="AM18" s="25">
        <f t="shared" si="8"/>
        <v>30</v>
      </c>
      <c r="AN18" s="25">
        <f t="shared" si="9"/>
        <v>30</v>
      </c>
      <c r="AO18" s="25">
        <f t="shared" si="10"/>
        <v>30</v>
      </c>
      <c r="AP18" s="52">
        <f t="shared" si="35"/>
        <v>0</v>
      </c>
      <c r="AQ18" s="53">
        <f t="shared" si="11"/>
        <v>0</v>
      </c>
      <c r="AR18" s="54">
        <f t="shared" si="11"/>
        <v>0</v>
      </c>
      <c r="AS18" s="316">
        <f>AS17</f>
        <v>0</v>
      </c>
      <c r="AT18" s="106">
        <f>_xlfn.IFNA($M18/VLOOKUP($BT18,'Unit information'!$A$2:$K$29,2,FALSE)*R18,0)*(1+$E$9)</f>
        <v>0</v>
      </c>
      <c r="AU18" s="107">
        <f>_xlfn.IFNA($M18/VLOOKUP($BT18,'Unit information'!$A$2:$K$29,3,FALSE)*S18,0)*(1+$E$9)</f>
        <v>0</v>
      </c>
      <c r="AV18" s="107">
        <f>_xlfn.IFNA($M18/VLOOKUP($BT18,'Unit information'!$A$2:$K$29,4,FALSE)*T18,0)*(1+$E$9)</f>
        <v>0</v>
      </c>
      <c r="AW18" s="107">
        <f>_xlfn.IFNA($M18/VLOOKUP($BT18,'Unit information'!$A$2:$K$29,5,FALSE)*U18,0)*(1+$E$9)</f>
        <v>0</v>
      </c>
      <c r="AX18" s="107">
        <f>_xlfn.IFNA($M18/VLOOKUP($BU18,'Unit information'!$A$2:$K$29,6,FALSE)*V18,0)*(1+$E$9)</f>
        <v>0</v>
      </c>
      <c r="AY18" s="107">
        <f>_xlfn.IFNA($M18/VLOOKUP($BU18,'Unit information'!$A$2:$K$29,7,FALSE)*W18,0)*(1+$E$9)</f>
        <v>0</v>
      </c>
      <c r="AZ18" s="107">
        <f>_xlfn.IFNA($M18/VLOOKUP($BU18,'Unit information'!$A$2:$K$29,8,FALSE)*X18,0)*(1+$E$9)</f>
        <v>0</v>
      </c>
      <c r="BA18" s="107">
        <f>_xlfn.IFNA($M18/VLOOKUP($BU18,'Unit information'!$A$2:$K$29,9,FALSE)*Y18,0)*(1+$E$9)</f>
        <v>0</v>
      </c>
      <c r="BB18" s="107">
        <f>_xlfn.IFNA($M18/VLOOKUP($BV18,'Unit information'!$A$2:$K$29,10,FALSE)*Z18,0)*(1+$E$9)</f>
        <v>0</v>
      </c>
      <c r="BC18" s="108">
        <f>_xlfn.IFNA($M18/VLOOKUP($BV18,'Unit information'!$A$2:$K$29,11,FALSE)*AA18,0)*(1+$E$9)</f>
        <v>0</v>
      </c>
      <c r="BD18" s="106">
        <f t="shared" si="12"/>
        <v>0</v>
      </c>
      <c r="BE18" s="107">
        <f t="shared" si="13"/>
        <v>0</v>
      </c>
      <c r="BF18" s="108">
        <f t="shared" si="14"/>
        <v>0</v>
      </c>
      <c r="BG18" s="25">
        <f t="shared" si="15"/>
        <v>30</v>
      </c>
      <c r="BH18" s="25">
        <f t="shared" si="16"/>
        <v>30</v>
      </c>
      <c r="BI18" s="25">
        <f t="shared" si="17"/>
        <v>30</v>
      </c>
      <c r="BJ18" s="27" t="e">
        <f t="shared" si="18"/>
        <v>#N/A</v>
      </c>
      <c r="BK18" s="18" t="e">
        <f t="shared" si="19"/>
        <v>#N/A</v>
      </c>
      <c r="BL18" s="18" t="e">
        <f t="shared" si="20"/>
        <v>#N/A</v>
      </c>
      <c r="BM18" s="28" t="e">
        <f>MAX(BJ18:BL18)</f>
        <v>#N/A</v>
      </c>
      <c r="BN18" s="33">
        <f>HLOOKUP("maximum population",Miscelaneous!$C$1:$C$33,CH18+3,FALSE)</f>
        <v>240</v>
      </c>
      <c r="BO18" s="14">
        <f t="shared" si="36"/>
        <v>32</v>
      </c>
      <c r="BP18" s="14">
        <f t="shared" si="37"/>
        <v>0</v>
      </c>
      <c r="BQ18" s="14">
        <f t="shared" si="38"/>
        <v>208</v>
      </c>
      <c r="BR18" s="34" t="e">
        <f>HLOOKUP(J18,Villagers!$B$1:$V$33,L18+3,FALSE)-HLOOKUP(J18,Villagers!$B$1:$V$33,L18+2,FALSE)</f>
        <v>#N/A</v>
      </c>
      <c r="BS18" s="49">
        <f t="shared" si="39"/>
        <v>1</v>
      </c>
      <c r="BT18" s="50">
        <f t="shared" si="40"/>
        <v>0</v>
      </c>
      <c r="BU18" s="50">
        <f t="shared" si="41"/>
        <v>0</v>
      </c>
      <c r="BV18" s="50">
        <f t="shared" si="42"/>
        <v>0</v>
      </c>
      <c r="BW18" s="50">
        <f t="shared" si="43"/>
        <v>0</v>
      </c>
      <c r="BX18" s="50">
        <f t="shared" si="44"/>
        <v>0</v>
      </c>
      <c r="BY18" s="50">
        <f t="shared" si="44"/>
        <v>0</v>
      </c>
      <c r="BZ18" s="50">
        <f t="shared" si="45"/>
        <v>0</v>
      </c>
      <c r="CA18" s="50">
        <f t="shared" si="46"/>
        <v>0</v>
      </c>
      <c r="CB18" s="50">
        <f t="shared" si="47"/>
        <v>1</v>
      </c>
      <c r="CC18" s="50">
        <f t="shared" si="48"/>
        <v>0</v>
      </c>
      <c r="CD18" s="50">
        <f t="shared" si="49"/>
        <v>0</v>
      </c>
      <c r="CE18" s="50">
        <f t="shared" si="50"/>
        <v>1</v>
      </c>
      <c r="CF18" s="50">
        <f t="shared" si="51"/>
        <v>1</v>
      </c>
      <c r="CG18" s="50">
        <f t="shared" si="52"/>
        <v>1</v>
      </c>
      <c r="CH18" s="50">
        <f t="shared" si="53"/>
        <v>1</v>
      </c>
      <c r="CI18" s="50">
        <f t="shared" si="54"/>
        <v>1</v>
      </c>
      <c r="CJ18" s="50">
        <f t="shared" si="55"/>
        <v>1</v>
      </c>
      <c r="CK18" s="50">
        <f t="shared" si="56"/>
        <v>0</v>
      </c>
      <c r="CL18" s="50">
        <f t="shared" si="55"/>
        <v>0</v>
      </c>
      <c r="CM18" s="51">
        <f t="shared" si="57"/>
        <v>0</v>
      </c>
      <c r="CN18" s="33">
        <f>ROUND(IF(BS18=0,0,HLOOKUP(BS$14,Villagers!$B$1:$V$33,BS18+3,FALSE)),)</f>
        <v>5</v>
      </c>
      <c r="CO18" s="14">
        <f>ROUND(IF(BT18=0,0,HLOOKUP(BT$14,Villagers!$B$1:$V$33,BT18+3,FALSE)),)</f>
        <v>0</v>
      </c>
      <c r="CP18" s="14">
        <f>ROUND(IF(BU18=0,0,HLOOKUP(BU$14,Villagers!$B$1:$V$33,BU18+3,FALSE)),)</f>
        <v>0</v>
      </c>
      <c r="CQ18" s="14">
        <f>ROUND(IF(BV18=0,0,HLOOKUP(BV$14,Villagers!$B$1:$V$33,BV18+3,FALSE)),)</f>
        <v>0</v>
      </c>
      <c r="CR18" s="14">
        <f>ROUND(IF(BW18=0,0,HLOOKUP(BW$14,Villagers!$B$1:$V$33,BW18+3,FALSE)),)</f>
        <v>0</v>
      </c>
      <c r="CS18" s="14">
        <f>ROUND(IF(BX18=0,0,HLOOKUP(BX$14,Villagers!$B$1:$V$33,BX18+3,FALSE)),)</f>
        <v>0</v>
      </c>
      <c r="CT18" s="14">
        <f>ROUND(IF(BY18=0,0,HLOOKUP(BY$14,Villagers!$B$1:$V$33,BY18+3,FALSE)),)</f>
        <v>0</v>
      </c>
      <c r="CU18" s="14">
        <f>ROUND(IF(BZ18=0,0,HLOOKUP(BZ$14,Villagers!$B$1:$V$33,BZ18+3,FALSE)),)</f>
        <v>0</v>
      </c>
      <c r="CV18" s="14">
        <f>ROUND(IF(CA18=0,0,HLOOKUP(CA$14,Villagers!$B$1:$V$33,CA18+3,FALSE)),)</f>
        <v>0</v>
      </c>
      <c r="CW18" s="14">
        <f>ROUND(IF(CB18=0,0,HLOOKUP(CB$14,Villagers!$B$1:$V$33,CB18+3,FALSE)),)</f>
        <v>0</v>
      </c>
      <c r="CX18" s="14">
        <f>ROUND(IF(CC18=0,0,HLOOKUP(CC$14,Villagers!$B$1:$V$33,CC18+3,FALSE)),)</f>
        <v>0</v>
      </c>
      <c r="CY18" s="14">
        <f>ROUND(IF(CD18=0,0,HLOOKUP(CD$14,Villagers!$B$1:$V$33,CD18+3,FALSE)),)</f>
        <v>0</v>
      </c>
      <c r="CZ18" s="14">
        <f>ROUND(IF(CE18=0,0,HLOOKUP(CE$14,Villagers!$B$1:$V$33,CE18+3,FALSE)),)</f>
        <v>5</v>
      </c>
      <c r="DA18" s="14">
        <f>ROUND(IF(CF18=0,0,HLOOKUP(CF$14,Villagers!$B$1:$V$33,CF18+3,FALSE)),)</f>
        <v>10</v>
      </c>
      <c r="DB18" s="14">
        <f>ROUND(IF(CG18=0,0,HLOOKUP(CG$14,Villagers!$B$1:$V$33,CG18+3,FALSE)),)</f>
        <v>10</v>
      </c>
      <c r="DC18" s="14">
        <f>ROUND(IF(CH18=0,0,HLOOKUP(CH$14,Villagers!$B$1:$V$33,CH18+3,FALSE)),)</f>
        <v>0</v>
      </c>
      <c r="DD18" s="14">
        <f>ROUND(IF(CI18=0,0,HLOOKUP(CI$14,Villagers!$B$1:$V$33,CI18+3,FALSE)),)</f>
        <v>0</v>
      </c>
      <c r="DE18" s="14">
        <f>ROUND(IF(CJ18=0,0,HLOOKUP(CJ$14,Villagers!$B$1:$V$33,CJ18+3,FALSE)),)</f>
        <v>2</v>
      </c>
      <c r="DF18" s="370">
        <f>ROUND(IF(CK18=0,0,HLOOKUP(CK$14,Villagers!$B$1:$V$33,CK18+3,FALSE)),)</f>
        <v>0</v>
      </c>
      <c r="DG18" s="370">
        <f>ROUND(IF(CL18=0,0,HLOOKUP(CL$14,Villagers!$B$1:$V$33,CL18+3,FALSE)),)</f>
        <v>0</v>
      </c>
      <c r="DH18" s="34">
        <f>ROUND(IF(CM18=0,0,HLOOKUP(CM$14,Villagers!$B$1:$V$33,CM18+3,FALSE)),)</f>
        <v>0</v>
      </c>
      <c r="DI18" s="109">
        <f t="shared" si="73"/>
        <v>0</v>
      </c>
      <c r="DJ18" s="50">
        <f t="shared" si="74"/>
        <v>0</v>
      </c>
      <c r="DK18" s="50">
        <f t="shared" si="75"/>
        <v>0</v>
      </c>
      <c r="DL18" s="50">
        <f t="shared" si="76"/>
        <v>0</v>
      </c>
      <c r="DM18" s="50">
        <f t="shared" si="77"/>
        <v>0</v>
      </c>
      <c r="DN18" s="50">
        <f t="shared" si="78"/>
        <v>0</v>
      </c>
      <c r="DO18" s="50">
        <f t="shared" si="79"/>
        <v>0</v>
      </c>
      <c r="DP18" s="50">
        <f t="shared" si="80"/>
        <v>0</v>
      </c>
      <c r="DQ18" s="50">
        <f t="shared" si="59"/>
        <v>0</v>
      </c>
      <c r="DR18" s="50">
        <f t="shared" si="60"/>
        <v>0</v>
      </c>
      <c r="DS18" s="96">
        <f>Miscelaneous!$D$4*Miscelaneous!$D$2^($CI18-1)</f>
        <v>1000</v>
      </c>
      <c r="DT18" s="333">
        <f t="shared" si="61"/>
        <v>1</v>
      </c>
      <c r="DU18" s="81">
        <v>1</v>
      </c>
      <c r="DV18" s="79">
        <f t="shared" si="62"/>
        <v>0</v>
      </c>
      <c r="DW18" s="79">
        <f t="shared" si="23"/>
        <v>0</v>
      </c>
      <c r="DX18" s="79">
        <f t="shared" si="63"/>
        <v>0</v>
      </c>
      <c r="DY18" s="79">
        <v>1</v>
      </c>
      <c r="DZ18" s="79">
        <f t="shared" si="24"/>
        <v>0</v>
      </c>
      <c r="EA18" s="79">
        <f t="shared" si="64"/>
        <v>0</v>
      </c>
      <c r="EB18" s="79">
        <f t="shared" si="65"/>
        <v>0</v>
      </c>
      <c r="EC18" s="79">
        <f t="shared" si="66"/>
        <v>0</v>
      </c>
      <c r="ED18" s="79">
        <v>1</v>
      </c>
      <c r="EE18" s="79">
        <v>1</v>
      </c>
      <c r="EF18" s="79">
        <f t="shared" si="67"/>
        <v>0</v>
      </c>
      <c r="EG18" s="79">
        <v>1</v>
      </c>
      <c r="EH18" s="79">
        <v>1</v>
      </c>
      <c r="EI18" s="79">
        <v>1</v>
      </c>
      <c r="EJ18" s="79">
        <v>1</v>
      </c>
      <c r="EK18" s="79">
        <v>1</v>
      </c>
      <c r="EL18" s="79">
        <v>1</v>
      </c>
      <c r="EM18" s="143">
        <f t="shared" si="68"/>
        <v>0</v>
      </c>
      <c r="EN18" s="143">
        <f t="shared" si="69"/>
        <v>0</v>
      </c>
      <c r="EO18" s="82">
        <f t="shared" si="70"/>
        <v>0</v>
      </c>
    </row>
    <row r="19" spans="1:145" x14ac:dyDescent="0.25">
      <c r="A19">
        <v>5</v>
      </c>
      <c r="B19" s="172" t="e">
        <f t="shared" si="25"/>
        <v>#N/A</v>
      </c>
      <c r="C19" s="121" t="e">
        <f t="shared" si="0"/>
        <v>#N/A</v>
      </c>
      <c r="D19" s="122" t="e">
        <f t="shared" si="1"/>
        <v>#N/A</v>
      </c>
      <c r="E19" s="122" t="e">
        <f t="shared" si="2"/>
        <v>#N/A</v>
      </c>
      <c r="F19" s="176" t="e">
        <f t="shared" si="3"/>
        <v>#N/A</v>
      </c>
      <c r="G19" s="121">
        <f t="shared" si="26"/>
        <v>208</v>
      </c>
      <c r="H19" s="176" t="e">
        <f t="shared" si="27"/>
        <v>#N/A</v>
      </c>
      <c r="I19" s="48">
        <v>1</v>
      </c>
      <c r="J19" s="39"/>
      <c r="K19" s="350">
        <v>1</v>
      </c>
      <c r="L19" s="34" t="e">
        <f t="shared" si="4"/>
        <v>#N/A</v>
      </c>
      <c r="M19" s="38" t="e">
        <f>(HLOOKUP(J19,'Construction Times'!$B$3:$W$34,L19+2,FALSE)*HLOOKUP("hq modifier",'Construction Times'!$W$3:$W$34,BS19+2,FALSE))*(1-$H$9)</f>
        <v>#N/A</v>
      </c>
      <c r="N19" s="443" t="e">
        <f t="shared" si="28"/>
        <v>#N/A</v>
      </c>
      <c r="O19" s="444"/>
      <c r="P19" s="447" t="e">
        <f t="shared" si="29"/>
        <v>#N/A</v>
      </c>
      <c r="Q19" s="448"/>
      <c r="R19" s="103">
        <f t="shared" si="71"/>
        <v>0</v>
      </c>
      <c r="S19" s="104">
        <f t="shared" si="71"/>
        <v>0</v>
      </c>
      <c r="T19" s="104">
        <f t="shared" si="72"/>
        <v>0</v>
      </c>
      <c r="U19" s="104">
        <f t="shared" si="31"/>
        <v>0</v>
      </c>
      <c r="V19" s="104">
        <f t="shared" si="31"/>
        <v>9.9999999999999995E-8</v>
      </c>
      <c r="W19" s="104">
        <f t="shared" si="31"/>
        <v>0</v>
      </c>
      <c r="X19" s="104">
        <f t="shared" si="31"/>
        <v>0</v>
      </c>
      <c r="Y19" s="104">
        <f t="shared" si="31"/>
        <v>9.9999999999999995E-8</v>
      </c>
      <c r="Z19" s="104">
        <f t="shared" si="31"/>
        <v>9.9999999999999995E-8</v>
      </c>
      <c r="AA19" s="105">
        <f t="shared" si="31"/>
        <v>9.9999999999999995E-8</v>
      </c>
      <c r="AB19" s="101" t="e">
        <f>$DT19*HLOOKUP($J19,'Construction Costs (timber)'!$B$1:$V$32,'Construction Planner'!$L19+2,FALSE)</f>
        <v>#N/A</v>
      </c>
      <c r="AC19" s="14" t="e">
        <f>$DT19*HLOOKUP($J19,'Construction Costs (clay)'!$B$1:$V$32,'Construction Planner'!$L19+2,FALSE)</f>
        <v>#N/A</v>
      </c>
      <c r="AD19" s="14" t="e">
        <f>$DT19*HLOOKUP($J19,'Construction Costs (iron)'!$B$1:$V$32,'Construction Planner'!$L19+2,FALSE)</f>
        <v>#N/A</v>
      </c>
      <c r="AE19" s="34" t="e">
        <f>SUM(AB19:AD19)</f>
        <v>#N/A</v>
      </c>
      <c r="AF19" s="33" t="e">
        <f t="shared" si="5"/>
        <v>#N/A</v>
      </c>
      <c r="AG19" s="14" t="e">
        <f t="shared" si="6"/>
        <v>#N/A</v>
      </c>
      <c r="AH19" s="14" t="e">
        <f t="shared" si="7"/>
        <v>#N/A</v>
      </c>
      <c r="AI19" s="34" t="e">
        <f>SUM(AF19:AH19)</f>
        <v>#N/A</v>
      </c>
      <c r="AJ19" s="49" t="e">
        <f t="shared" si="32"/>
        <v>#N/A</v>
      </c>
      <c r="AK19" s="49" t="e">
        <f t="shared" si="33"/>
        <v>#N/A</v>
      </c>
      <c r="AL19" s="49" t="e">
        <f t="shared" si="34"/>
        <v>#N/A</v>
      </c>
      <c r="AM19" s="25">
        <f t="shared" si="8"/>
        <v>30</v>
      </c>
      <c r="AN19" s="25">
        <f t="shared" si="9"/>
        <v>30</v>
      </c>
      <c r="AO19" s="25">
        <f t="shared" si="10"/>
        <v>30</v>
      </c>
      <c r="AP19" s="52" t="e">
        <f t="shared" si="35"/>
        <v>#N/A</v>
      </c>
      <c r="AQ19" s="53" t="e">
        <f t="shared" si="11"/>
        <v>#N/A</v>
      </c>
      <c r="AR19" s="54" t="e">
        <f t="shared" si="11"/>
        <v>#N/A</v>
      </c>
      <c r="AS19" s="316">
        <f>AS18</f>
        <v>0</v>
      </c>
      <c r="AT19" s="106">
        <f>_xlfn.IFNA($M19/VLOOKUP($BT19,'Unit information'!$A$2:$K$29,2,FALSE)*R19,0)*(1+$E$9)</f>
        <v>0</v>
      </c>
      <c r="AU19" s="107">
        <f>_xlfn.IFNA($M19/VLOOKUP($BT19,'Unit information'!$A$2:$K$29,3,FALSE)*S19,0)*(1+$E$9)</f>
        <v>0</v>
      </c>
      <c r="AV19" s="107">
        <f>_xlfn.IFNA($M19/VLOOKUP($BT19,'Unit information'!$A$2:$K$29,4,FALSE)*T19,0)*(1+$E$9)</f>
        <v>0</v>
      </c>
      <c r="AW19" s="107">
        <f>_xlfn.IFNA($M19/VLOOKUP($BT19,'Unit information'!$A$2:$K$29,5,FALSE)*U19,0)*(1+$E$9)</f>
        <v>0</v>
      </c>
      <c r="AX19" s="107">
        <f>_xlfn.IFNA($M19/VLOOKUP($BU19,'Unit information'!$A$2:$K$29,6,FALSE)*V19,0)*(1+$E$9)</f>
        <v>0</v>
      </c>
      <c r="AY19" s="107">
        <f>_xlfn.IFNA($M19/VLOOKUP($BU19,'Unit information'!$A$2:$K$29,7,FALSE)*W19,0)*(1+$E$9)</f>
        <v>0</v>
      </c>
      <c r="AZ19" s="107">
        <f>_xlfn.IFNA($M19/VLOOKUP($BU19,'Unit information'!$A$2:$K$29,8,FALSE)*X19,0)*(1+$E$9)</f>
        <v>0</v>
      </c>
      <c r="BA19" s="107">
        <f>_xlfn.IFNA($M19/VLOOKUP($BU19,'Unit information'!$A$2:$K$29,9,FALSE)*Y19,0)*(1+$E$9)</f>
        <v>0</v>
      </c>
      <c r="BB19" s="107">
        <f>_xlfn.IFNA($M19/VLOOKUP($BV19,'Unit information'!$A$2:$K$29,10,FALSE)*Z19,0)*(1+$E$9)</f>
        <v>0</v>
      </c>
      <c r="BC19" s="108">
        <f>_xlfn.IFNA($M19/VLOOKUP($BV19,'Unit information'!$A$2:$K$29,11,FALSE)*AA19,0)*(1+$E$9)</f>
        <v>0</v>
      </c>
      <c r="BD19" s="106">
        <f t="shared" si="12"/>
        <v>0</v>
      </c>
      <c r="BE19" s="107">
        <f t="shared" si="13"/>
        <v>0</v>
      </c>
      <c r="BF19" s="108">
        <f t="shared" si="14"/>
        <v>0</v>
      </c>
      <c r="BG19" s="25" t="e">
        <f t="shared" si="15"/>
        <v>#N/A</v>
      </c>
      <c r="BH19" s="25" t="e">
        <f t="shared" si="16"/>
        <v>#N/A</v>
      </c>
      <c r="BI19" s="25" t="e">
        <f t="shared" si="17"/>
        <v>#N/A</v>
      </c>
      <c r="BJ19" s="27" t="e">
        <f t="shared" si="18"/>
        <v>#N/A</v>
      </c>
      <c r="BK19" s="18" t="e">
        <f t="shared" si="19"/>
        <v>#N/A</v>
      </c>
      <c r="BL19" s="18" t="e">
        <f t="shared" si="20"/>
        <v>#N/A</v>
      </c>
      <c r="BM19" s="28" t="e">
        <f>MAX(BJ19:BL19)</f>
        <v>#N/A</v>
      </c>
      <c r="BN19" s="33">
        <f>HLOOKUP("maximum population",Miscelaneous!$C$1:$C$33,CH19+3,FALSE)</f>
        <v>240</v>
      </c>
      <c r="BO19" s="14">
        <f t="shared" si="36"/>
        <v>32</v>
      </c>
      <c r="BP19" s="14">
        <f t="shared" si="37"/>
        <v>0</v>
      </c>
      <c r="BQ19" s="14">
        <f t="shared" si="38"/>
        <v>208</v>
      </c>
      <c r="BR19" s="34" t="e">
        <f>HLOOKUP(J19,Villagers!$B$1:$V$33,L19+3,FALSE)-HLOOKUP(J19,Villagers!$B$1:$V$33,L19+2,FALSE)</f>
        <v>#N/A</v>
      </c>
      <c r="BS19" s="49">
        <f t="shared" si="39"/>
        <v>1</v>
      </c>
      <c r="BT19" s="50">
        <f t="shared" si="40"/>
        <v>0</v>
      </c>
      <c r="BU19" s="50">
        <f t="shared" si="41"/>
        <v>0</v>
      </c>
      <c r="BV19" s="50">
        <f t="shared" si="42"/>
        <v>0</v>
      </c>
      <c r="BW19" s="50">
        <f t="shared" si="43"/>
        <v>0</v>
      </c>
      <c r="BX19" s="50">
        <f t="shared" si="44"/>
        <v>0</v>
      </c>
      <c r="BY19" s="50">
        <f t="shared" si="44"/>
        <v>0</v>
      </c>
      <c r="BZ19" s="50">
        <f t="shared" si="45"/>
        <v>0</v>
      </c>
      <c r="CA19" s="50">
        <f t="shared" si="46"/>
        <v>0</v>
      </c>
      <c r="CB19" s="50">
        <f t="shared" si="47"/>
        <v>1</v>
      </c>
      <c r="CC19" s="50">
        <f t="shared" si="48"/>
        <v>0</v>
      </c>
      <c r="CD19" s="50">
        <f t="shared" si="49"/>
        <v>0</v>
      </c>
      <c r="CE19" s="50">
        <f t="shared" si="50"/>
        <v>1</v>
      </c>
      <c r="CF19" s="50">
        <f t="shared" si="51"/>
        <v>1</v>
      </c>
      <c r="CG19" s="50">
        <f t="shared" si="52"/>
        <v>1</v>
      </c>
      <c r="CH19" s="50">
        <f t="shared" si="53"/>
        <v>1</v>
      </c>
      <c r="CI19" s="50">
        <f t="shared" si="54"/>
        <v>1</v>
      </c>
      <c r="CJ19" s="50">
        <f t="shared" si="55"/>
        <v>1</v>
      </c>
      <c r="CK19" s="50">
        <f t="shared" si="56"/>
        <v>0</v>
      </c>
      <c r="CL19" s="50">
        <f t="shared" si="55"/>
        <v>0</v>
      </c>
      <c r="CM19" s="51">
        <f t="shared" si="57"/>
        <v>0</v>
      </c>
      <c r="CN19" s="33">
        <f>ROUND(IF(BS19=0,0,HLOOKUP(BS$14,Villagers!$B$1:$V$33,BS19+3,FALSE)),)</f>
        <v>5</v>
      </c>
      <c r="CO19" s="14">
        <f>ROUND(IF(BT19=0,0,HLOOKUP(BT$14,Villagers!$B$1:$V$33,BT19+3,FALSE)),)</f>
        <v>0</v>
      </c>
      <c r="CP19" s="14">
        <f>ROUND(IF(BU19=0,0,HLOOKUP(BU$14,Villagers!$B$1:$V$33,BU19+3,FALSE)),)</f>
        <v>0</v>
      </c>
      <c r="CQ19" s="14">
        <f>ROUND(IF(BV19=0,0,HLOOKUP(BV$14,Villagers!$B$1:$V$33,BV19+3,FALSE)),)</f>
        <v>0</v>
      </c>
      <c r="CR19" s="14">
        <f>ROUND(IF(BW19=0,0,HLOOKUP(BW$14,Villagers!$B$1:$V$33,BW19+3,FALSE)),)</f>
        <v>0</v>
      </c>
      <c r="CS19" s="14">
        <f>ROUND(IF(BX19=0,0,HLOOKUP(BX$14,Villagers!$B$1:$V$33,BX19+3,FALSE)),)</f>
        <v>0</v>
      </c>
      <c r="CT19" s="14">
        <f>ROUND(IF(BY19=0,0,HLOOKUP(BY$14,Villagers!$B$1:$V$33,BY19+3,FALSE)),)</f>
        <v>0</v>
      </c>
      <c r="CU19" s="14">
        <f>ROUND(IF(BZ19=0,0,HLOOKUP(BZ$14,Villagers!$B$1:$V$33,BZ19+3,FALSE)),)</f>
        <v>0</v>
      </c>
      <c r="CV19" s="14">
        <f>ROUND(IF(CA19=0,0,HLOOKUP(CA$14,Villagers!$B$1:$V$33,CA19+3,FALSE)),)</f>
        <v>0</v>
      </c>
      <c r="CW19" s="14">
        <f>ROUND(IF(CB19=0,0,HLOOKUP(CB$14,Villagers!$B$1:$V$33,CB19+3,FALSE)),)</f>
        <v>0</v>
      </c>
      <c r="CX19" s="14">
        <f>ROUND(IF(CC19=0,0,HLOOKUP(CC$14,Villagers!$B$1:$V$33,CC19+3,FALSE)),)</f>
        <v>0</v>
      </c>
      <c r="CY19" s="14">
        <f>ROUND(IF(CD19=0,0,HLOOKUP(CD$14,Villagers!$B$1:$V$33,CD19+3,FALSE)),)</f>
        <v>0</v>
      </c>
      <c r="CZ19" s="14">
        <f>ROUND(IF(CE19=0,0,HLOOKUP(CE$14,Villagers!$B$1:$V$33,CE19+3,FALSE)),)</f>
        <v>5</v>
      </c>
      <c r="DA19" s="14">
        <f>ROUND(IF(CF19=0,0,HLOOKUP(CF$14,Villagers!$B$1:$V$33,CF19+3,FALSE)),)</f>
        <v>10</v>
      </c>
      <c r="DB19" s="14">
        <f>ROUND(IF(CG19=0,0,HLOOKUP(CG$14,Villagers!$B$1:$V$33,CG19+3,FALSE)),)</f>
        <v>10</v>
      </c>
      <c r="DC19" s="14">
        <f>ROUND(IF(CH19=0,0,HLOOKUP(CH$14,Villagers!$B$1:$V$33,CH19+3,FALSE)),)</f>
        <v>0</v>
      </c>
      <c r="DD19" s="14">
        <f>ROUND(IF(CI19=0,0,HLOOKUP(CI$14,Villagers!$B$1:$V$33,CI19+3,FALSE)),)</f>
        <v>0</v>
      </c>
      <c r="DE19" s="14">
        <f>ROUND(IF(CJ19=0,0,HLOOKUP(CJ$14,Villagers!$B$1:$V$33,CJ19+3,FALSE)),)</f>
        <v>2</v>
      </c>
      <c r="DF19" s="370">
        <f>ROUND(IF(CK19=0,0,HLOOKUP(CK$14,Villagers!$B$1:$V$33,CK19+3,FALSE)),)</f>
        <v>0</v>
      </c>
      <c r="DG19" s="370">
        <f>ROUND(IF(CL19=0,0,HLOOKUP(CL$14,Villagers!$B$1:$V$33,CL19+3,FALSE)),)</f>
        <v>0</v>
      </c>
      <c r="DH19" s="34">
        <f>ROUND(IF(CM19=0,0,HLOOKUP(CM$14,Villagers!$B$1:$V$33,CM19+3,FALSE)),)</f>
        <v>0</v>
      </c>
      <c r="DI19" s="109">
        <f t="shared" si="73"/>
        <v>0</v>
      </c>
      <c r="DJ19" s="50">
        <f t="shared" si="74"/>
        <v>0</v>
      </c>
      <c r="DK19" s="50">
        <f t="shared" si="75"/>
        <v>0</v>
      </c>
      <c r="DL19" s="50">
        <f t="shared" si="76"/>
        <v>0</v>
      </c>
      <c r="DM19" s="50">
        <f t="shared" si="77"/>
        <v>0</v>
      </c>
      <c r="DN19" s="50">
        <f t="shared" si="78"/>
        <v>0</v>
      </c>
      <c r="DO19" s="50">
        <f t="shared" si="79"/>
        <v>0</v>
      </c>
      <c r="DP19" s="50">
        <f t="shared" si="80"/>
        <v>0</v>
      </c>
      <c r="DQ19" s="50">
        <f t="shared" si="59"/>
        <v>0</v>
      </c>
      <c r="DR19" s="50">
        <f t="shared" si="60"/>
        <v>0</v>
      </c>
      <c r="DS19" s="96">
        <f>Miscelaneous!$D$4*Miscelaneous!$D$2^($CI19-1)</f>
        <v>1000</v>
      </c>
      <c r="DT19" s="333">
        <f t="shared" si="61"/>
        <v>1</v>
      </c>
      <c r="DU19" s="81">
        <v>1</v>
      </c>
      <c r="DV19" s="79">
        <f t="shared" si="62"/>
        <v>0</v>
      </c>
      <c r="DW19" s="79">
        <f t="shared" si="23"/>
        <v>0</v>
      </c>
      <c r="DX19" s="79">
        <f t="shared" si="63"/>
        <v>0</v>
      </c>
      <c r="DY19" s="79">
        <v>1</v>
      </c>
      <c r="DZ19" s="79">
        <f t="shared" si="24"/>
        <v>0</v>
      </c>
      <c r="EA19" s="79">
        <f t="shared" si="64"/>
        <v>0</v>
      </c>
      <c r="EB19" s="79">
        <f t="shared" si="65"/>
        <v>0</v>
      </c>
      <c r="EC19" s="79">
        <f t="shared" si="66"/>
        <v>0</v>
      </c>
      <c r="ED19" s="79">
        <v>1</v>
      </c>
      <c r="EE19" s="79">
        <v>1</v>
      </c>
      <c r="EF19" s="79">
        <f t="shared" si="67"/>
        <v>0</v>
      </c>
      <c r="EG19" s="79">
        <v>1</v>
      </c>
      <c r="EH19" s="79">
        <v>1</v>
      </c>
      <c r="EI19" s="79">
        <v>1</v>
      </c>
      <c r="EJ19" s="79">
        <v>1</v>
      </c>
      <c r="EK19" s="79">
        <v>1</v>
      </c>
      <c r="EL19" s="79">
        <v>1</v>
      </c>
      <c r="EM19" s="143">
        <f t="shared" si="68"/>
        <v>0</v>
      </c>
      <c r="EN19" s="143">
        <f t="shared" si="69"/>
        <v>0</v>
      </c>
      <c r="EO19" s="82">
        <f t="shared" si="70"/>
        <v>0</v>
      </c>
    </row>
    <row r="20" spans="1:145" x14ac:dyDescent="0.25">
      <c r="A20">
        <v>6</v>
      </c>
      <c r="B20" s="172" t="e">
        <f t="shared" si="25"/>
        <v>#N/A</v>
      </c>
      <c r="C20" s="121" t="e">
        <f t="shared" si="0"/>
        <v>#N/A</v>
      </c>
      <c r="D20" s="122" t="e">
        <f t="shared" si="1"/>
        <v>#N/A</v>
      </c>
      <c r="E20" s="122" t="e">
        <f t="shared" si="2"/>
        <v>#N/A</v>
      </c>
      <c r="F20" s="176" t="e">
        <f t="shared" si="3"/>
        <v>#N/A</v>
      </c>
      <c r="G20" s="121">
        <f t="shared" si="26"/>
        <v>208</v>
      </c>
      <c r="H20" s="176" t="e">
        <f t="shared" si="27"/>
        <v>#N/A</v>
      </c>
      <c r="I20" s="48">
        <v>1</v>
      </c>
      <c r="J20" s="39"/>
      <c r="K20" s="350">
        <v>1</v>
      </c>
      <c r="L20" s="34" t="e">
        <f t="shared" si="4"/>
        <v>#N/A</v>
      </c>
      <c r="M20" s="38" t="e">
        <f>(HLOOKUP(J20,'Construction Times'!$B$3:$W$34,L20+2,FALSE)*HLOOKUP("hq modifier",'Construction Times'!$W$3:$W$34,BS20+2,FALSE))*(1-$H$9)</f>
        <v>#N/A</v>
      </c>
      <c r="N20" s="443" t="e">
        <f t="shared" si="28"/>
        <v>#N/A</v>
      </c>
      <c r="O20" s="444"/>
      <c r="P20" s="447" t="e">
        <f t="shared" si="29"/>
        <v>#N/A</v>
      </c>
      <c r="Q20" s="448"/>
      <c r="R20" s="103">
        <f t="shared" si="71"/>
        <v>0</v>
      </c>
      <c r="S20" s="104">
        <f t="shared" si="71"/>
        <v>0</v>
      </c>
      <c r="T20" s="104">
        <f t="shared" si="72"/>
        <v>0</v>
      </c>
      <c r="U20" s="104">
        <f t="shared" si="31"/>
        <v>0</v>
      </c>
      <c r="V20" s="104">
        <f t="shared" si="31"/>
        <v>9.9999999999999995E-8</v>
      </c>
      <c r="W20" s="104">
        <f t="shared" si="31"/>
        <v>0</v>
      </c>
      <c r="X20" s="104">
        <f t="shared" si="31"/>
        <v>0</v>
      </c>
      <c r="Y20" s="104">
        <f t="shared" si="31"/>
        <v>9.9999999999999995E-8</v>
      </c>
      <c r="Z20" s="104">
        <f t="shared" si="31"/>
        <v>9.9999999999999995E-8</v>
      </c>
      <c r="AA20" s="105">
        <f t="shared" si="31"/>
        <v>9.9999999999999995E-8</v>
      </c>
      <c r="AB20" s="101" t="e">
        <f>$DT20*HLOOKUP($J20,'Construction Costs (timber)'!$B$1:$V$32,'Construction Planner'!$L20+2,FALSE)</f>
        <v>#N/A</v>
      </c>
      <c r="AC20" s="14" t="e">
        <f>$DT20*HLOOKUP($J20,'Construction Costs (clay)'!$B$1:$V$32,'Construction Planner'!$L20+2,FALSE)</f>
        <v>#N/A</v>
      </c>
      <c r="AD20" s="14" t="e">
        <f>$DT20*HLOOKUP($J20,'Construction Costs (iron)'!$B$1:$V$32,'Construction Planner'!$L20+2,FALSE)</f>
        <v>#N/A</v>
      </c>
      <c r="AE20" s="34" t="e">
        <f t="shared" ref="AE20:AE83" si="81">SUM(AB20:AD20)</f>
        <v>#N/A</v>
      </c>
      <c r="AF20" s="33" t="e">
        <f t="shared" si="5"/>
        <v>#N/A</v>
      </c>
      <c r="AG20" s="14" t="e">
        <f t="shared" si="6"/>
        <v>#N/A</v>
      </c>
      <c r="AH20" s="14" t="e">
        <f t="shared" si="7"/>
        <v>#N/A</v>
      </c>
      <c r="AI20" s="34" t="e">
        <f t="shared" ref="AI20:AI83" si="82">SUM(AF20:AH20)</f>
        <v>#N/A</v>
      </c>
      <c r="AJ20" s="49" t="e">
        <f t="shared" si="32"/>
        <v>#N/A</v>
      </c>
      <c r="AK20" s="49" t="e">
        <f t="shared" si="33"/>
        <v>#N/A</v>
      </c>
      <c r="AL20" s="49" t="e">
        <f t="shared" si="34"/>
        <v>#N/A</v>
      </c>
      <c r="AM20" s="25">
        <f t="shared" si="8"/>
        <v>30</v>
      </c>
      <c r="AN20" s="25">
        <f t="shared" si="9"/>
        <v>30</v>
      </c>
      <c r="AO20" s="25">
        <f t="shared" si="10"/>
        <v>30</v>
      </c>
      <c r="AP20" s="52" t="e">
        <f t="shared" si="35"/>
        <v>#N/A</v>
      </c>
      <c r="AQ20" s="53" t="e">
        <f t="shared" si="11"/>
        <v>#N/A</v>
      </c>
      <c r="AR20" s="54" t="e">
        <f t="shared" si="11"/>
        <v>#N/A</v>
      </c>
      <c r="AS20" s="316">
        <f t="shared" ref="AS20:AS83" si="83">AS19</f>
        <v>0</v>
      </c>
      <c r="AT20" s="106">
        <f>_xlfn.IFNA($M20/VLOOKUP($BT20,'Unit information'!$A$2:$K$29,2,FALSE)*R20,0)*(1+$E$9)</f>
        <v>0</v>
      </c>
      <c r="AU20" s="107">
        <f>_xlfn.IFNA($M20/VLOOKUP($BT20,'Unit information'!$A$2:$K$29,3,FALSE)*S20,0)*(1+$E$9)</f>
        <v>0</v>
      </c>
      <c r="AV20" s="107">
        <f>_xlfn.IFNA($M20/VLOOKUP($BT20,'Unit information'!$A$2:$K$29,4,FALSE)*T20,0)*(1+$E$9)</f>
        <v>0</v>
      </c>
      <c r="AW20" s="107">
        <f>_xlfn.IFNA($M20/VLOOKUP($BT20,'Unit information'!$A$2:$K$29,5,FALSE)*U20,0)*(1+$E$9)</f>
        <v>0</v>
      </c>
      <c r="AX20" s="107">
        <f>_xlfn.IFNA($M20/VLOOKUP($BU20,'Unit information'!$A$2:$K$29,6,FALSE)*V20,0)*(1+$E$9)</f>
        <v>0</v>
      </c>
      <c r="AY20" s="107">
        <f>_xlfn.IFNA($M20/VLOOKUP($BU20,'Unit information'!$A$2:$K$29,7,FALSE)*W20,0)*(1+$E$9)</f>
        <v>0</v>
      </c>
      <c r="AZ20" s="107">
        <f>_xlfn.IFNA($M20/VLOOKUP($BU20,'Unit information'!$A$2:$K$29,8,FALSE)*X20,0)*(1+$E$9)</f>
        <v>0</v>
      </c>
      <c r="BA20" s="107">
        <f>_xlfn.IFNA($M20/VLOOKUP($BU20,'Unit information'!$A$2:$K$29,9,FALSE)*Y20,0)*(1+$E$9)</f>
        <v>0</v>
      </c>
      <c r="BB20" s="107">
        <f>_xlfn.IFNA($M20/VLOOKUP($BV20,'Unit information'!$A$2:$K$29,10,FALSE)*Z20,0)*(1+$E$9)</f>
        <v>0</v>
      </c>
      <c r="BC20" s="108">
        <f>_xlfn.IFNA($M20/VLOOKUP($BV20,'Unit information'!$A$2:$K$29,11,FALSE)*AA20,0)*(1+$E$9)</f>
        <v>0</v>
      </c>
      <c r="BD20" s="106">
        <f t="shared" si="12"/>
        <v>0</v>
      </c>
      <c r="BE20" s="107">
        <f t="shared" si="13"/>
        <v>0</v>
      </c>
      <c r="BF20" s="108">
        <f t="shared" si="14"/>
        <v>0</v>
      </c>
      <c r="BG20" s="25" t="e">
        <f t="shared" si="15"/>
        <v>#N/A</v>
      </c>
      <c r="BH20" s="25" t="e">
        <f t="shared" si="16"/>
        <v>#N/A</v>
      </c>
      <c r="BI20" s="25" t="e">
        <f t="shared" si="17"/>
        <v>#N/A</v>
      </c>
      <c r="BJ20" s="27" t="e">
        <f t="shared" si="18"/>
        <v>#N/A</v>
      </c>
      <c r="BK20" s="18" t="e">
        <f t="shared" si="19"/>
        <v>#N/A</v>
      </c>
      <c r="BL20" s="18" t="e">
        <f t="shared" si="20"/>
        <v>#N/A</v>
      </c>
      <c r="BM20" s="28" t="e">
        <f t="shared" ref="BM20:BM83" si="84">MAX(BJ20:BL20)</f>
        <v>#N/A</v>
      </c>
      <c r="BN20" s="33">
        <f>HLOOKUP("maximum population",Miscelaneous!$C$1:$C$33,CH20+3,FALSE)</f>
        <v>240</v>
      </c>
      <c r="BO20" s="14">
        <f t="shared" si="36"/>
        <v>32</v>
      </c>
      <c r="BP20" s="14">
        <f t="shared" si="37"/>
        <v>0</v>
      </c>
      <c r="BQ20" s="14">
        <f t="shared" si="38"/>
        <v>208</v>
      </c>
      <c r="BR20" s="34" t="e">
        <f>HLOOKUP(J20,Villagers!$B$1:$V$33,L20+3,FALSE)-HLOOKUP(J20,Villagers!$B$1:$V$33,L20+2,FALSE)</f>
        <v>#N/A</v>
      </c>
      <c r="BS20" s="49">
        <f t="shared" si="39"/>
        <v>1</v>
      </c>
      <c r="BT20" s="50">
        <f t="shared" si="40"/>
        <v>0</v>
      </c>
      <c r="BU20" s="50">
        <f t="shared" si="41"/>
        <v>0</v>
      </c>
      <c r="BV20" s="50">
        <f t="shared" si="42"/>
        <v>0</v>
      </c>
      <c r="BW20" s="50">
        <f t="shared" si="43"/>
        <v>0</v>
      </c>
      <c r="BX20" s="50">
        <f t="shared" si="44"/>
        <v>0</v>
      </c>
      <c r="BY20" s="50">
        <f t="shared" si="44"/>
        <v>0</v>
      </c>
      <c r="BZ20" s="50">
        <f t="shared" si="45"/>
        <v>0</v>
      </c>
      <c r="CA20" s="50">
        <f t="shared" si="46"/>
        <v>0</v>
      </c>
      <c r="CB20" s="50">
        <f t="shared" si="47"/>
        <v>1</v>
      </c>
      <c r="CC20" s="50">
        <f t="shared" si="48"/>
        <v>0</v>
      </c>
      <c r="CD20" s="50">
        <f t="shared" si="49"/>
        <v>0</v>
      </c>
      <c r="CE20" s="50">
        <f t="shared" si="50"/>
        <v>1</v>
      </c>
      <c r="CF20" s="50">
        <f t="shared" si="51"/>
        <v>1</v>
      </c>
      <c r="CG20" s="50">
        <f t="shared" si="52"/>
        <v>1</v>
      </c>
      <c r="CH20" s="50">
        <f t="shared" si="53"/>
        <v>1</v>
      </c>
      <c r="CI20" s="50">
        <f t="shared" si="54"/>
        <v>1</v>
      </c>
      <c r="CJ20" s="50">
        <f t="shared" si="55"/>
        <v>1</v>
      </c>
      <c r="CK20" s="50">
        <f t="shared" si="56"/>
        <v>0</v>
      </c>
      <c r="CL20" s="50">
        <f t="shared" si="55"/>
        <v>0</v>
      </c>
      <c r="CM20" s="51">
        <f t="shared" si="57"/>
        <v>0</v>
      </c>
      <c r="CN20" s="33">
        <f>ROUND(IF(BS20=0,0,HLOOKUP(BS$14,Villagers!$B$1:$V$33,BS20+3,FALSE)),)</f>
        <v>5</v>
      </c>
      <c r="CO20" s="14">
        <f>ROUND(IF(BT20=0,0,HLOOKUP(BT$14,Villagers!$B$1:$V$33,BT20+3,FALSE)),)</f>
        <v>0</v>
      </c>
      <c r="CP20" s="14">
        <f>ROUND(IF(BU20=0,0,HLOOKUP(BU$14,Villagers!$B$1:$V$33,BU20+3,FALSE)),)</f>
        <v>0</v>
      </c>
      <c r="CQ20" s="14">
        <f>ROUND(IF(BV20=0,0,HLOOKUP(BV$14,Villagers!$B$1:$V$33,BV20+3,FALSE)),)</f>
        <v>0</v>
      </c>
      <c r="CR20" s="14">
        <f>ROUND(IF(BW20=0,0,HLOOKUP(BW$14,Villagers!$B$1:$V$33,BW20+3,FALSE)),)</f>
        <v>0</v>
      </c>
      <c r="CS20" s="14">
        <f>ROUND(IF(BX20=0,0,HLOOKUP(BX$14,Villagers!$B$1:$V$33,BX20+3,FALSE)),)</f>
        <v>0</v>
      </c>
      <c r="CT20" s="14">
        <f>ROUND(IF(BY20=0,0,HLOOKUP(BY$14,Villagers!$B$1:$V$33,BY20+3,FALSE)),)</f>
        <v>0</v>
      </c>
      <c r="CU20" s="14">
        <f>ROUND(IF(BZ20=0,0,HLOOKUP(BZ$14,Villagers!$B$1:$V$33,BZ20+3,FALSE)),)</f>
        <v>0</v>
      </c>
      <c r="CV20" s="14">
        <f>ROUND(IF(CA20=0,0,HLOOKUP(CA$14,Villagers!$B$1:$V$33,CA20+3,FALSE)),)</f>
        <v>0</v>
      </c>
      <c r="CW20" s="14">
        <f>ROUND(IF(CB20=0,0,HLOOKUP(CB$14,Villagers!$B$1:$V$33,CB20+3,FALSE)),)</f>
        <v>0</v>
      </c>
      <c r="CX20" s="14">
        <f>ROUND(IF(CC20=0,0,HLOOKUP(CC$14,Villagers!$B$1:$V$33,CC20+3,FALSE)),)</f>
        <v>0</v>
      </c>
      <c r="CY20" s="14">
        <f>ROUND(IF(CD20=0,0,HLOOKUP(CD$14,Villagers!$B$1:$V$33,CD20+3,FALSE)),)</f>
        <v>0</v>
      </c>
      <c r="CZ20" s="14">
        <f>ROUND(IF(CE20=0,0,HLOOKUP(CE$14,Villagers!$B$1:$V$33,CE20+3,FALSE)),)</f>
        <v>5</v>
      </c>
      <c r="DA20" s="14">
        <f>ROUND(IF(CF20=0,0,HLOOKUP(CF$14,Villagers!$B$1:$V$33,CF20+3,FALSE)),)</f>
        <v>10</v>
      </c>
      <c r="DB20" s="14">
        <f>ROUND(IF(CG20=0,0,HLOOKUP(CG$14,Villagers!$B$1:$V$33,CG20+3,FALSE)),)</f>
        <v>10</v>
      </c>
      <c r="DC20" s="14">
        <f>ROUND(IF(CH20=0,0,HLOOKUP(CH$14,Villagers!$B$1:$V$33,CH20+3,FALSE)),)</f>
        <v>0</v>
      </c>
      <c r="DD20" s="14">
        <f>ROUND(IF(CI20=0,0,HLOOKUP(CI$14,Villagers!$B$1:$V$33,CI20+3,FALSE)),)</f>
        <v>0</v>
      </c>
      <c r="DE20" s="14">
        <f>ROUND(IF(CJ20=0,0,HLOOKUP(CJ$14,Villagers!$B$1:$V$33,CJ20+3,FALSE)),)</f>
        <v>2</v>
      </c>
      <c r="DF20" s="370">
        <f>ROUND(IF(CK20=0,0,HLOOKUP(CK$14,Villagers!$B$1:$V$33,CK20+3,FALSE)),)</f>
        <v>0</v>
      </c>
      <c r="DG20" s="370">
        <f>ROUND(IF(CL20=0,0,HLOOKUP(CL$14,Villagers!$B$1:$V$33,CL20+3,FALSE)),)</f>
        <v>0</v>
      </c>
      <c r="DH20" s="34">
        <f>ROUND(IF(CM20=0,0,HLOOKUP(CM$14,Villagers!$B$1:$V$33,CM20+3,FALSE)),)</f>
        <v>0</v>
      </c>
      <c r="DI20" s="109">
        <f t="shared" si="73"/>
        <v>0</v>
      </c>
      <c r="DJ20" s="50">
        <f t="shared" si="74"/>
        <v>0</v>
      </c>
      <c r="DK20" s="50">
        <f t="shared" si="75"/>
        <v>0</v>
      </c>
      <c r="DL20" s="50">
        <f t="shared" si="76"/>
        <v>0</v>
      </c>
      <c r="DM20" s="50">
        <f t="shared" si="77"/>
        <v>0</v>
      </c>
      <c r="DN20" s="50">
        <f t="shared" si="78"/>
        <v>0</v>
      </c>
      <c r="DO20" s="50">
        <f t="shared" si="79"/>
        <v>0</v>
      </c>
      <c r="DP20" s="50">
        <f t="shared" si="80"/>
        <v>0</v>
      </c>
      <c r="DQ20" s="50">
        <f t="shared" si="59"/>
        <v>0</v>
      </c>
      <c r="DR20" s="50">
        <f t="shared" si="60"/>
        <v>0</v>
      </c>
      <c r="DS20" s="96">
        <f>Miscelaneous!$D$4*Miscelaneous!$D$2^($CI20-1)</f>
        <v>1000</v>
      </c>
      <c r="DT20" s="333">
        <f t="shared" si="61"/>
        <v>1</v>
      </c>
      <c r="DU20" s="81">
        <v>1</v>
      </c>
      <c r="DV20" s="79">
        <f t="shared" si="62"/>
        <v>0</v>
      </c>
      <c r="DW20" s="79">
        <f t="shared" si="23"/>
        <v>0</v>
      </c>
      <c r="DX20" s="79">
        <f t="shared" si="63"/>
        <v>0</v>
      </c>
      <c r="DY20" s="79">
        <v>1</v>
      </c>
      <c r="DZ20" s="79">
        <f t="shared" si="24"/>
        <v>0</v>
      </c>
      <c r="EA20" s="79">
        <f t="shared" si="64"/>
        <v>0</v>
      </c>
      <c r="EB20" s="79">
        <f t="shared" si="65"/>
        <v>0</v>
      </c>
      <c r="EC20" s="79">
        <f t="shared" si="66"/>
        <v>0</v>
      </c>
      <c r="ED20" s="79">
        <v>1</v>
      </c>
      <c r="EE20" s="79">
        <v>1</v>
      </c>
      <c r="EF20" s="79">
        <f t="shared" si="67"/>
        <v>0</v>
      </c>
      <c r="EG20" s="79">
        <v>1</v>
      </c>
      <c r="EH20" s="79">
        <v>1</v>
      </c>
      <c r="EI20" s="79">
        <v>1</v>
      </c>
      <c r="EJ20" s="79">
        <v>1</v>
      </c>
      <c r="EK20" s="79">
        <v>1</v>
      </c>
      <c r="EL20" s="79">
        <v>1</v>
      </c>
      <c r="EM20" s="143">
        <f t="shared" si="68"/>
        <v>0</v>
      </c>
      <c r="EN20" s="143">
        <f t="shared" si="69"/>
        <v>0</v>
      </c>
      <c r="EO20" s="82">
        <f t="shared" si="70"/>
        <v>0</v>
      </c>
    </row>
    <row r="21" spans="1:145" x14ac:dyDescent="0.25">
      <c r="A21">
        <v>7</v>
      </c>
      <c r="B21" s="172" t="e">
        <f t="shared" si="25"/>
        <v>#N/A</v>
      </c>
      <c r="C21" s="121" t="e">
        <f t="shared" si="0"/>
        <v>#N/A</v>
      </c>
      <c r="D21" s="122" t="e">
        <f t="shared" si="1"/>
        <v>#N/A</v>
      </c>
      <c r="E21" s="122" t="e">
        <f t="shared" si="2"/>
        <v>#N/A</v>
      </c>
      <c r="F21" s="176" t="e">
        <f t="shared" si="3"/>
        <v>#N/A</v>
      </c>
      <c r="G21" s="121">
        <f t="shared" si="26"/>
        <v>208</v>
      </c>
      <c r="H21" s="176" t="e">
        <f t="shared" si="27"/>
        <v>#N/A</v>
      </c>
      <c r="I21" s="48">
        <v>1</v>
      </c>
      <c r="J21" s="39"/>
      <c r="K21" s="350">
        <v>1</v>
      </c>
      <c r="L21" s="34" t="e">
        <f t="shared" si="4"/>
        <v>#N/A</v>
      </c>
      <c r="M21" s="38" t="e">
        <f>(HLOOKUP(J21,'Construction Times'!$B$3:$W$34,L21+2,FALSE)*HLOOKUP("hq modifier",'Construction Times'!$W$3:$W$34,BS21+2,FALSE))*(1-$H$9)</f>
        <v>#N/A</v>
      </c>
      <c r="N21" s="443" t="e">
        <f t="shared" si="28"/>
        <v>#N/A</v>
      </c>
      <c r="O21" s="444"/>
      <c r="P21" s="447" t="e">
        <f t="shared" si="29"/>
        <v>#N/A</v>
      </c>
      <c r="Q21" s="448"/>
      <c r="R21" s="103">
        <f t="shared" si="71"/>
        <v>0</v>
      </c>
      <c r="S21" s="104">
        <f t="shared" si="71"/>
        <v>0</v>
      </c>
      <c r="T21" s="104">
        <f t="shared" si="72"/>
        <v>0</v>
      </c>
      <c r="U21" s="104">
        <f t="shared" si="31"/>
        <v>0</v>
      </c>
      <c r="V21" s="104">
        <f t="shared" si="31"/>
        <v>9.9999999999999995E-8</v>
      </c>
      <c r="W21" s="104">
        <f t="shared" si="31"/>
        <v>0</v>
      </c>
      <c r="X21" s="104">
        <f t="shared" si="31"/>
        <v>0</v>
      </c>
      <c r="Y21" s="104">
        <f t="shared" si="31"/>
        <v>9.9999999999999995E-8</v>
      </c>
      <c r="Z21" s="104">
        <f t="shared" si="31"/>
        <v>9.9999999999999995E-8</v>
      </c>
      <c r="AA21" s="105">
        <f t="shared" si="31"/>
        <v>9.9999999999999995E-8</v>
      </c>
      <c r="AB21" s="101" t="e">
        <f>$DT21*HLOOKUP($J21,'Construction Costs (timber)'!$B$1:$V$32,'Construction Planner'!$L21+2,FALSE)</f>
        <v>#N/A</v>
      </c>
      <c r="AC21" s="14" t="e">
        <f>$DT21*HLOOKUP($J21,'Construction Costs (clay)'!$B$1:$V$32,'Construction Planner'!$L21+2,FALSE)</f>
        <v>#N/A</v>
      </c>
      <c r="AD21" s="14" t="e">
        <f>$DT21*HLOOKUP($J21,'Construction Costs (iron)'!$B$1:$V$32,'Construction Planner'!$L21+2,FALSE)</f>
        <v>#N/A</v>
      </c>
      <c r="AE21" s="34" t="e">
        <f t="shared" si="81"/>
        <v>#N/A</v>
      </c>
      <c r="AF21" s="33" t="e">
        <f t="shared" si="5"/>
        <v>#N/A</v>
      </c>
      <c r="AG21" s="14" t="e">
        <f t="shared" si="6"/>
        <v>#N/A</v>
      </c>
      <c r="AH21" s="14" t="e">
        <f t="shared" si="7"/>
        <v>#N/A</v>
      </c>
      <c r="AI21" s="34" t="e">
        <f t="shared" si="82"/>
        <v>#N/A</v>
      </c>
      <c r="AJ21" s="49" t="e">
        <f t="shared" si="32"/>
        <v>#N/A</v>
      </c>
      <c r="AK21" s="49" t="e">
        <f t="shared" si="33"/>
        <v>#N/A</v>
      </c>
      <c r="AL21" s="49" t="e">
        <f t="shared" si="34"/>
        <v>#N/A</v>
      </c>
      <c r="AM21" s="25">
        <f t="shared" si="8"/>
        <v>30</v>
      </c>
      <c r="AN21" s="25">
        <f t="shared" si="9"/>
        <v>30</v>
      </c>
      <c r="AO21" s="25">
        <f t="shared" si="10"/>
        <v>30</v>
      </c>
      <c r="AP21" s="52" t="e">
        <f t="shared" si="35"/>
        <v>#N/A</v>
      </c>
      <c r="AQ21" s="53" t="e">
        <f t="shared" si="11"/>
        <v>#N/A</v>
      </c>
      <c r="AR21" s="54" t="e">
        <f t="shared" si="11"/>
        <v>#N/A</v>
      </c>
      <c r="AS21" s="316">
        <f t="shared" si="83"/>
        <v>0</v>
      </c>
      <c r="AT21" s="106">
        <f>_xlfn.IFNA($M21/VLOOKUP($BT21,'Unit information'!$A$2:$K$29,2,FALSE)*R21,0)*(1+$E$9)</f>
        <v>0</v>
      </c>
      <c r="AU21" s="107">
        <f>_xlfn.IFNA($M21/VLOOKUP($BT21,'Unit information'!$A$2:$K$29,3,FALSE)*S21,0)*(1+$E$9)</f>
        <v>0</v>
      </c>
      <c r="AV21" s="107">
        <f>_xlfn.IFNA($M21/VLOOKUP($BT21,'Unit information'!$A$2:$K$29,4,FALSE)*T21,0)*(1+$E$9)</f>
        <v>0</v>
      </c>
      <c r="AW21" s="107">
        <f>_xlfn.IFNA($M21/VLOOKUP($BT21,'Unit information'!$A$2:$K$29,5,FALSE)*U21,0)*(1+$E$9)</f>
        <v>0</v>
      </c>
      <c r="AX21" s="107">
        <f>_xlfn.IFNA($M21/VLOOKUP($BU21,'Unit information'!$A$2:$K$29,6,FALSE)*V21,0)*(1+$E$9)</f>
        <v>0</v>
      </c>
      <c r="AY21" s="107">
        <f>_xlfn.IFNA($M21/VLOOKUP($BU21,'Unit information'!$A$2:$K$29,7,FALSE)*W21,0)*(1+$E$9)</f>
        <v>0</v>
      </c>
      <c r="AZ21" s="107">
        <f>_xlfn.IFNA($M21/VLOOKUP($BU21,'Unit information'!$A$2:$K$29,8,FALSE)*X21,0)*(1+$E$9)</f>
        <v>0</v>
      </c>
      <c r="BA21" s="107">
        <f>_xlfn.IFNA($M21/VLOOKUP($BU21,'Unit information'!$A$2:$K$29,9,FALSE)*Y21,0)*(1+$E$9)</f>
        <v>0</v>
      </c>
      <c r="BB21" s="107">
        <f>_xlfn.IFNA($M21/VLOOKUP($BV21,'Unit information'!$A$2:$K$29,10,FALSE)*Z21,0)*(1+$E$9)</f>
        <v>0</v>
      </c>
      <c r="BC21" s="108">
        <f>_xlfn.IFNA($M21/VLOOKUP($BV21,'Unit information'!$A$2:$K$29,11,FALSE)*AA21,0)*(1+$E$9)</f>
        <v>0</v>
      </c>
      <c r="BD21" s="106">
        <f t="shared" si="12"/>
        <v>0</v>
      </c>
      <c r="BE21" s="107">
        <f t="shared" si="13"/>
        <v>0</v>
      </c>
      <c r="BF21" s="108">
        <f t="shared" si="14"/>
        <v>0</v>
      </c>
      <c r="BG21" s="25" t="e">
        <f t="shared" si="15"/>
        <v>#N/A</v>
      </c>
      <c r="BH21" s="25" t="e">
        <f t="shared" si="16"/>
        <v>#N/A</v>
      </c>
      <c r="BI21" s="25" t="e">
        <f t="shared" si="17"/>
        <v>#N/A</v>
      </c>
      <c r="BJ21" s="27" t="e">
        <f t="shared" si="18"/>
        <v>#N/A</v>
      </c>
      <c r="BK21" s="18" t="e">
        <f t="shared" si="19"/>
        <v>#N/A</v>
      </c>
      <c r="BL21" s="18" t="e">
        <f t="shared" si="20"/>
        <v>#N/A</v>
      </c>
      <c r="BM21" s="28" t="e">
        <f t="shared" si="84"/>
        <v>#N/A</v>
      </c>
      <c r="BN21" s="33">
        <f>HLOOKUP("maximum population",Miscelaneous!$C$1:$C$33,CH21+3,FALSE)</f>
        <v>240</v>
      </c>
      <c r="BO21" s="14">
        <f t="shared" si="36"/>
        <v>32</v>
      </c>
      <c r="BP21" s="14">
        <f t="shared" si="37"/>
        <v>0</v>
      </c>
      <c r="BQ21" s="14">
        <f t="shared" si="38"/>
        <v>208</v>
      </c>
      <c r="BR21" s="34" t="e">
        <f>HLOOKUP(J21,Villagers!$B$1:$V$33,L21+3,FALSE)-HLOOKUP(J21,Villagers!$B$1:$V$33,L21+2,FALSE)</f>
        <v>#N/A</v>
      </c>
      <c r="BS21" s="49">
        <f t="shared" si="39"/>
        <v>1</v>
      </c>
      <c r="BT21" s="50">
        <f t="shared" si="40"/>
        <v>0</v>
      </c>
      <c r="BU21" s="50">
        <f t="shared" si="41"/>
        <v>0</v>
      </c>
      <c r="BV21" s="50">
        <f t="shared" si="42"/>
        <v>0</v>
      </c>
      <c r="BW21" s="50">
        <f t="shared" si="43"/>
        <v>0</v>
      </c>
      <c r="BX21" s="50">
        <f t="shared" si="44"/>
        <v>0</v>
      </c>
      <c r="BY21" s="50">
        <f t="shared" si="44"/>
        <v>0</v>
      </c>
      <c r="BZ21" s="50">
        <f t="shared" si="45"/>
        <v>0</v>
      </c>
      <c r="CA21" s="50">
        <f t="shared" si="46"/>
        <v>0</v>
      </c>
      <c r="CB21" s="50">
        <f t="shared" si="47"/>
        <v>1</v>
      </c>
      <c r="CC21" s="50">
        <f t="shared" si="48"/>
        <v>0</v>
      </c>
      <c r="CD21" s="50">
        <f t="shared" si="49"/>
        <v>0</v>
      </c>
      <c r="CE21" s="50">
        <f t="shared" si="50"/>
        <v>1</v>
      </c>
      <c r="CF21" s="50">
        <f t="shared" si="51"/>
        <v>1</v>
      </c>
      <c r="CG21" s="50">
        <f t="shared" si="52"/>
        <v>1</v>
      </c>
      <c r="CH21" s="50">
        <f t="shared" si="53"/>
        <v>1</v>
      </c>
      <c r="CI21" s="50">
        <f t="shared" si="54"/>
        <v>1</v>
      </c>
      <c r="CJ21" s="50">
        <f t="shared" si="55"/>
        <v>1</v>
      </c>
      <c r="CK21" s="50">
        <f t="shared" si="56"/>
        <v>0</v>
      </c>
      <c r="CL21" s="50">
        <f t="shared" si="55"/>
        <v>0</v>
      </c>
      <c r="CM21" s="51">
        <f t="shared" si="57"/>
        <v>0</v>
      </c>
      <c r="CN21" s="33">
        <f>ROUND(IF(BS21=0,0,HLOOKUP(BS$14,Villagers!$B$1:$V$33,BS21+3,FALSE)),)</f>
        <v>5</v>
      </c>
      <c r="CO21" s="14">
        <f>ROUND(IF(BT21=0,0,HLOOKUP(BT$14,Villagers!$B$1:$V$33,BT21+3,FALSE)),)</f>
        <v>0</v>
      </c>
      <c r="CP21" s="14">
        <f>ROUND(IF(BU21=0,0,HLOOKUP(BU$14,Villagers!$B$1:$V$33,BU21+3,FALSE)),)</f>
        <v>0</v>
      </c>
      <c r="CQ21" s="14">
        <f>ROUND(IF(BV21=0,0,HLOOKUP(BV$14,Villagers!$B$1:$V$33,BV21+3,FALSE)),)</f>
        <v>0</v>
      </c>
      <c r="CR21" s="14">
        <f>ROUND(IF(BW21=0,0,HLOOKUP(BW$14,Villagers!$B$1:$V$33,BW21+3,FALSE)),)</f>
        <v>0</v>
      </c>
      <c r="CS21" s="14">
        <f>ROUND(IF(BX21=0,0,HLOOKUP(BX$14,Villagers!$B$1:$V$33,BX21+3,FALSE)),)</f>
        <v>0</v>
      </c>
      <c r="CT21" s="14">
        <f>ROUND(IF(BY21=0,0,HLOOKUP(BY$14,Villagers!$B$1:$V$33,BY21+3,FALSE)),)</f>
        <v>0</v>
      </c>
      <c r="CU21" s="14">
        <f>ROUND(IF(BZ21=0,0,HLOOKUP(BZ$14,Villagers!$B$1:$V$33,BZ21+3,FALSE)),)</f>
        <v>0</v>
      </c>
      <c r="CV21" s="14">
        <f>ROUND(IF(CA21=0,0,HLOOKUP(CA$14,Villagers!$B$1:$V$33,CA21+3,FALSE)),)</f>
        <v>0</v>
      </c>
      <c r="CW21" s="14">
        <f>ROUND(IF(CB21=0,0,HLOOKUP(CB$14,Villagers!$B$1:$V$33,CB21+3,FALSE)),)</f>
        <v>0</v>
      </c>
      <c r="CX21" s="14">
        <f>ROUND(IF(CC21=0,0,HLOOKUP(CC$14,Villagers!$B$1:$V$33,CC21+3,FALSE)),)</f>
        <v>0</v>
      </c>
      <c r="CY21" s="14">
        <f>ROUND(IF(CD21=0,0,HLOOKUP(CD$14,Villagers!$B$1:$V$33,CD21+3,FALSE)),)</f>
        <v>0</v>
      </c>
      <c r="CZ21" s="14">
        <f>ROUND(IF(CE21=0,0,HLOOKUP(CE$14,Villagers!$B$1:$V$33,CE21+3,FALSE)),)</f>
        <v>5</v>
      </c>
      <c r="DA21" s="14">
        <f>ROUND(IF(CF21=0,0,HLOOKUP(CF$14,Villagers!$B$1:$V$33,CF21+3,FALSE)),)</f>
        <v>10</v>
      </c>
      <c r="DB21" s="14">
        <f>ROUND(IF(CG21=0,0,HLOOKUP(CG$14,Villagers!$B$1:$V$33,CG21+3,FALSE)),)</f>
        <v>10</v>
      </c>
      <c r="DC21" s="14">
        <f>ROUND(IF(CH21=0,0,HLOOKUP(CH$14,Villagers!$B$1:$V$33,CH21+3,FALSE)),)</f>
        <v>0</v>
      </c>
      <c r="DD21" s="14">
        <f>ROUND(IF(CI21=0,0,HLOOKUP(CI$14,Villagers!$B$1:$V$33,CI21+3,FALSE)),)</f>
        <v>0</v>
      </c>
      <c r="DE21" s="14">
        <f>ROUND(IF(CJ21=0,0,HLOOKUP(CJ$14,Villagers!$B$1:$V$33,CJ21+3,FALSE)),)</f>
        <v>2</v>
      </c>
      <c r="DF21" s="370">
        <f>ROUND(IF(CK21=0,0,HLOOKUP(CK$14,Villagers!$B$1:$V$33,CK21+3,FALSE)),)</f>
        <v>0</v>
      </c>
      <c r="DG21" s="370">
        <f>ROUND(IF(CL21=0,0,HLOOKUP(CL$14,Villagers!$B$1:$V$33,CL21+3,FALSE)),)</f>
        <v>0</v>
      </c>
      <c r="DH21" s="34">
        <f>ROUND(IF(CM21=0,0,HLOOKUP(CM$14,Villagers!$B$1:$V$33,CM21+3,FALSE)),)</f>
        <v>0</v>
      </c>
      <c r="DI21" s="109">
        <f t="shared" si="73"/>
        <v>0</v>
      </c>
      <c r="DJ21" s="50">
        <f t="shared" si="74"/>
        <v>0</v>
      </c>
      <c r="DK21" s="50">
        <f t="shared" si="75"/>
        <v>0</v>
      </c>
      <c r="DL21" s="50">
        <f t="shared" si="76"/>
        <v>0</v>
      </c>
      <c r="DM21" s="50">
        <f t="shared" si="77"/>
        <v>0</v>
      </c>
      <c r="DN21" s="50">
        <f t="shared" si="78"/>
        <v>0</v>
      </c>
      <c r="DO21" s="50">
        <f t="shared" si="79"/>
        <v>0</v>
      </c>
      <c r="DP21" s="50">
        <f t="shared" si="80"/>
        <v>0</v>
      </c>
      <c r="DQ21" s="50">
        <f t="shared" si="59"/>
        <v>0</v>
      </c>
      <c r="DR21" s="50">
        <f t="shared" si="60"/>
        <v>0</v>
      </c>
      <c r="DS21" s="96">
        <f>Miscelaneous!$D$4*Miscelaneous!$D$2^($CI21-1)</f>
        <v>1000</v>
      </c>
      <c r="DT21" s="333">
        <f t="shared" si="61"/>
        <v>1</v>
      </c>
      <c r="DU21" s="81">
        <v>1</v>
      </c>
      <c r="DV21" s="79">
        <f t="shared" si="62"/>
        <v>0</v>
      </c>
      <c r="DW21" s="79">
        <f t="shared" si="23"/>
        <v>0</v>
      </c>
      <c r="DX21" s="79">
        <f t="shared" si="63"/>
        <v>0</v>
      </c>
      <c r="DY21" s="79">
        <v>1</v>
      </c>
      <c r="DZ21" s="79">
        <f t="shared" si="24"/>
        <v>0</v>
      </c>
      <c r="EA21" s="79">
        <f t="shared" si="64"/>
        <v>0</v>
      </c>
      <c r="EB21" s="79">
        <f t="shared" si="65"/>
        <v>0</v>
      </c>
      <c r="EC21" s="79">
        <f t="shared" si="66"/>
        <v>0</v>
      </c>
      <c r="ED21" s="79">
        <v>1</v>
      </c>
      <c r="EE21" s="79">
        <v>1</v>
      </c>
      <c r="EF21" s="79">
        <f t="shared" si="67"/>
        <v>0</v>
      </c>
      <c r="EG21" s="79">
        <v>1</v>
      </c>
      <c r="EH21" s="79">
        <v>1</v>
      </c>
      <c r="EI21" s="79">
        <v>1</v>
      </c>
      <c r="EJ21" s="79">
        <v>1</v>
      </c>
      <c r="EK21" s="79">
        <v>1</v>
      </c>
      <c r="EL21" s="79">
        <v>1</v>
      </c>
      <c r="EM21" s="143">
        <f t="shared" si="68"/>
        <v>0</v>
      </c>
      <c r="EN21" s="143">
        <f t="shared" si="69"/>
        <v>0</v>
      </c>
      <c r="EO21" s="82">
        <f t="shared" si="70"/>
        <v>0</v>
      </c>
    </row>
    <row r="22" spans="1:145" x14ac:dyDescent="0.25">
      <c r="A22">
        <v>8</v>
      </c>
      <c r="B22" s="172" t="e">
        <f t="shared" si="25"/>
        <v>#N/A</v>
      </c>
      <c r="C22" s="121" t="e">
        <f t="shared" si="0"/>
        <v>#N/A</v>
      </c>
      <c r="D22" s="122" t="e">
        <f t="shared" si="1"/>
        <v>#N/A</v>
      </c>
      <c r="E22" s="122" t="e">
        <f t="shared" si="2"/>
        <v>#N/A</v>
      </c>
      <c r="F22" s="176" t="e">
        <f t="shared" si="3"/>
        <v>#N/A</v>
      </c>
      <c r="G22" s="121">
        <f t="shared" si="26"/>
        <v>208</v>
      </c>
      <c r="H22" s="176" t="e">
        <f t="shared" si="27"/>
        <v>#N/A</v>
      </c>
      <c r="I22" s="48">
        <v>1</v>
      </c>
      <c r="J22" s="39"/>
      <c r="K22" s="350">
        <v>1</v>
      </c>
      <c r="L22" s="34" t="e">
        <f t="shared" si="4"/>
        <v>#N/A</v>
      </c>
      <c r="M22" s="38" t="e">
        <f>(HLOOKUP(J22,'Construction Times'!$B$3:$W$34,L22+2,FALSE)*HLOOKUP("hq modifier",'Construction Times'!$W$3:$W$34,BS22+2,FALSE))*(1-$H$9)</f>
        <v>#N/A</v>
      </c>
      <c r="N22" s="443" t="e">
        <f t="shared" si="28"/>
        <v>#N/A</v>
      </c>
      <c r="O22" s="444"/>
      <c r="P22" s="447" t="e">
        <f t="shared" si="29"/>
        <v>#N/A</v>
      </c>
      <c r="Q22" s="448"/>
      <c r="R22" s="103">
        <f t="shared" si="71"/>
        <v>0</v>
      </c>
      <c r="S22" s="104">
        <f t="shared" si="71"/>
        <v>0</v>
      </c>
      <c r="T22" s="104">
        <f t="shared" si="72"/>
        <v>0</v>
      </c>
      <c r="U22" s="104">
        <f t="shared" si="31"/>
        <v>0</v>
      </c>
      <c r="V22" s="104">
        <f t="shared" si="31"/>
        <v>9.9999999999999995E-8</v>
      </c>
      <c r="W22" s="104">
        <f t="shared" si="31"/>
        <v>0</v>
      </c>
      <c r="X22" s="104">
        <f t="shared" si="31"/>
        <v>0</v>
      </c>
      <c r="Y22" s="104">
        <f t="shared" si="31"/>
        <v>9.9999999999999995E-8</v>
      </c>
      <c r="Z22" s="104">
        <f t="shared" si="31"/>
        <v>9.9999999999999995E-8</v>
      </c>
      <c r="AA22" s="105">
        <f t="shared" si="31"/>
        <v>9.9999999999999995E-8</v>
      </c>
      <c r="AB22" s="101" t="e">
        <f>$DT22*HLOOKUP($J22,'Construction Costs (timber)'!$B$1:$V$32,'Construction Planner'!$L22+2,FALSE)</f>
        <v>#N/A</v>
      </c>
      <c r="AC22" s="14" t="e">
        <f>$DT22*HLOOKUP($J22,'Construction Costs (clay)'!$B$1:$V$32,'Construction Planner'!$L22+2,FALSE)</f>
        <v>#N/A</v>
      </c>
      <c r="AD22" s="14" t="e">
        <f>$DT22*HLOOKUP($J22,'Construction Costs (iron)'!$B$1:$V$32,'Construction Planner'!$L22+2,FALSE)</f>
        <v>#N/A</v>
      </c>
      <c r="AE22" s="34" t="e">
        <f t="shared" si="81"/>
        <v>#N/A</v>
      </c>
      <c r="AF22" s="33" t="e">
        <f t="shared" si="5"/>
        <v>#N/A</v>
      </c>
      <c r="AG22" s="14" t="e">
        <f t="shared" si="6"/>
        <v>#N/A</v>
      </c>
      <c r="AH22" s="14" t="e">
        <f t="shared" si="7"/>
        <v>#N/A</v>
      </c>
      <c r="AI22" s="34" t="e">
        <f t="shared" si="82"/>
        <v>#N/A</v>
      </c>
      <c r="AJ22" s="49" t="e">
        <f t="shared" si="32"/>
        <v>#N/A</v>
      </c>
      <c r="AK22" s="49" t="e">
        <f t="shared" si="33"/>
        <v>#N/A</v>
      </c>
      <c r="AL22" s="49" t="e">
        <f t="shared" si="34"/>
        <v>#N/A</v>
      </c>
      <c r="AM22" s="25">
        <f t="shared" si="8"/>
        <v>30</v>
      </c>
      <c r="AN22" s="25">
        <f t="shared" si="9"/>
        <v>30</v>
      </c>
      <c r="AO22" s="25">
        <f t="shared" si="10"/>
        <v>30</v>
      </c>
      <c r="AP22" s="52" t="e">
        <f t="shared" si="35"/>
        <v>#N/A</v>
      </c>
      <c r="AQ22" s="53" t="e">
        <f t="shared" si="11"/>
        <v>#N/A</v>
      </c>
      <c r="AR22" s="54" t="e">
        <f t="shared" si="11"/>
        <v>#N/A</v>
      </c>
      <c r="AS22" s="316">
        <f t="shared" si="83"/>
        <v>0</v>
      </c>
      <c r="AT22" s="106">
        <f>_xlfn.IFNA($M22/VLOOKUP($BT22,'Unit information'!$A$2:$K$29,2,FALSE)*R22,0)*(1+$E$9)</f>
        <v>0</v>
      </c>
      <c r="AU22" s="107">
        <f>_xlfn.IFNA($M22/VLOOKUP($BT22,'Unit information'!$A$2:$K$29,3,FALSE)*S22,0)*(1+$E$9)</f>
        <v>0</v>
      </c>
      <c r="AV22" s="107">
        <f>_xlfn.IFNA($M22/VLOOKUP($BT22,'Unit information'!$A$2:$K$29,4,FALSE)*T22,0)*(1+$E$9)</f>
        <v>0</v>
      </c>
      <c r="AW22" s="107">
        <f>_xlfn.IFNA($M22/VLOOKUP($BT22,'Unit information'!$A$2:$K$29,5,FALSE)*U22,0)*(1+$E$9)</f>
        <v>0</v>
      </c>
      <c r="AX22" s="107">
        <f>_xlfn.IFNA($M22/VLOOKUP($BU22,'Unit information'!$A$2:$K$29,6,FALSE)*V22,0)*(1+$E$9)</f>
        <v>0</v>
      </c>
      <c r="AY22" s="107">
        <f>_xlfn.IFNA($M22/VLOOKUP($BU22,'Unit information'!$A$2:$K$29,7,FALSE)*W22,0)*(1+$E$9)</f>
        <v>0</v>
      </c>
      <c r="AZ22" s="107">
        <f>_xlfn.IFNA($M22/VLOOKUP($BU22,'Unit information'!$A$2:$K$29,8,FALSE)*X22,0)*(1+$E$9)</f>
        <v>0</v>
      </c>
      <c r="BA22" s="107">
        <f>_xlfn.IFNA($M22/VLOOKUP($BU22,'Unit information'!$A$2:$K$29,9,FALSE)*Y22,0)*(1+$E$9)</f>
        <v>0</v>
      </c>
      <c r="BB22" s="107">
        <f>_xlfn.IFNA($M22/VLOOKUP($BV22,'Unit information'!$A$2:$K$29,10,FALSE)*Z22,0)*(1+$E$9)</f>
        <v>0</v>
      </c>
      <c r="BC22" s="108">
        <f>_xlfn.IFNA($M22/VLOOKUP($BV22,'Unit information'!$A$2:$K$29,11,FALSE)*AA22,0)*(1+$E$9)</f>
        <v>0</v>
      </c>
      <c r="BD22" s="106">
        <f t="shared" si="12"/>
        <v>0</v>
      </c>
      <c r="BE22" s="107">
        <f t="shared" si="13"/>
        <v>0</v>
      </c>
      <c r="BF22" s="108">
        <f t="shared" si="14"/>
        <v>0</v>
      </c>
      <c r="BG22" s="25" t="e">
        <f t="shared" si="15"/>
        <v>#N/A</v>
      </c>
      <c r="BH22" s="25" t="e">
        <f t="shared" si="16"/>
        <v>#N/A</v>
      </c>
      <c r="BI22" s="25" t="e">
        <f t="shared" si="17"/>
        <v>#N/A</v>
      </c>
      <c r="BJ22" s="27" t="e">
        <f t="shared" si="18"/>
        <v>#N/A</v>
      </c>
      <c r="BK22" s="18" t="e">
        <f t="shared" si="19"/>
        <v>#N/A</v>
      </c>
      <c r="BL22" s="18" t="e">
        <f t="shared" si="20"/>
        <v>#N/A</v>
      </c>
      <c r="BM22" s="28" t="e">
        <f t="shared" si="84"/>
        <v>#N/A</v>
      </c>
      <c r="BN22" s="33">
        <f>HLOOKUP("maximum population",Miscelaneous!$C$1:$C$33,CH22+3,FALSE)</f>
        <v>240</v>
      </c>
      <c r="BO22" s="14">
        <f t="shared" si="36"/>
        <v>32</v>
      </c>
      <c r="BP22" s="14">
        <f t="shared" si="37"/>
        <v>0</v>
      </c>
      <c r="BQ22" s="14">
        <f t="shared" si="38"/>
        <v>208</v>
      </c>
      <c r="BR22" s="34" t="e">
        <f>HLOOKUP(J22,Villagers!$B$1:$V$33,L22+3,FALSE)-HLOOKUP(J22,Villagers!$B$1:$V$33,L22+2,FALSE)</f>
        <v>#N/A</v>
      </c>
      <c r="BS22" s="49">
        <f t="shared" si="39"/>
        <v>1</v>
      </c>
      <c r="BT22" s="50">
        <f t="shared" si="40"/>
        <v>0</v>
      </c>
      <c r="BU22" s="50">
        <f t="shared" si="41"/>
        <v>0</v>
      </c>
      <c r="BV22" s="50">
        <f t="shared" si="42"/>
        <v>0</v>
      </c>
      <c r="BW22" s="50">
        <f t="shared" si="43"/>
        <v>0</v>
      </c>
      <c r="BX22" s="50">
        <f t="shared" si="44"/>
        <v>0</v>
      </c>
      <c r="BY22" s="50">
        <f t="shared" si="44"/>
        <v>0</v>
      </c>
      <c r="BZ22" s="50">
        <f t="shared" si="45"/>
        <v>0</v>
      </c>
      <c r="CA22" s="50">
        <f t="shared" si="46"/>
        <v>0</v>
      </c>
      <c r="CB22" s="50">
        <f t="shared" si="47"/>
        <v>1</v>
      </c>
      <c r="CC22" s="50">
        <f t="shared" si="48"/>
        <v>0</v>
      </c>
      <c r="CD22" s="50">
        <f t="shared" si="49"/>
        <v>0</v>
      </c>
      <c r="CE22" s="50">
        <f t="shared" si="50"/>
        <v>1</v>
      </c>
      <c r="CF22" s="50">
        <f t="shared" si="51"/>
        <v>1</v>
      </c>
      <c r="CG22" s="50">
        <f t="shared" si="52"/>
        <v>1</v>
      </c>
      <c r="CH22" s="50">
        <f t="shared" si="53"/>
        <v>1</v>
      </c>
      <c r="CI22" s="50">
        <f t="shared" si="54"/>
        <v>1</v>
      </c>
      <c r="CJ22" s="50">
        <f t="shared" si="55"/>
        <v>1</v>
      </c>
      <c r="CK22" s="50">
        <f t="shared" si="56"/>
        <v>0</v>
      </c>
      <c r="CL22" s="50">
        <f t="shared" si="55"/>
        <v>0</v>
      </c>
      <c r="CM22" s="51">
        <f t="shared" si="57"/>
        <v>0</v>
      </c>
      <c r="CN22" s="33">
        <f>ROUND(IF(BS22=0,0,HLOOKUP(BS$14,Villagers!$B$1:$V$33,BS22+3,FALSE)),)</f>
        <v>5</v>
      </c>
      <c r="CO22" s="14">
        <f>ROUND(IF(BT22=0,0,HLOOKUP(BT$14,Villagers!$B$1:$V$33,BT22+3,FALSE)),)</f>
        <v>0</v>
      </c>
      <c r="CP22" s="14">
        <f>ROUND(IF(BU22=0,0,HLOOKUP(BU$14,Villagers!$B$1:$V$33,BU22+3,FALSE)),)</f>
        <v>0</v>
      </c>
      <c r="CQ22" s="14">
        <f>ROUND(IF(BV22=0,0,HLOOKUP(BV$14,Villagers!$B$1:$V$33,BV22+3,FALSE)),)</f>
        <v>0</v>
      </c>
      <c r="CR22" s="14">
        <f>ROUND(IF(BW22=0,0,HLOOKUP(BW$14,Villagers!$B$1:$V$33,BW22+3,FALSE)),)</f>
        <v>0</v>
      </c>
      <c r="CS22" s="14">
        <f>ROUND(IF(BX22=0,0,HLOOKUP(BX$14,Villagers!$B$1:$V$33,BX22+3,FALSE)),)</f>
        <v>0</v>
      </c>
      <c r="CT22" s="14">
        <f>ROUND(IF(BY22=0,0,HLOOKUP(BY$14,Villagers!$B$1:$V$33,BY22+3,FALSE)),)</f>
        <v>0</v>
      </c>
      <c r="CU22" s="14">
        <f>ROUND(IF(BZ22=0,0,HLOOKUP(BZ$14,Villagers!$B$1:$V$33,BZ22+3,FALSE)),)</f>
        <v>0</v>
      </c>
      <c r="CV22" s="14">
        <f>ROUND(IF(CA22=0,0,HLOOKUP(CA$14,Villagers!$B$1:$V$33,CA22+3,FALSE)),)</f>
        <v>0</v>
      </c>
      <c r="CW22" s="14">
        <f>ROUND(IF(CB22=0,0,HLOOKUP(CB$14,Villagers!$B$1:$V$33,CB22+3,FALSE)),)</f>
        <v>0</v>
      </c>
      <c r="CX22" s="14">
        <f>ROUND(IF(CC22=0,0,HLOOKUP(CC$14,Villagers!$B$1:$V$33,CC22+3,FALSE)),)</f>
        <v>0</v>
      </c>
      <c r="CY22" s="14">
        <f>ROUND(IF(CD22=0,0,HLOOKUP(CD$14,Villagers!$B$1:$V$33,CD22+3,FALSE)),)</f>
        <v>0</v>
      </c>
      <c r="CZ22" s="14">
        <f>ROUND(IF(CE22=0,0,HLOOKUP(CE$14,Villagers!$B$1:$V$33,CE22+3,FALSE)),)</f>
        <v>5</v>
      </c>
      <c r="DA22" s="14">
        <f>ROUND(IF(CF22=0,0,HLOOKUP(CF$14,Villagers!$B$1:$V$33,CF22+3,FALSE)),)</f>
        <v>10</v>
      </c>
      <c r="DB22" s="14">
        <f>ROUND(IF(CG22=0,0,HLOOKUP(CG$14,Villagers!$B$1:$V$33,CG22+3,FALSE)),)</f>
        <v>10</v>
      </c>
      <c r="DC22" s="14">
        <f>ROUND(IF(CH22=0,0,HLOOKUP(CH$14,Villagers!$B$1:$V$33,CH22+3,FALSE)),)</f>
        <v>0</v>
      </c>
      <c r="DD22" s="14">
        <f>ROUND(IF(CI22=0,0,HLOOKUP(CI$14,Villagers!$B$1:$V$33,CI22+3,FALSE)),)</f>
        <v>0</v>
      </c>
      <c r="DE22" s="14">
        <f>ROUND(IF(CJ22=0,0,HLOOKUP(CJ$14,Villagers!$B$1:$V$33,CJ22+3,FALSE)),)</f>
        <v>2</v>
      </c>
      <c r="DF22" s="370">
        <f>ROUND(IF(CK22=0,0,HLOOKUP(CK$14,Villagers!$B$1:$V$33,CK22+3,FALSE)),)</f>
        <v>0</v>
      </c>
      <c r="DG22" s="370">
        <f>ROUND(IF(CL22=0,0,HLOOKUP(CL$14,Villagers!$B$1:$V$33,CL22+3,FALSE)),)</f>
        <v>0</v>
      </c>
      <c r="DH22" s="34">
        <f>ROUND(IF(CM22=0,0,HLOOKUP(CM$14,Villagers!$B$1:$V$33,CM22+3,FALSE)),)</f>
        <v>0</v>
      </c>
      <c r="DI22" s="109">
        <f t="shared" si="73"/>
        <v>0</v>
      </c>
      <c r="DJ22" s="50">
        <f t="shared" si="74"/>
        <v>0</v>
      </c>
      <c r="DK22" s="50">
        <f t="shared" si="75"/>
        <v>0</v>
      </c>
      <c r="DL22" s="50">
        <f t="shared" si="76"/>
        <v>0</v>
      </c>
      <c r="DM22" s="50">
        <f t="shared" si="77"/>
        <v>0</v>
      </c>
      <c r="DN22" s="50">
        <f t="shared" si="78"/>
        <v>0</v>
      </c>
      <c r="DO22" s="50">
        <f t="shared" si="79"/>
        <v>0</v>
      </c>
      <c r="DP22" s="50">
        <f t="shared" si="80"/>
        <v>0</v>
      </c>
      <c r="DQ22" s="50">
        <f t="shared" si="59"/>
        <v>0</v>
      </c>
      <c r="DR22" s="50">
        <f t="shared" si="60"/>
        <v>0</v>
      </c>
      <c r="DS22" s="96">
        <f>Miscelaneous!$D$4*Miscelaneous!$D$2^($CI22-1)</f>
        <v>1000</v>
      </c>
      <c r="DT22" s="333">
        <f t="shared" si="61"/>
        <v>1</v>
      </c>
      <c r="DU22" s="81">
        <v>1</v>
      </c>
      <c r="DV22" s="79">
        <f t="shared" si="62"/>
        <v>0</v>
      </c>
      <c r="DW22" s="79">
        <f t="shared" si="23"/>
        <v>0</v>
      </c>
      <c r="DX22" s="79">
        <f t="shared" si="63"/>
        <v>0</v>
      </c>
      <c r="DY22" s="79">
        <v>1</v>
      </c>
      <c r="DZ22" s="79">
        <f t="shared" si="24"/>
        <v>0</v>
      </c>
      <c r="EA22" s="79">
        <f t="shared" si="64"/>
        <v>0</v>
      </c>
      <c r="EB22" s="79">
        <f t="shared" si="65"/>
        <v>0</v>
      </c>
      <c r="EC22" s="79">
        <f t="shared" si="66"/>
        <v>0</v>
      </c>
      <c r="ED22" s="79">
        <v>1</v>
      </c>
      <c r="EE22" s="79">
        <v>1</v>
      </c>
      <c r="EF22" s="79">
        <f t="shared" si="67"/>
        <v>0</v>
      </c>
      <c r="EG22" s="79">
        <v>1</v>
      </c>
      <c r="EH22" s="79">
        <v>1</v>
      </c>
      <c r="EI22" s="79">
        <v>1</v>
      </c>
      <c r="EJ22" s="79">
        <v>1</v>
      </c>
      <c r="EK22" s="79">
        <v>1</v>
      </c>
      <c r="EL22" s="79">
        <v>1</v>
      </c>
      <c r="EM22" s="143">
        <f t="shared" si="68"/>
        <v>0</v>
      </c>
      <c r="EN22" s="143">
        <f t="shared" si="69"/>
        <v>0</v>
      </c>
      <c r="EO22" s="82">
        <f t="shared" si="70"/>
        <v>0</v>
      </c>
    </row>
    <row r="23" spans="1:145" x14ac:dyDescent="0.25">
      <c r="A23">
        <v>9</v>
      </c>
      <c r="B23" s="172" t="e">
        <f t="shared" si="25"/>
        <v>#N/A</v>
      </c>
      <c r="C23" s="121" t="e">
        <f t="shared" si="0"/>
        <v>#N/A</v>
      </c>
      <c r="D23" s="122" t="e">
        <f t="shared" si="1"/>
        <v>#N/A</v>
      </c>
      <c r="E23" s="122" t="e">
        <f t="shared" si="2"/>
        <v>#N/A</v>
      </c>
      <c r="F23" s="176" t="e">
        <f t="shared" si="3"/>
        <v>#N/A</v>
      </c>
      <c r="G23" s="121">
        <f t="shared" si="26"/>
        <v>208</v>
      </c>
      <c r="H23" s="176" t="e">
        <f t="shared" si="27"/>
        <v>#N/A</v>
      </c>
      <c r="I23" s="48">
        <v>1</v>
      </c>
      <c r="J23" s="39"/>
      <c r="K23" s="350">
        <v>1</v>
      </c>
      <c r="L23" s="34" t="e">
        <f t="shared" si="4"/>
        <v>#N/A</v>
      </c>
      <c r="M23" s="38" t="e">
        <f>(HLOOKUP(J23,'Construction Times'!$B$3:$W$34,L23+2,FALSE)*HLOOKUP("hq modifier",'Construction Times'!$W$3:$W$34,BS23+2,FALSE))*(1-$H$9)</f>
        <v>#N/A</v>
      </c>
      <c r="N23" s="443" t="e">
        <f t="shared" si="28"/>
        <v>#N/A</v>
      </c>
      <c r="O23" s="444"/>
      <c r="P23" s="447" t="e">
        <f t="shared" si="29"/>
        <v>#N/A</v>
      </c>
      <c r="Q23" s="448"/>
      <c r="R23" s="103">
        <f t="shared" si="71"/>
        <v>0</v>
      </c>
      <c r="S23" s="104">
        <f t="shared" si="71"/>
        <v>0</v>
      </c>
      <c r="T23" s="104">
        <f t="shared" si="72"/>
        <v>0</v>
      </c>
      <c r="U23" s="104">
        <f t="shared" si="31"/>
        <v>0</v>
      </c>
      <c r="V23" s="104">
        <f t="shared" si="31"/>
        <v>9.9999999999999995E-8</v>
      </c>
      <c r="W23" s="104">
        <f t="shared" si="31"/>
        <v>0</v>
      </c>
      <c r="X23" s="104">
        <f t="shared" si="31"/>
        <v>0</v>
      </c>
      <c r="Y23" s="104">
        <f t="shared" si="31"/>
        <v>9.9999999999999995E-8</v>
      </c>
      <c r="Z23" s="104">
        <f t="shared" si="31"/>
        <v>9.9999999999999995E-8</v>
      </c>
      <c r="AA23" s="105">
        <f t="shared" si="31"/>
        <v>9.9999999999999995E-8</v>
      </c>
      <c r="AB23" s="101" t="e">
        <f>$DT23*HLOOKUP($J23,'Construction Costs (timber)'!$B$1:$V$32,'Construction Planner'!$L23+2,FALSE)</f>
        <v>#N/A</v>
      </c>
      <c r="AC23" s="14" t="e">
        <f>$DT23*HLOOKUP($J23,'Construction Costs (clay)'!$B$1:$V$32,'Construction Planner'!$L23+2,FALSE)</f>
        <v>#N/A</v>
      </c>
      <c r="AD23" s="14" t="e">
        <f>$DT23*HLOOKUP($J23,'Construction Costs (iron)'!$B$1:$V$32,'Construction Planner'!$L23+2,FALSE)</f>
        <v>#N/A</v>
      </c>
      <c r="AE23" s="34" t="e">
        <f t="shared" si="81"/>
        <v>#N/A</v>
      </c>
      <c r="AF23" s="33" t="e">
        <f t="shared" si="5"/>
        <v>#N/A</v>
      </c>
      <c r="AG23" s="14" t="e">
        <f t="shared" si="6"/>
        <v>#N/A</v>
      </c>
      <c r="AH23" s="14" t="e">
        <f t="shared" si="7"/>
        <v>#N/A</v>
      </c>
      <c r="AI23" s="34" t="e">
        <f t="shared" si="82"/>
        <v>#N/A</v>
      </c>
      <c r="AJ23" s="49" t="e">
        <f t="shared" si="32"/>
        <v>#N/A</v>
      </c>
      <c r="AK23" s="49" t="e">
        <f t="shared" si="33"/>
        <v>#N/A</v>
      </c>
      <c r="AL23" s="49" t="e">
        <f t="shared" si="34"/>
        <v>#N/A</v>
      </c>
      <c r="AM23" s="25">
        <f t="shared" si="8"/>
        <v>30</v>
      </c>
      <c r="AN23" s="25">
        <f t="shared" si="9"/>
        <v>30</v>
      </c>
      <c r="AO23" s="25">
        <f t="shared" si="10"/>
        <v>30</v>
      </c>
      <c r="AP23" s="52" t="e">
        <f t="shared" si="35"/>
        <v>#N/A</v>
      </c>
      <c r="AQ23" s="53" t="e">
        <f t="shared" si="11"/>
        <v>#N/A</v>
      </c>
      <c r="AR23" s="54" t="e">
        <f t="shared" si="11"/>
        <v>#N/A</v>
      </c>
      <c r="AS23" s="316">
        <f t="shared" si="83"/>
        <v>0</v>
      </c>
      <c r="AT23" s="106">
        <f>_xlfn.IFNA($M23/VLOOKUP($BT23,'Unit information'!$A$2:$K$29,2,FALSE)*R23,0)*(1+$E$9)</f>
        <v>0</v>
      </c>
      <c r="AU23" s="107">
        <f>_xlfn.IFNA($M23/VLOOKUP($BT23,'Unit information'!$A$2:$K$29,3,FALSE)*S23,0)*(1+$E$9)</f>
        <v>0</v>
      </c>
      <c r="AV23" s="107">
        <f>_xlfn.IFNA($M23/VLOOKUP($BT23,'Unit information'!$A$2:$K$29,4,FALSE)*T23,0)*(1+$E$9)</f>
        <v>0</v>
      </c>
      <c r="AW23" s="107">
        <f>_xlfn.IFNA($M23/VLOOKUP($BT23,'Unit information'!$A$2:$K$29,5,FALSE)*U23,0)*(1+$E$9)</f>
        <v>0</v>
      </c>
      <c r="AX23" s="107">
        <f>_xlfn.IFNA($M23/VLOOKUP($BU23,'Unit information'!$A$2:$K$29,6,FALSE)*V23,0)*(1+$E$9)</f>
        <v>0</v>
      </c>
      <c r="AY23" s="107">
        <f>_xlfn.IFNA($M23/VLOOKUP($BU23,'Unit information'!$A$2:$K$29,7,FALSE)*W23,0)*(1+$E$9)</f>
        <v>0</v>
      </c>
      <c r="AZ23" s="107">
        <f>_xlfn.IFNA($M23/VLOOKUP($BU23,'Unit information'!$A$2:$K$29,8,FALSE)*X23,0)*(1+$E$9)</f>
        <v>0</v>
      </c>
      <c r="BA23" s="107">
        <f>_xlfn.IFNA($M23/VLOOKUP($BU23,'Unit information'!$A$2:$K$29,9,FALSE)*Y23,0)*(1+$E$9)</f>
        <v>0</v>
      </c>
      <c r="BB23" s="107">
        <f>_xlfn.IFNA($M23/VLOOKUP($BV23,'Unit information'!$A$2:$K$29,10,FALSE)*Z23,0)*(1+$E$9)</f>
        <v>0</v>
      </c>
      <c r="BC23" s="108">
        <f>_xlfn.IFNA($M23/VLOOKUP($BV23,'Unit information'!$A$2:$K$29,11,FALSE)*AA23,0)*(1+$E$9)</f>
        <v>0</v>
      </c>
      <c r="BD23" s="106">
        <f t="shared" si="12"/>
        <v>0</v>
      </c>
      <c r="BE23" s="107">
        <f t="shared" si="13"/>
        <v>0</v>
      </c>
      <c r="BF23" s="108">
        <f t="shared" si="14"/>
        <v>0</v>
      </c>
      <c r="BG23" s="25" t="e">
        <f t="shared" si="15"/>
        <v>#N/A</v>
      </c>
      <c r="BH23" s="25" t="e">
        <f t="shared" si="16"/>
        <v>#N/A</v>
      </c>
      <c r="BI23" s="25" t="e">
        <f t="shared" si="17"/>
        <v>#N/A</v>
      </c>
      <c r="BJ23" s="27" t="e">
        <f t="shared" si="18"/>
        <v>#N/A</v>
      </c>
      <c r="BK23" s="18" t="e">
        <f t="shared" si="19"/>
        <v>#N/A</v>
      </c>
      <c r="BL23" s="18" t="e">
        <f t="shared" si="20"/>
        <v>#N/A</v>
      </c>
      <c r="BM23" s="28" t="e">
        <f t="shared" si="84"/>
        <v>#N/A</v>
      </c>
      <c r="BN23" s="33">
        <f>HLOOKUP("maximum population",Miscelaneous!$C$1:$C$33,CH23+3,FALSE)</f>
        <v>240</v>
      </c>
      <c r="BO23" s="14">
        <f t="shared" si="36"/>
        <v>32</v>
      </c>
      <c r="BP23" s="14">
        <f t="shared" si="37"/>
        <v>0</v>
      </c>
      <c r="BQ23" s="14">
        <f t="shared" si="38"/>
        <v>208</v>
      </c>
      <c r="BR23" s="34" t="e">
        <f>HLOOKUP(J23,Villagers!$B$1:$V$33,L23+3,FALSE)-HLOOKUP(J23,Villagers!$B$1:$V$33,L23+2,FALSE)</f>
        <v>#N/A</v>
      </c>
      <c r="BS23" s="49">
        <f t="shared" si="39"/>
        <v>1</v>
      </c>
      <c r="BT23" s="50">
        <f t="shared" si="40"/>
        <v>0</v>
      </c>
      <c r="BU23" s="50">
        <f t="shared" si="41"/>
        <v>0</v>
      </c>
      <c r="BV23" s="50">
        <f t="shared" si="42"/>
        <v>0</v>
      </c>
      <c r="BW23" s="50">
        <f t="shared" si="43"/>
        <v>0</v>
      </c>
      <c r="BX23" s="50">
        <f t="shared" si="44"/>
        <v>0</v>
      </c>
      <c r="BY23" s="50">
        <f t="shared" si="44"/>
        <v>0</v>
      </c>
      <c r="BZ23" s="50">
        <f t="shared" si="45"/>
        <v>0</v>
      </c>
      <c r="CA23" s="50">
        <f t="shared" si="46"/>
        <v>0</v>
      </c>
      <c r="CB23" s="50">
        <f t="shared" si="47"/>
        <v>1</v>
      </c>
      <c r="CC23" s="50">
        <f t="shared" si="48"/>
        <v>0</v>
      </c>
      <c r="CD23" s="50">
        <f t="shared" si="49"/>
        <v>0</v>
      </c>
      <c r="CE23" s="50">
        <f t="shared" si="50"/>
        <v>1</v>
      </c>
      <c r="CF23" s="50">
        <f t="shared" si="51"/>
        <v>1</v>
      </c>
      <c r="CG23" s="50">
        <f t="shared" si="52"/>
        <v>1</v>
      </c>
      <c r="CH23" s="50">
        <f t="shared" si="53"/>
        <v>1</v>
      </c>
      <c r="CI23" s="50">
        <f t="shared" si="54"/>
        <v>1</v>
      </c>
      <c r="CJ23" s="50">
        <f t="shared" si="55"/>
        <v>1</v>
      </c>
      <c r="CK23" s="50">
        <f t="shared" si="56"/>
        <v>0</v>
      </c>
      <c r="CL23" s="50">
        <f t="shared" si="55"/>
        <v>0</v>
      </c>
      <c r="CM23" s="51">
        <f t="shared" si="57"/>
        <v>0</v>
      </c>
      <c r="CN23" s="33">
        <f>ROUND(IF(BS23=0,0,HLOOKUP(BS$14,Villagers!$B$1:$V$33,BS23+3,FALSE)),)</f>
        <v>5</v>
      </c>
      <c r="CO23" s="14">
        <f>ROUND(IF(BT23=0,0,HLOOKUP(BT$14,Villagers!$B$1:$V$33,BT23+3,FALSE)),)</f>
        <v>0</v>
      </c>
      <c r="CP23" s="14">
        <f>ROUND(IF(BU23=0,0,HLOOKUP(BU$14,Villagers!$B$1:$V$33,BU23+3,FALSE)),)</f>
        <v>0</v>
      </c>
      <c r="CQ23" s="14">
        <f>ROUND(IF(BV23=0,0,HLOOKUP(BV$14,Villagers!$B$1:$V$33,BV23+3,FALSE)),)</f>
        <v>0</v>
      </c>
      <c r="CR23" s="14">
        <f>ROUND(IF(BW23=0,0,HLOOKUP(BW$14,Villagers!$B$1:$V$33,BW23+3,FALSE)),)</f>
        <v>0</v>
      </c>
      <c r="CS23" s="14">
        <f>ROUND(IF(BX23=0,0,HLOOKUP(BX$14,Villagers!$B$1:$V$33,BX23+3,FALSE)),)</f>
        <v>0</v>
      </c>
      <c r="CT23" s="14">
        <f>ROUND(IF(BY23=0,0,HLOOKUP(BY$14,Villagers!$B$1:$V$33,BY23+3,FALSE)),)</f>
        <v>0</v>
      </c>
      <c r="CU23" s="14">
        <f>ROUND(IF(BZ23=0,0,HLOOKUP(BZ$14,Villagers!$B$1:$V$33,BZ23+3,FALSE)),)</f>
        <v>0</v>
      </c>
      <c r="CV23" s="14">
        <f>ROUND(IF(CA23=0,0,HLOOKUP(CA$14,Villagers!$B$1:$V$33,CA23+3,FALSE)),)</f>
        <v>0</v>
      </c>
      <c r="CW23" s="14">
        <f>ROUND(IF(CB23=0,0,HLOOKUP(CB$14,Villagers!$B$1:$V$33,CB23+3,FALSE)),)</f>
        <v>0</v>
      </c>
      <c r="CX23" s="14">
        <f>ROUND(IF(CC23=0,0,HLOOKUP(CC$14,Villagers!$B$1:$V$33,CC23+3,FALSE)),)</f>
        <v>0</v>
      </c>
      <c r="CY23" s="14">
        <f>ROUND(IF(CD23=0,0,HLOOKUP(CD$14,Villagers!$B$1:$V$33,CD23+3,FALSE)),)</f>
        <v>0</v>
      </c>
      <c r="CZ23" s="14">
        <f>ROUND(IF(CE23=0,0,HLOOKUP(CE$14,Villagers!$B$1:$V$33,CE23+3,FALSE)),)</f>
        <v>5</v>
      </c>
      <c r="DA23" s="14">
        <f>ROUND(IF(CF23=0,0,HLOOKUP(CF$14,Villagers!$B$1:$V$33,CF23+3,FALSE)),)</f>
        <v>10</v>
      </c>
      <c r="DB23" s="14">
        <f>ROUND(IF(CG23=0,0,HLOOKUP(CG$14,Villagers!$B$1:$V$33,CG23+3,FALSE)),)</f>
        <v>10</v>
      </c>
      <c r="DC23" s="14">
        <f>ROUND(IF(CH23=0,0,HLOOKUP(CH$14,Villagers!$B$1:$V$33,CH23+3,FALSE)),)</f>
        <v>0</v>
      </c>
      <c r="DD23" s="14">
        <f>ROUND(IF(CI23=0,0,HLOOKUP(CI$14,Villagers!$B$1:$V$33,CI23+3,FALSE)),)</f>
        <v>0</v>
      </c>
      <c r="DE23" s="14">
        <f>ROUND(IF(CJ23=0,0,HLOOKUP(CJ$14,Villagers!$B$1:$V$33,CJ23+3,FALSE)),)</f>
        <v>2</v>
      </c>
      <c r="DF23" s="370">
        <f>ROUND(IF(CK23=0,0,HLOOKUP(CK$14,Villagers!$B$1:$V$33,CK23+3,FALSE)),)</f>
        <v>0</v>
      </c>
      <c r="DG23" s="370">
        <f>ROUND(IF(CL23=0,0,HLOOKUP(CL$14,Villagers!$B$1:$V$33,CL23+3,FALSE)),)</f>
        <v>0</v>
      </c>
      <c r="DH23" s="34">
        <f>ROUND(IF(CM23=0,0,HLOOKUP(CM$14,Villagers!$B$1:$V$33,CM23+3,FALSE)),)</f>
        <v>0</v>
      </c>
      <c r="DI23" s="109">
        <f t="shared" si="73"/>
        <v>0</v>
      </c>
      <c r="DJ23" s="50">
        <f t="shared" si="74"/>
        <v>0</v>
      </c>
      <c r="DK23" s="50">
        <f t="shared" si="75"/>
        <v>0</v>
      </c>
      <c r="DL23" s="50">
        <f t="shared" si="76"/>
        <v>0</v>
      </c>
      <c r="DM23" s="50">
        <f t="shared" si="77"/>
        <v>0</v>
      </c>
      <c r="DN23" s="50">
        <f t="shared" si="78"/>
        <v>0</v>
      </c>
      <c r="DO23" s="50">
        <f t="shared" si="79"/>
        <v>0</v>
      </c>
      <c r="DP23" s="50">
        <f t="shared" si="80"/>
        <v>0</v>
      </c>
      <c r="DQ23" s="50">
        <f t="shared" si="59"/>
        <v>0</v>
      </c>
      <c r="DR23" s="50">
        <f t="shared" si="60"/>
        <v>0</v>
      </c>
      <c r="DS23" s="96">
        <f>Miscelaneous!$D$4*Miscelaneous!$D$2^($CI23-1)</f>
        <v>1000</v>
      </c>
      <c r="DT23" s="333">
        <f t="shared" si="61"/>
        <v>1</v>
      </c>
      <c r="DU23" s="81">
        <v>1</v>
      </c>
      <c r="DV23" s="79">
        <f t="shared" si="62"/>
        <v>0</v>
      </c>
      <c r="DW23" s="79">
        <f t="shared" si="23"/>
        <v>0</v>
      </c>
      <c r="DX23" s="79">
        <f t="shared" si="63"/>
        <v>0</v>
      </c>
      <c r="DY23" s="79">
        <v>1</v>
      </c>
      <c r="DZ23" s="79">
        <f t="shared" si="24"/>
        <v>0</v>
      </c>
      <c r="EA23" s="79">
        <f t="shared" si="64"/>
        <v>0</v>
      </c>
      <c r="EB23" s="79">
        <f t="shared" si="65"/>
        <v>0</v>
      </c>
      <c r="EC23" s="79">
        <f t="shared" si="66"/>
        <v>0</v>
      </c>
      <c r="ED23" s="79">
        <v>1</v>
      </c>
      <c r="EE23" s="79">
        <v>1</v>
      </c>
      <c r="EF23" s="79">
        <f t="shared" si="67"/>
        <v>0</v>
      </c>
      <c r="EG23" s="79">
        <v>1</v>
      </c>
      <c r="EH23" s="79">
        <v>1</v>
      </c>
      <c r="EI23" s="79">
        <v>1</v>
      </c>
      <c r="EJ23" s="79">
        <v>1</v>
      </c>
      <c r="EK23" s="79">
        <v>1</v>
      </c>
      <c r="EL23" s="79">
        <v>1</v>
      </c>
      <c r="EM23" s="143">
        <f t="shared" si="68"/>
        <v>0</v>
      </c>
      <c r="EN23" s="143">
        <f t="shared" si="69"/>
        <v>0</v>
      </c>
      <c r="EO23" s="82">
        <f t="shared" si="70"/>
        <v>0</v>
      </c>
    </row>
    <row r="24" spans="1:145" x14ac:dyDescent="0.25">
      <c r="A24">
        <v>10</v>
      </c>
      <c r="B24" s="172" t="e">
        <f t="shared" si="25"/>
        <v>#N/A</v>
      </c>
      <c r="C24" s="121" t="e">
        <f t="shared" si="0"/>
        <v>#N/A</v>
      </c>
      <c r="D24" s="122" t="e">
        <f t="shared" si="1"/>
        <v>#N/A</v>
      </c>
      <c r="E24" s="122" t="e">
        <f t="shared" si="2"/>
        <v>#N/A</v>
      </c>
      <c r="F24" s="176" t="e">
        <f t="shared" si="3"/>
        <v>#N/A</v>
      </c>
      <c r="G24" s="121">
        <f t="shared" si="26"/>
        <v>208</v>
      </c>
      <c r="H24" s="176" t="e">
        <f t="shared" si="27"/>
        <v>#N/A</v>
      </c>
      <c r="I24" s="48">
        <v>1</v>
      </c>
      <c r="J24" s="39"/>
      <c r="K24" s="350">
        <v>1</v>
      </c>
      <c r="L24" s="34" t="e">
        <f t="shared" si="4"/>
        <v>#N/A</v>
      </c>
      <c r="M24" s="38" t="e">
        <f>(HLOOKUP(J24,'Construction Times'!$B$3:$W$34,L24+2,FALSE)*HLOOKUP("hq modifier",'Construction Times'!$W$3:$W$34,BS24+2,FALSE))*(1-$H$9)</f>
        <v>#N/A</v>
      </c>
      <c r="N24" s="443" t="e">
        <f t="shared" si="28"/>
        <v>#N/A</v>
      </c>
      <c r="O24" s="444"/>
      <c r="P24" s="447" t="e">
        <f t="shared" si="29"/>
        <v>#N/A</v>
      </c>
      <c r="Q24" s="448"/>
      <c r="R24" s="103">
        <f t="shared" si="71"/>
        <v>0</v>
      </c>
      <c r="S24" s="104">
        <f t="shared" si="71"/>
        <v>0</v>
      </c>
      <c r="T24" s="104">
        <f t="shared" si="72"/>
        <v>0</v>
      </c>
      <c r="U24" s="104">
        <f t="shared" si="31"/>
        <v>0</v>
      </c>
      <c r="V24" s="104">
        <f t="shared" si="31"/>
        <v>9.9999999999999995E-8</v>
      </c>
      <c r="W24" s="104">
        <f t="shared" si="31"/>
        <v>0</v>
      </c>
      <c r="X24" s="104">
        <f t="shared" si="31"/>
        <v>0</v>
      </c>
      <c r="Y24" s="104">
        <f t="shared" si="31"/>
        <v>9.9999999999999995E-8</v>
      </c>
      <c r="Z24" s="104">
        <f t="shared" si="31"/>
        <v>9.9999999999999995E-8</v>
      </c>
      <c r="AA24" s="105">
        <f t="shared" si="31"/>
        <v>9.9999999999999995E-8</v>
      </c>
      <c r="AB24" s="101" t="e">
        <f>$DT24*HLOOKUP($J24,'Construction Costs (timber)'!$B$1:$V$32,'Construction Planner'!$L24+2,FALSE)</f>
        <v>#N/A</v>
      </c>
      <c r="AC24" s="14" t="e">
        <f>$DT24*HLOOKUP($J24,'Construction Costs (clay)'!$B$1:$V$32,'Construction Planner'!$L24+2,FALSE)</f>
        <v>#N/A</v>
      </c>
      <c r="AD24" s="14" t="e">
        <f>$DT24*HLOOKUP($J24,'Construction Costs (iron)'!$B$1:$V$32,'Construction Planner'!$L24+2,FALSE)</f>
        <v>#N/A</v>
      </c>
      <c r="AE24" s="34" t="e">
        <f t="shared" si="81"/>
        <v>#N/A</v>
      </c>
      <c r="AF24" s="33" t="e">
        <f t="shared" si="5"/>
        <v>#N/A</v>
      </c>
      <c r="AG24" s="14" t="e">
        <f t="shared" si="6"/>
        <v>#N/A</v>
      </c>
      <c r="AH24" s="14" t="e">
        <f t="shared" si="7"/>
        <v>#N/A</v>
      </c>
      <c r="AI24" s="34" t="e">
        <f t="shared" si="82"/>
        <v>#N/A</v>
      </c>
      <c r="AJ24" s="49" t="e">
        <f t="shared" si="32"/>
        <v>#N/A</v>
      </c>
      <c r="AK24" s="49" t="e">
        <f t="shared" si="33"/>
        <v>#N/A</v>
      </c>
      <c r="AL24" s="49" t="e">
        <f t="shared" si="34"/>
        <v>#N/A</v>
      </c>
      <c r="AM24" s="25">
        <f t="shared" si="8"/>
        <v>30</v>
      </c>
      <c r="AN24" s="25">
        <f t="shared" si="9"/>
        <v>30</v>
      </c>
      <c r="AO24" s="25">
        <f t="shared" si="10"/>
        <v>30</v>
      </c>
      <c r="AP24" s="52" t="e">
        <f t="shared" si="35"/>
        <v>#N/A</v>
      </c>
      <c r="AQ24" s="53" t="e">
        <f t="shared" si="11"/>
        <v>#N/A</v>
      </c>
      <c r="AR24" s="54" t="e">
        <f t="shared" si="11"/>
        <v>#N/A</v>
      </c>
      <c r="AS24" s="316">
        <f t="shared" si="83"/>
        <v>0</v>
      </c>
      <c r="AT24" s="106">
        <f>_xlfn.IFNA($M24/VLOOKUP($BT24,'Unit information'!$A$2:$K$29,2,FALSE)*R24,0)*(1+$E$9)</f>
        <v>0</v>
      </c>
      <c r="AU24" s="107">
        <f>_xlfn.IFNA($M24/VLOOKUP($BT24,'Unit information'!$A$2:$K$29,3,FALSE)*S24,0)*(1+$E$9)</f>
        <v>0</v>
      </c>
      <c r="AV24" s="107">
        <f>_xlfn.IFNA($M24/VLOOKUP($BT24,'Unit information'!$A$2:$K$29,4,FALSE)*T24,0)*(1+$E$9)</f>
        <v>0</v>
      </c>
      <c r="AW24" s="107">
        <f>_xlfn.IFNA($M24/VLOOKUP($BT24,'Unit information'!$A$2:$K$29,5,FALSE)*U24,0)*(1+$E$9)</f>
        <v>0</v>
      </c>
      <c r="AX24" s="107">
        <f>_xlfn.IFNA($M24/VLOOKUP($BU24,'Unit information'!$A$2:$K$29,6,FALSE)*V24,0)*(1+$E$9)</f>
        <v>0</v>
      </c>
      <c r="AY24" s="107">
        <f>_xlfn.IFNA($M24/VLOOKUP($BU24,'Unit information'!$A$2:$K$29,7,FALSE)*W24,0)*(1+$E$9)</f>
        <v>0</v>
      </c>
      <c r="AZ24" s="107">
        <f>_xlfn.IFNA($M24/VLOOKUP($BU24,'Unit information'!$A$2:$K$29,8,FALSE)*X24,0)*(1+$E$9)</f>
        <v>0</v>
      </c>
      <c r="BA24" s="107">
        <f>_xlfn.IFNA($M24/VLOOKUP($BU24,'Unit information'!$A$2:$K$29,9,FALSE)*Y24,0)*(1+$E$9)</f>
        <v>0</v>
      </c>
      <c r="BB24" s="107">
        <f>_xlfn.IFNA($M24/VLOOKUP($BV24,'Unit information'!$A$2:$K$29,10,FALSE)*Z24,0)*(1+$E$9)</f>
        <v>0</v>
      </c>
      <c r="BC24" s="108">
        <f>_xlfn.IFNA($M24/VLOOKUP($BV24,'Unit information'!$A$2:$K$29,11,FALSE)*AA24,0)*(1+$E$9)</f>
        <v>0</v>
      </c>
      <c r="BD24" s="106">
        <f t="shared" si="12"/>
        <v>0</v>
      </c>
      <c r="BE24" s="107">
        <f t="shared" si="13"/>
        <v>0</v>
      </c>
      <c r="BF24" s="108">
        <f t="shared" si="14"/>
        <v>0</v>
      </c>
      <c r="BG24" s="25" t="e">
        <f t="shared" si="15"/>
        <v>#N/A</v>
      </c>
      <c r="BH24" s="25" t="e">
        <f t="shared" si="16"/>
        <v>#N/A</v>
      </c>
      <c r="BI24" s="25" t="e">
        <f t="shared" si="17"/>
        <v>#N/A</v>
      </c>
      <c r="BJ24" s="27" t="e">
        <f t="shared" si="18"/>
        <v>#N/A</v>
      </c>
      <c r="BK24" s="18" t="e">
        <f t="shared" si="19"/>
        <v>#N/A</v>
      </c>
      <c r="BL24" s="18" t="e">
        <f t="shared" si="20"/>
        <v>#N/A</v>
      </c>
      <c r="BM24" s="28" t="e">
        <f t="shared" si="84"/>
        <v>#N/A</v>
      </c>
      <c r="BN24" s="33">
        <f>HLOOKUP("maximum population",Miscelaneous!$C$1:$C$33,CH24+3,FALSE)</f>
        <v>240</v>
      </c>
      <c r="BO24" s="14">
        <f t="shared" si="36"/>
        <v>32</v>
      </c>
      <c r="BP24" s="14">
        <f t="shared" si="37"/>
        <v>0</v>
      </c>
      <c r="BQ24" s="14">
        <f t="shared" si="38"/>
        <v>208</v>
      </c>
      <c r="BR24" s="34" t="e">
        <f>HLOOKUP(J24,Villagers!$B$1:$V$33,L24+3,FALSE)-HLOOKUP(J24,Villagers!$B$1:$V$33,L24+2,FALSE)</f>
        <v>#N/A</v>
      </c>
      <c r="BS24" s="49">
        <f t="shared" si="39"/>
        <v>1</v>
      </c>
      <c r="BT24" s="50">
        <f t="shared" si="40"/>
        <v>0</v>
      </c>
      <c r="BU24" s="50">
        <f t="shared" si="41"/>
        <v>0</v>
      </c>
      <c r="BV24" s="50">
        <f t="shared" si="42"/>
        <v>0</v>
      </c>
      <c r="BW24" s="50">
        <f t="shared" si="43"/>
        <v>0</v>
      </c>
      <c r="BX24" s="50">
        <f t="shared" si="44"/>
        <v>0</v>
      </c>
      <c r="BY24" s="50">
        <f t="shared" si="44"/>
        <v>0</v>
      </c>
      <c r="BZ24" s="50">
        <f t="shared" si="45"/>
        <v>0</v>
      </c>
      <c r="CA24" s="50">
        <f t="shared" si="46"/>
        <v>0</v>
      </c>
      <c r="CB24" s="50">
        <f t="shared" si="47"/>
        <v>1</v>
      </c>
      <c r="CC24" s="50">
        <f t="shared" si="48"/>
        <v>0</v>
      </c>
      <c r="CD24" s="50">
        <f t="shared" si="49"/>
        <v>0</v>
      </c>
      <c r="CE24" s="50">
        <f t="shared" si="50"/>
        <v>1</v>
      </c>
      <c r="CF24" s="50">
        <f t="shared" si="51"/>
        <v>1</v>
      </c>
      <c r="CG24" s="50">
        <f t="shared" si="52"/>
        <v>1</v>
      </c>
      <c r="CH24" s="50">
        <f t="shared" si="53"/>
        <v>1</v>
      </c>
      <c r="CI24" s="50">
        <f t="shared" si="54"/>
        <v>1</v>
      </c>
      <c r="CJ24" s="50">
        <f t="shared" si="55"/>
        <v>1</v>
      </c>
      <c r="CK24" s="50">
        <f t="shared" si="56"/>
        <v>0</v>
      </c>
      <c r="CL24" s="50">
        <f t="shared" si="55"/>
        <v>0</v>
      </c>
      <c r="CM24" s="51">
        <f t="shared" si="57"/>
        <v>0</v>
      </c>
      <c r="CN24" s="33">
        <f>ROUND(IF(BS24=0,0,HLOOKUP(BS$14,Villagers!$B$1:$V$33,BS24+3,FALSE)),)</f>
        <v>5</v>
      </c>
      <c r="CO24" s="14">
        <f>ROUND(IF(BT24=0,0,HLOOKUP(BT$14,Villagers!$B$1:$V$33,BT24+3,FALSE)),)</f>
        <v>0</v>
      </c>
      <c r="CP24" s="14">
        <f>ROUND(IF(BU24=0,0,HLOOKUP(BU$14,Villagers!$B$1:$V$33,BU24+3,FALSE)),)</f>
        <v>0</v>
      </c>
      <c r="CQ24" s="14">
        <f>ROUND(IF(BV24=0,0,HLOOKUP(BV$14,Villagers!$B$1:$V$33,BV24+3,FALSE)),)</f>
        <v>0</v>
      </c>
      <c r="CR24" s="14">
        <f>ROUND(IF(BW24=0,0,HLOOKUP(BW$14,Villagers!$B$1:$V$33,BW24+3,FALSE)),)</f>
        <v>0</v>
      </c>
      <c r="CS24" s="14">
        <f>ROUND(IF(BX24=0,0,HLOOKUP(BX$14,Villagers!$B$1:$V$33,BX24+3,FALSE)),)</f>
        <v>0</v>
      </c>
      <c r="CT24" s="14">
        <f>ROUND(IF(BY24=0,0,HLOOKUP(BY$14,Villagers!$B$1:$V$33,BY24+3,FALSE)),)</f>
        <v>0</v>
      </c>
      <c r="CU24" s="14">
        <f>ROUND(IF(BZ24=0,0,HLOOKUP(BZ$14,Villagers!$B$1:$V$33,BZ24+3,FALSE)),)</f>
        <v>0</v>
      </c>
      <c r="CV24" s="14">
        <f>ROUND(IF(CA24=0,0,HLOOKUP(CA$14,Villagers!$B$1:$V$33,CA24+3,FALSE)),)</f>
        <v>0</v>
      </c>
      <c r="CW24" s="14">
        <f>ROUND(IF(CB24=0,0,HLOOKUP(CB$14,Villagers!$B$1:$V$33,CB24+3,FALSE)),)</f>
        <v>0</v>
      </c>
      <c r="CX24" s="14">
        <f>ROUND(IF(CC24=0,0,HLOOKUP(CC$14,Villagers!$B$1:$V$33,CC24+3,FALSE)),)</f>
        <v>0</v>
      </c>
      <c r="CY24" s="14">
        <f>ROUND(IF(CD24=0,0,HLOOKUP(CD$14,Villagers!$B$1:$V$33,CD24+3,FALSE)),)</f>
        <v>0</v>
      </c>
      <c r="CZ24" s="14">
        <f>ROUND(IF(CE24=0,0,HLOOKUP(CE$14,Villagers!$B$1:$V$33,CE24+3,FALSE)),)</f>
        <v>5</v>
      </c>
      <c r="DA24" s="14">
        <f>ROUND(IF(CF24=0,0,HLOOKUP(CF$14,Villagers!$B$1:$V$33,CF24+3,FALSE)),)</f>
        <v>10</v>
      </c>
      <c r="DB24" s="14">
        <f>ROUND(IF(CG24=0,0,HLOOKUP(CG$14,Villagers!$B$1:$V$33,CG24+3,FALSE)),)</f>
        <v>10</v>
      </c>
      <c r="DC24" s="14">
        <f>ROUND(IF(CH24=0,0,HLOOKUP(CH$14,Villagers!$B$1:$V$33,CH24+3,FALSE)),)</f>
        <v>0</v>
      </c>
      <c r="DD24" s="14">
        <f>ROUND(IF(CI24=0,0,HLOOKUP(CI$14,Villagers!$B$1:$V$33,CI24+3,FALSE)),)</f>
        <v>0</v>
      </c>
      <c r="DE24" s="14">
        <f>ROUND(IF(CJ24=0,0,HLOOKUP(CJ$14,Villagers!$B$1:$V$33,CJ24+3,FALSE)),)</f>
        <v>2</v>
      </c>
      <c r="DF24" s="370">
        <f>ROUND(IF(CK24=0,0,HLOOKUP(CK$14,Villagers!$B$1:$V$33,CK24+3,FALSE)),)</f>
        <v>0</v>
      </c>
      <c r="DG24" s="370">
        <f>ROUND(IF(CL24=0,0,HLOOKUP(CL$14,Villagers!$B$1:$V$33,CL24+3,FALSE)),)</f>
        <v>0</v>
      </c>
      <c r="DH24" s="34">
        <f>ROUND(IF(CM24=0,0,HLOOKUP(CM$14,Villagers!$B$1:$V$33,CM24+3,FALSE)),)</f>
        <v>0</v>
      </c>
      <c r="DI24" s="109">
        <f t="shared" si="73"/>
        <v>0</v>
      </c>
      <c r="DJ24" s="50">
        <f t="shared" si="74"/>
        <v>0</v>
      </c>
      <c r="DK24" s="50">
        <f t="shared" si="75"/>
        <v>0</v>
      </c>
      <c r="DL24" s="50">
        <f t="shared" si="76"/>
        <v>0</v>
      </c>
      <c r="DM24" s="50">
        <f t="shared" si="77"/>
        <v>0</v>
      </c>
      <c r="DN24" s="50">
        <f t="shared" si="78"/>
        <v>0</v>
      </c>
      <c r="DO24" s="50">
        <f t="shared" si="79"/>
        <v>0</v>
      </c>
      <c r="DP24" s="50">
        <f t="shared" si="80"/>
        <v>0</v>
      </c>
      <c r="DQ24" s="50">
        <f t="shared" si="59"/>
        <v>0</v>
      </c>
      <c r="DR24" s="50">
        <f t="shared" si="60"/>
        <v>0</v>
      </c>
      <c r="DS24" s="96">
        <f>Miscelaneous!$D$4*Miscelaneous!$D$2^($CI24-1)</f>
        <v>1000</v>
      </c>
      <c r="DT24" s="333">
        <f t="shared" si="61"/>
        <v>1</v>
      </c>
      <c r="DU24" s="81">
        <v>1</v>
      </c>
      <c r="DV24" s="79">
        <f t="shared" si="62"/>
        <v>0</v>
      </c>
      <c r="DW24" s="79">
        <f t="shared" si="23"/>
        <v>0</v>
      </c>
      <c r="DX24" s="79">
        <f t="shared" si="63"/>
        <v>0</v>
      </c>
      <c r="DY24" s="79">
        <v>1</v>
      </c>
      <c r="DZ24" s="79">
        <f t="shared" si="24"/>
        <v>0</v>
      </c>
      <c r="EA24" s="79">
        <f t="shared" si="64"/>
        <v>0</v>
      </c>
      <c r="EB24" s="79">
        <f t="shared" si="65"/>
        <v>0</v>
      </c>
      <c r="EC24" s="79">
        <f t="shared" si="66"/>
        <v>0</v>
      </c>
      <c r="ED24" s="79">
        <v>1</v>
      </c>
      <c r="EE24" s="79">
        <v>1</v>
      </c>
      <c r="EF24" s="79">
        <f t="shared" si="67"/>
        <v>0</v>
      </c>
      <c r="EG24" s="79">
        <v>1</v>
      </c>
      <c r="EH24" s="79">
        <v>1</v>
      </c>
      <c r="EI24" s="79">
        <v>1</v>
      </c>
      <c r="EJ24" s="79">
        <v>1</v>
      </c>
      <c r="EK24" s="79">
        <v>1</v>
      </c>
      <c r="EL24" s="79">
        <v>1</v>
      </c>
      <c r="EM24" s="143">
        <f t="shared" si="68"/>
        <v>0</v>
      </c>
      <c r="EN24" s="143">
        <f t="shared" si="69"/>
        <v>0</v>
      </c>
      <c r="EO24" s="82">
        <f t="shared" si="70"/>
        <v>0</v>
      </c>
    </row>
    <row r="25" spans="1:145" x14ac:dyDescent="0.25">
      <c r="A25">
        <v>11</v>
      </c>
      <c r="B25" s="172" t="e">
        <f t="shared" si="25"/>
        <v>#N/A</v>
      </c>
      <c r="C25" s="121" t="e">
        <f t="shared" si="0"/>
        <v>#N/A</v>
      </c>
      <c r="D25" s="122" t="e">
        <f t="shared" si="1"/>
        <v>#N/A</v>
      </c>
      <c r="E25" s="122" t="e">
        <f t="shared" si="2"/>
        <v>#N/A</v>
      </c>
      <c r="F25" s="176" t="e">
        <f t="shared" si="3"/>
        <v>#N/A</v>
      </c>
      <c r="G25" s="121">
        <f t="shared" si="26"/>
        <v>208</v>
      </c>
      <c r="H25" s="176" t="e">
        <f t="shared" si="27"/>
        <v>#N/A</v>
      </c>
      <c r="I25" s="48">
        <v>1</v>
      </c>
      <c r="J25" s="39"/>
      <c r="K25" s="350">
        <v>1</v>
      </c>
      <c r="L25" s="34" t="e">
        <f t="shared" si="4"/>
        <v>#N/A</v>
      </c>
      <c r="M25" s="38" t="e">
        <f>(HLOOKUP(J25,'Construction Times'!$B$3:$W$34,L25+2,FALSE)*HLOOKUP("hq modifier",'Construction Times'!$W$3:$W$34,BS25+2,FALSE))*(1-$H$9)</f>
        <v>#N/A</v>
      </c>
      <c r="N25" s="443" t="e">
        <f t="shared" si="28"/>
        <v>#N/A</v>
      </c>
      <c r="O25" s="444"/>
      <c r="P25" s="447" t="e">
        <f t="shared" si="29"/>
        <v>#N/A</v>
      </c>
      <c r="Q25" s="448"/>
      <c r="R25" s="103">
        <f t="shared" si="71"/>
        <v>0</v>
      </c>
      <c r="S25" s="104">
        <f t="shared" si="71"/>
        <v>0</v>
      </c>
      <c r="T25" s="104">
        <f t="shared" si="72"/>
        <v>0</v>
      </c>
      <c r="U25" s="104">
        <f t="shared" si="31"/>
        <v>0</v>
      </c>
      <c r="V25" s="104">
        <f t="shared" si="31"/>
        <v>9.9999999999999995E-8</v>
      </c>
      <c r="W25" s="104">
        <f t="shared" si="31"/>
        <v>0</v>
      </c>
      <c r="X25" s="104">
        <f t="shared" si="31"/>
        <v>0</v>
      </c>
      <c r="Y25" s="104">
        <f t="shared" si="31"/>
        <v>9.9999999999999995E-8</v>
      </c>
      <c r="Z25" s="104">
        <f t="shared" si="31"/>
        <v>9.9999999999999995E-8</v>
      </c>
      <c r="AA25" s="105">
        <f t="shared" si="31"/>
        <v>9.9999999999999995E-8</v>
      </c>
      <c r="AB25" s="101" t="e">
        <f>$DT25*HLOOKUP($J25,'Construction Costs (timber)'!$B$1:$V$32,'Construction Planner'!$L25+2,FALSE)</f>
        <v>#N/A</v>
      </c>
      <c r="AC25" s="14" t="e">
        <f>$DT25*HLOOKUP($J25,'Construction Costs (clay)'!$B$1:$V$32,'Construction Planner'!$L25+2,FALSE)</f>
        <v>#N/A</v>
      </c>
      <c r="AD25" s="14" t="e">
        <f>$DT25*HLOOKUP($J25,'Construction Costs (iron)'!$B$1:$V$32,'Construction Planner'!$L25+2,FALSE)</f>
        <v>#N/A</v>
      </c>
      <c r="AE25" s="34" t="e">
        <f t="shared" si="81"/>
        <v>#N/A</v>
      </c>
      <c r="AF25" s="33" t="e">
        <f t="shared" si="5"/>
        <v>#N/A</v>
      </c>
      <c r="AG25" s="14" t="e">
        <f t="shared" si="6"/>
        <v>#N/A</v>
      </c>
      <c r="AH25" s="14" t="e">
        <f t="shared" si="7"/>
        <v>#N/A</v>
      </c>
      <c r="AI25" s="34" t="e">
        <f t="shared" si="82"/>
        <v>#N/A</v>
      </c>
      <c r="AJ25" s="49" t="e">
        <f t="shared" si="32"/>
        <v>#N/A</v>
      </c>
      <c r="AK25" s="49" t="e">
        <f t="shared" si="33"/>
        <v>#N/A</v>
      </c>
      <c r="AL25" s="49" t="e">
        <f t="shared" si="34"/>
        <v>#N/A</v>
      </c>
      <c r="AM25" s="25">
        <f t="shared" si="8"/>
        <v>30</v>
      </c>
      <c r="AN25" s="25">
        <f t="shared" si="9"/>
        <v>30</v>
      </c>
      <c r="AO25" s="25">
        <f t="shared" si="10"/>
        <v>30</v>
      </c>
      <c r="AP25" s="52" t="e">
        <f t="shared" si="35"/>
        <v>#N/A</v>
      </c>
      <c r="AQ25" s="53" t="e">
        <f t="shared" si="11"/>
        <v>#N/A</v>
      </c>
      <c r="AR25" s="54" t="e">
        <f t="shared" si="11"/>
        <v>#N/A</v>
      </c>
      <c r="AS25" s="316">
        <f t="shared" si="83"/>
        <v>0</v>
      </c>
      <c r="AT25" s="106">
        <f>_xlfn.IFNA($M25/VLOOKUP($BT25,'Unit information'!$A$2:$K$29,2,FALSE)*R25,0)*(1+$E$9)</f>
        <v>0</v>
      </c>
      <c r="AU25" s="107">
        <f>_xlfn.IFNA($M25/VLOOKUP($BT25,'Unit information'!$A$2:$K$29,3,FALSE)*S25,0)*(1+$E$9)</f>
        <v>0</v>
      </c>
      <c r="AV25" s="107">
        <f>_xlfn.IFNA($M25/VLOOKUP($BT25,'Unit information'!$A$2:$K$29,4,FALSE)*T25,0)*(1+$E$9)</f>
        <v>0</v>
      </c>
      <c r="AW25" s="107">
        <f>_xlfn.IFNA($M25/VLOOKUP($BT25,'Unit information'!$A$2:$K$29,5,FALSE)*U25,0)*(1+$E$9)</f>
        <v>0</v>
      </c>
      <c r="AX25" s="107">
        <f>_xlfn.IFNA($M25/VLOOKUP($BU25,'Unit information'!$A$2:$K$29,6,FALSE)*V25,0)*(1+$E$9)</f>
        <v>0</v>
      </c>
      <c r="AY25" s="107">
        <f>_xlfn.IFNA($M25/VLOOKUP($BU25,'Unit information'!$A$2:$K$29,7,FALSE)*W25,0)*(1+$E$9)</f>
        <v>0</v>
      </c>
      <c r="AZ25" s="107">
        <f>_xlfn.IFNA($M25/VLOOKUP($BU25,'Unit information'!$A$2:$K$29,8,FALSE)*X25,0)*(1+$E$9)</f>
        <v>0</v>
      </c>
      <c r="BA25" s="107">
        <f>_xlfn.IFNA($M25/VLOOKUP($BU25,'Unit information'!$A$2:$K$29,9,FALSE)*Y25,0)*(1+$E$9)</f>
        <v>0</v>
      </c>
      <c r="BB25" s="107">
        <f>_xlfn.IFNA($M25/VLOOKUP($BV25,'Unit information'!$A$2:$K$29,10,FALSE)*Z25,0)*(1+$E$9)</f>
        <v>0</v>
      </c>
      <c r="BC25" s="108">
        <f>_xlfn.IFNA($M25/VLOOKUP($BV25,'Unit information'!$A$2:$K$29,11,FALSE)*AA25,0)*(1+$E$9)</f>
        <v>0</v>
      </c>
      <c r="BD25" s="106">
        <f t="shared" si="12"/>
        <v>0</v>
      </c>
      <c r="BE25" s="107">
        <f t="shared" si="13"/>
        <v>0</v>
      </c>
      <c r="BF25" s="108">
        <f t="shared" si="14"/>
        <v>0</v>
      </c>
      <c r="BG25" s="25" t="e">
        <f t="shared" si="15"/>
        <v>#N/A</v>
      </c>
      <c r="BH25" s="25" t="e">
        <f t="shared" si="16"/>
        <v>#N/A</v>
      </c>
      <c r="BI25" s="25" t="e">
        <f t="shared" si="17"/>
        <v>#N/A</v>
      </c>
      <c r="BJ25" s="27" t="e">
        <f t="shared" si="18"/>
        <v>#N/A</v>
      </c>
      <c r="BK25" s="18" t="e">
        <f t="shared" si="19"/>
        <v>#N/A</v>
      </c>
      <c r="BL25" s="18" t="e">
        <f t="shared" si="20"/>
        <v>#N/A</v>
      </c>
      <c r="BM25" s="28" t="e">
        <f t="shared" si="84"/>
        <v>#N/A</v>
      </c>
      <c r="BN25" s="33">
        <f>HLOOKUP("maximum population",Miscelaneous!$C$1:$C$33,CH25+3,FALSE)</f>
        <v>240</v>
      </c>
      <c r="BO25" s="14">
        <f t="shared" si="36"/>
        <v>32</v>
      </c>
      <c r="BP25" s="14">
        <f t="shared" si="37"/>
        <v>0</v>
      </c>
      <c r="BQ25" s="14">
        <f t="shared" si="38"/>
        <v>208</v>
      </c>
      <c r="BR25" s="34" t="e">
        <f>HLOOKUP(J25,Villagers!$B$1:$V$33,L25+3,FALSE)-HLOOKUP(J25,Villagers!$B$1:$V$33,L25+2,FALSE)</f>
        <v>#N/A</v>
      </c>
      <c r="BS25" s="49">
        <f t="shared" si="39"/>
        <v>1</v>
      </c>
      <c r="BT25" s="50">
        <f t="shared" si="40"/>
        <v>0</v>
      </c>
      <c r="BU25" s="50">
        <f t="shared" si="41"/>
        <v>0</v>
      </c>
      <c r="BV25" s="50">
        <f t="shared" si="42"/>
        <v>0</v>
      </c>
      <c r="BW25" s="50">
        <f t="shared" si="43"/>
        <v>0</v>
      </c>
      <c r="BX25" s="50">
        <f t="shared" si="44"/>
        <v>0</v>
      </c>
      <c r="BY25" s="50">
        <f t="shared" si="44"/>
        <v>0</v>
      </c>
      <c r="BZ25" s="50">
        <f t="shared" si="45"/>
        <v>0</v>
      </c>
      <c r="CA25" s="50">
        <f t="shared" si="46"/>
        <v>0</v>
      </c>
      <c r="CB25" s="50">
        <f t="shared" si="47"/>
        <v>1</v>
      </c>
      <c r="CC25" s="50">
        <f t="shared" si="48"/>
        <v>0</v>
      </c>
      <c r="CD25" s="50">
        <f t="shared" si="49"/>
        <v>0</v>
      </c>
      <c r="CE25" s="50">
        <f t="shared" si="50"/>
        <v>1</v>
      </c>
      <c r="CF25" s="50">
        <f t="shared" si="51"/>
        <v>1</v>
      </c>
      <c r="CG25" s="50">
        <f t="shared" si="52"/>
        <v>1</v>
      </c>
      <c r="CH25" s="50">
        <f t="shared" si="53"/>
        <v>1</v>
      </c>
      <c r="CI25" s="50">
        <f t="shared" si="54"/>
        <v>1</v>
      </c>
      <c r="CJ25" s="50">
        <f t="shared" si="55"/>
        <v>1</v>
      </c>
      <c r="CK25" s="50">
        <f t="shared" si="56"/>
        <v>0</v>
      </c>
      <c r="CL25" s="50">
        <f t="shared" si="55"/>
        <v>0</v>
      </c>
      <c r="CM25" s="51">
        <f t="shared" si="57"/>
        <v>0</v>
      </c>
      <c r="CN25" s="33">
        <f>ROUND(IF(BS25=0,0,HLOOKUP(BS$14,Villagers!$B$1:$V$33,BS25+3,FALSE)),)</f>
        <v>5</v>
      </c>
      <c r="CO25" s="14">
        <f>ROUND(IF(BT25=0,0,HLOOKUP(BT$14,Villagers!$B$1:$V$33,BT25+3,FALSE)),)</f>
        <v>0</v>
      </c>
      <c r="CP25" s="14">
        <f>ROUND(IF(BU25=0,0,HLOOKUP(BU$14,Villagers!$B$1:$V$33,BU25+3,FALSE)),)</f>
        <v>0</v>
      </c>
      <c r="CQ25" s="14">
        <f>ROUND(IF(BV25=0,0,HLOOKUP(BV$14,Villagers!$B$1:$V$33,BV25+3,FALSE)),)</f>
        <v>0</v>
      </c>
      <c r="CR25" s="14">
        <f>ROUND(IF(BW25=0,0,HLOOKUP(BW$14,Villagers!$B$1:$V$33,BW25+3,FALSE)),)</f>
        <v>0</v>
      </c>
      <c r="CS25" s="14">
        <f>ROUND(IF(BX25=0,0,HLOOKUP(BX$14,Villagers!$B$1:$V$33,BX25+3,FALSE)),)</f>
        <v>0</v>
      </c>
      <c r="CT25" s="14">
        <f>ROUND(IF(BY25=0,0,HLOOKUP(BY$14,Villagers!$B$1:$V$33,BY25+3,FALSE)),)</f>
        <v>0</v>
      </c>
      <c r="CU25" s="14">
        <f>ROUND(IF(BZ25=0,0,HLOOKUP(BZ$14,Villagers!$B$1:$V$33,BZ25+3,FALSE)),)</f>
        <v>0</v>
      </c>
      <c r="CV25" s="14">
        <f>ROUND(IF(CA25=0,0,HLOOKUP(CA$14,Villagers!$B$1:$V$33,CA25+3,FALSE)),)</f>
        <v>0</v>
      </c>
      <c r="CW25" s="14">
        <f>ROUND(IF(CB25=0,0,HLOOKUP(CB$14,Villagers!$B$1:$V$33,CB25+3,FALSE)),)</f>
        <v>0</v>
      </c>
      <c r="CX25" s="14">
        <f>ROUND(IF(CC25=0,0,HLOOKUP(CC$14,Villagers!$B$1:$V$33,CC25+3,FALSE)),)</f>
        <v>0</v>
      </c>
      <c r="CY25" s="14">
        <f>ROUND(IF(CD25=0,0,HLOOKUP(CD$14,Villagers!$B$1:$V$33,CD25+3,FALSE)),)</f>
        <v>0</v>
      </c>
      <c r="CZ25" s="14">
        <f>ROUND(IF(CE25=0,0,HLOOKUP(CE$14,Villagers!$B$1:$V$33,CE25+3,FALSE)),)</f>
        <v>5</v>
      </c>
      <c r="DA25" s="14">
        <f>ROUND(IF(CF25=0,0,HLOOKUP(CF$14,Villagers!$B$1:$V$33,CF25+3,FALSE)),)</f>
        <v>10</v>
      </c>
      <c r="DB25" s="14">
        <f>ROUND(IF(CG25=0,0,HLOOKUP(CG$14,Villagers!$B$1:$V$33,CG25+3,FALSE)),)</f>
        <v>10</v>
      </c>
      <c r="DC25" s="14">
        <f>ROUND(IF(CH25=0,0,HLOOKUP(CH$14,Villagers!$B$1:$V$33,CH25+3,FALSE)),)</f>
        <v>0</v>
      </c>
      <c r="DD25" s="14">
        <f>ROUND(IF(CI25=0,0,HLOOKUP(CI$14,Villagers!$B$1:$V$33,CI25+3,FALSE)),)</f>
        <v>0</v>
      </c>
      <c r="DE25" s="14">
        <f>ROUND(IF(CJ25=0,0,HLOOKUP(CJ$14,Villagers!$B$1:$V$33,CJ25+3,FALSE)),)</f>
        <v>2</v>
      </c>
      <c r="DF25" s="370">
        <f>ROUND(IF(CK25=0,0,HLOOKUP(CK$14,Villagers!$B$1:$V$33,CK25+3,FALSE)),)</f>
        <v>0</v>
      </c>
      <c r="DG25" s="370">
        <f>ROUND(IF(CL25=0,0,HLOOKUP(CL$14,Villagers!$B$1:$V$33,CL25+3,FALSE)),)</f>
        <v>0</v>
      </c>
      <c r="DH25" s="34">
        <f>ROUND(IF(CM25=0,0,HLOOKUP(CM$14,Villagers!$B$1:$V$33,CM25+3,FALSE)),)</f>
        <v>0</v>
      </c>
      <c r="DI25" s="109">
        <f t="shared" si="73"/>
        <v>0</v>
      </c>
      <c r="DJ25" s="50">
        <f t="shared" si="74"/>
        <v>0</v>
      </c>
      <c r="DK25" s="50">
        <f t="shared" si="75"/>
        <v>0</v>
      </c>
      <c r="DL25" s="50">
        <f t="shared" si="76"/>
        <v>0</v>
      </c>
      <c r="DM25" s="50">
        <f t="shared" si="77"/>
        <v>0</v>
      </c>
      <c r="DN25" s="50">
        <f t="shared" si="78"/>
        <v>0</v>
      </c>
      <c r="DO25" s="50">
        <f t="shared" si="79"/>
        <v>0</v>
      </c>
      <c r="DP25" s="50">
        <f t="shared" si="80"/>
        <v>0</v>
      </c>
      <c r="DQ25" s="50">
        <f t="shared" si="59"/>
        <v>0</v>
      </c>
      <c r="DR25" s="50">
        <f t="shared" si="60"/>
        <v>0</v>
      </c>
      <c r="DS25" s="96">
        <f>Miscelaneous!$D$4*Miscelaneous!$D$2^($CI25-1)</f>
        <v>1000</v>
      </c>
      <c r="DT25" s="333">
        <f t="shared" si="61"/>
        <v>1</v>
      </c>
      <c r="DU25" s="81">
        <v>1</v>
      </c>
      <c r="DV25" s="79">
        <f t="shared" si="62"/>
        <v>0</v>
      </c>
      <c r="DW25" s="79">
        <f t="shared" si="23"/>
        <v>0</v>
      </c>
      <c r="DX25" s="79">
        <f t="shared" si="63"/>
        <v>0</v>
      </c>
      <c r="DY25" s="79">
        <v>1</v>
      </c>
      <c r="DZ25" s="79">
        <f t="shared" si="24"/>
        <v>0</v>
      </c>
      <c r="EA25" s="79">
        <f t="shared" si="64"/>
        <v>0</v>
      </c>
      <c r="EB25" s="79">
        <f t="shared" si="65"/>
        <v>0</v>
      </c>
      <c r="EC25" s="79">
        <f t="shared" si="66"/>
        <v>0</v>
      </c>
      <c r="ED25" s="79">
        <v>1</v>
      </c>
      <c r="EE25" s="79">
        <v>1</v>
      </c>
      <c r="EF25" s="79">
        <f t="shared" si="67"/>
        <v>0</v>
      </c>
      <c r="EG25" s="79">
        <v>1</v>
      </c>
      <c r="EH25" s="79">
        <v>1</v>
      </c>
      <c r="EI25" s="79">
        <v>1</v>
      </c>
      <c r="EJ25" s="79">
        <v>1</v>
      </c>
      <c r="EK25" s="79">
        <v>1</v>
      </c>
      <c r="EL25" s="79">
        <v>1</v>
      </c>
      <c r="EM25" s="143">
        <f t="shared" si="68"/>
        <v>0</v>
      </c>
      <c r="EN25" s="143">
        <f t="shared" si="69"/>
        <v>0</v>
      </c>
      <c r="EO25" s="82">
        <f t="shared" si="70"/>
        <v>0</v>
      </c>
    </row>
    <row r="26" spans="1:145" x14ac:dyDescent="0.25">
      <c r="A26">
        <v>12</v>
      </c>
      <c r="B26" s="172" t="e">
        <f t="shared" si="25"/>
        <v>#N/A</v>
      </c>
      <c r="C26" s="121" t="e">
        <f t="shared" si="0"/>
        <v>#N/A</v>
      </c>
      <c r="D26" s="122" t="e">
        <f t="shared" si="1"/>
        <v>#N/A</v>
      </c>
      <c r="E26" s="122" t="e">
        <f t="shared" si="2"/>
        <v>#N/A</v>
      </c>
      <c r="F26" s="176" t="e">
        <f t="shared" si="3"/>
        <v>#N/A</v>
      </c>
      <c r="G26" s="121">
        <f t="shared" si="26"/>
        <v>208</v>
      </c>
      <c r="H26" s="176" t="e">
        <f t="shared" si="27"/>
        <v>#N/A</v>
      </c>
      <c r="I26" s="48">
        <v>1</v>
      </c>
      <c r="J26" s="39"/>
      <c r="K26" s="350">
        <v>1</v>
      </c>
      <c r="L26" s="34" t="e">
        <f t="shared" si="4"/>
        <v>#N/A</v>
      </c>
      <c r="M26" s="38" t="e">
        <f>(HLOOKUP(J26,'Construction Times'!$B$3:$W$34,L26+2,FALSE)*HLOOKUP("hq modifier",'Construction Times'!$W$3:$W$34,BS26+2,FALSE))*(1-$H$9)</f>
        <v>#N/A</v>
      </c>
      <c r="N26" s="443" t="e">
        <f t="shared" si="28"/>
        <v>#N/A</v>
      </c>
      <c r="O26" s="444"/>
      <c r="P26" s="447" t="e">
        <f t="shared" si="29"/>
        <v>#N/A</v>
      </c>
      <c r="Q26" s="448"/>
      <c r="R26" s="103">
        <f t="shared" si="71"/>
        <v>0</v>
      </c>
      <c r="S26" s="104">
        <f t="shared" si="71"/>
        <v>0</v>
      </c>
      <c r="T26" s="104">
        <f t="shared" si="72"/>
        <v>0</v>
      </c>
      <c r="U26" s="104">
        <f t="shared" si="31"/>
        <v>0</v>
      </c>
      <c r="V26" s="104">
        <f t="shared" si="31"/>
        <v>9.9999999999999995E-8</v>
      </c>
      <c r="W26" s="104">
        <f t="shared" si="31"/>
        <v>0</v>
      </c>
      <c r="X26" s="104">
        <f t="shared" si="31"/>
        <v>0</v>
      </c>
      <c r="Y26" s="104">
        <f t="shared" si="31"/>
        <v>9.9999999999999995E-8</v>
      </c>
      <c r="Z26" s="104">
        <f t="shared" si="31"/>
        <v>9.9999999999999995E-8</v>
      </c>
      <c r="AA26" s="105">
        <f t="shared" si="31"/>
        <v>9.9999999999999995E-8</v>
      </c>
      <c r="AB26" s="101" t="e">
        <f>$DT26*HLOOKUP($J26,'Construction Costs (timber)'!$B$1:$V$32,'Construction Planner'!$L26+2,FALSE)</f>
        <v>#N/A</v>
      </c>
      <c r="AC26" s="14" t="e">
        <f>$DT26*HLOOKUP($J26,'Construction Costs (clay)'!$B$1:$V$32,'Construction Planner'!$L26+2,FALSE)</f>
        <v>#N/A</v>
      </c>
      <c r="AD26" s="14" t="e">
        <f>$DT26*HLOOKUP($J26,'Construction Costs (iron)'!$B$1:$V$32,'Construction Planner'!$L26+2,FALSE)</f>
        <v>#N/A</v>
      </c>
      <c r="AE26" s="34" t="e">
        <f t="shared" si="81"/>
        <v>#N/A</v>
      </c>
      <c r="AF26" s="33" t="e">
        <f t="shared" si="5"/>
        <v>#N/A</v>
      </c>
      <c r="AG26" s="14" t="e">
        <f t="shared" si="6"/>
        <v>#N/A</v>
      </c>
      <c r="AH26" s="14" t="e">
        <f t="shared" si="7"/>
        <v>#N/A</v>
      </c>
      <c r="AI26" s="34" t="e">
        <f t="shared" si="82"/>
        <v>#N/A</v>
      </c>
      <c r="AJ26" s="49" t="e">
        <f t="shared" si="32"/>
        <v>#N/A</v>
      </c>
      <c r="AK26" s="49" t="e">
        <f t="shared" si="33"/>
        <v>#N/A</v>
      </c>
      <c r="AL26" s="49" t="e">
        <f t="shared" si="34"/>
        <v>#N/A</v>
      </c>
      <c r="AM26" s="25">
        <f t="shared" si="8"/>
        <v>30</v>
      </c>
      <c r="AN26" s="25">
        <f t="shared" si="9"/>
        <v>30</v>
      </c>
      <c r="AO26" s="25">
        <f t="shared" si="10"/>
        <v>30</v>
      </c>
      <c r="AP26" s="52" t="e">
        <f t="shared" si="35"/>
        <v>#N/A</v>
      </c>
      <c r="AQ26" s="53" t="e">
        <f t="shared" si="11"/>
        <v>#N/A</v>
      </c>
      <c r="AR26" s="54" t="e">
        <f t="shared" si="11"/>
        <v>#N/A</v>
      </c>
      <c r="AS26" s="316">
        <f t="shared" si="83"/>
        <v>0</v>
      </c>
      <c r="AT26" s="106">
        <f>_xlfn.IFNA($M26/VLOOKUP($BT26,'Unit information'!$A$2:$K$29,2,FALSE)*R26,0)*(1+$E$9)</f>
        <v>0</v>
      </c>
      <c r="AU26" s="107">
        <f>_xlfn.IFNA($M26/VLOOKUP($BT26,'Unit information'!$A$2:$K$29,3,FALSE)*S26,0)*(1+$E$9)</f>
        <v>0</v>
      </c>
      <c r="AV26" s="107">
        <f>_xlfn.IFNA($M26/VLOOKUP($BT26,'Unit information'!$A$2:$K$29,4,FALSE)*T26,0)*(1+$E$9)</f>
        <v>0</v>
      </c>
      <c r="AW26" s="107">
        <f>_xlfn.IFNA($M26/VLOOKUP($BT26,'Unit information'!$A$2:$K$29,5,FALSE)*U26,0)*(1+$E$9)</f>
        <v>0</v>
      </c>
      <c r="AX26" s="107">
        <f>_xlfn.IFNA($M26/VLOOKUP($BU26,'Unit information'!$A$2:$K$29,6,FALSE)*V26,0)*(1+$E$9)</f>
        <v>0</v>
      </c>
      <c r="AY26" s="107">
        <f>_xlfn.IFNA($M26/VLOOKUP($BU26,'Unit information'!$A$2:$K$29,7,FALSE)*W26,0)*(1+$E$9)</f>
        <v>0</v>
      </c>
      <c r="AZ26" s="107">
        <f>_xlfn.IFNA($M26/VLOOKUP($BU26,'Unit information'!$A$2:$K$29,8,FALSE)*X26,0)*(1+$E$9)</f>
        <v>0</v>
      </c>
      <c r="BA26" s="107">
        <f>_xlfn.IFNA($M26/VLOOKUP($BU26,'Unit information'!$A$2:$K$29,9,FALSE)*Y26,0)*(1+$E$9)</f>
        <v>0</v>
      </c>
      <c r="BB26" s="107">
        <f>_xlfn.IFNA($M26/VLOOKUP($BV26,'Unit information'!$A$2:$K$29,10,FALSE)*Z26,0)*(1+$E$9)</f>
        <v>0</v>
      </c>
      <c r="BC26" s="108">
        <f>_xlfn.IFNA($M26/VLOOKUP($BV26,'Unit information'!$A$2:$K$29,11,FALSE)*AA26,0)*(1+$E$9)</f>
        <v>0</v>
      </c>
      <c r="BD26" s="106">
        <f t="shared" si="12"/>
        <v>0</v>
      </c>
      <c r="BE26" s="107">
        <f t="shared" si="13"/>
        <v>0</v>
      </c>
      <c r="BF26" s="108">
        <f t="shared" si="14"/>
        <v>0</v>
      </c>
      <c r="BG26" s="25" t="e">
        <f t="shared" si="15"/>
        <v>#N/A</v>
      </c>
      <c r="BH26" s="25" t="e">
        <f t="shared" si="16"/>
        <v>#N/A</v>
      </c>
      <c r="BI26" s="25" t="e">
        <f t="shared" si="17"/>
        <v>#N/A</v>
      </c>
      <c r="BJ26" s="27" t="e">
        <f t="shared" si="18"/>
        <v>#N/A</v>
      </c>
      <c r="BK26" s="18" t="e">
        <f t="shared" si="19"/>
        <v>#N/A</v>
      </c>
      <c r="BL26" s="18" t="e">
        <f t="shared" si="20"/>
        <v>#N/A</v>
      </c>
      <c r="BM26" s="28" t="e">
        <f t="shared" si="84"/>
        <v>#N/A</v>
      </c>
      <c r="BN26" s="33">
        <f>HLOOKUP("maximum population",Miscelaneous!$C$1:$C$33,CH26+3,FALSE)</f>
        <v>240</v>
      </c>
      <c r="BO26" s="14">
        <f t="shared" si="36"/>
        <v>32</v>
      </c>
      <c r="BP26" s="14">
        <f t="shared" si="37"/>
        <v>0</v>
      </c>
      <c r="BQ26" s="14">
        <f t="shared" si="38"/>
        <v>208</v>
      </c>
      <c r="BR26" s="34" t="e">
        <f>HLOOKUP(J26,Villagers!$B$1:$V$33,L26+3,FALSE)-HLOOKUP(J26,Villagers!$B$1:$V$33,L26+2,FALSE)</f>
        <v>#N/A</v>
      </c>
      <c r="BS26" s="49">
        <f t="shared" si="39"/>
        <v>1</v>
      </c>
      <c r="BT26" s="50">
        <f t="shared" si="40"/>
        <v>0</v>
      </c>
      <c r="BU26" s="50">
        <f t="shared" si="41"/>
        <v>0</v>
      </c>
      <c r="BV26" s="50">
        <f t="shared" si="42"/>
        <v>0</v>
      </c>
      <c r="BW26" s="50">
        <f t="shared" si="43"/>
        <v>0</v>
      </c>
      <c r="BX26" s="50">
        <f t="shared" si="44"/>
        <v>0</v>
      </c>
      <c r="BY26" s="50">
        <f t="shared" si="44"/>
        <v>0</v>
      </c>
      <c r="BZ26" s="50">
        <f t="shared" si="45"/>
        <v>0</v>
      </c>
      <c r="CA26" s="50">
        <f t="shared" si="46"/>
        <v>0</v>
      </c>
      <c r="CB26" s="50">
        <f t="shared" si="47"/>
        <v>1</v>
      </c>
      <c r="CC26" s="50">
        <f t="shared" si="48"/>
        <v>0</v>
      </c>
      <c r="CD26" s="50">
        <f t="shared" si="49"/>
        <v>0</v>
      </c>
      <c r="CE26" s="50">
        <f t="shared" si="50"/>
        <v>1</v>
      </c>
      <c r="CF26" s="50">
        <f t="shared" si="51"/>
        <v>1</v>
      </c>
      <c r="CG26" s="50">
        <f t="shared" si="52"/>
        <v>1</v>
      </c>
      <c r="CH26" s="50">
        <f t="shared" si="53"/>
        <v>1</v>
      </c>
      <c r="CI26" s="50">
        <f t="shared" si="54"/>
        <v>1</v>
      </c>
      <c r="CJ26" s="50">
        <f t="shared" si="55"/>
        <v>1</v>
      </c>
      <c r="CK26" s="50">
        <f t="shared" si="56"/>
        <v>0</v>
      </c>
      <c r="CL26" s="50">
        <f t="shared" si="55"/>
        <v>0</v>
      </c>
      <c r="CM26" s="51">
        <f t="shared" si="57"/>
        <v>0</v>
      </c>
      <c r="CN26" s="33">
        <f>ROUND(IF(BS26=0,0,HLOOKUP(BS$14,Villagers!$B$1:$V$33,BS26+3,FALSE)),)</f>
        <v>5</v>
      </c>
      <c r="CO26" s="14">
        <f>ROUND(IF(BT26=0,0,HLOOKUP(BT$14,Villagers!$B$1:$V$33,BT26+3,FALSE)),)</f>
        <v>0</v>
      </c>
      <c r="CP26" s="14">
        <f>ROUND(IF(BU26=0,0,HLOOKUP(BU$14,Villagers!$B$1:$V$33,BU26+3,FALSE)),)</f>
        <v>0</v>
      </c>
      <c r="CQ26" s="14">
        <f>ROUND(IF(BV26=0,0,HLOOKUP(BV$14,Villagers!$B$1:$V$33,BV26+3,FALSE)),)</f>
        <v>0</v>
      </c>
      <c r="CR26" s="14">
        <f>ROUND(IF(BW26=0,0,HLOOKUP(BW$14,Villagers!$B$1:$V$33,BW26+3,FALSE)),)</f>
        <v>0</v>
      </c>
      <c r="CS26" s="14">
        <f>ROUND(IF(BX26=0,0,HLOOKUP(BX$14,Villagers!$B$1:$V$33,BX26+3,FALSE)),)</f>
        <v>0</v>
      </c>
      <c r="CT26" s="14">
        <f>ROUND(IF(BY26=0,0,HLOOKUP(BY$14,Villagers!$B$1:$V$33,BY26+3,FALSE)),)</f>
        <v>0</v>
      </c>
      <c r="CU26" s="14">
        <f>ROUND(IF(BZ26=0,0,HLOOKUP(BZ$14,Villagers!$B$1:$V$33,BZ26+3,FALSE)),)</f>
        <v>0</v>
      </c>
      <c r="CV26" s="14">
        <f>ROUND(IF(CA26=0,0,HLOOKUP(CA$14,Villagers!$B$1:$V$33,CA26+3,FALSE)),)</f>
        <v>0</v>
      </c>
      <c r="CW26" s="14">
        <f>ROUND(IF(CB26=0,0,HLOOKUP(CB$14,Villagers!$B$1:$V$33,CB26+3,FALSE)),)</f>
        <v>0</v>
      </c>
      <c r="CX26" s="14">
        <f>ROUND(IF(CC26=0,0,HLOOKUP(CC$14,Villagers!$B$1:$V$33,CC26+3,FALSE)),)</f>
        <v>0</v>
      </c>
      <c r="CY26" s="14">
        <f>ROUND(IF(CD26=0,0,HLOOKUP(CD$14,Villagers!$B$1:$V$33,CD26+3,FALSE)),)</f>
        <v>0</v>
      </c>
      <c r="CZ26" s="14">
        <f>ROUND(IF(CE26=0,0,HLOOKUP(CE$14,Villagers!$B$1:$V$33,CE26+3,FALSE)),)</f>
        <v>5</v>
      </c>
      <c r="DA26" s="14">
        <f>ROUND(IF(CF26=0,0,HLOOKUP(CF$14,Villagers!$B$1:$V$33,CF26+3,FALSE)),)</f>
        <v>10</v>
      </c>
      <c r="DB26" s="14">
        <f>ROUND(IF(CG26=0,0,HLOOKUP(CG$14,Villagers!$B$1:$V$33,CG26+3,FALSE)),)</f>
        <v>10</v>
      </c>
      <c r="DC26" s="14">
        <f>ROUND(IF(CH26=0,0,HLOOKUP(CH$14,Villagers!$B$1:$V$33,CH26+3,FALSE)),)</f>
        <v>0</v>
      </c>
      <c r="DD26" s="14">
        <f>ROUND(IF(CI26=0,0,HLOOKUP(CI$14,Villagers!$B$1:$V$33,CI26+3,FALSE)),)</f>
        <v>0</v>
      </c>
      <c r="DE26" s="14">
        <f>ROUND(IF(CJ26=0,0,HLOOKUP(CJ$14,Villagers!$B$1:$V$33,CJ26+3,FALSE)),)</f>
        <v>2</v>
      </c>
      <c r="DF26" s="370">
        <f>ROUND(IF(CK26=0,0,HLOOKUP(CK$14,Villagers!$B$1:$V$33,CK26+3,FALSE)),)</f>
        <v>0</v>
      </c>
      <c r="DG26" s="370">
        <f>ROUND(IF(CL26=0,0,HLOOKUP(CL$14,Villagers!$B$1:$V$33,CL26+3,FALSE)),)</f>
        <v>0</v>
      </c>
      <c r="DH26" s="34">
        <f>ROUND(IF(CM26=0,0,HLOOKUP(CM$14,Villagers!$B$1:$V$33,CM26+3,FALSE)),)</f>
        <v>0</v>
      </c>
      <c r="DI26" s="109">
        <f t="shared" si="73"/>
        <v>0</v>
      </c>
      <c r="DJ26" s="50">
        <f t="shared" si="74"/>
        <v>0</v>
      </c>
      <c r="DK26" s="50">
        <f t="shared" si="75"/>
        <v>0</v>
      </c>
      <c r="DL26" s="50">
        <f t="shared" si="76"/>
        <v>0</v>
      </c>
      <c r="DM26" s="50">
        <f t="shared" si="77"/>
        <v>0</v>
      </c>
      <c r="DN26" s="50">
        <f t="shared" si="78"/>
        <v>0</v>
      </c>
      <c r="DO26" s="50">
        <f t="shared" si="79"/>
        <v>0</v>
      </c>
      <c r="DP26" s="50">
        <f t="shared" si="80"/>
        <v>0</v>
      </c>
      <c r="DQ26" s="50">
        <f t="shared" si="59"/>
        <v>0</v>
      </c>
      <c r="DR26" s="50">
        <f t="shared" si="60"/>
        <v>0</v>
      </c>
      <c r="DS26" s="96">
        <f>Miscelaneous!$D$4*Miscelaneous!$D$2^($CI26-1)</f>
        <v>1000</v>
      </c>
      <c r="DT26" s="333">
        <f t="shared" si="61"/>
        <v>1</v>
      </c>
      <c r="DU26" s="81">
        <v>1</v>
      </c>
      <c r="DV26" s="79">
        <f t="shared" si="62"/>
        <v>0</v>
      </c>
      <c r="DW26" s="79">
        <f t="shared" si="23"/>
        <v>0</v>
      </c>
      <c r="DX26" s="79">
        <f t="shared" si="63"/>
        <v>0</v>
      </c>
      <c r="DY26" s="79">
        <v>1</v>
      </c>
      <c r="DZ26" s="79">
        <f t="shared" si="24"/>
        <v>0</v>
      </c>
      <c r="EA26" s="79">
        <f t="shared" si="64"/>
        <v>0</v>
      </c>
      <c r="EB26" s="79">
        <f t="shared" si="65"/>
        <v>0</v>
      </c>
      <c r="EC26" s="79">
        <f t="shared" si="66"/>
        <v>0</v>
      </c>
      <c r="ED26" s="79">
        <v>1</v>
      </c>
      <c r="EE26" s="79">
        <v>1</v>
      </c>
      <c r="EF26" s="79">
        <f t="shared" si="67"/>
        <v>0</v>
      </c>
      <c r="EG26" s="79">
        <v>1</v>
      </c>
      <c r="EH26" s="79">
        <v>1</v>
      </c>
      <c r="EI26" s="79">
        <v>1</v>
      </c>
      <c r="EJ26" s="79">
        <v>1</v>
      </c>
      <c r="EK26" s="79">
        <v>1</v>
      </c>
      <c r="EL26" s="79">
        <v>1</v>
      </c>
      <c r="EM26" s="143">
        <f t="shared" si="68"/>
        <v>0</v>
      </c>
      <c r="EN26" s="143">
        <f t="shared" si="69"/>
        <v>0</v>
      </c>
      <c r="EO26" s="82">
        <f t="shared" si="70"/>
        <v>0</v>
      </c>
    </row>
    <row r="27" spans="1:145" x14ac:dyDescent="0.25">
      <c r="A27">
        <v>13</v>
      </c>
      <c r="B27" s="172" t="e">
        <f t="shared" si="25"/>
        <v>#N/A</v>
      </c>
      <c r="C27" s="121" t="e">
        <f t="shared" si="0"/>
        <v>#N/A</v>
      </c>
      <c r="D27" s="122" t="e">
        <f t="shared" si="1"/>
        <v>#N/A</v>
      </c>
      <c r="E27" s="122" t="e">
        <f t="shared" si="2"/>
        <v>#N/A</v>
      </c>
      <c r="F27" s="176" t="e">
        <f t="shared" si="3"/>
        <v>#N/A</v>
      </c>
      <c r="G27" s="121">
        <f t="shared" si="26"/>
        <v>208</v>
      </c>
      <c r="H27" s="176" t="e">
        <f t="shared" si="27"/>
        <v>#N/A</v>
      </c>
      <c r="I27" s="48">
        <v>1</v>
      </c>
      <c r="J27" s="39"/>
      <c r="K27" s="350">
        <v>1</v>
      </c>
      <c r="L27" s="34" t="e">
        <f t="shared" si="4"/>
        <v>#N/A</v>
      </c>
      <c r="M27" s="38" t="e">
        <f>(HLOOKUP(J27,'Construction Times'!$B$3:$W$34,L27+2,FALSE)*HLOOKUP("hq modifier",'Construction Times'!$W$3:$W$34,BS27+2,FALSE))*(1-$H$9)</f>
        <v>#N/A</v>
      </c>
      <c r="N27" s="443" t="e">
        <f t="shared" si="28"/>
        <v>#N/A</v>
      </c>
      <c r="O27" s="444"/>
      <c r="P27" s="447" t="e">
        <f t="shared" si="29"/>
        <v>#N/A</v>
      </c>
      <c r="Q27" s="448"/>
      <c r="R27" s="103">
        <f t="shared" si="71"/>
        <v>0</v>
      </c>
      <c r="S27" s="104">
        <f t="shared" si="71"/>
        <v>0</v>
      </c>
      <c r="T27" s="104">
        <f t="shared" si="72"/>
        <v>0</v>
      </c>
      <c r="U27" s="104">
        <f t="shared" si="31"/>
        <v>0</v>
      </c>
      <c r="V27" s="104">
        <f t="shared" si="31"/>
        <v>9.9999999999999995E-8</v>
      </c>
      <c r="W27" s="104">
        <f t="shared" si="31"/>
        <v>0</v>
      </c>
      <c r="X27" s="104">
        <f t="shared" si="31"/>
        <v>0</v>
      </c>
      <c r="Y27" s="104">
        <f t="shared" si="31"/>
        <v>9.9999999999999995E-8</v>
      </c>
      <c r="Z27" s="104">
        <f t="shared" si="31"/>
        <v>9.9999999999999995E-8</v>
      </c>
      <c r="AA27" s="105">
        <f t="shared" si="31"/>
        <v>9.9999999999999995E-8</v>
      </c>
      <c r="AB27" s="101" t="e">
        <f>$DT27*HLOOKUP($J27,'Construction Costs (timber)'!$B$1:$V$32,'Construction Planner'!$L27+2,FALSE)</f>
        <v>#N/A</v>
      </c>
      <c r="AC27" s="14" t="e">
        <f>$DT27*HLOOKUP($J27,'Construction Costs (clay)'!$B$1:$V$32,'Construction Planner'!$L27+2,FALSE)</f>
        <v>#N/A</v>
      </c>
      <c r="AD27" s="14" t="e">
        <f>$DT27*HLOOKUP($J27,'Construction Costs (iron)'!$B$1:$V$32,'Construction Planner'!$L27+2,FALSE)</f>
        <v>#N/A</v>
      </c>
      <c r="AE27" s="34" t="e">
        <f t="shared" si="81"/>
        <v>#N/A</v>
      </c>
      <c r="AF27" s="33" t="e">
        <f t="shared" si="5"/>
        <v>#N/A</v>
      </c>
      <c r="AG27" s="14" t="e">
        <f t="shared" si="6"/>
        <v>#N/A</v>
      </c>
      <c r="AH27" s="14" t="e">
        <f t="shared" si="7"/>
        <v>#N/A</v>
      </c>
      <c r="AI27" s="34" t="e">
        <f t="shared" si="82"/>
        <v>#N/A</v>
      </c>
      <c r="AJ27" s="49" t="e">
        <f t="shared" si="32"/>
        <v>#N/A</v>
      </c>
      <c r="AK27" s="49" t="e">
        <f t="shared" si="33"/>
        <v>#N/A</v>
      </c>
      <c r="AL27" s="49" t="e">
        <f t="shared" si="34"/>
        <v>#N/A</v>
      </c>
      <c r="AM27" s="25">
        <f t="shared" si="8"/>
        <v>30</v>
      </c>
      <c r="AN27" s="25">
        <f t="shared" si="9"/>
        <v>30</v>
      </c>
      <c r="AO27" s="25">
        <f t="shared" si="10"/>
        <v>30</v>
      </c>
      <c r="AP27" s="52" t="e">
        <f t="shared" si="35"/>
        <v>#N/A</v>
      </c>
      <c r="AQ27" s="53" t="e">
        <f t="shared" si="11"/>
        <v>#N/A</v>
      </c>
      <c r="AR27" s="54" t="e">
        <f t="shared" si="11"/>
        <v>#N/A</v>
      </c>
      <c r="AS27" s="316">
        <f t="shared" si="83"/>
        <v>0</v>
      </c>
      <c r="AT27" s="106">
        <f>_xlfn.IFNA($M27/VLOOKUP($BT27,'Unit information'!$A$2:$K$29,2,FALSE)*R27,0)*(1+$E$9)</f>
        <v>0</v>
      </c>
      <c r="AU27" s="107">
        <f>_xlfn.IFNA($M27/VLOOKUP($BT27,'Unit information'!$A$2:$K$29,3,FALSE)*S27,0)*(1+$E$9)</f>
        <v>0</v>
      </c>
      <c r="AV27" s="107">
        <f>_xlfn.IFNA($M27/VLOOKUP($BT27,'Unit information'!$A$2:$K$29,4,FALSE)*T27,0)*(1+$E$9)</f>
        <v>0</v>
      </c>
      <c r="AW27" s="107">
        <f>_xlfn.IFNA($M27/VLOOKUP($BT27,'Unit information'!$A$2:$K$29,5,FALSE)*U27,0)*(1+$E$9)</f>
        <v>0</v>
      </c>
      <c r="AX27" s="107">
        <f>_xlfn.IFNA($M27/VLOOKUP($BU27,'Unit information'!$A$2:$K$29,6,FALSE)*V27,0)*(1+$E$9)</f>
        <v>0</v>
      </c>
      <c r="AY27" s="107">
        <f>_xlfn.IFNA($M27/VLOOKUP($BU27,'Unit information'!$A$2:$K$29,7,FALSE)*W27,0)*(1+$E$9)</f>
        <v>0</v>
      </c>
      <c r="AZ27" s="107">
        <f>_xlfn.IFNA($M27/VLOOKUP($BU27,'Unit information'!$A$2:$K$29,8,FALSE)*X27,0)*(1+$E$9)</f>
        <v>0</v>
      </c>
      <c r="BA27" s="107">
        <f>_xlfn.IFNA($M27/VLOOKUP($BU27,'Unit information'!$A$2:$K$29,9,FALSE)*Y27,0)*(1+$E$9)</f>
        <v>0</v>
      </c>
      <c r="BB27" s="107">
        <f>_xlfn.IFNA($M27/VLOOKUP($BV27,'Unit information'!$A$2:$K$29,10,FALSE)*Z27,0)*(1+$E$9)</f>
        <v>0</v>
      </c>
      <c r="BC27" s="108">
        <f>_xlfn.IFNA($M27/VLOOKUP($BV27,'Unit information'!$A$2:$K$29,11,FALSE)*AA27,0)*(1+$E$9)</f>
        <v>0</v>
      </c>
      <c r="BD27" s="106">
        <f t="shared" si="12"/>
        <v>0</v>
      </c>
      <c r="BE27" s="107">
        <f t="shared" si="13"/>
        <v>0</v>
      </c>
      <c r="BF27" s="108">
        <f t="shared" si="14"/>
        <v>0</v>
      </c>
      <c r="BG27" s="25" t="e">
        <f t="shared" si="15"/>
        <v>#N/A</v>
      </c>
      <c r="BH27" s="25" t="e">
        <f t="shared" si="16"/>
        <v>#N/A</v>
      </c>
      <c r="BI27" s="25" t="e">
        <f t="shared" si="17"/>
        <v>#N/A</v>
      </c>
      <c r="BJ27" s="27" t="e">
        <f t="shared" si="18"/>
        <v>#N/A</v>
      </c>
      <c r="BK27" s="18" t="e">
        <f t="shared" si="19"/>
        <v>#N/A</v>
      </c>
      <c r="BL27" s="18" t="e">
        <f t="shared" si="20"/>
        <v>#N/A</v>
      </c>
      <c r="BM27" s="28" t="e">
        <f t="shared" si="84"/>
        <v>#N/A</v>
      </c>
      <c r="BN27" s="33">
        <f>HLOOKUP("maximum population",Miscelaneous!$C$1:$C$33,CH27+3,FALSE)</f>
        <v>240</v>
      </c>
      <c r="BO27" s="14">
        <f t="shared" si="36"/>
        <v>32</v>
      </c>
      <c r="BP27" s="14">
        <f t="shared" si="37"/>
        <v>0</v>
      </c>
      <c r="BQ27" s="14">
        <f t="shared" si="38"/>
        <v>208</v>
      </c>
      <c r="BR27" s="34" t="e">
        <f>HLOOKUP(J27,Villagers!$B$1:$V$33,L27+3,FALSE)-HLOOKUP(J27,Villagers!$B$1:$V$33,L27+2,FALSE)</f>
        <v>#N/A</v>
      </c>
      <c r="BS27" s="49">
        <f t="shared" si="39"/>
        <v>1</v>
      </c>
      <c r="BT27" s="50">
        <f t="shared" si="40"/>
        <v>0</v>
      </c>
      <c r="BU27" s="50">
        <f t="shared" si="41"/>
        <v>0</v>
      </c>
      <c r="BV27" s="50">
        <f t="shared" si="42"/>
        <v>0</v>
      </c>
      <c r="BW27" s="50">
        <f t="shared" si="43"/>
        <v>0</v>
      </c>
      <c r="BX27" s="50">
        <f t="shared" si="44"/>
        <v>0</v>
      </c>
      <c r="BY27" s="50">
        <f t="shared" si="44"/>
        <v>0</v>
      </c>
      <c r="BZ27" s="50">
        <f t="shared" si="45"/>
        <v>0</v>
      </c>
      <c r="CA27" s="50">
        <f t="shared" si="46"/>
        <v>0</v>
      </c>
      <c r="CB27" s="50">
        <f t="shared" si="47"/>
        <v>1</v>
      </c>
      <c r="CC27" s="50">
        <f t="shared" si="48"/>
        <v>0</v>
      </c>
      <c r="CD27" s="50">
        <f t="shared" si="49"/>
        <v>0</v>
      </c>
      <c r="CE27" s="50">
        <f t="shared" si="50"/>
        <v>1</v>
      </c>
      <c r="CF27" s="50">
        <f t="shared" si="51"/>
        <v>1</v>
      </c>
      <c r="CG27" s="50">
        <f t="shared" si="52"/>
        <v>1</v>
      </c>
      <c r="CH27" s="50">
        <f t="shared" si="53"/>
        <v>1</v>
      </c>
      <c r="CI27" s="50">
        <f t="shared" si="54"/>
        <v>1</v>
      </c>
      <c r="CJ27" s="50">
        <f t="shared" si="55"/>
        <v>1</v>
      </c>
      <c r="CK27" s="50">
        <f t="shared" si="56"/>
        <v>0</v>
      </c>
      <c r="CL27" s="50">
        <f t="shared" si="55"/>
        <v>0</v>
      </c>
      <c r="CM27" s="51">
        <f t="shared" si="57"/>
        <v>0</v>
      </c>
      <c r="CN27" s="33">
        <f>ROUND(IF(BS27=0,0,HLOOKUP(BS$14,Villagers!$B$1:$V$33,BS27+3,FALSE)),)</f>
        <v>5</v>
      </c>
      <c r="CO27" s="14">
        <f>ROUND(IF(BT27=0,0,HLOOKUP(BT$14,Villagers!$B$1:$V$33,BT27+3,FALSE)),)</f>
        <v>0</v>
      </c>
      <c r="CP27" s="14">
        <f>ROUND(IF(BU27=0,0,HLOOKUP(BU$14,Villagers!$B$1:$V$33,BU27+3,FALSE)),)</f>
        <v>0</v>
      </c>
      <c r="CQ27" s="14">
        <f>ROUND(IF(BV27=0,0,HLOOKUP(BV$14,Villagers!$B$1:$V$33,BV27+3,FALSE)),)</f>
        <v>0</v>
      </c>
      <c r="CR27" s="14">
        <f>ROUND(IF(BW27=0,0,HLOOKUP(BW$14,Villagers!$B$1:$V$33,BW27+3,FALSE)),)</f>
        <v>0</v>
      </c>
      <c r="CS27" s="14">
        <f>ROUND(IF(BX27=0,0,HLOOKUP(BX$14,Villagers!$B$1:$V$33,BX27+3,FALSE)),)</f>
        <v>0</v>
      </c>
      <c r="CT27" s="14">
        <f>ROUND(IF(BY27=0,0,HLOOKUP(BY$14,Villagers!$B$1:$V$33,BY27+3,FALSE)),)</f>
        <v>0</v>
      </c>
      <c r="CU27" s="14">
        <f>ROUND(IF(BZ27=0,0,HLOOKUP(BZ$14,Villagers!$B$1:$V$33,BZ27+3,FALSE)),)</f>
        <v>0</v>
      </c>
      <c r="CV27" s="14">
        <f>ROUND(IF(CA27=0,0,HLOOKUP(CA$14,Villagers!$B$1:$V$33,CA27+3,FALSE)),)</f>
        <v>0</v>
      </c>
      <c r="CW27" s="14">
        <f>ROUND(IF(CB27=0,0,HLOOKUP(CB$14,Villagers!$B$1:$V$33,CB27+3,FALSE)),)</f>
        <v>0</v>
      </c>
      <c r="CX27" s="14">
        <f>ROUND(IF(CC27=0,0,HLOOKUP(CC$14,Villagers!$B$1:$V$33,CC27+3,FALSE)),)</f>
        <v>0</v>
      </c>
      <c r="CY27" s="14">
        <f>ROUND(IF(CD27=0,0,HLOOKUP(CD$14,Villagers!$B$1:$V$33,CD27+3,FALSE)),)</f>
        <v>0</v>
      </c>
      <c r="CZ27" s="14">
        <f>ROUND(IF(CE27=0,0,HLOOKUP(CE$14,Villagers!$B$1:$V$33,CE27+3,FALSE)),)</f>
        <v>5</v>
      </c>
      <c r="DA27" s="14">
        <f>ROUND(IF(CF27=0,0,HLOOKUP(CF$14,Villagers!$B$1:$V$33,CF27+3,FALSE)),)</f>
        <v>10</v>
      </c>
      <c r="DB27" s="14">
        <f>ROUND(IF(CG27=0,0,HLOOKUP(CG$14,Villagers!$B$1:$V$33,CG27+3,FALSE)),)</f>
        <v>10</v>
      </c>
      <c r="DC27" s="14">
        <f>ROUND(IF(CH27=0,0,HLOOKUP(CH$14,Villagers!$B$1:$V$33,CH27+3,FALSE)),)</f>
        <v>0</v>
      </c>
      <c r="DD27" s="14">
        <f>ROUND(IF(CI27=0,0,HLOOKUP(CI$14,Villagers!$B$1:$V$33,CI27+3,FALSE)),)</f>
        <v>0</v>
      </c>
      <c r="DE27" s="14">
        <f>ROUND(IF(CJ27=0,0,HLOOKUP(CJ$14,Villagers!$B$1:$V$33,CJ27+3,FALSE)),)</f>
        <v>2</v>
      </c>
      <c r="DF27" s="370">
        <f>ROUND(IF(CK27=0,0,HLOOKUP(CK$14,Villagers!$B$1:$V$33,CK27+3,FALSE)),)</f>
        <v>0</v>
      </c>
      <c r="DG27" s="370">
        <f>ROUND(IF(CL27=0,0,HLOOKUP(CL$14,Villagers!$B$1:$V$33,CL27+3,FALSE)),)</f>
        <v>0</v>
      </c>
      <c r="DH27" s="34">
        <f>ROUND(IF(CM27=0,0,HLOOKUP(CM$14,Villagers!$B$1:$V$33,CM27+3,FALSE)),)</f>
        <v>0</v>
      </c>
      <c r="DI27" s="109">
        <f t="shared" si="73"/>
        <v>0</v>
      </c>
      <c r="DJ27" s="50">
        <f t="shared" si="74"/>
        <v>0</v>
      </c>
      <c r="DK27" s="50">
        <f t="shared" si="75"/>
        <v>0</v>
      </c>
      <c r="DL27" s="50">
        <f t="shared" si="76"/>
        <v>0</v>
      </c>
      <c r="DM27" s="50">
        <f t="shared" si="77"/>
        <v>0</v>
      </c>
      <c r="DN27" s="50">
        <f t="shared" si="78"/>
        <v>0</v>
      </c>
      <c r="DO27" s="50">
        <f t="shared" si="79"/>
        <v>0</v>
      </c>
      <c r="DP27" s="50">
        <f t="shared" si="80"/>
        <v>0</v>
      </c>
      <c r="DQ27" s="50">
        <f t="shared" si="59"/>
        <v>0</v>
      </c>
      <c r="DR27" s="50">
        <f t="shared" si="60"/>
        <v>0</v>
      </c>
      <c r="DS27" s="96">
        <f>Miscelaneous!$D$4*Miscelaneous!$D$2^($CI27-1)</f>
        <v>1000</v>
      </c>
      <c r="DT27" s="333">
        <f t="shared" si="61"/>
        <v>1</v>
      </c>
      <c r="DU27" s="81">
        <v>1</v>
      </c>
      <c r="DV27" s="79">
        <f t="shared" si="62"/>
        <v>0</v>
      </c>
      <c r="DW27" s="79">
        <f t="shared" si="23"/>
        <v>0</v>
      </c>
      <c r="DX27" s="79">
        <f t="shared" si="63"/>
        <v>0</v>
      </c>
      <c r="DY27" s="79">
        <v>1</v>
      </c>
      <c r="DZ27" s="79">
        <f t="shared" si="24"/>
        <v>0</v>
      </c>
      <c r="EA27" s="79">
        <f t="shared" si="64"/>
        <v>0</v>
      </c>
      <c r="EB27" s="79">
        <f t="shared" si="65"/>
        <v>0</v>
      </c>
      <c r="EC27" s="79">
        <f t="shared" si="66"/>
        <v>0</v>
      </c>
      <c r="ED27" s="79">
        <v>1</v>
      </c>
      <c r="EE27" s="79">
        <v>1</v>
      </c>
      <c r="EF27" s="79">
        <f t="shared" si="67"/>
        <v>0</v>
      </c>
      <c r="EG27" s="79">
        <v>1</v>
      </c>
      <c r="EH27" s="79">
        <v>1</v>
      </c>
      <c r="EI27" s="79">
        <v>1</v>
      </c>
      <c r="EJ27" s="79">
        <v>1</v>
      </c>
      <c r="EK27" s="79">
        <v>1</v>
      </c>
      <c r="EL27" s="79">
        <v>1</v>
      </c>
      <c r="EM27" s="143">
        <f t="shared" si="68"/>
        <v>0</v>
      </c>
      <c r="EN27" s="143">
        <f t="shared" si="69"/>
        <v>0</v>
      </c>
      <c r="EO27" s="82">
        <f t="shared" si="70"/>
        <v>0</v>
      </c>
    </row>
    <row r="28" spans="1:145" x14ac:dyDescent="0.25">
      <c r="A28">
        <v>14</v>
      </c>
      <c r="B28" s="172" t="e">
        <f t="shared" si="25"/>
        <v>#N/A</v>
      </c>
      <c r="C28" s="121" t="e">
        <f t="shared" si="0"/>
        <v>#N/A</v>
      </c>
      <c r="D28" s="122" t="e">
        <f t="shared" si="1"/>
        <v>#N/A</v>
      </c>
      <c r="E28" s="122" t="e">
        <f t="shared" si="2"/>
        <v>#N/A</v>
      </c>
      <c r="F28" s="176" t="e">
        <f t="shared" si="3"/>
        <v>#N/A</v>
      </c>
      <c r="G28" s="121">
        <f t="shared" si="26"/>
        <v>208</v>
      </c>
      <c r="H28" s="176" t="e">
        <f t="shared" si="27"/>
        <v>#N/A</v>
      </c>
      <c r="I28" s="48">
        <v>1</v>
      </c>
      <c r="J28" s="39"/>
      <c r="K28" s="350">
        <v>1</v>
      </c>
      <c r="L28" s="34" t="e">
        <f t="shared" si="4"/>
        <v>#N/A</v>
      </c>
      <c r="M28" s="38" t="e">
        <f>(HLOOKUP(J28,'Construction Times'!$B$3:$W$34,L28+2,FALSE)*HLOOKUP("hq modifier",'Construction Times'!$W$3:$W$34,BS28+2,FALSE))*(1-$H$9)</f>
        <v>#N/A</v>
      </c>
      <c r="N28" s="443" t="e">
        <f t="shared" si="28"/>
        <v>#N/A</v>
      </c>
      <c r="O28" s="444"/>
      <c r="P28" s="447" t="e">
        <f t="shared" si="29"/>
        <v>#N/A</v>
      </c>
      <c r="Q28" s="448"/>
      <c r="R28" s="103">
        <f t="shared" si="71"/>
        <v>0</v>
      </c>
      <c r="S28" s="104">
        <f t="shared" si="71"/>
        <v>0</v>
      </c>
      <c r="T28" s="104">
        <f t="shared" si="72"/>
        <v>0</v>
      </c>
      <c r="U28" s="104">
        <f t="shared" si="31"/>
        <v>0</v>
      </c>
      <c r="V28" s="104">
        <f t="shared" si="31"/>
        <v>9.9999999999999995E-8</v>
      </c>
      <c r="W28" s="104">
        <f t="shared" si="31"/>
        <v>0</v>
      </c>
      <c r="X28" s="104">
        <f t="shared" si="31"/>
        <v>0</v>
      </c>
      <c r="Y28" s="104">
        <f t="shared" si="31"/>
        <v>9.9999999999999995E-8</v>
      </c>
      <c r="Z28" s="104">
        <f t="shared" si="31"/>
        <v>9.9999999999999995E-8</v>
      </c>
      <c r="AA28" s="105">
        <f t="shared" si="31"/>
        <v>9.9999999999999995E-8</v>
      </c>
      <c r="AB28" s="101" t="e">
        <f>$DT28*HLOOKUP($J28,'Construction Costs (timber)'!$B$1:$V$32,'Construction Planner'!$L28+2,FALSE)</f>
        <v>#N/A</v>
      </c>
      <c r="AC28" s="14" t="e">
        <f>$DT28*HLOOKUP($J28,'Construction Costs (clay)'!$B$1:$V$32,'Construction Planner'!$L28+2,FALSE)</f>
        <v>#N/A</v>
      </c>
      <c r="AD28" s="14" t="e">
        <f>$DT28*HLOOKUP($J28,'Construction Costs (iron)'!$B$1:$V$32,'Construction Planner'!$L28+2,FALSE)</f>
        <v>#N/A</v>
      </c>
      <c r="AE28" s="34" t="e">
        <f t="shared" si="81"/>
        <v>#N/A</v>
      </c>
      <c r="AF28" s="33" t="e">
        <f t="shared" si="5"/>
        <v>#N/A</v>
      </c>
      <c r="AG28" s="14" t="e">
        <f t="shared" si="6"/>
        <v>#N/A</v>
      </c>
      <c r="AH28" s="14" t="e">
        <f t="shared" si="7"/>
        <v>#N/A</v>
      </c>
      <c r="AI28" s="34" t="e">
        <f t="shared" si="82"/>
        <v>#N/A</v>
      </c>
      <c r="AJ28" s="49" t="e">
        <f t="shared" si="32"/>
        <v>#N/A</v>
      </c>
      <c r="AK28" s="49" t="e">
        <f t="shared" si="33"/>
        <v>#N/A</v>
      </c>
      <c r="AL28" s="49" t="e">
        <f t="shared" si="34"/>
        <v>#N/A</v>
      </c>
      <c r="AM28" s="25">
        <f t="shared" si="8"/>
        <v>30</v>
      </c>
      <c r="AN28" s="25">
        <f t="shared" si="9"/>
        <v>30</v>
      </c>
      <c r="AO28" s="25">
        <f t="shared" si="10"/>
        <v>30</v>
      </c>
      <c r="AP28" s="52" t="e">
        <f t="shared" si="35"/>
        <v>#N/A</v>
      </c>
      <c r="AQ28" s="53" t="e">
        <f t="shared" si="11"/>
        <v>#N/A</v>
      </c>
      <c r="AR28" s="54" t="e">
        <f t="shared" si="11"/>
        <v>#N/A</v>
      </c>
      <c r="AS28" s="316">
        <f t="shared" si="83"/>
        <v>0</v>
      </c>
      <c r="AT28" s="106">
        <f>_xlfn.IFNA($M28/VLOOKUP($BT28,'Unit information'!$A$2:$K$29,2,FALSE)*R28,0)*(1+$E$9)</f>
        <v>0</v>
      </c>
      <c r="AU28" s="107">
        <f>_xlfn.IFNA($M28/VLOOKUP($BT28,'Unit information'!$A$2:$K$29,3,FALSE)*S28,0)*(1+$E$9)</f>
        <v>0</v>
      </c>
      <c r="AV28" s="107">
        <f>_xlfn.IFNA($M28/VLOOKUP($BT28,'Unit information'!$A$2:$K$29,4,FALSE)*T28,0)*(1+$E$9)</f>
        <v>0</v>
      </c>
      <c r="AW28" s="107">
        <f>_xlfn.IFNA($M28/VLOOKUP($BT28,'Unit information'!$A$2:$K$29,5,FALSE)*U28,0)*(1+$E$9)</f>
        <v>0</v>
      </c>
      <c r="AX28" s="107">
        <f>_xlfn.IFNA($M28/VLOOKUP($BU28,'Unit information'!$A$2:$K$29,6,FALSE)*V28,0)*(1+$E$9)</f>
        <v>0</v>
      </c>
      <c r="AY28" s="107">
        <f>_xlfn.IFNA($M28/VLOOKUP($BU28,'Unit information'!$A$2:$K$29,7,FALSE)*W28,0)*(1+$E$9)</f>
        <v>0</v>
      </c>
      <c r="AZ28" s="107">
        <f>_xlfn.IFNA($M28/VLOOKUP($BU28,'Unit information'!$A$2:$K$29,8,FALSE)*X28,0)*(1+$E$9)</f>
        <v>0</v>
      </c>
      <c r="BA28" s="107">
        <f>_xlfn.IFNA($M28/VLOOKUP($BU28,'Unit information'!$A$2:$K$29,9,FALSE)*Y28,0)*(1+$E$9)</f>
        <v>0</v>
      </c>
      <c r="BB28" s="107">
        <f>_xlfn.IFNA($M28/VLOOKUP($BV28,'Unit information'!$A$2:$K$29,10,FALSE)*Z28,0)*(1+$E$9)</f>
        <v>0</v>
      </c>
      <c r="BC28" s="108">
        <f>_xlfn.IFNA($M28/VLOOKUP($BV28,'Unit information'!$A$2:$K$29,11,FALSE)*AA28,0)*(1+$E$9)</f>
        <v>0</v>
      </c>
      <c r="BD28" s="106">
        <f t="shared" si="12"/>
        <v>0</v>
      </c>
      <c r="BE28" s="107">
        <f t="shared" si="13"/>
        <v>0</v>
      </c>
      <c r="BF28" s="108">
        <f t="shared" si="14"/>
        <v>0</v>
      </c>
      <c r="BG28" s="25" t="e">
        <f t="shared" si="15"/>
        <v>#N/A</v>
      </c>
      <c r="BH28" s="25" t="e">
        <f t="shared" si="16"/>
        <v>#N/A</v>
      </c>
      <c r="BI28" s="25" t="e">
        <f t="shared" si="17"/>
        <v>#N/A</v>
      </c>
      <c r="BJ28" s="27" t="e">
        <f t="shared" si="18"/>
        <v>#N/A</v>
      </c>
      <c r="BK28" s="18" t="e">
        <f t="shared" si="19"/>
        <v>#N/A</v>
      </c>
      <c r="BL28" s="18" t="e">
        <f t="shared" si="20"/>
        <v>#N/A</v>
      </c>
      <c r="BM28" s="28" t="e">
        <f t="shared" si="84"/>
        <v>#N/A</v>
      </c>
      <c r="BN28" s="33">
        <f>HLOOKUP("maximum population",Miscelaneous!$C$1:$C$33,CH28+3,FALSE)</f>
        <v>240</v>
      </c>
      <c r="BO28" s="14">
        <f t="shared" si="36"/>
        <v>32</v>
      </c>
      <c r="BP28" s="14">
        <f t="shared" si="37"/>
        <v>0</v>
      </c>
      <c r="BQ28" s="14">
        <f t="shared" si="38"/>
        <v>208</v>
      </c>
      <c r="BR28" s="34" t="e">
        <f>HLOOKUP(J28,Villagers!$B$1:$V$33,L28+3,FALSE)-HLOOKUP(J28,Villagers!$B$1:$V$33,L28+2,FALSE)</f>
        <v>#N/A</v>
      </c>
      <c r="BS28" s="49">
        <f t="shared" si="39"/>
        <v>1</v>
      </c>
      <c r="BT28" s="50">
        <f t="shared" si="40"/>
        <v>0</v>
      </c>
      <c r="BU28" s="50">
        <f t="shared" si="41"/>
        <v>0</v>
      </c>
      <c r="BV28" s="50">
        <f t="shared" si="42"/>
        <v>0</v>
      </c>
      <c r="BW28" s="50">
        <f t="shared" si="43"/>
        <v>0</v>
      </c>
      <c r="BX28" s="50">
        <f t="shared" si="44"/>
        <v>0</v>
      </c>
      <c r="BY28" s="50">
        <f t="shared" si="44"/>
        <v>0</v>
      </c>
      <c r="BZ28" s="50">
        <f t="shared" si="45"/>
        <v>0</v>
      </c>
      <c r="CA28" s="50">
        <f t="shared" si="46"/>
        <v>0</v>
      </c>
      <c r="CB28" s="50">
        <f t="shared" si="47"/>
        <v>1</v>
      </c>
      <c r="CC28" s="50">
        <f t="shared" si="48"/>
        <v>0</v>
      </c>
      <c r="CD28" s="50">
        <f t="shared" si="49"/>
        <v>0</v>
      </c>
      <c r="CE28" s="50">
        <f t="shared" si="50"/>
        <v>1</v>
      </c>
      <c r="CF28" s="50">
        <f t="shared" si="51"/>
        <v>1</v>
      </c>
      <c r="CG28" s="50">
        <f t="shared" si="52"/>
        <v>1</v>
      </c>
      <c r="CH28" s="50">
        <f t="shared" si="53"/>
        <v>1</v>
      </c>
      <c r="CI28" s="50">
        <f t="shared" si="54"/>
        <v>1</v>
      </c>
      <c r="CJ28" s="50">
        <f t="shared" si="55"/>
        <v>1</v>
      </c>
      <c r="CK28" s="50">
        <f t="shared" si="56"/>
        <v>0</v>
      </c>
      <c r="CL28" s="50">
        <f t="shared" si="55"/>
        <v>0</v>
      </c>
      <c r="CM28" s="51">
        <f t="shared" si="57"/>
        <v>0</v>
      </c>
      <c r="CN28" s="33">
        <f>ROUND(IF(BS28=0,0,HLOOKUP(BS$14,Villagers!$B$1:$V$33,BS28+3,FALSE)),)</f>
        <v>5</v>
      </c>
      <c r="CO28" s="14">
        <f>ROUND(IF(BT28=0,0,HLOOKUP(BT$14,Villagers!$B$1:$V$33,BT28+3,FALSE)),)</f>
        <v>0</v>
      </c>
      <c r="CP28" s="14">
        <f>ROUND(IF(BU28=0,0,HLOOKUP(BU$14,Villagers!$B$1:$V$33,BU28+3,FALSE)),)</f>
        <v>0</v>
      </c>
      <c r="CQ28" s="14">
        <f>ROUND(IF(BV28=0,0,HLOOKUP(BV$14,Villagers!$B$1:$V$33,BV28+3,FALSE)),)</f>
        <v>0</v>
      </c>
      <c r="CR28" s="14">
        <f>ROUND(IF(BW28=0,0,HLOOKUP(BW$14,Villagers!$B$1:$V$33,BW28+3,FALSE)),)</f>
        <v>0</v>
      </c>
      <c r="CS28" s="14">
        <f>ROUND(IF(BX28=0,0,HLOOKUP(BX$14,Villagers!$B$1:$V$33,BX28+3,FALSE)),)</f>
        <v>0</v>
      </c>
      <c r="CT28" s="14">
        <f>ROUND(IF(BY28=0,0,HLOOKUP(BY$14,Villagers!$B$1:$V$33,BY28+3,FALSE)),)</f>
        <v>0</v>
      </c>
      <c r="CU28" s="14">
        <f>ROUND(IF(BZ28=0,0,HLOOKUP(BZ$14,Villagers!$B$1:$V$33,BZ28+3,FALSE)),)</f>
        <v>0</v>
      </c>
      <c r="CV28" s="14">
        <f>ROUND(IF(CA28=0,0,HLOOKUP(CA$14,Villagers!$B$1:$V$33,CA28+3,FALSE)),)</f>
        <v>0</v>
      </c>
      <c r="CW28" s="14">
        <f>ROUND(IF(CB28=0,0,HLOOKUP(CB$14,Villagers!$B$1:$V$33,CB28+3,FALSE)),)</f>
        <v>0</v>
      </c>
      <c r="CX28" s="14">
        <f>ROUND(IF(CC28=0,0,HLOOKUP(CC$14,Villagers!$B$1:$V$33,CC28+3,FALSE)),)</f>
        <v>0</v>
      </c>
      <c r="CY28" s="14">
        <f>ROUND(IF(CD28=0,0,HLOOKUP(CD$14,Villagers!$B$1:$V$33,CD28+3,FALSE)),)</f>
        <v>0</v>
      </c>
      <c r="CZ28" s="14">
        <f>ROUND(IF(CE28=0,0,HLOOKUP(CE$14,Villagers!$B$1:$V$33,CE28+3,FALSE)),)</f>
        <v>5</v>
      </c>
      <c r="DA28" s="14">
        <f>ROUND(IF(CF28=0,0,HLOOKUP(CF$14,Villagers!$B$1:$V$33,CF28+3,FALSE)),)</f>
        <v>10</v>
      </c>
      <c r="DB28" s="14">
        <f>ROUND(IF(CG28=0,0,HLOOKUP(CG$14,Villagers!$B$1:$V$33,CG28+3,FALSE)),)</f>
        <v>10</v>
      </c>
      <c r="DC28" s="14">
        <f>ROUND(IF(CH28=0,0,HLOOKUP(CH$14,Villagers!$B$1:$V$33,CH28+3,FALSE)),)</f>
        <v>0</v>
      </c>
      <c r="DD28" s="14">
        <f>ROUND(IF(CI28=0,0,HLOOKUP(CI$14,Villagers!$B$1:$V$33,CI28+3,FALSE)),)</f>
        <v>0</v>
      </c>
      <c r="DE28" s="14">
        <f>ROUND(IF(CJ28=0,0,HLOOKUP(CJ$14,Villagers!$B$1:$V$33,CJ28+3,FALSE)),)</f>
        <v>2</v>
      </c>
      <c r="DF28" s="370">
        <f>ROUND(IF(CK28=0,0,HLOOKUP(CK$14,Villagers!$B$1:$V$33,CK28+3,FALSE)),)</f>
        <v>0</v>
      </c>
      <c r="DG28" s="370">
        <f>ROUND(IF(CL28=0,0,HLOOKUP(CL$14,Villagers!$B$1:$V$33,CL28+3,FALSE)),)</f>
        <v>0</v>
      </c>
      <c r="DH28" s="34">
        <f>ROUND(IF(CM28=0,0,HLOOKUP(CM$14,Villagers!$B$1:$V$33,CM28+3,FALSE)),)</f>
        <v>0</v>
      </c>
      <c r="DI28" s="109">
        <f t="shared" si="73"/>
        <v>0</v>
      </c>
      <c r="DJ28" s="50">
        <f t="shared" si="74"/>
        <v>0</v>
      </c>
      <c r="DK28" s="50">
        <f t="shared" si="75"/>
        <v>0</v>
      </c>
      <c r="DL28" s="50">
        <f t="shared" si="76"/>
        <v>0</v>
      </c>
      <c r="DM28" s="50">
        <f t="shared" si="77"/>
        <v>0</v>
      </c>
      <c r="DN28" s="50">
        <f t="shared" si="78"/>
        <v>0</v>
      </c>
      <c r="DO28" s="50">
        <f t="shared" si="79"/>
        <v>0</v>
      </c>
      <c r="DP28" s="50">
        <f t="shared" si="80"/>
        <v>0</v>
      </c>
      <c r="DQ28" s="50">
        <f t="shared" si="59"/>
        <v>0</v>
      </c>
      <c r="DR28" s="50">
        <f t="shared" si="60"/>
        <v>0</v>
      </c>
      <c r="DS28" s="96">
        <f>Miscelaneous!$D$4*Miscelaneous!$D$2^($CI28-1)</f>
        <v>1000</v>
      </c>
      <c r="DT28" s="333">
        <f t="shared" si="61"/>
        <v>1</v>
      </c>
      <c r="DU28" s="81">
        <v>1</v>
      </c>
      <c r="DV28" s="79">
        <f t="shared" si="62"/>
        <v>0</v>
      </c>
      <c r="DW28" s="79">
        <f t="shared" si="23"/>
        <v>0</v>
      </c>
      <c r="DX28" s="79">
        <f t="shared" si="63"/>
        <v>0</v>
      </c>
      <c r="DY28" s="79">
        <v>1</v>
      </c>
      <c r="DZ28" s="79">
        <f t="shared" si="24"/>
        <v>0</v>
      </c>
      <c r="EA28" s="79">
        <f t="shared" si="64"/>
        <v>0</v>
      </c>
      <c r="EB28" s="79">
        <f t="shared" si="65"/>
        <v>0</v>
      </c>
      <c r="EC28" s="79">
        <f t="shared" si="66"/>
        <v>0</v>
      </c>
      <c r="ED28" s="79">
        <v>1</v>
      </c>
      <c r="EE28" s="79">
        <v>1</v>
      </c>
      <c r="EF28" s="79">
        <f t="shared" si="67"/>
        <v>0</v>
      </c>
      <c r="EG28" s="79">
        <v>1</v>
      </c>
      <c r="EH28" s="79">
        <v>1</v>
      </c>
      <c r="EI28" s="79">
        <v>1</v>
      </c>
      <c r="EJ28" s="79">
        <v>1</v>
      </c>
      <c r="EK28" s="79">
        <v>1</v>
      </c>
      <c r="EL28" s="79">
        <v>1</v>
      </c>
      <c r="EM28" s="143">
        <f t="shared" si="68"/>
        <v>0</v>
      </c>
      <c r="EN28" s="143">
        <f t="shared" si="69"/>
        <v>0</v>
      </c>
      <c r="EO28" s="82">
        <f t="shared" si="70"/>
        <v>0</v>
      </c>
    </row>
    <row r="29" spans="1:145" x14ac:dyDescent="0.25">
      <c r="A29">
        <v>15</v>
      </c>
      <c r="B29" s="172" t="e">
        <f t="shared" si="25"/>
        <v>#N/A</v>
      </c>
      <c r="C29" s="121" t="e">
        <f t="shared" si="0"/>
        <v>#N/A</v>
      </c>
      <c r="D29" s="122" t="e">
        <f t="shared" si="1"/>
        <v>#N/A</v>
      </c>
      <c r="E29" s="122" t="e">
        <f t="shared" si="2"/>
        <v>#N/A</v>
      </c>
      <c r="F29" s="176" t="e">
        <f t="shared" si="3"/>
        <v>#N/A</v>
      </c>
      <c r="G29" s="121">
        <f t="shared" si="26"/>
        <v>208</v>
      </c>
      <c r="H29" s="176" t="e">
        <f t="shared" si="27"/>
        <v>#N/A</v>
      </c>
      <c r="I29" s="48">
        <v>1</v>
      </c>
      <c r="J29" s="39"/>
      <c r="K29" s="350">
        <v>1</v>
      </c>
      <c r="L29" s="34" t="e">
        <f t="shared" si="4"/>
        <v>#N/A</v>
      </c>
      <c r="M29" s="38" t="e">
        <f>(HLOOKUP(J29,'Construction Times'!$B$3:$W$34,L29+2,FALSE)*HLOOKUP("hq modifier",'Construction Times'!$W$3:$W$34,BS29+2,FALSE))*(1-$H$9)</f>
        <v>#N/A</v>
      </c>
      <c r="N29" s="443" t="e">
        <f t="shared" si="28"/>
        <v>#N/A</v>
      </c>
      <c r="O29" s="444"/>
      <c r="P29" s="447" t="e">
        <f t="shared" si="29"/>
        <v>#N/A</v>
      </c>
      <c r="Q29" s="448"/>
      <c r="R29" s="103">
        <f t="shared" si="71"/>
        <v>0</v>
      </c>
      <c r="S29" s="104">
        <f t="shared" si="71"/>
        <v>0</v>
      </c>
      <c r="T29" s="104">
        <f t="shared" si="72"/>
        <v>0</v>
      </c>
      <c r="U29" s="104">
        <f t="shared" si="31"/>
        <v>0</v>
      </c>
      <c r="V29" s="104">
        <f t="shared" si="31"/>
        <v>9.9999999999999995E-8</v>
      </c>
      <c r="W29" s="104">
        <f t="shared" si="31"/>
        <v>0</v>
      </c>
      <c r="X29" s="104">
        <f t="shared" si="31"/>
        <v>0</v>
      </c>
      <c r="Y29" s="104">
        <f t="shared" si="31"/>
        <v>9.9999999999999995E-8</v>
      </c>
      <c r="Z29" s="104">
        <f t="shared" si="31"/>
        <v>9.9999999999999995E-8</v>
      </c>
      <c r="AA29" s="105">
        <f t="shared" si="31"/>
        <v>9.9999999999999995E-8</v>
      </c>
      <c r="AB29" s="101" t="e">
        <f>$DT29*HLOOKUP($J29,'Construction Costs (timber)'!$B$1:$V$32,'Construction Planner'!$L29+2,FALSE)</f>
        <v>#N/A</v>
      </c>
      <c r="AC29" s="14" t="e">
        <f>$DT29*HLOOKUP($J29,'Construction Costs (clay)'!$B$1:$V$32,'Construction Planner'!$L29+2,FALSE)</f>
        <v>#N/A</v>
      </c>
      <c r="AD29" s="14" t="e">
        <f>$DT29*HLOOKUP($J29,'Construction Costs (iron)'!$B$1:$V$32,'Construction Planner'!$L29+2,FALSE)</f>
        <v>#N/A</v>
      </c>
      <c r="AE29" s="34" t="e">
        <f t="shared" si="81"/>
        <v>#N/A</v>
      </c>
      <c r="AF29" s="33" t="e">
        <f t="shared" si="5"/>
        <v>#N/A</v>
      </c>
      <c r="AG29" s="14" t="e">
        <f t="shared" si="6"/>
        <v>#N/A</v>
      </c>
      <c r="AH29" s="14" t="e">
        <f t="shared" si="7"/>
        <v>#N/A</v>
      </c>
      <c r="AI29" s="34" t="e">
        <f t="shared" si="82"/>
        <v>#N/A</v>
      </c>
      <c r="AJ29" s="49" t="e">
        <f t="shared" si="32"/>
        <v>#N/A</v>
      </c>
      <c r="AK29" s="49" t="e">
        <f t="shared" si="33"/>
        <v>#N/A</v>
      </c>
      <c r="AL29" s="49" t="e">
        <f t="shared" si="34"/>
        <v>#N/A</v>
      </c>
      <c r="AM29" s="25">
        <f t="shared" si="8"/>
        <v>30</v>
      </c>
      <c r="AN29" s="25">
        <f t="shared" si="9"/>
        <v>30</v>
      </c>
      <c r="AO29" s="25">
        <f t="shared" si="10"/>
        <v>30</v>
      </c>
      <c r="AP29" s="52" t="e">
        <f t="shared" si="35"/>
        <v>#N/A</v>
      </c>
      <c r="AQ29" s="53" t="e">
        <f t="shared" si="11"/>
        <v>#N/A</v>
      </c>
      <c r="AR29" s="54" t="e">
        <f t="shared" si="11"/>
        <v>#N/A</v>
      </c>
      <c r="AS29" s="316">
        <f t="shared" si="83"/>
        <v>0</v>
      </c>
      <c r="AT29" s="106">
        <f>_xlfn.IFNA($M29/VLOOKUP($BT29,'Unit information'!$A$2:$K$29,2,FALSE)*R29,0)*(1+$E$9)</f>
        <v>0</v>
      </c>
      <c r="AU29" s="107">
        <f>_xlfn.IFNA($M29/VLOOKUP($BT29,'Unit information'!$A$2:$K$29,3,FALSE)*S29,0)*(1+$E$9)</f>
        <v>0</v>
      </c>
      <c r="AV29" s="107">
        <f>_xlfn.IFNA($M29/VLOOKUP($BT29,'Unit information'!$A$2:$K$29,4,FALSE)*T29,0)*(1+$E$9)</f>
        <v>0</v>
      </c>
      <c r="AW29" s="107">
        <f>_xlfn.IFNA($M29/VLOOKUP($BT29,'Unit information'!$A$2:$K$29,5,FALSE)*U29,0)*(1+$E$9)</f>
        <v>0</v>
      </c>
      <c r="AX29" s="107">
        <f>_xlfn.IFNA($M29/VLOOKUP($BU29,'Unit information'!$A$2:$K$29,6,FALSE)*V29,0)*(1+$E$9)</f>
        <v>0</v>
      </c>
      <c r="AY29" s="107">
        <f>_xlfn.IFNA($M29/VLOOKUP($BU29,'Unit information'!$A$2:$K$29,7,FALSE)*W29,0)*(1+$E$9)</f>
        <v>0</v>
      </c>
      <c r="AZ29" s="107">
        <f>_xlfn.IFNA($M29/VLOOKUP($BU29,'Unit information'!$A$2:$K$29,8,FALSE)*X29,0)*(1+$E$9)</f>
        <v>0</v>
      </c>
      <c r="BA29" s="107">
        <f>_xlfn.IFNA($M29/VLOOKUP($BU29,'Unit information'!$A$2:$K$29,9,FALSE)*Y29,0)*(1+$E$9)</f>
        <v>0</v>
      </c>
      <c r="BB29" s="107">
        <f>_xlfn.IFNA($M29/VLOOKUP($BV29,'Unit information'!$A$2:$K$29,10,FALSE)*Z29,0)*(1+$E$9)</f>
        <v>0</v>
      </c>
      <c r="BC29" s="108">
        <f>_xlfn.IFNA($M29/VLOOKUP($BV29,'Unit information'!$A$2:$K$29,11,FALSE)*AA29,0)*(1+$E$9)</f>
        <v>0</v>
      </c>
      <c r="BD29" s="106">
        <f t="shared" si="12"/>
        <v>0</v>
      </c>
      <c r="BE29" s="107">
        <f t="shared" si="13"/>
        <v>0</v>
      </c>
      <c r="BF29" s="108">
        <f t="shared" si="14"/>
        <v>0</v>
      </c>
      <c r="BG29" s="25" t="e">
        <f t="shared" si="15"/>
        <v>#N/A</v>
      </c>
      <c r="BH29" s="25" t="e">
        <f t="shared" si="16"/>
        <v>#N/A</v>
      </c>
      <c r="BI29" s="25" t="e">
        <f t="shared" si="17"/>
        <v>#N/A</v>
      </c>
      <c r="BJ29" s="27" t="e">
        <f t="shared" si="18"/>
        <v>#N/A</v>
      </c>
      <c r="BK29" s="18" t="e">
        <f t="shared" si="19"/>
        <v>#N/A</v>
      </c>
      <c r="BL29" s="18" t="e">
        <f t="shared" si="20"/>
        <v>#N/A</v>
      </c>
      <c r="BM29" s="28" t="e">
        <f t="shared" si="84"/>
        <v>#N/A</v>
      </c>
      <c r="BN29" s="33">
        <f>HLOOKUP("maximum population",Miscelaneous!$C$1:$C$33,CH29+3,FALSE)</f>
        <v>240</v>
      </c>
      <c r="BO29" s="14">
        <f t="shared" si="36"/>
        <v>32</v>
      </c>
      <c r="BP29" s="14">
        <f t="shared" si="37"/>
        <v>0</v>
      </c>
      <c r="BQ29" s="14">
        <f t="shared" si="38"/>
        <v>208</v>
      </c>
      <c r="BR29" s="34" t="e">
        <f>HLOOKUP(J29,Villagers!$B$1:$V$33,L29+3,FALSE)-HLOOKUP(J29,Villagers!$B$1:$V$33,L29+2,FALSE)</f>
        <v>#N/A</v>
      </c>
      <c r="BS29" s="49">
        <f t="shared" si="39"/>
        <v>1</v>
      </c>
      <c r="BT29" s="50">
        <f t="shared" si="40"/>
        <v>0</v>
      </c>
      <c r="BU29" s="50">
        <f t="shared" si="41"/>
        <v>0</v>
      </c>
      <c r="BV29" s="50">
        <f t="shared" si="42"/>
        <v>0</v>
      </c>
      <c r="BW29" s="50">
        <f t="shared" si="43"/>
        <v>0</v>
      </c>
      <c r="BX29" s="50">
        <f t="shared" si="44"/>
        <v>0</v>
      </c>
      <c r="BY29" s="50">
        <f t="shared" si="44"/>
        <v>0</v>
      </c>
      <c r="BZ29" s="50">
        <f t="shared" si="45"/>
        <v>0</v>
      </c>
      <c r="CA29" s="50">
        <f t="shared" si="46"/>
        <v>0</v>
      </c>
      <c r="CB29" s="50">
        <f t="shared" si="47"/>
        <v>1</v>
      </c>
      <c r="CC29" s="50">
        <f t="shared" si="48"/>
        <v>0</v>
      </c>
      <c r="CD29" s="50">
        <f t="shared" si="49"/>
        <v>0</v>
      </c>
      <c r="CE29" s="50">
        <f t="shared" si="50"/>
        <v>1</v>
      </c>
      <c r="CF29" s="50">
        <f t="shared" si="51"/>
        <v>1</v>
      </c>
      <c r="CG29" s="50">
        <f t="shared" si="52"/>
        <v>1</v>
      </c>
      <c r="CH29" s="50">
        <f t="shared" si="53"/>
        <v>1</v>
      </c>
      <c r="CI29" s="50">
        <f t="shared" si="54"/>
        <v>1</v>
      </c>
      <c r="CJ29" s="50">
        <f t="shared" si="55"/>
        <v>1</v>
      </c>
      <c r="CK29" s="50">
        <f t="shared" si="56"/>
        <v>0</v>
      </c>
      <c r="CL29" s="50">
        <f t="shared" si="55"/>
        <v>0</v>
      </c>
      <c r="CM29" s="51">
        <f t="shared" si="57"/>
        <v>0</v>
      </c>
      <c r="CN29" s="33">
        <f>ROUND(IF(BS29=0,0,HLOOKUP(BS$14,Villagers!$B$1:$V$33,BS29+3,FALSE)),)</f>
        <v>5</v>
      </c>
      <c r="CO29" s="14">
        <f>ROUND(IF(BT29=0,0,HLOOKUP(BT$14,Villagers!$B$1:$V$33,BT29+3,FALSE)),)</f>
        <v>0</v>
      </c>
      <c r="CP29" s="14">
        <f>ROUND(IF(BU29=0,0,HLOOKUP(BU$14,Villagers!$B$1:$V$33,BU29+3,FALSE)),)</f>
        <v>0</v>
      </c>
      <c r="CQ29" s="14">
        <f>ROUND(IF(BV29=0,0,HLOOKUP(BV$14,Villagers!$B$1:$V$33,BV29+3,FALSE)),)</f>
        <v>0</v>
      </c>
      <c r="CR29" s="14">
        <f>ROUND(IF(BW29=0,0,HLOOKUP(BW$14,Villagers!$B$1:$V$33,BW29+3,FALSE)),)</f>
        <v>0</v>
      </c>
      <c r="CS29" s="14">
        <f>ROUND(IF(BX29=0,0,HLOOKUP(BX$14,Villagers!$B$1:$V$33,BX29+3,FALSE)),)</f>
        <v>0</v>
      </c>
      <c r="CT29" s="14">
        <f>ROUND(IF(BY29=0,0,HLOOKUP(BY$14,Villagers!$B$1:$V$33,BY29+3,FALSE)),)</f>
        <v>0</v>
      </c>
      <c r="CU29" s="14">
        <f>ROUND(IF(BZ29=0,0,HLOOKUP(BZ$14,Villagers!$B$1:$V$33,BZ29+3,FALSE)),)</f>
        <v>0</v>
      </c>
      <c r="CV29" s="14">
        <f>ROUND(IF(CA29=0,0,HLOOKUP(CA$14,Villagers!$B$1:$V$33,CA29+3,FALSE)),)</f>
        <v>0</v>
      </c>
      <c r="CW29" s="14">
        <f>ROUND(IF(CB29=0,0,HLOOKUP(CB$14,Villagers!$B$1:$V$33,CB29+3,FALSE)),)</f>
        <v>0</v>
      </c>
      <c r="CX29" s="14">
        <f>ROUND(IF(CC29=0,0,HLOOKUP(CC$14,Villagers!$B$1:$V$33,CC29+3,FALSE)),)</f>
        <v>0</v>
      </c>
      <c r="CY29" s="14">
        <f>ROUND(IF(CD29=0,0,HLOOKUP(CD$14,Villagers!$B$1:$V$33,CD29+3,FALSE)),)</f>
        <v>0</v>
      </c>
      <c r="CZ29" s="14">
        <f>ROUND(IF(CE29=0,0,HLOOKUP(CE$14,Villagers!$B$1:$V$33,CE29+3,FALSE)),)</f>
        <v>5</v>
      </c>
      <c r="DA29" s="14">
        <f>ROUND(IF(CF29=0,0,HLOOKUP(CF$14,Villagers!$B$1:$V$33,CF29+3,FALSE)),)</f>
        <v>10</v>
      </c>
      <c r="DB29" s="14">
        <f>ROUND(IF(CG29=0,0,HLOOKUP(CG$14,Villagers!$B$1:$V$33,CG29+3,FALSE)),)</f>
        <v>10</v>
      </c>
      <c r="DC29" s="14">
        <f>ROUND(IF(CH29=0,0,HLOOKUP(CH$14,Villagers!$B$1:$V$33,CH29+3,FALSE)),)</f>
        <v>0</v>
      </c>
      <c r="DD29" s="14">
        <f>ROUND(IF(CI29=0,0,HLOOKUP(CI$14,Villagers!$B$1:$V$33,CI29+3,FALSE)),)</f>
        <v>0</v>
      </c>
      <c r="DE29" s="14">
        <f>ROUND(IF(CJ29=0,0,HLOOKUP(CJ$14,Villagers!$B$1:$V$33,CJ29+3,FALSE)),)</f>
        <v>2</v>
      </c>
      <c r="DF29" s="370">
        <f>ROUND(IF(CK29=0,0,HLOOKUP(CK$14,Villagers!$B$1:$V$33,CK29+3,FALSE)),)</f>
        <v>0</v>
      </c>
      <c r="DG29" s="370">
        <f>ROUND(IF(CL29=0,0,HLOOKUP(CL$14,Villagers!$B$1:$V$33,CL29+3,FALSE)),)</f>
        <v>0</v>
      </c>
      <c r="DH29" s="34">
        <f>ROUND(IF(CM29=0,0,HLOOKUP(CM$14,Villagers!$B$1:$V$33,CM29+3,FALSE)),)</f>
        <v>0</v>
      </c>
      <c r="DI29" s="109">
        <f t="shared" si="73"/>
        <v>0</v>
      </c>
      <c r="DJ29" s="50">
        <f t="shared" si="74"/>
        <v>0</v>
      </c>
      <c r="DK29" s="50">
        <f t="shared" si="75"/>
        <v>0</v>
      </c>
      <c r="DL29" s="50">
        <f t="shared" si="76"/>
        <v>0</v>
      </c>
      <c r="DM29" s="50">
        <f t="shared" si="77"/>
        <v>0</v>
      </c>
      <c r="DN29" s="50">
        <f t="shared" si="78"/>
        <v>0</v>
      </c>
      <c r="DO29" s="50">
        <f t="shared" si="79"/>
        <v>0</v>
      </c>
      <c r="DP29" s="50">
        <f t="shared" si="80"/>
        <v>0</v>
      </c>
      <c r="DQ29" s="50">
        <f t="shared" si="59"/>
        <v>0</v>
      </c>
      <c r="DR29" s="50">
        <f t="shared" si="60"/>
        <v>0</v>
      </c>
      <c r="DS29" s="96">
        <f>Miscelaneous!$D$4*Miscelaneous!$D$2^($CI29-1)</f>
        <v>1000</v>
      </c>
      <c r="DT29" s="333">
        <f t="shared" si="61"/>
        <v>1</v>
      </c>
      <c r="DU29" s="81">
        <v>1</v>
      </c>
      <c r="DV29" s="79">
        <f t="shared" si="62"/>
        <v>0</v>
      </c>
      <c r="DW29" s="79">
        <f t="shared" si="23"/>
        <v>0</v>
      </c>
      <c r="DX29" s="79">
        <f t="shared" si="63"/>
        <v>0</v>
      </c>
      <c r="DY29" s="79">
        <v>1</v>
      </c>
      <c r="DZ29" s="79">
        <f t="shared" si="24"/>
        <v>0</v>
      </c>
      <c r="EA29" s="79">
        <f t="shared" si="64"/>
        <v>0</v>
      </c>
      <c r="EB29" s="79">
        <f t="shared" si="65"/>
        <v>0</v>
      </c>
      <c r="EC29" s="79">
        <f t="shared" si="66"/>
        <v>0</v>
      </c>
      <c r="ED29" s="79">
        <v>1</v>
      </c>
      <c r="EE29" s="79">
        <v>1</v>
      </c>
      <c r="EF29" s="79">
        <f t="shared" si="67"/>
        <v>0</v>
      </c>
      <c r="EG29" s="79">
        <v>1</v>
      </c>
      <c r="EH29" s="79">
        <v>1</v>
      </c>
      <c r="EI29" s="79">
        <v>1</v>
      </c>
      <c r="EJ29" s="79">
        <v>1</v>
      </c>
      <c r="EK29" s="79">
        <v>1</v>
      </c>
      <c r="EL29" s="79">
        <v>1</v>
      </c>
      <c r="EM29" s="143">
        <f t="shared" si="68"/>
        <v>0</v>
      </c>
      <c r="EN29" s="143">
        <f t="shared" si="69"/>
        <v>0</v>
      </c>
      <c r="EO29" s="82">
        <f t="shared" si="70"/>
        <v>0</v>
      </c>
    </row>
    <row r="30" spans="1:145" x14ac:dyDescent="0.25">
      <c r="A30">
        <v>16</v>
      </c>
      <c r="B30" s="172" t="e">
        <f t="shared" si="25"/>
        <v>#N/A</v>
      </c>
      <c r="C30" s="121" t="e">
        <f t="shared" si="0"/>
        <v>#N/A</v>
      </c>
      <c r="D30" s="122" t="e">
        <f t="shared" si="1"/>
        <v>#N/A</v>
      </c>
      <c r="E30" s="122" t="e">
        <f t="shared" si="2"/>
        <v>#N/A</v>
      </c>
      <c r="F30" s="176" t="e">
        <f t="shared" si="3"/>
        <v>#N/A</v>
      </c>
      <c r="G30" s="121">
        <f t="shared" si="26"/>
        <v>208</v>
      </c>
      <c r="H30" s="176" t="e">
        <f t="shared" si="27"/>
        <v>#N/A</v>
      </c>
      <c r="I30" s="48">
        <v>1</v>
      </c>
      <c r="J30" s="39"/>
      <c r="K30" s="350">
        <v>1</v>
      </c>
      <c r="L30" s="34" t="e">
        <f t="shared" si="4"/>
        <v>#N/A</v>
      </c>
      <c r="M30" s="38" t="e">
        <f>(HLOOKUP(J30,'Construction Times'!$B$3:$W$34,L30+2,FALSE)*HLOOKUP("hq modifier",'Construction Times'!$W$3:$W$34,BS30+2,FALSE))*(1-$H$9)</f>
        <v>#N/A</v>
      </c>
      <c r="N30" s="443" t="e">
        <f t="shared" si="28"/>
        <v>#N/A</v>
      </c>
      <c r="O30" s="444"/>
      <c r="P30" s="447" t="e">
        <f t="shared" si="29"/>
        <v>#N/A</v>
      </c>
      <c r="Q30" s="448"/>
      <c r="R30" s="103">
        <f t="shared" si="71"/>
        <v>0</v>
      </c>
      <c r="S30" s="104">
        <f t="shared" si="71"/>
        <v>0</v>
      </c>
      <c r="T30" s="104">
        <f t="shared" si="72"/>
        <v>0</v>
      </c>
      <c r="U30" s="104">
        <f t="shared" si="31"/>
        <v>0</v>
      </c>
      <c r="V30" s="104">
        <f t="shared" si="31"/>
        <v>9.9999999999999995E-8</v>
      </c>
      <c r="W30" s="104">
        <f t="shared" si="31"/>
        <v>0</v>
      </c>
      <c r="X30" s="104">
        <f t="shared" si="31"/>
        <v>0</v>
      </c>
      <c r="Y30" s="104">
        <f t="shared" si="31"/>
        <v>9.9999999999999995E-8</v>
      </c>
      <c r="Z30" s="104">
        <f t="shared" si="31"/>
        <v>9.9999999999999995E-8</v>
      </c>
      <c r="AA30" s="105">
        <f t="shared" si="31"/>
        <v>9.9999999999999995E-8</v>
      </c>
      <c r="AB30" s="101" t="e">
        <f>$DT30*HLOOKUP($J30,'Construction Costs (timber)'!$B$1:$V$32,'Construction Planner'!$L30+2,FALSE)</f>
        <v>#N/A</v>
      </c>
      <c r="AC30" s="14" t="e">
        <f>$DT30*HLOOKUP($J30,'Construction Costs (clay)'!$B$1:$V$32,'Construction Planner'!$L30+2,FALSE)</f>
        <v>#N/A</v>
      </c>
      <c r="AD30" s="14" t="e">
        <f>$DT30*HLOOKUP($J30,'Construction Costs (iron)'!$B$1:$V$32,'Construction Planner'!$L30+2,FALSE)</f>
        <v>#N/A</v>
      </c>
      <c r="AE30" s="34" t="e">
        <f t="shared" si="81"/>
        <v>#N/A</v>
      </c>
      <c r="AF30" s="33" t="e">
        <f t="shared" si="5"/>
        <v>#N/A</v>
      </c>
      <c r="AG30" s="14" t="e">
        <f t="shared" si="6"/>
        <v>#N/A</v>
      </c>
      <c r="AH30" s="14" t="e">
        <f t="shared" si="7"/>
        <v>#N/A</v>
      </c>
      <c r="AI30" s="34" t="e">
        <f t="shared" si="82"/>
        <v>#N/A</v>
      </c>
      <c r="AJ30" s="49" t="e">
        <f t="shared" si="32"/>
        <v>#N/A</v>
      </c>
      <c r="AK30" s="49" t="e">
        <f t="shared" si="33"/>
        <v>#N/A</v>
      </c>
      <c r="AL30" s="49" t="e">
        <f t="shared" si="34"/>
        <v>#N/A</v>
      </c>
      <c r="AM30" s="25">
        <f t="shared" si="8"/>
        <v>30</v>
      </c>
      <c r="AN30" s="25">
        <f t="shared" si="9"/>
        <v>30</v>
      </c>
      <c r="AO30" s="25">
        <f t="shared" si="10"/>
        <v>30</v>
      </c>
      <c r="AP30" s="52" t="e">
        <f t="shared" si="35"/>
        <v>#N/A</v>
      </c>
      <c r="AQ30" s="53" t="e">
        <f t="shared" si="11"/>
        <v>#N/A</v>
      </c>
      <c r="AR30" s="54" t="e">
        <f t="shared" si="11"/>
        <v>#N/A</v>
      </c>
      <c r="AS30" s="316">
        <f t="shared" si="83"/>
        <v>0</v>
      </c>
      <c r="AT30" s="106">
        <f>_xlfn.IFNA($M30/VLOOKUP($BT30,'Unit information'!$A$2:$K$29,2,FALSE)*R30,0)*(1+$E$9)</f>
        <v>0</v>
      </c>
      <c r="AU30" s="107">
        <f>_xlfn.IFNA($M30/VLOOKUP($BT30,'Unit information'!$A$2:$K$29,3,FALSE)*S30,0)*(1+$E$9)</f>
        <v>0</v>
      </c>
      <c r="AV30" s="107">
        <f>_xlfn.IFNA($M30/VLOOKUP($BT30,'Unit information'!$A$2:$K$29,4,FALSE)*T30,0)*(1+$E$9)</f>
        <v>0</v>
      </c>
      <c r="AW30" s="107">
        <f>_xlfn.IFNA($M30/VLOOKUP($BT30,'Unit information'!$A$2:$K$29,5,FALSE)*U30,0)*(1+$E$9)</f>
        <v>0</v>
      </c>
      <c r="AX30" s="107">
        <f>_xlfn.IFNA($M30/VLOOKUP($BU30,'Unit information'!$A$2:$K$29,6,FALSE)*V30,0)*(1+$E$9)</f>
        <v>0</v>
      </c>
      <c r="AY30" s="107">
        <f>_xlfn.IFNA($M30/VLOOKUP($BU30,'Unit information'!$A$2:$K$29,7,FALSE)*W30,0)*(1+$E$9)</f>
        <v>0</v>
      </c>
      <c r="AZ30" s="107">
        <f>_xlfn.IFNA($M30/VLOOKUP($BU30,'Unit information'!$A$2:$K$29,8,FALSE)*X30,0)*(1+$E$9)</f>
        <v>0</v>
      </c>
      <c r="BA30" s="107">
        <f>_xlfn.IFNA($M30/VLOOKUP($BU30,'Unit information'!$A$2:$K$29,9,FALSE)*Y30,0)*(1+$E$9)</f>
        <v>0</v>
      </c>
      <c r="BB30" s="107">
        <f>_xlfn.IFNA($M30/VLOOKUP($BV30,'Unit information'!$A$2:$K$29,10,FALSE)*Z30,0)*(1+$E$9)</f>
        <v>0</v>
      </c>
      <c r="BC30" s="108">
        <f>_xlfn.IFNA($M30/VLOOKUP($BV30,'Unit information'!$A$2:$K$29,11,FALSE)*AA30,0)*(1+$E$9)</f>
        <v>0</v>
      </c>
      <c r="BD30" s="106">
        <f t="shared" si="12"/>
        <v>0</v>
      </c>
      <c r="BE30" s="107">
        <f t="shared" si="13"/>
        <v>0</v>
      </c>
      <c r="BF30" s="108">
        <f t="shared" si="14"/>
        <v>0</v>
      </c>
      <c r="BG30" s="25" t="e">
        <f t="shared" si="15"/>
        <v>#N/A</v>
      </c>
      <c r="BH30" s="25" t="e">
        <f t="shared" si="16"/>
        <v>#N/A</v>
      </c>
      <c r="BI30" s="25" t="e">
        <f t="shared" si="17"/>
        <v>#N/A</v>
      </c>
      <c r="BJ30" s="27" t="e">
        <f t="shared" si="18"/>
        <v>#N/A</v>
      </c>
      <c r="BK30" s="18" t="e">
        <f t="shared" si="19"/>
        <v>#N/A</v>
      </c>
      <c r="BL30" s="18" t="e">
        <f t="shared" si="20"/>
        <v>#N/A</v>
      </c>
      <c r="BM30" s="28" t="e">
        <f t="shared" si="84"/>
        <v>#N/A</v>
      </c>
      <c r="BN30" s="33">
        <f>HLOOKUP("maximum population",Miscelaneous!$C$1:$C$33,CH30+3,FALSE)</f>
        <v>240</v>
      </c>
      <c r="BO30" s="14">
        <f t="shared" si="36"/>
        <v>32</v>
      </c>
      <c r="BP30" s="14">
        <f t="shared" si="37"/>
        <v>0</v>
      </c>
      <c r="BQ30" s="14">
        <f t="shared" si="38"/>
        <v>208</v>
      </c>
      <c r="BR30" s="34" t="e">
        <f>HLOOKUP(J30,Villagers!$B$1:$V$33,L30+3,FALSE)-HLOOKUP(J30,Villagers!$B$1:$V$33,L30+2,FALSE)</f>
        <v>#N/A</v>
      </c>
      <c r="BS30" s="49">
        <f t="shared" si="39"/>
        <v>1</v>
      </c>
      <c r="BT30" s="50">
        <f t="shared" si="40"/>
        <v>0</v>
      </c>
      <c r="BU30" s="50">
        <f t="shared" si="41"/>
        <v>0</v>
      </c>
      <c r="BV30" s="50">
        <f t="shared" si="42"/>
        <v>0</v>
      </c>
      <c r="BW30" s="50">
        <f t="shared" si="43"/>
        <v>0</v>
      </c>
      <c r="BX30" s="50">
        <f t="shared" si="44"/>
        <v>0</v>
      </c>
      <c r="BY30" s="50">
        <f t="shared" si="44"/>
        <v>0</v>
      </c>
      <c r="BZ30" s="50">
        <f t="shared" si="45"/>
        <v>0</v>
      </c>
      <c r="CA30" s="50">
        <f t="shared" si="46"/>
        <v>0</v>
      </c>
      <c r="CB30" s="50">
        <f t="shared" si="47"/>
        <v>1</v>
      </c>
      <c r="CC30" s="50">
        <f t="shared" si="48"/>
        <v>0</v>
      </c>
      <c r="CD30" s="50">
        <f t="shared" si="49"/>
        <v>0</v>
      </c>
      <c r="CE30" s="50">
        <f t="shared" si="50"/>
        <v>1</v>
      </c>
      <c r="CF30" s="50">
        <f t="shared" si="51"/>
        <v>1</v>
      </c>
      <c r="CG30" s="50">
        <f t="shared" si="52"/>
        <v>1</v>
      </c>
      <c r="CH30" s="50">
        <f t="shared" si="53"/>
        <v>1</v>
      </c>
      <c r="CI30" s="50">
        <f t="shared" si="54"/>
        <v>1</v>
      </c>
      <c r="CJ30" s="50">
        <f t="shared" si="55"/>
        <v>1</v>
      </c>
      <c r="CK30" s="50">
        <f t="shared" si="56"/>
        <v>0</v>
      </c>
      <c r="CL30" s="50">
        <f t="shared" si="55"/>
        <v>0</v>
      </c>
      <c r="CM30" s="51">
        <f t="shared" si="57"/>
        <v>0</v>
      </c>
      <c r="CN30" s="33">
        <f>ROUND(IF(BS30=0,0,HLOOKUP(BS$14,Villagers!$B$1:$V$33,BS30+3,FALSE)),)</f>
        <v>5</v>
      </c>
      <c r="CO30" s="14">
        <f>ROUND(IF(BT30=0,0,HLOOKUP(BT$14,Villagers!$B$1:$V$33,BT30+3,FALSE)),)</f>
        <v>0</v>
      </c>
      <c r="CP30" s="14">
        <f>ROUND(IF(BU30=0,0,HLOOKUP(BU$14,Villagers!$B$1:$V$33,BU30+3,FALSE)),)</f>
        <v>0</v>
      </c>
      <c r="CQ30" s="14">
        <f>ROUND(IF(BV30=0,0,HLOOKUP(BV$14,Villagers!$B$1:$V$33,BV30+3,FALSE)),)</f>
        <v>0</v>
      </c>
      <c r="CR30" s="14">
        <f>ROUND(IF(BW30=0,0,HLOOKUP(BW$14,Villagers!$B$1:$V$33,BW30+3,FALSE)),)</f>
        <v>0</v>
      </c>
      <c r="CS30" s="14">
        <f>ROUND(IF(BX30=0,0,HLOOKUP(BX$14,Villagers!$B$1:$V$33,BX30+3,FALSE)),)</f>
        <v>0</v>
      </c>
      <c r="CT30" s="14">
        <f>ROUND(IF(BY30=0,0,HLOOKUP(BY$14,Villagers!$B$1:$V$33,BY30+3,FALSE)),)</f>
        <v>0</v>
      </c>
      <c r="CU30" s="14">
        <f>ROUND(IF(BZ30=0,0,HLOOKUP(BZ$14,Villagers!$B$1:$V$33,BZ30+3,FALSE)),)</f>
        <v>0</v>
      </c>
      <c r="CV30" s="14">
        <f>ROUND(IF(CA30=0,0,HLOOKUP(CA$14,Villagers!$B$1:$V$33,CA30+3,FALSE)),)</f>
        <v>0</v>
      </c>
      <c r="CW30" s="14">
        <f>ROUND(IF(CB30=0,0,HLOOKUP(CB$14,Villagers!$B$1:$V$33,CB30+3,FALSE)),)</f>
        <v>0</v>
      </c>
      <c r="CX30" s="14">
        <f>ROUND(IF(CC30=0,0,HLOOKUP(CC$14,Villagers!$B$1:$V$33,CC30+3,FALSE)),)</f>
        <v>0</v>
      </c>
      <c r="CY30" s="14">
        <f>ROUND(IF(CD30=0,0,HLOOKUP(CD$14,Villagers!$B$1:$V$33,CD30+3,FALSE)),)</f>
        <v>0</v>
      </c>
      <c r="CZ30" s="14">
        <f>ROUND(IF(CE30=0,0,HLOOKUP(CE$14,Villagers!$B$1:$V$33,CE30+3,FALSE)),)</f>
        <v>5</v>
      </c>
      <c r="DA30" s="14">
        <f>ROUND(IF(CF30=0,0,HLOOKUP(CF$14,Villagers!$B$1:$V$33,CF30+3,FALSE)),)</f>
        <v>10</v>
      </c>
      <c r="DB30" s="14">
        <f>ROUND(IF(CG30=0,0,HLOOKUP(CG$14,Villagers!$B$1:$V$33,CG30+3,FALSE)),)</f>
        <v>10</v>
      </c>
      <c r="DC30" s="14">
        <f>ROUND(IF(CH30=0,0,HLOOKUP(CH$14,Villagers!$B$1:$V$33,CH30+3,FALSE)),)</f>
        <v>0</v>
      </c>
      <c r="DD30" s="14">
        <f>ROUND(IF(CI30=0,0,HLOOKUP(CI$14,Villagers!$B$1:$V$33,CI30+3,FALSE)),)</f>
        <v>0</v>
      </c>
      <c r="DE30" s="14">
        <f>ROUND(IF(CJ30=0,0,HLOOKUP(CJ$14,Villagers!$B$1:$V$33,CJ30+3,FALSE)),)</f>
        <v>2</v>
      </c>
      <c r="DF30" s="370">
        <f>ROUND(IF(CK30=0,0,HLOOKUP(CK$14,Villagers!$B$1:$V$33,CK30+3,FALSE)),)</f>
        <v>0</v>
      </c>
      <c r="DG30" s="370">
        <f>ROUND(IF(CL30=0,0,HLOOKUP(CL$14,Villagers!$B$1:$V$33,CL30+3,FALSE)),)</f>
        <v>0</v>
      </c>
      <c r="DH30" s="34">
        <f>ROUND(IF(CM30=0,0,HLOOKUP(CM$14,Villagers!$B$1:$V$33,CM30+3,FALSE)),)</f>
        <v>0</v>
      </c>
      <c r="DI30" s="109">
        <f t="shared" si="73"/>
        <v>0</v>
      </c>
      <c r="DJ30" s="50">
        <f t="shared" si="74"/>
        <v>0</v>
      </c>
      <c r="DK30" s="50">
        <f t="shared" si="75"/>
        <v>0</v>
      </c>
      <c r="DL30" s="50">
        <f t="shared" si="76"/>
        <v>0</v>
      </c>
      <c r="DM30" s="50">
        <f t="shared" si="77"/>
        <v>0</v>
      </c>
      <c r="DN30" s="50">
        <f t="shared" si="78"/>
        <v>0</v>
      </c>
      <c r="DO30" s="50">
        <f t="shared" si="79"/>
        <v>0</v>
      </c>
      <c r="DP30" s="50">
        <f t="shared" si="80"/>
        <v>0</v>
      </c>
      <c r="DQ30" s="50">
        <f t="shared" si="59"/>
        <v>0</v>
      </c>
      <c r="DR30" s="50">
        <f t="shared" si="60"/>
        <v>0</v>
      </c>
      <c r="DS30" s="96">
        <f>Miscelaneous!$D$4*Miscelaneous!$D$2^($CI30-1)</f>
        <v>1000</v>
      </c>
      <c r="DT30" s="333">
        <f t="shared" si="61"/>
        <v>1</v>
      </c>
      <c r="DU30" s="81">
        <v>1</v>
      </c>
      <c r="DV30" s="79">
        <f t="shared" si="62"/>
        <v>0</v>
      </c>
      <c r="DW30" s="79">
        <f t="shared" si="23"/>
        <v>0</v>
      </c>
      <c r="DX30" s="79">
        <f t="shared" si="63"/>
        <v>0</v>
      </c>
      <c r="DY30" s="79">
        <v>1</v>
      </c>
      <c r="DZ30" s="79">
        <f t="shared" si="24"/>
        <v>0</v>
      </c>
      <c r="EA30" s="79">
        <f t="shared" si="64"/>
        <v>0</v>
      </c>
      <c r="EB30" s="79">
        <f t="shared" si="65"/>
        <v>0</v>
      </c>
      <c r="EC30" s="79">
        <f t="shared" si="66"/>
        <v>0</v>
      </c>
      <c r="ED30" s="79">
        <v>1</v>
      </c>
      <c r="EE30" s="79">
        <v>1</v>
      </c>
      <c r="EF30" s="79">
        <f t="shared" si="67"/>
        <v>0</v>
      </c>
      <c r="EG30" s="79">
        <v>1</v>
      </c>
      <c r="EH30" s="79">
        <v>1</v>
      </c>
      <c r="EI30" s="79">
        <v>1</v>
      </c>
      <c r="EJ30" s="79">
        <v>1</v>
      </c>
      <c r="EK30" s="79">
        <v>1</v>
      </c>
      <c r="EL30" s="79">
        <v>1</v>
      </c>
      <c r="EM30" s="143">
        <f t="shared" si="68"/>
        <v>0</v>
      </c>
      <c r="EN30" s="143">
        <f t="shared" si="69"/>
        <v>0</v>
      </c>
      <c r="EO30" s="82">
        <f t="shared" si="70"/>
        <v>0</v>
      </c>
    </row>
    <row r="31" spans="1:145" x14ac:dyDescent="0.25">
      <c r="A31">
        <v>17</v>
      </c>
      <c r="B31" s="172" t="e">
        <f t="shared" si="25"/>
        <v>#N/A</v>
      </c>
      <c r="C31" s="121" t="e">
        <f t="shared" si="0"/>
        <v>#N/A</v>
      </c>
      <c r="D31" s="122" t="e">
        <f t="shared" si="1"/>
        <v>#N/A</v>
      </c>
      <c r="E31" s="122" t="e">
        <f t="shared" si="2"/>
        <v>#N/A</v>
      </c>
      <c r="F31" s="176" t="e">
        <f t="shared" si="3"/>
        <v>#N/A</v>
      </c>
      <c r="G31" s="121">
        <f t="shared" si="26"/>
        <v>208</v>
      </c>
      <c r="H31" s="176" t="e">
        <f t="shared" si="27"/>
        <v>#N/A</v>
      </c>
      <c r="I31" s="48">
        <v>1</v>
      </c>
      <c r="J31" s="39"/>
      <c r="K31" s="350">
        <v>1</v>
      </c>
      <c r="L31" s="34" t="e">
        <f t="shared" si="4"/>
        <v>#N/A</v>
      </c>
      <c r="M31" s="38" t="e">
        <f>(HLOOKUP(J31,'Construction Times'!$B$3:$W$34,L31+2,FALSE)*HLOOKUP("hq modifier",'Construction Times'!$W$3:$W$34,BS31+2,FALSE))*(1-$H$9)</f>
        <v>#N/A</v>
      </c>
      <c r="N31" s="443" t="e">
        <f t="shared" si="28"/>
        <v>#N/A</v>
      </c>
      <c r="O31" s="444"/>
      <c r="P31" s="447" t="e">
        <f t="shared" si="29"/>
        <v>#N/A</v>
      </c>
      <c r="Q31" s="448"/>
      <c r="R31" s="103">
        <f t="shared" si="71"/>
        <v>0</v>
      </c>
      <c r="S31" s="104">
        <f t="shared" si="71"/>
        <v>0</v>
      </c>
      <c r="T31" s="104">
        <f t="shared" si="72"/>
        <v>0</v>
      </c>
      <c r="U31" s="104">
        <f t="shared" si="31"/>
        <v>0</v>
      </c>
      <c r="V31" s="104">
        <f t="shared" si="31"/>
        <v>9.9999999999999995E-8</v>
      </c>
      <c r="W31" s="104">
        <f t="shared" si="31"/>
        <v>0</v>
      </c>
      <c r="X31" s="104">
        <f t="shared" si="31"/>
        <v>0</v>
      </c>
      <c r="Y31" s="104">
        <f t="shared" si="31"/>
        <v>9.9999999999999995E-8</v>
      </c>
      <c r="Z31" s="104">
        <f t="shared" si="31"/>
        <v>9.9999999999999995E-8</v>
      </c>
      <c r="AA31" s="105">
        <f t="shared" si="31"/>
        <v>9.9999999999999995E-8</v>
      </c>
      <c r="AB31" s="101" t="e">
        <f>$DT31*HLOOKUP($J31,'Construction Costs (timber)'!$B$1:$V$32,'Construction Planner'!$L31+2,FALSE)</f>
        <v>#N/A</v>
      </c>
      <c r="AC31" s="14" t="e">
        <f>$DT31*HLOOKUP($J31,'Construction Costs (clay)'!$B$1:$V$32,'Construction Planner'!$L31+2,FALSE)</f>
        <v>#N/A</v>
      </c>
      <c r="AD31" s="14" t="e">
        <f>$DT31*HLOOKUP($J31,'Construction Costs (iron)'!$B$1:$V$32,'Construction Planner'!$L31+2,FALSE)</f>
        <v>#N/A</v>
      </c>
      <c r="AE31" s="34" t="e">
        <f t="shared" si="81"/>
        <v>#N/A</v>
      </c>
      <c r="AF31" s="33" t="e">
        <f t="shared" si="5"/>
        <v>#N/A</v>
      </c>
      <c r="AG31" s="14" t="e">
        <f t="shared" si="6"/>
        <v>#N/A</v>
      </c>
      <c r="AH31" s="14" t="e">
        <f t="shared" si="7"/>
        <v>#N/A</v>
      </c>
      <c r="AI31" s="34" t="e">
        <f t="shared" si="82"/>
        <v>#N/A</v>
      </c>
      <c r="AJ31" s="49" t="e">
        <f t="shared" si="32"/>
        <v>#N/A</v>
      </c>
      <c r="AK31" s="49" t="e">
        <f t="shared" si="33"/>
        <v>#N/A</v>
      </c>
      <c r="AL31" s="49" t="e">
        <f t="shared" si="34"/>
        <v>#N/A</v>
      </c>
      <c r="AM31" s="25">
        <f t="shared" si="8"/>
        <v>30</v>
      </c>
      <c r="AN31" s="25">
        <f t="shared" si="9"/>
        <v>30</v>
      </c>
      <c r="AO31" s="25">
        <f t="shared" si="10"/>
        <v>30</v>
      </c>
      <c r="AP31" s="52" t="e">
        <f t="shared" si="35"/>
        <v>#N/A</v>
      </c>
      <c r="AQ31" s="53" t="e">
        <f t="shared" si="35"/>
        <v>#N/A</v>
      </c>
      <c r="AR31" s="54" t="e">
        <f t="shared" si="35"/>
        <v>#N/A</v>
      </c>
      <c r="AS31" s="316">
        <f t="shared" si="83"/>
        <v>0</v>
      </c>
      <c r="AT31" s="106">
        <f>_xlfn.IFNA($M31/VLOOKUP($BT31,'Unit information'!$A$2:$K$29,2,FALSE)*R31,0)*(1+$E$9)</f>
        <v>0</v>
      </c>
      <c r="AU31" s="107">
        <f>_xlfn.IFNA($M31/VLOOKUP($BT31,'Unit information'!$A$2:$K$29,3,FALSE)*S31,0)*(1+$E$9)</f>
        <v>0</v>
      </c>
      <c r="AV31" s="107">
        <f>_xlfn.IFNA($M31/VLOOKUP($BT31,'Unit information'!$A$2:$K$29,4,FALSE)*T31,0)*(1+$E$9)</f>
        <v>0</v>
      </c>
      <c r="AW31" s="107">
        <f>_xlfn.IFNA($M31/VLOOKUP($BT31,'Unit information'!$A$2:$K$29,5,FALSE)*U31,0)*(1+$E$9)</f>
        <v>0</v>
      </c>
      <c r="AX31" s="107">
        <f>_xlfn.IFNA($M31/VLOOKUP($BU31,'Unit information'!$A$2:$K$29,6,FALSE)*V31,0)*(1+$E$9)</f>
        <v>0</v>
      </c>
      <c r="AY31" s="107">
        <f>_xlfn.IFNA($M31/VLOOKUP($BU31,'Unit information'!$A$2:$K$29,7,FALSE)*W31,0)*(1+$E$9)</f>
        <v>0</v>
      </c>
      <c r="AZ31" s="107">
        <f>_xlfn.IFNA($M31/VLOOKUP($BU31,'Unit information'!$A$2:$K$29,8,FALSE)*X31,0)*(1+$E$9)</f>
        <v>0</v>
      </c>
      <c r="BA31" s="107">
        <f>_xlfn.IFNA($M31/VLOOKUP($BU31,'Unit information'!$A$2:$K$29,9,FALSE)*Y31,0)*(1+$E$9)</f>
        <v>0</v>
      </c>
      <c r="BB31" s="107">
        <f>_xlfn.IFNA($M31/VLOOKUP($BV31,'Unit information'!$A$2:$K$29,10,FALSE)*Z31,0)*(1+$E$9)</f>
        <v>0</v>
      </c>
      <c r="BC31" s="108">
        <f>_xlfn.IFNA($M31/VLOOKUP($BV31,'Unit information'!$A$2:$K$29,11,FALSE)*AA31,0)*(1+$E$9)</f>
        <v>0</v>
      </c>
      <c r="BD31" s="106">
        <f t="shared" si="12"/>
        <v>0</v>
      </c>
      <c r="BE31" s="107">
        <f t="shared" si="13"/>
        <v>0</v>
      </c>
      <c r="BF31" s="108">
        <f t="shared" si="14"/>
        <v>0</v>
      </c>
      <c r="BG31" s="25" t="e">
        <f t="shared" si="15"/>
        <v>#N/A</v>
      </c>
      <c r="BH31" s="25" t="e">
        <f t="shared" si="16"/>
        <v>#N/A</v>
      </c>
      <c r="BI31" s="25" t="e">
        <f t="shared" si="17"/>
        <v>#N/A</v>
      </c>
      <c r="BJ31" s="27" t="e">
        <f t="shared" si="18"/>
        <v>#N/A</v>
      </c>
      <c r="BK31" s="18" t="e">
        <f t="shared" si="19"/>
        <v>#N/A</v>
      </c>
      <c r="BL31" s="18" t="e">
        <f t="shared" si="20"/>
        <v>#N/A</v>
      </c>
      <c r="BM31" s="28" t="e">
        <f t="shared" si="84"/>
        <v>#N/A</v>
      </c>
      <c r="BN31" s="33">
        <f>HLOOKUP("maximum population",Miscelaneous!$C$1:$C$33,CH31+3,FALSE)</f>
        <v>240</v>
      </c>
      <c r="BO31" s="14">
        <f t="shared" si="36"/>
        <v>32</v>
      </c>
      <c r="BP31" s="14">
        <f t="shared" si="37"/>
        <v>0</v>
      </c>
      <c r="BQ31" s="14">
        <f t="shared" si="38"/>
        <v>208</v>
      </c>
      <c r="BR31" s="34" t="e">
        <f>HLOOKUP(J31,Villagers!$B$1:$V$33,L31+3,FALSE)-HLOOKUP(J31,Villagers!$B$1:$V$33,L31+2,FALSE)</f>
        <v>#N/A</v>
      </c>
      <c r="BS31" s="49">
        <f t="shared" si="39"/>
        <v>1</v>
      </c>
      <c r="BT31" s="50">
        <f t="shared" si="40"/>
        <v>0</v>
      </c>
      <c r="BU31" s="50">
        <f t="shared" si="41"/>
        <v>0</v>
      </c>
      <c r="BV31" s="50">
        <f t="shared" si="42"/>
        <v>0</v>
      </c>
      <c r="BW31" s="50">
        <f t="shared" si="43"/>
        <v>0</v>
      </c>
      <c r="BX31" s="50">
        <f t="shared" si="44"/>
        <v>0</v>
      </c>
      <c r="BY31" s="50">
        <f t="shared" si="44"/>
        <v>0</v>
      </c>
      <c r="BZ31" s="50">
        <f t="shared" si="45"/>
        <v>0</v>
      </c>
      <c r="CA31" s="50">
        <f t="shared" si="46"/>
        <v>0</v>
      </c>
      <c r="CB31" s="50">
        <f t="shared" si="47"/>
        <v>1</v>
      </c>
      <c r="CC31" s="50">
        <f t="shared" si="48"/>
        <v>0</v>
      </c>
      <c r="CD31" s="50">
        <f t="shared" si="49"/>
        <v>0</v>
      </c>
      <c r="CE31" s="50">
        <f t="shared" si="50"/>
        <v>1</v>
      </c>
      <c r="CF31" s="50">
        <f t="shared" si="51"/>
        <v>1</v>
      </c>
      <c r="CG31" s="50">
        <f t="shared" si="52"/>
        <v>1</v>
      </c>
      <c r="CH31" s="50">
        <f t="shared" si="53"/>
        <v>1</v>
      </c>
      <c r="CI31" s="50">
        <f t="shared" si="54"/>
        <v>1</v>
      </c>
      <c r="CJ31" s="50">
        <f t="shared" si="55"/>
        <v>1</v>
      </c>
      <c r="CK31" s="50">
        <f t="shared" si="56"/>
        <v>0</v>
      </c>
      <c r="CL31" s="50">
        <f t="shared" si="55"/>
        <v>0</v>
      </c>
      <c r="CM31" s="51">
        <f t="shared" si="57"/>
        <v>0</v>
      </c>
      <c r="CN31" s="33">
        <f>ROUND(IF(BS31=0,0,HLOOKUP(BS$14,Villagers!$B$1:$V$33,BS31+3,FALSE)),)</f>
        <v>5</v>
      </c>
      <c r="CO31" s="14">
        <f>ROUND(IF(BT31=0,0,HLOOKUP(BT$14,Villagers!$B$1:$V$33,BT31+3,FALSE)),)</f>
        <v>0</v>
      </c>
      <c r="CP31" s="14">
        <f>ROUND(IF(BU31=0,0,HLOOKUP(BU$14,Villagers!$B$1:$V$33,BU31+3,FALSE)),)</f>
        <v>0</v>
      </c>
      <c r="CQ31" s="14">
        <f>ROUND(IF(BV31=0,0,HLOOKUP(BV$14,Villagers!$B$1:$V$33,BV31+3,FALSE)),)</f>
        <v>0</v>
      </c>
      <c r="CR31" s="14">
        <f>ROUND(IF(BW31=0,0,HLOOKUP(BW$14,Villagers!$B$1:$V$33,BW31+3,FALSE)),)</f>
        <v>0</v>
      </c>
      <c r="CS31" s="14">
        <f>ROUND(IF(BX31=0,0,HLOOKUP(BX$14,Villagers!$B$1:$V$33,BX31+3,FALSE)),)</f>
        <v>0</v>
      </c>
      <c r="CT31" s="14">
        <f>ROUND(IF(BY31=0,0,HLOOKUP(BY$14,Villagers!$B$1:$V$33,BY31+3,FALSE)),)</f>
        <v>0</v>
      </c>
      <c r="CU31" s="14">
        <f>ROUND(IF(BZ31=0,0,HLOOKUP(BZ$14,Villagers!$B$1:$V$33,BZ31+3,FALSE)),)</f>
        <v>0</v>
      </c>
      <c r="CV31" s="14">
        <f>ROUND(IF(CA31=0,0,HLOOKUP(CA$14,Villagers!$B$1:$V$33,CA31+3,FALSE)),)</f>
        <v>0</v>
      </c>
      <c r="CW31" s="14">
        <f>ROUND(IF(CB31=0,0,HLOOKUP(CB$14,Villagers!$B$1:$V$33,CB31+3,FALSE)),)</f>
        <v>0</v>
      </c>
      <c r="CX31" s="14">
        <f>ROUND(IF(CC31=0,0,HLOOKUP(CC$14,Villagers!$B$1:$V$33,CC31+3,FALSE)),)</f>
        <v>0</v>
      </c>
      <c r="CY31" s="14">
        <f>ROUND(IF(CD31=0,0,HLOOKUP(CD$14,Villagers!$B$1:$V$33,CD31+3,FALSE)),)</f>
        <v>0</v>
      </c>
      <c r="CZ31" s="14">
        <f>ROUND(IF(CE31=0,0,HLOOKUP(CE$14,Villagers!$B$1:$V$33,CE31+3,FALSE)),)</f>
        <v>5</v>
      </c>
      <c r="DA31" s="14">
        <f>ROUND(IF(CF31=0,0,HLOOKUP(CF$14,Villagers!$B$1:$V$33,CF31+3,FALSE)),)</f>
        <v>10</v>
      </c>
      <c r="DB31" s="14">
        <f>ROUND(IF(CG31=0,0,HLOOKUP(CG$14,Villagers!$B$1:$V$33,CG31+3,FALSE)),)</f>
        <v>10</v>
      </c>
      <c r="DC31" s="14">
        <f>ROUND(IF(CH31=0,0,HLOOKUP(CH$14,Villagers!$B$1:$V$33,CH31+3,FALSE)),)</f>
        <v>0</v>
      </c>
      <c r="DD31" s="14">
        <f>ROUND(IF(CI31=0,0,HLOOKUP(CI$14,Villagers!$B$1:$V$33,CI31+3,FALSE)),)</f>
        <v>0</v>
      </c>
      <c r="DE31" s="14">
        <f>ROUND(IF(CJ31=0,0,HLOOKUP(CJ$14,Villagers!$B$1:$V$33,CJ31+3,FALSE)),)</f>
        <v>2</v>
      </c>
      <c r="DF31" s="370">
        <f>ROUND(IF(CK31=0,0,HLOOKUP(CK$14,Villagers!$B$1:$V$33,CK31+3,FALSE)),)</f>
        <v>0</v>
      </c>
      <c r="DG31" s="370">
        <f>ROUND(IF(CL31=0,0,HLOOKUP(CL$14,Villagers!$B$1:$V$33,CL31+3,FALSE)),)</f>
        <v>0</v>
      </c>
      <c r="DH31" s="34">
        <f>ROUND(IF(CM31=0,0,HLOOKUP(CM$14,Villagers!$B$1:$V$33,CM31+3,FALSE)),)</f>
        <v>0</v>
      </c>
      <c r="DI31" s="109">
        <f t="shared" si="73"/>
        <v>0</v>
      </c>
      <c r="DJ31" s="50">
        <f t="shared" si="74"/>
        <v>0</v>
      </c>
      <c r="DK31" s="50">
        <f t="shared" si="75"/>
        <v>0</v>
      </c>
      <c r="DL31" s="50">
        <f t="shared" si="76"/>
        <v>0</v>
      </c>
      <c r="DM31" s="50">
        <f t="shared" si="77"/>
        <v>0</v>
      </c>
      <c r="DN31" s="50">
        <f t="shared" si="78"/>
        <v>0</v>
      </c>
      <c r="DO31" s="50">
        <f t="shared" si="79"/>
        <v>0</v>
      </c>
      <c r="DP31" s="50">
        <f t="shared" si="80"/>
        <v>0</v>
      </c>
      <c r="DQ31" s="50">
        <f t="shared" si="59"/>
        <v>0</v>
      </c>
      <c r="DR31" s="50">
        <f t="shared" si="60"/>
        <v>0</v>
      </c>
      <c r="DS31" s="96">
        <f>Miscelaneous!$D$4*Miscelaneous!$D$2^($CI31-1)</f>
        <v>1000</v>
      </c>
      <c r="DT31" s="333">
        <f t="shared" si="61"/>
        <v>1</v>
      </c>
      <c r="DU31" s="81">
        <v>1</v>
      </c>
      <c r="DV31" s="79">
        <f t="shared" si="62"/>
        <v>0</v>
      </c>
      <c r="DW31" s="79">
        <f t="shared" si="23"/>
        <v>0</v>
      </c>
      <c r="DX31" s="79">
        <f t="shared" si="63"/>
        <v>0</v>
      </c>
      <c r="DY31" s="79">
        <v>1</v>
      </c>
      <c r="DZ31" s="79">
        <f t="shared" si="24"/>
        <v>0</v>
      </c>
      <c r="EA31" s="79">
        <f t="shared" si="64"/>
        <v>0</v>
      </c>
      <c r="EB31" s="79">
        <f t="shared" si="65"/>
        <v>0</v>
      </c>
      <c r="EC31" s="79">
        <f t="shared" si="66"/>
        <v>0</v>
      </c>
      <c r="ED31" s="79">
        <v>1</v>
      </c>
      <c r="EE31" s="79">
        <v>1</v>
      </c>
      <c r="EF31" s="79">
        <f t="shared" si="67"/>
        <v>0</v>
      </c>
      <c r="EG31" s="79">
        <v>1</v>
      </c>
      <c r="EH31" s="79">
        <v>1</v>
      </c>
      <c r="EI31" s="79">
        <v>1</v>
      </c>
      <c r="EJ31" s="79">
        <v>1</v>
      </c>
      <c r="EK31" s="79">
        <v>1</v>
      </c>
      <c r="EL31" s="79">
        <v>1</v>
      </c>
      <c r="EM31" s="143">
        <f t="shared" si="68"/>
        <v>0</v>
      </c>
      <c r="EN31" s="143">
        <f t="shared" si="69"/>
        <v>0</v>
      </c>
      <c r="EO31" s="82">
        <f t="shared" si="70"/>
        <v>0</v>
      </c>
    </row>
    <row r="32" spans="1:145" x14ac:dyDescent="0.25">
      <c r="A32">
        <v>18</v>
      </c>
      <c r="B32" s="172" t="e">
        <f t="shared" si="25"/>
        <v>#N/A</v>
      </c>
      <c r="C32" s="121" t="e">
        <f t="shared" si="0"/>
        <v>#N/A</v>
      </c>
      <c r="D32" s="122" t="e">
        <f t="shared" si="1"/>
        <v>#N/A</v>
      </c>
      <c r="E32" s="122" t="e">
        <f t="shared" si="2"/>
        <v>#N/A</v>
      </c>
      <c r="F32" s="176" t="e">
        <f t="shared" si="3"/>
        <v>#N/A</v>
      </c>
      <c r="G32" s="121">
        <f t="shared" si="26"/>
        <v>208</v>
      </c>
      <c r="H32" s="176" t="e">
        <f t="shared" si="27"/>
        <v>#N/A</v>
      </c>
      <c r="I32" s="48">
        <v>1</v>
      </c>
      <c r="J32" s="39"/>
      <c r="K32" s="350">
        <v>1</v>
      </c>
      <c r="L32" s="34" t="e">
        <f t="shared" si="4"/>
        <v>#N/A</v>
      </c>
      <c r="M32" s="38" t="e">
        <f>(HLOOKUP(J32,'Construction Times'!$B$3:$W$34,L32+2,FALSE)*HLOOKUP("hq modifier",'Construction Times'!$W$3:$W$34,BS32+2,FALSE))*(1-$H$9)</f>
        <v>#N/A</v>
      </c>
      <c r="N32" s="443" t="e">
        <f t="shared" si="28"/>
        <v>#N/A</v>
      </c>
      <c r="O32" s="444"/>
      <c r="P32" s="447" t="e">
        <f t="shared" si="29"/>
        <v>#N/A</v>
      </c>
      <c r="Q32" s="448"/>
      <c r="R32" s="103">
        <f t="shared" si="71"/>
        <v>0</v>
      </c>
      <c r="S32" s="104">
        <f t="shared" si="71"/>
        <v>0</v>
      </c>
      <c r="T32" s="104">
        <f t="shared" si="72"/>
        <v>0</v>
      </c>
      <c r="U32" s="104">
        <f t="shared" si="31"/>
        <v>0</v>
      </c>
      <c r="V32" s="104">
        <f t="shared" si="31"/>
        <v>9.9999999999999995E-8</v>
      </c>
      <c r="W32" s="104">
        <f t="shared" si="31"/>
        <v>0</v>
      </c>
      <c r="X32" s="104">
        <f t="shared" si="31"/>
        <v>0</v>
      </c>
      <c r="Y32" s="104">
        <f t="shared" si="31"/>
        <v>9.9999999999999995E-8</v>
      </c>
      <c r="Z32" s="104">
        <f t="shared" si="31"/>
        <v>9.9999999999999995E-8</v>
      </c>
      <c r="AA32" s="105">
        <f t="shared" si="31"/>
        <v>9.9999999999999995E-8</v>
      </c>
      <c r="AB32" s="101" t="e">
        <f>$DT32*HLOOKUP($J32,'Construction Costs (timber)'!$B$1:$V$32,'Construction Planner'!$L32+2,FALSE)</f>
        <v>#N/A</v>
      </c>
      <c r="AC32" s="14" t="e">
        <f>$DT32*HLOOKUP($J32,'Construction Costs (clay)'!$B$1:$V$32,'Construction Planner'!$L32+2,FALSE)</f>
        <v>#N/A</v>
      </c>
      <c r="AD32" s="14" t="e">
        <f>$DT32*HLOOKUP($J32,'Construction Costs (iron)'!$B$1:$V$32,'Construction Planner'!$L32+2,FALSE)</f>
        <v>#N/A</v>
      </c>
      <c r="AE32" s="34" t="e">
        <f t="shared" si="81"/>
        <v>#N/A</v>
      </c>
      <c r="AF32" s="33" t="e">
        <f t="shared" si="5"/>
        <v>#N/A</v>
      </c>
      <c r="AG32" s="14" t="e">
        <f t="shared" si="6"/>
        <v>#N/A</v>
      </c>
      <c r="AH32" s="14" t="e">
        <f t="shared" si="7"/>
        <v>#N/A</v>
      </c>
      <c r="AI32" s="34" t="e">
        <f t="shared" si="82"/>
        <v>#N/A</v>
      </c>
      <c r="AJ32" s="49" t="e">
        <f t="shared" si="32"/>
        <v>#N/A</v>
      </c>
      <c r="AK32" s="49" t="e">
        <f t="shared" si="33"/>
        <v>#N/A</v>
      </c>
      <c r="AL32" s="49" t="e">
        <f t="shared" si="34"/>
        <v>#N/A</v>
      </c>
      <c r="AM32" s="25">
        <f t="shared" si="8"/>
        <v>30</v>
      </c>
      <c r="AN32" s="25">
        <f t="shared" si="9"/>
        <v>30</v>
      </c>
      <c r="AO32" s="25">
        <f t="shared" si="10"/>
        <v>30</v>
      </c>
      <c r="AP32" s="52" t="e">
        <f t="shared" si="35"/>
        <v>#N/A</v>
      </c>
      <c r="AQ32" s="53" t="e">
        <f t="shared" si="35"/>
        <v>#N/A</v>
      </c>
      <c r="AR32" s="54" t="e">
        <f t="shared" si="35"/>
        <v>#N/A</v>
      </c>
      <c r="AS32" s="316">
        <f t="shared" si="83"/>
        <v>0</v>
      </c>
      <c r="AT32" s="106">
        <f>_xlfn.IFNA($M32/VLOOKUP($BT32,'Unit information'!$A$2:$K$29,2,FALSE)*R32,0)*(1+$E$9)</f>
        <v>0</v>
      </c>
      <c r="AU32" s="107">
        <f>_xlfn.IFNA($M32/VLOOKUP($BT32,'Unit information'!$A$2:$K$29,3,FALSE)*S32,0)*(1+$E$9)</f>
        <v>0</v>
      </c>
      <c r="AV32" s="107">
        <f>_xlfn.IFNA($M32/VLOOKUP($BT32,'Unit information'!$A$2:$K$29,4,FALSE)*T32,0)*(1+$E$9)</f>
        <v>0</v>
      </c>
      <c r="AW32" s="107">
        <f>_xlfn.IFNA($M32/VLOOKUP($BT32,'Unit information'!$A$2:$K$29,5,FALSE)*U32,0)*(1+$E$9)</f>
        <v>0</v>
      </c>
      <c r="AX32" s="107">
        <f>_xlfn.IFNA($M32/VLOOKUP($BU32,'Unit information'!$A$2:$K$29,6,FALSE)*V32,0)*(1+$E$9)</f>
        <v>0</v>
      </c>
      <c r="AY32" s="107">
        <f>_xlfn.IFNA($M32/VLOOKUP($BU32,'Unit information'!$A$2:$K$29,7,FALSE)*W32,0)*(1+$E$9)</f>
        <v>0</v>
      </c>
      <c r="AZ32" s="107">
        <f>_xlfn.IFNA($M32/VLOOKUP($BU32,'Unit information'!$A$2:$K$29,8,FALSE)*X32,0)*(1+$E$9)</f>
        <v>0</v>
      </c>
      <c r="BA32" s="107">
        <f>_xlfn.IFNA($M32/VLOOKUP($BU32,'Unit information'!$A$2:$K$29,9,FALSE)*Y32,0)*(1+$E$9)</f>
        <v>0</v>
      </c>
      <c r="BB32" s="107">
        <f>_xlfn.IFNA($M32/VLOOKUP($BV32,'Unit information'!$A$2:$K$29,10,FALSE)*Z32,0)*(1+$E$9)</f>
        <v>0</v>
      </c>
      <c r="BC32" s="108">
        <f>_xlfn.IFNA($M32/VLOOKUP($BV32,'Unit information'!$A$2:$K$29,11,FALSE)*AA32,0)*(1+$E$9)</f>
        <v>0</v>
      </c>
      <c r="BD32" s="106">
        <f t="shared" si="12"/>
        <v>0</v>
      </c>
      <c r="BE32" s="107">
        <f t="shared" si="13"/>
        <v>0</v>
      </c>
      <c r="BF32" s="108">
        <f t="shared" si="14"/>
        <v>0</v>
      </c>
      <c r="BG32" s="25" t="e">
        <f t="shared" si="15"/>
        <v>#N/A</v>
      </c>
      <c r="BH32" s="25" t="e">
        <f t="shared" si="16"/>
        <v>#N/A</v>
      </c>
      <c r="BI32" s="25" t="e">
        <f t="shared" si="17"/>
        <v>#N/A</v>
      </c>
      <c r="BJ32" s="27" t="e">
        <f t="shared" si="18"/>
        <v>#N/A</v>
      </c>
      <c r="BK32" s="18" t="e">
        <f t="shared" si="19"/>
        <v>#N/A</v>
      </c>
      <c r="BL32" s="18" t="e">
        <f t="shared" si="20"/>
        <v>#N/A</v>
      </c>
      <c r="BM32" s="28" t="e">
        <f t="shared" si="84"/>
        <v>#N/A</v>
      </c>
      <c r="BN32" s="33">
        <f>HLOOKUP("maximum population",Miscelaneous!$C$1:$C$33,CH32+3,FALSE)</f>
        <v>240</v>
      </c>
      <c r="BO32" s="14">
        <f t="shared" si="36"/>
        <v>32</v>
      </c>
      <c r="BP32" s="14">
        <f t="shared" si="37"/>
        <v>0</v>
      </c>
      <c r="BQ32" s="14">
        <f t="shared" si="38"/>
        <v>208</v>
      </c>
      <c r="BR32" s="34" t="e">
        <f>HLOOKUP(J32,Villagers!$B$1:$V$33,L32+3,FALSE)-HLOOKUP(J32,Villagers!$B$1:$V$33,L32+2,FALSE)</f>
        <v>#N/A</v>
      </c>
      <c r="BS32" s="49">
        <f t="shared" si="39"/>
        <v>1</v>
      </c>
      <c r="BT32" s="50">
        <f t="shared" si="40"/>
        <v>0</v>
      </c>
      <c r="BU32" s="50">
        <f t="shared" si="41"/>
        <v>0</v>
      </c>
      <c r="BV32" s="50">
        <f t="shared" si="42"/>
        <v>0</v>
      </c>
      <c r="BW32" s="50">
        <f t="shared" si="43"/>
        <v>0</v>
      </c>
      <c r="BX32" s="50">
        <f t="shared" si="44"/>
        <v>0</v>
      </c>
      <c r="BY32" s="50">
        <f t="shared" si="44"/>
        <v>0</v>
      </c>
      <c r="BZ32" s="50">
        <f t="shared" si="45"/>
        <v>0</v>
      </c>
      <c r="CA32" s="50">
        <f t="shared" si="46"/>
        <v>0</v>
      </c>
      <c r="CB32" s="50">
        <f t="shared" si="47"/>
        <v>1</v>
      </c>
      <c r="CC32" s="50">
        <f t="shared" si="48"/>
        <v>0</v>
      </c>
      <c r="CD32" s="50">
        <f t="shared" si="49"/>
        <v>0</v>
      </c>
      <c r="CE32" s="50">
        <f t="shared" si="50"/>
        <v>1</v>
      </c>
      <c r="CF32" s="50">
        <f t="shared" si="51"/>
        <v>1</v>
      </c>
      <c r="CG32" s="50">
        <f t="shared" si="52"/>
        <v>1</v>
      </c>
      <c r="CH32" s="50">
        <f t="shared" si="53"/>
        <v>1</v>
      </c>
      <c r="CI32" s="50">
        <f t="shared" si="54"/>
        <v>1</v>
      </c>
      <c r="CJ32" s="50">
        <f t="shared" si="55"/>
        <v>1</v>
      </c>
      <c r="CK32" s="50">
        <f t="shared" si="56"/>
        <v>0</v>
      </c>
      <c r="CL32" s="50">
        <f t="shared" si="55"/>
        <v>0</v>
      </c>
      <c r="CM32" s="51">
        <f t="shared" si="57"/>
        <v>0</v>
      </c>
      <c r="CN32" s="33">
        <f>ROUND(IF(BS32=0,0,HLOOKUP(BS$14,Villagers!$B$1:$V$33,BS32+3,FALSE)),)</f>
        <v>5</v>
      </c>
      <c r="CO32" s="14">
        <f>ROUND(IF(BT32=0,0,HLOOKUP(BT$14,Villagers!$B$1:$V$33,BT32+3,FALSE)),)</f>
        <v>0</v>
      </c>
      <c r="CP32" s="14">
        <f>ROUND(IF(BU32=0,0,HLOOKUP(BU$14,Villagers!$B$1:$V$33,BU32+3,FALSE)),)</f>
        <v>0</v>
      </c>
      <c r="CQ32" s="14">
        <f>ROUND(IF(BV32=0,0,HLOOKUP(BV$14,Villagers!$B$1:$V$33,BV32+3,FALSE)),)</f>
        <v>0</v>
      </c>
      <c r="CR32" s="14">
        <f>ROUND(IF(BW32=0,0,HLOOKUP(BW$14,Villagers!$B$1:$V$33,BW32+3,FALSE)),)</f>
        <v>0</v>
      </c>
      <c r="CS32" s="14">
        <f>ROUND(IF(BX32=0,0,HLOOKUP(BX$14,Villagers!$B$1:$V$33,BX32+3,FALSE)),)</f>
        <v>0</v>
      </c>
      <c r="CT32" s="14">
        <f>ROUND(IF(BY32=0,0,HLOOKUP(BY$14,Villagers!$B$1:$V$33,BY32+3,FALSE)),)</f>
        <v>0</v>
      </c>
      <c r="CU32" s="14">
        <f>ROUND(IF(BZ32=0,0,HLOOKUP(BZ$14,Villagers!$B$1:$V$33,BZ32+3,FALSE)),)</f>
        <v>0</v>
      </c>
      <c r="CV32" s="14">
        <f>ROUND(IF(CA32=0,0,HLOOKUP(CA$14,Villagers!$B$1:$V$33,CA32+3,FALSE)),)</f>
        <v>0</v>
      </c>
      <c r="CW32" s="14">
        <f>ROUND(IF(CB32=0,0,HLOOKUP(CB$14,Villagers!$B$1:$V$33,CB32+3,FALSE)),)</f>
        <v>0</v>
      </c>
      <c r="CX32" s="14">
        <f>ROUND(IF(CC32=0,0,HLOOKUP(CC$14,Villagers!$B$1:$V$33,CC32+3,FALSE)),)</f>
        <v>0</v>
      </c>
      <c r="CY32" s="14">
        <f>ROUND(IF(CD32=0,0,HLOOKUP(CD$14,Villagers!$B$1:$V$33,CD32+3,FALSE)),)</f>
        <v>0</v>
      </c>
      <c r="CZ32" s="14">
        <f>ROUND(IF(CE32=0,0,HLOOKUP(CE$14,Villagers!$B$1:$V$33,CE32+3,FALSE)),)</f>
        <v>5</v>
      </c>
      <c r="DA32" s="14">
        <f>ROUND(IF(CF32=0,0,HLOOKUP(CF$14,Villagers!$B$1:$V$33,CF32+3,FALSE)),)</f>
        <v>10</v>
      </c>
      <c r="DB32" s="14">
        <f>ROUND(IF(CG32=0,0,HLOOKUP(CG$14,Villagers!$B$1:$V$33,CG32+3,FALSE)),)</f>
        <v>10</v>
      </c>
      <c r="DC32" s="14">
        <f>ROUND(IF(CH32=0,0,HLOOKUP(CH$14,Villagers!$B$1:$V$33,CH32+3,FALSE)),)</f>
        <v>0</v>
      </c>
      <c r="DD32" s="14">
        <f>ROUND(IF(CI32=0,0,HLOOKUP(CI$14,Villagers!$B$1:$V$33,CI32+3,FALSE)),)</f>
        <v>0</v>
      </c>
      <c r="DE32" s="14">
        <f>ROUND(IF(CJ32=0,0,HLOOKUP(CJ$14,Villagers!$B$1:$V$33,CJ32+3,FALSE)),)</f>
        <v>2</v>
      </c>
      <c r="DF32" s="370">
        <f>ROUND(IF(CK32=0,0,HLOOKUP(CK$14,Villagers!$B$1:$V$33,CK32+3,FALSE)),)</f>
        <v>0</v>
      </c>
      <c r="DG32" s="370">
        <f>ROUND(IF(CL32=0,0,HLOOKUP(CL$14,Villagers!$B$1:$V$33,CL32+3,FALSE)),)</f>
        <v>0</v>
      </c>
      <c r="DH32" s="34">
        <f>ROUND(IF(CM32=0,0,HLOOKUP(CM$14,Villagers!$B$1:$V$33,CM32+3,FALSE)),)</f>
        <v>0</v>
      </c>
      <c r="DI32" s="109">
        <f t="shared" si="73"/>
        <v>0</v>
      </c>
      <c r="DJ32" s="50">
        <f t="shared" si="74"/>
        <v>0</v>
      </c>
      <c r="DK32" s="50">
        <f t="shared" si="75"/>
        <v>0</v>
      </c>
      <c r="DL32" s="50">
        <f t="shared" si="76"/>
        <v>0</v>
      </c>
      <c r="DM32" s="50">
        <f t="shared" si="77"/>
        <v>0</v>
      </c>
      <c r="DN32" s="50">
        <f t="shared" si="78"/>
        <v>0</v>
      </c>
      <c r="DO32" s="50">
        <f t="shared" si="79"/>
        <v>0</v>
      </c>
      <c r="DP32" s="50">
        <f t="shared" si="80"/>
        <v>0</v>
      </c>
      <c r="DQ32" s="50">
        <f t="shared" si="59"/>
        <v>0</v>
      </c>
      <c r="DR32" s="50">
        <f t="shared" si="60"/>
        <v>0</v>
      </c>
      <c r="DS32" s="96">
        <f>Miscelaneous!$D$4*Miscelaneous!$D$2^($CI32-1)</f>
        <v>1000</v>
      </c>
      <c r="DT32" s="333">
        <f t="shared" si="61"/>
        <v>1</v>
      </c>
      <c r="DU32" s="81">
        <v>1</v>
      </c>
      <c r="DV32" s="79">
        <f t="shared" si="62"/>
        <v>0</v>
      </c>
      <c r="DW32" s="79">
        <f t="shared" si="23"/>
        <v>0</v>
      </c>
      <c r="DX32" s="79">
        <f t="shared" si="63"/>
        <v>0</v>
      </c>
      <c r="DY32" s="79">
        <v>1</v>
      </c>
      <c r="DZ32" s="79">
        <f t="shared" si="24"/>
        <v>0</v>
      </c>
      <c r="EA32" s="79">
        <f t="shared" si="64"/>
        <v>0</v>
      </c>
      <c r="EB32" s="79">
        <f t="shared" si="65"/>
        <v>0</v>
      </c>
      <c r="EC32" s="79">
        <f t="shared" si="66"/>
        <v>0</v>
      </c>
      <c r="ED32" s="79">
        <v>1</v>
      </c>
      <c r="EE32" s="79">
        <v>1</v>
      </c>
      <c r="EF32" s="79">
        <f t="shared" si="67"/>
        <v>0</v>
      </c>
      <c r="EG32" s="79">
        <v>1</v>
      </c>
      <c r="EH32" s="79">
        <v>1</v>
      </c>
      <c r="EI32" s="79">
        <v>1</v>
      </c>
      <c r="EJ32" s="79">
        <v>1</v>
      </c>
      <c r="EK32" s="79">
        <v>1</v>
      </c>
      <c r="EL32" s="79">
        <v>1</v>
      </c>
      <c r="EM32" s="143">
        <f t="shared" si="68"/>
        <v>0</v>
      </c>
      <c r="EN32" s="143">
        <f t="shared" si="69"/>
        <v>0</v>
      </c>
      <c r="EO32" s="82">
        <f t="shared" si="70"/>
        <v>0</v>
      </c>
    </row>
    <row r="33" spans="1:145" x14ac:dyDescent="0.25">
      <c r="A33">
        <v>19</v>
      </c>
      <c r="B33" s="172" t="e">
        <f t="shared" si="25"/>
        <v>#N/A</v>
      </c>
      <c r="C33" s="121" t="e">
        <f t="shared" si="0"/>
        <v>#N/A</v>
      </c>
      <c r="D33" s="122" t="e">
        <f t="shared" si="1"/>
        <v>#N/A</v>
      </c>
      <c r="E33" s="122" t="e">
        <f t="shared" si="2"/>
        <v>#N/A</v>
      </c>
      <c r="F33" s="176" t="e">
        <f t="shared" si="3"/>
        <v>#N/A</v>
      </c>
      <c r="G33" s="121">
        <f t="shared" si="26"/>
        <v>208</v>
      </c>
      <c r="H33" s="176" t="e">
        <f t="shared" si="27"/>
        <v>#N/A</v>
      </c>
      <c r="I33" s="48">
        <v>1</v>
      </c>
      <c r="J33" s="39"/>
      <c r="K33" s="350">
        <v>1</v>
      </c>
      <c r="L33" s="34" t="e">
        <f t="shared" si="4"/>
        <v>#N/A</v>
      </c>
      <c r="M33" s="38" t="e">
        <f>(HLOOKUP(J33,'Construction Times'!$B$3:$W$34,L33+2,FALSE)*HLOOKUP("hq modifier",'Construction Times'!$W$3:$W$34,BS33+2,FALSE))*(1-$H$9)</f>
        <v>#N/A</v>
      </c>
      <c r="N33" s="443" t="e">
        <f t="shared" si="28"/>
        <v>#N/A</v>
      </c>
      <c r="O33" s="444"/>
      <c r="P33" s="447" t="e">
        <f t="shared" si="29"/>
        <v>#N/A</v>
      </c>
      <c r="Q33" s="448"/>
      <c r="R33" s="103">
        <f t="shared" si="71"/>
        <v>0</v>
      </c>
      <c r="S33" s="104">
        <f t="shared" si="71"/>
        <v>0</v>
      </c>
      <c r="T33" s="104">
        <f t="shared" si="72"/>
        <v>0</v>
      </c>
      <c r="U33" s="104">
        <f t="shared" si="31"/>
        <v>0</v>
      </c>
      <c r="V33" s="104">
        <f t="shared" si="31"/>
        <v>9.9999999999999995E-8</v>
      </c>
      <c r="W33" s="104">
        <f t="shared" si="31"/>
        <v>0</v>
      </c>
      <c r="X33" s="104">
        <f t="shared" si="31"/>
        <v>0</v>
      </c>
      <c r="Y33" s="104">
        <f t="shared" si="31"/>
        <v>9.9999999999999995E-8</v>
      </c>
      <c r="Z33" s="104">
        <f t="shared" si="31"/>
        <v>9.9999999999999995E-8</v>
      </c>
      <c r="AA33" s="105">
        <f t="shared" si="31"/>
        <v>9.9999999999999995E-8</v>
      </c>
      <c r="AB33" s="101" t="e">
        <f>$DT33*HLOOKUP($J33,'Construction Costs (timber)'!$B$1:$V$32,'Construction Planner'!$L33+2,FALSE)</f>
        <v>#N/A</v>
      </c>
      <c r="AC33" s="14" t="e">
        <f>$DT33*HLOOKUP($J33,'Construction Costs (clay)'!$B$1:$V$32,'Construction Planner'!$L33+2,FALSE)</f>
        <v>#N/A</v>
      </c>
      <c r="AD33" s="14" t="e">
        <f>$DT33*HLOOKUP($J33,'Construction Costs (iron)'!$B$1:$V$32,'Construction Planner'!$L33+2,FALSE)</f>
        <v>#N/A</v>
      </c>
      <c r="AE33" s="34" t="e">
        <f t="shared" si="81"/>
        <v>#N/A</v>
      </c>
      <c r="AF33" s="33" t="e">
        <f t="shared" si="5"/>
        <v>#N/A</v>
      </c>
      <c r="AG33" s="14" t="e">
        <f t="shared" si="6"/>
        <v>#N/A</v>
      </c>
      <c r="AH33" s="14" t="e">
        <f t="shared" si="7"/>
        <v>#N/A</v>
      </c>
      <c r="AI33" s="34" t="e">
        <f t="shared" si="82"/>
        <v>#N/A</v>
      </c>
      <c r="AJ33" s="49" t="e">
        <f t="shared" si="32"/>
        <v>#N/A</v>
      </c>
      <c r="AK33" s="49" t="e">
        <f t="shared" si="33"/>
        <v>#N/A</v>
      </c>
      <c r="AL33" s="49" t="e">
        <f t="shared" si="34"/>
        <v>#N/A</v>
      </c>
      <c r="AM33" s="25">
        <f t="shared" si="8"/>
        <v>30</v>
      </c>
      <c r="AN33" s="25">
        <f t="shared" si="9"/>
        <v>30</v>
      </c>
      <c r="AO33" s="25">
        <f t="shared" si="10"/>
        <v>30</v>
      </c>
      <c r="AP33" s="52" t="e">
        <f t="shared" si="35"/>
        <v>#N/A</v>
      </c>
      <c r="AQ33" s="53" t="e">
        <f t="shared" si="35"/>
        <v>#N/A</v>
      </c>
      <c r="AR33" s="54" t="e">
        <f t="shared" si="35"/>
        <v>#N/A</v>
      </c>
      <c r="AS33" s="316">
        <f t="shared" si="83"/>
        <v>0</v>
      </c>
      <c r="AT33" s="106">
        <f>_xlfn.IFNA($M33/VLOOKUP($BT33,'Unit information'!$A$2:$K$29,2,FALSE)*R33,0)*(1+$E$9)</f>
        <v>0</v>
      </c>
      <c r="AU33" s="107">
        <f>_xlfn.IFNA($M33/VLOOKUP($BT33,'Unit information'!$A$2:$K$29,3,FALSE)*S33,0)*(1+$E$9)</f>
        <v>0</v>
      </c>
      <c r="AV33" s="107">
        <f>_xlfn.IFNA($M33/VLOOKUP($BT33,'Unit information'!$A$2:$K$29,4,FALSE)*T33,0)*(1+$E$9)</f>
        <v>0</v>
      </c>
      <c r="AW33" s="107">
        <f>_xlfn.IFNA($M33/VLOOKUP($BT33,'Unit information'!$A$2:$K$29,5,FALSE)*U33,0)*(1+$E$9)</f>
        <v>0</v>
      </c>
      <c r="AX33" s="107">
        <f>_xlfn.IFNA($M33/VLOOKUP($BU33,'Unit information'!$A$2:$K$29,6,FALSE)*V33,0)*(1+$E$9)</f>
        <v>0</v>
      </c>
      <c r="AY33" s="107">
        <f>_xlfn.IFNA($M33/VLOOKUP($BU33,'Unit information'!$A$2:$K$29,7,FALSE)*W33,0)*(1+$E$9)</f>
        <v>0</v>
      </c>
      <c r="AZ33" s="107">
        <f>_xlfn.IFNA($M33/VLOOKUP($BU33,'Unit information'!$A$2:$K$29,8,FALSE)*X33,0)*(1+$E$9)</f>
        <v>0</v>
      </c>
      <c r="BA33" s="107">
        <f>_xlfn.IFNA($M33/VLOOKUP($BU33,'Unit information'!$A$2:$K$29,9,FALSE)*Y33,0)*(1+$E$9)</f>
        <v>0</v>
      </c>
      <c r="BB33" s="107">
        <f>_xlfn.IFNA($M33/VLOOKUP($BV33,'Unit information'!$A$2:$K$29,10,FALSE)*Z33,0)*(1+$E$9)</f>
        <v>0</v>
      </c>
      <c r="BC33" s="108">
        <f>_xlfn.IFNA($M33/VLOOKUP($BV33,'Unit information'!$A$2:$K$29,11,FALSE)*AA33,0)*(1+$E$9)</f>
        <v>0</v>
      </c>
      <c r="BD33" s="106">
        <f t="shared" si="12"/>
        <v>0</v>
      </c>
      <c r="BE33" s="107">
        <f t="shared" si="13"/>
        <v>0</v>
      </c>
      <c r="BF33" s="108">
        <f t="shared" si="14"/>
        <v>0</v>
      </c>
      <c r="BG33" s="25" t="e">
        <f t="shared" si="15"/>
        <v>#N/A</v>
      </c>
      <c r="BH33" s="25" t="e">
        <f t="shared" si="16"/>
        <v>#N/A</v>
      </c>
      <c r="BI33" s="25" t="e">
        <f t="shared" si="17"/>
        <v>#N/A</v>
      </c>
      <c r="BJ33" s="27" t="e">
        <f t="shared" si="18"/>
        <v>#N/A</v>
      </c>
      <c r="BK33" s="18" t="e">
        <f t="shared" si="19"/>
        <v>#N/A</v>
      </c>
      <c r="BL33" s="18" t="e">
        <f t="shared" si="20"/>
        <v>#N/A</v>
      </c>
      <c r="BM33" s="28" t="e">
        <f t="shared" si="84"/>
        <v>#N/A</v>
      </c>
      <c r="BN33" s="33">
        <f>HLOOKUP("maximum population",Miscelaneous!$C$1:$C$33,CH33+3,FALSE)</f>
        <v>240</v>
      </c>
      <c r="BO33" s="14">
        <f t="shared" si="36"/>
        <v>32</v>
      </c>
      <c r="BP33" s="14">
        <f t="shared" si="37"/>
        <v>0</v>
      </c>
      <c r="BQ33" s="14">
        <f t="shared" si="38"/>
        <v>208</v>
      </c>
      <c r="BR33" s="34" t="e">
        <f>HLOOKUP(J33,Villagers!$B$1:$V$33,L33+3,FALSE)-HLOOKUP(J33,Villagers!$B$1:$V$33,L33+2,FALSE)</f>
        <v>#N/A</v>
      </c>
      <c r="BS33" s="49">
        <f t="shared" si="39"/>
        <v>1</v>
      </c>
      <c r="BT33" s="50">
        <f t="shared" si="40"/>
        <v>0</v>
      </c>
      <c r="BU33" s="50">
        <f t="shared" si="41"/>
        <v>0</v>
      </c>
      <c r="BV33" s="50">
        <f t="shared" si="42"/>
        <v>0</v>
      </c>
      <c r="BW33" s="50">
        <f t="shared" si="43"/>
        <v>0</v>
      </c>
      <c r="BX33" s="50">
        <f t="shared" si="44"/>
        <v>0</v>
      </c>
      <c r="BY33" s="50">
        <f t="shared" si="44"/>
        <v>0</v>
      </c>
      <c r="BZ33" s="50">
        <f t="shared" si="45"/>
        <v>0</v>
      </c>
      <c r="CA33" s="50">
        <f t="shared" si="46"/>
        <v>0</v>
      </c>
      <c r="CB33" s="50">
        <f t="shared" si="47"/>
        <v>1</v>
      </c>
      <c r="CC33" s="50">
        <f t="shared" si="48"/>
        <v>0</v>
      </c>
      <c r="CD33" s="50">
        <f t="shared" si="49"/>
        <v>0</v>
      </c>
      <c r="CE33" s="50">
        <f t="shared" si="50"/>
        <v>1</v>
      </c>
      <c r="CF33" s="50">
        <f t="shared" si="51"/>
        <v>1</v>
      </c>
      <c r="CG33" s="50">
        <f t="shared" si="52"/>
        <v>1</v>
      </c>
      <c r="CH33" s="50">
        <f t="shared" si="53"/>
        <v>1</v>
      </c>
      <c r="CI33" s="50">
        <f t="shared" si="54"/>
        <v>1</v>
      </c>
      <c r="CJ33" s="50">
        <f t="shared" si="55"/>
        <v>1</v>
      </c>
      <c r="CK33" s="50">
        <f t="shared" si="56"/>
        <v>0</v>
      </c>
      <c r="CL33" s="50">
        <f t="shared" si="55"/>
        <v>0</v>
      </c>
      <c r="CM33" s="51">
        <f t="shared" si="57"/>
        <v>0</v>
      </c>
      <c r="CN33" s="33">
        <f>ROUND(IF(BS33=0,0,HLOOKUP(BS$14,Villagers!$B$1:$V$33,BS33+3,FALSE)),)</f>
        <v>5</v>
      </c>
      <c r="CO33" s="14">
        <f>ROUND(IF(BT33=0,0,HLOOKUP(BT$14,Villagers!$B$1:$V$33,BT33+3,FALSE)),)</f>
        <v>0</v>
      </c>
      <c r="CP33" s="14">
        <f>ROUND(IF(BU33=0,0,HLOOKUP(BU$14,Villagers!$B$1:$V$33,BU33+3,FALSE)),)</f>
        <v>0</v>
      </c>
      <c r="CQ33" s="14">
        <f>ROUND(IF(BV33=0,0,HLOOKUP(BV$14,Villagers!$B$1:$V$33,BV33+3,FALSE)),)</f>
        <v>0</v>
      </c>
      <c r="CR33" s="14">
        <f>ROUND(IF(BW33=0,0,HLOOKUP(BW$14,Villagers!$B$1:$V$33,BW33+3,FALSE)),)</f>
        <v>0</v>
      </c>
      <c r="CS33" s="14">
        <f>ROUND(IF(BX33=0,0,HLOOKUP(BX$14,Villagers!$B$1:$V$33,BX33+3,FALSE)),)</f>
        <v>0</v>
      </c>
      <c r="CT33" s="14">
        <f>ROUND(IF(BY33=0,0,HLOOKUP(BY$14,Villagers!$B$1:$V$33,BY33+3,FALSE)),)</f>
        <v>0</v>
      </c>
      <c r="CU33" s="14">
        <f>ROUND(IF(BZ33=0,0,HLOOKUP(BZ$14,Villagers!$B$1:$V$33,BZ33+3,FALSE)),)</f>
        <v>0</v>
      </c>
      <c r="CV33" s="14">
        <f>ROUND(IF(CA33=0,0,HLOOKUP(CA$14,Villagers!$B$1:$V$33,CA33+3,FALSE)),)</f>
        <v>0</v>
      </c>
      <c r="CW33" s="14">
        <f>ROUND(IF(CB33=0,0,HLOOKUP(CB$14,Villagers!$B$1:$V$33,CB33+3,FALSE)),)</f>
        <v>0</v>
      </c>
      <c r="CX33" s="14">
        <f>ROUND(IF(CC33=0,0,HLOOKUP(CC$14,Villagers!$B$1:$V$33,CC33+3,FALSE)),)</f>
        <v>0</v>
      </c>
      <c r="CY33" s="14">
        <f>ROUND(IF(CD33=0,0,HLOOKUP(CD$14,Villagers!$B$1:$V$33,CD33+3,FALSE)),)</f>
        <v>0</v>
      </c>
      <c r="CZ33" s="14">
        <f>ROUND(IF(CE33=0,0,HLOOKUP(CE$14,Villagers!$B$1:$V$33,CE33+3,FALSE)),)</f>
        <v>5</v>
      </c>
      <c r="DA33" s="14">
        <f>ROUND(IF(CF33=0,0,HLOOKUP(CF$14,Villagers!$B$1:$V$33,CF33+3,FALSE)),)</f>
        <v>10</v>
      </c>
      <c r="DB33" s="14">
        <f>ROUND(IF(CG33=0,0,HLOOKUP(CG$14,Villagers!$B$1:$V$33,CG33+3,FALSE)),)</f>
        <v>10</v>
      </c>
      <c r="DC33" s="14">
        <f>ROUND(IF(CH33=0,0,HLOOKUP(CH$14,Villagers!$B$1:$V$33,CH33+3,FALSE)),)</f>
        <v>0</v>
      </c>
      <c r="DD33" s="14">
        <f>ROUND(IF(CI33=0,0,HLOOKUP(CI$14,Villagers!$B$1:$V$33,CI33+3,FALSE)),)</f>
        <v>0</v>
      </c>
      <c r="DE33" s="14">
        <f>ROUND(IF(CJ33=0,0,HLOOKUP(CJ$14,Villagers!$B$1:$V$33,CJ33+3,FALSE)),)</f>
        <v>2</v>
      </c>
      <c r="DF33" s="370">
        <f>ROUND(IF(CK33=0,0,HLOOKUP(CK$14,Villagers!$B$1:$V$33,CK33+3,FALSE)),)</f>
        <v>0</v>
      </c>
      <c r="DG33" s="370">
        <f>ROUND(IF(CL33=0,0,HLOOKUP(CL$14,Villagers!$B$1:$V$33,CL33+3,FALSE)),)</f>
        <v>0</v>
      </c>
      <c r="DH33" s="34">
        <f>ROUND(IF(CM33=0,0,HLOOKUP(CM$14,Villagers!$B$1:$V$33,CM33+3,FALSE)),)</f>
        <v>0</v>
      </c>
      <c r="DI33" s="109">
        <f t="shared" si="73"/>
        <v>0</v>
      </c>
      <c r="DJ33" s="50">
        <f t="shared" si="74"/>
        <v>0</v>
      </c>
      <c r="DK33" s="50">
        <f t="shared" si="75"/>
        <v>0</v>
      </c>
      <c r="DL33" s="50">
        <f t="shared" si="76"/>
        <v>0</v>
      </c>
      <c r="DM33" s="50">
        <f t="shared" si="77"/>
        <v>0</v>
      </c>
      <c r="DN33" s="50">
        <f t="shared" si="78"/>
        <v>0</v>
      </c>
      <c r="DO33" s="50">
        <f t="shared" si="79"/>
        <v>0</v>
      </c>
      <c r="DP33" s="50">
        <f t="shared" si="80"/>
        <v>0</v>
      </c>
      <c r="DQ33" s="50">
        <f t="shared" si="59"/>
        <v>0</v>
      </c>
      <c r="DR33" s="50">
        <f t="shared" si="60"/>
        <v>0</v>
      </c>
      <c r="DS33" s="96">
        <f>Miscelaneous!$D$4*Miscelaneous!$D$2^($CI33-1)</f>
        <v>1000</v>
      </c>
      <c r="DT33" s="333">
        <f t="shared" si="61"/>
        <v>1</v>
      </c>
      <c r="DU33" s="81">
        <v>1</v>
      </c>
      <c r="DV33" s="79">
        <f t="shared" si="62"/>
        <v>0</v>
      </c>
      <c r="DW33" s="79">
        <f t="shared" si="23"/>
        <v>0</v>
      </c>
      <c r="DX33" s="79">
        <f t="shared" si="63"/>
        <v>0</v>
      </c>
      <c r="DY33" s="79">
        <v>1</v>
      </c>
      <c r="DZ33" s="79">
        <f t="shared" si="24"/>
        <v>0</v>
      </c>
      <c r="EA33" s="79">
        <f t="shared" si="64"/>
        <v>0</v>
      </c>
      <c r="EB33" s="79">
        <f t="shared" si="65"/>
        <v>0</v>
      </c>
      <c r="EC33" s="79">
        <f t="shared" si="66"/>
        <v>0</v>
      </c>
      <c r="ED33" s="79">
        <v>1</v>
      </c>
      <c r="EE33" s="79">
        <v>1</v>
      </c>
      <c r="EF33" s="79">
        <f t="shared" si="67"/>
        <v>0</v>
      </c>
      <c r="EG33" s="79">
        <v>1</v>
      </c>
      <c r="EH33" s="79">
        <v>1</v>
      </c>
      <c r="EI33" s="79">
        <v>1</v>
      </c>
      <c r="EJ33" s="79">
        <v>1</v>
      </c>
      <c r="EK33" s="79">
        <v>1</v>
      </c>
      <c r="EL33" s="79">
        <v>1</v>
      </c>
      <c r="EM33" s="143">
        <f t="shared" si="68"/>
        <v>0</v>
      </c>
      <c r="EN33" s="143">
        <f t="shared" si="69"/>
        <v>0</v>
      </c>
      <c r="EO33" s="82">
        <f t="shared" si="70"/>
        <v>0</v>
      </c>
    </row>
    <row r="34" spans="1:145" x14ac:dyDescent="0.25">
      <c r="A34">
        <v>20</v>
      </c>
      <c r="B34" s="172" t="e">
        <f t="shared" si="25"/>
        <v>#N/A</v>
      </c>
      <c r="C34" s="121" t="e">
        <f t="shared" si="0"/>
        <v>#N/A</v>
      </c>
      <c r="D34" s="122" t="e">
        <f t="shared" si="1"/>
        <v>#N/A</v>
      </c>
      <c r="E34" s="122" t="e">
        <f t="shared" si="2"/>
        <v>#N/A</v>
      </c>
      <c r="F34" s="176" t="e">
        <f t="shared" si="3"/>
        <v>#N/A</v>
      </c>
      <c r="G34" s="121">
        <f t="shared" si="26"/>
        <v>208</v>
      </c>
      <c r="H34" s="176" t="e">
        <f t="shared" si="27"/>
        <v>#N/A</v>
      </c>
      <c r="I34" s="48">
        <v>1</v>
      </c>
      <c r="J34" s="39"/>
      <c r="K34" s="350">
        <v>1</v>
      </c>
      <c r="L34" s="34" t="e">
        <f t="shared" si="4"/>
        <v>#N/A</v>
      </c>
      <c r="M34" s="38" t="e">
        <f>(HLOOKUP(J34,'Construction Times'!$B$3:$W$34,L34+2,FALSE)*HLOOKUP("hq modifier",'Construction Times'!$W$3:$W$34,BS34+2,FALSE))*(1-$H$9)</f>
        <v>#N/A</v>
      </c>
      <c r="N34" s="443" t="e">
        <f t="shared" si="28"/>
        <v>#N/A</v>
      </c>
      <c r="O34" s="444"/>
      <c r="P34" s="447" t="e">
        <f t="shared" si="29"/>
        <v>#N/A</v>
      </c>
      <c r="Q34" s="448"/>
      <c r="R34" s="103">
        <f t="shared" si="71"/>
        <v>0</v>
      </c>
      <c r="S34" s="104">
        <f t="shared" si="71"/>
        <v>0</v>
      </c>
      <c r="T34" s="104">
        <f t="shared" si="72"/>
        <v>0</v>
      </c>
      <c r="U34" s="104">
        <f t="shared" si="31"/>
        <v>0</v>
      </c>
      <c r="V34" s="104">
        <f t="shared" si="31"/>
        <v>9.9999999999999995E-8</v>
      </c>
      <c r="W34" s="104">
        <f t="shared" si="31"/>
        <v>0</v>
      </c>
      <c r="X34" s="104">
        <f t="shared" si="31"/>
        <v>0</v>
      </c>
      <c r="Y34" s="104">
        <f t="shared" si="31"/>
        <v>9.9999999999999995E-8</v>
      </c>
      <c r="Z34" s="104">
        <f t="shared" si="31"/>
        <v>9.9999999999999995E-8</v>
      </c>
      <c r="AA34" s="105">
        <f t="shared" si="31"/>
        <v>9.9999999999999995E-8</v>
      </c>
      <c r="AB34" s="101" t="e">
        <f>$DT34*HLOOKUP($J34,'Construction Costs (timber)'!$B$1:$V$32,'Construction Planner'!$L34+2,FALSE)</f>
        <v>#N/A</v>
      </c>
      <c r="AC34" s="14" t="e">
        <f>$DT34*HLOOKUP($J34,'Construction Costs (clay)'!$B$1:$V$32,'Construction Planner'!$L34+2,FALSE)</f>
        <v>#N/A</v>
      </c>
      <c r="AD34" s="14" t="e">
        <f>$DT34*HLOOKUP($J34,'Construction Costs (iron)'!$B$1:$V$32,'Construction Planner'!$L34+2,FALSE)</f>
        <v>#N/A</v>
      </c>
      <c r="AE34" s="34" t="e">
        <f t="shared" si="81"/>
        <v>#N/A</v>
      </c>
      <c r="AF34" s="33" t="e">
        <f t="shared" si="5"/>
        <v>#N/A</v>
      </c>
      <c r="AG34" s="14" t="e">
        <f t="shared" si="6"/>
        <v>#N/A</v>
      </c>
      <c r="AH34" s="14" t="e">
        <f t="shared" si="7"/>
        <v>#N/A</v>
      </c>
      <c r="AI34" s="34" t="e">
        <f t="shared" si="82"/>
        <v>#N/A</v>
      </c>
      <c r="AJ34" s="49" t="e">
        <f t="shared" si="32"/>
        <v>#N/A</v>
      </c>
      <c r="AK34" s="49" t="e">
        <f t="shared" si="33"/>
        <v>#N/A</v>
      </c>
      <c r="AL34" s="49" t="e">
        <f t="shared" si="34"/>
        <v>#N/A</v>
      </c>
      <c r="AM34" s="25">
        <f t="shared" si="8"/>
        <v>30</v>
      </c>
      <c r="AN34" s="25">
        <f t="shared" si="9"/>
        <v>30</v>
      </c>
      <c r="AO34" s="25">
        <f t="shared" si="10"/>
        <v>30</v>
      </c>
      <c r="AP34" s="52" t="e">
        <f t="shared" si="35"/>
        <v>#N/A</v>
      </c>
      <c r="AQ34" s="53" t="e">
        <f t="shared" si="35"/>
        <v>#N/A</v>
      </c>
      <c r="AR34" s="54" t="e">
        <f t="shared" si="35"/>
        <v>#N/A</v>
      </c>
      <c r="AS34" s="316">
        <f t="shared" si="83"/>
        <v>0</v>
      </c>
      <c r="AT34" s="106">
        <f>_xlfn.IFNA($M34/VLOOKUP($BT34,'Unit information'!$A$2:$K$29,2,FALSE)*R34,0)*(1+$E$9)</f>
        <v>0</v>
      </c>
      <c r="AU34" s="107">
        <f>_xlfn.IFNA($M34/VLOOKUP($BT34,'Unit information'!$A$2:$K$29,3,FALSE)*S34,0)*(1+$E$9)</f>
        <v>0</v>
      </c>
      <c r="AV34" s="107">
        <f>_xlfn.IFNA($M34/VLOOKUP($BT34,'Unit information'!$A$2:$K$29,4,FALSE)*T34,0)*(1+$E$9)</f>
        <v>0</v>
      </c>
      <c r="AW34" s="107">
        <f>_xlfn.IFNA($M34/VLOOKUP($BT34,'Unit information'!$A$2:$K$29,5,FALSE)*U34,0)*(1+$E$9)</f>
        <v>0</v>
      </c>
      <c r="AX34" s="107">
        <f>_xlfn.IFNA($M34/VLOOKUP($BU34,'Unit information'!$A$2:$K$29,6,FALSE)*V34,0)*(1+$E$9)</f>
        <v>0</v>
      </c>
      <c r="AY34" s="107">
        <f>_xlfn.IFNA($M34/VLOOKUP($BU34,'Unit information'!$A$2:$K$29,7,FALSE)*W34,0)*(1+$E$9)</f>
        <v>0</v>
      </c>
      <c r="AZ34" s="107">
        <f>_xlfn.IFNA($M34/VLOOKUP($BU34,'Unit information'!$A$2:$K$29,8,FALSE)*X34,0)*(1+$E$9)</f>
        <v>0</v>
      </c>
      <c r="BA34" s="107">
        <f>_xlfn.IFNA($M34/VLOOKUP($BU34,'Unit information'!$A$2:$K$29,9,FALSE)*Y34,0)*(1+$E$9)</f>
        <v>0</v>
      </c>
      <c r="BB34" s="107">
        <f>_xlfn.IFNA($M34/VLOOKUP($BV34,'Unit information'!$A$2:$K$29,10,FALSE)*Z34,0)*(1+$E$9)</f>
        <v>0</v>
      </c>
      <c r="BC34" s="108">
        <f>_xlfn.IFNA($M34/VLOOKUP($BV34,'Unit information'!$A$2:$K$29,11,FALSE)*AA34,0)*(1+$E$9)</f>
        <v>0</v>
      </c>
      <c r="BD34" s="106">
        <f t="shared" si="12"/>
        <v>0</v>
      </c>
      <c r="BE34" s="107">
        <f t="shared" si="13"/>
        <v>0</v>
      </c>
      <c r="BF34" s="108">
        <f t="shared" si="14"/>
        <v>0</v>
      </c>
      <c r="BG34" s="25" t="e">
        <f t="shared" si="15"/>
        <v>#N/A</v>
      </c>
      <c r="BH34" s="25" t="e">
        <f t="shared" si="16"/>
        <v>#N/A</v>
      </c>
      <c r="BI34" s="25" t="e">
        <f t="shared" si="17"/>
        <v>#N/A</v>
      </c>
      <c r="BJ34" s="27" t="e">
        <f t="shared" si="18"/>
        <v>#N/A</v>
      </c>
      <c r="BK34" s="18" t="e">
        <f t="shared" si="19"/>
        <v>#N/A</v>
      </c>
      <c r="BL34" s="18" t="e">
        <f t="shared" si="20"/>
        <v>#N/A</v>
      </c>
      <c r="BM34" s="28" t="e">
        <f t="shared" si="84"/>
        <v>#N/A</v>
      </c>
      <c r="BN34" s="33">
        <f>HLOOKUP("maximum population",Miscelaneous!$C$1:$C$33,CH34+3,FALSE)</f>
        <v>240</v>
      </c>
      <c r="BO34" s="14">
        <f t="shared" si="36"/>
        <v>32</v>
      </c>
      <c r="BP34" s="14">
        <f t="shared" si="37"/>
        <v>0</v>
      </c>
      <c r="BQ34" s="14">
        <f t="shared" si="38"/>
        <v>208</v>
      </c>
      <c r="BR34" s="34" t="e">
        <f>HLOOKUP(J34,Villagers!$B$1:$V$33,L34+3,FALSE)-HLOOKUP(J34,Villagers!$B$1:$V$33,L34+2,FALSE)</f>
        <v>#N/A</v>
      </c>
      <c r="BS34" s="49">
        <f t="shared" si="39"/>
        <v>1</v>
      </c>
      <c r="BT34" s="50">
        <f t="shared" si="40"/>
        <v>0</v>
      </c>
      <c r="BU34" s="50">
        <f t="shared" si="41"/>
        <v>0</v>
      </c>
      <c r="BV34" s="50">
        <f t="shared" si="42"/>
        <v>0</v>
      </c>
      <c r="BW34" s="50">
        <f t="shared" si="43"/>
        <v>0</v>
      </c>
      <c r="BX34" s="50">
        <f t="shared" si="44"/>
        <v>0</v>
      </c>
      <c r="BY34" s="50">
        <f t="shared" si="44"/>
        <v>0</v>
      </c>
      <c r="BZ34" s="50">
        <f t="shared" si="45"/>
        <v>0</v>
      </c>
      <c r="CA34" s="50">
        <f t="shared" si="46"/>
        <v>0</v>
      </c>
      <c r="CB34" s="50">
        <f t="shared" si="47"/>
        <v>1</v>
      </c>
      <c r="CC34" s="50">
        <f t="shared" si="48"/>
        <v>0</v>
      </c>
      <c r="CD34" s="50">
        <f t="shared" si="49"/>
        <v>0</v>
      </c>
      <c r="CE34" s="50">
        <f t="shared" si="50"/>
        <v>1</v>
      </c>
      <c r="CF34" s="50">
        <f t="shared" si="51"/>
        <v>1</v>
      </c>
      <c r="CG34" s="50">
        <f t="shared" si="52"/>
        <v>1</v>
      </c>
      <c r="CH34" s="50">
        <f t="shared" si="53"/>
        <v>1</v>
      </c>
      <c r="CI34" s="50">
        <f t="shared" si="54"/>
        <v>1</v>
      </c>
      <c r="CJ34" s="50">
        <f t="shared" si="55"/>
        <v>1</v>
      </c>
      <c r="CK34" s="50">
        <f t="shared" si="56"/>
        <v>0</v>
      </c>
      <c r="CL34" s="50">
        <f t="shared" si="55"/>
        <v>0</v>
      </c>
      <c r="CM34" s="51">
        <f t="shared" si="57"/>
        <v>0</v>
      </c>
      <c r="CN34" s="33">
        <f>ROUND(IF(BS34=0,0,HLOOKUP(BS$14,Villagers!$B$1:$V$33,BS34+3,FALSE)),)</f>
        <v>5</v>
      </c>
      <c r="CO34" s="14">
        <f>ROUND(IF(BT34=0,0,HLOOKUP(BT$14,Villagers!$B$1:$V$33,BT34+3,FALSE)),)</f>
        <v>0</v>
      </c>
      <c r="CP34" s="14">
        <f>ROUND(IF(BU34=0,0,HLOOKUP(BU$14,Villagers!$B$1:$V$33,BU34+3,FALSE)),)</f>
        <v>0</v>
      </c>
      <c r="CQ34" s="14">
        <f>ROUND(IF(BV34=0,0,HLOOKUP(BV$14,Villagers!$B$1:$V$33,BV34+3,FALSE)),)</f>
        <v>0</v>
      </c>
      <c r="CR34" s="14">
        <f>ROUND(IF(BW34=0,0,HLOOKUP(BW$14,Villagers!$B$1:$V$33,BW34+3,FALSE)),)</f>
        <v>0</v>
      </c>
      <c r="CS34" s="14">
        <f>ROUND(IF(BX34=0,0,HLOOKUP(BX$14,Villagers!$B$1:$V$33,BX34+3,FALSE)),)</f>
        <v>0</v>
      </c>
      <c r="CT34" s="14">
        <f>ROUND(IF(BY34=0,0,HLOOKUP(BY$14,Villagers!$B$1:$V$33,BY34+3,FALSE)),)</f>
        <v>0</v>
      </c>
      <c r="CU34" s="14">
        <f>ROUND(IF(BZ34=0,0,HLOOKUP(BZ$14,Villagers!$B$1:$V$33,BZ34+3,FALSE)),)</f>
        <v>0</v>
      </c>
      <c r="CV34" s="14">
        <f>ROUND(IF(CA34=0,0,HLOOKUP(CA$14,Villagers!$B$1:$V$33,CA34+3,FALSE)),)</f>
        <v>0</v>
      </c>
      <c r="CW34" s="14">
        <f>ROUND(IF(CB34=0,0,HLOOKUP(CB$14,Villagers!$B$1:$V$33,CB34+3,FALSE)),)</f>
        <v>0</v>
      </c>
      <c r="CX34" s="14">
        <f>ROUND(IF(CC34=0,0,HLOOKUP(CC$14,Villagers!$B$1:$V$33,CC34+3,FALSE)),)</f>
        <v>0</v>
      </c>
      <c r="CY34" s="14">
        <f>ROUND(IF(CD34=0,0,HLOOKUP(CD$14,Villagers!$B$1:$V$33,CD34+3,FALSE)),)</f>
        <v>0</v>
      </c>
      <c r="CZ34" s="14">
        <f>ROUND(IF(CE34=0,0,HLOOKUP(CE$14,Villagers!$B$1:$V$33,CE34+3,FALSE)),)</f>
        <v>5</v>
      </c>
      <c r="DA34" s="14">
        <f>ROUND(IF(CF34=0,0,HLOOKUP(CF$14,Villagers!$B$1:$V$33,CF34+3,FALSE)),)</f>
        <v>10</v>
      </c>
      <c r="DB34" s="14">
        <f>ROUND(IF(CG34=0,0,HLOOKUP(CG$14,Villagers!$B$1:$V$33,CG34+3,FALSE)),)</f>
        <v>10</v>
      </c>
      <c r="DC34" s="14">
        <f>ROUND(IF(CH34=0,0,HLOOKUP(CH$14,Villagers!$B$1:$V$33,CH34+3,FALSE)),)</f>
        <v>0</v>
      </c>
      <c r="DD34" s="14">
        <f>ROUND(IF(CI34=0,0,HLOOKUP(CI$14,Villagers!$B$1:$V$33,CI34+3,FALSE)),)</f>
        <v>0</v>
      </c>
      <c r="DE34" s="14">
        <f>ROUND(IF(CJ34=0,0,HLOOKUP(CJ$14,Villagers!$B$1:$V$33,CJ34+3,FALSE)),)</f>
        <v>2</v>
      </c>
      <c r="DF34" s="370">
        <f>ROUND(IF(CK34=0,0,HLOOKUP(CK$14,Villagers!$B$1:$V$33,CK34+3,FALSE)),)</f>
        <v>0</v>
      </c>
      <c r="DG34" s="370">
        <f>ROUND(IF(CL34=0,0,HLOOKUP(CL$14,Villagers!$B$1:$V$33,CL34+3,FALSE)),)</f>
        <v>0</v>
      </c>
      <c r="DH34" s="34">
        <f>ROUND(IF(CM34=0,0,HLOOKUP(CM$14,Villagers!$B$1:$V$33,CM34+3,FALSE)),)</f>
        <v>0</v>
      </c>
      <c r="DI34" s="109">
        <f t="shared" si="73"/>
        <v>0</v>
      </c>
      <c r="DJ34" s="50">
        <f t="shared" si="74"/>
        <v>0</v>
      </c>
      <c r="DK34" s="50">
        <f t="shared" si="75"/>
        <v>0</v>
      </c>
      <c r="DL34" s="50">
        <f t="shared" si="76"/>
        <v>0</v>
      </c>
      <c r="DM34" s="50">
        <f t="shared" si="77"/>
        <v>0</v>
      </c>
      <c r="DN34" s="50">
        <f t="shared" si="78"/>
        <v>0</v>
      </c>
      <c r="DO34" s="50">
        <f t="shared" si="79"/>
        <v>0</v>
      </c>
      <c r="DP34" s="50">
        <f t="shared" si="80"/>
        <v>0</v>
      </c>
      <c r="DQ34" s="50">
        <f t="shared" si="59"/>
        <v>0</v>
      </c>
      <c r="DR34" s="50">
        <f t="shared" si="60"/>
        <v>0</v>
      </c>
      <c r="DS34" s="96">
        <f>Miscelaneous!$D$4*Miscelaneous!$D$2^($CI34-1)</f>
        <v>1000</v>
      </c>
      <c r="DT34" s="333">
        <f t="shared" si="61"/>
        <v>1</v>
      </c>
      <c r="DU34" s="81">
        <v>1</v>
      </c>
      <c r="DV34" s="79">
        <f t="shared" si="62"/>
        <v>0</v>
      </c>
      <c r="DW34" s="79">
        <f t="shared" si="23"/>
        <v>0</v>
      </c>
      <c r="DX34" s="79">
        <f t="shared" si="63"/>
        <v>0</v>
      </c>
      <c r="DY34" s="79">
        <v>1</v>
      </c>
      <c r="DZ34" s="79">
        <f t="shared" si="24"/>
        <v>0</v>
      </c>
      <c r="EA34" s="79">
        <f t="shared" si="64"/>
        <v>0</v>
      </c>
      <c r="EB34" s="79">
        <f t="shared" si="65"/>
        <v>0</v>
      </c>
      <c r="EC34" s="79">
        <f t="shared" si="66"/>
        <v>0</v>
      </c>
      <c r="ED34" s="79">
        <v>1</v>
      </c>
      <c r="EE34" s="79">
        <v>1</v>
      </c>
      <c r="EF34" s="79">
        <f t="shared" si="67"/>
        <v>0</v>
      </c>
      <c r="EG34" s="79">
        <v>1</v>
      </c>
      <c r="EH34" s="79">
        <v>1</v>
      </c>
      <c r="EI34" s="79">
        <v>1</v>
      </c>
      <c r="EJ34" s="79">
        <v>1</v>
      </c>
      <c r="EK34" s="79">
        <v>1</v>
      </c>
      <c r="EL34" s="79">
        <v>1</v>
      </c>
      <c r="EM34" s="143">
        <f t="shared" si="68"/>
        <v>0</v>
      </c>
      <c r="EN34" s="143">
        <f t="shared" si="69"/>
        <v>0</v>
      </c>
      <c r="EO34" s="82">
        <f t="shared" si="70"/>
        <v>0</v>
      </c>
    </row>
    <row r="35" spans="1:145" x14ac:dyDescent="0.25">
      <c r="A35">
        <v>21</v>
      </c>
      <c r="B35" s="172" t="e">
        <f t="shared" si="25"/>
        <v>#N/A</v>
      </c>
      <c r="C35" s="121" t="e">
        <f t="shared" si="0"/>
        <v>#N/A</v>
      </c>
      <c r="D35" s="122" t="e">
        <f t="shared" si="1"/>
        <v>#N/A</v>
      </c>
      <c r="E35" s="122" t="e">
        <f t="shared" si="2"/>
        <v>#N/A</v>
      </c>
      <c r="F35" s="176" t="e">
        <f t="shared" si="3"/>
        <v>#N/A</v>
      </c>
      <c r="G35" s="121">
        <f t="shared" si="26"/>
        <v>208</v>
      </c>
      <c r="H35" s="176" t="e">
        <f t="shared" si="27"/>
        <v>#N/A</v>
      </c>
      <c r="I35" s="48">
        <v>1</v>
      </c>
      <c r="J35" s="39"/>
      <c r="K35" s="350">
        <v>1</v>
      </c>
      <c r="L35" s="34" t="e">
        <f t="shared" si="4"/>
        <v>#N/A</v>
      </c>
      <c r="M35" s="38" t="e">
        <f>(HLOOKUP(J35,'Construction Times'!$B$3:$W$34,L35+2,FALSE)*HLOOKUP("hq modifier",'Construction Times'!$W$3:$W$34,BS35+2,FALSE))*(1-$H$9)</f>
        <v>#N/A</v>
      </c>
      <c r="N35" s="443" t="e">
        <f t="shared" si="28"/>
        <v>#N/A</v>
      </c>
      <c r="O35" s="444"/>
      <c r="P35" s="447" t="e">
        <f t="shared" si="29"/>
        <v>#N/A</v>
      </c>
      <c r="Q35" s="448"/>
      <c r="R35" s="103">
        <f t="shared" si="71"/>
        <v>0</v>
      </c>
      <c r="S35" s="104">
        <f t="shared" si="71"/>
        <v>0</v>
      </c>
      <c r="T35" s="104">
        <f t="shared" si="72"/>
        <v>0</v>
      </c>
      <c r="U35" s="104">
        <f t="shared" si="31"/>
        <v>0</v>
      </c>
      <c r="V35" s="104">
        <f t="shared" si="31"/>
        <v>9.9999999999999995E-8</v>
      </c>
      <c r="W35" s="104">
        <f t="shared" si="31"/>
        <v>0</v>
      </c>
      <c r="X35" s="104">
        <f t="shared" si="31"/>
        <v>0</v>
      </c>
      <c r="Y35" s="104">
        <f t="shared" si="31"/>
        <v>9.9999999999999995E-8</v>
      </c>
      <c r="Z35" s="104">
        <f t="shared" si="31"/>
        <v>9.9999999999999995E-8</v>
      </c>
      <c r="AA35" s="105">
        <f t="shared" si="31"/>
        <v>9.9999999999999995E-8</v>
      </c>
      <c r="AB35" s="101" t="e">
        <f>$DT35*HLOOKUP($J35,'Construction Costs (timber)'!$B$1:$V$32,'Construction Planner'!$L35+2,FALSE)</f>
        <v>#N/A</v>
      </c>
      <c r="AC35" s="14" t="e">
        <f>$DT35*HLOOKUP($J35,'Construction Costs (clay)'!$B$1:$V$32,'Construction Planner'!$L35+2,FALSE)</f>
        <v>#N/A</v>
      </c>
      <c r="AD35" s="14" t="e">
        <f>$DT35*HLOOKUP($J35,'Construction Costs (iron)'!$B$1:$V$32,'Construction Planner'!$L35+2,FALSE)</f>
        <v>#N/A</v>
      </c>
      <c r="AE35" s="34" t="e">
        <f t="shared" si="81"/>
        <v>#N/A</v>
      </c>
      <c r="AF35" s="33" t="e">
        <f t="shared" si="5"/>
        <v>#N/A</v>
      </c>
      <c r="AG35" s="14" t="e">
        <f t="shared" si="6"/>
        <v>#N/A</v>
      </c>
      <c r="AH35" s="14" t="e">
        <f t="shared" si="7"/>
        <v>#N/A</v>
      </c>
      <c r="AI35" s="34" t="e">
        <f t="shared" si="82"/>
        <v>#N/A</v>
      </c>
      <c r="AJ35" s="49" t="e">
        <f t="shared" si="32"/>
        <v>#N/A</v>
      </c>
      <c r="AK35" s="49" t="e">
        <f t="shared" si="33"/>
        <v>#N/A</v>
      </c>
      <c r="AL35" s="49" t="e">
        <f t="shared" si="34"/>
        <v>#N/A</v>
      </c>
      <c r="AM35" s="25">
        <f t="shared" si="8"/>
        <v>30</v>
      </c>
      <c r="AN35" s="25">
        <f t="shared" si="9"/>
        <v>30</v>
      </c>
      <c r="AO35" s="25">
        <f t="shared" si="10"/>
        <v>30</v>
      </c>
      <c r="AP35" s="52" t="e">
        <f t="shared" si="35"/>
        <v>#N/A</v>
      </c>
      <c r="AQ35" s="53" t="e">
        <f t="shared" si="35"/>
        <v>#N/A</v>
      </c>
      <c r="AR35" s="54" t="e">
        <f t="shared" si="35"/>
        <v>#N/A</v>
      </c>
      <c r="AS35" s="316">
        <f t="shared" si="83"/>
        <v>0</v>
      </c>
      <c r="AT35" s="106">
        <f>_xlfn.IFNA($M35/VLOOKUP($BT35,'Unit information'!$A$2:$K$29,2,FALSE)*R35,0)*(1+$E$9)</f>
        <v>0</v>
      </c>
      <c r="AU35" s="107">
        <f>_xlfn.IFNA($M35/VLOOKUP($BT35,'Unit information'!$A$2:$K$29,3,FALSE)*S35,0)*(1+$E$9)</f>
        <v>0</v>
      </c>
      <c r="AV35" s="107">
        <f>_xlfn.IFNA($M35/VLOOKUP($BT35,'Unit information'!$A$2:$K$29,4,FALSE)*T35,0)*(1+$E$9)</f>
        <v>0</v>
      </c>
      <c r="AW35" s="107">
        <f>_xlfn.IFNA($M35/VLOOKUP($BT35,'Unit information'!$A$2:$K$29,5,FALSE)*U35,0)*(1+$E$9)</f>
        <v>0</v>
      </c>
      <c r="AX35" s="107">
        <f>_xlfn.IFNA($M35/VLOOKUP($BU35,'Unit information'!$A$2:$K$29,6,FALSE)*V35,0)*(1+$E$9)</f>
        <v>0</v>
      </c>
      <c r="AY35" s="107">
        <f>_xlfn.IFNA($M35/VLOOKUP($BU35,'Unit information'!$A$2:$K$29,7,FALSE)*W35,0)*(1+$E$9)</f>
        <v>0</v>
      </c>
      <c r="AZ35" s="107">
        <f>_xlfn.IFNA($M35/VLOOKUP($BU35,'Unit information'!$A$2:$K$29,8,FALSE)*X35,0)*(1+$E$9)</f>
        <v>0</v>
      </c>
      <c r="BA35" s="107">
        <f>_xlfn.IFNA($M35/VLOOKUP($BU35,'Unit information'!$A$2:$K$29,9,FALSE)*Y35,0)*(1+$E$9)</f>
        <v>0</v>
      </c>
      <c r="BB35" s="107">
        <f>_xlfn.IFNA($M35/VLOOKUP($BV35,'Unit information'!$A$2:$K$29,10,FALSE)*Z35,0)*(1+$E$9)</f>
        <v>0</v>
      </c>
      <c r="BC35" s="108">
        <f>_xlfn.IFNA($M35/VLOOKUP($BV35,'Unit information'!$A$2:$K$29,11,FALSE)*AA35,0)*(1+$E$9)</f>
        <v>0</v>
      </c>
      <c r="BD35" s="106">
        <f t="shared" si="12"/>
        <v>0</v>
      </c>
      <c r="BE35" s="107">
        <f t="shared" si="13"/>
        <v>0</v>
      </c>
      <c r="BF35" s="108">
        <f t="shared" si="14"/>
        <v>0</v>
      </c>
      <c r="BG35" s="25" t="e">
        <f t="shared" si="15"/>
        <v>#N/A</v>
      </c>
      <c r="BH35" s="25" t="e">
        <f t="shared" si="16"/>
        <v>#N/A</v>
      </c>
      <c r="BI35" s="25" t="e">
        <f t="shared" si="17"/>
        <v>#N/A</v>
      </c>
      <c r="BJ35" s="27" t="e">
        <f t="shared" si="18"/>
        <v>#N/A</v>
      </c>
      <c r="BK35" s="18" t="e">
        <f t="shared" si="19"/>
        <v>#N/A</v>
      </c>
      <c r="BL35" s="18" t="e">
        <f t="shared" si="20"/>
        <v>#N/A</v>
      </c>
      <c r="BM35" s="28" t="e">
        <f t="shared" si="84"/>
        <v>#N/A</v>
      </c>
      <c r="BN35" s="33">
        <f>HLOOKUP("maximum population",Miscelaneous!$C$1:$C$33,CH35+3,FALSE)</f>
        <v>240</v>
      </c>
      <c r="BO35" s="14">
        <f t="shared" si="36"/>
        <v>32</v>
      </c>
      <c r="BP35" s="14">
        <f t="shared" si="37"/>
        <v>0</v>
      </c>
      <c r="BQ35" s="14">
        <f t="shared" si="38"/>
        <v>208</v>
      </c>
      <c r="BR35" s="34" t="e">
        <f>HLOOKUP(J35,Villagers!$B$1:$V$33,L35+3,FALSE)-HLOOKUP(J35,Villagers!$B$1:$V$33,L35+2,FALSE)</f>
        <v>#N/A</v>
      </c>
      <c r="BS35" s="49">
        <f t="shared" si="39"/>
        <v>1</v>
      </c>
      <c r="BT35" s="50">
        <f t="shared" si="40"/>
        <v>0</v>
      </c>
      <c r="BU35" s="50">
        <f t="shared" si="41"/>
        <v>0</v>
      </c>
      <c r="BV35" s="50">
        <f t="shared" si="42"/>
        <v>0</v>
      </c>
      <c r="BW35" s="50">
        <f t="shared" si="43"/>
        <v>0</v>
      </c>
      <c r="BX35" s="50">
        <f t="shared" si="44"/>
        <v>0</v>
      </c>
      <c r="BY35" s="50">
        <f t="shared" si="44"/>
        <v>0</v>
      </c>
      <c r="BZ35" s="50">
        <f t="shared" si="45"/>
        <v>0</v>
      </c>
      <c r="CA35" s="50">
        <f t="shared" si="46"/>
        <v>0</v>
      </c>
      <c r="CB35" s="50">
        <f t="shared" si="47"/>
        <v>1</v>
      </c>
      <c r="CC35" s="50">
        <f t="shared" si="48"/>
        <v>0</v>
      </c>
      <c r="CD35" s="50">
        <f t="shared" si="49"/>
        <v>0</v>
      </c>
      <c r="CE35" s="50">
        <f t="shared" si="50"/>
        <v>1</v>
      </c>
      <c r="CF35" s="50">
        <f t="shared" si="51"/>
        <v>1</v>
      </c>
      <c r="CG35" s="50">
        <f t="shared" si="52"/>
        <v>1</v>
      </c>
      <c r="CH35" s="50">
        <f t="shared" si="53"/>
        <v>1</v>
      </c>
      <c r="CI35" s="50">
        <f t="shared" si="54"/>
        <v>1</v>
      </c>
      <c r="CJ35" s="50">
        <f t="shared" si="55"/>
        <v>1</v>
      </c>
      <c r="CK35" s="50">
        <f t="shared" si="56"/>
        <v>0</v>
      </c>
      <c r="CL35" s="50">
        <f t="shared" si="55"/>
        <v>0</v>
      </c>
      <c r="CM35" s="51">
        <f t="shared" si="57"/>
        <v>0</v>
      </c>
      <c r="CN35" s="33">
        <f>ROUND(IF(BS35=0,0,HLOOKUP(BS$14,Villagers!$B$1:$V$33,BS35+3,FALSE)),)</f>
        <v>5</v>
      </c>
      <c r="CO35" s="14">
        <f>ROUND(IF(BT35=0,0,HLOOKUP(BT$14,Villagers!$B$1:$V$33,BT35+3,FALSE)),)</f>
        <v>0</v>
      </c>
      <c r="CP35" s="14">
        <f>ROUND(IF(BU35=0,0,HLOOKUP(BU$14,Villagers!$B$1:$V$33,BU35+3,FALSE)),)</f>
        <v>0</v>
      </c>
      <c r="CQ35" s="14">
        <f>ROUND(IF(BV35=0,0,HLOOKUP(BV$14,Villagers!$B$1:$V$33,BV35+3,FALSE)),)</f>
        <v>0</v>
      </c>
      <c r="CR35" s="14">
        <f>ROUND(IF(BW35=0,0,HLOOKUP(BW$14,Villagers!$B$1:$V$33,BW35+3,FALSE)),)</f>
        <v>0</v>
      </c>
      <c r="CS35" s="14">
        <f>ROUND(IF(BX35=0,0,HLOOKUP(BX$14,Villagers!$B$1:$V$33,BX35+3,FALSE)),)</f>
        <v>0</v>
      </c>
      <c r="CT35" s="14">
        <f>ROUND(IF(BY35=0,0,HLOOKUP(BY$14,Villagers!$B$1:$V$33,BY35+3,FALSE)),)</f>
        <v>0</v>
      </c>
      <c r="CU35" s="14">
        <f>ROUND(IF(BZ35=0,0,HLOOKUP(BZ$14,Villagers!$B$1:$V$33,BZ35+3,FALSE)),)</f>
        <v>0</v>
      </c>
      <c r="CV35" s="14">
        <f>ROUND(IF(CA35=0,0,HLOOKUP(CA$14,Villagers!$B$1:$V$33,CA35+3,FALSE)),)</f>
        <v>0</v>
      </c>
      <c r="CW35" s="14">
        <f>ROUND(IF(CB35=0,0,HLOOKUP(CB$14,Villagers!$B$1:$V$33,CB35+3,FALSE)),)</f>
        <v>0</v>
      </c>
      <c r="CX35" s="14">
        <f>ROUND(IF(CC35=0,0,HLOOKUP(CC$14,Villagers!$B$1:$V$33,CC35+3,FALSE)),)</f>
        <v>0</v>
      </c>
      <c r="CY35" s="14">
        <f>ROUND(IF(CD35=0,0,HLOOKUP(CD$14,Villagers!$B$1:$V$33,CD35+3,FALSE)),)</f>
        <v>0</v>
      </c>
      <c r="CZ35" s="14">
        <f>ROUND(IF(CE35=0,0,HLOOKUP(CE$14,Villagers!$B$1:$V$33,CE35+3,FALSE)),)</f>
        <v>5</v>
      </c>
      <c r="DA35" s="14">
        <f>ROUND(IF(CF35=0,0,HLOOKUP(CF$14,Villagers!$B$1:$V$33,CF35+3,FALSE)),)</f>
        <v>10</v>
      </c>
      <c r="DB35" s="14">
        <f>ROUND(IF(CG35=0,0,HLOOKUP(CG$14,Villagers!$B$1:$V$33,CG35+3,FALSE)),)</f>
        <v>10</v>
      </c>
      <c r="DC35" s="14">
        <f>ROUND(IF(CH35=0,0,HLOOKUP(CH$14,Villagers!$B$1:$V$33,CH35+3,FALSE)),)</f>
        <v>0</v>
      </c>
      <c r="DD35" s="14">
        <f>ROUND(IF(CI35=0,0,HLOOKUP(CI$14,Villagers!$B$1:$V$33,CI35+3,FALSE)),)</f>
        <v>0</v>
      </c>
      <c r="DE35" s="14">
        <f>ROUND(IF(CJ35=0,0,HLOOKUP(CJ$14,Villagers!$B$1:$V$33,CJ35+3,FALSE)),)</f>
        <v>2</v>
      </c>
      <c r="DF35" s="370">
        <f>ROUND(IF(CK35=0,0,HLOOKUP(CK$14,Villagers!$B$1:$V$33,CK35+3,FALSE)),)</f>
        <v>0</v>
      </c>
      <c r="DG35" s="370">
        <f>ROUND(IF(CL35=0,0,HLOOKUP(CL$14,Villagers!$B$1:$V$33,CL35+3,FALSE)),)</f>
        <v>0</v>
      </c>
      <c r="DH35" s="34">
        <f>ROUND(IF(CM35=0,0,HLOOKUP(CM$14,Villagers!$B$1:$V$33,CM35+3,FALSE)),)</f>
        <v>0</v>
      </c>
      <c r="DI35" s="109">
        <f t="shared" si="73"/>
        <v>0</v>
      </c>
      <c r="DJ35" s="50">
        <f t="shared" si="74"/>
        <v>0</v>
      </c>
      <c r="DK35" s="50">
        <f t="shared" si="75"/>
        <v>0</v>
      </c>
      <c r="DL35" s="50">
        <f t="shared" si="76"/>
        <v>0</v>
      </c>
      <c r="DM35" s="50">
        <f t="shared" si="77"/>
        <v>0</v>
      </c>
      <c r="DN35" s="50">
        <f t="shared" si="78"/>
        <v>0</v>
      </c>
      <c r="DO35" s="50">
        <f t="shared" si="79"/>
        <v>0</v>
      </c>
      <c r="DP35" s="50">
        <f t="shared" si="80"/>
        <v>0</v>
      </c>
      <c r="DQ35" s="50">
        <f t="shared" si="59"/>
        <v>0</v>
      </c>
      <c r="DR35" s="50">
        <f t="shared" si="60"/>
        <v>0</v>
      </c>
      <c r="DS35" s="96">
        <f>Miscelaneous!$D$4*Miscelaneous!$D$2^($CI35-1)</f>
        <v>1000</v>
      </c>
      <c r="DT35" s="333">
        <f t="shared" si="61"/>
        <v>1</v>
      </c>
      <c r="DU35" s="81">
        <v>1</v>
      </c>
      <c r="DV35" s="79">
        <f t="shared" si="62"/>
        <v>0</v>
      </c>
      <c r="DW35" s="79">
        <f t="shared" si="23"/>
        <v>0</v>
      </c>
      <c r="DX35" s="79">
        <f t="shared" si="63"/>
        <v>0</v>
      </c>
      <c r="DY35" s="79">
        <v>1</v>
      </c>
      <c r="DZ35" s="79">
        <f t="shared" si="24"/>
        <v>0</v>
      </c>
      <c r="EA35" s="79">
        <f t="shared" si="64"/>
        <v>0</v>
      </c>
      <c r="EB35" s="79">
        <f t="shared" si="65"/>
        <v>0</v>
      </c>
      <c r="EC35" s="79">
        <f t="shared" si="66"/>
        <v>0</v>
      </c>
      <c r="ED35" s="79">
        <v>1</v>
      </c>
      <c r="EE35" s="79">
        <v>1</v>
      </c>
      <c r="EF35" s="79">
        <f t="shared" si="67"/>
        <v>0</v>
      </c>
      <c r="EG35" s="79">
        <v>1</v>
      </c>
      <c r="EH35" s="79">
        <v>1</v>
      </c>
      <c r="EI35" s="79">
        <v>1</v>
      </c>
      <c r="EJ35" s="79">
        <v>1</v>
      </c>
      <c r="EK35" s="79">
        <v>1</v>
      </c>
      <c r="EL35" s="79">
        <v>1</v>
      </c>
      <c r="EM35" s="143">
        <f t="shared" si="68"/>
        <v>0</v>
      </c>
      <c r="EN35" s="143">
        <f t="shared" si="69"/>
        <v>0</v>
      </c>
      <c r="EO35" s="82">
        <f t="shared" si="70"/>
        <v>0</v>
      </c>
    </row>
    <row r="36" spans="1:145" x14ac:dyDescent="0.25">
      <c r="A36">
        <v>22</v>
      </c>
      <c r="B36" s="172" t="e">
        <f t="shared" si="25"/>
        <v>#N/A</v>
      </c>
      <c r="C36" s="121" t="e">
        <f t="shared" si="0"/>
        <v>#N/A</v>
      </c>
      <c r="D36" s="122" t="e">
        <f t="shared" si="1"/>
        <v>#N/A</v>
      </c>
      <c r="E36" s="122" t="e">
        <f t="shared" si="2"/>
        <v>#N/A</v>
      </c>
      <c r="F36" s="176" t="e">
        <f t="shared" si="3"/>
        <v>#N/A</v>
      </c>
      <c r="G36" s="121">
        <f t="shared" si="26"/>
        <v>208</v>
      </c>
      <c r="H36" s="176" t="e">
        <f t="shared" si="27"/>
        <v>#N/A</v>
      </c>
      <c r="I36" s="48">
        <v>1</v>
      </c>
      <c r="J36" s="39"/>
      <c r="K36" s="350">
        <v>1</v>
      </c>
      <c r="L36" s="34" t="e">
        <f t="shared" si="4"/>
        <v>#N/A</v>
      </c>
      <c r="M36" s="38" t="e">
        <f>(HLOOKUP(J36,'Construction Times'!$B$3:$W$34,L36+2,FALSE)*HLOOKUP("hq modifier",'Construction Times'!$W$3:$W$34,BS36+2,FALSE))*(1-$H$9)</f>
        <v>#N/A</v>
      </c>
      <c r="N36" s="443" t="e">
        <f t="shared" si="28"/>
        <v>#N/A</v>
      </c>
      <c r="O36" s="444"/>
      <c r="P36" s="447" t="e">
        <f t="shared" si="29"/>
        <v>#N/A</v>
      </c>
      <c r="Q36" s="448"/>
      <c r="R36" s="103">
        <f t="shared" si="71"/>
        <v>0</v>
      </c>
      <c r="S36" s="104">
        <f t="shared" si="71"/>
        <v>0</v>
      </c>
      <c r="T36" s="104">
        <f t="shared" si="72"/>
        <v>0</v>
      </c>
      <c r="U36" s="104">
        <f t="shared" si="31"/>
        <v>0</v>
      </c>
      <c r="V36" s="104">
        <f t="shared" si="31"/>
        <v>9.9999999999999995E-8</v>
      </c>
      <c r="W36" s="104">
        <f t="shared" si="31"/>
        <v>0</v>
      </c>
      <c r="X36" s="104">
        <f t="shared" si="31"/>
        <v>0</v>
      </c>
      <c r="Y36" s="104">
        <f t="shared" si="31"/>
        <v>9.9999999999999995E-8</v>
      </c>
      <c r="Z36" s="104">
        <f t="shared" si="31"/>
        <v>9.9999999999999995E-8</v>
      </c>
      <c r="AA36" s="105">
        <f t="shared" si="31"/>
        <v>9.9999999999999995E-8</v>
      </c>
      <c r="AB36" s="101" t="e">
        <f>$DT36*HLOOKUP($J36,'Construction Costs (timber)'!$B$1:$V$32,'Construction Planner'!$L36+2,FALSE)</f>
        <v>#N/A</v>
      </c>
      <c r="AC36" s="14" t="e">
        <f>$DT36*HLOOKUP($J36,'Construction Costs (clay)'!$B$1:$V$32,'Construction Planner'!$L36+2,FALSE)</f>
        <v>#N/A</v>
      </c>
      <c r="AD36" s="14" t="e">
        <f>$DT36*HLOOKUP($J36,'Construction Costs (iron)'!$B$1:$V$32,'Construction Planner'!$L36+2,FALSE)</f>
        <v>#N/A</v>
      </c>
      <c r="AE36" s="34" t="e">
        <f t="shared" si="81"/>
        <v>#N/A</v>
      </c>
      <c r="AF36" s="33" t="e">
        <f t="shared" si="5"/>
        <v>#N/A</v>
      </c>
      <c r="AG36" s="14" t="e">
        <f t="shared" si="6"/>
        <v>#N/A</v>
      </c>
      <c r="AH36" s="14" t="e">
        <f t="shared" si="7"/>
        <v>#N/A</v>
      </c>
      <c r="AI36" s="34" t="e">
        <f t="shared" si="82"/>
        <v>#N/A</v>
      </c>
      <c r="AJ36" s="49" t="e">
        <f t="shared" si="32"/>
        <v>#N/A</v>
      </c>
      <c r="AK36" s="49" t="e">
        <f t="shared" si="33"/>
        <v>#N/A</v>
      </c>
      <c r="AL36" s="49" t="e">
        <f t="shared" si="34"/>
        <v>#N/A</v>
      </c>
      <c r="AM36" s="25">
        <f t="shared" si="8"/>
        <v>30</v>
      </c>
      <c r="AN36" s="25">
        <f t="shared" si="9"/>
        <v>30</v>
      </c>
      <c r="AO36" s="25">
        <f t="shared" si="10"/>
        <v>30</v>
      </c>
      <c r="AP36" s="52" t="e">
        <f t="shared" si="35"/>
        <v>#N/A</v>
      </c>
      <c r="AQ36" s="53" t="e">
        <f t="shared" si="35"/>
        <v>#N/A</v>
      </c>
      <c r="AR36" s="54" t="e">
        <f t="shared" si="35"/>
        <v>#N/A</v>
      </c>
      <c r="AS36" s="316">
        <f t="shared" si="83"/>
        <v>0</v>
      </c>
      <c r="AT36" s="106">
        <f>_xlfn.IFNA($M36/VLOOKUP($BT36,'Unit information'!$A$2:$K$29,2,FALSE)*R36,0)*(1+$E$9)</f>
        <v>0</v>
      </c>
      <c r="AU36" s="107">
        <f>_xlfn.IFNA($M36/VLOOKUP($BT36,'Unit information'!$A$2:$K$29,3,FALSE)*S36,0)*(1+$E$9)</f>
        <v>0</v>
      </c>
      <c r="AV36" s="107">
        <f>_xlfn.IFNA($M36/VLOOKUP($BT36,'Unit information'!$A$2:$K$29,4,FALSE)*T36,0)*(1+$E$9)</f>
        <v>0</v>
      </c>
      <c r="AW36" s="107">
        <f>_xlfn.IFNA($M36/VLOOKUP($BT36,'Unit information'!$A$2:$K$29,5,FALSE)*U36,0)*(1+$E$9)</f>
        <v>0</v>
      </c>
      <c r="AX36" s="107">
        <f>_xlfn.IFNA($M36/VLOOKUP($BU36,'Unit information'!$A$2:$K$29,6,FALSE)*V36,0)*(1+$E$9)</f>
        <v>0</v>
      </c>
      <c r="AY36" s="107">
        <f>_xlfn.IFNA($M36/VLOOKUP($BU36,'Unit information'!$A$2:$K$29,7,FALSE)*W36,0)*(1+$E$9)</f>
        <v>0</v>
      </c>
      <c r="AZ36" s="107">
        <f>_xlfn.IFNA($M36/VLOOKUP($BU36,'Unit information'!$A$2:$K$29,8,FALSE)*X36,0)*(1+$E$9)</f>
        <v>0</v>
      </c>
      <c r="BA36" s="107">
        <f>_xlfn.IFNA($M36/VLOOKUP($BU36,'Unit information'!$A$2:$K$29,9,FALSE)*Y36,0)*(1+$E$9)</f>
        <v>0</v>
      </c>
      <c r="BB36" s="107">
        <f>_xlfn.IFNA($M36/VLOOKUP($BV36,'Unit information'!$A$2:$K$29,10,FALSE)*Z36,0)*(1+$E$9)</f>
        <v>0</v>
      </c>
      <c r="BC36" s="108">
        <f>_xlfn.IFNA($M36/VLOOKUP($BV36,'Unit information'!$A$2:$K$29,11,FALSE)*AA36,0)*(1+$E$9)</f>
        <v>0</v>
      </c>
      <c r="BD36" s="106">
        <f t="shared" si="12"/>
        <v>0</v>
      </c>
      <c r="BE36" s="107">
        <f t="shared" si="13"/>
        <v>0</v>
      </c>
      <c r="BF36" s="108">
        <f t="shared" si="14"/>
        <v>0</v>
      </c>
      <c r="BG36" s="25" t="e">
        <f t="shared" si="15"/>
        <v>#N/A</v>
      </c>
      <c r="BH36" s="25" t="e">
        <f t="shared" si="16"/>
        <v>#N/A</v>
      </c>
      <c r="BI36" s="25" t="e">
        <f t="shared" si="17"/>
        <v>#N/A</v>
      </c>
      <c r="BJ36" s="27" t="e">
        <f t="shared" si="18"/>
        <v>#N/A</v>
      </c>
      <c r="BK36" s="18" t="e">
        <f t="shared" si="19"/>
        <v>#N/A</v>
      </c>
      <c r="BL36" s="18" t="e">
        <f t="shared" si="20"/>
        <v>#N/A</v>
      </c>
      <c r="BM36" s="28" t="e">
        <f t="shared" si="84"/>
        <v>#N/A</v>
      </c>
      <c r="BN36" s="33">
        <f>HLOOKUP("maximum population",Miscelaneous!$C$1:$C$33,CH36+3,FALSE)</f>
        <v>240</v>
      </c>
      <c r="BO36" s="14">
        <f t="shared" si="36"/>
        <v>32</v>
      </c>
      <c r="BP36" s="14">
        <f t="shared" si="37"/>
        <v>0</v>
      </c>
      <c r="BQ36" s="14">
        <f t="shared" si="38"/>
        <v>208</v>
      </c>
      <c r="BR36" s="34" t="e">
        <f>HLOOKUP(J36,Villagers!$B$1:$V$33,L36+3,FALSE)-HLOOKUP(J36,Villagers!$B$1:$V$33,L36+2,FALSE)</f>
        <v>#N/A</v>
      </c>
      <c r="BS36" s="49">
        <f t="shared" si="39"/>
        <v>1</v>
      </c>
      <c r="BT36" s="50">
        <f t="shared" si="40"/>
        <v>0</v>
      </c>
      <c r="BU36" s="50">
        <f t="shared" si="41"/>
        <v>0</v>
      </c>
      <c r="BV36" s="50">
        <f t="shared" si="42"/>
        <v>0</v>
      </c>
      <c r="BW36" s="50">
        <f t="shared" si="43"/>
        <v>0</v>
      </c>
      <c r="BX36" s="50">
        <f t="shared" si="44"/>
        <v>0</v>
      </c>
      <c r="BY36" s="50">
        <f t="shared" si="44"/>
        <v>0</v>
      </c>
      <c r="BZ36" s="50">
        <f t="shared" si="45"/>
        <v>0</v>
      </c>
      <c r="CA36" s="50">
        <f t="shared" si="46"/>
        <v>0</v>
      </c>
      <c r="CB36" s="50">
        <f t="shared" si="47"/>
        <v>1</v>
      </c>
      <c r="CC36" s="50">
        <f t="shared" si="48"/>
        <v>0</v>
      </c>
      <c r="CD36" s="50">
        <f t="shared" si="49"/>
        <v>0</v>
      </c>
      <c r="CE36" s="50">
        <f t="shared" si="50"/>
        <v>1</v>
      </c>
      <c r="CF36" s="50">
        <f t="shared" si="51"/>
        <v>1</v>
      </c>
      <c r="CG36" s="50">
        <f t="shared" si="52"/>
        <v>1</v>
      </c>
      <c r="CH36" s="50">
        <f t="shared" si="53"/>
        <v>1</v>
      </c>
      <c r="CI36" s="50">
        <f t="shared" si="54"/>
        <v>1</v>
      </c>
      <c r="CJ36" s="50">
        <f t="shared" si="55"/>
        <v>1</v>
      </c>
      <c r="CK36" s="50">
        <f t="shared" si="56"/>
        <v>0</v>
      </c>
      <c r="CL36" s="50">
        <f t="shared" si="55"/>
        <v>0</v>
      </c>
      <c r="CM36" s="51">
        <f t="shared" si="57"/>
        <v>0</v>
      </c>
      <c r="CN36" s="33">
        <f>ROUND(IF(BS36=0,0,HLOOKUP(BS$14,Villagers!$B$1:$V$33,BS36+3,FALSE)),)</f>
        <v>5</v>
      </c>
      <c r="CO36" s="14">
        <f>ROUND(IF(BT36=0,0,HLOOKUP(BT$14,Villagers!$B$1:$V$33,BT36+3,FALSE)),)</f>
        <v>0</v>
      </c>
      <c r="CP36" s="14">
        <f>ROUND(IF(BU36=0,0,HLOOKUP(BU$14,Villagers!$B$1:$V$33,BU36+3,FALSE)),)</f>
        <v>0</v>
      </c>
      <c r="CQ36" s="14">
        <f>ROUND(IF(BV36=0,0,HLOOKUP(BV$14,Villagers!$B$1:$V$33,BV36+3,FALSE)),)</f>
        <v>0</v>
      </c>
      <c r="CR36" s="14">
        <f>ROUND(IF(BW36=0,0,HLOOKUP(BW$14,Villagers!$B$1:$V$33,BW36+3,FALSE)),)</f>
        <v>0</v>
      </c>
      <c r="CS36" s="14">
        <f>ROUND(IF(BX36=0,0,HLOOKUP(BX$14,Villagers!$B$1:$V$33,BX36+3,FALSE)),)</f>
        <v>0</v>
      </c>
      <c r="CT36" s="14">
        <f>ROUND(IF(BY36=0,0,HLOOKUP(BY$14,Villagers!$B$1:$V$33,BY36+3,FALSE)),)</f>
        <v>0</v>
      </c>
      <c r="CU36" s="14">
        <f>ROUND(IF(BZ36=0,0,HLOOKUP(BZ$14,Villagers!$B$1:$V$33,BZ36+3,FALSE)),)</f>
        <v>0</v>
      </c>
      <c r="CV36" s="14">
        <f>ROUND(IF(CA36=0,0,HLOOKUP(CA$14,Villagers!$B$1:$V$33,CA36+3,FALSE)),)</f>
        <v>0</v>
      </c>
      <c r="CW36" s="14">
        <f>ROUND(IF(CB36=0,0,HLOOKUP(CB$14,Villagers!$B$1:$V$33,CB36+3,FALSE)),)</f>
        <v>0</v>
      </c>
      <c r="CX36" s="14">
        <f>ROUND(IF(CC36=0,0,HLOOKUP(CC$14,Villagers!$B$1:$V$33,CC36+3,FALSE)),)</f>
        <v>0</v>
      </c>
      <c r="CY36" s="14">
        <f>ROUND(IF(CD36=0,0,HLOOKUP(CD$14,Villagers!$B$1:$V$33,CD36+3,FALSE)),)</f>
        <v>0</v>
      </c>
      <c r="CZ36" s="14">
        <f>ROUND(IF(CE36=0,0,HLOOKUP(CE$14,Villagers!$B$1:$V$33,CE36+3,FALSE)),)</f>
        <v>5</v>
      </c>
      <c r="DA36" s="14">
        <f>ROUND(IF(CF36=0,0,HLOOKUP(CF$14,Villagers!$B$1:$V$33,CF36+3,FALSE)),)</f>
        <v>10</v>
      </c>
      <c r="DB36" s="14">
        <f>ROUND(IF(CG36=0,0,HLOOKUP(CG$14,Villagers!$B$1:$V$33,CG36+3,FALSE)),)</f>
        <v>10</v>
      </c>
      <c r="DC36" s="14">
        <f>ROUND(IF(CH36=0,0,HLOOKUP(CH$14,Villagers!$B$1:$V$33,CH36+3,FALSE)),)</f>
        <v>0</v>
      </c>
      <c r="DD36" s="14">
        <f>ROUND(IF(CI36=0,0,HLOOKUP(CI$14,Villagers!$B$1:$V$33,CI36+3,FALSE)),)</f>
        <v>0</v>
      </c>
      <c r="DE36" s="14">
        <f>ROUND(IF(CJ36=0,0,HLOOKUP(CJ$14,Villagers!$B$1:$V$33,CJ36+3,FALSE)),)</f>
        <v>2</v>
      </c>
      <c r="DF36" s="370">
        <f>ROUND(IF(CK36=0,0,HLOOKUP(CK$14,Villagers!$B$1:$V$33,CK36+3,FALSE)),)</f>
        <v>0</v>
      </c>
      <c r="DG36" s="370">
        <f>ROUND(IF(CL36=0,0,HLOOKUP(CL$14,Villagers!$B$1:$V$33,CL36+3,FALSE)),)</f>
        <v>0</v>
      </c>
      <c r="DH36" s="34">
        <f>ROUND(IF(CM36=0,0,HLOOKUP(CM$14,Villagers!$B$1:$V$33,CM36+3,FALSE)),)</f>
        <v>0</v>
      </c>
      <c r="DI36" s="109">
        <f t="shared" si="73"/>
        <v>0</v>
      </c>
      <c r="DJ36" s="50">
        <f t="shared" si="74"/>
        <v>0</v>
      </c>
      <c r="DK36" s="50">
        <f t="shared" si="75"/>
        <v>0</v>
      </c>
      <c r="DL36" s="50">
        <f t="shared" si="76"/>
        <v>0</v>
      </c>
      <c r="DM36" s="50">
        <f t="shared" si="77"/>
        <v>0</v>
      </c>
      <c r="DN36" s="50">
        <f t="shared" si="78"/>
        <v>0</v>
      </c>
      <c r="DO36" s="50">
        <f t="shared" si="79"/>
        <v>0</v>
      </c>
      <c r="DP36" s="50">
        <f t="shared" si="80"/>
        <v>0</v>
      </c>
      <c r="DQ36" s="50">
        <f t="shared" si="59"/>
        <v>0</v>
      </c>
      <c r="DR36" s="50">
        <f t="shared" si="60"/>
        <v>0</v>
      </c>
      <c r="DS36" s="96">
        <f>Miscelaneous!$D$4*Miscelaneous!$D$2^($CI36-1)</f>
        <v>1000</v>
      </c>
      <c r="DT36" s="333">
        <f t="shared" si="61"/>
        <v>1</v>
      </c>
      <c r="DU36" s="81">
        <v>1</v>
      </c>
      <c r="DV36" s="79">
        <f t="shared" si="62"/>
        <v>0</v>
      </c>
      <c r="DW36" s="79">
        <f t="shared" si="23"/>
        <v>0</v>
      </c>
      <c r="DX36" s="79">
        <f t="shared" si="63"/>
        <v>0</v>
      </c>
      <c r="DY36" s="79">
        <v>1</v>
      </c>
      <c r="DZ36" s="79">
        <f t="shared" si="24"/>
        <v>0</v>
      </c>
      <c r="EA36" s="79">
        <f t="shared" si="64"/>
        <v>0</v>
      </c>
      <c r="EB36" s="79">
        <f t="shared" si="65"/>
        <v>0</v>
      </c>
      <c r="EC36" s="79">
        <f t="shared" si="66"/>
        <v>0</v>
      </c>
      <c r="ED36" s="79">
        <v>1</v>
      </c>
      <c r="EE36" s="79">
        <v>1</v>
      </c>
      <c r="EF36" s="79">
        <f t="shared" si="67"/>
        <v>0</v>
      </c>
      <c r="EG36" s="79">
        <v>1</v>
      </c>
      <c r="EH36" s="79">
        <v>1</v>
      </c>
      <c r="EI36" s="79">
        <v>1</v>
      </c>
      <c r="EJ36" s="79">
        <v>1</v>
      </c>
      <c r="EK36" s="79">
        <v>1</v>
      </c>
      <c r="EL36" s="79">
        <v>1</v>
      </c>
      <c r="EM36" s="143">
        <f t="shared" si="68"/>
        <v>0</v>
      </c>
      <c r="EN36" s="143">
        <f t="shared" si="69"/>
        <v>0</v>
      </c>
      <c r="EO36" s="82">
        <f t="shared" si="70"/>
        <v>0</v>
      </c>
    </row>
    <row r="37" spans="1:145" x14ac:dyDescent="0.25">
      <c r="A37">
        <v>23</v>
      </c>
      <c r="B37" s="172" t="e">
        <f t="shared" si="25"/>
        <v>#N/A</v>
      </c>
      <c r="C37" s="121" t="e">
        <f t="shared" si="0"/>
        <v>#N/A</v>
      </c>
      <c r="D37" s="122" t="e">
        <f t="shared" si="1"/>
        <v>#N/A</v>
      </c>
      <c r="E37" s="122" t="e">
        <f t="shared" si="2"/>
        <v>#N/A</v>
      </c>
      <c r="F37" s="176" t="e">
        <f t="shared" si="3"/>
        <v>#N/A</v>
      </c>
      <c r="G37" s="121">
        <f t="shared" si="26"/>
        <v>208</v>
      </c>
      <c r="H37" s="176" t="e">
        <f t="shared" si="27"/>
        <v>#N/A</v>
      </c>
      <c r="I37" s="48">
        <v>1</v>
      </c>
      <c r="J37" s="39"/>
      <c r="K37" s="350">
        <v>1</v>
      </c>
      <c r="L37" s="34" t="e">
        <f t="shared" si="4"/>
        <v>#N/A</v>
      </c>
      <c r="M37" s="38" t="e">
        <f>(HLOOKUP(J37,'Construction Times'!$B$3:$W$34,L37+2,FALSE)*HLOOKUP("hq modifier",'Construction Times'!$W$3:$W$34,BS37+2,FALSE))*(1-$H$9)</f>
        <v>#N/A</v>
      </c>
      <c r="N37" s="443" t="e">
        <f t="shared" si="28"/>
        <v>#N/A</v>
      </c>
      <c r="O37" s="444"/>
      <c r="P37" s="447" t="e">
        <f t="shared" si="29"/>
        <v>#N/A</v>
      </c>
      <c r="Q37" s="448"/>
      <c r="R37" s="103">
        <f t="shared" si="71"/>
        <v>0</v>
      </c>
      <c r="S37" s="104">
        <f t="shared" si="71"/>
        <v>0</v>
      </c>
      <c r="T37" s="104">
        <f t="shared" si="72"/>
        <v>0</v>
      </c>
      <c r="U37" s="104">
        <f t="shared" si="31"/>
        <v>0</v>
      </c>
      <c r="V37" s="104">
        <f t="shared" si="31"/>
        <v>9.9999999999999995E-8</v>
      </c>
      <c r="W37" s="104">
        <f t="shared" si="31"/>
        <v>0</v>
      </c>
      <c r="X37" s="104">
        <f t="shared" si="31"/>
        <v>0</v>
      </c>
      <c r="Y37" s="104">
        <f t="shared" si="31"/>
        <v>9.9999999999999995E-8</v>
      </c>
      <c r="Z37" s="104">
        <f t="shared" si="31"/>
        <v>9.9999999999999995E-8</v>
      </c>
      <c r="AA37" s="105">
        <f t="shared" si="31"/>
        <v>9.9999999999999995E-8</v>
      </c>
      <c r="AB37" s="101" t="e">
        <f>$DT37*HLOOKUP($J37,'Construction Costs (timber)'!$B$1:$V$32,'Construction Planner'!$L37+2,FALSE)</f>
        <v>#N/A</v>
      </c>
      <c r="AC37" s="14" t="e">
        <f>$DT37*HLOOKUP($J37,'Construction Costs (clay)'!$B$1:$V$32,'Construction Planner'!$L37+2,FALSE)</f>
        <v>#N/A</v>
      </c>
      <c r="AD37" s="14" t="e">
        <f>$DT37*HLOOKUP($J37,'Construction Costs (iron)'!$B$1:$V$32,'Construction Planner'!$L37+2,FALSE)</f>
        <v>#N/A</v>
      </c>
      <c r="AE37" s="34" t="e">
        <f t="shared" si="81"/>
        <v>#N/A</v>
      </c>
      <c r="AF37" s="33" t="e">
        <f t="shared" si="5"/>
        <v>#N/A</v>
      </c>
      <c r="AG37" s="14" t="e">
        <f t="shared" si="6"/>
        <v>#N/A</v>
      </c>
      <c r="AH37" s="14" t="e">
        <f t="shared" si="7"/>
        <v>#N/A</v>
      </c>
      <c r="AI37" s="34" t="e">
        <f t="shared" si="82"/>
        <v>#N/A</v>
      </c>
      <c r="AJ37" s="49" t="e">
        <f t="shared" si="32"/>
        <v>#N/A</v>
      </c>
      <c r="AK37" s="49" t="e">
        <f t="shared" si="33"/>
        <v>#N/A</v>
      </c>
      <c r="AL37" s="49" t="e">
        <f t="shared" si="34"/>
        <v>#N/A</v>
      </c>
      <c r="AM37" s="25">
        <f t="shared" si="8"/>
        <v>30</v>
      </c>
      <c r="AN37" s="25">
        <f t="shared" si="9"/>
        <v>30</v>
      </c>
      <c r="AO37" s="25">
        <f t="shared" si="10"/>
        <v>30</v>
      </c>
      <c r="AP37" s="52" t="e">
        <f t="shared" si="35"/>
        <v>#N/A</v>
      </c>
      <c r="AQ37" s="53" t="e">
        <f t="shared" si="35"/>
        <v>#N/A</v>
      </c>
      <c r="AR37" s="54" t="e">
        <f t="shared" si="35"/>
        <v>#N/A</v>
      </c>
      <c r="AS37" s="316">
        <f t="shared" si="83"/>
        <v>0</v>
      </c>
      <c r="AT37" s="106">
        <f>_xlfn.IFNA($M37/VLOOKUP($BT37,'Unit information'!$A$2:$K$29,2,FALSE)*R37,0)*(1+$E$9)</f>
        <v>0</v>
      </c>
      <c r="AU37" s="107">
        <f>_xlfn.IFNA($M37/VLOOKUP($BT37,'Unit information'!$A$2:$K$29,3,FALSE)*S37,0)*(1+$E$9)</f>
        <v>0</v>
      </c>
      <c r="AV37" s="107">
        <f>_xlfn.IFNA($M37/VLOOKUP($BT37,'Unit information'!$A$2:$K$29,4,FALSE)*T37,0)*(1+$E$9)</f>
        <v>0</v>
      </c>
      <c r="AW37" s="107">
        <f>_xlfn.IFNA($M37/VLOOKUP($BT37,'Unit information'!$A$2:$K$29,5,FALSE)*U37,0)*(1+$E$9)</f>
        <v>0</v>
      </c>
      <c r="AX37" s="107">
        <f>_xlfn.IFNA($M37/VLOOKUP($BU37,'Unit information'!$A$2:$K$29,6,FALSE)*V37,0)*(1+$E$9)</f>
        <v>0</v>
      </c>
      <c r="AY37" s="107">
        <f>_xlfn.IFNA($M37/VLOOKUP($BU37,'Unit information'!$A$2:$K$29,7,FALSE)*W37,0)*(1+$E$9)</f>
        <v>0</v>
      </c>
      <c r="AZ37" s="107">
        <f>_xlfn.IFNA($M37/VLOOKUP($BU37,'Unit information'!$A$2:$K$29,8,FALSE)*X37,0)*(1+$E$9)</f>
        <v>0</v>
      </c>
      <c r="BA37" s="107">
        <f>_xlfn.IFNA($M37/VLOOKUP($BU37,'Unit information'!$A$2:$K$29,9,FALSE)*Y37,0)*(1+$E$9)</f>
        <v>0</v>
      </c>
      <c r="BB37" s="107">
        <f>_xlfn.IFNA($M37/VLOOKUP($BV37,'Unit information'!$A$2:$K$29,10,FALSE)*Z37,0)*(1+$E$9)</f>
        <v>0</v>
      </c>
      <c r="BC37" s="108">
        <f>_xlfn.IFNA($M37/VLOOKUP($BV37,'Unit information'!$A$2:$K$29,11,FALSE)*AA37,0)*(1+$E$9)</f>
        <v>0</v>
      </c>
      <c r="BD37" s="106">
        <f t="shared" si="12"/>
        <v>0</v>
      </c>
      <c r="BE37" s="107">
        <f t="shared" si="13"/>
        <v>0</v>
      </c>
      <c r="BF37" s="108">
        <f t="shared" si="14"/>
        <v>0</v>
      </c>
      <c r="BG37" s="25" t="e">
        <f t="shared" si="15"/>
        <v>#N/A</v>
      </c>
      <c r="BH37" s="25" t="e">
        <f t="shared" si="16"/>
        <v>#N/A</v>
      </c>
      <c r="BI37" s="25" t="e">
        <f t="shared" si="17"/>
        <v>#N/A</v>
      </c>
      <c r="BJ37" s="27" t="e">
        <f t="shared" si="18"/>
        <v>#N/A</v>
      </c>
      <c r="BK37" s="18" t="e">
        <f t="shared" si="19"/>
        <v>#N/A</v>
      </c>
      <c r="BL37" s="18" t="e">
        <f t="shared" si="20"/>
        <v>#N/A</v>
      </c>
      <c r="BM37" s="28" t="e">
        <f t="shared" si="84"/>
        <v>#N/A</v>
      </c>
      <c r="BN37" s="33">
        <f>HLOOKUP("maximum population",Miscelaneous!$C$1:$C$33,CH37+3,FALSE)</f>
        <v>240</v>
      </c>
      <c r="BO37" s="14">
        <f t="shared" si="36"/>
        <v>32</v>
      </c>
      <c r="BP37" s="14">
        <f t="shared" si="37"/>
        <v>0</v>
      </c>
      <c r="BQ37" s="14">
        <f t="shared" si="38"/>
        <v>208</v>
      </c>
      <c r="BR37" s="34" t="e">
        <f>HLOOKUP(J37,Villagers!$B$1:$V$33,L37+3,FALSE)-HLOOKUP(J37,Villagers!$B$1:$V$33,L37+2,FALSE)</f>
        <v>#N/A</v>
      </c>
      <c r="BS37" s="49">
        <f t="shared" si="39"/>
        <v>1</v>
      </c>
      <c r="BT37" s="50">
        <f t="shared" si="40"/>
        <v>0</v>
      </c>
      <c r="BU37" s="50">
        <f t="shared" si="41"/>
        <v>0</v>
      </c>
      <c r="BV37" s="50">
        <f t="shared" si="42"/>
        <v>0</v>
      </c>
      <c r="BW37" s="50">
        <f t="shared" si="43"/>
        <v>0</v>
      </c>
      <c r="BX37" s="50">
        <f t="shared" si="44"/>
        <v>0</v>
      </c>
      <c r="BY37" s="50">
        <f t="shared" si="44"/>
        <v>0</v>
      </c>
      <c r="BZ37" s="50">
        <f t="shared" si="45"/>
        <v>0</v>
      </c>
      <c r="CA37" s="50">
        <f t="shared" si="46"/>
        <v>0</v>
      </c>
      <c r="CB37" s="50">
        <f t="shared" si="47"/>
        <v>1</v>
      </c>
      <c r="CC37" s="50">
        <f t="shared" si="48"/>
        <v>0</v>
      </c>
      <c r="CD37" s="50">
        <f t="shared" si="49"/>
        <v>0</v>
      </c>
      <c r="CE37" s="50">
        <f t="shared" si="50"/>
        <v>1</v>
      </c>
      <c r="CF37" s="50">
        <f t="shared" si="51"/>
        <v>1</v>
      </c>
      <c r="CG37" s="50">
        <f t="shared" si="52"/>
        <v>1</v>
      </c>
      <c r="CH37" s="50">
        <f t="shared" si="53"/>
        <v>1</v>
      </c>
      <c r="CI37" s="50">
        <f t="shared" si="54"/>
        <v>1</v>
      </c>
      <c r="CJ37" s="50">
        <f t="shared" si="55"/>
        <v>1</v>
      </c>
      <c r="CK37" s="50">
        <f t="shared" si="56"/>
        <v>0</v>
      </c>
      <c r="CL37" s="50">
        <f t="shared" si="55"/>
        <v>0</v>
      </c>
      <c r="CM37" s="51">
        <f t="shared" si="57"/>
        <v>0</v>
      </c>
      <c r="CN37" s="33">
        <f>ROUND(IF(BS37=0,0,HLOOKUP(BS$14,Villagers!$B$1:$V$33,BS37+3,FALSE)),)</f>
        <v>5</v>
      </c>
      <c r="CO37" s="14">
        <f>ROUND(IF(BT37=0,0,HLOOKUP(BT$14,Villagers!$B$1:$V$33,BT37+3,FALSE)),)</f>
        <v>0</v>
      </c>
      <c r="CP37" s="14">
        <f>ROUND(IF(BU37=0,0,HLOOKUP(BU$14,Villagers!$B$1:$V$33,BU37+3,FALSE)),)</f>
        <v>0</v>
      </c>
      <c r="CQ37" s="14">
        <f>ROUND(IF(BV37=0,0,HLOOKUP(BV$14,Villagers!$B$1:$V$33,BV37+3,FALSE)),)</f>
        <v>0</v>
      </c>
      <c r="CR37" s="14">
        <f>ROUND(IF(BW37=0,0,HLOOKUP(BW$14,Villagers!$B$1:$V$33,BW37+3,FALSE)),)</f>
        <v>0</v>
      </c>
      <c r="CS37" s="14">
        <f>ROUND(IF(BX37=0,0,HLOOKUP(BX$14,Villagers!$B$1:$V$33,BX37+3,FALSE)),)</f>
        <v>0</v>
      </c>
      <c r="CT37" s="14">
        <f>ROUND(IF(BY37=0,0,HLOOKUP(BY$14,Villagers!$B$1:$V$33,BY37+3,FALSE)),)</f>
        <v>0</v>
      </c>
      <c r="CU37" s="14">
        <f>ROUND(IF(BZ37=0,0,HLOOKUP(BZ$14,Villagers!$B$1:$V$33,BZ37+3,FALSE)),)</f>
        <v>0</v>
      </c>
      <c r="CV37" s="14">
        <f>ROUND(IF(CA37=0,0,HLOOKUP(CA$14,Villagers!$B$1:$V$33,CA37+3,FALSE)),)</f>
        <v>0</v>
      </c>
      <c r="CW37" s="14">
        <f>ROUND(IF(CB37=0,0,HLOOKUP(CB$14,Villagers!$B$1:$V$33,CB37+3,FALSE)),)</f>
        <v>0</v>
      </c>
      <c r="CX37" s="14">
        <f>ROUND(IF(CC37=0,0,HLOOKUP(CC$14,Villagers!$B$1:$V$33,CC37+3,FALSE)),)</f>
        <v>0</v>
      </c>
      <c r="CY37" s="14">
        <f>ROUND(IF(CD37=0,0,HLOOKUP(CD$14,Villagers!$B$1:$V$33,CD37+3,FALSE)),)</f>
        <v>0</v>
      </c>
      <c r="CZ37" s="14">
        <f>ROUND(IF(CE37=0,0,HLOOKUP(CE$14,Villagers!$B$1:$V$33,CE37+3,FALSE)),)</f>
        <v>5</v>
      </c>
      <c r="DA37" s="14">
        <f>ROUND(IF(CF37=0,0,HLOOKUP(CF$14,Villagers!$B$1:$V$33,CF37+3,FALSE)),)</f>
        <v>10</v>
      </c>
      <c r="DB37" s="14">
        <f>ROUND(IF(CG37=0,0,HLOOKUP(CG$14,Villagers!$B$1:$V$33,CG37+3,FALSE)),)</f>
        <v>10</v>
      </c>
      <c r="DC37" s="14">
        <f>ROUND(IF(CH37=0,0,HLOOKUP(CH$14,Villagers!$B$1:$V$33,CH37+3,FALSE)),)</f>
        <v>0</v>
      </c>
      <c r="DD37" s="14">
        <f>ROUND(IF(CI37=0,0,HLOOKUP(CI$14,Villagers!$B$1:$V$33,CI37+3,FALSE)),)</f>
        <v>0</v>
      </c>
      <c r="DE37" s="14">
        <f>ROUND(IF(CJ37=0,0,HLOOKUP(CJ$14,Villagers!$B$1:$V$33,CJ37+3,FALSE)),)</f>
        <v>2</v>
      </c>
      <c r="DF37" s="370">
        <f>ROUND(IF(CK37=0,0,HLOOKUP(CK$14,Villagers!$B$1:$V$33,CK37+3,FALSE)),)</f>
        <v>0</v>
      </c>
      <c r="DG37" s="370">
        <f>ROUND(IF(CL37=0,0,HLOOKUP(CL$14,Villagers!$B$1:$V$33,CL37+3,FALSE)),)</f>
        <v>0</v>
      </c>
      <c r="DH37" s="34">
        <f>ROUND(IF(CM37=0,0,HLOOKUP(CM$14,Villagers!$B$1:$V$33,CM37+3,FALSE)),)</f>
        <v>0</v>
      </c>
      <c r="DI37" s="109">
        <f t="shared" si="73"/>
        <v>0</v>
      </c>
      <c r="DJ37" s="50">
        <f t="shared" si="74"/>
        <v>0</v>
      </c>
      <c r="DK37" s="50">
        <f t="shared" si="75"/>
        <v>0</v>
      </c>
      <c r="DL37" s="50">
        <f t="shared" si="76"/>
        <v>0</v>
      </c>
      <c r="DM37" s="50">
        <f t="shared" si="77"/>
        <v>0</v>
      </c>
      <c r="DN37" s="50">
        <f t="shared" si="78"/>
        <v>0</v>
      </c>
      <c r="DO37" s="50">
        <f t="shared" si="79"/>
        <v>0</v>
      </c>
      <c r="DP37" s="50">
        <f t="shared" si="80"/>
        <v>0</v>
      </c>
      <c r="DQ37" s="50">
        <f t="shared" si="59"/>
        <v>0</v>
      </c>
      <c r="DR37" s="50">
        <f t="shared" si="60"/>
        <v>0</v>
      </c>
      <c r="DS37" s="96">
        <f>Miscelaneous!$D$4*Miscelaneous!$D$2^($CI37-1)</f>
        <v>1000</v>
      </c>
      <c r="DT37" s="333">
        <f t="shared" si="61"/>
        <v>1</v>
      </c>
      <c r="DU37" s="81">
        <v>1</v>
      </c>
      <c r="DV37" s="79">
        <f t="shared" si="62"/>
        <v>0</v>
      </c>
      <c r="DW37" s="79">
        <f t="shared" si="23"/>
        <v>0</v>
      </c>
      <c r="DX37" s="79">
        <f t="shared" si="63"/>
        <v>0</v>
      </c>
      <c r="DY37" s="79">
        <v>1</v>
      </c>
      <c r="DZ37" s="79">
        <f t="shared" si="24"/>
        <v>0</v>
      </c>
      <c r="EA37" s="79">
        <f t="shared" si="64"/>
        <v>0</v>
      </c>
      <c r="EB37" s="79">
        <f t="shared" si="65"/>
        <v>0</v>
      </c>
      <c r="EC37" s="79">
        <f t="shared" si="66"/>
        <v>0</v>
      </c>
      <c r="ED37" s="79">
        <v>1</v>
      </c>
      <c r="EE37" s="79">
        <v>1</v>
      </c>
      <c r="EF37" s="79">
        <f t="shared" si="67"/>
        <v>0</v>
      </c>
      <c r="EG37" s="79">
        <v>1</v>
      </c>
      <c r="EH37" s="79">
        <v>1</v>
      </c>
      <c r="EI37" s="79">
        <v>1</v>
      </c>
      <c r="EJ37" s="79">
        <v>1</v>
      </c>
      <c r="EK37" s="79">
        <v>1</v>
      </c>
      <c r="EL37" s="79">
        <v>1</v>
      </c>
      <c r="EM37" s="143">
        <f t="shared" si="68"/>
        <v>0</v>
      </c>
      <c r="EN37" s="143">
        <f t="shared" si="69"/>
        <v>0</v>
      </c>
      <c r="EO37" s="82">
        <f t="shared" si="70"/>
        <v>0</v>
      </c>
    </row>
    <row r="38" spans="1:145" x14ac:dyDescent="0.25">
      <c r="A38">
        <v>24</v>
      </c>
      <c r="B38" s="172" t="e">
        <f t="shared" si="25"/>
        <v>#N/A</v>
      </c>
      <c r="C38" s="121" t="e">
        <f t="shared" si="0"/>
        <v>#N/A</v>
      </c>
      <c r="D38" s="122" t="e">
        <f t="shared" si="1"/>
        <v>#N/A</v>
      </c>
      <c r="E38" s="122" t="e">
        <f t="shared" si="2"/>
        <v>#N/A</v>
      </c>
      <c r="F38" s="176" t="e">
        <f t="shared" si="3"/>
        <v>#N/A</v>
      </c>
      <c r="G38" s="121">
        <f t="shared" si="26"/>
        <v>208</v>
      </c>
      <c r="H38" s="176" t="e">
        <f t="shared" si="27"/>
        <v>#N/A</v>
      </c>
      <c r="I38" s="48">
        <v>1</v>
      </c>
      <c r="J38" s="39"/>
      <c r="K38" s="350">
        <v>1</v>
      </c>
      <c r="L38" s="34" t="e">
        <f t="shared" si="4"/>
        <v>#N/A</v>
      </c>
      <c r="M38" s="38" t="e">
        <f>(HLOOKUP(J38,'Construction Times'!$B$3:$W$34,L38+2,FALSE)*HLOOKUP("hq modifier",'Construction Times'!$W$3:$W$34,BS38+2,FALSE))*(1-$H$9)</f>
        <v>#N/A</v>
      </c>
      <c r="N38" s="443" t="e">
        <f t="shared" si="28"/>
        <v>#N/A</v>
      </c>
      <c r="O38" s="444"/>
      <c r="P38" s="447" t="e">
        <f t="shared" si="29"/>
        <v>#N/A</v>
      </c>
      <c r="Q38" s="448"/>
      <c r="R38" s="103">
        <f t="shared" si="71"/>
        <v>0</v>
      </c>
      <c r="S38" s="104">
        <f t="shared" si="71"/>
        <v>0</v>
      </c>
      <c r="T38" s="104">
        <f t="shared" si="72"/>
        <v>0</v>
      </c>
      <c r="U38" s="104">
        <f t="shared" si="31"/>
        <v>0</v>
      </c>
      <c r="V38" s="104">
        <f t="shared" si="31"/>
        <v>9.9999999999999995E-8</v>
      </c>
      <c r="W38" s="104">
        <f t="shared" si="31"/>
        <v>0</v>
      </c>
      <c r="X38" s="104">
        <f t="shared" si="31"/>
        <v>0</v>
      </c>
      <c r="Y38" s="104">
        <f t="shared" si="31"/>
        <v>9.9999999999999995E-8</v>
      </c>
      <c r="Z38" s="104">
        <f t="shared" si="31"/>
        <v>9.9999999999999995E-8</v>
      </c>
      <c r="AA38" s="105">
        <f t="shared" si="31"/>
        <v>9.9999999999999995E-8</v>
      </c>
      <c r="AB38" s="101" t="e">
        <f>$DT38*HLOOKUP($J38,'Construction Costs (timber)'!$B$1:$V$32,'Construction Planner'!$L38+2,FALSE)</f>
        <v>#N/A</v>
      </c>
      <c r="AC38" s="14" t="e">
        <f>$DT38*HLOOKUP($J38,'Construction Costs (clay)'!$B$1:$V$32,'Construction Planner'!$L38+2,FALSE)</f>
        <v>#N/A</v>
      </c>
      <c r="AD38" s="14" t="e">
        <f>$DT38*HLOOKUP($J38,'Construction Costs (iron)'!$B$1:$V$32,'Construction Planner'!$L38+2,FALSE)</f>
        <v>#N/A</v>
      </c>
      <c r="AE38" s="34" t="e">
        <f t="shared" si="81"/>
        <v>#N/A</v>
      </c>
      <c r="AF38" s="33" t="e">
        <f t="shared" si="5"/>
        <v>#N/A</v>
      </c>
      <c r="AG38" s="14" t="e">
        <f t="shared" si="6"/>
        <v>#N/A</v>
      </c>
      <c r="AH38" s="14" t="e">
        <f t="shared" si="7"/>
        <v>#N/A</v>
      </c>
      <c r="AI38" s="34" t="e">
        <f t="shared" si="82"/>
        <v>#N/A</v>
      </c>
      <c r="AJ38" s="49" t="e">
        <f t="shared" si="32"/>
        <v>#N/A</v>
      </c>
      <c r="AK38" s="49" t="e">
        <f t="shared" si="33"/>
        <v>#N/A</v>
      </c>
      <c r="AL38" s="49" t="e">
        <f t="shared" si="34"/>
        <v>#N/A</v>
      </c>
      <c r="AM38" s="25">
        <f t="shared" si="8"/>
        <v>30</v>
      </c>
      <c r="AN38" s="25">
        <f t="shared" si="9"/>
        <v>30</v>
      </c>
      <c r="AO38" s="25">
        <f t="shared" si="10"/>
        <v>30</v>
      </c>
      <c r="AP38" s="52" t="e">
        <f t="shared" si="35"/>
        <v>#N/A</v>
      </c>
      <c r="AQ38" s="53" t="e">
        <f t="shared" si="35"/>
        <v>#N/A</v>
      </c>
      <c r="AR38" s="54" t="e">
        <f t="shared" si="35"/>
        <v>#N/A</v>
      </c>
      <c r="AS38" s="316">
        <f t="shared" si="83"/>
        <v>0</v>
      </c>
      <c r="AT38" s="106">
        <f>_xlfn.IFNA($M38/VLOOKUP($BT38,'Unit information'!$A$2:$K$29,2,FALSE)*R38,0)*(1+$E$9)</f>
        <v>0</v>
      </c>
      <c r="AU38" s="107">
        <f>_xlfn.IFNA($M38/VLOOKUP($BT38,'Unit information'!$A$2:$K$29,3,FALSE)*S38,0)*(1+$E$9)</f>
        <v>0</v>
      </c>
      <c r="AV38" s="107">
        <f>_xlfn.IFNA($M38/VLOOKUP($BT38,'Unit information'!$A$2:$K$29,4,FALSE)*T38,0)*(1+$E$9)</f>
        <v>0</v>
      </c>
      <c r="AW38" s="107">
        <f>_xlfn.IFNA($M38/VLOOKUP($BT38,'Unit information'!$A$2:$K$29,5,FALSE)*U38,0)*(1+$E$9)</f>
        <v>0</v>
      </c>
      <c r="AX38" s="107">
        <f>_xlfn.IFNA($M38/VLOOKUP($BU38,'Unit information'!$A$2:$K$29,6,FALSE)*V38,0)*(1+$E$9)</f>
        <v>0</v>
      </c>
      <c r="AY38" s="107">
        <f>_xlfn.IFNA($M38/VLOOKUP($BU38,'Unit information'!$A$2:$K$29,7,FALSE)*W38,0)*(1+$E$9)</f>
        <v>0</v>
      </c>
      <c r="AZ38" s="107">
        <f>_xlfn.IFNA($M38/VLOOKUP($BU38,'Unit information'!$A$2:$K$29,8,FALSE)*X38,0)*(1+$E$9)</f>
        <v>0</v>
      </c>
      <c r="BA38" s="107">
        <f>_xlfn.IFNA($M38/VLOOKUP($BU38,'Unit information'!$A$2:$K$29,9,FALSE)*Y38,0)*(1+$E$9)</f>
        <v>0</v>
      </c>
      <c r="BB38" s="107">
        <f>_xlfn.IFNA($M38/VLOOKUP($BV38,'Unit information'!$A$2:$K$29,10,FALSE)*Z38,0)*(1+$E$9)</f>
        <v>0</v>
      </c>
      <c r="BC38" s="108">
        <f>_xlfn.IFNA($M38/VLOOKUP($BV38,'Unit information'!$A$2:$K$29,11,FALSE)*AA38,0)*(1+$E$9)</f>
        <v>0</v>
      </c>
      <c r="BD38" s="106">
        <f t="shared" si="12"/>
        <v>0</v>
      </c>
      <c r="BE38" s="107">
        <f t="shared" si="13"/>
        <v>0</v>
      </c>
      <c r="BF38" s="108">
        <f t="shared" si="14"/>
        <v>0</v>
      </c>
      <c r="BG38" s="25" t="e">
        <f t="shared" si="15"/>
        <v>#N/A</v>
      </c>
      <c r="BH38" s="25" t="e">
        <f t="shared" si="16"/>
        <v>#N/A</v>
      </c>
      <c r="BI38" s="25" t="e">
        <f t="shared" si="17"/>
        <v>#N/A</v>
      </c>
      <c r="BJ38" s="27" t="e">
        <f t="shared" si="18"/>
        <v>#N/A</v>
      </c>
      <c r="BK38" s="18" t="e">
        <f t="shared" si="19"/>
        <v>#N/A</v>
      </c>
      <c r="BL38" s="18" t="e">
        <f t="shared" si="20"/>
        <v>#N/A</v>
      </c>
      <c r="BM38" s="28" t="e">
        <f t="shared" si="84"/>
        <v>#N/A</v>
      </c>
      <c r="BN38" s="33">
        <f>HLOOKUP("maximum population",Miscelaneous!$C$1:$C$33,CH38+3,FALSE)</f>
        <v>240</v>
      </c>
      <c r="BO38" s="14">
        <f t="shared" si="36"/>
        <v>32</v>
      </c>
      <c r="BP38" s="14">
        <f t="shared" si="37"/>
        <v>0</v>
      </c>
      <c r="BQ38" s="14">
        <f t="shared" si="38"/>
        <v>208</v>
      </c>
      <c r="BR38" s="34" t="e">
        <f>HLOOKUP(J38,Villagers!$B$1:$V$33,L38+3,FALSE)-HLOOKUP(J38,Villagers!$B$1:$V$33,L38+2,FALSE)</f>
        <v>#N/A</v>
      </c>
      <c r="BS38" s="49">
        <f t="shared" si="39"/>
        <v>1</v>
      </c>
      <c r="BT38" s="50">
        <f t="shared" si="40"/>
        <v>0</v>
      </c>
      <c r="BU38" s="50">
        <f t="shared" si="41"/>
        <v>0</v>
      </c>
      <c r="BV38" s="50">
        <f t="shared" si="42"/>
        <v>0</v>
      </c>
      <c r="BW38" s="50">
        <f t="shared" si="43"/>
        <v>0</v>
      </c>
      <c r="BX38" s="50">
        <f t="shared" si="44"/>
        <v>0</v>
      </c>
      <c r="BY38" s="50">
        <f t="shared" si="44"/>
        <v>0</v>
      </c>
      <c r="BZ38" s="50">
        <f t="shared" si="45"/>
        <v>0</v>
      </c>
      <c r="CA38" s="50">
        <f t="shared" si="46"/>
        <v>0</v>
      </c>
      <c r="CB38" s="50">
        <f t="shared" si="47"/>
        <v>1</v>
      </c>
      <c r="CC38" s="50">
        <f t="shared" si="48"/>
        <v>0</v>
      </c>
      <c r="CD38" s="50">
        <f t="shared" si="49"/>
        <v>0</v>
      </c>
      <c r="CE38" s="50">
        <f t="shared" si="50"/>
        <v>1</v>
      </c>
      <c r="CF38" s="50">
        <f t="shared" si="51"/>
        <v>1</v>
      </c>
      <c r="CG38" s="50">
        <f t="shared" si="52"/>
        <v>1</v>
      </c>
      <c r="CH38" s="50">
        <f t="shared" si="53"/>
        <v>1</v>
      </c>
      <c r="CI38" s="50">
        <f t="shared" si="54"/>
        <v>1</v>
      </c>
      <c r="CJ38" s="50">
        <f t="shared" si="55"/>
        <v>1</v>
      </c>
      <c r="CK38" s="50">
        <f t="shared" si="56"/>
        <v>0</v>
      </c>
      <c r="CL38" s="50">
        <f t="shared" si="55"/>
        <v>0</v>
      </c>
      <c r="CM38" s="51">
        <f t="shared" si="57"/>
        <v>0</v>
      </c>
      <c r="CN38" s="33">
        <f>ROUND(IF(BS38=0,0,HLOOKUP(BS$14,Villagers!$B$1:$V$33,BS38+3,FALSE)),)</f>
        <v>5</v>
      </c>
      <c r="CO38" s="14">
        <f>ROUND(IF(BT38=0,0,HLOOKUP(BT$14,Villagers!$B$1:$V$33,BT38+3,FALSE)),)</f>
        <v>0</v>
      </c>
      <c r="CP38" s="14">
        <f>ROUND(IF(BU38=0,0,HLOOKUP(BU$14,Villagers!$B$1:$V$33,BU38+3,FALSE)),)</f>
        <v>0</v>
      </c>
      <c r="CQ38" s="14">
        <f>ROUND(IF(BV38=0,0,HLOOKUP(BV$14,Villagers!$B$1:$V$33,BV38+3,FALSE)),)</f>
        <v>0</v>
      </c>
      <c r="CR38" s="14">
        <f>ROUND(IF(BW38=0,0,HLOOKUP(BW$14,Villagers!$B$1:$V$33,BW38+3,FALSE)),)</f>
        <v>0</v>
      </c>
      <c r="CS38" s="14">
        <f>ROUND(IF(BX38=0,0,HLOOKUP(BX$14,Villagers!$B$1:$V$33,BX38+3,FALSE)),)</f>
        <v>0</v>
      </c>
      <c r="CT38" s="14">
        <f>ROUND(IF(BY38=0,0,HLOOKUP(BY$14,Villagers!$B$1:$V$33,BY38+3,FALSE)),)</f>
        <v>0</v>
      </c>
      <c r="CU38" s="14">
        <f>ROUND(IF(BZ38=0,0,HLOOKUP(BZ$14,Villagers!$B$1:$V$33,BZ38+3,FALSE)),)</f>
        <v>0</v>
      </c>
      <c r="CV38" s="14">
        <f>ROUND(IF(CA38=0,0,HLOOKUP(CA$14,Villagers!$B$1:$V$33,CA38+3,FALSE)),)</f>
        <v>0</v>
      </c>
      <c r="CW38" s="14">
        <f>ROUND(IF(CB38=0,0,HLOOKUP(CB$14,Villagers!$B$1:$V$33,CB38+3,FALSE)),)</f>
        <v>0</v>
      </c>
      <c r="CX38" s="14">
        <f>ROUND(IF(CC38=0,0,HLOOKUP(CC$14,Villagers!$B$1:$V$33,CC38+3,FALSE)),)</f>
        <v>0</v>
      </c>
      <c r="CY38" s="14">
        <f>ROUND(IF(CD38=0,0,HLOOKUP(CD$14,Villagers!$B$1:$V$33,CD38+3,FALSE)),)</f>
        <v>0</v>
      </c>
      <c r="CZ38" s="14">
        <f>ROUND(IF(CE38=0,0,HLOOKUP(CE$14,Villagers!$B$1:$V$33,CE38+3,FALSE)),)</f>
        <v>5</v>
      </c>
      <c r="DA38" s="14">
        <f>ROUND(IF(CF38=0,0,HLOOKUP(CF$14,Villagers!$B$1:$V$33,CF38+3,FALSE)),)</f>
        <v>10</v>
      </c>
      <c r="DB38" s="14">
        <f>ROUND(IF(CG38=0,0,HLOOKUP(CG$14,Villagers!$B$1:$V$33,CG38+3,FALSE)),)</f>
        <v>10</v>
      </c>
      <c r="DC38" s="14">
        <f>ROUND(IF(CH38=0,0,HLOOKUP(CH$14,Villagers!$B$1:$V$33,CH38+3,FALSE)),)</f>
        <v>0</v>
      </c>
      <c r="DD38" s="14">
        <f>ROUND(IF(CI38=0,0,HLOOKUP(CI$14,Villagers!$B$1:$V$33,CI38+3,FALSE)),)</f>
        <v>0</v>
      </c>
      <c r="DE38" s="14">
        <f>ROUND(IF(CJ38=0,0,HLOOKUP(CJ$14,Villagers!$B$1:$V$33,CJ38+3,FALSE)),)</f>
        <v>2</v>
      </c>
      <c r="DF38" s="370">
        <f>ROUND(IF(CK38=0,0,HLOOKUP(CK$14,Villagers!$B$1:$V$33,CK38+3,FALSE)),)</f>
        <v>0</v>
      </c>
      <c r="DG38" s="370">
        <f>ROUND(IF(CL38=0,0,HLOOKUP(CL$14,Villagers!$B$1:$V$33,CL38+3,FALSE)),)</f>
        <v>0</v>
      </c>
      <c r="DH38" s="34">
        <f>ROUND(IF(CM38=0,0,HLOOKUP(CM$14,Villagers!$B$1:$V$33,CM38+3,FALSE)),)</f>
        <v>0</v>
      </c>
      <c r="DI38" s="109">
        <f t="shared" si="73"/>
        <v>0</v>
      </c>
      <c r="DJ38" s="50">
        <f t="shared" si="74"/>
        <v>0</v>
      </c>
      <c r="DK38" s="50">
        <f t="shared" si="75"/>
        <v>0</v>
      </c>
      <c r="DL38" s="50">
        <f t="shared" si="76"/>
        <v>0</v>
      </c>
      <c r="DM38" s="50">
        <f t="shared" si="77"/>
        <v>0</v>
      </c>
      <c r="DN38" s="50">
        <f t="shared" si="78"/>
        <v>0</v>
      </c>
      <c r="DO38" s="50">
        <f t="shared" si="79"/>
        <v>0</v>
      </c>
      <c r="DP38" s="50">
        <f t="shared" si="80"/>
        <v>0</v>
      </c>
      <c r="DQ38" s="50">
        <f t="shared" si="59"/>
        <v>0</v>
      </c>
      <c r="DR38" s="50">
        <f t="shared" si="60"/>
        <v>0</v>
      </c>
      <c r="DS38" s="96">
        <f>Miscelaneous!$D$4*Miscelaneous!$D$2^($CI38-1)</f>
        <v>1000</v>
      </c>
      <c r="DT38" s="333">
        <f t="shared" si="61"/>
        <v>1</v>
      </c>
      <c r="DU38" s="81">
        <v>1</v>
      </c>
      <c r="DV38" s="79">
        <f t="shared" si="62"/>
        <v>0</v>
      </c>
      <c r="DW38" s="79">
        <f t="shared" si="23"/>
        <v>0</v>
      </c>
      <c r="DX38" s="79">
        <f t="shared" si="63"/>
        <v>0</v>
      </c>
      <c r="DY38" s="79">
        <v>1</v>
      </c>
      <c r="DZ38" s="79">
        <f t="shared" si="24"/>
        <v>0</v>
      </c>
      <c r="EA38" s="79">
        <f t="shared" si="64"/>
        <v>0</v>
      </c>
      <c r="EB38" s="79">
        <f t="shared" si="65"/>
        <v>0</v>
      </c>
      <c r="EC38" s="79">
        <f t="shared" si="66"/>
        <v>0</v>
      </c>
      <c r="ED38" s="79">
        <v>1</v>
      </c>
      <c r="EE38" s="79">
        <v>1</v>
      </c>
      <c r="EF38" s="79">
        <f t="shared" si="67"/>
        <v>0</v>
      </c>
      <c r="EG38" s="79">
        <v>1</v>
      </c>
      <c r="EH38" s="79">
        <v>1</v>
      </c>
      <c r="EI38" s="79">
        <v>1</v>
      </c>
      <c r="EJ38" s="79">
        <v>1</v>
      </c>
      <c r="EK38" s="79">
        <v>1</v>
      </c>
      <c r="EL38" s="79">
        <v>1</v>
      </c>
      <c r="EM38" s="143">
        <f t="shared" si="68"/>
        <v>0</v>
      </c>
      <c r="EN38" s="143">
        <f t="shared" si="69"/>
        <v>0</v>
      </c>
      <c r="EO38" s="82">
        <f t="shared" si="70"/>
        <v>0</v>
      </c>
    </row>
    <row r="39" spans="1:145" x14ac:dyDescent="0.25">
      <c r="A39">
        <v>25</v>
      </c>
      <c r="B39" s="172" t="e">
        <f t="shared" si="25"/>
        <v>#N/A</v>
      </c>
      <c r="C39" s="121" t="e">
        <f t="shared" si="0"/>
        <v>#N/A</v>
      </c>
      <c r="D39" s="122" t="e">
        <f t="shared" si="1"/>
        <v>#N/A</v>
      </c>
      <c r="E39" s="122" t="e">
        <f t="shared" si="2"/>
        <v>#N/A</v>
      </c>
      <c r="F39" s="176" t="e">
        <f t="shared" si="3"/>
        <v>#N/A</v>
      </c>
      <c r="G39" s="121">
        <f t="shared" si="26"/>
        <v>208</v>
      </c>
      <c r="H39" s="176" t="e">
        <f t="shared" si="27"/>
        <v>#N/A</v>
      </c>
      <c r="I39" s="48">
        <v>1</v>
      </c>
      <c r="J39" s="39"/>
      <c r="K39" s="350">
        <v>1</v>
      </c>
      <c r="L39" s="34" t="e">
        <f t="shared" si="4"/>
        <v>#N/A</v>
      </c>
      <c r="M39" s="38" t="e">
        <f>(HLOOKUP(J39,'Construction Times'!$B$3:$W$34,L39+2,FALSE)*HLOOKUP("hq modifier",'Construction Times'!$W$3:$W$34,BS39+2,FALSE))*(1-$H$9)</f>
        <v>#N/A</v>
      </c>
      <c r="N39" s="443" t="e">
        <f t="shared" si="28"/>
        <v>#N/A</v>
      </c>
      <c r="O39" s="444"/>
      <c r="P39" s="447" t="e">
        <f t="shared" si="29"/>
        <v>#N/A</v>
      </c>
      <c r="Q39" s="448"/>
      <c r="R39" s="103">
        <f t="shared" si="71"/>
        <v>0</v>
      </c>
      <c r="S39" s="104">
        <f t="shared" si="71"/>
        <v>0</v>
      </c>
      <c r="T39" s="104">
        <f t="shared" si="72"/>
        <v>0</v>
      </c>
      <c r="U39" s="104">
        <f t="shared" si="31"/>
        <v>0</v>
      </c>
      <c r="V39" s="104">
        <f t="shared" si="31"/>
        <v>9.9999999999999995E-8</v>
      </c>
      <c r="W39" s="104">
        <f t="shared" si="31"/>
        <v>0</v>
      </c>
      <c r="X39" s="104">
        <f t="shared" si="31"/>
        <v>0</v>
      </c>
      <c r="Y39" s="104">
        <f t="shared" si="31"/>
        <v>9.9999999999999995E-8</v>
      </c>
      <c r="Z39" s="104">
        <f t="shared" si="31"/>
        <v>9.9999999999999995E-8</v>
      </c>
      <c r="AA39" s="105">
        <f t="shared" si="31"/>
        <v>9.9999999999999995E-8</v>
      </c>
      <c r="AB39" s="101" t="e">
        <f>$DT39*HLOOKUP($J39,'Construction Costs (timber)'!$B$1:$V$32,'Construction Planner'!$L39+2,FALSE)</f>
        <v>#N/A</v>
      </c>
      <c r="AC39" s="14" t="e">
        <f>$DT39*HLOOKUP($J39,'Construction Costs (clay)'!$B$1:$V$32,'Construction Planner'!$L39+2,FALSE)</f>
        <v>#N/A</v>
      </c>
      <c r="AD39" s="14" t="e">
        <f>$DT39*HLOOKUP($J39,'Construction Costs (iron)'!$B$1:$V$32,'Construction Planner'!$L39+2,FALSE)</f>
        <v>#N/A</v>
      </c>
      <c r="AE39" s="34" t="e">
        <f t="shared" si="81"/>
        <v>#N/A</v>
      </c>
      <c r="AF39" s="33" t="e">
        <f t="shared" si="5"/>
        <v>#N/A</v>
      </c>
      <c r="AG39" s="14" t="e">
        <f t="shared" si="6"/>
        <v>#N/A</v>
      </c>
      <c r="AH39" s="14" t="e">
        <f t="shared" si="7"/>
        <v>#N/A</v>
      </c>
      <c r="AI39" s="34" t="e">
        <f t="shared" si="82"/>
        <v>#N/A</v>
      </c>
      <c r="AJ39" s="49" t="e">
        <f t="shared" si="32"/>
        <v>#N/A</v>
      </c>
      <c r="AK39" s="49" t="e">
        <f t="shared" si="33"/>
        <v>#N/A</v>
      </c>
      <c r="AL39" s="49" t="e">
        <f t="shared" si="34"/>
        <v>#N/A</v>
      </c>
      <c r="AM39" s="25">
        <f t="shared" si="8"/>
        <v>30</v>
      </c>
      <c r="AN39" s="25">
        <f t="shared" si="9"/>
        <v>30</v>
      </c>
      <c r="AO39" s="25">
        <f t="shared" si="10"/>
        <v>30</v>
      </c>
      <c r="AP39" s="52" t="e">
        <f t="shared" si="35"/>
        <v>#N/A</v>
      </c>
      <c r="AQ39" s="53" t="e">
        <f t="shared" si="35"/>
        <v>#N/A</v>
      </c>
      <c r="AR39" s="54" t="e">
        <f t="shared" si="35"/>
        <v>#N/A</v>
      </c>
      <c r="AS39" s="316">
        <f t="shared" si="83"/>
        <v>0</v>
      </c>
      <c r="AT39" s="106">
        <f>_xlfn.IFNA($M39/VLOOKUP($BT39,'Unit information'!$A$2:$K$29,2,FALSE)*R39,0)*(1+$E$9)</f>
        <v>0</v>
      </c>
      <c r="AU39" s="107">
        <f>_xlfn.IFNA($M39/VLOOKUP($BT39,'Unit information'!$A$2:$K$29,3,FALSE)*S39,0)*(1+$E$9)</f>
        <v>0</v>
      </c>
      <c r="AV39" s="107">
        <f>_xlfn.IFNA($M39/VLOOKUP($BT39,'Unit information'!$A$2:$K$29,4,FALSE)*T39,0)*(1+$E$9)</f>
        <v>0</v>
      </c>
      <c r="AW39" s="107">
        <f>_xlfn.IFNA($M39/VLOOKUP($BT39,'Unit information'!$A$2:$K$29,5,FALSE)*U39,0)*(1+$E$9)</f>
        <v>0</v>
      </c>
      <c r="AX39" s="107">
        <f>_xlfn.IFNA($M39/VLOOKUP($BU39,'Unit information'!$A$2:$K$29,6,FALSE)*V39,0)*(1+$E$9)</f>
        <v>0</v>
      </c>
      <c r="AY39" s="107">
        <f>_xlfn.IFNA($M39/VLOOKUP($BU39,'Unit information'!$A$2:$K$29,7,FALSE)*W39,0)*(1+$E$9)</f>
        <v>0</v>
      </c>
      <c r="AZ39" s="107">
        <f>_xlfn.IFNA($M39/VLOOKUP($BU39,'Unit information'!$A$2:$K$29,8,FALSE)*X39,0)*(1+$E$9)</f>
        <v>0</v>
      </c>
      <c r="BA39" s="107">
        <f>_xlfn.IFNA($M39/VLOOKUP($BU39,'Unit information'!$A$2:$K$29,9,FALSE)*Y39,0)*(1+$E$9)</f>
        <v>0</v>
      </c>
      <c r="BB39" s="107">
        <f>_xlfn.IFNA($M39/VLOOKUP($BV39,'Unit information'!$A$2:$K$29,10,FALSE)*Z39,0)*(1+$E$9)</f>
        <v>0</v>
      </c>
      <c r="BC39" s="108">
        <f>_xlfn.IFNA($M39/VLOOKUP($BV39,'Unit information'!$A$2:$K$29,11,FALSE)*AA39,0)*(1+$E$9)</f>
        <v>0</v>
      </c>
      <c r="BD39" s="106">
        <f t="shared" si="12"/>
        <v>0</v>
      </c>
      <c r="BE39" s="107">
        <f t="shared" si="13"/>
        <v>0</v>
      </c>
      <c r="BF39" s="108">
        <f t="shared" si="14"/>
        <v>0</v>
      </c>
      <c r="BG39" s="25" t="e">
        <f t="shared" si="15"/>
        <v>#N/A</v>
      </c>
      <c r="BH39" s="25" t="e">
        <f t="shared" si="16"/>
        <v>#N/A</v>
      </c>
      <c r="BI39" s="25" t="e">
        <f t="shared" si="17"/>
        <v>#N/A</v>
      </c>
      <c r="BJ39" s="27" t="e">
        <f t="shared" si="18"/>
        <v>#N/A</v>
      </c>
      <c r="BK39" s="18" t="e">
        <f t="shared" si="19"/>
        <v>#N/A</v>
      </c>
      <c r="BL39" s="18" t="e">
        <f t="shared" si="20"/>
        <v>#N/A</v>
      </c>
      <c r="BM39" s="28" t="e">
        <f t="shared" si="84"/>
        <v>#N/A</v>
      </c>
      <c r="BN39" s="33">
        <f>HLOOKUP("maximum population",Miscelaneous!$C$1:$C$33,CH39+3,FALSE)</f>
        <v>240</v>
      </c>
      <c r="BO39" s="14">
        <f t="shared" si="36"/>
        <v>32</v>
      </c>
      <c r="BP39" s="14">
        <f t="shared" si="37"/>
        <v>0</v>
      </c>
      <c r="BQ39" s="14">
        <f t="shared" si="38"/>
        <v>208</v>
      </c>
      <c r="BR39" s="34" t="e">
        <f>HLOOKUP(J39,Villagers!$B$1:$V$33,L39+3,FALSE)-HLOOKUP(J39,Villagers!$B$1:$V$33,L39+2,FALSE)</f>
        <v>#N/A</v>
      </c>
      <c r="BS39" s="49">
        <f t="shared" si="39"/>
        <v>1</v>
      </c>
      <c r="BT39" s="50">
        <f t="shared" si="40"/>
        <v>0</v>
      </c>
      <c r="BU39" s="50">
        <f t="shared" si="41"/>
        <v>0</v>
      </c>
      <c r="BV39" s="50">
        <f t="shared" si="42"/>
        <v>0</v>
      </c>
      <c r="BW39" s="50">
        <f t="shared" si="43"/>
        <v>0</v>
      </c>
      <c r="BX39" s="50">
        <f t="shared" si="44"/>
        <v>0</v>
      </c>
      <c r="BY39" s="50">
        <f t="shared" si="44"/>
        <v>0</v>
      </c>
      <c r="BZ39" s="50">
        <f t="shared" si="45"/>
        <v>0</v>
      </c>
      <c r="CA39" s="50">
        <f t="shared" si="46"/>
        <v>0</v>
      </c>
      <c r="CB39" s="50">
        <f t="shared" si="47"/>
        <v>1</v>
      </c>
      <c r="CC39" s="50">
        <f t="shared" si="48"/>
        <v>0</v>
      </c>
      <c r="CD39" s="50">
        <f t="shared" si="49"/>
        <v>0</v>
      </c>
      <c r="CE39" s="50">
        <f t="shared" si="50"/>
        <v>1</v>
      </c>
      <c r="CF39" s="50">
        <f t="shared" si="51"/>
        <v>1</v>
      </c>
      <c r="CG39" s="50">
        <f t="shared" si="52"/>
        <v>1</v>
      </c>
      <c r="CH39" s="50">
        <f t="shared" si="53"/>
        <v>1</v>
      </c>
      <c r="CI39" s="50">
        <f t="shared" si="54"/>
        <v>1</v>
      </c>
      <c r="CJ39" s="50">
        <f t="shared" si="55"/>
        <v>1</v>
      </c>
      <c r="CK39" s="50">
        <f t="shared" si="56"/>
        <v>0</v>
      </c>
      <c r="CL39" s="50">
        <f t="shared" si="55"/>
        <v>0</v>
      </c>
      <c r="CM39" s="51">
        <f t="shared" si="57"/>
        <v>0</v>
      </c>
      <c r="CN39" s="33">
        <f>ROUND(IF(BS39=0,0,HLOOKUP(BS$14,Villagers!$B$1:$V$33,BS39+3,FALSE)),)</f>
        <v>5</v>
      </c>
      <c r="CO39" s="14">
        <f>ROUND(IF(BT39=0,0,HLOOKUP(BT$14,Villagers!$B$1:$V$33,BT39+3,FALSE)),)</f>
        <v>0</v>
      </c>
      <c r="CP39" s="14">
        <f>ROUND(IF(BU39=0,0,HLOOKUP(BU$14,Villagers!$B$1:$V$33,BU39+3,FALSE)),)</f>
        <v>0</v>
      </c>
      <c r="CQ39" s="14">
        <f>ROUND(IF(BV39=0,0,HLOOKUP(BV$14,Villagers!$B$1:$V$33,BV39+3,FALSE)),)</f>
        <v>0</v>
      </c>
      <c r="CR39" s="14">
        <f>ROUND(IF(BW39=0,0,HLOOKUP(BW$14,Villagers!$B$1:$V$33,BW39+3,FALSE)),)</f>
        <v>0</v>
      </c>
      <c r="CS39" s="14">
        <f>ROUND(IF(BX39=0,0,HLOOKUP(BX$14,Villagers!$B$1:$V$33,BX39+3,FALSE)),)</f>
        <v>0</v>
      </c>
      <c r="CT39" s="14">
        <f>ROUND(IF(BY39=0,0,HLOOKUP(BY$14,Villagers!$B$1:$V$33,BY39+3,FALSE)),)</f>
        <v>0</v>
      </c>
      <c r="CU39" s="14">
        <f>ROUND(IF(BZ39=0,0,HLOOKUP(BZ$14,Villagers!$B$1:$V$33,BZ39+3,FALSE)),)</f>
        <v>0</v>
      </c>
      <c r="CV39" s="14">
        <f>ROUND(IF(CA39=0,0,HLOOKUP(CA$14,Villagers!$B$1:$V$33,CA39+3,FALSE)),)</f>
        <v>0</v>
      </c>
      <c r="CW39" s="14">
        <f>ROUND(IF(CB39=0,0,HLOOKUP(CB$14,Villagers!$B$1:$V$33,CB39+3,FALSE)),)</f>
        <v>0</v>
      </c>
      <c r="CX39" s="14">
        <f>ROUND(IF(CC39=0,0,HLOOKUP(CC$14,Villagers!$B$1:$V$33,CC39+3,FALSE)),)</f>
        <v>0</v>
      </c>
      <c r="CY39" s="14">
        <f>ROUND(IF(CD39=0,0,HLOOKUP(CD$14,Villagers!$B$1:$V$33,CD39+3,FALSE)),)</f>
        <v>0</v>
      </c>
      <c r="CZ39" s="14">
        <f>ROUND(IF(CE39=0,0,HLOOKUP(CE$14,Villagers!$B$1:$V$33,CE39+3,FALSE)),)</f>
        <v>5</v>
      </c>
      <c r="DA39" s="14">
        <f>ROUND(IF(CF39=0,0,HLOOKUP(CF$14,Villagers!$B$1:$V$33,CF39+3,FALSE)),)</f>
        <v>10</v>
      </c>
      <c r="DB39" s="14">
        <f>ROUND(IF(CG39=0,0,HLOOKUP(CG$14,Villagers!$B$1:$V$33,CG39+3,FALSE)),)</f>
        <v>10</v>
      </c>
      <c r="DC39" s="14">
        <f>ROUND(IF(CH39=0,0,HLOOKUP(CH$14,Villagers!$B$1:$V$33,CH39+3,FALSE)),)</f>
        <v>0</v>
      </c>
      <c r="DD39" s="14">
        <f>ROUND(IF(CI39=0,0,HLOOKUP(CI$14,Villagers!$B$1:$V$33,CI39+3,FALSE)),)</f>
        <v>0</v>
      </c>
      <c r="DE39" s="14">
        <f>ROUND(IF(CJ39=0,0,HLOOKUP(CJ$14,Villagers!$B$1:$V$33,CJ39+3,FALSE)),)</f>
        <v>2</v>
      </c>
      <c r="DF39" s="370">
        <f>ROUND(IF(CK39=0,0,HLOOKUP(CK$14,Villagers!$B$1:$V$33,CK39+3,FALSE)),)</f>
        <v>0</v>
      </c>
      <c r="DG39" s="370">
        <f>ROUND(IF(CL39=0,0,HLOOKUP(CL$14,Villagers!$B$1:$V$33,CL39+3,FALSE)),)</f>
        <v>0</v>
      </c>
      <c r="DH39" s="34">
        <f>ROUND(IF(CM39=0,0,HLOOKUP(CM$14,Villagers!$B$1:$V$33,CM39+3,FALSE)),)</f>
        <v>0</v>
      </c>
      <c r="DI39" s="109">
        <f t="shared" si="73"/>
        <v>0</v>
      </c>
      <c r="DJ39" s="50">
        <f t="shared" si="74"/>
        <v>0</v>
      </c>
      <c r="DK39" s="50">
        <f t="shared" si="75"/>
        <v>0</v>
      </c>
      <c r="DL39" s="50">
        <f t="shared" si="76"/>
        <v>0</v>
      </c>
      <c r="DM39" s="50">
        <f t="shared" si="77"/>
        <v>0</v>
      </c>
      <c r="DN39" s="50">
        <f t="shared" si="78"/>
        <v>0</v>
      </c>
      <c r="DO39" s="50">
        <f t="shared" si="79"/>
        <v>0</v>
      </c>
      <c r="DP39" s="50">
        <f t="shared" si="80"/>
        <v>0</v>
      </c>
      <c r="DQ39" s="50">
        <f t="shared" si="59"/>
        <v>0</v>
      </c>
      <c r="DR39" s="50">
        <f t="shared" si="60"/>
        <v>0</v>
      </c>
      <c r="DS39" s="96">
        <f>Miscelaneous!$D$4*Miscelaneous!$D$2^($CI39-1)</f>
        <v>1000</v>
      </c>
      <c r="DT39" s="333">
        <f t="shared" si="61"/>
        <v>1</v>
      </c>
      <c r="DU39" s="81">
        <v>1</v>
      </c>
      <c r="DV39" s="79">
        <f t="shared" si="62"/>
        <v>0</v>
      </c>
      <c r="DW39" s="79">
        <f t="shared" si="23"/>
        <v>0</v>
      </c>
      <c r="DX39" s="79">
        <f t="shared" si="63"/>
        <v>0</v>
      </c>
      <c r="DY39" s="79">
        <v>1</v>
      </c>
      <c r="DZ39" s="79">
        <f t="shared" si="24"/>
        <v>0</v>
      </c>
      <c r="EA39" s="79">
        <f t="shared" si="64"/>
        <v>0</v>
      </c>
      <c r="EB39" s="79">
        <f t="shared" si="65"/>
        <v>0</v>
      </c>
      <c r="EC39" s="79">
        <f t="shared" si="66"/>
        <v>0</v>
      </c>
      <c r="ED39" s="79">
        <v>1</v>
      </c>
      <c r="EE39" s="79">
        <v>1</v>
      </c>
      <c r="EF39" s="79">
        <f t="shared" si="67"/>
        <v>0</v>
      </c>
      <c r="EG39" s="79">
        <v>1</v>
      </c>
      <c r="EH39" s="79">
        <v>1</v>
      </c>
      <c r="EI39" s="79">
        <v>1</v>
      </c>
      <c r="EJ39" s="79">
        <v>1</v>
      </c>
      <c r="EK39" s="79">
        <v>1</v>
      </c>
      <c r="EL39" s="79">
        <v>1</v>
      </c>
      <c r="EM39" s="143">
        <f t="shared" si="68"/>
        <v>0</v>
      </c>
      <c r="EN39" s="143">
        <f t="shared" si="69"/>
        <v>0</v>
      </c>
      <c r="EO39" s="82">
        <f t="shared" si="70"/>
        <v>0</v>
      </c>
    </row>
    <row r="40" spans="1:145" x14ac:dyDescent="0.25">
      <c r="A40">
        <v>26</v>
      </c>
      <c r="B40" s="172" t="e">
        <f t="shared" si="25"/>
        <v>#N/A</v>
      </c>
      <c r="C40" s="121" t="e">
        <f t="shared" si="0"/>
        <v>#N/A</v>
      </c>
      <c r="D40" s="122" t="e">
        <f t="shared" si="1"/>
        <v>#N/A</v>
      </c>
      <c r="E40" s="122" t="e">
        <f t="shared" si="2"/>
        <v>#N/A</v>
      </c>
      <c r="F40" s="176" t="e">
        <f t="shared" si="3"/>
        <v>#N/A</v>
      </c>
      <c r="G40" s="121">
        <f t="shared" si="26"/>
        <v>208</v>
      </c>
      <c r="H40" s="176" t="e">
        <f t="shared" si="27"/>
        <v>#N/A</v>
      </c>
      <c r="I40" s="48">
        <v>1</v>
      </c>
      <c r="J40" s="39"/>
      <c r="K40" s="350">
        <v>1</v>
      </c>
      <c r="L40" s="34" t="e">
        <f t="shared" si="4"/>
        <v>#N/A</v>
      </c>
      <c r="M40" s="38" t="e">
        <f>(HLOOKUP(J40,'Construction Times'!$B$3:$W$34,L40+2,FALSE)*HLOOKUP("hq modifier",'Construction Times'!$W$3:$W$34,BS40+2,FALSE))*(1-$H$9)</f>
        <v>#N/A</v>
      </c>
      <c r="N40" s="443" t="e">
        <f t="shared" si="28"/>
        <v>#N/A</v>
      </c>
      <c r="O40" s="444"/>
      <c r="P40" s="447" t="e">
        <f t="shared" si="29"/>
        <v>#N/A</v>
      </c>
      <c r="Q40" s="448"/>
      <c r="R40" s="103">
        <f t="shared" si="71"/>
        <v>0</v>
      </c>
      <c r="S40" s="104">
        <f t="shared" si="71"/>
        <v>0</v>
      </c>
      <c r="T40" s="104">
        <f t="shared" si="72"/>
        <v>0</v>
      </c>
      <c r="U40" s="104">
        <f t="shared" si="31"/>
        <v>0</v>
      </c>
      <c r="V40" s="104">
        <f t="shared" si="31"/>
        <v>9.9999999999999995E-8</v>
      </c>
      <c r="W40" s="104">
        <f t="shared" si="31"/>
        <v>0</v>
      </c>
      <c r="X40" s="104">
        <f t="shared" si="31"/>
        <v>0</v>
      </c>
      <c r="Y40" s="104">
        <f t="shared" si="31"/>
        <v>9.9999999999999995E-8</v>
      </c>
      <c r="Z40" s="104">
        <f t="shared" si="31"/>
        <v>9.9999999999999995E-8</v>
      </c>
      <c r="AA40" s="105">
        <f t="shared" si="31"/>
        <v>9.9999999999999995E-8</v>
      </c>
      <c r="AB40" s="101" t="e">
        <f>$DT40*HLOOKUP($J40,'Construction Costs (timber)'!$B$1:$V$32,'Construction Planner'!$L40+2,FALSE)</f>
        <v>#N/A</v>
      </c>
      <c r="AC40" s="14" t="e">
        <f>$DT40*HLOOKUP($J40,'Construction Costs (clay)'!$B$1:$V$32,'Construction Planner'!$L40+2,FALSE)</f>
        <v>#N/A</v>
      </c>
      <c r="AD40" s="14" t="e">
        <f>$DT40*HLOOKUP($J40,'Construction Costs (iron)'!$B$1:$V$32,'Construction Planner'!$L40+2,FALSE)</f>
        <v>#N/A</v>
      </c>
      <c r="AE40" s="34" t="e">
        <f t="shared" si="81"/>
        <v>#N/A</v>
      </c>
      <c r="AF40" s="33" t="e">
        <f t="shared" si="5"/>
        <v>#N/A</v>
      </c>
      <c r="AG40" s="14" t="e">
        <f t="shared" si="6"/>
        <v>#N/A</v>
      </c>
      <c r="AH40" s="14" t="e">
        <f t="shared" si="7"/>
        <v>#N/A</v>
      </c>
      <c r="AI40" s="34" t="e">
        <f t="shared" si="82"/>
        <v>#N/A</v>
      </c>
      <c r="AJ40" s="49" t="e">
        <f t="shared" si="32"/>
        <v>#N/A</v>
      </c>
      <c r="AK40" s="49" t="e">
        <f t="shared" si="33"/>
        <v>#N/A</v>
      </c>
      <c r="AL40" s="49" t="e">
        <f t="shared" si="34"/>
        <v>#N/A</v>
      </c>
      <c r="AM40" s="25">
        <f t="shared" si="8"/>
        <v>30</v>
      </c>
      <c r="AN40" s="25">
        <f t="shared" si="9"/>
        <v>30</v>
      </c>
      <c r="AO40" s="25">
        <f t="shared" si="10"/>
        <v>30</v>
      </c>
      <c r="AP40" s="52" t="e">
        <f t="shared" si="35"/>
        <v>#N/A</v>
      </c>
      <c r="AQ40" s="53" t="e">
        <f t="shared" si="35"/>
        <v>#N/A</v>
      </c>
      <c r="AR40" s="54" t="e">
        <f t="shared" si="35"/>
        <v>#N/A</v>
      </c>
      <c r="AS40" s="316">
        <f t="shared" si="83"/>
        <v>0</v>
      </c>
      <c r="AT40" s="106">
        <f>_xlfn.IFNA($M40/VLOOKUP($BT40,'Unit information'!$A$2:$K$29,2,FALSE)*R40,0)*(1+$E$9)</f>
        <v>0</v>
      </c>
      <c r="AU40" s="107">
        <f>_xlfn.IFNA($M40/VLOOKUP($BT40,'Unit information'!$A$2:$K$29,3,FALSE)*S40,0)*(1+$E$9)</f>
        <v>0</v>
      </c>
      <c r="AV40" s="107">
        <f>_xlfn.IFNA($M40/VLOOKUP($BT40,'Unit information'!$A$2:$K$29,4,FALSE)*T40,0)*(1+$E$9)</f>
        <v>0</v>
      </c>
      <c r="AW40" s="107">
        <f>_xlfn.IFNA($M40/VLOOKUP($BT40,'Unit information'!$A$2:$K$29,5,FALSE)*U40,0)*(1+$E$9)</f>
        <v>0</v>
      </c>
      <c r="AX40" s="107">
        <f>_xlfn.IFNA($M40/VLOOKUP($BU40,'Unit information'!$A$2:$K$29,6,FALSE)*V40,0)*(1+$E$9)</f>
        <v>0</v>
      </c>
      <c r="AY40" s="107">
        <f>_xlfn.IFNA($M40/VLOOKUP($BU40,'Unit information'!$A$2:$K$29,7,FALSE)*W40,0)*(1+$E$9)</f>
        <v>0</v>
      </c>
      <c r="AZ40" s="107">
        <f>_xlfn.IFNA($M40/VLOOKUP($BU40,'Unit information'!$A$2:$K$29,8,FALSE)*X40,0)*(1+$E$9)</f>
        <v>0</v>
      </c>
      <c r="BA40" s="107">
        <f>_xlfn.IFNA($M40/VLOOKUP($BU40,'Unit information'!$A$2:$K$29,9,FALSE)*Y40,0)*(1+$E$9)</f>
        <v>0</v>
      </c>
      <c r="BB40" s="107">
        <f>_xlfn.IFNA($M40/VLOOKUP($BV40,'Unit information'!$A$2:$K$29,10,FALSE)*Z40,0)*(1+$E$9)</f>
        <v>0</v>
      </c>
      <c r="BC40" s="108">
        <f>_xlfn.IFNA($M40/VLOOKUP($BV40,'Unit information'!$A$2:$K$29,11,FALSE)*AA40,0)*(1+$E$9)</f>
        <v>0</v>
      </c>
      <c r="BD40" s="106">
        <f t="shared" si="12"/>
        <v>0</v>
      </c>
      <c r="BE40" s="107">
        <f t="shared" si="13"/>
        <v>0</v>
      </c>
      <c r="BF40" s="108">
        <f t="shared" si="14"/>
        <v>0</v>
      </c>
      <c r="BG40" s="25" t="e">
        <f t="shared" si="15"/>
        <v>#N/A</v>
      </c>
      <c r="BH40" s="25" t="e">
        <f t="shared" si="16"/>
        <v>#N/A</v>
      </c>
      <c r="BI40" s="25" t="e">
        <f t="shared" si="17"/>
        <v>#N/A</v>
      </c>
      <c r="BJ40" s="27" t="e">
        <f t="shared" si="18"/>
        <v>#N/A</v>
      </c>
      <c r="BK40" s="18" t="e">
        <f t="shared" si="19"/>
        <v>#N/A</v>
      </c>
      <c r="BL40" s="18" t="e">
        <f t="shared" si="20"/>
        <v>#N/A</v>
      </c>
      <c r="BM40" s="28" t="e">
        <f t="shared" si="84"/>
        <v>#N/A</v>
      </c>
      <c r="BN40" s="33">
        <f>HLOOKUP("maximum population",Miscelaneous!$C$1:$C$33,CH40+3,FALSE)</f>
        <v>240</v>
      </c>
      <c r="BO40" s="14">
        <f t="shared" si="36"/>
        <v>32</v>
      </c>
      <c r="BP40" s="14">
        <f t="shared" si="37"/>
        <v>0</v>
      </c>
      <c r="BQ40" s="14">
        <f t="shared" si="38"/>
        <v>208</v>
      </c>
      <c r="BR40" s="34" t="e">
        <f>HLOOKUP(J40,Villagers!$B$1:$V$33,L40+3,FALSE)-HLOOKUP(J40,Villagers!$B$1:$V$33,L40+2,FALSE)</f>
        <v>#N/A</v>
      </c>
      <c r="BS40" s="49">
        <f t="shared" si="39"/>
        <v>1</v>
      </c>
      <c r="BT40" s="50">
        <f t="shared" si="40"/>
        <v>0</v>
      </c>
      <c r="BU40" s="50">
        <f t="shared" si="41"/>
        <v>0</v>
      </c>
      <c r="BV40" s="50">
        <f t="shared" si="42"/>
        <v>0</v>
      </c>
      <c r="BW40" s="50">
        <f t="shared" si="43"/>
        <v>0</v>
      </c>
      <c r="BX40" s="50">
        <f t="shared" si="44"/>
        <v>0</v>
      </c>
      <c r="BY40" s="50">
        <f t="shared" si="44"/>
        <v>0</v>
      </c>
      <c r="BZ40" s="50">
        <f t="shared" si="45"/>
        <v>0</v>
      </c>
      <c r="CA40" s="50">
        <f t="shared" si="46"/>
        <v>0</v>
      </c>
      <c r="CB40" s="50">
        <f t="shared" si="47"/>
        <v>1</v>
      </c>
      <c r="CC40" s="50">
        <f t="shared" si="48"/>
        <v>0</v>
      </c>
      <c r="CD40" s="50">
        <f t="shared" si="49"/>
        <v>0</v>
      </c>
      <c r="CE40" s="50">
        <f t="shared" si="50"/>
        <v>1</v>
      </c>
      <c r="CF40" s="50">
        <f t="shared" si="51"/>
        <v>1</v>
      </c>
      <c r="CG40" s="50">
        <f t="shared" si="52"/>
        <v>1</v>
      </c>
      <c r="CH40" s="50">
        <f t="shared" si="53"/>
        <v>1</v>
      </c>
      <c r="CI40" s="50">
        <f t="shared" si="54"/>
        <v>1</v>
      </c>
      <c r="CJ40" s="50">
        <f t="shared" si="55"/>
        <v>1</v>
      </c>
      <c r="CK40" s="50">
        <f t="shared" si="56"/>
        <v>0</v>
      </c>
      <c r="CL40" s="50">
        <f t="shared" si="55"/>
        <v>0</v>
      </c>
      <c r="CM40" s="51">
        <f t="shared" si="57"/>
        <v>0</v>
      </c>
      <c r="CN40" s="33">
        <f>ROUND(IF(BS40=0,0,HLOOKUP(BS$14,Villagers!$B$1:$V$33,BS40+3,FALSE)),)</f>
        <v>5</v>
      </c>
      <c r="CO40" s="14">
        <f>ROUND(IF(BT40=0,0,HLOOKUP(BT$14,Villagers!$B$1:$V$33,BT40+3,FALSE)),)</f>
        <v>0</v>
      </c>
      <c r="CP40" s="14">
        <f>ROUND(IF(BU40=0,0,HLOOKUP(BU$14,Villagers!$B$1:$V$33,BU40+3,FALSE)),)</f>
        <v>0</v>
      </c>
      <c r="CQ40" s="14">
        <f>ROUND(IF(BV40=0,0,HLOOKUP(BV$14,Villagers!$B$1:$V$33,BV40+3,FALSE)),)</f>
        <v>0</v>
      </c>
      <c r="CR40" s="14">
        <f>ROUND(IF(BW40=0,0,HLOOKUP(BW$14,Villagers!$B$1:$V$33,BW40+3,FALSE)),)</f>
        <v>0</v>
      </c>
      <c r="CS40" s="14">
        <f>ROUND(IF(BX40=0,0,HLOOKUP(BX$14,Villagers!$B$1:$V$33,BX40+3,FALSE)),)</f>
        <v>0</v>
      </c>
      <c r="CT40" s="14">
        <f>ROUND(IF(BY40=0,0,HLOOKUP(BY$14,Villagers!$B$1:$V$33,BY40+3,FALSE)),)</f>
        <v>0</v>
      </c>
      <c r="CU40" s="14">
        <f>ROUND(IF(BZ40=0,0,HLOOKUP(BZ$14,Villagers!$B$1:$V$33,BZ40+3,FALSE)),)</f>
        <v>0</v>
      </c>
      <c r="CV40" s="14">
        <f>ROUND(IF(CA40=0,0,HLOOKUP(CA$14,Villagers!$B$1:$V$33,CA40+3,FALSE)),)</f>
        <v>0</v>
      </c>
      <c r="CW40" s="14">
        <f>ROUND(IF(CB40=0,0,HLOOKUP(CB$14,Villagers!$B$1:$V$33,CB40+3,FALSE)),)</f>
        <v>0</v>
      </c>
      <c r="CX40" s="14">
        <f>ROUND(IF(CC40=0,0,HLOOKUP(CC$14,Villagers!$B$1:$V$33,CC40+3,FALSE)),)</f>
        <v>0</v>
      </c>
      <c r="CY40" s="14">
        <f>ROUND(IF(CD40=0,0,HLOOKUP(CD$14,Villagers!$B$1:$V$33,CD40+3,FALSE)),)</f>
        <v>0</v>
      </c>
      <c r="CZ40" s="14">
        <f>ROUND(IF(CE40=0,0,HLOOKUP(CE$14,Villagers!$B$1:$V$33,CE40+3,FALSE)),)</f>
        <v>5</v>
      </c>
      <c r="DA40" s="14">
        <f>ROUND(IF(CF40=0,0,HLOOKUP(CF$14,Villagers!$B$1:$V$33,CF40+3,FALSE)),)</f>
        <v>10</v>
      </c>
      <c r="DB40" s="14">
        <f>ROUND(IF(CG40=0,0,HLOOKUP(CG$14,Villagers!$B$1:$V$33,CG40+3,FALSE)),)</f>
        <v>10</v>
      </c>
      <c r="DC40" s="14">
        <f>ROUND(IF(CH40=0,0,HLOOKUP(CH$14,Villagers!$B$1:$V$33,CH40+3,FALSE)),)</f>
        <v>0</v>
      </c>
      <c r="DD40" s="14">
        <f>ROUND(IF(CI40=0,0,HLOOKUP(CI$14,Villagers!$B$1:$V$33,CI40+3,FALSE)),)</f>
        <v>0</v>
      </c>
      <c r="DE40" s="14">
        <f>ROUND(IF(CJ40=0,0,HLOOKUP(CJ$14,Villagers!$B$1:$V$33,CJ40+3,FALSE)),)</f>
        <v>2</v>
      </c>
      <c r="DF40" s="370">
        <f>ROUND(IF(CK40=0,0,HLOOKUP(CK$14,Villagers!$B$1:$V$33,CK40+3,FALSE)),)</f>
        <v>0</v>
      </c>
      <c r="DG40" s="370">
        <f>ROUND(IF(CL40=0,0,HLOOKUP(CL$14,Villagers!$B$1:$V$33,CL40+3,FALSE)),)</f>
        <v>0</v>
      </c>
      <c r="DH40" s="34">
        <f>ROUND(IF(CM40=0,0,HLOOKUP(CM$14,Villagers!$B$1:$V$33,CM40+3,FALSE)),)</f>
        <v>0</v>
      </c>
      <c r="DI40" s="109">
        <f t="shared" si="73"/>
        <v>0</v>
      </c>
      <c r="DJ40" s="50">
        <f t="shared" si="74"/>
        <v>0</v>
      </c>
      <c r="DK40" s="50">
        <f t="shared" si="75"/>
        <v>0</v>
      </c>
      <c r="DL40" s="50">
        <f t="shared" si="76"/>
        <v>0</v>
      </c>
      <c r="DM40" s="50">
        <f t="shared" si="77"/>
        <v>0</v>
      </c>
      <c r="DN40" s="50">
        <f t="shared" si="78"/>
        <v>0</v>
      </c>
      <c r="DO40" s="50">
        <f t="shared" si="79"/>
        <v>0</v>
      </c>
      <c r="DP40" s="50">
        <f t="shared" si="80"/>
        <v>0</v>
      </c>
      <c r="DQ40" s="50">
        <f t="shared" si="59"/>
        <v>0</v>
      </c>
      <c r="DR40" s="50">
        <f t="shared" si="60"/>
        <v>0</v>
      </c>
      <c r="DS40" s="96">
        <f>Miscelaneous!$D$4*Miscelaneous!$D$2^($CI40-1)</f>
        <v>1000</v>
      </c>
      <c r="DT40" s="333">
        <f t="shared" si="61"/>
        <v>1</v>
      </c>
      <c r="DU40" s="81">
        <v>1</v>
      </c>
      <c r="DV40" s="79">
        <f t="shared" si="62"/>
        <v>0</v>
      </c>
      <c r="DW40" s="79">
        <f t="shared" si="23"/>
        <v>0</v>
      </c>
      <c r="DX40" s="79">
        <f t="shared" si="63"/>
        <v>0</v>
      </c>
      <c r="DY40" s="79">
        <v>1</v>
      </c>
      <c r="DZ40" s="79">
        <f t="shared" si="24"/>
        <v>0</v>
      </c>
      <c r="EA40" s="79">
        <f t="shared" si="64"/>
        <v>0</v>
      </c>
      <c r="EB40" s="79">
        <f t="shared" si="65"/>
        <v>0</v>
      </c>
      <c r="EC40" s="79">
        <f t="shared" si="66"/>
        <v>0</v>
      </c>
      <c r="ED40" s="79">
        <v>1</v>
      </c>
      <c r="EE40" s="79">
        <v>1</v>
      </c>
      <c r="EF40" s="79">
        <f t="shared" si="67"/>
        <v>0</v>
      </c>
      <c r="EG40" s="79">
        <v>1</v>
      </c>
      <c r="EH40" s="79">
        <v>1</v>
      </c>
      <c r="EI40" s="79">
        <v>1</v>
      </c>
      <c r="EJ40" s="79">
        <v>1</v>
      </c>
      <c r="EK40" s="79">
        <v>1</v>
      </c>
      <c r="EL40" s="79">
        <v>1</v>
      </c>
      <c r="EM40" s="143">
        <f t="shared" si="68"/>
        <v>0</v>
      </c>
      <c r="EN40" s="143">
        <f t="shared" si="69"/>
        <v>0</v>
      </c>
      <c r="EO40" s="82">
        <f t="shared" si="70"/>
        <v>0</v>
      </c>
    </row>
    <row r="41" spans="1:145" x14ac:dyDescent="0.25">
      <c r="A41">
        <v>27</v>
      </c>
      <c r="B41" s="172" t="e">
        <f t="shared" si="25"/>
        <v>#N/A</v>
      </c>
      <c r="C41" s="121" t="e">
        <f t="shared" si="0"/>
        <v>#N/A</v>
      </c>
      <c r="D41" s="122" t="e">
        <f t="shared" si="1"/>
        <v>#N/A</v>
      </c>
      <c r="E41" s="122" t="e">
        <f t="shared" si="2"/>
        <v>#N/A</v>
      </c>
      <c r="F41" s="176" t="e">
        <f t="shared" si="3"/>
        <v>#N/A</v>
      </c>
      <c r="G41" s="121">
        <f t="shared" si="26"/>
        <v>208</v>
      </c>
      <c r="H41" s="176" t="e">
        <f t="shared" si="27"/>
        <v>#N/A</v>
      </c>
      <c r="I41" s="48">
        <v>1</v>
      </c>
      <c r="J41" s="39"/>
      <c r="K41" s="350">
        <v>1</v>
      </c>
      <c r="L41" s="34" t="e">
        <f t="shared" si="4"/>
        <v>#N/A</v>
      </c>
      <c r="M41" s="38" t="e">
        <f>(HLOOKUP(J41,'Construction Times'!$B$3:$W$34,L41+2,FALSE)*HLOOKUP("hq modifier",'Construction Times'!$W$3:$W$34,BS41+2,FALSE))*(1-$H$9)</f>
        <v>#N/A</v>
      </c>
      <c r="N41" s="443" t="e">
        <f t="shared" si="28"/>
        <v>#N/A</v>
      </c>
      <c r="O41" s="444"/>
      <c r="P41" s="447" t="e">
        <f t="shared" si="29"/>
        <v>#N/A</v>
      </c>
      <c r="Q41" s="448"/>
      <c r="R41" s="103">
        <f t="shared" si="71"/>
        <v>0</v>
      </c>
      <c r="S41" s="104">
        <f t="shared" si="71"/>
        <v>0</v>
      </c>
      <c r="T41" s="104">
        <f t="shared" si="72"/>
        <v>0</v>
      </c>
      <c r="U41" s="104">
        <f t="shared" si="31"/>
        <v>0</v>
      </c>
      <c r="V41" s="104">
        <f t="shared" si="31"/>
        <v>9.9999999999999995E-8</v>
      </c>
      <c r="W41" s="104">
        <f t="shared" si="31"/>
        <v>0</v>
      </c>
      <c r="X41" s="104">
        <f t="shared" si="31"/>
        <v>0</v>
      </c>
      <c r="Y41" s="104">
        <f t="shared" si="31"/>
        <v>9.9999999999999995E-8</v>
      </c>
      <c r="Z41" s="104">
        <f t="shared" si="31"/>
        <v>9.9999999999999995E-8</v>
      </c>
      <c r="AA41" s="105">
        <f t="shared" si="31"/>
        <v>9.9999999999999995E-8</v>
      </c>
      <c r="AB41" s="101" t="e">
        <f>$DT41*HLOOKUP($J41,'Construction Costs (timber)'!$B$1:$V$32,'Construction Planner'!$L41+2,FALSE)</f>
        <v>#N/A</v>
      </c>
      <c r="AC41" s="14" t="e">
        <f>$DT41*HLOOKUP($J41,'Construction Costs (clay)'!$B$1:$V$32,'Construction Planner'!$L41+2,FALSE)</f>
        <v>#N/A</v>
      </c>
      <c r="AD41" s="14" t="e">
        <f>$DT41*HLOOKUP($J41,'Construction Costs (iron)'!$B$1:$V$32,'Construction Planner'!$L41+2,FALSE)</f>
        <v>#N/A</v>
      </c>
      <c r="AE41" s="34" t="e">
        <f t="shared" si="81"/>
        <v>#N/A</v>
      </c>
      <c r="AF41" s="33" t="e">
        <f t="shared" si="5"/>
        <v>#N/A</v>
      </c>
      <c r="AG41" s="14" t="e">
        <f t="shared" si="6"/>
        <v>#N/A</v>
      </c>
      <c r="AH41" s="14" t="e">
        <f t="shared" si="7"/>
        <v>#N/A</v>
      </c>
      <c r="AI41" s="34" t="e">
        <f t="shared" si="82"/>
        <v>#N/A</v>
      </c>
      <c r="AJ41" s="49" t="e">
        <f t="shared" si="32"/>
        <v>#N/A</v>
      </c>
      <c r="AK41" s="49" t="e">
        <f t="shared" si="33"/>
        <v>#N/A</v>
      </c>
      <c r="AL41" s="49" t="e">
        <f t="shared" si="34"/>
        <v>#N/A</v>
      </c>
      <c r="AM41" s="25">
        <f t="shared" si="8"/>
        <v>30</v>
      </c>
      <c r="AN41" s="25">
        <f t="shared" si="9"/>
        <v>30</v>
      </c>
      <c r="AO41" s="25">
        <f t="shared" si="10"/>
        <v>30</v>
      </c>
      <c r="AP41" s="52" t="e">
        <f t="shared" si="35"/>
        <v>#N/A</v>
      </c>
      <c r="AQ41" s="53" t="e">
        <f t="shared" si="35"/>
        <v>#N/A</v>
      </c>
      <c r="AR41" s="54" t="e">
        <f t="shared" si="35"/>
        <v>#N/A</v>
      </c>
      <c r="AS41" s="316">
        <f t="shared" si="83"/>
        <v>0</v>
      </c>
      <c r="AT41" s="106">
        <f>_xlfn.IFNA($M41/VLOOKUP($BT41,'Unit information'!$A$2:$K$29,2,FALSE)*R41,0)*(1+$E$9)</f>
        <v>0</v>
      </c>
      <c r="AU41" s="107">
        <f>_xlfn.IFNA($M41/VLOOKUP($BT41,'Unit information'!$A$2:$K$29,3,FALSE)*S41,0)*(1+$E$9)</f>
        <v>0</v>
      </c>
      <c r="AV41" s="107">
        <f>_xlfn.IFNA($M41/VLOOKUP($BT41,'Unit information'!$A$2:$K$29,4,FALSE)*T41,0)*(1+$E$9)</f>
        <v>0</v>
      </c>
      <c r="AW41" s="107">
        <f>_xlfn.IFNA($M41/VLOOKUP($BT41,'Unit information'!$A$2:$K$29,5,FALSE)*U41,0)*(1+$E$9)</f>
        <v>0</v>
      </c>
      <c r="AX41" s="107">
        <f>_xlfn.IFNA($M41/VLOOKUP($BU41,'Unit information'!$A$2:$K$29,6,FALSE)*V41,0)*(1+$E$9)</f>
        <v>0</v>
      </c>
      <c r="AY41" s="107">
        <f>_xlfn.IFNA($M41/VLOOKUP($BU41,'Unit information'!$A$2:$K$29,7,FALSE)*W41,0)*(1+$E$9)</f>
        <v>0</v>
      </c>
      <c r="AZ41" s="107">
        <f>_xlfn.IFNA($M41/VLOOKUP($BU41,'Unit information'!$A$2:$K$29,8,FALSE)*X41,0)*(1+$E$9)</f>
        <v>0</v>
      </c>
      <c r="BA41" s="107">
        <f>_xlfn.IFNA($M41/VLOOKUP($BU41,'Unit information'!$A$2:$K$29,9,FALSE)*Y41,0)*(1+$E$9)</f>
        <v>0</v>
      </c>
      <c r="BB41" s="107">
        <f>_xlfn.IFNA($M41/VLOOKUP($BV41,'Unit information'!$A$2:$K$29,10,FALSE)*Z41,0)*(1+$E$9)</f>
        <v>0</v>
      </c>
      <c r="BC41" s="108">
        <f>_xlfn.IFNA($M41/VLOOKUP($BV41,'Unit information'!$A$2:$K$29,11,FALSE)*AA41,0)*(1+$E$9)</f>
        <v>0</v>
      </c>
      <c r="BD41" s="106">
        <f t="shared" si="12"/>
        <v>0</v>
      </c>
      <c r="BE41" s="107">
        <f t="shared" si="13"/>
        <v>0</v>
      </c>
      <c r="BF41" s="108">
        <f t="shared" si="14"/>
        <v>0</v>
      </c>
      <c r="BG41" s="25" t="e">
        <f t="shared" si="15"/>
        <v>#N/A</v>
      </c>
      <c r="BH41" s="25" t="e">
        <f t="shared" si="16"/>
        <v>#N/A</v>
      </c>
      <c r="BI41" s="25" t="e">
        <f t="shared" si="17"/>
        <v>#N/A</v>
      </c>
      <c r="BJ41" s="27" t="e">
        <f t="shared" si="18"/>
        <v>#N/A</v>
      </c>
      <c r="BK41" s="18" t="e">
        <f t="shared" si="19"/>
        <v>#N/A</v>
      </c>
      <c r="BL41" s="18" t="e">
        <f t="shared" si="20"/>
        <v>#N/A</v>
      </c>
      <c r="BM41" s="28" t="e">
        <f t="shared" si="84"/>
        <v>#N/A</v>
      </c>
      <c r="BN41" s="33">
        <f>HLOOKUP("maximum population",Miscelaneous!$C$1:$C$33,CH41+3,FALSE)</f>
        <v>240</v>
      </c>
      <c r="BO41" s="14">
        <f t="shared" si="36"/>
        <v>32</v>
      </c>
      <c r="BP41" s="14">
        <f t="shared" si="37"/>
        <v>0</v>
      </c>
      <c r="BQ41" s="14">
        <f t="shared" si="38"/>
        <v>208</v>
      </c>
      <c r="BR41" s="34" t="e">
        <f>HLOOKUP(J41,Villagers!$B$1:$V$33,L41+3,FALSE)-HLOOKUP(J41,Villagers!$B$1:$V$33,L41+2,FALSE)</f>
        <v>#N/A</v>
      </c>
      <c r="BS41" s="49">
        <f t="shared" si="39"/>
        <v>1</v>
      </c>
      <c r="BT41" s="50">
        <f t="shared" si="40"/>
        <v>0</v>
      </c>
      <c r="BU41" s="50">
        <f t="shared" si="41"/>
        <v>0</v>
      </c>
      <c r="BV41" s="50">
        <f t="shared" si="42"/>
        <v>0</v>
      </c>
      <c r="BW41" s="50">
        <f t="shared" si="43"/>
        <v>0</v>
      </c>
      <c r="BX41" s="50">
        <f t="shared" si="44"/>
        <v>0</v>
      </c>
      <c r="BY41" s="50">
        <f t="shared" si="44"/>
        <v>0</v>
      </c>
      <c r="BZ41" s="50">
        <f t="shared" si="45"/>
        <v>0</v>
      </c>
      <c r="CA41" s="50">
        <f t="shared" si="46"/>
        <v>0</v>
      </c>
      <c r="CB41" s="50">
        <f t="shared" si="47"/>
        <v>1</v>
      </c>
      <c r="CC41" s="50">
        <f t="shared" si="48"/>
        <v>0</v>
      </c>
      <c r="CD41" s="50">
        <f t="shared" si="49"/>
        <v>0</v>
      </c>
      <c r="CE41" s="50">
        <f t="shared" si="50"/>
        <v>1</v>
      </c>
      <c r="CF41" s="50">
        <f t="shared" si="51"/>
        <v>1</v>
      </c>
      <c r="CG41" s="50">
        <f t="shared" si="52"/>
        <v>1</v>
      </c>
      <c r="CH41" s="50">
        <f t="shared" si="53"/>
        <v>1</v>
      </c>
      <c r="CI41" s="50">
        <f t="shared" si="54"/>
        <v>1</v>
      </c>
      <c r="CJ41" s="50">
        <f t="shared" si="55"/>
        <v>1</v>
      </c>
      <c r="CK41" s="50">
        <f t="shared" si="56"/>
        <v>0</v>
      </c>
      <c r="CL41" s="50">
        <f t="shared" si="55"/>
        <v>0</v>
      </c>
      <c r="CM41" s="51">
        <f t="shared" si="57"/>
        <v>0</v>
      </c>
      <c r="CN41" s="33">
        <f>ROUND(IF(BS41=0,0,HLOOKUP(BS$14,Villagers!$B$1:$V$33,BS41+3,FALSE)),)</f>
        <v>5</v>
      </c>
      <c r="CO41" s="14">
        <f>ROUND(IF(BT41=0,0,HLOOKUP(BT$14,Villagers!$B$1:$V$33,BT41+3,FALSE)),)</f>
        <v>0</v>
      </c>
      <c r="CP41" s="14">
        <f>ROUND(IF(BU41=0,0,HLOOKUP(BU$14,Villagers!$B$1:$V$33,BU41+3,FALSE)),)</f>
        <v>0</v>
      </c>
      <c r="CQ41" s="14">
        <f>ROUND(IF(BV41=0,0,HLOOKUP(BV$14,Villagers!$B$1:$V$33,BV41+3,FALSE)),)</f>
        <v>0</v>
      </c>
      <c r="CR41" s="14">
        <f>ROUND(IF(BW41=0,0,HLOOKUP(BW$14,Villagers!$B$1:$V$33,BW41+3,FALSE)),)</f>
        <v>0</v>
      </c>
      <c r="CS41" s="14">
        <f>ROUND(IF(BX41=0,0,HLOOKUP(BX$14,Villagers!$B$1:$V$33,BX41+3,FALSE)),)</f>
        <v>0</v>
      </c>
      <c r="CT41" s="14">
        <f>ROUND(IF(BY41=0,0,HLOOKUP(BY$14,Villagers!$B$1:$V$33,BY41+3,FALSE)),)</f>
        <v>0</v>
      </c>
      <c r="CU41" s="14">
        <f>ROUND(IF(BZ41=0,0,HLOOKUP(BZ$14,Villagers!$B$1:$V$33,BZ41+3,FALSE)),)</f>
        <v>0</v>
      </c>
      <c r="CV41" s="14">
        <f>ROUND(IF(CA41=0,0,HLOOKUP(CA$14,Villagers!$B$1:$V$33,CA41+3,FALSE)),)</f>
        <v>0</v>
      </c>
      <c r="CW41" s="14">
        <f>ROUND(IF(CB41=0,0,HLOOKUP(CB$14,Villagers!$B$1:$V$33,CB41+3,FALSE)),)</f>
        <v>0</v>
      </c>
      <c r="CX41" s="14">
        <f>ROUND(IF(CC41=0,0,HLOOKUP(CC$14,Villagers!$B$1:$V$33,CC41+3,FALSE)),)</f>
        <v>0</v>
      </c>
      <c r="CY41" s="14">
        <f>ROUND(IF(CD41=0,0,HLOOKUP(CD$14,Villagers!$B$1:$V$33,CD41+3,FALSE)),)</f>
        <v>0</v>
      </c>
      <c r="CZ41" s="14">
        <f>ROUND(IF(CE41=0,0,HLOOKUP(CE$14,Villagers!$B$1:$V$33,CE41+3,FALSE)),)</f>
        <v>5</v>
      </c>
      <c r="DA41" s="14">
        <f>ROUND(IF(CF41=0,0,HLOOKUP(CF$14,Villagers!$B$1:$V$33,CF41+3,FALSE)),)</f>
        <v>10</v>
      </c>
      <c r="DB41" s="14">
        <f>ROUND(IF(CG41=0,0,HLOOKUP(CG$14,Villagers!$B$1:$V$33,CG41+3,FALSE)),)</f>
        <v>10</v>
      </c>
      <c r="DC41" s="14">
        <f>ROUND(IF(CH41=0,0,HLOOKUP(CH$14,Villagers!$B$1:$V$33,CH41+3,FALSE)),)</f>
        <v>0</v>
      </c>
      <c r="DD41" s="14">
        <f>ROUND(IF(CI41=0,0,HLOOKUP(CI$14,Villagers!$B$1:$V$33,CI41+3,FALSE)),)</f>
        <v>0</v>
      </c>
      <c r="DE41" s="14">
        <f>ROUND(IF(CJ41=0,0,HLOOKUP(CJ$14,Villagers!$B$1:$V$33,CJ41+3,FALSE)),)</f>
        <v>2</v>
      </c>
      <c r="DF41" s="370">
        <f>ROUND(IF(CK41=0,0,HLOOKUP(CK$14,Villagers!$B$1:$V$33,CK41+3,FALSE)),)</f>
        <v>0</v>
      </c>
      <c r="DG41" s="370">
        <f>ROUND(IF(CL41=0,0,HLOOKUP(CL$14,Villagers!$B$1:$V$33,CL41+3,FALSE)),)</f>
        <v>0</v>
      </c>
      <c r="DH41" s="34">
        <f>ROUND(IF(CM41=0,0,HLOOKUP(CM$14,Villagers!$B$1:$V$33,CM41+3,FALSE)),)</f>
        <v>0</v>
      </c>
      <c r="DI41" s="109">
        <f t="shared" si="73"/>
        <v>0</v>
      </c>
      <c r="DJ41" s="50">
        <f t="shared" si="74"/>
        <v>0</v>
      </c>
      <c r="DK41" s="50">
        <f t="shared" si="75"/>
        <v>0</v>
      </c>
      <c r="DL41" s="50">
        <f t="shared" si="76"/>
        <v>0</v>
      </c>
      <c r="DM41" s="50">
        <f t="shared" si="77"/>
        <v>0</v>
      </c>
      <c r="DN41" s="50">
        <f t="shared" si="78"/>
        <v>0</v>
      </c>
      <c r="DO41" s="50">
        <f t="shared" si="79"/>
        <v>0</v>
      </c>
      <c r="DP41" s="50">
        <f t="shared" si="80"/>
        <v>0</v>
      </c>
      <c r="DQ41" s="50">
        <f t="shared" si="59"/>
        <v>0</v>
      </c>
      <c r="DR41" s="50">
        <f t="shared" si="60"/>
        <v>0</v>
      </c>
      <c r="DS41" s="96">
        <f>Miscelaneous!$D$4*Miscelaneous!$D$2^($CI41-1)</f>
        <v>1000</v>
      </c>
      <c r="DT41" s="333">
        <f t="shared" si="61"/>
        <v>1</v>
      </c>
      <c r="DU41" s="81">
        <v>1</v>
      </c>
      <c r="DV41" s="79">
        <f t="shared" si="62"/>
        <v>0</v>
      </c>
      <c r="DW41" s="79">
        <f t="shared" si="23"/>
        <v>0</v>
      </c>
      <c r="DX41" s="79">
        <f t="shared" si="63"/>
        <v>0</v>
      </c>
      <c r="DY41" s="79">
        <v>1</v>
      </c>
      <c r="DZ41" s="79">
        <f t="shared" si="24"/>
        <v>0</v>
      </c>
      <c r="EA41" s="79">
        <f t="shared" si="64"/>
        <v>0</v>
      </c>
      <c r="EB41" s="79">
        <f t="shared" si="65"/>
        <v>0</v>
      </c>
      <c r="EC41" s="79">
        <f t="shared" si="66"/>
        <v>0</v>
      </c>
      <c r="ED41" s="79">
        <v>1</v>
      </c>
      <c r="EE41" s="79">
        <v>1</v>
      </c>
      <c r="EF41" s="79">
        <f t="shared" si="67"/>
        <v>0</v>
      </c>
      <c r="EG41" s="79">
        <v>1</v>
      </c>
      <c r="EH41" s="79">
        <v>1</v>
      </c>
      <c r="EI41" s="79">
        <v>1</v>
      </c>
      <c r="EJ41" s="79">
        <v>1</v>
      </c>
      <c r="EK41" s="79">
        <v>1</v>
      </c>
      <c r="EL41" s="79">
        <v>1</v>
      </c>
      <c r="EM41" s="143">
        <f t="shared" si="68"/>
        <v>0</v>
      </c>
      <c r="EN41" s="143">
        <f t="shared" si="69"/>
        <v>0</v>
      </c>
      <c r="EO41" s="82">
        <f t="shared" si="70"/>
        <v>0</v>
      </c>
    </row>
    <row r="42" spans="1:145" x14ac:dyDescent="0.25">
      <c r="A42">
        <v>28</v>
      </c>
      <c r="B42" s="172" t="e">
        <f t="shared" si="25"/>
        <v>#N/A</v>
      </c>
      <c r="C42" s="121" t="e">
        <f t="shared" si="0"/>
        <v>#N/A</v>
      </c>
      <c r="D42" s="122" t="e">
        <f t="shared" si="1"/>
        <v>#N/A</v>
      </c>
      <c r="E42" s="122" t="e">
        <f t="shared" si="2"/>
        <v>#N/A</v>
      </c>
      <c r="F42" s="176" t="e">
        <f t="shared" si="3"/>
        <v>#N/A</v>
      </c>
      <c r="G42" s="121">
        <f t="shared" si="26"/>
        <v>208</v>
      </c>
      <c r="H42" s="176" t="e">
        <f t="shared" si="27"/>
        <v>#N/A</v>
      </c>
      <c r="I42" s="48">
        <v>1</v>
      </c>
      <c r="J42" s="39"/>
      <c r="K42" s="350">
        <v>1</v>
      </c>
      <c r="L42" s="34" t="e">
        <f t="shared" si="4"/>
        <v>#N/A</v>
      </c>
      <c r="M42" s="38" t="e">
        <f>(HLOOKUP(J42,'Construction Times'!$B$3:$W$34,L42+2,FALSE)*HLOOKUP("hq modifier",'Construction Times'!$W$3:$W$34,BS42+2,FALSE))*(1-$H$9)</f>
        <v>#N/A</v>
      </c>
      <c r="N42" s="443" t="e">
        <f t="shared" si="28"/>
        <v>#N/A</v>
      </c>
      <c r="O42" s="444"/>
      <c r="P42" s="447" t="e">
        <f t="shared" si="29"/>
        <v>#N/A</v>
      </c>
      <c r="Q42" s="448"/>
      <c r="R42" s="103">
        <f t="shared" si="71"/>
        <v>0</v>
      </c>
      <c r="S42" s="104">
        <f t="shared" si="71"/>
        <v>0</v>
      </c>
      <c r="T42" s="104">
        <f t="shared" si="72"/>
        <v>0</v>
      </c>
      <c r="U42" s="104">
        <f t="shared" si="31"/>
        <v>0</v>
      </c>
      <c r="V42" s="104">
        <f t="shared" si="31"/>
        <v>9.9999999999999995E-8</v>
      </c>
      <c r="W42" s="104">
        <f t="shared" si="31"/>
        <v>0</v>
      </c>
      <c r="X42" s="104">
        <f t="shared" si="31"/>
        <v>0</v>
      </c>
      <c r="Y42" s="104">
        <f t="shared" si="31"/>
        <v>9.9999999999999995E-8</v>
      </c>
      <c r="Z42" s="104">
        <f t="shared" si="31"/>
        <v>9.9999999999999995E-8</v>
      </c>
      <c r="AA42" s="105">
        <f t="shared" si="31"/>
        <v>9.9999999999999995E-8</v>
      </c>
      <c r="AB42" s="101" t="e">
        <f>$DT42*HLOOKUP($J42,'Construction Costs (timber)'!$B$1:$V$32,'Construction Planner'!$L42+2,FALSE)</f>
        <v>#N/A</v>
      </c>
      <c r="AC42" s="14" t="e">
        <f>$DT42*HLOOKUP($J42,'Construction Costs (clay)'!$B$1:$V$32,'Construction Planner'!$L42+2,FALSE)</f>
        <v>#N/A</v>
      </c>
      <c r="AD42" s="14" t="e">
        <f>$DT42*HLOOKUP($J42,'Construction Costs (iron)'!$B$1:$V$32,'Construction Planner'!$L42+2,FALSE)</f>
        <v>#N/A</v>
      </c>
      <c r="AE42" s="34" t="e">
        <f t="shared" si="81"/>
        <v>#N/A</v>
      </c>
      <c r="AF42" s="33" t="e">
        <f t="shared" si="5"/>
        <v>#N/A</v>
      </c>
      <c r="AG42" s="14" t="e">
        <f t="shared" si="6"/>
        <v>#N/A</v>
      </c>
      <c r="AH42" s="14" t="e">
        <f t="shared" si="7"/>
        <v>#N/A</v>
      </c>
      <c r="AI42" s="34" t="e">
        <f t="shared" si="82"/>
        <v>#N/A</v>
      </c>
      <c r="AJ42" s="49" t="e">
        <f t="shared" si="32"/>
        <v>#N/A</v>
      </c>
      <c r="AK42" s="49" t="e">
        <f t="shared" si="33"/>
        <v>#N/A</v>
      </c>
      <c r="AL42" s="49" t="e">
        <f t="shared" si="34"/>
        <v>#N/A</v>
      </c>
      <c r="AM42" s="25">
        <f t="shared" si="8"/>
        <v>30</v>
      </c>
      <c r="AN42" s="25">
        <f t="shared" si="9"/>
        <v>30</v>
      </c>
      <c r="AO42" s="25">
        <f t="shared" si="10"/>
        <v>30</v>
      </c>
      <c r="AP42" s="52" t="e">
        <f t="shared" si="35"/>
        <v>#N/A</v>
      </c>
      <c r="AQ42" s="53" t="e">
        <f t="shared" si="35"/>
        <v>#N/A</v>
      </c>
      <c r="AR42" s="54" t="e">
        <f t="shared" si="35"/>
        <v>#N/A</v>
      </c>
      <c r="AS42" s="316">
        <f t="shared" si="83"/>
        <v>0</v>
      </c>
      <c r="AT42" s="106">
        <f>_xlfn.IFNA($M42/VLOOKUP($BT42,'Unit information'!$A$2:$K$29,2,FALSE)*R42,0)*(1+$E$9)</f>
        <v>0</v>
      </c>
      <c r="AU42" s="107">
        <f>_xlfn.IFNA($M42/VLOOKUP($BT42,'Unit information'!$A$2:$K$29,3,FALSE)*S42,0)*(1+$E$9)</f>
        <v>0</v>
      </c>
      <c r="AV42" s="107">
        <f>_xlfn.IFNA($M42/VLOOKUP($BT42,'Unit information'!$A$2:$K$29,4,FALSE)*T42,0)*(1+$E$9)</f>
        <v>0</v>
      </c>
      <c r="AW42" s="107">
        <f>_xlfn.IFNA($M42/VLOOKUP($BT42,'Unit information'!$A$2:$K$29,5,FALSE)*U42,0)*(1+$E$9)</f>
        <v>0</v>
      </c>
      <c r="AX42" s="107">
        <f>_xlfn.IFNA($M42/VLOOKUP($BU42,'Unit information'!$A$2:$K$29,6,FALSE)*V42,0)*(1+$E$9)</f>
        <v>0</v>
      </c>
      <c r="AY42" s="107">
        <f>_xlfn.IFNA($M42/VLOOKUP($BU42,'Unit information'!$A$2:$K$29,7,FALSE)*W42,0)*(1+$E$9)</f>
        <v>0</v>
      </c>
      <c r="AZ42" s="107">
        <f>_xlfn.IFNA($M42/VLOOKUP($BU42,'Unit information'!$A$2:$K$29,8,FALSE)*X42,0)*(1+$E$9)</f>
        <v>0</v>
      </c>
      <c r="BA42" s="107">
        <f>_xlfn.IFNA($M42/VLOOKUP($BU42,'Unit information'!$A$2:$K$29,9,FALSE)*Y42,0)*(1+$E$9)</f>
        <v>0</v>
      </c>
      <c r="BB42" s="107">
        <f>_xlfn.IFNA($M42/VLOOKUP($BV42,'Unit information'!$A$2:$K$29,10,FALSE)*Z42,0)*(1+$E$9)</f>
        <v>0</v>
      </c>
      <c r="BC42" s="108">
        <f>_xlfn.IFNA($M42/VLOOKUP($BV42,'Unit information'!$A$2:$K$29,11,FALSE)*AA42,0)*(1+$E$9)</f>
        <v>0</v>
      </c>
      <c r="BD42" s="106">
        <f t="shared" si="12"/>
        <v>0</v>
      </c>
      <c r="BE42" s="107">
        <f t="shared" si="13"/>
        <v>0</v>
      </c>
      <c r="BF42" s="108">
        <f t="shared" si="14"/>
        <v>0</v>
      </c>
      <c r="BG42" s="25" t="e">
        <f t="shared" si="15"/>
        <v>#N/A</v>
      </c>
      <c r="BH42" s="25" t="e">
        <f t="shared" si="16"/>
        <v>#N/A</v>
      </c>
      <c r="BI42" s="25" t="e">
        <f t="shared" si="17"/>
        <v>#N/A</v>
      </c>
      <c r="BJ42" s="27" t="e">
        <f t="shared" si="18"/>
        <v>#N/A</v>
      </c>
      <c r="BK42" s="18" t="e">
        <f t="shared" si="19"/>
        <v>#N/A</v>
      </c>
      <c r="BL42" s="18" t="e">
        <f t="shared" si="20"/>
        <v>#N/A</v>
      </c>
      <c r="BM42" s="28" t="e">
        <f t="shared" si="84"/>
        <v>#N/A</v>
      </c>
      <c r="BN42" s="33">
        <f>HLOOKUP("maximum population",Miscelaneous!$C$1:$C$33,CH42+3,FALSE)</f>
        <v>240</v>
      </c>
      <c r="BO42" s="14">
        <f t="shared" si="36"/>
        <v>32</v>
      </c>
      <c r="BP42" s="14">
        <f t="shared" si="37"/>
        <v>0</v>
      </c>
      <c r="BQ42" s="14">
        <f t="shared" si="38"/>
        <v>208</v>
      </c>
      <c r="BR42" s="34" t="e">
        <f>HLOOKUP(J42,Villagers!$B$1:$V$33,L42+3,FALSE)-HLOOKUP(J42,Villagers!$B$1:$V$33,L42+2,FALSE)</f>
        <v>#N/A</v>
      </c>
      <c r="BS42" s="49">
        <f t="shared" si="39"/>
        <v>1</v>
      </c>
      <c r="BT42" s="50">
        <f t="shared" si="40"/>
        <v>0</v>
      </c>
      <c r="BU42" s="50">
        <f t="shared" si="41"/>
        <v>0</v>
      </c>
      <c r="BV42" s="50">
        <f t="shared" si="42"/>
        <v>0</v>
      </c>
      <c r="BW42" s="50">
        <f t="shared" si="43"/>
        <v>0</v>
      </c>
      <c r="BX42" s="50">
        <f t="shared" si="44"/>
        <v>0</v>
      </c>
      <c r="BY42" s="50">
        <f t="shared" si="44"/>
        <v>0</v>
      </c>
      <c r="BZ42" s="50">
        <f t="shared" si="45"/>
        <v>0</v>
      </c>
      <c r="CA42" s="50">
        <f t="shared" si="46"/>
        <v>0</v>
      </c>
      <c r="CB42" s="50">
        <f t="shared" si="47"/>
        <v>1</v>
      </c>
      <c r="CC42" s="50">
        <f t="shared" si="48"/>
        <v>0</v>
      </c>
      <c r="CD42" s="50">
        <f t="shared" si="49"/>
        <v>0</v>
      </c>
      <c r="CE42" s="50">
        <f t="shared" si="50"/>
        <v>1</v>
      </c>
      <c r="CF42" s="50">
        <f t="shared" si="51"/>
        <v>1</v>
      </c>
      <c r="CG42" s="50">
        <f t="shared" si="52"/>
        <v>1</v>
      </c>
      <c r="CH42" s="50">
        <f t="shared" si="53"/>
        <v>1</v>
      </c>
      <c r="CI42" s="50">
        <f t="shared" si="54"/>
        <v>1</v>
      </c>
      <c r="CJ42" s="50">
        <f t="shared" si="55"/>
        <v>1</v>
      </c>
      <c r="CK42" s="50">
        <f t="shared" si="56"/>
        <v>0</v>
      </c>
      <c r="CL42" s="50">
        <f t="shared" si="55"/>
        <v>0</v>
      </c>
      <c r="CM42" s="51">
        <f t="shared" si="57"/>
        <v>0</v>
      </c>
      <c r="CN42" s="33">
        <f>ROUND(IF(BS42=0,0,HLOOKUP(BS$14,Villagers!$B$1:$V$33,BS42+3,FALSE)),)</f>
        <v>5</v>
      </c>
      <c r="CO42" s="14">
        <f>ROUND(IF(BT42=0,0,HLOOKUP(BT$14,Villagers!$B$1:$V$33,BT42+3,FALSE)),)</f>
        <v>0</v>
      </c>
      <c r="CP42" s="14">
        <f>ROUND(IF(BU42=0,0,HLOOKUP(BU$14,Villagers!$B$1:$V$33,BU42+3,FALSE)),)</f>
        <v>0</v>
      </c>
      <c r="CQ42" s="14">
        <f>ROUND(IF(BV42=0,0,HLOOKUP(BV$14,Villagers!$B$1:$V$33,BV42+3,FALSE)),)</f>
        <v>0</v>
      </c>
      <c r="CR42" s="14">
        <f>ROUND(IF(BW42=0,0,HLOOKUP(BW$14,Villagers!$B$1:$V$33,BW42+3,FALSE)),)</f>
        <v>0</v>
      </c>
      <c r="CS42" s="14">
        <f>ROUND(IF(BX42=0,0,HLOOKUP(BX$14,Villagers!$B$1:$V$33,BX42+3,FALSE)),)</f>
        <v>0</v>
      </c>
      <c r="CT42" s="14">
        <f>ROUND(IF(BY42=0,0,HLOOKUP(BY$14,Villagers!$B$1:$V$33,BY42+3,FALSE)),)</f>
        <v>0</v>
      </c>
      <c r="CU42" s="14">
        <f>ROUND(IF(BZ42=0,0,HLOOKUP(BZ$14,Villagers!$B$1:$V$33,BZ42+3,FALSE)),)</f>
        <v>0</v>
      </c>
      <c r="CV42" s="14">
        <f>ROUND(IF(CA42=0,0,HLOOKUP(CA$14,Villagers!$B$1:$V$33,CA42+3,FALSE)),)</f>
        <v>0</v>
      </c>
      <c r="CW42" s="14">
        <f>ROUND(IF(CB42=0,0,HLOOKUP(CB$14,Villagers!$B$1:$V$33,CB42+3,FALSE)),)</f>
        <v>0</v>
      </c>
      <c r="CX42" s="14">
        <f>ROUND(IF(CC42=0,0,HLOOKUP(CC$14,Villagers!$B$1:$V$33,CC42+3,FALSE)),)</f>
        <v>0</v>
      </c>
      <c r="CY42" s="14">
        <f>ROUND(IF(CD42=0,0,HLOOKUP(CD$14,Villagers!$B$1:$V$33,CD42+3,FALSE)),)</f>
        <v>0</v>
      </c>
      <c r="CZ42" s="14">
        <f>ROUND(IF(CE42=0,0,HLOOKUP(CE$14,Villagers!$B$1:$V$33,CE42+3,FALSE)),)</f>
        <v>5</v>
      </c>
      <c r="DA42" s="14">
        <f>ROUND(IF(CF42=0,0,HLOOKUP(CF$14,Villagers!$B$1:$V$33,CF42+3,FALSE)),)</f>
        <v>10</v>
      </c>
      <c r="DB42" s="14">
        <f>ROUND(IF(CG42=0,0,HLOOKUP(CG$14,Villagers!$B$1:$V$33,CG42+3,FALSE)),)</f>
        <v>10</v>
      </c>
      <c r="DC42" s="14">
        <f>ROUND(IF(CH42=0,0,HLOOKUP(CH$14,Villagers!$B$1:$V$33,CH42+3,FALSE)),)</f>
        <v>0</v>
      </c>
      <c r="DD42" s="14">
        <f>ROUND(IF(CI42=0,0,HLOOKUP(CI$14,Villagers!$B$1:$V$33,CI42+3,FALSE)),)</f>
        <v>0</v>
      </c>
      <c r="DE42" s="14">
        <f>ROUND(IF(CJ42=0,0,HLOOKUP(CJ$14,Villagers!$B$1:$V$33,CJ42+3,FALSE)),)</f>
        <v>2</v>
      </c>
      <c r="DF42" s="370">
        <f>ROUND(IF(CK42=0,0,HLOOKUP(CK$14,Villagers!$B$1:$V$33,CK42+3,FALSE)),)</f>
        <v>0</v>
      </c>
      <c r="DG42" s="370">
        <f>ROUND(IF(CL42=0,0,HLOOKUP(CL$14,Villagers!$B$1:$V$33,CL42+3,FALSE)),)</f>
        <v>0</v>
      </c>
      <c r="DH42" s="34">
        <f>ROUND(IF(CM42=0,0,HLOOKUP(CM$14,Villagers!$B$1:$V$33,CM42+3,FALSE)),)</f>
        <v>0</v>
      </c>
      <c r="DI42" s="109">
        <f t="shared" si="73"/>
        <v>0</v>
      </c>
      <c r="DJ42" s="50">
        <f t="shared" si="74"/>
        <v>0</v>
      </c>
      <c r="DK42" s="50">
        <f t="shared" si="75"/>
        <v>0</v>
      </c>
      <c r="DL42" s="50">
        <f t="shared" si="76"/>
        <v>0</v>
      </c>
      <c r="DM42" s="50">
        <f t="shared" si="77"/>
        <v>0</v>
      </c>
      <c r="DN42" s="50">
        <f t="shared" si="78"/>
        <v>0</v>
      </c>
      <c r="DO42" s="50">
        <f t="shared" si="79"/>
        <v>0</v>
      </c>
      <c r="DP42" s="50">
        <f t="shared" si="80"/>
        <v>0</v>
      </c>
      <c r="DQ42" s="50">
        <f t="shared" si="59"/>
        <v>0</v>
      </c>
      <c r="DR42" s="50">
        <f t="shared" si="60"/>
        <v>0</v>
      </c>
      <c r="DS42" s="96">
        <f>Miscelaneous!$D$4*Miscelaneous!$D$2^($CI42-1)</f>
        <v>1000</v>
      </c>
      <c r="DT42" s="333">
        <f t="shared" si="61"/>
        <v>1</v>
      </c>
      <c r="DU42" s="81">
        <v>1</v>
      </c>
      <c r="DV42" s="79">
        <f t="shared" si="62"/>
        <v>0</v>
      </c>
      <c r="DW42" s="79">
        <f t="shared" si="23"/>
        <v>0</v>
      </c>
      <c r="DX42" s="79">
        <f t="shared" si="63"/>
        <v>0</v>
      </c>
      <c r="DY42" s="79">
        <v>1</v>
      </c>
      <c r="DZ42" s="79">
        <f t="shared" si="24"/>
        <v>0</v>
      </c>
      <c r="EA42" s="79">
        <f t="shared" si="64"/>
        <v>0</v>
      </c>
      <c r="EB42" s="79">
        <f t="shared" si="65"/>
        <v>0</v>
      </c>
      <c r="EC42" s="79">
        <f t="shared" si="66"/>
        <v>0</v>
      </c>
      <c r="ED42" s="79">
        <v>1</v>
      </c>
      <c r="EE42" s="79">
        <v>1</v>
      </c>
      <c r="EF42" s="79">
        <f t="shared" si="67"/>
        <v>0</v>
      </c>
      <c r="EG42" s="79">
        <v>1</v>
      </c>
      <c r="EH42" s="79">
        <v>1</v>
      </c>
      <c r="EI42" s="79">
        <v>1</v>
      </c>
      <c r="EJ42" s="79">
        <v>1</v>
      </c>
      <c r="EK42" s="79">
        <v>1</v>
      </c>
      <c r="EL42" s="79">
        <v>1</v>
      </c>
      <c r="EM42" s="143">
        <f t="shared" si="68"/>
        <v>0</v>
      </c>
      <c r="EN42" s="143">
        <f t="shared" si="69"/>
        <v>0</v>
      </c>
      <c r="EO42" s="82">
        <f t="shared" si="70"/>
        <v>0</v>
      </c>
    </row>
    <row r="43" spans="1:145" x14ac:dyDescent="0.25">
      <c r="A43">
        <v>29</v>
      </c>
      <c r="B43" s="172" t="e">
        <f t="shared" si="25"/>
        <v>#N/A</v>
      </c>
      <c r="C43" s="121" t="e">
        <f t="shared" si="0"/>
        <v>#N/A</v>
      </c>
      <c r="D43" s="122" t="e">
        <f t="shared" si="1"/>
        <v>#N/A</v>
      </c>
      <c r="E43" s="122" t="e">
        <f t="shared" si="2"/>
        <v>#N/A</v>
      </c>
      <c r="F43" s="176" t="e">
        <f t="shared" si="3"/>
        <v>#N/A</v>
      </c>
      <c r="G43" s="121">
        <f t="shared" si="26"/>
        <v>208</v>
      </c>
      <c r="H43" s="176" t="e">
        <f t="shared" si="27"/>
        <v>#N/A</v>
      </c>
      <c r="I43" s="48">
        <v>1</v>
      </c>
      <c r="J43" s="39"/>
      <c r="K43" s="350">
        <v>1</v>
      </c>
      <c r="L43" s="34" t="e">
        <f t="shared" si="4"/>
        <v>#N/A</v>
      </c>
      <c r="M43" s="38" t="e">
        <f>(HLOOKUP(J43,'Construction Times'!$B$3:$W$34,L43+2,FALSE)*HLOOKUP("hq modifier",'Construction Times'!$W$3:$W$34,BS43+2,FALSE))*(1-$H$9)</f>
        <v>#N/A</v>
      </c>
      <c r="N43" s="443" t="e">
        <f t="shared" si="28"/>
        <v>#N/A</v>
      </c>
      <c r="O43" s="444"/>
      <c r="P43" s="447" t="e">
        <f t="shared" si="29"/>
        <v>#N/A</v>
      </c>
      <c r="Q43" s="448"/>
      <c r="R43" s="103">
        <f t="shared" si="71"/>
        <v>0</v>
      </c>
      <c r="S43" s="104">
        <f t="shared" si="71"/>
        <v>0</v>
      </c>
      <c r="T43" s="104">
        <f t="shared" si="72"/>
        <v>0</v>
      </c>
      <c r="U43" s="104">
        <f t="shared" si="31"/>
        <v>0</v>
      </c>
      <c r="V43" s="104">
        <f t="shared" si="31"/>
        <v>9.9999999999999995E-8</v>
      </c>
      <c r="W43" s="104">
        <f t="shared" si="31"/>
        <v>0</v>
      </c>
      <c r="X43" s="104">
        <f t="shared" si="31"/>
        <v>0</v>
      </c>
      <c r="Y43" s="104">
        <f t="shared" si="31"/>
        <v>9.9999999999999995E-8</v>
      </c>
      <c r="Z43" s="104">
        <f t="shared" si="31"/>
        <v>9.9999999999999995E-8</v>
      </c>
      <c r="AA43" s="105">
        <f t="shared" si="31"/>
        <v>9.9999999999999995E-8</v>
      </c>
      <c r="AB43" s="101" t="e">
        <f>$DT43*HLOOKUP($J43,'Construction Costs (timber)'!$B$1:$V$32,'Construction Planner'!$L43+2,FALSE)</f>
        <v>#N/A</v>
      </c>
      <c r="AC43" s="14" t="e">
        <f>$DT43*HLOOKUP($J43,'Construction Costs (clay)'!$B$1:$V$32,'Construction Planner'!$L43+2,FALSE)</f>
        <v>#N/A</v>
      </c>
      <c r="AD43" s="14" t="e">
        <f>$DT43*HLOOKUP($J43,'Construction Costs (iron)'!$B$1:$V$32,'Construction Planner'!$L43+2,FALSE)</f>
        <v>#N/A</v>
      </c>
      <c r="AE43" s="34" t="e">
        <f t="shared" si="81"/>
        <v>#N/A</v>
      </c>
      <c r="AF43" s="33" t="e">
        <f t="shared" si="5"/>
        <v>#N/A</v>
      </c>
      <c r="AG43" s="14" t="e">
        <f t="shared" si="6"/>
        <v>#N/A</v>
      </c>
      <c r="AH43" s="14" t="e">
        <f t="shared" si="7"/>
        <v>#N/A</v>
      </c>
      <c r="AI43" s="34" t="e">
        <f t="shared" si="82"/>
        <v>#N/A</v>
      </c>
      <c r="AJ43" s="49" t="e">
        <f t="shared" si="32"/>
        <v>#N/A</v>
      </c>
      <c r="AK43" s="49" t="e">
        <f t="shared" si="33"/>
        <v>#N/A</v>
      </c>
      <c r="AL43" s="49" t="e">
        <f t="shared" si="34"/>
        <v>#N/A</v>
      </c>
      <c r="AM43" s="25">
        <f t="shared" si="8"/>
        <v>30</v>
      </c>
      <c r="AN43" s="25">
        <f t="shared" si="9"/>
        <v>30</v>
      </c>
      <c r="AO43" s="25">
        <f t="shared" si="10"/>
        <v>30</v>
      </c>
      <c r="AP43" s="52" t="e">
        <f t="shared" si="35"/>
        <v>#N/A</v>
      </c>
      <c r="AQ43" s="53" t="e">
        <f t="shared" si="35"/>
        <v>#N/A</v>
      </c>
      <c r="AR43" s="54" t="e">
        <f t="shared" si="35"/>
        <v>#N/A</v>
      </c>
      <c r="AS43" s="316">
        <f t="shared" si="83"/>
        <v>0</v>
      </c>
      <c r="AT43" s="106">
        <f>_xlfn.IFNA($M43/VLOOKUP($BT43,'Unit information'!$A$2:$K$29,2,FALSE)*R43,0)*(1+$E$9)</f>
        <v>0</v>
      </c>
      <c r="AU43" s="107">
        <f>_xlfn.IFNA($M43/VLOOKUP($BT43,'Unit information'!$A$2:$K$29,3,FALSE)*S43,0)*(1+$E$9)</f>
        <v>0</v>
      </c>
      <c r="AV43" s="107">
        <f>_xlfn.IFNA($M43/VLOOKUP($BT43,'Unit information'!$A$2:$K$29,4,FALSE)*T43,0)*(1+$E$9)</f>
        <v>0</v>
      </c>
      <c r="AW43" s="107">
        <f>_xlfn.IFNA($M43/VLOOKUP($BT43,'Unit information'!$A$2:$K$29,5,FALSE)*U43,0)*(1+$E$9)</f>
        <v>0</v>
      </c>
      <c r="AX43" s="107">
        <f>_xlfn.IFNA($M43/VLOOKUP($BU43,'Unit information'!$A$2:$K$29,6,FALSE)*V43,0)*(1+$E$9)</f>
        <v>0</v>
      </c>
      <c r="AY43" s="107">
        <f>_xlfn.IFNA($M43/VLOOKUP($BU43,'Unit information'!$A$2:$K$29,7,FALSE)*W43,0)*(1+$E$9)</f>
        <v>0</v>
      </c>
      <c r="AZ43" s="107">
        <f>_xlfn.IFNA($M43/VLOOKUP($BU43,'Unit information'!$A$2:$K$29,8,FALSE)*X43,0)*(1+$E$9)</f>
        <v>0</v>
      </c>
      <c r="BA43" s="107">
        <f>_xlfn.IFNA($M43/VLOOKUP($BU43,'Unit information'!$A$2:$K$29,9,FALSE)*Y43,0)*(1+$E$9)</f>
        <v>0</v>
      </c>
      <c r="BB43" s="107">
        <f>_xlfn.IFNA($M43/VLOOKUP($BV43,'Unit information'!$A$2:$K$29,10,FALSE)*Z43,0)*(1+$E$9)</f>
        <v>0</v>
      </c>
      <c r="BC43" s="108">
        <f>_xlfn.IFNA($M43/VLOOKUP($BV43,'Unit information'!$A$2:$K$29,11,FALSE)*AA43,0)*(1+$E$9)</f>
        <v>0</v>
      </c>
      <c r="BD43" s="106">
        <f t="shared" si="12"/>
        <v>0</v>
      </c>
      <c r="BE43" s="107">
        <f t="shared" si="13"/>
        <v>0</v>
      </c>
      <c r="BF43" s="108">
        <f t="shared" si="14"/>
        <v>0</v>
      </c>
      <c r="BG43" s="25" t="e">
        <f t="shared" si="15"/>
        <v>#N/A</v>
      </c>
      <c r="BH43" s="25" t="e">
        <f t="shared" si="16"/>
        <v>#N/A</v>
      </c>
      <c r="BI43" s="25" t="e">
        <f t="shared" si="17"/>
        <v>#N/A</v>
      </c>
      <c r="BJ43" s="27" t="e">
        <f t="shared" si="18"/>
        <v>#N/A</v>
      </c>
      <c r="BK43" s="18" t="e">
        <f t="shared" si="19"/>
        <v>#N/A</v>
      </c>
      <c r="BL43" s="18" t="e">
        <f t="shared" si="20"/>
        <v>#N/A</v>
      </c>
      <c r="BM43" s="28" t="e">
        <f t="shared" si="84"/>
        <v>#N/A</v>
      </c>
      <c r="BN43" s="33">
        <f>HLOOKUP("maximum population",Miscelaneous!$C$1:$C$33,CH43+3,FALSE)</f>
        <v>240</v>
      </c>
      <c r="BO43" s="14">
        <f t="shared" si="36"/>
        <v>32</v>
      </c>
      <c r="BP43" s="14">
        <f t="shared" si="37"/>
        <v>0</v>
      </c>
      <c r="BQ43" s="14">
        <f t="shared" si="38"/>
        <v>208</v>
      </c>
      <c r="BR43" s="34" t="e">
        <f>HLOOKUP(J43,Villagers!$B$1:$V$33,L43+3,FALSE)-HLOOKUP(J43,Villagers!$B$1:$V$33,L43+2,FALSE)</f>
        <v>#N/A</v>
      </c>
      <c r="BS43" s="49">
        <f t="shared" si="39"/>
        <v>1</v>
      </c>
      <c r="BT43" s="50">
        <f t="shared" si="40"/>
        <v>0</v>
      </c>
      <c r="BU43" s="50">
        <f t="shared" si="41"/>
        <v>0</v>
      </c>
      <c r="BV43" s="50">
        <f t="shared" si="42"/>
        <v>0</v>
      </c>
      <c r="BW43" s="50">
        <f t="shared" si="43"/>
        <v>0</v>
      </c>
      <c r="BX43" s="50">
        <f t="shared" si="44"/>
        <v>0</v>
      </c>
      <c r="BY43" s="50">
        <f t="shared" si="44"/>
        <v>0</v>
      </c>
      <c r="BZ43" s="50">
        <f t="shared" si="45"/>
        <v>0</v>
      </c>
      <c r="CA43" s="50">
        <f t="shared" si="46"/>
        <v>0</v>
      </c>
      <c r="CB43" s="50">
        <f t="shared" si="47"/>
        <v>1</v>
      </c>
      <c r="CC43" s="50">
        <f t="shared" si="48"/>
        <v>0</v>
      </c>
      <c r="CD43" s="50">
        <f t="shared" si="49"/>
        <v>0</v>
      </c>
      <c r="CE43" s="50">
        <f t="shared" si="50"/>
        <v>1</v>
      </c>
      <c r="CF43" s="50">
        <f t="shared" si="51"/>
        <v>1</v>
      </c>
      <c r="CG43" s="50">
        <f t="shared" si="52"/>
        <v>1</v>
      </c>
      <c r="CH43" s="50">
        <f t="shared" si="53"/>
        <v>1</v>
      </c>
      <c r="CI43" s="50">
        <f t="shared" si="54"/>
        <v>1</v>
      </c>
      <c r="CJ43" s="50">
        <f t="shared" si="55"/>
        <v>1</v>
      </c>
      <c r="CK43" s="50">
        <f t="shared" si="56"/>
        <v>0</v>
      </c>
      <c r="CL43" s="50">
        <f t="shared" si="55"/>
        <v>0</v>
      </c>
      <c r="CM43" s="51">
        <f t="shared" si="57"/>
        <v>0</v>
      </c>
      <c r="CN43" s="33">
        <f>ROUND(IF(BS43=0,0,HLOOKUP(BS$14,Villagers!$B$1:$V$33,BS43+3,FALSE)),)</f>
        <v>5</v>
      </c>
      <c r="CO43" s="14">
        <f>ROUND(IF(BT43=0,0,HLOOKUP(BT$14,Villagers!$B$1:$V$33,BT43+3,FALSE)),)</f>
        <v>0</v>
      </c>
      <c r="CP43" s="14">
        <f>ROUND(IF(BU43=0,0,HLOOKUP(BU$14,Villagers!$B$1:$V$33,BU43+3,FALSE)),)</f>
        <v>0</v>
      </c>
      <c r="CQ43" s="14">
        <f>ROUND(IF(BV43=0,0,HLOOKUP(BV$14,Villagers!$B$1:$V$33,BV43+3,FALSE)),)</f>
        <v>0</v>
      </c>
      <c r="CR43" s="14">
        <f>ROUND(IF(BW43=0,0,HLOOKUP(BW$14,Villagers!$B$1:$V$33,BW43+3,FALSE)),)</f>
        <v>0</v>
      </c>
      <c r="CS43" s="14">
        <f>ROUND(IF(BX43=0,0,HLOOKUP(BX$14,Villagers!$B$1:$V$33,BX43+3,FALSE)),)</f>
        <v>0</v>
      </c>
      <c r="CT43" s="14">
        <f>ROUND(IF(BY43=0,0,HLOOKUP(BY$14,Villagers!$B$1:$V$33,BY43+3,FALSE)),)</f>
        <v>0</v>
      </c>
      <c r="CU43" s="14">
        <f>ROUND(IF(BZ43=0,0,HLOOKUP(BZ$14,Villagers!$B$1:$V$33,BZ43+3,FALSE)),)</f>
        <v>0</v>
      </c>
      <c r="CV43" s="14">
        <f>ROUND(IF(CA43=0,0,HLOOKUP(CA$14,Villagers!$B$1:$V$33,CA43+3,FALSE)),)</f>
        <v>0</v>
      </c>
      <c r="CW43" s="14">
        <f>ROUND(IF(CB43=0,0,HLOOKUP(CB$14,Villagers!$B$1:$V$33,CB43+3,FALSE)),)</f>
        <v>0</v>
      </c>
      <c r="CX43" s="14">
        <f>ROUND(IF(CC43=0,0,HLOOKUP(CC$14,Villagers!$B$1:$V$33,CC43+3,FALSE)),)</f>
        <v>0</v>
      </c>
      <c r="CY43" s="14">
        <f>ROUND(IF(CD43=0,0,HLOOKUP(CD$14,Villagers!$B$1:$V$33,CD43+3,FALSE)),)</f>
        <v>0</v>
      </c>
      <c r="CZ43" s="14">
        <f>ROUND(IF(CE43=0,0,HLOOKUP(CE$14,Villagers!$B$1:$V$33,CE43+3,FALSE)),)</f>
        <v>5</v>
      </c>
      <c r="DA43" s="14">
        <f>ROUND(IF(CF43=0,0,HLOOKUP(CF$14,Villagers!$B$1:$V$33,CF43+3,FALSE)),)</f>
        <v>10</v>
      </c>
      <c r="DB43" s="14">
        <f>ROUND(IF(CG43=0,0,HLOOKUP(CG$14,Villagers!$B$1:$V$33,CG43+3,FALSE)),)</f>
        <v>10</v>
      </c>
      <c r="DC43" s="14">
        <f>ROUND(IF(CH43=0,0,HLOOKUP(CH$14,Villagers!$B$1:$V$33,CH43+3,FALSE)),)</f>
        <v>0</v>
      </c>
      <c r="DD43" s="14">
        <f>ROUND(IF(CI43=0,0,HLOOKUP(CI$14,Villagers!$B$1:$V$33,CI43+3,FALSE)),)</f>
        <v>0</v>
      </c>
      <c r="DE43" s="14">
        <f>ROUND(IF(CJ43=0,0,HLOOKUP(CJ$14,Villagers!$B$1:$V$33,CJ43+3,FALSE)),)</f>
        <v>2</v>
      </c>
      <c r="DF43" s="370">
        <f>ROUND(IF(CK43=0,0,HLOOKUP(CK$14,Villagers!$B$1:$V$33,CK43+3,FALSE)),)</f>
        <v>0</v>
      </c>
      <c r="DG43" s="370">
        <f>ROUND(IF(CL43=0,0,HLOOKUP(CL$14,Villagers!$B$1:$V$33,CL43+3,FALSE)),)</f>
        <v>0</v>
      </c>
      <c r="DH43" s="34">
        <f>ROUND(IF(CM43=0,0,HLOOKUP(CM$14,Villagers!$B$1:$V$33,CM43+3,FALSE)),)</f>
        <v>0</v>
      </c>
      <c r="DI43" s="109">
        <f t="shared" si="73"/>
        <v>0</v>
      </c>
      <c r="DJ43" s="50">
        <f t="shared" si="74"/>
        <v>0</v>
      </c>
      <c r="DK43" s="50">
        <f t="shared" si="75"/>
        <v>0</v>
      </c>
      <c r="DL43" s="50">
        <f t="shared" si="76"/>
        <v>0</v>
      </c>
      <c r="DM43" s="50">
        <f t="shared" si="77"/>
        <v>0</v>
      </c>
      <c r="DN43" s="50">
        <f t="shared" si="78"/>
        <v>0</v>
      </c>
      <c r="DO43" s="50">
        <f t="shared" si="79"/>
        <v>0</v>
      </c>
      <c r="DP43" s="50">
        <f t="shared" si="80"/>
        <v>0</v>
      </c>
      <c r="DQ43" s="50">
        <f t="shared" si="59"/>
        <v>0</v>
      </c>
      <c r="DR43" s="50">
        <f t="shared" si="60"/>
        <v>0</v>
      </c>
      <c r="DS43" s="96">
        <f>Miscelaneous!$D$4*Miscelaneous!$D$2^($CI43-1)</f>
        <v>1000</v>
      </c>
      <c r="DT43" s="333">
        <f t="shared" si="61"/>
        <v>1</v>
      </c>
      <c r="DU43" s="81">
        <v>1</v>
      </c>
      <c r="DV43" s="79">
        <f t="shared" si="62"/>
        <v>0</v>
      </c>
      <c r="DW43" s="79">
        <f t="shared" si="23"/>
        <v>0</v>
      </c>
      <c r="DX43" s="79">
        <f t="shared" si="63"/>
        <v>0</v>
      </c>
      <c r="DY43" s="79">
        <v>1</v>
      </c>
      <c r="DZ43" s="79">
        <f t="shared" si="24"/>
        <v>0</v>
      </c>
      <c r="EA43" s="79">
        <f t="shared" si="64"/>
        <v>0</v>
      </c>
      <c r="EB43" s="79">
        <f t="shared" si="65"/>
        <v>0</v>
      </c>
      <c r="EC43" s="79">
        <f t="shared" si="66"/>
        <v>0</v>
      </c>
      <c r="ED43" s="79">
        <v>1</v>
      </c>
      <c r="EE43" s="79">
        <v>1</v>
      </c>
      <c r="EF43" s="79">
        <f t="shared" si="67"/>
        <v>0</v>
      </c>
      <c r="EG43" s="79">
        <v>1</v>
      </c>
      <c r="EH43" s="79">
        <v>1</v>
      </c>
      <c r="EI43" s="79">
        <v>1</v>
      </c>
      <c r="EJ43" s="79">
        <v>1</v>
      </c>
      <c r="EK43" s="79">
        <v>1</v>
      </c>
      <c r="EL43" s="79">
        <v>1</v>
      </c>
      <c r="EM43" s="143">
        <f t="shared" si="68"/>
        <v>0</v>
      </c>
      <c r="EN43" s="143">
        <f t="shared" si="69"/>
        <v>0</v>
      </c>
      <c r="EO43" s="82">
        <f t="shared" si="70"/>
        <v>0</v>
      </c>
    </row>
    <row r="44" spans="1:145" x14ac:dyDescent="0.25">
      <c r="A44">
        <v>30</v>
      </c>
      <c r="B44" s="172" t="e">
        <f t="shared" si="25"/>
        <v>#N/A</v>
      </c>
      <c r="C44" s="121" t="e">
        <f t="shared" si="0"/>
        <v>#N/A</v>
      </c>
      <c r="D44" s="122" t="e">
        <f t="shared" si="1"/>
        <v>#N/A</v>
      </c>
      <c r="E44" s="122" t="e">
        <f t="shared" si="2"/>
        <v>#N/A</v>
      </c>
      <c r="F44" s="176" t="e">
        <f t="shared" si="3"/>
        <v>#N/A</v>
      </c>
      <c r="G44" s="121">
        <f t="shared" si="26"/>
        <v>208</v>
      </c>
      <c r="H44" s="176" t="e">
        <f t="shared" si="27"/>
        <v>#N/A</v>
      </c>
      <c r="I44" s="48">
        <v>1</v>
      </c>
      <c r="J44" s="39"/>
      <c r="K44" s="350">
        <v>1</v>
      </c>
      <c r="L44" s="34" t="e">
        <f t="shared" si="4"/>
        <v>#N/A</v>
      </c>
      <c r="M44" s="38" t="e">
        <f>(HLOOKUP(J44,'Construction Times'!$B$3:$W$34,L44+2,FALSE)*HLOOKUP("hq modifier",'Construction Times'!$W$3:$W$34,BS44+2,FALSE))*(1-$H$9)</f>
        <v>#N/A</v>
      </c>
      <c r="N44" s="443" t="e">
        <f t="shared" si="28"/>
        <v>#N/A</v>
      </c>
      <c r="O44" s="444"/>
      <c r="P44" s="447" t="e">
        <f t="shared" si="29"/>
        <v>#N/A</v>
      </c>
      <c r="Q44" s="448"/>
      <c r="R44" s="103">
        <f t="shared" si="71"/>
        <v>0</v>
      </c>
      <c r="S44" s="104">
        <f t="shared" si="71"/>
        <v>0</v>
      </c>
      <c r="T44" s="104">
        <f t="shared" si="72"/>
        <v>0</v>
      </c>
      <c r="U44" s="104">
        <f t="shared" si="31"/>
        <v>0</v>
      </c>
      <c r="V44" s="104">
        <f t="shared" si="31"/>
        <v>9.9999999999999995E-8</v>
      </c>
      <c r="W44" s="104">
        <f>W43</f>
        <v>0</v>
      </c>
      <c r="X44" s="104">
        <f>X43</f>
        <v>0</v>
      </c>
      <c r="Y44" s="104">
        <f>Y43</f>
        <v>9.9999999999999995E-8</v>
      </c>
      <c r="Z44" s="104">
        <f>Z43</f>
        <v>9.9999999999999995E-8</v>
      </c>
      <c r="AA44" s="105">
        <f>AA43</f>
        <v>9.9999999999999995E-8</v>
      </c>
      <c r="AB44" s="101" t="e">
        <f>$DT44*HLOOKUP($J44,'Construction Costs (timber)'!$B$1:$V$32,'Construction Planner'!$L44+2,FALSE)</f>
        <v>#N/A</v>
      </c>
      <c r="AC44" s="14" t="e">
        <f>$DT44*HLOOKUP($J44,'Construction Costs (clay)'!$B$1:$V$32,'Construction Planner'!$L44+2,FALSE)</f>
        <v>#N/A</v>
      </c>
      <c r="AD44" s="14" t="e">
        <f>$DT44*HLOOKUP($J44,'Construction Costs (iron)'!$B$1:$V$32,'Construction Planner'!$L44+2,FALSE)</f>
        <v>#N/A</v>
      </c>
      <c r="AE44" s="34" t="e">
        <f t="shared" si="81"/>
        <v>#N/A</v>
      </c>
      <c r="AF44" s="33" t="e">
        <f t="shared" si="5"/>
        <v>#N/A</v>
      </c>
      <c r="AG44" s="14" t="e">
        <f t="shared" si="6"/>
        <v>#N/A</v>
      </c>
      <c r="AH44" s="14" t="e">
        <f t="shared" si="7"/>
        <v>#N/A</v>
      </c>
      <c r="AI44" s="34" t="e">
        <f t="shared" si="82"/>
        <v>#N/A</v>
      </c>
      <c r="AJ44" s="49" t="e">
        <f t="shared" si="32"/>
        <v>#N/A</v>
      </c>
      <c r="AK44" s="49" t="e">
        <f t="shared" si="33"/>
        <v>#N/A</v>
      </c>
      <c r="AL44" s="49" t="e">
        <f t="shared" si="34"/>
        <v>#N/A</v>
      </c>
      <c r="AM44" s="25">
        <f t="shared" si="8"/>
        <v>30</v>
      </c>
      <c r="AN44" s="25">
        <f t="shared" si="9"/>
        <v>30</v>
      </c>
      <c r="AO44" s="25">
        <f t="shared" si="10"/>
        <v>30</v>
      </c>
      <c r="AP44" s="52" t="e">
        <f t="shared" si="35"/>
        <v>#N/A</v>
      </c>
      <c r="AQ44" s="53" t="e">
        <f t="shared" si="35"/>
        <v>#N/A</v>
      </c>
      <c r="AR44" s="54" t="e">
        <f t="shared" si="35"/>
        <v>#N/A</v>
      </c>
      <c r="AS44" s="316">
        <f t="shared" si="83"/>
        <v>0</v>
      </c>
      <c r="AT44" s="106">
        <f>_xlfn.IFNA($M44/VLOOKUP($BT44,'Unit information'!$A$2:$K$29,2,FALSE)*R44,0)*(1+$E$9)</f>
        <v>0</v>
      </c>
      <c r="AU44" s="107">
        <f>_xlfn.IFNA($M44/VLOOKUP($BT44,'Unit information'!$A$2:$K$29,3,FALSE)*S44,0)*(1+$E$9)</f>
        <v>0</v>
      </c>
      <c r="AV44" s="107">
        <f>_xlfn.IFNA($M44/VLOOKUP($BT44,'Unit information'!$A$2:$K$29,4,FALSE)*T44,0)*(1+$E$9)</f>
        <v>0</v>
      </c>
      <c r="AW44" s="107">
        <f>_xlfn.IFNA($M44/VLOOKUP($BT44,'Unit information'!$A$2:$K$29,5,FALSE)*U44,0)*(1+$E$9)</f>
        <v>0</v>
      </c>
      <c r="AX44" s="107">
        <f>_xlfn.IFNA($M44/VLOOKUP($BU44,'Unit information'!$A$2:$K$29,6,FALSE)*V44,0)*(1+$E$9)</f>
        <v>0</v>
      </c>
      <c r="AY44" s="107">
        <f>_xlfn.IFNA($M44/VLOOKUP($BU44,'Unit information'!$A$2:$K$29,7,FALSE)*W44,0)*(1+$E$9)</f>
        <v>0</v>
      </c>
      <c r="AZ44" s="107">
        <f>_xlfn.IFNA($M44/VLOOKUP($BU44,'Unit information'!$A$2:$K$29,8,FALSE)*X44,0)*(1+$E$9)</f>
        <v>0</v>
      </c>
      <c r="BA44" s="107">
        <f>_xlfn.IFNA($M44/VLOOKUP($BU44,'Unit information'!$A$2:$K$29,9,FALSE)*Y44,0)*(1+$E$9)</f>
        <v>0</v>
      </c>
      <c r="BB44" s="107">
        <f>_xlfn.IFNA($M44/VLOOKUP($BV44,'Unit information'!$A$2:$K$29,10,FALSE)*Z44,0)*(1+$E$9)</f>
        <v>0</v>
      </c>
      <c r="BC44" s="108">
        <f>_xlfn.IFNA($M44/VLOOKUP($BV44,'Unit information'!$A$2:$K$29,11,FALSE)*AA44,0)*(1+$E$9)</f>
        <v>0</v>
      </c>
      <c r="BD44" s="106">
        <f t="shared" si="12"/>
        <v>0</v>
      </c>
      <c r="BE44" s="107">
        <f t="shared" si="13"/>
        <v>0</v>
      </c>
      <c r="BF44" s="108">
        <f t="shared" si="14"/>
        <v>0</v>
      </c>
      <c r="BG44" s="25" t="e">
        <f t="shared" si="15"/>
        <v>#N/A</v>
      </c>
      <c r="BH44" s="25" t="e">
        <f t="shared" si="16"/>
        <v>#N/A</v>
      </c>
      <c r="BI44" s="25" t="e">
        <f t="shared" si="17"/>
        <v>#N/A</v>
      </c>
      <c r="BJ44" s="27" t="e">
        <f t="shared" si="18"/>
        <v>#N/A</v>
      </c>
      <c r="BK44" s="18" t="e">
        <f t="shared" si="19"/>
        <v>#N/A</v>
      </c>
      <c r="BL44" s="18" t="e">
        <f t="shared" si="20"/>
        <v>#N/A</v>
      </c>
      <c r="BM44" s="28" t="e">
        <f t="shared" si="84"/>
        <v>#N/A</v>
      </c>
      <c r="BN44" s="33">
        <f>HLOOKUP("maximum population",Miscelaneous!$C$1:$C$33,CH44+3,FALSE)</f>
        <v>240</v>
      </c>
      <c r="BO44" s="14">
        <f t="shared" si="36"/>
        <v>32</v>
      </c>
      <c r="BP44" s="14">
        <f t="shared" si="37"/>
        <v>0</v>
      </c>
      <c r="BQ44" s="14">
        <f t="shared" si="38"/>
        <v>208</v>
      </c>
      <c r="BR44" s="34" t="e">
        <f>HLOOKUP(J44,Villagers!$B$1:$V$33,L44+3,FALSE)-HLOOKUP(J44,Villagers!$B$1:$V$33,L44+2,FALSE)</f>
        <v>#N/A</v>
      </c>
      <c r="BS44" s="49">
        <f t="shared" si="39"/>
        <v>1</v>
      </c>
      <c r="BT44" s="50">
        <f t="shared" si="40"/>
        <v>0</v>
      </c>
      <c r="BU44" s="50">
        <f t="shared" si="41"/>
        <v>0</v>
      </c>
      <c r="BV44" s="50">
        <f t="shared" si="42"/>
        <v>0</v>
      </c>
      <c r="BW44" s="50">
        <f t="shared" si="43"/>
        <v>0</v>
      </c>
      <c r="BX44" s="50">
        <f t="shared" si="44"/>
        <v>0</v>
      </c>
      <c r="BY44" s="50">
        <f t="shared" si="44"/>
        <v>0</v>
      </c>
      <c r="BZ44" s="50">
        <f t="shared" si="45"/>
        <v>0</v>
      </c>
      <c r="CA44" s="50">
        <f t="shared" si="46"/>
        <v>0</v>
      </c>
      <c r="CB44" s="50">
        <f t="shared" si="47"/>
        <v>1</v>
      </c>
      <c r="CC44" s="50">
        <f t="shared" si="48"/>
        <v>0</v>
      </c>
      <c r="CD44" s="50">
        <f t="shared" si="49"/>
        <v>0</v>
      </c>
      <c r="CE44" s="50">
        <f t="shared" si="50"/>
        <v>1</v>
      </c>
      <c r="CF44" s="50">
        <f t="shared" si="51"/>
        <v>1</v>
      </c>
      <c r="CG44" s="50">
        <f t="shared" si="52"/>
        <v>1</v>
      </c>
      <c r="CH44" s="50">
        <f t="shared" si="53"/>
        <v>1</v>
      </c>
      <c r="CI44" s="50">
        <f t="shared" si="54"/>
        <v>1</v>
      </c>
      <c r="CJ44" s="50">
        <f t="shared" si="55"/>
        <v>1</v>
      </c>
      <c r="CK44" s="50">
        <f t="shared" si="56"/>
        <v>0</v>
      </c>
      <c r="CL44" s="50">
        <f t="shared" si="55"/>
        <v>0</v>
      </c>
      <c r="CM44" s="51">
        <f t="shared" si="57"/>
        <v>0</v>
      </c>
      <c r="CN44" s="33">
        <f>ROUND(IF(BS44=0,0,HLOOKUP(BS$14,Villagers!$B$1:$V$33,BS44+3,FALSE)),)</f>
        <v>5</v>
      </c>
      <c r="CO44" s="14">
        <f>ROUND(IF(BT44=0,0,HLOOKUP(BT$14,Villagers!$B$1:$V$33,BT44+3,FALSE)),)</f>
        <v>0</v>
      </c>
      <c r="CP44" s="14">
        <f>ROUND(IF(BU44=0,0,HLOOKUP(BU$14,Villagers!$B$1:$V$33,BU44+3,FALSE)),)</f>
        <v>0</v>
      </c>
      <c r="CQ44" s="14">
        <f>ROUND(IF(BV44=0,0,HLOOKUP(BV$14,Villagers!$B$1:$V$33,BV44+3,FALSE)),)</f>
        <v>0</v>
      </c>
      <c r="CR44" s="14">
        <f>ROUND(IF(BW44=0,0,HLOOKUP(BW$14,Villagers!$B$1:$V$33,BW44+3,FALSE)),)</f>
        <v>0</v>
      </c>
      <c r="CS44" s="14">
        <f>ROUND(IF(BX44=0,0,HLOOKUP(BX$14,Villagers!$B$1:$V$33,BX44+3,FALSE)),)</f>
        <v>0</v>
      </c>
      <c r="CT44" s="14">
        <f>ROUND(IF(BY44=0,0,HLOOKUP(BY$14,Villagers!$B$1:$V$33,BY44+3,FALSE)),)</f>
        <v>0</v>
      </c>
      <c r="CU44" s="14">
        <f>ROUND(IF(BZ44=0,0,HLOOKUP(BZ$14,Villagers!$B$1:$V$33,BZ44+3,FALSE)),)</f>
        <v>0</v>
      </c>
      <c r="CV44" s="14">
        <f>ROUND(IF(CA44=0,0,HLOOKUP(CA$14,Villagers!$B$1:$V$33,CA44+3,FALSE)),)</f>
        <v>0</v>
      </c>
      <c r="CW44" s="14">
        <f>ROUND(IF(CB44=0,0,HLOOKUP(CB$14,Villagers!$B$1:$V$33,CB44+3,FALSE)),)</f>
        <v>0</v>
      </c>
      <c r="CX44" s="14">
        <f>ROUND(IF(CC44=0,0,HLOOKUP(CC$14,Villagers!$B$1:$V$33,CC44+3,FALSE)),)</f>
        <v>0</v>
      </c>
      <c r="CY44" s="14">
        <f>ROUND(IF(CD44=0,0,HLOOKUP(CD$14,Villagers!$B$1:$V$33,CD44+3,FALSE)),)</f>
        <v>0</v>
      </c>
      <c r="CZ44" s="14">
        <f>ROUND(IF(CE44=0,0,HLOOKUP(CE$14,Villagers!$B$1:$V$33,CE44+3,FALSE)),)</f>
        <v>5</v>
      </c>
      <c r="DA44" s="14">
        <f>ROUND(IF(CF44=0,0,HLOOKUP(CF$14,Villagers!$B$1:$V$33,CF44+3,FALSE)),)</f>
        <v>10</v>
      </c>
      <c r="DB44" s="14">
        <f>ROUND(IF(CG44=0,0,HLOOKUP(CG$14,Villagers!$B$1:$V$33,CG44+3,FALSE)),)</f>
        <v>10</v>
      </c>
      <c r="DC44" s="14">
        <f>ROUND(IF(CH44=0,0,HLOOKUP(CH$14,Villagers!$B$1:$V$33,CH44+3,FALSE)),)</f>
        <v>0</v>
      </c>
      <c r="DD44" s="14">
        <f>ROUND(IF(CI44=0,0,HLOOKUP(CI$14,Villagers!$B$1:$V$33,CI44+3,FALSE)),)</f>
        <v>0</v>
      </c>
      <c r="DE44" s="14">
        <f>ROUND(IF(CJ44=0,0,HLOOKUP(CJ$14,Villagers!$B$1:$V$33,CJ44+3,FALSE)),)</f>
        <v>2</v>
      </c>
      <c r="DF44" s="370">
        <f>ROUND(IF(CK44=0,0,HLOOKUP(CK$14,Villagers!$B$1:$V$33,CK44+3,FALSE)),)</f>
        <v>0</v>
      </c>
      <c r="DG44" s="370">
        <f>ROUND(IF(CL44=0,0,HLOOKUP(CL$14,Villagers!$B$1:$V$33,CL44+3,FALSE)),)</f>
        <v>0</v>
      </c>
      <c r="DH44" s="34">
        <f>ROUND(IF(CM44=0,0,HLOOKUP(CM$14,Villagers!$B$1:$V$33,CM44+3,FALSE)),)</f>
        <v>0</v>
      </c>
      <c r="DI44" s="109">
        <f t="shared" si="73"/>
        <v>0</v>
      </c>
      <c r="DJ44" s="50">
        <f t="shared" si="74"/>
        <v>0</v>
      </c>
      <c r="DK44" s="50">
        <f t="shared" si="75"/>
        <v>0</v>
      </c>
      <c r="DL44" s="50">
        <f t="shared" si="76"/>
        <v>0</v>
      </c>
      <c r="DM44" s="50">
        <f t="shared" si="77"/>
        <v>0</v>
      </c>
      <c r="DN44" s="50">
        <f t="shared" si="78"/>
        <v>0</v>
      </c>
      <c r="DO44" s="50">
        <f t="shared" si="79"/>
        <v>0</v>
      </c>
      <c r="DP44" s="50">
        <f t="shared" si="80"/>
        <v>0</v>
      </c>
      <c r="DQ44" s="50">
        <f t="shared" si="59"/>
        <v>0</v>
      </c>
      <c r="DR44" s="50">
        <f t="shared" si="60"/>
        <v>0</v>
      </c>
      <c r="DS44" s="96">
        <f>Miscelaneous!$D$4*Miscelaneous!$D$2^($CI44-1)</f>
        <v>1000</v>
      </c>
      <c r="DT44" s="333">
        <f t="shared" si="61"/>
        <v>1</v>
      </c>
      <c r="DU44" s="81">
        <v>1</v>
      </c>
      <c r="DV44" s="79">
        <f t="shared" si="62"/>
        <v>0</v>
      </c>
      <c r="DW44" s="79">
        <f t="shared" si="23"/>
        <v>0</v>
      </c>
      <c r="DX44" s="79">
        <f t="shared" si="63"/>
        <v>0</v>
      </c>
      <c r="DY44" s="79">
        <v>1</v>
      </c>
      <c r="DZ44" s="79">
        <f t="shared" si="24"/>
        <v>0</v>
      </c>
      <c r="EA44" s="79">
        <f t="shared" si="64"/>
        <v>0</v>
      </c>
      <c r="EB44" s="79">
        <f t="shared" si="65"/>
        <v>0</v>
      </c>
      <c r="EC44" s="79">
        <f t="shared" si="66"/>
        <v>0</v>
      </c>
      <c r="ED44" s="79">
        <v>1</v>
      </c>
      <c r="EE44" s="79">
        <v>1</v>
      </c>
      <c r="EF44" s="79">
        <f t="shared" si="67"/>
        <v>0</v>
      </c>
      <c r="EG44" s="79">
        <v>1</v>
      </c>
      <c r="EH44" s="79">
        <v>1</v>
      </c>
      <c r="EI44" s="79">
        <v>1</v>
      </c>
      <c r="EJ44" s="79">
        <v>1</v>
      </c>
      <c r="EK44" s="79">
        <v>1</v>
      </c>
      <c r="EL44" s="79">
        <v>1</v>
      </c>
      <c r="EM44" s="143">
        <f t="shared" si="68"/>
        <v>0</v>
      </c>
      <c r="EN44" s="143">
        <f t="shared" si="69"/>
        <v>0</v>
      </c>
      <c r="EO44" s="82">
        <f t="shared" si="70"/>
        <v>0</v>
      </c>
    </row>
    <row r="45" spans="1:145" x14ac:dyDescent="0.25">
      <c r="A45">
        <v>31</v>
      </c>
      <c r="B45" s="172" t="e">
        <f t="shared" si="25"/>
        <v>#N/A</v>
      </c>
      <c r="C45" s="121" t="e">
        <f t="shared" si="0"/>
        <v>#N/A</v>
      </c>
      <c r="D45" s="122" t="e">
        <f t="shared" si="1"/>
        <v>#N/A</v>
      </c>
      <c r="E45" s="122" t="e">
        <f t="shared" si="2"/>
        <v>#N/A</v>
      </c>
      <c r="F45" s="176" t="e">
        <f t="shared" si="3"/>
        <v>#N/A</v>
      </c>
      <c r="G45" s="121">
        <f t="shared" si="26"/>
        <v>208</v>
      </c>
      <c r="H45" s="176" t="e">
        <f t="shared" si="27"/>
        <v>#N/A</v>
      </c>
      <c r="I45" s="48">
        <v>1</v>
      </c>
      <c r="J45" s="39"/>
      <c r="K45" s="350">
        <v>1</v>
      </c>
      <c r="L45" s="34" t="e">
        <f t="shared" si="4"/>
        <v>#N/A</v>
      </c>
      <c r="M45" s="38" t="e">
        <f>(HLOOKUP(J45,'Construction Times'!$B$3:$W$34,L45+2,FALSE)*HLOOKUP("hq modifier",'Construction Times'!$W$3:$W$34,BS45+2,FALSE))*(1-$H$9)</f>
        <v>#N/A</v>
      </c>
      <c r="N45" s="443" t="e">
        <f t="shared" si="28"/>
        <v>#N/A</v>
      </c>
      <c r="O45" s="444"/>
      <c r="P45" s="447" t="e">
        <f t="shared" si="29"/>
        <v>#N/A</v>
      </c>
      <c r="Q45" s="448"/>
      <c r="R45" s="103">
        <f t="shared" si="71"/>
        <v>0</v>
      </c>
      <c r="S45" s="104">
        <f t="shared" si="71"/>
        <v>0</v>
      </c>
      <c r="T45" s="104">
        <f t="shared" si="72"/>
        <v>0</v>
      </c>
      <c r="U45" s="104">
        <f t="shared" si="72"/>
        <v>0</v>
      </c>
      <c r="V45" s="104">
        <f t="shared" si="72"/>
        <v>9.9999999999999995E-8</v>
      </c>
      <c r="W45" s="104">
        <f t="shared" si="72"/>
        <v>0</v>
      </c>
      <c r="X45" s="104">
        <f t="shared" ref="X45:AA108" si="85">X44</f>
        <v>0</v>
      </c>
      <c r="Y45" s="104">
        <f t="shared" si="85"/>
        <v>9.9999999999999995E-8</v>
      </c>
      <c r="Z45" s="104">
        <f t="shared" si="85"/>
        <v>9.9999999999999995E-8</v>
      </c>
      <c r="AA45" s="105">
        <f t="shared" si="85"/>
        <v>9.9999999999999995E-8</v>
      </c>
      <c r="AB45" s="101" t="e">
        <f>$DT45*HLOOKUP($J45,'Construction Costs (timber)'!$B$1:$V$32,'Construction Planner'!$L45+2,FALSE)</f>
        <v>#N/A</v>
      </c>
      <c r="AC45" s="14" t="e">
        <f>$DT45*HLOOKUP($J45,'Construction Costs (clay)'!$B$1:$V$32,'Construction Planner'!$L45+2,FALSE)</f>
        <v>#N/A</v>
      </c>
      <c r="AD45" s="14" t="e">
        <f>$DT45*HLOOKUP($J45,'Construction Costs (iron)'!$B$1:$V$32,'Construction Planner'!$L45+2,FALSE)</f>
        <v>#N/A</v>
      </c>
      <c r="AE45" s="34" t="e">
        <f t="shared" si="81"/>
        <v>#N/A</v>
      </c>
      <c r="AF45" s="33" t="e">
        <f t="shared" si="5"/>
        <v>#N/A</v>
      </c>
      <c r="AG45" s="14" t="e">
        <f t="shared" si="6"/>
        <v>#N/A</v>
      </c>
      <c r="AH45" s="14" t="e">
        <f t="shared" si="7"/>
        <v>#N/A</v>
      </c>
      <c r="AI45" s="34" t="e">
        <f t="shared" si="82"/>
        <v>#N/A</v>
      </c>
      <c r="AJ45" s="49" t="e">
        <f t="shared" si="32"/>
        <v>#N/A</v>
      </c>
      <c r="AK45" s="49" t="e">
        <f t="shared" si="33"/>
        <v>#N/A</v>
      </c>
      <c r="AL45" s="49" t="e">
        <f t="shared" si="34"/>
        <v>#N/A</v>
      </c>
      <c r="AM45" s="25">
        <f t="shared" si="8"/>
        <v>30</v>
      </c>
      <c r="AN45" s="25">
        <f t="shared" si="9"/>
        <v>30</v>
      </c>
      <c r="AO45" s="25">
        <f t="shared" si="10"/>
        <v>30</v>
      </c>
      <c r="AP45" s="52" t="e">
        <f t="shared" si="35"/>
        <v>#N/A</v>
      </c>
      <c r="AQ45" s="53" t="e">
        <f t="shared" si="35"/>
        <v>#N/A</v>
      </c>
      <c r="AR45" s="54" t="e">
        <f t="shared" si="35"/>
        <v>#N/A</v>
      </c>
      <c r="AS45" s="316">
        <f t="shared" si="83"/>
        <v>0</v>
      </c>
      <c r="AT45" s="106">
        <f>_xlfn.IFNA($M45/VLOOKUP($BT45,'Unit information'!$A$2:$K$29,2,FALSE)*R45,0)*(1+$E$9)</f>
        <v>0</v>
      </c>
      <c r="AU45" s="107">
        <f>_xlfn.IFNA($M45/VLOOKUP($BT45,'Unit information'!$A$2:$K$29,3,FALSE)*S45,0)*(1+$E$9)</f>
        <v>0</v>
      </c>
      <c r="AV45" s="107">
        <f>_xlfn.IFNA($M45/VLOOKUP($BT45,'Unit information'!$A$2:$K$29,4,FALSE)*T45,0)*(1+$E$9)</f>
        <v>0</v>
      </c>
      <c r="AW45" s="107">
        <f>_xlfn.IFNA($M45/VLOOKUP($BT45,'Unit information'!$A$2:$K$29,5,FALSE)*U45,0)*(1+$E$9)</f>
        <v>0</v>
      </c>
      <c r="AX45" s="107">
        <f>_xlfn.IFNA($M45/VLOOKUP($BU45,'Unit information'!$A$2:$K$29,6,FALSE)*V45,0)*(1+$E$9)</f>
        <v>0</v>
      </c>
      <c r="AY45" s="107">
        <f>_xlfn.IFNA($M45/VLOOKUP($BU45,'Unit information'!$A$2:$K$29,7,FALSE)*W45,0)*(1+$E$9)</f>
        <v>0</v>
      </c>
      <c r="AZ45" s="107">
        <f>_xlfn.IFNA($M45/VLOOKUP($BU45,'Unit information'!$A$2:$K$29,8,FALSE)*X45,0)*(1+$E$9)</f>
        <v>0</v>
      </c>
      <c r="BA45" s="107">
        <f>_xlfn.IFNA($M45/VLOOKUP($BU45,'Unit information'!$A$2:$K$29,9,FALSE)*Y45,0)*(1+$E$9)</f>
        <v>0</v>
      </c>
      <c r="BB45" s="107">
        <f>_xlfn.IFNA($M45/VLOOKUP($BV45,'Unit information'!$A$2:$K$29,10,FALSE)*Z45,0)*(1+$E$9)</f>
        <v>0</v>
      </c>
      <c r="BC45" s="108">
        <f>_xlfn.IFNA($M45/VLOOKUP($BV45,'Unit information'!$A$2:$K$29,11,FALSE)*AA45,0)*(1+$E$9)</f>
        <v>0</v>
      </c>
      <c r="BD45" s="106">
        <f t="shared" si="12"/>
        <v>0</v>
      </c>
      <c r="BE45" s="107">
        <f t="shared" si="13"/>
        <v>0</v>
      </c>
      <c r="BF45" s="108">
        <f t="shared" si="14"/>
        <v>0</v>
      </c>
      <c r="BG45" s="25" t="e">
        <f t="shared" si="15"/>
        <v>#N/A</v>
      </c>
      <c r="BH45" s="25" t="e">
        <f t="shared" si="16"/>
        <v>#N/A</v>
      </c>
      <c r="BI45" s="25" t="e">
        <f t="shared" si="17"/>
        <v>#N/A</v>
      </c>
      <c r="BJ45" s="27" t="e">
        <f t="shared" si="18"/>
        <v>#N/A</v>
      </c>
      <c r="BK45" s="18" t="e">
        <f t="shared" si="19"/>
        <v>#N/A</v>
      </c>
      <c r="BL45" s="18" t="e">
        <f t="shared" si="20"/>
        <v>#N/A</v>
      </c>
      <c r="BM45" s="28" t="e">
        <f t="shared" si="84"/>
        <v>#N/A</v>
      </c>
      <c r="BN45" s="33">
        <f>HLOOKUP("maximum population",Miscelaneous!$C$1:$C$33,CH45+3,FALSE)</f>
        <v>240</v>
      </c>
      <c r="BO45" s="14">
        <f t="shared" si="36"/>
        <v>32</v>
      </c>
      <c r="BP45" s="14">
        <f t="shared" si="37"/>
        <v>0</v>
      </c>
      <c r="BQ45" s="14">
        <f t="shared" si="38"/>
        <v>208</v>
      </c>
      <c r="BR45" s="34" t="e">
        <f>HLOOKUP(J45,Villagers!$B$1:$V$33,L45+3,FALSE)-HLOOKUP(J45,Villagers!$B$1:$V$33,L45+2,FALSE)</f>
        <v>#N/A</v>
      </c>
      <c r="BS45" s="49">
        <f t="shared" si="39"/>
        <v>1</v>
      </c>
      <c r="BT45" s="50">
        <f t="shared" si="40"/>
        <v>0</v>
      </c>
      <c r="BU45" s="50">
        <f t="shared" si="41"/>
        <v>0</v>
      </c>
      <c r="BV45" s="50">
        <f t="shared" si="42"/>
        <v>0</v>
      </c>
      <c r="BW45" s="50">
        <f t="shared" si="43"/>
        <v>0</v>
      </c>
      <c r="BX45" s="50">
        <f t="shared" si="44"/>
        <v>0</v>
      </c>
      <c r="BY45" s="50">
        <f t="shared" si="44"/>
        <v>0</v>
      </c>
      <c r="BZ45" s="50">
        <f t="shared" si="45"/>
        <v>0</v>
      </c>
      <c r="CA45" s="50">
        <f t="shared" si="46"/>
        <v>0</v>
      </c>
      <c r="CB45" s="50">
        <f t="shared" si="47"/>
        <v>1</v>
      </c>
      <c r="CC45" s="50">
        <f t="shared" si="48"/>
        <v>0</v>
      </c>
      <c r="CD45" s="50">
        <f t="shared" si="49"/>
        <v>0</v>
      </c>
      <c r="CE45" s="50">
        <f t="shared" si="50"/>
        <v>1</v>
      </c>
      <c r="CF45" s="50">
        <f t="shared" si="51"/>
        <v>1</v>
      </c>
      <c r="CG45" s="50">
        <f t="shared" si="52"/>
        <v>1</v>
      </c>
      <c r="CH45" s="50">
        <f t="shared" si="53"/>
        <v>1</v>
      </c>
      <c r="CI45" s="50">
        <f t="shared" si="54"/>
        <v>1</v>
      </c>
      <c r="CJ45" s="50">
        <f t="shared" si="55"/>
        <v>1</v>
      </c>
      <c r="CK45" s="50">
        <f t="shared" si="56"/>
        <v>0</v>
      </c>
      <c r="CL45" s="50">
        <f t="shared" si="55"/>
        <v>0</v>
      </c>
      <c r="CM45" s="51">
        <f t="shared" si="57"/>
        <v>0</v>
      </c>
      <c r="CN45" s="33">
        <f>ROUND(IF(BS45=0,0,HLOOKUP(BS$14,Villagers!$B$1:$V$33,BS45+3,FALSE)),)</f>
        <v>5</v>
      </c>
      <c r="CO45" s="14">
        <f>ROUND(IF(BT45=0,0,HLOOKUP(BT$14,Villagers!$B$1:$V$33,BT45+3,FALSE)),)</f>
        <v>0</v>
      </c>
      <c r="CP45" s="14">
        <f>ROUND(IF(BU45=0,0,HLOOKUP(BU$14,Villagers!$B$1:$V$33,BU45+3,FALSE)),)</f>
        <v>0</v>
      </c>
      <c r="CQ45" s="14">
        <f>ROUND(IF(BV45=0,0,HLOOKUP(BV$14,Villagers!$B$1:$V$33,BV45+3,FALSE)),)</f>
        <v>0</v>
      </c>
      <c r="CR45" s="14">
        <f>ROUND(IF(BW45=0,0,HLOOKUP(BW$14,Villagers!$B$1:$V$33,BW45+3,FALSE)),)</f>
        <v>0</v>
      </c>
      <c r="CS45" s="14">
        <f>ROUND(IF(BX45=0,0,HLOOKUP(BX$14,Villagers!$B$1:$V$33,BX45+3,FALSE)),)</f>
        <v>0</v>
      </c>
      <c r="CT45" s="14">
        <f>ROUND(IF(BY45=0,0,HLOOKUP(BY$14,Villagers!$B$1:$V$33,BY45+3,FALSE)),)</f>
        <v>0</v>
      </c>
      <c r="CU45" s="14">
        <f>ROUND(IF(BZ45=0,0,HLOOKUP(BZ$14,Villagers!$B$1:$V$33,BZ45+3,FALSE)),)</f>
        <v>0</v>
      </c>
      <c r="CV45" s="14">
        <f>ROUND(IF(CA45=0,0,HLOOKUP(CA$14,Villagers!$B$1:$V$33,CA45+3,FALSE)),)</f>
        <v>0</v>
      </c>
      <c r="CW45" s="14">
        <f>ROUND(IF(CB45=0,0,HLOOKUP(CB$14,Villagers!$B$1:$V$33,CB45+3,FALSE)),)</f>
        <v>0</v>
      </c>
      <c r="CX45" s="14">
        <f>ROUND(IF(CC45=0,0,HLOOKUP(CC$14,Villagers!$B$1:$V$33,CC45+3,FALSE)),)</f>
        <v>0</v>
      </c>
      <c r="CY45" s="14">
        <f>ROUND(IF(CD45=0,0,HLOOKUP(CD$14,Villagers!$B$1:$V$33,CD45+3,FALSE)),)</f>
        <v>0</v>
      </c>
      <c r="CZ45" s="14">
        <f>ROUND(IF(CE45=0,0,HLOOKUP(CE$14,Villagers!$B$1:$V$33,CE45+3,FALSE)),)</f>
        <v>5</v>
      </c>
      <c r="DA45" s="14">
        <f>ROUND(IF(CF45=0,0,HLOOKUP(CF$14,Villagers!$B$1:$V$33,CF45+3,FALSE)),)</f>
        <v>10</v>
      </c>
      <c r="DB45" s="14">
        <f>ROUND(IF(CG45=0,0,HLOOKUP(CG$14,Villagers!$B$1:$V$33,CG45+3,FALSE)),)</f>
        <v>10</v>
      </c>
      <c r="DC45" s="14">
        <f>ROUND(IF(CH45=0,0,HLOOKUP(CH$14,Villagers!$B$1:$V$33,CH45+3,FALSE)),)</f>
        <v>0</v>
      </c>
      <c r="DD45" s="14">
        <f>ROUND(IF(CI45=0,0,HLOOKUP(CI$14,Villagers!$B$1:$V$33,CI45+3,FALSE)),)</f>
        <v>0</v>
      </c>
      <c r="DE45" s="14">
        <f>ROUND(IF(CJ45=0,0,HLOOKUP(CJ$14,Villagers!$B$1:$V$33,CJ45+3,FALSE)),)</f>
        <v>2</v>
      </c>
      <c r="DF45" s="370">
        <f>ROUND(IF(CK45=0,0,HLOOKUP(CK$14,Villagers!$B$1:$V$33,CK45+3,FALSE)),)</f>
        <v>0</v>
      </c>
      <c r="DG45" s="370">
        <f>ROUND(IF(CL45=0,0,HLOOKUP(CL$14,Villagers!$B$1:$V$33,CL45+3,FALSE)),)</f>
        <v>0</v>
      </c>
      <c r="DH45" s="34">
        <f>ROUND(IF(CM45=0,0,HLOOKUP(CM$14,Villagers!$B$1:$V$33,CM45+3,FALSE)),)</f>
        <v>0</v>
      </c>
      <c r="DI45" s="109">
        <f t="shared" si="73"/>
        <v>0</v>
      </c>
      <c r="DJ45" s="50">
        <f t="shared" si="74"/>
        <v>0</v>
      </c>
      <c r="DK45" s="50">
        <f t="shared" si="75"/>
        <v>0</v>
      </c>
      <c r="DL45" s="50">
        <f t="shared" si="76"/>
        <v>0</v>
      </c>
      <c r="DM45" s="50">
        <f t="shared" si="77"/>
        <v>0</v>
      </c>
      <c r="DN45" s="50">
        <f t="shared" si="78"/>
        <v>0</v>
      </c>
      <c r="DO45" s="50">
        <f t="shared" si="79"/>
        <v>0</v>
      </c>
      <c r="DP45" s="50">
        <f t="shared" si="80"/>
        <v>0</v>
      </c>
      <c r="DQ45" s="50">
        <f t="shared" si="59"/>
        <v>0</v>
      </c>
      <c r="DR45" s="50">
        <f t="shared" si="60"/>
        <v>0</v>
      </c>
      <c r="DS45" s="96">
        <f>Miscelaneous!$D$4*Miscelaneous!$D$2^($CI45-1)</f>
        <v>1000</v>
      </c>
      <c r="DT45" s="333">
        <f t="shared" si="61"/>
        <v>1</v>
      </c>
      <c r="DU45" s="81">
        <v>1</v>
      </c>
      <c r="DV45" s="79">
        <f t="shared" si="62"/>
        <v>0</v>
      </c>
      <c r="DW45" s="79">
        <f t="shared" si="23"/>
        <v>0</v>
      </c>
      <c r="DX45" s="79">
        <f t="shared" si="63"/>
        <v>0</v>
      </c>
      <c r="DY45" s="79">
        <v>1</v>
      </c>
      <c r="DZ45" s="79">
        <f t="shared" si="24"/>
        <v>0</v>
      </c>
      <c r="EA45" s="79">
        <f t="shared" si="64"/>
        <v>0</v>
      </c>
      <c r="EB45" s="79">
        <f t="shared" si="65"/>
        <v>0</v>
      </c>
      <c r="EC45" s="79">
        <f t="shared" si="66"/>
        <v>0</v>
      </c>
      <c r="ED45" s="79">
        <v>1</v>
      </c>
      <c r="EE45" s="79">
        <v>1</v>
      </c>
      <c r="EF45" s="79">
        <f t="shared" si="67"/>
        <v>0</v>
      </c>
      <c r="EG45" s="79">
        <v>1</v>
      </c>
      <c r="EH45" s="79">
        <v>1</v>
      </c>
      <c r="EI45" s="79">
        <v>1</v>
      </c>
      <c r="EJ45" s="79">
        <v>1</v>
      </c>
      <c r="EK45" s="79">
        <v>1</v>
      </c>
      <c r="EL45" s="79">
        <v>1</v>
      </c>
      <c r="EM45" s="143">
        <f t="shared" si="68"/>
        <v>0</v>
      </c>
      <c r="EN45" s="143">
        <f t="shared" si="69"/>
        <v>0</v>
      </c>
      <c r="EO45" s="82">
        <f t="shared" si="70"/>
        <v>0</v>
      </c>
    </row>
    <row r="46" spans="1:145" x14ac:dyDescent="0.25">
      <c r="A46">
        <v>32</v>
      </c>
      <c r="B46" s="172" t="e">
        <f t="shared" si="25"/>
        <v>#N/A</v>
      </c>
      <c r="C46" s="121" t="e">
        <f t="shared" si="0"/>
        <v>#N/A</v>
      </c>
      <c r="D46" s="122" t="e">
        <f t="shared" si="1"/>
        <v>#N/A</v>
      </c>
      <c r="E46" s="122" t="e">
        <f t="shared" si="2"/>
        <v>#N/A</v>
      </c>
      <c r="F46" s="176" t="e">
        <f t="shared" si="3"/>
        <v>#N/A</v>
      </c>
      <c r="G46" s="121">
        <f t="shared" si="26"/>
        <v>208</v>
      </c>
      <c r="H46" s="176" t="e">
        <f t="shared" si="27"/>
        <v>#N/A</v>
      </c>
      <c r="I46" s="48">
        <v>1</v>
      </c>
      <c r="J46" s="39"/>
      <c r="K46" s="350">
        <v>1</v>
      </c>
      <c r="L46" s="34" t="e">
        <f t="shared" si="4"/>
        <v>#N/A</v>
      </c>
      <c r="M46" s="38" t="e">
        <f>(HLOOKUP(J46,'Construction Times'!$B$3:$W$34,L46+2,FALSE)*HLOOKUP("hq modifier",'Construction Times'!$W$3:$W$34,BS46+2,FALSE))*(1-$H$9)</f>
        <v>#N/A</v>
      </c>
      <c r="N46" s="443" t="e">
        <f t="shared" si="28"/>
        <v>#N/A</v>
      </c>
      <c r="O46" s="444"/>
      <c r="P46" s="447" t="e">
        <f t="shared" si="29"/>
        <v>#N/A</v>
      </c>
      <c r="Q46" s="448"/>
      <c r="R46" s="103">
        <f t="shared" si="71"/>
        <v>0</v>
      </c>
      <c r="S46" s="104">
        <f t="shared" si="71"/>
        <v>0</v>
      </c>
      <c r="T46" s="104">
        <f t="shared" si="72"/>
        <v>0</v>
      </c>
      <c r="U46" s="104">
        <f t="shared" si="72"/>
        <v>0</v>
      </c>
      <c r="V46" s="104">
        <f t="shared" si="72"/>
        <v>9.9999999999999995E-8</v>
      </c>
      <c r="W46" s="104">
        <f t="shared" si="72"/>
        <v>0</v>
      </c>
      <c r="X46" s="104">
        <f t="shared" si="85"/>
        <v>0</v>
      </c>
      <c r="Y46" s="104">
        <f t="shared" si="85"/>
        <v>9.9999999999999995E-8</v>
      </c>
      <c r="Z46" s="104">
        <f t="shared" si="85"/>
        <v>9.9999999999999995E-8</v>
      </c>
      <c r="AA46" s="105">
        <f t="shared" si="85"/>
        <v>9.9999999999999995E-8</v>
      </c>
      <c r="AB46" s="101" t="e">
        <f>$DT46*HLOOKUP($J46,'Construction Costs (timber)'!$B$1:$V$32,'Construction Planner'!$L46+2,FALSE)</f>
        <v>#N/A</v>
      </c>
      <c r="AC46" s="14" t="e">
        <f>$DT46*HLOOKUP($J46,'Construction Costs (clay)'!$B$1:$V$32,'Construction Planner'!$L46+2,FALSE)</f>
        <v>#N/A</v>
      </c>
      <c r="AD46" s="14" t="e">
        <f>$DT46*HLOOKUP($J46,'Construction Costs (iron)'!$B$1:$V$32,'Construction Planner'!$L46+2,FALSE)</f>
        <v>#N/A</v>
      </c>
      <c r="AE46" s="34" t="e">
        <f t="shared" si="81"/>
        <v>#N/A</v>
      </c>
      <c r="AF46" s="33" t="e">
        <f t="shared" si="5"/>
        <v>#N/A</v>
      </c>
      <c r="AG46" s="14" t="e">
        <f t="shared" si="6"/>
        <v>#N/A</v>
      </c>
      <c r="AH46" s="14" t="e">
        <f t="shared" si="7"/>
        <v>#N/A</v>
      </c>
      <c r="AI46" s="34" t="e">
        <f t="shared" si="82"/>
        <v>#N/A</v>
      </c>
      <c r="AJ46" s="49" t="e">
        <f t="shared" si="32"/>
        <v>#N/A</v>
      </c>
      <c r="AK46" s="49" t="e">
        <f t="shared" si="33"/>
        <v>#N/A</v>
      </c>
      <c r="AL46" s="49" t="e">
        <f t="shared" si="34"/>
        <v>#N/A</v>
      </c>
      <c r="AM46" s="25">
        <f t="shared" si="8"/>
        <v>30</v>
      </c>
      <c r="AN46" s="25">
        <f t="shared" si="9"/>
        <v>30</v>
      </c>
      <c r="AO46" s="25">
        <f t="shared" si="10"/>
        <v>30</v>
      </c>
      <c r="AP46" s="52" t="e">
        <f t="shared" si="35"/>
        <v>#N/A</v>
      </c>
      <c r="AQ46" s="53" t="e">
        <f t="shared" si="35"/>
        <v>#N/A</v>
      </c>
      <c r="AR46" s="54" t="e">
        <f t="shared" si="35"/>
        <v>#N/A</v>
      </c>
      <c r="AS46" s="316">
        <f t="shared" si="83"/>
        <v>0</v>
      </c>
      <c r="AT46" s="106">
        <f>_xlfn.IFNA($M46/VLOOKUP($BT46,'Unit information'!$A$2:$K$29,2,FALSE)*R46,0)*(1+$E$9)</f>
        <v>0</v>
      </c>
      <c r="AU46" s="107">
        <f>_xlfn.IFNA($M46/VLOOKUP($BT46,'Unit information'!$A$2:$K$29,3,FALSE)*S46,0)*(1+$E$9)</f>
        <v>0</v>
      </c>
      <c r="AV46" s="107">
        <f>_xlfn.IFNA($M46/VLOOKUP($BT46,'Unit information'!$A$2:$K$29,4,FALSE)*T46,0)*(1+$E$9)</f>
        <v>0</v>
      </c>
      <c r="AW46" s="107">
        <f>_xlfn.IFNA($M46/VLOOKUP($BT46,'Unit information'!$A$2:$K$29,5,FALSE)*U46,0)*(1+$E$9)</f>
        <v>0</v>
      </c>
      <c r="AX46" s="107">
        <f>_xlfn.IFNA($M46/VLOOKUP($BU46,'Unit information'!$A$2:$K$29,6,FALSE)*V46,0)*(1+$E$9)</f>
        <v>0</v>
      </c>
      <c r="AY46" s="107">
        <f>_xlfn.IFNA($M46/VLOOKUP($BU46,'Unit information'!$A$2:$K$29,7,FALSE)*W46,0)*(1+$E$9)</f>
        <v>0</v>
      </c>
      <c r="AZ46" s="107">
        <f>_xlfn.IFNA($M46/VLOOKUP($BU46,'Unit information'!$A$2:$K$29,8,FALSE)*X46,0)*(1+$E$9)</f>
        <v>0</v>
      </c>
      <c r="BA46" s="107">
        <f>_xlfn.IFNA($M46/VLOOKUP($BU46,'Unit information'!$A$2:$K$29,9,FALSE)*Y46,0)*(1+$E$9)</f>
        <v>0</v>
      </c>
      <c r="BB46" s="107">
        <f>_xlfn.IFNA($M46/VLOOKUP($BV46,'Unit information'!$A$2:$K$29,10,FALSE)*Z46,0)*(1+$E$9)</f>
        <v>0</v>
      </c>
      <c r="BC46" s="108">
        <f>_xlfn.IFNA($M46/VLOOKUP($BV46,'Unit information'!$A$2:$K$29,11,FALSE)*AA46,0)*(1+$E$9)</f>
        <v>0</v>
      </c>
      <c r="BD46" s="106">
        <f t="shared" si="12"/>
        <v>0</v>
      </c>
      <c r="BE46" s="107">
        <f t="shared" si="13"/>
        <v>0</v>
      </c>
      <c r="BF46" s="108">
        <f t="shared" si="14"/>
        <v>0</v>
      </c>
      <c r="BG46" s="25" t="e">
        <f t="shared" si="15"/>
        <v>#N/A</v>
      </c>
      <c r="BH46" s="25" t="e">
        <f t="shared" si="16"/>
        <v>#N/A</v>
      </c>
      <c r="BI46" s="25" t="e">
        <f t="shared" si="17"/>
        <v>#N/A</v>
      </c>
      <c r="BJ46" s="27" t="e">
        <f t="shared" si="18"/>
        <v>#N/A</v>
      </c>
      <c r="BK46" s="18" t="e">
        <f t="shared" si="19"/>
        <v>#N/A</v>
      </c>
      <c r="BL46" s="18" t="e">
        <f t="shared" si="20"/>
        <v>#N/A</v>
      </c>
      <c r="BM46" s="28" t="e">
        <f t="shared" si="84"/>
        <v>#N/A</v>
      </c>
      <c r="BN46" s="33">
        <f>HLOOKUP("maximum population",Miscelaneous!$C$1:$C$33,CH46+3,FALSE)</f>
        <v>240</v>
      </c>
      <c r="BO46" s="14">
        <f t="shared" si="36"/>
        <v>32</v>
      </c>
      <c r="BP46" s="14">
        <f t="shared" si="37"/>
        <v>0</v>
      </c>
      <c r="BQ46" s="14">
        <f t="shared" si="38"/>
        <v>208</v>
      </c>
      <c r="BR46" s="34" t="e">
        <f>HLOOKUP(J46,Villagers!$B$1:$V$33,L46+3,FALSE)-HLOOKUP(J46,Villagers!$B$1:$V$33,L46+2,FALSE)</f>
        <v>#N/A</v>
      </c>
      <c r="BS46" s="49">
        <f t="shared" si="39"/>
        <v>1</v>
      </c>
      <c r="BT46" s="50">
        <f t="shared" si="40"/>
        <v>0</v>
      </c>
      <c r="BU46" s="50">
        <f t="shared" si="41"/>
        <v>0</v>
      </c>
      <c r="BV46" s="50">
        <f t="shared" si="42"/>
        <v>0</v>
      </c>
      <c r="BW46" s="50">
        <f t="shared" si="43"/>
        <v>0</v>
      </c>
      <c r="BX46" s="50">
        <f t="shared" si="44"/>
        <v>0</v>
      </c>
      <c r="BY46" s="50">
        <f t="shared" si="44"/>
        <v>0</v>
      </c>
      <c r="BZ46" s="50">
        <f t="shared" si="45"/>
        <v>0</v>
      </c>
      <c r="CA46" s="50">
        <f t="shared" si="46"/>
        <v>0</v>
      </c>
      <c r="CB46" s="50">
        <f t="shared" si="47"/>
        <v>1</v>
      </c>
      <c r="CC46" s="50">
        <f t="shared" si="48"/>
        <v>0</v>
      </c>
      <c r="CD46" s="50">
        <f t="shared" si="49"/>
        <v>0</v>
      </c>
      <c r="CE46" s="50">
        <f t="shared" si="50"/>
        <v>1</v>
      </c>
      <c r="CF46" s="50">
        <f t="shared" si="51"/>
        <v>1</v>
      </c>
      <c r="CG46" s="50">
        <f t="shared" si="52"/>
        <v>1</v>
      </c>
      <c r="CH46" s="50">
        <f t="shared" si="53"/>
        <v>1</v>
      </c>
      <c r="CI46" s="50">
        <f t="shared" si="54"/>
        <v>1</v>
      </c>
      <c r="CJ46" s="50">
        <f t="shared" si="55"/>
        <v>1</v>
      </c>
      <c r="CK46" s="50">
        <f t="shared" si="56"/>
        <v>0</v>
      </c>
      <c r="CL46" s="50">
        <f t="shared" si="55"/>
        <v>0</v>
      </c>
      <c r="CM46" s="51">
        <f t="shared" si="57"/>
        <v>0</v>
      </c>
      <c r="CN46" s="33">
        <f>ROUND(IF(BS46=0,0,HLOOKUP(BS$14,Villagers!$B$1:$V$33,BS46+3,FALSE)),)</f>
        <v>5</v>
      </c>
      <c r="CO46" s="14">
        <f>ROUND(IF(BT46=0,0,HLOOKUP(BT$14,Villagers!$B$1:$V$33,BT46+3,FALSE)),)</f>
        <v>0</v>
      </c>
      <c r="CP46" s="14">
        <f>ROUND(IF(BU46=0,0,HLOOKUP(BU$14,Villagers!$B$1:$V$33,BU46+3,FALSE)),)</f>
        <v>0</v>
      </c>
      <c r="CQ46" s="14">
        <f>ROUND(IF(BV46=0,0,HLOOKUP(BV$14,Villagers!$B$1:$V$33,BV46+3,FALSE)),)</f>
        <v>0</v>
      </c>
      <c r="CR46" s="14">
        <f>ROUND(IF(BW46=0,0,HLOOKUP(BW$14,Villagers!$B$1:$V$33,BW46+3,FALSE)),)</f>
        <v>0</v>
      </c>
      <c r="CS46" s="14">
        <f>ROUND(IF(BX46=0,0,HLOOKUP(BX$14,Villagers!$B$1:$V$33,BX46+3,FALSE)),)</f>
        <v>0</v>
      </c>
      <c r="CT46" s="14">
        <f>ROUND(IF(BY46=0,0,HLOOKUP(BY$14,Villagers!$B$1:$V$33,BY46+3,FALSE)),)</f>
        <v>0</v>
      </c>
      <c r="CU46" s="14">
        <f>ROUND(IF(BZ46=0,0,HLOOKUP(BZ$14,Villagers!$B$1:$V$33,BZ46+3,FALSE)),)</f>
        <v>0</v>
      </c>
      <c r="CV46" s="14">
        <f>ROUND(IF(CA46=0,0,HLOOKUP(CA$14,Villagers!$B$1:$V$33,CA46+3,FALSE)),)</f>
        <v>0</v>
      </c>
      <c r="CW46" s="14">
        <f>ROUND(IF(CB46=0,0,HLOOKUP(CB$14,Villagers!$B$1:$V$33,CB46+3,FALSE)),)</f>
        <v>0</v>
      </c>
      <c r="CX46" s="14">
        <f>ROUND(IF(CC46=0,0,HLOOKUP(CC$14,Villagers!$B$1:$V$33,CC46+3,FALSE)),)</f>
        <v>0</v>
      </c>
      <c r="CY46" s="14">
        <f>ROUND(IF(CD46=0,0,HLOOKUP(CD$14,Villagers!$B$1:$V$33,CD46+3,FALSE)),)</f>
        <v>0</v>
      </c>
      <c r="CZ46" s="14">
        <f>ROUND(IF(CE46=0,0,HLOOKUP(CE$14,Villagers!$B$1:$V$33,CE46+3,FALSE)),)</f>
        <v>5</v>
      </c>
      <c r="DA46" s="14">
        <f>ROUND(IF(CF46=0,0,HLOOKUP(CF$14,Villagers!$B$1:$V$33,CF46+3,FALSE)),)</f>
        <v>10</v>
      </c>
      <c r="DB46" s="14">
        <f>ROUND(IF(CG46=0,0,HLOOKUP(CG$14,Villagers!$B$1:$V$33,CG46+3,FALSE)),)</f>
        <v>10</v>
      </c>
      <c r="DC46" s="14">
        <f>ROUND(IF(CH46=0,0,HLOOKUP(CH$14,Villagers!$B$1:$V$33,CH46+3,FALSE)),)</f>
        <v>0</v>
      </c>
      <c r="DD46" s="14">
        <f>ROUND(IF(CI46=0,0,HLOOKUP(CI$14,Villagers!$B$1:$V$33,CI46+3,FALSE)),)</f>
        <v>0</v>
      </c>
      <c r="DE46" s="14">
        <f>ROUND(IF(CJ46=0,0,HLOOKUP(CJ$14,Villagers!$B$1:$V$33,CJ46+3,FALSE)),)</f>
        <v>2</v>
      </c>
      <c r="DF46" s="370">
        <f>ROUND(IF(CK46=0,0,HLOOKUP(CK$14,Villagers!$B$1:$V$33,CK46+3,FALSE)),)</f>
        <v>0</v>
      </c>
      <c r="DG46" s="370">
        <f>ROUND(IF(CL46=0,0,HLOOKUP(CL$14,Villagers!$B$1:$V$33,CL46+3,FALSE)),)</f>
        <v>0</v>
      </c>
      <c r="DH46" s="34">
        <f>ROUND(IF(CM46=0,0,HLOOKUP(CM$14,Villagers!$B$1:$V$33,CM46+3,FALSE)),)</f>
        <v>0</v>
      </c>
      <c r="DI46" s="109">
        <f t="shared" si="73"/>
        <v>0</v>
      </c>
      <c r="DJ46" s="50">
        <f t="shared" si="74"/>
        <v>0</v>
      </c>
      <c r="DK46" s="50">
        <f t="shared" si="75"/>
        <v>0</v>
      </c>
      <c r="DL46" s="50">
        <f t="shared" si="76"/>
        <v>0</v>
      </c>
      <c r="DM46" s="50">
        <f t="shared" si="77"/>
        <v>0</v>
      </c>
      <c r="DN46" s="50">
        <f t="shared" si="78"/>
        <v>0</v>
      </c>
      <c r="DO46" s="50">
        <f t="shared" si="79"/>
        <v>0</v>
      </c>
      <c r="DP46" s="50">
        <f t="shared" si="80"/>
        <v>0</v>
      </c>
      <c r="DQ46" s="50">
        <f t="shared" si="59"/>
        <v>0</v>
      </c>
      <c r="DR46" s="50">
        <f t="shared" si="60"/>
        <v>0</v>
      </c>
      <c r="DS46" s="96">
        <f>Miscelaneous!$D$4*Miscelaneous!$D$2^($CI46-1)</f>
        <v>1000</v>
      </c>
      <c r="DT46" s="333">
        <f t="shared" si="61"/>
        <v>1</v>
      </c>
      <c r="DU46" s="81">
        <v>1</v>
      </c>
      <c r="DV46" s="79">
        <f t="shared" si="62"/>
        <v>0</v>
      </c>
      <c r="DW46" s="79">
        <f t="shared" si="23"/>
        <v>0</v>
      </c>
      <c r="DX46" s="79">
        <f t="shared" si="63"/>
        <v>0</v>
      </c>
      <c r="DY46" s="79">
        <v>1</v>
      </c>
      <c r="DZ46" s="79">
        <f t="shared" si="24"/>
        <v>0</v>
      </c>
      <c r="EA46" s="79">
        <f t="shared" si="64"/>
        <v>0</v>
      </c>
      <c r="EB46" s="79">
        <f t="shared" si="65"/>
        <v>0</v>
      </c>
      <c r="EC46" s="79">
        <f t="shared" si="66"/>
        <v>0</v>
      </c>
      <c r="ED46" s="79">
        <v>1</v>
      </c>
      <c r="EE46" s="79">
        <v>1</v>
      </c>
      <c r="EF46" s="79">
        <f t="shared" si="67"/>
        <v>0</v>
      </c>
      <c r="EG46" s="79">
        <v>1</v>
      </c>
      <c r="EH46" s="79">
        <v>1</v>
      </c>
      <c r="EI46" s="79">
        <v>1</v>
      </c>
      <c r="EJ46" s="79">
        <v>1</v>
      </c>
      <c r="EK46" s="79">
        <v>1</v>
      </c>
      <c r="EL46" s="79">
        <v>1</v>
      </c>
      <c r="EM46" s="143">
        <f t="shared" si="68"/>
        <v>0</v>
      </c>
      <c r="EN46" s="143">
        <f t="shared" si="69"/>
        <v>0</v>
      </c>
      <c r="EO46" s="82">
        <f t="shared" si="70"/>
        <v>0</v>
      </c>
    </row>
    <row r="47" spans="1:145" x14ac:dyDescent="0.25">
      <c r="A47">
        <v>33</v>
      </c>
      <c r="B47" s="172" t="e">
        <f t="shared" si="25"/>
        <v>#N/A</v>
      </c>
      <c r="C47" s="121" t="e">
        <f t="shared" si="0"/>
        <v>#N/A</v>
      </c>
      <c r="D47" s="122" t="e">
        <f t="shared" si="1"/>
        <v>#N/A</v>
      </c>
      <c r="E47" s="122" t="e">
        <f t="shared" si="2"/>
        <v>#N/A</v>
      </c>
      <c r="F47" s="176" t="e">
        <f t="shared" si="3"/>
        <v>#N/A</v>
      </c>
      <c r="G47" s="121">
        <f t="shared" si="26"/>
        <v>208</v>
      </c>
      <c r="H47" s="176" t="e">
        <f t="shared" si="27"/>
        <v>#N/A</v>
      </c>
      <c r="I47" s="48">
        <v>1</v>
      </c>
      <c r="J47" s="39"/>
      <c r="K47" s="350">
        <v>1</v>
      </c>
      <c r="L47" s="34" t="e">
        <f t="shared" si="4"/>
        <v>#N/A</v>
      </c>
      <c r="M47" s="38" t="e">
        <f>(HLOOKUP(J47,'Construction Times'!$B$3:$W$34,L47+2,FALSE)*HLOOKUP("hq modifier",'Construction Times'!$W$3:$W$34,BS47+2,FALSE))*(1-$H$9)</f>
        <v>#N/A</v>
      </c>
      <c r="N47" s="443" t="e">
        <f t="shared" si="28"/>
        <v>#N/A</v>
      </c>
      <c r="O47" s="444"/>
      <c r="P47" s="447" t="e">
        <f t="shared" si="29"/>
        <v>#N/A</v>
      </c>
      <c r="Q47" s="448"/>
      <c r="R47" s="103">
        <f t="shared" si="71"/>
        <v>0</v>
      </c>
      <c r="S47" s="104">
        <f t="shared" si="71"/>
        <v>0</v>
      </c>
      <c r="T47" s="104">
        <f t="shared" si="72"/>
        <v>0</v>
      </c>
      <c r="U47" s="104">
        <f t="shared" si="72"/>
        <v>0</v>
      </c>
      <c r="V47" s="104">
        <f t="shared" si="72"/>
        <v>9.9999999999999995E-8</v>
      </c>
      <c r="W47" s="104">
        <f t="shared" si="72"/>
        <v>0</v>
      </c>
      <c r="X47" s="104">
        <f t="shared" si="85"/>
        <v>0</v>
      </c>
      <c r="Y47" s="104">
        <f t="shared" si="85"/>
        <v>9.9999999999999995E-8</v>
      </c>
      <c r="Z47" s="104">
        <f t="shared" si="85"/>
        <v>9.9999999999999995E-8</v>
      </c>
      <c r="AA47" s="105">
        <f t="shared" si="85"/>
        <v>9.9999999999999995E-8</v>
      </c>
      <c r="AB47" s="101" t="e">
        <f>$DT47*HLOOKUP($J47,'Construction Costs (timber)'!$B$1:$V$32,'Construction Planner'!$L47+2,FALSE)</f>
        <v>#N/A</v>
      </c>
      <c r="AC47" s="14" t="e">
        <f>$DT47*HLOOKUP($J47,'Construction Costs (clay)'!$B$1:$V$32,'Construction Planner'!$L47+2,FALSE)</f>
        <v>#N/A</v>
      </c>
      <c r="AD47" s="14" t="e">
        <f>$DT47*HLOOKUP($J47,'Construction Costs (iron)'!$B$1:$V$32,'Construction Planner'!$L47+2,FALSE)</f>
        <v>#N/A</v>
      </c>
      <c r="AE47" s="34" t="e">
        <f t="shared" si="81"/>
        <v>#N/A</v>
      </c>
      <c r="AF47" s="33" t="e">
        <f t="shared" si="5"/>
        <v>#N/A</v>
      </c>
      <c r="AG47" s="14" t="e">
        <f t="shared" si="6"/>
        <v>#N/A</v>
      </c>
      <c r="AH47" s="14" t="e">
        <f t="shared" si="7"/>
        <v>#N/A</v>
      </c>
      <c r="AI47" s="34" t="e">
        <f t="shared" si="82"/>
        <v>#N/A</v>
      </c>
      <c r="AJ47" s="49" t="e">
        <f t="shared" si="32"/>
        <v>#N/A</v>
      </c>
      <c r="AK47" s="49" t="e">
        <f t="shared" si="33"/>
        <v>#N/A</v>
      </c>
      <c r="AL47" s="49" t="e">
        <f t="shared" si="34"/>
        <v>#N/A</v>
      </c>
      <c r="AM47" s="25">
        <f t="shared" si="8"/>
        <v>30</v>
      </c>
      <c r="AN47" s="25">
        <f t="shared" si="9"/>
        <v>30</v>
      </c>
      <c r="AO47" s="25">
        <f t="shared" si="10"/>
        <v>30</v>
      </c>
      <c r="AP47" s="52" t="e">
        <f t="shared" si="35"/>
        <v>#N/A</v>
      </c>
      <c r="AQ47" s="53" t="e">
        <f t="shared" si="35"/>
        <v>#N/A</v>
      </c>
      <c r="AR47" s="54" t="e">
        <f t="shared" si="35"/>
        <v>#N/A</v>
      </c>
      <c r="AS47" s="316">
        <f t="shared" si="83"/>
        <v>0</v>
      </c>
      <c r="AT47" s="106">
        <f>_xlfn.IFNA($M47/VLOOKUP($BT47,'Unit information'!$A$2:$K$29,2,FALSE)*R47,0)*(1+$E$9)</f>
        <v>0</v>
      </c>
      <c r="AU47" s="107">
        <f>_xlfn.IFNA($M47/VLOOKUP($BT47,'Unit information'!$A$2:$K$29,3,FALSE)*S47,0)*(1+$E$9)</f>
        <v>0</v>
      </c>
      <c r="AV47" s="107">
        <f>_xlfn.IFNA($M47/VLOOKUP($BT47,'Unit information'!$A$2:$K$29,4,FALSE)*T47,0)*(1+$E$9)</f>
        <v>0</v>
      </c>
      <c r="AW47" s="107">
        <f>_xlfn.IFNA($M47/VLOOKUP($BT47,'Unit information'!$A$2:$K$29,5,FALSE)*U47,0)*(1+$E$9)</f>
        <v>0</v>
      </c>
      <c r="AX47" s="107">
        <f>_xlfn.IFNA($M47/VLOOKUP($BU47,'Unit information'!$A$2:$K$29,6,FALSE)*V47,0)*(1+$E$9)</f>
        <v>0</v>
      </c>
      <c r="AY47" s="107">
        <f>_xlfn.IFNA($M47/VLOOKUP($BU47,'Unit information'!$A$2:$K$29,7,FALSE)*W47,0)*(1+$E$9)</f>
        <v>0</v>
      </c>
      <c r="AZ47" s="107">
        <f>_xlfn.IFNA($M47/VLOOKUP($BU47,'Unit information'!$A$2:$K$29,8,FALSE)*X47,0)*(1+$E$9)</f>
        <v>0</v>
      </c>
      <c r="BA47" s="107">
        <f>_xlfn.IFNA($M47/VLOOKUP($BU47,'Unit information'!$A$2:$K$29,9,FALSE)*Y47,0)*(1+$E$9)</f>
        <v>0</v>
      </c>
      <c r="BB47" s="107">
        <f>_xlfn.IFNA($M47/VLOOKUP($BV47,'Unit information'!$A$2:$K$29,10,FALSE)*Z47,0)*(1+$E$9)</f>
        <v>0</v>
      </c>
      <c r="BC47" s="108">
        <f>_xlfn.IFNA($M47/VLOOKUP($BV47,'Unit information'!$A$2:$K$29,11,FALSE)*AA47,0)*(1+$E$9)</f>
        <v>0</v>
      </c>
      <c r="BD47" s="106">
        <f t="shared" si="12"/>
        <v>0</v>
      </c>
      <c r="BE47" s="107">
        <f t="shared" si="13"/>
        <v>0</v>
      </c>
      <c r="BF47" s="108">
        <f t="shared" si="14"/>
        <v>0</v>
      </c>
      <c r="BG47" s="25" t="e">
        <f t="shared" si="15"/>
        <v>#N/A</v>
      </c>
      <c r="BH47" s="25" t="e">
        <f t="shared" si="16"/>
        <v>#N/A</v>
      </c>
      <c r="BI47" s="25" t="e">
        <f t="shared" si="17"/>
        <v>#N/A</v>
      </c>
      <c r="BJ47" s="27" t="e">
        <f t="shared" si="18"/>
        <v>#N/A</v>
      </c>
      <c r="BK47" s="18" t="e">
        <f t="shared" si="19"/>
        <v>#N/A</v>
      </c>
      <c r="BL47" s="18" t="e">
        <f t="shared" si="20"/>
        <v>#N/A</v>
      </c>
      <c r="BM47" s="28" t="e">
        <f t="shared" si="84"/>
        <v>#N/A</v>
      </c>
      <c r="BN47" s="33">
        <f>HLOOKUP("maximum population",Miscelaneous!$C$1:$C$33,CH47+3,FALSE)</f>
        <v>240</v>
      </c>
      <c r="BO47" s="14">
        <f t="shared" si="36"/>
        <v>32</v>
      </c>
      <c r="BP47" s="14">
        <f t="shared" si="37"/>
        <v>0</v>
      </c>
      <c r="BQ47" s="14">
        <f t="shared" si="38"/>
        <v>208</v>
      </c>
      <c r="BR47" s="34" t="e">
        <f>HLOOKUP(J47,Villagers!$B$1:$V$33,L47+3,FALSE)-HLOOKUP(J47,Villagers!$B$1:$V$33,L47+2,FALSE)</f>
        <v>#N/A</v>
      </c>
      <c r="BS47" s="49">
        <f t="shared" si="39"/>
        <v>1</v>
      </c>
      <c r="BT47" s="50">
        <f t="shared" si="40"/>
        <v>0</v>
      </c>
      <c r="BU47" s="50">
        <f t="shared" si="41"/>
        <v>0</v>
      </c>
      <c r="BV47" s="50">
        <f t="shared" si="42"/>
        <v>0</v>
      </c>
      <c r="BW47" s="50">
        <f t="shared" si="43"/>
        <v>0</v>
      </c>
      <c r="BX47" s="50">
        <f t="shared" si="44"/>
        <v>0</v>
      </c>
      <c r="BY47" s="50">
        <f t="shared" si="44"/>
        <v>0</v>
      </c>
      <c r="BZ47" s="50">
        <f t="shared" si="45"/>
        <v>0</v>
      </c>
      <c r="CA47" s="50">
        <f t="shared" si="46"/>
        <v>0</v>
      </c>
      <c r="CB47" s="50">
        <f t="shared" si="47"/>
        <v>1</v>
      </c>
      <c r="CC47" s="50">
        <f t="shared" si="48"/>
        <v>0</v>
      </c>
      <c r="CD47" s="50">
        <f t="shared" si="49"/>
        <v>0</v>
      </c>
      <c r="CE47" s="50">
        <f t="shared" si="50"/>
        <v>1</v>
      </c>
      <c r="CF47" s="50">
        <f t="shared" si="51"/>
        <v>1</v>
      </c>
      <c r="CG47" s="50">
        <f t="shared" si="52"/>
        <v>1</v>
      </c>
      <c r="CH47" s="50">
        <f t="shared" si="53"/>
        <v>1</v>
      </c>
      <c r="CI47" s="50">
        <f t="shared" si="54"/>
        <v>1</v>
      </c>
      <c r="CJ47" s="50">
        <f t="shared" si="55"/>
        <v>1</v>
      </c>
      <c r="CK47" s="50">
        <f t="shared" si="56"/>
        <v>0</v>
      </c>
      <c r="CL47" s="50">
        <f t="shared" si="55"/>
        <v>0</v>
      </c>
      <c r="CM47" s="51">
        <f t="shared" si="57"/>
        <v>0</v>
      </c>
      <c r="CN47" s="33">
        <f>ROUND(IF(BS47=0,0,HLOOKUP(BS$14,Villagers!$B$1:$V$33,BS47+3,FALSE)),)</f>
        <v>5</v>
      </c>
      <c r="CO47" s="14">
        <f>ROUND(IF(BT47=0,0,HLOOKUP(BT$14,Villagers!$B$1:$V$33,BT47+3,FALSE)),)</f>
        <v>0</v>
      </c>
      <c r="CP47" s="14">
        <f>ROUND(IF(BU47=0,0,HLOOKUP(BU$14,Villagers!$B$1:$V$33,BU47+3,FALSE)),)</f>
        <v>0</v>
      </c>
      <c r="CQ47" s="14">
        <f>ROUND(IF(BV47=0,0,HLOOKUP(BV$14,Villagers!$B$1:$V$33,BV47+3,FALSE)),)</f>
        <v>0</v>
      </c>
      <c r="CR47" s="14">
        <f>ROUND(IF(BW47=0,0,HLOOKUP(BW$14,Villagers!$B$1:$V$33,BW47+3,FALSE)),)</f>
        <v>0</v>
      </c>
      <c r="CS47" s="14">
        <f>ROUND(IF(BX47=0,0,HLOOKUP(BX$14,Villagers!$B$1:$V$33,BX47+3,FALSE)),)</f>
        <v>0</v>
      </c>
      <c r="CT47" s="14">
        <f>ROUND(IF(BY47=0,0,HLOOKUP(BY$14,Villagers!$B$1:$V$33,BY47+3,FALSE)),)</f>
        <v>0</v>
      </c>
      <c r="CU47" s="14">
        <f>ROUND(IF(BZ47=0,0,HLOOKUP(BZ$14,Villagers!$B$1:$V$33,BZ47+3,FALSE)),)</f>
        <v>0</v>
      </c>
      <c r="CV47" s="14">
        <f>ROUND(IF(CA47=0,0,HLOOKUP(CA$14,Villagers!$B$1:$V$33,CA47+3,FALSE)),)</f>
        <v>0</v>
      </c>
      <c r="CW47" s="14">
        <f>ROUND(IF(CB47=0,0,HLOOKUP(CB$14,Villagers!$B$1:$V$33,CB47+3,FALSE)),)</f>
        <v>0</v>
      </c>
      <c r="CX47" s="14">
        <f>ROUND(IF(CC47=0,0,HLOOKUP(CC$14,Villagers!$B$1:$V$33,CC47+3,FALSE)),)</f>
        <v>0</v>
      </c>
      <c r="CY47" s="14">
        <f>ROUND(IF(CD47=0,0,HLOOKUP(CD$14,Villagers!$B$1:$V$33,CD47+3,FALSE)),)</f>
        <v>0</v>
      </c>
      <c r="CZ47" s="14">
        <f>ROUND(IF(CE47=0,0,HLOOKUP(CE$14,Villagers!$B$1:$V$33,CE47+3,FALSE)),)</f>
        <v>5</v>
      </c>
      <c r="DA47" s="14">
        <f>ROUND(IF(CF47=0,0,HLOOKUP(CF$14,Villagers!$B$1:$V$33,CF47+3,FALSE)),)</f>
        <v>10</v>
      </c>
      <c r="DB47" s="14">
        <f>ROUND(IF(CG47=0,0,HLOOKUP(CG$14,Villagers!$B$1:$V$33,CG47+3,FALSE)),)</f>
        <v>10</v>
      </c>
      <c r="DC47" s="14">
        <f>ROUND(IF(CH47=0,0,HLOOKUP(CH$14,Villagers!$B$1:$V$33,CH47+3,FALSE)),)</f>
        <v>0</v>
      </c>
      <c r="DD47" s="14">
        <f>ROUND(IF(CI47=0,0,HLOOKUP(CI$14,Villagers!$B$1:$V$33,CI47+3,FALSE)),)</f>
        <v>0</v>
      </c>
      <c r="DE47" s="14">
        <f>ROUND(IF(CJ47=0,0,HLOOKUP(CJ$14,Villagers!$B$1:$V$33,CJ47+3,FALSE)),)</f>
        <v>2</v>
      </c>
      <c r="DF47" s="370">
        <f>ROUND(IF(CK47=0,0,HLOOKUP(CK$14,Villagers!$B$1:$V$33,CK47+3,FALSE)),)</f>
        <v>0</v>
      </c>
      <c r="DG47" s="370">
        <f>ROUND(IF(CL47=0,0,HLOOKUP(CL$14,Villagers!$B$1:$V$33,CL47+3,FALSE)),)</f>
        <v>0</v>
      </c>
      <c r="DH47" s="34">
        <f>ROUND(IF(CM47=0,0,HLOOKUP(CM$14,Villagers!$B$1:$V$33,CM47+3,FALSE)),)</f>
        <v>0</v>
      </c>
      <c r="DI47" s="109">
        <f t="shared" si="73"/>
        <v>0</v>
      </c>
      <c r="DJ47" s="50">
        <f t="shared" si="74"/>
        <v>0</v>
      </c>
      <c r="DK47" s="50">
        <f t="shared" si="75"/>
        <v>0</v>
      </c>
      <c r="DL47" s="50">
        <f t="shared" si="76"/>
        <v>0</v>
      </c>
      <c r="DM47" s="50">
        <f t="shared" si="77"/>
        <v>0</v>
      </c>
      <c r="DN47" s="50">
        <f t="shared" si="78"/>
        <v>0</v>
      </c>
      <c r="DO47" s="50">
        <f t="shared" si="79"/>
        <v>0</v>
      </c>
      <c r="DP47" s="50">
        <f t="shared" si="80"/>
        <v>0</v>
      </c>
      <c r="DQ47" s="50">
        <f t="shared" si="59"/>
        <v>0</v>
      </c>
      <c r="DR47" s="50">
        <f t="shared" si="60"/>
        <v>0</v>
      </c>
      <c r="DS47" s="96">
        <f>Miscelaneous!$D$4*Miscelaneous!$D$2^($CI47-1)</f>
        <v>1000</v>
      </c>
      <c r="DT47" s="333">
        <f t="shared" si="61"/>
        <v>1</v>
      </c>
      <c r="DU47" s="81">
        <v>1</v>
      </c>
      <c r="DV47" s="79">
        <f t="shared" si="62"/>
        <v>0</v>
      </c>
      <c r="DW47" s="79">
        <f t="shared" si="23"/>
        <v>0</v>
      </c>
      <c r="DX47" s="79">
        <f t="shared" si="63"/>
        <v>0</v>
      </c>
      <c r="DY47" s="79">
        <v>1</v>
      </c>
      <c r="DZ47" s="79">
        <f t="shared" si="24"/>
        <v>0</v>
      </c>
      <c r="EA47" s="79">
        <f t="shared" si="64"/>
        <v>0</v>
      </c>
      <c r="EB47" s="79">
        <f t="shared" si="65"/>
        <v>0</v>
      </c>
      <c r="EC47" s="79">
        <f t="shared" si="66"/>
        <v>0</v>
      </c>
      <c r="ED47" s="79">
        <v>1</v>
      </c>
      <c r="EE47" s="79">
        <v>1</v>
      </c>
      <c r="EF47" s="79">
        <f t="shared" si="67"/>
        <v>0</v>
      </c>
      <c r="EG47" s="79">
        <v>1</v>
      </c>
      <c r="EH47" s="79">
        <v>1</v>
      </c>
      <c r="EI47" s="79">
        <v>1</v>
      </c>
      <c r="EJ47" s="79">
        <v>1</v>
      </c>
      <c r="EK47" s="79">
        <v>1</v>
      </c>
      <c r="EL47" s="79">
        <v>1</v>
      </c>
      <c r="EM47" s="143">
        <f t="shared" si="68"/>
        <v>0</v>
      </c>
      <c r="EN47" s="143">
        <f t="shared" si="69"/>
        <v>0</v>
      </c>
      <c r="EO47" s="82">
        <f t="shared" si="70"/>
        <v>0</v>
      </c>
    </row>
    <row r="48" spans="1:145" x14ac:dyDescent="0.25">
      <c r="A48">
        <v>34</v>
      </c>
      <c r="B48" s="172" t="e">
        <f t="shared" si="25"/>
        <v>#N/A</v>
      </c>
      <c r="C48" s="121" t="e">
        <f t="shared" si="0"/>
        <v>#N/A</v>
      </c>
      <c r="D48" s="122" t="e">
        <f t="shared" si="1"/>
        <v>#N/A</v>
      </c>
      <c r="E48" s="122" t="e">
        <f t="shared" si="2"/>
        <v>#N/A</v>
      </c>
      <c r="F48" s="176" t="e">
        <f t="shared" si="3"/>
        <v>#N/A</v>
      </c>
      <c r="G48" s="121">
        <f t="shared" si="26"/>
        <v>208</v>
      </c>
      <c r="H48" s="176" t="e">
        <f t="shared" si="27"/>
        <v>#N/A</v>
      </c>
      <c r="I48" s="48">
        <v>1</v>
      </c>
      <c r="J48" s="39"/>
      <c r="K48" s="350">
        <v>1</v>
      </c>
      <c r="L48" s="34" t="e">
        <f t="shared" si="4"/>
        <v>#N/A</v>
      </c>
      <c r="M48" s="38" t="e">
        <f>(HLOOKUP(J48,'Construction Times'!$B$3:$W$34,L48+2,FALSE)*HLOOKUP("hq modifier",'Construction Times'!$W$3:$W$34,BS48+2,FALSE))*(1-$H$9)</f>
        <v>#N/A</v>
      </c>
      <c r="N48" s="443" t="e">
        <f t="shared" si="28"/>
        <v>#N/A</v>
      </c>
      <c r="O48" s="444"/>
      <c r="P48" s="447" t="e">
        <f t="shared" si="29"/>
        <v>#N/A</v>
      </c>
      <c r="Q48" s="448"/>
      <c r="R48" s="103">
        <f t="shared" si="71"/>
        <v>0</v>
      </c>
      <c r="S48" s="104">
        <f t="shared" si="71"/>
        <v>0</v>
      </c>
      <c r="T48" s="104">
        <f t="shared" si="72"/>
        <v>0</v>
      </c>
      <c r="U48" s="104">
        <f t="shared" si="72"/>
        <v>0</v>
      </c>
      <c r="V48" s="104">
        <f t="shared" si="72"/>
        <v>9.9999999999999995E-8</v>
      </c>
      <c r="W48" s="104">
        <f t="shared" si="72"/>
        <v>0</v>
      </c>
      <c r="X48" s="104">
        <f t="shared" si="85"/>
        <v>0</v>
      </c>
      <c r="Y48" s="104">
        <f t="shared" si="85"/>
        <v>9.9999999999999995E-8</v>
      </c>
      <c r="Z48" s="104">
        <f t="shared" si="85"/>
        <v>9.9999999999999995E-8</v>
      </c>
      <c r="AA48" s="105">
        <f t="shared" si="85"/>
        <v>9.9999999999999995E-8</v>
      </c>
      <c r="AB48" s="101" t="e">
        <f>$DT48*HLOOKUP($J48,'Construction Costs (timber)'!$B$1:$V$32,'Construction Planner'!$L48+2,FALSE)</f>
        <v>#N/A</v>
      </c>
      <c r="AC48" s="14" t="e">
        <f>$DT48*HLOOKUP($J48,'Construction Costs (clay)'!$B$1:$V$32,'Construction Planner'!$L48+2,FALSE)</f>
        <v>#N/A</v>
      </c>
      <c r="AD48" s="14" t="e">
        <f>$DT48*HLOOKUP($J48,'Construction Costs (iron)'!$B$1:$V$32,'Construction Planner'!$L48+2,FALSE)</f>
        <v>#N/A</v>
      </c>
      <c r="AE48" s="34" t="e">
        <f t="shared" si="81"/>
        <v>#N/A</v>
      </c>
      <c r="AF48" s="33" t="e">
        <f t="shared" si="5"/>
        <v>#N/A</v>
      </c>
      <c r="AG48" s="14" t="e">
        <f t="shared" si="6"/>
        <v>#N/A</v>
      </c>
      <c r="AH48" s="14" t="e">
        <f t="shared" si="7"/>
        <v>#N/A</v>
      </c>
      <c r="AI48" s="34" t="e">
        <f t="shared" si="82"/>
        <v>#N/A</v>
      </c>
      <c r="AJ48" s="49" t="e">
        <f t="shared" si="32"/>
        <v>#N/A</v>
      </c>
      <c r="AK48" s="49" t="e">
        <f t="shared" si="33"/>
        <v>#N/A</v>
      </c>
      <c r="AL48" s="49" t="e">
        <f t="shared" si="34"/>
        <v>#N/A</v>
      </c>
      <c r="AM48" s="25">
        <f t="shared" si="8"/>
        <v>30</v>
      </c>
      <c r="AN48" s="25">
        <f t="shared" si="9"/>
        <v>30</v>
      </c>
      <c r="AO48" s="25">
        <f t="shared" si="10"/>
        <v>30</v>
      </c>
      <c r="AP48" s="52" t="e">
        <f t="shared" si="35"/>
        <v>#N/A</v>
      </c>
      <c r="AQ48" s="53" t="e">
        <f t="shared" si="35"/>
        <v>#N/A</v>
      </c>
      <c r="AR48" s="54" t="e">
        <f t="shared" si="35"/>
        <v>#N/A</v>
      </c>
      <c r="AS48" s="316">
        <f t="shared" si="83"/>
        <v>0</v>
      </c>
      <c r="AT48" s="106">
        <f>_xlfn.IFNA($M48/VLOOKUP($BT48,'Unit information'!$A$2:$K$29,2,FALSE)*R48,0)*(1+$E$9)</f>
        <v>0</v>
      </c>
      <c r="AU48" s="107">
        <f>_xlfn.IFNA($M48/VLOOKUP($BT48,'Unit information'!$A$2:$K$29,3,FALSE)*S48,0)*(1+$E$9)</f>
        <v>0</v>
      </c>
      <c r="AV48" s="107">
        <f>_xlfn.IFNA($M48/VLOOKUP($BT48,'Unit information'!$A$2:$K$29,4,FALSE)*T48,0)*(1+$E$9)</f>
        <v>0</v>
      </c>
      <c r="AW48" s="107">
        <f>_xlfn.IFNA($M48/VLOOKUP($BT48,'Unit information'!$A$2:$K$29,5,FALSE)*U48,0)*(1+$E$9)</f>
        <v>0</v>
      </c>
      <c r="AX48" s="107">
        <f>_xlfn.IFNA($M48/VLOOKUP($BU48,'Unit information'!$A$2:$K$29,6,FALSE)*V48,0)*(1+$E$9)</f>
        <v>0</v>
      </c>
      <c r="AY48" s="107">
        <f>_xlfn.IFNA($M48/VLOOKUP($BU48,'Unit information'!$A$2:$K$29,7,FALSE)*W48,0)*(1+$E$9)</f>
        <v>0</v>
      </c>
      <c r="AZ48" s="107">
        <f>_xlfn.IFNA($M48/VLOOKUP($BU48,'Unit information'!$A$2:$K$29,8,FALSE)*X48,0)*(1+$E$9)</f>
        <v>0</v>
      </c>
      <c r="BA48" s="107">
        <f>_xlfn.IFNA($M48/VLOOKUP($BU48,'Unit information'!$A$2:$K$29,9,FALSE)*Y48,0)*(1+$E$9)</f>
        <v>0</v>
      </c>
      <c r="BB48" s="107">
        <f>_xlfn.IFNA($M48/VLOOKUP($BV48,'Unit information'!$A$2:$K$29,10,FALSE)*Z48,0)*(1+$E$9)</f>
        <v>0</v>
      </c>
      <c r="BC48" s="108">
        <f>_xlfn.IFNA($M48/VLOOKUP($BV48,'Unit information'!$A$2:$K$29,11,FALSE)*AA48,0)*(1+$E$9)</f>
        <v>0</v>
      </c>
      <c r="BD48" s="106">
        <f t="shared" si="12"/>
        <v>0</v>
      </c>
      <c r="BE48" s="107">
        <f t="shared" si="13"/>
        <v>0</v>
      </c>
      <c r="BF48" s="108">
        <f t="shared" si="14"/>
        <v>0</v>
      </c>
      <c r="BG48" s="25" t="e">
        <f t="shared" si="15"/>
        <v>#N/A</v>
      </c>
      <c r="BH48" s="25" t="e">
        <f t="shared" si="16"/>
        <v>#N/A</v>
      </c>
      <c r="BI48" s="25" t="e">
        <f t="shared" si="17"/>
        <v>#N/A</v>
      </c>
      <c r="BJ48" s="27" t="e">
        <f t="shared" si="18"/>
        <v>#N/A</v>
      </c>
      <c r="BK48" s="18" t="e">
        <f t="shared" si="19"/>
        <v>#N/A</v>
      </c>
      <c r="BL48" s="18" t="e">
        <f t="shared" si="20"/>
        <v>#N/A</v>
      </c>
      <c r="BM48" s="28" t="e">
        <f t="shared" si="84"/>
        <v>#N/A</v>
      </c>
      <c r="BN48" s="33">
        <f>HLOOKUP("maximum population",Miscelaneous!$C$1:$C$33,CH48+3,FALSE)</f>
        <v>240</v>
      </c>
      <c r="BO48" s="14">
        <f t="shared" si="36"/>
        <v>32</v>
      </c>
      <c r="BP48" s="14">
        <f t="shared" si="37"/>
        <v>0</v>
      </c>
      <c r="BQ48" s="14">
        <f t="shared" si="38"/>
        <v>208</v>
      </c>
      <c r="BR48" s="34" t="e">
        <f>HLOOKUP(J48,Villagers!$B$1:$V$33,L48+3,FALSE)-HLOOKUP(J48,Villagers!$B$1:$V$33,L48+2,FALSE)</f>
        <v>#N/A</v>
      </c>
      <c r="BS48" s="49">
        <f t="shared" si="39"/>
        <v>1</v>
      </c>
      <c r="BT48" s="50">
        <f t="shared" si="40"/>
        <v>0</v>
      </c>
      <c r="BU48" s="50">
        <f t="shared" si="41"/>
        <v>0</v>
      </c>
      <c r="BV48" s="50">
        <f t="shared" ref="BV48:BV79" si="86">IF($J47=BV$14,$L47,BV47)</f>
        <v>0</v>
      </c>
      <c r="BW48" s="50">
        <f t="shared" ref="BW48:BW79" si="87">IF($J47=BW$14,$L47,BW47)</f>
        <v>0</v>
      </c>
      <c r="BX48" s="50">
        <f t="shared" ref="BX48:BY79" si="88">IF($J47=BX$14,$L47,BX47)</f>
        <v>0</v>
      </c>
      <c r="BY48" s="50">
        <f t="shared" si="88"/>
        <v>0</v>
      </c>
      <c r="BZ48" s="50">
        <f t="shared" si="45"/>
        <v>0</v>
      </c>
      <c r="CA48" s="50">
        <f t="shared" si="46"/>
        <v>0</v>
      </c>
      <c r="CB48" s="50">
        <f t="shared" si="47"/>
        <v>1</v>
      </c>
      <c r="CC48" s="50">
        <f t="shared" si="48"/>
        <v>0</v>
      </c>
      <c r="CD48" s="50">
        <f t="shared" si="49"/>
        <v>0</v>
      </c>
      <c r="CE48" s="50">
        <f t="shared" si="50"/>
        <v>1</v>
      </c>
      <c r="CF48" s="50">
        <f t="shared" si="51"/>
        <v>1</v>
      </c>
      <c r="CG48" s="50">
        <f t="shared" si="52"/>
        <v>1</v>
      </c>
      <c r="CH48" s="50">
        <f t="shared" si="53"/>
        <v>1</v>
      </c>
      <c r="CI48" s="50">
        <f t="shared" si="54"/>
        <v>1</v>
      </c>
      <c r="CJ48" s="50">
        <f t="shared" si="55"/>
        <v>1</v>
      </c>
      <c r="CK48" s="50">
        <f t="shared" si="56"/>
        <v>0</v>
      </c>
      <c r="CL48" s="50">
        <f t="shared" si="55"/>
        <v>0</v>
      </c>
      <c r="CM48" s="51">
        <f t="shared" si="57"/>
        <v>0</v>
      </c>
      <c r="CN48" s="33">
        <f>ROUND(IF(BS48=0,0,HLOOKUP(BS$14,Villagers!$B$1:$V$33,BS48+3,FALSE)),)</f>
        <v>5</v>
      </c>
      <c r="CO48" s="14">
        <f>ROUND(IF(BT48=0,0,HLOOKUP(BT$14,Villagers!$B$1:$V$33,BT48+3,FALSE)),)</f>
        <v>0</v>
      </c>
      <c r="CP48" s="14">
        <f>ROUND(IF(BU48=0,0,HLOOKUP(BU$14,Villagers!$B$1:$V$33,BU48+3,FALSE)),)</f>
        <v>0</v>
      </c>
      <c r="CQ48" s="14">
        <f>ROUND(IF(BV48=0,0,HLOOKUP(BV$14,Villagers!$B$1:$V$33,BV48+3,FALSE)),)</f>
        <v>0</v>
      </c>
      <c r="CR48" s="14">
        <f>ROUND(IF(BW48=0,0,HLOOKUP(BW$14,Villagers!$B$1:$V$33,BW48+3,FALSE)),)</f>
        <v>0</v>
      </c>
      <c r="CS48" s="14">
        <f>ROUND(IF(BX48=0,0,HLOOKUP(BX$14,Villagers!$B$1:$V$33,BX48+3,FALSE)),)</f>
        <v>0</v>
      </c>
      <c r="CT48" s="14">
        <f>ROUND(IF(BY48=0,0,HLOOKUP(BY$14,Villagers!$B$1:$V$33,BY48+3,FALSE)),)</f>
        <v>0</v>
      </c>
      <c r="CU48" s="14">
        <f>ROUND(IF(BZ48=0,0,HLOOKUP(BZ$14,Villagers!$B$1:$V$33,BZ48+3,FALSE)),)</f>
        <v>0</v>
      </c>
      <c r="CV48" s="14">
        <f>ROUND(IF(CA48=0,0,HLOOKUP(CA$14,Villagers!$B$1:$V$33,CA48+3,FALSE)),)</f>
        <v>0</v>
      </c>
      <c r="CW48" s="14">
        <f>ROUND(IF(CB48=0,0,HLOOKUP(CB$14,Villagers!$B$1:$V$33,CB48+3,FALSE)),)</f>
        <v>0</v>
      </c>
      <c r="CX48" s="14">
        <f>ROUND(IF(CC48=0,0,HLOOKUP(CC$14,Villagers!$B$1:$V$33,CC48+3,FALSE)),)</f>
        <v>0</v>
      </c>
      <c r="CY48" s="14">
        <f>ROUND(IF(CD48=0,0,HLOOKUP(CD$14,Villagers!$B$1:$V$33,CD48+3,FALSE)),)</f>
        <v>0</v>
      </c>
      <c r="CZ48" s="14">
        <f>ROUND(IF(CE48=0,0,HLOOKUP(CE$14,Villagers!$B$1:$V$33,CE48+3,FALSE)),)</f>
        <v>5</v>
      </c>
      <c r="DA48" s="14">
        <f>ROUND(IF(CF48=0,0,HLOOKUP(CF$14,Villagers!$B$1:$V$33,CF48+3,FALSE)),)</f>
        <v>10</v>
      </c>
      <c r="DB48" s="14">
        <f>ROUND(IF(CG48=0,0,HLOOKUP(CG$14,Villagers!$B$1:$V$33,CG48+3,FALSE)),)</f>
        <v>10</v>
      </c>
      <c r="DC48" s="14">
        <f>ROUND(IF(CH48=0,0,HLOOKUP(CH$14,Villagers!$B$1:$V$33,CH48+3,FALSE)),)</f>
        <v>0</v>
      </c>
      <c r="DD48" s="14">
        <f>ROUND(IF(CI48=0,0,HLOOKUP(CI$14,Villagers!$B$1:$V$33,CI48+3,FALSE)),)</f>
        <v>0</v>
      </c>
      <c r="DE48" s="14">
        <f>ROUND(IF(CJ48=0,0,HLOOKUP(CJ$14,Villagers!$B$1:$V$33,CJ48+3,FALSE)),)</f>
        <v>2</v>
      </c>
      <c r="DF48" s="370">
        <f>ROUND(IF(CK48=0,0,HLOOKUP(CK$14,Villagers!$B$1:$V$33,CK48+3,FALSE)),)</f>
        <v>0</v>
      </c>
      <c r="DG48" s="370">
        <f>ROUND(IF(CL48=0,0,HLOOKUP(CL$14,Villagers!$B$1:$V$33,CL48+3,FALSE)),)</f>
        <v>0</v>
      </c>
      <c r="DH48" s="34">
        <f>ROUND(IF(CM48=0,0,HLOOKUP(CM$14,Villagers!$B$1:$V$33,CM48+3,FALSE)),)</f>
        <v>0</v>
      </c>
      <c r="DI48" s="109">
        <f t="shared" si="73"/>
        <v>0</v>
      </c>
      <c r="DJ48" s="50">
        <f t="shared" si="74"/>
        <v>0</v>
      </c>
      <c r="DK48" s="50">
        <f t="shared" si="75"/>
        <v>0</v>
      </c>
      <c r="DL48" s="50">
        <f t="shared" si="76"/>
        <v>0</v>
      </c>
      <c r="DM48" s="50">
        <f t="shared" si="77"/>
        <v>0</v>
      </c>
      <c r="DN48" s="50">
        <f t="shared" si="78"/>
        <v>0</v>
      </c>
      <c r="DO48" s="50">
        <f t="shared" si="79"/>
        <v>0</v>
      </c>
      <c r="DP48" s="50">
        <f t="shared" si="80"/>
        <v>0</v>
      </c>
      <c r="DQ48" s="50">
        <f t="shared" si="59"/>
        <v>0</v>
      </c>
      <c r="DR48" s="50">
        <f t="shared" si="60"/>
        <v>0</v>
      </c>
      <c r="DS48" s="96">
        <f>Miscelaneous!$D$4*Miscelaneous!$D$2^($CI48-1)</f>
        <v>1000</v>
      </c>
      <c r="DT48" s="333">
        <f t="shared" si="61"/>
        <v>1</v>
      </c>
      <c r="DU48" s="81">
        <v>1</v>
      </c>
      <c r="DV48" s="79">
        <f t="shared" si="62"/>
        <v>0</v>
      </c>
      <c r="DW48" s="79">
        <f t="shared" si="23"/>
        <v>0</v>
      </c>
      <c r="DX48" s="79">
        <f t="shared" si="63"/>
        <v>0</v>
      </c>
      <c r="DY48" s="79">
        <v>1</v>
      </c>
      <c r="DZ48" s="79">
        <f t="shared" si="24"/>
        <v>0</v>
      </c>
      <c r="EA48" s="79">
        <f t="shared" si="64"/>
        <v>0</v>
      </c>
      <c r="EB48" s="79">
        <f t="shared" si="65"/>
        <v>0</v>
      </c>
      <c r="EC48" s="79">
        <f t="shared" si="66"/>
        <v>0</v>
      </c>
      <c r="ED48" s="79">
        <v>1</v>
      </c>
      <c r="EE48" s="79">
        <v>1</v>
      </c>
      <c r="EF48" s="79">
        <f t="shared" si="67"/>
        <v>0</v>
      </c>
      <c r="EG48" s="79">
        <v>1</v>
      </c>
      <c r="EH48" s="79">
        <v>1</v>
      </c>
      <c r="EI48" s="79">
        <v>1</v>
      </c>
      <c r="EJ48" s="79">
        <v>1</v>
      </c>
      <c r="EK48" s="79">
        <v>1</v>
      </c>
      <c r="EL48" s="79">
        <v>1</v>
      </c>
      <c r="EM48" s="143">
        <f t="shared" si="68"/>
        <v>0</v>
      </c>
      <c r="EN48" s="143">
        <f t="shared" si="69"/>
        <v>0</v>
      </c>
      <c r="EO48" s="82">
        <f t="shared" si="70"/>
        <v>0</v>
      </c>
    </row>
    <row r="49" spans="1:145" x14ac:dyDescent="0.25">
      <c r="A49">
        <v>35</v>
      </c>
      <c r="B49" s="172" t="e">
        <f t="shared" si="25"/>
        <v>#N/A</v>
      </c>
      <c r="C49" s="121" t="e">
        <f t="shared" si="0"/>
        <v>#N/A</v>
      </c>
      <c r="D49" s="122" t="e">
        <f t="shared" si="1"/>
        <v>#N/A</v>
      </c>
      <c r="E49" s="122" t="e">
        <f t="shared" si="2"/>
        <v>#N/A</v>
      </c>
      <c r="F49" s="176" t="e">
        <f t="shared" si="3"/>
        <v>#N/A</v>
      </c>
      <c r="G49" s="121">
        <f t="shared" si="26"/>
        <v>208</v>
      </c>
      <c r="H49" s="176" t="e">
        <f t="shared" si="27"/>
        <v>#N/A</v>
      </c>
      <c r="I49" s="48">
        <v>1</v>
      </c>
      <c r="J49" s="39"/>
      <c r="K49" s="350">
        <v>1</v>
      </c>
      <c r="L49" s="34" t="e">
        <f t="shared" si="4"/>
        <v>#N/A</v>
      </c>
      <c r="M49" s="38" t="e">
        <f>(HLOOKUP(J49,'Construction Times'!$B$3:$W$34,L49+2,FALSE)*HLOOKUP("hq modifier",'Construction Times'!$W$3:$W$34,BS49+2,FALSE))*(1-$H$9)</f>
        <v>#N/A</v>
      </c>
      <c r="N49" s="443" t="e">
        <f t="shared" si="28"/>
        <v>#N/A</v>
      </c>
      <c r="O49" s="444"/>
      <c r="P49" s="447" t="e">
        <f t="shared" si="29"/>
        <v>#N/A</v>
      </c>
      <c r="Q49" s="448"/>
      <c r="R49" s="103">
        <f t="shared" si="71"/>
        <v>0</v>
      </c>
      <c r="S49" s="104">
        <f t="shared" si="71"/>
        <v>0</v>
      </c>
      <c r="T49" s="104">
        <f t="shared" si="72"/>
        <v>0</v>
      </c>
      <c r="U49" s="104">
        <f t="shared" si="72"/>
        <v>0</v>
      </c>
      <c r="V49" s="104">
        <f t="shared" si="72"/>
        <v>9.9999999999999995E-8</v>
      </c>
      <c r="W49" s="104">
        <f t="shared" si="72"/>
        <v>0</v>
      </c>
      <c r="X49" s="104">
        <f t="shared" si="85"/>
        <v>0</v>
      </c>
      <c r="Y49" s="104">
        <f t="shared" si="85"/>
        <v>9.9999999999999995E-8</v>
      </c>
      <c r="Z49" s="104">
        <f t="shared" si="85"/>
        <v>9.9999999999999995E-8</v>
      </c>
      <c r="AA49" s="105">
        <f t="shared" si="85"/>
        <v>9.9999999999999995E-8</v>
      </c>
      <c r="AB49" s="101" t="e">
        <f>$DT49*HLOOKUP($J49,'Construction Costs (timber)'!$B$1:$V$32,'Construction Planner'!$L49+2,FALSE)</f>
        <v>#N/A</v>
      </c>
      <c r="AC49" s="14" t="e">
        <f>$DT49*HLOOKUP($J49,'Construction Costs (clay)'!$B$1:$V$32,'Construction Planner'!$L49+2,FALSE)</f>
        <v>#N/A</v>
      </c>
      <c r="AD49" s="14" t="e">
        <f>$DT49*HLOOKUP($J49,'Construction Costs (iron)'!$B$1:$V$32,'Construction Planner'!$L49+2,FALSE)</f>
        <v>#N/A</v>
      </c>
      <c r="AE49" s="34" t="e">
        <f t="shared" si="81"/>
        <v>#N/A</v>
      </c>
      <c r="AF49" s="33" t="e">
        <f t="shared" si="5"/>
        <v>#N/A</v>
      </c>
      <c r="AG49" s="14" t="e">
        <f t="shared" si="6"/>
        <v>#N/A</v>
      </c>
      <c r="AH49" s="14" t="e">
        <f t="shared" si="7"/>
        <v>#N/A</v>
      </c>
      <c r="AI49" s="34" t="e">
        <f t="shared" si="82"/>
        <v>#N/A</v>
      </c>
      <c r="AJ49" s="49" t="e">
        <f t="shared" si="32"/>
        <v>#N/A</v>
      </c>
      <c r="AK49" s="49" t="e">
        <f t="shared" si="33"/>
        <v>#N/A</v>
      </c>
      <c r="AL49" s="49" t="e">
        <f t="shared" si="34"/>
        <v>#N/A</v>
      </c>
      <c r="AM49" s="25">
        <f t="shared" si="8"/>
        <v>30</v>
      </c>
      <c r="AN49" s="25">
        <f t="shared" si="9"/>
        <v>30</v>
      </c>
      <c r="AO49" s="25">
        <f t="shared" si="10"/>
        <v>30</v>
      </c>
      <c r="AP49" s="52" t="e">
        <f t="shared" si="35"/>
        <v>#N/A</v>
      </c>
      <c r="AQ49" s="53" t="e">
        <f t="shared" si="35"/>
        <v>#N/A</v>
      </c>
      <c r="AR49" s="54" t="e">
        <f t="shared" si="35"/>
        <v>#N/A</v>
      </c>
      <c r="AS49" s="316">
        <f t="shared" si="83"/>
        <v>0</v>
      </c>
      <c r="AT49" s="106">
        <f>_xlfn.IFNA($M49/VLOOKUP($BT49,'Unit information'!$A$2:$K$29,2,FALSE)*R49,0)*(1+$E$9)</f>
        <v>0</v>
      </c>
      <c r="AU49" s="107">
        <f>_xlfn.IFNA($M49/VLOOKUP($BT49,'Unit information'!$A$2:$K$29,3,FALSE)*S49,0)*(1+$E$9)</f>
        <v>0</v>
      </c>
      <c r="AV49" s="107">
        <f>_xlfn.IFNA($M49/VLOOKUP($BT49,'Unit information'!$A$2:$K$29,4,FALSE)*T49,0)*(1+$E$9)</f>
        <v>0</v>
      </c>
      <c r="AW49" s="107">
        <f>_xlfn.IFNA($M49/VLOOKUP($BT49,'Unit information'!$A$2:$K$29,5,FALSE)*U49,0)*(1+$E$9)</f>
        <v>0</v>
      </c>
      <c r="AX49" s="107">
        <f>_xlfn.IFNA($M49/VLOOKUP($BU49,'Unit information'!$A$2:$K$29,6,FALSE)*V49,0)*(1+$E$9)</f>
        <v>0</v>
      </c>
      <c r="AY49" s="107">
        <f>_xlfn.IFNA($M49/VLOOKUP($BU49,'Unit information'!$A$2:$K$29,7,FALSE)*W49,0)*(1+$E$9)</f>
        <v>0</v>
      </c>
      <c r="AZ49" s="107">
        <f>_xlfn.IFNA($M49/VLOOKUP($BU49,'Unit information'!$A$2:$K$29,8,FALSE)*X49,0)*(1+$E$9)</f>
        <v>0</v>
      </c>
      <c r="BA49" s="107">
        <f>_xlfn.IFNA($M49/VLOOKUP($BU49,'Unit information'!$A$2:$K$29,9,FALSE)*Y49,0)*(1+$E$9)</f>
        <v>0</v>
      </c>
      <c r="BB49" s="107">
        <f>_xlfn.IFNA($M49/VLOOKUP($BV49,'Unit information'!$A$2:$K$29,10,FALSE)*Z49,0)*(1+$E$9)</f>
        <v>0</v>
      </c>
      <c r="BC49" s="108">
        <f>_xlfn.IFNA($M49/VLOOKUP($BV49,'Unit information'!$A$2:$K$29,11,FALSE)*AA49,0)*(1+$E$9)</f>
        <v>0</v>
      </c>
      <c r="BD49" s="106">
        <f t="shared" si="12"/>
        <v>0</v>
      </c>
      <c r="BE49" s="107">
        <f t="shared" si="13"/>
        <v>0</v>
      </c>
      <c r="BF49" s="108">
        <f t="shared" si="14"/>
        <v>0</v>
      </c>
      <c r="BG49" s="25" t="e">
        <f t="shared" si="15"/>
        <v>#N/A</v>
      </c>
      <c r="BH49" s="25" t="e">
        <f t="shared" si="16"/>
        <v>#N/A</v>
      </c>
      <c r="BI49" s="25" t="e">
        <f t="shared" si="17"/>
        <v>#N/A</v>
      </c>
      <c r="BJ49" s="27" t="e">
        <f t="shared" si="18"/>
        <v>#N/A</v>
      </c>
      <c r="BK49" s="18" t="e">
        <f t="shared" si="19"/>
        <v>#N/A</v>
      </c>
      <c r="BL49" s="18" t="e">
        <f t="shared" si="20"/>
        <v>#N/A</v>
      </c>
      <c r="BM49" s="28" t="e">
        <f t="shared" si="84"/>
        <v>#N/A</v>
      </c>
      <c r="BN49" s="33">
        <f>HLOOKUP("maximum population",Miscelaneous!$C$1:$C$33,CH49+3,FALSE)</f>
        <v>240</v>
      </c>
      <c r="BO49" s="14">
        <f t="shared" si="36"/>
        <v>32</v>
      </c>
      <c r="BP49" s="14">
        <f t="shared" si="37"/>
        <v>0</v>
      </c>
      <c r="BQ49" s="14">
        <f t="shared" si="38"/>
        <v>208</v>
      </c>
      <c r="BR49" s="34" t="e">
        <f>HLOOKUP(J49,Villagers!$B$1:$V$33,L49+3,FALSE)-HLOOKUP(J49,Villagers!$B$1:$V$33,L49+2,FALSE)</f>
        <v>#N/A</v>
      </c>
      <c r="BS49" s="49">
        <f t="shared" si="39"/>
        <v>1</v>
      </c>
      <c r="BT49" s="50">
        <f t="shared" si="40"/>
        <v>0</v>
      </c>
      <c r="BU49" s="50">
        <f t="shared" si="41"/>
        <v>0</v>
      </c>
      <c r="BV49" s="50">
        <f t="shared" si="86"/>
        <v>0</v>
      </c>
      <c r="BW49" s="50">
        <f t="shared" si="87"/>
        <v>0</v>
      </c>
      <c r="BX49" s="50">
        <f t="shared" si="88"/>
        <v>0</v>
      </c>
      <c r="BY49" s="50">
        <f t="shared" si="88"/>
        <v>0</v>
      </c>
      <c r="BZ49" s="50">
        <f t="shared" si="45"/>
        <v>0</v>
      </c>
      <c r="CA49" s="50">
        <f t="shared" si="46"/>
        <v>0</v>
      </c>
      <c r="CB49" s="50">
        <f t="shared" si="47"/>
        <v>1</v>
      </c>
      <c r="CC49" s="50">
        <f t="shared" si="48"/>
        <v>0</v>
      </c>
      <c r="CD49" s="50">
        <f t="shared" si="49"/>
        <v>0</v>
      </c>
      <c r="CE49" s="50">
        <f t="shared" si="50"/>
        <v>1</v>
      </c>
      <c r="CF49" s="50">
        <f t="shared" si="51"/>
        <v>1</v>
      </c>
      <c r="CG49" s="50">
        <f t="shared" si="52"/>
        <v>1</v>
      </c>
      <c r="CH49" s="50">
        <f t="shared" si="53"/>
        <v>1</v>
      </c>
      <c r="CI49" s="50">
        <f t="shared" si="54"/>
        <v>1</v>
      </c>
      <c r="CJ49" s="50">
        <f t="shared" si="55"/>
        <v>1</v>
      </c>
      <c r="CK49" s="50">
        <f t="shared" si="56"/>
        <v>0</v>
      </c>
      <c r="CL49" s="50">
        <f t="shared" si="55"/>
        <v>0</v>
      </c>
      <c r="CM49" s="51">
        <f t="shared" si="57"/>
        <v>0</v>
      </c>
      <c r="CN49" s="33">
        <f>ROUND(IF(BS49=0,0,HLOOKUP(BS$14,Villagers!$B$1:$V$33,BS49+3,FALSE)),)</f>
        <v>5</v>
      </c>
      <c r="CO49" s="14">
        <f>ROUND(IF(BT49=0,0,HLOOKUP(BT$14,Villagers!$B$1:$V$33,BT49+3,FALSE)),)</f>
        <v>0</v>
      </c>
      <c r="CP49" s="14">
        <f>ROUND(IF(BU49=0,0,HLOOKUP(BU$14,Villagers!$B$1:$V$33,BU49+3,FALSE)),)</f>
        <v>0</v>
      </c>
      <c r="CQ49" s="14">
        <f>ROUND(IF(BV49=0,0,HLOOKUP(BV$14,Villagers!$B$1:$V$33,BV49+3,FALSE)),)</f>
        <v>0</v>
      </c>
      <c r="CR49" s="14">
        <f>ROUND(IF(BW49=0,0,HLOOKUP(BW$14,Villagers!$B$1:$V$33,BW49+3,FALSE)),)</f>
        <v>0</v>
      </c>
      <c r="CS49" s="14">
        <f>ROUND(IF(BX49=0,0,HLOOKUP(BX$14,Villagers!$B$1:$V$33,BX49+3,FALSE)),)</f>
        <v>0</v>
      </c>
      <c r="CT49" s="14">
        <f>ROUND(IF(BY49=0,0,HLOOKUP(BY$14,Villagers!$B$1:$V$33,BY49+3,FALSE)),)</f>
        <v>0</v>
      </c>
      <c r="CU49" s="14">
        <f>ROUND(IF(BZ49=0,0,HLOOKUP(BZ$14,Villagers!$B$1:$V$33,BZ49+3,FALSE)),)</f>
        <v>0</v>
      </c>
      <c r="CV49" s="14">
        <f>ROUND(IF(CA49=0,0,HLOOKUP(CA$14,Villagers!$B$1:$V$33,CA49+3,FALSE)),)</f>
        <v>0</v>
      </c>
      <c r="CW49" s="14">
        <f>ROUND(IF(CB49=0,0,HLOOKUP(CB$14,Villagers!$B$1:$V$33,CB49+3,FALSE)),)</f>
        <v>0</v>
      </c>
      <c r="CX49" s="14">
        <f>ROUND(IF(CC49=0,0,HLOOKUP(CC$14,Villagers!$B$1:$V$33,CC49+3,FALSE)),)</f>
        <v>0</v>
      </c>
      <c r="CY49" s="14">
        <f>ROUND(IF(CD49=0,0,HLOOKUP(CD$14,Villagers!$B$1:$V$33,CD49+3,FALSE)),)</f>
        <v>0</v>
      </c>
      <c r="CZ49" s="14">
        <f>ROUND(IF(CE49=0,0,HLOOKUP(CE$14,Villagers!$B$1:$V$33,CE49+3,FALSE)),)</f>
        <v>5</v>
      </c>
      <c r="DA49" s="14">
        <f>ROUND(IF(CF49=0,0,HLOOKUP(CF$14,Villagers!$B$1:$V$33,CF49+3,FALSE)),)</f>
        <v>10</v>
      </c>
      <c r="DB49" s="14">
        <f>ROUND(IF(CG49=0,0,HLOOKUP(CG$14,Villagers!$B$1:$V$33,CG49+3,FALSE)),)</f>
        <v>10</v>
      </c>
      <c r="DC49" s="14">
        <f>ROUND(IF(CH49=0,0,HLOOKUP(CH$14,Villagers!$B$1:$V$33,CH49+3,FALSE)),)</f>
        <v>0</v>
      </c>
      <c r="DD49" s="14">
        <f>ROUND(IF(CI49=0,0,HLOOKUP(CI$14,Villagers!$B$1:$V$33,CI49+3,FALSE)),)</f>
        <v>0</v>
      </c>
      <c r="DE49" s="14">
        <f>ROUND(IF(CJ49=0,0,HLOOKUP(CJ$14,Villagers!$B$1:$V$33,CJ49+3,FALSE)),)</f>
        <v>2</v>
      </c>
      <c r="DF49" s="370">
        <f>ROUND(IF(CK49=0,0,HLOOKUP(CK$14,Villagers!$B$1:$V$33,CK49+3,FALSE)),)</f>
        <v>0</v>
      </c>
      <c r="DG49" s="370">
        <f>ROUND(IF(CL49=0,0,HLOOKUP(CL$14,Villagers!$B$1:$V$33,CL49+3,FALSE)),)</f>
        <v>0</v>
      </c>
      <c r="DH49" s="34">
        <f>ROUND(IF(CM49=0,0,HLOOKUP(CM$14,Villagers!$B$1:$V$33,CM49+3,FALSE)),)</f>
        <v>0</v>
      </c>
      <c r="DI49" s="109">
        <f t="shared" si="73"/>
        <v>0</v>
      </c>
      <c r="DJ49" s="50">
        <f t="shared" si="74"/>
        <v>0</v>
      </c>
      <c r="DK49" s="50">
        <f t="shared" si="75"/>
        <v>0</v>
      </c>
      <c r="DL49" s="50">
        <f t="shared" si="76"/>
        <v>0</v>
      </c>
      <c r="DM49" s="50">
        <f t="shared" si="77"/>
        <v>0</v>
      </c>
      <c r="DN49" s="50">
        <f t="shared" si="78"/>
        <v>0</v>
      </c>
      <c r="DO49" s="50">
        <f t="shared" si="79"/>
        <v>0</v>
      </c>
      <c r="DP49" s="50">
        <f t="shared" si="80"/>
        <v>0</v>
      </c>
      <c r="DQ49" s="50">
        <f t="shared" si="59"/>
        <v>0</v>
      </c>
      <c r="DR49" s="50">
        <f t="shared" si="60"/>
        <v>0</v>
      </c>
      <c r="DS49" s="96">
        <f>Miscelaneous!$D$4*Miscelaneous!$D$2^($CI49-1)</f>
        <v>1000</v>
      </c>
      <c r="DT49" s="333">
        <f t="shared" si="61"/>
        <v>1</v>
      </c>
      <c r="DU49" s="81">
        <v>1</v>
      </c>
      <c r="DV49" s="79">
        <f t="shared" si="62"/>
        <v>0</v>
      </c>
      <c r="DW49" s="79">
        <f t="shared" si="23"/>
        <v>0</v>
      </c>
      <c r="DX49" s="79">
        <f t="shared" si="63"/>
        <v>0</v>
      </c>
      <c r="DY49" s="79">
        <v>1</v>
      </c>
      <c r="DZ49" s="79">
        <f t="shared" si="24"/>
        <v>0</v>
      </c>
      <c r="EA49" s="79">
        <f t="shared" si="64"/>
        <v>0</v>
      </c>
      <c r="EB49" s="79">
        <f t="shared" si="65"/>
        <v>0</v>
      </c>
      <c r="EC49" s="79">
        <f t="shared" si="66"/>
        <v>0</v>
      </c>
      <c r="ED49" s="79">
        <v>1</v>
      </c>
      <c r="EE49" s="79">
        <v>1</v>
      </c>
      <c r="EF49" s="79">
        <f t="shared" si="67"/>
        <v>0</v>
      </c>
      <c r="EG49" s="79">
        <v>1</v>
      </c>
      <c r="EH49" s="79">
        <v>1</v>
      </c>
      <c r="EI49" s="79">
        <v>1</v>
      </c>
      <c r="EJ49" s="79">
        <v>1</v>
      </c>
      <c r="EK49" s="79">
        <v>1</v>
      </c>
      <c r="EL49" s="79">
        <v>1</v>
      </c>
      <c r="EM49" s="143">
        <f t="shared" si="68"/>
        <v>0</v>
      </c>
      <c r="EN49" s="143">
        <f t="shared" si="69"/>
        <v>0</v>
      </c>
      <c r="EO49" s="82">
        <f t="shared" si="70"/>
        <v>0</v>
      </c>
    </row>
    <row r="50" spans="1:145" x14ac:dyDescent="0.25">
      <c r="A50">
        <v>36</v>
      </c>
      <c r="B50" s="172" t="e">
        <f t="shared" si="25"/>
        <v>#N/A</v>
      </c>
      <c r="C50" s="121" t="e">
        <f t="shared" si="0"/>
        <v>#N/A</v>
      </c>
      <c r="D50" s="122" t="e">
        <f t="shared" si="1"/>
        <v>#N/A</v>
      </c>
      <c r="E50" s="122" t="e">
        <f t="shared" si="2"/>
        <v>#N/A</v>
      </c>
      <c r="F50" s="176" t="e">
        <f t="shared" si="3"/>
        <v>#N/A</v>
      </c>
      <c r="G50" s="121">
        <f t="shared" si="26"/>
        <v>208</v>
      </c>
      <c r="H50" s="176" t="e">
        <f t="shared" si="27"/>
        <v>#N/A</v>
      </c>
      <c r="I50" s="48">
        <v>1</v>
      </c>
      <c r="J50" s="39"/>
      <c r="K50" s="350">
        <v>1</v>
      </c>
      <c r="L50" s="34" t="e">
        <f t="shared" si="4"/>
        <v>#N/A</v>
      </c>
      <c r="M50" s="38" t="e">
        <f>(HLOOKUP(J50,'Construction Times'!$B$3:$W$34,L50+2,FALSE)*HLOOKUP("hq modifier",'Construction Times'!$W$3:$W$34,BS50+2,FALSE))*(1-$H$9)</f>
        <v>#N/A</v>
      </c>
      <c r="N50" s="443" t="e">
        <f t="shared" si="28"/>
        <v>#N/A</v>
      </c>
      <c r="O50" s="444"/>
      <c r="P50" s="447" t="e">
        <f t="shared" si="29"/>
        <v>#N/A</v>
      </c>
      <c r="Q50" s="448"/>
      <c r="R50" s="103">
        <f t="shared" si="71"/>
        <v>0</v>
      </c>
      <c r="S50" s="104">
        <f t="shared" si="71"/>
        <v>0</v>
      </c>
      <c r="T50" s="104">
        <f t="shared" si="72"/>
        <v>0</v>
      </c>
      <c r="U50" s="104">
        <f t="shared" si="72"/>
        <v>0</v>
      </c>
      <c r="V50" s="104">
        <f t="shared" si="72"/>
        <v>9.9999999999999995E-8</v>
      </c>
      <c r="W50" s="104">
        <f t="shared" si="72"/>
        <v>0</v>
      </c>
      <c r="X50" s="104">
        <f t="shared" si="85"/>
        <v>0</v>
      </c>
      <c r="Y50" s="104">
        <f t="shared" si="85"/>
        <v>9.9999999999999995E-8</v>
      </c>
      <c r="Z50" s="104">
        <f t="shared" si="85"/>
        <v>9.9999999999999995E-8</v>
      </c>
      <c r="AA50" s="105">
        <f t="shared" si="85"/>
        <v>9.9999999999999995E-8</v>
      </c>
      <c r="AB50" s="101" t="e">
        <f>$DT50*HLOOKUP($J50,'Construction Costs (timber)'!$B$1:$V$32,'Construction Planner'!$L50+2,FALSE)</f>
        <v>#N/A</v>
      </c>
      <c r="AC50" s="14" t="e">
        <f>$DT50*HLOOKUP($J50,'Construction Costs (clay)'!$B$1:$V$32,'Construction Planner'!$L50+2,FALSE)</f>
        <v>#N/A</v>
      </c>
      <c r="AD50" s="14" t="e">
        <f>$DT50*HLOOKUP($J50,'Construction Costs (iron)'!$B$1:$V$32,'Construction Planner'!$L50+2,FALSE)</f>
        <v>#N/A</v>
      </c>
      <c r="AE50" s="34" t="e">
        <f t="shared" si="81"/>
        <v>#N/A</v>
      </c>
      <c r="AF50" s="33" t="e">
        <f t="shared" si="5"/>
        <v>#N/A</v>
      </c>
      <c r="AG50" s="14" t="e">
        <f t="shared" si="6"/>
        <v>#N/A</v>
      </c>
      <c r="AH50" s="14" t="e">
        <f t="shared" si="7"/>
        <v>#N/A</v>
      </c>
      <c r="AI50" s="34" t="e">
        <f t="shared" si="82"/>
        <v>#N/A</v>
      </c>
      <c r="AJ50" s="49" t="e">
        <f t="shared" si="32"/>
        <v>#N/A</v>
      </c>
      <c r="AK50" s="49" t="e">
        <f t="shared" si="33"/>
        <v>#N/A</v>
      </c>
      <c r="AL50" s="49" t="e">
        <f t="shared" si="34"/>
        <v>#N/A</v>
      </c>
      <c r="AM50" s="25">
        <f t="shared" si="8"/>
        <v>30</v>
      </c>
      <c r="AN50" s="25">
        <f t="shared" si="9"/>
        <v>30</v>
      </c>
      <c r="AO50" s="25">
        <f t="shared" si="10"/>
        <v>30</v>
      </c>
      <c r="AP50" s="52" t="e">
        <f t="shared" si="35"/>
        <v>#N/A</v>
      </c>
      <c r="AQ50" s="53" t="e">
        <f t="shared" si="35"/>
        <v>#N/A</v>
      </c>
      <c r="AR50" s="54" t="e">
        <f t="shared" si="35"/>
        <v>#N/A</v>
      </c>
      <c r="AS50" s="316">
        <f t="shared" si="83"/>
        <v>0</v>
      </c>
      <c r="AT50" s="106">
        <f>_xlfn.IFNA($M50/VLOOKUP($BT50,'Unit information'!$A$2:$K$29,2,FALSE)*R50,0)*(1+$E$9)</f>
        <v>0</v>
      </c>
      <c r="AU50" s="107">
        <f>_xlfn.IFNA($M50/VLOOKUP($BT50,'Unit information'!$A$2:$K$29,3,FALSE)*S50,0)*(1+$E$9)</f>
        <v>0</v>
      </c>
      <c r="AV50" s="107">
        <f>_xlfn.IFNA($M50/VLOOKUP($BT50,'Unit information'!$A$2:$K$29,4,FALSE)*T50,0)*(1+$E$9)</f>
        <v>0</v>
      </c>
      <c r="AW50" s="107">
        <f>_xlfn.IFNA($M50/VLOOKUP($BT50,'Unit information'!$A$2:$K$29,5,FALSE)*U50,0)*(1+$E$9)</f>
        <v>0</v>
      </c>
      <c r="AX50" s="107">
        <f>_xlfn.IFNA($M50/VLOOKUP($BU50,'Unit information'!$A$2:$K$29,6,FALSE)*V50,0)*(1+$E$9)</f>
        <v>0</v>
      </c>
      <c r="AY50" s="107">
        <f>_xlfn.IFNA($M50/VLOOKUP($BU50,'Unit information'!$A$2:$K$29,7,FALSE)*W50,0)*(1+$E$9)</f>
        <v>0</v>
      </c>
      <c r="AZ50" s="107">
        <f>_xlfn.IFNA($M50/VLOOKUP($BU50,'Unit information'!$A$2:$K$29,8,FALSE)*X50,0)*(1+$E$9)</f>
        <v>0</v>
      </c>
      <c r="BA50" s="107">
        <f>_xlfn.IFNA($M50/VLOOKUP($BU50,'Unit information'!$A$2:$K$29,9,FALSE)*Y50,0)*(1+$E$9)</f>
        <v>0</v>
      </c>
      <c r="BB50" s="107">
        <f>_xlfn.IFNA($M50/VLOOKUP($BV50,'Unit information'!$A$2:$K$29,10,FALSE)*Z50,0)*(1+$E$9)</f>
        <v>0</v>
      </c>
      <c r="BC50" s="108">
        <f>_xlfn.IFNA($M50/VLOOKUP($BV50,'Unit information'!$A$2:$K$29,11,FALSE)*AA50,0)*(1+$E$9)</f>
        <v>0</v>
      </c>
      <c r="BD50" s="106">
        <f t="shared" si="12"/>
        <v>0</v>
      </c>
      <c r="BE50" s="107">
        <f t="shared" si="13"/>
        <v>0</v>
      </c>
      <c r="BF50" s="108">
        <f t="shared" si="14"/>
        <v>0</v>
      </c>
      <c r="BG50" s="25" t="e">
        <f t="shared" si="15"/>
        <v>#N/A</v>
      </c>
      <c r="BH50" s="25" t="e">
        <f t="shared" si="16"/>
        <v>#N/A</v>
      </c>
      <c r="BI50" s="25" t="e">
        <f t="shared" si="17"/>
        <v>#N/A</v>
      </c>
      <c r="BJ50" s="27" t="e">
        <f t="shared" si="18"/>
        <v>#N/A</v>
      </c>
      <c r="BK50" s="18" t="e">
        <f t="shared" si="19"/>
        <v>#N/A</v>
      </c>
      <c r="BL50" s="18" t="e">
        <f t="shared" si="20"/>
        <v>#N/A</v>
      </c>
      <c r="BM50" s="28" t="e">
        <f t="shared" si="84"/>
        <v>#N/A</v>
      </c>
      <c r="BN50" s="33">
        <f>HLOOKUP("maximum population",Miscelaneous!$C$1:$C$33,CH50+3,FALSE)</f>
        <v>240</v>
      </c>
      <c r="BO50" s="14">
        <f t="shared" si="36"/>
        <v>32</v>
      </c>
      <c r="BP50" s="14">
        <f t="shared" si="37"/>
        <v>0</v>
      </c>
      <c r="BQ50" s="14">
        <f t="shared" si="38"/>
        <v>208</v>
      </c>
      <c r="BR50" s="34" t="e">
        <f>HLOOKUP(J50,Villagers!$B$1:$V$33,L50+3,FALSE)-HLOOKUP(J50,Villagers!$B$1:$V$33,L50+2,FALSE)</f>
        <v>#N/A</v>
      </c>
      <c r="BS50" s="49">
        <f t="shared" si="39"/>
        <v>1</v>
      </c>
      <c r="BT50" s="50">
        <f t="shared" si="40"/>
        <v>0</v>
      </c>
      <c r="BU50" s="50">
        <f t="shared" si="41"/>
        <v>0</v>
      </c>
      <c r="BV50" s="50">
        <f t="shared" si="86"/>
        <v>0</v>
      </c>
      <c r="BW50" s="50">
        <f t="shared" si="87"/>
        <v>0</v>
      </c>
      <c r="BX50" s="50">
        <f t="shared" si="88"/>
        <v>0</v>
      </c>
      <c r="BY50" s="50">
        <f t="shared" si="88"/>
        <v>0</v>
      </c>
      <c r="BZ50" s="50">
        <f t="shared" si="45"/>
        <v>0</v>
      </c>
      <c r="CA50" s="50">
        <f t="shared" si="46"/>
        <v>0</v>
      </c>
      <c r="CB50" s="50">
        <f t="shared" si="47"/>
        <v>1</v>
      </c>
      <c r="CC50" s="50">
        <f t="shared" si="48"/>
        <v>0</v>
      </c>
      <c r="CD50" s="50">
        <f t="shared" si="49"/>
        <v>0</v>
      </c>
      <c r="CE50" s="50">
        <f t="shared" si="50"/>
        <v>1</v>
      </c>
      <c r="CF50" s="50">
        <f t="shared" si="51"/>
        <v>1</v>
      </c>
      <c r="CG50" s="50">
        <f t="shared" si="52"/>
        <v>1</v>
      </c>
      <c r="CH50" s="50">
        <f t="shared" si="53"/>
        <v>1</v>
      </c>
      <c r="CI50" s="50">
        <f t="shared" si="54"/>
        <v>1</v>
      </c>
      <c r="CJ50" s="50">
        <f t="shared" si="55"/>
        <v>1</v>
      </c>
      <c r="CK50" s="50">
        <f t="shared" si="56"/>
        <v>0</v>
      </c>
      <c r="CL50" s="50">
        <f t="shared" si="55"/>
        <v>0</v>
      </c>
      <c r="CM50" s="51">
        <f t="shared" si="57"/>
        <v>0</v>
      </c>
      <c r="CN50" s="33">
        <f>ROUND(IF(BS50=0,0,HLOOKUP(BS$14,Villagers!$B$1:$V$33,BS50+3,FALSE)),)</f>
        <v>5</v>
      </c>
      <c r="CO50" s="14">
        <f>ROUND(IF(BT50=0,0,HLOOKUP(BT$14,Villagers!$B$1:$V$33,BT50+3,FALSE)),)</f>
        <v>0</v>
      </c>
      <c r="CP50" s="14">
        <f>ROUND(IF(BU50=0,0,HLOOKUP(BU$14,Villagers!$B$1:$V$33,BU50+3,FALSE)),)</f>
        <v>0</v>
      </c>
      <c r="CQ50" s="14">
        <f>ROUND(IF(BV50=0,0,HLOOKUP(BV$14,Villagers!$B$1:$V$33,BV50+3,FALSE)),)</f>
        <v>0</v>
      </c>
      <c r="CR50" s="14">
        <f>ROUND(IF(BW50=0,0,HLOOKUP(BW$14,Villagers!$B$1:$V$33,BW50+3,FALSE)),)</f>
        <v>0</v>
      </c>
      <c r="CS50" s="14">
        <f>ROUND(IF(BX50=0,0,HLOOKUP(BX$14,Villagers!$B$1:$V$33,BX50+3,FALSE)),)</f>
        <v>0</v>
      </c>
      <c r="CT50" s="14">
        <f>ROUND(IF(BY50=0,0,HLOOKUP(BY$14,Villagers!$B$1:$V$33,BY50+3,FALSE)),)</f>
        <v>0</v>
      </c>
      <c r="CU50" s="14">
        <f>ROUND(IF(BZ50=0,0,HLOOKUP(BZ$14,Villagers!$B$1:$V$33,BZ50+3,FALSE)),)</f>
        <v>0</v>
      </c>
      <c r="CV50" s="14">
        <f>ROUND(IF(CA50=0,0,HLOOKUP(CA$14,Villagers!$B$1:$V$33,CA50+3,FALSE)),)</f>
        <v>0</v>
      </c>
      <c r="CW50" s="14">
        <f>ROUND(IF(CB50=0,0,HLOOKUP(CB$14,Villagers!$B$1:$V$33,CB50+3,FALSE)),)</f>
        <v>0</v>
      </c>
      <c r="CX50" s="14">
        <f>ROUND(IF(CC50=0,0,HLOOKUP(CC$14,Villagers!$B$1:$V$33,CC50+3,FALSE)),)</f>
        <v>0</v>
      </c>
      <c r="CY50" s="14">
        <f>ROUND(IF(CD50=0,0,HLOOKUP(CD$14,Villagers!$B$1:$V$33,CD50+3,FALSE)),)</f>
        <v>0</v>
      </c>
      <c r="CZ50" s="14">
        <f>ROUND(IF(CE50=0,0,HLOOKUP(CE$14,Villagers!$B$1:$V$33,CE50+3,FALSE)),)</f>
        <v>5</v>
      </c>
      <c r="DA50" s="14">
        <f>ROUND(IF(CF50=0,0,HLOOKUP(CF$14,Villagers!$B$1:$V$33,CF50+3,FALSE)),)</f>
        <v>10</v>
      </c>
      <c r="DB50" s="14">
        <f>ROUND(IF(CG50=0,0,HLOOKUP(CG$14,Villagers!$B$1:$V$33,CG50+3,FALSE)),)</f>
        <v>10</v>
      </c>
      <c r="DC50" s="14">
        <f>ROUND(IF(CH50=0,0,HLOOKUP(CH$14,Villagers!$B$1:$V$33,CH50+3,FALSE)),)</f>
        <v>0</v>
      </c>
      <c r="DD50" s="14">
        <f>ROUND(IF(CI50=0,0,HLOOKUP(CI$14,Villagers!$B$1:$V$33,CI50+3,FALSE)),)</f>
        <v>0</v>
      </c>
      <c r="DE50" s="14">
        <f>ROUND(IF(CJ50=0,0,HLOOKUP(CJ$14,Villagers!$B$1:$V$33,CJ50+3,FALSE)),)</f>
        <v>2</v>
      </c>
      <c r="DF50" s="370">
        <f>ROUND(IF(CK50=0,0,HLOOKUP(CK$14,Villagers!$B$1:$V$33,CK50+3,FALSE)),)</f>
        <v>0</v>
      </c>
      <c r="DG50" s="370">
        <f>ROUND(IF(CL50=0,0,HLOOKUP(CL$14,Villagers!$B$1:$V$33,CL50+3,FALSE)),)</f>
        <v>0</v>
      </c>
      <c r="DH50" s="34">
        <f>ROUND(IF(CM50=0,0,HLOOKUP(CM$14,Villagers!$B$1:$V$33,CM50+3,FALSE)),)</f>
        <v>0</v>
      </c>
      <c r="DI50" s="109">
        <f t="shared" si="73"/>
        <v>0</v>
      </c>
      <c r="DJ50" s="50">
        <f t="shared" si="74"/>
        <v>0</v>
      </c>
      <c r="DK50" s="50">
        <f t="shared" si="75"/>
        <v>0</v>
      </c>
      <c r="DL50" s="50">
        <f t="shared" si="76"/>
        <v>0</v>
      </c>
      <c r="DM50" s="50">
        <f t="shared" si="77"/>
        <v>0</v>
      </c>
      <c r="DN50" s="50">
        <f t="shared" si="78"/>
        <v>0</v>
      </c>
      <c r="DO50" s="50">
        <f t="shared" si="79"/>
        <v>0</v>
      </c>
      <c r="DP50" s="50">
        <f t="shared" si="80"/>
        <v>0</v>
      </c>
      <c r="DQ50" s="50">
        <f t="shared" si="59"/>
        <v>0</v>
      </c>
      <c r="DR50" s="50">
        <f t="shared" si="60"/>
        <v>0</v>
      </c>
      <c r="DS50" s="96">
        <f>Miscelaneous!$D$4*Miscelaneous!$D$2^($CI50-1)</f>
        <v>1000</v>
      </c>
      <c r="DT50" s="333">
        <f t="shared" si="61"/>
        <v>1</v>
      </c>
      <c r="DU50" s="81">
        <v>1</v>
      </c>
      <c r="DV50" s="79">
        <f t="shared" si="62"/>
        <v>0</v>
      </c>
      <c r="DW50" s="79">
        <f t="shared" si="23"/>
        <v>0</v>
      </c>
      <c r="DX50" s="79">
        <f t="shared" si="63"/>
        <v>0</v>
      </c>
      <c r="DY50" s="79">
        <v>1</v>
      </c>
      <c r="DZ50" s="79">
        <f t="shared" si="24"/>
        <v>0</v>
      </c>
      <c r="EA50" s="79">
        <f t="shared" si="64"/>
        <v>0</v>
      </c>
      <c r="EB50" s="79">
        <f t="shared" si="65"/>
        <v>0</v>
      </c>
      <c r="EC50" s="79">
        <f t="shared" si="66"/>
        <v>0</v>
      </c>
      <c r="ED50" s="79">
        <v>1</v>
      </c>
      <c r="EE50" s="79">
        <v>1</v>
      </c>
      <c r="EF50" s="79">
        <f t="shared" si="67"/>
        <v>0</v>
      </c>
      <c r="EG50" s="79">
        <v>1</v>
      </c>
      <c r="EH50" s="79">
        <v>1</v>
      </c>
      <c r="EI50" s="79">
        <v>1</v>
      </c>
      <c r="EJ50" s="79">
        <v>1</v>
      </c>
      <c r="EK50" s="79">
        <v>1</v>
      </c>
      <c r="EL50" s="79">
        <v>1</v>
      </c>
      <c r="EM50" s="143">
        <f t="shared" si="68"/>
        <v>0</v>
      </c>
      <c r="EN50" s="143">
        <f t="shared" si="69"/>
        <v>0</v>
      </c>
      <c r="EO50" s="82">
        <f t="shared" si="70"/>
        <v>0</v>
      </c>
    </row>
    <row r="51" spans="1:145" x14ac:dyDescent="0.25">
      <c r="A51">
        <v>37</v>
      </c>
      <c r="B51" s="172" t="e">
        <f t="shared" si="25"/>
        <v>#N/A</v>
      </c>
      <c r="C51" s="121" t="e">
        <f t="shared" si="0"/>
        <v>#N/A</v>
      </c>
      <c r="D51" s="122" t="e">
        <f t="shared" si="1"/>
        <v>#N/A</v>
      </c>
      <c r="E51" s="122" t="e">
        <f t="shared" si="2"/>
        <v>#N/A</v>
      </c>
      <c r="F51" s="176" t="e">
        <f t="shared" si="3"/>
        <v>#N/A</v>
      </c>
      <c r="G51" s="121">
        <f t="shared" si="26"/>
        <v>208</v>
      </c>
      <c r="H51" s="176" t="e">
        <f t="shared" si="27"/>
        <v>#N/A</v>
      </c>
      <c r="I51" s="48">
        <v>1</v>
      </c>
      <c r="J51" s="39"/>
      <c r="K51" s="350">
        <v>1</v>
      </c>
      <c r="L51" s="34" t="e">
        <f t="shared" si="4"/>
        <v>#N/A</v>
      </c>
      <c r="M51" s="38" t="e">
        <f>(HLOOKUP(J51,'Construction Times'!$B$3:$W$34,L51+2,FALSE)*HLOOKUP("hq modifier",'Construction Times'!$W$3:$W$34,BS51+2,FALSE))*(1-$H$9)</f>
        <v>#N/A</v>
      </c>
      <c r="N51" s="443" t="e">
        <f t="shared" si="28"/>
        <v>#N/A</v>
      </c>
      <c r="O51" s="444"/>
      <c r="P51" s="447" t="e">
        <f t="shared" si="29"/>
        <v>#N/A</v>
      </c>
      <c r="Q51" s="448"/>
      <c r="R51" s="103">
        <f t="shared" si="71"/>
        <v>0</v>
      </c>
      <c r="S51" s="104">
        <f t="shared" si="71"/>
        <v>0</v>
      </c>
      <c r="T51" s="104">
        <f t="shared" si="72"/>
        <v>0</v>
      </c>
      <c r="U51" s="104">
        <f t="shared" si="72"/>
        <v>0</v>
      </c>
      <c r="V51" s="104">
        <f t="shared" si="72"/>
        <v>9.9999999999999995E-8</v>
      </c>
      <c r="W51" s="104">
        <f t="shared" si="72"/>
        <v>0</v>
      </c>
      <c r="X51" s="104">
        <f t="shared" si="85"/>
        <v>0</v>
      </c>
      <c r="Y51" s="104">
        <f t="shared" si="85"/>
        <v>9.9999999999999995E-8</v>
      </c>
      <c r="Z51" s="104">
        <f t="shared" si="85"/>
        <v>9.9999999999999995E-8</v>
      </c>
      <c r="AA51" s="105">
        <f t="shared" si="85"/>
        <v>9.9999999999999995E-8</v>
      </c>
      <c r="AB51" s="101" t="e">
        <f>$DT51*HLOOKUP($J51,'Construction Costs (timber)'!$B$1:$V$32,'Construction Planner'!$L51+2,FALSE)</f>
        <v>#N/A</v>
      </c>
      <c r="AC51" s="14" t="e">
        <f>$DT51*HLOOKUP($J51,'Construction Costs (clay)'!$B$1:$V$32,'Construction Planner'!$L51+2,FALSE)</f>
        <v>#N/A</v>
      </c>
      <c r="AD51" s="14" t="e">
        <f>$DT51*HLOOKUP($J51,'Construction Costs (iron)'!$B$1:$V$32,'Construction Planner'!$L51+2,FALSE)</f>
        <v>#N/A</v>
      </c>
      <c r="AE51" s="34" t="e">
        <f t="shared" si="81"/>
        <v>#N/A</v>
      </c>
      <c r="AF51" s="33" t="e">
        <f t="shared" si="5"/>
        <v>#N/A</v>
      </c>
      <c r="AG51" s="14" t="e">
        <f t="shared" si="6"/>
        <v>#N/A</v>
      </c>
      <c r="AH51" s="14" t="e">
        <f t="shared" si="7"/>
        <v>#N/A</v>
      </c>
      <c r="AI51" s="34" t="e">
        <f t="shared" si="82"/>
        <v>#N/A</v>
      </c>
      <c r="AJ51" s="49" t="e">
        <f t="shared" si="32"/>
        <v>#N/A</v>
      </c>
      <c r="AK51" s="49" t="e">
        <f t="shared" si="33"/>
        <v>#N/A</v>
      </c>
      <c r="AL51" s="49" t="e">
        <f t="shared" si="34"/>
        <v>#N/A</v>
      </c>
      <c r="AM51" s="25">
        <f t="shared" si="8"/>
        <v>30</v>
      </c>
      <c r="AN51" s="25">
        <f t="shared" si="9"/>
        <v>30</v>
      </c>
      <c r="AO51" s="25">
        <f t="shared" si="10"/>
        <v>30</v>
      </c>
      <c r="AP51" s="52" t="e">
        <f t="shared" si="35"/>
        <v>#N/A</v>
      </c>
      <c r="AQ51" s="53" t="e">
        <f t="shared" si="35"/>
        <v>#N/A</v>
      </c>
      <c r="AR51" s="54" t="e">
        <f t="shared" si="35"/>
        <v>#N/A</v>
      </c>
      <c r="AS51" s="316">
        <f t="shared" si="83"/>
        <v>0</v>
      </c>
      <c r="AT51" s="106">
        <f>_xlfn.IFNA($M51/VLOOKUP($BT51,'Unit information'!$A$2:$K$29,2,FALSE)*R51,0)*(1+$E$9)</f>
        <v>0</v>
      </c>
      <c r="AU51" s="107">
        <f>_xlfn.IFNA($M51/VLOOKUP($BT51,'Unit information'!$A$2:$K$29,3,FALSE)*S51,0)*(1+$E$9)</f>
        <v>0</v>
      </c>
      <c r="AV51" s="107">
        <f>_xlfn.IFNA($M51/VLOOKUP($BT51,'Unit information'!$A$2:$K$29,4,FALSE)*T51,0)*(1+$E$9)</f>
        <v>0</v>
      </c>
      <c r="AW51" s="107">
        <f>_xlfn.IFNA($M51/VLOOKUP($BT51,'Unit information'!$A$2:$K$29,5,FALSE)*U51,0)*(1+$E$9)</f>
        <v>0</v>
      </c>
      <c r="AX51" s="107">
        <f>_xlfn.IFNA($M51/VLOOKUP($BU51,'Unit information'!$A$2:$K$29,6,FALSE)*V51,0)*(1+$E$9)</f>
        <v>0</v>
      </c>
      <c r="AY51" s="107">
        <f>_xlfn.IFNA($M51/VLOOKUP($BU51,'Unit information'!$A$2:$K$29,7,FALSE)*W51,0)*(1+$E$9)</f>
        <v>0</v>
      </c>
      <c r="AZ51" s="107">
        <f>_xlfn.IFNA($M51/VLOOKUP($BU51,'Unit information'!$A$2:$K$29,8,FALSE)*X51,0)*(1+$E$9)</f>
        <v>0</v>
      </c>
      <c r="BA51" s="107">
        <f>_xlfn.IFNA($M51/VLOOKUP($BU51,'Unit information'!$A$2:$K$29,9,FALSE)*Y51,0)*(1+$E$9)</f>
        <v>0</v>
      </c>
      <c r="BB51" s="107">
        <f>_xlfn.IFNA($M51/VLOOKUP($BV51,'Unit information'!$A$2:$K$29,10,FALSE)*Z51,0)*(1+$E$9)</f>
        <v>0</v>
      </c>
      <c r="BC51" s="108">
        <f>_xlfn.IFNA($M51/VLOOKUP($BV51,'Unit information'!$A$2:$K$29,11,FALSE)*AA51,0)*(1+$E$9)</f>
        <v>0</v>
      </c>
      <c r="BD51" s="106">
        <f t="shared" si="12"/>
        <v>0</v>
      </c>
      <c r="BE51" s="107">
        <f t="shared" si="13"/>
        <v>0</v>
      </c>
      <c r="BF51" s="108">
        <f t="shared" si="14"/>
        <v>0</v>
      </c>
      <c r="BG51" s="25" t="e">
        <f t="shared" si="15"/>
        <v>#N/A</v>
      </c>
      <c r="BH51" s="25" t="e">
        <f t="shared" si="16"/>
        <v>#N/A</v>
      </c>
      <c r="BI51" s="25" t="e">
        <f t="shared" si="17"/>
        <v>#N/A</v>
      </c>
      <c r="BJ51" s="27" t="e">
        <f t="shared" si="18"/>
        <v>#N/A</v>
      </c>
      <c r="BK51" s="18" t="e">
        <f t="shared" si="19"/>
        <v>#N/A</v>
      </c>
      <c r="BL51" s="18" t="e">
        <f t="shared" si="20"/>
        <v>#N/A</v>
      </c>
      <c r="BM51" s="28" t="e">
        <f t="shared" si="84"/>
        <v>#N/A</v>
      </c>
      <c r="BN51" s="33">
        <f>HLOOKUP("maximum population",Miscelaneous!$C$1:$C$33,CH51+3,FALSE)</f>
        <v>240</v>
      </c>
      <c r="BO51" s="14">
        <f t="shared" si="36"/>
        <v>32</v>
      </c>
      <c r="BP51" s="14">
        <f t="shared" si="37"/>
        <v>0</v>
      </c>
      <c r="BQ51" s="14">
        <f t="shared" si="38"/>
        <v>208</v>
      </c>
      <c r="BR51" s="34" t="e">
        <f>HLOOKUP(J51,Villagers!$B$1:$V$33,L51+3,FALSE)-HLOOKUP(J51,Villagers!$B$1:$V$33,L51+2,FALSE)</f>
        <v>#N/A</v>
      </c>
      <c r="BS51" s="49">
        <f t="shared" si="39"/>
        <v>1</v>
      </c>
      <c r="BT51" s="50">
        <f t="shared" si="40"/>
        <v>0</v>
      </c>
      <c r="BU51" s="50">
        <f t="shared" si="41"/>
        <v>0</v>
      </c>
      <c r="BV51" s="50">
        <f t="shared" si="86"/>
        <v>0</v>
      </c>
      <c r="BW51" s="50">
        <f t="shared" si="87"/>
        <v>0</v>
      </c>
      <c r="BX51" s="50">
        <f t="shared" si="88"/>
        <v>0</v>
      </c>
      <c r="BY51" s="50">
        <f t="shared" si="88"/>
        <v>0</v>
      </c>
      <c r="BZ51" s="50">
        <f t="shared" si="45"/>
        <v>0</v>
      </c>
      <c r="CA51" s="50">
        <f t="shared" si="46"/>
        <v>0</v>
      </c>
      <c r="CB51" s="50">
        <f t="shared" si="47"/>
        <v>1</v>
      </c>
      <c r="CC51" s="50">
        <f t="shared" si="48"/>
        <v>0</v>
      </c>
      <c r="CD51" s="50">
        <f t="shared" si="49"/>
        <v>0</v>
      </c>
      <c r="CE51" s="50">
        <f t="shared" si="50"/>
        <v>1</v>
      </c>
      <c r="CF51" s="50">
        <f t="shared" si="51"/>
        <v>1</v>
      </c>
      <c r="CG51" s="50">
        <f t="shared" si="52"/>
        <v>1</v>
      </c>
      <c r="CH51" s="50">
        <f t="shared" si="53"/>
        <v>1</v>
      </c>
      <c r="CI51" s="50">
        <f t="shared" si="54"/>
        <v>1</v>
      </c>
      <c r="CJ51" s="50">
        <f t="shared" si="55"/>
        <v>1</v>
      </c>
      <c r="CK51" s="50">
        <f t="shared" si="56"/>
        <v>0</v>
      </c>
      <c r="CL51" s="50">
        <f t="shared" si="55"/>
        <v>0</v>
      </c>
      <c r="CM51" s="51">
        <f t="shared" si="57"/>
        <v>0</v>
      </c>
      <c r="CN51" s="33">
        <f>ROUND(IF(BS51=0,0,HLOOKUP(BS$14,Villagers!$B$1:$V$33,BS51+3,FALSE)),)</f>
        <v>5</v>
      </c>
      <c r="CO51" s="14">
        <f>ROUND(IF(BT51=0,0,HLOOKUP(BT$14,Villagers!$B$1:$V$33,BT51+3,FALSE)),)</f>
        <v>0</v>
      </c>
      <c r="CP51" s="14">
        <f>ROUND(IF(BU51=0,0,HLOOKUP(BU$14,Villagers!$B$1:$V$33,BU51+3,FALSE)),)</f>
        <v>0</v>
      </c>
      <c r="CQ51" s="14">
        <f>ROUND(IF(BV51=0,0,HLOOKUP(BV$14,Villagers!$B$1:$V$33,BV51+3,FALSE)),)</f>
        <v>0</v>
      </c>
      <c r="CR51" s="14">
        <f>ROUND(IF(BW51=0,0,HLOOKUP(BW$14,Villagers!$B$1:$V$33,BW51+3,FALSE)),)</f>
        <v>0</v>
      </c>
      <c r="CS51" s="14">
        <f>ROUND(IF(BX51=0,0,HLOOKUP(BX$14,Villagers!$B$1:$V$33,BX51+3,FALSE)),)</f>
        <v>0</v>
      </c>
      <c r="CT51" s="14">
        <f>ROUND(IF(BY51=0,0,HLOOKUP(BY$14,Villagers!$B$1:$V$33,BY51+3,FALSE)),)</f>
        <v>0</v>
      </c>
      <c r="CU51" s="14">
        <f>ROUND(IF(BZ51=0,0,HLOOKUP(BZ$14,Villagers!$B$1:$V$33,BZ51+3,FALSE)),)</f>
        <v>0</v>
      </c>
      <c r="CV51" s="14">
        <f>ROUND(IF(CA51=0,0,HLOOKUP(CA$14,Villagers!$B$1:$V$33,CA51+3,FALSE)),)</f>
        <v>0</v>
      </c>
      <c r="CW51" s="14">
        <f>ROUND(IF(CB51=0,0,HLOOKUP(CB$14,Villagers!$B$1:$V$33,CB51+3,FALSE)),)</f>
        <v>0</v>
      </c>
      <c r="CX51" s="14">
        <f>ROUND(IF(CC51=0,0,HLOOKUP(CC$14,Villagers!$B$1:$V$33,CC51+3,FALSE)),)</f>
        <v>0</v>
      </c>
      <c r="CY51" s="14">
        <f>ROUND(IF(CD51=0,0,HLOOKUP(CD$14,Villagers!$B$1:$V$33,CD51+3,FALSE)),)</f>
        <v>0</v>
      </c>
      <c r="CZ51" s="14">
        <f>ROUND(IF(CE51=0,0,HLOOKUP(CE$14,Villagers!$B$1:$V$33,CE51+3,FALSE)),)</f>
        <v>5</v>
      </c>
      <c r="DA51" s="14">
        <f>ROUND(IF(CF51=0,0,HLOOKUP(CF$14,Villagers!$B$1:$V$33,CF51+3,FALSE)),)</f>
        <v>10</v>
      </c>
      <c r="DB51" s="14">
        <f>ROUND(IF(CG51=0,0,HLOOKUP(CG$14,Villagers!$B$1:$V$33,CG51+3,FALSE)),)</f>
        <v>10</v>
      </c>
      <c r="DC51" s="14">
        <f>ROUND(IF(CH51=0,0,HLOOKUP(CH$14,Villagers!$B$1:$V$33,CH51+3,FALSE)),)</f>
        <v>0</v>
      </c>
      <c r="DD51" s="14">
        <f>ROUND(IF(CI51=0,0,HLOOKUP(CI$14,Villagers!$B$1:$V$33,CI51+3,FALSE)),)</f>
        <v>0</v>
      </c>
      <c r="DE51" s="14">
        <f>ROUND(IF(CJ51=0,0,HLOOKUP(CJ$14,Villagers!$B$1:$V$33,CJ51+3,FALSE)),)</f>
        <v>2</v>
      </c>
      <c r="DF51" s="370">
        <f>ROUND(IF(CK51=0,0,HLOOKUP(CK$14,Villagers!$B$1:$V$33,CK51+3,FALSE)),)</f>
        <v>0</v>
      </c>
      <c r="DG51" s="370">
        <f>ROUND(IF(CL51=0,0,HLOOKUP(CL$14,Villagers!$B$1:$V$33,CL51+3,FALSE)),)</f>
        <v>0</v>
      </c>
      <c r="DH51" s="34">
        <f>ROUND(IF(CM51=0,0,HLOOKUP(CM$14,Villagers!$B$1:$V$33,CM51+3,FALSE)),)</f>
        <v>0</v>
      </c>
      <c r="DI51" s="109">
        <f t="shared" si="73"/>
        <v>0</v>
      </c>
      <c r="DJ51" s="50">
        <f t="shared" si="74"/>
        <v>0</v>
      </c>
      <c r="DK51" s="50">
        <f t="shared" si="75"/>
        <v>0</v>
      </c>
      <c r="DL51" s="50">
        <f t="shared" si="76"/>
        <v>0</v>
      </c>
      <c r="DM51" s="50">
        <f t="shared" si="77"/>
        <v>0</v>
      </c>
      <c r="DN51" s="50">
        <f t="shared" si="78"/>
        <v>0</v>
      </c>
      <c r="DO51" s="50">
        <f t="shared" si="79"/>
        <v>0</v>
      </c>
      <c r="DP51" s="50">
        <f t="shared" si="80"/>
        <v>0</v>
      </c>
      <c r="DQ51" s="50">
        <f t="shared" si="59"/>
        <v>0</v>
      </c>
      <c r="DR51" s="50">
        <f t="shared" si="60"/>
        <v>0</v>
      </c>
      <c r="DS51" s="96">
        <f>Miscelaneous!$D$4*Miscelaneous!$D$2^($CI51-1)</f>
        <v>1000</v>
      </c>
      <c r="DT51" s="333">
        <f t="shared" si="61"/>
        <v>1</v>
      </c>
      <c r="DU51" s="81">
        <v>1</v>
      </c>
      <c r="DV51" s="79">
        <f t="shared" si="62"/>
        <v>0</v>
      </c>
      <c r="DW51" s="79">
        <f t="shared" si="23"/>
        <v>0</v>
      </c>
      <c r="DX51" s="79">
        <f t="shared" si="63"/>
        <v>0</v>
      </c>
      <c r="DY51" s="79">
        <v>1</v>
      </c>
      <c r="DZ51" s="79">
        <f t="shared" si="24"/>
        <v>0</v>
      </c>
      <c r="EA51" s="79">
        <f t="shared" si="64"/>
        <v>0</v>
      </c>
      <c r="EB51" s="79">
        <f t="shared" si="65"/>
        <v>0</v>
      </c>
      <c r="EC51" s="79">
        <f t="shared" si="66"/>
        <v>0</v>
      </c>
      <c r="ED51" s="79">
        <v>1</v>
      </c>
      <c r="EE51" s="79">
        <v>1</v>
      </c>
      <c r="EF51" s="79">
        <f t="shared" si="67"/>
        <v>0</v>
      </c>
      <c r="EG51" s="79">
        <v>1</v>
      </c>
      <c r="EH51" s="79">
        <v>1</v>
      </c>
      <c r="EI51" s="79">
        <v>1</v>
      </c>
      <c r="EJ51" s="79">
        <v>1</v>
      </c>
      <c r="EK51" s="79">
        <v>1</v>
      </c>
      <c r="EL51" s="79">
        <v>1</v>
      </c>
      <c r="EM51" s="143">
        <f t="shared" si="68"/>
        <v>0</v>
      </c>
      <c r="EN51" s="143">
        <f t="shared" si="69"/>
        <v>0</v>
      </c>
      <c r="EO51" s="82">
        <f t="shared" si="70"/>
        <v>0</v>
      </c>
    </row>
    <row r="52" spans="1:145" x14ac:dyDescent="0.25">
      <c r="A52">
        <v>38</v>
      </c>
      <c r="B52" s="172" t="e">
        <f t="shared" si="25"/>
        <v>#N/A</v>
      </c>
      <c r="C52" s="121" t="e">
        <f t="shared" si="0"/>
        <v>#N/A</v>
      </c>
      <c r="D52" s="122" t="e">
        <f t="shared" si="1"/>
        <v>#N/A</v>
      </c>
      <c r="E52" s="122" t="e">
        <f t="shared" si="2"/>
        <v>#N/A</v>
      </c>
      <c r="F52" s="176" t="e">
        <f t="shared" si="3"/>
        <v>#N/A</v>
      </c>
      <c r="G52" s="121">
        <f t="shared" si="26"/>
        <v>208</v>
      </c>
      <c r="H52" s="176" t="e">
        <f t="shared" si="27"/>
        <v>#N/A</v>
      </c>
      <c r="I52" s="48">
        <v>1</v>
      </c>
      <c r="J52" s="39"/>
      <c r="K52" s="350">
        <v>1</v>
      </c>
      <c r="L52" s="34" t="e">
        <f t="shared" si="4"/>
        <v>#N/A</v>
      </c>
      <c r="M52" s="38" t="e">
        <f>(HLOOKUP(J52,'Construction Times'!$B$3:$W$34,L52+2,FALSE)*HLOOKUP("hq modifier",'Construction Times'!$W$3:$W$34,BS52+2,FALSE))*(1-$H$9)</f>
        <v>#N/A</v>
      </c>
      <c r="N52" s="443" t="e">
        <f t="shared" si="28"/>
        <v>#N/A</v>
      </c>
      <c r="O52" s="444"/>
      <c r="P52" s="447" t="e">
        <f t="shared" si="29"/>
        <v>#N/A</v>
      </c>
      <c r="Q52" s="448"/>
      <c r="R52" s="103">
        <f t="shared" si="71"/>
        <v>0</v>
      </c>
      <c r="S52" s="104">
        <f t="shared" si="71"/>
        <v>0</v>
      </c>
      <c r="T52" s="104">
        <f t="shared" si="72"/>
        <v>0</v>
      </c>
      <c r="U52" s="104">
        <f t="shared" si="72"/>
        <v>0</v>
      </c>
      <c r="V52" s="104">
        <f t="shared" si="72"/>
        <v>9.9999999999999995E-8</v>
      </c>
      <c r="W52" s="104">
        <f t="shared" si="72"/>
        <v>0</v>
      </c>
      <c r="X52" s="104">
        <f t="shared" si="85"/>
        <v>0</v>
      </c>
      <c r="Y52" s="104">
        <f t="shared" si="85"/>
        <v>9.9999999999999995E-8</v>
      </c>
      <c r="Z52" s="104">
        <f t="shared" si="85"/>
        <v>9.9999999999999995E-8</v>
      </c>
      <c r="AA52" s="105">
        <f t="shared" si="85"/>
        <v>9.9999999999999995E-8</v>
      </c>
      <c r="AB52" s="101" t="e">
        <f>$DT52*HLOOKUP($J52,'Construction Costs (timber)'!$B$1:$V$32,'Construction Planner'!$L52+2,FALSE)</f>
        <v>#N/A</v>
      </c>
      <c r="AC52" s="14" t="e">
        <f>$DT52*HLOOKUP($J52,'Construction Costs (clay)'!$B$1:$V$32,'Construction Planner'!$L52+2,FALSE)</f>
        <v>#N/A</v>
      </c>
      <c r="AD52" s="14" t="e">
        <f>$DT52*HLOOKUP($J52,'Construction Costs (iron)'!$B$1:$V$32,'Construction Planner'!$L52+2,FALSE)</f>
        <v>#N/A</v>
      </c>
      <c r="AE52" s="34" t="e">
        <f t="shared" si="81"/>
        <v>#N/A</v>
      </c>
      <c r="AF52" s="33" t="e">
        <f t="shared" si="5"/>
        <v>#N/A</v>
      </c>
      <c r="AG52" s="14" t="e">
        <f t="shared" si="6"/>
        <v>#N/A</v>
      </c>
      <c r="AH52" s="14" t="e">
        <f t="shared" si="7"/>
        <v>#N/A</v>
      </c>
      <c r="AI52" s="34" t="e">
        <f t="shared" si="82"/>
        <v>#N/A</v>
      </c>
      <c r="AJ52" s="49" t="e">
        <f t="shared" si="32"/>
        <v>#N/A</v>
      </c>
      <c r="AK52" s="49" t="e">
        <f t="shared" si="33"/>
        <v>#N/A</v>
      </c>
      <c r="AL52" s="49" t="e">
        <f t="shared" si="34"/>
        <v>#N/A</v>
      </c>
      <c r="AM52" s="25">
        <f t="shared" si="8"/>
        <v>30</v>
      </c>
      <c r="AN52" s="25">
        <f t="shared" si="9"/>
        <v>30</v>
      </c>
      <c r="AO52" s="25">
        <f t="shared" si="10"/>
        <v>30</v>
      </c>
      <c r="AP52" s="52" t="e">
        <f t="shared" si="35"/>
        <v>#N/A</v>
      </c>
      <c r="AQ52" s="53" t="e">
        <f t="shared" si="35"/>
        <v>#N/A</v>
      </c>
      <c r="AR52" s="54" t="e">
        <f t="shared" si="35"/>
        <v>#N/A</v>
      </c>
      <c r="AS52" s="316">
        <f t="shared" si="83"/>
        <v>0</v>
      </c>
      <c r="AT52" s="106">
        <f>_xlfn.IFNA($M52/VLOOKUP($BT52,'Unit information'!$A$2:$K$29,2,FALSE)*R52,0)*(1+$E$9)</f>
        <v>0</v>
      </c>
      <c r="AU52" s="107">
        <f>_xlfn.IFNA($M52/VLOOKUP($BT52,'Unit information'!$A$2:$K$29,3,FALSE)*S52,0)*(1+$E$9)</f>
        <v>0</v>
      </c>
      <c r="AV52" s="107">
        <f>_xlfn.IFNA($M52/VLOOKUP($BT52,'Unit information'!$A$2:$K$29,4,FALSE)*T52,0)*(1+$E$9)</f>
        <v>0</v>
      </c>
      <c r="AW52" s="107">
        <f>_xlfn.IFNA($M52/VLOOKUP($BT52,'Unit information'!$A$2:$K$29,5,FALSE)*U52,0)*(1+$E$9)</f>
        <v>0</v>
      </c>
      <c r="AX52" s="107">
        <f>_xlfn.IFNA($M52/VLOOKUP($BU52,'Unit information'!$A$2:$K$29,6,FALSE)*V52,0)*(1+$E$9)</f>
        <v>0</v>
      </c>
      <c r="AY52" s="107">
        <f>_xlfn.IFNA($M52/VLOOKUP($BU52,'Unit information'!$A$2:$K$29,7,FALSE)*W52,0)*(1+$E$9)</f>
        <v>0</v>
      </c>
      <c r="AZ52" s="107">
        <f>_xlfn.IFNA($M52/VLOOKUP($BU52,'Unit information'!$A$2:$K$29,8,FALSE)*X52,0)*(1+$E$9)</f>
        <v>0</v>
      </c>
      <c r="BA52" s="107">
        <f>_xlfn.IFNA($M52/VLOOKUP($BU52,'Unit information'!$A$2:$K$29,9,FALSE)*Y52,0)*(1+$E$9)</f>
        <v>0</v>
      </c>
      <c r="BB52" s="107">
        <f>_xlfn.IFNA($M52/VLOOKUP($BV52,'Unit information'!$A$2:$K$29,10,FALSE)*Z52,0)*(1+$E$9)</f>
        <v>0</v>
      </c>
      <c r="BC52" s="108">
        <f>_xlfn.IFNA($M52/VLOOKUP($BV52,'Unit information'!$A$2:$K$29,11,FALSE)*AA52,0)*(1+$E$9)</f>
        <v>0</v>
      </c>
      <c r="BD52" s="106">
        <f t="shared" si="12"/>
        <v>0</v>
      </c>
      <c r="BE52" s="107">
        <f t="shared" si="13"/>
        <v>0</v>
      </c>
      <c r="BF52" s="108">
        <f t="shared" si="14"/>
        <v>0</v>
      </c>
      <c r="BG52" s="25" t="e">
        <f t="shared" si="15"/>
        <v>#N/A</v>
      </c>
      <c r="BH52" s="25" t="e">
        <f t="shared" si="16"/>
        <v>#N/A</v>
      </c>
      <c r="BI52" s="25" t="e">
        <f t="shared" si="17"/>
        <v>#N/A</v>
      </c>
      <c r="BJ52" s="27" t="e">
        <f t="shared" si="18"/>
        <v>#N/A</v>
      </c>
      <c r="BK52" s="18" t="e">
        <f t="shared" si="19"/>
        <v>#N/A</v>
      </c>
      <c r="BL52" s="18" t="e">
        <f t="shared" si="20"/>
        <v>#N/A</v>
      </c>
      <c r="BM52" s="28" t="e">
        <f t="shared" si="84"/>
        <v>#N/A</v>
      </c>
      <c r="BN52" s="33">
        <f>HLOOKUP("maximum population",Miscelaneous!$C$1:$C$33,CH52+3,FALSE)</f>
        <v>240</v>
      </c>
      <c r="BO52" s="14">
        <f t="shared" si="36"/>
        <v>32</v>
      </c>
      <c r="BP52" s="14">
        <f t="shared" si="37"/>
        <v>0</v>
      </c>
      <c r="BQ52" s="14">
        <f t="shared" si="38"/>
        <v>208</v>
      </c>
      <c r="BR52" s="34" t="e">
        <f>HLOOKUP(J52,Villagers!$B$1:$V$33,L52+3,FALSE)-HLOOKUP(J52,Villagers!$B$1:$V$33,L52+2,FALSE)</f>
        <v>#N/A</v>
      </c>
      <c r="BS52" s="49">
        <f t="shared" si="39"/>
        <v>1</v>
      </c>
      <c r="BT52" s="50">
        <f t="shared" si="40"/>
        <v>0</v>
      </c>
      <c r="BU52" s="50">
        <f t="shared" si="41"/>
        <v>0</v>
      </c>
      <c r="BV52" s="50">
        <f t="shared" si="86"/>
        <v>0</v>
      </c>
      <c r="BW52" s="50">
        <f t="shared" si="87"/>
        <v>0</v>
      </c>
      <c r="BX52" s="50">
        <f t="shared" si="88"/>
        <v>0</v>
      </c>
      <c r="BY52" s="50">
        <f t="shared" si="88"/>
        <v>0</v>
      </c>
      <c r="BZ52" s="50">
        <f t="shared" si="45"/>
        <v>0</v>
      </c>
      <c r="CA52" s="50">
        <f t="shared" si="46"/>
        <v>0</v>
      </c>
      <c r="CB52" s="50">
        <f t="shared" si="47"/>
        <v>1</v>
      </c>
      <c r="CC52" s="50">
        <f t="shared" si="48"/>
        <v>0</v>
      </c>
      <c r="CD52" s="50">
        <f t="shared" si="49"/>
        <v>0</v>
      </c>
      <c r="CE52" s="50">
        <f t="shared" si="50"/>
        <v>1</v>
      </c>
      <c r="CF52" s="50">
        <f t="shared" si="51"/>
        <v>1</v>
      </c>
      <c r="CG52" s="50">
        <f t="shared" si="52"/>
        <v>1</v>
      </c>
      <c r="CH52" s="50">
        <f t="shared" si="53"/>
        <v>1</v>
      </c>
      <c r="CI52" s="50">
        <f t="shared" si="54"/>
        <v>1</v>
      </c>
      <c r="CJ52" s="50">
        <f t="shared" si="55"/>
        <v>1</v>
      </c>
      <c r="CK52" s="50">
        <f t="shared" si="56"/>
        <v>0</v>
      </c>
      <c r="CL52" s="50">
        <f t="shared" si="55"/>
        <v>0</v>
      </c>
      <c r="CM52" s="51">
        <f t="shared" si="57"/>
        <v>0</v>
      </c>
      <c r="CN52" s="33">
        <f>ROUND(IF(BS52=0,0,HLOOKUP(BS$14,Villagers!$B$1:$V$33,BS52+3,FALSE)),)</f>
        <v>5</v>
      </c>
      <c r="CO52" s="14">
        <f>ROUND(IF(BT52=0,0,HLOOKUP(BT$14,Villagers!$B$1:$V$33,BT52+3,FALSE)),)</f>
        <v>0</v>
      </c>
      <c r="CP52" s="14">
        <f>ROUND(IF(BU52=0,0,HLOOKUP(BU$14,Villagers!$B$1:$V$33,BU52+3,FALSE)),)</f>
        <v>0</v>
      </c>
      <c r="CQ52" s="14">
        <f>ROUND(IF(BV52=0,0,HLOOKUP(BV$14,Villagers!$B$1:$V$33,BV52+3,FALSE)),)</f>
        <v>0</v>
      </c>
      <c r="CR52" s="14">
        <f>ROUND(IF(BW52=0,0,HLOOKUP(BW$14,Villagers!$B$1:$V$33,BW52+3,FALSE)),)</f>
        <v>0</v>
      </c>
      <c r="CS52" s="14">
        <f>ROUND(IF(BX52=0,0,HLOOKUP(BX$14,Villagers!$B$1:$V$33,BX52+3,FALSE)),)</f>
        <v>0</v>
      </c>
      <c r="CT52" s="14">
        <f>ROUND(IF(BY52=0,0,HLOOKUP(BY$14,Villagers!$B$1:$V$33,BY52+3,FALSE)),)</f>
        <v>0</v>
      </c>
      <c r="CU52" s="14">
        <f>ROUND(IF(BZ52=0,0,HLOOKUP(BZ$14,Villagers!$B$1:$V$33,BZ52+3,FALSE)),)</f>
        <v>0</v>
      </c>
      <c r="CV52" s="14">
        <f>ROUND(IF(CA52=0,0,HLOOKUP(CA$14,Villagers!$B$1:$V$33,CA52+3,FALSE)),)</f>
        <v>0</v>
      </c>
      <c r="CW52" s="14">
        <f>ROUND(IF(CB52=0,0,HLOOKUP(CB$14,Villagers!$B$1:$V$33,CB52+3,FALSE)),)</f>
        <v>0</v>
      </c>
      <c r="CX52" s="14">
        <f>ROUND(IF(CC52=0,0,HLOOKUP(CC$14,Villagers!$B$1:$V$33,CC52+3,FALSE)),)</f>
        <v>0</v>
      </c>
      <c r="CY52" s="14">
        <f>ROUND(IF(CD52=0,0,HLOOKUP(CD$14,Villagers!$B$1:$V$33,CD52+3,FALSE)),)</f>
        <v>0</v>
      </c>
      <c r="CZ52" s="14">
        <f>ROUND(IF(CE52=0,0,HLOOKUP(CE$14,Villagers!$B$1:$V$33,CE52+3,FALSE)),)</f>
        <v>5</v>
      </c>
      <c r="DA52" s="14">
        <f>ROUND(IF(CF52=0,0,HLOOKUP(CF$14,Villagers!$B$1:$V$33,CF52+3,FALSE)),)</f>
        <v>10</v>
      </c>
      <c r="DB52" s="14">
        <f>ROUND(IF(CG52=0,0,HLOOKUP(CG$14,Villagers!$B$1:$V$33,CG52+3,FALSE)),)</f>
        <v>10</v>
      </c>
      <c r="DC52" s="14">
        <f>ROUND(IF(CH52=0,0,HLOOKUP(CH$14,Villagers!$B$1:$V$33,CH52+3,FALSE)),)</f>
        <v>0</v>
      </c>
      <c r="DD52" s="14">
        <f>ROUND(IF(CI52=0,0,HLOOKUP(CI$14,Villagers!$B$1:$V$33,CI52+3,FALSE)),)</f>
        <v>0</v>
      </c>
      <c r="DE52" s="14">
        <f>ROUND(IF(CJ52=0,0,HLOOKUP(CJ$14,Villagers!$B$1:$V$33,CJ52+3,FALSE)),)</f>
        <v>2</v>
      </c>
      <c r="DF52" s="370">
        <f>ROUND(IF(CK52=0,0,HLOOKUP(CK$14,Villagers!$B$1:$V$33,CK52+3,FALSE)),)</f>
        <v>0</v>
      </c>
      <c r="DG52" s="370">
        <f>ROUND(IF(CL52=0,0,HLOOKUP(CL$14,Villagers!$B$1:$V$33,CL52+3,FALSE)),)</f>
        <v>0</v>
      </c>
      <c r="DH52" s="34">
        <f>ROUND(IF(CM52=0,0,HLOOKUP(CM$14,Villagers!$B$1:$V$33,CM52+3,FALSE)),)</f>
        <v>0</v>
      </c>
      <c r="DI52" s="109">
        <f t="shared" si="73"/>
        <v>0</v>
      </c>
      <c r="DJ52" s="50">
        <f t="shared" si="74"/>
        <v>0</v>
      </c>
      <c r="DK52" s="50">
        <f t="shared" si="75"/>
        <v>0</v>
      </c>
      <c r="DL52" s="50">
        <f t="shared" si="76"/>
        <v>0</v>
      </c>
      <c r="DM52" s="50">
        <f t="shared" si="77"/>
        <v>0</v>
      </c>
      <c r="DN52" s="50">
        <f t="shared" si="78"/>
        <v>0</v>
      </c>
      <c r="DO52" s="50">
        <f t="shared" si="79"/>
        <v>0</v>
      </c>
      <c r="DP52" s="50">
        <f t="shared" si="80"/>
        <v>0</v>
      </c>
      <c r="DQ52" s="50">
        <f t="shared" si="59"/>
        <v>0</v>
      </c>
      <c r="DR52" s="50">
        <f t="shared" si="60"/>
        <v>0</v>
      </c>
      <c r="DS52" s="96">
        <f>Miscelaneous!$D$4*Miscelaneous!$D$2^($CI52-1)</f>
        <v>1000</v>
      </c>
      <c r="DT52" s="333">
        <f t="shared" si="61"/>
        <v>1</v>
      </c>
      <c r="DU52" s="81">
        <v>1</v>
      </c>
      <c r="DV52" s="79">
        <f t="shared" si="62"/>
        <v>0</v>
      </c>
      <c r="DW52" s="79">
        <f t="shared" si="23"/>
        <v>0</v>
      </c>
      <c r="DX52" s="79">
        <f t="shared" si="63"/>
        <v>0</v>
      </c>
      <c r="DY52" s="79">
        <v>1</v>
      </c>
      <c r="DZ52" s="79">
        <f t="shared" si="24"/>
        <v>0</v>
      </c>
      <c r="EA52" s="79">
        <f t="shared" si="64"/>
        <v>0</v>
      </c>
      <c r="EB52" s="79">
        <f t="shared" si="65"/>
        <v>0</v>
      </c>
      <c r="EC52" s="79">
        <f t="shared" si="66"/>
        <v>0</v>
      </c>
      <c r="ED52" s="79">
        <v>1</v>
      </c>
      <c r="EE52" s="79">
        <v>1</v>
      </c>
      <c r="EF52" s="79">
        <f t="shared" si="67"/>
        <v>0</v>
      </c>
      <c r="EG52" s="79">
        <v>1</v>
      </c>
      <c r="EH52" s="79">
        <v>1</v>
      </c>
      <c r="EI52" s="79">
        <v>1</v>
      </c>
      <c r="EJ52" s="79">
        <v>1</v>
      </c>
      <c r="EK52" s="79">
        <v>1</v>
      </c>
      <c r="EL52" s="79">
        <v>1</v>
      </c>
      <c r="EM52" s="143">
        <f t="shared" si="68"/>
        <v>0</v>
      </c>
      <c r="EN52" s="143">
        <f t="shared" si="69"/>
        <v>0</v>
      </c>
      <c r="EO52" s="82">
        <f t="shared" si="70"/>
        <v>0</v>
      </c>
    </row>
    <row r="53" spans="1:145" x14ac:dyDescent="0.25">
      <c r="A53">
        <v>39</v>
      </c>
      <c r="B53" s="172" t="e">
        <f t="shared" si="25"/>
        <v>#N/A</v>
      </c>
      <c r="C53" s="121" t="e">
        <f t="shared" si="0"/>
        <v>#N/A</v>
      </c>
      <c r="D53" s="122" t="e">
        <f t="shared" si="1"/>
        <v>#N/A</v>
      </c>
      <c r="E53" s="122" t="e">
        <f t="shared" si="2"/>
        <v>#N/A</v>
      </c>
      <c r="F53" s="176" t="e">
        <f t="shared" si="3"/>
        <v>#N/A</v>
      </c>
      <c r="G53" s="121">
        <f t="shared" si="26"/>
        <v>208</v>
      </c>
      <c r="H53" s="176" t="e">
        <f t="shared" si="27"/>
        <v>#N/A</v>
      </c>
      <c r="I53" s="48">
        <v>1</v>
      </c>
      <c r="J53" s="39"/>
      <c r="K53" s="350">
        <v>1</v>
      </c>
      <c r="L53" s="34" t="e">
        <f t="shared" si="4"/>
        <v>#N/A</v>
      </c>
      <c r="M53" s="38" t="e">
        <f>(HLOOKUP(J53,'Construction Times'!$B$3:$W$34,L53+2,FALSE)*HLOOKUP("hq modifier",'Construction Times'!$W$3:$W$34,BS53+2,FALSE))*(1-$H$9)</f>
        <v>#N/A</v>
      </c>
      <c r="N53" s="443" t="e">
        <f t="shared" si="28"/>
        <v>#N/A</v>
      </c>
      <c r="O53" s="444"/>
      <c r="P53" s="447" t="e">
        <f t="shared" si="29"/>
        <v>#N/A</v>
      </c>
      <c r="Q53" s="448"/>
      <c r="R53" s="103">
        <f t="shared" si="71"/>
        <v>0</v>
      </c>
      <c r="S53" s="104">
        <f t="shared" si="71"/>
        <v>0</v>
      </c>
      <c r="T53" s="104">
        <f t="shared" si="72"/>
        <v>0</v>
      </c>
      <c r="U53" s="104">
        <f t="shared" si="72"/>
        <v>0</v>
      </c>
      <c r="V53" s="104">
        <f t="shared" si="72"/>
        <v>9.9999999999999995E-8</v>
      </c>
      <c r="W53" s="104">
        <f t="shared" si="72"/>
        <v>0</v>
      </c>
      <c r="X53" s="104">
        <f t="shared" si="85"/>
        <v>0</v>
      </c>
      <c r="Y53" s="104">
        <f t="shared" si="85"/>
        <v>9.9999999999999995E-8</v>
      </c>
      <c r="Z53" s="104">
        <f t="shared" si="85"/>
        <v>9.9999999999999995E-8</v>
      </c>
      <c r="AA53" s="105">
        <f t="shared" si="85"/>
        <v>9.9999999999999995E-8</v>
      </c>
      <c r="AB53" s="101" t="e">
        <f>$DT53*HLOOKUP($J53,'Construction Costs (timber)'!$B$1:$V$32,'Construction Planner'!$L53+2,FALSE)</f>
        <v>#N/A</v>
      </c>
      <c r="AC53" s="14" t="e">
        <f>$DT53*HLOOKUP($J53,'Construction Costs (clay)'!$B$1:$V$32,'Construction Planner'!$L53+2,FALSE)</f>
        <v>#N/A</v>
      </c>
      <c r="AD53" s="14" t="e">
        <f>$DT53*HLOOKUP($J53,'Construction Costs (iron)'!$B$1:$V$32,'Construction Planner'!$L53+2,FALSE)</f>
        <v>#N/A</v>
      </c>
      <c r="AE53" s="34" t="e">
        <f t="shared" si="81"/>
        <v>#N/A</v>
      </c>
      <c r="AF53" s="33" t="e">
        <f t="shared" si="5"/>
        <v>#N/A</v>
      </c>
      <c r="AG53" s="14" t="e">
        <f t="shared" si="6"/>
        <v>#N/A</v>
      </c>
      <c r="AH53" s="14" t="e">
        <f t="shared" si="7"/>
        <v>#N/A</v>
      </c>
      <c r="AI53" s="34" t="e">
        <f t="shared" si="82"/>
        <v>#N/A</v>
      </c>
      <c r="AJ53" s="49" t="e">
        <f t="shared" si="32"/>
        <v>#N/A</v>
      </c>
      <c r="AK53" s="49" t="e">
        <f t="shared" si="33"/>
        <v>#N/A</v>
      </c>
      <c r="AL53" s="49" t="e">
        <f t="shared" si="34"/>
        <v>#N/A</v>
      </c>
      <c r="AM53" s="25">
        <f t="shared" si="8"/>
        <v>30</v>
      </c>
      <c r="AN53" s="25">
        <f t="shared" si="9"/>
        <v>30</v>
      </c>
      <c r="AO53" s="25">
        <f t="shared" si="10"/>
        <v>30</v>
      </c>
      <c r="AP53" s="52" t="e">
        <f t="shared" si="35"/>
        <v>#N/A</v>
      </c>
      <c r="AQ53" s="53" t="e">
        <f t="shared" si="35"/>
        <v>#N/A</v>
      </c>
      <c r="AR53" s="54" t="e">
        <f t="shared" si="35"/>
        <v>#N/A</v>
      </c>
      <c r="AS53" s="316">
        <f t="shared" si="83"/>
        <v>0</v>
      </c>
      <c r="AT53" s="106">
        <f>_xlfn.IFNA($M53/VLOOKUP($BT53,'Unit information'!$A$2:$K$29,2,FALSE)*R53,0)*(1+$E$9)</f>
        <v>0</v>
      </c>
      <c r="AU53" s="107">
        <f>_xlfn.IFNA($M53/VLOOKUP($BT53,'Unit information'!$A$2:$K$29,3,FALSE)*S53,0)*(1+$E$9)</f>
        <v>0</v>
      </c>
      <c r="AV53" s="107">
        <f>_xlfn.IFNA($M53/VLOOKUP($BT53,'Unit information'!$A$2:$K$29,4,FALSE)*T53,0)*(1+$E$9)</f>
        <v>0</v>
      </c>
      <c r="AW53" s="107">
        <f>_xlfn.IFNA($M53/VLOOKUP($BT53,'Unit information'!$A$2:$K$29,5,FALSE)*U53,0)*(1+$E$9)</f>
        <v>0</v>
      </c>
      <c r="AX53" s="107">
        <f>_xlfn.IFNA($M53/VLOOKUP($BU53,'Unit information'!$A$2:$K$29,6,FALSE)*V53,0)*(1+$E$9)</f>
        <v>0</v>
      </c>
      <c r="AY53" s="107">
        <f>_xlfn.IFNA($M53/VLOOKUP($BU53,'Unit information'!$A$2:$K$29,7,FALSE)*W53,0)*(1+$E$9)</f>
        <v>0</v>
      </c>
      <c r="AZ53" s="107">
        <f>_xlfn.IFNA($M53/VLOOKUP($BU53,'Unit information'!$A$2:$K$29,8,FALSE)*X53,0)*(1+$E$9)</f>
        <v>0</v>
      </c>
      <c r="BA53" s="107">
        <f>_xlfn.IFNA($M53/VLOOKUP($BU53,'Unit information'!$A$2:$K$29,9,FALSE)*Y53,0)*(1+$E$9)</f>
        <v>0</v>
      </c>
      <c r="BB53" s="107">
        <f>_xlfn.IFNA($M53/VLOOKUP($BV53,'Unit information'!$A$2:$K$29,10,FALSE)*Z53,0)*(1+$E$9)</f>
        <v>0</v>
      </c>
      <c r="BC53" s="108">
        <f>_xlfn.IFNA($M53/VLOOKUP($BV53,'Unit information'!$A$2:$K$29,11,FALSE)*AA53,0)*(1+$E$9)</f>
        <v>0</v>
      </c>
      <c r="BD53" s="106">
        <f t="shared" si="12"/>
        <v>0</v>
      </c>
      <c r="BE53" s="107">
        <f t="shared" si="13"/>
        <v>0</v>
      </c>
      <c r="BF53" s="108">
        <f t="shared" si="14"/>
        <v>0</v>
      </c>
      <c r="BG53" s="25" t="e">
        <f t="shared" si="15"/>
        <v>#N/A</v>
      </c>
      <c r="BH53" s="25" t="e">
        <f t="shared" si="16"/>
        <v>#N/A</v>
      </c>
      <c r="BI53" s="25" t="e">
        <f t="shared" si="17"/>
        <v>#N/A</v>
      </c>
      <c r="BJ53" s="27" t="e">
        <f t="shared" si="18"/>
        <v>#N/A</v>
      </c>
      <c r="BK53" s="18" t="e">
        <f t="shared" si="19"/>
        <v>#N/A</v>
      </c>
      <c r="BL53" s="18" t="e">
        <f t="shared" si="20"/>
        <v>#N/A</v>
      </c>
      <c r="BM53" s="28" t="e">
        <f t="shared" si="84"/>
        <v>#N/A</v>
      </c>
      <c r="BN53" s="33">
        <f>HLOOKUP("maximum population",Miscelaneous!$C$1:$C$33,CH53+3,FALSE)</f>
        <v>240</v>
      </c>
      <c r="BO53" s="14">
        <f t="shared" si="36"/>
        <v>32</v>
      </c>
      <c r="BP53" s="14">
        <f t="shared" si="37"/>
        <v>0</v>
      </c>
      <c r="BQ53" s="14">
        <f t="shared" si="38"/>
        <v>208</v>
      </c>
      <c r="BR53" s="34" t="e">
        <f>HLOOKUP(J53,Villagers!$B$1:$V$33,L53+3,FALSE)-HLOOKUP(J53,Villagers!$B$1:$V$33,L53+2,FALSE)</f>
        <v>#N/A</v>
      </c>
      <c r="BS53" s="49">
        <f t="shared" si="39"/>
        <v>1</v>
      </c>
      <c r="BT53" s="50">
        <f t="shared" si="40"/>
        <v>0</v>
      </c>
      <c r="BU53" s="50">
        <f t="shared" si="41"/>
        <v>0</v>
      </c>
      <c r="BV53" s="50">
        <f t="shared" si="86"/>
        <v>0</v>
      </c>
      <c r="BW53" s="50">
        <f t="shared" si="87"/>
        <v>0</v>
      </c>
      <c r="BX53" s="50">
        <f t="shared" si="88"/>
        <v>0</v>
      </c>
      <c r="BY53" s="50">
        <f t="shared" si="88"/>
        <v>0</v>
      </c>
      <c r="BZ53" s="50">
        <f t="shared" si="45"/>
        <v>0</v>
      </c>
      <c r="CA53" s="50">
        <f t="shared" si="46"/>
        <v>0</v>
      </c>
      <c r="CB53" s="50">
        <f t="shared" si="47"/>
        <v>1</v>
      </c>
      <c r="CC53" s="50">
        <f t="shared" si="48"/>
        <v>0</v>
      </c>
      <c r="CD53" s="50">
        <f t="shared" si="49"/>
        <v>0</v>
      </c>
      <c r="CE53" s="50">
        <f t="shared" si="50"/>
        <v>1</v>
      </c>
      <c r="CF53" s="50">
        <f t="shared" si="51"/>
        <v>1</v>
      </c>
      <c r="CG53" s="50">
        <f t="shared" si="52"/>
        <v>1</v>
      </c>
      <c r="CH53" s="50">
        <f t="shared" si="53"/>
        <v>1</v>
      </c>
      <c r="CI53" s="50">
        <f t="shared" si="54"/>
        <v>1</v>
      </c>
      <c r="CJ53" s="50">
        <f t="shared" si="55"/>
        <v>1</v>
      </c>
      <c r="CK53" s="50">
        <f t="shared" si="56"/>
        <v>0</v>
      </c>
      <c r="CL53" s="50">
        <f t="shared" si="55"/>
        <v>0</v>
      </c>
      <c r="CM53" s="51">
        <f t="shared" si="57"/>
        <v>0</v>
      </c>
      <c r="CN53" s="33">
        <f>ROUND(IF(BS53=0,0,HLOOKUP(BS$14,Villagers!$B$1:$V$33,BS53+3,FALSE)),)</f>
        <v>5</v>
      </c>
      <c r="CO53" s="14">
        <f>ROUND(IF(BT53=0,0,HLOOKUP(BT$14,Villagers!$B$1:$V$33,BT53+3,FALSE)),)</f>
        <v>0</v>
      </c>
      <c r="CP53" s="14">
        <f>ROUND(IF(BU53=0,0,HLOOKUP(BU$14,Villagers!$B$1:$V$33,BU53+3,FALSE)),)</f>
        <v>0</v>
      </c>
      <c r="CQ53" s="14">
        <f>ROUND(IF(BV53=0,0,HLOOKUP(BV$14,Villagers!$B$1:$V$33,BV53+3,FALSE)),)</f>
        <v>0</v>
      </c>
      <c r="CR53" s="14">
        <f>ROUND(IF(BW53=0,0,HLOOKUP(BW$14,Villagers!$B$1:$V$33,BW53+3,FALSE)),)</f>
        <v>0</v>
      </c>
      <c r="CS53" s="14">
        <f>ROUND(IF(BX53=0,0,HLOOKUP(BX$14,Villagers!$B$1:$V$33,BX53+3,FALSE)),)</f>
        <v>0</v>
      </c>
      <c r="CT53" s="14">
        <f>ROUND(IF(BY53=0,0,HLOOKUP(BY$14,Villagers!$B$1:$V$33,BY53+3,FALSE)),)</f>
        <v>0</v>
      </c>
      <c r="CU53" s="14">
        <f>ROUND(IF(BZ53=0,0,HLOOKUP(BZ$14,Villagers!$B$1:$V$33,BZ53+3,FALSE)),)</f>
        <v>0</v>
      </c>
      <c r="CV53" s="14">
        <f>ROUND(IF(CA53=0,0,HLOOKUP(CA$14,Villagers!$B$1:$V$33,CA53+3,FALSE)),)</f>
        <v>0</v>
      </c>
      <c r="CW53" s="14">
        <f>ROUND(IF(CB53=0,0,HLOOKUP(CB$14,Villagers!$B$1:$V$33,CB53+3,FALSE)),)</f>
        <v>0</v>
      </c>
      <c r="CX53" s="14">
        <f>ROUND(IF(CC53=0,0,HLOOKUP(CC$14,Villagers!$B$1:$V$33,CC53+3,FALSE)),)</f>
        <v>0</v>
      </c>
      <c r="CY53" s="14">
        <f>ROUND(IF(CD53=0,0,HLOOKUP(CD$14,Villagers!$B$1:$V$33,CD53+3,FALSE)),)</f>
        <v>0</v>
      </c>
      <c r="CZ53" s="14">
        <f>ROUND(IF(CE53=0,0,HLOOKUP(CE$14,Villagers!$B$1:$V$33,CE53+3,FALSE)),)</f>
        <v>5</v>
      </c>
      <c r="DA53" s="14">
        <f>ROUND(IF(CF53=0,0,HLOOKUP(CF$14,Villagers!$B$1:$V$33,CF53+3,FALSE)),)</f>
        <v>10</v>
      </c>
      <c r="DB53" s="14">
        <f>ROUND(IF(CG53=0,0,HLOOKUP(CG$14,Villagers!$B$1:$V$33,CG53+3,FALSE)),)</f>
        <v>10</v>
      </c>
      <c r="DC53" s="14">
        <f>ROUND(IF(CH53=0,0,HLOOKUP(CH$14,Villagers!$B$1:$V$33,CH53+3,FALSE)),)</f>
        <v>0</v>
      </c>
      <c r="DD53" s="14">
        <f>ROUND(IF(CI53=0,0,HLOOKUP(CI$14,Villagers!$B$1:$V$33,CI53+3,FALSE)),)</f>
        <v>0</v>
      </c>
      <c r="DE53" s="14">
        <f>ROUND(IF(CJ53=0,0,HLOOKUP(CJ$14,Villagers!$B$1:$V$33,CJ53+3,FALSE)),)</f>
        <v>2</v>
      </c>
      <c r="DF53" s="370">
        <f>ROUND(IF(CK53=0,0,HLOOKUP(CK$14,Villagers!$B$1:$V$33,CK53+3,FALSE)),)</f>
        <v>0</v>
      </c>
      <c r="DG53" s="370">
        <f>ROUND(IF(CL53=0,0,HLOOKUP(CL$14,Villagers!$B$1:$V$33,CL53+3,FALSE)),)</f>
        <v>0</v>
      </c>
      <c r="DH53" s="34">
        <f>ROUND(IF(CM53=0,0,HLOOKUP(CM$14,Villagers!$B$1:$V$33,CM53+3,FALSE)),)</f>
        <v>0</v>
      </c>
      <c r="DI53" s="109">
        <f t="shared" si="73"/>
        <v>0</v>
      </c>
      <c r="DJ53" s="50">
        <f t="shared" si="74"/>
        <v>0</v>
      </c>
      <c r="DK53" s="50">
        <f t="shared" si="75"/>
        <v>0</v>
      </c>
      <c r="DL53" s="50">
        <f t="shared" si="76"/>
        <v>0</v>
      </c>
      <c r="DM53" s="50">
        <f t="shared" si="77"/>
        <v>0</v>
      </c>
      <c r="DN53" s="50">
        <f t="shared" si="78"/>
        <v>0</v>
      </c>
      <c r="DO53" s="50">
        <f t="shared" si="79"/>
        <v>0</v>
      </c>
      <c r="DP53" s="50">
        <f t="shared" si="80"/>
        <v>0</v>
      </c>
      <c r="DQ53" s="50">
        <f t="shared" si="59"/>
        <v>0</v>
      </c>
      <c r="DR53" s="50">
        <f t="shared" si="60"/>
        <v>0</v>
      </c>
      <c r="DS53" s="96">
        <f>Miscelaneous!$D$4*Miscelaneous!$D$2^($CI53-1)</f>
        <v>1000</v>
      </c>
      <c r="DT53" s="333">
        <f t="shared" si="61"/>
        <v>1</v>
      </c>
      <c r="DU53" s="81">
        <v>1</v>
      </c>
      <c r="DV53" s="79">
        <f t="shared" si="62"/>
        <v>0</v>
      </c>
      <c r="DW53" s="79">
        <f t="shared" si="23"/>
        <v>0</v>
      </c>
      <c r="DX53" s="79">
        <f t="shared" si="63"/>
        <v>0</v>
      </c>
      <c r="DY53" s="79">
        <v>1</v>
      </c>
      <c r="DZ53" s="79">
        <f t="shared" si="24"/>
        <v>0</v>
      </c>
      <c r="EA53" s="79">
        <f t="shared" si="64"/>
        <v>0</v>
      </c>
      <c r="EB53" s="79">
        <f t="shared" si="65"/>
        <v>0</v>
      </c>
      <c r="EC53" s="79">
        <f t="shared" si="66"/>
        <v>0</v>
      </c>
      <c r="ED53" s="79">
        <v>1</v>
      </c>
      <c r="EE53" s="79">
        <v>1</v>
      </c>
      <c r="EF53" s="79">
        <f t="shared" si="67"/>
        <v>0</v>
      </c>
      <c r="EG53" s="79">
        <v>1</v>
      </c>
      <c r="EH53" s="79">
        <v>1</v>
      </c>
      <c r="EI53" s="79">
        <v>1</v>
      </c>
      <c r="EJ53" s="79">
        <v>1</v>
      </c>
      <c r="EK53" s="79">
        <v>1</v>
      </c>
      <c r="EL53" s="79">
        <v>1</v>
      </c>
      <c r="EM53" s="143">
        <f t="shared" si="68"/>
        <v>0</v>
      </c>
      <c r="EN53" s="143">
        <f t="shared" si="69"/>
        <v>0</v>
      </c>
      <c r="EO53" s="82">
        <f t="shared" si="70"/>
        <v>0</v>
      </c>
    </row>
    <row r="54" spans="1:145" x14ac:dyDescent="0.25">
      <c r="A54">
        <v>40</v>
      </c>
      <c r="B54" s="172" t="e">
        <f t="shared" si="25"/>
        <v>#N/A</v>
      </c>
      <c r="C54" s="121" t="e">
        <f t="shared" si="0"/>
        <v>#N/A</v>
      </c>
      <c r="D54" s="122" t="e">
        <f t="shared" si="1"/>
        <v>#N/A</v>
      </c>
      <c r="E54" s="122" t="e">
        <f t="shared" si="2"/>
        <v>#N/A</v>
      </c>
      <c r="F54" s="176" t="e">
        <f t="shared" si="3"/>
        <v>#N/A</v>
      </c>
      <c r="G54" s="121">
        <f t="shared" si="26"/>
        <v>208</v>
      </c>
      <c r="H54" s="176" t="e">
        <f t="shared" si="27"/>
        <v>#N/A</v>
      </c>
      <c r="I54" s="48">
        <v>1</v>
      </c>
      <c r="J54" s="64"/>
      <c r="K54" s="350">
        <v>1</v>
      </c>
      <c r="L54" s="34" t="e">
        <f t="shared" si="4"/>
        <v>#N/A</v>
      </c>
      <c r="M54" s="38" t="e">
        <f>(HLOOKUP(J54,'Construction Times'!$B$3:$W$34,L54+2,FALSE)*HLOOKUP("hq modifier",'Construction Times'!$W$3:$W$34,BS54+2,FALSE))*(1-$H$9)</f>
        <v>#N/A</v>
      </c>
      <c r="N54" s="443" t="e">
        <f t="shared" si="28"/>
        <v>#N/A</v>
      </c>
      <c r="O54" s="444"/>
      <c r="P54" s="447" t="e">
        <f t="shared" si="29"/>
        <v>#N/A</v>
      </c>
      <c r="Q54" s="448"/>
      <c r="R54" s="103">
        <f t="shared" si="71"/>
        <v>0</v>
      </c>
      <c r="S54" s="104">
        <f t="shared" si="71"/>
        <v>0</v>
      </c>
      <c r="T54" s="104">
        <f t="shared" si="72"/>
        <v>0</v>
      </c>
      <c r="U54" s="104">
        <f t="shared" si="72"/>
        <v>0</v>
      </c>
      <c r="V54" s="104">
        <f t="shared" si="72"/>
        <v>9.9999999999999995E-8</v>
      </c>
      <c r="W54" s="104">
        <f t="shared" si="72"/>
        <v>0</v>
      </c>
      <c r="X54" s="104">
        <f t="shared" si="85"/>
        <v>0</v>
      </c>
      <c r="Y54" s="104">
        <f t="shared" si="85"/>
        <v>9.9999999999999995E-8</v>
      </c>
      <c r="Z54" s="104">
        <f t="shared" si="85"/>
        <v>9.9999999999999995E-8</v>
      </c>
      <c r="AA54" s="105">
        <f t="shared" si="85"/>
        <v>9.9999999999999995E-8</v>
      </c>
      <c r="AB54" s="101" t="e">
        <f>$DT54*HLOOKUP($J54,'Construction Costs (timber)'!$B$1:$V$32,'Construction Planner'!$L54+2,FALSE)</f>
        <v>#N/A</v>
      </c>
      <c r="AC54" s="14" t="e">
        <f>$DT54*HLOOKUP($J54,'Construction Costs (clay)'!$B$1:$V$32,'Construction Planner'!$L54+2,FALSE)</f>
        <v>#N/A</v>
      </c>
      <c r="AD54" s="14" t="e">
        <f>$DT54*HLOOKUP($J54,'Construction Costs (iron)'!$B$1:$V$32,'Construction Planner'!$L54+2,FALSE)</f>
        <v>#N/A</v>
      </c>
      <c r="AE54" s="34" t="e">
        <f t="shared" si="81"/>
        <v>#N/A</v>
      </c>
      <c r="AF54" s="33" t="e">
        <f t="shared" si="5"/>
        <v>#N/A</v>
      </c>
      <c r="AG54" s="14" t="e">
        <f t="shared" si="6"/>
        <v>#N/A</v>
      </c>
      <c r="AH54" s="14" t="e">
        <f t="shared" si="7"/>
        <v>#N/A</v>
      </c>
      <c r="AI54" s="34" t="e">
        <f t="shared" si="82"/>
        <v>#N/A</v>
      </c>
      <c r="AJ54" s="49" t="e">
        <f t="shared" si="32"/>
        <v>#N/A</v>
      </c>
      <c r="AK54" s="49" t="e">
        <f t="shared" si="33"/>
        <v>#N/A</v>
      </c>
      <c r="AL54" s="49" t="e">
        <f t="shared" si="34"/>
        <v>#N/A</v>
      </c>
      <c r="AM54" s="25">
        <f t="shared" si="8"/>
        <v>30</v>
      </c>
      <c r="AN54" s="25">
        <f t="shared" si="9"/>
        <v>30</v>
      </c>
      <c r="AO54" s="25">
        <f t="shared" si="10"/>
        <v>30</v>
      </c>
      <c r="AP54" s="52" t="e">
        <f t="shared" si="35"/>
        <v>#N/A</v>
      </c>
      <c r="AQ54" s="53" t="e">
        <f t="shared" si="35"/>
        <v>#N/A</v>
      </c>
      <c r="AR54" s="54" t="e">
        <f t="shared" si="35"/>
        <v>#N/A</v>
      </c>
      <c r="AS54" s="316">
        <f t="shared" si="83"/>
        <v>0</v>
      </c>
      <c r="AT54" s="106">
        <f>_xlfn.IFNA($M54/VLOOKUP($BT54,'Unit information'!$A$2:$K$29,2,FALSE)*R54,0)*(1+$E$9)</f>
        <v>0</v>
      </c>
      <c r="AU54" s="107">
        <f>_xlfn.IFNA($M54/VLOOKUP($BT54,'Unit information'!$A$2:$K$29,3,FALSE)*S54,0)*(1+$E$9)</f>
        <v>0</v>
      </c>
      <c r="AV54" s="107">
        <f>_xlfn.IFNA($M54/VLOOKUP($BT54,'Unit information'!$A$2:$K$29,4,FALSE)*T54,0)*(1+$E$9)</f>
        <v>0</v>
      </c>
      <c r="AW54" s="107">
        <f>_xlfn.IFNA($M54/VLOOKUP($BT54,'Unit information'!$A$2:$K$29,5,FALSE)*U54,0)*(1+$E$9)</f>
        <v>0</v>
      </c>
      <c r="AX54" s="107">
        <f>_xlfn.IFNA($M54/VLOOKUP($BU54,'Unit information'!$A$2:$K$29,6,FALSE)*V54,0)*(1+$E$9)</f>
        <v>0</v>
      </c>
      <c r="AY54" s="107">
        <f>_xlfn.IFNA($M54/VLOOKUP($BU54,'Unit information'!$A$2:$K$29,7,FALSE)*W54,0)*(1+$E$9)</f>
        <v>0</v>
      </c>
      <c r="AZ54" s="107">
        <f>_xlfn.IFNA($M54/VLOOKUP($BU54,'Unit information'!$A$2:$K$29,8,FALSE)*X54,0)*(1+$E$9)</f>
        <v>0</v>
      </c>
      <c r="BA54" s="107">
        <f>_xlfn.IFNA($M54/VLOOKUP($BU54,'Unit information'!$A$2:$K$29,9,FALSE)*Y54,0)*(1+$E$9)</f>
        <v>0</v>
      </c>
      <c r="BB54" s="107">
        <f>_xlfn.IFNA($M54/VLOOKUP($BV54,'Unit information'!$A$2:$K$29,10,FALSE)*Z54,0)*(1+$E$9)</f>
        <v>0</v>
      </c>
      <c r="BC54" s="108">
        <f>_xlfn.IFNA($M54/VLOOKUP($BV54,'Unit information'!$A$2:$K$29,11,FALSE)*AA54,0)*(1+$E$9)</f>
        <v>0</v>
      </c>
      <c r="BD54" s="106">
        <f t="shared" si="12"/>
        <v>0</v>
      </c>
      <c r="BE54" s="107">
        <f t="shared" si="13"/>
        <v>0</v>
      </c>
      <c r="BF54" s="108">
        <f t="shared" si="14"/>
        <v>0</v>
      </c>
      <c r="BG54" s="25" t="e">
        <f t="shared" si="15"/>
        <v>#N/A</v>
      </c>
      <c r="BH54" s="25" t="e">
        <f t="shared" si="16"/>
        <v>#N/A</v>
      </c>
      <c r="BI54" s="25" t="e">
        <f t="shared" si="17"/>
        <v>#N/A</v>
      </c>
      <c r="BJ54" s="27" t="e">
        <f t="shared" si="18"/>
        <v>#N/A</v>
      </c>
      <c r="BK54" s="18" t="e">
        <f t="shared" si="19"/>
        <v>#N/A</v>
      </c>
      <c r="BL54" s="18" t="e">
        <f t="shared" si="20"/>
        <v>#N/A</v>
      </c>
      <c r="BM54" s="28" t="e">
        <f t="shared" si="84"/>
        <v>#N/A</v>
      </c>
      <c r="BN54" s="33">
        <f>HLOOKUP("maximum population",Miscelaneous!$C$1:$C$33,CH54+3,FALSE)</f>
        <v>240</v>
      </c>
      <c r="BO54" s="14">
        <f t="shared" si="36"/>
        <v>32</v>
      </c>
      <c r="BP54" s="14">
        <f t="shared" si="37"/>
        <v>0</v>
      </c>
      <c r="BQ54" s="14">
        <f t="shared" si="38"/>
        <v>208</v>
      </c>
      <c r="BR54" s="34" t="e">
        <f>HLOOKUP(J54,Villagers!$B$1:$V$33,L54+3,FALSE)-HLOOKUP(J54,Villagers!$B$1:$V$33,L54+2,FALSE)</f>
        <v>#N/A</v>
      </c>
      <c r="BS54" s="49">
        <f t="shared" si="39"/>
        <v>1</v>
      </c>
      <c r="BT54" s="50">
        <f t="shared" si="40"/>
        <v>0</v>
      </c>
      <c r="BU54" s="50">
        <f t="shared" si="41"/>
        <v>0</v>
      </c>
      <c r="BV54" s="50">
        <f t="shared" si="86"/>
        <v>0</v>
      </c>
      <c r="BW54" s="50">
        <f t="shared" si="87"/>
        <v>0</v>
      </c>
      <c r="BX54" s="50">
        <f t="shared" si="88"/>
        <v>0</v>
      </c>
      <c r="BY54" s="50">
        <f t="shared" si="88"/>
        <v>0</v>
      </c>
      <c r="BZ54" s="50">
        <f t="shared" si="45"/>
        <v>0</v>
      </c>
      <c r="CA54" s="50">
        <f t="shared" si="46"/>
        <v>0</v>
      </c>
      <c r="CB54" s="50">
        <f t="shared" si="47"/>
        <v>1</v>
      </c>
      <c r="CC54" s="50">
        <f t="shared" si="48"/>
        <v>0</v>
      </c>
      <c r="CD54" s="50">
        <f t="shared" si="49"/>
        <v>0</v>
      </c>
      <c r="CE54" s="50">
        <f t="shared" si="50"/>
        <v>1</v>
      </c>
      <c r="CF54" s="50">
        <f t="shared" si="51"/>
        <v>1</v>
      </c>
      <c r="CG54" s="50">
        <f t="shared" si="52"/>
        <v>1</v>
      </c>
      <c r="CH54" s="50">
        <f t="shared" si="53"/>
        <v>1</v>
      </c>
      <c r="CI54" s="50">
        <f t="shared" si="54"/>
        <v>1</v>
      </c>
      <c r="CJ54" s="50">
        <f t="shared" si="55"/>
        <v>1</v>
      </c>
      <c r="CK54" s="50">
        <f t="shared" si="56"/>
        <v>0</v>
      </c>
      <c r="CL54" s="50">
        <f t="shared" si="55"/>
        <v>0</v>
      </c>
      <c r="CM54" s="51">
        <f t="shared" si="57"/>
        <v>0</v>
      </c>
      <c r="CN54" s="33">
        <f>ROUND(IF(BS54=0,0,HLOOKUP(BS$14,Villagers!$B$1:$V$33,BS54+3,FALSE)),)</f>
        <v>5</v>
      </c>
      <c r="CO54" s="14">
        <f>ROUND(IF(BT54=0,0,HLOOKUP(BT$14,Villagers!$B$1:$V$33,BT54+3,FALSE)),)</f>
        <v>0</v>
      </c>
      <c r="CP54" s="14">
        <f>ROUND(IF(BU54=0,0,HLOOKUP(BU$14,Villagers!$B$1:$V$33,BU54+3,FALSE)),)</f>
        <v>0</v>
      </c>
      <c r="CQ54" s="14">
        <f>ROUND(IF(BV54=0,0,HLOOKUP(BV$14,Villagers!$B$1:$V$33,BV54+3,FALSE)),)</f>
        <v>0</v>
      </c>
      <c r="CR54" s="14">
        <f>ROUND(IF(BW54=0,0,HLOOKUP(BW$14,Villagers!$B$1:$V$33,BW54+3,FALSE)),)</f>
        <v>0</v>
      </c>
      <c r="CS54" s="14">
        <f>ROUND(IF(BX54=0,0,HLOOKUP(BX$14,Villagers!$B$1:$V$33,BX54+3,FALSE)),)</f>
        <v>0</v>
      </c>
      <c r="CT54" s="14">
        <f>ROUND(IF(BY54=0,0,HLOOKUP(BY$14,Villagers!$B$1:$V$33,BY54+3,FALSE)),)</f>
        <v>0</v>
      </c>
      <c r="CU54" s="14">
        <f>ROUND(IF(BZ54=0,0,HLOOKUP(BZ$14,Villagers!$B$1:$V$33,BZ54+3,FALSE)),)</f>
        <v>0</v>
      </c>
      <c r="CV54" s="14">
        <f>ROUND(IF(CA54=0,0,HLOOKUP(CA$14,Villagers!$B$1:$V$33,CA54+3,FALSE)),)</f>
        <v>0</v>
      </c>
      <c r="CW54" s="14">
        <f>ROUND(IF(CB54=0,0,HLOOKUP(CB$14,Villagers!$B$1:$V$33,CB54+3,FALSE)),)</f>
        <v>0</v>
      </c>
      <c r="CX54" s="14">
        <f>ROUND(IF(CC54=0,0,HLOOKUP(CC$14,Villagers!$B$1:$V$33,CC54+3,FALSE)),)</f>
        <v>0</v>
      </c>
      <c r="CY54" s="14">
        <f>ROUND(IF(CD54=0,0,HLOOKUP(CD$14,Villagers!$B$1:$V$33,CD54+3,FALSE)),)</f>
        <v>0</v>
      </c>
      <c r="CZ54" s="14">
        <f>ROUND(IF(CE54=0,0,HLOOKUP(CE$14,Villagers!$B$1:$V$33,CE54+3,FALSE)),)</f>
        <v>5</v>
      </c>
      <c r="DA54" s="14">
        <f>ROUND(IF(CF54=0,0,HLOOKUP(CF$14,Villagers!$B$1:$V$33,CF54+3,FALSE)),)</f>
        <v>10</v>
      </c>
      <c r="DB54" s="14">
        <f>ROUND(IF(CG54=0,0,HLOOKUP(CG$14,Villagers!$B$1:$V$33,CG54+3,FALSE)),)</f>
        <v>10</v>
      </c>
      <c r="DC54" s="14">
        <f>ROUND(IF(CH54=0,0,HLOOKUP(CH$14,Villagers!$B$1:$V$33,CH54+3,FALSE)),)</f>
        <v>0</v>
      </c>
      <c r="DD54" s="14">
        <f>ROUND(IF(CI54=0,0,HLOOKUP(CI$14,Villagers!$B$1:$V$33,CI54+3,FALSE)),)</f>
        <v>0</v>
      </c>
      <c r="DE54" s="14">
        <f>ROUND(IF(CJ54=0,0,HLOOKUP(CJ$14,Villagers!$B$1:$V$33,CJ54+3,FALSE)),)</f>
        <v>2</v>
      </c>
      <c r="DF54" s="370">
        <f>ROUND(IF(CK54=0,0,HLOOKUP(CK$14,Villagers!$B$1:$V$33,CK54+3,FALSE)),)</f>
        <v>0</v>
      </c>
      <c r="DG54" s="370">
        <f>ROUND(IF(CL54=0,0,HLOOKUP(CL$14,Villagers!$B$1:$V$33,CL54+3,FALSE)),)</f>
        <v>0</v>
      </c>
      <c r="DH54" s="34">
        <f>ROUND(IF(CM54=0,0,HLOOKUP(CM$14,Villagers!$B$1:$V$33,CM54+3,FALSE)),)</f>
        <v>0</v>
      </c>
      <c r="DI54" s="109">
        <f t="shared" si="73"/>
        <v>0</v>
      </c>
      <c r="DJ54" s="50">
        <f t="shared" si="74"/>
        <v>0</v>
      </c>
      <c r="DK54" s="50">
        <f t="shared" si="75"/>
        <v>0</v>
      </c>
      <c r="DL54" s="50">
        <f t="shared" si="76"/>
        <v>0</v>
      </c>
      <c r="DM54" s="50">
        <f t="shared" si="77"/>
        <v>0</v>
      </c>
      <c r="DN54" s="50">
        <f t="shared" si="78"/>
        <v>0</v>
      </c>
      <c r="DO54" s="50">
        <f t="shared" si="79"/>
        <v>0</v>
      </c>
      <c r="DP54" s="50">
        <f t="shared" si="80"/>
        <v>0</v>
      </c>
      <c r="DQ54" s="50">
        <f t="shared" si="59"/>
        <v>0</v>
      </c>
      <c r="DR54" s="50">
        <f t="shared" si="60"/>
        <v>0</v>
      </c>
      <c r="DS54" s="96">
        <f>Miscelaneous!$D$4*Miscelaneous!$D$2^($CI54-1)</f>
        <v>1000</v>
      </c>
      <c r="DT54" s="333">
        <f t="shared" si="61"/>
        <v>1</v>
      </c>
      <c r="DU54" s="81">
        <v>1</v>
      </c>
      <c r="DV54" s="79">
        <f t="shared" si="62"/>
        <v>0</v>
      </c>
      <c r="DW54" s="79">
        <f t="shared" si="23"/>
        <v>0</v>
      </c>
      <c r="DX54" s="79">
        <f t="shared" si="63"/>
        <v>0</v>
      </c>
      <c r="DY54" s="79">
        <v>1</v>
      </c>
      <c r="DZ54" s="79">
        <f t="shared" si="24"/>
        <v>0</v>
      </c>
      <c r="EA54" s="79">
        <f t="shared" si="64"/>
        <v>0</v>
      </c>
      <c r="EB54" s="79">
        <f t="shared" si="65"/>
        <v>0</v>
      </c>
      <c r="EC54" s="79">
        <f t="shared" si="66"/>
        <v>0</v>
      </c>
      <c r="ED54" s="79">
        <v>1</v>
      </c>
      <c r="EE54" s="79">
        <v>1</v>
      </c>
      <c r="EF54" s="79">
        <f t="shared" si="67"/>
        <v>0</v>
      </c>
      <c r="EG54" s="79">
        <v>1</v>
      </c>
      <c r="EH54" s="79">
        <v>1</v>
      </c>
      <c r="EI54" s="79">
        <v>1</v>
      </c>
      <c r="EJ54" s="79">
        <v>1</v>
      </c>
      <c r="EK54" s="79">
        <v>1</v>
      </c>
      <c r="EL54" s="79">
        <v>1</v>
      </c>
      <c r="EM54" s="143">
        <f t="shared" si="68"/>
        <v>0</v>
      </c>
      <c r="EN54" s="143">
        <f t="shared" si="69"/>
        <v>0</v>
      </c>
      <c r="EO54" s="82">
        <f t="shared" si="70"/>
        <v>0</v>
      </c>
    </row>
    <row r="55" spans="1:145" x14ac:dyDescent="0.25">
      <c r="A55">
        <v>41</v>
      </c>
      <c r="B55" s="172" t="e">
        <f t="shared" si="25"/>
        <v>#N/A</v>
      </c>
      <c r="C55" s="121" t="e">
        <f t="shared" si="0"/>
        <v>#N/A</v>
      </c>
      <c r="D55" s="122" t="e">
        <f t="shared" si="1"/>
        <v>#N/A</v>
      </c>
      <c r="E55" s="122" t="e">
        <f t="shared" si="2"/>
        <v>#N/A</v>
      </c>
      <c r="F55" s="176" t="e">
        <f t="shared" si="3"/>
        <v>#N/A</v>
      </c>
      <c r="G55" s="121">
        <f t="shared" si="26"/>
        <v>208</v>
      </c>
      <c r="H55" s="176" t="e">
        <f t="shared" si="27"/>
        <v>#N/A</v>
      </c>
      <c r="I55" s="48">
        <v>1</v>
      </c>
      <c r="J55" s="39"/>
      <c r="K55" s="350">
        <v>1</v>
      </c>
      <c r="L55" s="34" t="e">
        <f t="shared" si="4"/>
        <v>#N/A</v>
      </c>
      <c r="M55" s="38" t="e">
        <f>(HLOOKUP(J55,'Construction Times'!$B$3:$W$34,L55+2,FALSE)*HLOOKUP("hq modifier",'Construction Times'!$W$3:$W$34,BS55+2,FALSE))*(1-$H$9)</f>
        <v>#N/A</v>
      </c>
      <c r="N55" s="443" t="e">
        <f t="shared" si="28"/>
        <v>#N/A</v>
      </c>
      <c r="O55" s="444"/>
      <c r="P55" s="447" t="e">
        <f t="shared" si="29"/>
        <v>#N/A</v>
      </c>
      <c r="Q55" s="448"/>
      <c r="R55" s="103">
        <f t="shared" si="71"/>
        <v>0</v>
      </c>
      <c r="S55" s="104">
        <f t="shared" si="71"/>
        <v>0</v>
      </c>
      <c r="T55" s="104">
        <f t="shared" si="72"/>
        <v>0</v>
      </c>
      <c r="U55" s="104">
        <f t="shared" si="72"/>
        <v>0</v>
      </c>
      <c r="V55" s="104">
        <f t="shared" si="72"/>
        <v>9.9999999999999995E-8</v>
      </c>
      <c r="W55" s="104">
        <f t="shared" si="72"/>
        <v>0</v>
      </c>
      <c r="X55" s="104">
        <f t="shared" si="85"/>
        <v>0</v>
      </c>
      <c r="Y55" s="104">
        <f t="shared" si="85"/>
        <v>9.9999999999999995E-8</v>
      </c>
      <c r="Z55" s="104">
        <f t="shared" si="85"/>
        <v>9.9999999999999995E-8</v>
      </c>
      <c r="AA55" s="105">
        <f t="shared" si="85"/>
        <v>9.9999999999999995E-8</v>
      </c>
      <c r="AB55" s="101" t="e">
        <f>$DT55*HLOOKUP($J55,'Construction Costs (timber)'!$B$1:$V$32,'Construction Planner'!$L55+2,FALSE)</f>
        <v>#N/A</v>
      </c>
      <c r="AC55" s="14" t="e">
        <f>$DT55*HLOOKUP($J55,'Construction Costs (clay)'!$B$1:$V$32,'Construction Planner'!$L55+2,FALSE)</f>
        <v>#N/A</v>
      </c>
      <c r="AD55" s="14" t="e">
        <f>$DT55*HLOOKUP($J55,'Construction Costs (iron)'!$B$1:$V$32,'Construction Planner'!$L55+2,FALSE)</f>
        <v>#N/A</v>
      </c>
      <c r="AE55" s="34" t="e">
        <f t="shared" si="81"/>
        <v>#N/A</v>
      </c>
      <c r="AF55" s="33" t="e">
        <f t="shared" si="5"/>
        <v>#N/A</v>
      </c>
      <c r="AG55" s="14" t="e">
        <f t="shared" si="6"/>
        <v>#N/A</v>
      </c>
      <c r="AH55" s="14" t="e">
        <f t="shared" si="7"/>
        <v>#N/A</v>
      </c>
      <c r="AI55" s="34" t="e">
        <f t="shared" si="82"/>
        <v>#N/A</v>
      </c>
      <c r="AJ55" s="49" t="e">
        <f t="shared" si="32"/>
        <v>#N/A</v>
      </c>
      <c r="AK55" s="49" t="e">
        <f t="shared" si="33"/>
        <v>#N/A</v>
      </c>
      <c r="AL55" s="49" t="e">
        <f t="shared" si="34"/>
        <v>#N/A</v>
      </c>
      <c r="AM55" s="25">
        <f t="shared" si="8"/>
        <v>30</v>
      </c>
      <c r="AN55" s="25">
        <f t="shared" si="9"/>
        <v>30</v>
      </c>
      <c r="AO55" s="25">
        <f t="shared" si="10"/>
        <v>30</v>
      </c>
      <c r="AP55" s="52" t="e">
        <f t="shared" si="35"/>
        <v>#N/A</v>
      </c>
      <c r="AQ55" s="53" t="e">
        <f t="shared" si="35"/>
        <v>#N/A</v>
      </c>
      <c r="AR55" s="54" t="e">
        <f t="shared" si="35"/>
        <v>#N/A</v>
      </c>
      <c r="AS55" s="316">
        <f t="shared" si="83"/>
        <v>0</v>
      </c>
      <c r="AT55" s="106">
        <f>_xlfn.IFNA($M55/VLOOKUP($BT55,'Unit information'!$A$2:$K$29,2,FALSE)*R55,0)*(1+$E$9)</f>
        <v>0</v>
      </c>
      <c r="AU55" s="107">
        <f>_xlfn.IFNA($M55/VLOOKUP($BT55,'Unit information'!$A$2:$K$29,3,FALSE)*S55,0)*(1+$E$9)</f>
        <v>0</v>
      </c>
      <c r="AV55" s="107">
        <f>_xlfn.IFNA($M55/VLOOKUP($BT55,'Unit information'!$A$2:$K$29,4,FALSE)*T55,0)*(1+$E$9)</f>
        <v>0</v>
      </c>
      <c r="AW55" s="107">
        <f>_xlfn.IFNA($M55/VLOOKUP($BT55,'Unit information'!$A$2:$K$29,5,FALSE)*U55,0)*(1+$E$9)</f>
        <v>0</v>
      </c>
      <c r="AX55" s="107">
        <f>_xlfn.IFNA($M55/VLOOKUP($BU55,'Unit information'!$A$2:$K$29,6,FALSE)*V55,0)*(1+$E$9)</f>
        <v>0</v>
      </c>
      <c r="AY55" s="107">
        <f>_xlfn.IFNA($M55/VLOOKUP($BU55,'Unit information'!$A$2:$K$29,7,FALSE)*W55,0)*(1+$E$9)</f>
        <v>0</v>
      </c>
      <c r="AZ55" s="107">
        <f>_xlfn.IFNA($M55/VLOOKUP($BU55,'Unit information'!$A$2:$K$29,8,FALSE)*X55,0)*(1+$E$9)</f>
        <v>0</v>
      </c>
      <c r="BA55" s="107">
        <f>_xlfn.IFNA($M55/VLOOKUP($BU55,'Unit information'!$A$2:$K$29,9,FALSE)*Y55,0)*(1+$E$9)</f>
        <v>0</v>
      </c>
      <c r="BB55" s="107">
        <f>_xlfn.IFNA($M55/VLOOKUP($BV55,'Unit information'!$A$2:$K$29,10,FALSE)*Z55,0)*(1+$E$9)</f>
        <v>0</v>
      </c>
      <c r="BC55" s="108">
        <f>_xlfn.IFNA($M55/VLOOKUP($BV55,'Unit information'!$A$2:$K$29,11,FALSE)*AA55,0)*(1+$E$9)</f>
        <v>0</v>
      </c>
      <c r="BD55" s="106">
        <f t="shared" si="12"/>
        <v>0</v>
      </c>
      <c r="BE55" s="107">
        <f t="shared" si="13"/>
        <v>0</v>
      </c>
      <c r="BF55" s="108">
        <f t="shared" si="14"/>
        <v>0</v>
      </c>
      <c r="BG55" s="25" t="e">
        <f t="shared" si="15"/>
        <v>#N/A</v>
      </c>
      <c r="BH55" s="25" t="e">
        <f t="shared" si="16"/>
        <v>#N/A</v>
      </c>
      <c r="BI55" s="25" t="e">
        <f t="shared" si="17"/>
        <v>#N/A</v>
      </c>
      <c r="BJ55" s="27" t="e">
        <f t="shared" si="18"/>
        <v>#N/A</v>
      </c>
      <c r="BK55" s="18" t="e">
        <f t="shared" si="19"/>
        <v>#N/A</v>
      </c>
      <c r="BL55" s="18" t="e">
        <f t="shared" si="20"/>
        <v>#N/A</v>
      </c>
      <c r="BM55" s="28" t="e">
        <f t="shared" si="84"/>
        <v>#N/A</v>
      </c>
      <c r="BN55" s="33">
        <f>HLOOKUP("maximum population",Miscelaneous!$C$1:$C$33,CH55+3,FALSE)</f>
        <v>240</v>
      </c>
      <c r="BO55" s="14">
        <f t="shared" si="36"/>
        <v>32</v>
      </c>
      <c r="BP55" s="14">
        <f t="shared" si="37"/>
        <v>0</v>
      </c>
      <c r="BQ55" s="14">
        <f t="shared" si="38"/>
        <v>208</v>
      </c>
      <c r="BR55" s="34" t="e">
        <f>HLOOKUP(J55,Villagers!$B$1:$V$33,L55+3,FALSE)-HLOOKUP(J55,Villagers!$B$1:$V$33,L55+2,FALSE)</f>
        <v>#N/A</v>
      </c>
      <c r="BS55" s="49">
        <f t="shared" si="39"/>
        <v>1</v>
      </c>
      <c r="BT55" s="50">
        <f t="shared" si="40"/>
        <v>0</v>
      </c>
      <c r="BU55" s="50">
        <f t="shared" si="41"/>
        <v>0</v>
      </c>
      <c r="BV55" s="50">
        <f t="shared" si="86"/>
        <v>0</v>
      </c>
      <c r="BW55" s="50">
        <f t="shared" si="87"/>
        <v>0</v>
      </c>
      <c r="BX55" s="50">
        <f t="shared" si="88"/>
        <v>0</v>
      </c>
      <c r="BY55" s="50">
        <f t="shared" si="88"/>
        <v>0</v>
      </c>
      <c r="BZ55" s="50">
        <f t="shared" si="45"/>
        <v>0</v>
      </c>
      <c r="CA55" s="50">
        <f t="shared" si="46"/>
        <v>0</v>
      </c>
      <c r="CB55" s="50">
        <f t="shared" si="47"/>
        <v>1</v>
      </c>
      <c r="CC55" s="50">
        <f t="shared" si="48"/>
        <v>0</v>
      </c>
      <c r="CD55" s="50">
        <f t="shared" si="49"/>
        <v>0</v>
      </c>
      <c r="CE55" s="50">
        <f t="shared" si="50"/>
        <v>1</v>
      </c>
      <c r="CF55" s="50">
        <f t="shared" si="51"/>
        <v>1</v>
      </c>
      <c r="CG55" s="50">
        <f t="shared" si="52"/>
        <v>1</v>
      </c>
      <c r="CH55" s="50">
        <f t="shared" si="53"/>
        <v>1</v>
      </c>
      <c r="CI55" s="50">
        <f t="shared" si="54"/>
        <v>1</v>
      </c>
      <c r="CJ55" s="50">
        <f t="shared" si="55"/>
        <v>1</v>
      </c>
      <c r="CK55" s="50">
        <f t="shared" si="56"/>
        <v>0</v>
      </c>
      <c r="CL55" s="50">
        <f t="shared" si="55"/>
        <v>0</v>
      </c>
      <c r="CM55" s="51">
        <f t="shared" si="57"/>
        <v>0</v>
      </c>
      <c r="CN55" s="33">
        <f>ROUND(IF(BS55=0,0,HLOOKUP(BS$14,Villagers!$B$1:$V$33,BS55+3,FALSE)),)</f>
        <v>5</v>
      </c>
      <c r="CO55" s="14">
        <f>ROUND(IF(BT55=0,0,HLOOKUP(BT$14,Villagers!$B$1:$V$33,BT55+3,FALSE)),)</f>
        <v>0</v>
      </c>
      <c r="CP55" s="14">
        <f>ROUND(IF(BU55=0,0,HLOOKUP(BU$14,Villagers!$B$1:$V$33,BU55+3,FALSE)),)</f>
        <v>0</v>
      </c>
      <c r="CQ55" s="14">
        <f>ROUND(IF(BV55=0,0,HLOOKUP(BV$14,Villagers!$B$1:$V$33,BV55+3,FALSE)),)</f>
        <v>0</v>
      </c>
      <c r="CR55" s="14">
        <f>ROUND(IF(BW55=0,0,HLOOKUP(BW$14,Villagers!$B$1:$V$33,BW55+3,FALSE)),)</f>
        <v>0</v>
      </c>
      <c r="CS55" s="14">
        <f>ROUND(IF(BX55=0,0,HLOOKUP(BX$14,Villagers!$B$1:$V$33,BX55+3,FALSE)),)</f>
        <v>0</v>
      </c>
      <c r="CT55" s="14">
        <f>ROUND(IF(BY55=0,0,HLOOKUP(BY$14,Villagers!$B$1:$V$33,BY55+3,FALSE)),)</f>
        <v>0</v>
      </c>
      <c r="CU55" s="14">
        <f>ROUND(IF(BZ55=0,0,HLOOKUP(BZ$14,Villagers!$B$1:$V$33,BZ55+3,FALSE)),)</f>
        <v>0</v>
      </c>
      <c r="CV55" s="14">
        <f>ROUND(IF(CA55=0,0,HLOOKUP(CA$14,Villagers!$B$1:$V$33,CA55+3,FALSE)),)</f>
        <v>0</v>
      </c>
      <c r="CW55" s="14">
        <f>ROUND(IF(CB55=0,0,HLOOKUP(CB$14,Villagers!$B$1:$V$33,CB55+3,FALSE)),)</f>
        <v>0</v>
      </c>
      <c r="CX55" s="14">
        <f>ROUND(IF(CC55=0,0,HLOOKUP(CC$14,Villagers!$B$1:$V$33,CC55+3,FALSE)),)</f>
        <v>0</v>
      </c>
      <c r="CY55" s="14">
        <f>ROUND(IF(CD55=0,0,HLOOKUP(CD$14,Villagers!$B$1:$V$33,CD55+3,FALSE)),)</f>
        <v>0</v>
      </c>
      <c r="CZ55" s="14">
        <f>ROUND(IF(CE55=0,0,HLOOKUP(CE$14,Villagers!$B$1:$V$33,CE55+3,FALSE)),)</f>
        <v>5</v>
      </c>
      <c r="DA55" s="14">
        <f>ROUND(IF(CF55=0,0,HLOOKUP(CF$14,Villagers!$B$1:$V$33,CF55+3,FALSE)),)</f>
        <v>10</v>
      </c>
      <c r="DB55" s="14">
        <f>ROUND(IF(CG55=0,0,HLOOKUP(CG$14,Villagers!$B$1:$V$33,CG55+3,FALSE)),)</f>
        <v>10</v>
      </c>
      <c r="DC55" s="14">
        <f>ROUND(IF(CH55=0,0,HLOOKUP(CH$14,Villagers!$B$1:$V$33,CH55+3,FALSE)),)</f>
        <v>0</v>
      </c>
      <c r="DD55" s="14">
        <f>ROUND(IF(CI55=0,0,HLOOKUP(CI$14,Villagers!$B$1:$V$33,CI55+3,FALSE)),)</f>
        <v>0</v>
      </c>
      <c r="DE55" s="14">
        <f>ROUND(IF(CJ55=0,0,HLOOKUP(CJ$14,Villagers!$B$1:$V$33,CJ55+3,FALSE)),)</f>
        <v>2</v>
      </c>
      <c r="DF55" s="370">
        <f>ROUND(IF(CK55=0,0,HLOOKUP(CK$14,Villagers!$B$1:$V$33,CK55+3,FALSE)),)</f>
        <v>0</v>
      </c>
      <c r="DG55" s="370">
        <f>ROUND(IF(CL55=0,0,HLOOKUP(CL$14,Villagers!$B$1:$V$33,CL55+3,FALSE)),)</f>
        <v>0</v>
      </c>
      <c r="DH55" s="34">
        <f>ROUND(IF(CM55=0,0,HLOOKUP(CM$14,Villagers!$B$1:$V$33,CM55+3,FALSE)),)</f>
        <v>0</v>
      </c>
      <c r="DI55" s="109">
        <f t="shared" si="73"/>
        <v>0</v>
      </c>
      <c r="DJ55" s="50">
        <f t="shared" si="74"/>
        <v>0</v>
      </c>
      <c r="DK55" s="50">
        <f t="shared" si="75"/>
        <v>0</v>
      </c>
      <c r="DL55" s="50">
        <f t="shared" si="76"/>
        <v>0</v>
      </c>
      <c r="DM55" s="50">
        <f t="shared" si="77"/>
        <v>0</v>
      </c>
      <c r="DN55" s="50">
        <f t="shared" si="78"/>
        <v>0</v>
      </c>
      <c r="DO55" s="50">
        <f t="shared" si="79"/>
        <v>0</v>
      </c>
      <c r="DP55" s="50">
        <f t="shared" si="80"/>
        <v>0</v>
      </c>
      <c r="DQ55" s="50">
        <f t="shared" si="59"/>
        <v>0</v>
      </c>
      <c r="DR55" s="50">
        <f t="shared" si="60"/>
        <v>0</v>
      </c>
      <c r="DS55" s="96">
        <f>Miscelaneous!$D$4*Miscelaneous!$D$2^($CI55-1)</f>
        <v>1000</v>
      </c>
      <c r="DT55" s="333">
        <f t="shared" si="61"/>
        <v>1</v>
      </c>
      <c r="DU55" s="81">
        <v>1</v>
      </c>
      <c r="DV55" s="79">
        <f t="shared" si="62"/>
        <v>0</v>
      </c>
      <c r="DW55" s="79">
        <f t="shared" si="23"/>
        <v>0</v>
      </c>
      <c r="DX55" s="79">
        <f t="shared" si="63"/>
        <v>0</v>
      </c>
      <c r="DY55" s="79">
        <v>1</v>
      </c>
      <c r="DZ55" s="79">
        <f t="shared" si="24"/>
        <v>0</v>
      </c>
      <c r="EA55" s="79">
        <f t="shared" si="64"/>
        <v>0</v>
      </c>
      <c r="EB55" s="79">
        <f t="shared" si="65"/>
        <v>0</v>
      </c>
      <c r="EC55" s="79">
        <f t="shared" si="66"/>
        <v>0</v>
      </c>
      <c r="ED55" s="79">
        <v>1</v>
      </c>
      <c r="EE55" s="79">
        <v>1</v>
      </c>
      <c r="EF55" s="79">
        <f t="shared" si="67"/>
        <v>0</v>
      </c>
      <c r="EG55" s="79">
        <v>1</v>
      </c>
      <c r="EH55" s="79">
        <v>1</v>
      </c>
      <c r="EI55" s="79">
        <v>1</v>
      </c>
      <c r="EJ55" s="79">
        <v>1</v>
      </c>
      <c r="EK55" s="79">
        <v>1</v>
      </c>
      <c r="EL55" s="79">
        <v>1</v>
      </c>
      <c r="EM55" s="143">
        <f t="shared" si="68"/>
        <v>0</v>
      </c>
      <c r="EN55" s="143">
        <f t="shared" si="69"/>
        <v>0</v>
      </c>
      <c r="EO55" s="82">
        <f t="shared" si="70"/>
        <v>0</v>
      </c>
    </row>
    <row r="56" spans="1:145" x14ac:dyDescent="0.25">
      <c r="A56">
        <v>42</v>
      </c>
      <c r="B56" s="172" t="e">
        <f t="shared" si="25"/>
        <v>#N/A</v>
      </c>
      <c r="C56" s="121" t="e">
        <f t="shared" si="0"/>
        <v>#N/A</v>
      </c>
      <c r="D56" s="122" t="e">
        <f t="shared" si="1"/>
        <v>#N/A</v>
      </c>
      <c r="E56" s="122" t="e">
        <f t="shared" si="2"/>
        <v>#N/A</v>
      </c>
      <c r="F56" s="176" t="e">
        <f t="shared" si="3"/>
        <v>#N/A</v>
      </c>
      <c r="G56" s="121">
        <f t="shared" si="26"/>
        <v>208</v>
      </c>
      <c r="H56" s="176" t="e">
        <f t="shared" si="27"/>
        <v>#N/A</v>
      </c>
      <c r="I56" s="48">
        <v>1</v>
      </c>
      <c r="J56" s="39"/>
      <c r="K56" s="350">
        <v>1</v>
      </c>
      <c r="L56" s="34" t="e">
        <f t="shared" si="4"/>
        <v>#N/A</v>
      </c>
      <c r="M56" s="38" t="e">
        <f>(HLOOKUP(J56,'Construction Times'!$B$3:$W$34,L56+2,FALSE)*HLOOKUP("hq modifier",'Construction Times'!$W$3:$W$34,BS56+2,FALSE))*(1-$H$9)</f>
        <v>#N/A</v>
      </c>
      <c r="N56" s="443" t="e">
        <f t="shared" si="28"/>
        <v>#N/A</v>
      </c>
      <c r="O56" s="444"/>
      <c r="P56" s="447" t="e">
        <f t="shared" si="29"/>
        <v>#N/A</v>
      </c>
      <c r="Q56" s="448"/>
      <c r="R56" s="103">
        <f t="shared" si="71"/>
        <v>0</v>
      </c>
      <c r="S56" s="104">
        <f t="shared" si="71"/>
        <v>0</v>
      </c>
      <c r="T56" s="104">
        <f t="shared" si="72"/>
        <v>0</v>
      </c>
      <c r="U56" s="104">
        <f t="shared" si="72"/>
        <v>0</v>
      </c>
      <c r="V56" s="104">
        <f t="shared" si="72"/>
        <v>9.9999999999999995E-8</v>
      </c>
      <c r="W56" s="104">
        <f t="shared" si="72"/>
        <v>0</v>
      </c>
      <c r="X56" s="104">
        <f t="shared" si="85"/>
        <v>0</v>
      </c>
      <c r="Y56" s="104">
        <f t="shared" si="85"/>
        <v>9.9999999999999995E-8</v>
      </c>
      <c r="Z56" s="104">
        <f t="shared" si="85"/>
        <v>9.9999999999999995E-8</v>
      </c>
      <c r="AA56" s="105">
        <f t="shared" si="85"/>
        <v>9.9999999999999995E-8</v>
      </c>
      <c r="AB56" s="101" t="e">
        <f>$DT56*HLOOKUP($J56,'Construction Costs (timber)'!$B$1:$V$32,'Construction Planner'!$L56+2,FALSE)</f>
        <v>#N/A</v>
      </c>
      <c r="AC56" s="14" t="e">
        <f>$DT56*HLOOKUP($J56,'Construction Costs (clay)'!$B$1:$V$32,'Construction Planner'!$L56+2,FALSE)</f>
        <v>#N/A</v>
      </c>
      <c r="AD56" s="14" t="e">
        <f>$DT56*HLOOKUP($J56,'Construction Costs (iron)'!$B$1:$V$32,'Construction Planner'!$L56+2,FALSE)</f>
        <v>#N/A</v>
      </c>
      <c r="AE56" s="34" t="e">
        <f t="shared" si="81"/>
        <v>#N/A</v>
      </c>
      <c r="AF56" s="33" t="e">
        <f t="shared" si="5"/>
        <v>#N/A</v>
      </c>
      <c r="AG56" s="14" t="e">
        <f t="shared" si="6"/>
        <v>#N/A</v>
      </c>
      <c r="AH56" s="14" t="e">
        <f t="shared" si="7"/>
        <v>#N/A</v>
      </c>
      <c r="AI56" s="34" t="e">
        <f t="shared" si="82"/>
        <v>#N/A</v>
      </c>
      <c r="AJ56" s="49" t="e">
        <f t="shared" si="32"/>
        <v>#N/A</v>
      </c>
      <c r="AK56" s="49" t="e">
        <f t="shared" si="33"/>
        <v>#N/A</v>
      </c>
      <c r="AL56" s="49" t="e">
        <f t="shared" si="34"/>
        <v>#N/A</v>
      </c>
      <c r="AM56" s="25">
        <f t="shared" si="8"/>
        <v>30</v>
      </c>
      <c r="AN56" s="25">
        <f t="shared" si="9"/>
        <v>30</v>
      </c>
      <c r="AO56" s="25">
        <f t="shared" si="10"/>
        <v>30</v>
      </c>
      <c r="AP56" s="52" t="e">
        <f t="shared" si="35"/>
        <v>#N/A</v>
      </c>
      <c r="AQ56" s="53" t="e">
        <f t="shared" si="35"/>
        <v>#N/A</v>
      </c>
      <c r="AR56" s="54" t="e">
        <f t="shared" si="35"/>
        <v>#N/A</v>
      </c>
      <c r="AS56" s="316">
        <f t="shared" si="83"/>
        <v>0</v>
      </c>
      <c r="AT56" s="106">
        <f>_xlfn.IFNA($M56/VLOOKUP($BT56,'Unit information'!$A$2:$K$29,2,FALSE)*R56,0)*(1+$E$9)</f>
        <v>0</v>
      </c>
      <c r="AU56" s="107">
        <f>_xlfn.IFNA($M56/VLOOKUP($BT56,'Unit information'!$A$2:$K$29,3,FALSE)*S56,0)*(1+$E$9)</f>
        <v>0</v>
      </c>
      <c r="AV56" s="107">
        <f>_xlfn.IFNA($M56/VLOOKUP($BT56,'Unit information'!$A$2:$K$29,4,FALSE)*T56,0)*(1+$E$9)</f>
        <v>0</v>
      </c>
      <c r="AW56" s="107">
        <f>_xlfn.IFNA($M56/VLOOKUP($BT56,'Unit information'!$A$2:$K$29,5,FALSE)*U56,0)*(1+$E$9)</f>
        <v>0</v>
      </c>
      <c r="AX56" s="107">
        <f>_xlfn.IFNA($M56/VLOOKUP($BU56,'Unit information'!$A$2:$K$29,6,FALSE)*V56,0)*(1+$E$9)</f>
        <v>0</v>
      </c>
      <c r="AY56" s="107">
        <f>_xlfn.IFNA($M56/VLOOKUP($BU56,'Unit information'!$A$2:$K$29,7,FALSE)*W56,0)*(1+$E$9)</f>
        <v>0</v>
      </c>
      <c r="AZ56" s="107">
        <f>_xlfn.IFNA($M56/VLOOKUP($BU56,'Unit information'!$A$2:$K$29,8,FALSE)*X56,0)*(1+$E$9)</f>
        <v>0</v>
      </c>
      <c r="BA56" s="107">
        <f>_xlfn.IFNA($M56/VLOOKUP($BU56,'Unit information'!$A$2:$K$29,9,FALSE)*Y56,0)*(1+$E$9)</f>
        <v>0</v>
      </c>
      <c r="BB56" s="107">
        <f>_xlfn.IFNA($M56/VLOOKUP($BV56,'Unit information'!$A$2:$K$29,10,FALSE)*Z56,0)*(1+$E$9)</f>
        <v>0</v>
      </c>
      <c r="BC56" s="108">
        <f>_xlfn.IFNA($M56/VLOOKUP($BV56,'Unit information'!$A$2:$K$29,11,FALSE)*AA56,0)*(1+$E$9)</f>
        <v>0</v>
      </c>
      <c r="BD56" s="106">
        <f t="shared" si="12"/>
        <v>0</v>
      </c>
      <c r="BE56" s="107">
        <f t="shared" si="13"/>
        <v>0</v>
      </c>
      <c r="BF56" s="108">
        <f t="shared" si="14"/>
        <v>0</v>
      </c>
      <c r="BG56" s="25" t="e">
        <f t="shared" si="15"/>
        <v>#N/A</v>
      </c>
      <c r="BH56" s="25" t="e">
        <f t="shared" si="16"/>
        <v>#N/A</v>
      </c>
      <c r="BI56" s="25" t="e">
        <f t="shared" si="17"/>
        <v>#N/A</v>
      </c>
      <c r="BJ56" s="27" t="e">
        <f t="shared" si="18"/>
        <v>#N/A</v>
      </c>
      <c r="BK56" s="18" t="e">
        <f t="shared" si="19"/>
        <v>#N/A</v>
      </c>
      <c r="BL56" s="18" t="e">
        <f t="shared" si="20"/>
        <v>#N/A</v>
      </c>
      <c r="BM56" s="28" t="e">
        <f t="shared" si="84"/>
        <v>#N/A</v>
      </c>
      <c r="BN56" s="33">
        <f>HLOOKUP("maximum population",Miscelaneous!$C$1:$C$33,CH56+3,FALSE)</f>
        <v>240</v>
      </c>
      <c r="BO56" s="14">
        <f t="shared" si="36"/>
        <v>32</v>
      </c>
      <c r="BP56" s="14">
        <f t="shared" si="37"/>
        <v>0</v>
      </c>
      <c r="BQ56" s="14">
        <f t="shared" si="38"/>
        <v>208</v>
      </c>
      <c r="BR56" s="34" t="e">
        <f>HLOOKUP(J56,Villagers!$B$1:$V$33,L56+3,FALSE)-HLOOKUP(J56,Villagers!$B$1:$V$33,L56+2,FALSE)</f>
        <v>#N/A</v>
      </c>
      <c r="BS56" s="49">
        <f t="shared" si="39"/>
        <v>1</v>
      </c>
      <c r="BT56" s="50">
        <f t="shared" si="40"/>
        <v>0</v>
      </c>
      <c r="BU56" s="50">
        <f t="shared" si="41"/>
        <v>0</v>
      </c>
      <c r="BV56" s="50">
        <f t="shared" si="86"/>
        <v>0</v>
      </c>
      <c r="BW56" s="50">
        <f t="shared" si="87"/>
        <v>0</v>
      </c>
      <c r="BX56" s="50">
        <f t="shared" si="88"/>
        <v>0</v>
      </c>
      <c r="BY56" s="50">
        <f t="shared" si="88"/>
        <v>0</v>
      </c>
      <c r="BZ56" s="50">
        <f t="shared" si="45"/>
        <v>0</v>
      </c>
      <c r="CA56" s="50">
        <f t="shared" si="46"/>
        <v>0</v>
      </c>
      <c r="CB56" s="50">
        <f t="shared" si="47"/>
        <v>1</v>
      </c>
      <c r="CC56" s="50">
        <f t="shared" si="48"/>
        <v>0</v>
      </c>
      <c r="CD56" s="50">
        <f t="shared" si="49"/>
        <v>0</v>
      </c>
      <c r="CE56" s="50">
        <f t="shared" si="50"/>
        <v>1</v>
      </c>
      <c r="CF56" s="50">
        <f t="shared" si="51"/>
        <v>1</v>
      </c>
      <c r="CG56" s="50">
        <f t="shared" si="52"/>
        <v>1</v>
      </c>
      <c r="CH56" s="50">
        <f t="shared" si="53"/>
        <v>1</v>
      </c>
      <c r="CI56" s="50">
        <f t="shared" si="54"/>
        <v>1</v>
      </c>
      <c r="CJ56" s="50">
        <f t="shared" si="55"/>
        <v>1</v>
      </c>
      <c r="CK56" s="50">
        <f t="shared" si="56"/>
        <v>0</v>
      </c>
      <c r="CL56" s="50">
        <f t="shared" si="55"/>
        <v>0</v>
      </c>
      <c r="CM56" s="51">
        <f t="shared" si="57"/>
        <v>0</v>
      </c>
      <c r="CN56" s="33">
        <f>ROUND(IF(BS56=0,0,HLOOKUP(BS$14,Villagers!$B$1:$V$33,BS56+3,FALSE)),)</f>
        <v>5</v>
      </c>
      <c r="CO56" s="14">
        <f>ROUND(IF(BT56=0,0,HLOOKUP(BT$14,Villagers!$B$1:$V$33,BT56+3,FALSE)),)</f>
        <v>0</v>
      </c>
      <c r="CP56" s="14">
        <f>ROUND(IF(BU56=0,0,HLOOKUP(BU$14,Villagers!$B$1:$V$33,BU56+3,FALSE)),)</f>
        <v>0</v>
      </c>
      <c r="CQ56" s="14">
        <f>ROUND(IF(BV56=0,0,HLOOKUP(BV$14,Villagers!$B$1:$V$33,BV56+3,FALSE)),)</f>
        <v>0</v>
      </c>
      <c r="CR56" s="14">
        <f>ROUND(IF(BW56=0,0,HLOOKUP(BW$14,Villagers!$B$1:$V$33,BW56+3,FALSE)),)</f>
        <v>0</v>
      </c>
      <c r="CS56" s="14">
        <f>ROUND(IF(BX56=0,0,HLOOKUP(BX$14,Villagers!$B$1:$V$33,BX56+3,FALSE)),)</f>
        <v>0</v>
      </c>
      <c r="CT56" s="14">
        <f>ROUND(IF(BY56=0,0,HLOOKUP(BY$14,Villagers!$B$1:$V$33,BY56+3,FALSE)),)</f>
        <v>0</v>
      </c>
      <c r="CU56" s="14">
        <f>ROUND(IF(BZ56=0,0,HLOOKUP(BZ$14,Villagers!$B$1:$V$33,BZ56+3,FALSE)),)</f>
        <v>0</v>
      </c>
      <c r="CV56" s="14">
        <f>ROUND(IF(CA56=0,0,HLOOKUP(CA$14,Villagers!$B$1:$V$33,CA56+3,FALSE)),)</f>
        <v>0</v>
      </c>
      <c r="CW56" s="14">
        <f>ROUND(IF(CB56=0,0,HLOOKUP(CB$14,Villagers!$B$1:$V$33,CB56+3,FALSE)),)</f>
        <v>0</v>
      </c>
      <c r="CX56" s="14">
        <f>ROUND(IF(CC56=0,0,HLOOKUP(CC$14,Villagers!$B$1:$V$33,CC56+3,FALSE)),)</f>
        <v>0</v>
      </c>
      <c r="CY56" s="14">
        <f>ROUND(IF(CD56=0,0,HLOOKUP(CD$14,Villagers!$B$1:$V$33,CD56+3,FALSE)),)</f>
        <v>0</v>
      </c>
      <c r="CZ56" s="14">
        <f>ROUND(IF(CE56=0,0,HLOOKUP(CE$14,Villagers!$B$1:$V$33,CE56+3,FALSE)),)</f>
        <v>5</v>
      </c>
      <c r="DA56" s="14">
        <f>ROUND(IF(CF56=0,0,HLOOKUP(CF$14,Villagers!$B$1:$V$33,CF56+3,FALSE)),)</f>
        <v>10</v>
      </c>
      <c r="DB56" s="14">
        <f>ROUND(IF(CG56=0,0,HLOOKUP(CG$14,Villagers!$B$1:$V$33,CG56+3,FALSE)),)</f>
        <v>10</v>
      </c>
      <c r="DC56" s="14">
        <f>ROUND(IF(CH56=0,0,HLOOKUP(CH$14,Villagers!$B$1:$V$33,CH56+3,FALSE)),)</f>
        <v>0</v>
      </c>
      <c r="DD56" s="14">
        <f>ROUND(IF(CI56=0,0,HLOOKUP(CI$14,Villagers!$B$1:$V$33,CI56+3,FALSE)),)</f>
        <v>0</v>
      </c>
      <c r="DE56" s="14">
        <f>ROUND(IF(CJ56=0,0,HLOOKUP(CJ$14,Villagers!$B$1:$V$33,CJ56+3,FALSE)),)</f>
        <v>2</v>
      </c>
      <c r="DF56" s="370">
        <f>ROUND(IF(CK56=0,0,HLOOKUP(CK$14,Villagers!$B$1:$V$33,CK56+3,FALSE)),)</f>
        <v>0</v>
      </c>
      <c r="DG56" s="370">
        <f>ROUND(IF(CL56=0,0,HLOOKUP(CL$14,Villagers!$B$1:$V$33,CL56+3,FALSE)),)</f>
        <v>0</v>
      </c>
      <c r="DH56" s="34">
        <f>ROUND(IF(CM56=0,0,HLOOKUP(CM$14,Villagers!$B$1:$V$33,CM56+3,FALSE)),)</f>
        <v>0</v>
      </c>
      <c r="DI56" s="109">
        <f t="shared" si="73"/>
        <v>0</v>
      </c>
      <c r="DJ56" s="50">
        <f t="shared" si="74"/>
        <v>0</v>
      </c>
      <c r="DK56" s="50">
        <f t="shared" si="75"/>
        <v>0</v>
      </c>
      <c r="DL56" s="50">
        <f t="shared" si="76"/>
        <v>0</v>
      </c>
      <c r="DM56" s="50">
        <f t="shared" si="77"/>
        <v>0</v>
      </c>
      <c r="DN56" s="50">
        <f t="shared" si="78"/>
        <v>0</v>
      </c>
      <c r="DO56" s="50">
        <f t="shared" si="79"/>
        <v>0</v>
      </c>
      <c r="DP56" s="50">
        <f t="shared" si="80"/>
        <v>0</v>
      </c>
      <c r="DQ56" s="50">
        <f t="shared" si="59"/>
        <v>0</v>
      </c>
      <c r="DR56" s="50">
        <f t="shared" si="60"/>
        <v>0</v>
      </c>
      <c r="DS56" s="96">
        <f>Miscelaneous!$D$4*Miscelaneous!$D$2^($CI56-1)</f>
        <v>1000</v>
      </c>
      <c r="DT56" s="333">
        <f t="shared" si="61"/>
        <v>1</v>
      </c>
      <c r="DU56" s="81">
        <v>1</v>
      </c>
      <c r="DV56" s="79">
        <f t="shared" si="62"/>
        <v>0</v>
      </c>
      <c r="DW56" s="79">
        <f t="shared" si="23"/>
        <v>0</v>
      </c>
      <c r="DX56" s="79">
        <f t="shared" si="63"/>
        <v>0</v>
      </c>
      <c r="DY56" s="79">
        <v>1</v>
      </c>
      <c r="DZ56" s="79">
        <f t="shared" si="24"/>
        <v>0</v>
      </c>
      <c r="EA56" s="79">
        <f t="shared" si="64"/>
        <v>0</v>
      </c>
      <c r="EB56" s="79">
        <f t="shared" si="65"/>
        <v>0</v>
      </c>
      <c r="EC56" s="79">
        <f t="shared" si="66"/>
        <v>0</v>
      </c>
      <c r="ED56" s="79">
        <v>1</v>
      </c>
      <c r="EE56" s="79">
        <v>1</v>
      </c>
      <c r="EF56" s="79">
        <f t="shared" si="67"/>
        <v>0</v>
      </c>
      <c r="EG56" s="79">
        <v>1</v>
      </c>
      <c r="EH56" s="79">
        <v>1</v>
      </c>
      <c r="EI56" s="79">
        <v>1</v>
      </c>
      <c r="EJ56" s="79">
        <v>1</v>
      </c>
      <c r="EK56" s="79">
        <v>1</v>
      </c>
      <c r="EL56" s="79">
        <v>1</v>
      </c>
      <c r="EM56" s="143">
        <f t="shared" si="68"/>
        <v>0</v>
      </c>
      <c r="EN56" s="143">
        <f t="shared" si="69"/>
        <v>0</v>
      </c>
      <c r="EO56" s="82">
        <f t="shared" si="70"/>
        <v>0</v>
      </c>
    </row>
    <row r="57" spans="1:145" x14ac:dyDescent="0.25">
      <c r="A57">
        <v>43</v>
      </c>
      <c r="B57" s="172" t="e">
        <f t="shared" si="25"/>
        <v>#N/A</v>
      </c>
      <c r="C57" s="121" t="e">
        <f t="shared" si="0"/>
        <v>#N/A</v>
      </c>
      <c r="D57" s="122" t="e">
        <f t="shared" si="1"/>
        <v>#N/A</v>
      </c>
      <c r="E57" s="122" t="e">
        <f t="shared" si="2"/>
        <v>#N/A</v>
      </c>
      <c r="F57" s="176" t="e">
        <f t="shared" si="3"/>
        <v>#N/A</v>
      </c>
      <c r="G57" s="121">
        <f t="shared" si="26"/>
        <v>208</v>
      </c>
      <c r="H57" s="176" t="e">
        <f t="shared" si="27"/>
        <v>#N/A</v>
      </c>
      <c r="I57" s="48">
        <v>1</v>
      </c>
      <c r="J57" s="39"/>
      <c r="K57" s="350">
        <v>1</v>
      </c>
      <c r="L57" s="34" t="e">
        <f t="shared" si="4"/>
        <v>#N/A</v>
      </c>
      <c r="M57" s="38" t="e">
        <f>(HLOOKUP(J57,'Construction Times'!$B$3:$W$34,L57+2,FALSE)*HLOOKUP("hq modifier",'Construction Times'!$W$3:$W$34,BS57+2,FALSE))*(1-$H$9)</f>
        <v>#N/A</v>
      </c>
      <c r="N57" s="443" t="e">
        <f t="shared" si="28"/>
        <v>#N/A</v>
      </c>
      <c r="O57" s="444"/>
      <c r="P57" s="447" t="e">
        <f t="shared" si="29"/>
        <v>#N/A</v>
      </c>
      <c r="Q57" s="448"/>
      <c r="R57" s="103">
        <f t="shared" si="71"/>
        <v>0</v>
      </c>
      <c r="S57" s="104">
        <f t="shared" si="71"/>
        <v>0</v>
      </c>
      <c r="T57" s="104">
        <f t="shared" si="72"/>
        <v>0</v>
      </c>
      <c r="U57" s="104">
        <f t="shared" si="72"/>
        <v>0</v>
      </c>
      <c r="V57" s="104">
        <f t="shared" si="72"/>
        <v>9.9999999999999995E-8</v>
      </c>
      <c r="W57" s="104">
        <f t="shared" si="72"/>
        <v>0</v>
      </c>
      <c r="X57" s="104">
        <f t="shared" si="85"/>
        <v>0</v>
      </c>
      <c r="Y57" s="104">
        <f t="shared" si="85"/>
        <v>9.9999999999999995E-8</v>
      </c>
      <c r="Z57" s="104">
        <f t="shared" si="85"/>
        <v>9.9999999999999995E-8</v>
      </c>
      <c r="AA57" s="105">
        <f t="shared" si="85"/>
        <v>9.9999999999999995E-8</v>
      </c>
      <c r="AB57" s="101" t="e">
        <f>$DT57*HLOOKUP($J57,'Construction Costs (timber)'!$B$1:$V$32,'Construction Planner'!$L57+2,FALSE)</f>
        <v>#N/A</v>
      </c>
      <c r="AC57" s="14" t="e">
        <f>$DT57*HLOOKUP($J57,'Construction Costs (clay)'!$B$1:$V$32,'Construction Planner'!$L57+2,FALSE)</f>
        <v>#N/A</v>
      </c>
      <c r="AD57" s="14" t="e">
        <f>$DT57*HLOOKUP($J57,'Construction Costs (iron)'!$B$1:$V$32,'Construction Planner'!$L57+2,FALSE)</f>
        <v>#N/A</v>
      </c>
      <c r="AE57" s="34" t="e">
        <f t="shared" si="81"/>
        <v>#N/A</v>
      </c>
      <c r="AF57" s="33" t="e">
        <f t="shared" si="5"/>
        <v>#N/A</v>
      </c>
      <c r="AG57" s="14" t="e">
        <f t="shared" si="6"/>
        <v>#N/A</v>
      </c>
      <c r="AH57" s="14" t="e">
        <f t="shared" si="7"/>
        <v>#N/A</v>
      </c>
      <c r="AI57" s="34" t="e">
        <f t="shared" si="82"/>
        <v>#N/A</v>
      </c>
      <c r="AJ57" s="49" t="e">
        <f t="shared" si="32"/>
        <v>#N/A</v>
      </c>
      <c r="AK57" s="49" t="e">
        <f t="shared" si="33"/>
        <v>#N/A</v>
      </c>
      <c r="AL57" s="49" t="e">
        <f t="shared" si="34"/>
        <v>#N/A</v>
      </c>
      <c r="AM57" s="25">
        <f t="shared" si="8"/>
        <v>30</v>
      </c>
      <c r="AN57" s="25">
        <f t="shared" si="9"/>
        <v>30</v>
      </c>
      <c r="AO57" s="25">
        <f t="shared" si="10"/>
        <v>30</v>
      </c>
      <c r="AP57" s="52" t="e">
        <f t="shared" si="35"/>
        <v>#N/A</v>
      </c>
      <c r="AQ57" s="53" t="e">
        <f t="shared" si="35"/>
        <v>#N/A</v>
      </c>
      <c r="AR57" s="54" t="e">
        <f t="shared" si="35"/>
        <v>#N/A</v>
      </c>
      <c r="AS57" s="316">
        <f t="shared" si="83"/>
        <v>0</v>
      </c>
      <c r="AT57" s="106">
        <f>_xlfn.IFNA($M57/VLOOKUP($BT57,'Unit information'!$A$2:$K$29,2,FALSE)*R57,0)*(1+$E$9)</f>
        <v>0</v>
      </c>
      <c r="AU57" s="107">
        <f>_xlfn.IFNA($M57/VLOOKUP($BT57,'Unit information'!$A$2:$K$29,3,FALSE)*S57,0)*(1+$E$9)</f>
        <v>0</v>
      </c>
      <c r="AV57" s="107">
        <f>_xlfn.IFNA($M57/VLOOKUP($BT57,'Unit information'!$A$2:$K$29,4,FALSE)*T57,0)*(1+$E$9)</f>
        <v>0</v>
      </c>
      <c r="AW57" s="107">
        <f>_xlfn.IFNA($M57/VLOOKUP($BT57,'Unit information'!$A$2:$K$29,5,FALSE)*U57,0)*(1+$E$9)</f>
        <v>0</v>
      </c>
      <c r="AX57" s="107">
        <f>_xlfn.IFNA($M57/VLOOKUP($BU57,'Unit information'!$A$2:$K$29,6,FALSE)*V57,0)*(1+$E$9)</f>
        <v>0</v>
      </c>
      <c r="AY57" s="107">
        <f>_xlfn.IFNA($M57/VLOOKUP($BU57,'Unit information'!$A$2:$K$29,7,FALSE)*W57,0)*(1+$E$9)</f>
        <v>0</v>
      </c>
      <c r="AZ57" s="107">
        <f>_xlfn.IFNA($M57/VLOOKUP($BU57,'Unit information'!$A$2:$K$29,8,FALSE)*X57,0)*(1+$E$9)</f>
        <v>0</v>
      </c>
      <c r="BA57" s="107">
        <f>_xlfn.IFNA($M57/VLOOKUP($BU57,'Unit information'!$A$2:$K$29,9,FALSE)*Y57,0)*(1+$E$9)</f>
        <v>0</v>
      </c>
      <c r="BB57" s="107">
        <f>_xlfn.IFNA($M57/VLOOKUP($BV57,'Unit information'!$A$2:$K$29,10,FALSE)*Z57,0)*(1+$E$9)</f>
        <v>0</v>
      </c>
      <c r="BC57" s="108">
        <f>_xlfn.IFNA($M57/VLOOKUP($BV57,'Unit information'!$A$2:$K$29,11,FALSE)*AA57,0)*(1+$E$9)</f>
        <v>0</v>
      </c>
      <c r="BD57" s="106">
        <f t="shared" si="12"/>
        <v>0</v>
      </c>
      <c r="BE57" s="107">
        <f t="shared" si="13"/>
        <v>0</v>
      </c>
      <c r="BF57" s="108">
        <f t="shared" si="14"/>
        <v>0</v>
      </c>
      <c r="BG57" s="25" t="e">
        <f t="shared" si="15"/>
        <v>#N/A</v>
      </c>
      <c r="BH57" s="25" t="e">
        <f t="shared" si="16"/>
        <v>#N/A</v>
      </c>
      <c r="BI57" s="25" t="e">
        <f t="shared" si="17"/>
        <v>#N/A</v>
      </c>
      <c r="BJ57" s="27" t="e">
        <f t="shared" si="18"/>
        <v>#N/A</v>
      </c>
      <c r="BK57" s="18" t="e">
        <f t="shared" si="19"/>
        <v>#N/A</v>
      </c>
      <c r="BL57" s="18" t="e">
        <f t="shared" si="20"/>
        <v>#N/A</v>
      </c>
      <c r="BM57" s="28" t="e">
        <f t="shared" si="84"/>
        <v>#N/A</v>
      </c>
      <c r="BN57" s="33">
        <f>HLOOKUP("maximum population",Miscelaneous!$C$1:$C$33,CH57+3,FALSE)</f>
        <v>240</v>
      </c>
      <c r="BO57" s="14">
        <f t="shared" si="36"/>
        <v>32</v>
      </c>
      <c r="BP57" s="14">
        <f t="shared" si="37"/>
        <v>0</v>
      </c>
      <c r="BQ57" s="14">
        <f t="shared" si="38"/>
        <v>208</v>
      </c>
      <c r="BR57" s="34" t="e">
        <f>HLOOKUP(J57,Villagers!$B$1:$V$33,L57+3,FALSE)-HLOOKUP(J57,Villagers!$B$1:$V$33,L57+2,FALSE)</f>
        <v>#N/A</v>
      </c>
      <c r="BS57" s="49">
        <f t="shared" si="39"/>
        <v>1</v>
      </c>
      <c r="BT57" s="50">
        <f t="shared" si="40"/>
        <v>0</v>
      </c>
      <c r="BU57" s="50">
        <f t="shared" si="41"/>
        <v>0</v>
      </c>
      <c r="BV57" s="50">
        <f t="shared" si="86"/>
        <v>0</v>
      </c>
      <c r="BW57" s="50">
        <f t="shared" si="87"/>
        <v>0</v>
      </c>
      <c r="BX57" s="50">
        <f t="shared" si="88"/>
        <v>0</v>
      </c>
      <c r="BY57" s="50">
        <f t="shared" si="88"/>
        <v>0</v>
      </c>
      <c r="BZ57" s="50">
        <f t="shared" si="45"/>
        <v>0</v>
      </c>
      <c r="CA57" s="50">
        <f t="shared" si="46"/>
        <v>0</v>
      </c>
      <c r="CB57" s="50">
        <f t="shared" si="47"/>
        <v>1</v>
      </c>
      <c r="CC57" s="50">
        <f t="shared" si="48"/>
        <v>0</v>
      </c>
      <c r="CD57" s="50">
        <f t="shared" si="49"/>
        <v>0</v>
      </c>
      <c r="CE57" s="50">
        <f t="shared" si="50"/>
        <v>1</v>
      </c>
      <c r="CF57" s="50">
        <f t="shared" si="51"/>
        <v>1</v>
      </c>
      <c r="CG57" s="50">
        <f t="shared" si="52"/>
        <v>1</v>
      </c>
      <c r="CH57" s="50">
        <f t="shared" si="53"/>
        <v>1</v>
      </c>
      <c r="CI57" s="50">
        <f t="shared" si="54"/>
        <v>1</v>
      </c>
      <c r="CJ57" s="50">
        <f t="shared" si="55"/>
        <v>1</v>
      </c>
      <c r="CK57" s="50">
        <f t="shared" si="56"/>
        <v>0</v>
      </c>
      <c r="CL57" s="50">
        <f t="shared" si="55"/>
        <v>0</v>
      </c>
      <c r="CM57" s="51">
        <f t="shared" si="57"/>
        <v>0</v>
      </c>
      <c r="CN57" s="33">
        <f>ROUND(IF(BS57=0,0,HLOOKUP(BS$14,Villagers!$B$1:$V$33,BS57+3,FALSE)),)</f>
        <v>5</v>
      </c>
      <c r="CO57" s="14">
        <f>ROUND(IF(BT57=0,0,HLOOKUP(BT$14,Villagers!$B$1:$V$33,BT57+3,FALSE)),)</f>
        <v>0</v>
      </c>
      <c r="CP57" s="14">
        <f>ROUND(IF(BU57=0,0,HLOOKUP(BU$14,Villagers!$B$1:$V$33,BU57+3,FALSE)),)</f>
        <v>0</v>
      </c>
      <c r="CQ57" s="14">
        <f>ROUND(IF(BV57=0,0,HLOOKUP(BV$14,Villagers!$B$1:$V$33,BV57+3,FALSE)),)</f>
        <v>0</v>
      </c>
      <c r="CR57" s="14">
        <f>ROUND(IF(BW57=0,0,HLOOKUP(BW$14,Villagers!$B$1:$V$33,BW57+3,FALSE)),)</f>
        <v>0</v>
      </c>
      <c r="CS57" s="14">
        <f>ROUND(IF(BX57=0,0,HLOOKUP(BX$14,Villagers!$B$1:$V$33,BX57+3,FALSE)),)</f>
        <v>0</v>
      </c>
      <c r="CT57" s="14">
        <f>ROUND(IF(BY57=0,0,HLOOKUP(BY$14,Villagers!$B$1:$V$33,BY57+3,FALSE)),)</f>
        <v>0</v>
      </c>
      <c r="CU57" s="14">
        <f>ROUND(IF(BZ57=0,0,HLOOKUP(BZ$14,Villagers!$B$1:$V$33,BZ57+3,FALSE)),)</f>
        <v>0</v>
      </c>
      <c r="CV57" s="14">
        <f>ROUND(IF(CA57=0,0,HLOOKUP(CA$14,Villagers!$B$1:$V$33,CA57+3,FALSE)),)</f>
        <v>0</v>
      </c>
      <c r="CW57" s="14">
        <f>ROUND(IF(CB57=0,0,HLOOKUP(CB$14,Villagers!$B$1:$V$33,CB57+3,FALSE)),)</f>
        <v>0</v>
      </c>
      <c r="CX57" s="14">
        <f>ROUND(IF(CC57=0,0,HLOOKUP(CC$14,Villagers!$B$1:$V$33,CC57+3,FALSE)),)</f>
        <v>0</v>
      </c>
      <c r="CY57" s="14">
        <f>ROUND(IF(CD57=0,0,HLOOKUP(CD$14,Villagers!$B$1:$V$33,CD57+3,FALSE)),)</f>
        <v>0</v>
      </c>
      <c r="CZ57" s="14">
        <f>ROUND(IF(CE57=0,0,HLOOKUP(CE$14,Villagers!$B$1:$V$33,CE57+3,FALSE)),)</f>
        <v>5</v>
      </c>
      <c r="DA57" s="14">
        <f>ROUND(IF(CF57=0,0,HLOOKUP(CF$14,Villagers!$B$1:$V$33,CF57+3,FALSE)),)</f>
        <v>10</v>
      </c>
      <c r="DB57" s="14">
        <f>ROUND(IF(CG57=0,0,HLOOKUP(CG$14,Villagers!$B$1:$V$33,CG57+3,FALSE)),)</f>
        <v>10</v>
      </c>
      <c r="DC57" s="14">
        <f>ROUND(IF(CH57=0,0,HLOOKUP(CH$14,Villagers!$B$1:$V$33,CH57+3,FALSE)),)</f>
        <v>0</v>
      </c>
      <c r="DD57" s="14">
        <f>ROUND(IF(CI57=0,0,HLOOKUP(CI$14,Villagers!$B$1:$V$33,CI57+3,FALSE)),)</f>
        <v>0</v>
      </c>
      <c r="DE57" s="14">
        <f>ROUND(IF(CJ57=0,0,HLOOKUP(CJ$14,Villagers!$B$1:$V$33,CJ57+3,FALSE)),)</f>
        <v>2</v>
      </c>
      <c r="DF57" s="370">
        <f>ROUND(IF(CK57=0,0,HLOOKUP(CK$14,Villagers!$B$1:$V$33,CK57+3,FALSE)),)</f>
        <v>0</v>
      </c>
      <c r="DG57" s="370">
        <f>ROUND(IF(CL57=0,0,HLOOKUP(CL$14,Villagers!$B$1:$V$33,CL57+3,FALSE)),)</f>
        <v>0</v>
      </c>
      <c r="DH57" s="34">
        <f>ROUND(IF(CM57=0,0,HLOOKUP(CM$14,Villagers!$B$1:$V$33,CM57+3,FALSE)),)</f>
        <v>0</v>
      </c>
      <c r="DI57" s="109">
        <f t="shared" si="73"/>
        <v>0</v>
      </c>
      <c r="DJ57" s="50">
        <f t="shared" si="74"/>
        <v>0</v>
      </c>
      <c r="DK57" s="50">
        <f t="shared" si="75"/>
        <v>0</v>
      </c>
      <c r="DL57" s="50">
        <f t="shared" si="76"/>
        <v>0</v>
      </c>
      <c r="DM57" s="50">
        <f t="shared" si="77"/>
        <v>0</v>
      </c>
      <c r="DN57" s="50">
        <f t="shared" si="78"/>
        <v>0</v>
      </c>
      <c r="DO57" s="50">
        <f t="shared" si="79"/>
        <v>0</v>
      </c>
      <c r="DP57" s="50">
        <f t="shared" si="80"/>
        <v>0</v>
      </c>
      <c r="DQ57" s="50">
        <f t="shared" si="59"/>
        <v>0</v>
      </c>
      <c r="DR57" s="50">
        <f t="shared" si="60"/>
        <v>0</v>
      </c>
      <c r="DS57" s="96">
        <f>Miscelaneous!$D$4*Miscelaneous!$D$2^($CI57-1)</f>
        <v>1000</v>
      </c>
      <c r="DT57" s="333">
        <f t="shared" si="61"/>
        <v>1</v>
      </c>
      <c r="DU57" s="81">
        <v>1</v>
      </c>
      <c r="DV57" s="79">
        <f t="shared" si="62"/>
        <v>0</v>
      </c>
      <c r="DW57" s="79">
        <f t="shared" si="23"/>
        <v>0</v>
      </c>
      <c r="DX57" s="79">
        <f t="shared" si="63"/>
        <v>0</v>
      </c>
      <c r="DY57" s="79">
        <v>1</v>
      </c>
      <c r="DZ57" s="79">
        <f t="shared" si="24"/>
        <v>0</v>
      </c>
      <c r="EA57" s="79">
        <f t="shared" si="64"/>
        <v>0</v>
      </c>
      <c r="EB57" s="79">
        <f t="shared" si="65"/>
        <v>0</v>
      </c>
      <c r="EC57" s="79">
        <f t="shared" si="66"/>
        <v>0</v>
      </c>
      <c r="ED57" s="79">
        <v>1</v>
      </c>
      <c r="EE57" s="79">
        <v>1</v>
      </c>
      <c r="EF57" s="79">
        <f t="shared" si="67"/>
        <v>0</v>
      </c>
      <c r="EG57" s="79">
        <v>1</v>
      </c>
      <c r="EH57" s="79">
        <v>1</v>
      </c>
      <c r="EI57" s="79">
        <v>1</v>
      </c>
      <c r="EJ57" s="79">
        <v>1</v>
      </c>
      <c r="EK57" s="79">
        <v>1</v>
      </c>
      <c r="EL57" s="79">
        <v>1</v>
      </c>
      <c r="EM57" s="143">
        <f t="shared" si="68"/>
        <v>0</v>
      </c>
      <c r="EN57" s="143">
        <f t="shared" si="69"/>
        <v>0</v>
      </c>
      <c r="EO57" s="82">
        <f t="shared" si="70"/>
        <v>0</v>
      </c>
    </row>
    <row r="58" spans="1:145" x14ac:dyDescent="0.25">
      <c r="A58">
        <v>44</v>
      </c>
      <c r="B58" s="172" t="e">
        <f t="shared" si="25"/>
        <v>#N/A</v>
      </c>
      <c r="C58" s="121" t="e">
        <f t="shared" si="0"/>
        <v>#N/A</v>
      </c>
      <c r="D58" s="122" t="e">
        <f t="shared" si="1"/>
        <v>#N/A</v>
      </c>
      <c r="E58" s="122" t="e">
        <f t="shared" si="2"/>
        <v>#N/A</v>
      </c>
      <c r="F58" s="176" t="e">
        <f t="shared" si="3"/>
        <v>#N/A</v>
      </c>
      <c r="G58" s="121">
        <f t="shared" si="26"/>
        <v>208</v>
      </c>
      <c r="H58" s="176" t="e">
        <f t="shared" si="27"/>
        <v>#N/A</v>
      </c>
      <c r="I58" s="48">
        <v>1</v>
      </c>
      <c r="J58" s="39"/>
      <c r="K58" s="350">
        <v>1</v>
      </c>
      <c r="L58" s="34" t="e">
        <f t="shared" si="4"/>
        <v>#N/A</v>
      </c>
      <c r="M58" s="38" t="e">
        <f>(HLOOKUP(J58,'Construction Times'!$B$3:$W$34,L58+2,FALSE)*HLOOKUP("hq modifier",'Construction Times'!$W$3:$W$34,BS58+2,FALSE))*(1-$H$9)</f>
        <v>#N/A</v>
      </c>
      <c r="N58" s="443" t="e">
        <f t="shared" si="28"/>
        <v>#N/A</v>
      </c>
      <c r="O58" s="444"/>
      <c r="P58" s="447" t="e">
        <f t="shared" si="29"/>
        <v>#N/A</v>
      </c>
      <c r="Q58" s="448"/>
      <c r="R58" s="103">
        <f t="shared" si="71"/>
        <v>0</v>
      </c>
      <c r="S58" s="104">
        <f t="shared" si="71"/>
        <v>0</v>
      </c>
      <c r="T58" s="104">
        <f t="shared" si="72"/>
        <v>0</v>
      </c>
      <c r="U58" s="104">
        <f t="shared" si="72"/>
        <v>0</v>
      </c>
      <c r="V58" s="104">
        <f t="shared" si="72"/>
        <v>9.9999999999999995E-8</v>
      </c>
      <c r="W58" s="104">
        <f t="shared" si="72"/>
        <v>0</v>
      </c>
      <c r="X58" s="104">
        <f t="shared" si="85"/>
        <v>0</v>
      </c>
      <c r="Y58" s="104">
        <f t="shared" si="85"/>
        <v>9.9999999999999995E-8</v>
      </c>
      <c r="Z58" s="104">
        <f t="shared" si="85"/>
        <v>9.9999999999999995E-8</v>
      </c>
      <c r="AA58" s="105">
        <f t="shared" si="85"/>
        <v>9.9999999999999995E-8</v>
      </c>
      <c r="AB58" s="101" t="e">
        <f>$DT58*HLOOKUP($J58,'Construction Costs (timber)'!$B$1:$V$32,'Construction Planner'!$L58+2,FALSE)</f>
        <v>#N/A</v>
      </c>
      <c r="AC58" s="14" t="e">
        <f>$DT58*HLOOKUP($J58,'Construction Costs (clay)'!$B$1:$V$32,'Construction Planner'!$L58+2,FALSE)</f>
        <v>#N/A</v>
      </c>
      <c r="AD58" s="14" t="e">
        <f>$DT58*HLOOKUP($J58,'Construction Costs (iron)'!$B$1:$V$32,'Construction Planner'!$L58+2,FALSE)</f>
        <v>#N/A</v>
      </c>
      <c r="AE58" s="34" t="e">
        <f t="shared" si="81"/>
        <v>#N/A</v>
      </c>
      <c r="AF58" s="33" t="e">
        <f t="shared" si="5"/>
        <v>#N/A</v>
      </c>
      <c r="AG58" s="14" t="e">
        <f t="shared" si="6"/>
        <v>#N/A</v>
      </c>
      <c r="AH58" s="14" t="e">
        <f t="shared" si="7"/>
        <v>#N/A</v>
      </c>
      <c r="AI58" s="34" t="e">
        <f t="shared" si="82"/>
        <v>#N/A</v>
      </c>
      <c r="AJ58" s="49" t="e">
        <f t="shared" si="32"/>
        <v>#N/A</v>
      </c>
      <c r="AK58" s="49" t="e">
        <f t="shared" si="33"/>
        <v>#N/A</v>
      </c>
      <c r="AL58" s="49" t="e">
        <f t="shared" si="34"/>
        <v>#N/A</v>
      </c>
      <c r="AM58" s="25">
        <f t="shared" si="8"/>
        <v>30</v>
      </c>
      <c r="AN58" s="25">
        <f t="shared" si="9"/>
        <v>30</v>
      </c>
      <c r="AO58" s="25">
        <f t="shared" si="10"/>
        <v>30</v>
      </c>
      <c r="AP58" s="52" t="e">
        <f t="shared" si="35"/>
        <v>#N/A</v>
      </c>
      <c r="AQ58" s="53" t="e">
        <f t="shared" si="35"/>
        <v>#N/A</v>
      </c>
      <c r="AR58" s="54" t="e">
        <f t="shared" si="35"/>
        <v>#N/A</v>
      </c>
      <c r="AS58" s="316">
        <f t="shared" si="83"/>
        <v>0</v>
      </c>
      <c r="AT58" s="106">
        <f>_xlfn.IFNA($M58/VLOOKUP($BT58,'Unit information'!$A$2:$K$29,2,FALSE)*R58,0)*(1+$E$9)</f>
        <v>0</v>
      </c>
      <c r="AU58" s="107">
        <f>_xlfn.IFNA($M58/VLOOKUP($BT58,'Unit information'!$A$2:$K$29,3,FALSE)*S58,0)*(1+$E$9)</f>
        <v>0</v>
      </c>
      <c r="AV58" s="107">
        <f>_xlfn.IFNA($M58/VLOOKUP($BT58,'Unit information'!$A$2:$K$29,4,FALSE)*T58,0)*(1+$E$9)</f>
        <v>0</v>
      </c>
      <c r="AW58" s="107">
        <f>_xlfn.IFNA($M58/VLOOKUP($BT58,'Unit information'!$A$2:$K$29,5,FALSE)*U58,0)*(1+$E$9)</f>
        <v>0</v>
      </c>
      <c r="AX58" s="107">
        <f>_xlfn.IFNA($M58/VLOOKUP($BU58,'Unit information'!$A$2:$K$29,6,FALSE)*V58,0)*(1+$E$9)</f>
        <v>0</v>
      </c>
      <c r="AY58" s="107">
        <f>_xlfn.IFNA($M58/VLOOKUP($BU58,'Unit information'!$A$2:$K$29,7,FALSE)*W58,0)*(1+$E$9)</f>
        <v>0</v>
      </c>
      <c r="AZ58" s="107">
        <f>_xlfn.IFNA($M58/VLOOKUP($BU58,'Unit information'!$A$2:$K$29,8,FALSE)*X58,0)*(1+$E$9)</f>
        <v>0</v>
      </c>
      <c r="BA58" s="107">
        <f>_xlfn.IFNA($M58/VLOOKUP($BU58,'Unit information'!$A$2:$K$29,9,FALSE)*Y58,0)*(1+$E$9)</f>
        <v>0</v>
      </c>
      <c r="BB58" s="107">
        <f>_xlfn.IFNA($M58/VLOOKUP($BV58,'Unit information'!$A$2:$K$29,10,FALSE)*Z58,0)*(1+$E$9)</f>
        <v>0</v>
      </c>
      <c r="BC58" s="108">
        <f>_xlfn.IFNA($M58/VLOOKUP($BV58,'Unit information'!$A$2:$K$29,11,FALSE)*AA58,0)*(1+$E$9)</f>
        <v>0</v>
      </c>
      <c r="BD58" s="106">
        <f t="shared" si="12"/>
        <v>0</v>
      </c>
      <c r="BE58" s="107">
        <f t="shared" si="13"/>
        <v>0</v>
      </c>
      <c r="BF58" s="108">
        <f t="shared" si="14"/>
        <v>0</v>
      </c>
      <c r="BG58" s="25" t="e">
        <f t="shared" si="15"/>
        <v>#N/A</v>
      </c>
      <c r="BH58" s="25" t="e">
        <f t="shared" si="16"/>
        <v>#N/A</v>
      </c>
      <c r="BI58" s="25" t="e">
        <f t="shared" si="17"/>
        <v>#N/A</v>
      </c>
      <c r="BJ58" s="27" t="e">
        <f t="shared" si="18"/>
        <v>#N/A</v>
      </c>
      <c r="BK58" s="18" t="e">
        <f t="shared" si="19"/>
        <v>#N/A</v>
      </c>
      <c r="BL58" s="18" t="e">
        <f t="shared" si="20"/>
        <v>#N/A</v>
      </c>
      <c r="BM58" s="28" t="e">
        <f t="shared" si="84"/>
        <v>#N/A</v>
      </c>
      <c r="BN58" s="33">
        <f>HLOOKUP("maximum population",Miscelaneous!$C$1:$C$33,CH58+3,FALSE)</f>
        <v>240</v>
      </c>
      <c r="BO58" s="14">
        <f t="shared" si="36"/>
        <v>32</v>
      </c>
      <c r="BP58" s="14">
        <f t="shared" si="37"/>
        <v>0</v>
      </c>
      <c r="BQ58" s="14">
        <f t="shared" si="38"/>
        <v>208</v>
      </c>
      <c r="BR58" s="34" t="e">
        <f>HLOOKUP(J58,Villagers!$B$1:$V$33,L58+3,FALSE)-HLOOKUP(J58,Villagers!$B$1:$V$33,L58+2,FALSE)</f>
        <v>#N/A</v>
      </c>
      <c r="BS58" s="49">
        <f t="shared" si="39"/>
        <v>1</v>
      </c>
      <c r="BT58" s="50">
        <f t="shared" si="40"/>
        <v>0</v>
      </c>
      <c r="BU58" s="50">
        <f t="shared" si="41"/>
        <v>0</v>
      </c>
      <c r="BV58" s="50">
        <f t="shared" si="86"/>
        <v>0</v>
      </c>
      <c r="BW58" s="50">
        <f t="shared" si="87"/>
        <v>0</v>
      </c>
      <c r="BX58" s="50">
        <f t="shared" si="88"/>
        <v>0</v>
      </c>
      <c r="BY58" s="50">
        <f t="shared" si="88"/>
        <v>0</v>
      </c>
      <c r="BZ58" s="50">
        <f t="shared" si="45"/>
        <v>0</v>
      </c>
      <c r="CA58" s="50">
        <f t="shared" si="46"/>
        <v>0</v>
      </c>
      <c r="CB58" s="50">
        <f t="shared" si="47"/>
        <v>1</v>
      </c>
      <c r="CC58" s="50">
        <f t="shared" si="48"/>
        <v>0</v>
      </c>
      <c r="CD58" s="50">
        <f t="shared" si="49"/>
        <v>0</v>
      </c>
      <c r="CE58" s="50">
        <f t="shared" si="50"/>
        <v>1</v>
      </c>
      <c r="CF58" s="50">
        <f t="shared" si="51"/>
        <v>1</v>
      </c>
      <c r="CG58" s="50">
        <f t="shared" si="52"/>
        <v>1</v>
      </c>
      <c r="CH58" s="50">
        <f t="shared" si="53"/>
        <v>1</v>
      </c>
      <c r="CI58" s="50">
        <f t="shared" si="54"/>
        <v>1</v>
      </c>
      <c r="CJ58" s="50">
        <f t="shared" si="55"/>
        <v>1</v>
      </c>
      <c r="CK58" s="50">
        <f t="shared" si="56"/>
        <v>0</v>
      </c>
      <c r="CL58" s="50">
        <f t="shared" si="55"/>
        <v>0</v>
      </c>
      <c r="CM58" s="51">
        <f t="shared" si="57"/>
        <v>0</v>
      </c>
      <c r="CN58" s="33">
        <f>ROUND(IF(BS58=0,0,HLOOKUP(BS$14,Villagers!$B$1:$V$33,BS58+3,FALSE)),)</f>
        <v>5</v>
      </c>
      <c r="CO58" s="14">
        <f>ROUND(IF(BT58=0,0,HLOOKUP(BT$14,Villagers!$B$1:$V$33,BT58+3,FALSE)),)</f>
        <v>0</v>
      </c>
      <c r="CP58" s="14">
        <f>ROUND(IF(BU58=0,0,HLOOKUP(BU$14,Villagers!$B$1:$V$33,BU58+3,FALSE)),)</f>
        <v>0</v>
      </c>
      <c r="CQ58" s="14">
        <f>ROUND(IF(BV58=0,0,HLOOKUP(BV$14,Villagers!$B$1:$V$33,BV58+3,FALSE)),)</f>
        <v>0</v>
      </c>
      <c r="CR58" s="14">
        <f>ROUND(IF(BW58=0,0,HLOOKUP(BW$14,Villagers!$B$1:$V$33,BW58+3,FALSE)),)</f>
        <v>0</v>
      </c>
      <c r="CS58" s="14">
        <f>ROUND(IF(BX58=0,0,HLOOKUP(BX$14,Villagers!$B$1:$V$33,BX58+3,FALSE)),)</f>
        <v>0</v>
      </c>
      <c r="CT58" s="14">
        <f>ROUND(IF(BY58=0,0,HLOOKUP(BY$14,Villagers!$B$1:$V$33,BY58+3,FALSE)),)</f>
        <v>0</v>
      </c>
      <c r="CU58" s="14">
        <f>ROUND(IF(BZ58=0,0,HLOOKUP(BZ$14,Villagers!$B$1:$V$33,BZ58+3,FALSE)),)</f>
        <v>0</v>
      </c>
      <c r="CV58" s="14">
        <f>ROUND(IF(CA58=0,0,HLOOKUP(CA$14,Villagers!$B$1:$V$33,CA58+3,FALSE)),)</f>
        <v>0</v>
      </c>
      <c r="CW58" s="14">
        <f>ROUND(IF(CB58=0,0,HLOOKUP(CB$14,Villagers!$B$1:$V$33,CB58+3,FALSE)),)</f>
        <v>0</v>
      </c>
      <c r="CX58" s="14">
        <f>ROUND(IF(CC58=0,0,HLOOKUP(CC$14,Villagers!$B$1:$V$33,CC58+3,FALSE)),)</f>
        <v>0</v>
      </c>
      <c r="CY58" s="14">
        <f>ROUND(IF(CD58=0,0,HLOOKUP(CD$14,Villagers!$B$1:$V$33,CD58+3,FALSE)),)</f>
        <v>0</v>
      </c>
      <c r="CZ58" s="14">
        <f>ROUND(IF(CE58=0,0,HLOOKUP(CE$14,Villagers!$B$1:$V$33,CE58+3,FALSE)),)</f>
        <v>5</v>
      </c>
      <c r="DA58" s="14">
        <f>ROUND(IF(CF58=0,0,HLOOKUP(CF$14,Villagers!$B$1:$V$33,CF58+3,FALSE)),)</f>
        <v>10</v>
      </c>
      <c r="DB58" s="14">
        <f>ROUND(IF(CG58=0,0,HLOOKUP(CG$14,Villagers!$B$1:$V$33,CG58+3,FALSE)),)</f>
        <v>10</v>
      </c>
      <c r="DC58" s="14">
        <f>ROUND(IF(CH58=0,0,HLOOKUP(CH$14,Villagers!$B$1:$V$33,CH58+3,FALSE)),)</f>
        <v>0</v>
      </c>
      <c r="DD58" s="14">
        <f>ROUND(IF(CI58=0,0,HLOOKUP(CI$14,Villagers!$B$1:$V$33,CI58+3,FALSE)),)</f>
        <v>0</v>
      </c>
      <c r="DE58" s="14">
        <f>ROUND(IF(CJ58=0,0,HLOOKUP(CJ$14,Villagers!$B$1:$V$33,CJ58+3,FALSE)),)</f>
        <v>2</v>
      </c>
      <c r="DF58" s="370">
        <f>ROUND(IF(CK58=0,0,HLOOKUP(CK$14,Villagers!$B$1:$V$33,CK58+3,FALSE)),)</f>
        <v>0</v>
      </c>
      <c r="DG58" s="370">
        <f>ROUND(IF(CL58=0,0,HLOOKUP(CL$14,Villagers!$B$1:$V$33,CL58+3,FALSE)),)</f>
        <v>0</v>
      </c>
      <c r="DH58" s="34">
        <f>ROUND(IF(CM58=0,0,HLOOKUP(CM$14,Villagers!$B$1:$V$33,CM58+3,FALSE)),)</f>
        <v>0</v>
      </c>
      <c r="DI58" s="109">
        <f t="shared" si="73"/>
        <v>0</v>
      </c>
      <c r="DJ58" s="50">
        <f t="shared" si="74"/>
        <v>0</v>
      </c>
      <c r="DK58" s="50">
        <f t="shared" si="75"/>
        <v>0</v>
      </c>
      <c r="DL58" s="50">
        <f t="shared" si="76"/>
        <v>0</v>
      </c>
      <c r="DM58" s="50">
        <f t="shared" si="77"/>
        <v>0</v>
      </c>
      <c r="DN58" s="50">
        <f t="shared" si="78"/>
        <v>0</v>
      </c>
      <c r="DO58" s="50">
        <f t="shared" si="79"/>
        <v>0</v>
      </c>
      <c r="DP58" s="50">
        <f t="shared" si="80"/>
        <v>0</v>
      </c>
      <c r="DQ58" s="50">
        <f t="shared" si="59"/>
        <v>0</v>
      </c>
      <c r="DR58" s="50">
        <f t="shared" si="60"/>
        <v>0</v>
      </c>
      <c r="DS58" s="96">
        <f>Miscelaneous!$D$4*Miscelaneous!$D$2^($CI58-1)</f>
        <v>1000</v>
      </c>
      <c r="DT58" s="333">
        <f t="shared" si="61"/>
        <v>1</v>
      </c>
      <c r="DU58" s="81">
        <v>1</v>
      </c>
      <c r="DV58" s="79">
        <f t="shared" si="62"/>
        <v>0</v>
      </c>
      <c r="DW58" s="79">
        <f t="shared" si="23"/>
        <v>0</v>
      </c>
      <c r="DX58" s="79">
        <f t="shared" si="63"/>
        <v>0</v>
      </c>
      <c r="DY58" s="79">
        <v>1</v>
      </c>
      <c r="DZ58" s="79">
        <f t="shared" si="24"/>
        <v>0</v>
      </c>
      <c r="EA58" s="79">
        <f t="shared" si="64"/>
        <v>0</v>
      </c>
      <c r="EB58" s="79">
        <f t="shared" si="65"/>
        <v>0</v>
      </c>
      <c r="EC58" s="79">
        <f t="shared" si="66"/>
        <v>0</v>
      </c>
      <c r="ED58" s="79">
        <v>1</v>
      </c>
      <c r="EE58" s="79">
        <v>1</v>
      </c>
      <c r="EF58" s="79">
        <f t="shared" si="67"/>
        <v>0</v>
      </c>
      <c r="EG58" s="79">
        <v>1</v>
      </c>
      <c r="EH58" s="79">
        <v>1</v>
      </c>
      <c r="EI58" s="79">
        <v>1</v>
      </c>
      <c r="EJ58" s="79">
        <v>1</v>
      </c>
      <c r="EK58" s="79">
        <v>1</v>
      </c>
      <c r="EL58" s="79">
        <v>1</v>
      </c>
      <c r="EM58" s="143">
        <f t="shared" si="68"/>
        <v>0</v>
      </c>
      <c r="EN58" s="143">
        <f t="shared" si="69"/>
        <v>0</v>
      </c>
      <c r="EO58" s="82">
        <f t="shared" si="70"/>
        <v>0</v>
      </c>
    </row>
    <row r="59" spans="1:145" x14ac:dyDescent="0.25">
      <c r="A59">
        <v>45</v>
      </c>
      <c r="B59" s="172" t="e">
        <f t="shared" si="25"/>
        <v>#N/A</v>
      </c>
      <c r="C59" s="121" t="e">
        <f t="shared" si="0"/>
        <v>#N/A</v>
      </c>
      <c r="D59" s="122" t="e">
        <f t="shared" si="1"/>
        <v>#N/A</v>
      </c>
      <c r="E59" s="122" t="e">
        <f t="shared" si="2"/>
        <v>#N/A</v>
      </c>
      <c r="F59" s="176" t="e">
        <f t="shared" si="3"/>
        <v>#N/A</v>
      </c>
      <c r="G59" s="121">
        <f t="shared" si="26"/>
        <v>208</v>
      </c>
      <c r="H59" s="176" t="e">
        <f t="shared" si="27"/>
        <v>#N/A</v>
      </c>
      <c r="I59" s="48">
        <v>1</v>
      </c>
      <c r="J59" s="39"/>
      <c r="K59" s="350">
        <v>1</v>
      </c>
      <c r="L59" s="34" t="e">
        <f t="shared" si="4"/>
        <v>#N/A</v>
      </c>
      <c r="M59" s="38" t="e">
        <f>(HLOOKUP(J59,'Construction Times'!$B$3:$W$34,L59+2,FALSE)*HLOOKUP("hq modifier",'Construction Times'!$W$3:$W$34,BS59+2,FALSE))*(1-$H$9)</f>
        <v>#N/A</v>
      </c>
      <c r="N59" s="443" t="e">
        <f t="shared" si="28"/>
        <v>#N/A</v>
      </c>
      <c r="O59" s="444"/>
      <c r="P59" s="447" t="e">
        <f t="shared" si="29"/>
        <v>#N/A</v>
      </c>
      <c r="Q59" s="448"/>
      <c r="R59" s="103">
        <f t="shared" si="71"/>
        <v>0</v>
      </c>
      <c r="S59" s="104">
        <f t="shared" si="71"/>
        <v>0</v>
      </c>
      <c r="T59" s="104">
        <f t="shared" si="72"/>
        <v>0</v>
      </c>
      <c r="U59" s="104">
        <f t="shared" si="72"/>
        <v>0</v>
      </c>
      <c r="V59" s="104">
        <f t="shared" si="72"/>
        <v>9.9999999999999995E-8</v>
      </c>
      <c r="W59" s="104">
        <f t="shared" si="72"/>
        <v>0</v>
      </c>
      <c r="X59" s="104">
        <f t="shared" si="85"/>
        <v>0</v>
      </c>
      <c r="Y59" s="104">
        <f t="shared" si="85"/>
        <v>9.9999999999999995E-8</v>
      </c>
      <c r="Z59" s="104">
        <f t="shared" si="85"/>
        <v>9.9999999999999995E-8</v>
      </c>
      <c r="AA59" s="105">
        <f t="shared" si="85"/>
        <v>9.9999999999999995E-8</v>
      </c>
      <c r="AB59" s="101" t="e">
        <f>$DT59*HLOOKUP($J59,'Construction Costs (timber)'!$B$1:$V$32,'Construction Planner'!$L59+2,FALSE)</f>
        <v>#N/A</v>
      </c>
      <c r="AC59" s="14" t="e">
        <f>$DT59*HLOOKUP($J59,'Construction Costs (clay)'!$B$1:$V$32,'Construction Planner'!$L59+2,FALSE)</f>
        <v>#N/A</v>
      </c>
      <c r="AD59" s="14" t="e">
        <f>$DT59*HLOOKUP($J59,'Construction Costs (iron)'!$B$1:$V$32,'Construction Planner'!$L59+2,FALSE)</f>
        <v>#N/A</v>
      </c>
      <c r="AE59" s="34" t="e">
        <f t="shared" si="81"/>
        <v>#N/A</v>
      </c>
      <c r="AF59" s="33" t="e">
        <f t="shared" si="5"/>
        <v>#N/A</v>
      </c>
      <c r="AG59" s="14" t="e">
        <f t="shared" si="6"/>
        <v>#N/A</v>
      </c>
      <c r="AH59" s="14" t="e">
        <f t="shared" si="7"/>
        <v>#N/A</v>
      </c>
      <c r="AI59" s="34" t="e">
        <f t="shared" si="82"/>
        <v>#N/A</v>
      </c>
      <c r="AJ59" s="49" t="e">
        <f t="shared" si="32"/>
        <v>#N/A</v>
      </c>
      <c r="AK59" s="49" t="e">
        <f t="shared" si="33"/>
        <v>#N/A</v>
      </c>
      <c r="AL59" s="49" t="e">
        <f t="shared" si="34"/>
        <v>#N/A</v>
      </c>
      <c r="AM59" s="25">
        <f t="shared" si="8"/>
        <v>30</v>
      </c>
      <c r="AN59" s="25">
        <f t="shared" si="9"/>
        <v>30</v>
      </c>
      <c r="AO59" s="25">
        <f t="shared" si="10"/>
        <v>30</v>
      </c>
      <c r="AP59" s="52" t="e">
        <f t="shared" si="35"/>
        <v>#N/A</v>
      </c>
      <c r="AQ59" s="53" t="e">
        <f t="shared" si="35"/>
        <v>#N/A</v>
      </c>
      <c r="AR59" s="54" t="e">
        <f t="shared" si="35"/>
        <v>#N/A</v>
      </c>
      <c r="AS59" s="316">
        <f t="shared" si="83"/>
        <v>0</v>
      </c>
      <c r="AT59" s="106">
        <f>_xlfn.IFNA($M59/VLOOKUP($BT59,'Unit information'!$A$2:$K$29,2,FALSE)*R59,0)*(1+$E$9)</f>
        <v>0</v>
      </c>
      <c r="AU59" s="107">
        <f>_xlfn.IFNA($M59/VLOOKUP($BT59,'Unit information'!$A$2:$K$29,3,FALSE)*S59,0)*(1+$E$9)</f>
        <v>0</v>
      </c>
      <c r="AV59" s="107">
        <f>_xlfn.IFNA($M59/VLOOKUP($BT59,'Unit information'!$A$2:$K$29,4,FALSE)*T59,0)*(1+$E$9)</f>
        <v>0</v>
      </c>
      <c r="AW59" s="107">
        <f>_xlfn.IFNA($M59/VLOOKUP($BT59,'Unit information'!$A$2:$K$29,5,FALSE)*U59,0)*(1+$E$9)</f>
        <v>0</v>
      </c>
      <c r="AX59" s="107">
        <f>_xlfn.IFNA($M59/VLOOKUP($BU59,'Unit information'!$A$2:$K$29,6,FALSE)*V59,0)*(1+$E$9)</f>
        <v>0</v>
      </c>
      <c r="AY59" s="107">
        <f>_xlfn.IFNA($M59/VLOOKUP($BU59,'Unit information'!$A$2:$K$29,7,FALSE)*W59,0)*(1+$E$9)</f>
        <v>0</v>
      </c>
      <c r="AZ59" s="107">
        <f>_xlfn.IFNA($M59/VLOOKUP($BU59,'Unit information'!$A$2:$K$29,8,FALSE)*X59,0)*(1+$E$9)</f>
        <v>0</v>
      </c>
      <c r="BA59" s="107">
        <f>_xlfn.IFNA($M59/VLOOKUP($BU59,'Unit information'!$A$2:$K$29,9,FALSE)*Y59,0)*(1+$E$9)</f>
        <v>0</v>
      </c>
      <c r="BB59" s="107">
        <f>_xlfn.IFNA($M59/VLOOKUP($BV59,'Unit information'!$A$2:$K$29,10,FALSE)*Z59,0)*(1+$E$9)</f>
        <v>0</v>
      </c>
      <c r="BC59" s="108">
        <f>_xlfn.IFNA($M59/VLOOKUP($BV59,'Unit information'!$A$2:$K$29,11,FALSE)*AA59,0)*(1+$E$9)</f>
        <v>0</v>
      </c>
      <c r="BD59" s="106">
        <f t="shared" si="12"/>
        <v>0</v>
      </c>
      <c r="BE59" s="107">
        <f t="shared" si="13"/>
        <v>0</v>
      </c>
      <c r="BF59" s="108">
        <f t="shared" si="14"/>
        <v>0</v>
      </c>
      <c r="BG59" s="25" t="e">
        <f t="shared" si="15"/>
        <v>#N/A</v>
      </c>
      <c r="BH59" s="25" t="e">
        <f t="shared" si="16"/>
        <v>#N/A</v>
      </c>
      <c r="BI59" s="25" t="e">
        <f t="shared" si="17"/>
        <v>#N/A</v>
      </c>
      <c r="BJ59" s="27" t="e">
        <f t="shared" si="18"/>
        <v>#N/A</v>
      </c>
      <c r="BK59" s="18" t="e">
        <f t="shared" si="19"/>
        <v>#N/A</v>
      </c>
      <c r="BL59" s="18" t="e">
        <f t="shared" si="20"/>
        <v>#N/A</v>
      </c>
      <c r="BM59" s="28" t="e">
        <f t="shared" si="84"/>
        <v>#N/A</v>
      </c>
      <c r="BN59" s="33">
        <f>HLOOKUP("maximum population",Miscelaneous!$C$1:$C$33,CH59+3,FALSE)</f>
        <v>240</v>
      </c>
      <c r="BO59" s="14">
        <f t="shared" si="36"/>
        <v>32</v>
      </c>
      <c r="BP59" s="14">
        <f t="shared" si="37"/>
        <v>0</v>
      </c>
      <c r="BQ59" s="14">
        <f t="shared" si="38"/>
        <v>208</v>
      </c>
      <c r="BR59" s="34" t="e">
        <f>HLOOKUP(J59,Villagers!$B$1:$V$33,L59+3,FALSE)-HLOOKUP(J59,Villagers!$B$1:$V$33,L59+2,FALSE)</f>
        <v>#N/A</v>
      </c>
      <c r="BS59" s="49">
        <f t="shared" si="39"/>
        <v>1</v>
      </c>
      <c r="BT59" s="50">
        <f t="shared" si="40"/>
        <v>0</v>
      </c>
      <c r="BU59" s="50">
        <f t="shared" si="41"/>
        <v>0</v>
      </c>
      <c r="BV59" s="50">
        <f t="shared" si="86"/>
        <v>0</v>
      </c>
      <c r="BW59" s="50">
        <f t="shared" si="87"/>
        <v>0</v>
      </c>
      <c r="BX59" s="50">
        <f t="shared" si="88"/>
        <v>0</v>
      </c>
      <c r="BY59" s="50">
        <f t="shared" si="88"/>
        <v>0</v>
      </c>
      <c r="BZ59" s="50">
        <f t="shared" si="45"/>
        <v>0</v>
      </c>
      <c r="CA59" s="50">
        <f t="shared" si="46"/>
        <v>0</v>
      </c>
      <c r="CB59" s="50">
        <f t="shared" si="47"/>
        <v>1</v>
      </c>
      <c r="CC59" s="50">
        <f t="shared" si="48"/>
        <v>0</v>
      </c>
      <c r="CD59" s="50">
        <f t="shared" si="49"/>
        <v>0</v>
      </c>
      <c r="CE59" s="50">
        <f t="shared" si="50"/>
        <v>1</v>
      </c>
      <c r="CF59" s="50">
        <f t="shared" si="51"/>
        <v>1</v>
      </c>
      <c r="CG59" s="50">
        <f t="shared" si="52"/>
        <v>1</v>
      </c>
      <c r="CH59" s="50">
        <f t="shared" si="53"/>
        <v>1</v>
      </c>
      <c r="CI59" s="50">
        <f t="shared" si="54"/>
        <v>1</v>
      </c>
      <c r="CJ59" s="50">
        <f t="shared" si="55"/>
        <v>1</v>
      </c>
      <c r="CK59" s="50">
        <f t="shared" si="56"/>
        <v>0</v>
      </c>
      <c r="CL59" s="50">
        <f t="shared" si="55"/>
        <v>0</v>
      </c>
      <c r="CM59" s="51">
        <f t="shared" si="57"/>
        <v>0</v>
      </c>
      <c r="CN59" s="33">
        <f>ROUND(IF(BS59=0,0,HLOOKUP(BS$14,Villagers!$B$1:$V$33,BS59+3,FALSE)),)</f>
        <v>5</v>
      </c>
      <c r="CO59" s="14">
        <f>ROUND(IF(BT59=0,0,HLOOKUP(BT$14,Villagers!$B$1:$V$33,BT59+3,FALSE)),)</f>
        <v>0</v>
      </c>
      <c r="CP59" s="14">
        <f>ROUND(IF(BU59=0,0,HLOOKUP(BU$14,Villagers!$B$1:$V$33,BU59+3,FALSE)),)</f>
        <v>0</v>
      </c>
      <c r="CQ59" s="14">
        <f>ROUND(IF(BV59=0,0,HLOOKUP(BV$14,Villagers!$B$1:$V$33,BV59+3,FALSE)),)</f>
        <v>0</v>
      </c>
      <c r="CR59" s="14">
        <f>ROUND(IF(BW59=0,0,HLOOKUP(BW$14,Villagers!$B$1:$V$33,BW59+3,FALSE)),)</f>
        <v>0</v>
      </c>
      <c r="CS59" s="14">
        <f>ROUND(IF(BX59=0,0,HLOOKUP(BX$14,Villagers!$B$1:$V$33,BX59+3,FALSE)),)</f>
        <v>0</v>
      </c>
      <c r="CT59" s="14">
        <f>ROUND(IF(BY59=0,0,HLOOKUP(BY$14,Villagers!$B$1:$V$33,BY59+3,FALSE)),)</f>
        <v>0</v>
      </c>
      <c r="CU59" s="14">
        <f>ROUND(IF(BZ59=0,0,HLOOKUP(BZ$14,Villagers!$B$1:$V$33,BZ59+3,FALSE)),)</f>
        <v>0</v>
      </c>
      <c r="CV59" s="14">
        <f>ROUND(IF(CA59=0,0,HLOOKUP(CA$14,Villagers!$B$1:$V$33,CA59+3,FALSE)),)</f>
        <v>0</v>
      </c>
      <c r="CW59" s="14">
        <f>ROUND(IF(CB59=0,0,HLOOKUP(CB$14,Villagers!$B$1:$V$33,CB59+3,FALSE)),)</f>
        <v>0</v>
      </c>
      <c r="CX59" s="14">
        <f>ROUND(IF(CC59=0,0,HLOOKUP(CC$14,Villagers!$B$1:$V$33,CC59+3,FALSE)),)</f>
        <v>0</v>
      </c>
      <c r="CY59" s="14">
        <f>ROUND(IF(CD59=0,0,HLOOKUP(CD$14,Villagers!$B$1:$V$33,CD59+3,FALSE)),)</f>
        <v>0</v>
      </c>
      <c r="CZ59" s="14">
        <f>ROUND(IF(CE59=0,0,HLOOKUP(CE$14,Villagers!$B$1:$V$33,CE59+3,FALSE)),)</f>
        <v>5</v>
      </c>
      <c r="DA59" s="14">
        <f>ROUND(IF(CF59=0,0,HLOOKUP(CF$14,Villagers!$B$1:$V$33,CF59+3,FALSE)),)</f>
        <v>10</v>
      </c>
      <c r="DB59" s="14">
        <f>ROUND(IF(CG59=0,0,HLOOKUP(CG$14,Villagers!$B$1:$V$33,CG59+3,FALSE)),)</f>
        <v>10</v>
      </c>
      <c r="DC59" s="14">
        <f>ROUND(IF(CH59=0,0,HLOOKUP(CH$14,Villagers!$B$1:$V$33,CH59+3,FALSE)),)</f>
        <v>0</v>
      </c>
      <c r="DD59" s="14">
        <f>ROUND(IF(CI59=0,0,HLOOKUP(CI$14,Villagers!$B$1:$V$33,CI59+3,FALSE)),)</f>
        <v>0</v>
      </c>
      <c r="DE59" s="14">
        <f>ROUND(IF(CJ59=0,0,HLOOKUP(CJ$14,Villagers!$B$1:$V$33,CJ59+3,FALSE)),)</f>
        <v>2</v>
      </c>
      <c r="DF59" s="370">
        <f>ROUND(IF(CK59=0,0,HLOOKUP(CK$14,Villagers!$B$1:$V$33,CK59+3,FALSE)),)</f>
        <v>0</v>
      </c>
      <c r="DG59" s="370">
        <f>ROUND(IF(CL59=0,0,HLOOKUP(CL$14,Villagers!$B$1:$V$33,CL59+3,FALSE)),)</f>
        <v>0</v>
      </c>
      <c r="DH59" s="34">
        <f>ROUND(IF(CM59=0,0,HLOOKUP(CM$14,Villagers!$B$1:$V$33,CM59+3,FALSE)),)</f>
        <v>0</v>
      </c>
      <c r="DI59" s="109">
        <f t="shared" si="73"/>
        <v>0</v>
      </c>
      <c r="DJ59" s="50">
        <f t="shared" si="74"/>
        <v>0</v>
      </c>
      <c r="DK59" s="50">
        <f t="shared" si="75"/>
        <v>0</v>
      </c>
      <c r="DL59" s="50">
        <f t="shared" si="76"/>
        <v>0</v>
      </c>
      <c r="DM59" s="50">
        <f t="shared" si="77"/>
        <v>0</v>
      </c>
      <c r="DN59" s="50">
        <f t="shared" si="78"/>
        <v>0</v>
      </c>
      <c r="DO59" s="50">
        <f t="shared" si="79"/>
        <v>0</v>
      </c>
      <c r="DP59" s="50">
        <f t="shared" si="80"/>
        <v>0</v>
      </c>
      <c r="DQ59" s="50">
        <f t="shared" si="59"/>
        <v>0</v>
      </c>
      <c r="DR59" s="50">
        <f t="shared" si="60"/>
        <v>0</v>
      </c>
      <c r="DS59" s="96">
        <f>Miscelaneous!$D$4*Miscelaneous!$D$2^($CI59-1)</f>
        <v>1000</v>
      </c>
      <c r="DT59" s="333">
        <f t="shared" si="61"/>
        <v>1</v>
      </c>
      <c r="DU59" s="81">
        <v>1</v>
      </c>
      <c r="DV59" s="79">
        <f t="shared" si="62"/>
        <v>0</v>
      </c>
      <c r="DW59" s="79">
        <f t="shared" si="23"/>
        <v>0</v>
      </c>
      <c r="DX59" s="79">
        <f t="shared" si="63"/>
        <v>0</v>
      </c>
      <c r="DY59" s="79">
        <v>1</v>
      </c>
      <c r="DZ59" s="79">
        <f t="shared" si="24"/>
        <v>0</v>
      </c>
      <c r="EA59" s="79">
        <f t="shared" si="64"/>
        <v>0</v>
      </c>
      <c r="EB59" s="79">
        <f t="shared" si="65"/>
        <v>0</v>
      </c>
      <c r="EC59" s="79">
        <f t="shared" si="66"/>
        <v>0</v>
      </c>
      <c r="ED59" s="79">
        <v>1</v>
      </c>
      <c r="EE59" s="79">
        <v>1</v>
      </c>
      <c r="EF59" s="79">
        <f t="shared" si="67"/>
        <v>0</v>
      </c>
      <c r="EG59" s="79">
        <v>1</v>
      </c>
      <c r="EH59" s="79">
        <v>1</v>
      </c>
      <c r="EI59" s="79">
        <v>1</v>
      </c>
      <c r="EJ59" s="79">
        <v>1</v>
      </c>
      <c r="EK59" s="79">
        <v>1</v>
      </c>
      <c r="EL59" s="79">
        <v>1</v>
      </c>
      <c r="EM59" s="143">
        <f t="shared" si="68"/>
        <v>0</v>
      </c>
      <c r="EN59" s="143">
        <f t="shared" si="69"/>
        <v>0</v>
      </c>
      <c r="EO59" s="82">
        <f t="shared" si="70"/>
        <v>0</v>
      </c>
    </row>
    <row r="60" spans="1:145" x14ac:dyDescent="0.25">
      <c r="A60">
        <v>46</v>
      </c>
      <c r="B60" s="172" t="e">
        <f t="shared" si="25"/>
        <v>#N/A</v>
      </c>
      <c r="C60" s="121" t="e">
        <f t="shared" si="0"/>
        <v>#N/A</v>
      </c>
      <c r="D60" s="122" t="e">
        <f t="shared" si="1"/>
        <v>#N/A</v>
      </c>
      <c r="E60" s="122" t="e">
        <f t="shared" si="2"/>
        <v>#N/A</v>
      </c>
      <c r="F60" s="176" t="e">
        <f t="shared" si="3"/>
        <v>#N/A</v>
      </c>
      <c r="G60" s="121">
        <f t="shared" si="26"/>
        <v>208</v>
      </c>
      <c r="H60" s="176" t="e">
        <f t="shared" si="27"/>
        <v>#N/A</v>
      </c>
      <c r="I60" s="48">
        <v>1</v>
      </c>
      <c r="J60" s="39"/>
      <c r="K60" s="350">
        <v>1</v>
      </c>
      <c r="L60" s="34" t="e">
        <f t="shared" si="4"/>
        <v>#N/A</v>
      </c>
      <c r="M60" s="38" t="e">
        <f>(HLOOKUP(J60,'Construction Times'!$B$3:$W$34,L60+2,FALSE)*HLOOKUP("hq modifier",'Construction Times'!$W$3:$W$34,BS60+2,FALSE))*(1-$H$9)</f>
        <v>#N/A</v>
      </c>
      <c r="N60" s="443" t="e">
        <f t="shared" si="28"/>
        <v>#N/A</v>
      </c>
      <c r="O60" s="444"/>
      <c r="P60" s="447" t="e">
        <f t="shared" si="29"/>
        <v>#N/A</v>
      </c>
      <c r="Q60" s="448"/>
      <c r="R60" s="103">
        <f t="shared" si="71"/>
        <v>0</v>
      </c>
      <c r="S60" s="104">
        <f t="shared" si="71"/>
        <v>0</v>
      </c>
      <c r="T60" s="104">
        <f t="shared" si="72"/>
        <v>0</v>
      </c>
      <c r="U60" s="104">
        <f t="shared" si="72"/>
        <v>0</v>
      </c>
      <c r="V60" s="104">
        <f t="shared" si="72"/>
        <v>9.9999999999999995E-8</v>
      </c>
      <c r="W60" s="104">
        <f t="shared" si="72"/>
        <v>0</v>
      </c>
      <c r="X60" s="104">
        <f t="shared" si="85"/>
        <v>0</v>
      </c>
      <c r="Y60" s="104">
        <f t="shared" si="85"/>
        <v>9.9999999999999995E-8</v>
      </c>
      <c r="Z60" s="104">
        <f t="shared" si="85"/>
        <v>9.9999999999999995E-8</v>
      </c>
      <c r="AA60" s="105">
        <f t="shared" si="85"/>
        <v>9.9999999999999995E-8</v>
      </c>
      <c r="AB60" s="101" t="e">
        <f>$DT60*HLOOKUP($J60,'Construction Costs (timber)'!$B$1:$V$32,'Construction Planner'!$L60+2,FALSE)</f>
        <v>#N/A</v>
      </c>
      <c r="AC60" s="14" t="e">
        <f>$DT60*HLOOKUP($J60,'Construction Costs (clay)'!$B$1:$V$32,'Construction Planner'!$L60+2,FALSE)</f>
        <v>#N/A</v>
      </c>
      <c r="AD60" s="14" t="e">
        <f>$DT60*HLOOKUP($J60,'Construction Costs (iron)'!$B$1:$V$32,'Construction Planner'!$L60+2,FALSE)</f>
        <v>#N/A</v>
      </c>
      <c r="AE60" s="34" t="e">
        <f t="shared" si="81"/>
        <v>#N/A</v>
      </c>
      <c r="AF60" s="33" t="e">
        <f t="shared" si="5"/>
        <v>#N/A</v>
      </c>
      <c r="AG60" s="14" t="e">
        <f t="shared" si="6"/>
        <v>#N/A</v>
      </c>
      <c r="AH60" s="14" t="e">
        <f t="shared" si="7"/>
        <v>#N/A</v>
      </c>
      <c r="AI60" s="34" t="e">
        <f t="shared" si="82"/>
        <v>#N/A</v>
      </c>
      <c r="AJ60" s="49" t="e">
        <f t="shared" si="32"/>
        <v>#N/A</v>
      </c>
      <c r="AK60" s="49" t="e">
        <f t="shared" si="33"/>
        <v>#N/A</v>
      </c>
      <c r="AL60" s="49" t="e">
        <f t="shared" si="34"/>
        <v>#N/A</v>
      </c>
      <c r="AM60" s="25">
        <f t="shared" si="8"/>
        <v>30</v>
      </c>
      <c r="AN60" s="25">
        <f t="shared" si="9"/>
        <v>30</v>
      </c>
      <c r="AO60" s="25">
        <f t="shared" si="10"/>
        <v>30</v>
      </c>
      <c r="AP60" s="52" t="e">
        <f t="shared" si="35"/>
        <v>#N/A</v>
      </c>
      <c r="AQ60" s="53" t="e">
        <f t="shared" si="35"/>
        <v>#N/A</v>
      </c>
      <c r="AR60" s="54" t="e">
        <f t="shared" si="35"/>
        <v>#N/A</v>
      </c>
      <c r="AS60" s="316">
        <f t="shared" si="83"/>
        <v>0</v>
      </c>
      <c r="AT60" s="106">
        <f>_xlfn.IFNA($M60/VLOOKUP($BT60,'Unit information'!$A$2:$K$29,2,FALSE)*R60,0)*(1+$E$9)</f>
        <v>0</v>
      </c>
      <c r="AU60" s="107">
        <f>_xlfn.IFNA($M60/VLOOKUP($BT60,'Unit information'!$A$2:$K$29,3,FALSE)*S60,0)*(1+$E$9)</f>
        <v>0</v>
      </c>
      <c r="AV60" s="107">
        <f>_xlfn.IFNA($M60/VLOOKUP($BT60,'Unit information'!$A$2:$K$29,4,FALSE)*T60,0)*(1+$E$9)</f>
        <v>0</v>
      </c>
      <c r="AW60" s="107">
        <f>_xlfn.IFNA($M60/VLOOKUP($BT60,'Unit information'!$A$2:$K$29,5,FALSE)*U60,0)*(1+$E$9)</f>
        <v>0</v>
      </c>
      <c r="AX60" s="107">
        <f>_xlfn.IFNA($M60/VLOOKUP($BU60,'Unit information'!$A$2:$K$29,6,FALSE)*V60,0)*(1+$E$9)</f>
        <v>0</v>
      </c>
      <c r="AY60" s="107">
        <f>_xlfn.IFNA($M60/VLOOKUP($BU60,'Unit information'!$A$2:$K$29,7,FALSE)*W60,0)*(1+$E$9)</f>
        <v>0</v>
      </c>
      <c r="AZ60" s="107">
        <f>_xlfn.IFNA($M60/VLOOKUP($BU60,'Unit information'!$A$2:$K$29,8,FALSE)*X60,0)*(1+$E$9)</f>
        <v>0</v>
      </c>
      <c r="BA60" s="107">
        <f>_xlfn.IFNA($M60/VLOOKUP($BU60,'Unit information'!$A$2:$K$29,9,FALSE)*Y60,0)*(1+$E$9)</f>
        <v>0</v>
      </c>
      <c r="BB60" s="107">
        <f>_xlfn.IFNA($M60/VLOOKUP($BV60,'Unit information'!$A$2:$K$29,10,FALSE)*Z60,0)*(1+$E$9)</f>
        <v>0</v>
      </c>
      <c r="BC60" s="108">
        <f>_xlfn.IFNA($M60/VLOOKUP($BV60,'Unit information'!$A$2:$K$29,11,FALSE)*AA60,0)*(1+$E$9)</f>
        <v>0</v>
      </c>
      <c r="BD60" s="106">
        <f t="shared" si="12"/>
        <v>0</v>
      </c>
      <c r="BE60" s="107">
        <f t="shared" si="13"/>
        <v>0</v>
      </c>
      <c r="BF60" s="108">
        <f t="shared" si="14"/>
        <v>0</v>
      </c>
      <c r="BG60" s="25" t="e">
        <f t="shared" si="15"/>
        <v>#N/A</v>
      </c>
      <c r="BH60" s="25" t="e">
        <f t="shared" si="16"/>
        <v>#N/A</v>
      </c>
      <c r="BI60" s="25" t="e">
        <f t="shared" si="17"/>
        <v>#N/A</v>
      </c>
      <c r="BJ60" s="27" t="e">
        <f t="shared" si="18"/>
        <v>#N/A</v>
      </c>
      <c r="BK60" s="18" t="e">
        <f t="shared" si="19"/>
        <v>#N/A</v>
      </c>
      <c r="BL60" s="18" t="e">
        <f t="shared" si="20"/>
        <v>#N/A</v>
      </c>
      <c r="BM60" s="28" t="e">
        <f t="shared" si="84"/>
        <v>#N/A</v>
      </c>
      <c r="BN60" s="33">
        <f>HLOOKUP("maximum population",Miscelaneous!$C$1:$C$33,CH60+3,FALSE)</f>
        <v>240</v>
      </c>
      <c r="BO60" s="14">
        <f t="shared" si="36"/>
        <v>32</v>
      </c>
      <c r="BP60" s="14">
        <f t="shared" si="37"/>
        <v>0</v>
      </c>
      <c r="BQ60" s="14">
        <f t="shared" si="38"/>
        <v>208</v>
      </c>
      <c r="BR60" s="34" t="e">
        <f>HLOOKUP(J60,Villagers!$B$1:$V$33,L60+3,FALSE)-HLOOKUP(J60,Villagers!$B$1:$V$33,L60+2,FALSE)</f>
        <v>#N/A</v>
      </c>
      <c r="BS60" s="49">
        <f t="shared" si="39"/>
        <v>1</v>
      </c>
      <c r="BT60" s="50">
        <f t="shared" si="40"/>
        <v>0</v>
      </c>
      <c r="BU60" s="50">
        <f t="shared" si="41"/>
        <v>0</v>
      </c>
      <c r="BV60" s="50">
        <f t="shared" si="86"/>
        <v>0</v>
      </c>
      <c r="BW60" s="50">
        <f t="shared" si="87"/>
        <v>0</v>
      </c>
      <c r="BX60" s="50">
        <f t="shared" si="88"/>
        <v>0</v>
      </c>
      <c r="BY60" s="50">
        <f t="shared" si="88"/>
        <v>0</v>
      </c>
      <c r="BZ60" s="50">
        <f t="shared" si="45"/>
        <v>0</v>
      </c>
      <c r="CA60" s="50">
        <f t="shared" si="46"/>
        <v>0</v>
      </c>
      <c r="CB60" s="50">
        <f t="shared" si="47"/>
        <v>1</v>
      </c>
      <c r="CC60" s="50">
        <f t="shared" si="48"/>
        <v>0</v>
      </c>
      <c r="CD60" s="50">
        <f t="shared" si="49"/>
        <v>0</v>
      </c>
      <c r="CE60" s="50">
        <f t="shared" si="50"/>
        <v>1</v>
      </c>
      <c r="CF60" s="50">
        <f t="shared" si="51"/>
        <v>1</v>
      </c>
      <c r="CG60" s="50">
        <f t="shared" si="52"/>
        <v>1</v>
      </c>
      <c r="CH60" s="50">
        <f t="shared" si="53"/>
        <v>1</v>
      </c>
      <c r="CI60" s="50">
        <f t="shared" si="54"/>
        <v>1</v>
      </c>
      <c r="CJ60" s="50">
        <f t="shared" si="55"/>
        <v>1</v>
      </c>
      <c r="CK60" s="50">
        <f t="shared" si="56"/>
        <v>0</v>
      </c>
      <c r="CL60" s="50">
        <f t="shared" si="55"/>
        <v>0</v>
      </c>
      <c r="CM60" s="51">
        <f t="shared" si="57"/>
        <v>0</v>
      </c>
      <c r="CN60" s="33">
        <f>ROUND(IF(BS60=0,0,HLOOKUP(BS$14,Villagers!$B$1:$V$33,BS60+3,FALSE)),)</f>
        <v>5</v>
      </c>
      <c r="CO60" s="14">
        <f>ROUND(IF(BT60=0,0,HLOOKUP(BT$14,Villagers!$B$1:$V$33,BT60+3,FALSE)),)</f>
        <v>0</v>
      </c>
      <c r="CP60" s="14">
        <f>ROUND(IF(BU60=0,0,HLOOKUP(BU$14,Villagers!$B$1:$V$33,BU60+3,FALSE)),)</f>
        <v>0</v>
      </c>
      <c r="CQ60" s="14">
        <f>ROUND(IF(BV60=0,0,HLOOKUP(BV$14,Villagers!$B$1:$V$33,BV60+3,FALSE)),)</f>
        <v>0</v>
      </c>
      <c r="CR60" s="14">
        <f>ROUND(IF(BW60=0,0,HLOOKUP(BW$14,Villagers!$B$1:$V$33,BW60+3,FALSE)),)</f>
        <v>0</v>
      </c>
      <c r="CS60" s="14">
        <f>ROUND(IF(BX60=0,0,HLOOKUP(BX$14,Villagers!$B$1:$V$33,BX60+3,FALSE)),)</f>
        <v>0</v>
      </c>
      <c r="CT60" s="14">
        <f>ROUND(IF(BY60=0,0,HLOOKUP(BY$14,Villagers!$B$1:$V$33,BY60+3,FALSE)),)</f>
        <v>0</v>
      </c>
      <c r="CU60" s="14">
        <f>ROUND(IF(BZ60=0,0,HLOOKUP(BZ$14,Villagers!$B$1:$V$33,BZ60+3,FALSE)),)</f>
        <v>0</v>
      </c>
      <c r="CV60" s="14">
        <f>ROUND(IF(CA60=0,0,HLOOKUP(CA$14,Villagers!$B$1:$V$33,CA60+3,FALSE)),)</f>
        <v>0</v>
      </c>
      <c r="CW60" s="14">
        <f>ROUND(IF(CB60=0,0,HLOOKUP(CB$14,Villagers!$B$1:$V$33,CB60+3,FALSE)),)</f>
        <v>0</v>
      </c>
      <c r="CX60" s="14">
        <f>ROUND(IF(CC60=0,0,HLOOKUP(CC$14,Villagers!$B$1:$V$33,CC60+3,FALSE)),)</f>
        <v>0</v>
      </c>
      <c r="CY60" s="14">
        <f>ROUND(IF(CD60=0,0,HLOOKUP(CD$14,Villagers!$B$1:$V$33,CD60+3,FALSE)),)</f>
        <v>0</v>
      </c>
      <c r="CZ60" s="14">
        <f>ROUND(IF(CE60=0,0,HLOOKUP(CE$14,Villagers!$B$1:$V$33,CE60+3,FALSE)),)</f>
        <v>5</v>
      </c>
      <c r="DA60" s="14">
        <f>ROUND(IF(CF60=0,0,HLOOKUP(CF$14,Villagers!$B$1:$V$33,CF60+3,FALSE)),)</f>
        <v>10</v>
      </c>
      <c r="DB60" s="14">
        <f>ROUND(IF(CG60=0,0,HLOOKUP(CG$14,Villagers!$B$1:$V$33,CG60+3,FALSE)),)</f>
        <v>10</v>
      </c>
      <c r="DC60" s="14">
        <f>ROUND(IF(CH60=0,0,HLOOKUP(CH$14,Villagers!$B$1:$V$33,CH60+3,FALSE)),)</f>
        <v>0</v>
      </c>
      <c r="DD60" s="14">
        <f>ROUND(IF(CI60=0,0,HLOOKUP(CI$14,Villagers!$B$1:$V$33,CI60+3,FALSE)),)</f>
        <v>0</v>
      </c>
      <c r="DE60" s="14">
        <f>ROUND(IF(CJ60=0,0,HLOOKUP(CJ$14,Villagers!$B$1:$V$33,CJ60+3,FALSE)),)</f>
        <v>2</v>
      </c>
      <c r="DF60" s="370">
        <f>ROUND(IF(CK60=0,0,HLOOKUP(CK$14,Villagers!$B$1:$V$33,CK60+3,FALSE)),)</f>
        <v>0</v>
      </c>
      <c r="DG60" s="370">
        <f>ROUND(IF(CL60=0,0,HLOOKUP(CL$14,Villagers!$B$1:$V$33,CL60+3,FALSE)),)</f>
        <v>0</v>
      </c>
      <c r="DH60" s="34">
        <f>ROUND(IF(CM60=0,0,HLOOKUP(CM$14,Villagers!$B$1:$V$33,CM60+3,FALSE)),)</f>
        <v>0</v>
      </c>
      <c r="DI60" s="109">
        <f t="shared" si="73"/>
        <v>0</v>
      </c>
      <c r="DJ60" s="50">
        <f t="shared" si="74"/>
        <v>0</v>
      </c>
      <c r="DK60" s="50">
        <f t="shared" si="75"/>
        <v>0</v>
      </c>
      <c r="DL60" s="50">
        <f t="shared" si="76"/>
        <v>0</v>
      </c>
      <c r="DM60" s="50">
        <f t="shared" si="77"/>
        <v>0</v>
      </c>
      <c r="DN60" s="50">
        <f t="shared" si="78"/>
        <v>0</v>
      </c>
      <c r="DO60" s="50">
        <f t="shared" si="79"/>
        <v>0</v>
      </c>
      <c r="DP60" s="50">
        <f t="shared" si="80"/>
        <v>0</v>
      </c>
      <c r="DQ60" s="50">
        <f t="shared" si="59"/>
        <v>0</v>
      </c>
      <c r="DR60" s="50">
        <f t="shared" si="60"/>
        <v>0</v>
      </c>
      <c r="DS60" s="96">
        <f>Miscelaneous!$D$4*Miscelaneous!$D$2^($CI60-1)</f>
        <v>1000</v>
      </c>
      <c r="DT60" s="333">
        <f t="shared" si="61"/>
        <v>1</v>
      </c>
      <c r="DU60" s="81">
        <v>1</v>
      </c>
      <c r="DV60" s="79">
        <f t="shared" si="62"/>
        <v>0</v>
      </c>
      <c r="DW60" s="79">
        <f t="shared" si="23"/>
        <v>0</v>
      </c>
      <c r="DX60" s="79">
        <f t="shared" si="63"/>
        <v>0</v>
      </c>
      <c r="DY60" s="79">
        <v>1</v>
      </c>
      <c r="DZ60" s="79">
        <f t="shared" si="24"/>
        <v>0</v>
      </c>
      <c r="EA60" s="79">
        <f t="shared" si="64"/>
        <v>0</v>
      </c>
      <c r="EB60" s="79">
        <f t="shared" si="65"/>
        <v>0</v>
      </c>
      <c r="EC60" s="79">
        <f t="shared" si="66"/>
        <v>0</v>
      </c>
      <c r="ED60" s="79">
        <v>1</v>
      </c>
      <c r="EE60" s="79">
        <v>1</v>
      </c>
      <c r="EF60" s="79">
        <f t="shared" si="67"/>
        <v>0</v>
      </c>
      <c r="EG60" s="79">
        <v>1</v>
      </c>
      <c r="EH60" s="79">
        <v>1</v>
      </c>
      <c r="EI60" s="79">
        <v>1</v>
      </c>
      <c r="EJ60" s="79">
        <v>1</v>
      </c>
      <c r="EK60" s="79">
        <v>1</v>
      </c>
      <c r="EL60" s="79">
        <v>1</v>
      </c>
      <c r="EM60" s="143">
        <f t="shared" si="68"/>
        <v>0</v>
      </c>
      <c r="EN60" s="143">
        <f t="shared" si="69"/>
        <v>0</v>
      </c>
      <c r="EO60" s="82">
        <f t="shared" si="70"/>
        <v>0</v>
      </c>
    </row>
    <row r="61" spans="1:145" x14ac:dyDescent="0.25">
      <c r="A61">
        <v>47</v>
      </c>
      <c r="B61" s="172" t="e">
        <f t="shared" si="25"/>
        <v>#N/A</v>
      </c>
      <c r="C61" s="121" t="e">
        <f t="shared" si="0"/>
        <v>#N/A</v>
      </c>
      <c r="D61" s="122" t="e">
        <f t="shared" si="1"/>
        <v>#N/A</v>
      </c>
      <c r="E61" s="122" t="e">
        <f t="shared" si="2"/>
        <v>#N/A</v>
      </c>
      <c r="F61" s="176" t="e">
        <f t="shared" si="3"/>
        <v>#N/A</v>
      </c>
      <c r="G61" s="121">
        <f t="shared" si="26"/>
        <v>208</v>
      </c>
      <c r="H61" s="176" t="e">
        <f t="shared" si="27"/>
        <v>#N/A</v>
      </c>
      <c r="I61" s="48">
        <v>1</v>
      </c>
      <c r="J61" s="39"/>
      <c r="K61" s="350">
        <v>1</v>
      </c>
      <c r="L61" s="34" t="e">
        <f t="shared" si="4"/>
        <v>#N/A</v>
      </c>
      <c r="M61" s="38" t="e">
        <f>(HLOOKUP(J61,'Construction Times'!$B$3:$W$34,L61+2,FALSE)*HLOOKUP("hq modifier",'Construction Times'!$W$3:$W$34,BS61+2,FALSE))*(1-$H$9)</f>
        <v>#N/A</v>
      </c>
      <c r="N61" s="443" t="e">
        <f t="shared" si="28"/>
        <v>#N/A</v>
      </c>
      <c r="O61" s="444"/>
      <c r="P61" s="447" t="e">
        <f t="shared" si="29"/>
        <v>#N/A</v>
      </c>
      <c r="Q61" s="448"/>
      <c r="R61" s="103">
        <f t="shared" si="71"/>
        <v>0</v>
      </c>
      <c r="S61" s="104">
        <f t="shared" si="71"/>
        <v>0</v>
      </c>
      <c r="T61" s="104">
        <f t="shared" si="72"/>
        <v>0</v>
      </c>
      <c r="U61" s="104">
        <f t="shared" si="72"/>
        <v>0</v>
      </c>
      <c r="V61" s="104">
        <f t="shared" si="72"/>
        <v>9.9999999999999995E-8</v>
      </c>
      <c r="W61" s="104">
        <f t="shared" si="72"/>
        <v>0</v>
      </c>
      <c r="X61" s="104">
        <f t="shared" si="85"/>
        <v>0</v>
      </c>
      <c r="Y61" s="104">
        <f t="shared" si="85"/>
        <v>9.9999999999999995E-8</v>
      </c>
      <c r="Z61" s="104">
        <f t="shared" si="85"/>
        <v>9.9999999999999995E-8</v>
      </c>
      <c r="AA61" s="105">
        <f t="shared" si="85"/>
        <v>9.9999999999999995E-8</v>
      </c>
      <c r="AB61" s="101" t="e">
        <f>$DT61*HLOOKUP($J61,'Construction Costs (timber)'!$B$1:$V$32,'Construction Planner'!$L61+2,FALSE)</f>
        <v>#N/A</v>
      </c>
      <c r="AC61" s="14" t="e">
        <f>$DT61*HLOOKUP($J61,'Construction Costs (clay)'!$B$1:$V$32,'Construction Planner'!$L61+2,FALSE)</f>
        <v>#N/A</v>
      </c>
      <c r="AD61" s="14" t="e">
        <f>$DT61*HLOOKUP($J61,'Construction Costs (iron)'!$B$1:$V$32,'Construction Planner'!$L61+2,FALSE)</f>
        <v>#N/A</v>
      </c>
      <c r="AE61" s="34" t="e">
        <f t="shared" si="81"/>
        <v>#N/A</v>
      </c>
      <c r="AF61" s="33" t="e">
        <f t="shared" si="5"/>
        <v>#N/A</v>
      </c>
      <c r="AG61" s="14" t="e">
        <f t="shared" si="6"/>
        <v>#N/A</v>
      </c>
      <c r="AH61" s="14" t="e">
        <f t="shared" si="7"/>
        <v>#N/A</v>
      </c>
      <c r="AI61" s="34" t="e">
        <f t="shared" si="82"/>
        <v>#N/A</v>
      </c>
      <c r="AJ61" s="49" t="e">
        <f t="shared" si="32"/>
        <v>#N/A</v>
      </c>
      <c r="AK61" s="49" t="e">
        <f t="shared" si="33"/>
        <v>#N/A</v>
      </c>
      <c r="AL61" s="49" t="e">
        <f t="shared" si="34"/>
        <v>#N/A</v>
      </c>
      <c r="AM61" s="25">
        <f t="shared" si="8"/>
        <v>30</v>
      </c>
      <c r="AN61" s="25">
        <f t="shared" si="9"/>
        <v>30</v>
      </c>
      <c r="AO61" s="25">
        <f t="shared" si="10"/>
        <v>30</v>
      </c>
      <c r="AP61" s="52" t="e">
        <f t="shared" si="35"/>
        <v>#N/A</v>
      </c>
      <c r="AQ61" s="53" t="e">
        <f t="shared" si="35"/>
        <v>#N/A</v>
      </c>
      <c r="AR61" s="54" t="e">
        <f t="shared" si="35"/>
        <v>#N/A</v>
      </c>
      <c r="AS61" s="316">
        <f t="shared" si="83"/>
        <v>0</v>
      </c>
      <c r="AT61" s="106">
        <f>_xlfn.IFNA($M61/VLOOKUP($BT61,'Unit information'!$A$2:$K$29,2,FALSE)*R61,0)*(1+$E$9)</f>
        <v>0</v>
      </c>
      <c r="AU61" s="107">
        <f>_xlfn.IFNA($M61/VLOOKUP($BT61,'Unit information'!$A$2:$K$29,3,FALSE)*S61,0)*(1+$E$9)</f>
        <v>0</v>
      </c>
      <c r="AV61" s="107">
        <f>_xlfn.IFNA($M61/VLOOKUP($BT61,'Unit information'!$A$2:$K$29,4,FALSE)*T61,0)*(1+$E$9)</f>
        <v>0</v>
      </c>
      <c r="AW61" s="107">
        <f>_xlfn.IFNA($M61/VLOOKUP($BT61,'Unit information'!$A$2:$K$29,5,FALSE)*U61,0)*(1+$E$9)</f>
        <v>0</v>
      </c>
      <c r="AX61" s="107">
        <f>_xlfn.IFNA($M61/VLOOKUP($BU61,'Unit information'!$A$2:$K$29,6,FALSE)*V61,0)*(1+$E$9)</f>
        <v>0</v>
      </c>
      <c r="AY61" s="107">
        <f>_xlfn.IFNA($M61/VLOOKUP($BU61,'Unit information'!$A$2:$K$29,7,FALSE)*W61,0)*(1+$E$9)</f>
        <v>0</v>
      </c>
      <c r="AZ61" s="107">
        <f>_xlfn.IFNA($M61/VLOOKUP($BU61,'Unit information'!$A$2:$K$29,8,FALSE)*X61,0)*(1+$E$9)</f>
        <v>0</v>
      </c>
      <c r="BA61" s="107">
        <f>_xlfn.IFNA($M61/VLOOKUP($BU61,'Unit information'!$A$2:$K$29,9,FALSE)*Y61,0)*(1+$E$9)</f>
        <v>0</v>
      </c>
      <c r="BB61" s="107">
        <f>_xlfn.IFNA($M61/VLOOKUP($BV61,'Unit information'!$A$2:$K$29,10,FALSE)*Z61,0)*(1+$E$9)</f>
        <v>0</v>
      </c>
      <c r="BC61" s="108">
        <f>_xlfn.IFNA($M61/VLOOKUP($BV61,'Unit information'!$A$2:$K$29,11,FALSE)*AA61,0)*(1+$E$9)</f>
        <v>0</v>
      </c>
      <c r="BD61" s="106">
        <f t="shared" si="12"/>
        <v>0</v>
      </c>
      <c r="BE61" s="107">
        <f t="shared" si="13"/>
        <v>0</v>
      </c>
      <c r="BF61" s="108">
        <f t="shared" si="14"/>
        <v>0</v>
      </c>
      <c r="BG61" s="25" t="e">
        <f t="shared" si="15"/>
        <v>#N/A</v>
      </c>
      <c r="BH61" s="25" t="e">
        <f t="shared" si="16"/>
        <v>#N/A</v>
      </c>
      <c r="BI61" s="25" t="e">
        <f t="shared" si="17"/>
        <v>#N/A</v>
      </c>
      <c r="BJ61" s="27" t="e">
        <f t="shared" si="18"/>
        <v>#N/A</v>
      </c>
      <c r="BK61" s="18" t="e">
        <f t="shared" si="19"/>
        <v>#N/A</v>
      </c>
      <c r="BL61" s="18" t="e">
        <f t="shared" si="20"/>
        <v>#N/A</v>
      </c>
      <c r="BM61" s="28" t="e">
        <f t="shared" si="84"/>
        <v>#N/A</v>
      </c>
      <c r="BN61" s="33">
        <f>HLOOKUP("maximum population",Miscelaneous!$C$1:$C$33,CH61+3,FALSE)</f>
        <v>240</v>
      </c>
      <c r="BO61" s="14">
        <f t="shared" si="36"/>
        <v>32</v>
      </c>
      <c r="BP61" s="14">
        <f t="shared" si="37"/>
        <v>0</v>
      </c>
      <c r="BQ61" s="14">
        <f t="shared" si="38"/>
        <v>208</v>
      </c>
      <c r="BR61" s="34" t="e">
        <f>HLOOKUP(J61,Villagers!$B$1:$V$33,L61+3,FALSE)-HLOOKUP(J61,Villagers!$B$1:$V$33,L61+2,FALSE)</f>
        <v>#N/A</v>
      </c>
      <c r="BS61" s="49">
        <f t="shared" si="39"/>
        <v>1</v>
      </c>
      <c r="BT61" s="50">
        <f t="shared" si="40"/>
        <v>0</v>
      </c>
      <c r="BU61" s="50">
        <f t="shared" si="41"/>
        <v>0</v>
      </c>
      <c r="BV61" s="50">
        <f t="shared" si="86"/>
        <v>0</v>
      </c>
      <c r="BW61" s="50">
        <f t="shared" si="87"/>
        <v>0</v>
      </c>
      <c r="BX61" s="50">
        <f t="shared" si="88"/>
        <v>0</v>
      </c>
      <c r="BY61" s="50">
        <f t="shared" si="88"/>
        <v>0</v>
      </c>
      <c r="BZ61" s="50">
        <f t="shared" si="45"/>
        <v>0</v>
      </c>
      <c r="CA61" s="50">
        <f t="shared" si="46"/>
        <v>0</v>
      </c>
      <c r="CB61" s="50">
        <f t="shared" si="47"/>
        <v>1</v>
      </c>
      <c r="CC61" s="50">
        <f t="shared" si="48"/>
        <v>0</v>
      </c>
      <c r="CD61" s="50">
        <f t="shared" si="49"/>
        <v>0</v>
      </c>
      <c r="CE61" s="50">
        <f t="shared" si="50"/>
        <v>1</v>
      </c>
      <c r="CF61" s="50">
        <f t="shared" si="51"/>
        <v>1</v>
      </c>
      <c r="CG61" s="50">
        <f t="shared" si="52"/>
        <v>1</v>
      </c>
      <c r="CH61" s="50">
        <f t="shared" si="53"/>
        <v>1</v>
      </c>
      <c r="CI61" s="50">
        <f t="shared" si="54"/>
        <v>1</v>
      </c>
      <c r="CJ61" s="50">
        <f t="shared" si="55"/>
        <v>1</v>
      </c>
      <c r="CK61" s="50">
        <f t="shared" si="56"/>
        <v>0</v>
      </c>
      <c r="CL61" s="50">
        <f t="shared" si="55"/>
        <v>0</v>
      </c>
      <c r="CM61" s="51">
        <f t="shared" si="57"/>
        <v>0</v>
      </c>
      <c r="CN61" s="33">
        <f>ROUND(IF(BS61=0,0,HLOOKUP(BS$14,Villagers!$B$1:$V$33,BS61+3,FALSE)),)</f>
        <v>5</v>
      </c>
      <c r="CO61" s="14">
        <f>ROUND(IF(BT61=0,0,HLOOKUP(BT$14,Villagers!$B$1:$V$33,BT61+3,FALSE)),)</f>
        <v>0</v>
      </c>
      <c r="CP61" s="14">
        <f>ROUND(IF(BU61=0,0,HLOOKUP(BU$14,Villagers!$B$1:$V$33,BU61+3,FALSE)),)</f>
        <v>0</v>
      </c>
      <c r="CQ61" s="14">
        <f>ROUND(IF(BV61=0,0,HLOOKUP(BV$14,Villagers!$B$1:$V$33,BV61+3,FALSE)),)</f>
        <v>0</v>
      </c>
      <c r="CR61" s="14">
        <f>ROUND(IF(BW61=0,0,HLOOKUP(BW$14,Villagers!$B$1:$V$33,BW61+3,FALSE)),)</f>
        <v>0</v>
      </c>
      <c r="CS61" s="14">
        <f>ROUND(IF(BX61=0,0,HLOOKUP(BX$14,Villagers!$B$1:$V$33,BX61+3,FALSE)),)</f>
        <v>0</v>
      </c>
      <c r="CT61" s="14">
        <f>ROUND(IF(BY61=0,0,HLOOKUP(BY$14,Villagers!$B$1:$V$33,BY61+3,FALSE)),)</f>
        <v>0</v>
      </c>
      <c r="CU61" s="14">
        <f>ROUND(IF(BZ61=0,0,HLOOKUP(BZ$14,Villagers!$B$1:$V$33,BZ61+3,FALSE)),)</f>
        <v>0</v>
      </c>
      <c r="CV61" s="14">
        <f>ROUND(IF(CA61=0,0,HLOOKUP(CA$14,Villagers!$B$1:$V$33,CA61+3,FALSE)),)</f>
        <v>0</v>
      </c>
      <c r="CW61" s="14">
        <f>ROUND(IF(CB61=0,0,HLOOKUP(CB$14,Villagers!$B$1:$V$33,CB61+3,FALSE)),)</f>
        <v>0</v>
      </c>
      <c r="CX61" s="14">
        <f>ROUND(IF(CC61=0,0,HLOOKUP(CC$14,Villagers!$B$1:$V$33,CC61+3,FALSE)),)</f>
        <v>0</v>
      </c>
      <c r="CY61" s="14">
        <f>ROUND(IF(CD61=0,0,HLOOKUP(CD$14,Villagers!$B$1:$V$33,CD61+3,FALSE)),)</f>
        <v>0</v>
      </c>
      <c r="CZ61" s="14">
        <f>ROUND(IF(CE61=0,0,HLOOKUP(CE$14,Villagers!$B$1:$V$33,CE61+3,FALSE)),)</f>
        <v>5</v>
      </c>
      <c r="DA61" s="14">
        <f>ROUND(IF(CF61=0,0,HLOOKUP(CF$14,Villagers!$B$1:$V$33,CF61+3,FALSE)),)</f>
        <v>10</v>
      </c>
      <c r="DB61" s="14">
        <f>ROUND(IF(CG61=0,0,HLOOKUP(CG$14,Villagers!$B$1:$V$33,CG61+3,FALSE)),)</f>
        <v>10</v>
      </c>
      <c r="DC61" s="14">
        <f>ROUND(IF(CH61=0,0,HLOOKUP(CH$14,Villagers!$B$1:$V$33,CH61+3,FALSE)),)</f>
        <v>0</v>
      </c>
      <c r="DD61" s="14">
        <f>ROUND(IF(CI61=0,0,HLOOKUP(CI$14,Villagers!$B$1:$V$33,CI61+3,FALSE)),)</f>
        <v>0</v>
      </c>
      <c r="DE61" s="14">
        <f>ROUND(IF(CJ61=0,0,HLOOKUP(CJ$14,Villagers!$B$1:$V$33,CJ61+3,FALSE)),)</f>
        <v>2</v>
      </c>
      <c r="DF61" s="370">
        <f>ROUND(IF(CK61=0,0,HLOOKUP(CK$14,Villagers!$B$1:$V$33,CK61+3,FALSE)),)</f>
        <v>0</v>
      </c>
      <c r="DG61" s="370">
        <f>ROUND(IF(CL61=0,0,HLOOKUP(CL$14,Villagers!$B$1:$V$33,CL61+3,FALSE)),)</f>
        <v>0</v>
      </c>
      <c r="DH61" s="34">
        <f>ROUND(IF(CM61=0,0,HLOOKUP(CM$14,Villagers!$B$1:$V$33,CM61+3,FALSE)),)</f>
        <v>0</v>
      </c>
      <c r="DI61" s="109">
        <f t="shared" si="73"/>
        <v>0</v>
      </c>
      <c r="DJ61" s="50">
        <f t="shared" si="74"/>
        <v>0</v>
      </c>
      <c r="DK61" s="50">
        <f t="shared" si="75"/>
        <v>0</v>
      </c>
      <c r="DL61" s="50">
        <f t="shared" si="76"/>
        <v>0</v>
      </c>
      <c r="DM61" s="50">
        <f t="shared" si="77"/>
        <v>0</v>
      </c>
      <c r="DN61" s="50">
        <f t="shared" si="78"/>
        <v>0</v>
      </c>
      <c r="DO61" s="50">
        <f t="shared" si="79"/>
        <v>0</v>
      </c>
      <c r="DP61" s="50">
        <f t="shared" si="80"/>
        <v>0</v>
      </c>
      <c r="DQ61" s="50">
        <f t="shared" si="59"/>
        <v>0</v>
      </c>
      <c r="DR61" s="50">
        <f t="shared" si="60"/>
        <v>0</v>
      </c>
      <c r="DS61" s="96">
        <f>Miscelaneous!$D$4*Miscelaneous!$D$2^($CI61-1)</f>
        <v>1000</v>
      </c>
      <c r="DT61" s="333">
        <f t="shared" si="61"/>
        <v>1</v>
      </c>
      <c r="DU61" s="81">
        <v>1</v>
      </c>
      <c r="DV61" s="79">
        <f t="shared" si="62"/>
        <v>0</v>
      </c>
      <c r="DW61" s="79">
        <f t="shared" si="23"/>
        <v>0</v>
      </c>
      <c r="DX61" s="79">
        <f t="shared" si="63"/>
        <v>0</v>
      </c>
      <c r="DY61" s="79">
        <v>1</v>
      </c>
      <c r="DZ61" s="79">
        <f t="shared" si="24"/>
        <v>0</v>
      </c>
      <c r="EA61" s="79">
        <f t="shared" si="64"/>
        <v>0</v>
      </c>
      <c r="EB61" s="79">
        <f t="shared" si="65"/>
        <v>0</v>
      </c>
      <c r="EC61" s="79">
        <f t="shared" si="66"/>
        <v>0</v>
      </c>
      <c r="ED61" s="79">
        <v>1</v>
      </c>
      <c r="EE61" s="79">
        <v>1</v>
      </c>
      <c r="EF61" s="79">
        <f t="shared" si="67"/>
        <v>0</v>
      </c>
      <c r="EG61" s="79">
        <v>1</v>
      </c>
      <c r="EH61" s="79">
        <v>1</v>
      </c>
      <c r="EI61" s="79">
        <v>1</v>
      </c>
      <c r="EJ61" s="79">
        <v>1</v>
      </c>
      <c r="EK61" s="79">
        <v>1</v>
      </c>
      <c r="EL61" s="79">
        <v>1</v>
      </c>
      <c r="EM61" s="143">
        <f t="shared" si="68"/>
        <v>0</v>
      </c>
      <c r="EN61" s="143">
        <f t="shared" si="69"/>
        <v>0</v>
      </c>
      <c r="EO61" s="82">
        <f t="shared" si="70"/>
        <v>0</v>
      </c>
    </row>
    <row r="62" spans="1:145" x14ac:dyDescent="0.25">
      <c r="A62">
        <v>48</v>
      </c>
      <c r="B62" s="172" t="e">
        <f t="shared" si="25"/>
        <v>#N/A</v>
      </c>
      <c r="C62" s="121" t="e">
        <f t="shared" si="0"/>
        <v>#N/A</v>
      </c>
      <c r="D62" s="122" t="e">
        <f t="shared" si="1"/>
        <v>#N/A</v>
      </c>
      <c r="E62" s="122" t="e">
        <f t="shared" si="2"/>
        <v>#N/A</v>
      </c>
      <c r="F62" s="176" t="e">
        <f t="shared" si="3"/>
        <v>#N/A</v>
      </c>
      <c r="G62" s="121">
        <f t="shared" si="26"/>
        <v>208</v>
      </c>
      <c r="H62" s="176" t="e">
        <f t="shared" si="27"/>
        <v>#N/A</v>
      </c>
      <c r="I62" s="48">
        <v>1</v>
      </c>
      <c r="J62" s="39"/>
      <c r="K62" s="350">
        <v>1</v>
      </c>
      <c r="L62" s="34" t="e">
        <f t="shared" si="4"/>
        <v>#N/A</v>
      </c>
      <c r="M62" s="38" t="e">
        <f>(HLOOKUP(J62,'Construction Times'!$B$3:$W$34,L62+2,FALSE)*HLOOKUP("hq modifier",'Construction Times'!$W$3:$W$34,BS62+2,FALSE))*(1-$H$9)</f>
        <v>#N/A</v>
      </c>
      <c r="N62" s="443" t="e">
        <f t="shared" si="28"/>
        <v>#N/A</v>
      </c>
      <c r="O62" s="444"/>
      <c r="P62" s="447" t="e">
        <f t="shared" si="29"/>
        <v>#N/A</v>
      </c>
      <c r="Q62" s="448"/>
      <c r="R62" s="103">
        <f t="shared" si="71"/>
        <v>0</v>
      </c>
      <c r="S62" s="104">
        <f t="shared" si="71"/>
        <v>0</v>
      </c>
      <c r="T62" s="104">
        <f t="shared" si="72"/>
        <v>0</v>
      </c>
      <c r="U62" s="104">
        <f t="shared" si="72"/>
        <v>0</v>
      </c>
      <c r="V62" s="104">
        <f t="shared" si="72"/>
        <v>9.9999999999999995E-8</v>
      </c>
      <c r="W62" s="104">
        <f t="shared" si="72"/>
        <v>0</v>
      </c>
      <c r="X62" s="104">
        <f t="shared" si="85"/>
        <v>0</v>
      </c>
      <c r="Y62" s="104">
        <f t="shared" si="85"/>
        <v>9.9999999999999995E-8</v>
      </c>
      <c r="Z62" s="104">
        <f t="shared" si="85"/>
        <v>9.9999999999999995E-8</v>
      </c>
      <c r="AA62" s="105">
        <f t="shared" si="85"/>
        <v>9.9999999999999995E-8</v>
      </c>
      <c r="AB62" s="101" t="e">
        <f>$DT62*HLOOKUP($J62,'Construction Costs (timber)'!$B$1:$V$32,'Construction Planner'!$L62+2,FALSE)</f>
        <v>#N/A</v>
      </c>
      <c r="AC62" s="14" t="e">
        <f>$DT62*HLOOKUP($J62,'Construction Costs (clay)'!$B$1:$V$32,'Construction Planner'!$L62+2,FALSE)</f>
        <v>#N/A</v>
      </c>
      <c r="AD62" s="14" t="e">
        <f>$DT62*HLOOKUP($J62,'Construction Costs (iron)'!$B$1:$V$32,'Construction Planner'!$L62+2,FALSE)</f>
        <v>#N/A</v>
      </c>
      <c r="AE62" s="34" t="e">
        <f t="shared" si="81"/>
        <v>#N/A</v>
      </c>
      <c r="AF62" s="33" t="e">
        <f t="shared" si="5"/>
        <v>#N/A</v>
      </c>
      <c r="AG62" s="14" t="e">
        <f t="shared" si="6"/>
        <v>#N/A</v>
      </c>
      <c r="AH62" s="14" t="e">
        <f t="shared" si="7"/>
        <v>#N/A</v>
      </c>
      <c r="AI62" s="34" t="e">
        <f t="shared" si="82"/>
        <v>#N/A</v>
      </c>
      <c r="AJ62" s="49" t="e">
        <f t="shared" si="32"/>
        <v>#N/A</v>
      </c>
      <c r="AK62" s="49" t="e">
        <f t="shared" si="33"/>
        <v>#N/A</v>
      </c>
      <c r="AL62" s="49" t="e">
        <f t="shared" si="34"/>
        <v>#N/A</v>
      </c>
      <c r="AM62" s="25">
        <f t="shared" si="8"/>
        <v>30</v>
      </c>
      <c r="AN62" s="25">
        <f t="shared" si="9"/>
        <v>30</v>
      </c>
      <c r="AO62" s="25">
        <f t="shared" si="10"/>
        <v>30</v>
      </c>
      <c r="AP62" s="52" t="e">
        <f t="shared" si="35"/>
        <v>#N/A</v>
      </c>
      <c r="AQ62" s="53" t="e">
        <f t="shared" si="35"/>
        <v>#N/A</v>
      </c>
      <c r="AR62" s="54" t="e">
        <f t="shared" si="35"/>
        <v>#N/A</v>
      </c>
      <c r="AS62" s="316">
        <f t="shared" si="83"/>
        <v>0</v>
      </c>
      <c r="AT62" s="106">
        <f>_xlfn.IFNA($M62/VLOOKUP($BT62,'Unit information'!$A$2:$K$29,2,FALSE)*R62,0)*(1+$E$9)</f>
        <v>0</v>
      </c>
      <c r="AU62" s="107">
        <f>_xlfn.IFNA($M62/VLOOKUP($BT62,'Unit information'!$A$2:$K$29,3,FALSE)*S62,0)*(1+$E$9)</f>
        <v>0</v>
      </c>
      <c r="AV62" s="107">
        <f>_xlfn.IFNA($M62/VLOOKUP($BT62,'Unit information'!$A$2:$K$29,4,FALSE)*T62,0)*(1+$E$9)</f>
        <v>0</v>
      </c>
      <c r="AW62" s="107">
        <f>_xlfn.IFNA($M62/VLOOKUP($BT62,'Unit information'!$A$2:$K$29,5,FALSE)*U62,0)*(1+$E$9)</f>
        <v>0</v>
      </c>
      <c r="AX62" s="107">
        <f>_xlfn.IFNA($M62/VLOOKUP($BU62,'Unit information'!$A$2:$K$29,6,FALSE)*V62,0)*(1+$E$9)</f>
        <v>0</v>
      </c>
      <c r="AY62" s="107">
        <f>_xlfn.IFNA($M62/VLOOKUP($BU62,'Unit information'!$A$2:$K$29,7,FALSE)*W62,0)*(1+$E$9)</f>
        <v>0</v>
      </c>
      <c r="AZ62" s="107">
        <f>_xlfn.IFNA($M62/VLOOKUP($BU62,'Unit information'!$A$2:$K$29,8,FALSE)*X62,0)*(1+$E$9)</f>
        <v>0</v>
      </c>
      <c r="BA62" s="107">
        <f>_xlfn.IFNA($M62/VLOOKUP($BU62,'Unit information'!$A$2:$K$29,9,FALSE)*Y62,0)*(1+$E$9)</f>
        <v>0</v>
      </c>
      <c r="BB62" s="107">
        <f>_xlfn.IFNA($M62/VLOOKUP($BV62,'Unit information'!$A$2:$K$29,10,FALSE)*Z62,0)*(1+$E$9)</f>
        <v>0</v>
      </c>
      <c r="BC62" s="108">
        <f>_xlfn.IFNA($M62/VLOOKUP($BV62,'Unit information'!$A$2:$K$29,11,FALSE)*AA62,0)*(1+$E$9)</f>
        <v>0</v>
      </c>
      <c r="BD62" s="106">
        <f t="shared" si="12"/>
        <v>0</v>
      </c>
      <c r="BE62" s="107">
        <f t="shared" si="13"/>
        <v>0</v>
      </c>
      <c r="BF62" s="108">
        <f t="shared" si="14"/>
        <v>0</v>
      </c>
      <c r="BG62" s="25" t="e">
        <f t="shared" si="15"/>
        <v>#N/A</v>
      </c>
      <c r="BH62" s="25" t="e">
        <f t="shared" si="16"/>
        <v>#N/A</v>
      </c>
      <c r="BI62" s="25" t="e">
        <f t="shared" si="17"/>
        <v>#N/A</v>
      </c>
      <c r="BJ62" s="27" t="e">
        <f t="shared" si="18"/>
        <v>#N/A</v>
      </c>
      <c r="BK62" s="18" t="e">
        <f t="shared" si="19"/>
        <v>#N/A</v>
      </c>
      <c r="BL62" s="18" t="e">
        <f t="shared" si="20"/>
        <v>#N/A</v>
      </c>
      <c r="BM62" s="28" t="e">
        <f t="shared" si="84"/>
        <v>#N/A</v>
      </c>
      <c r="BN62" s="33">
        <f>HLOOKUP("maximum population",Miscelaneous!$C$1:$C$33,CH62+3,FALSE)</f>
        <v>240</v>
      </c>
      <c r="BO62" s="14">
        <f t="shared" si="36"/>
        <v>32</v>
      </c>
      <c r="BP62" s="14">
        <f t="shared" si="37"/>
        <v>0</v>
      </c>
      <c r="BQ62" s="14">
        <f t="shared" si="38"/>
        <v>208</v>
      </c>
      <c r="BR62" s="34" t="e">
        <f>HLOOKUP(J62,Villagers!$B$1:$V$33,L62+3,FALSE)-HLOOKUP(J62,Villagers!$B$1:$V$33,L62+2,FALSE)</f>
        <v>#N/A</v>
      </c>
      <c r="BS62" s="49">
        <f t="shared" si="39"/>
        <v>1</v>
      </c>
      <c r="BT62" s="50">
        <f t="shared" si="40"/>
        <v>0</v>
      </c>
      <c r="BU62" s="50">
        <f t="shared" si="41"/>
        <v>0</v>
      </c>
      <c r="BV62" s="50">
        <f t="shared" si="86"/>
        <v>0</v>
      </c>
      <c r="BW62" s="50">
        <f t="shared" si="87"/>
        <v>0</v>
      </c>
      <c r="BX62" s="50">
        <f t="shared" si="88"/>
        <v>0</v>
      </c>
      <c r="BY62" s="50">
        <f t="shared" si="88"/>
        <v>0</v>
      </c>
      <c r="BZ62" s="50">
        <f t="shared" si="45"/>
        <v>0</v>
      </c>
      <c r="CA62" s="50">
        <f t="shared" si="46"/>
        <v>0</v>
      </c>
      <c r="CB62" s="50">
        <f t="shared" si="47"/>
        <v>1</v>
      </c>
      <c r="CC62" s="50">
        <f t="shared" si="48"/>
        <v>0</v>
      </c>
      <c r="CD62" s="50">
        <f t="shared" si="49"/>
        <v>0</v>
      </c>
      <c r="CE62" s="50">
        <f t="shared" si="50"/>
        <v>1</v>
      </c>
      <c r="CF62" s="50">
        <f t="shared" si="51"/>
        <v>1</v>
      </c>
      <c r="CG62" s="50">
        <f t="shared" si="52"/>
        <v>1</v>
      </c>
      <c r="CH62" s="50">
        <f t="shared" si="53"/>
        <v>1</v>
      </c>
      <c r="CI62" s="50">
        <f t="shared" si="54"/>
        <v>1</v>
      </c>
      <c r="CJ62" s="50">
        <f t="shared" si="55"/>
        <v>1</v>
      </c>
      <c r="CK62" s="50">
        <f t="shared" si="56"/>
        <v>0</v>
      </c>
      <c r="CL62" s="50">
        <f t="shared" si="55"/>
        <v>0</v>
      </c>
      <c r="CM62" s="51">
        <f t="shared" si="57"/>
        <v>0</v>
      </c>
      <c r="CN62" s="33">
        <f>ROUND(IF(BS62=0,0,HLOOKUP(BS$14,Villagers!$B$1:$V$33,BS62+3,FALSE)),)</f>
        <v>5</v>
      </c>
      <c r="CO62" s="14">
        <f>ROUND(IF(BT62=0,0,HLOOKUP(BT$14,Villagers!$B$1:$V$33,BT62+3,FALSE)),)</f>
        <v>0</v>
      </c>
      <c r="CP62" s="14">
        <f>ROUND(IF(BU62=0,0,HLOOKUP(BU$14,Villagers!$B$1:$V$33,BU62+3,FALSE)),)</f>
        <v>0</v>
      </c>
      <c r="CQ62" s="14">
        <f>ROUND(IF(BV62=0,0,HLOOKUP(BV$14,Villagers!$B$1:$V$33,BV62+3,FALSE)),)</f>
        <v>0</v>
      </c>
      <c r="CR62" s="14">
        <f>ROUND(IF(BW62=0,0,HLOOKUP(BW$14,Villagers!$B$1:$V$33,BW62+3,FALSE)),)</f>
        <v>0</v>
      </c>
      <c r="CS62" s="14">
        <f>ROUND(IF(BX62=0,0,HLOOKUP(BX$14,Villagers!$B$1:$V$33,BX62+3,FALSE)),)</f>
        <v>0</v>
      </c>
      <c r="CT62" s="14">
        <f>ROUND(IF(BY62=0,0,HLOOKUP(BY$14,Villagers!$B$1:$V$33,BY62+3,FALSE)),)</f>
        <v>0</v>
      </c>
      <c r="CU62" s="14">
        <f>ROUND(IF(BZ62=0,0,HLOOKUP(BZ$14,Villagers!$B$1:$V$33,BZ62+3,FALSE)),)</f>
        <v>0</v>
      </c>
      <c r="CV62" s="14">
        <f>ROUND(IF(CA62=0,0,HLOOKUP(CA$14,Villagers!$B$1:$V$33,CA62+3,FALSE)),)</f>
        <v>0</v>
      </c>
      <c r="CW62" s="14">
        <f>ROUND(IF(CB62=0,0,HLOOKUP(CB$14,Villagers!$B$1:$V$33,CB62+3,FALSE)),)</f>
        <v>0</v>
      </c>
      <c r="CX62" s="14">
        <f>ROUND(IF(CC62=0,0,HLOOKUP(CC$14,Villagers!$B$1:$V$33,CC62+3,FALSE)),)</f>
        <v>0</v>
      </c>
      <c r="CY62" s="14">
        <f>ROUND(IF(CD62=0,0,HLOOKUP(CD$14,Villagers!$B$1:$V$33,CD62+3,FALSE)),)</f>
        <v>0</v>
      </c>
      <c r="CZ62" s="14">
        <f>ROUND(IF(CE62=0,0,HLOOKUP(CE$14,Villagers!$B$1:$V$33,CE62+3,FALSE)),)</f>
        <v>5</v>
      </c>
      <c r="DA62" s="14">
        <f>ROUND(IF(CF62=0,0,HLOOKUP(CF$14,Villagers!$B$1:$V$33,CF62+3,FALSE)),)</f>
        <v>10</v>
      </c>
      <c r="DB62" s="14">
        <f>ROUND(IF(CG62=0,0,HLOOKUP(CG$14,Villagers!$B$1:$V$33,CG62+3,FALSE)),)</f>
        <v>10</v>
      </c>
      <c r="DC62" s="14">
        <f>ROUND(IF(CH62=0,0,HLOOKUP(CH$14,Villagers!$B$1:$V$33,CH62+3,FALSE)),)</f>
        <v>0</v>
      </c>
      <c r="DD62" s="14">
        <f>ROUND(IF(CI62=0,0,HLOOKUP(CI$14,Villagers!$B$1:$V$33,CI62+3,FALSE)),)</f>
        <v>0</v>
      </c>
      <c r="DE62" s="14">
        <f>ROUND(IF(CJ62=0,0,HLOOKUP(CJ$14,Villagers!$B$1:$V$33,CJ62+3,FALSE)),)</f>
        <v>2</v>
      </c>
      <c r="DF62" s="370">
        <f>ROUND(IF(CK62=0,0,HLOOKUP(CK$14,Villagers!$B$1:$V$33,CK62+3,FALSE)),)</f>
        <v>0</v>
      </c>
      <c r="DG62" s="370">
        <f>ROUND(IF(CL62=0,0,HLOOKUP(CL$14,Villagers!$B$1:$V$33,CL62+3,FALSE)),)</f>
        <v>0</v>
      </c>
      <c r="DH62" s="34">
        <f>ROUND(IF(CM62=0,0,HLOOKUP(CM$14,Villagers!$B$1:$V$33,CM62+3,FALSE)),)</f>
        <v>0</v>
      </c>
      <c r="DI62" s="109">
        <f t="shared" si="73"/>
        <v>0</v>
      </c>
      <c r="DJ62" s="50">
        <f t="shared" si="74"/>
        <v>0</v>
      </c>
      <c r="DK62" s="50">
        <f t="shared" si="75"/>
        <v>0</v>
      </c>
      <c r="DL62" s="50">
        <f t="shared" si="76"/>
        <v>0</v>
      </c>
      <c r="DM62" s="50">
        <f t="shared" si="77"/>
        <v>0</v>
      </c>
      <c r="DN62" s="50">
        <f t="shared" si="78"/>
        <v>0</v>
      </c>
      <c r="DO62" s="50">
        <f t="shared" si="79"/>
        <v>0</v>
      </c>
      <c r="DP62" s="50">
        <f t="shared" si="80"/>
        <v>0</v>
      </c>
      <c r="DQ62" s="50">
        <f t="shared" si="59"/>
        <v>0</v>
      </c>
      <c r="DR62" s="50">
        <f t="shared" si="60"/>
        <v>0</v>
      </c>
      <c r="DS62" s="96">
        <f>Miscelaneous!$D$4*Miscelaneous!$D$2^($CI62-1)</f>
        <v>1000</v>
      </c>
      <c r="DT62" s="333">
        <f t="shared" si="61"/>
        <v>1</v>
      </c>
      <c r="DU62" s="81">
        <v>1</v>
      </c>
      <c r="DV62" s="79">
        <f t="shared" si="62"/>
        <v>0</v>
      </c>
      <c r="DW62" s="79">
        <f t="shared" si="23"/>
        <v>0</v>
      </c>
      <c r="DX62" s="79">
        <f t="shared" si="63"/>
        <v>0</v>
      </c>
      <c r="DY62" s="79">
        <v>1</v>
      </c>
      <c r="DZ62" s="79">
        <f t="shared" si="24"/>
        <v>0</v>
      </c>
      <c r="EA62" s="79">
        <f t="shared" si="64"/>
        <v>0</v>
      </c>
      <c r="EB62" s="79">
        <f t="shared" si="65"/>
        <v>0</v>
      </c>
      <c r="EC62" s="79">
        <f t="shared" si="66"/>
        <v>0</v>
      </c>
      <c r="ED62" s="79">
        <v>1</v>
      </c>
      <c r="EE62" s="79">
        <v>1</v>
      </c>
      <c r="EF62" s="79">
        <f t="shared" si="67"/>
        <v>0</v>
      </c>
      <c r="EG62" s="79">
        <v>1</v>
      </c>
      <c r="EH62" s="79">
        <v>1</v>
      </c>
      <c r="EI62" s="79">
        <v>1</v>
      </c>
      <c r="EJ62" s="79">
        <v>1</v>
      </c>
      <c r="EK62" s="79">
        <v>1</v>
      </c>
      <c r="EL62" s="79">
        <v>1</v>
      </c>
      <c r="EM62" s="143">
        <f t="shared" si="68"/>
        <v>0</v>
      </c>
      <c r="EN62" s="143">
        <f t="shared" si="69"/>
        <v>0</v>
      </c>
      <c r="EO62" s="82">
        <f t="shared" si="70"/>
        <v>0</v>
      </c>
    </row>
    <row r="63" spans="1:145" x14ac:dyDescent="0.25">
      <c r="A63">
        <v>49</v>
      </c>
      <c r="B63" s="172" t="e">
        <f t="shared" si="25"/>
        <v>#N/A</v>
      </c>
      <c r="C63" s="121" t="e">
        <f t="shared" si="0"/>
        <v>#N/A</v>
      </c>
      <c r="D63" s="122" t="e">
        <f t="shared" si="1"/>
        <v>#N/A</v>
      </c>
      <c r="E63" s="122" t="e">
        <f t="shared" si="2"/>
        <v>#N/A</v>
      </c>
      <c r="F63" s="176" t="e">
        <f t="shared" si="3"/>
        <v>#N/A</v>
      </c>
      <c r="G63" s="121">
        <f t="shared" si="26"/>
        <v>208</v>
      </c>
      <c r="H63" s="176" t="e">
        <f t="shared" si="27"/>
        <v>#N/A</v>
      </c>
      <c r="I63" s="48">
        <v>1</v>
      </c>
      <c r="J63" s="39"/>
      <c r="K63" s="350">
        <v>1</v>
      </c>
      <c r="L63" s="34" t="e">
        <f t="shared" si="4"/>
        <v>#N/A</v>
      </c>
      <c r="M63" s="38" t="e">
        <f>(HLOOKUP(J63,'Construction Times'!$B$3:$W$34,L63+2,FALSE)*HLOOKUP("hq modifier",'Construction Times'!$W$3:$W$34,BS63+2,FALSE))*(1-$H$9)</f>
        <v>#N/A</v>
      </c>
      <c r="N63" s="443" t="e">
        <f t="shared" si="28"/>
        <v>#N/A</v>
      </c>
      <c r="O63" s="444"/>
      <c r="P63" s="447" t="e">
        <f t="shared" si="29"/>
        <v>#N/A</v>
      </c>
      <c r="Q63" s="448"/>
      <c r="R63" s="103">
        <f t="shared" si="71"/>
        <v>0</v>
      </c>
      <c r="S63" s="104">
        <f t="shared" si="71"/>
        <v>0</v>
      </c>
      <c r="T63" s="104">
        <f t="shared" si="72"/>
        <v>0</v>
      </c>
      <c r="U63" s="104">
        <f t="shared" si="72"/>
        <v>0</v>
      </c>
      <c r="V63" s="104">
        <f t="shared" si="72"/>
        <v>9.9999999999999995E-8</v>
      </c>
      <c r="W63" s="104">
        <f t="shared" si="72"/>
        <v>0</v>
      </c>
      <c r="X63" s="104">
        <f t="shared" si="85"/>
        <v>0</v>
      </c>
      <c r="Y63" s="104">
        <f t="shared" si="85"/>
        <v>9.9999999999999995E-8</v>
      </c>
      <c r="Z63" s="104">
        <f t="shared" si="85"/>
        <v>9.9999999999999995E-8</v>
      </c>
      <c r="AA63" s="105">
        <f t="shared" si="85"/>
        <v>9.9999999999999995E-8</v>
      </c>
      <c r="AB63" s="101" t="e">
        <f>$DT63*HLOOKUP($J63,'Construction Costs (timber)'!$B$1:$V$32,'Construction Planner'!$L63+2,FALSE)</f>
        <v>#N/A</v>
      </c>
      <c r="AC63" s="14" t="e">
        <f>$DT63*HLOOKUP($J63,'Construction Costs (clay)'!$B$1:$V$32,'Construction Planner'!$L63+2,FALSE)</f>
        <v>#N/A</v>
      </c>
      <c r="AD63" s="14" t="e">
        <f>$DT63*HLOOKUP($J63,'Construction Costs (iron)'!$B$1:$V$32,'Construction Planner'!$L63+2,FALSE)</f>
        <v>#N/A</v>
      </c>
      <c r="AE63" s="34" t="e">
        <f t="shared" si="81"/>
        <v>#N/A</v>
      </c>
      <c r="AF63" s="33" t="e">
        <f t="shared" si="5"/>
        <v>#N/A</v>
      </c>
      <c r="AG63" s="14" t="e">
        <f t="shared" si="6"/>
        <v>#N/A</v>
      </c>
      <c r="AH63" s="14" t="e">
        <f t="shared" si="7"/>
        <v>#N/A</v>
      </c>
      <c r="AI63" s="34" t="e">
        <f t="shared" si="82"/>
        <v>#N/A</v>
      </c>
      <c r="AJ63" s="49" t="e">
        <f t="shared" si="32"/>
        <v>#N/A</v>
      </c>
      <c r="AK63" s="49" t="e">
        <f t="shared" si="33"/>
        <v>#N/A</v>
      </c>
      <c r="AL63" s="49" t="e">
        <f t="shared" si="34"/>
        <v>#N/A</v>
      </c>
      <c r="AM63" s="25">
        <f t="shared" si="8"/>
        <v>30</v>
      </c>
      <c r="AN63" s="25">
        <f t="shared" si="9"/>
        <v>30</v>
      </c>
      <c r="AO63" s="25">
        <f t="shared" si="10"/>
        <v>30</v>
      </c>
      <c r="AP63" s="52" t="e">
        <f t="shared" si="35"/>
        <v>#N/A</v>
      </c>
      <c r="AQ63" s="53" t="e">
        <f t="shared" si="35"/>
        <v>#N/A</v>
      </c>
      <c r="AR63" s="54" t="e">
        <f t="shared" si="35"/>
        <v>#N/A</v>
      </c>
      <c r="AS63" s="316">
        <f t="shared" si="83"/>
        <v>0</v>
      </c>
      <c r="AT63" s="106">
        <f>_xlfn.IFNA($M63/VLOOKUP($BT63,'Unit information'!$A$2:$K$29,2,FALSE)*R63,0)*(1+$E$9)</f>
        <v>0</v>
      </c>
      <c r="AU63" s="107">
        <f>_xlfn.IFNA($M63/VLOOKUP($BT63,'Unit information'!$A$2:$K$29,3,FALSE)*S63,0)*(1+$E$9)</f>
        <v>0</v>
      </c>
      <c r="AV63" s="107">
        <f>_xlfn.IFNA($M63/VLOOKUP($BT63,'Unit information'!$A$2:$K$29,4,FALSE)*T63,0)*(1+$E$9)</f>
        <v>0</v>
      </c>
      <c r="AW63" s="107">
        <f>_xlfn.IFNA($M63/VLOOKUP($BT63,'Unit information'!$A$2:$K$29,5,FALSE)*U63,0)*(1+$E$9)</f>
        <v>0</v>
      </c>
      <c r="AX63" s="107">
        <f>_xlfn.IFNA($M63/VLOOKUP($BU63,'Unit information'!$A$2:$K$29,6,FALSE)*V63,0)*(1+$E$9)</f>
        <v>0</v>
      </c>
      <c r="AY63" s="107">
        <f>_xlfn.IFNA($M63/VLOOKUP($BU63,'Unit information'!$A$2:$K$29,7,FALSE)*W63,0)*(1+$E$9)</f>
        <v>0</v>
      </c>
      <c r="AZ63" s="107">
        <f>_xlfn.IFNA($M63/VLOOKUP($BU63,'Unit information'!$A$2:$K$29,8,FALSE)*X63,0)*(1+$E$9)</f>
        <v>0</v>
      </c>
      <c r="BA63" s="107">
        <f>_xlfn.IFNA($M63/VLOOKUP($BU63,'Unit information'!$A$2:$K$29,9,FALSE)*Y63,0)*(1+$E$9)</f>
        <v>0</v>
      </c>
      <c r="BB63" s="107">
        <f>_xlfn.IFNA($M63/VLOOKUP($BV63,'Unit information'!$A$2:$K$29,10,FALSE)*Z63,0)*(1+$E$9)</f>
        <v>0</v>
      </c>
      <c r="BC63" s="108">
        <f>_xlfn.IFNA($M63/VLOOKUP($BV63,'Unit information'!$A$2:$K$29,11,FALSE)*AA63,0)*(1+$E$9)</f>
        <v>0</v>
      </c>
      <c r="BD63" s="106">
        <f t="shared" si="12"/>
        <v>0</v>
      </c>
      <c r="BE63" s="107">
        <f t="shared" si="13"/>
        <v>0</v>
      </c>
      <c r="BF63" s="108">
        <f t="shared" si="14"/>
        <v>0</v>
      </c>
      <c r="BG63" s="25" t="e">
        <f t="shared" si="15"/>
        <v>#N/A</v>
      </c>
      <c r="BH63" s="25" t="e">
        <f t="shared" si="16"/>
        <v>#N/A</v>
      </c>
      <c r="BI63" s="25" t="e">
        <f t="shared" si="17"/>
        <v>#N/A</v>
      </c>
      <c r="BJ63" s="27" t="e">
        <f t="shared" si="18"/>
        <v>#N/A</v>
      </c>
      <c r="BK63" s="18" t="e">
        <f t="shared" si="19"/>
        <v>#N/A</v>
      </c>
      <c r="BL63" s="18" t="e">
        <f t="shared" si="20"/>
        <v>#N/A</v>
      </c>
      <c r="BM63" s="28" t="e">
        <f t="shared" si="84"/>
        <v>#N/A</v>
      </c>
      <c r="BN63" s="33">
        <f>HLOOKUP("maximum population",Miscelaneous!$C$1:$C$33,CH63+3,FALSE)</f>
        <v>240</v>
      </c>
      <c r="BO63" s="14">
        <f t="shared" si="36"/>
        <v>32</v>
      </c>
      <c r="BP63" s="14">
        <f t="shared" si="37"/>
        <v>0</v>
      </c>
      <c r="BQ63" s="14">
        <f t="shared" si="38"/>
        <v>208</v>
      </c>
      <c r="BR63" s="34" t="e">
        <f>HLOOKUP(J63,Villagers!$B$1:$V$33,L63+3,FALSE)-HLOOKUP(J63,Villagers!$B$1:$V$33,L63+2,FALSE)</f>
        <v>#N/A</v>
      </c>
      <c r="BS63" s="49">
        <f t="shared" si="39"/>
        <v>1</v>
      </c>
      <c r="BT63" s="50">
        <f t="shared" si="40"/>
        <v>0</v>
      </c>
      <c r="BU63" s="50">
        <f t="shared" si="41"/>
        <v>0</v>
      </c>
      <c r="BV63" s="50">
        <f t="shared" si="86"/>
        <v>0</v>
      </c>
      <c r="BW63" s="50">
        <f t="shared" si="87"/>
        <v>0</v>
      </c>
      <c r="BX63" s="50">
        <f t="shared" si="88"/>
        <v>0</v>
      </c>
      <c r="BY63" s="50">
        <f t="shared" si="88"/>
        <v>0</v>
      </c>
      <c r="BZ63" s="50">
        <f t="shared" si="45"/>
        <v>0</v>
      </c>
      <c r="CA63" s="50">
        <f t="shared" si="46"/>
        <v>0</v>
      </c>
      <c r="CB63" s="50">
        <f t="shared" si="47"/>
        <v>1</v>
      </c>
      <c r="CC63" s="50">
        <f t="shared" si="48"/>
        <v>0</v>
      </c>
      <c r="CD63" s="50">
        <f t="shared" si="49"/>
        <v>0</v>
      </c>
      <c r="CE63" s="50">
        <f t="shared" si="50"/>
        <v>1</v>
      </c>
      <c r="CF63" s="50">
        <f t="shared" si="51"/>
        <v>1</v>
      </c>
      <c r="CG63" s="50">
        <f t="shared" si="52"/>
        <v>1</v>
      </c>
      <c r="CH63" s="50">
        <f t="shared" si="53"/>
        <v>1</v>
      </c>
      <c r="CI63" s="50">
        <f t="shared" si="54"/>
        <v>1</v>
      </c>
      <c r="CJ63" s="50">
        <f t="shared" si="55"/>
        <v>1</v>
      </c>
      <c r="CK63" s="50">
        <f t="shared" si="56"/>
        <v>0</v>
      </c>
      <c r="CL63" s="50">
        <f t="shared" si="55"/>
        <v>0</v>
      </c>
      <c r="CM63" s="51">
        <f t="shared" si="57"/>
        <v>0</v>
      </c>
      <c r="CN63" s="33">
        <f>ROUND(IF(BS63=0,0,HLOOKUP(BS$14,Villagers!$B$1:$V$33,BS63+3,FALSE)),)</f>
        <v>5</v>
      </c>
      <c r="CO63" s="14">
        <f>ROUND(IF(BT63=0,0,HLOOKUP(BT$14,Villagers!$B$1:$V$33,BT63+3,FALSE)),)</f>
        <v>0</v>
      </c>
      <c r="CP63" s="14">
        <f>ROUND(IF(BU63=0,0,HLOOKUP(BU$14,Villagers!$B$1:$V$33,BU63+3,FALSE)),)</f>
        <v>0</v>
      </c>
      <c r="CQ63" s="14">
        <f>ROUND(IF(BV63=0,0,HLOOKUP(BV$14,Villagers!$B$1:$V$33,BV63+3,FALSE)),)</f>
        <v>0</v>
      </c>
      <c r="CR63" s="14">
        <f>ROUND(IF(BW63=0,0,HLOOKUP(BW$14,Villagers!$B$1:$V$33,BW63+3,FALSE)),)</f>
        <v>0</v>
      </c>
      <c r="CS63" s="14">
        <f>ROUND(IF(BX63=0,0,HLOOKUP(BX$14,Villagers!$B$1:$V$33,BX63+3,FALSE)),)</f>
        <v>0</v>
      </c>
      <c r="CT63" s="14">
        <f>ROUND(IF(BY63=0,0,HLOOKUP(BY$14,Villagers!$B$1:$V$33,BY63+3,FALSE)),)</f>
        <v>0</v>
      </c>
      <c r="CU63" s="14">
        <f>ROUND(IF(BZ63=0,0,HLOOKUP(BZ$14,Villagers!$B$1:$V$33,BZ63+3,FALSE)),)</f>
        <v>0</v>
      </c>
      <c r="CV63" s="14">
        <f>ROUND(IF(CA63=0,0,HLOOKUP(CA$14,Villagers!$B$1:$V$33,CA63+3,FALSE)),)</f>
        <v>0</v>
      </c>
      <c r="CW63" s="14">
        <f>ROUND(IF(CB63=0,0,HLOOKUP(CB$14,Villagers!$B$1:$V$33,CB63+3,FALSE)),)</f>
        <v>0</v>
      </c>
      <c r="CX63" s="14">
        <f>ROUND(IF(CC63=0,0,HLOOKUP(CC$14,Villagers!$B$1:$V$33,CC63+3,FALSE)),)</f>
        <v>0</v>
      </c>
      <c r="CY63" s="14">
        <f>ROUND(IF(CD63=0,0,HLOOKUP(CD$14,Villagers!$B$1:$V$33,CD63+3,FALSE)),)</f>
        <v>0</v>
      </c>
      <c r="CZ63" s="14">
        <f>ROUND(IF(CE63=0,0,HLOOKUP(CE$14,Villagers!$B$1:$V$33,CE63+3,FALSE)),)</f>
        <v>5</v>
      </c>
      <c r="DA63" s="14">
        <f>ROUND(IF(CF63=0,0,HLOOKUP(CF$14,Villagers!$B$1:$V$33,CF63+3,FALSE)),)</f>
        <v>10</v>
      </c>
      <c r="DB63" s="14">
        <f>ROUND(IF(CG63=0,0,HLOOKUP(CG$14,Villagers!$B$1:$V$33,CG63+3,FALSE)),)</f>
        <v>10</v>
      </c>
      <c r="DC63" s="14">
        <f>ROUND(IF(CH63=0,0,HLOOKUP(CH$14,Villagers!$B$1:$V$33,CH63+3,FALSE)),)</f>
        <v>0</v>
      </c>
      <c r="DD63" s="14">
        <f>ROUND(IF(CI63=0,0,HLOOKUP(CI$14,Villagers!$B$1:$V$33,CI63+3,FALSE)),)</f>
        <v>0</v>
      </c>
      <c r="DE63" s="14">
        <f>ROUND(IF(CJ63=0,0,HLOOKUP(CJ$14,Villagers!$B$1:$V$33,CJ63+3,FALSE)),)</f>
        <v>2</v>
      </c>
      <c r="DF63" s="370">
        <f>ROUND(IF(CK63=0,0,HLOOKUP(CK$14,Villagers!$B$1:$V$33,CK63+3,FALSE)),)</f>
        <v>0</v>
      </c>
      <c r="DG63" s="370">
        <f>ROUND(IF(CL63=0,0,HLOOKUP(CL$14,Villagers!$B$1:$V$33,CL63+3,FALSE)),)</f>
        <v>0</v>
      </c>
      <c r="DH63" s="34">
        <f>ROUND(IF(CM63=0,0,HLOOKUP(CM$14,Villagers!$B$1:$V$33,CM63+3,FALSE)),)</f>
        <v>0</v>
      </c>
      <c r="DI63" s="109">
        <f t="shared" si="73"/>
        <v>0</v>
      </c>
      <c r="DJ63" s="50">
        <f t="shared" si="74"/>
        <v>0</v>
      </c>
      <c r="DK63" s="50">
        <f t="shared" si="75"/>
        <v>0</v>
      </c>
      <c r="DL63" s="50">
        <f t="shared" si="76"/>
        <v>0</v>
      </c>
      <c r="DM63" s="50">
        <f t="shared" si="77"/>
        <v>0</v>
      </c>
      <c r="DN63" s="50">
        <f t="shared" si="78"/>
        <v>0</v>
      </c>
      <c r="DO63" s="50">
        <f t="shared" si="79"/>
        <v>0</v>
      </c>
      <c r="DP63" s="50">
        <f t="shared" si="80"/>
        <v>0</v>
      </c>
      <c r="DQ63" s="50">
        <f t="shared" si="59"/>
        <v>0</v>
      </c>
      <c r="DR63" s="50">
        <f t="shared" si="60"/>
        <v>0</v>
      </c>
      <c r="DS63" s="96">
        <f>Miscelaneous!$D$4*Miscelaneous!$D$2^($CI63-1)</f>
        <v>1000</v>
      </c>
      <c r="DT63" s="333">
        <f t="shared" si="61"/>
        <v>1</v>
      </c>
      <c r="DU63" s="81">
        <v>1</v>
      </c>
      <c r="DV63" s="79">
        <f t="shared" si="62"/>
        <v>0</v>
      </c>
      <c r="DW63" s="79">
        <f t="shared" si="23"/>
        <v>0</v>
      </c>
      <c r="DX63" s="79">
        <f t="shared" si="63"/>
        <v>0</v>
      </c>
      <c r="DY63" s="79">
        <v>1</v>
      </c>
      <c r="DZ63" s="79">
        <f t="shared" si="24"/>
        <v>0</v>
      </c>
      <c r="EA63" s="79">
        <f t="shared" si="64"/>
        <v>0</v>
      </c>
      <c r="EB63" s="79">
        <f t="shared" si="65"/>
        <v>0</v>
      </c>
      <c r="EC63" s="79">
        <f t="shared" si="66"/>
        <v>0</v>
      </c>
      <c r="ED63" s="79">
        <v>1</v>
      </c>
      <c r="EE63" s="79">
        <v>1</v>
      </c>
      <c r="EF63" s="79">
        <f t="shared" si="67"/>
        <v>0</v>
      </c>
      <c r="EG63" s="79">
        <v>1</v>
      </c>
      <c r="EH63" s="79">
        <v>1</v>
      </c>
      <c r="EI63" s="79">
        <v>1</v>
      </c>
      <c r="EJ63" s="79">
        <v>1</v>
      </c>
      <c r="EK63" s="79">
        <v>1</v>
      </c>
      <c r="EL63" s="79">
        <v>1</v>
      </c>
      <c r="EM63" s="143">
        <f t="shared" si="68"/>
        <v>0</v>
      </c>
      <c r="EN63" s="143">
        <f t="shared" si="69"/>
        <v>0</v>
      </c>
      <c r="EO63" s="82">
        <f t="shared" si="70"/>
        <v>0</v>
      </c>
    </row>
    <row r="64" spans="1:145" x14ac:dyDescent="0.25">
      <c r="A64">
        <v>50</v>
      </c>
      <c r="B64" s="172" t="e">
        <f t="shared" si="25"/>
        <v>#N/A</v>
      </c>
      <c r="C64" s="121" t="e">
        <f t="shared" si="0"/>
        <v>#N/A</v>
      </c>
      <c r="D64" s="122" t="e">
        <f t="shared" si="1"/>
        <v>#N/A</v>
      </c>
      <c r="E64" s="122" t="e">
        <f t="shared" si="2"/>
        <v>#N/A</v>
      </c>
      <c r="F64" s="176" t="e">
        <f t="shared" si="3"/>
        <v>#N/A</v>
      </c>
      <c r="G64" s="121">
        <f t="shared" si="26"/>
        <v>208</v>
      </c>
      <c r="H64" s="176" t="e">
        <f t="shared" si="27"/>
        <v>#N/A</v>
      </c>
      <c r="I64" s="48">
        <v>1</v>
      </c>
      <c r="J64" s="39"/>
      <c r="K64" s="350">
        <v>1</v>
      </c>
      <c r="L64" s="34" t="e">
        <f t="shared" si="4"/>
        <v>#N/A</v>
      </c>
      <c r="M64" s="38" t="e">
        <f>(HLOOKUP(J64,'Construction Times'!$B$3:$W$34,L64+2,FALSE)*HLOOKUP("hq modifier",'Construction Times'!$W$3:$W$34,BS64+2,FALSE))*(1-$H$9)</f>
        <v>#N/A</v>
      </c>
      <c r="N64" s="443" t="e">
        <f t="shared" si="28"/>
        <v>#N/A</v>
      </c>
      <c r="O64" s="444"/>
      <c r="P64" s="447" t="e">
        <f t="shared" si="29"/>
        <v>#N/A</v>
      </c>
      <c r="Q64" s="448"/>
      <c r="R64" s="103">
        <f t="shared" si="71"/>
        <v>0</v>
      </c>
      <c r="S64" s="104">
        <f t="shared" si="71"/>
        <v>0</v>
      </c>
      <c r="T64" s="104">
        <f t="shared" si="72"/>
        <v>0</v>
      </c>
      <c r="U64" s="104">
        <f t="shared" si="72"/>
        <v>0</v>
      </c>
      <c r="V64" s="104">
        <f t="shared" si="72"/>
        <v>9.9999999999999995E-8</v>
      </c>
      <c r="W64" s="104">
        <f t="shared" si="72"/>
        <v>0</v>
      </c>
      <c r="X64" s="104">
        <f t="shared" si="85"/>
        <v>0</v>
      </c>
      <c r="Y64" s="104">
        <f t="shared" si="85"/>
        <v>9.9999999999999995E-8</v>
      </c>
      <c r="Z64" s="104">
        <f t="shared" si="85"/>
        <v>9.9999999999999995E-8</v>
      </c>
      <c r="AA64" s="105">
        <f t="shared" si="85"/>
        <v>9.9999999999999995E-8</v>
      </c>
      <c r="AB64" s="101" t="e">
        <f>$DT64*HLOOKUP($J64,'Construction Costs (timber)'!$B$1:$V$32,'Construction Planner'!$L64+2,FALSE)</f>
        <v>#N/A</v>
      </c>
      <c r="AC64" s="14" t="e">
        <f>$DT64*HLOOKUP($J64,'Construction Costs (clay)'!$B$1:$V$32,'Construction Planner'!$L64+2,FALSE)</f>
        <v>#N/A</v>
      </c>
      <c r="AD64" s="14" t="e">
        <f>$DT64*HLOOKUP($J64,'Construction Costs (iron)'!$B$1:$V$32,'Construction Planner'!$L64+2,FALSE)</f>
        <v>#N/A</v>
      </c>
      <c r="AE64" s="34" t="e">
        <f t="shared" si="81"/>
        <v>#N/A</v>
      </c>
      <c r="AF64" s="33" t="e">
        <f t="shared" si="5"/>
        <v>#N/A</v>
      </c>
      <c r="AG64" s="14" t="e">
        <f t="shared" si="6"/>
        <v>#N/A</v>
      </c>
      <c r="AH64" s="14" t="e">
        <f t="shared" si="7"/>
        <v>#N/A</v>
      </c>
      <c r="AI64" s="34" t="e">
        <f t="shared" si="82"/>
        <v>#N/A</v>
      </c>
      <c r="AJ64" s="49" t="e">
        <f t="shared" si="32"/>
        <v>#N/A</v>
      </c>
      <c r="AK64" s="49" t="e">
        <f t="shared" si="33"/>
        <v>#N/A</v>
      </c>
      <c r="AL64" s="49" t="e">
        <f t="shared" si="34"/>
        <v>#N/A</v>
      </c>
      <c r="AM64" s="25">
        <f t="shared" si="8"/>
        <v>30</v>
      </c>
      <c r="AN64" s="25">
        <f t="shared" si="9"/>
        <v>30</v>
      </c>
      <c r="AO64" s="25">
        <f t="shared" si="10"/>
        <v>30</v>
      </c>
      <c r="AP64" s="52" t="e">
        <f t="shared" si="35"/>
        <v>#N/A</v>
      </c>
      <c r="AQ64" s="53" t="e">
        <f t="shared" si="35"/>
        <v>#N/A</v>
      </c>
      <c r="AR64" s="54" t="e">
        <f t="shared" si="35"/>
        <v>#N/A</v>
      </c>
      <c r="AS64" s="316">
        <f t="shared" si="83"/>
        <v>0</v>
      </c>
      <c r="AT64" s="106">
        <f>_xlfn.IFNA($M64/VLOOKUP($BT64,'Unit information'!$A$2:$K$29,2,FALSE)*R64,0)*(1+$E$9)</f>
        <v>0</v>
      </c>
      <c r="AU64" s="107">
        <f>_xlfn.IFNA($M64/VLOOKUP($BT64,'Unit information'!$A$2:$K$29,3,FALSE)*S64,0)*(1+$E$9)</f>
        <v>0</v>
      </c>
      <c r="AV64" s="107">
        <f>_xlfn.IFNA($M64/VLOOKUP($BT64,'Unit information'!$A$2:$K$29,4,FALSE)*T64,0)*(1+$E$9)</f>
        <v>0</v>
      </c>
      <c r="AW64" s="107">
        <f>_xlfn.IFNA($M64/VLOOKUP($BT64,'Unit information'!$A$2:$K$29,5,FALSE)*U64,0)*(1+$E$9)</f>
        <v>0</v>
      </c>
      <c r="AX64" s="107">
        <f>_xlfn.IFNA($M64/VLOOKUP($BU64,'Unit information'!$A$2:$K$29,6,FALSE)*V64,0)*(1+$E$9)</f>
        <v>0</v>
      </c>
      <c r="AY64" s="107">
        <f>_xlfn.IFNA($M64/VLOOKUP($BU64,'Unit information'!$A$2:$K$29,7,FALSE)*W64,0)*(1+$E$9)</f>
        <v>0</v>
      </c>
      <c r="AZ64" s="107">
        <f>_xlfn.IFNA($M64/VLOOKUP($BU64,'Unit information'!$A$2:$K$29,8,FALSE)*X64,0)*(1+$E$9)</f>
        <v>0</v>
      </c>
      <c r="BA64" s="107">
        <f>_xlfn.IFNA($M64/VLOOKUP($BU64,'Unit information'!$A$2:$K$29,9,FALSE)*Y64,0)*(1+$E$9)</f>
        <v>0</v>
      </c>
      <c r="BB64" s="107">
        <f>_xlfn.IFNA($M64/VLOOKUP($BV64,'Unit information'!$A$2:$K$29,10,FALSE)*Z64,0)*(1+$E$9)</f>
        <v>0</v>
      </c>
      <c r="BC64" s="108">
        <f>_xlfn.IFNA($M64/VLOOKUP($BV64,'Unit information'!$A$2:$K$29,11,FALSE)*AA64,0)*(1+$E$9)</f>
        <v>0</v>
      </c>
      <c r="BD64" s="106">
        <f t="shared" si="12"/>
        <v>0</v>
      </c>
      <c r="BE64" s="107">
        <f t="shared" si="13"/>
        <v>0</v>
      </c>
      <c r="BF64" s="108">
        <f t="shared" si="14"/>
        <v>0</v>
      </c>
      <c r="BG64" s="25" t="e">
        <f t="shared" si="15"/>
        <v>#N/A</v>
      </c>
      <c r="BH64" s="25" t="e">
        <f t="shared" si="16"/>
        <v>#N/A</v>
      </c>
      <c r="BI64" s="25" t="e">
        <f t="shared" si="17"/>
        <v>#N/A</v>
      </c>
      <c r="BJ64" s="27" t="e">
        <f t="shared" si="18"/>
        <v>#N/A</v>
      </c>
      <c r="BK64" s="18" t="e">
        <f t="shared" si="19"/>
        <v>#N/A</v>
      </c>
      <c r="BL64" s="18" t="e">
        <f t="shared" si="20"/>
        <v>#N/A</v>
      </c>
      <c r="BM64" s="28" t="e">
        <f t="shared" si="84"/>
        <v>#N/A</v>
      </c>
      <c r="BN64" s="33">
        <f>HLOOKUP("maximum population",Miscelaneous!$C$1:$C$33,CH64+3,FALSE)</f>
        <v>240</v>
      </c>
      <c r="BO64" s="14">
        <f t="shared" si="36"/>
        <v>32</v>
      </c>
      <c r="BP64" s="14">
        <f t="shared" si="37"/>
        <v>0</v>
      </c>
      <c r="BQ64" s="14">
        <f t="shared" si="38"/>
        <v>208</v>
      </c>
      <c r="BR64" s="34" t="e">
        <f>HLOOKUP(J64,Villagers!$B$1:$V$33,L64+3,FALSE)-HLOOKUP(J64,Villagers!$B$1:$V$33,L64+2,FALSE)</f>
        <v>#N/A</v>
      </c>
      <c r="BS64" s="49">
        <f t="shared" si="39"/>
        <v>1</v>
      </c>
      <c r="BT64" s="50">
        <f t="shared" si="40"/>
        <v>0</v>
      </c>
      <c r="BU64" s="50">
        <f t="shared" si="41"/>
        <v>0</v>
      </c>
      <c r="BV64" s="50">
        <f t="shared" si="86"/>
        <v>0</v>
      </c>
      <c r="BW64" s="50">
        <f t="shared" si="87"/>
        <v>0</v>
      </c>
      <c r="BX64" s="50">
        <f t="shared" si="88"/>
        <v>0</v>
      </c>
      <c r="BY64" s="50">
        <f t="shared" si="88"/>
        <v>0</v>
      </c>
      <c r="BZ64" s="50">
        <f t="shared" si="45"/>
        <v>0</v>
      </c>
      <c r="CA64" s="50">
        <f t="shared" si="46"/>
        <v>0</v>
      </c>
      <c r="CB64" s="50">
        <f t="shared" si="47"/>
        <v>1</v>
      </c>
      <c r="CC64" s="50">
        <f t="shared" si="48"/>
        <v>0</v>
      </c>
      <c r="CD64" s="50">
        <f t="shared" si="49"/>
        <v>0</v>
      </c>
      <c r="CE64" s="50">
        <f t="shared" si="50"/>
        <v>1</v>
      </c>
      <c r="CF64" s="50">
        <f t="shared" si="51"/>
        <v>1</v>
      </c>
      <c r="CG64" s="50">
        <f t="shared" si="52"/>
        <v>1</v>
      </c>
      <c r="CH64" s="50">
        <f t="shared" si="53"/>
        <v>1</v>
      </c>
      <c r="CI64" s="50">
        <f t="shared" si="54"/>
        <v>1</v>
      </c>
      <c r="CJ64" s="50">
        <f t="shared" si="55"/>
        <v>1</v>
      </c>
      <c r="CK64" s="50">
        <f t="shared" si="56"/>
        <v>0</v>
      </c>
      <c r="CL64" s="50">
        <f t="shared" si="55"/>
        <v>0</v>
      </c>
      <c r="CM64" s="51">
        <f t="shared" si="57"/>
        <v>0</v>
      </c>
      <c r="CN64" s="33">
        <f>ROUND(IF(BS64=0,0,HLOOKUP(BS$14,Villagers!$B$1:$V$33,BS64+3,FALSE)),)</f>
        <v>5</v>
      </c>
      <c r="CO64" s="14">
        <f>ROUND(IF(BT64=0,0,HLOOKUP(BT$14,Villagers!$B$1:$V$33,BT64+3,FALSE)),)</f>
        <v>0</v>
      </c>
      <c r="CP64" s="14">
        <f>ROUND(IF(BU64=0,0,HLOOKUP(BU$14,Villagers!$B$1:$V$33,BU64+3,FALSE)),)</f>
        <v>0</v>
      </c>
      <c r="CQ64" s="14">
        <f>ROUND(IF(BV64=0,0,HLOOKUP(BV$14,Villagers!$B$1:$V$33,BV64+3,FALSE)),)</f>
        <v>0</v>
      </c>
      <c r="CR64" s="14">
        <f>ROUND(IF(BW64=0,0,HLOOKUP(BW$14,Villagers!$B$1:$V$33,BW64+3,FALSE)),)</f>
        <v>0</v>
      </c>
      <c r="CS64" s="14">
        <f>ROUND(IF(BX64=0,0,HLOOKUP(BX$14,Villagers!$B$1:$V$33,BX64+3,FALSE)),)</f>
        <v>0</v>
      </c>
      <c r="CT64" s="14">
        <f>ROUND(IF(BY64=0,0,HLOOKUP(BY$14,Villagers!$B$1:$V$33,BY64+3,FALSE)),)</f>
        <v>0</v>
      </c>
      <c r="CU64" s="14">
        <f>ROUND(IF(BZ64=0,0,HLOOKUP(BZ$14,Villagers!$B$1:$V$33,BZ64+3,FALSE)),)</f>
        <v>0</v>
      </c>
      <c r="CV64" s="14">
        <f>ROUND(IF(CA64=0,0,HLOOKUP(CA$14,Villagers!$B$1:$V$33,CA64+3,FALSE)),)</f>
        <v>0</v>
      </c>
      <c r="CW64" s="14">
        <f>ROUND(IF(CB64=0,0,HLOOKUP(CB$14,Villagers!$B$1:$V$33,CB64+3,FALSE)),)</f>
        <v>0</v>
      </c>
      <c r="CX64" s="14">
        <f>ROUND(IF(CC64=0,0,HLOOKUP(CC$14,Villagers!$B$1:$V$33,CC64+3,FALSE)),)</f>
        <v>0</v>
      </c>
      <c r="CY64" s="14">
        <f>ROUND(IF(CD64=0,0,HLOOKUP(CD$14,Villagers!$B$1:$V$33,CD64+3,FALSE)),)</f>
        <v>0</v>
      </c>
      <c r="CZ64" s="14">
        <f>ROUND(IF(CE64=0,0,HLOOKUP(CE$14,Villagers!$B$1:$V$33,CE64+3,FALSE)),)</f>
        <v>5</v>
      </c>
      <c r="DA64" s="14">
        <f>ROUND(IF(CF64=0,0,HLOOKUP(CF$14,Villagers!$B$1:$V$33,CF64+3,FALSE)),)</f>
        <v>10</v>
      </c>
      <c r="DB64" s="14">
        <f>ROUND(IF(CG64=0,0,HLOOKUP(CG$14,Villagers!$B$1:$V$33,CG64+3,FALSE)),)</f>
        <v>10</v>
      </c>
      <c r="DC64" s="14">
        <f>ROUND(IF(CH64=0,0,HLOOKUP(CH$14,Villagers!$B$1:$V$33,CH64+3,FALSE)),)</f>
        <v>0</v>
      </c>
      <c r="DD64" s="14">
        <f>ROUND(IF(CI64=0,0,HLOOKUP(CI$14,Villagers!$B$1:$V$33,CI64+3,FALSE)),)</f>
        <v>0</v>
      </c>
      <c r="DE64" s="14">
        <f>ROUND(IF(CJ64=0,0,HLOOKUP(CJ$14,Villagers!$B$1:$V$33,CJ64+3,FALSE)),)</f>
        <v>2</v>
      </c>
      <c r="DF64" s="370">
        <f>ROUND(IF(CK64=0,0,HLOOKUP(CK$14,Villagers!$B$1:$V$33,CK64+3,FALSE)),)</f>
        <v>0</v>
      </c>
      <c r="DG64" s="370">
        <f>ROUND(IF(CL64=0,0,HLOOKUP(CL$14,Villagers!$B$1:$V$33,CL64+3,FALSE)),)</f>
        <v>0</v>
      </c>
      <c r="DH64" s="34">
        <f>ROUND(IF(CM64=0,0,HLOOKUP(CM$14,Villagers!$B$1:$V$33,CM64+3,FALSE)),)</f>
        <v>0</v>
      </c>
      <c r="DI64" s="109">
        <f t="shared" si="73"/>
        <v>0</v>
      </c>
      <c r="DJ64" s="50">
        <f t="shared" si="74"/>
        <v>0</v>
      </c>
      <c r="DK64" s="50">
        <f t="shared" si="75"/>
        <v>0</v>
      </c>
      <c r="DL64" s="50">
        <f t="shared" si="76"/>
        <v>0</v>
      </c>
      <c r="DM64" s="50">
        <f t="shared" si="77"/>
        <v>0</v>
      </c>
      <c r="DN64" s="50">
        <f t="shared" si="78"/>
        <v>0</v>
      </c>
      <c r="DO64" s="50">
        <f t="shared" si="79"/>
        <v>0</v>
      </c>
      <c r="DP64" s="50">
        <f t="shared" si="80"/>
        <v>0</v>
      </c>
      <c r="DQ64" s="50">
        <f t="shared" si="59"/>
        <v>0</v>
      </c>
      <c r="DR64" s="50">
        <f t="shared" si="60"/>
        <v>0</v>
      </c>
      <c r="DS64" s="96">
        <f>Miscelaneous!$D$4*Miscelaneous!$D$2^($CI64-1)</f>
        <v>1000</v>
      </c>
      <c r="DT64" s="333">
        <f t="shared" si="61"/>
        <v>1</v>
      </c>
      <c r="DU64" s="81">
        <v>1</v>
      </c>
      <c r="DV64" s="79">
        <f t="shared" si="62"/>
        <v>0</v>
      </c>
      <c r="DW64" s="79">
        <f t="shared" si="23"/>
        <v>0</v>
      </c>
      <c r="DX64" s="79">
        <f t="shared" si="63"/>
        <v>0</v>
      </c>
      <c r="DY64" s="79">
        <v>1</v>
      </c>
      <c r="DZ64" s="79">
        <f t="shared" si="24"/>
        <v>0</v>
      </c>
      <c r="EA64" s="79">
        <f t="shared" si="64"/>
        <v>0</v>
      </c>
      <c r="EB64" s="79">
        <f t="shared" si="65"/>
        <v>0</v>
      </c>
      <c r="EC64" s="79">
        <f t="shared" si="66"/>
        <v>0</v>
      </c>
      <c r="ED64" s="79">
        <v>1</v>
      </c>
      <c r="EE64" s="79">
        <v>1</v>
      </c>
      <c r="EF64" s="79">
        <f t="shared" si="67"/>
        <v>0</v>
      </c>
      <c r="EG64" s="79">
        <v>1</v>
      </c>
      <c r="EH64" s="79">
        <v>1</v>
      </c>
      <c r="EI64" s="79">
        <v>1</v>
      </c>
      <c r="EJ64" s="79">
        <v>1</v>
      </c>
      <c r="EK64" s="79">
        <v>1</v>
      </c>
      <c r="EL64" s="79">
        <v>1</v>
      </c>
      <c r="EM64" s="143">
        <f t="shared" si="68"/>
        <v>0</v>
      </c>
      <c r="EN64" s="143">
        <f t="shared" si="69"/>
        <v>0</v>
      </c>
      <c r="EO64" s="82">
        <f t="shared" si="70"/>
        <v>0</v>
      </c>
    </row>
    <row r="65" spans="1:145" x14ac:dyDescent="0.25">
      <c r="A65">
        <v>51</v>
      </c>
      <c r="B65" s="172" t="e">
        <f t="shared" si="25"/>
        <v>#N/A</v>
      </c>
      <c r="C65" s="121" t="e">
        <f t="shared" si="0"/>
        <v>#N/A</v>
      </c>
      <c r="D65" s="122" t="e">
        <f t="shared" si="1"/>
        <v>#N/A</v>
      </c>
      <c r="E65" s="122" t="e">
        <f t="shared" si="2"/>
        <v>#N/A</v>
      </c>
      <c r="F65" s="176" t="e">
        <f t="shared" si="3"/>
        <v>#N/A</v>
      </c>
      <c r="G65" s="121">
        <f t="shared" si="26"/>
        <v>208</v>
      </c>
      <c r="H65" s="176" t="e">
        <f t="shared" si="27"/>
        <v>#N/A</v>
      </c>
      <c r="I65" s="48">
        <v>1</v>
      </c>
      <c r="J65" s="39"/>
      <c r="K65" s="350">
        <v>1</v>
      </c>
      <c r="L65" s="34" t="e">
        <f t="shared" si="4"/>
        <v>#N/A</v>
      </c>
      <c r="M65" s="38" t="e">
        <f>(HLOOKUP(J65,'Construction Times'!$B$3:$W$34,L65+2,FALSE)*HLOOKUP("hq modifier",'Construction Times'!$W$3:$W$34,BS65+2,FALSE))*(1-$H$9)</f>
        <v>#N/A</v>
      </c>
      <c r="N65" s="443" t="e">
        <f t="shared" si="28"/>
        <v>#N/A</v>
      </c>
      <c r="O65" s="444"/>
      <c r="P65" s="447" t="e">
        <f t="shared" si="29"/>
        <v>#N/A</v>
      </c>
      <c r="Q65" s="448"/>
      <c r="R65" s="103">
        <f t="shared" si="71"/>
        <v>0</v>
      </c>
      <c r="S65" s="104">
        <f t="shared" si="71"/>
        <v>0</v>
      </c>
      <c r="T65" s="104">
        <f t="shared" si="72"/>
        <v>0</v>
      </c>
      <c r="U65" s="104">
        <f t="shared" si="72"/>
        <v>0</v>
      </c>
      <c r="V65" s="104">
        <f t="shared" si="72"/>
        <v>9.9999999999999995E-8</v>
      </c>
      <c r="W65" s="104">
        <f t="shared" si="72"/>
        <v>0</v>
      </c>
      <c r="X65" s="104">
        <f t="shared" si="85"/>
        <v>0</v>
      </c>
      <c r="Y65" s="104">
        <f t="shared" si="85"/>
        <v>9.9999999999999995E-8</v>
      </c>
      <c r="Z65" s="104">
        <f t="shared" si="85"/>
        <v>9.9999999999999995E-8</v>
      </c>
      <c r="AA65" s="105">
        <f t="shared" si="85"/>
        <v>9.9999999999999995E-8</v>
      </c>
      <c r="AB65" s="101" t="e">
        <f>$DT65*HLOOKUP($J65,'Construction Costs (timber)'!$B$1:$V$32,'Construction Planner'!$L65+2,FALSE)</f>
        <v>#N/A</v>
      </c>
      <c r="AC65" s="14" t="e">
        <f>$DT65*HLOOKUP($J65,'Construction Costs (clay)'!$B$1:$V$32,'Construction Planner'!$L65+2,FALSE)</f>
        <v>#N/A</v>
      </c>
      <c r="AD65" s="14" t="e">
        <f>$DT65*HLOOKUP($J65,'Construction Costs (iron)'!$B$1:$V$32,'Construction Planner'!$L65+2,FALSE)</f>
        <v>#N/A</v>
      </c>
      <c r="AE65" s="34" t="e">
        <f t="shared" si="81"/>
        <v>#N/A</v>
      </c>
      <c r="AF65" s="33" t="e">
        <f t="shared" si="5"/>
        <v>#N/A</v>
      </c>
      <c r="AG65" s="14" t="e">
        <f t="shared" si="6"/>
        <v>#N/A</v>
      </c>
      <c r="AH65" s="14" t="e">
        <f t="shared" si="7"/>
        <v>#N/A</v>
      </c>
      <c r="AI65" s="34" t="e">
        <f t="shared" si="82"/>
        <v>#N/A</v>
      </c>
      <c r="AJ65" s="49" t="e">
        <f t="shared" si="32"/>
        <v>#N/A</v>
      </c>
      <c r="AK65" s="49" t="e">
        <f t="shared" si="33"/>
        <v>#N/A</v>
      </c>
      <c r="AL65" s="49" t="e">
        <f t="shared" si="34"/>
        <v>#N/A</v>
      </c>
      <c r="AM65" s="25">
        <f t="shared" si="8"/>
        <v>30</v>
      </c>
      <c r="AN65" s="25">
        <f t="shared" si="9"/>
        <v>30</v>
      </c>
      <c r="AO65" s="25">
        <f t="shared" si="10"/>
        <v>30</v>
      </c>
      <c r="AP65" s="52" t="e">
        <f t="shared" si="35"/>
        <v>#N/A</v>
      </c>
      <c r="AQ65" s="53" t="e">
        <f t="shared" si="35"/>
        <v>#N/A</v>
      </c>
      <c r="AR65" s="54" t="e">
        <f t="shared" si="35"/>
        <v>#N/A</v>
      </c>
      <c r="AS65" s="316">
        <f t="shared" si="83"/>
        <v>0</v>
      </c>
      <c r="AT65" s="106">
        <f>_xlfn.IFNA($M65/VLOOKUP($BT65,'Unit information'!$A$2:$K$29,2,FALSE)*R65,0)*(1+$E$9)</f>
        <v>0</v>
      </c>
      <c r="AU65" s="107">
        <f>_xlfn.IFNA($M65/VLOOKUP($BT65,'Unit information'!$A$2:$K$29,3,FALSE)*S65,0)*(1+$E$9)</f>
        <v>0</v>
      </c>
      <c r="AV65" s="107">
        <f>_xlfn.IFNA($M65/VLOOKUP($BT65,'Unit information'!$A$2:$K$29,4,FALSE)*T65,0)*(1+$E$9)</f>
        <v>0</v>
      </c>
      <c r="AW65" s="107">
        <f>_xlfn.IFNA($M65/VLOOKUP($BT65,'Unit information'!$A$2:$K$29,5,FALSE)*U65,0)*(1+$E$9)</f>
        <v>0</v>
      </c>
      <c r="AX65" s="107">
        <f>_xlfn.IFNA($M65/VLOOKUP($BU65,'Unit information'!$A$2:$K$29,6,FALSE)*V65,0)*(1+$E$9)</f>
        <v>0</v>
      </c>
      <c r="AY65" s="107">
        <f>_xlfn.IFNA($M65/VLOOKUP($BU65,'Unit information'!$A$2:$K$29,7,FALSE)*W65,0)*(1+$E$9)</f>
        <v>0</v>
      </c>
      <c r="AZ65" s="107">
        <f>_xlfn.IFNA($M65/VLOOKUP($BU65,'Unit information'!$A$2:$K$29,8,FALSE)*X65,0)*(1+$E$9)</f>
        <v>0</v>
      </c>
      <c r="BA65" s="107">
        <f>_xlfn.IFNA($M65/VLOOKUP($BU65,'Unit information'!$A$2:$K$29,9,FALSE)*Y65,0)*(1+$E$9)</f>
        <v>0</v>
      </c>
      <c r="BB65" s="107">
        <f>_xlfn.IFNA($M65/VLOOKUP($BV65,'Unit information'!$A$2:$K$29,10,FALSE)*Z65,0)*(1+$E$9)</f>
        <v>0</v>
      </c>
      <c r="BC65" s="108">
        <f>_xlfn.IFNA($M65/VLOOKUP($BV65,'Unit information'!$A$2:$K$29,11,FALSE)*AA65,0)*(1+$E$9)</f>
        <v>0</v>
      </c>
      <c r="BD65" s="106">
        <f t="shared" si="12"/>
        <v>0</v>
      </c>
      <c r="BE65" s="107">
        <f t="shared" si="13"/>
        <v>0</v>
      </c>
      <c r="BF65" s="108">
        <f t="shared" si="14"/>
        <v>0</v>
      </c>
      <c r="BG65" s="25" t="e">
        <f t="shared" si="15"/>
        <v>#N/A</v>
      </c>
      <c r="BH65" s="25" t="e">
        <f t="shared" si="16"/>
        <v>#N/A</v>
      </c>
      <c r="BI65" s="25" t="e">
        <f t="shared" si="17"/>
        <v>#N/A</v>
      </c>
      <c r="BJ65" s="27" t="e">
        <f t="shared" si="18"/>
        <v>#N/A</v>
      </c>
      <c r="BK65" s="18" t="e">
        <f t="shared" si="19"/>
        <v>#N/A</v>
      </c>
      <c r="BL65" s="18" t="e">
        <f t="shared" si="20"/>
        <v>#N/A</v>
      </c>
      <c r="BM65" s="28" t="e">
        <f t="shared" si="84"/>
        <v>#N/A</v>
      </c>
      <c r="BN65" s="33">
        <f>HLOOKUP("maximum population",Miscelaneous!$C$1:$C$33,CH65+3,FALSE)</f>
        <v>240</v>
      </c>
      <c r="BO65" s="14">
        <f t="shared" si="36"/>
        <v>32</v>
      </c>
      <c r="BP65" s="14">
        <f t="shared" si="37"/>
        <v>0</v>
      </c>
      <c r="BQ65" s="14">
        <f t="shared" si="38"/>
        <v>208</v>
      </c>
      <c r="BR65" s="34" t="e">
        <f>HLOOKUP(J65,Villagers!$B$1:$V$33,L65+3,FALSE)-HLOOKUP(J65,Villagers!$B$1:$V$33,L65+2,FALSE)</f>
        <v>#N/A</v>
      </c>
      <c r="BS65" s="49">
        <f t="shared" si="39"/>
        <v>1</v>
      </c>
      <c r="BT65" s="50">
        <f t="shared" si="40"/>
        <v>0</v>
      </c>
      <c r="BU65" s="50">
        <f t="shared" si="41"/>
        <v>0</v>
      </c>
      <c r="BV65" s="50">
        <f t="shared" si="86"/>
        <v>0</v>
      </c>
      <c r="BW65" s="50">
        <f t="shared" si="87"/>
        <v>0</v>
      </c>
      <c r="BX65" s="50">
        <f t="shared" si="88"/>
        <v>0</v>
      </c>
      <c r="BY65" s="50">
        <f t="shared" si="88"/>
        <v>0</v>
      </c>
      <c r="BZ65" s="50">
        <f t="shared" si="45"/>
        <v>0</v>
      </c>
      <c r="CA65" s="50">
        <f t="shared" si="46"/>
        <v>0</v>
      </c>
      <c r="CB65" s="50">
        <f t="shared" si="47"/>
        <v>1</v>
      </c>
      <c r="CC65" s="50">
        <f t="shared" si="48"/>
        <v>0</v>
      </c>
      <c r="CD65" s="50">
        <f t="shared" si="49"/>
        <v>0</v>
      </c>
      <c r="CE65" s="50">
        <f t="shared" si="50"/>
        <v>1</v>
      </c>
      <c r="CF65" s="50">
        <f t="shared" si="51"/>
        <v>1</v>
      </c>
      <c r="CG65" s="50">
        <f t="shared" si="52"/>
        <v>1</v>
      </c>
      <c r="CH65" s="50">
        <f t="shared" si="53"/>
        <v>1</v>
      </c>
      <c r="CI65" s="50">
        <f t="shared" si="54"/>
        <v>1</v>
      </c>
      <c r="CJ65" s="50">
        <f t="shared" si="55"/>
        <v>1</v>
      </c>
      <c r="CK65" s="50">
        <f t="shared" si="56"/>
        <v>0</v>
      </c>
      <c r="CL65" s="50">
        <f t="shared" si="55"/>
        <v>0</v>
      </c>
      <c r="CM65" s="51">
        <f t="shared" si="57"/>
        <v>0</v>
      </c>
      <c r="CN65" s="33">
        <f>ROUND(IF(BS65=0,0,HLOOKUP(BS$14,Villagers!$B$1:$V$33,BS65+3,FALSE)),)</f>
        <v>5</v>
      </c>
      <c r="CO65" s="14">
        <f>ROUND(IF(BT65=0,0,HLOOKUP(BT$14,Villagers!$B$1:$V$33,BT65+3,FALSE)),)</f>
        <v>0</v>
      </c>
      <c r="CP65" s="14">
        <f>ROUND(IF(BU65=0,0,HLOOKUP(BU$14,Villagers!$B$1:$V$33,BU65+3,FALSE)),)</f>
        <v>0</v>
      </c>
      <c r="CQ65" s="14">
        <f>ROUND(IF(BV65=0,0,HLOOKUP(BV$14,Villagers!$B$1:$V$33,BV65+3,FALSE)),)</f>
        <v>0</v>
      </c>
      <c r="CR65" s="14">
        <f>ROUND(IF(BW65=0,0,HLOOKUP(BW$14,Villagers!$B$1:$V$33,BW65+3,FALSE)),)</f>
        <v>0</v>
      </c>
      <c r="CS65" s="14">
        <f>ROUND(IF(BX65=0,0,HLOOKUP(BX$14,Villagers!$B$1:$V$33,BX65+3,FALSE)),)</f>
        <v>0</v>
      </c>
      <c r="CT65" s="14">
        <f>ROUND(IF(BY65=0,0,HLOOKUP(BY$14,Villagers!$B$1:$V$33,BY65+3,FALSE)),)</f>
        <v>0</v>
      </c>
      <c r="CU65" s="14">
        <f>ROUND(IF(BZ65=0,0,HLOOKUP(BZ$14,Villagers!$B$1:$V$33,BZ65+3,FALSE)),)</f>
        <v>0</v>
      </c>
      <c r="CV65" s="14">
        <f>ROUND(IF(CA65=0,0,HLOOKUP(CA$14,Villagers!$B$1:$V$33,CA65+3,FALSE)),)</f>
        <v>0</v>
      </c>
      <c r="CW65" s="14">
        <f>ROUND(IF(CB65=0,0,HLOOKUP(CB$14,Villagers!$B$1:$V$33,CB65+3,FALSE)),)</f>
        <v>0</v>
      </c>
      <c r="CX65" s="14">
        <f>ROUND(IF(CC65=0,0,HLOOKUP(CC$14,Villagers!$B$1:$V$33,CC65+3,FALSE)),)</f>
        <v>0</v>
      </c>
      <c r="CY65" s="14">
        <f>ROUND(IF(CD65=0,0,HLOOKUP(CD$14,Villagers!$B$1:$V$33,CD65+3,FALSE)),)</f>
        <v>0</v>
      </c>
      <c r="CZ65" s="14">
        <f>ROUND(IF(CE65=0,0,HLOOKUP(CE$14,Villagers!$B$1:$V$33,CE65+3,FALSE)),)</f>
        <v>5</v>
      </c>
      <c r="DA65" s="14">
        <f>ROUND(IF(CF65=0,0,HLOOKUP(CF$14,Villagers!$B$1:$V$33,CF65+3,FALSE)),)</f>
        <v>10</v>
      </c>
      <c r="DB65" s="14">
        <f>ROUND(IF(CG65=0,0,HLOOKUP(CG$14,Villagers!$B$1:$V$33,CG65+3,FALSE)),)</f>
        <v>10</v>
      </c>
      <c r="DC65" s="14">
        <f>ROUND(IF(CH65=0,0,HLOOKUP(CH$14,Villagers!$B$1:$V$33,CH65+3,FALSE)),)</f>
        <v>0</v>
      </c>
      <c r="DD65" s="14">
        <f>ROUND(IF(CI65=0,0,HLOOKUP(CI$14,Villagers!$B$1:$V$33,CI65+3,FALSE)),)</f>
        <v>0</v>
      </c>
      <c r="DE65" s="14">
        <f>ROUND(IF(CJ65=0,0,HLOOKUP(CJ$14,Villagers!$B$1:$V$33,CJ65+3,FALSE)),)</f>
        <v>2</v>
      </c>
      <c r="DF65" s="370">
        <f>ROUND(IF(CK65=0,0,HLOOKUP(CK$14,Villagers!$B$1:$V$33,CK65+3,FALSE)),)</f>
        <v>0</v>
      </c>
      <c r="DG65" s="370">
        <f>ROUND(IF(CL65=0,0,HLOOKUP(CL$14,Villagers!$B$1:$V$33,CL65+3,FALSE)),)</f>
        <v>0</v>
      </c>
      <c r="DH65" s="34">
        <f>ROUND(IF(CM65=0,0,HLOOKUP(CM$14,Villagers!$B$1:$V$33,CM65+3,FALSE)),)</f>
        <v>0</v>
      </c>
      <c r="DI65" s="109">
        <f t="shared" si="73"/>
        <v>0</v>
      </c>
      <c r="DJ65" s="50">
        <f t="shared" si="74"/>
        <v>0</v>
      </c>
      <c r="DK65" s="50">
        <f t="shared" si="75"/>
        <v>0</v>
      </c>
      <c r="DL65" s="50">
        <f t="shared" si="76"/>
        <v>0</v>
      </c>
      <c r="DM65" s="50">
        <f t="shared" si="77"/>
        <v>0</v>
      </c>
      <c r="DN65" s="50">
        <f t="shared" si="78"/>
        <v>0</v>
      </c>
      <c r="DO65" s="50">
        <f t="shared" si="79"/>
        <v>0</v>
      </c>
      <c r="DP65" s="50">
        <f t="shared" si="80"/>
        <v>0</v>
      </c>
      <c r="DQ65" s="50">
        <f t="shared" si="59"/>
        <v>0</v>
      </c>
      <c r="DR65" s="50">
        <f t="shared" si="60"/>
        <v>0</v>
      </c>
      <c r="DS65" s="96">
        <f>Miscelaneous!$D$4*Miscelaneous!$D$2^($CI65-1)</f>
        <v>1000</v>
      </c>
      <c r="DT65" s="333">
        <f t="shared" si="61"/>
        <v>1</v>
      </c>
      <c r="DU65" s="81">
        <v>1</v>
      </c>
      <c r="DV65" s="79">
        <f t="shared" si="62"/>
        <v>0</v>
      </c>
      <c r="DW65" s="79">
        <f t="shared" si="23"/>
        <v>0</v>
      </c>
      <c r="DX65" s="79">
        <f t="shared" si="63"/>
        <v>0</v>
      </c>
      <c r="DY65" s="79">
        <v>1</v>
      </c>
      <c r="DZ65" s="79">
        <f t="shared" si="24"/>
        <v>0</v>
      </c>
      <c r="EA65" s="79">
        <f t="shared" si="64"/>
        <v>0</v>
      </c>
      <c r="EB65" s="79">
        <f t="shared" si="65"/>
        <v>0</v>
      </c>
      <c r="EC65" s="79">
        <f t="shared" si="66"/>
        <v>0</v>
      </c>
      <c r="ED65" s="79">
        <v>1</v>
      </c>
      <c r="EE65" s="79">
        <v>1</v>
      </c>
      <c r="EF65" s="79">
        <f t="shared" si="67"/>
        <v>0</v>
      </c>
      <c r="EG65" s="79">
        <v>1</v>
      </c>
      <c r="EH65" s="79">
        <v>1</v>
      </c>
      <c r="EI65" s="79">
        <v>1</v>
      </c>
      <c r="EJ65" s="79">
        <v>1</v>
      </c>
      <c r="EK65" s="79">
        <v>1</v>
      </c>
      <c r="EL65" s="79">
        <v>1</v>
      </c>
      <c r="EM65" s="143">
        <f t="shared" si="68"/>
        <v>0</v>
      </c>
      <c r="EN65" s="143">
        <f t="shared" si="69"/>
        <v>0</v>
      </c>
      <c r="EO65" s="82">
        <f t="shared" si="70"/>
        <v>0</v>
      </c>
    </row>
    <row r="66" spans="1:145" s="62" customFormat="1" x14ac:dyDescent="0.25">
      <c r="A66">
        <v>52</v>
      </c>
      <c r="B66" s="173" t="e">
        <f t="shared" si="25"/>
        <v>#N/A</v>
      </c>
      <c r="C66" s="121" t="e">
        <f t="shared" si="0"/>
        <v>#N/A</v>
      </c>
      <c r="D66" s="122" t="e">
        <f t="shared" si="1"/>
        <v>#N/A</v>
      </c>
      <c r="E66" s="122" t="e">
        <f t="shared" si="2"/>
        <v>#N/A</v>
      </c>
      <c r="F66" s="176" t="e">
        <f t="shared" si="3"/>
        <v>#N/A</v>
      </c>
      <c r="G66" s="180">
        <f t="shared" si="26"/>
        <v>208</v>
      </c>
      <c r="H66" s="176" t="e">
        <f t="shared" si="27"/>
        <v>#N/A</v>
      </c>
      <c r="I66" s="63">
        <v>1</v>
      </c>
      <c r="J66" s="39"/>
      <c r="K66" s="350">
        <v>1</v>
      </c>
      <c r="L66" s="34" t="e">
        <f t="shared" si="4"/>
        <v>#N/A</v>
      </c>
      <c r="M66" s="38" t="e">
        <f>(HLOOKUP(J66,'Construction Times'!$B$3:$W$34,L66+2,FALSE)*HLOOKUP("hq modifier",'Construction Times'!$W$3:$W$34,BS66+2,FALSE))*(1-$H$9)</f>
        <v>#N/A</v>
      </c>
      <c r="N66" s="443" t="e">
        <f t="shared" si="28"/>
        <v>#N/A</v>
      </c>
      <c r="O66" s="444"/>
      <c r="P66" s="447" t="e">
        <f t="shared" si="29"/>
        <v>#N/A</v>
      </c>
      <c r="Q66" s="448"/>
      <c r="R66" s="103">
        <f t="shared" si="71"/>
        <v>0</v>
      </c>
      <c r="S66" s="104">
        <f t="shared" si="71"/>
        <v>0</v>
      </c>
      <c r="T66" s="104">
        <f t="shared" si="72"/>
        <v>0</v>
      </c>
      <c r="U66" s="104">
        <f t="shared" si="72"/>
        <v>0</v>
      </c>
      <c r="V66" s="104">
        <f t="shared" si="72"/>
        <v>9.9999999999999995E-8</v>
      </c>
      <c r="W66" s="104">
        <f t="shared" si="72"/>
        <v>0</v>
      </c>
      <c r="X66" s="104">
        <f t="shared" si="85"/>
        <v>0</v>
      </c>
      <c r="Y66" s="104">
        <f t="shared" si="85"/>
        <v>9.9999999999999995E-8</v>
      </c>
      <c r="Z66" s="104">
        <f t="shared" si="85"/>
        <v>9.9999999999999995E-8</v>
      </c>
      <c r="AA66" s="105">
        <f t="shared" si="85"/>
        <v>9.9999999999999995E-8</v>
      </c>
      <c r="AB66" s="102" t="e">
        <f>$DT66*HLOOKUP($J66,'Construction Costs (timber)'!$B$1:$V$32,'Construction Planner'!$L66+2,FALSE)</f>
        <v>#N/A</v>
      </c>
      <c r="AC66" s="66" t="e">
        <f>$DT66*HLOOKUP($J66,'Construction Costs (clay)'!$B$1:$V$32,'Construction Planner'!$L66+2,FALSE)</f>
        <v>#N/A</v>
      </c>
      <c r="AD66" s="66" t="e">
        <f>$DT66*HLOOKUP($J66,'Construction Costs (iron)'!$B$1:$V$32,'Construction Planner'!$L66+2,FALSE)</f>
        <v>#N/A</v>
      </c>
      <c r="AE66" s="67" t="e">
        <f t="shared" si="81"/>
        <v>#N/A</v>
      </c>
      <c r="AF66" s="65" t="e">
        <f t="shared" si="5"/>
        <v>#N/A</v>
      </c>
      <c r="AG66" s="66" t="e">
        <f t="shared" si="6"/>
        <v>#N/A</v>
      </c>
      <c r="AH66" s="66" t="e">
        <f t="shared" si="7"/>
        <v>#N/A</v>
      </c>
      <c r="AI66" s="67" t="e">
        <f t="shared" si="82"/>
        <v>#N/A</v>
      </c>
      <c r="AJ66" s="49" t="e">
        <f t="shared" si="32"/>
        <v>#N/A</v>
      </c>
      <c r="AK66" s="49" t="e">
        <f t="shared" si="33"/>
        <v>#N/A</v>
      </c>
      <c r="AL66" s="49" t="e">
        <f t="shared" si="34"/>
        <v>#N/A</v>
      </c>
      <c r="AM66" s="25">
        <f t="shared" si="8"/>
        <v>30</v>
      </c>
      <c r="AN66" s="25">
        <f t="shared" si="9"/>
        <v>30</v>
      </c>
      <c r="AO66" s="25">
        <f t="shared" si="10"/>
        <v>30</v>
      </c>
      <c r="AP66" s="52" t="e">
        <f t="shared" si="35"/>
        <v>#N/A</v>
      </c>
      <c r="AQ66" s="53" t="e">
        <f t="shared" si="35"/>
        <v>#N/A</v>
      </c>
      <c r="AR66" s="54" t="e">
        <f t="shared" si="35"/>
        <v>#N/A</v>
      </c>
      <c r="AS66" s="316">
        <f t="shared" si="83"/>
        <v>0</v>
      </c>
      <c r="AT66" s="106">
        <f>_xlfn.IFNA($M66/VLOOKUP($BT66,'Unit information'!$A$2:$K$29,2,FALSE)*R66,0)*(1+$E$9)</f>
        <v>0</v>
      </c>
      <c r="AU66" s="107">
        <f>_xlfn.IFNA($M66/VLOOKUP($BT66,'Unit information'!$A$2:$K$29,3,FALSE)*S66,0)*(1+$E$9)</f>
        <v>0</v>
      </c>
      <c r="AV66" s="107">
        <f>_xlfn.IFNA($M66/VLOOKUP($BT66,'Unit information'!$A$2:$K$29,4,FALSE)*T66,0)*(1+$E$9)</f>
        <v>0</v>
      </c>
      <c r="AW66" s="107">
        <f>_xlfn.IFNA($M66/VLOOKUP($BT66,'Unit information'!$A$2:$K$29,5,FALSE)*U66,0)*(1+$E$9)</f>
        <v>0</v>
      </c>
      <c r="AX66" s="107">
        <f>_xlfn.IFNA($M66/VLOOKUP($BU66,'Unit information'!$A$2:$K$29,6,FALSE)*V66,0)*(1+$E$9)</f>
        <v>0</v>
      </c>
      <c r="AY66" s="107">
        <f>_xlfn.IFNA($M66/VLOOKUP($BU66,'Unit information'!$A$2:$K$29,7,FALSE)*W66,0)*(1+$E$9)</f>
        <v>0</v>
      </c>
      <c r="AZ66" s="107">
        <f>_xlfn.IFNA($M66/VLOOKUP($BU66,'Unit information'!$A$2:$K$29,8,FALSE)*X66,0)*(1+$E$9)</f>
        <v>0</v>
      </c>
      <c r="BA66" s="107">
        <f>_xlfn.IFNA($M66/VLOOKUP($BU66,'Unit information'!$A$2:$K$29,9,FALSE)*Y66,0)*(1+$E$9)</f>
        <v>0</v>
      </c>
      <c r="BB66" s="107">
        <f>_xlfn.IFNA($M66/VLOOKUP($BV66,'Unit information'!$A$2:$K$29,10,FALSE)*Z66,0)*(1+$E$9)</f>
        <v>0</v>
      </c>
      <c r="BC66" s="108">
        <f>_xlfn.IFNA($M66/VLOOKUP($BV66,'Unit information'!$A$2:$K$29,11,FALSE)*AA66,0)*(1+$E$9)</f>
        <v>0</v>
      </c>
      <c r="BD66" s="106">
        <f t="shared" si="12"/>
        <v>0</v>
      </c>
      <c r="BE66" s="107">
        <f t="shared" si="13"/>
        <v>0</v>
      </c>
      <c r="BF66" s="108">
        <f t="shared" si="14"/>
        <v>0</v>
      </c>
      <c r="BG66" s="69" t="e">
        <f t="shared" si="15"/>
        <v>#N/A</v>
      </c>
      <c r="BH66" s="69" t="e">
        <f t="shared" si="16"/>
        <v>#N/A</v>
      </c>
      <c r="BI66" s="69" t="e">
        <f t="shared" si="17"/>
        <v>#N/A</v>
      </c>
      <c r="BJ66" s="72" t="e">
        <f t="shared" si="18"/>
        <v>#N/A</v>
      </c>
      <c r="BK66" s="73" t="e">
        <f t="shared" si="19"/>
        <v>#N/A</v>
      </c>
      <c r="BL66" s="73" t="e">
        <f t="shared" si="20"/>
        <v>#N/A</v>
      </c>
      <c r="BM66" s="74" t="e">
        <f t="shared" si="84"/>
        <v>#N/A</v>
      </c>
      <c r="BN66" s="65">
        <f>HLOOKUP("maximum population",Miscelaneous!$C$1:$C$33,CH66+3,FALSE)</f>
        <v>240</v>
      </c>
      <c r="BO66" s="14">
        <f t="shared" si="36"/>
        <v>32</v>
      </c>
      <c r="BP66" s="14">
        <f t="shared" si="37"/>
        <v>0</v>
      </c>
      <c r="BQ66" s="14">
        <f t="shared" si="38"/>
        <v>208</v>
      </c>
      <c r="BR66" s="34" t="e">
        <f>HLOOKUP(J66,Villagers!$B$1:$V$33,L66+3,FALSE)-HLOOKUP(J66,Villagers!$B$1:$V$33,L66+2,FALSE)</f>
        <v>#N/A</v>
      </c>
      <c r="BS66" s="68">
        <f t="shared" si="39"/>
        <v>1</v>
      </c>
      <c r="BT66" s="70">
        <f t="shared" si="40"/>
        <v>0</v>
      </c>
      <c r="BU66" s="70">
        <f t="shared" si="41"/>
        <v>0</v>
      </c>
      <c r="BV66" s="70">
        <f t="shared" si="86"/>
        <v>0</v>
      </c>
      <c r="BW66" s="70">
        <f t="shared" si="87"/>
        <v>0</v>
      </c>
      <c r="BX66" s="70">
        <f t="shared" si="88"/>
        <v>0</v>
      </c>
      <c r="BY66" s="50">
        <f t="shared" si="88"/>
        <v>0</v>
      </c>
      <c r="BZ66" s="70">
        <f t="shared" si="45"/>
        <v>0</v>
      </c>
      <c r="CA66" s="70">
        <f t="shared" si="46"/>
        <v>0</v>
      </c>
      <c r="CB66" s="70">
        <f t="shared" si="47"/>
        <v>1</v>
      </c>
      <c r="CC66" s="70">
        <f t="shared" si="48"/>
        <v>0</v>
      </c>
      <c r="CD66" s="70">
        <f t="shared" si="49"/>
        <v>0</v>
      </c>
      <c r="CE66" s="70">
        <f t="shared" si="50"/>
        <v>1</v>
      </c>
      <c r="CF66" s="70">
        <f t="shared" si="51"/>
        <v>1</v>
      </c>
      <c r="CG66" s="70">
        <f t="shared" si="52"/>
        <v>1</v>
      </c>
      <c r="CH66" s="70">
        <f t="shared" si="53"/>
        <v>1</v>
      </c>
      <c r="CI66" s="70">
        <f t="shared" si="54"/>
        <v>1</v>
      </c>
      <c r="CJ66" s="70">
        <f t="shared" si="55"/>
        <v>1</v>
      </c>
      <c r="CK66" s="70">
        <f t="shared" si="56"/>
        <v>0</v>
      </c>
      <c r="CL66" s="70">
        <f t="shared" si="55"/>
        <v>0</v>
      </c>
      <c r="CM66" s="71">
        <f t="shared" si="57"/>
        <v>0</v>
      </c>
      <c r="CN66" s="33">
        <f>ROUND(IF(BS66=0,0,HLOOKUP(BS$14,Villagers!$B$1:$V$33,BS66+3,FALSE)),)</f>
        <v>5</v>
      </c>
      <c r="CO66" s="14">
        <f>ROUND(IF(BT66=0,0,HLOOKUP(BT$14,Villagers!$B$1:$V$33,BT66+3,FALSE)),)</f>
        <v>0</v>
      </c>
      <c r="CP66" s="14">
        <f>ROUND(IF(BU66=0,0,HLOOKUP(BU$14,Villagers!$B$1:$V$33,BU66+3,FALSE)),)</f>
        <v>0</v>
      </c>
      <c r="CQ66" s="14">
        <f>ROUND(IF(BV66=0,0,HLOOKUP(BV$14,Villagers!$B$1:$V$33,BV66+3,FALSE)),)</f>
        <v>0</v>
      </c>
      <c r="CR66" s="14">
        <f>ROUND(IF(BW66=0,0,HLOOKUP(BW$14,Villagers!$B$1:$V$33,BW66+3,FALSE)),)</f>
        <v>0</v>
      </c>
      <c r="CS66" s="14">
        <f>ROUND(IF(BX66=0,0,HLOOKUP(BX$14,Villagers!$B$1:$V$33,BX66+3,FALSE)),)</f>
        <v>0</v>
      </c>
      <c r="CT66" s="14">
        <f>ROUND(IF(BY66=0,0,HLOOKUP(BY$14,Villagers!$B$1:$V$33,BY66+3,FALSE)),)</f>
        <v>0</v>
      </c>
      <c r="CU66" s="14">
        <f>ROUND(IF(BZ66=0,0,HLOOKUP(BZ$14,Villagers!$B$1:$V$33,BZ66+3,FALSE)),)</f>
        <v>0</v>
      </c>
      <c r="CV66" s="14">
        <f>ROUND(IF(CA66=0,0,HLOOKUP(CA$14,Villagers!$B$1:$V$33,CA66+3,FALSE)),)</f>
        <v>0</v>
      </c>
      <c r="CW66" s="14">
        <f>ROUND(IF(CB66=0,0,HLOOKUP(CB$14,Villagers!$B$1:$V$33,CB66+3,FALSE)),)</f>
        <v>0</v>
      </c>
      <c r="CX66" s="14">
        <f>ROUND(IF(CC66=0,0,HLOOKUP(CC$14,Villagers!$B$1:$V$33,CC66+3,FALSE)),)</f>
        <v>0</v>
      </c>
      <c r="CY66" s="14">
        <f>ROUND(IF(CD66=0,0,HLOOKUP(CD$14,Villagers!$B$1:$V$33,CD66+3,FALSE)),)</f>
        <v>0</v>
      </c>
      <c r="CZ66" s="14">
        <f>ROUND(IF(CE66=0,0,HLOOKUP(CE$14,Villagers!$B$1:$V$33,CE66+3,FALSE)),)</f>
        <v>5</v>
      </c>
      <c r="DA66" s="14">
        <f>ROUND(IF(CF66=0,0,HLOOKUP(CF$14,Villagers!$B$1:$V$33,CF66+3,FALSE)),)</f>
        <v>10</v>
      </c>
      <c r="DB66" s="14">
        <f>ROUND(IF(CG66=0,0,HLOOKUP(CG$14,Villagers!$B$1:$V$33,CG66+3,FALSE)),)</f>
        <v>10</v>
      </c>
      <c r="DC66" s="14">
        <f>ROUND(IF(CH66=0,0,HLOOKUP(CH$14,Villagers!$B$1:$V$33,CH66+3,FALSE)),)</f>
        <v>0</v>
      </c>
      <c r="DD66" s="14">
        <f>ROUND(IF(CI66=0,0,HLOOKUP(CI$14,Villagers!$B$1:$V$33,CI66+3,FALSE)),)</f>
        <v>0</v>
      </c>
      <c r="DE66" s="14">
        <f>ROUND(IF(CJ66=0,0,HLOOKUP(CJ$14,Villagers!$B$1:$V$33,CJ66+3,FALSE)),)</f>
        <v>2</v>
      </c>
      <c r="DF66" s="370">
        <f>ROUND(IF(CK66=0,0,HLOOKUP(CK$14,Villagers!$B$1:$V$33,CK66+3,FALSE)),)</f>
        <v>0</v>
      </c>
      <c r="DG66" s="370">
        <f>ROUND(IF(CL66=0,0,HLOOKUP(CL$14,Villagers!$B$1:$V$33,CL66+3,FALSE)),)</f>
        <v>0</v>
      </c>
      <c r="DH66" s="34">
        <f>ROUND(IF(CM66=0,0,HLOOKUP(CM$14,Villagers!$B$1:$V$33,CM66+3,FALSE)),)</f>
        <v>0</v>
      </c>
      <c r="DI66" s="109">
        <f t="shared" si="73"/>
        <v>0</v>
      </c>
      <c r="DJ66" s="50">
        <f t="shared" si="74"/>
        <v>0</v>
      </c>
      <c r="DK66" s="50">
        <f t="shared" si="75"/>
        <v>0</v>
      </c>
      <c r="DL66" s="50">
        <f t="shared" si="76"/>
        <v>0</v>
      </c>
      <c r="DM66" s="50">
        <f t="shared" si="77"/>
        <v>0</v>
      </c>
      <c r="DN66" s="50">
        <f t="shared" si="78"/>
        <v>0</v>
      </c>
      <c r="DO66" s="50">
        <f t="shared" si="79"/>
        <v>0</v>
      </c>
      <c r="DP66" s="50">
        <f t="shared" si="80"/>
        <v>0</v>
      </c>
      <c r="DQ66" s="50">
        <f t="shared" si="59"/>
        <v>0</v>
      </c>
      <c r="DR66" s="50">
        <f t="shared" si="60"/>
        <v>0</v>
      </c>
      <c r="DS66" s="97">
        <f>Miscelaneous!$D$4*Miscelaneous!$D$2^($CI66-1)</f>
        <v>1000</v>
      </c>
      <c r="DT66" s="334">
        <f t="shared" si="61"/>
        <v>1</v>
      </c>
      <c r="DU66" s="81">
        <v>1</v>
      </c>
      <c r="DV66" s="79">
        <f t="shared" si="62"/>
        <v>0</v>
      </c>
      <c r="DW66" s="79">
        <f t="shared" si="23"/>
        <v>0</v>
      </c>
      <c r="DX66" s="79">
        <f t="shared" si="63"/>
        <v>0</v>
      </c>
      <c r="DY66" s="79">
        <v>1</v>
      </c>
      <c r="DZ66" s="79">
        <f t="shared" si="24"/>
        <v>0</v>
      </c>
      <c r="EA66" s="79">
        <f t="shared" si="64"/>
        <v>0</v>
      </c>
      <c r="EB66" s="79">
        <f t="shared" si="65"/>
        <v>0</v>
      </c>
      <c r="EC66" s="79">
        <f t="shared" si="66"/>
        <v>0</v>
      </c>
      <c r="ED66" s="79">
        <v>1</v>
      </c>
      <c r="EE66" s="79">
        <v>1</v>
      </c>
      <c r="EF66" s="79">
        <f t="shared" si="67"/>
        <v>0</v>
      </c>
      <c r="EG66" s="79">
        <v>1</v>
      </c>
      <c r="EH66" s="79">
        <v>1</v>
      </c>
      <c r="EI66" s="79">
        <v>1</v>
      </c>
      <c r="EJ66" s="79">
        <v>1</v>
      </c>
      <c r="EK66" s="79">
        <v>1</v>
      </c>
      <c r="EL66" s="79">
        <v>1</v>
      </c>
      <c r="EM66" s="143">
        <f t="shared" si="68"/>
        <v>0</v>
      </c>
      <c r="EN66" s="143">
        <f t="shared" si="69"/>
        <v>0</v>
      </c>
      <c r="EO66" s="82">
        <f t="shared" si="70"/>
        <v>0</v>
      </c>
    </row>
    <row r="67" spans="1:145" x14ac:dyDescent="0.25">
      <c r="A67">
        <v>53</v>
      </c>
      <c r="B67" s="172" t="e">
        <f t="shared" si="25"/>
        <v>#N/A</v>
      </c>
      <c r="C67" s="121" t="e">
        <f t="shared" si="0"/>
        <v>#N/A</v>
      </c>
      <c r="D67" s="122" t="e">
        <f t="shared" si="1"/>
        <v>#N/A</v>
      </c>
      <c r="E67" s="122" t="e">
        <f t="shared" si="2"/>
        <v>#N/A</v>
      </c>
      <c r="F67" s="176" t="e">
        <f t="shared" si="3"/>
        <v>#N/A</v>
      </c>
      <c r="G67" s="121">
        <f t="shared" si="26"/>
        <v>208</v>
      </c>
      <c r="H67" s="176" t="e">
        <f t="shared" si="27"/>
        <v>#N/A</v>
      </c>
      <c r="I67" s="48">
        <v>1</v>
      </c>
      <c r="J67" s="39"/>
      <c r="K67" s="350">
        <v>1</v>
      </c>
      <c r="L67" s="34" t="e">
        <f t="shared" si="4"/>
        <v>#N/A</v>
      </c>
      <c r="M67" s="38" t="e">
        <f>(HLOOKUP(J67,'Construction Times'!$B$3:$W$34,L67+2,FALSE)*HLOOKUP("hq modifier",'Construction Times'!$W$3:$W$34,BS67+2,FALSE))*(1-$H$9)</f>
        <v>#N/A</v>
      </c>
      <c r="N67" s="443" t="e">
        <f t="shared" si="28"/>
        <v>#N/A</v>
      </c>
      <c r="O67" s="444"/>
      <c r="P67" s="447" t="e">
        <f t="shared" si="29"/>
        <v>#N/A</v>
      </c>
      <c r="Q67" s="448"/>
      <c r="R67" s="103">
        <f t="shared" si="71"/>
        <v>0</v>
      </c>
      <c r="S67" s="104">
        <f t="shared" si="71"/>
        <v>0</v>
      </c>
      <c r="T67" s="104">
        <f t="shared" si="72"/>
        <v>0</v>
      </c>
      <c r="U67" s="104">
        <f t="shared" si="72"/>
        <v>0</v>
      </c>
      <c r="V67" s="104">
        <f t="shared" si="72"/>
        <v>9.9999999999999995E-8</v>
      </c>
      <c r="W67" s="104">
        <f t="shared" si="72"/>
        <v>0</v>
      </c>
      <c r="X67" s="104">
        <f t="shared" si="85"/>
        <v>0</v>
      </c>
      <c r="Y67" s="104">
        <f t="shared" si="85"/>
        <v>9.9999999999999995E-8</v>
      </c>
      <c r="Z67" s="104">
        <f t="shared" si="85"/>
        <v>9.9999999999999995E-8</v>
      </c>
      <c r="AA67" s="105">
        <f t="shared" si="85"/>
        <v>9.9999999999999995E-8</v>
      </c>
      <c r="AB67" s="101" t="e">
        <f>$DT67*HLOOKUP($J67,'Construction Costs (timber)'!$B$1:$V$32,'Construction Planner'!$L67+2,FALSE)</f>
        <v>#N/A</v>
      </c>
      <c r="AC67" s="14" t="e">
        <f>$DT67*HLOOKUP($J67,'Construction Costs (clay)'!$B$1:$V$32,'Construction Planner'!$L67+2,FALSE)</f>
        <v>#N/A</v>
      </c>
      <c r="AD67" s="14" t="e">
        <f>$DT67*HLOOKUP($J67,'Construction Costs (iron)'!$B$1:$V$32,'Construction Planner'!$L67+2,FALSE)</f>
        <v>#N/A</v>
      </c>
      <c r="AE67" s="34" t="e">
        <f t="shared" si="81"/>
        <v>#N/A</v>
      </c>
      <c r="AF67" s="33" t="e">
        <f t="shared" si="5"/>
        <v>#N/A</v>
      </c>
      <c r="AG67" s="14" t="e">
        <f t="shared" si="6"/>
        <v>#N/A</v>
      </c>
      <c r="AH67" s="14" t="e">
        <f t="shared" si="7"/>
        <v>#N/A</v>
      </c>
      <c r="AI67" s="34" t="e">
        <f t="shared" si="82"/>
        <v>#N/A</v>
      </c>
      <c r="AJ67" s="49" t="e">
        <f t="shared" si="32"/>
        <v>#N/A</v>
      </c>
      <c r="AK67" s="49" t="e">
        <f t="shared" si="33"/>
        <v>#N/A</v>
      </c>
      <c r="AL67" s="49" t="e">
        <f t="shared" si="34"/>
        <v>#N/A</v>
      </c>
      <c r="AM67" s="25">
        <f t="shared" si="8"/>
        <v>30</v>
      </c>
      <c r="AN67" s="25">
        <f t="shared" si="9"/>
        <v>30</v>
      </c>
      <c r="AO67" s="25">
        <f t="shared" si="10"/>
        <v>30</v>
      </c>
      <c r="AP67" s="52" t="e">
        <f t="shared" si="35"/>
        <v>#N/A</v>
      </c>
      <c r="AQ67" s="53" t="e">
        <f t="shared" si="35"/>
        <v>#N/A</v>
      </c>
      <c r="AR67" s="54" t="e">
        <f t="shared" si="35"/>
        <v>#N/A</v>
      </c>
      <c r="AS67" s="316">
        <f t="shared" si="83"/>
        <v>0</v>
      </c>
      <c r="AT67" s="106">
        <f>_xlfn.IFNA($M67/VLOOKUP($BT67,'Unit information'!$A$2:$K$29,2,FALSE)*R67,0)*(1+$E$9)</f>
        <v>0</v>
      </c>
      <c r="AU67" s="107">
        <f>_xlfn.IFNA($M67/VLOOKUP($BT67,'Unit information'!$A$2:$K$29,3,FALSE)*S67,0)*(1+$E$9)</f>
        <v>0</v>
      </c>
      <c r="AV67" s="107">
        <f>_xlfn.IFNA($M67/VLOOKUP($BT67,'Unit information'!$A$2:$K$29,4,FALSE)*T67,0)*(1+$E$9)</f>
        <v>0</v>
      </c>
      <c r="AW67" s="107">
        <f>_xlfn.IFNA($M67/VLOOKUP($BT67,'Unit information'!$A$2:$K$29,5,FALSE)*U67,0)*(1+$E$9)</f>
        <v>0</v>
      </c>
      <c r="AX67" s="107">
        <f>_xlfn.IFNA($M67/VLOOKUP($BU67,'Unit information'!$A$2:$K$29,6,FALSE)*V67,0)*(1+$E$9)</f>
        <v>0</v>
      </c>
      <c r="AY67" s="107">
        <f>_xlfn.IFNA($M67/VLOOKUP($BU67,'Unit information'!$A$2:$K$29,7,FALSE)*W67,0)*(1+$E$9)</f>
        <v>0</v>
      </c>
      <c r="AZ67" s="107">
        <f>_xlfn.IFNA($M67/VLOOKUP($BU67,'Unit information'!$A$2:$K$29,8,FALSE)*X67,0)*(1+$E$9)</f>
        <v>0</v>
      </c>
      <c r="BA67" s="107">
        <f>_xlfn.IFNA($M67/VLOOKUP($BU67,'Unit information'!$A$2:$K$29,9,FALSE)*Y67,0)*(1+$E$9)</f>
        <v>0</v>
      </c>
      <c r="BB67" s="107">
        <f>_xlfn.IFNA($M67/VLOOKUP($BV67,'Unit information'!$A$2:$K$29,10,FALSE)*Z67,0)*(1+$E$9)</f>
        <v>0</v>
      </c>
      <c r="BC67" s="108">
        <f>_xlfn.IFNA($M67/VLOOKUP($BV67,'Unit information'!$A$2:$K$29,11,FALSE)*AA67,0)*(1+$E$9)</f>
        <v>0</v>
      </c>
      <c r="BD67" s="106">
        <f t="shared" si="12"/>
        <v>0</v>
      </c>
      <c r="BE67" s="107">
        <f t="shared" si="13"/>
        <v>0</v>
      </c>
      <c r="BF67" s="108">
        <f t="shared" si="14"/>
        <v>0</v>
      </c>
      <c r="BG67" s="25" t="e">
        <f t="shared" si="15"/>
        <v>#N/A</v>
      </c>
      <c r="BH67" s="25" t="e">
        <f t="shared" si="16"/>
        <v>#N/A</v>
      </c>
      <c r="BI67" s="25" t="e">
        <f t="shared" si="17"/>
        <v>#N/A</v>
      </c>
      <c r="BJ67" s="27" t="e">
        <f t="shared" si="18"/>
        <v>#N/A</v>
      </c>
      <c r="BK67" s="18" t="e">
        <f t="shared" si="19"/>
        <v>#N/A</v>
      </c>
      <c r="BL67" s="18" t="e">
        <f t="shared" si="20"/>
        <v>#N/A</v>
      </c>
      <c r="BM67" s="28" t="e">
        <f t="shared" si="84"/>
        <v>#N/A</v>
      </c>
      <c r="BN67" s="33">
        <f>HLOOKUP("maximum population",Miscelaneous!$C$1:$C$33,CH67+3,FALSE)</f>
        <v>240</v>
      </c>
      <c r="BO67" s="14">
        <f t="shared" si="36"/>
        <v>32</v>
      </c>
      <c r="BP67" s="14">
        <f t="shared" si="37"/>
        <v>0</v>
      </c>
      <c r="BQ67" s="14">
        <f t="shared" si="38"/>
        <v>208</v>
      </c>
      <c r="BR67" s="34" t="e">
        <f>HLOOKUP(J67,Villagers!$B$1:$V$33,L67+3,FALSE)-HLOOKUP(J67,Villagers!$B$1:$V$33,L67+2,FALSE)</f>
        <v>#N/A</v>
      </c>
      <c r="BS67" s="49">
        <f t="shared" si="39"/>
        <v>1</v>
      </c>
      <c r="BT67" s="50">
        <f t="shared" si="40"/>
        <v>0</v>
      </c>
      <c r="BU67" s="50">
        <f t="shared" si="41"/>
        <v>0</v>
      </c>
      <c r="BV67" s="50">
        <f t="shared" si="86"/>
        <v>0</v>
      </c>
      <c r="BW67" s="50">
        <f t="shared" si="87"/>
        <v>0</v>
      </c>
      <c r="BX67" s="50">
        <f t="shared" si="88"/>
        <v>0</v>
      </c>
      <c r="BY67" s="50">
        <f t="shared" si="88"/>
        <v>0</v>
      </c>
      <c r="BZ67" s="50">
        <f t="shared" si="45"/>
        <v>0</v>
      </c>
      <c r="CA67" s="50">
        <f t="shared" si="46"/>
        <v>0</v>
      </c>
      <c r="CB67" s="50">
        <f t="shared" si="47"/>
        <v>1</v>
      </c>
      <c r="CC67" s="50">
        <f t="shared" si="48"/>
        <v>0</v>
      </c>
      <c r="CD67" s="50">
        <f t="shared" si="49"/>
        <v>0</v>
      </c>
      <c r="CE67" s="50">
        <f t="shared" si="50"/>
        <v>1</v>
      </c>
      <c r="CF67" s="50">
        <f t="shared" si="51"/>
        <v>1</v>
      </c>
      <c r="CG67" s="50">
        <f t="shared" si="52"/>
        <v>1</v>
      </c>
      <c r="CH67" s="50">
        <f t="shared" si="53"/>
        <v>1</v>
      </c>
      <c r="CI67" s="50">
        <f t="shared" si="54"/>
        <v>1</v>
      </c>
      <c r="CJ67" s="50">
        <f t="shared" si="55"/>
        <v>1</v>
      </c>
      <c r="CK67" s="50">
        <f t="shared" si="56"/>
        <v>0</v>
      </c>
      <c r="CL67" s="50">
        <f t="shared" si="55"/>
        <v>0</v>
      </c>
      <c r="CM67" s="51">
        <f t="shared" si="57"/>
        <v>0</v>
      </c>
      <c r="CN67" s="33">
        <f>ROUND(IF(BS67=0,0,HLOOKUP(BS$14,Villagers!$B$1:$V$33,BS67+3,FALSE)),)</f>
        <v>5</v>
      </c>
      <c r="CO67" s="14">
        <f>ROUND(IF(BT67=0,0,HLOOKUP(BT$14,Villagers!$B$1:$V$33,BT67+3,FALSE)),)</f>
        <v>0</v>
      </c>
      <c r="CP67" s="14">
        <f>ROUND(IF(BU67=0,0,HLOOKUP(BU$14,Villagers!$B$1:$V$33,BU67+3,FALSE)),)</f>
        <v>0</v>
      </c>
      <c r="CQ67" s="14">
        <f>ROUND(IF(BV67=0,0,HLOOKUP(BV$14,Villagers!$B$1:$V$33,BV67+3,FALSE)),)</f>
        <v>0</v>
      </c>
      <c r="CR67" s="14">
        <f>ROUND(IF(BW67=0,0,HLOOKUP(BW$14,Villagers!$B$1:$V$33,BW67+3,FALSE)),)</f>
        <v>0</v>
      </c>
      <c r="CS67" s="14">
        <f>ROUND(IF(BX67=0,0,HLOOKUP(BX$14,Villagers!$B$1:$V$33,BX67+3,FALSE)),)</f>
        <v>0</v>
      </c>
      <c r="CT67" s="14">
        <f>ROUND(IF(BY67=0,0,HLOOKUP(BY$14,Villagers!$B$1:$V$33,BY67+3,FALSE)),)</f>
        <v>0</v>
      </c>
      <c r="CU67" s="14">
        <f>ROUND(IF(BZ67=0,0,HLOOKUP(BZ$14,Villagers!$B$1:$V$33,BZ67+3,FALSE)),)</f>
        <v>0</v>
      </c>
      <c r="CV67" s="14">
        <f>ROUND(IF(CA67=0,0,HLOOKUP(CA$14,Villagers!$B$1:$V$33,CA67+3,FALSE)),)</f>
        <v>0</v>
      </c>
      <c r="CW67" s="14">
        <f>ROUND(IF(CB67=0,0,HLOOKUP(CB$14,Villagers!$B$1:$V$33,CB67+3,FALSE)),)</f>
        <v>0</v>
      </c>
      <c r="CX67" s="14">
        <f>ROUND(IF(CC67=0,0,HLOOKUP(CC$14,Villagers!$B$1:$V$33,CC67+3,FALSE)),)</f>
        <v>0</v>
      </c>
      <c r="CY67" s="14">
        <f>ROUND(IF(CD67=0,0,HLOOKUP(CD$14,Villagers!$B$1:$V$33,CD67+3,FALSE)),)</f>
        <v>0</v>
      </c>
      <c r="CZ67" s="14">
        <f>ROUND(IF(CE67=0,0,HLOOKUP(CE$14,Villagers!$B$1:$V$33,CE67+3,FALSE)),)</f>
        <v>5</v>
      </c>
      <c r="DA67" s="14">
        <f>ROUND(IF(CF67=0,0,HLOOKUP(CF$14,Villagers!$B$1:$V$33,CF67+3,FALSE)),)</f>
        <v>10</v>
      </c>
      <c r="DB67" s="14">
        <f>ROUND(IF(CG67=0,0,HLOOKUP(CG$14,Villagers!$B$1:$V$33,CG67+3,FALSE)),)</f>
        <v>10</v>
      </c>
      <c r="DC67" s="14">
        <f>ROUND(IF(CH67=0,0,HLOOKUP(CH$14,Villagers!$B$1:$V$33,CH67+3,FALSE)),)</f>
        <v>0</v>
      </c>
      <c r="DD67" s="14">
        <f>ROUND(IF(CI67=0,0,HLOOKUP(CI$14,Villagers!$B$1:$V$33,CI67+3,FALSE)),)</f>
        <v>0</v>
      </c>
      <c r="DE67" s="14">
        <f>ROUND(IF(CJ67=0,0,HLOOKUP(CJ$14,Villagers!$B$1:$V$33,CJ67+3,FALSE)),)</f>
        <v>2</v>
      </c>
      <c r="DF67" s="370">
        <f>ROUND(IF(CK67=0,0,HLOOKUP(CK$14,Villagers!$B$1:$V$33,CK67+3,FALSE)),)</f>
        <v>0</v>
      </c>
      <c r="DG67" s="370">
        <f>ROUND(IF(CL67=0,0,HLOOKUP(CL$14,Villagers!$B$1:$V$33,CL67+3,FALSE)),)</f>
        <v>0</v>
      </c>
      <c r="DH67" s="34">
        <f>ROUND(IF(CM67=0,0,HLOOKUP(CM$14,Villagers!$B$1:$V$33,CM67+3,FALSE)),)</f>
        <v>0</v>
      </c>
      <c r="DI67" s="109">
        <f t="shared" si="73"/>
        <v>0</v>
      </c>
      <c r="DJ67" s="50">
        <f t="shared" si="74"/>
        <v>0</v>
      </c>
      <c r="DK67" s="50">
        <f t="shared" si="75"/>
        <v>0</v>
      </c>
      <c r="DL67" s="50">
        <f t="shared" si="76"/>
        <v>0</v>
      </c>
      <c r="DM67" s="50">
        <f t="shared" si="77"/>
        <v>0</v>
      </c>
      <c r="DN67" s="50">
        <f t="shared" si="78"/>
        <v>0</v>
      </c>
      <c r="DO67" s="50">
        <f t="shared" si="79"/>
        <v>0</v>
      </c>
      <c r="DP67" s="50">
        <f t="shared" si="80"/>
        <v>0</v>
      </c>
      <c r="DQ67" s="50">
        <f t="shared" si="59"/>
        <v>0</v>
      </c>
      <c r="DR67" s="50">
        <f t="shared" si="60"/>
        <v>0</v>
      </c>
      <c r="DS67" s="96">
        <f>Miscelaneous!$D$4*Miscelaneous!$D$2^($CI67-1)</f>
        <v>1000</v>
      </c>
      <c r="DT67" s="333">
        <f t="shared" si="61"/>
        <v>1</v>
      </c>
      <c r="DU67" s="81">
        <v>1</v>
      </c>
      <c r="DV67" s="79">
        <f t="shared" si="62"/>
        <v>0</v>
      </c>
      <c r="DW67" s="79">
        <f t="shared" si="23"/>
        <v>0</v>
      </c>
      <c r="DX67" s="79">
        <f t="shared" si="63"/>
        <v>0</v>
      </c>
      <c r="DY67" s="79">
        <v>1</v>
      </c>
      <c r="DZ67" s="79">
        <f t="shared" si="24"/>
        <v>0</v>
      </c>
      <c r="EA67" s="79">
        <f t="shared" si="64"/>
        <v>0</v>
      </c>
      <c r="EB67" s="79">
        <f t="shared" si="65"/>
        <v>0</v>
      </c>
      <c r="EC67" s="79">
        <f t="shared" si="66"/>
        <v>0</v>
      </c>
      <c r="ED67" s="79">
        <v>1</v>
      </c>
      <c r="EE67" s="79">
        <v>1</v>
      </c>
      <c r="EF67" s="79">
        <f t="shared" si="67"/>
        <v>0</v>
      </c>
      <c r="EG67" s="79">
        <v>1</v>
      </c>
      <c r="EH67" s="79">
        <v>1</v>
      </c>
      <c r="EI67" s="79">
        <v>1</v>
      </c>
      <c r="EJ67" s="79">
        <v>1</v>
      </c>
      <c r="EK67" s="79">
        <v>1</v>
      </c>
      <c r="EL67" s="79">
        <v>1</v>
      </c>
      <c r="EM67" s="143">
        <f t="shared" si="68"/>
        <v>0</v>
      </c>
      <c r="EN67" s="143">
        <f t="shared" si="69"/>
        <v>0</v>
      </c>
      <c r="EO67" s="82">
        <f t="shared" si="70"/>
        <v>0</v>
      </c>
    </row>
    <row r="68" spans="1:145" x14ac:dyDescent="0.25">
      <c r="A68">
        <v>54</v>
      </c>
      <c r="B68" s="172" t="e">
        <f t="shared" si="25"/>
        <v>#N/A</v>
      </c>
      <c r="C68" s="121" t="e">
        <f t="shared" si="0"/>
        <v>#N/A</v>
      </c>
      <c r="D68" s="122" t="e">
        <f t="shared" si="1"/>
        <v>#N/A</v>
      </c>
      <c r="E68" s="122" t="e">
        <f t="shared" si="2"/>
        <v>#N/A</v>
      </c>
      <c r="F68" s="176" t="e">
        <f t="shared" si="3"/>
        <v>#N/A</v>
      </c>
      <c r="G68" s="121">
        <f t="shared" si="26"/>
        <v>208</v>
      </c>
      <c r="H68" s="176" t="e">
        <f t="shared" si="27"/>
        <v>#N/A</v>
      </c>
      <c r="I68" s="48">
        <v>1</v>
      </c>
      <c r="J68" s="39"/>
      <c r="K68" s="350">
        <v>1</v>
      </c>
      <c r="L68" s="34" t="e">
        <f t="shared" si="4"/>
        <v>#N/A</v>
      </c>
      <c r="M68" s="38" t="e">
        <f>(HLOOKUP(J68,'Construction Times'!$B$3:$W$34,L68+2,FALSE)*HLOOKUP("hq modifier",'Construction Times'!$W$3:$W$34,BS68+2,FALSE))*(1-$H$9)</f>
        <v>#N/A</v>
      </c>
      <c r="N68" s="443" t="e">
        <f t="shared" si="28"/>
        <v>#N/A</v>
      </c>
      <c r="O68" s="444"/>
      <c r="P68" s="447" t="e">
        <f t="shared" si="29"/>
        <v>#N/A</v>
      </c>
      <c r="Q68" s="448"/>
      <c r="R68" s="103">
        <f t="shared" si="71"/>
        <v>0</v>
      </c>
      <c r="S68" s="104">
        <f t="shared" si="71"/>
        <v>0</v>
      </c>
      <c r="T68" s="104">
        <f t="shared" si="72"/>
        <v>0</v>
      </c>
      <c r="U68" s="104">
        <f t="shared" si="72"/>
        <v>0</v>
      </c>
      <c r="V68" s="104">
        <f t="shared" si="72"/>
        <v>9.9999999999999995E-8</v>
      </c>
      <c r="W68" s="104">
        <f t="shared" si="72"/>
        <v>0</v>
      </c>
      <c r="X68" s="104">
        <f t="shared" si="85"/>
        <v>0</v>
      </c>
      <c r="Y68" s="104">
        <f t="shared" si="85"/>
        <v>9.9999999999999995E-8</v>
      </c>
      <c r="Z68" s="104">
        <f t="shared" si="85"/>
        <v>9.9999999999999995E-8</v>
      </c>
      <c r="AA68" s="105">
        <f t="shared" si="85"/>
        <v>9.9999999999999995E-8</v>
      </c>
      <c r="AB68" s="101" t="e">
        <f>$DT68*HLOOKUP($J68,'Construction Costs (timber)'!$B$1:$V$32,'Construction Planner'!$L68+2,FALSE)</f>
        <v>#N/A</v>
      </c>
      <c r="AC68" s="14" t="e">
        <f>$DT68*HLOOKUP($J68,'Construction Costs (clay)'!$B$1:$V$32,'Construction Planner'!$L68+2,FALSE)</f>
        <v>#N/A</v>
      </c>
      <c r="AD68" s="14" t="e">
        <f>$DT68*HLOOKUP($J68,'Construction Costs (iron)'!$B$1:$V$32,'Construction Planner'!$L68+2,FALSE)</f>
        <v>#N/A</v>
      </c>
      <c r="AE68" s="34" t="e">
        <f t="shared" si="81"/>
        <v>#N/A</v>
      </c>
      <c r="AF68" s="33" t="e">
        <f t="shared" si="5"/>
        <v>#N/A</v>
      </c>
      <c r="AG68" s="14" t="e">
        <f t="shared" si="6"/>
        <v>#N/A</v>
      </c>
      <c r="AH68" s="14" t="e">
        <f t="shared" si="7"/>
        <v>#N/A</v>
      </c>
      <c r="AI68" s="34" t="e">
        <f t="shared" si="82"/>
        <v>#N/A</v>
      </c>
      <c r="AJ68" s="49" t="e">
        <f t="shared" si="32"/>
        <v>#N/A</v>
      </c>
      <c r="AK68" s="49" t="e">
        <f t="shared" si="33"/>
        <v>#N/A</v>
      </c>
      <c r="AL68" s="49" t="e">
        <f t="shared" si="34"/>
        <v>#N/A</v>
      </c>
      <c r="AM68" s="25">
        <f t="shared" si="8"/>
        <v>30</v>
      </c>
      <c r="AN68" s="25">
        <f t="shared" si="9"/>
        <v>30</v>
      </c>
      <c r="AO68" s="25">
        <f t="shared" si="10"/>
        <v>30</v>
      </c>
      <c r="AP68" s="52" t="e">
        <f t="shared" si="35"/>
        <v>#N/A</v>
      </c>
      <c r="AQ68" s="53" t="e">
        <f t="shared" si="35"/>
        <v>#N/A</v>
      </c>
      <c r="AR68" s="54" t="e">
        <f t="shared" si="35"/>
        <v>#N/A</v>
      </c>
      <c r="AS68" s="316">
        <f t="shared" si="83"/>
        <v>0</v>
      </c>
      <c r="AT68" s="106">
        <f>_xlfn.IFNA($M68/VLOOKUP($BT68,'Unit information'!$A$2:$K$29,2,FALSE)*R68,0)*(1+$E$9)</f>
        <v>0</v>
      </c>
      <c r="AU68" s="107">
        <f>_xlfn.IFNA($M68/VLOOKUP($BT68,'Unit information'!$A$2:$K$29,3,FALSE)*S68,0)*(1+$E$9)</f>
        <v>0</v>
      </c>
      <c r="AV68" s="107">
        <f>_xlfn.IFNA($M68/VLOOKUP($BT68,'Unit information'!$A$2:$K$29,4,FALSE)*T68,0)*(1+$E$9)</f>
        <v>0</v>
      </c>
      <c r="AW68" s="107">
        <f>_xlfn.IFNA($M68/VLOOKUP($BT68,'Unit information'!$A$2:$K$29,5,FALSE)*U68,0)*(1+$E$9)</f>
        <v>0</v>
      </c>
      <c r="AX68" s="107">
        <f>_xlfn.IFNA($M68/VLOOKUP($BU68,'Unit information'!$A$2:$K$29,6,FALSE)*V68,0)*(1+$E$9)</f>
        <v>0</v>
      </c>
      <c r="AY68" s="107">
        <f>_xlfn.IFNA($M68/VLOOKUP($BU68,'Unit information'!$A$2:$K$29,7,FALSE)*W68,0)*(1+$E$9)</f>
        <v>0</v>
      </c>
      <c r="AZ68" s="107">
        <f>_xlfn.IFNA($M68/VLOOKUP($BU68,'Unit information'!$A$2:$K$29,8,FALSE)*X68,0)*(1+$E$9)</f>
        <v>0</v>
      </c>
      <c r="BA68" s="107">
        <f>_xlfn.IFNA($M68/VLOOKUP($BU68,'Unit information'!$A$2:$K$29,9,FALSE)*Y68,0)*(1+$E$9)</f>
        <v>0</v>
      </c>
      <c r="BB68" s="107">
        <f>_xlfn.IFNA($M68/VLOOKUP($BV68,'Unit information'!$A$2:$K$29,10,FALSE)*Z68,0)*(1+$E$9)</f>
        <v>0</v>
      </c>
      <c r="BC68" s="108">
        <f>_xlfn.IFNA($M68/VLOOKUP($BV68,'Unit information'!$A$2:$K$29,11,FALSE)*AA68,0)*(1+$E$9)</f>
        <v>0</v>
      </c>
      <c r="BD68" s="106">
        <f t="shared" si="12"/>
        <v>0</v>
      </c>
      <c r="BE68" s="107">
        <f t="shared" si="13"/>
        <v>0</v>
      </c>
      <c r="BF68" s="108">
        <f t="shared" si="14"/>
        <v>0</v>
      </c>
      <c r="BG68" s="25" t="e">
        <f t="shared" si="15"/>
        <v>#N/A</v>
      </c>
      <c r="BH68" s="25" t="e">
        <f t="shared" si="16"/>
        <v>#N/A</v>
      </c>
      <c r="BI68" s="25" t="e">
        <f t="shared" si="17"/>
        <v>#N/A</v>
      </c>
      <c r="BJ68" s="27" t="e">
        <f t="shared" si="18"/>
        <v>#N/A</v>
      </c>
      <c r="BK68" s="18" t="e">
        <f t="shared" si="19"/>
        <v>#N/A</v>
      </c>
      <c r="BL68" s="18" t="e">
        <f t="shared" si="20"/>
        <v>#N/A</v>
      </c>
      <c r="BM68" s="28" t="e">
        <f t="shared" si="84"/>
        <v>#N/A</v>
      </c>
      <c r="BN68" s="33">
        <f>HLOOKUP("maximum population",Miscelaneous!$C$1:$C$33,CH68+3,FALSE)</f>
        <v>240</v>
      </c>
      <c r="BO68" s="14">
        <f t="shared" si="36"/>
        <v>32</v>
      </c>
      <c r="BP68" s="14">
        <f t="shared" si="37"/>
        <v>0</v>
      </c>
      <c r="BQ68" s="14">
        <f t="shared" si="38"/>
        <v>208</v>
      </c>
      <c r="BR68" s="34" t="e">
        <f>HLOOKUP(J68,Villagers!$B$1:$V$33,L68+3,FALSE)-HLOOKUP(J68,Villagers!$B$1:$V$33,L68+2,FALSE)</f>
        <v>#N/A</v>
      </c>
      <c r="BS68" s="49">
        <f t="shared" si="39"/>
        <v>1</v>
      </c>
      <c r="BT68" s="50">
        <f t="shared" si="40"/>
        <v>0</v>
      </c>
      <c r="BU68" s="50">
        <f t="shared" si="41"/>
        <v>0</v>
      </c>
      <c r="BV68" s="50">
        <f t="shared" si="86"/>
        <v>0</v>
      </c>
      <c r="BW68" s="50">
        <f t="shared" si="87"/>
        <v>0</v>
      </c>
      <c r="BX68" s="50">
        <f t="shared" si="88"/>
        <v>0</v>
      </c>
      <c r="BY68" s="50">
        <f t="shared" si="88"/>
        <v>0</v>
      </c>
      <c r="BZ68" s="50">
        <f t="shared" si="45"/>
        <v>0</v>
      </c>
      <c r="CA68" s="50">
        <f t="shared" si="46"/>
        <v>0</v>
      </c>
      <c r="CB68" s="50">
        <f t="shared" si="47"/>
        <v>1</v>
      </c>
      <c r="CC68" s="50">
        <f t="shared" si="48"/>
        <v>0</v>
      </c>
      <c r="CD68" s="50">
        <f t="shared" si="49"/>
        <v>0</v>
      </c>
      <c r="CE68" s="50">
        <f t="shared" si="50"/>
        <v>1</v>
      </c>
      <c r="CF68" s="50">
        <f t="shared" si="51"/>
        <v>1</v>
      </c>
      <c r="CG68" s="50">
        <f t="shared" si="52"/>
        <v>1</v>
      </c>
      <c r="CH68" s="50">
        <f t="shared" si="53"/>
        <v>1</v>
      </c>
      <c r="CI68" s="50">
        <f t="shared" si="54"/>
        <v>1</v>
      </c>
      <c r="CJ68" s="50">
        <f t="shared" si="55"/>
        <v>1</v>
      </c>
      <c r="CK68" s="50">
        <f t="shared" si="56"/>
        <v>0</v>
      </c>
      <c r="CL68" s="50">
        <f t="shared" si="55"/>
        <v>0</v>
      </c>
      <c r="CM68" s="51">
        <f t="shared" si="57"/>
        <v>0</v>
      </c>
      <c r="CN68" s="33">
        <f>ROUND(IF(BS68=0,0,HLOOKUP(BS$14,Villagers!$B$1:$V$33,BS68+3,FALSE)),)</f>
        <v>5</v>
      </c>
      <c r="CO68" s="14">
        <f>ROUND(IF(BT68=0,0,HLOOKUP(BT$14,Villagers!$B$1:$V$33,BT68+3,FALSE)),)</f>
        <v>0</v>
      </c>
      <c r="CP68" s="14">
        <f>ROUND(IF(BU68=0,0,HLOOKUP(BU$14,Villagers!$B$1:$V$33,BU68+3,FALSE)),)</f>
        <v>0</v>
      </c>
      <c r="CQ68" s="14">
        <f>ROUND(IF(BV68=0,0,HLOOKUP(BV$14,Villagers!$B$1:$V$33,BV68+3,FALSE)),)</f>
        <v>0</v>
      </c>
      <c r="CR68" s="14">
        <f>ROUND(IF(BW68=0,0,HLOOKUP(BW$14,Villagers!$B$1:$V$33,BW68+3,FALSE)),)</f>
        <v>0</v>
      </c>
      <c r="CS68" s="14">
        <f>ROUND(IF(BX68=0,0,HLOOKUP(BX$14,Villagers!$B$1:$V$33,BX68+3,FALSE)),)</f>
        <v>0</v>
      </c>
      <c r="CT68" s="14">
        <f>ROUND(IF(BY68=0,0,HLOOKUP(BY$14,Villagers!$B$1:$V$33,BY68+3,FALSE)),)</f>
        <v>0</v>
      </c>
      <c r="CU68" s="14">
        <f>ROUND(IF(BZ68=0,0,HLOOKUP(BZ$14,Villagers!$B$1:$V$33,BZ68+3,FALSE)),)</f>
        <v>0</v>
      </c>
      <c r="CV68" s="14">
        <f>ROUND(IF(CA68=0,0,HLOOKUP(CA$14,Villagers!$B$1:$V$33,CA68+3,FALSE)),)</f>
        <v>0</v>
      </c>
      <c r="CW68" s="14">
        <f>ROUND(IF(CB68=0,0,HLOOKUP(CB$14,Villagers!$B$1:$V$33,CB68+3,FALSE)),)</f>
        <v>0</v>
      </c>
      <c r="CX68" s="14">
        <f>ROUND(IF(CC68=0,0,HLOOKUP(CC$14,Villagers!$B$1:$V$33,CC68+3,FALSE)),)</f>
        <v>0</v>
      </c>
      <c r="CY68" s="14">
        <f>ROUND(IF(CD68=0,0,HLOOKUP(CD$14,Villagers!$B$1:$V$33,CD68+3,FALSE)),)</f>
        <v>0</v>
      </c>
      <c r="CZ68" s="14">
        <f>ROUND(IF(CE68=0,0,HLOOKUP(CE$14,Villagers!$B$1:$V$33,CE68+3,FALSE)),)</f>
        <v>5</v>
      </c>
      <c r="DA68" s="14">
        <f>ROUND(IF(CF68=0,0,HLOOKUP(CF$14,Villagers!$B$1:$V$33,CF68+3,FALSE)),)</f>
        <v>10</v>
      </c>
      <c r="DB68" s="14">
        <f>ROUND(IF(CG68=0,0,HLOOKUP(CG$14,Villagers!$B$1:$V$33,CG68+3,FALSE)),)</f>
        <v>10</v>
      </c>
      <c r="DC68" s="14">
        <f>ROUND(IF(CH68=0,0,HLOOKUP(CH$14,Villagers!$B$1:$V$33,CH68+3,FALSE)),)</f>
        <v>0</v>
      </c>
      <c r="DD68" s="14">
        <f>ROUND(IF(CI68=0,0,HLOOKUP(CI$14,Villagers!$B$1:$V$33,CI68+3,FALSE)),)</f>
        <v>0</v>
      </c>
      <c r="DE68" s="14">
        <f>ROUND(IF(CJ68=0,0,HLOOKUP(CJ$14,Villagers!$B$1:$V$33,CJ68+3,FALSE)),)</f>
        <v>2</v>
      </c>
      <c r="DF68" s="370">
        <f>ROUND(IF(CK68=0,0,HLOOKUP(CK$14,Villagers!$B$1:$V$33,CK68+3,FALSE)),)</f>
        <v>0</v>
      </c>
      <c r="DG68" s="370">
        <f>ROUND(IF(CL68=0,0,HLOOKUP(CL$14,Villagers!$B$1:$V$33,CL68+3,FALSE)),)</f>
        <v>0</v>
      </c>
      <c r="DH68" s="34">
        <f>ROUND(IF(CM68=0,0,HLOOKUP(CM$14,Villagers!$B$1:$V$33,CM68+3,FALSE)),)</f>
        <v>0</v>
      </c>
      <c r="DI68" s="109">
        <f t="shared" si="73"/>
        <v>0</v>
      </c>
      <c r="DJ68" s="50">
        <f t="shared" si="74"/>
        <v>0</v>
      </c>
      <c r="DK68" s="50">
        <f t="shared" si="75"/>
        <v>0</v>
      </c>
      <c r="DL68" s="50">
        <f t="shared" si="76"/>
        <v>0</v>
      </c>
      <c r="DM68" s="50">
        <f t="shared" si="77"/>
        <v>0</v>
      </c>
      <c r="DN68" s="50">
        <f t="shared" si="78"/>
        <v>0</v>
      </c>
      <c r="DO68" s="50">
        <f t="shared" si="79"/>
        <v>0</v>
      </c>
      <c r="DP68" s="50">
        <f t="shared" si="80"/>
        <v>0</v>
      </c>
      <c r="DQ68" s="50">
        <f t="shared" si="59"/>
        <v>0</v>
      </c>
      <c r="DR68" s="50">
        <f t="shared" si="60"/>
        <v>0</v>
      </c>
      <c r="DS68" s="96">
        <f>Miscelaneous!$D$4*Miscelaneous!$D$2^($CI68-1)</f>
        <v>1000</v>
      </c>
      <c r="DT68" s="333">
        <f t="shared" si="61"/>
        <v>1</v>
      </c>
      <c r="DU68" s="81">
        <v>1</v>
      </c>
      <c r="DV68" s="79">
        <f t="shared" si="62"/>
        <v>0</v>
      </c>
      <c r="DW68" s="79">
        <f t="shared" si="23"/>
        <v>0</v>
      </c>
      <c r="DX68" s="79">
        <f t="shared" si="63"/>
        <v>0</v>
      </c>
      <c r="DY68" s="79">
        <v>1</v>
      </c>
      <c r="DZ68" s="79">
        <f t="shared" si="24"/>
        <v>0</v>
      </c>
      <c r="EA68" s="79">
        <f t="shared" si="64"/>
        <v>0</v>
      </c>
      <c r="EB68" s="79">
        <f t="shared" si="65"/>
        <v>0</v>
      </c>
      <c r="EC68" s="79">
        <f t="shared" si="66"/>
        <v>0</v>
      </c>
      <c r="ED68" s="79">
        <v>1</v>
      </c>
      <c r="EE68" s="79">
        <v>1</v>
      </c>
      <c r="EF68" s="79">
        <f t="shared" si="67"/>
        <v>0</v>
      </c>
      <c r="EG68" s="79">
        <v>1</v>
      </c>
      <c r="EH68" s="79">
        <v>1</v>
      </c>
      <c r="EI68" s="79">
        <v>1</v>
      </c>
      <c r="EJ68" s="79">
        <v>1</v>
      </c>
      <c r="EK68" s="79">
        <v>1</v>
      </c>
      <c r="EL68" s="79">
        <v>1</v>
      </c>
      <c r="EM68" s="143">
        <f t="shared" si="68"/>
        <v>0</v>
      </c>
      <c r="EN68" s="143">
        <f t="shared" si="69"/>
        <v>0</v>
      </c>
      <c r="EO68" s="82">
        <f t="shared" si="70"/>
        <v>0</v>
      </c>
    </row>
    <row r="69" spans="1:145" x14ac:dyDescent="0.25">
      <c r="A69">
        <v>55</v>
      </c>
      <c r="B69" s="172" t="e">
        <f t="shared" si="25"/>
        <v>#N/A</v>
      </c>
      <c r="C69" s="121" t="e">
        <f t="shared" si="0"/>
        <v>#N/A</v>
      </c>
      <c r="D69" s="122" t="e">
        <f t="shared" si="1"/>
        <v>#N/A</v>
      </c>
      <c r="E69" s="122" t="e">
        <f t="shared" si="2"/>
        <v>#N/A</v>
      </c>
      <c r="F69" s="176" t="e">
        <f t="shared" si="3"/>
        <v>#N/A</v>
      </c>
      <c r="G69" s="121">
        <f t="shared" si="26"/>
        <v>208</v>
      </c>
      <c r="H69" s="176" t="e">
        <f t="shared" si="27"/>
        <v>#N/A</v>
      </c>
      <c r="I69" s="48">
        <v>1</v>
      </c>
      <c r="J69" s="39"/>
      <c r="K69" s="350">
        <v>1</v>
      </c>
      <c r="L69" s="34" t="e">
        <f t="shared" si="4"/>
        <v>#N/A</v>
      </c>
      <c r="M69" s="38" t="e">
        <f>(HLOOKUP(J69,'Construction Times'!$B$3:$W$34,L69+2,FALSE)*HLOOKUP("hq modifier",'Construction Times'!$W$3:$W$34,BS69+2,FALSE))*(1-$H$9)</f>
        <v>#N/A</v>
      </c>
      <c r="N69" s="443" t="e">
        <f t="shared" si="28"/>
        <v>#N/A</v>
      </c>
      <c r="O69" s="444"/>
      <c r="P69" s="447" t="e">
        <f t="shared" si="29"/>
        <v>#N/A</v>
      </c>
      <c r="Q69" s="448"/>
      <c r="R69" s="103">
        <f t="shared" si="71"/>
        <v>0</v>
      </c>
      <c r="S69" s="104">
        <f t="shared" si="71"/>
        <v>0</v>
      </c>
      <c r="T69" s="104">
        <f t="shared" si="72"/>
        <v>0</v>
      </c>
      <c r="U69" s="104">
        <f t="shared" si="72"/>
        <v>0</v>
      </c>
      <c r="V69" s="104">
        <f t="shared" si="72"/>
        <v>9.9999999999999995E-8</v>
      </c>
      <c r="W69" s="104">
        <f t="shared" si="72"/>
        <v>0</v>
      </c>
      <c r="X69" s="104">
        <f t="shared" si="85"/>
        <v>0</v>
      </c>
      <c r="Y69" s="104">
        <f t="shared" si="85"/>
        <v>9.9999999999999995E-8</v>
      </c>
      <c r="Z69" s="104">
        <f t="shared" si="85"/>
        <v>9.9999999999999995E-8</v>
      </c>
      <c r="AA69" s="105">
        <f t="shared" si="85"/>
        <v>9.9999999999999995E-8</v>
      </c>
      <c r="AB69" s="101" t="e">
        <f>$DT69*HLOOKUP($J69,'Construction Costs (timber)'!$B$1:$V$32,'Construction Planner'!$L69+2,FALSE)</f>
        <v>#N/A</v>
      </c>
      <c r="AC69" s="14" t="e">
        <f>$DT69*HLOOKUP($J69,'Construction Costs (clay)'!$B$1:$V$32,'Construction Planner'!$L69+2,FALSE)</f>
        <v>#N/A</v>
      </c>
      <c r="AD69" s="14" t="e">
        <f>$DT69*HLOOKUP($J69,'Construction Costs (iron)'!$B$1:$V$32,'Construction Planner'!$L69+2,FALSE)</f>
        <v>#N/A</v>
      </c>
      <c r="AE69" s="34" t="e">
        <f t="shared" si="81"/>
        <v>#N/A</v>
      </c>
      <c r="AF69" s="33" t="e">
        <f t="shared" si="5"/>
        <v>#N/A</v>
      </c>
      <c r="AG69" s="14" t="e">
        <f t="shared" si="6"/>
        <v>#N/A</v>
      </c>
      <c r="AH69" s="14" t="e">
        <f t="shared" si="7"/>
        <v>#N/A</v>
      </c>
      <c r="AI69" s="34" t="e">
        <f t="shared" si="82"/>
        <v>#N/A</v>
      </c>
      <c r="AJ69" s="49" t="e">
        <f t="shared" si="32"/>
        <v>#N/A</v>
      </c>
      <c r="AK69" s="49" t="e">
        <f t="shared" si="33"/>
        <v>#N/A</v>
      </c>
      <c r="AL69" s="49" t="e">
        <f t="shared" si="34"/>
        <v>#N/A</v>
      </c>
      <c r="AM69" s="25">
        <f t="shared" si="8"/>
        <v>30</v>
      </c>
      <c r="AN69" s="25">
        <f t="shared" si="9"/>
        <v>30</v>
      </c>
      <c r="AO69" s="25">
        <f t="shared" si="10"/>
        <v>30</v>
      </c>
      <c r="AP69" s="52" t="e">
        <f t="shared" si="35"/>
        <v>#N/A</v>
      </c>
      <c r="AQ69" s="53" t="e">
        <f t="shared" si="35"/>
        <v>#N/A</v>
      </c>
      <c r="AR69" s="54" t="e">
        <f t="shared" si="35"/>
        <v>#N/A</v>
      </c>
      <c r="AS69" s="316">
        <f t="shared" si="83"/>
        <v>0</v>
      </c>
      <c r="AT69" s="106">
        <f>_xlfn.IFNA($M69/VLOOKUP($BT69,'Unit information'!$A$2:$K$29,2,FALSE)*R69,0)*(1+$E$9)</f>
        <v>0</v>
      </c>
      <c r="AU69" s="107">
        <f>_xlfn.IFNA($M69/VLOOKUP($BT69,'Unit information'!$A$2:$K$29,3,FALSE)*S69,0)*(1+$E$9)</f>
        <v>0</v>
      </c>
      <c r="AV69" s="107">
        <f>_xlfn.IFNA($M69/VLOOKUP($BT69,'Unit information'!$A$2:$K$29,4,FALSE)*T69,0)*(1+$E$9)</f>
        <v>0</v>
      </c>
      <c r="AW69" s="107">
        <f>_xlfn.IFNA($M69/VLOOKUP($BT69,'Unit information'!$A$2:$K$29,5,FALSE)*U69,0)*(1+$E$9)</f>
        <v>0</v>
      </c>
      <c r="AX69" s="107">
        <f>_xlfn.IFNA($M69/VLOOKUP($BU69,'Unit information'!$A$2:$K$29,6,FALSE)*V69,0)*(1+$E$9)</f>
        <v>0</v>
      </c>
      <c r="AY69" s="107">
        <f>_xlfn.IFNA($M69/VLOOKUP($BU69,'Unit information'!$A$2:$K$29,7,FALSE)*W69,0)*(1+$E$9)</f>
        <v>0</v>
      </c>
      <c r="AZ69" s="107">
        <f>_xlfn.IFNA($M69/VLOOKUP($BU69,'Unit information'!$A$2:$K$29,8,FALSE)*X69,0)*(1+$E$9)</f>
        <v>0</v>
      </c>
      <c r="BA69" s="107">
        <f>_xlfn.IFNA($M69/VLOOKUP($BU69,'Unit information'!$A$2:$K$29,9,FALSE)*Y69,0)*(1+$E$9)</f>
        <v>0</v>
      </c>
      <c r="BB69" s="107">
        <f>_xlfn.IFNA($M69/VLOOKUP($BV69,'Unit information'!$A$2:$K$29,10,FALSE)*Z69,0)*(1+$E$9)</f>
        <v>0</v>
      </c>
      <c r="BC69" s="108">
        <f>_xlfn.IFNA($M69/VLOOKUP($BV69,'Unit information'!$A$2:$K$29,11,FALSE)*AA69,0)*(1+$E$9)</f>
        <v>0</v>
      </c>
      <c r="BD69" s="106">
        <f t="shared" si="12"/>
        <v>0</v>
      </c>
      <c r="BE69" s="107">
        <f t="shared" si="13"/>
        <v>0</v>
      </c>
      <c r="BF69" s="108">
        <f t="shared" si="14"/>
        <v>0</v>
      </c>
      <c r="BG69" s="25" t="e">
        <f t="shared" si="15"/>
        <v>#N/A</v>
      </c>
      <c r="BH69" s="25" t="e">
        <f t="shared" si="16"/>
        <v>#N/A</v>
      </c>
      <c r="BI69" s="25" t="e">
        <f t="shared" si="17"/>
        <v>#N/A</v>
      </c>
      <c r="BJ69" s="27" t="e">
        <f t="shared" si="18"/>
        <v>#N/A</v>
      </c>
      <c r="BK69" s="18" t="e">
        <f t="shared" si="19"/>
        <v>#N/A</v>
      </c>
      <c r="BL69" s="18" t="e">
        <f t="shared" si="20"/>
        <v>#N/A</v>
      </c>
      <c r="BM69" s="28" t="e">
        <f t="shared" si="84"/>
        <v>#N/A</v>
      </c>
      <c r="BN69" s="33">
        <f>HLOOKUP("maximum population",Miscelaneous!$C$1:$C$33,CH69+3,FALSE)</f>
        <v>240</v>
      </c>
      <c r="BO69" s="14">
        <f t="shared" si="36"/>
        <v>32</v>
      </c>
      <c r="BP69" s="14">
        <f t="shared" si="37"/>
        <v>0</v>
      </c>
      <c r="BQ69" s="14">
        <f t="shared" si="38"/>
        <v>208</v>
      </c>
      <c r="BR69" s="34" t="e">
        <f>HLOOKUP(J69,Villagers!$B$1:$V$33,L69+3,FALSE)-HLOOKUP(J69,Villagers!$B$1:$V$33,L69+2,FALSE)</f>
        <v>#N/A</v>
      </c>
      <c r="BS69" s="49">
        <f t="shared" si="39"/>
        <v>1</v>
      </c>
      <c r="BT69" s="50">
        <f t="shared" si="40"/>
        <v>0</v>
      </c>
      <c r="BU69" s="50">
        <f t="shared" si="41"/>
        <v>0</v>
      </c>
      <c r="BV69" s="50">
        <f t="shared" si="86"/>
        <v>0</v>
      </c>
      <c r="BW69" s="50">
        <f t="shared" si="87"/>
        <v>0</v>
      </c>
      <c r="BX69" s="50">
        <f t="shared" si="88"/>
        <v>0</v>
      </c>
      <c r="BY69" s="50">
        <f t="shared" si="88"/>
        <v>0</v>
      </c>
      <c r="BZ69" s="50">
        <f t="shared" si="45"/>
        <v>0</v>
      </c>
      <c r="CA69" s="50">
        <f t="shared" si="46"/>
        <v>0</v>
      </c>
      <c r="CB69" s="50">
        <f t="shared" si="47"/>
        <v>1</v>
      </c>
      <c r="CC69" s="50">
        <f t="shared" si="48"/>
        <v>0</v>
      </c>
      <c r="CD69" s="50">
        <f t="shared" si="49"/>
        <v>0</v>
      </c>
      <c r="CE69" s="50">
        <f t="shared" si="50"/>
        <v>1</v>
      </c>
      <c r="CF69" s="50">
        <f t="shared" si="51"/>
        <v>1</v>
      </c>
      <c r="CG69" s="50">
        <f t="shared" si="52"/>
        <v>1</v>
      </c>
      <c r="CH69" s="50">
        <f t="shared" si="53"/>
        <v>1</v>
      </c>
      <c r="CI69" s="50">
        <f t="shared" si="54"/>
        <v>1</v>
      </c>
      <c r="CJ69" s="50">
        <f t="shared" si="55"/>
        <v>1</v>
      </c>
      <c r="CK69" s="50">
        <f t="shared" si="56"/>
        <v>0</v>
      </c>
      <c r="CL69" s="50">
        <f t="shared" si="55"/>
        <v>0</v>
      </c>
      <c r="CM69" s="51">
        <f t="shared" si="57"/>
        <v>0</v>
      </c>
      <c r="CN69" s="33">
        <f>ROUND(IF(BS69=0,0,HLOOKUP(BS$14,Villagers!$B$1:$V$33,BS69+3,FALSE)),)</f>
        <v>5</v>
      </c>
      <c r="CO69" s="14">
        <f>ROUND(IF(BT69=0,0,HLOOKUP(BT$14,Villagers!$B$1:$V$33,BT69+3,FALSE)),)</f>
        <v>0</v>
      </c>
      <c r="CP69" s="14">
        <f>ROUND(IF(BU69=0,0,HLOOKUP(BU$14,Villagers!$B$1:$V$33,BU69+3,FALSE)),)</f>
        <v>0</v>
      </c>
      <c r="CQ69" s="14">
        <f>ROUND(IF(BV69=0,0,HLOOKUP(BV$14,Villagers!$B$1:$V$33,BV69+3,FALSE)),)</f>
        <v>0</v>
      </c>
      <c r="CR69" s="14">
        <f>ROUND(IF(BW69=0,0,HLOOKUP(BW$14,Villagers!$B$1:$V$33,BW69+3,FALSE)),)</f>
        <v>0</v>
      </c>
      <c r="CS69" s="14">
        <f>ROUND(IF(BX69=0,0,HLOOKUP(BX$14,Villagers!$B$1:$V$33,BX69+3,FALSE)),)</f>
        <v>0</v>
      </c>
      <c r="CT69" s="14">
        <f>ROUND(IF(BY69=0,0,HLOOKUP(BY$14,Villagers!$B$1:$V$33,BY69+3,FALSE)),)</f>
        <v>0</v>
      </c>
      <c r="CU69" s="14">
        <f>ROUND(IF(BZ69=0,0,HLOOKUP(BZ$14,Villagers!$B$1:$V$33,BZ69+3,FALSE)),)</f>
        <v>0</v>
      </c>
      <c r="CV69" s="14">
        <f>ROUND(IF(CA69=0,0,HLOOKUP(CA$14,Villagers!$B$1:$V$33,CA69+3,FALSE)),)</f>
        <v>0</v>
      </c>
      <c r="CW69" s="14">
        <f>ROUND(IF(CB69=0,0,HLOOKUP(CB$14,Villagers!$B$1:$V$33,CB69+3,FALSE)),)</f>
        <v>0</v>
      </c>
      <c r="CX69" s="14">
        <f>ROUND(IF(CC69=0,0,HLOOKUP(CC$14,Villagers!$B$1:$V$33,CC69+3,FALSE)),)</f>
        <v>0</v>
      </c>
      <c r="CY69" s="14">
        <f>ROUND(IF(CD69=0,0,HLOOKUP(CD$14,Villagers!$B$1:$V$33,CD69+3,FALSE)),)</f>
        <v>0</v>
      </c>
      <c r="CZ69" s="14">
        <f>ROUND(IF(CE69=0,0,HLOOKUP(CE$14,Villagers!$B$1:$V$33,CE69+3,FALSE)),)</f>
        <v>5</v>
      </c>
      <c r="DA69" s="14">
        <f>ROUND(IF(CF69=0,0,HLOOKUP(CF$14,Villagers!$B$1:$V$33,CF69+3,FALSE)),)</f>
        <v>10</v>
      </c>
      <c r="DB69" s="14">
        <f>ROUND(IF(CG69=0,0,HLOOKUP(CG$14,Villagers!$B$1:$V$33,CG69+3,FALSE)),)</f>
        <v>10</v>
      </c>
      <c r="DC69" s="14">
        <f>ROUND(IF(CH69=0,0,HLOOKUP(CH$14,Villagers!$B$1:$V$33,CH69+3,FALSE)),)</f>
        <v>0</v>
      </c>
      <c r="DD69" s="14">
        <f>ROUND(IF(CI69=0,0,HLOOKUP(CI$14,Villagers!$B$1:$V$33,CI69+3,FALSE)),)</f>
        <v>0</v>
      </c>
      <c r="DE69" s="14">
        <f>ROUND(IF(CJ69=0,0,HLOOKUP(CJ$14,Villagers!$B$1:$V$33,CJ69+3,FALSE)),)</f>
        <v>2</v>
      </c>
      <c r="DF69" s="370">
        <f>ROUND(IF(CK69=0,0,HLOOKUP(CK$14,Villagers!$B$1:$V$33,CK69+3,FALSE)),)</f>
        <v>0</v>
      </c>
      <c r="DG69" s="370">
        <f>ROUND(IF(CL69=0,0,HLOOKUP(CL$14,Villagers!$B$1:$V$33,CL69+3,FALSE)),)</f>
        <v>0</v>
      </c>
      <c r="DH69" s="34">
        <f>ROUND(IF(CM69=0,0,HLOOKUP(CM$14,Villagers!$B$1:$V$33,CM69+3,FALSE)),)</f>
        <v>0</v>
      </c>
      <c r="DI69" s="109">
        <f t="shared" si="73"/>
        <v>0</v>
      </c>
      <c r="DJ69" s="50">
        <f t="shared" si="74"/>
        <v>0</v>
      </c>
      <c r="DK69" s="50">
        <f t="shared" si="75"/>
        <v>0</v>
      </c>
      <c r="DL69" s="50">
        <f t="shared" si="76"/>
        <v>0</v>
      </c>
      <c r="DM69" s="50">
        <f t="shared" si="77"/>
        <v>0</v>
      </c>
      <c r="DN69" s="50">
        <f t="shared" si="78"/>
        <v>0</v>
      </c>
      <c r="DO69" s="50">
        <f t="shared" si="79"/>
        <v>0</v>
      </c>
      <c r="DP69" s="50">
        <f t="shared" si="80"/>
        <v>0</v>
      </c>
      <c r="DQ69" s="50">
        <f t="shared" si="59"/>
        <v>0</v>
      </c>
      <c r="DR69" s="50">
        <f t="shared" si="60"/>
        <v>0</v>
      </c>
      <c r="DS69" s="96">
        <f>Miscelaneous!$D$4*Miscelaneous!$D$2^($CI69-1)</f>
        <v>1000</v>
      </c>
      <c r="DT69" s="333">
        <f t="shared" si="61"/>
        <v>1</v>
      </c>
      <c r="DU69" s="81">
        <v>1</v>
      </c>
      <c r="DV69" s="79">
        <f t="shared" si="62"/>
        <v>0</v>
      </c>
      <c r="DW69" s="79">
        <f t="shared" si="23"/>
        <v>0</v>
      </c>
      <c r="DX69" s="79">
        <f t="shared" si="63"/>
        <v>0</v>
      </c>
      <c r="DY69" s="79">
        <v>1</v>
      </c>
      <c r="DZ69" s="79">
        <f t="shared" si="24"/>
        <v>0</v>
      </c>
      <c r="EA69" s="79">
        <f t="shared" si="64"/>
        <v>0</v>
      </c>
      <c r="EB69" s="79">
        <f t="shared" si="65"/>
        <v>0</v>
      </c>
      <c r="EC69" s="79">
        <f t="shared" si="66"/>
        <v>0</v>
      </c>
      <c r="ED69" s="79">
        <v>1</v>
      </c>
      <c r="EE69" s="79">
        <v>1</v>
      </c>
      <c r="EF69" s="79">
        <f t="shared" si="67"/>
        <v>0</v>
      </c>
      <c r="EG69" s="79">
        <v>1</v>
      </c>
      <c r="EH69" s="79">
        <v>1</v>
      </c>
      <c r="EI69" s="79">
        <v>1</v>
      </c>
      <c r="EJ69" s="79">
        <v>1</v>
      </c>
      <c r="EK69" s="79">
        <v>1</v>
      </c>
      <c r="EL69" s="79">
        <v>1</v>
      </c>
      <c r="EM69" s="143">
        <f t="shared" si="68"/>
        <v>0</v>
      </c>
      <c r="EN69" s="143">
        <f t="shared" si="69"/>
        <v>0</v>
      </c>
      <c r="EO69" s="82">
        <f t="shared" si="70"/>
        <v>0</v>
      </c>
    </row>
    <row r="70" spans="1:145" x14ac:dyDescent="0.25">
      <c r="A70">
        <v>56</v>
      </c>
      <c r="B70" s="172" t="e">
        <f t="shared" si="25"/>
        <v>#N/A</v>
      </c>
      <c r="C70" s="121" t="e">
        <f t="shared" si="0"/>
        <v>#N/A</v>
      </c>
      <c r="D70" s="122" t="e">
        <f t="shared" si="1"/>
        <v>#N/A</v>
      </c>
      <c r="E70" s="122" t="e">
        <f t="shared" si="2"/>
        <v>#N/A</v>
      </c>
      <c r="F70" s="176" t="e">
        <f t="shared" si="3"/>
        <v>#N/A</v>
      </c>
      <c r="G70" s="121">
        <f t="shared" si="26"/>
        <v>208</v>
      </c>
      <c r="H70" s="176" t="e">
        <f t="shared" si="27"/>
        <v>#N/A</v>
      </c>
      <c r="I70" s="48">
        <v>1</v>
      </c>
      <c r="J70" s="39"/>
      <c r="K70" s="350">
        <v>1</v>
      </c>
      <c r="L70" s="34" t="e">
        <f t="shared" si="4"/>
        <v>#N/A</v>
      </c>
      <c r="M70" s="38" t="e">
        <f>(HLOOKUP(J70,'Construction Times'!$B$3:$W$34,L70+2,FALSE)*HLOOKUP("hq modifier",'Construction Times'!$W$3:$W$34,BS70+2,FALSE))*(1-$H$9)</f>
        <v>#N/A</v>
      </c>
      <c r="N70" s="443" t="e">
        <f t="shared" si="28"/>
        <v>#N/A</v>
      </c>
      <c r="O70" s="444"/>
      <c r="P70" s="447" t="e">
        <f t="shared" si="29"/>
        <v>#N/A</v>
      </c>
      <c r="Q70" s="448"/>
      <c r="R70" s="103">
        <f t="shared" si="71"/>
        <v>0</v>
      </c>
      <c r="S70" s="104">
        <f t="shared" si="71"/>
        <v>0</v>
      </c>
      <c r="T70" s="104">
        <f t="shared" si="72"/>
        <v>0</v>
      </c>
      <c r="U70" s="104">
        <f t="shared" si="72"/>
        <v>0</v>
      </c>
      <c r="V70" s="104">
        <f t="shared" si="72"/>
        <v>9.9999999999999995E-8</v>
      </c>
      <c r="W70" s="104">
        <f t="shared" si="72"/>
        <v>0</v>
      </c>
      <c r="X70" s="104">
        <f t="shared" si="85"/>
        <v>0</v>
      </c>
      <c r="Y70" s="104">
        <f t="shared" si="85"/>
        <v>9.9999999999999995E-8</v>
      </c>
      <c r="Z70" s="104">
        <f t="shared" si="85"/>
        <v>9.9999999999999995E-8</v>
      </c>
      <c r="AA70" s="105">
        <f t="shared" si="85"/>
        <v>9.9999999999999995E-8</v>
      </c>
      <c r="AB70" s="101" t="e">
        <f>$DT70*HLOOKUP($J70,'Construction Costs (timber)'!$B$1:$V$32,'Construction Planner'!$L70+2,FALSE)</f>
        <v>#N/A</v>
      </c>
      <c r="AC70" s="14" t="e">
        <f>$DT70*HLOOKUP($J70,'Construction Costs (clay)'!$B$1:$V$32,'Construction Planner'!$L70+2,FALSE)</f>
        <v>#N/A</v>
      </c>
      <c r="AD70" s="14" t="e">
        <f>$DT70*HLOOKUP($J70,'Construction Costs (iron)'!$B$1:$V$32,'Construction Planner'!$L70+2,FALSE)</f>
        <v>#N/A</v>
      </c>
      <c r="AE70" s="34" t="e">
        <f t="shared" si="81"/>
        <v>#N/A</v>
      </c>
      <c r="AF70" s="33" t="e">
        <f t="shared" si="5"/>
        <v>#N/A</v>
      </c>
      <c r="AG70" s="14" t="e">
        <f t="shared" si="6"/>
        <v>#N/A</v>
      </c>
      <c r="AH70" s="14" t="e">
        <f t="shared" si="7"/>
        <v>#N/A</v>
      </c>
      <c r="AI70" s="34" t="e">
        <f t="shared" si="82"/>
        <v>#N/A</v>
      </c>
      <c r="AJ70" s="49" t="e">
        <f t="shared" si="32"/>
        <v>#N/A</v>
      </c>
      <c r="AK70" s="49" t="e">
        <f t="shared" si="33"/>
        <v>#N/A</v>
      </c>
      <c r="AL70" s="49" t="e">
        <f t="shared" si="34"/>
        <v>#N/A</v>
      </c>
      <c r="AM70" s="25">
        <f t="shared" si="8"/>
        <v>30</v>
      </c>
      <c r="AN70" s="25">
        <f t="shared" si="9"/>
        <v>30</v>
      </c>
      <c r="AO70" s="25">
        <f t="shared" si="10"/>
        <v>30</v>
      </c>
      <c r="AP70" s="52" t="e">
        <f t="shared" si="35"/>
        <v>#N/A</v>
      </c>
      <c r="AQ70" s="53" t="e">
        <f t="shared" si="35"/>
        <v>#N/A</v>
      </c>
      <c r="AR70" s="54" t="e">
        <f t="shared" si="35"/>
        <v>#N/A</v>
      </c>
      <c r="AS70" s="316">
        <f t="shared" si="83"/>
        <v>0</v>
      </c>
      <c r="AT70" s="106">
        <f>_xlfn.IFNA($M70/VLOOKUP($BT70,'Unit information'!$A$2:$K$29,2,FALSE)*R70,0)*(1+$E$9)</f>
        <v>0</v>
      </c>
      <c r="AU70" s="107">
        <f>_xlfn.IFNA($M70/VLOOKUP($BT70,'Unit information'!$A$2:$K$29,3,FALSE)*S70,0)*(1+$E$9)</f>
        <v>0</v>
      </c>
      <c r="AV70" s="107">
        <f>_xlfn.IFNA($M70/VLOOKUP($BT70,'Unit information'!$A$2:$K$29,4,FALSE)*T70,0)*(1+$E$9)</f>
        <v>0</v>
      </c>
      <c r="AW70" s="107">
        <f>_xlfn.IFNA($M70/VLOOKUP($BT70,'Unit information'!$A$2:$K$29,5,FALSE)*U70,0)*(1+$E$9)</f>
        <v>0</v>
      </c>
      <c r="AX70" s="107">
        <f>_xlfn.IFNA($M70/VLOOKUP($BU70,'Unit information'!$A$2:$K$29,6,FALSE)*V70,0)*(1+$E$9)</f>
        <v>0</v>
      </c>
      <c r="AY70" s="107">
        <f>_xlfn.IFNA($M70/VLOOKUP($BU70,'Unit information'!$A$2:$K$29,7,FALSE)*W70,0)*(1+$E$9)</f>
        <v>0</v>
      </c>
      <c r="AZ70" s="107">
        <f>_xlfn.IFNA($M70/VLOOKUP($BU70,'Unit information'!$A$2:$K$29,8,FALSE)*X70,0)*(1+$E$9)</f>
        <v>0</v>
      </c>
      <c r="BA70" s="107">
        <f>_xlfn.IFNA($M70/VLOOKUP($BU70,'Unit information'!$A$2:$K$29,9,FALSE)*Y70,0)*(1+$E$9)</f>
        <v>0</v>
      </c>
      <c r="BB70" s="107">
        <f>_xlfn.IFNA($M70/VLOOKUP($BV70,'Unit information'!$A$2:$K$29,10,FALSE)*Z70,0)*(1+$E$9)</f>
        <v>0</v>
      </c>
      <c r="BC70" s="108">
        <f>_xlfn.IFNA($M70/VLOOKUP($BV70,'Unit information'!$A$2:$K$29,11,FALSE)*AA70,0)*(1+$E$9)</f>
        <v>0</v>
      </c>
      <c r="BD70" s="106">
        <f t="shared" si="12"/>
        <v>0</v>
      </c>
      <c r="BE70" s="107">
        <f t="shared" si="13"/>
        <v>0</v>
      </c>
      <c r="BF70" s="108">
        <f t="shared" si="14"/>
        <v>0</v>
      </c>
      <c r="BG70" s="25" t="e">
        <f t="shared" si="15"/>
        <v>#N/A</v>
      </c>
      <c r="BH70" s="25" t="e">
        <f t="shared" si="16"/>
        <v>#N/A</v>
      </c>
      <c r="BI70" s="25" t="e">
        <f t="shared" si="17"/>
        <v>#N/A</v>
      </c>
      <c r="BJ70" s="27" t="e">
        <f t="shared" si="18"/>
        <v>#N/A</v>
      </c>
      <c r="BK70" s="18" t="e">
        <f t="shared" si="19"/>
        <v>#N/A</v>
      </c>
      <c r="BL70" s="18" t="e">
        <f t="shared" si="20"/>
        <v>#N/A</v>
      </c>
      <c r="BM70" s="28" t="e">
        <f t="shared" si="84"/>
        <v>#N/A</v>
      </c>
      <c r="BN70" s="33">
        <f>HLOOKUP("maximum population",Miscelaneous!$C$1:$C$33,CH70+3,FALSE)</f>
        <v>240</v>
      </c>
      <c r="BO70" s="14">
        <f t="shared" si="36"/>
        <v>32</v>
      </c>
      <c r="BP70" s="14">
        <f t="shared" si="37"/>
        <v>0</v>
      </c>
      <c r="BQ70" s="14">
        <f t="shared" si="38"/>
        <v>208</v>
      </c>
      <c r="BR70" s="34" t="e">
        <f>HLOOKUP(J70,Villagers!$B$1:$V$33,L70+3,FALSE)-HLOOKUP(J70,Villagers!$B$1:$V$33,L70+2,FALSE)</f>
        <v>#N/A</v>
      </c>
      <c r="BS70" s="49">
        <f t="shared" si="39"/>
        <v>1</v>
      </c>
      <c r="BT70" s="50">
        <f t="shared" si="40"/>
        <v>0</v>
      </c>
      <c r="BU70" s="50">
        <f t="shared" si="41"/>
        <v>0</v>
      </c>
      <c r="BV70" s="50">
        <f t="shared" si="86"/>
        <v>0</v>
      </c>
      <c r="BW70" s="50">
        <f t="shared" si="87"/>
        <v>0</v>
      </c>
      <c r="BX70" s="50">
        <f t="shared" si="88"/>
        <v>0</v>
      </c>
      <c r="BY70" s="50">
        <f t="shared" si="88"/>
        <v>0</v>
      </c>
      <c r="BZ70" s="50">
        <f t="shared" si="45"/>
        <v>0</v>
      </c>
      <c r="CA70" s="50">
        <f t="shared" si="46"/>
        <v>0</v>
      </c>
      <c r="CB70" s="50">
        <f t="shared" si="47"/>
        <v>1</v>
      </c>
      <c r="CC70" s="50">
        <f t="shared" si="48"/>
        <v>0</v>
      </c>
      <c r="CD70" s="50">
        <f t="shared" si="49"/>
        <v>0</v>
      </c>
      <c r="CE70" s="50">
        <f t="shared" si="50"/>
        <v>1</v>
      </c>
      <c r="CF70" s="50">
        <f t="shared" si="51"/>
        <v>1</v>
      </c>
      <c r="CG70" s="50">
        <f t="shared" si="52"/>
        <v>1</v>
      </c>
      <c r="CH70" s="50">
        <f t="shared" si="53"/>
        <v>1</v>
      </c>
      <c r="CI70" s="50">
        <f t="shared" si="54"/>
        <v>1</v>
      </c>
      <c r="CJ70" s="50">
        <f t="shared" si="55"/>
        <v>1</v>
      </c>
      <c r="CK70" s="50">
        <f t="shared" si="56"/>
        <v>0</v>
      </c>
      <c r="CL70" s="50">
        <f t="shared" si="55"/>
        <v>0</v>
      </c>
      <c r="CM70" s="51">
        <f t="shared" si="57"/>
        <v>0</v>
      </c>
      <c r="CN70" s="33">
        <f>ROUND(IF(BS70=0,0,HLOOKUP(BS$14,Villagers!$B$1:$V$33,BS70+3,FALSE)),)</f>
        <v>5</v>
      </c>
      <c r="CO70" s="14">
        <f>ROUND(IF(BT70=0,0,HLOOKUP(BT$14,Villagers!$B$1:$V$33,BT70+3,FALSE)),)</f>
        <v>0</v>
      </c>
      <c r="CP70" s="14">
        <f>ROUND(IF(BU70=0,0,HLOOKUP(BU$14,Villagers!$B$1:$V$33,BU70+3,FALSE)),)</f>
        <v>0</v>
      </c>
      <c r="CQ70" s="14">
        <f>ROUND(IF(BV70=0,0,HLOOKUP(BV$14,Villagers!$B$1:$V$33,BV70+3,FALSE)),)</f>
        <v>0</v>
      </c>
      <c r="CR70" s="14">
        <f>ROUND(IF(BW70=0,0,HLOOKUP(BW$14,Villagers!$B$1:$V$33,BW70+3,FALSE)),)</f>
        <v>0</v>
      </c>
      <c r="CS70" s="14">
        <f>ROUND(IF(BX70=0,0,HLOOKUP(BX$14,Villagers!$B$1:$V$33,BX70+3,FALSE)),)</f>
        <v>0</v>
      </c>
      <c r="CT70" s="14">
        <f>ROUND(IF(BY70=0,0,HLOOKUP(BY$14,Villagers!$B$1:$V$33,BY70+3,FALSE)),)</f>
        <v>0</v>
      </c>
      <c r="CU70" s="14">
        <f>ROUND(IF(BZ70=0,0,HLOOKUP(BZ$14,Villagers!$B$1:$V$33,BZ70+3,FALSE)),)</f>
        <v>0</v>
      </c>
      <c r="CV70" s="14">
        <f>ROUND(IF(CA70=0,0,HLOOKUP(CA$14,Villagers!$B$1:$V$33,CA70+3,FALSE)),)</f>
        <v>0</v>
      </c>
      <c r="CW70" s="14">
        <f>ROUND(IF(CB70=0,0,HLOOKUP(CB$14,Villagers!$B$1:$V$33,CB70+3,FALSE)),)</f>
        <v>0</v>
      </c>
      <c r="CX70" s="14">
        <f>ROUND(IF(CC70=0,0,HLOOKUP(CC$14,Villagers!$B$1:$V$33,CC70+3,FALSE)),)</f>
        <v>0</v>
      </c>
      <c r="CY70" s="14">
        <f>ROUND(IF(CD70=0,0,HLOOKUP(CD$14,Villagers!$B$1:$V$33,CD70+3,FALSE)),)</f>
        <v>0</v>
      </c>
      <c r="CZ70" s="14">
        <f>ROUND(IF(CE70=0,0,HLOOKUP(CE$14,Villagers!$B$1:$V$33,CE70+3,FALSE)),)</f>
        <v>5</v>
      </c>
      <c r="DA70" s="14">
        <f>ROUND(IF(CF70=0,0,HLOOKUP(CF$14,Villagers!$B$1:$V$33,CF70+3,FALSE)),)</f>
        <v>10</v>
      </c>
      <c r="DB70" s="14">
        <f>ROUND(IF(CG70=0,0,HLOOKUP(CG$14,Villagers!$B$1:$V$33,CG70+3,FALSE)),)</f>
        <v>10</v>
      </c>
      <c r="DC70" s="14">
        <f>ROUND(IF(CH70=0,0,HLOOKUP(CH$14,Villagers!$B$1:$V$33,CH70+3,FALSE)),)</f>
        <v>0</v>
      </c>
      <c r="DD70" s="14">
        <f>ROUND(IF(CI70=0,0,HLOOKUP(CI$14,Villagers!$B$1:$V$33,CI70+3,FALSE)),)</f>
        <v>0</v>
      </c>
      <c r="DE70" s="14">
        <f>ROUND(IF(CJ70=0,0,HLOOKUP(CJ$14,Villagers!$B$1:$V$33,CJ70+3,FALSE)),)</f>
        <v>2</v>
      </c>
      <c r="DF70" s="370">
        <f>ROUND(IF(CK70=0,0,HLOOKUP(CK$14,Villagers!$B$1:$V$33,CK70+3,FALSE)),)</f>
        <v>0</v>
      </c>
      <c r="DG70" s="370">
        <f>ROUND(IF(CL70=0,0,HLOOKUP(CL$14,Villagers!$B$1:$V$33,CL70+3,FALSE)),)</f>
        <v>0</v>
      </c>
      <c r="DH70" s="34">
        <f>ROUND(IF(CM70=0,0,HLOOKUP(CM$14,Villagers!$B$1:$V$33,CM70+3,FALSE)),)</f>
        <v>0</v>
      </c>
      <c r="DI70" s="109">
        <f t="shared" si="73"/>
        <v>0</v>
      </c>
      <c r="DJ70" s="50">
        <f t="shared" si="74"/>
        <v>0</v>
      </c>
      <c r="DK70" s="50">
        <f t="shared" si="75"/>
        <v>0</v>
      </c>
      <c r="DL70" s="50">
        <f t="shared" si="76"/>
        <v>0</v>
      </c>
      <c r="DM70" s="50">
        <f t="shared" si="77"/>
        <v>0</v>
      </c>
      <c r="DN70" s="50">
        <f t="shared" si="78"/>
        <v>0</v>
      </c>
      <c r="DO70" s="50">
        <f t="shared" si="79"/>
        <v>0</v>
      </c>
      <c r="DP70" s="50">
        <f t="shared" si="80"/>
        <v>0</v>
      </c>
      <c r="DQ70" s="50">
        <f t="shared" si="59"/>
        <v>0</v>
      </c>
      <c r="DR70" s="50">
        <f t="shared" si="60"/>
        <v>0</v>
      </c>
      <c r="DS70" s="96">
        <f>Miscelaneous!$D$4*Miscelaneous!$D$2^($CI70-1)</f>
        <v>1000</v>
      </c>
      <c r="DT70" s="333">
        <f t="shared" si="61"/>
        <v>1</v>
      </c>
      <c r="DU70" s="81">
        <v>1</v>
      </c>
      <c r="DV70" s="79">
        <f t="shared" si="62"/>
        <v>0</v>
      </c>
      <c r="DW70" s="79">
        <f t="shared" si="23"/>
        <v>0</v>
      </c>
      <c r="DX70" s="79">
        <f t="shared" si="63"/>
        <v>0</v>
      </c>
      <c r="DY70" s="79">
        <v>1</v>
      </c>
      <c r="DZ70" s="79">
        <f t="shared" si="24"/>
        <v>0</v>
      </c>
      <c r="EA70" s="79">
        <f t="shared" si="64"/>
        <v>0</v>
      </c>
      <c r="EB70" s="79">
        <f t="shared" si="65"/>
        <v>0</v>
      </c>
      <c r="EC70" s="79">
        <f t="shared" si="66"/>
        <v>0</v>
      </c>
      <c r="ED70" s="79">
        <v>1</v>
      </c>
      <c r="EE70" s="79">
        <v>1</v>
      </c>
      <c r="EF70" s="79">
        <f t="shared" si="67"/>
        <v>0</v>
      </c>
      <c r="EG70" s="79">
        <v>1</v>
      </c>
      <c r="EH70" s="79">
        <v>1</v>
      </c>
      <c r="EI70" s="79">
        <v>1</v>
      </c>
      <c r="EJ70" s="79">
        <v>1</v>
      </c>
      <c r="EK70" s="79">
        <v>1</v>
      </c>
      <c r="EL70" s="79">
        <v>1</v>
      </c>
      <c r="EM70" s="143">
        <f t="shared" si="68"/>
        <v>0</v>
      </c>
      <c r="EN70" s="143">
        <f t="shared" si="69"/>
        <v>0</v>
      </c>
      <c r="EO70" s="82">
        <f t="shared" si="70"/>
        <v>0</v>
      </c>
    </row>
    <row r="71" spans="1:145" x14ac:dyDescent="0.25">
      <c r="A71">
        <v>57</v>
      </c>
      <c r="B71" s="172" t="e">
        <f t="shared" si="25"/>
        <v>#N/A</v>
      </c>
      <c r="C71" s="121" t="e">
        <f t="shared" si="0"/>
        <v>#N/A</v>
      </c>
      <c r="D71" s="122" t="e">
        <f t="shared" si="1"/>
        <v>#N/A</v>
      </c>
      <c r="E71" s="122" t="e">
        <f t="shared" si="2"/>
        <v>#N/A</v>
      </c>
      <c r="F71" s="176" t="e">
        <f t="shared" si="3"/>
        <v>#N/A</v>
      </c>
      <c r="G71" s="121">
        <f t="shared" si="26"/>
        <v>208</v>
      </c>
      <c r="H71" s="176" t="e">
        <f t="shared" si="27"/>
        <v>#N/A</v>
      </c>
      <c r="I71" s="48">
        <v>1</v>
      </c>
      <c r="J71" s="39"/>
      <c r="K71" s="350">
        <v>1</v>
      </c>
      <c r="L71" s="34" t="e">
        <f t="shared" si="4"/>
        <v>#N/A</v>
      </c>
      <c r="M71" s="38" t="e">
        <f>(HLOOKUP(J71,'Construction Times'!$B$3:$W$34,L71+2,FALSE)*HLOOKUP("hq modifier",'Construction Times'!$W$3:$W$34,BS71+2,FALSE))*(1-$H$9)</f>
        <v>#N/A</v>
      </c>
      <c r="N71" s="443" t="e">
        <f t="shared" si="28"/>
        <v>#N/A</v>
      </c>
      <c r="O71" s="444"/>
      <c r="P71" s="447" t="e">
        <f t="shared" si="29"/>
        <v>#N/A</v>
      </c>
      <c r="Q71" s="448"/>
      <c r="R71" s="103">
        <f t="shared" si="71"/>
        <v>0</v>
      </c>
      <c r="S71" s="104">
        <f t="shared" si="71"/>
        <v>0</v>
      </c>
      <c r="T71" s="104">
        <f t="shared" si="72"/>
        <v>0</v>
      </c>
      <c r="U71" s="104">
        <f t="shared" si="72"/>
        <v>0</v>
      </c>
      <c r="V71" s="104">
        <f t="shared" si="72"/>
        <v>9.9999999999999995E-8</v>
      </c>
      <c r="W71" s="104">
        <f t="shared" si="72"/>
        <v>0</v>
      </c>
      <c r="X71" s="104">
        <f t="shared" si="85"/>
        <v>0</v>
      </c>
      <c r="Y71" s="104">
        <f t="shared" si="85"/>
        <v>9.9999999999999995E-8</v>
      </c>
      <c r="Z71" s="104">
        <f t="shared" si="85"/>
        <v>9.9999999999999995E-8</v>
      </c>
      <c r="AA71" s="105">
        <f t="shared" si="85"/>
        <v>9.9999999999999995E-8</v>
      </c>
      <c r="AB71" s="101" t="e">
        <f>$DT71*HLOOKUP($J71,'Construction Costs (timber)'!$B$1:$V$32,'Construction Planner'!$L71+2,FALSE)</f>
        <v>#N/A</v>
      </c>
      <c r="AC71" s="14" t="e">
        <f>$DT71*HLOOKUP($J71,'Construction Costs (clay)'!$B$1:$V$32,'Construction Planner'!$L71+2,FALSE)</f>
        <v>#N/A</v>
      </c>
      <c r="AD71" s="14" t="e">
        <f>$DT71*HLOOKUP($J71,'Construction Costs (iron)'!$B$1:$V$32,'Construction Planner'!$L71+2,FALSE)</f>
        <v>#N/A</v>
      </c>
      <c r="AE71" s="34" t="e">
        <f t="shared" si="81"/>
        <v>#N/A</v>
      </c>
      <c r="AF71" s="33" t="e">
        <f t="shared" si="5"/>
        <v>#N/A</v>
      </c>
      <c r="AG71" s="14" t="e">
        <f t="shared" si="6"/>
        <v>#N/A</v>
      </c>
      <c r="AH71" s="14" t="e">
        <f t="shared" si="7"/>
        <v>#N/A</v>
      </c>
      <c r="AI71" s="34" t="e">
        <f t="shared" si="82"/>
        <v>#N/A</v>
      </c>
      <c r="AJ71" s="49" t="e">
        <f t="shared" si="32"/>
        <v>#N/A</v>
      </c>
      <c r="AK71" s="49" t="e">
        <f t="shared" si="33"/>
        <v>#N/A</v>
      </c>
      <c r="AL71" s="49" t="e">
        <f t="shared" si="34"/>
        <v>#N/A</v>
      </c>
      <c r="AM71" s="25">
        <f t="shared" si="8"/>
        <v>30</v>
      </c>
      <c r="AN71" s="25">
        <f t="shared" si="9"/>
        <v>30</v>
      </c>
      <c r="AO71" s="25">
        <f t="shared" si="10"/>
        <v>30</v>
      </c>
      <c r="AP71" s="52" t="e">
        <f t="shared" si="35"/>
        <v>#N/A</v>
      </c>
      <c r="AQ71" s="53" t="e">
        <f t="shared" si="35"/>
        <v>#N/A</v>
      </c>
      <c r="AR71" s="54" t="e">
        <f t="shared" si="35"/>
        <v>#N/A</v>
      </c>
      <c r="AS71" s="316">
        <f t="shared" si="83"/>
        <v>0</v>
      </c>
      <c r="AT71" s="106">
        <f>_xlfn.IFNA($M71/VLOOKUP($BT71,'Unit information'!$A$2:$K$29,2,FALSE)*R71,0)*(1+$E$9)</f>
        <v>0</v>
      </c>
      <c r="AU71" s="107">
        <f>_xlfn.IFNA($M71/VLOOKUP($BT71,'Unit information'!$A$2:$K$29,3,FALSE)*S71,0)*(1+$E$9)</f>
        <v>0</v>
      </c>
      <c r="AV71" s="107">
        <f>_xlfn.IFNA($M71/VLOOKUP($BT71,'Unit information'!$A$2:$K$29,4,FALSE)*T71,0)*(1+$E$9)</f>
        <v>0</v>
      </c>
      <c r="AW71" s="107">
        <f>_xlfn.IFNA($M71/VLOOKUP($BT71,'Unit information'!$A$2:$K$29,5,FALSE)*U71,0)*(1+$E$9)</f>
        <v>0</v>
      </c>
      <c r="AX71" s="107">
        <f>_xlfn.IFNA($M71/VLOOKUP($BU71,'Unit information'!$A$2:$K$29,6,FALSE)*V71,0)*(1+$E$9)</f>
        <v>0</v>
      </c>
      <c r="AY71" s="107">
        <f>_xlfn.IFNA($M71/VLOOKUP($BU71,'Unit information'!$A$2:$K$29,7,FALSE)*W71,0)*(1+$E$9)</f>
        <v>0</v>
      </c>
      <c r="AZ71" s="107">
        <f>_xlfn.IFNA($M71/VLOOKUP($BU71,'Unit information'!$A$2:$K$29,8,FALSE)*X71,0)*(1+$E$9)</f>
        <v>0</v>
      </c>
      <c r="BA71" s="107">
        <f>_xlfn.IFNA($M71/VLOOKUP($BU71,'Unit information'!$A$2:$K$29,9,FALSE)*Y71,0)*(1+$E$9)</f>
        <v>0</v>
      </c>
      <c r="BB71" s="107">
        <f>_xlfn.IFNA($M71/VLOOKUP($BV71,'Unit information'!$A$2:$K$29,10,FALSE)*Z71,0)*(1+$E$9)</f>
        <v>0</v>
      </c>
      <c r="BC71" s="108">
        <f>_xlfn.IFNA($M71/VLOOKUP($BV71,'Unit information'!$A$2:$K$29,11,FALSE)*AA71,0)*(1+$E$9)</f>
        <v>0</v>
      </c>
      <c r="BD71" s="106">
        <f t="shared" si="12"/>
        <v>0</v>
      </c>
      <c r="BE71" s="107">
        <f t="shared" si="13"/>
        <v>0</v>
      </c>
      <c r="BF71" s="108">
        <f t="shared" si="14"/>
        <v>0</v>
      </c>
      <c r="BG71" s="25" t="e">
        <f t="shared" si="15"/>
        <v>#N/A</v>
      </c>
      <c r="BH71" s="25" t="e">
        <f t="shared" si="16"/>
        <v>#N/A</v>
      </c>
      <c r="BI71" s="25" t="e">
        <f t="shared" si="17"/>
        <v>#N/A</v>
      </c>
      <c r="BJ71" s="27" t="e">
        <f t="shared" si="18"/>
        <v>#N/A</v>
      </c>
      <c r="BK71" s="18" t="e">
        <f t="shared" si="19"/>
        <v>#N/A</v>
      </c>
      <c r="BL71" s="18" t="e">
        <f t="shared" si="20"/>
        <v>#N/A</v>
      </c>
      <c r="BM71" s="28" t="e">
        <f t="shared" si="84"/>
        <v>#N/A</v>
      </c>
      <c r="BN71" s="33">
        <f>HLOOKUP("maximum population",Miscelaneous!$C$1:$C$33,CH71+3,FALSE)</f>
        <v>240</v>
      </c>
      <c r="BO71" s="14">
        <f t="shared" si="36"/>
        <v>32</v>
      </c>
      <c r="BP71" s="14">
        <f t="shared" si="37"/>
        <v>0</v>
      </c>
      <c r="BQ71" s="14">
        <f t="shared" si="38"/>
        <v>208</v>
      </c>
      <c r="BR71" s="34" t="e">
        <f>HLOOKUP(J71,Villagers!$B$1:$V$33,L71+3,FALSE)-HLOOKUP(J71,Villagers!$B$1:$V$33,L71+2,FALSE)</f>
        <v>#N/A</v>
      </c>
      <c r="BS71" s="49">
        <f t="shared" si="39"/>
        <v>1</v>
      </c>
      <c r="BT71" s="50">
        <f t="shared" si="40"/>
        <v>0</v>
      </c>
      <c r="BU71" s="50">
        <f t="shared" si="41"/>
        <v>0</v>
      </c>
      <c r="BV71" s="50">
        <f t="shared" si="86"/>
        <v>0</v>
      </c>
      <c r="BW71" s="50">
        <f t="shared" si="87"/>
        <v>0</v>
      </c>
      <c r="BX71" s="50">
        <f t="shared" si="88"/>
        <v>0</v>
      </c>
      <c r="BY71" s="50">
        <f t="shared" si="88"/>
        <v>0</v>
      </c>
      <c r="BZ71" s="50">
        <f t="shared" si="45"/>
        <v>0</v>
      </c>
      <c r="CA71" s="50">
        <f t="shared" si="46"/>
        <v>0</v>
      </c>
      <c r="CB71" s="50">
        <f t="shared" si="47"/>
        <v>1</v>
      </c>
      <c r="CC71" s="50">
        <f t="shared" si="48"/>
        <v>0</v>
      </c>
      <c r="CD71" s="50">
        <f t="shared" si="49"/>
        <v>0</v>
      </c>
      <c r="CE71" s="50">
        <f t="shared" si="50"/>
        <v>1</v>
      </c>
      <c r="CF71" s="50">
        <f t="shared" si="51"/>
        <v>1</v>
      </c>
      <c r="CG71" s="50">
        <f t="shared" si="52"/>
        <v>1</v>
      </c>
      <c r="CH71" s="50">
        <f t="shared" si="53"/>
        <v>1</v>
      </c>
      <c r="CI71" s="50">
        <f t="shared" si="54"/>
        <v>1</v>
      </c>
      <c r="CJ71" s="50">
        <f t="shared" si="55"/>
        <v>1</v>
      </c>
      <c r="CK71" s="50">
        <f t="shared" si="56"/>
        <v>0</v>
      </c>
      <c r="CL71" s="50">
        <f t="shared" si="55"/>
        <v>0</v>
      </c>
      <c r="CM71" s="51">
        <f t="shared" si="57"/>
        <v>0</v>
      </c>
      <c r="CN71" s="33">
        <f>ROUND(IF(BS71=0,0,HLOOKUP(BS$14,Villagers!$B$1:$V$33,BS71+3,FALSE)),)</f>
        <v>5</v>
      </c>
      <c r="CO71" s="14">
        <f>ROUND(IF(BT71=0,0,HLOOKUP(BT$14,Villagers!$B$1:$V$33,BT71+3,FALSE)),)</f>
        <v>0</v>
      </c>
      <c r="CP71" s="14">
        <f>ROUND(IF(BU71=0,0,HLOOKUP(BU$14,Villagers!$B$1:$V$33,BU71+3,FALSE)),)</f>
        <v>0</v>
      </c>
      <c r="CQ71" s="14">
        <f>ROUND(IF(BV71=0,0,HLOOKUP(BV$14,Villagers!$B$1:$V$33,BV71+3,FALSE)),)</f>
        <v>0</v>
      </c>
      <c r="CR71" s="14">
        <f>ROUND(IF(BW71=0,0,HLOOKUP(BW$14,Villagers!$B$1:$V$33,BW71+3,FALSE)),)</f>
        <v>0</v>
      </c>
      <c r="CS71" s="14">
        <f>ROUND(IF(BX71=0,0,HLOOKUP(BX$14,Villagers!$B$1:$V$33,BX71+3,FALSE)),)</f>
        <v>0</v>
      </c>
      <c r="CT71" s="14">
        <f>ROUND(IF(BY71=0,0,HLOOKUP(BY$14,Villagers!$B$1:$V$33,BY71+3,FALSE)),)</f>
        <v>0</v>
      </c>
      <c r="CU71" s="14">
        <f>ROUND(IF(BZ71=0,0,HLOOKUP(BZ$14,Villagers!$B$1:$V$33,BZ71+3,FALSE)),)</f>
        <v>0</v>
      </c>
      <c r="CV71" s="14">
        <f>ROUND(IF(CA71=0,0,HLOOKUP(CA$14,Villagers!$B$1:$V$33,CA71+3,FALSE)),)</f>
        <v>0</v>
      </c>
      <c r="CW71" s="14">
        <f>ROUND(IF(CB71=0,0,HLOOKUP(CB$14,Villagers!$B$1:$V$33,CB71+3,FALSE)),)</f>
        <v>0</v>
      </c>
      <c r="CX71" s="14">
        <f>ROUND(IF(CC71=0,0,HLOOKUP(CC$14,Villagers!$B$1:$V$33,CC71+3,FALSE)),)</f>
        <v>0</v>
      </c>
      <c r="CY71" s="14">
        <f>ROUND(IF(CD71=0,0,HLOOKUP(CD$14,Villagers!$B$1:$V$33,CD71+3,FALSE)),)</f>
        <v>0</v>
      </c>
      <c r="CZ71" s="14">
        <f>ROUND(IF(CE71=0,0,HLOOKUP(CE$14,Villagers!$B$1:$V$33,CE71+3,FALSE)),)</f>
        <v>5</v>
      </c>
      <c r="DA71" s="14">
        <f>ROUND(IF(CF71=0,0,HLOOKUP(CF$14,Villagers!$B$1:$V$33,CF71+3,FALSE)),)</f>
        <v>10</v>
      </c>
      <c r="DB71" s="14">
        <f>ROUND(IF(CG71=0,0,HLOOKUP(CG$14,Villagers!$B$1:$V$33,CG71+3,FALSE)),)</f>
        <v>10</v>
      </c>
      <c r="DC71" s="14">
        <f>ROUND(IF(CH71=0,0,HLOOKUP(CH$14,Villagers!$B$1:$V$33,CH71+3,FALSE)),)</f>
        <v>0</v>
      </c>
      <c r="DD71" s="14">
        <f>ROUND(IF(CI71=0,0,HLOOKUP(CI$14,Villagers!$B$1:$V$33,CI71+3,FALSE)),)</f>
        <v>0</v>
      </c>
      <c r="DE71" s="14">
        <f>ROUND(IF(CJ71=0,0,HLOOKUP(CJ$14,Villagers!$B$1:$V$33,CJ71+3,FALSE)),)</f>
        <v>2</v>
      </c>
      <c r="DF71" s="370">
        <f>ROUND(IF(CK71=0,0,HLOOKUP(CK$14,Villagers!$B$1:$V$33,CK71+3,FALSE)),)</f>
        <v>0</v>
      </c>
      <c r="DG71" s="370">
        <f>ROUND(IF(CL71=0,0,HLOOKUP(CL$14,Villagers!$B$1:$V$33,CL71+3,FALSE)),)</f>
        <v>0</v>
      </c>
      <c r="DH71" s="34">
        <f>ROUND(IF(CM71=0,0,HLOOKUP(CM$14,Villagers!$B$1:$V$33,CM71+3,FALSE)),)</f>
        <v>0</v>
      </c>
      <c r="DI71" s="109">
        <f t="shared" si="73"/>
        <v>0</v>
      </c>
      <c r="DJ71" s="50">
        <f t="shared" si="74"/>
        <v>0</v>
      </c>
      <c r="DK71" s="50">
        <f t="shared" si="75"/>
        <v>0</v>
      </c>
      <c r="DL71" s="50">
        <f t="shared" si="76"/>
        <v>0</v>
      </c>
      <c r="DM71" s="50">
        <f t="shared" si="77"/>
        <v>0</v>
      </c>
      <c r="DN71" s="50">
        <f t="shared" si="78"/>
        <v>0</v>
      </c>
      <c r="DO71" s="50">
        <f t="shared" si="79"/>
        <v>0</v>
      </c>
      <c r="DP71" s="50">
        <f t="shared" si="80"/>
        <v>0</v>
      </c>
      <c r="DQ71" s="50">
        <f t="shared" si="59"/>
        <v>0</v>
      </c>
      <c r="DR71" s="50">
        <f t="shared" si="60"/>
        <v>0</v>
      </c>
      <c r="DS71" s="96">
        <f>Miscelaneous!$D$4*Miscelaneous!$D$2^($CI71-1)</f>
        <v>1000</v>
      </c>
      <c r="DT71" s="333">
        <f t="shared" si="61"/>
        <v>1</v>
      </c>
      <c r="DU71" s="81">
        <v>1</v>
      </c>
      <c r="DV71" s="79">
        <f t="shared" si="62"/>
        <v>0</v>
      </c>
      <c r="DW71" s="79">
        <f t="shared" si="23"/>
        <v>0</v>
      </c>
      <c r="DX71" s="79">
        <f t="shared" si="63"/>
        <v>0</v>
      </c>
      <c r="DY71" s="79">
        <v>1</v>
      </c>
      <c r="DZ71" s="79">
        <f t="shared" si="24"/>
        <v>0</v>
      </c>
      <c r="EA71" s="79">
        <f t="shared" si="64"/>
        <v>0</v>
      </c>
      <c r="EB71" s="79">
        <f t="shared" si="65"/>
        <v>0</v>
      </c>
      <c r="EC71" s="79">
        <f t="shared" si="66"/>
        <v>0</v>
      </c>
      <c r="ED71" s="79">
        <v>1</v>
      </c>
      <c r="EE71" s="79">
        <v>1</v>
      </c>
      <c r="EF71" s="79">
        <f t="shared" si="67"/>
        <v>0</v>
      </c>
      <c r="EG71" s="79">
        <v>1</v>
      </c>
      <c r="EH71" s="79">
        <v>1</v>
      </c>
      <c r="EI71" s="79">
        <v>1</v>
      </c>
      <c r="EJ71" s="79">
        <v>1</v>
      </c>
      <c r="EK71" s="79">
        <v>1</v>
      </c>
      <c r="EL71" s="79">
        <v>1</v>
      </c>
      <c r="EM71" s="143">
        <f t="shared" si="68"/>
        <v>0</v>
      </c>
      <c r="EN71" s="143">
        <f t="shared" si="69"/>
        <v>0</v>
      </c>
      <c r="EO71" s="82">
        <f t="shared" si="70"/>
        <v>0</v>
      </c>
    </row>
    <row r="72" spans="1:145" x14ac:dyDescent="0.25">
      <c r="A72">
        <v>58</v>
      </c>
      <c r="B72" s="172" t="e">
        <f t="shared" si="25"/>
        <v>#N/A</v>
      </c>
      <c r="C72" s="121" t="e">
        <f t="shared" si="0"/>
        <v>#N/A</v>
      </c>
      <c r="D72" s="122" t="e">
        <f t="shared" si="1"/>
        <v>#N/A</v>
      </c>
      <c r="E72" s="122" t="e">
        <f t="shared" si="2"/>
        <v>#N/A</v>
      </c>
      <c r="F72" s="176" t="e">
        <f t="shared" si="3"/>
        <v>#N/A</v>
      </c>
      <c r="G72" s="121">
        <f t="shared" si="26"/>
        <v>208</v>
      </c>
      <c r="H72" s="176" t="e">
        <f t="shared" si="27"/>
        <v>#N/A</v>
      </c>
      <c r="I72" s="48">
        <v>1</v>
      </c>
      <c r="J72" s="39"/>
      <c r="K72" s="350">
        <v>1</v>
      </c>
      <c r="L72" s="34" t="e">
        <f t="shared" si="4"/>
        <v>#N/A</v>
      </c>
      <c r="M72" s="38" t="e">
        <f>(HLOOKUP(J72,'Construction Times'!$B$3:$W$34,L72+2,FALSE)*HLOOKUP("hq modifier",'Construction Times'!$W$3:$W$34,BS72+2,FALSE))*(1-$H$9)</f>
        <v>#N/A</v>
      </c>
      <c r="N72" s="443" t="e">
        <f t="shared" si="28"/>
        <v>#N/A</v>
      </c>
      <c r="O72" s="444"/>
      <c r="P72" s="447" t="e">
        <f t="shared" si="29"/>
        <v>#N/A</v>
      </c>
      <c r="Q72" s="448"/>
      <c r="R72" s="103">
        <f t="shared" si="71"/>
        <v>0</v>
      </c>
      <c r="S72" s="104">
        <f t="shared" si="71"/>
        <v>0</v>
      </c>
      <c r="T72" s="104">
        <f t="shared" si="72"/>
        <v>0</v>
      </c>
      <c r="U72" s="104">
        <f t="shared" si="72"/>
        <v>0</v>
      </c>
      <c r="V72" s="104">
        <f t="shared" si="72"/>
        <v>9.9999999999999995E-8</v>
      </c>
      <c r="W72" s="104">
        <f t="shared" si="72"/>
        <v>0</v>
      </c>
      <c r="X72" s="104">
        <f t="shared" si="85"/>
        <v>0</v>
      </c>
      <c r="Y72" s="104">
        <f t="shared" si="85"/>
        <v>9.9999999999999995E-8</v>
      </c>
      <c r="Z72" s="104">
        <f t="shared" si="85"/>
        <v>9.9999999999999995E-8</v>
      </c>
      <c r="AA72" s="105">
        <f t="shared" si="85"/>
        <v>9.9999999999999995E-8</v>
      </c>
      <c r="AB72" s="101" t="e">
        <f>$DT72*HLOOKUP($J72,'Construction Costs (timber)'!$B$1:$V$32,'Construction Planner'!$L72+2,FALSE)</f>
        <v>#N/A</v>
      </c>
      <c r="AC72" s="14" t="e">
        <f>$DT72*HLOOKUP($J72,'Construction Costs (clay)'!$B$1:$V$32,'Construction Planner'!$L72+2,FALSE)</f>
        <v>#N/A</v>
      </c>
      <c r="AD72" s="14" t="e">
        <f>$DT72*HLOOKUP($J72,'Construction Costs (iron)'!$B$1:$V$32,'Construction Planner'!$L72+2,FALSE)</f>
        <v>#N/A</v>
      </c>
      <c r="AE72" s="34" t="e">
        <f t="shared" si="81"/>
        <v>#N/A</v>
      </c>
      <c r="AF72" s="33" t="e">
        <f t="shared" si="5"/>
        <v>#N/A</v>
      </c>
      <c r="AG72" s="14" t="e">
        <f t="shared" si="6"/>
        <v>#N/A</v>
      </c>
      <c r="AH72" s="14" t="e">
        <f t="shared" si="7"/>
        <v>#N/A</v>
      </c>
      <c r="AI72" s="34" t="e">
        <f t="shared" si="82"/>
        <v>#N/A</v>
      </c>
      <c r="AJ72" s="49" t="e">
        <f t="shared" si="32"/>
        <v>#N/A</v>
      </c>
      <c r="AK72" s="49" t="e">
        <f t="shared" si="33"/>
        <v>#N/A</v>
      </c>
      <c r="AL72" s="49" t="e">
        <f t="shared" si="34"/>
        <v>#N/A</v>
      </c>
      <c r="AM72" s="25">
        <f t="shared" si="8"/>
        <v>30</v>
      </c>
      <c r="AN72" s="25">
        <f t="shared" si="9"/>
        <v>30</v>
      </c>
      <c r="AO72" s="25">
        <f t="shared" si="10"/>
        <v>30</v>
      </c>
      <c r="AP72" s="52" t="e">
        <f t="shared" si="35"/>
        <v>#N/A</v>
      </c>
      <c r="AQ72" s="53" t="e">
        <f t="shared" si="35"/>
        <v>#N/A</v>
      </c>
      <c r="AR72" s="54" t="e">
        <f t="shared" si="35"/>
        <v>#N/A</v>
      </c>
      <c r="AS72" s="316">
        <f t="shared" si="83"/>
        <v>0</v>
      </c>
      <c r="AT72" s="106">
        <f>_xlfn.IFNA($M72/VLOOKUP($BT72,'Unit information'!$A$2:$K$29,2,FALSE)*R72,0)*(1+$E$9)</f>
        <v>0</v>
      </c>
      <c r="AU72" s="107">
        <f>_xlfn.IFNA($M72/VLOOKUP($BT72,'Unit information'!$A$2:$K$29,3,FALSE)*S72,0)*(1+$E$9)</f>
        <v>0</v>
      </c>
      <c r="AV72" s="107">
        <f>_xlfn.IFNA($M72/VLOOKUP($BT72,'Unit information'!$A$2:$K$29,4,FALSE)*T72,0)*(1+$E$9)</f>
        <v>0</v>
      </c>
      <c r="AW72" s="107">
        <f>_xlfn.IFNA($M72/VLOOKUP($BT72,'Unit information'!$A$2:$K$29,5,FALSE)*U72,0)*(1+$E$9)</f>
        <v>0</v>
      </c>
      <c r="AX72" s="107">
        <f>_xlfn.IFNA($M72/VLOOKUP($BU72,'Unit information'!$A$2:$K$29,6,FALSE)*V72,0)*(1+$E$9)</f>
        <v>0</v>
      </c>
      <c r="AY72" s="107">
        <f>_xlfn.IFNA($M72/VLOOKUP($BU72,'Unit information'!$A$2:$K$29,7,FALSE)*W72,0)*(1+$E$9)</f>
        <v>0</v>
      </c>
      <c r="AZ72" s="107">
        <f>_xlfn.IFNA($M72/VLOOKUP($BU72,'Unit information'!$A$2:$K$29,8,FALSE)*X72,0)*(1+$E$9)</f>
        <v>0</v>
      </c>
      <c r="BA72" s="107">
        <f>_xlfn.IFNA($M72/VLOOKUP($BU72,'Unit information'!$A$2:$K$29,9,FALSE)*Y72,0)*(1+$E$9)</f>
        <v>0</v>
      </c>
      <c r="BB72" s="107">
        <f>_xlfn.IFNA($M72/VLOOKUP($BV72,'Unit information'!$A$2:$K$29,10,FALSE)*Z72,0)*(1+$E$9)</f>
        <v>0</v>
      </c>
      <c r="BC72" s="108">
        <f>_xlfn.IFNA($M72/VLOOKUP($BV72,'Unit information'!$A$2:$K$29,11,FALSE)*AA72,0)*(1+$E$9)</f>
        <v>0</v>
      </c>
      <c r="BD72" s="106">
        <f t="shared" si="12"/>
        <v>0</v>
      </c>
      <c r="BE72" s="107">
        <f t="shared" si="13"/>
        <v>0</v>
      </c>
      <c r="BF72" s="108">
        <f t="shared" si="14"/>
        <v>0</v>
      </c>
      <c r="BG72" s="25" t="e">
        <f t="shared" si="15"/>
        <v>#N/A</v>
      </c>
      <c r="BH72" s="25" t="e">
        <f t="shared" si="16"/>
        <v>#N/A</v>
      </c>
      <c r="BI72" s="25" t="e">
        <f t="shared" si="17"/>
        <v>#N/A</v>
      </c>
      <c r="BJ72" s="27" t="e">
        <f t="shared" si="18"/>
        <v>#N/A</v>
      </c>
      <c r="BK72" s="18" t="e">
        <f t="shared" si="19"/>
        <v>#N/A</v>
      </c>
      <c r="BL72" s="18" t="e">
        <f t="shared" si="20"/>
        <v>#N/A</v>
      </c>
      <c r="BM72" s="28" t="e">
        <f t="shared" si="84"/>
        <v>#N/A</v>
      </c>
      <c r="BN72" s="33">
        <f>HLOOKUP("maximum population",Miscelaneous!$C$1:$C$33,CH72+3,FALSE)</f>
        <v>240</v>
      </c>
      <c r="BO72" s="14">
        <f t="shared" si="36"/>
        <v>32</v>
      </c>
      <c r="BP72" s="14">
        <f t="shared" si="37"/>
        <v>0</v>
      </c>
      <c r="BQ72" s="14">
        <f t="shared" si="38"/>
        <v>208</v>
      </c>
      <c r="BR72" s="34" t="e">
        <f>HLOOKUP(J72,Villagers!$B$1:$V$33,L72+3,FALSE)-HLOOKUP(J72,Villagers!$B$1:$V$33,L72+2,FALSE)</f>
        <v>#N/A</v>
      </c>
      <c r="BS72" s="49">
        <f t="shared" si="39"/>
        <v>1</v>
      </c>
      <c r="BT72" s="50">
        <f t="shared" si="40"/>
        <v>0</v>
      </c>
      <c r="BU72" s="50">
        <f t="shared" si="41"/>
        <v>0</v>
      </c>
      <c r="BV72" s="50">
        <f t="shared" si="86"/>
        <v>0</v>
      </c>
      <c r="BW72" s="50">
        <f t="shared" si="87"/>
        <v>0</v>
      </c>
      <c r="BX72" s="50">
        <f t="shared" si="88"/>
        <v>0</v>
      </c>
      <c r="BY72" s="50">
        <f t="shared" si="88"/>
        <v>0</v>
      </c>
      <c r="BZ72" s="50">
        <f t="shared" si="45"/>
        <v>0</v>
      </c>
      <c r="CA72" s="50">
        <f t="shared" si="46"/>
        <v>0</v>
      </c>
      <c r="CB72" s="50">
        <f t="shared" si="47"/>
        <v>1</v>
      </c>
      <c r="CC72" s="50">
        <f t="shared" si="48"/>
        <v>0</v>
      </c>
      <c r="CD72" s="50">
        <f t="shared" si="49"/>
        <v>0</v>
      </c>
      <c r="CE72" s="50">
        <f t="shared" si="50"/>
        <v>1</v>
      </c>
      <c r="CF72" s="50">
        <f t="shared" si="51"/>
        <v>1</v>
      </c>
      <c r="CG72" s="50">
        <f t="shared" si="52"/>
        <v>1</v>
      </c>
      <c r="CH72" s="50">
        <f t="shared" si="53"/>
        <v>1</v>
      </c>
      <c r="CI72" s="50">
        <f t="shared" si="54"/>
        <v>1</v>
      </c>
      <c r="CJ72" s="50">
        <f t="shared" si="55"/>
        <v>1</v>
      </c>
      <c r="CK72" s="50">
        <f t="shared" si="56"/>
        <v>0</v>
      </c>
      <c r="CL72" s="50">
        <f t="shared" si="55"/>
        <v>0</v>
      </c>
      <c r="CM72" s="51">
        <f t="shared" si="57"/>
        <v>0</v>
      </c>
      <c r="CN72" s="33">
        <f>ROUND(IF(BS72=0,0,HLOOKUP(BS$14,Villagers!$B$1:$V$33,BS72+3,FALSE)),)</f>
        <v>5</v>
      </c>
      <c r="CO72" s="14">
        <f>ROUND(IF(BT72=0,0,HLOOKUP(BT$14,Villagers!$B$1:$V$33,BT72+3,FALSE)),)</f>
        <v>0</v>
      </c>
      <c r="CP72" s="14">
        <f>ROUND(IF(BU72=0,0,HLOOKUP(BU$14,Villagers!$B$1:$V$33,BU72+3,FALSE)),)</f>
        <v>0</v>
      </c>
      <c r="CQ72" s="14">
        <f>ROUND(IF(BV72=0,0,HLOOKUP(BV$14,Villagers!$B$1:$V$33,BV72+3,FALSE)),)</f>
        <v>0</v>
      </c>
      <c r="CR72" s="14">
        <f>ROUND(IF(BW72=0,0,HLOOKUP(BW$14,Villagers!$B$1:$V$33,BW72+3,FALSE)),)</f>
        <v>0</v>
      </c>
      <c r="CS72" s="14">
        <f>ROUND(IF(BX72=0,0,HLOOKUP(BX$14,Villagers!$B$1:$V$33,BX72+3,FALSE)),)</f>
        <v>0</v>
      </c>
      <c r="CT72" s="14">
        <f>ROUND(IF(BY72=0,0,HLOOKUP(BY$14,Villagers!$B$1:$V$33,BY72+3,FALSE)),)</f>
        <v>0</v>
      </c>
      <c r="CU72" s="14">
        <f>ROUND(IF(BZ72=0,0,HLOOKUP(BZ$14,Villagers!$B$1:$V$33,BZ72+3,FALSE)),)</f>
        <v>0</v>
      </c>
      <c r="CV72" s="14">
        <f>ROUND(IF(CA72=0,0,HLOOKUP(CA$14,Villagers!$B$1:$V$33,CA72+3,FALSE)),)</f>
        <v>0</v>
      </c>
      <c r="CW72" s="14">
        <f>ROUND(IF(CB72=0,0,HLOOKUP(CB$14,Villagers!$B$1:$V$33,CB72+3,FALSE)),)</f>
        <v>0</v>
      </c>
      <c r="CX72" s="14">
        <f>ROUND(IF(CC72=0,0,HLOOKUP(CC$14,Villagers!$B$1:$V$33,CC72+3,FALSE)),)</f>
        <v>0</v>
      </c>
      <c r="CY72" s="14">
        <f>ROUND(IF(CD72=0,0,HLOOKUP(CD$14,Villagers!$B$1:$V$33,CD72+3,FALSE)),)</f>
        <v>0</v>
      </c>
      <c r="CZ72" s="14">
        <f>ROUND(IF(CE72=0,0,HLOOKUP(CE$14,Villagers!$B$1:$V$33,CE72+3,FALSE)),)</f>
        <v>5</v>
      </c>
      <c r="DA72" s="14">
        <f>ROUND(IF(CF72=0,0,HLOOKUP(CF$14,Villagers!$B$1:$V$33,CF72+3,FALSE)),)</f>
        <v>10</v>
      </c>
      <c r="DB72" s="14">
        <f>ROUND(IF(CG72=0,0,HLOOKUP(CG$14,Villagers!$B$1:$V$33,CG72+3,FALSE)),)</f>
        <v>10</v>
      </c>
      <c r="DC72" s="14">
        <f>ROUND(IF(CH72=0,0,HLOOKUP(CH$14,Villagers!$B$1:$V$33,CH72+3,FALSE)),)</f>
        <v>0</v>
      </c>
      <c r="DD72" s="14">
        <f>ROUND(IF(CI72=0,0,HLOOKUP(CI$14,Villagers!$B$1:$V$33,CI72+3,FALSE)),)</f>
        <v>0</v>
      </c>
      <c r="DE72" s="14">
        <f>ROUND(IF(CJ72=0,0,HLOOKUP(CJ$14,Villagers!$B$1:$V$33,CJ72+3,FALSE)),)</f>
        <v>2</v>
      </c>
      <c r="DF72" s="370">
        <f>ROUND(IF(CK72=0,0,HLOOKUP(CK$14,Villagers!$B$1:$V$33,CK72+3,FALSE)),)</f>
        <v>0</v>
      </c>
      <c r="DG72" s="370">
        <f>ROUND(IF(CL72=0,0,HLOOKUP(CL$14,Villagers!$B$1:$V$33,CL72+3,FALSE)),)</f>
        <v>0</v>
      </c>
      <c r="DH72" s="34">
        <f>ROUND(IF(CM72=0,0,HLOOKUP(CM$14,Villagers!$B$1:$V$33,CM72+3,FALSE)),)</f>
        <v>0</v>
      </c>
      <c r="DI72" s="109">
        <f t="shared" si="73"/>
        <v>0</v>
      </c>
      <c r="DJ72" s="50">
        <f t="shared" si="74"/>
        <v>0</v>
      </c>
      <c r="DK72" s="50">
        <f t="shared" si="75"/>
        <v>0</v>
      </c>
      <c r="DL72" s="50">
        <f t="shared" si="76"/>
        <v>0</v>
      </c>
      <c r="DM72" s="50">
        <f t="shared" si="77"/>
        <v>0</v>
      </c>
      <c r="DN72" s="50">
        <f t="shared" si="78"/>
        <v>0</v>
      </c>
      <c r="DO72" s="50">
        <f t="shared" si="79"/>
        <v>0</v>
      </c>
      <c r="DP72" s="50">
        <f t="shared" si="80"/>
        <v>0</v>
      </c>
      <c r="DQ72" s="50">
        <f t="shared" si="59"/>
        <v>0</v>
      </c>
      <c r="DR72" s="50">
        <f t="shared" si="60"/>
        <v>0</v>
      </c>
      <c r="DS72" s="96">
        <f>Miscelaneous!$D$4*Miscelaneous!$D$2^($CI72-1)</f>
        <v>1000</v>
      </c>
      <c r="DT72" s="333">
        <f t="shared" si="61"/>
        <v>1</v>
      </c>
      <c r="DU72" s="81">
        <v>1</v>
      </c>
      <c r="DV72" s="79">
        <f t="shared" si="62"/>
        <v>0</v>
      </c>
      <c r="DW72" s="79">
        <f t="shared" si="23"/>
        <v>0</v>
      </c>
      <c r="DX72" s="79">
        <f t="shared" si="63"/>
        <v>0</v>
      </c>
      <c r="DY72" s="79">
        <v>1</v>
      </c>
      <c r="DZ72" s="79">
        <f t="shared" si="24"/>
        <v>0</v>
      </c>
      <c r="EA72" s="79">
        <f t="shared" si="64"/>
        <v>0</v>
      </c>
      <c r="EB72" s="79">
        <f t="shared" si="65"/>
        <v>0</v>
      </c>
      <c r="EC72" s="79">
        <f t="shared" si="66"/>
        <v>0</v>
      </c>
      <c r="ED72" s="79">
        <v>1</v>
      </c>
      <c r="EE72" s="79">
        <v>1</v>
      </c>
      <c r="EF72" s="79">
        <f t="shared" si="67"/>
        <v>0</v>
      </c>
      <c r="EG72" s="79">
        <v>1</v>
      </c>
      <c r="EH72" s="79">
        <v>1</v>
      </c>
      <c r="EI72" s="79">
        <v>1</v>
      </c>
      <c r="EJ72" s="79">
        <v>1</v>
      </c>
      <c r="EK72" s="79">
        <v>1</v>
      </c>
      <c r="EL72" s="79">
        <v>1</v>
      </c>
      <c r="EM72" s="143">
        <f t="shared" si="68"/>
        <v>0</v>
      </c>
      <c r="EN72" s="143">
        <f t="shared" si="69"/>
        <v>0</v>
      </c>
      <c r="EO72" s="82">
        <f t="shared" si="70"/>
        <v>0</v>
      </c>
    </row>
    <row r="73" spans="1:145" x14ac:dyDescent="0.25">
      <c r="A73">
        <v>59</v>
      </c>
      <c r="B73" s="172" t="e">
        <f t="shared" si="25"/>
        <v>#N/A</v>
      </c>
      <c r="C73" s="121" t="e">
        <f t="shared" si="0"/>
        <v>#N/A</v>
      </c>
      <c r="D73" s="122" t="e">
        <f t="shared" si="1"/>
        <v>#N/A</v>
      </c>
      <c r="E73" s="122" t="e">
        <f t="shared" si="2"/>
        <v>#N/A</v>
      </c>
      <c r="F73" s="176" t="e">
        <f t="shared" si="3"/>
        <v>#N/A</v>
      </c>
      <c r="G73" s="121">
        <f t="shared" si="26"/>
        <v>208</v>
      </c>
      <c r="H73" s="176" t="e">
        <f t="shared" si="27"/>
        <v>#N/A</v>
      </c>
      <c r="I73" s="48">
        <v>1</v>
      </c>
      <c r="J73" s="39"/>
      <c r="K73" s="350">
        <v>1</v>
      </c>
      <c r="L73" s="34" t="e">
        <f t="shared" si="4"/>
        <v>#N/A</v>
      </c>
      <c r="M73" s="38" t="e">
        <f>(HLOOKUP(J73,'Construction Times'!$B$3:$W$34,L73+2,FALSE)*HLOOKUP("hq modifier",'Construction Times'!$W$3:$W$34,BS73+2,FALSE))*(1-$H$9)</f>
        <v>#N/A</v>
      </c>
      <c r="N73" s="443" t="e">
        <f t="shared" si="28"/>
        <v>#N/A</v>
      </c>
      <c r="O73" s="444"/>
      <c r="P73" s="447" t="e">
        <f t="shared" si="29"/>
        <v>#N/A</v>
      </c>
      <c r="Q73" s="448"/>
      <c r="R73" s="103">
        <f t="shared" si="71"/>
        <v>0</v>
      </c>
      <c r="S73" s="104">
        <f t="shared" si="71"/>
        <v>0</v>
      </c>
      <c r="T73" s="104">
        <f t="shared" si="72"/>
        <v>0</v>
      </c>
      <c r="U73" s="104">
        <f t="shared" si="72"/>
        <v>0</v>
      </c>
      <c r="V73" s="104">
        <f t="shared" si="72"/>
        <v>9.9999999999999995E-8</v>
      </c>
      <c r="W73" s="104">
        <f t="shared" si="72"/>
        <v>0</v>
      </c>
      <c r="X73" s="104">
        <f t="shared" si="85"/>
        <v>0</v>
      </c>
      <c r="Y73" s="104">
        <f t="shared" si="85"/>
        <v>9.9999999999999995E-8</v>
      </c>
      <c r="Z73" s="104">
        <f t="shared" si="85"/>
        <v>9.9999999999999995E-8</v>
      </c>
      <c r="AA73" s="105">
        <f t="shared" si="85"/>
        <v>9.9999999999999995E-8</v>
      </c>
      <c r="AB73" s="101" t="e">
        <f>$DT73*HLOOKUP($J73,'Construction Costs (timber)'!$B$1:$V$32,'Construction Planner'!$L73+2,FALSE)</f>
        <v>#N/A</v>
      </c>
      <c r="AC73" s="14" t="e">
        <f>$DT73*HLOOKUP($J73,'Construction Costs (clay)'!$B$1:$V$32,'Construction Planner'!$L73+2,FALSE)</f>
        <v>#N/A</v>
      </c>
      <c r="AD73" s="14" t="e">
        <f>$DT73*HLOOKUP($J73,'Construction Costs (iron)'!$B$1:$V$32,'Construction Planner'!$L73+2,FALSE)</f>
        <v>#N/A</v>
      </c>
      <c r="AE73" s="34" t="e">
        <f t="shared" si="81"/>
        <v>#N/A</v>
      </c>
      <c r="AF73" s="33" t="e">
        <f t="shared" si="5"/>
        <v>#N/A</v>
      </c>
      <c r="AG73" s="14" t="e">
        <f t="shared" si="6"/>
        <v>#N/A</v>
      </c>
      <c r="AH73" s="14" t="e">
        <f t="shared" si="7"/>
        <v>#N/A</v>
      </c>
      <c r="AI73" s="34" t="e">
        <f t="shared" si="82"/>
        <v>#N/A</v>
      </c>
      <c r="AJ73" s="49" t="e">
        <f t="shared" si="32"/>
        <v>#N/A</v>
      </c>
      <c r="AK73" s="49" t="e">
        <f t="shared" si="33"/>
        <v>#N/A</v>
      </c>
      <c r="AL73" s="49" t="e">
        <f t="shared" si="34"/>
        <v>#N/A</v>
      </c>
      <c r="AM73" s="25">
        <f t="shared" si="8"/>
        <v>30</v>
      </c>
      <c r="AN73" s="25">
        <f t="shared" si="9"/>
        <v>30</v>
      </c>
      <c r="AO73" s="25">
        <f t="shared" si="10"/>
        <v>30</v>
      </c>
      <c r="AP73" s="52" t="e">
        <f t="shared" si="35"/>
        <v>#N/A</v>
      </c>
      <c r="AQ73" s="53" t="e">
        <f t="shared" si="35"/>
        <v>#N/A</v>
      </c>
      <c r="AR73" s="54" t="e">
        <f t="shared" si="35"/>
        <v>#N/A</v>
      </c>
      <c r="AS73" s="316">
        <f t="shared" si="83"/>
        <v>0</v>
      </c>
      <c r="AT73" s="106">
        <f>_xlfn.IFNA($M73/VLOOKUP($BT73,'Unit information'!$A$2:$K$29,2,FALSE)*R73,0)*(1+$E$9)</f>
        <v>0</v>
      </c>
      <c r="AU73" s="107">
        <f>_xlfn.IFNA($M73/VLOOKUP($BT73,'Unit information'!$A$2:$K$29,3,FALSE)*S73,0)*(1+$E$9)</f>
        <v>0</v>
      </c>
      <c r="AV73" s="107">
        <f>_xlfn.IFNA($M73/VLOOKUP($BT73,'Unit information'!$A$2:$K$29,4,FALSE)*T73,0)*(1+$E$9)</f>
        <v>0</v>
      </c>
      <c r="AW73" s="107">
        <f>_xlfn.IFNA($M73/VLOOKUP($BT73,'Unit information'!$A$2:$K$29,5,FALSE)*U73,0)*(1+$E$9)</f>
        <v>0</v>
      </c>
      <c r="AX73" s="107">
        <f>_xlfn.IFNA($M73/VLOOKUP($BU73,'Unit information'!$A$2:$K$29,6,FALSE)*V73,0)*(1+$E$9)</f>
        <v>0</v>
      </c>
      <c r="AY73" s="107">
        <f>_xlfn.IFNA($M73/VLOOKUP($BU73,'Unit information'!$A$2:$K$29,7,FALSE)*W73,0)*(1+$E$9)</f>
        <v>0</v>
      </c>
      <c r="AZ73" s="107">
        <f>_xlfn.IFNA($M73/VLOOKUP($BU73,'Unit information'!$A$2:$K$29,8,FALSE)*X73,0)*(1+$E$9)</f>
        <v>0</v>
      </c>
      <c r="BA73" s="107">
        <f>_xlfn.IFNA($M73/VLOOKUP($BU73,'Unit information'!$A$2:$K$29,9,FALSE)*Y73,0)*(1+$E$9)</f>
        <v>0</v>
      </c>
      <c r="BB73" s="107">
        <f>_xlfn.IFNA($M73/VLOOKUP($BV73,'Unit information'!$A$2:$K$29,10,FALSE)*Z73,0)*(1+$E$9)</f>
        <v>0</v>
      </c>
      <c r="BC73" s="108">
        <f>_xlfn.IFNA($M73/VLOOKUP($BV73,'Unit information'!$A$2:$K$29,11,FALSE)*AA73,0)*(1+$E$9)</f>
        <v>0</v>
      </c>
      <c r="BD73" s="106">
        <f t="shared" si="12"/>
        <v>0</v>
      </c>
      <c r="BE73" s="107">
        <f t="shared" si="13"/>
        <v>0</v>
      </c>
      <c r="BF73" s="108">
        <f t="shared" si="14"/>
        <v>0</v>
      </c>
      <c r="BG73" s="25" t="e">
        <f t="shared" si="15"/>
        <v>#N/A</v>
      </c>
      <c r="BH73" s="25" t="e">
        <f t="shared" si="16"/>
        <v>#N/A</v>
      </c>
      <c r="BI73" s="25" t="e">
        <f t="shared" si="17"/>
        <v>#N/A</v>
      </c>
      <c r="BJ73" s="27" t="e">
        <f t="shared" si="18"/>
        <v>#N/A</v>
      </c>
      <c r="BK73" s="18" t="e">
        <f t="shared" si="19"/>
        <v>#N/A</v>
      </c>
      <c r="BL73" s="18" t="e">
        <f t="shared" si="20"/>
        <v>#N/A</v>
      </c>
      <c r="BM73" s="28" t="e">
        <f t="shared" si="84"/>
        <v>#N/A</v>
      </c>
      <c r="BN73" s="33">
        <f>HLOOKUP("maximum population",Miscelaneous!$C$1:$C$33,CH73+3,FALSE)</f>
        <v>240</v>
      </c>
      <c r="BO73" s="14">
        <f t="shared" si="36"/>
        <v>32</v>
      </c>
      <c r="BP73" s="14">
        <f t="shared" si="37"/>
        <v>0</v>
      </c>
      <c r="BQ73" s="14">
        <f t="shared" si="38"/>
        <v>208</v>
      </c>
      <c r="BR73" s="34" t="e">
        <f>HLOOKUP(J73,Villagers!$B$1:$V$33,L73+3,FALSE)-HLOOKUP(J73,Villagers!$B$1:$V$33,L73+2,FALSE)</f>
        <v>#N/A</v>
      </c>
      <c r="BS73" s="49">
        <f t="shared" si="39"/>
        <v>1</v>
      </c>
      <c r="BT73" s="50">
        <f t="shared" si="40"/>
        <v>0</v>
      </c>
      <c r="BU73" s="50">
        <f t="shared" si="41"/>
        <v>0</v>
      </c>
      <c r="BV73" s="50">
        <f t="shared" si="86"/>
        <v>0</v>
      </c>
      <c r="BW73" s="50">
        <f t="shared" si="87"/>
        <v>0</v>
      </c>
      <c r="BX73" s="50">
        <f t="shared" si="88"/>
        <v>0</v>
      </c>
      <c r="BY73" s="50">
        <f t="shared" si="88"/>
        <v>0</v>
      </c>
      <c r="BZ73" s="50">
        <f t="shared" si="45"/>
        <v>0</v>
      </c>
      <c r="CA73" s="50">
        <f t="shared" si="46"/>
        <v>0</v>
      </c>
      <c r="CB73" s="50">
        <f t="shared" si="47"/>
        <v>1</v>
      </c>
      <c r="CC73" s="50">
        <f t="shared" si="48"/>
        <v>0</v>
      </c>
      <c r="CD73" s="50">
        <f t="shared" si="49"/>
        <v>0</v>
      </c>
      <c r="CE73" s="50">
        <f t="shared" si="50"/>
        <v>1</v>
      </c>
      <c r="CF73" s="50">
        <f t="shared" si="51"/>
        <v>1</v>
      </c>
      <c r="CG73" s="50">
        <f t="shared" si="52"/>
        <v>1</v>
      </c>
      <c r="CH73" s="50">
        <f t="shared" si="53"/>
        <v>1</v>
      </c>
      <c r="CI73" s="50">
        <f t="shared" si="54"/>
        <v>1</v>
      </c>
      <c r="CJ73" s="50">
        <f t="shared" si="55"/>
        <v>1</v>
      </c>
      <c r="CK73" s="50">
        <f t="shared" si="56"/>
        <v>0</v>
      </c>
      <c r="CL73" s="50">
        <f t="shared" si="55"/>
        <v>0</v>
      </c>
      <c r="CM73" s="51">
        <f t="shared" si="57"/>
        <v>0</v>
      </c>
      <c r="CN73" s="33">
        <f>ROUND(IF(BS73=0,0,HLOOKUP(BS$14,Villagers!$B$1:$V$33,BS73+3,FALSE)),)</f>
        <v>5</v>
      </c>
      <c r="CO73" s="14">
        <f>ROUND(IF(BT73=0,0,HLOOKUP(BT$14,Villagers!$B$1:$V$33,BT73+3,FALSE)),)</f>
        <v>0</v>
      </c>
      <c r="CP73" s="14">
        <f>ROUND(IF(BU73=0,0,HLOOKUP(BU$14,Villagers!$B$1:$V$33,BU73+3,FALSE)),)</f>
        <v>0</v>
      </c>
      <c r="CQ73" s="14">
        <f>ROUND(IF(BV73=0,0,HLOOKUP(BV$14,Villagers!$B$1:$V$33,BV73+3,FALSE)),)</f>
        <v>0</v>
      </c>
      <c r="CR73" s="14">
        <f>ROUND(IF(BW73=0,0,HLOOKUP(BW$14,Villagers!$B$1:$V$33,BW73+3,FALSE)),)</f>
        <v>0</v>
      </c>
      <c r="CS73" s="14">
        <f>ROUND(IF(BX73=0,0,HLOOKUP(BX$14,Villagers!$B$1:$V$33,BX73+3,FALSE)),)</f>
        <v>0</v>
      </c>
      <c r="CT73" s="14">
        <f>ROUND(IF(BY73=0,0,HLOOKUP(BY$14,Villagers!$B$1:$V$33,BY73+3,FALSE)),)</f>
        <v>0</v>
      </c>
      <c r="CU73" s="14">
        <f>ROUND(IF(BZ73=0,0,HLOOKUP(BZ$14,Villagers!$B$1:$V$33,BZ73+3,FALSE)),)</f>
        <v>0</v>
      </c>
      <c r="CV73" s="14">
        <f>ROUND(IF(CA73=0,0,HLOOKUP(CA$14,Villagers!$B$1:$V$33,CA73+3,FALSE)),)</f>
        <v>0</v>
      </c>
      <c r="CW73" s="14">
        <f>ROUND(IF(CB73=0,0,HLOOKUP(CB$14,Villagers!$B$1:$V$33,CB73+3,FALSE)),)</f>
        <v>0</v>
      </c>
      <c r="CX73" s="14">
        <f>ROUND(IF(CC73=0,0,HLOOKUP(CC$14,Villagers!$B$1:$V$33,CC73+3,FALSE)),)</f>
        <v>0</v>
      </c>
      <c r="CY73" s="14">
        <f>ROUND(IF(CD73=0,0,HLOOKUP(CD$14,Villagers!$B$1:$V$33,CD73+3,FALSE)),)</f>
        <v>0</v>
      </c>
      <c r="CZ73" s="14">
        <f>ROUND(IF(CE73=0,0,HLOOKUP(CE$14,Villagers!$B$1:$V$33,CE73+3,FALSE)),)</f>
        <v>5</v>
      </c>
      <c r="DA73" s="14">
        <f>ROUND(IF(CF73=0,0,HLOOKUP(CF$14,Villagers!$B$1:$V$33,CF73+3,FALSE)),)</f>
        <v>10</v>
      </c>
      <c r="DB73" s="14">
        <f>ROUND(IF(CG73=0,0,HLOOKUP(CG$14,Villagers!$B$1:$V$33,CG73+3,FALSE)),)</f>
        <v>10</v>
      </c>
      <c r="DC73" s="14">
        <f>ROUND(IF(CH73=0,0,HLOOKUP(CH$14,Villagers!$B$1:$V$33,CH73+3,FALSE)),)</f>
        <v>0</v>
      </c>
      <c r="DD73" s="14">
        <f>ROUND(IF(CI73=0,0,HLOOKUP(CI$14,Villagers!$B$1:$V$33,CI73+3,FALSE)),)</f>
        <v>0</v>
      </c>
      <c r="DE73" s="14">
        <f>ROUND(IF(CJ73=0,0,HLOOKUP(CJ$14,Villagers!$B$1:$V$33,CJ73+3,FALSE)),)</f>
        <v>2</v>
      </c>
      <c r="DF73" s="370">
        <f>ROUND(IF(CK73=0,0,HLOOKUP(CK$14,Villagers!$B$1:$V$33,CK73+3,FALSE)),)</f>
        <v>0</v>
      </c>
      <c r="DG73" s="370">
        <f>ROUND(IF(CL73=0,0,HLOOKUP(CL$14,Villagers!$B$1:$V$33,CL73+3,FALSE)),)</f>
        <v>0</v>
      </c>
      <c r="DH73" s="34">
        <f>ROUND(IF(CM73=0,0,HLOOKUP(CM$14,Villagers!$B$1:$V$33,CM73+3,FALSE)),)</f>
        <v>0</v>
      </c>
      <c r="DI73" s="109">
        <f t="shared" si="73"/>
        <v>0</v>
      </c>
      <c r="DJ73" s="50">
        <f t="shared" si="74"/>
        <v>0</v>
      </c>
      <c r="DK73" s="50">
        <f t="shared" si="75"/>
        <v>0</v>
      </c>
      <c r="DL73" s="50">
        <f t="shared" si="76"/>
        <v>0</v>
      </c>
      <c r="DM73" s="50">
        <f t="shared" si="77"/>
        <v>0</v>
      </c>
      <c r="DN73" s="50">
        <f t="shared" si="78"/>
        <v>0</v>
      </c>
      <c r="DO73" s="50">
        <f t="shared" si="79"/>
        <v>0</v>
      </c>
      <c r="DP73" s="50">
        <f t="shared" si="80"/>
        <v>0</v>
      </c>
      <c r="DQ73" s="50">
        <f t="shared" si="59"/>
        <v>0</v>
      </c>
      <c r="DR73" s="50">
        <f t="shared" si="60"/>
        <v>0</v>
      </c>
      <c r="DS73" s="96">
        <f>Miscelaneous!$D$4*Miscelaneous!$D$2^($CI73-1)</f>
        <v>1000</v>
      </c>
      <c r="DT73" s="333">
        <f t="shared" si="61"/>
        <v>1</v>
      </c>
      <c r="DU73" s="81">
        <v>1</v>
      </c>
      <c r="DV73" s="79">
        <f t="shared" si="62"/>
        <v>0</v>
      </c>
      <c r="DW73" s="79">
        <f t="shared" si="23"/>
        <v>0</v>
      </c>
      <c r="DX73" s="79">
        <f t="shared" si="63"/>
        <v>0</v>
      </c>
      <c r="DY73" s="79">
        <v>1</v>
      </c>
      <c r="DZ73" s="79">
        <f t="shared" si="24"/>
        <v>0</v>
      </c>
      <c r="EA73" s="79">
        <f t="shared" si="64"/>
        <v>0</v>
      </c>
      <c r="EB73" s="79">
        <f t="shared" si="65"/>
        <v>0</v>
      </c>
      <c r="EC73" s="79">
        <f t="shared" si="66"/>
        <v>0</v>
      </c>
      <c r="ED73" s="79">
        <v>1</v>
      </c>
      <c r="EE73" s="79">
        <v>1</v>
      </c>
      <c r="EF73" s="79">
        <f t="shared" si="67"/>
        <v>0</v>
      </c>
      <c r="EG73" s="79">
        <v>1</v>
      </c>
      <c r="EH73" s="79">
        <v>1</v>
      </c>
      <c r="EI73" s="79">
        <v>1</v>
      </c>
      <c r="EJ73" s="79">
        <v>1</v>
      </c>
      <c r="EK73" s="79">
        <v>1</v>
      </c>
      <c r="EL73" s="79">
        <v>1</v>
      </c>
      <c r="EM73" s="143">
        <f t="shared" si="68"/>
        <v>0</v>
      </c>
      <c r="EN73" s="143">
        <f t="shared" si="69"/>
        <v>0</v>
      </c>
      <c r="EO73" s="82">
        <f t="shared" si="70"/>
        <v>0</v>
      </c>
    </row>
    <row r="74" spans="1:145" x14ac:dyDescent="0.25">
      <c r="A74">
        <v>60</v>
      </c>
      <c r="B74" s="172" t="e">
        <f t="shared" si="25"/>
        <v>#N/A</v>
      </c>
      <c r="C74" s="121" t="e">
        <f t="shared" si="0"/>
        <v>#N/A</v>
      </c>
      <c r="D74" s="122" t="e">
        <f t="shared" si="1"/>
        <v>#N/A</v>
      </c>
      <c r="E74" s="122" t="e">
        <f t="shared" si="2"/>
        <v>#N/A</v>
      </c>
      <c r="F74" s="176" t="e">
        <f t="shared" si="3"/>
        <v>#N/A</v>
      </c>
      <c r="G74" s="121">
        <f t="shared" si="26"/>
        <v>208</v>
      </c>
      <c r="H74" s="176" t="e">
        <f t="shared" si="27"/>
        <v>#N/A</v>
      </c>
      <c r="I74" s="48">
        <v>1</v>
      </c>
      <c r="J74" s="39"/>
      <c r="K74" s="350">
        <v>1</v>
      </c>
      <c r="L74" s="34" t="e">
        <f t="shared" si="4"/>
        <v>#N/A</v>
      </c>
      <c r="M74" s="38" t="e">
        <f>(HLOOKUP(J74,'Construction Times'!$B$3:$W$34,L74+2,FALSE)*HLOOKUP("hq modifier",'Construction Times'!$W$3:$W$34,BS74+2,FALSE))*(1-$H$9)</f>
        <v>#N/A</v>
      </c>
      <c r="N74" s="443" t="e">
        <f t="shared" si="28"/>
        <v>#N/A</v>
      </c>
      <c r="O74" s="444"/>
      <c r="P74" s="447" t="e">
        <f t="shared" si="29"/>
        <v>#N/A</v>
      </c>
      <c r="Q74" s="448"/>
      <c r="R74" s="103">
        <f t="shared" si="71"/>
        <v>0</v>
      </c>
      <c r="S74" s="104">
        <f t="shared" si="71"/>
        <v>0</v>
      </c>
      <c r="T74" s="104">
        <f t="shared" si="72"/>
        <v>0</v>
      </c>
      <c r="U74" s="104">
        <f t="shared" si="72"/>
        <v>0</v>
      </c>
      <c r="V74" s="104">
        <f t="shared" si="72"/>
        <v>9.9999999999999995E-8</v>
      </c>
      <c r="W74" s="104">
        <f t="shared" si="72"/>
        <v>0</v>
      </c>
      <c r="X74" s="104">
        <f t="shared" si="85"/>
        <v>0</v>
      </c>
      <c r="Y74" s="104">
        <f t="shared" si="85"/>
        <v>9.9999999999999995E-8</v>
      </c>
      <c r="Z74" s="104">
        <f t="shared" si="85"/>
        <v>9.9999999999999995E-8</v>
      </c>
      <c r="AA74" s="105">
        <f t="shared" si="85"/>
        <v>9.9999999999999995E-8</v>
      </c>
      <c r="AB74" s="101" t="e">
        <f>$DT74*HLOOKUP($J74,'Construction Costs (timber)'!$B$1:$V$32,'Construction Planner'!$L74+2,FALSE)</f>
        <v>#N/A</v>
      </c>
      <c r="AC74" s="14" t="e">
        <f>$DT74*HLOOKUP($J74,'Construction Costs (clay)'!$B$1:$V$32,'Construction Planner'!$L74+2,FALSE)</f>
        <v>#N/A</v>
      </c>
      <c r="AD74" s="14" t="e">
        <f>$DT74*HLOOKUP($J74,'Construction Costs (iron)'!$B$1:$V$32,'Construction Planner'!$L74+2,FALSE)</f>
        <v>#N/A</v>
      </c>
      <c r="AE74" s="34" t="e">
        <f t="shared" si="81"/>
        <v>#N/A</v>
      </c>
      <c r="AF74" s="33" t="e">
        <f t="shared" si="5"/>
        <v>#N/A</v>
      </c>
      <c r="AG74" s="14" t="e">
        <f t="shared" si="6"/>
        <v>#N/A</v>
      </c>
      <c r="AH74" s="14" t="e">
        <f t="shared" si="7"/>
        <v>#N/A</v>
      </c>
      <c r="AI74" s="34" t="e">
        <f t="shared" si="82"/>
        <v>#N/A</v>
      </c>
      <c r="AJ74" s="49" t="e">
        <f t="shared" si="32"/>
        <v>#N/A</v>
      </c>
      <c r="AK74" s="49" t="e">
        <f t="shared" si="33"/>
        <v>#N/A</v>
      </c>
      <c r="AL74" s="49" t="e">
        <f t="shared" si="34"/>
        <v>#N/A</v>
      </c>
      <c r="AM74" s="25">
        <f t="shared" si="8"/>
        <v>30</v>
      </c>
      <c r="AN74" s="25">
        <f t="shared" si="9"/>
        <v>30</v>
      </c>
      <c r="AO74" s="25">
        <f t="shared" si="10"/>
        <v>30</v>
      </c>
      <c r="AP74" s="52" t="e">
        <f t="shared" si="35"/>
        <v>#N/A</v>
      </c>
      <c r="AQ74" s="53" t="e">
        <f t="shared" si="35"/>
        <v>#N/A</v>
      </c>
      <c r="AR74" s="54" t="e">
        <f t="shared" si="35"/>
        <v>#N/A</v>
      </c>
      <c r="AS74" s="316">
        <f t="shared" si="83"/>
        <v>0</v>
      </c>
      <c r="AT74" s="106">
        <f>_xlfn.IFNA($M74/VLOOKUP($BT74,'Unit information'!$A$2:$K$29,2,FALSE)*R74,0)*(1+$E$9)</f>
        <v>0</v>
      </c>
      <c r="AU74" s="107">
        <f>_xlfn.IFNA($M74/VLOOKUP($BT74,'Unit information'!$A$2:$K$29,3,FALSE)*S74,0)*(1+$E$9)</f>
        <v>0</v>
      </c>
      <c r="AV74" s="107">
        <f>_xlfn.IFNA($M74/VLOOKUP($BT74,'Unit information'!$A$2:$K$29,4,FALSE)*T74,0)*(1+$E$9)</f>
        <v>0</v>
      </c>
      <c r="AW74" s="107">
        <f>_xlfn.IFNA($M74/VLOOKUP($BT74,'Unit information'!$A$2:$K$29,5,FALSE)*U74,0)*(1+$E$9)</f>
        <v>0</v>
      </c>
      <c r="AX74" s="107">
        <f>_xlfn.IFNA($M74/VLOOKUP($BU74,'Unit information'!$A$2:$K$29,6,FALSE)*V74,0)*(1+$E$9)</f>
        <v>0</v>
      </c>
      <c r="AY74" s="107">
        <f>_xlfn.IFNA($M74/VLOOKUP($BU74,'Unit information'!$A$2:$K$29,7,FALSE)*W74,0)*(1+$E$9)</f>
        <v>0</v>
      </c>
      <c r="AZ74" s="107">
        <f>_xlfn.IFNA($M74/VLOOKUP($BU74,'Unit information'!$A$2:$K$29,8,FALSE)*X74,0)*(1+$E$9)</f>
        <v>0</v>
      </c>
      <c r="BA74" s="107">
        <f>_xlfn.IFNA($M74/VLOOKUP($BU74,'Unit information'!$A$2:$K$29,9,FALSE)*Y74,0)*(1+$E$9)</f>
        <v>0</v>
      </c>
      <c r="BB74" s="107">
        <f>_xlfn.IFNA($M74/VLOOKUP($BV74,'Unit information'!$A$2:$K$29,10,FALSE)*Z74,0)*(1+$E$9)</f>
        <v>0</v>
      </c>
      <c r="BC74" s="108">
        <f>_xlfn.IFNA($M74/VLOOKUP($BV74,'Unit information'!$A$2:$K$29,11,FALSE)*AA74,0)*(1+$E$9)</f>
        <v>0</v>
      </c>
      <c r="BD74" s="106">
        <f t="shared" si="12"/>
        <v>0</v>
      </c>
      <c r="BE74" s="107">
        <f t="shared" si="13"/>
        <v>0</v>
      </c>
      <c r="BF74" s="108">
        <f t="shared" si="14"/>
        <v>0</v>
      </c>
      <c r="BG74" s="25" t="e">
        <f t="shared" si="15"/>
        <v>#N/A</v>
      </c>
      <c r="BH74" s="25" t="e">
        <f t="shared" si="16"/>
        <v>#N/A</v>
      </c>
      <c r="BI74" s="25" t="e">
        <f t="shared" si="17"/>
        <v>#N/A</v>
      </c>
      <c r="BJ74" s="27" t="e">
        <f t="shared" si="18"/>
        <v>#N/A</v>
      </c>
      <c r="BK74" s="18" t="e">
        <f t="shared" si="19"/>
        <v>#N/A</v>
      </c>
      <c r="BL74" s="18" t="e">
        <f t="shared" si="20"/>
        <v>#N/A</v>
      </c>
      <c r="BM74" s="28" t="e">
        <f t="shared" si="84"/>
        <v>#N/A</v>
      </c>
      <c r="BN74" s="33">
        <f>HLOOKUP("maximum population",Miscelaneous!$C$1:$C$33,CH74+3,FALSE)</f>
        <v>240</v>
      </c>
      <c r="BO74" s="14">
        <f t="shared" si="36"/>
        <v>32</v>
      </c>
      <c r="BP74" s="14">
        <f t="shared" si="37"/>
        <v>0</v>
      </c>
      <c r="BQ74" s="14">
        <f t="shared" si="38"/>
        <v>208</v>
      </c>
      <c r="BR74" s="34" t="e">
        <f>HLOOKUP(J74,Villagers!$B$1:$V$33,L74+3,FALSE)-HLOOKUP(J74,Villagers!$B$1:$V$33,L74+2,FALSE)</f>
        <v>#N/A</v>
      </c>
      <c r="BS74" s="49">
        <f t="shared" si="39"/>
        <v>1</v>
      </c>
      <c r="BT74" s="50">
        <f t="shared" si="40"/>
        <v>0</v>
      </c>
      <c r="BU74" s="50">
        <f t="shared" si="41"/>
        <v>0</v>
      </c>
      <c r="BV74" s="50">
        <f t="shared" si="86"/>
        <v>0</v>
      </c>
      <c r="BW74" s="50">
        <f t="shared" si="87"/>
        <v>0</v>
      </c>
      <c r="BX74" s="50">
        <f t="shared" si="88"/>
        <v>0</v>
      </c>
      <c r="BY74" s="50">
        <f t="shared" si="88"/>
        <v>0</v>
      </c>
      <c r="BZ74" s="50">
        <f t="shared" si="45"/>
        <v>0</v>
      </c>
      <c r="CA74" s="50">
        <f t="shared" si="46"/>
        <v>0</v>
      </c>
      <c r="CB74" s="50">
        <f t="shared" si="47"/>
        <v>1</v>
      </c>
      <c r="CC74" s="50">
        <f t="shared" si="48"/>
        <v>0</v>
      </c>
      <c r="CD74" s="50">
        <f t="shared" si="49"/>
        <v>0</v>
      </c>
      <c r="CE74" s="50">
        <f t="shared" si="50"/>
        <v>1</v>
      </c>
      <c r="CF74" s="50">
        <f t="shared" si="51"/>
        <v>1</v>
      </c>
      <c r="CG74" s="50">
        <f t="shared" si="52"/>
        <v>1</v>
      </c>
      <c r="CH74" s="50">
        <f t="shared" si="53"/>
        <v>1</v>
      </c>
      <c r="CI74" s="50">
        <f t="shared" si="54"/>
        <v>1</v>
      </c>
      <c r="CJ74" s="50">
        <f t="shared" si="55"/>
        <v>1</v>
      </c>
      <c r="CK74" s="50">
        <f t="shared" si="56"/>
        <v>0</v>
      </c>
      <c r="CL74" s="50">
        <f t="shared" si="55"/>
        <v>0</v>
      </c>
      <c r="CM74" s="51">
        <f t="shared" si="57"/>
        <v>0</v>
      </c>
      <c r="CN74" s="33">
        <f>ROUND(IF(BS74=0,0,HLOOKUP(BS$14,Villagers!$B$1:$V$33,BS74+3,FALSE)),)</f>
        <v>5</v>
      </c>
      <c r="CO74" s="14">
        <f>ROUND(IF(BT74=0,0,HLOOKUP(BT$14,Villagers!$B$1:$V$33,BT74+3,FALSE)),)</f>
        <v>0</v>
      </c>
      <c r="CP74" s="14">
        <f>ROUND(IF(BU74=0,0,HLOOKUP(BU$14,Villagers!$B$1:$V$33,BU74+3,FALSE)),)</f>
        <v>0</v>
      </c>
      <c r="CQ74" s="14">
        <f>ROUND(IF(BV74=0,0,HLOOKUP(BV$14,Villagers!$B$1:$V$33,BV74+3,FALSE)),)</f>
        <v>0</v>
      </c>
      <c r="CR74" s="14">
        <f>ROUND(IF(BW74=0,0,HLOOKUP(BW$14,Villagers!$B$1:$V$33,BW74+3,FALSE)),)</f>
        <v>0</v>
      </c>
      <c r="CS74" s="14">
        <f>ROUND(IF(BX74=0,0,HLOOKUP(BX$14,Villagers!$B$1:$V$33,BX74+3,FALSE)),)</f>
        <v>0</v>
      </c>
      <c r="CT74" s="14">
        <f>ROUND(IF(BY74=0,0,HLOOKUP(BY$14,Villagers!$B$1:$V$33,BY74+3,FALSE)),)</f>
        <v>0</v>
      </c>
      <c r="CU74" s="14">
        <f>ROUND(IF(BZ74=0,0,HLOOKUP(BZ$14,Villagers!$B$1:$V$33,BZ74+3,FALSE)),)</f>
        <v>0</v>
      </c>
      <c r="CV74" s="14">
        <f>ROUND(IF(CA74=0,0,HLOOKUP(CA$14,Villagers!$B$1:$V$33,CA74+3,FALSE)),)</f>
        <v>0</v>
      </c>
      <c r="CW74" s="14">
        <f>ROUND(IF(CB74=0,0,HLOOKUP(CB$14,Villagers!$B$1:$V$33,CB74+3,FALSE)),)</f>
        <v>0</v>
      </c>
      <c r="CX74" s="14">
        <f>ROUND(IF(CC74=0,0,HLOOKUP(CC$14,Villagers!$B$1:$V$33,CC74+3,FALSE)),)</f>
        <v>0</v>
      </c>
      <c r="CY74" s="14">
        <f>ROUND(IF(CD74=0,0,HLOOKUP(CD$14,Villagers!$B$1:$V$33,CD74+3,FALSE)),)</f>
        <v>0</v>
      </c>
      <c r="CZ74" s="14">
        <f>ROUND(IF(CE74=0,0,HLOOKUP(CE$14,Villagers!$B$1:$V$33,CE74+3,FALSE)),)</f>
        <v>5</v>
      </c>
      <c r="DA74" s="14">
        <f>ROUND(IF(CF74=0,0,HLOOKUP(CF$14,Villagers!$B$1:$V$33,CF74+3,FALSE)),)</f>
        <v>10</v>
      </c>
      <c r="DB74" s="14">
        <f>ROUND(IF(CG74=0,0,HLOOKUP(CG$14,Villagers!$B$1:$V$33,CG74+3,FALSE)),)</f>
        <v>10</v>
      </c>
      <c r="DC74" s="14">
        <f>ROUND(IF(CH74=0,0,HLOOKUP(CH$14,Villagers!$B$1:$V$33,CH74+3,FALSE)),)</f>
        <v>0</v>
      </c>
      <c r="DD74" s="14">
        <f>ROUND(IF(CI74=0,0,HLOOKUP(CI$14,Villagers!$B$1:$V$33,CI74+3,FALSE)),)</f>
        <v>0</v>
      </c>
      <c r="DE74" s="14">
        <f>ROUND(IF(CJ74=0,0,HLOOKUP(CJ$14,Villagers!$B$1:$V$33,CJ74+3,FALSE)),)</f>
        <v>2</v>
      </c>
      <c r="DF74" s="370">
        <f>ROUND(IF(CK74=0,0,HLOOKUP(CK$14,Villagers!$B$1:$V$33,CK74+3,FALSE)),)</f>
        <v>0</v>
      </c>
      <c r="DG74" s="370">
        <f>ROUND(IF(CL74=0,0,HLOOKUP(CL$14,Villagers!$B$1:$V$33,CL74+3,FALSE)),)</f>
        <v>0</v>
      </c>
      <c r="DH74" s="34">
        <f>ROUND(IF(CM74=0,0,HLOOKUP(CM$14,Villagers!$B$1:$V$33,CM74+3,FALSE)),)</f>
        <v>0</v>
      </c>
      <c r="DI74" s="109">
        <f t="shared" si="73"/>
        <v>0</v>
      </c>
      <c r="DJ74" s="50">
        <f t="shared" si="74"/>
        <v>0</v>
      </c>
      <c r="DK74" s="50">
        <f t="shared" si="75"/>
        <v>0</v>
      </c>
      <c r="DL74" s="50">
        <f t="shared" si="76"/>
        <v>0</v>
      </c>
      <c r="DM74" s="50">
        <f t="shared" si="77"/>
        <v>0</v>
      </c>
      <c r="DN74" s="50">
        <f t="shared" si="78"/>
        <v>0</v>
      </c>
      <c r="DO74" s="50">
        <f t="shared" si="79"/>
        <v>0</v>
      </c>
      <c r="DP74" s="50">
        <f t="shared" si="80"/>
        <v>0</v>
      </c>
      <c r="DQ74" s="50">
        <f t="shared" si="59"/>
        <v>0</v>
      </c>
      <c r="DR74" s="50">
        <f t="shared" si="60"/>
        <v>0</v>
      </c>
      <c r="DS74" s="96">
        <f>Miscelaneous!$D$4*Miscelaneous!$D$2^($CI74-1)</f>
        <v>1000</v>
      </c>
      <c r="DT74" s="333">
        <f t="shared" si="61"/>
        <v>1</v>
      </c>
      <c r="DU74" s="81">
        <v>1</v>
      </c>
      <c r="DV74" s="79">
        <f t="shared" si="62"/>
        <v>0</v>
      </c>
      <c r="DW74" s="79">
        <f t="shared" si="23"/>
        <v>0</v>
      </c>
      <c r="DX74" s="79">
        <f t="shared" si="63"/>
        <v>0</v>
      </c>
      <c r="DY74" s="79">
        <v>1</v>
      </c>
      <c r="DZ74" s="79">
        <f t="shared" si="24"/>
        <v>0</v>
      </c>
      <c r="EA74" s="79">
        <f t="shared" si="64"/>
        <v>0</v>
      </c>
      <c r="EB74" s="79">
        <f t="shared" si="65"/>
        <v>0</v>
      </c>
      <c r="EC74" s="79">
        <f t="shared" si="66"/>
        <v>0</v>
      </c>
      <c r="ED74" s="79">
        <v>1</v>
      </c>
      <c r="EE74" s="79">
        <v>1</v>
      </c>
      <c r="EF74" s="79">
        <f t="shared" si="67"/>
        <v>0</v>
      </c>
      <c r="EG74" s="79">
        <v>1</v>
      </c>
      <c r="EH74" s="79">
        <v>1</v>
      </c>
      <c r="EI74" s="79">
        <v>1</v>
      </c>
      <c r="EJ74" s="79">
        <v>1</v>
      </c>
      <c r="EK74" s="79">
        <v>1</v>
      </c>
      <c r="EL74" s="79">
        <v>1</v>
      </c>
      <c r="EM74" s="143">
        <f t="shared" si="68"/>
        <v>0</v>
      </c>
      <c r="EN74" s="143">
        <f t="shared" si="69"/>
        <v>0</v>
      </c>
      <c r="EO74" s="82">
        <f t="shared" si="70"/>
        <v>0</v>
      </c>
    </row>
    <row r="75" spans="1:145" x14ac:dyDescent="0.25">
      <c r="A75">
        <v>61</v>
      </c>
      <c r="B75" s="172" t="e">
        <f t="shared" si="25"/>
        <v>#N/A</v>
      </c>
      <c r="C75" s="121" t="e">
        <f t="shared" si="0"/>
        <v>#N/A</v>
      </c>
      <c r="D75" s="122" t="e">
        <f t="shared" si="1"/>
        <v>#N/A</v>
      </c>
      <c r="E75" s="122" t="e">
        <f t="shared" si="2"/>
        <v>#N/A</v>
      </c>
      <c r="F75" s="176" t="e">
        <f t="shared" si="3"/>
        <v>#N/A</v>
      </c>
      <c r="G75" s="121">
        <f t="shared" si="26"/>
        <v>208</v>
      </c>
      <c r="H75" s="176" t="e">
        <f t="shared" si="27"/>
        <v>#N/A</v>
      </c>
      <c r="I75" s="48">
        <v>1</v>
      </c>
      <c r="J75" s="39"/>
      <c r="K75" s="350">
        <v>1</v>
      </c>
      <c r="L75" s="34" t="e">
        <f t="shared" si="4"/>
        <v>#N/A</v>
      </c>
      <c r="M75" s="38" t="e">
        <f>(HLOOKUP(J75,'Construction Times'!$B$3:$W$34,L75+2,FALSE)*HLOOKUP("hq modifier",'Construction Times'!$W$3:$W$34,BS75+2,FALSE))*(1-$H$9)</f>
        <v>#N/A</v>
      </c>
      <c r="N75" s="443" t="e">
        <f t="shared" si="28"/>
        <v>#N/A</v>
      </c>
      <c r="O75" s="444"/>
      <c r="P75" s="447" t="e">
        <f t="shared" si="29"/>
        <v>#N/A</v>
      </c>
      <c r="Q75" s="448"/>
      <c r="R75" s="103">
        <f t="shared" si="71"/>
        <v>0</v>
      </c>
      <c r="S75" s="104">
        <f t="shared" si="71"/>
        <v>0</v>
      </c>
      <c r="T75" s="104">
        <f t="shared" si="72"/>
        <v>0</v>
      </c>
      <c r="U75" s="104">
        <f t="shared" si="72"/>
        <v>0</v>
      </c>
      <c r="V75" s="104">
        <f t="shared" si="72"/>
        <v>9.9999999999999995E-8</v>
      </c>
      <c r="W75" s="104">
        <f t="shared" si="72"/>
        <v>0</v>
      </c>
      <c r="X75" s="104">
        <f t="shared" si="85"/>
        <v>0</v>
      </c>
      <c r="Y75" s="104">
        <f t="shared" si="85"/>
        <v>9.9999999999999995E-8</v>
      </c>
      <c r="Z75" s="104">
        <f t="shared" si="85"/>
        <v>9.9999999999999995E-8</v>
      </c>
      <c r="AA75" s="105">
        <f t="shared" si="85"/>
        <v>9.9999999999999995E-8</v>
      </c>
      <c r="AB75" s="101" t="e">
        <f>$DT75*HLOOKUP($J75,'Construction Costs (timber)'!$B$1:$V$32,'Construction Planner'!$L75+2,FALSE)</f>
        <v>#N/A</v>
      </c>
      <c r="AC75" s="14" t="e">
        <f>$DT75*HLOOKUP($J75,'Construction Costs (clay)'!$B$1:$V$32,'Construction Planner'!$L75+2,FALSE)</f>
        <v>#N/A</v>
      </c>
      <c r="AD75" s="14" t="e">
        <f>$DT75*HLOOKUP($J75,'Construction Costs (iron)'!$B$1:$V$32,'Construction Planner'!$L75+2,FALSE)</f>
        <v>#N/A</v>
      </c>
      <c r="AE75" s="34" t="e">
        <f t="shared" si="81"/>
        <v>#N/A</v>
      </c>
      <c r="AF75" s="33" t="e">
        <f t="shared" si="5"/>
        <v>#N/A</v>
      </c>
      <c r="AG75" s="14" t="e">
        <f t="shared" si="6"/>
        <v>#N/A</v>
      </c>
      <c r="AH75" s="14" t="e">
        <f t="shared" si="7"/>
        <v>#N/A</v>
      </c>
      <c r="AI75" s="34" t="e">
        <f t="shared" si="82"/>
        <v>#N/A</v>
      </c>
      <c r="AJ75" s="49" t="e">
        <f t="shared" si="32"/>
        <v>#N/A</v>
      </c>
      <c r="AK75" s="49" t="e">
        <f t="shared" si="33"/>
        <v>#N/A</v>
      </c>
      <c r="AL75" s="49" t="e">
        <f t="shared" si="34"/>
        <v>#N/A</v>
      </c>
      <c r="AM75" s="25">
        <f t="shared" si="8"/>
        <v>30</v>
      </c>
      <c r="AN75" s="25">
        <f t="shared" si="9"/>
        <v>30</v>
      </c>
      <c r="AO75" s="25">
        <f t="shared" si="10"/>
        <v>30</v>
      </c>
      <c r="AP75" s="52" t="e">
        <f t="shared" si="35"/>
        <v>#N/A</v>
      </c>
      <c r="AQ75" s="53" t="e">
        <f t="shared" si="35"/>
        <v>#N/A</v>
      </c>
      <c r="AR75" s="54" t="e">
        <f t="shared" si="35"/>
        <v>#N/A</v>
      </c>
      <c r="AS75" s="316">
        <f t="shared" si="83"/>
        <v>0</v>
      </c>
      <c r="AT75" s="106">
        <f>_xlfn.IFNA($M75/VLOOKUP($BT75,'Unit information'!$A$2:$K$29,2,FALSE)*R75,0)*(1+$E$9)</f>
        <v>0</v>
      </c>
      <c r="AU75" s="107">
        <f>_xlfn.IFNA($M75/VLOOKUP($BT75,'Unit information'!$A$2:$K$29,3,FALSE)*S75,0)*(1+$E$9)</f>
        <v>0</v>
      </c>
      <c r="AV75" s="107">
        <f>_xlfn.IFNA($M75/VLOOKUP($BT75,'Unit information'!$A$2:$K$29,4,FALSE)*T75,0)*(1+$E$9)</f>
        <v>0</v>
      </c>
      <c r="AW75" s="107">
        <f>_xlfn.IFNA($M75/VLOOKUP($BT75,'Unit information'!$A$2:$K$29,5,FALSE)*U75,0)*(1+$E$9)</f>
        <v>0</v>
      </c>
      <c r="AX75" s="107">
        <f>_xlfn.IFNA($M75/VLOOKUP($BU75,'Unit information'!$A$2:$K$29,6,FALSE)*V75,0)*(1+$E$9)</f>
        <v>0</v>
      </c>
      <c r="AY75" s="107">
        <f>_xlfn.IFNA($M75/VLOOKUP($BU75,'Unit information'!$A$2:$K$29,7,FALSE)*W75,0)*(1+$E$9)</f>
        <v>0</v>
      </c>
      <c r="AZ75" s="107">
        <f>_xlfn.IFNA($M75/VLOOKUP($BU75,'Unit information'!$A$2:$K$29,8,FALSE)*X75,0)*(1+$E$9)</f>
        <v>0</v>
      </c>
      <c r="BA75" s="107">
        <f>_xlfn.IFNA($M75/VLOOKUP($BU75,'Unit information'!$A$2:$K$29,9,FALSE)*Y75,0)*(1+$E$9)</f>
        <v>0</v>
      </c>
      <c r="BB75" s="107">
        <f>_xlfn.IFNA($M75/VLOOKUP($BV75,'Unit information'!$A$2:$K$29,10,FALSE)*Z75,0)*(1+$E$9)</f>
        <v>0</v>
      </c>
      <c r="BC75" s="108">
        <f>_xlfn.IFNA($M75/VLOOKUP($BV75,'Unit information'!$A$2:$K$29,11,FALSE)*AA75,0)*(1+$E$9)</f>
        <v>0</v>
      </c>
      <c r="BD75" s="106">
        <f t="shared" si="12"/>
        <v>0</v>
      </c>
      <c r="BE75" s="107">
        <f t="shared" si="13"/>
        <v>0</v>
      </c>
      <c r="BF75" s="108">
        <f t="shared" si="14"/>
        <v>0</v>
      </c>
      <c r="BG75" s="25" t="e">
        <f t="shared" si="15"/>
        <v>#N/A</v>
      </c>
      <c r="BH75" s="25" t="e">
        <f t="shared" si="16"/>
        <v>#N/A</v>
      </c>
      <c r="BI75" s="25" t="e">
        <f t="shared" si="17"/>
        <v>#N/A</v>
      </c>
      <c r="BJ75" s="27" t="e">
        <f t="shared" si="18"/>
        <v>#N/A</v>
      </c>
      <c r="BK75" s="18" t="e">
        <f t="shared" si="19"/>
        <v>#N/A</v>
      </c>
      <c r="BL75" s="18" t="e">
        <f t="shared" si="20"/>
        <v>#N/A</v>
      </c>
      <c r="BM75" s="28" t="e">
        <f t="shared" si="84"/>
        <v>#N/A</v>
      </c>
      <c r="BN75" s="33">
        <f>HLOOKUP("maximum population",Miscelaneous!$C$1:$C$33,CH75+3,FALSE)</f>
        <v>240</v>
      </c>
      <c r="BO75" s="14">
        <f t="shared" si="36"/>
        <v>32</v>
      </c>
      <c r="BP75" s="14">
        <f t="shared" si="37"/>
        <v>0</v>
      </c>
      <c r="BQ75" s="14">
        <f t="shared" si="38"/>
        <v>208</v>
      </c>
      <c r="BR75" s="34" t="e">
        <f>HLOOKUP(J75,Villagers!$B$1:$V$33,L75+3,FALSE)-HLOOKUP(J75,Villagers!$B$1:$V$33,L75+2,FALSE)</f>
        <v>#N/A</v>
      </c>
      <c r="BS75" s="49">
        <f t="shared" si="39"/>
        <v>1</v>
      </c>
      <c r="BT75" s="50">
        <f t="shared" si="40"/>
        <v>0</v>
      </c>
      <c r="BU75" s="50">
        <f t="shared" si="41"/>
        <v>0</v>
      </c>
      <c r="BV75" s="50">
        <f t="shared" si="86"/>
        <v>0</v>
      </c>
      <c r="BW75" s="50">
        <f t="shared" si="87"/>
        <v>0</v>
      </c>
      <c r="BX75" s="50">
        <f t="shared" si="88"/>
        <v>0</v>
      </c>
      <c r="BY75" s="50">
        <f t="shared" si="88"/>
        <v>0</v>
      </c>
      <c r="BZ75" s="50">
        <f t="shared" si="45"/>
        <v>0</v>
      </c>
      <c r="CA75" s="50">
        <f t="shared" si="46"/>
        <v>0</v>
      </c>
      <c r="CB75" s="50">
        <f t="shared" si="47"/>
        <v>1</v>
      </c>
      <c r="CC75" s="50">
        <f t="shared" si="48"/>
        <v>0</v>
      </c>
      <c r="CD75" s="50">
        <f t="shared" si="49"/>
        <v>0</v>
      </c>
      <c r="CE75" s="50">
        <f t="shared" si="50"/>
        <v>1</v>
      </c>
      <c r="CF75" s="50">
        <f t="shared" si="51"/>
        <v>1</v>
      </c>
      <c r="CG75" s="50">
        <f t="shared" si="52"/>
        <v>1</v>
      </c>
      <c r="CH75" s="50">
        <f t="shared" si="53"/>
        <v>1</v>
      </c>
      <c r="CI75" s="50">
        <f t="shared" si="54"/>
        <v>1</v>
      </c>
      <c r="CJ75" s="50">
        <f t="shared" si="55"/>
        <v>1</v>
      </c>
      <c r="CK75" s="50">
        <f t="shared" si="56"/>
        <v>0</v>
      </c>
      <c r="CL75" s="50">
        <f t="shared" si="55"/>
        <v>0</v>
      </c>
      <c r="CM75" s="51">
        <f t="shared" si="57"/>
        <v>0</v>
      </c>
      <c r="CN75" s="33">
        <f>ROUND(IF(BS75=0,0,HLOOKUP(BS$14,Villagers!$B$1:$V$33,BS75+3,FALSE)),)</f>
        <v>5</v>
      </c>
      <c r="CO75" s="14">
        <f>ROUND(IF(BT75=0,0,HLOOKUP(BT$14,Villagers!$B$1:$V$33,BT75+3,FALSE)),)</f>
        <v>0</v>
      </c>
      <c r="CP75" s="14">
        <f>ROUND(IF(BU75=0,0,HLOOKUP(BU$14,Villagers!$B$1:$V$33,BU75+3,FALSE)),)</f>
        <v>0</v>
      </c>
      <c r="CQ75" s="14">
        <f>ROUND(IF(BV75=0,0,HLOOKUP(BV$14,Villagers!$B$1:$V$33,BV75+3,FALSE)),)</f>
        <v>0</v>
      </c>
      <c r="CR75" s="14">
        <f>ROUND(IF(BW75=0,0,HLOOKUP(BW$14,Villagers!$B$1:$V$33,BW75+3,FALSE)),)</f>
        <v>0</v>
      </c>
      <c r="CS75" s="14">
        <f>ROUND(IF(BX75=0,0,HLOOKUP(BX$14,Villagers!$B$1:$V$33,BX75+3,FALSE)),)</f>
        <v>0</v>
      </c>
      <c r="CT75" s="14">
        <f>ROUND(IF(BY75=0,0,HLOOKUP(BY$14,Villagers!$B$1:$V$33,BY75+3,FALSE)),)</f>
        <v>0</v>
      </c>
      <c r="CU75" s="14">
        <f>ROUND(IF(BZ75=0,0,HLOOKUP(BZ$14,Villagers!$B$1:$V$33,BZ75+3,FALSE)),)</f>
        <v>0</v>
      </c>
      <c r="CV75" s="14">
        <f>ROUND(IF(CA75=0,0,HLOOKUP(CA$14,Villagers!$B$1:$V$33,CA75+3,FALSE)),)</f>
        <v>0</v>
      </c>
      <c r="CW75" s="14">
        <f>ROUND(IF(CB75=0,0,HLOOKUP(CB$14,Villagers!$B$1:$V$33,CB75+3,FALSE)),)</f>
        <v>0</v>
      </c>
      <c r="CX75" s="14">
        <f>ROUND(IF(CC75=0,0,HLOOKUP(CC$14,Villagers!$B$1:$V$33,CC75+3,FALSE)),)</f>
        <v>0</v>
      </c>
      <c r="CY75" s="14">
        <f>ROUND(IF(CD75=0,0,HLOOKUP(CD$14,Villagers!$B$1:$V$33,CD75+3,FALSE)),)</f>
        <v>0</v>
      </c>
      <c r="CZ75" s="14">
        <f>ROUND(IF(CE75=0,0,HLOOKUP(CE$14,Villagers!$B$1:$V$33,CE75+3,FALSE)),)</f>
        <v>5</v>
      </c>
      <c r="DA75" s="14">
        <f>ROUND(IF(CF75=0,0,HLOOKUP(CF$14,Villagers!$B$1:$V$33,CF75+3,FALSE)),)</f>
        <v>10</v>
      </c>
      <c r="DB75" s="14">
        <f>ROUND(IF(CG75=0,0,HLOOKUP(CG$14,Villagers!$B$1:$V$33,CG75+3,FALSE)),)</f>
        <v>10</v>
      </c>
      <c r="DC75" s="14">
        <f>ROUND(IF(CH75=0,0,HLOOKUP(CH$14,Villagers!$B$1:$V$33,CH75+3,FALSE)),)</f>
        <v>0</v>
      </c>
      <c r="DD75" s="14">
        <f>ROUND(IF(CI75=0,0,HLOOKUP(CI$14,Villagers!$B$1:$V$33,CI75+3,FALSE)),)</f>
        <v>0</v>
      </c>
      <c r="DE75" s="14">
        <f>ROUND(IF(CJ75=0,0,HLOOKUP(CJ$14,Villagers!$B$1:$V$33,CJ75+3,FALSE)),)</f>
        <v>2</v>
      </c>
      <c r="DF75" s="370">
        <f>ROUND(IF(CK75=0,0,HLOOKUP(CK$14,Villagers!$B$1:$V$33,CK75+3,FALSE)),)</f>
        <v>0</v>
      </c>
      <c r="DG75" s="370">
        <f>ROUND(IF(CL75=0,0,HLOOKUP(CL$14,Villagers!$B$1:$V$33,CL75+3,FALSE)),)</f>
        <v>0</v>
      </c>
      <c r="DH75" s="34">
        <f>ROUND(IF(CM75=0,0,HLOOKUP(CM$14,Villagers!$B$1:$V$33,CM75+3,FALSE)),)</f>
        <v>0</v>
      </c>
      <c r="DI75" s="109">
        <f t="shared" si="73"/>
        <v>0</v>
      </c>
      <c r="DJ75" s="50">
        <f t="shared" si="74"/>
        <v>0</v>
      </c>
      <c r="DK75" s="50">
        <f t="shared" si="75"/>
        <v>0</v>
      </c>
      <c r="DL75" s="50">
        <f t="shared" si="76"/>
        <v>0</v>
      </c>
      <c r="DM75" s="50">
        <f t="shared" si="77"/>
        <v>0</v>
      </c>
      <c r="DN75" s="50">
        <f t="shared" si="78"/>
        <v>0</v>
      </c>
      <c r="DO75" s="50">
        <f t="shared" si="79"/>
        <v>0</v>
      </c>
      <c r="DP75" s="50">
        <f t="shared" si="80"/>
        <v>0</v>
      </c>
      <c r="DQ75" s="50">
        <f t="shared" si="59"/>
        <v>0</v>
      </c>
      <c r="DR75" s="50">
        <f t="shared" si="60"/>
        <v>0</v>
      </c>
      <c r="DS75" s="96">
        <f>Miscelaneous!$D$4*Miscelaneous!$D$2^($CI75-1)</f>
        <v>1000</v>
      </c>
      <c r="DT75" s="333">
        <f t="shared" si="61"/>
        <v>1</v>
      </c>
      <c r="DU75" s="81">
        <v>1</v>
      </c>
      <c r="DV75" s="79">
        <f t="shared" si="62"/>
        <v>0</v>
      </c>
      <c r="DW75" s="79">
        <f t="shared" si="23"/>
        <v>0</v>
      </c>
      <c r="DX75" s="79">
        <f t="shared" si="63"/>
        <v>0</v>
      </c>
      <c r="DY75" s="79">
        <v>1</v>
      </c>
      <c r="DZ75" s="79">
        <f t="shared" si="24"/>
        <v>0</v>
      </c>
      <c r="EA75" s="79">
        <f t="shared" si="64"/>
        <v>0</v>
      </c>
      <c r="EB75" s="79">
        <f t="shared" si="65"/>
        <v>0</v>
      </c>
      <c r="EC75" s="79">
        <f t="shared" si="66"/>
        <v>0</v>
      </c>
      <c r="ED75" s="79">
        <v>1</v>
      </c>
      <c r="EE75" s="79">
        <v>1</v>
      </c>
      <c r="EF75" s="79">
        <f t="shared" si="67"/>
        <v>0</v>
      </c>
      <c r="EG75" s="79">
        <v>1</v>
      </c>
      <c r="EH75" s="79">
        <v>1</v>
      </c>
      <c r="EI75" s="79">
        <v>1</v>
      </c>
      <c r="EJ75" s="79">
        <v>1</v>
      </c>
      <c r="EK75" s="79">
        <v>1</v>
      </c>
      <c r="EL75" s="79">
        <v>1</v>
      </c>
      <c r="EM75" s="143">
        <f t="shared" si="68"/>
        <v>0</v>
      </c>
      <c r="EN75" s="143">
        <f t="shared" si="69"/>
        <v>0</v>
      </c>
      <c r="EO75" s="82">
        <f t="shared" si="70"/>
        <v>0</v>
      </c>
    </row>
    <row r="76" spans="1:145" x14ac:dyDescent="0.25">
      <c r="A76">
        <v>62</v>
      </c>
      <c r="B76" s="172" t="e">
        <f t="shared" si="25"/>
        <v>#N/A</v>
      </c>
      <c r="C76" s="121" t="e">
        <f t="shared" si="0"/>
        <v>#N/A</v>
      </c>
      <c r="D76" s="122" t="e">
        <f t="shared" si="1"/>
        <v>#N/A</v>
      </c>
      <c r="E76" s="122" t="e">
        <f t="shared" si="2"/>
        <v>#N/A</v>
      </c>
      <c r="F76" s="176" t="e">
        <f t="shared" si="3"/>
        <v>#N/A</v>
      </c>
      <c r="G76" s="121">
        <f t="shared" si="26"/>
        <v>208</v>
      </c>
      <c r="H76" s="176" t="e">
        <f t="shared" si="27"/>
        <v>#N/A</v>
      </c>
      <c r="I76" s="48">
        <v>1</v>
      </c>
      <c r="J76" s="39"/>
      <c r="K76" s="350">
        <v>1</v>
      </c>
      <c r="L76" s="34" t="e">
        <f t="shared" si="4"/>
        <v>#N/A</v>
      </c>
      <c r="M76" s="38" t="e">
        <f>(HLOOKUP(J76,'Construction Times'!$B$3:$W$34,L76+2,FALSE)*HLOOKUP("hq modifier",'Construction Times'!$W$3:$W$34,BS76+2,FALSE))*(1-$H$9)</f>
        <v>#N/A</v>
      </c>
      <c r="N76" s="443" t="e">
        <f t="shared" si="28"/>
        <v>#N/A</v>
      </c>
      <c r="O76" s="444"/>
      <c r="P76" s="447" t="e">
        <f t="shared" si="29"/>
        <v>#N/A</v>
      </c>
      <c r="Q76" s="448"/>
      <c r="R76" s="103">
        <f t="shared" si="71"/>
        <v>0</v>
      </c>
      <c r="S76" s="104">
        <f t="shared" si="71"/>
        <v>0</v>
      </c>
      <c r="T76" s="104">
        <f t="shared" si="72"/>
        <v>0</v>
      </c>
      <c r="U76" s="104">
        <f t="shared" si="72"/>
        <v>0</v>
      </c>
      <c r="V76" s="104">
        <f t="shared" si="72"/>
        <v>9.9999999999999995E-8</v>
      </c>
      <c r="W76" s="104">
        <f t="shared" si="72"/>
        <v>0</v>
      </c>
      <c r="X76" s="104">
        <f t="shared" si="85"/>
        <v>0</v>
      </c>
      <c r="Y76" s="104">
        <f t="shared" si="85"/>
        <v>9.9999999999999995E-8</v>
      </c>
      <c r="Z76" s="104">
        <f t="shared" si="85"/>
        <v>9.9999999999999995E-8</v>
      </c>
      <c r="AA76" s="105">
        <f t="shared" si="85"/>
        <v>9.9999999999999995E-8</v>
      </c>
      <c r="AB76" s="101" t="e">
        <f>$DT76*HLOOKUP($J76,'Construction Costs (timber)'!$B$1:$V$32,'Construction Planner'!$L76+2,FALSE)</f>
        <v>#N/A</v>
      </c>
      <c r="AC76" s="14" t="e">
        <f>$DT76*HLOOKUP($J76,'Construction Costs (clay)'!$B$1:$V$32,'Construction Planner'!$L76+2,FALSE)</f>
        <v>#N/A</v>
      </c>
      <c r="AD76" s="14" t="e">
        <f>$DT76*HLOOKUP($J76,'Construction Costs (iron)'!$B$1:$V$32,'Construction Planner'!$L76+2,FALSE)</f>
        <v>#N/A</v>
      </c>
      <c r="AE76" s="34" t="e">
        <f t="shared" si="81"/>
        <v>#N/A</v>
      </c>
      <c r="AF76" s="33" t="e">
        <f t="shared" si="5"/>
        <v>#N/A</v>
      </c>
      <c r="AG76" s="14" t="e">
        <f t="shared" si="6"/>
        <v>#N/A</v>
      </c>
      <c r="AH76" s="14" t="e">
        <f t="shared" si="7"/>
        <v>#N/A</v>
      </c>
      <c r="AI76" s="34" t="e">
        <f t="shared" si="82"/>
        <v>#N/A</v>
      </c>
      <c r="AJ76" s="49" t="e">
        <f t="shared" si="32"/>
        <v>#N/A</v>
      </c>
      <c r="AK76" s="49" t="e">
        <f t="shared" si="33"/>
        <v>#N/A</v>
      </c>
      <c r="AL76" s="49" t="e">
        <f t="shared" si="34"/>
        <v>#N/A</v>
      </c>
      <c r="AM76" s="25">
        <f t="shared" si="8"/>
        <v>30</v>
      </c>
      <c r="AN76" s="25">
        <f t="shared" si="9"/>
        <v>30</v>
      </c>
      <c r="AO76" s="25">
        <f t="shared" si="10"/>
        <v>30</v>
      </c>
      <c r="AP76" s="52" t="e">
        <f t="shared" si="35"/>
        <v>#N/A</v>
      </c>
      <c r="AQ76" s="53" t="e">
        <f t="shared" si="35"/>
        <v>#N/A</v>
      </c>
      <c r="AR76" s="54" t="e">
        <f t="shared" si="35"/>
        <v>#N/A</v>
      </c>
      <c r="AS76" s="316">
        <f t="shared" si="83"/>
        <v>0</v>
      </c>
      <c r="AT76" s="106">
        <f>_xlfn.IFNA($M76/VLOOKUP($BT76,'Unit information'!$A$2:$K$29,2,FALSE)*R76,0)*(1+$E$9)</f>
        <v>0</v>
      </c>
      <c r="AU76" s="107">
        <f>_xlfn.IFNA($M76/VLOOKUP($BT76,'Unit information'!$A$2:$K$29,3,FALSE)*S76,0)*(1+$E$9)</f>
        <v>0</v>
      </c>
      <c r="AV76" s="107">
        <f>_xlfn.IFNA($M76/VLOOKUP($BT76,'Unit information'!$A$2:$K$29,4,FALSE)*T76,0)*(1+$E$9)</f>
        <v>0</v>
      </c>
      <c r="AW76" s="107">
        <f>_xlfn.IFNA($M76/VLOOKUP($BT76,'Unit information'!$A$2:$K$29,5,FALSE)*U76,0)*(1+$E$9)</f>
        <v>0</v>
      </c>
      <c r="AX76" s="107">
        <f>_xlfn.IFNA($M76/VLOOKUP($BU76,'Unit information'!$A$2:$K$29,6,FALSE)*V76,0)*(1+$E$9)</f>
        <v>0</v>
      </c>
      <c r="AY76" s="107">
        <f>_xlfn.IFNA($M76/VLOOKUP($BU76,'Unit information'!$A$2:$K$29,7,FALSE)*W76,0)*(1+$E$9)</f>
        <v>0</v>
      </c>
      <c r="AZ76" s="107">
        <f>_xlfn.IFNA($M76/VLOOKUP($BU76,'Unit information'!$A$2:$K$29,8,FALSE)*X76,0)*(1+$E$9)</f>
        <v>0</v>
      </c>
      <c r="BA76" s="107">
        <f>_xlfn.IFNA($M76/VLOOKUP($BU76,'Unit information'!$A$2:$K$29,9,FALSE)*Y76,0)*(1+$E$9)</f>
        <v>0</v>
      </c>
      <c r="BB76" s="107">
        <f>_xlfn.IFNA($M76/VLOOKUP($BV76,'Unit information'!$A$2:$K$29,10,FALSE)*Z76,0)*(1+$E$9)</f>
        <v>0</v>
      </c>
      <c r="BC76" s="108">
        <f>_xlfn.IFNA($M76/VLOOKUP($BV76,'Unit information'!$A$2:$K$29,11,FALSE)*AA76,0)*(1+$E$9)</f>
        <v>0</v>
      </c>
      <c r="BD76" s="106">
        <f t="shared" si="12"/>
        <v>0</v>
      </c>
      <c r="BE76" s="107">
        <f t="shared" si="13"/>
        <v>0</v>
      </c>
      <c r="BF76" s="108">
        <f t="shared" si="14"/>
        <v>0</v>
      </c>
      <c r="BG76" s="25" t="e">
        <f t="shared" si="15"/>
        <v>#N/A</v>
      </c>
      <c r="BH76" s="25" t="e">
        <f t="shared" si="16"/>
        <v>#N/A</v>
      </c>
      <c r="BI76" s="25" t="e">
        <f t="shared" si="17"/>
        <v>#N/A</v>
      </c>
      <c r="BJ76" s="27" t="e">
        <f t="shared" si="18"/>
        <v>#N/A</v>
      </c>
      <c r="BK76" s="18" t="e">
        <f t="shared" si="19"/>
        <v>#N/A</v>
      </c>
      <c r="BL76" s="18" t="e">
        <f t="shared" si="20"/>
        <v>#N/A</v>
      </c>
      <c r="BM76" s="28" t="e">
        <f t="shared" si="84"/>
        <v>#N/A</v>
      </c>
      <c r="BN76" s="33">
        <f>HLOOKUP("maximum population",Miscelaneous!$C$1:$C$33,CH76+3,FALSE)</f>
        <v>240</v>
      </c>
      <c r="BO76" s="14">
        <f t="shared" si="36"/>
        <v>32</v>
      </c>
      <c r="BP76" s="14">
        <f t="shared" si="37"/>
        <v>0</v>
      </c>
      <c r="BQ76" s="14">
        <f t="shared" si="38"/>
        <v>208</v>
      </c>
      <c r="BR76" s="34" t="e">
        <f>HLOOKUP(J76,Villagers!$B$1:$V$33,L76+3,FALSE)-HLOOKUP(J76,Villagers!$B$1:$V$33,L76+2,FALSE)</f>
        <v>#N/A</v>
      </c>
      <c r="BS76" s="49">
        <f t="shared" si="39"/>
        <v>1</v>
      </c>
      <c r="BT76" s="50">
        <f t="shared" si="40"/>
        <v>0</v>
      </c>
      <c r="BU76" s="50">
        <f t="shared" si="41"/>
        <v>0</v>
      </c>
      <c r="BV76" s="50">
        <f t="shared" si="86"/>
        <v>0</v>
      </c>
      <c r="BW76" s="50">
        <f t="shared" si="87"/>
        <v>0</v>
      </c>
      <c r="BX76" s="50">
        <f t="shared" si="88"/>
        <v>0</v>
      </c>
      <c r="BY76" s="50">
        <f t="shared" si="88"/>
        <v>0</v>
      </c>
      <c r="BZ76" s="50">
        <f t="shared" si="45"/>
        <v>0</v>
      </c>
      <c r="CA76" s="50">
        <f t="shared" si="46"/>
        <v>0</v>
      </c>
      <c r="CB76" s="50">
        <f t="shared" si="47"/>
        <v>1</v>
      </c>
      <c r="CC76" s="50">
        <f t="shared" si="48"/>
        <v>0</v>
      </c>
      <c r="CD76" s="50">
        <f t="shared" si="49"/>
        <v>0</v>
      </c>
      <c r="CE76" s="50">
        <f t="shared" si="50"/>
        <v>1</v>
      </c>
      <c r="CF76" s="50">
        <f t="shared" si="51"/>
        <v>1</v>
      </c>
      <c r="CG76" s="50">
        <f t="shared" si="52"/>
        <v>1</v>
      </c>
      <c r="CH76" s="50">
        <f t="shared" si="53"/>
        <v>1</v>
      </c>
      <c r="CI76" s="50">
        <f t="shared" si="54"/>
        <v>1</v>
      </c>
      <c r="CJ76" s="50">
        <f t="shared" si="55"/>
        <v>1</v>
      </c>
      <c r="CK76" s="50">
        <f t="shared" si="56"/>
        <v>0</v>
      </c>
      <c r="CL76" s="50">
        <f t="shared" si="55"/>
        <v>0</v>
      </c>
      <c r="CM76" s="51">
        <f t="shared" si="57"/>
        <v>0</v>
      </c>
      <c r="CN76" s="33">
        <f>ROUND(IF(BS76=0,0,HLOOKUP(BS$14,Villagers!$B$1:$V$33,BS76+3,FALSE)),)</f>
        <v>5</v>
      </c>
      <c r="CO76" s="14">
        <f>ROUND(IF(BT76=0,0,HLOOKUP(BT$14,Villagers!$B$1:$V$33,BT76+3,FALSE)),)</f>
        <v>0</v>
      </c>
      <c r="CP76" s="14">
        <f>ROUND(IF(BU76=0,0,HLOOKUP(BU$14,Villagers!$B$1:$V$33,BU76+3,FALSE)),)</f>
        <v>0</v>
      </c>
      <c r="CQ76" s="14">
        <f>ROUND(IF(BV76=0,0,HLOOKUP(BV$14,Villagers!$B$1:$V$33,BV76+3,FALSE)),)</f>
        <v>0</v>
      </c>
      <c r="CR76" s="14">
        <f>ROUND(IF(BW76=0,0,HLOOKUP(BW$14,Villagers!$B$1:$V$33,BW76+3,FALSE)),)</f>
        <v>0</v>
      </c>
      <c r="CS76" s="14">
        <f>ROUND(IF(BX76=0,0,HLOOKUP(BX$14,Villagers!$B$1:$V$33,BX76+3,FALSE)),)</f>
        <v>0</v>
      </c>
      <c r="CT76" s="14">
        <f>ROUND(IF(BY76=0,0,HLOOKUP(BY$14,Villagers!$B$1:$V$33,BY76+3,FALSE)),)</f>
        <v>0</v>
      </c>
      <c r="CU76" s="14">
        <f>ROUND(IF(BZ76=0,0,HLOOKUP(BZ$14,Villagers!$B$1:$V$33,BZ76+3,FALSE)),)</f>
        <v>0</v>
      </c>
      <c r="CV76" s="14">
        <f>ROUND(IF(CA76=0,0,HLOOKUP(CA$14,Villagers!$B$1:$V$33,CA76+3,FALSE)),)</f>
        <v>0</v>
      </c>
      <c r="CW76" s="14">
        <f>ROUND(IF(CB76=0,0,HLOOKUP(CB$14,Villagers!$B$1:$V$33,CB76+3,FALSE)),)</f>
        <v>0</v>
      </c>
      <c r="CX76" s="14">
        <f>ROUND(IF(CC76=0,0,HLOOKUP(CC$14,Villagers!$B$1:$V$33,CC76+3,FALSE)),)</f>
        <v>0</v>
      </c>
      <c r="CY76" s="14">
        <f>ROUND(IF(CD76=0,0,HLOOKUP(CD$14,Villagers!$B$1:$V$33,CD76+3,FALSE)),)</f>
        <v>0</v>
      </c>
      <c r="CZ76" s="14">
        <f>ROUND(IF(CE76=0,0,HLOOKUP(CE$14,Villagers!$B$1:$V$33,CE76+3,FALSE)),)</f>
        <v>5</v>
      </c>
      <c r="DA76" s="14">
        <f>ROUND(IF(CF76=0,0,HLOOKUP(CF$14,Villagers!$B$1:$V$33,CF76+3,FALSE)),)</f>
        <v>10</v>
      </c>
      <c r="DB76" s="14">
        <f>ROUND(IF(CG76=0,0,HLOOKUP(CG$14,Villagers!$B$1:$V$33,CG76+3,FALSE)),)</f>
        <v>10</v>
      </c>
      <c r="DC76" s="14">
        <f>ROUND(IF(CH76=0,0,HLOOKUP(CH$14,Villagers!$B$1:$V$33,CH76+3,FALSE)),)</f>
        <v>0</v>
      </c>
      <c r="DD76" s="14">
        <f>ROUND(IF(CI76=0,0,HLOOKUP(CI$14,Villagers!$B$1:$V$33,CI76+3,FALSE)),)</f>
        <v>0</v>
      </c>
      <c r="DE76" s="14">
        <f>ROUND(IF(CJ76=0,0,HLOOKUP(CJ$14,Villagers!$B$1:$V$33,CJ76+3,FALSE)),)</f>
        <v>2</v>
      </c>
      <c r="DF76" s="370">
        <f>ROUND(IF(CK76=0,0,HLOOKUP(CK$14,Villagers!$B$1:$V$33,CK76+3,FALSE)),)</f>
        <v>0</v>
      </c>
      <c r="DG76" s="370">
        <f>ROUND(IF(CL76=0,0,HLOOKUP(CL$14,Villagers!$B$1:$V$33,CL76+3,FALSE)),)</f>
        <v>0</v>
      </c>
      <c r="DH76" s="34">
        <f>ROUND(IF(CM76=0,0,HLOOKUP(CM$14,Villagers!$B$1:$V$33,CM76+3,FALSE)),)</f>
        <v>0</v>
      </c>
      <c r="DI76" s="109">
        <f t="shared" si="73"/>
        <v>0</v>
      </c>
      <c r="DJ76" s="50">
        <f t="shared" si="74"/>
        <v>0</v>
      </c>
      <c r="DK76" s="50">
        <f t="shared" si="75"/>
        <v>0</v>
      </c>
      <c r="DL76" s="50">
        <f t="shared" si="76"/>
        <v>0</v>
      </c>
      <c r="DM76" s="50">
        <f t="shared" si="77"/>
        <v>0</v>
      </c>
      <c r="DN76" s="50">
        <f t="shared" si="78"/>
        <v>0</v>
      </c>
      <c r="DO76" s="50">
        <f t="shared" si="79"/>
        <v>0</v>
      </c>
      <c r="DP76" s="50">
        <f t="shared" si="80"/>
        <v>0</v>
      </c>
      <c r="DQ76" s="50">
        <f t="shared" si="59"/>
        <v>0</v>
      </c>
      <c r="DR76" s="50">
        <f t="shared" si="60"/>
        <v>0</v>
      </c>
      <c r="DS76" s="96">
        <f>Miscelaneous!$D$4*Miscelaneous!$D$2^($CI76-1)</f>
        <v>1000</v>
      </c>
      <c r="DT76" s="333">
        <f t="shared" si="61"/>
        <v>1</v>
      </c>
      <c r="DU76" s="81">
        <v>1</v>
      </c>
      <c r="DV76" s="79">
        <f t="shared" si="62"/>
        <v>0</v>
      </c>
      <c r="DW76" s="79">
        <f t="shared" si="23"/>
        <v>0</v>
      </c>
      <c r="DX76" s="79">
        <f t="shared" si="63"/>
        <v>0</v>
      </c>
      <c r="DY76" s="79">
        <v>1</v>
      </c>
      <c r="DZ76" s="79">
        <f t="shared" si="24"/>
        <v>0</v>
      </c>
      <c r="EA76" s="79">
        <f t="shared" si="64"/>
        <v>0</v>
      </c>
      <c r="EB76" s="79">
        <f t="shared" si="65"/>
        <v>0</v>
      </c>
      <c r="EC76" s="79">
        <f t="shared" si="66"/>
        <v>0</v>
      </c>
      <c r="ED76" s="79">
        <v>1</v>
      </c>
      <c r="EE76" s="79">
        <v>1</v>
      </c>
      <c r="EF76" s="79">
        <f t="shared" si="67"/>
        <v>0</v>
      </c>
      <c r="EG76" s="79">
        <v>1</v>
      </c>
      <c r="EH76" s="79">
        <v>1</v>
      </c>
      <c r="EI76" s="79">
        <v>1</v>
      </c>
      <c r="EJ76" s="79">
        <v>1</v>
      </c>
      <c r="EK76" s="79">
        <v>1</v>
      </c>
      <c r="EL76" s="79">
        <v>1</v>
      </c>
      <c r="EM76" s="143">
        <f t="shared" si="68"/>
        <v>0</v>
      </c>
      <c r="EN76" s="143">
        <f t="shared" si="69"/>
        <v>0</v>
      </c>
      <c r="EO76" s="82">
        <f t="shared" si="70"/>
        <v>0</v>
      </c>
    </row>
    <row r="77" spans="1:145" x14ac:dyDescent="0.25">
      <c r="A77">
        <v>63</v>
      </c>
      <c r="B77" s="172" t="e">
        <f t="shared" si="25"/>
        <v>#N/A</v>
      </c>
      <c r="C77" s="121" t="e">
        <f t="shared" si="0"/>
        <v>#N/A</v>
      </c>
      <c r="D77" s="122" t="e">
        <f t="shared" si="1"/>
        <v>#N/A</v>
      </c>
      <c r="E77" s="122" t="e">
        <f t="shared" si="2"/>
        <v>#N/A</v>
      </c>
      <c r="F77" s="176" t="e">
        <f t="shared" si="3"/>
        <v>#N/A</v>
      </c>
      <c r="G77" s="121">
        <f t="shared" si="26"/>
        <v>208</v>
      </c>
      <c r="H77" s="176" t="e">
        <f t="shared" si="27"/>
        <v>#N/A</v>
      </c>
      <c r="I77" s="48">
        <v>1</v>
      </c>
      <c r="J77" s="39"/>
      <c r="K77" s="350">
        <v>1</v>
      </c>
      <c r="L77" s="34" t="e">
        <f t="shared" si="4"/>
        <v>#N/A</v>
      </c>
      <c r="M77" s="38" t="e">
        <f>(HLOOKUP(J77,'Construction Times'!$B$3:$W$34,L77+2,FALSE)*HLOOKUP("hq modifier",'Construction Times'!$W$3:$W$34,BS77+2,FALSE))*(1-$H$9)</f>
        <v>#N/A</v>
      </c>
      <c r="N77" s="443" t="e">
        <f t="shared" si="28"/>
        <v>#N/A</v>
      </c>
      <c r="O77" s="444"/>
      <c r="P77" s="447" t="e">
        <f t="shared" si="29"/>
        <v>#N/A</v>
      </c>
      <c r="Q77" s="448"/>
      <c r="R77" s="103">
        <f t="shared" si="71"/>
        <v>0</v>
      </c>
      <c r="S77" s="104">
        <f t="shared" si="71"/>
        <v>0</v>
      </c>
      <c r="T77" s="104">
        <f t="shared" si="72"/>
        <v>0</v>
      </c>
      <c r="U77" s="104">
        <f t="shared" si="72"/>
        <v>0</v>
      </c>
      <c r="V77" s="104">
        <f t="shared" si="72"/>
        <v>9.9999999999999995E-8</v>
      </c>
      <c r="W77" s="104">
        <f t="shared" si="72"/>
        <v>0</v>
      </c>
      <c r="X77" s="104">
        <f t="shared" si="85"/>
        <v>0</v>
      </c>
      <c r="Y77" s="104">
        <f t="shared" si="85"/>
        <v>9.9999999999999995E-8</v>
      </c>
      <c r="Z77" s="104">
        <f t="shared" si="85"/>
        <v>9.9999999999999995E-8</v>
      </c>
      <c r="AA77" s="105">
        <f t="shared" si="85"/>
        <v>9.9999999999999995E-8</v>
      </c>
      <c r="AB77" s="101" t="e">
        <f>$DT77*HLOOKUP($J77,'Construction Costs (timber)'!$B$1:$V$32,'Construction Planner'!$L77+2,FALSE)</f>
        <v>#N/A</v>
      </c>
      <c r="AC77" s="14" t="e">
        <f>$DT77*HLOOKUP($J77,'Construction Costs (clay)'!$B$1:$V$32,'Construction Planner'!$L77+2,FALSE)</f>
        <v>#N/A</v>
      </c>
      <c r="AD77" s="14" t="e">
        <f>$DT77*HLOOKUP($J77,'Construction Costs (iron)'!$B$1:$V$32,'Construction Planner'!$L77+2,FALSE)</f>
        <v>#N/A</v>
      </c>
      <c r="AE77" s="34" t="e">
        <f t="shared" si="81"/>
        <v>#N/A</v>
      </c>
      <c r="AF77" s="33" t="e">
        <f t="shared" si="5"/>
        <v>#N/A</v>
      </c>
      <c r="AG77" s="14" t="e">
        <f t="shared" si="6"/>
        <v>#N/A</v>
      </c>
      <c r="AH77" s="14" t="e">
        <f t="shared" si="7"/>
        <v>#N/A</v>
      </c>
      <c r="AI77" s="34" t="e">
        <f t="shared" si="82"/>
        <v>#N/A</v>
      </c>
      <c r="AJ77" s="49" t="e">
        <f t="shared" si="32"/>
        <v>#N/A</v>
      </c>
      <c r="AK77" s="49" t="e">
        <f t="shared" si="33"/>
        <v>#N/A</v>
      </c>
      <c r="AL77" s="49" t="e">
        <f t="shared" si="34"/>
        <v>#N/A</v>
      </c>
      <c r="AM77" s="25">
        <f t="shared" si="8"/>
        <v>30</v>
      </c>
      <c r="AN77" s="25">
        <f t="shared" si="9"/>
        <v>30</v>
      </c>
      <c r="AO77" s="25">
        <f t="shared" si="10"/>
        <v>30</v>
      </c>
      <c r="AP77" s="52" t="e">
        <f t="shared" si="35"/>
        <v>#N/A</v>
      </c>
      <c r="AQ77" s="53" t="e">
        <f t="shared" si="35"/>
        <v>#N/A</v>
      </c>
      <c r="AR77" s="54" t="e">
        <f t="shared" si="35"/>
        <v>#N/A</v>
      </c>
      <c r="AS77" s="316">
        <f t="shared" si="83"/>
        <v>0</v>
      </c>
      <c r="AT77" s="106">
        <f>_xlfn.IFNA($M77/VLOOKUP($BT77,'Unit information'!$A$2:$K$29,2,FALSE)*R77,0)*(1+$E$9)</f>
        <v>0</v>
      </c>
      <c r="AU77" s="107">
        <f>_xlfn.IFNA($M77/VLOOKUP($BT77,'Unit information'!$A$2:$K$29,3,FALSE)*S77,0)*(1+$E$9)</f>
        <v>0</v>
      </c>
      <c r="AV77" s="107">
        <f>_xlfn.IFNA($M77/VLOOKUP($BT77,'Unit information'!$A$2:$K$29,4,FALSE)*T77,0)*(1+$E$9)</f>
        <v>0</v>
      </c>
      <c r="AW77" s="107">
        <f>_xlfn.IFNA($M77/VLOOKUP($BT77,'Unit information'!$A$2:$K$29,5,FALSE)*U77,0)*(1+$E$9)</f>
        <v>0</v>
      </c>
      <c r="AX77" s="107">
        <f>_xlfn.IFNA($M77/VLOOKUP($BU77,'Unit information'!$A$2:$K$29,6,FALSE)*V77,0)*(1+$E$9)</f>
        <v>0</v>
      </c>
      <c r="AY77" s="107">
        <f>_xlfn.IFNA($M77/VLOOKUP($BU77,'Unit information'!$A$2:$K$29,7,FALSE)*W77,0)*(1+$E$9)</f>
        <v>0</v>
      </c>
      <c r="AZ77" s="107">
        <f>_xlfn.IFNA($M77/VLOOKUP($BU77,'Unit information'!$A$2:$K$29,8,FALSE)*X77,0)*(1+$E$9)</f>
        <v>0</v>
      </c>
      <c r="BA77" s="107">
        <f>_xlfn.IFNA($M77/VLOOKUP($BU77,'Unit information'!$A$2:$K$29,9,FALSE)*Y77,0)*(1+$E$9)</f>
        <v>0</v>
      </c>
      <c r="BB77" s="107">
        <f>_xlfn.IFNA($M77/VLOOKUP($BV77,'Unit information'!$A$2:$K$29,10,FALSE)*Z77,0)*(1+$E$9)</f>
        <v>0</v>
      </c>
      <c r="BC77" s="108">
        <f>_xlfn.IFNA($M77/VLOOKUP($BV77,'Unit information'!$A$2:$K$29,11,FALSE)*AA77,0)*(1+$E$9)</f>
        <v>0</v>
      </c>
      <c r="BD77" s="106">
        <f t="shared" si="12"/>
        <v>0</v>
      </c>
      <c r="BE77" s="107">
        <f t="shared" si="13"/>
        <v>0</v>
      </c>
      <c r="BF77" s="108">
        <f t="shared" si="14"/>
        <v>0</v>
      </c>
      <c r="BG77" s="25" t="e">
        <f t="shared" si="15"/>
        <v>#N/A</v>
      </c>
      <c r="BH77" s="25" t="e">
        <f t="shared" si="16"/>
        <v>#N/A</v>
      </c>
      <c r="BI77" s="25" t="e">
        <f t="shared" si="17"/>
        <v>#N/A</v>
      </c>
      <c r="BJ77" s="27" t="e">
        <f t="shared" si="18"/>
        <v>#N/A</v>
      </c>
      <c r="BK77" s="18" t="e">
        <f t="shared" si="19"/>
        <v>#N/A</v>
      </c>
      <c r="BL77" s="18" t="e">
        <f t="shared" si="20"/>
        <v>#N/A</v>
      </c>
      <c r="BM77" s="28" t="e">
        <f t="shared" si="84"/>
        <v>#N/A</v>
      </c>
      <c r="BN77" s="33">
        <f>HLOOKUP("maximum population",Miscelaneous!$C$1:$C$33,CH77+3,FALSE)</f>
        <v>240</v>
      </c>
      <c r="BO77" s="14">
        <f t="shared" si="36"/>
        <v>32</v>
      </c>
      <c r="BP77" s="14">
        <f t="shared" si="37"/>
        <v>0</v>
      </c>
      <c r="BQ77" s="14">
        <f t="shared" si="38"/>
        <v>208</v>
      </c>
      <c r="BR77" s="34" t="e">
        <f>HLOOKUP(J77,Villagers!$B$1:$V$33,L77+3,FALSE)-HLOOKUP(J77,Villagers!$B$1:$V$33,L77+2,FALSE)</f>
        <v>#N/A</v>
      </c>
      <c r="BS77" s="49">
        <f t="shared" si="39"/>
        <v>1</v>
      </c>
      <c r="BT77" s="50">
        <f t="shared" si="40"/>
        <v>0</v>
      </c>
      <c r="BU77" s="50">
        <f t="shared" si="41"/>
        <v>0</v>
      </c>
      <c r="BV77" s="50">
        <f t="shared" si="86"/>
        <v>0</v>
      </c>
      <c r="BW77" s="50">
        <f t="shared" si="87"/>
        <v>0</v>
      </c>
      <c r="BX77" s="50">
        <f t="shared" si="88"/>
        <v>0</v>
      </c>
      <c r="BY77" s="50">
        <f t="shared" si="88"/>
        <v>0</v>
      </c>
      <c r="BZ77" s="50">
        <f t="shared" si="45"/>
        <v>0</v>
      </c>
      <c r="CA77" s="50">
        <f t="shared" si="46"/>
        <v>0</v>
      </c>
      <c r="CB77" s="50">
        <f t="shared" si="47"/>
        <v>1</v>
      </c>
      <c r="CC77" s="50">
        <f t="shared" si="48"/>
        <v>0</v>
      </c>
      <c r="CD77" s="50">
        <f t="shared" si="49"/>
        <v>0</v>
      </c>
      <c r="CE77" s="50">
        <f t="shared" si="50"/>
        <v>1</v>
      </c>
      <c r="CF77" s="50">
        <f t="shared" si="51"/>
        <v>1</v>
      </c>
      <c r="CG77" s="50">
        <f t="shared" si="52"/>
        <v>1</v>
      </c>
      <c r="CH77" s="50">
        <f t="shared" si="53"/>
        <v>1</v>
      </c>
      <c r="CI77" s="50">
        <f t="shared" si="54"/>
        <v>1</v>
      </c>
      <c r="CJ77" s="50">
        <f t="shared" si="55"/>
        <v>1</v>
      </c>
      <c r="CK77" s="50">
        <f t="shared" si="56"/>
        <v>0</v>
      </c>
      <c r="CL77" s="50">
        <f t="shared" si="55"/>
        <v>0</v>
      </c>
      <c r="CM77" s="51">
        <f t="shared" si="57"/>
        <v>0</v>
      </c>
      <c r="CN77" s="33">
        <f>ROUND(IF(BS77=0,0,HLOOKUP(BS$14,Villagers!$B$1:$V$33,BS77+3,FALSE)),)</f>
        <v>5</v>
      </c>
      <c r="CO77" s="14">
        <f>ROUND(IF(BT77=0,0,HLOOKUP(BT$14,Villagers!$B$1:$V$33,BT77+3,FALSE)),)</f>
        <v>0</v>
      </c>
      <c r="CP77" s="14">
        <f>ROUND(IF(BU77=0,0,HLOOKUP(BU$14,Villagers!$B$1:$V$33,BU77+3,FALSE)),)</f>
        <v>0</v>
      </c>
      <c r="CQ77" s="14">
        <f>ROUND(IF(BV77=0,0,HLOOKUP(BV$14,Villagers!$B$1:$V$33,BV77+3,FALSE)),)</f>
        <v>0</v>
      </c>
      <c r="CR77" s="14">
        <f>ROUND(IF(BW77=0,0,HLOOKUP(BW$14,Villagers!$B$1:$V$33,BW77+3,FALSE)),)</f>
        <v>0</v>
      </c>
      <c r="CS77" s="14">
        <f>ROUND(IF(BX77=0,0,HLOOKUP(BX$14,Villagers!$B$1:$V$33,BX77+3,FALSE)),)</f>
        <v>0</v>
      </c>
      <c r="CT77" s="14">
        <f>ROUND(IF(BY77=0,0,HLOOKUP(BY$14,Villagers!$B$1:$V$33,BY77+3,FALSE)),)</f>
        <v>0</v>
      </c>
      <c r="CU77" s="14">
        <f>ROUND(IF(BZ77=0,0,HLOOKUP(BZ$14,Villagers!$B$1:$V$33,BZ77+3,FALSE)),)</f>
        <v>0</v>
      </c>
      <c r="CV77" s="14">
        <f>ROUND(IF(CA77=0,0,HLOOKUP(CA$14,Villagers!$B$1:$V$33,CA77+3,FALSE)),)</f>
        <v>0</v>
      </c>
      <c r="CW77" s="14">
        <f>ROUND(IF(CB77=0,0,HLOOKUP(CB$14,Villagers!$B$1:$V$33,CB77+3,FALSE)),)</f>
        <v>0</v>
      </c>
      <c r="CX77" s="14">
        <f>ROUND(IF(CC77=0,0,HLOOKUP(CC$14,Villagers!$B$1:$V$33,CC77+3,FALSE)),)</f>
        <v>0</v>
      </c>
      <c r="CY77" s="14">
        <f>ROUND(IF(CD77=0,0,HLOOKUP(CD$14,Villagers!$B$1:$V$33,CD77+3,FALSE)),)</f>
        <v>0</v>
      </c>
      <c r="CZ77" s="14">
        <f>ROUND(IF(CE77=0,0,HLOOKUP(CE$14,Villagers!$B$1:$V$33,CE77+3,FALSE)),)</f>
        <v>5</v>
      </c>
      <c r="DA77" s="14">
        <f>ROUND(IF(CF77=0,0,HLOOKUP(CF$14,Villagers!$B$1:$V$33,CF77+3,FALSE)),)</f>
        <v>10</v>
      </c>
      <c r="DB77" s="14">
        <f>ROUND(IF(CG77=0,0,HLOOKUP(CG$14,Villagers!$B$1:$V$33,CG77+3,FALSE)),)</f>
        <v>10</v>
      </c>
      <c r="DC77" s="14">
        <f>ROUND(IF(CH77=0,0,HLOOKUP(CH$14,Villagers!$B$1:$V$33,CH77+3,FALSE)),)</f>
        <v>0</v>
      </c>
      <c r="DD77" s="14">
        <f>ROUND(IF(CI77=0,0,HLOOKUP(CI$14,Villagers!$B$1:$V$33,CI77+3,FALSE)),)</f>
        <v>0</v>
      </c>
      <c r="DE77" s="14">
        <f>ROUND(IF(CJ77=0,0,HLOOKUP(CJ$14,Villagers!$B$1:$V$33,CJ77+3,FALSE)),)</f>
        <v>2</v>
      </c>
      <c r="DF77" s="370">
        <f>ROUND(IF(CK77=0,0,HLOOKUP(CK$14,Villagers!$B$1:$V$33,CK77+3,FALSE)),)</f>
        <v>0</v>
      </c>
      <c r="DG77" s="370">
        <f>ROUND(IF(CL77=0,0,HLOOKUP(CL$14,Villagers!$B$1:$V$33,CL77+3,FALSE)),)</f>
        <v>0</v>
      </c>
      <c r="DH77" s="34">
        <f>ROUND(IF(CM77=0,0,HLOOKUP(CM$14,Villagers!$B$1:$V$33,CM77+3,FALSE)),)</f>
        <v>0</v>
      </c>
      <c r="DI77" s="109">
        <f t="shared" si="73"/>
        <v>0</v>
      </c>
      <c r="DJ77" s="50">
        <f t="shared" si="74"/>
        <v>0</v>
      </c>
      <c r="DK77" s="50">
        <f t="shared" si="75"/>
        <v>0</v>
      </c>
      <c r="DL77" s="50">
        <f t="shared" si="76"/>
        <v>0</v>
      </c>
      <c r="DM77" s="50">
        <f t="shared" si="77"/>
        <v>0</v>
      </c>
      <c r="DN77" s="50">
        <f t="shared" si="78"/>
        <v>0</v>
      </c>
      <c r="DO77" s="50">
        <f t="shared" si="79"/>
        <v>0</v>
      </c>
      <c r="DP77" s="50">
        <f t="shared" si="80"/>
        <v>0</v>
      </c>
      <c r="DQ77" s="50">
        <f t="shared" si="59"/>
        <v>0</v>
      </c>
      <c r="DR77" s="50">
        <f t="shared" si="60"/>
        <v>0</v>
      </c>
      <c r="DS77" s="96">
        <f>Miscelaneous!$D$4*Miscelaneous!$D$2^($CI77-1)</f>
        <v>1000</v>
      </c>
      <c r="DT77" s="333">
        <f t="shared" si="61"/>
        <v>1</v>
      </c>
      <c r="DU77" s="81">
        <v>1</v>
      </c>
      <c r="DV77" s="79">
        <f t="shared" si="62"/>
        <v>0</v>
      </c>
      <c r="DW77" s="79">
        <f t="shared" si="23"/>
        <v>0</v>
      </c>
      <c r="DX77" s="79">
        <f t="shared" si="63"/>
        <v>0</v>
      </c>
      <c r="DY77" s="79">
        <v>1</v>
      </c>
      <c r="DZ77" s="79">
        <f t="shared" si="24"/>
        <v>0</v>
      </c>
      <c r="EA77" s="79">
        <f t="shared" si="64"/>
        <v>0</v>
      </c>
      <c r="EB77" s="79">
        <f t="shared" si="65"/>
        <v>0</v>
      </c>
      <c r="EC77" s="79">
        <f t="shared" si="66"/>
        <v>0</v>
      </c>
      <c r="ED77" s="79">
        <v>1</v>
      </c>
      <c r="EE77" s="79">
        <v>1</v>
      </c>
      <c r="EF77" s="79">
        <f t="shared" si="67"/>
        <v>0</v>
      </c>
      <c r="EG77" s="79">
        <v>1</v>
      </c>
      <c r="EH77" s="79">
        <v>1</v>
      </c>
      <c r="EI77" s="79">
        <v>1</v>
      </c>
      <c r="EJ77" s="79">
        <v>1</v>
      </c>
      <c r="EK77" s="79">
        <v>1</v>
      </c>
      <c r="EL77" s="79">
        <v>1</v>
      </c>
      <c r="EM77" s="143">
        <f t="shared" si="68"/>
        <v>0</v>
      </c>
      <c r="EN77" s="143">
        <f t="shared" si="69"/>
        <v>0</v>
      </c>
      <c r="EO77" s="82">
        <f t="shared" si="70"/>
        <v>0</v>
      </c>
    </row>
    <row r="78" spans="1:145" x14ac:dyDescent="0.25">
      <c r="A78">
        <v>64</v>
      </c>
      <c r="B78" s="172" t="e">
        <f t="shared" si="25"/>
        <v>#N/A</v>
      </c>
      <c r="C78" s="121" t="e">
        <f t="shared" si="0"/>
        <v>#N/A</v>
      </c>
      <c r="D78" s="122" t="e">
        <f t="shared" si="1"/>
        <v>#N/A</v>
      </c>
      <c r="E78" s="122" t="e">
        <f t="shared" si="2"/>
        <v>#N/A</v>
      </c>
      <c r="F78" s="176" t="e">
        <f t="shared" si="3"/>
        <v>#N/A</v>
      </c>
      <c r="G78" s="121">
        <f t="shared" si="26"/>
        <v>208</v>
      </c>
      <c r="H78" s="176" t="e">
        <f t="shared" si="27"/>
        <v>#N/A</v>
      </c>
      <c r="I78" s="48">
        <v>1</v>
      </c>
      <c r="J78" s="39"/>
      <c r="K78" s="350">
        <v>1</v>
      </c>
      <c r="L78" s="34" t="e">
        <f t="shared" si="4"/>
        <v>#N/A</v>
      </c>
      <c r="M78" s="38" t="e">
        <f>(HLOOKUP(J78,'Construction Times'!$B$3:$W$34,L78+2,FALSE)*HLOOKUP("hq modifier",'Construction Times'!$W$3:$W$34,BS78+2,FALSE))*(1-$H$9)</f>
        <v>#N/A</v>
      </c>
      <c r="N78" s="443" t="e">
        <f t="shared" si="28"/>
        <v>#N/A</v>
      </c>
      <c r="O78" s="444"/>
      <c r="P78" s="447" t="e">
        <f t="shared" si="29"/>
        <v>#N/A</v>
      </c>
      <c r="Q78" s="448"/>
      <c r="R78" s="103">
        <f t="shared" si="71"/>
        <v>0</v>
      </c>
      <c r="S78" s="104">
        <f t="shared" si="71"/>
        <v>0</v>
      </c>
      <c r="T78" s="104">
        <f t="shared" si="72"/>
        <v>0</v>
      </c>
      <c r="U78" s="104">
        <f t="shared" si="72"/>
        <v>0</v>
      </c>
      <c r="V78" s="104">
        <f t="shared" si="72"/>
        <v>9.9999999999999995E-8</v>
      </c>
      <c r="W78" s="104">
        <f t="shared" si="72"/>
        <v>0</v>
      </c>
      <c r="X78" s="104">
        <f t="shared" si="85"/>
        <v>0</v>
      </c>
      <c r="Y78" s="104">
        <f t="shared" si="85"/>
        <v>9.9999999999999995E-8</v>
      </c>
      <c r="Z78" s="104">
        <f t="shared" si="85"/>
        <v>9.9999999999999995E-8</v>
      </c>
      <c r="AA78" s="105">
        <f t="shared" si="85"/>
        <v>9.9999999999999995E-8</v>
      </c>
      <c r="AB78" s="101" t="e">
        <f>$DT78*HLOOKUP($J78,'Construction Costs (timber)'!$B$1:$V$32,'Construction Planner'!$L78+2,FALSE)</f>
        <v>#N/A</v>
      </c>
      <c r="AC78" s="14" t="e">
        <f>$DT78*HLOOKUP($J78,'Construction Costs (clay)'!$B$1:$V$32,'Construction Planner'!$L78+2,FALSE)</f>
        <v>#N/A</v>
      </c>
      <c r="AD78" s="14" t="e">
        <f>$DT78*HLOOKUP($J78,'Construction Costs (iron)'!$B$1:$V$32,'Construction Planner'!$L78+2,FALSE)</f>
        <v>#N/A</v>
      </c>
      <c r="AE78" s="34" t="e">
        <f t="shared" si="81"/>
        <v>#N/A</v>
      </c>
      <c r="AF78" s="33" t="e">
        <f t="shared" si="5"/>
        <v>#N/A</v>
      </c>
      <c r="AG78" s="14" t="e">
        <f t="shared" si="6"/>
        <v>#N/A</v>
      </c>
      <c r="AH78" s="14" t="e">
        <f t="shared" si="7"/>
        <v>#N/A</v>
      </c>
      <c r="AI78" s="34" t="e">
        <f t="shared" si="82"/>
        <v>#N/A</v>
      </c>
      <c r="AJ78" s="49" t="e">
        <f t="shared" si="32"/>
        <v>#N/A</v>
      </c>
      <c r="AK78" s="49" t="e">
        <f t="shared" si="33"/>
        <v>#N/A</v>
      </c>
      <c r="AL78" s="49" t="e">
        <f t="shared" si="34"/>
        <v>#N/A</v>
      </c>
      <c r="AM78" s="25">
        <f t="shared" si="8"/>
        <v>30</v>
      </c>
      <c r="AN78" s="25">
        <f t="shared" si="9"/>
        <v>30</v>
      </c>
      <c r="AO78" s="25">
        <f t="shared" si="10"/>
        <v>30</v>
      </c>
      <c r="AP78" s="52" t="e">
        <f t="shared" si="35"/>
        <v>#N/A</v>
      </c>
      <c r="AQ78" s="53" t="e">
        <f t="shared" si="35"/>
        <v>#N/A</v>
      </c>
      <c r="AR78" s="54" t="e">
        <f t="shared" si="35"/>
        <v>#N/A</v>
      </c>
      <c r="AS78" s="316">
        <f t="shared" si="83"/>
        <v>0</v>
      </c>
      <c r="AT78" s="106">
        <f>_xlfn.IFNA($M78/VLOOKUP($BT78,'Unit information'!$A$2:$K$29,2,FALSE)*R78,0)*(1+$E$9)</f>
        <v>0</v>
      </c>
      <c r="AU78" s="107">
        <f>_xlfn.IFNA($M78/VLOOKUP($BT78,'Unit information'!$A$2:$K$29,3,FALSE)*S78,0)*(1+$E$9)</f>
        <v>0</v>
      </c>
      <c r="AV78" s="107">
        <f>_xlfn.IFNA($M78/VLOOKUP($BT78,'Unit information'!$A$2:$K$29,4,FALSE)*T78,0)*(1+$E$9)</f>
        <v>0</v>
      </c>
      <c r="AW78" s="107">
        <f>_xlfn.IFNA($M78/VLOOKUP($BT78,'Unit information'!$A$2:$K$29,5,FALSE)*U78,0)*(1+$E$9)</f>
        <v>0</v>
      </c>
      <c r="AX78" s="107">
        <f>_xlfn.IFNA($M78/VLOOKUP($BU78,'Unit information'!$A$2:$K$29,6,FALSE)*V78,0)*(1+$E$9)</f>
        <v>0</v>
      </c>
      <c r="AY78" s="107">
        <f>_xlfn.IFNA($M78/VLOOKUP($BU78,'Unit information'!$A$2:$K$29,7,FALSE)*W78,0)*(1+$E$9)</f>
        <v>0</v>
      </c>
      <c r="AZ78" s="107">
        <f>_xlfn.IFNA($M78/VLOOKUP($BU78,'Unit information'!$A$2:$K$29,8,FALSE)*X78,0)*(1+$E$9)</f>
        <v>0</v>
      </c>
      <c r="BA78" s="107">
        <f>_xlfn.IFNA($M78/VLOOKUP($BU78,'Unit information'!$A$2:$K$29,9,FALSE)*Y78,0)*(1+$E$9)</f>
        <v>0</v>
      </c>
      <c r="BB78" s="107">
        <f>_xlfn.IFNA($M78/VLOOKUP($BV78,'Unit information'!$A$2:$K$29,10,FALSE)*Z78,0)*(1+$E$9)</f>
        <v>0</v>
      </c>
      <c r="BC78" s="108">
        <f>_xlfn.IFNA($M78/VLOOKUP($BV78,'Unit information'!$A$2:$K$29,11,FALSE)*AA78,0)*(1+$E$9)</f>
        <v>0</v>
      </c>
      <c r="BD78" s="106">
        <f t="shared" si="12"/>
        <v>0</v>
      </c>
      <c r="BE78" s="107">
        <f t="shared" si="13"/>
        <v>0</v>
      </c>
      <c r="BF78" s="108">
        <f t="shared" si="14"/>
        <v>0</v>
      </c>
      <c r="BG78" s="25" t="e">
        <f t="shared" si="15"/>
        <v>#N/A</v>
      </c>
      <c r="BH78" s="25" t="e">
        <f t="shared" si="16"/>
        <v>#N/A</v>
      </c>
      <c r="BI78" s="25" t="e">
        <f t="shared" si="17"/>
        <v>#N/A</v>
      </c>
      <c r="BJ78" s="27" t="e">
        <f t="shared" si="18"/>
        <v>#N/A</v>
      </c>
      <c r="BK78" s="18" t="e">
        <f t="shared" si="19"/>
        <v>#N/A</v>
      </c>
      <c r="BL78" s="18" t="e">
        <f t="shared" si="20"/>
        <v>#N/A</v>
      </c>
      <c r="BM78" s="28" t="e">
        <f t="shared" si="84"/>
        <v>#N/A</v>
      </c>
      <c r="BN78" s="33">
        <f>HLOOKUP("maximum population",Miscelaneous!$C$1:$C$33,CH78+3,FALSE)</f>
        <v>240</v>
      </c>
      <c r="BO78" s="14">
        <f t="shared" si="36"/>
        <v>32</v>
      </c>
      <c r="BP78" s="14">
        <f t="shared" si="37"/>
        <v>0</v>
      </c>
      <c r="BQ78" s="14">
        <f t="shared" si="38"/>
        <v>208</v>
      </c>
      <c r="BR78" s="34" t="e">
        <f>HLOOKUP(J78,Villagers!$B$1:$V$33,L78+3,FALSE)-HLOOKUP(J78,Villagers!$B$1:$V$33,L78+2,FALSE)</f>
        <v>#N/A</v>
      </c>
      <c r="BS78" s="49">
        <f t="shared" si="39"/>
        <v>1</v>
      </c>
      <c r="BT78" s="50">
        <f t="shared" si="40"/>
        <v>0</v>
      </c>
      <c r="BU78" s="50">
        <f t="shared" si="41"/>
        <v>0</v>
      </c>
      <c r="BV78" s="50">
        <f t="shared" si="86"/>
        <v>0</v>
      </c>
      <c r="BW78" s="50">
        <f t="shared" si="87"/>
        <v>0</v>
      </c>
      <c r="BX78" s="50">
        <f t="shared" si="88"/>
        <v>0</v>
      </c>
      <c r="BY78" s="50">
        <f t="shared" si="88"/>
        <v>0</v>
      </c>
      <c r="BZ78" s="50">
        <f t="shared" si="45"/>
        <v>0</v>
      </c>
      <c r="CA78" s="50">
        <f t="shared" si="46"/>
        <v>0</v>
      </c>
      <c r="CB78" s="50">
        <f t="shared" si="47"/>
        <v>1</v>
      </c>
      <c r="CC78" s="50">
        <f t="shared" si="48"/>
        <v>0</v>
      </c>
      <c r="CD78" s="50">
        <f t="shared" si="49"/>
        <v>0</v>
      </c>
      <c r="CE78" s="50">
        <f t="shared" si="50"/>
        <v>1</v>
      </c>
      <c r="CF78" s="50">
        <f t="shared" si="51"/>
        <v>1</v>
      </c>
      <c r="CG78" s="50">
        <f t="shared" si="52"/>
        <v>1</v>
      </c>
      <c r="CH78" s="50">
        <f t="shared" si="53"/>
        <v>1</v>
      </c>
      <c r="CI78" s="50">
        <f t="shared" si="54"/>
        <v>1</v>
      </c>
      <c r="CJ78" s="50">
        <f t="shared" si="55"/>
        <v>1</v>
      </c>
      <c r="CK78" s="50">
        <f t="shared" si="56"/>
        <v>0</v>
      </c>
      <c r="CL78" s="50">
        <f t="shared" si="55"/>
        <v>0</v>
      </c>
      <c r="CM78" s="51">
        <f t="shared" si="57"/>
        <v>0</v>
      </c>
      <c r="CN78" s="33">
        <f>ROUND(IF(BS78=0,0,HLOOKUP(BS$14,Villagers!$B$1:$V$33,BS78+3,FALSE)),)</f>
        <v>5</v>
      </c>
      <c r="CO78" s="14">
        <f>ROUND(IF(BT78=0,0,HLOOKUP(BT$14,Villagers!$B$1:$V$33,BT78+3,FALSE)),)</f>
        <v>0</v>
      </c>
      <c r="CP78" s="14">
        <f>ROUND(IF(BU78=0,0,HLOOKUP(BU$14,Villagers!$B$1:$V$33,BU78+3,FALSE)),)</f>
        <v>0</v>
      </c>
      <c r="CQ78" s="14">
        <f>ROUND(IF(BV78=0,0,HLOOKUP(BV$14,Villagers!$B$1:$V$33,BV78+3,FALSE)),)</f>
        <v>0</v>
      </c>
      <c r="CR78" s="14">
        <f>ROUND(IF(BW78=0,0,HLOOKUP(BW$14,Villagers!$B$1:$V$33,BW78+3,FALSE)),)</f>
        <v>0</v>
      </c>
      <c r="CS78" s="14">
        <f>ROUND(IF(BX78=0,0,HLOOKUP(BX$14,Villagers!$B$1:$V$33,BX78+3,FALSE)),)</f>
        <v>0</v>
      </c>
      <c r="CT78" s="14">
        <f>ROUND(IF(BY78=0,0,HLOOKUP(BY$14,Villagers!$B$1:$V$33,BY78+3,FALSE)),)</f>
        <v>0</v>
      </c>
      <c r="CU78" s="14">
        <f>ROUND(IF(BZ78=0,0,HLOOKUP(BZ$14,Villagers!$B$1:$V$33,BZ78+3,FALSE)),)</f>
        <v>0</v>
      </c>
      <c r="CV78" s="14">
        <f>ROUND(IF(CA78=0,0,HLOOKUP(CA$14,Villagers!$B$1:$V$33,CA78+3,FALSE)),)</f>
        <v>0</v>
      </c>
      <c r="CW78" s="14">
        <f>ROUND(IF(CB78=0,0,HLOOKUP(CB$14,Villagers!$B$1:$V$33,CB78+3,FALSE)),)</f>
        <v>0</v>
      </c>
      <c r="CX78" s="14">
        <f>ROUND(IF(CC78=0,0,HLOOKUP(CC$14,Villagers!$B$1:$V$33,CC78+3,FALSE)),)</f>
        <v>0</v>
      </c>
      <c r="CY78" s="14">
        <f>ROUND(IF(CD78=0,0,HLOOKUP(CD$14,Villagers!$B$1:$V$33,CD78+3,FALSE)),)</f>
        <v>0</v>
      </c>
      <c r="CZ78" s="14">
        <f>ROUND(IF(CE78=0,0,HLOOKUP(CE$14,Villagers!$B$1:$V$33,CE78+3,FALSE)),)</f>
        <v>5</v>
      </c>
      <c r="DA78" s="14">
        <f>ROUND(IF(CF78=0,0,HLOOKUP(CF$14,Villagers!$B$1:$V$33,CF78+3,FALSE)),)</f>
        <v>10</v>
      </c>
      <c r="DB78" s="14">
        <f>ROUND(IF(CG78=0,0,HLOOKUP(CG$14,Villagers!$B$1:$V$33,CG78+3,FALSE)),)</f>
        <v>10</v>
      </c>
      <c r="DC78" s="14">
        <f>ROUND(IF(CH78=0,0,HLOOKUP(CH$14,Villagers!$B$1:$V$33,CH78+3,FALSE)),)</f>
        <v>0</v>
      </c>
      <c r="DD78" s="14">
        <f>ROUND(IF(CI78=0,0,HLOOKUP(CI$14,Villagers!$B$1:$V$33,CI78+3,FALSE)),)</f>
        <v>0</v>
      </c>
      <c r="DE78" s="14">
        <f>ROUND(IF(CJ78=0,0,HLOOKUP(CJ$14,Villagers!$B$1:$V$33,CJ78+3,FALSE)),)</f>
        <v>2</v>
      </c>
      <c r="DF78" s="370">
        <f>ROUND(IF(CK78=0,0,HLOOKUP(CK$14,Villagers!$B$1:$V$33,CK78+3,FALSE)),)</f>
        <v>0</v>
      </c>
      <c r="DG78" s="370">
        <f>ROUND(IF(CL78=0,0,HLOOKUP(CL$14,Villagers!$B$1:$V$33,CL78+3,FALSE)),)</f>
        <v>0</v>
      </c>
      <c r="DH78" s="34">
        <f>ROUND(IF(CM78=0,0,HLOOKUP(CM$14,Villagers!$B$1:$V$33,CM78+3,FALSE)),)</f>
        <v>0</v>
      </c>
      <c r="DI78" s="109">
        <f t="shared" si="73"/>
        <v>0</v>
      </c>
      <c r="DJ78" s="50">
        <f t="shared" si="74"/>
        <v>0</v>
      </c>
      <c r="DK78" s="50">
        <f t="shared" si="75"/>
        <v>0</v>
      </c>
      <c r="DL78" s="50">
        <f t="shared" si="76"/>
        <v>0</v>
      </c>
      <c r="DM78" s="50">
        <f t="shared" si="77"/>
        <v>0</v>
      </c>
      <c r="DN78" s="50">
        <f t="shared" si="78"/>
        <v>0</v>
      </c>
      <c r="DO78" s="50">
        <f t="shared" si="79"/>
        <v>0</v>
      </c>
      <c r="DP78" s="50">
        <f t="shared" si="80"/>
        <v>0</v>
      </c>
      <c r="DQ78" s="50">
        <f t="shared" si="59"/>
        <v>0</v>
      </c>
      <c r="DR78" s="50">
        <f t="shared" si="60"/>
        <v>0</v>
      </c>
      <c r="DS78" s="96">
        <f>Miscelaneous!$D$4*Miscelaneous!$D$2^($CI78-1)</f>
        <v>1000</v>
      </c>
      <c r="DT78" s="333">
        <f t="shared" si="61"/>
        <v>1</v>
      </c>
      <c r="DU78" s="81">
        <v>1</v>
      </c>
      <c r="DV78" s="79">
        <f t="shared" si="62"/>
        <v>0</v>
      </c>
      <c r="DW78" s="79">
        <f t="shared" si="23"/>
        <v>0</v>
      </c>
      <c r="DX78" s="79">
        <f t="shared" si="63"/>
        <v>0</v>
      </c>
      <c r="DY78" s="79">
        <v>1</v>
      </c>
      <c r="DZ78" s="79">
        <f t="shared" si="24"/>
        <v>0</v>
      </c>
      <c r="EA78" s="79">
        <f t="shared" si="64"/>
        <v>0</v>
      </c>
      <c r="EB78" s="79">
        <f t="shared" si="65"/>
        <v>0</v>
      </c>
      <c r="EC78" s="79">
        <f t="shared" si="66"/>
        <v>0</v>
      </c>
      <c r="ED78" s="79">
        <v>1</v>
      </c>
      <c r="EE78" s="79">
        <v>1</v>
      </c>
      <c r="EF78" s="79">
        <f t="shared" si="67"/>
        <v>0</v>
      </c>
      <c r="EG78" s="79">
        <v>1</v>
      </c>
      <c r="EH78" s="79">
        <v>1</v>
      </c>
      <c r="EI78" s="79">
        <v>1</v>
      </c>
      <c r="EJ78" s="79">
        <v>1</v>
      </c>
      <c r="EK78" s="79">
        <v>1</v>
      </c>
      <c r="EL78" s="79">
        <v>1</v>
      </c>
      <c r="EM78" s="143">
        <f t="shared" si="68"/>
        <v>0</v>
      </c>
      <c r="EN78" s="143">
        <f t="shared" si="69"/>
        <v>0</v>
      </c>
      <c r="EO78" s="82">
        <f t="shared" si="70"/>
        <v>0</v>
      </c>
    </row>
    <row r="79" spans="1:145" x14ac:dyDescent="0.25">
      <c r="A79">
        <v>65</v>
      </c>
      <c r="B79" s="172" t="e">
        <f t="shared" si="25"/>
        <v>#N/A</v>
      </c>
      <c r="C79" s="121" t="e">
        <f t="shared" ref="C79:C142" si="89">AJ79-SUM(AB79:AB83)</f>
        <v>#N/A</v>
      </c>
      <c r="D79" s="122" t="e">
        <f t="shared" ref="D79:D142" si="90">AK79-SUM(AC79:AC83)</f>
        <v>#N/A</v>
      </c>
      <c r="E79" s="122" t="e">
        <f t="shared" ref="E79:E142" si="91">AL79-SUM(AD79:AD83)</f>
        <v>#N/A</v>
      </c>
      <c r="F79" s="176" t="e">
        <f t="shared" ref="F79:F142" si="92">IF(AND(MAX(C79:E79)&gt;0,DS79-MAX(C79:E79)&lt;DS79),DS79-MAX(C79:E79),DS79)</f>
        <v>#N/A</v>
      </c>
      <c r="G79" s="121">
        <f t="shared" si="26"/>
        <v>208</v>
      </c>
      <c r="H79" s="176" t="e">
        <f t="shared" si="27"/>
        <v>#N/A</v>
      </c>
      <c r="I79" s="48">
        <v>1</v>
      </c>
      <c r="J79" s="39"/>
      <c r="K79" s="350">
        <v>1</v>
      </c>
      <c r="L79" s="34" t="e">
        <f t="shared" ref="L79:L142" si="93">HLOOKUP(J79,$BS$14:$CM$508,A80,FALSE)+K79</f>
        <v>#N/A</v>
      </c>
      <c r="M79" s="38" t="e">
        <f>(HLOOKUP(J79,'Construction Times'!$B$3:$W$34,L79+2,FALSE)*HLOOKUP("hq modifier",'Construction Times'!$W$3:$W$34,BS79+2,FALSE))*(1-$H$9)</f>
        <v>#N/A</v>
      </c>
      <c r="N79" s="443" t="e">
        <f t="shared" si="28"/>
        <v>#N/A</v>
      </c>
      <c r="O79" s="444"/>
      <c r="P79" s="447" t="e">
        <f t="shared" si="29"/>
        <v>#N/A</v>
      </c>
      <c r="Q79" s="448"/>
      <c r="R79" s="103">
        <f t="shared" si="71"/>
        <v>0</v>
      </c>
      <c r="S79" s="104">
        <f t="shared" si="71"/>
        <v>0</v>
      </c>
      <c r="T79" s="104">
        <f t="shared" si="72"/>
        <v>0</v>
      </c>
      <c r="U79" s="104">
        <f t="shared" si="72"/>
        <v>0</v>
      </c>
      <c r="V79" s="104">
        <f t="shared" si="72"/>
        <v>9.9999999999999995E-8</v>
      </c>
      <c r="W79" s="104">
        <f t="shared" si="72"/>
        <v>0</v>
      </c>
      <c r="X79" s="104">
        <f t="shared" si="85"/>
        <v>0</v>
      </c>
      <c r="Y79" s="104">
        <f t="shared" si="85"/>
        <v>9.9999999999999995E-8</v>
      </c>
      <c r="Z79" s="104">
        <f t="shared" si="85"/>
        <v>9.9999999999999995E-8</v>
      </c>
      <c r="AA79" s="105">
        <f t="shared" si="85"/>
        <v>9.9999999999999995E-8</v>
      </c>
      <c r="AB79" s="101" t="e">
        <f>$DT79*HLOOKUP($J79,'Construction Costs (timber)'!$B$1:$V$32,'Construction Planner'!$L79+2,FALSE)</f>
        <v>#N/A</v>
      </c>
      <c r="AC79" s="14" t="e">
        <f>$DT79*HLOOKUP($J79,'Construction Costs (clay)'!$B$1:$V$32,'Construction Planner'!$L79+2,FALSE)</f>
        <v>#N/A</v>
      </c>
      <c r="AD79" s="14" t="e">
        <f>$DT79*HLOOKUP($J79,'Construction Costs (iron)'!$B$1:$V$32,'Construction Planner'!$L79+2,FALSE)</f>
        <v>#N/A</v>
      </c>
      <c r="AE79" s="34" t="e">
        <f t="shared" si="81"/>
        <v>#N/A</v>
      </c>
      <c r="AF79" s="33" t="e">
        <f t="shared" ref="AF79:AF142" si="94">AB79*($AH$3/$M79)</f>
        <v>#N/A</v>
      </c>
      <c r="AG79" s="14" t="e">
        <f t="shared" ref="AG79:AG142" si="95">AC79*($AH$3/$M79)</f>
        <v>#N/A</v>
      </c>
      <c r="AH79" s="14" t="e">
        <f t="shared" ref="AH79:AH142" si="96">AD79*($AH$3/$M79)</f>
        <v>#N/A</v>
      </c>
      <c r="AI79" s="34" t="e">
        <f t="shared" si="82"/>
        <v>#N/A</v>
      </c>
      <c r="AJ79" s="49" t="e">
        <f t="shared" si="32"/>
        <v>#N/A</v>
      </c>
      <c r="AK79" s="49" t="e">
        <f t="shared" si="33"/>
        <v>#N/A</v>
      </c>
      <c r="AL79" s="49" t="e">
        <f t="shared" si="34"/>
        <v>#N/A</v>
      </c>
      <c r="AM79" s="25">
        <f t="shared" ref="AM79:AM142" si="97">IF(CE79 = 0,$E$3*5,$E$3*30*1.163118^(CE79-1))*(1+$B$10)</f>
        <v>30</v>
      </c>
      <c r="AN79" s="25">
        <f t="shared" ref="AN79:AN142" si="98">IF(CF79 = 0,$E$3*5,$E$3*30*1.163118^(CF79-1))*(1+$B$10)</f>
        <v>30</v>
      </c>
      <c r="AO79" s="25">
        <f t="shared" ref="AO79:AO142" si="99">IF(CG79 = 0,$E$3*5,$E$3*30*1.163118^(CG79-1))*(1+$B$10)</f>
        <v>30</v>
      </c>
      <c r="AP79" s="52" t="e">
        <f t="shared" si="35"/>
        <v>#N/A</v>
      </c>
      <c r="AQ79" s="53" t="e">
        <f t="shared" si="35"/>
        <v>#N/A</v>
      </c>
      <c r="AR79" s="54" t="e">
        <f t="shared" si="35"/>
        <v>#N/A</v>
      </c>
      <c r="AS79" s="316">
        <f t="shared" si="83"/>
        <v>0</v>
      </c>
      <c r="AT79" s="106">
        <f>_xlfn.IFNA($M79/VLOOKUP($BT79,'Unit information'!$A$2:$K$29,2,FALSE)*R79,0)*(1+$E$9)</f>
        <v>0</v>
      </c>
      <c r="AU79" s="107">
        <f>_xlfn.IFNA($M79/VLOOKUP($BT79,'Unit information'!$A$2:$K$29,3,FALSE)*S79,0)*(1+$E$9)</f>
        <v>0</v>
      </c>
      <c r="AV79" s="107">
        <f>_xlfn.IFNA($M79/VLOOKUP($BT79,'Unit information'!$A$2:$K$29,4,FALSE)*T79,0)*(1+$E$9)</f>
        <v>0</v>
      </c>
      <c r="AW79" s="107">
        <f>_xlfn.IFNA($M79/VLOOKUP($BT79,'Unit information'!$A$2:$K$29,5,FALSE)*U79,0)*(1+$E$9)</f>
        <v>0</v>
      </c>
      <c r="AX79" s="107">
        <f>_xlfn.IFNA($M79/VLOOKUP($BU79,'Unit information'!$A$2:$K$29,6,FALSE)*V79,0)*(1+$E$9)</f>
        <v>0</v>
      </c>
      <c r="AY79" s="107">
        <f>_xlfn.IFNA($M79/VLOOKUP($BU79,'Unit information'!$A$2:$K$29,7,FALSE)*W79,0)*(1+$E$9)</f>
        <v>0</v>
      </c>
      <c r="AZ79" s="107">
        <f>_xlfn.IFNA($M79/VLOOKUP($BU79,'Unit information'!$A$2:$K$29,8,FALSE)*X79,0)*(1+$E$9)</f>
        <v>0</v>
      </c>
      <c r="BA79" s="107">
        <f>_xlfn.IFNA($M79/VLOOKUP($BU79,'Unit information'!$A$2:$K$29,9,FALSE)*Y79,0)*(1+$E$9)</f>
        <v>0</v>
      </c>
      <c r="BB79" s="107">
        <f>_xlfn.IFNA($M79/VLOOKUP($BV79,'Unit information'!$A$2:$K$29,10,FALSE)*Z79,0)*(1+$E$9)</f>
        <v>0</v>
      </c>
      <c r="BC79" s="108">
        <f>_xlfn.IFNA($M79/VLOOKUP($BV79,'Unit information'!$A$2:$K$29,11,FALSE)*AA79,0)*(1+$E$9)</f>
        <v>0</v>
      </c>
      <c r="BD79" s="106">
        <f t="shared" ref="BD79:BD142" si="100">$AT79*50+$AU79*30+$AV79*60+$AX79*50+$AY79*125+$BA79*200+$BB79*300+$BC79*320</f>
        <v>0</v>
      </c>
      <c r="BE79" s="107">
        <f t="shared" ref="BE79:BE142" si="101">$AT79*30+$AU79*30+$AV79*30+$AX79*50+$AY79*100+$BA79*150+$BB79*200+$BC79*400</f>
        <v>0</v>
      </c>
      <c r="BF79" s="108">
        <f t="shared" ref="BF79:BF142" si="102">$AT79*10+$AU79*70+$AV79*40+$AX79*20+$AY79*250+$BA79*600+$BB79*200+$BC79*100</f>
        <v>0</v>
      </c>
      <c r="BG79" s="25" t="e">
        <f t="shared" ref="BG79:BG142" si="103">AM79+AP79</f>
        <v>#N/A</v>
      </c>
      <c r="BH79" s="25" t="e">
        <f t="shared" ref="BH79:BH142" si="104">AN79+AQ79</f>
        <v>#N/A</v>
      </c>
      <c r="BI79" s="25" t="e">
        <f t="shared" ref="BI79:BI142" si="105">AO79+AR79</f>
        <v>#N/A</v>
      </c>
      <c r="BJ79" s="27" t="e">
        <f t="shared" ref="BJ79:BJ142" si="106">IF(AJ79&gt;AB79,0,(AB79-AJ79)/BG79*$AK$3)</f>
        <v>#N/A</v>
      </c>
      <c r="BK79" s="18" t="e">
        <f t="shared" ref="BK79:BK142" si="107">IF(AK79&gt;AC79,0,(AC79-AK79)/BH79*$AK$3)</f>
        <v>#N/A</v>
      </c>
      <c r="BL79" s="18" t="e">
        <f t="shared" ref="BL79:BL142" si="108">IF(AL79&gt;AD79,0,(AD79-AL79)/BI79*$AK$3)</f>
        <v>#N/A</v>
      </c>
      <c r="BM79" s="28" t="e">
        <f t="shared" si="84"/>
        <v>#N/A</v>
      </c>
      <c r="BN79" s="33">
        <f>HLOOKUP("maximum population",Miscelaneous!$C$1:$C$33,CH79+3,FALSE)</f>
        <v>240</v>
      </c>
      <c r="BO79" s="14">
        <f t="shared" si="36"/>
        <v>32</v>
      </c>
      <c r="BP79" s="14">
        <f t="shared" si="37"/>
        <v>0</v>
      </c>
      <c r="BQ79" s="14">
        <f t="shared" si="38"/>
        <v>208</v>
      </c>
      <c r="BR79" s="34" t="e">
        <f>HLOOKUP(J79,Villagers!$B$1:$V$33,L79+3,FALSE)-HLOOKUP(J79,Villagers!$B$1:$V$33,L79+2,FALSE)</f>
        <v>#N/A</v>
      </c>
      <c r="BS79" s="49">
        <f t="shared" si="39"/>
        <v>1</v>
      </c>
      <c r="BT79" s="50">
        <f t="shared" si="40"/>
        <v>0</v>
      </c>
      <c r="BU79" s="50">
        <f t="shared" si="41"/>
        <v>0</v>
      </c>
      <c r="BV79" s="50">
        <f t="shared" si="86"/>
        <v>0</v>
      </c>
      <c r="BW79" s="50">
        <f t="shared" si="87"/>
        <v>0</v>
      </c>
      <c r="BX79" s="50">
        <f t="shared" si="88"/>
        <v>0</v>
      </c>
      <c r="BY79" s="50">
        <f t="shared" si="88"/>
        <v>0</v>
      </c>
      <c r="BZ79" s="50">
        <f t="shared" si="45"/>
        <v>0</v>
      </c>
      <c r="CA79" s="50">
        <f t="shared" si="46"/>
        <v>0</v>
      </c>
      <c r="CB79" s="50">
        <f t="shared" si="47"/>
        <v>1</v>
      </c>
      <c r="CC79" s="50">
        <f t="shared" si="48"/>
        <v>0</v>
      </c>
      <c r="CD79" s="50">
        <f t="shared" si="49"/>
        <v>0</v>
      </c>
      <c r="CE79" s="50">
        <f t="shared" si="50"/>
        <v>1</v>
      </c>
      <c r="CF79" s="50">
        <f t="shared" si="51"/>
        <v>1</v>
      </c>
      <c r="CG79" s="50">
        <f t="shared" si="52"/>
        <v>1</v>
      </c>
      <c r="CH79" s="50">
        <f t="shared" si="53"/>
        <v>1</v>
      </c>
      <c r="CI79" s="50">
        <f t="shared" si="54"/>
        <v>1</v>
      </c>
      <c r="CJ79" s="50">
        <f t="shared" si="55"/>
        <v>1</v>
      </c>
      <c r="CK79" s="50">
        <f t="shared" si="56"/>
        <v>0</v>
      </c>
      <c r="CL79" s="50">
        <f t="shared" si="55"/>
        <v>0</v>
      </c>
      <c r="CM79" s="51">
        <f t="shared" si="57"/>
        <v>0</v>
      </c>
      <c r="CN79" s="33">
        <f>ROUND(IF(BS79=0,0,HLOOKUP(BS$14,Villagers!$B$1:$V$33,BS79+3,FALSE)),)</f>
        <v>5</v>
      </c>
      <c r="CO79" s="14">
        <f>ROUND(IF(BT79=0,0,HLOOKUP(BT$14,Villagers!$B$1:$V$33,BT79+3,FALSE)),)</f>
        <v>0</v>
      </c>
      <c r="CP79" s="14">
        <f>ROUND(IF(BU79=0,0,HLOOKUP(BU$14,Villagers!$B$1:$V$33,BU79+3,FALSE)),)</f>
        <v>0</v>
      </c>
      <c r="CQ79" s="14">
        <f>ROUND(IF(BV79=0,0,HLOOKUP(BV$14,Villagers!$B$1:$V$33,BV79+3,FALSE)),)</f>
        <v>0</v>
      </c>
      <c r="CR79" s="14">
        <f>ROUND(IF(BW79=0,0,HLOOKUP(BW$14,Villagers!$B$1:$V$33,BW79+3,FALSE)),)</f>
        <v>0</v>
      </c>
      <c r="CS79" s="14">
        <f>ROUND(IF(BX79=0,0,HLOOKUP(BX$14,Villagers!$B$1:$V$33,BX79+3,FALSE)),)</f>
        <v>0</v>
      </c>
      <c r="CT79" s="14">
        <f>ROUND(IF(BY79=0,0,HLOOKUP(BY$14,Villagers!$B$1:$V$33,BY79+3,FALSE)),)</f>
        <v>0</v>
      </c>
      <c r="CU79" s="14">
        <f>ROUND(IF(BZ79=0,0,HLOOKUP(BZ$14,Villagers!$B$1:$V$33,BZ79+3,FALSE)),)</f>
        <v>0</v>
      </c>
      <c r="CV79" s="14">
        <f>ROUND(IF(CA79=0,0,HLOOKUP(CA$14,Villagers!$B$1:$V$33,CA79+3,FALSE)),)</f>
        <v>0</v>
      </c>
      <c r="CW79" s="14">
        <f>ROUND(IF(CB79=0,0,HLOOKUP(CB$14,Villagers!$B$1:$V$33,CB79+3,FALSE)),)</f>
        <v>0</v>
      </c>
      <c r="CX79" s="14">
        <f>ROUND(IF(CC79=0,0,HLOOKUP(CC$14,Villagers!$B$1:$V$33,CC79+3,FALSE)),)</f>
        <v>0</v>
      </c>
      <c r="CY79" s="14">
        <f>ROUND(IF(CD79=0,0,HLOOKUP(CD$14,Villagers!$B$1:$V$33,CD79+3,FALSE)),)</f>
        <v>0</v>
      </c>
      <c r="CZ79" s="14">
        <f>ROUND(IF(CE79=0,0,HLOOKUP(CE$14,Villagers!$B$1:$V$33,CE79+3,FALSE)),)</f>
        <v>5</v>
      </c>
      <c r="DA79" s="14">
        <f>ROUND(IF(CF79=0,0,HLOOKUP(CF$14,Villagers!$B$1:$V$33,CF79+3,FALSE)),)</f>
        <v>10</v>
      </c>
      <c r="DB79" s="14">
        <f>ROUND(IF(CG79=0,0,HLOOKUP(CG$14,Villagers!$B$1:$V$33,CG79+3,FALSE)),)</f>
        <v>10</v>
      </c>
      <c r="DC79" s="14">
        <f>ROUND(IF(CH79=0,0,HLOOKUP(CH$14,Villagers!$B$1:$V$33,CH79+3,FALSE)),)</f>
        <v>0</v>
      </c>
      <c r="DD79" s="14">
        <f>ROUND(IF(CI79=0,0,HLOOKUP(CI$14,Villagers!$B$1:$V$33,CI79+3,FALSE)),)</f>
        <v>0</v>
      </c>
      <c r="DE79" s="14">
        <f>ROUND(IF(CJ79=0,0,HLOOKUP(CJ$14,Villagers!$B$1:$V$33,CJ79+3,FALSE)),)</f>
        <v>2</v>
      </c>
      <c r="DF79" s="370">
        <f>ROUND(IF(CK79=0,0,HLOOKUP(CK$14,Villagers!$B$1:$V$33,CK79+3,FALSE)),)</f>
        <v>0</v>
      </c>
      <c r="DG79" s="370">
        <f>ROUND(IF(CL79=0,0,HLOOKUP(CL$14,Villagers!$B$1:$V$33,CL79+3,FALSE)),)</f>
        <v>0</v>
      </c>
      <c r="DH79" s="34">
        <f>ROUND(IF(CM79=0,0,HLOOKUP(CM$14,Villagers!$B$1:$V$33,CM79+3,FALSE)),)</f>
        <v>0</v>
      </c>
      <c r="DI79" s="109">
        <f t="shared" si="73"/>
        <v>0</v>
      </c>
      <c r="DJ79" s="50">
        <f t="shared" si="74"/>
        <v>0</v>
      </c>
      <c r="DK79" s="50">
        <f t="shared" si="75"/>
        <v>0</v>
      </c>
      <c r="DL79" s="50">
        <f t="shared" si="76"/>
        <v>0</v>
      </c>
      <c r="DM79" s="50">
        <f t="shared" si="77"/>
        <v>0</v>
      </c>
      <c r="DN79" s="50">
        <f t="shared" si="78"/>
        <v>0</v>
      </c>
      <c r="DO79" s="50">
        <f t="shared" si="79"/>
        <v>0</v>
      </c>
      <c r="DP79" s="50">
        <f t="shared" si="80"/>
        <v>0</v>
      </c>
      <c r="DQ79" s="50">
        <f t="shared" si="59"/>
        <v>0</v>
      </c>
      <c r="DR79" s="50">
        <f t="shared" si="60"/>
        <v>0</v>
      </c>
      <c r="DS79" s="96">
        <f>Miscelaneous!$D$4*Miscelaneous!$D$2^($CI79-1)</f>
        <v>1000</v>
      </c>
      <c r="DT79" s="333">
        <f t="shared" ref="DT79:DT142" si="109">IF(I79&lt;3,1,1.125^(I79-3))</f>
        <v>1</v>
      </c>
      <c r="DU79" s="81">
        <v>1</v>
      </c>
      <c r="DV79" s="79">
        <f t="shared" si="62"/>
        <v>0</v>
      </c>
      <c r="DW79" s="79">
        <f t="shared" si="23"/>
        <v>0</v>
      </c>
      <c r="DX79" s="79">
        <f t="shared" si="63"/>
        <v>0</v>
      </c>
      <c r="DY79" s="79">
        <v>1</v>
      </c>
      <c r="DZ79" s="79">
        <f t="shared" si="24"/>
        <v>0</v>
      </c>
      <c r="EA79" s="79">
        <f t="shared" si="64"/>
        <v>0</v>
      </c>
      <c r="EB79" s="79">
        <f t="shared" si="65"/>
        <v>0</v>
      </c>
      <c r="EC79" s="79">
        <f t="shared" si="66"/>
        <v>0</v>
      </c>
      <c r="ED79" s="79">
        <v>1</v>
      </c>
      <c r="EE79" s="79">
        <v>1</v>
      </c>
      <c r="EF79" s="79">
        <f t="shared" si="67"/>
        <v>0</v>
      </c>
      <c r="EG79" s="79">
        <v>1</v>
      </c>
      <c r="EH79" s="79">
        <v>1</v>
      </c>
      <c r="EI79" s="79">
        <v>1</v>
      </c>
      <c r="EJ79" s="79">
        <v>1</v>
      </c>
      <c r="EK79" s="79">
        <v>1</v>
      </c>
      <c r="EL79" s="79">
        <v>1</v>
      </c>
      <c r="EM79" s="143">
        <f t="shared" si="68"/>
        <v>0</v>
      </c>
      <c r="EN79" s="143">
        <f t="shared" si="69"/>
        <v>0</v>
      </c>
      <c r="EO79" s="82">
        <f t="shared" si="70"/>
        <v>0</v>
      </c>
    </row>
    <row r="80" spans="1:145" x14ac:dyDescent="0.25">
      <c r="A80">
        <v>66</v>
      </c>
      <c r="B80" s="172" t="e">
        <f t="shared" ref="B80:B143" si="110">BM80</f>
        <v>#N/A</v>
      </c>
      <c r="C80" s="121" t="e">
        <f t="shared" si="89"/>
        <v>#N/A</v>
      </c>
      <c r="D80" s="122" t="e">
        <f t="shared" si="90"/>
        <v>#N/A</v>
      </c>
      <c r="E80" s="122" t="e">
        <f t="shared" si="91"/>
        <v>#N/A</v>
      </c>
      <c r="F80" s="176" t="e">
        <f t="shared" si="92"/>
        <v>#N/A</v>
      </c>
      <c r="G80" s="121">
        <f t="shared" ref="G80:G143" si="111">BQ80</f>
        <v>208</v>
      </c>
      <c r="H80" s="176" t="e">
        <f t="shared" ref="H80:H143" si="112">BQ80-SUM(BR80:BR84)</f>
        <v>#N/A</v>
      </c>
      <c r="I80" s="48">
        <v>1</v>
      </c>
      <c r="J80" s="39"/>
      <c r="K80" s="350">
        <v>1</v>
      </c>
      <c r="L80" s="34" t="e">
        <f t="shared" si="93"/>
        <v>#N/A</v>
      </c>
      <c r="M80" s="38" t="e">
        <f>(HLOOKUP(J80,'Construction Times'!$B$3:$W$34,L80+2,FALSE)*HLOOKUP("hq modifier",'Construction Times'!$W$3:$W$34,BS80+2,FALSE))*(1-$H$9)</f>
        <v>#N/A</v>
      </c>
      <c r="N80" s="443" t="e">
        <f t="shared" ref="N80:N143" si="113">P79+M79</f>
        <v>#N/A</v>
      </c>
      <c r="O80" s="444"/>
      <c r="P80" s="447" t="e">
        <f t="shared" ref="P80:P143" si="114">IF(MAX(AB80:AD80)&gt;DS80,"Speicher zu klein",IF(HLOOKUP(J80,$DU$14:$EO$509,A80+2,FALSE)=0,"Gebäude Vor. nicht erfüllt",N80+BM80))</f>
        <v>#N/A</v>
      </c>
      <c r="Q80" s="448"/>
      <c r="R80" s="103">
        <f t="shared" si="71"/>
        <v>0</v>
      </c>
      <c r="S80" s="104">
        <f t="shared" si="71"/>
        <v>0</v>
      </c>
      <c r="T80" s="104">
        <f t="shared" si="72"/>
        <v>0</v>
      </c>
      <c r="U80" s="104">
        <f t="shared" si="72"/>
        <v>0</v>
      </c>
      <c r="V80" s="104">
        <f t="shared" si="72"/>
        <v>9.9999999999999995E-8</v>
      </c>
      <c r="W80" s="104">
        <f t="shared" si="72"/>
        <v>0</v>
      </c>
      <c r="X80" s="104">
        <f t="shared" si="85"/>
        <v>0</v>
      </c>
      <c r="Y80" s="104">
        <f t="shared" si="85"/>
        <v>9.9999999999999995E-8</v>
      </c>
      <c r="Z80" s="104">
        <f t="shared" si="85"/>
        <v>9.9999999999999995E-8</v>
      </c>
      <c r="AA80" s="105">
        <f t="shared" si="85"/>
        <v>9.9999999999999995E-8</v>
      </c>
      <c r="AB80" s="101" t="e">
        <f>$DT80*HLOOKUP($J80,'Construction Costs (timber)'!$B$1:$V$32,'Construction Planner'!$L80+2,FALSE)</f>
        <v>#N/A</v>
      </c>
      <c r="AC80" s="14" t="e">
        <f>$DT80*HLOOKUP($J80,'Construction Costs (clay)'!$B$1:$V$32,'Construction Planner'!$L80+2,FALSE)</f>
        <v>#N/A</v>
      </c>
      <c r="AD80" s="14" t="e">
        <f>$DT80*HLOOKUP($J80,'Construction Costs (iron)'!$B$1:$V$32,'Construction Planner'!$L80+2,FALSE)</f>
        <v>#N/A</v>
      </c>
      <c r="AE80" s="34" t="e">
        <f t="shared" si="81"/>
        <v>#N/A</v>
      </c>
      <c r="AF80" s="33" t="e">
        <f t="shared" si="94"/>
        <v>#N/A</v>
      </c>
      <c r="AG80" s="14" t="e">
        <f t="shared" si="95"/>
        <v>#N/A</v>
      </c>
      <c r="AH80" s="14" t="e">
        <f t="shared" si="96"/>
        <v>#N/A</v>
      </c>
      <c r="AI80" s="34" t="e">
        <f t="shared" si="82"/>
        <v>#N/A</v>
      </c>
      <c r="AJ80" s="49" t="e">
        <f t="shared" ref="AJ80:AJ143" si="115">(($N80-$N79)/$AK$3)*BG79+AJ79-AB79-BD79</f>
        <v>#N/A</v>
      </c>
      <c r="AK80" s="49" t="e">
        <f t="shared" ref="AK80:AK143" si="116">(($N80-$N79)/$AK$3)*BH79+AK79-AC79-BE79</f>
        <v>#N/A</v>
      </c>
      <c r="AL80" s="49" t="e">
        <f t="shared" ref="AL80:AL143" si="117">(($N80-$N79)/$AK$3)*BI79+AL79-AD79-BF79</f>
        <v>#N/A</v>
      </c>
      <c r="AM80" s="25">
        <f t="shared" si="97"/>
        <v>30</v>
      </c>
      <c r="AN80" s="25">
        <f t="shared" si="98"/>
        <v>30</v>
      </c>
      <c r="AO80" s="25">
        <f t="shared" si="99"/>
        <v>30</v>
      </c>
      <c r="AP80" s="52" t="e">
        <f t="shared" ref="AP80:AR143" si="118">($N80-$AK$6+$AK$9+1)*$AK$5/24/3*$AS80</f>
        <v>#N/A</v>
      </c>
      <c r="AQ80" s="53" t="e">
        <f t="shared" si="118"/>
        <v>#N/A</v>
      </c>
      <c r="AR80" s="54" t="e">
        <f t="shared" si="118"/>
        <v>#N/A</v>
      </c>
      <c r="AS80" s="316">
        <f t="shared" si="83"/>
        <v>0</v>
      </c>
      <c r="AT80" s="106">
        <f>_xlfn.IFNA($M80/VLOOKUP($BT80,'Unit information'!$A$2:$K$29,2,FALSE)*R80,0)*(1+$E$9)</f>
        <v>0</v>
      </c>
      <c r="AU80" s="107">
        <f>_xlfn.IFNA($M80/VLOOKUP($BT80,'Unit information'!$A$2:$K$29,3,FALSE)*S80,0)*(1+$E$9)</f>
        <v>0</v>
      </c>
      <c r="AV80" s="107">
        <f>_xlfn.IFNA($M80/VLOOKUP($BT80,'Unit information'!$A$2:$K$29,4,FALSE)*T80,0)*(1+$E$9)</f>
        <v>0</v>
      </c>
      <c r="AW80" s="107">
        <f>_xlfn.IFNA($M80/VLOOKUP($BT80,'Unit information'!$A$2:$K$29,5,FALSE)*U80,0)*(1+$E$9)</f>
        <v>0</v>
      </c>
      <c r="AX80" s="107">
        <f>_xlfn.IFNA($M80/VLOOKUP($BU80,'Unit information'!$A$2:$K$29,6,FALSE)*V80,0)*(1+$E$9)</f>
        <v>0</v>
      </c>
      <c r="AY80" s="107">
        <f>_xlfn.IFNA($M80/VLOOKUP($BU80,'Unit information'!$A$2:$K$29,7,FALSE)*W80,0)*(1+$E$9)</f>
        <v>0</v>
      </c>
      <c r="AZ80" s="107">
        <f>_xlfn.IFNA($M80/VLOOKUP($BU80,'Unit information'!$A$2:$K$29,8,FALSE)*X80,0)*(1+$E$9)</f>
        <v>0</v>
      </c>
      <c r="BA80" s="107">
        <f>_xlfn.IFNA($M80/VLOOKUP($BU80,'Unit information'!$A$2:$K$29,9,FALSE)*Y80,0)*(1+$E$9)</f>
        <v>0</v>
      </c>
      <c r="BB80" s="107">
        <f>_xlfn.IFNA($M80/VLOOKUP($BV80,'Unit information'!$A$2:$K$29,10,FALSE)*Z80,0)*(1+$E$9)</f>
        <v>0</v>
      </c>
      <c r="BC80" s="108">
        <f>_xlfn.IFNA($M80/VLOOKUP($BV80,'Unit information'!$A$2:$K$29,11,FALSE)*AA80,0)*(1+$E$9)</f>
        <v>0</v>
      </c>
      <c r="BD80" s="106">
        <f t="shared" si="100"/>
        <v>0</v>
      </c>
      <c r="BE80" s="107">
        <f t="shared" si="101"/>
        <v>0</v>
      </c>
      <c r="BF80" s="108">
        <f t="shared" si="102"/>
        <v>0</v>
      </c>
      <c r="BG80" s="25" t="e">
        <f t="shared" si="103"/>
        <v>#N/A</v>
      </c>
      <c r="BH80" s="25" t="e">
        <f t="shared" si="104"/>
        <v>#N/A</v>
      </c>
      <c r="BI80" s="25" t="e">
        <f t="shared" si="105"/>
        <v>#N/A</v>
      </c>
      <c r="BJ80" s="27" t="e">
        <f t="shared" si="106"/>
        <v>#N/A</v>
      </c>
      <c r="BK80" s="18" t="e">
        <f t="shared" si="107"/>
        <v>#N/A</v>
      </c>
      <c r="BL80" s="18" t="e">
        <f t="shared" si="108"/>
        <v>#N/A</v>
      </c>
      <c r="BM80" s="28" t="e">
        <f t="shared" si="84"/>
        <v>#N/A</v>
      </c>
      <c r="BN80" s="33">
        <f>HLOOKUP("maximum population",Miscelaneous!$C$1:$C$33,CH80+3,FALSE)</f>
        <v>240</v>
      </c>
      <c r="BO80" s="14">
        <f t="shared" ref="BO80:BO143" si="119">SUM(CN81:DH81)</f>
        <v>32</v>
      </c>
      <c r="BP80" s="14">
        <f t="shared" ref="BP80:BP143" si="120">SUM(DI80:DL80)+DM80*2+DN80*4+DO80*5+DP80*6+DQ80*5+DR80*8</f>
        <v>0</v>
      </c>
      <c r="BQ80" s="14">
        <f t="shared" ref="BQ80:BQ143" si="121">BN80-BO80-BP80</f>
        <v>208</v>
      </c>
      <c r="BR80" s="34" t="e">
        <f>HLOOKUP(J80,Villagers!$B$1:$V$33,L80+3,FALSE)-HLOOKUP(J80,Villagers!$B$1:$V$33,L80+2,FALSE)</f>
        <v>#N/A</v>
      </c>
      <c r="BS80" s="49">
        <f t="shared" ref="BS80:BS143" si="122">IF($J79=BS$14,$L79,BS79)</f>
        <v>1</v>
      </c>
      <c r="BT80" s="50">
        <f t="shared" ref="BT80:BT143" si="123">IF($J79=BT$14,$L79,BT79)</f>
        <v>0</v>
      </c>
      <c r="BU80" s="50">
        <f t="shared" ref="BU80:BU143" si="124">IF($J79=BU$14,$L79,BU79)</f>
        <v>0</v>
      </c>
      <c r="BV80" s="50">
        <f t="shared" ref="BV80:BV143" si="125">IF($J79=BV$14,$L79,BV79)</f>
        <v>0</v>
      </c>
      <c r="BW80" s="50">
        <f t="shared" ref="BW80:BW95" si="126">IF($J79=BW$14,$L79,BW79)</f>
        <v>0</v>
      </c>
      <c r="BX80" s="50">
        <f t="shared" ref="BX80:BY95" si="127">IF($J79=BX$14,$L79,BX79)</f>
        <v>0</v>
      </c>
      <c r="BY80" s="50">
        <f t="shared" si="127"/>
        <v>0</v>
      </c>
      <c r="BZ80" s="50">
        <f t="shared" ref="BZ80:BZ94" si="128">IF($J79=BZ$14,$L79,BZ79)</f>
        <v>0</v>
      </c>
      <c r="CA80" s="50">
        <f t="shared" ref="CA80:CA94" si="129">IF($J79=CA$14,$L79,CA79)</f>
        <v>0</v>
      </c>
      <c r="CB80" s="50">
        <f t="shared" ref="CB80:CB94" si="130">IF($J79=CB$14,$L79,CB79)</f>
        <v>1</v>
      </c>
      <c r="CC80" s="50">
        <f t="shared" ref="CC80:CC94" si="131">IF($J79=CC$14,$L79,CC79)</f>
        <v>0</v>
      </c>
      <c r="CD80" s="50">
        <f t="shared" ref="CD80:CD94" si="132">IF($J79=CD$14,$L79,CD79)</f>
        <v>0</v>
      </c>
      <c r="CE80" s="50">
        <f t="shared" ref="CE80:CE94" si="133">IF($J79=CE$14,$L79,CE79)</f>
        <v>1</v>
      </c>
      <c r="CF80" s="50">
        <f t="shared" ref="CF80:CF94" si="134">IF($J79=CF$14,$L79,CF79)</f>
        <v>1</v>
      </c>
      <c r="CG80" s="50">
        <f t="shared" ref="CG80:CG94" si="135">IF($J79=CG$14,$L79,CG79)</f>
        <v>1</v>
      </c>
      <c r="CH80" s="50">
        <f t="shared" ref="CH80:CH94" si="136">IF($J79=CH$14,$L79,CH79)</f>
        <v>1</v>
      </c>
      <c r="CI80" s="50">
        <f t="shared" ref="CI80:CI94" si="137">IF($J79=CI$14,$L79,CI79)</f>
        <v>1</v>
      </c>
      <c r="CJ80" s="50">
        <f t="shared" ref="CJ80:CL94" si="138">IF($J79=CJ$14,$L79,CJ79)</f>
        <v>1</v>
      </c>
      <c r="CK80" s="50">
        <f t="shared" si="138"/>
        <v>0</v>
      </c>
      <c r="CL80" s="50">
        <f t="shared" si="138"/>
        <v>0</v>
      </c>
      <c r="CM80" s="51">
        <f t="shared" ref="CM80:CM94" si="139">IF($J79=CM$14,$L79,CM79)</f>
        <v>0</v>
      </c>
      <c r="CN80" s="33">
        <f>ROUND(IF(BS80=0,0,HLOOKUP(BS$14,Villagers!$B$1:$V$33,BS80+3,FALSE)),)</f>
        <v>5</v>
      </c>
      <c r="CO80" s="14">
        <f>ROUND(IF(BT80=0,0,HLOOKUP(BT$14,Villagers!$B$1:$V$33,BT80+3,FALSE)),)</f>
        <v>0</v>
      </c>
      <c r="CP80" s="14">
        <f>ROUND(IF(BU80=0,0,HLOOKUP(BU$14,Villagers!$B$1:$V$33,BU80+3,FALSE)),)</f>
        <v>0</v>
      </c>
      <c r="CQ80" s="14">
        <f>ROUND(IF(BV80=0,0,HLOOKUP(BV$14,Villagers!$B$1:$V$33,BV80+3,FALSE)),)</f>
        <v>0</v>
      </c>
      <c r="CR80" s="14">
        <f>ROUND(IF(BW80=0,0,HLOOKUP(BW$14,Villagers!$B$1:$V$33,BW80+3,FALSE)),)</f>
        <v>0</v>
      </c>
      <c r="CS80" s="14">
        <f>ROUND(IF(BX80=0,0,HLOOKUP(BX$14,Villagers!$B$1:$V$33,BX80+3,FALSE)),)</f>
        <v>0</v>
      </c>
      <c r="CT80" s="14">
        <f>ROUND(IF(BY80=0,0,HLOOKUP(BY$14,Villagers!$B$1:$V$33,BY80+3,FALSE)),)</f>
        <v>0</v>
      </c>
      <c r="CU80" s="14">
        <f>ROUND(IF(BZ80=0,0,HLOOKUP(BZ$14,Villagers!$B$1:$V$33,BZ80+3,FALSE)),)</f>
        <v>0</v>
      </c>
      <c r="CV80" s="14">
        <f>ROUND(IF(CA80=0,0,HLOOKUP(CA$14,Villagers!$B$1:$V$33,CA80+3,FALSE)),)</f>
        <v>0</v>
      </c>
      <c r="CW80" s="14">
        <f>ROUND(IF(CB80=0,0,HLOOKUP(CB$14,Villagers!$B$1:$V$33,CB80+3,FALSE)),)</f>
        <v>0</v>
      </c>
      <c r="CX80" s="14">
        <f>ROUND(IF(CC80=0,0,HLOOKUP(CC$14,Villagers!$B$1:$V$33,CC80+3,FALSE)),)</f>
        <v>0</v>
      </c>
      <c r="CY80" s="14">
        <f>ROUND(IF(CD80=0,0,HLOOKUP(CD$14,Villagers!$B$1:$V$33,CD80+3,FALSE)),)</f>
        <v>0</v>
      </c>
      <c r="CZ80" s="14">
        <f>ROUND(IF(CE80=0,0,HLOOKUP(CE$14,Villagers!$B$1:$V$33,CE80+3,FALSE)),)</f>
        <v>5</v>
      </c>
      <c r="DA80" s="14">
        <f>ROUND(IF(CF80=0,0,HLOOKUP(CF$14,Villagers!$B$1:$V$33,CF80+3,FALSE)),)</f>
        <v>10</v>
      </c>
      <c r="DB80" s="14">
        <f>ROUND(IF(CG80=0,0,HLOOKUP(CG$14,Villagers!$B$1:$V$33,CG80+3,FALSE)),)</f>
        <v>10</v>
      </c>
      <c r="DC80" s="14">
        <f>ROUND(IF(CH80=0,0,HLOOKUP(CH$14,Villagers!$B$1:$V$33,CH80+3,FALSE)),)</f>
        <v>0</v>
      </c>
      <c r="DD80" s="14">
        <f>ROUND(IF(CI80=0,0,HLOOKUP(CI$14,Villagers!$B$1:$V$33,CI80+3,FALSE)),)</f>
        <v>0</v>
      </c>
      <c r="DE80" s="14">
        <f>ROUND(IF(CJ80=0,0,HLOOKUP(CJ$14,Villagers!$B$1:$V$33,CJ80+3,FALSE)),)</f>
        <v>2</v>
      </c>
      <c r="DF80" s="370">
        <f>ROUND(IF(CK80=0,0,HLOOKUP(CK$14,Villagers!$B$1:$V$33,CK80+3,FALSE)),)</f>
        <v>0</v>
      </c>
      <c r="DG80" s="370">
        <f>ROUND(IF(CL80=0,0,HLOOKUP(CL$14,Villagers!$B$1:$V$33,CL80+3,FALSE)),)</f>
        <v>0</v>
      </c>
      <c r="DH80" s="34">
        <f>ROUND(IF(CM80=0,0,HLOOKUP(CM$14,Villagers!$B$1:$V$33,CM80+3,FALSE)),)</f>
        <v>0</v>
      </c>
      <c r="DI80" s="109">
        <f t="shared" si="73"/>
        <v>0</v>
      </c>
      <c r="DJ80" s="50">
        <f t="shared" si="74"/>
        <v>0</v>
      </c>
      <c r="DK80" s="50">
        <f t="shared" si="75"/>
        <v>0</v>
      </c>
      <c r="DL80" s="50">
        <f t="shared" si="76"/>
        <v>0</v>
      </c>
      <c r="DM80" s="50">
        <f t="shared" si="77"/>
        <v>0</v>
      </c>
      <c r="DN80" s="50">
        <f t="shared" si="78"/>
        <v>0</v>
      </c>
      <c r="DO80" s="50">
        <f t="shared" si="79"/>
        <v>0</v>
      </c>
      <c r="DP80" s="50">
        <f t="shared" si="80"/>
        <v>0</v>
      </c>
      <c r="DQ80" s="50">
        <f t="shared" ref="DQ80:DQ143" si="140">ROUND(_xlfn.IFNA(DQ79+BB80,DQ79),0)</f>
        <v>0</v>
      </c>
      <c r="DR80" s="50">
        <f t="shared" ref="DR80:DR143" si="141">ROUND(_xlfn.IFNA(DR79+BC80,DR79),0)</f>
        <v>0</v>
      </c>
      <c r="DS80" s="96">
        <f>Miscelaneous!$D$4*Miscelaneous!$D$2^($CI80-1)</f>
        <v>1000</v>
      </c>
      <c r="DT80" s="333">
        <f t="shared" si="109"/>
        <v>1</v>
      </c>
      <c r="DU80" s="81">
        <v>1</v>
      </c>
      <c r="DV80" s="79">
        <f t="shared" ref="DV80:DV143" si="142">IF(BS80&gt;2,1,0)</f>
        <v>0</v>
      </c>
      <c r="DW80" s="79">
        <f t="shared" ref="DW80:DW143" si="143">IF(AND(BS80&gt;9,CA80&gt;4,BT80&gt;4)=TRUE,1,0)</f>
        <v>0</v>
      </c>
      <c r="DX80" s="79">
        <f t="shared" ref="DX80:DX143" si="144">IF(AND(BS80&gt;9,CA80&gt;9)=TRUE,1,0)</f>
        <v>0</v>
      </c>
      <c r="DY80" s="79">
        <v>1</v>
      </c>
      <c r="DZ80" s="79">
        <f t="shared" ref="DZ80:DZ143" si="145">IF(AND(BS80&gt;4,CH80&gt;4),1,0)</f>
        <v>0</v>
      </c>
      <c r="EA80" s="79">
        <f t="shared" ref="EA80:EA143" si="146">IF(AND(BS80&gt;4,CH80&gt;4),1,0)</f>
        <v>0</v>
      </c>
      <c r="EB80" s="79">
        <f t="shared" ref="EB80:EB143" si="147">IF(AND(BS80&gt;19,CA80&gt;19,CD80&gt;9)=TRUE,1,0)</f>
        <v>0</v>
      </c>
      <c r="EC80" s="79">
        <f t="shared" ref="EC80:EC143" si="148">IF(AND(BS80&gt;4,BT80&gt;0)=TRUE,1,0)</f>
        <v>0</v>
      </c>
      <c r="ED80" s="79">
        <v>1</v>
      </c>
      <c r="EE80" s="79">
        <v>1</v>
      </c>
      <c r="EF80" s="79">
        <f t="shared" ref="EF80:EF143" si="149">IF(AND(BS80&gt;2,CI80&gt;1),1,0)</f>
        <v>0</v>
      </c>
      <c r="EG80" s="79">
        <v>1</v>
      </c>
      <c r="EH80" s="79">
        <v>1</v>
      </c>
      <c r="EI80" s="79">
        <v>1</v>
      </c>
      <c r="EJ80" s="79">
        <v>1</v>
      </c>
      <c r="EK80" s="79">
        <v>1</v>
      </c>
      <c r="EL80" s="79">
        <v>1</v>
      </c>
      <c r="EM80" s="143">
        <f t="shared" ref="EM80:EM143" si="150">IF(CL80&gt;0,1,0)</f>
        <v>0</v>
      </c>
      <c r="EN80" s="143">
        <f t="shared" ref="EN80:EN143" si="151">IF(BZ80&gt;0,1,0)</f>
        <v>0</v>
      </c>
      <c r="EO80" s="82">
        <f t="shared" ref="EO80:EO143" si="152">IF(BT80&gt;0,1,0)</f>
        <v>0</v>
      </c>
    </row>
    <row r="81" spans="1:145" x14ac:dyDescent="0.25">
      <c r="A81">
        <v>67</v>
      </c>
      <c r="B81" s="172" t="e">
        <f t="shared" si="110"/>
        <v>#N/A</v>
      </c>
      <c r="C81" s="121" t="e">
        <f t="shared" si="89"/>
        <v>#N/A</v>
      </c>
      <c r="D81" s="122" t="e">
        <f t="shared" si="90"/>
        <v>#N/A</v>
      </c>
      <c r="E81" s="122" t="e">
        <f t="shared" si="91"/>
        <v>#N/A</v>
      </c>
      <c r="F81" s="176" t="e">
        <f t="shared" si="92"/>
        <v>#N/A</v>
      </c>
      <c r="G81" s="121">
        <f t="shared" si="111"/>
        <v>208</v>
      </c>
      <c r="H81" s="176" t="e">
        <f t="shared" si="112"/>
        <v>#N/A</v>
      </c>
      <c r="I81" s="48">
        <v>1</v>
      </c>
      <c r="J81" s="39"/>
      <c r="K81" s="350">
        <v>1</v>
      </c>
      <c r="L81" s="34" t="e">
        <f t="shared" si="93"/>
        <v>#N/A</v>
      </c>
      <c r="M81" s="38" t="e">
        <f>(HLOOKUP(J81,'Construction Times'!$B$3:$W$34,L81+2,FALSE)*HLOOKUP("hq modifier",'Construction Times'!$W$3:$W$34,BS81+2,FALSE))*(1-$H$9)</f>
        <v>#N/A</v>
      </c>
      <c r="N81" s="443" t="e">
        <f t="shared" si="113"/>
        <v>#N/A</v>
      </c>
      <c r="O81" s="444"/>
      <c r="P81" s="447" t="e">
        <f t="shared" si="114"/>
        <v>#N/A</v>
      </c>
      <c r="Q81" s="448"/>
      <c r="R81" s="103">
        <f t="shared" ref="R81:S144" si="153">R80</f>
        <v>0</v>
      </c>
      <c r="S81" s="104">
        <f t="shared" si="153"/>
        <v>0</v>
      </c>
      <c r="T81" s="104">
        <f t="shared" ref="T81:W144" si="154">T80</f>
        <v>0</v>
      </c>
      <c r="U81" s="104">
        <f t="shared" si="154"/>
        <v>0</v>
      </c>
      <c r="V81" s="104">
        <f t="shared" si="154"/>
        <v>9.9999999999999995E-8</v>
      </c>
      <c r="W81" s="104">
        <f t="shared" si="154"/>
        <v>0</v>
      </c>
      <c r="X81" s="104">
        <f t="shared" si="85"/>
        <v>0</v>
      </c>
      <c r="Y81" s="104">
        <f t="shared" si="85"/>
        <v>9.9999999999999995E-8</v>
      </c>
      <c r="Z81" s="104">
        <f t="shared" si="85"/>
        <v>9.9999999999999995E-8</v>
      </c>
      <c r="AA81" s="105">
        <f t="shared" si="85"/>
        <v>9.9999999999999995E-8</v>
      </c>
      <c r="AB81" s="101" t="e">
        <f>$DT81*HLOOKUP($J81,'Construction Costs (timber)'!$B$1:$V$32,'Construction Planner'!$L81+2,FALSE)</f>
        <v>#N/A</v>
      </c>
      <c r="AC81" s="14" t="e">
        <f>$DT81*HLOOKUP($J81,'Construction Costs (clay)'!$B$1:$V$32,'Construction Planner'!$L81+2,FALSE)</f>
        <v>#N/A</v>
      </c>
      <c r="AD81" s="14" t="e">
        <f>$DT81*HLOOKUP($J81,'Construction Costs (iron)'!$B$1:$V$32,'Construction Planner'!$L81+2,FALSE)</f>
        <v>#N/A</v>
      </c>
      <c r="AE81" s="34" t="e">
        <f t="shared" si="81"/>
        <v>#N/A</v>
      </c>
      <c r="AF81" s="33" t="e">
        <f t="shared" si="94"/>
        <v>#N/A</v>
      </c>
      <c r="AG81" s="14" t="e">
        <f t="shared" si="95"/>
        <v>#N/A</v>
      </c>
      <c r="AH81" s="14" t="e">
        <f t="shared" si="96"/>
        <v>#N/A</v>
      </c>
      <c r="AI81" s="34" t="e">
        <f t="shared" si="82"/>
        <v>#N/A</v>
      </c>
      <c r="AJ81" s="49" t="e">
        <f t="shared" si="115"/>
        <v>#N/A</v>
      </c>
      <c r="AK81" s="49" t="e">
        <f t="shared" si="116"/>
        <v>#N/A</v>
      </c>
      <c r="AL81" s="49" t="e">
        <f t="shared" si="117"/>
        <v>#N/A</v>
      </c>
      <c r="AM81" s="25">
        <f t="shared" si="97"/>
        <v>30</v>
      </c>
      <c r="AN81" s="25">
        <f t="shared" si="98"/>
        <v>30</v>
      </c>
      <c r="AO81" s="25">
        <f t="shared" si="99"/>
        <v>30</v>
      </c>
      <c r="AP81" s="52" t="e">
        <f t="shared" si="118"/>
        <v>#N/A</v>
      </c>
      <c r="AQ81" s="53" t="e">
        <f t="shared" si="118"/>
        <v>#N/A</v>
      </c>
      <c r="AR81" s="54" t="e">
        <f t="shared" si="118"/>
        <v>#N/A</v>
      </c>
      <c r="AS81" s="316">
        <f t="shared" si="83"/>
        <v>0</v>
      </c>
      <c r="AT81" s="106">
        <f>_xlfn.IFNA($M81/VLOOKUP($BT81,'Unit information'!$A$2:$K$29,2,FALSE)*R81,0)*(1+$E$9)</f>
        <v>0</v>
      </c>
      <c r="AU81" s="107">
        <f>_xlfn.IFNA($M81/VLOOKUP($BT81,'Unit information'!$A$2:$K$29,3,FALSE)*S81,0)*(1+$E$9)</f>
        <v>0</v>
      </c>
      <c r="AV81" s="107">
        <f>_xlfn.IFNA($M81/VLOOKUP($BT81,'Unit information'!$A$2:$K$29,4,FALSE)*T81,0)*(1+$E$9)</f>
        <v>0</v>
      </c>
      <c r="AW81" s="107">
        <f>_xlfn.IFNA($M81/VLOOKUP($BT81,'Unit information'!$A$2:$K$29,5,FALSE)*U81,0)*(1+$E$9)</f>
        <v>0</v>
      </c>
      <c r="AX81" s="107">
        <f>_xlfn.IFNA($M81/VLOOKUP($BU81,'Unit information'!$A$2:$K$29,6,FALSE)*V81,0)*(1+$E$9)</f>
        <v>0</v>
      </c>
      <c r="AY81" s="107">
        <f>_xlfn.IFNA($M81/VLOOKUP($BU81,'Unit information'!$A$2:$K$29,7,FALSE)*W81,0)*(1+$E$9)</f>
        <v>0</v>
      </c>
      <c r="AZ81" s="107">
        <f>_xlfn.IFNA($M81/VLOOKUP($BU81,'Unit information'!$A$2:$K$29,8,FALSE)*X81,0)*(1+$E$9)</f>
        <v>0</v>
      </c>
      <c r="BA81" s="107">
        <f>_xlfn.IFNA($M81/VLOOKUP($BU81,'Unit information'!$A$2:$K$29,9,FALSE)*Y81,0)*(1+$E$9)</f>
        <v>0</v>
      </c>
      <c r="BB81" s="107">
        <f>_xlfn.IFNA($M81/VLOOKUP($BV81,'Unit information'!$A$2:$K$29,10,FALSE)*Z81,0)*(1+$E$9)</f>
        <v>0</v>
      </c>
      <c r="BC81" s="108">
        <f>_xlfn.IFNA($M81/VLOOKUP($BV81,'Unit information'!$A$2:$K$29,11,FALSE)*AA81,0)*(1+$E$9)</f>
        <v>0</v>
      </c>
      <c r="BD81" s="106">
        <f t="shared" si="100"/>
        <v>0</v>
      </c>
      <c r="BE81" s="107">
        <f t="shared" si="101"/>
        <v>0</v>
      </c>
      <c r="BF81" s="108">
        <f t="shared" si="102"/>
        <v>0</v>
      </c>
      <c r="BG81" s="25" t="e">
        <f t="shared" si="103"/>
        <v>#N/A</v>
      </c>
      <c r="BH81" s="25" t="e">
        <f t="shared" si="104"/>
        <v>#N/A</v>
      </c>
      <c r="BI81" s="25" t="e">
        <f t="shared" si="105"/>
        <v>#N/A</v>
      </c>
      <c r="BJ81" s="27" t="e">
        <f t="shared" si="106"/>
        <v>#N/A</v>
      </c>
      <c r="BK81" s="18" t="e">
        <f t="shared" si="107"/>
        <v>#N/A</v>
      </c>
      <c r="BL81" s="18" t="e">
        <f t="shared" si="108"/>
        <v>#N/A</v>
      </c>
      <c r="BM81" s="28" t="e">
        <f t="shared" si="84"/>
        <v>#N/A</v>
      </c>
      <c r="BN81" s="33">
        <f>HLOOKUP("maximum population",Miscelaneous!$C$1:$C$33,CH81+3,FALSE)</f>
        <v>240</v>
      </c>
      <c r="BO81" s="14">
        <f t="shared" si="119"/>
        <v>32</v>
      </c>
      <c r="BP81" s="14">
        <f t="shared" si="120"/>
        <v>0</v>
      </c>
      <c r="BQ81" s="14">
        <f t="shared" si="121"/>
        <v>208</v>
      </c>
      <c r="BR81" s="34" t="e">
        <f>HLOOKUP(J81,Villagers!$B$1:$V$33,L81+3,FALSE)-HLOOKUP(J81,Villagers!$B$1:$V$33,L81+2,FALSE)</f>
        <v>#N/A</v>
      </c>
      <c r="BS81" s="49">
        <f t="shared" si="122"/>
        <v>1</v>
      </c>
      <c r="BT81" s="50">
        <f t="shared" si="123"/>
        <v>0</v>
      </c>
      <c r="BU81" s="50">
        <f t="shared" si="124"/>
        <v>0</v>
      </c>
      <c r="BV81" s="50">
        <f t="shared" si="125"/>
        <v>0</v>
      </c>
      <c r="BW81" s="50">
        <f t="shared" si="126"/>
        <v>0</v>
      </c>
      <c r="BX81" s="50">
        <f t="shared" si="127"/>
        <v>0</v>
      </c>
      <c r="BY81" s="50">
        <f t="shared" si="127"/>
        <v>0</v>
      </c>
      <c r="BZ81" s="50">
        <f t="shared" si="128"/>
        <v>0</v>
      </c>
      <c r="CA81" s="50">
        <f t="shared" si="129"/>
        <v>0</v>
      </c>
      <c r="CB81" s="50">
        <f t="shared" si="130"/>
        <v>1</v>
      </c>
      <c r="CC81" s="50">
        <f t="shared" si="131"/>
        <v>0</v>
      </c>
      <c r="CD81" s="50">
        <f t="shared" si="132"/>
        <v>0</v>
      </c>
      <c r="CE81" s="50">
        <f t="shared" si="133"/>
        <v>1</v>
      </c>
      <c r="CF81" s="50">
        <f t="shared" si="134"/>
        <v>1</v>
      </c>
      <c r="CG81" s="50">
        <f t="shared" si="135"/>
        <v>1</v>
      </c>
      <c r="CH81" s="50">
        <f t="shared" si="136"/>
        <v>1</v>
      </c>
      <c r="CI81" s="50">
        <f t="shared" si="137"/>
        <v>1</v>
      </c>
      <c r="CJ81" s="50">
        <f t="shared" si="138"/>
        <v>1</v>
      </c>
      <c r="CK81" s="50">
        <f t="shared" si="138"/>
        <v>0</v>
      </c>
      <c r="CL81" s="50">
        <f t="shared" si="138"/>
        <v>0</v>
      </c>
      <c r="CM81" s="51">
        <f t="shared" si="139"/>
        <v>0</v>
      </c>
      <c r="CN81" s="33">
        <f>ROUND(IF(BS81=0,0,HLOOKUP(BS$14,Villagers!$B$1:$V$33,BS81+3,FALSE)),)</f>
        <v>5</v>
      </c>
      <c r="CO81" s="14">
        <f>ROUND(IF(BT81=0,0,HLOOKUP(BT$14,Villagers!$B$1:$V$33,BT81+3,FALSE)),)</f>
        <v>0</v>
      </c>
      <c r="CP81" s="14">
        <f>ROUND(IF(BU81=0,0,HLOOKUP(BU$14,Villagers!$B$1:$V$33,BU81+3,FALSE)),)</f>
        <v>0</v>
      </c>
      <c r="CQ81" s="14">
        <f>ROUND(IF(BV81=0,0,HLOOKUP(BV$14,Villagers!$B$1:$V$33,BV81+3,FALSE)),)</f>
        <v>0</v>
      </c>
      <c r="CR81" s="14">
        <f>ROUND(IF(BW81=0,0,HLOOKUP(BW$14,Villagers!$B$1:$V$33,BW81+3,FALSE)),)</f>
        <v>0</v>
      </c>
      <c r="CS81" s="14">
        <f>ROUND(IF(BX81=0,0,HLOOKUP(BX$14,Villagers!$B$1:$V$33,BX81+3,FALSE)),)</f>
        <v>0</v>
      </c>
      <c r="CT81" s="14">
        <f>ROUND(IF(BY81=0,0,HLOOKUP(BY$14,Villagers!$B$1:$V$33,BY81+3,FALSE)),)</f>
        <v>0</v>
      </c>
      <c r="CU81" s="14">
        <f>ROUND(IF(BZ81=0,0,HLOOKUP(BZ$14,Villagers!$B$1:$V$33,BZ81+3,FALSE)),)</f>
        <v>0</v>
      </c>
      <c r="CV81" s="14">
        <f>ROUND(IF(CA81=0,0,HLOOKUP(CA$14,Villagers!$B$1:$V$33,CA81+3,FALSE)),)</f>
        <v>0</v>
      </c>
      <c r="CW81" s="14">
        <f>ROUND(IF(CB81=0,0,HLOOKUP(CB$14,Villagers!$B$1:$V$33,CB81+3,FALSE)),)</f>
        <v>0</v>
      </c>
      <c r="CX81" s="14">
        <f>ROUND(IF(CC81=0,0,HLOOKUP(CC$14,Villagers!$B$1:$V$33,CC81+3,FALSE)),)</f>
        <v>0</v>
      </c>
      <c r="CY81" s="14">
        <f>ROUND(IF(CD81=0,0,HLOOKUP(CD$14,Villagers!$B$1:$V$33,CD81+3,FALSE)),)</f>
        <v>0</v>
      </c>
      <c r="CZ81" s="14">
        <f>ROUND(IF(CE81=0,0,HLOOKUP(CE$14,Villagers!$B$1:$V$33,CE81+3,FALSE)),)</f>
        <v>5</v>
      </c>
      <c r="DA81" s="14">
        <f>ROUND(IF(CF81=0,0,HLOOKUP(CF$14,Villagers!$B$1:$V$33,CF81+3,FALSE)),)</f>
        <v>10</v>
      </c>
      <c r="DB81" s="14">
        <f>ROUND(IF(CG81=0,0,HLOOKUP(CG$14,Villagers!$B$1:$V$33,CG81+3,FALSE)),)</f>
        <v>10</v>
      </c>
      <c r="DC81" s="14">
        <f>ROUND(IF(CH81=0,0,HLOOKUP(CH$14,Villagers!$B$1:$V$33,CH81+3,FALSE)),)</f>
        <v>0</v>
      </c>
      <c r="DD81" s="14">
        <f>ROUND(IF(CI81=0,0,HLOOKUP(CI$14,Villagers!$B$1:$V$33,CI81+3,FALSE)),)</f>
        <v>0</v>
      </c>
      <c r="DE81" s="14">
        <f>ROUND(IF(CJ81=0,0,HLOOKUP(CJ$14,Villagers!$B$1:$V$33,CJ81+3,FALSE)),)</f>
        <v>2</v>
      </c>
      <c r="DF81" s="370">
        <f>ROUND(IF(CK81=0,0,HLOOKUP(CK$14,Villagers!$B$1:$V$33,CK81+3,FALSE)),)</f>
        <v>0</v>
      </c>
      <c r="DG81" s="370">
        <f>ROUND(IF(CL81=0,0,HLOOKUP(CL$14,Villagers!$B$1:$V$33,CL81+3,FALSE)),)</f>
        <v>0</v>
      </c>
      <c r="DH81" s="34">
        <f>ROUND(IF(CM81=0,0,HLOOKUP(CM$14,Villagers!$B$1:$V$33,CM81+3,FALSE)),)</f>
        <v>0</v>
      </c>
      <c r="DI81" s="109">
        <f t="shared" ref="DI81:DI144" si="155">ROUND(_xlfn.IFNA(DI80+AT81,DI80),0)</f>
        <v>0</v>
      </c>
      <c r="DJ81" s="50">
        <f t="shared" ref="DJ81:DJ144" si="156">ROUND(_xlfn.IFNA(DJ80+AU81,DJ80),0)</f>
        <v>0</v>
      </c>
      <c r="DK81" s="50">
        <f t="shared" ref="DK81:DK144" si="157">ROUND(_xlfn.IFNA(DK80+AV81,DK80),0)</f>
        <v>0</v>
      </c>
      <c r="DL81" s="50">
        <f t="shared" ref="DL81:DL144" si="158">ROUND(_xlfn.IFNA(DL80+AW81,DL80),0)</f>
        <v>0</v>
      </c>
      <c r="DM81" s="50">
        <f t="shared" ref="DM81:DM144" si="159">ROUND(_xlfn.IFNA(DM80+AX81,DM80),0)</f>
        <v>0</v>
      </c>
      <c r="DN81" s="50">
        <f t="shared" ref="DN81:DN144" si="160">ROUND(_xlfn.IFNA(DN80+AY81,DN80),0)</f>
        <v>0</v>
      </c>
      <c r="DO81" s="50">
        <f t="shared" ref="DO81:DO144" si="161">ROUND(_xlfn.IFNA(DO80+AZ81,DO80),0)</f>
        <v>0</v>
      </c>
      <c r="DP81" s="50">
        <f t="shared" ref="DP81:DP144" si="162">ROUND(_xlfn.IFNA(DP80+BA81,DP80),0)</f>
        <v>0</v>
      </c>
      <c r="DQ81" s="50">
        <f t="shared" si="140"/>
        <v>0</v>
      </c>
      <c r="DR81" s="50">
        <f t="shared" si="141"/>
        <v>0</v>
      </c>
      <c r="DS81" s="96">
        <f>Miscelaneous!$D$4*Miscelaneous!$D$2^($CI81-1)</f>
        <v>1000</v>
      </c>
      <c r="DT81" s="333">
        <f t="shared" si="109"/>
        <v>1</v>
      </c>
      <c r="DU81" s="81">
        <v>1</v>
      </c>
      <c r="DV81" s="79">
        <f t="shared" si="142"/>
        <v>0</v>
      </c>
      <c r="DW81" s="79">
        <f t="shared" si="143"/>
        <v>0</v>
      </c>
      <c r="DX81" s="79">
        <f t="shared" si="144"/>
        <v>0</v>
      </c>
      <c r="DY81" s="79">
        <v>1</v>
      </c>
      <c r="DZ81" s="79">
        <f t="shared" si="145"/>
        <v>0</v>
      </c>
      <c r="EA81" s="79">
        <f t="shared" si="146"/>
        <v>0</v>
      </c>
      <c r="EB81" s="79">
        <f t="shared" si="147"/>
        <v>0</v>
      </c>
      <c r="EC81" s="79">
        <f t="shared" si="148"/>
        <v>0</v>
      </c>
      <c r="ED81" s="79">
        <v>1</v>
      </c>
      <c r="EE81" s="79">
        <v>1</v>
      </c>
      <c r="EF81" s="79">
        <f t="shared" si="149"/>
        <v>0</v>
      </c>
      <c r="EG81" s="79">
        <v>1</v>
      </c>
      <c r="EH81" s="79">
        <v>1</v>
      </c>
      <c r="EI81" s="79">
        <v>1</v>
      </c>
      <c r="EJ81" s="79">
        <v>1</v>
      </c>
      <c r="EK81" s="79">
        <v>1</v>
      </c>
      <c r="EL81" s="79">
        <v>1</v>
      </c>
      <c r="EM81" s="143">
        <f t="shared" si="150"/>
        <v>0</v>
      </c>
      <c r="EN81" s="143">
        <f t="shared" si="151"/>
        <v>0</v>
      </c>
      <c r="EO81" s="82">
        <f t="shared" si="152"/>
        <v>0</v>
      </c>
    </row>
    <row r="82" spans="1:145" x14ac:dyDescent="0.25">
      <c r="A82">
        <v>68</v>
      </c>
      <c r="B82" s="172" t="e">
        <f t="shared" si="110"/>
        <v>#N/A</v>
      </c>
      <c r="C82" s="121" t="e">
        <f t="shared" si="89"/>
        <v>#N/A</v>
      </c>
      <c r="D82" s="122" t="e">
        <f t="shared" si="90"/>
        <v>#N/A</v>
      </c>
      <c r="E82" s="122" t="e">
        <f t="shared" si="91"/>
        <v>#N/A</v>
      </c>
      <c r="F82" s="176" t="e">
        <f t="shared" si="92"/>
        <v>#N/A</v>
      </c>
      <c r="G82" s="121">
        <f t="shared" si="111"/>
        <v>208</v>
      </c>
      <c r="H82" s="176" t="e">
        <f t="shared" si="112"/>
        <v>#N/A</v>
      </c>
      <c r="I82" s="48">
        <v>1</v>
      </c>
      <c r="J82" s="39"/>
      <c r="K82" s="350">
        <v>1</v>
      </c>
      <c r="L82" s="34" t="e">
        <f t="shared" si="93"/>
        <v>#N/A</v>
      </c>
      <c r="M82" s="38" t="e">
        <f>(HLOOKUP(J82,'Construction Times'!$B$3:$W$34,L82+2,FALSE)*HLOOKUP("hq modifier",'Construction Times'!$W$3:$W$34,BS82+2,FALSE))*(1-$H$9)</f>
        <v>#N/A</v>
      </c>
      <c r="N82" s="443" t="e">
        <f t="shared" si="113"/>
        <v>#N/A</v>
      </c>
      <c r="O82" s="444"/>
      <c r="P82" s="447" t="e">
        <f t="shared" si="114"/>
        <v>#N/A</v>
      </c>
      <c r="Q82" s="448"/>
      <c r="R82" s="103">
        <f t="shared" si="153"/>
        <v>0</v>
      </c>
      <c r="S82" s="104">
        <f t="shared" si="153"/>
        <v>0</v>
      </c>
      <c r="T82" s="104">
        <f t="shared" si="154"/>
        <v>0</v>
      </c>
      <c r="U82" s="104">
        <f t="shared" si="154"/>
        <v>0</v>
      </c>
      <c r="V82" s="104">
        <f t="shared" si="154"/>
        <v>9.9999999999999995E-8</v>
      </c>
      <c r="W82" s="104">
        <f t="shared" si="154"/>
        <v>0</v>
      </c>
      <c r="X82" s="104">
        <f t="shared" si="85"/>
        <v>0</v>
      </c>
      <c r="Y82" s="104">
        <f t="shared" si="85"/>
        <v>9.9999999999999995E-8</v>
      </c>
      <c r="Z82" s="104">
        <f t="shared" si="85"/>
        <v>9.9999999999999995E-8</v>
      </c>
      <c r="AA82" s="105">
        <f t="shared" si="85"/>
        <v>9.9999999999999995E-8</v>
      </c>
      <c r="AB82" s="101" t="e">
        <f>$DT82*HLOOKUP($J82,'Construction Costs (timber)'!$B$1:$V$32,'Construction Planner'!$L82+2,FALSE)</f>
        <v>#N/A</v>
      </c>
      <c r="AC82" s="14" t="e">
        <f>$DT82*HLOOKUP($J82,'Construction Costs (clay)'!$B$1:$V$32,'Construction Planner'!$L82+2,FALSE)</f>
        <v>#N/A</v>
      </c>
      <c r="AD82" s="14" t="e">
        <f>$DT82*HLOOKUP($J82,'Construction Costs (iron)'!$B$1:$V$32,'Construction Planner'!$L82+2,FALSE)</f>
        <v>#N/A</v>
      </c>
      <c r="AE82" s="34" t="e">
        <f t="shared" si="81"/>
        <v>#N/A</v>
      </c>
      <c r="AF82" s="33" t="e">
        <f t="shared" si="94"/>
        <v>#N/A</v>
      </c>
      <c r="AG82" s="14" t="e">
        <f t="shared" si="95"/>
        <v>#N/A</v>
      </c>
      <c r="AH82" s="14" t="e">
        <f t="shared" si="96"/>
        <v>#N/A</v>
      </c>
      <c r="AI82" s="34" t="e">
        <f t="shared" si="82"/>
        <v>#N/A</v>
      </c>
      <c r="AJ82" s="49" t="e">
        <f t="shared" si="115"/>
        <v>#N/A</v>
      </c>
      <c r="AK82" s="49" t="e">
        <f t="shared" si="116"/>
        <v>#N/A</v>
      </c>
      <c r="AL82" s="49" t="e">
        <f t="shared" si="117"/>
        <v>#N/A</v>
      </c>
      <c r="AM82" s="25">
        <f t="shared" si="97"/>
        <v>30</v>
      </c>
      <c r="AN82" s="25">
        <f t="shared" si="98"/>
        <v>30</v>
      </c>
      <c r="AO82" s="25">
        <f t="shared" si="99"/>
        <v>30</v>
      </c>
      <c r="AP82" s="52" t="e">
        <f t="shared" si="118"/>
        <v>#N/A</v>
      </c>
      <c r="AQ82" s="53" t="e">
        <f t="shared" si="118"/>
        <v>#N/A</v>
      </c>
      <c r="AR82" s="54" t="e">
        <f t="shared" si="118"/>
        <v>#N/A</v>
      </c>
      <c r="AS82" s="316">
        <f t="shared" si="83"/>
        <v>0</v>
      </c>
      <c r="AT82" s="106">
        <f>_xlfn.IFNA($M82/VLOOKUP($BT82,'Unit information'!$A$2:$K$29,2,FALSE)*R82,0)*(1+$E$9)</f>
        <v>0</v>
      </c>
      <c r="AU82" s="107">
        <f>_xlfn.IFNA($M82/VLOOKUP($BT82,'Unit information'!$A$2:$K$29,3,FALSE)*S82,0)*(1+$E$9)</f>
        <v>0</v>
      </c>
      <c r="AV82" s="107">
        <f>_xlfn.IFNA($M82/VLOOKUP($BT82,'Unit information'!$A$2:$K$29,4,FALSE)*T82,0)*(1+$E$9)</f>
        <v>0</v>
      </c>
      <c r="AW82" s="107">
        <f>_xlfn.IFNA($M82/VLOOKUP($BT82,'Unit information'!$A$2:$K$29,5,FALSE)*U82,0)*(1+$E$9)</f>
        <v>0</v>
      </c>
      <c r="AX82" s="107">
        <f>_xlfn.IFNA($M82/VLOOKUP($BU82,'Unit information'!$A$2:$K$29,6,FALSE)*V82,0)*(1+$E$9)</f>
        <v>0</v>
      </c>
      <c r="AY82" s="107">
        <f>_xlfn.IFNA($M82/VLOOKUP($BU82,'Unit information'!$A$2:$K$29,7,FALSE)*W82,0)*(1+$E$9)</f>
        <v>0</v>
      </c>
      <c r="AZ82" s="107">
        <f>_xlfn.IFNA($M82/VLOOKUP($BU82,'Unit information'!$A$2:$K$29,8,FALSE)*X82,0)*(1+$E$9)</f>
        <v>0</v>
      </c>
      <c r="BA82" s="107">
        <f>_xlfn.IFNA($M82/VLOOKUP($BU82,'Unit information'!$A$2:$K$29,9,FALSE)*Y82,0)*(1+$E$9)</f>
        <v>0</v>
      </c>
      <c r="BB82" s="107">
        <f>_xlfn.IFNA($M82/VLOOKUP($BV82,'Unit information'!$A$2:$K$29,10,FALSE)*Z82,0)*(1+$E$9)</f>
        <v>0</v>
      </c>
      <c r="BC82" s="108">
        <f>_xlfn.IFNA($M82/VLOOKUP($BV82,'Unit information'!$A$2:$K$29,11,FALSE)*AA82,0)*(1+$E$9)</f>
        <v>0</v>
      </c>
      <c r="BD82" s="106">
        <f t="shared" si="100"/>
        <v>0</v>
      </c>
      <c r="BE82" s="107">
        <f t="shared" si="101"/>
        <v>0</v>
      </c>
      <c r="BF82" s="108">
        <f t="shared" si="102"/>
        <v>0</v>
      </c>
      <c r="BG82" s="25" t="e">
        <f t="shared" si="103"/>
        <v>#N/A</v>
      </c>
      <c r="BH82" s="25" t="e">
        <f t="shared" si="104"/>
        <v>#N/A</v>
      </c>
      <c r="BI82" s="25" t="e">
        <f t="shared" si="105"/>
        <v>#N/A</v>
      </c>
      <c r="BJ82" s="27" t="e">
        <f t="shared" si="106"/>
        <v>#N/A</v>
      </c>
      <c r="BK82" s="18" t="e">
        <f t="shared" si="107"/>
        <v>#N/A</v>
      </c>
      <c r="BL82" s="18" t="e">
        <f t="shared" si="108"/>
        <v>#N/A</v>
      </c>
      <c r="BM82" s="28" t="e">
        <f t="shared" si="84"/>
        <v>#N/A</v>
      </c>
      <c r="BN82" s="33">
        <f>HLOOKUP("maximum population",Miscelaneous!$C$1:$C$33,CH82+3,FALSE)</f>
        <v>240</v>
      </c>
      <c r="BO82" s="14">
        <f t="shared" si="119"/>
        <v>32</v>
      </c>
      <c r="BP82" s="14">
        <f t="shared" si="120"/>
        <v>0</v>
      </c>
      <c r="BQ82" s="14">
        <f t="shared" si="121"/>
        <v>208</v>
      </c>
      <c r="BR82" s="34" t="e">
        <f>HLOOKUP(J82,Villagers!$B$1:$V$33,L82+3,FALSE)-HLOOKUP(J82,Villagers!$B$1:$V$33,L82+2,FALSE)</f>
        <v>#N/A</v>
      </c>
      <c r="BS82" s="49">
        <f t="shared" si="122"/>
        <v>1</v>
      </c>
      <c r="BT82" s="50">
        <f t="shared" si="123"/>
        <v>0</v>
      </c>
      <c r="BU82" s="50">
        <f t="shared" si="124"/>
        <v>0</v>
      </c>
      <c r="BV82" s="50">
        <f t="shared" si="125"/>
        <v>0</v>
      </c>
      <c r="BW82" s="50">
        <f t="shared" si="126"/>
        <v>0</v>
      </c>
      <c r="BX82" s="50">
        <f t="shared" si="127"/>
        <v>0</v>
      </c>
      <c r="BY82" s="50">
        <f t="shared" si="127"/>
        <v>0</v>
      </c>
      <c r="BZ82" s="50">
        <f t="shared" si="128"/>
        <v>0</v>
      </c>
      <c r="CA82" s="50">
        <f t="shared" si="129"/>
        <v>0</v>
      </c>
      <c r="CB82" s="50">
        <f t="shared" si="130"/>
        <v>1</v>
      </c>
      <c r="CC82" s="50">
        <f t="shared" si="131"/>
        <v>0</v>
      </c>
      <c r="CD82" s="50">
        <f t="shared" si="132"/>
        <v>0</v>
      </c>
      <c r="CE82" s="50">
        <f t="shared" si="133"/>
        <v>1</v>
      </c>
      <c r="CF82" s="50">
        <f t="shared" si="134"/>
        <v>1</v>
      </c>
      <c r="CG82" s="50">
        <f t="shared" si="135"/>
        <v>1</v>
      </c>
      <c r="CH82" s="50">
        <f t="shared" si="136"/>
        <v>1</v>
      </c>
      <c r="CI82" s="50">
        <f t="shared" si="137"/>
        <v>1</v>
      </c>
      <c r="CJ82" s="50">
        <f t="shared" si="138"/>
        <v>1</v>
      </c>
      <c r="CK82" s="50">
        <f t="shared" si="138"/>
        <v>0</v>
      </c>
      <c r="CL82" s="50">
        <f t="shared" si="138"/>
        <v>0</v>
      </c>
      <c r="CM82" s="51">
        <f t="shared" si="139"/>
        <v>0</v>
      </c>
      <c r="CN82" s="33">
        <f>ROUND(IF(BS82=0,0,HLOOKUP(BS$14,Villagers!$B$1:$V$33,BS82+3,FALSE)),)</f>
        <v>5</v>
      </c>
      <c r="CO82" s="14">
        <f>ROUND(IF(BT82=0,0,HLOOKUP(BT$14,Villagers!$B$1:$V$33,BT82+3,FALSE)),)</f>
        <v>0</v>
      </c>
      <c r="CP82" s="14">
        <f>ROUND(IF(BU82=0,0,HLOOKUP(BU$14,Villagers!$B$1:$V$33,BU82+3,FALSE)),)</f>
        <v>0</v>
      </c>
      <c r="CQ82" s="14">
        <f>ROUND(IF(BV82=0,0,HLOOKUP(BV$14,Villagers!$B$1:$V$33,BV82+3,FALSE)),)</f>
        <v>0</v>
      </c>
      <c r="CR82" s="14">
        <f>ROUND(IF(BW82=0,0,HLOOKUP(BW$14,Villagers!$B$1:$V$33,BW82+3,FALSE)),)</f>
        <v>0</v>
      </c>
      <c r="CS82" s="14">
        <f>ROUND(IF(BX82=0,0,HLOOKUP(BX$14,Villagers!$B$1:$V$33,BX82+3,FALSE)),)</f>
        <v>0</v>
      </c>
      <c r="CT82" s="14">
        <f>ROUND(IF(BY82=0,0,HLOOKUP(BY$14,Villagers!$B$1:$V$33,BY82+3,FALSE)),)</f>
        <v>0</v>
      </c>
      <c r="CU82" s="14">
        <f>ROUND(IF(BZ82=0,0,HLOOKUP(BZ$14,Villagers!$B$1:$V$33,BZ82+3,FALSE)),)</f>
        <v>0</v>
      </c>
      <c r="CV82" s="14">
        <f>ROUND(IF(CA82=0,0,HLOOKUP(CA$14,Villagers!$B$1:$V$33,CA82+3,FALSE)),)</f>
        <v>0</v>
      </c>
      <c r="CW82" s="14">
        <f>ROUND(IF(CB82=0,0,HLOOKUP(CB$14,Villagers!$B$1:$V$33,CB82+3,FALSE)),)</f>
        <v>0</v>
      </c>
      <c r="CX82" s="14">
        <f>ROUND(IF(CC82=0,0,HLOOKUP(CC$14,Villagers!$B$1:$V$33,CC82+3,FALSE)),)</f>
        <v>0</v>
      </c>
      <c r="CY82" s="14">
        <f>ROUND(IF(CD82=0,0,HLOOKUP(CD$14,Villagers!$B$1:$V$33,CD82+3,FALSE)),)</f>
        <v>0</v>
      </c>
      <c r="CZ82" s="14">
        <f>ROUND(IF(CE82=0,0,HLOOKUP(CE$14,Villagers!$B$1:$V$33,CE82+3,FALSE)),)</f>
        <v>5</v>
      </c>
      <c r="DA82" s="14">
        <f>ROUND(IF(CF82=0,0,HLOOKUP(CF$14,Villagers!$B$1:$V$33,CF82+3,FALSE)),)</f>
        <v>10</v>
      </c>
      <c r="DB82" s="14">
        <f>ROUND(IF(CG82=0,0,HLOOKUP(CG$14,Villagers!$B$1:$V$33,CG82+3,FALSE)),)</f>
        <v>10</v>
      </c>
      <c r="DC82" s="14">
        <f>ROUND(IF(CH82=0,0,HLOOKUP(CH$14,Villagers!$B$1:$V$33,CH82+3,FALSE)),)</f>
        <v>0</v>
      </c>
      <c r="DD82" s="14">
        <f>ROUND(IF(CI82=0,0,HLOOKUP(CI$14,Villagers!$B$1:$V$33,CI82+3,FALSE)),)</f>
        <v>0</v>
      </c>
      <c r="DE82" s="14">
        <f>ROUND(IF(CJ82=0,0,HLOOKUP(CJ$14,Villagers!$B$1:$V$33,CJ82+3,FALSE)),)</f>
        <v>2</v>
      </c>
      <c r="DF82" s="370">
        <f>ROUND(IF(CK82=0,0,HLOOKUP(CK$14,Villagers!$B$1:$V$33,CK82+3,FALSE)),)</f>
        <v>0</v>
      </c>
      <c r="DG82" s="370">
        <f>ROUND(IF(CL82=0,0,HLOOKUP(CL$14,Villagers!$B$1:$V$33,CL82+3,FALSE)),)</f>
        <v>0</v>
      </c>
      <c r="DH82" s="34">
        <f>ROUND(IF(CM82=0,0,HLOOKUP(CM$14,Villagers!$B$1:$V$33,CM82+3,FALSE)),)</f>
        <v>0</v>
      </c>
      <c r="DI82" s="109">
        <f t="shared" si="155"/>
        <v>0</v>
      </c>
      <c r="DJ82" s="50">
        <f t="shared" si="156"/>
        <v>0</v>
      </c>
      <c r="DK82" s="50">
        <f t="shared" si="157"/>
        <v>0</v>
      </c>
      <c r="DL82" s="50">
        <f t="shared" si="158"/>
        <v>0</v>
      </c>
      <c r="DM82" s="50">
        <f t="shared" si="159"/>
        <v>0</v>
      </c>
      <c r="DN82" s="50">
        <f t="shared" si="160"/>
        <v>0</v>
      </c>
      <c r="DO82" s="50">
        <f t="shared" si="161"/>
        <v>0</v>
      </c>
      <c r="DP82" s="50">
        <f t="shared" si="162"/>
        <v>0</v>
      </c>
      <c r="DQ82" s="50">
        <f t="shared" si="140"/>
        <v>0</v>
      </c>
      <c r="DR82" s="50">
        <f t="shared" si="141"/>
        <v>0</v>
      </c>
      <c r="DS82" s="96">
        <f>Miscelaneous!$D$4*Miscelaneous!$D$2^($CI82-1)</f>
        <v>1000</v>
      </c>
      <c r="DT82" s="333">
        <f t="shared" si="109"/>
        <v>1</v>
      </c>
      <c r="DU82" s="81">
        <v>1</v>
      </c>
      <c r="DV82" s="79">
        <f t="shared" si="142"/>
        <v>0</v>
      </c>
      <c r="DW82" s="79">
        <f t="shared" si="143"/>
        <v>0</v>
      </c>
      <c r="DX82" s="79">
        <f t="shared" si="144"/>
        <v>0</v>
      </c>
      <c r="DY82" s="79">
        <v>1</v>
      </c>
      <c r="DZ82" s="79">
        <f t="shared" si="145"/>
        <v>0</v>
      </c>
      <c r="EA82" s="79">
        <f t="shared" si="146"/>
        <v>0</v>
      </c>
      <c r="EB82" s="79">
        <f t="shared" si="147"/>
        <v>0</v>
      </c>
      <c r="EC82" s="79">
        <f t="shared" si="148"/>
        <v>0</v>
      </c>
      <c r="ED82" s="79">
        <v>1</v>
      </c>
      <c r="EE82" s="79">
        <v>1</v>
      </c>
      <c r="EF82" s="79">
        <f t="shared" si="149"/>
        <v>0</v>
      </c>
      <c r="EG82" s="79">
        <v>1</v>
      </c>
      <c r="EH82" s="79">
        <v>1</v>
      </c>
      <c r="EI82" s="79">
        <v>1</v>
      </c>
      <c r="EJ82" s="79">
        <v>1</v>
      </c>
      <c r="EK82" s="79">
        <v>1</v>
      </c>
      <c r="EL82" s="79">
        <v>1</v>
      </c>
      <c r="EM82" s="143">
        <f t="shared" si="150"/>
        <v>0</v>
      </c>
      <c r="EN82" s="143">
        <f t="shared" si="151"/>
        <v>0</v>
      </c>
      <c r="EO82" s="82">
        <f t="shared" si="152"/>
        <v>0</v>
      </c>
    </row>
    <row r="83" spans="1:145" x14ac:dyDescent="0.25">
      <c r="A83">
        <v>69</v>
      </c>
      <c r="B83" s="172" t="e">
        <f t="shared" si="110"/>
        <v>#N/A</v>
      </c>
      <c r="C83" s="121" t="e">
        <f t="shared" si="89"/>
        <v>#N/A</v>
      </c>
      <c r="D83" s="122" t="e">
        <f t="shared" si="90"/>
        <v>#N/A</v>
      </c>
      <c r="E83" s="122" t="e">
        <f t="shared" si="91"/>
        <v>#N/A</v>
      </c>
      <c r="F83" s="176" t="e">
        <f t="shared" si="92"/>
        <v>#N/A</v>
      </c>
      <c r="G83" s="121">
        <f t="shared" si="111"/>
        <v>208</v>
      </c>
      <c r="H83" s="176" t="e">
        <f t="shared" si="112"/>
        <v>#N/A</v>
      </c>
      <c r="I83" s="48">
        <v>1</v>
      </c>
      <c r="J83" s="39"/>
      <c r="K83" s="350">
        <v>1</v>
      </c>
      <c r="L83" s="34" t="e">
        <f t="shared" si="93"/>
        <v>#N/A</v>
      </c>
      <c r="M83" s="38" t="e">
        <f>(HLOOKUP(J83,'Construction Times'!$B$3:$W$34,L83+2,FALSE)*HLOOKUP("hq modifier",'Construction Times'!$W$3:$W$34,BS83+2,FALSE))*(1-$H$9)</f>
        <v>#N/A</v>
      </c>
      <c r="N83" s="443" t="e">
        <f t="shared" si="113"/>
        <v>#N/A</v>
      </c>
      <c r="O83" s="444"/>
      <c r="P83" s="447" t="e">
        <f t="shared" si="114"/>
        <v>#N/A</v>
      </c>
      <c r="Q83" s="448"/>
      <c r="R83" s="103">
        <f t="shared" si="153"/>
        <v>0</v>
      </c>
      <c r="S83" s="104">
        <f t="shared" si="153"/>
        <v>0</v>
      </c>
      <c r="T83" s="104">
        <f t="shared" si="154"/>
        <v>0</v>
      </c>
      <c r="U83" s="104">
        <f t="shared" si="154"/>
        <v>0</v>
      </c>
      <c r="V83" s="104">
        <f t="shared" si="154"/>
        <v>9.9999999999999995E-8</v>
      </c>
      <c r="W83" s="104">
        <f t="shared" si="154"/>
        <v>0</v>
      </c>
      <c r="X83" s="104">
        <f t="shared" si="85"/>
        <v>0</v>
      </c>
      <c r="Y83" s="104">
        <f t="shared" si="85"/>
        <v>9.9999999999999995E-8</v>
      </c>
      <c r="Z83" s="104">
        <f t="shared" si="85"/>
        <v>9.9999999999999995E-8</v>
      </c>
      <c r="AA83" s="105">
        <f t="shared" si="85"/>
        <v>9.9999999999999995E-8</v>
      </c>
      <c r="AB83" s="101" t="e">
        <f>$DT83*HLOOKUP($J83,'Construction Costs (timber)'!$B$1:$V$32,'Construction Planner'!$L83+2,FALSE)</f>
        <v>#N/A</v>
      </c>
      <c r="AC83" s="14" t="e">
        <f>$DT83*HLOOKUP($J83,'Construction Costs (clay)'!$B$1:$V$32,'Construction Planner'!$L83+2,FALSE)</f>
        <v>#N/A</v>
      </c>
      <c r="AD83" s="14" t="e">
        <f>$DT83*HLOOKUP($J83,'Construction Costs (iron)'!$B$1:$V$32,'Construction Planner'!$L83+2,FALSE)</f>
        <v>#N/A</v>
      </c>
      <c r="AE83" s="34" t="e">
        <f t="shared" si="81"/>
        <v>#N/A</v>
      </c>
      <c r="AF83" s="33" t="e">
        <f t="shared" si="94"/>
        <v>#N/A</v>
      </c>
      <c r="AG83" s="14" t="e">
        <f t="shared" si="95"/>
        <v>#N/A</v>
      </c>
      <c r="AH83" s="14" t="e">
        <f t="shared" si="96"/>
        <v>#N/A</v>
      </c>
      <c r="AI83" s="34" t="e">
        <f t="shared" si="82"/>
        <v>#N/A</v>
      </c>
      <c r="AJ83" s="49" t="e">
        <f t="shared" si="115"/>
        <v>#N/A</v>
      </c>
      <c r="AK83" s="49" t="e">
        <f t="shared" si="116"/>
        <v>#N/A</v>
      </c>
      <c r="AL83" s="49" t="e">
        <f t="shared" si="117"/>
        <v>#N/A</v>
      </c>
      <c r="AM83" s="25">
        <f t="shared" si="97"/>
        <v>30</v>
      </c>
      <c r="AN83" s="25">
        <f t="shared" si="98"/>
        <v>30</v>
      </c>
      <c r="AO83" s="25">
        <f t="shared" si="99"/>
        <v>30</v>
      </c>
      <c r="AP83" s="52" t="e">
        <f t="shared" si="118"/>
        <v>#N/A</v>
      </c>
      <c r="AQ83" s="53" t="e">
        <f t="shared" si="118"/>
        <v>#N/A</v>
      </c>
      <c r="AR83" s="54" t="e">
        <f t="shared" si="118"/>
        <v>#N/A</v>
      </c>
      <c r="AS83" s="316">
        <f t="shared" si="83"/>
        <v>0</v>
      </c>
      <c r="AT83" s="106">
        <f>_xlfn.IFNA($M83/VLOOKUP($BT83,'Unit information'!$A$2:$K$29,2,FALSE)*R83,0)*(1+$E$9)</f>
        <v>0</v>
      </c>
      <c r="AU83" s="107">
        <f>_xlfn.IFNA($M83/VLOOKUP($BT83,'Unit information'!$A$2:$K$29,3,FALSE)*S83,0)*(1+$E$9)</f>
        <v>0</v>
      </c>
      <c r="AV83" s="107">
        <f>_xlfn.IFNA($M83/VLOOKUP($BT83,'Unit information'!$A$2:$K$29,4,FALSE)*T83,0)*(1+$E$9)</f>
        <v>0</v>
      </c>
      <c r="AW83" s="107">
        <f>_xlfn.IFNA($M83/VLOOKUP($BT83,'Unit information'!$A$2:$K$29,5,FALSE)*U83,0)*(1+$E$9)</f>
        <v>0</v>
      </c>
      <c r="AX83" s="107">
        <f>_xlfn.IFNA($M83/VLOOKUP($BU83,'Unit information'!$A$2:$K$29,6,FALSE)*V83,0)*(1+$E$9)</f>
        <v>0</v>
      </c>
      <c r="AY83" s="107">
        <f>_xlfn.IFNA($M83/VLOOKUP($BU83,'Unit information'!$A$2:$K$29,7,FALSE)*W83,0)*(1+$E$9)</f>
        <v>0</v>
      </c>
      <c r="AZ83" s="107">
        <f>_xlfn.IFNA($M83/VLOOKUP($BU83,'Unit information'!$A$2:$K$29,8,FALSE)*X83,0)*(1+$E$9)</f>
        <v>0</v>
      </c>
      <c r="BA83" s="107">
        <f>_xlfn.IFNA($M83/VLOOKUP($BU83,'Unit information'!$A$2:$K$29,9,FALSE)*Y83,0)*(1+$E$9)</f>
        <v>0</v>
      </c>
      <c r="BB83" s="107">
        <f>_xlfn.IFNA($M83/VLOOKUP($BV83,'Unit information'!$A$2:$K$29,10,FALSE)*Z83,0)*(1+$E$9)</f>
        <v>0</v>
      </c>
      <c r="BC83" s="108">
        <f>_xlfn.IFNA($M83/VLOOKUP($BV83,'Unit information'!$A$2:$K$29,11,FALSE)*AA83,0)*(1+$E$9)</f>
        <v>0</v>
      </c>
      <c r="BD83" s="106">
        <f t="shared" si="100"/>
        <v>0</v>
      </c>
      <c r="BE83" s="107">
        <f t="shared" si="101"/>
        <v>0</v>
      </c>
      <c r="BF83" s="108">
        <f t="shared" si="102"/>
        <v>0</v>
      </c>
      <c r="BG83" s="25" t="e">
        <f t="shared" si="103"/>
        <v>#N/A</v>
      </c>
      <c r="BH83" s="25" t="e">
        <f t="shared" si="104"/>
        <v>#N/A</v>
      </c>
      <c r="BI83" s="25" t="e">
        <f t="shared" si="105"/>
        <v>#N/A</v>
      </c>
      <c r="BJ83" s="27" t="e">
        <f t="shared" si="106"/>
        <v>#N/A</v>
      </c>
      <c r="BK83" s="18" t="e">
        <f t="shared" si="107"/>
        <v>#N/A</v>
      </c>
      <c r="BL83" s="18" t="e">
        <f t="shared" si="108"/>
        <v>#N/A</v>
      </c>
      <c r="BM83" s="28" t="e">
        <f t="shared" si="84"/>
        <v>#N/A</v>
      </c>
      <c r="BN83" s="33">
        <f>HLOOKUP("maximum population",Miscelaneous!$C$1:$C$33,CH83+3,FALSE)</f>
        <v>240</v>
      </c>
      <c r="BO83" s="14">
        <f t="shared" si="119"/>
        <v>32</v>
      </c>
      <c r="BP83" s="14">
        <f t="shared" si="120"/>
        <v>0</v>
      </c>
      <c r="BQ83" s="14">
        <f t="shared" si="121"/>
        <v>208</v>
      </c>
      <c r="BR83" s="34" t="e">
        <f>HLOOKUP(J83,Villagers!$B$1:$V$33,L83+3,FALSE)-HLOOKUP(J83,Villagers!$B$1:$V$33,L83+2,FALSE)</f>
        <v>#N/A</v>
      </c>
      <c r="BS83" s="49">
        <f t="shared" si="122"/>
        <v>1</v>
      </c>
      <c r="BT83" s="50">
        <f t="shared" si="123"/>
        <v>0</v>
      </c>
      <c r="BU83" s="50">
        <f t="shared" si="124"/>
        <v>0</v>
      </c>
      <c r="BV83" s="50">
        <f t="shared" si="125"/>
        <v>0</v>
      </c>
      <c r="BW83" s="50">
        <f t="shared" si="126"/>
        <v>0</v>
      </c>
      <c r="BX83" s="50">
        <f t="shared" si="127"/>
        <v>0</v>
      </c>
      <c r="BY83" s="50">
        <f t="shared" si="127"/>
        <v>0</v>
      </c>
      <c r="BZ83" s="50">
        <f t="shared" si="128"/>
        <v>0</v>
      </c>
      <c r="CA83" s="50">
        <f t="shared" si="129"/>
        <v>0</v>
      </c>
      <c r="CB83" s="50">
        <f t="shared" si="130"/>
        <v>1</v>
      </c>
      <c r="CC83" s="50">
        <f t="shared" si="131"/>
        <v>0</v>
      </c>
      <c r="CD83" s="50">
        <f t="shared" si="132"/>
        <v>0</v>
      </c>
      <c r="CE83" s="50">
        <f t="shared" si="133"/>
        <v>1</v>
      </c>
      <c r="CF83" s="50">
        <f t="shared" si="134"/>
        <v>1</v>
      </c>
      <c r="CG83" s="50">
        <f t="shared" si="135"/>
        <v>1</v>
      </c>
      <c r="CH83" s="50">
        <f t="shared" si="136"/>
        <v>1</v>
      </c>
      <c r="CI83" s="50">
        <f t="shared" si="137"/>
        <v>1</v>
      </c>
      <c r="CJ83" s="50">
        <f t="shared" si="138"/>
        <v>1</v>
      </c>
      <c r="CK83" s="50">
        <f t="shared" si="138"/>
        <v>0</v>
      </c>
      <c r="CL83" s="50">
        <f t="shared" si="138"/>
        <v>0</v>
      </c>
      <c r="CM83" s="51">
        <f t="shared" si="139"/>
        <v>0</v>
      </c>
      <c r="CN83" s="33">
        <f>ROUND(IF(BS83=0,0,HLOOKUP(BS$14,Villagers!$B$1:$V$33,BS83+3,FALSE)),)</f>
        <v>5</v>
      </c>
      <c r="CO83" s="14">
        <f>ROUND(IF(BT83=0,0,HLOOKUP(BT$14,Villagers!$B$1:$V$33,BT83+3,FALSE)),)</f>
        <v>0</v>
      </c>
      <c r="CP83" s="14">
        <f>ROUND(IF(BU83=0,0,HLOOKUP(BU$14,Villagers!$B$1:$V$33,BU83+3,FALSE)),)</f>
        <v>0</v>
      </c>
      <c r="CQ83" s="14">
        <f>ROUND(IF(BV83=0,0,HLOOKUP(BV$14,Villagers!$B$1:$V$33,BV83+3,FALSE)),)</f>
        <v>0</v>
      </c>
      <c r="CR83" s="14">
        <f>ROUND(IF(BW83=0,0,HLOOKUP(BW$14,Villagers!$B$1:$V$33,BW83+3,FALSE)),)</f>
        <v>0</v>
      </c>
      <c r="CS83" s="14">
        <f>ROUND(IF(BX83=0,0,HLOOKUP(BX$14,Villagers!$B$1:$V$33,BX83+3,FALSE)),)</f>
        <v>0</v>
      </c>
      <c r="CT83" s="14">
        <f>ROUND(IF(BY83=0,0,HLOOKUP(BY$14,Villagers!$B$1:$V$33,BY83+3,FALSE)),)</f>
        <v>0</v>
      </c>
      <c r="CU83" s="14">
        <f>ROUND(IF(BZ83=0,0,HLOOKUP(BZ$14,Villagers!$B$1:$V$33,BZ83+3,FALSE)),)</f>
        <v>0</v>
      </c>
      <c r="CV83" s="14">
        <f>ROUND(IF(CA83=0,0,HLOOKUP(CA$14,Villagers!$B$1:$V$33,CA83+3,FALSE)),)</f>
        <v>0</v>
      </c>
      <c r="CW83" s="14">
        <f>ROUND(IF(CB83=0,0,HLOOKUP(CB$14,Villagers!$B$1:$V$33,CB83+3,FALSE)),)</f>
        <v>0</v>
      </c>
      <c r="CX83" s="14">
        <f>ROUND(IF(CC83=0,0,HLOOKUP(CC$14,Villagers!$B$1:$V$33,CC83+3,FALSE)),)</f>
        <v>0</v>
      </c>
      <c r="CY83" s="14">
        <f>ROUND(IF(CD83=0,0,HLOOKUP(CD$14,Villagers!$B$1:$V$33,CD83+3,FALSE)),)</f>
        <v>0</v>
      </c>
      <c r="CZ83" s="14">
        <f>ROUND(IF(CE83=0,0,HLOOKUP(CE$14,Villagers!$B$1:$V$33,CE83+3,FALSE)),)</f>
        <v>5</v>
      </c>
      <c r="DA83" s="14">
        <f>ROUND(IF(CF83=0,0,HLOOKUP(CF$14,Villagers!$B$1:$V$33,CF83+3,FALSE)),)</f>
        <v>10</v>
      </c>
      <c r="DB83" s="14">
        <f>ROUND(IF(CG83=0,0,HLOOKUP(CG$14,Villagers!$B$1:$V$33,CG83+3,FALSE)),)</f>
        <v>10</v>
      </c>
      <c r="DC83" s="14">
        <f>ROUND(IF(CH83=0,0,HLOOKUP(CH$14,Villagers!$B$1:$V$33,CH83+3,FALSE)),)</f>
        <v>0</v>
      </c>
      <c r="DD83" s="14">
        <f>ROUND(IF(CI83=0,0,HLOOKUP(CI$14,Villagers!$B$1:$V$33,CI83+3,FALSE)),)</f>
        <v>0</v>
      </c>
      <c r="DE83" s="14">
        <f>ROUND(IF(CJ83=0,0,HLOOKUP(CJ$14,Villagers!$B$1:$V$33,CJ83+3,FALSE)),)</f>
        <v>2</v>
      </c>
      <c r="DF83" s="370">
        <f>ROUND(IF(CK83=0,0,HLOOKUP(CK$14,Villagers!$B$1:$V$33,CK83+3,FALSE)),)</f>
        <v>0</v>
      </c>
      <c r="DG83" s="370">
        <f>ROUND(IF(CL83=0,0,HLOOKUP(CL$14,Villagers!$B$1:$V$33,CL83+3,FALSE)),)</f>
        <v>0</v>
      </c>
      <c r="DH83" s="34">
        <f>ROUND(IF(CM83=0,0,HLOOKUP(CM$14,Villagers!$B$1:$V$33,CM83+3,FALSE)),)</f>
        <v>0</v>
      </c>
      <c r="DI83" s="109">
        <f t="shared" si="155"/>
        <v>0</v>
      </c>
      <c r="DJ83" s="50">
        <f t="shared" si="156"/>
        <v>0</v>
      </c>
      <c r="DK83" s="50">
        <f t="shared" si="157"/>
        <v>0</v>
      </c>
      <c r="DL83" s="50">
        <f t="shared" si="158"/>
        <v>0</v>
      </c>
      <c r="DM83" s="50">
        <f t="shared" si="159"/>
        <v>0</v>
      </c>
      <c r="DN83" s="50">
        <f t="shared" si="160"/>
        <v>0</v>
      </c>
      <c r="DO83" s="50">
        <f t="shared" si="161"/>
        <v>0</v>
      </c>
      <c r="DP83" s="50">
        <f t="shared" si="162"/>
        <v>0</v>
      </c>
      <c r="DQ83" s="50">
        <f t="shared" si="140"/>
        <v>0</v>
      </c>
      <c r="DR83" s="50">
        <f t="shared" si="141"/>
        <v>0</v>
      </c>
      <c r="DS83" s="96">
        <f>Miscelaneous!$D$4*Miscelaneous!$D$2^($CI83-1)</f>
        <v>1000</v>
      </c>
      <c r="DT83" s="333">
        <f t="shared" si="109"/>
        <v>1</v>
      </c>
      <c r="DU83" s="81">
        <v>1</v>
      </c>
      <c r="DV83" s="79">
        <f t="shared" si="142"/>
        <v>0</v>
      </c>
      <c r="DW83" s="79">
        <f t="shared" si="143"/>
        <v>0</v>
      </c>
      <c r="DX83" s="79">
        <f t="shared" si="144"/>
        <v>0</v>
      </c>
      <c r="DY83" s="79">
        <v>1</v>
      </c>
      <c r="DZ83" s="79">
        <f t="shared" si="145"/>
        <v>0</v>
      </c>
      <c r="EA83" s="79">
        <f t="shared" si="146"/>
        <v>0</v>
      </c>
      <c r="EB83" s="79">
        <f t="shared" si="147"/>
        <v>0</v>
      </c>
      <c r="EC83" s="79">
        <f t="shared" si="148"/>
        <v>0</v>
      </c>
      <c r="ED83" s="79">
        <v>1</v>
      </c>
      <c r="EE83" s="79">
        <v>1</v>
      </c>
      <c r="EF83" s="79">
        <f t="shared" si="149"/>
        <v>0</v>
      </c>
      <c r="EG83" s="79">
        <v>1</v>
      </c>
      <c r="EH83" s="79">
        <v>1</v>
      </c>
      <c r="EI83" s="79">
        <v>1</v>
      </c>
      <c r="EJ83" s="79">
        <v>1</v>
      </c>
      <c r="EK83" s="79">
        <v>1</v>
      </c>
      <c r="EL83" s="79">
        <v>1</v>
      </c>
      <c r="EM83" s="143">
        <f t="shared" si="150"/>
        <v>0</v>
      </c>
      <c r="EN83" s="143">
        <f t="shared" si="151"/>
        <v>0</v>
      </c>
      <c r="EO83" s="82">
        <f t="shared" si="152"/>
        <v>0</v>
      </c>
    </row>
    <row r="84" spans="1:145" x14ac:dyDescent="0.25">
      <c r="A84">
        <v>70</v>
      </c>
      <c r="B84" s="172" t="e">
        <f t="shared" si="110"/>
        <v>#N/A</v>
      </c>
      <c r="C84" s="121" t="e">
        <f t="shared" si="89"/>
        <v>#N/A</v>
      </c>
      <c r="D84" s="122" t="e">
        <f t="shared" si="90"/>
        <v>#N/A</v>
      </c>
      <c r="E84" s="122" t="e">
        <f t="shared" si="91"/>
        <v>#N/A</v>
      </c>
      <c r="F84" s="176" t="e">
        <f t="shared" si="92"/>
        <v>#N/A</v>
      </c>
      <c r="G84" s="121">
        <f t="shared" si="111"/>
        <v>208</v>
      </c>
      <c r="H84" s="176" t="e">
        <f t="shared" si="112"/>
        <v>#N/A</v>
      </c>
      <c r="I84" s="48">
        <v>1</v>
      </c>
      <c r="J84" s="39"/>
      <c r="K84" s="350">
        <v>1</v>
      </c>
      <c r="L84" s="34" t="e">
        <f t="shared" si="93"/>
        <v>#N/A</v>
      </c>
      <c r="M84" s="38" t="e">
        <f>(HLOOKUP(J84,'Construction Times'!$B$3:$W$34,L84+2,FALSE)*HLOOKUP("hq modifier",'Construction Times'!$W$3:$W$34,BS84+2,FALSE))*(1-$H$9)</f>
        <v>#N/A</v>
      </c>
      <c r="N84" s="443" t="e">
        <f t="shared" si="113"/>
        <v>#N/A</v>
      </c>
      <c r="O84" s="444"/>
      <c r="P84" s="447" t="e">
        <f t="shared" si="114"/>
        <v>#N/A</v>
      </c>
      <c r="Q84" s="448"/>
      <c r="R84" s="103">
        <f t="shared" si="153"/>
        <v>0</v>
      </c>
      <c r="S84" s="104">
        <f t="shared" si="153"/>
        <v>0</v>
      </c>
      <c r="T84" s="104">
        <f t="shared" si="154"/>
        <v>0</v>
      </c>
      <c r="U84" s="104">
        <f t="shared" si="154"/>
        <v>0</v>
      </c>
      <c r="V84" s="104">
        <f t="shared" si="154"/>
        <v>9.9999999999999995E-8</v>
      </c>
      <c r="W84" s="104">
        <f t="shared" si="154"/>
        <v>0</v>
      </c>
      <c r="X84" s="104">
        <f t="shared" si="85"/>
        <v>0</v>
      </c>
      <c r="Y84" s="104">
        <f t="shared" si="85"/>
        <v>9.9999999999999995E-8</v>
      </c>
      <c r="Z84" s="104">
        <f t="shared" si="85"/>
        <v>9.9999999999999995E-8</v>
      </c>
      <c r="AA84" s="105">
        <f t="shared" si="85"/>
        <v>9.9999999999999995E-8</v>
      </c>
      <c r="AB84" s="101" t="e">
        <f>$DT84*HLOOKUP($J84,'Construction Costs (timber)'!$B$1:$V$32,'Construction Planner'!$L84+2,FALSE)</f>
        <v>#N/A</v>
      </c>
      <c r="AC84" s="14" t="e">
        <f>$DT84*HLOOKUP($J84,'Construction Costs (clay)'!$B$1:$V$32,'Construction Planner'!$L84+2,FALSE)</f>
        <v>#N/A</v>
      </c>
      <c r="AD84" s="14" t="e">
        <f>$DT84*HLOOKUP($J84,'Construction Costs (iron)'!$B$1:$V$32,'Construction Planner'!$L84+2,FALSE)</f>
        <v>#N/A</v>
      </c>
      <c r="AE84" s="34" t="e">
        <f t="shared" ref="AE84:AE147" si="163">SUM(AB84:AD84)</f>
        <v>#N/A</v>
      </c>
      <c r="AF84" s="33" t="e">
        <f t="shared" si="94"/>
        <v>#N/A</v>
      </c>
      <c r="AG84" s="14" t="e">
        <f t="shared" si="95"/>
        <v>#N/A</v>
      </c>
      <c r="AH84" s="14" t="e">
        <f t="shared" si="96"/>
        <v>#N/A</v>
      </c>
      <c r="AI84" s="34" t="e">
        <f t="shared" ref="AI84:AI147" si="164">SUM(AF84:AH84)</f>
        <v>#N/A</v>
      </c>
      <c r="AJ84" s="49" t="e">
        <f t="shared" si="115"/>
        <v>#N/A</v>
      </c>
      <c r="AK84" s="49" t="e">
        <f t="shared" si="116"/>
        <v>#N/A</v>
      </c>
      <c r="AL84" s="49" t="e">
        <f t="shared" si="117"/>
        <v>#N/A</v>
      </c>
      <c r="AM84" s="25">
        <f t="shared" si="97"/>
        <v>30</v>
      </c>
      <c r="AN84" s="25">
        <f t="shared" si="98"/>
        <v>30</v>
      </c>
      <c r="AO84" s="25">
        <f t="shared" si="99"/>
        <v>30</v>
      </c>
      <c r="AP84" s="52" t="e">
        <f t="shared" si="118"/>
        <v>#N/A</v>
      </c>
      <c r="AQ84" s="53" t="e">
        <f t="shared" si="118"/>
        <v>#N/A</v>
      </c>
      <c r="AR84" s="54" t="e">
        <f t="shared" si="118"/>
        <v>#N/A</v>
      </c>
      <c r="AS84" s="316">
        <f t="shared" ref="AS84:AS99" si="165">AS83</f>
        <v>0</v>
      </c>
      <c r="AT84" s="106">
        <f>_xlfn.IFNA($M84/VLOOKUP($BT84,'Unit information'!$A$2:$K$29,2,FALSE)*R84,0)*(1+$E$9)</f>
        <v>0</v>
      </c>
      <c r="AU84" s="107">
        <f>_xlfn.IFNA($M84/VLOOKUP($BT84,'Unit information'!$A$2:$K$29,3,FALSE)*S84,0)*(1+$E$9)</f>
        <v>0</v>
      </c>
      <c r="AV84" s="107">
        <f>_xlfn.IFNA($M84/VLOOKUP($BT84,'Unit information'!$A$2:$K$29,4,FALSE)*T84,0)*(1+$E$9)</f>
        <v>0</v>
      </c>
      <c r="AW84" s="107">
        <f>_xlfn.IFNA($M84/VLOOKUP($BT84,'Unit information'!$A$2:$K$29,5,FALSE)*U84,0)*(1+$E$9)</f>
        <v>0</v>
      </c>
      <c r="AX84" s="107">
        <f>_xlfn.IFNA($M84/VLOOKUP($BU84,'Unit information'!$A$2:$K$29,6,FALSE)*V84,0)*(1+$E$9)</f>
        <v>0</v>
      </c>
      <c r="AY84" s="107">
        <f>_xlfn.IFNA($M84/VLOOKUP($BU84,'Unit information'!$A$2:$K$29,7,FALSE)*W84,0)*(1+$E$9)</f>
        <v>0</v>
      </c>
      <c r="AZ84" s="107">
        <f>_xlfn.IFNA($M84/VLOOKUP($BU84,'Unit information'!$A$2:$K$29,8,FALSE)*X84,0)*(1+$E$9)</f>
        <v>0</v>
      </c>
      <c r="BA84" s="107">
        <f>_xlfn.IFNA($M84/VLOOKUP($BU84,'Unit information'!$A$2:$K$29,9,FALSE)*Y84,0)*(1+$E$9)</f>
        <v>0</v>
      </c>
      <c r="BB84" s="107">
        <f>_xlfn.IFNA($M84/VLOOKUP($BV84,'Unit information'!$A$2:$K$29,10,FALSE)*Z84,0)*(1+$E$9)</f>
        <v>0</v>
      </c>
      <c r="BC84" s="108">
        <f>_xlfn.IFNA($M84/VLOOKUP($BV84,'Unit information'!$A$2:$K$29,11,FALSE)*AA84,0)*(1+$E$9)</f>
        <v>0</v>
      </c>
      <c r="BD84" s="106">
        <f t="shared" si="100"/>
        <v>0</v>
      </c>
      <c r="BE84" s="107">
        <f t="shared" si="101"/>
        <v>0</v>
      </c>
      <c r="BF84" s="108">
        <f t="shared" si="102"/>
        <v>0</v>
      </c>
      <c r="BG84" s="25" t="e">
        <f t="shared" si="103"/>
        <v>#N/A</v>
      </c>
      <c r="BH84" s="25" t="e">
        <f t="shared" si="104"/>
        <v>#N/A</v>
      </c>
      <c r="BI84" s="25" t="e">
        <f t="shared" si="105"/>
        <v>#N/A</v>
      </c>
      <c r="BJ84" s="27" t="e">
        <f t="shared" si="106"/>
        <v>#N/A</v>
      </c>
      <c r="BK84" s="18" t="e">
        <f t="shared" si="107"/>
        <v>#N/A</v>
      </c>
      <c r="BL84" s="18" t="e">
        <f t="shared" si="108"/>
        <v>#N/A</v>
      </c>
      <c r="BM84" s="28" t="e">
        <f t="shared" ref="BM84:BM147" si="166">MAX(BJ84:BL84)</f>
        <v>#N/A</v>
      </c>
      <c r="BN84" s="33">
        <f>HLOOKUP("maximum population",Miscelaneous!$C$1:$C$33,CH84+3,FALSE)</f>
        <v>240</v>
      </c>
      <c r="BO84" s="14">
        <f t="shared" si="119"/>
        <v>32</v>
      </c>
      <c r="BP84" s="14">
        <f t="shared" si="120"/>
        <v>0</v>
      </c>
      <c r="BQ84" s="14">
        <f t="shared" si="121"/>
        <v>208</v>
      </c>
      <c r="BR84" s="34" t="e">
        <f>HLOOKUP(J84,Villagers!$B$1:$V$33,L84+3,FALSE)-HLOOKUP(J84,Villagers!$B$1:$V$33,L84+2,FALSE)</f>
        <v>#N/A</v>
      </c>
      <c r="BS84" s="49">
        <f t="shared" si="122"/>
        <v>1</v>
      </c>
      <c r="BT84" s="50">
        <f t="shared" si="123"/>
        <v>0</v>
      </c>
      <c r="BU84" s="50">
        <f t="shared" si="124"/>
        <v>0</v>
      </c>
      <c r="BV84" s="50">
        <f t="shared" si="125"/>
        <v>0</v>
      </c>
      <c r="BW84" s="50">
        <f t="shared" si="126"/>
        <v>0</v>
      </c>
      <c r="BX84" s="50">
        <f t="shared" si="127"/>
        <v>0</v>
      </c>
      <c r="BY84" s="50">
        <f t="shared" si="127"/>
        <v>0</v>
      </c>
      <c r="BZ84" s="50">
        <f t="shared" si="128"/>
        <v>0</v>
      </c>
      <c r="CA84" s="50">
        <f t="shared" si="129"/>
        <v>0</v>
      </c>
      <c r="CB84" s="50">
        <f t="shared" si="130"/>
        <v>1</v>
      </c>
      <c r="CC84" s="50">
        <f t="shared" si="131"/>
        <v>0</v>
      </c>
      <c r="CD84" s="50">
        <f t="shared" si="132"/>
        <v>0</v>
      </c>
      <c r="CE84" s="50">
        <f t="shared" si="133"/>
        <v>1</v>
      </c>
      <c r="CF84" s="50">
        <f t="shared" si="134"/>
        <v>1</v>
      </c>
      <c r="CG84" s="50">
        <f t="shared" si="135"/>
        <v>1</v>
      </c>
      <c r="CH84" s="50">
        <f t="shared" si="136"/>
        <v>1</v>
      </c>
      <c r="CI84" s="50">
        <f t="shared" si="137"/>
        <v>1</v>
      </c>
      <c r="CJ84" s="50">
        <f t="shared" si="138"/>
        <v>1</v>
      </c>
      <c r="CK84" s="50">
        <f t="shared" si="138"/>
        <v>0</v>
      </c>
      <c r="CL84" s="50">
        <f t="shared" si="138"/>
        <v>0</v>
      </c>
      <c r="CM84" s="51">
        <f t="shared" si="139"/>
        <v>0</v>
      </c>
      <c r="CN84" s="33">
        <f>ROUND(IF(BS84=0,0,HLOOKUP(BS$14,Villagers!$B$1:$V$33,BS84+3,FALSE)),)</f>
        <v>5</v>
      </c>
      <c r="CO84" s="14">
        <f>ROUND(IF(BT84=0,0,HLOOKUP(BT$14,Villagers!$B$1:$V$33,BT84+3,FALSE)),)</f>
        <v>0</v>
      </c>
      <c r="CP84" s="14">
        <f>ROUND(IF(BU84=0,0,HLOOKUP(BU$14,Villagers!$B$1:$V$33,BU84+3,FALSE)),)</f>
        <v>0</v>
      </c>
      <c r="CQ84" s="14">
        <f>ROUND(IF(BV84=0,0,HLOOKUP(BV$14,Villagers!$B$1:$V$33,BV84+3,FALSE)),)</f>
        <v>0</v>
      </c>
      <c r="CR84" s="14">
        <f>ROUND(IF(BW84=0,0,HLOOKUP(BW$14,Villagers!$B$1:$V$33,BW84+3,FALSE)),)</f>
        <v>0</v>
      </c>
      <c r="CS84" s="14">
        <f>ROUND(IF(BX84=0,0,HLOOKUP(BX$14,Villagers!$B$1:$V$33,BX84+3,FALSE)),)</f>
        <v>0</v>
      </c>
      <c r="CT84" s="14">
        <f>ROUND(IF(BY84=0,0,HLOOKUP(BY$14,Villagers!$B$1:$V$33,BY84+3,FALSE)),)</f>
        <v>0</v>
      </c>
      <c r="CU84" s="14">
        <f>ROUND(IF(BZ84=0,0,HLOOKUP(BZ$14,Villagers!$B$1:$V$33,BZ84+3,FALSE)),)</f>
        <v>0</v>
      </c>
      <c r="CV84" s="14">
        <f>ROUND(IF(CA84=0,0,HLOOKUP(CA$14,Villagers!$B$1:$V$33,CA84+3,FALSE)),)</f>
        <v>0</v>
      </c>
      <c r="CW84" s="14">
        <f>ROUND(IF(CB84=0,0,HLOOKUP(CB$14,Villagers!$B$1:$V$33,CB84+3,FALSE)),)</f>
        <v>0</v>
      </c>
      <c r="CX84" s="14">
        <f>ROUND(IF(CC84=0,0,HLOOKUP(CC$14,Villagers!$B$1:$V$33,CC84+3,FALSE)),)</f>
        <v>0</v>
      </c>
      <c r="CY84" s="14">
        <f>ROUND(IF(CD84=0,0,HLOOKUP(CD$14,Villagers!$B$1:$V$33,CD84+3,FALSE)),)</f>
        <v>0</v>
      </c>
      <c r="CZ84" s="14">
        <f>ROUND(IF(CE84=0,0,HLOOKUP(CE$14,Villagers!$B$1:$V$33,CE84+3,FALSE)),)</f>
        <v>5</v>
      </c>
      <c r="DA84" s="14">
        <f>ROUND(IF(CF84=0,0,HLOOKUP(CF$14,Villagers!$B$1:$V$33,CF84+3,FALSE)),)</f>
        <v>10</v>
      </c>
      <c r="DB84" s="14">
        <f>ROUND(IF(CG84=0,0,HLOOKUP(CG$14,Villagers!$B$1:$V$33,CG84+3,FALSE)),)</f>
        <v>10</v>
      </c>
      <c r="DC84" s="14">
        <f>ROUND(IF(CH84=0,0,HLOOKUP(CH$14,Villagers!$B$1:$V$33,CH84+3,FALSE)),)</f>
        <v>0</v>
      </c>
      <c r="DD84" s="14">
        <f>ROUND(IF(CI84=0,0,HLOOKUP(CI$14,Villagers!$B$1:$V$33,CI84+3,FALSE)),)</f>
        <v>0</v>
      </c>
      <c r="DE84" s="14">
        <f>ROUND(IF(CJ84=0,0,HLOOKUP(CJ$14,Villagers!$B$1:$V$33,CJ84+3,FALSE)),)</f>
        <v>2</v>
      </c>
      <c r="DF84" s="370">
        <f>ROUND(IF(CK84=0,0,HLOOKUP(CK$14,Villagers!$B$1:$V$33,CK84+3,FALSE)),)</f>
        <v>0</v>
      </c>
      <c r="DG84" s="370">
        <f>ROUND(IF(CL84=0,0,HLOOKUP(CL$14,Villagers!$B$1:$V$33,CL84+3,FALSE)),)</f>
        <v>0</v>
      </c>
      <c r="DH84" s="34">
        <f>ROUND(IF(CM84=0,0,HLOOKUP(CM$14,Villagers!$B$1:$V$33,CM84+3,FALSE)),)</f>
        <v>0</v>
      </c>
      <c r="DI84" s="109">
        <f t="shared" si="155"/>
        <v>0</v>
      </c>
      <c r="DJ84" s="50">
        <f t="shared" si="156"/>
        <v>0</v>
      </c>
      <c r="DK84" s="50">
        <f t="shared" si="157"/>
        <v>0</v>
      </c>
      <c r="DL84" s="50">
        <f t="shared" si="158"/>
        <v>0</v>
      </c>
      <c r="DM84" s="50">
        <f t="shared" si="159"/>
        <v>0</v>
      </c>
      <c r="DN84" s="50">
        <f t="shared" si="160"/>
        <v>0</v>
      </c>
      <c r="DO84" s="50">
        <f t="shared" si="161"/>
        <v>0</v>
      </c>
      <c r="DP84" s="50">
        <f t="shared" si="162"/>
        <v>0</v>
      </c>
      <c r="DQ84" s="50">
        <f t="shared" si="140"/>
        <v>0</v>
      </c>
      <c r="DR84" s="50">
        <f t="shared" si="141"/>
        <v>0</v>
      </c>
      <c r="DS84" s="96">
        <f>Miscelaneous!$D$4*Miscelaneous!$D$2^($CI84-1)</f>
        <v>1000</v>
      </c>
      <c r="DT84" s="333">
        <f t="shared" si="109"/>
        <v>1</v>
      </c>
      <c r="DU84" s="81">
        <v>1</v>
      </c>
      <c r="DV84" s="79">
        <f t="shared" si="142"/>
        <v>0</v>
      </c>
      <c r="DW84" s="79">
        <f t="shared" si="143"/>
        <v>0</v>
      </c>
      <c r="DX84" s="79">
        <f t="shared" si="144"/>
        <v>0</v>
      </c>
      <c r="DY84" s="79">
        <v>1</v>
      </c>
      <c r="DZ84" s="79">
        <f t="shared" si="145"/>
        <v>0</v>
      </c>
      <c r="EA84" s="79">
        <f t="shared" si="146"/>
        <v>0</v>
      </c>
      <c r="EB84" s="79">
        <f t="shared" si="147"/>
        <v>0</v>
      </c>
      <c r="EC84" s="79">
        <f t="shared" si="148"/>
        <v>0</v>
      </c>
      <c r="ED84" s="79">
        <v>1</v>
      </c>
      <c r="EE84" s="79">
        <v>1</v>
      </c>
      <c r="EF84" s="79">
        <f t="shared" si="149"/>
        <v>0</v>
      </c>
      <c r="EG84" s="79">
        <v>1</v>
      </c>
      <c r="EH84" s="79">
        <v>1</v>
      </c>
      <c r="EI84" s="79">
        <v>1</v>
      </c>
      <c r="EJ84" s="79">
        <v>1</v>
      </c>
      <c r="EK84" s="79">
        <v>1</v>
      </c>
      <c r="EL84" s="79">
        <v>1</v>
      </c>
      <c r="EM84" s="143">
        <f t="shared" si="150"/>
        <v>0</v>
      </c>
      <c r="EN84" s="143">
        <f t="shared" si="151"/>
        <v>0</v>
      </c>
      <c r="EO84" s="82">
        <f t="shared" si="152"/>
        <v>0</v>
      </c>
    </row>
    <row r="85" spans="1:145" x14ac:dyDescent="0.25">
      <c r="A85">
        <v>71</v>
      </c>
      <c r="B85" s="172" t="e">
        <f t="shared" si="110"/>
        <v>#N/A</v>
      </c>
      <c r="C85" s="121" t="e">
        <f t="shared" si="89"/>
        <v>#N/A</v>
      </c>
      <c r="D85" s="122" t="e">
        <f t="shared" si="90"/>
        <v>#N/A</v>
      </c>
      <c r="E85" s="122" t="e">
        <f t="shared" si="91"/>
        <v>#N/A</v>
      </c>
      <c r="F85" s="176" t="e">
        <f t="shared" si="92"/>
        <v>#N/A</v>
      </c>
      <c r="G85" s="121">
        <f t="shared" si="111"/>
        <v>208</v>
      </c>
      <c r="H85" s="176" t="e">
        <f t="shared" si="112"/>
        <v>#N/A</v>
      </c>
      <c r="I85" s="48">
        <v>1</v>
      </c>
      <c r="J85" s="39"/>
      <c r="K85" s="350">
        <v>1</v>
      </c>
      <c r="L85" s="34" t="e">
        <f t="shared" si="93"/>
        <v>#N/A</v>
      </c>
      <c r="M85" s="38" t="e">
        <f>(HLOOKUP(J85,'Construction Times'!$B$3:$W$34,L85+2,FALSE)*HLOOKUP("hq modifier",'Construction Times'!$W$3:$W$34,BS85+2,FALSE))*(1-$H$9)</f>
        <v>#N/A</v>
      </c>
      <c r="N85" s="443" t="e">
        <f t="shared" si="113"/>
        <v>#N/A</v>
      </c>
      <c r="O85" s="444"/>
      <c r="P85" s="447" t="e">
        <f t="shared" si="114"/>
        <v>#N/A</v>
      </c>
      <c r="Q85" s="448"/>
      <c r="R85" s="103">
        <f t="shared" si="153"/>
        <v>0</v>
      </c>
      <c r="S85" s="104">
        <f t="shared" si="153"/>
        <v>0</v>
      </c>
      <c r="T85" s="104">
        <f t="shared" si="154"/>
        <v>0</v>
      </c>
      <c r="U85" s="104">
        <f t="shared" si="154"/>
        <v>0</v>
      </c>
      <c r="V85" s="104">
        <f t="shared" si="154"/>
        <v>9.9999999999999995E-8</v>
      </c>
      <c r="W85" s="104">
        <f t="shared" si="154"/>
        <v>0</v>
      </c>
      <c r="X85" s="104">
        <f t="shared" si="85"/>
        <v>0</v>
      </c>
      <c r="Y85" s="104">
        <f t="shared" si="85"/>
        <v>9.9999999999999995E-8</v>
      </c>
      <c r="Z85" s="104">
        <f t="shared" si="85"/>
        <v>9.9999999999999995E-8</v>
      </c>
      <c r="AA85" s="105">
        <f t="shared" si="85"/>
        <v>9.9999999999999995E-8</v>
      </c>
      <c r="AB85" s="101" t="e">
        <f>$DT85*HLOOKUP($J85,'Construction Costs (timber)'!$B$1:$V$32,'Construction Planner'!$L85+2,FALSE)</f>
        <v>#N/A</v>
      </c>
      <c r="AC85" s="14" t="e">
        <f>$DT85*HLOOKUP($J85,'Construction Costs (clay)'!$B$1:$V$32,'Construction Planner'!$L85+2,FALSE)</f>
        <v>#N/A</v>
      </c>
      <c r="AD85" s="14" t="e">
        <f>$DT85*HLOOKUP($J85,'Construction Costs (iron)'!$B$1:$V$32,'Construction Planner'!$L85+2,FALSE)</f>
        <v>#N/A</v>
      </c>
      <c r="AE85" s="34" t="e">
        <f t="shared" si="163"/>
        <v>#N/A</v>
      </c>
      <c r="AF85" s="33" t="e">
        <f t="shared" si="94"/>
        <v>#N/A</v>
      </c>
      <c r="AG85" s="14" t="e">
        <f t="shared" si="95"/>
        <v>#N/A</v>
      </c>
      <c r="AH85" s="14" t="e">
        <f t="shared" si="96"/>
        <v>#N/A</v>
      </c>
      <c r="AI85" s="34" t="e">
        <f t="shared" si="164"/>
        <v>#N/A</v>
      </c>
      <c r="AJ85" s="49" t="e">
        <f t="shared" si="115"/>
        <v>#N/A</v>
      </c>
      <c r="AK85" s="49" t="e">
        <f t="shared" si="116"/>
        <v>#N/A</v>
      </c>
      <c r="AL85" s="49" t="e">
        <f t="shared" si="117"/>
        <v>#N/A</v>
      </c>
      <c r="AM85" s="25">
        <f t="shared" si="97"/>
        <v>30</v>
      </c>
      <c r="AN85" s="25">
        <f t="shared" si="98"/>
        <v>30</v>
      </c>
      <c r="AO85" s="25">
        <f t="shared" si="99"/>
        <v>30</v>
      </c>
      <c r="AP85" s="52" t="e">
        <f t="shared" si="118"/>
        <v>#N/A</v>
      </c>
      <c r="AQ85" s="53" t="e">
        <f t="shared" si="118"/>
        <v>#N/A</v>
      </c>
      <c r="AR85" s="54" t="e">
        <f t="shared" si="118"/>
        <v>#N/A</v>
      </c>
      <c r="AS85" s="316">
        <f t="shared" si="165"/>
        <v>0</v>
      </c>
      <c r="AT85" s="106">
        <f>_xlfn.IFNA($M85/VLOOKUP($BT85,'Unit information'!$A$2:$K$29,2,FALSE)*R85,0)*(1+$E$9)</f>
        <v>0</v>
      </c>
      <c r="AU85" s="107">
        <f>_xlfn.IFNA($M85/VLOOKUP($BT85,'Unit information'!$A$2:$K$29,3,FALSE)*S85,0)*(1+$E$9)</f>
        <v>0</v>
      </c>
      <c r="AV85" s="107">
        <f>_xlfn.IFNA($M85/VLOOKUP($BT85,'Unit information'!$A$2:$K$29,4,FALSE)*T85,0)*(1+$E$9)</f>
        <v>0</v>
      </c>
      <c r="AW85" s="107">
        <f>_xlfn.IFNA($M85/VLOOKUP($BT85,'Unit information'!$A$2:$K$29,5,FALSE)*U85,0)*(1+$E$9)</f>
        <v>0</v>
      </c>
      <c r="AX85" s="107">
        <f>_xlfn.IFNA($M85/VLOOKUP($BU85,'Unit information'!$A$2:$K$29,6,FALSE)*V85,0)*(1+$E$9)</f>
        <v>0</v>
      </c>
      <c r="AY85" s="107">
        <f>_xlfn.IFNA($M85/VLOOKUP($BU85,'Unit information'!$A$2:$K$29,7,FALSE)*W85,0)*(1+$E$9)</f>
        <v>0</v>
      </c>
      <c r="AZ85" s="107">
        <f>_xlfn.IFNA($M85/VLOOKUP($BU85,'Unit information'!$A$2:$K$29,8,FALSE)*X85,0)*(1+$E$9)</f>
        <v>0</v>
      </c>
      <c r="BA85" s="107">
        <f>_xlfn.IFNA($M85/VLOOKUP($BU85,'Unit information'!$A$2:$K$29,9,FALSE)*Y85,0)*(1+$E$9)</f>
        <v>0</v>
      </c>
      <c r="BB85" s="107">
        <f>_xlfn.IFNA($M85/VLOOKUP($BV85,'Unit information'!$A$2:$K$29,10,FALSE)*Z85,0)*(1+$E$9)</f>
        <v>0</v>
      </c>
      <c r="BC85" s="108">
        <f>_xlfn.IFNA($M85/VLOOKUP($BV85,'Unit information'!$A$2:$K$29,11,FALSE)*AA85,0)*(1+$E$9)</f>
        <v>0</v>
      </c>
      <c r="BD85" s="106">
        <f t="shared" si="100"/>
        <v>0</v>
      </c>
      <c r="BE85" s="107">
        <f t="shared" si="101"/>
        <v>0</v>
      </c>
      <c r="BF85" s="108">
        <f t="shared" si="102"/>
        <v>0</v>
      </c>
      <c r="BG85" s="25" t="e">
        <f t="shared" si="103"/>
        <v>#N/A</v>
      </c>
      <c r="BH85" s="25" t="e">
        <f t="shared" si="104"/>
        <v>#N/A</v>
      </c>
      <c r="BI85" s="25" t="e">
        <f t="shared" si="105"/>
        <v>#N/A</v>
      </c>
      <c r="BJ85" s="27" t="e">
        <f t="shared" si="106"/>
        <v>#N/A</v>
      </c>
      <c r="BK85" s="18" t="e">
        <f t="shared" si="107"/>
        <v>#N/A</v>
      </c>
      <c r="BL85" s="18" t="e">
        <f t="shared" si="108"/>
        <v>#N/A</v>
      </c>
      <c r="BM85" s="28" t="e">
        <f t="shared" si="166"/>
        <v>#N/A</v>
      </c>
      <c r="BN85" s="33">
        <f>HLOOKUP("maximum population",Miscelaneous!$C$1:$C$33,CH85+3,FALSE)</f>
        <v>240</v>
      </c>
      <c r="BO85" s="14">
        <f t="shared" si="119"/>
        <v>32</v>
      </c>
      <c r="BP85" s="14">
        <f t="shared" si="120"/>
        <v>0</v>
      </c>
      <c r="BQ85" s="14">
        <f t="shared" si="121"/>
        <v>208</v>
      </c>
      <c r="BR85" s="34" t="e">
        <f>HLOOKUP(J85,Villagers!$B$1:$V$33,L85+3,FALSE)-HLOOKUP(J85,Villagers!$B$1:$V$33,L85+2,FALSE)</f>
        <v>#N/A</v>
      </c>
      <c r="BS85" s="49">
        <f t="shared" si="122"/>
        <v>1</v>
      </c>
      <c r="BT85" s="50">
        <f t="shared" si="123"/>
        <v>0</v>
      </c>
      <c r="BU85" s="50">
        <f t="shared" si="124"/>
        <v>0</v>
      </c>
      <c r="BV85" s="50">
        <f t="shared" si="125"/>
        <v>0</v>
      </c>
      <c r="BW85" s="50">
        <f t="shared" si="126"/>
        <v>0</v>
      </c>
      <c r="BX85" s="50">
        <f t="shared" si="127"/>
        <v>0</v>
      </c>
      <c r="BY85" s="50">
        <f t="shared" si="127"/>
        <v>0</v>
      </c>
      <c r="BZ85" s="50">
        <f t="shared" si="128"/>
        <v>0</v>
      </c>
      <c r="CA85" s="50">
        <f t="shared" si="129"/>
        <v>0</v>
      </c>
      <c r="CB85" s="50">
        <f t="shared" si="130"/>
        <v>1</v>
      </c>
      <c r="CC85" s="50">
        <f t="shared" si="131"/>
        <v>0</v>
      </c>
      <c r="CD85" s="50">
        <f t="shared" si="132"/>
        <v>0</v>
      </c>
      <c r="CE85" s="50">
        <f t="shared" si="133"/>
        <v>1</v>
      </c>
      <c r="CF85" s="50">
        <f t="shared" si="134"/>
        <v>1</v>
      </c>
      <c r="CG85" s="50">
        <f t="shared" si="135"/>
        <v>1</v>
      </c>
      <c r="CH85" s="50">
        <f t="shared" si="136"/>
        <v>1</v>
      </c>
      <c r="CI85" s="50">
        <f t="shared" si="137"/>
        <v>1</v>
      </c>
      <c r="CJ85" s="50">
        <f t="shared" si="138"/>
        <v>1</v>
      </c>
      <c r="CK85" s="50">
        <f t="shared" si="138"/>
        <v>0</v>
      </c>
      <c r="CL85" s="50">
        <f t="shared" si="138"/>
        <v>0</v>
      </c>
      <c r="CM85" s="51">
        <f t="shared" si="139"/>
        <v>0</v>
      </c>
      <c r="CN85" s="33">
        <f>ROUND(IF(BS85=0,0,HLOOKUP(BS$14,Villagers!$B$1:$V$33,BS85+3,FALSE)),)</f>
        <v>5</v>
      </c>
      <c r="CO85" s="14">
        <f>ROUND(IF(BT85=0,0,HLOOKUP(BT$14,Villagers!$B$1:$V$33,BT85+3,FALSE)),)</f>
        <v>0</v>
      </c>
      <c r="CP85" s="14">
        <f>ROUND(IF(BU85=0,0,HLOOKUP(BU$14,Villagers!$B$1:$V$33,BU85+3,FALSE)),)</f>
        <v>0</v>
      </c>
      <c r="CQ85" s="14">
        <f>ROUND(IF(BV85=0,0,HLOOKUP(BV$14,Villagers!$B$1:$V$33,BV85+3,FALSE)),)</f>
        <v>0</v>
      </c>
      <c r="CR85" s="14">
        <f>ROUND(IF(BW85=0,0,HLOOKUP(BW$14,Villagers!$B$1:$V$33,BW85+3,FALSE)),)</f>
        <v>0</v>
      </c>
      <c r="CS85" s="14">
        <f>ROUND(IF(BX85=0,0,HLOOKUP(BX$14,Villagers!$B$1:$V$33,BX85+3,FALSE)),)</f>
        <v>0</v>
      </c>
      <c r="CT85" s="14">
        <f>ROUND(IF(BY85=0,0,HLOOKUP(BY$14,Villagers!$B$1:$V$33,BY85+3,FALSE)),)</f>
        <v>0</v>
      </c>
      <c r="CU85" s="14">
        <f>ROUND(IF(BZ85=0,0,HLOOKUP(BZ$14,Villagers!$B$1:$V$33,BZ85+3,FALSE)),)</f>
        <v>0</v>
      </c>
      <c r="CV85" s="14">
        <f>ROUND(IF(CA85=0,0,HLOOKUP(CA$14,Villagers!$B$1:$V$33,CA85+3,FALSE)),)</f>
        <v>0</v>
      </c>
      <c r="CW85" s="14">
        <f>ROUND(IF(CB85=0,0,HLOOKUP(CB$14,Villagers!$B$1:$V$33,CB85+3,FALSE)),)</f>
        <v>0</v>
      </c>
      <c r="CX85" s="14">
        <f>ROUND(IF(CC85=0,0,HLOOKUP(CC$14,Villagers!$B$1:$V$33,CC85+3,FALSE)),)</f>
        <v>0</v>
      </c>
      <c r="CY85" s="14">
        <f>ROUND(IF(CD85=0,0,HLOOKUP(CD$14,Villagers!$B$1:$V$33,CD85+3,FALSE)),)</f>
        <v>0</v>
      </c>
      <c r="CZ85" s="14">
        <f>ROUND(IF(CE85=0,0,HLOOKUP(CE$14,Villagers!$B$1:$V$33,CE85+3,FALSE)),)</f>
        <v>5</v>
      </c>
      <c r="DA85" s="14">
        <f>ROUND(IF(CF85=0,0,HLOOKUP(CF$14,Villagers!$B$1:$V$33,CF85+3,FALSE)),)</f>
        <v>10</v>
      </c>
      <c r="DB85" s="14">
        <f>ROUND(IF(CG85=0,0,HLOOKUP(CG$14,Villagers!$B$1:$V$33,CG85+3,FALSE)),)</f>
        <v>10</v>
      </c>
      <c r="DC85" s="14">
        <f>ROUND(IF(CH85=0,0,HLOOKUP(CH$14,Villagers!$B$1:$V$33,CH85+3,FALSE)),)</f>
        <v>0</v>
      </c>
      <c r="DD85" s="14">
        <f>ROUND(IF(CI85=0,0,HLOOKUP(CI$14,Villagers!$B$1:$V$33,CI85+3,FALSE)),)</f>
        <v>0</v>
      </c>
      <c r="DE85" s="14">
        <f>ROUND(IF(CJ85=0,0,HLOOKUP(CJ$14,Villagers!$B$1:$V$33,CJ85+3,FALSE)),)</f>
        <v>2</v>
      </c>
      <c r="DF85" s="370">
        <f>ROUND(IF(CK85=0,0,HLOOKUP(CK$14,Villagers!$B$1:$V$33,CK85+3,FALSE)),)</f>
        <v>0</v>
      </c>
      <c r="DG85" s="370">
        <f>ROUND(IF(CL85=0,0,HLOOKUP(CL$14,Villagers!$B$1:$V$33,CL85+3,FALSE)),)</f>
        <v>0</v>
      </c>
      <c r="DH85" s="34">
        <f>ROUND(IF(CM85=0,0,HLOOKUP(CM$14,Villagers!$B$1:$V$33,CM85+3,FALSE)),)</f>
        <v>0</v>
      </c>
      <c r="DI85" s="109">
        <f t="shared" si="155"/>
        <v>0</v>
      </c>
      <c r="DJ85" s="50">
        <f t="shared" si="156"/>
        <v>0</v>
      </c>
      <c r="DK85" s="50">
        <f t="shared" si="157"/>
        <v>0</v>
      </c>
      <c r="DL85" s="50">
        <f t="shared" si="158"/>
        <v>0</v>
      </c>
      <c r="DM85" s="50">
        <f t="shared" si="159"/>
        <v>0</v>
      </c>
      <c r="DN85" s="50">
        <f t="shared" si="160"/>
        <v>0</v>
      </c>
      <c r="DO85" s="50">
        <f t="shared" si="161"/>
        <v>0</v>
      </c>
      <c r="DP85" s="50">
        <f t="shared" si="162"/>
        <v>0</v>
      </c>
      <c r="DQ85" s="50">
        <f t="shared" si="140"/>
        <v>0</v>
      </c>
      <c r="DR85" s="50">
        <f t="shared" si="141"/>
        <v>0</v>
      </c>
      <c r="DS85" s="96">
        <f>Miscelaneous!$D$4*Miscelaneous!$D$2^($CI85-1)</f>
        <v>1000</v>
      </c>
      <c r="DT85" s="333">
        <f t="shared" si="109"/>
        <v>1</v>
      </c>
      <c r="DU85" s="81">
        <v>1</v>
      </c>
      <c r="DV85" s="79">
        <f t="shared" si="142"/>
        <v>0</v>
      </c>
      <c r="DW85" s="79">
        <f t="shared" si="143"/>
        <v>0</v>
      </c>
      <c r="DX85" s="79">
        <f t="shared" si="144"/>
        <v>0</v>
      </c>
      <c r="DY85" s="79">
        <v>1</v>
      </c>
      <c r="DZ85" s="79">
        <f t="shared" si="145"/>
        <v>0</v>
      </c>
      <c r="EA85" s="79">
        <f t="shared" si="146"/>
        <v>0</v>
      </c>
      <c r="EB85" s="79">
        <f t="shared" si="147"/>
        <v>0</v>
      </c>
      <c r="EC85" s="79">
        <f t="shared" si="148"/>
        <v>0</v>
      </c>
      <c r="ED85" s="79">
        <v>1</v>
      </c>
      <c r="EE85" s="79">
        <v>1</v>
      </c>
      <c r="EF85" s="79">
        <f t="shared" si="149"/>
        <v>0</v>
      </c>
      <c r="EG85" s="79">
        <v>1</v>
      </c>
      <c r="EH85" s="79">
        <v>1</v>
      </c>
      <c r="EI85" s="79">
        <v>1</v>
      </c>
      <c r="EJ85" s="79">
        <v>1</v>
      </c>
      <c r="EK85" s="79">
        <v>1</v>
      </c>
      <c r="EL85" s="79">
        <v>1</v>
      </c>
      <c r="EM85" s="143">
        <f t="shared" si="150"/>
        <v>0</v>
      </c>
      <c r="EN85" s="143">
        <f t="shared" si="151"/>
        <v>0</v>
      </c>
      <c r="EO85" s="82">
        <f t="shared" si="152"/>
        <v>0</v>
      </c>
    </row>
    <row r="86" spans="1:145" x14ac:dyDescent="0.25">
      <c r="A86">
        <v>72</v>
      </c>
      <c r="B86" s="172" t="e">
        <f t="shared" si="110"/>
        <v>#N/A</v>
      </c>
      <c r="C86" s="121" t="e">
        <f t="shared" si="89"/>
        <v>#N/A</v>
      </c>
      <c r="D86" s="122" t="e">
        <f t="shared" si="90"/>
        <v>#N/A</v>
      </c>
      <c r="E86" s="122" t="e">
        <f t="shared" si="91"/>
        <v>#N/A</v>
      </c>
      <c r="F86" s="176" t="e">
        <f t="shared" si="92"/>
        <v>#N/A</v>
      </c>
      <c r="G86" s="121">
        <f t="shared" si="111"/>
        <v>208</v>
      </c>
      <c r="H86" s="176" t="e">
        <f t="shared" si="112"/>
        <v>#N/A</v>
      </c>
      <c r="I86" s="48">
        <v>1</v>
      </c>
      <c r="J86" s="39"/>
      <c r="K86" s="350">
        <v>1</v>
      </c>
      <c r="L86" s="34" t="e">
        <f t="shared" si="93"/>
        <v>#N/A</v>
      </c>
      <c r="M86" s="38" t="e">
        <f>(HLOOKUP(J86,'Construction Times'!$B$3:$W$34,L86+2,FALSE)*HLOOKUP("hq modifier",'Construction Times'!$W$3:$W$34,BS86+2,FALSE))*(1-$H$9)</f>
        <v>#N/A</v>
      </c>
      <c r="N86" s="443" t="e">
        <f t="shared" si="113"/>
        <v>#N/A</v>
      </c>
      <c r="O86" s="444"/>
      <c r="P86" s="447" t="e">
        <f t="shared" si="114"/>
        <v>#N/A</v>
      </c>
      <c r="Q86" s="448"/>
      <c r="R86" s="103">
        <f t="shared" si="153"/>
        <v>0</v>
      </c>
      <c r="S86" s="104">
        <f t="shared" si="153"/>
        <v>0</v>
      </c>
      <c r="T86" s="104">
        <f t="shared" si="154"/>
        <v>0</v>
      </c>
      <c r="U86" s="104">
        <f t="shared" si="154"/>
        <v>0</v>
      </c>
      <c r="V86" s="104">
        <f t="shared" si="154"/>
        <v>9.9999999999999995E-8</v>
      </c>
      <c r="W86" s="104">
        <f t="shared" si="154"/>
        <v>0</v>
      </c>
      <c r="X86" s="104">
        <f t="shared" si="85"/>
        <v>0</v>
      </c>
      <c r="Y86" s="104">
        <f t="shared" si="85"/>
        <v>9.9999999999999995E-8</v>
      </c>
      <c r="Z86" s="104">
        <f t="shared" si="85"/>
        <v>9.9999999999999995E-8</v>
      </c>
      <c r="AA86" s="105">
        <f t="shared" si="85"/>
        <v>9.9999999999999995E-8</v>
      </c>
      <c r="AB86" s="101" t="e">
        <f>$DT86*HLOOKUP($J86,'Construction Costs (timber)'!$B$1:$V$32,'Construction Planner'!$L86+2,FALSE)</f>
        <v>#N/A</v>
      </c>
      <c r="AC86" s="14" t="e">
        <f>$DT86*HLOOKUP($J86,'Construction Costs (clay)'!$B$1:$V$32,'Construction Planner'!$L86+2,FALSE)</f>
        <v>#N/A</v>
      </c>
      <c r="AD86" s="14" t="e">
        <f>$DT86*HLOOKUP($J86,'Construction Costs (iron)'!$B$1:$V$32,'Construction Planner'!$L86+2,FALSE)</f>
        <v>#N/A</v>
      </c>
      <c r="AE86" s="34" t="e">
        <f t="shared" si="163"/>
        <v>#N/A</v>
      </c>
      <c r="AF86" s="33" t="e">
        <f t="shared" si="94"/>
        <v>#N/A</v>
      </c>
      <c r="AG86" s="14" t="e">
        <f t="shared" si="95"/>
        <v>#N/A</v>
      </c>
      <c r="AH86" s="14" t="e">
        <f t="shared" si="96"/>
        <v>#N/A</v>
      </c>
      <c r="AI86" s="34" t="e">
        <f t="shared" si="164"/>
        <v>#N/A</v>
      </c>
      <c r="AJ86" s="49" t="e">
        <f t="shared" si="115"/>
        <v>#N/A</v>
      </c>
      <c r="AK86" s="49" t="e">
        <f t="shared" si="116"/>
        <v>#N/A</v>
      </c>
      <c r="AL86" s="49" t="e">
        <f t="shared" si="117"/>
        <v>#N/A</v>
      </c>
      <c r="AM86" s="25">
        <f t="shared" si="97"/>
        <v>30</v>
      </c>
      <c r="AN86" s="25">
        <f t="shared" si="98"/>
        <v>30</v>
      </c>
      <c r="AO86" s="25">
        <f t="shared" si="99"/>
        <v>30</v>
      </c>
      <c r="AP86" s="52" t="e">
        <f t="shared" si="118"/>
        <v>#N/A</v>
      </c>
      <c r="AQ86" s="53" t="e">
        <f t="shared" si="118"/>
        <v>#N/A</v>
      </c>
      <c r="AR86" s="54" t="e">
        <f t="shared" si="118"/>
        <v>#N/A</v>
      </c>
      <c r="AS86" s="316">
        <f t="shared" si="165"/>
        <v>0</v>
      </c>
      <c r="AT86" s="106">
        <f>_xlfn.IFNA($M86/VLOOKUP($BT86,'Unit information'!$A$2:$K$29,2,FALSE)*R86,0)*(1+$E$9)</f>
        <v>0</v>
      </c>
      <c r="AU86" s="107">
        <f>_xlfn.IFNA($M86/VLOOKUP($BT86,'Unit information'!$A$2:$K$29,3,FALSE)*S86,0)*(1+$E$9)</f>
        <v>0</v>
      </c>
      <c r="AV86" s="107">
        <f>_xlfn.IFNA($M86/VLOOKUP($BT86,'Unit information'!$A$2:$K$29,4,FALSE)*T86,0)*(1+$E$9)</f>
        <v>0</v>
      </c>
      <c r="AW86" s="107">
        <f>_xlfn.IFNA($M86/VLOOKUP($BT86,'Unit information'!$A$2:$K$29,5,FALSE)*U86,0)*(1+$E$9)</f>
        <v>0</v>
      </c>
      <c r="AX86" s="107">
        <f>_xlfn.IFNA($M86/VLOOKUP($BU86,'Unit information'!$A$2:$K$29,6,FALSE)*V86,0)*(1+$E$9)</f>
        <v>0</v>
      </c>
      <c r="AY86" s="107">
        <f>_xlfn.IFNA($M86/VLOOKUP($BU86,'Unit information'!$A$2:$K$29,7,FALSE)*W86,0)*(1+$E$9)</f>
        <v>0</v>
      </c>
      <c r="AZ86" s="107">
        <f>_xlfn.IFNA($M86/VLOOKUP($BU86,'Unit information'!$A$2:$K$29,8,FALSE)*X86,0)*(1+$E$9)</f>
        <v>0</v>
      </c>
      <c r="BA86" s="107">
        <f>_xlfn.IFNA($M86/VLOOKUP($BU86,'Unit information'!$A$2:$K$29,9,FALSE)*Y86,0)*(1+$E$9)</f>
        <v>0</v>
      </c>
      <c r="BB86" s="107">
        <f>_xlfn.IFNA($M86/VLOOKUP($BV86,'Unit information'!$A$2:$K$29,10,FALSE)*Z86,0)*(1+$E$9)</f>
        <v>0</v>
      </c>
      <c r="BC86" s="108">
        <f>_xlfn.IFNA($M86/VLOOKUP($BV86,'Unit information'!$A$2:$K$29,11,FALSE)*AA86,0)*(1+$E$9)</f>
        <v>0</v>
      </c>
      <c r="BD86" s="106">
        <f t="shared" si="100"/>
        <v>0</v>
      </c>
      <c r="BE86" s="107">
        <f t="shared" si="101"/>
        <v>0</v>
      </c>
      <c r="BF86" s="108">
        <f t="shared" si="102"/>
        <v>0</v>
      </c>
      <c r="BG86" s="25" t="e">
        <f t="shared" si="103"/>
        <v>#N/A</v>
      </c>
      <c r="BH86" s="25" t="e">
        <f t="shared" si="104"/>
        <v>#N/A</v>
      </c>
      <c r="BI86" s="25" t="e">
        <f t="shared" si="105"/>
        <v>#N/A</v>
      </c>
      <c r="BJ86" s="27" t="e">
        <f t="shared" si="106"/>
        <v>#N/A</v>
      </c>
      <c r="BK86" s="18" t="e">
        <f t="shared" si="107"/>
        <v>#N/A</v>
      </c>
      <c r="BL86" s="18" t="e">
        <f t="shared" si="108"/>
        <v>#N/A</v>
      </c>
      <c r="BM86" s="28" t="e">
        <f t="shared" si="166"/>
        <v>#N/A</v>
      </c>
      <c r="BN86" s="33">
        <f>HLOOKUP("maximum population",Miscelaneous!$C$1:$C$33,CH86+3,FALSE)</f>
        <v>240</v>
      </c>
      <c r="BO86" s="14">
        <f t="shared" si="119"/>
        <v>32</v>
      </c>
      <c r="BP86" s="14">
        <f t="shared" si="120"/>
        <v>0</v>
      </c>
      <c r="BQ86" s="14">
        <f t="shared" si="121"/>
        <v>208</v>
      </c>
      <c r="BR86" s="34" t="e">
        <f>HLOOKUP(J86,Villagers!$B$1:$V$33,L86+3,FALSE)-HLOOKUP(J86,Villagers!$B$1:$V$33,L86+2,FALSE)</f>
        <v>#N/A</v>
      </c>
      <c r="BS86" s="49">
        <f t="shared" si="122"/>
        <v>1</v>
      </c>
      <c r="BT86" s="50">
        <f t="shared" si="123"/>
        <v>0</v>
      </c>
      <c r="BU86" s="50">
        <f t="shared" si="124"/>
        <v>0</v>
      </c>
      <c r="BV86" s="50">
        <f t="shared" si="125"/>
        <v>0</v>
      </c>
      <c r="BW86" s="50">
        <f t="shared" si="126"/>
        <v>0</v>
      </c>
      <c r="BX86" s="50">
        <f t="shared" si="127"/>
        <v>0</v>
      </c>
      <c r="BY86" s="50">
        <f t="shared" si="127"/>
        <v>0</v>
      </c>
      <c r="BZ86" s="50">
        <f t="shared" si="128"/>
        <v>0</v>
      </c>
      <c r="CA86" s="50">
        <f t="shared" si="129"/>
        <v>0</v>
      </c>
      <c r="CB86" s="50">
        <f t="shared" si="130"/>
        <v>1</v>
      </c>
      <c r="CC86" s="50">
        <f t="shared" si="131"/>
        <v>0</v>
      </c>
      <c r="CD86" s="50">
        <f t="shared" si="132"/>
        <v>0</v>
      </c>
      <c r="CE86" s="50">
        <f t="shared" si="133"/>
        <v>1</v>
      </c>
      <c r="CF86" s="50">
        <f t="shared" si="134"/>
        <v>1</v>
      </c>
      <c r="CG86" s="50">
        <f t="shared" si="135"/>
        <v>1</v>
      </c>
      <c r="CH86" s="50">
        <f t="shared" si="136"/>
        <v>1</v>
      </c>
      <c r="CI86" s="50">
        <f t="shared" si="137"/>
        <v>1</v>
      </c>
      <c r="CJ86" s="50">
        <f t="shared" si="138"/>
        <v>1</v>
      </c>
      <c r="CK86" s="50">
        <f t="shared" si="138"/>
        <v>0</v>
      </c>
      <c r="CL86" s="50">
        <f t="shared" si="138"/>
        <v>0</v>
      </c>
      <c r="CM86" s="51">
        <f t="shared" si="139"/>
        <v>0</v>
      </c>
      <c r="CN86" s="33">
        <f>ROUND(IF(BS86=0,0,HLOOKUP(BS$14,Villagers!$B$1:$V$33,BS86+3,FALSE)),)</f>
        <v>5</v>
      </c>
      <c r="CO86" s="14">
        <f>ROUND(IF(BT86=0,0,HLOOKUP(BT$14,Villagers!$B$1:$V$33,BT86+3,FALSE)),)</f>
        <v>0</v>
      </c>
      <c r="CP86" s="14">
        <f>ROUND(IF(BU86=0,0,HLOOKUP(BU$14,Villagers!$B$1:$V$33,BU86+3,FALSE)),)</f>
        <v>0</v>
      </c>
      <c r="CQ86" s="14">
        <f>ROUND(IF(BV86=0,0,HLOOKUP(BV$14,Villagers!$B$1:$V$33,BV86+3,FALSE)),)</f>
        <v>0</v>
      </c>
      <c r="CR86" s="14">
        <f>ROUND(IF(BW86=0,0,HLOOKUP(BW$14,Villagers!$B$1:$V$33,BW86+3,FALSE)),)</f>
        <v>0</v>
      </c>
      <c r="CS86" s="14">
        <f>ROUND(IF(BX86=0,0,HLOOKUP(BX$14,Villagers!$B$1:$V$33,BX86+3,FALSE)),)</f>
        <v>0</v>
      </c>
      <c r="CT86" s="14">
        <f>ROUND(IF(BY86=0,0,HLOOKUP(BY$14,Villagers!$B$1:$V$33,BY86+3,FALSE)),)</f>
        <v>0</v>
      </c>
      <c r="CU86" s="14">
        <f>ROUND(IF(BZ86=0,0,HLOOKUP(BZ$14,Villagers!$B$1:$V$33,BZ86+3,FALSE)),)</f>
        <v>0</v>
      </c>
      <c r="CV86" s="14">
        <f>ROUND(IF(CA86=0,0,HLOOKUP(CA$14,Villagers!$B$1:$V$33,CA86+3,FALSE)),)</f>
        <v>0</v>
      </c>
      <c r="CW86" s="14">
        <f>ROUND(IF(CB86=0,0,HLOOKUP(CB$14,Villagers!$B$1:$V$33,CB86+3,FALSE)),)</f>
        <v>0</v>
      </c>
      <c r="CX86" s="14">
        <f>ROUND(IF(CC86=0,0,HLOOKUP(CC$14,Villagers!$B$1:$V$33,CC86+3,FALSE)),)</f>
        <v>0</v>
      </c>
      <c r="CY86" s="14">
        <f>ROUND(IF(CD86=0,0,HLOOKUP(CD$14,Villagers!$B$1:$V$33,CD86+3,FALSE)),)</f>
        <v>0</v>
      </c>
      <c r="CZ86" s="14">
        <f>ROUND(IF(CE86=0,0,HLOOKUP(CE$14,Villagers!$B$1:$V$33,CE86+3,FALSE)),)</f>
        <v>5</v>
      </c>
      <c r="DA86" s="14">
        <f>ROUND(IF(CF86=0,0,HLOOKUP(CF$14,Villagers!$B$1:$V$33,CF86+3,FALSE)),)</f>
        <v>10</v>
      </c>
      <c r="DB86" s="14">
        <f>ROUND(IF(CG86=0,0,HLOOKUP(CG$14,Villagers!$B$1:$V$33,CG86+3,FALSE)),)</f>
        <v>10</v>
      </c>
      <c r="DC86" s="14">
        <f>ROUND(IF(CH86=0,0,HLOOKUP(CH$14,Villagers!$B$1:$V$33,CH86+3,FALSE)),)</f>
        <v>0</v>
      </c>
      <c r="DD86" s="14">
        <f>ROUND(IF(CI86=0,0,HLOOKUP(CI$14,Villagers!$B$1:$V$33,CI86+3,FALSE)),)</f>
        <v>0</v>
      </c>
      <c r="DE86" s="14">
        <f>ROUND(IF(CJ86=0,0,HLOOKUP(CJ$14,Villagers!$B$1:$V$33,CJ86+3,FALSE)),)</f>
        <v>2</v>
      </c>
      <c r="DF86" s="370">
        <f>ROUND(IF(CK86=0,0,HLOOKUP(CK$14,Villagers!$B$1:$V$33,CK86+3,FALSE)),)</f>
        <v>0</v>
      </c>
      <c r="DG86" s="370">
        <f>ROUND(IF(CL86=0,0,HLOOKUP(CL$14,Villagers!$B$1:$V$33,CL86+3,FALSE)),)</f>
        <v>0</v>
      </c>
      <c r="DH86" s="34">
        <f>ROUND(IF(CM86=0,0,HLOOKUP(CM$14,Villagers!$B$1:$V$33,CM86+3,FALSE)),)</f>
        <v>0</v>
      </c>
      <c r="DI86" s="109">
        <f t="shared" si="155"/>
        <v>0</v>
      </c>
      <c r="DJ86" s="50">
        <f t="shared" si="156"/>
        <v>0</v>
      </c>
      <c r="DK86" s="50">
        <f t="shared" si="157"/>
        <v>0</v>
      </c>
      <c r="DL86" s="50">
        <f t="shared" si="158"/>
        <v>0</v>
      </c>
      <c r="DM86" s="50">
        <f t="shared" si="159"/>
        <v>0</v>
      </c>
      <c r="DN86" s="50">
        <f t="shared" si="160"/>
        <v>0</v>
      </c>
      <c r="DO86" s="50">
        <f t="shared" si="161"/>
        <v>0</v>
      </c>
      <c r="DP86" s="50">
        <f t="shared" si="162"/>
        <v>0</v>
      </c>
      <c r="DQ86" s="50">
        <f t="shared" si="140"/>
        <v>0</v>
      </c>
      <c r="DR86" s="50">
        <f t="shared" si="141"/>
        <v>0</v>
      </c>
      <c r="DS86" s="96">
        <f>Miscelaneous!$D$4*Miscelaneous!$D$2^($CI86-1)</f>
        <v>1000</v>
      </c>
      <c r="DT86" s="333">
        <f t="shared" si="109"/>
        <v>1</v>
      </c>
      <c r="DU86" s="81">
        <v>1</v>
      </c>
      <c r="DV86" s="79">
        <f t="shared" si="142"/>
        <v>0</v>
      </c>
      <c r="DW86" s="79">
        <f t="shared" si="143"/>
        <v>0</v>
      </c>
      <c r="DX86" s="79">
        <f t="shared" si="144"/>
        <v>0</v>
      </c>
      <c r="DY86" s="79">
        <v>1</v>
      </c>
      <c r="DZ86" s="79">
        <f t="shared" si="145"/>
        <v>0</v>
      </c>
      <c r="EA86" s="79">
        <f t="shared" si="146"/>
        <v>0</v>
      </c>
      <c r="EB86" s="79">
        <f t="shared" si="147"/>
        <v>0</v>
      </c>
      <c r="EC86" s="79">
        <f t="shared" si="148"/>
        <v>0</v>
      </c>
      <c r="ED86" s="79">
        <v>1</v>
      </c>
      <c r="EE86" s="79">
        <v>1</v>
      </c>
      <c r="EF86" s="79">
        <f t="shared" si="149"/>
        <v>0</v>
      </c>
      <c r="EG86" s="79">
        <v>1</v>
      </c>
      <c r="EH86" s="79">
        <v>1</v>
      </c>
      <c r="EI86" s="79">
        <v>1</v>
      </c>
      <c r="EJ86" s="79">
        <v>1</v>
      </c>
      <c r="EK86" s="79">
        <v>1</v>
      </c>
      <c r="EL86" s="79">
        <v>1</v>
      </c>
      <c r="EM86" s="143">
        <f t="shared" si="150"/>
        <v>0</v>
      </c>
      <c r="EN86" s="143">
        <f t="shared" si="151"/>
        <v>0</v>
      </c>
      <c r="EO86" s="82">
        <f t="shared" si="152"/>
        <v>0</v>
      </c>
    </row>
    <row r="87" spans="1:145" x14ac:dyDescent="0.25">
      <c r="A87">
        <v>73</v>
      </c>
      <c r="B87" s="172" t="e">
        <f t="shared" si="110"/>
        <v>#N/A</v>
      </c>
      <c r="C87" s="121" t="e">
        <f t="shared" si="89"/>
        <v>#N/A</v>
      </c>
      <c r="D87" s="122" t="e">
        <f t="shared" si="90"/>
        <v>#N/A</v>
      </c>
      <c r="E87" s="122" t="e">
        <f t="shared" si="91"/>
        <v>#N/A</v>
      </c>
      <c r="F87" s="176" t="e">
        <f t="shared" si="92"/>
        <v>#N/A</v>
      </c>
      <c r="G87" s="121">
        <f t="shared" si="111"/>
        <v>208</v>
      </c>
      <c r="H87" s="176" t="e">
        <f t="shared" si="112"/>
        <v>#N/A</v>
      </c>
      <c r="I87" s="48">
        <v>1</v>
      </c>
      <c r="J87" s="39"/>
      <c r="K87" s="350">
        <v>1</v>
      </c>
      <c r="L87" s="34" t="e">
        <f t="shared" si="93"/>
        <v>#N/A</v>
      </c>
      <c r="M87" s="38" t="e">
        <f>(HLOOKUP(J87,'Construction Times'!$B$3:$W$34,L87+2,FALSE)*HLOOKUP("hq modifier",'Construction Times'!$W$3:$W$34,BS87+2,FALSE))*(1-$H$9)</f>
        <v>#N/A</v>
      </c>
      <c r="N87" s="443" t="e">
        <f t="shared" si="113"/>
        <v>#N/A</v>
      </c>
      <c r="O87" s="444"/>
      <c r="P87" s="447" t="e">
        <f t="shared" si="114"/>
        <v>#N/A</v>
      </c>
      <c r="Q87" s="448"/>
      <c r="R87" s="103">
        <f t="shared" si="153"/>
        <v>0</v>
      </c>
      <c r="S87" s="104">
        <f t="shared" si="153"/>
        <v>0</v>
      </c>
      <c r="T87" s="104">
        <f t="shared" si="154"/>
        <v>0</v>
      </c>
      <c r="U87" s="104">
        <f t="shared" si="154"/>
        <v>0</v>
      </c>
      <c r="V87" s="104">
        <f t="shared" si="154"/>
        <v>9.9999999999999995E-8</v>
      </c>
      <c r="W87" s="104">
        <f t="shared" si="154"/>
        <v>0</v>
      </c>
      <c r="X87" s="104">
        <f t="shared" si="85"/>
        <v>0</v>
      </c>
      <c r="Y87" s="104">
        <f t="shared" si="85"/>
        <v>9.9999999999999995E-8</v>
      </c>
      <c r="Z87" s="104">
        <f t="shared" si="85"/>
        <v>9.9999999999999995E-8</v>
      </c>
      <c r="AA87" s="105">
        <f t="shared" si="85"/>
        <v>9.9999999999999995E-8</v>
      </c>
      <c r="AB87" s="101" t="e">
        <f>$DT87*HLOOKUP($J87,'Construction Costs (timber)'!$B$1:$V$32,'Construction Planner'!$L87+2,FALSE)</f>
        <v>#N/A</v>
      </c>
      <c r="AC87" s="14" t="e">
        <f>$DT87*HLOOKUP($J87,'Construction Costs (clay)'!$B$1:$V$32,'Construction Planner'!$L87+2,FALSE)</f>
        <v>#N/A</v>
      </c>
      <c r="AD87" s="14" t="e">
        <f>$DT87*HLOOKUP($J87,'Construction Costs (iron)'!$B$1:$V$32,'Construction Planner'!$L87+2,FALSE)</f>
        <v>#N/A</v>
      </c>
      <c r="AE87" s="34" t="e">
        <f t="shared" si="163"/>
        <v>#N/A</v>
      </c>
      <c r="AF87" s="33" t="e">
        <f t="shared" si="94"/>
        <v>#N/A</v>
      </c>
      <c r="AG87" s="14" t="e">
        <f t="shared" si="95"/>
        <v>#N/A</v>
      </c>
      <c r="AH87" s="14" t="e">
        <f t="shared" si="96"/>
        <v>#N/A</v>
      </c>
      <c r="AI87" s="34" t="e">
        <f t="shared" si="164"/>
        <v>#N/A</v>
      </c>
      <c r="AJ87" s="49" t="e">
        <f t="shared" si="115"/>
        <v>#N/A</v>
      </c>
      <c r="AK87" s="49" t="e">
        <f t="shared" si="116"/>
        <v>#N/A</v>
      </c>
      <c r="AL87" s="49" t="e">
        <f t="shared" si="117"/>
        <v>#N/A</v>
      </c>
      <c r="AM87" s="25">
        <f t="shared" si="97"/>
        <v>30</v>
      </c>
      <c r="AN87" s="25">
        <f t="shared" si="98"/>
        <v>30</v>
      </c>
      <c r="AO87" s="25">
        <f t="shared" si="99"/>
        <v>30</v>
      </c>
      <c r="AP87" s="52" t="e">
        <f t="shared" si="118"/>
        <v>#N/A</v>
      </c>
      <c r="AQ87" s="53" t="e">
        <f t="shared" si="118"/>
        <v>#N/A</v>
      </c>
      <c r="AR87" s="54" t="e">
        <f t="shared" si="118"/>
        <v>#N/A</v>
      </c>
      <c r="AS87" s="316">
        <f t="shared" si="165"/>
        <v>0</v>
      </c>
      <c r="AT87" s="106">
        <f>_xlfn.IFNA($M87/VLOOKUP($BT87,'Unit information'!$A$2:$K$29,2,FALSE)*R87,0)*(1+$E$9)</f>
        <v>0</v>
      </c>
      <c r="AU87" s="107">
        <f>_xlfn.IFNA($M87/VLOOKUP($BT87,'Unit information'!$A$2:$K$29,3,FALSE)*S87,0)*(1+$E$9)</f>
        <v>0</v>
      </c>
      <c r="AV87" s="107">
        <f>_xlfn.IFNA($M87/VLOOKUP($BT87,'Unit information'!$A$2:$K$29,4,FALSE)*T87,0)*(1+$E$9)</f>
        <v>0</v>
      </c>
      <c r="AW87" s="107">
        <f>_xlfn.IFNA($M87/VLOOKUP($BT87,'Unit information'!$A$2:$K$29,5,FALSE)*U87,0)*(1+$E$9)</f>
        <v>0</v>
      </c>
      <c r="AX87" s="107">
        <f>_xlfn.IFNA($M87/VLOOKUP($BU87,'Unit information'!$A$2:$K$29,6,FALSE)*V87,0)*(1+$E$9)</f>
        <v>0</v>
      </c>
      <c r="AY87" s="107">
        <f>_xlfn.IFNA($M87/VLOOKUP($BU87,'Unit information'!$A$2:$K$29,7,FALSE)*W87,0)*(1+$E$9)</f>
        <v>0</v>
      </c>
      <c r="AZ87" s="107">
        <f>_xlfn.IFNA($M87/VLOOKUP($BU87,'Unit information'!$A$2:$K$29,8,FALSE)*X87,0)*(1+$E$9)</f>
        <v>0</v>
      </c>
      <c r="BA87" s="107">
        <f>_xlfn.IFNA($M87/VLOOKUP($BU87,'Unit information'!$A$2:$K$29,9,FALSE)*Y87,0)*(1+$E$9)</f>
        <v>0</v>
      </c>
      <c r="BB87" s="107">
        <f>_xlfn.IFNA($M87/VLOOKUP($BV87,'Unit information'!$A$2:$K$29,10,FALSE)*Z87,0)*(1+$E$9)</f>
        <v>0</v>
      </c>
      <c r="BC87" s="108">
        <f>_xlfn.IFNA($M87/VLOOKUP($BV87,'Unit information'!$A$2:$K$29,11,FALSE)*AA87,0)*(1+$E$9)</f>
        <v>0</v>
      </c>
      <c r="BD87" s="106">
        <f t="shared" si="100"/>
        <v>0</v>
      </c>
      <c r="BE87" s="107">
        <f t="shared" si="101"/>
        <v>0</v>
      </c>
      <c r="BF87" s="108">
        <f t="shared" si="102"/>
        <v>0</v>
      </c>
      <c r="BG87" s="25" t="e">
        <f t="shared" si="103"/>
        <v>#N/A</v>
      </c>
      <c r="BH87" s="25" t="e">
        <f t="shared" si="104"/>
        <v>#N/A</v>
      </c>
      <c r="BI87" s="25" t="e">
        <f t="shared" si="105"/>
        <v>#N/A</v>
      </c>
      <c r="BJ87" s="27" t="e">
        <f t="shared" si="106"/>
        <v>#N/A</v>
      </c>
      <c r="BK87" s="18" t="e">
        <f t="shared" si="107"/>
        <v>#N/A</v>
      </c>
      <c r="BL87" s="18" t="e">
        <f t="shared" si="108"/>
        <v>#N/A</v>
      </c>
      <c r="BM87" s="28" t="e">
        <f t="shared" si="166"/>
        <v>#N/A</v>
      </c>
      <c r="BN87" s="33">
        <f>HLOOKUP("maximum population",Miscelaneous!$C$1:$C$33,CH87+3,FALSE)</f>
        <v>240</v>
      </c>
      <c r="BO87" s="14">
        <f t="shared" si="119"/>
        <v>32</v>
      </c>
      <c r="BP87" s="14">
        <f t="shared" si="120"/>
        <v>0</v>
      </c>
      <c r="BQ87" s="14">
        <f t="shared" si="121"/>
        <v>208</v>
      </c>
      <c r="BR87" s="34" t="e">
        <f>HLOOKUP(J87,Villagers!$B$1:$V$33,L87+3,FALSE)-HLOOKUP(J87,Villagers!$B$1:$V$33,L87+2,FALSE)</f>
        <v>#N/A</v>
      </c>
      <c r="BS87" s="49">
        <f t="shared" si="122"/>
        <v>1</v>
      </c>
      <c r="BT87" s="50">
        <f t="shared" si="123"/>
        <v>0</v>
      </c>
      <c r="BU87" s="50">
        <f t="shared" si="124"/>
        <v>0</v>
      </c>
      <c r="BV87" s="50">
        <f t="shared" si="125"/>
        <v>0</v>
      </c>
      <c r="BW87" s="50">
        <f t="shared" si="126"/>
        <v>0</v>
      </c>
      <c r="BX87" s="50">
        <f t="shared" si="127"/>
        <v>0</v>
      </c>
      <c r="BY87" s="50">
        <f t="shared" si="127"/>
        <v>0</v>
      </c>
      <c r="BZ87" s="50">
        <f t="shared" si="128"/>
        <v>0</v>
      </c>
      <c r="CA87" s="50">
        <f t="shared" si="129"/>
        <v>0</v>
      </c>
      <c r="CB87" s="50">
        <f t="shared" si="130"/>
        <v>1</v>
      </c>
      <c r="CC87" s="50">
        <f t="shared" si="131"/>
        <v>0</v>
      </c>
      <c r="CD87" s="50">
        <f t="shared" si="132"/>
        <v>0</v>
      </c>
      <c r="CE87" s="50">
        <f t="shared" si="133"/>
        <v>1</v>
      </c>
      <c r="CF87" s="50">
        <f t="shared" si="134"/>
        <v>1</v>
      </c>
      <c r="CG87" s="50">
        <f t="shared" si="135"/>
        <v>1</v>
      </c>
      <c r="CH87" s="50">
        <f t="shared" si="136"/>
        <v>1</v>
      </c>
      <c r="CI87" s="50">
        <f t="shared" si="137"/>
        <v>1</v>
      </c>
      <c r="CJ87" s="50">
        <f t="shared" si="138"/>
        <v>1</v>
      </c>
      <c r="CK87" s="50">
        <f t="shared" si="138"/>
        <v>0</v>
      </c>
      <c r="CL87" s="50">
        <f t="shared" si="138"/>
        <v>0</v>
      </c>
      <c r="CM87" s="51">
        <f t="shared" si="139"/>
        <v>0</v>
      </c>
      <c r="CN87" s="33">
        <f>ROUND(IF(BS87=0,0,HLOOKUP(BS$14,Villagers!$B$1:$V$33,BS87+3,FALSE)),)</f>
        <v>5</v>
      </c>
      <c r="CO87" s="14">
        <f>ROUND(IF(BT87=0,0,HLOOKUP(BT$14,Villagers!$B$1:$V$33,BT87+3,FALSE)),)</f>
        <v>0</v>
      </c>
      <c r="CP87" s="14">
        <f>ROUND(IF(BU87=0,0,HLOOKUP(BU$14,Villagers!$B$1:$V$33,BU87+3,FALSE)),)</f>
        <v>0</v>
      </c>
      <c r="CQ87" s="14">
        <f>ROUND(IF(BV87=0,0,HLOOKUP(BV$14,Villagers!$B$1:$V$33,BV87+3,FALSE)),)</f>
        <v>0</v>
      </c>
      <c r="CR87" s="14">
        <f>ROUND(IF(BW87=0,0,HLOOKUP(BW$14,Villagers!$B$1:$V$33,BW87+3,FALSE)),)</f>
        <v>0</v>
      </c>
      <c r="CS87" s="14">
        <f>ROUND(IF(BX87=0,0,HLOOKUP(BX$14,Villagers!$B$1:$V$33,BX87+3,FALSE)),)</f>
        <v>0</v>
      </c>
      <c r="CT87" s="14">
        <f>ROUND(IF(BY87=0,0,HLOOKUP(BY$14,Villagers!$B$1:$V$33,BY87+3,FALSE)),)</f>
        <v>0</v>
      </c>
      <c r="CU87" s="14">
        <f>ROUND(IF(BZ87=0,0,HLOOKUP(BZ$14,Villagers!$B$1:$V$33,BZ87+3,FALSE)),)</f>
        <v>0</v>
      </c>
      <c r="CV87" s="14">
        <f>ROUND(IF(CA87=0,0,HLOOKUP(CA$14,Villagers!$B$1:$V$33,CA87+3,FALSE)),)</f>
        <v>0</v>
      </c>
      <c r="CW87" s="14">
        <f>ROUND(IF(CB87=0,0,HLOOKUP(CB$14,Villagers!$B$1:$V$33,CB87+3,FALSE)),)</f>
        <v>0</v>
      </c>
      <c r="CX87" s="14">
        <f>ROUND(IF(CC87=0,0,HLOOKUP(CC$14,Villagers!$B$1:$V$33,CC87+3,FALSE)),)</f>
        <v>0</v>
      </c>
      <c r="CY87" s="14">
        <f>ROUND(IF(CD87=0,0,HLOOKUP(CD$14,Villagers!$B$1:$V$33,CD87+3,FALSE)),)</f>
        <v>0</v>
      </c>
      <c r="CZ87" s="14">
        <f>ROUND(IF(CE87=0,0,HLOOKUP(CE$14,Villagers!$B$1:$V$33,CE87+3,FALSE)),)</f>
        <v>5</v>
      </c>
      <c r="DA87" s="14">
        <f>ROUND(IF(CF87=0,0,HLOOKUP(CF$14,Villagers!$B$1:$V$33,CF87+3,FALSE)),)</f>
        <v>10</v>
      </c>
      <c r="DB87" s="14">
        <f>ROUND(IF(CG87=0,0,HLOOKUP(CG$14,Villagers!$B$1:$V$33,CG87+3,FALSE)),)</f>
        <v>10</v>
      </c>
      <c r="DC87" s="14">
        <f>ROUND(IF(CH87=0,0,HLOOKUP(CH$14,Villagers!$B$1:$V$33,CH87+3,FALSE)),)</f>
        <v>0</v>
      </c>
      <c r="DD87" s="14">
        <f>ROUND(IF(CI87=0,0,HLOOKUP(CI$14,Villagers!$B$1:$V$33,CI87+3,FALSE)),)</f>
        <v>0</v>
      </c>
      <c r="DE87" s="14">
        <f>ROUND(IF(CJ87=0,0,HLOOKUP(CJ$14,Villagers!$B$1:$V$33,CJ87+3,FALSE)),)</f>
        <v>2</v>
      </c>
      <c r="DF87" s="370">
        <f>ROUND(IF(CK87=0,0,HLOOKUP(CK$14,Villagers!$B$1:$V$33,CK87+3,FALSE)),)</f>
        <v>0</v>
      </c>
      <c r="DG87" s="370">
        <f>ROUND(IF(CL87=0,0,HLOOKUP(CL$14,Villagers!$B$1:$V$33,CL87+3,FALSE)),)</f>
        <v>0</v>
      </c>
      <c r="DH87" s="34">
        <f>ROUND(IF(CM87=0,0,HLOOKUP(CM$14,Villagers!$B$1:$V$33,CM87+3,FALSE)),)</f>
        <v>0</v>
      </c>
      <c r="DI87" s="109">
        <f t="shared" si="155"/>
        <v>0</v>
      </c>
      <c r="DJ87" s="50">
        <f t="shared" si="156"/>
        <v>0</v>
      </c>
      <c r="DK87" s="50">
        <f t="shared" si="157"/>
        <v>0</v>
      </c>
      <c r="DL87" s="50">
        <f t="shared" si="158"/>
        <v>0</v>
      </c>
      <c r="DM87" s="50">
        <f t="shared" si="159"/>
        <v>0</v>
      </c>
      <c r="DN87" s="50">
        <f t="shared" si="160"/>
        <v>0</v>
      </c>
      <c r="DO87" s="50">
        <f t="shared" si="161"/>
        <v>0</v>
      </c>
      <c r="DP87" s="50">
        <f t="shared" si="162"/>
        <v>0</v>
      </c>
      <c r="DQ87" s="50">
        <f t="shared" si="140"/>
        <v>0</v>
      </c>
      <c r="DR87" s="50">
        <f t="shared" si="141"/>
        <v>0</v>
      </c>
      <c r="DS87" s="96">
        <f>Miscelaneous!$D$4*Miscelaneous!$D$2^($CI87-1)</f>
        <v>1000</v>
      </c>
      <c r="DT87" s="333">
        <f t="shared" si="109"/>
        <v>1</v>
      </c>
      <c r="DU87" s="81">
        <v>1</v>
      </c>
      <c r="DV87" s="79">
        <f t="shared" si="142"/>
        <v>0</v>
      </c>
      <c r="DW87" s="79">
        <f t="shared" si="143"/>
        <v>0</v>
      </c>
      <c r="DX87" s="79">
        <f t="shared" si="144"/>
        <v>0</v>
      </c>
      <c r="DY87" s="79">
        <v>1</v>
      </c>
      <c r="DZ87" s="79">
        <f t="shared" si="145"/>
        <v>0</v>
      </c>
      <c r="EA87" s="79">
        <f t="shared" si="146"/>
        <v>0</v>
      </c>
      <c r="EB87" s="79">
        <f t="shared" si="147"/>
        <v>0</v>
      </c>
      <c r="EC87" s="79">
        <f t="shared" si="148"/>
        <v>0</v>
      </c>
      <c r="ED87" s="79">
        <v>1</v>
      </c>
      <c r="EE87" s="79">
        <v>1</v>
      </c>
      <c r="EF87" s="79">
        <f t="shared" si="149"/>
        <v>0</v>
      </c>
      <c r="EG87" s="79">
        <v>1</v>
      </c>
      <c r="EH87" s="79">
        <v>1</v>
      </c>
      <c r="EI87" s="79">
        <v>1</v>
      </c>
      <c r="EJ87" s="79">
        <v>1</v>
      </c>
      <c r="EK87" s="79">
        <v>1</v>
      </c>
      <c r="EL87" s="79">
        <v>1</v>
      </c>
      <c r="EM87" s="143">
        <f t="shared" si="150"/>
        <v>0</v>
      </c>
      <c r="EN87" s="143">
        <f t="shared" si="151"/>
        <v>0</v>
      </c>
      <c r="EO87" s="82">
        <f t="shared" si="152"/>
        <v>0</v>
      </c>
    </row>
    <row r="88" spans="1:145" x14ac:dyDescent="0.25">
      <c r="A88">
        <v>74</v>
      </c>
      <c r="B88" s="172" t="e">
        <f t="shared" si="110"/>
        <v>#N/A</v>
      </c>
      <c r="C88" s="121" t="e">
        <f t="shared" si="89"/>
        <v>#N/A</v>
      </c>
      <c r="D88" s="122" t="e">
        <f t="shared" si="90"/>
        <v>#N/A</v>
      </c>
      <c r="E88" s="122" t="e">
        <f t="shared" si="91"/>
        <v>#N/A</v>
      </c>
      <c r="F88" s="176" t="e">
        <f t="shared" si="92"/>
        <v>#N/A</v>
      </c>
      <c r="G88" s="121">
        <f t="shared" si="111"/>
        <v>208</v>
      </c>
      <c r="H88" s="176" t="e">
        <f t="shared" si="112"/>
        <v>#N/A</v>
      </c>
      <c r="I88" s="48">
        <v>1</v>
      </c>
      <c r="J88" s="39"/>
      <c r="K88" s="350">
        <v>1</v>
      </c>
      <c r="L88" s="34" t="e">
        <f t="shared" si="93"/>
        <v>#N/A</v>
      </c>
      <c r="M88" s="38" t="e">
        <f>(HLOOKUP(J88,'Construction Times'!$B$3:$W$34,L88+2,FALSE)*HLOOKUP("hq modifier",'Construction Times'!$W$3:$W$34,BS88+2,FALSE))*(1-$H$9)</f>
        <v>#N/A</v>
      </c>
      <c r="N88" s="443" t="e">
        <f t="shared" si="113"/>
        <v>#N/A</v>
      </c>
      <c r="O88" s="444"/>
      <c r="P88" s="447" t="e">
        <f t="shared" si="114"/>
        <v>#N/A</v>
      </c>
      <c r="Q88" s="448"/>
      <c r="R88" s="103">
        <f t="shared" si="153"/>
        <v>0</v>
      </c>
      <c r="S88" s="104">
        <f t="shared" si="153"/>
        <v>0</v>
      </c>
      <c r="T88" s="104">
        <f t="shared" si="154"/>
        <v>0</v>
      </c>
      <c r="U88" s="104">
        <f t="shared" si="154"/>
        <v>0</v>
      </c>
      <c r="V88" s="104">
        <f t="shared" si="154"/>
        <v>9.9999999999999995E-8</v>
      </c>
      <c r="W88" s="104">
        <f t="shared" si="154"/>
        <v>0</v>
      </c>
      <c r="X88" s="104">
        <f t="shared" si="85"/>
        <v>0</v>
      </c>
      <c r="Y88" s="104">
        <f t="shared" si="85"/>
        <v>9.9999999999999995E-8</v>
      </c>
      <c r="Z88" s="104">
        <f t="shared" si="85"/>
        <v>9.9999999999999995E-8</v>
      </c>
      <c r="AA88" s="105">
        <f t="shared" si="85"/>
        <v>9.9999999999999995E-8</v>
      </c>
      <c r="AB88" s="101" t="e">
        <f>$DT88*HLOOKUP($J88,'Construction Costs (timber)'!$B$1:$V$32,'Construction Planner'!$L88+2,FALSE)</f>
        <v>#N/A</v>
      </c>
      <c r="AC88" s="14" t="e">
        <f>$DT88*HLOOKUP($J88,'Construction Costs (clay)'!$B$1:$V$32,'Construction Planner'!$L88+2,FALSE)</f>
        <v>#N/A</v>
      </c>
      <c r="AD88" s="14" t="e">
        <f>$DT88*HLOOKUP($J88,'Construction Costs (iron)'!$B$1:$V$32,'Construction Planner'!$L88+2,FALSE)</f>
        <v>#N/A</v>
      </c>
      <c r="AE88" s="34" t="e">
        <f t="shared" si="163"/>
        <v>#N/A</v>
      </c>
      <c r="AF88" s="33" t="e">
        <f t="shared" si="94"/>
        <v>#N/A</v>
      </c>
      <c r="AG88" s="14" t="e">
        <f t="shared" si="95"/>
        <v>#N/A</v>
      </c>
      <c r="AH88" s="14" t="e">
        <f t="shared" si="96"/>
        <v>#N/A</v>
      </c>
      <c r="AI88" s="34" t="e">
        <f t="shared" si="164"/>
        <v>#N/A</v>
      </c>
      <c r="AJ88" s="49" t="e">
        <f t="shared" si="115"/>
        <v>#N/A</v>
      </c>
      <c r="AK88" s="49" t="e">
        <f t="shared" si="116"/>
        <v>#N/A</v>
      </c>
      <c r="AL88" s="49" t="e">
        <f t="shared" si="117"/>
        <v>#N/A</v>
      </c>
      <c r="AM88" s="25">
        <f t="shared" si="97"/>
        <v>30</v>
      </c>
      <c r="AN88" s="25">
        <f t="shared" si="98"/>
        <v>30</v>
      </c>
      <c r="AO88" s="25">
        <f t="shared" si="99"/>
        <v>30</v>
      </c>
      <c r="AP88" s="52" t="e">
        <f t="shared" si="118"/>
        <v>#N/A</v>
      </c>
      <c r="AQ88" s="53" t="e">
        <f t="shared" si="118"/>
        <v>#N/A</v>
      </c>
      <c r="AR88" s="54" t="e">
        <f t="shared" si="118"/>
        <v>#N/A</v>
      </c>
      <c r="AS88" s="316">
        <f t="shared" si="165"/>
        <v>0</v>
      </c>
      <c r="AT88" s="106">
        <f>_xlfn.IFNA($M88/VLOOKUP($BT88,'Unit information'!$A$2:$K$29,2,FALSE)*R88,0)*(1+$E$9)</f>
        <v>0</v>
      </c>
      <c r="AU88" s="107">
        <f>_xlfn.IFNA($M88/VLOOKUP($BT88,'Unit information'!$A$2:$K$29,3,FALSE)*S88,0)*(1+$E$9)</f>
        <v>0</v>
      </c>
      <c r="AV88" s="107">
        <f>_xlfn.IFNA($M88/VLOOKUP($BT88,'Unit information'!$A$2:$K$29,4,FALSE)*T88,0)*(1+$E$9)</f>
        <v>0</v>
      </c>
      <c r="AW88" s="107">
        <f>_xlfn.IFNA($M88/VLOOKUP($BT88,'Unit information'!$A$2:$K$29,5,FALSE)*U88,0)*(1+$E$9)</f>
        <v>0</v>
      </c>
      <c r="AX88" s="107">
        <f>_xlfn.IFNA($M88/VLOOKUP($BU88,'Unit information'!$A$2:$K$29,6,FALSE)*V88,0)*(1+$E$9)</f>
        <v>0</v>
      </c>
      <c r="AY88" s="107">
        <f>_xlfn.IFNA($M88/VLOOKUP($BU88,'Unit information'!$A$2:$K$29,7,FALSE)*W88,0)*(1+$E$9)</f>
        <v>0</v>
      </c>
      <c r="AZ88" s="107">
        <f>_xlfn.IFNA($M88/VLOOKUP($BU88,'Unit information'!$A$2:$K$29,8,FALSE)*X88,0)*(1+$E$9)</f>
        <v>0</v>
      </c>
      <c r="BA88" s="107">
        <f>_xlfn.IFNA($M88/VLOOKUP($BU88,'Unit information'!$A$2:$K$29,9,FALSE)*Y88,0)*(1+$E$9)</f>
        <v>0</v>
      </c>
      <c r="BB88" s="107">
        <f>_xlfn.IFNA($M88/VLOOKUP($BV88,'Unit information'!$A$2:$K$29,10,FALSE)*Z88,0)*(1+$E$9)</f>
        <v>0</v>
      </c>
      <c r="BC88" s="108">
        <f>_xlfn.IFNA($M88/VLOOKUP($BV88,'Unit information'!$A$2:$K$29,11,FALSE)*AA88,0)*(1+$E$9)</f>
        <v>0</v>
      </c>
      <c r="BD88" s="106">
        <f t="shared" si="100"/>
        <v>0</v>
      </c>
      <c r="BE88" s="107">
        <f t="shared" si="101"/>
        <v>0</v>
      </c>
      <c r="BF88" s="108">
        <f t="shared" si="102"/>
        <v>0</v>
      </c>
      <c r="BG88" s="25" t="e">
        <f t="shared" si="103"/>
        <v>#N/A</v>
      </c>
      <c r="BH88" s="25" t="e">
        <f t="shared" si="104"/>
        <v>#N/A</v>
      </c>
      <c r="BI88" s="25" t="e">
        <f t="shared" si="105"/>
        <v>#N/A</v>
      </c>
      <c r="BJ88" s="27" t="e">
        <f t="shared" si="106"/>
        <v>#N/A</v>
      </c>
      <c r="BK88" s="18" t="e">
        <f t="shared" si="107"/>
        <v>#N/A</v>
      </c>
      <c r="BL88" s="18" t="e">
        <f t="shared" si="108"/>
        <v>#N/A</v>
      </c>
      <c r="BM88" s="28" t="e">
        <f t="shared" si="166"/>
        <v>#N/A</v>
      </c>
      <c r="BN88" s="33">
        <f>HLOOKUP("maximum population",Miscelaneous!$C$1:$C$33,CH88+3,FALSE)</f>
        <v>240</v>
      </c>
      <c r="BO88" s="14">
        <f t="shared" si="119"/>
        <v>32</v>
      </c>
      <c r="BP88" s="14">
        <f t="shared" si="120"/>
        <v>0</v>
      </c>
      <c r="BQ88" s="14">
        <f t="shared" si="121"/>
        <v>208</v>
      </c>
      <c r="BR88" s="34" t="e">
        <f>HLOOKUP(J88,Villagers!$B$1:$V$33,L88+3,FALSE)-HLOOKUP(J88,Villagers!$B$1:$V$33,L88+2,FALSE)</f>
        <v>#N/A</v>
      </c>
      <c r="BS88" s="49">
        <f t="shared" si="122"/>
        <v>1</v>
      </c>
      <c r="BT88" s="50">
        <f t="shared" si="123"/>
        <v>0</v>
      </c>
      <c r="BU88" s="50">
        <f t="shared" si="124"/>
        <v>0</v>
      </c>
      <c r="BV88" s="50">
        <f t="shared" si="125"/>
        <v>0</v>
      </c>
      <c r="BW88" s="50">
        <f t="shared" si="126"/>
        <v>0</v>
      </c>
      <c r="BX88" s="50">
        <f t="shared" si="127"/>
        <v>0</v>
      </c>
      <c r="BY88" s="50">
        <f t="shared" si="127"/>
        <v>0</v>
      </c>
      <c r="BZ88" s="50">
        <f t="shared" si="128"/>
        <v>0</v>
      </c>
      <c r="CA88" s="50">
        <f t="shared" si="129"/>
        <v>0</v>
      </c>
      <c r="CB88" s="50">
        <f t="shared" si="130"/>
        <v>1</v>
      </c>
      <c r="CC88" s="50">
        <f t="shared" si="131"/>
        <v>0</v>
      </c>
      <c r="CD88" s="50">
        <f t="shared" si="132"/>
        <v>0</v>
      </c>
      <c r="CE88" s="50">
        <f t="shared" si="133"/>
        <v>1</v>
      </c>
      <c r="CF88" s="50">
        <f t="shared" si="134"/>
        <v>1</v>
      </c>
      <c r="CG88" s="50">
        <f t="shared" si="135"/>
        <v>1</v>
      </c>
      <c r="CH88" s="50">
        <f t="shared" si="136"/>
        <v>1</v>
      </c>
      <c r="CI88" s="50">
        <f t="shared" si="137"/>
        <v>1</v>
      </c>
      <c r="CJ88" s="50">
        <f t="shared" si="138"/>
        <v>1</v>
      </c>
      <c r="CK88" s="50">
        <f t="shared" si="138"/>
        <v>0</v>
      </c>
      <c r="CL88" s="50">
        <f t="shared" si="138"/>
        <v>0</v>
      </c>
      <c r="CM88" s="51">
        <f t="shared" si="139"/>
        <v>0</v>
      </c>
      <c r="CN88" s="33">
        <f>ROUND(IF(BS88=0,0,HLOOKUP(BS$14,Villagers!$B$1:$V$33,BS88+3,FALSE)),)</f>
        <v>5</v>
      </c>
      <c r="CO88" s="14">
        <f>ROUND(IF(BT88=0,0,HLOOKUP(BT$14,Villagers!$B$1:$V$33,BT88+3,FALSE)),)</f>
        <v>0</v>
      </c>
      <c r="CP88" s="14">
        <f>ROUND(IF(BU88=0,0,HLOOKUP(BU$14,Villagers!$B$1:$V$33,BU88+3,FALSE)),)</f>
        <v>0</v>
      </c>
      <c r="CQ88" s="14">
        <f>ROUND(IF(BV88=0,0,HLOOKUP(BV$14,Villagers!$B$1:$V$33,BV88+3,FALSE)),)</f>
        <v>0</v>
      </c>
      <c r="CR88" s="14">
        <f>ROUND(IF(BW88=0,0,HLOOKUP(BW$14,Villagers!$B$1:$V$33,BW88+3,FALSE)),)</f>
        <v>0</v>
      </c>
      <c r="CS88" s="14">
        <f>ROUND(IF(BX88=0,0,HLOOKUP(BX$14,Villagers!$B$1:$V$33,BX88+3,FALSE)),)</f>
        <v>0</v>
      </c>
      <c r="CT88" s="14">
        <f>ROUND(IF(BY88=0,0,HLOOKUP(BY$14,Villagers!$B$1:$V$33,BY88+3,FALSE)),)</f>
        <v>0</v>
      </c>
      <c r="CU88" s="14">
        <f>ROUND(IF(BZ88=0,0,HLOOKUP(BZ$14,Villagers!$B$1:$V$33,BZ88+3,FALSE)),)</f>
        <v>0</v>
      </c>
      <c r="CV88" s="14">
        <f>ROUND(IF(CA88=0,0,HLOOKUP(CA$14,Villagers!$B$1:$V$33,CA88+3,FALSE)),)</f>
        <v>0</v>
      </c>
      <c r="CW88" s="14">
        <f>ROUND(IF(CB88=0,0,HLOOKUP(CB$14,Villagers!$B$1:$V$33,CB88+3,FALSE)),)</f>
        <v>0</v>
      </c>
      <c r="CX88" s="14">
        <f>ROUND(IF(CC88=0,0,HLOOKUP(CC$14,Villagers!$B$1:$V$33,CC88+3,FALSE)),)</f>
        <v>0</v>
      </c>
      <c r="CY88" s="14">
        <f>ROUND(IF(CD88=0,0,HLOOKUP(CD$14,Villagers!$B$1:$V$33,CD88+3,FALSE)),)</f>
        <v>0</v>
      </c>
      <c r="CZ88" s="14">
        <f>ROUND(IF(CE88=0,0,HLOOKUP(CE$14,Villagers!$B$1:$V$33,CE88+3,FALSE)),)</f>
        <v>5</v>
      </c>
      <c r="DA88" s="14">
        <f>ROUND(IF(CF88=0,0,HLOOKUP(CF$14,Villagers!$B$1:$V$33,CF88+3,FALSE)),)</f>
        <v>10</v>
      </c>
      <c r="DB88" s="14">
        <f>ROUND(IF(CG88=0,0,HLOOKUP(CG$14,Villagers!$B$1:$V$33,CG88+3,FALSE)),)</f>
        <v>10</v>
      </c>
      <c r="DC88" s="14">
        <f>ROUND(IF(CH88=0,0,HLOOKUP(CH$14,Villagers!$B$1:$V$33,CH88+3,FALSE)),)</f>
        <v>0</v>
      </c>
      <c r="DD88" s="14">
        <f>ROUND(IF(CI88=0,0,HLOOKUP(CI$14,Villagers!$B$1:$V$33,CI88+3,FALSE)),)</f>
        <v>0</v>
      </c>
      <c r="DE88" s="14">
        <f>ROUND(IF(CJ88=0,0,HLOOKUP(CJ$14,Villagers!$B$1:$V$33,CJ88+3,FALSE)),)</f>
        <v>2</v>
      </c>
      <c r="DF88" s="370">
        <f>ROUND(IF(CK88=0,0,HLOOKUP(CK$14,Villagers!$B$1:$V$33,CK88+3,FALSE)),)</f>
        <v>0</v>
      </c>
      <c r="DG88" s="370">
        <f>ROUND(IF(CL88=0,0,HLOOKUP(CL$14,Villagers!$B$1:$V$33,CL88+3,FALSE)),)</f>
        <v>0</v>
      </c>
      <c r="DH88" s="34">
        <f>ROUND(IF(CM88=0,0,HLOOKUP(CM$14,Villagers!$B$1:$V$33,CM88+3,FALSE)),)</f>
        <v>0</v>
      </c>
      <c r="DI88" s="109">
        <f t="shared" si="155"/>
        <v>0</v>
      </c>
      <c r="DJ88" s="50">
        <f t="shared" si="156"/>
        <v>0</v>
      </c>
      <c r="DK88" s="50">
        <f t="shared" si="157"/>
        <v>0</v>
      </c>
      <c r="DL88" s="50">
        <f t="shared" si="158"/>
        <v>0</v>
      </c>
      <c r="DM88" s="50">
        <f t="shared" si="159"/>
        <v>0</v>
      </c>
      <c r="DN88" s="50">
        <f t="shared" si="160"/>
        <v>0</v>
      </c>
      <c r="DO88" s="50">
        <f t="shared" si="161"/>
        <v>0</v>
      </c>
      <c r="DP88" s="50">
        <f t="shared" si="162"/>
        <v>0</v>
      </c>
      <c r="DQ88" s="50">
        <f t="shared" si="140"/>
        <v>0</v>
      </c>
      <c r="DR88" s="50">
        <f t="shared" si="141"/>
        <v>0</v>
      </c>
      <c r="DS88" s="96">
        <f>Miscelaneous!$D$4*Miscelaneous!$D$2^($CI88-1)</f>
        <v>1000</v>
      </c>
      <c r="DT88" s="333">
        <f t="shared" si="109"/>
        <v>1</v>
      </c>
      <c r="DU88" s="81">
        <v>1</v>
      </c>
      <c r="DV88" s="79">
        <f t="shared" si="142"/>
        <v>0</v>
      </c>
      <c r="DW88" s="79">
        <f t="shared" si="143"/>
        <v>0</v>
      </c>
      <c r="DX88" s="79">
        <f t="shared" si="144"/>
        <v>0</v>
      </c>
      <c r="DY88" s="79">
        <v>1</v>
      </c>
      <c r="DZ88" s="79">
        <f t="shared" si="145"/>
        <v>0</v>
      </c>
      <c r="EA88" s="79">
        <f t="shared" si="146"/>
        <v>0</v>
      </c>
      <c r="EB88" s="79">
        <f t="shared" si="147"/>
        <v>0</v>
      </c>
      <c r="EC88" s="79">
        <f t="shared" si="148"/>
        <v>0</v>
      </c>
      <c r="ED88" s="79">
        <v>1</v>
      </c>
      <c r="EE88" s="79">
        <v>1</v>
      </c>
      <c r="EF88" s="79">
        <f t="shared" si="149"/>
        <v>0</v>
      </c>
      <c r="EG88" s="79">
        <v>1</v>
      </c>
      <c r="EH88" s="79">
        <v>1</v>
      </c>
      <c r="EI88" s="79">
        <v>1</v>
      </c>
      <c r="EJ88" s="79">
        <v>1</v>
      </c>
      <c r="EK88" s="79">
        <v>1</v>
      </c>
      <c r="EL88" s="79">
        <v>1</v>
      </c>
      <c r="EM88" s="143">
        <f t="shared" si="150"/>
        <v>0</v>
      </c>
      <c r="EN88" s="143">
        <f t="shared" si="151"/>
        <v>0</v>
      </c>
      <c r="EO88" s="82">
        <f t="shared" si="152"/>
        <v>0</v>
      </c>
    </row>
    <row r="89" spans="1:145" x14ac:dyDescent="0.25">
      <c r="A89">
        <v>75</v>
      </c>
      <c r="B89" s="172" t="e">
        <f t="shared" si="110"/>
        <v>#N/A</v>
      </c>
      <c r="C89" s="121" t="e">
        <f t="shared" si="89"/>
        <v>#N/A</v>
      </c>
      <c r="D89" s="122" t="e">
        <f t="shared" si="90"/>
        <v>#N/A</v>
      </c>
      <c r="E89" s="122" t="e">
        <f t="shared" si="91"/>
        <v>#N/A</v>
      </c>
      <c r="F89" s="176" t="e">
        <f t="shared" si="92"/>
        <v>#N/A</v>
      </c>
      <c r="G89" s="121">
        <f t="shared" si="111"/>
        <v>208</v>
      </c>
      <c r="H89" s="176" t="e">
        <f t="shared" si="112"/>
        <v>#N/A</v>
      </c>
      <c r="I89" s="48">
        <v>1</v>
      </c>
      <c r="J89" s="39"/>
      <c r="K89" s="350">
        <v>1</v>
      </c>
      <c r="L89" s="34" t="e">
        <f t="shared" si="93"/>
        <v>#N/A</v>
      </c>
      <c r="M89" s="38" t="e">
        <f>(HLOOKUP(J89,'Construction Times'!$B$3:$W$34,L89+2,FALSE)*HLOOKUP("hq modifier",'Construction Times'!$W$3:$W$34,BS89+2,FALSE))*(1-$H$9)</f>
        <v>#N/A</v>
      </c>
      <c r="N89" s="443" t="e">
        <f t="shared" si="113"/>
        <v>#N/A</v>
      </c>
      <c r="O89" s="444"/>
      <c r="P89" s="447" t="e">
        <f t="shared" si="114"/>
        <v>#N/A</v>
      </c>
      <c r="Q89" s="448"/>
      <c r="R89" s="103">
        <f t="shared" si="153"/>
        <v>0</v>
      </c>
      <c r="S89" s="104">
        <f t="shared" si="153"/>
        <v>0</v>
      </c>
      <c r="T89" s="104">
        <f t="shared" si="154"/>
        <v>0</v>
      </c>
      <c r="U89" s="104">
        <f t="shared" si="154"/>
        <v>0</v>
      </c>
      <c r="V89" s="104">
        <f t="shared" si="154"/>
        <v>9.9999999999999995E-8</v>
      </c>
      <c r="W89" s="104">
        <f t="shared" si="154"/>
        <v>0</v>
      </c>
      <c r="X89" s="104">
        <f t="shared" si="85"/>
        <v>0</v>
      </c>
      <c r="Y89" s="104">
        <f t="shared" si="85"/>
        <v>9.9999999999999995E-8</v>
      </c>
      <c r="Z89" s="104">
        <f t="shared" si="85"/>
        <v>9.9999999999999995E-8</v>
      </c>
      <c r="AA89" s="105">
        <f t="shared" si="85"/>
        <v>9.9999999999999995E-8</v>
      </c>
      <c r="AB89" s="101" t="e">
        <f>$DT89*HLOOKUP($J89,'Construction Costs (timber)'!$B$1:$V$32,'Construction Planner'!$L89+2,FALSE)</f>
        <v>#N/A</v>
      </c>
      <c r="AC89" s="14" t="e">
        <f>$DT89*HLOOKUP($J89,'Construction Costs (clay)'!$B$1:$V$32,'Construction Planner'!$L89+2,FALSE)</f>
        <v>#N/A</v>
      </c>
      <c r="AD89" s="14" t="e">
        <f>$DT89*HLOOKUP($J89,'Construction Costs (iron)'!$B$1:$V$32,'Construction Planner'!$L89+2,FALSE)</f>
        <v>#N/A</v>
      </c>
      <c r="AE89" s="34" t="e">
        <f t="shared" si="163"/>
        <v>#N/A</v>
      </c>
      <c r="AF89" s="33" t="e">
        <f t="shared" si="94"/>
        <v>#N/A</v>
      </c>
      <c r="AG89" s="14" t="e">
        <f t="shared" si="95"/>
        <v>#N/A</v>
      </c>
      <c r="AH89" s="14" t="e">
        <f t="shared" si="96"/>
        <v>#N/A</v>
      </c>
      <c r="AI89" s="34" t="e">
        <f t="shared" si="164"/>
        <v>#N/A</v>
      </c>
      <c r="AJ89" s="49" t="e">
        <f t="shared" si="115"/>
        <v>#N/A</v>
      </c>
      <c r="AK89" s="49" t="e">
        <f t="shared" si="116"/>
        <v>#N/A</v>
      </c>
      <c r="AL89" s="49" t="e">
        <f t="shared" si="117"/>
        <v>#N/A</v>
      </c>
      <c r="AM89" s="25">
        <f t="shared" si="97"/>
        <v>30</v>
      </c>
      <c r="AN89" s="25">
        <f t="shared" si="98"/>
        <v>30</v>
      </c>
      <c r="AO89" s="25">
        <f t="shared" si="99"/>
        <v>30</v>
      </c>
      <c r="AP89" s="52" t="e">
        <f t="shared" si="118"/>
        <v>#N/A</v>
      </c>
      <c r="AQ89" s="53" t="e">
        <f t="shared" si="118"/>
        <v>#N/A</v>
      </c>
      <c r="AR89" s="54" t="e">
        <f t="shared" si="118"/>
        <v>#N/A</v>
      </c>
      <c r="AS89" s="316">
        <f t="shared" si="165"/>
        <v>0</v>
      </c>
      <c r="AT89" s="106">
        <f>_xlfn.IFNA($M89/VLOOKUP($BT89,'Unit information'!$A$2:$K$29,2,FALSE)*R89,0)*(1+$E$9)</f>
        <v>0</v>
      </c>
      <c r="AU89" s="107">
        <f>_xlfn.IFNA($M89/VLOOKUP($BT89,'Unit information'!$A$2:$K$29,3,FALSE)*S89,0)*(1+$E$9)</f>
        <v>0</v>
      </c>
      <c r="AV89" s="107">
        <f>_xlfn.IFNA($M89/VLOOKUP($BT89,'Unit information'!$A$2:$K$29,4,FALSE)*T89,0)*(1+$E$9)</f>
        <v>0</v>
      </c>
      <c r="AW89" s="107">
        <f>_xlfn.IFNA($M89/VLOOKUP($BT89,'Unit information'!$A$2:$K$29,5,FALSE)*U89,0)*(1+$E$9)</f>
        <v>0</v>
      </c>
      <c r="AX89" s="107">
        <f>_xlfn.IFNA($M89/VLOOKUP($BU89,'Unit information'!$A$2:$K$29,6,FALSE)*V89,0)*(1+$E$9)</f>
        <v>0</v>
      </c>
      <c r="AY89" s="107">
        <f>_xlfn.IFNA($M89/VLOOKUP($BU89,'Unit information'!$A$2:$K$29,7,FALSE)*W89,0)*(1+$E$9)</f>
        <v>0</v>
      </c>
      <c r="AZ89" s="107">
        <f>_xlfn.IFNA($M89/VLOOKUP($BU89,'Unit information'!$A$2:$K$29,8,FALSE)*X89,0)*(1+$E$9)</f>
        <v>0</v>
      </c>
      <c r="BA89" s="107">
        <f>_xlfn.IFNA($M89/VLOOKUP($BU89,'Unit information'!$A$2:$K$29,9,FALSE)*Y89,0)*(1+$E$9)</f>
        <v>0</v>
      </c>
      <c r="BB89" s="107">
        <f>_xlfn.IFNA($M89/VLOOKUP($BV89,'Unit information'!$A$2:$K$29,10,FALSE)*Z89,0)*(1+$E$9)</f>
        <v>0</v>
      </c>
      <c r="BC89" s="108">
        <f>_xlfn.IFNA($M89/VLOOKUP($BV89,'Unit information'!$A$2:$K$29,11,FALSE)*AA89,0)*(1+$E$9)</f>
        <v>0</v>
      </c>
      <c r="BD89" s="106">
        <f t="shared" si="100"/>
        <v>0</v>
      </c>
      <c r="BE89" s="107">
        <f t="shared" si="101"/>
        <v>0</v>
      </c>
      <c r="BF89" s="108">
        <f t="shared" si="102"/>
        <v>0</v>
      </c>
      <c r="BG89" s="25" t="e">
        <f t="shared" si="103"/>
        <v>#N/A</v>
      </c>
      <c r="BH89" s="25" t="e">
        <f t="shared" si="104"/>
        <v>#N/A</v>
      </c>
      <c r="BI89" s="25" t="e">
        <f t="shared" si="105"/>
        <v>#N/A</v>
      </c>
      <c r="BJ89" s="27" t="e">
        <f t="shared" si="106"/>
        <v>#N/A</v>
      </c>
      <c r="BK89" s="18" t="e">
        <f t="shared" si="107"/>
        <v>#N/A</v>
      </c>
      <c r="BL89" s="18" t="e">
        <f t="shared" si="108"/>
        <v>#N/A</v>
      </c>
      <c r="BM89" s="28" t="e">
        <f t="shared" si="166"/>
        <v>#N/A</v>
      </c>
      <c r="BN89" s="33">
        <f>HLOOKUP("maximum population",Miscelaneous!$C$1:$C$33,CH89+3,FALSE)</f>
        <v>240</v>
      </c>
      <c r="BO89" s="14">
        <f t="shared" si="119"/>
        <v>32</v>
      </c>
      <c r="BP89" s="14">
        <f t="shared" si="120"/>
        <v>0</v>
      </c>
      <c r="BQ89" s="14">
        <f t="shared" si="121"/>
        <v>208</v>
      </c>
      <c r="BR89" s="34" t="e">
        <f>HLOOKUP(J89,Villagers!$B$1:$V$33,L89+3,FALSE)-HLOOKUP(J89,Villagers!$B$1:$V$33,L89+2,FALSE)</f>
        <v>#N/A</v>
      </c>
      <c r="BS89" s="49">
        <f t="shared" si="122"/>
        <v>1</v>
      </c>
      <c r="BT89" s="50">
        <f t="shared" si="123"/>
        <v>0</v>
      </c>
      <c r="BU89" s="50">
        <f t="shared" si="124"/>
        <v>0</v>
      </c>
      <c r="BV89" s="50">
        <f t="shared" si="125"/>
        <v>0</v>
      </c>
      <c r="BW89" s="50">
        <f t="shared" si="126"/>
        <v>0</v>
      </c>
      <c r="BX89" s="50">
        <f t="shared" si="127"/>
        <v>0</v>
      </c>
      <c r="BY89" s="50">
        <f t="shared" si="127"/>
        <v>0</v>
      </c>
      <c r="BZ89" s="50">
        <f t="shared" si="128"/>
        <v>0</v>
      </c>
      <c r="CA89" s="50">
        <f t="shared" si="129"/>
        <v>0</v>
      </c>
      <c r="CB89" s="50">
        <f t="shared" si="130"/>
        <v>1</v>
      </c>
      <c r="CC89" s="50">
        <f t="shared" si="131"/>
        <v>0</v>
      </c>
      <c r="CD89" s="50">
        <f t="shared" si="132"/>
        <v>0</v>
      </c>
      <c r="CE89" s="50">
        <f t="shared" si="133"/>
        <v>1</v>
      </c>
      <c r="CF89" s="50">
        <f t="shared" si="134"/>
        <v>1</v>
      </c>
      <c r="CG89" s="50">
        <f t="shared" si="135"/>
        <v>1</v>
      </c>
      <c r="CH89" s="50">
        <f t="shared" si="136"/>
        <v>1</v>
      </c>
      <c r="CI89" s="50">
        <f t="shared" si="137"/>
        <v>1</v>
      </c>
      <c r="CJ89" s="50">
        <f t="shared" si="138"/>
        <v>1</v>
      </c>
      <c r="CK89" s="50">
        <f t="shared" si="138"/>
        <v>0</v>
      </c>
      <c r="CL89" s="50">
        <f t="shared" si="138"/>
        <v>0</v>
      </c>
      <c r="CM89" s="51">
        <f t="shared" si="139"/>
        <v>0</v>
      </c>
      <c r="CN89" s="33">
        <f>ROUND(IF(BS89=0,0,HLOOKUP(BS$14,Villagers!$B$1:$V$33,BS89+3,FALSE)),)</f>
        <v>5</v>
      </c>
      <c r="CO89" s="14">
        <f>ROUND(IF(BT89=0,0,HLOOKUP(BT$14,Villagers!$B$1:$V$33,BT89+3,FALSE)),)</f>
        <v>0</v>
      </c>
      <c r="CP89" s="14">
        <f>ROUND(IF(BU89=0,0,HLOOKUP(BU$14,Villagers!$B$1:$V$33,BU89+3,FALSE)),)</f>
        <v>0</v>
      </c>
      <c r="CQ89" s="14">
        <f>ROUND(IF(BV89=0,0,HLOOKUP(BV$14,Villagers!$B$1:$V$33,BV89+3,FALSE)),)</f>
        <v>0</v>
      </c>
      <c r="CR89" s="14">
        <f>ROUND(IF(BW89=0,0,HLOOKUP(BW$14,Villagers!$B$1:$V$33,BW89+3,FALSE)),)</f>
        <v>0</v>
      </c>
      <c r="CS89" s="14">
        <f>ROUND(IF(BX89=0,0,HLOOKUP(BX$14,Villagers!$B$1:$V$33,BX89+3,FALSE)),)</f>
        <v>0</v>
      </c>
      <c r="CT89" s="14">
        <f>ROUND(IF(BY89=0,0,HLOOKUP(BY$14,Villagers!$B$1:$V$33,BY89+3,FALSE)),)</f>
        <v>0</v>
      </c>
      <c r="CU89" s="14">
        <f>ROUND(IF(BZ89=0,0,HLOOKUP(BZ$14,Villagers!$B$1:$V$33,BZ89+3,FALSE)),)</f>
        <v>0</v>
      </c>
      <c r="CV89" s="14">
        <f>ROUND(IF(CA89=0,0,HLOOKUP(CA$14,Villagers!$B$1:$V$33,CA89+3,FALSE)),)</f>
        <v>0</v>
      </c>
      <c r="CW89" s="14">
        <f>ROUND(IF(CB89=0,0,HLOOKUP(CB$14,Villagers!$B$1:$V$33,CB89+3,FALSE)),)</f>
        <v>0</v>
      </c>
      <c r="CX89" s="14">
        <f>ROUND(IF(CC89=0,0,HLOOKUP(CC$14,Villagers!$B$1:$V$33,CC89+3,FALSE)),)</f>
        <v>0</v>
      </c>
      <c r="CY89" s="14">
        <f>ROUND(IF(CD89=0,0,HLOOKUP(CD$14,Villagers!$B$1:$V$33,CD89+3,FALSE)),)</f>
        <v>0</v>
      </c>
      <c r="CZ89" s="14">
        <f>ROUND(IF(CE89=0,0,HLOOKUP(CE$14,Villagers!$B$1:$V$33,CE89+3,FALSE)),)</f>
        <v>5</v>
      </c>
      <c r="DA89" s="14">
        <f>ROUND(IF(CF89=0,0,HLOOKUP(CF$14,Villagers!$B$1:$V$33,CF89+3,FALSE)),)</f>
        <v>10</v>
      </c>
      <c r="DB89" s="14">
        <f>ROUND(IF(CG89=0,0,HLOOKUP(CG$14,Villagers!$B$1:$V$33,CG89+3,FALSE)),)</f>
        <v>10</v>
      </c>
      <c r="DC89" s="14">
        <f>ROUND(IF(CH89=0,0,HLOOKUP(CH$14,Villagers!$B$1:$V$33,CH89+3,FALSE)),)</f>
        <v>0</v>
      </c>
      <c r="DD89" s="14">
        <f>ROUND(IF(CI89=0,0,HLOOKUP(CI$14,Villagers!$B$1:$V$33,CI89+3,FALSE)),)</f>
        <v>0</v>
      </c>
      <c r="DE89" s="14">
        <f>ROUND(IF(CJ89=0,0,HLOOKUP(CJ$14,Villagers!$B$1:$V$33,CJ89+3,FALSE)),)</f>
        <v>2</v>
      </c>
      <c r="DF89" s="370">
        <f>ROUND(IF(CK89=0,0,HLOOKUP(CK$14,Villagers!$B$1:$V$33,CK89+3,FALSE)),)</f>
        <v>0</v>
      </c>
      <c r="DG89" s="370">
        <f>ROUND(IF(CL89=0,0,HLOOKUP(CL$14,Villagers!$B$1:$V$33,CL89+3,FALSE)),)</f>
        <v>0</v>
      </c>
      <c r="DH89" s="34">
        <f>ROUND(IF(CM89=0,0,HLOOKUP(CM$14,Villagers!$B$1:$V$33,CM89+3,FALSE)),)</f>
        <v>0</v>
      </c>
      <c r="DI89" s="109">
        <f t="shared" si="155"/>
        <v>0</v>
      </c>
      <c r="DJ89" s="50">
        <f t="shared" si="156"/>
        <v>0</v>
      </c>
      <c r="DK89" s="50">
        <f t="shared" si="157"/>
        <v>0</v>
      </c>
      <c r="DL89" s="50">
        <f t="shared" si="158"/>
        <v>0</v>
      </c>
      <c r="DM89" s="50">
        <f t="shared" si="159"/>
        <v>0</v>
      </c>
      <c r="DN89" s="50">
        <f t="shared" si="160"/>
        <v>0</v>
      </c>
      <c r="DO89" s="50">
        <f t="shared" si="161"/>
        <v>0</v>
      </c>
      <c r="DP89" s="50">
        <f t="shared" si="162"/>
        <v>0</v>
      </c>
      <c r="DQ89" s="50">
        <f t="shared" si="140"/>
        <v>0</v>
      </c>
      <c r="DR89" s="50">
        <f t="shared" si="141"/>
        <v>0</v>
      </c>
      <c r="DS89" s="96">
        <f>Miscelaneous!$D$4*Miscelaneous!$D$2^($CI89-1)</f>
        <v>1000</v>
      </c>
      <c r="DT89" s="333">
        <f t="shared" si="109"/>
        <v>1</v>
      </c>
      <c r="DU89" s="81">
        <v>1</v>
      </c>
      <c r="DV89" s="79">
        <f t="shared" si="142"/>
        <v>0</v>
      </c>
      <c r="DW89" s="79">
        <f t="shared" si="143"/>
        <v>0</v>
      </c>
      <c r="DX89" s="79">
        <f t="shared" si="144"/>
        <v>0</v>
      </c>
      <c r="DY89" s="79">
        <v>1</v>
      </c>
      <c r="DZ89" s="79">
        <f t="shared" si="145"/>
        <v>0</v>
      </c>
      <c r="EA89" s="79">
        <f t="shared" si="146"/>
        <v>0</v>
      </c>
      <c r="EB89" s="79">
        <f t="shared" si="147"/>
        <v>0</v>
      </c>
      <c r="EC89" s="79">
        <f t="shared" si="148"/>
        <v>0</v>
      </c>
      <c r="ED89" s="79">
        <v>1</v>
      </c>
      <c r="EE89" s="79">
        <v>1</v>
      </c>
      <c r="EF89" s="79">
        <f t="shared" si="149"/>
        <v>0</v>
      </c>
      <c r="EG89" s="79">
        <v>1</v>
      </c>
      <c r="EH89" s="79">
        <v>1</v>
      </c>
      <c r="EI89" s="79">
        <v>1</v>
      </c>
      <c r="EJ89" s="79">
        <v>1</v>
      </c>
      <c r="EK89" s="79">
        <v>1</v>
      </c>
      <c r="EL89" s="79">
        <v>1</v>
      </c>
      <c r="EM89" s="143">
        <f t="shared" si="150"/>
        <v>0</v>
      </c>
      <c r="EN89" s="143">
        <f t="shared" si="151"/>
        <v>0</v>
      </c>
      <c r="EO89" s="82">
        <f t="shared" si="152"/>
        <v>0</v>
      </c>
    </row>
    <row r="90" spans="1:145" x14ac:dyDescent="0.25">
      <c r="A90">
        <v>76</v>
      </c>
      <c r="B90" s="172" t="e">
        <f t="shared" si="110"/>
        <v>#N/A</v>
      </c>
      <c r="C90" s="121" t="e">
        <f t="shared" si="89"/>
        <v>#N/A</v>
      </c>
      <c r="D90" s="122" t="e">
        <f t="shared" si="90"/>
        <v>#N/A</v>
      </c>
      <c r="E90" s="122" t="e">
        <f t="shared" si="91"/>
        <v>#N/A</v>
      </c>
      <c r="F90" s="176" t="e">
        <f t="shared" si="92"/>
        <v>#N/A</v>
      </c>
      <c r="G90" s="121">
        <f t="shared" si="111"/>
        <v>208</v>
      </c>
      <c r="H90" s="176" t="e">
        <f t="shared" si="112"/>
        <v>#N/A</v>
      </c>
      <c r="I90" s="48">
        <v>1</v>
      </c>
      <c r="J90" s="39"/>
      <c r="K90" s="350">
        <v>1</v>
      </c>
      <c r="L90" s="34" t="e">
        <f t="shared" si="93"/>
        <v>#N/A</v>
      </c>
      <c r="M90" s="38" t="e">
        <f>(HLOOKUP(J90,'Construction Times'!$B$3:$W$34,L90+2,FALSE)*HLOOKUP("hq modifier",'Construction Times'!$W$3:$W$34,BS90+2,FALSE))*(1-$H$9)</f>
        <v>#N/A</v>
      </c>
      <c r="N90" s="443" t="e">
        <f t="shared" si="113"/>
        <v>#N/A</v>
      </c>
      <c r="O90" s="444"/>
      <c r="P90" s="447" t="e">
        <f t="shared" si="114"/>
        <v>#N/A</v>
      </c>
      <c r="Q90" s="448"/>
      <c r="R90" s="103">
        <f t="shared" si="153"/>
        <v>0</v>
      </c>
      <c r="S90" s="104">
        <f t="shared" si="153"/>
        <v>0</v>
      </c>
      <c r="T90" s="104">
        <f t="shared" si="154"/>
        <v>0</v>
      </c>
      <c r="U90" s="104">
        <f t="shared" si="154"/>
        <v>0</v>
      </c>
      <c r="V90" s="104">
        <f t="shared" si="154"/>
        <v>9.9999999999999995E-8</v>
      </c>
      <c r="W90" s="104">
        <f t="shared" si="154"/>
        <v>0</v>
      </c>
      <c r="X90" s="104">
        <f t="shared" si="85"/>
        <v>0</v>
      </c>
      <c r="Y90" s="104">
        <f t="shared" si="85"/>
        <v>9.9999999999999995E-8</v>
      </c>
      <c r="Z90" s="104">
        <f t="shared" si="85"/>
        <v>9.9999999999999995E-8</v>
      </c>
      <c r="AA90" s="105">
        <f t="shared" si="85"/>
        <v>9.9999999999999995E-8</v>
      </c>
      <c r="AB90" s="101" t="e">
        <f>$DT90*HLOOKUP($J90,'Construction Costs (timber)'!$B$1:$V$32,'Construction Planner'!$L90+2,FALSE)</f>
        <v>#N/A</v>
      </c>
      <c r="AC90" s="14" t="e">
        <f>$DT90*HLOOKUP($J90,'Construction Costs (clay)'!$B$1:$V$32,'Construction Planner'!$L90+2,FALSE)</f>
        <v>#N/A</v>
      </c>
      <c r="AD90" s="14" t="e">
        <f>$DT90*HLOOKUP($J90,'Construction Costs (iron)'!$B$1:$V$32,'Construction Planner'!$L90+2,FALSE)</f>
        <v>#N/A</v>
      </c>
      <c r="AE90" s="34" t="e">
        <f t="shared" si="163"/>
        <v>#N/A</v>
      </c>
      <c r="AF90" s="33" t="e">
        <f t="shared" si="94"/>
        <v>#N/A</v>
      </c>
      <c r="AG90" s="14" t="e">
        <f t="shared" si="95"/>
        <v>#N/A</v>
      </c>
      <c r="AH90" s="14" t="e">
        <f t="shared" si="96"/>
        <v>#N/A</v>
      </c>
      <c r="AI90" s="34" t="e">
        <f t="shared" si="164"/>
        <v>#N/A</v>
      </c>
      <c r="AJ90" s="49" t="e">
        <f t="shared" si="115"/>
        <v>#N/A</v>
      </c>
      <c r="AK90" s="49" t="e">
        <f t="shared" si="116"/>
        <v>#N/A</v>
      </c>
      <c r="AL90" s="49" t="e">
        <f t="shared" si="117"/>
        <v>#N/A</v>
      </c>
      <c r="AM90" s="25">
        <f t="shared" si="97"/>
        <v>30</v>
      </c>
      <c r="AN90" s="25">
        <f t="shared" si="98"/>
        <v>30</v>
      </c>
      <c r="AO90" s="25">
        <f t="shared" si="99"/>
        <v>30</v>
      </c>
      <c r="AP90" s="52" t="e">
        <f t="shared" si="118"/>
        <v>#N/A</v>
      </c>
      <c r="AQ90" s="53" t="e">
        <f t="shared" si="118"/>
        <v>#N/A</v>
      </c>
      <c r="AR90" s="54" t="e">
        <f t="shared" si="118"/>
        <v>#N/A</v>
      </c>
      <c r="AS90" s="316">
        <f t="shared" si="165"/>
        <v>0</v>
      </c>
      <c r="AT90" s="106">
        <f>_xlfn.IFNA($M90/VLOOKUP($BT90,'Unit information'!$A$2:$K$29,2,FALSE)*R90,0)*(1+$E$9)</f>
        <v>0</v>
      </c>
      <c r="AU90" s="107">
        <f>_xlfn.IFNA($M90/VLOOKUP($BT90,'Unit information'!$A$2:$K$29,3,FALSE)*S90,0)*(1+$E$9)</f>
        <v>0</v>
      </c>
      <c r="AV90" s="107">
        <f>_xlfn.IFNA($M90/VLOOKUP($BT90,'Unit information'!$A$2:$K$29,4,FALSE)*T90,0)*(1+$E$9)</f>
        <v>0</v>
      </c>
      <c r="AW90" s="107">
        <f>_xlfn.IFNA($M90/VLOOKUP($BT90,'Unit information'!$A$2:$K$29,5,FALSE)*U90,0)*(1+$E$9)</f>
        <v>0</v>
      </c>
      <c r="AX90" s="107">
        <f>_xlfn.IFNA($M90/VLOOKUP($BU90,'Unit information'!$A$2:$K$29,6,FALSE)*V90,0)*(1+$E$9)</f>
        <v>0</v>
      </c>
      <c r="AY90" s="107">
        <f>_xlfn.IFNA($M90/VLOOKUP($BU90,'Unit information'!$A$2:$K$29,7,FALSE)*W90,0)*(1+$E$9)</f>
        <v>0</v>
      </c>
      <c r="AZ90" s="107">
        <f>_xlfn.IFNA($M90/VLOOKUP($BU90,'Unit information'!$A$2:$K$29,8,FALSE)*X90,0)*(1+$E$9)</f>
        <v>0</v>
      </c>
      <c r="BA90" s="107">
        <f>_xlfn.IFNA($M90/VLOOKUP($BU90,'Unit information'!$A$2:$K$29,9,FALSE)*Y90,0)*(1+$E$9)</f>
        <v>0</v>
      </c>
      <c r="BB90" s="107">
        <f>_xlfn.IFNA($M90/VLOOKUP($BV90,'Unit information'!$A$2:$K$29,10,FALSE)*Z90,0)*(1+$E$9)</f>
        <v>0</v>
      </c>
      <c r="BC90" s="108">
        <f>_xlfn.IFNA($M90/VLOOKUP($BV90,'Unit information'!$A$2:$K$29,11,FALSE)*AA90,0)*(1+$E$9)</f>
        <v>0</v>
      </c>
      <c r="BD90" s="106">
        <f t="shared" si="100"/>
        <v>0</v>
      </c>
      <c r="BE90" s="107">
        <f t="shared" si="101"/>
        <v>0</v>
      </c>
      <c r="BF90" s="108">
        <f t="shared" si="102"/>
        <v>0</v>
      </c>
      <c r="BG90" s="25" t="e">
        <f t="shared" si="103"/>
        <v>#N/A</v>
      </c>
      <c r="BH90" s="25" t="e">
        <f t="shared" si="104"/>
        <v>#N/A</v>
      </c>
      <c r="BI90" s="25" t="e">
        <f t="shared" si="105"/>
        <v>#N/A</v>
      </c>
      <c r="BJ90" s="27" t="e">
        <f t="shared" si="106"/>
        <v>#N/A</v>
      </c>
      <c r="BK90" s="18" t="e">
        <f t="shared" si="107"/>
        <v>#N/A</v>
      </c>
      <c r="BL90" s="18" t="e">
        <f t="shared" si="108"/>
        <v>#N/A</v>
      </c>
      <c r="BM90" s="28" t="e">
        <f t="shared" si="166"/>
        <v>#N/A</v>
      </c>
      <c r="BN90" s="33">
        <f>HLOOKUP("maximum population",Miscelaneous!$C$1:$C$33,CH90+3,FALSE)</f>
        <v>240</v>
      </c>
      <c r="BO90" s="14">
        <f t="shared" si="119"/>
        <v>32</v>
      </c>
      <c r="BP90" s="14">
        <f t="shared" si="120"/>
        <v>0</v>
      </c>
      <c r="BQ90" s="14">
        <f t="shared" si="121"/>
        <v>208</v>
      </c>
      <c r="BR90" s="34" t="e">
        <f>HLOOKUP(J90,Villagers!$B$1:$V$33,L90+3,FALSE)-HLOOKUP(J90,Villagers!$B$1:$V$33,L90+2,FALSE)</f>
        <v>#N/A</v>
      </c>
      <c r="BS90" s="49">
        <f t="shared" si="122"/>
        <v>1</v>
      </c>
      <c r="BT90" s="50">
        <f t="shared" si="123"/>
        <v>0</v>
      </c>
      <c r="BU90" s="50">
        <f t="shared" si="124"/>
        <v>0</v>
      </c>
      <c r="BV90" s="50">
        <f t="shared" si="125"/>
        <v>0</v>
      </c>
      <c r="BW90" s="50">
        <f t="shared" si="126"/>
        <v>0</v>
      </c>
      <c r="BX90" s="50">
        <f t="shared" si="127"/>
        <v>0</v>
      </c>
      <c r="BY90" s="50">
        <f t="shared" si="127"/>
        <v>0</v>
      </c>
      <c r="BZ90" s="50">
        <f t="shared" si="128"/>
        <v>0</v>
      </c>
      <c r="CA90" s="50">
        <f t="shared" si="129"/>
        <v>0</v>
      </c>
      <c r="CB90" s="50">
        <f t="shared" si="130"/>
        <v>1</v>
      </c>
      <c r="CC90" s="50">
        <f t="shared" si="131"/>
        <v>0</v>
      </c>
      <c r="CD90" s="50">
        <f t="shared" si="132"/>
        <v>0</v>
      </c>
      <c r="CE90" s="50">
        <f t="shared" si="133"/>
        <v>1</v>
      </c>
      <c r="CF90" s="50">
        <f t="shared" si="134"/>
        <v>1</v>
      </c>
      <c r="CG90" s="50">
        <f t="shared" si="135"/>
        <v>1</v>
      </c>
      <c r="CH90" s="50">
        <f t="shared" si="136"/>
        <v>1</v>
      </c>
      <c r="CI90" s="50">
        <f t="shared" si="137"/>
        <v>1</v>
      </c>
      <c r="CJ90" s="50">
        <f t="shared" si="138"/>
        <v>1</v>
      </c>
      <c r="CK90" s="50">
        <f t="shared" si="138"/>
        <v>0</v>
      </c>
      <c r="CL90" s="50">
        <f t="shared" si="138"/>
        <v>0</v>
      </c>
      <c r="CM90" s="51">
        <f t="shared" si="139"/>
        <v>0</v>
      </c>
      <c r="CN90" s="33">
        <f>ROUND(IF(BS90=0,0,HLOOKUP(BS$14,Villagers!$B$1:$V$33,BS90+3,FALSE)),)</f>
        <v>5</v>
      </c>
      <c r="CO90" s="14">
        <f>ROUND(IF(BT90=0,0,HLOOKUP(BT$14,Villagers!$B$1:$V$33,BT90+3,FALSE)),)</f>
        <v>0</v>
      </c>
      <c r="CP90" s="14">
        <f>ROUND(IF(BU90=0,0,HLOOKUP(BU$14,Villagers!$B$1:$V$33,BU90+3,FALSE)),)</f>
        <v>0</v>
      </c>
      <c r="CQ90" s="14">
        <f>ROUND(IF(BV90=0,0,HLOOKUP(BV$14,Villagers!$B$1:$V$33,BV90+3,FALSE)),)</f>
        <v>0</v>
      </c>
      <c r="CR90" s="14">
        <f>ROUND(IF(BW90=0,0,HLOOKUP(BW$14,Villagers!$B$1:$V$33,BW90+3,FALSE)),)</f>
        <v>0</v>
      </c>
      <c r="CS90" s="14">
        <f>ROUND(IF(BX90=0,0,HLOOKUP(BX$14,Villagers!$B$1:$V$33,BX90+3,FALSE)),)</f>
        <v>0</v>
      </c>
      <c r="CT90" s="14">
        <f>ROUND(IF(BY90=0,0,HLOOKUP(BY$14,Villagers!$B$1:$V$33,BY90+3,FALSE)),)</f>
        <v>0</v>
      </c>
      <c r="CU90" s="14">
        <f>ROUND(IF(BZ90=0,0,HLOOKUP(BZ$14,Villagers!$B$1:$V$33,BZ90+3,FALSE)),)</f>
        <v>0</v>
      </c>
      <c r="CV90" s="14">
        <f>ROUND(IF(CA90=0,0,HLOOKUP(CA$14,Villagers!$B$1:$V$33,CA90+3,FALSE)),)</f>
        <v>0</v>
      </c>
      <c r="CW90" s="14">
        <f>ROUND(IF(CB90=0,0,HLOOKUP(CB$14,Villagers!$B$1:$V$33,CB90+3,FALSE)),)</f>
        <v>0</v>
      </c>
      <c r="CX90" s="14">
        <f>ROUND(IF(CC90=0,0,HLOOKUP(CC$14,Villagers!$B$1:$V$33,CC90+3,FALSE)),)</f>
        <v>0</v>
      </c>
      <c r="CY90" s="14">
        <f>ROUND(IF(CD90=0,0,HLOOKUP(CD$14,Villagers!$B$1:$V$33,CD90+3,FALSE)),)</f>
        <v>0</v>
      </c>
      <c r="CZ90" s="14">
        <f>ROUND(IF(CE90=0,0,HLOOKUP(CE$14,Villagers!$B$1:$V$33,CE90+3,FALSE)),)</f>
        <v>5</v>
      </c>
      <c r="DA90" s="14">
        <f>ROUND(IF(CF90=0,0,HLOOKUP(CF$14,Villagers!$B$1:$V$33,CF90+3,FALSE)),)</f>
        <v>10</v>
      </c>
      <c r="DB90" s="14">
        <f>ROUND(IF(CG90=0,0,HLOOKUP(CG$14,Villagers!$B$1:$V$33,CG90+3,FALSE)),)</f>
        <v>10</v>
      </c>
      <c r="DC90" s="14">
        <f>ROUND(IF(CH90=0,0,HLOOKUP(CH$14,Villagers!$B$1:$V$33,CH90+3,FALSE)),)</f>
        <v>0</v>
      </c>
      <c r="DD90" s="14">
        <f>ROUND(IF(CI90=0,0,HLOOKUP(CI$14,Villagers!$B$1:$V$33,CI90+3,FALSE)),)</f>
        <v>0</v>
      </c>
      <c r="DE90" s="14">
        <f>ROUND(IF(CJ90=0,0,HLOOKUP(CJ$14,Villagers!$B$1:$V$33,CJ90+3,FALSE)),)</f>
        <v>2</v>
      </c>
      <c r="DF90" s="370">
        <f>ROUND(IF(CK90=0,0,HLOOKUP(CK$14,Villagers!$B$1:$V$33,CK90+3,FALSE)),)</f>
        <v>0</v>
      </c>
      <c r="DG90" s="370">
        <f>ROUND(IF(CL90=0,0,HLOOKUP(CL$14,Villagers!$B$1:$V$33,CL90+3,FALSE)),)</f>
        <v>0</v>
      </c>
      <c r="DH90" s="34">
        <f>ROUND(IF(CM90=0,0,HLOOKUP(CM$14,Villagers!$B$1:$V$33,CM90+3,FALSE)),)</f>
        <v>0</v>
      </c>
      <c r="DI90" s="109">
        <f t="shared" si="155"/>
        <v>0</v>
      </c>
      <c r="DJ90" s="50">
        <f t="shared" si="156"/>
        <v>0</v>
      </c>
      <c r="DK90" s="50">
        <f t="shared" si="157"/>
        <v>0</v>
      </c>
      <c r="DL90" s="50">
        <f t="shared" si="158"/>
        <v>0</v>
      </c>
      <c r="DM90" s="50">
        <f t="shared" si="159"/>
        <v>0</v>
      </c>
      <c r="DN90" s="50">
        <f t="shared" si="160"/>
        <v>0</v>
      </c>
      <c r="DO90" s="50">
        <f t="shared" si="161"/>
        <v>0</v>
      </c>
      <c r="DP90" s="50">
        <f t="shared" si="162"/>
        <v>0</v>
      </c>
      <c r="DQ90" s="50">
        <f t="shared" si="140"/>
        <v>0</v>
      </c>
      <c r="DR90" s="50">
        <f t="shared" si="141"/>
        <v>0</v>
      </c>
      <c r="DS90" s="96">
        <f>Miscelaneous!$D$4*Miscelaneous!$D$2^($CI90-1)</f>
        <v>1000</v>
      </c>
      <c r="DT90" s="333">
        <f t="shared" si="109"/>
        <v>1</v>
      </c>
      <c r="DU90" s="81">
        <v>1</v>
      </c>
      <c r="DV90" s="79">
        <f t="shared" si="142"/>
        <v>0</v>
      </c>
      <c r="DW90" s="79">
        <f t="shared" si="143"/>
        <v>0</v>
      </c>
      <c r="DX90" s="79">
        <f t="shared" si="144"/>
        <v>0</v>
      </c>
      <c r="DY90" s="79">
        <v>1</v>
      </c>
      <c r="DZ90" s="79">
        <f t="shared" si="145"/>
        <v>0</v>
      </c>
      <c r="EA90" s="79">
        <f t="shared" si="146"/>
        <v>0</v>
      </c>
      <c r="EB90" s="79">
        <f t="shared" si="147"/>
        <v>0</v>
      </c>
      <c r="EC90" s="79">
        <f t="shared" si="148"/>
        <v>0</v>
      </c>
      <c r="ED90" s="79">
        <v>1</v>
      </c>
      <c r="EE90" s="79">
        <v>1</v>
      </c>
      <c r="EF90" s="79">
        <f t="shared" si="149"/>
        <v>0</v>
      </c>
      <c r="EG90" s="79">
        <v>1</v>
      </c>
      <c r="EH90" s="79">
        <v>1</v>
      </c>
      <c r="EI90" s="79">
        <v>1</v>
      </c>
      <c r="EJ90" s="79">
        <v>1</v>
      </c>
      <c r="EK90" s="79">
        <v>1</v>
      </c>
      <c r="EL90" s="79">
        <v>1</v>
      </c>
      <c r="EM90" s="143">
        <f t="shared" si="150"/>
        <v>0</v>
      </c>
      <c r="EN90" s="143">
        <f t="shared" si="151"/>
        <v>0</v>
      </c>
      <c r="EO90" s="82">
        <f t="shared" si="152"/>
        <v>0</v>
      </c>
    </row>
    <row r="91" spans="1:145" x14ac:dyDescent="0.25">
      <c r="A91">
        <v>77</v>
      </c>
      <c r="B91" s="172" t="e">
        <f t="shared" si="110"/>
        <v>#N/A</v>
      </c>
      <c r="C91" s="121" t="e">
        <f t="shared" si="89"/>
        <v>#N/A</v>
      </c>
      <c r="D91" s="122" t="e">
        <f t="shared" si="90"/>
        <v>#N/A</v>
      </c>
      <c r="E91" s="122" t="e">
        <f t="shared" si="91"/>
        <v>#N/A</v>
      </c>
      <c r="F91" s="176" t="e">
        <f t="shared" si="92"/>
        <v>#N/A</v>
      </c>
      <c r="G91" s="121">
        <f t="shared" si="111"/>
        <v>208</v>
      </c>
      <c r="H91" s="176" t="e">
        <f t="shared" si="112"/>
        <v>#N/A</v>
      </c>
      <c r="I91" s="48">
        <v>1</v>
      </c>
      <c r="J91" s="39"/>
      <c r="K91" s="350">
        <v>1</v>
      </c>
      <c r="L91" s="34" t="e">
        <f t="shared" si="93"/>
        <v>#N/A</v>
      </c>
      <c r="M91" s="38" t="e">
        <f>(HLOOKUP(J91,'Construction Times'!$B$3:$W$34,L91+2,FALSE)*HLOOKUP("hq modifier",'Construction Times'!$W$3:$W$34,BS91+2,FALSE))*(1-$H$9)</f>
        <v>#N/A</v>
      </c>
      <c r="N91" s="443" t="e">
        <f t="shared" si="113"/>
        <v>#N/A</v>
      </c>
      <c r="O91" s="444"/>
      <c r="P91" s="447" t="e">
        <f t="shared" si="114"/>
        <v>#N/A</v>
      </c>
      <c r="Q91" s="448"/>
      <c r="R91" s="103">
        <f t="shared" si="153"/>
        <v>0</v>
      </c>
      <c r="S91" s="104">
        <f t="shared" si="153"/>
        <v>0</v>
      </c>
      <c r="T91" s="104">
        <f t="shared" si="154"/>
        <v>0</v>
      </c>
      <c r="U91" s="104">
        <f t="shared" si="154"/>
        <v>0</v>
      </c>
      <c r="V91" s="104">
        <f t="shared" si="154"/>
        <v>9.9999999999999995E-8</v>
      </c>
      <c r="W91" s="104">
        <f t="shared" si="154"/>
        <v>0</v>
      </c>
      <c r="X91" s="104">
        <f t="shared" si="85"/>
        <v>0</v>
      </c>
      <c r="Y91" s="104">
        <f t="shared" si="85"/>
        <v>9.9999999999999995E-8</v>
      </c>
      <c r="Z91" s="104">
        <f t="shared" si="85"/>
        <v>9.9999999999999995E-8</v>
      </c>
      <c r="AA91" s="105">
        <f t="shared" si="85"/>
        <v>9.9999999999999995E-8</v>
      </c>
      <c r="AB91" s="101" t="e">
        <f>$DT91*HLOOKUP($J91,'Construction Costs (timber)'!$B$1:$V$32,'Construction Planner'!$L91+2,FALSE)</f>
        <v>#N/A</v>
      </c>
      <c r="AC91" s="14" t="e">
        <f>$DT91*HLOOKUP($J91,'Construction Costs (clay)'!$B$1:$V$32,'Construction Planner'!$L91+2,FALSE)</f>
        <v>#N/A</v>
      </c>
      <c r="AD91" s="14" t="e">
        <f>$DT91*HLOOKUP($J91,'Construction Costs (iron)'!$B$1:$V$32,'Construction Planner'!$L91+2,FALSE)</f>
        <v>#N/A</v>
      </c>
      <c r="AE91" s="34" t="e">
        <f t="shared" si="163"/>
        <v>#N/A</v>
      </c>
      <c r="AF91" s="33" t="e">
        <f t="shared" si="94"/>
        <v>#N/A</v>
      </c>
      <c r="AG91" s="14" t="e">
        <f t="shared" si="95"/>
        <v>#N/A</v>
      </c>
      <c r="AH91" s="14" t="e">
        <f t="shared" si="96"/>
        <v>#N/A</v>
      </c>
      <c r="AI91" s="34" t="e">
        <f t="shared" si="164"/>
        <v>#N/A</v>
      </c>
      <c r="AJ91" s="49" t="e">
        <f t="shared" si="115"/>
        <v>#N/A</v>
      </c>
      <c r="AK91" s="49" t="e">
        <f t="shared" si="116"/>
        <v>#N/A</v>
      </c>
      <c r="AL91" s="49" t="e">
        <f t="shared" si="117"/>
        <v>#N/A</v>
      </c>
      <c r="AM91" s="25">
        <f t="shared" si="97"/>
        <v>30</v>
      </c>
      <c r="AN91" s="25">
        <f t="shared" si="98"/>
        <v>30</v>
      </c>
      <c r="AO91" s="25">
        <f t="shared" si="99"/>
        <v>30</v>
      </c>
      <c r="AP91" s="52" t="e">
        <f t="shared" si="118"/>
        <v>#N/A</v>
      </c>
      <c r="AQ91" s="53" t="e">
        <f t="shared" si="118"/>
        <v>#N/A</v>
      </c>
      <c r="AR91" s="54" t="e">
        <f t="shared" si="118"/>
        <v>#N/A</v>
      </c>
      <c r="AS91" s="316">
        <f t="shared" si="165"/>
        <v>0</v>
      </c>
      <c r="AT91" s="106">
        <f>_xlfn.IFNA($M91/VLOOKUP($BT91,'Unit information'!$A$2:$K$29,2,FALSE)*R91,0)*(1+$E$9)</f>
        <v>0</v>
      </c>
      <c r="AU91" s="107">
        <f>_xlfn.IFNA($M91/VLOOKUP($BT91,'Unit information'!$A$2:$K$29,3,FALSE)*S91,0)*(1+$E$9)</f>
        <v>0</v>
      </c>
      <c r="AV91" s="107">
        <f>_xlfn.IFNA($M91/VLOOKUP($BT91,'Unit information'!$A$2:$K$29,4,FALSE)*T91,0)*(1+$E$9)</f>
        <v>0</v>
      </c>
      <c r="AW91" s="107">
        <f>_xlfn.IFNA($M91/VLOOKUP($BT91,'Unit information'!$A$2:$K$29,5,FALSE)*U91,0)*(1+$E$9)</f>
        <v>0</v>
      </c>
      <c r="AX91" s="107">
        <f>_xlfn.IFNA($M91/VLOOKUP($BU91,'Unit information'!$A$2:$K$29,6,FALSE)*V91,0)*(1+$E$9)</f>
        <v>0</v>
      </c>
      <c r="AY91" s="107">
        <f>_xlfn.IFNA($M91/VLOOKUP($BU91,'Unit information'!$A$2:$K$29,7,FALSE)*W91,0)*(1+$E$9)</f>
        <v>0</v>
      </c>
      <c r="AZ91" s="107">
        <f>_xlfn.IFNA($M91/VLOOKUP($BU91,'Unit information'!$A$2:$K$29,8,FALSE)*X91,0)*(1+$E$9)</f>
        <v>0</v>
      </c>
      <c r="BA91" s="107">
        <f>_xlfn.IFNA($M91/VLOOKUP($BU91,'Unit information'!$A$2:$K$29,9,FALSE)*Y91,0)*(1+$E$9)</f>
        <v>0</v>
      </c>
      <c r="BB91" s="107">
        <f>_xlfn.IFNA($M91/VLOOKUP($BV91,'Unit information'!$A$2:$K$29,10,FALSE)*Z91,0)*(1+$E$9)</f>
        <v>0</v>
      </c>
      <c r="BC91" s="108">
        <f>_xlfn.IFNA($M91/VLOOKUP($BV91,'Unit information'!$A$2:$K$29,11,FALSE)*AA91,0)*(1+$E$9)</f>
        <v>0</v>
      </c>
      <c r="BD91" s="106">
        <f t="shared" si="100"/>
        <v>0</v>
      </c>
      <c r="BE91" s="107">
        <f t="shared" si="101"/>
        <v>0</v>
      </c>
      <c r="BF91" s="108">
        <f t="shared" si="102"/>
        <v>0</v>
      </c>
      <c r="BG91" s="25" t="e">
        <f t="shared" si="103"/>
        <v>#N/A</v>
      </c>
      <c r="BH91" s="25" t="e">
        <f t="shared" si="104"/>
        <v>#N/A</v>
      </c>
      <c r="BI91" s="25" t="e">
        <f t="shared" si="105"/>
        <v>#N/A</v>
      </c>
      <c r="BJ91" s="27" t="e">
        <f t="shared" si="106"/>
        <v>#N/A</v>
      </c>
      <c r="BK91" s="18" t="e">
        <f t="shared" si="107"/>
        <v>#N/A</v>
      </c>
      <c r="BL91" s="18" t="e">
        <f t="shared" si="108"/>
        <v>#N/A</v>
      </c>
      <c r="BM91" s="28" t="e">
        <f t="shared" si="166"/>
        <v>#N/A</v>
      </c>
      <c r="BN91" s="33">
        <f>HLOOKUP("maximum population",Miscelaneous!$C$1:$C$33,CH91+3,FALSE)</f>
        <v>240</v>
      </c>
      <c r="BO91" s="14">
        <f t="shared" si="119"/>
        <v>32</v>
      </c>
      <c r="BP91" s="14">
        <f t="shared" si="120"/>
        <v>0</v>
      </c>
      <c r="BQ91" s="14">
        <f t="shared" si="121"/>
        <v>208</v>
      </c>
      <c r="BR91" s="34" t="e">
        <f>HLOOKUP(J91,Villagers!$B$1:$V$33,L91+3,FALSE)-HLOOKUP(J91,Villagers!$B$1:$V$33,L91+2,FALSE)</f>
        <v>#N/A</v>
      </c>
      <c r="BS91" s="49">
        <f t="shared" si="122"/>
        <v>1</v>
      </c>
      <c r="BT91" s="50">
        <f t="shared" si="123"/>
        <v>0</v>
      </c>
      <c r="BU91" s="50">
        <f t="shared" si="124"/>
        <v>0</v>
      </c>
      <c r="BV91" s="50">
        <f t="shared" si="125"/>
        <v>0</v>
      </c>
      <c r="BW91" s="50">
        <f t="shared" si="126"/>
        <v>0</v>
      </c>
      <c r="BX91" s="50">
        <f t="shared" si="127"/>
        <v>0</v>
      </c>
      <c r="BY91" s="50">
        <f t="shared" si="127"/>
        <v>0</v>
      </c>
      <c r="BZ91" s="50">
        <f t="shared" si="128"/>
        <v>0</v>
      </c>
      <c r="CA91" s="50">
        <f t="shared" si="129"/>
        <v>0</v>
      </c>
      <c r="CB91" s="50">
        <f t="shared" si="130"/>
        <v>1</v>
      </c>
      <c r="CC91" s="50">
        <f t="shared" si="131"/>
        <v>0</v>
      </c>
      <c r="CD91" s="50">
        <f t="shared" si="132"/>
        <v>0</v>
      </c>
      <c r="CE91" s="50">
        <f t="shared" si="133"/>
        <v>1</v>
      </c>
      <c r="CF91" s="50">
        <f t="shared" si="134"/>
        <v>1</v>
      </c>
      <c r="CG91" s="50">
        <f t="shared" si="135"/>
        <v>1</v>
      </c>
      <c r="CH91" s="50">
        <f t="shared" si="136"/>
        <v>1</v>
      </c>
      <c r="CI91" s="50">
        <f t="shared" si="137"/>
        <v>1</v>
      </c>
      <c r="CJ91" s="50">
        <f t="shared" si="138"/>
        <v>1</v>
      </c>
      <c r="CK91" s="50">
        <f t="shared" si="138"/>
        <v>0</v>
      </c>
      <c r="CL91" s="50">
        <f t="shared" si="138"/>
        <v>0</v>
      </c>
      <c r="CM91" s="51">
        <f t="shared" si="139"/>
        <v>0</v>
      </c>
      <c r="CN91" s="33">
        <f>ROUND(IF(BS91=0,0,HLOOKUP(BS$14,Villagers!$B$1:$V$33,BS91+3,FALSE)),)</f>
        <v>5</v>
      </c>
      <c r="CO91" s="14">
        <f>ROUND(IF(BT91=0,0,HLOOKUP(BT$14,Villagers!$B$1:$V$33,BT91+3,FALSE)),)</f>
        <v>0</v>
      </c>
      <c r="CP91" s="14">
        <f>ROUND(IF(BU91=0,0,HLOOKUP(BU$14,Villagers!$B$1:$V$33,BU91+3,FALSE)),)</f>
        <v>0</v>
      </c>
      <c r="CQ91" s="14">
        <f>ROUND(IF(BV91=0,0,HLOOKUP(BV$14,Villagers!$B$1:$V$33,BV91+3,FALSE)),)</f>
        <v>0</v>
      </c>
      <c r="CR91" s="14">
        <f>ROUND(IF(BW91=0,0,HLOOKUP(BW$14,Villagers!$B$1:$V$33,BW91+3,FALSE)),)</f>
        <v>0</v>
      </c>
      <c r="CS91" s="14">
        <f>ROUND(IF(BX91=0,0,HLOOKUP(BX$14,Villagers!$B$1:$V$33,BX91+3,FALSE)),)</f>
        <v>0</v>
      </c>
      <c r="CT91" s="14">
        <f>ROUND(IF(BY91=0,0,HLOOKUP(BY$14,Villagers!$B$1:$V$33,BY91+3,FALSE)),)</f>
        <v>0</v>
      </c>
      <c r="CU91" s="14">
        <f>ROUND(IF(BZ91=0,0,HLOOKUP(BZ$14,Villagers!$B$1:$V$33,BZ91+3,FALSE)),)</f>
        <v>0</v>
      </c>
      <c r="CV91" s="14">
        <f>ROUND(IF(CA91=0,0,HLOOKUP(CA$14,Villagers!$B$1:$V$33,CA91+3,FALSE)),)</f>
        <v>0</v>
      </c>
      <c r="CW91" s="14">
        <f>ROUND(IF(CB91=0,0,HLOOKUP(CB$14,Villagers!$B$1:$V$33,CB91+3,FALSE)),)</f>
        <v>0</v>
      </c>
      <c r="CX91" s="14">
        <f>ROUND(IF(CC91=0,0,HLOOKUP(CC$14,Villagers!$B$1:$V$33,CC91+3,FALSE)),)</f>
        <v>0</v>
      </c>
      <c r="CY91" s="14">
        <f>ROUND(IF(CD91=0,0,HLOOKUP(CD$14,Villagers!$B$1:$V$33,CD91+3,FALSE)),)</f>
        <v>0</v>
      </c>
      <c r="CZ91" s="14">
        <f>ROUND(IF(CE91=0,0,HLOOKUP(CE$14,Villagers!$B$1:$V$33,CE91+3,FALSE)),)</f>
        <v>5</v>
      </c>
      <c r="DA91" s="14">
        <f>ROUND(IF(CF91=0,0,HLOOKUP(CF$14,Villagers!$B$1:$V$33,CF91+3,FALSE)),)</f>
        <v>10</v>
      </c>
      <c r="DB91" s="14">
        <f>ROUND(IF(CG91=0,0,HLOOKUP(CG$14,Villagers!$B$1:$V$33,CG91+3,FALSE)),)</f>
        <v>10</v>
      </c>
      <c r="DC91" s="14">
        <f>ROUND(IF(CH91=0,0,HLOOKUP(CH$14,Villagers!$B$1:$V$33,CH91+3,FALSE)),)</f>
        <v>0</v>
      </c>
      <c r="DD91" s="14">
        <f>ROUND(IF(CI91=0,0,HLOOKUP(CI$14,Villagers!$B$1:$V$33,CI91+3,FALSE)),)</f>
        <v>0</v>
      </c>
      <c r="DE91" s="14">
        <f>ROUND(IF(CJ91=0,0,HLOOKUP(CJ$14,Villagers!$B$1:$V$33,CJ91+3,FALSE)),)</f>
        <v>2</v>
      </c>
      <c r="DF91" s="370">
        <f>ROUND(IF(CK91=0,0,HLOOKUP(CK$14,Villagers!$B$1:$V$33,CK91+3,FALSE)),)</f>
        <v>0</v>
      </c>
      <c r="DG91" s="370">
        <f>ROUND(IF(CL91=0,0,HLOOKUP(CL$14,Villagers!$B$1:$V$33,CL91+3,FALSE)),)</f>
        <v>0</v>
      </c>
      <c r="DH91" s="34">
        <f>ROUND(IF(CM91=0,0,HLOOKUP(CM$14,Villagers!$B$1:$V$33,CM91+3,FALSE)),)</f>
        <v>0</v>
      </c>
      <c r="DI91" s="109">
        <f t="shared" si="155"/>
        <v>0</v>
      </c>
      <c r="DJ91" s="50">
        <f t="shared" si="156"/>
        <v>0</v>
      </c>
      <c r="DK91" s="50">
        <f t="shared" si="157"/>
        <v>0</v>
      </c>
      <c r="DL91" s="50">
        <f t="shared" si="158"/>
        <v>0</v>
      </c>
      <c r="DM91" s="50">
        <f t="shared" si="159"/>
        <v>0</v>
      </c>
      <c r="DN91" s="50">
        <f t="shared" si="160"/>
        <v>0</v>
      </c>
      <c r="DO91" s="50">
        <f t="shared" si="161"/>
        <v>0</v>
      </c>
      <c r="DP91" s="50">
        <f t="shared" si="162"/>
        <v>0</v>
      </c>
      <c r="DQ91" s="50">
        <f t="shared" si="140"/>
        <v>0</v>
      </c>
      <c r="DR91" s="50">
        <f t="shared" si="141"/>
        <v>0</v>
      </c>
      <c r="DS91" s="96">
        <f>Miscelaneous!$D$4*Miscelaneous!$D$2^($CI91-1)</f>
        <v>1000</v>
      </c>
      <c r="DT91" s="333">
        <f t="shared" si="109"/>
        <v>1</v>
      </c>
      <c r="DU91" s="81">
        <v>1</v>
      </c>
      <c r="DV91" s="79">
        <f t="shared" si="142"/>
        <v>0</v>
      </c>
      <c r="DW91" s="79">
        <f t="shared" si="143"/>
        <v>0</v>
      </c>
      <c r="DX91" s="79">
        <f t="shared" si="144"/>
        <v>0</v>
      </c>
      <c r="DY91" s="79">
        <v>1</v>
      </c>
      <c r="DZ91" s="79">
        <f t="shared" si="145"/>
        <v>0</v>
      </c>
      <c r="EA91" s="79">
        <f t="shared" si="146"/>
        <v>0</v>
      </c>
      <c r="EB91" s="79">
        <f t="shared" si="147"/>
        <v>0</v>
      </c>
      <c r="EC91" s="79">
        <f t="shared" si="148"/>
        <v>0</v>
      </c>
      <c r="ED91" s="79">
        <v>1</v>
      </c>
      <c r="EE91" s="79">
        <v>1</v>
      </c>
      <c r="EF91" s="79">
        <f t="shared" si="149"/>
        <v>0</v>
      </c>
      <c r="EG91" s="79">
        <v>1</v>
      </c>
      <c r="EH91" s="79">
        <v>1</v>
      </c>
      <c r="EI91" s="79">
        <v>1</v>
      </c>
      <c r="EJ91" s="79">
        <v>1</v>
      </c>
      <c r="EK91" s="79">
        <v>1</v>
      </c>
      <c r="EL91" s="79">
        <v>1</v>
      </c>
      <c r="EM91" s="143">
        <f t="shared" si="150"/>
        <v>0</v>
      </c>
      <c r="EN91" s="143">
        <f t="shared" si="151"/>
        <v>0</v>
      </c>
      <c r="EO91" s="82">
        <f t="shared" si="152"/>
        <v>0</v>
      </c>
    </row>
    <row r="92" spans="1:145" x14ac:dyDescent="0.25">
      <c r="A92">
        <v>78</v>
      </c>
      <c r="B92" s="172" t="e">
        <f t="shared" si="110"/>
        <v>#N/A</v>
      </c>
      <c r="C92" s="121" t="e">
        <f t="shared" si="89"/>
        <v>#N/A</v>
      </c>
      <c r="D92" s="122" t="e">
        <f t="shared" si="90"/>
        <v>#N/A</v>
      </c>
      <c r="E92" s="122" t="e">
        <f t="shared" si="91"/>
        <v>#N/A</v>
      </c>
      <c r="F92" s="176" t="e">
        <f t="shared" si="92"/>
        <v>#N/A</v>
      </c>
      <c r="G92" s="121">
        <f t="shared" si="111"/>
        <v>208</v>
      </c>
      <c r="H92" s="176" t="e">
        <f t="shared" si="112"/>
        <v>#N/A</v>
      </c>
      <c r="I92" s="48">
        <v>1</v>
      </c>
      <c r="J92" s="39"/>
      <c r="K92" s="350">
        <v>1</v>
      </c>
      <c r="L92" s="34" t="e">
        <f t="shared" si="93"/>
        <v>#N/A</v>
      </c>
      <c r="M92" s="38" t="e">
        <f>(HLOOKUP(J92,'Construction Times'!$B$3:$W$34,L92+2,FALSE)*HLOOKUP("hq modifier",'Construction Times'!$W$3:$W$34,BS92+2,FALSE))*(1-$H$9)</f>
        <v>#N/A</v>
      </c>
      <c r="N92" s="443" t="e">
        <f t="shared" si="113"/>
        <v>#N/A</v>
      </c>
      <c r="O92" s="444"/>
      <c r="P92" s="447" t="e">
        <f t="shared" si="114"/>
        <v>#N/A</v>
      </c>
      <c r="Q92" s="448"/>
      <c r="R92" s="103">
        <f t="shared" si="153"/>
        <v>0</v>
      </c>
      <c r="S92" s="104">
        <f t="shared" si="153"/>
        <v>0</v>
      </c>
      <c r="T92" s="104">
        <f t="shared" si="154"/>
        <v>0</v>
      </c>
      <c r="U92" s="104">
        <f t="shared" si="154"/>
        <v>0</v>
      </c>
      <c r="V92" s="104">
        <f t="shared" si="154"/>
        <v>9.9999999999999995E-8</v>
      </c>
      <c r="W92" s="104">
        <f t="shared" si="154"/>
        <v>0</v>
      </c>
      <c r="X92" s="104">
        <f t="shared" si="85"/>
        <v>0</v>
      </c>
      <c r="Y92" s="104">
        <f t="shared" si="85"/>
        <v>9.9999999999999995E-8</v>
      </c>
      <c r="Z92" s="104">
        <f t="shared" si="85"/>
        <v>9.9999999999999995E-8</v>
      </c>
      <c r="AA92" s="105">
        <f t="shared" si="85"/>
        <v>9.9999999999999995E-8</v>
      </c>
      <c r="AB92" s="101" t="e">
        <f>$DT92*HLOOKUP($J92,'Construction Costs (timber)'!$B$1:$V$32,'Construction Planner'!$L92+2,FALSE)</f>
        <v>#N/A</v>
      </c>
      <c r="AC92" s="14" t="e">
        <f>$DT92*HLOOKUP($J92,'Construction Costs (clay)'!$B$1:$V$32,'Construction Planner'!$L92+2,FALSE)</f>
        <v>#N/A</v>
      </c>
      <c r="AD92" s="14" t="e">
        <f>$DT92*HLOOKUP($J92,'Construction Costs (iron)'!$B$1:$V$32,'Construction Planner'!$L92+2,FALSE)</f>
        <v>#N/A</v>
      </c>
      <c r="AE92" s="34" t="e">
        <f t="shared" si="163"/>
        <v>#N/A</v>
      </c>
      <c r="AF92" s="33" t="e">
        <f t="shared" si="94"/>
        <v>#N/A</v>
      </c>
      <c r="AG92" s="14" t="e">
        <f t="shared" si="95"/>
        <v>#N/A</v>
      </c>
      <c r="AH92" s="14" t="e">
        <f t="shared" si="96"/>
        <v>#N/A</v>
      </c>
      <c r="AI92" s="34" t="e">
        <f t="shared" si="164"/>
        <v>#N/A</v>
      </c>
      <c r="AJ92" s="49" t="e">
        <f t="shared" si="115"/>
        <v>#N/A</v>
      </c>
      <c r="AK92" s="49" t="e">
        <f t="shared" si="116"/>
        <v>#N/A</v>
      </c>
      <c r="AL92" s="49" t="e">
        <f t="shared" si="117"/>
        <v>#N/A</v>
      </c>
      <c r="AM92" s="25">
        <f t="shared" si="97"/>
        <v>30</v>
      </c>
      <c r="AN92" s="25">
        <f t="shared" si="98"/>
        <v>30</v>
      </c>
      <c r="AO92" s="25">
        <f t="shared" si="99"/>
        <v>30</v>
      </c>
      <c r="AP92" s="52" t="e">
        <f t="shared" si="118"/>
        <v>#N/A</v>
      </c>
      <c r="AQ92" s="53" t="e">
        <f t="shared" si="118"/>
        <v>#N/A</v>
      </c>
      <c r="AR92" s="54" t="e">
        <f t="shared" si="118"/>
        <v>#N/A</v>
      </c>
      <c r="AS92" s="316">
        <f t="shared" si="165"/>
        <v>0</v>
      </c>
      <c r="AT92" s="106">
        <f>_xlfn.IFNA($M92/VLOOKUP($BT92,'Unit information'!$A$2:$K$29,2,FALSE)*R92,0)*(1+$E$9)</f>
        <v>0</v>
      </c>
      <c r="AU92" s="107">
        <f>_xlfn.IFNA($M92/VLOOKUP($BT92,'Unit information'!$A$2:$K$29,3,FALSE)*S92,0)*(1+$E$9)</f>
        <v>0</v>
      </c>
      <c r="AV92" s="107">
        <f>_xlfn.IFNA($M92/VLOOKUP($BT92,'Unit information'!$A$2:$K$29,4,FALSE)*T92,0)*(1+$E$9)</f>
        <v>0</v>
      </c>
      <c r="AW92" s="107">
        <f>_xlfn.IFNA($M92/VLOOKUP($BT92,'Unit information'!$A$2:$K$29,5,FALSE)*U92,0)*(1+$E$9)</f>
        <v>0</v>
      </c>
      <c r="AX92" s="107">
        <f>_xlfn.IFNA($M92/VLOOKUP($BU92,'Unit information'!$A$2:$K$29,6,FALSE)*V92,0)*(1+$E$9)</f>
        <v>0</v>
      </c>
      <c r="AY92" s="107">
        <f>_xlfn.IFNA($M92/VLOOKUP($BU92,'Unit information'!$A$2:$K$29,7,FALSE)*W92,0)*(1+$E$9)</f>
        <v>0</v>
      </c>
      <c r="AZ92" s="107">
        <f>_xlfn.IFNA($M92/VLOOKUP($BU92,'Unit information'!$A$2:$K$29,8,FALSE)*X92,0)*(1+$E$9)</f>
        <v>0</v>
      </c>
      <c r="BA92" s="107">
        <f>_xlfn.IFNA($M92/VLOOKUP($BU92,'Unit information'!$A$2:$K$29,9,FALSE)*Y92,0)*(1+$E$9)</f>
        <v>0</v>
      </c>
      <c r="BB92" s="107">
        <f>_xlfn.IFNA($M92/VLOOKUP($BV92,'Unit information'!$A$2:$K$29,10,FALSE)*Z92,0)*(1+$E$9)</f>
        <v>0</v>
      </c>
      <c r="BC92" s="108">
        <f>_xlfn.IFNA($M92/VLOOKUP($BV92,'Unit information'!$A$2:$K$29,11,FALSE)*AA92,0)*(1+$E$9)</f>
        <v>0</v>
      </c>
      <c r="BD92" s="106">
        <f t="shared" si="100"/>
        <v>0</v>
      </c>
      <c r="BE92" s="107">
        <f t="shared" si="101"/>
        <v>0</v>
      </c>
      <c r="BF92" s="108">
        <f t="shared" si="102"/>
        <v>0</v>
      </c>
      <c r="BG92" s="25" t="e">
        <f t="shared" si="103"/>
        <v>#N/A</v>
      </c>
      <c r="BH92" s="25" t="e">
        <f t="shared" si="104"/>
        <v>#N/A</v>
      </c>
      <c r="BI92" s="25" t="e">
        <f t="shared" si="105"/>
        <v>#N/A</v>
      </c>
      <c r="BJ92" s="27" t="e">
        <f t="shared" si="106"/>
        <v>#N/A</v>
      </c>
      <c r="BK92" s="18" t="e">
        <f t="shared" si="107"/>
        <v>#N/A</v>
      </c>
      <c r="BL92" s="18" t="e">
        <f t="shared" si="108"/>
        <v>#N/A</v>
      </c>
      <c r="BM92" s="28" t="e">
        <f t="shared" si="166"/>
        <v>#N/A</v>
      </c>
      <c r="BN92" s="33">
        <f>HLOOKUP("maximum population",Miscelaneous!$C$1:$C$33,CH92+3,FALSE)</f>
        <v>240</v>
      </c>
      <c r="BO92" s="14">
        <f t="shared" si="119"/>
        <v>32</v>
      </c>
      <c r="BP92" s="14">
        <f t="shared" si="120"/>
        <v>0</v>
      </c>
      <c r="BQ92" s="14">
        <f t="shared" si="121"/>
        <v>208</v>
      </c>
      <c r="BR92" s="34" t="e">
        <f>HLOOKUP(J92,Villagers!$B$1:$V$33,L92+3,FALSE)-HLOOKUP(J92,Villagers!$B$1:$V$33,L92+2,FALSE)</f>
        <v>#N/A</v>
      </c>
      <c r="BS92" s="49">
        <f t="shared" si="122"/>
        <v>1</v>
      </c>
      <c r="BT92" s="50">
        <f t="shared" si="123"/>
        <v>0</v>
      </c>
      <c r="BU92" s="50">
        <f t="shared" si="124"/>
        <v>0</v>
      </c>
      <c r="BV92" s="50">
        <f t="shared" si="125"/>
        <v>0</v>
      </c>
      <c r="BW92" s="50">
        <f t="shared" si="126"/>
        <v>0</v>
      </c>
      <c r="BX92" s="50">
        <f t="shared" si="127"/>
        <v>0</v>
      </c>
      <c r="BY92" s="50">
        <f t="shared" si="127"/>
        <v>0</v>
      </c>
      <c r="BZ92" s="50">
        <f t="shared" si="128"/>
        <v>0</v>
      </c>
      <c r="CA92" s="50">
        <f t="shared" si="129"/>
        <v>0</v>
      </c>
      <c r="CB92" s="50">
        <f t="shared" si="130"/>
        <v>1</v>
      </c>
      <c r="CC92" s="50">
        <f t="shared" si="131"/>
        <v>0</v>
      </c>
      <c r="CD92" s="50">
        <f t="shared" si="132"/>
        <v>0</v>
      </c>
      <c r="CE92" s="50">
        <f t="shared" si="133"/>
        <v>1</v>
      </c>
      <c r="CF92" s="50">
        <f t="shared" si="134"/>
        <v>1</v>
      </c>
      <c r="CG92" s="50">
        <f t="shared" si="135"/>
        <v>1</v>
      </c>
      <c r="CH92" s="50">
        <f t="shared" si="136"/>
        <v>1</v>
      </c>
      <c r="CI92" s="50">
        <f t="shared" si="137"/>
        <v>1</v>
      </c>
      <c r="CJ92" s="50">
        <f t="shared" si="138"/>
        <v>1</v>
      </c>
      <c r="CK92" s="50">
        <f t="shared" si="138"/>
        <v>0</v>
      </c>
      <c r="CL92" s="50">
        <f t="shared" si="138"/>
        <v>0</v>
      </c>
      <c r="CM92" s="51">
        <f t="shared" si="139"/>
        <v>0</v>
      </c>
      <c r="CN92" s="33">
        <f>ROUND(IF(BS92=0,0,HLOOKUP(BS$14,Villagers!$B$1:$V$33,BS92+3,FALSE)),)</f>
        <v>5</v>
      </c>
      <c r="CO92" s="14">
        <f>ROUND(IF(BT92=0,0,HLOOKUP(BT$14,Villagers!$B$1:$V$33,BT92+3,FALSE)),)</f>
        <v>0</v>
      </c>
      <c r="CP92" s="14">
        <f>ROUND(IF(BU92=0,0,HLOOKUP(BU$14,Villagers!$B$1:$V$33,BU92+3,FALSE)),)</f>
        <v>0</v>
      </c>
      <c r="CQ92" s="14">
        <f>ROUND(IF(BV92=0,0,HLOOKUP(BV$14,Villagers!$B$1:$V$33,BV92+3,FALSE)),)</f>
        <v>0</v>
      </c>
      <c r="CR92" s="14">
        <f>ROUND(IF(BW92=0,0,HLOOKUP(BW$14,Villagers!$B$1:$V$33,BW92+3,FALSE)),)</f>
        <v>0</v>
      </c>
      <c r="CS92" s="14">
        <f>ROUND(IF(BX92=0,0,HLOOKUP(BX$14,Villagers!$B$1:$V$33,BX92+3,FALSE)),)</f>
        <v>0</v>
      </c>
      <c r="CT92" s="14">
        <f>ROUND(IF(BY92=0,0,HLOOKUP(BY$14,Villagers!$B$1:$V$33,BY92+3,FALSE)),)</f>
        <v>0</v>
      </c>
      <c r="CU92" s="14">
        <f>ROUND(IF(BZ92=0,0,HLOOKUP(BZ$14,Villagers!$B$1:$V$33,BZ92+3,FALSE)),)</f>
        <v>0</v>
      </c>
      <c r="CV92" s="14">
        <f>ROUND(IF(CA92=0,0,HLOOKUP(CA$14,Villagers!$B$1:$V$33,CA92+3,FALSE)),)</f>
        <v>0</v>
      </c>
      <c r="CW92" s="14">
        <f>ROUND(IF(CB92=0,0,HLOOKUP(CB$14,Villagers!$B$1:$V$33,CB92+3,FALSE)),)</f>
        <v>0</v>
      </c>
      <c r="CX92" s="14">
        <f>ROUND(IF(CC92=0,0,HLOOKUP(CC$14,Villagers!$B$1:$V$33,CC92+3,FALSE)),)</f>
        <v>0</v>
      </c>
      <c r="CY92" s="14">
        <f>ROUND(IF(CD92=0,0,HLOOKUP(CD$14,Villagers!$B$1:$V$33,CD92+3,FALSE)),)</f>
        <v>0</v>
      </c>
      <c r="CZ92" s="14">
        <f>ROUND(IF(CE92=0,0,HLOOKUP(CE$14,Villagers!$B$1:$V$33,CE92+3,FALSE)),)</f>
        <v>5</v>
      </c>
      <c r="DA92" s="14">
        <f>ROUND(IF(CF92=0,0,HLOOKUP(CF$14,Villagers!$B$1:$V$33,CF92+3,FALSE)),)</f>
        <v>10</v>
      </c>
      <c r="DB92" s="14">
        <f>ROUND(IF(CG92=0,0,HLOOKUP(CG$14,Villagers!$B$1:$V$33,CG92+3,FALSE)),)</f>
        <v>10</v>
      </c>
      <c r="DC92" s="14">
        <f>ROUND(IF(CH92=0,0,HLOOKUP(CH$14,Villagers!$B$1:$V$33,CH92+3,FALSE)),)</f>
        <v>0</v>
      </c>
      <c r="DD92" s="14">
        <f>ROUND(IF(CI92=0,0,HLOOKUP(CI$14,Villagers!$B$1:$V$33,CI92+3,FALSE)),)</f>
        <v>0</v>
      </c>
      <c r="DE92" s="14">
        <f>ROUND(IF(CJ92=0,0,HLOOKUP(CJ$14,Villagers!$B$1:$V$33,CJ92+3,FALSE)),)</f>
        <v>2</v>
      </c>
      <c r="DF92" s="370">
        <f>ROUND(IF(CK92=0,0,HLOOKUP(CK$14,Villagers!$B$1:$V$33,CK92+3,FALSE)),)</f>
        <v>0</v>
      </c>
      <c r="DG92" s="370">
        <f>ROUND(IF(CL92=0,0,HLOOKUP(CL$14,Villagers!$B$1:$V$33,CL92+3,FALSE)),)</f>
        <v>0</v>
      </c>
      <c r="DH92" s="34">
        <f>ROUND(IF(CM92=0,0,HLOOKUP(CM$14,Villagers!$B$1:$V$33,CM92+3,FALSE)),)</f>
        <v>0</v>
      </c>
      <c r="DI92" s="109">
        <f t="shared" si="155"/>
        <v>0</v>
      </c>
      <c r="DJ92" s="50">
        <f t="shared" si="156"/>
        <v>0</v>
      </c>
      <c r="DK92" s="50">
        <f t="shared" si="157"/>
        <v>0</v>
      </c>
      <c r="DL92" s="50">
        <f t="shared" si="158"/>
        <v>0</v>
      </c>
      <c r="DM92" s="50">
        <f t="shared" si="159"/>
        <v>0</v>
      </c>
      <c r="DN92" s="50">
        <f t="shared" si="160"/>
        <v>0</v>
      </c>
      <c r="DO92" s="50">
        <f t="shared" si="161"/>
        <v>0</v>
      </c>
      <c r="DP92" s="50">
        <f t="shared" si="162"/>
        <v>0</v>
      </c>
      <c r="DQ92" s="50">
        <f t="shared" si="140"/>
        <v>0</v>
      </c>
      <c r="DR92" s="50">
        <f t="shared" si="141"/>
        <v>0</v>
      </c>
      <c r="DS92" s="96">
        <f>Miscelaneous!$D$4*Miscelaneous!$D$2^($CI92-1)</f>
        <v>1000</v>
      </c>
      <c r="DT92" s="333">
        <f t="shared" si="109"/>
        <v>1</v>
      </c>
      <c r="DU92" s="81">
        <v>1</v>
      </c>
      <c r="DV92" s="79">
        <f t="shared" si="142"/>
        <v>0</v>
      </c>
      <c r="DW92" s="79">
        <f t="shared" si="143"/>
        <v>0</v>
      </c>
      <c r="DX92" s="79">
        <f t="shared" si="144"/>
        <v>0</v>
      </c>
      <c r="DY92" s="79">
        <v>1</v>
      </c>
      <c r="DZ92" s="79">
        <f t="shared" si="145"/>
        <v>0</v>
      </c>
      <c r="EA92" s="79">
        <f t="shared" si="146"/>
        <v>0</v>
      </c>
      <c r="EB92" s="79">
        <f t="shared" si="147"/>
        <v>0</v>
      </c>
      <c r="EC92" s="79">
        <f t="shared" si="148"/>
        <v>0</v>
      </c>
      <c r="ED92" s="79">
        <v>1</v>
      </c>
      <c r="EE92" s="79">
        <v>1</v>
      </c>
      <c r="EF92" s="79">
        <f t="shared" si="149"/>
        <v>0</v>
      </c>
      <c r="EG92" s="79">
        <v>1</v>
      </c>
      <c r="EH92" s="79">
        <v>1</v>
      </c>
      <c r="EI92" s="79">
        <v>1</v>
      </c>
      <c r="EJ92" s="79">
        <v>1</v>
      </c>
      <c r="EK92" s="79">
        <v>1</v>
      </c>
      <c r="EL92" s="79">
        <v>1</v>
      </c>
      <c r="EM92" s="143">
        <f t="shared" si="150"/>
        <v>0</v>
      </c>
      <c r="EN92" s="143">
        <f t="shared" si="151"/>
        <v>0</v>
      </c>
      <c r="EO92" s="82">
        <f t="shared" si="152"/>
        <v>0</v>
      </c>
    </row>
    <row r="93" spans="1:145" x14ac:dyDescent="0.25">
      <c r="A93">
        <v>79</v>
      </c>
      <c r="B93" s="172" t="e">
        <f t="shared" si="110"/>
        <v>#N/A</v>
      </c>
      <c r="C93" s="121" t="e">
        <f t="shared" si="89"/>
        <v>#N/A</v>
      </c>
      <c r="D93" s="122" t="e">
        <f t="shared" si="90"/>
        <v>#N/A</v>
      </c>
      <c r="E93" s="122" t="e">
        <f t="shared" si="91"/>
        <v>#N/A</v>
      </c>
      <c r="F93" s="176" t="e">
        <f t="shared" si="92"/>
        <v>#N/A</v>
      </c>
      <c r="G93" s="121">
        <f t="shared" si="111"/>
        <v>208</v>
      </c>
      <c r="H93" s="176" t="e">
        <f t="shared" si="112"/>
        <v>#N/A</v>
      </c>
      <c r="I93" s="48">
        <v>1</v>
      </c>
      <c r="J93" s="39"/>
      <c r="K93" s="350">
        <v>1</v>
      </c>
      <c r="L93" s="34" t="e">
        <f t="shared" si="93"/>
        <v>#N/A</v>
      </c>
      <c r="M93" s="38" t="e">
        <f>(HLOOKUP(J93,'Construction Times'!$B$3:$W$34,L93+2,FALSE)*HLOOKUP("hq modifier",'Construction Times'!$W$3:$W$34,BS93+2,FALSE))*(1-$H$9)</f>
        <v>#N/A</v>
      </c>
      <c r="N93" s="443" t="e">
        <f t="shared" si="113"/>
        <v>#N/A</v>
      </c>
      <c r="O93" s="444"/>
      <c r="P93" s="447" t="e">
        <f t="shared" si="114"/>
        <v>#N/A</v>
      </c>
      <c r="Q93" s="448"/>
      <c r="R93" s="103">
        <f t="shared" si="153"/>
        <v>0</v>
      </c>
      <c r="S93" s="104">
        <f t="shared" si="153"/>
        <v>0</v>
      </c>
      <c r="T93" s="104">
        <f t="shared" si="154"/>
        <v>0</v>
      </c>
      <c r="U93" s="104">
        <f t="shared" si="154"/>
        <v>0</v>
      </c>
      <c r="V93" s="104">
        <f t="shared" si="154"/>
        <v>9.9999999999999995E-8</v>
      </c>
      <c r="W93" s="104">
        <f t="shared" si="154"/>
        <v>0</v>
      </c>
      <c r="X93" s="104">
        <f t="shared" si="85"/>
        <v>0</v>
      </c>
      <c r="Y93" s="104">
        <f t="shared" si="85"/>
        <v>9.9999999999999995E-8</v>
      </c>
      <c r="Z93" s="104">
        <f t="shared" si="85"/>
        <v>9.9999999999999995E-8</v>
      </c>
      <c r="AA93" s="105">
        <f t="shared" si="85"/>
        <v>9.9999999999999995E-8</v>
      </c>
      <c r="AB93" s="101" t="e">
        <f>$DT93*HLOOKUP($J93,'Construction Costs (timber)'!$B$1:$V$32,'Construction Planner'!$L93+2,FALSE)</f>
        <v>#N/A</v>
      </c>
      <c r="AC93" s="14" t="e">
        <f>$DT93*HLOOKUP($J93,'Construction Costs (clay)'!$B$1:$V$32,'Construction Planner'!$L93+2,FALSE)</f>
        <v>#N/A</v>
      </c>
      <c r="AD93" s="14" t="e">
        <f>$DT93*HLOOKUP($J93,'Construction Costs (iron)'!$B$1:$V$32,'Construction Planner'!$L93+2,FALSE)</f>
        <v>#N/A</v>
      </c>
      <c r="AE93" s="34" t="e">
        <f t="shared" si="163"/>
        <v>#N/A</v>
      </c>
      <c r="AF93" s="33" t="e">
        <f t="shared" si="94"/>
        <v>#N/A</v>
      </c>
      <c r="AG93" s="14" t="e">
        <f t="shared" si="95"/>
        <v>#N/A</v>
      </c>
      <c r="AH93" s="14" t="e">
        <f t="shared" si="96"/>
        <v>#N/A</v>
      </c>
      <c r="AI93" s="34" t="e">
        <f t="shared" si="164"/>
        <v>#N/A</v>
      </c>
      <c r="AJ93" s="49" t="e">
        <f t="shared" si="115"/>
        <v>#N/A</v>
      </c>
      <c r="AK93" s="49" t="e">
        <f t="shared" si="116"/>
        <v>#N/A</v>
      </c>
      <c r="AL93" s="49" t="e">
        <f t="shared" si="117"/>
        <v>#N/A</v>
      </c>
      <c r="AM93" s="25">
        <f t="shared" si="97"/>
        <v>30</v>
      </c>
      <c r="AN93" s="25">
        <f t="shared" si="98"/>
        <v>30</v>
      </c>
      <c r="AO93" s="25">
        <f t="shared" si="99"/>
        <v>30</v>
      </c>
      <c r="AP93" s="52" t="e">
        <f t="shared" si="118"/>
        <v>#N/A</v>
      </c>
      <c r="AQ93" s="53" t="e">
        <f t="shared" si="118"/>
        <v>#N/A</v>
      </c>
      <c r="AR93" s="54" t="e">
        <f t="shared" si="118"/>
        <v>#N/A</v>
      </c>
      <c r="AS93" s="316">
        <f t="shared" si="165"/>
        <v>0</v>
      </c>
      <c r="AT93" s="106">
        <f>_xlfn.IFNA($M93/VLOOKUP($BT93,'Unit information'!$A$2:$K$29,2,FALSE)*R93,0)*(1+$E$9)</f>
        <v>0</v>
      </c>
      <c r="AU93" s="107">
        <f>_xlfn.IFNA($M93/VLOOKUP($BT93,'Unit information'!$A$2:$K$29,3,FALSE)*S93,0)*(1+$E$9)</f>
        <v>0</v>
      </c>
      <c r="AV93" s="107">
        <f>_xlfn.IFNA($M93/VLOOKUP($BT93,'Unit information'!$A$2:$K$29,4,FALSE)*T93,0)*(1+$E$9)</f>
        <v>0</v>
      </c>
      <c r="AW93" s="107">
        <f>_xlfn.IFNA($M93/VLOOKUP($BT93,'Unit information'!$A$2:$K$29,5,FALSE)*U93,0)*(1+$E$9)</f>
        <v>0</v>
      </c>
      <c r="AX93" s="107">
        <f>_xlfn.IFNA($M93/VLOOKUP($BU93,'Unit information'!$A$2:$K$29,6,FALSE)*V93,0)*(1+$E$9)</f>
        <v>0</v>
      </c>
      <c r="AY93" s="107">
        <f>_xlfn.IFNA($M93/VLOOKUP($BU93,'Unit information'!$A$2:$K$29,7,FALSE)*W93,0)*(1+$E$9)</f>
        <v>0</v>
      </c>
      <c r="AZ93" s="107">
        <f>_xlfn.IFNA($M93/VLOOKUP($BU93,'Unit information'!$A$2:$K$29,8,FALSE)*X93,0)*(1+$E$9)</f>
        <v>0</v>
      </c>
      <c r="BA93" s="107">
        <f>_xlfn.IFNA($M93/VLOOKUP($BU93,'Unit information'!$A$2:$K$29,9,FALSE)*Y93,0)*(1+$E$9)</f>
        <v>0</v>
      </c>
      <c r="BB93" s="107">
        <f>_xlfn.IFNA($M93/VLOOKUP($BV93,'Unit information'!$A$2:$K$29,10,FALSE)*Z93,0)*(1+$E$9)</f>
        <v>0</v>
      </c>
      <c r="BC93" s="108">
        <f>_xlfn.IFNA($M93/VLOOKUP($BV93,'Unit information'!$A$2:$K$29,11,FALSE)*AA93,0)*(1+$E$9)</f>
        <v>0</v>
      </c>
      <c r="BD93" s="106">
        <f t="shared" si="100"/>
        <v>0</v>
      </c>
      <c r="BE93" s="107">
        <f t="shared" si="101"/>
        <v>0</v>
      </c>
      <c r="BF93" s="108">
        <f t="shared" si="102"/>
        <v>0</v>
      </c>
      <c r="BG93" s="25" t="e">
        <f t="shared" si="103"/>
        <v>#N/A</v>
      </c>
      <c r="BH93" s="25" t="e">
        <f t="shared" si="104"/>
        <v>#N/A</v>
      </c>
      <c r="BI93" s="25" t="e">
        <f t="shared" si="105"/>
        <v>#N/A</v>
      </c>
      <c r="BJ93" s="27" t="e">
        <f t="shared" si="106"/>
        <v>#N/A</v>
      </c>
      <c r="BK93" s="18" t="e">
        <f t="shared" si="107"/>
        <v>#N/A</v>
      </c>
      <c r="BL93" s="18" t="e">
        <f t="shared" si="108"/>
        <v>#N/A</v>
      </c>
      <c r="BM93" s="28" t="e">
        <f t="shared" si="166"/>
        <v>#N/A</v>
      </c>
      <c r="BN93" s="33">
        <f>HLOOKUP("maximum population",Miscelaneous!$C$1:$C$33,CH93+3,FALSE)</f>
        <v>240</v>
      </c>
      <c r="BO93" s="14">
        <f t="shared" si="119"/>
        <v>32</v>
      </c>
      <c r="BP93" s="14">
        <f t="shared" si="120"/>
        <v>0</v>
      </c>
      <c r="BQ93" s="14">
        <f t="shared" si="121"/>
        <v>208</v>
      </c>
      <c r="BR93" s="34" t="e">
        <f>HLOOKUP(J93,Villagers!$B$1:$V$33,L93+3,FALSE)-HLOOKUP(J93,Villagers!$B$1:$V$33,L93+2,FALSE)</f>
        <v>#N/A</v>
      </c>
      <c r="BS93" s="49">
        <f t="shared" si="122"/>
        <v>1</v>
      </c>
      <c r="BT93" s="50">
        <f t="shared" si="123"/>
        <v>0</v>
      </c>
      <c r="BU93" s="50">
        <f t="shared" si="124"/>
        <v>0</v>
      </c>
      <c r="BV93" s="50">
        <f t="shared" si="125"/>
        <v>0</v>
      </c>
      <c r="BW93" s="50">
        <f t="shared" si="126"/>
        <v>0</v>
      </c>
      <c r="BX93" s="50">
        <f t="shared" si="127"/>
        <v>0</v>
      </c>
      <c r="BY93" s="50">
        <f t="shared" si="127"/>
        <v>0</v>
      </c>
      <c r="BZ93" s="50">
        <f t="shared" si="128"/>
        <v>0</v>
      </c>
      <c r="CA93" s="50">
        <f t="shared" si="129"/>
        <v>0</v>
      </c>
      <c r="CB93" s="50">
        <f t="shared" si="130"/>
        <v>1</v>
      </c>
      <c r="CC93" s="50">
        <f t="shared" si="131"/>
        <v>0</v>
      </c>
      <c r="CD93" s="50">
        <f t="shared" si="132"/>
        <v>0</v>
      </c>
      <c r="CE93" s="50">
        <f t="shared" si="133"/>
        <v>1</v>
      </c>
      <c r="CF93" s="50">
        <f t="shared" si="134"/>
        <v>1</v>
      </c>
      <c r="CG93" s="50">
        <f t="shared" si="135"/>
        <v>1</v>
      </c>
      <c r="CH93" s="50">
        <f t="shared" si="136"/>
        <v>1</v>
      </c>
      <c r="CI93" s="50">
        <f t="shared" si="137"/>
        <v>1</v>
      </c>
      <c r="CJ93" s="50">
        <f t="shared" si="138"/>
        <v>1</v>
      </c>
      <c r="CK93" s="50">
        <f t="shared" si="138"/>
        <v>0</v>
      </c>
      <c r="CL93" s="50">
        <f t="shared" si="138"/>
        <v>0</v>
      </c>
      <c r="CM93" s="51">
        <f t="shared" si="139"/>
        <v>0</v>
      </c>
      <c r="CN93" s="33">
        <f>ROUND(IF(BS93=0,0,HLOOKUP(BS$14,Villagers!$B$1:$V$33,BS93+3,FALSE)),)</f>
        <v>5</v>
      </c>
      <c r="CO93" s="14">
        <f>ROUND(IF(BT93=0,0,HLOOKUP(BT$14,Villagers!$B$1:$V$33,BT93+3,FALSE)),)</f>
        <v>0</v>
      </c>
      <c r="CP93" s="14">
        <f>ROUND(IF(BU93=0,0,HLOOKUP(BU$14,Villagers!$B$1:$V$33,BU93+3,FALSE)),)</f>
        <v>0</v>
      </c>
      <c r="CQ93" s="14">
        <f>ROUND(IF(BV93=0,0,HLOOKUP(BV$14,Villagers!$B$1:$V$33,BV93+3,FALSE)),)</f>
        <v>0</v>
      </c>
      <c r="CR93" s="14">
        <f>ROUND(IF(BW93=0,0,HLOOKUP(BW$14,Villagers!$B$1:$V$33,BW93+3,FALSE)),)</f>
        <v>0</v>
      </c>
      <c r="CS93" s="14">
        <f>ROUND(IF(BX93=0,0,HLOOKUP(BX$14,Villagers!$B$1:$V$33,BX93+3,FALSE)),)</f>
        <v>0</v>
      </c>
      <c r="CT93" s="14">
        <f>ROUND(IF(BY93=0,0,HLOOKUP(BY$14,Villagers!$B$1:$V$33,BY93+3,FALSE)),)</f>
        <v>0</v>
      </c>
      <c r="CU93" s="14">
        <f>ROUND(IF(BZ93=0,0,HLOOKUP(BZ$14,Villagers!$B$1:$V$33,BZ93+3,FALSE)),)</f>
        <v>0</v>
      </c>
      <c r="CV93" s="14">
        <f>ROUND(IF(CA93=0,0,HLOOKUP(CA$14,Villagers!$B$1:$V$33,CA93+3,FALSE)),)</f>
        <v>0</v>
      </c>
      <c r="CW93" s="14">
        <f>ROUND(IF(CB93=0,0,HLOOKUP(CB$14,Villagers!$B$1:$V$33,CB93+3,FALSE)),)</f>
        <v>0</v>
      </c>
      <c r="CX93" s="14">
        <f>ROUND(IF(CC93=0,0,HLOOKUP(CC$14,Villagers!$B$1:$V$33,CC93+3,FALSE)),)</f>
        <v>0</v>
      </c>
      <c r="CY93" s="14">
        <f>ROUND(IF(CD93=0,0,HLOOKUP(CD$14,Villagers!$B$1:$V$33,CD93+3,FALSE)),)</f>
        <v>0</v>
      </c>
      <c r="CZ93" s="14">
        <f>ROUND(IF(CE93=0,0,HLOOKUP(CE$14,Villagers!$B$1:$V$33,CE93+3,FALSE)),)</f>
        <v>5</v>
      </c>
      <c r="DA93" s="14">
        <f>ROUND(IF(CF93=0,0,HLOOKUP(CF$14,Villagers!$B$1:$V$33,CF93+3,FALSE)),)</f>
        <v>10</v>
      </c>
      <c r="DB93" s="14">
        <f>ROUND(IF(CG93=0,0,HLOOKUP(CG$14,Villagers!$B$1:$V$33,CG93+3,FALSE)),)</f>
        <v>10</v>
      </c>
      <c r="DC93" s="14">
        <f>ROUND(IF(CH93=0,0,HLOOKUP(CH$14,Villagers!$B$1:$V$33,CH93+3,FALSE)),)</f>
        <v>0</v>
      </c>
      <c r="DD93" s="14">
        <f>ROUND(IF(CI93=0,0,HLOOKUP(CI$14,Villagers!$B$1:$V$33,CI93+3,FALSE)),)</f>
        <v>0</v>
      </c>
      <c r="DE93" s="14">
        <f>ROUND(IF(CJ93=0,0,HLOOKUP(CJ$14,Villagers!$B$1:$V$33,CJ93+3,FALSE)),)</f>
        <v>2</v>
      </c>
      <c r="DF93" s="370">
        <f>ROUND(IF(CK93=0,0,HLOOKUP(CK$14,Villagers!$B$1:$V$33,CK93+3,FALSE)),)</f>
        <v>0</v>
      </c>
      <c r="DG93" s="370">
        <f>ROUND(IF(CL93=0,0,HLOOKUP(CL$14,Villagers!$B$1:$V$33,CL93+3,FALSE)),)</f>
        <v>0</v>
      </c>
      <c r="DH93" s="34">
        <f>ROUND(IF(CM93=0,0,HLOOKUP(CM$14,Villagers!$B$1:$V$33,CM93+3,FALSE)),)</f>
        <v>0</v>
      </c>
      <c r="DI93" s="109">
        <f t="shared" si="155"/>
        <v>0</v>
      </c>
      <c r="DJ93" s="50">
        <f t="shared" si="156"/>
        <v>0</v>
      </c>
      <c r="DK93" s="50">
        <f t="shared" si="157"/>
        <v>0</v>
      </c>
      <c r="DL93" s="50">
        <f t="shared" si="158"/>
        <v>0</v>
      </c>
      <c r="DM93" s="50">
        <f t="shared" si="159"/>
        <v>0</v>
      </c>
      <c r="DN93" s="50">
        <f t="shared" si="160"/>
        <v>0</v>
      </c>
      <c r="DO93" s="50">
        <f t="shared" si="161"/>
        <v>0</v>
      </c>
      <c r="DP93" s="50">
        <f t="shared" si="162"/>
        <v>0</v>
      </c>
      <c r="DQ93" s="50">
        <f t="shared" si="140"/>
        <v>0</v>
      </c>
      <c r="DR93" s="50">
        <f t="shared" si="141"/>
        <v>0</v>
      </c>
      <c r="DS93" s="96">
        <f>Miscelaneous!$D$4*Miscelaneous!$D$2^($CI93-1)</f>
        <v>1000</v>
      </c>
      <c r="DT93" s="333">
        <f t="shared" si="109"/>
        <v>1</v>
      </c>
      <c r="DU93" s="81">
        <v>1</v>
      </c>
      <c r="DV93" s="79">
        <f t="shared" si="142"/>
        <v>0</v>
      </c>
      <c r="DW93" s="79">
        <f t="shared" si="143"/>
        <v>0</v>
      </c>
      <c r="DX93" s="79">
        <f t="shared" si="144"/>
        <v>0</v>
      </c>
      <c r="DY93" s="79">
        <v>1</v>
      </c>
      <c r="DZ93" s="79">
        <f t="shared" si="145"/>
        <v>0</v>
      </c>
      <c r="EA93" s="79">
        <f t="shared" si="146"/>
        <v>0</v>
      </c>
      <c r="EB93" s="79">
        <f t="shared" si="147"/>
        <v>0</v>
      </c>
      <c r="EC93" s="79">
        <f t="shared" si="148"/>
        <v>0</v>
      </c>
      <c r="ED93" s="79">
        <v>1</v>
      </c>
      <c r="EE93" s="79">
        <v>1</v>
      </c>
      <c r="EF93" s="79">
        <f t="shared" si="149"/>
        <v>0</v>
      </c>
      <c r="EG93" s="79">
        <v>1</v>
      </c>
      <c r="EH93" s="79">
        <v>1</v>
      </c>
      <c r="EI93" s="79">
        <v>1</v>
      </c>
      <c r="EJ93" s="79">
        <v>1</v>
      </c>
      <c r="EK93" s="79">
        <v>1</v>
      </c>
      <c r="EL93" s="79">
        <v>1</v>
      </c>
      <c r="EM93" s="143">
        <f t="shared" si="150"/>
        <v>0</v>
      </c>
      <c r="EN93" s="143">
        <f t="shared" si="151"/>
        <v>0</v>
      </c>
      <c r="EO93" s="82">
        <f t="shared" si="152"/>
        <v>0</v>
      </c>
    </row>
    <row r="94" spans="1:145" x14ac:dyDescent="0.25">
      <c r="A94">
        <v>80</v>
      </c>
      <c r="B94" s="172" t="e">
        <f t="shared" si="110"/>
        <v>#N/A</v>
      </c>
      <c r="C94" s="121" t="e">
        <f t="shared" si="89"/>
        <v>#N/A</v>
      </c>
      <c r="D94" s="122" t="e">
        <f t="shared" si="90"/>
        <v>#N/A</v>
      </c>
      <c r="E94" s="122" t="e">
        <f t="shared" si="91"/>
        <v>#N/A</v>
      </c>
      <c r="F94" s="176" t="e">
        <f t="shared" si="92"/>
        <v>#N/A</v>
      </c>
      <c r="G94" s="121">
        <f t="shared" si="111"/>
        <v>208</v>
      </c>
      <c r="H94" s="176" t="e">
        <f t="shared" si="112"/>
        <v>#N/A</v>
      </c>
      <c r="I94" s="48">
        <v>1</v>
      </c>
      <c r="J94" s="39"/>
      <c r="K94" s="350">
        <v>1</v>
      </c>
      <c r="L94" s="34" t="e">
        <f t="shared" si="93"/>
        <v>#N/A</v>
      </c>
      <c r="M94" s="38" t="e">
        <f>(HLOOKUP(J94,'Construction Times'!$B$3:$W$34,L94+2,FALSE)*HLOOKUP("hq modifier",'Construction Times'!$W$3:$W$34,BS94+2,FALSE))*(1-$H$9)</f>
        <v>#N/A</v>
      </c>
      <c r="N94" s="443" t="e">
        <f t="shared" si="113"/>
        <v>#N/A</v>
      </c>
      <c r="O94" s="444"/>
      <c r="P94" s="447" t="e">
        <f t="shared" si="114"/>
        <v>#N/A</v>
      </c>
      <c r="Q94" s="448"/>
      <c r="R94" s="103">
        <f t="shared" si="153"/>
        <v>0</v>
      </c>
      <c r="S94" s="104">
        <f t="shared" si="153"/>
        <v>0</v>
      </c>
      <c r="T94" s="104">
        <f t="shared" si="154"/>
        <v>0</v>
      </c>
      <c r="U94" s="104">
        <f t="shared" si="154"/>
        <v>0</v>
      </c>
      <c r="V94" s="104">
        <f t="shared" si="154"/>
        <v>9.9999999999999995E-8</v>
      </c>
      <c r="W94" s="104">
        <f t="shared" si="154"/>
        <v>0</v>
      </c>
      <c r="X94" s="104">
        <f t="shared" si="85"/>
        <v>0</v>
      </c>
      <c r="Y94" s="104">
        <f t="shared" si="85"/>
        <v>9.9999999999999995E-8</v>
      </c>
      <c r="Z94" s="104">
        <f t="shared" si="85"/>
        <v>9.9999999999999995E-8</v>
      </c>
      <c r="AA94" s="105">
        <f t="shared" si="85"/>
        <v>9.9999999999999995E-8</v>
      </c>
      <c r="AB94" s="101" t="e">
        <f>$DT94*HLOOKUP($J94,'Construction Costs (timber)'!$B$1:$V$32,'Construction Planner'!$L94+2,FALSE)</f>
        <v>#N/A</v>
      </c>
      <c r="AC94" s="14" t="e">
        <f>$DT94*HLOOKUP($J94,'Construction Costs (clay)'!$B$1:$V$32,'Construction Planner'!$L94+2,FALSE)</f>
        <v>#N/A</v>
      </c>
      <c r="AD94" s="14" t="e">
        <f>$DT94*HLOOKUP($J94,'Construction Costs (iron)'!$B$1:$V$32,'Construction Planner'!$L94+2,FALSE)</f>
        <v>#N/A</v>
      </c>
      <c r="AE94" s="34" t="e">
        <f t="shared" si="163"/>
        <v>#N/A</v>
      </c>
      <c r="AF94" s="33" t="e">
        <f t="shared" si="94"/>
        <v>#N/A</v>
      </c>
      <c r="AG94" s="14" t="e">
        <f t="shared" si="95"/>
        <v>#N/A</v>
      </c>
      <c r="AH94" s="14" t="e">
        <f t="shared" si="96"/>
        <v>#N/A</v>
      </c>
      <c r="AI94" s="34" t="e">
        <f t="shared" si="164"/>
        <v>#N/A</v>
      </c>
      <c r="AJ94" s="49" t="e">
        <f t="shared" si="115"/>
        <v>#N/A</v>
      </c>
      <c r="AK94" s="49" t="e">
        <f t="shared" si="116"/>
        <v>#N/A</v>
      </c>
      <c r="AL94" s="49" t="e">
        <f t="shared" si="117"/>
        <v>#N/A</v>
      </c>
      <c r="AM94" s="25">
        <f t="shared" si="97"/>
        <v>30</v>
      </c>
      <c r="AN94" s="25">
        <f t="shared" si="98"/>
        <v>30</v>
      </c>
      <c r="AO94" s="25">
        <f t="shared" si="99"/>
        <v>30</v>
      </c>
      <c r="AP94" s="52" t="e">
        <f t="shared" si="118"/>
        <v>#N/A</v>
      </c>
      <c r="AQ94" s="53" t="e">
        <f t="shared" si="118"/>
        <v>#N/A</v>
      </c>
      <c r="AR94" s="54" t="e">
        <f t="shared" si="118"/>
        <v>#N/A</v>
      </c>
      <c r="AS94" s="316">
        <f t="shared" si="165"/>
        <v>0</v>
      </c>
      <c r="AT94" s="106">
        <f>_xlfn.IFNA($M94/VLOOKUP($BT94,'Unit information'!$A$2:$K$29,2,FALSE)*R94,0)*(1+$E$9)</f>
        <v>0</v>
      </c>
      <c r="AU94" s="107">
        <f>_xlfn.IFNA($M94/VLOOKUP($BT94,'Unit information'!$A$2:$K$29,3,FALSE)*S94,0)*(1+$E$9)</f>
        <v>0</v>
      </c>
      <c r="AV94" s="107">
        <f>_xlfn.IFNA($M94/VLOOKUP($BT94,'Unit information'!$A$2:$K$29,4,FALSE)*T94,0)*(1+$E$9)</f>
        <v>0</v>
      </c>
      <c r="AW94" s="107">
        <f>_xlfn.IFNA($M94/VLOOKUP($BT94,'Unit information'!$A$2:$K$29,5,FALSE)*U94,0)*(1+$E$9)</f>
        <v>0</v>
      </c>
      <c r="AX94" s="107">
        <f>_xlfn.IFNA($M94/VLOOKUP($BU94,'Unit information'!$A$2:$K$29,6,FALSE)*V94,0)*(1+$E$9)</f>
        <v>0</v>
      </c>
      <c r="AY94" s="107">
        <f>_xlfn.IFNA($M94/VLOOKUP($BU94,'Unit information'!$A$2:$K$29,7,FALSE)*W94,0)*(1+$E$9)</f>
        <v>0</v>
      </c>
      <c r="AZ94" s="107">
        <f>_xlfn.IFNA($M94/VLOOKUP($BU94,'Unit information'!$A$2:$K$29,8,FALSE)*X94,0)*(1+$E$9)</f>
        <v>0</v>
      </c>
      <c r="BA94" s="107">
        <f>_xlfn.IFNA($M94/VLOOKUP($BU94,'Unit information'!$A$2:$K$29,9,FALSE)*Y94,0)*(1+$E$9)</f>
        <v>0</v>
      </c>
      <c r="BB94" s="107">
        <f>_xlfn.IFNA($M94/VLOOKUP($BV94,'Unit information'!$A$2:$K$29,10,FALSE)*Z94,0)*(1+$E$9)</f>
        <v>0</v>
      </c>
      <c r="BC94" s="108">
        <f>_xlfn.IFNA($M94/VLOOKUP($BV94,'Unit information'!$A$2:$K$29,11,FALSE)*AA94,0)*(1+$E$9)</f>
        <v>0</v>
      </c>
      <c r="BD94" s="106">
        <f t="shared" si="100"/>
        <v>0</v>
      </c>
      <c r="BE94" s="107">
        <f t="shared" si="101"/>
        <v>0</v>
      </c>
      <c r="BF94" s="108">
        <f t="shared" si="102"/>
        <v>0</v>
      </c>
      <c r="BG94" s="25" t="e">
        <f t="shared" si="103"/>
        <v>#N/A</v>
      </c>
      <c r="BH94" s="25" t="e">
        <f t="shared" si="104"/>
        <v>#N/A</v>
      </c>
      <c r="BI94" s="25" t="e">
        <f t="shared" si="105"/>
        <v>#N/A</v>
      </c>
      <c r="BJ94" s="27" t="e">
        <f t="shared" si="106"/>
        <v>#N/A</v>
      </c>
      <c r="BK94" s="18" t="e">
        <f t="shared" si="107"/>
        <v>#N/A</v>
      </c>
      <c r="BL94" s="18" t="e">
        <f t="shared" si="108"/>
        <v>#N/A</v>
      </c>
      <c r="BM94" s="28" t="e">
        <f t="shared" si="166"/>
        <v>#N/A</v>
      </c>
      <c r="BN94" s="33">
        <f>HLOOKUP("maximum population",Miscelaneous!$C$1:$C$33,CH94+3,FALSE)</f>
        <v>240</v>
      </c>
      <c r="BO94" s="14">
        <f t="shared" si="119"/>
        <v>32</v>
      </c>
      <c r="BP94" s="14">
        <f t="shared" si="120"/>
        <v>0</v>
      </c>
      <c r="BQ94" s="14">
        <f t="shared" si="121"/>
        <v>208</v>
      </c>
      <c r="BR94" s="34" t="e">
        <f>HLOOKUP(J94,Villagers!$B$1:$V$33,L94+3,FALSE)-HLOOKUP(J94,Villagers!$B$1:$V$33,L94+2,FALSE)</f>
        <v>#N/A</v>
      </c>
      <c r="BS94" s="49">
        <f t="shared" si="122"/>
        <v>1</v>
      </c>
      <c r="BT94" s="50">
        <f t="shared" si="123"/>
        <v>0</v>
      </c>
      <c r="BU94" s="50">
        <f t="shared" si="124"/>
        <v>0</v>
      </c>
      <c r="BV94" s="50">
        <f t="shared" si="125"/>
        <v>0</v>
      </c>
      <c r="BW94" s="50">
        <f t="shared" si="126"/>
        <v>0</v>
      </c>
      <c r="BX94" s="50">
        <f t="shared" si="127"/>
        <v>0</v>
      </c>
      <c r="BY94" s="50">
        <f t="shared" si="127"/>
        <v>0</v>
      </c>
      <c r="BZ94" s="50">
        <f t="shared" si="128"/>
        <v>0</v>
      </c>
      <c r="CA94" s="50">
        <f t="shared" si="129"/>
        <v>0</v>
      </c>
      <c r="CB94" s="50">
        <f t="shared" si="130"/>
        <v>1</v>
      </c>
      <c r="CC94" s="50">
        <f t="shared" si="131"/>
        <v>0</v>
      </c>
      <c r="CD94" s="50">
        <f t="shared" si="132"/>
        <v>0</v>
      </c>
      <c r="CE94" s="50">
        <f t="shared" si="133"/>
        <v>1</v>
      </c>
      <c r="CF94" s="50">
        <f t="shared" si="134"/>
        <v>1</v>
      </c>
      <c r="CG94" s="50">
        <f t="shared" si="135"/>
        <v>1</v>
      </c>
      <c r="CH94" s="50">
        <f t="shared" si="136"/>
        <v>1</v>
      </c>
      <c r="CI94" s="50">
        <f t="shared" si="137"/>
        <v>1</v>
      </c>
      <c r="CJ94" s="50">
        <f t="shared" si="138"/>
        <v>1</v>
      </c>
      <c r="CK94" s="50">
        <f t="shared" si="138"/>
        <v>0</v>
      </c>
      <c r="CL94" s="50">
        <f t="shared" si="138"/>
        <v>0</v>
      </c>
      <c r="CM94" s="51">
        <f t="shared" si="139"/>
        <v>0</v>
      </c>
      <c r="CN94" s="33">
        <f>ROUND(IF(BS94=0,0,HLOOKUP(BS$14,Villagers!$B$1:$V$33,BS94+3,FALSE)),)</f>
        <v>5</v>
      </c>
      <c r="CO94" s="14">
        <f>ROUND(IF(BT94=0,0,HLOOKUP(BT$14,Villagers!$B$1:$V$33,BT94+3,FALSE)),)</f>
        <v>0</v>
      </c>
      <c r="CP94" s="14">
        <f>ROUND(IF(BU94=0,0,HLOOKUP(BU$14,Villagers!$B$1:$V$33,BU94+3,FALSE)),)</f>
        <v>0</v>
      </c>
      <c r="CQ94" s="14">
        <f>ROUND(IF(BV94=0,0,HLOOKUP(BV$14,Villagers!$B$1:$V$33,BV94+3,FALSE)),)</f>
        <v>0</v>
      </c>
      <c r="CR94" s="14">
        <f>ROUND(IF(BW94=0,0,HLOOKUP(BW$14,Villagers!$B$1:$V$33,BW94+3,FALSE)),)</f>
        <v>0</v>
      </c>
      <c r="CS94" s="14">
        <f>ROUND(IF(BX94=0,0,HLOOKUP(BX$14,Villagers!$B$1:$V$33,BX94+3,FALSE)),)</f>
        <v>0</v>
      </c>
      <c r="CT94" s="14">
        <f>ROUND(IF(BY94=0,0,HLOOKUP(BY$14,Villagers!$B$1:$V$33,BY94+3,FALSE)),)</f>
        <v>0</v>
      </c>
      <c r="CU94" s="14">
        <f>ROUND(IF(BZ94=0,0,HLOOKUP(BZ$14,Villagers!$B$1:$V$33,BZ94+3,FALSE)),)</f>
        <v>0</v>
      </c>
      <c r="CV94" s="14">
        <f>ROUND(IF(CA94=0,0,HLOOKUP(CA$14,Villagers!$B$1:$V$33,CA94+3,FALSE)),)</f>
        <v>0</v>
      </c>
      <c r="CW94" s="14">
        <f>ROUND(IF(CB94=0,0,HLOOKUP(CB$14,Villagers!$B$1:$V$33,CB94+3,FALSE)),)</f>
        <v>0</v>
      </c>
      <c r="CX94" s="14">
        <f>ROUND(IF(CC94=0,0,HLOOKUP(CC$14,Villagers!$B$1:$V$33,CC94+3,FALSE)),)</f>
        <v>0</v>
      </c>
      <c r="CY94" s="14">
        <f>ROUND(IF(CD94=0,0,HLOOKUP(CD$14,Villagers!$B$1:$V$33,CD94+3,FALSE)),)</f>
        <v>0</v>
      </c>
      <c r="CZ94" s="14">
        <f>ROUND(IF(CE94=0,0,HLOOKUP(CE$14,Villagers!$B$1:$V$33,CE94+3,FALSE)),)</f>
        <v>5</v>
      </c>
      <c r="DA94" s="14">
        <f>ROUND(IF(CF94=0,0,HLOOKUP(CF$14,Villagers!$B$1:$V$33,CF94+3,FALSE)),)</f>
        <v>10</v>
      </c>
      <c r="DB94" s="14">
        <f>ROUND(IF(CG94=0,0,HLOOKUP(CG$14,Villagers!$B$1:$V$33,CG94+3,FALSE)),)</f>
        <v>10</v>
      </c>
      <c r="DC94" s="14">
        <f>ROUND(IF(CH94=0,0,HLOOKUP(CH$14,Villagers!$B$1:$V$33,CH94+3,FALSE)),)</f>
        <v>0</v>
      </c>
      <c r="DD94" s="14">
        <f>ROUND(IF(CI94=0,0,HLOOKUP(CI$14,Villagers!$B$1:$V$33,CI94+3,FALSE)),)</f>
        <v>0</v>
      </c>
      <c r="DE94" s="14">
        <f>ROUND(IF(CJ94=0,0,HLOOKUP(CJ$14,Villagers!$B$1:$V$33,CJ94+3,FALSE)),)</f>
        <v>2</v>
      </c>
      <c r="DF94" s="370">
        <f>ROUND(IF(CK94=0,0,HLOOKUP(CK$14,Villagers!$B$1:$V$33,CK94+3,FALSE)),)</f>
        <v>0</v>
      </c>
      <c r="DG94" s="370">
        <f>ROUND(IF(CL94=0,0,HLOOKUP(CL$14,Villagers!$B$1:$V$33,CL94+3,FALSE)),)</f>
        <v>0</v>
      </c>
      <c r="DH94" s="34">
        <f>ROUND(IF(CM94=0,0,HLOOKUP(CM$14,Villagers!$B$1:$V$33,CM94+3,FALSE)),)</f>
        <v>0</v>
      </c>
      <c r="DI94" s="109">
        <f t="shared" si="155"/>
        <v>0</v>
      </c>
      <c r="DJ94" s="50">
        <f t="shared" si="156"/>
        <v>0</v>
      </c>
      <c r="DK94" s="50">
        <f t="shared" si="157"/>
        <v>0</v>
      </c>
      <c r="DL94" s="50">
        <f t="shared" si="158"/>
        <v>0</v>
      </c>
      <c r="DM94" s="50">
        <f t="shared" si="159"/>
        <v>0</v>
      </c>
      <c r="DN94" s="50">
        <f t="shared" si="160"/>
        <v>0</v>
      </c>
      <c r="DO94" s="50">
        <f t="shared" si="161"/>
        <v>0</v>
      </c>
      <c r="DP94" s="50">
        <f t="shared" si="162"/>
        <v>0</v>
      </c>
      <c r="DQ94" s="50">
        <f t="shared" si="140"/>
        <v>0</v>
      </c>
      <c r="DR94" s="50">
        <f t="shared" si="141"/>
        <v>0</v>
      </c>
      <c r="DS94" s="96">
        <f>Miscelaneous!$D$4*Miscelaneous!$D$2^($CI94-1)</f>
        <v>1000</v>
      </c>
      <c r="DT94" s="333">
        <f t="shared" si="109"/>
        <v>1</v>
      </c>
      <c r="DU94" s="81">
        <v>1</v>
      </c>
      <c r="DV94" s="79">
        <f t="shared" si="142"/>
        <v>0</v>
      </c>
      <c r="DW94" s="79">
        <f t="shared" si="143"/>
        <v>0</v>
      </c>
      <c r="DX94" s="79">
        <f t="shared" si="144"/>
        <v>0</v>
      </c>
      <c r="DY94" s="79">
        <v>1</v>
      </c>
      <c r="DZ94" s="79">
        <f t="shared" si="145"/>
        <v>0</v>
      </c>
      <c r="EA94" s="79">
        <f t="shared" si="146"/>
        <v>0</v>
      </c>
      <c r="EB94" s="79">
        <f t="shared" si="147"/>
        <v>0</v>
      </c>
      <c r="EC94" s="79">
        <f t="shared" si="148"/>
        <v>0</v>
      </c>
      <c r="ED94" s="79">
        <v>1</v>
      </c>
      <c r="EE94" s="79">
        <v>1</v>
      </c>
      <c r="EF94" s="79">
        <f t="shared" si="149"/>
        <v>0</v>
      </c>
      <c r="EG94" s="79">
        <v>1</v>
      </c>
      <c r="EH94" s="79">
        <v>1</v>
      </c>
      <c r="EI94" s="79">
        <v>1</v>
      </c>
      <c r="EJ94" s="79">
        <v>1</v>
      </c>
      <c r="EK94" s="79">
        <v>1</v>
      </c>
      <c r="EL94" s="79">
        <v>1</v>
      </c>
      <c r="EM94" s="143">
        <f t="shared" si="150"/>
        <v>0</v>
      </c>
      <c r="EN94" s="143">
        <f t="shared" si="151"/>
        <v>0</v>
      </c>
      <c r="EO94" s="82">
        <f t="shared" si="152"/>
        <v>0</v>
      </c>
    </row>
    <row r="95" spans="1:145" x14ac:dyDescent="0.25">
      <c r="A95">
        <v>81</v>
      </c>
      <c r="B95" s="172" t="e">
        <f t="shared" si="110"/>
        <v>#N/A</v>
      </c>
      <c r="C95" s="121" t="e">
        <f t="shared" si="89"/>
        <v>#N/A</v>
      </c>
      <c r="D95" s="122" t="e">
        <f t="shared" si="90"/>
        <v>#N/A</v>
      </c>
      <c r="E95" s="122" t="e">
        <f t="shared" si="91"/>
        <v>#N/A</v>
      </c>
      <c r="F95" s="176" t="e">
        <f t="shared" si="92"/>
        <v>#N/A</v>
      </c>
      <c r="G95" s="121">
        <f t="shared" si="111"/>
        <v>208</v>
      </c>
      <c r="H95" s="176" t="e">
        <f t="shared" si="112"/>
        <v>#N/A</v>
      </c>
      <c r="I95" s="48">
        <v>1</v>
      </c>
      <c r="J95" s="39"/>
      <c r="K95" s="350">
        <v>1</v>
      </c>
      <c r="L95" s="34" t="e">
        <f t="shared" si="93"/>
        <v>#N/A</v>
      </c>
      <c r="M95" s="38" t="e">
        <f>(HLOOKUP(J95,'Construction Times'!$B$3:$W$34,L95+2,FALSE)*HLOOKUP("hq modifier",'Construction Times'!$W$3:$W$34,BS95+2,FALSE))*(1-$H$9)</f>
        <v>#N/A</v>
      </c>
      <c r="N95" s="443" t="e">
        <f t="shared" si="113"/>
        <v>#N/A</v>
      </c>
      <c r="O95" s="444"/>
      <c r="P95" s="447" t="e">
        <f t="shared" si="114"/>
        <v>#N/A</v>
      </c>
      <c r="Q95" s="448"/>
      <c r="R95" s="103">
        <f t="shared" si="153"/>
        <v>0</v>
      </c>
      <c r="S95" s="104">
        <f t="shared" si="153"/>
        <v>0</v>
      </c>
      <c r="T95" s="104">
        <f t="shared" si="154"/>
        <v>0</v>
      </c>
      <c r="U95" s="104">
        <f t="shared" si="154"/>
        <v>0</v>
      </c>
      <c r="V95" s="104">
        <f t="shared" si="154"/>
        <v>9.9999999999999995E-8</v>
      </c>
      <c r="W95" s="104">
        <f t="shared" si="154"/>
        <v>0</v>
      </c>
      <c r="X95" s="104">
        <f t="shared" si="85"/>
        <v>0</v>
      </c>
      <c r="Y95" s="104">
        <f t="shared" si="85"/>
        <v>9.9999999999999995E-8</v>
      </c>
      <c r="Z95" s="104">
        <f t="shared" si="85"/>
        <v>9.9999999999999995E-8</v>
      </c>
      <c r="AA95" s="105">
        <f t="shared" si="85"/>
        <v>9.9999999999999995E-8</v>
      </c>
      <c r="AB95" s="101" t="e">
        <f>$DT95*HLOOKUP($J95,'Construction Costs (timber)'!$B$1:$V$32,'Construction Planner'!$L95+2,FALSE)</f>
        <v>#N/A</v>
      </c>
      <c r="AC95" s="14" t="e">
        <f>$DT95*HLOOKUP($J95,'Construction Costs (clay)'!$B$1:$V$32,'Construction Planner'!$L95+2,FALSE)</f>
        <v>#N/A</v>
      </c>
      <c r="AD95" s="14" t="e">
        <f>$DT95*HLOOKUP($J95,'Construction Costs (iron)'!$B$1:$V$32,'Construction Planner'!$L95+2,FALSE)</f>
        <v>#N/A</v>
      </c>
      <c r="AE95" s="34" t="e">
        <f t="shared" si="163"/>
        <v>#N/A</v>
      </c>
      <c r="AF95" s="33" t="e">
        <f t="shared" si="94"/>
        <v>#N/A</v>
      </c>
      <c r="AG95" s="14" t="e">
        <f t="shared" si="95"/>
        <v>#N/A</v>
      </c>
      <c r="AH95" s="14" t="e">
        <f t="shared" si="96"/>
        <v>#N/A</v>
      </c>
      <c r="AI95" s="34" t="e">
        <f t="shared" si="164"/>
        <v>#N/A</v>
      </c>
      <c r="AJ95" s="49" t="e">
        <f t="shared" si="115"/>
        <v>#N/A</v>
      </c>
      <c r="AK95" s="49" t="e">
        <f t="shared" si="116"/>
        <v>#N/A</v>
      </c>
      <c r="AL95" s="49" t="e">
        <f t="shared" si="117"/>
        <v>#N/A</v>
      </c>
      <c r="AM95" s="25">
        <f t="shared" si="97"/>
        <v>30</v>
      </c>
      <c r="AN95" s="25">
        <f t="shared" si="98"/>
        <v>30</v>
      </c>
      <c r="AO95" s="25">
        <f t="shared" si="99"/>
        <v>30</v>
      </c>
      <c r="AP95" s="52" t="e">
        <f t="shared" si="118"/>
        <v>#N/A</v>
      </c>
      <c r="AQ95" s="53" t="e">
        <f t="shared" si="118"/>
        <v>#N/A</v>
      </c>
      <c r="AR95" s="54" t="e">
        <f t="shared" si="118"/>
        <v>#N/A</v>
      </c>
      <c r="AS95" s="316">
        <f t="shared" si="165"/>
        <v>0</v>
      </c>
      <c r="AT95" s="106">
        <f>_xlfn.IFNA($M95/VLOOKUP($BT95,'Unit information'!$A$2:$K$29,2,FALSE)*R95,0)*(1+$E$9)</f>
        <v>0</v>
      </c>
      <c r="AU95" s="107">
        <f>_xlfn.IFNA($M95/VLOOKUP($BT95,'Unit information'!$A$2:$K$29,3,FALSE)*S95,0)*(1+$E$9)</f>
        <v>0</v>
      </c>
      <c r="AV95" s="107">
        <f>_xlfn.IFNA($M95/VLOOKUP($BT95,'Unit information'!$A$2:$K$29,4,FALSE)*T95,0)*(1+$E$9)</f>
        <v>0</v>
      </c>
      <c r="AW95" s="107">
        <f>_xlfn.IFNA($M95/VLOOKUP($BT95,'Unit information'!$A$2:$K$29,5,FALSE)*U95,0)*(1+$E$9)</f>
        <v>0</v>
      </c>
      <c r="AX95" s="107">
        <f>_xlfn.IFNA($M95/VLOOKUP($BU95,'Unit information'!$A$2:$K$29,6,FALSE)*V95,0)*(1+$E$9)</f>
        <v>0</v>
      </c>
      <c r="AY95" s="107">
        <f>_xlfn.IFNA($M95/VLOOKUP($BU95,'Unit information'!$A$2:$K$29,7,FALSE)*W95,0)*(1+$E$9)</f>
        <v>0</v>
      </c>
      <c r="AZ95" s="107">
        <f>_xlfn.IFNA($M95/VLOOKUP($BU95,'Unit information'!$A$2:$K$29,8,FALSE)*X95,0)*(1+$E$9)</f>
        <v>0</v>
      </c>
      <c r="BA95" s="107">
        <f>_xlfn.IFNA($M95/VLOOKUP($BU95,'Unit information'!$A$2:$K$29,9,FALSE)*Y95,0)*(1+$E$9)</f>
        <v>0</v>
      </c>
      <c r="BB95" s="107">
        <f>_xlfn.IFNA($M95/VLOOKUP($BV95,'Unit information'!$A$2:$K$29,10,FALSE)*Z95,0)*(1+$E$9)</f>
        <v>0</v>
      </c>
      <c r="BC95" s="108">
        <f>_xlfn.IFNA($M95/VLOOKUP($BV95,'Unit information'!$A$2:$K$29,11,FALSE)*AA95,0)*(1+$E$9)</f>
        <v>0</v>
      </c>
      <c r="BD95" s="106">
        <f t="shared" si="100"/>
        <v>0</v>
      </c>
      <c r="BE95" s="107">
        <f t="shared" si="101"/>
        <v>0</v>
      </c>
      <c r="BF95" s="108">
        <f t="shared" si="102"/>
        <v>0</v>
      </c>
      <c r="BG95" s="25" t="e">
        <f t="shared" si="103"/>
        <v>#N/A</v>
      </c>
      <c r="BH95" s="25" t="e">
        <f t="shared" si="104"/>
        <v>#N/A</v>
      </c>
      <c r="BI95" s="25" t="e">
        <f t="shared" si="105"/>
        <v>#N/A</v>
      </c>
      <c r="BJ95" s="27" t="e">
        <f t="shared" si="106"/>
        <v>#N/A</v>
      </c>
      <c r="BK95" s="18" t="e">
        <f t="shared" si="107"/>
        <v>#N/A</v>
      </c>
      <c r="BL95" s="18" t="e">
        <f t="shared" si="108"/>
        <v>#N/A</v>
      </c>
      <c r="BM95" s="28" t="e">
        <f t="shared" si="166"/>
        <v>#N/A</v>
      </c>
      <c r="BN95" s="33">
        <f>HLOOKUP("maximum population",Miscelaneous!$C$1:$C$33,CH95+3,FALSE)</f>
        <v>240</v>
      </c>
      <c r="BO95" s="14">
        <f t="shared" si="119"/>
        <v>32</v>
      </c>
      <c r="BP95" s="14">
        <f t="shared" si="120"/>
        <v>0</v>
      </c>
      <c r="BQ95" s="14">
        <f t="shared" si="121"/>
        <v>208</v>
      </c>
      <c r="BR95" s="34" t="e">
        <f>HLOOKUP(J95,Villagers!$B$1:$V$33,L95+3,FALSE)-HLOOKUP(J95,Villagers!$B$1:$V$33,L95+2,FALSE)</f>
        <v>#N/A</v>
      </c>
      <c r="BS95" s="49">
        <f t="shared" si="122"/>
        <v>1</v>
      </c>
      <c r="BT95" s="50">
        <f t="shared" si="123"/>
        <v>0</v>
      </c>
      <c r="BU95" s="50">
        <f t="shared" si="124"/>
        <v>0</v>
      </c>
      <c r="BV95" s="50">
        <f t="shared" si="125"/>
        <v>0</v>
      </c>
      <c r="BW95" s="50">
        <f t="shared" si="126"/>
        <v>0</v>
      </c>
      <c r="BX95" s="50">
        <f t="shared" si="127"/>
        <v>0</v>
      </c>
      <c r="BY95" s="50">
        <f t="shared" si="127"/>
        <v>0</v>
      </c>
      <c r="BZ95" s="50">
        <f t="shared" ref="BZ95:BZ158" si="167">IF($J94=BZ$14,$L94,BZ94)</f>
        <v>0</v>
      </c>
      <c r="CA95" s="50">
        <f t="shared" ref="CA95:CA158" si="168">IF($J94=CA$14,$L94,CA94)</f>
        <v>0</v>
      </c>
      <c r="CB95" s="50">
        <f t="shared" ref="CB95:CB158" si="169">IF($J94=CB$14,$L94,CB94)</f>
        <v>1</v>
      </c>
      <c r="CC95" s="50">
        <f t="shared" ref="CC95:CC158" si="170">IF($J94=CC$14,$L94,CC94)</f>
        <v>0</v>
      </c>
      <c r="CD95" s="50">
        <f t="shared" ref="CD95:CD158" si="171">IF($J94=CD$14,$L94,CD94)</f>
        <v>0</v>
      </c>
      <c r="CE95" s="50">
        <f t="shared" ref="CE95:CE158" si="172">IF($J94=CE$14,$L94,CE94)</f>
        <v>1</v>
      </c>
      <c r="CF95" s="50">
        <f t="shared" ref="CF95:CF158" si="173">IF($J94=CF$14,$L94,CF94)</f>
        <v>1</v>
      </c>
      <c r="CG95" s="50">
        <f t="shared" ref="CG95:CG158" si="174">IF($J94=CG$14,$L94,CG94)</f>
        <v>1</v>
      </c>
      <c r="CH95" s="50">
        <f t="shared" ref="CH95:CH158" si="175">IF($J94=CH$14,$L94,CH94)</f>
        <v>1</v>
      </c>
      <c r="CI95" s="50">
        <f t="shared" ref="CI95:CI158" si="176">IF($J94=CI$14,$L94,CI94)</f>
        <v>1</v>
      </c>
      <c r="CJ95" s="50">
        <f t="shared" ref="CJ95:CL158" si="177">IF($J94=CJ$14,$L94,CJ94)</f>
        <v>1</v>
      </c>
      <c r="CK95" s="50">
        <f t="shared" si="177"/>
        <v>0</v>
      </c>
      <c r="CL95" s="50">
        <f t="shared" si="177"/>
        <v>0</v>
      </c>
      <c r="CM95" s="51">
        <f t="shared" ref="CM95:CM158" si="178">IF($J94=CM$14,$L94,CM94)</f>
        <v>0</v>
      </c>
      <c r="CN95" s="33">
        <f>ROUND(IF(BS95=0,0,HLOOKUP(BS$14,Villagers!$B$1:$V$33,BS95+3,FALSE)),)</f>
        <v>5</v>
      </c>
      <c r="CO95" s="14">
        <f>ROUND(IF(BT95=0,0,HLOOKUP(BT$14,Villagers!$B$1:$V$33,BT95+3,FALSE)),)</f>
        <v>0</v>
      </c>
      <c r="CP95" s="14">
        <f>ROUND(IF(BU95=0,0,HLOOKUP(BU$14,Villagers!$B$1:$V$33,BU95+3,FALSE)),)</f>
        <v>0</v>
      </c>
      <c r="CQ95" s="14">
        <f>ROUND(IF(BV95=0,0,HLOOKUP(BV$14,Villagers!$B$1:$V$33,BV95+3,FALSE)),)</f>
        <v>0</v>
      </c>
      <c r="CR95" s="14">
        <f>ROUND(IF(BW95=0,0,HLOOKUP(BW$14,Villagers!$B$1:$V$33,BW95+3,FALSE)),)</f>
        <v>0</v>
      </c>
      <c r="CS95" s="14">
        <f>ROUND(IF(BX95=0,0,HLOOKUP(BX$14,Villagers!$B$1:$V$33,BX95+3,FALSE)),)</f>
        <v>0</v>
      </c>
      <c r="CT95" s="14">
        <f>ROUND(IF(BY95=0,0,HLOOKUP(BY$14,Villagers!$B$1:$V$33,BY95+3,FALSE)),)</f>
        <v>0</v>
      </c>
      <c r="CU95" s="14">
        <f>ROUND(IF(BZ95=0,0,HLOOKUP(BZ$14,Villagers!$B$1:$V$33,BZ95+3,FALSE)),)</f>
        <v>0</v>
      </c>
      <c r="CV95" s="14">
        <f>ROUND(IF(CA95=0,0,HLOOKUP(CA$14,Villagers!$B$1:$V$33,CA95+3,FALSE)),)</f>
        <v>0</v>
      </c>
      <c r="CW95" s="14">
        <f>ROUND(IF(CB95=0,0,HLOOKUP(CB$14,Villagers!$B$1:$V$33,CB95+3,FALSE)),)</f>
        <v>0</v>
      </c>
      <c r="CX95" s="14">
        <f>ROUND(IF(CC95=0,0,HLOOKUP(CC$14,Villagers!$B$1:$V$33,CC95+3,FALSE)),)</f>
        <v>0</v>
      </c>
      <c r="CY95" s="14">
        <f>ROUND(IF(CD95=0,0,HLOOKUP(CD$14,Villagers!$B$1:$V$33,CD95+3,FALSE)),)</f>
        <v>0</v>
      </c>
      <c r="CZ95" s="14">
        <f>ROUND(IF(CE95=0,0,HLOOKUP(CE$14,Villagers!$B$1:$V$33,CE95+3,FALSE)),)</f>
        <v>5</v>
      </c>
      <c r="DA95" s="14">
        <f>ROUND(IF(CF95=0,0,HLOOKUP(CF$14,Villagers!$B$1:$V$33,CF95+3,FALSE)),)</f>
        <v>10</v>
      </c>
      <c r="DB95" s="14">
        <f>ROUND(IF(CG95=0,0,HLOOKUP(CG$14,Villagers!$B$1:$V$33,CG95+3,FALSE)),)</f>
        <v>10</v>
      </c>
      <c r="DC95" s="14">
        <f>ROUND(IF(CH95=0,0,HLOOKUP(CH$14,Villagers!$B$1:$V$33,CH95+3,FALSE)),)</f>
        <v>0</v>
      </c>
      <c r="DD95" s="14">
        <f>ROUND(IF(CI95=0,0,HLOOKUP(CI$14,Villagers!$B$1:$V$33,CI95+3,FALSE)),)</f>
        <v>0</v>
      </c>
      <c r="DE95" s="14">
        <f>ROUND(IF(CJ95=0,0,HLOOKUP(CJ$14,Villagers!$B$1:$V$33,CJ95+3,FALSE)),)</f>
        <v>2</v>
      </c>
      <c r="DF95" s="370">
        <f>ROUND(IF(CK95=0,0,HLOOKUP(CK$14,Villagers!$B$1:$V$33,CK95+3,FALSE)),)</f>
        <v>0</v>
      </c>
      <c r="DG95" s="370">
        <f>ROUND(IF(CL95=0,0,HLOOKUP(CL$14,Villagers!$B$1:$V$33,CL95+3,FALSE)),)</f>
        <v>0</v>
      </c>
      <c r="DH95" s="34">
        <f>ROUND(IF(CM95=0,0,HLOOKUP(CM$14,Villagers!$B$1:$V$33,CM95+3,FALSE)),)</f>
        <v>0</v>
      </c>
      <c r="DI95" s="109">
        <f t="shared" si="155"/>
        <v>0</v>
      </c>
      <c r="DJ95" s="50">
        <f t="shared" si="156"/>
        <v>0</v>
      </c>
      <c r="DK95" s="50">
        <f t="shared" si="157"/>
        <v>0</v>
      </c>
      <c r="DL95" s="50">
        <f t="shared" si="158"/>
        <v>0</v>
      </c>
      <c r="DM95" s="50">
        <f t="shared" si="159"/>
        <v>0</v>
      </c>
      <c r="DN95" s="50">
        <f t="shared" si="160"/>
        <v>0</v>
      </c>
      <c r="DO95" s="50">
        <f t="shared" si="161"/>
        <v>0</v>
      </c>
      <c r="DP95" s="50">
        <f t="shared" si="162"/>
        <v>0</v>
      </c>
      <c r="DQ95" s="50">
        <f t="shared" si="140"/>
        <v>0</v>
      </c>
      <c r="DR95" s="50">
        <f t="shared" si="141"/>
        <v>0</v>
      </c>
      <c r="DS95" s="96">
        <f>Miscelaneous!$D$4*Miscelaneous!$D$2^($CI95-1)</f>
        <v>1000</v>
      </c>
      <c r="DT95" s="333">
        <f t="shared" si="109"/>
        <v>1</v>
      </c>
      <c r="DU95" s="81">
        <v>1</v>
      </c>
      <c r="DV95" s="79">
        <f t="shared" si="142"/>
        <v>0</v>
      </c>
      <c r="DW95" s="79">
        <f t="shared" si="143"/>
        <v>0</v>
      </c>
      <c r="DX95" s="79">
        <f t="shared" si="144"/>
        <v>0</v>
      </c>
      <c r="DY95" s="79">
        <v>1</v>
      </c>
      <c r="DZ95" s="79">
        <f t="shared" si="145"/>
        <v>0</v>
      </c>
      <c r="EA95" s="79">
        <f t="shared" si="146"/>
        <v>0</v>
      </c>
      <c r="EB95" s="79">
        <f t="shared" si="147"/>
        <v>0</v>
      </c>
      <c r="EC95" s="79">
        <f t="shared" si="148"/>
        <v>0</v>
      </c>
      <c r="ED95" s="79">
        <v>1</v>
      </c>
      <c r="EE95" s="79">
        <v>1</v>
      </c>
      <c r="EF95" s="79">
        <f t="shared" si="149"/>
        <v>0</v>
      </c>
      <c r="EG95" s="79">
        <v>1</v>
      </c>
      <c r="EH95" s="79">
        <v>1</v>
      </c>
      <c r="EI95" s="79">
        <v>1</v>
      </c>
      <c r="EJ95" s="79">
        <v>1</v>
      </c>
      <c r="EK95" s="79">
        <v>1</v>
      </c>
      <c r="EL95" s="79">
        <v>1</v>
      </c>
      <c r="EM95" s="143">
        <f t="shared" si="150"/>
        <v>0</v>
      </c>
      <c r="EN95" s="143">
        <f t="shared" si="151"/>
        <v>0</v>
      </c>
      <c r="EO95" s="82">
        <f t="shared" si="152"/>
        <v>0</v>
      </c>
    </row>
    <row r="96" spans="1:145" x14ac:dyDescent="0.25">
      <c r="A96">
        <v>82</v>
      </c>
      <c r="B96" s="172" t="e">
        <f t="shared" si="110"/>
        <v>#N/A</v>
      </c>
      <c r="C96" s="121" t="e">
        <f t="shared" si="89"/>
        <v>#N/A</v>
      </c>
      <c r="D96" s="122" t="e">
        <f t="shared" si="90"/>
        <v>#N/A</v>
      </c>
      <c r="E96" s="122" t="e">
        <f t="shared" si="91"/>
        <v>#N/A</v>
      </c>
      <c r="F96" s="176" t="e">
        <f t="shared" si="92"/>
        <v>#N/A</v>
      </c>
      <c r="G96" s="121">
        <f t="shared" si="111"/>
        <v>208</v>
      </c>
      <c r="H96" s="176" t="e">
        <f t="shared" si="112"/>
        <v>#N/A</v>
      </c>
      <c r="I96" s="48">
        <v>1</v>
      </c>
      <c r="J96" s="39"/>
      <c r="K96" s="350">
        <v>1</v>
      </c>
      <c r="L96" s="34" t="e">
        <f t="shared" si="93"/>
        <v>#N/A</v>
      </c>
      <c r="M96" s="38" t="e">
        <f>(HLOOKUP(J96,'Construction Times'!$B$3:$W$34,L96+2,FALSE)*HLOOKUP("hq modifier",'Construction Times'!$W$3:$W$34,BS96+2,FALSE))*(1-$H$9)</f>
        <v>#N/A</v>
      </c>
      <c r="N96" s="443" t="e">
        <f t="shared" si="113"/>
        <v>#N/A</v>
      </c>
      <c r="O96" s="444"/>
      <c r="P96" s="447" t="e">
        <f t="shared" si="114"/>
        <v>#N/A</v>
      </c>
      <c r="Q96" s="448"/>
      <c r="R96" s="103">
        <f t="shared" si="153"/>
        <v>0</v>
      </c>
      <c r="S96" s="104">
        <f t="shared" si="153"/>
        <v>0</v>
      </c>
      <c r="T96" s="104">
        <f t="shared" si="154"/>
        <v>0</v>
      </c>
      <c r="U96" s="104">
        <f t="shared" si="154"/>
        <v>0</v>
      </c>
      <c r="V96" s="104">
        <f t="shared" si="154"/>
        <v>9.9999999999999995E-8</v>
      </c>
      <c r="W96" s="104">
        <f t="shared" si="154"/>
        <v>0</v>
      </c>
      <c r="X96" s="104">
        <f t="shared" si="85"/>
        <v>0</v>
      </c>
      <c r="Y96" s="104">
        <f t="shared" si="85"/>
        <v>9.9999999999999995E-8</v>
      </c>
      <c r="Z96" s="104">
        <f t="shared" si="85"/>
        <v>9.9999999999999995E-8</v>
      </c>
      <c r="AA96" s="105">
        <f t="shared" si="85"/>
        <v>9.9999999999999995E-8</v>
      </c>
      <c r="AB96" s="101" t="e">
        <f>$DT96*HLOOKUP($J96,'Construction Costs (timber)'!$B$1:$V$32,'Construction Planner'!$L96+2,FALSE)</f>
        <v>#N/A</v>
      </c>
      <c r="AC96" s="14" t="e">
        <f>$DT96*HLOOKUP($J96,'Construction Costs (clay)'!$B$1:$V$32,'Construction Planner'!$L96+2,FALSE)</f>
        <v>#N/A</v>
      </c>
      <c r="AD96" s="14" t="e">
        <f>$DT96*HLOOKUP($J96,'Construction Costs (iron)'!$B$1:$V$32,'Construction Planner'!$L96+2,FALSE)</f>
        <v>#N/A</v>
      </c>
      <c r="AE96" s="34" t="e">
        <f t="shared" si="163"/>
        <v>#N/A</v>
      </c>
      <c r="AF96" s="33" t="e">
        <f t="shared" si="94"/>
        <v>#N/A</v>
      </c>
      <c r="AG96" s="14" t="e">
        <f t="shared" si="95"/>
        <v>#N/A</v>
      </c>
      <c r="AH96" s="14" t="e">
        <f t="shared" si="96"/>
        <v>#N/A</v>
      </c>
      <c r="AI96" s="34" t="e">
        <f t="shared" si="164"/>
        <v>#N/A</v>
      </c>
      <c r="AJ96" s="49" t="e">
        <f t="shared" si="115"/>
        <v>#N/A</v>
      </c>
      <c r="AK96" s="49" t="e">
        <f t="shared" si="116"/>
        <v>#N/A</v>
      </c>
      <c r="AL96" s="49" t="e">
        <f t="shared" si="117"/>
        <v>#N/A</v>
      </c>
      <c r="AM96" s="25">
        <f t="shared" si="97"/>
        <v>30</v>
      </c>
      <c r="AN96" s="25">
        <f t="shared" si="98"/>
        <v>30</v>
      </c>
      <c r="AO96" s="25">
        <f t="shared" si="99"/>
        <v>30</v>
      </c>
      <c r="AP96" s="52" t="e">
        <f t="shared" si="118"/>
        <v>#N/A</v>
      </c>
      <c r="AQ96" s="53" t="e">
        <f t="shared" si="118"/>
        <v>#N/A</v>
      </c>
      <c r="AR96" s="54" t="e">
        <f t="shared" si="118"/>
        <v>#N/A</v>
      </c>
      <c r="AS96" s="316">
        <f t="shared" si="165"/>
        <v>0</v>
      </c>
      <c r="AT96" s="106">
        <f>_xlfn.IFNA($M96/VLOOKUP($BT96,'Unit information'!$A$2:$K$29,2,FALSE)*R96,0)*(1+$E$9)</f>
        <v>0</v>
      </c>
      <c r="AU96" s="107">
        <f>_xlfn.IFNA($M96/VLOOKUP($BT96,'Unit information'!$A$2:$K$29,3,FALSE)*S96,0)*(1+$E$9)</f>
        <v>0</v>
      </c>
      <c r="AV96" s="107">
        <f>_xlfn.IFNA($M96/VLOOKUP($BT96,'Unit information'!$A$2:$K$29,4,FALSE)*T96,0)*(1+$E$9)</f>
        <v>0</v>
      </c>
      <c r="AW96" s="107">
        <f>_xlfn.IFNA($M96/VLOOKUP($BT96,'Unit information'!$A$2:$K$29,5,FALSE)*U96,0)*(1+$E$9)</f>
        <v>0</v>
      </c>
      <c r="AX96" s="107">
        <f>_xlfn.IFNA($M96/VLOOKUP($BU96,'Unit information'!$A$2:$K$29,6,FALSE)*V96,0)*(1+$E$9)</f>
        <v>0</v>
      </c>
      <c r="AY96" s="107">
        <f>_xlfn.IFNA($M96/VLOOKUP($BU96,'Unit information'!$A$2:$K$29,7,FALSE)*W96,0)*(1+$E$9)</f>
        <v>0</v>
      </c>
      <c r="AZ96" s="107">
        <f>_xlfn.IFNA($M96/VLOOKUP($BU96,'Unit information'!$A$2:$K$29,8,FALSE)*X96,0)*(1+$E$9)</f>
        <v>0</v>
      </c>
      <c r="BA96" s="107">
        <f>_xlfn.IFNA($M96/VLOOKUP($BU96,'Unit information'!$A$2:$K$29,9,FALSE)*Y96,0)*(1+$E$9)</f>
        <v>0</v>
      </c>
      <c r="BB96" s="107">
        <f>_xlfn.IFNA($M96/VLOOKUP($BV96,'Unit information'!$A$2:$K$29,10,FALSE)*Z96,0)*(1+$E$9)</f>
        <v>0</v>
      </c>
      <c r="BC96" s="108">
        <f>_xlfn.IFNA($M96/VLOOKUP($BV96,'Unit information'!$A$2:$K$29,11,FALSE)*AA96,0)*(1+$E$9)</f>
        <v>0</v>
      </c>
      <c r="BD96" s="106">
        <f t="shared" si="100"/>
        <v>0</v>
      </c>
      <c r="BE96" s="107">
        <f t="shared" si="101"/>
        <v>0</v>
      </c>
      <c r="BF96" s="108">
        <f t="shared" si="102"/>
        <v>0</v>
      </c>
      <c r="BG96" s="25" t="e">
        <f t="shared" si="103"/>
        <v>#N/A</v>
      </c>
      <c r="BH96" s="25" t="e">
        <f t="shared" si="104"/>
        <v>#N/A</v>
      </c>
      <c r="BI96" s="25" t="e">
        <f t="shared" si="105"/>
        <v>#N/A</v>
      </c>
      <c r="BJ96" s="27" t="e">
        <f t="shared" si="106"/>
        <v>#N/A</v>
      </c>
      <c r="BK96" s="18" t="e">
        <f t="shared" si="107"/>
        <v>#N/A</v>
      </c>
      <c r="BL96" s="18" t="e">
        <f t="shared" si="108"/>
        <v>#N/A</v>
      </c>
      <c r="BM96" s="28" t="e">
        <f t="shared" si="166"/>
        <v>#N/A</v>
      </c>
      <c r="BN96" s="33">
        <f>HLOOKUP("maximum population",Miscelaneous!$C$1:$C$33,CH96+3,FALSE)</f>
        <v>240</v>
      </c>
      <c r="BO96" s="14">
        <f t="shared" si="119"/>
        <v>32</v>
      </c>
      <c r="BP96" s="14">
        <f t="shared" si="120"/>
        <v>0</v>
      </c>
      <c r="BQ96" s="14">
        <f t="shared" si="121"/>
        <v>208</v>
      </c>
      <c r="BR96" s="34" t="e">
        <f>HLOOKUP(J96,Villagers!$B$1:$V$33,L96+3,FALSE)-HLOOKUP(J96,Villagers!$B$1:$V$33,L96+2,FALSE)</f>
        <v>#N/A</v>
      </c>
      <c r="BS96" s="49">
        <f t="shared" si="122"/>
        <v>1</v>
      </c>
      <c r="BT96" s="50">
        <f t="shared" si="123"/>
        <v>0</v>
      </c>
      <c r="BU96" s="50">
        <f t="shared" si="124"/>
        <v>0</v>
      </c>
      <c r="BV96" s="50">
        <f t="shared" si="125"/>
        <v>0</v>
      </c>
      <c r="BW96" s="50">
        <f t="shared" ref="BW96:BY102" si="179">IF($J95=BW$14,$L95,BW95)</f>
        <v>0</v>
      </c>
      <c r="BX96" s="50">
        <f t="shared" si="179"/>
        <v>0</v>
      </c>
      <c r="BY96" s="50">
        <f t="shared" si="179"/>
        <v>0</v>
      </c>
      <c r="BZ96" s="50">
        <f t="shared" si="167"/>
        <v>0</v>
      </c>
      <c r="CA96" s="50">
        <f t="shared" si="168"/>
        <v>0</v>
      </c>
      <c r="CB96" s="50">
        <f t="shared" si="169"/>
        <v>1</v>
      </c>
      <c r="CC96" s="50">
        <f t="shared" si="170"/>
        <v>0</v>
      </c>
      <c r="CD96" s="50">
        <f t="shared" si="171"/>
        <v>0</v>
      </c>
      <c r="CE96" s="50">
        <f t="shared" si="172"/>
        <v>1</v>
      </c>
      <c r="CF96" s="50">
        <f t="shared" si="173"/>
        <v>1</v>
      </c>
      <c r="CG96" s="50">
        <f t="shared" si="174"/>
        <v>1</v>
      </c>
      <c r="CH96" s="50">
        <f t="shared" si="175"/>
        <v>1</v>
      </c>
      <c r="CI96" s="50">
        <f t="shared" si="176"/>
        <v>1</v>
      </c>
      <c r="CJ96" s="50">
        <f t="shared" si="177"/>
        <v>1</v>
      </c>
      <c r="CK96" s="50">
        <f t="shared" si="177"/>
        <v>0</v>
      </c>
      <c r="CL96" s="50">
        <f t="shared" si="177"/>
        <v>0</v>
      </c>
      <c r="CM96" s="51">
        <f t="shared" si="178"/>
        <v>0</v>
      </c>
      <c r="CN96" s="33">
        <f>ROUND(IF(BS96=0,0,HLOOKUP(BS$14,Villagers!$B$1:$V$33,BS96+3,FALSE)),)</f>
        <v>5</v>
      </c>
      <c r="CO96" s="14">
        <f>ROUND(IF(BT96=0,0,HLOOKUP(BT$14,Villagers!$B$1:$V$33,BT96+3,FALSE)),)</f>
        <v>0</v>
      </c>
      <c r="CP96" s="14">
        <f>ROUND(IF(BU96=0,0,HLOOKUP(BU$14,Villagers!$B$1:$V$33,BU96+3,FALSE)),)</f>
        <v>0</v>
      </c>
      <c r="CQ96" s="14">
        <f>ROUND(IF(BV96=0,0,HLOOKUP(BV$14,Villagers!$B$1:$V$33,BV96+3,FALSE)),)</f>
        <v>0</v>
      </c>
      <c r="CR96" s="14">
        <f>ROUND(IF(BW96=0,0,HLOOKUP(BW$14,Villagers!$B$1:$V$33,BW96+3,FALSE)),)</f>
        <v>0</v>
      </c>
      <c r="CS96" s="14">
        <f>ROUND(IF(BX96=0,0,HLOOKUP(BX$14,Villagers!$B$1:$V$33,BX96+3,FALSE)),)</f>
        <v>0</v>
      </c>
      <c r="CT96" s="14">
        <f>ROUND(IF(BY96=0,0,HLOOKUP(BY$14,Villagers!$B$1:$V$33,BY96+3,FALSE)),)</f>
        <v>0</v>
      </c>
      <c r="CU96" s="14">
        <f>ROUND(IF(BZ96=0,0,HLOOKUP(BZ$14,Villagers!$B$1:$V$33,BZ96+3,FALSE)),)</f>
        <v>0</v>
      </c>
      <c r="CV96" s="14">
        <f>ROUND(IF(CA96=0,0,HLOOKUP(CA$14,Villagers!$B$1:$V$33,CA96+3,FALSE)),)</f>
        <v>0</v>
      </c>
      <c r="CW96" s="14">
        <f>ROUND(IF(CB96=0,0,HLOOKUP(CB$14,Villagers!$B$1:$V$33,CB96+3,FALSE)),)</f>
        <v>0</v>
      </c>
      <c r="CX96" s="14">
        <f>ROUND(IF(CC96=0,0,HLOOKUP(CC$14,Villagers!$B$1:$V$33,CC96+3,FALSE)),)</f>
        <v>0</v>
      </c>
      <c r="CY96" s="14">
        <f>ROUND(IF(CD96=0,0,HLOOKUP(CD$14,Villagers!$B$1:$V$33,CD96+3,FALSE)),)</f>
        <v>0</v>
      </c>
      <c r="CZ96" s="14">
        <f>ROUND(IF(CE96=0,0,HLOOKUP(CE$14,Villagers!$B$1:$V$33,CE96+3,FALSE)),)</f>
        <v>5</v>
      </c>
      <c r="DA96" s="14">
        <f>ROUND(IF(CF96=0,0,HLOOKUP(CF$14,Villagers!$B$1:$V$33,CF96+3,FALSE)),)</f>
        <v>10</v>
      </c>
      <c r="DB96" s="14">
        <f>ROUND(IF(CG96=0,0,HLOOKUP(CG$14,Villagers!$B$1:$V$33,CG96+3,FALSE)),)</f>
        <v>10</v>
      </c>
      <c r="DC96" s="14">
        <f>ROUND(IF(CH96=0,0,HLOOKUP(CH$14,Villagers!$B$1:$V$33,CH96+3,FALSE)),)</f>
        <v>0</v>
      </c>
      <c r="DD96" s="14">
        <f>ROUND(IF(CI96=0,0,HLOOKUP(CI$14,Villagers!$B$1:$V$33,CI96+3,FALSE)),)</f>
        <v>0</v>
      </c>
      <c r="DE96" s="14">
        <f>ROUND(IF(CJ96=0,0,HLOOKUP(CJ$14,Villagers!$B$1:$V$33,CJ96+3,FALSE)),)</f>
        <v>2</v>
      </c>
      <c r="DF96" s="370">
        <f>ROUND(IF(CK96=0,0,HLOOKUP(CK$14,Villagers!$B$1:$V$33,CK96+3,FALSE)),)</f>
        <v>0</v>
      </c>
      <c r="DG96" s="370">
        <f>ROUND(IF(CL96=0,0,HLOOKUP(CL$14,Villagers!$B$1:$V$33,CL96+3,FALSE)),)</f>
        <v>0</v>
      </c>
      <c r="DH96" s="34">
        <f>ROUND(IF(CM96=0,0,HLOOKUP(CM$14,Villagers!$B$1:$V$33,CM96+3,FALSE)),)</f>
        <v>0</v>
      </c>
      <c r="DI96" s="109">
        <f t="shared" si="155"/>
        <v>0</v>
      </c>
      <c r="DJ96" s="50">
        <f t="shared" si="156"/>
        <v>0</v>
      </c>
      <c r="DK96" s="50">
        <f t="shared" si="157"/>
        <v>0</v>
      </c>
      <c r="DL96" s="50">
        <f t="shared" si="158"/>
        <v>0</v>
      </c>
      <c r="DM96" s="50">
        <f t="shared" si="159"/>
        <v>0</v>
      </c>
      <c r="DN96" s="50">
        <f t="shared" si="160"/>
        <v>0</v>
      </c>
      <c r="DO96" s="50">
        <f t="shared" si="161"/>
        <v>0</v>
      </c>
      <c r="DP96" s="50">
        <f t="shared" si="162"/>
        <v>0</v>
      </c>
      <c r="DQ96" s="50">
        <f t="shared" si="140"/>
        <v>0</v>
      </c>
      <c r="DR96" s="50">
        <f t="shared" si="141"/>
        <v>0</v>
      </c>
      <c r="DS96" s="96">
        <f>Miscelaneous!$D$4*Miscelaneous!$D$2^($CI96-1)</f>
        <v>1000</v>
      </c>
      <c r="DT96" s="333">
        <f t="shared" si="109"/>
        <v>1</v>
      </c>
      <c r="DU96" s="81">
        <v>1</v>
      </c>
      <c r="DV96" s="79">
        <f t="shared" si="142"/>
        <v>0</v>
      </c>
      <c r="DW96" s="79">
        <f t="shared" si="143"/>
        <v>0</v>
      </c>
      <c r="DX96" s="79">
        <f t="shared" si="144"/>
        <v>0</v>
      </c>
      <c r="DY96" s="79">
        <v>1</v>
      </c>
      <c r="DZ96" s="79">
        <f t="shared" si="145"/>
        <v>0</v>
      </c>
      <c r="EA96" s="79">
        <f t="shared" si="146"/>
        <v>0</v>
      </c>
      <c r="EB96" s="79">
        <f t="shared" si="147"/>
        <v>0</v>
      </c>
      <c r="EC96" s="79">
        <f t="shared" si="148"/>
        <v>0</v>
      </c>
      <c r="ED96" s="79">
        <v>1</v>
      </c>
      <c r="EE96" s="79">
        <v>1</v>
      </c>
      <c r="EF96" s="79">
        <f t="shared" si="149"/>
        <v>0</v>
      </c>
      <c r="EG96" s="79">
        <v>1</v>
      </c>
      <c r="EH96" s="79">
        <v>1</v>
      </c>
      <c r="EI96" s="79">
        <v>1</v>
      </c>
      <c r="EJ96" s="79">
        <v>1</v>
      </c>
      <c r="EK96" s="79">
        <v>1</v>
      </c>
      <c r="EL96" s="79">
        <v>1</v>
      </c>
      <c r="EM96" s="143">
        <f t="shared" si="150"/>
        <v>0</v>
      </c>
      <c r="EN96" s="143">
        <f t="shared" si="151"/>
        <v>0</v>
      </c>
      <c r="EO96" s="82">
        <f t="shared" si="152"/>
        <v>0</v>
      </c>
    </row>
    <row r="97" spans="1:145" x14ac:dyDescent="0.25">
      <c r="A97">
        <v>83</v>
      </c>
      <c r="B97" s="172" t="e">
        <f t="shared" si="110"/>
        <v>#N/A</v>
      </c>
      <c r="C97" s="121" t="e">
        <f t="shared" si="89"/>
        <v>#N/A</v>
      </c>
      <c r="D97" s="122" t="e">
        <f t="shared" si="90"/>
        <v>#N/A</v>
      </c>
      <c r="E97" s="122" t="e">
        <f t="shared" si="91"/>
        <v>#N/A</v>
      </c>
      <c r="F97" s="176" t="e">
        <f t="shared" si="92"/>
        <v>#N/A</v>
      </c>
      <c r="G97" s="121">
        <f t="shared" si="111"/>
        <v>208</v>
      </c>
      <c r="H97" s="176" t="e">
        <f t="shared" si="112"/>
        <v>#N/A</v>
      </c>
      <c r="I97" s="48">
        <v>1</v>
      </c>
      <c r="J97" s="39"/>
      <c r="K97" s="350">
        <v>1</v>
      </c>
      <c r="L97" s="34" t="e">
        <f t="shared" si="93"/>
        <v>#N/A</v>
      </c>
      <c r="M97" s="38" t="e">
        <f>(HLOOKUP(J97,'Construction Times'!$B$3:$W$34,L97+2,FALSE)*HLOOKUP("hq modifier",'Construction Times'!$W$3:$W$34,BS97+2,FALSE))*(1-$H$9)</f>
        <v>#N/A</v>
      </c>
      <c r="N97" s="443" t="e">
        <f t="shared" si="113"/>
        <v>#N/A</v>
      </c>
      <c r="O97" s="444"/>
      <c r="P97" s="447" t="e">
        <f t="shared" si="114"/>
        <v>#N/A</v>
      </c>
      <c r="Q97" s="448"/>
      <c r="R97" s="103">
        <f t="shared" si="153"/>
        <v>0</v>
      </c>
      <c r="S97" s="104">
        <f t="shared" si="153"/>
        <v>0</v>
      </c>
      <c r="T97" s="104">
        <f t="shared" si="154"/>
        <v>0</v>
      </c>
      <c r="U97" s="104">
        <f t="shared" si="154"/>
        <v>0</v>
      </c>
      <c r="V97" s="104">
        <f t="shared" si="154"/>
        <v>9.9999999999999995E-8</v>
      </c>
      <c r="W97" s="104">
        <f t="shared" si="154"/>
        <v>0</v>
      </c>
      <c r="X97" s="104">
        <f t="shared" si="85"/>
        <v>0</v>
      </c>
      <c r="Y97" s="104">
        <f t="shared" si="85"/>
        <v>9.9999999999999995E-8</v>
      </c>
      <c r="Z97" s="104">
        <f t="shared" si="85"/>
        <v>9.9999999999999995E-8</v>
      </c>
      <c r="AA97" s="105">
        <f t="shared" si="85"/>
        <v>9.9999999999999995E-8</v>
      </c>
      <c r="AB97" s="101" t="e">
        <f>$DT97*HLOOKUP($J97,'Construction Costs (timber)'!$B$1:$V$32,'Construction Planner'!$L97+2,FALSE)</f>
        <v>#N/A</v>
      </c>
      <c r="AC97" s="14" t="e">
        <f>$DT97*HLOOKUP($J97,'Construction Costs (clay)'!$B$1:$V$32,'Construction Planner'!$L97+2,FALSE)</f>
        <v>#N/A</v>
      </c>
      <c r="AD97" s="14" t="e">
        <f>$DT97*HLOOKUP($J97,'Construction Costs (iron)'!$B$1:$V$32,'Construction Planner'!$L97+2,FALSE)</f>
        <v>#N/A</v>
      </c>
      <c r="AE97" s="34" t="e">
        <f t="shared" si="163"/>
        <v>#N/A</v>
      </c>
      <c r="AF97" s="33" t="e">
        <f t="shared" si="94"/>
        <v>#N/A</v>
      </c>
      <c r="AG97" s="14" t="e">
        <f t="shared" si="95"/>
        <v>#N/A</v>
      </c>
      <c r="AH97" s="14" t="e">
        <f t="shared" si="96"/>
        <v>#N/A</v>
      </c>
      <c r="AI97" s="34" t="e">
        <f t="shared" si="164"/>
        <v>#N/A</v>
      </c>
      <c r="AJ97" s="49" t="e">
        <f t="shared" si="115"/>
        <v>#N/A</v>
      </c>
      <c r="AK97" s="49" t="e">
        <f t="shared" si="116"/>
        <v>#N/A</v>
      </c>
      <c r="AL97" s="49" t="e">
        <f t="shared" si="117"/>
        <v>#N/A</v>
      </c>
      <c r="AM97" s="25">
        <f t="shared" si="97"/>
        <v>30</v>
      </c>
      <c r="AN97" s="25">
        <f t="shared" si="98"/>
        <v>30</v>
      </c>
      <c r="AO97" s="25">
        <f t="shared" si="99"/>
        <v>30</v>
      </c>
      <c r="AP97" s="52" t="e">
        <f t="shared" si="118"/>
        <v>#N/A</v>
      </c>
      <c r="AQ97" s="53" t="e">
        <f t="shared" si="118"/>
        <v>#N/A</v>
      </c>
      <c r="AR97" s="54" t="e">
        <f t="shared" si="118"/>
        <v>#N/A</v>
      </c>
      <c r="AS97" s="316">
        <f t="shared" si="165"/>
        <v>0</v>
      </c>
      <c r="AT97" s="106">
        <f>_xlfn.IFNA($M97/VLOOKUP($BT97,'Unit information'!$A$2:$K$29,2,FALSE)*R97,0)*(1+$E$9)</f>
        <v>0</v>
      </c>
      <c r="AU97" s="107">
        <f>_xlfn.IFNA($M97/VLOOKUP($BT97,'Unit information'!$A$2:$K$29,3,FALSE)*S97,0)*(1+$E$9)</f>
        <v>0</v>
      </c>
      <c r="AV97" s="107">
        <f>_xlfn.IFNA($M97/VLOOKUP($BT97,'Unit information'!$A$2:$K$29,4,FALSE)*T97,0)*(1+$E$9)</f>
        <v>0</v>
      </c>
      <c r="AW97" s="107">
        <f>_xlfn.IFNA($M97/VLOOKUP($BT97,'Unit information'!$A$2:$K$29,5,FALSE)*U97,0)*(1+$E$9)</f>
        <v>0</v>
      </c>
      <c r="AX97" s="107">
        <f>_xlfn.IFNA($M97/VLOOKUP($BU97,'Unit information'!$A$2:$K$29,6,FALSE)*V97,0)*(1+$E$9)</f>
        <v>0</v>
      </c>
      <c r="AY97" s="107">
        <f>_xlfn.IFNA($M97/VLOOKUP($BU97,'Unit information'!$A$2:$K$29,7,FALSE)*W97,0)*(1+$E$9)</f>
        <v>0</v>
      </c>
      <c r="AZ97" s="107">
        <f>_xlfn.IFNA($M97/VLOOKUP($BU97,'Unit information'!$A$2:$K$29,8,FALSE)*X97,0)*(1+$E$9)</f>
        <v>0</v>
      </c>
      <c r="BA97" s="107">
        <f>_xlfn.IFNA($M97/VLOOKUP($BU97,'Unit information'!$A$2:$K$29,9,FALSE)*Y97,0)*(1+$E$9)</f>
        <v>0</v>
      </c>
      <c r="BB97" s="107">
        <f>_xlfn.IFNA($M97/VLOOKUP($BV97,'Unit information'!$A$2:$K$29,10,FALSE)*Z97,0)*(1+$E$9)</f>
        <v>0</v>
      </c>
      <c r="BC97" s="108">
        <f>_xlfn.IFNA($M97/VLOOKUP($BV97,'Unit information'!$A$2:$K$29,11,FALSE)*AA97,0)*(1+$E$9)</f>
        <v>0</v>
      </c>
      <c r="BD97" s="106">
        <f t="shared" si="100"/>
        <v>0</v>
      </c>
      <c r="BE97" s="107">
        <f t="shared" si="101"/>
        <v>0</v>
      </c>
      <c r="BF97" s="108">
        <f t="shared" si="102"/>
        <v>0</v>
      </c>
      <c r="BG97" s="25" t="e">
        <f t="shared" si="103"/>
        <v>#N/A</v>
      </c>
      <c r="BH97" s="25" t="e">
        <f t="shared" si="104"/>
        <v>#N/A</v>
      </c>
      <c r="BI97" s="25" t="e">
        <f t="shared" si="105"/>
        <v>#N/A</v>
      </c>
      <c r="BJ97" s="27" t="e">
        <f t="shared" si="106"/>
        <v>#N/A</v>
      </c>
      <c r="BK97" s="18" t="e">
        <f t="shared" si="107"/>
        <v>#N/A</v>
      </c>
      <c r="BL97" s="18" t="e">
        <f t="shared" si="108"/>
        <v>#N/A</v>
      </c>
      <c r="BM97" s="28" t="e">
        <f t="shared" si="166"/>
        <v>#N/A</v>
      </c>
      <c r="BN97" s="33">
        <f>HLOOKUP("maximum population",Miscelaneous!$C$1:$C$33,CH97+3,FALSE)</f>
        <v>240</v>
      </c>
      <c r="BO97" s="14">
        <f t="shared" si="119"/>
        <v>32</v>
      </c>
      <c r="BP97" s="14">
        <f t="shared" si="120"/>
        <v>0</v>
      </c>
      <c r="BQ97" s="14">
        <f t="shared" si="121"/>
        <v>208</v>
      </c>
      <c r="BR97" s="34" t="e">
        <f>HLOOKUP(J97,Villagers!$B$1:$V$33,L97+3,FALSE)-HLOOKUP(J97,Villagers!$B$1:$V$33,L97+2,FALSE)</f>
        <v>#N/A</v>
      </c>
      <c r="BS97" s="49">
        <f t="shared" si="122"/>
        <v>1</v>
      </c>
      <c r="BT97" s="50">
        <f t="shared" si="123"/>
        <v>0</v>
      </c>
      <c r="BU97" s="50">
        <f t="shared" si="124"/>
        <v>0</v>
      </c>
      <c r="BV97" s="50">
        <f t="shared" si="125"/>
        <v>0</v>
      </c>
      <c r="BW97" s="50">
        <f t="shared" si="179"/>
        <v>0</v>
      </c>
      <c r="BX97" s="50">
        <f t="shared" si="179"/>
        <v>0</v>
      </c>
      <c r="BY97" s="50">
        <f t="shared" si="179"/>
        <v>0</v>
      </c>
      <c r="BZ97" s="50">
        <f t="shared" si="167"/>
        <v>0</v>
      </c>
      <c r="CA97" s="50">
        <f t="shared" si="168"/>
        <v>0</v>
      </c>
      <c r="CB97" s="50">
        <f t="shared" si="169"/>
        <v>1</v>
      </c>
      <c r="CC97" s="50">
        <f t="shared" si="170"/>
        <v>0</v>
      </c>
      <c r="CD97" s="50">
        <f t="shared" si="171"/>
        <v>0</v>
      </c>
      <c r="CE97" s="50">
        <f t="shared" si="172"/>
        <v>1</v>
      </c>
      <c r="CF97" s="50">
        <f t="shared" si="173"/>
        <v>1</v>
      </c>
      <c r="CG97" s="50">
        <f t="shared" si="174"/>
        <v>1</v>
      </c>
      <c r="CH97" s="50">
        <f t="shared" si="175"/>
        <v>1</v>
      </c>
      <c r="CI97" s="50">
        <f t="shared" si="176"/>
        <v>1</v>
      </c>
      <c r="CJ97" s="50">
        <f t="shared" si="177"/>
        <v>1</v>
      </c>
      <c r="CK97" s="50">
        <f t="shared" si="177"/>
        <v>0</v>
      </c>
      <c r="CL97" s="50">
        <f t="shared" si="177"/>
        <v>0</v>
      </c>
      <c r="CM97" s="51">
        <f t="shared" si="178"/>
        <v>0</v>
      </c>
      <c r="CN97" s="33">
        <f>ROUND(IF(BS97=0,0,HLOOKUP(BS$14,Villagers!$B$1:$V$33,BS97+3,FALSE)),)</f>
        <v>5</v>
      </c>
      <c r="CO97" s="14">
        <f>ROUND(IF(BT97=0,0,HLOOKUP(BT$14,Villagers!$B$1:$V$33,BT97+3,FALSE)),)</f>
        <v>0</v>
      </c>
      <c r="CP97" s="14">
        <f>ROUND(IF(BU97=0,0,HLOOKUP(BU$14,Villagers!$B$1:$V$33,BU97+3,FALSE)),)</f>
        <v>0</v>
      </c>
      <c r="CQ97" s="14">
        <f>ROUND(IF(BV97=0,0,HLOOKUP(BV$14,Villagers!$B$1:$V$33,BV97+3,FALSE)),)</f>
        <v>0</v>
      </c>
      <c r="CR97" s="14">
        <f>ROUND(IF(BW97=0,0,HLOOKUP(BW$14,Villagers!$B$1:$V$33,BW97+3,FALSE)),)</f>
        <v>0</v>
      </c>
      <c r="CS97" s="14">
        <f>ROUND(IF(BX97=0,0,HLOOKUP(BX$14,Villagers!$B$1:$V$33,BX97+3,FALSE)),)</f>
        <v>0</v>
      </c>
      <c r="CT97" s="14">
        <f>ROUND(IF(BY97=0,0,HLOOKUP(BY$14,Villagers!$B$1:$V$33,BY97+3,FALSE)),)</f>
        <v>0</v>
      </c>
      <c r="CU97" s="14">
        <f>ROUND(IF(BZ97=0,0,HLOOKUP(BZ$14,Villagers!$B$1:$V$33,BZ97+3,FALSE)),)</f>
        <v>0</v>
      </c>
      <c r="CV97" s="14">
        <f>ROUND(IF(CA97=0,0,HLOOKUP(CA$14,Villagers!$B$1:$V$33,CA97+3,FALSE)),)</f>
        <v>0</v>
      </c>
      <c r="CW97" s="14">
        <f>ROUND(IF(CB97=0,0,HLOOKUP(CB$14,Villagers!$B$1:$V$33,CB97+3,FALSE)),)</f>
        <v>0</v>
      </c>
      <c r="CX97" s="14">
        <f>ROUND(IF(CC97=0,0,HLOOKUP(CC$14,Villagers!$B$1:$V$33,CC97+3,FALSE)),)</f>
        <v>0</v>
      </c>
      <c r="CY97" s="14">
        <f>ROUND(IF(CD97=0,0,HLOOKUP(CD$14,Villagers!$B$1:$V$33,CD97+3,FALSE)),)</f>
        <v>0</v>
      </c>
      <c r="CZ97" s="14">
        <f>ROUND(IF(CE97=0,0,HLOOKUP(CE$14,Villagers!$B$1:$V$33,CE97+3,FALSE)),)</f>
        <v>5</v>
      </c>
      <c r="DA97" s="14">
        <f>ROUND(IF(CF97=0,0,HLOOKUP(CF$14,Villagers!$B$1:$V$33,CF97+3,FALSE)),)</f>
        <v>10</v>
      </c>
      <c r="DB97" s="14">
        <f>ROUND(IF(CG97=0,0,HLOOKUP(CG$14,Villagers!$B$1:$V$33,CG97+3,FALSE)),)</f>
        <v>10</v>
      </c>
      <c r="DC97" s="14">
        <f>ROUND(IF(CH97=0,0,HLOOKUP(CH$14,Villagers!$B$1:$V$33,CH97+3,FALSE)),)</f>
        <v>0</v>
      </c>
      <c r="DD97" s="14">
        <f>ROUND(IF(CI97=0,0,HLOOKUP(CI$14,Villagers!$B$1:$V$33,CI97+3,FALSE)),)</f>
        <v>0</v>
      </c>
      <c r="DE97" s="14">
        <f>ROUND(IF(CJ97=0,0,HLOOKUP(CJ$14,Villagers!$B$1:$V$33,CJ97+3,FALSE)),)</f>
        <v>2</v>
      </c>
      <c r="DF97" s="370">
        <f>ROUND(IF(CK97=0,0,HLOOKUP(CK$14,Villagers!$B$1:$V$33,CK97+3,FALSE)),)</f>
        <v>0</v>
      </c>
      <c r="DG97" s="370">
        <f>ROUND(IF(CL97=0,0,HLOOKUP(CL$14,Villagers!$B$1:$V$33,CL97+3,FALSE)),)</f>
        <v>0</v>
      </c>
      <c r="DH97" s="34">
        <f>ROUND(IF(CM97=0,0,HLOOKUP(CM$14,Villagers!$B$1:$V$33,CM97+3,FALSE)),)</f>
        <v>0</v>
      </c>
      <c r="DI97" s="109">
        <f t="shared" si="155"/>
        <v>0</v>
      </c>
      <c r="DJ97" s="50">
        <f t="shared" si="156"/>
        <v>0</v>
      </c>
      <c r="DK97" s="50">
        <f t="shared" si="157"/>
        <v>0</v>
      </c>
      <c r="DL97" s="50">
        <f t="shared" si="158"/>
        <v>0</v>
      </c>
      <c r="DM97" s="50">
        <f t="shared" si="159"/>
        <v>0</v>
      </c>
      <c r="DN97" s="50">
        <f t="shared" si="160"/>
        <v>0</v>
      </c>
      <c r="DO97" s="50">
        <f t="shared" si="161"/>
        <v>0</v>
      </c>
      <c r="DP97" s="50">
        <f t="shared" si="162"/>
        <v>0</v>
      </c>
      <c r="DQ97" s="50">
        <f t="shared" si="140"/>
        <v>0</v>
      </c>
      <c r="DR97" s="50">
        <f t="shared" si="141"/>
        <v>0</v>
      </c>
      <c r="DS97" s="96">
        <f>Miscelaneous!$D$4*Miscelaneous!$D$2^($CI97-1)</f>
        <v>1000</v>
      </c>
      <c r="DT97" s="333">
        <f t="shared" si="109"/>
        <v>1</v>
      </c>
      <c r="DU97" s="81">
        <v>1</v>
      </c>
      <c r="DV97" s="79">
        <f t="shared" si="142"/>
        <v>0</v>
      </c>
      <c r="DW97" s="79">
        <f t="shared" si="143"/>
        <v>0</v>
      </c>
      <c r="DX97" s="79">
        <f t="shared" si="144"/>
        <v>0</v>
      </c>
      <c r="DY97" s="79">
        <v>1</v>
      </c>
      <c r="DZ97" s="79">
        <f t="shared" si="145"/>
        <v>0</v>
      </c>
      <c r="EA97" s="79">
        <f t="shared" si="146"/>
        <v>0</v>
      </c>
      <c r="EB97" s="79">
        <f t="shared" si="147"/>
        <v>0</v>
      </c>
      <c r="EC97" s="79">
        <f t="shared" si="148"/>
        <v>0</v>
      </c>
      <c r="ED97" s="79">
        <v>1</v>
      </c>
      <c r="EE97" s="79">
        <v>1</v>
      </c>
      <c r="EF97" s="79">
        <f t="shared" si="149"/>
        <v>0</v>
      </c>
      <c r="EG97" s="79">
        <v>1</v>
      </c>
      <c r="EH97" s="79">
        <v>1</v>
      </c>
      <c r="EI97" s="79">
        <v>1</v>
      </c>
      <c r="EJ97" s="79">
        <v>1</v>
      </c>
      <c r="EK97" s="79">
        <v>1</v>
      </c>
      <c r="EL97" s="79">
        <v>1</v>
      </c>
      <c r="EM97" s="143">
        <f t="shared" si="150"/>
        <v>0</v>
      </c>
      <c r="EN97" s="143">
        <f t="shared" si="151"/>
        <v>0</v>
      </c>
      <c r="EO97" s="82">
        <f t="shared" si="152"/>
        <v>0</v>
      </c>
    </row>
    <row r="98" spans="1:145" x14ac:dyDescent="0.25">
      <c r="A98">
        <v>84</v>
      </c>
      <c r="B98" s="172" t="e">
        <f t="shared" si="110"/>
        <v>#N/A</v>
      </c>
      <c r="C98" s="121" t="e">
        <f t="shared" si="89"/>
        <v>#N/A</v>
      </c>
      <c r="D98" s="122" t="e">
        <f t="shared" si="90"/>
        <v>#N/A</v>
      </c>
      <c r="E98" s="122" t="e">
        <f t="shared" si="91"/>
        <v>#N/A</v>
      </c>
      <c r="F98" s="176" t="e">
        <f t="shared" si="92"/>
        <v>#N/A</v>
      </c>
      <c r="G98" s="121">
        <f t="shared" si="111"/>
        <v>208</v>
      </c>
      <c r="H98" s="176" t="e">
        <f t="shared" si="112"/>
        <v>#N/A</v>
      </c>
      <c r="I98" s="48">
        <v>1</v>
      </c>
      <c r="J98" s="39"/>
      <c r="K98" s="350">
        <v>1</v>
      </c>
      <c r="L98" s="34" t="e">
        <f t="shared" si="93"/>
        <v>#N/A</v>
      </c>
      <c r="M98" s="38" t="e">
        <f>(HLOOKUP(J98,'Construction Times'!$B$3:$W$34,L98+2,FALSE)*HLOOKUP("hq modifier",'Construction Times'!$W$3:$W$34,BS98+2,FALSE))*(1-$H$9)</f>
        <v>#N/A</v>
      </c>
      <c r="N98" s="443" t="e">
        <f t="shared" si="113"/>
        <v>#N/A</v>
      </c>
      <c r="O98" s="444"/>
      <c r="P98" s="447" t="e">
        <f t="shared" si="114"/>
        <v>#N/A</v>
      </c>
      <c r="Q98" s="448"/>
      <c r="R98" s="103">
        <f t="shared" si="153"/>
        <v>0</v>
      </c>
      <c r="S98" s="104">
        <f t="shared" si="153"/>
        <v>0</v>
      </c>
      <c r="T98" s="104">
        <f t="shared" si="154"/>
        <v>0</v>
      </c>
      <c r="U98" s="104">
        <f t="shared" si="154"/>
        <v>0</v>
      </c>
      <c r="V98" s="104">
        <f t="shared" si="154"/>
        <v>9.9999999999999995E-8</v>
      </c>
      <c r="W98" s="104">
        <f t="shared" si="154"/>
        <v>0</v>
      </c>
      <c r="X98" s="104">
        <f t="shared" si="85"/>
        <v>0</v>
      </c>
      <c r="Y98" s="104">
        <f t="shared" si="85"/>
        <v>9.9999999999999995E-8</v>
      </c>
      <c r="Z98" s="104">
        <f t="shared" si="85"/>
        <v>9.9999999999999995E-8</v>
      </c>
      <c r="AA98" s="105">
        <f t="shared" si="85"/>
        <v>9.9999999999999995E-8</v>
      </c>
      <c r="AB98" s="101" t="e">
        <f>$DT98*HLOOKUP($J98,'Construction Costs (timber)'!$B$1:$V$32,'Construction Planner'!$L98+2,FALSE)</f>
        <v>#N/A</v>
      </c>
      <c r="AC98" s="14" t="e">
        <f>$DT98*HLOOKUP($J98,'Construction Costs (clay)'!$B$1:$V$32,'Construction Planner'!$L98+2,FALSE)</f>
        <v>#N/A</v>
      </c>
      <c r="AD98" s="14" t="e">
        <f>$DT98*HLOOKUP($J98,'Construction Costs (iron)'!$B$1:$V$32,'Construction Planner'!$L98+2,FALSE)</f>
        <v>#N/A</v>
      </c>
      <c r="AE98" s="34" t="e">
        <f t="shared" si="163"/>
        <v>#N/A</v>
      </c>
      <c r="AF98" s="33" t="e">
        <f t="shared" si="94"/>
        <v>#N/A</v>
      </c>
      <c r="AG98" s="14" t="e">
        <f t="shared" si="95"/>
        <v>#N/A</v>
      </c>
      <c r="AH98" s="14" t="e">
        <f t="shared" si="96"/>
        <v>#N/A</v>
      </c>
      <c r="AI98" s="34" t="e">
        <f t="shared" si="164"/>
        <v>#N/A</v>
      </c>
      <c r="AJ98" s="49" t="e">
        <f t="shared" si="115"/>
        <v>#N/A</v>
      </c>
      <c r="AK98" s="49" t="e">
        <f t="shared" si="116"/>
        <v>#N/A</v>
      </c>
      <c r="AL98" s="49" t="e">
        <f t="shared" si="117"/>
        <v>#N/A</v>
      </c>
      <c r="AM98" s="25">
        <f t="shared" si="97"/>
        <v>30</v>
      </c>
      <c r="AN98" s="25">
        <f t="shared" si="98"/>
        <v>30</v>
      </c>
      <c r="AO98" s="25">
        <f t="shared" si="99"/>
        <v>30</v>
      </c>
      <c r="AP98" s="52" t="e">
        <f t="shared" si="118"/>
        <v>#N/A</v>
      </c>
      <c r="AQ98" s="53" t="e">
        <f t="shared" si="118"/>
        <v>#N/A</v>
      </c>
      <c r="AR98" s="54" t="e">
        <f t="shared" si="118"/>
        <v>#N/A</v>
      </c>
      <c r="AS98" s="316">
        <f t="shared" si="165"/>
        <v>0</v>
      </c>
      <c r="AT98" s="106">
        <f>_xlfn.IFNA($M98/VLOOKUP($BT98,'Unit information'!$A$2:$K$29,2,FALSE)*R98,0)*(1+$E$9)</f>
        <v>0</v>
      </c>
      <c r="AU98" s="107">
        <f>_xlfn.IFNA($M98/VLOOKUP($BT98,'Unit information'!$A$2:$K$29,3,FALSE)*S98,0)*(1+$E$9)</f>
        <v>0</v>
      </c>
      <c r="AV98" s="107">
        <f>_xlfn.IFNA($M98/VLOOKUP($BT98,'Unit information'!$A$2:$K$29,4,FALSE)*T98,0)*(1+$E$9)</f>
        <v>0</v>
      </c>
      <c r="AW98" s="107">
        <f>_xlfn.IFNA($M98/VLOOKUP($BT98,'Unit information'!$A$2:$K$29,5,FALSE)*U98,0)*(1+$E$9)</f>
        <v>0</v>
      </c>
      <c r="AX98" s="107">
        <f>_xlfn.IFNA($M98/VLOOKUP($BU98,'Unit information'!$A$2:$K$29,6,FALSE)*V98,0)*(1+$E$9)</f>
        <v>0</v>
      </c>
      <c r="AY98" s="107">
        <f>_xlfn.IFNA($M98/VLOOKUP($BU98,'Unit information'!$A$2:$K$29,7,FALSE)*W98,0)*(1+$E$9)</f>
        <v>0</v>
      </c>
      <c r="AZ98" s="107">
        <f>_xlfn.IFNA($M98/VLOOKUP($BU98,'Unit information'!$A$2:$K$29,8,FALSE)*X98,0)*(1+$E$9)</f>
        <v>0</v>
      </c>
      <c r="BA98" s="107">
        <f>_xlfn.IFNA($M98/VLOOKUP($BU98,'Unit information'!$A$2:$K$29,9,FALSE)*Y98,0)*(1+$E$9)</f>
        <v>0</v>
      </c>
      <c r="BB98" s="107">
        <f>_xlfn.IFNA($M98/VLOOKUP($BV98,'Unit information'!$A$2:$K$29,10,FALSE)*Z98,0)*(1+$E$9)</f>
        <v>0</v>
      </c>
      <c r="BC98" s="108">
        <f>_xlfn.IFNA($M98/VLOOKUP($BV98,'Unit information'!$A$2:$K$29,11,FALSE)*AA98,0)*(1+$E$9)</f>
        <v>0</v>
      </c>
      <c r="BD98" s="106">
        <f t="shared" si="100"/>
        <v>0</v>
      </c>
      <c r="BE98" s="107">
        <f t="shared" si="101"/>
        <v>0</v>
      </c>
      <c r="BF98" s="108">
        <f t="shared" si="102"/>
        <v>0</v>
      </c>
      <c r="BG98" s="25" t="e">
        <f t="shared" si="103"/>
        <v>#N/A</v>
      </c>
      <c r="BH98" s="25" t="e">
        <f t="shared" si="104"/>
        <v>#N/A</v>
      </c>
      <c r="BI98" s="25" t="e">
        <f t="shared" si="105"/>
        <v>#N/A</v>
      </c>
      <c r="BJ98" s="27" t="e">
        <f t="shared" si="106"/>
        <v>#N/A</v>
      </c>
      <c r="BK98" s="18" t="e">
        <f t="shared" si="107"/>
        <v>#N/A</v>
      </c>
      <c r="BL98" s="18" t="e">
        <f t="shared" si="108"/>
        <v>#N/A</v>
      </c>
      <c r="BM98" s="28" t="e">
        <f t="shared" si="166"/>
        <v>#N/A</v>
      </c>
      <c r="BN98" s="33">
        <f>HLOOKUP("maximum population",Miscelaneous!$C$1:$C$33,CH98+3,FALSE)</f>
        <v>240</v>
      </c>
      <c r="BO98" s="14">
        <f t="shared" si="119"/>
        <v>32</v>
      </c>
      <c r="BP98" s="14">
        <f t="shared" si="120"/>
        <v>0</v>
      </c>
      <c r="BQ98" s="14">
        <f t="shared" si="121"/>
        <v>208</v>
      </c>
      <c r="BR98" s="34" t="e">
        <f>HLOOKUP(J98,Villagers!$B$1:$V$33,L98+3,FALSE)-HLOOKUP(J98,Villagers!$B$1:$V$33,L98+2,FALSE)</f>
        <v>#N/A</v>
      </c>
      <c r="BS98" s="49">
        <f t="shared" si="122"/>
        <v>1</v>
      </c>
      <c r="BT98" s="50">
        <f t="shared" si="123"/>
        <v>0</v>
      </c>
      <c r="BU98" s="50">
        <f t="shared" si="124"/>
        <v>0</v>
      </c>
      <c r="BV98" s="50">
        <f t="shared" si="125"/>
        <v>0</v>
      </c>
      <c r="BW98" s="50">
        <f t="shared" si="179"/>
        <v>0</v>
      </c>
      <c r="BX98" s="50">
        <f t="shared" si="179"/>
        <v>0</v>
      </c>
      <c r="BY98" s="50">
        <f t="shared" si="179"/>
        <v>0</v>
      </c>
      <c r="BZ98" s="50">
        <f t="shared" si="167"/>
        <v>0</v>
      </c>
      <c r="CA98" s="50">
        <f t="shared" si="168"/>
        <v>0</v>
      </c>
      <c r="CB98" s="50">
        <f t="shared" si="169"/>
        <v>1</v>
      </c>
      <c r="CC98" s="50">
        <f t="shared" si="170"/>
        <v>0</v>
      </c>
      <c r="CD98" s="50">
        <f t="shared" si="171"/>
        <v>0</v>
      </c>
      <c r="CE98" s="50">
        <f t="shared" si="172"/>
        <v>1</v>
      </c>
      <c r="CF98" s="50">
        <f t="shared" si="173"/>
        <v>1</v>
      </c>
      <c r="CG98" s="50">
        <f t="shared" si="174"/>
        <v>1</v>
      </c>
      <c r="CH98" s="50">
        <f t="shared" si="175"/>
        <v>1</v>
      </c>
      <c r="CI98" s="50">
        <f t="shared" si="176"/>
        <v>1</v>
      </c>
      <c r="CJ98" s="50">
        <f t="shared" si="177"/>
        <v>1</v>
      </c>
      <c r="CK98" s="50">
        <f t="shared" si="177"/>
        <v>0</v>
      </c>
      <c r="CL98" s="50">
        <f t="shared" si="177"/>
        <v>0</v>
      </c>
      <c r="CM98" s="51">
        <f t="shared" si="178"/>
        <v>0</v>
      </c>
      <c r="CN98" s="33">
        <f>ROUND(IF(BS98=0,0,HLOOKUP(BS$14,Villagers!$B$1:$V$33,BS98+3,FALSE)),)</f>
        <v>5</v>
      </c>
      <c r="CO98" s="14">
        <f>ROUND(IF(BT98=0,0,HLOOKUP(BT$14,Villagers!$B$1:$V$33,BT98+3,FALSE)),)</f>
        <v>0</v>
      </c>
      <c r="CP98" s="14">
        <f>ROUND(IF(BU98=0,0,HLOOKUP(BU$14,Villagers!$B$1:$V$33,BU98+3,FALSE)),)</f>
        <v>0</v>
      </c>
      <c r="CQ98" s="14">
        <f>ROUND(IF(BV98=0,0,HLOOKUP(BV$14,Villagers!$B$1:$V$33,BV98+3,FALSE)),)</f>
        <v>0</v>
      </c>
      <c r="CR98" s="14">
        <f>ROUND(IF(BW98=0,0,HLOOKUP(BW$14,Villagers!$B$1:$V$33,BW98+3,FALSE)),)</f>
        <v>0</v>
      </c>
      <c r="CS98" s="14">
        <f>ROUND(IF(BX98=0,0,HLOOKUP(BX$14,Villagers!$B$1:$V$33,BX98+3,FALSE)),)</f>
        <v>0</v>
      </c>
      <c r="CT98" s="14">
        <f>ROUND(IF(BY98=0,0,HLOOKUP(BY$14,Villagers!$B$1:$V$33,BY98+3,FALSE)),)</f>
        <v>0</v>
      </c>
      <c r="CU98" s="14">
        <f>ROUND(IF(BZ98=0,0,HLOOKUP(BZ$14,Villagers!$B$1:$V$33,BZ98+3,FALSE)),)</f>
        <v>0</v>
      </c>
      <c r="CV98" s="14">
        <f>ROUND(IF(CA98=0,0,HLOOKUP(CA$14,Villagers!$B$1:$V$33,CA98+3,FALSE)),)</f>
        <v>0</v>
      </c>
      <c r="CW98" s="14">
        <f>ROUND(IF(CB98=0,0,HLOOKUP(CB$14,Villagers!$B$1:$V$33,CB98+3,FALSE)),)</f>
        <v>0</v>
      </c>
      <c r="CX98" s="14">
        <f>ROUND(IF(CC98=0,0,HLOOKUP(CC$14,Villagers!$B$1:$V$33,CC98+3,FALSE)),)</f>
        <v>0</v>
      </c>
      <c r="CY98" s="14">
        <f>ROUND(IF(CD98=0,0,HLOOKUP(CD$14,Villagers!$B$1:$V$33,CD98+3,FALSE)),)</f>
        <v>0</v>
      </c>
      <c r="CZ98" s="14">
        <f>ROUND(IF(CE98=0,0,HLOOKUP(CE$14,Villagers!$B$1:$V$33,CE98+3,FALSE)),)</f>
        <v>5</v>
      </c>
      <c r="DA98" s="14">
        <f>ROUND(IF(CF98=0,0,HLOOKUP(CF$14,Villagers!$B$1:$V$33,CF98+3,FALSE)),)</f>
        <v>10</v>
      </c>
      <c r="DB98" s="14">
        <f>ROUND(IF(CG98=0,0,HLOOKUP(CG$14,Villagers!$B$1:$V$33,CG98+3,FALSE)),)</f>
        <v>10</v>
      </c>
      <c r="DC98" s="14">
        <f>ROUND(IF(CH98=0,0,HLOOKUP(CH$14,Villagers!$B$1:$V$33,CH98+3,FALSE)),)</f>
        <v>0</v>
      </c>
      <c r="DD98" s="14">
        <f>ROUND(IF(CI98=0,0,HLOOKUP(CI$14,Villagers!$B$1:$V$33,CI98+3,FALSE)),)</f>
        <v>0</v>
      </c>
      <c r="DE98" s="14">
        <f>ROUND(IF(CJ98=0,0,HLOOKUP(CJ$14,Villagers!$B$1:$V$33,CJ98+3,FALSE)),)</f>
        <v>2</v>
      </c>
      <c r="DF98" s="370">
        <f>ROUND(IF(CK98=0,0,HLOOKUP(CK$14,Villagers!$B$1:$V$33,CK98+3,FALSE)),)</f>
        <v>0</v>
      </c>
      <c r="DG98" s="370">
        <f>ROUND(IF(CL98=0,0,HLOOKUP(CL$14,Villagers!$B$1:$V$33,CL98+3,FALSE)),)</f>
        <v>0</v>
      </c>
      <c r="DH98" s="34">
        <f>ROUND(IF(CM98=0,0,HLOOKUP(CM$14,Villagers!$B$1:$V$33,CM98+3,FALSE)),)</f>
        <v>0</v>
      </c>
      <c r="DI98" s="109">
        <f t="shared" si="155"/>
        <v>0</v>
      </c>
      <c r="DJ98" s="50">
        <f t="shared" si="156"/>
        <v>0</v>
      </c>
      <c r="DK98" s="50">
        <f t="shared" si="157"/>
        <v>0</v>
      </c>
      <c r="DL98" s="50">
        <f t="shared" si="158"/>
        <v>0</v>
      </c>
      <c r="DM98" s="50">
        <f t="shared" si="159"/>
        <v>0</v>
      </c>
      <c r="DN98" s="50">
        <f t="shared" si="160"/>
        <v>0</v>
      </c>
      <c r="DO98" s="50">
        <f t="shared" si="161"/>
        <v>0</v>
      </c>
      <c r="DP98" s="50">
        <f t="shared" si="162"/>
        <v>0</v>
      </c>
      <c r="DQ98" s="50">
        <f t="shared" si="140"/>
        <v>0</v>
      </c>
      <c r="DR98" s="50">
        <f t="shared" si="141"/>
        <v>0</v>
      </c>
      <c r="DS98" s="96">
        <f>Miscelaneous!$D$4*Miscelaneous!$D$2^($CI98-1)</f>
        <v>1000</v>
      </c>
      <c r="DT98" s="333">
        <f t="shared" si="109"/>
        <v>1</v>
      </c>
      <c r="DU98" s="81">
        <v>1</v>
      </c>
      <c r="DV98" s="79">
        <f t="shared" si="142"/>
        <v>0</v>
      </c>
      <c r="DW98" s="79">
        <f t="shared" si="143"/>
        <v>0</v>
      </c>
      <c r="DX98" s="79">
        <f t="shared" si="144"/>
        <v>0</v>
      </c>
      <c r="DY98" s="79">
        <v>1</v>
      </c>
      <c r="DZ98" s="79">
        <f t="shared" si="145"/>
        <v>0</v>
      </c>
      <c r="EA98" s="79">
        <f t="shared" si="146"/>
        <v>0</v>
      </c>
      <c r="EB98" s="79">
        <f t="shared" si="147"/>
        <v>0</v>
      </c>
      <c r="EC98" s="79">
        <f t="shared" si="148"/>
        <v>0</v>
      </c>
      <c r="ED98" s="79">
        <v>1</v>
      </c>
      <c r="EE98" s="79">
        <v>1</v>
      </c>
      <c r="EF98" s="79">
        <f t="shared" si="149"/>
        <v>0</v>
      </c>
      <c r="EG98" s="79">
        <v>1</v>
      </c>
      <c r="EH98" s="79">
        <v>1</v>
      </c>
      <c r="EI98" s="79">
        <v>1</v>
      </c>
      <c r="EJ98" s="79">
        <v>1</v>
      </c>
      <c r="EK98" s="79">
        <v>1</v>
      </c>
      <c r="EL98" s="79">
        <v>1</v>
      </c>
      <c r="EM98" s="143">
        <f t="shared" si="150"/>
        <v>0</v>
      </c>
      <c r="EN98" s="143">
        <f t="shared" si="151"/>
        <v>0</v>
      </c>
      <c r="EO98" s="82">
        <f t="shared" si="152"/>
        <v>0</v>
      </c>
    </row>
    <row r="99" spans="1:145" x14ac:dyDescent="0.25">
      <c r="A99">
        <v>85</v>
      </c>
      <c r="B99" s="172" t="e">
        <f t="shared" si="110"/>
        <v>#N/A</v>
      </c>
      <c r="C99" s="121" t="e">
        <f t="shared" si="89"/>
        <v>#N/A</v>
      </c>
      <c r="D99" s="122" t="e">
        <f t="shared" si="90"/>
        <v>#N/A</v>
      </c>
      <c r="E99" s="122" t="e">
        <f t="shared" si="91"/>
        <v>#N/A</v>
      </c>
      <c r="F99" s="176" t="e">
        <f t="shared" si="92"/>
        <v>#N/A</v>
      </c>
      <c r="G99" s="121">
        <f t="shared" si="111"/>
        <v>208</v>
      </c>
      <c r="H99" s="176" t="e">
        <f t="shared" si="112"/>
        <v>#N/A</v>
      </c>
      <c r="I99" s="48">
        <v>1</v>
      </c>
      <c r="J99" s="39"/>
      <c r="K99" s="350">
        <v>1</v>
      </c>
      <c r="L99" s="34" t="e">
        <f t="shared" si="93"/>
        <v>#N/A</v>
      </c>
      <c r="M99" s="38" t="e">
        <f>(HLOOKUP(J99,'Construction Times'!$B$3:$W$34,L99+2,FALSE)*HLOOKUP("hq modifier",'Construction Times'!$W$3:$W$34,BS99+2,FALSE))*(1-$H$9)</f>
        <v>#N/A</v>
      </c>
      <c r="N99" s="443" t="e">
        <f t="shared" si="113"/>
        <v>#N/A</v>
      </c>
      <c r="O99" s="444"/>
      <c r="P99" s="447" t="e">
        <f t="shared" si="114"/>
        <v>#N/A</v>
      </c>
      <c r="Q99" s="448"/>
      <c r="R99" s="103">
        <f t="shared" si="153"/>
        <v>0</v>
      </c>
      <c r="S99" s="104">
        <f t="shared" si="153"/>
        <v>0</v>
      </c>
      <c r="T99" s="104">
        <f t="shared" si="154"/>
        <v>0</v>
      </c>
      <c r="U99" s="104">
        <f t="shared" si="154"/>
        <v>0</v>
      </c>
      <c r="V99" s="104">
        <f t="shared" si="154"/>
        <v>9.9999999999999995E-8</v>
      </c>
      <c r="W99" s="104">
        <f t="shared" si="154"/>
        <v>0</v>
      </c>
      <c r="X99" s="104">
        <f t="shared" si="85"/>
        <v>0</v>
      </c>
      <c r="Y99" s="104">
        <f t="shared" si="85"/>
        <v>9.9999999999999995E-8</v>
      </c>
      <c r="Z99" s="104">
        <f t="shared" si="85"/>
        <v>9.9999999999999995E-8</v>
      </c>
      <c r="AA99" s="105">
        <f t="shared" si="85"/>
        <v>9.9999999999999995E-8</v>
      </c>
      <c r="AB99" s="101" t="e">
        <f>$DT99*HLOOKUP($J99,'Construction Costs (timber)'!$B$1:$V$32,'Construction Planner'!$L99+2,FALSE)</f>
        <v>#N/A</v>
      </c>
      <c r="AC99" s="14" t="e">
        <f>$DT99*HLOOKUP($J99,'Construction Costs (clay)'!$B$1:$V$32,'Construction Planner'!$L99+2,FALSE)</f>
        <v>#N/A</v>
      </c>
      <c r="AD99" s="14" t="e">
        <f>$DT99*HLOOKUP($J99,'Construction Costs (iron)'!$B$1:$V$32,'Construction Planner'!$L99+2,FALSE)</f>
        <v>#N/A</v>
      </c>
      <c r="AE99" s="34" t="e">
        <f t="shared" si="163"/>
        <v>#N/A</v>
      </c>
      <c r="AF99" s="33" t="e">
        <f t="shared" si="94"/>
        <v>#N/A</v>
      </c>
      <c r="AG99" s="14" t="e">
        <f t="shared" si="95"/>
        <v>#N/A</v>
      </c>
      <c r="AH99" s="14" t="e">
        <f t="shared" si="96"/>
        <v>#N/A</v>
      </c>
      <c r="AI99" s="34" t="e">
        <f t="shared" si="164"/>
        <v>#N/A</v>
      </c>
      <c r="AJ99" s="49" t="e">
        <f t="shared" si="115"/>
        <v>#N/A</v>
      </c>
      <c r="AK99" s="49" t="e">
        <f t="shared" si="116"/>
        <v>#N/A</v>
      </c>
      <c r="AL99" s="49" t="e">
        <f t="shared" si="117"/>
        <v>#N/A</v>
      </c>
      <c r="AM99" s="25">
        <f t="shared" si="97"/>
        <v>30</v>
      </c>
      <c r="AN99" s="25">
        <f t="shared" si="98"/>
        <v>30</v>
      </c>
      <c r="AO99" s="25">
        <f t="shared" si="99"/>
        <v>30</v>
      </c>
      <c r="AP99" s="52" t="e">
        <f t="shared" si="118"/>
        <v>#N/A</v>
      </c>
      <c r="AQ99" s="53" t="e">
        <f t="shared" si="118"/>
        <v>#N/A</v>
      </c>
      <c r="AR99" s="54" t="e">
        <f t="shared" si="118"/>
        <v>#N/A</v>
      </c>
      <c r="AS99" s="316">
        <f t="shared" si="165"/>
        <v>0</v>
      </c>
      <c r="AT99" s="106">
        <f>_xlfn.IFNA($M99/VLOOKUP($BT99,'Unit information'!$A$2:$K$29,2,FALSE)*R99,0)*(1+$E$9)</f>
        <v>0</v>
      </c>
      <c r="AU99" s="107">
        <f>_xlfn.IFNA($M99/VLOOKUP($BT99,'Unit information'!$A$2:$K$29,3,FALSE)*S99,0)*(1+$E$9)</f>
        <v>0</v>
      </c>
      <c r="AV99" s="107">
        <f>_xlfn.IFNA($M99/VLOOKUP($BT99,'Unit information'!$A$2:$K$29,4,FALSE)*T99,0)*(1+$E$9)</f>
        <v>0</v>
      </c>
      <c r="AW99" s="107">
        <f>_xlfn.IFNA($M99/VLOOKUP($BT99,'Unit information'!$A$2:$K$29,5,FALSE)*U99,0)*(1+$E$9)</f>
        <v>0</v>
      </c>
      <c r="AX99" s="107">
        <f>_xlfn.IFNA($M99/VLOOKUP($BU99,'Unit information'!$A$2:$K$29,6,FALSE)*V99,0)*(1+$E$9)</f>
        <v>0</v>
      </c>
      <c r="AY99" s="107">
        <f>_xlfn.IFNA($M99/VLOOKUP($BU99,'Unit information'!$A$2:$K$29,7,FALSE)*W99,0)*(1+$E$9)</f>
        <v>0</v>
      </c>
      <c r="AZ99" s="107">
        <f>_xlfn.IFNA($M99/VLOOKUP($BU99,'Unit information'!$A$2:$K$29,8,FALSE)*X99,0)*(1+$E$9)</f>
        <v>0</v>
      </c>
      <c r="BA99" s="107">
        <f>_xlfn.IFNA($M99/VLOOKUP($BU99,'Unit information'!$A$2:$K$29,9,FALSE)*Y99,0)*(1+$E$9)</f>
        <v>0</v>
      </c>
      <c r="BB99" s="107">
        <f>_xlfn.IFNA($M99/VLOOKUP($BV99,'Unit information'!$A$2:$K$29,10,FALSE)*Z99,0)*(1+$E$9)</f>
        <v>0</v>
      </c>
      <c r="BC99" s="108">
        <f>_xlfn.IFNA($M99/VLOOKUP($BV99,'Unit information'!$A$2:$K$29,11,FALSE)*AA99,0)*(1+$E$9)</f>
        <v>0</v>
      </c>
      <c r="BD99" s="106">
        <f t="shared" si="100"/>
        <v>0</v>
      </c>
      <c r="BE99" s="107">
        <f t="shared" si="101"/>
        <v>0</v>
      </c>
      <c r="BF99" s="108">
        <f t="shared" si="102"/>
        <v>0</v>
      </c>
      <c r="BG99" s="25" t="e">
        <f t="shared" si="103"/>
        <v>#N/A</v>
      </c>
      <c r="BH99" s="25" t="e">
        <f t="shared" si="104"/>
        <v>#N/A</v>
      </c>
      <c r="BI99" s="25" t="e">
        <f t="shared" si="105"/>
        <v>#N/A</v>
      </c>
      <c r="BJ99" s="27" t="e">
        <f t="shared" si="106"/>
        <v>#N/A</v>
      </c>
      <c r="BK99" s="18" t="e">
        <f t="shared" si="107"/>
        <v>#N/A</v>
      </c>
      <c r="BL99" s="18" t="e">
        <f t="shared" si="108"/>
        <v>#N/A</v>
      </c>
      <c r="BM99" s="28" t="e">
        <f t="shared" si="166"/>
        <v>#N/A</v>
      </c>
      <c r="BN99" s="33">
        <f>HLOOKUP("maximum population",Miscelaneous!$C$1:$C$33,CH99+3,FALSE)</f>
        <v>240</v>
      </c>
      <c r="BO99" s="14">
        <f t="shared" si="119"/>
        <v>32</v>
      </c>
      <c r="BP99" s="14">
        <f t="shared" si="120"/>
        <v>0</v>
      </c>
      <c r="BQ99" s="14">
        <f t="shared" si="121"/>
        <v>208</v>
      </c>
      <c r="BR99" s="34" t="e">
        <f>HLOOKUP(J99,Villagers!$B$1:$V$33,L99+3,FALSE)-HLOOKUP(J99,Villagers!$B$1:$V$33,L99+2,FALSE)</f>
        <v>#N/A</v>
      </c>
      <c r="BS99" s="49">
        <f t="shared" si="122"/>
        <v>1</v>
      </c>
      <c r="BT99" s="50">
        <f t="shared" si="123"/>
        <v>0</v>
      </c>
      <c r="BU99" s="50">
        <f t="shared" si="124"/>
        <v>0</v>
      </c>
      <c r="BV99" s="50">
        <f t="shared" si="125"/>
        <v>0</v>
      </c>
      <c r="BW99" s="50">
        <f t="shared" si="179"/>
        <v>0</v>
      </c>
      <c r="BX99" s="50">
        <f t="shared" si="179"/>
        <v>0</v>
      </c>
      <c r="BY99" s="50">
        <f t="shared" si="179"/>
        <v>0</v>
      </c>
      <c r="BZ99" s="50">
        <f t="shared" si="167"/>
        <v>0</v>
      </c>
      <c r="CA99" s="50">
        <f t="shared" si="168"/>
        <v>0</v>
      </c>
      <c r="CB99" s="50">
        <f t="shared" si="169"/>
        <v>1</v>
      </c>
      <c r="CC99" s="50">
        <f t="shared" si="170"/>
        <v>0</v>
      </c>
      <c r="CD99" s="50">
        <f t="shared" si="171"/>
        <v>0</v>
      </c>
      <c r="CE99" s="50">
        <f t="shared" si="172"/>
        <v>1</v>
      </c>
      <c r="CF99" s="50">
        <f t="shared" si="173"/>
        <v>1</v>
      </c>
      <c r="CG99" s="50">
        <f t="shared" si="174"/>
        <v>1</v>
      </c>
      <c r="CH99" s="50">
        <f t="shared" si="175"/>
        <v>1</v>
      </c>
      <c r="CI99" s="50">
        <f t="shared" si="176"/>
        <v>1</v>
      </c>
      <c r="CJ99" s="50">
        <f t="shared" si="177"/>
        <v>1</v>
      </c>
      <c r="CK99" s="50">
        <f t="shared" si="177"/>
        <v>0</v>
      </c>
      <c r="CL99" s="50">
        <f t="shared" si="177"/>
        <v>0</v>
      </c>
      <c r="CM99" s="51">
        <f t="shared" si="178"/>
        <v>0</v>
      </c>
      <c r="CN99" s="33">
        <f>ROUND(IF(BS99=0,0,HLOOKUP(BS$14,Villagers!$B$1:$V$33,BS99+3,FALSE)),)</f>
        <v>5</v>
      </c>
      <c r="CO99" s="14">
        <f>ROUND(IF(BT99=0,0,HLOOKUP(BT$14,Villagers!$B$1:$V$33,BT99+3,FALSE)),)</f>
        <v>0</v>
      </c>
      <c r="CP99" s="14">
        <f>ROUND(IF(BU99=0,0,HLOOKUP(BU$14,Villagers!$B$1:$V$33,BU99+3,FALSE)),)</f>
        <v>0</v>
      </c>
      <c r="CQ99" s="14">
        <f>ROUND(IF(BV99=0,0,HLOOKUP(BV$14,Villagers!$B$1:$V$33,BV99+3,FALSE)),)</f>
        <v>0</v>
      </c>
      <c r="CR99" s="14">
        <f>ROUND(IF(BW99=0,0,HLOOKUP(BW$14,Villagers!$B$1:$V$33,BW99+3,FALSE)),)</f>
        <v>0</v>
      </c>
      <c r="CS99" s="14">
        <f>ROUND(IF(BX99=0,0,HLOOKUP(BX$14,Villagers!$B$1:$V$33,BX99+3,FALSE)),)</f>
        <v>0</v>
      </c>
      <c r="CT99" s="14">
        <f>ROUND(IF(BY99=0,0,HLOOKUP(BY$14,Villagers!$B$1:$V$33,BY99+3,FALSE)),)</f>
        <v>0</v>
      </c>
      <c r="CU99" s="14">
        <f>ROUND(IF(BZ99=0,0,HLOOKUP(BZ$14,Villagers!$B$1:$V$33,BZ99+3,FALSE)),)</f>
        <v>0</v>
      </c>
      <c r="CV99" s="14">
        <f>ROUND(IF(CA99=0,0,HLOOKUP(CA$14,Villagers!$B$1:$V$33,CA99+3,FALSE)),)</f>
        <v>0</v>
      </c>
      <c r="CW99" s="14">
        <f>ROUND(IF(CB99=0,0,HLOOKUP(CB$14,Villagers!$B$1:$V$33,CB99+3,FALSE)),)</f>
        <v>0</v>
      </c>
      <c r="CX99" s="14">
        <f>ROUND(IF(CC99=0,0,HLOOKUP(CC$14,Villagers!$B$1:$V$33,CC99+3,FALSE)),)</f>
        <v>0</v>
      </c>
      <c r="CY99" s="14">
        <f>ROUND(IF(CD99=0,0,HLOOKUP(CD$14,Villagers!$B$1:$V$33,CD99+3,FALSE)),)</f>
        <v>0</v>
      </c>
      <c r="CZ99" s="14">
        <f>ROUND(IF(CE99=0,0,HLOOKUP(CE$14,Villagers!$B$1:$V$33,CE99+3,FALSE)),)</f>
        <v>5</v>
      </c>
      <c r="DA99" s="14">
        <f>ROUND(IF(CF99=0,0,HLOOKUP(CF$14,Villagers!$B$1:$V$33,CF99+3,FALSE)),)</f>
        <v>10</v>
      </c>
      <c r="DB99" s="14">
        <f>ROUND(IF(CG99=0,0,HLOOKUP(CG$14,Villagers!$B$1:$V$33,CG99+3,FALSE)),)</f>
        <v>10</v>
      </c>
      <c r="DC99" s="14">
        <f>ROUND(IF(CH99=0,0,HLOOKUP(CH$14,Villagers!$B$1:$V$33,CH99+3,FALSE)),)</f>
        <v>0</v>
      </c>
      <c r="DD99" s="14">
        <f>ROUND(IF(CI99=0,0,HLOOKUP(CI$14,Villagers!$B$1:$V$33,CI99+3,FALSE)),)</f>
        <v>0</v>
      </c>
      <c r="DE99" s="14">
        <f>ROUND(IF(CJ99=0,0,HLOOKUP(CJ$14,Villagers!$B$1:$V$33,CJ99+3,FALSE)),)</f>
        <v>2</v>
      </c>
      <c r="DF99" s="370">
        <f>ROUND(IF(CK99=0,0,HLOOKUP(CK$14,Villagers!$B$1:$V$33,CK99+3,FALSE)),)</f>
        <v>0</v>
      </c>
      <c r="DG99" s="370">
        <f>ROUND(IF(CL99=0,0,HLOOKUP(CL$14,Villagers!$B$1:$V$33,CL99+3,FALSE)),)</f>
        <v>0</v>
      </c>
      <c r="DH99" s="34">
        <f>ROUND(IF(CM99=0,0,HLOOKUP(CM$14,Villagers!$B$1:$V$33,CM99+3,FALSE)),)</f>
        <v>0</v>
      </c>
      <c r="DI99" s="109">
        <f t="shared" si="155"/>
        <v>0</v>
      </c>
      <c r="DJ99" s="50">
        <f t="shared" si="156"/>
        <v>0</v>
      </c>
      <c r="DK99" s="50">
        <f t="shared" si="157"/>
        <v>0</v>
      </c>
      <c r="DL99" s="50">
        <f t="shared" si="158"/>
        <v>0</v>
      </c>
      <c r="DM99" s="50">
        <f t="shared" si="159"/>
        <v>0</v>
      </c>
      <c r="DN99" s="50">
        <f t="shared" si="160"/>
        <v>0</v>
      </c>
      <c r="DO99" s="50">
        <f t="shared" si="161"/>
        <v>0</v>
      </c>
      <c r="DP99" s="50">
        <f t="shared" si="162"/>
        <v>0</v>
      </c>
      <c r="DQ99" s="50">
        <f t="shared" si="140"/>
        <v>0</v>
      </c>
      <c r="DR99" s="50">
        <f t="shared" si="141"/>
        <v>0</v>
      </c>
      <c r="DS99" s="96">
        <f>Miscelaneous!$D$4*Miscelaneous!$D$2^($CI99-1)</f>
        <v>1000</v>
      </c>
      <c r="DT99" s="333">
        <f t="shared" si="109"/>
        <v>1</v>
      </c>
      <c r="DU99" s="81">
        <v>1</v>
      </c>
      <c r="DV99" s="79">
        <f t="shared" si="142"/>
        <v>0</v>
      </c>
      <c r="DW99" s="79">
        <f t="shared" si="143"/>
        <v>0</v>
      </c>
      <c r="DX99" s="79">
        <f t="shared" si="144"/>
        <v>0</v>
      </c>
      <c r="DY99" s="79">
        <v>1</v>
      </c>
      <c r="DZ99" s="79">
        <f t="shared" si="145"/>
        <v>0</v>
      </c>
      <c r="EA99" s="79">
        <f t="shared" si="146"/>
        <v>0</v>
      </c>
      <c r="EB99" s="79">
        <f t="shared" si="147"/>
        <v>0</v>
      </c>
      <c r="EC99" s="79">
        <f t="shared" si="148"/>
        <v>0</v>
      </c>
      <c r="ED99" s="79">
        <v>1</v>
      </c>
      <c r="EE99" s="79">
        <v>1</v>
      </c>
      <c r="EF99" s="79">
        <f t="shared" si="149"/>
        <v>0</v>
      </c>
      <c r="EG99" s="79">
        <v>1</v>
      </c>
      <c r="EH99" s="79">
        <v>1</v>
      </c>
      <c r="EI99" s="79">
        <v>1</v>
      </c>
      <c r="EJ99" s="79">
        <v>1</v>
      </c>
      <c r="EK99" s="79">
        <v>1</v>
      </c>
      <c r="EL99" s="79">
        <v>1</v>
      </c>
      <c r="EM99" s="143">
        <f t="shared" si="150"/>
        <v>0</v>
      </c>
      <c r="EN99" s="143">
        <f t="shared" si="151"/>
        <v>0</v>
      </c>
      <c r="EO99" s="82">
        <f t="shared" si="152"/>
        <v>0</v>
      </c>
    </row>
    <row r="100" spans="1:145" x14ac:dyDescent="0.25">
      <c r="A100">
        <v>86</v>
      </c>
      <c r="B100" s="172" t="e">
        <f t="shared" si="110"/>
        <v>#N/A</v>
      </c>
      <c r="C100" s="121" t="e">
        <f t="shared" si="89"/>
        <v>#N/A</v>
      </c>
      <c r="D100" s="122" t="e">
        <f t="shared" si="90"/>
        <v>#N/A</v>
      </c>
      <c r="E100" s="122" t="e">
        <f t="shared" si="91"/>
        <v>#N/A</v>
      </c>
      <c r="F100" s="176" t="e">
        <f t="shared" si="92"/>
        <v>#N/A</v>
      </c>
      <c r="G100" s="121">
        <f t="shared" si="111"/>
        <v>208</v>
      </c>
      <c r="H100" s="176" t="e">
        <f t="shared" si="112"/>
        <v>#N/A</v>
      </c>
      <c r="I100" s="48">
        <v>1</v>
      </c>
      <c r="J100" s="39"/>
      <c r="K100" s="350">
        <v>1</v>
      </c>
      <c r="L100" s="34" t="e">
        <f t="shared" si="93"/>
        <v>#N/A</v>
      </c>
      <c r="M100" s="38" t="e">
        <f>(HLOOKUP(J100,'Construction Times'!$B$3:$W$34,L100+2,FALSE)*HLOOKUP("hq modifier",'Construction Times'!$W$3:$W$34,BS100+2,FALSE))*(1-$H$9)</f>
        <v>#N/A</v>
      </c>
      <c r="N100" s="443" t="e">
        <f t="shared" si="113"/>
        <v>#N/A</v>
      </c>
      <c r="O100" s="444"/>
      <c r="P100" s="447" t="e">
        <f t="shared" si="114"/>
        <v>#N/A</v>
      </c>
      <c r="Q100" s="448"/>
      <c r="R100" s="103">
        <f t="shared" si="153"/>
        <v>0</v>
      </c>
      <c r="S100" s="104">
        <f t="shared" si="153"/>
        <v>0</v>
      </c>
      <c r="T100" s="104">
        <f t="shared" si="154"/>
        <v>0</v>
      </c>
      <c r="U100" s="104">
        <f t="shared" si="154"/>
        <v>0</v>
      </c>
      <c r="V100" s="104">
        <f t="shared" si="154"/>
        <v>9.9999999999999995E-8</v>
      </c>
      <c r="W100" s="104">
        <f t="shared" si="154"/>
        <v>0</v>
      </c>
      <c r="X100" s="104">
        <f t="shared" si="85"/>
        <v>0</v>
      </c>
      <c r="Y100" s="104">
        <f t="shared" si="85"/>
        <v>9.9999999999999995E-8</v>
      </c>
      <c r="Z100" s="104">
        <f t="shared" si="85"/>
        <v>9.9999999999999995E-8</v>
      </c>
      <c r="AA100" s="105">
        <f t="shared" si="85"/>
        <v>9.9999999999999995E-8</v>
      </c>
      <c r="AB100" s="101" t="e">
        <f>$DT100*HLOOKUP($J100,'Construction Costs (timber)'!$B$1:$V$32,'Construction Planner'!$L100+2,FALSE)</f>
        <v>#N/A</v>
      </c>
      <c r="AC100" s="14" t="e">
        <f>$DT100*HLOOKUP($J100,'Construction Costs (clay)'!$B$1:$V$32,'Construction Planner'!$L100+2,FALSE)</f>
        <v>#N/A</v>
      </c>
      <c r="AD100" s="14" t="e">
        <f>$DT100*HLOOKUP($J100,'Construction Costs (iron)'!$B$1:$V$32,'Construction Planner'!$L100+2,FALSE)</f>
        <v>#N/A</v>
      </c>
      <c r="AE100" s="34" t="e">
        <f t="shared" si="163"/>
        <v>#N/A</v>
      </c>
      <c r="AF100" s="33" t="e">
        <f t="shared" si="94"/>
        <v>#N/A</v>
      </c>
      <c r="AG100" s="14" t="e">
        <f t="shared" si="95"/>
        <v>#N/A</v>
      </c>
      <c r="AH100" s="14" t="e">
        <f t="shared" si="96"/>
        <v>#N/A</v>
      </c>
      <c r="AI100" s="34" t="e">
        <f t="shared" si="164"/>
        <v>#N/A</v>
      </c>
      <c r="AJ100" s="49" t="e">
        <f t="shared" si="115"/>
        <v>#N/A</v>
      </c>
      <c r="AK100" s="49" t="e">
        <f t="shared" si="116"/>
        <v>#N/A</v>
      </c>
      <c r="AL100" s="49" t="e">
        <f t="shared" si="117"/>
        <v>#N/A</v>
      </c>
      <c r="AM100" s="25">
        <f t="shared" si="97"/>
        <v>30</v>
      </c>
      <c r="AN100" s="25">
        <f t="shared" si="98"/>
        <v>30</v>
      </c>
      <c r="AO100" s="25">
        <f t="shared" si="99"/>
        <v>30</v>
      </c>
      <c r="AP100" s="52" t="e">
        <f t="shared" si="118"/>
        <v>#N/A</v>
      </c>
      <c r="AQ100" s="53" t="e">
        <f t="shared" si="118"/>
        <v>#N/A</v>
      </c>
      <c r="AR100" s="54" t="e">
        <f t="shared" si="118"/>
        <v>#N/A</v>
      </c>
      <c r="AS100" s="316">
        <f t="shared" ref="AS100:AS115" si="180">AS99</f>
        <v>0</v>
      </c>
      <c r="AT100" s="106">
        <f>_xlfn.IFNA($M100/VLOOKUP($BT100,'Unit information'!$A$2:$K$29,2,FALSE)*R100,0)*(1+$E$9)</f>
        <v>0</v>
      </c>
      <c r="AU100" s="107">
        <f>_xlfn.IFNA($M100/VLOOKUP($BT100,'Unit information'!$A$2:$K$29,3,FALSE)*S100,0)*(1+$E$9)</f>
        <v>0</v>
      </c>
      <c r="AV100" s="107">
        <f>_xlfn.IFNA($M100/VLOOKUP($BT100,'Unit information'!$A$2:$K$29,4,FALSE)*T100,0)*(1+$E$9)</f>
        <v>0</v>
      </c>
      <c r="AW100" s="107">
        <f>_xlfn.IFNA($M100/VLOOKUP($BT100,'Unit information'!$A$2:$K$29,5,FALSE)*U100,0)*(1+$E$9)</f>
        <v>0</v>
      </c>
      <c r="AX100" s="107">
        <f>_xlfn.IFNA($M100/VLOOKUP($BU100,'Unit information'!$A$2:$K$29,6,FALSE)*V100,0)*(1+$E$9)</f>
        <v>0</v>
      </c>
      <c r="AY100" s="107">
        <f>_xlfn.IFNA($M100/VLOOKUP($BU100,'Unit information'!$A$2:$K$29,7,FALSE)*W100,0)*(1+$E$9)</f>
        <v>0</v>
      </c>
      <c r="AZ100" s="107">
        <f>_xlfn.IFNA($M100/VLOOKUP($BU100,'Unit information'!$A$2:$K$29,8,FALSE)*X100,0)*(1+$E$9)</f>
        <v>0</v>
      </c>
      <c r="BA100" s="107">
        <f>_xlfn.IFNA($M100/VLOOKUP($BU100,'Unit information'!$A$2:$K$29,9,FALSE)*Y100,0)*(1+$E$9)</f>
        <v>0</v>
      </c>
      <c r="BB100" s="107">
        <f>_xlfn.IFNA($M100/VLOOKUP($BV100,'Unit information'!$A$2:$K$29,10,FALSE)*Z100,0)*(1+$E$9)</f>
        <v>0</v>
      </c>
      <c r="BC100" s="108">
        <f>_xlfn.IFNA($M100/VLOOKUP($BV100,'Unit information'!$A$2:$K$29,11,FALSE)*AA100,0)*(1+$E$9)</f>
        <v>0</v>
      </c>
      <c r="BD100" s="106">
        <f t="shared" si="100"/>
        <v>0</v>
      </c>
      <c r="BE100" s="107">
        <f t="shared" si="101"/>
        <v>0</v>
      </c>
      <c r="BF100" s="108">
        <f t="shared" si="102"/>
        <v>0</v>
      </c>
      <c r="BG100" s="25" t="e">
        <f t="shared" si="103"/>
        <v>#N/A</v>
      </c>
      <c r="BH100" s="25" t="e">
        <f t="shared" si="104"/>
        <v>#N/A</v>
      </c>
      <c r="BI100" s="25" t="e">
        <f t="shared" si="105"/>
        <v>#N/A</v>
      </c>
      <c r="BJ100" s="27" t="e">
        <f t="shared" si="106"/>
        <v>#N/A</v>
      </c>
      <c r="BK100" s="18" t="e">
        <f t="shared" si="107"/>
        <v>#N/A</v>
      </c>
      <c r="BL100" s="18" t="e">
        <f t="shared" si="108"/>
        <v>#N/A</v>
      </c>
      <c r="BM100" s="28" t="e">
        <f t="shared" si="166"/>
        <v>#N/A</v>
      </c>
      <c r="BN100" s="33">
        <f>HLOOKUP("maximum population",Miscelaneous!$C$1:$C$33,CH100+3,FALSE)</f>
        <v>240</v>
      </c>
      <c r="BO100" s="14">
        <f t="shared" si="119"/>
        <v>32</v>
      </c>
      <c r="BP100" s="14">
        <f t="shared" si="120"/>
        <v>0</v>
      </c>
      <c r="BQ100" s="14">
        <f t="shared" si="121"/>
        <v>208</v>
      </c>
      <c r="BR100" s="34" t="e">
        <f>HLOOKUP(J100,Villagers!$B$1:$V$33,L100+3,FALSE)-HLOOKUP(J100,Villagers!$B$1:$V$33,L100+2,FALSE)</f>
        <v>#N/A</v>
      </c>
      <c r="BS100" s="49">
        <f t="shared" si="122"/>
        <v>1</v>
      </c>
      <c r="BT100" s="50">
        <f t="shared" si="123"/>
        <v>0</v>
      </c>
      <c r="BU100" s="50">
        <f t="shared" si="124"/>
        <v>0</v>
      </c>
      <c r="BV100" s="50">
        <f t="shared" si="125"/>
        <v>0</v>
      </c>
      <c r="BW100" s="50">
        <f t="shared" si="179"/>
        <v>0</v>
      </c>
      <c r="BX100" s="50">
        <f t="shared" si="179"/>
        <v>0</v>
      </c>
      <c r="BY100" s="50">
        <f t="shared" si="179"/>
        <v>0</v>
      </c>
      <c r="BZ100" s="50">
        <f t="shared" si="167"/>
        <v>0</v>
      </c>
      <c r="CA100" s="50">
        <f t="shared" si="168"/>
        <v>0</v>
      </c>
      <c r="CB100" s="50">
        <f t="shared" si="169"/>
        <v>1</v>
      </c>
      <c r="CC100" s="50">
        <f t="shared" si="170"/>
        <v>0</v>
      </c>
      <c r="CD100" s="50">
        <f t="shared" si="171"/>
        <v>0</v>
      </c>
      <c r="CE100" s="50">
        <f t="shared" si="172"/>
        <v>1</v>
      </c>
      <c r="CF100" s="50">
        <f t="shared" si="173"/>
        <v>1</v>
      </c>
      <c r="CG100" s="50">
        <f t="shared" si="174"/>
        <v>1</v>
      </c>
      <c r="CH100" s="50">
        <f t="shared" si="175"/>
        <v>1</v>
      </c>
      <c r="CI100" s="50">
        <f t="shared" si="176"/>
        <v>1</v>
      </c>
      <c r="CJ100" s="50">
        <f t="shared" si="177"/>
        <v>1</v>
      </c>
      <c r="CK100" s="50">
        <f t="shared" si="177"/>
        <v>0</v>
      </c>
      <c r="CL100" s="50">
        <f t="shared" si="177"/>
        <v>0</v>
      </c>
      <c r="CM100" s="51">
        <f t="shared" si="178"/>
        <v>0</v>
      </c>
      <c r="CN100" s="33">
        <f>ROUND(IF(BS100=0,0,HLOOKUP(BS$14,Villagers!$B$1:$V$33,BS100+3,FALSE)),)</f>
        <v>5</v>
      </c>
      <c r="CO100" s="14">
        <f>ROUND(IF(BT100=0,0,HLOOKUP(BT$14,Villagers!$B$1:$V$33,BT100+3,FALSE)),)</f>
        <v>0</v>
      </c>
      <c r="CP100" s="14">
        <f>ROUND(IF(BU100=0,0,HLOOKUP(BU$14,Villagers!$B$1:$V$33,BU100+3,FALSE)),)</f>
        <v>0</v>
      </c>
      <c r="CQ100" s="14">
        <f>ROUND(IF(BV100=0,0,HLOOKUP(BV$14,Villagers!$B$1:$V$33,BV100+3,FALSE)),)</f>
        <v>0</v>
      </c>
      <c r="CR100" s="14">
        <f>ROUND(IF(BW100=0,0,HLOOKUP(BW$14,Villagers!$B$1:$V$33,BW100+3,FALSE)),)</f>
        <v>0</v>
      </c>
      <c r="CS100" s="14">
        <f>ROUND(IF(BX100=0,0,HLOOKUP(BX$14,Villagers!$B$1:$V$33,BX100+3,FALSE)),)</f>
        <v>0</v>
      </c>
      <c r="CT100" s="14">
        <f>ROUND(IF(BY100=0,0,HLOOKUP(BY$14,Villagers!$B$1:$V$33,BY100+3,FALSE)),)</f>
        <v>0</v>
      </c>
      <c r="CU100" s="14">
        <f>ROUND(IF(BZ100=0,0,HLOOKUP(BZ$14,Villagers!$B$1:$V$33,BZ100+3,FALSE)),)</f>
        <v>0</v>
      </c>
      <c r="CV100" s="14">
        <f>ROUND(IF(CA100=0,0,HLOOKUP(CA$14,Villagers!$B$1:$V$33,CA100+3,FALSE)),)</f>
        <v>0</v>
      </c>
      <c r="CW100" s="14">
        <f>ROUND(IF(CB100=0,0,HLOOKUP(CB$14,Villagers!$B$1:$V$33,CB100+3,FALSE)),)</f>
        <v>0</v>
      </c>
      <c r="CX100" s="14">
        <f>ROUND(IF(CC100=0,0,HLOOKUP(CC$14,Villagers!$B$1:$V$33,CC100+3,FALSE)),)</f>
        <v>0</v>
      </c>
      <c r="CY100" s="14">
        <f>ROUND(IF(CD100=0,0,HLOOKUP(CD$14,Villagers!$B$1:$V$33,CD100+3,FALSE)),)</f>
        <v>0</v>
      </c>
      <c r="CZ100" s="14">
        <f>ROUND(IF(CE100=0,0,HLOOKUP(CE$14,Villagers!$B$1:$V$33,CE100+3,FALSE)),)</f>
        <v>5</v>
      </c>
      <c r="DA100" s="14">
        <f>ROUND(IF(CF100=0,0,HLOOKUP(CF$14,Villagers!$B$1:$V$33,CF100+3,FALSE)),)</f>
        <v>10</v>
      </c>
      <c r="DB100" s="14">
        <f>ROUND(IF(CG100=0,0,HLOOKUP(CG$14,Villagers!$B$1:$V$33,CG100+3,FALSE)),)</f>
        <v>10</v>
      </c>
      <c r="DC100" s="14">
        <f>ROUND(IF(CH100=0,0,HLOOKUP(CH$14,Villagers!$B$1:$V$33,CH100+3,FALSE)),)</f>
        <v>0</v>
      </c>
      <c r="DD100" s="14">
        <f>ROUND(IF(CI100=0,0,HLOOKUP(CI$14,Villagers!$B$1:$V$33,CI100+3,FALSE)),)</f>
        <v>0</v>
      </c>
      <c r="DE100" s="14">
        <f>ROUND(IF(CJ100=0,0,HLOOKUP(CJ$14,Villagers!$B$1:$V$33,CJ100+3,FALSE)),)</f>
        <v>2</v>
      </c>
      <c r="DF100" s="370">
        <f>ROUND(IF(CK100=0,0,HLOOKUP(CK$14,Villagers!$B$1:$V$33,CK100+3,FALSE)),)</f>
        <v>0</v>
      </c>
      <c r="DG100" s="370">
        <f>ROUND(IF(CL100=0,0,HLOOKUP(CL$14,Villagers!$B$1:$V$33,CL100+3,FALSE)),)</f>
        <v>0</v>
      </c>
      <c r="DH100" s="34">
        <f>ROUND(IF(CM100=0,0,HLOOKUP(CM$14,Villagers!$B$1:$V$33,CM100+3,FALSE)),)</f>
        <v>0</v>
      </c>
      <c r="DI100" s="109">
        <f t="shared" si="155"/>
        <v>0</v>
      </c>
      <c r="DJ100" s="50">
        <f t="shared" si="156"/>
        <v>0</v>
      </c>
      <c r="DK100" s="50">
        <f t="shared" si="157"/>
        <v>0</v>
      </c>
      <c r="DL100" s="50">
        <f t="shared" si="158"/>
        <v>0</v>
      </c>
      <c r="DM100" s="50">
        <f t="shared" si="159"/>
        <v>0</v>
      </c>
      <c r="DN100" s="50">
        <f t="shared" si="160"/>
        <v>0</v>
      </c>
      <c r="DO100" s="50">
        <f t="shared" si="161"/>
        <v>0</v>
      </c>
      <c r="DP100" s="50">
        <f t="shared" si="162"/>
        <v>0</v>
      </c>
      <c r="DQ100" s="50">
        <f t="shared" si="140"/>
        <v>0</v>
      </c>
      <c r="DR100" s="50">
        <f t="shared" si="141"/>
        <v>0</v>
      </c>
      <c r="DS100" s="96">
        <f>Miscelaneous!$D$4*Miscelaneous!$D$2^($CI100-1)</f>
        <v>1000</v>
      </c>
      <c r="DT100" s="333">
        <f t="shared" si="109"/>
        <v>1</v>
      </c>
      <c r="DU100" s="81">
        <v>1</v>
      </c>
      <c r="DV100" s="79">
        <f t="shared" si="142"/>
        <v>0</v>
      </c>
      <c r="DW100" s="79">
        <f t="shared" si="143"/>
        <v>0</v>
      </c>
      <c r="DX100" s="79">
        <f t="shared" si="144"/>
        <v>0</v>
      </c>
      <c r="DY100" s="79">
        <v>1</v>
      </c>
      <c r="DZ100" s="79">
        <f t="shared" si="145"/>
        <v>0</v>
      </c>
      <c r="EA100" s="79">
        <f t="shared" si="146"/>
        <v>0</v>
      </c>
      <c r="EB100" s="79">
        <f t="shared" si="147"/>
        <v>0</v>
      </c>
      <c r="EC100" s="79">
        <f t="shared" si="148"/>
        <v>0</v>
      </c>
      <c r="ED100" s="79">
        <v>1</v>
      </c>
      <c r="EE100" s="79">
        <v>1</v>
      </c>
      <c r="EF100" s="79">
        <f t="shared" si="149"/>
        <v>0</v>
      </c>
      <c r="EG100" s="79">
        <v>1</v>
      </c>
      <c r="EH100" s="79">
        <v>1</v>
      </c>
      <c r="EI100" s="79">
        <v>1</v>
      </c>
      <c r="EJ100" s="79">
        <v>1</v>
      </c>
      <c r="EK100" s="79">
        <v>1</v>
      </c>
      <c r="EL100" s="79">
        <v>1</v>
      </c>
      <c r="EM100" s="143">
        <f t="shared" si="150"/>
        <v>0</v>
      </c>
      <c r="EN100" s="143">
        <f t="shared" si="151"/>
        <v>0</v>
      </c>
      <c r="EO100" s="82">
        <f t="shared" si="152"/>
        <v>0</v>
      </c>
    </row>
    <row r="101" spans="1:145" x14ac:dyDescent="0.25">
      <c r="A101">
        <v>87</v>
      </c>
      <c r="B101" s="172" t="e">
        <f t="shared" si="110"/>
        <v>#N/A</v>
      </c>
      <c r="C101" s="121" t="e">
        <f t="shared" si="89"/>
        <v>#N/A</v>
      </c>
      <c r="D101" s="122" t="e">
        <f t="shared" si="90"/>
        <v>#N/A</v>
      </c>
      <c r="E101" s="122" t="e">
        <f t="shared" si="91"/>
        <v>#N/A</v>
      </c>
      <c r="F101" s="176" t="e">
        <f t="shared" si="92"/>
        <v>#N/A</v>
      </c>
      <c r="G101" s="121">
        <f t="shared" si="111"/>
        <v>208</v>
      </c>
      <c r="H101" s="176" t="e">
        <f t="shared" si="112"/>
        <v>#N/A</v>
      </c>
      <c r="I101" s="48">
        <v>1</v>
      </c>
      <c r="J101" s="39"/>
      <c r="K101" s="350">
        <v>1</v>
      </c>
      <c r="L101" s="34" t="e">
        <f t="shared" si="93"/>
        <v>#N/A</v>
      </c>
      <c r="M101" s="38" t="e">
        <f>(HLOOKUP(J101,'Construction Times'!$B$3:$W$34,L101+2,FALSE)*HLOOKUP("hq modifier",'Construction Times'!$W$3:$W$34,BS101+2,FALSE))*(1-$H$9)</f>
        <v>#N/A</v>
      </c>
      <c r="N101" s="443" t="e">
        <f t="shared" si="113"/>
        <v>#N/A</v>
      </c>
      <c r="O101" s="444"/>
      <c r="P101" s="447" t="e">
        <f t="shared" si="114"/>
        <v>#N/A</v>
      </c>
      <c r="Q101" s="448"/>
      <c r="R101" s="103">
        <f t="shared" si="153"/>
        <v>0</v>
      </c>
      <c r="S101" s="104">
        <f t="shared" si="153"/>
        <v>0</v>
      </c>
      <c r="T101" s="104">
        <f t="shared" si="154"/>
        <v>0</v>
      </c>
      <c r="U101" s="104">
        <f t="shared" si="154"/>
        <v>0</v>
      </c>
      <c r="V101" s="104">
        <f t="shared" si="154"/>
        <v>9.9999999999999995E-8</v>
      </c>
      <c r="W101" s="104">
        <f t="shared" si="154"/>
        <v>0</v>
      </c>
      <c r="X101" s="104">
        <f t="shared" si="85"/>
        <v>0</v>
      </c>
      <c r="Y101" s="104">
        <f t="shared" si="85"/>
        <v>9.9999999999999995E-8</v>
      </c>
      <c r="Z101" s="104">
        <f t="shared" si="85"/>
        <v>9.9999999999999995E-8</v>
      </c>
      <c r="AA101" s="105">
        <f t="shared" si="85"/>
        <v>9.9999999999999995E-8</v>
      </c>
      <c r="AB101" s="101" t="e">
        <f>$DT101*HLOOKUP($J101,'Construction Costs (timber)'!$B$1:$V$32,'Construction Planner'!$L101+2,FALSE)</f>
        <v>#N/A</v>
      </c>
      <c r="AC101" s="14" t="e">
        <f>$DT101*HLOOKUP($J101,'Construction Costs (clay)'!$B$1:$V$32,'Construction Planner'!$L101+2,FALSE)</f>
        <v>#N/A</v>
      </c>
      <c r="AD101" s="14" t="e">
        <f>$DT101*HLOOKUP($J101,'Construction Costs (iron)'!$B$1:$V$32,'Construction Planner'!$L101+2,FALSE)</f>
        <v>#N/A</v>
      </c>
      <c r="AE101" s="34" t="e">
        <f t="shared" si="163"/>
        <v>#N/A</v>
      </c>
      <c r="AF101" s="33" t="e">
        <f t="shared" si="94"/>
        <v>#N/A</v>
      </c>
      <c r="AG101" s="14" t="e">
        <f t="shared" si="95"/>
        <v>#N/A</v>
      </c>
      <c r="AH101" s="14" t="e">
        <f t="shared" si="96"/>
        <v>#N/A</v>
      </c>
      <c r="AI101" s="34" t="e">
        <f t="shared" si="164"/>
        <v>#N/A</v>
      </c>
      <c r="AJ101" s="49" t="e">
        <f t="shared" si="115"/>
        <v>#N/A</v>
      </c>
      <c r="AK101" s="49" t="e">
        <f t="shared" si="116"/>
        <v>#N/A</v>
      </c>
      <c r="AL101" s="49" t="e">
        <f t="shared" si="117"/>
        <v>#N/A</v>
      </c>
      <c r="AM101" s="25">
        <f t="shared" si="97"/>
        <v>30</v>
      </c>
      <c r="AN101" s="25">
        <f t="shared" si="98"/>
        <v>30</v>
      </c>
      <c r="AO101" s="25">
        <f t="shared" si="99"/>
        <v>30</v>
      </c>
      <c r="AP101" s="52" t="e">
        <f t="shared" si="118"/>
        <v>#N/A</v>
      </c>
      <c r="AQ101" s="53" t="e">
        <f t="shared" si="118"/>
        <v>#N/A</v>
      </c>
      <c r="AR101" s="54" t="e">
        <f t="shared" si="118"/>
        <v>#N/A</v>
      </c>
      <c r="AS101" s="316">
        <f t="shared" si="180"/>
        <v>0</v>
      </c>
      <c r="AT101" s="106">
        <f>_xlfn.IFNA($M101/VLOOKUP($BT101,'Unit information'!$A$2:$K$29,2,FALSE)*R101,0)*(1+$E$9)</f>
        <v>0</v>
      </c>
      <c r="AU101" s="107">
        <f>_xlfn.IFNA($M101/VLOOKUP($BT101,'Unit information'!$A$2:$K$29,3,FALSE)*S101,0)*(1+$E$9)</f>
        <v>0</v>
      </c>
      <c r="AV101" s="107">
        <f>_xlfn.IFNA($M101/VLOOKUP($BT101,'Unit information'!$A$2:$K$29,4,FALSE)*T101,0)*(1+$E$9)</f>
        <v>0</v>
      </c>
      <c r="AW101" s="107">
        <f>_xlfn.IFNA($M101/VLOOKUP($BT101,'Unit information'!$A$2:$K$29,5,FALSE)*U101,0)*(1+$E$9)</f>
        <v>0</v>
      </c>
      <c r="AX101" s="107">
        <f>_xlfn.IFNA($M101/VLOOKUP($BU101,'Unit information'!$A$2:$K$29,6,FALSE)*V101,0)*(1+$E$9)</f>
        <v>0</v>
      </c>
      <c r="AY101" s="107">
        <f>_xlfn.IFNA($M101/VLOOKUP($BU101,'Unit information'!$A$2:$K$29,7,FALSE)*W101,0)*(1+$E$9)</f>
        <v>0</v>
      </c>
      <c r="AZ101" s="107">
        <f>_xlfn.IFNA($M101/VLOOKUP($BU101,'Unit information'!$A$2:$K$29,8,FALSE)*X101,0)*(1+$E$9)</f>
        <v>0</v>
      </c>
      <c r="BA101" s="107">
        <f>_xlfn.IFNA($M101/VLOOKUP($BU101,'Unit information'!$A$2:$K$29,9,FALSE)*Y101,0)*(1+$E$9)</f>
        <v>0</v>
      </c>
      <c r="BB101" s="107">
        <f>_xlfn.IFNA($M101/VLOOKUP($BV101,'Unit information'!$A$2:$K$29,10,FALSE)*Z101,0)*(1+$E$9)</f>
        <v>0</v>
      </c>
      <c r="BC101" s="108">
        <f>_xlfn.IFNA($M101/VLOOKUP($BV101,'Unit information'!$A$2:$K$29,11,FALSE)*AA101,0)*(1+$E$9)</f>
        <v>0</v>
      </c>
      <c r="BD101" s="106">
        <f t="shared" si="100"/>
        <v>0</v>
      </c>
      <c r="BE101" s="107">
        <f t="shared" si="101"/>
        <v>0</v>
      </c>
      <c r="BF101" s="108">
        <f t="shared" si="102"/>
        <v>0</v>
      </c>
      <c r="BG101" s="25" t="e">
        <f t="shared" si="103"/>
        <v>#N/A</v>
      </c>
      <c r="BH101" s="25" t="e">
        <f t="shared" si="104"/>
        <v>#N/A</v>
      </c>
      <c r="BI101" s="25" t="e">
        <f t="shared" si="105"/>
        <v>#N/A</v>
      </c>
      <c r="BJ101" s="27" t="e">
        <f t="shared" si="106"/>
        <v>#N/A</v>
      </c>
      <c r="BK101" s="18" t="e">
        <f t="shared" si="107"/>
        <v>#N/A</v>
      </c>
      <c r="BL101" s="18" t="e">
        <f t="shared" si="108"/>
        <v>#N/A</v>
      </c>
      <c r="BM101" s="28" t="e">
        <f t="shared" si="166"/>
        <v>#N/A</v>
      </c>
      <c r="BN101" s="33">
        <f>HLOOKUP("maximum population",Miscelaneous!$C$1:$C$33,CH101+3,FALSE)</f>
        <v>240</v>
      </c>
      <c r="BO101" s="14">
        <f t="shared" si="119"/>
        <v>32</v>
      </c>
      <c r="BP101" s="14">
        <f t="shared" si="120"/>
        <v>0</v>
      </c>
      <c r="BQ101" s="14">
        <f t="shared" si="121"/>
        <v>208</v>
      </c>
      <c r="BR101" s="34" t="e">
        <f>HLOOKUP(J101,Villagers!$B$1:$V$33,L101+3,FALSE)-HLOOKUP(J101,Villagers!$B$1:$V$33,L101+2,FALSE)</f>
        <v>#N/A</v>
      </c>
      <c r="BS101" s="49">
        <f t="shared" si="122"/>
        <v>1</v>
      </c>
      <c r="BT101" s="50">
        <f t="shared" si="123"/>
        <v>0</v>
      </c>
      <c r="BU101" s="50">
        <f t="shared" si="124"/>
        <v>0</v>
      </c>
      <c r="BV101" s="50">
        <f t="shared" si="125"/>
        <v>0</v>
      </c>
      <c r="BW101" s="50">
        <f t="shared" si="179"/>
        <v>0</v>
      </c>
      <c r="BX101" s="50">
        <f t="shared" si="179"/>
        <v>0</v>
      </c>
      <c r="BY101" s="50">
        <f t="shared" si="179"/>
        <v>0</v>
      </c>
      <c r="BZ101" s="50">
        <f t="shared" si="167"/>
        <v>0</v>
      </c>
      <c r="CA101" s="50">
        <f t="shared" si="168"/>
        <v>0</v>
      </c>
      <c r="CB101" s="50">
        <f t="shared" si="169"/>
        <v>1</v>
      </c>
      <c r="CC101" s="50">
        <f t="shared" si="170"/>
        <v>0</v>
      </c>
      <c r="CD101" s="50">
        <f t="shared" si="171"/>
        <v>0</v>
      </c>
      <c r="CE101" s="50">
        <f t="shared" si="172"/>
        <v>1</v>
      </c>
      <c r="CF101" s="50">
        <f t="shared" si="173"/>
        <v>1</v>
      </c>
      <c r="CG101" s="50">
        <f t="shared" si="174"/>
        <v>1</v>
      </c>
      <c r="CH101" s="50">
        <f t="shared" si="175"/>
        <v>1</v>
      </c>
      <c r="CI101" s="50">
        <f t="shared" si="176"/>
        <v>1</v>
      </c>
      <c r="CJ101" s="50">
        <f t="shared" si="177"/>
        <v>1</v>
      </c>
      <c r="CK101" s="50">
        <f t="shared" si="177"/>
        <v>0</v>
      </c>
      <c r="CL101" s="50">
        <f t="shared" si="177"/>
        <v>0</v>
      </c>
      <c r="CM101" s="51">
        <f t="shared" si="178"/>
        <v>0</v>
      </c>
      <c r="CN101" s="33">
        <f>ROUND(IF(BS101=0,0,HLOOKUP(BS$14,Villagers!$B$1:$V$33,BS101+3,FALSE)),)</f>
        <v>5</v>
      </c>
      <c r="CO101" s="14">
        <f>ROUND(IF(BT101=0,0,HLOOKUP(BT$14,Villagers!$B$1:$V$33,BT101+3,FALSE)),)</f>
        <v>0</v>
      </c>
      <c r="CP101" s="14">
        <f>ROUND(IF(BU101=0,0,HLOOKUP(BU$14,Villagers!$B$1:$V$33,BU101+3,FALSE)),)</f>
        <v>0</v>
      </c>
      <c r="CQ101" s="14">
        <f>ROUND(IF(BV101=0,0,HLOOKUP(BV$14,Villagers!$B$1:$V$33,BV101+3,FALSE)),)</f>
        <v>0</v>
      </c>
      <c r="CR101" s="14">
        <f>ROUND(IF(BW101=0,0,HLOOKUP(BW$14,Villagers!$B$1:$V$33,BW101+3,FALSE)),)</f>
        <v>0</v>
      </c>
      <c r="CS101" s="14">
        <f>ROUND(IF(BX101=0,0,HLOOKUP(BX$14,Villagers!$B$1:$V$33,BX101+3,FALSE)),)</f>
        <v>0</v>
      </c>
      <c r="CT101" s="14">
        <f>ROUND(IF(BY101=0,0,HLOOKUP(BY$14,Villagers!$B$1:$V$33,BY101+3,FALSE)),)</f>
        <v>0</v>
      </c>
      <c r="CU101" s="14">
        <f>ROUND(IF(BZ101=0,0,HLOOKUP(BZ$14,Villagers!$B$1:$V$33,BZ101+3,FALSE)),)</f>
        <v>0</v>
      </c>
      <c r="CV101" s="14">
        <f>ROUND(IF(CA101=0,0,HLOOKUP(CA$14,Villagers!$B$1:$V$33,CA101+3,FALSE)),)</f>
        <v>0</v>
      </c>
      <c r="CW101" s="14">
        <f>ROUND(IF(CB101=0,0,HLOOKUP(CB$14,Villagers!$B$1:$V$33,CB101+3,FALSE)),)</f>
        <v>0</v>
      </c>
      <c r="CX101" s="14">
        <f>ROUND(IF(CC101=0,0,HLOOKUP(CC$14,Villagers!$B$1:$V$33,CC101+3,FALSE)),)</f>
        <v>0</v>
      </c>
      <c r="CY101" s="14">
        <f>ROUND(IF(CD101=0,0,HLOOKUP(CD$14,Villagers!$B$1:$V$33,CD101+3,FALSE)),)</f>
        <v>0</v>
      </c>
      <c r="CZ101" s="14">
        <f>ROUND(IF(CE101=0,0,HLOOKUP(CE$14,Villagers!$B$1:$V$33,CE101+3,FALSE)),)</f>
        <v>5</v>
      </c>
      <c r="DA101" s="14">
        <f>ROUND(IF(CF101=0,0,HLOOKUP(CF$14,Villagers!$B$1:$V$33,CF101+3,FALSE)),)</f>
        <v>10</v>
      </c>
      <c r="DB101" s="14">
        <f>ROUND(IF(CG101=0,0,HLOOKUP(CG$14,Villagers!$B$1:$V$33,CG101+3,FALSE)),)</f>
        <v>10</v>
      </c>
      <c r="DC101" s="14">
        <f>ROUND(IF(CH101=0,0,HLOOKUP(CH$14,Villagers!$B$1:$V$33,CH101+3,FALSE)),)</f>
        <v>0</v>
      </c>
      <c r="DD101" s="14">
        <f>ROUND(IF(CI101=0,0,HLOOKUP(CI$14,Villagers!$B$1:$V$33,CI101+3,FALSE)),)</f>
        <v>0</v>
      </c>
      <c r="DE101" s="14">
        <f>ROUND(IF(CJ101=0,0,HLOOKUP(CJ$14,Villagers!$B$1:$V$33,CJ101+3,FALSE)),)</f>
        <v>2</v>
      </c>
      <c r="DF101" s="370">
        <f>ROUND(IF(CK101=0,0,HLOOKUP(CK$14,Villagers!$B$1:$V$33,CK101+3,FALSE)),)</f>
        <v>0</v>
      </c>
      <c r="DG101" s="370">
        <f>ROUND(IF(CL101=0,0,HLOOKUP(CL$14,Villagers!$B$1:$V$33,CL101+3,FALSE)),)</f>
        <v>0</v>
      </c>
      <c r="DH101" s="34">
        <f>ROUND(IF(CM101=0,0,HLOOKUP(CM$14,Villagers!$B$1:$V$33,CM101+3,FALSE)),)</f>
        <v>0</v>
      </c>
      <c r="DI101" s="109">
        <f t="shared" si="155"/>
        <v>0</v>
      </c>
      <c r="DJ101" s="50">
        <f t="shared" si="156"/>
        <v>0</v>
      </c>
      <c r="DK101" s="50">
        <f t="shared" si="157"/>
        <v>0</v>
      </c>
      <c r="DL101" s="50">
        <f t="shared" si="158"/>
        <v>0</v>
      </c>
      <c r="DM101" s="50">
        <f t="shared" si="159"/>
        <v>0</v>
      </c>
      <c r="DN101" s="50">
        <f t="shared" si="160"/>
        <v>0</v>
      </c>
      <c r="DO101" s="50">
        <f t="shared" si="161"/>
        <v>0</v>
      </c>
      <c r="DP101" s="50">
        <f t="shared" si="162"/>
        <v>0</v>
      </c>
      <c r="DQ101" s="50">
        <f t="shared" si="140"/>
        <v>0</v>
      </c>
      <c r="DR101" s="50">
        <f t="shared" si="141"/>
        <v>0</v>
      </c>
      <c r="DS101" s="96">
        <f>Miscelaneous!$D$4*Miscelaneous!$D$2^($CI101-1)</f>
        <v>1000</v>
      </c>
      <c r="DT101" s="333">
        <f t="shared" si="109"/>
        <v>1</v>
      </c>
      <c r="DU101" s="81">
        <v>1</v>
      </c>
      <c r="DV101" s="79">
        <f t="shared" si="142"/>
        <v>0</v>
      </c>
      <c r="DW101" s="79">
        <f t="shared" si="143"/>
        <v>0</v>
      </c>
      <c r="DX101" s="79">
        <f t="shared" si="144"/>
        <v>0</v>
      </c>
      <c r="DY101" s="79">
        <v>1</v>
      </c>
      <c r="DZ101" s="79">
        <f t="shared" si="145"/>
        <v>0</v>
      </c>
      <c r="EA101" s="79">
        <f t="shared" si="146"/>
        <v>0</v>
      </c>
      <c r="EB101" s="79">
        <f t="shared" si="147"/>
        <v>0</v>
      </c>
      <c r="EC101" s="79">
        <f t="shared" si="148"/>
        <v>0</v>
      </c>
      <c r="ED101" s="79">
        <v>1</v>
      </c>
      <c r="EE101" s="79">
        <v>1</v>
      </c>
      <c r="EF101" s="79">
        <f t="shared" si="149"/>
        <v>0</v>
      </c>
      <c r="EG101" s="79">
        <v>1</v>
      </c>
      <c r="EH101" s="79">
        <v>1</v>
      </c>
      <c r="EI101" s="79">
        <v>1</v>
      </c>
      <c r="EJ101" s="79">
        <v>1</v>
      </c>
      <c r="EK101" s="79">
        <v>1</v>
      </c>
      <c r="EL101" s="79">
        <v>1</v>
      </c>
      <c r="EM101" s="143">
        <f t="shared" si="150"/>
        <v>0</v>
      </c>
      <c r="EN101" s="143">
        <f t="shared" si="151"/>
        <v>0</v>
      </c>
      <c r="EO101" s="82">
        <f t="shared" si="152"/>
        <v>0</v>
      </c>
    </row>
    <row r="102" spans="1:145" x14ac:dyDescent="0.25">
      <c r="A102">
        <v>88</v>
      </c>
      <c r="B102" s="172" t="e">
        <f t="shared" si="110"/>
        <v>#N/A</v>
      </c>
      <c r="C102" s="121" t="e">
        <f t="shared" si="89"/>
        <v>#N/A</v>
      </c>
      <c r="D102" s="122" t="e">
        <f t="shared" si="90"/>
        <v>#N/A</v>
      </c>
      <c r="E102" s="122" t="e">
        <f t="shared" si="91"/>
        <v>#N/A</v>
      </c>
      <c r="F102" s="176" t="e">
        <f t="shared" si="92"/>
        <v>#N/A</v>
      </c>
      <c r="G102" s="121">
        <f t="shared" si="111"/>
        <v>208</v>
      </c>
      <c r="H102" s="176" t="e">
        <f t="shared" si="112"/>
        <v>#N/A</v>
      </c>
      <c r="I102" s="48">
        <v>1</v>
      </c>
      <c r="J102" s="39"/>
      <c r="K102" s="350">
        <v>1</v>
      </c>
      <c r="L102" s="34" t="e">
        <f t="shared" si="93"/>
        <v>#N/A</v>
      </c>
      <c r="M102" s="38" t="e">
        <f>(HLOOKUP(J102,'Construction Times'!$B$3:$W$34,L102+2,FALSE)*HLOOKUP("hq modifier",'Construction Times'!$W$3:$W$34,BS102+2,FALSE))*(1-$H$9)</f>
        <v>#N/A</v>
      </c>
      <c r="N102" s="443" t="e">
        <f t="shared" si="113"/>
        <v>#N/A</v>
      </c>
      <c r="O102" s="444"/>
      <c r="P102" s="447" t="e">
        <f t="shared" si="114"/>
        <v>#N/A</v>
      </c>
      <c r="Q102" s="448"/>
      <c r="R102" s="103">
        <f t="shared" si="153"/>
        <v>0</v>
      </c>
      <c r="S102" s="104">
        <f t="shared" si="153"/>
        <v>0</v>
      </c>
      <c r="T102" s="104">
        <f t="shared" si="154"/>
        <v>0</v>
      </c>
      <c r="U102" s="104">
        <f t="shared" si="154"/>
        <v>0</v>
      </c>
      <c r="V102" s="104">
        <f t="shared" si="154"/>
        <v>9.9999999999999995E-8</v>
      </c>
      <c r="W102" s="104">
        <f t="shared" si="154"/>
        <v>0</v>
      </c>
      <c r="X102" s="104">
        <f t="shared" si="85"/>
        <v>0</v>
      </c>
      <c r="Y102" s="104">
        <f t="shared" si="85"/>
        <v>9.9999999999999995E-8</v>
      </c>
      <c r="Z102" s="104">
        <f t="shared" si="85"/>
        <v>9.9999999999999995E-8</v>
      </c>
      <c r="AA102" s="105">
        <f t="shared" si="85"/>
        <v>9.9999999999999995E-8</v>
      </c>
      <c r="AB102" s="101" t="e">
        <f>$DT102*HLOOKUP($J102,'Construction Costs (timber)'!$B$1:$V$32,'Construction Planner'!$L102+2,FALSE)</f>
        <v>#N/A</v>
      </c>
      <c r="AC102" s="14" t="e">
        <f>$DT102*HLOOKUP($J102,'Construction Costs (clay)'!$B$1:$V$32,'Construction Planner'!$L102+2,FALSE)</f>
        <v>#N/A</v>
      </c>
      <c r="AD102" s="14" t="e">
        <f>$DT102*HLOOKUP($J102,'Construction Costs (iron)'!$B$1:$V$32,'Construction Planner'!$L102+2,FALSE)</f>
        <v>#N/A</v>
      </c>
      <c r="AE102" s="34" t="e">
        <f t="shared" si="163"/>
        <v>#N/A</v>
      </c>
      <c r="AF102" s="33" t="e">
        <f t="shared" si="94"/>
        <v>#N/A</v>
      </c>
      <c r="AG102" s="14" t="e">
        <f t="shared" si="95"/>
        <v>#N/A</v>
      </c>
      <c r="AH102" s="14" t="e">
        <f t="shared" si="96"/>
        <v>#N/A</v>
      </c>
      <c r="AI102" s="34" t="e">
        <f t="shared" si="164"/>
        <v>#N/A</v>
      </c>
      <c r="AJ102" s="49" t="e">
        <f t="shared" si="115"/>
        <v>#N/A</v>
      </c>
      <c r="AK102" s="49" t="e">
        <f t="shared" si="116"/>
        <v>#N/A</v>
      </c>
      <c r="AL102" s="49" t="e">
        <f t="shared" si="117"/>
        <v>#N/A</v>
      </c>
      <c r="AM102" s="25">
        <f t="shared" si="97"/>
        <v>30</v>
      </c>
      <c r="AN102" s="25">
        <f t="shared" si="98"/>
        <v>30</v>
      </c>
      <c r="AO102" s="25">
        <f t="shared" si="99"/>
        <v>30</v>
      </c>
      <c r="AP102" s="52" t="e">
        <f t="shared" si="118"/>
        <v>#N/A</v>
      </c>
      <c r="AQ102" s="53" t="e">
        <f t="shared" si="118"/>
        <v>#N/A</v>
      </c>
      <c r="AR102" s="54" t="e">
        <f t="shared" si="118"/>
        <v>#N/A</v>
      </c>
      <c r="AS102" s="316">
        <f t="shared" si="180"/>
        <v>0</v>
      </c>
      <c r="AT102" s="106">
        <f>_xlfn.IFNA($M102/VLOOKUP($BT102,'Unit information'!$A$2:$K$29,2,FALSE)*R102,0)*(1+$E$9)</f>
        <v>0</v>
      </c>
      <c r="AU102" s="107">
        <f>_xlfn.IFNA($M102/VLOOKUP($BT102,'Unit information'!$A$2:$K$29,3,FALSE)*S102,0)*(1+$E$9)</f>
        <v>0</v>
      </c>
      <c r="AV102" s="107">
        <f>_xlfn.IFNA($M102/VLOOKUP($BT102,'Unit information'!$A$2:$K$29,4,FALSE)*T102,0)*(1+$E$9)</f>
        <v>0</v>
      </c>
      <c r="AW102" s="107">
        <f>_xlfn.IFNA($M102/VLOOKUP($BT102,'Unit information'!$A$2:$K$29,5,FALSE)*U102,0)*(1+$E$9)</f>
        <v>0</v>
      </c>
      <c r="AX102" s="107">
        <f>_xlfn.IFNA($M102/VLOOKUP($BU102,'Unit information'!$A$2:$K$29,6,FALSE)*V102,0)*(1+$E$9)</f>
        <v>0</v>
      </c>
      <c r="AY102" s="107">
        <f>_xlfn.IFNA($M102/VLOOKUP($BU102,'Unit information'!$A$2:$K$29,7,FALSE)*W102,0)*(1+$E$9)</f>
        <v>0</v>
      </c>
      <c r="AZ102" s="107">
        <f>_xlfn.IFNA($M102/VLOOKUP($BU102,'Unit information'!$A$2:$K$29,8,FALSE)*X102,0)*(1+$E$9)</f>
        <v>0</v>
      </c>
      <c r="BA102" s="107">
        <f>_xlfn.IFNA($M102/VLOOKUP($BU102,'Unit information'!$A$2:$K$29,9,FALSE)*Y102,0)*(1+$E$9)</f>
        <v>0</v>
      </c>
      <c r="BB102" s="107">
        <f>_xlfn.IFNA($M102/VLOOKUP($BV102,'Unit information'!$A$2:$K$29,10,FALSE)*Z102,0)*(1+$E$9)</f>
        <v>0</v>
      </c>
      <c r="BC102" s="108">
        <f>_xlfn.IFNA($M102/VLOOKUP($BV102,'Unit information'!$A$2:$K$29,11,FALSE)*AA102,0)*(1+$E$9)</f>
        <v>0</v>
      </c>
      <c r="BD102" s="106">
        <f t="shared" si="100"/>
        <v>0</v>
      </c>
      <c r="BE102" s="107">
        <f t="shared" si="101"/>
        <v>0</v>
      </c>
      <c r="BF102" s="108">
        <f t="shared" si="102"/>
        <v>0</v>
      </c>
      <c r="BG102" s="25" t="e">
        <f t="shared" si="103"/>
        <v>#N/A</v>
      </c>
      <c r="BH102" s="25" t="e">
        <f t="shared" si="104"/>
        <v>#N/A</v>
      </c>
      <c r="BI102" s="25" t="e">
        <f t="shared" si="105"/>
        <v>#N/A</v>
      </c>
      <c r="BJ102" s="27" t="e">
        <f t="shared" si="106"/>
        <v>#N/A</v>
      </c>
      <c r="BK102" s="18" t="e">
        <f t="shared" si="107"/>
        <v>#N/A</v>
      </c>
      <c r="BL102" s="18" t="e">
        <f t="shared" si="108"/>
        <v>#N/A</v>
      </c>
      <c r="BM102" s="28" t="e">
        <f t="shared" si="166"/>
        <v>#N/A</v>
      </c>
      <c r="BN102" s="33">
        <f>HLOOKUP("maximum population",Miscelaneous!$C$1:$C$33,CH102+3,FALSE)</f>
        <v>240</v>
      </c>
      <c r="BO102" s="14">
        <f t="shared" si="119"/>
        <v>32</v>
      </c>
      <c r="BP102" s="14">
        <f t="shared" si="120"/>
        <v>0</v>
      </c>
      <c r="BQ102" s="14">
        <f t="shared" si="121"/>
        <v>208</v>
      </c>
      <c r="BR102" s="34" t="e">
        <f>HLOOKUP(J102,Villagers!$B$1:$V$33,L102+3,FALSE)-HLOOKUP(J102,Villagers!$B$1:$V$33,L102+2,FALSE)</f>
        <v>#N/A</v>
      </c>
      <c r="BS102" s="49">
        <f t="shared" si="122"/>
        <v>1</v>
      </c>
      <c r="BT102" s="50">
        <f t="shared" si="123"/>
        <v>0</v>
      </c>
      <c r="BU102" s="50">
        <f t="shared" si="124"/>
        <v>0</v>
      </c>
      <c r="BV102" s="50">
        <f t="shared" si="125"/>
        <v>0</v>
      </c>
      <c r="BW102" s="50">
        <f t="shared" si="179"/>
        <v>0</v>
      </c>
      <c r="BX102" s="50">
        <f t="shared" si="179"/>
        <v>0</v>
      </c>
      <c r="BY102" s="50">
        <f t="shared" si="179"/>
        <v>0</v>
      </c>
      <c r="BZ102" s="50">
        <f t="shared" si="167"/>
        <v>0</v>
      </c>
      <c r="CA102" s="50">
        <f t="shared" si="168"/>
        <v>0</v>
      </c>
      <c r="CB102" s="50">
        <f t="shared" si="169"/>
        <v>1</v>
      </c>
      <c r="CC102" s="50">
        <f t="shared" si="170"/>
        <v>0</v>
      </c>
      <c r="CD102" s="50">
        <f t="shared" si="171"/>
        <v>0</v>
      </c>
      <c r="CE102" s="50">
        <f t="shared" si="172"/>
        <v>1</v>
      </c>
      <c r="CF102" s="50">
        <f t="shared" si="173"/>
        <v>1</v>
      </c>
      <c r="CG102" s="50">
        <f t="shared" si="174"/>
        <v>1</v>
      </c>
      <c r="CH102" s="50">
        <f t="shared" si="175"/>
        <v>1</v>
      </c>
      <c r="CI102" s="50">
        <f t="shared" si="176"/>
        <v>1</v>
      </c>
      <c r="CJ102" s="50">
        <f t="shared" si="177"/>
        <v>1</v>
      </c>
      <c r="CK102" s="50">
        <f t="shared" si="177"/>
        <v>0</v>
      </c>
      <c r="CL102" s="50">
        <f t="shared" si="177"/>
        <v>0</v>
      </c>
      <c r="CM102" s="51">
        <f t="shared" si="178"/>
        <v>0</v>
      </c>
      <c r="CN102" s="33">
        <f>ROUND(IF(BS102=0,0,HLOOKUP(BS$14,Villagers!$B$1:$V$33,BS102+3,FALSE)),)</f>
        <v>5</v>
      </c>
      <c r="CO102" s="14">
        <f>ROUND(IF(BT102=0,0,HLOOKUP(BT$14,Villagers!$B$1:$V$33,BT102+3,FALSE)),)</f>
        <v>0</v>
      </c>
      <c r="CP102" s="14">
        <f>ROUND(IF(BU102=0,0,HLOOKUP(BU$14,Villagers!$B$1:$V$33,BU102+3,FALSE)),)</f>
        <v>0</v>
      </c>
      <c r="CQ102" s="14">
        <f>ROUND(IF(BV102=0,0,HLOOKUP(BV$14,Villagers!$B$1:$V$33,BV102+3,FALSE)),)</f>
        <v>0</v>
      </c>
      <c r="CR102" s="14">
        <f>ROUND(IF(BW102=0,0,HLOOKUP(BW$14,Villagers!$B$1:$V$33,BW102+3,FALSE)),)</f>
        <v>0</v>
      </c>
      <c r="CS102" s="14">
        <f>ROUND(IF(BX102=0,0,HLOOKUP(BX$14,Villagers!$B$1:$V$33,BX102+3,FALSE)),)</f>
        <v>0</v>
      </c>
      <c r="CT102" s="14">
        <f>ROUND(IF(BY102=0,0,HLOOKUP(BY$14,Villagers!$B$1:$V$33,BY102+3,FALSE)),)</f>
        <v>0</v>
      </c>
      <c r="CU102" s="14">
        <f>ROUND(IF(BZ102=0,0,HLOOKUP(BZ$14,Villagers!$B$1:$V$33,BZ102+3,FALSE)),)</f>
        <v>0</v>
      </c>
      <c r="CV102" s="14">
        <f>ROUND(IF(CA102=0,0,HLOOKUP(CA$14,Villagers!$B$1:$V$33,CA102+3,FALSE)),)</f>
        <v>0</v>
      </c>
      <c r="CW102" s="14">
        <f>ROUND(IF(CB102=0,0,HLOOKUP(CB$14,Villagers!$B$1:$V$33,CB102+3,FALSE)),)</f>
        <v>0</v>
      </c>
      <c r="CX102" s="14">
        <f>ROUND(IF(CC102=0,0,HLOOKUP(CC$14,Villagers!$B$1:$V$33,CC102+3,FALSE)),)</f>
        <v>0</v>
      </c>
      <c r="CY102" s="14">
        <f>ROUND(IF(CD102=0,0,HLOOKUP(CD$14,Villagers!$B$1:$V$33,CD102+3,FALSE)),)</f>
        <v>0</v>
      </c>
      <c r="CZ102" s="14">
        <f>ROUND(IF(CE102=0,0,HLOOKUP(CE$14,Villagers!$B$1:$V$33,CE102+3,FALSE)),)</f>
        <v>5</v>
      </c>
      <c r="DA102" s="14">
        <f>ROUND(IF(CF102=0,0,HLOOKUP(CF$14,Villagers!$B$1:$V$33,CF102+3,FALSE)),)</f>
        <v>10</v>
      </c>
      <c r="DB102" s="14">
        <f>ROUND(IF(CG102=0,0,HLOOKUP(CG$14,Villagers!$B$1:$V$33,CG102+3,FALSE)),)</f>
        <v>10</v>
      </c>
      <c r="DC102" s="14">
        <f>ROUND(IF(CH102=0,0,HLOOKUP(CH$14,Villagers!$B$1:$V$33,CH102+3,FALSE)),)</f>
        <v>0</v>
      </c>
      <c r="DD102" s="14">
        <f>ROUND(IF(CI102=0,0,HLOOKUP(CI$14,Villagers!$B$1:$V$33,CI102+3,FALSE)),)</f>
        <v>0</v>
      </c>
      <c r="DE102" s="14">
        <f>ROUND(IF(CJ102=0,0,HLOOKUP(CJ$14,Villagers!$B$1:$V$33,CJ102+3,FALSE)),)</f>
        <v>2</v>
      </c>
      <c r="DF102" s="370">
        <f>ROUND(IF(CK102=0,0,HLOOKUP(CK$14,Villagers!$B$1:$V$33,CK102+3,FALSE)),)</f>
        <v>0</v>
      </c>
      <c r="DG102" s="370">
        <f>ROUND(IF(CL102=0,0,HLOOKUP(CL$14,Villagers!$B$1:$V$33,CL102+3,FALSE)),)</f>
        <v>0</v>
      </c>
      <c r="DH102" s="34">
        <f>ROUND(IF(CM102=0,0,HLOOKUP(CM$14,Villagers!$B$1:$V$33,CM102+3,FALSE)),)</f>
        <v>0</v>
      </c>
      <c r="DI102" s="109">
        <f t="shared" si="155"/>
        <v>0</v>
      </c>
      <c r="DJ102" s="50">
        <f t="shared" si="156"/>
        <v>0</v>
      </c>
      <c r="DK102" s="50">
        <f t="shared" si="157"/>
        <v>0</v>
      </c>
      <c r="DL102" s="50">
        <f t="shared" si="158"/>
        <v>0</v>
      </c>
      <c r="DM102" s="50">
        <f t="shared" si="159"/>
        <v>0</v>
      </c>
      <c r="DN102" s="50">
        <f t="shared" si="160"/>
        <v>0</v>
      </c>
      <c r="DO102" s="50">
        <f t="shared" si="161"/>
        <v>0</v>
      </c>
      <c r="DP102" s="50">
        <f t="shared" si="162"/>
        <v>0</v>
      </c>
      <c r="DQ102" s="50">
        <f t="shared" si="140"/>
        <v>0</v>
      </c>
      <c r="DR102" s="50">
        <f t="shared" si="141"/>
        <v>0</v>
      </c>
      <c r="DS102" s="96">
        <f>Miscelaneous!$D$4*Miscelaneous!$D$2^($CI102-1)</f>
        <v>1000</v>
      </c>
      <c r="DT102" s="333">
        <f t="shared" si="109"/>
        <v>1</v>
      </c>
      <c r="DU102" s="81">
        <v>1</v>
      </c>
      <c r="DV102" s="79">
        <f t="shared" si="142"/>
        <v>0</v>
      </c>
      <c r="DW102" s="79">
        <f t="shared" si="143"/>
        <v>0</v>
      </c>
      <c r="DX102" s="79">
        <f t="shared" si="144"/>
        <v>0</v>
      </c>
      <c r="DY102" s="79">
        <v>1</v>
      </c>
      <c r="DZ102" s="79">
        <f t="shared" si="145"/>
        <v>0</v>
      </c>
      <c r="EA102" s="79">
        <f t="shared" si="146"/>
        <v>0</v>
      </c>
      <c r="EB102" s="79">
        <f t="shared" si="147"/>
        <v>0</v>
      </c>
      <c r="EC102" s="79">
        <f t="shared" si="148"/>
        <v>0</v>
      </c>
      <c r="ED102" s="79">
        <v>1</v>
      </c>
      <c r="EE102" s="79">
        <v>1</v>
      </c>
      <c r="EF102" s="79">
        <f t="shared" si="149"/>
        <v>0</v>
      </c>
      <c r="EG102" s="79">
        <v>1</v>
      </c>
      <c r="EH102" s="79">
        <v>1</v>
      </c>
      <c r="EI102" s="79">
        <v>1</v>
      </c>
      <c r="EJ102" s="79">
        <v>1</v>
      </c>
      <c r="EK102" s="79">
        <v>1</v>
      </c>
      <c r="EL102" s="79">
        <v>1</v>
      </c>
      <c r="EM102" s="143">
        <f t="shared" si="150"/>
        <v>0</v>
      </c>
      <c r="EN102" s="143">
        <f t="shared" si="151"/>
        <v>0</v>
      </c>
      <c r="EO102" s="82">
        <f t="shared" si="152"/>
        <v>0</v>
      </c>
    </row>
    <row r="103" spans="1:145" x14ac:dyDescent="0.25">
      <c r="A103">
        <v>89</v>
      </c>
      <c r="B103" s="172" t="e">
        <f t="shared" si="110"/>
        <v>#N/A</v>
      </c>
      <c r="C103" s="121" t="e">
        <f t="shared" si="89"/>
        <v>#N/A</v>
      </c>
      <c r="D103" s="122" t="e">
        <f t="shared" si="90"/>
        <v>#N/A</v>
      </c>
      <c r="E103" s="122" t="e">
        <f t="shared" si="91"/>
        <v>#N/A</v>
      </c>
      <c r="F103" s="176" t="e">
        <f t="shared" si="92"/>
        <v>#N/A</v>
      </c>
      <c r="G103" s="121">
        <f t="shared" si="111"/>
        <v>208</v>
      </c>
      <c r="H103" s="176" t="e">
        <f t="shared" si="112"/>
        <v>#N/A</v>
      </c>
      <c r="I103" s="48">
        <v>1</v>
      </c>
      <c r="J103" s="39"/>
      <c r="K103" s="350">
        <v>1</v>
      </c>
      <c r="L103" s="34" t="e">
        <f t="shared" si="93"/>
        <v>#N/A</v>
      </c>
      <c r="M103" s="38" t="e">
        <f>(HLOOKUP(J103,'Construction Times'!$B$3:$W$34,L103+2,FALSE)*HLOOKUP("hq modifier",'Construction Times'!$W$3:$W$34,BS103+2,FALSE))*(1-$H$9)</f>
        <v>#N/A</v>
      </c>
      <c r="N103" s="443" t="e">
        <f t="shared" si="113"/>
        <v>#N/A</v>
      </c>
      <c r="O103" s="444"/>
      <c r="P103" s="447" t="e">
        <f t="shared" si="114"/>
        <v>#N/A</v>
      </c>
      <c r="Q103" s="448"/>
      <c r="R103" s="103">
        <f t="shared" si="153"/>
        <v>0</v>
      </c>
      <c r="S103" s="104">
        <f t="shared" si="153"/>
        <v>0</v>
      </c>
      <c r="T103" s="104">
        <f t="shared" si="154"/>
        <v>0</v>
      </c>
      <c r="U103" s="104">
        <f t="shared" si="154"/>
        <v>0</v>
      </c>
      <c r="V103" s="104">
        <f t="shared" si="154"/>
        <v>9.9999999999999995E-8</v>
      </c>
      <c r="W103" s="104">
        <f t="shared" si="154"/>
        <v>0</v>
      </c>
      <c r="X103" s="104">
        <f t="shared" si="85"/>
        <v>0</v>
      </c>
      <c r="Y103" s="104">
        <f t="shared" si="85"/>
        <v>9.9999999999999995E-8</v>
      </c>
      <c r="Z103" s="104">
        <f t="shared" si="85"/>
        <v>9.9999999999999995E-8</v>
      </c>
      <c r="AA103" s="105">
        <f t="shared" si="85"/>
        <v>9.9999999999999995E-8</v>
      </c>
      <c r="AB103" s="101" t="e">
        <f>$DT103*HLOOKUP($J103,'Construction Costs (timber)'!$B$1:$V$32,'Construction Planner'!$L103+2,FALSE)</f>
        <v>#N/A</v>
      </c>
      <c r="AC103" s="14" t="e">
        <f>$DT103*HLOOKUP($J103,'Construction Costs (clay)'!$B$1:$V$32,'Construction Planner'!$L103+2,FALSE)</f>
        <v>#N/A</v>
      </c>
      <c r="AD103" s="14" t="e">
        <f>$DT103*HLOOKUP($J103,'Construction Costs (iron)'!$B$1:$V$32,'Construction Planner'!$L103+2,FALSE)</f>
        <v>#N/A</v>
      </c>
      <c r="AE103" s="34" t="e">
        <f t="shared" si="163"/>
        <v>#N/A</v>
      </c>
      <c r="AF103" s="33" t="e">
        <f t="shared" si="94"/>
        <v>#N/A</v>
      </c>
      <c r="AG103" s="14" t="e">
        <f t="shared" si="95"/>
        <v>#N/A</v>
      </c>
      <c r="AH103" s="14" t="e">
        <f t="shared" si="96"/>
        <v>#N/A</v>
      </c>
      <c r="AI103" s="34" t="e">
        <f t="shared" si="164"/>
        <v>#N/A</v>
      </c>
      <c r="AJ103" s="49" t="e">
        <f t="shared" si="115"/>
        <v>#N/A</v>
      </c>
      <c r="AK103" s="49" t="e">
        <f t="shared" si="116"/>
        <v>#N/A</v>
      </c>
      <c r="AL103" s="49" t="e">
        <f t="shared" si="117"/>
        <v>#N/A</v>
      </c>
      <c r="AM103" s="25">
        <f t="shared" si="97"/>
        <v>30</v>
      </c>
      <c r="AN103" s="25">
        <f t="shared" si="98"/>
        <v>30</v>
      </c>
      <c r="AO103" s="25">
        <f t="shared" si="99"/>
        <v>30</v>
      </c>
      <c r="AP103" s="52" t="e">
        <f t="shared" si="118"/>
        <v>#N/A</v>
      </c>
      <c r="AQ103" s="53" t="e">
        <f t="shared" si="118"/>
        <v>#N/A</v>
      </c>
      <c r="AR103" s="54" t="e">
        <f t="shared" si="118"/>
        <v>#N/A</v>
      </c>
      <c r="AS103" s="316">
        <f t="shared" si="180"/>
        <v>0</v>
      </c>
      <c r="AT103" s="106">
        <f>_xlfn.IFNA($M103/VLOOKUP($BT103,'Unit information'!$A$2:$K$29,2,FALSE)*R103,0)*(1+$E$9)</f>
        <v>0</v>
      </c>
      <c r="AU103" s="107">
        <f>_xlfn.IFNA($M103/VLOOKUP($BT103,'Unit information'!$A$2:$K$29,3,FALSE)*S103,0)*(1+$E$9)</f>
        <v>0</v>
      </c>
      <c r="AV103" s="107">
        <f>_xlfn.IFNA($M103/VLOOKUP($BT103,'Unit information'!$A$2:$K$29,4,FALSE)*T103,0)*(1+$E$9)</f>
        <v>0</v>
      </c>
      <c r="AW103" s="107">
        <f>_xlfn.IFNA($M103/VLOOKUP($BT103,'Unit information'!$A$2:$K$29,5,FALSE)*U103,0)*(1+$E$9)</f>
        <v>0</v>
      </c>
      <c r="AX103" s="107">
        <f>_xlfn.IFNA($M103/VLOOKUP($BU103,'Unit information'!$A$2:$K$29,6,FALSE)*V103,0)*(1+$E$9)</f>
        <v>0</v>
      </c>
      <c r="AY103" s="107">
        <f>_xlfn.IFNA($M103/VLOOKUP($BU103,'Unit information'!$A$2:$K$29,7,FALSE)*W103,0)*(1+$E$9)</f>
        <v>0</v>
      </c>
      <c r="AZ103" s="107">
        <f>_xlfn.IFNA($M103/VLOOKUP($BU103,'Unit information'!$A$2:$K$29,8,FALSE)*X103,0)*(1+$E$9)</f>
        <v>0</v>
      </c>
      <c r="BA103" s="107">
        <f>_xlfn.IFNA($M103/VLOOKUP($BU103,'Unit information'!$A$2:$K$29,9,FALSE)*Y103,0)*(1+$E$9)</f>
        <v>0</v>
      </c>
      <c r="BB103" s="107">
        <f>_xlfn.IFNA($M103/VLOOKUP($BV103,'Unit information'!$A$2:$K$29,10,FALSE)*Z103,0)*(1+$E$9)</f>
        <v>0</v>
      </c>
      <c r="BC103" s="108">
        <f>_xlfn.IFNA($M103/VLOOKUP($BV103,'Unit information'!$A$2:$K$29,11,FALSE)*AA103,0)*(1+$E$9)</f>
        <v>0</v>
      </c>
      <c r="BD103" s="106">
        <f t="shared" si="100"/>
        <v>0</v>
      </c>
      <c r="BE103" s="107">
        <f t="shared" si="101"/>
        <v>0</v>
      </c>
      <c r="BF103" s="108">
        <f t="shared" si="102"/>
        <v>0</v>
      </c>
      <c r="BG103" s="25" t="e">
        <f t="shared" si="103"/>
        <v>#N/A</v>
      </c>
      <c r="BH103" s="25" t="e">
        <f t="shared" si="104"/>
        <v>#N/A</v>
      </c>
      <c r="BI103" s="25" t="e">
        <f t="shared" si="105"/>
        <v>#N/A</v>
      </c>
      <c r="BJ103" s="27" t="e">
        <f t="shared" si="106"/>
        <v>#N/A</v>
      </c>
      <c r="BK103" s="18" t="e">
        <f t="shared" si="107"/>
        <v>#N/A</v>
      </c>
      <c r="BL103" s="18" t="e">
        <f t="shared" si="108"/>
        <v>#N/A</v>
      </c>
      <c r="BM103" s="28" t="e">
        <f t="shared" si="166"/>
        <v>#N/A</v>
      </c>
      <c r="BN103" s="33">
        <f>HLOOKUP("maximum population",Miscelaneous!$C$1:$C$33,CH103+3,FALSE)</f>
        <v>240</v>
      </c>
      <c r="BO103" s="14">
        <f t="shared" si="119"/>
        <v>32</v>
      </c>
      <c r="BP103" s="14">
        <f t="shared" si="120"/>
        <v>0</v>
      </c>
      <c r="BQ103" s="14">
        <f t="shared" si="121"/>
        <v>208</v>
      </c>
      <c r="BR103" s="34" t="e">
        <f>HLOOKUP(J103,Villagers!$B$1:$V$33,L103+3,FALSE)-HLOOKUP(J103,Villagers!$B$1:$V$33,L103+2,FALSE)</f>
        <v>#N/A</v>
      </c>
      <c r="BS103" s="49">
        <f t="shared" si="122"/>
        <v>1</v>
      </c>
      <c r="BT103" s="50">
        <f t="shared" si="123"/>
        <v>0</v>
      </c>
      <c r="BU103" s="50">
        <f t="shared" si="124"/>
        <v>0</v>
      </c>
      <c r="BV103" s="50">
        <f t="shared" si="125"/>
        <v>0</v>
      </c>
      <c r="BW103" s="50">
        <f t="shared" ref="BW103:BY106" si="181">IF($J102=BW$14,$L102,BW102)</f>
        <v>0</v>
      </c>
      <c r="BX103" s="50">
        <f t="shared" si="181"/>
        <v>0</v>
      </c>
      <c r="BY103" s="50">
        <f t="shared" si="181"/>
        <v>0</v>
      </c>
      <c r="BZ103" s="50">
        <f t="shared" si="167"/>
        <v>0</v>
      </c>
      <c r="CA103" s="50">
        <f t="shared" si="168"/>
        <v>0</v>
      </c>
      <c r="CB103" s="50">
        <f t="shared" si="169"/>
        <v>1</v>
      </c>
      <c r="CC103" s="50">
        <f t="shared" si="170"/>
        <v>0</v>
      </c>
      <c r="CD103" s="50">
        <f t="shared" si="171"/>
        <v>0</v>
      </c>
      <c r="CE103" s="50">
        <f t="shared" si="172"/>
        <v>1</v>
      </c>
      <c r="CF103" s="50">
        <f t="shared" si="173"/>
        <v>1</v>
      </c>
      <c r="CG103" s="50">
        <f t="shared" si="174"/>
        <v>1</v>
      </c>
      <c r="CH103" s="50">
        <f t="shared" si="175"/>
        <v>1</v>
      </c>
      <c r="CI103" s="50">
        <f t="shared" si="176"/>
        <v>1</v>
      </c>
      <c r="CJ103" s="50">
        <f t="shared" si="177"/>
        <v>1</v>
      </c>
      <c r="CK103" s="50">
        <f t="shared" si="177"/>
        <v>0</v>
      </c>
      <c r="CL103" s="50">
        <f t="shared" si="177"/>
        <v>0</v>
      </c>
      <c r="CM103" s="51">
        <f t="shared" si="178"/>
        <v>0</v>
      </c>
      <c r="CN103" s="33">
        <f>ROUND(IF(BS103=0,0,HLOOKUP(BS$14,Villagers!$B$1:$V$33,BS103+3,FALSE)),)</f>
        <v>5</v>
      </c>
      <c r="CO103" s="14">
        <f>ROUND(IF(BT103=0,0,HLOOKUP(BT$14,Villagers!$B$1:$V$33,BT103+3,FALSE)),)</f>
        <v>0</v>
      </c>
      <c r="CP103" s="14">
        <f>ROUND(IF(BU103=0,0,HLOOKUP(BU$14,Villagers!$B$1:$V$33,BU103+3,FALSE)),)</f>
        <v>0</v>
      </c>
      <c r="CQ103" s="14">
        <f>ROUND(IF(BV103=0,0,HLOOKUP(BV$14,Villagers!$B$1:$V$33,BV103+3,FALSE)),)</f>
        <v>0</v>
      </c>
      <c r="CR103" s="14">
        <f>ROUND(IF(BW103=0,0,HLOOKUP(BW$14,Villagers!$B$1:$V$33,BW103+3,FALSE)),)</f>
        <v>0</v>
      </c>
      <c r="CS103" s="14">
        <f>ROUND(IF(BX103=0,0,HLOOKUP(BX$14,Villagers!$B$1:$V$33,BX103+3,FALSE)),)</f>
        <v>0</v>
      </c>
      <c r="CT103" s="14">
        <f>ROUND(IF(BY103=0,0,HLOOKUP(BY$14,Villagers!$B$1:$V$33,BY103+3,FALSE)),)</f>
        <v>0</v>
      </c>
      <c r="CU103" s="14">
        <f>ROUND(IF(BZ103=0,0,HLOOKUP(BZ$14,Villagers!$B$1:$V$33,BZ103+3,FALSE)),)</f>
        <v>0</v>
      </c>
      <c r="CV103" s="14">
        <f>ROUND(IF(CA103=0,0,HLOOKUP(CA$14,Villagers!$B$1:$V$33,CA103+3,FALSE)),)</f>
        <v>0</v>
      </c>
      <c r="CW103" s="14">
        <f>ROUND(IF(CB103=0,0,HLOOKUP(CB$14,Villagers!$B$1:$V$33,CB103+3,FALSE)),)</f>
        <v>0</v>
      </c>
      <c r="CX103" s="14">
        <f>ROUND(IF(CC103=0,0,HLOOKUP(CC$14,Villagers!$B$1:$V$33,CC103+3,FALSE)),)</f>
        <v>0</v>
      </c>
      <c r="CY103" s="14">
        <f>ROUND(IF(CD103=0,0,HLOOKUP(CD$14,Villagers!$B$1:$V$33,CD103+3,FALSE)),)</f>
        <v>0</v>
      </c>
      <c r="CZ103" s="14">
        <f>ROUND(IF(CE103=0,0,HLOOKUP(CE$14,Villagers!$B$1:$V$33,CE103+3,FALSE)),)</f>
        <v>5</v>
      </c>
      <c r="DA103" s="14">
        <f>ROUND(IF(CF103=0,0,HLOOKUP(CF$14,Villagers!$B$1:$V$33,CF103+3,FALSE)),)</f>
        <v>10</v>
      </c>
      <c r="DB103" s="14">
        <f>ROUND(IF(CG103=0,0,HLOOKUP(CG$14,Villagers!$B$1:$V$33,CG103+3,FALSE)),)</f>
        <v>10</v>
      </c>
      <c r="DC103" s="14">
        <f>ROUND(IF(CH103=0,0,HLOOKUP(CH$14,Villagers!$B$1:$V$33,CH103+3,FALSE)),)</f>
        <v>0</v>
      </c>
      <c r="DD103" s="14">
        <f>ROUND(IF(CI103=0,0,HLOOKUP(CI$14,Villagers!$B$1:$V$33,CI103+3,FALSE)),)</f>
        <v>0</v>
      </c>
      <c r="DE103" s="14">
        <f>ROUND(IF(CJ103=0,0,HLOOKUP(CJ$14,Villagers!$B$1:$V$33,CJ103+3,FALSE)),)</f>
        <v>2</v>
      </c>
      <c r="DF103" s="370">
        <f>ROUND(IF(CK103=0,0,HLOOKUP(CK$14,Villagers!$B$1:$V$33,CK103+3,FALSE)),)</f>
        <v>0</v>
      </c>
      <c r="DG103" s="370">
        <f>ROUND(IF(CL103=0,0,HLOOKUP(CL$14,Villagers!$B$1:$V$33,CL103+3,FALSE)),)</f>
        <v>0</v>
      </c>
      <c r="DH103" s="34">
        <f>ROUND(IF(CM103=0,0,HLOOKUP(CM$14,Villagers!$B$1:$V$33,CM103+3,FALSE)),)</f>
        <v>0</v>
      </c>
      <c r="DI103" s="109">
        <f t="shared" si="155"/>
        <v>0</v>
      </c>
      <c r="DJ103" s="50">
        <f t="shared" si="156"/>
        <v>0</v>
      </c>
      <c r="DK103" s="50">
        <f t="shared" si="157"/>
        <v>0</v>
      </c>
      <c r="DL103" s="50">
        <f t="shared" si="158"/>
        <v>0</v>
      </c>
      <c r="DM103" s="50">
        <f t="shared" si="159"/>
        <v>0</v>
      </c>
      <c r="DN103" s="50">
        <f t="shared" si="160"/>
        <v>0</v>
      </c>
      <c r="DO103" s="50">
        <f t="shared" si="161"/>
        <v>0</v>
      </c>
      <c r="DP103" s="50">
        <f t="shared" si="162"/>
        <v>0</v>
      </c>
      <c r="DQ103" s="50">
        <f t="shared" si="140"/>
        <v>0</v>
      </c>
      <c r="DR103" s="50">
        <f t="shared" si="141"/>
        <v>0</v>
      </c>
      <c r="DS103" s="96">
        <f>Miscelaneous!$D$4*Miscelaneous!$D$2^($CI103-1)</f>
        <v>1000</v>
      </c>
      <c r="DT103" s="333">
        <f t="shared" si="109"/>
        <v>1</v>
      </c>
      <c r="DU103" s="81">
        <v>1</v>
      </c>
      <c r="DV103" s="79">
        <f t="shared" si="142"/>
        <v>0</v>
      </c>
      <c r="DW103" s="79">
        <f t="shared" si="143"/>
        <v>0</v>
      </c>
      <c r="DX103" s="79">
        <f t="shared" si="144"/>
        <v>0</v>
      </c>
      <c r="DY103" s="79">
        <v>1</v>
      </c>
      <c r="DZ103" s="79">
        <f t="shared" si="145"/>
        <v>0</v>
      </c>
      <c r="EA103" s="79">
        <f t="shared" si="146"/>
        <v>0</v>
      </c>
      <c r="EB103" s="79">
        <f t="shared" si="147"/>
        <v>0</v>
      </c>
      <c r="EC103" s="79">
        <f t="shared" si="148"/>
        <v>0</v>
      </c>
      <c r="ED103" s="79">
        <v>1</v>
      </c>
      <c r="EE103" s="79">
        <v>1</v>
      </c>
      <c r="EF103" s="79">
        <f t="shared" si="149"/>
        <v>0</v>
      </c>
      <c r="EG103" s="79">
        <v>1</v>
      </c>
      <c r="EH103" s="79">
        <v>1</v>
      </c>
      <c r="EI103" s="79">
        <v>1</v>
      </c>
      <c r="EJ103" s="79">
        <v>1</v>
      </c>
      <c r="EK103" s="79">
        <v>1</v>
      </c>
      <c r="EL103" s="79">
        <v>1</v>
      </c>
      <c r="EM103" s="143">
        <f t="shared" si="150"/>
        <v>0</v>
      </c>
      <c r="EN103" s="143">
        <f t="shared" si="151"/>
        <v>0</v>
      </c>
      <c r="EO103" s="82">
        <f t="shared" si="152"/>
        <v>0</v>
      </c>
    </row>
    <row r="104" spans="1:145" x14ac:dyDescent="0.25">
      <c r="A104">
        <v>90</v>
      </c>
      <c r="B104" s="172" t="e">
        <f t="shared" si="110"/>
        <v>#N/A</v>
      </c>
      <c r="C104" s="121" t="e">
        <f t="shared" si="89"/>
        <v>#N/A</v>
      </c>
      <c r="D104" s="122" t="e">
        <f t="shared" si="90"/>
        <v>#N/A</v>
      </c>
      <c r="E104" s="122" t="e">
        <f t="shared" si="91"/>
        <v>#N/A</v>
      </c>
      <c r="F104" s="176" t="e">
        <f t="shared" si="92"/>
        <v>#N/A</v>
      </c>
      <c r="G104" s="121">
        <f t="shared" si="111"/>
        <v>208</v>
      </c>
      <c r="H104" s="176" t="e">
        <f t="shared" si="112"/>
        <v>#N/A</v>
      </c>
      <c r="I104" s="48">
        <v>1</v>
      </c>
      <c r="J104" s="39"/>
      <c r="K104" s="350">
        <v>1</v>
      </c>
      <c r="L104" s="34" t="e">
        <f t="shared" si="93"/>
        <v>#N/A</v>
      </c>
      <c r="M104" s="38" t="e">
        <f>(HLOOKUP(J104,'Construction Times'!$B$3:$W$34,L104+2,FALSE)*HLOOKUP("hq modifier",'Construction Times'!$W$3:$W$34,BS104+2,FALSE))*(1-$H$9)</f>
        <v>#N/A</v>
      </c>
      <c r="N104" s="443" t="e">
        <f t="shared" si="113"/>
        <v>#N/A</v>
      </c>
      <c r="O104" s="444"/>
      <c r="P104" s="447" t="e">
        <f t="shared" si="114"/>
        <v>#N/A</v>
      </c>
      <c r="Q104" s="448"/>
      <c r="R104" s="103">
        <f t="shared" si="153"/>
        <v>0</v>
      </c>
      <c r="S104" s="104">
        <f t="shared" si="153"/>
        <v>0</v>
      </c>
      <c r="T104" s="104">
        <f t="shared" si="154"/>
        <v>0</v>
      </c>
      <c r="U104" s="104">
        <f t="shared" si="154"/>
        <v>0</v>
      </c>
      <c r="V104" s="104">
        <f t="shared" si="154"/>
        <v>9.9999999999999995E-8</v>
      </c>
      <c r="W104" s="104">
        <f t="shared" si="154"/>
        <v>0</v>
      </c>
      <c r="X104" s="104">
        <f t="shared" si="85"/>
        <v>0</v>
      </c>
      <c r="Y104" s="104">
        <f t="shared" si="85"/>
        <v>9.9999999999999995E-8</v>
      </c>
      <c r="Z104" s="104">
        <f t="shared" si="85"/>
        <v>9.9999999999999995E-8</v>
      </c>
      <c r="AA104" s="105">
        <f t="shared" si="85"/>
        <v>9.9999999999999995E-8</v>
      </c>
      <c r="AB104" s="101" t="e">
        <f>$DT104*HLOOKUP($J104,'Construction Costs (timber)'!$B$1:$V$32,'Construction Planner'!$L104+2,FALSE)</f>
        <v>#N/A</v>
      </c>
      <c r="AC104" s="14" t="e">
        <f>$DT104*HLOOKUP($J104,'Construction Costs (clay)'!$B$1:$V$32,'Construction Planner'!$L104+2,FALSE)</f>
        <v>#N/A</v>
      </c>
      <c r="AD104" s="14" t="e">
        <f>$DT104*HLOOKUP($J104,'Construction Costs (iron)'!$B$1:$V$32,'Construction Planner'!$L104+2,FALSE)</f>
        <v>#N/A</v>
      </c>
      <c r="AE104" s="34" t="e">
        <f t="shared" si="163"/>
        <v>#N/A</v>
      </c>
      <c r="AF104" s="33" t="e">
        <f t="shared" si="94"/>
        <v>#N/A</v>
      </c>
      <c r="AG104" s="14" t="e">
        <f t="shared" si="95"/>
        <v>#N/A</v>
      </c>
      <c r="AH104" s="14" t="e">
        <f t="shared" si="96"/>
        <v>#N/A</v>
      </c>
      <c r="AI104" s="34" t="e">
        <f t="shared" si="164"/>
        <v>#N/A</v>
      </c>
      <c r="AJ104" s="49" t="e">
        <f t="shared" si="115"/>
        <v>#N/A</v>
      </c>
      <c r="AK104" s="49" t="e">
        <f t="shared" si="116"/>
        <v>#N/A</v>
      </c>
      <c r="AL104" s="49" t="e">
        <f t="shared" si="117"/>
        <v>#N/A</v>
      </c>
      <c r="AM104" s="25">
        <f t="shared" si="97"/>
        <v>30</v>
      </c>
      <c r="AN104" s="25">
        <f t="shared" si="98"/>
        <v>30</v>
      </c>
      <c r="AO104" s="25">
        <f t="shared" si="99"/>
        <v>30</v>
      </c>
      <c r="AP104" s="52" t="e">
        <f t="shared" si="118"/>
        <v>#N/A</v>
      </c>
      <c r="AQ104" s="53" t="e">
        <f t="shared" si="118"/>
        <v>#N/A</v>
      </c>
      <c r="AR104" s="54" t="e">
        <f t="shared" si="118"/>
        <v>#N/A</v>
      </c>
      <c r="AS104" s="316">
        <f t="shared" si="180"/>
        <v>0</v>
      </c>
      <c r="AT104" s="106">
        <f>_xlfn.IFNA($M104/VLOOKUP($BT104,'Unit information'!$A$2:$K$29,2,FALSE)*R104,0)*(1+$E$9)</f>
        <v>0</v>
      </c>
      <c r="AU104" s="107">
        <f>_xlfn.IFNA($M104/VLOOKUP($BT104,'Unit information'!$A$2:$K$29,3,FALSE)*S104,0)*(1+$E$9)</f>
        <v>0</v>
      </c>
      <c r="AV104" s="107">
        <f>_xlfn.IFNA($M104/VLOOKUP($BT104,'Unit information'!$A$2:$K$29,4,FALSE)*T104,0)*(1+$E$9)</f>
        <v>0</v>
      </c>
      <c r="AW104" s="107">
        <f>_xlfn.IFNA($M104/VLOOKUP($BT104,'Unit information'!$A$2:$K$29,5,FALSE)*U104,0)*(1+$E$9)</f>
        <v>0</v>
      </c>
      <c r="AX104" s="107">
        <f>_xlfn.IFNA($M104/VLOOKUP($BU104,'Unit information'!$A$2:$K$29,6,FALSE)*V104,0)*(1+$E$9)</f>
        <v>0</v>
      </c>
      <c r="AY104" s="107">
        <f>_xlfn.IFNA($M104/VLOOKUP($BU104,'Unit information'!$A$2:$K$29,7,FALSE)*W104,0)*(1+$E$9)</f>
        <v>0</v>
      </c>
      <c r="AZ104" s="107">
        <f>_xlfn.IFNA($M104/VLOOKUP($BU104,'Unit information'!$A$2:$K$29,8,FALSE)*X104,0)*(1+$E$9)</f>
        <v>0</v>
      </c>
      <c r="BA104" s="107">
        <f>_xlfn.IFNA($M104/VLOOKUP($BU104,'Unit information'!$A$2:$K$29,9,FALSE)*Y104,0)*(1+$E$9)</f>
        <v>0</v>
      </c>
      <c r="BB104" s="107">
        <f>_xlfn.IFNA($M104/VLOOKUP($BV104,'Unit information'!$A$2:$K$29,10,FALSE)*Z104,0)*(1+$E$9)</f>
        <v>0</v>
      </c>
      <c r="BC104" s="108">
        <f>_xlfn.IFNA($M104/VLOOKUP($BV104,'Unit information'!$A$2:$K$29,11,FALSE)*AA104,0)*(1+$E$9)</f>
        <v>0</v>
      </c>
      <c r="BD104" s="106">
        <f t="shared" si="100"/>
        <v>0</v>
      </c>
      <c r="BE104" s="107">
        <f t="shared" si="101"/>
        <v>0</v>
      </c>
      <c r="BF104" s="108">
        <f t="shared" si="102"/>
        <v>0</v>
      </c>
      <c r="BG104" s="25" t="e">
        <f t="shared" si="103"/>
        <v>#N/A</v>
      </c>
      <c r="BH104" s="25" t="e">
        <f t="shared" si="104"/>
        <v>#N/A</v>
      </c>
      <c r="BI104" s="25" t="e">
        <f t="shared" si="105"/>
        <v>#N/A</v>
      </c>
      <c r="BJ104" s="27" t="e">
        <f t="shared" si="106"/>
        <v>#N/A</v>
      </c>
      <c r="BK104" s="18" t="e">
        <f t="shared" si="107"/>
        <v>#N/A</v>
      </c>
      <c r="BL104" s="18" t="e">
        <f t="shared" si="108"/>
        <v>#N/A</v>
      </c>
      <c r="BM104" s="28" t="e">
        <f t="shared" si="166"/>
        <v>#N/A</v>
      </c>
      <c r="BN104" s="33">
        <f>HLOOKUP("maximum population",Miscelaneous!$C$1:$C$33,CH104+3,FALSE)</f>
        <v>240</v>
      </c>
      <c r="BO104" s="14">
        <f t="shared" si="119"/>
        <v>32</v>
      </c>
      <c r="BP104" s="14">
        <f t="shared" si="120"/>
        <v>0</v>
      </c>
      <c r="BQ104" s="14">
        <f t="shared" si="121"/>
        <v>208</v>
      </c>
      <c r="BR104" s="34" t="e">
        <f>HLOOKUP(J104,Villagers!$B$1:$V$33,L104+3,FALSE)-HLOOKUP(J104,Villagers!$B$1:$V$33,L104+2,FALSE)</f>
        <v>#N/A</v>
      </c>
      <c r="BS104" s="49">
        <f t="shared" si="122"/>
        <v>1</v>
      </c>
      <c r="BT104" s="50">
        <f t="shared" si="123"/>
        <v>0</v>
      </c>
      <c r="BU104" s="50">
        <f t="shared" si="124"/>
        <v>0</v>
      </c>
      <c r="BV104" s="50">
        <f t="shared" si="125"/>
        <v>0</v>
      </c>
      <c r="BW104" s="50">
        <f t="shared" si="181"/>
        <v>0</v>
      </c>
      <c r="BX104" s="50">
        <f t="shared" si="181"/>
        <v>0</v>
      </c>
      <c r="BY104" s="50">
        <f t="shared" si="181"/>
        <v>0</v>
      </c>
      <c r="BZ104" s="50">
        <f t="shared" si="167"/>
        <v>0</v>
      </c>
      <c r="CA104" s="50">
        <f t="shared" si="168"/>
        <v>0</v>
      </c>
      <c r="CB104" s="50">
        <f t="shared" si="169"/>
        <v>1</v>
      </c>
      <c r="CC104" s="50">
        <f t="shared" si="170"/>
        <v>0</v>
      </c>
      <c r="CD104" s="50">
        <f t="shared" si="171"/>
        <v>0</v>
      </c>
      <c r="CE104" s="50">
        <f t="shared" si="172"/>
        <v>1</v>
      </c>
      <c r="CF104" s="50">
        <f t="shared" si="173"/>
        <v>1</v>
      </c>
      <c r="CG104" s="50">
        <f t="shared" si="174"/>
        <v>1</v>
      </c>
      <c r="CH104" s="50">
        <f t="shared" si="175"/>
        <v>1</v>
      </c>
      <c r="CI104" s="50">
        <f t="shared" si="176"/>
        <v>1</v>
      </c>
      <c r="CJ104" s="50">
        <f t="shared" si="177"/>
        <v>1</v>
      </c>
      <c r="CK104" s="50">
        <f t="shared" si="177"/>
        <v>0</v>
      </c>
      <c r="CL104" s="50">
        <f t="shared" si="177"/>
        <v>0</v>
      </c>
      <c r="CM104" s="51">
        <f t="shared" si="178"/>
        <v>0</v>
      </c>
      <c r="CN104" s="33">
        <f>ROUND(IF(BS104=0,0,HLOOKUP(BS$14,Villagers!$B$1:$V$33,BS104+3,FALSE)),)</f>
        <v>5</v>
      </c>
      <c r="CO104" s="14">
        <f>ROUND(IF(BT104=0,0,HLOOKUP(BT$14,Villagers!$B$1:$V$33,BT104+3,FALSE)),)</f>
        <v>0</v>
      </c>
      <c r="CP104" s="14">
        <f>ROUND(IF(BU104=0,0,HLOOKUP(BU$14,Villagers!$B$1:$V$33,BU104+3,FALSE)),)</f>
        <v>0</v>
      </c>
      <c r="CQ104" s="14">
        <f>ROUND(IF(BV104=0,0,HLOOKUP(BV$14,Villagers!$B$1:$V$33,BV104+3,FALSE)),)</f>
        <v>0</v>
      </c>
      <c r="CR104" s="14">
        <f>ROUND(IF(BW104=0,0,HLOOKUP(BW$14,Villagers!$B$1:$V$33,BW104+3,FALSE)),)</f>
        <v>0</v>
      </c>
      <c r="CS104" s="14">
        <f>ROUND(IF(BX104=0,0,HLOOKUP(BX$14,Villagers!$B$1:$V$33,BX104+3,FALSE)),)</f>
        <v>0</v>
      </c>
      <c r="CT104" s="14">
        <f>ROUND(IF(BY104=0,0,HLOOKUP(BY$14,Villagers!$B$1:$V$33,BY104+3,FALSE)),)</f>
        <v>0</v>
      </c>
      <c r="CU104" s="14">
        <f>ROUND(IF(BZ104=0,0,HLOOKUP(BZ$14,Villagers!$B$1:$V$33,BZ104+3,FALSE)),)</f>
        <v>0</v>
      </c>
      <c r="CV104" s="14">
        <f>ROUND(IF(CA104=0,0,HLOOKUP(CA$14,Villagers!$B$1:$V$33,CA104+3,FALSE)),)</f>
        <v>0</v>
      </c>
      <c r="CW104" s="14">
        <f>ROUND(IF(CB104=0,0,HLOOKUP(CB$14,Villagers!$B$1:$V$33,CB104+3,FALSE)),)</f>
        <v>0</v>
      </c>
      <c r="CX104" s="14">
        <f>ROUND(IF(CC104=0,0,HLOOKUP(CC$14,Villagers!$B$1:$V$33,CC104+3,FALSE)),)</f>
        <v>0</v>
      </c>
      <c r="CY104" s="14">
        <f>ROUND(IF(CD104=0,0,HLOOKUP(CD$14,Villagers!$B$1:$V$33,CD104+3,FALSE)),)</f>
        <v>0</v>
      </c>
      <c r="CZ104" s="14">
        <f>ROUND(IF(CE104=0,0,HLOOKUP(CE$14,Villagers!$B$1:$V$33,CE104+3,FALSE)),)</f>
        <v>5</v>
      </c>
      <c r="DA104" s="14">
        <f>ROUND(IF(CF104=0,0,HLOOKUP(CF$14,Villagers!$B$1:$V$33,CF104+3,FALSE)),)</f>
        <v>10</v>
      </c>
      <c r="DB104" s="14">
        <f>ROUND(IF(CG104=0,0,HLOOKUP(CG$14,Villagers!$B$1:$V$33,CG104+3,FALSE)),)</f>
        <v>10</v>
      </c>
      <c r="DC104" s="14">
        <f>ROUND(IF(CH104=0,0,HLOOKUP(CH$14,Villagers!$B$1:$V$33,CH104+3,FALSE)),)</f>
        <v>0</v>
      </c>
      <c r="DD104" s="14">
        <f>ROUND(IF(CI104=0,0,HLOOKUP(CI$14,Villagers!$B$1:$V$33,CI104+3,FALSE)),)</f>
        <v>0</v>
      </c>
      <c r="DE104" s="14">
        <f>ROUND(IF(CJ104=0,0,HLOOKUP(CJ$14,Villagers!$B$1:$V$33,CJ104+3,FALSE)),)</f>
        <v>2</v>
      </c>
      <c r="DF104" s="370">
        <f>ROUND(IF(CK104=0,0,HLOOKUP(CK$14,Villagers!$B$1:$V$33,CK104+3,FALSE)),)</f>
        <v>0</v>
      </c>
      <c r="DG104" s="370">
        <f>ROUND(IF(CL104=0,0,HLOOKUP(CL$14,Villagers!$B$1:$V$33,CL104+3,FALSE)),)</f>
        <v>0</v>
      </c>
      <c r="DH104" s="34">
        <f>ROUND(IF(CM104=0,0,HLOOKUP(CM$14,Villagers!$B$1:$V$33,CM104+3,FALSE)),)</f>
        <v>0</v>
      </c>
      <c r="DI104" s="109">
        <f t="shared" si="155"/>
        <v>0</v>
      </c>
      <c r="DJ104" s="50">
        <f t="shared" si="156"/>
        <v>0</v>
      </c>
      <c r="DK104" s="50">
        <f t="shared" si="157"/>
        <v>0</v>
      </c>
      <c r="DL104" s="50">
        <f t="shared" si="158"/>
        <v>0</v>
      </c>
      <c r="DM104" s="50">
        <f t="shared" si="159"/>
        <v>0</v>
      </c>
      <c r="DN104" s="50">
        <f t="shared" si="160"/>
        <v>0</v>
      </c>
      <c r="DO104" s="50">
        <f t="shared" si="161"/>
        <v>0</v>
      </c>
      <c r="DP104" s="50">
        <f t="shared" si="162"/>
        <v>0</v>
      </c>
      <c r="DQ104" s="50">
        <f t="shared" si="140"/>
        <v>0</v>
      </c>
      <c r="DR104" s="50">
        <f t="shared" si="141"/>
        <v>0</v>
      </c>
      <c r="DS104" s="96">
        <f>Miscelaneous!$D$4*Miscelaneous!$D$2^($CI104-1)</f>
        <v>1000</v>
      </c>
      <c r="DT104" s="333">
        <f t="shared" si="109"/>
        <v>1</v>
      </c>
      <c r="DU104" s="81">
        <v>1</v>
      </c>
      <c r="DV104" s="79">
        <f t="shared" si="142"/>
        <v>0</v>
      </c>
      <c r="DW104" s="79">
        <f t="shared" si="143"/>
        <v>0</v>
      </c>
      <c r="DX104" s="79">
        <f t="shared" si="144"/>
        <v>0</v>
      </c>
      <c r="DY104" s="79">
        <v>1</v>
      </c>
      <c r="DZ104" s="79">
        <f t="shared" si="145"/>
        <v>0</v>
      </c>
      <c r="EA104" s="79">
        <f t="shared" si="146"/>
        <v>0</v>
      </c>
      <c r="EB104" s="79">
        <f t="shared" si="147"/>
        <v>0</v>
      </c>
      <c r="EC104" s="79">
        <f t="shared" si="148"/>
        <v>0</v>
      </c>
      <c r="ED104" s="79">
        <v>1</v>
      </c>
      <c r="EE104" s="79">
        <v>1</v>
      </c>
      <c r="EF104" s="79">
        <f t="shared" si="149"/>
        <v>0</v>
      </c>
      <c r="EG104" s="79">
        <v>1</v>
      </c>
      <c r="EH104" s="79">
        <v>1</v>
      </c>
      <c r="EI104" s="79">
        <v>1</v>
      </c>
      <c r="EJ104" s="79">
        <v>1</v>
      </c>
      <c r="EK104" s="79">
        <v>1</v>
      </c>
      <c r="EL104" s="79">
        <v>1</v>
      </c>
      <c r="EM104" s="143">
        <f t="shared" si="150"/>
        <v>0</v>
      </c>
      <c r="EN104" s="143">
        <f t="shared" si="151"/>
        <v>0</v>
      </c>
      <c r="EO104" s="82">
        <f t="shared" si="152"/>
        <v>0</v>
      </c>
    </row>
    <row r="105" spans="1:145" x14ac:dyDescent="0.25">
      <c r="A105">
        <v>91</v>
      </c>
      <c r="B105" s="172" t="e">
        <f t="shared" si="110"/>
        <v>#N/A</v>
      </c>
      <c r="C105" s="121" t="e">
        <f t="shared" si="89"/>
        <v>#N/A</v>
      </c>
      <c r="D105" s="122" t="e">
        <f t="shared" si="90"/>
        <v>#N/A</v>
      </c>
      <c r="E105" s="122" t="e">
        <f t="shared" si="91"/>
        <v>#N/A</v>
      </c>
      <c r="F105" s="176" t="e">
        <f t="shared" si="92"/>
        <v>#N/A</v>
      </c>
      <c r="G105" s="121">
        <f t="shared" si="111"/>
        <v>208</v>
      </c>
      <c r="H105" s="176" t="e">
        <f t="shared" si="112"/>
        <v>#N/A</v>
      </c>
      <c r="I105" s="48">
        <v>1</v>
      </c>
      <c r="J105" s="39"/>
      <c r="K105" s="350">
        <v>1</v>
      </c>
      <c r="L105" s="34" t="e">
        <f t="shared" si="93"/>
        <v>#N/A</v>
      </c>
      <c r="M105" s="38" t="e">
        <f>(HLOOKUP(J105,'Construction Times'!$B$3:$W$34,L105+2,FALSE)*HLOOKUP("hq modifier",'Construction Times'!$W$3:$W$34,BS105+2,FALSE))*(1-$H$9)</f>
        <v>#N/A</v>
      </c>
      <c r="N105" s="443" t="e">
        <f t="shared" si="113"/>
        <v>#N/A</v>
      </c>
      <c r="O105" s="444"/>
      <c r="P105" s="447" t="e">
        <f t="shared" si="114"/>
        <v>#N/A</v>
      </c>
      <c r="Q105" s="448"/>
      <c r="R105" s="103">
        <f t="shared" si="153"/>
        <v>0</v>
      </c>
      <c r="S105" s="104">
        <f t="shared" si="153"/>
        <v>0</v>
      </c>
      <c r="T105" s="104">
        <f t="shared" si="154"/>
        <v>0</v>
      </c>
      <c r="U105" s="104">
        <f t="shared" si="154"/>
        <v>0</v>
      </c>
      <c r="V105" s="104">
        <f t="shared" si="154"/>
        <v>9.9999999999999995E-8</v>
      </c>
      <c r="W105" s="104">
        <f t="shared" si="154"/>
        <v>0</v>
      </c>
      <c r="X105" s="104">
        <f t="shared" si="85"/>
        <v>0</v>
      </c>
      <c r="Y105" s="104">
        <f t="shared" si="85"/>
        <v>9.9999999999999995E-8</v>
      </c>
      <c r="Z105" s="104">
        <f t="shared" si="85"/>
        <v>9.9999999999999995E-8</v>
      </c>
      <c r="AA105" s="105">
        <f t="shared" si="85"/>
        <v>9.9999999999999995E-8</v>
      </c>
      <c r="AB105" s="101" t="e">
        <f>$DT105*HLOOKUP($J105,'Construction Costs (timber)'!$B$1:$V$32,'Construction Planner'!$L105+2,FALSE)</f>
        <v>#N/A</v>
      </c>
      <c r="AC105" s="14" t="e">
        <f>$DT105*HLOOKUP($J105,'Construction Costs (clay)'!$B$1:$V$32,'Construction Planner'!$L105+2,FALSE)</f>
        <v>#N/A</v>
      </c>
      <c r="AD105" s="14" t="e">
        <f>$DT105*HLOOKUP($J105,'Construction Costs (iron)'!$B$1:$V$32,'Construction Planner'!$L105+2,FALSE)</f>
        <v>#N/A</v>
      </c>
      <c r="AE105" s="34" t="e">
        <f t="shared" si="163"/>
        <v>#N/A</v>
      </c>
      <c r="AF105" s="33" t="e">
        <f t="shared" si="94"/>
        <v>#N/A</v>
      </c>
      <c r="AG105" s="14" t="e">
        <f t="shared" si="95"/>
        <v>#N/A</v>
      </c>
      <c r="AH105" s="14" t="e">
        <f t="shared" si="96"/>
        <v>#N/A</v>
      </c>
      <c r="AI105" s="34" t="e">
        <f t="shared" si="164"/>
        <v>#N/A</v>
      </c>
      <c r="AJ105" s="49" t="e">
        <f t="shared" si="115"/>
        <v>#N/A</v>
      </c>
      <c r="AK105" s="49" t="e">
        <f t="shared" si="116"/>
        <v>#N/A</v>
      </c>
      <c r="AL105" s="49" t="e">
        <f t="shared" si="117"/>
        <v>#N/A</v>
      </c>
      <c r="AM105" s="25">
        <f t="shared" si="97"/>
        <v>30</v>
      </c>
      <c r="AN105" s="25">
        <f t="shared" si="98"/>
        <v>30</v>
      </c>
      <c r="AO105" s="25">
        <f t="shared" si="99"/>
        <v>30</v>
      </c>
      <c r="AP105" s="52" t="e">
        <f t="shared" si="118"/>
        <v>#N/A</v>
      </c>
      <c r="AQ105" s="53" t="e">
        <f t="shared" si="118"/>
        <v>#N/A</v>
      </c>
      <c r="AR105" s="54" t="e">
        <f t="shared" si="118"/>
        <v>#N/A</v>
      </c>
      <c r="AS105" s="316">
        <f t="shared" si="180"/>
        <v>0</v>
      </c>
      <c r="AT105" s="106">
        <f>_xlfn.IFNA($M105/VLOOKUP($BT105,'Unit information'!$A$2:$K$29,2,FALSE)*R105,0)*(1+$E$9)</f>
        <v>0</v>
      </c>
      <c r="AU105" s="107">
        <f>_xlfn.IFNA($M105/VLOOKUP($BT105,'Unit information'!$A$2:$K$29,3,FALSE)*S105,0)*(1+$E$9)</f>
        <v>0</v>
      </c>
      <c r="AV105" s="107">
        <f>_xlfn.IFNA($M105/VLOOKUP($BT105,'Unit information'!$A$2:$K$29,4,FALSE)*T105,0)*(1+$E$9)</f>
        <v>0</v>
      </c>
      <c r="AW105" s="107">
        <f>_xlfn.IFNA($M105/VLOOKUP($BT105,'Unit information'!$A$2:$K$29,5,FALSE)*U105,0)*(1+$E$9)</f>
        <v>0</v>
      </c>
      <c r="AX105" s="107">
        <f>_xlfn.IFNA($M105/VLOOKUP($BU105,'Unit information'!$A$2:$K$29,6,FALSE)*V105,0)*(1+$E$9)</f>
        <v>0</v>
      </c>
      <c r="AY105" s="107">
        <f>_xlfn.IFNA($M105/VLOOKUP($BU105,'Unit information'!$A$2:$K$29,7,FALSE)*W105,0)*(1+$E$9)</f>
        <v>0</v>
      </c>
      <c r="AZ105" s="107">
        <f>_xlfn.IFNA($M105/VLOOKUP($BU105,'Unit information'!$A$2:$K$29,8,FALSE)*X105,0)*(1+$E$9)</f>
        <v>0</v>
      </c>
      <c r="BA105" s="107">
        <f>_xlfn.IFNA($M105/VLOOKUP($BU105,'Unit information'!$A$2:$K$29,9,FALSE)*Y105,0)*(1+$E$9)</f>
        <v>0</v>
      </c>
      <c r="BB105" s="107">
        <f>_xlfn.IFNA($M105/VLOOKUP($BV105,'Unit information'!$A$2:$K$29,10,FALSE)*Z105,0)*(1+$E$9)</f>
        <v>0</v>
      </c>
      <c r="BC105" s="108">
        <f>_xlfn.IFNA($M105/VLOOKUP($BV105,'Unit information'!$A$2:$K$29,11,FALSE)*AA105,0)*(1+$E$9)</f>
        <v>0</v>
      </c>
      <c r="BD105" s="106">
        <f t="shared" si="100"/>
        <v>0</v>
      </c>
      <c r="BE105" s="107">
        <f t="shared" si="101"/>
        <v>0</v>
      </c>
      <c r="BF105" s="108">
        <f t="shared" si="102"/>
        <v>0</v>
      </c>
      <c r="BG105" s="25" t="e">
        <f t="shared" si="103"/>
        <v>#N/A</v>
      </c>
      <c r="BH105" s="25" t="e">
        <f t="shared" si="104"/>
        <v>#N/A</v>
      </c>
      <c r="BI105" s="25" t="e">
        <f t="shared" si="105"/>
        <v>#N/A</v>
      </c>
      <c r="BJ105" s="27" t="e">
        <f t="shared" si="106"/>
        <v>#N/A</v>
      </c>
      <c r="BK105" s="18" t="e">
        <f t="shared" si="107"/>
        <v>#N/A</v>
      </c>
      <c r="BL105" s="18" t="e">
        <f t="shared" si="108"/>
        <v>#N/A</v>
      </c>
      <c r="BM105" s="28" t="e">
        <f t="shared" si="166"/>
        <v>#N/A</v>
      </c>
      <c r="BN105" s="33">
        <f>HLOOKUP("maximum population",Miscelaneous!$C$1:$C$33,CH105+3,FALSE)</f>
        <v>240</v>
      </c>
      <c r="BO105" s="14">
        <f t="shared" si="119"/>
        <v>32</v>
      </c>
      <c r="BP105" s="14">
        <f t="shared" si="120"/>
        <v>0</v>
      </c>
      <c r="BQ105" s="14">
        <f t="shared" si="121"/>
        <v>208</v>
      </c>
      <c r="BR105" s="34" t="e">
        <f>HLOOKUP(J105,Villagers!$B$1:$V$33,L105+3,FALSE)-HLOOKUP(J105,Villagers!$B$1:$V$33,L105+2,FALSE)</f>
        <v>#N/A</v>
      </c>
      <c r="BS105" s="49">
        <f t="shared" si="122"/>
        <v>1</v>
      </c>
      <c r="BT105" s="50">
        <f t="shared" si="123"/>
        <v>0</v>
      </c>
      <c r="BU105" s="50">
        <f t="shared" si="124"/>
        <v>0</v>
      </c>
      <c r="BV105" s="50">
        <f t="shared" si="125"/>
        <v>0</v>
      </c>
      <c r="BW105" s="50">
        <f t="shared" si="181"/>
        <v>0</v>
      </c>
      <c r="BX105" s="50">
        <f t="shared" si="181"/>
        <v>0</v>
      </c>
      <c r="BY105" s="50">
        <f t="shared" si="181"/>
        <v>0</v>
      </c>
      <c r="BZ105" s="50">
        <f t="shared" si="167"/>
        <v>0</v>
      </c>
      <c r="CA105" s="50">
        <f t="shared" si="168"/>
        <v>0</v>
      </c>
      <c r="CB105" s="50">
        <f t="shared" si="169"/>
        <v>1</v>
      </c>
      <c r="CC105" s="50">
        <f t="shared" si="170"/>
        <v>0</v>
      </c>
      <c r="CD105" s="50">
        <f t="shared" si="171"/>
        <v>0</v>
      </c>
      <c r="CE105" s="50">
        <f t="shared" si="172"/>
        <v>1</v>
      </c>
      <c r="CF105" s="50">
        <f t="shared" si="173"/>
        <v>1</v>
      </c>
      <c r="CG105" s="50">
        <f t="shared" si="174"/>
        <v>1</v>
      </c>
      <c r="CH105" s="50">
        <f t="shared" si="175"/>
        <v>1</v>
      </c>
      <c r="CI105" s="50">
        <f t="shared" si="176"/>
        <v>1</v>
      </c>
      <c r="CJ105" s="50">
        <f t="shared" si="177"/>
        <v>1</v>
      </c>
      <c r="CK105" s="50">
        <f t="shared" si="177"/>
        <v>0</v>
      </c>
      <c r="CL105" s="50">
        <f t="shared" si="177"/>
        <v>0</v>
      </c>
      <c r="CM105" s="51">
        <f t="shared" si="178"/>
        <v>0</v>
      </c>
      <c r="CN105" s="33">
        <f>ROUND(IF(BS105=0,0,HLOOKUP(BS$14,Villagers!$B$1:$V$33,BS105+3,FALSE)),)</f>
        <v>5</v>
      </c>
      <c r="CO105" s="14">
        <f>ROUND(IF(BT105=0,0,HLOOKUP(BT$14,Villagers!$B$1:$V$33,BT105+3,FALSE)),)</f>
        <v>0</v>
      </c>
      <c r="CP105" s="14">
        <f>ROUND(IF(BU105=0,0,HLOOKUP(BU$14,Villagers!$B$1:$V$33,BU105+3,FALSE)),)</f>
        <v>0</v>
      </c>
      <c r="CQ105" s="14">
        <f>ROUND(IF(BV105=0,0,HLOOKUP(BV$14,Villagers!$B$1:$V$33,BV105+3,FALSE)),)</f>
        <v>0</v>
      </c>
      <c r="CR105" s="14">
        <f>ROUND(IF(BW105=0,0,HLOOKUP(BW$14,Villagers!$B$1:$V$33,BW105+3,FALSE)),)</f>
        <v>0</v>
      </c>
      <c r="CS105" s="14">
        <f>ROUND(IF(BX105=0,0,HLOOKUP(BX$14,Villagers!$B$1:$V$33,BX105+3,FALSE)),)</f>
        <v>0</v>
      </c>
      <c r="CT105" s="14">
        <f>ROUND(IF(BY105=0,0,HLOOKUP(BY$14,Villagers!$B$1:$V$33,BY105+3,FALSE)),)</f>
        <v>0</v>
      </c>
      <c r="CU105" s="14">
        <f>ROUND(IF(BZ105=0,0,HLOOKUP(BZ$14,Villagers!$B$1:$V$33,BZ105+3,FALSE)),)</f>
        <v>0</v>
      </c>
      <c r="CV105" s="14">
        <f>ROUND(IF(CA105=0,0,HLOOKUP(CA$14,Villagers!$B$1:$V$33,CA105+3,FALSE)),)</f>
        <v>0</v>
      </c>
      <c r="CW105" s="14">
        <f>ROUND(IF(CB105=0,0,HLOOKUP(CB$14,Villagers!$B$1:$V$33,CB105+3,FALSE)),)</f>
        <v>0</v>
      </c>
      <c r="CX105" s="14">
        <f>ROUND(IF(CC105=0,0,HLOOKUP(CC$14,Villagers!$B$1:$V$33,CC105+3,FALSE)),)</f>
        <v>0</v>
      </c>
      <c r="CY105" s="14">
        <f>ROUND(IF(CD105=0,0,HLOOKUP(CD$14,Villagers!$B$1:$V$33,CD105+3,FALSE)),)</f>
        <v>0</v>
      </c>
      <c r="CZ105" s="14">
        <f>ROUND(IF(CE105=0,0,HLOOKUP(CE$14,Villagers!$B$1:$V$33,CE105+3,FALSE)),)</f>
        <v>5</v>
      </c>
      <c r="DA105" s="14">
        <f>ROUND(IF(CF105=0,0,HLOOKUP(CF$14,Villagers!$B$1:$V$33,CF105+3,FALSE)),)</f>
        <v>10</v>
      </c>
      <c r="DB105" s="14">
        <f>ROUND(IF(CG105=0,0,HLOOKUP(CG$14,Villagers!$B$1:$V$33,CG105+3,FALSE)),)</f>
        <v>10</v>
      </c>
      <c r="DC105" s="14">
        <f>ROUND(IF(CH105=0,0,HLOOKUP(CH$14,Villagers!$B$1:$V$33,CH105+3,FALSE)),)</f>
        <v>0</v>
      </c>
      <c r="DD105" s="14">
        <f>ROUND(IF(CI105=0,0,HLOOKUP(CI$14,Villagers!$B$1:$V$33,CI105+3,FALSE)),)</f>
        <v>0</v>
      </c>
      <c r="DE105" s="14">
        <f>ROUND(IF(CJ105=0,0,HLOOKUP(CJ$14,Villagers!$B$1:$V$33,CJ105+3,FALSE)),)</f>
        <v>2</v>
      </c>
      <c r="DF105" s="370">
        <f>ROUND(IF(CK105=0,0,HLOOKUP(CK$14,Villagers!$B$1:$V$33,CK105+3,FALSE)),)</f>
        <v>0</v>
      </c>
      <c r="DG105" s="370">
        <f>ROUND(IF(CL105=0,0,HLOOKUP(CL$14,Villagers!$B$1:$V$33,CL105+3,FALSE)),)</f>
        <v>0</v>
      </c>
      <c r="DH105" s="34">
        <f>ROUND(IF(CM105=0,0,HLOOKUP(CM$14,Villagers!$B$1:$V$33,CM105+3,FALSE)),)</f>
        <v>0</v>
      </c>
      <c r="DI105" s="109">
        <f t="shared" si="155"/>
        <v>0</v>
      </c>
      <c r="DJ105" s="50">
        <f t="shared" si="156"/>
        <v>0</v>
      </c>
      <c r="DK105" s="50">
        <f t="shared" si="157"/>
        <v>0</v>
      </c>
      <c r="DL105" s="50">
        <f t="shared" si="158"/>
        <v>0</v>
      </c>
      <c r="DM105" s="50">
        <f t="shared" si="159"/>
        <v>0</v>
      </c>
      <c r="DN105" s="50">
        <f t="shared" si="160"/>
        <v>0</v>
      </c>
      <c r="DO105" s="50">
        <f t="shared" si="161"/>
        <v>0</v>
      </c>
      <c r="DP105" s="50">
        <f t="shared" si="162"/>
        <v>0</v>
      </c>
      <c r="DQ105" s="50">
        <f t="shared" si="140"/>
        <v>0</v>
      </c>
      <c r="DR105" s="50">
        <f t="shared" si="141"/>
        <v>0</v>
      </c>
      <c r="DS105" s="96">
        <f>Miscelaneous!$D$4*Miscelaneous!$D$2^($CI105-1)</f>
        <v>1000</v>
      </c>
      <c r="DT105" s="333">
        <f t="shared" si="109"/>
        <v>1</v>
      </c>
      <c r="DU105" s="81">
        <v>1</v>
      </c>
      <c r="DV105" s="79">
        <f t="shared" si="142"/>
        <v>0</v>
      </c>
      <c r="DW105" s="79">
        <f t="shared" si="143"/>
        <v>0</v>
      </c>
      <c r="DX105" s="79">
        <f t="shared" si="144"/>
        <v>0</v>
      </c>
      <c r="DY105" s="79">
        <v>1</v>
      </c>
      <c r="DZ105" s="79">
        <f t="shared" si="145"/>
        <v>0</v>
      </c>
      <c r="EA105" s="79">
        <f t="shared" si="146"/>
        <v>0</v>
      </c>
      <c r="EB105" s="79">
        <f t="shared" si="147"/>
        <v>0</v>
      </c>
      <c r="EC105" s="79">
        <f t="shared" si="148"/>
        <v>0</v>
      </c>
      <c r="ED105" s="79">
        <v>1</v>
      </c>
      <c r="EE105" s="79">
        <v>1</v>
      </c>
      <c r="EF105" s="79">
        <f t="shared" si="149"/>
        <v>0</v>
      </c>
      <c r="EG105" s="79">
        <v>1</v>
      </c>
      <c r="EH105" s="79">
        <v>1</v>
      </c>
      <c r="EI105" s="79">
        <v>1</v>
      </c>
      <c r="EJ105" s="79">
        <v>1</v>
      </c>
      <c r="EK105" s="79">
        <v>1</v>
      </c>
      <c r="EL105" s="79">
        <v>1</v>
      </c>
      <c r="EM105" s="143">
        <f t="shared" si="150"/>
        <v>0</v>
      </c>
      <c r="EN105" s="143">
        <f t="shared" si="151"/>
        <v>0</v>
      </c>
      <c r="EO105" s="82">
        <f t="shared" si="152"/>
        <v>0</v>
      </c>
    </row>
    <row r="106" spans="1:145" x14ac:dyDescent="0.25">
      <c r="A106">
        <v>92</v>
      </c>
      <c r="B106" s="172" t="e">
        <f t="shared" si="110"/>
        <v>#N/A</v>
      </c>
      <c r="C106" s="121" t="e">
        <f t="shared" si="89"/>
        <v>#N/A</v>
      </c>
      <c r="D106" s="122" t="e">
        <f t="shared" si="90"/>
        <v>#N/A</v>
      </c>
      <c r="E106" s="122" t="e">
        <f t="shared" si="91"/>
        <v>#N/A</v>
      </c>
      <c r="F106" s="176" t="e">
        <f t="shared" si="92"/>
        <v>#N/A</v>
      </c>
      <c r="G106" s="121">
        <f t="shared" si="111"/>
        <v>208</v>
      </c>
      <c r="H106" s="176" t="e">
        <f t="shared" si="112"/>
        <v>#N/A</v>
      </c>
      <c r="I106" s="48">
        <v>1</v>
      </c>
      <c r="J106" s="39"/>
      <c r="K106" s="350">
        <v>1</v>
      </c>
      <c r="L106" s="34" t="e">
        <f t="shared" si="93"/>
        <v>#N/A</v>
      </c>
      <c r="M106" s="38" t="e">
        <f>(HLOOKUP(J106,'Construction Times'!$B$3:$W$34,L106+2,FALSE)*HLOOKUP("hq modifier",'Construction Times'!$W$3:$W$34,BS106+2,FALSE))*(1-$H$9)</f>
        <v>#N/A</v>
      </c>
      <c r="N106" s="443" t="e">
        <f t="shared" si="113"/>
        <v>#N/A</v>
      </c>
      <c r="O106" s="444"/>
      <c r="P106" s="447" t="e">
        <f t="shared" si="114"/>
        <v>#N/A</v>
      </c>
      <c r="Q106" s="448"/>
      <c r="R106" s="103">
        <f t="shared" si="153"/>
        <v>0</v>
      </c>
      <c r="S106" s="104">
        <f t="shared" si="153"/>
        <v>0</v>
      </c>
      <c r="T106" s="104">
        <f t="shared" si="154"/>
        <v>0</v>
      </c>
      <c r="U106" s="104">
        <f t="shared" si="154"/>
        <v>0</v>
      </c>
      <c r="V106" s="104">
        <f t="shared" si="154"/>
        <v>9.9999999999999995E-8</v>
      </c>
      <c r="W106" s="104">
        <f t="shared" si="154"/>
        <v>0</v>
      </c>
      <c r="X106" s="104">
        <f t="shared" si="85"/>
        <v>0</v>
      </c>
      <c r="Y106" s="104">
        <f t="shared" si="85"/>
        <v>9.9999999999999995E-8</v>
      </c>
      <c r="Z106" s="104">
        <f t="shared" si="85"/>
        <v>9.9999999999999995E-8</v>
      </c>
      <c r="AA106" s="105">
        <f t="shared" si="85"/>
        <v>9.9999999999999995E-8</v>
      </c>
      <c r="AB106" s="101" t="e">
        <f>$DT106*HLOOKUP($J106,'Construction Costs (timber)'!$B$1:$V$32,'Construction Planner'!$L106+2,FALSE)</f>
        <v>#N/A</v>
      </c>
      <c r="AC106" s="14" t="e">
        <f>$DT106*HLOOKUP($J106,'Construction Costs (clay)'!$B$1:$V$32,'Construction Planner'!$L106+2,FALSE)</f>
        <v>#N/A</v>
      </c>
      <c r="AD106" s="14" t="e">
        <f>$DT106*HLOOKUP($J106,'Construction Costs (iron)'!$B$1:$V$32,'Construction Planner'!$L106+2,FALSE)</f>
        <v>#N/A</v>
      </c>
      <c r="AE106" s="34" t="e">
        <f t="shared" si="163"/>
        <v>#N/A</v>
      </c>
      <c r="AF106" s="33" t="e">
        <f t="shared" si="94"/>
        <v>#N/A</v>
      </c>
      <c r="AG106" s="14" t="e">
        <f t="shared" si="95"/>
        <v>#N/A</v>
      </c>
      <c r="AH106" s="14" t="e">
        <f t="shared" si="96"/>
        <v>#N/A</v>
      </c>
      <c r="AI106" s="34" t="e">
        <f t="shared" si="164"/>
        <v>#N/A</v>
      </c>
      <c r="AJ106" s="49" t="e">
        <f t="shared" si="115"/>
        <v>#N/A</v>
      </c>
      <c r="AK106" s="49" t="e">
        <f t="shared" si="116"/>
        <v>#N/A</v>
      </c>
      <c r="AL106" s="49" t="e">
        <f t="shared" si="117"/>
        <v>#N/A</v>
      </c>
      <c r="AM106" s="25">
        <f t="shared" si="97"/>
        <v>30</v>
      </c>
      <c r="AN106" s="25">
        <f t="shared" si="98"/>
        <v>30</v>
      </c>
      <c r="AO106" s="25">
        <f t="shared" si="99"/>
        <v>30</v>
      </c>
      <c r="AP106" s="52" t="e">
        <f t="shared" si="118"/>
        <v>#N/A</v>
      </c>
      <c r="AQ106" s="53" t="e">
        <f t="shared" si="118"/>
        <v>#N/A</v>
      </c>
      <c r="AR106" s="54" t="e">
        <f t="shared" si="118"/>
        <v>#N/A</v>
      </c>
      <c r="AS106" s="316">
        <f t="shared" si="180"/>
        <v>0</v>
      </c>
      <c r="AT106" s="106">
        <f>_xlfn.IFNA($M106/VLOOKUP($BT106,'Unit information'!$A$2:$K$29,2,FALSE)*R106,0)*(1+$E$9)</f>
        <v>0</v>
      </c>
      <c r="AU106" s="107">
        <f>_xlfn.IFNA($M106/VLOOKUP($BT106,'Unit information'!$A$2:$K$29,3,FALSE)*S106,0)*(1+$E$9)</f>
        <v>0</v>
      </c>
      <c r="AV106" s="107">
        <f>_xlfn.IFNA($M106/VLOOKUP($BT106,'Unit information'!$A$2:$K$29,4,FALSE)*T106,0)*(1+$E$9)</f>
        <v>0</v>
      </c>
      <c r="AW106" s="107">
        <f>_xlfn.IFNA($M106/VLOOKUP($BT106,'Unit information'!$A$2:$K$29,5,FALSE)*U106,0)*(1+$E$9)</f>
        <v>0</v>
      </c>
      <c r="AX106" s="107">
        <f>_xlfn.IFNA($M106/VLOOKUP($BU106,'Unit information'!$A$2:$K$29,6,FALSE)*V106,0)*(1+$E$9)</f>
        <v>0</v>
      </c>
      <c r="AY106" s="107">
        <f>_xlfn.IFNA($M106/VLOOKUP($BU106,'Unit information'!$A$2:$K$29,7,FALSE)*W106,0)*(1+$E$9)</f>
        <v>0</v>
      </c>
      <c r="AZ106" s="107">
        <f>_xlfn.IFNA($M106/VLOOKUP($BU106,'Unit information'!$A$2:$K$29,8,FALSE)*X106,0)*(1+$E$9)</f>
        <v>0</v>
      </c>
      <c r="BA106" s="107">
        <f>_xlfn.IFNA($M106/VLOOKUP($BU106,'Unit information'!$A$2:$K$29,9,FALSE)*Y106,0)*(1+$E$9)</f>
        <v>0</v>
      </c>
      <c r="BB106" s="107">
        <f>_xlfn.IFNA($M106/VLOOKUP($BV106,'Unit information'!$A$2:$K$29,10,FALSE)*Z106,0)*(1+$E$9)</f>
        <v>0</v>
      </c>
      <c r="BC106" s="108">
        <f>_xlfn.IFNA($M106/VLOOKUP($BV106,'Unit information'!$A$2:$K$29,11,FALSE)*AA106,0)*(1+$E$9)</f>
        <v>0</v>
      </c>
      <c r="BD106" s="106">
        <f t="shared" si="100"/>
        <v>0</v>
      </c>
      <c r="BE106" s="107">
        <f t="shared" si="101"/>
        <v>0</v>
      </c>
      <c r="BF106" s="108">
        <f t="shared" si="102"/>
        <v>0</v>
      </c>
      <c r="BG106" s="25" t="e">
        <f t="shared" si="103"/>
        <v>#N/A</v>
      </c>
      <c r="BH106" s="25" t="e">
        <f t="shared" si="104"/>
        <v>#N/A</v>
      </c>
      <c r="BI106" s="25" t="e">
        <f t="shared" si="105"/>
        <v>#N/A</v>
      </c>
      <c r="BJ106" s="27" t="e">
        <f t="shared" si="106"/>
        <v>#N/A</v>
      </c>
      <c r="BK106" s="18" t="e">
        <f t="shared" si="107"/>
        <v>#N/A</v>
      </c>
      <c r="BL106" s="18" t="e">
        <f t="shared" si="108"/>
        <v>#N/A</v>
      </c>
      <c r="BM106" s="28" t="e">
        <f t="shared" si="166"/>
        <v>#N/A</v>
      </c>
      <c r="BN106" s="33">
        <f>HLOOKUP("maximum population",Miscelaneous!$C$1:$C$33,CH106+3,FALSE)</f>
        <v>240</v>
      </c>
      <c r="BO106" s="14">
        <f t="shared" si="119"/>
        <v>32</v>
      </c>
      <c r="BP106" s="14">
        <f t="shared" si="120"/>
        <v>0</v>
      </c>
      <c r="BQ106" s="14">
        <f t="shared" si="121"/>
        <v>208</v>
      </c>
      <c r="BR106" s="34" t="e">
        <f>HLOOKUP(J106,Villagers!$B$1:$V$33,L106+3,FALSE)-HLOOKUP(J106,Villagers!$B$1:$V$33,L106+2,FALSE)</f>
        <v>#N/A</v>
      </c>
      <c r="BS106" s="49">
        <f t="shared" si="122"/>
        <v>1</v>
      </c>
      <c r="BT106" s="50">
        <f t="shared" si="123"/>
        <v>0</v>
      </c>
      <c r="BU106" s="50">
        <f t="shared" si="124"/>
        <v>0</v>
      </c>
      <c r="BV106" s="50">
        <f t="shared" si="125"/>
        <v>0</v>
      </c>
      <c r="BW106" s="50">
        <f t="shared" si="181"/>
        <v>0</v>
      </c>
      <c r="BX106" s="50">
        <f t="shared" si="181"/>
        <v>0</v>
      </c>
      <c r="BY106" s="50">
        <f t="shared" si="181"/>
        <v>0</v>
      </c>
      <c r="BZ106" s="50">
        <f t="shared" si="167"/>
        <v>0</v>
      </c>
      <c r="CA106" s="50">
        <f t="shared" si="168"/>
        <v>0</v>
      </c>
      <c r="CB106" s="50">
        <f t="shared" si="169"/>
        <v>1</v>
      </c>
      <c r="CC106" s="50">
        <f t="shared" si="170"/>
        <v>0</v>
      </c>
      <c r="CD106" s="50">
        <f t="shared" si="171"/>
        <v>0</v>
      </c>
      <c r="CE106" s="50">
        <f t="shared" si="172"/>
        <v>1</v>
      </c>
      <c r="CF106" s="50">
        <f t="shared" si="173"/>
        <v>1</v>
      </c>
      <c r="CG106" s="50">
        <f t="shared" si="174"/>
        <v>1</v>
      </c>
      <c r="CH106" s="50">
        <f t="shared" si="175"/>
        <v>1</v>
      </c>
      <c r="CI106" s="50">
        <f t="shared" si="176"/>
        <v>1</v>
      </c>
      <c r="CJ106" s="50">
        <f t="shared" si="177"/>
        <v>1</v>
      </c>
      <c r="CK106" s="50">
        <f t="shared" si="177"/>
        <v>0</v>
      </c>
      <c r="CL106" s="50">
        <f t="shared" si="177"/>
        <v>0</v>
      </c>
      <c r="CM106" s="51">
        <f t="shared" si="178"/>
        <v>0</v>
      </c>
      <c r="CN106" s="33">
        <f>ROUND(IF(BS106=0,0,HLOOKUP(BS$14,Villagers!$B$1:$V$33,BS106+3,FALSE)),)</f>
        <v>5</v>
      </c>
      <c r="CO106" s="14">
        <f>ROUND(IF(BT106=0,0,HLOOKUP(BT$14,Villagers!$B$1:$V$33,BT106+3,FALSE)),)</f>
        <v>0</v>
      </c>
      <c r="CP106" s="14">
        <f>ROUND(IF(BU106=0,0,HLOOKUP(BU$14,Villagers!$B$1:$V$33,BU106+3,FALSE)),)</f>
        <v>0</v>
      </c>
      <c r="CQ106" s="14">
        <f>ROUND(IF(BV106=0,0,HLOOKUP(BV$14,Villagers!$B$1:$V$33,BV106+3,FALSE)),)</f>
        <v>0</v>
      </c>
      <c r="CR106" s="14">
        <f>ROUND(IF(BW106=0,0,HLOOKUP(BW$14,Villagers!$B$1:$V$33,BW106+3,FALSE)),)</f>
        <v>0</v>
      </c>
      <c r="CS106" s="14">
        <f>ROUND(IF(BX106=0,0,HLOOKUP(BX$14,Villagers!$B$1:$V$33,BX106+3,FALSE)),)</f>
        <v>0</v>
      </c>
      <c r="CT106" s="14">
        <f>ROUND(IF(BY106=0,0,HLOOKUP(BY$14,Villagers!$B$1:$V$33,BY106+3,FALSE)),)</f>
        <v>0</v>
      </c>
      <c r="CU106" s="14">
        <f>ROUND(IF(BZ106=0,0,HLOOKUP(BZ$14,Villagers!$B$1:$V$33,BZ106+3,FALSE)),)</f>
        <v>0</v>
      </c>
      <c r="CV106" s="14">
        <f>ROUND(IF(CA106=0,0,HLOOKUP(CA$14,Villagers!$B$1:$V$33,CA106+3,FALSE)),)</f>
        <v>0</v>
      </c>
      <c r="CW106" s="14">
        <f>ROUND(IF(CB106=0,0,HLOOKUP(CB$14,Villagers!$B$1:$V$33,CB106+3,FALSE)),)</f>
        <v>0</v>
      </c>
      <c r="CX106" s="14">
        <f>ROUND(IF(CC106=0,0,HLOOKUP(CC$14,Villagers!$B$1:$V$33,CC106+3,FALSE)),)</f>
        <v>0</v>
      </c>
      <c r="CY106" s="14">
        <f>ROUND(IF(CD106=0,0,HLOOKUP(CD$14,Villagers!$B$1:$V$33,CD106+3,FALSE)),)</f>
        <v>0</v>
      </c>
      <c r="CZ106" s="14">
        <f>ROUND(IF(CE106=0,0,HLOOKUP(CE$14,Villagers!$B$1:$V$33,CE106+3,FALSE)),)</f>
        <v>5</v>
      </c>
      <c r="DA106" s="14">
        <f>ROUND(IF(CF106=0,0,HLOOKUP(CF$14,Villagers!$B$1:$V$33,CF106+3,FALSE)),)</f>
        <v>10</v>
      </c>
      <c r="DB106" s="14">
        <f>ROUND(IF(CG106=0,0,HLOOKUP(CG$14,Villagers!$B$1:$V$33,CG106+3,FALSE)),)</f>
        <v>10</v>
      </c>
      <c r="DC106" s="14">
        <f>ROUND(IF(CH106=0,0,HLOOKUP(CH$14,Villagers!$B$1:$V$33,CH106+3,FALSE)),)</f>
        <v>0</v>
      </c>
      <c r="DD106" s="14">
        <f>ROUND(IF(CI106=0,0,HLOOKUP(CI$14,Villagers!$B$1:$V$33,CI106+3,FALSE)),)</f>
        <v>0</v>
      </c>
      <c r="DE106" s="14">
        <f>ROUND(IF(CJ106=0,0,HLOOKUP(CJ$14,Villagers!$B$1:$V$33,CJ106+3,FALSE)),)</f>
        <v>2</v>
      </c>
      <c r="DF106" s="370">
        <f>ROUND(IF(CK106=0,0,HLOOKUP(CK$14,Villagers!$B$1:$V$33,CK106+3,FALSE)),)</f>
        <v>0</v>
      </c>
      <c r="DG106" s="370">
        <f>ROUND(IF(CL106=0,0,HLOOKUP(CL$14,Villagers!$B$1:$V$33,CL106+3,FALSE)),)</f>
        <v>0</v>
      </c>
      <c r="DH106" s="34">
        <f>ROUND(IF(CM106=0,0,HLOOKUP(CM$14,Villagers!$B$1:$V$33,CM106+3,FALSE)),)</f>
        <v>0</v>
      </c>
      <c r="DI106" s="109">
        <f t="shared" si="155"/>
        <v>0</v>
      </c>
      <c r="DJ106" s="50">
        <f t="shared" si="156"/>
        <v>0</v>
      </c>
      <c r="DK106" s="50">
        <f t="shared" si="157"/>
        <v>0</v>
      </c>
      <c r="DL106" s="50">
        <f t="shared" si="158"/>
        <v>0</v>
      </c>
      <c r="DM106" s="50">
        <f t="shared" si="159"/>
        <v>0</v>
      </c>
      <c r="DN106" s="50">
        <f t="shared" si="160"/>
        <v>0</v>
      </c>
      <c r="DO106" s="50">
        <f t="shared" si="161"/>
        <v>0</v>
      </c>
      <c r="DP106" s="50">
        <f t="shared" si="162"/>
        <v>0</v>
      </c>
      <c r="DQ106" s="50">
        <f t="shared" si="140"/>
        <v>0</v>
      </c>
      <c r="DR106" s="50">
        <f t="shared" si="141"/>
        <v>0</v>
      </c>
      <c r="DS106" s="96">
        <f>Miscelaneous!$D$4*Miscelaneous!$D$2^($CI106-1)</f>
        <v>1000</v>
      </c>
      <c r="DT106" s="333">
        <f t="shared" si="109"/>
        <v>1</v>
      </c>
      <c r="DU106" s="81">
        <v>1</v>
      </c>
      <c r="DV106" s="79">
        <f t="shared" si="142"/>
        <v>0</v>
      </c>
      <c r="DW106" s="79">
        <f t="shared" si="143"/>
        <v>0</v>
      </c>
      <c r="DX106" s="79">
        <f t="shared" si="144"/>
        <v>0</v>
      </c>
      <c r="DY106" s="79">
        <v>1</v>
      </c>
      <c r="DZ106" s="79">
        <f t="shared" si="145"/>
        <v>0</v>
      </c>
      <c r="EA106" s="79">
        <f t="shared" si="146"/>
        <v>0</v>
      </c>
      <c r="EB106" s="79">
        <f t="shared" si="147"/>
        <v>0</v>
      </c>
      <c r="EC106" s="79">
        <f t="shared" si="148"/>
        <v>0</v>
      </c>
      <c r="ED106" s="79">
        <v>1</v>
      </c>
      <c r="EE106" s="79">
        <v>1</v>
      </c>
      <c r="EF106" s="79">
        <f t="shared" si="149"/>
        <v>0</v>
      </c>
      <c r="EG106" s="79">
        <v>1</v>
      </c>
      <c r="EH106" s="79">
        <v>1</v>
      </c>
      <c r="EI106" s="79">
        <v>1</v>
      </c>
      <c r="EJ106" s="79">
        <v>1</v>
      </c>
      <c r="EK106" s="79">
        <v>1</v>
      </c>
      <c r="EL106" s="79">
        <v>1</v>
      </c>
      <c r="EM106" s="143">
        <f t="shared" si="150"/>
        <v>0</v>
      </c>
      <c r="EN106" s="143">
        <f t="shared" si="151"/>
        <v>0</v>
      </c>
      <c r="EO106" s="82">
        <f t="shared" si="152"/>
        <v>0</v>
      </c>
    </row>
    <row r="107" spans="1:145" x14ac:dyDescent="0.25">
      <c r="A107">
        <v>93</v>
      </c>
      <c r="B107" s="172" t="e">
        <f t="shared" si="110"/>
        <v>#N/A</v>
      </c>
      <c r="C107" s="121" t="e">
        <f t="shared" si="89"/>
        <v>#N/A</v>
      </c>
      <c r="D107" s="122" t="e">
        <f t="shared" si="90"/>
        <v>#N/A</v>
      </c>
      <c r="E107" s="122" t="e">
        <f t="shared" si="91"/>
        <v>#N/A</v>
      </c>
      <c r="F107" s="176" t="e">
        <f t="shared" si="92"/>
        <v>#N/A</v>
      </c>
      <c r="G107" s="121">
        <f t="shared" si="111"/>
        <v>208</v>
      </c>
      <c r="H107" s="176" t="e">
        <f t="shared" si="112"/>
        <v>#N/A</v>
      </c>
      <c r="I107" s="48">
        <v>1</v>
      </c>
      <c r="J107" s="39"/>
      <c r="K107" s="350">
        <v>1</v>
      </c>
      <c r="L107" s="34" t="e">
        <f t="shared" si="93"/>
        <v>#N/A</v>
      </c>
      <c r="M107" s="38" t="e">
        <f>(HLOOKUP(J107,'Construction Times'!$B$3:$W$34,L107+2,FALSE)*HLOOKUP("hq modifier",'Construction Times'!$W$3:$W$34,BS107+2,FALSE))*(1-$H$9)</f>
        <v>#N/A</v>
      </c>
      <c r="N107" s="443" t="e">
        <f t="shared" si="113"/>
        <v>#N/A</v>
      </c>
      <c r="O107" s="444"/>
      <c r="P107" s="447" t="e">
        <f t="shared" si="114"/>
        <v>#N/A</v>
      </c>
      <c r="Q107" s="448"/>
      <c r="R107" s="103">
        <f t="shared" si="153"/>
        <v>0</v>
      </c>
      <c r="S107" s="104">
        <f t="shared" si="153"/>
        <v>0</v>
      </c>
      <c r="T107" s="104">
        <f t="shared" si="154"/>
        <v>0</v>
      </c>
      <c r="U107" s="104">
        <f t="shared" si="154"/>
        <v>0</v>
      </c>
      <c r="V107" s="104">
        <f t="shared" si="154"/>
        <v>9.9999999999999995E-8</v>
      </c>
      <c r="W107" s="104">
        <f t="shared" si="154"/>
        <v>0</v>
      </c>
      <c r="X107" s="104">
        <f t="shared" si="85"/>
        <v>0</v>
      </c>
      <c r="Y107" s="104">
        <f t="shared" si="85"/>
        <v>9.9999999999999995E-8</v>
      </c>
      <c r="Z107" s="104">
        <f t="shared" si="85"/>
        <v>9.9999999999999995E-8</v>
      </c>
      <c r="AA107" s="105">
        <f t="shared" si="85"/>
        <v>9.9999999999999995E-8</v>
      </c>
      <c r="AB107" s="101" t="e">
        <f>$DT107*HLOOKUP($J107,'Construction Costs (timber)'!$B$1:$V$32,'Construction Planner'!$L107+2,FALSE)</f>
        <v>#N/A</v>
      </c>
      <c r="AC107" s="14" t="e">
        <f>$DT107*HLOOKUP($J107,'Construction Costs (clay)'!$B$1:$V$32,'Construction Planner'!$L107+2,FALSE)</f>
        <v>#N/A</v>
      </c>
      <c r="AD107" s="14" t="e">
        <f>$DT107*HLOOKUP($J107,'Construction Costs (iron)'!$B$1:$V$32,'Construction Planner'!$L107+2,FALSE)</f>
        <v>#N/A</v>
      </c>
      <c r="AE107" s="34" t="e">
        <f t="shared" si="163"/>
        <v>#N/A</v>
      </c>
      <c r="AF107" s="33" t="e">
        <f t="shared" si="94"/>
        <v>#N/A</v>
      </c>
      <c r="AG107" s="14" t="e">
        <f t="shared" si="95"/>
        <v>#N/A</v>
      </c>
      <c r="AH107" s="14" t="e">
        <f t="shared" si="96"/>
        <v>#N/A</v>
      </c>
      <c r="AI107" s="34" t="e">
        <f t="shared" si="164"/>
        <v>#N/A</v>
      </c>
      <c r="AJ107" s="49" t="e">
        <f t="shared" si="115"/>
        <v>#N/A</v>
      </c>
      <c r="AK107" s="49" t="e">
        <f t="shared" si="116"/>
        <v>#N/A</v>
      </c>
      <c r="AL107" s="49" t="e">
        <f t="shared" si="117"/>
        <v>#N/A</v>
      </c>
      <c r="AM107" s="25">
        <f t="shared" si="97"/>
        <v>30</v>
      </c>
      <c r="AN107" s="25">
        <f t="shared" si="98"/>
        <v>30</v>
      </c>
      <c r="AO107" s="25">
        <f t="shared" si="99"/>
        <v>30</v>
      </c>
      <c r="AP107" s="52" t="e">
        <f t="shared" si="118"/>
        <v>#N/A</v>
      </c>
      <c r="AQ107" s="53" t="e">
        <f t="shared" si="118"/>
        <v>#N/A</v>
      </c>
      <c r="AR107" s="54" t="e">
        <f t="shared" si="118"/>
        <v>#N/A</v>
      </c>
      <c r="AS107" s="316">
        <f t="shared" si="180"/>
        <v>0</v>
      </c>
      <c r="AT107" s="106">
        <f>_xlfn.IFNA($M107/VLOOKUP($BT107,'Unit information'!$A$2:$K$29,2,FALSE)*R107,0)*(1+$E$9)</f>
        <v>0</v>
      </c>
      <c r="AU107" s="107">
        <f>_xlfn.IFNA($M107/VLOOKUP($BT107,'Unit information'!$A$2:$K$29,3,FALSE)*S107,0)*(1+$E$9)</f>
        <v>0</v>
      </c>
      <c r="AV107" s="107">
        <f>_xlfn.IFNA($M107/VLOOKUP($BT107,'Unit information'!$A$2:$K$29,4,FALSE)*T107,0)*(1+$E$9)</f>
        <v>0</v>
      </c>
      <c r="AW107" s="107">
        <f>_xlfn.IFNA($M107/VLOOKUP($BT107,'Unit information'!$A$2:$K$29,5,FALSE)*U107,0)*(1+$E$9)</f>
        <v>0</v>
      </c>
      <c r="AX107" s="107">
        <f>_xlfn.IFNA($M107/VLOOKUP($BU107,'Unit information'!$A$2:$K$29,6,FALSE)*V107,0)*(1+$E$9)</f>
        <v>0</v>
      </c>
      <c r="AY107" s="107">
        <f>_xlfn.IFNA($M107/VLOOKUP($BU107,'Unit information'!$A$2:$K$29,7,FALSE)*W107,0)*(1+$E$9)</f>
        <v>0</v>
      </c>
      <c r="AZ107" s="107">
        <f>_xlfn.IFNA($M107/VLOOKUP($BU107,'Unit information'!$A$2:$K$29,8,FALSE)*X107,0)*(1+$E$9)</f>
        <v>0</v>
      </c>
      <c r="BA107" s="107">
        <f>_xlfn.IFNA($M107/VLOOKUP($BU107,'Unit information'!$A$2:$K$29,9,FALSE)*Y107,0)*(1+$E$9)</f>
        <v>0</v>
      </c>
      <c r="BB107" s="107">
        <f>_xlfn.IFNA($M107/VLOOKUP($BV107,'Unit information'!$A$2:$K$29,10,FALSE)*Z107,0)*(1+$E$9)</f>
        <v>0</v>
      </c>
      <c r="BC107" s="108">
        <f>_xlfn.IFNA($M107/VLOOKUP($BV107,'Unit information'!$A$2:$K$29,11,FALSE)*AA107,0)*(1+$E$9)</f>
        <v>0</v>
      </c>
      <c r="BD107" s="106">
        <f t="shared" si="100"/>
        <v>0</v>
      </c>
      <c r="BE107" s="107">
        <f t="shared" si="101"/>
        <v>0</v>
      </c>
      <c r="BF107" s="108">
        <f t="shared" si="102"/>
        <v>0</v>
      </c>
      <c r="BG107" s="25" t="e">
        <f t="shared" si="103"/>
        <v>#N/A</v>
      </c>
      <c r="BH107" s="25" t="e">
        <f t="shared" si="104"/>
        <v>#N/A</v>
      </c>
      <c r="BI107" s="25" t="e">
        <f t="shared" si="105"/>
        <v>#N/A</v>
      </c>
      <c r="BJ107" s="27" t="e">
        <f t="shared" si="106"/>
        <v>#N/A</v>
      </c>
      <c r="BK107" s="18" t="e">
        <f t="shared" si="107"/>
        <v>#N/A</v>
      </c>
      <c r="BL107" s="18" t="e">
        <f t="shared" si="108"/>
        <v>#N/A</v>
      </c>
      <c r="BM107" s="28" t="e">
        <f t="shared" si="166"/>
        <v>#N/A</v>
      </c>
      <c r="BN107" s="33">
        <f>HLOOKUP("maximum population",Miscelaneous!$C$1:$C$33,CH107+3,FALSE)</f>
        <v>240</v>
      </c>
      <c r="BO107" s="14">
        <f t="shared" si="119"/>
        <v>32</v>
      </c>
      <c r="BP107" s="14">
        <f t="shared" si="120"/>
        <v>0</v>
      </c>
      <c r="BQ107" s="14">
        <f t="shared" si="121"/>
        <v>208</v>
      </c>
      <c r="BR107" s="34" t="e">
        <f>HLOOKUP(J107,Villagers!$B$1:$V$33,L107+3,FALSE)-HLOOKUP(J107,Villagers!$B$1:$V$33,L107+2,FALSE)</f>
        <v>#N/A</v>
      </c>
      <c r="BS107" s="49">
        <f t="shared" si="122"/>
        <v>1</v>
      </c>
      <c r="BT107" s="50">
        <f t="shared" si="123"/>
        <v>0</v>
      </c>
      <c r="BU107" s="50">
        <f t="shared" si="124"/>
        <v>0</v>
      </c>
      <c r="BV107" s="50">
        <f t="shared" si="125"/>
        <v>0</v>
      </c>
      <c r="BW107" s="50">
        <f t="shared" ref="BW107:BW118" si="182">IF($J106=BW$14,$L106,BW106)</f>
        <v>0</v>
      </c>
      <c r="BX107" s="50">
        <f t="shared" ref="BX107:BY118" si="183">IF($J106=BX$14,$L106,BX106)</f>
        <v>0</v>
      </c>
      <c r="BY107" s="50">
        <f t="shared" si="183"/>
        <v>0</v>
      </c>
      <c r="BZ107" s="50">
        <f t="shared" si="167"/>
        <v>0</v>
      </c>
      <c r="CA107" s="50">
        <f t="shared" si="168"/>
        <v>0</v>
      </c>
      <c r="CB107" s="50">
        <f t="shared" si="169"/>
        <v>1</v>
      </c>
      <c r="CC107" s="50">
        <f t="shared" si="170"/>
        <v>0</v>
      </c>
      <c r="CD107" s="50">
        <f t="shared" si="171"/>
        <v>0</v>
      </c>
      <c r="CE107" s="50">
        <f t="shared" si="172"/>
        <v>1</v>
      </c>
      <c r="CF107" s="50">
        <f t="shared" si="173"/>
        <v>1</v>
      </c>
      <c r="CG107" s="50">
        <f t="shared" si="174"/>
        <v>1</v>
      </c>
      <c r="CH107" s="50">
        <f t="shared" si="175"/>
        <v>1</v>
      </c>
      <c r="CI107" s="50">
        <f t="shared" si="176"/>
        <v>1</v>
      </c>
      <c r="CJ107" s="50">
        <f t="shared" si="177"/>
        <v>1</v>
      </c>
      <c r="CK107" s="50">
        <f t="shared" si="177"/>
        <v>0</v>
      </c>
      <c r="CL107" s="50">
        <f t="shared" si="177"/>
        <v>0</v>
      </c>
      <c r="CM107" s="51">
        <f t="shared" ref="CM107:CM113" si="184">IF($J106=CM$14,$L106,CM106)</f>
        <v>0</v>
      </c>
      <c r="CN107" s="33">
        <f>ROUND(IF(BS107=0,0,HLOOKUP(BS$14,Villagers!$B$1:$V$33,BS107+3,FALSE)),)</f>
        <v>5</v>
      </c>
      <c r="CO107" s="14">
        <f>ROUND(IF(BT107=0,0,HLOOKUP(BT$14,Villagers!$B$1:$V$33,BT107+3,FALSE)),)</f>
        <v>0</v>
      </c>
      <c r="CP107" s="14">
        <f>ROUND(IF(BU107=0,0,HLOOKUP(BU$14,Villagers!$B$1:$V$33,BU107+3,FALSE)),)</f>
        <v>0</v>
      </c>
      <c r="CQ107" s="14">
        <f>ROUND(IF(BV107=0,0,HLOOKUP(BV$14,Villagers!$B$1:$V$33,BV107+3,FALSE)),)</f>
        <v>0</v>
      </c>
      <c r="CR107" s="14">
        <f>ROUND(IF(BW107=0,0,HLOOKUP(BW$14,Villagers!$B$1:$V$33,BW107+3,FALSE)),)</f>
        <v>0</v>
      </c>
      <c r="CS107" s="14">
        <f>ROUND(IF(BX107=0,0,HLOOKUP(BX$14,Villagers!$B$1:$V$33,BX107+3,FALSE)),)</f>
        <v>0</v>
      </c>
      <c r="CT107" s="14">
        <f>ROUND(IF(BY107=0,0,HLOOKUP(BY$14,Villagers!$B$1:$V$33,BY107+3,FALSE)),)</f>
        <v>0</v>
      </c>
      <c r="CU107" s="14">
        <f>ROUND(IF(BZ107=0,0,HLOOKUP(BZ$14,Villagers!$B$1:$V$33,BZ107+3,FALSE)),)</f>
        <v>0</v>
      </c>
      <c r="CV107" s="14">
        <f>ROUND(IF(CA107=0,0,HLOOKUP(CA$14,Villagers!$B$1:$V$33,CA107+3,FALSE)),)</f>
        <v>0</v>
      </c>
      <c r="CW107" s="14">
        <f>ROUND(IF(CB107=0,0,HLOOKUP(CB$14,Villagers!$B$1:$V$33,CB107+3,FALSE)),)</f>
        <v>0</v>
      </c>
      <c r="CX107" s="14">
        <f>ROUND(IF(CC107=0,0,HLOOKUP(CC$14,Villagers!$B$1:$V$33,CC107+3,FALSE)),)</f>
        <v>0</v>
      </c>
      <c r="CY107" s="14">
        <f>ROUND(IF(CD107=0,0,HLOOKUP(CD$14,Villagers!$B$1:$V$33,CD107+3,FALSE)),)</f>
        <v>0</v>
      </c>
      <c r="CZ107" s="14">
        <f>ROUND(IF(CE107=0,0,HLOOKUP(CE$14,Villagers!$B$1:$V$33,CE107+3,FALSE)),)</f>
        <v>5</v>
      </c>
      <c r="DA107" s="14">
        <f>ROUND(IF(CF107=0,0,HLOOKUP(CF$14,Villagers!$B$1:$V$33,CF107+3,FALSE)),)</f>
        <v>10</v>
      </c>
      <c r="DB107" s="14">
        <f>ROUND(IF(CG107=0,0,HLOOKUP(CG$14,Villagers!$B$1:$V$33,CG107+3,FALSE)),)</f>
        <v>10</v>
      </c>
      <c r="DC107" s="14">
        <f>ROUND(IF(CH107=0,0,HLOOKUP(CH$14,Villagers!$B$1:$V$33,CH107+3,FALSE)),)</f>
        <v>0</v>
      </c>
      <c r="DD107" s="14">
        <f>ROUND(IF(CI107=0,0,HLOOKUP(CI$14,Villagers!$B$1:$V$33,CI107+3,FALSE)),)</f>
        <v>0</v>
      </c>
      <c r="DE107" s="14">
        <f>ROUND(IF(CJ107=0,0,HLOOKUP(CJ$14,Villagers!$B$1:$V$33,CJ107+3,FALSE)),)</f>
        <v>2</v>
      </c>
      <c r="DF107" s="370">
        <f>ROUND(IF(CK107=0,0,HLOOKUP(CK$14,Villagers!$B$1:$V$33,CK107+3,FALSE)),)</f>
        <v>0</v>
      </c>
      <c r="DG107" s="370">
        <f>ROUND(IF(CL107=0,0,HLOOKUP(CL$14,Villagers!$B$1:$V$33,CL107+3,FALSE)),)</f>
        <v>0</v>
      </c>
      <c r="DH107" s="34">
        <f>ROUND(IF(CM107=0,0,HLOOKUP(CM$14,Villagers!$B$1:$V$33,CM107+3,FALSE)),)</f>
        <v>0</v>
      </c>
      <c r="DI107" s="109">
        <f t="shared" si="155"/>
        <v>0</v>
      </c>
      <c r="DJ107" s="50">
        <f t="shared" si="156"/>
        <v>0</v>
      </c>
      <c r="DK107" s="50">
        <f t="shared" si="157"/>
        <v>0</v>
      </c>
      <c r="DL107" s="50">
        <f t="shared" si="158"/>
        <v>0</v>
      </c>
      <c r="DM107" s="50">
        <f t="shared" si="159"/>
        <v>0</v>
      </c>
      <c r="DN107" s="50">
        <f t="shared" si="160"/>
        <v>0</v>
      </c>
      <c r="DO107" s="50">
        <f t="shared" si="161"/>
        <v>0</v>
      </c>
      <c r="DP107" s="50">
        <f t="shared" si="162"/>
        <v>0</v>
      </c>
      <c r="DQ107" s="50">
        <f t="shared" si="140"/>
        <v>0</v>
      </c>
      <c r="DR107" s="50">
        <f t="shared" si="141"/>
        <v>0</v>
      </c>
      <c r="DS107" s="96">
        <f>Miscelaneous!$D$4*Miscelaneous!$D$2^($CI107-1)</f>
        <v>1000</v>
      </c>
      <c r="DT107" s="333">
        <f t="shared" si="109"/>
        <v>1</v>
      </c>
      <c r="DU107" s="81">
        <v>1</v>
      </c>
      <c r="DV107" s="79">
        <f t="shared" si="142"/>
        <v>0</v>
      </c>
      <c r="DW107" s="79">
        <f t="shared" si="143"/>
        <v>0</v>
      </c>
      <c r="DX107" s="79">
        <f t="shared" si="144"/>
        <v>0</v>
      </c>
      <c r="DY107" s="79">
        <v>1</v>
      </c>
      <c r="DZ107" s="79">
        <f t="shared" si="145"/>
        <v>0</v>
      </c>
      <c r="EA107" s="79">
        <f t="shared" si="146"/>
        <v>0</v>
      </c>
      <c r="EB107" s="79">
        <f t="shared" si="147"/>
        <v>0</v>
      </c>
      <c r="EC107" s="79">
        <f t="shared" si="148"/>
        <v>0</v>
      </c>
      <c r="ED107" s="79">
        <v>1</v>
      </c>
      <c r="EE107" s="79">
        <v>1</v>
      </c>
      <c r="EF107" s="79">
        <f t="shared" si="149"/>
        <v>0</v>
      </c>
      <c r="EG107" s="79">
        <v>1</v>
      </c>
      <c r="EH107" s="79">
        <v>1</v>
      </c>
      <c r="EI107" s="79">
        <v>1</v>
      </c>
      <c r="EJ107" s="79">
        <v>1</v>
      </c>
      <c r="EK107" s="79">
        <v>1</v>
      </c>
      <c r="EL107" s="79">
        <v>1</v>
      </c>
      <c r="EM107" s="143">
        <f t="shared" si="150"/>
        <v>0</v>
      </c>
      <c r="EN107" s="143">
        <f t="shared" si="151"/>
        <v>0</v>
      </c>
      <c r="EO107" s="82">
        <f t="shared" si="152"/>
        <v>0</v>
      </c>
    </row>
    <row r="108" spans="1:145" x14ac:dyDescent="0.25">
      <c r="A108">
        <v>94</v>
      </c>
      <c r="B108" s="172" t="e">
        <f t="shared" si="110"/>
        <v>#N/A</v>
      </c>
      <c r="C108" s="121" t="e">
        <f t="shared" si="89"/>
        <v>#N/A</v>
      </c>
      <c r="D108" s="122" t="e">
        <f t="shared" si="90"/>
        <v>#N/A</v>
      </c>
      <c r="E108" s="122" t="e">
        <f t="shared" si="91"/>
        <v>#N/A</v>
      </c>
      <c r="F108" s="176" t="e">
        <f t="shared" si="92"/>
        <v>#N/A</v>
      </c>
      <c r="G108" s="121">
        <f t="shared" si="111"/>
        <v>208</v>
      </c>
      <c r="H108" s="176" t="e">
        <f t="shared" si="112"/>
        <v>#N/A</v>
      </c>
      <c r="I108" s="48">
        <v>1</v>
      </c>
      <c r="J108" s="39"/>
      <c r="K108" s="350">
        <v>1</v>
      </c>
      <c r="L108" s="34" t="e">
        <f t="shared" si="93"/>
        <v>#N/A</v>
      </c>
      <c r="M108" s="38" t="e">
        <f>(HLOOKUP(J108,'Construction Times'!$B$3:$W$34,L108+2,FALSE)*HLOOKUP("hq modifier",'Construction Times'!$W$3:$W$34,BS108+2,FALSE))*(1-$H$9)</f>
        <v>#N/A</v>
      </c>
      <c r="N108" s="443" t="e">
        <f t="shared" si="113"/>
        <v>#N/A</v>
      </c>
      <c r="O108" s="444"/>
      <c r="P108" s="447" t="e">
        <f t="shared" si="114"/>
        <v>#N/A</v>
      </c>
      <c r="Q108" s="448"/>
      <c r="R108" s="103">
        <f t="shared" si="153"/>
        <v>0</v>
      </c>
      <c r="S108" s="104">
        <f t="shared" si="153"/>
        <v>0</v>
      </c>
      <c r="T108" s="104">
        <f t="shared" si="154"/>
        <v>0</v>
      </c>
      <c r="U108" s="104">
        <f t="shared" si="154"/>
        <v>0</v>
      </c>
      <c r="V108" s="104">
        <f t="shared" si="154"/>
        <v>9.9999999999999995E-8</v>
      </c>
      <c r="W108" s="104">
        <f t="shared" si="154"/>
        <v>0</v>
      </c>
      <c r="X108" s="104">
        <f t="shared" si="85"/>
        <v>0</v>
      </c>
      <c r="Y108" s="104">
        <f t="shared" si="85"/>
        <v>9.9999999999999995E-8</v>
      </c>
      <c r="Z108" s="104">
        <f t="shared" si="85"/>
        <v>9.9999999999999995E-8</v>
      </c>
      <c r="AA108" s="105">
        <f>AA107</f>
        <v>9.9999999999999995E-8</v>
      </c>
      <c r="AB108" s="101" t="e">
        <f>$DT108*HLOOKUP($J108,'Construction Costs (timber)'!$B$1:$V$32,'Construction Planner'!$L108+2,FALSE)</f>
        <v>#N/A</v>
      </c>
      <c r="AC108" s="14" t="e">
        <f>$DT108*HLOOKUP($J108,'Construction Costs (clay)'!$B$1:$V$32,'Construction Planner'!$L108+2,FALSE)</f>
        <v>#N/A</v>
      </c>
      <c r="AD108" s="14" t="e">
        <f>$DT108*HLOOKUP($J108,'Construction Costs (iron)'!$B$1:$V$32,'Construction Planner'!$L108+2,FALSE)</f>
        <v>#N/A</v>
      </c>
      <c r="AE108" s="34" t="e">
        <f t="shared" si="163"/>
        <v>#N/A</v>
      </c>
      <c r="AF108" s="33" t="e">
        <f t="shared" si="94"/>
        <v>#N/A</v>
      </c>
      <c r="AG108" s="14" t="e">
        <f t="shared" si="95"/>
        <v>#N/A</v>
      </c>
      <c r="AH108" s="14" t="e">
        <f t="shared" si="96"/>
        <v>#N/A</v>
      </c>
      <c r="AI108" s="34" t="e">
        <f t="shared" si="164"/>
        <v>#N/A</v>
      </c>
      <c r="AJ108" s="49" t="e">
        <f t="shared" si="115"/>
        <v>#N/A</v>
      </c>
      <c r="AK108" s="49" t="e">
        <f t="shared" si="116"/>
        <v>#N/A</v>
      </c>
      <c r="AL108" s="49" t="e">
        <f t="shared" si="117"/>
        <v>#N/A</v>
      </c>
      <c r="AM108" s="25">
        <f t="shared" si="97"/>
        <v>30</v>
      </c>
      <c r="AN108" s="25">
        <f t="shared" si="98"/>
        <v>30</v>
      </c>
      <c r="AO108" s="25">
        <f t="shared" si="99"/>
        <v>30</v>
      </c>
      <c r="AP108" s="52" t="e">
        <f t="shared" si="118"/>
        <v>#N/A</v>
      </c>
      <c r="AQ108" s="53" t="e">
        <f t="shared" si="118"/>
        <v>#N/A</v>
      </c>
      <c r="AR108" s="54" t="e">
        <f t="shared" si="118"/>
        <v>#N/A</v>
      </c>
      <c r="AS108" s="316">
        <f t="shared" si="180"/>
        <v>0</v>
      </c>
      <c r="AT108" s="106">
        <f>_xlfn.IFNA($M108/VLOOKUP($BT108,'Unit information'!$A$2:$K$29,2,FALSE)*R108,0)*(1+$E$9)</f>
        <v>0</v>
      </c>
      <c r="AU108" s="107">
        <f>_xlfn.IFNA($M108/VLOOKUP($BT108,'Unit information'!$A$2:$K$29,3,FALSE)*S108,0)*(1+$E$9)</f>
        <v>0</v>
      </c>
      <c r="AV108" s="107">
        <f>_xlfn.IFNA($M108/VLOOKUP($BT108,'Unit information'!$A$2:$K$29,4,FALSE)*T108,0)*(1+$E$9)</f>
        <v>0</v>
      </c>
      <c r="AW108" s="107">
        <f>_xlfn.IFNA($M108/VLOOKUP($BT108,'Unit information'!$A$2:$K$29,5,FALSE)*U108,0)*(1+$E$9)</f>
        <v>0</v>
      </c>
      <c r="AX108" s="107">
        <f>_xlfn.IFNA($M108/VLOOKUP($BU108,'Unit information'!$A$2:$K$29,6,FALSE)*V108,0)*(1+$E$9)</f>
        <v>0</v>
      </c>
      <c r="AY108" s="107">
        <f>_xlfn.IFNA($M108/VLOOKUP($BU108,'Unit information'!$A$2:$K$29,7,FALSE)*W108,0)*(1+$E$9)</f>
        <v>0</v>
      </c>
      <c r="AZ108" s="107">
        <f>_xlfn.IFNA($M108/VLOOKUP($BU108,'Unit information'!$A$2:$K$29,8,FALSE)*X108,0)*(1+$E$9)</f>
        <v>0</v>
      </c>
      <c r="BA108" s="107">
        <f>_xlfn.IFNA($M108/VLOOKUP($BU108,'Unit information'!$A$2:$K$29,9,FALSE)*Y108,0)*(1+$E$9)</f>
        <v>0</v>
      </c>
      <c r="BB108" s="107">
        <f>_xlfn.IFNA($M108/VLOOKUP($BV108,'Unit information'!$A$2:$K$29,10,FALSE)*Z108,0)*(1+$E$9)</f>
        <v>0</v>
      </c>
      <c r="BC108" s="108">
        <f>_xlfn.IFNA($M108/VLOOKUP($BV108,'Unit information'!$A$2:$K$29,11,FALSE)*AA108,0)*(1+$E$9)</f>
        <v>0</v>
      </c>
      <c r="BD108" s="106">
        <f t="shared" si="100"/>
        <v>0</v>
      </c>
      <c r="BE108" s="107">
        <f t="shared" si="101"/>
        <v>0</v>
      </c>
      <c r="BF108" s="108">
        <f t="shared" si="102"/>
        <v>0</v>
      </c>
      <c r="BG108" s="25" t="e">
        <f t="shared" si="103"/>
        <v>#N/A</v>
      </c>
      <c r="BH108" s="25" t="e">
        <f t="shared" si="104"/>
        <v>#N/A</v>
      </c>
      <c r="BI108" s="25" t="e">
        <f t="shared" si="105"/>
        <v>#N/A</v>
      </c>
      <c r="BJ108" s="27" t="e">
        <f t="shared" si="106"/>
        <v>#N/A</v>
      </c>
      <c r="BK108" s="18" t="e">
        <f t="shared" si="107"/>
        <v>#N/A</v>
      </c>
      <c r="BL108" s="18" t="e">
        <f t="shared" si="108"/>
        <v>#N/A</v>
      </c>
      <c r="BM108" s="28" t="e">
        <f t="shared" si="166"/>
        <v>#N/A</v>
      </c>
      <c r="BN108" s="33">
        <f>HLOOKUP("maximum population",Miscelaneous!$C$1:$C$33,CH108+3,FALSE)</f>
        <v>240</v>
      </c>
      <c r="BO108" s="14">
        <f t="shared" si="119"/>
        <v>32</v>
      </c>
      <c r="BP108" s="14">
        <f t="shared" si="120"/>
        <v>0</v>
      </c>
      <c r="BQ108" s="14">
        <f t="shared" si="121"/>
        <v>208</v>
      </c>
      <c r="BR108" s="34" t="e">
        <f>HLOOKUP(J108,Villagers!$B$1:$V$33,L108+3,FALSE)-HLOOKUP(J108,Villagers!$B$1:$V$33,L108+2,FALSE)</f>
        <v>#N/A</v>
      </c>
      <c r="BS108" s="49">
        <f t="shared" si="122"/>
        <v>1</v>
      </c>
      <c r="BT108" s="50">
        <f t="shared" si="123"/>
        <v>0</v>
      </c>
      <c r="BU108" s="50">
        <f t="shared" si="124"/>
        <v>0</v>
      </c>
      <c r="BV108" s="50">
        <f t="shared" si="125"/>
        <v>0</v>
      </c>
      <c r="BW108" s="50">
        <f t="shared" si="182"/>
        <v>0</v>
      </c>
      <c r="BX108" s="50">
        <f t="shared" si="183"/>
        <v>0</v>
      </c>
      <c r="BY108" s="50">
        <f t="shared" si="183"/>
        <v>0</v>
      </c>
      <c r="BZ108" s="50">
        <f t="shared" si="167"/>
        <v>0</v>
      </c>
      <c r="CA108" s="50">
        <f t="shared" si="168"/>
        <v>0</v>
      </c>
      <c r="CB108" s="50">
        <f t="shared" si="169"/>
        <v>1</v>
      </c>
      <c r="CC108" s="50">
        <f t="shared" si="170"/>
        <v>0</v>
      </c>
      <c r="CD108" s="50">
        <f t="shared" si="171"/>
        <v>0</v>
      </c>
      <c r="CE108" s="50">
        <f t="shared" si="172"/>
        <v>1</v>
      </c>
      <c r="CF108" s="50">
        <f t="shared" si="173"/>
        <v>1</v>
      </c>
      <c r="CG108" s="50">
        <f t="shared" si="174"/>
        <v>1</v>
      </c>
      <c r="CH108" s="50">
        <f t="shared" si="175"/>
        <v>1</v>
      </c>
      <c r="CI108" s="50">
        <f t="shared" si="176"/>
        <v>1</v>
      </c>
      <c r="CJ108" s="50">
        <f t="shared" si="177"/>
        <v>1</v>
      </c>
      <c r="CK108" s="50">
        <f t="shared" si="177"/>
        <v>0</v>
      </c>
      <c r="CL108" s="50">
        <f t="shared" si="177"/>
        <v>0</v>
      </c>
      <c r="CM108" s="51">
        <f t="shared" si="184"/>
        <v>0</v>
      </c>
      <c r="CN108" s="33">
        <f>ROUND(IF(BS108=0,0,HLOOKUP(BS$14,Villagers!$B$1:$V$33,BS108+3,FALSE)),)</f>
        <v>5</v>
      </c>
      <c r="CO108" s="14">
        <f>ROUND(IF(BT108=0,0,HLOOKUP(BT$14,Villagers!$B$1:$V$33,BT108+3,FALSE)),)</f>
        <v>0</v>
      </c>
      <c r="CP108" s="14">
        <f>ROUND(IF(BU108=0,0,HLOOKUP(BU$14,Villagers!$B$1:$V$33,BU108+3,FALSE)),)</f>
        <v>0</v>
      </c>
      <c r="CQ108" s="14">
        <f>ROUND(IF(BV108=0,0,HLOOKUP(BV$14,Villagers!$B$1:$V$33,BV108+3,FALSE)),)</f>
        <v>0</v>
      </c>
      <c r="CR108" s="14">
        <f>ROUND(IF(BW108=0,0,HLOOKUP(BW$14,Villagers!$B$1:$V$33,BW108+3,FALSE)),)</f>
        <v>0</v>
      </c>
      <c r="CS108" s="14">
        <f>ROUND(IF(BX108=0,0,HLOOKUP(BX$14,Villagers!$B$1:$V$33,BX108+3,FALSE)),)</f>
        <v>0</v>
      </c>
      <c r="CT108" s="14">
        <f>ROUND(IF(BY108=0,0,HLOOKUP(BY$14,Villagers!$B$1:$V$33,BY108+3,FALSE)),)</f>
        <v>0</v>
      </c>
      <c r="CU108" s="14">
        <f>ROUND(IF(BZ108=0,0,HLOOKUP(BZ$14,Villagers!$B$1:$V$33,BZ108+3,FALSE)),)</f>
        <v>0</v>
      </c>
      <c r="CV108" s="14">
        <f>ROUND(IF(CA108=0,0,HLOOKUP(CA$14,Villagers!$B$1:$V$33,CA108+3,FALSE)),)</f>
        <v>0</v>
      </c>
      <c r="CW108" s="14">
        <f>ROUND(IF(CB108=0,0,HLOOKUP(CB$14,Villagers!$B$1:$V$33,CB108+3,FALSE)),)</f>
        <v>0</v>
      </c>
      <c r="CX108" s="14">
        <f>ROUND(IF(CC108=0,0,HLOOKUP(CC$14,Villagers!$B$1:$V$33,CC108+3,FALSE)),)</f>
        <v>0</v>
      </c>
      <c r="CY108" s="14">
        <f>ROUND(IF(CD108=0,0,HLOOKUP(CD$14,Villagers!$B$1:$V$33,CD108+3,FALSE)),)</f>
        <v>0</v>
      </c>
      <c r="CZ108" s="14">
        <f>ROUND(IF(CE108=0,0,HLOOKUP(CE$14,Villagers!$B$1:$V$33,CE108+3,FALSE)),)</f>
        <v>5</v>
      </c>
      <c r="DA108" s="14">
        <f>ROUND(IF(CF108=0,0,HLOOKUP(CF$14,Villagers!$B$1:$V$33,CF108+3,FALSE)),)</f>
        <v>10</v>
      </c>
      <c r="DB108" s="14">
        <f>ROUND(IF(CG108=0,0,HLOOKUP(CG$14,Villagers!$B$1:$V$33,CG108+3,FALSE)),)</f>
        <v>10</v>
      </c>
      <c r="DC108" s="14">
        <f>ROUND(IF(CH108=0,0,HLOOKUP(CH$14,Villagers!$B$1:$V$33,CH108+3,FALSE)),)</f>
        <v>0</v>
      </c>
      <c r="DD108" s="14">
        <f>ROUND(IF(CI108=0,0,HLOOKUP(CI$14,Villagers!$B$1:$V$33,CI108+3,FALSE)),)</f>
        <v>0</v>
      </c>
      <c r="DE108" s="14">
        <f>ROUND(IF(CJ108=0,0,HLOOKUP(CJ$14,Villagers!$B$1:$V$33,CJ108+3,FALSE)),)</f>
        <v>2</v>
      </c>
      <c r="DF108" s="370">
        <f>ROUND(IF(CK108=0,0,HLOOKUP(CK$14,Villagers!$B$1:$V$33,CK108+3,FALSE)),)</f>
        <v>0</v>
      </c>
      <c r="DG108" s="370">
        <f>ROUND(IF(CL108=0,0,HLOOKUP(CL$14,Villagers!$B$1:$V$33,CL108+3,FALSE)),)</f>
        <v>0</v>
      </c>
      <c r="DH108" s="34">
        <f>ROUND(IF(CM108=0,0,HLOOKUP(CM$14,Villagers!$B$1:$V$33,CM108+3,FALSE)),)</f>
        <v>0</v>
      </c>
      <c r="DI108" s="109">
        <f t="shared" si="155"/>
        <v>0</v>
      </c>
      <c r="DJ108" s="50">
        <f t="shared" si="156"/>
        <v>0</v>
      </c>
      <c r="DK108" s="50">
        <f t="shared" si="157"/>
        <v>0</v>
      </c>
      <c r="DL108" s="50">
        <f t="shared" si="158"/>
        <v>0</v>
      </c>
      <c r="DM108" s="50">
        <f t="shared" si="159"/>
        <v>0</v>
      </c>
      <c r="DN108" s="50">
        <f t="shared" si="160"/>
        <v>0</v>
      </c>
      <c r="DO108" s="50">
        <f t="shared" si="161"/>
        <v>0</v>
      </c>
      <c r="DP108" s="50">
        <f t="shared" si="162"/>
        <v>0</v>
      </c>
      <c r="DQ108" s="50">
        <f t="shared" si="140"/>
        <v>0</v>
      </c>
      <c r="DR108" s="50">
        <f t="shared" si="141"/>
        <v>0</v>
      </c>
      <c r="DS108" s="96">
        <f>Miscelaneous!$D$4*Miscelaneous!$D$2^($CI108-1)</f>
        <v>1000</v>
      </c>
      <c r="DT108" s="333">
        <f t="shared" si="109"/>
        <v>1</v>
      </c>
      <c r="DU108" s="81">
        <v>1</v>
      </c>
      <c r="DV108" s="79">
        <f t="shared" si="142"/>
        <v>0</v>
      </c>
      <c r="DW108" s="79">
        <f t="shared" si="143"/>
        <v>0</v>
      </c>
      <c r="DX108" s="79">
        <f t="shared" si="144"/>
        <v>0</v>
      </c>
      <c r="DY108" s="79">
        <v>1</v>
      </c>
      <c r="DZ108" s="79">
        <f t="shared" si="145"/>
        <v>0</v>
      </c>
      <c r="EA108" s="79">
        <f t="shared" si="146"/>
        <v>0</v>
      </c>
      <c r="EB108" s="79">
        <f t="shared" si="147"/>
        <v>0</v>
      </c>
      <c r="EC108" s="79">
        <f t="shared" si="148"/>
        <v>0</v>
      </c>
      <c r="ED108" s="79">
        <v>1</v>
      </c>
      <c r="EE108" s="79">
        <v>1</v>
      </c>
      <c r="EF108" s="79">
        <f t="shared" si="149"/>
        <v>0</v>
      </c>
      <c r="EG108" s="79">
        <v>1</v>
      </c>
      <c r="EH108" s="79">
        <v>1</v>
      </c>
      <c r="EI108" s="79">
        <v>1</v>
      </c>
      <c r="EJ108" s="79">
        <v>1</v>
      </c>
      <c r="EK108" s="79">
        <v>1</v>
      </c>
      <c r="EL108" s="79">
        <v>1</v>
      </c>
      <c r="EM108" s="143">
        <f t="shared" si="150"/>
        <v>0</v>
      </c>
      <c r="EN108" s="143">
        <f t="shared" si="151"/>
        <v>0</v>
      </c>
      <c r="EO108" s="82">
        <f t="shared" si="152"/>
        <v>0</v>
      </c>
    </row>
    <row r="109" spans="1:145" x14ac:dyDescent="0.25">
      <c r="A109">
        <v>95</v>
      </c>
      <c r="B109" s="172" t="e">
        <f t="shared" si="110"/>
        <v>#N/A</v>
      </c>
      <c r="C109" s="121" t="e">
        <f t="shared" si="89"/>
        <v>#N/A</v>
      </c>
      <c r="D109" s="122" t="e">
        <f t="shared" si="90"/>
        <v>#N/A</v>
      </c>
      <c r="E109" s="122" t="e">
        <f t="shared" si="91"/>
        <v>#N/A</v>
      </c>
      <c r="F109" s="176" t="e">
        <f t="shared" si="92"/>
        <v>#N/A</v>
      </c>
      <c r="G109" s="121">
        <f t="shared" si="111"/>
        <v>208</v>
      </c>
      <c r="H109" s="176" t="e">
        <f t="shared" si="112"/>
        <v>#N/A</v>
      </c>
      <c r="I109" s="48">
        <v>1</v>
      </c>
      <c r="J109" s="39"/>
      <c r="K109" s="350">
        <v>1</v>
      </c>
      <c r="L109" s="34" t="e">
        <f t="shared" si="93"/>
        <v>#N/A</v>
      </c>
      <c r="M109" s="38" t="e">
        <f>(HLOOKUP(J109,'Construction Times'!$B$3:$W$34,L109+2,FALSE)*HLOOKUP("hq modifier",'Construction Times'!$W$3:$W$34,BS109+2,FALSE))*(1-$H$9)</f>
        <v>#N/A</v>
      </c>
      <c r="N109" s="443" t="e">
        <f t="shared" si="113"/>
        <v>#N/A</v>
      </c>
      <c r="O109" s="444"/>
      <c r="P109" s="447" t="e">
        <f t="shared" si="114"/>
        <v>#N/A</v>
      </c>
      <c r="Q109" s="448"/>
      <c r="R109" s="103">
        <f t="shared" si="153"/>
        <v>0</v>
      </c>
      <c r="S109" s="104">
        <f t="shared" si="153"/>
        <v>0</v>
      </c>
      <c r="T109" s="104">
        <f t="shared" si="154"/>
        <v>0</v>
      </c>
      <c r="U109" s="104">
        <f t="shared" si="154"/>
        <v>0</v>
      </c>
      <c r="V109" s="104">
        <f t="shared" si="154"/>
        <v>9.9999999999999995E-8</v>
      </c>
      <c r="W109" s="104">
        <f t="shared" si="154"/>
        <v>0</v>
      </c>
      <c r="X109" s="104">
        <f t="shared" ref="X109:AA172" si="185">X108</f>
        <v>0</v>
      </c>
      <c r="Y109" s="104">
        <f t="shared" si="185"/>
        <v>9.9999999999999995E-8</v>
      </c>
      <c r="Z109" s="104">
        <f t="shared" si="185"/>
        <v>9.9999999999999995E-8</v>
      </c>
      <c r="AA109" s="105">
        <f t="shared" si="185"/>
        <v>9.9999999999999995E-8</v>
      </c>
      <c r="AB109" s="101" t="e">
        <f>$DT109*HLOOKUP($J109,'Construction Costs (timber)'!$B$1:$V$32,'Construction Planner'!$L109+2,FALSE)</f>
        <v>#N/A</v>
      </c>
      <c r="AC109" s="14" t="e">
        <f>$DT109*HLOOKUP($J109,'Construction Costs (clay)'!$B$1:$V$32,'Construction Planner'!$L109+2,FALSE)</f>
        <v>#N/A</v>
      </c>
      <c r="AD109" s="14" t="e">
        <f>$DT109*HLOOKUP($J109,'Construction Costs (iron)'!$B$1:$V$32,'Construction Planner'!$L109+2,FALSE)</f>
        <v>#N/A</v>
      </c>
      <c r="AE109" s="34" t="e">
        <f t="shared" si="163"/>
        <v>#N/A</v>
      </c>
      <c r="AF109" s="33" t="e">
        <f t="shared" si="94"/>
        <v>#N/A</v>
      </c>
      <c r="AG109" s="14" t="e">
        <f t="shared" si="95"/>
        <v>#N/A</v>
      </c>
      <c r="AH109" s="14" t="e">
        <f t="shared" si="96"/>
        <v>#N/A</v>
      </c>
      <c r="AI109" s="34" t="e">
        <f t="shared" si="164"/>
        <v>#N/A</v>
      </c>
      <c r="AJ109" s="49" t="e">
        <f t="shared" si="115"/>
        <v>#N/A</v>
      </c>
      <c r="AK109" s="49" t="e">
        <f t="shared" si="116"/>
        <v>#N/A</v>
      </c>
      <c r="AL109" s="49" t="e">
        <f t="shared" si="117"/>
        <v>#N/A</v>
      </c>
      <c r="AM109" s="25">
        <f t="shared" si="97"/>
        <v>30</v>
      </c>
      <c r="AN109" s="25">
        <f t="shared" si="98"/>
        <v>30</v>
      </c>
      <c r="AO109" s="25">
        <f t="shared" si="99"/>
        <v>30</v>
      </c>
      <c r="AP109" s="52" t="e">
        <f t="shared" si="118"/>
        <v>#N/A</v>
      </c>
      <c r="AQ109" s="53" t="e">
        <f t="shared" si="118"/>
        <v>#N/A</v>
      </c>
      <c r="AR109" s="54" t="e">
        <f t="shared" si="118"/>
        <v>#N/A</v>
      </c>
      <c r="AS109" s="316">
        <f t="shared" si="180"/>
        <v>0</v>
      </c>
      <c r="AT109" s="106">
        <f>_xlfn.IFNA($M109/VLOOKUP($BT109,'Unit information'!$A$2:$K$29,2,FALSE)*R109,0)*(1+$E$9)</f>
        <v>0</v>
      </c>
      <c r="AU109" s="107">
        <f>_xlfn.IFNA($M109/VLOOKUP($BT109,'Unit information'!$A$2:$K$29,3,FALSE)*S109,0)*(1+$E$9)</f>
        <v>0</v>
      </c>
      <c r="AV109" s="107">
        <f>_xlfn.IFNA($M109/VLOOKUP($BT109,'Unit information'!$A$2:$K$29,4,FALSE)*T109,0)*(1+$E$9)</f>
        <v>0</v>
      </c>
      <c r="AW109" s="107">
        <f>_xlfn.IFNA($M109/VLOOKUP($BT109,'Unit information'!$A$2:$K$29,5,FALSE)*U109,0)*(1+$E$9)</f>
        <v>0</v>
      </c>
      <c r="AX109" s="107">
        <f>_xlfn.IFNA($M109/VLOOKUP($BU109,'Unit information'!$A$2:$K$29,6,FALSE)*V109,0)*(1+$E$9)</f>
        <v>0</v>
      </c>
      <c r="AY109" s="107">
        <f>_xlfn.IFNA($M109/VLOOKUP($BU109,'Unit information'!$A$2:$K$29,7,FALSE)*W109,0)*(1+$E$9)</f>
        <v>0</v>
      </c>
      <c r="AZ109" s="107">
        <f>_xlfn.IFNA($M109/VLOOKUP($BU109,'Unit information'!$A$2:$K$29,8,FALSE)*X109,0)*(1+$E$9)</f>
        <v>0</v>
      </c>
      <c r="BA109" s="107">
        <f>_xlfn.IFNA($M109/VLOOKUP($BU109,'Unit information'!$A$2:$K$29,9,FALSE)*Y109,0)*(1+$E$9)</f>
        <v>0</v>
      </c>
      <c r="BB109" s="107">
        <f>_xlfn.IFNA($M109/VLOOKUP($BV109,'Unit information'!$A$2:$K$29,10,FALSE)*Z109,0)*(1+$E$9)</f>
        <v>0</v>
      </c>
      <c r="BC109" s="108">
        <f>_xlfn.IFNA($M109/VLOOKUP($BV109,'Unit information'!$A$2:$K$29,11,FALSE)*AA109,0)*(1+$E$9)</f>
        <v>0</v>
      </c>
      <c r="BD109" s="106">
        <f t="shared" si="100"/>
        <v>0</v>
      </c>
      <c r="BE109" s="107">
        <f t="shared" si="101"/>
        <v>0</v>
      </c>
      <c r="BF109" s="108">
        <f t="shared" si="102"/>
        <v>0</v>
      </c>
      <c r="BG109" s="25" t="e">
        <f t="shared" si="103"/>
        <v>#N/A</v>
      </c>
      <c r="BH109" s="25" t="e">
        <f t="shared" si="104"/>
        <v>#N/A</v>
      </c>
      <c r="BI109" s="25" t="e">
        <f t="shared" si="105"/>
        <v>#N/A</v>
      </c>
      <c r="BJ109" s="27" t="e">
        <f t="shared" si="106"/>
        <v>#N/A</v>
      </c>
      <c r="BK109" s="18" t="e">
        <f t="shared" si="107"/>
        <v>#N/A</v>
      </c>
      <c r="BL109" s="18" t="e">
        <f t="shared" si="108"/>
        <v>#N/A</v>
      </c>
      <c r="BM109" s="28" t="e">
        <f t="shared" si="166"/>
        <v>#N/A</v>
      </c>
      <c r="BN109" s="33">
        <f>HLOOKUP("maximum population",Miscelaneous!$C$1:$C$33,CH109+3,FALSE)</f>
        <v>240</v>
      </c>
      <c r="BO109" s="14">
        <f t="shared" si="119"/>
        <v>32</v>
      </c>
      <c r="BP109" s="14">
        <f t="shared" si="120"/>
        <v>0</v>
      </c>
      <c r="BQ109" s="14">
        <f t="shared" si="121"/>
        <v>208</v>
      </c>
      <c r="BR109" s="34" t="e">
        <f>HLOOKUP(J109,Villagers!$B$1:$V$33,L109+3,FALSE)-HLOOKUP(J109,Villagers!$B$1:$V$33,L109+2,FALSE)</f>
        <v>#N/A</v>
      </c>
      <c r="BS109" s="49">
        <f t="shared" si="122"/>
        <v>1</v>
      </c>
      <c r="BT109" s="50">
        <f t="shared" si="123"/>
        <v>0</v>
      </c>
      <c r="BU109" s="50">
        <f t="shared" si="124"/>
        <v>0</v>
      </c>
      <c r="BV109" s="50">
        <f t="shared" si="125"/>
        <v>0</v>
      </c>
      <c r="BW109" s="50">
        <f t="shared" si="182"/>
        <v>0</v>
      </c>
      <c r="BX109" s="50">
        <f t="shared" si="183"/>
        <v>0</v>
      </c>
      <c r="BY109" s="50">
        <f t="shared" si="183"/>
        <v>0</v>
      </c>
      <c r="BZ109" s="50">
        <f t="shared" si="167"/>
        <v>0</v>
      </c>
      <c r="CA109" s="50">
        <f t="shared" si="168"/>
        <v>0</v>
      </c>
      <c r="CB109" s="50">
        <f t="shared" si="169"/>
        <v>1</v>
      </c>
      <c r="CC109" s="50">
        <f t="shared" si="170"/>
        <v>0</v>
      </c>
      <c r="CD109" s="50">
        <f t="shared" si="171"/>
        <v>0</v>
      </c>
      <c r="CE109" s="50">
        <f t="shared" si="172"/>
        <v>1</v>
      </c>
      <c r="CF109" s="50">
        <f t="shared" si="173"/>
        <v>1</v>
      </c>
      <c r="CG109" s="50">
        <f t="shared" si="174"/>
        <v>1</v>
      </c>
      <c r="CH109" s="50">
        <f t="shared" si="175"/>
        <v>1</v>
      </c>
      <c r="CI109" s="50">
        <f t="shared" si="176"/>
        <v>1</v>
      </c>
      <c r="CJ109" s="50">
        <f t="shared" si="177"/>
        <v>1</v>
      </c>
      <c r="CK109" s="50">
        <f t="shared" si="177"/>
        <v>0</v>
      </c>
      <c r="CL109" s="50">
        <f t="shared" si="177"/>
        <v>0</v>
      </c>
      <c r="CM109" s="51">
        <f t="shared" si="184"/>
        <v>0</v>
      </c>
      <c r="CN109" s="33">
        <f>ROUND(IF(BS109=0,0,HLOOKUP(BS$14,Villagers!$B$1:$V$33,BS109+3,FALSE)),)</f>
        <v>5</v>
      </c>
      <c r="CO109" s="14">
        <f>ROUND(IF(BT109=0,0,HLOOKUP(BT$14,Villagers!$B$1:$V$33,BT109+3,FALSE)),)</f>
        <v>0</v>
      </c>
      <c r="CP109" s="14">
        <f>ROUND(IF(BU109=0,0,HLOOKUP(BU$14,Villagers!$B$1:$V$33,BU109+3,FALSE)),)</f>
        <v>0</v>
      </c>
      <c r="CQ109" s="14">
        <f>ROUND(IF(BV109=0,0,HLOOKUP(BV$14,Villagers!$B$1:$V$33,BV109+3,FALSE)),)</f>
        <v>0</v>
      </c>
      <c r="CR109" s="14">
        <f>ROUND(IF(BW109=0,0,HLOOKUP(BW$14,Villagers!$B$1:$V$33,BW109+3,FALSE)),)</f>
        <v>0</v>
      </c>
      <c r="CS109" s="14">
        <f>ROUND(IF(BX109=0,0,HLOOKUP(BX$14,Villagers!$B$1:$V$33,BX109+3,FALSE)),)</f>
        <v>0</v>
      </c>
      <c r="CT109" s="14">
        <f>ROUND(IF(BY109=0,0,HLOOKUP(BY$14,Villagers!$B$1:$V$33,BY109+3,FALSE)),)</f>
        <v>0</v>
      </c>
      <c r="CU109" s="14">
        <f>ROUND(IF(BZ109=0,0,HLOOKUP(BZ$14,Villagers!$B$1:$V$33,BZ109+3,FALSE)),)</f>
        <v>0</v>
      </c>
      <c r="CV109" s="14">
        <f>ROUND(IF(CA109=0,0,HLOOKUP(CA$14,Villagers!$B$1:$V$33,CA109+3,FALSE)),)</f>
        <v>0</v>
      </c>
      <c r="CW109" s="14">
        <f>ROUND(IF(CB109=0,0,HLOOKUP(CB$14,Villagers!$B$1:$V$33,CB109+3,FALSE)),)</f>
        <v>0</v>
      </c>
      <c r="CX109" s="14">
        <f>ROUND(IF(CC109=0,0,HLOOKUP(CC$14,Villagers!$B$1:$V$33,CC109+3,FALSE)),)</f>
        <v>0</v>
      </c>
      <c r="CY109" s="14">
        <f>ROUND(IF(CD109=0,0,HLOOKUP(CD$14,Villagers!$B$1:$V$33,CD109+3,FALSE)),)</f>
        <v>0</v>
      </c>
      <c r="CZ109" s="14">
        <f>ROUND(IF(CE109=0,0,HLOOKUP(CE$14,Villagers!$B$1:$V$33,CE109+3,FALSE)),)</f>
        <v>5</v>
      </c>
      <c r="DA109" s="14">
        <f>ROUND(IF(CF109=0,0,HLOOKUP(CF$14,Villagers!$B$1:$V$33,CF109+3,FALSE)),)</f>
        <v>10</v>
      </c>
      <c r="DB109" s="14">
        <f>ROUND(IF(CG109=0,0,HLOOKUP(CG$14,Villagers!$B$1:$V$33,CG109+3,FALSE)),)</f>
        <v>10</v>
      </c>
      <c r="DC109" s="14">
        <f>ROUND(IF(CH109=0,0,HLOOKUP(CH$14,Villagers!$B$1:$V$33,CH109+3,FALSE)),)</f>
        <v>0</v>
      </c>
      <c r="DD109" s="14">
        <f>ROUND(IF(CI109=0,0,HLOOKUP(CI$14,Villagers!$B$1:$V$33,CI109+3,FALSE)),)</f>
        <v>0</v>
      </c>
      <c r="DE109" s="14">
        <f>ROUND(IF(CJ109=0,0,HLOOKUP(CJ$14,Villagers!$B$1:$V$33,CJ109+3,FALSE)),)</f>
        <v>2</v>
      </c>
      <c r="DF109" s="370">
        <f>ROUND(IF(CK109=0,0,HLOOKUP(CK$14,Villagers!$B$1:$V$33,CK109+3,FALSE)),)</f>
        <v>0</v>
      </c>
      <c r="DG109" s="370">
        <f>ROUND(IF(CL109=0,0,HLOOKUP(CL$14,Villagers!$B$1:$V$33,CL109+3,FALSE)),)</f>
        <v>0</v>
      </c>
      <c r="DH109" s="34">
        <f>ROUND(IF(CM109=0,0,HLOOKUP(CM$14,Villagers!$B$1:$V$33,CM109+3,FALSE)),)</f>
        <v>0</v>
      </c>
      <c r="DI109" s="109">
        <f t="shared" si="155"/>
        <v>0</v>
      </c>
      <c r="DJ109" s="50">
        <f t="shared" si="156"/>
        <v>0</v>
      </c>
      <c r="DK109" s="50">
        <f t="shared" si="157"/>
        <v>0</v>
      </c>
      <c r="DL109" s="50">
        <f t="shared" si="158"/>
        <v>0</v>
      </c>
      <c r="DM109" s="50">
        <f t="shared" si="159"/>
        <v>0</v>
      </c>
      <c r="DN109" s="50">
        <f t="shared" si="160"/>
        <v>0</v>
      </c>
      <c r="DO109" s="50">
        <f t="shared" si="161"/>
        <v>0</v>
      </c>
      <c r="DP109" s="50">
        <f t="shared" si="162"/>
        <v>0</v>
      </c>
      <c r="DQ109" s="50">
        <f t="shared" si="140"/>
        <v>0</v>
      </c>
      <c r="DR109" s="50">
        <f t="shared" si="141"/>
        <v>0</v>
      </c>
      <c r="DS109" s="96">
        <f>Miscelaneous!$D$4*Miscelaneous!$D$2^($CI109-1)</f>
        <v>1000</v>
      </c>
      <c r="DT109" s="333">
        <f t="shared" si="109"/>
        <v>1</v>
      </c>
      <c r="DU109" s="81">
        <v>1</v>
      </c>
      <c r="DV109" s="79">
        <f t="shared" si="142"/>
        <v>0</v>
      </c>
      <c r="DW109" s="79">
        <f t="shared" si="143"/>
        <v>0</v>
      </c>
      <c r="DX109" s="79">
        <f t="shared" si="144"/>
        <v>0</v>
      </c>
      <c r="DY109" s="79">
        <v>1</v>
      </c>
      <c r="DZ109" s="79">
        <f t="shared" si="145"/>
        <v>0</v>
      </c>
      <c r="EA109" s="79">
        <f t="shared" si="146"/>
        <v>0</v>
      </c>
      <c r="EB109" s="79">
        <f t="shared" si="147"/>
        <v>0</v>
      </c>
      <c r="EC109" s="79">
        <f t="shared" si="148"/>
        <v>0</v>
      </c>
      <c r="ED109" s="79">
        <v>1</v>
      </c>
      <c r="EE109" s="79">
        <v>1</v>
      </c>
      <c r="EF109" s="79">
        <f t="shared" si="149"/>
        <v>0</v>
      </c>
      <c r="EG109" s="79">
        <v>1</v>
      </c>
      <c r="EH109" s="79">
        <v>1</v>
      </c>
      <c r="EI109" s="79">
        <v>1</v>
      </c>
      <c r="EJ109" s="79">
        <v>1</v>
      </c>
      <c r="EK109" s="79">
        <v>1</v>
      </c>
      <c r="EL109" s="79">
        <v>1</v>
      </c>
      <c r="EM109" s="143">
        <f t="shared" si="150"/>
        <v>0</v>
      </c>
      <c r="EN109" s="143">
        <f t="shared" si="151"/>
        <v>0</v>
      </c>
      <c r="EO109" s="82">
        <f t="shared" si="152"/>
        <v>0</v>
      </c>
    </row>
    <row r="110" spans="1:145" x14ac:dyDescent="0.25">
      <c r="A110">
        <v>96</v>
      </c>
      <c r="B110" s="172" t="e">
        <f t="shared" si="110"/>
        <v>#N/A</v>
      </c>
      <c r="C110" s="121" t="e">
        <f t="shared" si="89"/>
        <v>#N/A</v>
      </c>
      <c r="D110" s="122" t="e">
        <f t="shared" si="90"/>
        <v>#N/A</v>
      </c>
      <c r="E110" s="122" t="e">
        <f t="shared" si="91"/>
        <v>#N/A</v>
      </c>
      <c r="F110" s="176" t="e">
        <f t="shared" si="92"/>
        <v>#N/A</v>
      </c>
      <c r="G110" s="121">
        <f t="shared" si="111"/>
        <v>208</v>
      </c>
      <c r="H110" s="176" t="e">
        <f t="shared" si="112"/>
        <v>#N/A</v>
      </c>
      <c r="I110" s="48">
        <v>1</v>
      </c>
      <c r="J110" s="39"/>
      <c r="K110" s="350">
        <v>1</v>
      </c>
      <c r="L110" s="34" t="e">
        <f t="shared" si="93"/>
        <v>#N/A</v>
      </c>
      <c r="M110" s="38" t="e">
        <f>(HLOOKUP(J110,'Construction Times'!$B$3:$W$34,L110+2,FALSE)*HLOOKUP("hq modifier",'Construction Times'!$W$3:$W$34,BS110+2,FALSE))*(1-$H$9)</f>
        <v>#N/A</v>
      </c>
      <c r="N110" s="443" t="e">
        <f t="shared" si="113"/>
        <v>#N/A</v>
      </c>
      <c r="O110" s="444"/>
      <c r="P110" s="447" t="e">
        <f t="shared" si="114"/>
        <v>#N/A</v>
      </c>
      <c r="Q110" s="448"/>
      <c r="R110" s="103">
        <f t="shared" si="153"/>
        <v>0</v>
      </c>
      <c r="S110" s="104">
        <f t="shared" si="153"/>
        <v>0</v>
      </c>
      <c r="T110" s="104">
        <f t="shared" si="154"/>
        <v>0</v>
      </c>
      <c r="U110" s="104">
        <f t="shared" si="154"/>
        <v>0</v>
      </c>
      <c r="V110" s="104">
        <f t="shared" si="154"/>
        <v>9.9999999999999995E-8</v>
      </c>
      <c r="W110" s="104">
        <f t="shared" si="154"/>
        <v>0</v>
      </c>
      <c r="X110" s="104">
        <f t="shared" si="185"/>
        <v>0</v>
      </c>
      <c r="Y110" s="104">
        <f t="shared" si="185"/>
        <v>9.9999999999999995E-8</v>
      </c>
      <c r="Z110" s="104">
        <f t="shared" si="185"/>
        <v>9.9999999999999995E-8</v>
      </c>
      <c r="AA110" s="105">
        <f t="shared" si="185"/>
        <v>9.9999999999999995E-8</v>
      </c>
      <c r="AB110" s="101" t="e">
        <f>$DT110*HLOOKUP($J110,'Construction Costs (timber)'!$B$1:$V$32,'Construction Planner'!$L110+2,FALSE)</f>
        <v>#N/A</v>
      </c>
      <c r="AC110" s="14" t="e">
        <f>$DT110*HLOOKUP($J110,'Construction Costs (clay)'!$B$1:$V$32,'Construction Planner'!$L110+2,FALSE)</f>
        <v>#N/A</v>
      </c>
      <c r="AD110" s="14" t="e">
        <f>$DT110*HLOOKUP($J110,'Construction Costs (iron)'!$B$1:$V$32,'Construction Planner'!$L110+2,FALSE)</f>
        <v>#N/A</v>
      </c>
      <c r="AE110" s="34" t="e">
        <f t="shared" si="163"/>
        <v>#N/A</v>
      </c>
      <c r="AF110" s="33" t="e">
        <f t="shared" si="94"/>
        <v>#N/A</v>
      </c>
      <c r="AG110" s="14" t="e">
        <f t="shared" si="95"/>
        <v>#N/A</v>
      </c>
      <c r="AH110" s="14" t="e">
        <f t="shared" si="96"/>
        <v>#N/A</v>
      </c>
      <c r="AI110" s="34" t="e">
        <f t="shared" si="164"/>
        <v>#N/A</v>
      </c>
      <c r="AJ110" s="49" t="e">
        <f t="shared" si="115"/>
        <v>#N/A</v>
      </c>
      <c r="AK110" s="49" t="e">
        <f t="shared" si="116"/>
        <v>#N/A</v>
      </c>
      <c r="AL110" s="49" t="e">
        <f t="shared" si="117"/>
        <v>#N/A</v>
      </c>
      <c r="AM110" s="25">
        <f t="shared" si="97"/>
        <v>30</v>
      </c>
      <c r="AN110" s="25">
        <f t="shared" si="98"/>
        <v>30</v>
      </c>
      <c r="AO110" s="25">
        <f t="shared" si="99"/>
        <v>30</v>
      </c>
      <c r="AP110" s="52" t="e">
        <f t="shared" si="118"/>
        <v>#N/A</v>
      </c>
      <c r="AQ110" s="53" t="e">
        <f t="shared" si="118"/>
        <v>#N/A</v>
      </c>
      <c r="AR110" s="54" t="e">
        <f t="shared" si="118"/>
        <v>#N/A</v>
      </c>
      <c r="AS110" s="316">
        <f t="shared" si="180"/>
        <v>0</v>
      </c>
      <c r="AT110" s="106">
        <f>_xlfn.IFNA($M110/VLOOKUP($BT110,'Unit information'!$A$2:$K$29,2,FALSE)*R110,0)*(1+$E$9)</f>
        <v>0</v>
      </c>
      <c r="AU110" s="107">
        <f>_xlfn.IFNA($M110/VLOOKUP($BT110,'Unit information'!$A$2:$K$29,3,FALSE)*S110,0)*(1+$E$9)</f>
        <v>0</v>
      </c>
      <c r="AV110" s="107">
        <f>_xlfn.IFNA($M110/VLOOKUP($BT110,'Unit information'!$A$2:$K$29,4,FALSE)*T110,0)*(1+$E$9)</f>
        <v>0</v>
      </c>
      <c r="AW110" s="107">
        <f>_xlfn.IFNA($M110/VLOOKUP($BT110,'Unit information'!$A$2:$K$29,5,FALSE)*U110,0)*(1+$E$9)</f>
        <v>0</v>
      </c>
      <c r="AX110" s="107">
        <f>_xlfn.IFNA($M110/VLOOKUP($BU110,'Unit information'!$A$2:$K$29,6,FALSE)*V110,0)*(1+$E$9)</f>
        <v>0</v>
      </c>
      <c r="AY110" s="107">
        <f>_xlfn.IFNA($M110/VLOOKUP($BU110,'Unit information'!$A$2:$K$29,7,FALSE)*W110,0)*(1+$E$9)</f>
        <v>0</v>
      </c>
      <c r="AZ110" s="107">
        <f>_xlfn.IFNA($M110/VLOOKUP($BU110,'Unit information'!$A$2:$K$29,8,FALSE)*X110,0)*(1+$E$9)</f>
        <v>0</v>
      </c>
      <c r="BA110" s="107">
        <f>_xlfn.IFNA($M110/VLOOKUP($BU110,'Unit information'!$A$2:$K$29,9,FALSE)*Y110,0)*(1+$E$9)</f>
        <v>0</v>
      </c>
      <c r="BB110" s="107">
        <f>_xlfn.IFNA($M110/VLOOKUP($BV110,'Unit information'!$A$2:$K$29,10,FALSE)*Z110,0)*(1+$E$9)</f>
        <v>0</v>
      </c>
      <c r="BC110" s="108">
        <f>_xlfn.IFNA($M110/VLOOKUP($BV110,'Unit information'!$A$2:$K$29,11,FALSE)*AA110,0)*(1+$E$9)</f>
        <v>0</v>
      </c>
      <c r="BD110" s="106">
        <f t="shared" si="100"/>
        <v>0</v>
      </c>
      <c r="BE110" s="107">
        <f t="shared" si="101"/>
        <v>0</v>
      </c>
      <c r="BF110" s="108">
        <f t="shared" si="102"/>
        <v>0</v>
      </c>
      <c r="BG110" s="25" t="e">
        <f t="shared" si="103"/>
        <v>#N/A</v>
      </c>
      <c r="BH110" s="25" t="e">
        <f t="shared" si="104"/>
        <v>#N/A</v>
      </c>
      <c r="BI110" s="25" t="e">
        <f t="shared" si="105"/>
        <v>#N/A</v>
      </c>
      <c r="BJ110" s="27" t="e">
        <f t="shared" si="106"/>
        <v>#N/A</v>
      </c>
      <c r="BK110" s="18" t="e">
        <f t="shared" si="107"/>
        <v>#N/A</v>
      </c>
      <c r="BL110" s="18" t="e">
        <f t="shared" si="108"/>
        <v>#N/A</v>
      </c>
      <c r="BM110" s="28" t="e">
        <f t="shared" si="166"/>
        <v>#N/A</v>
      </c>
      <c r="BN110" s="33">
        <f>HLOOKUP("maximum population",Miscelaneous!$C$1:$C$33,CH110+3,FALSE)</f>
        <v>240</v>
      </c>
      <c r="BO110" s="14">
        <f t="shared" si="119"/>
        <v>32</v>
      </c>
      <c r="BP110" s="14">
        <f t="shared" si="120"/>
        <v>0</v>
      </c>
      <c r="BQ110" s="14">
        <f t="shared" si="121"/>
        <v>208</v>
      </c>
      <c r="BR110" s="34" t="e">
        <f>HLOOKUP(J110,Villagers!$B$1:$V$33,L110+3,FALSE)-HLOOKUP(J110,Villagers!$B$1:$V$33,L110+2,FALSE)</f>
        <v>#N/A</v>
      </c>
      <c r="BS110" s="49">
        <f t="shared" si="122"/>
        <v>1</v>
      </c>
      <c r="BT110" s="50">
        <f t="shared" si="123"/>
        <v>0</v>
      </c>
      <c r="BU110" s="50">
        <f t="shared" si="124"/>
        <v>0</v>
      </c>
      <c r="BV110" s="50">
        <f t="shared" si="125"/>
        <v>0</v>
      </c>
      <c r="BW110" s="50">
        <f t="shared" si="182"/>
        <v>0</v>
      </c>
      <c r="BX110" s="50">
        <f t="shared" si="183"/>
        <v>0</v>
      </c>
      <c r="BY110" s="50">
        <f t="shared" si="183"/>
        <v>0</v>
      </c>
      <c r="BZ110" s="50">
        <f t="shared" si="167"/>
        <v>0</v>
      </c>
      <c r="CA110" s="50">
        <f t="shared" si="168"/>
        <v>0</v>
      </c>
      <c r="CB110" s="50">
        <f t="shared" si="169"/>
        <v>1</v>
      </c>
      <c r="CC110" s="50">
        <f t="shared" si="170"/>
        <v>0</v>
      </c>
      <c r="CD110" s="50">
        <f t="shared" si="171"/>
        <v>0</v>
      </c>
      <c r="CE110" s="50">
        <f t="shared" si="172"/>
        <v>1</v>
      </c>
      <c r="CF110" s="50">
        <f t="shared" si="173"/>
        <v>1</v>
      </c>
      <c r="CG110" s="50">
        <f t="shared" si="174"/>
        <v>1</v>
      </c>
      <c r="CH110" s="50">
        <f t="shared" si="175"/>
        <v>1</v>
      </c>
      <c r="CI110" s="50">
        <f t="shared" si="176"/>
        <v>1</v>
      </c>
      <c r="CJ110" s="50">
        <f t="shared" si="177"/>
        <v>1</v>
      </c>
      <c r="CK110" s="50">
        <f t="shared" si="177"/>
        <v>0</v>
      </c>
      <c r="CL110" s="50">
        <f t="shared" si="177"/>
        <v>0</v>
      </c>
      <c r="CM110" s="51">
        <f t="shared" si="184"/>
        <v>0</v>
      </c>
      <c r="CN110" s="33">
        <f>ROUND(IF(BS110=0,0,HLOOKUP(BS$14,Villagers!$B$1:$V$33,BS110+3,FALSE)),)</f>
        <v>5</v>
      </c>
      <c r="CO110" s="14">
        <f>ROUND(IF(BT110=0,0,HLOOKUP(BT$14,Villagers!$B$1:$V$33,BT110+3,FALSE)),)</f>
        <v>0</v>
      </c>
      <c r="CP110" s="14">
        <f>ROUND(IF(BU110=0,0,HLOOKUP(BU$14,Villagers!$B$1:$V$33,BU110+3,FALSE)),)</f>
        <v>0</v>
      </c>
      <c r="CQ110" s="14">
        <f>ROUND(IF(BV110=0,0,HLOOKUP(BV$14,Villagers!$B$1:$V$33,BV110+3,FALSE)),)</f>
        <v>0</v>
      </c>
      <c r="CR110" s="14">
        <f>ROUND(IF(BW110=0,0,HLOOKUP(BW$14,Villagers!$B$1:$V$33,BW110+3,FALSE)),)</f>
        <v>0</v>
      </c>
      <c r="CS110" s="14">
        <f>ROUND(IF(BX110=0,0,HLOOKUP(BX$14,Villagers!$B$1:$V$33,BX110+3,FALSE)),)</f>
        <v>0</v>
      </c>
      <c r="CT110" s="14">
        <f>ROUND(IF(BY110=0,0,HLOOKUP(BY$14,Villagers!$B$1:$V$33,BY110+3,FALSE)),)</f>
        <v>0</v>
      </c>
      <c r="CU110" s="14">
        <f>ROUND(IF(BZ110=0,0,HLOOKUP(BZ$14,Villagers!$B$1:$V$33,BZ110+3,FALSE)),)</f>
        <v>0</v>
      </c>
      <c r="CV110" s="14">
        <f>ROUND(IF(CA110=0,0,HLOOKUP(CA$14,Villagers!$B$1:$V$33,CA110+3,FALSE)),)</f>
        <v>0</v>
      </c>
      <c r="CW110" s="14">
        <f>ROUND(IF(CB110=0,0,HLOOKUP(CB$14,Villagers!$B$1:$V$33,CB110+3,FALSE)),)</f>
        <v>0</v>
      </c>
      <c r="CX110" s="14">
        <f>ROUND(IF(CC110=0,0,HLOOKUP(CC$14,Villagers!$B$1:$V$33,CC110+3,FALSE)),)</f>
        <v>0</v>
      </c>
      <c r="CY110" s="14">
        <f>ROUND(IF(CD110=0,0,HLOOKUP(CD$14,Villagers!$B$1:$V$33,CD110+3,FALSE)),)</f>
        <v>0</v>
      </c>
      <c r="CZ110" s="14">
        <f>ROUND(IF(CE110=0,0,HLOOKUP(CE$14,Villagers!$B$1:$V$33,CE110+3,FALSE)),)</f>
        <v>5</v>
      </c>
      <c r="DA110" s="14">
        <f>ROUND(IF(CF110=0,0,HLOOKUP(CF$14,Villagers!$B$1:$V$33,CF110+3,FALSE)),)</f>
        <v>10</v>
      </c>
      <c r="DB110" s="14">
        <f>ROUND(IF(CG110=0,0,HLOOKUP(CG$14,Villagers!$B$1:$V$33,CG110+3,FALSE)),)</f>
        <v>10</v>
      </c>
      <c r="DC110" s="14">
        <f>ROUND(IF(CH110=0,0,HLOOKUP(CH$14,Villagers!$B$1:$V$33,CH110+3,FALSE)),)</f>
        <v>0</v>
      </c>
      <c r="DD110" s="14">
        <f>ROUND(IF(CI110=0,0,HLOOKUP(CI$14,Villagers!$B$1:$V$33,CI110+3,FALSE)),)</f>
        <v>0</v>
      </c>
      <c r="DE110" s="14">
        <f>ROUND(IF(CJ110=0,0,HLOOKUP(CJ$14,Villagers!$B$1:$V$33,CJ110+3,FALSE)),)</f>
        <v>2</v>
      </c>
      <c r="DF110" s="370">
        <f>ROUND(IF(CK110=0,0,HLOOKUP(CK$14,Villagers!$B$1:$V$33,CK110+3,FALSE)),)</f>
        <v>0</v>
      </c>
      <c r="DG110" s="370">
        <f>ROUND(IF(CL110=0,0,HLOOKUP(CL$14,Villagers!$B$1:$V$33,CL110+3,FALSE)),)</f>
        <v>0</v>
      </c>
      <c r="DH110" s="34">
        <f>ROUND(IF(CM110=0,0,HLOOKUP(CM$14,Villagers!$B$1:$V$33,CM110+3,FALSE)),)</f>
        <v>0</v>
      </c>
      <c r="DI110" s="109">
        <f t="shared" si="155"/>
        <v>0</v>
      </c>
      <c r="DJ110" s="50">
        <f t="shared" si="156"/>
        <v>0</v>
      </c>
      <c r="DK110" s="50">
        <f t="shared" si="157"/>
        <v>0</v>
      </c>
      <c r="DL110" s="50">
        <f t="shared" si="158"/>
        <v>0</v>
      </c>
      <c r="DM110" s="50">
        <f t="shared" si="159"/>
        <v>0</v>
      </c>
      <c r="DN110" s="50">
        <f t="shared" si="160"/>
        <v>0</v>
      </c>
      <c r="DO110" s="50">
        <f t="shared" si="161"/>
        <v>0</v>
      </c>
      <c r="DP110" s="50">
        <f t="shared" si="162"/>
        <v>0</v>
      </c>
      <c r="DQ110" s="50">
        <f t="shared" si="140"/>
        <v>0</v>
      </c>
      <c r="DR110" s="50">
        <f t="shared" si="141"/>
        <v>0</v>
      </c>
      <c r="DS110" s="96">
        <f>Miscelaneous!$D$4*Miscelaneous!$D$2^($CI110-1)</f>
        <v>1000</v>
      </c>
      <c r="DT110" s="333">
        <f t="shared" si="109"/>
        <v>1</v>
      </c>
      <c r="DU110" s="81">
        <v>1</v>
      </c>
      <c r="DV110" s="79">
        <f t="shared" si="142"/>
        <v>0</v>
      </c>
      <c r="DW110" s="79">
        <f t="shared" si="143"/>
        <v>0</v>
      </c>
      <c r="DX110" s="79">
        <f t="shared" si="144"/>
        <v>0</v>
      </c>
      <c r="DY110" s="79">
        <v>1</v>
      </c>
      <c r="DZ110" s="79">
        <f t="shared" si="145"/>
        <v>0</v>
      </c>
      <c r="EA110" s="79">
        <f t="shared" si="146"/>
        <v>0</v>
      </c>
      <c r="EB110" s="79">
        <f t="shared" si="147"/>
        <v>0</v>
      </c>
      <c r="EC110" s="79">
        <f t="shared" si="148"/>
        <v>0</v>
      </c>
      <c r="ED110" s="79">
        <v>1</v>
      </c>
      <c r="EE110" s="79">
        <v>1</v>
      </c>
      <c r="EF110" s="79">
        <f t="shared" si="149"/>
        <v>0</v>
      </c>
      <c r="EG110" s="79">
        <v>1</v>
      </c>
      <c r="EH110" s="79">
        <v>1</v>
      </c>
      <c r="EI110" s="79">
        <v>1</v>
      </c>
      <c r="EJ110" s="79">
        <v>1</v>
      </c>
      <c r="EK110" s="79">
        <v>1</v>
      </c>
      <c r="EL110" s="79">
        <v>1</v>
      </c>
      <c r="EM110" s="143">
        <f t="shared" si="150"/>
        <v>0</v>
      </c>
      <c r="EN110" s="143">
        <f t="shared" si="151"/>
        <v>0</v>
      </c>
      <c r="EO110" s="82">
        <f t="shared" si="152"/>
        <v>0</v>
      </c>
    </row>
    <row r="111" spans="1:145" x14ac:dyDescent="0.25">
      <c r="A111">
        <v>97</v>
      </c>
      <c r="B111" s="172" t="e">
        <f t="shared" si="110"/>
        <v>#N/A</v>
      </c>
      <c r="C111" s="121" t="e">
        <f t="shared" si="89"/>
        <v>#N/A</v>
      </c>
      <c r="D111" s="122" t="e">
        <f t="shared" si="90"/>
        <v>#N/A</v>
      </c>
      <c r="E111" s="122" t="e">
        <f t="shared" si="91"/>
        <v>#N/A</v>
      </c>
      <c r="F111" s="176" t="e">
        <f t="shared" si="92"/>
        <v>#N/A</v>
      </c>
      <c r="G111" s="121">
        <f t="shared" si="111"/>
        <v>208</v>
      </c>
      <c r="H111" s="176" t="e">
        <f t="shared" si="112"/>
        <v>#N/A</v>
      </c>
      <c r="I111" s="48">
        <v>1</v>
      </c>
      <c r="J111" s="39"/>
      <c r="K111" s="350">
        <v>1</v>
      </c>
      <c r="L111" s="34" t="e">
        <f t="shared" si="93"/>
        <v>#N/A</v>
      </c>
      <c r="M111" s="38" t="e">
        <f>(HLOOKUP(J111,'Construction Times'!$B$3:$W$34,L111+2,FALSE)*HLOOKUP("hq modifier",'Construction Times'!$W$3:$W$34,BS111+2,FALSE))*(1-$H$9)</f>
        <v>#N/A</v>
      </c>
      <c r="N111" s="443" t="e">
        <f t="shared" si="113"/>
        <v>#N/A</v>
      </c>
      <c r="O111" s="444"/>
      <c r="P111" s="447" t="e">
        <f t="shared" si="114"/>
        <v>#N/A</v>
      </c>
      <c r="Q111" s="448"/>
      <c r="R111" s="103">
        <f t="shared" si="153"/>
        <v>0</v>
      </c>
      <c r="S111" s="104">
        <f t="shared" si="153"/>
        <v>0</v>
      </c>
      <c r="T111" s="104">
        <f t="shared" si="154"/>
        <v>0</v>
      </c>
      <c r="U111" s="104">
        <f t="shared" si="154"/>
        <v>0</v>
      </c>
      <c r="V111" s="104">
        <f t="shared" si="154"/>
        <v>9.9999999999999995E-8</v>
      </c>
      <c r="W111" s="104">
        <f t="shared" si="154"/>
        <v>0</v>
      </c>
      <c r="X111" s="104">
        <f t="shared" si="185"/>
        <v>0</v>
      </c>
      <c r="Y111" s="104">
        <f t="shared" si="185"/>
        <v>9.9999999999999995E-8</v>
      </c>
      <c r="Z111" s="104">
        <f t="shared" si="185"/>
        <v>9.9999999999999995E-8</v>
      </c>
      <c r="AA111" s="105">
        <f t="shared" si="185"/>
        <v>9.9999999999999995E-8</v>
      </c>
      <c r="AB111" s="101" t="e">
        <f>$DT111*HLOOKUP($J111,'Construction Costs (timber)'!$B$1:$V$32,'Construction Planner'!$L111+2,FALSE)</f>
        <v>#N/A</v>
      </c>
      <c r="AC111" s="14" t="e">
        <f>$DT111*HLOOKUP($J111,'Construction Costs (clay)'!$B$1:$V$32,'Construction Planner'!$L111+2,FALSE)</f>
        <v>#N/A</v>
      </c>
      <c r="AD111" s="14" t="e">
        <f>$DT111*HLOOKUP($J111,'Construction Costs (iron)'!$B$1:$V$32,'Construction Planner'!$L111+2,FALSE)</f>
        <v>#N/A</v>
      </c>
      <c r="AE111" s="34" t="e">
        <f t="shared" si="163"/>
        <v>#N/A</v>
      </c>
      <c r="AF111" s="33" t="e">
        <f t="shared" si="94"/>
        <v>#N/A</v>
      </c>
      <c r="AG111" s="14" t="e">
        <f t="shared" si="95"/>
        <v>#N/A</v>
      </c>
      <c r="AH111" s="14" t="e">
        <f t="shared" si="96"/>
        <v>#N/A</v>
      </c>
      <c r="AI111" s="34" t="e">
        <f t="shared" si="164"/>
        <v>#N/A</v>
      </c>
      <c r="AJ111" s="49" t="e">
        <f t="shared" si="115"/>
        <v>#N/A</v>
      </c>
      <c r="AK111" s="49" t="e">
        <f t="shared" si="116"/>
        <v>#N/A</v>
      </c>
      <c r="AL111" s="49" t="e">
        <f t="shared" si="117"/>
        <v>#N/A</v>
      </c>
      <c r="AM111" s="25">
        <f t="shared" si="97"/>
        <v>30</v>
      </c>
      <c r="AN111" s="25">
        <f t="shared" si="98"/>
        <v>30</v>
      </c>
      <c r="AO111" s="25">
        <f t="shared" si="99"/>
        <v>30</v>
      </c>
      <c r="AP111" s="52" t="e">
        <f t="shared" si="118"/>
        <v>#N/A</v>
      </c>
      <c r="AQ111" s="53" t="e">
        <f t="shared" si="118"/>
        <v>#N/A</v>
      </c>
      <c r="AR111" s="54" t="e">
        <f t="shared" si="118"/>
        <v>#N/A</v>
      </c>
      <c r="AS111" s="316">
        <f t="shared" si="180"/>
        <v>0</v>
      </c>
      <c r="AT111" s="106">
        <f>_xlfn.IFNA($M111/VLOOKUP($BT111,'Unit information'!$A$2:$K$29,2,FALSE)*R111,0)*(1+$E$9)</f>
        <v>0</v>
      </c>
      <c r="AU111" s="107">
        <f>_xlfn.IFNA($M111/VLOOKUP($BT111,'Unit information'!$A$2:$K$29,3,FALSE)*S111,0)*(1+$E$9)</f>
        <v>0</v>
      </c>
      <c r="AV111" s="107">
        <f>_xlfn.IFNA($M111/VLOOKUP($BT111,'Unit information'!$A$2:$K$29,4,FALSE)*T111,0)*(1+$E$9)</f>
        <v>0</v>
      </c>
      <c r="AW111" s="107">
        <f>_xlfn.IFNA($M111/VLOOKUP($BT111,'Unit information'!$A$2:$K$29,5,FALSE)*U111,0)*(1+$E$9)</f>
        <v>0</v>
      </c>
      <c r="AX111" s="107">
        <f>_xlfn.IFNA($M111/VLOOKUP($BU111,'Unit information'!$A$2:$K$29,6,FALSE)*V111,0)*(1+$E$9)</f>
        <v>0</v>
      </c>
      <c r="AY111" s="107">
        <f>_xlfn.IFNA($M111/VLOOKUP($BU111,'Unit information'!$A$2:$K$29,7,FALSE)*W111,0)*(1+$E$9)</f>
        <v>0</v>
      </c>
      <c r="AZ111" s="107">
        <f>_xlfn.IFNA($M111/VLOOKUP($BU111,'Unit information'!$A$2:$K$29,8,FALSE)*X111,0)*(1+$E$9)</f>
        <v>0</v>
      </c>
      <c r="BA111" s="107">
        <f>_xlfn.IFNA($M111/VLOOKUP($BU111,'Unit information'!$A$2:$K$29,9,FALSE)*Y111,0)*(1+$E$9)</f>
        <v>0</v>
      </c>
      <c r="BB111" s="107">
        <f>_xlfn.IFNA($M111/VLOOKUP($BV111,'Unit information'!$A$2:$K$29,10,FALSE)*Z111,0)*(1+$E$9)</f>
        <v>0</v>
      </c>
      <c r="BC111" s="108">
        <f>_xlfn.IFNA($M111/VLOOKUP($BV111,'Unit information'!$A$2:$K$29,11,FALSE)*AA111,0)*(1+$E$9)</f>
        <v>0</v>
      </c>
      <c r="BD111" s="106">
        <f t="shared" si="100"/>
        <v>0</v>
      </c>
      <c r="BE111" s="107">
        <f t="shared" si="101"/>
        <v>0</v>
      </c>
      <c r="BF111" s="108">
        <f t="shared" si="102"/>
        <v>0</v>
      </c>
      <c r="BG111" s="25" t="e">
        <f t="shared" si="103"/>
        <v>#N/A</v>
      </c>
      <c r="BH111" s="25" t="e">
        <f t="shared" si="104"/>
        <v>#N/A</v>
      </c>
      <c r="BI111" s="25" t="e">
        <f t="shared" si="105"/>
        <v>#N/A</v>
      </c>
      <c r="BJ111" s="27" t="e">
        <f t="shared" si="106"/>
        <v>#N/A</v>
      </c>
      <c r="BK111" s="18" t="e">
        <f t="shared" si="107"/>
        <v>#N/A</v>
      </c>
      <c r="BL111" s="18" t="e">
        <f t="shared" si="108"/>
        <v>#N/A</v>
      </c>
      <c r="BM111" s="28" t="e">
        <f t="shared" si="166"/>
        <v>#N/A</v>
      </c>
      <c r="BN111" s="33">
        <f>HLOOKUP("maximum population",Miscelaneous!$C$1:$C$33,CH111+3,FALSE)</f>
        <v>240</v>
      </c>
      <c r="BO111" s="14">
        <f t="shared" si="119"/>
        <v>32</v>
      </c>
      <c r="BP111" s="14">
        <f t="shared" si="120"/>
        <v>0</v>
      </c>
      <c r="BQ111" s="14">
        <f t="shared" si="121"/>
        <v>208</v>
      </c>
      <c r="BR111" s="34" t="e">
        <f>HLOOKUP(J111,Villagers!$B$1:$V$33,L111+3,FALSE)-HLOOKUP(J111,Villagers!$B$1:$V$33,L111+2,FALSE)</f>
        <v>#N/A</v>
      </c>
      <c r="BS111" s="49">
        <f t="shared" si="122"/>
        <v>1</v>
      </c>
      <c r="BT111" s="50">
        <f t="shared" si="123"/>
        <v>0</v>
      </c>
      <c r="BU111" s="50">
        <f t="shared" si="124"/>
        <v>0</v>
      </c>
      <c r="BV111" s="50">
        <f t="shared" si="125"/>
        <v>0</v>
      </c>
      <c r="BW111" s="50">
        <f t="shared" si="182"/>
        <v>0</v>
      </c>
      <c r="BX111" s="50">
        <f t="shared" si="183"/>
        <v>0</v>
      </c>
      <c r="BY111" s="50">
        <f t="shared" si="183"/>
        <v>0</v>
      </c>
      <c r="BZ111" s="50">
        <f t="shared" si="167"/>
        <v>0</v>
      </c>
      <c r="CA111" s="50">
        <f t="shared" si="168"/>
        <v>0</v>
      </c>
      <c r="CB111" s="50">
        <f t="shared" si="169"/>
        <v>1</v>
      </c>
      <c r="CC111" s="50">
        <f t="shared" si="170"/>
        <v>0</v>
      </c>
      <c r="CD111" s="50">
        <f t="shared" si="171"/>
        <v>0</v>
      </c>
      <c r="CE111" s="50">
        <f t="shared" si="172"/>
        <v>1</v>
      </c>
      <c r="CF111" s="50">
        <f t="shared" si="173"/>
        <v>1</v>
      </c>
      <c r="CG111" s="50">
        <f t="shared" si="174"/>
        <v>1</v>
      </c>
      <c r="CH111" s="50">
        <f t="shared" si="175"/>
        <v>1</v>
      </c>
      <c r="CI111" s="50">
        <f t="shared" si="176"/>
        <v>1</v>
      </c>
      <c r="CJ111" s="50">
        <f t="shared" si="177"/>
        <v>1</v>
      </c>
      <c r="CK111" s="50">
        <f t="shared" si="177"/>
        <v>0</v>
      </c>
      <c r="CL111" s="50">
        <f t="shared" si="177"/>
        <v>0</v>
      </c>
      <c r="CM111" s="51">
        <f t="shared" si="184"/>
        <v>0</v>
      </c>
      <c r="CN111" s="33">
        <f>ROUND(IF(BS111=0,0,HLOOKUP(BS$14,Villagers!$B$1:$V$33,BS111+3,FALSE)),)</f>
        <v>5</v>
      </c>
      <c r="CO111" s="14">
        <f>ROUND(IF(BT111=0,0,HLOOKUP(BT$14,Villagers!$B$1:$V$33,BT111+3,FALSE)),)</f>
        <v>0</v>
      </c>
      <c r="CP111" s="14">
        <f>ROUND(IF(BU111=0,0,HLOOKUP(BU$14,Villagers!$B$1:$V$33,BU111+3,FALSE)),)</f>
        <v>0</v>
      </c>
      <c r="CQ111" s="14">
        <f>ROUND(IF(BV111=0,0,HLOOKUP(BV$14,Villagers!$B$1:$V$33,BV111+3,FALSE)),)</f>
        <v>0</v>
      </c>
      <c r="CR111" s="14">
        <f>ROUND(IF(BW111=0,0,HLOOKUP(BW$14,Villagers!$B$1:$V$33,BW111+3,FALSE)),)</f>
        <v>0</v>
      </c>
      <c r="CS111" s="14">
        <f>ROUND(IF(BX111=0,0,HLOOKUP(BX$14,Villagers!$B$1:$V$33,BX111+3,FALSE)),)</f>
        <v>0</v>
      </c>
      <c r="CT111" s="14">
        <f>ROUND(IF(BY111=0,0,HLOOKUP(BY$14,Villagers!$B$1:$V$33,BY111+3,FALSE)),)</f>
        <v>0</v>
      </c>
      <c r="CU111" s="14">
        <f>ROUND(IF(BZ111=0,0,HLOOKUP(BZ$14,Villagers!$B$1:$V$33,BZ111+3,FALSE)),)</f>
        <v>0</v>
      </c>
      <c r="CV111" s="14">
        <f>ROUND(IF(CA111=0,0,HLOOKUP(CA$14,Villagers!$B$1:$V$33,CA111+3,FALSE)),)</f>
        <v>0</v>
      </c>
      <c r="CW111" s="14">
        <f>ROUND(IF(CB111=0,0,HLOOKUP(CB$14,Villagers!$B$1:$V$33,CB111+3,FALSE)),)</f>
        <v>0</v>
      </c>
      <c r="CX111" s="14">
        <f>ROUND(IF(CC111=0,0,HLOOKUP(CC$14,Villagers!$B$1:$V$33,CC111+3,FALSE)),)</f>
        <v>0</v>
      </c>
      <c r="CY111" s="14">
        <f>ROUND(IF(CD111=0,0,HLOOKUP(CD$14,Villagers!$B$1:$V$33,CD111+3,FALSE)),)</f>
        <v>0</v>
      </c>
      <c r="CZ111" s="14">
        <f>ROUND(IF(CE111=0,0,HLOOKUP(CE$14,Villagers!$B$1:$V$33,CE111+3,FALSE)),)</f>
        <v>5</v>
      </c>
      <c r="DA111" s="14">
        <f>ROUND(IF(CF111=0,0,HLOOKUP(CF$14,Villagers!$B$1:$V$33,CF111+3,FALSE)),)</f>
        <v>10</v>
      </c>
      <c r="DB111" s="14">
        <f>ROUND(IF(CG111=0,0,HLOOKUP(CG$14,Villagers!$B$1:$V$33,CG111+3,FALSE)),)</f>
        <v>10</v>
      </c>
      <c r="DC111" s="14">
        <f>ROUND(IF(CH111=0,0,HLOOKUP(CH$14,Villagers!$B$1:$V$33,CH111+3,FALSE)),)</f>
        <v>0</v>
      </c>
      <c r="DD111" s="14">
        <f>ROUND(IF(CI111=0,0,HLOOKUP(CI$14,Villagers!$B$1:$V$33,CI111+3,FALSE)),)</f>
        <v>0</v>
      </c>
      <c r="DE111" s="14">
        <f>ROUND(IF(CJ111=0,0,HLOOKUP(CJ$14,Villagers!$B$1:$V$33,CJ111+3,FALSE)),)</f>
        <v>2</v>
      </c>
      <c r="DF111" s="370">
        <f>ROUND(IF(CK111=0,0,HLOOKUP(CK$14,Villagers!$B$1:$V$33,CK111+3,FALSE)),)</f>
        <v>0</v>
      </c>
      <c r="DG111" s="370">
        <f>ROUND(IF(CL111=0,0,HLOOKUP(CL$14,Villagers!$B$1:$V$33,CL111+3,FALSE)),)</f>
        <v>0</v>
      </c>
      <c r="DH111" s="34">
        <f>ROUND(IF(CM111=0,0,HLOOKUP(CM$14,Villagers!$B$1:$V$33,CM111+3,FALSE)),)</f>
        <v>0</v>
      </c>
      <c r="DI111" s="109">
        <f t="shared" si="155"/>
        <v>0</v>
      </c>
      <c r="DJ111" s="50">
        <f t="shared" si="156"/>
        <v>0</v>
      </c>
      <c r="DK111" s="50">
        <f t="shared" si="157"/>
        <v>0</v>
      </c>
      <c r="DL111" s="50">
        <f t="shared" si="158"/>
        <v>0</v>
      </c>
      <c r="DM111" s="50">
        <f t="shared" si="159"/>
        <v>0</v>
      </c>
      <c r="DN111" s="50">
        <f t="shared" si="160"/>
        <v>0</v>
      </c>
      <c r="DO111" s="50">
        <f t="shared" si="161"/>
        <v>0</v>
      </c>
      <c r="DP111" s="50">
        <f t="shared" si="162"/>
        <v>0</v>
      </c>
      <c r="DQ111" s="50">
        <f t="shared" si="140"/>
        <v>0</v>
      </c>
      <c r="DR111" s="50">
        <f t="shared" si="141"/>
        <v>0</v>
      </c>
      <c r="DS111" s="96">
        <f>Miscelaneous!$D$4*Miscelaneous!$D$2^($CI111-1)</f>
        <v>1000</v>
      </c>
      <c r="DT111" s="333">
        <f t="shared" si="109"/>
        <v>1</v>
      </c>
      <c r="DU111" s="81">
        <v>1</v>
      </c>
      <c r="DV111" s="79">
        <f t="shared" si="142"/>
        <v>0</v>
      </c>
      <c r="DW111" s="79">
        <f t="shared" si="143"/>
        <v>0</v>
      </c>
      <c r="DX111" s="79">
        <f t="shared" si="144"/>
        <v>0</v>
      </c>
      <c r="DY111" s="79">
        <v>1</v>
      </c>
      <c r="DZ111" s="79">
        <f t="shared" si="145"/>
        <v>0</v>
      </c>
      <c r="EA111" s="79">
        <f t="shared" si="146"/>
        <v>0</v>
      </c>
      <c r="EB111" s="79">
        <f t="shared" si="147"/>
        <v>0</v>
      </c>
      <c r="EC111" s="79">
        <f t="shared" si="148"/>
        <v>0</v>
      </c>
      <c r="ED111" s="79">
        <v>1</v>
      </c>
      <c r="EE111" s="79">
        <v>1</v>
      </c>
      <c r="EF111" s="79">
        <f t="shared" si="149"/>
        <v>0</v>
      </c>
      <c r="EG111" s="79">
        <v>1</v>
      </c>
      <c r="EH111" s="79">
        <v>1</v>
      </c>
      <c r="EI111" s="79">
        <v>1</v>
      </c>
      <c r="EJ111" s="79">
        <v>1</v>
      </c>
      <c r="EK111" s="79">
        <v>1</v>
      </c>
      <c r="EL111" s="79">
        <v>1</v>
      </c>
      <c r="EM111" s="143">
        <f t="shared" si="150"/>
        <v>0</v>
      </c>
      <c r="EN111" s="143">
        <f t="shared" si="151"/>
        <v>0</v>
      </c>
      <c r="EO111" s="82">
        <f t="shared" si="152"/>
        <v>0</v>
      </c>
    </row>
    <row r="112" spans="1:145" x14ac:dyDescent="0.25">
      <c r="A112">
        <v>98</v>
      </c>
      <c r="B112" s="172" t="e">
        <f t="shared" si="110"/>
        <v>#N/A</v>
      </c>
      <c r="C112" s="121" t="e">
        <f t="shared" si="89"/>
        <v>#N/A</v>
      </c>
      <c r="D112" s="122" t="e">
        <f t="shared" si="90"/>
        <v>#N/A</v>
      </c>
      <c r="E112" s="122" t="e">
        <f t="shared" si="91"/>
        <v>#N/A</v>
      </c>
      <c r="F112" s="176" t="e">
        <f t="shared" si="92"/>
        <v>#N/A</v>
      </c>
      <c r="G112" s="121">
        <f t="shared" si="111"/>
        <v>208</v>
      </c>
      <c r="H112" s="176" t="e">
        <f t="shared" si="112"/>
        <v>#N/A</v>
      </c>
      <c r="I112" s="48">
        <v>1</v>
      </c>
      <c r="J112" s="39"/>
      <c r="K112" s="350">
        <v>1</v>
      </c>
      <c r="L112" s="34" t="e">
        <f t="shared" si="93"/>
        <v>#N/A</v>
      </c>
      <c r="M112" s="38" t="e">
        <f>(HLOOKUP(J112,'Construction Times'!$B$3:$W$34,L112+2,FALSE)*HLOOKUP("hq modifier",'Construction Times'!$W$3:$W$34,BS112+2,FALSE))*(1-$H$9)</f>
        <v>#N/A</v>
      </c>
      <c r="N112" s="443" t="e">
        <f t="shared" si="113"/>
        <v>#N/A</v>
      </c>
      <c r="O112" s="444"/>
      <c r="P112" s="447" t="e">
        <f t="shared" si="114"/>
        <v>#N/A</v>
      </c>
      <c r="Q112" s="448"/>
      <c r="R112" s="103">
        <f t="shared" si="153"/>
        <v>0</v>
      </c>
      <c r="S112" s="104">
        <f t="shared" si="153"/>
        <v>0</v>
      </c>
      <c r="T112" s="104">
        <f t="shared" si="154"/>
        <v>0</v>
      </c>
      <c r="U112" s="104">
        <f t="shared" si="154"/>
        <v>0</v>
      </c>
      <c r="V112" s="104">
        <f t="shared" si="154"/>
        <v>9.9999999999999995E-8</v>
      </c>
      <c r="W112" s="104">
        <f t="shared" si="154"/>
        <v>0</v>
      </c>
      <c r="X112" s="104">
        <f t="shared" si="185"/>
        <v>0</v>
      </c>
      <c r="Y112" s="104">
        <f t="shared" si="185"/>
        <v>9.9999999999999995E-8</v>
      </c>
      <c r="Z112" s="104">
        <f t="shared" si="185"/>
        <v>9.9999999999999995E-8</v>
      </c>
      <c r="AA112" s="105">
        <f t="shared" si="185"/>
        <v>9.9999999999999995E-8</v>
      </c>
      <c r="AB112" s="101" t="e">
        <f>$DT112*HLOOKUP($J112,'Construction Costs (timber)'!$B$1:$V$32,'Construction Planner'!$L112+2,FALSE)</f>
        <v>#N/A</v>
      </c>
      <c r="AC112" s="14" t="e">
        <f>$DT112*HLOOKUP($J112,'Construction Costs (clay)'!$B$1:$V$32,'Construction Planner'!$L112+2,FALSE)</f>
        <v>#N/A</v>
      </c>
      <c r="AD112" s="14" t="e">
        <f>$DT112*HLOOKUP($J112,'Construction Costs (iron)'!$B$1:$V$32,'Construction Planner'!$L112+2,FALSE)</f>
        <v>#N/A</v>
      </c>
      <c r="AE112" s="34" t="e">
        <f t="shared" si="163"/>
        <v>#N/A</v>
      </c>
      <c r="AF112" s="33" t="e">
        <f t="shared" si="94"/>
        <v>#N/A</v>
      </c>
      <c r="AG112" s="14" t="e">
        <f t="shared" si="95"/>
        <v>#N/A</v>
      </c>
      <c r="AH112" s="14" t="e">
        <f t="shared" si="96"/>
        <v>#N/A</v>
      </c>
      <c r="AI112" s="34" t="e">
        <f t="shared" si="164"/>
        <v>#N/A</v>
      </c>
      <c r="AJ112" s="49" t="e">
        <f t="shared" si="115"/>
        <v>#N/A</v>
      </c>
      <c r="AK112" s="49" t="e">
        <f t="shared" si="116"/>
        <v>#N/A</v>
      </c>
      <c r="AL112" s="49" t="e">
        <f t="shared" si="117"/>
        <v>#N/A</v>
      </c>
      <c r="AM112" s="25">
        <f t="shared" si="97"/>
        <v>30</v>
      </c>
      <c r="AN112" s="25">
        <f t="shared" si="98"/>
        <v>30</v>
      </c>
      <c r="AO112" s="25">
        <f t="shared" si="99"/>
        <v>30</v>
      </c>
      <c r="AP112" s="52" t="e">
        <f t="shared" si="118"/>
        <v>#N/A</v>
      </c>
      <c r="AQ112" s="53" t="e">
        <f t="shared" si="118"/>
        <v>#N/A</v>
      </c>
      <c r="AR112" s="54" t="e">
        <f t="shared" si="118"/>
        <v>#N/A</v>
      </c>
      <c r="AS112" s="316">
        <f t="shared" si="180"/>
        <v>0</v>
      </c>
      <c r="AT112" s="106">
        <f>_xlfn.IFNA($M112/VLOOKUP($BT112,'Unit information'!$A$2:$K$29,2,FALSE)*R112,0)*(1+$E$9)</f>
        <v>0</v>
      </c>
      <c r="AU112" s="107">
        <f>_xlfn.IFNA($M112/VLOOKUP($BT112,'Unit information'!$A$2:$K$29,3,FALSE)*S112,0)*(1+$E$9)</f>
        <v>0</v>
      </c>
      <c r="AV112" s="107">
        <f>_xlfn.IFNA($M112/VLOOKUP($BT112,'Unit information'!$A$2:$K$29,4,FALSE)*T112,0)*(1+$E$9)</f>
        <v>0</v>
      </c>
      <c r="AW112" s="107">
        <f>_xlfn.IFNA($M112/VLOOKUP($BT112,'Unit information'!$A$2:$K$29,5,FALSE)*U112,0)*(1+$E$9)</f>
        <v>0</v>
      </c>
      <c r="AX112" s="107">
        <f>_xlfn.IFNA($M112/VLOOKUP($BU112,'Unit information'!$A$2:$K$29,6,FALSE)*V112,0)*(1+$E$9)</f>
        <v>0</v>
      </c>
      <c r="AY112" s="107">
        <f>_xlfn.IFNA($M112/VLOOKUP($BU112,'Unit information'!$A$2:$K$29,7,FALSE)*W112,0)*(1+$E$9)</f>
        <v>0</v>
      </c>
      <c r="AZ112" s="107">
        <f>_xlfn.IFNA($M112/VLOOKUP($BU112,'Unit information'!$A$2:$K$29,8,FALSE)*X112,0)*(1+$E$9)</f>
        <v>0</v>
      </c>
      <c r="BA112" s="107">
        <f>_xlfn.IFNA($M112/VLOOKUP($BU112,'Unit information'!$A$2:$K$29,9,FALSE)*Y112,0)*(1+$E$9)</f>
        <v>0</v>
      </c>
      <c r="BB112" s="107">
        <f>_xlfn.IFNA($M112/VLOOKUP($BV112,'Unit information'!$A$2:$K$29,10,FALSE)*Z112,0)*(1+$E$9)</f>
        <v>0</v>
      </c>
      <c r="BC112" s="108">
        <f>_xlfn.IFNA($M112/VLOOKUP($BV112,'Unit information'!$A$2:$K$29,11,FALSE)*AA112,0)*(1+$E$9)</f>
        <v>0</v>
      </c>
      <c r="BD112" s="106">
        <f t="shared" si="100"/>
        <v>0</v>
      </c>
      <c r="BE112" s="107">
        <f t="shared" si="101"/>
        <v>0</v>
      </c>
      <c r="BF112" s="108">
        <f t="shared" si="102"/>
        <v>0</v>
      </c>
      <c r="BG112" s="25" t="e">
        <f t="shared" si="103"/>
        <v>#N/A</v>
      </c>
      <c r="BH112" s="25" t="e">
        <f t="shared" si="104"/>
        <v>#N/A</v>
      </c>
      <c r="BI112" s="25" t="e">
        <f t="shared" si="105"/>
        <v>#N/A</v>
      </c>
      <c r="BJ112" s="27" t="e">
        <f t="shared" si="106"/>
        <v>#N/A</v>
      </c>
      <c r="BK112" s="18" t="e">
        <f t="shared" si="107"/>
        <v>#N/A</v>
      </c>
      <c r="BL112" s="18" t="e">
        <f t="shared" si="108"/>
        <v>#N/A</v>
      </c>
      <c r="BM112" s="28" t="e">
        <f t="shared" si="166"/>
        <v>#N/A</v>
      </c>
      <c r="BN112" s="33">
        <f>HLOOKUP("maximum population",Miscelaneous!$C$1:$C$33,CH112+3,FALSE)</f>
        <v>240</v>
      </c>
      <c r="BO112" s="14">
        <f t="shared" si="119"/>
        <v>32</v>
      </c>
      <c r="BP112" s="14">
        <f t="shared" si="120"/>
        <v>0</v>
      </c>
      <c r="BQ112" s="14">
        <f t="shared" si="121"/>
        <v>208</v>
      </c>
      <c r="BR112" s="34" t="e">
        <f>HLOOKUP(J112,Villagers!$B$1:$V$33,L112+3,FALSE)-HLOOKUP(J112,Villagers!$B$1:$V$33,L112+2,FALSE)</f>
        <v>#N/A</v>
      </c>
      <c r="BS112" s="49">
        <f t="shared" si="122"/>
        <v>1</v>
      </c>
      <c r="BT112" s="50">
        <f t="shared" si="123"/>
        <v>0</v>
      </c>
      <c r="BU112" s="50">
        <f t="shared" si="124"/>
        <v>0</v>
      </c>
      <c r="BV112" s="50">
        <f t="shared" si="125"/>
        <v>0</v>
      </c>
      <c r="BW112" s="50">
        <f t="shared" si="182"/>
        <v>0</v>
      </c>
      <c r="BX112" s="50">
        <f t="shared" si="183"/>
        <v>0</v>
      </c>
      <c r="BY112" s="50">
        <f t="shared" si="183"/>
        <v>0</v>
      </c>
      <c r="BZ112" s="50">
        <f t="shared" si="167"/>
        <v>0</v>
      </c>
      <c r="CA112" s="50">
        <f t="shared" si="168"/>
        <v>0</v>
      </c>
      <c r="CB112" s="50">
        <f t="shared" si="169"/>
        <v>1</v>
      </c>
      <c r="CC112" s="50">
        <f t="shared" si="170"/>
        <v>0</v>
      </c>
      <c r="CD112" s="50">
        <f t="shared" si="171"/>
        <v>0</v>
      </c>
      <c r="CE112" s="50">
        <f t="shared" si="172"/>
        <v>1</v>
      </c>
      <c r="CF112" s="50">
        <f t="shared" si="173"/>
        <v>1</v>
      </c>
      <c r="CG112" s="50">
        <f t="shared" si="174"/>
        <v>1</v>
      </c>
      <c r="CH112" s="50">
        <f t="shared" si="175"/>
        <v>1</v>
      </c>
      <c r="CI112" s="50">
        <f t="shared" si="176"/>
        <v>1</v>
      </c>
      <c r="CJ112" s="50">
        <f t="shared" si="177"/>
        <v>1</v>
      </c>
      <c r="CK112" s="50">
        <f t="shared" si="177"/>
        <v>0</v>
      </c>
      <c r="CL112" s="50">
        <f t="shared" si="177"/>
        <v>0</v>
      </c>
      <c r="CM112" s="51">
        <f t="shared" si="184"/>
        <v>0</v>
      </c>
      <c r="CN112" s="33">
        <f>ROUND(IF(BS112=0,0,HLOOKUP(BS$14,Villagers!$B$1:$V$33,BS112+3,FALSE)),)</f>
        <v>5</v>
      </c>
      <c r="CO112" s="14">
        <f>ROUND(IF(BT112=0,0,HLOOKUP(BT$14,Villagers!$B$1:$V$33,BT112+3,FALSE)),)</f>
        <v>0</v>
      </c>
      <c r="CP112" s="14">
        <f>ROUND(IF(BU112=0,0,HLOOKUP(BU$14,Villagers!$B$1:$V$33,BU112+3,FALSE)),)</f>
        <v>0</v>
      </c>
      <c r="CQ112" s="14">
        <f>ROUND(IF(BV112=0,0,HLOOKUP(BV$14,Villagers!$B$1:$V$33,BV112+3,FALSE)),)</f>
        <v>0</v>
      </c>
      <c r="CR112" s="14">
        <f>ROUND(IF(BW112=0,0,HLOOKUP(BW$14,Villagers!$B$1:$V$33,BW112+3,FALSE)),)</f>
        <v>0</v>
      </c>
      <c r="CS112" s="14">
        <f>ROUND(IF(BX112=0,0,HLOOKUP(BX$14,Villagers!$B$1:$V$33,BX112+3,FALSE)),)</f>
        <v>0</v>
      </c>
      <c r="CT112" s="14">
        <f>ROUND(IF(BY112=0,0,HLOOKUP(BY$14,Villagers!$B$1:$V$33,BY112+3,FALSE)),)</f>
        <v>0</v>
      </c>
      <c r="CU112" s="14">
        <f>ROUND(IF(BZ112=0,0,HLOOKUP(BZ$14,Villagers!$B$1:$V$33,BZ112+3,FALSE)),)</f>
        <v>0</v>
      </c>
      <c r="CV112" s="14">
        <f>ROUND(IF(CA112=0,0,HLOOKUP(CA$14,Villagers!$B$1:$V$33,CA112+3,FALSE)),)</f>
        <v>0</v>
      </c>
      <c r="CW112" s="14">
        <f>ROUND(IF(CB112=0,0,HLOOKUP(CB$14,Villagers!$B$1:$V$33,CB112+3,FALSE)),)</f>
        <v>0</v>
      </c>
      <c r="CX112" s="14">
        <f>ROUND(IF(CC112=0,0,HLOOKUP(CC$14,Villagers!$B$1:$V$33,CC112+3,FALSE)),)</f>
        <v>0</v>
      </c>
      <c r="CY112" s="14">
        <f>ROUND(IF(CD112=0,0,HLOOKUP(CD$14,Villagers!$B$1:$V$33,CD112+3,FALSE)),)</f>
        <v>0</v>
      </c>
      <c r="CZ112" s="14">
        <f>ROUND(IF(CE112=0,0,HLOOKUP(CE$14,Villagers!$B$1:$V$33,CE112+3,FALSE)),)</f>
        <v>5</v>
      </c>
      <c r="DA112" s="14">
        <f>ROUND(IF(CF112=0,0,HLOOKUP(CF$14,Villagers!$B$1:$V$33,CF112+3,FALSE)),)</f>
        <v>10</v>
      </c>
      <c r="DB112" s="14">
        <f>ROUND(IF(CG112=0,0,HLOOKUP(CG$14,Villagers!$B$1:$V$33,CG112+3,FALSE)),)</f>
        <v>10</v>
      </c>
      <c r="DC112" s="14">
        <f>ROUND(IF(CH112=0,0,HLOOKUP(CH$14,Villagers!$B$1:$V$33,CH112+3,FALSE)),)</f>
        <v>0</v>
      </c>
      <c r="DD112" s="14">
        <f>ROUND(IF(CI112=0,0,HLOOKUP(CI$14,Villagers!$B$1:$V$33,CI112+3,FALSE)),)</f>
        <v>0</v>
      </c>
      <c r="DE112" s="14">
        <f>ROUND(IF(CJ112=0,0,HLOOKUP(CJ$14,Villagers!$B$1:$V$33,CJ112+3,FALSE)),)</f>
        <v>2</v>
      </c>
      <c r="DF112" s="370">
        <f>ROUND(IF(CK112=0,0,HLOOKUP(CK$14,Villagers!$B$1:$V$33,CK112+3,FALSE)),)</f>
        <v>0</v>
      </c>
      <c r="DG112" s="370">
        <f>ROUND(IF(CL112=0,0,HLOOKUP(CL$14,Villagers!$B$1:$V$33,CL112+3,FALSE)),)</f>
        <v>0</v>
      </c>
      <c r="DH112" s="34">
        <f>ROUND(IF(CM112=0,0,HLOOKUP(CM$14,Villagers!$B$1:$V$33,CM112+3,FALSE)),)</f>
        <v>0</v>
      </c>
      <c r="DI112" s="109">
        <f t="shared" si="155"/>
        <v>0</v>
      </c>
      <c r="DJ112" s="50">
        <f t="shared" si="156"/>
        <v>0</v>
      </c>
      <c r="DK112" s="50">
        <f t="shared" si="157"/>
        <v>0</v>
      </c>
      <c r="DL112" s="50">
        <f t="shared" si="158"/>
        <v>0</v>
      </c>
      <c r="DM112" s="50">
        <f t="shared" si="159"/>
        <v>0</v>
      </c>
      <c r="DN112" s="50">
        <f t="shared" si="160"/>
        <v>0</v>
      </c>
      <c r="DO112" s="50">
        <f t="shared" si="161"/>
        <v>0</v>
      </c>
      <c r="DP112" s="50">
        <f t="shared" si="162"/>
        <v>0</v>
      </c>
      <c r="DQ112" s="50">
        <f t="shared" si="140"/>
        <v>0</v>
      </c>
      <c r="DR112" s="50">
        <f t="shared" si="141"/>
        <v>0</v>
      </c>
      <c r="DS112" s="96">
        <f>Miscelaneous!$D$4*Miscelaneous!$D$2^($CI112-1)</f>
        <v>1000</v>
      </c>
      <c r="DT112" s="333">
        <f t="shared" si="109"/>
        <v>1</v>
      </c>
      <c r="DU112" s="81">
        <v>1</v>
      </c>
      <c r="DV112" s="79">
        <f t="shared" si="142"/>
        <v>0</v>
      </c>
      <c r="DW112" s="79">
        <f t="shared" si="143"/>
        <v>0</v>
      </c>
      <c r="DX112" s="79">
        <f t="shared" si="144"/>
        <v>0</v>
      </c>
      <c r="DY112" s="79">
        <v>1</v>
      </c>
      <c r="DZ112" s="79">
        <f t="shared" si="145"/>
        <v>0</v>
      </c>
      <c r="EA112" s="79">
        <f t="shared" si="146"/>
        <v>0</v>
      </c>
      <c r="EB112" s="79">
        <f t="shared" si="147"/>
        <v>0</v>
      </c>
      <c r="EC112" s="79">
        <f t="shared" si="148"/>
        <v>0</v>
      </c>
      <c r="ED112" s="79">
        <v>1</v>
      </c>
      <c r="EE112" s="79">
        <v>1</v>
      </c>
      <c r="EF112" s="79">
        <f t="shared" si="149"/>
        <v>0</v>
      </c>
      <c r="EG112" s="79">
        <v>1</v>
      </c>
      <c r="EH112" s="79">
        <v>1</v>
      </c>
      <c r="EI112" s="79">
        <v>1</v>
      </c>
      <c r="EJ112" s="79">
        <v>1</v>
      </c>
      <c r="EK112" s="79">
        <v>1</v>
      </c>
      <c r="EL112" s="79">
        <v>1</v>
      </c>
      <c r="EM112" s="143">
        <f t="shared" si="150"/>
        <v>0</v>
      </c>
      <c r="EN112" s="143">
        <f t="shared" si="151"/>
        <v>0</v>
      </c>
      <c r="EO112" s="82">
        <f t="shared" si="152"/>
        <v>0</v>
      </c>
    </row>
    <row r="113" spans="1:145" x14ac:dyDescent="0.25">
      <c r="A113">
        <v>99</v>
      </c>
      <c r="B113" s="172" t="e">
        <f t="shared" si="110"/>
        <v>#N/A</v>
      </c>
      <c r="C113" s="121" t="e">
        <f t="shared" si="89"/>
        <v>#N/A</v>
      </c>
      <c r="D113" s="122" t="e">
        <f t="shared" si="90"/>
        <v>#N/A</v>
      </c>
      <c r="E113" s="122" t="e">
        <f t="shared" si="91"/>
        <v>#N/A</v>
      </c>
      <c r="F113" s="176" t="e">
        <f t="shared" si="92"/>
        <v>#N/A</v>
      </c>
      <c r="G113" s="121">
        <f t="shared" si="111"/>
        <v>208</v>
      </c>
      <c r="H113" s="176" t="e">
        <f t="shared" si="112"/>
        <v>#N/A</v>
      </c>
      <c r="I113" s="48">
        <v>1</v>
      </c>
      <c r="J113" s="39"/>
      <c r="K113" s="350">
        <v>1</v>
      </c>
      <c r="L113" s="34" t="e">
        <f t="shared" si="93"/>
        <v>#N/A</v>
      </c>
      <c r="M113" s="38" t="e">
        <f>(HLOOKUP(J113,'Construction Times'!$B$3:$W$34,L113+2,FALSE)*HLOOKUP("hq modifier",'Construction Times'!$W$3:$W$34,BS113+2,FALSE))*(1-$H$9)</f>
        <v>#N/A</v>
      </c>
      <c r="N113" s="443" t="e">
        <f t="shared" si="113"/>
        <v>#N/A</v>
      </c>
      <c r="O113" s="444"/>
      <c r="P113" s="447" t="e">
        <f t="shared" si="114"/>
        <v>#N/A</v>
      </c>
      <c r="Q113" s="448"/>
      <c r="R113" s="103">
        <f t="shared" si="153"/>
        <v>0</v>
      </c>
      <c r="S113" s="104">
        <f t="shared" si="153"/>
        <v>0</v>
      </c>
      <c r="T113" s="104">
        <f t="shared" si="154"/>
        <v>0</v>
      </c>
      <c r="U113" s="104">
        <f t="shared" si="154"/>
        <v>0</v>
      </c>
      <c r="V113" s="104">
        <f t="shared" si="154"/>
        <v>9.9999999999999995E-8</v>
      </c>
      <c r="W113" s="104">
        <f t="shared" si="154"/>
        <v>0</v>
      </c>
      <c r="X113" s="104">
        <f t="shared" si="185"/>
        <v>0</v>
      </c>
      <c r="Y113" s="104">
        <f t="shared" si="185"/>
        <v>9.9999999999999995E-8</v>
      </c>
      <c r="Z113" s="104">
        <f t="shared" si="185"/>
        <v>9.9999999999999995E-8</v>
      </c>
      <c r="AA113" s="105">
        <f t="shared" si="185"/>
        <v>9.9999999999999995E-8</v>
      </c>
      <c r="AB113" s="101" t="e">
        <f>$DT113*HLOOKUP($J113,'Construction Costs (timber)'!$B$1:$V$32,'Construction Planner'!$L113+2,FALSE)</f>
        <v>#N/A</v>
      </c>
      <c r="AC113" s="14" t="e">
        <f>$DT113*HLOOKUP($J113,'Construction Costs (clay)'!$B$1:$V$32,'Construction Planner'!$L113+2,FALSE)</f>
        <v>#N/A</v>
      </c>
      <c r="AD113" s="14" t="e">
        <f>$DT113*HLOOKUP($J113,'Construction Costs (iron)'!$B$1:$V$32,'Construction Planner'!$L113+2,FALSE)</f>
        <v>#N/A</v>
      </c>
      <c r="AE113" s="34" t="e">
        <f t="shared" si="163"/>
        <v>#N/A</v>
      </c>
      <c r="AF113" s="33" t="e">
        <f t="shared" si="94"/>
        <v>#N/A</v>
      </c>
      <c r="AG113" s="14" t="e">
        <f t="shared" si="95"/>
        <v>#N/A</v>
      </c>
      <c r="AH113" s="14" t="e">
        <f t="shared" si="96"/>
        <v>#N/A</v>
      </c>
      <c r="AI113" s="34" t="e">
        <f t="shared" si="164"/>
        <v>#N/A</v>
      </c>
      <c r="AJ113" s="49" t="e">
        <f t="shared" si="115"/>
        <v>#N/A</v>
      </c>
      <c r="AK113" s="49" t="e">
        <f t="shared" si="116"/>
        <v>#N/A</v>
      </c>
      <c r="AL113" s="49" t="e">
        <f t="shared" si="117"/>
        <v>#N/A</v>
      </c>
      <c r="AM113" s="25">
        <f t="shared" si="97"/>
        <v>30</v>
      </c>
      <c r="AN113" s="25">
        <f t="shared" si="98"/>
        <v>30</v>
      </c>
      <c r="AO113" s="25">
        <f t="shared" si="99"/>
        <v>30</v>
      </c>
      <c r="AP113" s="52" t="e">
        <f t="shared" si="118"/>
        <v>#N/A</v>
      </c>
      <c r="AQ113" s="53" t="e">
        <f t="shared" si="118"/>
        <v>#N/A</v>
      </c>
      <c r="AR113" s="54" t="e">
        <f t="shared" si="118"/>
        <v>#N/A</v>
      </c>
      <c r="AS113" s="316">
        <f t="shared" si="180"/>
        <v>0</v>
      </c>
      <c r="AT113" s="106">
        <f>_xlfn.IFNA($M113/VLOOKUP($BT113,'Unit information'!$A$2:$K$29,2,FALSE)*R113,0)*(1+$E$9)</f>
        <v>0</v>
      </c>
      <c r="AU113" s="107">
        <f>_xlfn.IFNA($M113/VLOOKUP($BT113,'Unit information'!$A$2:$K$29,3,FALSE)*S113,0)*(1+$E$9)</f>
        <v>0</v>
      </c>
      <c r="AV113" s="107">
        <f>_xlfn.IFNA($M113/VLOOKUP($BT113,'Unit information'!$A$2:$K$29,4,FALSE)*T113,0)*(1+$E$9)</f>
        <v>0</v>
      </c>
      <c r="AW113" s="107">
        <f>_xlfn.IFNA($M113/VLOOKUP($BT113,'Unit information'!$A$2:$K$29,5,FALSE)*U113,0)*(1+$E$9)</f>
        <v>0</v>
      </c>
      <c r="AX113" s="107">
        <f>_xlfn.IFNA($M113/VLOOKUP($BU113,'Unit information'!$A$2:$K$29,6,FALSE)*V113,0)*(1+$E$9)</f>
        <v>0</v>
      </c>
      <c r="AY113" s="107">
        <f>_xlfn.IFNA($M113/VLOOKUP($BU113,'Unit information'!$A$2:$K$29,7,FALSE)*W113,0)*(1+$E$9)</f>
        <v>0</v>
      </c>
      <c r="AZ113" s="107">
        <f>_xlfn.IFNA($M113/VLOOKUP($BU113,'Unit information'!$A$2:$K$29,8,FALSE)*X113,0)*(1+$E$9)</f>
        <v>0</v>
      </c>
      <c r="BA113" s="107">
        <f>_xlfn.IFNA($M113/VLOOKUP($BU113,'Unit information'!$A$2:$K$29,9,FALSE)*Y113,0)*(1+$E$9)</f>
        <v>0</v>
      </c>
      <c r="BB113" s="107">
        <f>_xlfn.IFNA($M113/VLOOKUP($BV113,'Unit information'!$A$2:$K$29,10,FALSE)*Z113,0)*(1+$E$9)</f>
        <v>0</v>
      </c>
      <c r="BC113" s="108">
        <f>_xlfn.IFNA($M113/VLOOKUP($BV113,'Unit information'!$A$2:$K$29,11,FALSE)*AA113,0)*(1+$E$9)</f>
        <v>0</v>
      </c>
      <c r="BD113" s="106">
        <f t="shared" si="100"/>
        <v>0</v>
      </c>
      <c r="BE113" s="107">
        <f t="shared" si="101"/>
        <v>0</v>
      </c>
      <c r="BF113" s="108">
        <f t="shared" si="102"/>
        <v>0</v>
      </c>
      <c r="BG113" s="25" t="e">
        <f t="shared" si="103"/>
        <v>#N/A</v>
      </c>
      <c r="BH113" s="25" t="e">
        <f t="shared" si="104"/>
        <v>#N/A</v>
      </c>
      <c r="BI113" s="25" t="e">
        <f t="shared" si="105"/>
        <v>#N/A</v>
      </c>
      <c r="BJ113" s="27" t="e">
        <f t="shared" si="106"/>
        <v>#N/A</v>
      </c>
      <c r="BK113" s="18" t="e">
        <f t="shared" si="107"/>
        <v>#N/A</v>
      </c>
      <c r="BL113" s="18" t="e">
        <f t="shared" si="108"/>
        <v>#N/A</v>
      </c>
      <c r="BM113" s="28" t="e">
        <f t="shared" si="166"/>
        <v>#N/A</v>
      </c>
      <c r="BN113" s="33">
        <f>HLOOKUP("maximum population",Miscelaneous!$C$1:$C$33,CH113+3,FALSE)</f>
        <v>240</v>
      </c>
      <c r="BO113" s="14">
        <f t="shared" si="119"/>
        <v>32</v>
      </c>
      <c r="BP113" s="14">
        <f t="shared" si="120"/>
        <v>0</v>
      </c>
      <c r="BQ113" s="14">
        <f t="shared" si="121"/>
        <v>208</v>
      </c>
      <c r="BR113" s="34" t="e">
        <f>HLOOKUP(J113,Villagers!$B$1:$V$33,L113+3,FALSE)-HLOOKUP(J113,Villagers!$B$1:$V$33,L113+2,FALSE)</f>
        <v>#N/A</v>
      </c>
      <c r="BS113" s="49">
        <f t="shared" si="122"/>
        <v>1</v>
      </c>
      <c r="BT113" s="50">
        <f t="shared" si="123"/>
        <v>0</v>
      </c>
      <c r="BU113" s="50">
        <f t="shared" si="124"/>
        <v>0</v>
      </c>
      <c r="BV113" s="50">
        <f t="shared" si="125"/>
        <v>0</v>
      </c>
      <c r="BW113" s="50">
        <f t="shared" si="182"/>
        <v>0</v>
      </c>
      <c r="BX113" s="50">
        <f t="shared" si="183"/>
        <v>0</v>
      </c>
      <c r="BY113" s="50">
        <f t="shared" si="183"/>
        <v>0</v>
      </c>
      <c r="BZ113" s="50">
        <f t="shared" si="167"/>
        <v>0</v>
      </c>
      <c r="CA113" s="50">
        <f t="shared" si="168"/>
        <v>0</v>
      </c>
      <c r="CB113" s="50">
        <f t="shared" si="169"/>
        <v>1</v>
      </c>
      <c r="CC113" s="50">
        <f t="shared" si="170"/>
        <v>0</v>
      </c>
      <c r="CD113" s="50">
        <f t="shared" si="171"/>
        <v>0</v>
      </c>
      <c r="CE113" s="50">
        <f t="shared" si="172"/>
        <v>1</v>
      </c>
      <c r="CF113" s="50">
        <f t="shared" si="173"/>
        <v>1</v>
      </c>
      <c r="CG113" s="50">
        <f t="shared" si="174"/>
        <v>1</v>
      </c>
      <c r="CH113" s="50">
        <f t="shared" si="175"/>
        <v>1</v>
      </c>
      <c r="CI113" s="50">
        <f t="shared" si="176"/>
        <v>1</v>
      </c>
      <c r="CJ113" s="50">
        <f t="shared" si="177"/>
        <v>1</v>
      </c>
      <c r="CK113" s="50">
        <f t="shared" si="177"/>
        <v>0</v>
      </c>
      <c r="CL113" s="50">
        <f t="shared" si="177"/>
        <v>0</v>
      </c>
      <c r="CM113" s="51">
        <f t="shared" si="184"/>
        <v>0</v>
      </c>
      <c r="CN113" s="33">
        <f>ROUND(IF(BS113=0,0,HLOOKUP(BS$14,Villagers!$B$1:$V$33,BS113+3,FALSE)),)</f>
        <v>5</v>
      </c>
      <c r="CO113" s="14">
        <f>ROUND(IF(BT113=0,0,HLOOKUP(BT$14,Villagers!$B$1:$V$33,BT113+3,FALSE)),)</f>
        <v>0</v>
      </c>
      <c r="CP113" s="14">
        <f>ROUND(IF(BU113=0,0,HLOOKUP(BU$14,Villagers!$B$1:$V$33,BU113+3,FALSE)),)</f>
        <v>0</v>
      </c>
      <c r="CQ113" s="14">
        <f>ROUND(IF(BV113=0,0,HLOOKUP(BV$14,Villagers!$B$1:$V$33,BV113+3,FALSE)),)</f>
        <v>0</v>
      </c>
      <c r="CR113" s="14">
        <f>ROUND(IF(BW113=0,0,HLOOKUP(BW$14,Villagers!$B$1:$V$33,BW113+3,FALSE)),)</f>
        <v>0</v>
      </c>
      <c r="CS113" s="14">
        <f>ROUND(IF(BX113=0,0,HLOOKUP(BX$14,Villagers!$B$1:$V$33,BX113+3,FALSE)),)</f>
        <v>0</v>
      </c>
      <c r="CT113" s="14">
        <f>ROUND(IF(BY113=0,0,HLOOKUP(BY$14,Villagers!$B$1:$V$33,BY113+3,FALSE)),)</f>
        <v>0</v>
      </c>
      <c r="CU113" s="14">
        <f>ROUND(IF(BZ113=0,0,HLOOKUP(BZ$14,Villagers!$B$1:$V$33,BZ113+3,FALSE)),)</f>
        <v>0</v>
      </c>
      <c r="CV113" s="14">
        <f>ROUND(IF(CA113=0,0,HLOOKUP(CA$14,Villagers!$B$1:$V$33,CA113+3,FALSE)),)</f>
        <v>0</v>
      </c>
      <c r="CW113" s="14">
        <f>ROUND(IF(CB113=0,0,HLOOKUP(CB$14,Villagers!$B$1:$V$33,CB113+3,FALSE)),)</f>
        <v>0</v>
      </c>
      <c r="CX113" s="14">
        <f>ROUND(IF(CC113=0,0,HLOOKUP(CC$14,Villagers!$B$1:$V$33,CC113+3,FALSE)),)</f>
        <v>0</v>
      </c>
      <c r="CY113" s="14">
        <f>ROUND(IF(CD113=0,0,HLOOKUP(CD$14,Villagers!$B$1:$V$33,CD113+3,FALSE)),)</f>
        <v>0</v>
      </c>
      <c r="CZ113" s="14">
        <f>ROUND(IF(CE113=0,0,HLOOKUP(CE$14,Villagers!$B$1:$V$33,CE113+3,FALSE)),)</f>
        <v>5</v>
      </c>
      <c r="DA113" s="14">
        <f>ROUND(IF(CF113=0,0,HLOOKUP(CF$14,Villagers!$B$1:$V$33,CF113+3,FALSE)),)</f>
        <v>10</v>
      </c>
      <c r="DB113" s="14">
        <f>ROUND(IF(CG113=0,0,HLOOKUP(CG$14,Villagers!$B$1:$V$33,CG113+3,FALSE)),)</f>
        <v>10</v>
      </c>
      <c r="DC113" s="14">
        <f>ROUND(IF(CH113=0,0,HLOOKUP(CH$14,Villagers!$B$1:$V$33,CH113+3,FALSE)),)</f>
        <v>0</v>
      </c>
      <c r="DD113" s="14">
        <f>ROUND(IF(CI113=0,0,HLOOKUP(CI$14,Villagers!$B$1:$V$33,CI113+3,FALSE)),)</f>
        <v>0</v>
      </c>
      <c r="DE113" s="14">
        <f>ROUND(IF(CJ113=0,0,HLOOKUP(CJ$14,Villagers!$B$1:$V$33,CJ113+3,FALSE)),)</f>
        <v>2</v>
      </c>
      <c r="DF113" s="370">
        <f>ROUND(IF(CK113=0,0,HLOOKUP(CK$14,Villagers!$B$1:$V$33,CK113+3,FALSE)),)</f>
        <v>0</v>
      </c>
      <c r="DG113" s="370">
        <f>ROUND(IF(CL113=0,0,HLOOKUP(CL$14,Villagers!$B$1:$V$33,CL113+3,FALSE)),)</f>
        <v>0</v>
      </c>
      <c r="DH113" s="34">
        <f>ROUND(IF(CM113=0,0,HLOOKUP(CM$14,Villagers!$B$1:$V$33,CM113+3,FALSE)),)</f>
        <v>0</v>
      </c>
      <c r="DI113" s="109">
        <f t="shared" si="155"/>
        <v>0</v>
      </c>
      <c r="DJ113" s="50">
        <f t="shared" si="156"/>
        <v>0</v>
      </c>
      <c r="DK113" s="50">
        <f t="shared" si="157"/>
        <v>0</v>
      </c>
      <c r="DL113" s="50">
        <f t="shared" si="158"/>
        <v>0</v>
      </c>
      <c r="DM113" s="50">
        <f t="shared" si="159"/>
        <v>0</v>
      </c>
      <c r="DN113" s="50">
        <f t="shared" si="160"/>
        <v>0</v>
      </c>
      <c r="DO113" s="50">
        <f t="shared" si="161"/>
        <v>0</v>
      </c>
      <c r="DP113" s="50">
        <f t="shared" si="162"/>
        <v>0</v>
      </c>
      <c r="DQ113" s="50">
        <f t="shared" si="140"/>
        <v>0</v>
      </c>
      <c r="DR113" s="50">
        <f t="shared" si="141"/>
        <v>0</v>
      </c>
      <c r="DS113" s="96">
        <f>Miscelaneous!$D$4*Miscelaneous!$D$2^($CI113-1)</f>
        <v>1000</v>
      </c>
      <c r="DT113" s="333">
        <f t="shared" si="109"/>
        <v>1</v>
      </c>
      <c r="DU113" s="81">
        <v>1</v>
      </c>
      <c r="DV113" s="79">
        <f t="shared" si="142"/>
        <v>0</v>
      </c>
      <c r="DW113" s="79">
        <f t="shared" si="143"/>
        <v>0</v>
      </c>
      <c r="DX113" s="79">
        <f t="shared" si="144"/>
        <v>0</v>
      </c>
      <c r="DY113" s="79">
        <v>1</v>
      </c>
      <c r="DZ113" s="79">
        <f t="shared" si="145"/>
        <v>0</v>
      </c>
      <c r="EA113" s="79">
        <f t="shared" si="146"/>
        <v>0</v>
      </c>
      <c r="EB113" s="79">
        <f t="shared" si="147"/>
        <v>0</v>
      </c>
      <c r="EC113" s="79">
        <f t="shared" si="148"/>
        <v>0</v>
      </c>
      <c r="ED113" s="79">
        <v>1</v>
      </c>
      <c r="EE113" s="79">
        <v>1</v>
      </c>
      <c r="EF113" s="79">
        <f t="shared" si="149"/>
        <v>0</v>
      </c>
      <c r="EG113" s="79">
        <v>1</v>
      </c>
      <c r="EH113" s="79">
        <v>1</v>
      </c>
      <c r="EI113" s="79">
        <v>1</v>
      </c>
      <c r="EJ113" s="79">
        <v>1</v>
      </c>
      <c r="EK113" s="79">
        <v>1</v>
      </c>
      <c r="EL113" s="79">
        <v>1</v>
      </c>
      <c r="EM113" s="143">
        <f t="shared" si="150"/>
        <v>0</v>
      </c>
      <c r="EN113" s="143">
        <f t="shared" si="151"/>
        <v>0</v>
      </c>
      <c r="EO113" s="82">
        <f t="shared" si="152"/>
        <v>0</v>
      </c>
    </row>
    <row r="114" spans="1:145" x14ac:dyDescent="0.25">
      <c r="A114">
        <v>100</v>
      </c>
      <c r="B114" s="172" t="e">
        <f t="shared" si="110"/>
        <v>#N/A</v>
      </c>
      <c r="C114" s="121" t="e">
        <f t="shared" si="89"/>
        <v>#N/A</v>
      </c>
      <c r="D114" s="122" t="e">
        <f t="shared" si="90"/>
        <v>#N/A</v>
      </c>
      <c r="E114" s="122" t="e">
        <f t="shared" si="91"/>
        <v>#N/A</v>
      </c>
      <c r="F114" s="176" t="e">
        <f t="shared" si="92"/>
        <v>#N/A</v>
      </c>
      <c r="G114" s="121">
        <f t="shared" si="111"/>
        <v>208</v>
      </c>
      <c r="H114" s="176" t="e">
        <f t="shared" si="112"/>
        <v>#N/A</v>
      </c>
      <c r="I114" s="48">
        <v>1</v>
      </c>
      <c r="J114" s="39"/>
      <c r="K114" s="350">
        <v>1</v>
      </c>
      <c r="L114" s="34" t="e">
        <f t="shared" si="93"/>
        <v>#N/A</v>
      </c>
      <c r="M114" s="38" t="e">
        <f>(HLOOKUP(J114,'Construction Times'!$B$3:$W$34,L114+2,FALSE)*HLOOKUP("hq modifier",'Construction Times'!$W$3:$W$34,BS114+2,FALSE))*(1-$H$9)</f>
        <v>#N/A</v>
      </c>
      <c r="N114" s="443" t="e">
        <f t="shared" si="113"/>
        <v>#N/A</v>
      </c>
      <c r="O114" s="444"/>
      <c r="P114" s="447" t="e">
        <f t="shared" si="114"/>
        <v>#N/A</v>
      </c>
      <c r="Q114" s="448"/>
      <c r="R114" s="103">
        <f t="shared" si="153"/>
        <v>0</v>
      </c>
      <c r="S114" s="104">
        <f t="shared" si="153"/>
        <v>0</v>
      </c>
      <c r="T114" s="104">
        <f t="shared" si="154"/>
        <v>0</v>
      </c>
      <c r="U114" s="104">
        <f t="shared" si="154"/>
        <v>0</v>
      </c>
      <c r="V114" s="104">
        <f t="shared" si="154"/>
        <v>9.9999999999999995E-8</v>
      </c>
      <c r="W114" s="104">
        <f t="shared" si="154"/>
        <v>0</v>
      </c>
      <c r="X114" s="104">
        <f t="shared" si="185"/>
        <v>0</v>
      </c>
      <c r="Y114" s="104">
        <f t="shared" si="185"/>
        <v>9.9999999999999995E-8</v>
      </c>
      <c r="Z114" s="104">
        <f t="shared" si="185"/>
        <v>9.9999999999999995E-8</v>
      </c>
      <c r="AA114" s="105">
        <f t="shared" si="185"/>
        <v>9.9999999999999995E-8</v>
      </c>
      <c r="AB114" s="101" t="e">
        <f>$DT114*HLOOKUP($J114,'Construction Costs (timber)'!$B$1:$V$32,'Construction Planner'!$L114+2,FALSE)</f>
        <v>#N/A</v>
      </c>
      <c r="AC114" s="14" t="e">
        <f>$DT114*HLOOKUP($J114,'Construction Costs (clay)'!$B$1:$V$32,'Construction Planner'!$L114+2,FALSE)</f>
        <v>#N/A</v>
      </c>
      <c r="AD114" s="14" t="e">
        <f>$DT114*HLOOKUP($J114,'Construction Costs (iron)'!$B$1:$V$32,'Construction Planner'!$L114+2,FALSE)</f>
        <v>#N/A</v>
      </c>
      <c r="AE114" s="34" t="e">
        <f t="shared" si="163"/>
        <v>#N/A</v>
      </c>
      <c r="AF114" s="33" t="e">
        <f t="shared" si="94"/>
        <v>#N/A</v>
      </c>
      <c r="AG114" s="14" t="e">
        <f t="shared" si="95"/>
        <v>#N/A</v>
      </c>
      <c r="AH114" s="14" t="e">
        <f t="shared" si="96"/>
        <v>#N/A</v>
      </c>
      <c r="AI114" s="34" t="e">
        <f t="shared" si="164"/>
        <v>#N/A</v>
      </c>
      <c r="AJ114" s="49" t="e">
        <f t="shared" si="115"/>
        <v>#N/A</v>
      </c>
      <c r="AK114" s="49" t="e">
        <f t="shared" si="116"/>
        <v>#N/A</v>
      </c>
      <c r="AL114" s="49" t="e">
        <f t="shared" si="117"/>
        <v>#N/A</v>
      </c>
      <c r="AM114" s="25">
        <f t="shared" si="97"/>
        <v>30</v>
      </c>
      <c r="AN114" s="25">
        <f t="shared" si="98"/>
        <v>30</v>
      </c>
      <c r="AO114" s="25">
        <f t="shared" si="99"/>
        <v>30</v>
      </c>
      <c r="AP114" s="52" t="e">
        <f t="shared" si="118"/>
        <v>#N/A</v>
      </c>
      <c r="AQ114" s="53" t="e">
        <f t="shared" si="118"/>
        <v>#N/A</v>
      </c>
      <c r="AR114" s="54" t="e">
        <f t="shared" si="118"/>
        <v>#N/A</v>
      </c>
      <c r="AS114" s="316">
        <f t="shared" si="180"/>
        <v>0</v>
      </c>
      <c r="AT114" s="106">
        <f>_xlfn.IFNA($M114/VLOOKUP($BT114,'Unit information'!$A$2:$K$29,2,FALSE)*R114,0)*(1+$E$9)</f>
        <v>0</v>
      </c>
      <c r="AU114" s="107">
        <f>_xlfn.IFNA($M114/VLOOKUP($BT114,'Unit information'!$A$2:$K$29,3,FALSE)*S114,0)*(1+$E$9)</f>
        <v>0</v>
      </c>
      <c r="AV114" s="107">
        <f>_xlfn.IFNA($M114/VLOOKUP($BT114,'Unit information'!$A$2:$K$29,4,FALSE)*T114,0)*(1+$E$9)</f>
        <v>0</v>
      </c>
      <c r="AW114" s="107">
        <f>_xlfn.IFNA($M114/VLOOKUP($BT114,'Unit information'!$A$2:$K$29,5,FALSE)*U114,0)*(1+$E$9)</f>
        <v>0</v>
      </c>
      <c r="AX114" s="107">
        <f>_xlfn.IFNA($M114/VLOOKUP($BU114,'Unit information'!$A$2:$K$29,6,FALSE)*V114,0)*(1+$E$9)</f>
        <v>0</v>
      </c>
      <c r="AY114" s="107">
        <f>_xlfn.IFNA($M114/VLOOKUP($BU114,'Unit information'!$A$2:$K$29,7,FALSE)*W114,0)*(1+$E$9)</f>
        <v>0</v>
      </c>
      <c r="AZ114" s="107">
        <f>_xlfn.IFNA($M114/VLOOKUP($BU114,'Unit information'!$A$2:$K$29,8,FALSE)*X114,0)*(1+$E$9)</f>
        <v>0</v>
      </c>
      <c r="BA114" s="107">
        <f>_xlfn.IFNA($M114/VLOOKUP($BU114,'Unit information'!$A$2:$K$29,9,FALSE)*Y114,0)*(1+$E$9)</f>
        <v>0</v>
      </c>
      <c r="BB114" s="107">
        <f>_xlfn.IFNA($M114/VLOOKUP($BV114,'Unit information'!$A$2:$K$29,10,FALSE)*Z114,0)*(1+$E$9)</f>
        <v>0</v>
      </c>
      <c r="BC114" s="108">
        <f>_xlfn.IFNA($M114/VLOOKUP($BV114,'Unit information'!$A$2:$K$29,11,FALSE)*AA114,0)*(1+$E$9)</f>
        <v>0</v>
      </c>
      <c r="BD114" s="106">
        <f t="shared" si="100"/>
        <v>0</v>
      </c>
      <c r="BE114" s="107">
        <f t="shared" si="101"/>
        <v>0</v>
      </c>
      <c r="BF114" s="108">
        <f t="shared" si="102"/>
        <v>0</v>
      </c>
      <c r="BG114" s="25" t="e">
        <f t="shared" si="103"/>
        <v>#N/A</v>
      </c>
      <c r="BH114" s="25" t="e">
        <f t="shared" si="104"/>
        <v>#N/A</v>
      </c>
      <c r="BI114" s="25" t="e">
        <f t="shared" si="105"/>
        <v>#N/A</v>
      </c>
      <c r="BJ114" s="27" t="e">
        <f t="shared" si="106"/>
        <v>#N/A</v>
      </c>
      <c r="BK114" s="18" t="e">
        <f t="shared" si="107"/>
        <v>#N/A</v>
      </c>
      <c r="BL114" s="18" t="e">
        <f t="shared" si="108"/>
        <v>#N/A</v>
      </c>
      <c r="BM114" s="28" t="e">
        <f t="shared" si="166"/>
        <v>#N/A</v>
      </c>
      <c r="BN114" s="33">
        <f>HLOOKUP("maximum population",Miscelaneous!$C$1:$C$33,CH114+3,FALSE)</f>
        <v>240</v>
      </c>
      <c r="BO114" s="14">
        <f t="shared" si="119"/>
        <v>32</v>
      </c>
      <c r="BP114" s="14">
        <f t="shared" si="120"/>
        <v>0</v>
      </c>
      <c r="BQ114" s="14">
        <f t="shared" si="121"/>
        <v>208</v>
      </c>
      <c r="BR114" s="34" t="e">
        <f>HLOOKUP(J114,Villagers!$B$1:$V$33,L114+3,FALSE)-HLOOKUP(J114,Villagers!$B$1:$V$33,L114+2,FALSE)</f>
        <v>#N/A</v>
      </c>
      <c r="BS114" s="49">
        <f t="shared" si="122"/>
        <v>1</v>
      </c>
      <c r="BT114" s="50">
        <f t="shared" si="123"/>
        <v>0</v>
      </c>
      <c r="BU114" s="50">
        <f t="shared" si="124"/>
        <v>0</v>
      </c>
      <c r="BV114" s="50">
        <f t="shared" si="125"/>
        <v>0</v>
      </c>
      <c r="BW114" s="50">
        <f t="shared" si="182"/>
        <v>0</v>
      </c>
      <c r="BX114" s="50">
        <f t="shared" si="183"/>
        <v>0</v>
      </c>
      <c r="BY114" s="50">
        <f t="shared" si="183"/>
        <v>0</v>
      </c>
      <c r="BZ114" s="50">
        <f t="shared" si="167"/>
        <v>0</v>
      </c>
      <c r="CA114" s="50">
        <f t="shared" si="168"/>
        <v>0</v>
      </c>
      <c r="CB114" s="50">
        <f t="shared" si="169"/>
        <v>1</v>
      </c>
      <c r="CC114" s="50">
        <f t="shared" si="170"/>
        <v>0</v>
      </c>
      <c r="CD114" s="50">
        <f t="shared" si="171"/>
        <v>0</v>
      </c>
      <c r="CE114" s="50">
        <f t="shared" si="172"/>
        <v>1</v>
      </c>
      <c r="CF114" s="50">
        <f t="shared" si="173"/>
        <v>1</v>
      </c>
      <c r="CG114" s="50">
        <f t="shared" si="174"/>
        <v>1</v>
      </c>
      <c r="CH114" s="50">
        <f t="shared" si="175"/>
        <v>1</v>
      </c>
      <c r="CI114" s="50">
        <f t="shared" si="176"/>
        <v>1</v>
      </c>
      <c r="CJ114" s="50">
        <f t="shared" si="177"/>
        <v>1</v>
      </c>
      <c r="CK114" s="50">
        <f t="shared" si="177"/>
        <v>0</v>
      </c>
      <c r="CL114" s="50">
        <f t="shared" si="177"/>
        <v>0</v>
      </c>
      <c r="CM114" s="51">
        <f t="shared" si="178"/>
        <v>0</v>
      </c>
      <c r="CN114" s="33">
        <f>ROUND(IF(BS114=0,0,HLOOKUP(BS$14,Villagers!$B$1:$V$33,BS114+3,FALSE)),)</f>
        <v>5</v>
      </c>
      <c r="CO114" s="14">
        <f>ROUND(IF(BT114=0,0,HLOOKUP(BT$14,Villagers!$B$1:$V$33,BT114+3,FALSE)),)</f>
        <v>0</v>
      </c>
      <c r="CP114" s="14">
        <f>ROUND(IF(BU114=0,0,HLOOKUP(BU$14,Villagers!$B$1:$V$33,BU114+3,FALSE)),)</f>
        <v>0</v>
      </c>
      <c r="CQ114" s="14">
        <f>ROUND(IF(BV114=0,0,HLOOKUP(BV$14,Villagers!$B$1:$V$33,BV114+3,FALSE)),)</f>
        <v>0</v>
      </c>
      <c r="CR114" s="14">
        <f>ROUND(IF(BW114=0,0,HLOOKUP(BW$14,Villagers!$B$1:$V$33,BW114+3,FALSE)),)</f>
        <v>0</v>
      </c>
      <c r="CS114" s="14">
        <f>ROUND(IF(BX114=0,0,HLOOKUP(BX$14,Villagers!$B$1:$V$33,BX114+3,FALSE)),)</f>
        <v>0</v>
      </c>
      <c r="CT114" s="14">
        <f>ROUND(IF(BY114=0,0,HLOOKUP(BY$14,Villagers!$B$1:$V$33,BY114+3,FALSE)),)</f>
        <v>0</v>
      </c>
      <c r="CU114" s="14">
        <f>ROUND(IF(BZ114=0,0,HLOOKUP(BZ$14,Villagers!$B$1:$V$33,BZ114+3,FALSE)),)</f>
        <v>0</v>
      </c>
      <c r="CV114" s="14">
        <f>ROUND(IF(CA114=0,0,HLOOKUP(CA$14,Villagers!$B$1:$V$33,CA114+3,FALSE)),)</f>
        <v>0</v>
      </c>
      <c r="CW114" s="14">
        <f>ROUND(IF(CB114=0,0,HLOOKUP(CB$14,Villagers!$B$1:$V$33,CB114+3,FALSE)),)</f>
        <v>0</v>
      </c>
      <c r="CX114" s="14">
        <f>ROUND(IF(CC114=0,0,HLOOKUP(CC$14,Villagers!$B$1:$V$33,CC114+3,FALSE)),)</f>
        <v>0</v>
      </c>
      <c r="CY114" s="14">
        <f>ROUND(IF(CD114=0,0,HLOOKUP(CD$14,Villagers!$B$1:$V$33,CD114+3,FALSE)),)</f>
        <v>0</v>
      </c>
      <c r="CZ114" s="14">
        <f>ROUND(IF(CE114=0,0,HLOOKUP(CE$14,Villagers!$B$1:$V$33,CE114+3,FALSE)),)</f>
        <v>5</v>
      </c>
      <c r="DA114" s="14">
        <f>ROUND(IF(CF114=0,0,HLOOKUP(CF$14,Villagers!$B$1:$V$33,CF114+3,FALSE)),)</f>
        <v>10</v>
      </c>
      <c r="DB114" s="14">
        <f>ROUND(IF(CG114=0,0,HLOOKUP(CG$14,Villagers!$B$1:$V$33,CG114+3,FALSE)),)</f>
        <v>10</v>
      </c>
      <c r="DC114" s="14">
        <f>ROUND(IF(CH114=0,0,HLOOKUP(CH$14,Villagers!$B$1:$V$33,CH114+3,FALSE)),)</f>
        <v>0</v>
      </c>
      <c r="DD114" s="14">
        <f>ROUND(IF(CI114=0,0,HLOOKUP(CI$14,Villagers!$B$1:$V$33,CI114+3,FALSE)),)</f>
        <v>0</v>
      </c>
      <c r="DE114" s="14">
        <f>ROUND(IF(CJ114=0,0,HLOOKUP(CJ$14,Villagers!$B$1:$V$33,CJ114+3,FALSE)),)</f>
        <v>2</v>
      </c>
      <c r="DF114" s="370">
        <f>ROUND(IF(CK114=0,0,HLOOKUP(CK$14,Villagers!$B$1:$V$33,CK114+3,FALSE)),)</f>
        <v>0</v>
      </c>
      <c r="DG114" s="370">
        <f>ROUND(IF(CL114=0,0,HLOOKUP(CL$14,Villagers!$B$1:$V$33,CL114+3,FALSE)),)</f>
        <v>0</v>
      </c>
      <c r="DH114" s="34">
        <f>ROUND(IF(CM114=0,0,HLOOKUP(CM$14,Villagers!$B$1:$V$33,CM114+3,FALSE)),)</f>
        <v>0</v>
      </c>
      <c r="DI114" s="109">
        <f t="shared" si="155"/>
        <v>0</v>
      </c>
      <c r="DJ114" s="50">
        <f t="shared" si="156"/>
        <v>0</v>
      </c>
      <c r="DK114" s="50">
        <f t="shared" si="157"/>
        <v>0</v>
      </c>
      <c r="DL114" s="50">
        <f t="shared" si="158"/>
        <v>0</v>
      </c>
      <c r="DM114" s="50">
        <f t="shared" si="159"/>
        <v>0</v>
      </c>
      <c r="DN114" s="50">
        <f t="shared" si="160"/>
        <v>0</v>
      </c>
      <c r="DO114" s="50">
        <f t="shared" si="161"/>
        <v>0</v>
      </c>
      <c r="DP114" s="50">
        <f t="shared" si="162"/>
        <v>0</v>
      </c>
      <c r="DQ114" s="50">
        <f t="shared" si="140"/>
        <v>0</v>
      </c>
      <c r="DR114" s="50">
        <f t="shared" si="141"/>
        <v>0</v>
      </c>
      <c r="DS114" s="96">
        <f>Miscelaneous!$D$4*Miscelaneous!$D$2^($CI114-1)</f>
        <v>1000</v>
      </c>
      <c r="DT114" s="333">
        <f t="shared" si="109"/>
        <v>1</v>
      </c>
      <c r="DU114" s="81">
        <v>1</v>
      </c>
      <c r="DV114" s="79">
        <f t="shared" si="142"/>
        <v>0</v>
      </c>
      <c r="DW114" s="79">
        <f t="shared" si="143"/>
        <v>0</v>
      </c>
      <c r="DX114" s="79">
        <f t="shared" si="144"/>
        <v>0</v>
      </c>
      <c r="DY114" s="79">
        <v>1</v>
      </c>
      <c r="DZ114" s="79">
        <f t="shared" si="145"/>
        <v>0</v>
      </c>
      <c r="EA114" s="79">
        <f t="shared" si="146"/>
        <v>0</v>
      </c>
      <c r="EB114" s="79">
        <f t="shared" si="147"/>
        <v>0</v>
      </c>
      <c r="EC114" s="79">
        <f t="shared" si="148"/>
        <v>0</v>
      </c>
      <c r="ED114" s="79">
        <v>1</v>
      </c>
      <c r="EE114" s="79">
        <v>1</v>
      </c>
      <c r="EF114" s="79">
        <f t="shared" si="149"/>
        <v>0</v>
      </c>
      <c r="EG114" s="79">
        <v>1</v>
      </c>
      <c r="EH114" s="79">
        <v>1</v>
      </c>
      <c r="EI114" s="79">
        <v>1</v>
      </c>
      <c r="EJ114" s="79">
        <v>1</v>
      </c>
      <c r="EK114" s="79">
        <v>1</v>
      </c>
      <c r="EL114" s="79">
        <v>1</v>
      </c>
      <c r="EM114" s="143">
        <f t="shared" si="150"/>
        <v>0</v>
      </c>
      <c r="EN114" s="143">
        <f t="shared" si="151"/>
        <v>0</v>
      </c>
      <c r="EO114" s="82">
        <f t="shared" si="152"/>
        <v>0</v>
      </c>
    </row>
    <row r="115" spans="1:145" x14ac:dyDescent="0.25">
      <c r="A115">
        <v>101</v>
      </c>
      <c r="B115" s="172" t="e">
        <f t="shared" si="110"/>
        <v>#N/A</v>
      </c>
      <c r="C115" s="121" t="e">
        <f t="shared" si="89"/>
        <v>#N/A</v>
      </c>
      <c r="D115" s="122" t="e">
        <f t="shared" si="90"/>
        <v>#N/A</v>
      </c>
      <c r="E115" s="122" t="e">
        <f t="shared" si="91"/>
        <v>#N/A</v>
      </c>
      <c r="F115" s="176" t="e">
        <f t="shared" si="92"/>
        <v>#N/A</v>
      </c>
      <c r="G115" s="121">
        <f t="shared" si="111"/>
        <v>208</v>
      </c>
      <c r="H115" s="176" t="e">
        <f t="shared" si="112"/>
        <v>#N/A</v>
      </c>
      <c r="I115" s="48">
        <v>1</v>
      </c>
      <c r="J115" s="39"/>
      <c r="K115" s="350">
        <v>1</v>
      </c>
      <c r="L115" s="34" t="e">
        <f t="shared" si="93"/>
        <v>#N/A</v>
      </c>
      <c r="M115" s="38" t="e">
        <f>(HLOOKUP(J115,'Construction Times'!$B$3:$W$34,L115+2,FALSE)*HLOOKUP("hq modifier",'Construction Times'!$W$3:$W$34,BS115+2,FALSE))*(1-$H$9)</f>
        <v>#N/A</v>
      </c>
      <c r="N115" s="443" t="e">
        <f t="shared" si="113"/>
        <v>#N/A</v>
      </c>
      <c r="O115" s="444"/>
      <c r="P115" s="447" t="e">
        <f t="shared" si="114"/>
        <v>#N/A</v>
      </c>
      <c r="Q115" s="448"/>
      <c r="R115" s="103">
        <f t="shared" si="153"/>
        <v>0</v>
      </c>
      <c r="S115" s="104">
        <f t="shared" si="153"/>
        <v>0</v>
      </c>
      <c r="T115" s="104">
        <f t="shared" si="154"/>
        <v>0</v>
      </c>
      <c r="U115" s="104">
        <f t="shared" si="154"/>
        <v>0</v>
      </c>
      <c r="V115" s="104">
        <f t="shared" si="154"/>
        <v>9.9999999999999995E-8</v>
      </c>
      <c r="W115" s="104">
        <f t="shared" si="154"/>
        <v>0</v>
      </c>
      <c r="X115" s="104">
        <f t="shared" si="185"/>
        <v>0</v>
      </c>
      <c r="Y115" s="104">
        <f t="shared" si="185"/>
        <v>9.9999999999999995E-8</v>
      </c>
      <c r="Z115" s="104">
        <f t="shared" si="185"/>
        <v>9.9999999999999995E-8</v>
      </c>
      <c r="AA115" s="105">
        <f t="shared" si="185"/>
        <v>9.9999999999999995E-8</v>
      </c>
      <c r="AB115" s="101" t="e">
        <f>$DT115*HLOOKUP($J115,'Construction Costs (timber)'!$B$1:$V$32,'Construction Planner'!$L115+2,FALSE)</f>
        <v>#N/A</v>
      </c>
      <c r="AC115" s="14" t="e">
        <f>$DT115*HLOOKUP($J115,'Construction Costs (clay)'!$B$1:$V$32,'Construction Planner'!$L115+2,FALSE)</f>
        <v>#N/A</v>
      </c>
      <c r="AD115" s="14" t="e">
        <f>$DT115*HLOOKUP($J115,'Construction Costs (iron)'!$B$1:$V$32,'Construction Planner'!$L115+2,FALSE)</f>
        <v>#N/A</v>
      </c>
      <c r="AE115" s="34" t="e">
        <f t="shared" si="163"/>
        <v>#N/A</v>
      </c>
      <c r="AF115" s="33" t="e">
        <f t="shared" si="94"/>
        <v>#N/A</v>
      </c>
      <c r="AG115" s="14" t="e">
        <f t="shared" si="95"/>
        <v>#N/A</v>
      </c>
      <c r="AH115" s="14" t="e">
        <f t="shared" si="96"/>
        <v>#N/A</v>
      </c>
      <c r="AI115" s="34" t="e">
        <f t="shared" si="164"/>
        <v>#N/A</v>
      </c>
      <c r="AJ115" s="49" t="e">
        <f t="shared" si="115"/>
        <v>#N/A</v>
      </c>
      <c r="AK115" s="49" t="e">
        <f t="shared" si="116"/>
        <v>#N/A</v>
      </c>
      <c r="AL115" s="49" t="e">
        <f t="shared" si="117"/>
        <v>#N/A</v>
      </c>
      <c r="AM115" s="25">
        <f t="shared" si="97"/>
        <v>30</v>
      </c>
      <c r="AN115" s="25">
        <f t="shared" si="98"/>
        <v>30</v>
      </c>
      <c r="AO115" s="25">
        <f t="shared" si="99"/>
        <v>30</v>
      </c>
      <c r="AP115" s="52" t="e">
        <f t="shared" si="118"/>
        <v>#N/A</v>
      </c>
      <c r="AQ115" s="53" t="e">
        <f t="shared" si="118"/>
        <v>#N/A</v>
      </c>
      <c r="AR115" s="54" t="e">
        <f t="shared" si="118"/>
        <v>#N/A</v>
      </c>
      <c r="AS115" s="316">
        <f t="shared" si="180"/>
        <v>0</v>
      </c>
      <c r="AT115" s="106">
        <f>_xlfn.IFNA($M115/VLOOKUP($BT115,'Unit information'!$A$2:$K$29,2,FALSE)*R115,0)*(1+$E$9)</f>
        <v>0</v>
      </c>
      <c r="AU115" s="107">
        <f>_xlfn.IFNA($M115/VLOOKUP($BT115,'Unit information'!$A$2:$K$29,3,FALSE)*S115,0)*(1+$E$9)</f>
        <v>0</v>
      </c>
      <c r="AV115" s="107">
        <f>_xlfn.IFNA($M115/VLOOKUP($BT115,'Unit information'!$A$2:$K$29,4,FALSE)*T115,0)*(1+$E$9)</f>
        <v>0</v>
      </c>
      <c r="AW115" s="107">
        <f>_xlfn.IFNA($M115/VLOOKUP($BT115,'Unit information'!$A$2:$K$29,5,FALSE)*U115,0)*(1+$E$9)</f>
        <v>0</v>
      </c>
      <c r="AX115" s="107">
        <f>_xlfn.IFNA($M115/VLOOKUP($BU115,'Unit information'!$A$2:$K$29,6,FALSE)*V115,0)*(1+$E$9)</f>
        <v>0</v>
      </c>
      <c r="AY115" s="107">
        <f>_xlfn.IFNA($M115/VLOOKUP($BU115,'Unit information'!$A$2:$K$29,7,FALSE)*W115,0)*(1+$E$9)</f>
        <v>0</v>
      </c>
      <c r="AZ115" s="107">
        <f>_xlfn.IFNA($M115/VLOOKUP($BU115,'Unit information'!$A$2:$K$29,8,FALSE)*X115,0)*(1+$E$9)</f>
        <v>0</v>
      </c>
      <c r="BA115" s="107">
        <f>_xlfn.IFNA($M115/VLOOKUP($BU115,'Unit information'!$A$2:$K$29,9,FALSE)*Y115,0)*(1+$E$9)</f>
        <v>0</v>
      </c>
      <c r="BB115" s="107">
        <f>_xlfn.IFNA($M115/VLOOKUP($BV115,'Unit information'!$A$2:$K$29,10,FALSE)*Z115,0)*(1+$E$9)</f>
        <v>0</v>
      </c>
      <c r="BC115" s="108">
        <f>_xlfn.IFNA($M115/VLOOKUP($BV115,'Unit information'!$A$2:$K$29,11,FALSE)*AA115,0)*(1+$E$9)</f>
        <v>0</v>
      </c>
      <c r="BD115" s="106">
        <f t="shared" si="100"/>
        <v>0</v>
      </c>
      <c r="BE115" s="107">
        <f t="shared" si="101"/>
        <v>0</v>
      </c>
      <c r="BF115" s="108">
        <f t="shared" si="102"/>
        <v>0</v>
      </c>
      <c r="BG115" s="25" t="e">
        <f t="shared" si="103"/>
        <v>#N/A</v>
      </c>
      <c r="BH115" s="25" t="e">
        <f t="shared" si="104"/>
        <v>#N/A</v>
      </c>
      <c r="BI115" s="25" t="e">
        <f t="shared" si="105"/>
        <v>#N/A</v>
      </c>
      <c r="BJ115" s="27" t="e">
        <f t="shared" si="106"/>
        <v>#N/A</v>
      </c>
      <c r="BK115" s="18" t="e">
        <f t="shared" si="107"/>
        <v>#N/A</v>
      </c>
      <c r="BL115" s="18" t="e">
        <f t="shared" si="108"/>
        <v>#N/A</v>
      </c>
      <c r="BM115" s="28" t="e">
        <f t="shared" si="166"/>
        <v>#N/A</v>
      </c>
      <c r="BN115" s="33">
        <f>HLOOKUP("maximum population",Miscelaneous!$C$1:$C$33,CH115+3,FALSE)</f>
        <v>240</v>
      </c>
      <c r="BO115" s="14">
        <f t="shared" si="119"/>
        <v>32</v>
      </c>
      <c r="BP115" s="14">
        <f t="shared" si="120"/>
        <v>0</v>
      </c>
      <c r="BQ115" s="14">
        <f t="shared" si="121"/>
        <v>208</v>
      </c>
      <c r="BR115" s="34" t="e">
        <f>HLOOKUP(J115,Villagers!$B$1:$V$33,L115+3,FALSE)-HLOOKUP(J115,Villagers!$B$1:$V$33,L115+2,FALSE)</f>
        <v>#N/A</v>
      </c>
      <c r="BS115" s="49">
        <f t="shared" si="122"/>
        <v>1</v>
      </c>
      <c r="BT115" s="50">
        <f t="shared" si="123"/>
        <v>0</v>
      </c>
      <c r="BU115" s="50">
        <f t="shared" si="124"/>
        <v>0</v>
      </c>
      <c r="BV115" s="50">
        <f t="shared" si="125"/>
        <v>0</v>
      </c>
      <c r="BW115" s="50">
        <f t="shared" si="182"/>
        <v>0</v>
      </c>
      <c r="BX115" s="50">
        <f t="shared" si="183"/>
        <v>0</v>
      </c>
      <c r="BY115" s="50">
        <f t="shared" si="183"/>
        <v>0</v>
      </c>
      <c r="BZ115" s="50">
        <f t="shared" si="167"/>
        <v>0</v>
      </c>
      <c r="CA115" s="50">
        <f t="shared" si="168"/>
        <v>0</v>
      </c>
      <c r="CB115" s="50">
        <f t="shared" si="169"/>
        <v>1</v>
      </c>
      <c r="CC115" s="50">
        <f t="shared" si="170"/>
        <v>0</v>
      </c>
      <c r="CD115" s="50">
        <f t="shared" si="171"/>
        <v>0</v>
      </c>
      <c r="CE115" s="50">
        <f t="shared" si="172"/>
        <v>1</v>
      </c>
      <c r="CF115" s="50">
        <f t="shared" si="173"/>
        <v>1</v>
      </c>
      <c r="CG115" s="50">
        <f t="shared" si="174"/>
        <v>1</v>
      </c>
      <c r="CH115" s="50">
        <f t="shared" si="175"/>
        <v>1</v>
      </c>
      <c r="CI115" s="50">
        <f t="shared" si="176"/>
        <v>1</v>
      </c>
      <c r="CJ115" s="50">
        <f t="shared" si="177"/>
        <v>1</v>
      </c>
      <c r="CK115" s="50">
        <f t="shared" si="177"/>
        <v>0</v>
      </c>
      <c r="CL115" s="50">
        <f t="shared" si="177"/>
        <v>0</v>
      </c>
      <c r="CM115" s="51">
        <f t="shared" si="178"/>
        <v>0</v>
      </c>
      <c r="CN115" s="33">
        <f>ROUND(IF(BS115=0,0,HLOOKUP(BS$14,Villagers!$B$1:$V$33,BS115+3,FALSE)),)</f>
        <v>5</v>
      </c>
      <c r="CO115" s="14">
        <f>ROUND(IF(BT115=0,0,HLOOKUP(BT$14,Villagers!$B$1:$V$33,BT115+3,FALSE)),)</f>
        <v>0</v>
      </c>
      <c r="CP115" s="14">
        <f>ROUND(IF(BU115=0,0,HLOOKUP(BU$14,Villagers!$B$1:$V$33,BU115+3,FALSE)),)</f>
        <v>0</v>
      </c>
      <c r="CQ115" s="14">
        <f>ROUND(IF(BV115=0,0,HLOOKUP(BV$14,Villagers!$B$1:$V$33,BV115+3,FALSE)),)</f>
        <v>0</v>
      </c>
      <c r="CR115" s="14">
        <f>ROUND(IF(BW115=0,0,HLOOKUP(BW$14,Villagers!$B$1:$V$33,BW115+3,FALSE)),)</f>
        <v>0</v>
      </c>
      <c r="CS115" s="14">
        <f>ROUND(IF(BX115=0,0,HLOOKUP(BX$14,Villagers!$B$1:$V$33,BX115+3,FALSE)),)</f>
        <v>0</v>
      </c>
      <c r="CT115" s="14">
        <f>ROUND(IF(BY115=0,0,HLOOKUP(BY$14,Villagers!$B$1:$V$33,BY115+3,FALSE)),)</f>
        <v>0</v>
      </c>
      <c r="CU115" s="14">
        <f>ROUND(IF(BZ115=0,0,HLOOKUP(BZ$14,Villagers!$B$1:$V$33,BZ115+3,FALSE)),)</f>
        <v>0</v>
      </c>
      <c r="CV115" s="14">
        <f>ROUND(IF(CA115=0,0,HLOOKUP(CA$14,Villagers!$B$1:$V$33,CA115+3,FALSE)),)</f>
        <v>0</v>
      </c>
      <c r="CW115" s="14">
        <f>ROUND(IF(CB115=0,0,HLOOKUP(CB$14,Villagers!$B$1:$V$33,CB115+3,FALSE)),)</f>
        <v>0</v>
      </c>
      <c r="CX115" s="14">
        <f>ROUND(IF(CC115=0,0,HLOOKUP(CC$14,Villagers!$B$1:$V$33,CC115+3,FALSE)),)</f>
        <v>0</v>
      </c>
      <c r="CY115" s="14">
        <f>ROUND(IF(CD115=0,0,HLOOKUP(CD$14,Villagers!$B$1:$V$33,CD115+3,FALSE)),)</f>
        <v>0</v>
      </c>
      <c r="CZ115" s="14">
        <f>ROUND(IF(CE115=0,0,HLOOKUP(CE$14,Villagers!$B$1:$V$33,CE115+3,FALSE)),)</f>
        <v>5</v>
      </c>
      <c r="DA115" s="14">
        <f>ROUND(IF(CF115=0,0,HLOOKUP(CF$14,Villagers!$B$1:$V$33,CF115+3,FALSE)),)</f>
        <v>10</v>
      </c>
      <c r="DB115" s="14">
        <f>ROUND(IF(CG115=0,0,HLOOKUP(CG$14,Villagers!$B$1:$V$33,CG115+3,FALSE)),)</f>
        <v>10</v>
      </c>
      <c r="DC115" s="14">
        <f>ROUND(IF(CH115=0,0,HLOOKUP(CH$14,Villagers!$B$1:$V$33,CH115+3,FALSE)),)</f>
        <v>0</v>
      </c>
      <c r="DD115" s="14">
        <f>ROUND(IF(CI115=0,0,HLOOKUP(CI$14,Villagers!$B$1:$V$33,CI115+3,FALSE)),)</f>
        <v>0</v>
      </c>
      <c r="DE115" s="14">
        <f>ROUND(IF(CJ115=0,0,HLOOKUP(CJ$14,Villagers!$B$1:$V$33,CJ115+3,FALSE)),)</f>
        <v>2</v>
      </c>
      <c r="DF115" s="370">
        <f>ROUND(IF(CK115=0,0,HLOOKUP(CK$14,Villagers!$B$1:$V$33,CK115+3,FALSE)),)</f>
        <v>0</v>
      </c>
      <c r="DG115" s="370">
        <f>ROUND(IF(CL115=0,0,HLOOKUP(CL$14,Villagers!$B$1:$V$33,CL115+3,FALSE)),)</f>
        <v>0</v>
      </c>
      <c r="DH115" s="34">
        <f>ROUND(IF(CM115=0,0,HLOOKUP(CM$14,Villagers!$B$1:$V$33,CM115+3,FALSE)),)</f>
        <v>0</v>
      </c>
      <c r="DI115" s="109">
        <f t="shared" si="155"/>
        <v>0</v>
      </c>
      <c r="DJ115" s="50">
        <f t="shared" si="156"/>
        <v>0</v>
      </c>
      <c r="DK115" s="50">
        <f t="shared" si="157"/>
        <v>0</v>
      </c>
      <c r="DL115" s="50">
        <f t="shared" si="158"/>
        <v>0</v>
      </c>
      <c r="DM115" s="50">
        <f t="shared" si="159"/>
        <v>0</v>
      </c>
      <c r="DN115" s="50">
        <f t="shared" si="160"/>
        <v>0</v>
      </c>
      <c r="DO115" s="50">
        <f t="shared" si="161"/>
        <v>0</v>
      </c>
      <c r="DP115" s="50">
        <f t="shared" si="162"/>
        <v>0</v>
      </c>
      <c r="DQ115" s="50">
        <f t="shared" si="140"/>
        <v>0</v>
      </c>
      <c r="DR115" s="50">
        <f t="shared" si="141"/>
        <v>0</v>
      </c>
      <c r="DS115" s="96">
        <f>Miscelaneous!$D$4*Miscelaneous!$D$2^($CI115-1)</f>
        <v>1000</v>
      </c>
      <c r="DT115" s="333">
        <f t="shared" si="109"/>
        <v>1</v>
      </c>
      <c r="DU115" s="81">
        <v>1</v>
      </c>
      <c r="DV115" s="79">
        <f t="shared" si="142"/>
        <v>0</v>
      </c>
      <c r="DW115" s="79">
        <f t="shared" si="143"/>
        <v>0</v>
      </c>
      <c r="DX115" s="79">
        <f t="shared" si="144"/>
        <v>0</v>
      </c>
      <c r="DY115" s="79">
        <v>1</v>
      </c>
      <c r="DZ115" s="79">
        <f t="shared" si="145"/>
        <v>0</v>
      </c>
      <c r="EA115" s="79">
        <f t="shared" si="146"/>
        <v>0</v>
      </c>
      <c r="EB115" s="79">
        <f t="shared" si="147"/>
        <v>0</v>
      </c>
      <c r="EC115" s="79">
        <f t="shared" si="148"/>
        <v>0</v>
      </c>
      <c r="ED115" s="79">
        <v>1</v>
      </c>
      <c r="EE115" s="79">
        <v>1</v>
      </c>
      <c r="EF115" s="79">
        <f t="shared" si="149"/>
        <v>0</v>
      </c>
      <c r="EG115" s="79">
        <v>1</v>
      </c>
      <c r="EH115" s="79">
        <v>1</v>
      </c>
      <c r="EI115" s="79">
        <v>1</v>
      </c>
      <c r="EJ115" s="79">
        <v>1</v>
      </c>
      <c r="EK115" s="79">
        <v>1</v>
      </c>
      <c r="EL115" s="79">
        <v>1</v>
      </c>
      <c r="EM115" s="143">
        <f t="shared" si="150"/>
        <v>0</v>
      </c>
      <c r="EN115" s="143">
        <f t="shared" si="151"/>
        <v>0</v>
      </c>
      <c r="EO115" s="82">
        <f t="shared" si="152"/>
        <v>0</v>
      </c>
    </row>
    <row r="116" spans="1:145" x14ac:dyDescent="0.25">
      <c r="A116">
        <v>102</v>
      </c>
      <c r="B116" s="172" t="e">
        <f t="shared" si="110"/>
        <v>#N/A</v>
      </c>
      <c r="C116" s="121" t="e">
        <f t="shared" si="89"/>
        <v>#N/A</v>
      </c>
      <c r="D116" s="122" t="e">
        <f t="shared" si="90"/>
        <v>#N/A</v>
      </c>
      <c r="E116" s="122" t="e">
        <f t="shared" si="91"/>
        <v>#N/A</v>
      </c>
      <c r="F116" s="176" t="e">
        <f t="shared" si="92"/>
        <v>#N/A</v>
      </c>
      <c r="G116" s="121">
        <f t="shared" si="111"/>
        <v>208</v>
      </c>
      <c r="H116" s="176" t="e">
        <f t="shared" si="112"/>
        <v>#N/A</v>
      </c>
      <c r="I116" s="48">
        <v>1</v>
      </c>
      <c r="J116" s="39"/>
      <c r="K116" s="350">
        <v>1</v>
      </c>
      <c r="L116" s="34" t="e">
        <f t="shared" si="93"/>
        <v>#N/A</v>
      </c>
      <c r="M116" s="38" t="e">
        <f>(HLOOKUP(J116,'Construction Times'!$B$3:$W$34,L116+2,FALSE)*HLOOKUP("hq modifier",'Construction Times'!$W$3:$W$34,BS116+2,FALSE))*(1-$H$9)</f>
        <v>#N/A</v>
      </c>
      <c r="N116" s="443" t="e">
        <f t="shared" si="113"/>
        <v>#N/A</v>
      </c>
      <c r="O116" s="444"/>
      <c r="P116" s="447" t="e">
        <f t="shared" si="114"/>
        <v>#N/A</v>
      </c>
      <c r="Q116" s="448"/>
      <c r="R116" s="103">
        <f t="shared" si="153"/>
        <v>0</v>
      </c>
      <c r="S116" s="104">
        <f t="shared" si="153"/>
        <v>0</v>
      </c>
      <c r="T116" s="104">
        <f t="shared" si="154"/>
        <v>0</v>
      </c>
      <c r="U116" s="104">
        <f t="shared" si="154"/>
        <v>0</v>
      </c>
      <c r="V116" s="104">
        <f t="shared" si="154"/>
        <v>9.9999999999999995E-8</v>
      </c>
      <c r="W116" s="104">
        <f t="shared" si="154"/>
        <v>0</v>
      </c>
      <c r="X116" s="104">
        <f t="shared" si="185"/>
        <v>0</v>
      </c>
      <c r="Y116" s="104">
        <f t="shared" si="185"/>
        <v>9.9999999999999995E-8</v>
      </c>
      <c r="Z116" s="104">
        <f t="shared" si="185"/>
        <v>9.9999999999999995E-8</v>
      </c>
      <c r="AA116" s="105">
        <f t="shared" si="185"/>
        <v>9.9999999999999995E-8</v>
      </c>
      <c r="AB116" s="101" t="e">
        <f>$DT116*HLOOKUP($J116,'Construction Costs (timber)'!$B$1:$V$32,'Construction Planner'!$L116+2,FALSE)</f>
        <v>#N/A</v>
      </c>
      <c r="AC116" s="14" t="e">
        <f>$DT116*HLOOKUP($J116,'Construction Costs (clay)'!$B$1:$V$32,'Construction Planner'!$L116+2,FALSE)</f>
        <v>#N/A</v>
      </c>
      <c r="AD116" s="14" t="e">
        <f>$DT116*HLOOKUP($J116,'Construction Costs (iron)'!$B$1:$V$32,'Construction Planner'!$L116+2,FALSE)</f>
        <v>#N/A</v>
      </c>
      <c r="AE116" s="34" t="e">
        <f t="shared" si="163"/>
        <v>#N/A</v>
      </c>
      <c r="AF116" s="33" t="e">
        <f t="shared" si="94"/>
        <v>#N/A</v>
      </c>
      <c r="AG116" s="14" t="e">
        <f t="shared" si="95"/>
        <v>#N/A</v>
      </c>
      <c r="AH116" s="14" t="e">
        <f t="shared" si="96"/>
        <v>#N/A</v>
      </c>
      <c r="AI116" s="34" t="e">
        <f t="shared" si="164"/>
        <v>#N/A</v>
      </c>
      <c r="AJ116" s="49" t="e">
        <f t="shared" si="115"/>
        <v>#N/A</v>
      </c>
      <c r="AK116" s="49" t="e">
        <f t="shared" si="116"/>
        <v>#N/A</v>
      </c>
      <c r="AL116" s="49" t="e">
        <f t="shared" si="117"/>
        <v>#N/A</v>
      </c>
      <c r="AM116" s="25">
        <f t="shared" si="97"/>
        <v>30</v>
      </c>
      <c r="AN116" s="25">
        <f t="shared" si="98"/>
        <v>30</v>
      </c>
      <c r="AO116" s="25">
        <f t="shared" si="99"/>
        <v>30</v>
      </c>
      <c r="AP116" s="52" t="e">
        <f t="shared" si="118"/>
        <v>#N/A</v>
      </c>
      <c r="AQ116" s="53" t="e">
        <f t="shared" si="118"/>
        <v>#N/A</v>
      </c>
      <c r="AR116" s="54" t="e">
        <f t="shared" si="118"/>
        <v>#N/A</v>
      </c>
      <c r="AS116" s="316">
        <f t="shared" ref="AS116:AS131" si="186">AS115</f>
        <v>0</v>
      </c>
      <c r="AT116" s="106">
        <f>_xlfn.IFNA($M116/VLOOKUP($BT116,'Unit information'!$A$2:$K$29,2,FALSE)*R116,0)*(1+$E$9)</f>
        <v>0</v>
      </c>
      <c r="AU116" s="107">
        <f>_xlfn.IFNA($M116/VLOOKUP($BT116,'Unit information'!$A$2:$K$29,3,FALSE)*S116,0)*(1+$E$9)</f>
        <v>0</v>
      </c>
      <c r="AV116" s="107">
        <f>_xlfn.IFNA($M116/VLOOKUP($BT116,'Unit information'!$A$2:$K$29,4,FALSE)*T116,0)*(1+$E$9)</f>
        <v>0</v>
      </c>
      <c r="AW116" s="107">
        <f>_xlfn.IFNA($M116/VLOOKUP($BT116,'Unit information'!$A$2:$K$29,5,FALSE)*U116,0)*(1+$E$9)</f>
        <v>0</v>
      </c>
      <c r="AX116" s="107">
        <f>_xlfn.IFNA($M116/VLOOKUP($BU116,'Unit information'!$A$2:$K$29,6,FALSE)*V116,0)*(1+$E$9)</f>
        <v>0</v>
      </c>
      <c r="AY116" s="107">
        <f>_xlfn.IFNA($M116/VLOOKUP($BU116,'Unit information'!$A$2:$K$29,7,FALSE)*W116,0)*(1+$E$9)</f>
        <v>0</v>
      </c>
      <c r="AZ116" s="107">
        <f>_xlfn.IFNA($M116/VLOOKUP($BU116,'Unit information'!$A$2:$K$29,8,FALSE)*X116,0)*(1+$E$9)</f>
        <v>0</v>
      </c>
      <c r="BA116" s="107">
        <f>_xlfn.IFNA($M116/VLOOKUP($BU116,'Unit information'!$A$2:$K$29,9,FALSE)*Y116,0)*(1+$E$9)</f>
        <v>0</v>
      </c>
      <c r="BB116" s="107">
        <f>_xlfn.IFNA($M116/VLOOKUP($BV116,'Unit information'!$A$2:$K$29,10,FALSE)*Z116,0)*(1+$E$9)</f>
        <v>0</v>
      </c>
      <c r="BC116" s="108">
        <f>_xlfn.IFNA($M116/VLOOKUP($BV116,'Unit information'!$A$2:$K$29,11,FALSE)*AA116,0)*(1+$E$9)</f>
        <v>0</v>
      </c>
      <c r="BD116" s="106">
        <f t="shared" si="100"/>
        <v>0</v>
      </c>
      <c r="BE116" s="107">
        <f t="shared" si="101"/>
        <v>0</v>
      </c>
      <c r="BF116" s="108">
        <f t="shared" si="102"/>
        <v>0</v>
      </c>
      <c r="BG116" s="25" t="e">
        <f t="shared" si="103"/>
        <v>#N/A</v>
      </c>
      <c r="BH116" s="25" t="e">
        <f t="shared" si="104"/>
        <v>#N/A</v>
      </c>
      <c r="BI116" s="25" t="e">
        <f t="shared" si="105"/>
        <v>#N/A</v>
      </c>
      <c r="BJ116" s="27" t="e">
        <f t="shared" si="106"/>
        <v>#N/A</v>
      </c>
      <c r="BK116" s="18" t="e">
        <f t="shared" si="107"/>
        <v>#N/A</v>
      </c>
      <c r="BL116" s="18" t="e">
        <f t="shared" si="108"/>
        <v>#N/A</v>
      </c>
      <c r="BM116" s="28" t="e">
        <f t="shared" si="166"/>
        <v>#N/A</v>
      </c>
      <c r="BN116" s="33">
        <f>HLOOKUP("maximum population",Miscelaneous!$C$1:$C$33,CH116+3,FALSE)</f>
        <v>240</v>
      </c>
      <c r="BO116" s="14">
        <f t="shared" si="119"/>
        <v>32</v>
      </c>
      <c r="BP116" s="14">
        <f t="shared" si="120"/>
        <v>0</v>
      </c>
      <c r="BQ116" s="14">
        <f t="shared" si="121"/>
        <v>208</v>
      </c>
      <c r="BR116" s="34" t="e">
        <f>HLOOKUP(J116,Villagers!$B$1:$V$33,L116+3,FALSE)-HLOOKUP(J116,Villagers!$B$1:$V$33,L116+2,FALSE)</f>
        <v>#N/A</v>
      </c>
      <c r="BS116" s="49">
        <f t="shared" si="122"/>
        <v>1</v>
      </c>
      <c r="BT116" s="50">
        <f t="shared" si="123"/>
        <v>0</v>
      </c>
      <c r="BU116" s="50">
        <f t="shared" si="124"/>
        <v>0</v>
      </c>
      <c r="BV116" s="50">
        <f t="shared" si="125"/>
        <v>0</v>
      </c>
      <c r="BW116" s="50">
        <f t="shared" si="182"/>
        <v>0</v>
      </c>
      <c r="BX116" s="50">
        <f t="shared" si="183"/>
        <v>0</v>
      </c>
      <c r="BY116" s="50">
        <f t="shared" si="183"/>
        <v>0</v>
      </c>
      <c r="BZ116" s="50">
        <f t="shared" si="167"/>
        <v>0</v>
      </c>
      <c r="CA116" s="50">
        <f t="shared" si="168"/>
        <v>0</v>
      </c>
      <c r="CB116" s="50">
        <f t="shared" si="169"/>
        <v>1</v>
      </c>
      <c r="CC116" s="50">
        <f t="shared" si="170"/>
        <v>0</v>
      </c>
      <c r="CD116" s="50">
        <f t="shared" si="171"/>
        <v>0</v>
      </c>
      <c r="CE116" s="50">
        <f t="shared" si="172"/>
        <v>1</v>
      </c>
      <c r="CF116" s="50">
        <f t="shared" si="173"/>
        <v>1</v>
      </c>
      <c r="CG116" s="50">
        <f t="shared" si="174"/>
        <v>1</v>
      </c>
      <c r="CH116" s="50">
        <f t="shared" si="175"/>
        <v>1</v>
      </c>
      <c r="CI116" s="50">
        <f t="shared" si="176"/>
        <v>1</v>
      </c>
      <c r="CJ116" s="50">
        <f t="shared" si="177"/>
        <v>1</v>
      </c>
      <c r="CK116" s="50">
        <f t="shared" si="177"/>
        <v>0</v>
      </c>
      <c r="CL116" s="50">
        <f t="shared" si="177"/>
        <v>0</v>
      </c>
      <c r="CM116" s="51">
        <f t="shared" si="178"/>
        <v>0</v>
      </c>
      <c r="CN116" s="33">
        <f>ROUND(IF(BS116=0,0,HLOOKUP(BS$14,Villagers!$B$1:$V$33,BS116+3,FALSE)),)</f>
        <v>5</v>
      </c>
      <c r="CO116" s="14">
        <f>ROUND(IF(BT116=0,0,HLOOKUP(BT$14,Villagers!$B$1:$V$33,BT116+3,FALSE)),)</f>
        <v>0</v>
      </c>
      <c r="CP116" s="14">
        <f>ROUND(IF(BU116=0,0,HLOOKUP(BU$14,Villagers!$B$1:$V$33,BU116+3,FALSE)),)</f>
        <v>0</v>
      </c>
      <c r="CQ116" s="14">
        <f>ROUND(IF(BV116=0,0,HLOOKUP(BV$14,Villagers!$B$1:$V$33,BV116+3,FALSE)),)</f>
        <v>0</v>
      </c>
      <c r="CR116" s="14">
        <f>ROUND(IF(BW116=0,0,HLOOKUP(BW$14,Villagers!$B$1:$V$33,BW116+3,FALSE)),)</f>
        <v>0</v>
      </c>
      <c r="CS116" s="14">
        <f>ROUND(IF(BX116=0,0,HLOOKUP(BX$14,Villagers!$B$1:$V$33,BX116+3,FALSE)),)</f>
        <v>0</v>
      </c>
      <c r="CT116" s="14">
        <f>ROUND(IF(BY116=0,0,HLOOKUP(BY$14,Villagers!$B$1:$V$33,BY116+3,FALSE)),)</f>
        <v>0</v>
      </c>
      <c r="CU116" s="14">
        <f>ROUND(IF(BZ116=0,0,HLOOKUP(BZ$14,Villagers!$B$1:$V$33,BZ116+3,FALSE)),)</f>
        <v>0</v>
      </c>
      <c r="CV116" s="14">
        <f>ROUND(IF(CA116=0,0,HLOOKUP(CA$14,Villagers!$B$1:$V$33,CA116+3,FALSE)),)</f>
        <v>0</v>
      </c>
      <c r="CW116" s="14">
        <f>ROUND(IF(CB116=0,0,HLOOKUP(CB$14,Villagers!$B$1:$V$33,CB116+3,FALSE)),)</f>
        <v>0</v>
      </c>
      <c r="CX116" s="14">
        <f>ROUND(IF(CC116=0,0,HLOOKUP(CC$14,Villagers!$B$1:$V$33,CC116+3,FALSE)),)</f>
        <v>0</v>
      </c>
      <c r="CY116" s="14">
        <f>ROUND(IF(CD116=0,0,HLOOKUP(CD$14,Villagers!$B$1:$V$33,CD116+3,FALSE)),)</f>
        <v>0</v>
      </c>
      <c r="CZ116" s="14">
        <f>ROUND(IF(CE116=0,0,HLOOKUP(CE$14,Villagers!$B$1:$V$33,CE116+3,FALSE)),)</f>
        <v>5</v>
      </c>
      <c r="DA116" s="14">
        <f>ROUND(IF(CF116=0,0,HLOOKUP(CF$14,Villagers!$B$1:$V$33,CF116+3,FALSE)),)</f>
        <v>10</v>
      </c>
      <c r="DB116" s="14">
        <f>ROUND(IF(CG116=0,0,HLOOKUP(CG$14,Villagers!$B$1:$V$33,CG116+3,FALSE)),)</f>
        <v>10</v>
      </c>
      <c r="DC116" s="14">
        <f>ROUND(IF(CH116=0,0,HLOOKUP(CH$14,Villagers!$B$1:$V$33,CH116+3,FALSE)),)</f>
        <v>0</v>
      </c>
      <c r="DD116" s="14">
        <f>ROUND(IF(CI116=0,0,HLOOKUP(CI$14,Villagers!$B$1:$V$33,CI116+3,FALSE)),)</f>
        <v>0</v>
      </c>
      <c r="DE116" s="14">
        <f>ROUND(IF(CJ116=0,0,HLOOKUP(CJ$14,Villagers!$B$1:$V$33,CJ116+3,FALSE)),)</f>
        <v>2</v>
      </c>
      <c r="DF116" s="370">
        <f>ROUND(IF(CK116=0,0,HLOOKUP(CK$14,Villagers!$B$1:$V$33,CK116+3,FALSE)),)</f>
        <v>0</v>
      </c>
      <c r="DG116" s="370">
        <f>ROUND(IF(CL116=0,0,HLOOKUP(CL$14,Villagers!$B$1:$V$33,CL116+3,FALSE)),)</f>
        <v>0</v>
      </c>
      <c r="DH116" s="34">
        <f>ROUND(IF(CM116=0,0,HLOOKUP(CM$14,Villagers!$B$1:$V$33,CM116+3,FALSE)),)</f>
        <v>0</v>
      </c>
      <c r="DI116" s="109">
        <f t="shared" si="155"/>
        <v>0</v>
      </c>
      <c r="DJ116" s="50">
        <f t="shared" si="156"/>
        <v>0</v>
      </c>
      <c r="DK116" s="50">
        <f t="shared" si="157"/>
        <v>0</v>
      </c>
      <c r="DL116" s="50">
        <f t="shared" si="158"/>
        <v>0</v>
      </c>
      <c r="DM116" s="50">
        <f t="shared" si="159"/>
        <v>0</v>
      </c>
      <c r="DN116" s="50">
        <f t="shared" si="160"/>
        <v>0</v>
      </c>
      <c r="DO116" s="50">
        <f t="shared" si="161"/>
        <v>0</v>
      </c>
      <c r="DP116" s="50">
        <f t="shared" si="162"/>
        <v>0</v>
      </c>
      <c r="DQ116" s="50">
        <f t="shared" si="140"/>
        <v>0</v>
      </c>
      <c r="DR116" s="50">
        <f t="shared" si="141"/>
        <v>0</v>
      </c>
      <c r="DS116" s="96">
        <f>Miscelaneous!$D$4*Miscelaneous!$D$2^($CI116-1)</f>
        <v>1000</v>
      </c>
      <c r="DT116" s="333">
        <f t="shared" si="109"/>
        <v>1</v>
      </c>
      <c r="DU116" s="81">
        <v>1</v>
      </c>
      <c r="DV116" s="79">
        <f t="shared" si="142"/>
        <v>0</v>
      </c>
      <c r="DW116" s="79">
        <f t="shared" si="143"/>
        <v>0</v>
      </c>
      <c r="DX116" s="79">
        <f t="shared" si="144"/>
        <v>0</v>
      </c>
      <c r="DY116" s="79">
        <v>1</v>
      </c>
      <c r="DZ116" s="79">
        <f t="shared" si="145"/>
        <v>0</v>
      </c>
      <c r="EA116" s="79">
        <f t="shared" si="146"/>
        <v>0</v>
      </c>
      <c r="EB116" s="79">
        <f t="shared" si="147"/>
        <v>0</v>
      </c>
      <c r="EC116" s="79">
        <f t="shared" si="148"/>
        <v>0</v>
      </c>
      <c r="ED116" s="79">
        <v>1</v>
      </c>
      <c r="EE116" s="79">
        <v>1</v>
      </c>
      <c r="EF116" s="79">
        <f t="shared" si="149"/>
        <v>0</v>
      </c>
      <c r="EG116" s="79">
        <v>1</v>
      </c>
      <c r="EH116" s="79">
        <v>1</v>
      </c>
      <c r="EI116" s="79">
        <v>1</v>
      </c>
      <c r="EJ116" s="79">
        <v>1</v>
      </c>
      <c r="EK116" s="79">
        <v>1</v>
      </c>
      <c r="EL116" s="79">
        <v>1</v>
      </c>
      <c r="EM116" s="143">
        <f t="shared" si="150"/>
        <v>0</v>
      </c>
      <c r="EN116" s="143">
        <f t="shared" si="151"/>
        <v>0</v>
      </c>
      <c r="EO116" s="82">
        <f t="shared" si="152"/>
        <v>0</v>
      </c>
    </row>
    <row r="117" spans="1:145" x14ac:dyDescent="0.25">
      <c r="A117">
        <v>103</v>
      </c>
      <c r="B117" s="172" t="e">
        <f t="shared" si="110"/>
        <v>#N/A</v>
      </c>
      <c r="C117" s="121" t="e">
        <f t="shared" si="89"/>
        <v>#N/A</v>
      </c>
      <c r="D117" s="122" t="e">
        <f t="shared" si="90"/>
        <v>#N/A</v>
      </c>
      <c r="E117" s="122" t="e">
        <f t="shared" si="91"/>
        <v>#N/A</v>
      </c>
      <c r="F117" s="176" t="e">
        <f t="shared" si="92"/>
        <v>#N/A</v>
      </c>
      <c r="G117" s="121">
        <f t="shared" si="111"/>
        <v>208</v>
      </c>
      <c r="H117" s="176" t="e">
        <f t="shared" si="112"/>
        <v>#N/A</v>
      </c>
      <c r="I117" s="48">
        <v>1</v>
      </c>
      <c r="J117" s="39"/>
      <c r="K117" s="350">
        <v>1</v>
      </c>
      <c r="L117" s="34" t="e">
        <f t="shared" si="93"/>
        <v>#N/A</v>
      </c>
      <c r="M117" s="38" t="e">
        <f>(HLOOKUP(J117,'Construction Times'!$B$3:$W$34,L117+2,FALSE)*HLOOKUP("hq modifier",'Construction Times'!$W$3:$W$34,BS117+2,FALSE))*(1-$H$9)</f>
        <v>#N/A</v>
      </c>
      <c r="N117" s="443" t="e">
        <f t="shared" si="113"/>
        <v>#N/A</v>
      </c>
      <c r="O117" s="444"/>
      <c r="P117" s="447" t="e">
        <f t="shared" si="114"/>
        <v>#N/A</v>
      </c>
      <c r="Q117" s="448"/>
      <c r="R117" s="103">
        <f t="shared" si="153"/>
        <v>0</v>
      </c>
      <c r="S117" s="104">
        <f t="shared" si="153"/>
        <v>0</v>
      </c>
      <c r="T117" s="104">
        <f t="shared" si="154"/>
        <v>0</v>
      </c>
      <c r="U117" s="104">
        <f t="shared" si="154"/>
        <v>0</v>
      </c>
      <c r="V117" s="104">
        <f t="shared" si="154"/>
        <v>9.9999999999999995E-8</v>
      </c>
      <c r="W117" s="104">
        <f t="shared" si="154"/>
        <v>0</v>
      </c>
      <c r="X117" s="104">
        <f t="shared" si="185"/>
        <v>0</v>
      </c>
      <c r="Y117" s="104">
        <f t="shared" si="185"/>
        <v>9.9999999999999995E-8</v>
      </c>
      <c r="Z117" s="104">
        <f t="shared" si="185"/>
        <v>9.9999999999999995E-8</v>
      </c>
      <c r="AA117" s="105">
        <f t="shared" si="185"/>
        <v>9.9999999999999995E-8</v>
      </c>
      <c r="AB117" s="101" t="e">
        <f>$DT117*HLOOKUP($J117,'Construction Costs (timber)'!$B$1:$V$32,'Construction Planner'!$L117+2,FALSE)</f>
        <v>#N/A</v>
      </c>
      <c r="AC117" s="14" t="e">
        <f>$DT117*HLOOKUP($J117,'Construction Costs (clay)'!$B$1:$V$32,'Construction Planner'!$L117+2,FALSE)</f>
        <v>#N/A</v>
      </c>
      <c r="AD117" s="14" t="e">
        <f>$DT117*HLOOKUP($J117,'Construction Costs (iron)'!$B$1:$V$32,'Construction Planner'!$L117+2,FALSE)</f>
        <v>#N/A</v>
      </c>
      <c r="AE117" s="34" t="e">
        <f t="shared" si="163"/>
        <v>#N/A</v>
      </c>
      <c r="AF117" s="33" t="e">
        <f t="shared" si="94"/>
        <v>#N/A</v>
      </c>
      <c r="AG117" s="14" t="e">
        <f t="shared" si="95"/>
        <v>#N/A</v>
      </c>
      <c r="AH117" s="14" t="e">
        <f t="shared" si="96"/>
        <v>#N/A</v>
      </c>
      <c r="AI117" s="34" t="e">
        <f t="shared" si="164"/>
        <v>#N/A</v>
      </c>
      <c r="AJ117" s="49" t="e">
        <f t="shared" si="115"/>
        <v>#N/A</v>
      </c>
      <c r="AK117" s="49" t="e">
        <f t="shared" si="116"/>
        <v>#N/A</v>
      </c>
      <c r="AL117" s="49" t="e">
        <f t="shared" si="117"/>
        <v>#N/A</v>
      </c>
      <c r="AM117" s="25">
        <f t="shared" si="97"/>
        <v>30</v>
      </c>
      <c r="AN117" s="25">
        <f t="shared" si="98"/>
        <v>30</v>
      </c>
      <c r="AO117" s="25">
        <f t="shared" si="99"/>
        <v>30</v>
      </c>
      <c r="AP117" s="52" t="e">
        <f t="shared" si="118"/>
        <v>#N/A</v>
      </c>
      <c r="AQ117" s="53" t="e">
        <f t="shared" si="118"/>
        <v>#N/A</v>
      </c>
      <c r="AR117" s="54" t="e">
        <f t="shared" si="118"/>
        <v>#N/A</v>
      </c>
      <c r="AS117" s="316">
        <f t="shared" si="186"/>
        <v>0</v>
      </c>
      <c r="AT117" s="106">
        <f>_xlfn.IFNA($M117/VLOOKUP($BT117,'Unit information'!$A$2:$K$29,2,FALSE)*R117,0)*(1+$E$9)</f>
        <v>0</v>
      </c>
      <c r="AU117" s="107">
        <f>_xlfn.IFNA($M117/VLOOKUP($BT117,'Unit information'!$A$2:$K$29,3,FALSE)*S117,0)*(1+$E$9)</f>
        <v>0</v>
      </c>
      <c r="AV117" s="107">
        <f>_xlfn.IFNA($M117/VLOOKUP($BT117,'Unit information'!$A$2:$K$29,4,FALSE)*T117,0)*(1+$E$9)</f>
        <v>0</v>
      </c>
      <c r="AW117" s="107">
        <f>_xlfn.IFNA($M117/VLOOKUP($BT117,'Unit information'!$A$2:$K$29,5,FALSE)*U117,0)*(1+$E$9)</f>
        <v>0</v>
      </c>
      <c r="AX117" s="107">
        <f>_xlfn.IFNA($M117/VLOOKUP($BU117,'Unit information'!$A$2:$K$29,6,FALSE)*V117,0)*(1+$E$9)</f>
        <v>0</v>
      </c>
      <c r="AY117" s="107">
        <f>_xlfn.IFNA($M117/VLOOKUP($BU117,'Unit information'!$A$2:$K$29,7,FALSE)*W117,0)*(1+$E$9)</f>
        <v>0</v>
      </c>
      <c r="AZ117" s="107">
        <f>_xlfn.IFNA($M117/VLOOKUP($BU117,'Unit information'!$A$2:$K$29,8,FALSE)*X117,0)*(1+$E$9)</f>
        <v>0</v>
      </c>
      <c r="BA117" s="107">
        <f>_xlfn.IFNA($M117/VLOOKUP($BU117,'Unit information'!$A$2:$K$29,9,FALSE)*Y117,0)*(1+$E$9)</f>
        <v>0</v>
      </c>
      <c r="BB117" s="107">
        <f>_xlfn.IFNA($M117/VLOOKUP($BV117,'Unit information'!$A$2:$K$29,10,FALSE)*Z117,0)*(1+$E$9)</f>
        <v>0</v>
      </c>
      <c r="BC117" s="108">
        <f>_xlfn.IFNA($M117/VLOOKUP($BV117,'Unit information'!$A$2:$K$29,11,FALSE)*AA117,0)*(1+$E$9)</f>
        <v>0</v>
      </c>
      <c r="BD117" s="106">
        <f t="shared" si="100"/>
        <v>0</v>
      </c>
      <c r="BE117" s="107">
        <f t="shared" si="101"/>
        <v>0</v>
      </c>
      <c r="BF117" s="108">
        <f t="shared" si="102"/>
        <v>0</v>
      </c>
      <c r="BG117" s="25" t="e">
        <f t="shared" si="103"/>
        <v>#N/A</v>
      </c>
      <c r="BH117" s="25" t="e">
        <f t="shared" si="104"/>
        <v>#N/A</v>
      </c>
      <c r="BI117" s="25" t="e">
        <f t="shared" si="105"/>
        <v>#N/A</v>
      </c>
      <c r="BJ117" s="27" t="e">
        <f t="shared" si="106"/>
        <v>#N/A</v>
      </c>
      <c r="BK117" s="18" t="e">
        <f t="shared" si="107"/>
        <v>#N/A</v>
      </c>
      <c r="BL117" s="18" t="e">
        <f t="shared" si="108"/>
        <v>#N/A</v>
      </c>
      <c r="BM117" s="28" t="e">
        <f t="shared" si="166"/>
        <v>#N/A</v>
      </c>
      <c r="BN117" s="33">
        <f>HLOOKUP("maximum population",Miscelaneous!$C$1:$C$33,CH117+3,FALSE)</f>
        <v>240</v>
      </c>
      <c r="BO117" s="14">
        <f t="shared" si="119"/>
        <v>32</v>
      </c>
      <c r="BP117" s="14">
        <f t="shared" si="120"/>
        <v>0</v>
      </c>
      <c r="BQ117" s="14">
        <f t="shared" si="121"/>
        <v>208</v>
      </c>
      <c r="BR117" s="34" t="e">
        <f>HLOOKUP(J117,Villagers!$B$1:$V$33,L117+3,FALSE)-HLOOKUP(J117,Villagers!$B$1:$V$33,L117+2,FALSE)</f>
        <v>#N/A</v>
      </c>
      <c r="BS117" s="49">
        <f t="shared" si="122"/>
        <v>1</v>
      </c>
      <c r="BT117" s="50">
        <f t="shared" si="123"/>
        <v>0</v>
      </c>
      <c r="BU117" s="50">
        <f t="shared" si="124"/>
        <v>0</v>
      </c>
      <c r="BV117" s="50">
        <f t="shared" si="125"/>
        <v>0</v>
      </c>
      <c r="BW117" s="50">
        <f t="shared" si="182"/>
        <v>0</v>
      </c>
      <c r="BX117" s="50">
        <f t="shared" si="183"/>
        <v>0</v>
      </c>
      <c r="BY117" s="50">
        <f t="shared" si="183"/>
        <v>0</v>
      </c>
      <c r="BZ117" s="50">
        <f t="shared" si="167"/>
        <v>0</v>
      </c>
      <c r="CA117" s="50">
        <f t="shared" si="168"/>
        <v>0</v>
      </c>
      <c r="CB117" s="50">
        <f t="shared" si="169"/>
        <v>1</v>
      </c>
      <c r="CC117" s="50">
        <f t="shared" si="170"/>
        <v>0</v>
      </c>
      <c r="CD117" s="50">
        <f t="shared" si="171"/>
        <v>0</v>
      </c>
      <c r="CE117" s="50">
        <f t="shared" si="172"/>
        <v>1</v>
      </c>
      <c r="CF117" s="50">
        <f t="shared" si="173"/>
        <v>1</v>
      </c>
      <c r="CG117" s="50">
        <f t="shared" si="174"/>
        <v>1</v>
      </c>
      <c r="CH117" s="50">
        <f t="shared" si="175"/>
        <v>1</v>
      </c>
      <c r="CI117" s="50">
        <f t="shared" si="176"/>
        <v>1</v>
      </c>
      <c r="CJ117" s="50">
        <f t="shared" si="177"/>
        <v>1</v>
      </c>
      <c r="CK117" s="50">
        <f t="shared" si="177"/>
        <v>0</v>
      </c>
      <c r="CL117" s="50">
        <f t="shared" si="177"/>
        <v>0</v>
      </c>
      <c r="CM117" s="51">
        <f t="shared" si="178"/>
        <v>0</v>
      </c>
      <c r="CN117" s="33">
        <f>ROUND(IF(BS117=0,0,HLOOKUP(BS$14,Villagers!$B$1:$V$33,BS117+3,FALSE)),)</f>
        <v>5</v>
      </c>
      <c r="CO117" s="14">
        <f>ROUND(IF(BT117=0,0,HLOOKUP(BT$14,Villagers!$B$1:$V$33,BT117+3,FALSE)),)</f>
        <v>0</v>
      </c>
      <c r="CP117" s="14">
        <f>ROUND(IF(BU117=0,0,HLOOKUP(BU$14,Villagers!$B$1:$V$33,BU117+3,FALSE)),)</f>
        <v>0</v>
      </c>
      <c r="CQ117" s="14">
        <f>ROUND(IF(BV117=0,0,HLOOKUP(BV$14,Villagers!$B$1:$V$33,BV117+3,FALSE)),)</f>
        <v>0</v>
      </c>
      <c r="CR117" s="14">
        <f>ROUND(IF(BW117=0,0,HLOOKUP(BW$14,Villagers!$B$1:$V$33,BW117+3,FALSE)),)</f>
        <v>0</v>
      </c>
      <c r="CS117" s="14">
        <f>ROUND(IF(BX117=0,0,HLOOKUP(BX$14,Villagers!$B$1:$V$33,BX117+3,FALSE)),)</f>
        <v>0</v>
      </c>
      <c r="CT117" s="14">
        <f>ROUND(IF(BY117=0,0,HLOOKUP(BY$14,Villagers!$B$1:$V$33,BY117+3,FALSE)),)</f>
        <v>0</v>
      </c>
      <c r="CU117" s="14">
        <f>ROUND(IF(BZ117=0,0,HLOOKUP(BZ$14,Villagers!$B$1:$V$33,BZ117+3,FALSE)),)</f>
        <v>0</v>
      </c>
      <c r="CV117" s="14">
        <f>ROUND(IF(CA117=0,0,HLOOKUP(CA$14,Villagers!$B$1:$V$33,CA117+3,FALSE)),)</f>
        <v>0</v>
      </c>
      <c r="CW117" s="14">
        <f>ROUND(IF(CB117=0,0,HLOOKUP(CB$14,Villagers!$B$1:$V$33,CB117+3,FALSE)),)</f>
        <v>0</v>
      </c>
      <c r="CX117" s="14">
        <f>ROUND(IF(CC117=0,0,HLOOKUP(CC$14,Villagers!$B$1:$V$33,CC117+3,FALSE)),)</f>
        <v>0</v>
      </c>
      <c r="CY117" s="14">
        <f>ROUND(IF(CD117=0,0,HLOOKUP(CD$14,Villagers!$B$1:$V$33,CD117+3,FALSE)),)</f>
        <v>0</v>
      </c>
      <c r="CZ117" s="14">
        <f>ROUND(IF(CE117=0,0,HLOOKUP(CE$14,Villagers!$B$1:$V$33,CE117+3,FALSE)),)</f>
        <v>5</v>
      </c>
      <c r="DA117" s="14">
        <f>ROUND(IF(CF117=0,0,HLOOKUP(CF$14,Villagers!$B$1:$V$33,CF117+3,FALSE)),)</f>
        <v>10</v>
      </c>
      <c r="DB117" s="14">
        <f>ROUND(IF(CG117=0,0,HLOOKUP(CG$14,Villagers!$B$1:$V$33,CG117+3,FALSE)),)</f>
        <v>10</v>
      </c>
      <c r="DC117" s="14">
        <f>ROUND(IF(CH117=0,0,HLOOKUP(CH$14,Villagers!$B$1:$V$33,CH117+3,FALSE)),)</f>
        <v>0</v>
      </c>
      <c r="DD117" s="14">
        <f>ROUND(IF(CI117=0,0,HLOOKUP(CI$14,Villagers!$B$1:$V$33,CI117+3,FALSE)),)</f>
        <v>0</v>
      </c>
      <c r="DE117" s="14">
        <f>ROUND(IF(CJ117=0,0,HLOOKUP(CJ$14,Villagers!$B$1:$V$33,CJ117+3,FALSE)),)</f>
        <v>2</v>
      </c>
      <c r="DF117" s="370">
        <f>ROUND(IF(CK117=0,0,HLOOKUP(CK$14,Villagers!$B$1:$V$33,CK117+3,FALSE)),)</f>
        <v>0</v>
      </c>
      <c r="DG117" s="370">
        <f>ROUND(IF(CL117=0,0,HLOOKUP(CL$14,Villagers!$B$1:$V$33,CL117+3,FALSE)),)</f>
        <v>0</v>
      </c>
      <c r="DH117" s="34">
        <f>ROUND(IF(CM117=0,0,HLOOKUP(CM$14,Villagers!$B$1:$V$33,CM117+3,FALSE)),)</f>
        <v>0</v>
      </c>
      <c r="DI117" s="109">
        <f t="shared" si="155"/>
        <v>0</v>
      </c>
      <c r="DJ117" s="50">
        <f t="shared" si="156"/>
        <v>0</v>
      </c>
      <c r="DK117" s="50">
        <f t="shared" si="157"/>
        <v>0</v>
      </c>
      <c r="DL117" s="50">
        <f t="shared" si="158"/>
        <v>0</v>
      </c>
      <c r="DM117" s="50">
        <f t="shared" si="159"/>
        <v>0</v>
      </c>
      <c r="DN117" s="50">
        <f t="shared" si="160"/>
        <v>0</v>
      </c>
      <c r="DO117" s="50">
        <f t="shared" si="161"/>
        <v>0</v>
      </c>
      <c r="DP117" s="50">
        <f t="shared" si="162"/>
        <v>0</v>
      </c>
      <c r="DQ117" s="50">
        <f t="shared" si="140"/>
        <v>0</v>
      </c>
      <c r="DR117" s="50">
        <f t="shared" si="141"/>
        <v>0</v>
      </c>
      <c r="DS117" s="96">
        <f>Miscelaneous!$D$4*Miscelaneous!$D$2^($CI117-1)</f>
        <v>1000</v>
      </c>
      <c r="DT117" s="333">
        <f t="shared" si="109"/>
        <v>1</v>
      </c>
      <c r="DU117" s="81">
        <v>1</v>
      </c>
      <c r="DV117" s="79">
        <f t="shared" si="142"/>
        <v>0</v>
      </c>
      <c r="DW117" s="79">
        <f t="shared" si="143"/>
        <v>0</v>
      </c>
      <c r="DX117" s="79">
        <f t="shared" si="144"/>
        <v>0</v>
      </c>
      <c r="DY117" s="79">
        <v>1</v>
      </c>
      <c r="DZ117" s="79">
        <f t="shared" si="145"/>
        <v>0</v>
      </c>
      <c r="EA117" s="79">
        <f t="shared" si="146"/>
        <v>0</v>
      </c>
      <c r="EB117" s="79">
        <f t="shared" si="147"/>
        <v>0</v>
      </c>
      <c r="EC117" s="79">
        <f t="shared" si="148"/>
        <v>0</v>
      </c>
      <c r="ED117" s="79">
        <v>1</v>
      </c>
      <c r="EE117" s="79">
        <v>1</v>
      </c>
      <c r="EF117" s="79">
        <f t="shared" si="149"/>
        <v>0</v>
      </c>
      <c r="EG117" s="79">
        <v>1</v>
      </c>
      <c r="EH117" s="79">
        <v>1</v>
      </c>
      <c r="EI117" s="79">
        <v>1</v>
      </c>
      <c r="EJ117" s="79">
        <v>1</v>
      </c>
      <c r="EK117" s="79">
        <v>1</v>
      </c>
      <c r="EL117" s="79">
        <v>1</v>
      </c>
      <c r="EM117" s="143">
        <f t="shared" si="150"/>
        <v>0</v>
      </c>
      <c r="EN117" s="143">
        <f t="shared" si="151"/>
        <v>0</v>
      </c>
      <c r="EO117" s="82">
        <f t="shared" si="152"/>
        <v>0</v>
      </c>
    </row>
    <row r="118" spans="1:145" x14ac:dyDescent="0.25">
      <c r="A118">
        <v>104</v>
      </c>
      <c r="B118" s="172" t="e">
        <f t="shared" si="110"/>
        <v>#N/A</v>
      </c>
      <c r="C118" s="121" t="e">
        <f t="shared" si="89"/>
        <v>#N/A</v>
      </c>
      <c r="D118" s="122" t="e">
        <f t="shared" si="90"/>
        <v>#N/A</v>
      </c>
      <c r="E118" s="122" t="e">
        <f t="shared" si="91"/>
        <v>#N/A</v>
      </c>
      <c r="F118" s="176" t="e">
        <f t="shared" si="92"/>
        <v>#N/A</v>
      </c>
      <c r="G118" s="121">
        <f t="shared" si="111"/>
        <v>208</v>
      </c>
      <c r="H118" s="176" t="e">
        <f t="shared" si="112"/>
        <v>#N/A</v>
      </c>
      <c r="I118" s="48">
        <v>1</v>
      </c>
      <c r="J118" s="39"/>
      <c r="K118" s="350">
        <v>1</v>
      </c>
      <c r="L118" s="34" t="e">
        <f t="shared" si="93"/>
        <v>#N/A</v>
      </c>
      <c r="M118" s="38" t="e">
        <f>(HLOOKUP(J118,'Construction Times'!$B$3:$W$34,L118+2,FALSE)*HLOOKUP("hq modifier",'Construction Times'!$W$3:$W$34,BS118+2,FALSE))*(1-$H$9)</f>
        <v>#N/A</v>
      </c>
      <c r="N118" s="443" t="e">
        <f t="shared" si="113"/>
        <v>#N/A</v>
      </c>
      <c r="O118" s="444"/>
      <c r="P118" s="447" t="e">
        <f t="shared" si="114"/>
        <v>#N/A</v>
      </c>
      <c r="Q118" s="448"/>
      <c r="R118" s="103">
        <f t="shared" si="153"/>
        <v>0</v>
      </c>
      <c r="S118" s="104">
        <f t="shared" si="153"/>
        <v>0</v>
      </c>
      <c r="T118" s="104">
        <f t="shared" si="154"/>
        <v>0</v>
      </c>
      <c r="U118" s="104">
        <f t="shared" si="154"/>
        <v>0</v>
      </c>
      <c r="V118" s="104">
        <f t="shared" si="154"/>
        <v>9.9999999999999995E-8</v>
      </c>
      <c r="W118" s="104">
        <f t="shared" si="154"/>
        <v>0</v>
      </c>
      <c r="X118" s="104">
        <f t="shared" si="185"/>
        <v>0</v>
      </c>
      <c r="Y118" s="104">
        <f t="shared" si="185"/>
        <v>9.9999999999999995E-8</v>
      </c>
      <c r="Z118" s="104">
        <f t="shared" si="185"/>
        <v>9.9999999999999995E-8</v>
      </c>
      <c r="AA118" s="105">
        <f t="shared" si="185"/>
        <v>9.9999999999999995E-8</v>
      </c>
      <c r="AB118" s="101" t="e">
        <f>$DT118*HLOOKUP($J118,'Construction Costs (timber)'!$B$1:$V$32,'Construction Planner'!$L118+2,FALSE)</f>
        <v>#N/A</v>
      </c>
      <c r="AC118" s="14" t="e">
        <f>$DT118*HLOOKUP($J118,'Construction Costs (clay)'!$B$1:$V$32,'Construction Planner'!$L118+2,FALSE)</f>
        <v>#N/A</v>
      </c>
      <c r="AD118" s="14" t="e">
        <f>$DT118*HLOOKUP($J118,'Construction Costs (iron)'!$B$1:$V$32,'Construction Planner'!$L118+2,FALSE)</f>
        <v>#N/A</v>
      </c>
      <c r="AE118" s="34" t="e">
        <f t="shared" si="163"/>
        <v>#N/A</v>
      </c>
      <c r="AF118" s="33" t="e">
        <f t="shared" si="94"/>
        <v>#N/A</v>
      </c>
      <c r="AG118" s="14" t="e">
        <f t="shared" si="95"/>
        <v>#N/A</v>
      </c>
      <c r="AH118" s="14" t="e">
        <f t="shared" si="96"/>
        <v>#N/A</v>
      </c>
      <c r="AI118" s="34" t="e">
        <f t="shared" si="164"/>
        <v>#N/A</v>
      </c>
      <c r="AJ118" s="49" t="e">
        <f t="shared" si="115"/>
        <v>#N/A</v>
      </c>
      <c r="AK118" s="49" t="e">
        <f t="shared" si="116"/>
        <v>#N/A</v>
      </c>
      <c r="AL118" s="49" t="e">
        <f t="shared" si="117"/>
        <v>#N/A</v>
      </c>
      <c r="AM118" s="25">
        <f t="shared" si="97"/>
        <v>30</v>
      </c>
      <c r="AN118" s="25">
        <f t="shared" si="98"/>
        <v>30</v>
      </c>
      <c r="AO118" s="25">
        <f t="shared" si="99"/>
        <v>30</v>
      </c>
      <c r="AP118" s="52" t="e">
        <f t="shared" si="118"/>
        <v>#N/A</v>
      </c>
      <c r="AQ118" s="53" t="e">
        <f t="shared" si="118"/>
        <v>#N/A</v>
      </c>
      <c r="AR118" s="54" t="e">
        <f t="shared" si="118"/>
        <v>#N/A</v>
      </c>
      <c r="AS118" s="316">
        <f t="shared" si="186"/>
        <v>0</v>
      </c>
      <c r="AT118" s="106">
        <f>_xlfn.IFNA($M118/VLOOKUP($BT118,'Unit information'!$A$2:$K$29,2,FALSE)*R118,0)*(1+$E$9)</f>
        <v>0</v>
      </c>
      <c r="AU118" s="107">
        <f>_xlfn.IFNA($M118/VLOOKUP($BT118,'Unit information'!$A$2:$K$29,3,FALSE)*S118,0)*(1+$E$9)</f>
        <v>0</v>
      </c>
      <c r="AV118" s="107">
        <f>_xlfn.IFNA($M118/VLOOKUP($BT118,'Unit information'!$A$2:$K$29,4,FALSE)*T118,0)*(1+$E$9)</f>
        <v>0</v>
      </c>
      <c r="AW118" s="107">
        <f>_xlfn.IFNA($M118/VLOOKUP($BT118,'Unit information'!$A$2:$K$29,5,FALSE)*U118,0)*(1+$E$9)</f>
        <v>0</v>
      </c>
      <c r="AX118" s="107">
        <f>_xlfn.IFNA($M118/VLOOKUP($BU118,'Unit information'!$A$2:$K$29,6,FALSE)*V118,0)*(1+$E$9)</f>
        <v>0</v>
      </c>
      <c r="AY118" s="107">
        <f>_xlfn.IFNA($M118/VLOOKUP($BU118,'Unit information'!$A$2:$K$29,7,FALSE)*W118,0)*(1+$E$9)</f>
        <v>0</v>
      </c>
      <c r="AZ118" s="107">
        <f>_xlfn.IFNA($M118/VLOOKUP($BU118,'Unit information'!$A$2:$K$29,8,FALSE)*X118,0)*(1+$E$9)</f>
        <v>0</v>
      </c>
      <c r="BA118" s="107">
        <f>_xlfn.IFNA($M118/VLOOKUP($BU118,'Unit information'!$A$2:$K$29,9,FALSE)*Y118,0)*(1+$E$9)</f>
        <v>0</v>
      </c>
      <c r="BB118" s="107">
        <f>_xlfn.IFNA($M118/VLOOKUP($BV118,'Unit information'!$A$2:$K$29,10,FALSE)*Z118,0)*(1+$E$9)</f>
        <v>0</v>
      </c>
      <c r="BC118" s="108">
        <f>_xlfn.IFNA($M118/VLOOKUP($BV118,'Unit information'!$A$2:$K$29,11,FALSE)*AA118,0)*(1+$E$9)</f>
        <v>0</v>
      </c>
      <c r="BD118" s="106">
        <f t="shared" si="100"/>
        <v>0</v>
      </c>
      <c r="BE118" s="107">
        <f t="shared" si="101"/>
        <v>0</v>
      </c>
      <c r="BF118" s="108">
        <f t="shared" si="102"/>
        <v>0</v>
      </c>
      <c r="BG118" s="25" t="e">
        <f t="shared" si="103"/>
        <v>#N/A</v>
      </c>
      <c r="BH118" s="25" t="e">
        <f t="shared" si="104"/>
        <v>#N/A</v>
      </c>
      <c r="BI118" s="25" t="e">
        <f t="shared" si="105"/>
        <v>#N/A</v>
      </c>
      <c r="BJ118" s="27" t="e">
        <f t="shared" si="106"/>
        <v>#N/A</v>
      </c>
      <c r="BK118" s="18" t="e">
        <f t="shared" si="107"/>
        <v>#N/A</v>
      </c>
      <c r="BL118" s="18" t="e">
        <f t="shared" si="108"/>
        <v>#N/A</v>
      </c>
      <c r="BM118" s="28" t="e">
        <f t="shared" si="166"/>
        <v>#N/A</v>
      </c>
      <c r="BN118" s="33">
        <f>HLOOKUP("maximum population",Miscelaneous!$C$1:$C$33,CH118+3,FALSE)</f>
        <v>240</v>
      </c>
      <c r="BO118" s="14">
        <f t="shared" si="119"/>
        <v>32</v>
      </c>
      <c r="BP118" s="14">
        <f t="shared" si="120"/>
        <v>0</v>
      </c>
      <c r="BQ118" s="14">
        <f t="shared" si="121"/>
        <v>208</v>
      </c>
      <c r="BR118" s="34" t="e">
        <f>HLOOKUP(J118,Villagers!$B$1:$V$33,L118+3,FALSE)-HLOOKUP(J118,Villagers!$B$1:$V$33,L118+2,FALSE)</f>
        <v>#N/A</v>
      </c>
      <c r="BS118" s="49">
        <f t="shared" si="122"/>
        <v>1</v>
      </c>
      <c r="BT118" s="50">
        <f t="shared" si="123"/>
        <v>0</v>
      </c>
      <c r="BU118" s="50">
        <f t="shared" si="124"/>
        <v>0</v>
      </c>
      <c r="BV118" s="50">
        <f t="shared" si="125"/>
        <v>0</v>
      </c>
      <c r="BW118" s="50">
        <f t="shared" si="182"/>
        <v>0</v>
      </c>
      <c r="BX118" s="50">
        <f t="shared" si="183"/>
        <v>0</v>
      </c>
      <c r="BY118" s="50">
        <f t="shared" si="183"/>
        <v>0</v>
      </c>
      <c r="BZ118" s="50">
        <f t="shared" si="167"/>
        <v>0</v>
      </c>
      <c r="CA118" s="50">
        <f t="shared" si="168"/>
        <v>0</v>
      </c>
      <c r="CB118" s="50">
        <f t="shared" si="169"/>
        <v>1</v>
      </c>
      <c r="CC118" s="50">
        <f t="shared" si="170"/>
        <v>0</v>
      </c>
      <c r="CD118" s="50">
        <f t="shared" si="171"/>
        <v>0</v>
      </c>
      <c r="CE118" s="50">
        <f t="shared" si="172"/>
        <v>1</v>
      </c>
      <c r="CF118" s="50">
        <f t="shared" si="173"/>
        <v>1</v>
      </c>
      <c r="CG118" s="50">
        <f t="shared" si="174"/>
        <v>1</v>
      </c>
      <c r="CH118" s="50">
        <f t="shared" si="175"/>
        <v>1</v>
      </c>
      <c r="CI118" s="50">
        <f t="shared" si="176"/>
        <v>1</v>
      </c>
      <c r="CJ118" s="50">
        <f t="shared" si="177"/>
        <v>1</v>
      </c>
      <c r="CK118" s="50">
        <f t="shared" si="177"/>
        <v>0</v>
      </c>
      <c r="CL118" s="50">
        <f t="shared" si="177"/>
        <v>0</v>
      </c>
      <c r="CM118" s="51">
        <f t="shared" si="178"/>
        <v>0</v>
      </c>
      <c r="CN118" s="33">
        <f>ROUND(IF(BS118=0,0,HLOOKUP(BS$14,Villagers!$B$1:$V$33,BS118+3,FALSE)),)</f>
        <v>5</v>
      </c>
      <c r="CO118" s="14">
        <f>ROUND(IF(BT118=0,0,HLOOKUP(BT$14,Villagers!$B$1:$V$33,BT118+3,FALSE)),)</f>
        <v>0</v>
      </c>
      <c r="CP118" s="14">
        <f>ROUND(IF(BU118=0,0,HLOOKUP(BU$14,Villagers!$B$1:$V$33,BU118+3,FALSE)),)</f>
        <v>0</v>
      </c>
      <c r="CQ118" s="14">
        <f>ROUND(IF(BV118=0,0,HLOOKUP(BV$14,Villagers!$B$1:$V$33,BV118+3,FALSE)),)</f>
        <v>0</v>
      </c>
      <c r="CR118" s="14">
        <f>ROUND(IF(BW118=0,0,HLOOKUP(BW$14,Villagers!$B$1:$V$33,BW118+3,FALSE)),)</f>
        <v>0</v>
      </c>
      <c r="CS118" s="14">
        <f>ROUND(IF(BX118=0,0,HLOOKUP(BX$14,Villagers!$B$1:$V$33,BX118+3,FALSE)),)</f>
        <v>0</v>
      </c>
      <c r="CT118" s="14">
        <f>ROUND(IF(BY118=0,0,HLOOKUP(BY$14,Villagers!$B$1:$V$33,BY118+3,FALSE)),)</f>
        <v>0</v>
      </c>
      <c r="CU118" s="14">
        <f>ROUND(IF(BZ118=0,0,HLOOKUP(BZ$14,Villagers!$B$1:$V$33,BZ118+3,FALSE)),)</f>
        <v>0</v>
      </c>
      <c r="CV118" s="14">
        <f>ROUND(IF(CA118=0,0,HLOOKUP(CA$14,Villagers!$B$1:$V$33,CA118+3,FALSE)),)</f>
        <v>0</v>
      </c>
      <c r="CW118" s="14">
        <f>ROUND(IF(CB118=0,0,HLOOKUP(CB$14,Villagers!$B$1:$V$33,CB118+3,FALSE)),)</f>
        <v>0</v>
      </c>
      <c r="CX118" s="14">
        <f>ROUND(IF(CC118=0,0,HLOOKUP(CC$14,Villagers!$B$1:$V$33,CC118+3,FALSE)),)</f>
        <v>0</v>
      </c>
      <c r="CY118" s="14">
        <f>ROUND(IF(CD118=0,0,HLOOKUP(CD$14,Villagers!$B$1:$V$33,CD118+3,FALSE)),)</f>
        <v>0</v>
      </c>
      <c r="CZ118" s="14">
        <f>ROUND(IF(CE118=0,0,HLOOKUP(CE$14,Villagers!$B$1:$V$33,CE118+3,FALSE)),)</f>
        <v>5</v>
      </c>
      <c r="DA118" s="14">
        <f>ROUND(IF(CF118=0,0,HLOOKUP(CF$14,Villagers!$B$1:$V$33,CF118+3,FALSE)),)</f>
        <v>10</v>
      </c>
      <c r="DB118" s="14">
        <f>ROUND(IF(CG118=0,0,HLOOKUP(CG$14,Villagers!$B$1:$V$33,CG118+3,FALSE)),)</f>
        <v>10</v>
      </c>
      <c r="DC118" s="14">
        <f>ROUND(IF(CH118=0,0,HLOOKUP(CH$14,Villagers!$B$1:$V$33,CH118+3,FALSE)),)</f>
        <v>0</v>
      </c>
      <c r="DD118" s="14">
        <f>ROUND(IF(CI118=0,0,HLOOKUP(CI$14,Villagers!$B$1:$V$33,CI118+3,FALSE)),)</f>
        <v>0</v>
      </c>
      <c r="DE118" s="14">
        <f>ROUND(IF(CJ118=0,0,HLOOKUP(CJ$14,Villagers!$B$1:$V$33,CJ118+3,FALSE)),)</f>
        <v>2</v>
      </c>
      <c r="DF118" s="370">
        <f>ROUND(IF(CK118=0,0,HLOOKUP(CK$14,Villagers!$B$1:$V$33,CK118+3,FALSE)),)</f>
        <v>0</v>
      </c>
      <c r="DG118" s="370">
        <f>ROUND(IF(CL118=0,0,HLOOKUP(CL$14,Villagers!$B$1:$V$33,CL118+3,FALSE)),)</f>
        <v>0</v>
      </c>
      <c r="DH118" s="34">
        <f>ROUND(IF(CM118=0,0,HLOOKUP(CM$14,Villagers!$B$1:$V$33,CM118+3,FALSE)),)</f>
        <v>0</v>
      </c>
      <c r="DI118" s="109">
        <f t="shared" si="155"/>
        <v>0</v>
      </c>
      <c r="DJ118" s="50">
        <f t="shared" si="156"/>
        <v>0</v>
      </c>
      <c r="DK118" s="50">
        <f t="shared" si="157"/>
        <v>0</v>
      </c>
      <c r="DL118" s="50">
        <f t="shared" si="158"/>
        <v>0</v>
      </c>
      <c r="DM118" s="50">
        <f t="shared" si="159"/>
        <v>0</v>
      </c>
      <c r="DN118" s="50">
        <f t="shared" si="160"/>
        <v>0</v>
      </c>
      <c r="DO118" s="50">
        <f t="shared" si="161"/>
        <v>0</v>
      </c>
      <c r="DP118" s="50">
        <f t="shared" si="162"/>
        <v>0</v>
      </c>
      <c r="DQ118" s="50">
        <f t="shared" si="140"/>
        <v>0</v>
      </c>
      <c r="DR118" s="50">
        <f t="shared" si="141"/>
        <v>0</v>
      </c>
      <c r="DS118" s="96">
        <f>Miscelaneous!$D$4*Miscelaneous!$D$2^($CI118-1)</f>
        <v>1000</v>
      </c>
      <c r="DT118" s="333">
        <f t="shared" si="109"/>
        <v>1</v>
      </c>
      <c r="DU118" s="81">
        <v>1</v>
      </c>
      <c r="DV118" s="79">
        <f t="shared" si="142"/>
        <v>0</v>
      </c>
      <c r="DW118" s="79">
        <f t="shared" si="143"/>
        <v>0</v>
      </c>
      <c r="DX118" s="79">
        <f t="shared" si="144"/>
        <v>0</v>
      </c>
      <c r="DY118" s="79">
        <v>1</v>
      </c>
      <c r="DZ118" s="79">
        <f t="shared" si="145"/>
        <v>0</v>
      </c>
      <c r="EA118" s="79">
        <f t="shared" si="146"/>
        <v>0</v>
      </c>
      <c r="EB118" s="79">
        <f t="shared" si="147"/>
        <v>0</v>
      </c>
      <c r="EC118" s="79">
        <f t="shared" si="148"/>
        <v>0</v>
      </c>
      <c r="ED118" s="79">
        <v>1</v>
      </c>
      <c r="EE118" s="79">
        <v>1</v>
      </c>
      <c r="EF118" s="79">
        <f t="shared" si="149"/>
        <v>0</v>
      </c>
      <c r="EG118" s="79">
        <v>1</v>
      </c>
      <c r="EH118" s="79">
        <v>1</v>
      </c>
      <c r="EI118" s="79">
        <v>1</v>
      </c>
      <c r="EJ118" s="79">
        <v>1</v>
      </c>
      <c r="EK118" s="79">
        <v>1</v>
      </c>
      <c r="EL118" s="79">
        <v>1</v>
      </c>
      <c r="EM118" s="143">
        <f t="shared" si="150"/>
        <v>0</v>
      </c>
      <c r="EN118" s="143">
        <f t="shared" si="151"/>
        <v>0</v>
      </c>
      <c r="EO118" s="82">
        <f t="shared" si="152"/>
        <v>0</v>
      </c>
    </row>
    <row r="119" spans="1:145" x14ac:dyDescent="0.25">
      <c r="A119">
        <v>105</v>
      </c>
      <c r="B119" s="172" t="e">
        <f t="shared" si="110"/>
        <v>#N/A</v>
      </c>
      <c r="C119" s="121" t="e">
        <f t="shared" si="89"/>
        <v>#N/A</v>
      </c>
      <c r="D119" s="122" t="e">
        <f t="shared" si="90"/>
        <v>#N/A</v>
      </c>
      <c r="E119" s="122" t="e">
        <f t="shared" si="91"/>
        <v>#N/A</v>
      </c>
      <c r="F119" s="176" t="e">
        <f t="shared" si="92"/>
        <v>#N/A</v>
      </c>
      <c r="G119" s="121">
        <f t="shared" si="111"/>
        <v>208</v>
      </c>
      <c r="H119" s="176" t="e">
        <f t="shared" si="112"/>
        <v>#N/A</v>
      </c>
      <c r="I119" s="48">
        <v>1</v>
      </c>
      <c r="J119" s="39"/>
      <c r="K119" s="350">
        <v>1</v>
      </c>
      <c r="L119" s="34" t="e">
        <f t="shared" si="93"/>
        <v>#N/A</v>
      </c>
      <c r="M119" s="38" t="e">
        <f>(HLOOKUP(J119,'Construction Times'!$B$3:$W$34,L119+2,FALSE)*HLOOKUP("hq modifier",'Construction Times'!$W$3:$W$34,BS119+2,FALSE))*(1-$H$9)</f>
        <v>#N/A</v>
      </c>
      <c r="N119" s="443" t="e">
        <f t="shared" si="113"/>
        <v>#N/A</v>
      </c>
      <c r="O119" s="444"/>
      <c r="P119" s="447" t="e">
        <f t="shared" si="114"/>
        <v>#N/A</v>
      </c>
      <c r="Q119" s="448"/>
      <c r="R119" s="103">
        <f t="shared" si="153"/>
        <v>0</v>
      </c>
      <c r="S119" s="104">
        <f t="shared" si="153"/>
        <v>0</v>
      </c>
      <c r="T119" s="104">
        <f t="shared" si="154"/>
        <v>0</v>
      </c>
      <c r="U119" s="104">
        <f t="shared" si="154"/>
        <v>0</v>
      </c>
      <c r="V119" s="104">
        <f t="shared" si="154"/>
        <v>9.9999999999999995E-8</v>
      </c>
      <c r="W119" s="104">
        <f t="shared" si="154"/>
        <v>0</v>
      </c>
      <c r="X119" s="104">
        <f t="shared" si="185"/>
        <v>0</v>
      </c>
      <c r="Y119" s="104">
        <f t="shared" si="185"/>
        <v>9.9999999999999995E-8</v>
      </c>
      <c r="Z119" s="104">
        <f t="shared" si="185"/>
        <v>9.9999999999999995E-8</v>
      </c>
      <c r="AA119" s="105">
        <f t="shared" si="185"/>
        <v>9.9999999999999995E-8</v>
      </c>
      <c r="AB119" s="101" t="e">
        <f>$DT119*HLOOKUP($J119,'Construction Costs (timber)'!$B$1:$V$32,'Construction Planner'!$L119+2,FALSE)</f>
        <v>#N/A</v>
      </c>
      <c r="AC119" s="14" t="e">
        <f>$DT119*HLOOKUP($J119,'Construction Costs (clay)'!$B$1:$V$32,'Construction Planner'!$L119+2,FALSE)</f>
        <v>#N/A</v>
      </c>
      <c r="AD119" s="14" t="e">
        <f>$DT119*HLOOKUP($J119,'Construction Costs (iron)'!$B$1:$V$32,'Construction Planner'!$L119+2,FALSE)</f>
        <v>#N/A</v>
      </c>
      <c r="AE119" s="34" t="e">
        <f t="shared" si="163"/>
        <v>#N/A</v>
      </c>
      <c r="AF119" s="33" t="e">
        <f t="shared" si="94"/>
        <v>#N/A</v>
      </c>
      <c r="AG119" s="14" t="e">
        <f t="shared" si="95"/>
        <v>#N/A</v>
      </c>
      <c r="AH119" s="14" t="e">
        <f t="shared" si="96"/>
        <v>#N/A</v>
      </c>
      <c r="AI119" s="34" t="e">
        <f t="shared" si="164"/>
        <v>#N/A</v>
      </c>
      <c r="AJ119" s="49" t="e">
        <f t="shared" si="115"/>
        <v>#N/A</v>
      </c>
      <c r="AK119" s="49" t="e">
        <f t="shared" si="116"/>
        <v>#N/A</v>
      </c>
      <c r="AL119" s="49" t="e">
        <f t="shared" si="117"/>
        <v>#N/A</v>
      </c>
      <c r="AM119" s="25">
        <f t="shared" si="97"/>
        <v>30</v>
      </c>
      <c r="AN119" s="25">
        <f t="shared" si="98"/>
        <v>30</v>
      </c>
      <c r="AO119" s="25">
        <f t="shared" si="99"/>
        <v>30</v>
      </c>
      <c r="AP119" s="52" t="e">
        <f t="shared" si="118"/>
        <v>#N/A</v>
      </c>
      <c r="AQ119" s="53" t="e">
        <f t="shared" si="118"/>
        <v>#N/A</v>
      </c>
      <c r="AR119" s="54" t="e">
        <f t="shared" si="118"/>
        <v>#N/A</v>
      </c>
      <c r="AS119" s="316">
        <f t="shared" si="186"/>
        <v>0</v>
      </c>
      <c r="AT119" s="106">
        <f>_xlfn.IFNA($M119/VLOOKUP($BT119,'Unit information'!$A$2:$K$29,2,FALSE)*R119,0)*(1+$E$9)</f>
        <v>0</v>
      </c>
      <c r="AU119" s="107">
        <f>_xlfn.IFNA($M119/VLOOKUP($BT119,'Unit information'!$A$2:$K$29,3,FALSE)*S119,0)*(1+$E$9)</f>
        <v>0</v>
      </c>
      <c r="AV119" s="107">
        <f>_xlfn.IFNA($M119/VLOOKUP($BT119,'Unit information'!$A$2:$K$29,4,FALSE)*T119,0)*(1+$E$9)</f>
        <v>0</v>
      </c>
      <c r="AW119" s="107">
        <f>_xlfn.IFNA($M119/VLOOKUP($BT119,'Unit information'!$A$2:$K$29,5,FALSE)*U119,0)*(1+$E$9)</f>
        <v>0</v>
      </c>
      <c r="AX119" s="107">
        <f>_xlfn.IFNA($M119/VLOOKUP($BU119,'Unit information'!$A$2:$K$29,6,FALSE)*V119,0)*(1+$E$9)</f>
        <v>0</v>
      </c>
      <c r="AY119" s="107">
        <f>_xlfn.IFNA($M119/VLOOKUP($BU119,'Unit information'!$A$2:$K$29,7,FALSE)*W119,0)*(1+$E$9)</f>
        <v>0</v>
      </c>
      <c r="AZ119" s="107">
        <f>_xlfn.IFNA($M119/VLOOKUP($BU119,'Unit information'!$A$2:$K$29,8,FALSE)*X119,0)*(1+$E$9)</f>
        <v>0</v>
      </c>
      <c r="BA119" s="107">
        <f>_xlfn.IFNA($M119/VLOOKUP($BU119,'Unit information'!$A$2:$K$29,9,FALSE)*Y119,0)*(1+$E$9)</f>
        <v>0</v>
      </c>
      <c r="BB119" s="107">
        <f>_xlfn.IFNA($M119/VLOOKUP($BV119,'Unit information'!$A$2:$K$29,10,FALSE)*Z119,0)*(1+$E$9)</f>
        <v>0</v>
      </c>
      <c r="BC119" s="108">
        <f>_xlfn.IFNA($M119/VLOOKUP($BV119,'Unit information'!$A$2:$K$29,11,FALSE)*AA119,0)*(1+$E$9)</f>
        <v>0</v>
      </c>
      <c r="BD119" s="106">
        <f t="shared" si="100"/>
        <v>0</v>
      </c>
      <c r="BE119" s="107">
        <f t="shared" si="101"/>
        <v>0</v>
      </c>
      <c r="BF119" s="108">
        <f t="shared" si="102"/>
        <v>0</v>
      </c>
      <c r="BG119" s="25" t="e">
        <f t="shared" si="103"/>
        <v>#N/A</v>
      </c>
      <c r="BH119" s="25" t="e">
        <f t="shared" si="104"/>
        <v>#N/A</v>
      </c>
      <c r="BI119" s="25" t="e">
        <f t="shared" si="105"/>
        <v>#N/A</v>
      </c>
      <c r="BJ119" s="27" t="e">
        <f t="shared" si="106"/>
        <v>#N/A</v>
      </c>
      <c r="BK119" s="18" t="e">
        <f t="shared" si="107"/>
        <v>#N/A</v>
      </c>
      <c r="BL119" s="18" t="e">
        <f t="shared" si="108"/>
        <v>#N/A</v>
      </c>
      <c r="BM119" s="28" t="e">
        <f t="shared" si="166"/>
        <v>#N/A</v>
      </c>
      <c r="BN119" s="33">
        <f>HLOOKUP("maximum population",Miscelaneous!$C$1:$C$33,CH119+3,FALSE)</f>
        <v>240</v>
      </c>
      <c r="BO119" s="14">
        <f t="shared" si="119"/>
        <v>32</v>
      </c>
      <c r="BP119" s="14">
        <f t="shared" si="120"/>
        <v>0</v>
      </c>
      <c r="BQ119" s="14">
        <f t="shared" si="121"/>
        <v>208</v>
      </c>
      <c r="BR119" s="34" t="e">
        <f>HLOOKUP(J119,Villagers!$B$1:$V$33,L119+3,FALSE)-HLOOKUP(J119,Villagers!$B$1:$V$33,L119+2,FALSE)</f>
        <v>#N/A</v>
      </c>
      <c r="BS119" s="49">
        <f t="shared" si="122"/>
        <v>1</v>
      </c>
      <c r="BT119" s="50">
        <f t="shared" si="123"/>
        <v>0</v>
      </c>
      <c r="BU119" s="50">
        <f t="shared" si="124"/>
        <v>0</v>
      </c>
      <c r="BV119" s="50">
        <f t="shared" si="125"/>
        <v>0</v>
      </c>
      <c r="BW119" s="50">
        <f>IF($J118=BW$14,$L118,BW118)</f>
        <v>0</v>
      </c>
      <c r="BX119" s="50">
        <f t="shared" ref="BX119:BY127" si="187">IF($J118=BX$14,$L118,BX118)</f>
        <v>0</v>
      </c>
      <c r="BY119" s="50">
        <f t="shared" si="187"/>
        <v>0</v>
      </c>
      <c r="BZ119" s="50">
        <f t="shared" si="167"/>
        <v>0</v>
      </c>
      <c r="CA119" s="50">
        <f t="shared" si="168"/>
        <v>0</v>
      </c>
      <c r="CB119" s="50">
        <f t="shared" si="169"/>
        <v>1</v>
      </c>
      <c r="CC119" s="50">
        <f t="shared" si="170"/>
        <v>0</v>
      </c>
      <c r="CD119" s="50">
        <f t="shared" si="171"/>
        <v>0</v>
      </c>
      <c r="CE119" s="50">
        <f t="shared" si="172"/>
        <v>1</v>
      </c>
      <c r="CF119" s="50">
        <f t="shared" si="173"/>
        <v>1</v>
      </c>
      <c r="CG119" s="50">
        <f t="shared" si="174"/>
        <v>1</v>
      </c>
      <c r="CH119" s="50">
        <f t="shared" si="175"/>
        <v>1</v>
      </c>
      <c r="CI119" s="50">
        <f t="shared" si="176"/>
        <v>1</v>
      </c>
      <c r="CJ119" s="50">
        <f t="shared" si="177"/>
        <v>1</v>
      </c>
      <c r="CK119" s="50">
        <f t="shared" si="177"/>
        <v>0</v>
      </c>
      <c r="CL119" s="50">
        <f t="shared" si="177"/>
        <v>0</v>
      </c>
      <c r="CM119" s="51">
        <f t="shared" si="178"/>
        <v>0</v>
      </c>
      <c r="CN119" s="33">
        <f>ROUND(IF(BS119=0,0,HLOOKUP(BS$14,Villagers!$B$1:$V$33,BS119+3,FALSE)),)</f>
        <v>5</v>
      </c>
      <c r="CO119" s="14">
        <f>ROUND(IF(BT119=0,0,HLOOKUP(BT$14,Villagers!$B$1:$V$33,BT119+3,FALSE)),)</f>
        <v>0</v>
      </c>
      <c r="CP119" s="14">
        <f>ROUND(IF(BU119=0,0,HLOOKUP(BU$14,Villagers!$B$1:$V$33,BU119+3,FALSE)),)</f>
        <v>0</v>
      </c>
      <c r="CQ119" s="14">
        <f>ROUND(IF(BV119=0,0,HLOOKUP(BV$14,Villagers!$B$1:$V$33,BV119+3,FALSE)),)</f>
        <v>0</v>
      </c>
      <c r="CR119" s="14">
        <f>ROUND(IF(BW119=0,0,HLOOKUP(BW$14,Villagers!$B$1:$V$33,BW119+3,FALSE)),)</f>
        <v>0</v>
      </c>
      <c r="CS119" s="14">
        <f>ROUND(IF(BX119=0,0,HLOOKUP(BX$14,Villagers!$B$1:$V$33,BX119+3,FALSE)),)</f>
        <v>0</v>
      </c>
      <c r="CT119" s="14">
        <f>ROUND(IF(BY119=0,0,HLOOKUP(BY$14,Villagers!$B$1:$V$33,BY119+3,FALSE)),)</f>
        <v>0</v>
      </c>
      <c r="CU119" s="14">
        <f>ROUND(IF(BZ119=0,0,HLOOKUP(BZ$14,Villagers!$B$1:$V$33,BZ119+3,FALSE)),)</f>
        <v>0</v>
      </c>
      <c r="CV119" s="14">
        <f>ROUND(IF(CA119=0,0,HLOOKUP(CA$14,Villagers!$B$1:$V$33,CA119+3,FALSE)),)</f>
        <v>0</v>
      </c>
      <c r="CW119" s="14">
        <f>ROUND(IF(CB119=0,0,HLOOKUP(CB$14,Villagers!$B$1:$V$33,CB119+3,FALSE)),)</f>
        <v>0</v>
      </c>
      <c r="CX119" s="14">
        <f>ROUND(IF(CC119=0,0,HLOOKUP(CC$14,Villagers!$B$1:$V$33,CC119+3,FALSE)),)</f>
        <v>0</v>
      </c>
      <c r="CY119" s="14">
        <f>ROUND(IF(CD119=0,0,HLOOKUP(CD$14,Villagers!$B$1:$V$33,CD119+3,FALSE)),)</f>
        <v>0</v>
      </c>
      <c r="CZ119" s="14">
        <f>ROUND(IF(CE119=0,0,HLOOKUP(CE$14,Villagers!$B$1:$V$33,CE119+3,FALSE)),)</f>
        <v>5</v>
      </c>
      <c r="DA119" s="14">
        <f>ROUND(IF(CF119=0,0,HLOOKUP(CF$14,Villagers!$B$1:$V$33,CF119+3,FALSE)),)</f>
        <v>10</v>
      </c>
      <c r="DB119" s="14">
        <f>ROUND(IF(CG119=0,0,HLOOKUP(CG$14,Villagers!$B$1:$V$33,CG119+3,FALSE)),)</f>
        <v>10</v>
      </c>
      <c r="DC119" s="14">
        <f>ROUND(IF(CH119=0,0,HLOOKUP(CH$14,Villagers!$B$1:$V$33,CH119+3,FALSE)),)</f>
        <v>0</v>
      </c>
      <c r="DD119" s="14">
        <f>ROUND(IF(CI119=0,0,HLOOKUP(CI$14,Villagers!$B$1:$V$33,CI119+3,FALSE)),)</f>
        <v>0</v>
      </c>
      <c r="DE119" s="14">
        <f>ROUND(IF(CJ119=0,0,HLOOKUP(CJ$14,Villagers!$B$1:$V$33,CJ119+3,FALSE)),)</f>
        <v>2</v>
      </c>
      <c r="DF119" s="370">
        <f>ROUND(IF(CK119=0,0,HLOOKUP(CK$14,Villagers!$B$1:$V$33,CK119+3,FALSE)),)</f>
        <v>0</v>
      </c>
      <c r="DG119" s="370">
        <f>ROUND(IF(CL119=0,0,HLOOKUP(CL$14,Villagers!$B$1:$V$33,CL119+3,FALSE)),)</f>
        <v>0</v>
      </c>
      <c r="DH119" s="34">
        <f>ROUND(IF(CM119=0,0,HLOOKUP(CM$14,Villagers!$B$1:$V$33,CM119+3,FALSE)),)</f>
        <v>0</v>
      </c>
      <c r="DI119" s="109">
        <f t="shared" si="155"/>
        <v>0</v>
      </c>
      <c r="DJ119" s="50">
        <f t="shared" si="156"/>
        <v>0</v>
      </c>
      <c r="DK119" s="50">
        <f t="shared" si="157"/>
        <v>0</v>
      </c>
      <c r="DL119" s="50">
        <f t="shared" si="158"/>
        <v>0</v>
      </c>
      <c r="DM119" s="50">
        <f t="shared" si="159"/>
        <v>0</v>
      </c>
      <c r="DN119" s="50">
        <f t="shared" si="160"/>
        <v>0</v>
      </c>
      <c r="DO119" s="50">
        <f t="shared" si="161"/>
        <v>0</v>
      </c>
      <c r="DP119" s="50">
        <f t="shared" si="162"/>
        <v>0</v>
      </c>
      <c r="DQ119" s="50">
        <f t="shared" si="140"/>
        <v>0</v>
      </c>
      <c r="DR119" s="50">
        <f t="shared" si="141"/>
        <v>0</v>
      </c>
      <c r="DS119" s="96">
        <f>Miscelaneous!$D$4*Miscelaneous!$D$2^($CI119-1)</f>
        <v>1000</v>
      </c>
      <c r="DT119" s="333">
        <f t="shared" si="109"/>
        <v>1</v>
      </c>
      <c r="DU119" s="81">
        <v>1</v>
      </c>
      <c r="DV119" s="79">
        <f t="shared" si="142"/>
        <v>0</v>
      </c>
      <c r="DW119" s="79">
        <f t="shared" si="143"/>
        <v>0</v>
      </c>
      <c r="DX119" s="79">
        <f t="shared" si="144"/>
        <v>0</v>
      </c>
      <c r="DY119" s="79">
        <v>1</v>
      </c>
      <c r="DZ119" s="79">
        <f t="shared" si="145"/>
        <v>0</v>
      </c>
      <c r="EA119" s="79">
        <f t="shared" si="146"/>
        <v>0</v>
      </c>
      <c r="EB119" s="79">
        <f t="shared" si="147"/>
        <v>0</v>
      </c>
      <c r="EC119" s="79">
        <f t="shared" si="148"/>
        <v>0</v>
      </c>
      <c r="ED119" s="79">
        <v>1</v>
      </c>
      <c r="EE119" s="79">
        <v>1</v>
      </c>
      <c r="EF119" s="79">
        <f t="shared" si="149"/>
        <v>0</v>
      </c>
      <c r="EG119" s="79">
        <v>1</v>
      </c>
      <c r="EH119" s="79">
        <v>1</v>
      </c>
      <c r="EI119" s="79">
        <v>1</v>
      </c>
      <c r="EJ119" s="79">
        <v>1</v>
      </c>
      <c r="EK119" s="79">
        <v>1</v>
      </c>
      <c r="EL119" s="79">
        <v>1</v>
      </c>
      <c r="EM119" s="143">
        <f t="shared" si="150"/>
        <v>0</v>
      </c>
      <c r="EN119" s="143">
        <f t="shared" si="151"/>
        <v>0</v>
      </c>
      <c r="EO119" s="82">
        <f t="shared" si="152"/>
        <v>0</v>
      </c>
    </row>
    <row r="120" spans="1:145" x14ac:dyDescent="0.25">
      <c r="A120">
        <v>106</v>
      </c>
      <c r="B120" s="172" t="e">
        <f t="shared" si="110"/>
        <v>#N/A</v>
      </c>
      <c r="C120" s="121" t="e">
        <f t="shared" si="89"/>
        <v>#N/A</v>
      </c>
      <c r="D120" s="122" t="e">
        <f t="shared" si="90"/>
        <v>#N/A</v>
      </c>
      <c r="E120" s="122" t="e">
        <f t="shared" si="91"/>
        <v>#N/A</v>
      </c>
      <c r="F120" s="176" t="e">
        <f t="shared" si="92"/>
        <v>#N/A</v>
      </c>
      <c r="G120" s="121">
        <f t="shared" si="111"/>
        <v>208</v>
      </c>
      <c r="H120" s="176" t="e">
        <f t="shared" si="112"/>
        <v>#N/A</v>
      </c>
      <c r="I120" s="48">
        <v>1</v>
      </c>
      <c r="J120" s="39"/>
      <c r="K120" s="350">
        <v>1</v>
      </c>
      <c r="L120" s="34" t="e">
        <f t="shared" si="93"/>
        <v>#N/A</v>
      </c>
      <c r="M120" s="38" t="e">
        <f>(HLOOKUP(J120,'Construction Times'!$B$3:$W$34,L120+2,FALSE)*HLOOKUP("hq modifier",'Construction Times'!$W$3:$W$34,BS120+2,FALSE))*(1-$H$9)</f>
        <v>#N/A</v>
      </c>
      <c r="N120" s="443" t="e">
        <f t="shared" si="113"/>
        <v>#N/A</v>
      </c>
      <c r="O120" s="444"/>
      <c r="P120" s="447" t="e">
        <f t="shared" si="114"/>
        <v>#N/A</v>
      </c>
      <c r="Q120" s="448"/>
      <c r="R120" s="103">
        <f t="shared" si="153"/>
        <v>0</v>
      </c>
      <c r="S120" s="104">
        <f t="shared" si="153"/>
        <v>0</v>
      </c>
      <c r="T120" s="104">
        <f t="shared" si="154"/>
        <v>0</v>
      </c>
      <c r="U120" s="104">
        <f t="shared" si="154"/>
        <v>0</v>
      </c>
      <c r="V120" s="104">
        <f t="shared" si="154"/>
        <v>9.9999999999999995E-8</v>
      </c>
      <c r="W120" s="104">
        <f t="shared" si="154"/>
        <v>0</v>
      </c>
      <c r="X120" s="104">
        <f t="shared" si="185"/>
        <v>0</v>
      </c>
      <c r="Y120" s="104">
        <f t="shared" si="185"/>
        <v>9.9999999999999995E-8</v>
      </c>
      <c r="Z120" s="104">
        <f t="shared" si="185"/>
        <v>9.9999999999999995E-8</v>
      </c>
      <c r="AA120" s="105">
        <f t="shared" si="185"/>
        <v>9.9999999999999995E-8</v>
      </c>
      <c r="AB120" s="101" t="e">
        <f>$DT120*HLOOKUP($J120,'Construction Costs (timber)'!$B$1:$V$32,'Construction Planner'!$L120+2,FALSE)</f>
        <v>#N/A</v>
      </c>
      <c r="AC120" s="14" t="e">
        <f>$DT120*HLOOKUP($J120,'Construction Costs (clay)'!$B$1:$V$32,'Construction Planner'!$L120+2,FALSE)</f>
        <v>#N/A</v>
      </c>
      <c r="AD120" s="14" t="e">
        <f>$DT120*HLOOKUP($J120,'Construction Costs (iron)'!$B$1:$V$32,'Construction Planner'!$L120+2,FALSE)</f>
        <v>#N/A</v>
      </c>
      <c r="AE120" s="34" t="e">
        <f t="shared" si="163"/>
        <v>#N/A</v>
      </c>
      <c r="AF120" s="33" t="e">
        <f t="shared" si="94"/>
        <v>#N/A</v>
      </c>
      <c r="AG120" s="14" t="e">
        <f t="shared" si="95"/>
        <v>#N/A</v>
      </c>
      <c r="AH120" s="14" t="e">
        <f t="shared" si="96"/>
        <v>#N/A</v>
      </c>
      <c r="AI120" s="34" t="e">
        <f t="shared" si="164"/>
        <v>#N/A</v>
      </c>
      <c r="AJ120" s="49" t="e">
        <f t="shared" si="115"/>
        <v>#N/A</v>
      </c>
      <c r="AK120" s="49" t="e">
        <f t="shared" si="116"/>
        <v>#N/A</v>
      </c>
      <c r="AL120" s="49" t="e">
        <f t="shared" si="117"/>
        <v>#N/A</v>
      </c>
      <c r="AM120" s="25">
        <f t="shared" si="97"/>
        <v>30</v>
      </c>
      <c r="AN120" s="25">
        <f t="shared" si="98"/>
        <v>30</v>
      </c>
      <c r="AO120" s="25">
        <f t="shared" si="99"/>
        <v>30</v>
      </c>
      <c r="AP120" s="52" t="e">
        <f t="shared" si="118"/>
        <v>#N/A</v>
      </c>
      <c r="AQ120" s="53" t="e">
        <f t="shared" si="118"/>
        <v>#N/A</v>
      </c>
      <c r="AR120" s="54" t="e">
        <f t="shared" si="118"/>
        <v>#N/A</v>
      </c>
      <c r="AS120" s="316">
        <f t="shared" si="186"/>
        <v>0</v>
      </c>
      <c r="AT120" s="106">
        <f>_xlfn.IFNA($M120/VLOOKUP($BT120,'Unit information'!$A$2:$K$29,2,FALSE)*R120,0)*(1+$E$9)</f>
        <v>0</v>
      </c>
      <c r="AU120" s="107">
        <f>_xlfn.IFNA($M120/VLOOKUP($BT120,'Unit information'!$A$2:$K$29,3,FALSE)*S120,0)*(1+$E$9)</f>
        <v>0</v>
      </c>
      <c r="AV120" s="107">
        <f>_xlfn.IFNA($M120/VLOOKUP($BT120,'Unit information'!$A$2:$K$29,4,FALSE)*T120,0)*(1+$E$9)</f>
        <v>0</v>
      </c>
      <c r="AW120" s="107">
        <f>_xlfn.IFNA($M120/VLOOKUP($BT120,'Unit information'!$A$2:$K$29,5,FALSE)*U120,0)*(1+$E$9)</f>
        <v>0</v>
      </c>
      <c r="AX120" s="107">
        <f>_xlfn.IFNA($M120/VLOOKUP($BU120,'Unit information'!$A$2:$K$29,6,FALSE)*V120,0)*(1+$E$9)</f>
        <v>0</v>
      </c>
      <c r="AY120" s="107">
        <f>_xlfn.IFNA($M120/VLOOKUP($BU120,'Unit information'!$A$2:$K$29,7,FALSE)*W120,0)*(1+$E$9)</f>
        <v>0</v>
      </c>
      <c r="AZ120" s="107">
        <f>_xlfn.IFNA($M120/VLOOKUP($BU120,'Unit information'!$A$2:$K$29,8,FALSE)*X120,0)*(1+$E$9)</f>
        <v>0</v>
      </c>
      <c r="BA120" s="107">
        <f>_xlfn.IFNA($M120/VLOOKUP($BU120,'Unit information'!$A$2:$K$29,9,FALSE)*Y120,0)*(1+$E$9)</f>
        <v>0</v>
      </c>
      <c r="BB120" s="107">
        <f>_xlfn.IFNA($M120/VLOOKUP($BV120,'Unit information'!$A$2:$K$29,10,FALSE)*Z120,0)*(1+$E$9)</f>
        <v>0</v>
      </c>
      <c r="BC120" s="108">
        <f>_xlfn.IFNA($M120/VLOOKUP($BV120,'Unit information'!$A$2:$K$29,11,FALSE)*AA120,0)*(1+$E$9)</f>
        <v>0</v>
      </c>
      <c r="BD120" s="106">
        <f t="shared" si="100"/>
        <v>0</v>
      </c>
      <c r="BE120" s="107">
        <f t="shared" si="101"/>
        <v>0</v>
      </c>
      <c r="BF120" s="108">
        <f t="shared" si="102"/>
        <v>0</v>
      </c>
      <c r="BG120" s="25" t="e">
        <f t="shared" si="103"/>
        <v>#N/A</v>
      </c>
      <c r="BH120" s="25" t="e">
        <f t="shared" si="104"/>
        <v>#N/A</v>
      </c>
      <c r="BI120" s="25" t="e">
        <f t="shared" si="105"/>
        <v>#N/A</v>
      </c>
      <c r="BJ120" s="27" t="e">
        <f t="shared" si="106"/>
        <v>#N/A</v>
      </c>
      <c r="BK120" s="18" t="e">
        <f t="shared" si="107"/>
        <v>#N/A</v>
      </c>
      <c r="BL120" s="18" t="e">
        <f t="shared" si="108"/>
        <v>#N/A</v>
      </c>
      <c r="BM120" s="28" t="e">
        <f t="shared" si="166"/>
        <v>#N/A</v>
      </c>
      <c r="BN120" s="33">
        <f>HLOOKUP("maximum population",Miscelaneous!$C$1:$C$33,CH120+3,FALSE)</f>
        <v>240</v>
      </c>
      <c r="BO120" s="14">
        <f t="shared" si="119"/>
        <v>32</v>
      </c>
      <c r="BP120" s="14">
        <f t="shared" si="120"/>
        <v>0</v>
      </c>
      <c r="BQ120" s="14">
        <f t="shared" si="121"/>
        <v>208</v>
      </c>
      <c r="BR120" s="34" t="e">
        <f>HLOOKUP(J120,Villagers!$B$1:$V$33,L120+3,FALSE)-HLOOKUP(J120,Villagers!$B$1:$V$33,L120+2,FALSE)</f>
        <v>#N/A</v>
      </c>
      <c r="BS120" s="49">
        <f t="shared" si="122"/>
        <v>1</v>
      </c>
      <c r="BT120" s="50">
        <f t="shared" si="123"/>
        <v>0</v>
      </c>
      <c r="BU120" s="50">
        <f t="shared" si="124"/>
        <v>0</v>
      </c>
      <c r="BV120" s="50">
        <f t="shared" si="125"/>
        <v>0</v>
      </c>
      <c r="BW120" s="50">
        <f t="shared" ref="BW120:BW127" si="188">IF($J119=BW$14,$L119,BW119)</f>
        <v>0</v>
      </c>
      <c r="BX120" s="50">
        <f t="shared" si="187"/>
        <v>0</v>
      </c>
      <c r="BY120" s="50">
        <f t="shared" si="187"/>
        <v>0</v>
      </c>
      <c r="BZ120" s="50">
        <f t="shared" si="167"/>
        <v>0</v>
      </c>
      <c r="CA120" s="50">
        <f t="shared" si="168"/>
        <v>0</v>
      </c>
      <c r="CB120" s="50">
        <f t="shared" si="169"/>
        <v>1</v>
      </c>
      <c r="CC120" s="50">
        <f t="shared" si="170"/>
        <v>0</v>
      </c>
      <c r="CD120" s="50">
        <f t="shared" si="171"/>
        <v>0</v>
      </c>
      <c r="CE120" s="50">
        <f t="shared" si="172"/>
        <v>1</v>
      </c>
      <c r="CF120" s="50">
        <f t="shared" si="173"/>
        <v>1</v>
      </c>
      <c r="CG120" s="50">
        <f t="shared" si="174"/>
        <v>1</v>
      </c>
      <c r="CH120" s="50">
        <f t="shared" si="175"/>
        <v>1</v>
      </c>
      <c r="CI120" s="50">
        <f t="shared" si="176"/>
        <v>1</v>
      </c>
      <c r="CJ120" s="50">
        <f t="shared" si="177"/>
        <v>1</v>
      </c>
      <c r="CK120" s="50">
        <f t="shared" si="177"/>
        <v>0</v>
      </c>
      <c r="CL120" s="50">
        <f t="shared" si="177"/>
        <v>0</v>
      </c>
      <c r="CM120" s="51">
        <f t="shared" si="178"/>
        <v>0</v>
      </c>
      <c r="CN120" s="33">
        <f>ROUND(IF(BS120=0,0,HLOOKUP(BS$14,Villagers!$B$1:$V$33,BS120+3,FALSE)),)</f>
        <v>5</v>
      </c>
      <c r="CO120" s="14">
        <f>ROUND(IF(BT120=0,0,HLOOKUP(BT$14,Villagers!$B$1:$V$33,BT120+3,FALSE)),)</f>
        <v>0</v>
      </c>
      <c r="CP120" s="14">
        <f>ROUND(IF(BU120=0,0,HLOOKUP(BU$14,Villagers!$B$1:$V$33,BU120+3,FALSE)),)</f>
        <v>0</v>
      </c>
      <c r="CQ120" s="14">
        <f>ROUND(IF(BV120=0,0,HLOOKUP(BV$14,Villagers!$B$1:$V$33,BV120+3,FALSE)),)</f>
        <v>0</v>
      </c>
      <c r="CR120" s="14">
        <f>ROUND(IF(BW120=0,0,HLOOKUP(BW$14,Villagers!$B$1:$V$33,BW120+3,FALSE)),)</f>
        <v>0</v>
      </c>
      <c r="CS120" s="14">
        <f>ROUND(IF(BX120=0,0,HLOOKUP(BX$14,Villagers!$B$1:$V$33,BX120+3,FALSE)),)</f>
        <v>0</v>
      </c>
      <c r="CT120" s="14">
        <f>ROUND(IF(BY120=0,0,HLOOKUP(BY$14,Villagers!$B$1:$V$33,BY120+3,FALSE)),)</f>
        <v>0</v>
      </c>
      <c r="CU120" s="14">
        <f>ROUND(IF(BZ120=0,0,HLOOKUP(BZ$14,Villagers!$B$1:$V$33,BZ120+3,FALSE)),)</f>
        <v>0</v>
      </c>
      <c r="CV120" s="14">
        <f>ROUND(IF(CA120=0,0,HLOOKUP(CA$14,Villagers!$B$1:$V$33,CA120+3,FALSE)),)</f>
        <v>0</v>
      </c>
      <c r="CW120" s="14">
        <f>ROUND(IF(CB120=0,0,HLOOKUP(CB$14,Villagers!$B$1:$V$33,CB120+3,FALSE)),)</f>
        <v>0</v>
      </c>
      <c r="CX120" s="14">
        <f>ROUND(IF(CC120=0,0,HLOOKUP(CC$14,Villagers!$B$1:$V$33,CC120+3,FALSE)),)</f>
        <v>0</v>
      </c>
      <c r="CY120" s="14">
        <f>ROUND(IF(CD120=0,0,HLOOKUP(CD$14,Villagers!$B$1:$V$33,CD120+3,FALSE)),)</f>
        <v>0</v>
      </c>
      <c r="CZ120" s="14">
        <f>ROUND(IF(CE120=0,0,HLOOKUP(CE$14,Villagers!$B$1:$V$33,CE120+3,FALSE)),)</f>
        <v>5</v>
      </c>
      <c r="DA120" s="14">
        <f>ROUND(IF(CF120=0,0,HLOOKUP(CF$14,Villagers!$B$1:$V$33,CF120+3,FALSE)),)</f>
        <v>10</v>
      </c>
      <c r="DB120" s="14">
        <f>ROUND(IF(CG120=0,0,HLOOKUP(CG$14,Villagers!$B$1:$V$33,CG120+3,FALSE)),)</f>
        <v>10</v>
      </c>
      <c r="DC120" s="14">
        <f>ROUND(IF(CH120=0,0,HLOOKUP(CH$14,Villagers!$B$1:$V$33,CH120+3,FALSE)),)</f>
        <v>0</v>
      </c>
      <c r="DD120" s="14">
        <f>ROUND(IF(CI120=0,0,HLOOKUP(CI$14,Villagers!$B$1:$V$33,CI120+3,FALSE)),)</f>
        <v>0</v>
      </c>
      <c r="DE120" s="14">
        <f>ROUND(IF(CJ120=0,0,HLOOKUP(CJ$14,Villagers!$B$1:$V$33,CJ120+3,FALSE)),)</f>
        <v>2</v>
      </c>
      <c r="DF120" s="370">
        <f>ROUND(IF(CK120=0,0,HLOOKUP(CK$14,Villagers!$B$1:$V$33,CK120+3,FALSE)),)</f>
        <v>0</v>
      </c>
      <c r="DG120" s="370">
        <f>ROUND(IF(CL120=0,0,HLOOKUP(CL$14,Villagers!$B$1:$V$33,CL120+3,FALSE)),)</f>
        <v>0</v>
      </c>
      <c r="DH120" s="34">
        <f>ROUND(IF(CM120=0,0,HLOOKUP(CM$14,Villagers!$B$1:$V$33,CM120+3,FALSE)),)</f>
        <v>0</v>
      </c>
      <c r="DI120" s="109">
        <f t="shared" si="155"/>
        <v>0</v>
      </c>
      <c r="DJ120" s="50">
        <f t="shared" si="156"/>
        <v>0</v>
      </c>
      <c r="DK120" s="50">
        <f t="shared" si="157"/>
        <v>0</v>
      </c>
      <c r="DL120" s="50">
        <f t="shared" si="158"/>
        <v>0</v>
      </c>
      <c r="DM120" s="50">
        <f t="shared" si="159"/>
        <v>0</v>
      </c>
      <c r="DN120" s="50">
        <f t="shared" si="160"/>
        <v>0</v>
      </c>
      <c r="DO120" s="50">
        <f t="shared" si="161"/>
        <v>0</v>
      </c>
      <c r="DP120" s="50">
        <f t="shared" si="162"/>
        <v>0</v>
      </c>
      <c r="DQ120" s="50">
        <f t="shared" si="140"/>
        <v>0</v>
      </c>
      <c r="DR120" s="50">
        <f t="shared" si="141"/>
        <v>0</v>
      </c>
      <c r="DS120" s="96">
        <f>Miscelaneous!$D$4*Miscelaneous!$D$2^($CI120-1)</f>
        <v>1000</v>
      </c>
      <c r="DT120" s="333">
        <f t="shared" si="109"/>
        <v>1</v>
      </c>
      <c r="DU120" s="81">
        <v>1</v>
      </c>
      <c r="DV120" s="79">
        <f t="shared" si="142"/>
        <v>0</v>
      </c>
      <c r="DW120" s="79">
        <f t="shared" si="143"/>
        <v>0</v>
      </c>
      <c r="DX120" s="79">
        <f t="shared" si="144"/>
        <v>0</v>
      </c>
      <c r="DY120" s="79">
        <v>1</v>
      </c>
      <c r="DZ120" s="79">
        <f t="shared" si="145"/>
        <v>0</v>
      </c>
      <c r="EA120" s="79">
        <f t="shared" si="146"/>
        <v>0</v>
      </c>
      <c r="EB120" s="79">
        <f t="shared" si="147"/>
        <v>0</v>
      </c>
      <c r="EC120" s="79">
        <f t="shared" si="148"/>
        <v>0</v>
      </c>
      <c r="ED120" s="79">
        <v>1</v>
      </c>
      <c r="EE120" s="79">
        <v>1</v>
      </c>
      <c r="EF120" s="79">
        <f t="shared" si="149"/>
        <v>0</v>
      </c>
      <c r="EG120" s="79">
        <v>1</v>
      </c>
      <c r="EH120" s="79">
        <v>1</v>
      </c>
      <c r="EI120" s="79">
        <v>1</v>
      </c>
      <c r="EJ120" s="79">
        <v>1</v>
      </c>
      <c r="EK120" s="79">
        <v>1</v>
      </c>
      <c r="EL120" s="79">
        <v>1</v>
      </c>
      <c r="EM120" s="143">
        <f t="shared" si="150"/>
        <v>0</v>
      </c>
      <c r="EN120" s="143">
        <f t="shared" si="151"/>
        <v>0</v>
      </c>
      <c r="EO120" s="82">
        <f t="shared" si="152"/>
        <v>0</v>
      </c>
    </row>
    <row r="121" spans="1:145" x14ac:dyDescent="0.25">
      <c r="A121">
        <v>107</v>
      </c>
      <c r="B121" s="172" t="e">
        <f t="shared" si="110"/>
        <v>#N/A</v>
      </c>
      <c r="C121" s="121" t="e">
        <f t="shared" si="89"/>
        <v>#N/A</v>
      </c>
      <c r="D121" s="122" t="e">
        <f t="shared" si="90"/>
        <v>#N/A</v>
      </c>
      <c r="E121" s="122" t="e">
        <f t="shared" si="91"/>
        <v>#N/A</v>
      </c>
      <c r="F121" s="176" t="e">
        <f t="shared" si="92"/>
        <v>#N/A</v>
      </c>
      <c r="G121" s="121">
        <f t="shared" si="111"/>
        <v>208</v>
      </c>
      <c r="H121" s="176" t="e">
        <f t="shared" si="112"/>
        <v>#N/A</v>
      </c>
      <c r="I121" s="48">
        <v>1</v>
      </c>
      <c r="J121" s="39"/>
      <c r="K121" s="350">
        <v>1</v>
      </c>
      <c r="L121" s="34" t="e">
        <f t="shared" si="93"/>
        <v>#N/A</v>
      </c>
      <c r="M121" s="38" t="e">
        <f>(HLOOKUP(J121,'Construction Times'!$B$3:$W$34,L121+2,FALSE)*HLOOKUP("hq modifier",'Construction Times'!$W$3:$W$34,BS121+2,FALSE))*(1-$H$9)</f>
        <v>#N/A</v>
      </c>
      <c r="N121" s="443" t="e">
        <f t="shared" si="113"/>
        <v>#N/A</v>
      </c>
      <c r="O121" s="444"/>
      <c r="P121" s="447" t="e">
        <f t="shared" si="114"/>
        <v>#N/A</v>
      </c>
      <c r="Q121" s="448"/>
      <c r="R121" s="103">
        <f t="shared" si="153"/>
        <v>0</v>
      </c>
      <c r="S121" s="104">
        <f t="shared" si="153"/>
        <v>0</v>
      </c>
      <c r="T121" s="104">
        <f t="shared" si="154"/>
        <v>0</v>
      </c>
      <c r="U121" s="104">
        <f t="shared" si="154"/>
        <v>0</v>
      </c>
      <c r="V121" s="104">
        <f t="shared" si="154"/>
        <v>9.9999999999999995E-8</v>
      </c>
      <c r="W121" s="104">
        <f t="shared" si="154"/>
        <v>0</v>
      </c>
      <c r="X121" s="104">
        <f t="shared" si="185"/>
        <v>0</v>
      </c>
      <c r="Y121" s="104">
        <f t="shared" si="185"/>
        <v>9.9999999999999995E-8</v>
      </c>
      <c r="Z121" s="104">
        <f t="shared" si="185"/>
        <v>9.9999999999999995E-8</v>
      </c>
      <c r="AA121" s="105">
        <f t="shared" si="185"/>
        <v>9.9999999999999995E-8</v>
      </c>
      <c r="AB121" s="101" t="e">
        <f>$DT121*HLOOKUP($J121,'Construction Costs (timber)'!$B$1:$V$32,'Construction Planner'!$L121+2,FALSE)</f>
        <v>#N/A</v>
      </c>
      <c r="AC121" s="14" t="e">
        <f>$DT121*HLOOKUP($J121,'Construction Costs (clay)'!$B$1:$V$32,'Construction Planner'!$L121+2,FALSE)</f>
        <v>#N/A</v>
      </c>
      <c r="AD121" s="14" t="e">
        <f>$DT121*HLOOKUP($J121,'Construction Costs (iron)'!$B$1:$V$32,'Construction Planner'!$L121+2,FALSE)</f>
        <v>#N/A</v>
      </c>
      <c r="AE121" s="34" t="e">
        <f t="shared" si="163"/>
        <v>#N/A</v>
      </c>
      <c r="AF121" s="33" t="e">
        <f t="shared" si="94"/>
        <v>#N/A</v>
      </c>
      <c r="AG121" s="14" t="e">
        <f t="shared" si="95"/>
        <v>#N/A</v>
      </c>
      <c r="AH121" s="14" t="e">
        <f t="shared" si="96"/>
        <v>#N/A</v>
      </c>
      <c r="AI121" s="34" t="e">
        <f t="shared" si="164"/>
        <v>#N/A</v>
      </c>
      <c r="AJ121" s="49" t="e">
        <f t="shared" si="115"/>
        <v>#N/A</v>
      </c>
      <c r="AK121" s="49" t="e">
        <f t="shared" si="116"/>
        <v>#N/A</v>
      </c>
      <c r="AL121" s="49" t="e">
        <f t="shared" si="117"/>
        <v>#N/A</v>
      </c>
      <c r="AM121" s="25">
        <f t="shared" si="97"/>
        <v>30</v>
      </c>
      <c r="AN121" s="25">
        <f t="shared" si="98"/>
        <v>30</v>
      </c>
      <c r="AO121" s="25">
        <f t="shared" si="99"/>
        <v>30</v>
      </c>
      <c r="AP121" s="52" t="e">
        <f t="shared" si="118"/>
        <v>#N/A</v>
      </c>
      <c r="AQ121" s="53" t="e">
        <f t="shared" si="118"/>
        <v>#N/A</v>
      </c>
      <c r="AR121" s="54" t="e">
        <f t="shared" si="118"/>
        <v>#N/A</v>
      </c>
      <c r="AS121" s="316">
        <f t="shared" si="186"/>
        <v>0</v>
      </c>
      <c r="AT121" s="106">
        <f>_xlfn.IFNA($M121/VLOOKUP($BT121,'Unit information'!$A$2:$K$29,2,FALSE)*R121,0)*(1+$E$9)</f>
        <v>0</v>
      </c>
      <c r="AU121" s="107">
        <f>_xlfn.IFNA($M121/VLOOKUP($BT121,'Unit information'!$A$2:$K$29,3,FALSE)*S121,0)*(1+$E$9)</f>
        <v>0</v>
      </c>
      <c r="AV121" s="107">
        <f>_xlfn.IFNA($M121/VLOOKUP($BT121,'Unit information'!$A$2:$K$29,4,FALSE)*T121,0)*(1+$E$9)</f>
        <v>0</v>
      </c>
      <c r="AW121" s="107">
        <f>_xlfn.IFNA($M121/VLOOKUP($BT121,'Unit information'!$A$2:$K$29,5,FALSE)*U121,0)*(1+$E$9)</f>
        <v>0</v>
      </c>
      <c r="AX121" s="107">
        <f>_xlfn.IFNA($M121/VLOOKUP($BU121,'Unit information'!$A$2:$K$29,6,FALSE)*V121,0)*(1+$E$9)</f>
        <v>0</v>
      </c>
      <c r="AY121" s="107">
        <f>_xlfn.IFNA($M121/VLOOKUP($BU121,'Unit information'!$A$2:$K$29,7,FALSE)*W121,0)*(1+$E$9)</f>
        <v>0</v>
      </c>
      <c r="AZ121" s="107">
        <f>_xlfn.IFNA($M121/VLOOKUP($BU121,'Unit information'!$A$2:$K$29,8,FALSE)*X121,0)*(1+$E$9)</f>
        <v>0</v>
      </c>
      <c r="BA121" s="107">
        <f>_xlfn.IFNA($M121/VLOOKUP($BU121,'Unit information'!$A$2:$K$29,9,FALSE)*Y121,0)*(1+$E$9)</f>
        <v>0</v>
      </c>
      <c r="BB121" s="107">
        <f>_xlfn.IFNA($M121/VLOOKUP($BV121,'Unit information'!$A$2:$K$29,10,FALSE)*Z121,0)*(1+$E$9)</f>
        <v>0</v>
      </c>
      <c r="BC121" s="108">
        <f>_xlfn.IFNA($M121/VLOOKUP($BV121,'Unit information'!$A$2:$K$29,11,FALSE)*AA121,0)*(1+$E$9)</f>
        <v>0</v>
      </c>
      <c r="BD121" s="106">
        <f t="shared" si="100"/>
        <v>0</v>
      </c>
      <c r="BE121" s="107">
        <f t="shared" si="101"/>
        <v>0</v>
      </c>
      <c r="BF121" s="108">
        <f t="shared" si="102"/>
        <v>0</v>
      </c>
      <c r="BG121" s="25" t="e">
        <f t="shared" si="103"/>
        <v>#N/A</v>
      </c>
      <c r="BH121" s="25" t="e">
        <f t="shared" si="104"/>
        <v>#N/A</v>
      </c>
      <c r="BI121" s="25" t="e">
        <f t="shared" si="105"/>
        <v>#N/A</v>
      </c>
      <c r="BJ121" s="27" t="e">
        <f t="shared" si="106"/>
        <v>#N/A</v>
      </c>
      <c r="BK121" s="18" t="e">
        <f t="shared" si="107"/>
        <v>#N/A</v>
      </c>
      <c r="BL121" s="18" t="e">
        <f t="shared" si="108"/>
        <v>#N/A</v>
      </c>
      <c r="BM121" s="28" t="e">
        <f t="shared" si="166"/>
        <v>#N/A</v>
      </c>
      <c r="BN121" s="33">
        <f>HLOOKUP("maximum population",Miscelaneous!$C$1:$C$33,CH121+3,FALSE)</f>
        <v>240</v>
      </c>
      <c r="BO121" s="14">
        <f t="shared" si="119"/>
        <v>32</v>
      </c>
      <c r="BP121" s="14">
        <f t="shared" si="120"/>
        <v>0</v>
      </c>
      <c r="BQ121" s="14">
        <f t="shared" si="121"/>
        <v>208</v>
      </c>
      <c r="BR121" s="34" t="e">
        <f>HLOOKUP(J121,Villagers!$B$1:$V$33,L121+3,FALSE)-HLOOKUP(J121,Villagers!$B$1:$V$33,L121+2,FALSE)</f>
        <v>#N/A</v>
      </c>
      <c r="BS121" s="49">
        <f t="shared" si="122"/>
        <v>1</v>
      </c>
      <c r="BT121" s="50">
        <f t="shared" si="123"/>
        <v>0</v>
      </c>
      <c r="BU121" s="50">
        <f t="shared" si="124"/>
        <v>0</v>
      </c>
      <c r="BV121" s="50">
        <f t="shared" si="125"/>
        <v>0</v>
      </c>
      <c r="BW121" s="50">
        <f t="shared" si="188"/>
        <v>0</v>
      </c>
      <c r="BX121" s="50">
        <f t="shared" si="187"/>
        <v>0</v>
      </c>
      <c r="BY121" s="50">
        <f t="shared" si="187"/>
        <v>0</v>
      </c>
      <c r="BZ121" s="50">
        <f t="shared" si="167"/>
        <v>0</v>
      </c>
      <c r="CA121" s="50">
        <f t="shared" si="168"/>
        <v>0</v>
      </c>
      <c r="CB121" s="50">
        <f t="shared" si="169"/>
        <v>1</v>
      </c>
      <c r="CC121" s="50">
        <f t="shared" si="170"/>
        <v>0</v>
      </c>
      <c r="CD121" s="50">
        <f t="shared" si="171"/>
        <v>0</v>
      </c>
      <c r="CE121" s="50">
        <f t="shared" si="172"/>
        <v>1</v>
      </c>
      <c r="CF121" s="50">
        <f t="shared" si="173"/>
        <v>1</v>
      </c>
      <c r="CG121" s="50">
        <f t="shared" si="174"/>
        <v>1</v>
      </c>
      <c r="CH121" s="50">
        <f t="shared" si="175"/>
        <v>1</v>
      </c>
      <c r="CI121" s="50">
        <f t="shared" si="176"/>
        <v>1</v>
      </c>
      <c r="CJ121" s="50">
        <f t="shared" si="177"/>
        <v>1</v>
      </c>
      <c r="CK121" s="50">
        <f t="shared" si="177"/>
        <v>0</v>
      </c>
      <c r="CL121" s="50">
        <f t="shared" si="177"/>
        <v>0</v>
      </c>
      <c r="CM121" s="51">
        <f t="shared" si="178"/>
        <v>0</v>
      </c>
      <c r="CN121" s="33">
        <f>ROUND(IF(BS121=0,0,HLOOKUP(BS$14,Villagers!$B$1:$V$33,BS121+3,FALSE)),)</f>
        <v>5</v>
      </c>
      <c r="CO121" s="14">
        <f>ROUND(IF(BT121=0,0,HLOOKUP(BT$14,Villagers!$B$1:$V$33,BT121+3,FALSE)),)</f>
        <v>0</v>
      </c>
      <c r="CP121" s="14">
        <f>ROUND(IF(BU121=0,0,HLOOKUP(BU$14,Villagers!$B$1:$V$33,BU121+3,FALSE)),)</f>
        <v>0</v>
      </c>
      <c r="CQ121" s="14">
        <f>ROUND(IF(BV121=0,0,HLOOKUP(BV$14,Villagers!$B$1:$V$33,BV121+3,FALSE)),)</f>
        <v>0</v>
      </c>
      <c r="CR121" s="14">
        <f>ROUND(IF(BW121=0,0,HLOOKUP(BW$14,Villagers!$B$1:$V$33,BW121+3,FALSE)),)</f>
        <v>0</v>
      </c>
      <c r="CS121" s="14">
        <f>ROUND(IF(BX121=0,0,HLOOKUP(BX$14,Villagers!$B$1:$V$33,BX121+3,FALSE)),)</f>
        <v>0</v>
      </c>
      <c r="CT121" s="14">
        <f>ROUND(IF(BY121=0,0,HLOOKUP(BY$14,Villagers!$B$1:$V$33,BY121+3,FALSE)),)</f>
        <v>0</v>
      </c>
      <c r="CU121" s="14">
        <f>ROUND(IF(BZ121=0,0,HLOOKUP(BZ$14,Villagers!$B$1:$V$33,BZ121+3,FALSE)),)</f>
        <v>0</v>
      </c>
      <c r="CV121" s="14">
        <f>ROUND(IF(CA121=0,0,HLOOKUP(CA$14,Villagers!$B$1:$V$33,CA121+3,FALSE)),)</f>
        <v>0</v>
      </c>
      <c r="CW121" s="14">
        <f>ROUND(IF(CB121=0,0,HLOOKUP(CB$14,Villagers!$B$1:$V$33,CB121+3,FALSE)),)</f>
        <v>0</v>
      </c>
      <c r="CX121" s="14">
        <f>ROUND(IF(CC121=0,0,HLOOKUP(CC$14,Villagers!$B$1:$V$33,CC121+3,FALSE)),)</f>
        <v>0</v>
      </c>
      <c r="CY121" s="14">
        <f>ROUND(IF(CD121=0,0,HLOOKUP(CD$14,Villagers!$B$1:$V$33,CD121+3,FALSE)),)</f>
        <v>0</v>
      </c>
      <c r="CZ121" s="14">
        <f>ROUND(IF(CE121=0,0,HLOOKUP(CE$14,Villagers!$B$1:$V$33,CE121+3,FALSE)),)</f>
        <v>5</v>
      </c>
      <c r="DA121" s="14">
        <f>ROUND(IF(CF121=0,0,HLOOKUP(CF$14,Villagers!$B$1:$V$33,CF121+3,FALSE)),)</f>
        <v>10</v>
      </c>
      <c r="DB121" s="14">
        <f>ROUND(IF(CG121=0,0,HLOOKUP(CG$14,Villagers!$B$1:$V$33,CG121+3,FALSE)),)</f>
        <v>10</v>
      </c>
      <c r="DC121" s="14">
        <f>ROUND(IF(CH121=0,0,HLOOKUP(CH$14,Villagers!$B$1:$V$33,CH121+3,FALSE)),)</f>
        <v>0</v>
      </c>
      <c r="DD121" s="14">
        <f>ROUND(IF(CI121=0,0,HLOOKUP(CI$14,Villagers!$B$1:$V$33,CI121+3,FALSE)),)</f>
        <v>0</v>
      </c>
      <c r="DE121" s="14">
        <f>ROUND(IF(CJ121=0,0,HLOOKUP(CJ$14,Villagers!$B$1:$V$33,CJ121+3,FALSE)),)</f>
        <v>2</v>
      </c>
      <c r="DF121" s="370">
        <f>ROUND(IF(CK121=0,0,HLOOKUP(CK$14,Villagers!$B$1:$V$33,CK121+3,FALSE)),)</f>
        <v>0</v>
      </c>
      <c r="DG121" s="370">
        <f>ROUND(IF(CL121=0,0,HLOOKUP(CL$14,Villagers!$B$1:$V$33,CL121+3,FALSE)),)</f>
        <v>0</v>
      </c>
      <c r="DH121" s="34">
        <f>ROUND(IF(CM121=0,0,HLOOKUP(CM$14,Villagers!$B$1:$V$33,CM121+3,FALSE)),)</f>
        <v>0</v>
      </c>
      <c r="DI121" s="109">
        <f t="shared" si="155"/>
        <v>0</v>
      </c>
      <c r="DJ121" s="50">
        <f t="shared" si="156"/>
        <v>0</v>
      </c>
      <c r="DK121" s="50">
        <f t="shared" si="157"/>
        <v>0</v>
      </c>
      <c r="DL121" s="50">
        <f t="shared" si="158"/>
        <v>0</v>
      </c>
      <c r="DM121" s="50">
        <f t="shared" si="159"/>
        <v>0</v>
      </c>
      <c r="DN121" s="50">
        <f t="shared" si="160"/>
        <v>0</v>
      </c>
      <c r="DO121" s="50">
        <f t="shared" si="161"/>
        <v>0</v>
      </c>
      <c r="DP121" s="50">
        <f t="shared" si="162"/>
        <v>0</v>
      </c>
      <c r="DQ121" s="50">
        <f t="shared" si="140"/>
        <v>0</v>
      </c>
      <c r="DR121" s="50">
        <f t="shared" si="141"/>
        <v>0</v>
      </c>
      <c r="DS121" s="96">
        <f>Miscelaneous!$D$4*Miscelaneous!$D$2^($CI121-1)</f>
        <v>1000</v>
      </c>
      <c r="DT121" s="333">
        <f t="shared" si="109"/>
        <v>1</v>
      </c>
      <c r="DU121" s="81">
        <v>1</v>
      </c>
      <c r="DV121" s="79">
        <f t="shared" si="142"/>
        <v>0</v>
      </c>
      <c r="DW121" s="79">
        <f t="shared" si="143"/>
        <v>0</v>
      </c>
      <c r="DX121" s="79">
        <f t="shared" si="144"/>
        <v>0</v>
      </c>
      <c r="DY121" s="79">
        <v>1</v>
      </c>
      <c r="DZ121" s="79">
        <f t="shared" si="145"/>
        <v>0</v>
      </c>
      <c r="EA121" s="79">
        <f t="shared" si="146"/>
        <v>0</v>
      </c>
      <c r="EB121" s="79">
        <f t="shared" si="147"/>
        <v>0</v>
      </c>
      <c r="EC121" s="79">
        <f t="shared" si="148"/>
        <v>0</v>
      </c>
      <c r="ED121" s="79">
        <v>1</v>
      </c>
      <c r="EE121" s="79">
        <v>1</v>
      </c>
      <c r="EF121" s="79">
        <f t="shared" si="149"/>
        <v>0</v>
      </c>
      <c r="EG121" s="79">
        <v>1</v>
      </c>
      <c r="EH121" s="79">
        <v>1</v>
      </c>
      <c r="EI121" s="79">
        <v>1</v>
      </c>
      <c r="EJ121" s="79">
        <v>1</v>
      </c>
      <c r="EK121" s="79">
        <v>1</v>
      </c>
      <c r="EL121" s="79">
        <v>1</v>
      </c>
      <c r="EM121" s="143">
        <f t="shared" si="150"/>
        <v>0</v>
      </c>
      <c r="EN121" s="143">
        <f t="shared" si="151"/>
        <v>0</v>
      </c>
      <c r="EO121" s="82">
        <f t="shared" si="152"/>
        <v>0</v>
      </c>
    </row>
    <row r="122" spans="1:145" x14ac:dyDescent="0.25">
      <c r="A122">
        <v>108</v>
      </c>
      <c r="B122" s="172" t="e">
        <f t="shared" si="110"/>
        <v>#N/A</v>
      </c>
      <c r="C122" s="121" t="e">
        <f t="shared" si="89"/>
        <v>#N/A</v>
      </c>
      <c r="D122" s="122" t="e">
        <f t="shared" si="90"/>
        <v>#N/A</v>
      </c>
      <c r="E122" s="122" t="e">
        <f t="shared" si="91"/>
        <v>#N/A</v>
      </c>
      <c r="F122" s="176" t="e">
        <f t="shared" si="92"/>
        <v>#N/A</v>
      </c>
      <c r="G122" s="121">
        <f t="shared" si="111"/>
        <v>208</v>
      </c>
      <c r="H122" s="176" t="e">
        <f t="shared" si="112"/>
        <v>#N/A</v>
      </c>
      <c r="I122" s="48">
        <v>1</v>
      </c>
      <c r="J122" s="39"/>
      <c r="K122" s="350">
        <v>1</v>
      </c>
      <c r="L122" s="34" t="e">
        <f t="shared" si="93"/>
        <v>#N/A</v>
      </c>
      <c r="M122" s="38" t="e">
        <f>(HLOOKUP(J122,'Construction Times'!$B$3:$W$34,L122+2,FALSE)*HLOOKUP("hq modifier",'Construction Times'!$W$3:$W$34,BS122+2,FALSE))*(1-$H$9)</f>
        <v>#N/A</v>
      </c>
      <c r="N122" s="443" t="e">
        <f t="shared" si="113"/>
        <v>#N/A</v>
      </c>
      <c r="O122" s="444"/>
      <c r="P122" s="447" t="e">
        <f t="shared" si="114"/>
        <v>#N/A</v>
      </c>
      <c r="Q122" s="448"/>
      <c r="R122" s="103">
        <f t="shared" si="153"/>
        <v>0</v>
      </c>
      <c r="S122" s="104">
        <f t="shared" si="153"/>
        <v>0</v>
      </c>
      <c r="T122" s="104">
        <f t="shared" si="154"/>
        <v>0</v>
      </c>
      <c r="U122" s="104">
        <f t="shared" si="154"/>
        <v>0</v>
      </c>
      <c r="V122" s="104">
        <f t="shared" si="154"/>
        <v>9.9999999999999995E-8</v>
      </c>
      <c r="W122" s="104">
        <f t="shared" si="154"/>
        <v>0</v>
      </c>
      <c r="X122" s="104">
        <f t="shared" si="185"/>
        <v>0</v>
      </c>
      <c r="Y122" s="104">
        <f t="shared" si="185"/>
        <v>9.9999999999999995E-8</v>
      </c>
      <c r="Z122" s="104">
        <f t="shared" si="185"/>
        <v>9.9999999999999995E-8</v>
      </c>
      <c r="AA122" s="105">
        <f t="shared" si="185"/>
        <v>9.9999999999999995E-8</v>
      </c>
      <c r="AB122" s="101" t="e">
        <f>$DT122*HLOOKUP($J122,'Construction Costs (timber)'!$B$1:$V$32,'Construction Planner'!$L122+2,FALSE)</f>
        <v>#N/A</v>
      </c>
      <c r="AC122" s="14" t="e">
        <f>$DT122*HLOOKUP($J122,'Construction Costs (clay)'!$B$1:$V$32,'Construction Planner'!$L122+2,FALSE)</f>
        <v>#N/A</v>
      </c>
      <c r="AD122" s="14" t="e">
        <f>$DT122*HLOOKUP($J122,'Construction Costs (iron)'!$B$1:$V$32,'Construction Planner'!$L122+2,FALSE)</f>
        <v>#N/A</v>
      </c>
      <c r="AE122" s="34" t="e">
        <f t="shared" si="163"/>
        <v>#N/A</v>
      </c>
      <c r="AF122" s="33" t="e">
        <f t="shared" si="94"/>
        <v>#N/A</v>
      </c>
      <c r="AG122" s="14" t="e">
        <f t="shared" si="95"/>
        <v>#N/A</v>
      </c>
      <c r="AH122" s="14" t="e">
        <f t="shared" si="96"/>
        <v>#N/A</v>
      </c>
      <c r="AI122" s="34" t="e">
        <f t="shared" si="164"/>
        <v>#N/A</v>
      </c>
      <c r="AJ122" s="49" t="e">
        <f t="shared" si="115"/>
        <v>#N/A</v>
      </c>
      <c r="AK122" s="49" t="e">
        <f t="shared" si="116"/>
        <v>#N/A</v>
      </c>
      <c r="AL122" s="49" t="e">
        <f t="shared" si="117"/>
        <v>#N/A</v>
      </c>
      <c r="AM122" s="25">
        <f t="shared" si="97"/>
        <v>30</v>
      </c>
      <c r="AN122" s="25">
        <f t="shared" si="98"/>
        <v>30</v>
      </c>
      <c r="AO122" s="25">
        <f t="shared" si="99"/>
        <v>30</v>
      </c>
      <c r="AP122" s="52" t="e">
        <f t="shared" si="118"/>
        <v>#N/A</v>
      </c>
      <c r="AQ122" s="53" t="e">
        <f t="shared" si="118"/>
        <v>#N/A</v>
      </c>
      <c r="AR122" s="54" t="e">
        <f t="shared" si="118"/>
        <v>#N/A</v>
      </c>
      <c r="AS122" s="316">
        <f t="shared" si="186"/>
        <v>0</v>
      </c>
      <c r="AT122" s="106">
        <f>_xlfn.IFNA($M122/VLOOKUP($BT122,'Unit information'!$A$2:$K$29,2,FALSE)*R122,0)*(1+$E$9)</f>
        <v>0</v>
      </c>
      <c r="AU122" s="107">
        <f>_xlfn.IFNA($M122/VLOOKUP($BT122,'Unit information'!$A$2:$K$29,3,FALSE)*S122,0)*(1+$E$9)</f>
        <v>0</v>
      </c>
      <c r="AV122" s="107">
        <f>_xlfn.IFNA($M122/VLOOKUP($BT122,'Unit information'!$A$2:$K$29,4,FALSE)*T122,0)*(1+$E$9)</f>
        <v>0</v>
      </c>
      <c r="AW122" s="107">
        <f>_xlfn.IFNA($M122/VLOOKUP($BT122,'Unit information'!$A$2:$K$29,5,FALSE)*U122,0)*(1+$E$9)</f>
        <v>0</v>
      </c>
      <c r="AX122" s="107">
        <f>_xlfn.IFNA($M122/VLOOKUP($BU122,'Unit information'!$A$2:$K$29,6,FALSE)*V122,0)*(1+$E$9)</f>
        <v>0</v>
      </c>
      <c r="AY122" s="107">
        <f>_xlfn.IFNA($M122/VLOOKUP($BU122,'Unit information'!$A$2:$K$29,7,FALSE)*W122,0)*(1+$E$9)</f>
        <v>0</v>
      </c>
      <c r="AZ122" s="107">
        <f>_xlfn.IFNA($M122/VLOOKUP($BU122,'Unit information'!$A$2:$K$29,8,FALSE)*X122,0)*(1+$E$9)</f>
        <v>0</v>
      </c>
      <c r="BA122" s="107">
        <f>_xlfn.IFNA($M122/VLOOKUP($BU122,'Unit information'!$A$2:$K$29,9,FALSE)*Y122,0)*(1+$E$9)</f>
        <v>0</v>
      </c>
      <c r="BB122" s="107">
        <f>_xlfn.IFNA($M122/VLOOKUP($BV122,'Unit information'!$A$2:$K$29,10,FALSE)*Z122,0)*(1+$E$9)</f>
        <v>0</v>
      </c>
      <c r="BC122" s="108">
        <f>_xlfn.IFNA($M122/VLOOKUP($BV122,'Unit information'!$A$2:$K$29,11,FALSE)*AA122,0)*(1+$E$9)</f>
        <v>0</v>
      </c>
      <c r="BD122" s="106">
        <f t="shared" si="100"/>
        <v>0</v>
      </c>
      <c r="BE122" s="107">
        <f t="shared" si="101"/>
        <v>0</v>
      </c>
      <c r="BF122" s="108">
        <f t="shared" si="102"/>
        <v>0</v>
      </c>
      <c r="BG122" s="25" t="e">
        <f t="shared" si="103"/>
        <v>#N/A</v>
      </c>
      <c r="BH122" s="25" t="e">
        <f t="shared" si="104"/>
        <v>#N/A</v>
      </c>
      <c r="BI122" s="25" t="e">
        <f t="shared" si="105"/>
        <v>#N/A</v>
      </c>
      <c r="BJ122" s="27" t="e">
        <f t="shared" si="106"/>
        <v>#N/A</v>
      </c>
      <c r="BK122" s="18" t="e">
        <f t="shared" si="107"/>
        <v>#N/A</v>
      </c>
      <c r="BL122" s="18" t="e">
        <f t="shared" si="108"/>
        <v>#N/A</v>
      </c>
      <c r="BM122" s="28" t="e">
        <f t="shared" si="166"/>
        <v>#N/A</v>
      </c>
      <c r="BN122" s="33">
        <f>HLOOKUP("maximum population",Miscelaneous!$C$1:$C$33,CH122+3,FALSE)</f>
        <v>240</v>
      </c>
      <c r="BO122" s="14">
        <f t="shared" si="119"/>
        <v>32</v>
      </c>
      <c r="BP122" s="14">
        <f t="shared" si="120"/>
        <v>0</v>
      </c>
      <c r="BQ122" s="14">
        <f t="shared" si="121"/>
        <v>208</v>
      </c>
      <c r="BR122" s="34" t="e">
        <f>HLOOKUP(J122,Villagers!$B$1:$V$33,L122+3,FALSE)-HLOOKUP(J122,Villagers!$B$1:$V$33,L122+2,FALSE)</f>
        <v>#N/A</v>
      </c>
      <c r="BS122" s="49">
        <f t="shared" si="122"/>
        <v>1</v>
      </c>
      <c r="BT122" s="50">
        <f t="shared" si="123"/>
        <v>0</v>
      </c>
      <c r="BU122" s="50">
        <f t="shared" si="124"/>
        <v>0</v>
      </c>
      <c r="BV122" s="50">
        <f t="shared" si="125"/>
        <v>0</v>
      </c>
      <c r="BW122" s="50">
        <f t="shared" si="188"/>
        <v>0</v>
      </c>
      <c r="BX122" s="50">
        <f t="shared" si="187"/>
        <v>0</v>
      </c>
      <c r="BY122" s="50">
        <f t="shared" si="187"/>
        <v>0</v>
      </c>
      <c r="BZ122" s="50">
        <f t="shared" si="167"/>
        <v>0</v>
      </c>
      <c r="CA122" s="50">
        <f t="shared" si="168"/>
        <v>0</v>
      </c>
      <c r="CB122" s="50">
        <f t="shared" si="169"/>
        <v>1</v>
      </c>
      <c r="CC122" s="50">
        <f t="shared" si="170"/>
        <v>0</v>
      </c>
      <c r="CD122" s="50">
        <f t="shared" si="171"/>
        <v>0</v>
      </c>
      <c r="CE122" s="50">
        <f t="shared" si="172"/>
        <v>1</v>
      </c>
      <c r="CF122" s="50">
        <f t="shared" si="173"/>
        <v>1</v>
      </c>
      <c r="CG122" s="50">
        <f t="shared" si="174"/>
        <v>1</v>
      </c>
      <c r="CH122" s="50">
        <f t="shared" si="175"/>
        <v>1</v>
      </c>
      <c r="CI122" s="50">
        <f t="shared" si="176"/>
        <v>1</v>
      </c>
      <c r="CJ122" s="50">
        <f t="shared" si="177"/>
        <v>1</v>
      </c>
      <c r="CK122" s="50">
        <f t="shared" si="177"/>
        <v>0</v>
      </c>
      <c r="CL122" s="50">
        <f t="shared" si="177"/>
        <v>0</v>
      </c>
      <c r="CM122" s="51">
        <f t="shared" si="178"/>
        <v>0</v>
      </c>
      <c r="CN122" s="33">
        <f>ROUND(IF(BS122=0,0,HLOOKUP(BS$14,Villagers!$B$1:$V$33,BS122+3,FALSE)),)</f>
        <v>5</v>
      </c>
      <c r="CO122" s="14">
        <f>ROUND(IF(BT122=0,0,HLOOKUP(BT$14,Villagers!$B$1:$V$33,BT122+3,FALSE)),)</f>
        <v>0</v>
      </c>
      <c r="CP122" s="14">
        <f>ROUND(IF(BU122=0,0,HLOOKUP(BU$14,Villagers!$B$1:$V$33,BU122+3,FALSE)),)</f>
        <v>0</v>
      </c>
      <c r="CQ122" s="14">
        <f>ROUND(IF(BV122=0,0,HLOOKUP(BV$14,Villagers!$B$1:$V$33,BV122+3,FALSE)),)</f>
        <v>0</v>
      </c>
      <c r="CR122" s="14">
        <f>ROUND(IF(BW122=0,0,HLOOKUP(BW$14,Villagers!$B$1:$V$33,BW122+3,FALSE)),)</f>
        <v>0</v>
      </c>
      <c r="CS122" s="14">
        <f>ROUND(IF(BX122=0,0,HLOOKUP(BX$14,Villagers!$B$1:$V$33,BX122+3,FALSE)),)</f>
        <v>0</v>
      </c>
      <c r="CT122" s="14">
        <f>ROUND(IF(BY122=0,0,HLOOKUP(BY$14,Villagers!$B$1:$V$33,BY122+3,FALSE)),)</f>
        <v>0</v>
      </c>
      <c r="CU122" s="14">
        <f>ROUND(IF(BZ122=0,0,HLOOKUP(BZ$14,Villagers!$B$1:$V$33,BZ122+3,FALSE)),)</f>
        <v>0</v>
      </c>
      <c r="CV122" s="14">
        <f>ROUND(IF(CA122=0,0,HLOOKUP(CA$14,Villagers!$B$1:$V$33,CA122+3,FALSE)),)</f>
        <v>0</v>
      </c>
      <c r="CW122" s="14">
        <f>ROUND(IF(CB122=0,0,HLOOKUP(CB$14,Villagers!$B$1:$V$33,CB122+3,FALSE)),)</f>
        <v>0</v>
      </c>
      <c r="CX122" s="14">
        <f>ROUND(IF(CC122=0,0,HLOOKUP(CC$14,Villagers!$B$1:$V$33,CC122+3,FALSE)),)</f>
        <v>0</v>
      </c>
      <c r="CY122" s="14">
        <f>ROUND(IF(CD122=0,0,HLOOKUP(CD$14,Villagers!$B$1:$V$33,CD122+3,FALSE)),)</f>
        <v>0</v>
      </c>
      <c r="CZ122" s="14">
        <f>ROUND(IF(CE122=0,0,HLOOKUP(CE$14,Villagers!$B$1:$V$33,CE122+3,FALSE)),)</f>
        <v>5</v>
      </c>
      <c r="DA122" s="14">
        <f>ROUND(IF(CF122=0,0,HLOOKUP(CF$14,Villagers!$B$1:$V$33,CF122+3,FALSE)),)</f>
        <v>10</v>
      </c>
      <c r="DB122" s="14">
        <f>ROUND(IF(CG122=0,0,HLOOKUP(CG$14,Villagers!$B$1:$V$33,CG122+3,FALSE)),)</f>
        <v>10</v>
      </c>
      <c r="DC122" s="14">
        <f>ROUND(IF(CH122=0,0,HLOOKUP(CH$14,Villagers!$B$1:$V$33,CH122+3,FALSE)),)</f>
        <v>0</v>
      </c>
      <c r="DD122" s="14">
        <f>ROUND(IF(CI122=0,0,HLOOKUP(CI$14,Villagers!$B$1:$V$33,CI122+3,FALSE)),)</f>
        <v>0</v>
      </c>
      <c r="DE122" s="14">
        <f>ROUND(IF(CJ122=0,0,HLOOKUP(CJ$14,Villagers!$B$1:$V$33,CJ122+3,FALSE)),)</f>
        <v>2</v>
      </c>
      <c r="DF122" s="370">
        <f>ROUND(IF(CK122=0,0,HLOOKUP(CK$14,Villagers!$B$1:$V$33,CK122+3,FALSE)),)</f>
        <v>0</v>
      </c>
      <c r="DG122" s="370">
        <f>ROUND(IF(CL122=0,0,HLOOKUP(CL$14,Villagers!$B$1:$V$33,CL122+3,FALSE)),)</f>
        <v>0</v>
      </c>
      <c r="DH122" s="34">
        <f>ROUND(IF(CM122=0,0,HLOOKUP(CM$14,Villagers!$B$1:$V$33,CM122+3,FALSE)),)</f>
        <v>0</v>
      </c>
      <c r="DI122" s="109">
        <f t="shared" si="155"/>
        <v>0</v>
      </c>
      <c r="DJ122" s="50">
        <f t="shared" si="156"/>
        <v>0</v>
      </c>
      <c r="DK122" s="50">
        <f t="shared" si="157"/>
        <v>0</v>
      </c>
      <c r="DL122" s="50">
        <f t="shared" si="158"/>
        <v>0</v>
      </c>
      <c r="DM122" s="50">
        <f t="shared" si="159"/>
        <v>0</v>
      </c>
      <c r="DN122" s="50">
        <f t="shared" si="160"/>
        <v>0</v>
      </c>
      <c r="DO122" s="50">
        <f t="shared" si="161"/>
        <v>0</v>
      </c>
      <c r="DP122" s="50">
        <f t="shared" si="162"/>
        <v>0</v>
      </c>
      <c r="DQ122" s="50">
        <f t="shared" si="140"/>
        <v>0</v>
      </c>
      <c r="DR122" s="50">
        <f t="shared" si="141"/>
        <v>0</v>
      </c>
      <c r="DS122" s="96">
        <f>Miscelaneous!$D$4*Miscelaneous!$D$2^($CI122-1)</f>
        <v>1000</v>
      </c>
      <c r="DT122" s="333">
        <f t="shared" si="109"/>
        <v>1</v>
      </c>
      <c r="DU122" s="81">
        <v>1</v>
      </c>
      <c r="DV122" s="79">
        <f t="shared" si="142"/>
        <v>0</v>
      </c>
      <c r="DW122" s="79">
        <f t="shared" si="143"/>
        <v>0</v>
      </c>
      <c r="DX122" s="79">
        <f t="shared" si="144"/>
        <v>0</v>
      </c>
      <c r="DY122" s="79">
        <v>1</v>
      </c>
      <c r="DZ122" s="79">
        <f t="shared" si="145"/>
        <v>0</v>
      </c>
      <c r="EA122" s="79">
        <f t="shared" si="146"/>
        <v>0</v>
      </c>
      <c r="EB122" s="79">
        <f t="shared" si="147"/>
        <v>0</v>
      </c>
      <c r="EC122" s="79">
        <f t="shared" si="148"/>
        <v>0</v>
      </c>
      <c r="ED122" s="79">
        <v>1</v>
      </c>
      <c r="EE122" s="79">
        <v>1</v>
      </c>
      <c r="EF122" s="79">
        <f t="shared" si="149"/>
        <v>0</v>
      </c>
      <c r="EG122" s="79">
        <v>1</v>
      </c>
      <c r="EH122" s="79">
        <v>1</v>
      </c>
      <c r="EI122" s="79">
        <v>1</v>
      </c>
      <c r="EJ122" s="79">
        <v>1</v>
      </c>
      <c r="EK122" s="79">
        <v>1</v>
      </c>
      <c r="EL122" s="79">
        <v>1</v>
      </c>
      <c r="EM122" s="143">
        <f t="shared" si="150"/>
        <v>0</v>
      </c>
      <c r="EN122" s="143">
        <f t="shared" si="151"/>
        <v>0</v>
      </c>
      <c r="EO122" s="82">
        <f t="shared" si="152"/>
        <v>0</v>
      </c>
    </row>
    <row r="123" spans="1:145" x14ac:dyDescent="0.25">
      <c r="A123">
        <v>109</v>
      </c>
      <c r="B123" s="172" t="e">
        <f t="shared" si="110"/>
        <v>#N/A</v>
      </c>
      <c r="C123" s="121" t="e">
        <f t="shared" si="89"/>
        <v>#N/A</v>
      </c>
      <c r="D123" s="122" t="e">
        <f t="shared" si="90"/>
        <v>#N/A</v>
      </c>
      <c r="E123" s="122" t="e">
        <f t="shared" si="91"/>
        <v>#N/A</v>
      </c>
      <c r="F123" s="176" t="e">
        <f t="shared" si="92"/>
        <v>#N/A</v>
      </c>
      <c r="G123" s="121">
        <f t="shared" si="111"/>
        <v>208</v>
      </c>
      <c r="H123" s="176" t="e">
        <f t="shared" si="112"/>
        <v>#N/A</v>
      </c>
      <c r="I123" s="48">
        <v>1</v>
      </c>
      <c r="J123" s="39"/>
      <c r="K123" s="350">
        <v>1</v>
      </c>
      <c r="L123" s="34" t="e">
        <f t="shared" si="93"/>
        <v>#N/A</v>
      </c>
      <c r="M123" s="38" t="e">
        <f>(HLOOKUP(J123,'Construction Times'!$B$3:$W$34,L123+2,FALSE)*HLOOKUP("hq modifier",'Construction Times'!$W$3:$W$34,BS123+2,FALSE))*(1-$H$9)</f>
        <v>#N/A</v>
      </c>
      <c r="N123" s="443" t="e">
        <f t="shared" si="113"/>
        <v>#N/A</v>
      </c>
      <c r="O123" s="444"/>
      <c r="P123" s="447" t="e">
        <f t="shared" si="114"/>
        <v>#N/A</v>
      </c>
      <c r="Q123" s="448"/>
      <c r="R123" s="103">
        <f t="shared" si="153"/>
        <v>0</v>
      </c>
      <c r="S123" s="104">
        <f t="shared" si="153"/>
        <v>0</v>
      </c>
      <c r="T123" s="104">
        <f t="shared" si="154"/>
        <v>0</v>
      </c>
      <c r="U123" s="104">
        <f t="shared" si="154"/>
        <v>0</v>
      </c>
      <c r="V123" s="104">
        <f t="shared" si="154"/>
        <v>9.9999999999999995E-8</v>
      </c>
      <c r="W123" s="104">
        <f t="shared" si="154"/>
        <v>0</v>
      </c>
      <c r="X123" s="104">
        <f t="shared" si="185"/>
        <v>0</v>
      </c>
      <c r="Y123" s="104">
        <f t="shared" si="185"/>
        <v>9.9999999999999995E-8</v>
      </c>
      <c r="Z123" s="104">
        <f t="shared" si="185"/>
        <v>9.9999999999999995E-8</v>
      </c>
      <c r="AA123" s="105">
        <f t="shared" si="185"/>
        <v>9.9999999999999995E-8</v>
      </c>
      <c r="AB123" s="101" t="e">
        <f>$DT123*HLOOKUP($J123,'Construction Costs (timber)'!$B$1:$V$32,'Construction Planner'!$L123+2,FALSE)</f>
        <v>#N/A</v>
      </c>
      <c r="AC123" s="14" t="e">
        <f>$DT123*HLOOKUP($J123,'Construction Costs (clay)'!$B$1:$V$32,'Construction Planner'!$L123+2,FALSE)</f>
        <v>#N/A</v>
      </c>
      <c r="AD123" s="14" t="e">
        <f>$DT123*HLOOKUP($J123,'Construction Costs (iron)'!$B$1:$V$32,'Construction Planner'!$L123+2,FALSE)</f>
        <v>#N/A</v>
      </c>
      <c r="AE123" s="34" t="e">
        <f t="shared" si="163"/>
        <v>#N/A</v>
      </c>
      <c r="AF123" s="33" t="e">
        <f t="shared" si="94"/>
        <v>#N/A</v>
      </c>
      <c r="AG123" s="14" t="e">
        <f t="shared" si="95"/>
        <v>#N/A</v>
      </c>
      <c r="AH123" s="14" t="e">
        <f t="shared" si="96"/>
        <v>#N/A</v>
      </c>
      <c r="AI123" s="34" t="e">
        <f t="shared" si="164"/>
        <v>#N/A</v>
      </c>
      <c r="AJ123" s="49" t="e">
        <f t="shared" si="115"/>
        <v>#N/A</v>
      </c>
      <c r="AK123" s="49" t="e">
        <f t="shared" si="116"/>
        <v>#N/A</v>
      </c>
      <c r="AL123" s="49" t="e">
        <f t="shared" si="117"/>
        <v>#N/A</v>
      </c>
      <c r="AM123" s="25">
        <f t="shared" si="97"/>
        <v>30</v>
      </c>
      <c r="AN123" s="25">
        <f t="shared" si="98"/>
        <v>30</v>
      </c>
      <c r="AO123" s="25">
        <f t="shared" si="99"/>
        <v>30</v>
      </c>
      <c r="AP123" s="52" t="e">
        <f t="shared" si="118"/>
        <v>#N/A</v>
      </c>
      <c r="AQ123" s="53" t="e">
        <f t="shared" si="118"/>
        <v>#N/A</v>
      </c>
      <c r="AR123" s="54" t="e">
        <f t="shared" si="118"/>
        <v>#N/A</v>
      </c>
      <c r="AS123" s="316">
        <f t="shared" si="186"/>
        <v>0</v>
      </c>
      <c r="AT123" s="106">
        <f>_xlfn.IFNA($M123/VLOOKUP($BT123,'Unit information'!$A$2:$K$29,2,FALSE)*R123,0)*(1+$E$9)</f>
        <v>0</v>
      </c>
      <c r="AU123" s="107">
        <f>_xlfn.IFNA($M123/VLOOKUP($BT123,'Unit information'!$A$2:$K$29,3,FALSE)*S123,0)*(1+$E$9)</f>
        <v>0</v>
      </c>
      <c r="AV123" s="107">
        <f>_xlfn.IFNA($M123/VLOOKUP($BT123,'Unit information'!$A$2:$K$29,4,FALSE)*T123,0)*(1+$E$9)</f>
        <v>0</v>
      </c>
      <c r="AW123" s="107">
        <f>_xlfn.IFNA($M123/VLOOKUP($BT123,'Unit information'!$A$2:$K$29,5,FALSE)*U123,0)*(1+$E$9)</f>
        <v>0</v>
      </c>
      <c r="AX123" s="107">
        <f>_xlfn.IFNA($M123/VLOOKUP($BU123,'Unit information'!$A$2:$K$29,6,FALSE)*V123,0)*(1+$E$9)</f>
        <v>0</v>
      </c>
      <c r="AY123" s="107">
        <f>_xlfn.IFNA($M123/VLOOKUP($BU123,'Unit information'!$A$2:$K$29,7,FALSE)*W123,0)*(1+$E$9)</f>
        <v>0</v>
      </c>
      <c r="AZ123" s="107">
        <f>_xlfn.IFNA($M123/VLOOKUP($BU123,'Unit information'!$A$2:$K$29,8,FALSE)*X123,0)*(1+$E$9)</f>
        <v>0</v>
      </c>
      <c r="BA123" s="107">
        <f>_xlfn.IFNA($M123/VLOOKUP($BU123,'Unit information'!$A$2:$K$29,9,FALSE)*Y123,0)*(1+$E$9)</f>
        <v>0</v>
      </c>
      <c r="BB123" s="107">
        <f>_xlfn.IFNA($M123/VLOOKUP($BV123,'Unit information'!$A$2:$K$29,10,FALSE)*Z123,0)*(1+$E$9)</f>
        <v>0</v>
      </c>
      <c r="BC123" s="108">
        <f>_xlfn.IFNA($M123/VLOOKUP($BV123,'Unit information'!$A$2:$K$29,11,FALSE)*AA123,0)*(1+$E$9)</f>
        <v>0</v>
      </c>
      <c r="BD123" s="106">
        <f t="shared" si="100"/>
        <v>0</v>
      </c>
      <c r="BE123" s="107">
        <f t="shared" si="101"/>
        <v>0</v>
      </c>
      <c r="BF123" s="108">
        <f t="shared" si="102"/>
        <v>0</v>
      </c>
      <c r="BG123" s="25" t="e">
        <f t="shared" si="103"/>
        <v>#N/A</v>
      </c>
      <c r="BH123" s="25" t="e">
        <f t="shared" si="104"/>
        <v>#N/A</v>
      </c>
      <c r="BI123" s="25" t="e">
        <f t="shared" si="105"/>
        <v>#N/A</v>
      </c>
      <c r="BJ123" s="27" t="e">
        <f t="shared" si="106"/>
        <v>#N/A</v>
      </c>
      <c r="BK123" s="18" t="e">
        <f t="shared" si="107"/>
        <v>#N/A</v>
      </c>
      <c r="BL123" s="18" t="e">
        <f t="shared" si="108"/>
        <v>#N/A</v>
      </c>
      <c r="BM123" s="28" t="e">
        <f t="shared" si="166"/>
        <v>#N/A</v>
      </c>
      <c r="BN123" s="33">
        <f>HLOOKUP("maximum population",Miscelaneous!$C$1:$C$33,CH123+3,FALSE)</f>
        <v>240</v>
      </c>
      <c r="BO123" s="14">
        <f t="shared" si="119"/>
        <v>32</v>
      </c>
      <c r="BP123" s="14">
        <f t="shared" si="120"/>
        <v>0</v>
      </c>
      <c r="BQ123" s="14">
        <f t="shared" si="121"/>
        <v>208</v>
      </c>
      <c r="BR123" s="34" t="e">
        <f>HLOOKUP(J123,Villagers!$B$1:$V$33,L123+3,FALSE)-HLOOKUP(J123,Villagers!$B$1:$V$33,L123+2,FALSE)</f>
        <v>#N/A</v>
      </c>
      <c r="BS123" s="49">
        <f t="shared" si="122"/>
        <v>1</v>
      </c>
      <c r="BT123" s="50">
        <f t="shared" si="123"/>
        <v>0</v>
      </c>
      <c r="BU123" s="50">
        <f t="shared" si="124"/>
        <v>0</v>
      </c>
      <c r="BV123" s="50">
        <f t="shared" si="125"/>
        <v>0</v>
      </c>
      <c r="BW123" s="50">
        <f t="shared" si="188"/>
        <v>0</v>
      </c>
      <c r="BX123" s="50">
        <f t="shared" si="187"/>
        <v>0</v>
      </c>
      <c r="BY123" s="50">
        <f t="shared" si="187"/>
        <v>0</v>
      </c>
      <c r="BZ123" s="50">
        <f t="shared" si="167"/>
        <v>0</v>
      </c>
      <c r="CA123" s="50">
        <f t="shared" si="168"/>
        <v>0</v>
      </c>
      <c r="CB123" s="50">
        <f t="shared" si="169"/>
        <v>1</v>
      </c>
      <c r="CC123" s="50">
        <f t="shared" si="170"/>
        <v>0</v>
      </c>
      <c r="CD123" s="50">
        <f t="shared" si="171"/>
        <v>0</v>
      </c>
      <c r="CE123" s="50">
        <f t="shared" si="172"/>
        <v>1</v>
      </c>
      <c r="CF123" s="50">
        <f t="shared" si="173"/>
        <v>1</v>
      </c>
      <c r="CG123" s="50">
        <f t="shared" si="174"/>
        <v>1</v>
      </c>
      <c r="CH123" s="50">
        <f t="shared" si="175"/>
        <v>1</v>
      </c>
      <c r="CI123" s="50">
        <f t="shared" si="176"/>
        <v>1</v>
      </c>
      <c r="CJ123" s="50">
        <f t="shared" si="177"/>
        <v>1</v>
      </c>
      <c r="CK123" s="50">
        <f t="shared" si="177"/>
        <v>0</v>
      </c>
      <c r="CL123" s="50">
        <f t="shared" si="177"/>
        <v>0</v>
      </c>
      <c r="CM123" s="51">
        <f t="shared" si="178"/>
        <v>0</v>
      </c>
      <c r="CN123" s="33">
        <f>ROUND(IF(BS123=0,0,HLOOKUP(BS$14,Villagers!$B$1:$V$33,BS123+3,FALSE)),)</f>
        <v>5</v>
      </c>
      <c r="CO123" s="14">
        <f>ROUND(IF(BT123=0,0,HLOOKUP(BT$14,Villagers!$B$1:$V$33,BT123+3,FALSE)),)</f>
        <v>0</v>
      </c>
      <c r="CP123" s="14">
        <f>ROUND(IF(BU123=0,0,HLOOKUP(BU$14,Villagers!$B$1:$V$33,BU123+3,FALSE)),)</f>
        <v>0</v>
      </c>
      <c r="CQ123" s="14">
        <f>ROUND(IF(BV123=0,0,HLOOKUP(BV$14,Villagers!$B$1:$V$33,BV123+3,FALSE)),)</f>
        <v>0</v>
      </c>
      <c r="CR123" s="14">
        <f>ROUND(IF(BW123=0,0,HLOOKUP(BW$14,Villagers!$B$1:$V$33,BW123+3,FALSE)),)</f>
        <v>0</v>
      </c>
      <c r="CS123" s="14">
        <f>ROUND(IF(BX123=0,0,HLOOKUP(BX$14,Villagers!$B$1:$V$33,BX123+3,FALSE)),)</f>
        <v>0</v>
      </c>
      <c r="CT123" s="14">
        <f>ROUND(IF(BY123=0,0,HLOOKUP(BY$14,Villagers!$B$1:$V$33,BY123+3,FALSE)),)</f>
        <v>0</v>
      </c>
      <c r="CU123" s="14">
        <f>ROUND(IF(BZ123=0,0,HLOOKUP(BZ$14,Villagers!$B$1:$V$33,BZ123+3,FALSE)),)</f>
        <v>0</v>
      </c>
      <c r="CV123" s="14">
        <f>ROUND(IF(CA123=0,0,HLOOKUP(CA$14,Villagers!$B$1:$V$33,CA123+3,FALSE)),)</f>
        <v>0</v>
      </c>
      <c r="CW123" s="14">
        <f>ROUND(IF(CB123=0,0,HLOOKUP(CB$14,Villagers!$B$1:$V$33,CB123+3,FALSE)),)</f>
        <v>0</v>
      </c>
      <c r="CX123" s="14">
        <f>ROUND(IF(CC123=0,0,HLOOKUP(CC$14,Villagers!$B$1:$V$33,CC123+3,FALSE)),)</f>
        <v>0</v>
      </c>
      <c r="CY123" s="14">
        <f>ROUND(IF(CD123=0,0,HLOOKUP(CD$14,Villagers!$B$1:$V$33,CD123+3,FALSE)),)</f>
        <v>0</v>
      </c>
      <c r="CZ123" s="14">
        <f>ROUND(IF(CE123=0,0,HLOOKUP(CE$14,Villagers!$B$1:$V$33,CE123+3,FALSE)),)</f>
        <v>5</v>
      </c>
      <c r="DA123" s="14">
        <f>ROUND(IF(CF123=0,0,HLOOKUP(CF$14,Villagers!$B$1:$V$33,CF123+3,FALSE)),)</f>
        <v>10</v>
      </c>
      <c r="DB123" s="14">
        <f>ROUND(IF(CG123=0,0,HLOOKUP(CG$14,Villagers!$B$1:$V$33,CG123+3,FALSE)),)</f>
        <v>10</v>
      </c>
      <c r="DC123" s="14">
        <f>ROUND(IF(CH123=0,0,HLOOKUP(CH$14,Villagers!$B$1:$V$33,CH123+3,FALSE)),)</f>
        <v>0</v>
      </c>
      <c r="DD123" s="14">
        <f>ROUND(IF(CI123=0,0,HLOOKUP(CI$14,Villagers!$B$1:$V$33,CI123+3,FALSE)),)</f>
        <v>0</v>
      </c>
      <c r="DE123" s="14">
        <f>ROUND(IF(CJ123=0,0,HLOOKUP(CJ$14,Villagers!$B$1:$V$33,CJ123+3,FALSE)),)</f>
        <v>2</v>
      </c>
      <c r="DF123" s="370">
        <f>ROUND(IF(CK123=0,0,HLOOKUP(CK$14,Villagers!$B$1:$V$33,CK123+3,FALSE)),)</f>
        <v>0</v>
      </c>
      <c r="DG123" s="370">
        <f>ROUND(IF(CL123=0,0,HLOOKUP(CL$14,Villagers!$B$1:$V$33,CL123+3,FALSE)),)</f>
        <v>0</v>
      </c>
      <c r="DH123" s="34">
        <f>ROUND(IF(CM123=0,0,HLOOKUP(CM$14,Villagers!$B$1:$V$33,CM123+3,FALSE)),)</f>
        <v>0</v>
      </c>
      <c r="DI123" s="109">
        <f t="shared" si="155"/>
        <v>0</v>
      </c>
      <c r="DJ123" s="50">
        <f t="shared" si="156"/>
        <v>0</v>
      </c>
      <c r="DK123" s="50">
        <f t="shared" si="157"/>
        <v>0</v>
      </c>
      <c r="DL123" s="50">
        <f t="shared" si="158"/>
        <v>0</v>
      </c>
      <c r="DM123" s="50">
        <f t="shared" si="159"/>
        <v>0</v>
      </c>
      <c r="DN123" s="50">
        <f t="shared" si="160"/>
        <v>0</v>
      </c>
      <c r="DO123" s="50">
        <f t="shared" si="161"/>
        <v>0</v>
      </c>
      <c r="DP123" s="50">
        <f t="shared" si="162"/>
        <v>0</v>
      </c>
      <c r="DQ123" s="50">
        <f t="shared" si="140"/>
        <v>0</v>
      </c>
      <c r="DR123" s="50">
        <f t="shared" si="141"/>
        <v>0</v>
      </c>
      <c r="DS123" s="96">
        <f>Miscelaneous!$D$4*Miscelaneous!$D$2^($CI123-1)</f>
        <v>1000</v>
      </c>
      <c r="DT123" s="333">
        <f t="shared" si="109"/>
        <v>1</v>
      </c>
      <c r="DU123" s="81">
        <v>1</v>
      </c>
      <c r="DV123" s="79">
        <f t="shared" si="142"/>
        <v>0</v>
      </c>
      <c r="DW123" s="79">
        <f t="shared" si="143"/>
        <v>0</v>
      </c>
      <c r="DX123" s="79">
        <f t="shared" si="144"/>
        <v>0</v>
      </c>
      <c r="DY123" s="79">
        <v>1</v>
      </c>
      <c r="DZ123" s="79">
        <f t="shared" si="145"/>
        <v>0</v>
      </c>
      <c r="EA123" s="79">
        <f t="shared" si="146"/>
        <v>0</v>
      </c>
      <c r="EB123" s="79">
        <f t="shared" si="147"/>
        <v>0</v>
      </c>
      <c r="EC123" s="79">
        <f t="shared" si="148"/>
        <v>0</v>
      </c>
      <c r="ED123" s="79">
        <v>1</v>
      </c>
      <c r="EE123" s="79">
        <v>1</v>
      </c>
      <c r="EF123" s="79">
        <f t="shared" si="149"/>
        <v>0</v>
      </c>
      <c r="EG123" s="79">
        <v>1</v>
      </c>
      <c r="EH123" s="79">
        <v>1</v>
      </c>
      <c r="EI123" s="79">
        <v>1</v>
      </c>
      <c r="EJ123" s="79">
        <v>1</v>
      </c>
      <c r="EK123" s="79">
        <v>1</v>
      </c>
      <c r="EL123" s="79">
        <v>1</v>
      </c>
      <c r="EM123" s="143">
        <f t="shared" si="150"/>
        <v>0</v>
      </c>
      <c r="EN123" s="143">
        <f t="shared" si="151"/>
        <v>0</v>
      </c>
      <c r="EO123" s="82">
        <f t="shared" si="152"/>
        <v>0</v>
      </c>
    </row>
    <row r="124" spans="1:145" x14ac:dyDescent="0.25">
      <c r="A124">
        <v>110</v>
      </c>
      <c r="B124" s="172" t="e">
        <f t="shared" si="110"/>
        <v>#N/A</v>
      </c>
      <c r="C124" s="121" t="e">
        <f t="shared" si="89"/>
        <v>#N/A</v>
      </c>
      <c r="D124" s="122" t="e">
        <f t="shared" si="90"/>
        <v>#N/A</v>
      </c>
      <c r="E124" s="122" t="e">
        <f t="shared" si="91"/>
        <v>#N/A</v>
      </c>
      <c r="F124" s="176" t="e">
        <f t="shared" si="92"/>
        <v>#N/A</v>
      </c>
      <c r="G124" s="121">
        <f t="shared" si="111"/>
        <v>208</v>
      </c>
      <c r="H124" s="176" t="e">
        <f t="shared" si="112"/>
        <v>#N/A</v>
      </c>
      <c r="I124" s="48">
        <v>1</v>
      </c>
      <c r="J124" s="39"/>
      <c r="K124" s="350">
        <v>1</v>
      </c>
      <c r="L124" s="34" t="e">
        <f t="shared" si="93"/>
        <v>#N/A</v>
      </c>
      <c r="M124" s="38" t="e">
        <f>(HLOOKUP(J124,'Construction Times'!$B$3:$W$34,L124+2,FALSE)*HLOOKUP("hq modifier",'Construction Times'!$W$3:$W$34,BS124+2,FALSE))*(1-$H$9)</f>
        <v>#N/A</v>
      </c>
      <c r="N124" s="443" t="e">
        <f t="shared" si="113"/>
        <v>#N/A</v>
      </c>
      <c r="O124" s="444"/>
      <c r="P124" s="447" t="e">
        <f t="shared" si="114"/>
        <v>#N/A</v>
      </c>
      <c r="Q124" s="448"/>
      <c r="R124" s="103">
        <f t="shared" si="153"/>
        <v>0</v>
      </c>
      <c r="S124" s="104">
        <f t="shared" si="153"/>
        <v>0</v>
      </c>
      <c r="T124" s="104">
        <f t="shared" si="154"/>
        <v>0</v>
      </c>
      <c r="U124" s="104">
        <f t="shared" si="154"/>
        <v>0</v>
      </c>
      <c r="V124" s="104">
        <f t="shared" si="154"/>
        <v>9.9999999999999995E-8</v>
      </c>
      <c r="W124" s="104">
        <f t="shared" si="154"/>
        <v>0</v>
      </c>
      <c r="X124" s="104">
        <f t="shared" si="185"/>
        <v>0</v>
      </c>
      <c r="Y124" s="104">
        <f t="shared" si="185"/>
        <v>9.9999999999999995E-8</v>
      </c>
      <c r="Z124" s="104">
        <f t="shared" si="185"/>
        <v>9.9999999999999995E-8</v>
      </c>
      <c r="AA124" s="105">
        <f t="shared" si="185"/>
        <v>9.9999999999999995E-8</v>
      </c>
      <c r="AB124" s="101" t="e">
        <f>$DT124*HLOOKUP($J124,'Construction Costs (timber)'!$B$1:$V$32,'Construction Planner'!$L124+2,FALSE)</f>
        <v>#N/A</v>
      </c>
      <c r="AC124" s="14" t="e">
        <f>$DT124*HLOOKUP($J124,'Construction Costs (clay)'!$B$1:$V$32,'Construction Planner'!$L124+2,FALSE)</f>
        <v>#N/A</v>
      </c>
      <c r="AD124" s="14" t="e">
        <f>$DT124*HLOOKUP($J124,'Construction Costs (iron)'!$B$1:$V$32,'Construction Planner'!$L124+2,FALSE)</f>
        <v>#N/A</v>
      </c>
      <c r="AE124" s="34" t="e">
        <f t="shared" si="163"/>
        <v>#N/A</v>
      </c>
      <c r="AF124" s="33" t="e">
        <f t="shared" si="94"/>
        <v>#N/A</v>
      </c>
      <c r="AG124" s="14" t="e">
        <f t="shared" si="95"/>
        <v>#N/A</v>
      </c>
      <c r="AH124" s="14" t="e">
        <f t="shared" si="96"/>
        <v>#N/A</v>
      </c>
      <c r="AI124" s="34" t="e">
        <f t="shared" si="164"/>
        <v>#N/A</v>
      </c>
      <c r="AJ124" s="49" t="e">
        <f t="shared" si="115"/>
        <v>#N/A</v>
      </c>
      <c r="AK124" s="49" t="e">
        <f t="shared" si="116"/>
        <v>#N/A</v>
      </c>
      <c r="AL124" s="49" t="e">
        <f t="shared" si="117"/>
        <v>#N/A</v>
      </c>
      <c r="AM124" s="25">
        <f t="shared" si="97"/>
        <v>30</v>
      </c>
      <c r="AN124" s="25">
        <f t="shared" si="98"/>
        <v>30</v>
      </c>
      <c r="AO124" s="25">
        <f t="shared" si="99"/>
        <v>30</v>
      </c>
      <c r="AP124" s="52" t="e">
        <f t="shared" si="118"/>
        <v>#N/A</v>
      </c>
      <c r="AQ124" s="53" t="e">
        <f t="shared" si="118"/>
        <v>#N/A</v>
      </c>
      <c r="AR124" s="54" t="e">
        <f t="shared" si="118"/>
        <v>#N/A</v>
      </c>
      <c r="AS124" s="316">
        <f t="shared" si="186"/>
        <v>0</v>
      </c>
      <c r="AT124" s="106">
        <f>_xlfn.IFNA($M124/VLOOKUP($BT124,'Unit information'!$A$2:$K$29,2,FALSE)*R124,0)*(1+$E$9)</f>
        <v>0</v>
      </c>
      <c r="AU124" s="107">
        <f>_xlfn.IFNA($M124/VLOOKUP($BT124,'Unit information'!$A$2:$K$29,3,FALSE)*S124,0)*(1+$E$9)</f>
        <v>0</v>
      </c>
      <c r="AV124" s="107">
        <f>_xlfn.IFNA($M124/VLOOKUP($BT124,'Unit information'!$A$2:$K$29,4,FALSE)*T124,0)*(1+$E$9)</f>
        <v>0</v>
      </c>
      <c r="AW124" s="107">
        <f>_xlfn.IFNA($M124/VLOOKUP($BT124,'Unit information'!$A$2:$K$29,5,FALSE)*U124,0)*(1+$E$9)</f>
        <v>0</v>
      </c>
      <c r="AX124" s="107">
        <f>_xlfn.IFNA($M124/VLOOKUP($BU124,'Unit information'!$A$2:$K$29,6,FALSE)*V124,0)*(1+$E$9)</f>
        <v>0</v>
      </c>
      <c r="AY124" s="107">
        <f>_xlfn.IFNA($M124/VLOOKUP($BU124,'Unit information'!$A$2:$K$29,7,FALSE)*W124,0)*(1+$E$9)</f>
        <v>0</v>
      </c>
      <c r="AZ124" s="107">
        <f>_xlfn.IFNA($M124/VLOOKUP($BU124,'Unit information'!$A$2:$K$29,8,FALSE)*X124,0)*(1+$E$9)</f>
        <v>0</v>
      </c>
      <c r="BA124" s="107">
        <f>_xlfn.IFNA($M124/VLOOKUP($BU124,'Unit information'!$A$2:$K$29,9,FALSE)*Y124,0)*(1+$E$9)</f>
        <v>0</v>
      </c>
      <c r="BB124" s="107">
        <f>_xlfn.IFNA($M124/VLOOKUP($BV124,'Unit information'!$A$2:$K$29,10,FALSE)*Z124,0)*(1+$E$9)</f>
        <v>0</v>
      </c>
      <c r="BC124" s="108">
        <f>_xlfn.IFNA($M124/VLOOKUP($BV124,'Unit information'!$A$2:$K$29,11,FALSE)*AA124,0)*(1+$E$9)</f>
        <v>0</v>
      </c>
      <c r="BD124" s="106">
        <f t="shared" si="100"/>
        <v>0</v>
      </c>
      <c r="BE124" s="107">
        <f t="shared" si="101"/>
        <v>0</v>
      </c>
      <c r="BF124" s="108">
        <f t="shared" si="102"/>
        <v>0</v>
      </c>
      <c r="BG124" s="25" t="e">
        <f t="shared" si="103"/>
        <v>#N/A</v>
      </c>
      <c r="BH124" s="25" t="e">
        <f t="shared" si="104"/>
        <v>#N/A</v>
      </c>
      <c r="BI124" s="25" t="e">
        <f t="shared" si="105"/>
        <v>#N/A</v>
      </c>
      <c r="BJ124" s="27" t="e">
        <f t="shared" si="106"/>
        <v>#N/A</v>
      </c>
      <c r="BK124" s="18" t="e">
        <f t="shared" si="107"/>
        <v>#N/A</v>
      </c>
      <c r="BL124" s="18" t="e">
        <f t="shared" si="108"/>
        <v>#N/A</v>
      </c>
      <c r="BM124" s="28" t="e">
        <f t="shared" si="166"/>
        <v>#N/A</v>
      </c>
      <c r="BN124" s="33">
        <f>HLOOKUP("maximum population",Miscelaneous!$C$1:$C$33,CH124+3,FALSE)</f>
        <v>240</v>
      </c>
      <c r="BO124" s="14">
        <f t="shared" si="119"/>
        <v>32</v>
      </c>
      <c r="BP124" s="14">
        <f t="shared" si="120"/>
        <v>0</v>
      </c>
      <c r="BQ124" s="14">
        <f t="shared" si="121"/>
        <v>208</v>
      </c>
      <c r="BR124" s="34" t="e">
        <f>HLOOKUP(J124,Villagers!$B$1:$V$33,L124+3,FALSE)-HLOOKUP(J124,Villagers!$B$1:$V$33,L124+2,FALSE)</f>
        <v>#N/A</v>
      </c>
      <c r="BS124" s="49">
        <f t="shared" si="122"/>
        <v>1</v>
      </c>
      <c r="BT124" s="50">
        <f t="shared" si="123"/>
        <v>0</v>
      </c>
      <c r="BU124" s="50">
        <f t="shared" si="124"/>
        <v>0</v>
      </c>
      <c r="BV124" s="50">
        <f t="shared" si="125"/>
        <v>0</v>
      </c>
      <c r="BW124" s="50">
        <f t="shared" si="188"/>
        <v>0</v>
      </c>
      <c r="BX124" s="50">
        <f t="shared" si="187"/>
        <v>0</v>
      </c>
      <c r="BY124" s="50">
        <f t="shared" si="187"/>
        <v>0</v>
      </c>
      <c r="BZ124" s="50">
        <f t="shared" si="167"/>
        <v>0</v>
      </c>
      <c r="CA124" s="50">
        <f t="shared" si="168"/>
        <v>0</v>
      </c>
      <c r="CB124" s="50">
        <f t="shared" si="169"/>
        <v>1</v>
      </c>
      <c r="CC124" s="50">
        <f t="shared" si="170"/>
        <v>0</v>
      </c>
      <c r="CD124" s="50">
        <f t="shared" si="171"/>
        <v>0</v>
      </c>
      <c r="CE124" s="50">
        <f t="shared" si="172"/>
        <v>1</v>
      </c>
      <c r="CF124" s="50">
        <f t="shared" si="173"/>
        <v>1</v>
      </c>
      <c r="CG124" s="50">
        <f t="shared" si="174"/>
        <v>1</v>
      </c>
      <c r="CH124" s="50">
        <f t="shared" si="175"/>
        <v>1</v>
      </c>
      <c r="CI124" s="50">
        <f t="shared" si="176"/>
        <v>1</v>
      </c>
      <c r="CJ124" s="50">
        <f t="shared" si="177"/>
        <v>1</v>
      </c>
      <c r="CK124" s="50">
        <f t="shared" si="177"/>
        <v>0</v>
      </c>
      <c r="CL124" s="50">
        <f t="shared" si="177"/>
        <v>0</v>
      </c>
      <c r="CM124" s="51">
        <f t="shared" si="178"/>
        <v>0</v>
      </c>
      <c r="CN124" s="33">
        <f>ROUND(IF(BS124=0,0,HLOOKUP(BS$14,Villagers!$B$1:$V$33,BS124+3,FALSE)),)</f>
        <v>5</v>
      </c>
      <c r="CO124" s="14">
        <f>ROUND(IF(BT124=0,0,HLOOKUP(BT$14,Villagers!$B$1:$V$33,BT124+3,FALSE)),)</f>
        <v>0</v>
      </c>
      <c r="CP124" s="14">
        <f>ROUND(IF(BU124=0,0,HLOOKUP(BU$14,Villagers!$B$1:$V$33,BU124+3,FALSE)),)</f>
        <v>0</v>
      </c>
      <c r="CQ124" s="14">
        <f>ROUND(IF(BV124=0,0,HLOOKUP(BV$14,Villagers!$B$1:$V$33,BV124+3,FALSE)),)</f>
        <v>0</v>
      </c>
      <c r="CR124" s="14">
        <f>ROUND(IF(BW124=0,0,HLOOKUP(BW$14,Villagers!$B$1:$V$33,BW124+3,FALSE)),)</f>
        <v>0</v>
      </c>
      <c r="CS124" s="14">
        <f>ROUND(IF(BX124=0,0,HLOOKUP(BX$14,Villagers!$B$1:$V$33,BX124+3,FALSE)),)</f>
        <v>0</v>
      </c>
      <c r="CT124" s="14">
        <f>ROUND(IF(BY124=0,0,HLOOKUP(BY$14,Villagers!$B$1:$V$33,BY124+3,FALSE)),)</f>
        <v>0</v>
      </c>
      <c r="CU124" s="14">
        <f>ROUND(IF(BZ124=0,0,HLOOKUP(BZ$14,Villagers!$B$1:$V$33,BZ124+3,FALSE)),)</f>
        <v>0</v>
      </c>
      <c r="CV124" s="14">
        <f>ROUND(IF(CA124=0,0,HLOOKUP(CA$14,Villagers!$B$1:$V$33,CA124+3,FALSE)),)</f>
        <v>0</v>
      </c>
      <c r="CW124" s="14">
        <f>ROUND(IF(CB124=0,0,HLOOKUP(CB$14,Villagers!$B$1:$V$33,CB124+3,FALSE)),)</f>
        <v>0</v>
      </c>
      <c r="CX124" s="14">
        <f>ROUND(IF(CC124=0,0,HLOOKUP(CC$14,Villagers!$B$1:$V$33,CC124+3,FALSE)),)</f>
        <v>0</v>
      </c>
      <c r="CY124" s="14">
        <f>ROUND(IF(CD124=0,0,HLOOKUP(CD$14,Villagers!$B$1:$V$33,CD124+3,FALSE)),)</f>
        <v>0</v>
      </c>
      <c r="CZ124" s="14">
        <f>ROUND(IF(CE124=0,0,HLOOKUP(CE$14,Villagers!$B$1:$V$33,CE124+3,FALSE)),)</f>
        <v>5</v>
      </c>
      <c r="DA124" s="14">
        <f>ROUND(IF(CF124=0,0,HLOOKUP(CF$14,Villagers!$B$1:$V$33,CF124+3,FALSE)),)</f>
        <v>10</v>
      </c>
      <c r="DB124" s="14">
        <f>ROUND(IF(CG124=0,0,HLOOKUP(CG$14,Villagers!$B$1:$V$33,CG124+3,FALSE)),)</f>
        <v>10</v>
      </c>
      <c r="DC124" s="14">
        <f>ROUND(IF(CH124=0,0,HLOOKUP(CH$14,Villagers!$B$1:$V$33,CH124+3,FALSE)),)</f>
        <v>0</v>
      </c>
      <c r="DD124" s="14">
        <f>ROUND(IF(CI124=0,0,HLOOKUP(CI$14,Villagers!$B$1:$V$33,CI124+3,FALSE)),)</f>
        <v>0</v>
      </c>
      <c r="DE124" s="14">
        <f>ROUND(IF(CJ124=0,0,HLOOKUP(CJ$14,Villagers!$B$1:$V$33,CJ124+3,FALSE)),)</f>
        <v>2</v>
      </c>
      <c r="DF124" s="370">
        <f>ROUND(IF(CK124=0,0,HLOOKUP(CK$14,Villagers!$B$1:$V$33,CK124+3,FALSE)),)</f>
        <v>0</v>
      </c>
      <c r="DG124" s="370">
        <f>ROUND(IF(CL124=0,0,HLOOKUP(CL$14,Villagers!$B$1:$V$33,CL124+3,FALSE)),)</f>
        <v>0</v>
      </c>
      <c r="DH124" s="34">
        <f>ROUND(IF(CM124=0,0,HLOOKUP(CM$14,Villagers!$B$1:$V$33,CM124+3,FALSE)),)</f>
        <v>0</v>
      </c>
      <c r="DI124" s="109">
        <f t="shared" si="155"/>
        <v>0</v>
      </c>
      <c r="DJ124" s="50">
        <f t="shared" si="156"/>
        <v>0</v>
      </c>
      <c r="DK124" s="50">
        <f t="shared" si="157"/>
        <v>0</v>
      </c>
      <c r="DL124" s="50">
        <f t="shared" si="158"/>
        <v>0</v>
      </c>
      <c r="DM124" s="50">
        <f t="shared" si="159"/>
        <v>0</v>
      </c>
      <c r="DN124" s="50">
        <f t="shared" si="160"/>
        <v>0</v>
      </c>
      <c r="DO124" s="50">
        <f t="shared" si="161"/>
        <v>0</v>
      </c>
      <c r="DP124" s="50">
        <f t="shared" si="162"/>
        <v>0</v>
      </c>
      <c r="DQ124" s="50">
        <f t="shared" si="140"/>
        <v>0</v>
      </c>
      <c r="DR124" s="50">
        <f t="shared" si="141"/>
        <v>0</v>
      </c>
      <c r="DS124" s="96">
        <f>Miscelaneous!$D$4*Miscelaneous!$D$2^($CI124-1)</f>
        <v>1000</v>
      </c>
      <c r="DT124" s="333">
        <f t="shared" si="109"/>
        <v>1</v>
      </c>
      <c r="DU124" s="81">
        <v>1</v>
      </c>
      <c r="DV124" s="79">
        <f t="shared" si="142"/>
        <v>0</v>
      </c>
      <c r="DW124" s="79">
        <f t="shared" si="143"/>
        <v>0</v>
      </c>
      <c r="DX124" s="79">
        <f t="shared" si="144"/>
        <v>0</v>
      </c>
      <c r="DY124" s="79">
        <v>1</v>
      </c>
      <c r="DZ124" s="79">
        <f t="shared" si="145"/>
        <v>0</v>
      </c>
      <c r="EA124" s="79">
        <f t="shared" si="146"/>
        <v>0</v>
      </c>
      <c r="EB124" s="79">
        <f t="shared" si="147"/>
        <v>0</v>
      </c>
      <c r="EC124" s="79">
        <f t="shared" si="148"/>
        <v>0</v>
      </c>
      <c r="ED124" s="79">
        <v>1</v>
      </c>
      <c r="EE124" s="79">
        <v>1</v>
      </c>
      <c r="EF124" s="79">
        <f t="shared" si="149"/>
        <v>0</v>
      </c>
      <c r="EG124" s="79">
        <v>1</v>
      </c>
      <c r="EH124" s="79">
        <v>1</v>
      </c>
      <c r="EI124" s="79">
        <v>1</v>
      </c>
      <c r="EJ124" s="79">
        <v>1</v>
      </c>
      <c r="EK124" s="79">
        <v>1</v>
      </c>
      <c r="EL124" s="79">
        <v>1</v>
      </c>
      <c r="EM124" s="143">
        <f t="shared" si="150"/>
        <v>0</v>
      </c>
      <c r="EN124" s="143">
        <f t="shared" si="151"/>
        <v>0</v>
      </c>
      <c r="EO124" s="82">
        <f t="shared" si="152"/>
        <v>0</v>
      </c>
    </row>
    <row r="125" spans="1:145" x14ac:dyDescent="0.25">
      <c r="A125">
        <v>111</v>
      </c>
      <c r="B125" s="172" t="e">
        <f t="shared" si="110"/>
        <v>#N/A</v>
      </c>
      <c r="C125" s="121" t="e">
        <f t="shared" si="89"/>
        <v>#N/A</v>
      </c>
      <c r="D125" s="122" t="e">
        <f t="shared" si="90"/>
        <v>#N/A</v>
      </c>
      <c r="E125" s="122" t="e">
        <f t="shared" si="91"/>
        <v>#N/A</v>
      </c>
      <c r="F125" s="176" t="e">
        <f t="shared" si="92"/>
        <v>#N/A</v>
      </c>
      <c r="G125" s="121">
        <f t="shared" si="111"/>
        <v>208</v>
      </c>
      <c r="H125" s="176" t="e">
        <f t="shared" si="112"/>
        <v>#N/A</v>
      </c>
      <c r="I125" s="48">
        <v>1</v>
      </c>
      <c r="J125" s="39"/>
      <c r="K125" s="350">
        <v>1</v>
      </c>
      <c r="L125" s="34" t="e">
        <f t="shared" si="93"/>
        <v>#N/A</v>
      </c>
      <c r="M125" s="38" t="e">
        <f>(HLOOKUP(J125,'Construction Times'!$B$3:$W$34,L125+2,FALSE)*HLOOKUP("hq modifier",'Construction Times'!$W$3:$W$34,BS125+2,FALSE))*(1-$H$9)</f>
        <v>#N/A</v>
      </c>
      <c r="N125" s="443" t="e">
        <f t="shared" si="113"/>
        <v>#N/A</v>
      </c>
      <c r="O125" s="444"/>
      <c r="P125" s="447" t="e">
        <f t="shared" si="114"/>
        <v>#N/A</v>
      </c>
      <c r="Q125" s="448"/>
      <c r="R125" s="103">
        <f t="shared" si="153"/>
        <v>0</v>
      </c>
      <c r="S125" s="104">
        <f t="shared" si="153"/>
        <v>0</v>
      </c>
      <c r="T125" s="104">
        <f t="shared" si="154"/>
        <v>0</v>
      </c>
      <c r="U125" s="104">
        <f t="shared" si="154"/>
        <v>0</v>
      </c>
      <c r="V125" s="104">
        <f t="shared" si="154"/>
        <v>9.9999999999999995E-8</v>
      </c>
      <c r="W125" s="104">
        <f t="shared" si="154"/>
        <v>0</v>
      </c>
      <c r="X125" s="104">
        <f t="shared" si="185"/>
        <v>0</v>
      </c>
      <c r="Y125" s="104">
        <f t="shared" si="185"/>
        <v>9.9999999999999995E-8</v>
      </c>
      <c r="Z125" s="104">
        <f t="shared" si="185"/>
        <v>9.9999999999999995E-8</v>
      </c>
      <c r="AA125" s="105">
        <f t="shared" si="185"/>
        <v>9.9999999999999995E-8</v>
      </c>
      <c r="AB125" s="101" t="e">
        <f>$DT125*HLOOKUP($J125,'Construction Costs (timber)'!$B$1:$V$32,'Construction Planner'!$L125+2,FALSE)</f>
        <v>#N/A</v>
      </c>
      <c r="AC125" s="14" t="e">
        <f>$DT125*HLOOKUP($J125,'Construction Costs (clay)'!$B$1:$V$32,'Construction Planner'!$L125+2,FALSE)</f>
        <v>#N/A</v>
      </c>
      <c r="AD125" s="14" t="e">
        <f>$DT125*HLOOKUP($J125,'Construction Costs (iron)'!$B$1:$V$32,'Construction Planner'!$L125+2,FALSE)</f>
        <v>#N/A</v>
      </c>
      <c r="AE125" s="34" t="e">
        <f t="shared" si="163"/>
        <v>#N/A</v>
      </c>
      <c r="AF125" s="33" t="e">
        <f t="shared" si="94"/>
        <v>#N/A</v>
      </c>
      <c r="AG125" s="14" t="e">
        <f t="shared" si="95"/>
        <v>#N/A</v>
      </c>
      <c r="AH125" s="14" t="e">
        <f t="shared" si="96"/>
        <v>#N/A</v>
      </c>
      <c r="AI125" s="34" t="e">
        <f t="shared" si="164"/>
        <v>#N/A</v>
      </c>
      <c r="AJ125" s="49" t="e">
        <f t="shared" si="115"/>
        <v>#N/A</v>
      </c>
      <c r="AK125" s="49" t="e">
        <f t="shared" si="116"/>
        <v>#N/A</v>
      </c>
      <c r="AL125" s="49" t="e">
        <f t="shared" si="117"/>
        <v>#N/A</v>
      </c>
      <c r="AM125" s="25">
        <f t="shared" si="97"/>
        <v>30</v>
      </c>
      <c r="AN125" s="25">
        <f t="shared" si="98"/>
        <v>30</v>
      </c>
      <c r="AO125" s="25">
        <f t="shared" si="99"/>
        <v>30</v>
      </c>
      <c r="AP125" s="52" t="e">
        <f t="shared" si="118"/>
        <v>#N/A</v>
      </c>
      <c r="AQ125" s="53" t="e">
        <f t="shared" si="118"/>
        <v>#N/A</v>
      </c>
      <c r="AR125" s="54" t="e">
        <f t="shared" si="118"/>
        <v>#N/A</v>
      </c>
      <c r="AS125" s="316">
        <f t="shared" si="186"/>
        <v>0</v>
      </c>
      <c r="AT125" s="106">
        <f>_xlfn.IFNA($M125/VLOOKUP($BT125,'Unit information'!$A$2:$K$29,2,FALSE)*R125,0)*(1+$E$9)</f>
        <v>0</v>
      </c>
      <c r="AU125" s="107">
        <f>_xlfn.IFNA($M125/VLOOKUP($BT125,'Unit information'!$A$2:$K$29,3,FALSE)*S125,0)*(1+$E$9)</f>
        <v>0</v>
      </c>
      <c r="AV125" s="107">
        <f>_xlfn.IFNA($M125/VLOOKUP($BT125,'Unit information'!$A$2:$K$29,4,FALSE)*T125,0)*(1+$E$9)</f>
        <v>0</v>
      </c>
      <c r="AW125" s="107">
        <f>_xlfn.IFNA($M125/VLOOKUP($BT125,'Unit information'!$A$2:$K$29,5,FALSE)*U125,0)*(1+$E$9)</f>
        <v>0</v>
      </c>
      <c r="AX125" s="107">
        <f>_xlfn.IFNA($M125/VLOOKUP($BU125,'Unit information'!$A$2:$K$29,6,FALSE)*V125,0)*(1+$E$9)</f>
        <v>0</v>
      </c>
      <c r="AY125" s="107">
        <f>_xlfn.IFNA($M125/VLOOKUP($BU125,'Unit information'!$A$2:$K$29,7,FALSE)*W125,0)*(1+$E$9)</f>
        <v>0</v>
      </c>
      <c r="AZ125" s="107">
        <f>_xlfn.IFNA($M125/VLOOKUP($BU125,'Unit information'!$A$2:$K$29,8,FALSE)*X125,0)*(1+$E$9)</f>
        <v>0</v>
      </c>
      <c r="BA125" s="107">
        <f>_xlfn.IFNA($M125/VLOOKUP($BU125,'Unit information'!$A$2:$K$29,9,FALSE)*Y125,0)*(1+$E$9)</f>
        <v>0</v>
      </c>
      <c r="BB125" s="107">
        <f>_xlfn.IFNA($M125/VLOOKUP($BV125,'Unit information'!$A$2:$K$29,10,FALSE)*Z125,0)*(1+$E$9)</f>
        <v>0</v>
      </c>
      <c r="BC125" s="108">
        <f>_xlfn.IFNA($M125/VLOOKUP($BV125,'Unit information'!$A$2:$K$29,11,FALSE)*AA125,0)*(1+$E$9)</f>
        <v>0</v>
      </c>
      <c r="BD125" s="106">
        <f t="shared" si="100"/>
        <v>0</v>
      </c>
      <c r="BE125" s="107">
        <f t="shared" si="101"/>
        <v>0</v>
      </c>
      <c r="BF125" s="108">
        <f t="shared" si="102"/>
        <v>0</v>
      </c>
      <c r="BG125" s="25" t="e">
        <f t="shared" si="103"/>
        <v>#N/A</v>
      </c>
      <c r="BH125" s="25" t="e">
        <f t="shared" si="104"/>
        <v>#N/A</v>
      </c>
      <c r="BI125" s="25" t="e">
        <f t="shared" si="105"/>
        <v>#N/A</v>
      </c>
      <c r="BJ125" s="27" t="e">
        <f t="shared" si="106"/>
        <v>#N/A</v>
      </c>
      <c r="BK125" s="18" t="e">
        <f t="shared" si="107"/>
        <v>#N/A</v>
      </c>
      <c r="BL125" s="18" t="e">
        <f t="shared" si="108"/>
        <v>#N/A</v>
      </c>
      <c r="BM125" s="28" t="e">
        <f t="shared" si="166"/>
        <v>#N/A</v>
      </c>
      <c r="BN125" s="33">
        <f>HLOOKUP("maximum population",Miscelaneous!$C$1:$C$33,CH125+3,FALSE)</f>
        <v>240</v>
      </c>
      <c r="BO125" s="14">
        <f t="shared" si="119"/>
        <v>32</v>
      </c>
      <c r="BP125" s="14">
        <f t="shared" si="120"/>
        <v>0</v>
      </c>
      <c r="BQ125" s="14">
        <f t="shared" si="121"/>
        <v>208</v>
      </c>
      <c r="BR125" s="34" t="e">
        <f>HLOOKUP(J125,Villagers!$B$1:$V$33,L125+3,FALSE)-HLOOKUP(J125,Villagers!$B$1:$V$33,L125+2,FALSE)</f>
        <v>#N/A</v>
      </c>
      <c r="BS125" s="49">
        <f t="shared" si="122"/>
        <v>1</v>
      </c>
      <c r="BT125" s="50">
        <f t="shared" si="123"/>
        <v>0</v>
      </c>
      <c r="BU125" s="50">
        <f t="shared" si="124"/>
        <v>0</v>
      </c>
      <c r="BV125" s="50">
        <f t="shared" si="125"/>
        <v>0</v>
      </c>
      <c r="BW125" s="50">
        <f t="shared" si="188"/>
        <v>0</v>
      </c>
      <c r="BX125" s="50">
        <f t="shared" si="187"/>
        <v>0</v>
      </c>
      <c r="BY125" s="50">
        <f t="shared" si="187"/>
        <v>0</v>
      </c>
      <c r="BZ125" s="50">
        <f t="shared" si="167"/>
        <v>0</v>
      </c>
      <c r="CA125" s="50">
        <f t="shared" si="168"/>
        <v>0</v>
      </c>
      <c r="CB125" s="50">
        <f t="shared" si="169"/>
        <v>1</v>
      </c>
      <c r="CC125" s="50">
        <f t="shared" si="170"/>
        <v>0</v>
      </c>
      <c r="CD125" s="50">
        <f t="shared" si="171"/>
        <v>0</v>
      </c>
      <c r="CE125" s="50">
        <f t="shared" si="172"/>
        <v>1</v>
      </c>
      <c r="CF125" s="50">
        <f t="shared" si="173"/>
        <v>1</v>
      </c>
      <c r="CG125" s="50">
        <f t="shared" si="174"/>
        <v>1</v>
      </c>
      <c r="CH125" s="50">
        <f t="shared" si="175"/>
        <v>1</v>
      </c>
      <c r="CI125" s="50">
        <f t="shared" si="176"/>
        <v>1</v>
      </c>
      <c r="CJ125" s="50">
        <f t="shared" si="177"/>
        <v>1</v>
      </c>
      <c r="CK125" s="50">
        <f t="shared" si="177"/>
        <v>0</v>
      </c>
      <c r="CL125" s="50">
        <f t="shared" si="177"/>
        <v>0</v>
      </c>
      <c r="CM125" s="51">
        <f t="shared" si="178"/>
        <v>0</v>
      </c>
      <c r="CN125" s="33">
        <f>ROUND(IF(BS125=0,0,HLOOKUP(BS$14,Villagers!$B$1:$V$33,BS125+3,FALSE)),)</f>
        <v>5</v>
      </c>
      <c r="CO125" s="14">
        <f>ROUND(IF(BT125=0,0,HLOOKUP(BT$14,Villagers!$B$1:$V$33,BT125+3,FALSE)),)</f>
        <v>0</v>
      </c>
      <c r="CP125" s="14">
        <f>ROUND(IF(BU125=0,0,HLOOKUP(BU$14,Villagers!$B$1:$V$33,BU125+3,FALSE)),)</f>
        <v>0</v>
      </c>
      <c r="CQ125" s="14">
        <f>ROUND(IF(BV125=0,0,HLOOKUP(BV$14,Villagers!$B$1:$V$33,BV125+3,FALSE)),)</f>
        <v>0</v>
      </c>
      <c r="CR125" s="14">
        <f>ROUND(IF(BW125=0,0,HLOOKUP(BW$14,Villagers!$B$1:$V$33,BW125+3,FALSE)),)</f>
        <v>0</v>
      </c>
      <c r="CS125" s="14">
        <f>ROUND(IF(BX125=0,0,HLOOKUP(BX$14,Villagers!$B$1:$V$33,BX125+3,FALSE)),)</f>
        <v>0</v>
      </c>
      <c r="CT125" s="14">
        <f>ROUND(IF(BY125=0,0,HLOOKUP(BY$14,Villagers!$B$1:$V$33,BY125+3,FALSE)),)</f>
        <v>0</v>
      </c>
      <c r="CU125" s="14">
        <f>ROUND(IF(BZ125=0,0,HLOOKUP(BZ$14,Villagers!$B$1:$V$33,BZ125+3,FALSE)),)</f>
        <v>0</v>
      </c>
      <c r="CV125" s="14">
        <f>ROUND(IF(CA125=0,0,HLOOKUP(CA$14,Villagers!$B$1:$V$33,CA125+3,FALSE)),)</f>
        <v>0</v>
      </c>
      <c r="CW125" s="14">
        <f>ROUND(IF(CB125=0,0,HLOOKUP(CB$14,Villagers!$B$1:$V$33,CB125+3,FALSE)),)</f>
        <v>0</v>
      </c>
      <c r="CX125" s="14">
        <f>ROUND(IF(CC125=0,0,HLOOKUP(CC$14,Villagers!$B$1:$V$33,CC125+3,FALSE)),)</f>
        <v>0</v>
      </c>
      <c r="CY125" s="14">
        <f>ROUND(IF(CD125=0,0,HLOOKUP(CD$14,Villagers!$B$1:$V$33,CD125+3,FALSE)),)</f>
        <v>0</v>
      </c>
      <c r="CZ125" s="14">
        <f>ROUND(IF(CE125=0,0,HLOOKUP(CE$14,Villagers!$B$1:$V$33,CE125+3,FALSE)),)</f>
        <v>5</v>
      </c>
      <c r="DA125" s="14">
        <f>ROUND(IF(CF125=0,0,HLOOKUP(CF$14,Villagers!$B$1:$V$33,CF125+3,FALSE)),)</f>
        <v>10</v>
      </c>
      <c r="DB125" s="14">
        <f>ROUND(IF(CG125=0,0,HLOOKUP(CG$14,Villagers!$B$1:$V$33,CG125+3,FALSE)),)</f>
        <v>10</v>
      </c>
      <c r="DC125" s="14">
        <f>ROUND(IF(CH125=0,0,HLOOKUP(CH$14,Villagers!$B$1:$V$33,CH125+3,FALSE)),)</f>
        <v>0</v>
      </c>
      <c r="DD125" s="14">
        <f>ROUND(IF(CI125=0,0,HLOOKUP(CI$14,Villagers!$B$1:$V$33,CI125+3,FALSE)),)</f>
        <v>0</v>
      </c>
      <c r="DE125" s="14">
        <f>ROUND(IF(CJ125=0,0,HLOOKUP(CJ$14,Villagers!$B$1:$V$33,CJ125+3,FALSE)),)</f>
        <v>2</v>
      </c>
      <c r="DF125" s="370">
        <f>ROUND(IF(CK125=0,0,HLOOKUP(CK$14,Villagers!$B$1:$V$33,CK125+3,FALSE)),)</f>
        <v>0</v>
      </c>
      <c r="DG125" s="370">
        <f>ROUND(IF(CL125=0,0,HLOOKUP(CL$14,Villagers!$B$1:$V$33,CL125+3,FALSE)),)</f>
        <v>0</v>
      </c>
      <c r="DH125" s="34">
        <f>ROUND(IF(CM125=0,0,HLOOKUP(CM$14,Villagers!$B$1:$V$33,CM125+3,FALSE)),)</f>
        <v>0</v>
      </c>
      <c r="DI125" s="109">
        <f t="shared" si="155"/>
        <v>0</v>
      </c>
      <c r="DJ125" s="50">
        <f t="shared" si="156"/>
        <v>0</v>
      </c>
      <c r="DK125" s="50">
        <f t="shared" si="157"/>
        <v>0</v>
      </c>
      <c r="DL125" s="50">
        <f t="shared" si="158"/>
        <v>0</v>
      </c>
      <c r="DM125" s="50">
        <f t="shared" si="159"/>
        <v>0</v>
      </c>
      <c r="DN125" s="50">
        <f t="shared" si="160"/>
        <v>0</v>
      </c>
      <c r="DO125" s="50">
        <f t="shared" si="161"/>
        <v>0</v>
      </c>
      <c r="DP125" s="50">
        <f t="shared" si="162"/>
        <v>0</v>
      </c>
      <c r="DQ125" s="50">
        <f t="shared" si="140"/>
        <v>0</v>
      </c>
      <c r="DR125" s="50">
        <f t="shared" si="141"/>
        <v>0</v>
      </c>
      <c r="DS125" s="96">
        <f>Miscelaneous!$D$4*Miscelaneous!$D$2^($CI125-1)</f>
        <v>1000</v>
      </c>
      <c r="DT125" s="333">
        <f t="shared" si="109"/>
        <v>1</v>
      </c>
      <c r="DU125" s="81">
        <v>1</v>
      </c>
      <c r="DV125" s="79">
        <f t="shared" si="142"/>
        <v>0</v>
      </c>
      <c r="DW125" s="79">
        <f t="shared" si="143"/>
        <v>0</v>
      </c>
      <c r="DX125" s="79">
        <f t="shared" si="144"/>
        <v>0</v>
      </c>
      <c r="DY125" s="79">
        <v>1</v>
      </c>
      <c r="DZ125" s="79">
        <f t="shared" si="145"/>
        <v>0</v>
      </c>
      <c r="EA125" s="79">
        <f t="shared" si="146"/>
        <v>0</v>
      </c>
      <c r="EB125" s="79">
        <f t="shared" si="147"/>
        <v>0</v>
      </c>
      <c r="EC125" s="79">
        <f t="shared" si="148"/>
        <v>0</v>
      </c>
      <c r="ED125" s="79">
        <v>1</v>
      </c>
      <c r="EE125" s="79">
        <v>1</v>
      </c>
      <c r="EF125" s="79">
        <f t="shared" si="149"/>
        <v>0</v>
      </c>
      <c r="EG125" s="79">
        <v>1</v>
      </c>
      <c r="EH125" s="79">
        <v>1</v>
      </c>
      <c r="EI125" s="79">
        <v>1</v>
      </c>
      <c r="EJ125" s="79">
        <v>1</v>
      </c>
      <c r="EK125" s="79">
        <v>1</v>
      </c>
      <c r="EL125" s="79">
        <v>1</v>
      </c>
      <c r="EM125" s="143">
        <f t="shared" si="150"/>
        <v>0</v>
      </c>
      <c r="EN125" s="143">
        <f t="shared" si="151"/>
        <v>0</v>
      </c>
      <c r="EO125" s="82">
        <f t="shared" si="152"/>
        <v>0</v>
      </c>
    </row>
    <row r="126" spans="1:145" x14ac:dyDescent="0.25">
      <c r="A126">
        <v>112</v>
      </c>
      <c r="B126" s="172" t="e">
        <f t="shared" si="110"/>
        <v>#N/A</v>
      </c>
      <c r="C126" s="121" t="e">
        <f t="shared" si="89"/>
        <v>#N/A</v>
      </c>
      <c r="D126" s="122" t="e">
        <f t="shared" si="90"/>
        <v>#N/A</v>
      </c>
      <c r="E126" s="122" t="e">
        <f t="shared" si="91"/>
        <v>#N/A</v>
      </c>
      <c r="F126" s="176" t="e">
        <f t="shared" si="92"/>
        <v>#N/A</v>
      </c>
      <c r="G126" s="121">
        <f t="shared" si="111"/>
        <v>208</v>
      </c>
      <c r="H126" s="176" t="e">
        <f t="shared" si="112"/>
        <v>#N/A</v>
      </c>
      <c r="I126" s="48">
        <v>1</v>
      </c>
      <c r="J126" s="39"/>
      <c r="K126" s="350">
        <v>1</v>
      </c>
      <c r="L126" s="34" t="e">
        <f t="shared" si="93"/>
        <v>#N/A</v>
      </c>
      <c r="M126" s="38" t="e">
        <f>(HLOOKUP(J126,'Construction Times'!$B$3:$W$34,L126+2,FALSE)*HLOOKUP("hq modifier",'Construction Times'!$W$3:$W$34,BS126+2,FALSE))*(1-$H$9)</f>
        <v>#N/A</v>
      </c>
      <c r="N126" s="443" t="e">
        <f t="shared" si="113"/>
        <v>#N/A</v>
      </c>
      <c r="O126" s="444"/>
      <c r="P126" s="447" t="e">
        <f t="shared" si="114"/>
        <v>#N/A</v>
      </c>
      <c r="Q126" s="448"/>
      <c r="R126" s="103">
        <f t="shared" si="153"/>
        <v>0</v>
      </c>
      <c r="S126" s="104">
        <f t="shared" si="153"/>
        <v>0</v>
      </c>
      <c r="T126" s="104">
        <f t="shared" si="154"/>
        <v>0</v>
      </c>
      <c r="U126" s="104">
        <f t="shared" si="154"/>
        <v>0</v>
      </c>
      <c r="V126" s="104">
        <f t="shared" si="154"/>
        <v>9.9999999999999995E-8</v>
      </c>
      <c r="W126" s="104">
        <f t="shared" si="154"/>
        <v>0</v>
      </c>
      <c r="X126" s="104">
        <f t="shared" si="185"/>
        <v>0</v>
      </c>
      <c r="Y126" s="104">
        <f t="shared" si="185"/>
        <v>9.9999999999999995E-8</v>
      </c>
      <c r="Z126" s="104">
        <f t="shared" si="185"/>
        <v>9.9999999999999995E-8</v>
      </c>
      <c r="AA126" s="105">
        <f t="shared" si="185"/>
        <v>9.9999999999999995E-8</v>
      </c>
      <c r="AB126" s="101" t="e">
        <f>$DT126*HLOOKUP($J126,'Construction Costs (timber)'!$B$1:$V$32,'Construction Planner'!$L126+2,FALSE)</f>
        <v>#N/A</v>
      </c>
      <c r="AC126" s="14" t="e">
        <f>$DT126*HLOOKUP($J126,'Construction Costs (clay)'!$B$1:$V$32,'Construction Planner'!$L126+2,FALSE)</f>
        <v>#N/A</v>
      </c>
      <c r="AD126" s="14" t="e">
        <f>$DT126*HLOOKUP($J126,'Construction Costs (iron)'!$B$1:$V$32,'Construction Planner'!$L126+2,FALSE)</f>
        <v>#N/A</v>
      </c>
      <c r="AE126" s="34" t="e">
        <f t="shared" si="163"/>
        <v>#N/A</v>
      </c>
      <c r="AF126" s="33" t="e">
        <f t="shared" si="94"/>
        <v>#N/A</v>
      </c>
      <c r="AG126" s="14" t="e">
        <f t="shared" si="95"/>
        <v>#N/A</v>
      </c>
      <c r="AH126" s="14" t="e">
        <f t="shared" si="96"/>
        <v>#N/A</v>
      </c>
      <c r="AI126" s="34" t="e">
        <f t="shared" si="164"/>
        <v>#N/A</v>
      </c>
      <c r="AJ126" s="49" t="e">
        <f t="shared" si="115"/>
        <v>#N/A</v>
      </c>
      <c r="AK126" s="49" t="e">
        <f t="shared" si="116"/>
        <v>#N/A</v>
      </c>
      <c r="AL126" s="49" t="e">
        <f t="shared" si="117"/>
        <v>#N/A</v>
      </c>
      <c r="AM126" s="25">
        <f t="shared" si="97"/>
        <v>30</v>
      </c>
      <c r="AN126" s="25">
        <f t="shared" si="98"/>
        <v>30</v>
      </c>
      <c r="AO126" s="25">
        <f t="shared" si="99"/>
        <v>30</v>
      </c>
      <c r="AP126" s="52" t="e">
        <f t="shared" si="118"/>
        <v>#N/A</v>
      </c>
      <c r="AQ126" s="53" t="e">
        <f t="shared" si="118"/>
        <v>#N/A</v>
      </c>
      <c r="AR126" s="54" t="e">
        <f t="shared" si="118"/>
        <v>#N/A</v>
      </c>
      <c r="AS126" s="316">
        <f t="shared" si="186"/>
        <v>0</v>
      </c>
      <c r="AT126" s="106">
        <f>_xlfn.IFNA($M126/VLOOKUP($BT126,'Unit information'!$A$2:$K$29,2,FALSE)*R126,0)*(1+$E$9)</f>
        <v>0</v>
      </c>
      <c r="AU126" s="107">
        <f>_xlfn.IFNA($M126/VLOOKUP($BT126,'Unit information'!$A$2:$K$29,3,FALSE)*S126,0)*(1+$E$9)</f>
        <v>0</v>
      </c>
      <c r="AV126" s="107">
        <f>_xlfn.IFNA($M126/VLOOKUP($BT126,'Unit information'!$A$2:$K$29,4,FALSE)*T126,0)*(1+$E$9)</f>
        <v>0</v>
      </c>
      <c r="AW126" s="107">
        <f>_xlfn.IFNA($M126/VLOOKUP($BT126,'Unit information'!$A$2:$K$29,5,FALSE)*U126,0)*(1+$E$9)</f>
        <v>0</v>
      </c>
      <c r="AX126" s="107">
        <f>_xlfn.IFNA($M126/VLOOKUP($BU126,'Unit information'!$A$2:$K$29,6,FALSE)*V126,0)*(1+$E$9)</f>
        <v>0</v>
      </c>
      <c r="AY126" s="107">
        <f>_xlfn.IFNA($M126/VLOOKUP($BU126,'Unit information'!$A$2:$K$29,7,FALSE)*W126,0)*(1+$E$9)</f>
        <v>0</v>
      </c>
      <c r="AZ126" s="107">
        <f>_xlfn.IFNA($M126/VLOOKUP($BU126,'Unit information'!$A$2:$K$29,8,FALSE)*X126,0)*(1+$E$9)</f>
        <v>0</v>
      </c>
      <c r="BA126" s="107">
        <f>_xlfn.IFNA($M126/VLOOKUP($BU126,'Unit information'!$A$2:$K$29,9,FALSE)*Y126,0)*(1+$E$9)</f>
        <v>0</v>
      </c>
      <c r="BB126" s="107">
        <f>_xlfn.IFNA($M126/VLOOKUP($BV126,'Unit information'!$A$2:$K$29,10,FALSE)*Z126,0)*(1+$E$9)</f>
        <v>0</v>
      </c>
      <c r="BC126" s="108">
        <f>_xlfn.IFNA($M126/VLOOKUP($BV126,'Unit information'!$A$2:$K$29,11,FALSE)*AA126,0)*(1+$E$9)</f>
        <v>0</v>
      </c>
      <c r="BD126" s="106">
        <f t="shared" si="100"/>
        <v>0</v>
      </c>
      <c r="BE126" s="107">
        <f t="shared" si="101"/>
        <v>0</v>
      </c>
      <c r="BF126" s="108">
        <f t="shared" si="102"/>
        <v>0</v>
      </c>
      <c r="BG126" s="25" t="e">
        <f t="shared" si="103"/>
        <v>#N/A</v>
      </c>
      <c r="BH126" s="25" t="e">
        <f t="shared" si="104"/>
        <v>#N/A</v>
      </c>
      <c r="BI126" s="25" t="e">
        <f t="shared" si="105"/>
        <v>#N/A</v>
      </c>
      <c r="BJ126" s="27" t="e">
        <f t="shared" si="106"/>
        <v>#N/A</v>
      </c>
      <c r="BK126" s="18" t="e">
        <f t="shared" si="107"/>
        <v>#N/A</v>
      </c>
      <c r="BL126" s="18" t="e">
        <f t="shared" si="108"/>
        <v>#N/A</v>
      </c>
      <c r="BM126" s="28" t="e">
        <f t="shared" si="166"/>
        <v>#N/A</v>
      </c>
      <c r="BN126" s="33">
        <f>HLOOKUP("maximum population",Miscelaneous!$C$1:$C$33,CH126+3,FALSE)</f>
        <v>240</v>
      </c>
      <c r="BO126" s="14">
        <f t="shared" si="119"/>
        <v>32</v>
      </c>
      <c r="BP126" s="14">
        <f t="shared" si="120"/>
        <v>0</v>
      </c>
      <c r="BQ126" s="14">
        <f t="shared" si="121"/>
        <v>208</v>
      </c>
      <c r="BR126" s="34" t="e">
        <f>HLOOKUP(J126,Villagers!$B$1:$V$33,L126+3,FALSE)-HLOOKUP(J126,Villagers!$B$1:$V$33,L126+2,FALSE)</f>
        <v>#N/A</v>
      </c>
      <c r="BS126" s="49">
        <f t="shared" si="122"/>
        <v>1</v>
      </c>
      <c r="BT126" s="50">
        <f t="shared" si="123"/>
        <v>0</v>
      </c>
      <c r="BU126" s="50">
        <f t="shared" si="124"/>
        <v>0</v>
      </c>
      <c r="BV126" s="50">
        <f t="shared" si="125"/>
        <v>0</v>
      </c>
      <c r="BW126" s="50">
        <f t="shared" si="188"/>
        <v>0</v>
      </c>
      <c r="BX126" s="50">
        <f t="shared" si="187"/>
        <v>0</v>
      </c>
      <c r="BY126" s="50">
        <f t="shared" si="187"/>
        <v>0</v>
      </c>
      <c r="BZ126" s="50">
        <f t="shared" si="167"/>
        <v>0</v>
      </c>
      <c r="CA126" s="50">
        <f t="shared" si="168"/>
        <v>0</v>
      </c>
      <c r="CB126" s="50">
        <f t="shared" si="169"/>
        <v>1</v>
      </c>
      <c r="CC126" s="50">
        <f t="shared" si="170"/>
        <v>0</v>
      </c>
      <c r="CD126" s="50">
        <f t="shared" si="171"/>
        <v>0</v>
      </c>
      <c r="CE126" s="50">
        <f t="shared" si="172"/>
        <v>1</v>
      </c>
      <c r="CF126" s="50">
        <f t="shared" si="173"/>
        <v>1</v>
      </c>
      <c r="CG126" s="50">
        <f t="shared" si="174"/>
        <v>1</v>
      </c>
      <c r="CH126" s="50">
        <f t="shared" si="175"/>
        <v>1</v>
      </c>
      <c r="CI126" s="50">
        <f t="shared" si="176"/>
        <v>1</v>
      </c>
      <c r="CJ126" s="50">
        <f t="shared" si="177"/>
        <v>1</v>
      </c>
      <c r="CK126" s="50">
        <f t="shared" si="177"/>
        <v>0</v>
      </c>
      <c r="CL126" s="50">
        <f t="shared" si="177"/>
        <v>0</v>
      </c>
      <c r="CM126" s="51">
        <f t="shared" si="178"/>
        <v>0</v>
      </c>
      <c r="CN126" s="33">
        <f>ROUND(IF(BS126=0,0,HLOOKUP(BS$14,Villagers!$B$1:$V$33,BS126+3,FALSE)),)</f>
        <v>5</v>
      </c>
      <c r="CO126" s="14">
        <f>ROUND(IF(BT126=0,0,HLOOKUP(BT$14,Villagers!$B$1:$V$33,BT126+3,FALSE)),)</f>
        <v>0</v>
      </c>
      <c r="CP126" s="14">
        <f>ROUND(IF(BU126=0,0,HLOOKUP(BU$14,Villagers!$B$1:$V$33,BU126+3,FALSE)),)</f>
        <v>0</v>
      </c>
      <c r="CQ126" s="14">
        <f>ROUND(IF(BV126=0,0,HLOOKUP(BV$14,Villagers!$B$1:$V$33,BV126+3,FALSE)),)</f>
        <v>0</v>
      </c>
      <c r="CR126" s="14">
        <f>ROUND(IF(BW126=0,0,HLOOKUP(BW$14,Villagers!$B$1:$V$33,BW126+3,FALSE)),)</f>
        <v>0</v>
      </c>
      <c r="CS126" s="14">
        <f>ROUND(IF(BX126=0,0,HLOOKUP(BX$14,Villagers!$B$1:$V$33,BX126+3,FALSE)),)</f>
        <v>0</v>
      </c>
      <c r="CT126" s="14">
        <f>ROUND(IF(BY126=0,0,HLOOKUP(BY$14,Villagers!$B$1:$V$33,BY126+3,FALSE)),)</f>
        <v>0</v>
      </c>
      <c r="CU126" s="14">
        <f>ROUND(IF(BZ126=0,0,HLOOKUP(BZ$14,Villagers!$B$1:$V$33,BZ126+3,FALSE)),)</f>
        <v>0</v>
      </c>
      <c r="CV126" s="14">
        <f>ROUND(IF(CA126=0,0,HLOOKUP(CA$14,Villagers!$B$1:$V$33,CA126+3,FALSE)),)</f>
        <v>0</v>
      </c>
      <c r="CW126" s="14">
        <f>ROUND(IF(CB126=0,0,HLOOKUP(CB$14,Villagers!$B$1:$V$33,CB126+3,FALSE)),)</f>
        <v>0</v>
      </c>
      <c r="CX126" s="14">
        <f>ROUND(IF(CC126=0,0,HLOOKUP(CC$14,Villagers!$B$1:$V$33,CC126+3,FALSE)),)</f>
        <v>0</v>
      </c>
      <c r="CY126" s="14">
        <f>ROUND(IF(CD126=0,0,HLOOKUP(CD$14,Villagers!$B$1:$V$33,CD126+3,FALSE)),)</f>
        <v>0</v>
      </c>
      <c r="CZ126" s="14">
        <f>ROUND(IF(CE126=0,0,HLOOKUP(CE$14,Villagers!$B$1:$V$33,CE126+3,FALSE)),)</f>
        <v>5</v>
      </c>
      <c r="DA126" s="14">
        <f>ROUND(IF(CF126=0,0,HLOOKUP(CF$14,Villagers!$B$1:$V$33,CF126+3,FALSE)),)</f>
        <v>10</v>
      </c>
      <c r="DB126" s="14">
        <f>ROUND(IF(CG126=0,0,HLOOKUP(CG$14,Villagers!$B$1:$V$33,CG126+3,FALSE)),)</f>
        <v>10</v>
      </c>
      <c r="DC126" s="14">
        <f>ROUND(IF(CH126=0,0,HLOOKUP(CH$14,Villagers!$B$1:$V$33,CH126+3,FALSE)),)</f>
        <v>0</v>
      </c>
      <c r="DD126" s="14">
        <f>ROUND(IF(CI126=0,0,HLOOKUP(CI$14,Villagers!$B$1:$V$33,CI126+3,FALSE)),)</f>
        <v>0</v>
      </c>
      <c r="DE126" s="14">
        <f>ROUND(IF(CJ126=0,0,HLOOKUP(CJ$14,Villagers!$B$1:$V$33,CJ126+3,FALSE)),)</f>
        <v>2</v>
      </c>
      <c r="DF126" s="370">
        <f>ROUND(IF(CK126=0,0,HLOOKUP(CK$14,Villagers!$B$1:$V$33,CK126+3,FALSE)),)</f>
        <v>0</v>
      </c>
      <c r="DG126" s="370">
        <f>ROUND(IF(CL126=0,0,HLOOKUP(CL$14,Villagers!$B$1:$V$33,CL126+3,FALSE)),)</f>
        <v>0</v>
      </c>
      <c r="DH126" s="34">
        <f>ROUND(IF(CM126=0,0,HLOOKUP(CM$14,Villagers!$B$1:$V$33,CM126+3,FALSE)),)</f>
        <v>0</v>
      </c>
      <c r="DI126" s="109">
        <f t="shared" si="155"/>
        <v>0</v>
      </c>
      <c r="DJ126" s="50">
        <f t="shared" si="156"/>
        <v>0</v>
      </c>
      <c r="DK126" s="50">
        <f t="shared" si="157"/>
        <v>0</v>
      </c>
      <c r="DL126" s="50">
        <f t="shared" si="158"/>
        <v>0</v>
      </c>
      <c r="DM126" s="50">
        <f t="shared" si="159"/>
        <v>0</v>
      </c>
      <c r="DN126" s="50">
        <f t="shared" si="160"/>
        <v>0</v>
      </c>
      <c r="DO126" s="50">
        <f t="shared" si="161"/>
        <v>0</v>
      </c>
      <c r="DP126" s="50">
        <f t="shared" si="162"/>
        <v>0</v>
      </c>
      <c r="DQ126" s="50">
        <f t="shared" si="140"/>
        <v>0</v>
      </c>
      <c r="DR126" s="50">
        <f t="shared" si="141"/>
        <v>0</v>
      </c>
      <c r="DS126" s="96">
        <f>Miscelaneous!$D$4*Miscelaneous!$D$2^($CI126-1)</f>
        <v>1000</v>
      </c>
      <c r="DT126" s="333">
        <f t="shared" si="109"/>
        <v>1</v>
      </c>
      <c r="DU126" s="81">
        <v>1</v>
      </c>
      <c r="DV126" s="79">
        <f t="shared" si="142"/>
        <v>0</v>
      </c>
      <c r="DW126" s="79">
        <f t="shared" si="143"/>
        <v>0</v>
      </c>
      <c r="DX126" s="79">
        <f t="shared" si="144"/>
        <v>0</v>
      </c>
      <c r="DY126" s="79">
        <v>1</v>
      </c>
      <c r="DZ126" s="79">
        <f t="shared" si="145"/>
        <v>0</v>
      </c>
      <c r="EA126" s="79">
        <f t="shared" si="146"/>
        <v>0</v>
      </c>
      <c r="EB126" s="79">
        <f t="shared" si="147"/>
        <v>0</v>
      </c>
      <c r="EC126" s="79">
        <f t="shared" si="148"/>
        <v>0</v>
      </c>
      <c r="ED126" s="79">
        <v>1</v>
      </c>
      <c r="EE126" s="79">
        <v>1</v>
      </c>
      <c r="EF126" s="79">
        <f t="shared" si="149"/>
        <v>0</v>
      </c>
      <c r="EG126" s="79">
        <v>1</v>
      </c>
      <c r="EH126" s="79">
        <v>1</v>
      </c>
      <c r="EI126" s="79">
        <v>1</v>
      </c>
      <c r="EJ126" s="79">
        <v>1</v>
      </c>
      <c r="EK126" s="79">
        <v>1</v>
      </c>
      <c r="EL126" s="79">
        <v>1</v>
      </c>
      <c r="EM126" s="143">
        <f t="shared" si="150"/>
        <v>0</v>
      </c>
      <c r="EN126" s="143">
        <f t="shared" si="151"/>
        <v>0</v>
      </c>
      <c r="EO126" s="82">
        <f t="shared" si="152"/>
        <v>0</v>
      </c>
    </row>
    <row r="127" spans="1:145" x14ac:dyDescent="0.25">
      <c r="A127">
        <v>113</v>
      </c>
      <c r="B127" s="172" t="e">
        <f t="shared" si="110"/>
        <v>#N/A</v>
      </c>
      <c r="C127" s="121" t="e">
        <f t="shared" si="89"/>
        <v>#N/A</v>
      </c>
      <c r="D127" s="122" t="e">
        <f t="shared" si="90"/>
        <v>#N/A</v>
      </c>
      <c r="E127" s="122" t="e">
        <f t="shared" si="91"/>
        <v>#N/A</v>
      </c>
      <c r="F127" s="176" t="e">
        <f t="shared" si="92"/>
        <v>#N/A</v>
      </c>
      <c r="G127" s="121">
        <f t="shared" si="111"/>
        <v>208</v>
      </c>
      <c r="H127" s="176" t="e">
        <f t="shared" si="112"/>
        <v>#N/A</v>
      </c>
      <c r="I127" s="48">
        <v>1</v>
      </c>
      <c r="J127" s="39"/>
      <c r="K127" s="350">
        <v>1</v>
      </c>
      <c r="L127" s="34" t="e">
        <f t="shared" si="93"/>
        <v>#N/A</v>
      </c>
      <c r="M127" s="38" t="e">
        <f>(HLOOKUP(J127,'Construction Times'!$B$3:$W$34,L127+2,FALSE)*HLOOKUP("hq modifier",'Construction Times'!$W$3:$W$34,BS127+2,FALSE))*(1-$H$9)</f>
        <v>#N/A</v>
      </c>
      <c r="N127" s="443" t="e">
        <f t="shared" si="113"/>
        <v>#N/A</v>
      </c>
      <c r="O127" s="444"/>
      <c r="P127" s="447" t="e">
        <f t="shared" si="114"/>
        <v>#N/A</v>
      </c>
      <c r="Q127" s="448"/>
      <c r="R127" s="103">
        <f t="shared" si="153"/>
        <v>0</v>
      </c>
      <c r="S127" s="104">
        <f t="shared" si="153"/>
        <v>0</v>
      </c>
      <c r="T127" s="104">
        <f t="shared" si="154"/>
        <v>0</v>
      </c>
      <c r="U127" s="104">
        <f t="shared" si="154"/>
        <v>0</v>
      </c>
      <c r="V127" s="104">
        <f t="shared" si="154"/>
        <v>9.9999999999999995E-8</v>
      </c>
      <c r="W127" s="104">
        <f t="shared" si="154"/>
        <v>0</v>
      </c>
      <c r="X127" s="104">
        <f t="shared" si="185"/>
        <v>0</v>
      </c>
      <c r="Y127" s="104">
        <f t="shared" si="185"/>
        <v>9.9999999999999995E-8</v>
      </c>
      <c r="Z127" s="104">
        <f t="shared" si="185"/>
        <v>9.9999999999999995E-8</v>
      </c>
      <c r="AA127" s="105">
        <f t="shared" si="185"/>
        <v>9.9999999999999995E-8</v>
      </c>
      <c r="AB127" s="101" t="e">
        <f>$DT127*HLOOKUP($J127,'Construction Costs (timber)'!$B$1:$V$32,'Construction Planner'!$L127+2,FALSE)</f>
        <v>#N/A</v>
      </c>
      <c r="AC127" s="14" t="e">
        <f>$DT127*HLOOKUP($J127,'Construction Costs (clay)'!$B$1:$V$32,'Construction Planner'!$L127+2,FALSE)</f>
        <v>#N/A</v>
      </c>
      <c r="AD127" s="14" t="e">
        <f>$DT127*HLOOKUP($J127,'Construction Costs (iron)'!$B$1:$V$32,'Construction Planner'!$L127+2,FALSE)</f>
        <v>#N/A</v>
      </c>
      <c r="AE127" s="34" t="e">
        <f t="shared" si="163"/>
        <v>#N/A</v>
      </c>
      <c r="AF127" s="33" t="e">
        <f t="shared" si="94"/>
        <v>#N/A</v>
      </c>
      <c r="AG127" s="14" t="e">
        <f t="shared" si="95"/>
        <v>#N/A</v>
      </c>
      <c r="AH127" s="14" t="e">
        <f t="shared" si="96"/>
        <v>#N/A</v>
      </c>
      <c r="AI127" s="34" t="e">
        <f t="shared" si="164"/>
        <v>#N/A</v>
      </c>
      <c r="AJ127" s="49" t="e">
        <f t="shared" si="115"/>
        <v>#N/A</v>
      </c>
      <c r="AK127" s="49" t="e">
        <f t="shared" si="116"/>
        <v>#N/A</v>
      </c>
      <c r="AL127" s="49" t="e">
        <f t="shared" si="117"/>
        <v>#N/A</v>
      </c>
      <c r="AM127" s="25">
        <f t="shared" si="97"/>
        <v>30</v>
      </c>
      <c r="AN127" s="25">
        <f t="shared" si="98"/>
        <v>30</v>
      </c>
      <c r="AO127" s="25">
        <f t="shared" si="99"/>
        <v>30</v>
      </c>
      <c r="AP127" s="52" t="e">
        <f t="shared" si="118"/>
        <v>#N/A</v>
      </c>
      <c r="AQ127" s="53" t="e">
        <f t="shared" si="118"/>
        <v>#N/A</v>
      </c>
      <c r="AR127" s="54" t="e">
        <f t="shared" si="118"/>
        <v>#N/A</v>
      </c>
      <c r="AS127" s="316">
        <f t="shared" si="186"/>
        <v>0</v>
      </c>
      <c r="AT127" s="106">
        <f>_xlfn.IFNA($M127/VLOOKUP($BT127,'Unit information'!$A$2:$K$29,2,FALSE)*R127,0)*(1+$E$9)</f>
        <v>0</v>
      </c>
      <c r="AU127" s="107">
        <f>_xlfn.IFNA($M127/VLOOKUP($BT127,'Unit information'!$A$2:$K$29,3,FALSE)*S127,0)*(1+$E$9)</f>
        <v>0</v>
      </c>
      <c r="AV127" s="107">
        <f>_xlfn.IFNA($M127/VLOOKUP($BT127,'Unit information'!$A$2:$K$29,4,FALSE)*T127,0)*(1+$E$9)</f>
        <v>0</v>
      </c>
      <c r="AW127" s="107">
        <f>_xlfn.IFNA($M127/VLOOKUP($BT127,'Unit information'!$A$2:$K$29,5,FALSE)*U127,0)*(1+$E$9)</f>
        <v>0</v>
      </c>
      <c r="AX127" s="107">
        <f>_xlfn.IFNA($M127/VLOOKUP($BU127,'Unit information'!$A$2:$K$29,6,FALSE)*V127,0)*(1+$E$9)</f>
        <v>0</v>
      </c>
      <c r="AY127" s="107">
        <f>_xlfn.IFNA($M127/VLOOKUP($BU127,'Unit information'!$A$2:$K$29,7,FALSE)*W127,0)*(1+$E$9)</f>
        <v>0</v>
      </c>
      <c r="AZ127" s="107">
        <f>_xlfn.IFNA($M127/VLOOKUP($BU127,'Unit information'!$A$2:$K$29,8,FALSE)*X127,0)*(1+$E$9)</f>
        <v>0</v>
      </c>
      <c r="BA127" s="107">
        <f>_xlfn.IFNA($M127/VLOOKUP($BU127,'Unit information'!$A$2:$K$29,9,FALSE)*Y127,0)*(1+$E$9)</f>
        <v>0</v>
      </c>
      <c r="BB127" s="107">
        <f>_xlfn.IFNA($M127/VLOOKUP($BV127,'Unit information'!$A$2:$K$29,10,FALSE)*Z127,0)*(1+$E$9)</f>
        <v>0</v>
      </c>
      <c r="BC127" s="108">
        <f>_xlfn.IFNA($M127/VLOOKUP($BV127,'Unit information'!$A$2:$K$29,11,FALSE)*AA127,0)*(1+$E$9)</f>
        <v>0</v>
      </c>
      <c r="BD127" s="106">
        <f t="shared" si="100"/>
        <v>0</v>
      </c>
      <c r="BE127" s="107">
        <f t="shared" si="101"/>
        <v>0</v>
      </c>
      <c r="BF127" s="108">
        <f t="shared" si="102"/>
        <v>0</v>
      </c>
      <c r="BG127" s="25" t="e">
        <f t="shared" si="103"/>
        <v>#N/A</v>
      </c>
      <c r="BH127" s="25" t="e">
        <f t="shared" si="104"/>
        <v>#N/A</v>
      </c>
      <c r="BI127" s="25" t="e">
        <f t="shared" si="105"/>
        <v>#N/A</v>
      </c>
      <c r="BJ127" s="27" t="e">
        <f t="shared" si="106"/>
        <v>#N/A</v>
      </c>
      <c r="BK127" s="18" t="e">
        <f t="shared" si="107"/>
        <v>#N/A</v>
      </c>
      <c r="BL127" s="18" t="e">
        <f t="shared" si="108"/>
        <v>#N/A</v>
      </c>
      <c r="BM127" s="28" t="e">
        <f t="shared" si="166"/>
        <v>#N/A</v>
      </c>
      <c r="BN127" s="33">
        <f>HLOOKUP("maximum population",Miscelaneous!$C$1:$C$33,CH127+3,FALSE)</f>
        <v>240</v>
      </c>
      <c r="BO127" s="14">
        <f t="shared" si="119"/>
        <v>32</v>
      </c>
      <c r="BP127" s="14">
        <f t="shared" si="120"/>
        <v>0</v>
      </c>
      <c r="BQ127" s="14">
        <f t="shared" si="121"/>
        <v>208</v>
      </c>
      <c r="BR127" s="34" t="e">
        <f>HLOOKUP(J127,Villagers!$B$1:$V$33,L127+3,FALSE)-HLOOKUP(J127,Villagers!$B$1:$V$33,L127+2,FALSE)</f>
        <v>#N/A</v>
      </c>
      <c r="BS127" s="49">
        <f t="shared" si="122"/>
        <v>1</v>
      </c>
      <c r="BT127" s="50">
        <f t="shared" si="123"/>
        <v>0</v>
      </c>
      <c r="BU127" s="50">
        <f t="shared" si="124"/>
        <v>0</v>
      </c>
      <c r="BV127" s="50">
        <f t="shared" si="125"/>
        <v>0</v>
      </c>
      <c r="BW127" s="50">
        <f t="shared" si="188"/>
        <v>0</v>
      </c>
      <c r="BX127" s="50">
        <f t="shared" si="187"/>
        <v>0</v>
      </c>
      <c r="BY127" s="50">
        <f t="shared" si="187"/>
        <v>0</v>
      </c>
      <c r="BZ127" s="50">
        <f t="shared" si="167"/>
        <v>0</v>
      </c>
      <c r="CA127" s="50">
        <f t="shared" si="168"/>
        <v>0</v>
      </c>
      <c r="CB127" s="50">
        <f t="shared" si="169"/>
        <v>1</v>
      </c>
      <c r="CC127" s="50">
        <f t="shared" si="170"/>
        <v>0</v>
      </c>
      <c r="CD127" s="50">
        <f t="shared" si="171"/>
        <v>0</v>
      </c>
      <c r="CE127" s="50">
        <f t="shared" si="172"/>
        <v>1</v>
      </c>
      <c r="CF127" s="50">
        <f t="shared" si="173"/>
        <v>1</v>
      </c>
      <c r="CG127" s="50">
        <f t="shared" si="174"/>
        <v>1</v>
      </c>
      <c r="CH127" s="50">
        <f t="shared" si="175"/>
        <v>1</v>
      </c>
      <c r="CI127" s="50">
        <f t="shared" si="176"/>
        <v>1</v>
      </c>
      <c r="CJ127" s="50">
        <f t="shared" si="177"/>
        <v>1</v>
      </c>
      <c r="CK127" s="50">
        <f t="shared" si="177"/>
        <v>0</v>
      </c>
      <c r="CL127" s="50">
        <f t="shared" si="177"/>
        <v>0</v>
      </c>
      <c r="CM127" s="51">
        <f t="shared" si="178"/>
        <v>0</v>
      </c>
      <c r="CN127" s="33">
        <f>ROUND(IF(BS127=0,0,HLOOKUP(BS$14,Villagers!$B$1:$V$33,BS127+3,FALSE)),)</f>
        <v>5</v>
      </c>
      <c r="CO127" s="14">
        <f>ROUND(IF(BT127=0,0,HLOOKUP(BT$14,Villagers!$B$1:$V$33,BT127+3,FALSE)),)</f>
        <v>0</v>
      </c>
      <c r="CP127" s="14">
        <f>ROUND(IF(BU127=0,0,HLOOKUP(BU$14,Villagers!$B$1:$V$33,BU127+3,FALSE)),)</f>
        <v>0</v>
      </c>
      <c r="CQ127" s="14">
        <f>ROUND(IF(BV127=0,0,HLOOKUP(BV$14,Villagers!$B$1:$V$33,BV127+3,FALSE)),)</f>
        <v>0</v>
      </c>
      <c r="CR127" s="14">
        <f>ROUND(IF(BW127=0,0,HLOOKUP(BW$14,Villagers!$B$1:$V$33,BW127+3,FALSE)),)</f>
        <v>0</v>
      </c>
      <c r="CS127" s="14">
        <f>ROUND(IF(BX127=0,0,HLOOKUP(BX$14,Villagers!$B$1:$V$33,BX127+3,FALSE)),)</f>
        <v>0</v>
      </c>
      <c r="CT127" s="14">
        <f>ROUND(IF(BY127=0,0,HLOOKUP(BY$14,Villagers!$B$1:$V$33,BY127+3,FALSE)),)</f>
        <v>0</v>
      </c>
      <c r="CU127" s="14">
        <f>ROUND(IF(BZ127=0,0,HLOOKUP(BZ$14,Villagers!$B$1:$V$33,BZ127+3,FALSE)),)</f>
        <v>0</v>
      </c>
      <c r="CV127" s="14">
        <f>ROUND(IF(CA127=0,0,HLOOKUP(CA$14,Villagers!$B$1:$V$33,CA127+3,FALSE)),)</f>
        <v>0</v>
      </c>
      <c r="CW127" s="14">
        <f>ROUND(IF(CB127=0,0,HLOOKUP(CB$14,Villagers!$B$1:$V$33,CB127+3,FALSE)),)</f>
        <v>0</v>
      </c>
      <c r="CX127" s="14">
        <f>ROUND(IF(CC127=0,0,HLOOKUP(CC$14,Villagers!$B$1:$V$33,CC127+3,FALSE)),)</f>
        <v>0</v>
      </c>
      <c r="CY127" s="14">
        <f>ROUND(IF(CD127=0,0,HLOOKUP(CD$14,Villagers!$B$1:$V$33,CD127+3,FALSE)),)</f>
        <v>0</v>
      </c>
      <c r="CZ127" s="14">
        <f>ROUND(IF(CE127=0,0,HLOOKUP(CE$14,Villagers!$B$1:$V$33,CE127+3,FALSE)),)</f>
        <v>5</v>
      </c>
      <c r="DA127" s="14">
        <f>ROUND(IF(CF127=0,0,HLOOKUP(CF$14,Villagers!$B$1:$V$33,CF127+3,FALSE)),)</f>
        <v>10</v>
      </c>
      <c r="DB127" s="14">
        <f>ROUND(IF(CG127=0,0,HLOOKUP(CG$14,Villagers!$B$1:$V$33,CG127+3,FALSE)),)</f>
        <v>10</v>
      </c>
      <c r="DC127" s="14">
        <f>ROUND(IF(CH127=0,0,HLOOKUP(CH$14,Villagers!$B$1:$V$33,CH127+3,FALSE)),)</f>
        <v>0</v>
      </c>
      <c r="DD127" s="14">
        <f>ROUND(IF(CI127=0,0,HLOOKUP(CI$14,Villagers!$B$1:$V$33,CI127+3,FALSE)),)</f>
        <v>0</v>
      </c>
      <c r="DE127" s="14">
        <f>ROUND(IF(CJ127=0,0,HLOOKUP(CJ$14,Villagers!$B$1:$V$33,CJ127+3,FALSE)),)</f>
        <v>2</v>
      </c>
      <c r="DF127" s="370">
        <f>ROUND(IF(CK127=0,0,HLOOKUP(CK$14,Villagers!$B$1:$V$33,CK127+3,FALSE)),)</f>
        <v>0</v>
      </c>
      <c r="DG127" s="370">
        <f>ROUND(IF(CL127=0,0,HLOOKUP(CL$14,Villagers!$B$1:$V$33,CL127+3,FALSE)),)</f>
        <v>0</v>
      </c>
      <c r="DH127" s="34">
        <f>ROUND(IF(CM127=0,0,HLOOKUP(CM$14,Villagers!$B$1:$V$33,CM127+3,FALSE)),)</f>
        <v>0</v>
      </c>
      <c r="DI127" s="109">
        <f t="shared" si="155"/>
        <v>0</v>
      </c>
      <c r="DJ127" s="50">
        <f t="shared" si="156"/>
        <v>0</v>
      </c>
      <c r="DK127" s="50">
        <f t="shared" si="157"/>
        <v>0</v>
      </c>
      <c r="DL127" s="50">
        <f t="shared" si="158"/>
        <v>0</v>
      </c>
      <c r="DM127" s="50">
        <f t="shared" si="159"/>
        <v>0</v>
      </c>
      <c r="DN127" s="50">
        <f t="shared" si="160"/>
        <v>0</v>
      </c>
      <c r="DO127" s="50">
        <f t="shared" si="161"/>
        <v>0</v>
      </c>
      <c r="DP127" s="50">
        <f t="shared" si="162"/>
        <v>0</v>
      </c>
      <c r="DQ127" s="50">
        <f t="shared" si="140"/>
        <v>0</v>
      </c>
      <c r="DR127" s="50">
        <f t="shared" si="141"/>
        <v>0</v>
      </c>
      <c r="DS127" s="96">
        <f>Miscelaneous!$D$4*Miscelaneous!$D$2^($CI127-1)</f>
        <v>1000</v>
      </c>
      <c r="DT127" s="333">
        <f t="shared" si="109"/>
        <v>1</v>
      </c>
      <c r="DU127" s="81">
        <v>1</v>
      </c>
      <c r="DV127" s="79">
        <f t="shared" si="142"/>
        <v>0</v>
      </c>
      <c r="DW127" s="79">
        <f t="shared" si="143"/>
        <v>0</v>
      </c>
      <c r="DX127" s="79">
        <f t="shared" si="144"/>
        <v>0</v>
      </c>
      <c r="DY127" s="79">
        <v>1</v>
      </c>
      <c r="DZ127" s="79">
        <f t="shared" si="145"/>
        <v>0</v>
      </c>
      <c r="EA127" s="79">
        <f t="shared" si="146"/>
        <v>0</v>
      </c>
      <c r="EB127" s="79">
        <f t="shared" si="147"/>
        <v>0</v>
      </c>
      <c r="EC127" s="79">
        <f t="shared" si="148"/>
        <v>0</v>
      </c>
      <c r="ED127" s="79">
        <v>1</v>
      </c>
      <c r="EE127" s="79">
        <v>1</v>
      </c>
      <c r="EF127" s="79">
        <f t="shared" si="149"/>
        <v>0</v>
      </c>
      <c r="EG127" s="79">
        <v>1</v>
      </c>
      <c r="EH127" s="79">
        <v>1</v>
      </c>
      <c r="EI127" s="79">
        <v>1</v>
      </c>
      <c r="EJ127" s="79">
        <v>1</v>
      </c>
      <c r="EK127" s="79">
        <v>1</v>
      </c>
      <c r="EL127" s="79">
        <v>1</v>
      </c>
      <c r="EM127" s="143">
        <f t="shared" si="150"/>
        <v>0</v>
      </c>
      <c r="EN127" s="143">
        <f t="shared" si="151"/>
        <v>0</v>
      </c>
      <c r="EO127" s="82">
        <f t="shared" si="152"/>
        <v>0</v>
      </c>
    </row>
    <row r="128" spans="1:145" x14ac:dyDescent="0.25">
      <c r="A128">
        <v>114</v>
      </c>
      <c r="B128" s="172" t="e">
        <f t="shared" si="110"/>
        <v>#N/A</v>
      </c>
      <c r="C128" s="121" t="e">
        <f t="shared" si="89"/>
        <v>#N/A</v>
      </c>
      <c r="D128" s="122" t="e">
        <f t="shared" si="90"/>
        <v>#N/A</v>
      </c>
      <c r="E128" s="122" t="e">
        <f t="shared" si="91"/>
        <v>#N/A</v>
      </c>
      <c r="F128" s="176" t="e">
        <f t="shared" si="92"/>
        <v>#N/A</v>
      </c>
      <c r="G128" s="121">
        <f t="shared" si="111"/>
        <v>208</v>
      </c>
      <c r="H128" s="176" t="e">
        <f t="shared" si="112"/>
        <v>#N/A</v>
      </c>
      <c r="I128" s="48">
        <v>1</v>
      </c>
      <c r="J128" s="39"/>
      <c r="K128" s="350">
        <v>1</v>
      </c>
      <c r="L128" s="34" t="e">
        <f t="shared" si="93"/>
        <v>#N/A</v>
      </c>
      <c r="M128" s="38" t="e">
        <f>(HLOOKUP(J128,'Construction Times'!$B$3:$W$34,L128+2,FALSE)*HLOOKUP("hq modifier",'Construction Times'!$W$3:$W$34,BS128+2,FALSE))*(1-$H$9)</f>
        <v>#N/A</v>
      </c>
      <c r="N128" s="443" t="e">
        <f t="shared" si="113"/>
        <v>#N/A</v>
      </c>
      <c r="O128" s="444"/>
      <c r="P128" s="447" t="e">
        <f t="shared" si="114"/>
        <v>#N/A</v>
      </c>
      <c r="Q128" s="448"/>
      <c r="R128" s="103">
        <f t="shared" si="153"/>
        <v>0</v>
      </c>
      <c r="S128" s="104">
        <f t="shared" si="153"/>
        <v>0</v>
      </c>
      <c r="T128" s="104">
        <f t="shared" si="154"/>
        <v>0</v>
      </c>
      <c r="U128" s="104">
        <f t="shared" si="154"/>
        <v>0</v>
      </c>
      <c r="V128" s="104">
        <f t="shared" si="154"/>
        <v>9.9999999999999995E-8</v>
      </c>
      <c r="W128" s="104">
        <f t="shared" si="154"/>
        <v>0</v>
      </c>
      <c r="X128" s="104">
        <f t="shared" si="185"/>
        <v>0</v>
      </c>
      <c r="Y128" s="104">
        <f t="shared" si="185"/>
        <v>9.9999999999999995E-8</v>
      </c>
      <c r="Z128" s="104">
        <f t="shared" si="185"/>
        <v>9.9999999999999995E-8</v>
      </c>
      <c r="AA128" s="105">
        <f t="shared" si="185"/>
        <v>9.9999999999999995E-8</v>
      </c>
      <c r="AB128" s="101" t="e">
        <f>$DT128*HLOOKUP($J128,'Construction Costs (timber)'!$B$1:$V$32,'Construction Planner'!$L128+2,FALSE)</f>
        <v>#N/A</v>
      </c>
      <c r="AC128" s="14" t="e">
        <f>$DT128*HLOOKUP($J128,'Construction Costs (clay)'!$B$1:$V$32,'Construction Planner'!$L128+2,FALSE)</f>
        <v>#N/A</v>
      </c>
      <c r="AD128" s="14" t="e">
        <f>$DT128*HLOOKUP($J128,'Construction Costs (iron)'!$B$1:$V$32,'Construction Planner'!$L128+2,FALSE)</f>
        <v>#N/A</v>
      </c>
      <c r="AE128" s="34" t="e">
        <f t="shared" si="163"/>
        <v>#N/A</v>
      </c>
      <c r="AF128" s="33" t="e">
        <f t="shared" si="94"/>
        <v>#N/A</v>
      </c>
      <c r="AG128" s="14" t="e">
        <f t="shared" si="95"/>
        <v>#N/A</v>
      </c>
      <c r="AH128" s="14" t="e">
        <f t="shared" si="96"/>
        <v>#N/A</v>
      </c>
      <c r="AI128" s="34" t="e">
        <f t="shared" si="164"/>
        <v>#N/A</v>
      </c>
      <c r="AJ128" s="49" t="e">
        <f t="shared" si="115"/>
        <v>#N/A</v>
      </c>
      <c r="AK128" s="49" t="e">
        <f t="shared" si="116"/>
        <v>#N/A</v>
      </c>
      <c r="AL128" s="49" t="e">
        <f t="shared" si="117"/>
        <v>#N/A</v>
      </c>
      <c r="AM128" s="25">
        <f t="shared" si="97"/>
        <v>30</v>
      </c>
      <c r="AN128" s="25">
        <f t="shared" si="98"/>
        <v>30</v>
      </c>
      <c r="AO128" s="25">
        <f t="shared" si="99"/>
        <v>30</v>
      </c>
      <c r="AP128" s="52" t="e">
        <f t="shared" si="118"/>
        <v>#N/A</v>
      </c>
      <c r="AQ128" s="53" t="e">
        <f t="shared" si="118"/>
        <v>#N/A</v>
      </c>
      <c r="AR128" s="54" t="e">
        <f t="shared" si="118"/>
        <v>#N/A</v>
      </c>
      <c r="AS128" s="316">
        <f t="shared" si="186"/>
        <v>0</v>
      </c>
      <c r="AT128" s="106">
        <f>_xlfn.IFNA($M128/VLOOKUP($BT128,'Unit information'!$A$2:$K$29,2,FALSE)*R128,0)*(1+$E$9)</f>
        <v>0</v>
      </c>
      <c r="AU128" s="107">
        <f>_xlfn.IFNA($M128/VLOOKUP($BT128,'Unit information'!$A$2:$K$29,3,FALSE)*S128,0)*(1+$E$9)</f>
        <v>0</v>
      </c>
      <c r="AV128" s="107">
        <f>_xlfn.IFNA($M128/VLOOKUP($BT128,'Unit information'!$A$2:$K$29,4,FALSE)*T128,0)*(1+$E$9)</f>
        <v>0</v>
      </c>
      <c r="AW128" s="107">
        <f>_xlfn.IFNA($M128/VLOOKUP($BT128,'Unit information'!$A$2:$K$29,5,FALSE)*U128,0)*(1+$E$9)</f>
        <v>0</v>
      </c>
      <c r="AX128" s="107">
        <f>_xlfn.IFNA($M128/VLOOKUP($BU128,'Unit information'!$A$2:$K$29,6,FALSE)*V128,0)*(1+$E$9)</f>
        <v>0</v>
      </c>
      <c r="AY128" s="107">
        <f>_xlfn.IFNA($M128/VLOOKUP($BU128,'Unit information'!$A$2:$K$29,7,FALSE)*W128,0)*(1+$E$9)</f>
        <v>0</v>
      </c>
      <c r="AZ128" s="107">
        <f>_xlfn.IFNA($M128/VLOOKUP($BU128,'Unit information'!$A$2:$K$29,8,FALSE)*X128,0)*(1+$E$9)</f>
        <v>0</v>
      </c>
      <c r="BA128" s="107">
        <f>_xlfn.IFNA($M128/VLOOKUP($BU128,'Unit information'!$A$2:$K$29,9,FALSE)*Y128,0)*(1+$E$9)</f>
        <v>0</v>
      </c>
      <c r="BB128" s="107">
        <f>_xlfn.IFNA($M128/VLOOKUP($BV128,'Unit information'!$A$2:$K$29,10,FALSE)*Z128,0)*(1+$E$9)</f>
        <v>0</v>
      </c>
      <c r="BC128" s="108">
        <f>_xlfn.IFNA($M128/VLOOKUP($BV128,'Unit information'!$A$2:$K$29,11,FALSE)*AA128,0)*(1+$E$9)</f>
        <v>0</v>
      </c>
      <c r="BD128" s="106">
        <f t="shared" si="100"/>
        <v>0</v>
      </c>
      <c r="BE128" s="107">
        <f t="shared" si="101"/>
        <v>0</v>
      </c>
      <c r="BF128" s="108">
        <f t="shared" si="102"/>
        <v>0</v>
      </c>
      <c r="BG128" s="25" t="e">
        <f t="shared" si="103"/>
        <v>#N/A</v>
      </c>
      <c r="BH128" s="25" t="e">
        <f t="shared" si="104"/>
        <v>#N/A</v>
      </c>
      <c r="BI128" s="25" t="e">
        <f t="shared" si="105"/>
        <v>#N/A</v>
      </c>
      <c r="BJ128" s="27" t="e">
        <f t="shared" si="106"/>
        <v>#N/A</v>
      </c>
      <c r="BK128" s="18" t="e">
        <f t="shared" si="107"/>
        <v>#N/A</v>
      </c>
      <c r="BL128" s="18" t="e">
        <f t="shared" si="108"/>
        <v>#N/A</v>
      </c>
      <c r="BM128" s="28" t="e">
        <f t="shared" si="166"/>
        <v>#N/A</v>
      </c>
      <c r="BN128" s="33">
        <f>HLOOKUP("maximum population",Miscelaneous!$C$1:$C$33,CH128+3,FALSE)</f>
        <v>240</v>
      </c>
      <c r="BO128" s="14">
        <f t="shared" si="119"/>
        <v>32</v>
      </c>
      <c r="BP128" s="14">
        <f t="shared" si="120"/>
        <v>0</v>
      </c>
      <c r="BQ128" s="14">
        <f t="shared" si="121"/>
        <v>208</v>
      </c>
      <c r="BR128" s="34" t="e">
        <f>HLOOKUP(J128,Villagers!$B$1:$V$33,L128+3,FALSE)-HLOOKUP(J128,Villagers!$B$1:$V$33,L128+2,FALSE)</f>
        <v>#N/A</v>
      </c>
      <c r="BS128" s="49">
        <f t="shared" si="122"/>
        <v>1</v>
      </c>
      <c r="BT128" s="50">
        <f t="shared" si="123"/>
        <v>0</v>
      </c>
      <c r="BU128" s="50">
        <f t="shared" si="124"/>
        <v>0</v>
      </c>
      <c r="BV128" s="50">
        <f t="shared" si="125"/>
        <v>0</v>
      </c>
      <c r="BW128" s="50">
        <f t="shared" ref="BW128:BY134" si="189">IF($J127=BW$14,$L127,BW127)</f>
        <v>0</v>
      </c>
      <c r="BX128" s="50">
        <f t="shared" si="189"/>
        <v>0</v>
      </c>
      <c r="BY128" s="50">
        <f t="shared" si="189"/>
        <v>0</v>
      </c>
      <c r="BZ128" s="50">
        <f t="shared" si="167"/>
        <v>0</v>
      </c>
      <c r="CA128" s="50">
        <f t="shared" si="168"/>
        <v>0</v>
      </c>
      <c r="CB128" s="50">
        <f t="shared" si="169"/>
        <v>1</v>
      </c>
      <c r="CC128" s="50">
        <f t="shared" si="170"/>
        <v>0</v>
      </c>
      <c r="CD128" s="50">
        <f t="shared" si="171"/>
        <v>0</v>
      </c>
      <c r="CE128" s="50">
        <f t="shared" si="172"/>
        <v>1</v>
      </c>
      <c r="CF128" s="50">
        <f t="shared" si="173"/>
        <v>1</v>
      </c>
      <c r="CG128" s="50">
        <f t="shared" si="174"/>
        <v>1</v>
      </c>
      <c r="CH128" s="50">
        <f t="shared" si="175"/>
        <v>1</v>
      </c>
      <c r="CI128" s="50">
        <f t="shared" si="176"/>
        <v>1</v>
      </c>
      <c r="CJ128" s="50">
        <f t="shared" si="177"/>
        <v>1</v>
      </c>
      <c r="CK128" s="50">
        <f t="shared" si="177"/>
        <v>0</v>
      </c>
      <c r="CL128" s="50">
        <f t="shared" si="177"/>
        <v>0</v>
      </c>
      <c r="CM128" s="51">
        <f t="shared" si="178"/>
        <v>0</v>
      </c>
      <c r="CN128" s="33">
        <f>ROUND(IF(BS128=0,0,HLOOKUP(BS$14,Villagers!$B$1:$V$33,BS128+3,FALSE)),)</f>
        <v>5</v>
      </c>
      <c r="CO128" s="14">
        <f>ROUND(IF(BT128=0,0,HLOOKUP(BT$14,Villagers!$B$1:$V$33,BT128+3,FALSE)),)</f>
        <v>0</v>
      </c>
      <c r="CP128" s="14">
        <f>ROUND(IF(BU128=0,0,HLOOKUP(BU$14,Villagers!$B$1:$V$33,BU128+3,FALSE)),)</f>
        <v>0</v>
      </c>
      <c r="CQ128" s="14">
        <f>ROUND(IF(BV128=0,0,HLOOKUP(BV$14,Villagers!$B$1:$V$33,BV128+3,FALSE)),)</f>
        <v>0</v>
      </c>
      <c r="CR128" s="14">
        <f>ROUND(IF(BW128=0,0,HLOOKUP(BW$14,Villagers!$B$1:$V$33,BW128+3,FALSE)),)</f>
        <v>0</v>
      </c>
      <c r="CS128" s="14">
        <f>ROUND(IF(BX128=0,0,HLOOKUP(BX$14,Villagers!$B$1:$V$33,BX128+3,FALSE)),)</f>
        <v>0</v>
      </c>
      <c r="CT128" s="14">
        <f>ROUND(IF(BY128=0,0,HLOOKUP(BY$14,Villagers!$B$1:$V$33,BY128+3,FALSE)),)</f>
        <v>0</v>
      </c>
      <c r="CU128" s="14">
        <f>ROUND(IF(BZ128=0,0,HLOOKUP(BZ$14,Villagers!$B$1:$V$33,BZ128+3,FALSE)),)</f>
        <v>0</v>
      </c>
      <c r="CV128" s="14">
        <f>ROUND(IF(CA128=0,0,HLOOKUP(CA$14,Villagers!$B$1:$V$33,CA128+3,FALSE)),)</f>
        <v>0</v>
      </c>
      <c r="CW128" s="14">
        <f>ROUND(IF(CB128=0,0,HLOOKUP(CB$14,Villagers!$B$1:$V$33,CB128+3,FALSE)),)</f>
        <v>0</v>
      </c>
      <c r="CX128" s="14">
        <f>ROUND(IF(CC128=0,0,HLOOKUP(CC$14,Villagers!$B$1:$V$33,CC128+3,FALSE)),)</f>
        <v>0</v>
      </c>
      <c r="CY128" s="14">
        <f>ROUND(IF(CD128=0,0,HLOOKUP(CD$14,Villagers!$B$1:$V$33,CD128+3,FALSE)),)</f>
        <v>0</v>
      </c>
      <c r="CZ128" s="14">
        <f>ROUND(IF(CE128=0,0,HLOOKUP(CE$14,Villagers!$B$1:$V$33,CE128+3,FALSE)),)</f>
        <v>5</v>
      </c>
      <c r="DA128" s="14">
        <f>ROUND(IF(CF128=0,0,HLOOKUP(CF$14,Villagers!$B$1:$V$33,CF128+3,FALSE)),)</f>
        <v>10</v>
      </c>
      <c r="DB128" s="14">
        <f>ROUND(IF(CG128=0,0,HLOOKUP(CG$14,Villagers!$B$1:$V$33,CG128+3,FALSE)),)</f>
        <v>10</v>
      </c>
      <c r="DC128" s="14">
        <f>ROUND(IF(CH128=0,0,HLOOKUP(CH$14,Villagers!$B$1:$V$33,CH128+3,FALSE)),)</f>
        <v>0</v>
      </c>
      <c r="DD128" s="14">
        <f>ROUND(IF(CI128=0,0,HLOOKUP(CI$14,Villagers!$B$1:$V$33,CI128+3,FALSE)),)</f>
        <v>0</v>
      </c>
      <c r="DE128" s="14">
        <f>ROUND(IF(CJ128=0,0,HLOOKUP(CJ$14,Villagers!$B$1:$V$33,CJ128+3,FALSE)),)</f>
        <v>2</v>
      </c>
      <c r="DF128" s="370">
        <f>ROUND(IF(CK128=0,0,HLOOKUP(CK$14,Villagers!$B$1:$V$33,CK128+3,FALSE)),)</f>
        <v>0</v>
      </c>
      <c r="DG128" s="370">
        <f>ROUND(IF(CL128=0,0,HLOOKUP(CL$14,Villagers!$B$1:$V$33,CL128+3,FALSE)),)</f>
        <v>0</v>
      </c>
      <c r="DH128" s="34">
        <f>ROUND(IF(CM128=0,0,HLOOKUP(CM$14,Villagers!$B$1:$V$33,CM128+3,FALSE)),)</f>
        <v>0</v>
      </c>
      <c r="DI128" s="109">
        <f t="shared" si="155"/>
        <v>0</v>
      </c>
      <c r="DJ128" s="50">
        <f t="shared" si="156"/>
        <v>0</v>
      </c>
      <c r="DK128" s="50">
        <f t="shared" si="157"/>
        <v>0</v>
      </c>
      <c r="DL128" s="50">
        <f t="shared" si="158"/>
        <v>0</v>
      </c>
      <c r="DM128" s="50">
        <f t="shared" si="159"/>
        <v>0</v>
      </c>
      <c r="DN128" s="50">
        <f t="shared" si="160"/>
        <v>0</v>
      </c>
      <c r="DO128" s="50">
        <f t="shared" si="161"/>
        <v>0</v>
      </c>
      <c r="DP128" s="50">
        <f t="shared" si="162"/>
        <v>0</v>
      </c>
      <c r="DQ128" s="50">
        <f t="shared" si="140"/>
        <v>0</v>
      </c>
      <c r="DR128" s="50">
        <f t="shared" si="141"/>
        <v>0</v>
      </c>
      <c r="DS128" s="96">
        <f>Miscelaneous!$D$4*Miscelaneous!$D$2^($CI128-1)</f>
        <v>1000</v>
      </c>
      <c r="DT128" s="333">
        <f t="shared" si="109"/>
        <v>1</v>
      </c>
      <c r="DU128" s="81">
        <v>1</v>
      </c>
      <c r="DV128" s="79">
        <f t="shared" si="142"/>
        <v>0</v>
      </c>
      <c r="DW128" s="79">
        <f t="shared" si="143"/>
        <v>0</v>
      </c>
      <c r="DX128" s="79">
        <f t="shared" si="144"/>
        <v>0</v>
      </c>
      <c r="DY128" s="79">
        <v>1</v>
      </c>
      <c r="DZ128" s="79">
        <f t="shared" si="145"/>
        <v>0</v>
      </c>
      <c r="EA128" s="79">
        <f t="shared" si="146"/>
        <v>0</v>
      </c>
      <c r="EB128" s="79">
        <f t="shared" si="147"/>
        <v>0</v>
      </c>
      <c r="EC128" s="79">
        <f t="shared" si="148"/>
        <v>0</v>
      </c>
      <c r="ED128" s="79">
        <v>1</v>
      </c>
      <c r="EE128" s="79">
        <v>1</v>
      </c>
      <c r="EF128" s="79">
        <f t="shared" si="149"/>
        <v>0</v>
      </c>
      <c r="EG128" s="79">
        <v>1</v>
      </c>
      <c r="EH128" s="79">
        <v>1</v>
      </c>
      <c r="EI128" s="79">
        <v>1</v>
      </c>
      <c r="EJ128" s="79">
        <v>1</v>
      </c>
      <c r="EK128" s="79">
        <v>1</v>
      </c>
      <c r="EL128" s="79">
        <v>1</v>
      </c>
      <c r="EM128" s="143">
        <f t="shared" si="150"/>
        <v>0</v>
      </c>
      <c r="EN128" s="143">
        <f t="shared" si="151"/>
        <v>0</v>
      </c>
      <c r="EO128" s="82">
        <f t="shared" si="152"/>
        <v>0</v>
      </c>
    </row>
    <row r="129" spans="1:145" x14ac:dyDescent="0.25">
      <c r="A129">
        <v>115</v>
      </c>
      <c r="B129" s="172" t="e">
        <f t="shared" si="110"/>
        <v>#N/A</v>
      </c>
      <c r="C129" s="121" t="e">
        <f t="shared" si="89"/>
        <v>#N/A</v>
      </c>
      <c r="D129" s="122" t="e">
        <f t="shared" si="90"/>
        <v>#N/A</v>
      </c>
      <c r="E129" s="122" t="e">
        <f t="shared" si="91"/>
        <v>#N/A</v>
      </c>
      <c r="F129" s="176" t="e">
        <f t="shared" si="92"/>
        <v>#N/A</v>
      </c>
      <c r="G129" s="121">
        <f t="shared" si="111"/>
        <v>208</v>
      </c>
      <c r="H129" s="176" t="e">
        <f t="shared" si="112"/>
        <v>#N/A</v>
      </c>
      <c r="I129" s="48">
        <v>1</v>
      </c>
      <c r="J129" s="39"/>
      <c r="K129" s="350">
        <v>1</v>
      </c>
      <c r="L129" s="34" t="e">
        <f t="shared" si="93"/>
        <v>#N/A</v>
      </c>
      <c r="M129" s="38" t="e">
        <f>(HLOOKUP(J129,'Construction Times'!$B$3:$W$34,L129+2,FALSE)*HLOOKUP("hq modifier",'Construction Times'!$W$3:$W$34,BS129+2,FALSE))*(1-$H$9)</f>
        <v>#N/A</v>
      </c>
      <c r="N129" s="443" t="e">
        <f t="shared" si="113"/>
        <v>#N/A</v>
      </c>
      <c r="O129" s="444"/>
      <c r="P129" s="447" t="e">
        <f t="shared" si="114"/>
        <v>#N/A</v>
      </c>
      <c r="Q129" s="448"/>
      <c r="R129" s="103">
        <f t="shared" si="153"/>
        <v>0</v>
      </c>
      <c r="S129" s="104">
        <f t="shared" si="153"/>
        <v>0</v>
      </c>
      <c r="T129" s="104">
        <f t="shared" si="154"/>
        <v>0</v>
      </c>
      <c r="U129" s="104">
        <f t="shared" si="154"/>
        <v>0</v>
      </c>
      <c r="V129" s="104">
        <f t="shared" si="154"/>
        <v>9.9999999999999995E-8</v>
      </c>
      <c r="W129" s="104">
        <f t="shared" si="154"/>
        <v>0</v>
      </c>
      <c r="X129" s="104">
        <f t="shared" si="185"/>
        <v>0</v>
      </c>
      <c r="Y129" s="104">
        <f t="shared" si="185"/>
        <v>9.9999999999999995E-8</v>
      </c>
      <c r="Z129" s="104">
        <f t="shared" si="185"/>
        <v>9.9999999999999995E-8</v>
      </c>
      <c r="AA129" s="105">
        <f t="shared" si="185"/>
        <v>9.9999999999999995E-8</v>
      </c>
      <c r="AB129" s="101" t="e">
        <f>$DT129*HLOOKUP($J129,'Construction Costs (timber)'!$B$1:$V$32,'Construction Planner'!$L129+2,FALSE)</f>
        <v>#N/A</v>
      </c>
      <c r="AC129" s="14" t="e">
        <f>$DT129*HLOOKUP($J129,'Construction Costs (clay)'!$B$1:$V$32,'Construction Planner'!$L129+2,FALSE)</f>
        <v>#N/A</v>
      </c>
      <c r="AD129" s="14" t="e">
        <f>$DT129*HLOOKUP($J129,'Construction Costs (iron)'!$B$1:$V$32,'Construction Planner'!$L129+2,FALSE)</f>
        <v>#N/A</v>
      </c>
      <c r="AE129" s="34" t="e">
        <f t="shared" si="163"/>
        <v>#N/A</v>
      </c>
      <c r="AF129" s="33" t="e">
        <f t="shared" si="94"/>
        <v>#N/A</v>
      </c>
      <c r="AG129" s="14" t="e">
        <f t="shared" si="95"/>
        <v>#N/A</v>
      </c>
      <c r="AH129" s="14" t="e">
        <f t="shared" si="96"/>
        <v>#N/A</v>
      </c>
      <c r="AI129" s="34" t="e">
        <f t="shared" si="164"/>
        <v>#N/A</v>
      </c>
      <c r="AJ129" s="49" t="e">
        <f t="shared" si="115"/>
        <v>#N/A</v>
      </c>
      <c r="AK129" s="49" t="e">
        <f t="shared" si="116"/>
        <v>#N/A</v>
      </c>
      <c r="AL129" s="49" t="e">
        <f t="shared" si="117"/>
        <v>#N/A</v>
      </c>
      <c r="AM129" s="25">
        <f t="shared" si="97"/>
        <v>30</v>
      </c>
      <c r="AN129" s="25">
        <f t="shared" si="98"/>
        <v>30</v>
      </c>
      <c r="AO129" s="25">
        <f t="shared" si="99"/>
        <v>30</v>
      </c>
      <c r="AP129" s="52" t="e">
        <f t="shared" si="118"/>
        <v>#N/A</v>
      </c>
      <c r="AQ129" s="53" t="e">
        <f t="shared" si="118"/>
        <v>#N/A</v>
      </c>
      <c r="AR129" s="54" t="e">
        <f t="shared" si="118"/>
        <v>#N/A</v>
      </c>
      <c r="AS129" s="316">
        <f t="shared" si="186"/>
        <v>0</v>
      </c>
      <c r="AT129" s="106">
        <f>_xlfn.IFNA($M129/VLOOKUP($BT129,'Unit information'!$A$2:$K$29,2,FALSE)*R129,0)*(1+$E$9)</f>
        <v>0</v>
      </c>
      <c r="AU129" s="107">
        <f>_xlfn.IFNA($M129/VLOOKUP($BT129,'Unit information'!$A$2:$K$29,3,FALSE)*S129,0)*(1+$E$9)</f>
        <v>0</v>
      </c>
      <c r="AV129" s="107">
        <f>_xlfn.IFNA($M129/VLOOKUP($BT129,'Unit information'!$A$2:$K$29,4,FALSE)*T129,0)*(1+$E$9)</f>
        <v>0</v>
      </c>
      <c r="AW129" s="107">
        <f>_xlfn.IFNA($M129/VLOOKUP($BT129,'Unit information'!$A$2:$K$29,5,FALSE)*U129,0)*(1+$E$9)</f>
        <v>0</v>
      </c>
      <c r="AX129" s="107">
        <f>_xlfn.IFNA($M129/VLOOKUP($BU129,'Unit information'!$A$2:$K$29,6,FALSE)*V129,0)*(1+$E$9)</f>
        <v>0</v>
      </c>
      <c r="AY129" s="107">
        <f>_xlfn.IFNA($M129/VLOOKUP($BU129,'Unit information'!$A$2:$K$29,7,FALSE)*W129,0)*(1+$E$9)</f>
        <v>0</v>
      </c>
      <c r="AZ129" s="107">
        <f>_xlfn.IFNA($M129/VLOOKUP($BU129,'Unit information'!$A$2:$K$29,8,FALSE)*X129,0)*(1+$E$9)</f>
        <v>0</v>
      </c>
      <c r="BA129" s="107">
        <f>_xlfn.IFNA($M129/VLOOKUP($BU129,'Unit information'!$A$2:$K$29,9,FALSE)*Y129,0)*(1+$E$9)</f>
        <v>0</v>
      </c>
      <c r="BB129" s="107">
        <f>_xlfn.IFNA($M129/VLOOKUP($BV129,'Unit information'!$A$2:$K$29,10,FALSE)*Z129,0)*(1+$E$9)</f>
        <v>0</v>
      </c>
      <c r="BC129" s="108">
        <f>_xlfn.IFNA($M129/VLOOKUP($BV129,'Unit information'!$A$2:$K$29,11,FALSE)*AA129,0)*(1+$E$9)</f>
        <v>0</v>
      </c>
      <c r="BD129" s="106">
        <f t="shared" si="100"/>
        <v>0</v>
      </c>
      <c r="BE129" s="107">
        <f t="shared" si="101"/>
        <v>0</v>
      </c>
      <c r="BF129" s="108">
        <f t="shared" si="102"/>
        <v>0</v>
      </c>
      <c r="BG129" s="25" t="e">
        <f t="shared" si="103"/>
        <v>#N/A</v>
      </c>
      <c r="BH129" s="25" t="e">
        <f t="shared" si="104"/>
        <v>#N/A</v>
      </c>
      <c r="BI129" s="25" t="e">
        <f t="shared" si="105"/>
        <v>#N/A</v>
      </c>
      <c r="BJ129" s="27" t="e">
        <f t="shared" si="106"/>
        <v>#N/A</v>
      </c>
      <c r="BK129" s="18" t="e">
        <f t="shared" si="107"/>
        <v>#N/A</v>
      </c>
      <c r="BL129" s="18" t="e">
        <f t="shared" si="108"/>
        <v>#N/A</v>
      </c>
      <c r="BM129" s="28" t="e">
        <f t="shared" si="166"/>
        <v>#N/A</v>
      </c>
      <c r="BN129" s="33">
        <f>HLOOKUP("maximum population",Miscelaneous!$C$1:$C$33,CH129+3,FALSE)</f>
        <v>240</v>
      </c>
      <c r="BO129" s="14">
        <f t="shared" si="119"/>
        <v>32</v>
      </c>
      <c r="BP129" s="14">
        <f t="shared" si="120"/>
        <v>0</v>
      </c>
      <c r="BQ129" s="14">
        <f t="shared" si="121"/>
        <v>208</v>
      </c>
      <c r="BR129" s="34" t="e">
        <f>HLOOKUP(J129,Villagers!$B$1:$V$33,L129+3,FALSE)-HLOOKUP(J129,Villagers!$B$1:$V$33,L129+2,FALSE)</f>
        <v>#N/A</v>
      </c>
      <c r="BS129" s="49">
        <f t="shared" si="122"/>
        <v>1</v>
      </c>
      <c r="BT129" s="50">
        <f t="shared" si="123"/>
        <v>0</v>
      </c>
      <c r="BU129" s="50">
        <f t="shared" si="124"/>
        <v>0</v>
      </c>
      <c r="BV129" s="50">
        <f t="shared" si="125"/>
        <v>0</v>
      </c>
      <c r="BW129" s="50">
        <f t="shared" si="189"/>
        <v>0</v>
      </c>
      <c r="BX129" s="50">
        <f t="shared" si="189"/>
        <v>0</v>
      </c>
      <c r="BY129" s="50">
        <f t="shared" si="189"/>
        <v>0</v>
      </c>
      <c r="BZ129" s="50">
        <f t="shared" si="167"/>
        <v>0</v>
      </c>
      <c r="CA129" s="50">
        <f t="shared" si="168"/>
        <v>0</v>
      </c>
      <c r="CB129" s="50">
        <f t="shared" si="169"/>
        <v>1</v>
      </c>
      <c r="CC129" s="50">
        <f t="shared" si="170"/>
        <v>0</v>
      </c>
      <c r="CD129" s="50">
        <f t="shared" si="171"/>
        <v>0</v>
      </c>
      <c r="CE129" s="50">
        <f t="shared" si="172"/>
        <v>1</v>
      </c>
      <c r="CF129" s="50">
        <f t="shared" si="173"/>
        <v>1</v>
      </c>
      <c r="CG129" s="50">
        <f t="shared" si="174"/>
        <v>1</v>
      </c>
      <c r="CH129" s="50">
        <f t="shared" si="175"/>
        <v>1</v>
      </c>
      <c r="CI129" s="50">
        <f t="shared" si="176"/>
        <v>1</v>
      </c>
      <c r="CJ129" s="50">
        <f t="shared" si="177"/>
        <v>1</v>
      </c>
      <c r="CK129" s="50">
        <f t="shared" si="177"/>
        <v>0</v>
      </c>
      <c r="CL129" s="50">
        <f t="shared" si="177"/>
        <v>0</v>
      </c>
      <c r="CM129" s="51">
        <f t="shared" si="178"/>
        <v>0</v>
      </c>
      <c r="CN129" s="33">
        <f>ROUND(IF(BS129=0,0,HLOOKUP(BS$14,Villagers!$B$1:$V$33,BS129+3,FALSE)),)</f>
        <v>5</v>
      </c>
      <c r="CO129" s="14">
        <f>ROUND(IF(BT129=0,0,HLOOKUP(BT$14,Villagers!$B$1:$V$33,BT129+3,FALSE)),)</f>
        <v>0</v>
      </c>
      <c r="CP129" s="14">
        <f>ROUND(IF(BU129=0,0,HLOOKUP(BU$14,Villagers!$B$1:$V$33,BU129+3,FALSE)),)</f>
        <v>0</v>
      </c>
      <c r="CQ129" s="14">
        <f>ROUND(IF(BV129=0,0,HLOOKUP(BV$14,Villagers!$B$1:$V$33,BV129+3,FALSE)),)</f>
        <v>0</v>
      </c>
      <c r="CR129" s="14">
        <f>ROUND(IF(BW129=0,0,HLOOKUP(BW$14,Villagers!$B$1:$V$33,BW129+3,FALSE)),)</f>
        <v>0</v>
      </c>
      <c r="CS129" s="14">
        <f>ROUND(IF(BX129=0,0,HLOOKUP(BX$14,Villagers!$B$1:$V$33,BX129+3,FALSE)),)</f>
        <v>0</v>
      </c>
      <c r="CT129" s="14">
        <f>ROUND(IF(BY129=0,0,HLOOKUP(BY$14,Villagers!$B$1:$V$33,BY129+3,FALSE)),)</f>
        <v>0</v>
      </c>
      <c r="CU129" s="14">
        <f>ROUND(IF(BZ129=0,0,HLOOKUP(BZ$14,Villagers!$B$1:$V$33,BZ129+3,FALSE)),)</f>
        <v>0</v>
      </c>
      <c r="CV129" s="14">
        <f>ROUND(IF(CA129=0,0,HLOOKUP(CA$14,Villagers!$B$1:$V$33,CA129+3,FALSE)),)</f>
        <v>0</v>
      </c>
      <c r="CW129" s="14">
        <f>ROUND(IF(CB129=0,0,HLOOKUP(CB$14,Villagers!$B$1:$V$33,CB129+3,FALSE)),)</f>
        <v>0</v>
      </c>
      <c r="CX129" s="14">
        <f>ROUND(IF(CC129=0,0,HLOOKUP(CC$14,Villagers!$B$1:$V$33,CC129+3,FALSE)),)</f>
        <v>0</v>
      </c>
      <c r="CY129" s="14">
        <f>ROUND(IF(CD129=0,0,HLOOKUP(CD$14,Villagers!$B$1:$V$33,CD129+3,FALSE)),)</f>
        <v>0</v>
      </c>
      <c r="CZ129" s="14">
        <f>ROUND(IF(CE129=0,0,HLOOKUP(CE$14,Villagers!$B$1:$V$33,CE129+3,FALSE)),)</f>
        <v>5</v>
      </c>
      <c r="DA129" s="14">
        <f>ROUND(IF(CF129=0,0,HLOOKUP(CF$14,Villagers!$B$1:$V$33,CF129+3,FALSE)),)</f>
        <v>10</v>
      </c>
      <c r="DB129" s="14">
        <f>ROUND(IF(CG129=0,0,HLOOKUP(CG$14,Villagers!$B$1:$V$33,CG129+3,FALSE)),)</f>
        <v>10</v>
      </c>
      <c r="DC129" s="14">
        <f>ROUND(IF(CH129=0,0,HLOOKUP(CH$14,Villagers!$B$1:$V$33,CH129+3,FALSE)),)</f>
        <v>0</v>
      </c>
      <c r="DD129" s="14">
        <f>ROUND(IF(CI129=0,0,HLOOKUP(CI$14,Villagers!$B$1:$V$33,CI129+3,FALSE)),)</f>
        <v>0</v>
      </c>
      <c r="DE129" s="14">
        <f>ROUND(IF(CJ129=0,0,HLOOKUP(CJ$14,Villagers!$B$1:$V$33,CJ129+3,FALSE)),)</f>
        <v>2</v>
      </c>
      <c r="DF129" s="370">
        <f>ROUND(IF(CK129=0,0,HLOOKUP(CK$14,Villagers!$B$1:$V$33,CK129+3,FALSE)),)</f>
        <v>0</v>
      </c>
      <c r="DG129" s="370">
        <f>ROUND(IF(CL129=0,0,HLOOKUP(CL$14,Villagers!$B$1:$V$33,CL129+3,FALSE)),)</f>
        <v>0</v>
      </c>
      <c r="DH129" s="34">
        <f>ROUND(IF(CM129=0,0,HLOOKUP(CM$14,Villagers!$B$1:$V$33,CM129+3,FALSE)),)</f>
        <v>0</v>
      </c>
      <c r="DI129" s="109">
        <f t="shared" si="155"/>
        <v>0</v>
      </c>
      <c r="DJ129" s="50">
        <f t="shared" si="156"/>
        <v>0</v>
      </c>
      <c r="DK129" s="50">
        <f t="shared" si="157"/>
        <v>0</v>
      </c>
      <c r="DL129" s="50">
        <f t="shared" si="158"/>
        <v>0</v>
      </c>
      <c r="DM129" s="50">
        <f t="shared" si="159"/>
        <v>0</v>
      </c>
      <c r="DN129" s="50">
        <f t="shared" si="160"/>
        <v>0</v>
      </c>
      <c r="DO129" s="50">
        <f t="shared" si="161"/>
        <v>0</v>
      </c>
      <c r="DP129" s="50">
        <f t="shared" si="162"/>
        <v>0</v>
      </c>
      <c r="DQ129" s="50">
        <f t="shared" si="140"/>
        <v>0</v>
      </c>
      <c r="DR129" s="50">
        <f t="shared" si="141"/>
        <v>0</v>
      </c>
      <c r="DS129" s="96">
        <f>Miscelaneous!$D$4*Miscelaneous!$D$2^($CI129-1)</f>
        <v>1000</v>
      </c>
      <c r="DT129" s="333">
        <f t="shared" si="109"/>
        <v>1</v>
      </c>
      <c r="DU129" s="81">
        <v>1</v>
      </c>
      <c r="DV129" s="79">
        <f t="shared" si="142"/>
        <v>0</v>
      </c>
      <c r="DW129" s="79">
        <f t="shared" si="143"/>
        <v>0</v>
      </c>
      <c r="DX129" s="79">
        <f t="shared" si="144"/>
        <v>0</v>
      </c>
      <c r="DY129" s="79">
        <v>1</v>
      </c>
      <c r="DZ129" s="79">
        <f t="shared" si="145"/>
        <v>0</v>
      </c>
      <c r="EA129" s="79">
        <f t="shared" si="146"/>
        <v>0</v>
      </c>
      <c r="EB129" s="79">
        <f t="shared" si="147"/>
        <v>0</v>
      </c>
      <c r="EC129" s="79">
        <f t="shared" si="148"/>
        <v>0</v>
      </c>
      <c r="ED129" s="79">
        <v>1</v>
      </c>
      <c r="EE129" s="79">
        <v>1</v>
      </c>
      <c r="EF129" s="79">
        <f t="shared" si="149"/>
        <v>0</v>
      </c>
      <c r="EG129" s="79">
        <v>1</v>
      </c>
      <c r="EH129" s="79">
        <v>1</v>
      </c>
      <c r="EI129" s="79">
        <v>1</v>
      </c>
      <c r="EJ129" s="79">
        <v>1</v>
      </c>
      <c r="EK129" s="79">
        <v>1</v>
      </c>
      <c r="EL129" s="79">
        <v>1</v>
      </c>
      <c r="EM129" s="143">
        <f t="shared" si="150"/>
        <v>0</v>
      </c>
      <c r="EN129" s="143">
        <f t="shared" si="151"/>
        <v>0</v>
      </c>
      <c r="EO129" s="82">
        <f t="shared" si="152"/>
        <v>0</v>
      </c>
    </row>
    <row r="130" spans="1:145" x14ac:dyDescent="0.25">
      <c r="A130">
        <v>116</v>
      </c>
      <c r="B130" s="172" t="e">
        <f t="shared" si="110"/>
        <v>#N/A</v>
      </c>
      <c r="C130" s="121" t="e">
        <f t="shared" si="89"/>
        <v>#N/A</v>
      </c>
      <c r="D130" s="122" t="e">
        <f t="shared" si="90"/>
        <v>#N/A</v>
      </c>
      <c r="E130" s="122" t="e">
        <f t="shared" si="91"/>
        <v>#N/A</v>
      </c>
      <c r="F130" s="176" t="e">
        <f t="shared" si="92"/>
        <v>#N/A</v>
      </c>
      <c r="G130" s="121">
        <f t="shared" si="111"/>
        <v>208</v>
      </c>
      <c r="H130" s="176" t="e">
        <f t="shared" si="112"/>
        <v>#N/A</v>
      </c>
      <c r="I130" s="48">
        <v>1</v>
      </c>
      <c r="J130" s="39"/>
      <c r="K130" s="350">
        <v>1</v>
      </c>
      <c r="L130" s="34" t="e">
        <f t="shared" si="93"/>
        <v>#N/A</v>
      </c>
      <c r="M130" s="38" t="e">
        <f>(HLOOKUP(J130,'Construction Times'!$B$3:$W$34,L130+2,FALSE)*HLOOKUP("hq modifier",'Construction Times'!$W$3:$W$34,BS130+2,FALSE))*(1-$H$9)</f>
        <v>#N/A</v>
      </c>
      <c r="N130" s="443" t="e">
        <f t="shared" si="113"/>
        <v>#N/A</v>
      </c>
      <c r="O130" s="444"/>
      <c r="P130" s="447" t="e">
        <f t="shared" si="114"/>
        <v>#N/A</v>
      </c>
      <c r="Q130" s="448"/>
      <c r="R130" s="103">
        <f t="shared" si="153"/>
        <v>0</v>
      </c>
      <c r="S130" s="104">
        <f t="shared" si="153"/>
        <v>0</v>
      </c>
      <c r="T130" s="104">
        <f t="shared" si="154"/>
        <v>0</v>
      </c>
      <c r="U130" s="104">
        <f t="shared" si="154"/>
        <v>0</v>
      </c>
      <c r="V130" s="104">
        <f t="shared" si="154"/>
        <v>9.9999999999999995E-8</v>
      </c>
      <c r="W130" s="104">
        <f t="shared" si="154"/>
        <v>0</v>
      </c>
      <c r="X130" s="104">
        <f t="shared" si="185"/>
        <v>0</v>
      </c>
      <c r="Y130" s="104">
        <f t="shared" si="185"/>
        <v>9.9999999999999995E-8</v>
      </c>
      <c r="Z130" s="104">
        <f t="shared" si="185"/>
        <v>9.9999999999999995E-8</v>
      </c>
      <c r="AA130" s="105">
        <f t="shared" si="185"/>
        <v>9.9999999999999995E-8</v>
      </c>
      <c r="AB130" s="101" t="e">
        <f>$DT130*HLOOKUP($J130,'Construction Costs (timber)'!$B$1:$V$32,'Construction Planner'!$L130+2,FALSE)</f>
        <v>#N/A</v>
      </c>
      <c r="AC130" s="14" t="e">
        <f>$DT130*HLOOKUP($J130,'Construction Costs (clay)'!$B$1:$V$32,'Construction Planner'!$L130+2,FALSE)</f>
        <v>#N/A</v>
      </c>
      <c r="AD130" s="14" t="e">
        <f>$DT130*HLOOKUP($J130,'Construction Costs (iron)'!$B$1:$V$32,'Construction Planner'!$L130+2,FALSE)</f>
        <v>#N/A</v>
      </c>
      <c r="AE130" s="34" t="e">
        <f t="shared" si="163"/>
        <v>#N/A</v>
      </c>
      <c r="AF130" s="33" t="e">
        <f t="shared" si="94"/>
        <v>#N/A</v>
      </c>
      <c r="AG130" s="14" t="e">
        <f t="shared" si="95"/>
        <v>#N/A</v>
      </c>
      <c r="AH130" s="14" t="e">
        <f t="shared" si="96"/>
        <v>#N/A</v>
      </c>
      <c r="AI130" s="34" t="e">
        <f t="shared" si="164"/>
        <v>#N/A</v>
      </c>
      <c r="AJ130" s="49" t="e">
        <f t="shared" si="115"/>
        <v>#N/A</v>
      </c>
      <c r="AK130" s="49" t="e">
        <f t="shared" si="116"/>
        <v>#N/A</v>
      </c>
      <c r="AL130" s="49" t="e">
        <f t="shared" si="117"/>
        <v>#N/A</v>
      </c>
      <c r="AM130" s="25">
        <f t="shared" si="97"/>
        <v>30</v>
      </c>
      <c r="AN130" s="25">
        <f t="shared" si="98"/>
        <v>30</v>
      </c>
      <c r="AO130" s="25">
        <f t="shared" si="99"/>
        <v>30</v>
      </c>
      <c r="AP130" s="52" t="e">
        <f t="shared" si="118"/>
        <v>#N/A</v>
      </c>
      <c r="AQ130" s="53" t="e">
        <f t="shared" si="118"/>
        <v>#N/A</v>
      </c>
      <c r="AR130" s="54" t="e">
        <f t="shared" si="118"/>
        <v>#N/A</v>
      </c>
      <c r="AS130" s="316">
        <f t="shared" si="186"/>
        <v>0</v>
      </c>
      <c r="AT130" s="106">
        <f>_xlfn.IFNA($M130/VLOOKUP($BT130,'Unit information'!$A$2:$K$29,2,FALSE)*R130,0)*(1+$E$9)</f>
        <v>0</v>
      </c>
      <c r="AU130" s="107">
        <f>_xlfn.IFNA($M130/VLOOKUP($BT130,'Unit information'!$A$2:$K$29,3,FALSE)*S130,0)*(1+$E$9)</f>
        <v>0</v>
      </c>
      <c r="AV130" s="107">
        <f>_xlfn.IFNA($M130/VLOOKUP($BT130,'Unit information'!$A$2:$K$29,4,FALSE)*T130,0)*(1+$E$9)</f>
        <v>0</v>
      </c>
      <c r="AW130" s="107">
        <f>_xlfn.IFNA($M130/VLOOKUP($BT130,'Unit information'!$A$2:$K$29,5,FALSE)*U130,0)*(1+$E$9)</f>
        <v>0</v>
      </c>
      <c r="AX130" s="107">
        <f>_xlfn.IFNA($M130/VLOOKUP($BU130,'Unit information'!$A$2:$K$29,6,FALSE)*V130,0)*(1+$E$9)</f>
        <v>0</v>
      </c>
      <c r="AY130" s="107">
        <f>_xlfn.IFNA($M130/VLOOKUP($BU130,'Unit information'!$A$2:$K$29,7,FALSE)*W130,0)*(1+$E$9)</f>
        <v>0</v>
      </c>
      <c r="AZ130" s="107">
        <f>_xlfn.IFNA($M130/VLOOKUP($BU130,'Unit information'!$A$2:$K$29,8,FALSE)*X130,0)*(1+$E$9)</f>
        <v>0</v>
      </c>
      <c r="BA130" s="107">
        <f>_xlfn.IFNA($M130/VLOOKUP($BU130,'Unit information'!$A$2:$K$29,9,FALSE)*Y130,0)*(1+$E$9)</f>
        <v>0</v>
      </c>
      <c r="BB130" s="107">
        <f>_xlfn.IFNA($M130/VLOOKUP($BV130,'Unit information'!$A$2:$K$29,10,FALSE)*Z130,0)*(1+$E$9)</f>
        <v>0</v>
      </c>
      <c r="BC130" s="108">
        <f>_xlfn.IFNA($M130/VLOOKUP($BV130,'Unit information'!$A$2:$K$29,11,FALSE)*AA130,0)*(1+$E$9)</f>
        <v>0</v>
      </c>
      <c r="BD130" s="106">
        <f t="shared" si="100"/>
        <v>0</v>
      </c>
      <c r="BE130" s="107">
        <f t="shared" si="101"/>
        <v>0</v>
      </c>
      <c r="BF130" s="108">
        <f t="shared" si="102"/>
        <v>0</v>
      </c>
      <c r="BG130" s="25" t="e">
        <f t="shared" si="103"/>
        <v>#N/A</v>
      </c>
      <c r="BH130" s="25" t="e">
        <f t="shared" si="104"/>
        <v>#N/A</v>
      </c>
      <c r="BI130" s="25" t="e">
        <f t="shared" si="105"/>
        <v>#N/A</v>
      </c>
      <c r="BJ130" s="27" t="e">
        <f t="shared" si="106"/>
        <v>#N/A</v>
      </c>
      <c r="BK130" s="18" t="e">
        <f t="shared" si="107"/>
        <v>#N/A</v>
      </c>
      <c r="BL130" s="18" t="e">
        <f t="shared" si="108"/>
        <v>#N/A</v>
      </c>
      <c r="BM130" s="28" t="e">
        <f t="shared" si="166"/>
        <v>#N/A</v>
      </c>
      <c r="BN130" s="33">
        <f>HLOOKUP("maximum population",Miscelaneous!$C$1:$C$33,CH130+3,FALSE)</f>
        <v>240</v>
      </c>
      <c r="BO130" s="14">
        <f t="shared" si="119"/>
        <v>32</v>
      </c>
      <c r="BP130" s="14">
        <f t="shared" si="120"/>
        <v>0</v>
      </c>
      <c r="BQ130" s="14">
        <f t="shared" si="121"/>
        <v>208</v>
      </c>
      <c r="BR130" s="34" t="e">
        <f>HLOOKUP(J130,Villagers!$B$1:$V$33,L130+3,FALSE)-HLOOKUP(J130,Villagers!$B$1:$V$33,L130+2,FALSE)</f>
        <v>#N/A</v>
      </c>
      <c r="BS130" s="49">
        <f t="shared" si="122"/>
        <v>1</v>
      </c>
      <c r="BT130" s="50">
        <f t="shared" si="123"/>
        <v>0</v>
      </c>
      <c r="BU130" s="50">
        <f t="shared" si="124"/>
        <v>0</v>
      </c>
      <c r="BV130" s="50">
        <f t="shared" si="125"/>
        <v>0</v>
      </c>
      <c r="BW130" s="50">
        <f t="shared" si="189"/>
        <v>0</v>
      </c>
      <c r="BX130" s="50">
        <f t="shared" si="189"/>
        <v>0</v>
      </c>
      <c r="BY130" s="50">
        <f t="shared" si="189"/>
        <v>0</v>
      </c>
      <c r="BZ130" s="50">
        <f t="shared" si="167"/>
        <v>0</v>
      </c>
      <c r="CA130" s="50">
        <f t="shared" si="168"/>
        <v>0</v>
      </c>
      <c r="CB130" s="50">
        <f t="shared" si="169"/>
        <v>1</v>
      </c>
      <c r="CC130" s="50">
        <f t="shared" si="170"/>
        <v>0</v>
      </c>
      <c r="CD130" s="50">
        <f t="shared" si="171"/>
        <v>0</v>
      </c>
      <c r="CE130" s="50">
        <f t="shared" si="172"/>
        <v>1</v>
      </c>
      <c r="CF130" s="50">
        <f t="shared" si="173"/>
        <v>1</v>
      </c>
      <c r="CG130" s="50">
        <f t="shared" si="174"/>
        <v>1</v>
      </c>
      <c r="CH130" s="50">
        <f t="shared" si="175"/>
        <v>1</v>
      </c>
      <c r="CI130" s="50">
        <f t="shared" si="176"/>
        <v>1</v>
      </c>
      <c r="CJ130" s="50">
        <f t="shared" si="177"/>
        <v>1</v>
      </c>
      <c r="CK130" s="50">
        <f t="shared" si="177"/>
        <v>0</v>
      </c>
      <c r="CL130" s="50">
        <f t="shared" si="177"/>
        <v>0</v>
      </c>
      <c r="CM130" s="51">
        <f t="shared" si="178"/>
        <v>0</v>
      </c>
      <c r="CN130" s="33">
        <f>ROUND(IF(BS130=0,0,HLOOKUP(BS$14,Villagers!$B$1:$V$33,BS130+3,FALSE)),)</f>
        <v>5</v>
      </c>
      <c r="CO130" s="14">
        <f>ROUND(IF(BT130=0,0,HLOOKUP(BT$14,Villagers!$B$1:$V$33,BT130+3,FALSE)),)</f>
        <v>0</v>
      </c>
      <c r="CP130" s="14">
        <f>ROUND(IF(BU130=0,0,HLOOKUP(BU$14,Villagers!$B$1:$V$33,BU130+3,FALSE)),)</f>
        <v>0</v>
      </c>
      <c r="CQ130" s="14">
        <f>ROUND(IF(BV130=0,0,HLOOKUP(BV$14,Villagers!$B$1:$V$33,BV130+3,FALSE)),)</f>
        <v>0</v>
      </c>
      <c r="CR130" s="14">
        <f>ROUND(IF(BW130=0,0,HLOOKUP(BW$14,Villagers!$B$1:$V$33,BW130+3,FALSE)),)</f>
        <v>0</v>
      </c>
      <c r="CS130" s="14">
        <f>ROUND(IF(BX130=0,0,HLOOKUP(BX$14,Villagers!$B$1:$V$33,BX130+3,FALSE)),)</f>
        <v>0</v>
      </c>
      <c r="CT130" s="14">
        <f>ROUND(IF(BY130=0,0,HLOOKUP(BY$14,Villagers!$B$1:$V$33,BY130+3,FALSE)),)</f>
        <v>0</v>
      </c>
      <c r="CU130" s="14">
        <f>ROUND(IF(BZ130=0,0,HLOOKUP(BZ$14,Villagers!$B$1:$V$33,BZ130+3,FALSE)),)</f>
        <v>0</v>
      </c>
      <c r="CV130" s="14">
        <f>ROUND(IF(CA130=0,0,HLOOKUP(CA$14,Villagers!$B$1:$V$33,CA130+3,FALSE)),)</f>
        <v>0</v>
      </c>
      <c r="CW130" s="14">
        <f>ROUND(IF(CB130=0,0,HLOOKUP(CB$14,Villagers!$B$1:$V$33,CB130+3,FALSE)),)</f>
        <v>0</v>
      </c>
      <c r="CX130" s="14">
        <f>ROUND(IF(CC130=0,0,HLOOKUP(CC$14,Villagers!$B$1:$V$33,CC130+3,FALSE)),)</f>
        <v>0</v>
      </c>
      <c r="CY130" s="14">
        <f>ROUND(IF(CD130=0,0,HLOOKUP(CD$14,Villagers!$B$1:$V$33,CD130+3,FALSE)),)</f>
        <v>0</v>
      </c>
      <c r="CZ130" s="14">
        <f>ROUND(IF(CE130=0,0,HLOOKUP(CE$14,Villagers!$B$1:$V$33,CE130+3,FALSE)),)</f>
        <v>5</v>
      </c>
      <c r="DA130" s="14">
        <f>ROUND(IF(CF130=0,0,HLOOKUP(CF$14,Villagers!$B$1:$V$33,CF130+3,FALSE)),)</f>
        <v>10</v>
      </c>
      <c r="DB130" s="14">
        <f>ROUND(IF(CG130=0,0,HLOOKUP(CG$14,Villagers!$B$1:$V$33,CG130+3,FALSE)),)</f>
        <v>10</v>
      </c>
      <c r="DC130" s="14">
        <f>ROUND(IF(CH130=0,0,HLOOKUP(CH$14,Villagers!$B$1:$V$33,CH130+3,FALSE)),)</f>
        <v>0</v>
      </c>
      <c r="DD130" s="14">
        <f>ROUND(IF(CI130=0,0,HLOOKUP(CI$14,Villagers!$B$1:$V$33,CI130+3,FALSE)),)</f>
        <v>0</v>
      </c>
      <c r="DE130" s="14">
        <f>ROUND(IF(CJ130=0,0,HLOOKUP(CJ$14,Villagers!$B$1:$V$33,CJ130+3,FALSE)),)</f>
        <v>2</v>
      </c>
      <c r="DF130" s="370">
        <f>ROUND(IF(CK130=0,0,HLOOKUP(CK$14,Villagers!$B$1:$V$33,CK130+3,FALSE)),)</f>
        <v>0</v>
      </c>
      <c r="DG130" s="370">
        <f>ROUND(IF(CL130=0,0,HLOOKUP(CL$14,Villagers!$B$1:$V$33,CL130+3,FALSE)),)</f>
        <v>0</v>
      </c>
      <c r="DH130" s="34">
        <f>ROUND(IF(CM130=0,0,HLOOKUP(CM$14,Villagers!$B$1:$V$33,CM130+3,FALSE)),)</f>
        <v>0</v>
      </c>
      <c r="DI130" s="109">
        <f t="shared" si="155"/>
        <v>0</v>
      </c>
      <c r="DJ130" s="50">
        <f t="shared" si="156"/>
        <v>0</v>
      </c>
      <c r="DK130" s="50">
        <f t="shared" si="157"/>
        <v>0</v>
      </c>
      <c r="DL130" s="50">
        <f t="shared" si="158"/>
        <v>0</v>
      </c>
      <c r="DM130" s="50">
        <f t="shared" si="159"/>
        <v>0</v>
      </c>
      <c r="DN130" s="50">
        <f t="shared" si="160"/>
        <v>0</v>
      </c>
      <c r="DO130" s="50">
        <f t="shared" si="161"/>
        <v>0</v>
      </c>
      <c r="DP130" s="50">
        <f t="shared" si="162"/>
        <v>0</v>
      </c>
      <c r="DQ130" s="50">
        <f t="shared" si="140"/>
        <v>0</v>
      </c>
      <c r="DR130" s="50">
        <f t="shared" si="141"/>
        <v>0</v>
      </c>
      <c r="DS130" s="96">
        <f>Miscelaneous!$D$4*Miscelaneous!$D$2^($CI130-1)</f>
        <v>1000</v>
      </c>
      <c r="DT130" s="333">
        <f t="shared" si="109"/>
        <v>1</v>
      </c>
      <c r="DU130" s="81">
        <v>1</v>
      </c>
      <c r="DV130" s="79">
        <f t="shared" si="142"/>
        <v>0</v>
      </c>
      <c r="DW130" s="79">
        <f t="shared" si="143"/>
        <v>0</v>
      </c>
      <c r="DX130" s="79">
        <f t="shared" si="144"/>
        <v>0</v>
      </c>
      <c r="DY130" s="79">
        <v>1</v>
      </c>
      <c r="DZ130" s="79">
        <f t="shared" si="145"/>
        <v>0</v>
      </c>
      <c r="EA130" s="79">
        <f t="shared" si="146"/>
        <v>0</v>
      </c>
      <c r="EB130" s="79">
        <f t="shared" si="147"/>
        <v>0</v>
      </c>
      <c r="EC130" s="79">
        <f t="shared" si="148"/>
        <v>0</v>
      </c>
      <c r="ED130" s="79">
        <v>1</v>
      </c>
      <c r="EE130" s="79">
        <v>1</v>
      </c>
      <c r="EF130" s="79">
        <f t="shared" si="149"/>
        <v>0</v>
      </c>
      <c r="EG130" s="79">
        <v>1</v>
      </c>
      <c r="EH130" s="79">
        <v>1</v>
      </c>
      <c r="EI130" s="79">
        <v>1</v>
      </c>
      <c r="EJ130" s="79">
        <v>1</v>
      </c>
      <c r="EK130" s="79">
        <v>1</v>
      </c>
      <c r="EL130" s="79">
        <v>1</v>
      </c>
      <c r="EM130" s="143">
        <f t="shared" si="150"/>
        <v>0</v>
      </c>
      <c r="EN130" s="143">
        <f t="shared" si="151"/>
        <v>0</v>
      </c>
      <c r="EO130" s="82">
        <f t="shared" si="152"/>
        <v>0</v>
      </c>
    </row>
    <row r="131" spans="1:145" x14ac:dyDescent="0.25">
      <c r="A131">
        <v>117</v>
      </c>
      <c r="B131" s="172" t="e">
        <f t="shared" si="110"/>
        <v>#N/A</v>
      </c>
      <c r="C131" s="121" t="e">
        <f t="shared" si="89"/>
        <v>#N/A</v>
      </c>
      <c r="D131" s="122" t="e">
        <f t="shared" si="90"/>
        <v>#N/A</v>
      </c>
      <c r="E131" s="122" t="e">
        <f t="shared" si="91"/>
        <v>#N/A</v>
      </c>
      <c r="F131" s="176" t="e">
        <f t="shared" si="92"/>
        <v>#N/A</v>
      </c>
      <c r="G131" s="121">
        <f t="shared" si="111"/>
        <v>208</v>
      </c>
      <c r="H131" s="176" t="e">
        <f t="shared" si="112"/>
        <v>#N/A</v>
      </c>
      <c r="I131" s="48">
        <v>1</v>
      </c>
      <c r="J131" s="39"/>
      <c r="K131" s="350">
        <v>1</v>
      </c>
      <c r="L131" s="34" t="e">
        <f t="shared" si="93"/>
        <v>#N/A</v>
      </c>
      <c r="M131" s="38" t="e">
        <f>(HLOOKUP(J131,'Construction Times'!$B$3:$W$34,L131+2,FALSE)*HLOOKUP("hq modifier",'Construction Times'!$W$3:$W$34,BS131+2,FALSE))*(1-$H$9)</f>
        <v>#N/A</v>
      </c>
      <c r="N131" s="443" t="e">
        <f t="shared" si="113"/>
        <v>#N/A</v>
      </c>
      <c r="O131" s="444"/>
      <c r="P131" s="447" t="e">
        <f t="shared" si="114"/>
        <v>#N/A</v>
      </c>
      <c r="Q131" s="448"/>
      <c r="R131" s="103">
        <f t="shared" si="153"/>
        <v>0</v>
      </c>
      <c r="S131" s="104">
        <f t="shared" si="153"/>
        <v>0</v>
      </c>
      <c r="T131" s="104">
        <f t="shared" si="154"/>
        <v>0</v>
      </c>
      <c r="U131" s="104">
        <f t="shared" si="154"/>
        <v>0</v>
      </c>
      <c r="V131" s="104">
        <f t="shared" si="154"/>
        <v>9.9999999999999995E-8</v>
      </c>
      <c r="W131" s="104">
        <f t="shared" si="154"/>
        <v>0</v>
      </c>
      <c r="X131" s="104">
        <f t="shared" si="185"/>
        <v>0</v>
      </c>
      <c r="Y131" s="104">
        <f t="shared" si="185"/>
        <v>9.9999999999999995E-8</v>
      </c>
      <c r="Z131" s="104">
        <f t="shared" si="185"/>
        <v>9.9999999999999995E-8</v>
      </c>
      <c r="AA131" s="105">
        <f t="shared" si="185"/>
        <v>9.9999999999999995E-8</v>
      </c>
      <c r="AB131" s="101" t="e">
        <f>$DT131*HLOOKUP($J131,'Construction Costs (timber)'!$B$1:$V$32,'Construction Planner'!$L131+2,FALSE)</f>
        <v>#N/A</v>
      </c>
      <c r="AC131" s="14" t="e">
        <f>$DT131*HLOOKUP($J131,'Construction Costs (clay)'!$B$1:$V$32,'Construction Planner'!$L131+2,FALSE)</f>
        <v>#N/A</v>
      </c>
      <c r="AD131" s="14" t="e">
        <f>$DT131*HLOOKUP($J131,'Construction Costs (iron)'!$B$1:$V$32,'Construction Planner'!$L131+2,FALSE)</f>
        <v>#N/A</v>
      </c>
      <c r="AE131" s="34" t="e">
        <f t="shared" si="163"/>
        <v>#N/A</v>
      </c>
      <c r="AF131" s="33" t="e">
        <f t="shared" si="94"/>
        <v>#N/A</v>
      </c>
      <c r="AG131" s="14" t="e">
        <f t="shared" si="95"/>
        <v>#N/A</v>
      </c>
      <c r="AH131" s="14" t="e">
        <f t="shared" si="96"/>
        <v>#N/A</v>
      </c>
      <c r="AI131" s="34" t="e">
        <f t="shared" si="164"/>
        <v>#N/A</v>
      </c>
      <c r="AJ131" s="49" t="e">
        <f t="shared" si="115"/>
        <v>#N/A</v>
      </c>
      <c r="AK131" s="49" t="e">
        <f t="shared" si="116"/>
        <v>#N/A</v>
      </c>
      <c r="AL131" s="49" t="e">
        <f t="shared" si="117"/>
        <v>#N/A</v>
      </c>
      <c r="AM131" s="25">
        <f t="shared" si="97"/>
        <v>30</v>
      </c>
      <c r="AN131" s="25">
        <f t="shared" si="98"/>
        <v>30</v>
      </c>
      <c r="AO131" s="25">
        <f t="shared" si="99"/>
        <v>30</v>
      </c>
      <c r="AP131" s="52" t="e">
        <f t="shared" si="118"/>
        <v>#N/A</v>
      </c>
      <c r="AQ131" s="53" t="e">
        <f t="shared" si="118"/>
        <v>#N/A</v>
      </c>
      <c r="AR131" s="54" t="e">
        <f t="shared" si="118"/>
        <v>#N/A</v>
      </c>
      <c r="AS131" s="316">
        <f t="shared" si="186"/>
        <v>0</v>
      </c>
      <c r="AT131" s="106">
        <f>_xlfn.IFNA($M131/VLOOKUP($BT131,'Unit information'!$A$2:$K$29,2,FALSE)*R131,0)*(1+$E$9)</f>
        <v>0</v>
      </c>
      <c r="AU131" s="107">
        <f>_xlfn.IFNA($M131/VLOOKUP($BT131,'Unit information'!$A$2:$K$29,3,FALSE)*S131,0)*(1+$E$9)</f>
        <v>0</v>
      </c>
      <c r="AV131" s="107">
        <f>_xlfn.IFNA($M131/VLOOKUP($BT131,'Unit information'!$A$2:$K$29,4,FALSE)*T131,0)*(1+$E$9)</f>
        <v>0</v>
      </c>
      <c r="AW131" s="107">
        <f>_xlfn.IFNA($M131/VLOOKUP($BT131,'Unit information'!$A$2:$K$29,5,FALSE)*U131,0)*(1+$E$9)</f>
        <v>0</v>
      </c>
      <c r="AX131" s="107">
        <f>_xlfn.IFNA($M131/VLOOKUP($BU131,'Unit information'!$A$2:$K$29,6,FALSE)*V131,0)*(1+$E$9)</f>
        <v>0</v>
      </c>
      <c r="AY131" s="107">
        <f>_xlfn.IFNA($M131/VLOOKUP($BU131,'Unit information'!$A$2:$K$29,7,FALSE)*W131,0)*(1+$E$9)</f>
        <v>0</v>
      </c>
      <c r="AZ131" s="107">
        <f>_xlfn.IFNA($M131/VLOOKUP($BU131,'Unit information'!$A$2:$K$29,8,FALSE)*X131,0)*(1+$E$9)</f>
        <v>0</v>
      </c>
      <c r="BA131" s="107">
        <f>_xlfn.IFNA($M131/VLOOKUP($BU131,'Unit information'!$A$2:$K$29,9,FALSE)*Y131,0)*(1+$E$9)</f>
        <v>0</v>
      </c>
      <c r="BB131" s="107">
        <f>_xlfn.IFNA($M131/VLOOKUP($BV131,'Unit information'!$A$2:$K$29,10,FALSE)*Z131,0)*(1+$E$9)</f>
        <v>0</v>
      </c>
      <c r="BC131" s="108">
        <f>_xlfn.IFNA($M131/VLOOKUP($BV131,'Unit information'!$A$2:$K$29,11,FALSE)*AA131,0)*(1+$E$9)</f>
        <v>0</v>
      </c>
      <c r="BD131" s="106">
        <f t="shared" si="100"/>
        <v>0</v>
      </c>
      <c r="BE131" s="107">
        <f t="shared" si="101"/>
        <v>0</v>
      </c>
      <c r="BF131" s="108">
        <f t="shared" si="102"/>
        <v>0</v>
      </c>
      <c r="BG131" s="25" t="e">
        <f t="shared" si="103"/>
        <v>#N/A</v>
      </c>
      <c r="BH131" s="25" t="e">
        <f t="shared" si="104"/>
        <v>#N/A</v>
      </c>
      <c r="BI131" s="25" t="e">
        <f t="shared" si="105"/>
        <v>#N/A</v>
      </c>
      <c r="BJ131" s="27" t="e">
        <f t="shared" si="106"/>
        <v>#N/A</v>
      </c>
      <c r="BK131" s="18" t="e">
        <f t="shared" si="107"/>
        <v>#N/A</v>
      </c>
      <c r="BL131" s="18" t="e">
        <f t="shared" si="108"/>
        <v>#N/A</v>
      </c>
      <c r="BM131" s="28" t="e">
        <f t="shared" si="166"/>
        <v>#N/A</v>
      </c>
      <c r="BN131" s="33">
        <f>HLOOKUP("maximum population",Miscelaneous!$C$1:$C$33,CH131+3,FALSE)</f>
        <v>240</v>
      </c>
      <c r="BO131" s="14">
        <f t="shared" si="119"/>
        <v>32</v>
      </c>
      <c r="BP131" s="14">
        <f t="shared" si="120"/>
        <v>0</v>
      </c>
      <c r="BQ131" s="14">
        <f t="shared" si="121"/>
        <v>208</v>
      </c>
      <c r="BR131" s="34" t="e">
        <f>HLOOKUP(J131,Villagers!$B$1:$V$33,L131+3,FALSE)-HLOOKUP(J131,Villagers!$B$1:$V$33,L131+2,FALSE)</f>
        <v>#N/A</v>
      </c>
      <c r="BS131" s="49">
        <f t="shared" si="122"/>
        <v>1</v>
      </c>
      <c r="BT131" s="50">
        <f t="shared" si="123"/>
        <v>0</v>
      </c>
      <c r="BU131" s="50">
        <f t="shared" si="124"/>
        <v>0</v>
      </c>
      <c r="BV131" s="50">
        <f t="shared" si="125"/>
        <v>0</v>
      </c>
      <c r="BW131" s="50">
        <f t="shared" si="189"/>
        <v>0</v>
      </c>
      <c r="BX131" s="50">
        <f t="shared" si="189"/>
        <v>0</v>
      </c>
      <c r="BY131" s="50">
        <f t="shared" si="189"/>
        <v>0</v>
      </c>
      <c r="BZ131" s="50">
        <f t="shared" si="167"/>
        <v>0</v>
      </c>
      <c r="CA131" s="50">
        <f t="shared" si="168"/>
        <v>0</v>
      </c>
      <c r="CB131" s="50">
        <f t="shared" si="169"/>
        <v>1</v>
      </c>
      <c r="CC131" s="50">
        <f t="shared" si="170"/>
        <v>0</v>
      </c>
      <c r="CD131" s="50">
        <f t="shared" si="171"/>
        <v>0</v>
      </c>
      <c r="CE131" s="50">
        <f t="shared" si="172"/>
        <v>1</v>
      </c>
      <c r="CF131" s="50">
        <f t="shared" si="173"/>
        <v>1</v>
      </c>
      <c r="CG131" s="50">
        <f t="shared" si="174"/>
        <v>1</v>
      </c>
      <c r="CH131" s="50">
        <f t="shared" si="175"/>
        <v>1</v>
      </c>
      <c r="CI131" s="50">
        <f t="shared" si="176"/>
        <v>1</v>
      </c>
      <c r="CJ131" s="50">
        <f t="shared" si="177"/>
        <v>1</v>
      </c>
      <c r="CK131" s="50">
        <f t="shared" si="177"/>
        <v>0</v>
      </c>
      <c r="CL131" s="50">
        <f t="shared" si="177"/>
        <v>0</v>
      </c>
      <c r="CM131" s="51">
        <f t="shared" si="178"/>
        <v>0</v>
      </c>
      <c r="CN131" s="33">
        <f>ROUND(IF(BS131=0,0,HLOOKUP(BS$14,Villagers!$B$1:$V$33,BS131+3,FALSE)),)</f>
        <v>5</v>
      </c>
      <c r="CO131" s="14">
        <f>ROUND(IF(BT131=0,0,HLOOKUP(BT$14,Villagers!$B$1:$V$33,BT131+3,FALSE)),)</f>
        <v>0</v>
      </c>
      <c r="CP131" s="14">
        <f>ROUND(IF(BU131=0,0,HLOOKUP(BU$14,Villagers!$B$1:$V$33,BU131+3,FALSE)),)</f>
        <v>0</v>
      </c>
      <c r="CQ131" s="14">
        <f>ROUND(IF(BV131=0,0,HLOOKUP(BV$14,Villagers!$B$1:$V$33,BV131+3,FALSE)),)</f>
        <v>0</v>
      </c>
      <c r="CR131" s="14">
        <f>ROUND(IF(BW131=0,0,HLOOKUP(BW$14,Villagers!$B$1:$V$33,BW131+3,FALSE)),)</f>
        <v>0</v>
      </c>
      <c r="CS131" s="14">
        <f>ROUND(IF(BX131=0,0,HLOOKUP(BX$14,Villagers!$B$1:$V$33,BX131+3,FALSE)),)</f>
        <v>0</v>
      </c>
      <c r="CT131" s="14">
        <f>ROUND(IF(BY131=0,0,HLOOKUP(BY$14,Villagers!$B$1:$V$33,BY131+3,FALSE)),)</f>
        <v>0</v>
      </c>
      <c r="CU131" s="14">
        <f>ROUND(IF(BZ131=0,0,HLOOKUP(BZ$14,Villagers!$B$1:$V$33,BZ131+3,FALSE)),)</f>
        <v>0</v>
      </c>
      <c r="CV131" s="14">
        <f>ROUND(IF(CA131=0,0,HLOOKUP(CA$14,Villagers!$B$1:$V$33,CA131+3,FALSE)),)</f>
        <v>0</v>
      </c>
      <c r="CW131" s="14">
        <f>ROUND(IF(CB131=0,0,HLOOKUP(CB$14,Villagers!$B$1:$V$33,CB131+3,FALSE)),)</f>
        <v>0</v>
      </c>
      <c r="CX131" s="14">
        <f>ROUND(IF(CC131=0,0,HLOOKUP(CC$14,Villagers!$B$1:$V$33,CC131+3,FALSE)),)</f>
        <v>0</v>
      </c>
      <c r="CY131" s="14">
        <f>ROUND(IF(CD131=0,0,HLOOKUP(CD$14,Villagers!$B$1:$V$33,CD131+3,FALSE)),)</f>
        <v>0</v>
      </c>
      <c r="CZ131" s="14">
        <f>ROUND(IF(CE131=0,0,HLOOKUP(CE$14,Villagers!$B$1:$V$33,CE131+3,FALSE)),)</f>
        <v>5</v>
      </c>
      <c r="DA131" s="14">
        <f>ROUND(IF(CF131=0,0,HLOOKUP(CF$14,Villagers!$B$1:$V$33,CF131+3,FALSE)),)</f>
        <v>10</v>
      </c>
      <c r="DB131" s="14">
        <f>ROUND(IF(CG131=0,0,HLOOKUP(CG$14,Villagers!$B$1:$V$33,CG131+3,FALSE)),)</f>
        <v>10</v>
      </c>
      <c r="DC131" s="14">
        <f>ROUND(IF(CH131=0,0,HLOOKUP(CH$14,Villagers!$B$1:$V$33,CH131+3,FALSE)),)</f>
        <v>0</v>
      </c>
      <c r="DD131" s="14">
        <f>ROUND(IF(CI131=0,0,HLOOKUP(CI$14,Villagers!$B$1:$V$33,CI131+3,FALSE)),)</f>
        <v>0</v>
      </c>
      <c r="DE131" s="14">
        <f>ROUND(IF(CJ131=0,0,HLOOKUP(CJ$14,Villagers!$B$1:$V$33,CJ131+3,FALSE)),)</f>
        <v>2</v>
      </c>
      <c r="DF131" s="370">
        <f>ROUND(IF(CK131=0,0,HLOOKUP(CK$14,Villagers!$B$1:$V$33,CK131+3,FALSE)),)</f>
        <v>0</v>
      </c>
      <c r="DG131" s="370">
        <f>ROUND(IF(CL131=0,0,HLOOKUP(CL$14,Villagers!$B$1:$V$33,CL131+3,FALSE)),)</f>
        <v>0</v>
      </c>
      <c r="DH131" s="34">
        <f>ROUND(IF(CM131=0,0,HLOOKUP(CM$14,Villagers!$B$1:$V$33,CM131+3,FALSE)),)</f>
        <v>0</v>
      </c>
      <c r="DI131" s="109">
        <f t="shared" si="155"/>
        <v>0</v>
      </c>
      <c r="DJ131" s="50">
        <f t="shared" si="156"/>
        <v>0</v>
      </c>
      <c r="DK131" s="50">
        <f t="shared" si="157"/>
        <v>0</v>
      </c>
      <c r="DL131" s="50">
        <f t="shared" si="158"/>
        <v>0</v>
      </c>
      <c r="DM131" s="50">
        <f t="shared" si="159"/>
        <v>0</v>
      </c>
      <c r="DN131" s="50">
        <f t="shared" si="160"/>
        <v>0</v>
      </c>
      <c r="DO131" s="50">
        <f t="shared" si="161"/>
        <v>0</v>
      </c>
      <c r="DP131" s="50">
        <f t="shared" si="162"/>
        <v>0</v>
      </c>
      <c r="DQ131" s="50">
        <f t="shared" si="140"/>
        <v>0</v>
      </c>
      <c r="DR131" s="50">
        <f t="shared" si="141"/>
        <v>0</v>
      </c>
      <c r="DS131" s="96">
        <f>Miscelaneous!$D$4*Miscelaneous!$D$2^($CI131-1)</f>
        <v>1000</v>
      </c>
      <c r="DT131" s="333">
        <f t="shared" si="109"/>
        <v>1</v>
      </c>
      <c r="DU131" s="81">
        <v>1</v>
      </c>
      <c r="DV131" s="79">
        <f t="shared" si="142"/>
        <v>0</v>
      </c>
      <c r="DW131" s="79">
        <f t="shared" si="143"/>
        <v>0</v>
      </c>
      <c r="DX131" s="79">
        <f t="shared" si="144"/>
        <v>0</v>
      </c>
      <c r="DY131" s="79">
        <v>1</v>
      </c>
      <c r="DZ131" s="79">
        <f t="shared" si="145"/>
        <v>0</v>
      </c>
      <c r="EA131" s="79">
        <f t="shared" si="146"/>
        <v>0</v>
      </c>
      <c r="EB131" s="79">
        <f t="shared" si="147"/>
        <v>0</v>
      </c>
      <c r="EC131" s="79">
        <f t="shared" si="148"/>
        <v>0</v>
      </c>
      <c r="ED131" s="79">
        <v>1</v>
      </c>
      <c r="EE131" s="79">
        <v>1</v>
      </c>
      <c r="EF131" s="79">
        <f t="shared" si="149"/>
        <v>0</v>
      </c>
      <c r="EG131" s="79">
        <v>1</v>
      </c>
      <c r="EH131" s="79">
        <v>1</v>
      </c>
      <c r="EI131" s="79">
        <v>1</v>
      </c>
      <c r="EJ131" s="79">
        <v>1</v>
      </c>
      <c r="EK131" s="79">
        <v>1</v>
      </c>
      <c r="EL131" s="79">
        <v>1</v>
      </c>
      <c r="EM131" s="143">
        <f t="shared" si="150"/>
        <v>0</v>
      </c>
      <c r="EN131" s="143">
        <f t="shared" si="151"/>
        <v>0</v>
      </c>
      <c r="EO131" s="82">
        <f t="shared" si="152"/>
        <v>0</v>
      </c>
    </row>
    <row r="132" spans="1:145" x14ac:dyDescent="0.25">
      <c r="A132">
        <v>118</v>
      </c>
      <c r="B132" s="172" t="e">
        <f t="shared" si="110"/>
        <v>#N/A</v>
      </c>
      <c r="C132" s="121" t="e">
        <f t="shared" si="89"/>
        <v>#N/A</v>
      </c>
      <c r="D132" s="122" t="e">
        <f t="shared" si="90"/>
        <v>#N/A</v>
      </c>
      <c r="E132" s="122" t="e">
        <f t="shared" si="91"/>
        <v>#N/A</v>
      </c>
      <c r="F132" s="176" t="e">
        <f t="shared" si="92"/>
        <v>#N/A</v>
      </c>
      <c r="G132" s="121">
        <f t="shared" si="111"/>
        <v>208</v>
      </c>
      <c r="H132" s="176" t="e">
        <f t="shared" si="112"/>
        <v>#N/A</v>
      </c>
      <c r="I132" s="48">
        <v>1</v>
      </c>
      <c r="J132" s="39"/>
      <c r="K132" s="350">
        <v>1</v>
      </c>
      <c r="L132" s="34" t="e">
        <f t="shared" si="93"/>
        <v>#N/A</v>
      </c>
      <c r="M132" s="38" t="e">
        <f>(HLOOKUP(J132,'Construction Times'!$B$3:$W$34,L132+2,FALSE)*HLOOKUP("hq modifier",'Construction Times'!$W$3:$W$34,BS132+2,FALSE))*(1-$H$9)</f>
        <v>#N/A</v>
      </c>
      <c r="N132" s="443" t="e">
        <f t="shared" si="113"/>
        <v>#N/A</v>
      </c>
      <c r="O132" s="444"/>
      <c r="P132" s="447" t="e">
        <f t="shared" si="114"/>
        <v>#N/A</v>
      </c>
      <c r="Q132" s="448"/>
      <c r="R132" s="103">
        <f t="shared" si="153"/>
        <v>0</v>
      </c>
      <c r="S132" s="104">
        <f t="shared" si="153"/>
        <v>0</v>
      </c>
      <c r="T132" s="104">
        <f t="shared" si="154"/>
        <v>0</v>
      </c>
      <c r="U132" s="104">
        <f t="shared" si="154"/>
        <v>0</v>
      </c>
      <c r="V132" s="104">
        <f t="shared" si="154"/>
        <v>9.9999999999999995E-8</v>
      </c>
      <c r="W132" s="104">
        <f t="shared" si="154"/>
        <v>0</v>
      </c>
      <c r="X132" s="104">
        <f t="shared" si="185"/>
        <v>0</v>
      </c>
      <c r="Y132" s="104">
        <f t="shared" si="185"/>
        <v>9.9999999999999995E-8</v>
      </c>
      <c r="Z132" s="104">
        <f t="shared" si="185"/>
        <v>9.9999999999999995E-8</v>
      </c>
      <c r="AA132" s="105">
        <f t="shared" si="185"/>
        <v>9.9999999999999995E-8</v>
      </c>
      <c r="AB132" s="101" t="e">
        <f>$DT132*HLOOKUP($J132,'Construction Costs (timber)'!$B$1:$V$32,'Construction Planner'!$L132+2,FALSE)</f>
        <v>#N/A</v>
      </c>
      <c r="AC132" s="14" t="e">
        <f>$DT132*HLOOKUP($J132,'Construction Costs (clay)'!$B$1:$V$32,'Construction Planner'!$L132+2,FALSE)</f>
        <v>#N/A</v>
      </c>
      <c r="AD132" s="14" t="e">
        <f>$DT132*HLOOKUP($J132,'Construction Costs (iron)'!$B$1:$V$32,'Construction Planner'!$L132+2,FALSE)</f>
        <v>#N/A</v>
      </c>
      <c r="AE132" s="34" t="e">
        <f t="shared" si="163"/>
        <v>#N/A</v>
      </c>
      <c r="AF132" s="33" t="e">
        <f t="shared" si="94"/>
        <v>#N/A</v>
      </c>
      <c r="AG132" s="14" t="e">
        <f t="shared" si="95"/>
        <v>#N/A</v>
      </c>
      <c r="AH132" s="14" t="e">
        <f t="shared" si="96"/>
        <v>#N/A</v>
      </c>
      <c r="AI132" s="34" t="e">
        <f t="shared" si="164"/>
        <v>#N/A</v>
      </c>
      <c r="AJ132" s="49" t="e">
        <f t="shared" si="115"/>
        <v>#N/A</v>
      </c>
      <c r="AK132" s="49" t="e">
        <f t="shared" si="116"/>
        <v>#N/A</v>
      </c>
      <c r="AL132" s="49" t="e">
        <f t="shared" si="117"/>
        <v>#N/A</v>
      </c>
      <c r="AM132" s="25">
        <f t="shared" si="97"/>
        <v>30</v>
      </c>
      <c r="AN132" s="25">
        <f t="shared" si="98"/>
        <v>30</v>
      </c>
      <c r="AO132" s="25">
        <f t="shared" si="99"/>
        <v>30</v>
      </c>
      <c r="AP132" s="52" t="e">
        <f t="shared" si="118"/>
        <v>#N/A</v>
      </c>
      <c r="AQ132" s="53" t="e">
        <f t="shared" si="118"/>
        <v>#N/A</v>
      </c>
      <c r="AR132" s="54" t="e">
        <f t="shared" si="118"/>
        <v>#N/A</v>
      </c>
      <c r="AS132" s="316">
        <f t="shared" ref="AS132:AS147" si="190">AS131</f>
        <v>0</v>
      </c>
      <c r="AT132" s="106">
        <f>_xlfn.IFNA($M132/VLOOKUP($BT132,'Unit information'!$A$2:$K$29,2,FALSE)*R132,0)*(1+$E$9)</f>
        <v>0</v>
      </c>
      <c r="AU132" s="107">
        <f>_xlfn.IFNA($M132/VLOOKUP($BT132,'Unit information'!$A$2:$K$29,3,FALSE)*S132,0)*(1+$E$9)</f>
        <v>0</v>
      </c>
      <c r="AV132" s="107">
        <f>_xlfn.IFNA($M132/VLOOKUP($BT132,'Unit information'!$A$2:$K$29,4,FALSE)*T132,0)*(1+$E$9)</f>
        <v>0</v>
      </c>
      <c r="AW132" s="107">
        <f>_xlfn.IFNA($M132/VLOOKUP($BT132,'Unit information'!$A$2:$K$29,5,FALSE)*U132,0)*(1+$E$9)</f>
        <v>0</v>
      </c>
      <c r="AX132" s="107">
        <f>_xlfn.IFNA($M132/VLOOKUP($BU132,'Unit information'!$A$2:$K$29,6,FALSE)*V132,0)*(1+$E$9)</f>
        <v>0</v>
      </c>
      <c r="AY132" s="107">
        <f>_xlfn.IFNA($M132/VLOOKUP($BU132,'Unit information'!$A$2:$K$29,7,FALSE)*W132,0)*(1+$E$9)</f>
        <v>0</v>
      </c>
      <c r="AZ132" s="107">
        <f>_xlfn.IFNA($M132/VLOOKUP($BU132,'Unit information'!$A$2:$K$29,8,FALSE)*X132,0)*(1+$E$9)</f>
        <v>0</v>
      </c>
      <c r="BA132" s="107">
        <f>_xlfn.IFNA($M132/VLOOKUP($BU132,'Unit information'!$A$2:$K$29,9,FALSE)*Y132,0)*(1+$E$9)</f>
        <v>0</v>
      </c>
      <c r="BB132" s="107">
        <f>_xlfn.IFNA($M132/VLOOKUP($BV132,'Unit information'!$A$2:$K$29,10,FALSE)*Z132,0)*(1+$E$9)</f>
        <v>0</v>
      </c>
      <c r="BC132" s="108">
        <f>_xlfn.IFNA($M132/VLOOKUP($BV132,'Unit information'!$A$2:$K$29,11,FALSE)*AA132,0)*(1+$E$9)</f>
        <v>0</v>
      </c>
      <c r="BD132" s="106">
        <f t="shared" si="100"/>
        <v>0</v>
      </c>
      <c r="BE132" s="107">
        <f t="shared" si="101"/>
        <v>0</v>
      </c>
      <c r="BF132" s="108">
        <f t="shared" si="102"/>
        <v>0</v>
      </c>
      <c r="BG132" s="25" t="e">
        <f t="shared" si="103"/>
        <v>#N/A</v>
      </c>
      <c r="BH132" s="25" t="e">
        <f t="shared" si="104"/>
        <v>#N/A</v>
      </c>
      <c r="BI132" s="25" t="e">
        <f t="shared" si="105"/>
        <v>#N/A</v>
      </c>
      <c r="BJ132" s="27" t="e">
        <f t="shared" si="106"/>
        <v>#N/A</v>
      </c>
      <c r="BK132" s="18" t="e">
        <f t="shared" si="107"/>
        <v>#N/A</v>
      </c>
      <c r="BL132" s="18" t="e">
        <f t="shared" si="108"/>
        <v>#N/A</v>
      </c>
      <c r="BM132" s="28" t="e">
        <f t="shared" si="166"/>
        <v>#N/A</v>
      </c>
      <c r="BN132" s="33">
        <f>HLOOKUP("maximum population",Miscelaneous!$C$1:$C$33,CH132+3,FALSE)</f>
        <v>240</v>
      </c>
      <c r="BO132" s="14">
        <f t="shared" si="119"/>
        <v>32</v>
      </c>
      <c r="BP132" s="14">
        <f t="shared" si="120"/>
        <v>0</v>
      </c>
      <c r="BQ132" s="14">
        <f t="shared" si="121"/>
        <v>208</v>
      </c>
      <c r="BR132" s="34" t="e">
        <f>HLOOKUP(J132,Villagers!$B$1:$V$33,L132+3,FALSE)-HLOOKUP(J132,Villagers!$B$1:$V$33,L132+2,FALSE)</f>
        <v>#N/A</v>
      </c>
      <c r="BS132" s="49">
        <f t="shared" si="122"/>
        <v>1</v>
      </c>
      <c r="BT132" s="50">
        <f t="shared" si="123"/>
        <v>0</v>
      </c>
      <c r="BU132" s="50">
        <f t="shared" si="124"/>
        <v>0</v>
      </c>
      <c r="BV132" s="50">
        <f t="shared" si="125"/>
        <v>0</v>
      </c>
      <c r="BW132" s="50">
        <f t="shared" si="189"/>
        <v>0</v>
      </c>
      <c r="BX132" s="50">
        <f t="shared" si="189"/>
        <v>0</v>
      </c>
      <c r="BY132" s="50">
        <f t="shared" si="189"/>
        <v>0</v>
      </c>
      <c r="BZ132" s="50">
        <f t="shared" si="167"/>
        <v>0</v>
      </c>
      <c r="CA132" s="50">
        <f t="shared" si="168"/>
        <v>0</v>
      </c>
      <c r="CB132" s="50">
        <f t="shared" si="169"/>
        <v>1</v>
      </c>
      <c r="CC132" s="50">
        <f t="shared" si="170"/>
        <v>0</v>
      </c>
      <c r="CD132" s="50">
        <f t="shared" si="171"/>
        <v>0</v>
      </c>
      <c r="CE132" s="50">
        <f t="shared" si="172"/>
        <v>1</v>
      </c>
      <c r="CF132" s="50">
        <f t="shared" si="173"/>
        <v>1</v>
      </c>
      <c r="CG132" s="50">
        <f t="shared" si="174"/>
        <v>1</v>
      </c>
      <c r="CH132" s="50">
        <f t="shared" si="175"/>
        <v>1</v>
      </c>
      <c r="CI132" s="50">
        <f t="shared" si="176"/>
        <v>1</v>
      </c>
      <c r="CJ132" s="50">
        <f t="shared" si="177"/>
        <v>1</v>
      </c>
      <c r="CK132" s="50">
        <f t="shared" si="177"/>
        <v>0</v>
      </c>
      <c r="CL132" s="50">
        <f t="shared" si="177"/>
        <v>0</v>
      </c>
      <c r="CM132" s="51">
        <f t="shared" si="178"/>
        <v>0</v>
      </c>
      <c r="CN132" s="33">
        <f>ROUND(IF(BS132=0,0,HLOOKUP(BS$14,Villagers!$B$1:$V$33,BS132+3,FALSE)),)</f>
        <v>5</v>
      </c>
      <c r="CO132" s="14">
        <f>ROUND(IF(BT132=0,0,HLOOKUP(BT$14,Villagers!$B$1:$V$33,BT132+3,FALSE)),)</f>
        <v>0</v>
      </c>
      <c r="CP132" s="14">
        <f>ROUND(IF(BU132=0,0,HLOOKUP(BU$14,Villagers!$B$1:$V$33,BU132+3,FALSE)),)</f>
        <v>0</v>
      </c>
      <c r="CQ132" s="14">
        <f>ROUND(IF(BV132=0,0,HLOOKUP(BV$14,Villagers!$B$1:$V$33,BV132+3,FALSE)),)</f>
        <v>0</v>
      </c>
      <c r="CR132" s="14">
        <f>ROUND(IF(BW132=0,0,HLOOKUP(BW$14,Villagers!$B$1:$V$33,BW132+3,FALSE)),)</f>
        <v>0</v>
      </c>
      <c r="CS132" s="14">
        <f>ROUND(IF(BX132=0,0,HLOOKUP(BX$14,Villagers!$B$1:$V$33,BX132+3,FALSE)),)</f>
        <v>0</v>
      </c>
      <c r="CT132" s="14">
        <f>ROUND(IF(BY132=0,0,HLOOKUP(BY$14,Villagers!$B$1:$V$33,BY132+3,FALSE)),)</f>
        <v>0</v>
      </c>
      <c r="CU132" s="14">
        <f>ROUND(IF(BZ132=0,0,HLOOKUP(BZ$14,Villagers!$B$1:$V$33,BZ132+3,FALSE)),)</f>
        <v>0</v>
      </c>
      <c r="CV132" s="14">
        <f>ROUND(IF(CA132=0,0,HLOOKUP(CA$14,Villagers!$B$1:$V$33,CA132+3,FALSE)),)</f>
        <v>0</v>
      </c>
      <c r="CW132" s="14">
        <f>ROUND(IF(CB132=0,0,HLOOKUP(CB$14,Villagers!$B$1:$V$33,CB132+3,FALSE)),)</f>
        <v>0</v>
      </c>
      <c r="CX132" s="14">
        <f>ROUND(IF(CC132=0,0,HLOOKUP(CC$14,Villagers!$B$1:$V$33,CC132+3,FALSE)),)</f>
        <v>0</v>
      </c>
      <c r="CY132" s="14">
        <f>ROUND(IF(CD132=0,0,HLOOKUP(CD$14,Villagers!$B$1:$V$33,CD132+3,FALSE)),)</f>
        <v>0</v>
      </c>
      <c r="CZ132" s="14">
        <f>ROUND(IF(CE132=0,0,HLOOKUP(CE$14,Villagers!$B$1:$V$33,CE132+3,FALSE)),)</f>
        <v>5</v>
      </c>
      <c r="DA132" s="14">
        <f>ROUND(IF(CF132=0,0,HLOOKUP(CF$14,Villagers!$B$1:$V$33,CF132+3,FALSE)),)</f>
        <v>10</v>
      </c>
      <c r="DB132" s="14">
        <f>ROUND(IF(CG132=0,0,HLOOKUP(CG$14,Villagers!$B$1:$V$33,CG132+3,FALSE)),)</f>
        <v>10</v>
      </c>
      <c r="DC132" s="14">
        <f>ROUND(IF(CH132=0,0,HLOOKUP(CH$14,Villagers!$B$1:$V$33,CH132+3,FALSE)),)</f>
        <v>0</v>
      </c>
      <c r="DD132" s="14">
        <f>ROUND(IF(CI132=0,0,HLOOKUP(CI$14,Villagers!$B$1:$V$33,CI132+3,FALSE)),)</f>
        <v>0</v>
      </c>
      <c r="DE132" s="14">
        <f>ROUND(IF(CJ132=0,0,HLOOKUP(CJ$14,Villagers!$B$1:$V$33,CJ132+3,FALSE)),)</f>
        <v>2</v>
      </c>
      <c r="DF132" s="370">
        <f>ROUND(IF(CK132=0,0,HLOOKUP(CK$14,Villagers!$B$1:$V$33,CK132+3,FALSE)),)</f>
        <v>0</v>
      </c>
      <c r="DG132" s="370">
        <f>ROUND(IF(CL132=0,0,HLOOKUP(CL$14,Villagers!$B$1:$V$33,CL132+3,FALSE)),)</f>
        <v>0</v>
      </c>
      <c r="DH132" s="34">
        <f>ROUND(IF(CM132=0,0,HLOOKUP(CM$14,Villagers!$B$1:$V$33,CM132+3,FALSE)),)</f>
        <v>0</v>
      </c>
      <c r="DI132" s="109">
        <f t="shared" si="155"/>
        <v>0</v>
      </c>
      <c r="DJ132" s="50">
        <f t="shared" si="156"/>
        <v>0</v>
      </c>
      <c r="DK132" s="50">
        <f t="shared" si="157"/>
        <v>0</v>
      </c>
      <c r="DL132" s="50">
        <f t="shared" si="158"/>
        <v>0</v>
      </c>
      <c r="DM132" s="50">
        <f t="shared" si="159"/>
        <v>0</v>
      </c>
      <c r="DN132" s="50">
        <f t="shared" si="160"/>
        <v>0</v>
      </c>
      <c r="DO132" s="50">
        <f t="shared" si="161"/>
        <v>0</v>
      </c>
      <c r="DP132" s="50">
        <f t="shared" si="162"/>
        <v>0</v>
      </c>
      <c r="DQ132" s="50">
        <f t="shared" si="140"/>
        <v>0</v>
      </c>
      <c r="DR132" s="50">
        <f t="shared" si="141"/>
        <v>0</v>
      </c>
      <c r="DS132" s="96">
        <f>Miscelaneous!$D$4*Miscelaneous!$D$2^($CI132-1)</f>
        <v>1000</v>
      </c>
      <c r="DT132" s="333">
        <f t="shared" si="109"/>
        <v>1</v>
      </c>
      <c r="DU132" s="81">
        <v>1</v>
      </c>
      <c r="DV132" s="79">
        <f t="shared" si="142"/>
        <v>0</v>
      </c>
      <c r="DW132" s="79">
        <f t="shared" si="143"/>
        <v>0</v>
      </c>
      <c r="DX132" s="79">
        <f t="shared" si="144"/>
        <v>0</v>
      </c>
      <c r="DY132" s="79">
        <v>1</v>
      </c>
      <c r="DZ132" s="79">
        <f t="shared" si="145"/>
        <v>0</v>
      </c>
      <c r="EA132" s="79">
        <f t="shared" si="146"/>
        <v>0</v>
      </c>
      <c r="EB132" s="79">
        <f t="shared" si="147"/>
        <v>0</v>
      </c>
      <c r="EC132" s="79">
        <f t="shared" si="148"/>
        <v>0</v>
      </c>
      <c r="ED132" s="79">
        <v>1</v>
      </c>
      <c r="EE132" s="79">
        <v>1</v>
      </c>
      <c r="EF132" s="79">
        <f t="shared" si="149"/>
        <v>0</v>
      </c>
      <c r="EG132" s="79">
        <v>1</v>
      </c>
      <c r="EH132" s="79">
        <v>1</v>
      </c>
      <c r="EI132" s="79">
        <v>1</v>
      </c>
      <c r="EJ132" s="79">
        <v>1</v>
      </c>
      <c r="EK132" s="79">
        <v>1</v>
      </c>
      <c r="EL132" s="79">
        <v>1</v>
      </c>
      <c r="EM132" s="143">
        <f t="shared" si="150"/>
        <v>0</v>
      </c>
      <c r="EN132" s="143">
        <f t="shared" si="151"/>
        <v>0</v>
      </c>
      <c r="EO132" s="82">
        <f t="shared" si="152"/>
        <v>0</v>
      </c>
    </row>
    <row r="133" spans="1:145" x14ac:dyDescent="0.25">
      <c r="A133">
        <v>119</v>
      </c>
      <c r="B133" s="172" t="e">
        <f t="shared" si="110"/>
        <v>#N/A</v>
      </c>
      <c r="C133" s="121" t="e">
        <f t="shared" si="89"/>
        <v>#N/A</v>
      </c>
      <c r="D133" s="122" t="e">
        <f t="shared" si="90"/>
        <v>#N/A</v>
      </c>
      <c r="E133" s="122" t="e">
        <f t="shared" si="91"/>
        <v>#N/A</v>
      </c>
      <c r="F133" s="176" t="e">
        <f t="shared" si="92"/>
        <v>#N/A</v>
      </c>
      <c r="G133" s="121">
        <f t="shared" si="111"/>
        <v>208</v>
      </c>
      <c r="H133" s="176" t="e">
        <f t="shared" si="112"/>
        <v>#N/A</v>
      </c>
      <c r="I133" s="48">
        <v>1</v>
      </c>
      <c r="J133" s="39"/>
      <c r="K133" s="350">
        <v>1</v>
      </c>
      <c r="L133" s="34" t="e">
        <f t="shared" si="93"/>
        <v>#N/A</v>
      </c>
      <c r="M133" s="38" t="e">
        <f>(HLOOKUP(J133,'Construction Times'!$B$3:$W$34,L133+2,FALSE)*HLOOKUP("hq modifier",'Construction Times'!$W$3:$W$34,BS133+2,FALSE))*(1-$H$9)</f>
        <v>#N/A</v>
      </c>
      <c r="N133" s="443" t="e">
        <f t="shared" si="113"/>
        <v>#N/A</v>
      </c>
      <c r="O133" s="444"/>
      <c r="P133" s="447" t="e">
        <f t="shared" si="114"/>
        <v>#N/A</v>
      </c>
      <c r="Q133" s="448"/>
      <c r="R133" s="103">
        <f t="shared" si="153"/>
        <v>0</v>
      </c>
      <c r="S133" s="104">
        <f t="shared" si="153"/>
        <v>0</v>
      </c>
      <c r="T133" s="104">
        <f t="shared" si="154"/>
        <v>0</v>
      </c>
      <c r="U133" s="104">
        <f t="shared" si="154"/>
        <v>0</v>
      </c>
      <c r="V133" s="104">
        <f t="shared" si="154"/>
        <v>9.9999999999999995E-8</v>
      </c>
      <c r="W133" s="104">
        <f t="shared" si="154"/>
        <v>0</v>
      </c>
      <c r="X133" s="104">
        <f t="shared" si="185"/>
        <v>0</v>
      </c>
      <c r="Y133" s="104">
        <f t="shared" si="185"/>
        <v>9.9999999999999995E-8</v>
      </c>
      <c r="Z133" s="104">
        <f t="shared" si="185"/>
        <v>9.9999999999999995E-8</v>
      </c>
      <c r="AA133" s="105">
        <f t="shared" si="185"/>
        <v>9.9999999999999995E-8</v>
      </c>
      <c r="AB133" s="101" t="e">
        <f>$DT133*HLOOKUP($J133,'Construction Costs (timber)'!$B$1:$V$32,'Construction Planner'!$L133+2,FALSE)</f>
        <v>#N/A</v>
      </c>
      <c r="AC133" s="14" t="e">
        <f>$DT133*HLOOKUP($J133,'Construction Costs (clay)'!$B$1:$V$32,'Construction Planner'!$L133+2,FALSE)</f>
        <v>#N/A</v>
      </c>
      <c r="AD133" s="14" t="e">
        <f>$DT133*HLOOKUP($J133,'Construction Costs (iron)'!$B$1:$V$32,'Construction Planner'!$L133+2,FALSE)</f>
        <v>#N/A</v>
      </c>
      <c r="AE133" s="34" t="e">
        <f t="shared" si="163"/>
        <v>#N/A</v>
      </c>
      <c r="AF133" s="33" t="e">
        <f t="shared" si="94"/>
        <v>#N/A</v>
      </c>
      <c r="AG133" s="14" t="e">
        <f t="shared" si="95"/>
        <v>#N/A</v>
      </c>
      <c r="AH133" s="14" t="e">
        <f t="shared" si="96"/>
        <v>#N/A</v>
      </c>
      <c r="AI133" s="34" t="e">
        <f t="shared" si="164"/>
        <v>#N/A</v>
      </c>
      <c r="AJ133" s="49" t="e">
        <f t="shared" si="115"/>
        <v>#N/A</v>
      </c>
      <c r="AK133" s="49" t="e">
        <f t="shared" si="116"/>
        <v>#N/A</v>
      </c>
      <c r="AL133" s="49" t="e">
        <f t="shared" si="117"/>
        <v>#N/A</v>
      </c>
      <c r="AM133" s="25">
        <f t="shared" si="97"/>
        <v>30</v>
      </c>
      <c r="AN133" s="25">
        <f t="shared" si="98"/>
        <v>30</v>
      </c>
      <c r="AO133" s="25">
        <f t="shared" si="99"/>
        <v>30</v>
      </c>
      <c r="AP133" s="52" t="e">
        <f t="shared" si="118"/>
        <v>#N/A</v>
      </c>
      <c r="AQ133" s="53" t="e">
        <f t="shared" si="118"/>
        <v>#N/A</v>
      </c>
      <c r="AR133" s="54" t="e">
        <f t="shared" si="118"/>
        <v>#N/A</v>
      </c>
      <c r="AS133" s="316">
        <f t="shared" si="190"/>
        <v>0</v>
      </c>
      <c r="AT133" s="106">
        <f>_xlfn.IFNA($M133/VLOOKUP($BT133,'Unit information'!$A$2:$K$29,2,FALSE)*R133,0)*(1+$E$9)</f>
        <v>0</v>
      </c>
      <c r="AU133" s="107">
        <f>_xlfn.IFNA($M133/VLOOKUP($BT133,'Unit information'!$A$2:$K$29,3,FALSE)*S133,0)*(1+$E$9)</f>
        <v>0</v>
      </c>
      <c r="AV133" s="107">
        <f>_xlfn.IFNA($M133/VLOOKUP($BT133,'Unit information'!$A$2:$K$29,4,FALSE)*T133,0)*(1+$E$9)</f>
        <v>0</v>
      </c>
      <c r="AW133" s="107">
        <f>_xlfn.IFNA($M133/VLOOKUP($BT133,'Unit information'!$A$2:$K$29,5,FALSE)*U133,0)*(1+$E$9)</f>
        <v>0</v>
      </c>
      <c r="AX133" s="107">
        <f>_xlfn.IFNA($M133/VLOOKUP($BU133,'Unit information'!$A$2:$K$29,6,FALSE)*V133,0)*(1+$E$9)</f>
        <v>0</v>
      </c>
      <c r="AY133" s="107">
        <f>_xlfn.IFNA($M133/VLOOKUP($BU133,'Unit information'!$A$2:$K$29,7,FALSE)*W133,0)*(1+$E$9)</f>
        <v>0</v>
      </c>
      <c r="AZ133" s="107">
        <f>_xlfn.IFNA($M133/VLOOKUP($BU133,'Unit information'!$A$2:$K$29,8,FALSE)*X133,0)*(1+$E$9)</f>
        <v>0</v>
      </c>
      <c r="BA133" s="107">
        <f>_xlfn.IFNA($M133/VLOOKUP($BU133,'Unit information'!$A$2:$K$29,9,FALSE)*Y133,0)*(1+$E$9)</f>
        <v>0</v>
      </c>
      <c r="BB133" s="107">
        <f>_xlfn.IFNA($M133/VLOOKUP($BV133,'Unit information'!$A$2:$K$29,10,FALSE)*Z133,0)*(1+$E$9)</f>
        <v>0</v>
      </c>
      <c r="BC133" s="108">
        <f>_xlfn.IFNA($M133/VLOOKUP($BV133,'Unit information'!$A$2:$K$29,11,FALSE)*AA133,0)*(1+$E$9)</f>
        <v>0</v>
      </c>
      <c r="BD133" s="106">
        <f t="shared" si="100"/>
        <v>0</v>
      </c>
      <c r="BE133" s="107">
        <f t="shared" si="101"/>
        <v>0</v>
      </c>
      <c r="BF133" s="108">
        <f t="shared" si="102"/>
        <v>0</v>
      </c>
      <c r="BG133" s="25" t="e">
        <f t="shared" si="103"/>
        <v>#N/A</v>
      </c>
      <c r="BH133" s="25" t="e">
        <f t="shared" si="104"/>
        <v>#N/A</v>
      </c>
      <c r="BI133" s="25" t="e">
        <f t="shared" si="105"/>
        <v>#N/A</v>
      </c>
      <c r="BJ133" s="27" t="e">
        <f t="shared" si="106"/>
        <v>#N/A</v>
      </c>
      <c r="BK133" s="18" t="e">
        <f t="shared" si="107"/>
        <v>#N/A</v>
      </c>
      <c r="BL133" s="18" t="e">
        <f t="shared" si="108"/>
        <v>#N/A</v>
      </c>
      <c r="BM133" s="28" t="e">
        <f t="shared" si="166"/>
        <v>#N/A</v>
      </c>
      <c r="BN133" s="33">
        <f>HLOOKUP("maximum population",Miscelaneous!$C$1:$C$33,CH133+3,FALSE)</f>
        <v>240</v>
      </c>
      <c r="BO133" s="14">
        <f t="shared" si="119"/>
        <v>32</v>
      </c>
      <c r="BP133" s="14">
        <f t="shared" si="120"/>
        <v>0</v>
      </c>
      <c r="BQ133" s="14">
        <f t="shared" si="121"/>
        <v>208</v>
      </c>
      <c r="BR133" s="34" t="e">
        <f>HLOOKUP(J133,Villagers!$B$1:$V$33,L133+3,FALSE)-HLOOKUP(J133,Villagers!$B$1:$V$33,L133+2,FALSE)</f>
        <v>#N/A</v>
      </c>
      <c r="BS133" s="49">
        <f t="shared" si="122"/>
        <v>1</v>
      </c>
      <c r="BT133" s="50">
        <f t="shared" si="123"/>
        <v>0</v>
      </c>
      <c r="BU133" s="50">
        <f t="shared" si="124"/>
        <v>0</v>
      </c>
      <c r="BV133" s="50">
        <f t="shared" si="125"/>
        <v>0</v>
      </c>
      <c r="BW133" s="50">
        <f t="shared" si="189"/>
        <v>0</v>
      </c>
      <c r="BX133" s="50">
        <f t="shared" si="189"/>
        <v>0</v>
      </c>
      <c r="BY133" s="50">
        <f t="shared" si="189"/>
        <v>0</v>
      </c>
      <c r="BZ133" s="50">
        <f t="shared" si="167"/>
        <v>0</v>
      </c>
      <c r="CA133" s="50">
        <f t="shared" si="168"/>
        <v>0</v>
      </c>
      <c r="CB133" s="50">
        <f t="shared" si="169"/>
        <v>1</v>
      </c>
      <c r="CC133" s="50">
        <f t="shared" si="170"/>
        <v>0</v>
      </c>
      <c r="CD133" s="50">
        <f t="shared" si="171"/>
        <v>0</v>
      </c>
      <c r="CE133" s="50">
        <f t="shared" si="172"/>
        <v>1</v>
      </c>
      <c r="CF133" s="50">
        <f t="shared" si="173"/>
        <v>1</v>
      </c>
      <c r="CG133" s="50">
        <f t="shared" si="174"/>
        <v>1</v>
      </c>
      <c r="CH133" s="50">
        <f t="shared" si="175"/>
        <v>1</v>
      </c>
      <c r="CI133" s="50">
        <f t="shared" si="176"/>
        <v>1</v>
      </c>
      <c r="CJ133" s="50">
        <f t="shared" si="177"/>
        <v>1</v>
      </c>
      <c r="CK133" s="50">
        <f t="shared" si="177"/>
        <v>0</v>
      </c>
      <c r="CL133" s="50">
        <f t="shared" si="177"/>
        <v>0</v>
      </c>
      <c r="CM133" s="51">
        <f t="shared" si="178"/>
        <v>0</v>
      </c>
      <c r="CN133" s="33">
        <f>ROUND(IF(BS133=0,0,HLOOKUP(BS$14,Villagers!$B$1:$V$33,BS133+3,FALSE)),)</f>
        <v>5</v>
      </c>
      <c r="CO133" s="14">
        <f>ROUND(IF(BT133=0,0,HLOOKUP(BT$14,Villagers!$B$1:$V$33,BT133+3,FALSE)),)</f>
        <v>0</v>
      </c>
      <c r="CP133" s="14">
        <f>ROUND(IF(BU133=0,0,HLOOKUP(BU$14,Villagers!$B$1:$V$33,BU133+3,FALSE)),)</f>
        <v>0</v>
      </c>
      <c r="CQ133" s="14">
        <f>ROUND(IF(BV133=0,0,HLOOKUP(BV$14,Villagers!$B$1:$V$33,BV133+3,FALSE)),)</f>
        <v>0</v>
      </c>
      <c r="CR133" s="14">
        <f>ROUND(IF(BW133=0,0,HLOOKUP(BW$14,Villagers!$B$1:$V$33,BW133+3,FALSE)),)</f>
        <v>0</v>
      </c>
      <c r="CS133" s="14">
        <f>ROUND(IF(BX133=0,0,HLOOKUP(BX$14,Villagers!$B$1:$V$33,BX133+3,FALSE)),)</f>
        <v>0</v>
      </c>
      <c r="CT133" s="14">
        <f>ROUND(IF(BY133=0,0,HLOOKUP(BY$14,Villagers!$B$1:$V$33,BY133+3,FALSE)),)</f>
        <v>0</v>
      </c>
      <c r="CU133" s="14">
        <f>ROUND(IF(BZ133=0,0,HLOOKUP(BZ$14,Villagers!$B$1:$V$33,BZ133+3,FALSE)),)</f>
        <v>0</v>
      </c>
      <c r="CV133" s="14">
        <f>ROUND(IF(CA133=0,0,HLOOKUP(CA$14,Villagers!$B$1:$V$33,CA133+3,FALSE)),)</f>
        <v>0</v>
      </c>
      <c r="CW133" s="14">
        <f>ROUND(IF(CB133=0,0,HLOOKUP(CB$14,Villagers!$B$1:$V$33,CB133+3,FALSE)),)</f>
        <v>0</v>
      </c>
      <c r="CX133" s="14">
        <f>ROUND(IF(CC133=0,0,HLOOKUP(CC$14,Villagers!$B$1:$V$33,CC133+3,FALSE)),)</f>
        <v>0</v>
      </c>
      <c r="CY133" s="14">
        <f>ROUND(IF(CD133=0,0,HLOOKUP(CD$14,Villagers!$B$1:$V$33,CD133+3,FALSE)),)</f>
        <v>0</v>
      </c>
      <c r="CZ133" s="14">
        <f>ROUND(IF(CE133=0,0,HLOOKUP(CE$14,Villagers!$B$1:$V$33,CE133+3,FALSE)),)</f>
        <v>5</v>
      </c>
      <c r="DA133" s="14">
        <f>ROUND(IF(CF133=0,0,HLOOKUP(CF$14,Villagers!$B$1:$V$33,CF133+3,FALSE)),)</f>
        <v>10</v>
      </c>
      <c r="DB133" s="14">
        <f>ROUND(IF(CG133=0,0,HLOOKUP(CG$14,Villagers!$B$1:$V$33,CG133+3,FALSE)),)</f>
        <v>10</v>
      </c>
      <c r="DC133" s="14">
        <f>ROUND(IF(CH133=0,0,HLOOKUP(CH$14,Villagers!$B$1:$V$33,CH133+3,FALSE)),)</f>
        <v>0</v>
      </c>
      <c r="DD133" s="14">
        <f>ROUND(IF(CI133=0,0,HLOOKUP(CI$14,Villagers!$B$1:$V$33,CI133+3,FALSE)),)</f>
        <v>0</v>
      </c>
      <c r="DE133" s="14">
        <f>ROUND(IF(CJ133=0,0,HLOOKUP(CJ$14,Villagers!$B$1:$V$33,CJ133+3,FALSE)),)</f>
        <v>2</v>
      </c>
      <c r="DF133" s="370">
        <f>ROUND(IF(CK133=0,0,HLOOKUP(CK$14,Villagers!$B$1:$V$33,CK133+3,FALSE)),)</f>
        <v>0</v>
      </c>
      <c r="DG133" s="370">
        <f>ROUND(IF(CL133=0,0,HLOOKUP(CL$14,Villagers!$B$1:$V$33,CL133+3,FALSE)),)</f>
        <v>0</v>
      </c>
      <c r="DH133" s="34">
        <f>ROUND(IF(CM133=0,0,HLOOKUP(CM$14,Villagers!$B$1:$V$33,CM133+3,FALSE)),)</f>
        <v>0</v>
      </c>
      <c r="DI133" s="109">
        <f t="shared" si="155"/>
        <v>0</v>
      </c>
      <c r="DJ133" s="50">
        <f t="shared" si="156"/>
        <v>0</v>
      </c>
      <c r="DK133" s="50">
        <f t="shared" si="157"/>
        <v>0</v>
      </c>
      <c r="DL133" s="50">
        <f t="shared" si="158"/>
        <v>0</v>
      </c>
      <c r="DM133" s="50">
        <f t="shared" si="159"/>
        <v>0</v>
      </c>
      <c r="DN133" s="50">
        <f t="shared" si="160"/>
        <v>0</v>
      </c>
      <c r="DO133" s="50">
        <f t="shared" si="161"/>
        <v>0</v>
      </c>
      <c r="DP133" s="50">
        <f t="shared" si="162"/>
        <v>0</v>
      </c>
      <c r="DQ133" s="50">
        <f t="shared" si="140"/>
        <v>0</v>
      </c>
      <c r="DR133" s="50">
        <f t="shared" si="141"/>
        <v>0</v>
      </c>
      <c r="DS133" s="96">
        <f>Miscelaneous!$D$4*Miscelaneous!$D$2^($CI133-1)</f>
        <v>1000</v>
      </c>
      <c r="DT133" s="333">
        <f t="shared" si="109"/>
        <v>1</v>
      </c>
      <c r="DU133" s="81">
        <v>1</v>
      </c>
      <c r="DV133" s="79">
        <f t="shared" si="142"/>
        <v>0</v>
      </c>
      <c r="DW133" s="79">
        <f t="shared" si="143"/>
        <v>0</v>
      </c>
      <c r="DX133" s="79">
        <f t="shared" si="144"/>
        <v>0</v>
      </c>
      <c r="DY133" s="79">
        <v>1</v>
      </c>
      <c r="DZ133" s="79">
        <f t="shared" si="145"/>
        <v>0</v>
      </c>
      <c r="EA133" s="79">
        <f t="shared" si="146"/>
        <v>0</v>
      </c>
      <c r="EB133" s="79">
        <f t="shared" si="147"/>
        <v>0</v>
      </c>
      <c r="EC133" s="79">
        <f t="shared" si="148"/>
        <v>0</v>
      </c>
      <c r="ED133" s="79">
        <v>1</v>
      </c>
      <c r="EE133" s="79">
        <v>1</v>
      </c>
      <c r="EF133" s="79">
        <f t="shared" si="149"/>
        <v>0</v>
      </c>
      <c r="EG133" s="79">
        <v>1</v>
      </c>
      <c r="EH133" s="79">
        <v>1</v>
      </c>
      <c r="EI133" s="79">
        <v>1</v>
      </c>
      <c r="EJ133" s="79">
        <v>1</v>
      </c>
      <c r="EK133" s="79">
        <v>1</v>
      </c>
      <c r="EL133" s="79">
        <v>1</v>
      </c>
      <c r="EM133" s="143">
        <f t="shared" si="150"/>
        <v>0</v>
      </c>
      <c r="EN133" s="143">
        <f t="shared" si="151"/>
        <v>0</v>
      </c>
      <c r="EO133" s="82">
        <f t="shared" si="152"/>
        <v>0</v>
      </c>
    </row>
    <row r="134" spans="1:145" x14ac:dyDescent="0.25">
      <c r="A134">
        <v>120</v>
      </c>
      <c r="B134" s="172" t="e">
        <f t="shared" si="110"/>
        <v>#N/A</v>
      </c>
      <c r="C134" s="121" t="e">
        <f t="shared" si="89"/>
        <v>#N/A</v>
      </c>
      <c r="D134" s="122" t="e">
        <f t="shared" si="90"/>
        <v>#N/A</v>
      </c>
      <c r="E134" s="122" t="e">
        <f t="shared" si="91"/>
        <v>#N/A</v>
      </c>
      <c r="F134" s="176" t="e">
        <f t="shared" si="92"/>
        <v>#N/A</v>
      </c>
      <c r="G134" s="121">
        <f t="shared" si="111"/>
        <v>208</v>
      </c>
      <c r="H134" s="176" t="e">
        <f t="shared" si="112"/>
        <v>#N/A</v>
      </c>
      <c r="I134" s="48">
        <v>1</v>
      </c>
      <c r="J134" s="39"/>
      <c r="K134" s="350">
        <v>1</v>
      </c>
      <c r="L134" s="34" t="e">
        <f t="shared" si="93"/>
        <v>#N/A</v>
      </c>
      <c r="M134" s="38" t="e">
        <f>(HLOOKUP(J134,'Construction Times'!$B$3:$W$34,L134+2,FALSE)*HLOOKUP("hq modifier",'Construction Times'!$W$3:$W$34,BS134+2,FALSE))*(1-$H$9)</f>
        <v>#N/A</v>
      </c>
      <c r="N134" s="443" t="e">
        <f t="shared" si="113"/>
        <v>#N/A</v>
      </c>
      <c r="O134" s="444"/>
      <c r="P134" s="447" t="e">
        <f t="shared" si="114"/>
        <v>#N/A</v>
      </c>
      <c r="Q134" s="448"/>
      <c r="R134" s="103">
        <f t="shared" si="153"/>
        <v>0</v>
      </c>
      <c r="S134" s="104">
        <f t="shared" si="153"/>
        <v>0</v>
      </c>
      <c r="T134" s="104">
        <f t="shared" si="154"/>
        <v>0</v>
      </c>
      <c r="U134" s="104">
        <f t="shared" si="154"/>
        <v>0</v>
      </c>
      <c r="V134" s="104">
        <f t="shared" si="154"/>
        <v>9.9999999999999995E-8</v>
      </c>
      <c r="W134" s="104">
        <f t="shared" si="154"/>
        <v>0</v>
      </c>
      <c r="X134" s="104">
        <f t="shared" si="185"/>
        <v>0</v>
      </c>
      <c r="Y134" s="104">
        <f t="shared" si="185"/>
        <v>9.9999999999999995E-8</v>
      </c>
      <c r="Z134" s="104">
        <f t="shared" si="185"/>
        <v>9.9999999999999995E-8</v>
      </c>
      <c r="AA134" s="105">
        <f t="shared" si="185"/>
        <v>9.9999999999999995E-8</v>
      </c>
      <c r="AB134" s="101" t="e">
        <f>$DT134*HLOOKUP($J134,'Construction Costs (timber)'!$B$1:$V$32,'Construction Planner'!$L134+2,FALSE)</f>
        <v>#N/A</v>
      </c>
      <c r="AC134" s="14" t="e">
        <f>$DT134*HLOOKUP($J134,'Construction Costs (clay)'!$B$1:$V$32,'Construction Planner'!$L134+2,FALSE)</f>
        <v>#N/A</v>
      </c>
      <c r="AD134" s="14" t="e">
        <f>$DT134*HLOOKUP($J134,'Construction Costs (iron)'!$B$1:$V$32,'Construction Planner'!$L134+2,FALSE)</f>
        <v>#N/A</v>
      </c>
      <c r="AE134" s="34" t="e">
        <f t="shared" si="163"/>
        <v>#N/A</v>
      </c>
      <c r="AF134" s="33" t="e">
        <f t="shared" si="94"/>
        <v>#N/A</v>
      </c>
      <c r="AG134" s="14" t="e">
        <f t="shared" si="95"/>
        <v>#N/A</v>
      </c>
      <c r="AH134" s="14" t="e">
        <f t="shared" si="96"/>
        <v>#N/A</v>
      </c>
      <c r="AI134" s="34" t="e">
        <f t="shared" si="164"/>
        <v>#N/A</v>
      </c>
      <c r="AJ134" s="49" t="e">
        <f t="shared" si="115"/>
        <v>#N/A</v>
      </c>
      <c r="AK134" s="49" t="e">
        <f t="shared" si="116"/>
        <v>#N/A</v>
      </c>
      <c r="AL134" s="49" t="e">
        <f t="shared" si="117"/>
        <v>#N/A</v>
      </c>
      <c r="AM134" s="25">
        <f t="shared" si="97"/>
        <v>30</v>
      </c>
      <c r="AN134" s="25">
        <f t="shared" si="98"/>
        <v>30</v>
      </c>
      <c r="AO134" s="25">
        <f t="shared" si="99"/>
        <v>30</v>
      </c>
      <c r="AP134" s="52" t="e">
        <f t="shared" si="118"/>
        <v>#N/A</v>
      </c>
      <c r="AQ134" s="53" t="e">
        <f t="shared" si="118"/>
        <v>#N/A</v>
      </c>
      <c r="AR134" s="54" t="e">
        <f t="shared" si="118"/>
        <v>#N/A</v>
      </c>
      <c r="AS134" s="316">
        <f t="shared" si="190"/>
        <v>0</v>
      </c>
      <c r="AT134" s="106">
        <f>_xlfn.IFNA($M134/VLOOKUP($BT134,'Unit information'!$A$2:$K$29,2,FALSE)*R134,0)*(1+$E$9)</f>
        <v>0</v>
      </c>
      <c r="AU134" s="107">
        <f>_xlfn.IFNA($M134/VLOOKUP($BT134,'Unit information'!$A$2:$K$29,3,FALSE)*S134,0)*(1+$E$9)</f>
        <v>0</v>
      </c>
      <c r="AV134" s="107">
        <f>_xlfn.IFNA($M134/VLOOKUP($BT134,'Unit information'!$A$2:$K$29,4,FALSE)*T134,0)*(1+$E$9)</f>
        <v>0</v>
      </c>
      <c r="AW134" s="107">
        <f>_xlfn.IFNA($M134/VLOOKUP($BT134,'Unit information'!$A$2:$K$29,5,FALSE)*U134,0)*(1+$E$9)</f>
        <v>0</v>
      </c>
      <c r="AX134" s="107">
        <f>_xlfn.IFNA($M134/VLOOKUP($BU134,'Unit information'!$A$2:$K$29,6,FALSE)*V134,0)*(1+$E$9)</f>
        <v>0</v>
      </c>
      <c r="AY134" s="107">
        <f>_xlfn.IFNA($M134/VLOOKUP($BU134,'Unit information'!$A$2:$K$29,7,FALSE)*W134,0)*(1+$E$9)</f>
        <v>0</v>
      </c>
      <c r="AZ134" s="107">
        <f>_xlfn.IFNA($M134/VLOOKUP($BU134,'Unit information'!$A$2:$K$29,8,FALSE)*X134,0)*(1+$E$9)</f>
        <v>0</v>
      </c>
      <c r="BA134" s="107">
        <f>_xlfn.IFNA($M134/VLOOKUP($BU134,'Unit information'!$A$2:$K$29,9,FALSE)*Y134,0)*(1+$E$9)</f>
        <v>0</v>
      </c>
      <c r="BB134" s="107">
        <f>_xlfn.IFNA($M134/VLOOKUP($BV134,'Unit information'!$A$2:$K$29,10,FALSE)*Z134,0)*(1+$E$9)</f>
        <v>0</v>
      </c>
      <c r="BC134" s="108">
        <f>_xlfn.IFNA($M134/VLOOKUP($BV134,'Unit information'!$A$2:$K$29,11,FALSE)*AA134,0)*(1+$E$9)</f>
        <v>0</v>
      </c>
      <c r="BD134" s="106">
        <f t="shared" si="100"/>
        <v>0</v>
      </c>
      <c r="BE134" s="107">
        <f t="shared" si="101"/>
        <v>0</v>
      </c>
      <c r="BF134" s="108">
        <f t="shared" si="102"/>
        <v>0</v>
      </c>
      <c r="BG134" s="25" t="e">
        <f t="shared" si="103"/>
        <v>#N/A</v>
      </c>
      <c r="BH134" s="25" t="e">
        <f t="shared" si="104"/>
        <v>#N/A</v>
      </c>
      <c r="BI134" s="25" t="e">
        <f t="shared" si="105"/>
        <v>#N/A</v>
      </c>
      <c r="BJ134" s="27" t="e">
        <f t="shared" si="106"/>
        <v>#N/A</v>
      </c>
      <c r="BK134" s="18" t="e">
        <f t="shared" si="107"/>
        <v>#N/A</v>
      </c>
      <c r="BL134" s="18" t="e">
        <f t="shared" si="108"/>
        <v>#N/A</v>
      </c>
      <c r="BM134" s="28" t="e">
        <f t="shared" si="166"/>
        <v>#N/A</v>
      </c>
      <c r="BN134" s="33">
        <f>HLOOKUP("maximum population",Miscelaneous!$C$1:$C$33,CH134+3,FALSE)</f>
        <v>240</v>
      </c>
      <c r="BO134" s="14">
        <f t="shared" si="119"/>
        <v>32</v>
      </c>
      <c r="BP134" s="14">
        <f t="shared" si="120"/>
        <v>0</v>
      </c>
      <c r="BQ134" s="14">
        <f t="shared" si="121"/>
        <v>208</v>
      </c>
      <c r="BR134" s="34" t="e">
        <f>HLOOKUP(J134,Villagers!$B$1:$V$33,L134+3,FALSE)-HLOOKUP(J134,Villagers!$B$1:$V$33,L134+2,FALSE)</f>
        <v>#N/A</v>
      </c>
      <c r="BS134" s="49">
        <f t="shared" si="122"/>
        <v>1</v>
      </c>
      <c r="BT134" s="50">
        <f t="shared" si="123"/>
        <v>0</v>
      </c>
      <c r="BU134" s="50">
        <f t="shared" si="124"/>
        <v>0</v>
      </c>
      <c r="BV134" s="50">
        <f t="shared" si="125"/>
        <v>0</v>
      </c>
      <c r="BW134" s="50">
        <f t="shared" si="189"/>
        <v>0</v>
      </c>
      <c r="BX134" s="50">
        <f t="shared" si="189"/>
        <v>0</v>
      </c>
      <c r="BY134" s="50">
        <f t="shared" si="189"/>
        <v>0</v>
      </c>
      <c r="BZ134" s="50">
        <f t="shared" si="167"/>
        <v>0</v>
      </c>
      <c r="CA134" s="50">
        <f t="shared" si="168"/>
        <v>0</v>
      </c>
      <c r="CB134" s="50">
        <f t="shared" si="169"/>
        <v>1</v>
      </c>
      <c r="CC134" s="50">
        <f t="shared" si="170"/>
        <v>0</v>
      </c>
      <c r="CD134" s="50">
        <f t="shared" si="171"/>
        <v>0</v>
      </c>
      <c r="CE134" s="50">
        <f t="shared" si="172"/>
        <v>1</v>
      </c>
      <c r="CF134" s="50">
        <f t="shared" si="173"/>
        <v>1</v>
      </c>
      <c r="CG134" s="50">
        <f t="shared" si="174"/>
        <v>1</v>
      </c>
      <c r="CH134" s="50">
        <f t="shared" si="175"/>
        <v>1</v>
      </c>
      <c r="CI134" s="50">
        <f t="shared" si="176"/>
        <v>1</v>
      </c>
      <c r="CJ134" s="50">
        <f t="shared" si="177"/>
        <v>1</v>
      </c>
      <c r="CK134" s="50">
        <f t="shared" si="177"/>
        <v>0</v>
      </c>
      <c r="CL134" s="50">
        <f t="shared" si="177"/>
        <v>0</v>
      </c>
      <c r="CM134" s="51">
        <f t="shared" si="178"/>
        <v>0</v>
      </c>
      <c r="CN134" s="33">
        <f>ROUND(IF(BS134=0,0,HLOOKUP(BS$14,Villagers!$B$1:$V$33,BS134+3,FALSE)),)</f>
        <v>5</v>
      </c>
      <c r="CO134" s="14">
        <f>ROUND(IF(BT134=0,0,HLOOKUP(BT$14,Villagers!$B$1:$V$33,BT134+3,FALSE)),)</f>
        <v>0</v>
      </c>
      <c r="CP134" s="14">
        <f>ROUND(IF(BU134=0,0,HLOOKUP(BU$14,Villagers!$B$1:$V$33,BU134+3,FALSE)),)</f>
        <v>0</v>
      </c>
      <c r="CQ134" s="14">
        <f>ROUND(IF(BV134=0,0,HLOOKUP(BV$14,Villagers!$B$1:$V$33,BV134+3,FALSE)),)</f>
        <v>0</v>
      </c>
      <c r="CR134" s="14">
        <f>ROUND(IF(BW134=0,0,HLOOKUP(BW$14,Villagers!$B$1:$V$33,BW134+3,FALSE)),)</f>
        <v>0</v>
      </c>
      <c r="CS134" s="14">
        <f>ROUND(IF(BX134=0,0,HLOOKUP(BX$14,Villagers!$B$1:$V$33,BX134+3,FALSE)),)</f>
        <v>0</v>
      </c>
      <c r="CT134" s="14">
        <f>ROUND(IF(BY134=0,0,HLOOKUP(BY$14,Villagers!$B$1:$V$33,BY134+3,FALSE)),)</f>
        <v>0</v>
      </c>
      <c r="CU134" s="14">
        <f>ROUND(IF(BZ134=0,0,HLOOKUP(BZ$14,Villagers!$B$1:$V$33,BZ134+3,FALSE)),)</f>
        <v>0</v>
      </c>
      <c r="CV134" s="14">
        <f>ROUND(IF(CA134=0,0,HLOOKUP(CA$14,Villagers!$B$1:$V$33,CA134+3,FALSE)),)</f>
        <v>0</v>
      </c>
      <c r="CW134" s="14">
        <f>ROUND(IF(CB134=0,0,HLOOKUP(CB$14,Villagers!$B$1:$V$33,CB134+3,FALSE)),)</f>
        <v>0</v>
      </c>
      <c r="CX134" s="14">
        <f>ROUND(IF(CC134=0,0,HLOOKUP(CC$14,Villagers!$B$1:$V$33,CC134+3,FALSE)),)</f>
        <v>0</v>
      </c>
      <c r="CY134" s="14">
        <f>ROUND(IF(CD134=0,0,HLOOKUP(CD$14,Villagers!$B$1:$V$33,CD134+3,FALSE)),)</f>
        <v>0</v>
      </c>
      <c r="CZ134" s="14">
        <f>ROUND(IF(CE134=0,0,HLOOKUP(CE$14,Villagers!$B$1:$V$33,CE134+3,FALSE)),)</f>
        <v>5</v>
      </c>
      <c r="DA134" s="14">
        <f>ROUND(IF(CF134=0,0,HLOOKUP(CF$14,Villagers!$B$1:$V$33,CF134+3,FALSE)),)</f>
        <v>10</v>
      </c>
      <c r="DB134" s="14">
        <f>ROUND(IF(CG134=0,0,HLOOKUP(CG$14,Villagers!$B$1:$V$33,CG134+3,FALSE)),)</f>
        <v>10</v>
      </c>
      <c r="DC134" s="14">
        <f>ROUND(IF(CH134=0,0,HLOOKUP(CH$14,Villagers!$B$1:$V$33,CH134+3,FALSE)),)</f>
        <v>0</v>
      </c>
      <c r="DD134" s="14">
        <f>ROUND(IF(CI134=0,0,HLOOKUP(CI$14,Villagers!$B$1:$V$33,CI134+3,FALSE)),)</f>
        <v>0</v>
      </c>
      <c r="DE134" s="14">
        <f>ROUND(IF(CJ134=0,0,HLOOKUP(CJ$14,Villagers!$B$1:$V$33,CJ134+3,FALSE)),)</f>
        <v>2</v>
      </c>
      <c r="DF134" s="370">
        <f>ROUND(IF(CK134=0,0,HLOOKUP(CK$14,Villagers!$B$1:$V$33,CK134+3,FALSE)),)</f>
        <v>0</v>
      </c>
      <c r="DG134" s="370">
        <f>ROUND(IF(CL134=0,0,HLOOKUP(CL$14,Villagers!$B$1:$V$33,CL134+3,FALSE)),)</f>
        <v>0</v>
      </c>
      <c r="DH134" s="34">
        <f>ROUND(IF(CM134=0,0,HLOOKUP(CM$14,Villagers!$B$1:$V$33,CM134+3,FALSE)),)</f>
        <v>0</v>
      </c>
      <c r="DI134" s="109">
        <f t="shared" si="155"/>
        <v>0</v>
      </c>
      <c r="DJ134" s="50">
        <f t="shared" si="156"/>
        <v>0</v>
      </c>
      <c r="DK134" s="50">
        <f t="shared" si="157"/>
        <v>0</v>
      </c>
      <c r="DL134" s="50">
        <f t="shared" si="158"/>
        <v>0</v>
      </c>
      <c r="DM134" s="50">
        <f t="shared" si="159"/>
        <v>0</v>
      </c>
      <c r="DN134" s="50">
        <f t="shared" si="160"/>
        <v>0</v>
      </c>
      <c r="DO134" s="50">
        <f t="shared" si="161"/>
        <v>0</v>
      </c>
      <c r="DP134" s="50">
        <f t="shared" si="162"/>
        <v>0</v>
      </c>
      <c r="DQ134" s="50">
        <f t="shared" si="140"/>
        <v>0</v>
      </c>
      <c r="DR134" s="50">
        <f t="shared" si="141"/>
        <v>0</v>
      </c>
      <c r="DS134" s="96">
        <f>Miscelaneous!$D$4*Miscelaneous!$D$2^($CI134-1)</f>
        <v>1000</v>
      </c>
      <c r="DT134" s="333">
        <f t="shared" si="109"/>
        <v>1</v>
      </c>
      <c r="DU134" s="81">
        <v>1</v>
      </c>
      <c r="DV134" s="79">
        <f t="shared" si="142"/>
        <v>0</v>
      </c>
      <c r="DW134" s="79">
        <f t="shared" si="143"/>
        <v>0</v>
      </c>
      <c r="DX134" s="79">
        <f t="shared" si="144"/>
        <v>0</v>
      </c>
      <c r="DY134" s="79">
        <v>1</v>
      </c>
      <c r="DZ134" s="79">
        <f t="shared" si="145"/>
        <v>0</v>
      </c>
      <c r="EA134" s="79">
        <f t="shared" si="146"/>
        <v>0</v>
      </c>
      <c r="EB134" s="79">
        <f t="shared" si="147"/>
        <v>0</v>
      </c>
      <c r="EC134" s="79">
        <f t="shared" si="148"/>
        <v>0</v>
      </c>
      <c r="ED134" s="79">
        <v>1</v>
      </c>
      <c r="EE134" s="79">
        <v>1</v>
      </c>
      <c r="EF134" s="79">
        <f t="shared" si="149"/>
        <v>0</v>
      </c>
      <c r="EG134" s="79">
        <v>1</v>
      </c>
      <c r="EH134" s="79">
        <v>1</v>
      </c>
      <c r="EI134" s="79">
        <v>1</v>
      </c>
      <c r="EJ134" s="79">
        <v>1</v>
      </c>
      <c r="EK134" s="79">
        <v>1</v>
      </c>
      <c r="EL134" s="79">
        <v>1</v>
      </c>
      <c r="EM134" s="143">
        <f t="shared" si="150"/>
        <v>0</v>
      </c>
      <c r="EN134" s="143">
        <f t="shared" si="151"/>
        <v>0</v>
      </c>
      <c r="EO134" s="82">
        <f t="shared" si="152"/>
        <v>0</v>
      </c>
    </row>
    <row r="135" spans="1:145" x14ac:dyDescent="0.25">
      <c r="A135">
        <v>121</v>
      </c>
      <c r="B135" s="172" t="e">
        <f t="shared" si="110"/>
        <v>#N/A</v>
      </c>
      <c r="C135" s="121" t="e">
        <f t="shared" si="89"/>
        <v>#N/A</v>
      </c>
      <c r="D135" s="122" t="e">
        <f t="shared" si="90"/>
        <v>#N/A</v>
      </c>
      <c r="E135" s="122" t="e">
        <f t="shared" si="91"/>
        <v>#N/A</v>
      </c>
      <c r="F135" s="176" t="e">
        <f t="shared" si="92"/>
        <v>#N/A</v>
      </c>
      <c r="G135" s="121">
        <f t="shared" si="111"/>
        <v>208</v>
      </c>
      <c r="H135" s="176" t="e">
        <f t="shared" si="112"/>
        <v>#N/A</v>
      </c>
      <c r="I135" s="48">
        <v>1</v>
      </c>
      <c r="J135" s="39"/>
      <c r="K135" s="350">
        <v>1</v>
      </c>
      <c r="L135" s="34" t="e">
        <f t="shared" si="93"/>
        <v>#N/A</v>
      </c>
      <c r="M135" s="38" t="e">
        <f>(HLOOKUP(J135,'Construction Times'!$B$3:$W$34,L135+2,FALSE)*HLOOKUP("hq modifier",'Construction Times'!$W$3:$W$34,BS135+2,FALSE))*(1-$H$9)</f>
        <v>#N/A</v>
      </c>
      <c r="N135" s="443" t="e">
        <f t="shared" si="113"/>
        <v>#N/A</v>
      </c>
      <c r="O135" s="444"/>
      <c r="P135" s="447" t="e">
        <f t="shared" si="114"/>
        <v>#N/A</v>
      </c>
      <c r="Q135" s="448"/>
      <c r="R135" s="103">
        <f t="shared" si="153"/>
        <v>0</v>
      </c>
      <c r="S135" s="104">
        <f t="shared" si="153"/>
        <v>0</v>
      </c>
      <c r="T135" s="104">
        <f t="shared" si="154"/>
        <v>0</v>
      </c>
      <c r="U135" s="104">
        <f t="shared" si="154"/>
        <v>0</v>
      </c>
      <c r="V135" s="104">
        <f t="shared" si="154"/>
        <v>9.9999999999999995E-8</v>
      </c>
      <c r="W135" s="104">
        <f t="shared" si="154"/>
        <v>0</v>
      </c>
      <c r="X135" s="104">
        <f t="shared" si="185"/>
        <v>0</v>
      </c>
      <c r="Y135" s="104">
        <f t="shared" si="185"/>
        <v>9.9999999999999995E-8</v>
      </c>
      <c r="Z135" s="104">
        <f t="shared" si="185"/>
        <v>9.9999999999999995E-8</v>
      </c>
      <c r="AA135" s="105">
        <f t="shared" si="185"/>
        <v>9.9999999999999995E-8</v>
      </c>
      <c r="AB135" s="101" t="e">
        <f>$DT135*HLOOKUP($J135,'Construction Costs (timber)'!$B$1:$V$32,'Construction Planner'!$L135+2,FALSE)</f>
        <v>#N/A</v>
      </c>
      <c r="AC135" s="14" t="e">
        <f>$DT135*HLOOKUP($J135,'Construction Costs (clay)'!$B$1:$V$32,'Construction Planner'!$L135+2,FALSE)</f>
        <v>#N/A</v>
      </c>
      <c r="AD135" s="14" t="e">
        <f>$DT135*HLOOKUP($J135,'Construction Costs (iron)'!$B$1:$V$32,'Construction Planner'!$L135+2,FALSE)</f>
        <v>#N/A</v>
      </c>
      <c r="AE135" s="34" t="e">
        <f t="shared" si="163"/>
        <v>#N/A</v>
      </c>
      <c r="AF135" s="33" t="e">
        <f t="shared" si="94"/>
        <v>#N/A</v>
      </c>
      <c r="AG135" s="14" t="e">
        <f t="shared" si="95"/>
        <v>#N/A</v>
      </c>
      <c r="AH135" s="14" t="e">
        <f t="shared" si="96"/>
        <v>#N/A</v>
      </c>
      <c r="AI135" s="34" t="e">
        <f t="shared" si="164"/>
        <v>#N/A</v>
      </c>
      <c r="AJ135" s="49" t="e">
        <f t="shared" si="115"/>
        <v>#N/A</v>
      </c>
      <c r="AK135" s="49" t="e">
        <f t="shared" si="116"/>
        <v>#N/A</v>
      </c>
      <c r="AL135" s="49" t="e">
        <f t="shared" si="117"/>
        <v>#N/A</v>
      </c>
      <c r="AM135" s="25">
        <f t="shared" si="97"/>
        <v>30</v>
      </c>
      <c r="AN135" s="25">
        <f t="shared" si="98"/>
        <v>30</v>
      </c>
      <c r="AO135" s="25">
        <f t="shared" si="99"/>
        <v>30</v>
      </c>
      <c r="AP135" s="52" t="e">
        <f t="shared" si="118"/>
        <v>#N/A</v>
      </c>
      <c r="AQ135" s="53" t="e">
        <f t="shared" si="118"/>
        <v>#N/A</v>
      </c>
      <c r="AR135" s="54" t="e">
        <f t="shared" si="118"/>
        <v>#N/A</v>
      </c>
      <c r="AS135" s="316">
        <f t="shared" si="190"/>
        <v>0</v>
      </c>
      <c r="AT135" s="106">
        <f>_xlfn.IFNA($M135/VLOOKUP($BT135,'Unit information'!$A$2:$K$29,2,FALSE)*R135,0)*(1+$E$9)</f>
        <v>0</v>
      </c>
      <c r="AU135" s="107">
        <f>_xlfn.IFNA($M135/VLOOKUP($BT135,'Unit information'!$A$2:$K$29,3,FALSE)*S135,0)*(1+$E$9)</f>
        <v>0</v>
      </c>
      <c r="AV135" s="107">
        <f>_xlfn.IFNA($M135/VLOOKUP($BT135,'Unit information'!$A$2:$K$29,4,FALSE)*T135,0)*(1+$E$9)</f>
        <v>0</v>
      </c>
      <c r="AW135" s="107">
        <f>_xlfn.IFNA($M135/VLOOKUP($BT135,'Unit information'!$A$2:$K$29,5,FALSE)*U135,0)*(1+$E$9)</f>
        <v>0</v>
      </c>
      <c r="AX135" s="107">
        <f>_xlfn.IFNA($M135/VLOOKUP($BU135,'Unit information'!$A$2:$K$29,6,FALSE)*V135,0)*(1+$E$9)</f>
        <v>0</v>
      </c>
      <c r="AY135" s="107">
        <f>_xlfn.IFNA($M135/VLOOKUP($BU135,'Unit information'!$A$2:$K$29,7,FALSE)*W135,0)*(1+$E$9)</f>
        <v>0</v>
      </c>
      <c r="AZ135" s="107">
        <f>_xlfn.IFNA($M135/VLOOKUP($BU135,'Unit information'!$A$2:$K$29,8,FALSE)*X135,0)*(1+$E$9)</f>
        <v>0</v>
      </c>
      <c r="BA135" s="107">
        <f>_xlfn.IFNA($M135/VLOOKUP($BU135,'Unit information'!$A$2:$K$29,9,FALSE)*Y135,0)*(1+$E$9)</f>
        <v>0</v>
      </c>
      <c r="BB135" s="107">
        <f>_xlfn.IFNA($M135/VLOOKUP($BV135,'Unit information'!$A$2:$K$29,10,FALSE)*Z135,0)*(1+$E$9)</f>
        <v>0</v>
      </c>
      <c r="BC135" s="108">
        <f>_xlfn.IFNA($M135/VLOOKUP($BV135,'Unit information'!$A$2:$K$29,11,FALSE)*AA135,0)*(1+$E$9)</f>
        <v>0</v>
      </c>
      <c r="BD135" s="106">
        <f t="shared" si="100"/>
        <v>0</v>
      </c>
      <c r="BE135" s="107">
        <f t="shared" si="101"/>
        <v>0</v>
      </c>
      <c r="BF135" s="108">
        <f t="shared" si="102"/>
        <v>0</v>
      </c>
      <c r="BG135" s="25" t="e">
        <f t="shared" si="103"/>
        <v>#N/A</v>
      </c>
      <c r="BH135" s="25" t="e">
        <f t="shared" si="104"/>
        <v>#N/A</v>
      </c>
      <c r="BI135" s="25" t="e">
        <f t="shared" si="105"/>
        <v>#N/A</v>
      </c>
      <c r="BJ135" s="27" t="e">
        <f t="shared" si="106"/>
        <v>#N/A</v>
      </c>
      <c r="BK135" s="18" t="e">
        <f t="shared" si="107"/>
        <v>#N/A</v>
      </c>
      <c r="BL135" s="18" t="e">
        <f t="shared" si="108"/>
        <v>#N/A</v>
      </c>
      <c r="BM135" s="28" t="e">
        <f t="shared" si="166"/>
        <v>#N/A</v>
      </c>
      <c r="BN135" s="33">
        <f>HLOOKUP("maximum population",Miscelaneous!$C$1:$C$33,CH135+3,FALSE)</f>
        <v>240</v>
      </c>
      <c r="BO135" s="14">
        <f t="shared" si="119"/>
        <v>32</v>
      </c>
      <c r="BP135" s="14">
        <f t="shared" si="120"/>
        <v>0</v>
      </c>
      <c r="BQ135" s="14">
        <f t="shared" si="121"/>
        <v>208</v>
      </c>
      <c r="BR135" s="34" t="e">
        <f>HLOOKUP(J135,Villagers!$B$1:$V$33,L135+3,FALSE)-HLOOKUP(J135,Villagers!$B$1:$V$33,L135+2,FALSE)</f>
        <v>#N/A</v>
      </c>
      <c r="BS135" s="49">
        <f t="shared" si="122"/>
        <v>1</v>
      </c>
      <c r="BT135" s="50">
        <f t="shared" si="123"/>
        <v>0</v>
      </c>
      <c r="BU135" s="50">
        <f t="shared" si="124"/>
        <v>0</v>
      </c>
      <c r="BV135" s="50">
        <f t="shared" si="125"/>
        <v>0</v>
      </c>
      <c r="BW135" s="50">
        <f>IF($J134=BW$14,$L134,BW134)</f>
        <v>0</v>
      </c>
      <c r="BX135" s="50">
        <f t="shared" ref="BX135:BY143" si="191">IF($J134=BX$14,$L134,BX134)</f>
        <v>0</v>
      </c>
      <c r="BY135" s="50">
        <f t="shared" si="191"/>
        <v>0</v>
      </c>
      <c r="BZ135" s="50">
        <f t="shared" si="167"/>
        <v>0</v>
      </c>
      <c r="CA135" s="50">
        <f t="shared" si="168"/>
        <v>0</v>
      </c>
      <c r="CB135" s="50">
        <f t="shared" si="169"/>
        <v>1</v>
      </c>
      <c r="CC135" s="50">
        <f t="shared" si="170"/>
        <v>0</v>
      </c>
      <c r="CD135" s="50">
        <f t="shared" si="171"/>
        <v>0</v>
      </c>
      <c r="CE135" s="50">
        <f t="shared" si="172"/>
        <v>1</v>
      </c>
      <c r="CF135" s="50">
        <f t="shared" si="173"/>
        <v>1</v>
      </c>
      <c r="CG135" s="50">
        <f t="shared" si="174"/>
        <v>1</v>
      </c>
      <c r="CH135" s="50">
        <f t="shared" si="175"/>
        <v>1</v>
      </c>
      <c r="CI135" s="50">
        <f t="shared" si="176"/>
        <v>1</v>
      </c>
      <c r="CJ135" s="50">
        <f t="shared" si="177"/>
        <v>1</v>
      </c>
      <c r="CK135" s="50">
        <f t="shared" si="177"/>
        <v>0</v>
      </c>
      <c r="CL135" s="50">
        <f t="shared" si="177"/>
        <v>0</v>
      </c>
      <c r="CM135" s="51">
        <f t="shared" si="178"/>
        <v>0</v>
      </c>
      <c r="CN135" s="33">
        <f>ROUND(IF(BS135=0,0,HLOOKUP(BS$14,Villagers!$B$1:$V$33,BS135+3,FALSE)),)</f>
        <v>5</v>
      </c>
      <c r="CO135" s="14">
        <f>ROUND(IF(BT135=0,0,HLOOKUP(BT$14,Villagers!$B$1:$V$33,BT135+3,FALSE)),)</f>
        <v>0</v>
      </c>
      <c r="CP135" s="14">
        <f>ROUND(IF(BU135=0,0,HLOOKUP(BU$14,Villagers!$B$1:$V$33,BU135+3,FALSE)),)</f>
        <v>0</v>
      </c>
      <c r="CQ135" s="14">
        <f>ROUND(IF(BV135=0,0,HLOOKUP(BV$14,Villagers!$B$1:$V$33,BV135+3,FALSE)),)</f>
        <v>0</v>
      </c>
      <c r="CR135" s="14">
        <f>ROUND(IF(BW135=0,0,HLOOKUP(BW$14,Villagers!$B$1:$V$33,BW135+3,FALSE)),)</f>
        <v>0</v>
      </c>
      <c r="CS135" s="14">
        <f>ROUND(IF(BX135=0,0,HLOOKUP(BX$14,Villagers!$B$1:$V$33,BX135+3,FALSE)),)</f>
        <v>0</v>
      </c>
      <c r="CT135" s="14">
        <f>ROUND(IF(BY135=0,0,HLOOKUP(BY$14,Villagers!$B$1:$V$33,BY135+3,FALSE)),)</f>
        <v>0</v>
      </c>
      <c r="CU135" s="14">
        <f>ROUND(IF(BZ135=0,0,HLOOKUP(BZ$14,Villagers!$B$1:$V$33,BZ135+3,FALSE)),)</f>
        <v>0</v>
      </c>
      <c r="CV135" s="14">
        <f>ROUND(IF(CA135=0,0,HLOOKUP(CA$14,Villagers!$B$1:$V$33,CA135+3,FALSE)),)</f>
        <v>0</v>
      </c>
      <c r="CW135" s="14">
        <f>ROUND(IF(CB135=0,0,HLOOKUP(CB$14,Villagers!$B$1:$V$33,CB135+3,FALSE)),)</f>
        <v>0</v>
      </c>
      <c r="CX135" s="14">
        <f>ROUND(IF(CC135=0,0,HLOOKUP(CC$14,Villagers!$B$1:$V$33,CC135+3,FALSE)),)</f>
        <v>0</v>
      </c>
      <c r="CY135" s="14">
        <f>ROUND(IF(CD135=0,0,HLOOKUP(CD$14,Villagers!$B$1:$V$33,CD135+3,FALSE)),)</f>
        <v>0</v>
      </c>
      <c r="CZ135" s="14">
        <f>ROUND(IF(CE135=0,0,HLOOKUP(CE$14,Villagers!$B$1:$V$33,CE135+3,FALSE)),)</f>
        <v>5</v>
      </c>
      <c r="DA135" s="14">
        <f>ROUND(IF(CF135=0,0,HLOOKUP(CF$14,Villagers!$B$1:$V$33,CF135+3,FALSE)),)</f>
        <v>10</v>
      </c>
      <c r="DB135" s="14">
        <f>ROUND(IF(CG135=0,0,HLOOKUP(CG$14,Villagers!$B$1:$V$33,CG135+3,FALSE)),)</f>
        <v>10</v>
      </c>
      <c r="DC135" s="14">
        <f>ROUND(IF(CH135=0,0,HLOOKUP(CH$14,Villagers!$B$1:$V$33,CH135+3,FALSE)),)</f>
        <v>0</v>
      </c>
      <c r="DD135" s="14">
        <f>ROUND(IF(CI135=0,0,HLOOKUP(CI$14,Villagers!$B$1:$V$33,CI135+3,FALSE)),)</f>
        <v>0</v>
      </c>
      <c r="DE135" s="14">
        <f>ROUND(IF(CJ135=0,0,HLOOKUP(CJ$14,Villagers!$B$1:$V$33,CJ135+3,FALSE)),)</f>
        <v>2</v>
      </c>
      <c r="DF135" s="370">
        <f>ROUND(IF(CK135=0,0,HLOOKUP(CK$14,Villagers!$B$1:$V$33,CK135+3,FALSE)),)</f>
        <v>0</v>
      </c>
      <c r="DG135" s="370">
        <f>ROUND(IF(CL135=0,0,HLOOKUP(CL$14,Villagers!$B$1:$V$33,CL135+3,FALSE)),)</f>
        <v>0</v>
      </c>
      <c r="DH135" s="34">
        <f>ROUND(IF(CM135=0,0,HLOOKUP(CM$14,Villagers!$B$1:$V$33,CM135+3,FALSE)),)</f>
        <v>0</v>
      </c>
      <c r="DI135" s="109">
        <f t="shared" si="155"/>
        <v>0</v>
      </c>
      <c r="DJ135" s="50">
        <f t="shared" si="156"/>
        <v>0</v>
      </c>
      <c r="DK135" s="50">
        <f t="shared" si="157"/>
        <v>0</v>
      </c>
      <c r="DL135" s="50">
        <f t="shared" si="158"/>
        <v>0</v>
      </c>
      <c r="DM135" s="50">
        <f t="shared" si="159"/>
        <v>0</v>
      </c>
      <c r="DN135" s="50">
        <f t="shared" si="160"/>
        <v>0</v>
      </c>
      <c r="DO135" s="50">
        <f t="shared" si="161"/>
        <v>0</v>
      </c>
      <c r="DP135" s="50">
        <f t="shared" si="162"/>
        <v>0</v>
      </c>
      <c r="DQ135" s="50">
        <f t="shared" si="140"/>
        <v>0</v>
      </c>
      <c r="DR135" s="50">
        <f t="shared" si="141"/>
        <v>0</v>
      </c>
      <c r="DS135" s="96">
        <f>Miscelaneous!$D$4*Miscelaneous!$D$2^($CI135-1)</f>
        <v>1000</v>
      </c>
      <c r="DT135" s="333">
        <f t="shared" si="109"/>
        <v>1</v>
      </c>
      <c r="DU135" s="81">
        <v>1</v>
      </c>
      <c r="DV135" s="79">
        <f t="shared" si="142"/>
        <v>0</v>
      </c>
      <c r="DW135" s="79">
        <f t="shared" si="143"/>
        <v>0</v>
      </c>
      <c r="DX135" s="79">
        <f t="shared" si="144"/>
        <v>0</v>
      </c>
      <c r="DY135" s="79">
        <v>1</v>
      </c>
      <c r="DZ135" s="79">
        <f t="shared" si="145"/>
        <v>0</v>
      </c>
      <c r="EA135" s="79">
        <f t="shared" si="146"/>
        <v>0</v>
      </c>
      <c r="EB135" s="79">
        <f t="shared" si="147"/>
        <v>0</v>
      </c>
      <c r="EC135" s="79">
        <f t="shared" si="148"/>
        <v>0</v>
      </c>
      <c r="ED135" s="79">
        <v>1</v>
      </c>
      <c r="EE135" s="79">
        <v>1</v>
      </c>
      <c r="EF135" s="79">
        <f t="shared" si="149"/>
        <v>0</v>
      </c>
      <c r="EG135" s="79">
        <v>1</v>
      </c>
      <c r="EH135" s="79">
        <v>1</v>
      </c>
      <c r="EI135" s="79">
        <v>1</v>
      </c>
      <c r="EJ135" s="79">
        <v>1</v>
      </c>
      <c r="EK135" s="79">
        <v>1</v>
      </c>
      <c r="EL135" s="79">
        <v>1</v>
      </c>
      <c r="EM135" s="143">
        <f t="shared" si="150"/>
        <v>0</v>
      </c>
      <c r="EN135" s="143">
        <f t="shared" si="151"/>
        <v>0</v>
      </c>
      <c r="EO135" s="82">
        <f t="shared" si="152"/>
        <v>0</v>
      </c>
    </row>
    <row r="136" spans="1:145" x14ac:dyDescent="0.25">
      <c r="A136">
        <v>122</v>
      </c>
      <c r="B136" s="172" t="e">
        <f t="shared" si="110"/>
        <v>#N/A</v>
      </c>
      <c r="C136" s="121" t="e">
        <f t="shared" si="89"/>
        <v>#N/A</v>
      </c>
      <c r="D136" s="122" t="e">
        <f t="shared" si="90"/>
        <v>#N/A</v>
      </c>
      <c r="E136" s="122" t="e">
        <f t="shared" si="91"/>
        <v>#N/A</v>
      </c>
      <c r="F136" s="176" t="e">
        <f t="shared" si="92"/>
        <v>#N/A</v>
      </c>
      <c r="G136" s="121">
        <f t="shared" si="111"/>
        <v>208</v>
      </c>
      <c r="H136" s="176" t="e">
        <f t="shared" si="112"/>
        <v>#N/A</v>
      </c>
      <c r="I136" s="48">
        <v>1</v>
      </c>
      <c r="J136" s="39"/>
      <c r="K136" s="350">
        <v>1</v>
      </c>
      <c r="L136" s="34" t="e">
        <f t="shared" si="93"/>
        <v>#N/A</v>
      </c>
      <c r="M136" s="38" t="e">
        <f>(HLOOKUP(J136,'Construction Times'!$B$3:$W$34,L136+2,FALSE)*HLOOKUP("hq modifier",'Construction Times'!$W$3:$W$34,BS136+2,FALSE))*(1-$H$9)</f>
        <v>#N/A</v>
      </c>
      <c r="N136" s="443" t="e">
        <f t="shared" si="113"/>
        <v>#N/A</v>
      </c>
      <c r="O136" s="444"/>
      <c r="P136" s="447" t="e">
        <f t="shared" si="114"/>
        <v>#N/A</v>
      </c>
      <c r="Q136" s="448"/>
      <c r="R136" s="103">
        <f t="shared" si="153"/>
        <v>0</v>
      </c>
      <c r="S136" s="104">
        <f t="shared" si="153"/>
        <v>0</v>
      </c>
      <c r="T136" s="104">
        <f t="shared" si="154"/>
        <v>0</v>
      </c>
      <c r="U136" s="104">
        <f t="shared" si="154"/>
        <v>0</v>
      </c>
      <c r="V136" s="104">
        <f t="shared" si="154"/>
        <v>9.9999999999999995E-8</v>
      </c>
      <c r="W136" s="104">
        <f t="shared" si="154"/>
        <v>0</v>
      </c>
      <c r="X136" s="104">
        <f t="shared" si="185"/>
        <v>0</v>
      </c>
      <c r="Y136" s="104">
        <f t="shared" si="185"/>
        <v>9.9999999999999995E-8</v>
      </c>
      <c r="Z136" s="104">
        <f t="shared" si="185"/>
        <v>9.9999999999999995E-8</v>
      </c>
      <c r="AA136" s="105">
        <f t="shared" si="185"/>
        <v>9.9999999999999995E-8</v>
      </c>
      <c r="AB136" s="101" t="e">
        <f>$DT136*HLOOKUP($J136,'Construction Costs (timber)'!$B$1:$V$32,'Construction Planner'!$L136+2,FALSE)</f>
        <v>#N/A</v>
      </c>
      <c r="AC136" s="14" t="e">
        <f>$DT136*HLOOKUP($J136,'Construction Costs (clay)'!$B$1:$V$32,'Construction Planner'!$L136+2,FALSE)</f>
        <v>#N/A</v>
      </c>
      <c r="AD136" s="14" t="e">
        <f>$DT136*HLOOKUP($J136,'Construction Costs (iron)'!$B$1:$V$32,'Construction Planner'!$L136+2,FALSE)</f>
        <v>#N/A</v>
      </c>
      <c r="AE136" s="34" t="e">
        <f t="shared" si="163"/>
        <v>#N/A</v>
      </c>
      <c r="AF136" s="33" t="e">
        <f t="shared" si="94"/>
        <v>#N/A</v>
      </c>
      <c r="AG136" s="14" t="e">
        <f t="shared" si="95"/>
        <v>#N/A</v>
      </c>
      <c r="AH136" s="14" t="e">
        <f t="shared" si="96"/>
        <v>#N/A</v>
      </c>
      <c r="AI136" s="34" t="e">
        <f t="shared" si="164"/>
        <v>#N/A</v>
      </c>
      <c r="AJ136" s="49" t="e">
        <f t="shared" si="115"/>
        <v>#N/A</v>
      </c>
      <c r="AK136" s="49" t="e">
        <f t="shared" si="116"/>
        <v>#N/A</v>
      </c>
      <c r="AL136" s="49" t="e">
        <f t="shared" si="117"/>
        <v>#N/A</v>
      </c>
      <c r="AM136" s="25">
        <f t="shared" si="97"/>
        <v>30</v>
      </c>
      <c r="AN136" s="25">
        <f t="shared" si="98"/>
        <v>30</v>
      </c>
      <c r="AO136" s="25">
        <f t="shared" si="99"/>
        <v>30</v>
      </c>
      <c r="AP136" s="52" t="e">
        <f t="shared" si="118"/>
        <v>#N/A</v>
      </c>
      <c r="AQ136" s="53" t="e">
        <f t="shared" si="118"/>
        <v>#N/A</v>
      </c>
      <c r="AR136" s="54" t="e">
        <f t="shared" si="118"/>
        <v>#N/A</v>
      </c>
      <c r="AS136" s="316">
        <f t="shared" si="190"/>
        <v>0</v>
      </c>
      <c r="AT136" s="106">
        <f>_xlfn.IFNA($M136/VLOOKUP($BT136,'Unit information'!$A$2:$K$29,2,FALSE)*R136,0)*(1+$E$9)</f>
        <v>0</v>
      </c>
      <c r="AU136" s="107">
        <f>_xlfn.IFNA($M136/VLOOKUP($BT136,'Unit information'!$A$2:$K$29,3,FALSE)*S136,0)*(1+$E$9)</f>
        <v>0</v>
      </c>
      <c r="AV136" s="107">
        <f>_xlfn.IFNA($M136/VLOOKUP($BT136,'Unit information'!$A$2:$K$29,4,FALSE)*T136,0)*(1+$E$9)</f>
        <v>0</v>
      </c>
      <c r="AW136" s="107">
        <f>_xlfn.IFNA($M136/VLOOKUP($BT136,'Unit information'!$A$2:$K$29,5,FALSE)*U136,0)*(1+$E$9)</f>
        <v>0</v>
      </c>
      <c r="AX136" s="107">
        <f>_xlfn.IFNA($M136/VLOOKUP($BU136,'Unit information'!$A$2:$K$29,6,FALSE)*V136,0)*(1+$E$9)</f>
        <v>0</v>
      </c>
      <c r="AY136" s="107">
        <f>_xlfn.IFNA($M136/VLOOKUP($BU136,'Unit information'!$A$2:$K$29,7,FALSE)*W136,0)*(1+$E$9)</f>
        <v>0</v>
      </c>
      <c r="AZ136" s="107">
        <f>_xlfn.IFNA($M136/VLOOKUP($BU136,'Unit information'!$A$2:$K$29,8,FALSE)*X136,0)*(1+$E$9)</f>
        <v>0</v>
      </c>
      <c r="BA136" s="107">
        <f>_xlfn.IFNA($M136/VLOOKUP($BU136,'Unit information'!$A$2:$K$29,9,FALSE)*Y136,0)*(1+$E$9)</f>
        <v>0</v>
      </c>
      <c r="BB136" s="107">
        <f>_xlfn.IFNA($M136/VLOOKUP($BV136,'Unit information'!$A$2:$K$29,10,FALSE)*Z136,0)*(1+$E$9)</f>
        <v>0</v>
      </c>
      <c r="BC136" s="108">
        <f>_xlfn.IFNA($M136/VLOOKUP($BV136,'Unit information'!$A$2:$K$29,11,FALSE)*AA136,0)*(1+$E$9)</f>
        <v>0</v>
      </c>
      <c r="BD136" s="106">
        <f t="shared" si="100"/>
        <v>0</v>
      </c>
      <c r="BE136" s="107">
        <f t="shared" si="101"/>
        <v>0</v>
      </c>
      <c r="BF136" s="108">
        <f t="shared" si="102"/>
        <v>0</v>
      </c>
      <c r="BG136" s="25" t="e">
        <f t="shared" si="103"/>
        <v>#N/A</v>
      </c>
      <c r="BH136" s="25" t="e">
        <f t="shared" si="104"/>
        <v>#N/A</v>
      </c>
      <c r="BI136" s="25" t="e">
        <f t="shared" si="105"/>
        <v>#N/A</v>
      </c>
      <c r="BJ136" s="27" t="e">
        <f t="shared" si="106"/>
        <v>#N/A</v>
      </c>
      <c r="BK136" s="18" t="e">
        <f t="shared" si="107"/>
        <v>#N/A</v>
      </c>
      <c r="BL136" s="18" t="e">
        <f t="shared" si="108"/>
        <v>#N/A</v>
      </c>
      <c r="BM136" s="28" t="e">
        <f t="shared" si="166"/>
        <v>#N/A</v>
      </c>
      <c r="BN136" s="33">
        <f>HLOOKUP("maximum population",Miscelaneous!$C$1:$C$33,CH136+3,FALSE)</f>
        <v>240</v>
      </c>
      <c r="BO136" s="14">
        <f t="shared" si="119"/>
        <v>32</v>
      </c>
      <c r="BP136" s="14">
        <f t="shared" si="120"/>
        <v>0</v>
      </c>
      <c r="BQ136" s="14">
        <f t="shared" si="121"/>
        <v>208</v>
      </c>
      <c r="BR136" s="34" t="e">
        <f>HLOOKUP(J136,Villagers!$B$1:$V$33,L136+3,FALSE)-HLOOKUP(J136,Villagers!$B$1:$V$33,L136+2,FALSE)</f>
        <v>#N/A</v>
      </c>
      <c r="BS136" s="49">
        <f t="shared" si="122"/>
        <v>1</v>
      </c>
      <c r="BT136" s="50">
        <f t="shared" si="123"/>
        <v>0</v>
      </c>
      <c r="BU136" s="50">
        <f t="shared" si="124"/>
        <v>0</v>
      </c>
      <c r="BV136" s="50">
        <f t="shared" si="125"/>
        <v>0</v>
      </c>
      <c r="BW136" s="50">
        <f t="shared" ref="BW136:BW143" si="192">IF($J135=BW$14,$L135,BW135)</f>
        <v>0</v>
      </c>
      <c r="BX136" s="50">
        <f t="shared" si="191"/>
        <v>0</v>
      </c>
      <c r="BY136" s="50">
        <f t="shared" si="191"/>
        <v>0</v>
      </c>
      <c r="BZ136" s="50">
        <f t="shared" si="167"/>
        <v>0</v>
      </c>
      <c r="CA136" s="50">
        <f t="shared" si="168"/>
        <v>0</v>
      </c>
      <c r="CB136" s="50">
        <f t="shared" si="169"/>
        <v>1</v>
      </c>
      <c r="CC136" s="50">
        <f t="shared" si="170"/>
        <v>0</v>
      </c>
      <c r="CD136" s="50">
        <f t="shared" si="171"/>
        <v>0</v>
      </c>
      <c r="CE136" s="50">
        <f t="shared" si="172"/>
        <v>1</v>
      </c>
      <c r="CF136" s="50">
        <f t="shared" si="173"/>
        <v>1</v>
      </c>
      <c r="CG136" s="50">
        <f t="shared" si="174"/>
        <v>1</v>
      </c>
      <c r="CH136" s="50">
        <f t="shared" si="175"/>
        <v>1</v>
      </c>
      <c r="CI136" s="50">
        <f t="shared" si="176"/>
        <v>1</v>
      </c>
      <c r="CJ136" s="50">
        <f t="shared" si="177"/>
        <v>1</v>
      </c>
      <c r="CK136" s="50">
        <f t="shared" si="177"/>
        <v>0</v>
      </c>
      <c r="CL136" s="50">
        <f t="shared" si="177"/>
        <v>0</v>
      </c>
      <c r="CM136" s="51">
        <f t="shared" si="178"/>
        <v>0</v>
      </c>
      <c r="CN136" s="33">
        <f>ROUND(IF(BS136=0,0,HLOOKUP(BS$14,Villagers!$B$1:$V$33,BS136+3,FALSE)),)</f>
        <v>5</v>
      </c>
      <c r="CO136" s="14">
        <f>ROUND(IF(BT136=0,0,HLOOKUP(BT$14,Villagers!$B$1:$V$33,BT136+3,FALSE)),)</f>
        <v>0</v>
      </c>
      <c r="CP136" s="14">
        <f>ROUND(IF(BU136=0,0,HLOOKUP(BU$14,Villagers!$B$1:$V$33,BU136+3,FALSE)),)</f>
        <v>0</v>
      </c>
      <c r="CQ136" s="14">
        <f>ROUND(IF(BV136=0,0,HLOOKUP(BV$14,Villagers!$B$1:$V$33,BV136+3,FALSE)),)</f>
        <v>0</v>
      </c>
      <c r="CR136" s="14">
        <f>ROUND(IF(BW136=0,0,HLOOKUP(BW$14,Villagers!$B$1:$V$33,BW136+3,FALSE)),)</f>
        <v>0</v>
      </c>
      <c r="CS136" s="14">
        <f>ROUND(IF(BX136=0,0,HLOOKUP(BX$14,Villagers!$B$1:$V$33,BX136+3,FALSE)),)</f>
        <v>0</v>
      </c>
      <c r="CT136" s="14">
        <f>ROUND(IF(BY136=0,0,HLOOKUP(BY$14,Villagers!$B$1:$V$33,BY136+3,FALSE)),)</f>
        <v>0</v>
      </c>
      <c r="CU136" s="14">
        <f>ROUND(IF(BZ136=0,0,HLOOKUP(BZ$14,Villagers!$B$1:$V$33,BZ136+3,FALSE)),)</f>
        <v>0</v>
      </c>
      <c r="CV136" s="14">
        <f>ROUND(IF(CA136=0,0,HLOOKUP(CA$14,Villagers!$B$1:$V$33,CA136+3,FALSE)),)</f>
        <v>0</v>
      </c>
      <c r="CW136" s="14">
        <f>ROUND(IF(CB136=0,0,HLOOKUP(CB$14,Villagers!$B$1:$V$33,CB136+3,FALSE)),)</f>
        <v>0</v>
      </c>
      <c r="CX136" s="14">
        <f>ROUND(IF(CC136=0,0,HLOOKUP(CC$14,Villagers!$B$1:$V$33,CC136+3,FALSE)),)</f>
        <v>0</v>
      </c>
      <c r="CY136" s="14">
        <f>ROUND(IF(CD136=0,0,HLOOKUP(CD$14,Villagers!$B$1:$V$33,CD136+3,FALSE)),)</f>
        <v>0</v>
      </c>
      <c r="CZ136" s="14">
        <f>ROUND(IF(CE136=0,0,HLOOKUP(CE$14,Villagers!$B$1:$V$33,CE136+3,FALSE)),)</f>
        <v>5</v>
      </c>
      <c r="DA136" s="14">
        <f>ROUND(IF(CF136=0,0,HLOOKUP(CF$14,Villagers!$B$1:$V$33,CF136+3,FALSE)),)</f>
        <v>10</v>
      </c>
      <c r="DB136" s="14">
        <f>ROUND(IF(CG136=0,0,HLOOKUP(CG$14,Villagers!$B$1:$V$33,CG136+3,FALSE)),)</f>
        <v>10</v>
      </c>
      <c r="DC136" s="14">
        <f>ROUND(IF(CH136=0,0,HLOOKUP(CH$14,Villagers!$B$1:$V$33,CH136+3,FALSE)),)</f>
        <v>0</v>
      </c>
      <c r="DD136" s="14">
        <f>ROUND(IF(CI136=0,0,HLOOKUP(CI$14,Villagers!$B$1:$V$33,CI136+3,FALSE)),)</f>
        <v>0</v>
      </c>
      <c r="DE136" s="14">
        <f>ROUND(IF(CJ136=0,0,HLOOKUP(CJ$14,Villagers!$B$1:$V$33,CJ136+3,FALSE)),)</f>
        <v>2</v>
      </c>
      <c r="DF136" s="370">
        <f>ROUND(IF(CK136=0,0,HLOOKUP(CK$14,Villagers!$B$1:$V$33,CK136+3,FALSE)),)</f>
        <v>0</v>
      </c>
      <c r="DG136" s="370">
        <f>ROUND(IF(CL136=0,0,HLOOKUP(CL$14,Villagers!$B$1:$V$33,CL136+3,FALSE)),)</f>
        <v>0</v>
      </c>
      <c r="DH136" s="34">
        <f>ROUND(IF(CM136=0,0,HLOOKUP(CM$14,Villagers!$B$1:$V$33,CM136+3,FALSE)),)</f>
        <v>0</v>
      </c>
      <c r="DI136" s="109">
        <f t="shared" si="155"/>
        <v>0</v>
      </c>
      <c r="DJ136" s="50">
        <f t="shared" si="156"/>
        <v>0</v>
      </c>
      <c r="DK136" s="50">
        <f t="shared" si="157"/>
        <v>0</v>
      </c>
      <c r="DL136" s="50">
        <f t="shared" si="158"/>
        <v>0</v>
      </c>
      <c r="DM136" s="50">
        <f t="shared" si="159"/>
        <v>0</v>
      </c>
      <c r="DN136" s="50">
        <f t="shared" si="160"/>
        <v>0</v>
      </c>
      <c r="DO136" s="50">
        <f t="shared" si="161"/>
        <v>0</v>
      </c>
      <c r="DP136" s="50">
        <f t="shared" si="162"/>
        <v>0</v>
      </c>
      <c r="DQ136" s="50">
        <f t="shared" si="140"/>
        <v>0</v>
      </c>
      <c r="DR136" s="50">
        <f t="shared" si="141"/>
        <v>0</v>
      </c>
      <c r="DS136" s="96">
        <f>Miscelaneous!$D$4*Miscelaneous!$D$2^($CI136-1)</f>
        <v>1000</v>
      </c>
      <c r="DT136" s="333">
        <f t="shared" si="109"/>
        <v>1</v>
      </c>
      <c r="DU136" s="81">
        <v>1</v>
      </c>
      <c r="DV136" s="79">
        <f t="shared" si="142"/>
        <v>0</v>
      </c>
      <c r="DW136" s="79">
        <f t="shared" si="143"/>
        <v>0</v>
      </c>
      <c r="DX136" s="79">
        <f t="shared" si="144"/>
        <v>0</v>
      </c>
      <c r="DY136" s="79">
        <v>1</v>
      </c>
      <c r="DZ136" s="79">
        <f t="shared" si="145"/>
        <v>0</v>
      </c>
      <c r="EA136" s="79">
        <f t="shared" si="146"/>
        <v>0</v>
      </c>
      <c r="EB136" s="79">
        <f t="shared" si="147"/>
        <v>0</v>
      </c>
      <c r="EC136" s="79">
        <f t="shared" si="148"/>
        <v>0</v>
      </c>
      <c r="ED136" s="79">
        <v>1</v>
      </c>
      <c r="EE136" s="79">
        <v>1</v>
      </c>
      <c r="EF136" s="79">
        <f t="shared" si="149"/>
        <v>0</v>
      </c>
      <c r="EG136" s="79">
        <v>1</v>
      </c>
      <c r="EH136" s="79">
        <v>1</v>
      </c>
      <c r="EI136" s="79">
        <v>1</v>
      </c>
      <c r="EJ136" s="79">
        <v>1</v>
      </c>
      <c r="EK136" s="79">
        <v>1</v>
      </c>
      <c r="EL136" s="79">
        <v>1</v>
      </c>
      <c r="EM136" s="143">
        <f t="shared" si="150"/>
        <v>0</v>
      </c>
      <c r="EN136" s="143">
        <f t="shared" si="151"/>
        <v>0</v>
      </c>
      <c r="EO136" s="82">
        <f t="shared" si="152"/>
        <v>0</v>
      </c>
    </row>
    <row r="137" spans="1:145" x14ac:dyDescent="0.25">
      <c r="A137">
        <v>123</v>
      </c>
      <c r="B137" s="172" t="e">
        <f t="shared" si="110"/>
        <v>#N/A</v>
      </c>
      <c r="C137" s="121" t="e">
        <f t="shared" si="89"/>
        <v>#N/A</v>
      </c>
      <c r="D137" s="122" t="e">
        <f t="shared" si="90"/>
        <v>#N/A</v>
      </c>
      <c r="E137" s="122" t="e">
        <f t="shared" si="91"/>
        <v>#N/A</v>
      </c>
      <c r="F137" s="176" t="e">
        <f t="shared" si="92"/>
        <v>#N/A</v>
      </c>
      <c r="G137" s="121">
        <f t="shared" si="111"/>
        <v>208</v>
      </c>
      <c r="H137" s="176" t="e">
        <f t="shared" si="112"/>
        <v>#N/A</v>
      </c>
      <c r="I137" s="48">
        <v>1</v>
      </c>
      <c r="J137" s="39"/>
      <c r="K137" s="350">
        <v>1</v>
      </c>
      <c r="L137" s="34" t="e">
        <f t="shared" si="93"/>
        <v>#N/A</v>
      </c>
      <c r="M137" s="38" t="e">
        <f>(HLOOKUP(J137,'Construction Times'!$B$3:$W$34,L137+2,FALSE)*HLOOKUP("hq modifier",'Construction Times'!$W$3:$W$34,BS137+2,FALSE))*(1-$H$9)</f>
        <v>#N/A</v>
      </c>
      <c r="N137" s="443" t="e">
        <f t="shared" si="113"/>
        <v>#N/A</v>
      </c>
      <c r="O137" s="444"/>
      <c r="P137" s="447" t="e">
        <f t="shared" si="114"/>
        <v>#N/A</v>
      </c>
      <c r="Q137" s="448"/>
      <c r="R137" s="103">
        <f t="shared" si="153"/>
        <v>0</v>
      </c>
      <c r="S137" s="104">
        <f t="shared" si="153"/>
        <v>0</v>
      </c>
      <c r="T137" s="104">
        <f t="shared" si="154"/>
        <v>0</v>
      </c>
      <c r="U137" s="104">
        <f t="shared" si="154"/>
        <v>0</v>
      </c>
      <c r="V137" s="104">
        <f t="shared" si="154"/>
        <v>9.9999999999999995E-8</v>
      </c>
      <c r="W137" s="104">
        <f t="shared" si="154"/>
        <v>0</v>
      </c>
      <c r="X137" s="104">
        <f t="shared" si="185"/>
        <v>0</v>
      </c>
      <c r="Y137" s="104">
        <f t="shared" si="185"/>
        <v>9.9999999999999995E-8</v>
      </c>
      <c r="Z137" s="104">
        <f t="shared" si="185"/>
        <v>9.9999999999999995E-8</v>
      </c>
      <c r="AA137" s="105">
        <f t="shared" si="185"/>
        <v>9.9999999999999995E-8</v>
      </c>
      <c r="AB137" s="101" t="e">
        <f>$DT137*HLOOKUP($J137,'Construction Costs (timber)'!$B$1:$V$32,'Construction Planner'!$L137+2,FALSE)</f>
        <v>#N/A</v>
      </c>
      <c r="AC137" s="14" t="e">
        <f>$DT137*HLOOKUP($J137,'Construction Costs (clay)'!$B$1:$V$32,'Construction Planner'!$L137+2,FALSE)</f>
        <v>#N/A</v>
      </c>
      <c r="AD137" s="14" t="e">
        <f>$DT137*HLOOKUP($J137,'Construction Costs (iron)'!$B$1:$V$32,'Construction Planner'!$L137+2,FALSE)</f>
        <v>#N/A</v>
      </c>
      <c r="AE137" s="34" t="e">
        <f t="shared" si="163"/>
        <v>#N/A</v>
      </c>
      <c r="AF137" s="33" t="e">
        <f t="shared" si="94"/>
        <v>#N/A</v>
      </c>
      <c r="AG137" s="14" t="e">
        <f t="shared" si="95"/>
        <v>#N/A</v>
      </c>
      <c r="AH137" s="14" t="e">
        <f t="shared" si="96"/>
        <v>#N/A</v>
      </c>
      <c r="AI137" s="34" t="e">
        <f t="shared" si="164"/>
        <v>#N/A</v>
      </c>
      <c r="AJ137" s="49" t="e">
        <f t="shared" si="115"/>
        <v>#N/A</v>
      </c>
      <c r="AK137" s="49" t="e">
        <f t="shared" si="116"/>
        <v>#N/A</v>
      </c>
      <c r="AL137" s="49" t="e">
        <f t="shared" si="117"/>
        <v>#N/A</v>
      </c>
      <c r="AM137" s="25">
        <f t="shared" si="97"/>
        <v>30</v>
      </c>
      <c r="AN137" s="25">
        <f t="shared" si="98"/>
        <v>30</v>
      </c>
      <c r="AO137" s="25">
        <f t="shared" si="99"/>
        <v>30</v>
      </c>
      <c r="AP137" s="52" t="e">
        <f t="shared" si="118"/>
        <v>#N/A</v>
      </c>
      <c r="AQ137" s="53" t="e">
        <f t="shared" si="118"/>
        <v>#N/A</v>
      </c>
      <c r="AR137" s="54" t="e">
        <f t="shared" si="118"/>
        <v>#N/A</v>
      </c>
      <c r="AS137" s="316">
        <f t="shared" si="190"/>
        <v>0</v>
      </c>
      <c r="AT137" s="106">
        <f>_xlfn.IFNA($M137/VLOOKUP($BT137,'Unit information'!$A$2:$K$29,2,FALSE)*R137,0)*(1+$E$9)</f>
        <v>0</v>
      </c>
      <c r="AU137" s="107">
        <f>_xlfn.IFNA($M137/VLOOKUP($BT137,'Unit information'!$A$2:$K$29,3,FALSE)*S137,0)*(1+$E$9)</f>
        <v>0</v>
      </c>
      <c r="AV137" s="107">
        <f>_xlfn.IFNA($M137/VLOOKUP($BT137,'Unit information'!$A$2:$K$29,4,FALSE)*T137,0)*(1+$E$9)</f>
        <v>0</v>
      </c>
      <c r="AW137" s="107">
        <f>_xlfn.IFNA($M137/VLOOKUP($BT137,'Unit information'!$A$2:$K$29,5,FALSE)*U137,0)*(1+$E$9)</f>
        <v>0</v>
      </c>
      <c r="AX137" s="107">
        <f>_xlfn.IFNA($M137/VLOOKUP($BU137,'Unit information'!$A$2:$K$29,6,FALSE)*V137,0)*(1+$E$9)</f>
        <v>0</v>
      </c>
      <c r="AY137" s="107">
        <f>_xlfn.IFNA($M137/VLOOKUP($BU137,'Unit information'!$A$2:$K$29,7,FALSE)*W137,0)*(1+$E$9)</f>
        <v>0</v>
      </c>
      <c r="AZ137" s="107">
        <f>_xlfn.IFNA($M137/VLOOKUP($BU137,'Unit information'!$A$2:$K$29,8,FALSE)*X137,0)*(1+$E$9)</f>
        <v>0</v>
      </c>
      <c r="BA137" s="107">
        <f>_xlfn.IFNA($M137/VLOOKUP($BU137,'Unit information'!$A$2:$K$29,9,FALSE)*Y137,0)*(1+$E$9)</f>
        <v>0</v>
      </c>
      <c r="BB137" s="107">
        <f>_xlfn.IFNA($M137/VLOOKUP($BV137,'Unit information'!$A$2:$K$29,10,FALSE)*Z137,0)*(1+$E$9)</f>
        <v>0</v>
      </c>
      <c r="BC137" s="108">
        <f>_xlfn.IFNA($M137/VLOOKUP($BV137,'Unit information'!$A$2:$K$29,11,FALSE)*AA137,0)*(1+$E$9)</f>
        <v>0</v>
      </c>
      <c r="BD137" s="106">
        <f t="shared" si="100"/>
        <v>0</v>
      </c>
      <c r="BE137" s="107">
        <f t="shared" si="101"/>
        <v>0</v>
      </c>
      <c r="BF137" s="108">
        <f t="shared" si="102"/>
        <v>0</v>
      </c>
      <c r="BG137" s="25" t="e">
        <f t="shared" si="103"/>
        <v>#N/A</v>
      </c>
      <c r="BH137" s="25" t="e">
        <f t="shared" si="104"/>
        <v>#N/A</v>
      </c>
      <c r="BI137" s="25" t="e">
        <f t="shared" si="105"/>
        <v>#N/A</v>
      </c>
      <c r="BJ137" s="27" t="e">
        <f t="shared" si="106"/>
        <v>#N/A</v>
      </c>
      <c r="BK137" s="18" t="e">
        <f t="shared" si="107"/>
        <v>#N/A</v>
      </c>
      <c r="BL137" s="18" t="e">
        <f t="shared" si="108"/>
        <v>#N/A</v>
      </c>
      <c r="BM137" s="28" t="e">
        <f t="shared" si="166"/>
        <v>#N/A</v>
      </c>
      <c r="BN137" s="33">
        <f>HLOOKUP("maximum population",Miscelaneous!$C$1:$C$33,CH137+3,FALSE)</f>
        <v>240</v>
      </c>
      <c r="BO137" s="14">
        <f t="shared" si="119"/>
        <v>32</v>
      </c>
      <c r="BP137" s="14">
        <f t="shared" si="120"/>
        <v>0</v>
      </c>
      <c r="BQ137" s="14">
        <f t="shared" si="121"/>
        <v>208</v>
      </c>
      <c r="BR137" s="34" t="e">
        <f>HLOOKUP(J137,Villagers!$B$1:$V$33,L137+3,FALSE)-HLOOKUP(J137,Villagers!$B$1:$V$33,L137+2,FALSE)</f>
        <v>#N/A</v>
      </c>
      <c r="BS137" s="49">
        <f t="shared" si="122"/>
        <v>1</v>
      </c>
      <c r="BT137" s="50">
        <f t="shared" si="123"/>
        <v>0</v>
      </c>
      <c r="BU137" s="50">
        <f t="shared" si="124"/>
        <v>0</v>
      </c>
      <c r="BV137" s="50">
        <f t="shared" si="125"/>
        <v>0</v>
      </c>
      <c r="BW137" s="50">
        <f t="shared" si="192"/>
        <v>0</v>
      </c>
      <c r="BX137" s="50">
        <f t="shared" si="191"/>
        <v>0</v>
      </c>
      <c r="BY137" s="50">
        <f t="shared" si="191"/>
        <v>0</v>
      </c>
      <c r="BZ137" s="50">
        <f t="shared" si="167"/>
        <v>0</v>
      </c>
      <c r="CA137" s="50">
        <f t="shared" si="168"/>
        <v>0</v>
      </c>
      <c r="CB137" s="50">
        <f t="shared" si="169"/>
        <v>1</v>
      </c>
      <c r="CC137" s="50">
        <f t="shared" si="170"/>
        <v>0</v>
      </c>
      <c r="CD137" s="50">
        <f t="shared" si="171"/>
        <v>0</v>
      </c>
      <c r="CE137" s="50">
        <f t="shared" si="172"/>
        <v>1</v>
      </c>
      <c r="CF137" s="50">
        <f t="shared" si="173"/>
        <v>1</v>
      </c>
      <c r="CG137" s="50">
        <f t="shared" si="174"/>
        <v>1</v>
      </c>
      <c r="CH137" s="50">
        <f t="shared" si="175"/>
        <v>1</v>
      </c>
      <c r="CI137" s="50">
        <f t="shared" si="176"/>
        <v>1</v>
      </c>
      <c r="CJ137" s="50">
        <f t="shared" si="177"/>
        <v>1</v>
      </c>
      <c r="CK137" s="50">
        <f t="shared" si="177"/>
        <v>0</v>
      </c>
      <c r="CL137" s="50">
        <f t="shared" si="177"/>
        <v>0</v>
      </c>
      <c r="CM137" s="51">
        <f t="shared" si="178"/>
        <v>0</v>
      </c>
      <c r="CN137" s="33">
        <f>ROUND(IF(BS137=0,0,HLOOKUP(BS$14,Villagers!$B$1:$V$33,BS137+3,FALSE)),)</f>
        <v>5</v>
      </c>
      <c r="CO137" s="14">
        <f>ROUND(IF(BT137=0,0,HLOOKUP(BT$14,Villagers!$B$1:$V$33,BT137+3,FALSE)),)</f>
        <v>0</v>
      </c>
      <c r="CP137" s="14">
        <f>ROUND(IF(BU137=0,0,HLOOKUP(BU$14,Villagers!$B$1:$V$33,BU137+3,FALSE)),)</f>
        <v>0</v>
      </c>
      <c r="CQ137" s="14">
        <f>ROUND(IF(BV137=0,0,HLOOKUP(BV$14,Villagers!$B$1:$V$33,BV137+3,FALSE)),)</f>
        <v>0</v>
      </c>
      <c r="CR137" s="14">
        <f>ROUND(IF(BW137=0,0,HLOOKUP(BW$14,Villagers!$B$1:$V$33,BW137+3,FALSE)),)</f>
        <v>0</v>
      </c>
      <c r="CS137" s="14">
        <f>ROUND(IF(BX137=0,0,HLOOKUP(BX$14,Villagers!$B$1:$V$33,BX137+3,FALSE)),)</f>
        <v>0</v>
      </c>
      <c r="CT137" s="14">
        <f>ROUND(IF(BY137=0,0,HLOOKUP(BY$14,Villagers!$B$1:$V$33,BY137+3,FALSE)),)</f>
        <v>0</v>
      </c>
      <c r="CU137" s="14">
        <f>ROUND(IF(BZ137=0,0,HLOOKUP(BZ$14,Villagers!$B$1:$V$33,BZ137+3,FALSE)),)</f>
        <v>0</v>
      </c>
      <c r="CV137" s="14">
        <f>ROUND(IF(CA137=0,0,HLOOKUP(CA$14,Villagers!$B$1:$V$33,CA137+3,FALSE)),)</f>
        <v>0</v>
      </c>
      <c r="CW137" s="14">
        <f>ROUND(IF(CB137=0,0,HLOOKUP(CB$14,Villagers!$B$1:$V$33,CB137+3,FALSE)),)</f>
        <v>0</v>
      </c>
      <c r="CX137" s="14">
        <f>ROUND(IF(CC137=0,0,HLOOKUP(CC$14,Villagers!$B$1:$V$33,CC137+3,FALSE)),)</f>
        <v>0</v>
      </c>
      <c r="CY137" s="14">
        <f>ROUND(IF(CD137=0,0,HLOOKUP(CD$14,Villagers!$B$1:$V$33,CD137+3,FALSE)),)</f>
        <v>0</v>
      </c>
      <c r="CZ137" s="14">
        <f>ROUND(IF(CE137=0,0,HLOOKUP(CE$14,Villagers!$B$1:$V$33,CE137+3,FALSE)),)</f>
        <v>5</v>
      </c>
      <c r="DA137" s="14">
        <f>ROUND(IF(CF137=0,0,HLOOKUP(CF$14,Villagers!$B$1:$V$33,CF137+3,FALSE)),)</f>
        <v>10</v>
      </c>
      <c r="DB137" s="14">
        <f>ROUND(IF(CG137=0,0,HLOOKUP(CG$14,Villagers!$B$1:$V$33,CG137+3,FALSE)),)</f>
        <v>10</v>
      </c>
      <c r="DC137" s="14">
        <f>ROUND(IF(CH137=0,0,HLOOKUP(CH$14,Villagers!$B$1:$V$33,CH137+3,FALSE)),)</f>
        <v>0</v>
      </c>
      <c r="DD137" s="14">
        <f>ROUND(IF(CI137=0,0,HLOOKUP(CI$14,Villagers!$B$1:$V$33,CI137+3,FALSE)),)</f>
        <v>0</v>
      </c>
      <c r="DE137" s="14">
        <f>ROUND(IF(CJ137=0,0,HLOOKUP(CJ$14,Villagers!$B$1:$V$33,CJ137+3,FALSE)),)</f>
        <v>2</v>
      </c>
      <c r="DF137" s="370">
        <f>ROUND(IF(CK137=0,0,HLOOKUP(CK$14,Villagers!$B$1:$V$33,CK137+3,FALSE)),)</f>
        <v>0</v>
      </c>
      <c r="DG137" s="370">
        <f>ROUND(IF(CL137=0,0,HLOOKUP(CL$14,Villagers!$B$1:$V$33,CL137+3,FALSE)),)</f>
        <v>0</v>
      </c>
      <c r="DH137" s="34">
        <f>ROUND(IF(CM137=0,0,HLOOKUP(CM$14,Villagers!$B$1:$V$33,CM137+3,FALSE)),)</f>
        <v>0</v>
      </c>
      <c r="DI137" s="109">
        <f t="shared" si="155"/>
        <v>0</v>
      </c>
      <c r="DJ137" s="50">
        <f t="shared" si="156"/>
        <v>0</v>
      </c>
      <c r="DK137" s="50">
        <f t="shared" si="157"/>
        <v>0</v>
      </c>
      <c r="DL137" s="50">
        <f t="shared" si="158"/>
        <v>0</v>
      </c>
      <c r="DM137" s="50">
        <f t="shared" si="159"/>
        <v>0</v>
      </c>
      <c r="DN137" s="50">
        <f t="shared" si="160"/>
        <v>0</v>
      </c>
      <c r="DO137" s="50">
        <f t="shared" si="161"/>
        <v>0</v>
      </c>
      <c r="DP137" s="50">
        <f t="shared" si="162"/>
        <v>0</v>
      </c>
      <c r="DQ137" s="50">
        <f t="shared" si="140"/>
        <v>0</v>
      </c>
      <c r="DR137" s="50">
        <f t="shared" si="141"/>
        <v>0</v>
      </c>
      <c r="DS137" s="96">
        <f>Miscelaneous!$D$4*Miscelaneous!$D$2^($CI137-1)</f>
        <v>1000</v>
      </c>
      <c r="DT137" s="333">
        <f t="shared" si="109"/>
        <v>1</v>
      </c>
      <c r="DU137" s="81">
        <v>1</v>
      </c>
      <c r="DV137" s="79">
        <f t="shared" si="142"/>
        <v>0</v>
      </c>
      <c r="DW137" s="79">
        <f t="shared" si="143"/>
        <v>0</v>
      </c>
      <c r="DX137" s="79">
        <f t="shared" si="144"/>
        <v>0</v>
      </c>
      <c r="DY137" s="79">
        <v>1</v>
      </c>
      <c r="DZ137" s="79">
        <f t="shared" si="145"/>
        <v>0</v>
      </c>
      <c r="EA137" s="79">
        <f t="shared" si="146"/>
        <v>0</v>
      </c>
      <c r="EB137" s="79">
        <f t="shared" si="147"/>
        <v>0</v>
      </c>
      <c r="EC137" s="79">
        <f t="shared" si="148"/>
        <v>0</v>
      </c>
      <c r="ED137" s="79">
        <v>1</v>
      </c>
      <c r="EE137" s="79">
        <v>1</v>
      </c>
      <c r="EF137" s="79">
        <f t="shared" si="149"/>
        <v>0</v>
      </c>
      <c r="EG137" s="79">
        <v>1</v>
      </c>
      <c r="EH137" s="79">
        <v>1</v>
      </c>
      <c r="EI137" s="79">
        <v>1</v>
      </c>
      <c r="EJ137" s="79">
        <v>1</v>
      </c>
      <c r="EK137" s="79">
        <v>1</v>
      </c>
      <c r="EL137" s="79">
        <v>1</v>
      </c>
      <c r="EM137" s="143">
        <f t="shared" si="150"/>
        <v>0</v>
      </c>
      <c r="EN137" s="143">
        <f t="shared" si="151"/>
        <v>0</v>
      </c>
      <c r="EO137" s="82">
        <f t="shared" si="152"/>
        <v>0</v>
      </c>
    </row>
    <row r="138" spans="1:145" x14ac:dyDescent="0.25">
      <c r="A138">
        <v>124</v>
      </c>
      <c r="B138" s="172" t="e">
        <f t="shared" si="110"/>
        <v>#N/A</v>
      </c>
      <c r="C138" s="121" t="e">
        <f t="shared" si="89"/>
        <v>#N/A</v>
      </c>
      <c r="D138" s="122" t="e">
        <f t="shared" si="90"/>
        <v>#N/A</v>
      </c>
      <c r="E138" s="122" t="e">
        <f t="shared" si="91"/>
        <v>#N/A</v>
      </c>
      <c r="F138" s="176" t="e">
        <f t="shared" si="92"/>
        <v>#N/A</v>
      </c>
      <c r="G138" s="121">
        <f t="shared" si="111"/>
        <v>208</v>
      </c>
      <c r="H138" s="176" t="e">
        <f t="shared" si="112"/>
        <v>#N/A</v>
      </c>
      <c r="I138" s="48">
        <v>1</v>
      </c>
      <c r="J138" s="39"/>
      <c r="K138" s="350">
        <v>1</v>
      </c>
      <c r="L138" s="34" t="e">
        <f t="shared" si="93"/>
        <v>#N/A</v>
      </c>
      <c r="M138" s="38" t="e">
        <f>(HLOOKUP(J138,'Construction Times'!$B$3:$W$34,L138+2,FALSE)*HLOOKUP("hq modifier",'Construction Times'!$W$3:$W$34,BS138+2,FALSE))*(1-$H$9)</f>
        <v>#N/A</v>
      </c>
      <c r="N138" s="443" t="e">
        <f t="shared" si="113"/>
        <v>#N/A</v>
      </c>
      <c r="O138" s="444"/>
      <c r="P138" s="447" t="e">
        <f t="shared" si="114"/>
        <v>#N/A</v>
      </c>
      <c r="Q138" s="448"/>
      <c r="R138" s="103">
        <f t="shared" si="153"/>
        <v>0</v>
      </c>
      <c r="S138" s="104">
        <f t="shared" si="153"/>
        <v>0</v>
      </c>
      <c r="T138" s="104">
        <f t="shared" si="154"/>
        <v>0</v>
      </c>
      <c r="U138" s="104">
        <f t="shared" si="154"/>
        <v>0</v>
      </c>
      <c r="V138" s="104">
        <f t="shared" si="154"/>
        <v>9.9999999999999995E-8</v>
      </c>
      <c r="W138" s="104">
        <f t="shared" si="154"/>
        <v>0</v>
      </c>
      <c r="X138" s="104">
        <f t="shared" si="185"/>
        <v>0</v>
      </c>
      <c r="Y138" s="104">
        <f t="shared" si="185"/>
        <v>9.9999999999999995E-8</v>
      </c>
      <c r="Z138" s="104">
        <f t="shared" si="185"/>
        <v>9.9999999999999995E-8</v>
      </c>
      <c r="AA138" s="105">
        <f t="shared" si="185"/>
        <v>9.9999999999999995E-8</v>
      </c>
      <c r="AB138" s="101" t="e">
        <f>$DT138*HLOOKUP($J138,'Construction Costs (timber)'!$B$1:$V$32,'Construction Planner'!$L138+2,FALSE)</f>
        <v>#N/A</v>
      </c>
      <c r="AC138" s="14" t="e">
        <f>$DT138*HLOOKUP($J138,'Construction Costs (clay)'!$B$1:$V$32,'Construction Planner'!$L138+2,FALSE)</f>
        <v>#N/A</v>
      </c>
      <c r="AD138" s="14" t="e">
        <f>$DT138*HLOOKUP($J138,'Construction Costs (iron)'!$B$1:$V$32,'Construction Planner'!$L138+2,FALSE)</f>
        <v>#N/A</v>
      </c>
      <c r="AE138" s="34" t="e">
        <f t="shared" si="163"/>
        <v>#N/A</v>
      </c>
      <c r="AF138" s="33" t="e">
        <f t="shared" si="94"/>
        <v>#N/A</v>
      </c>
      <c r="AG138" s="14" t="e">
        <f t="shared" si="95"/>
        <v>#N/A</v>
      </c>
      <c r="AH138" s="14" t="e">
        <f t="shared" si="96"/>
        <v>#N/A</v>
      </c>
      <c r="AI138" s="34" t="e">
        <f t="shared" si="164"/>
        <v>#N/A</v>
      </c>
      <c r="AJ138" s="49" t="e">
        <f t="shared" si="115"/>
        <v>#N/A</v>
      </c>
      <c r="AK138" s="49" t="e">
        <f t="shared" si="116"/>
        <v>#N/A</v>
      </c>
      <c r="AL138" s="49" t="e">
        <f t="shared" si="117"/>
        <v>#N/A</v>
      </c>
      <c r="AM138" s="25">
        <f t="shared" si="97"/>
        <v>30</v>
      </c>
      <c r="AN138" s="25">
        <f t="shared" si="98"/>
        <v>30</v>
      </c>
      <c r="AO138" s="25">
        <f t="shared" si="99"/>
        <v>30</v>
      </c>
      <c r="AP138" s="52" t="e">
        <f t="shared" si="118"/>
        <v>#N/A</v>
      </c>
      <c r="AQ138" s="53" t="e">
        <f t="shared" si="118"/>
        <v>#N/A</v>
      </c>
      <c r="AR138" s="54" t="e">
        <f t="shared" si="118"/>
        <v>#N/A</v>
      </c>
      <c r="AS138" s="316">
        <f t="shared" si="190"/>
        <v>0</v>
      </c>
      <c r="AT138" s="106">
        <f>_xlfn.IFNA($M138/VLOOKUP($BT138,'Unit information'!$A$2:$K$29,2,FALSE)*R138,0)*(1+$E$9)</f>
        <v>0</v>
      </c>
      <c r="AU138" s="107">
        <f>_xlfn.IFNA($M138/VLOOKUP($BT138,'Unit information'!$A$2:$K$29,3,FALSE)*S138,0)*(1+$E$9)</f>
        <v>0</v>
      </c>
      <c r="AV138" s="107">
        <f>_xlfn.IFNA($M138/VLOOKUP($BT138,'Unit information'!$A$2:$K$29,4,FALSE)*T138,0)*(1+$E$9)</f>
        <v>0</v>
      </c>
      <c r="AW138" s="107">
        <f>_xlfn.IFNA($M138/VLOOKUP($BT138,'Unit information'!$A$2:$K$29,5,FALSE)*U138,0)*(1+$E$9)</f>
        <v>0</v>
      </c>
      <c r="AX138" s="107">
        <f>_xlfn.IFNA($M138/VLOOKUP($BU138,'Unit information'!$A$2:$K$29,6,FALSE)*V138,0)*(1+$E$9)</f>
        <v>0</v>
      </c>
      <c r="AY138" s="107">
        <f>_xlfn.IFNA($M138/VLOOKUP($BU138,'Unit information'!$A$2:$K$29,7,FALSE)*W138,0)*(1+$E$9)</f>
        <v>0</v>
      </c>
      <c r="AZ138" s="107">
        <f>_xlfn.IFNA($M138/VLOOKUP($BU138,'Unit information'!$A$2:$K$29,8,FALSE)*X138,0)*(1+$E$9)</f>
        <v>0</v>
      </c>
      <c r="BA138" s="107">
        <f>_xlfn.IFNA($M138/VLOOKUP($BU138,'Unit information'!$A$2:$K$29,9,FALSE)*Y138,0)*(1+$E$9)</f>
        <v>0</v>
      </c>
      <c r="BB138" s="107">
        <f>_xlfn.IFNA($M138/VLOOKUP($BV138,'Unit information'!$A$2:$K$29,10,FALSE)*Z138,0)*(1+$E$9)</f>
        <v>0</v>
      </c>
      <c r="BC138" s="108">
        <f>_xlfn.IFNA($M138/VLOOKUP($BV138,'Unit information'!$A$2:$K$29,11,FALSE)*AA138,0)*(1+$E$9)</f>
        <v>0</v>
      </c>
      <c r="BD138" s="106">
        <f t="shared" si="100"/>
        <v>0</v>
      </c>
      <c r="BE138" s="107">
        <f t="shared" si="101"/>
        <v>0</v>
      </c>
      <c r="BF138" s="108">
        <f t="shared" si="102"/>
        <v>0</v>
      </c>
      <c r="BG138" s="25" t="e">
        <f t="shared" si="103"/>
        <v>#N/A</v>
      </c>
      <c r="BH138" s="25" t="e">
        <f t="shared" si="104"/>
        <v>#N/A</v>
      </c>
      <c r="BI138" s="25" t="e">
        <f t="shared" si="105"/>
        <v>#N/A</v>
      </c>
      <c r="BJ138" s="27" t="e">
        <f t="shared" si="106"/>
        <v>#N/A</v>
      </c>
      <c r="BK138" s="18" t="e">
        <f t="shared" si="107"/>
        <v>#N/A</v>
      </c>
      <c r="BL138" s="18" t="e">
        <f t="shared" si="108"/>
        <v>#N/A</v>
      </c>
      <c r="BM138" s="28" t="e">
        <f t="shared" si="166"/>
        <v>#N/A</v>
      </c>
      <c r="BN138" s="33">
        <f>HLOOKUP("maximum population",Miscelaneous!$C$1:$C$33,CH138+3,FALSE)</f>
        <v>240</v>
      </c>
      <c r="BO138" s="14">
        <f t="shared" si="119"/>
        <v>32</v>
      </c>
      <c r="BP138" s="14">
        <f t="shared" si="120"/>
        <v>0</v>
      </c>
      <c r="BQ138" s="14">
        <f t="shared" si="121"/>
        <v>208</v>
      </c>
      <c r="BR138" s="34" t="e">
        <f>HLOOKUP(J138,Villagers!$B$1:$V$33,L138+3,FALSE)-HLOOKUP(J138,Villagers!$B$1:$V$33,L138+2,FALSE)</f>
        <v>#N/A</v>
      </c>
      <c r="BS138" s="49">
        <f t="shared" si="122"/>
        <v>1</v>
      </c>
      <c r="BT138" s="50">
        <f t="shared" si="123"/>
        <v>0</v>
      </c>
      <c r="BU138" s="50">
        <f t="shared" si="124"/>
        <v>0</v>
      </c>
      <c r="BV138" s="50">
        <f t="shared" si="125"/>
        <v>0</v>
      </c>
      <c r="BW138" s="50">
        <f t="shared" si="192"/>
        <v>0</v>
      </c>
      <c r="BX138" s="50">
        <f t="shared" si="191"/>
        <v>0</v>
      </c>
      <c r="BY138" s="50">
        <f t="shared" si="191"/>
        <v>0</v>
      </c>
      <c r="BZ138" s="50">
        <f t="shared" si="167"/>
        <v>0</v>
      </c>
      <c r="CA138" s="50">
        <f t="shared" si="168"/>
        <v>0</v>
      </c>
      <c r="CB138" s="50">
        <f t="shared" si="169"/>
        <v>1</v>
      </c>
      <c r="CC138" s="50">
        <f t="shared" si="170"/>
        <v>0</v>
      </c>
      <c r="CD138" s="50">
        <f t="shared" si="171"/>
        <v>0</v>
      </c>
      <c r="CE138" s="50">
        <f t="shared" si="172"/>
        <v>1</v>
      </c>
      <c r="CF138" s="50">
        <f t="shared" si="173"/>
        <v>1</v>
      </c>
      <c r="CG138" s="50">
        <f t="shared" si="174"/>
        <v>1</v>
      </c>
      <c r="CH138" s="50">
        <f t="shared" si="175"/>
        <v>1</v>
      </c>
      <c r="CI138" s="50">
        <f t="shared" si="176"/>
        <v>1</v>
      </c>
      <c r="CJ138" s="50">
        <f t="shared" si="177"/>
        <v>1</v>
      </c>
      <c r="CK138" s="50">
        <f t="shared" si="177"/>
        <v>0</v>
      </c>
      <c r="CL138" s="50">
        <f t="shared" si="177"/>
        <v>0</v>
      </c>
      <c r="CM138" s="51">
        <f t="shared" si="178"/>
        <v>0</v>
      </c>
      <c r="CN138" s="33">
        <f>ROUND(IF(BS138=0,0,HLOOKUP(BS$14,Villagers!$B$1:$V$33,BS138+3,FALSE)),)</f>
        <v>5</v>
      </c>
      <c r="CO138" s="14">
        <f>ROUND(IF(BT138=0,0,HLOOKUP(BT$14,Villagers!$B$1:$V$33,BT138+3,FALSE)),)</f>
        <v>0</v>
      </c>
      <c r="CP138" s="14">
        <f>ROUND(IF(BU138=0,0,HLOOKUP(BU$14,Villagers!$B$1:$V$33,BU138+3,FALSE)),)</f>
        <v>0</v>
      </c>
      <c r="CQ138" s="14">
        <f>ROUND(IF(BV138=0,0,HLOOKUP(BV$14,Villagers!$B$1:$V$33,BV138+3,FALSE)),)</f>
        <v>0</v>
      </c>
      <c r="CR138" s="14">
        <f>ROUND(IF(BW138=0,0,HLOOKUP(BW$14,Villagers!$B$1:$V$33,BW138+3,FALSE)),)</f>
        <v>0</v>
      </c>
      <c r="CS138" s="14">
        <f>ROUND(IF(BX138=0,0,HLOOKUP(BX$14,Villagers!$B$1:$V$33,BX138+3,FALSE)),)</f>
        <v>0</v>
      </c>
      <c r="CT138" s="14">
        <f>ROUND(IF(BY138=0,0,HLOOKUP(BY$14,Villagers!$B$1:$V$33,BY138+3,FALSE)),)</f>
        <v>0</v>
      </c>
      <c r="CU138" s="14">
        <f>ROUND(IF(BZ138=0,0,HLOOKUP(BZ$14,Villagers!$B$1:$V$33,BZ138+3,FALSE)),)</f>
        <v>0</v>
      </c>
      <c r="CV138" s="14">
        <f>ROUND(IF(CA138=0,0,HLOOKUP(CA$14,Villagers!$B$1:$V$33,CA138+3,FALSE)),)</f>
        <v>0</v>
      </c>
      <c r="CW138" s="14">
        <f>ROUND(IF(CB138=0,0,HLOOKUP(CB$14,Villagers!$B$1:$V$33,CB138+3,FALSE)),)</f>
        <v>0</v>
      </c>
      <c r="CX138" s="14">
        <f>ROUND(IF(CC138=0,0,HLOOKUP(CC$14,Villagers!$B$1:$V$33,CC138+3,FALSE)),)</f>
        <v>0</v>
      </c>
      <c r="CY138" s="14">
        <f>ROUND(IF(CD138=0,0,HLOOKUP(CD$14,Villagers!$B$1:$V$33,CD138+3,FALSE)),)</f>
        <v>0</v>
      </c>
      <c r="CZ138" s="14">
        <f>ROUND(IF(CE138=0,0,HLOOKUP(CE$14,Villagers!$B$1:$V$33,CE138+3,FALSE)),)</f>
        <v>5</v>
      </c>
      <c r="DA138" s="14">
        <f>ROUND(IF(CF138=0,0,HLOOKUP(CF$14,Villagers!$B$1:$V$33,CF138+3,FALSE)),)</f>
        <v>10</v>
      </c>
      <c r="DB138" s="14">
        <f>ROUND(IF(CG138=0,0,HLOOKUP(CG$14,Villagers!$B$1:$V$33,CG138+3,FALSE)),)</f>
        <v>10</v>
      </c>
      <c r="DC138" s="14">
        <f>ROUND(IF(CH138=0,0,HLOOKUP(CH$14,Villagers!$B$1:$V$33,CH138+3,FALSE)),)</f>
        <v>0</v>
      </c>
      <c r="DD138" s="14">
        <f>ROUND(IF(CI138=0,0,HLOOKUP(CI$14,Villagers!$B$1:$V$33,CI138+3,FALSE)),)</f>
        <v>0</v>
      </c>
      <c r="DE138" s="14">
        <f>ROUND(IF(CJ138=0,0,HLOOKUP(CJ$14,Villagers!$B$1:$V$33,CJ138+3,FALSE)),)</f>
        <v>2</v>
      </c>
      <c r="DF138" s="370">
        <f>ROUND(IF(CK138=0,0,HLOOKUP(CK$14,Villagers!$B$1:$V$33,CK138+3,FALSE)),)</f>
        <v>0</v>
      </c>
      <c r="DG138" s="370">
        <f>ROUND(IF(CL138=0,0,HLOOKUP(CL$14,Villagers!$B$1:$V$33,CL138+3,FALSE)),)</f>
        <v>0</v>
      </c>
      <c r="DH138" s="34">
        <f>ROUND(IF(CM138=0,0,HLOOKUP(CM$14,Villagers!$B$1:$V$33,CM138+3,FALSE)),)</f>
        <v>0</v>
      </c>
      <c r="DI138" s="109">
        <f t="shared" si="155"/>
        <v>0</v>
      </c>
      <c r="DJ138" s="50">
        <f t="shared" si="156"/>
        <v>0</v>
      </c>
      <c r="DK138" s="50">
        <f t="shared" si="157"/>
        <v>0</v>
      </c>
      <c r="DL138" s="50">
        <f t="shared" si="158"/>
        <v>0</v>
      </c>
      <c r="DM138" s="50">
        <f t="shared" si="159"/>
        <v>0</v>
      </c>
      <c r="DN138" s="50">
        <f t="shared" si="160"/>
        <v>0</v>
      </c>
      <c r="DO138" s="50">
        <f t="shared" si="161"/>
        <v>0</v>
      </c>
      <c r="DP138" s="50">
        <f t="shared" si="162"/>
        <v>0</v>
      </c>
      <c r="DQ138" s="50">
        <f t="shared" si="140"/>
        <v>0</v>
      </c>
      <c r="DR138" s="50">
        <f t="shared" si="141"/>
        <v>0</v>
      </c>
      <c r="DS138" s="96">
        <f>Miscelaneous!$D$4*Miscelaneous!$D$2^($CI138-1)</f>
        <v>1000</v>
      </c>
      <c r="DT138" s="333">
        <f t="shared" si="109"/>
        <v>1</v>
      </c>
      <c r="DU138" s="81">
        <v>1</v>
      </c>
      <c r="DV138" s="79">
        <f t="shared" si="142"/>
        <v>0</v>
      </c>
      <c r="DW138" s="79">
        <f t="shared" si="143"/>
        <v>0</v>
      </c>
      <c r="DX138" s="79">
        <f t="shared" si="144"/>
        <v>0</v>
      </c>
      <c r="DY138" s="79">
        <v>1</v>
      </c>
      <c r="DZ138" s="79">
        <f t="shared" si="145"/>
        <v>0</v>
      </c>
      <c r="EA138" s="79">
        <f t="shared" si="146"/>
        <v>0</v>
      </c>
      <c r="EB138" s="79">
        <f t="shared" si="147"/>
        <v>0</v>
      </c>
      <c r="EC138" s="79">
        <f t="shared" si="148"/>
        <v>0</v>
      </c>
      <c r="ED138" s="79">
        <v>1</v>
      </c>
      <c r="EE138" s="79">
        <v>1</v>
      </c>
      <c r="EF138" s="79">
        <f t="shared" si="149"/>
        <v>0</v>
      </c>
      <c r="EG138" s="79">
        <v>1</v>
      </c>
      <c r="EH138" s="79">
        <v>1</v>
      </c>
      <c r="EI138" s="79">
        <v>1</v>
      </c>
      <c r="EJ138" s="79">
        <v>1</v>
      </c>
      <c r="EK138" s="79">
        <v>1</v>
      </c>
      <c r="EL138" s="79">
        <v>1</v>
      </c>
      <c r="EM138" s="143">
        <f t="shared" si="150"/>
        <v>0</v>
      </c>
      <c r="EN138" s="143">
        <f t="shared" si="151"/>
        <v>0</v>
      </c>
      <c r="EO138" s="82">
        <f t="shared" si="152"/>
        <v>0</v>
      </c>
    </row>
    <row r="139" spans="1:145" x14ac:dyDescent="0.25">
      <c r="A139">
        <v>125</v>
      </c>
      <c r="B139" s="172" t="e">
        <f t="shared" si="110"/>
        <v>#N/A</v>
      </c>
      <c r="C139" s="121" t="e">
        <f t="shared" si="89"/>
        <v>#N/A</v>
      </c>
      <c r="D139" s="122" t="e">
        <f t="shared" si="90"/>
        <v>#N/A</v>
      </c>
      <c r="E139" s="122" t="e">
        <f t="shared" si="91"/>
        <v>#N/A</v>
      </c>
      <c r="F139" s="176" t="e">
        <f t="shared" si="92"/>
        <v>#N/A</v>
      </c>
      <c r="G139" s="121">
        <f t="shared" si="111"/>
        <v>208</v>
      </c>
      <c r="H139" s="176" t="e">
        <f t="shared" si="112"/>
        <v>#N/A</v>
      </c>
      <c r="I139" s="48">
        <v>1</v>
      </c>
      <c r="J139" s="39"/>
      <c r="K139" s="350">
        <v>1</v>
      </c>
      <c r="L139" s="34" t="e">
        <f t="shared" si="93"/>
        <v>#N/A</v>
      </c>
      <c r="M139" s="38" t="e">
        <f>(HLOOKUP(J139,'Construction Times'!$B$3:$W$34,L139+2,FALSE)*HLOOKUP("hq modifier",'Construction Times'!$W$3:$W$34,BS139+2,FALSE))*(1-$H$9)</f>
        <v>#N/A</v>
      </c>
      <c r="N139" s="443" t="e">
        <f t="shared" si="113"/>
        <v>#N/A</v>
      </c>
      <c r="O139" s="444"/>
      <c r="P139" s="447" t="e">
        <f t="shared" si="114"/>
        <v>#N/A</v>
      </c>
      <c r="Q139" s="448"/>
      <c r="R139" s="103">
        <f t="shared" si="153"/>
        <v>0</v>
      </c>
      <c r="S139" s="104">
        <f t="shared" si="153"/>
        <v>0</v>
      </c>
      <c r="T139" s="104">
        <f t="shared" si="154"/>
        <v>0</v>
      </c>
      <c r="U139" s="104">
        <f t="shared" si="154"/>
        <v>0</v>
      </c>
      <c r="V139" s="104">
        <f t="shared" si="154"/>
        <v>9.9999999999999995E-8</v>
      </c>
      <c r="W139" s="104">
        <f t="shared" si="154"/>
        <v>0</v>
      </c>
      <c r="X139" s="104">
        <f t="shared" si="185"/>
        <v>0</v>
      </c>
      <c r="Y139" s="104">
        <f t="shared" si="185"/>
        <v>9.9999999999999995E-8</v>
      </c>
      <c r="Z139" s="104">
        <f t="shared" si="185"/>
        <v>9.9999999999999995E-8</v>
      </c>
      <c r="AA139" s="105">
        <f t="shared" si="185"/>
        <v>9.9999999999999995E-8</v>
      </c>
      <c r="AB139" s="101" t="e">
        <f>$DT139*HLOOKUP($J139,'Construction Costs (timber)'!$B$1:$V$32,'Construction Planner'!$L139+2,FALSE)</f>
        <v>#N/A</v>
      </c>
      <c r="AC139" s="14" t="e">
        <f>$DT139*HLOOKUP($J139,'Construction Costs (clay)'!$B$1:$V$32,'Construction Planner'!$L139+2,FALSE)</f>
        <v>#N/A</v>
      </c>
      <c r="AD139" s="14" t="e">
        <f>$DT139*HLOOKUP($J139,'Construction Costs (iron)'!$B$1:$V$32,'Construction Planner'!$L139+2,FALSE)</f>
        <v>#N/A</v>
      </c>
      <c r="AE139" s="34" t="e">
        <f t="shared" si="163"/>
        <v>#N/A</v>
      </c>
      <c r="AF139" s="33" t="e">
        <f t="shared" si="94"/>
        <v>#N/A</v>
      </c>
      <c r="AG139" s="14" t="e">
        <f t="shared" si="95"/>
        <v>#N/A</v>
      </c>
      <c r="AH139" s="14" t="e">
        <f t="shared" si="96"/>
        <v>#N/A</v>
      </c>
      <c r="AI139" s="34" t="e">
        <f t="shared" si="164"/>
        <v>#N/A</v>
      </c>
      <c r="AJ139" s="49" t="e">
        <f t="shared" si="115"/>
        <v>#N/A</v>
      </c>
      <c r="AK139" s="49" t="e">
        <f t="shared" si="116"/>
        <v>#N/A</v>
      </c>
      <c r="AL139" s="49" t="e">
        <f t="shared" si="117"/>
        <v>#N/A</v>
      </c>
      <c r="AM139" s="25">
        <f t="shared" si="97"/>
        <v>30</v>
      </c>
      <c r="AN139" s="25">
        <f t="shared" si="98"/>
        <v>30</v>
      </c>
      <c r="AO139" s="25">
        <f t="shared" si="99"/>
        <v>30</v>
      </c>
      <c r="AP139" s="52" t="e">
        <f t="shared" si="118"/>
        <v>#N/A</v>
      </c>
      <c r="AQ139" s="53" t="e">
        <f t="shared" si="118"/>
        <v>#N/A</v>
      </c>
      <c r="AR139" s="54" t="e">
        <f t="shared" si="118"/>
        <v>#N/A</v>
      </c>
      <c r="AS139" s="316">
        <f t="shared" si="190"/>
        <v>0</v>
      </c>
      <c r="AT139" s="106">
        <f>_xlfn.IFNA($M139/VLOOKUP($BT139,'Unit information'!$A$2:$K$29,2,FALSE)*R139,0)*(1+$E$9)</f>
        <v>0</v>
      </c>
      <c r="AU139" s="107">
        <f>_xlfn.IFNA($M139/VLOOKUP($BT139,'Unit information'!$A$2:$K$29,3,FALSE)*S139,0)*(1+$E$9)</f>
        <v>0</v>
      </c>
      <c r="AV139" s="107">
        <f>_xlfn.IFNA($M139/VLOOKUP($BT139,'Unit information'!$A$2:$K$29,4,FALSE)*T139,0)*(1+$E$9)</f>
        <v>0</v>
      </c>
      <c r="AW139" s="107">
        <f>_xlfn.IFNA($M139/VLOOKUP($BT139,'Unit information'!$A$2:$K$29,5,FALSE)*U139,0)*(1+$E$9)</f>
        <v>0</v>
      </c>
      <c r="AX139" s="107">
        <f>_xlfn.IFNA($M139/VLOOKUP($BU139,'Unit information'!$A$2:$K$29,6,FALSE)*V139,0)*(1+$E$9)</f>
        <v>0</v>
      </c>
      <c r="AY139" s="107">
        <f>_xlfn.IFNA($M139/VLOOKUP($BU139,'Unit information'!$A$2:$K$29,7,FALSE)*W139,0)*(1+$E$9)</f>
        <v>0</v>
      </c>
      <c r="AZ139" s="107">
        <f>_xlfn.IFNA($M139/VLOOKUP($BU139,'Unit information'!$A$2:$K$29,8,FALSE)*X139,0)*(1+$E$9)</f>
        <v>0</v>
      </c>
      <c r="BA139" s="107">
        <f>_xlfn.IFNA($M139/VLOOKUP($BU139,'Unit information'!$A$2:$K$29,9,FALSE)*Y139,0)*(1+$E$9)</f>
        <v>0</v>
      </c>
      <c r="BB139" s="107">
        <f>_xlfn.IFNA($M139/VLOOKUP($BV139,'Unit information'!$A$2:$K$29,10,FALSE)*Z139,0)*(1+$E$9)</f>
        <v>0</v>
      </c>
      <c r="BC139" s="108">
        <f>_xlfn.IFNA($M139/VLOOKUP($BV139,'Unit information'!$A$2:$K$29,11,FALSE)*AA139,0)*(1+$E$9)</f>
        <v>0</v>
      </c>
      <c r="BD139" s="106">
        <f t="shared" si="100"/>
        <v>0</v>
      </c>
      <c r="BE139" s="107">
        <f t="shared" si="101"/>
        <v>0</v>
      </c>
      <c r="BF139" s="108">
        <f t="shared" si="102"/>
        <v>0</v>
      </c>
      <c r="BG139" s="25" t="e">
        <f t="shared" si="103"/>
        <v>#N/A</v>
      </c>
      <c r="BH139" s="25" t="e">
        <f t="shared" si="104"/>
        <v>#N/A</v>
      </c>
      <c r="BI139" s="25" t="e">
        <f t="shared" si="105"/>
        <v>#N/A</v>
      </c>
      <c r="BJ139" s="27" t="e">
        <f t="shared" si="106"/>
        <v>#N/A</v>
      </c>
      <c r="BK139" s="18" t="e">
        <f t="shared" si="107"/>
        <v>#N/A</v>
      </c>
      <c r="BL139" s="18" t="e">
        <f t="shared" si="108"/>
        <v>#N/A</v>
      </c>
      <c r="BM139" s="28" t="e">
        <f t="shared" si="166"/>
        <v>#N/A</v>
      </c>
      <c r="BN139" s="33">
        <f>HLOOKUP("maximum population",Miscelaneous!$C$1:$C$33,CH139+3,FALSE)</f>
        <v>240</v>
      </c>
      <c r="BO139" s="14">
        <f t="shared" si="119"/>
        <v>32</v>
      </c>
      <c r="BP139" s="14">
        <f t="shared" si="120"/>
        <v>0</v>
      </c>
      <c r="BQ139" s="14">
        <f t="shared" si="121"/>
        <v>208</v>
      </c>
      <c r="BR139" s="34" t="e">
        <f>HLOOKUP(J139,Villagers!$B$1:$V$33,L139+3,FALSE)-HLOOKUP(J139,Villagers!$B$1:$V$33,L139+2,FALSE)</f>
        <v>#N/A</v>
      </c>
      <c r="BS139" s="49">
        <f t="shared" si="122"/>
        <v>1</v>
      </c>
      <c r="BT139" s="50">
        <f t="shared" si="123"/>
        <v>0</v>
      </c>
      <c r="BU139" s="50">
        <f t="shared" si="124"/>
        <v>0</v>
      </c>
      <c r="BV139" s="50">
        <f t="shared" si="125"/>
        <v>0</v>
      </c>
      <c r="BW139" s="50">
        <f t="shared" si="192"/>
        <v>0</v>
      </c>
      <c r="BX139" s="50">
        <f t="shared" si="191"/>
        <v>0</v>
      </c>
      <c r="BY139" s="50">
        <f t="shared" si="191"/>
        <v>0</v>
      </c>
      <c r="BZ139" s="50">
        <f t="shared" si="167"/>
        <v>0</v>
      </c>
      <c r="CA139" s="50">
        <f t="shared" si="168"/>
        <v>0</v>
      </c>
      <c r="CB139" s="50">
        <f t="shared" si="169"/>
        <v>1</v>
      </c>
      <c r="CC139" s="50">
        <f t="shared" si="170"/>
        <v>0</v>
      </c>
      <c r="CD139" s="50">
        <f t="shared" si="171"/>
        <v>0</v>
      </c>
      <c r="CE139" s="50">
        <f t="shared" si="172"/>
        <v>1</v>
      </c>
      <c r="CF139" s="50">
        <f t="shared" si="173"/>
        <v>1</v>
      </c>
      <c r="CG139" s="50">
        <f t="shared" si="174"/>
        <v>1</v>
      </c>
      <c r="CH139" s="50">
        <f t="shared" si="175"/>
        <v>1</v>
      </c>
      <c r="CI139" s="50">
        <f t="shared" si="176"/>
        <v>1</v>
      </c>
      <c r="CJ139" s="50">
        <f t="shared" si="177"/>
        <v>1</v>
      </c>
      <c r="CK139" s="50">
        <f t="shared" si="177"/>
        <v>0</v>
      </c>
      <c r="CL139" s="50">
        <f t="shared" si="177"/>
        <v>0</v>
      </c>
      <c r="CM139" s="51">
        <f t="shared" si="178"/>
        <v>0</v>
      </c>
      <c r="CN139" s="33">
        <f>ROUND(IF(BS139=0,0,HLOOKUP(BS$14,Villagers!$B$1:$V$33,BS139+3,FALSE)),)</f>
        <v>5</v>
      </c>
      <c r="CO139" s="14">
        <f>ROUND(IF(BT139=0,0,HLOOKUP(BT$14,Villagers!$B$1:$V$33,BT139+3,FALSE)),)</f>
        <v>0</v>
      </c>
      <c r="CP139" s="14">
        <f>ROUND(IF(BU139=0,0,HLOOKUP(BU$14,Villagers!$B$1:$V$33,BU139+3,FALSE)),)</f>
        <v>0</v>
      </c>
      <c r="CQ139" s="14">
        <f>ROUND(IF(BV139=0,0,HLOOKUP(BV$14,Villagers!$B$1:$V$33,BV139+3,FALSE)),)</f>
        <v>0</v>
      </c>
      <c r="CR139" s="14">
        <f>ROUND(IF(BW139=0,0,HLOOKUP(BW$14,Villagers!$B$1:$V$33,BW139+3,FALSE)),)</f>
        <v>0</v>
      </c>
      <c r="CS139" s="14">
        <f>ROUND(IF(BX139=0,0,HLOOKUP(BX$14,Villagers!$B$1:$V$33,BX139+3,FALSE)),)</f>
        <v>0</v>
      </c>
      <c r="CT139" s="14">
        <f>ROUND(IF(BY139=0,0,HLOOKUP(BY$14,Villagers!$B$1:$V$33,BY139+3,FALSE)),)</f>
        <v>0</v>
      </c>
      <c r="CU139" s="14">
        <f>ROUND(IF(BZ139=0,0,HLOOKUP(BZ$14,Villagers!$B$1:$V$33,BZ139+3,FALSE)),)</f>
        <v>0</v>
      </c>
      <c r="CV139" s="14">
        <f>ROUND(IF(CA139=0,0,HLOOKUP(CA$14,Villagers!$B$1:$V$33,CA139+3,FALSE)),)</f>
        <v>0</v>
      </c>
      <c r="CW139" s="14">
        <f>ROUND(IF(CB139=0,0,HLOOKUP(CB$14,Villagers!$B$1:$V$33,CB139+3,FALSE)),)</f>
        <v>0</v>
      </c>
      <c r="CX139" s="14">
        <f>ROUND(IF(CC139=0,0,HLOOKUP(CC$14,Villagers!$B$1:$V$33,CC139+3,FALSE)),)</f>
        <v>0</v>
      </c>
      <c r="CY139" s="14">
        <f>ROUND(IF(CD139=0,0,HLOOKUP(CD$14,Villagers!$B$1:$V$33,CD139+3,FALSE)),)</f>
        <v>0</v>
      </c>
      <c r="CZ139" s="14">
        <f>ROUND(IF(CE139=0,0,HLOOKUP(CE$14,Villagers!$B$1:$V$33,CE139+3,FALSE)),)</f>
        <v>5</v>
      </c>
      <c r="DA139" s="14">
        <f>ROUND(IF(CF139=0,0,HLOOKUP(CF$14,Villagers!$B$1:$V$33,CF139+3,FALSE)),)</f>
        <v>10</v>
      </c>
      <c r="DB139" s="14">
        <f>ROUND(IF(CG139=0,0,HLOOKUP(CG$14,Villagers!$B$1:$V$33,CG139+3,FALSE)),)</f>
        <v>10</v>
      </c>
      <c r="DC139" s="14">
        <f>ROUND(IF(CH139=0,0,HLOOKUP(CH$14,Villagers!$B$1:$V$33,CH139+3,FALSE)),)</f>
        <v>0</v>
      </c>
      <c r="DD139" s="14">
        <f>ROUND(IF(CI139=0,0,HLOOKUP(CI$14,Villagers!$B$1:$V$33,CI139+3,FALSE)),)</f>
        <v>0</v>
      </c>
      <c r="DE139" s="14">
        <f>ROUND(IF(CJ139=0,0,HLOOKUP(CJ$14,Villagers!$B$1:$V$33,CJ139+3,FALSE)),)</f>
        <v>2</v>
      </c>
      <c r="DF139" s="370">
        <f>ROUND(IF(CK139=0,0,HLOOKUP(CK$14,Villagers!$B$1:$V$33,CK139+3,FALSE)),)</f>
        <v>0</v>
      </c>
      <c r="DG139" s="370">
        <f>ROUND(IF(CL139=0,0,HLOOKUP(CL$14,Villagers!$B$1:$V$33,CL139+3,FALSE)),)</f>
        <v>0</v>
      </c>
      <c r="DH139" s="34">
        <f>ROUND(IF(CM139=0,0,HLOOKUP(CM$14,Villagers!$B$1:$V$33,CM139+3,FALSE)),)</f>
        <v>0</v>
      </c>
      <c r="DI139" s="109">
        <f t="shared" si="155"/>
        <v>0</v>
      </c>
      <c r="DJ139" s="50">
        <f t="shared" si="156"/>
        <v>0</v>
      </c>
      <c r="DK139" s="50">
        <f t="shared" si="157"/>
        <v>0</v>
      </c>
      <c r="DL139" s="50">
        <f t="shared" si="158"/>
        <v>0</v>
      </c>
      <c r="DM139" s="50">
        <f t="shared" si="159"/>
        <v>0</v>
      </c>
      <c r="DN139" s="50">
        <f t="shared" si="160"/>
        <v>0</v>
      </c>
      <c r="DO139" s="50">
        <f t="shared" si="161"/>
        <v>0</v>
      </c>
      <c r="DP139" s="50">
        <f t="shared" si="162"/>
        <v>0</v>
      </c>
      <c r="DQ139" s="50">
        <f t="shared" si="140"/>
        <v>0</v>
      </c>
      <c r="DR139" s="50">
        <f t="shared" si="141"/>
        <v>0</v>
      </c>
      <c r="DS139" s="96">
        <f>Miscelaneous!$D$4*Miscelaneous!$D$2^($CI139-1)</f>
        <v>1000</v>
      </c>
      <c r="DT139" s="333">
        <f t="shared" si="109"/>
        <v>1</v>
      </c>
      <c r="DU139" s="81">
        <v>1</v>
      </c>
      <c r="DV139" s="79">
        <f t="shared" si="142"/>
        <v>0</v>
      </c>
      <c r="DW139" s="79">
        <f t="shared" si="143"/>
        <v>0</v>
      </c>
      <c r="DX139" s="79">
        <f t="shared" si="144"/>
        <v>0</v>
      </c>
      <c r="DY139" s="79">
        <v>1</v>
      </c>
      <c r="DZ139" s="79">
        <f t="shared" si="145"/>
        <v>0</v>
      </c>
      <c r="EA139" s="79">
        <f t="shared" si="146"/>
        <v>0</v>
      </c>
      <c r="EB139" s="79">
        <f t="shared" si="147"/>
        <v>0</v>
      </c>
      <c r="EC139" s="79">
        <f t="shared" si="148"/>
        <v>0</v>
      </c>
      <c r="ED139" s="79">
        <v>1</v>
      </c>
      <c r="EE139" s="79">
        <v>1</v>
      </c>
      <c r="EF139" s="79">
        <f t="shared" si="149"/>
        <v>0</v>
      </c>
      <c r="EG139" s="79">
        <v>1</v>
      </c>
      <c r="EH139" s="79">
        <v>1</v>
      </c>
      <c r="EI139" s="79">
        <v>1</v>
      </c>
      <c r="EJ139" s="79">
        <v>1</v>
      </c>
      <c r="EK139" s="79">
        <v>1</v>
      </c>
      <c r="EL139" s="79">
        <v>1</v>
      </c>
      <c r="EM139" s="143">
        <f t="shared" si="150"/>
        <v>0</v>
      </c>
      <c r="EN139" s="143">
        <f t="shared" si="151"/>
        <v>0</v>
      </c>
      <c r="EO139" s="82">
        <f t="shared" si="152"/>
        <v>0</v>
      </c>
    </row>
    <row r="140" spans="1:145" x14ac:dyDescent="0.25">
      <c r="A140">
        <v>126</v>
      </c>
      <c r="B140" s="172" t="e">
        <f t="shared" si="110"/>
        <v>#N/A</v>
      </c>
      <c r="C140" s="121" t="e">
        <f t="shared" si="89"/>
        <v>#N/A</v>
      </c>
      <c r="D140" s="122" t="e">
        <f t="shared" si="90"/>
        <v>#N/A</v>
      </c>
      <c r="E140" s="122" t="e">
        <f t="shared" si="91"/>
        <v>#N/A</v>
      </c>
      <c r="F140" s="176" t="e">
        <f t="shared" si="92"/>
        <v>#N/A</v>
      </c>
      <c r="G140" s="121">
        <f t="shared" si="111"/>
        <v>208</v>
      </c>
      <c r="H140" s="176" t="e">
        <f t="shared" si="112"/>
        <v>#N/A</v>
      </c>
      <c r="I140" s="48">
        <v>1</v>
      </c>
      <c r="J140" s="39"/>
      <c r="K140" s="350">
        <v>1</v>
      </c>
      <c r="L140" s="34" t="e">
        <f t="shared" si="93"/>
        <v>#N/A</v>
      </c>
      <c r="M140" s="38" t="e">
        <f>(HLOOKUP(J140,'Construction Times'!$B$3:$W$34,L140+2,FALSE)*HLOOKUP("hq modifier",'Construction Times'!$W$3:$W$34,BS140+2,FALSE))*(1-$H$9)</f>
        <v>#N/A</v>
      </c>
      <c r="N140" s="443" t="e">
        <f t="shared" si="113"/>
        <v>#N/A</v>
      </c>
      <c r="O140" s="444"/>
      <c r="P140" s="447" t="e">
        <f t="shared" si="114"/>
        <v>#N/A</v>
      </c>
      <c r="Q140" s="448"/>
      <c r="R140" s="103">
        <f t="shared" si="153"/>
        <v>0</v>
      </c>
      <c r="S140" s="104">
        <f t="shared" si="153"/>
        <v>0</v>
      </c>
      <c r="T140" s="104">
        <f t="shared" si="154"/>
        <v>0</v>
      </c>
      <c r="U140" s="104">
        <f t="shared" si="154"/>
        <v>0</v>
      </c>
      <c r="V140" s="104">
        <f t="shared" si="154"/>
        <v>9.9999999999999995E-8</v>
      </c>
      <c r="W140" s="104">
        <f t="shared" si="154"/>
        <v>0</v>
      </c>
      <c r="X140" s="104">
        <f t="shared" si="185"/>
        <v>0</v>
      </c>
      <c r="Y140" s="104">
        <f t="shared" si="185"/>
        <v>9.9999999999999995E-8</v>
      </c>
      <c r="Z140" s="104">
        <f t="shared" si="185"/>
        <v>9.9999999999999995E-8</v>
      </c>
      <c r="AA140" s="105">
        <f t="shared" si="185"/>
        <v>9.9999999999999995E-8</v>
      </c>
      <c r="AB140" s="101" t="e">
        <f>$DT140*HLOOKUP($J140,'Construction Costs (timber)'!$B$1:$V$32,'Construction Planner'!$L140+2,FALSE)</f>
        <v>#N/A</v>
      </c>
      <c r="AC140" s="14" t="e">
        <f>$DT140*HLOOKUP($J140,'Construction Costs (clay)'!$B$1:$V$32,'Construction Planner'!$L140+2,FALSE)</f>
        <v>#N/A</v>
      </c>
      <c r="AD140" s="14" t="e">
        <f>$DT140*HLOOKUP($J140,'Construction Costs (iron)'!$B$1:$V$32,'Construction Planner'!$L140+2,FALSE)</f>
        <v>#N/A</v>
      </c>
      <c r="AE140" s="34" t="e">
        <f t="shared" si="163"/>
        <v>#N/A</v>
      </c>
      <c r="AF140" s="33" t="e">
        <f t="shared" si="94"/>
        <v>#N/A</v>
      </c>
      <c r="AG140" s="14" t="e">
        <f t="shared" si="95"/>
        <v>#N/A</v>
      </c>
      <c r="AH140" s="14" t="e">
        <f t="shared" si="96"/>
        <v>#N/A</v>
      </c>
      <c r="AI140" s="34" t="e">
        <f t="shared" si="164"/>
        <v>#N/A</v>
      </c>
      <c r="AJ140" s="49" t="e">
        <f t="shared" si="115"/>
        <v>#N/A</v>
      </c>
      <c r="AK140" s="49" t="e">
        <f t="shared" si="116"/>
        <v>#N/A</v>
      </c>
      <c r="AL140" s="49" t="e">
        <f t="shared" si="117"/>
        <v>#N/A</v>
      </c>
      <c r="AM140" s="25">
        <f t="shared" si="97"/>
        <v>30</v>
      </c>
      <c r="AN140" s="25">
        <f t="shared" si="98"/>
        <v>30</v>
      </c>
      <c r="AO140" s="25">
        <f t="shared" si="99"/>
        <v>30</v>
      </c>
      <c r="AP140" s="52" t="e">
        <f t="shared" si="118"/>
        <v>#N/A</v>
      </c>
      <c r="AQ140" s="53" t="e">
        <f t="shared" si="118"/>
        <v>#N/A</v>
      </c>
      <c r="AR140" s="54" t="e">
        <f t="shared" si="118"/>
        <v>#N/A</v>
      </c>
      <c r="AS140" s="316">
        <f t="shared" si="190"/>
        <v>0</v>
      </c>
      <c r="AT140" s="106">
        <f>_xlfn.IFNA($M140/VLOOKUP($BT140,'Unit information'!$A$2:$K$29,2,FALSE)*R140,0)*(1+$E$9)</f>
        <v>0</v>
      </c>
      <c r="AU140" s="107">
        <f>_xlfn.IFNA($M140/VLOOKUP($BT140,'Unit information'!$A$2:$K$29,3,FALSE)*S140,0)*(1+$E$9)</f>
        <v>0</v>
      </c>
      <c r="AV140" s="107">
        <f>_xlfn.IFNA($M140/VLOOKUP($BT140,'Unit information'!$A$2:$K$29,4,FALSE)*T140,0)*(1+$E$9)</f>
        <v>0</v>
      </c>
      <c r="AW140" s="107">
        <f>_xlfn.IFNA($M140/VLOOKUP($BT140,'Unit information'!$A$2:$K$29,5,FALSE)*U140,0)*(1+$E$9)</f>
        <v>0</v>
      </c>
      <c r="AX140" s="107">
        <f>_xlfn.IFNA($M140/VLOOKUP($BU140,'Unit information'!$A$2:$K$29,6,FALSE)*V140,0)*(1+$E$9)</f>
        <v>0</v>
      </c>
      <c r="AY140" s="107">
        <f>_xlfn.IFNA($M140/VLOOKUP($BU140,'Unit information'!$A$2:$K$29,7,FALSE)*W140,0)*(1+$E$9)</f>
        <v>0</v>
      </c>
      <c r="AZ140" s="107">
        <f>_xlfn.IFNA($M140/VLOOKUP($BU140,'Unit information'!$A$2:$K$29,8,FALSE)*X140,0)*(1+$E$9)</f>
        <v>0</v>
      </c>
      <c r="BA140" s="107">
        <f>_xlfn.IFNA($M140/VLOOKUP($BU140,'Unit information'!$A$2:$K$29,9,FALSE)*Y140,0)*(1+$E$9)</f>
        <v>0</v>
      </c>
      <c r="BB140" s="107">
        <f>_xlfn.IFNA($M140/VLOOKUP($BV140,'Unit information'!$A$2:$K$29,10,FALSE)*Z140,0)*(1+$E$9)</f>
        <v>0</v>
      </c>
      <c r="BC140" s="108">
        <f>_xlfn.IFNA($M140/VLOOKUP($BV140,'Unit information'!$A$2:$K$29,11,FALSE)*AA140,0)*(1+$E$9)</f>
        <v>0</v>
      </c>
      <c r="BD140" s="106">
        <f t="shared" si="100"/>
        <v>0</v>
      </c>
      <c r="BE140" s="107">
        <f t="shared" si="101"/>
        <v>0</v>
      </c>
      <c r="BF140" s="108">
        <f t="shared" si="102"/>
        <v>0</v>
      </c>
      <c r="BG140" s="25" t="e">
        <f t="shared" si="103"/>
        <v>#N/A</v>
      </c>
      <c r="BH140" s="25" t="e">
        <f t="shared" si="104"/>
        <v>#N/A</v>
      </c>
      <c r="BI140" s="25" t="e">
        <f t="shared" si="105"/>
        <v>#N/A</v>
      </c>
      <c r="BJ140" s="27" t="e">
        <f t="shared" si="106"/>
        <v>#N/A</v>
      </c>
      <c r="BK140" s="18" t="e">
        <f t="shared" si="107"/>
        <v>#N/A</v>
      </c>
      <c r="BL140" s="18" t="e">
        <f t="shared" si="108"/>
        <v>#N/A</v>
      </c>
      <c r="BM140" s="28" t="e">
        <f t="shared" si="166"/>
        <v>#N/A</v>
      </c>
      <c r="BN140" s="33">
        <f>HLOOKUP("maximum population",Miscelaneous!$C$1:$C$33,CH140+3,FALSE)</f>
        <v>240</v>
      </c>
      <c r="BO140" s="14">
        <f t="shared" si="119"/>
        <v>32</v>
      </c>
      <c r="BP140" s="14">
        <f t="shared" si="120"/>
        <v>0</v>
      </c>
      <c r="BQ140" s="14">
        <f t="shared" si="121"/>
        <v>208</v>
      </c>
      <c r="BR140" s="34" t="e">
        <f>HLOOKUP(J140,Villagers!$B$1:$V$33,L140+3,FALSE)-HLOOKUP(J140,Villagers!$B$1:$V$33,L140+2,FALSE)</f>
        <v>#N/A</v>
      </c>
      <c r="BS140" s="49">
        <f t="shared" si="122"/>
        <v>1</v>
      </c>
      <c r="BT140" s="50">
        <f t="shared" si="123"/>
        <v>0</v>
      </c>
      <c r="BU140" s="50">
        <f t="shared" si="124"/>
        <v>0</v>
      </c>
      <c r="BV140" s="50">
        <f t="shared" si="125"/>
        <v>0</v>
      </c>
      <c r="BW140" s="50">
        <f t="shared" si="192"/>
        <v>0</v>
      </c>
      <c r="BX140" s="50">
        <f t="shared" si="191"/>
        <v>0</v>
      </c>
      <c r="BY140" s="50">
        <f t="shared" si="191"/>
        <v>0</v>
      </c>
      <c r="BZ140" s="50">
        <f t="shared" si="167"/>
        <v>0</v>
      </c>
      <c r="CA140" s="50">
        <f t="shared" si="168"/>
        <v>0</v>
      </c>
      <c r="CB140" s="50">
        <f t="shared" si="169"/>
        <v>1</v>
      </c>
      <c r="CC140" s="50">
        <f t="shared" si="170"/>
        <v>0</v>
      </c>
      <c r="CD140" s="50">
        <f t="shared" si="171"/>
        <v>0</v>
      </c>
      <c r="CE140" s="50">
        <f t="shared" si="172"/>
        <v>1</v>
      </c>
      <c r="CF140" s="50">
        <f t="shared" si="173"/>
        <v>1</v>
      </c>
      <c r="CG140" s="50">
        <f t="shared" si="174"/>
        <v>1</v>
      </c>
      <c r="CH140" s="50">
        <f t="shared" si="175"/>
        <v>1</v>
      </c>
      <c r="CI140" s="50">
        <f t="shared" si="176"/>
        <v>1</v>
      </c>
      <c r="CJ140" s="50">
        <f t="shared" si="177"/>
        <v>1</v>
      </c>
      <c r="CK140" s="50">
        <f t="shared" si="177"/>
        <v>0</v>
      </c>
      <c r="CL140" s="50">
        <f t="shared" si="177"/>
        <v>0</v>
      </c>
      <c r="CM140" s="51">
        <f t="shared" si="178"/>
        <v>0</v>
      </c>
      <c r="CN140" s="33">
        <f>ROUND(IF(BS140=0,0,HLOOKUP(BS$14,Villagers!$B$1:$V$33,BS140+3,FALSE)),)</f>
        <v>5</v>
      </c>
      <c r="CO140" s="14">
        <f>ROUND(IF(BT140=0,0,HLOOKUP(BT$14,Villagers!$B$1:$V$33,BT140+3,FALSE)),)</f>
        <v>0</v>
      </c>
      <c r="CP140" s="14">
        <f>ROUND(IF(BU140=0,0,HLOOKUP(BU$14,Villagers!$B$1:$V$33,BU140+3,FALSE)),)</f>
        <v>0</v>
      </c>
      <c r="CQ140" s="14">
        <f>ROUND(IF(BV140=0,0,HLOOKUP(BV$14,Villagers!$B$1:$V$33,BV140+3,FALSE)),)</f>
        <v>0</v>
      </c>
      <c r="CR140" s="14">
        <f>ROUND(IF(BW140=0,0,HLOOKUP(BW$14,Villagers!$B$1:$V$33,BW140+3,FALSE)),)</f>
        <v>0</v>
      </c>
      <c r="CS140" s="14">
        <f>ROUND(IF(BX140=0,0,HLOOKUP(BX$14,Villagers!$B$1:$V$33,BX140+3,FALSE)),)</f>
        <v>0</v>
      </c>
      <c r="CT140" s="14">
        <f>ROUND(IF(BY140=0,0,HLOOKUP(BY$14,Villagers!$B$1:$V$33,BY140+3,FALSE)),)</f>
        <v>0</v>
      </c>
      <c r="CU140" s="14">
        <f>ROUND(IF(BZ140=0,0,HLOOKUP(BZ$14,Villagers!$B$1:$V$33,BZ140+3,FALSE)),)</f>
        <v>0</v>
      </c>
      <c r="CV140" s="14">
        <f>ROUND(IF(CA140=0,0,HLOOKUP(CA$14,Villagers!$B$1:$V$33,CA140+3,FALSE)),)</f>
        <v>0</v>
      </c>
      <c r="CW140" s="14">
        <f>ROUND(IF(CB140=0,0,HLOOKUP(CB$14,Villagers!$B$1:$V$33,CB140+3,FALSE)),)</f>
        <v>0</v>
      </c>
      <c r="CX140" s="14">
        <f>ROUND(IF(CC140=0,0,HLOOKUP(CC$14,Villagers!$B$1:$V$33,CC140+3,FALSE)),)</f>
        <v>0</v>
      </c>
      <c r="CY140" s="14">
        <f>ROUND(IF(CD140=0,0,HLOOKUP(CD$14,Villagers!$B$1:$V$33,CD140+3,FALSE)),)</f>
        <v>0</v>
      </c>
      <c r="CZ140" s="14">
        <f>ROUND(IF(CE140=0,0,HLOOKUP(CE$14,Villagers!$B$1:$V$33,CE140+3,FALSE)),)</f>
        <v>5</v>
      </c>
      <c r="DA140" s="14">
        <f>ROUND(IF(CF140=0,0,HLOOKUP(CF$14,Villagers!$B$1:$V$33,CF140+3,FALSE)),)</f>
        <v>10</v>
      </c>
      <c r="DB140" s="14">
        <f>ROUND(IF(CG140=0,0,HLOOKUP(CG$14,Villagers!$B$1:$V$33,CG140+3,FALSE)),)</f>
        <v>10</v>
      </c>
      <c r="DC140" s="14">
        <f>ROUND(IF(CH140=0,0,HLOOKUP(CH$14,Villagers!$B$1:$V$33,CH140+3,FALSE)),)</f>
        <v>0</v>
      </c>
      <c r="DD140" s="14">
        <f>ROUND(IF(CI140=0,0,HLOOKUP(CI$14,Villagers!$B$1:$V$33,CI140+3,FALSE)),)</f>
        <v>0</v>
      </c>
      <c r="DE140" s="14">
        <f>ROUND(IF(CJ140=0,0,HLOOKUP(CJ$14,Villagers!$B$1:$V$33,CJ140+3,FALSE)),)</f>
        <v>2</v>
      </c>
      <c r="DF140" s="370">
        <f>ROUND(IF(CK140=0,0,HLOOKUP(CK$14,Villagers!$B$1:$V$33,CK140+3,FALSE)),)</f>
        <v>0</v>
      </c>
      <c r="DG140" s="370">
        <f>ROUND(IF(CL140=0,0,HLOOKUP(CL$14,Villagers!$B$1:$V$33,CL140+3,FALSE)),)</f>
        <v>0</v>
      </c>
      <c r="DH140" s="34">
        <f>ROUND(IF(CM140=0,0,HLOOKUP(CM$14,Villagers!$B$1:$V$33,CM140+3,FALSE)),)</f>
        <v>0</v>
      </c>
      <c r="DI140" s="109">
        <f t="shared" si="155"/>
        <v>0</v>
      </c>
      <c r="DJ140" s="50">
        <f t="shared" si="156"/>
        <v>0</v>
      </c>
      <c r="DK140" s="50">
        <f t="shared" si="157"/>
        <v>0</v>
      </c>
      <c r="DL140" s="50">
        <f t="shared" si="158"/>
        <v>0</v>
      </c>
      <c r="DM140" s="50">
        <f t="shared" si="159"/>
        <v>0</v>
      </c>
      <c r="DN140" s="50">
        <f t="shared" si="160"/>
        <v>0</v>
      </c>
      <c r="DO140" s="50">
        <f t="shared" si="161"/>
        <v>0</v>
      </c>
      <c r="DP140" s="50">
        <f t="shared" si="162"/>
        <v>0</v>
      </c>
      <c r="DQ140" s="50">
        <f t="shared" si="140"/>
        <v>0</v>
      </c>
      <c r="DR140" s="50">
        <f t="shared" si="141"/>
        <v>0</v>
      </c>
      <c r="DS140" s="96">
        <f>Miscelaneous!$D$4*Miscelaneous!$D$2^($CI140-1)</f>
        <v>1000</v>
      </c>
      <c r="DT140" s="333">
        <f t="shared" si="109"/>
        <v>1</v>
      </c>
      <c r="DU140" s="81">
        <v>1</v>
      </c>
      <c r="DV140" s="79">
        <f t="shared" si="142"/>
        <v>0</v>
      </c>
      <c r="DW140" s="79">
        <f t="shared" si="143"/>
        <v>0</v>
      </c>
      <c r="DX140" s="79">
        <f t="shared" si="144"/>
        <v>0</v>
      </c>
      <c r="DY140" s="79">
        <v>1</v>
      </c>
      <c r="DZ140" s="79">
        <f t="shared" si="145"/>
        <v>0</v>
      </c>
      <c r="EA140" s="79">
        <f t="shared" si="146"/>
        <v>0</v>
      </c>
      <c r="EB140" s="79">
        <f t="shared" si="147"/>
        <v>0</v>
      </c>
      <c r="EC140" s="79">
        <f t="shared" si="148"/>
        <v>0</v>
      </c>
      <c r="ED140" s="79">
        <v>1</v>
      </c>
      <c r="EE140" s="79">
        <v>1</v>
      </c>
      <c r="EF140" s="79">
        <f t="shared" si="149"/>
        <v>0</v>
      </c>
      <c r="EG140" s="79">
        <v>1</v>
      </c>
      <c r="EH140" s="79">
        <v>1</v>
      </c>
      <c r="EI140" s="79">
        <v>1</v>
      </c>
      <c r="EJ140" s="79">
        <v>1</v>
      </c>
      <c r="EK140" s="79">
        <v>1</v>
      </c>
      <c r="EL140" s="79">
        <v>1</v>
      </c>
      <c r="EM140" s="143">
        <f t="shared" si="150"/>
        <v>0</v>
      </c>
      <c r="EN140" s="143">
        <f t="shared" si="151"/>
        <v>0</v>
      </c>
      <c r="EO140" s="82">
        <f t="shared" si="152"/>
        <v>0</v>
      </c>
    </row>
    <row r="141" spans="1:145" x14ac:dyDescent="0.25">
      <c r="A141">
        <v>127</v>
      </c>
      <c r="B141" s="172" t="e">
        <f t="shared" si="110"/>
        <v>#N/A</v>
      </c>
      <c r="C141" s="121" t="e">
        <f t="shared" si="89"/>
        <v>#N/A</v>
      </c>
      <c r="D141" s="122" t="e">
        <f t="shared" si="90"/>
        <v>#N/A</v>
      </c>
      <c r="E141" s="122" t="e">
        <f t="shared" si="91"/>
        <v>#N/A</v>
      </c>
      <c r="F141" s="176" t="e">
        <f t="shared" si="92"/>
        <v>#N/A</v>
      </c>
      <c r="G141" s="121">
        <f t="shared" si="111"/>
        <v>208</v>
      </c>
      <c r="H141" s="176" t="e">
        <f t="shared" si="112"/>
        <v>#N/A</v>
      </c>
      <c r="I141" s="48">
        <v>1</v>
      </c>
      <c r="J141" s="39"/>
      <c r="K141" s="350">
        <v>1</v>
      </c>
      <c r="L141" s="34" t="e">
        <f t="shared" si="93"/>
        <v>#N/A</v>
      </c>
      <c r="M141" s="38" t="e">
        <f>(HLOOKUP(J141,'Construction Times'!$B$3:$W$34,L141+2,FALSE)*HLOOKUP("hq modifier",'Construction Times'!$W$3:$W$34,BS141+2,FALSE))*(1-$H$9)</f>
        <v>#N/A</v>
      </c>
      <c r="N141" s="443" t="e">
        <f t="shared" si="113"/>
        <v>#N/A</v>
      </c>
      <c r="O141" s="444"/>
      <c r="P141" s="447" t="e">
        <f t="shared" si="114"/>
        <v>#N/A</v>
      </c>
      <c r="Q141" s="448"/>
      <c r="R141" s="103">
        <f t="shared" si="153"/>
        <v>0</v>
      </c>
      <c r="S141" s="104">
        <f t="shared" si="153"/>
        <v>0</v>
      </c>
      <c r="T141" s="104">
        <f t="shared" si="154"/>
        <v>0</v>
      </c>
      <c r="U141" s="104">
        <f t="shared" si="154"/>
        <v>0</v>
      </c>
      <c r="V141" s="104">
        <f t="shared" si="154"/>
        <v>9.9999999999999995E-8</v>
      </c>
      <c r="W141" s="104">
        <f t="shared" si="154"/>
        <v>0</v>
      </c>
      <c r="X141" s="104">
        <f t="shared" si="185"/>
        <v>0</v>
      </c>
      <c r="Y141" s="104">
        <f t="shared" si="185"/>
        <v>9.9999999999999995E-8</v>
      </c>
      <c r="Z141" s="104">
        <f t="shared" si="185"/>
        <v>9.9999999999999995E-8</v>
      </c>
      <c r="AA141" s="105">
        <f t="shared" si="185"/>
        <v>9.9999999999999995E-8</v>
      </c>
      <c r="AB141" s="101" t="e">
        <f>$DT141*HLOOKUP($J141,'Construction Costs (timber)'!$B$1:$V$32,'Construction Planner'!$L141+2,FALSE)</f>
        <v>#N/A</v>
      </c>
      <c r="AC141" s="14" t="e">
        <f>$DT141*HLOOKUP($J141,'Construction Costs (clay)'!$B$1:$V$32,'Construction Planner'!$L141+2,FALSE)</f>
        <v>#N/A</v>
      </c>
      <c r="AD141" s="14" t="e">
        <f>$DT141*HLOOKUP($J141,'Construction Costs (iron)'!$B$1:$V$32,'Construction Planner'!$L141+2,FALSE)</f>
        <v>#N/A</v>
      </c>
      <c r="AE141" s="34" t="e">
        <f t="shared" si="163"/>
        <v>#N/A</v>
      </c>
      <c r="AF141" s="33" t="e">
        <f t="shared" si="94"/>
        <v>#N/A</v>
      </c>
      <c r="AG141" s="14" t="e">
        <f t="shared" si="95"/>
        <v>#N/A</v>
      </c>
      <c r="AH141" s="14" t="e">
        <f t="shared" si="96"/>
        <v>#N/A</v>
      </c>
      <c r="AI141" s="34" t="e">
        <f t="shared" si="164"/>
        <v>#N/A</v>
      </c>
      <c r="AJ141" s="49" t="e">
        <f t="shared" si="115"/>
        <v>#N/A</v>
      </c>
      <c r="AK141" s="49" t="e">
        <f t="shared" si="116"/>
        <v>#N/A</v>
      </c>
      <c r="AL141" s="49" t="e">
        <f t="shared" si="117"/>
        <v>#N/A</v>
      </c>
      <c r="AM141" s="25">
        <f t="shared" si="97"/>
        <v>30</v>
      </c>
      <c r="AN141" s="25">
        <f t="shared" si="98"/>
        <v>30</v>
      </c>
      <c r="AO141" s="25">
        <f t="shared" si="99"/>
        <v>30</v>
      </c>
      <c r="AP141" s="52" t="e">
        <f t="shared" si="118"/>
        <v>#N/A</v>
      </c>
      <c r="AQ141" s="53" t="e">
        <f t="shared" si="118"/>
        <v>#N/A</v>
      </c>
      <c r="AR141" s="54" t="e">
        <f t="shared" si="118"/>
        <v>#N/A</v>
      </c>
      <c r="AS141" s="316">
        <f t="shared" si="190"/>
        <v>0</v>
      </c>
      <c r="AT141" s="106">
        <f>_xlfn.IFNA($M141/VLOOKUP($BT141,'Unit information'!$A$2:$K$29,2,FALSE)*R141,0)*(1+$E$9)</f>
        <v>0</v>
      </c>
      <c r="AU141" s="107">
        <f>_xlfn.IFNA($M141/VLOOKUP($BT141,'Unit information'!$A$2:$K$29,3,FALSE)*S141,0)*(1+$E$9)</f>
        <v>0</v>
      </c>
      <c r="AV141" s="107">
        <f>_xlfn.IFNA($M141/VLOOKUP($BT141,'Unit information'!$A$2:$K$29,4,FALSE)*T141,0)*(1+$E$9)</f>
        <v>0</v>
      </c>
      <c r="AW141" s="107">
        <f>_xlfn.IFNA($M141/VLOOKUP($BT141,'Unit information'!$A$2:$K$29,5,FALSE)*U141,0)*(1+$E$9)</f>
        <v>0</v>
      </c>
      <c r="AX141" s="107">
        <f>_xlfn.IFNA($M141/VLOOKUP($BU141,'Unit information'!$A$2:$K$29,6,FALSE)*V141,0)*(1+$E$9)</f>
        <v>0</v>
      </c>
      <c r="AY141" s="107">
        <f>_xlfn.IFNA($M141/VLOOKUP($BU141,'Unit information'!$A$2:$K$29,7,FALSE)*W141,0)*(1+$E$9)</f>
        <v>0</v>
      </c>
      <c r="AZ141" s="107">
        <f>_xlfn.IFNA($M141/VLOOKUP($BU141,'Unit information'!$A$2:$K$29,8,FALSE)*X141,0)*(1+$E$9)</f>
        <v>0</v>
      </c>
      <c r="BA141" s="107">
        <f>_xlfn.IFNA($M141/VLOOKUP($BU141,'Unit information'!$A$2:$K$29,9,FALSE)*Y141,0)*(1+$E$9)</f>
        <v>0</v>
      </c>
      <c r="BB141" s="107">
        <f>_xlfn.IFNA($M141/VLOOKUP($BV141,'Unit information'!$A$2:$K$29,10,FALSE)*Z141,0)*(1+$E$9)</f>
        <v>0</v>
      </c>
      <c r="BC141" s="108">
        <f>_xlfn.IFNA($M141/VLOOKUP($BV141,'Unit information'!$A$2:$K$29,11,FALSE)*AA141,0)*(1+$E$9)</f>
        <v>0</v>
      </c>
      <c r="BD141" s="106">
        <f t="shared" si="100"/>
        <v>0</v>
      </c>
      <c r="BE141" s="107">
        <f t="shared" si="101"/>
        <v>0</v>
      </c>
      <c r="BF141" s="108">
        <f t="shared" si="102"/>
        <v>0</v>
      </c>
      <c r="BG141" s="25" t="e">
        <f t="shared" si="103"/>
        <v>#N/A</v>
      </c>
      <c r="BH141" s="25" t="e">
        <f t="shared" si="104"/>
        <v>#N/A</v>
      </c>
      <c r="BI141" s="25" t="e">
        <f t="shared" si="105"/>
        <v>#N/A</v>
      </c>
      <c r="BJ141" s="27" t="e">
        <f t="shared" si="106"/>
        <v>#N/A</v>
      </c>
      <c r="BK141" s="18" t="e">
        <f t="shared" si="107"/>
        <v>#N/A</v>
      </c>
      <c r="BL141" s="18" t="e">
        <f t="shared" si="108"/>
        <v>#N/A</v>
      </c>
      <c r="BM141" s="28" t="e">
        <f t="shared" si="166"/>
        <v>#N/A</v>
      </c>
      <c r="BN141" s="33">
        <f>HLOOKUP("maximum population",Miscelaneous!$C$1:$C$33,CH141+3,FALSE)</f>
        <v>240</v>
      </c>
      <c r="BO141" s="14">
        <f t="shared" si="119"/>
        <v>32</v>
      </c>
      <c r="BP141" s="14">
        <f t="shared" si="120"/>
        <v>0</v>
      </c>
      <c r="BQ141" s="14">
        <f t="shared" si="121"/>
        <v>208</v>
      </c>
      <c r="BR141" s="34" t="e">
        <f>HLOOKUP(J141,Villagers!$B$1:$V$33,L141+3,FALSE)-HLOOKUP(J141,Villagers!$B$1:$V$33,L141+2,FALSE)</f>
        <v>#N/A</v>
      </c>
      <c r="BS141" s="49">
        <f t="shared" si="122"/>
        <v>1</v>
      </c>
      <c r="BT141" s="50">
        <f t="shared" si="123"/>
        <v>0</v>
      </c>
      <c r="BU141" s="50">
        <f t="shared" si="124"/>
        <v>0</v>
      </c>
      <c r="BV141" s="50">
        <f t="shared" si="125"/>
        <v>0</v>
      </c>
      <c r="BW141" s="50">
        <f t="shared" si="192"/>
        <v>0</v>
      </c>
      <c r="BX141" s="50">
        <f t="shared" si="191"/>
        <v>0</v>
      </c>
      <c r="BY141" s="50">
        <f t="shared" si="191"/>
        <v>0</v>
      </c>
      <c r="BZ141" s="50">
        <f t="shared" si="167"/>
        <v>0</v>
      </c>
      <c r="CA141" s="50">
        <f t="shared" si="168"/>
        <v>0</v>
      </c>
      <c r="CB141" s="50">
        <f t="shared" si="169"/>
        <v>1</v>
      </c>
      <c r="CC141" s="50">
        <f t="shared" si="170"/>
        <v>0</v>
      </c>
      <c r="CD141" s="50">
        <f t="shared" si="171"/>
        <v>0</v>
      </c>
      <c r="CE141" s="50">
        <f t="shared" si="172"/>
        <v>1</v>
      </c>
      <c r="CF141" s="50">
        <f t="shared" si="173"/>
        <v>1</v>
      </c>
      <c r="CG141" s="50">
        <f t="shared" si="174"/>
        <v>1</v>
      </c>
      <c r="CH141" s="50">
        <f t="shared" si="175"/>
        <v>1</v>
      </c>
      <c r="CI141" s="50">
        <f t="shared" si="176"/>
        <v>1</v>
      </c>
      <c r="CJ141" s="50">
        <f t="shared" si="177"/>
        <v>1</v>
      </c>
      <c r="CK141" s="50">
        <f t="shared" si="177"/>
        <v>0</v>
      </c>
      <c r="CL141" s="50">
        <f t="shared" si="177"/>
        <v>0</v>
      </c>
      <c r="CM141" s="51">
        <f t="shared" si="178"/>
        <v>0</v>
      </c>
      <c r="CN141" s="33">
        <f>ROUND(IF(BS141=0,0,HLOOKUP(BS$14,Villagers!$B$1:$V$33,BS141+3,FALSE)),)</f>
        <v>5</v>
      </c>
      <c r="CO141" s="14">
        <f>ROUND(IF(BT141=0,0,HLOOKUP(BT$14,Villagers!$B$1:$V$33,BT141+3,FALSE)),)</f>
        <v>0</v>
      </c>
      <c r="CP141" s="14">
        <f>ROUND(IF(BU141=0,0,HLOOKUP(BU$14,Villagers!$B$1:$V$33,BU141+3,FALSE)),)</f>
        <v>0</v>
      </c>
      <c r="CQ141" s="14">
        <f>ROUND(IF(BV141=0,0,HLOOKUP(BV$14,Villagers!$B$1:$V$33,BV141+3,FALSE)),)</f>
        <v>0</v>
      </c>
      <c r="CR141" s="14">
        <f>ROUND(IF(BW141=0,0,HLOOKUP(BW$14,Villagers!$B$1:$V$33,BW141+3,FALSE)),)</f>
        <v>0</v>
      </c>
      <c r="CS141" s="14">
        <f>ROUND(IF(BX141=0,0,HLOOKUP(BX$14,Villagers!$B$1:$V$33,BX141+3,FALSE)),)</f>
        <v>0</v>
      </c>
      <c r="CT141" s="14">
        <f>ROUND(IF(BY141=0,0,HLOOKUP(BY$14,Villagers!$B$1:$V$33,BY141+3,FALSE)),)</f>
        <v>0</v>
      </c>
      <c r="CU141" s="14">
        <f>ROUND(IF(BZ141=0,0,HLOOKUP(BZ$14,Villagers!$B$1:$V$33,BZ141+3,FALSE)),)</f>
        <v>0</v>
      </c>
      <c r="CV141" s="14">
        <f>ROUND(IF(CA141=0,0,HLOOKUP(CA$14,Villagers!$B$1:$V$33,CA141+3,FALSE)),)</f>
        <v>0</v>
      </c>
      <c r="CW141" s="14">
        <f>ROUND(IF(CB141=0,0,HLOOKUP(CB$14,Villagers!$B$1:$V$33,CB141+3,FALSE)),)</f>
        <v>0</v>
      </c>
      <c r="CX141" s="14">
        <f>ROUND(IF(CC141=0,0,HLOOKUP(CC$14,Villagers!$B$1:$V$33,CC141+3,FALSE)),)</f>
        <v>0</v>
      </c>
      <c r="CY141" s="14">
        <f>ROUND(IF(CD141=0,0,HLOOKUP(CD$14,Villagers!$B$1:$V$33,CD141+3,FALSE)),)</f>
        <v>0</v>
      </c>
      <c r="CZ141" s="14">
        <f>ROUND(IF(CE141=0,0,HLOOKUP(CE$14,Villagers!$B$1:$V$33,CE141+3,FALSE)),)</f>
        <v>5</v>
      </c>
      <c r="DA141" s="14">
        <f>ROUND(IF(CF141=0,0,HLOOKUP(CF$14,Villagers!$B$1:$V$33,CF141+3,FALSE)),)</f>
        <v>10</v>
      </c>
      <c r="DB141" s="14">
        <f>ROUND(IF(CG141=0,0,HLOOKUP(CG$14,Villagers!$B$1:$V$33,CG141+3,FALSE)),)</f>
        <v>10</v>
      </c>
      <c r="DC141" s="14">
        <f>ROUND(IF(CH141=0,0,HLOOKUP(CH$14,Villagers!$B$1:$V$33,CH141+3,FALSE)),)</f>
        <v>0</v>
      </c>
      <c r="DD141" s="14">
        <f>ROUND(IF(CI141=0,0,HLOOKUP(CI$14,Villagers!$B$1:$V$33,CI141+3,FALSE)),)</f>
        <v>0</v>
      </c>
      <c r="DE141" s="14">
        <f>ROUND(IF(CJ141=0,0,HLOOKUP(CJ$14,Villagers!$B$1:$V$33,CJ141+3,FALSE)),)</f>
        <v>2</v>
      </c>
      <c r="DF141" s="370">
        <f>ROUND(IF(CK141=0,0,HLOOKUP(CK$14,Villagers!$B$1:$V$33,CK141+3,FALSE)),)</f>
        <v>0</v>
      </c>
      <c r="DG141" s="370">
        <f>ROUND(IF(CL141=0,0,HLOOKUP(CL$14,Villagers!$B$1:$V$33,CL141+3,FALSE)),)</f>
        <v>0</v>
      </c>
      <c r="DH141" s="34">
        <f>ROUND(IF(CM141=0,0,HLOOKUP(CM$14,Villagers!$B$1:$V$33,CM141+3,FALSE)),)</f>
        <v>0</v>
      </c>
      <c r="DI141" s="109">
        <f t="shared" si="155"/>
        <v>0</v>
      </c>
      <c r="DJ141" s="50">
        <f t="shared" si="156"/>
        <v>0</v>
      </c>
      <c r="DK141" s="50">
        <f t="shared" si="157"/>
        <v>0</v>
      </c>
      <c r="DL141" s="50">
        <f t="shared" si="158"/>
        <v>0</v>
      </c>
      <c r="DM141" s="50">
        <f t="shared" si="159"/>
        <v>0</v>
      </c>
      <c r="DN141" s="50">
        <f t="shared" si="160"/>
        <v>0</v>
      </c>
      <c r="DO141" s="50">
        <f t="shared" si="161"/>
        <v>0</v>
      </c>
      <c r="DP141" s="50">
        <f t="shared" si="162"/>
        <v>0</v>
      </c>
      <c r="DQ141" s="50">
        <f t="shared" si="140"/>
        <v>0</v>
      </c>
      <c r="DR141" s="50">
        <f t="shared" si="141"/>
        <v>0</v>
      </c>
      <c r="DS141" s="96">
        <f>Miscelaneous!$D$4*Miscelaneous!$D$2^($CI141-1)</f>
        <v>1000</v>
      </c>
      <c r="DT141" s="333">
        <f t="shared" si="109"/>
        <v>1</v>
      </c>
      <c r="DU141" s="81">
        <v>1</v>
      </c>
      <c r="DV141" s="79">
        <f t="shared" si="142"/>
        <v>0</v>
      </c>
      <c r="DW141" s="79">
        <f t="shared" si="143"/>
        <v>0</v>
      </c>
      <c r="DX141" s="79">
        <f t="shared" si="144"/>
        <v>0</v>
      </c>
      <c r="DY141" s="79">
        <v>1</v>
      </c>
      <c r="DZ141" s="79">
        <f t="shared" si="145"/>
        <v>0</v>
      </c>
      <c r="EA141" s="79">
        <f t="shared" si="146"/>
        <v>0</v>
      </c>
      <c r="EB141" s="79">
        <f t="shared" si="147"/>
        <v>0</v>
      </c>
      <c r="EC141" s="79">
        <f t="shared" si="148"/>
        <v>0</v>
      </c>
      <c r="ED141" s="79">
        <v>1</v>
      </c>
      <c r="EE141" s="79">
        <v>1</v>
      </c>
      <c r="EF141" s="79">
        <f t="shared" si="149"/>
        <v>0</v>
      </c>
      <c r="EG141" s="79">
        <v>1</v>
      </c>
      <c r="EH141" s="79">
        <v>1</v>
      </c>
      <c r="EI141" s="79">
        <v>1</v>
      </c>
      <c r="EJ141" s="79">
        <v>1</v>
      </c>
      <c r="EK141" s="79">
        <v>1</v>
      </c>
      <c r="EL141" s="79">
        <v>1</v>
      </c>
      <c r="EM141" s="143">
        <f t="shared" si="150"/>
        <v>0</v>
      </c>
      <c r="EN141" s="143">
        <f t="shared" si="151"/>
        <v>0</v>
      </c>
      <c r="EO141" s="82">
        <f t="shared" si="152"/>
        <v>0</v>
      </c>
    </row>
    <row r="142" spans="1:145" x14ac:dyDescent="0.25">
      <c r="A142">
        <v>128</v>
      </c>
      <c r="B142" s="172" t="e">
        <f t="shared" si="110"/>
        <v>#N/A</v>
      </c>
      <c r="C142" s="121" t="e">
        <f t="shared" si="89"/>
        <v>#N/A</v>
      </c>
      <c r="D142" s="122" t="e">
        <f t="shared" si="90"/>
        <v>#N/A</v>
      </c>
      <c r="E142" s="122" t="e">
        <f t="shared" si="91"/>
        <v>#N/A</v>
      </c>
      <c r="F142" s="176" t="e">
        <f t="shared" si="92"/>
        <v>#N/A</v>
      </c>
      <c r="G142" s="121">
        <f t="shared" si="111"/>
        <v>208</v>
      </c>
      <c r="H142" s="176" t="e">
        <f t="shared" si="112"/>
        <v>#N/A</v>
      </c>
      <c r="I142" s="48">
        <v>1</v>
      </c>
      <c r="J142" s="39"/>
      <c r="K142" s="350">
        <v>1</v>
      </c>
      <c r="L142" s="34" t="e">
        <f t="shared" si="93"/>
        <v>#N/A</v>
      </c>
      <c r="M142" s="38" t="e">
        <f>(HLOOKUP(J142,'Construction Times'!$B$3:$W$34,L142+2,FALSE)*HLOOKUP("hq modifier",'Construction Times'!$W$3:$W$34,BS142+2,FALSE))*(1-$H$9)</f>
        <v>#N/A</v>
      </c>
      <c r="N142" s="443" t="e">
        <f t="shared" si="113"/>
        <v>#N/A</v>
      </c>
      <c r="O142" s="444"/>
      <c r="P142" s="447" t="e">
        <f t="shared" si="114"/>
        <v>#N/A</v>
      </c>
      <c r="Q142" s="448"/>
      <c r="R142" s="103">
        <f t="shared" si="153"/>
        <v>0</v>
      </c>
      <c r="S142" s="104">
        <f t="shared" si="153"/>
        <v>0</v>
      </c>
      <c r="T142" s="104">
        <f t="shared" si="154"/>
        <v>0</v>
      </c>
      <c r="U142" s="104">
        <f t="shared" si="154"/>
        <v>0</v>
      </c>
      <c r="V142" s="104">
        <f t="shared" si="154"/>
        <v>9.9999999999999995E-8</v>
      </c>
      <c r="W142" s="104">
        <f t="shared" si="154"/>
        <v>0</v>
      </c>
      <c r="X142" s="104">
        <f t="shared" si="185"/>
        <v>0</v>
      </c>
      <c r="Y142" s="104">
        <f t="shared" si="185"/>
        <v>9.9999999999999995E-8</v>
      </c>
      <c r="Z142" s="104">
        <f t="shared" si="185"/>
        <v>9.9999999999999995E-8</v>
      </c>
      <c r="AA142" s="105">
        <f t="shared" si="185"/>
        <v>9.9999999999999995E-8</v>
      </c>
      <c r="AB142" s="101" t="e">
        <f>$DT142*HLOOKUP($J142,'Construction Costs (timber)'!$B$1:$V$32,'Construction Planner'!$L142+2,FALSE)</f>
        <v>#N/A</v>
      </c>
      <c r="AC142" s="14" t="e">
        <f>$DT142*HLOOKUP($J142,'Construction Costs (clay)'!$B$1:$V$32,'Construction Planner'!$L142+2,FALSE)</f>
        <v>#N/A</v>
      </c>
      <c r="AD142" s="14" t="e">
        <f>$DT142*HLOOKUP($J142,'Construction Costs (iron)'!$B$1:$V$32,'Construction Planner'!$L142+2,FALSE)</f>
        <v>#N/A</v>
      </c>
      <c r="AE142" s="34" t="e">
        <f t="shared" si="163"/>
        <v>#N/A</v>
      </c>
      <c r="AF142" s="33" t="e">
        <f t="shared" si="94"/>
        <v>#N/A</v>
      </c>
      <c r="AG142" s="14" t="e">
        <f t="shared" si="95"/>
        <v>#N/A</v>
      </c>
      <c r="AH142" s="14" t="e">
        <f t="shared" si="96"/>
        <v>#N/A</v>
      </c>
      <c r="AI142" s="34" t="e">
        <f t="shared" si="164"/>
        <v>#N/A</v>
      </c>
      <c r="AJ142" s="49" t="e">
        <f t="shared" si="115"/>
        <v>#N/A</v>
      </c>
      <c r="AK142" s="49" t="e">
        <f t="shared" si="116"/>
        <v>#N/A</v>
      </c>
      <c r="AL142" s="49" t="e">
        <f t="shared" si="117"/>
        <v>#N/A</v>
      </c>
      <c r="AM142" s="25">
        <f t="shared" si="97"/>
        <v>30</v>
      </c>
      <c r="AN142" s="25">
        <f t="shared" si="98"/>
        <v>30</v>
      </c>
      <c r="AO142" s="25">
        <f t="shared" si="99"/>
        <v>30</v>
      </c>
      <c r="AP142" s="52" t="e">
        <f t="shared" si="118"/>
        <v>#N/A</v>
      </c>
      <c r="AQ142" s="53" t="e">
        <f t="shared" si="118"/>
        <v>#N/A</v>
      </c>
      <c r="AR142" s="54" t="e">
        <f t="shared" si="118"/>
        <v>#N/A</v>
      </c>
      <c r="AS142" s="316">
        <f t="shared" si="190"/>
        <v>0</v>
      </c>
      <c r="AT142" s="106">
        <f>_xlfn.IFNA($M142/VLOOKUP($BT142,'Unit information'!$A$2:$K$29,2,FALSE)*R142,0)*(1+$E$9)</f>
        <v>0</v>
      </c>
      <c r="AU142" s="107">
        <f>_xlfn.IFNA($M142/VLOOKUP($BT142,'Unit information'!$A$2:$K$29,3,FALSE)*S142,0)*(1+$E$9)</f>
        <v>0</v>
      </c>
      <c r="AV142" s="107">
        <f>_xlfn.IFNA($M142/VLOOKUP($BT142,'Unit information'!$A$2:$K$29,4,FALSE)*T142,0)*(1+$E$9)</f>
        <v>0</v>
      </c>
      <c r="AW142" s="107">
        <f>_xlfn.IFNA($M142/VLOOKUP($BT142,'Unit information'!$A$2:$K$29,5,FALSE)*U142,0)*(1+$E$9)</f>
        <v>0</v>
      </c>
      <c r="AX142" s="107">
        <f>_xlfn.IFNA($M142/VLOOKUP($BU142,'Unit information'!$A$2:$K$29,6,FALSE)*V142,0)*(1+$E$9)</f>
        <v>0</v>
      </c>
      <c r="AY142" s="107">
        <f>_xlfn.IFNA($M142/VLOOKUP($BU142,'Unit information'!$A$2:$K$29,7,FALSE)*W142,0)*(1+$E$9)</f>
        <v>0</v>
      </c>
      <c r="AZ142" s="107">
        <f>_xlfn.IFNA($M142/VLOOKUP($BU142,'Unit information'!$A$2:$K$29,8,FALSE)*X142,0)*(1+$E$9)</f>
        <v>0</v>
      </c>
      <c r="BA142" s="107">
        <f>_xlfn.IFNA($M142/VLOOKUP($BU142,'Unit information'!$A$2:$K$29,9,FALSE)*Y142,0)*(1+$E$9)</f>
        <v>0</v>
      </c>
      <c r="BB142" s="107">
        <f>_xlfn.IFNA($M142/VLOOKUP($BV142,'Unit information'!$A$2:$K$29,10,FALSE)*Z142,0)*(1+$E$9)</f>
        <v>0</v>
      </c>
      <c r="BC142" s="108">
        <f>_xlfn.IFNA($M142/VLOOKUP($BV142,'Unit information'!$A$2:$K$29,11,FALSE)*AA142,0)*(1+$E$9)</f>
        <v>0</v>
      </c>
      <c r="BD142" s="106">
        <f t="shared" si="100"/>
        <v>0</v>
      </c>
      <c r="BE142" s="107">
        <f t="shared" si="101"/>
        <v>0</v>
      </c>
      <c r="BF142" s="108">
        <f t="shared" si="102"/>
        <v>0</v>
      </c>
      <c r="BG142" s="25" t="e">
        <f t="shared" si="103"/>
        <v>#N/A</v>
      </c>
      <c r="BH142" s="25" t="e">
        <f t="shared" si="104"/>
        <v>#N/A</v>
      </c>
      <c r="BI142" s="25" t="e">
        <f t="shared" si="105"/>
        <v>#N/A</v>
      </c>
      <c r="BJ142" s="27" t="e">
        <f t="shared" si="106"/>
        <v>#N/A</v>
      </c>
      <c r="BK142" s="18" t="e">
        <f t="shared" si="107"/>
        <v>#N/A</v>
      </c>
      <c r="BL142" s="18" t="e">
        <f t="shared" si="108"/>
        <v>#N/A</v>
      </c>
      <c r="BM142" s="28" t="e">
        <f t="shared" si="166"/>
        <v>#N/A</v>
      </c>
      <c r="BN142" s="33">
        <f>HLOOKUP("maximum population",Miscelaneous!$C$1:$C$33,CH142+3,FALSE)</f>
        <v>240</v>
      </c>
      <c r="BO142" s="14">
        <f t="shared" si="119"/>
        <v>32</v>
      </c>
      <c r="BP142" s="14">
        <f t="shared" si="120"/>
        <v>0</v>
      </c>
      <c r="BQ142" s="14">
        <f t="shared" si="121"/>
        <v>208</v>
      </c>
      <c r="BR142" s="34" t="e">
        <f>HLOOKUP(J142,Villagers!$B$1:$V$33,L142+3,FALSE)-HLOOKUP(J142,Villagers!$B$1:$V$33,L142+2,FALSE)</f>
        <v>#N/A</v>
      </c>
      <c r="BS142" s="49">
        <f t="shared" si="122"/>
        <v>1</v>
      </c>
      <c r="BT142" s="50">
        <f t="shared" si="123"/>
        <v>0</v>
      </c>
      <c r="BU142" s="50">
        <f t="shared" si="124"/>
        <v>0</v>
      </c>
      <c r="BV142" s="50">
        <f t="shared" si="125"/>
        <v>0</v>
      </c>
      <c r="BW142" s="50">
        <f t="shared" si="192"/>
        <v>0</v>
      </c>
      <c r="BX142" s="50">
        <f t="shared" si="191"/>
        <v>0</v>
      </c>
      <c r="BY142" s="50">
        <f t="shared" si="191"/>
        <v>0</v>
      </c>
      <c r="BZ142" s="50">
        <f t="shared" si="167"/>
        <v>0</v>
      </c>
      <c r="CA142" s="50">
        <f t="shared" si="168"/>
        <v>0</v>
      </c>
      <c r="CB142" s="50">
        <f t="shared" si="169"/>
        <v>1</v>
      </c>
      <c r="CC142" s="50">
        <f t="shared" si="170"/>
        <v>0</v>
      </c>
      <c r="CD142" s="50">
        <f t="shared" si="171"/>
        <v>0</v>
      </c>
      <c r="CE142" s="50">
        <f t="shared" si="172"/>
        <v>1</v>
      </c>
      <c r="CF142" s="50">
        <f t="shared" si="173"/>
        <v>1</v>
      </c>
      <c r="CG142" s="50">
        <f t="shared" si="174"/>
        <v>1</v>
      </c>
      <c r="CH142" s="50">
        <f t="shared" si="175"/>
        <v>1</v>
      </c>
      <c r="CI142" s="50">
        <f t="shared" si="176"/>
        <v>1</v>
      </c>
      <c r="CJ142" s="50">
        <f t="shared" si="177"/>
        <v>1</v>
      </c>
      <c r="CK142" s="50">
        <f t="shared" si="177"/>
        <v>0</v>
      </c>
      <c r="CL142" s="50">
        <f t="shared" si="177"/>
        <v>0</v>
      </c>
      <c r="CM142" s="51">
        <f t="shared" si="178"/>
        <v>0</v>
      </c>
      <c r="CN142" s="33">
        <f>ROUND(IF(BS142=0,0,HLOOKUP(BS$14,Villagers!$B$1:$V$33,BS142+3,FALSE)),)</f>
        <v>5</v>
      </c>
      <c r="CO142" s="14">
        <f>ROUND(IF(BT142=0,0,HLOOKUP(BT$14,Villagers!$B$1:$V$33,BT142+3,FALSE)),)</f>
        <v>0</v>
      </c>
      <c r="CP142" s="14">
        <f>ROUND(IF(BU142=0,0,HLOOKUP(BU$14,Villagers!$B$1:$V$33,BU142+3,FALSE)),)</f>
        <v>0</v>
      </c>
      <c r="CQ142" s="14">
        <f>ROUND(IF(BV142=0,0,HLOOKUP(BV$14,Villagers!$B$1:$V$33,BV142+3,FALSE)),)</f>
        <v>0</v>
      </c>
      <c r="CR142" s="14">
        <f>ROUND(IF(BW142=0,0,HLOOKUP(BW$14,Villagers!$B$1:$V$33,BW142+3,FALSE)),)</f>
        <v>0</v>
      </c>
      <c r="CS142" s="14">
        <f>ROUND(IF(BX142=0,0,HLOOKUP(BX$14,Villagers!$B$1:$V$33,BX142+3,FALSE)),)</f>
        <v>0</v>
      </c>
      <c r="CT142" s="14">
        <f>ROUND(IF(BY142=0,0,HLOOKUP(BY$14,Villagers!$B$1:$V$33,BY142+3,FALSE)),)</f>
        <v>0</v>
      </c>
      <c r="CU142" s="14">
        <f>ROUND(IF(BZ142=0,0,HLOOKUP(BZ$14,Villagers!$B$1:$V$33,BZ142+3,FALSE)),)</f>
        <v>0</v>
      </c>
      <c r="CV142" s="14">
        <f>ROUND(IF(CA142=0,0,HLOOKUP(CA$14,Villagers!$B$1:$V$33,CA142+3,FALSE)),)</f>
        <v>0</v>
      </c>
      <c r="CW142" s="14">
        <f>ROUND(IF(CB142=0,0,HLOOKUP(CB$14,Villagers!$B$1:$V$33,CB142+3,FALSE)),)</f>
        <v>0</v>
      </c>
      <c r="CX142" s="14">
        <f>ROUND(IF(CC142=0,0,HLOOKUP(CC$14,Villagers!$B$1:$V$33,CC142+3,FALSE)),)</f>
        <v>0</v>
      </c>
      <c r="CY142" s="14">
        <f>ROUND(IF(CD142=0,0,HLOOKUP(CD$14,Villagers!$B$1:$V$33,CD142+3,FALSE)),)</f>
        <v>0</v>
      </c>
      <c r="CZ142" s="14">
        <f>ROUND(IF(CE142=0,0,HLOOKUP(CE$14,Villagers!$B$1:$V$33,CE142+3,FALSE)),)</f>
        <v>5</v>
      </c>
      <c r="DA142" s="14">
        <f>ROUND(IF(CF142=0,0,HLOOKUP(CF$14,Villagers!$B$1:$V$33,CF142+3,FALSE)),)</f>
        <v>10</v>
      </c>
      <c r="DB142" s="14">
        <f>ROUND(IF(CG142=0,0,HLOOKUP(CG$14,Villagers!$B$1:$V$33,CG142+3,FALSE)),)</f>
        <v>10</v>
      </c>
      <c r="DC142" s="14">
        <f>ROUND(IF(CH142=0,0,HLOOKUP(CH$14,Villagers!$B$1:$V$33,CH142+3,FALSE)),)</f>
        <v>0</v>
      </c>
      <c r="DD142" s="14">
        <f>ROUND(IF(CI142=0,0,HLOOKUP(CI$14,Villagers!$B$1:$V$33,CI142+3,FALSE)),)</f>
        <v>0</v>
      </c>
      <c r="DE142" s="14">
        <f>ROUND(IF(CJ142=0,0,HLOOKUP(CJ$14,Villagers!$B$1:$V$33,CJ142+3,FALSE)),)</f>
        <v>2</v>
      </c>
      <c r="DF142" s="370">
        <f>ROUND(IF(CK142=0,0,HLOOKUP(CK$14,Villagers!$B$1:$V$33,CK142+3,FALSE)),)</f>
        <v>0</v>
      </c>
      <c r="DG142" s="370">
        <f>ROUND(IF(CL142=0,0,HLOOKUP(CL$14,Villagers!$B$1:$V$33,CL142+3,FALSE)),)</f>
        <v>0</v>
      </c>
      <c r="DH142" s="34">
        <f>ROUND(IF(CM142=0,0,HLOOKUP(CM$14,Villagers!$B$1:$V$33,CM142+3,FALSE)),)</f>
        <v>0</v>
      </c>
      <c r="DI142" s="109">
        <f t="shared" si="155"/>
        <v>0</v>
      </c>
      <c r="DJ142" s="50">
        <f t="shared" si="156"/>
        <v>0</v>
      </c>
      <c r="DK142" s="50">
        <f t="shared" si="157"/>
        <v>0</v>
      </c>
      <c r="DL142" s="50">
        <f t="shared" si="158"/>
        <v>0</v>
      </c>
      <c r="DM142" s="50">
        <f t="shared" si="159"/>
        <v>0</v>
      </c>
      <c r="DN142" s="50">
        <f t="shared" si="160"/>
        <v>0</v>
      </c>
      <c r="DO142" s="50">
        <f t="shared" si="161"/>
        <v>0</v>
      </c>
      <c r="DP142" s="50">
        <f t="shared" si="162"/>
        <v>0</v>
      </c>
      <c r="DQ142" s="50">
        <f t="shared" si="140"/>
        <v>0</v>
      </c>
      <c r="DR142" s="50">
        <f t="shared" si="141"/>
        <v>0</v>
      </c>
      <c r="DS142" s="96">
        <f>Miscelaneous!$D$4*Miscelaneous!$D$2^($CI142-1)</f>
        <v>1000</v>
      </c>
      <c r="DT142" s="333">
        <f t="shared" si="109"/>
        <v>1</v>
      </c>
      <c r="DU142" s="81">
        <v>1</v>
      </c>
      <c r="DV142" s="79">
        <f t="shared" si="142"/>
        <v>0</v>
      </c>
      <c r="DW142" s="79">
        <f t="shared" si="143"/>
        <v>0</v>
      </c>
      <c r="DX142" s="79">
        <f t="shared" si="144"/>
        <v>0</v>
      </c>
      <c r="DY142" s="79">
        <v>1</v>
      </c>
      <c r="DZ142" s="79">
        <f t="shared" si="145"/>
        <v>0</v>
      </c>
      <c r="EA142" s="79">
        <f t="shared" si="146"/>
        <v>0</v>
      </c>
      <c r="EB142" s="79">
        <f t="shared" si="147"/>
        <v>0</v>
      </c>
      <c r="EC142" s="79">
        <f t="shared" si="148"/>
        <v>0</v>
      </c>
      <c r="ED142" s="79">
        <v>1</v>
      </c>
      <c r="EE142" s="79">
        <v>1</v>
      </c>
      <c r="EF142" s="79">
        <f t="shared" si="149"/>
        <v>0</v>
      </c>
      <c r="EG142" s="79">
        <v>1</v>
      </c>
      <c r="EH142" s="79">
        <v>1</v>
      </c>
      <c r="EI142" s="79">
        <v>1</v>
      </c>
      <c r="EJ142" s="79">
        <v>1</v>
      </c>
      <c r="EK142" s="79">
        <v>1</v>
      </c>
      <c r="EL142" s="79">
        <v>1</v>
      </c>
      <c r="EM142" s="143">
        <f t="shared" si="150"/>
        <v>0</v>
      </c>
      <c r="EN142" s="143">
        <f t="shared" si="151"/>
        <v>0</v>
      </c>
      <c r="EO142" s="82">
        <f t="shared" si="152"/>
        <v>0</v>
      </c>
    </row>
    <row r="143" spans="1:145" x14ac:dyDescent="0.25">
      <c r="A143">
        <v>129</v>
      </c>
      <c r="B143" s="172" t="e">
        <f t="shared" si="110"/>
        <v>#N/A</v>
      </c>
      <c r="C143" s="121" t="e">
        <f t="shared" ref="C143:C206" si="193">AJ143-SUM(AB143:AB147)</f>
        <v>#N/A</v>
      </c>
      <c r="D143" s="122" t="e">
        <f t="shared" ref="D143:D206" si="194">AK143-SUM(AC143:AC147)</f>
        <v>#N/A</v>
      </c>
      <c r="E143" s="122" t="e">
        <f t="shared" ref="E143:E206" si="195">AL143-SUM(AD143:AD147)</f>
        <v>#N/A</v>
      </c>
      <c r="F143" s="176" t="e">
        <f t="shared" ref="F143:F206" si="196">IF(AND(MAX(C143:E143)&gt;0,DS143-MAX(C143:E143)&lt;DS143),DS143-MAX(C143:E143),DS143)</f>
        <v>#N/A</v>
      </c>
      <c r="G143" s="121">
        <f t="shared" si="111"/>
        <v>208</v>
      </c>
      <c r="H143" s="176" t="e">
        <f t="shared" si="112"/>
        <v>#N/A</v>
      </c>
      <c r="I143" s="48">
        <v>1</v>
      </c>
      <c r="J143" s="39"/>
      <c r="K143" s="350">
        <v>1</v>
      </c>
      <c r="L143" s="34" t="e">
        <f t="shared" ref="L143:L206" si="197">HLOOKUP(J143,$BS$14:$CM$508,A144,FALSE)+K143</f>
        <v>#N/A</v>
      </c>
      <c r="M143" s="38" t="e">
        <f>(HLOOKUP(J143,'Construction Times'!$B$3:$W$34,L143+2,FALSE)*HLOOKUP("hq modifier",'Construction Times'!$W$3:$W$34,BS143+2,FALSE))*(1-$H$9)</f>
        <v>#N/A</v>
      </c>
      <c r="N143" s="443" t="e">
        <f t="shared" si="113"/>
        <v>#N/A</v>
      </c>
      <c r="O143" s="444"/>
      <c r="P143" s="447" t="e">
        <f t="shared" si="114"/>
        <v>#N/A</v>
      </c>
      <c r="Q143" s="448"/>
      <c r="R143" s="103">
        <f t="shared" si="153"/>
        <v>0</v>
      </c>
      <c r="S143" s="104">
        <f t="shared" si="153"/>
        <v>0</v>
      </c>
      <c r="T143" s="104">
        <f t="shared" si="154"/>
        <v>0</v>
      </c>
      <c r="U143" s="104">
        <f t="shared" si="154"/>
        <v>0</v>
      </c>
      <c r="V143" s="104">
        <f t="shared" si="154"/>
        <v>9.9999999999999995E-8</v>
      </c>
      <c r="W143" s="104">
        <f t="shared" si="154"/>
        <v>0</v>
      </c>
      <c r="X143" s="104">
        <f t="shared" si="185"/>
        <v>0</v>
      </c>
      <c r="Y143" s="104">
        <f t="shared" si="185"/>
        <v>9.9999999999999995E-8</v>
      </c>
      <c r="Z143" s="104">
        <f t="shared" si="185"/>
        <v>9.9999999999999995E-8</v>
      </c>
      <c r="AA143" s="105">
        <f t="shared" si="185"/>
        <v>9.9999999999999995E-8</v>
      </c>
      <c r="AB143" s="101" t="e">
        <f>$DT143*HLOOKUP($J143,'Construction Costs (timber)'!$B$1:$V$32,'Construction Planner'!$L143+2,FALSE)</f>
        <v>#N/A</v>
      </c>
      <c r="AC143" s="14" t="e">
        <f>$DT143*HLOOKUP($J143,'Construction Costs (clay)'!$B$1:$V$32,'Construction Planner'!$L143+2,FALSE)</f>
        <v>#N/A</v>
      </c>
      <c r="AD143" s="14" t="e">
        <f>$DT143*HLOOKUP($J143,'Construction Costs (iron)'!$B$1:$V$32,'Construction Planner'!$L143+2,FALSE)</f>
        <v>#N/A</v>
      </c>
      <c r="AE143" s="34" t="e">
        <f t="shared" si="163"/>
        <v>#N/A</v>
      </c>
      <c r="AF143" s="33" t="e">
        <f t="shared" ref="AF143:AF206" si="198">AB143*($AH$3/$M143)</f>
        <v>#N/A</v>
      </c>
      <c r="AG143" s="14" t="e">
        <f t="shared" ref="AG143:AG206" si="199">AC143*($AH$3/$M143)</f>
        <v>#N/A</v>
      </c>
      <c r="AH143" s="14" t="e">
        <f t="shared" ref="AH143:AH206" si="200">AD143*($AH$3/$M143)</f>
        <v>#N/A</v>
      </c>
      <c r="AI143" s="34" t="e">
        <f t="shared" si="164"/>
        <v>#N/A</v>
      </c>
      <c r="AJ143" s="49" t="e">
        <f t="shared" si="115"/>
        <v>#N/A</v>
      </c>
      <c r="AK143" s="49" t="e">
        <f t="shared" si="116"/>
        <v>#N/A</v>
      </c>
      <c r="AL143" s="49" t="e">
        <f t="shared" si="117"/>
        <v>#N/A</v>
      </c>
      <c r="AM143" s="25">
        <f t="shared" ref="AM143:AM206" si="201">IF(CE143 = 0,$E$3*5,$E$3*30*1.163118^(CE143-1))*(1+$B$10)</f>
        <v>30</v>
      </c>
      <c r="AN143" s="25">
        <f t="shared" ref="AN143:AN206" si="202">IF(CF143 = 0,$E$3*5,$E$3*30*1.163118^(CF143-1))*(1+$B$10)</f>
        <v>30</v>
      </c>
      <c r="AO143" s="25">
        <f t="shared" ref="AO143:AO206" si="203">IF(CG143 = 0,$E$3*5,$E$3*30*1.163118^(CG143-1))*(1+$B$10)</f>
        <v>30</v>
      </c>
      <c r="AP143" s="52" t="e">
        <f t="shared" si="118"/>
        <v>#N/A</v>
      </c>
      <c r="AQ143" s="53" t="e">
        <f t="shared" si="118"/>
        <v>#N/A</v>
      </c>
      <c r="AR143" s="54" t="e">
        <f t="shared" si="118"/>
        <v>#N/A</v>
      </c>
      <c r="AS143" s="316">
        <f t="shared" si="190"/>
        <v>0</v>
      </c>
      <c r="AT143" s="106">
        <f>_xlfn.IFNA($M143/VLOOKUP($BT143,'Unit information'!$A$2:$K$29,2,FALSE)*R143,0)*(1+$E$9)</f>
        <v>0</v>
      </c>
      <c r="AU143" s="107">
        <f>_xlfn.IFNA($M143/VLOOKUP($BT143,'Unit information'!$A$2:$K$29,3,FALSE)*S143,0)*(1+$E$9)</f>
        <v>0</v>
      </c>
      <c r="AV143" s="107">
        <f>_xlfn.IFNA($M143/VLOOKUP($BT143,'Unit information'!$A$2:$K$29,4,FALSE)*T143,0)*(1+$E$9)</f>
        <v>0</v>
      </c>
      <c r="AW143" s="107">
        <f>_xlfn.IFNA($M143/VLOOKUP($BT143,'Unit information'!$A$2:$K$29,5,FALSE)*U143,0)*(1+$E$9)</f>
        <v>0</v>
      </c>
      <c r="AX143" s="107">
        <f>_xlfn.IFNA($M143/VLOOKUP($BU143,'Unit information'!$A$2:$K$29,6,FALSE)*V143,0)*(1+$E$9)</f>
        <v>0</v>
      </c>
      <c r="AY143" s="107">
        <f>_xlfn.IFNA($M143/VLOOKUP($BU143,'Unit information'!$A$2:$K$29,7,FALSE)*W143,0)*(1+$E$9)</f>
        <v>0</v>
      </c>
      <c r="AZ143" s="107">
        <f>_xlfn.IFNA($M143/VLOOKUP($BU143,'Unit information'!$A$2:$K$29,8,FALSE)*X143,0)*(1+$E$9)</f>
        <v>0</v>
      </c>
      <c r="BA143" s="107">
        <f>_xlfn.IFNA($M143/VLOOKUP($BU143,'Unit information'!$A$2:$K$29,9,FALSE)*Y143,0)*(1+$E$9)</f>
        <v>0</v>
      </c>
      <c r="BB143" s="107">
        <f>_xlfn.IFNA($M143/VLOOKUP($BV143,'Unit information'!$A$2:$K$29,10,FALSE)*Z143,0)*(1+$E$9)</f>
        <v>0</v>
      </c>
      <c r="BC143" s="108">
        <f>_xlfn.IFNA($M143/VLOOKUP($BV143,'Unit information'!$A$2:$K$29,11,FALSE)*AA143,0)*(1+$E$9)</f>
        <v>0</v>
      </c>
      <c r="BD143" s="106">
        <f t="shared" ref="BD143:BD206" si="204">$AT143*50+$AU143*30+$AV143*60+$AX143*50+$AY143*125+$BA143*200+$BB143*300+$BC143*320</f>
        <v>0</v>
      </c>
      <c r="BE143" s="107">
        <f t="shared" ref="BE143:BE206" si="205">$AT143*30+$AU143*30+$AV143*30+$AX143*50+$AY143*100+$BA143*150+$BB143*200+$BC143*400</f>
        <v>0</v>
      </c>
      <c r="BF143" s="108">
        <f t="shared" ref="BF143:BF206" si="206">$AT143*10+$AU143*70+$AV143*40+$AX143*20+$AY143*250+$BA143*600+$BB143*200+$BC143*100</f>
        <v>0</v>
      </c>
      <c r="BG143" s="25" t="e">
        <f t="shared" ref="BG143:BG206" si="207">AM143+AP143</f>
        <v>#N/A</v>
      </c>
      <c r="BH143" s="25" t="e">
        <f t="shared" ref="BH143:BH206" si="208">AN143+AQ143</f>
        <v>#N/A</v>
      </c>
      <c r="BI143" s="25" t="e">
        <f t="shared" ref="BI143:BI206" si="209">AO143+AR143</f>
        <v>#N/A</v>
      </c>
      <c r="BJ143" s="27" t="e">
        <f t="shared" ref="BJ143:BJ206" si="210">IF(AJ143&gt;AB143,0,(AB143-AJ143)/BG143*$AK$3)</f>
        <v>#N/A</v>
      </c>
      <c r="BK143" s="18" t="e">
        <f t="shared" ref="BK143:BK206" si="211">IF(AK143&gt;AC143,0,(AC143-AK143)/BH143*$AK$3)</f>
        <v>#N/A</v>
      </c>
      <c r="BL143" s="18" t="e">
        <f t="shared" ref="BL143:BL206" si="212">IF(AL143&gt;AD143,0,(AD143-AL143)/BI143*$AK$3)</f>
        <v>#N/A</v>
      </c>
      <c r="BM143" s="28" t="e">
        <f t="shared" si="166"/>
        <v>#N/A</v>
      </c>
      <c r="BN143" s="33">
        <f>HLOOKUP("maximum population",Miscelaneous!$C$1:$C$33,CH143+3,FALSE)</f>
        <v>240</v>
      </c>
      <c r="BO143" s="14">
        <f t="shared" si="119"/>
        <v>32</v>
      </c>
      <c r="BP143" s="14">
        <f t="shared" si="120"/>
        <v>0</v>
      </c>
      <c r="BQ143" s="14">
        <f t="shared" si="121"/>
        <v>208</v>
      </c>
      <c r="BR143" s="34" t="e">
        <f>HLOOKUP(J143,Villagers!$B$1:$V$33,L143+3,FALSE)-HLOOKUP(J143,Villagers!$B$1:$V$33,L143+2,FALSE)</f>
        <v>#N/A</v>
      </c>
      <c r="BS143" s="49">
        <f t="shared" si="122"/>
        <v>1</v>
      </c>
      <c r="BT143" s="50">
        <f t="shared" si="123"/>
        <v>0</v>
      </c>
      <c r="BU143" s="50">
        <f t="shared" si="124"/>
        <v>0</v>
      </c>
      <c r="BV143" s="50">
        <f t="shared" si="125"/>
        <v>0</v>
      </c>
      <c r="BW143" s="50">
        <f t="shared" si="192"/>
        <v>0</v>
      </c>
      <c r="BX143" s="50">
        <f t="shared" si="191"/>
        <v>0</v>
      </c>
      <c r="BY143" s="50">
        <f t="shared" si="191"/>
        <v>0</v>
      </c>
      <c r="BZ143" s="50">
        <f t="shared" si="167"/>
        <v>0</v>
      </c>
      <c r="CA143" s="50">
        <f t="shared" si="168"/>
        <v>0</v>
      </c>
      <c r="CB143" s="50">
        <f t="shared" si="169"/>
        <v>1</v>
      </c>
      <c r="CC143" s="50">
        <f t="shared" si="170"/>
        <v>0</v>
      </c>
      <c r="CD143" s="50">
        <f t="shared" si="171"/>
        <v>0</v>
      </c>
      <c r="CE143" s="50">
        <f t="shared" si="172"/>
        <v>1</v>
      </c>
      <c r="CF143" s="50">
        <f t="shared" si="173"/>
        <v>1</v>
      </c>
      <c r="CG143" s="50">
        <f t="shared" si="174"/>
        <v>1</v>
      </c>
      <c r="CH143" s="50">
        <f t="shared" si="175"/>
        <v>1</v>
      </c>
      <c r="CI143" s="50">
        <f t="shared" si="176"/>
        <v>1</v>
      </c>
      <c r="CJ143" s="50">
        <f t="shared" si="177"/>
        <v>1</v>
      </c>
      <c r="CK143" s="50">
        <f t="shared" si="177"/>
        <v>0</v>
      </c>
      <c r="CL143" s="50">
        <f t="shared" si="177"/>
        <v>0</v>
      </c>
      <c r="CM143" s="51">
        <f t="shared" si="178"/>
        <v>0</v>
      </c>
      <c r="CN143" s="33">
        <f>ROUND(IF(BS143=0,0,HLOOKUP(BS$14,Villagers!$B$1:$V$33,BS143+3,FALSE)),)</f>
        <v>5</v>
      </c>
      <c r="CO143" s="14">
        <f>ROUND(IF(BT143=0,0,HLOOKUP(BT$14,Villagers!$B$1:$V$33,BT143+3,FALSE)),)</f>
        <v>0</v>
      </c>
      <c r="CP143" s="14">
        <f>ROUND(IF(BU143=0,0,HLOOKUP(BU$14,Villagers!$B$1:$V$33,BU143+3,FALSE)),)</f>
        <v>0</v>
      </c>
      <c r="CQ143" s="14">
        <f>ROUND(IF(BV143=0,0,HLOOKUP(BV$14,Villagers!$B$1:$V$33,BV143+3,FALSE)),)</f>
        <v>0</v>
      </c>
      <c r="CR143" s="14">
        <f>ROUND(IF(BW143=0,0,HLOOKUP(BW$14,Villagers!$B$1:$V$33,BW143+3,FALSE)),)</f>
        <v>0</v>
      </c>
      <c r="CS143" s="14">
        <f>ROUND(IF(BX143=0,0,HLOOKUP(BX$14,Villagers!$B$1:$V$33,BX143+3,FALSE)),)</f>
        <v>0</v>
      </c>
      <c r="CT143" s="14">
        <f>ROUND(IF(BY143=0,0,HLOOKUP(BY$14,Villagers!$B$1:$V$33,BY143+3,FALSE)),)</f>
        <v>0</v>
      </c>
      <c r="CU143" s="14">
        <f>ROUND(IF(BZ143=0,0,HLOOKUP(BZ$14,Villagers!$B$1:$V$33,BZ143+3,FALSE)),)</f>
        <v>0</v>
      </c>
      <c r="CV143" s="14">
        <f>ROUND(IF(CA143=0,0,HLOOKUP(CA$14,Villagers!$B$1:$V$33,CA143+3,FALSE)),)</f>
        <v>0</v>
      </c>
      <c r="CW143" s="14">
        <f>ROUND(IF(CB143=0,0,HLOOKUP(CB$14,Villagers!$B$1:$V$33,CB143+3,FALSE)),)</f>
        <v>0</v>
      </c>
      <c r="CX143" s="14">
        <f>ROUND(IF(CC143=0,0,HLOOKUP(CC$14,Villagers!$B$1:$V$33,CC143+3,FALSE)),)</f>
        <v>0</v>
      </c>
      <c r="CY143" s="14">
        <f>ROUND(IF(CD143=0,0,HLOOKUP(CD$14,Villagers!$B$1:$V$33,CD143+3,FALSE)),)</f>
        <v>0</v>
      </c>
      <c r="CZ143" s="14">
        <f>ROUND(IF(CE143=0,0,HLOOKUP(CE$14,Villagers!$B$1:$V$33,CE143+3,FALSE)),)</f>
        <v>5</v>
      </c>
      <c r="DA143" s="14">
        <f>ROUND(IF(CF143=0,0,HLOOKUP(CF$14,Villagers!$B$1:$V$33,CF143+3,FALSE)),)</f>
        <v>10</v>
      </c>
      <c r="DB143" s="14">
        <f>ROUND(IF(CG143=0,0,HLOOKUP(CG$14,Villagers!$B$1:$V$33,CG143+3,FALSE)),)</f>
        <v>10</v>
      </c>
      <c r="DC143" s="14">
        <f>ROUND(IF(CH143=0,0,HLOOKUP(CH$14,Villagers!$B$1:$V$33,CH143+3,FALSE)),)</f>
        <v>0</v>
      </c>
      <c r="DD143" s="14">
        <f>ROUND(IF(CI143=0,0,HLOOKUP(CI$14,Villagers!$B$1:$V$33,CI143+3,FALSE)),)</f>
        <v>0</v>
      </c>
      <c r="DE143" s="14">
        <f>ROUND(IF(CJ143=0,0,HLOOKUP(CJ$14,Villagers!$B$1:$V$33,CJ143+3,FALSE)),)</f>
        <v>2</v>
      </c>
      <c r="DF143" s="370">
        <f>ROUND(IF(CK143=0,0,HLOOKUP(CK$14,Villagers!$B$1:$V$33,CK143+3,FALSE)),)</f>
        <v>0</v>
      </c>
      <c r="DG143" s="370">
        <f>ROUND(IF(CL143=0,0,HLOOKUP(CL$14,Villagers!$B$1:$V$33,CL143+3,FALSE)),)</f>
        <v>0</v>
      </c>
      <c r="DH143" s="34">
        <f>ROUND(IF(CM143=0,0,HLOOKUP(CM$14,Villagers!$B$1:$V$33,CM143+3,FALSE)),)</f>
        <v>0</v>
      </c>
      <c r="DI143" s="109">
        <f t="shared" si="155"/>
        <v>0</v>
      </c>
      <c r="DJ143" s="50">
        <f t="shared" si="156"/>
        <v>0</v>
      </c>
      <c r="DK143" s="50">
        <f t="shared" si="157"/>
        <v>0</v>
      </c>
      <c r="DL143" s="50">
        <f t="shared" si="158"/>
        <v>0</v>
      </c>
      <c r="DM143" s="50">
        <f t="shared" si="159"/>
        <v>0</v>
      </c>
      <c r="DN143" s="50">
        <f t="shared" si="160"/>
        <v>0</v>
      </c>
      <c r="DO143" s="50">
        <f t="shared" si="161"/>
        <v>0</v>
      </c>
      <c r="DP143" s="50">
        <f t="shared" si="162"/>
        <v>0</v>
      </c>
      <c r="DQ143" s="50">
        <f t="shared" si="140"/>
        <v>0</v>
      </c>
      <c r="DR143" s="50">
        <f t="shared" si="141"/>
        <v>0</v>
      </c>
      <c r="DS143" s="96">
        <f>Miscelaneous!$D$4*Miscelaneous!$D$2^($CI143-1)</f>
        <v>1000</v>
      </c>
      <c r="DT143" s="333">
        <f t="shared" ref="DT143:DT206" si="213">IF(I143&lt;3,1,1.125^(I143-3))</f>
        <v>1</v>
      </c>
      <c r="DU143" s="81">
        <v>1</v>
      </c>
      <c r="DV143" s="79">
        <f t="shared" si="142"/>
        <v>0</v>
      </c>
      <c r="DW143" s="79">
        <f t="shared" si="143"/>
        <v>0</v>
      </c>
      <c r="DX143" s="79">
        <f t="shared" si="144"/>
        <v>0</v>
      </c>
      <c r="DY143" s="79">
        <v>1</v>
      </c>
      <c r="DZ143" s="79">
        <f t="shared" si="145"/>
        <v>0</v>
      </c>
      <c r="EA143" s="79">
        <f t="shared" si="146"/>
        <v>0</v>
      </c>
      <c r="EB143" s="79">
        <f t="shared" si="147"/>
        <v>0</v>
      </c>
      <c r="EC143" s="79">
        <f t="shared" si="148"/>
        <v>0</v>
      </c>
      <c r="ED143" s="79">
        <v>1</v>
      </c>
      <c r="EE143" s="79">
        <v>1</v>
      </c>
      <c r="EF143" s="79">
        <f t="shared" si="149"/>
        <v>0</v>
      </c>
      <c r="EG143" s="79">
        <v>1</v>
      </c>
      <c r="EH143" s="79">
        <v>1</v>
      </c>
      <c r="EI143" s="79">
        <v>1</v>
      </c>
      <c r="EJ143" s="79">
        <v>1</v>
      </c>
      <c r="EK143" s="79">
        <v>1</v>
      </c>
      <c r="EL143" s="79">
        <v>1</v>
      </c>
      <c r="EM143" s="143">
        <f t="shared" si="150"/>
        <v>0</v>
      </c>
      <c r="EN143" s="143">
        <f t="shared" si="151"/>
        <v>0</v>
      </c>
      <c r="EO143" s="82">
        <f t="shared" si="152"/>
        <v>0</v>
      </c>
    </row>
    <row r="144" spans="1:145" x14ac:dyDescent="0.25">
      <c r="A144">
        <v>130</v>
      </c>
      <c r="B144" s="172" t="e">
        <f t="shared" ref="B144:B207" si="214">BM144</f>
        <v>#N/A</v>
      </c>
      <c r="C144" s="121" t="e">
        <f t="shared" si="193"/>
        <v>#N/A</v>
      </c>
      <c r="D144" s="122" t="e">
        <f t="shared" si="194"/>
        <v>#N/A</v>
      </c>
      <c r="E144" s="122" t="e">
        <f t="shared" si="195"/>
        <v>#N/A</v>
      </c>
      <c r="F144" s="176" t="e">
        <f t="shared" si="196"/>
        <v>#N/A</v>
      </c>
      <c r="G144" s="121">
        <f t="shared" ref="G144:G207" si="215">BQ144</f>
        <v>208</v>
      </c>
      <c r="H144" s="176" t="e">
        <f t="shared" ref="H144:H207" si="216">BQ144-SUM(BR144:BR148)</f>
        <v>#N/A</v>
      </c>
      <c r="I144" s="48">
        <v>1</v>
      </c>
      <c r="J144" s="39"/>
      <c r="K144" s="350">
        <v>1</v>
      </c>
      <c r="L144" s="34" t="e">
        <f t="shared" si="197"/>
        <v>#N/A</v>
      </c>
      <c r="M144" s="38" t="e">
        <f>(HLOOKUP(J144,'Construction Times'!$B$3:$W$34,L144+2,FALSE)*HLOOKUP("hq modifier",'Construction Times'!$W$3:$W$34,BS144+2,FALSE))*(1-$H$9)</f>
        <v>#N/A</v>
      </c>
      <c r="N144" s="443" t="e">
        <f t="shared" ref="N144:N207" si="217">P143+M143</f>
        <v>#N/A</v>
      </c>
      <c r="O144" s="444"/>
      <c r="P144" s="447" t="e">
        <f t="shared" ref="P144:P207" si="218">IF(MAX(AB144:AD144)&gt;DS144,"Speicher zu klein",IF(HLOOKUP(J144,$DU$14:$EO$509,A144+2,FALSE)=0,"Gebäude Vor. nicht erfüllt",N144+BM144))</f>
        <v>#N/A</v>
      </c>
      <c r="Q144" s="448"/>
      <c r="R144" s="103">
        <f t="shared" si="153"/>
        <v>0</v>
      </c>
      <c r="S144" s="104">
        <f t="shared" si="153"/>
        <v>0</v>
      </c>
      <c r="T144" s="104">
        <f t="shared" si="154"/>
        <v>0</v>
      </c>
      <c r="U144" s="104">
        <f t="shared" si="154"/>
        <v>0</v>
      </c>
      <c r="V144" s="104">
        <f t="shared" si="154"/>
        <v>9.9999999999999995E-8</v>
      </c>
      <c r="W144" s="104">
        <f>W143</f>
        <v>0</v>
      </c>
      <c r="X144" s="104">
        <f t="shared" si="185"/>
        <v>0</v>
      </c>
      <c r="Y144" s="104">
        <f t="shared" si="185"/>
        <v>9.9999999999999995E-8</v>
      </c>
      <c r="Z144" s="104">
        <f t="shared" si="185"/>
        <v>9.9999999999999995E-8</v>
      </c>
      <c r="AA144" s="105">
        <f t="shared" si="185"/>
        <v>9.9999999999999995E-8</v>
      </c>
      <c r="AB144" s="101" t="e">
        <f>$DT144*HLOOKUP($J144,'Construction Costs (timber)'!$B$1:$V$32,'Construction Planner'!$L144+2,FALSE)</f>
        <v>#N/A</v>
      </c>
      <c r="AC144" s="14" t="e">
        <f>$DT144*HLOOKUP($J144,'Construction Costs (clay)'!$B$1:$V$32,'Construction Planner'!$L144+2,FALSE)</f>
        <v>#N/A</v>
      </c>
      <c r="AD144" s="14" t="e">
        <f>$DT144*HLOOKUP($J144,'Construction Costs (iron)'!$B$1:$V$32,'Construction Planner'!$L144+2,FALSE)</f>
        <v>#N/A</v>
      </c>
      <c r="AE144" s="34" t="e">
        <f t="shared" si="163"/>
        <v>#N/A</v>
      </c>
      <c r="AF144" s="33" t="e">
        <f t="shared" si="198"/>
        <v>#N/A</v>
      </c>
      <c r="AG144" s="14" t="e">
        <f t="shared" si="199"/>
        <v>#N/A</v>
      </c>
      <c r="AH144" s="14" t="e">
        <f t="shared" si="200"/>
        <v>#N/A</v>
      </c>
      <c r="AI144" s="34" t="e">
        <f t="shared" si="164"/>
        <v>#N/A</v>
      </c>
      <c r="AJ144" s="49" t="e">
        <f t="shared" ref="AJ144:AJ207" si="219">(($N144-$N143)/$AK$3)*BG143+AJ143-AB143-BD143</f>
        <v>#N/A</v>
      </c>
      <c r="AK144" s="49" t="e">
        <f t="shared" ref="AK144:AK207" si="220">(($N144-$N143)/$AK$3)*BH143+AK143-AC143-BE143</f>
        <v>#N/A</v>
      </c>
      <c r="AL144" s="49" t="e">
        <f t="shared" ref="AL144:AL207" si="221">(($N144-$N143)/$AK$3)*BI143+AL143-AD143-BF143</f>
        <v>#N/A</v>
      </c>
      <c r="AM144" s="25">
        <f t="shared" si="201"/>
        <v>30</v>
      </c>
      <c r="AN144" s="25">
        <f t="shared" si="202"/>
        <v>30</v>
      </c>
      <c r="AO144" s="25">
        <f t="shared" si="203"/>
        <v>30</v>
      </c>
      <c r="AP144" s="52" t="e">
        <f t="shared" ref="AP144:AR207" si="222">($N144-$AK$6+$AK$9+1)*$AK$5/24/3*$AS144</f>
        <v>#N/A</v>
      </c>
      <c r="AQ144" s="53" t="e">
        <f t="shared" si="222"/>
        <v>#N/A</v>
      </c>
      <c r="AR144" s="54" t="e">
        <f t="shared" si="222"/>
        <v>#N/A</v>
      </c>
      <c r="AS144" s="316">
        <f t="shared" si="190"/>
        <v>0</v>
      </c>
      <c r="AT144" s="106">
        <f>_xlfn.IFNA($M144/VLOOKUP($BT144,'Unit information'!$A$2:$K$29,2,FALSE)*R144,0)*(1+$E$9)</f>
        <v>0</v>
      </c>
      <c r="AU144" s="107">
        <f>_xlfn.IFNA($M144/VLOOKUP($BT144,'Unit information'!$A$2:$K$29,3,FALSE)*S144,0)*(1+$E$9)</f>
        <v>0</v>
      </c>
      <c r="AV144" s="107">
        <f>_xlfn.IFNA($M144/VLOOKUP($BT144,'Unit information'!$A$2:$K$29,4,FALSE)*T144,0)*(1+$E$9)</f>
        <v>0</v>
      </c>
      <c r="AW144" s="107">
        <f>_xlfn.IFNA($M144/VLOOKUP($BT144,'Unit information'!$A$2:$K$29,5,FALSE)*U144,0)*(1+$E$9)</f>
        <v>0</v>
      </c>
      <c r="AX144" s="107">
        <f>_xlfn.IFNA($M144/VLOOKUP($BU144,'Unit information'!$A$2:$K$29,6,FALSE)*V144,0)*(1+$E$9)</f>
        <v>0</v>
      </c>
      <c r="AY144" s="107">
        <f>_xlfn.IFNA($M144/VLOOKUP($BU144,'Unit information'!$A$2:$K$29,7,FALSE)*W144,0)*(1+$E$9)</f>
        <v>0</v>
      </c>
      <c r="AZ144" s="107">
        <f>_xlfn.IFNA($M144/VLOOKUP($BU144,'Unit information'!$A$2:$K$29,8,FALSE)*X144,0)*(1+$E$9)</f>
        <v>0</v>
      </c>
      <c r="BA144" s="107">
        <f>_xlfn.IFNA($M144/VLOOKUP($BU144,'Unit information'!$A$2:$K$29,9,FALSE)*Y144,0)*(1+$E$9)</f>
        <v>0</v>
      </c>
      <c r="BB144" s="107">
        <f>_xlfn.IFNA($M144/VLOOKUP($BV144,'Unit information'!$A$2:$K$29,10,FALSE)*Z144,0)*(1+$E$9)</f>
        <v>0</v>
      </c>
      <c r="BC144" s="108">
        <f>_xlfn.IFNA($M144/VLOOKUP($BV144,'Unit information'!$A$2:$K$29,11,FALSE)*AA144,0)*(1+$E$9)</f>
        <v>0</v>
      </c>
      <c r="BD144" s="106">
        <f t="shared" si="204"/>
        <v>0</v>
      </c>
      <c r="BE144" s="107">
        <f t="shared" si="205"/>
        <v>0</v>
      </c>
      <c r="BF144" s="108">
        <f t="shared" si="206"/>
        <v>0</v>
      </c>
      <c r="BG144" s="25" t="e">
        <f t="shared" si="207"/>
        <v>#N/A</v>
      </c>
      <c r="BH144" s="25" t="e">
        <f t="shared" si="208"/>
        <v>#N/A</v>
      </c>
      <c r="BI144" s="25" t="e">
        <f t="shared" si="209"/>
        <v>#N/A</v>
      </c>
      <c r="BJ144" s="27" t="e">
        <f t="shared" si="210"/>
        <v>#N/A</v>
      </c>
      <c r="BK144" s="18" t="e">
        <f t="shared" si="211"/>
        <v>#N/A</v>
      </c>
      <c r="BL144" s="18" t="e">
        <f t="shared" si="212"/>
        <v>#N/A</v>
      </c>
      <c r="BM144" s="28" t="e">
        <f t="shared" si="166"/>
        <v>#N/A</v>
      </c>
      <c r="BN144" s="33">
        <f>HLOOKUP("maximum population",Miscelaneous!$C$1:$C$33,CH144+3,FALSE)</f>
        <v>240</v>
      </c>
      <c r="BO144" s="14">
        <f t="shared" ref="BO144:BO207" si="223">SUM(CN145:DH145)</f>
        <v>32</v>
      </c>
      <c r="BP144" s="14">
        <f t="shared" ref="BP144:BP207" si="224">SUM(DI144:DL144)+DM144*2+DN144*4+DO144*5+DP144*6+DQ144*5+DR144*8</f>
        <v>0</v>
      </c>
      <c r="BQ144" s="14">
        <f t="shared" ref="BQ144:BQ207" si="225">BN144-BO144-BP144</f>
        <v>208</v>
      </c>
      <c r="BR144" s="34" t="e">
        <f>HLOOKUP(J144,Villagers!$B$1:$V$33,L144+3,FALSE)-HLOOKUP(J144,Villagers!$B$1:$V$33,L144+2,FALSE)</f>
        <v>#N/A</v>
      </c>
      <c r="BS144" s="49">
        <f t="shared" ref="BS144:BS207" si="226">IF($J143=BS$14,$L143,BS143)</f>
        <v>1</v>
      </c>
      <c r="BT144" s="50">
        <f t="shared" ref="BT144:BT207" si="227">IF($J143=BT$14,$L143,BT143)</f>
        <v>0</v>
      </c>
      <c r="BU144" s="50">
        <f t="shared" ref="BU144:BU207" si="228">IF($J143=BU$14,$L143,BU143)</f>
        <v>0</v>
      </c>
      <c r="BV144" s="50">
        <f t="shared" ref="BV144:BV207" si="229">IF($J143=BV$14,$L143,BV143)</f>
        <v>0</v>
      </c>
      <c r="BW144" s="50">
        <f t="shared" ref="BW144:BY150" si="230">IF($J143=BW$14,$L143,BW143)</f>
        <v>0</v>
      </c>
      <c r="BX144" s="50">
        <f t="shared" si="230"/>
        <v>0</v>
      </c>
      <c r="BY144" s="50">
        <f t="shared" si="230"/>
        <v>0</v>
      </c>
      <c r="BZ144" s="50">
        <f t="shared" si="167"/>
        <v>0</v>
      </c>
      <c r="CA144" s="50">
        <f t="shared" si="168"/>
        <v>0</v>
      </c>
      <c r="CB144" s="50">
        <f t="shared" si="169"/>
        <v>1</v>
      </c>
      <c r="CC144" s="50">
        <f t="shared" si="170"/>
        <v>0</v>
      </c>
      <c r="CD144" s="50">
        <f t="shared" si="171"/>
        <v>0</v>
      </c>
      <c r="CE144" s="50">
        <f t="shared" si="172"/>
        <v>1</v>
      </c>
      <c r="CF144" s="50">
        <f t="shared" si="173"/>
        <v>1</v>
      </c>
      <c r="CG144" s="50">
        <f t="shared" si="174"/>
        <v>1</v>
      </c>
      <c r="CH144" s="50">
        <f t="shared" si="175"/>
        <v>1</v>
      </c>
      <c r="CI144" s="50">
        <f t="shared" si="176"/>
        <v>1</v>
      </c>
      <c r="CJ144" s="50">
        <f t="shared" si="177"/>
        <v>1</v>
      </c>
      <c r="CK144" s="50">
        <f t="shared" si="177"/>
        <v>0</v>
      </c>
      <c r="CL144" s="50">
        <f t="shared" si="177"/>
        <v>0</v>
      </c>
      <c r="CM144" s="51">
        <f t="shared" si="178"/>
        <v>0</v>
      </c>
      <c r="CN144" s="33">
        <f>ROUND(IF(BS144=0,0,HLOOKUP(BS$14,Villagers!$B$1:$V$33,BS144+3,FALSE)),)</f>
        <v>5</v>
      </c>
      <c r="CO144" s="14">
        <f>ROUND(IF(BT144=0,0,HLOOKUP(BT$14,Villagers!$B$1:$V$33,BT144+3,FALSE)),)</f>
        <v>0</v>
      </c>
      <c r="CP144" s="14">
        <f>ROUND(IF(BU144=0,0,HLOOKUP(BU$14,Villagers!$B$1:$V$33,BU144+3,FALSE)),)</f>
        <v>0</v>
      </c>
      <c r="CQ144" s="14">
        <f>ROUND(IF(BV144=0,0,HLOOKUP(BV$14,Villagers!$B$1:$V$33,BV144+3,FALSE)),)</f>
        <v>0</v>
      </c>
      <c r="CR144" s="14">
        <f>ROUND(IF(BW144=0,0,HLOOKUP(BW$14,Villagers!$B$1:$V$33,BW144+3,FALSE)),)</f>
        <v>0</v>
      </c>
      <c r="CS144" s="14">
        <f>ROUND(IF(BX144=0,0,HLOOKUP(BX$14,Villagers!$B$1:$V$33,BX144+3,FALSE)),)</f>
        <v>0</v>
      </c>
      <c r="CT144" s="14">
        <f>ROUND(IF(BY144=0,0,HLOOKUP(BY$14,Villagers!$B$1:$V$33,BY144+3,FALSE)),)</f>
        <v>0</v>
      </c>
      <c r="CU144" s="14">
        <f>ROUND(IF(BZ144=0,0,HLOOKUP(BZ$14,Villagers!$B$1:$V$33,BZ144+3,FALSE)),)</f>
        <v>0</v>
      </c>
      <c r="CV144" s="14">
        <f>ROUND(IF(CA144=0,0,HLOOKUP(CA$14,Villagers!$B$1:$V$33,CA144+3,FALSE)),)</f>
        <v>0</v>
      </c>
      <c r="CW144" s="14">
        <f>ROUND(IF(CB144=0,0,HLOOKUP(CB$14,Villagers!$B$1:$V$33,CB144+3,FALSE)),)</f>
        <v>0</v>
      </c>
      <c r="CX144" s="14">
        <f>ROUND(IF(CC144=0,0,HLOOKUP(CC$14,Villagers!$B$1:$V$33,CC144+3,FALSE)),)</f>
        <v>0</v>
      </c>
      <c r="CY144" s="14">
        <f>ROUND(IF(CD144=0,0,HLOOKUP(CD$14,Villagers!$B$1:$V$33,CD144+3,FALSE)),)</f>
        <v>0</v>
      </c>
      <c r="CZ144" s="14">
        <f>ROUND(IF(CE144=0,0,HLOOKUP(CE$14,Villagers!$B$1:$V$33,CE144+3,FALSE)),)</f>
        <v>5</v>
      </c>
      <c r="DA144" s="14">
        <f>ROUND(IF(CF144=0,0,HLOOKUP(CF$14,Villagers!$B$1:$V$33,CF144+3,FALSE)),)</f>
        <v>10</v>
      </c>
      <c r="DB144" s="14">
        <f>ROUND(IF(CG144=0,0,HLOOKUP(CG$14,Villagers!$B$1:$V$33,CG144+3,FALSE)),)</f>
        <v>10</v>
      </c>
      <c r="DC144" s="14">
        <f>ROUND(IF(CH144=0,0,HLOOKUP(CH$14,Villagers!$B$1:$V$33,CH144+3,FALSE)),)</f>
        <v>0</v>
      </c>
      <c r="DD144" s="14">
        <f>ROUND(IF(CI144=0,0,HLOOKUP(CI$14,Villagers!$B$1:$V$33,CI144+3,FALSE)),)</f>
        <v>0</v>
      </c>
      <c r="DE144" s="14">
        <f>ROUND(IF(CJ144=0,0,HLOOKUP(CJ$14,Villagers!$B$1:$V$33,CJ144+3,FALSE)),)</f>
        <v>2</v>
      </c>
      <c r="DF144" s="370">
        <f>ROUND(IF(CK144=0,0,HLOOKUP(CK$14,Villagers!$B$1:$V$33,CK144+3,FALSE)),)</f>
        <v>0</v>
      </c>
      <c r="DG144" s="370">
        <f>ROUND(IF(CL144=0,0,HLOOKUP(CL$14,Villagers!$B$1:$V$33,CL144+3,FALSE)),)</f>
        <v>0</v>
      </c>
      <c r="DH144" s="34">
        <f>ROUND(IF(CM144=0,0,HLOOKUP(CM$14,Villagers!$B$1:$V$33,CM144+3,FALSE)),)</f>
        <v>0</v>
      </c>
      <c r="DI144" s="109">
        <f t="shared" si="155"/>
        <v>0</v>
      </c>
      <c r="DJ144" s="50">
        <f t="shared" si="156"/>
        <v>0</v>
      </c>
      <c r="DK144" s="50">
        <f t="shared" si="157"/>
        <v>0</v>
      </c>
      <c r="DL144" s="50">
        <f t="shared" si="158"/>
        <v>0</v>
      </c>
      <c r="DM144" s="50">
        <f t="shared" si="159"/>
        <v>0</v>
      </c>
      <c r="DN144" s="50">
        <f t="shared" si="160"/>
        <v>0</v>
      </c>
      <c r="DO144" s="50">
        <f t="shared" si="161"/>
        <v>0</v>
      </c>
      <c r="DP144" s="50">
        <f t="shared" si="162"/>
        <v>0</v>
      </c>
      <c r="DQ144" s="50">
        <f t="shared" ref="DQ144:DQ207" si="231">ROUND(_xlfn.IFNA(DQ143+BB144,DQ143),0)</f>
        <v>0</v>
      </c>
      <c r="DR144" s="50">
        <f t="shared" ref="DR144:DR207" si="232">ROUND(_xlfn.IFNA(DR143+BC144,DR143),0)</f>
        <v>0</v>
      </c>
      <c r="DS144" s="96">
        <f>Miscelaneous!$D$4*Miscelaneous!$D$2^($CI144-1)</f>
        <v>1000</v>
      </c>
      <c r="DT144" s="333">
        <f t="shared" si="213"/>
        <v>1</v>
      </c>
      <c r="DU144" s="81">
        <v>1</v>
      </c>
      <c r="DV144" s="79">
        <f t="shared" ref="DV144:DV207" si="233">IF(BS144&gt;2,1,0)</f>
        <v>0</v>
      </c>
      <c r="DW144" s="79">
        <f t="shared" ref="DW144:DW207" si="234">IF(AND(BS144&gt;9,CA144&gt;4,BT144&gt;4)=TRUE,1,0)</f>
        <v>0</v>
      </c>
      <c r="DX144" s="79">
        <f t="shared" ref="DX144:DX207" si="235">IF(AND(BS144&gt;9,CA144&gt;9)=TRUE,1,0)</f>
        <v>0</v>
      </c>
      <c r="DY144" s="79">
        <v>1</v>
      </c>
      <c r="DZ144" s="79">
        <f t="shared" ref="DZ144:DZ207" si="236">IF(AND(BS144&gt;4,CH144&gt;4),1,0)</f>
        <v>0</v>
      </c>
      <c r="EA144" s="79">
        <f t="shared" ref="EA144:EA207" si="237">IF(AND(BS144&gt;4,CH144&gt;4),1,0)</f>
        <v>0</v>
      </c>
      <c r="EB144" s="79">
        <f t="shared" ref="EB144:EB207" si="238">IF(AND(BS144&gt;19,CA144&gt;19,CD144&gt;9)=TRUE,1,0)</f>
        <v>0</v>
      </c>
      <c r="EC144" s="79">
        <f t="shared" ref="EC144:EC207" si="239">IF(AND(BS144&gt;4,BT144&gt;0)=TRUE,1,0)</f>
        <v>0</v>
      </c>
      <c r="ED144" s="79">
        <v>1</v>
      </c>
      <c r="EE144" s="79">
        <v>1</v>
      </c>
      <c r="EF144" s="79">
        <f t="shared" ref="EF144:EF207" si="240">IF(AND(BS144&gt;2,CI144&gt;1),1,0)</f>
        <v>0</v>
      </c>
      <c r="EG144" s="79">
        <v>1</v>
      </c>
      <c r="EH144" s="79">
        <v>1</v>
      </c>
      <c r="EI144" s="79">
        <v>1</v>
      </c>
      <c r="EJ144" s="79">
        <v>1</v>
      </c>
      <c r="EK144" s="79">
        <v>1</v>
      </c>
      <c r="EL144" s="79">
        <v>1</v>
      </c>
      <c r="EM144" s="143">
        <f t="shared" ref="EM144:EM207" si="241">IF(CL144&gt;0,1,0)</f>
        <v>0</v>
      </c>
      <c r="EN144" s="143">
        <f t="shared" ref="EN144:EN207" si="242">IF(BZ144&gt;0,1,0)</f>
        <v>0</v>
      </c>
      <c r="EO144" s="82">
        <f t="shared" ref="EO144:EO207" si="243">IF(BT144&gt;0,1,0)</f>
        <v>0</v>
      </c>
    </row>
    <row r="145" spans="1:145" x14ac:dyDescent="0.25">
      <c r="A145">
        <v>131</v>
      </c>
      <c r="B145" s="172" t="e">
        <f t="shared" si="214"/>
        <v>#N/A</v>
      </c>
      <c r="C145" s="121" t="e">
        <f t="shared" si="193"/>
        <v>#N/A</v>
      </c>
      <c r="D145" s="122" t="e">
        <f t="shared" si="194"/>
        <v>#N/A</v>
      </c>
      <c r="E145" s="122" t="e">
        <f t="shared" si="195"/>
        <v>#N/A</v>
      </c>
      <c r="F145" s="176" t="e">
        <f t="shared" si="196"/>
        <v>#N/A</v>
      </c>
      <c r="G145" s="121">
        <f t="shared" si="215"/>
        <v>208</v>
      </c>
      <c r="H145" s="176" t="e">
        <f t="shared" si="216"/>
        <v>#N/A</v>
      </c>
      <c r="I145" s="48">
        <v>1</v>
      </c>
      <c r="J145" s="39"/>
      <c r="K145" s="350">
        <v>1</v>
      </c>
      <c r="L145" s="34" t="e">
        <f t="shared" si="197"/>
        <v>#N/A</v>
      </c>
      <c r="M145" s="38" t="e">
        <f>(HLOOKUP(J145,'Construction Times'!$B$3:$W$34,L145+2,FALSE)*HLOOKUP("hq modifier",'Construction Times'!$W$3:$W$34,BS145+2,FALSE))*(1-$H$9)</f>
        <v>#N/A</v>
      </c>
      <c r="N145" s="443" t="e">
        <f t="shared" si="217"/>
        <v>#N/A</v>
      </c>
      <c r="O145" s="444"/>
      <c r="P145" s="447" t="e">
        <f t="shared" si="218"/>
        <v>#N/A</v>
      </c>
      <c r="Q145" s="448"/>
      <c r="R145" s="103">
        <f t="shared" ref="R145:S208" si="244">R144</f>
        <v>0</v>
      </c>
      <c r="S145" s="104">
        <f t="shared" si="244"/>
        <v>0</v>
      </c>
      <c r="T145" s="104">
        <f t="shared" ref="T145:W208" si="245">T144</f>
        <v>0</v>
      </c>
      <c r="U145" s="104">
        <f t="shared" si="245"/>
        <v>0</v>
      </c>
      <c r="V145" s="104">
        <f t="shared" si="245"/>
        <v>9.9999999999999995E-8</v>
      </c>
      <c r="W145" s="104">
        <f t="shared" si="245"/>
        <v>0</v>
      </c>
      <c r="X145" s="104">
        <f t="shared" si="185"/>
        <v>0</v>
      </c>
      <c r="Y145" s="104">
        <f t="shared" si="185"/>
        <v>9.9999999999999995E-8</v>
      </c>
      <c r="Z145" s="104">
        <f t="shared" si="185"/>
        <v>9.9999999999999995E-8</v>
      </c>
      <c r="AA145" s="105">
        <f t="shared" si="185"/>
        <v>9.9999999999999995E-8</v>
      </c>
      <c r="AB145" s="101" t="e">
        <f>$DT145*HLOOKUP($J145,'Construction Costs (timber)'!$B$1:$V$32,'Construction Planner'!$L145+2,FALSE)</f>
        <v>#N/A</v>
      </c>
      <c r="AC145" s="14" t="e">
        <f>$DT145*HLOOKUP($J145,'Construction Costs (clay)'!$B$1:$V$32,'Construction Planner'!$L145+2,FALSE)</f>
        <v>#N/A</v>
      </c>
      <c r="AD145" s="14" t="e">
        <f>$DT145*HLOOKUP($J145,'Construction Costs (iron)'!$B$1:$V$32,'Construction Planner'!$L145+2,FALSE)</f>
        <v>#N/A</v>
      </c>
      <c r="AE145" s="34" t="e">
        <f t="shared" si="163"/>
        <v>#N/A</v>
      </c>
      <c r="AF145" s="33" t="e">
        <f t="shared" si="198"/>
        <v>#N/A</v>
      </c>
      <c r="AG145" s="14" t="e">
        <f t="shared" si="199"/>
        <v>#N/A</v>
      </c>
      <c r="AH145" s="14" t="e">
        <f t="shared" si="200"/>
        <v>#N/A</v>
      </c>
      <c r="AI145" s="34" t="e">
        <f t="shared" si="164"/>
        <v>#N/A</v>
      </c>
      <c r="AJ145" s="49" t="e">
        <f t="shared" si="219"/>
        <v>#N/A</v>
      </c>
      <c r="AK145" s="49" t="e">
        <f t="shared" si="220"/>
        <v>#N/A</v>
      </c>
      <c r="AL145" s="49" t="e">
        <f t="shared" si="221"/>
        <v>#N/A</v>
      </c>
      <c r="AM145" s="25">
        <f t="shared" si="201"/>
        <v>30</v>
      </c>
      <c r="AN145" s="25">
        <f t="shared" si="202"/>
        <v>30</v>
      </c>
      <c r="AO145" s="25">
        <f t="shared" si="203"/>
        <v>30</v>
      </c>
      <c r="AP145" s="52" t="e">
        <f t="shared" si="222"/>
        <v>#N/A</v>
      </c>
      <c r="AQ145" s="53" t="e">
        <f t="shared" si="222"/>
        <v>#N/A</v>
      </c>
      <c r="AR145" s="54" t="e">
        <f t="shared" si="222"/>
        <v>#N/A</v>
      </c>
      <c r="AS145" s="316">
        <f t="shared" si="190"/>
        <v>0</v>
      </c>
      <c r="AT145" s="106">
        <f>_xlfn.IFNA($M145/VLOOKUP($BT145,'Unit information'!$A$2:$K$29,2,FALSE)*R145,0)*(1+$E$9)</f>
        <v>0</v>
      </c>
      <c r="AU145" s="107">
        <f>_xlfn.IFNA($M145/VLOOKUP($BT145,'Unit information'!$A$2:$K$29,3,FALSE)*S145,0)*(1+$E$9)</f>
        <v>0</v>
      </c>
      <c r="AV145" s="107">
        <f>_xlfn.IFNA($M145/VLOOKUP($BT145,'Unit information'!$A$2:$K$29,4,FALSE)*T145,0)*(1+$E$9)</f>
        <v>0</v>
      </c>
      <c r="AW145" s="107">
        <f>_xlfn.IFNA($M145/VLOOKUP($BT145,'Unit information'!$A$2:$K$29,5,FALSE)*U145,0)*(1+$E$9)</f>
        <v>0</v>
      </c>
      <c r="AX145" s="107">
        <f>_xlfn.IFNA($M145/VLOOKUP($BU145,'Unit information'!$A$2:$K$29,6,FALSE)*V145,0)*(1+$E$9)</f>
        <v>0</v>
      </c>
      <c r="AY145" s="107">
        <f>_xlfn.IFNA($M145/VLOOKUP($BU145,'Unit information'!$A$2:$K$29,7,FALSE)*W145,0)*(1+$E$9)</f>
        <v>0</v>
      </c>
      <c r="AZ145" s="107">
        <f>_xlfn.IFNA($M145/VLOOKUP($BU145,'Unit information'!$A$2:$K$29,8,FALSE)*X145,0)*(1+$E$9)</f>
        <v>0</v>
      </c>
      <c r="BA145" s="107">
        <f>_xlfn.IFNA($M145/VLOOKUP($BU145,'Unit information'!$A$2:$K$29,9,FALSE)*Y145,0)*(1+$E$9)</f>
        <v>0</v>
      </c>
      <c r="BB145" s="107">
        <f>_xlfn.IFNA($M145/VLOOKUP($BV145,'Unit information'!$A$2:$K$29,10,FALSE)*Z145,0)*(1+$E$9)</f>
        <v>0</v>
      </c>
      <c r="BC145" s="108">
        <f>_xlfn.IFNA($M145/VLOOKUP($BV145,'Unit information'!$A$2:$K$29,11,FALSE)*AA145,0)*(1+$E$9)</f>
        <v>0</v>
      </c>
      <c r="BD145" s="106">
        <f t="shared" si="204"/>
        <v>0</v>
      </c>
      <c r="BE145" s="107">
        <f t="shared" si="205"/>
        <v>0</v>
      </c>
      <c r="BF145" s="108">
        <f t="shared" si="206"/>
        <v>0</v>
      </c>
      <c r="BG145" s="25" t="e">
        <f t="shared" si="207"/>
        <v>#N/A</v>
      </c>
      <c r="BH145" s="25" t="e">
        <f t="shared" si="208"/>
        <v>#N/A</v>
      </c>
      <c r="BI145" s="25" t="e">
        <f t="shared" si="209"/>
        <v>#N/A</v>
      </c>
      <c r="BJ145" s="27" t="e">
        <f t="shared" si="210"/>
        <v>#N/A</v>
      </c>
      <c r="BK145" s="18" t="e">
        <f t="shared" si="211"/>
        <v>#N/A</v>
      </c>
      <c r="BL145" s="18" t="e">
        <f t="shared" si="212"/>
        <v>#N/A</v>
      </c>
      <c r="BM145" s="28" t="e">
        <f t="shared" si="166"/>
        <v>#N/A</v>
      </c>
      <c r="BN145" s="33">
        <f>HLOOKUP("maximum population",Miscelaneous!$C$1:$C$33,CH145+3,FALSE)</f>
        <v>240</v>
      </c>
      <c r="BO145" s="14">
        <f t="shared" si="223"/>
        <v>32</v>
      </c>
      <c r="BP145" s="14">
        <f t="shared" si="224"/>
        <v>0</v>
      </c>
      <c r="BQ145" s="14">
        <f t="shared" si="225"/>
        <v>208</v>
      </c>
      <c r="BR145" s="34" t="e">
        <f>HLOOKUP(J145,Villagers!$B$1:$V$33,L145+3,FALSE)-HLOOKUP(J145,Villagers!$B$1:$V$33,L145+2,FALSE)</f>
        <v>#N/A</v>
      </c>
      <c r="BS145" s="49">
        <f t="shared" si="226"/>
        <v>1</v>
      </c>
      <c r="BT145" s="50">
        <f t="shared" si="227"/>
        <v>0</v>
      </c>
      <c r="BU145" s="50">
        <f t="shared" si="228"/>
        <v>0</v>
      </c>
      <c r="BV145" s="50">
        <f t="shared" si="229"/>
        <v>0</v>
      </c>
      <c r="BW145" s="50">
        <f t="shared" si="230"/>
        <v>0</v>
      </c>
      <c r="BX145" s="50">
        <f t="shared" si="230"/>
        <v>0</v>
      </c>
      <c r="BY145" s="50">
        <f t="shared" si="230"/>
        <v>0</v>
      </c>
      <c r="BZ145" s="50">
        <f t="shared" si="167"/>
        <v>0</v>
      </c>
      <c r="CA145" s="50">
        <f t="shared" si="168"/>
        <v>0</v>
      </c>
      <c r="CB145" s="50">
        <f t="shared" si="169"/>
        <v>1</v>
      </c>
      <c r="CC145" s="50">
        <f t="shared" si="170"/>
        <v>0</v>
      </c>
      <c r="CD145" s="50">
        <f t="shared" si="171"/>
        <v>0</v>
      </c>
      <c r="CE145" s="50">
        <f t="shared" si="172"/>
        <v>1</v>
      </c>
      <c r="CF145" s="50">
        <f t="shared" si="173"/>
        <v>1</v>
      </c>
      <c r="CG145" s="50">
        <f t="shared" si="174"/>
        <v>1</v>
      </c>
      <c r="CH145" s="50">
        <f t="shared" si="175"/>
        <v>1</v>
      </c>
      <c r="CI145" s="50">
        <f t="shared" si="176"/>
        <v>1</v>
      </c>
      <c r="CJ145" s="50">
        <f t="shared" si="177"/>
        <v>1</v>
      </c>
      <c r="CK145" s="50">
        <f t="shared" si="177"/>
        <v>0</v>
      </c>
      <c r="CL145" s="50">
        <f t="shared" si="177"/>
        <v>0</v>
      </c>
      <c r="CM145" s="51">
        <f t="shared" si="178"/>
        <v>0</v>
      </c>
      <c r="CN145" s="33">
        <f>ROUND(IF(BS145=0,0,HLOOKUP(BS$14,Villagers!$B$1:$V$33,BS145+3,FALSE)),)</f>
        <v>5</v>
      </c>
      <c r="CO145" s="14">
        <f>ROUND(IF(BT145=0,0,HLOOKUP(BT$14,Villagers!$B$1:$V$33,BT145+3,FALSE)),)</f>
        <v>0</v>
      </c>
      <c r="CP145" s="14">
        <f>ROUND(IF(BU145=0,0,HLOOKUP(BU$14,Villagers!$B$1:$V$33,BU145+3,FALSE)),)</f>
        <v>0</v>
      </c>
      <c r="CQ145" s="14">
        <f>ROUND(IF(BV145=0,0,HLOOKUP(BV$14,Villagers!$B$1:$V$33,BV145+3,FALSE)),)</f>
        <v>0</v>
      </c>
      <c r="CR145" s="14">
        <f>ROUND(IF(BW145=0,0,HLOOKUP(BW$14,Villagers!$B$1:$V$33,BW145+3,FALSE)),)</f>
        <v>0</v>
      </c>
      <c r="CS145" s="14">
        <f>ROUND(IF(BX145=0,0,HLOOKUP(BX$14,Villagers!$B$1:$V$33,BX145+3,FALSE)),)</f>
        <v>0</v>
      </c>
      <c r="CT145" s="14">
        <f>ROUND(IF(BY145=0,0,HLOOKUP(BY$14,Villagers!$B$1:$V$33,BY145+3,FALSE)),)</f>
        <v>0</v>
      </c>
      <c r="CU145" s="14">
        <f>ROUND(IF(BZ145=0,0,HLOOKUP(BZ$14,Villagers!$B$1:$V$33,BZ145+3,FALSE)),)</f>
        <v>0</v>
      </c>
      <c r="CV145" s="14">
        <f>ROUND(IF(CA145=0,0,HLOOKUP(CA$14,Villagers!$B$1:$V$33,CA145+3,FALSE)),)</f>
        <v>0</v>
      </c>
      <c r="CW145" s="14">
        <f>ROUND(IF(CB145=0,0,HLOOKUP(CB$14,Villagers!$B$1:$V$33,CB145+3,FALSE)),)</f>
        <v>0</v>
      </c>
      <c r="CX145" s="14">
        <f>ROUND(IF(CC145=0,0,HLOOKUP(CC$14,Villagers!$B$1:$V$33,CC145+3,FALSE)),)</f>
        <v>0</v>
      </c>
      <c r="CY145" s="14">
        <f>ROUND(IF(CD145=0,0,HLOOKUP(CD$14,Villagers!$B$1:$V$33,CD145+3,FALSE)),)</f>
        <v>0</v>
      </c>
      <c r="CZ145" s="14">
        <f>ROUND(IF(CE145=0,0,HLOOKUP(CE$14,Villagers!$B$1:$V$33,CE145+3,FALSE)),)</f>
        <v>5</v>
      </c>
      <c r="DA145" s="14">
        <f>ROUND(IF(CF145=0,0,HLOOKUP(CF$14,Villagers!$B$1:$V$33,CF145+3,FALSE)),)</f>
        <v>10</v>
      </c>
      <c r="DB145" s="14">
        <f>ROUND(IF(CG145=0,0,HLOOKUP(CG$14,Villagers!$B$1:$V$33,CG145+3,FALSE)),)</f>
        <v>10</v>
      </c>
      <c r="DC145" s="14">
        <f>ROUND(IF(CH145=0,0,HLOOKUP(CH$14,Villagers!$B$1:$V$33,CH145+3,FALSE)),)</f>
        <v>0</v>
      </c>
      <c r="DD145" s="14">
        <f>ROUND(IF(CI145=0,0,HLOOKUP(CI$14,Villagers!$B$1:$V$33,CI145+3,FALSE)),)</f>
        <v>0</v>
      </c>
      <c r="DE145" s="14">
        <f>ROUND(IF(CJ145=0,0,HLOOKUP(CJ$14,Villagers!$B$1:$V$33,CJ145+3,FALSE)),)</f>
        <v>2</v>
      </c>
      <c r="DF145" s="370">
        <f>ROUND(IF(CK145=0,0,HLOOKUP(CK$14,Villagers!$B$1:$V$33,CK145+3,FALSE)),)</f>
        <v>0</v>
      </c>
      <c r="DG145" s="370">
        <f>ROUND(IF(CL145=0,0,HLOOKUP(CL$14,Villagers!$B$1:$V$33,CL145+3,FALSE)),)</f>
        <v>0</v>
      </c>
      <c r="DH145" s="34">
        <f>ROUND(IF(CM145=0,0,HLOOKUP(CM$14,Villagers!$B$1:$V$33,CM145+3,FALSE)),)</f>
        <v>0</v>
      </c>
      <c r="DI145" s="109">
        <f t="shared" ref="DI145:DI208" si="246">ROUND(_xlfn.IFNA(DI144+AT145,DI144),0)</f>
        <v>0</v>
      </c>
      <c r="DJ145" s="50">
        <f t="shared" ref="DJ145:DJ208" si="247">ROUND(_xlfn.IFNA(DJ144+AU145,DJ144),0)</f>
        <v>0</v>
      </c>
      <c r="DK145" s="50">
        <f t="shared" ref="DK145:DK208" si="248">ROUND(_xlfn.IFNA(DK144+AV145,DK144),0)</f>
        <v>0</v>
      </c>
      <c r="DL145" s="50">
        <f t="shared" ref="DL145:DL208" si="249">ROUND(_xlfn.IFNA(DL144+AW145,DL144),0)</f>
        <v>0</v>
      </c>
      <c r="DM145" s="50">
        <f t="shared" ref="DM145:DM208" si="250">ROUND(_xlfn.IFNA(DM144+AX145,DM144),0)</f>
        <v>0</v>
      </c>
      <c r="DN145" s="50">
        <f t="shared" ref="DN145:DN208" si="251">ROUND(_xlfn.IFNA(DN144+AY145,DN144),0)</f>
        <v>0</v>
      </c>
      <c r="DO145" s="50">
        <f t="shared" ref="DO145:DO208" si="252">ROUND(_xlfn.IFNA(DO144+AZ145,DO144),0)</f>
        <v>0</v>
      </c>
      <c r="DP145" s="50">
        <f t="shared" ref="DP145:DP208" si="253">ROUND(_xlfn.IFNA(DP144+BA145,DP144),0)</f>
        <v>0</v>
      </c>
      <c r="DQ145" s="50">
        <f t="shared" si="231"/>
        <v>0</v>
      </c>
      <c r="DR145" s="50">
        <f t="shared" si="232"/>
        <v>0</v>
      </c>
      <c r="DS145" s="96">
        <f>Miscelaneous!$D$4*Miscelaneous!$D$2^($CI145-1)</f>
        <v>1000</v>
      </c>
      <c r="DT145" s="333">
        <f t="shared" si="213"/>
        <v>1</v>
      </c>
      <c r="DU145" s="81">
        <v>1</v>
      </c>
      <c r="DV145" s="79">
        <f t="shared" si="233"/>
        <v>0</v>
      </c>
      <c r="DW145" s="79">
        <f t="shared" si="234"/>
        <v>0</v>
      </c>
      <c r="DX145" s="79">
        <f t="shared" si="235"/>
        <v>0</v>
      </c>
      <c r="DY145" s="79">
        <v>1</v>
      </c>
      <c r="DZ145" s="79">
        <f t="shared" si="236"/>
        <v>0</v>
      </c>
      <c r="EA145" s="79">
        <f t="shared" si="237"/>
        <v>0</v>
      </c>
      <c r="EB145" s="79">
        <f t="shared" si="238"/>
        <v>0</v>
      </c>
      <c r="EC145" s="79">
        <f t="shared" si="239"/>
        <v>0</v>
      </c>
      <c r="ED145" s="79">
        <v>1</v>
      </c>
      <c r="EE145" s="79">
        <v>1</v>
      </c>
      <c r="EF145" s="79">
        <f t="shared" si="240"/>
        <v>0</v>
      </c>
      <c r="EG145" s="79">
        <v>1</v>
      </c>
      <c r="EH145" s="79">
        <v>1</v>
      </c>
      <c r="EI145" s="79">
        <v>1</v>
      </c>
      <c r="EJ145" s="79">
        <v>1</v>
      </c>
      <c r="EK145" s="79">
        <v>1</v>
      </c>
      <c r="EL145" s="79">
        <v>1</v>
      </c>
      <c r="EM145" s="143">
        <f t="shared" si="241"/>
        <v>0</v>
      </c>
      <c r="EN145" s="143">
        <f t="shared" si="242"/>
        <v>0</v>
      </c>
      <c r="EO145" s="82">
        <f t="shared" si="243"/>
        <v>0</v>
      </c>
    </row>
    <row r="146" spans="1:145" x14ac:dyDescent="0.25">
      <c r="A146">
        <v>132</v>
      </c>
      <c r="B146" s="172" t="e">
        <f t="shared" si="214"/>
        <v>#N/A</v>
      </c>
      <c r="C146" s="121" t="e">
        <f t="shared" si="193"/>
        <v>#N/A</v>
      </c>
      <c r="D146" s="122" t="e">
        <f t="shared" si="194"/>
        <v>#N/A</v>
      </c>
      <c r="E146" s="122" t="e">
        <f t="shared" si="195"/>
        <v>#N/A</v>
      </c>
      <c r="F146" s="176" t="e">
        <f t="shared" si="196"/>
        <v>#N/A</v>
      </c>
      <c r="G146" s="121">
        <f t="shared" si="215"/>
        <v>208</v>
      </c>
      <c r="H146" s="176" t="e">
        <f t="shared" si="216"/>
        <v>#N/A</v>
      </c>
      <c r="I146" s="48">
        <v>1</v>
      </c>
      <c r="J146" s="39"/>
      <c r="K146" s="350">
        <v>1</v>
      </c>
      <c r="L146" s="34" t="e">
        <f t="shared" si="197"/>
        <v>#N/A</v>
      </c>
      <c r="M146" s="38" t="e">
        <f>(HLOOKUP(J146,'Construction Times'!$B$3:$W$34,L146+2,FALSE)*HLOOKUP("hq modifier",'Construction Times'!$W$3:$W$34,BS146+2,FALSE))*(1-$H$9)</f>
        <v>#N/A</v>
      </c>
      <c r="N146" s="443" t="e">
        <f t="shared" si="217"/>
        <v>#N/A</v>
      </c>
      <c r="O146" s="444"/>
      <c r="P146" s="447" t="e">
        <f t="shared" si="218"/>
        <v>#N/A</v>
      </c>
      <c r="Q146" s="448"/>
      <c r="R146" s="103">
        <f t="shared" si="244"/>
        <v>0</v>
      </c>
      <c r="S146" s="104">
        <f t="shared" si="244"/>
        <v>0</v>
      </c>
      <c r="T146" s="104">
        <f t="shared" si="245"/>
        <v>0</v>
      </c>
      <c r="U146" s="104">
        <f t="shared" si="245"/>
        <v>0</v>
      </c>
      <c r="V146" s="104">
        <f t="shared" si="245"/>
        <v>9.9999999999999995E-8</v>
      </c>
      <c r="W146" s="104">
        <f t="shared" si="245"/>
        <v>0</v>
      </c>
      <c r="X146" s="104">
        <f t="shared" si="185"/>
        <v>0</v>
      </c>
      <c r="Y146" s="104">
        <f t="shared" si="185"/>
        <v>9.9999999999999995E-8</v>
      </c>
      <c r="Z146" s="104">
        <f t="shared" si="185"/>
        <v>9.9999999999999995E-8</v>
      </c>
      <c r="AA146" s="105">
        <f t="shared" si="185"/>
        <v>9.9999999999999995E-8</v>
      </c>
      <c r="AB146" s="101" t="e">
        <f>$DT146*HLOOKUP($J146,'Construction Costs (timber)'!$B$1:$V$32,'Construction Planner'!$L146+2,FALSE)</f>
        <v>#N/A</v>
      </c>
      <c r="AC146" s="14" t="e">
        <f>$DT146*HLOOKUP($J146,'Construction Costs (clay)'!$B$1:$V$32,'Construction Planner'!$L146+2,FALSE)</f>
        <v>#N/A</v>
      </c>
      <c r="AD146" s="14" t="e">
        <f>$DT146*HLOOKUP($J146,'Construction Costs (iron)'!$B$1:$V$32,'Construction Planner'!$L146+2,FALSE)</f>
        <v>#N/A</v>
      </c>
      <c r="AE146" s="34" t="e">
        <f t="shared" si="163"/>
        <v>#N/A</v>
      </c>
      <c r="AF146" s="33" t="e">
        <f t="shared" si="198"/>
        <v>#N/A</v>
      </c>
      <c r="AG146" s="14" t="e">
        <f t="shared" si="199"/>
        <v>#N/A</v>
      </c>
      <c r="AH146" s="14" t="e">
        <f t="shared" si="200"/>
        <v>#N/A</v>
      </c>
      <c r="AI146" s="34" t="e">
        <f t="shared" si="164"/>
        <v>#N/A</v>
      </c>
      <c r="AJ146" s="49" t="e">
        <f t="shared" si="219"/>
        <v>#N/A</v>
      </c>
      <c r="AK146" s="49" t="e">
        <f t="shared" si="220"/>
        <v>#N/A</v>
      </c>
      <c r="AL146" s="49" t="e">
        <f t="shared" si="221"/>
        <v>#N/A</v>
      </c>
      <c r="AM146" s="25">
        <f t="shared" si="201"/>
        <v>30</v>
      </c>
      <c r="AN146" s="25">
        <f t="shared" si="202"/>
        <v>30</v>
      </c>
      <c r="AO146" s="25">
        <f t="shared" si="203"/>
        <v>30</v>
      </c>
      <c r="AP146" s="52" t="e">
        <f t="shared" si="222"/>
        <v>#N/A</v>
      </c>
      <c r="AQ146" s="53" t="e">
        <f t="shared" si="222"/>
        <v>#N/A</v>
      </c>
      <c r="AR146" s="54" t="e">
        <f t="shared" si="222"/>
        <v>#N/A</v>
      </c>
      <c r="AS146" s="316">
        <f t="shared" si="190"/>
        <v>0</v>
      </c>
      <c r="AT146" s="106">
        <f>_xlfn.IFNA($M146/VLOOKUP($BT146,'Unit information'!$A$2:$K$29,2,FALSE)*R146,0)*(1+$E$9)</f>
        <v>0</v>
      </c>
      <c r="AU146" s="107">
        <f>_xlfn.IFNA($M146/VLOOKUP($BT146,'Unit information'!$A$2:$K$29,3,FALSE)*S146,0)*(1+$E$9)</f>
        <v>0</v>
      </c>
      <c r="AV146" s="107">
        <f>_xlfn.IFNA($M146/VLOOKUP($BT146,'Unit information'!$A$2:$K$29,4,FALSE)*T146,0)*(1+$E$9)</f>
        <v>0</v>
      </c>
      <c r="AW146" s="107">
        <f>_xlfn.IFNA($M146/VLOOKUP($BT146,'Unit information'!$A$2:$K$29,5,FALSE)*U146,0)*(1+$E$9)</f>
        <v>0</v>
      </c>
      <c r="AX146" s="107">
        <f>_xlfn.IFNA($M146/VLOOKUP($BU146,'Unit information'!$A$2:$K$29,6,FALSE)*V146,0)*(1+$E$9)</f>
        <v>0</v>
      </c>
      <c r="AY146" s="107">
        <f>_xlfn.IFNA($M146/VLOOKUP($BU146,'Unit information'!$A$2:$K$29,7,FALSE)*W146,0)*(1+$E$9)</f>
        <v>0</v>
      </c>
      <c r="AZ146" s="107">
        <f>_xlfn.IFNA($M146/VLOOKUP($BU146,'Unit information'!$A$2:$K$29,8,FALSE)*X146,0)*(1+$E$9)</f>
        <v>0</v>
      </c>
      <c r="BA146" s="107">
        <f>_xlfn.IFNA($M146/VLOOKUP($BU146,'Unit information'!$A$2:$K$29,9,FALSE)*Y146,0)*(1+$E$9)</f>
        <v>0</v>
      </c>
      <c r="BB146" s="107">
        <f>_xlfn.IFNA($M146/VLOOKUP($BV146,'Unit information'!$A$2:$K$29,10,FALSE)*Z146,0)*(1+$E$9)</f>
        <v>0</v>
      </c>
      <c r="BC146" s="108">
        <f>_xlfn.IFNA($M146/VLOOKUP($BV146,'Unit information'!$A$2:$K$29,11,FALSE)*AA146,0)*(1+$E$9)</f>
        <v>0</v>
      </c>
      <c r="BD146" s="106">
        <f t="shared" si="204"/>
        <v>0</v>
      </c>
      <c r="BE146" s="107">
        <f t="shared" si="205"/>
        <v>0</v>
      </c>
      <c r="BF146" s="108">
        <f t="shared" si="206"/>
        <v>0</v>
      </c>
      <c r="BG146" s="25" t="e">
        <f t="shared" si="207"/>
        <v>#N/A</v>
      </c>
      <c r="BH146" s="25" t="e">
        <f t="shared" si="208"/>
        <v>#N/A</v>
      </c>
      <c r="BI146" s="25" t="e">
        <f t="shared" si="209"/>
        <v>#N/A</v>
      </c>
      <c r="BJ146" s="27" t="e">
        <f t="shared" si="210"/>
        <v>#N/A</v>
      </c>
      <c r="BK146" s="18" t="e">
        <f t="shared" si="211"/>
        <v>#N/A</v>
      </c>
      <c r="BL146" s="18" t="e">
        <f t="shared" si="212"/>
        <v>#N/A</v>
      </c>
      <c r="BM146" s="28" t="e">
        <f t="shared" si="166"/>
        <v>#N/A</v>
      </c>
      <c r="BN146" s="33">
        <f>HLOOKUP("maximum population",Miscelaneous!$C$1:$C$33,CH146+3,FALSE)</f>
        <v>240</v>
      </c>
      <c r="BO146" s="14">
        <f t="shared" si="223"/>
        <v>32</v>
      </c>
      <c r="BP146" s="14">
        <f t="shared" si="224"/>
        <v>0</v>
      </c>
      <c r="BQ146" s="14">
        <f t="shared" si="225"/>
        <v>208</v>
      </c>
      <c r="BR146" s="34" t="e">
        <f>HLOOKUP(J146,Villagers!$B$1:$V$33,L146+3,FALSE)-HLOOKUP(J146,Villagers!$B$1:$V$33,L146+2,FALSE)</f>
        <v>#N/A</v>
      </c>
      <c r="BS146" s="49">
        <f t="shared" si="226"/>
        <v>1</v>
      </c>
      <c r="BT146" s="50">
        <f t="shared" si="227"/>
        <v>0</v>
      </c>
      <c r="BU146" s="50">
        <f t="shared" si="228"/>
        <v>0</v>
      </c>
      <c r="BV146" s="50">
        <f t="shared" si="229"/>
        <v>0</v>
      </c>
      <c r="BW146" s="50">
        <f t="shared" si="230"/>
        <v>0</v>
      </c>
      <c r="BX146" s="50">
        <f t="shared" si="230"/>
        <v>0</v>
      </c>
      <c r="BY146" s="50">
        <f t="shared" si="230"/>
        <v>0</v>
      </c>
      <c r="BZ146" s="50">
        <f t="shared" si="167"/>
        <v>0</v>
      </c>
      <c r="CA146" s="50">
        <f t="shared" si="168"/>
        <v>0</v>
      </c>
      <c r="CB146" s="50">
        <f t="shared" si="169"/>
        <v>1</v>
      </c>
      <c r="CC146" s="50">
        <f t="shared" si="170"/>
        <v>0</v>
      </c>
      <c r="CD146" s="50">
        <f t="shared" si="171"/>
        <v>0</v>
      </c>
      <c r="CE146" s="50">
        <f t="shared" si="172"/>
        <v>1</v>
      </c>
      <c r="CF146" s="50">
        <f t="shared" si="173"/>
        <v>1</v>
      </c>
      <c r="CG146" s="50">
        <f t="shared" si="174"/>
        <v>1</v>
      </c>
      <c r="CH146" s="50">
        <f t="shared" si="175"/>
        <v>1</v>
      </c>
      <c r="CI146" s="50">
        <f t="shared" si="176"/>
        <v>1</v>
      </c>
      <c r="CJ146" s="50">
        <f t="shared" si="177"/>
        <v>1</v>
      </c>
      <c r="CK146" s="50">
        <f t="shared" si="177"/>
        <v>0</v>
      </c>
      <c r="CL146" s="50">
        <f t="shared" si="177"/>
        <v>0</v>
      </c>
      <c r="CM146" s="51">
        <f t="shared" si="178"/>
        <v>0</v>
      </c>
      <c r="CN146" s="33">
        <f>ROUND(IF(BS146=0,0,HLOOKUP(BS$14,Villagers!$B$1:$V$33,BS146+3,FALSE)),)</f>
        <v>5</v>
      </c>
      <c r="CO146" s="14">
        <f>ROUND(IF(BT146=0,0,HLOOKUP(BT$14,Villagers!$B$1:$V$33,BT146+3,FALSE)),)</f>
        <v>0</v>
      </c>
      <c r="CP146" s="14">
        <f>ROUND(IF(BU146=0,0,HLOOKUP(BU$14,Villagers!$B$1:$V$33,BU146+3,FALSE)),)</f>
        <v>0</v>
      </c>
      <c r="CQ146" s="14">
        <f>ROUND(IF(BV146=0,0,HLOOKUP(BV$14,Villagers!$B$1:$V$33,BV146+3,FALSE)),)</f>
        <v>0</v>
      </c>
      <c r="CR146" s="14">
        <f>ROUND(IF(BW146=0,0,HLOOKUP(BW$14,Villagers!$B$1:$V$33,BW146+3,FALSE)),)</f>
        <v>0</v>
      </c>
      <c r="CS146" s="14">
        <f>ROUND(IF(BX146=0,0,HLOOKUP(BX$14,Villagers!$B$1:$V$33,BX146+3,FALSE)),)</f>
        <v>0</v>
      </c>
      <c r="CT146" s="14">
        <f>ROUND(IF(BY146=0,0,HLOOKUP(BY$14,Villagers!$B$1:$V$33,BY146+3,FALSE)),)</f>
        <v>0</v>
      </c>
      <c r="CU146" s="14">
        <f>ROUND(IF(BZ146=0,0,HLOOKUP(BZ$14,Villagers!$B$1:$V$33,BZ146+3,FALSE)),)</f>
        <v>0</v>
      </c>
      <c r="CV146" s="14">
        <f>ROUND(IF(CA146=0,0,HLOOKUP(CA$14,Villagers!$B$1:$V$33,CA146+3,FALSE)),)</f>
        <v>0</v>
      </c>
      <c r="CW146" s="14">
        <f>ROUND(IF(CB146=0,0,HLOOKUP(CB$14,Villagers!$B$1:$V$33,CB146+3,FALSE)),)</f>
        <v>0</v>
      </c>
      <c r="CX146" s="14">
        <f>ROUND(IF(CC146=0,0,HLOOKUP(CC$14,Villagers!$B$1:$V$33,CC146+3,FALSE)),)</f>
        <v>0</v>
      </c>
      <c r="CY146" s="14">
        <f>ROUND(IF(CD146=0,0,HLOOKUP(CD$14,Villagers!$B$1:$V$33,CD146+3,FALSE)),)</f>
        <v>0</v>
      </c>
      <c r="CZ146" s="14">
        <f>ROUND(IF(CE146=0,0,HLOOKUP(CE$14,Villagers!$B$1:$V$33,CE146+3,FALSE)),)</f>
        <v>5</v>
      </c>
      <c r="DA146" s="14">
        <f>ROUND(IF(CF146=0,0,HLOOKUP(CF$14,Villagers!$B$1:$V$33,CF146+3,FALSE)),)</f>
        <v>10</v>
      </c>
      <c r="DB146" s="14">
        <f>ROUND(IF(CG146=0,0,HLOOKUP(CG$14,Villagers!$B$1:$V$33,CG146+3,FALSE)),)</f>
        <v>10</v>
      </c>
      <c r="DC146" s="14">
        <f>ROUND(IF(CH146=0,0,HLOOKUP(CH$14,Villagers!$B$1:$V$33,CH146+3,FALSE)),)</f>
        <v>0</v>
      </c>
      <c r="DD146" s="14">
        <f>ROUND(IF(CI146=0,0,HLOOKUP(CI$14,Villagers!$B$1:$V$33,CI146+3,FALSE)),)</f>
        <v>0</v>
      </c>
      <c r="DE146" s="14">
        <f>ROUND(IF(CJ146=0,0,HLOOKUP(CJ$14,Villagers!$B$1:$V$33,CJ146+3,FALSE)),)</f>
        <v>2</v>
      </c>
      <c r="DF146" s="370">
        <f>ROUND(IF(CK146=0,0,HLOOKUP(CK$14,Villagers!$B$1:$V$33,CK146+3,FALSE)),)</f>
        <v>0</v>
      </c>
      <c r="DG146" s="370">
        <f>ROUND(IF(CL146=0,0,HLOOKUP(CL$14,Villagers!$B$1:$V$33,CL146+3,FALSE)),)</f>
        <v>0</v>
      </c>
      <c r="DH146" s="34">
        <f>ROUND(IF(CM146=0,0,HLOOKUP(CM$14,Villagers!$B$1:$V$33,CM146+3,FALSE)),)</f>
        <v>0</v>
      </c>
      <c r="DI146" s="109">
        <f t="shared" si="246"/>
        <v>0</v>
      </c>
      <c r="DJ146" s="50">
        <f t="shared" si="247"/>
        <v>0</v>
      </c>
      <c r="DK146" s="50">
        <f t="shared" si="248"/>
        <v>0</v>
      </c>
      <c r="DL146" s="50">
        <f t="shared" si="249"/>
        <v>0</v>
      </c>
      <c r="DM146" s="50">
        <f t="shared" si="250"/>
        <v>0</v>
      </c>
      <c r="DN146" s="50">
        <f t="shared" si="251"/>
        <v>0</v>
      </c>
      <c r="DO146" s="50">
        <f t="shared" si="252"/>
        <v>0</v>
      </c>
      <c r="DP146" s="50">
        <f t="shared" si="253"/>
        <v>0</v>
      </c>
      <c r="DQ146" s="50">
        <f t="shared" si="231"/>
        <v>0</v>
      </c>
      <c r="DR146" s="50">
        <f t="shared" si="232"/>
        <v>0</v>
      </c>
      <c r="DS146" s="96">
        <f>Miscelaneous!$D$4*Miscelaneous!$D$2^($CI146-1)</f>
        <v>1000</v>
      </c>
      <c r="DT146" s="333">
        <f t="shared" si="213"/>
        <v>1</v>
      </c>
      <c r="DU146" s="81">
        <v>1</v>
      </c>
      <c r="DV146" s="79">
        <f t="shared" si="233"/>
        <v>0</v>
      </c>
      <c r="DW146" s="79">
        <f t="shared" si="234"/>
        <v>0</v>
      </c>
      <c r="DX146" s="79">
        <f t="shared" si="235"/>
        <v>0</v>
      </c>
      <c r="DY146" s="79">
        <v>1</v>
      </c>
      <c r="DZ146" s="79">
        <f t="shared" si="236"/>
        <v>0</v>
      </c>
      <c r="EA146" s="79">
        <f t="shared" si="237"/>
        <v>0</v>
      </c>
      <c r="EB146" s="79">
        <f t="shared" si="238"/>
        <v>0</v>
      </c>
      <c r="EC146" s="79">
        <f t="shared" si="239"/>
        <v>0</v>
      </c>
      <c r="ED146" s="79">
        <v>1</v>
      </c>
      <c r="EE146" s="79">
        <v>1</v>
      </c>
      <c r="EF146" s="79">
        <f t="shared" si="240"/>
        <v>0</v>
      </c>
      <c r="EG146" s="79">
        <v>1</v>
      </c>
      <c r="EH146" s="79">
        <v>1</v>
      </c>
      <c r="EI146" s="79">
        <v>1</v>
      </c>
      <c r="EJ146" s="79">
        <v>1</v>
      </c>
      <c r="EK146" s="79">
        <v>1</v>
      </c>
      <c r="EL146" s="79">
        <v>1</v>
      </c>
      <c r="EM146" s="143">
        <f t="shared" si="241"/>
        <v>0</v>
      </c>
      <c r="EN146" s="143">
        <f t="shared" si="242"/>
        <v>0</v>
      </c>
      <c r="EO146" s="82">
        <f t="shared" si="243"/>
        <v>0</v>
      </c>
    </row>
    <row r="147" spans="1:145" x14ac:dyDescent="0.25">
      <c r="A147">
        <v>133</v>
      </c>
      <c r="B147" s="172" t="e">
        <f t="shared" si="214"/>
        <v>#N/A</v>
      </c>
      <c r="C147" s="121" t="e">
        <f t="shared" si="193"/>
        <v>#N/A</v>
      </c>
      <c r="D147" s="122" t="e">
        <f t="shared" si="194"/>
        <v>#N/A</v>
      </c>
      <c r="E147" s="122" t="e">
        <f t="shared" si="195"/>
        <v>#N/A</v>
      </c>
      <c r="F147" s="176" t="e">
        <f t="shared" si="196"/>
        <v>#N/A</v>
      </c>
      <c r="G147" s="121">
        <f t="shared" si="215"/>
        <v>208</v>
      </c>
      <c r="H147" s="176" t="e">
        <f t="shared" si="216"/>
        <v>#N/A</v>
      </c>
      <c r="I147" s="48">
        <v>1</v>
      </c>
      <c r="J147" s="39"/>
      <c r="K147" s="350">
        <v>1</v>
      </c>
      <c r="L147" s="34" t="e">
        <f t="shared" si="197"/>
        <v>#N/A</v>
      </c>
      <c r="M147" s="38" t="e">
        <f>(HLOOKUP(J147,'Construction Times'!$B$3:$W$34,L147+2,FALSE)*HLOOKUP("hq modifier",'Construction Times'!$W$3:$W$34,BS147+2,FALSE))*(1-$H$9)</f>
        <v>#N/A</v>
      </c>
      <c r="N147" s="443" t="e">
        <f t="shared" si="217"/>
        <v>#N/A</v>
      </c>
      <c r="O147" s="444"/>
      <c r="P147" s="447" t="e">
        <f t="shared" si="218"/>
        <v>#N/A</v>
      </c>
      <c r="Q147" s="448"/>
      <c r="R147" s="103">
        <f t="shared" si="244"/>
        <v>0</v>
      </c>
      <c r="S147" s="104">
        <f t="shared" si="244"/>
        <v>0</v>
      </c>
      <c r="T147" s="104">
        <f t="shared" si="245"/>
        <v>0</v>
      </c>
      <c r="U147" s="104">
        <f t="shared" si="245"/>
        <v>0</v>
      </c>
      <c r="V147" s="104">
        <f t="shared" si="245"/>
        <v>9.9999999999999995E-8</v>
      </c>
      <c r="W147" s="104">
        <f t="shared" si="245"/>
        <v>0</v>
      </c>
      <c r="X147" s="104">
        <f t="shared" si="185"/>
        <v>0</v>
      </c>
      <c r="Y147" s="104">
        <f t="shared" si="185"/>
        <v>9.9999999999999995E-8</v>
      </c>
      <c r="Z147" s="104">
        <f t="shared" si="185"/>
        <v>9.9999999999999995E-8</v>
      </c>
      <c r="AA147" s="105">
        <f t="shared" si="185"/>
        <v>9.9999999999999995E-8</v>
      </c>
      <c r="AB147" s="101" t="e">
        <f>$DT147*HLOOKUP($J147,'Construction Costs (timber)'!$B$1:$V$32,'Construction Planner'!$L147+2,FALSE)</f>
        <v>#N/A</v>
      </c>
      <c r="AC147" s="14" t="e">
        <f>$DT147*HLOOKUP($J147,'Construction Costs (clay)'!$B$1:$V$32,'Construction Planner'!$L147+2,FALSE)</f>
        <v>#N/A</v>
      </c>
      <c r="AD147" s="14" t="e">
        <f>$DT147*HLOOKUP($J147,'Construction Costs (iron)'!$B$1:$V$32,'Construction Planner'!$L147+2,FALSE)</f>
        <v>#N/A</v>
      </c>
      <c r="AE147" s="34" t="e">
        <f t="shared" si="163"/>
        <v>#N/A</v>
      </c>
      <c r="AF147" s="33" t="e">
        <f t="shared" si="198"/>
        <v>#N/A</v>
      </c>
      <c r="AG147" s="14" t="e">
        <f t="shared" si="199"/>
        <v>#N/A</v>
      </c>
      <c r="AH147" s="14" t="e">
        <f t="shared" si="200"/>
        <v>#N/A</v>
      </c>
      <c r="AI147" s="34" t="e">
        <f t="shared" si="164"/>
        <v>#N/A</v>
      </c>
      <c r="AJ147" s="49" t="e">
        <f t="shared" si="219"/>
        <v>#N/A</v>
      </c>
      <c r="AK147" s="49" t="e">
        <f t="shared" si="220"/>
        <v>#N/A</v>
      </c>
      <c r="AL147" s="49" t="e">
        <f t="shared" si="221"/>
        <v>#N/A</v>
      </c>
      <c r="AM147" s="25">
        <f t="shared" si="201"/>
        <v>30</v>
      </c>
      <c r="AN147" s="25">
        <f t="shared" si="202"/>
        <v>30</v>
      </c>
      <c r="AO147" s="25">
        <f t="shared" si="203"/>
        <v>30</v>
      </c>
      <c r="AP147" s="52" t="e">
        <f t="shared" si="222"/>
        <v>#N/A</v>
      </c>
      <c r="AQ147" s="53" t="e">
        <f t="shared" si="222"/>
        <v>#N/A</v>
      </c>
      <c r="AR147" s="54" t="e">
        <f t="shared" si="222"/>
        <v>#N/A</v>
      </c>
      <c r="AS147" s="316">
        <f t="shared" si="190"/>
        <v>0</v>
      </c>
      <c r="AT147" s="106">
        <f>_xlfn.IFNA($M147/VLOOKUP($BT147,'Unit information'!$A$2:$K$29,2,FALSE)*R147,0)*(1+$E$9)</f>
        <v>0</v>
      </c>
      <c r="AU147" s="107">
        <f>_xlfn.IFNA($M147/VLOOKUP($BT147,'Unit information'!$A$2:$K$29,3,FALSE)*S147,0)*(1+$E$9)</f>
        <v>0</v>
      </c>
      <c r="AV147" s="107">
        <f>_xlfn.IFNA($M147/VLOOKUP($BT147,'Unit information'!$A$2:$K$29,4,FALSE)*T147,0)*(1+$E$9)</f>
        <v>0</v>
      </c>
      <c r="AW147" s="107">
        <f>_xlfn.IFNA($M147/VLOOKUP($BT147,'Unit information'!$A$2:$K$29,5,FALSE)*U147,0)*(1+$E$9)</f>
        <v>0</v>
      </c>
      <c r="AX147" s="107">
        <f>_xlfn.IFNA($M147/VLOOKUP($BU147,'Unit information'!$A$2:$K$29,6,FALSE)*V147,0)*(1+$E$9)</f>
        <v>0</v>
      </c>
      <c r="AY147" s="107">
        <f>_xlfn.IFNA($M147/VLOOKUP($BU147,'Unit information'!$A$2:$K$29,7,FALSE)*W147,0)*(1+$E$9)</f>
        <v>0</v>
      </c>
      <c r="AZ147" s="107">
        <f>_xlfn.IFNA($M147/VLOOKUP($BU147,'Unit information'!$A$2:$K$29,8,FALSE)*X147,0)*(1+$E$9)</f>
        <v>0</v>
      </c>
      <c r="BA147" s="107">
        <f>_xlfn.IFNA($M147/VLOOKUP($BU147,'Unit information'!$A$2:$K$29,9,FALSE)*Y147,0)*(1+$E$9)</f>
        <v>0</v>
      </c>
      <c r="BB147" s="107">
        <f>_xlfn.IFNA($M147/VLOOKUP($BV147,'Unit information'!$A$2:$K$29,10,FALSE)*Z147,0)*(1+$E$9)</f>
        <v>0</v>
      </c>
      <c r="BC147" s="108">
        <f>_xlfn.IFNA($M147/VLOOKUP($BV147,'Unit information'!$A$2:$K$29,11,FALSE)*AA147,0)*(1+$E$9)</f>
        <v>0</v>
      </c>
      <c r="BD147" s="106">
        <f t="shared" si="204"/>
        <v>0</v>
      </c>
      <c r="BE147" s="107">
        <f t="shared" si="205"/>
        <v>0</v>
      </c>
      <c r="BF147" s="108">
        <f t="shared" si="206"/>
        <v>0</v>
      </c>
      <c r="BG147" s="25" t="e">
        <f t="shared" si="207"/>
        <v>#N/A</v>
      </c>
      <c r="BH147" s="25" t="e">
        <f t="shared" si="208"/>
        <v>#N/A</v>
      </c>
      <c r="BI147" s="25" t="e">
        <f t="shared" si="209"/>
        <v>#N/A</v>
      </c>
      <c r="BJ147" s="27" t="e">
        <f t="shared" si="210"/>
        <v>#N/A</v>
      </c>
      <c r="BK147" s="18" t="e">
        <f t="shared" si="211"/>
        <v>#N/A</v>
      </c>
      <c r="BL147" s="18" t="e">
        <f t="shared" si="212"/>
        <v>#N/A</v>
      </c>
      <c r="BM147" s="28" t="e">
        <f t="shared" si="166"/>
        <v>#N/A</v>
      </c>
      <c r="BN147" s="33">
        <f>HLOOKUP("maximum population",Miscelaneous!$C$1:$C$33,CH147+3,FALSE)</f>
        <v>240</v>
      </c>
      <c r="BO147" s="14">
        <f t="shared" si="223"/>
        <v>32</v>
      </c>
      <c r="BP147" s="14">
        <f t="shared" si="224"/>
        <v>0</v>
      </c>
      <c r="BQ147" s="14">
        <f t="shared" si="225"/>
        <v>208</v>
      </c>
      <c r="BR147" s="34" t="e">
        <f>HLOOKUP(J147,Villagers!$B$1:$V$33,L147+3,FALSE)-HLOOKUP(J147,Villagers!$B$1:$V$33,L147+2,FALSE)</f>
        <v>#N/A</v>
      </c>
      <c r="BS147" s="49">
        <f t="shared" si="226"/>
        <v>1</v>
      </c>
      <c r="BT147" s="50">
        <f t="shared" si="227"/>
        <v>0</v>
      </c>
      <c r="BU147" s="50">
        <f t="shared" si="228"/>
        <v>0</v>
      </c>
      <c r="BV147" s="50">
        <f t="shared" si="229"/>
        <v>0</v>
      </c>
      <c r="BW147" s="50">
        <f t="shared" si="230"/>
        <v>0</v>
      </c>
      <c r="BX147" s="50">
        <f t="shared" si="230"/>
        <v>0</v>
      </c>
      <c r="BY147" s="50">
        <f t="shared" si="230"/>
        <v>0</v>
      </c>
      <c r="BZ147" s="50">
        <f t="shared" si="167"/>
        <v>0</v>
      </c>
      <c r="CA147" s="50">
        <f t="shared" si="168"/>
        <v>0</v>
      </c>
      <c r="CB147" s="50">
        <f t="shared" si="169"/>
        <v>1</v>
      </c>
      <c r="CC147" s="50">
        <f t="shared" si="170"/>
        <v>0</v>
      </c>
      <c r="CD147" s="50">
        <f t="shared" si="171"/>
        <v>0</v>
      </c>
      <c r="CE147" s="50">
        <f t="shared" si="172"/>
        <v>1</v>
      </c>
      <c r="CF147" s="50">
        <f t="shared" si="173"/>
        <v>1</v>
      </c>
      <c r="CG147" s="50">
        <f t="shared" si="174"/>
        <v>1</v>
      </c>
      <c r="CH147" s="50">
        <f t="shared" si="175"/>
        <v>1</v>
      </c>
      <c r="CI147" s="50">
        <f t="shared" si="176"/>
        <v>1</v>
      </c>
      <c r="CJ147" s="50">
        <f t="shared" si="177"/>
        <v>1</v>
      </c>
      <c r="CK147" s="50">
        <f t="shared" si="177"/>
        <v>0</v>
      </c>
      <c r="CL147" s="50">
        <f t="shared" si="177"/>
        <v>0</v>
      </c>
      <c r="CM147" s="51">
        <f t="shared" si="178"/>
        <v>0</v>
      </c>
      <c r="CN147" s="33">
        <f>ROUND(IF(BS147=0,0,HLOOKUP(BS$14,Villagers!$B$1:$V$33,BS147+3,FALSE)),)</f>
        <v>5</v>
      </c>
      <c r="CO147" s="14">
        <f>ROUND(IF(BT147=0,0,HLOOKUP(BT$14,Villagers!$B$1:$V$33,BT147+3,FALSE)),)</f>
        <v>0</v>
      </c>
      <c r="CP147" s="14">
        <f>ROUND(IF(BU147=0,0,HLOOKUP(BU$14,Villagers!$B$1:$V$33,BU147+3,FALSE)),)</f>
        <v>0</v>
      </c>
      <c r="CQ147" s="14">
        <f>ROUND(IF(BV147=0,0,HLOOKUP(BV$14,Villagers!$B$1:$V$33,BV147+3,FALSE)),)</f>
        <v>0</v>
      </c>
      <c r="CR147" s="14">
        <f>ROUND(IF(BW147=0,0,HLOOKUP(BW$14,Villagers!$B$1:$V$33,BW147+3,FALSE)),)</f>
        <v>0</v>
      </c>
      <c r="CS147" s="14">
        <f>ROUND(IF(BX147=0,0,HLOOKUP(BX$14,Villagers!$B$1:$V$33,BX147+3,FALSE)),)</f>
        <v>0</v>
      </c>
      <c r="CT147" s="14">
        <f>ROUND(IF(BY147=0,0,HLOOKUP(BY$14,Villagers!$B$1:$V$33,BY147+3,FALSE)),)</f>
        <v>0</v>
      </c>
      <c r="CU147" s="14">
        <f>ROUND(IF(BZ147=0,0,HLOOKUP(BZ$14,Villagers!$B$1:$V$33,BZ147+3,FALSE)),)</f>
        <v>0</v>
      </c>
      <c r="CV147" s="14">
        <f>ROUND(IF(CA147=0,0,HLOOKUP(CA$14,Villagers!$B$1:$V$33,CA147+3,FALSE)),)</f>
        <v>0</v>
      </c>
      <c r="CW147" s="14">
        <f>ROUND(IF(CB147=0,0,HLOOKUP(CB$14,Villagers!$B$1:$V$33,CB147+3,FALSE)),)</f>
        <v>0</v>
      </c>
      <c r="CX147" s="14">
        <f>ROUND(IF(CC147=0,0,HLOOKUP(CC$14,Villagers!$B$1:$V$33,CC147+3,FALSE)),)</f>
        <v>0</v>
      </c>
      <c r="CY147" s="14">
        <f>ROUND(IF(CD147=0,0,HLOOKUP(CD$14,Villagers!$B$1:$V$33,CD147+3,FALSE)),)</f>
        <v>0</v>
      </c>
      <c r="CZ147" s="14">
        <f>ROUND(IF(CE147=0,0,HLOOKUP(CE$14,Villagers!$B$1:$V$33,CE147+3,FALSE)),)</f>
        <v>5</v>
      </c>
      <c r="DA147" s="14">
        <f>ROUND(IF(CF147=0,0,HLOOKUP(CF$14,Villagers!$B$1:$V$33,CF147+3,FALSE)),)</f>
        <v>10</v>
      </c>
      <c r="DB147" s="14">
        <f>ROUND(IF(CG147=0,0,HLOOKUP(CG$14,Villagers!$B$1:$V$33,CG147+3,FALSE)),)</f>
        <v>10</v>
      </c>
      <c r="DC147" s="14">
        <f>ROUND(IF(CH147=0,0,HLOOKUP(CH$14,Villagers!$B$1:$V$33,CH147+3,FALSE)),)</f>
        <v>0</v>
      </c>
      <c r="DD147" s="14">
        <f>ROUND(IF(CI147=0,0,HLOOKUP(CI$14,Villagers!$B$1:$V$33,CI147+3,FALSE)),)</f>
        <v>0</v>
      </c>
      <c r="DE147" s="14">
        <f>ROUND(IF(CJ147=0,0,HLOOKUP(CJ$14,Villagers!$B$1:$V$33,CJ147+3,FALSE)),)</f>
        <v>2</v>
      </c>
      <c r="DF147" s="370">
        <f>ROUND(IF(CK147=0,0,HLOOKUP(CK$14,Villagers!$B$1:$V$33,CK147+3,FALSE)),)</f>
        <v>0</v>
      </c>
      <c r="DG147" s="370">
        <f>ROUND(IF(CL147=0,0,HLOOKUP(CL$14,Villagers!$B$1:$V$33,CL147+3,FALSE)),)</f>
        <v>0</v>
      </c>
      <c r="DH147" s="34">
        <f>ROUND(IF(CM147=0,0,HLOOKUP(CM$14,Villagers!$B$1:$V$33,CM147+3,FALSE)),)</f>
        <v>0</v>
      </c>
      <c r="DI147" s="109">
        <f t="shared" si="246"/>
        <v>0</v>
      </c>
      <c r="DJ147" s="50">
        <f t="shared" si="247"/>
        <v>0</v>
      </c>
      <c r="DK147" s="50">
        <f t="shared" si="248"/>
        <v>0</v>
      </c>
      <c r="DL147" s="50">
        <f t="shared" si="249"/>
        <v>0</v>
      </c>
      <c r="DM147" s="50">
        <f t="shared" si="250"/>
        <v>0</v>
      </c>
      <c r="DN147" s="50">
        <f t="shared" si="251"/>
        <v>0</v>
      </c>
      <c r="DO147" s="50">
        <f t="shared" si="252"/>
        <v>0</v>
      </c>
      <c r="DP147" s="50">
        <f t="shared" si="253"/>
        <v>0</v>
      </c>
      <c r="DQ147" s="50">
        <f t="shared" si="231"/>
        <v>0</v>
      </c>
      <c r="DR147" s="50">
        <f t="shared" si="232"/>
        <v>0</v>
      </c>
      <c r="DS147" s="96">
        <f>Miscelaneous!$D$4*Miscelaneous!$D$2^($CI147-1)</f>
        <v>1000</v>
      </c>
      <c r="DT147" s="333">
        <f t="shared" si="213"/>
        <v>1</v>
      </c>
      <c r="DU147" s="81">
        <v>1</v>
      </c>
      <c r="DV147" s="79">
        <f t="shared" si="233"/>
        <v>0</v>
      </c>
      <c r="DW147" s="79">
        <f t="shared" si="234"/>
        <v>0</v>
      </c>
      <c r="DX147" s="79">
        <f t="shared" si="235"/>
        <v>0</v>
      </c>
      <c r="DY147" s="79">
        <v>1</v>
      </c>
      <c r="DZ147" s="79">
        <f t="shared" si="236"/>
        <v>0</v>
      </c>
      <c r="EA147" s="79">
        <f t="shared" si="237"/>
        <v>0</v>
      </c>
      <c r="EB147" s="79">
        <f t="shared" si="238"/>
        <v>0</v>
      </c>
      <c r="EC147" s="79">
        <f t="shared" si="239"/>
        <v>0</v>
      </c>
      <c r="ED147" s="79">
        <v>1</v>
      </c>
      <c r="EE147" s="79">
        <v>1</v>
      </c>
      <c r="EF147" s="79">
        <f t="shared" si="240"/>
        <v>0</v>
      </c>
      <c r="EG147" s="79">
        <v>1</v>
      </c>
      <c r="EH147" s="79">
        <v>1</v>
      </c>
      <c r="EI147" s="79">
        <v>1</v>
      </c>
      <c r="EJ147" s="79">
        <v>1</v>
      </c>
      <c r="EK147" s="79">
        <v>1</v>
      </c>
      <c r="EL147" s="79">
        <v>1</v>
      </c>
      <c r="EM147" s="143">
        <f t="shared" si="241"/>
        <v>0</v>
      </c>
      <c r="EN147" s="143">
        <f t="shared" si="242"/>
        <v>0</v>
      </c>
      <c r="EO147" s="82">
        <f t="shared" si="243"/>
        <v>0</v>
      </c>
    </row>
    <row r="148" spans="1:145" x14ac:dyDescent="0.25">
      <c r="A148">
        <v>134</v>
      </c>
      <c r="B148" s="172" t="e">
        <f t="shared" si="214"/>
        <v>#N/A</v>
      </c>
      <c r="C148" s="121" t="e">
        <f t="shared" si="193"/>
        <v>#N/A</v>
      </c>
      <c r="D148" s="122" t="e">
        <f t="shared" si="194"/>
        <v>#N/A</v>
      </c>
      <c r="E148" s="122" t="e">
        <f t="shared" si="195"/>
        <v>#N/A</v>
      </c>
      <c r="F148" s="176" t="e">
        <f t="shared" si="196"/>
        <v>#N/A</v>
      </c>
      <c r="G148" s="121">
        <f t="shared" si="215"/>
        <v>208</v>
      </c>
      <c r="H148" s="176" t="e">
        <f t="shared" si="216"/>
        <v>#N/A</v>
      </c>
      <c r="I148" s="48">
        <v>1</v>
      </c>
      <c r="J148" s="39"/>
      <c r="K148" s="350">
        <v>1</v>
      </c>
      <c r="L148" s="34" t="e">
        <f t="shared" si="197"/>
        <v>#N/A</v>
      </c>
      <c r="M148" s="38" t="e">
        <f>(HLOOKUP(J148,'Construction Times'!$B$3:$W$34,L148+2,FALSE)*HLOOKUP("hq modifier",'Construction Times'!$W$3:$W$34,BS148+2,FALSE))*(1-$H$9)</f>
        <v>#N/A</v>
      </c>
      <c r="N148" s="443" t="e">
        <f t="shared" si="217"/>
        <v>#N/A</v>
      </c>
      <c r="O148" s="444"/>
      <c r="P148" s="447" t="e">
        <f t="shared" si="218"/>
        <v>#N/A</v>
      </c>
      <c r="Q148" s="448"/>
      <c r="R148" s="103">
        <f t="shared" si="244"/>
        <v>0</v>
      </c>
      <c r="S148" s="104">
        <f t="shared" si="244"/>
        <v>0</v>
      </c>
      <c r="T148" s="104">
        <f t="shared" si="245"/>
        <v>0</v>
      </c>
      <c r="U148" s="104">
        <f t="shared" si="245"/>
        <v>0</v>
      </c>
      <c r="V148" s="104">
        <f t="shared" si="245"/>
        <v>9.9999999999999995E-8</v>
      </c>
      <c r="W148" s="104">
        <f t="shared" si="245"/>
        <v>0</v>
      </c>
      <c r="X148" s="104">
        <f t="shared" si="185"/>
        <v>0</v>
      </c>
      <c r="Y148" s="104">
        <f t="shared" si="185"/>
        <v>9.9999999999999995E-8</v>
      </c>
      <c r="Z148" s="104">
        <f t="shared" si="185"/>
        <v>9.9999999999999995E-8</v>
      </c>
      <c r="AA148" s="105">
        <f t="shared" si="185"/>
        <v>9.9999999999999995E-8</v>
      </c>
      <c r="AB148" s="101" t="e">
        <f>$DT148*HLOOKUP($J148,'Construction Costs (timber)'!$B$1:$V$32,'Construction Planner'!$L148+2,FALSE)</f>
        <v>#N/A</v>
      </c>
      <c r="AC148" s="14" t="e">
        <f>$DT148*HLOOKUP($J148,'Construction Costs (clay)'!$B$1:$V$32,'Construction Planner'!$L148+2,FALSE)</f>
        <v>#N/A</v>
      </c>
      <c r="AD148" s="14" t="e">
        <f>$DT148*HLOOKUP($J148,'Construction Costs (iron)'!$B$1:$V$32,'Construction Planner'!$L148+2,FALSE)</f>
        <v>#N/A</v>
      </c>
      <c r="AE148" s="34" t="e">
        <f t="shared" ref="AE148:AE211" si="254">SUM(AB148:AD148)</f>
        <v>#N/A</v>
      </c>
      <c r="AF148" s="33" t="e">
        <f t="shared" si="198"/>
        <v>#N/A</v>
      </c>
      <c r="AG148" s="14" t="e">
        <f t="shared" si="199"/>
        <v>#N/A</v>
      </c>
      <c r="AH148" s="14" t="e">
        <f t="shared" si="200"/>
        <v>#N/A</v>
      </c>
      <c r="AI148" s="34" t="e">
        <f t="shared" ref="AI148:AI211" si="255">SUM(AF148:AH148)</f>
        <v>#N/A</v>
      </c>
      <c r="AJ148" s="49" t="e">
        <f t="shared" si="219"/>
        <v>#N/A</v>
      </c>
      <c r="AK148" s="49" t="e">
        <f t="shared" si="220"/>
        <v>#N/A</v>
      </c>
      <c r="AL148" s="49" t="e">
        <f t="shared" si="221"/>
        <v>#N/A</v>
      </c>
      <c r="AM148" s="25">
        <f t="shared" si="201"/>
        <v>30</v>
      </c>
      <c r="AN148" s="25">
        <f t="shared" si="202"/>
        <v>30</v>
      </c>
      <c r="AO148" s="25">
        <f t="shared" si="203"/>
        <v>30</v>
      </c>
      <c r="AP148" s="52" t="e">
        <f t="shared" si="222"/>
        <v>#N/A</v>
      </c>
      <c r="AQ148" s="53" t="e">
        <f t="shared" si="222"/>
        <v>#N/A</v>
      </c>
      <c r="AR148" s="54" t="e">
        <f t="shared" si="222"/>
        <v>#N/A</v>
      </c>
      <c r="AS148" s="316">
        <f t="shared" ref="AS148:AS163" si="256">AS147</f>
        <v>0</v>
      </c>
      <c r="AT148" s="106">
        <f>_xlfn.IFNA($M148/VLOOKUP($BT148,'Unit information'!$A$2:$K$29,2,FALSE)*R148,0)*(1+$E$9)</f>
        <v>0</v>
      </c>
      <c r="AU148" s="107">
        <f>_xlfn.IFNA($M148/VLOOKUP($BT148,'Unit information'!$A$2:$K$29,3,FALSE)*S148,0)*(1+$E$9)</f>
        <v>0</v>
      </c>
      <c r="AV148" s="107">
        <f>_xlfn.IFNA($M148/VLOOKUP($BT148,'Unit information'!$A$2:$K$29,4,FALSE)*T148,0)*(1+$E$9)</f>
        <v>0</v>
      </c>
      <c r="AW148" s="107">
        <f>_xlfn.IFNA($M148/VLOOKUP($BT148,'Unit information'!$A$2:$K$29,5,FALSE)*U148,0)*(1+$E$9)</f>
        <v>0</v>
      </c>
      <c r="AX148" s="107">
        <f>_xlfn.IFNA($M148/VLOOKUP($BU148,'Unit information'!$A$2:$K$29,6,FALSE)*V148,0)*(1+$E$9)</f>
        <v>0</v>
      </c>
      <c r="AY148" s="107">
        <f>_xlfn.IFNA($M148/VLOOKUP($BU148,'Unit information'!$A$2:$K$29,7,FALSE)*W148,0)*(1+$E$9)</f>
        <v>0</v>
      </c>
      <c r="AZ148" s="107">
        <f>_xlfn.IFNA($M148/VLOOKUP($BU148,'Unit information'!$A$2:$K$29,8,FALSE)*X148,0)*(1+$E$9)</f>
        <v>0</v>
      </c>
      <c r="BA148" s="107">
        <f>_xlfn.IFNA($M148/VLOOKUP($BU148,'Unit information'!$A$2:$K$29,9,FALSE)*Y148,0)*(1+$E$9)</f>
        <v>0</v>
      </c>
      <c r="BB148" s="107">
        <f>_xlfn.IFNA($M148/VLOOKUP($BV148,'Unit information'!$A$2:$K$29,10,FALSE)*Z148,0)*(1+$E$9)</f>
        <v>0</v>
      </c>
      <c r="BC148" s="108">
        <f>_xlfn.IFNA($M148/VLOOKUP($BV148,'Unit information'!$A$2:$K$29,11,FALSE)*AA148,0)*(1+$E$9)</f>
        <v>0</v>
      </c>
      <c r="BD148" s="106">
        <f t="shared" si="204"/>
        <v>0</v>
      </c>
      <c r="BE148" s="107">
        <f t="shared" si="205"/>
        <v>0</v>
      </c>
      <c r="BF148" s="108">
        <f t="shared" si="206"/>
        <v>0</v>
      </c>
      <c r="BG148" s="25" t="e">
        <f t="shared" si="207"/>
        <v>#N/A</v>
      </c>
      <c r="BH148" s="25" t="e">
        <f t="shared" si="208"/>
        <v>#N/A</v>
      </c>
      <c r="BI148" s="25" t="e">
        <f t="shared" si="209"/>
        <v>#N/A</v>
      </c>
      <c r="BJ148" s="27" t="e">
        <f t="shared" si="210"/>
        <v>#N/A</v>
      </c>
      <c r="BK148" s="18" t="e">
        <f t="shared" si="211"/>
        <v>#N/A</v>
      </c>
      <c r="BL148" s="18" t="e">
        <f t="shared" si="212"/>
        <v>#N/A</v>
      </c>
      <c r="BM148" s="28" t="e">
        <f t="shared" ref="BM148:BM211" si="257">MAX(BJ148:BL148)</f>
        <v>#N/A</v>
      </c>
      <c r="BN148" s="33">
        <f>HLOOKUP("maximum population",Miscelaneous!$C$1:$C$33,CH148+3,FALSE)</f>
        <v>240</v>
      </c>
      <c r="BO148" s="14">
        <f t="shared" si="223"/>
        <v>32</v>
      </c>
      <c r="BP148" s="14">
        <f t="shared" si="224"/>
        <v>0</v>
      </c>
      <c r="BQ148" s="14">
        <f t="shared" si="225"/>
        <v>208</v>
      </c>
      <c r="BR148" s="34" t="e">
        <f>HLOOKUP(J148,Villagers!$B$1:$V$33,L148+3,FALSE)-HLOOKUP(J148,Villagers!$B$1:$V$33,L148+2,FALSE)</f>
        <v>#N/A</v>
      </c>
      <c r="BS148" s="49">
        <f t="shared" si="226"/>
        <v>1</v>
      </c>
      <c r="BT148" s="50">
        <f t="shared" si="227"/>
        <v>0</v>
      </c>
      <c r="BU148" s="50">
        <f t="shared" si="228"/>
        <v>0</v>
      </c>
      <c r="BV148" s="50">
        <f t="shared" si="229"/>
        <v>0</v>
      </c>
      <c r="BW148" s="50">
        <f t="shared" si="230"/>
        <v>0</v>
      </c>
      <c r="BX148" s="50">
        <f t="shared" si="230"/>
        <v>0</v>
      </c>
      <c r="BY148" s="50">
        <f t="shared" si="230"/>
        <v>0</v>
      </c>
      <c r="BZ148" s="50">
        <f t="shared" si="167"/>
        <v>0</v>
      </c>
      <c r="CA148" s="50">
        <f t="shared" si="168"/>
        <v>0</v>
      </c>
      <c r="CB148" s="50">
        <f t="shared" si="169"/>
        <v>1</v>
      </c>
      <c r="CC148" s="50">
        <f t="shared" si="170"/>
        <v>0</v>
      </c>
      <c r="CD148" s="50">
        <f t="shared" si="171"/>
        <v>0</v>
      </c>
      <c r="CE148" s="50">
        <f t="shared" si="172"/>
        <v>1</v>
      </c>
      <c r="CF148" s="50">
        <f t="shared" si="173"/>
        <v>1</v>
      </c>
      <c r="CG148" s="50">
        <f t="shared" si="174"/>
        <v>1</v>
      </c>
      <c r="CH148" s="50">
        <f t="shared" si="175"/>
        <v>1</v>
      </c>
      <c r="CI148" s="50">
        <f t="shared" si="176"/>
        <v>1</v>
      </c>
      <c r="CJ148" s="50">
        <f t="shared" si="177"/>
        <v>1</v>
      </c>
      <c r="CK148" s="50">
        <f t="shared" si="177"/>
        <v>0</v>
      </c>
      <c r="CL148" s="50">
        <f t="shared" si="177"/>
        <v>0</v>
      </c>
      <c r="CM148" s="51">
        <f t="shared" si="178"/>
        <v>0</v>
      </c>
      <c r="CN148" s="33">
        <f>ROUND(IF(BS148=0,0,HLOOKUP(BS$14,Villagers!$B$1:$V$33,BS148+3,FALSE)),)</f>
        <v>5</v>
      </c>
      <c r="CO148" s="14">
        <f>ROUND(IF(BT148=0,0,HLOOKUP(BT$14,Villagers!$B$1:$V$33,BT148+3,FALSE)),)</f>
        <v>0</v>
      </c>
      <c r="CP148" s="14">
        <f>ROUND(IF(BU148=0,0,HLOOKUP(BU$14,Villagers!$B$1:$V$33,BU148+3,FALSE)),)</f>
        <v>0</v>
      </c>
      <c r="CQ148" s="14">
        <f>ROUND(IF(BV148=0,0,HLOOKUP(BV$14,Villagers!$B$1:$V$33,BV148+3,FALSE)),)</f>
        <v>0</v>
      </c>
      <c r="CR148" s="14">
        <f>ROUND(IF(BW148=0,0,HLOOKUP(BW$14,Villagers!$B$1:$V$33,BW148+3,FALSE)),)</f>
        <v>0</v>
      </c>
      <c r="CS148" s="14">
        <f>ROUND(IF(BX148=0,0,HLOOKUP(BX$14,Villagers!$B$1:$V$33,BX148+3,FALSE)),)</f>
        <v>0</v>
      </c>
      <c r="CT148" s="14">
        <f>ROUND(IF(BY148=0,0,HLOOKUP(BY$14,Villagers!$B$1:$V$33,BY148+3,FALSE)),)</f>
        <v>0</v>
      </c>
      <c r="CU148" s="14">
        <f>ROUND(IF(BZ148=0,0,HLOOKUP(BZ$14,Villagers!$B$1:$V$33,BZ148+3,FALSE)),)</f>
        <v>0</v>
      </c>
      <c r="CV148" s="14">
        <f>ROUND(IF(CA148=0,0,HLOOKUP(CA$14,Villagers!$B$1:$V$33,CA148+3,FALSE)),)</f>
        <v>0</v>
      </c>
      <c r="CW148" s="14">
        <f>ROUND(IF(CB148=0,0,HLOOKUP(CB$14,Villagers!$B$1:$V$33,CB148+3,FALSE)),)</f>
        <v>0</v>
      </c>
      <c r="CX148" s="14">
        <f>ROUND(IF(CC148=0,0,HLOOKUP(CC$14,Villagers!$B$1:$V$33,CC148+3,FALSE)),)</f>
        <v>0</v>
      </c>
      <c r="CY148" s="14">
        <f>ROUND(IF(CD148=0,0,HLOOKUP(CD$14,Villagers!$B$1:$V$33,CD148+3,FALSE)),)</f>
        <v>0</v>
      </c>
      <c r="CZ148" s="14">
        <f>ROUND(IF(CE148=0,0,HLOOKUP(CE$14,Villagers!$B$1:$V$33,CE148+3,FALSE)),)</f>
        <v>5</v>
      </c>
      <c r="DA148" s="14">
        <f>ROUND(IF(CF148=0,0,HLOOKUP(CF$14,Villagers!$B$1:$V$33,CF148+3,FALSE)),)</f>
        <v>10</v>
      </c>
      <c r="DB148" s="14">
        <f>ROUND(IF(CG148=0,0,HLOOKUP(CG$14,Villagers!$B$1:$V$33,CG148+3,FALSE)),)</f>
        <v>10</v>
      </c>
      <c r="DC148" s="14">
        <f>ROUND(IF(CH148=0,0,HLOOKUP(CH$14,Villagers!$B$1:$V$33,CH148+3,FALSE)),)</f>
        <v>0</v>
      </c>
      <c r="DD148" s="14">
        <f>ROUND(IF(CI148=0,0,HLOOKUP(CI$14,Villagers!$B$1:$V$33,CI148+3,FALSE)),)</f>
        <v>0</v>
      </c>
      <c r="DE148" s="14">
        <f>ROUND(IF(CJ148=0,0,HLOOKUP(CJ$14,Villagers!$B$1:$V$33,CJ148+3,FALSE)),)</f>
        <v>2</v>
      </c>
      <c r="DF148" s="370">
        <f>ROUND(IF(CK148=0,0,HLOOKUP(CK$14,Villagers!$B$1:$V$33,CK148+3,FALSE)),)</f>
        <v>0</v>
      </c>
      <c r="DG148" s="370">
        <f>ROUND(IF(CL148=0,0,HLOOKUP(CL$14,Villagers!$B$1:$V$33,CL148+3,FALSE)),)</f>
        <v>0</v>
      </c>
      <c r="DH148" s="34">
        <f>ROUND(IF(CM148=0,0,HLOOKUP(CM$14,Villagers!$B$1:$V$33,CM148+3,FALSE)),)</f>
        <v>0</v>
      </c>
      <c r="DI148" s="109">
        <f t="shared" si="246"/>
        <v>0</v>
      </c>
      <c r="DJ148" s="50">
        <f t="shared" si="247"/>
        <v>0</v>
      </c>
      <c r="DK148" s="50">
        <f t="shared" si="248"/>
        <v>0</v>
      </c>
      <c r="DL148" s="50">
        <f t="shared" si="249"/>
        <v>0</v>
      </c>
      <c r="DM148" s="50">
        <f t="shared" si="250"/>
        <v>0</v>
      </c>
      <c r="DN148" s="50">
        <f t="shared" si="251"/>
        <v>0</v>
      </c>
      <c r="DO148" s="50">
        <f t="shared" si="252"/>
        <v>0</v>
      </c>
      <c r="DP148" s="50">
        <f t="shared" si="253"/>
        <v>0</v>
      </c>
      <c r="DQ148" s="50">
        <f t="shared" si="231"/>
        <v>0</v>
      </c>
      <c r="DR148" s="50">
        <f t="shared" si="232"/>
        <v>0</v>
      </c>
      <c r="DS148" s="96">
        <f>Miscelaneous!$D$4*Miscelaneous!$D$2^($CI148-1)</f>
        <v>1000</v>
      </c>
      <c r="DT148" s="333">
        <f t="shared" si="213"/>
        <v>1</v>
      </c>
      <c r="DU148" s="81">
        <v>1</v>
      </c>
      <c r="DV148" s="79">
        <f t="shared" si="233"/>
        <v>0</v>
      </c>
      <c r="DW148" s="79">
        <f t="shared" si="234"/>
        <v>0</v>
      </c>
      <c r="DX148" s="79">
        <f t="shared" si="235"/>
        <v>0</v>
      </c>
      <c r="DY148" s="79">
        <v>1</v>
      </c>
      <c r="DZ148" s="79">
        <f t="shared" si="236"/>
        <v>0</v>
      </c>
      <c r="EA148" s="79">
        <f t="shared" si="237"/>
        <v>0</v>
      </c>
      <c r="EB148" s="79">
        <f t="shared" si="238"/>
        <v>0</v>
      </c>
      <c r="EC148" s="79">
        <f t="shared" si="239"/>
        <v>0</v>
      </c>
      <c r="ED148" s="79">
        <v>1</v>
      </c>
      <c r="EE148" s="79">
        <v>1</v>
      </c>
      <c r="EF148" s="79">
        <f t="shared" si="240"/>
        <v>0</v>
      </c>
      <c r="EG148" s="79">
        <v>1</v>
      </c>
      <c r="EH148" s="79">
        <v>1</v>
      </c>
      <c r="EI148" s="79">
        <v>1</v>
      </c>
      <c r="EJ148" s="79">
        <v>1</v>
      </c>
      <c r="EK148" s="79">
        <v>1</v>
      </c>
      <c r="EL148" s="79">
        <v>1</v>
      </c>
      <c r="EM148" s="143">
        <f t="shared" si="241"/>
        <v>0</v>
      </c>
      <c r="EN148" s="143">
        <f t="shared" si="242"/>
        <v>0</v>
      </c>
      <c r="EO148" s="82">
        <f t="shared" si="243"/>
        <v>0</v>
      </c>
    </row>
    <row r="149" spans="1:145" x14ac:dyDescent="0.25">
      <c r="A149">
        <v>135</v>
      </c>
      <c r="B149" s="172" t="e">
        <f t="shared" si="214"/>
        <v>#N/A</v>
      </c>
      <c r="C149" s="121" t="e">
        <f t="shared" si="193"/>
        <v>#N/A</v>
      </c>
      <c r="D149" s="122" t="e">
        <f t="shared" si="194"/>
        <v>#N/A</v>
      </c>
      <c r="E149" s="122" t="e">
        <f t="shared" si="195"/>
        <v>#N/A</v>
      </c>
      <c r="F149" s="176" t="e">
        <f t="shared" si="196"/>
        <v>#N/A</v>
      </c>
      <c r="G149" s="121">
        <f t="shared" si="215"/>
        <v>208</v>
      </c>
      <c r="H149" s="176" t="e">
        <f t="shared" si="216"/>
        <v>#N/A</v>
      </c>
      <c r="I149" s="48">
        <v>1</v>
      </c>
      <c r="J149" s="39"/>
      <c r="K149" s="350">
        <v>1</v>
      </c>
      <c r="L149" s="34" t="e">
        <f t="shared" si="197"/>
        <v>#N/A</v>
      </c>
      <c r="M149" s="38" t="e">
        <f>(HLOOKUP(J149,'Construction Times'!$B$3:$W$34,L149+2,FALSE)*HLOOKUP("hq modifier",'Construction Times'!$W$3:$W$34,BS149+2,FALSE))*(1-$H$9)</f>
        <v>#N/A</v>
      </c>
      <c r="N149" s="443" t="e">
        <f t="shared" si="217"/>
        <v>#N/A</v>
      </c>
      <c r="O149" s="444"/>
      <c r="P149" s="447" t="e">
        <f t="shared" si="218"/>
        <v>#N/A</v>
      </c>
      <c r="Q149" s="448"/>
      <c r="R149" s="103">
        <f t="shared" si="244"/>
        <v>0</v>
      </c>
      <c r="S149" s="104">
        <f t="shared" si="244"/>
        <v>0</v>
      </c>
      <c r="T149" s="104">
        <f t="shared" si="245"/>
        <v>0</v>
      </c>
      <c r="U149" s="104">
        <f t="shared" si="245"/>
        <v>0</v>
      </c>
      <c r="V149" s="104">
        <f t="shared" si="245"/>
        <v>9.9999999999999995E-8</v>
      </c>
      <c r="W149" s="104">
        <f t="shared" si="245"/>
        <v>0</v>
      </c>
      <c r="X149" s="104">
        <f t="shared" si="185"/>
        <v>0</v>
      </c>
      <c r="Y149" s="104">
        <f t="shared" si="185"/>
        <v>9.9999999999999995E-8</v>
      </c>
      <c r="Z149" s="104">
        <f t="shared" si="185"/>
        <v>9.9999999999999995E-8</v>
      </c>
      <c r="AA149" s="105">
        <f t="shared" si="185"/>
        <v>9.9999999999999995E-8</v>
      </c>
      <c r="AB149" s="101" t="e">
        <f>$DT149*HLOOKUP($J149,'Construction Costs (timber)'!$B$1:$V$32,'Construction Planner'!$L149+2,FALSE)</f>
        <v>#N/A</v>
      </c>
      <c r="AC149" s="14" t="e">
        <f>$DT149*HLOOKUP($J149,'Construction Costs (clay)'!$B$1:$V$32,'Construction Planner'!$L149+2,FALSE)</f>
        <v>#N/A</v>
      </c>
      <c r="AD149" s="14" t="e">
        <f>$DT149*HLOOKUP($J149,'Construction Costs (iron)'!$B$1:$V$32,'Construction Planner'!$L149+2,FALSE)</f>
        <v>#N/A</v>
      </c>
      <c r="AE149" s="34" t="e">
        <f t="shared" si="254"/>
        <v>#N/A</v>
      </c>
      <c r="AF149" s="33" t="e">
        <f t="shared" si="198"/>
        <v>#N/A</v>
      </c>
      <c r="AG149" s="14" t="e">
        <f t="shared" si="199"/>
        <v>#N/A</v>
      </c>
      <c r="AH149" s="14" t="e">
        <f t="shared" si="200"/>
        <v>#N/A</v>
      </c>
      <c r="AI149" s="34" t="e">
        <f t="shared" si="255"/>
        <v>#N/A</v>
      </c>
      <c r="AJ149" s="49" t="e">
        <f t="shared" si="219"/>
        <v>#N/A</v>
      </c>
      <c r="AK149" s="49" t="e">
        <f t="shared" si="220"/>
        <v>#N/A</v>
      </c>
      <c r="AL149" s="49" t="e">
        <f t="shared" si="221"/>
        <v>#N/A</v>
      </c>
      <c r="AM149" s="25">
        <f t="shared" si="201"/>
        <v>30</v>
      </c>
      <c r="AN149" s="25">
        <f t="shared" si="202"/>
        <v>30</v>
      </c>
      <c r="AO149" s="25">
        <f t="shared" si="203"/>
        <v>30</v>
      </c>
      <c r="AP149" s="52" t="e">
        <f t="shared" si="222"/>
        <v>#N/A</v>
      </c>
      <c r="AQ149" s="53" t="e">
        <f t="shared" si="222"/>
        <v>#N/A</v>
      </c>
      <c r="AR149" s="54" t="e">
        <f t="shared" si="222"/>
        <v>#N/A</v>
      </c>
      <c r="AS149" s="316">
        <f t="shared" si="256"/>
        <v>0</v>
      </c>
      <c r="AT149" s="106">
        <f>_xlfn.IFNA($M149/VLOOKUP($BT149,'Unit information'!$A$2:$K$29,2,FALSE)*R149,0)*(1+$E$9)</f>
        <v>0</v>
      </c>
      <c r="AU149" s="107">
        <f>_xlfn.IFNA($M149/VLOOKUP($BT149,'Unit information'!$A$2:$K$29,3,FALSE)*S149,0)*(1+$E$9)</f>
        <v>0</v>
      </c>
      <c r="AV149" s="107">
        <f>_xlfn.IFNA($M149/VLOOKUP($BT149,'Unit information'!$A$2:$K$29,4,FALSE)*T149,0)*(1+$E$9)</f>
        <v>0</v>
      </c>
      <c r="AW149" s="107">
        <f>_xlfn.IFNA($M149/VLOOKUP($BT149,'Unit information'!$A$2:$K$29,5,FALSE)*U149,0)*(1+$E$9)</f>
        <v>0</v>
      </c>
      <c r="AX149" s="107">
        <f>_xlfn.IFNA($M149/VLOOKUP($BU149,'Unit information'!$A$2:$K$29,6,FALSE)*V149,0)*(1+$E$9)</f>
        <v>0</v>
      </c>
      <c r="AY149" s="107">
        <f>_xlfn.IFNA($M149/VLOOKUP($BU149,'Unit information'!$A$2:$K$29,7,FALSE)*W149,0)*(1+$E$9)</f>
        <v>0</v>
      </c>
      <c r="AZ149" s="107">
        <f>_xlfn.IFNA($M149/VLOOKUP($BU149,'Unit information'!$A$2:$K$29,8,FALSE)*X149,0)*(1+$E$9)</f>
        <v>0</v>
      </c>
      <c r="BA149" s="107">
        <f>_xlfn.IFNA($M149/VLOOKUP($BU149,'Unit information'!$A$2:$K$29,9,FALSE)*Y149,0)*(1+$E$9)</f>
        <v>0</v>
      </c>
      <c r="BB149" s="107">
        <f>_xlfn.IFNA($M149/VLOOKUP($BV149,'Unit information'!$A$2:$K$29,10,FALSE)*Z149,0)*(1+$E$9)</f>
        <v>0</v>
      </c>
      <c r="BC149" s="108">
        <f>_xlfn.IFNA($M149/VLOOKUP($BV149,'Unit information'!$A$2:$K$29,11,FALSE)*AA149,0)*(1+$E$9)</f>
        <v>0</v>
      </c>
      <c r="BD149" s="106">
        <f t="shared" si="204"/>
        <v>0</v>
      </c>
      <c r="BE149" s="107">
        <f t="shared" si="205"/>
        <v>0</v>
      </c>
      <c r="BF149" s="108">
        <f t="shared" si="206"/>
        <v>0</v>
      </c>
      <c r="BG149" s="25" t="e">
        <f t="shared" si="207"/>
        <v>#N/A</v>
      </c>
      <c r="BH149" s="25" t="e">
        <f t="shared" si="208"/>
        <v>#N/A</v>
      </c>
      <c r="BI149" s="25" t="e">
        <f t="shared" si="209"/>
        <v>#N/A</v>
      </c>
      <c r="BJ149" s="27" t="e">
        <f t="shared" si="210"/>
        <v>#N/A</v>
      </c>
      <c r="BK149" s="18" t="e">
        <f t="shared" si="211"/>
        <v>#N/A</v>
      </c>
      <c r="BL149" s="18" t="e">
        <f t="shared" si="212"/>
        <v>#N/A</v>
      </c>
      <c r="BM149" s="28" t="e">
        <f t="shared" si="257"/>
        <v>#N/A</v>
      </c>
      <c r="BN149" s="33">
        <f>HLOOKUP("maximum population",Miscelaneous!$C$1:$C$33,CH149+3,FALSE)</f>
        <v>240</v>
      </c>
      <c r="BO149" s="14">
        <f t="shared" si="223"/>
        <v>32</v>
      </c>
      <c r="BP149" s="14">
        <f t="shared" si="224"/>
        <v>0</v>
      </c>
      <c r="BQ149" s="14">
        <f t="shared" si="225"/>
        <v>208</v>
      </c>
      <c r="BR149" s="34" t="e">
        <f>HLOOKUP(J149,Villagers!$B$1:$V$33,L149+3,FALSE)-HLOOKUP(J149,Villagers!$B$1:$V$33,L149+2,FALSE)</f>
        <v>#N/A</v>
      </c>
      <c r="BS149" s="49">
        <f t="shared" si="226"/>
        <v>1</v>
      </c>
      <c r="BT149" s="50">
        <f t="shared" si="227"/>
        <v>0</v>
      </c>
      <c r="BU149" s="50">
        <f t="shared" si="228"/>
        <v>0</v>
      </c>
      <c r="BV149" s="50">
        <f t="shared" si="229"/>
        <v>0</v>
      </c>
      <c r="BW149" s="50">
        <f t="shared" si="230"/>
        <v>0</v>
      </c>
      <c r="BX149" s="50">
        <f t="shared" si="230"/>
        <v>0</v>
      </c>
      <c r="BY149" s="50">
        <f t="shared" si="230"/>
        <v>0</v>
      </c>
      <c r="BZ149" s="50">
        <f t="shared" si="167"/>
        <v>0</v>
      </c>
      <c r="CA149" s="50">
        <f t="shared" si="168"/>
        <v>0</v>
      </c>
      <c r="CB149" s="50">
        <f t="shared" si="169"/>
        <v>1</v>
      </c>
      <c r="CC149" s="50">
        <f t="shared" si="170"/>
        <v>0</v>
      </c>
      <c r="CD149" s="50">
        <f t="shared" si="171"/>
        <v>0</v>
      </c>
      <c r="CE149" s="50">
        <f t="shared" si="172"/>
        <v>1</v>
      </c>
      <c r="CF149" s="50">
        <f t="shared" si="173"/>
        <v>1</v>
      </c>
      <c r="CG149" s="50">
        <f t="shared" si="174"/>
        <v>1</v>
      </c>
      <c r="CH149" s="50">
        <f t="shared" si="175"/>
        <v>1</v>
      </c>
      <c r="CI149" s="50">
        <f t="shared" si="176"/>
        <v>1</v>
      </c>
      <c r="CJ149" s="50">
        <f t="shared" si="177"/>
        <v>1</v>
      </c>
      <c r="CK149" s="50">
        <f t="shared" si="177"/>
        <v>0</v>
      </c>
      <c r="CL149" s="50">
        <f t="shared" si="177"/>
        <v>0</v>
      </c>
      <c r="CM149" s="51">
        <f t="shared" si="178"/>
        <v>0</v>
      </c>
      <c r="CN149" s="33">
        <f>ROUND(IF(BS149=0,0,HLOOKUP(BS$14,Villagers!$B$1:$V$33,BS149+3,FALSE)),)</f>
        <v>5</v>
      </c>
      <c r="CO149" s="14">
        <f>ROUND(IF(BT149=0,0,HLOOKUP(BT$14,Villagers!$B$1:$V$33,BT149+3,FALSE)),)</f>
        <v>0</v>
      </c>
      <c r="CP149" s="14">
        <f>ROUND(IF(BU149=0,0,HLOOKUP(BU$14,Villagers!$B$1:$V$33,BU149+3,FALSE)),)</f>
        <v>0</v>
      </c>
      <c r="CQ149" s="14">
        <f>ROUND(IF(BV149=0,0,HLOOKUP(BV$14,Villagers!$B$1:$V$33,BV149+3,FALSE)),)</f>
        <v>0</v>
      </c>
      <c r="CR149" s="14">
        <f>ROUND(IF(BW149=0,0,HLOOKUP(BW$14,Villagers!$B$1:$V$33,BW149+3,FALSE)),)</f>
        <v>0</v>
      </c>
      <c r="CS149" s="14">
        <f>ROUND(IF(BX149=0,0,HLOOKUP(BX$14,Villagers!$B$1:$V$33,BX149+3,FALSE)),)</f>
        <v>0</v>
      </c>
      <c r="CT149" s="14">
        <f>ROUND(IF(BY149=0,0,HLOOKUP(BY$14,Villagers!$B$1:$V$33,BY149+3,FALSE)),)</f>
        <v>0</v>
      </c>
      <c r="CU149" s="14">
        <f>ROUND(IF(BZ149=0,0,HLOOKUP(BZ$14,Villagers!$B$1:$V$33,BZ149+3,FALSE)),)</f>
        <v>0</v>
      </c>
      <c r="CV149" s="14">
        <f>ROUND(IF(CA149=0,0,HLOOKUP(CA$14,Villagers!$B$1:$V$33,CA149+3,FALSE)),)</f>
        <v>0</v>
      </c>
      <c r="CW149" s="14">
        <f>ROUND(IF(CB149=0,0,HLOOKUP(CB$14,Villagers!$B$1:$V$33,CB149+3,FALSE)),)</f>
        <v>0</v>
      </c>
      <c r="CX149" s="14">
        <f>ROUND(IF(CC149=0,0,HLOOKUP(CC$14,Villagers!$B$1:$V$33,CC149+3,FALSE)),)</f>
        <v>0</v>
      </c>
      <c r="CY149" s="14">
        <f>ROUND(IF(CD149=0,0,HLOOKUP(CD$14,Villagers!$B$1:$V$33,CD149+3,FALSE)),)</f>
        <v>0</v>
      </c>
      <c r="CZ149" s="14">
        <f>ROUND(IF(CE149=0,0,HLOOKUP(CE$14,Villagers!$B$1:$V$33,CE149+3,FALSE)),)</f>
        <v>5</v>
      </c>
      <c r="DA149" s="14">
        <f>ROUND(IF(CF149=0,0,HLOOKUP(CF$14,Villagers!$B$1:$V$33,CF149+3,FALSE)),)</f>
        <v>10</v>
      </c>
      <c r="DB149" s="14">
        <f>ROUND(IF(CG149=0,0,HLOOKUP(CG$14,Villagers!$B$1:$V$33,CG149+3,FALSE)),)</f>
        <v>10</v>
      </c>
      <c r="DC149" s="14">
        <f>ROUND(IF(CH149=0,0,HLOOKUP(CH$14,Villagers!$B$1:$V$33,CH149+3,FALSE)),)</f>
        <v>0</v>
      </c>
      <c r="DD149" s="14">
        <f>ROUND(IF(CI149=0,0,HLOOKUP(CI$14,Villagers!$B$1:$V$33,CI149+3,FALSE)),)</f>
        <v>0</v>
      </c>
      <c r="DE149" s="14">
        <f>ROUND(IF(CJ149=0,0,HLOOKUP(CJ$14,Villagers!$B$1:$V$33,CJ149+3,FALSE)),)</f>
        <v>2</v>
      </c>
      <c r="DF149" s="370">
        <f>ROUND(IF(CK149=0,0,HLOOKUP(CK$14,Villagers!$B$1:$V$33,CK149+3,FALSE)),)</f>
        <v>0</v>
      </c>
      <c r="DG149" s="370">
        <f>ROUND(IF(CL149=0,0,HLOOKUP(CL$14,Villagers!$B$1:$V$33,CL149+3,FALSE)),)</f>
        <v>0</v>
      </c>
      <c r="DH149" s="34">
        <f>ROUND(IF(CM149=0,0,HLOOKUP(CM$14,Villagers!$B$1:$V$33,CM149+3,FALSE)),)</f>
        <v>0</v>
      </c>
      <c r="DI149" s="109">
        <f t="shared" si="246"/>
        <v>0</v>
      </c>
      <c r="DJ149" s="50">
        <f t="shared" si="247"/>
        <v>0</v>
      </c>
      <c r="DK149" s="50">
        <f t="shared" si="248"/>
        <v>0</v>
      </c>
      <c r="DL149" s="50">
        <f t="shared" si="249"/>
        <v>0</v>
      </c>
      <c r="DM149" s="50">
        <f t="shared" si="250"/>
        <v>0</v>
      </c>
      <c r="DN149" s="50">
        <f t="shared" si="251"/>
        <v>0</v>
      </c>
      <c r="DO149" s="50">
        <f t="shared" si="252"/>
        <v>0</v>
      </c>
      <c r="DP149" s="50">
        <f t="shared" si="253"/>
        <v>0</v>
      </c>
      <c r="DQ149" s="50">
        <f t="shared" si="231"/>
        <v>0</v>
      </c>
      <c r="DR149" s="50">
        <f t="shared" si="232"/>
        <v>0</v>
      </c>
      <c r="DS149" s="96">
        <f>Miscelaneous!$D$4*Miscelaneous!$D$2^($CI149-1)</f>
        <v>1000</v>
      </c>
      <c r="DT149" s="333">
        <f t="shared" si="213"/>
        <v>1</v>
      </c>
      <c r="DU149" s="81">
        <v>1</v>
      </c>
      <c r="DV149" s="79">
        <f t="shared" si="233"/>
        <v>0</v>
      </c>
      <c r="DW149" s="79">
        <f t="shared" si="234"/>
        <v>0</v>
      </c>
      <c r="DX149" s="79">
        <f t="shared" si="235"/>
        <v>0</v>
      </c>
      <c r="DY149" s="79">
        <v>1</v>
      </c>
      <c r="DZ149" s="79">
        <f t="shared" si="236"/>
        <v>0</v>
      </c>
      <c r="EA149" s="79">
        <f t="shared" si="237"/>
        <v>0</v>
      </c>
      <c r="EB149" s="79">
        <f t="shared" si="238"/>
        <v>0</v>
      </c>
      <c r="EC149" s="79">
        <f t="shared" si="239"/>
        <v>0</v>
      </c>
      <c r="ED149" s="79">
        <v>1</v>
      </c>
      <c r="EE149" s="79">
        <v>1</v>
      </c>
      <c r="EF149" s="79">
        <f t="shared" si="240"/>
        <v>0</v>
      </c>
      <c r="EG149" s="79">
        <v>1</v>
      </c>
      <c r="EH149" s="79">
        <v>1</v>
      </c>
      <c r="EI149" s="79">
        <v>1</v>
      </c>
      <c r="EJ149" s="79">
        <v>1</v>
      </c>
      <c r="EK149" s="79">
        <v>1</v>
      </c>
      <c r="EL149" s="79">
        <v>1</v>
      </c>
      <c r="EM149" s="143">
        <f t="shared" si="241"/>
        <v>0</v>
      </c>
      <c r="EN149" s="143">
        <f t="shared" si="242"/>
        <v>0</v>
      </c>
      <c r="EO149" s="82">
        <f t="shared" si="243"/>
        <v>0</v>
      </c>
    </row>
    <row r="150" spans="1:145" x14ac:dyDescent="0.25">
      <c r="A150">
        <v>136</v>
      </c>
      <c r="B150" s="172" t="e">
        <f t="shared" si="214"/>
        <v>#N/A</v>
      </c>
      <c r="C150" s="121" t="e">
        <f t="shared" si="193"/>
        <v>#N/A</v>
      </c>
      <c r="D150" s="122" t="e">
        <f t="shared" si="194"/>
        <v>#N/A</v>
      </c>
      <c r="E150" s="122" t="e">
        <f t="shared" si="195"/>
        <v>#N/A</v>
      </c>
      <c r="F150" s="176" t="e">
        <f t="shared" si="196"/>
        <v>#N/A</v>
      </c>
      <c r="G150" s="121">
        <f t="shared" si="215"/>
        <v>208</v>
      </c>
      <c r="H150" s="176" t="e">
        <f t="shared" si="216"/>
        <v>#N/A</v>
      </c>
      <c r="I150" s="48">
        <v>1</v>
      </c>
      <c r="J150" s="39"/>
      <c r="K150" s="350">
        <v>1</v>
      </c>
      <c r="L150" s="34" t="e">
        <f t="shared" si="197"/>
        <v>#N/A</v>
      </c>
      <c r="M150" s="38" t="e">
        <f>(HLOOKUP(J150,'Construction Times'!$B$3:$W$34,L150+2,FALSE)*HLOOKUP("hq modifier",'Construction Times'!$W$3:$W$34,BS150+2,FALSE))*(1-$H$9)</f>
        <v>#N/A</v>
      </c>
      <c r="N150" s="443" t="e">
        <f t="shared" si="217"/>
        <v>#N/A</v>
      </c>
      <c r="O150" s="444"/>
      <c r="P150" s="447" t="e">
        <f t="shared" si="218"/>
        <v>#N/A</v>
      </c>
      <c r="Q150" s="448"/>
      <c r="R150" s="103">
        <f t="shared" si="244"/>
        <v>0</v>
      </c>
      <c r="S150" s="104">
        <f t="shared" si="244"/>
        <v>0</v>
      </c>
      <c r="T150" s="104">
        <f t="shared" si="245"/>
        <v>0</v>
      </c>
      <c r="U150" s="104">
        <f t="shared" si="245"/>
        <v>0</v>
      </c>
      <c r="V150" s="104">
        <f t="shared" si="245"/>
        <v>9.9999999999999995E-8</v>
      </c>
      <c r="W150" s="104">
        <f t="shared" si="245"/>
        <v>0</v>
      </c>
      <c r="X150" s="104">
        <f t="shared" si="185"/>
        <v>0</v>
      </c>
      <c r="Y150" s="104">
        <f t="shared" si="185"/>
        <v>9.9999999999999995E-8</v>
      </c>
      <c r="Z150" s="104">
        <f t="shared" si="185"/>
        <v>9.9999999999999995E-8</v>
      </c>
      <c r="AA150" s="105">
        <f t="shared" si="185"/>
        <v>9.9999999999999995E-8</v>
      </c>
      <c r="AB150" s="101" t="e">
        <f>$DT150*HLOOKUP($J150,'Construction Costs (timber)'!$B$1:$V$32,'Construction Planner'!$L150+2,FALSE)</f>
        <v>#N/A</v>
      </c>
      <c r="AC150" s="14" t="e">
        <f>$DT150*HLOOKUP($J150,'Construction Costs (clay)'!$B$1:$V$32,'Construction Planner'!$L150+2,FALSE)</f>
        <v>#N/A</v>
      </c>
      <c r="AD150" s="14" t="e">
        <f>$DT150*HLOOKUP($J150,'Construction Costs (iron)'!$B$1:$V$32,'Construction Planner'!$L150+2,FALSE)</f>
        <v>#N/A</v>
      </c>
      <c r="AE150" s="34" t="e">
        <f t="shared" si="254"/>
        <v>#N/A</v>
      </c>
      <c r="AF150" s="33" t="e">
        <f t="shared" si="198"/>
        <v>#N/A</v>
      </c>
      <c r="AG150" s="14" t="e">
        <f t="shared" si="199"/>
        <v>#N/A</v>
      </c>
      <c r="AH150" s="14" t="e">
        <f t="shared" si="200"/>
        <v>#N/A</v>
      </c>
      <c r="AI150" s="34" t="e">
        <f t="shared" si="255"/>
        <v>#N/A</v>
      </c>
      <c r="AJ150" s="49" t="e">
        <f t="shared" si="219"/>
        <v>#N/A</v>
      </c>
      <c r="AK150" s="49" t="e">
        <f t="shared" si="220"/>
        <v>#N/A</v>
      </c>
      <c r="AL150" s="49" t="e">
        <f t="shared" si="221"/>
        <v>#N/A</v>
      </c>
      <c r="AM150" s="25">
        <f t="shared" si="201"/>
        <v>30</v>
      </c>
      <c r="AN150" s="25">
        <f t="shared" si="202"/>
        <v>30</v>
      </c>
      <c r="AO150" s="25">
        <f t="shared" si="203"/>
        <v>30</v>
      </c>
      <c r="AP150" s="52" t="e">
        <f t="shared" si="222"/>
        <v>#N/A</v>
      </c>
      <c r="AQ150" s="53" t="e">
        <f t="shared" si="222"/>
        <v>#N/A</v>
      </c>
      <c r="AR150" s="54" t="e">
        <f t="shared" si="222"/>
        <v>#N/A</v>
      </c>
      <c r="AS150" s="316">
        <f t="shared" si="256"/>
        <v>0</v>
      </c>
      <c r="AT150" s="106">
        <f>_xlfn.IFNA($M150/VLOOKUP($BT150,'Unit information'!$A$2:$K$29,2,FALSE)*R150,0)*(1+$E$9)</f>
        <v>0</v>
      </c>
      <c r="AU150" s="107">
        <f>_xlfn.IFNA($M150/VLOOKUP($BT150,'Unit information'!$A$2:$K$29,3,FALSE)*S150,0)*(1+$E$9)</f>
        <v>0</v>
      </c>
      <c r="AV150" s="107">
        <f>_xlfn.IFNA($M150/VLOOKUP($BT150,'Unit information'!$A$2:$K$29,4,FALSE)*T150,0)*(1+$E$9)</f>
        <v>0</v>
      </c>
      <c r="AW150" s="107">
        <f>_xlfn.IFNA($M150/VLOOKUP($BT150,'Unit information'!$A$2:$K$29,5,FALSE)*U150,0)*(1+$E$9)</f>
        <v>0</v>
      </c>
      <c r="AX150" s="107">
        <f>_xlfn.IFNA($M150/VLOOKUP($BU150,'Unit information'!$A$2:$K$29,6,FALSE)*V150,0)*(1+$E$9)</f>
        <v>0</v>
      </c>
      <c r="AY150" s="107">
        <f>_xlfn.IFNA($M150/VLOOKUP($BU150,'Unit information'!$A$2:$K$29,7,FALSE)*W150,0)*(1+$E$9)</f>
        <v>0</v>
      </c>
      <c r="AZ150" s="107">
        <f>_xlfn.IFNA($M150/VLOOKUP($BU150,'Unit information'!$A$2:$K$29,8,FALSE)*X150,0)*(1+$E$9)</f>
        <v>0</v>
      </c>
      <c r="BA150" s="107">
        <f>_xlfn.IFNA($M150/VLOOKUP($BU150,'Unit information'!$A$2:$K$29,9,FALSE)*Y150,0)*(1+$E$9)</f>
        <v>0</v>
      </c>
      <c r="BB150" s="107">
        <f>_xlfn.IFNA($M150/VLOOKUP($BV150,'Unit information'!$A$2:$K$29,10,FALSE)*Z150,0)*(1+$E$9)</f>
        <v>0</v>
      </c>
      <c r="BC150" s="108">
        <f>_xlfn.IFNA($M150/VLOOKUP($BV150,'Unit information'!$A$2:$K$29,11,FALSE)*AA150,0)*(1+$E$9)</f>
        <v>0</v>
      </c>
      <c r="BD150" s="106">
        <f t="shared" si="204"/>
        <v>0</v>
      </c>
      <c r="BE150" s="107">
        <f t="shared" si="205"/>
        <v>0</v>
      </c>
      <c r="BF150" s="108">
        <f t="shared" si="206"/>
        <v>0</v>
      </c>
      <c r="BG150" s="25" t="e">
        <f t="shared" si="207"/>
        <v>#N/A</v>
      </c>
      <c r="BH150" s="25" t="e">
        <f t="shared" si="208"/>
        <v>#N/A</v>
      </c>
      <c r="BI150" s="25" t="e">
        <f t="shared" si="209"/>
        <v>#N/A</v>
      </c>
      <c r="BJ150" s="27" t="e">
        <f t="shared" si="210"/>
        <v>#N/A</v>
      </c>
      <c r="BK150" s="18" t="e">
        <f t="shared" si="211"/>
        <v>#N/A</v>
      </c>
      <c r="BL150" s="18" t="e">
        <f t="shared" si="212"/>
        <v>#N/A</v>
      </c>
      <c r="BM150" s="28" t="e">
        <f t="shared" si="257"/>
        <v>#N/A</v>
      </c>
      <c r="BN150" s="33">
        <f>HLOOKUP("maximum population",Miscelaneous!$C$1:$C$33,CH150+3,FALSE)</f>
        <v>240</v>
      </c>
      <c r="BO150" s="14">
        <f t="shared" si="223"/>
        <v>32</v>
      </c>
      <c r="BP150" s="14">
        <f t="shared" si="224"/>
        <v>0</v>
      </c>
      <c r="BQ150" s="14">
        <f t="shared" si="225"/>
        <v>208</v>
      </c>
      <c r="BR150" s="34" t="e">
        <f>HLOOKUP(J150,Villagers!$B$1:$V$33,L150+3,FALSE)-HLOOKUP(J150,Villagers!$B$1:$V$33,L150+2,FALSE)</f>
        <v>#N/A</v>
      </c>
      <c r="BS150" s="49">
        <f t="shared" si="226"/>
        <v>1</v>
      </c>
      <c r="BT150" s="50">
        <f t="shared" si="227"/>
        <v>0</v>
      </c>
      <c r="BU150" s="50">
        <f t="shared" si="228"/>
        <v>0</v>
      </c>
      <c r="BV150" s="50">
        <f t="shared" si="229"/>
        <v>0</v>
      </c>
      <c r="BW150" s="50">
        <f t="shared" si="230"/>
        <v>0</v>
      </c>
      <c r="BX150" s="50">
        <f t="shared" si="230"/>
        <v>0</v>
      </c>
      <c r="BY150" s="50">
        <f t="shared" si="230"/>
        <v>0</v>
      </c>
      <c r="BZ150" s="50">
        <f t="shared" si="167"/>
        <v>0</v>
      </c>
      <c r="CA150" s="50">
        <f t="shared" si="168"/>
        <v>0</v>
      </c>
      <c r="CB150" s="50">
        <f t="shared" si="169"/>
        <v>1</v>
      </c>
      <c r="CC150" s="50">
        <f t="shared" si="170"/>
        <v>0</v>
      </c>
      <c r="CD150" s="50">
        <f t="shared" si="171"/>
        <v>0</v>
      </c>
      <c r="CE150" s="50">
        <f t="shared" si="172"/>
        <v>1</v>
      </c>
      <c r="CF150" s="50">
        <f t="shared" si="173"/>
        <v>1</v>
      </c>
      <c r="CG150" s="50">
        <f t="shared" si="174"/>
        <v>1</v>
      </c>
      <c r="CH150" s="50">
        <f t="shared" si="175"/>
        <v>1</v>
      </c>
      <c r="CI150" s="50">
        <f t="shared" si="176"/>
        <v>1</v>
      </c>
      <c r="CJ150" s="50">
        <f t="shared" si="177"/>
        <v>1</v>
      </c>
      <c r="CK150" s="50">
        <f t="shared" si="177"/>
        <v>0</v>
      </c>
      <c r="CL150" s="50">
        <f t="shared" si="177"/>
        <v>0</v>
      </c>
      <c r="CM150" s="51">
        <f t="shared" si="178"/>
        <v>0</v>
      </c>
      <c r="CN150" s="33">
        <f>ROUND(IF(BS150=0,0,HLOOKUP(BS$14,Villagers!$B$1:$V$33,BS150+3,FALSE)),)</f>
        <v>5</v>
      </c>
      <c r="CO150" s="14">
        <f>ROUND(IF(BT150=0,0,HLOOKUP(BT$14,Villagers!$B$1:$V$33,BT150+3,FALSE)),)</f>
        <v>0</v>
      </c>
      <c r="CP150" s="14">
        <f>ROUND(IF(BU150=0,0,HLOOKUP(BU$14,Villagers!$B$1:$V$33,BU150+3,FALSE)),)</f>
        <v>0</v>
      </c>
      <c r="CQ150" s="14">
        <f>ROUND(IF(BV150=0,0,HLOOKUP(BV$14,Villagers!$B$1:$V$33,BV150+3,FALSE)),)</f>
        <v>0</v>
      </c>
      <c r="CR150" s="14">
        <f>ROUND(IF(BW150=0,0,HLOOKUP(BW$14,Villagers!$B$1:$V$33,BW150+3,FALSE)),)</f>
        <v>0</v>
      </c>
      <c r="CS150" s="14">
        <f>ROUND(IF(BX150=0,0,HLOOKUP(BX$14,Villagers!$B$1:$V$33,BX150+3,FALSE)),)</f>
        <v>0</v>
      </c>
      <c r="CT150" s="14">
        <f>ROUND(IF(BY150=0,0,HLOOKUP(BY$14,Villagers!$B$1:$V$33,BY150+3,FALSE)),)</f>
        <v>0</v>
      </c>
      <c r="CU150" s="14">
        <f>ROUND(IF(BZ150=0,0,HLOOKUP(BZ$14,Villagers!$B$1:$V$33,BZ150+3,FALSE)),)</f>
        <v>0</v>
      </c>
      <c r="CV150" s="14">
        <f>ROUND(IF(CA150=0,0,HLOOKUP(CA$14,Villagers!$B$1:$V$33,CA150+3,FALSE)),)</f>
        <v>0</v>
      </c>
      <c r="CW150" s="14">
        <f>ROUND(IF(CB150=0,0,HLOOKUP(CB$14,Villagers!$B$1:$V$33,CB150+3,FALSE)),)</f>
        <v>0</v>
      </c>
      <c r="CX150" s="14">
        <f>ROUND(IF(CC150=0,0,HLOOKUP(CC$14,Villagers!$B$1:$V$33,CC150+3,FALSE)),)</f>
        <v>0</v>
      </c>
      <c r="CY150" s="14">
        <f>ROUND(IF(CD150=0,0,HLOOKUP(CD$14,Villagers!$B$1:$V$33,CD150+3,FALSE)),)</f>
        <v>0</v>
      </c>
      <c r="CZ150" s="14">
        <f>ROUND(IF(CE150=0,0,HLOOKUP(CE$14,Villagers!$B$1:$V$33,CE150+3,FALSE)),)</f>
        <v>5</v>
      </c>
      <c r="DA150" s="14">
        <f>ROUND(IF(CF150=0,0,HLOOKUP(CF$14,Villagers!$B$1:$V$33,CF150+3,FALSE)),)</f>
        <v>10</v>
      </c>
      <c r="DB150" s="14">
        <f>ROUND(IF(CG150=0,0,HLOOKUP(CG$14,Villagers!$B$1:$V$33,CG150+3,FALSE)),)</f>
        <v>10</v>
      </c>
      <c r="DC150" s="14">
        <f>ROUND(IF(CH150=0,0,HLOOKUP(CH$14,Villagers!$B$1:$V$33,CH150+3,FALSE)),)</f>
        <v>0</v>
      </c>
      <c r="DD150" s="14">
        <f>ROUND(IF(CI150=0,0,HLOOKUP(CI$14,Villagers!$B$1:$V$33,CI150+3,FALSE)),)</f>
        <v>0</v>
      </c>
      <c r="DE150" s="14">
        <f>ROUND(IF(CJ150=0,0,HLOOKUP(CJ$14,Villagers!$B$1:$V$33,CJ150+3,FALSE)),)</f>
        <v>2</v>
      </c>
      <c r="DF150" s="370">
        <f>ROUND(IF(CK150=0,0,HLOOKUP(CK$14,Villagers!$B$1:$V$33,CK150+3,FALSE)),)</f>
        <v>0</v>
      </c>
      <c r="DG150" s="370">
        <f>ROUND(IF(CL150=0,0,HLOOKUP(CL$14,Villagers!$B$1:$V$33,CL150+3,FALSE)),)</f>
        <v>0</v>
      </c>
      <c r="DH150" s="34">
        <f>ROUND(IF(CM150=0,0,HLOOKUP(CM$14,Villagers!$B$1:$V$33,CM150+3,FALSE)),)</f>
        <v>0</v>
      </c>
      <c r="DI150" s="109">
        <f t="shared" si="246"/>
        <v>0</v>
      </c>
      <c r="DJ150" s="50">
        <f t="shared" si="247"/>
        <v>0</v>
      </c>
      <c r="DK150" s="50">
        <f t="shared" si="248"/>
        <v>0</v>
      </c>
      <c r="DL150" s="50">
        <f t="shared" si="249"/>
        <v>0</v>
      </c>
      <c r="DM150" s="50">
        <f t="shared" si="250"/>
        <v>0</v>
      </c>
      <c r="DN150" s="50">
        <f t="shared" si="251"/>
        <v>0</v>
      </c>
      <c r="DO150" s="50">
        <f t="shared" si="252"/>
        <v>0</v>
      </c>
      <c r="DP150" s="50">
        <f t="shared" si="253"/>
        <v>0</v>
      </c>
      <c r="DQ150" s="50">
        <f t="shared" si="231"/>
        <v>0</v>
      </c>
      <c r="DR150" s="50">
        <f t="shared" si="232"/>
        <v>0</v>
      </c>
      <c r="DS150" s="96">
        <f>Miscelaneous!$D$4*Miscelaneous!$D$2^($CI150-1)</f>
        <v>1000</v>
      </c>
      <c r="DT150" s="333">
        <f t="shared" si="213"/>
        <v>1</v>
      </c>
      <c r="DU150" s="81">
        <v>1</v>
      </c>
      <c r="DV150" s="79">
        <f t="shared" si="233"/>
        <v>0</v>
      </c>
      <c r="DW150" s="79">
        <f t="shared" si="234"/>
        <v>0</v>
      </c>
      <c r="DX150" s="79">
        <f t="shared" si="235"/>
        <v>0</v>
      </c>
      <c r="DY150" s="79">
        <v>1</v>
      </c>
      <c r="DZ150" s="79">
        <f t="shared" si="236"/>
        <v>0</v>
      </c>
      <c r="EA150" s="79">
        <f t="shared" si="237"/>
        <v>0</v>
      </c>
      <c r="EB150" s="79">
        <f t="shared" si="238"/>
        <v>0</v>
      </c>
      <c r="EC150" s="79">
        <f t="shared" si="239"/>
        <v>0</v>
      </c>
      <c r="ED150" s="79">
        <v>1</v>
      </c>
      <c r="EE150" s="79">
        <v>1</v>
      </c>
      <c r="EF150" s="79">
        <f t="shared" si="240"/>
        <v>0</v>
      </c>
      <c r="EG150" s="79">
        <v>1</v>
      </c>
      <c r="EH150" s="79">
        <v>1</v>
      </c>
      <c r="EI150" s="79">
        <v>1</v>
      </c>
      <c r="EJ150" s="79">
        <v>1</v>
      </c>
      <c r="EK150" s="79">
        <v>1</v>
      </c>
      <c r="EL150" s="79">
        <v>1</v>
      </c>
      <c r="EM150" s="143">
        <f t="shared" si="241"/>
        <v>0</v>
      </c>
      <c r="EN150" s="143">
        <f t="shared" si="242"/>
        <v>0</v>
      </c>
      <c r="EO150" s="82">
        <f t="shared" si="243"/>
        <v>0</v>
      </c>
    </row>
    <row r="151" spans="1:145" x14ac:dyDescent="0.25">
      <c r="A151">
        <v>137</v>
      </c>
      <c r="B151" s="172" t="e">
        <f t="shared" si="214"/>
        <v>#N/A</v>
      </c>
      <c r="C151" s="121" t="e">
        <f t="shared" si="193"/>
        <v>#N/A</v>
      </c>
      <c r="D151" s="122" t="e">
        <f t="shared" si="194"/>
        <v>#N/A</v>
      </c>
      <c r="E151" s="122" t="e">
        <f t="shared" si="195"/>
        <v>#N/A</v>
      </c>
      <c r="F151" s="176" t="e">
        <f t="shared" si="196"/>
        <v>#N/A</v>
      </c>
      <c r="G151" s="121">
        <f t="shared" si="215"/>
        <v>208</v>
      </c>
      <c r="H151" s="176" t="e">
        <f t="shared" si="216"/>
        <v>#N/A</v>
      </c>
      <c r="I151" s="48">
        <v>1</v>
      </c>
      <c r="J151" s="39"/>
      <c r="K151" s="350">
        <v>1</v>
      </c>
      <c r="L151" s="34" t="e">
        <f t="shared" si="197"/>
        <v>#N/A</v>
      </c>
      <c r="M151" s="38" t="e">
        <f>(HLOOKUP(J151,'Construction Times'!$B$3:$W$34,L151+2,FALSE)*HLOOKUP("hq modifier",'Construction Times'!$W$3:$W$34,BS151+2,FALSE))*(1-$H$9)</f>
        <v>#N/A</v>
      </c>
      <c r="N151" s="443" t="e">
        <f t="shared" si="217"/>
        <v>#N/A</v>
      </c>
      <c r="O151" s="444"/>
      <c r="P151" s="447" t="e">
        <f t="shared" si="218"/>
        <v>#N/A</v>
      </c>
      <c r="Q151" s="448"/>
      <c r="R151" s="103">
        <f t="shared" si="244"/>
        <v>0</v>
      </c>
      <c r="S151" s="104">
        <f t="shared" si="244"/>
        <v>0</v>
      </c>
      <c r="T151" s="104">
        <f t="shared" si="245"/>
        <v>0</v>
      </c>
      <c r="U151" s="104">
        <f t="shared" si="245"/>
        <v>0</v>
      </c>
      <c r="V151" s="104">
        <f t="shared" si="245"/>
        <v>9.9999999999999995E-8</v>
      </c>
      <c r="W151" s="104">
        <f t="shared" si="245"/>
        <v>0</v>
      </c>
      <c r="X151" s="104">
        <f t="shared" si="185"/>
        <v>0</v>
      </c>
      <c r="Y151" s="104">
        <f t="shared" si="185"/>
        <v>9.9999999999999995E-8</v>
      </c>
      <c r="Z151" s="104">
        <f t="shared" si="185"/>
        <v>9.9999999999999995E-8</v>
      </c>
      <c r="AA151" s="105">
        <f t="shared" si="185"/>
        <v>9.9999999999999995E-8</v>
      </c>
      <c r="AB151" s="101" t="e">
        <f>$DT151*HLOOKUP($J151,'Construction Costs (timber)'!$B$1:$V$32,'Construction Planner'!$L151+2,FALSE)</f>
        <v>#N/A</v>
      </c>
      <c r="AC151" s="14" t="e">
        <f>$DT151*HLOOKUP($J151,'Construction Costs (clay)'!$B$1:$V$32,'Construction Planner'!$L151+2,FALSE)</f>
        <v>#N/A</v>
      </c>
      <c r="AD151" s="14" t="e">
        <f>$DT151*HLOOKUP($J151,'Construction Costs (iron)'!$B$1:$V$32,'Construction Planner'!$L151+2,FALSE)</f>
        <v>#N/A</v>
      </c>
      <c r="AE151" s="34" t="e">
        <f t="shared" si="254"/>
        <v>#N/A</v>
      </c>
      <c r="AF151" s="33" t="e">
        <f t="shared" si="198"/>
        <v>#N/A</v>
      </c>
      <c r="AG151" s="14" t="e">
        <f t="shared" si="199"/>
        <v>#N/A</v>
      </c>
      <c r="AH151" s="14" t="e">
        <f t="shared" si="200"/>
        <v>#N/A</v>
      </c>
      <c r="AI151" s="34" t="e">
        <f t="shared" si="255"/>
        <v>#N/A</v>
      </c>
      <c r="AJ151" s="49" t="e">
        <f t="shared" si="219"/>
        <v>#N/A</v>
      </c>
      <c r="AK151" s="49" t="e">
        <f t="shared" si="220"/>
        <v>#N/A</v>
      </c>
      <c r="AL151" s="49" t="e">
        <f t="shared" si="221"/>
        <v>#N/A</v>
      </c>
      <c r="AM151" s="25">
        <f t="shared" si="201"/>
        <v>30</v>
      </c>
      <c r="AN151" s="25">
        <f t="shared" si="202"/>
        <v>30</v>
      </c>
      <c r="AO151" s="25">
        <f t="shared" si="203"/>
        <v>30</v>
      </c>
      <c r="AP151" s="52" t="e">
        <f t="shared" si="222"/>
        <v>#N/A</v>
      </c>
      <c r="AQ151" s="53" t="e">
        <f t="shared" si="222"/>
        <v>#N/A</v>
      </c>
      <c r="AR151" s="54" t="e">
        <f t="shared" si="222"/>
        <v>#N/A</v>
      </c>
      <c r="AS151" s="316">
        <f t="shared" si="256"/>
        <v>0</v>
      </c>
      <c r="AT151" s="106">
        <f>_xlfn.IFNA($M151/VLOOKUP($BT151,'Unit information'!$A$2:$K$29,2,FALSE)*R151,0)*(1+$E$9)</f>
        <v>0</v>
      </c>
      <c r="AU151" s="107">
        <f>_xlfn.IFNA($M151/VLOOKUP($BT151,'Unit information'!$A$2:$K$29,3,FALSE)*S151,0)*(1+$E$9)</f>
        <v>0</v>
      </c>
      <c r="AV151" s="107">
        <f>_xlfn.IFNA($M151/VLOOKUP($BT151,'Unit information'!$A$2:$K$29,4,FALSE)*T151,0)*(1+$E$9)</f>
        <v>0</v>
      </c>
      <c r="AW151" s="107">
        <f>_xlfn.IFNA($M151/VLOOKUP($BT151,'Unit information'!$A$2:$K$29,5,FALSE)*U151,0)*(1+$E$9)</f>
        <v>0</v>
      </c>
      <c r="AX151" s="107">
        <f>_xlfn.IFNA($M151/VLOOKUP($BU151,'Unit information'!$A$2:$K$29,6,FALSE)*V151,0)*(1+$E$9)</f>
        <v>0</v>
      </c>
      <c r="AY151" s="107">
        <f>_xlfn.IFNA($M151/VLOOKUP($BU151,'Unit information'!$A$2:$K$29,7,FALSE)*W151,0)*(1+$E$9)</f>
        <v>0</v>
      </c>
      <c r="AZ151" s="107">
        <f>_xlfn.IFNA($M151/VLOOKUP($BU151,'Unit information'!$A$2:$K$29,8,FALSE)*X151,0)*(1+$E$9)</f>
        <v>0</v>
      </c>
      <c r="BA151" s="107">
        <f>_xlfn.IFNA($M151/VLOOKUP($BU151,'Unit information'!$A$2:$K$29,9,FALSE)*Y151,0)*(1+$E$9)</f>
        <v>0</v>
      </c>
      <c r="BB151" s="107">
        <f>_xlfn.IFNA($M151/VLOOKUP($BV151,'Unit information'!$A$2:$K$29,10,FALSE)*Z151,0)*(1+$E$9)</f>
        <v>0</v>
      </c>
      <c r="BC151" s="108">
        <f>_xlfn.IFNA($M151/VLOOKUP($BV151,'Unit information'!$A$2:$K$29,11,FALSE)*AA151,0)*(1+$E$9)</f>
        <v>0</v>
      </c>
      <c r="BD151" s="106">
        <f t="shared" si="204"/>
        <v>0</v>
      </c>
      <c r="BE151" s="107">
        <f t="shared" si="205"/>
        <v>0</v>
      </c>
      <c r="BF151" s="108">
        <f t="shared" si="206"/>
        <v>0</v>
      </c>
      <c r="BG151" s="25" t="e">
        <f t="shared" si="207"/>
        <v>#N/A</v>
      </c>
      <c r="BH151" s="25" t="e">
        <f t="shared" si="208"/>
        <v>#N/A</v>
      </c>
      <c r="BI151" s="25" t="e">
        <f t="shared" si="209"/>
        <v>#N/A</v>
      </c>
      <c r="BJ151" s="27" t="e">
        <f t="shared" si="210"/>
        <v>#N/A</v>
      </c>
      <c r="BK151" s="18" t="e">
        <f t="shared" si="211"/>
        <v>#N/A</v>
      </c>
      <c r="BL151" s="18" t="e">
        <f t="shared" si="212"/>
        <v>#N/A</v>
      </c>
      <c r="BM151" s="28" t="e">
        <f t="shared" si="257"/>
        <v>#N/A</v>
      </c>
      <c r="BN151" s="33">
        <f>HLOOKUP("maximum population",Miscelaneous!$C$1:$C$33,CH151+3,FALSE)</f>
        <v>240</v>
      </c>
      <c r="BO151" s="14">
        <f t="shared" si="223"/>
        <v>32</v>
      </c>
      <c r="BP151" s="14">
        <f t="shared" si="224"/>
        <v>0</v>
      </c>
      <c r="BQ151" s="14">
        <f t="shared" si="225"/>
        <v>208</v>
      </c>
      <c r="BR151" s="34" t="e">
        <f>HLOOKUP(J151,Villagers!$B$1:$V$33,L151+3,FALSE)-HLOOKUP(J151,Villagers!$B$1:$V$33,L151+2,FALSE)</f>
        <v>#N/A</v>
      </c>
      <c r="BS151" s="49">
        <f t="shared" si="226"/>
        <v>1</v>
      </c>
      <c r="BT151" s="50">
        <f t="shared" si="227"/>
        <v>0</v>
      </c>
      <c r="BU151" s="50">
        <f t="shared" si="228"/>
        <v>0</v>
      </c>
      <c r="BV151" s="50">
        <f t="shared" si="229"/>
        <v>0</v>
      </c>
      <c r="BW151" s="50">
        <f t="shared" ref="BW151:BW175" si="258">IF($J150=BW$14,$L150,BW150)</f>
        <v>0</v>
      </c>
      <c r="BX151" s="50">
        <f t="shared" ref="BX151:BY175" si="259">IF($J150=BX$14,$L150,BX150)</f>
        <v>0</v>
      </c>
      <c r="BY151" s="50">
        <f t="shared" si="259"/>
        <v>0</v>
      </c>
      <c r="BZ151" s="50">
        <f t="shared" si="167"/>
        <v>0</v>
      </c>
      <c r="CA151" s="50">
        <f t="shared" si="168"/>
        <v>0</v>
      </c>
      <c r="CB151" s="50">
        <f t="shared" si="169"/>
        <v>1</v>
      </c>
      <c r="CC151" s="50">
        <f t="shared" si="170"/>
        <v>0</v>
      </c>
      <c r="CD151" s="50">
        <f t="shared" si="171"/>
        <v>0</v>
      </c>
      <c r="CE151" s="50">
        <f t="shared" si="172"/>
        <v>1</v>
      </c>
      <c r="CF151" s="50">
        <f t="shared" si="173"/>
        <v>1</v>
      </c>
      <c r="CG151" s="50">
        <f t="shared" si="174"/>
        <v>1</v>
      </c>
      <c r="CH151" s="50">
        <f t="shared" si="175"/>
        <v>1</v>
      </c>
      <c r="CI151" s="50">
        <f t="shared" si="176"/>
        <v>1</v>
      </c>
      <c r="CJ151" s="50">
        <f t="shared" si="177"/>
        <v>1</v>
      </c>
      <c r="CK151" s="50">
        <f t="shared" si="177"/>
        <v>0</v>
      </c>
      <c r="CL151" s="50">
        <f t="shared" si="177"/>
        <v>0</v>
      </c>
      <c r="CM151" s="51">
        <f t="shared" si="178"/>
        <v>0</v>
      </c>
      <c r="CN151" s="33">
        <f>ROUND(IF(BS151=0,0,HLOOKUP(BS$14,Villagers!$B$1:$V$33,BS151+3,FALSE)),)</f>
        <v>5</v>
      </c>
      <c r="CO151" s="14">
        <f>ROUND(IF(BT151=0,0,HLOOKUP(BT$14,Villagers!$B$1:$V$33,BT151+3,FALSE)),)</f>
        <v>0</v>
      </c>
      <c r="CP151" s="14">
        <f>ROUND(IF(BU151=0,0,HLOOKUP(BU$14,Villagers!$B$1:$V$33,BU151+3,FALSE)),)</f>
        <v>0</v>
      </c>
      <c r="CQ151" s="14">
        <f>ROUND(IF(BV151=0,0,HLOOKUP(BV$14,Villagers!$B$1:$V$33,BV151+3,FALSE)),)</f>
        <v>0</v>
      </c>
      <c r="CR151" s="14">
        <f>ROUND(IF(BW151=0,0,HLOOKUP(BW$14,Villagers!$B$1:$V$33,BW151+3,FALSE)),)</f>
        <v>0</v>
      </c>
      <c r="CS151" s="14">
        <f>ROUND(IF(BX151=0,0,HLOOKUP(BX$14,Villagers!$B$1:$V$33,BX151+3,FALSE)),)</f>
        <v>0</v>
      </c>
      <c r="CT151" s="14">
        <f>ROUND(IF(BY151=0,0,HLOOKUP(BY$14,Villagers!$B$1:$V$33,BY151+3,FALSE)),)</f>
        <v>0</v>
      </c>
      <c r="CU151" s="14">
        <f>ROUND(IF(BZ151=0,0,HLOOKUP(BZ$14,Villagers!$B$1:$V$33,BZ151+3,FALSE)),)</f>
        <v>0</v>
      </c>
      <c r="CV151" s="14">
        <f>ROUND(IF(CA151=0,0,HLOOKUP(CA$14,Villagers!$B$1:$V$33,CA151+3,FALSE)),)</f>
        <v>0</v>
      </c>
      <c r="CW151" s="14">
        <f>ROUND(IF(CB151=0,0,HLOOKUP(CB$14,Villagers!$B$1:$V$33,CB151+3,FALSE)),)</f>
        <v>0</v>
      </c>
      <c r="CX151" s="14">
        <f>ROUND(IF(CC151=0,0,HLOOKUP(CC$14,Villagers!$B$1:$V$33,CC151+3,FALSE)),)</f>
        <v>0</v>
      </c>
      <c r="CY151" s="14">
        <f>ROUND(IF(CD151=0,0,HLOOKUP(CD$14,Villagers!$B$1:$V$33,CD151+3,FALSE)),)</f>
        <v>0</v>
      </c>
      <c r="CZ151" s="14">
        <f>ROUND(IF(CE151=0,0,HLOOKUP(CE$14,Villagers!$B$1:$V$33,CE151+3,FALSE)),)</f>
        <v>5</v>
      </c>
      <c r="DA151" s="14">
        <f>ROUND(IF(CF151=0,0,HLOOKUP(CF$14,Villagers!$B$1:$V$33,CF151+3,FALSE)),)</f>
        <v>10</v>
      </c>
      <c r="DB151" s="14">
        <f>ROUND(IF(CG151=0,0,HLOOKUP(CG$14,Villagers!$B$1:$V$33,CG151+3,FALSE)),)</f>
        <v>10</v>
      </c>
      <c r="DC151" s="14">
        <f>ROUND(IF(CH151=0,0,HLOOKUP(CH$14,Villagers!$B$1:$V$33,CH151+3,FALSE)),)</f>
        <v>0</v>
      </c>
      <c r="DD151" s="14">
        <f>ROUND(IF(CI151=0,0,HLOOKUP(CI$14,Villagers!$B$1:$V$33,CI151+3,FALSE)),)</f>
        <v>0</v>
      </c>
      <c r="DE151" s="14">
        <f>ROUND(IF(CJ151=0,0,HLOOKUP(CJ$14,Villagers!$B$1:$V$33,CJ151+3,FALSE)),)</f>
        <v>2</v>
      </c>
      <c r="DF151" s="370">
        <f>ROUND(IF(CK151=0,0,HLOOKUP(CK$14,Villagers!$B$1:$V$33,CK151+3,FALSE)),)</f>
        <v>0</v>
      </c>
      <c r="DG151" s="370">
        <f>ROUND(IF(CL151=0,0,HLOOKUP(CL$14,Villagers!$B$1:$V$33,CL151+3,FALSE)),)</f>
        <v>0</v>
      </c>
      <c r="DH151" s="34">
        <f>ROUND(IF(CM151=0,0,HLOOKUP(CM$14,Villagers!$B$1:$V$33,CM151+3,FALSE)),)</f>
        <v>0</v>
      </c>
      <c r="DI151" s="109">
        <f t="shared" si="246"/>
        <v>0</v>
      </c>
      <c r="DJ151" s="50">
        <f t="shared" si="247"/>
        <v>0</v>
      </c>
      <c r="DK151" s="50">
        <f t="shared" si="248"/>
        <v>0</v>
      </c>
      <c r="DL151" s="50">
        <f t="shared" si="249"/>
        <v>0</v>
      </c>
      <c r="DM151" s="50">
        <f t="shared" si="250"/>
        <v>0</v>
      </c>
      <c r="DN151" s="50">
        <f t="shared" si="251"/>
        <v>0</v>
      </c>
      <c r="DO151" s="50">
        <f t="shared" si="252"/>
        <v>0</v>
      </c>
      <c r="DP151" s="50">
        <f t="shared" si="253"/>
        <v>0</v>
      </c>
      <c r="DQ151" s="50">
        <f t="shared" si="231"/>
        <v>0</v>
      </c>
      <c r="DR151" s="50">
        <f t="shared" si="232"/>
        <v>0</v>
      </c>
      <c r="DS151" s="96">
        <f>Miscelaneous!$D$4*Miscelaneous!$D$2^($CI151-1)</f>
        <v>1000</v>
      </c>
      <c r="DT151" s="333">
        <f t="shared" si="213"/>
        <v>1</v>
      </c>
      <c r="DU151" s="81">
        <v>1</v>
      </c>
      <c r="DV151" s="79">
        <f t="shared" si="233"/>
        <v>0</v>
      </c>
      <c r="DW151" s="79">
        <f t="shared" si="234"/>
        <v>0</v>
      </c>
      <c r="DX151" s="79">
        <f t="shared" si="235"/>
        <v>0</v>
      </c>
      <c r="DY151" s="79">
        <v>1</v>
      </c>
      <c r="DZ151" s="79">
        <f t="shared" si="236"/>
        <v>0</v>
      </c>
      <c r="EA151" s="79">
        <f t="shared" si="237"/>
        <v>0</v>
      </c>
      <c r="EB151" s="79">
        <f t="shared" si="238"/>
        <v>0</v>
      </c>
      <c r="EC151" s="79">
        <f t="shared" si="239"/>
        <v>0</v>
      </c>
      <c r="ED151" s="79">
        <v>1</v>
      </c>
      <c r="EE151" s="79">
        <v>1</v>
      </c>
      <c r="EF151" s="79">
        <f t="shared" si="240"/>
        <v>0</v>
      </c>
      <c r="EG151" s="79">
        <v>1</v>
      </c>
      <c r="EH151" s="79">
        <v>1</v>
      </c>
      <c r="EI151" s="79">
        <v>1</v>
      </c>
      <c r="EJ151" s="79">
        <v>1</v>
      </c>
      <c r="EK151" s="79">
        <v>1</v>
      </c>
      <c r="EL151" s="79">
        <v>1</v>
      </c>
      <c r="EM151" s="143">
        <f t="shared" si="241"/>
        <v>0</v>
      </c>
      <c r="EN151" s="143">
        <f t="shared" si="242"/>
        <v>0</v>
      </c>
      <c r="EO151" s="82">
        <f t="shared" si="243"/>
        <v>0</v>
      </c>
    </row>
    <row r="152" spans="1:145" x14ac:dyDescent="0.25">
      <c r="A152">
        <v>138</v>
      </c>
      <c r="B152" s="172" t="e">
        <f t="shared" si="214"/>
        <v>#N/A</v>
      </c>
      <c r="C152" s="121" t="e">
        <f t="shared" si="193"/>
        <v>#N/A</v>
      </c>
      <c r="D152" s="122" t="e">
        <f t="shared" si="194"/>
        <v>#N/A</v>
      </c>
      <c r="E152" s="122" t="e">
        <f t="shared" si="195"/>
        <v>#N/A</v>
      </c>
      <c r="F152" s="176" t="e">
        <f t="shared" si="196"/>
        <v>#N/A</v>
      </c>
      <c r="G152" s="121">
        <f t="shared" si="215"/>
        <v>208</v>
      </c>
      <c r="H152" s="176" t="e">
        <f t="shared" si="216"/>
        <v>#N/A</v>
      </c>
      <c r="I152" s="48">
        <v>1</v>
      </c>
      <c r="J152" s="39"/>
      <c r="K152" s="350">
        <v>1</v>
      </c>
      <c r="L152" s="34" t="e">
        <f t="shared" si="197"/>
        <v>#N/A</v>
      </c>
      <c r="M152" s="38" t="e">
        <f>(HLOOKUP(J152,'Construction Times'!$B$3:$W$34,L152+2,FALSE)*HLOOKUP("hq modifier",'Construction Times'!$W$3:$W$34,BS152+2,FALSE))*(1-$H$9)</f>
        <v>#N/A</v>
      </c>
      <c r="N152" s="443" t="e">
        <f t="shared" si="217"/>
        <v>#N/A</v>
      </c>
      <c r="O152" s="444"/>
      <c r="P152" s="447" t="e">
        <f t="shared" si="218"/>
        <v>#N/A</v>
      </c>
      <c r="Q152" s="448"/>
      <c r="R152" s="103">
        <f t="shared" si="244"/>
        <v>0</v>
      </c>
      <c r="S152" s="104">
        <f t="shared" si="244"/>
        <v>0</v>
      </c>
      <c r="T152" s="104">
        <f t="shared" si="245"/>
        <v>0</v>
      </c>
      <c r="U152" s="104">
        <f t="shared" si="245"/>
        <v>0</v>
      </c>
      <c r="V152" s="104">
        <f t="shared" si="245"/>
        <v>9.9999999999999995E-8</v>
      </c>
      <c r="W152" s="104">
        <f t="shared" si="245"/>
        <v>0</v>
      </c>
      <c r="X152" s="104">
        <f t="shared" si="185"/>
        <v>0</v>
      </c>
      <c r="Y152" s="104">
        <f t="shared" si="185"/>
        <v>9.9999999999999995E-8</v>
      </c>
      <c r="Z152" s="104">
        <f t="shared" si="185"/>
        <v>9.9999999999999995E-8</v>
      </c>
      <c r="AA152" s="105">
        <f t="shared" si="185"/>
        <v>9.9999999999999995E-8</v>
      </c>
      <c r="AB152" s="101" t="e">
        <f>$DT152*HLOOKUP($J152,'Construction Costs (timber)'!$B$1:$V$32,'Construction Planner'!$L152+2,FALSE)</f>
        <v>#N/A</v>
      </c>
      <c r="AC152" s="14" t="e">
        <f>$DT152*HLOOKUP($J152,'Construction Costs (clay)'!$B$1:$V$32,'Construction Planner'!$L152+2,FALSE)</f>
        <v>#N/A</v>
      </c>
      <c r="AD152" s="14" t="e">
        <f>$DT152*HLOOKUP($J152,'Construction Costs (iron)'!$B$1:$V$32,'Construction Planner'!$L152+2,FALSE)</f>
        <v>#N/A</v>
      </c>
      <c r="AE152" s="34" t="e">
        <f t="shared" si="254"/>
        <v>#N/A</v>
      </c>
      <c r="AF152" s="33" t="e">
        <f t="shared" si="198"/>
        <v>#N/A</v>
      </c>
      <c r="AG152" s="14" t="e">
        <f t="shared" si="199"/>
        <v>#N/A</v>
      </c>
      <c r="AH152" s="14" t="e">
        <f t="shared" si="200"/>
        <v>#N/A</v>
      </c>
      <c r="AI152" s="34" t="e">
        <f t="shared" si="255"/>
        <v>#N/A</v>
      </c>
      <c r="AJ152" s="49" t="e">
        <f t="shared" si="219"/>
        <v>#N/A</v>
      </c>
      <c r="AK152" s="49" t="e">
        <f t="shared" si="220"/>
        <v>#N/A</v>
      </c>
      <c r="AL152" s="49" t="e">
        <f t="shared" si="221"/>
        <v>#N/A</v>
      </c>
      <c r="AM152" s="25">
        <f t="shared" si="201"/>
        <v>30</v>
      </c>
      <c r="AN152" s="25">
        <f t="shared" si="202"/>
        <v>30</v>
      </c>
      <c r="AO152" s="25">
        <f t="shared" si="203"/>
        <v>30</v>
      </c>
      <c r="AP152" s="52" t="e">
        <f t="shared" si="222"/>
        <v>#N/A</v>
      </c>
      <c r="AQ152" s="53" t="e">
        <f t="shared" si="222"/>
        <v>#N/A</v>
      </c>
      <c r="AR152" s="54" t="e">
        <f t="shared" si="222"/>
        <v>#N/A</v>
      </c>
      <c r="AS152" s="316">
        <f t="shared" si="256"/>
        <v>0</v>
      </c>
      <c r="AT152" s="106">
        <f>_xlfn.IFNA($M152/VLOOKUP($BT152,'Unit information'!$A$2:$K$29,2,FALSE)*R152,0)*(1+$E$9)</f>
        <v>0</v>
      </c>
      <c r="AU152" s="107">
        <f>_xlfn.IFNA($M152/VLOOKUP($BT152,'Unit information'!$A$2:$K$29,3,FALSE)*S152,0)*(1+$E$9)</f>
        <v>0</v>
      </c>
      <c r="AV152" s="107">
        <f>_xlfn.IFNA($M152/VLOOKUP($BT152,'Unit information'!$A$2:$K$29,4,FALSE)*T152,0)*(1+$E$9)</f>
        <v>0</v>
      </c>
      <c r="AW152" s="107">
        <f>_xlfn.IFNA($M152/VLOOKUP($BT152,'Unit information'!$A$2:$K$29,5,FALSE)*U152,0)*(1+$E$9)</f>
        <v>0</v>
      </c>
      <c r="AX152" s="107">
        <f>_xlfn.IFNA($M152/VLOOKUP($BU152,'Unit information'!$A$2:$K$29,6,FALSE)*V152,0)*(1+$E$9)</f>
        <v>0</v>
      </c>
      <c r="AY152" s="107">
        <f>_xlfn.IFNA($M152/VLOOKUP($BU152,'Unit information'!$A$2:$K$29,7,FALSE)*W152,0)*(1+$E$9)</f>
        <v>0</v>
      </c>
      <c r="AZ152" s="107">
        <f>_xlfn.IFNA($M152/VLOOKUP($BU152,'Unit information'!$A$2:$K$29,8,FALSE)*X152,0)*(1+$E$9)</f>
        <v>0</v>
      </c>
      <c r="BA152" s="107">
        <f>_xlfn.IFNA($M152/VLOOKUP($BU152,'Unit information'!$A$2:$K$29,9,FALSE)*Y152,0)*(1+$E$9)</f>
        <v>0</v>
      </c>
      <c r="BB152" s="107">
        <f>_xlfn.IFNA($M152/VLOOKUP($BV152,'Unit information'!$A$2:$K$29,10,FALSE)*Z152,0)*(1+$E$9)</f>
        <v>0</v>
      </c>
      <c r="BC152" s="108">
        <f>_xlfn.IFNA($M152/VLOOKUP($BV152,'Unit information'!$A$2:$K$29,11,FALSE)*AA152,0)*(1+$E$9)</f>
        <v>0</v>
      </c>
      <c r="BD152" s="106">
        <f t="shared" si="204"/>
        <v>0</v>
      </c>
      <c r="BE152" s="107">
        <f t="shared" si="205"/>
        <v>0</v>
      </c>
      <c r="BF152" s="108">
        <f t="shared" si="206"/>
        <v>0</v>
      </c>
      <c r="BG152" s="25" t="e">
        <f t="shared" si="207"/>
        <v>#N/A</v>
      </c>
      <c r="BH152" s="25" t="e">
        <f t="shared" si="208"/>
        <v>#N/A</v>
      </c>
      <c r="BI152" s="25" t="e">
        <f t="shared" si="209"/>
        <v>#N/A</v>
      </c>
      <c r="BJ152" s="27" t="e">
        <f t="shared" si="210"/>
        <v>#N/A</v>
      </c>
      <c r="BK152" s="18" t="e">
        <f t="shared" si="211"/>
        <v>#N/A</v>
      </c>
      <c r="BL152" s="18" t="e">
        <f t="shared" si="212"/>
        <v>#N/A</v>
      </c>
      <c r="BM152" s="28" t="e">
        <f t="shared" si="257"/>
        <v>#N/A</v>
      </c>
      <c r="BN152" s="33">
        <f>HLOOKUP("maximum population",Miscelaneous!$C$1:$C$33,CH152+3,FALSE)</f>
        <v>240</v>
      </c>
      <c r="BO152" s="14">
        <f t="shared" si="223"/>
        <v>32</v>
      </c>
      <c r="BP152" s="14">
        <f t="shared" si="224"/>
        <v>0</v>
      </c>
      <c r="BQ152" s="14">
        <f t="shared" si="225"/>
        <v>208</v>
      </c>
      <c r="BR152" s="34" t="e">
        <f>HLOOKUP(J152,Villagers!$B$1:$V$33,L152+3,FALSE)-HLOOKUP(J152,Villagers!$B$1:$V$33,L152+2,FALSE)</f>
        <v>#N/A</v>
      </c>
      <c r="BS152" s="49">
        <f t="shared" si="226"/>
        <v>1</v>
      </c>
      <c r="BT152" s="50">
        <f t="shared" si="227"/>
        <v>0</v>
      </c>
      <c r="BU152" s="50">
        <f t="shared" si="228"/>
        <v>0</v>
      </c>
      <c r="BV152" s="50">
        <f t="shared" si="229"/>
        <v>0</v>
      </c>
      <c r="BW152" s="50">
        <f t="shared" si="258"/>
        <v>0</v>
      </c>
      <c r="BX152" s="50">
        <f t="shared" si="259"/>
        <v>0</v>
      </c>
      <c r="BY152" s="50">
        <f t="shared" si="259"/>
        <v>0</v>
      </c>
      <c r="BZ152" s="50">
        <f t="shared" si="167"/>
        <v>0</v>
      </c>
      <c r="CA152" s="50">
        <f t="shared" si="168"/>
        <v>0</v>
      </c>
      <c r="CB152" s="50">
        <f t="shared" si="169"/>
        <v>1</v>
      </c>
      <c r="CC152" s="50">
        <f t="shared" si="170"/>
        <v>0</v>
      </c>
      <c r="CD152" s="50">
        <f t="shared" si="171"/>
        <v>0</v>
      </c>
      <c r="CE152" s="50">
        <f t="shared" si="172"/>
        <v>1</v>
      </c>
      <c r="CF152" s="50">
        <f t="shared" si="173"/>
        <v>1</v>
      </c>
      <c r="CG152" s="50">
        <f t="shared" si="174"/>
        <v>1</v>
      </c>
      <c r="CH152" s="50">
        <f t="shared" si="175"/>
        <v>1</v>
      </c>
      <c r="CI152" s="50">
        <f t="shared" si="176"/>
        <v>1</v>
      </c>
      <c r="CJ152" s="50">
        <f t="shared" si="177"/>
        <v>1</v>
      </c>
      <c r="CK152" s="50">
        <f t="shared" si="177"/>
        <v>0</v>
      </c>
      <c r="CL152" s="50">
        <f t="shared" si="177"/>
        <v>0</v>
      </c>
      <c r="CM152" s="51">
        <f t="shared" si="178"/>
        <v>0</v>
      </c>
      <c r="CN152" s="33">
        <f>ROUND(IF(BS152=0,0,HLOOKUP(BS$14,Villagers!$B$1:$V$33,BS152+3,FALSE)),)</f>
        <v>5</v>
      </c>
      <c r="CO152" s="14">
        <f>ROUND(IF(BT152=0,0,HLOOKUP(BT$14,Villagers!$B$1:$V$33,BT152+3,FALSE)),)</f>
        <v>0</v>
      </c>
      <c r="CP152" s="14">
        <f>ROUND(IF(BU152=0,0,HLOOKUP(BU$14,Villagers!$B$1:$V$33,BU152+3,FALSE)),)</f>
        <v>0</v>
      </c>
      <c r="CQ152" s="14">
        <f>ROUND(IF(BV152=0,0,HLOOKUP(BV$14,Villagers!$B$1:$V$33,BV152+3,FALSE)),)</f>
        <v>0</v>
      </c>
      <c r="CR152" s="14">
        <f>ROUND(IF(BW152=0,0,HLOOKUP(BW$14,Villagers!$B$1:$V$33,BW152+3,FALSE)),)</f>
        <v>0</v>
      </c>
      <c r="CS152" s="14">
        <f>ROUND(IF(BX152=0,0,HLOOKUP(BX$14,Villagers!$B$1:$V$33,BX152+3,FALSE)),)</f>
        <v>0</v>
      </c>
      <c r="CT152" s="14">
        <f>ROUND(IF(BY152=0,0,HLOOKUP(BY$14,Villagers!$B$1:$V$33,BY152+3,FALSE)),)</f>
        <v>0</v>
      </c>
      <c r="CU152" s="14">
        <f>ROUND(IF(BZ152=0,0,HLOOKUP(BZ$14,Villagers!$B$1:$V$33,BZ152+3,FALSE)),)</f>
        <v>0</v>
      </c>
      <c r="CV152" s="14">
        <f>ROUND(IF(CA152=0,0,HLOOKUP(CA$14,Villagers!$B$1:$V$33,CA152+3,FALSE)),)</f>
        <v>0</v>
      </c>
      <c r="CW152" s="14">
        <f>ROUND(IF(CB152=0,0,HLOOKUP(CB$14,Villagers!$B$1:$V$33,CB152+3,FALSE)),)</f>
        <v>0</v>
      </c>
      <c r="CX152" s="14">
        <f>ROUND(IF(CC152=0,0,HLOOKUP(CC$14,Villagers!$B$1:$V$33,CC152+3,FALSE)),)</f>
        <v>0</v>
      </c>
      <c r="CY152" s="14">
        <f>ROUND(IF(CD152=0,0,HLOOKUP(CD$14,Villagers!$B$1:$V$33,CD152+3,FALSE)),)</f>
        <v>0</v>
      </c>
      <c r="CZ152" s="14">
        <f>ROUND(IF(CE152=0,0,HLOOKUP(CE$14,Villagers!$B$1:$V$33,CE152+3,FALSE)),)</f>
        <v>5</v>
      </c>
      <c r="DA152" s="14">
        <f>ROUND(IF(CF152=0,0,HLOOKUP(CF$14,Villagers!$B$1:$V$33,CF152+3,FALSE)),)</f>
        <v>10</v>
      </c>
      <c r="DB152" s="14">
        <f>ROUND(IF(CG152=0,0,HLOOKUP(CG$14,Villagers!$B$1:$V$33,CG152+3,FALSE)),)</f>
        <v>10</v>
      </c>
      <c r="DC152" s="14">
        <f>ROUND(IF(CH152=0,0,HLOOKUP(CH$14,Villagers!$B$1:$V$33,CH152+3,FALSE)),)</f>
        <v>0</v>
      </c>
      <c r="DD152" s="14">
        <f>ROUND(IF(CI152=0,0,HLOOKUP(CI$14,Villagers!$B$1:$V$33,CI152+3,FALSE)),)</f>
        <v>0</v>
      </c>
      <c r="DE152" s="14">
        <f>ROUND(IF(CJ152=0,0,HLOOKUP(CJ$14,Villagers!$B$1:$V$33,CJ152+3,FALSE)),)</f>
        <v>2</v>
      </c>
      <c r="DF152" s="370">
        <f>ROUND(IF(CK152=0,0,HLOOKUP(CK$14,Villagers!$B$1:$V$33,CK152+3,FALSE)),)</f>
        <v>0</v>
      </c>
      <c r="DG152" s="370">
        <f>ROUND(IF(CL152=0,0,HLOOKUP(CL$14,Villagers!$B$1:$V$33,CL152+3,FALSE)),)</f>
        <v>0</v>
      </c>
      <c r="DH152" s="34">
        <f>ROUND(IF(CM152=0,0,HLOOKUP(CM$14,Villagers!$B$1:$V$33,CM152+3,FALSE)),)</f>
        <v>0</v>
      </c>
      <c r="DI152" s="109">
        <f t="shared" si="246"/>
        <v>0</v>
      </c>
      <c r="DJ152" s="50">
        <f t="shared" si="247"/>
        <v>0</v>
      </c>
      <c r="DK152" s="50">
        <f t="shared" si="248"/>
        <v>0</v>
      </c>
      <c r="DL152" s="50">
        <f t="shared" si="249"/>
        <v>0</v>
      </c>
      <c r="DM152" s="50">
        <f t="shared" si="250"/>
        <v>0</v>
      </c>
      <c r="DN152" s="50">
        <f t="shared" si="251"/>
        <v>0</v>
      </c>
      <c r="DO152" s="50">
        <f t="shared" si="252"/>
        <v>0</v>
      </c>
      <c r="DP152" s="50">
        <f t="shared" si="253"/>
        <v>0</v>
      </c>
      <c r="DQ152" s="50">
        <f t="shared" si="231"/>
        <v>0</v>
      </c>
      <c r="DR152" s="50">
        <f t="shared" si="232"/>
        <v>0</v>
      </c>
      <c r="DS152" s="96">
        <f>Miscelaneous!$D$4*Miscelaneous!$D$2^($CI152-1)</f>
        <v>1000</v>
      </c>
      <c r="DT152" s="333">
        <f t="shared" si="213"/>
        <v>1</v>
      </c>
      <c r="DU152" s="81">
        <v>1</v>
      </c>
      <c r="DV152" s="79">
        <f t="shared" si="233"/>
        <v>0</v>
      </c>
      <c r="DW152" s="79">
        <f t="shared" si="234"/>
        <v>0</v>
      </c>
      <c r="DX152" s="79">
        <f t="shared" si="235"/>
        <v>0</v>
      </c>
      <c r="DY152" s="79">
        <v>1</v>
      </c>
      <c r="DZ152" s="79">
        <f t="shared" si="236"/>
        <v>0</v>
      </c>
      <c r="EA152" s="79">
        <f t="shared" si="237"/>
        <v>0</v>
      </c>
      <c r="EB152" s="79">
        <f t="shared" si="238"/>
        <v>0</v>
      </c>
      <c r="EC152" s="79">
        <f t="shared" si="239"/>
        <v>0</v>
      </c>
      <c r="ED152" s="79">
        <v>1</v>
      </c>
      <c r="EE152" s="79">
        <v>1</v>
      </c>
      <c r="EF152" s="79">
        <f t="shared" si="240"/>
        <v>0</v>
      </c>
      <c r="EG152" s="79">
        <v>1</v>
      </c>
      <c r="EH152" s="79">
        <v>1</v>
      </c>
      <c r="EI152" s="79">
        <v>1</v>
      </c>
      <c r="EJ152" s="79">
        <v>1</v>
      </c>
      <c r="EK152" s="79">
        <v>1</v>
      </c>
      <c r="EL152" s="79">
        <v>1</v>
      </c>
      <c r="EM152" s="143">
        <f t="shared" si="241"/>
        <v>0</v>
      </c>
      <c r="EN152" s="143">
        <f t="shared" si="242"/>
        <v>0</v>
      </c>
      <c r="EO152" s="82">
        <f t="shared" si="243"/>
        <v>0</v>
      </c>
    </row>
    <row r="153" spans="1:145" x14ac:dyDescent="0.25">
      <c r="A153">
        <v>139</v>
      </c>
      <c r="B153" s="172" t="e">
        <f t="shared" si="214"/>
        <v>#N/A</v>
      </c>
      <c r="C153" s="121" t="e">
        <f t="shared" si="193"/>
        <v>#N/A</v>
      </c>
      <c r="D153" s="122" t="e">
        <f t="shared" si="194"/>
        <v>#N/A</v>
      </c>
      <c r="E153" s="122" t="e">
        <f t="shared" si="195"/>
        <v>#N/A</v>
      </c>
      <c r="F153" s="176" t="e">
        <f t="shared" si="196"/>
        <v>#N/A</v>
      </c>
      <c r="G153" s="121">
        <f t="shared" si="215"/>
        <v>208</v>
      </c>
      <c r="H153" s="176" t="e">
        <f t="shared" si="216"/>
        <v>#N/A</v>
      </c>
      <c r="I153" s="48">
        <v>1</v>
      </c>
      <c r="J153" s="39"/>
      <c r="K153" s="350">
        <v>1</v>
      </c>
      <c r="L153" s="34" t="e">
        <f t="shared" si="197"/>
        <v>#N/A</v>
      </c>
      <c r="M153" s="38" t="e">
        <f>(HLOOKUP(J153,'Construction Times'!$B$3:$W$34,L153+2,FALSE)*HLOOKUP("hq modifier",'Construction Times'!$W$3:$W$34,BS153+2,FALSE))*(1-$H$9)</f>
        <v>#N/A</v>
      </c>
      <c r="N153" s="443" t="e">
        <f t="shared" si="217"/>
        <v>#N/A</v>
      </c>
      <c r="O153" s="444"/>
      <c r="P153" s="447" t="e">
        <f t="shared" si="218"/>
        <v>#N/A</v>
      </c>
      <c r="Q153" s="448"/>
      <c r="R153" s="103">
        <f t="shared" si="244"/>
        <v>0</v>
      </c>
      <c r="S153" s="104">
        <f t="shared" si="244"/>
        <v>0</v>
      </c>
      <c r="T153" s="104">
        <f t="shared" si="245"/>
        <v>0</v>
      </c>
      <c r="U153" s="104">
        <f t="shared" si="245"/>
        <v>0</v>
      </c>
      <c r="V153" s="104">
        <f t="shared" si="245"/>
        <v>9.9999999999999995E-8</v>
      </c>
      <c r="W153" s="104">
        <f t="shared" si="245"/>
        <v>0</v>
      </c>
      <c r="X153" s="104">
        <f t="shared" si="185"/>
        <v>0</v>
      </c>
      <c r="Y153" s="104">
        <f t="shared" si="185"/>
        <v>9.9999999999999995E-8</v>
      </c>
      <c r="Z153" s="104">
        <f t="shared" si="185"/>
        <v>9.9999999999999995E-8</v>
      </c>
      <c r="AA153" s="105">
        <f t="shared" si="185"/>
        <v>9.9999999999999995E-8</v>
      </c>
      <c r="AB153" s="101" t="e">
        <f>$DT153*HLOOKUP($J153,'Construction Costs (timber)'!$B$1:$V$32,'Construction Planner'!$L153+2,FALSE)</f>
        <v>#N/A</v>
      </c>
      <c r="AC153" s="14" t="e">
        <f>$DT153*HLOOKUP($J153,'Construction Costs (clay)'!$B$1:$V$32,'Construction Planner'!$L153+2,FALSE)</f>
        <v>#N/A</v>
      </c>
      <c r="AD153" s="14" t="e">
        <f>$DT153*HLOOKUP($J153,'Construction Costs (iron)'!$B$1:$V$32,'Construction Planner'!$L153+2,FALSE)</f>
        <v>#N/A</v>
      </c>
      <c r="AE153" s="34" t="e">
        <f t="shared" si="254"/>
        <v>#N/A</v>
      </c>
      <c r="AF153" s="33" t="e">
        <f t="shared" si="198"/>
        <v>#N/A</v>
      </c>
      <c r="AG153" s="14" t="e">
        <f t="shared" si="199"/>
        <v>#N/A</v>
      </c>
      <c r="AH153" s="14" t="e">
        <f t="shared" si="200"/>
        <v>#N/A</v>
      </c>
      <c r="AI153" s="34" t="e">
        <f t="shared" si="255"/>
        <v>#N/A</v>
      </c>
      <c r="AJ153" s="49" t="e">
        <f t="shared" si="219"/>
        <v>#N/A</v>
      </c>
      <c r="AK153" s="49" t="e">
        <f t="shared" si="220"/>
        <v>#N/A</v>
      </c>
      <c r="AL153" s="49" t="e">
        <f t="shared" si="221"/>
        <v>#N/A</v>
      </c>
      <c r="AM153" s="25">
        <f t="shared" si="201"/>
        <v>30</v>
      </c>
      <c r="AN153" s="25">
        <f t="shared" si="202"/>
        <v>30</v>
      </c>
      <c r="AO153" s="25">
        <f t="shared" si="203"/>
        <v>30</v>
      </c>
      <c r="AP153" s="52" t="e">
        <f t="shared" si="222"/>
        <v>#N/A</v>
      </c>
      <c r="AQ153" s="53" t="e">
        <f t="shared" si="222"/>
        <v>#N/A</v>
      </c>
      <c r="AR153" s="54" t="e">
        <f t="shared" si="222"/>
        <v>#N/A</v>
      </c>
      <c r="AS153" s="316">
        <f t="shared" si="256"/>
        <v>0</v>
      </c>
      <c r="AT153" s="106">
        <f>_xlfn.IFNA($M153/VLOOKUP($BT153,'Unit information'!$A$2:$K$29,2,FALSE)*R153,0)*(1+$E$9)</f>
        <v>0</v>
      </c>
      <c r="AU153" s="107">
        <f>_xlfn.IFNA($M153/VLOOKUP($BT153,'Unit information'!$A$2:$K$29,3,FALSE)*S153,0)*(1+$E$9)</f>
        <v>0</v>
      </c>
      <c r="AV153" s="107">
        <f>_xlfn.IFNA($M153/VLOOKUP($BT153,'Unit information'!$A$2:$K$29,4,FALSE)*T153,0)*(1+$E$9)</f>
        <v>0</v>
      </c>
      <c r="AW153" s="107">
        <f>_xlfn.IFNA($M153/VLOOKUP($BT153,'Unit information'!$A$2:$K$29,5,FALSE)*U153,0)*(1+$E$9)</f>
        <v>0</v>
      </c>
      <c r="AX153" s="107">
        <f>_xlfn.IFNA($M153/VLOOKUP($BU153,'Unit information'!$A$2:$K$29,6,FALSE)*V153,0)*(1+$E$9)</f>
        <v>0</v>
      </c>
      <c r="AY153" s="107">
        <f>_xlfn.IFNA($M153/VLOOKUP($BU153,'Unit information'!$A$2:$K$29,7,FALSE)*W153,0)*(1+$E$9)</f>
        <v>0</v>
      </c>
      <c r="AZ153" s="107">
        <f>_xlfn.IFNA($M153/VLOOKUP($BU153,'Unit information'!$A$2:$K$29,8,FALSE)*X153,0)*(1+$E$9)</f>
        <v>0</v>
      </c>
      <c r="BA153" s="107">
        <f>_xlfn.IFNA($M153/VLOOKUP($BU153,'Unit information'!$A$2:$K$29,9,FALSE)*Y153,0)*(1+$E$9)</f>
        <v>0</v>
      </c>
      <c r="BB153" s="107">
        <f>_xlfn.IFNA($M153/VLOOKUP($BV153,'Unit information'!$A$2:$K$29,10,FALSE)*Z153,0)*(1+$E$9)</f>
        <v>0</v>
      </c>
      <c r="BC153" s="108">
        <f>_xlfn.IFNA($M153/VLOOKUP($BV153,'Unit information'!$A$2:$K$29,11,FALSE)*AA153,0)*(1+$E$9)</f>
        <v>0</v>
      </c>
      <c r="BD153" s="106">
        <f t="shared" si="204"/>
        <v>0</v>
      </c>
      <c r="BE153" s="107">
        <f t="shared" si="205"/>
        <v>0</v>
      </c>
      <c r="BF153" s="108">
        <f t="shared" si="206"/>
        <v>0</v>
      </c>
      <c r="BG153" s="25" t="e">
        <f t="shared" si="207"/>
        <v>#N/A</v>
      </c>
      <c r="BH153" s="25" t="e">
        <f t="shared" si="208"/>
        <v>#N/A</v>
      </c>
      <c r="BI153" s="25" t="e">
        <f t="shared" si="209"/>
        <v>#N/A</v>
      </c>
      <c r="BJ153" s="27" t="e">
        <f t="shared" si="210"/>
        <v>#N/A</v>
      </c>
      <c r="BK153" s="18" t="e">
        <f t="shared" si="211"/>
        <v>#N/A</v>
      </c>
      <c r="BL153" s="18" t="e">
        <f t="shared" si="212"/>
        <v>#N/A</v>
      </c>
      <c r="BM153" s="28" t="e">
        <f t="shared" si="257"/>
        <v>#N/A</v>
      </c>
      <c r="BN153" s="33">
        <f>HLOOKUP("maximum population",Miscelaneous!$C$1:$C$33,CH153+3,FALSE)</f>
        <v>240</v>
      </c>
      <c r="BO153" s="14">
        <f t="shared" si="223"/>
        <v>32</v>
      </c>
      <c r="BP153" s="14">
        <f t="shared" si="224"/>
        <v>0</v>
      </c>
      <c r="BQ153" s="14">
        <f t="shared" si="225"/>
        <v>208</v>
      </c>
      <c r="BR153" s="34" t="e">
        <f>HLOOKUP(J153,Villagers!$B$1:$V$33,L153+3,FALSE)-HLOOKUP(J153,Villagers!$B$1:$V$33,L153+2,FALSE)</f>
        <v>#N/A</v>
      </c>
      <c r="BS153" s="49">
        <f t="shared" si="226"/>
        <v>1</v>
      </c>
      <c r="BT153" s="50">
        <f t="shared" si="227"/>
        <v>0</v>
      </c>
      <c r="BU153" s="50">
        <f t="shared" si="228"/>
        <v>0</v>
      </c>
      <c r="BV153" s="50">
        <f t="shared" si="229"/>
        <v>0</v>
      </c>
      <c r="BW153" s="50">
        <f t="shared" si="258"/>
        <v>0</v>
      </c>
      <c r="BX153" s="50">
        <f t="shared" si="259"/>
        <v>0</v>
      </c>
      <c r="BY153" s="50">
        <f t="shared" si="259"/>
        <v>0</v>
      </c>
      <c r="BZ153" s="50">
        <f t="shared" si="167"/>
        <v>0</v>
      </c>
      <c r="CA153" s="50">
        <f t="shared" si="168"/>
        <v>0</v>
      </c>
      <c r="CB153" s="50">
        <f t="shared" si="169"/>
        <v>1</v>
      </c>
      <c r="CC153" s="50">
        <f t="shared" si="170"/>
        <v>0</v>
      </c>
      <c r="CD153" s="50">
        <f t="shared" si="171"/>
        <v>0</v>
      </c>
      <c r="CE153" s="50">
        <f t="shared" si="172"/>
        <v>1</v>
      </c>
      <c r="CF153" s="50">
        <f t="shared" si="173"/>
        <v>1</v>
      </c>
      <c r="CG153" s="50">
        <f t="shared" si="174"/>
        <v>1</v>
      </c>
      <c r="CH153" s="50">
        <f t="shared" si="175"/>
        <v>1</v>
      </c>
      <c r="CI153" s="50">
        <f t="shared" si="176"/>
        <v>1</v>
      </c>
      <c r="CJ153" s="50">
        <f t="shared" si="177"/>
        <v>1</v>
      </c>
      <c r="CK153" s="50">
        <f t="shared" si="177"/>
        <v>0</v>
      </c>
      <c r="CL153" s="50">
        <f t="shared" si="177"/>
        <v>0</v>
      </c>
      <c r="CM153" s="51">
        <f t="shared" si="178"/>
        <v>0</v>
      </c>
      <c r="CN153" s="33">
        <f>ROUND(IF(BS153=0,0,HLOOKUP(BS$14,Villagers!$B$1:$V$33,BS153+3,FALSE)),)</f>
        <v>5</v>
      </c>
      <c r="CO153" s="14">
        <f>ROUND(IF(BT153=0,0,HLOOKUP(BT$14,Villagers!$B$1:$V$33,BT153+3,FALSE)),)</f>
        <v>0</v>
      </c>
      <c r="CP153" s="14">
        <f>ROUND(IF(BU153=0,0,HLOOKUP(BU$14,Villagers!$B$1:$V$33,BU153+3,FALSE)),)</f>
        <v>0</v>
      </c>
      <c r="CQ153" s="14">
        <f>ROUND(IF(BV153=0,0,HLOOKUP(BV$14,Villagers!$B$1:$V$33,BV153+3,FALSE)),)</f>
        <v>0</v>
      </c>
      <c r="CR153" s="14">
        <f>ROUND(IF(BW153=0,0,HLOOKUP(BW$14,Villagers!$B$1:$V$33,BW153+3,FALSE)),)</f>
        <v>0</v>
      </c>
      <c r="CS153" s="14">
        <f>ROUND(IF(BX153=0,0,HLOOKUP(BX$14,Villagers!$B$1:$V$33,BX153+3,FALSE)),)</f>
        <v>0</v>
      </c>
      <c r="CT153" s="14">
        <f>ROUND(IF(BY153=0,0,HLOOKUP(BY$14,Villagers!$B$1:$V$33,BY153+3,FALSE)),)</f>
        <v>0</v>
      </c>
      <c r="CU153" s="14">
        <f>ROUND(IF(BZ153=0,0,HLOOKUP(BZ$14,Villagers!$B$1:$V$33,BZ153+3,FALSE)),)</f>
        <v>0</v>
      </c>
      <c r="CV153" s="14">
        <f>ROUND(IF(CA153=0,0,HLOOKUP(CA$14,Villagers!$B$1:$V$33,CA153+3,FALSE)),)</f>
        <v>0</v>
      </c>
      <c r="CW153" s="14">
        <f>ROUND(IF(CB153=0,0,HLOOKUP(CB$14,Villagers!$B$1:$V$33,CB153+3,FALSE)),)</f>
        <v>0</v>
      </c>
      <c r="CX153" s="14">
        <f>ROUND(IF(CC153=0,0,HLOOKUP(CC$14,Villagers!$B$1:$V$33,CC153+3,FALSE)),)</f>
        <v>0</v>
      </c>
      <c r="CY153" s="14">
        <f>ROUND(IF(CD153=0,0,HLOOKUP(CD$14,Villagers!$B$1:$V$33,CD153+3,FALSE)),)</f>
        <v>0</v>
      </c>
      <c r="CZ153" s="14">
        <f>ROUND(IF(CE153=0,0,HLOOKUP(CE$14,Villagers!$B$1:$V$33,CE153+3,FALSE)),)</f>
        <v>5</v>
      </c>
      <c r="DA153" s="14">
        <f>ROUND(IF(CF153=0,0,HLOOKUP(CF$14,Villagers!$B$1:$V$33,CF153+3,FALSE)),)</f>
        <v>10</v>
      </c>
      <c r="DB153" s="14">
        <f>ROUND(IF(CG153=0,0,HLOOKUP(CG$14,Villagers!$B$1:$V$33,CG153+3,FALSE)),)</f>
        <v>10</v>
      </c>
      <c r="DC153" s="14">
        <f>ROUND(IF(CH153=0,0,HLOOKUP(CH$14,Villagers!$B$1:$V$33,CH153+3,FALSE)),)</f>
        <v>0</v>
      </c>
      <c r="DD153" s="14">
        <f>ROUND(IF(CI153=0,0,HLOOKUP(CI$14,Villagers!$B$1:$V$33,CI153+3,FALSE)),)</f>
        <v>0</v>
      </c>
      <c r="DE153" s="14">
        <f>ROUND(IF(CJ153=0,0,HLOOKUP(CJ$14,Villagers!$B$1:$V$33,CJ153+3,FALSE)),)</f>
        <v>2</v>
      </c>
      <c r="DF153" s="370">
        <f>ROUND(IF(CK153=0,0,HLOOKUP(CK$14,Villagers!$B$1:$V$33,CK153+3,FALSE)),)</f>
        <v>0</v>
      </c>
      <c r="DG153" s="370">
        <f>ROUND(IF(CL153=0,0,HLOOKUP(CL$14,Villagers!$B$1:$V$33,CL153+3,FALSE)),)</f>
        <v>0</v>
      </c>
      <c r="DH153" s="34">
        <f>ROUND(IF(CM153=0,0,HLOOKUP(CM$14,Villagers!$B$1:$V$33,CM153+3,FALSE)),)</f>
        <v>0</v>
      </c>
      <c r="DI153" s="109">
        <f t="shared" si="246"/>
        <v>0</v>
      </c>
      <c r="DJ153" s="50">
        <f t="shared" si="247"/>
        <v>0</v>
      </c>
      <c r="DK153" s="50">
        <f t="shared" si="248"/>
        <v>0</v>
      </c>
      <c r="DL153" s="50">
        <f t="shared" si="249"/>
        <v>0</v>
      </c>
      <c r="DM153" s="50">
        <f t="shared" si="250"/>
        <v>0</v>
      </c>
      <c r="DN153" s="50">
        <f t="shared" si="251"/>
        <v>0</v>
      </c>
      <c r="DO153" s="50">
        <f t="shared" si="252"/>
        <v>0</v>
      </c>
      <c r="DP153" s="50">
        <f t="shared" si="253"/>
        <v>0</v>
      </c>
      <c r="DQ153" s="50">
        <f t="shared" si="231"/>
        <v>0</v>
      </c>
      <c r="DR153" s="50">
        <f t="shared" si="232"/>
        <v>0</v>
      </c>
      <c r="DS153" s="96">
        <f>Miscelaneous!$D$4*Miscelaneous!$D$2^($CI153-1)</f>
        <v>1000</v>
      </c>
      <c r="DT153" s="333">
        <f t="shared" si="213"/>
        <v>1</v>
      </c>
      <c r="DU153" s="81">
        <v>1</v>
      </c>
      <c r="DV153" s="79">
        <f t="shared" si="233"/>
        <v>0</v>
      </c>
      <c r="DW153" s="79">
        <f t="shared" si="234"/>
        <v>0</v>
      </c>
      <c r="DX153" s="79">
        <f t="shared" si="235"/>
        <v>0</v>
      </c>
      <c r="DY153" s="79">
        <v>1</v>
      </c>
      <c r="DZ153" s="79">
        <f t="shared" si="236"/>
        <v>0</v>
      </c>
      <c r="EA153" s="79">
        <f t="shared" si="237"/>
        <v>0</v>
      </c>
      <c r="EB153" s="79">
        <f t="shared" si="238"/>
        <v>0</v>
      </c>
      <c r="EC153" s="79">
        <f t="shared" si="239"/>
        <v>0</v>
      </c>
      <c r="ED153" s="79">
        <v>1</v>
      </c>
      <c r="EE153" s="79">
        <v>1</v>
      </c>
      <c r="EF153" s="79">
        <f t="shared" si="240"/>
        <v>0</v>
      </c>
      <c r="EG153" s="79">
        <v>1</v>
      </c>
      <c r="EH153" s="79">
        <v>1</v>
      </c>
      <c r="EI153" s="79">
        <v>1</v>
      </c>
      <c r="EJ153" s="79">
        <v>1</v>
      </c>
      <c r="EK153" s="79">
        <v>1</v>
      </c>
      <c r="EL153" s="79">
        <v>1</v>
      </c>
      <c r="EM153" s="143">
        <f t="shared" si="241"/>
        <v>0</v>
      </c>
      <c r="EN153" s="143">
        <f t="shared" si="242"/>
        <v>0</v>
      </c>
      <c r="EO153" s="82">
        <f t="shared" si="243"/>
        <v>0</v>
      </c>
    </row>
    <row r="154" spans="1:145" x14ac:dyDescent="0.25">
      <c r="A154">
        <v>140</v>
      </c>
      <c r="B154" s="172" t="e">
        <f t="shared" si="214"/>
        <v>#N/A</v>
      </c>
      <c r="C154" s="121" t="e">
        <f t="shared" si="193"/>
        <v>#N/A</v>
      </c>
      <c r="D154" s="122" t="e">
        <f t="shared" si="194"/>
        <v>#N/A</v>
      </c>
      <c r="E154" s="122" t="e">
        <f t="shared" si="195"/>
        <v>#N/A</v>
      </c>
      <c r="F154" s="176" t="e">
        <f t="shared" si="196"/>
        <v>#N/A</v>
      </c>
      <c r="G154" s="121">
        <f t="shared" si="215"/>
        <v>208</v>
      </c>
      <c r="H154" s="176" t="e">
        <f t="shared" si="216"/>
        <v>#N/A</v>
      </c>
      <c r="I154" s="48">
        <v>1</v>
      </c>
      <c r="J154" s="39"/>
      <c r="K154" s="350">
        <v>1</v>
      </c>
      <c r="L154" s="34" t="e">
        <f t="shared" si="197"/>
        <v>#N/A</v>
      </c>
      <c r="M154" s="38" t="e">
        <f>(HLOOKUP(J154,'Construction Times'!$B$3:$W$34,L154+2,FALSE)*HLOOKUP("hq modifier",'Construction Times'!$W$3:$W$34,BS154+2,FALSE))*(1-$H$9)</f>
        <v>#N/A</v>
      </c>
      <c r="N154" s="443" t="e">
        <f t="shared" si="217"/>
        <v>#N/A</v>
      </c>
      <c r="O154" s="444"/>
      <c r="P154" s="447" t="e">
        <f t="shared" si="218"/>
        <v>#N/A</v>
      </c>
      <c r="Q154" s="448"/>
      <c r="R154" s="103">
        <f t="shared" si="244"/>
        <v>0</v>
      </c>
      <c r="S154" s="104">
        <f t="shared" si="244"/>
        <v>0</v>
      </c>
      <c r="T154" s="104">
        <f t="shared" si="245"/>
        <v>0</v>
      </c>
      <c r="U154" s="104">
        <f t="shared" si="245"/>
        <v>0</v>
      </c>
      <c r="V154" s="104">
        <f t="shared" si="245"/>
        <v>9.9999999999999995E-8</v>
      </c>
      <c r="W154" s="104">
        <f t="shared" si="245"/>
        <v>0</v>
      </c>
      <c r="X154" s="104">
        <f t="shared" si="185"/>
        <v>0</v>
      </c>
      <c r="Y154" s="104">
        <f t="shared" si="185"/>
        <v>9.9999999999999995E-8</v>
      </c>
      <c r="Z154" s="104">
        <f t="shared" si="185"/>
        <v>9.9999999999999995E-8</v>
      </c>
      <c r="AA154" s="105">
        <f t="shared" si="185"/>
        <v>9.9999999999999995E-8</v>
      </c>
      <c r="AB154" s="101" t="e">
        <f>$DT154*HLOOKUP($J154,'Construction Costs (timber)'!$B$1:$V$32,'Construction Planner'!$L154+2,FALSE)</f>
        <v>#N/A</v>
      </c>
      <c r="AC154" s="14" t="e">
        <f>$DT154*HLOOKUP($J154,'Construction Costs (clay)'!$B$1:$V$32,'Construction Planner'!$L154+2,FALSE)</f>
        <v>#N/A</v>
      </c>
      <c r="AD154" s="14" t="e">
        <f>$DT154*HLOOKUP($J154,'Construction Costs (iron)'!$B$1:$V$32,'Construction Planner'!$L154+2,FALSE)</f>
        <v>#N/A</v>
      </c>
      <c r="AE154" s="34" t="e">
        <f t="shared" si="254"/>
        <v>#N/A</v>
      </c>
      <c r="AF154" s="33" t="e">
        <f t="shared" si="198"/>
        <v>#N/A</v>
      </c>
      <c r="AG154" s="14" t="e">
        <f t="shared" si="199"/>
        <v>#N/A</v>
      </c>
      <c r="AH154" s="14" t="e">
        <f t="shared" si="200"/>
        <v>#N/A</v>
      </c>
      <c r="AI154" s="34" t="e">
        <f t="shared" si="255"/>
        <v>#N/A</v>
      </c>
      <c r="AJ154" s="49" t="e">
        <f t="shared" si="219"/>
        <v>#N/A</v>
      </c>
      <c r="AK154" s="49" t="e">
        <f t="shared" si="220"/>
        <v>#N/A</v>
      </c>
      <c r="AL154" s="49" t="e">
        <f t="shared" si="221"/>
        <v>#N/A</v>
      </c>
      <c r="AM154" s="25">
        <f t="shared" si="201"/>
        <v>30</v>
      </c>
      <c r="AN154" s="25">
        <f t="shared" si="202"/>
        <v>30</v>
      </c>
      <c r="AO154" s="25">
        <f t="shared" si="203"/>
        <v>30</v>
      </c>
      <c r="AP154" s="52" t="e">
        <f t="shared" si="222"/>
        <v>#N/A</v>
      </c>
      <c r="AQ154" s="53" t="e">
        <f t="shared" si="222"/>
        <v>#N/A</v>
      </c>
      <c r="AR154" s="54" t="e">
        <f t="shared" si="222"/>
        <v>#N/A</v>
      </c>
      <c r="AS154" s="316">
        <f t="shared" si="256"/>
        <v>0</v>
      </c>
      <c r="AT154" s="106">
        <f>_xlfn.IFNA($M154/VLOOKUP($BT154,'Unit information'!$A$2:$K$29,2,FALSE)*R154,0)*(1+$E$9)</f>
        <v>0</v>
      </c>
      <c r="AU154" s="107">
        <f>_xlfn.IFNA($M154/VLOOKUP($BT154,'Unit information'!$A$2:$K$29,3,FALSE)*S154,0)*(1+$E$9)</f>
        <v>0</v>
      </c>
      <c r="AV154" s="107">
        <f>_xlfn.IFNA($M154/VLOOKUP($BT154,'Unit information'!$A$2:$K$29,4,FALSE)*T154,0)*(1+$E$9)</f>
        <v>0</v>
      </c>
      <c r="AW154" s="107">
        <f>_xlfn.IFNA($M154/VLOOKUP($BT154,'Unit information'!$A$2:$K$29,5,FALSE)*U154,0)*(1+$E$9)</f>
        <v>0</v>
      </c>
      <c r="AX154" s="107">
        <f>_xlfn.IFNA($M154/VLOOKUP($BU154,'Unit information'!$A$2:$K$29,6,FALSE)*V154,0)*(1+$E$9)</f>
        <v>0</v>
      </c>
      <c r="AY154" s="107">
        <f>_xlfn.IFNA($M154/VLOOKUP($BU154,'Unit information'!$A$2:$K$29,7,FALSE)*W154,0)*(1+$E$9)</f>
        <v>0</v>
      </c>
      <c r="AZ154" s="107">
        <f>_xlfn.IFNA($M154/VLOOKUP($BU154,'Unit information'!$A$2:$K$29,8,FALSE)*X154,0)*(1+$E$9)</f>
        <v>0</v>
      </c>
      <c r="BA154" s="107">
        <f>_xlfn.IFNA($M154/VLOOKUP($BU154,'Unit information'!$A$2:$K$29,9,FALSE)*Y154,0)*(1+$E$9)</f>
        <v>0</v>
      </c>
      <c r="BB154" s="107">
        <f>_xlfn.IFNA($M154/VLOOKUP($BV154,'Unit information'!$A$2:$K$29,10,FALSE)*Z154,0)*(1+$E$9)</f>
        <v>0</v>
      </c>
      <c r="BC154" s="108">
        <f>_xlfn.IFNA($M154/VLOOKUP($BV154,'Unit information'!$A$2:$K$29,11,FALSE)*AA154,0)*(1+$E$9)</f>
        <v>0</v>
      </c>
      <c r="BD154" s="106">
        <f t="shared" si="204"/>
        <v>0</v>
      </c>
      <c r="BE154" s="107">
        <f t="shared" si="205"/>
        <v>0</v>
      </c>
      <c r="BF154" s="108">
        <f t="shared" si="206"/>
        <v>0</v>
      </c>
      <c r="BG154" s="25" t="e">
        <f t="shared" si="207"/>
        <v>#N/A</v>
      </c>
      <c r="BH154" s="25" t="e">
        <f t="shared" si="208"/>
        <v>#N/A</v>
      </c>
      <c r="BI154" s="25" t="e">
        <f t="shared" si="209"/>
        <v>#N/A</v>
      </c>
      <c r="BJ154" s="27" t="e">
        <f t="shared" si="210"/>
        <v>#N/A</v>
      </c>
      <c r="BK154" s="18" t="e">
        <f t="shared" si="211"/>
        <v>#N/A</v>
      </c>
      <c r="BL154" s="18" t="e">
        <f t="shared" si="212"/>
        <v>#N/A</v>
      </c>
      <c r="BM154" s="28" t="e">
        <f t="shared" si="257"/>
        <v>#N/A</v>
      </c>
      <c r="BN154" s="33">
        <f>HLOOKUP("maximum population",Miscelaneous!$C$1:$C$33,CH154+3,FALSE)</f>
        <v>240</v>
      </c>
      <c r="BO154" s="14">
        <f t="shared" si="223"/>
        <v>32</v>
      </c>
      <c r="BP154" s="14">
        <f t="shared" si="224"/>
        <v>0</v>
      </c>
      <c r="BQ154" s="14">
        <f t="shared" si="225"/>
        <v>208</v>
      </c>
      <c r="BR154" s="34" t="e">
        <f>HLOOKUP(J154,Villagers!$B$1:$V$33,L154+3,FALSE)-HLOOKUP(J154,Villagers!$B$1:$V$33,L154+2,FALSE)</f>
        <v>#N/A</v>
      </c>
      <c r="BS154" s="49">
        <f t="shared" si="226"/>
        <v>1</v>
      </c>
      <c r="BT154" s="50">
        <f t="shared" si="227"/>
        <v>0</v>
      </c>
      <c r="BU154" s="50">
        <f t="shared" si="228"/>
        <v>0</v>
      </c>
      <c r="BV154" s="50">
        <f t="shared" si="229"/>
        <v>0</v>
      </c>
      <c r="BW154" s="50">
        <f t="shared" si="258"/>
        <v>0</v>
      </c>
      <c r="BX154" s="50">
        <f t="shared" si="259"/>
        <v>0</v>
      </c>
      <c r="BY154" s="50">
        <f t="shared" si="259"/>
        <v>0</v>
      </c>
      <c r="BZ154" s="50">
        <f t="shared" si="167"/>
        <v>0</v>
      </c>
      <c r="CA154" s="50">
        <f t="shared" si="168"/>
        <v>0</v>
      </c>
      <c r="CB154" s="50">
        <f t="shared" si="169"/>
        <v>1</v>
      </c>
      <c r="CC154" s="50">
        <f t="shared" si="170"/>
        <v>0</v>
      </c>
      <c r="CD154" s="50">
        <f t="shared" si="171"/>
        <v>0</v>
      </c>
      <c r="CE154" s="50">
        <f t="shared" si="172"/>
        <v>1</v>
      </c>
      <c r="CF154" s="50">
        <f t="shared" si="173"/>
        <v>1</v>
      </c>
      <c r="CG154" s="50">
        <f t="shared" si="174"/>
        <v>1</v>
      </c>
      <c r="CH154" s="50">
        <f t="shared" si="175"/>
        <v>1</v>
      </c>
      <c r="CI154" s="50">
        <f t="shared" si="176"/>
        <v>1</v>
      </c>
      <c r="CJ154" s="50">
        <f t="shared" si="177"/>
        <v>1</v>
      </c>
      <c r="CK154" s="50">
        <f t="shared" si="177"/>
        <v>0</v>
      </c>
      <c r="CL154" s="50">
        <f t="shared" si="177"/>
        <v>0</v>
      </c>
      <c r="CM154" s="51">
        <f t="shared" si="178"/>
        <v>0</v>
      </c>
      <c r="CN154" s="33">
        <f>ROUND(IF(BS154=0,0,HLOOKUP(BS$14,Villagers!$B$1:$V$33,BS154+3,FALSE)),)</f>
        <v>5</v>
      </c>
      <c r="CO154" s="14">
        <f>ROUND(IF(BT154=0,0,HLOOKUP(BT$14,Villagers!$B$1:$V$33,BT154+3,FALSE)),)</f>
        <v>0</v>
      </c>
      <c r="CP154" s="14">
        <f>ROUND(IF(BU154=0,0,HLOOKUP(BU$14,Villagers!$B$1:$V$33,BU154+3,FALSE)),)</f>
        <v>0</v>
      </c>
      <c r="CQ154" s="14">
        <f>ROUND(IF(BV154=0,0,HLOOKUP(BV$14,Villagers!$B$1:$V$33,BV154+3,FALSE)),)</f>
        <v>0</v>
      </c>
      <c r="CR154" s="14">
        <f>ROUND(IF(BW154=0,0,HLOOKUP(BW$14,Villagers!$B$1:$V$33,BW154+3,FALSE)),)</f>
        <v>0</v>
      </c>
      <c r="CS154" s="14">
        <f>ROUND(IF(BX154=0,0,HLOOKUP(BX$14,Villagers!$B$1:$V$33,BX154+3,FALSE)),)</f>
        <v>0</v>
      </c>
      <c r="CT154" s="14">
        <f>ROUND(IF(BY154=0,0,HLOOKUP(BY$14,Villagers!$B$1:$V$33,BY154+3,FALSE)),)</f>
        <v>0</v>
      </c>
      <c r="CU154" s="14">
        <f>ROUND(IF(BZ154=0,0,HLOOKUP(BZ$14,Villagers!$B$1:$V$33,BZ154+3,FALSE)),)</f>
        <v>0</v>
      </c>
      <c r="CV154" s="14">
        <f>ROUND(IF(CA154=0,0,HLOOKUP(CA$14,Villagers!$B$1:$V$33,CA154+3,FALSE)),)</f>
        <v>0</v>
      </c>
      <c r="CW154" s="14">
        <f>ROUND(IF(CB154=0,0,HLOOKUP(CB$14,Villagers!$B$1:$V$33,CB154+3,FALSE)),)</f>
        <v>0</v>
      </c>
      <c r="CX154" s="14">
        <f>ROUND(IF(CC154=0,0,HLOOKUP(CC$14,Villagers!$B$1:$V$33,CC154+3,FALSE)),)</f>
        <v>0</v>
      </c>
      <c r="CY154" s="14">
        <f>ROUND(IF(CD154=0,0,HLOOKUP(CD$14,Villagers!$B$1:$V$33,CD154+3,FALSE)),)</f>
        <v>0</v>
      </c>
      <c r="CZ154" s="14">
        <f>ROUND(IF(CE154=0,0,HLOOKUP(CE$14,Villagers!$B$1:$V$33,CE154+3,FALSE)),)</f>
        <v>5</v>
      </c>
      <c r="DA154" s="14">
        <f>ROUND(IF(CF154=0,0,HLOOKUP(CF$14,Villagers!$B$1:$V$33,CF154+3,FALSE)),)</f>
        <v>10</v>
      </c>
      <c r="DB154" s="14">
        <f>ROUND(IF(CG154=0,0,HLOOKUP(CG$14,Villagers!$B$1:$V$33,CG154+3,FALSE)),)</f>
        <v>10</v>
      </c>
      <c r="DC154" s="14">
        <f>ROUND(IF(CH154=0,0,HLOOKUP(CH$14,Villagers!$B$1:$V$33,CH154+3,FALSE)),)</f>
        <v>0</v>
      </c>
      <c r="DD154" s="14">
        <f>ROUND(IF(CI154=0,0,HLOOKUP(CI$14,Villagers!$B$1:$V$33,CI154+3,FALSE)),)</f>
        <v>0</v>
      </c>
      <c r="DE154" s="14">
        <f>ROUND(IF(CJ154=0,0,HLOOKUP(CJ$14,Villagers!$B$1:$V$33,CJ154+3,FALSE)),)</f>
        <v>2</v>
      </c>
      <c r="DF154" s="370">
        <f>ROUND(IF(CK154=0,0,HLOOKUP(CK$14,Villagers!$B$1:$V$33,CK154+3,FALSE)),)</f>
        <v>0</v>
      </c>
      <c r="DG154" s="370">
        <f>ROUND(IF(CL154=0,0,HLOOKUP(CL$14,Villagers!$B$1:$V$33,CL154+3,FALSE)),)</f>
        <v>0</v>
      </c>
      <c r="DH154" s="34">
        <f>ROUND(IF(CM154=0,0,HLOOKUP(CM$14,Villagers!$B$1:$V$33,CM154+3,FALSE)),)</f>
        <v>0</v>
      </c>
      <c r="DI154" s="109">
        <f t="shared" si="246"/>
        <v>0</v>
      </c>
      <c r="DJ154" s="50">
        <f t="shared" si="247"/>
        <v>0</v>
      </c>
      <c r="DK154" s="50">
        <f t="shared" si="248"/>
        <v>0</v>
      </c>
      <c r="DL154" s="50">
        <f t="shared" si="249"/>
        <v>0</v>
      </c>
      <c r="DM154" s="50">
        <f t="shared" si="250"/>
        <v>0</v>
      </c>
      <c r="DN154" s="50">
        <f t="shared" si="251"/>
        <v>0</v>
      </c>
      <c r="DO154" s="50">
        <f t="shared" si="252"/>
        <v>0</v>
      </c>
      <c r="DP154" s="50">
        <f t="shared" si="253"/>
        <v>0</v>
      </c>
      <c r="DQ154" s="50">
        <f t="shared" si="231"/>
        <v>0</v>
      </c>
      <c r="DR154" s="50">
        <f t="shared" si="232"/>
        <v>0</v>
      </c>
      <c r="DS154" s="96">
        <f>Miscelaneous!$D$4*Miscelaneous!$D$2^($CI154-1)</f>
        <v>1000</v>
      </c>
      <c r="DT154" s="333">
        <f t="shared" si="213"/>
        <v>1</v>
      </c>
      <c r="DU154" s="81">
        <v>1</v>
      </c>
      <c r="DV154" s="79">
        <f t="shared" si="233"/>
        <v>0</v>
      </c>
      <c r="DW154" s="79">
        <f t="shared" si="234"/>
        <v>0</v>
      </c>
      <c r="DX154" s="79">
        <f t="shared" si="235"/>
        <v>0</v>
      </c>
      <c r="DY154" s="79">
        <v>1</v>
      </c>
      <c r="DZ154" s="79">
        <f t="shared" si="236"/>
        <v>0</v>
      </c>
      <c r="EA154" s="79">
        <f t="shared" si="237"/>
        <v>0</v>
      </c>
      <c r="EB154" s="79">
        <f t="shared" si="238"/>
        <v>0</v>
      </c>
      <c r="EC154" s="79">
        <f t="shared" si="239"/>
        <v>0</v>
      </c>
      <c r="ED154" s="79">
        <v>1</v>
      </c>
      <c r="EE154" s="79">
        <v>1</v>
      </c>
      <c r="EF154" s="79">
        <f t="shared" si="240"/>
        <v>0</v>
      </c>
      <c r="EG154" s="79">
        <v>1</v>
      </c>
      <c r="EH154" s="79">
        <v>1</v>
      </c>
      <c r="EI154" s="79">
        <v>1</v>
      </c>
      <c r="EJ154" s="79">
        <v>1</v>
      </c>
      <c r="EK154" s="79">
        <v>1</v>
      </c>
      <c r="EL154" s="79">
        <v>1</v>
      </c>
      <c r="EM154" s="143">
        <f t="shared" si="241"/>
        <v>0</v>
      </c>
      <c r="EN154" s="143">
        <f t="shared" si="242"/>
        <v>0</v>
      </c>
      <c r="EO154" s="82">
        <f t="shared" si="243"/>
        <v>0</v>
      </c>
    </row>
    <row r="155" spans="1:145" x14ac:dyDescent="0.25">
      <c r="A155">
        <v>141</v>
      </c>
      <c r="B155" s="172" t="e">
        <f t="shared" si="214"/>
        <v>#N/A</v>
      </c>
      <c r="C155" s="121" t="e">
        <f t="shared" si="193"/>
        <v>#N/A</v>
      </c>
      <c r="D155" s="122" t="e">
        <f t="shared" si="194"/>
        <v>#N/A</v>
      </c>
      <c r="E155" s="122" t="e">
        <f t="shared" si="195"/>
        <v>#N/A</v>
      </c>
      <c r="F155" s="176" t="e">
        <f t="shared" si="196"/>
        <v>#N/A</v>
      </c>
      <c r="G155" s="121">
        <f t="shared" si="215"/>
        <v>208</v>
      </c>
      <c r="H155" s="176" t="e">
        <f t="shared" si="216"/>
        <v>#N/A</v>
      </c>
      <c r="I155" s="48">
        <v>1</v>
      </c>
      <c r="J155" s="39"/>
      <c r="K155" s="350">
        <v>1</v>
      </c>
      <c r="L155" s="34" t="e">
        <f t="shared" si="197"/>
        <v>#N/A</v>
      </c>
      <c r="M155" s="38" t="e">
        <f>(HLOOKUP(J155,'Construction Times'!$B$3:$W$34,L155+2,FALSE)*HLOOKUP("hq modifier",'Construction Times'!$W$3:$W$34,BS155+2,FALSE))*(1-$H$9)</f>
        <v>#N/A</v>
      </c>
      <c r="N155" s="443" t="e">
        <f t="shared" si="217"/>
        <v>#N/A</v>
      </c>
      <c r="O155" s="444"/>
      <c r="P155" s="447" t="e">
        <f t="shared" si="218"/>
        <v>#N/A</v>
      </c>
      <c r="Q155" s="448"/>
      <c r="R155" s="103">
        <f t="shared" si="244"/>
        <v>0</v>
      </c>
      <c r="S155" s="104">
        <f t="shared" si="244"/>
        <v>0</v>
      </c>
      <c r="T155" s="104">
        <f t="shared" si="245"/>
        <v>0</v>
      </c>
      <c r="U155" s="104">
        <f t="shared" si="245"/>
        <v>0</v>
      </c>
      <c r="V155" s="104">
        <f t="shared" si="245"/>
        <v>9.9999999999999995E-8</v>
      </c>
      <c r="W155" s="104">
        <f t="shared" si="245"/>
        <v>0</v>
      </c>
      <c r="X155" s="104">
        <f t="shared" si="185"/>
        <v>0</v>
      </c>
      <c r="Y155" s="104">
        <f t="shared" si="185"/>
        <v>9.9999999999999995E-8</v>
      </c>
      <c r="Z155" s="104">
        <f t="shared" si="185"/>
        <v>9.9999999999999995E-8</v>
      </c>
      <c r="AA155" s="105">
        <f t="shared" si="185"/>
        <v>9.9999999999999995E-8</v>
      </c>
      <c r="AB155" s="101" t="e">
        <f>$DT155*HLOOKUP($J155,'Construction Costs (timber)'!$B$1:$V$32,'Construction Planner'!$L155+2,FALSE)</f>
        <v>#N/A</v>
      </c>
      <c r="AC155" s="14" t="e">
        <f>$DT155*HLOOKUP($J155,'Construction Costs (clay)'!$B$1:$V$32,'Construction Planner'!$L155+2,FALSE)</f>
        <v>#N/A</v>
      </c>
      <c r="AD155" s="14" t="e">
        <f>$DT155*HLOOKUP($J155,'Construction Costs (iron)'!$B$1:$V$32,'Construction Planner'!$L155+2,FALSE)</f>
        <v>#N/A</v>
      </c>
      <c r="AE155" s="34" t="e">
        <f t="shared" si="254"/>
        <v>#N/A</v>
      </c>
      <c r="AF155" s="33" t="e">
        <f t="shared" si="198"/>
        <v>#N/A</v>
      </c>
      <c r="AG155" s="14" t="e">
        <f t="shared" si="199"/>
        <v>#N/A</v>
      </c>
      <c r="AH155" s="14" t="e">
        <f t="shared" si="200"/>
        <v>#N/A</v>
      </c>
      <c r="AI155" s="34" t="e">
        <f t="shared" si="255"/>
        <v>#N/A</v>
      </c>
      <c r="AJ155" s="49" t="e">
        <f t="shared" si="219"/>
        <v>#N/A</v>
      </c>
      <c r="AK155" s="49" t="e">
        <f t="shared" si="220"/>
        <v>#N/A</v>
      </c>
      <c r="AL155" s="49" t="e">
        <f t="shared" si="221"/>
        <v>#N/A</v>
      </c>
      <c r="AM155" s="25">
        <f t="shared" si="201"/>
        <v>30</v>
      </c>
      <c r="AN155" s="25">
        <f t="shared" si="202"/>
        <v>30</v>
      </c>
      <c r="AO155" s="25">
        <f t="shared" si="203"/>
        <v>30</v>
      </c>
      <c r="AP155" s="52" t="e">
        <f t="shared" si="222"/>
        <v>#N/A</v>
      </c>
      <c r="AQ155" s="53" t="e">
        <f t="shared" si="222"/>
        <v>#N/A</v>
      </c>
      <c r="AR155" s="54" t="e">
        <f t="shared" si="222"/>
        <v>#N/A</v>
      </c>
      <c r="AS155" s="316">
        <f t="shared" si="256"/>
        <v>0</v>
      </c>
      <c r="AT155" s="106">
        <f>_xlfn.IFNA($M155/VLOOKUP($BT155,'Unit information'!$A$2:$K$29,2,FALSE)*R155,0)*(1+$E$9)</f>
        <v>0</v>
      </c>
      <c r="AU155" s="107">
        <f>_xlfn.IFNA($M155/VLOOKUP($BT155,'Unit information'!$A$2:$K$29,3,FALSE)*S155,0)*(1+$E$9)</f>
        <v>0</v>
      </c>
      <c r="AV155" s="107">
        <f>_xlfn.IFNA($M155/VLOOKUP($BT155,'Unit information'!$A$2:$K$29,4,FALSE)*T155,0)*(1+$E$9)</f>
        <v>0</v>
      </c>
      <c r="AW155" s="107">
        <f>_xlfn.IFNA($M155/VLOOKUP($BT155,'Unit information'!$A$2:$K$29,5,FALSE)*U155,0)*(1+$E$9)</f>
        <v>0</v>
      </c>
      <c r="AX155" s="107">
        <f>_xlfn.IFNA($M155/VLOOKUP($BU155,'Unit information'!$A$2:$K$29,6,FALSE)*V155,0)*(1+$E$9)</f>
        <v>0</v>
      </c>
      <c r="AY155" s="107">
        <f>_xlfn.IFNA($M155/VLOOKUP($BU155,'Unit information'!$A$2:$K$29,7,FALSE)*W155,0)*(1+$E$9)</f>
        <v>0</v>
      </c>
      <c r="AZ155" s="107">
        <f>_xlfn.IFNA($M155/VLOOKUP($BU155,'Unit information'!$A$2:$K$29,8,FALSE)*X155,0)*(1+$E$9)</f>
        <v>0</v>
      </c>
      <c r="BA155" s="107">
        <f>_xlfn.IFNA($M155/VLOOKUP($BU155,'Unit information'!$A$2:$K$29,9,FALSE)*Y155,0)*(1+$E$9)</f>
        <v>0</v>
      </c>
      <c r="BB155" s="107">
        <f>_xlfn.IFNA($M155/VLOOKUP($BV155,'Unit information'!$A$2:$K$29,10,FALSE)*Z155,0)*(1+$E$9)</f>
        <v>0</v>
      </c>
      <c r="BC155" s="108">
        <f>_xlfn.IFNA($M155/VLOOKUP($BV155,'Unit information'!$A$2:$K$29,11,FALSE)*AA155,0)*(1+$E$9)</f>
        <v>0</v>
      </c>
      <c r="BD155" s="106">
        <f t="shared" si="204"/>
        <v>0</v>
      </c>
      <c r="BE155" s="107">
        <f t="shared" si="205"/>
        <v>0</v>
      </c>
      <c r="BF155" s="108">
        <f t="shared" si="206"/>
        <v>0</v>
      </c>
      <c r="BG155" s="25" t="e">
        <f t="shared" si="207"/>
        <v>#N/A</v>
      </c>
      <c r="BH155" s="25" t="e">
        <f t="shared" si="208"/>
        <v>#N/A</v>
      </c>
      <c r="BI155" s="25" t="e">
        <f t="shared" si="209"/>
        <v>#N/A</v>
      </c>
      <c r="BJ155" s="27" t="e">
        <f t="shared" si="210"/>
        <v>#N/A</v>
      </c>
      <c r="BK155" s="18" t="e">
        <f t="shared" si="211"/>
        <v>#N/A</v>
      </c>
      <c r="BL155" s="18" t="e">
        <f t="shared" si="212"/>
        <v>#N/A</v>
      </c>
      <c r="BM155" s="28" t="e">
        <f t="shared" si="257"/>
        <v>#N/A</v>
      </c>
      <c r="BN155" s="33">
        <f>HLOOKUP("maximum population",Miscelaneous!$C$1:$C$33,CH155+3,FALSE)</f>
        <v>240</v>
      </c>
      <c r="BO155" s="14">
        <f t="shared" si="223"/>
        <v>32</v>
      </c>
      <c r="BP155" s="14">
        <f t="shared" si="224"/>
        <v>0</v>
      </c>
      <c r="BQ155" s="14">
        <f t="shared" si="225"/>
        <v>208</v>
      </c>
      <c r="BR155" s="34" t="e">
        <f>HLOOKUP(J155,Villagers!$B$1:$V$33,L155+3,FALSE)-HLOOKUP(J155,Villagers!$B$1:$V$33,L155+2,FALSE)</f>
        <v>#N/A</v>
      </c>
      <c r="BS155" s="49">
        <f t="shared" si="226"/>
        <v>1</v>
      </c>
      <c r="BT155" s="50">
        <f t="shared" si="227"/>
        <v>0</v>
      </c>
      <c r="BU155" s="50">
        <f t="shared" si="228"/>
        <v>0</v>
      </c>
      <c r="BV155" s="50">
        <f t="shared" si="229"/>
        <v>0</v>
      </c>
      <c r="BW155" s="50">
        <f t="shared" si="258"/>
        <v>0</v>
      </c>
      <c r="BX155" s="50">
        <f t="shared" si="259"/>
        <v>0</v>
      </c>
      <c r="BY155" s="50">
        <f t="shared" si="259"/>
        <v>0</v>
      </c>
      <c r="BZ155" s="50">
        <f t="shared" si="167"/>
        <v>0</v>
      </c>
      <c r="CA155" s="50">
        <f t="shared" si="168"/>
        <v>0</v>
      </c>
      <c r="CB155" s="50">
        <f t="shared" si="169"/>
        <v>1</v>
      </c>
      <c r="CC155" s="50">
        <f t="shared" si="170"/>
        <v>0</v>
      </c>
      <c r="CD155" s="50">
        <f t="shared" si="171"/>
        <v>0</v>
      </c>
      <c r="CE155" s="50">
        <f t="shared" si="172"/>
        <v>1</v>
      </c>
      <c r="CF155" s="50">
        <f t="shared" si="173"/>
        <v>1</v>
      </c>
      <c r="CG155" s="50">
        <f t="shared" si="174"/>
        <v>1</v>
      </c>
      <c r="CH155" s="50">
        <f t="shared" si="175"/>
        <v>1</v>
      </c>
      <c r="CI155" s="50">
        <f t="shared" si="176"/>
        <v>1</v>
      </c>
      <c r="CJ155" s="50">
        <f t="shared" si="177"/>
        <v>1</v>
      </c>
      <c r="CK155" s="50">
        <f t="shared" si="177"/>
        <v>0</v>
      </c>
      <c r="CL155" s="50">
        <f t="shared" si="177"/>
        <v>0</v>
      </c>
      <c r="CM155" s="51">
        <f t="shared" si="178"/>
        <v>0</v>
      </c>
      <c r="CN155" s="33">
        <f>ROUND(IF(BS155=0,0,HLOOKUP(BS$14,Villagers!$B$1:$V$33,BS155+3,FALSE)),)</f>
        <v>5</v>
      </c>
      <c r="CO155" s="14">
        <f>ROUND(IF(BT155=0,0,HLOOKUP(BT$14,Villagers!$B$1:$V$33,BT155+3,FALSE)),)</f>
        <v>0</v>
      </c>
      <c r="CP155" s="14">
        <f>ROUND(IF(BU155=0,0,HLOOKUP(BU$14,Villagers!$B$1:$V$33,BU155+3,FALSE)),)</f>
        <v>0</v>
      </c>
      <c r="CQ155" s="14">
        <f>ROUND(IF(BV155=0,0,HLOOKUP(BV$14,Villagers!$B$1:$V$33,BV155+3,FALSE)),)</f>
        <v>0</v>
      </c>
      <c r="CR155" s="14">
        <f>ROUND(IF(BW155=0,0,HLOOKUP(BW$14,Villagers!$B$1:$V$33,BW155+3,FALSE)),)</f>
        <v>0</v>
      </c>
      <c r="CS155" s="14">
        <f>ROUND(IF(BX155=0,0,HLOOKUP(BX$14,Villagers!$B$1:$V$33,BX155+3,FALSE)),)</f>
        <v>0</v>
      </c>
      <c r="CT155" s="14">
        <f>ROUND(IF(BY155=0,0,HLOOKUP(BY$14,Villagers!$B$1:$V$33,BY155+3,FALSE)),)</f>
        <v>0</v>
      </c>
      <c r="CU155" s="14">
        <f>ROUND(IF(BZ155=0,0,HLOOKUP(BZ$14,Villagers!$B$1:$V$33,BZ155+3,FALSE)),)</f>
        <v>0</v>
      </c>
      <c r="CV155" s="14">
        <f>ROUND(IF(CA155=0,0,HLOOKUP(CA$14,Villagers!$B$1:$V$33,CA155+3,FALSE)),)</f>
        <v>0</v>
      </c>
      <c r="CW155" s="14">
        <f>ROUND(IF(CB155=0,0,HLOOKUP(CB$14,Villagers!$B$1:$V$33,CB155+3,FALSE)),)</f>
        <v>0</v>
      </c>
      <c r="CX155" s="14">
        <f>ROUND(IF(CC155=0,0,HLOOKUP(CC$14,Villagers!$B$1:$V$33,CC155+3,FALSE)),)</f>
        <v>0</v>
      </c>
      <c r="CY155" s="14">
        <f>ROUND(IF(CD155=0,0,HLOOKUP(CD$14,Villagers!$B$1:$V$33,CD155+3,FALSE)),)</f>
        <v>0</v>
      </c>
      <c r="CZ155" s="14">
        <f>ROUND(IF(CE155=0,0,HLOOKUP(CE$14,Villagers!$B$1:$V$33,CE155+3,FALSE)),)</f>
        <v>5</v>
      </c>
      <c r="DA155" s="14">
        <f>ROUND(IF(CF155=0,0,HLOOKUP(CF$14,Villagers!$B$1:$V$33,CF155+3,FALSE)),)</f>
        <v>10</v>
      </c>
      <c r="DB155" s="14">
        <f>ROUND(IF(CG155=0,0,HLOOKUP(CG$14,Villagers!$B$1:$V$33,CG155+3,FALSE)),)</f>
        <v>10</v>
      </c>
      <c r="DC155" s="14">
        <f>ROUND(IF(CH155=0,0,HLOOKUP(CH$14,Villagers!$B$1:$V$33,CH155+3,FALSE)),)</f>
        <v>0</v>
      </c>
      <c r="DD155" s="14">
        <f>ROUND(IF(CI155=0,0,HLOOKUP(CI$14,Villagers!$B$1:$V$33,CI155+3,FALSE)),)</f>
        <v>0</v>
      </c>
      <c r="DE155" s="14">
        <f>ROUND(IF(CJ155=0,0,HLOOKUP(CJ$14,Villagers!$B$1:$V$33,CJ155+3,FALSE)),)</f>
        <v>2</v>
      </c>
      <c r="DF155" s="370">
        <f>ROUND(IF(CK155=0,0,HLOOKUP(CK$14,Villagers!$B$1:$V$33,CK155+3,FALSE)),)</f>
        <v>0</v>
      </c>
      <c r="DG155" s="370">
        <f>ROUND(IF(CL155=0,0,HLOOKUP(CL$14,Villagers!$B$1:$V$33,CL155+3,FALSE)),)</f>
        <v>0</v>
      </c>
      <c r="DH155" s="34">
        <f>ROUND(IF(CM155=0,0,HLOOKUP(CM$14,Villagers!$B$1:$V$33,CM155+3,FALSE)),)</f>
        <v>0</v>
      </c>
      <c r="DI155" s="109">
        <f t="shared" si="246"/>
        <v>0</v>
      </c>
      <c r="DJ155" s="50">
        <f t="shared" si="247"/>
        <v>0</v>
      </c>
      <c r="DK155" s="50">
        <f t="shared" si="248"/>
        <v>0</v>
      </c>
      <c r="DL155" s="50">
        <f t="shared" si="249"/>
        <v>0</v>
      </c>
      <c r="DM155" s="50">
        <f t="shared" si="250"/>
        <v>0</v>
      </c>
      <c r="DN155" s="50">
        <f t="shared" si="251"/>
        <v>0</v>
      </c>
      <c r="DO155" s="50">
        <f t="shared" si="252"/>
        <v>0</v>
      </c>
      <c r="DP155" s="50">
        <f t="shared" si="253"/>
        <v>0</v>
      </c>
      <c r="DQ155" s="50">
        <f t="shared" si="231"/>
        <v>0</v>
      </c>
      <c r="DR155" s="50">
        <f t="shared" si="232"/>
        <v>0</v>
      </c>
      <c r="DS155" s="96">
        <f>Miscelaneous!$D$4*Miscelaneous!$D$2^($CI155-1)</f>
        <v>1000</v>
      </c>
      <c r="DT155" s="333">
        <f t="shared" si="213"/>
        <v>1</v>
      </c>
      <c r="DU155" s="81">
        <v>1</v>
      </c>
      <c r="DV155" s="79">
        <f t="shared" si="233"/>
        <v>0</v>
      </c>
      <c r="DW155" s="79">
        <f t="shared" si="234"/>
        <v>0</v>
      </c>
      <c r="DX155" s="79">
        <f t="shared" si="235"/>
        <v>0</v>
      </c>
      <c r="DY155" s="79">
        <v>1</v>
      </c>
      <c r="DZ155" s="79">
        <f t="shared" si="236"/>
        <v>0</v>
      </c>
      <c r="EA155" s="79">
        <f t="shared" si="237"/>
        <v>0</v>
      </c>
      <c r="EB155" s="79">
        <f t="shared" si="238"/>
        <v>0</v>
      </c>
      <c r="EC155" s="79">
        <f t="shared" si="239"/>
        <v>0</v>
      </c>
      <c r="ED155" s="79">
        <v>1</v>
      </c>
      <c r="EE155" s="79">
        <v>1</v>
      </c>
      <c r="EF155" s="79">
        <f t="shared" si="240"/>
        <v>0</v>
      </c>
      <c r="EG155" s="79">
        <v>1</v>
      </c>
      <c r="EH155" s="79">
        <v>1</v>
      </c>
      <c r="EI155" s="79">
        <v>1</v>
      </c>
      <c r="EJ155" s="79">
        <v>1</v>
      </c>
      <c r="EK155" s="79">
        <v>1</v>
      </c>
      <c r="EL155" s="79">
        <v>1</v>
      </c>
      <c r="EM155" s="143">
        <f t="shared" si="241"/>
        <v>0</v>
      </c>
      <c r="EN155" s="143">
        <f t="shared" si="242"/>
        <v>0</v>
      </c>
      <c r="EO155" s="82">
        <f t="shared" si="243"/>
        <v>0</v>
      </c>
    </row>
    <row r="156" spans="1:145" x14ac:dyDescent="0.25">
      <c r="A156">
        <v>142</v>
      </c>
      <c r="B156" s="172" t="e">
        <f t="shared" si="214"/>
        <v>#N/A</v>
      </c>
      <c r="C156" s="121" t="e">
        <f t="shared" si="193"/>
        <v>#N/A</v>
      </c>
      <c r="D156" s="122" t="e">
        <f t="shared" si="194"/>
        <v>#N/A</v>
      </c>
      <c r="E156" s="122" t="e">
        <f t="shared" si="195"/>
        <v>#N/A</v>
      </c>
      <c r="F156" s="176" t="e">
        <f t="shared" si="196"/>
        <v>#N/A</v>
      </c>
      <c r="G156" s="121">
        <f t="shared" si="215"/>
        <v>208</v>
      </c>
      <c r="H156" s="176" t="e">
        <f t="shared" si="216"/>
        <v>#N/A</v>
      </c>
      <c r="I156" s="48">
        <v>1</v>
      </c>
      <c r="J156" s="39"/>
      <c r="K156" s="350">
        <v>1</v>
      </c>
      <c r="L156" s="34" t="e">
        <f t="shared" si="197"/>
        <v>#N/A</v>
      </c>
      <c r="M156" s="38" t="e">
        <f>(HLOOKUP(J156,'Construction Times'!$B$3:$W$34,L156+2,FALSE)*HLOOKUP("hq modifier",'Construction Times'!$W$3:$W$34,BS156+2,FALSE))*(1-$H$9)</f>
        <v>#N/A</v>
      </c>
      <c r="N156" s="443" t="e">
        <f t="shared" si="217"/>
        <v>#N/A</v>
      </c>
      <c r="O156" s="444"/>
      <c r="P156" s="447" t="e">
        <f t="shared" si="218"/>
        <v>#N/A</v>
      </c>
      <c r="Q156" s="448"/>
      <c r="R156" s="103">
        <f t="shared" si="244"/>
        <v>0</v>
      </c>
      <c r="S156" s="104">
        <f t="shared" si="244"/>
        <v>0</v>
      </c>
      <c r="T156" s="104">
        <f t="shared" si="245"/>
        <v>0</v>
      </c>
      <c r="U156" s="104">
        <f t="shared" si="245"/>
        <v>0</v>
      </c>
      <c r="V156" s="104">
        <f t="shared" si="245"/>
        <v>9.9999999999999995E-8</v>
      </c>
      <c r="W156" s="104">
        <f t="shared" si="245"/>
        <v>0</v>
      </c>
      <c r="X156" s="104">
        <f t="shared" si="185"/>
        <v>0</v>
      </c>
      <c r="Y156" s="104">
        <f t="shared" si="185"/>
        <v>9.9999999999999995E-8</v>
      </c>
      <c r="Z156" s="104">
        <f t="shared" si="185"/>
        <v>9.9999999999999995E-8</v>
      </c>
      <c r="AA156" s="105">
        <f t="shared" si="185"/>
        <v>9.9999999999999995E-8</v>
      </c>
      <c r="AB156" s="101" t="e">
        <f>$DT156*HLOOKUP($J156,'Construction Costs (timber)'!$B$1:$V$32,'Construction Planner'!$L156+2,FALSE)</f>
        <v>#N/A</v>
      </c>
      <c r="AC156" s="14" t="e">
        <f>$DT156*HLOOKUP($J156,'Construction Costs (clay)'!$B$1:$V$32,'Construction Planner'!$L156+2,FALSE)</f>
        <v>#N/A</v>
      </c>
      <c r="AD156" s="14" t="e">
        <f>$DT156*HLOOKUP($J156,'Construction Costs (iron)'!$B$1:$V$32,'Construction Planner'!$L156+2,FALSE)</f>
        <v>#N/A</v>
      </c>
      <c r="AE156" s="34" t="e">
        <f t="shared" si="254"/>
        <v>#N/A</v>
      </c>
      <c r="AF156" s="33" t="e">
        <f t="shared" si="198"/>
        <v>#N/A</v>
      </c>
      <c r="AG156" s="14" t="e">
        <f t="shared" si="199"/>
        <v>#N/A</v>
      </c>
      <c r="AH156" s="14" t="e">
        <f t="shared" si="200"/>
        <v>#N/A</v>
      </c>
      <c r="AI156" s="34" t="e">
        <f t="shared" si="255"/>
        <v>#N/A</v>
      </c>
      <c r="AJ156" s="49" t="e">
        <f t="shared" si="219"/>
        <v>#N/A</v>
      </c>
      <c r="AK156" s="49" t="e">
        <f t="shared" si="220"/>
        <v>#N/A</v>
      </c>
      <c r="AL156" s="49" t="e">
        <f t="shared" si="221"/>
        <v>#N/A</v>
      </c>
      <c r="AM156" s="25">
        <f t="shared" si="201"/>
        <v>30</v>
      </c>
      <c r="AN156" s="25">
        <f t="shared" si="202"/>
        <v>30</v>
      </c>
      <c r="AO156" s="25">
        <f t="shared" si="203"/>
        <v>30</v>
      </c>
      <c r="AP156" s="52" t="e">
        <f t="shared" si="222"/>
        <v>#N/A</v>
      </c>
      <c r="AQ156" s="53" t="e">
        <f t="shared" si="222"/>
        <v>#N/A</v>
      </c>
      <c r="AR156" s="54" t="e">
        <f t="shared" si="222"/>
        <v>#N/A</v>
      </c>
      <c r="AS156" s="316">
        <f t="shared" si="256"/>
        <v>0</v>
      </c>
      <c r="AT156" s="106">
        <f>_xlfn.IFNA($M156/VLOOKUP($BT156,'Unit information'!$A$2:$K$29,2,FALSE)*R156,0)*(1+$E$9)</f>
        <v>0</v>
      </c>
      <c r="AU156" s="107">
        <f>_xlfn.IFNA($M156/VLOOKUP($BT156,'Unit information'!$A$2:$K$29,3,FALSE)*S156,0)*(1+$E$9)</f>
        <v>0</v>
      </c>
      <c r="AV156" s="107">
        <f>_xlfn.IFNA($M156/VLOOKUP($BT156,'Unit information'!$A$2:$K$29,4,FALSE)*T156,0)*(1+$E$9)</f>
        <v>0</v>
      </c>
      <c r="AW156" s="107">
        <f>_xlfn.IFNA($M156/VLOOKUP($BT156,'Unit information'!$A$2:$K$29,5,FALSE)*U156,0)*(1+$E$9)</f>
        <v>0</v>
      </c>
      <c r="AX156" s="107">
        <f>_xlfn.IFNA($M156/VLOOKUP($BU156,'Unit information'!$A$2:$K$29,6,FALSE)*V156,0)*(1+$E$9)</f>
        <v>0</v>
      </c>
      <c r="AY156" s="107">
        <f>_xlfn.IFNA($M156/VLOOKUP($BU156,'Unit information'!$A$2:$K$29,7,FALSE)*W156,0)*(1+$E$9)</f>
        <v>0</v>
      </c>
      <c r="AZ156" s="107">
        <f>_xlfn.IFNA($M156/VLOOKUP($BU156,'Unit information'!$A$2:$K$29,8,FALSE)*X156,0)*(1+$E$9)</f>
        <v>0</v>
      </c>
      <c r="BA156" s="107">
        <f>_xlfn.IFNA($M156/VLOOKUP($BU156,'Unit information'!$A$2:$K$29,9,FALSE)*Y156,0)*(1+$E$9)</f>
        <v>0</v>
      </c>
      <c r="BB156" s="107">
        <f>_xlfn.IFNA($M156/VLOOKUP($BV156,'Unit information'!$A$2:$K$29,10,FALSE)*Z156,0)*(1+$E$9)</f>
        <v>0</v>
      </c>
      <c r="BC156" s="108">
        <f>_xlfn.IFNA($M156/VLOOKUP($BV156,'Unit information'!$A$2:$K$29,11,FALSE)*AA156,0)*(1+$E$9)</f>
        <v>0</v>
      </c>
      <c r="BD156" s="106">
        <f t="shared" si="204"/>
        <v>0</v>
      </c>
      <c r="BE156" s="107">
        <f t="shared" si="205"/>
        <v>0</v>
      </c>
      <c r="BF156" s="108">
        <f t="shared" si="206"/>
        <v>0</v>
      </c>
      <c r="BG156" s="25" t="e">
        <f t="shared" si="207"/>
        <v>#N/A</v>
      </c>
      <c r="BH156" s="25" t="e">
        <f t="shared" si="208"/>
        <v>#N/A</v>
      </c>
      <c r="BI156" s="25" t="e">
        <f t="shared" si="209"/>
        <v>#N/A</v>
      </c>
      <c r="BJ156" s="27" t="e">
        <f t="shared" si="210"/>
        <v>#N/A</v>
      </c>
      <c r="BK156" s="18" t="e">
        <f t="shared" si="211"/>
        <v>#N/A</v>
      </c>
      <c r="BL156" s="18" t="e">
        <f t="shared" si="212"/>
        <v>#N/A</v>
      </c>
      <c r="BM156" s="28" t="e">
        <f t="shared" si="257"/>
        <v>#N/A</v>
      </c>
      <c r="BN156" s="33">
        <f>HLOOKUP("maximum population",Miscelaneous!$C$1:$C$33,CH156+3,FALSE)</f>
        <v>240</v>
      </c>
      <c r="BO156" s="14">
        <f t="shared" si="223"/>
        <v>32</v>
      </c>
      <c r="BP156" s="14">
        <f t="shared" si="224"/>
        <v>0</v>
      </c>
      <c r="BQ156" s="14">
        <f t="shared" si="225"/>
        <v>208</v>
      </c>
      <c r="BR156" s="34" t="e">
        <f>HLOOKUP(J156,Villagers!$B$1:$V$33,L156+3,FALSE)-HLOOKUP(J156,Villagers!$B$1:$V$33,L156+2,FALSE)</f>
        <v>#N/A</v>
      </c>
      <c r="BS156" s="49">
        <f t="shared" si="226"/>
        <v>1</v>
      </c>
      <c r="BT156" s="50">
        <f t="shared" si="227"/>
        <v>0</v>
      </c>
      <c r="BU156" s="50">
        <f t="shared" si="228"/>
        <v>0</v>
      </c>
      <c r="BV156" s="50">
        <f t="shared" si="229"/>
        <v>0</v>
      </c>
      <c r="BW156" s="50">
        <f t="shared" si="258"/>
        <v>0</v>
      </c>
      <c r="BX156" s="50">
        <f t="shared" si="259"/>
        <v>0</v>
      </c>
      <c r="BY156" s="50">
        <f t="shared" si="259"/>
        <v>0</v>
      </c>
      <c r="BZ156" s="50">
        <f t="shared" si="167"/>
        <v>0</v>
      </c>
      <c r="CA156" s="50">
        <f t="shared" si="168"/>
        <v>0</v>
      </c>
      <c r="CB156" s="50">
        <f t="shared" si="169"/>
        <v>1</v>
      </c>
      <c r="CC156" s="50">
        <f t="shared" si="170"/>
        <v>0</v>
      </c>
      <c r="CD156" s="50">
        <f t="shared" si="171"/>
        <v>0</v>
      </c>
      <c r="CE156" s="50">
        <f t="shared" si="172"/>
        <v>1</v>
      </c>
      <c r="CF156" s="50">
        <f t="shared" si="173"/>
        <v>1</v>
      </c>
      <c r="CG156" s="50">
        <f t="shared" si="174"/>
        <v>1</v>
      </c>
      <c r="CH156" s="50">
        <f t="shared" si="175"/>
        <v>1</v>
      </c>
      <c r="CI156" s="50">
        <f t="shared" si="176"/>
        <v>1</v>
      </c>
      <c r="CJ156" s="50">
        <f t="shared" si="177"/>
        <v>1</v>
      </c>
      <c r="CK156" s="50">
        <f t="shared" si="177"/>
        <v>0</v>
      </c>
      <c r="CL156" s="50">
        <f t="shared" si="177"/>
        <v>0</v>
      </c>
      <c r="CM156" s="51">
        <f t="shared" si="178"/>
        <v>0</v>
      </c>
      <c r="CN156" s="33">
        <f>ROUND(IF(BS156=0,0,HLOOKUP(BS$14,Villagers!$B$1:$V$33,BS156+3,FALSE)),)</f>
        <v>5</v>
      </c>
      <c r="CO156" s="14">
        <f>ROUND(IF(BT156=0,0,HLOOKUP(BT$14,Villagers!$B$1:$V$33,BT156+3,FALSE)),)</f>
        <v>0</v>
      </c>
      <c r="CP156" s="14">
        <f>ROUND(IF(BU156=0,0,HLOOKUP(BU$14,Villagers!$B$1:$V$33,BU156+3,FALSE)),)</f>
        <v>0</v>
      </c>
      <c r="CQ156" s="14">
        <f>ROUND(IF(BV156=0,0,HLOOKUP(BV$14,Villagers!$B$1:$V$33,BV156+3,FALSE)),)</f>
        <v>0</v>
      </c>
      <c r="CR156" s="14">
        <f>ROUND(IF(BW156=0,0,HLOOKUP(BW$14,Villagers!$B$1:$V$33,BW156+3,FALSE)),)</f>
        <v>0</v>
      </c>
      <c r="CS156" s="14">
        <f>ROUND(IF(BX156=0,0,HLOOKUP(BX$14,Villagers!$B$1:$V$33,BX156+3,FALSE)),)</f>
        <v>0</v>
      </c>
      <c r="CT156" s="14">
        <f>ROUND(IF(BY156=0,0,HLOOKUP(BY$14,Villagers!$B$1:$V$33,BY156+3,FALSE)),)</f>
        <v>0</v>
      </c>
      <c r="CU156" s="14">
        <f>ROUND(IF(BZ156=0,0,HLOOKUP(BZ$14,Villagers!$B$1:$V$33,BZ156+3,FALSE)),)</f>
        <v>0</v>
      </c>
      <c r="CV156" s="14">
        <f>ROUND(IF(CA156=0,0,HLOOKUP(CA$14,Villagers!$B$1:$V$33,CA156+3,FALSE)),)</f>
        <v>0</v>
      </c>
      <c r="CW156" s="14">
        <f>ROUND(IF(CB156=0,0,HLOOKUP(CB$14,Villagers!$B$1:$V$33,CB156+3,FALSE)),)</f>
        <v>0</v>
      </c>
      <c r="CX156" s="14">
        <f>ROUND(IF(CC156=0,0,HLOOKUP(CC$14,Villagers!$B$1:$V$33,CC156+3,FALSE)),)</f>
        <v>0</v>
      </c>
      <c r="CY156" s="14">
        <f>ROUND(IF(CD156=0,0,HLOOKUP(CD$14,Villagers!$B$1:$V$33,CD156+3,FALSE)),)</f>
        <v>0</v>
      </c>
      <c r="CZ156" s="14">
        <f>ROUND(IF(CE156=0,0,HLOOKUP(CE$14,Villagers!$B$1:$V$33,CE156+3,FALSE)),)</f>
        <v>5</v>
      </c>
      <c r="DA156" s="14">
        <f>ROUND(IF(CF156=0,0,HLOOKUP(CF$14,Villagers!$B$1:$V$33,CF156+3,FALSE)),)</f>
        <v>10</v>
      </c>
      <c r="DB156" s="14">
        <f>ROUND(IF(CG156=0,0,HLOOKUP(CG$14,Villagers!$B$1:$V$33,CG156+3,FALSE)),)</f>
        <v>10</v>
      </c>
      <c r="DC156" s="14">
        <f>ROUND(IF(CH156=0,0,HLOOKUP(CH$14,Villagers!$B$1:$V$33,CH156+3,FALSE)),)</f>
        <v>0</v>
      </c>
      <c r="DD156" s="14">
        <f>ROUND(IF(CI156=0,0,HLOOKUP(CI$14,Villagers!$B$1:$V$33,CI156+3,FALSE)),)</f>
        <v>0</v>
      </c>
      <c r="DE156" s="14">
        <f>ROUND(IF(CJ156=0,0,HLOOKUP(CJ$14,Villagers!$B$1:$V$33,CJ156+3,FALSE)),)</f>
        <v>2</v>
      </c>
      <c r="DF156" s="370">
        <f>ROUND(IF(CK156=0,0,HLOOKUP(CK$14,Villagers!$B$1:$V$33,CK156+3,FALSE)),)</f>
        <v>0</v>
      </c>
      <c r="DG156" s="370">
        <f>ROUND(IF(CL156=0,0,HLOOKUP(CL$14,Villagers!$B$1:$V$33,CL156+3,FALSE)),)</f>
        <v>0</v>
      </c>
      <c r="DH156" s="34">
        <f>ROUND(IF(CM156=0,0,HLOOKUP(CM$14,Villagers!$B$1:$V$33,CM156+3,FALSE)),)</f>
        <v>0</v>
      </c>
      <c r="DI156" s="109">
        <f t="shared" si="246"/>
        <v>0</v>
      </c>
      <c r="DJ156" s="50">
        <f t="shared" si="247"/>
        <v>0</v>
      </c>
      <c r="DK156" s="50">
        <f t="shared" si="248"/>
        <v>0</v>
      </c>
      <c r="DL156" s="50">
        <f t="shared" si="249"/>
        <v>0</v>
      </c>
      <c r="DM156" s="50">
        <f t="shared" si="250"/>
        <v>0</v>
      </c>
      <c r="DN156" s="50">
        <f t="shared" si="251"/>
        <v>0</v>
      </c>
      <c r="DO156" s="50">
        <f t="shared" si="252"/>
        <v>0</v>
      </c>
      <c r="DP156" s="50">
        <f t="shared" si="253"/>
        <v>0</v>
      </c>
      <c r="DQ156" s="50">
        <f t="shared" si="231"/>
        <v>0</v>
      </c>
      <c r="DR156" s="50">
        <f t="shared" si="232"/>
        <v>0</v>
      </c>
      <c r="DS156" s="96">
        <f>Miscelaneous!$D$4*Miscelaneous!$D$2^($CI156-1)</f>
        <v>1000</v>
      </c>
      <c r="DT156" s="333">
        <f t="shared" si="213"/>
        <v>1</v>
      </c>
      <c r="DU156" s="81">
        <v>1</v>
      </c>
      <c r="DV156" s="79">
        <f t="shared" si="233"/>
        <v>0</v>
      </c>
      <c r="DW156" s="79">
        <f t="shared" si="234"/>
        <v>0</v>
      </c>
      <c r="DX156" s="79">
        <f t="shared" si="235"/>
        <v>0</v>
      </c>
      <c r="DY156" s="79">
        <v>1</v>
      </c>
      <c r="DZ156" s="79">
        <f t="shared" si="236"/>
        <v>0</v>
      </c>
      <c r="EA156" s="79">
        <f t="shared" si="237"/>
        <v>0</v>
      </c>
      <c r="EB156" s="79">
        <f t="shared" si="238"/>
        <v>0</v>
      </c>
      <c r="EC156" s="79">
        <f t="shared" si="239"/>
        <v>0</v>
      </c>
      <c r="ED156" s="79">
        <v>1</v>
      </c>
      <c r="EE156" s="79">
        <v>1</v>
      </c>
      <c r="EF156" s="79">
        <f t="shared" si="240"/>
        <v>0</v>
      </c>
      <c r="EG156" s="79">
        <v>1</v>
      </c>
      <c r="EH156" s="79">
        <v>1</v>
      </c>
      <c r="EI156" s="79">
        <v>1</v>
      </c>
      <c r="EJ156" s="79">
        <v>1</v>
      </c>
      <c r="EK156" s="79">
        <v>1</v>
      </c>
      <c r="EL156" s="79">
        <v>1</v>
      </c>
      <c r="EM156" s="143">
        <f t="shared" si="241"/>
        <v>0</v>
      </c>
      <c r="EN156" s="143">
        <f t="shared" si="242"/>
        <v>0</v>
      </c>
      <c r="EO156" s="82">
        <f t="shared" si="243"/>
        <v>0</v>
      </c>
    </row>
    <row r="157" spans="1:145" x14ac:dyDescent="0.25">
      <c r="A157">
        <v>143</v>
      </c>
      <c r="B157" s="172" t="e">
        <f t="shared" si="214"/>
        <v>#N/A</v>
      </c>
      <c r="C157" s="121" t="e">
        <f t="shared" si="193"/>
        <v>#N/A</v>
      </c>
      <c r="D157" s="122" t="e">
        <f t="shared" si="194"/>
        <v>#N/A</v>
      </c>
      <c r="E157" s="122" t="e">
        <f t="shared" si="195"/>
        <v>#N/A</v>
      </c>
      <c r="F157" s="176" t="e">
        <f t="shared" si="196"/>
        <v>#N/A</v>
      </c>
      <c r="G157" s="121">
        <f t="shared" si="215"/>
        <v>208</v>
      </c>
      <c r="H157" s="176" t="e">
        <f t="shared" si="216"/>
        <v>#N/A</v>
      </c>
      <c r="I157" s="48">
        <v>1</v>
      </c>
      <c r="J157" s="39"/>
      <c r="K157" s="350">
        <v>1</v>
      </c>
      <c r="L157" s="34" t="e">
        <f t="shared" si="197"/>
        <v>#N/A</v>
      </c>
      <c r="M157" s="38" t="e">
        <f>(HLOOKUP(J157,'Construction Times'!$B$3:$W$34,L157+2,FALSE)*HLOOKUP("hq modifier",'Construction Times'!$W$3:$W$34,BS157+2,FALSE))*(1-$H$9)</f>
        <v>#N/A</v>
      </c>
      <c r="N157" s="443" t="e">
        <f t="shared" si="217"/>
        <v>#N/A</v>
      </c>
      <c r="O157" s="444"/>
      <c r="P157" s="447" t="e">
        <f t="shared" si="218"/>
        <v>#N/A</v>
      </c>
      <c r="Q157" s="448"/>
      <c r="R157" s="103">
        <f t="shared" si="244"/>
        <v>0</v>
      </c>
      <c r="S157" s="104">
        <f t="shared" si="244"/>
        <v>0</v>
      </c>
      <c r="T157" s="104">
        <f t="shared" si="245"/>
        <v>0</v>
      </c>
      <c r="U157" s="104">
        <f t="shared" si="245"/>
        <v>0</v>
      </c>
      <c r="V157" s="104">
        <f t="shared" si="245"/>
        <v>9.9999999999999995E-8</v>
      </c>
      <c r="W157" s="104">
        <f t="shared" si="245"/>
        <v>0</v>
      </c>
      <c r="X157" s="104">
        <f t="shared" si="185"/>
        <v>0</v>
      </c>
      <c r="Y157" s="104">
        <f t="shared" si="185"/>
        <v>9.9999999999999995E-8</v>
      </c>
      <c r="Z157" s="104">
        <f t="shared" si="185"/>
        <v>9.9999999999999995E-8</v>
      </c>
      <c r="AA157" s="105">
        <f t="shared" si="185"/>
        <v>9.9999999999999995E-8</v>
      </c>
      <c r="AB157" s="101" t="e">
        <f>$DT157*HLOOKUP($J157,'Construction Costs (timber)'!$B$1:$V$32,'Construction Planner'!$L157+2,FALSE)</f>
        <v>#N/A</v>
      </c>
      <c r="AC157" s="14" t="e">
        <f>$DT157*HLOOKUP($J157,'Construction Costs (clay)'!$B$1:$V$32,'Construction Planner'!$L157+2,FALSE)</f>
        <v>#N/A</v>
      </c>
      <c r="AD157" s="14" t="e">
        <f>$DT157*HLOOKUP($J157,'Construction Costs (iron)'!$B$1:$V$32,'Construction Planner'!$L157+2,FALSE)</f>
        <v>#N/A</v>
      </c>
      <c r="AE157" s="34" t="e">
        <f t="shared" si="254"/>
        <v>#N/A</v>
      </c>
      <c r="AF157" s="33" t="e">
        <f t="shared" si="198"/>
        <v>#N/A</v>
      </c>
      <c r="AG157" s="14" t="e">
        <f t="shared" si="199"/>
        <v>#N/A</v>
      </c>
      <c r="AH157" s="14" t="e">
        <f t="shared" si="200"/>
        <v>#N/A</v>
      </c>
      <c r="AI157" s="34" t="e">
        <f t="shared" si="255"/>
        <v>#N/A</v>
      </c>
      <c r="AJ157" s="49" t="e">
        <f t="shared" si="219"/>
        <v>#N/A</v>
      </c>
      <c r="AK157" s="49" t="e">
        <f t="shared" si="220"/>
        <v>#N/A</v>
      </c>
      <c r="AL157" s="49" t="e">
        <f t="shared" si="221"/>
        <v>#N/A</v>
      </c>
      <c r="AM157" s="25">
        <f t="shared" si="201"/>
        <v>30</v>
      </c>
      <c r="AN157" s="25">
        <f t="shared" si="202"/>
        <v>30</v>
      </c>
      <c r="AO157" s="25">
        <f t="shared" si="203"/>
        <v>30</v>
      </c>
      <c r="AP157" s="52" t="e">
        <f t="shared" si="222"/>
        <v>#N/A</v>
      </c>
      <c r="AQ157" s="53" t="e">
        <f t="shared" si="222"/>
        <v>#N/A</v>
      </c>
      <c r="AR157" s="54" t="e">
        <f t="shared" si="222"/>
        <v>#N/A</v>
      </c>
      <c r="AS157" s="316">
        <f t="shared" si="256"/>
        <v>0</v>
      </c>
      <c r="AT157" s="106">
        <f>_xlfn.IFNA($M157/VLOOKUP($BT157,'Unit information'!$A$2:$K$29,2,FALSE)*R157,0)*(1+$E$9)</f>
        <v>0</v>
      </c>
      <c r="AU157" s="107">
        <f>_xlfn.IFNA($M157/VLOOKUP($BT157,'Unit information'!$A$2:$K$29,3,FALSE)*S157,0)*(1+$E$9)</f>
        <v>0</v>
      </c>
      <c r="AV157" s="107">
        <f>_xlfn.IFNA($M157/VLOOKUP($BT157,'Unit information'!$A$2:$K$29,4,FALSE)*T157,0)*(1+$E$9)</f>
        <v>0</v>
      </c>
      <c r="AW157" s="107">
        <f>_xlfn.IFNA($M157/VLOOKUP($BT157,'Unit information'!$A$2:$K$29,5,FALSE)*U157,0)*(1+$E$9)</f>
        <v>0</v>
      </c>
      <c r="AX157" s="107">
        <f>_xlfn.IFNA($M157/VLOOKUP($BU157,'Unit information'!$A$2:$K$29,6,FALSE)*V157,0)*(1+$E$9)</f>
        <v>0</v>
      </c>
      <c r="AY157" s="107">
        <f>_xlfn.IFNA($M157/VLOOKUP($BU157,'Unit information'!$A$2:$K$29,7,FALSE)*W157,0)*(1+$E$9)</f>
        <v>0</v>
      </c>
      <c r="AZ157" s="107">
        <f>_xlfn.IFNA($M157/VLOOKUP($BU157,'Unit information'!$A$2:$K$29,8,FALSE)*X157,0)*(1+$E$9)</f>
        <v>0</v>
      </c>
      <c r="BA157" s="107">
        <f>_xlfn.IFNA($M157/VLOOKUP($BU157,'Unit information'!$A$2:$K$29,9,FALSE)*Y157,0)*(1+$E$9)</f>
        <v>0</v>
      </c>
      <c r="BB157" s="107">
        <f>_xlfn.IFNA($M157/VLOOKUP($BV157,'Unit information'!$A$2:$K$29,10,FALSE)*Z157,0)*(1+$E$9)</f>
        <v>0</v>
      </c>
      <c r="BC157" s="108">
        <f>_xlfn.IFNA($M157/VLOOKUP($BV157,'Unit information'!$A$2:$K$29,11,FALSE)*AA157,0)*(1+$E$9)</f>
        <v>0</v>
      </c>
      <c r="BD157" s="106">
        <f t="shared" si="204"/>
        <v>0</v>
      </c>
      <c r="BE157" s="107">
        <f t="shared" si="205"/>
        <v>0</v>
      </c>
      <c r="BF157" s="108">
        <f t="shared" si="206"/>
        <v>0</v>
      </c>
      <c r="BG157" s="25" t="e">
        <f t="shared" si="207"/>
        <v>#N/A</v>
      </c>
      <c r="BH157" s="25" t="e">
        <f t="shared" si="208"/>
        <v>#N/A</v>
      </c>
      <c r="BI157" s="25" t="e">
        <f t="shared" si="209"/>
        <v>#N/A</v>
      </c>
      <c r="BJ157" s="27" t="e">
        <f t="shared" si="210"/>
        <v>#N/A</v>
      </c>
      <c r="BK157" s="18" t="e">
        <f t="shared" si="211"/>
        <v>#N/A</v>
      </c>
      <c r="BL157" s="18" t="e">
        <f t="shared" si="212"/>
        <v>#N/A</v>
      </c>
      <c r="BM157" s="28" t="e">
        <f t="shared" si="257"/>
        <v>#N/A</v>
      </c>
      <c r="BN157" s="33">
        <f>HLOOKUP("maximum population",Miscelaneous!$C$1:$C$33,CH157+3,FALSE)</f>
        <v>240</v>
      </c>
      <c r="BO157" s="14">
        <f t="shared" si="223"/>
        <v>32</v>
      </c>
      <c r="BP157" s="14">
        <f t="shared" si="224"/>
        <v>0</v>
      </c>
      <c r="BQ157" s="14">
        <f t="shared" si="225"/>
        <v>208</v>
      </c>
      <c r="BR157" s="34" t="e">
        <f>HLOOKUP(J157,Villagers!$B$1:$V$33,L157+3,FALSE)-HLOOKUP(J157,Villagers!$B$1:$V$33,L157+2,FALSE)</f>
        <v>#N/A</v>
      </c>
      <c r="BS157" s="49">
        <f t="shared" si="226"/>
        <v>1</v>
      </c>
      <c r="BT157" s="50">
        <f t="shared" si="227"/>
        <v>0</v>
      </c>
      <c r="BU157" s="50">
        <f t="shared" si="228"/>
        <v>0</v>
      </c>
      <c r="BV157" s="50">
        <f t="shared" si="229"/>
        <v>0</v>
      </c>
      <c r="BW157" s="50">
        <f t="shared" si="258"/>
        <v>0</v>
      </c>
      <c r="BX157" s="50">
        <f t="shared" si="259"/>
        <v>0</v>
      </c>
      <c r="BY157" s="50">
        <f t="shared" si="259"/>
        <v>0</v>
      </c>
      <c r="BZ157" s="50">
        <f t="shared" si="167"/>
        <v>0</v>
      </c>
      <c r="CA157" s="50">
        <f t="shared" si="168"/>
        <v>0</v>
      </c>
      <c r="CB157" s="50">
        <f t="shared" si="169"/>
        <v>1</v>
      </c>
      <c r="CC157" s="50">
        <f t="shared" si="170"/>
        <v>0</v>
      </c>
      <c r="CD157" s="50">
        <f t="shared" si="171"/>
        <v>0</v>
      </c>
      <c r="CE157" s="50">
        <f t="shared" si="172"/>
        <v>1</v>
      </c>
      <c r="CF157" s="50">
        <f t="shared" si="173"/>
        <v>1</v>
      </c>
      <c r="CG157" s="50">
        <f t="shared" si="174"/>
        <v>1</v>
      </c>
      <c r="CH157" s="50">
        <f t="shared" si="175"/>
        <v>1</v>
      </c>
      <c r="CI157" s="50">
        <f t="shared" si="176"/>
        <v>1</v>
      </c>
      <c r="CJ157" s="50">
        <f t="shared" si="177"/>
        <v>1</v>
      </c>
      <c r="CK157" s="50">
        <f t="shared" si="177"/>
        <v>0</v>
      </c>
      <c r="CL157" s="50">
        <f t="shared" si="177"/>
        <v>0</v>
      </c>
      <c r="CM157" s="51">
        <f t="shared" si="178"/>
        <v>0</v>
      </c>
      <c r="CN157" s="33">
        <f>ROUND(IF(BS157=0,0,HLOOKUP(BS$14,Villagers!$B$1:$V$33,BS157+3,FALSE)),)</f>
        <v>5</v>
      </c>
      <c r="CO157" s="14">
        <f>ROUND(IF(BT157=0,0,HLOOKUP(BT$14,Villagers!$B$1:$V$33,BT157+3,FALSE)),)</f>
        <v>0</v>
      </c>
      <c r="CP157" s="14">
        <f>ROUND(IF(BU157=0,0,HLOOKUP(BU$14,Villagers!$B$1:$V$33,BU157+3,FALSE)),)</f>
        <v>0</v>
      </c>
      <c r="CQ157" s="14">
        <f>ROUND(IF(BV157=0,0,HLOOKUP(BV$14,Villagers!$B$1:$V$33,BV157+3,FALSE)),)</f>
        <v>0</v>
      </c>
      <c r="CR157" s="14">
        <f>ROUND(IF(BW157=0,0,HLOOKUP(BW$14,Villagers!$B$1:$V$33,BW157+3,FALSE)),)</f>
        <v>0</v>
      </c>
      <c r="CS157" s="14">
        <f>ROUND(IF(BX157=0,0,HLOOKUP(BX$14,Villagers!$B$1:$V$33,BX157+3,FALSE)),)</f>
        <v>0</v>
      </c>
      <c r="CT157" s="14">
        <f>ROUND(IF(BY157=0,0,HLOOKUP(BY$14,Villagers!$B$1:$V$33,BY157+3,FALSE)),)</f>
        <v>0</v>
      </c>
      <c r="CU157" s="14">
        <f>ROUND(IF(BZ157=0,0,HLOOKUP(BZ$14,Villagers!$B$1:$V$33,BZ157+3,FALSE)),)</f>
        <v>0</v>
      </c>
      <c r="CV157" s="14">
        <f>ROUND(IF(CA157=0,0,HLOOKUP(CA$14,Villagers!$B$1:$V$33,CA157+3,FALSE)),)</f>
        <v>0</v>
      </c>
      <c r="CW157" s="14">
        <f>ROUND(IF(CB157=0,0,HLOOKUP(CB$14,Villagers!$B$1:$V$33,CB157+3,FALSE)),)</f>
        <v>0</v>
      </c>
      <c r="CX157" s="14">
        <f>ROUND(IF(CC157=0,0,HLOOKUP(CC$14,Villagers!$B$1:$V$33,CC157+3,FALSE)),)</f>
        <v>0</v>
      </c>
      <c r="CY157" s="14">
        <f>ROUND(IF(CD157=0,0,HLOOKUP(CD$14,Villagers!$B$1:$V$33,CD157+3,FALSE)),)</f>
        <v>0</v>
      </c>
      <c r="CZ157" s="14">
        <f>ROUND(IF(CE157=0,0,HLOOKUP(CE$14,Villagers!$B$1:$V$33,CE157+3,FALSE)),)</f>
        <v>5</v>
      </c>
      <c r="DA157" s="14">
        <f>ROUND(IF(CF157=0,0,HLOOKUP(CF$14,Villagers!$B$1:$V$33,CF157+3,FALSE)),)</f>
        <v>10</v>
      </c>
      <c r="DB157" s="14">
        <f>ROUND(IF(CG157=0,0,HLOOKUP(CG$14,Villagers!$B$1:$V$33,CG157+3,FALSE)),)</f>
        <v>10</v>
      </c>
      <c r="DC157" s="14">
        <f>ROUND(IF(CH157=0,0,HLOOKUP(CH$14,Villagers!$B$1:$V$33,CH157+3,FALSE)),)</f>
        <v>0</v>
      </c>
      <c r="DD157" s="14">
        <f>ROUND(IF(CI157=0,0,HLOOKUP(CI$14,Villagers!$B$1:$V$33,CI157+3,FALSE)),)</f>
        <v>0</v>
      </c>
      <c r="DE157" s="14">
        <f>ROUND(IF(CJ157=0,0,HLOOKUP(CJ$14,Villagers!$B$1:$V$33,CJ157+3,FALSE)),)</f>
        <v>2</v>
      </c>
      <c r="DF157" s="370">
        <f>ROUND(IF(CK157=0,0,HLOOKUP(CK$14,Villagers!$B$1:$V$33,CK157+3,FALSE)),)</f>
        <v>0</v>
      </c>
      <c r="DG157" s="370">
        <f>ROUND(IF(CL157=0,0,HLOOKUP(CL$14,Villagers!$B$1:$V$33,CL157+3,FALSE)),)</f>
        <v>0</v>
      </c>
      <c r="DH157" s="34">
        <f>ROUND(IF(CM157=0,0,HLOOKUP(CM$14,Villagers!$B$1:$V$33,CM157+3,FALSE)),)</f>
        <v>0</v>
      </c>
      <c r="DI157" s="109">
        <f t="shared" si="246"/>
        <v>0</v>
      </c>
      <c r="DJ157" s="50">
        <f t="shared" si="247"/>
        <v>0</v>
      </c>
      <c r="DK157" s="50">
        <f t="shared" si="248"/>
        <v>0</v>
      </c>
      <c r="DL157" s="50">
        <f t="shared" si="249"/>
        <v>0</v>
      </c>
      <c r="DM157" s="50">
        <f t="shared" si="250"/>
        <v>0</v>
      </c>
      <c r="DN157" s="50">
        <f t="shared" si="251"/>
        <v>0</v>
      </c>
      <c r="DO157" s="50">
        <f t="shared" si="252"/>
        <v>0</v>
      </c>
      <c r="DP157" s="50">
        <f t="shared" si="253"/>
        <v>0</v>
      </c>
      <c r="DQ157" s="50">
        <f t="shared" si="231"/>
        <v>0</v>
      </c>
      <c r="DR157" s="50">
        <f t="shared" si="232"/>
        <v>0</v>
      </c>
      <c r="DS157" s="96">
        <f>Miscelaneous!$D$4*Miscelaneous!$D$2^($CI157-1)</f>
        <v>1000</v>
      </c>
      <c r="DT157" s="333">
        <f t="shared" si="213"/>
        <v>1</v>
      </c>
      <c r="DU157" s="81">
        <v>1</v>
      </c>
      <c r="DV157" s="79">
        <f t="shared" si="233"/>
        <v>0</v>
      </c>
      <c r="DW157" s="79">
        <f t="shared" si="234"/>
        <v>0</v>
      </c>
      <c r="DX157" s="79">
        <f t="shared" si="235"/>
        <v>0</v>
      </c>
      <c r="DY157" s="79">
        <v>1</v>
      </c>
      <c r="DZ157" s="79">
        <f t="shared" si="236"/>
        <v>0</v>
      </c>
      <c r="EA157" s="79">
        <f t="shared" si="237"/>
        <v>0</v>
      </c>
      <c r="EB157" s="79">
        <f t="shared" si="238"/>
        <v>0</v>
      </c>
      <c r="EC157" s="79">
        <f t="shared" si="239"/>
        <v>0</v>
      </c>
      <c r="ED157" s="79">
        <v>1</v>
      </c>
      <c r="EE157" s="79">
        <v>1</v>
      </c>
      <c r="EF157" s="79">
        <f t="shared" si="240"/>
        <v>0</v>
      </c>
      <c r="EG157" s="79">
        <v>1</v>
      </c>
      <c r="EH157" s="79">
        <v>1</v>
      </c>
      <c r="EI157" s="79">
        <v>1</v>
      </c>
      <c r="EJ157" s="79">
        <v>1</v>
      </c>
      <c r="EK157" s="79">
        <v>1</v>
      </c>
      <c r="EL157" s="79">
        <v>1</v>
      </c>
      <c r="EM157" s="143">
        <f t="shared" si="241"/>
        <v>0</v>
      </c>
      <c r="EN157" s="143">
        <f t="shared" si="242"/>
        <v>0</v>
      </c>
      <c r="EO157" s="82">
        <f t="shared" si="243"/>
        <v>0</v>
      </c>
    </row>
    <row r="158" spans="1:145" x14ac:dyDescent="0.25">
      <c r="A158">
        <v>144</v>
      </c>
      <c r="B158" s="172" t="e">
        <f t="shared" si="214"/>
        <v>#N/A</v>
      </c>
      <c r="C158" s="121" t="e">
        <f t="shared" si="193"/>
        <v>#N/A</v>
      </c>
      <c r="D158" s="122" t="e">
        <f t="shared" si="194"/>
        <v>#N/A</v>
      </c>
      <c r="E158" s="122" t="e">
        <f t="shared" si="195"/>
        <v>#N/A</v>
      </c>
      <c r="F158" s="176" t="e">
        <f t="shared" si="196"/>
        <v>#N/A</v>
      </c>
      <c r="G158" s="121">
        <f t="shared" si="215"/>
        <v>208</v>
      </c>
      <c r="H158" s="176" t="e">
        <f t="shared" si="216"/>
        <v>#N/A</v>
      </c>
      <c r="I158" s="48">
        <v>1</v>
      </c>
      <c r="J158" s="39"/>
      <c r="K158" s="350">
        <v>1</v>
      </c>
      <c r="L158" s="34" t="e">
        <f t="shared" si="197"/>
        <v>#N/A</v>
      </c>
      <c r="M158" s="38" t="e">
        <f>(HLOOKUP(J158,'Construction Times'!$B$3:$W$34,L158+2,FALSE)*HLOOKUP("hq modifier",'Construction Times'!$W$3:$W$34,BS158+2,FALSE))*(1-$H$9)</f>
        <v>#N/A</v>
      </c>
      <c r="N158" s="443" t="e">
        <f t="shared" si="217"/>
        <v>#N/A</v>
      </c>
      <c r="O158" s="444"/>
      <c r="P158" s="447" t="e">
        <f t="shared" si="218"/>
        <v>#N/A</v>
      </c>
      <c r="Q158" s="448"/>
      <c r="R158" s="103">
        <f t="shared" si="244"/>
        <v>0</v>
      </c>
      <c r="S158" s="104">
        <f t="shared" si="244"/>
        <v>0</v>
      </c>
      <c r="T158" s="104">
        <f t="shared" si="245"/>
        <v>0</v>
      </c>
      <c r="U158" s="104">
        <f t="shared" si="245"/>
        <v>0</v>
      </c>
      <c r="V158" s="104">
        <f t="shared" si="245"/>
        <v>9.9999999999999995E-8</v>
      </c>
      <c r="W158" s="104">
        <f t="shared" si="245"/>
        <v>0</v>
      </c>
      <c r="X158" s="104">
        <f t="shared" si="185"/>
        <v>0</v>
      </c>
      <c r="Y158" s="104">
        <f t="shared" si="185"/>
        <v>9.9999999999999995E-8</v>
      </c>
      <c r="Z158" s="104">
        <f t="shared" si="185"/>
        <v>9.9999999999999995E-8</v>
      </c>
      <c r="AA158" s="105">
        <f t="shared" si="185"/>
        <v>9.9999999999999995E-8</v>
      </c>
      <c r="AB158" s="101" t="e">
        <f>$DT158*HLOOKUP($J158,'Construction Costs (timber)'!$B$1:$V$32,'Construction Planner'!$L158+2,FALSE)</f>
        <v>#N/A</v>
      </c>
      <c r="AC158" s="14" t="e">
        <f>$DT158*HLOOKUP($J158,'Construction Costs (clay)'!$B$1:$V$32,'Construction Planner'!$L158+2,FALSE)</f>
        <v>#N/A</v>
      </c>
      <c r="AD158" s="14" t="e">
        <f>$DT158*HLOOKUP($J158,'Construction Costs (iron)'!$B$1:$V$32,'Construction Planner'!$L158+2,FALSE)</f>
        <v>#N/A</v>
      </c>
      <c r="AE158" s="34" t="e">
        <f t="shared" si="254"/>
        <v>#N/A</v>
      </c>
      <c r="AF158" s="33" t="e">
        <f t="shared" si="198"/>
        <v>#N/A</v>
      </c>
      <c r="AG158" s="14" t="e">
        <f t="shared" si="199"/>
        <v>#N/A</v>
      </c>
      <c r="AH158" s="14" t="e">
        <f t="shared" si="200"/>
        <v>#N/A</v>
      </c>
      <c r="AI158" s="34" t="e">
        <f t="shared" si="255"/>
        <v>#N/A</v>
      </c>
      <c r="AJ158" s="49" t="e">
        <f t="shared" si="219"/>
        <v>#N/A</v>
      </c>
      <c r="AK158" s="49" t="e">
        <f t="shared" si="220"/>
        <v>#N/A</v>
      </c>
      <c r="AL158" s="49" t="e">
        <f t="shared" si="221"/>
        <v>#N/A</v>
      </c>
      <c r="AM158" s="25">
        <f t="shared" si="201"/>
        <v>30</v>
      </c>
      <c r="AN158" s="25">
        <f t="shared" si="202"/>
        <v>30</v>
      </c>
      <c r="AO158" s="25">
        <f t="shared" si="203"/>
        <v>30</v>
      </c>
      <c r="AP158" s="52" t="e">
        <f t="shared" si="222"/>
        <v>#N/A</v>
      </c>
      <c r="AQ158" s="53" t="e">
        <f t="shared" si="222"/>
        <v>#N/A</v>
      </c>
      <c r="AR158" s="54" t="e">
        <f t="shared" si="222"/>
        <v>#N/A</v>
      </c>
      <c r="AS158" s="316">
        <f t="shared" si="256"/>
        <v>0</v>
      </c>
      <c r="AT158" s="106">
        <f>_xlfn.IFNA($M158/VLOOKUP($BT158,'Unit information'!$A$2:$K$29,2,FALSE)*R158,0)*(1+$E$9)</f>
        <v>0</v>
      </c>
      <c r="AU158" s="107">
        <f>_xlfn.IFNA($M158/VLOOKUP($BT158,'Unit information'!$A$2:$K$29,3,FALSE)*S158,0)*(1+$E$9)</f>
        <v>0</v>
      </c>
      <c r="AV158" s="107">
        <f>_xlfn.IFNA($M158/VLOOKUP($BT158,'Unit information'!$A$2:$K$29,4,FALSE)*T158,0)*(1+$E$9)</f>
        <v>0</v>
      </c>
      <c r="AW158" s="107">
        <f>_xlfn.IFNA($M158/VLOOKUP($BT158,'Unit information'!$A$2:$K$29,5,FALSE)*U158,0)*(1+$E$9)</f>
        <v>0</v>
      </c>
      <c r="AX158" s="107">
        <f>_xlfn.IFNA($M158/VLOOKUP($BU158,'Unit information'!$A$2:$K$29,6,FALSE)*V158,0)*(1+$E$9)</f>
        <v>0</v>
      </c>
      <c r="AY158" s="107">
        <f>_xlfn.IFNA($M158/VLOOKUP($BU158,'Unit information'!$A$2:$K$29,7,FALSE)*W158,0)*(1+$E$9)</f>
        <v>0</v>
      </c>
      <c r="AZ158" s="107">
        <f>_xlfn.IFNA($M158/VLOOKUP($BU158,'Unit information'!$A$2:$K$29,8,FALSE)*X158,0)*(1+$E$9)</f>
        <v>0</v>
      </c>
      <c r="BA158" s="107">
        <f>_xlfn.IFNA($M158/VLOOKUP($BU158,'Unit information'!$A$2:$K$29,9,FALSE)*Y158,0)*(1+$E$9)</f>
        <v>0</v>
      </c>
      <c r="BB158" s="107">
        <f>_xlfn.IFNA($M158/VLOOKUP($BV158,'Unit information'!$A$2:$K$29,10,FALSE)*Z158,0)*(1+$E$9)</f>
        <v>0</v>
      </c>
      <c r="BC158" s="108">
        <f>_xlfn.IFNA($M158/VLOOKUP($BV158,'Unit information'!$A$2:$K$29,11,FALSE)*AA158,0)*(1+$E$9)</f>
        <v>0</v>
      </c>
      <c r="BD158" s="106">
        <f t="shared" si="204"/>
        <v>0</v>
      </c>
      <c r="BE158" s="107">
        <f t="shared" si="205"/>
        <v>0</v>
      </c>
      <c r="BF158" s="108">
        <f t="shared" si="206"/>
        <v>0</v>
      </c>
      <c r="BG158" s="25" t="e">
        <f t="shared" si="207"/>
        <v>#N/A</v>
      </c>
      <c r="BH158" s="25" t="e">
        <f t="shared" si="208"/>
        <v>#N/A</v>
      </c>
      <c r="BI158" s="25" t="e">
        <f t="shared" si="209"/>
        <v>#N/A</v>
      </c>
      <c r="BJ158" s="27" t="e">
        <f t="shared" si="210"/>
        <v>#N/A</v>
      </c>
      <c r="BK158" s="18" t="e">
        <f t="shared" si="211"/>
        <v>#N/A</v>
      </c>
      <c r="BL158" s="18" t="e">
        <f t="shared" si="212"/>
        <v>#N/A</v>
      </c>
      <c r="BM158" s="28" t="e">
        <f t="shared" si="257"/>
        <v>#N/A</v>
      </c>
      <c r="BN158" s="33">
        <f>HLOOKUP("maximum population",Miscelaneous!$C$1:$C$33,CH158+3,FALSE)</f>
        <v>240</v>
      </c>
      <c r="BO158" s="14">
        <f t="shared" si="223"/>
        <v>32</v>
      </c>
      <c r="BP158" s="14">
        <f t="shared" si="224"/>
        <v>0</v>
      </c>
      <c r="BQ158" s="14">
        <f t="shared" si="225"/>
        <v>208</v>
      </c>
      <c r="BR158" s="34" t="e">
        <f>HLOOKUP(J158,Villagers!$B$1:$V$33,L158+3,FALSE)-HLOOKUP(J158,Villagers!$B$1:$V$33,L158+2,FALSE)</f>
        <v>#N/A</v>
      </c>
      <c r="BS158" s="49">
        <f t="shared" si="226"/>
        <v>1</v>
      </c>
      <c r="BT158" s="50">
        <f t="shared" si="227"/>
        <v>0</v>
      </c>
      <c r="BU158" s="50">
        <f t="shared" si="228"/>
        <v>0</v>
      </c>
      <c r="BV158" s="50">
        <f t="shared" si="229"/>
        <v>0</v>
      </c>
      <c r="BW158" s="50">
        <f t="shared" si="258"/>
        <v>0</v>
      </c>
      <c r="BX158" s="50">
        <f t="shared" si="259"/>
        <v>0</v>
      </c>
      <c r="BY158" s="50">
        <f t="shared" si="259"/>
        <v>0</v>
      </c>
      <c r="BZ158" s="50">
        <f t="shared" si="167"/>
        <v>0</v>
      </c>
      <c r="CA158" s="50">
        <f t="shared" si="168"/>
        <v>0</v>
      </c>
      <c r="CB158" s="50">
        <f t="shared" si="169"/>
        <v>1</v>
      </c>
      <c r="CC158" s="50">
        <f t="shared" si="170"/>
        <v>0</v>
      </c>
      <c r="CD158" s="50">
        <f t="shared" si="171"/>
        <v>0</v>
      </c>
      <c r="CE158" s="50">
        <f t="shared" si="172"/>
        <v>1</v>
      </c>
      <c r="CF158" s="50">
        <f t="shared" si="173"/>
        <v>1</v>
      </c>
      <c r="CG158" s="50">
        <f t="shared" si="174"/>
        <v>1</v>
      </c>
      <c r="CH158" s="50">
        <f t="shared" si="175"/>
        <v>1</v>
      </c>
      <c r="CI158" s="50">
        <f t="shared" si="176"/>
        <v>1</v>
      </c>
      <c r="CJ158" s="50">
        <f t="shared" si="177"/>
        <v>1</v>
      </c>
      <c r="CK158" s="50">
        <f t="shared" si="177"/>
        <v>0</v>
      </c>
      <c r="CL158" s="50">
        <f t="shared" si="177"/>
        <v>0</v>
      </c>
      <c r="CM158" s="51">
        <f t="shared" si="178"/>
        <v>0</v>
      </c>
      <c r="CN158" s="33">
        <f>ROUND(IF(BS158=0,0,HLOOKUP(BS$14,Villagers!$B$1:$V$33,BS158+3,FALSE)),)</f>
        <v>5</v>
      </c>
      <c r="CO158" s="14">
        <f>ROUND(IF(BT158=0,0,HLOOKUP(BT$14,Villagers!$B$1:$V$33,BT158+3,FALSE)),)</f>
        <v>0</v>
      </c>
      <c r="CP158" s="14">
        <f>ROUND(IF(BU158=0,0,HLOOKUP(BU$14,Villagers!$B$1:$V$33,BU158+3,FALSE)),)</f>
        <v>0</v>
      </c>
      <c r="CQ158" s="14">
        <f>ROUND(IF(BV158=0,0,HLOOKUP(BV$14,Villagers!$B$1:$V$33,BV158+3,FALSE)),)</f>
        <v>0</v>
      </c>
      <c r="CR158" s="14">
        <f>ROUND(IF(BW158=0,0,HLOOKUP(BW$14,Villagers!$B$1:$V$33,BW158+3,FALSE)),)</f>
        <v>0</v>
      </c>
      <c r="CS158" s="14">
        <f>ROUND(IF(BX158=0,0,HLOOKUP(BX$14,Villagers!$B$1:$V$33,BX158+3,FALSE)),)</f>
        <v>0</v>
      </c>
      <c r="CT158" s="14">
        <f>ROUND(IF(BY158=0,0,HLOOKUP(BY$14,Villagers!$B$1:$V$33,BY158+3,FALSE)),)</f>
        <v>0</v>
      </c>
      <c r="CU158" s="14">
        <f>ROUND(IF(BZ158=0,0,HLOOKUP(BZ$14,Villagers!$B$1:$V$33,BZ158+3,FALSE)),)</f>
        <v>0</v>
      </c>
      <c r="CV158" s="14">
        <f>ROUND(IF(CA158=0,0,HLOOKUP(CA$14,Villagers!$B$1:$V$33,CA158+3,FALSE)),)</f>
        <v>0</v>
      </c>
      <c r="CW158" s="14">
        <f>ROUND(IF(CB158=0,0,HLOOKUP(CB$14,Villagers!$B$1:$V$33,CB158+3,FALSE)),)</f>
        <v>0</v>
      </c>
      <c r="CX158" s="14">
        <f>ROUND(IF(CC158=0,0,HLOOKUP(CC$14,Villagers!$B$1:$V$33,CC158+3,FALSE)),)</f>
        <v>0</v>
      </c>
      <c r="CY158" s="14">
        <f>ROUND(IF(CD158=0,0,HLOOKUP(CD$14,Villagers!$B$1:$V$33,CD158+3,FALSE)),)</f>
        <v>0</v>
      </c>
      <c r="CZ158" s="14">
        <f>ROUND(IF(CE158=0,0,HLOOKUP(CE$14,Villagers!$B$1:$V$33,CE158+3,FALSE)),)</f>
        <v>5</v>
      </c>
      <c r="DA158" s="14">
        <f>ROUND(IF(CF158=0,0,HLOOKUP(CF$14,Villagers!$B$1:$V$33,CF158+3,FALSE)),)</f>
        <v>10</v>
      </c>
      <c r="DB158" s="14">
        <f>ROUND(IF(CG158=0,0,HLOOKUP(CG$14,Villagers!$B$1:$V$33,CG158+3,FALSE)),)</f>
        <v>10</v>
      </c>
      <c r="DC158" s="14">
        <f>ROUND(IF(CH158=0,0,HLOOKUP(CH$14,Villagers!$B$1:$V$33,CH158+3,FALSE)),)</f>
        <v>0</v>
      </c>
      <c r="DD158" s="14">
        <f>ROUND(IF(CI158=0,0,HLOOKUP(CI$14,Villagers!$B$1:$V$33,CI158+3,FALSE)),)</f>
        <v>0</v>
      </c>
      <c r="DE158" s="14">
        <f>ROUND(IF(CJ158=0,0,HLOOKUP(CJ$14,Villagers!$B$1:$V$33,CJ158+3,FALSE)),)</f>
        <v>2</v>
      </c>
      <c r="DF158" s="370">
        <f>ROUND(IF(CK158=0,0,HLOOKUP(CK$14,Villagers!$B$1:$V$33,CK158+3,FALSE)),)</f>
        <v>0</v>
      </c>
      <c r="DG158" s="370">
        <f>ROUND(IF(CL158=0,0,HLOOKUP(CL$14,Villagers!$B$1:$V$33,CL158+3,FALSE)),)</f>
        <v>0</v>
      </c>
      <c r="DH158" s="34">
        <f>ROUND(IF(CM158=0,0,HLOOKUP(CM$14,Villagers!$B$1:$V$33,CM158+3,FALSE)),)</f>
        <v>0</v>
      </c>
      <c r="DI158" s="109">
        <f t="shared" si="246"/>
        <v>0</v>
      </c>
      <c r="DJ158" s="50">
        <f t="shared" si="247"/>
        <v>0</v>
      </c>
      <c r="DK158" s="50">
        <f t="shared" si="248"/>
        <v>0</v>
      </c>
      <c r="DL158" s="50">
        <f t="shared" si="249"/>
        <v>0</v>
      </c>
      <c r="DM158" s="50">
        <f t="shared" si="250"/>
        <v>0</v>
      </c>
      <c r="DN158" s="50">
        <f t="shared" si="251"/>
        <v>0</v>
      </c>
      <c r="DO158" s="50">
        <f t="shared" si="252"/>
        <v>0</v>
      </c>
      <c r="DP158" s="50">
        <f t="shared" si="253"/>
        <v>0</v>
      </c>
      <c r="DQ158" s="50">
        <f t="shared" si="231"/>
        <v>0</v>
      </c>
      <c r="DR158" s="50">
        <f t="shared" si="232"/>
        <v>0</v>
      </c>
      <c r="DS158" s="96">
        <f>Miscelaneous!$D$4*Miscelaneous!$D$2^($CI158-1)</f>
        <v>1000</v>
      </c>
      <c r="DT158" s="333">
        <f t="shared" si="213"/>
        <v>1</v>
      </c>
      <c r="DU158" s="81">
        <v>1</v>
      </c>
      <c r="DV158" s="79">
        <f t="shared" si="233"/>
        <v>0</v>
      </c>
      <c r="DW158" s="79">
        <f t="shared" si="234"/>
        <v>0</v>
      </c>
      <c r="DX158" s="79">
        <f t="shared" si="235"/>
        <v>0</v>
      </c>
      <c r="DY158" s="79">
        <v>1</v>
      </c>
      <c r="DZ158" s="79">
        <f t="shared" si="236"/>
        <v>0</v>
      </c>
      <c r="EA158" s="79">
        <f t="shared" si="237"/>
        <v>0</v>
      </c>
      <c r="EB158" s="79">
        <f t="shared" si="238"/>
        <v>0</v>
      </c>
      <c r="EC158" s="79">
        <f t="shared" si="239"/>
        <v>0</v>
      </c>
      <c r="ED158" s="79">
        <v>1</v>
      </c>
      <c r="EE158" s="79">
        <v>1</v>
      </c>
      <c r="EF158" s="79">
        <f t="shared" si="240"/>
        <v>0</v>
      </c>
      <c r="EG158" s="79">
        <v>1</v>
      </c>
      <c r="EH158" s="79">
        <v>1</v>
      </c>
      <c r="EI158" s="79">
        <v>1</v>
      </c>
      <c r="EJ158" s="79">
        <v>1</v>
      </c>
      <c r="EK158" s="79">
        <v>1</v>
      </c>
      <c r="EL158" s="79">
        <v>1</v>
      </c>
      <c r="EM158" s="143">
        <f t="shared" si="241"/>
        <v>0</v>
      </c>
      <c r="EN158" s="143">
        <f t="shared" si="242"/>
        <v>0</v>
      </c>
      <c r="EO158" s="82">
        <f t="shared" si="243"/>
        <v>0</v>
      </c>
    </row>
    <row r="159" spans="1:145" x14ac:dyDescent="0.25">
      <c r="A159">
        <v>145</v>
      </c>
      <c r="B159" s="172" t="e">
        <f t="shared" si="214"/>
        <v>#N/A</v>
      </c>
      <c r="C159" s="121" t="e">
        <f t="shared" si="193"/>
        <v>#N/A</v>
      </c>
      <c r="D159" s="122" t="e">
        <f t="shared" si="194"/>
        <v>#N/A</v>
      </c>
      <c r="E159" s="122" t="e">
        <f t="shared" si="195"/>
        <v>#N/A</v>
      </c>
      <c r="F159" s="176" t="e">
        <f t="shared" si="196"/>
        <v>#N/A</v>
      </c>
      <c r="G159" s="121">
        <f t="shared" si="215"/>
        <v>208</v>
      </c>
      <c r="H159" s="176" t="e">
        <f t="shared" si="216"/>
        <v>#N/A</v>
      </c>
      <c r="I159" s="48">
        <v>1</v>
      </c>
      <c r="J159" s="39"/>
      <c r="K159" s="350">
        <v>1</v>
      </c>
      <c r="L159" s="34" t="e">
        <f t="shared" si="197"/>
        <v>#N/A</v>
      </c>
      <c r="M159" s="38" t="e">
        <f>(HLOOKUP(J159,'Construction Times'!$B$3:$W$34,L159+2,FALSE)*HLOOKUP("hq modifier",'Construction Times'!$W$3:$W$34,BS159+2,FALSE))*(1-$H$9)</f>
        <v>#N/A</v>
      </c>
      <c r="N159" s="443" t="e">
        <f t="shared" si="217"/>
        <v>#N/A</v>
      </c>
      <c r="O159" s="444"/>
      <c r="P159" s="447" t="e">
        <f t="shared" si="218"/>
        <v>#N/A</v>
      </c>
      <c r="Q159" s="448"/>
      <c r="R159" s="103">
        <f t="shared" si="244"/>
        <v>0</v>
      </c>
      <c r="S159" s="104">
        <f t="shared" si="244"/>
        <v>0</v>
      </c>
      <c r="T159" s="104">
        <f t="shared" si="245"/>
        <v>0</v>
      </c>
      <c r="U159" s="104">
        <f t="shared" si="245"/>
        <v>0</v>
      </c>
      <c r="V159" s="104">
        <f t="shared" si="245"/>
        <v>9.9999999999999995E-8</v>
      </c>
      <c r="W159" s="104">
        <f t="shared" si="245"/>
        <v>0</v>
      </c>
      <c r="X159" s="104">
        <f t="shared" si="185"/>
        <v>0</v>
      </c>
      <c r="Y159" s="104">
        <f t="shared" si="185"/>
        <v>9.9999999999999995E-8</v>
      </c>
      <c r="Z159" s="104">
        <f t="shared" si="185"/>
        <v>9.9999999999999995E-8</v>
      </c>
      <c r="AA159" s="105">
        <f t="shared" si="185"/>
        <v>9.9999999999999995E-8</v>
      </c>
      <c r="AB159" s="101" t="e">
        <f>$DT159*HLOOKUP($J159,'Construction Costs (timber)'!$B$1:$V$32,'Construction Planner'!$L159+2,FALSE)</f>
        <v>#N/A</v>
      </c>
      <c r="AC159" s="14" t="e">
        <f>$DT159*HLOOKUP($J159,'Construction Costs (clay)'!$B$1:$V$32,'Construction Planner'!$L159+2,FALSE)</f>
        <v>#N/A</v>
      </c>
      <c r="AD159" s="14" t="e">
        <f>$DT159*HLOOKUP($J159,'Construction Costs (iron)'!$B$1:$V$32,'Construction Planner'!$L159+2,FALSE)</f>
        <v>#N/A</v>
      </c>
      <c r="AE159" s="34" t="e">
        <f t="shared" si="254"/>
        <v>#N/A</v>
      </c>
      <c r="AF159" s="33" t="e">
        <f t="shared" si="198"/>
        <v>#N/A</v>
      </c>
      <c r="AG159" s="14" t="e">
        <f t="shared" si="199"/>
        <v>#N/A</v>
      </c>
      <c r="AH159" s="14" t="e">
        <f t="shared" si="200"/>
        <v>#N/A</v>
      </c>
      <c r="AI159" s="34" t="e">
        <f t="shared" si="255"/>
        <v>#N/A</v>
      </c>
      <c r="AJ159" s="49" t="e">
        <f t="shared" si="219"/>
        <v>#N/A</v>
      </c>
      <c r="AK159" s="49" t="e">
        <f t="shared" si="220"/>
        <v>#N/A</v>
      </c>
      <c r="AL159" s="49" t="e">
        <f t="shared" si="221"/>
        <v>#N/A</v>
      </c>
      <c r="AM159" s="25">
        <f t="shared" si="201"/>
        <v>30</v>
      </c>
      <c r="AN159" s="25">
        <f t="shared" si="202"/>
        <v>30</v>
      </c>
      <c r="AO159" s="25">
        <f t="shared" si="203"/>
        <v>30</v>
      </c>
      <c r="AP159" s="52" t="e">
        <f t="shared" si="222"/>
        <v>#N/A</v>
      </c>
      <c r="AQ159" s="53" t="e">
        <f t="shared" si="222"/>
        <v>#N/A</v>
      </c>
      <c r="AR159" s="54" t="e">
        <f t="shared" si="222"/>
        <v>#N/A</v>
      </c>
      <c r="AS159" s="316">
        <f t="shared" si="256"/>
        <v>0</v>
      </c>
      <c r="AT159" s="106">
        <f>_xlfn.IFNA($M159/VLOOKUP($BT159,'Unit information'!$A$2:$K$29,2,FALSE)*R159,0)*(1+$E$9)</f>
        <v>0</v>
      </c>
      <c r="AU159" s="107">
        <f>_xlfn.IFNA($M159/VLOOKUP($BT159,'Unit information'!$A$2:$K$29,3,FALSE)*S159,0)*(1+$E$9)</f>
        <v>0</v>
      </c>
      <c r="AV159" s="107">
        <f>_xlfn.IFNA($M159/VLOOKUP($BT159,'Unit information'!$A$2:$K$29,4,FALSE)*T159,0)*(1+$E$9)</f>
        <v>0</v>
      </c>
      <c r="AW159" s="107">
        <f>_xlfn.IFNA($M159/VLOOKUP($BT159,'Unit information'!$A$2:$K$29,5,FALSE)*U159,0)*(1+$E$9)</f>
        <v>0</v>
      </c>
      <c r="AX159" s="107">
        <f>_xlfn.IFNA($M159/VLOOKUP($BU159,'Unit information'!$A$2:$K$29,6,FALSE)*V159,0)*(1+$E$9)</f>
        <v>0</v>
      </c>
      <c r="AY159" s="107">
        <f>_xlfn.IFNA($M159/VLOOKUP($BU159,'Unit information'!$A$2:$K$29,7,FALSE)*W159,0)*(1+$E$9)</f>
        <v>0</v>
      </c>
      <c r="AZ159" s="107">
        <f>_xlfn.IFNA($M159/VLOOKUP($BU159,'Unit information'!$A$2:$K$29,8,FALSE)*X159,0)*(1+$E$9)</f>
        <v>0</v>
      </c>
      <c r="BA159" s="107">
        <f>_xlfn.IFNA($M159/VLOOKUP($BU159,'Unit information'!$A$2:$K$29,9,FALSE)*Y159,0)*(1+$E$9)</f>
        <v>0</v>
      </c>
      <c r="BB159" s="107">
        <f>_xlfn.IFNA($M159/VLOOKUP($BV159,'Unit information'!$A$2:$K$29,10,FALSE)*Z159,0)*(1+$E$9)</f>
        <v>0</v>
      </c>
      <c r="BC159" s="108">
        <f>_xlfn.IFNA($M159/VLOOKUP($BV159,'Unit information'!$A$2:$K$29,11,FALSE)*AA159,0)*(1+$E$9)</f>
        <v>0</v>
      </c>
      <c r="BD159" s="106">
        <f t="shared" si="204"/>
        <v>0</v>
      </c>
      <c r="BE159" s="107">
        <f t="shared" si="205"/>
        <v>0</v>
      </c>
      <c r="BF159" s="108">
        <f t="shared" si="206"/>
        <v>0</v>
      </c>
      <c r="BG159" s="25" t="e">
        <f t="shared" si="207"/>
        <v>#N/A</v>
      </c>
      <c r="BH159" s="25" t="e">
        <f t="shared" si="208"/>
        <v>#N/A</v>
      </c>
      <c r="BI159" s="25" t="e">
        <f t="shared" si="209"/>
        <v>#N/A</v>
      </c>
      <c r="BJ159" s="27" t="e">
        <f t="shared" si="210"/>
        <v>#N/A</v>
      </c>
      <c r="BK159" s="18" t="e">
        <f t="shared" si="211"/>
        <v>#N/A</v>
      </c>
      <c r="BL159" s="18" t="e">
        <f t="shared" si="212"/>
        <v>#N/A</v>
      </c>
      <c r="BM159" s="28" t="e">
        <f t="shared" si="257"/>
        <v>#N/A</v>
      </c>
      <c r="BN159" s="33">
        <f>HLOOKUP("maximum population",Miscelaneous!$C$1:$C$33,CH159+3,FALSE)</f>
        <v>240</v>
      </c>
      <c r="BO159" s="14">
        <f t="shared" si="223"/>
        <v>32</v>
      </c>
      <c r="BP159" s="14">
        <f t="shared" si="224"/>
        <v>0</v>
      </c>
      <c r="BQ159" s="14">
        <f t="shared" si="225"/>
        <v>208</v>
      </c>
      <c r="BR159" s="34" t="e">
        <f>HLOOKUP(J159,Villagers!$B$1:$V$33,L159+3,FALSE)-HLOOKUP(J159,Villagers!$B$1:$V$33,L159+2,FALSE)</f>
        <v>#N/A</v>
      </c>
      <c r="BS159" s="49">
        <f t="shared" si="226"/>
        <v>1</v>
      </c>
      <c r="BT159" s="50">
        <f t="shared" si="227"/>
        <v>0</v>
      </c>
      <c r="BU159" s="50">
        <f t="shared" si="228"/>
        <v>0</v>
      </c>
      <c r="BV159" s="50">
        <f t="shared" si="229"/>
        <v>0</v>
      </c>
      <c r="BW159" s="50">
        <f t="shared" si="258"/>
        <v>0</v>
      </c>
      <c r="BX159" s="50">
        <f t="shared" si="259"/>
        <v>0</v>
      </c>
      <c r="BY159" s="50">
        <f t="shared" si="259"/>
        <v>0</v>
      </c>
      <c r="BZ159" s="50">
        <f t="shared" ref="BZ159:BZ222" si="260">IF($J158=BZ$14,$L158,BZ158)</f>
        <v>0</v>
      </c>
      <c r="CA159" s="50">
        <f t="shared" ref="CA159:CA222" si="261">IF($J158=CA$14,$L158,CA158)</f>
        <v>0</v>
      </c>
      <c r="CB159" s="50">
        <f t="shared" ref="CB159:CB222" si="262">IF($J158=CB$14,$L158,CB158)</f>
        <v>1</v>
      </c>
      <c r="CC159" s="50">
        <f t="shared" ref="CC159:CC222" si="263">IF($J158=CC$14,$L158,CC158)</f>
        <v>0</v>
      </c>
      <c r="CD159" s="50">
        <f t="shared" ref="CD159:CD222" si="264">IF($J158=CD$14,$L158,CD158)</f>
        <v>0</v>
      </c>
      <c r="CE159" s="50">
        <f t="shared" ref="CE159:CE222" si="265">IF($J158=CE$14,$L158,CE158)</f>
        <v>1</v>
      </c>
      <c r="CF159" s="50">
        <f t="shared" ref="CF159:CF222" si="266">IF($J158=CF$14,$L158,CF158)</f>
        <v>1</v>
      </c>
      <c r="CG159" s="50">
        <f t="shared" ref="CG159:CG222" si="267">IF($J158=CG$14,$L158,CG158)</f>
        <v>1</v>
      </c>
      <c r="CH159" s="50">
        <f t="shared" ref="CH159:CH222" si="268">IF($J158=CH$14,$L158,CH158)</f>
        <v>1</v>
      </c>
      <c r="CI159" s="50">
        <f t="shared" ref="CI159:CI222" si="269">IF($J158=CI$14,$L158,CI158)</f>
        <v>1</v>
      </c>
      <c r="CJ159" s="50">
        <f t="shared" ref="CJ159:CL222" si="270">IF($J158=CJ$14,$L158,CJ158)</f>
        <v>1</v>
      </c>
      <c r="CK159" s="50">
        <f t="shared" si="270"/>
        <v>0</v>
      </c>
      <c r="CL159" s="50">
        <f t="shared" si="270"/>
        <v>0</v>
      </c>
      <c r="CM159" s="51">
        <f t="shared" ref="CM159:CM174" si="271">IF($J158=CM$14,$L158,CM158)</f>
        <v>0</v>
      </c>
      <c r="CN159" s="33">
        <f>ROUND(IF(BS159=0,0,HLOOKUP(BS$14,Villagers!$B$1:$V$33,BS159+3,FALSE)),)</f>
        <v>5</v>
      </c>
      <c r="CO159" s="14">
        <f>ROUND(IF(BT159=0,0,HLOOKUP(BT$14,Villagers!$B$1:$V$33,BT159+3,FALSE)),)</f>
        <v>0</v>
      </c>
      <c r="CP159" s="14">
        <f>ROUND(IF(BU159=0,0,HLOOKUP(BU$14,Villagers!$B$1:$V$33,BU159+3,FALSE)),)</f>
        <v>0</v>
      </c>
      <c r="CQ159" s="14">
        <f>ROUND(IF(BV159=0,0,HLOOKUP(BV$14,Villagers!$B$1:$V$33,BV159+3,FALSE)),)</f>
        <v>0</v>
      </c>
      <c r="CR159" s="14">
        <f>ROUND(IF(BW159=0,0,HLOOKUP(BW$14,Villagers!$B$1:$V$33,BW159+3,FALSE)),)</f>
        <v>0</v>
      </c>
      <c r="CS159" s="14">
        <f>ROUND(IF(BX159=0,0,HLOOKUP(BX$14,Villagers!$B$1:$V$33,BX159+3,FALSE)),)</f>
        <v>0</v>
      </c>
      <c r="CT159" s="14">
        <f>ROUND(IF(BY159=0,0,HLOOKUP(BY$14,Villagers!$B$1:$V$33,BY159+3,FALSE)),)</f>
        <v>0</v>
      </c>
      <c r="CU159" s="14">
        <f>ROUND(IF(BZ159=0,0,HLOOKUP(BZ$14,Villagers!$B$1:$V$33,BZ159+3,FALSE)),)</f>
        <v>0</v>
      </c>
      <c r="CV159" s="14">
        <f>ROUND(IF(CA159=0,0,HLOOKUP(CA$14,Villagers!$B$1:$V$33,CA159+3,FALSE)),)</f>
        <v>0</v>
      </c>
      <c r="CW159" s="14">
        <f>ROUND(IF(CB159=0,0,HLOOKUP(CB$14,Villagers!$B$1:$V$33,CB159+3,FALSE)),)</f>
        <v>0</v>
      </c>
      <c r="CX159" s="14">
        <f>ROUND(IF(CC159=0,0,HLOOKUP(CC$14,Villagers!$B$1:$V$33,CC159+3,FALSE)),)</f>
        <v>0</v>
      </c>
      <c r="CY159" s="14">
        <f>ROUND(IF(CD159=0,0,HLOOKUP(CD$14,Villagers!$B$1:$V$33,CD159+3,FALSE)),)</f>
        <v>0</v>
      </c>
      <c r="CZ159" s="14">
        <f>ROUND(IF(CE159=0,0,HLOOKUP(CE$14,Villagers!$B$1:$V$33,CE159+3,FALSE)),)</f>
        <v>5</v>
      </c>
      <c r="DA159" s="14">
        <f>ROUND(IF(CF159=0,0,HLOOKUP(CF$14,Villagers!$B$1:$V$33,CF159+3,FALSE)),)</f>
        <v>10</v>
      </c>
      <c r="DB159" s="14">
        <f>ROUND(IF(CG159=0,0,HLOOKUP(CG$14,Villagers!$B$1:$V$33,CG159+3,FALSE)),)</f>
        <v>10</v>
      </c>
      <c r="DC159" s="14">
        <f>ROUND(IF(CH159=0,0,HLOOKUP(CH$14,Villagers!$B$1:$V$33,CH159+3,FALSE)),)</f>
        <v>0</v>
      </c>
      <c r="DD159" s="14">
        <f>ROUND(IF(CI159=0,0,HLOOKUP(CI$14,Villagers!$B$1:$V$33,CI159+3,FALSE)),)</f>
        <v>0</v>
      </c>
      <c r="DE159" s="14">
        <f>ROUND(IF(CJ159=0,0,HLOOKUP(CJ$14,Villagers!$B$1:$V$33,CJ159+3,FALSE)),)</f>
        <v>2</v>
      </c>
      <c r="DF159" s="370">
        <f>ROUND(IF(CK159=0,0,HLOOKUP(CK$14,Villagers!$B$1:$V$33,CK159+3,FALSE)),)</f>
        <v>0</v>
      </c>
      <c r="DG159" s="370">
        <f>ROUND(IF(CL159=0,0,HLOOKUP(CL$14,Villagers!$B$1:$V$33,CL159+3,FALSE)),)</f>
        <v>0</v>
      </c>
      <c r="DH159" s="34">
        <f>ROUND(IF(CM159=0,0,HLOOKUP(CM$14,Villagers!$B$1:$V$33,CM159+3,FALSE)),)</f>
        <v>0</v>
      </c>
      <c r="DI159" s="109">
        <f t="shared" si="246"/>
        <v>0</v>
      </c>
      <c r="DJ159" s="50">
        <f t="shared" si="247"/>
        <v>0</v>
      </c>
      <c r="DK159" s="50">
        <f t="shared" si="248"/>
        <v>0</v>
      </c>
      <c r="DL159" s="50">
        <f t="shared" si="249"/>
        <v>0</v>
      </c>
      <c r="DM159" s="50">
        <f t="shared" si="250"/>
        <v>0</v>
      </c>
      <c r="DN159" s="50">
        <f t="shared" si="251"/>
        <v>0</v>
      </c>
      <c r="DO159" s="50">
        <f t="shared" si="252"/>
        <v>0</v>
      </c>
      <c r="DP159" s="50">
        <f t="shared" si="253"/>
        <v>0</v>
      </c>
      <c r="DQ159" s="50">
        <f t="shared" si="231"/>
        <v>0</v>
      </c>
      <c r="DR159" s="50">
        <f t="shared" si="232"/>
        <v>0</v>
      </c>
      <c r="DS159" s="96">
        <f>Miscelaneous!$D$4*Miscelaneous!$D$2^($CI159-1)</f>
        <v>1000</v>
      </c>
      <c r="DT159" s="333">
        <f t="shared" si="213"/>
        <v>1</v>
      </c>
      <c r="DU159" s="81">
        <v>1</v>
      </c>
      <c r="DV159" s="79">
        <f t="shared" si="233"/>
        <v>0</v>
      </c>
      <c r="DW159" s="79">
        <f t="shared" si="234"/>
        <v>0</v>
      </c>
      <c r="DX159" s="79">
        <f t="shared" si="235"/>
        <v>0</v>
      </c>
      <c r="DY159" s="79">
        <v>1</v>
      </c>
      <c r="DZ159" s="79">
        <f t="shared" si="236"/>
        <v>0</v>
      </c>
      <c r="EA159" s="79">
        <f t="shared" si="237"/>
        <v>0</v>
      </c>
      <c r="EB159" s="79">
        <f t="shared" si="238"/>
        <v>0</v>
      </c>
      <c r="EC159" s="79">
        <f t="shared" si="239"/>
        <v>0</v>
      </c>
      <c r="ED159" s="79">
        <v>1</v>
      </c>
      <c r="EE159" s="79">
        <v>1</v>
      </c>
      <c r="EF159" s="79">
        <f t="shared" si="240"/>
        <v>0</v>
      </c>
      <c r="EG159" s="79">
        <v>1</v>
      </c>
      <c r="EH159" s="79">
        <v>1</v>
      </c>
      <c r="EI159" s="79">
        <v>1</v>
      </c>
      <c r="EJ159" s="79">
        <v>1</v>
      </c>
      <c r="EK159" s="79">
        <v>1</v>
      </c>
      <c r="EL159" s="79">
        <v>1</v>
      </c>
      <c r="EM159" s="143">
        <f t="shared" si="241"/>
        <v>0</v>
      </c>
      <c r="EN159" s="143">
        <f t="shared" si="242"/>
        <v>0</v>
      </c>
      <c r="EO159" s="82">
        <f t="shared" si="243"/>
        <v>0</v>
      </c>
    </row>
    <row r="160" spans="1:145" x14ac:dyDescent="0.25">
      <c r="A160">
        <v>146</v>
      </c>
      <c r="B160" s="172" t="e">
        <f t="shared" si="214"/>
        <v>#N/A</v>
      </c>
      <c r="C160" s="121" t="e">
        <f t="shared" si="193"/>
        <v>#N/A</v>
      </c>
      <c r="D160" s="122" t="e">
        <f t="shared" si="194"/>
        <v>#N/A</v>
      </c>
      <c r="E160" s="122" t="e">
        <f t="shared" si="195"/>
        <v>#N/A</v>
      </c>
      <c r="F160" s="176" t="e">
        <f t="shared" si="196"/>
        <v>#N/A</v>
      </c>
      <c r="G160" s="121">
        <f t="shared" si="215"/>
        <v>208</v>
      </c>
      <c r="H160" s="176" t="e">
        <f t="shared" si="216"/>
        <v>#N/A</v>
      </c>
      <c r="I160" s="48">
        <v>1</v>
      </c>
      <c r="J160" s="39"/>
      <c r="K160" s="350">
        <v>1</v>
      </c>
      <c r="L160" s="34" t="e">
        <f t="shared" si="197"/>
        <v>#N/A</v>
      </c>
      <c r="M160" s="38" t="e">
        <f>(HLOOKUP(J160,'Construction Times'!$B$3:$W$34,L160+2,FALSE)*HLOOKUP("hq modifier",'Construction Times'!$W$3:$W$34,BS160+2,FALSE))*(1-$H$9)</f>
        <v>#N/A</v>
      </c>
      <c r="N160" s="443" t="e">
        <f t="shared" si="217"/>
        <v>#N/A</v>
      </c>
      <c r="O160" s="444"/>
      <c r="P160" s="447" t="e">
        <f t="shared" si="218"/>
        <v>#N/A</v>
      </c>
      <c r="Q160" s="448"/>
      <c r="R160" s="103">
        <f t="shared" si="244"/>
        <v>0</v>
      </c>
      <c r="S160" s="104">
        <f t="shared" si="244"/>
        <v>0</v>
      </c>
      <c r="T160" s="104">
        <f t="shared" si="245"/>
        <v>0</v>
      </c>
      <c r="U160" s="104">
        <f t="shared" si="245"/>
        <v>0</v>
      </c>
      <c r="V160" s="104">
        <f t="shared" si="245"/>
        <v>9.9999999999999995E-8</v>
      </c>
      <c r="W160" s="104">
        <f t="shared" si="245"/>
        <v>0</v>
      </c>
      <c r="X160" s="104">
        <f t="shared" si="185"/>
        <v>0</v>
      </c>
      <c r="Y160" s="104">
        <f t="shared" si="185"/>
        <v>9.9999999999999995E-8</v>
      </c>
      <c r="Z160" s="104">
        <f t="shared" si="185"/>
        <v>9.9999999999999995E-8</v>
      </c>
      <c r="AA160" s="105">
        <f t="shared" si="185"/>
        <v>9.9999999999999995E-8</v>
      </c>
      <c r="AB160" s="101" t="e">
        <f>$DT160*HLOOKUP($J160,'Construction Costs (timber)'!$B$1:$V$32,'Construction Planner'!$L160+2,FALSE)</f>
        <v>#N/A</v>
      </c>
      <c r="AC160" s="14" t="e">
        <f>$DT160*HLOOKUP($J160,'Construction Costs (clay)'!$B$1:$V$32,'Construction Planner'!$L160+2,FALSE)</f>
        <v>#N/A</v>
      </c>
      <c r="AD160" s="14" t="e">
        <f>$DT160*HLOOKUP($J160,'Construction Costs (iron)'!$B$1:$V$32,'Construction Planner'!$L160+2,FALSE)</f>
        <v>#N/A</v>
      </c>
      <c r="AE160" s="34" t="e">
        <f t="shared" si="254"/>
        <v>#N/A</v>
      </c>
      <c r="AF160" s="33" t="e">
        <f t="shared" si="198"/>
        <v>#N/A</v>
      </c>
      <c r="AG160" s="14" t="e">
        <f t="shared" si="199"/>
        <v>#N/A</v>
      </c>
      <c r="AH160" s="14" t="e">
        <f t="shared" si="200"/>
        <v>#N/A</v>
      </c>
      <c r="AI160" s="34" t="e">
        <f t="shared" si="255"/>
        <v>#N/A</v>
      </c>
      <c r="AJ160" s="49" t="e">
        <f t="shared" si="219"/>
        <v>#N/A</v>
      </c>
      <c r="AK160" s="49" t="e">
        <f t="shared" si="220"/>
        <v>#N/A</v>
      </c>
      <c r="AL160" s="49" t="e">
        <f t="shared" si="221"/>
        <v>#N/A</v>
      </c>
      <c r="AM160" s="25">
        <f t="shared" si="201"/>
        <v>30</v>
      </c>
      <c r="AN160" s="25">
        <f t="shared" si="202"/>
        <v>30</v>
      </c>
      <c r="AO160" s="25">
        <f t="shared" si="203"/>
        <v>30</v>
      </c>
      <c r="AP160" s="52" t="e">
        <f t="shared" si="222"/>
        <v>#N/A</v>
      </c>
      <c r="AQ160" s="53" t="e">
        <f t="shared" si="222"/>
        <v>#N/A</v>
      </c>
      <c r="AR160" s="54" t="e">
        <f t="shared" si="222"/>
        <v>#N/A</v>
      </c>
      <c r="AS160" s="316">
        <f t="shared" si="256"/>
        <v>0</v>
      </c>
      <c r="AT160" s="106">
        <f>_xlfn.IFNA($M160/VLOOKUP($BT160,'Unit information'!$A$2:$K$29,2,FALSE)*R160,0)*(1+$E$9)</f>
        <v>0</v>
      </c>
      <c r="AU160" s="107">
        <f>_xlfn.IFNA($M160/VLOOKUP($BT160,'Unit information'!$A$2:$K$29,3,FALSE)*S160,0)*(1+$E$9)</f>
        <v>0</v>
      </c>
      <c r="AV160" s="107">
        <f>_xlfn.IFNA($M160/VLOOKUP($BT160,'Unit information'!$A$2:$K$29,4,FALSE)*T160,0)*(1+$E$9)</f>
        <v>0</v>
      </c>
      <c r="AW160" s="107">
        <f>_xlfn.IFNA($M160/VLOOKUP($BT160,'Unit information'!$A$2:$K$29,5,FALSE)*U160,0)*(1+$E$9)</f>
        <v>0</v>
      </c>
      <c r="AX160" s="107">
        <f>_xlfn.IFNA($M160/VLOOKUP($BU160,'Unit information'!$A$2:$K$29,6,FALSE)*V160,0)*(1+$E$9)</f>
        <v>0</v>
      </c>
      <c r="AY160" s="107">
        <f>_xlfn.IFNA($M160/VLOOKUP($BU160,'Unit information'!$A$2:$K$29,7,FALSE)*W160,0)*(1+$E$9)</f>
        <v>0</v>
      </c>
      <c r="AZ160" s="107">
        <f>_xlfn.IFNA($M160/VLOOKUP($BU160,'Unit information'!$A$2:$K$29,8,FALSE)*X160,0)*(1+$E$9)</f>
        <v>0</v>
      </c>
      <c r="BA160" s="107">
        <f>_xlfn.IFNA($M160/VLOOKUP($BU160,'Unit information'!$A$2:$K$29,9,FALSE)*Y160,0)*(1+$E$9)</f>
        <v>0</v>
      </c>
      <c r="BB160" s="107">
        <f>_xlfn.IFNA($M160/VLOOKUP($BV160,'Unit information'!$A$2:$K$29,10,FALSE)*Z160,0)*(1+$E$9)</f>
        <v>0</v>
      </c>
      <c r="BC160" s="108">
        <f>_xlfn.IFNA($M160/VLOOKUP($BV160,'Unit information'!$A$2:$K$29,11,FALSE)*AA160,0)*(1+$E$9)</f>
        <v>0</v>
      </c>
      <c r="BD160" s="106">
        <f t="shared" si="204"/>
        <v>0</v>
      </c>
      <c r="BE160" s="107">
        <f t="shared" si="205"/>
        <v>0</v>
      </c>
      <c r="BF160" s="108">
        <f t="shared" si="206"/>
        <v>0</v>
      </c>
      <c r="BG160" s="25" t="e">
        <f t="shared" si="207"/>
        <v>#N/A</v>
      </c>
      <c r="BH160" s="25" t="e">
        <f t="shared" si="208"/>
        <v>#N/A</v>
      </c>
      <c r="BI160" s="25" t="e">
        <f t="shared" si="209"/>
        <v>#N/A</v>
      </c>
      <c r="BJ160" s="27" t="e">
        <f t="shared" si="210"/>
        <v>#N/A</v>
      </c>
      <c r="BK160" s="18" t="e">
        <f t="shared" si="211"/>
        <v>#N/A</v>
      </c>
      <c r="BL160" s="18" t="e">
        <f t="shared" si="212"/>
        <v>#N/A</v>
      </c>
      <c r="BM160" s="28" t="e">
        <f t="shared" si="257"/>
        <v>#N/A</v>
      </c>
      <c r="BN160" s="33">
        <f>HLOOKUP("maximum population",Miscelaneous!$C$1:$C$33,CH160+3,FALSE)</f>
        <v>240</v>
      </c>
      <c r="BO160" s="14">
        <f t="shared" si="223"/>
        <v>32</v>
      </c>
      <c r="BP160" s="14">
        <f t="shared" si="224"/>
        <v>0</v>
      </c>
      <c r="BQ160" s="14">
        <f t="shared" si="225"/>
        <v>208</v>
      </c>
      <c r="BR160" s="34" t="e">
        <f>HLOOKUP(J160,Villagers!$B$1:$V$33,L160+3,FALSE)-HLOOKUP(J160,Villagers!$B$1:$V$33,L160+2,FALSE)</f>
        <v>#N/A</v>
      </c>
      <c r="BS160" s="49">
        <f t="shared" si="226"/>
        <v>1</v>
      </c>
      <c r="BT160" s="50">
        <f t="shared" si="227"/>
        <v>0</v>
      </c>
      <c r="BU160" s="50">
        <f t="shared" si="228"/>
        <v>0</v>
      </c>
      <c r="BV160" s="50">
        <f t="shared" si="229"/>
        <v>0</v>
      </c>
      <c r="BW160" s="50">
        <f t="shared" si="258"/>
        <v>0</v>
      </c>
      <c r="BX160" s="50">
        <f t="shared" si="259"/>
        <v>0</v>
      </c>
      <c r="BY160" s="50">
        <f t="shared" si="259"/>
        <v>0</v>
      </c>
      <c r="BZ160" s="50">
        <f t="shared" si="260"/>
        <v>0</v>
      </c>
      <c r="CA160" s="50">
        <f t="shared" si="261"/>
        <v>0</v>
      </c>
      <c r="CB160" s="50">
        <f t="shared" si="262"/>
        <v>1</v>
      </c>
      <c r="CC160" s="50">
        <f t="shared" si="263"/>
        <v>0</v>
      </c>
      <c r="CD160" s="50">
        <f t="shared" si="264"/>
        <v>0</v>
      </c>
      <c r="CE160" s="50">
        <f t="shared" si="265"/>
        <v>1</v>
      </c>
      <c r="CF160" s="50">
        <f t="shared" si="266"/>
        <v>1</v>
      </c>
      <c r="CG160" s="50">
        <f t="shared" si="267"/>
        <v>1</v>
      </c>
      <c r="CH160" s="50">
        <f t="shared" si="268"/>
        <v>1</v>
      </c>
      <c r="CI160" s="50">
        <f t="shared" si="269"/>
        <v>1</v>
      </c>
      <c r="CJ160" s="50">
        <f t="shared" si="270"/>
        <v>1</v>
      </c>
      <c r="CK160" s="50">
        <f t="shared" si="270"/>
        <v>0</v>
      </c>
      <c r="CL160" s="50">
        <f t="shared" si="270"/>
        <v>0</v>
      </c>
      <c r="CM160" s="51">
        <f t="shared" si="271"/>
        <v>0</v>
      </c>
      <c r="CN160" s="33">
        <f>ROUND(IF(BS160=0,0,HLOOKUP(BS$14,Villagers!$B$1:$V$33,BS160+3,FALSE)),)</f>
        <v>5</v>
      </c>
      <c r="CO160" s="14">
        <f>ROUND(IF(BT160=0,0,HLOOKUP(BT$14,Villagers!$B$1:$V$33,BT160+3,FALSE)),)</f>
        <v>0</v>
      </c>
      <c r="CP160" s="14">
        <f>ROUND(IF(BU160=0,0,HLOOKUP(BU$14,Villagers!$B$1:$V$33,BU160+3,FALSE)),)</f>
        <v>0</v>
      </c>
      <c r="CQ160" s="14">
        <f>ROUND(IF(BV160=0,0,HLOOKUP(BV$14,Villagers!$B$1:$V$33,BV160+3,FALSE)),)</f>
        <v>0</v>
      </c>
      <c r="CR160" s="14">
        <f>ROUND(IF(BW160=0,0,HLOOKUP(BW$14,Villagers!$B$1:$V$33,BW160+3,FALSE)),)</f>
        <v>0</v>
      </c>
      <c r="CS160" s="14">
        <f>ROUND(IF(BX160=0,0,HLOOKUP(BX$14,Villagers!$B$1:$V$33,BX160+3,FALSE)),)</f>
        <v>0</v>
      </c>
      <c r="CT160" s="14">
        <f>ROUND(IF(BY160=0,0,HLOOKUP(BY$14,Villagers!$B$1:$V$33,BY160+3,FALSE)),)</f>
        <v>0</v>
      </c>
      <c r="CU160" s="14">
        <f>ROUND(IF(BZ160=0,0,HLOOKUP(BZ$14,Villagers!$B$1:$V$33,BZ160+3,FALSE)),)</f>
        <v>0</v>
      </c>
      <c r="CV160" s="14">
        <f>ROUND(IF(CA160=0,0,HLOOKUP(CA$14,Villagers!$B$1:$V$33,CA160+3,FALSE)),)</f>
        <v>0</v>
      </c>
      <c r="CW160" s="14">
        <f>ROUND(IF(CB160=0,0,HLOOKUP(CB$14,Villagers!$B$1:$V$33,CB160+3,FALSE)),)</f>
        <v>0</v>
      </c>
      <c r="CX160" s="14">
        <f>ROUND(IF(CC160=0,0,HLOOKUP(CC$14,Villagers!$B$1:$V$33,CC160+3,FALSE)),)</f>
        <v>0</v>
      </c>
      <c r="CY160" s="14">
        <f>ROUND(IF(CD160=0,0,HLOOKUP(CD$14,Villagers!$B$1:$V$33,CD160+3,FALSE)),)</f>
        <v>0</v>
      </c>
      <c r="CZ160" s="14">
        <f>ROUND(IF(CE160=0,0,HLOOKUP(CE$14,Villagers!$B$1:$V$33,CE160+3,FALSE)),)</f>
        <v>5</v>
      </c>
      <c r="DA160" s="14">
        <f>ROUND(IF(CF160=0,0,HLOOKUP(CF$14,Villagers!$B$1:$V$33,CF160+3,FALSE)),)</f>
        <v>10</v>
      </c>
      <c r="DB160" s="14">
        <f>ROUND(IF(CG160=0,0,HLOOKUP(CG$14,Villagers!$B$1:$V$33,CG160+3,FALSE)),)</f>
        <v>10</v>
      </c>
      <c r="DC160" s="14">
        <f>ROUND(IF(CH160=0,0,HLOOKUP(CH$14,Villagers!$B$1:$V$33,CH160+3,FALSE)),)</f>
        <v>0</v>
      </c>
      <c r="DD160" s="14">
        <f>ROUND(IF(CI160=0,0,HLOOKUP(CI$14,Villagers!$B$1:$V$33,CI160+3,FALSE)),)</f>
        <v>0</v>
      </c>
      <c r="DE160" s="14">
        <f>ROUND(IF(CJ160=0,0,HLOOKUP(CJ$14,Villagers!$B$1:$V$33,CJ160+3,FALSE)),)</f>
        <v>2</v>
      </c>
      <c r="DF160" s="370">
        <f>ROUND(IF(CK160=0,0,HLOOKUP(CK$14,Villagers!$B$1:$V$33,CK160+3,FALSE)),)</f>
        <v>0</v>
      </c>
      <c r="DG160" s="370">
        <f>ROUND(IF(CL160=0,0,HLOOKUP(CL$14,Villagers!$B$1:$V$33,CL160+3,FALSE)),)</f>
        <v>0</v>
      </c>
      <c r="DH160" s="34">
        <f>ROUND(IF(CM160=0,0,HLOOKUP(CM$14,Villagers!$B$1:$V$33,CM160+3,FALSE)),)</f>
        <v>0</v>
      </c>
      <c r="DI160" s="109">
        <f t="shared" si="246"/>
        <v>0</v>
      </c>
      <c r="DJ160" s="50">
        <f t="shared" si="247"/>
        <v>0</v>
      </c>
      <c r="DK160" s="50">
        <f t="shared" si="248"/>
        <v>0</v>
      </c>
      <c r="DL160" s="50">
        <f t="shared" si="249"/>
        <v>0</v>
      </c>
      <c r="DM160" s="50">
        <f t="shared" si="250"/>
        <v>0</v>
      </c>
      <c r="DN160" s="50">
        <f t="shared" si="251"/>
        <v>0</v>
      </c>
      <c r="DO160" s="50">
        <f t="shared" si="252"/>
        <v>0</v>
      </c>
      <c r="DP160" s="50">
        <f t="shared" si="253"/>
        <v>0</v>
      </c>
      <c r="DQ160" s="50">
        <f t="shared" si="231"/>
        <v>0</v>
      </c>
      <c r="DR160" s="50">
        <f t="shared" si="232"/>
        <v>0</v>
      </c>
      <c r="DS160" s="96">
        <f>Miscelaneous!$D$4*Miscelaneous!$D$2^($CI160-1)</f>
        <v>1000</v>
      </c>
      <c r="DT160" s="333">
        <f t="shared" si="213"/>
        <v>1</v>
      </c>
      <c r="DU160" s="81">
        <v>1</v>
      </c>
      <c r="DV160" s="79">
        <f t="shared" si="233"/>
        <v>0</v>
      </c>
      <c r="DW160" s="79">
        <f t="shared" si="234"/>
        <v>0</v>
      </c>
      <c r="DX160" s="79">
        <f t="shared" si="235"/>
        <v>0</v>
      </c>
      <c r="DY160" s="79">
        <v>1</v>
      </c>
      <c r="DZ160" s="79">
        <f t="shared" si="236"/>
        <v>0</v>
      </c>
      <c r="EA160" s="79">
        <f t="shared" si="237"/>
        <v>0</v>
      </c>
      <c r="EB160" s="79">
        <f t="shared" si="238"/>
        <v>0</v>
      </c>
      <c r="EC160" s="79">
        <f t="shared" si="239"/>
        <v>0</v>
      </c>
      <c r="ED160" s="79">
        <v>1</v>
      </c>
      <c r="EE160" s="79">
        <v>1</v>
      </c>
      <c r="EF160" s="79">
        <f t="shared" si="240"/>
        <v>0</v>
      </c>
      <c r="EG160" s="79">
        <v>1</v>
      </c>
      <c r="EH160" s="79">
        <v>1</v>
      </c>
      <c r="EI160" s="79">
        <v>1</v>
      </c>
      <c r="EJ160" s="79">
        <v>1</v>
      </c>
      <c r="EK160" s="79">
        <v>1</v>
      </c>
      <c r="EL160" s="79">
        <v>1</v>
      </c>
      <c r="EM160" s="143">
        <f t="shared" si="241"/>
        <v>0</v>
      </c>
      <c r="EN160" s="143">
        <f t="shared" si="242"/>
        <v>0</v>
      </c>
      <c r="EO160" s="82">
        <f t="shared" si="243"/>
        <v>0</v>
      </c>
    </row>
    <row r="161" spans="1:145" x14ac:dyDescent="0.25">
      <c r="A161">
        <v>147</v>
      </c>
      <c r="B161" s="172" t="e">
        <f t="shared" si="214"/>
        <v>#N/A</v>
      </c>
      <c r="C161" s="121" t="e">
        <f t="shared" si="193"/>
        <v>#N/A</v>
      </c>
      <c r="D161" s="122" t="e">
        <f t="shared" si="194"/>
        <v>#N/A</v>
      </c>
      <c r="E161" s="122" t="e">
        <f t="shared" si="195"/>
        <v>#N/A</v>
      </c>
      <c r="F161" s="176" t="e">
        <f t="shared" si="196"/>
        <v>#N/A</v>
      </c>
      <c r="G161" s="121">
        <f t="shared" si="215"/>
        <v>208</v>
      </c>
      <c r="H161" s="176" t="e">
        <f t="shared" si="216"/>
        <v>#N/A</v>
      </c>
      <c r="I161" s="48">
        <v>1</v>
      </c>
      <c r="J161" s="39"/>
      <c r="K161" s="350">
        <v>1</v>
      </c>
      <c r="L161" s="34" t="e">
        <f t="shared" si="197"/>
        <v>#N/A</v>
      </c>
      <c r="M161" s="38" t="e">
        <f>(HLOOKUP(J161,'Construction Times'!$B$3:$W$34,L161+2,FALSE)*HLOOKUP("hq modifier",'Construction Times'!$W$3:$W$34,BS161+2,FALSE))*(1-$H$9)</f>
        <v>#N/A</v>
      </c>
      <c r="N161" s="443" t="e">
        <f t="shared" si="217"/>
        <v>#N/A</v>
      </c>
      <c r="O161" s="444"/>
      <c r="P161" s="447" t="e">
        <f t="shared" si="218"/>
        <v>#N/A</v>
      </c>
      <c r="Q161" s="448"/>
      <c r="R161" s="103">
        <f t="shared" si="244"/>
        <v>0</v>
      </c>
      <c r="S161" s="104">
        <f t="shared" si="244"/>
        <v>0</v>
      </c>
      <c r="T161" s="104">
        <f t="shared" si="245"/>
        <v>0</v>
      </c>
      <c r="U161" s="104">
        <f t="shared" si="245"/>
        <v>0</v>
      </c>
      <c r="V161" s="104">
        <f t="shared" si="245"/>
        <v>9.9999999999999995E-8</v>
      </c>
      <c r="W161" s="104">
        <f t="shared" si="245"/>
        <v>0</v>
      </c>
      <c r="X161" s="104">
        <f t="shared" si="185"/>
        <v>0</v>
      </c>
      <c r="Y161" s="104">
        <f t="shared" si="185"/>
        <v>9.9999999999999995E-8</v>
      </c>
      <c r="Z161" s="104">
        <f t="shared" si="185"/>
        <v>9.9999999999999995E-8</v>
      </c>
      <c r="AA161" s="105">
        <f t="shared" si="185"/>
        <v>9.9999999999999995E-8</v>
      </c>
      <c r="AB161" s="101" t="e">
        <f>$DT161*HLOOKUP($J161,'Construction Costs (timber)'!$B$1:$V$32,'Construction Planner'!$L161+2,FALSE)</f>
        <v>#N/A</v>
      </c>
      <c r="AC161" s="14" t="e">
        <f>$DT161*HLOOKUP($J161,'Construction Costs (clay)'!$B$1:$V$32,'Construction Planner'!$L161+2,FALSE)</f>
        <v>#N/A</v>
      </c>
      <c r="AD161" s="14" t="e">
        <f>$DT161*HLOOKUP($J161,'Construction Costs (iron)'!$B$1:$V$32,'Construction Planner'!$L161+2,FALSE)</f>
        <v>#N/A</v>
      </c>
      <c r="AE161" s="34" t="e">
        <f t="shared" si="254"/>
        <v>#N/A</v>
      </c>
      <c r="AF161" s="33" t="e">
        <f t="shared" si="198"/>
        <v>#N/A</v>
      </c>
      <c r="AG161" s="14" t="e">
        <f t="shared" si="199"/>
        <v>#N/A</v>
      </c>
      <c r="AH161" s="14" t="e">
        <f t="shared" si="200"/>
        <v>#N/A</v>
      </c>
      <c r="AI161" s="34" t="e">
        <f t="shared" si="255"/>
        <v>#N/A</v>
      </c>
      <c r="AJ161" s="49" t="e">
        <f t="shared" si="219"/>
        <v>#N/A</v>
      </c>
      <c r="AK161" s="49" t="e">
        <f t="shared" si="220"/>
        <v>#N/A</v>
      </c>
      <c r="AL161" s="49" t="e">
        <f t="shared" si="221"/>
        <v>#N/A</v>
      </c>
      <c r="AM161" s="25">
        <f t="shared" si="201"/>
        <v>30</v>
      </c>
      <c r="AN161" s="25">
        <f t="shared" si="202"/>
        <v>30</v>
      </c>
      <c r="AO161" s="25">
        <f t="shared" si="203"/>
        <v>30</v>
      </c>
      <c r="AP161" s="52" t="e">
        <f t="shared" si="222"/>
        <v>#N/A</v>
      </c>
      <c r="AQ161" s="53" t="e">
        <f t="shared" si="222"/>
        <v>#N/A</v>
      </c>
      <c r="AR161" s="54" t="e">
        <f t="shared" si="222"/>
        <v>#N/A</v>
      </c>
      <c r="AS161" s="316">
        <f t="shared" si="256"/>
        <v>0</v>
      </c>
      <c r="AT161" s="106">
        <f>_xlfn.IFNA($M161/VLOOKUP($BT161,'Unit information'!$A$2:$K$29,2,FALSE)*R161,0)*(1+$E$9)</f>
        <v>0</v>
      </c>
      <c r="AU161" s="107">
        <f>_xlfn.IFNA($M161/VLOOKUP($BT161,'Unit information'!$A$2:$K$29,3,FALSE)*S161,0)*(1+$E$9)</f>
        <v>0</v>
      </c>
      <c r="AV161" s="107">
        <f>_xlfn.IFNA($M161/VLOOKUP($BT161,'Unit information'!$A$2:$K$29,4,FALSE)*T161,0)*(1+$E$9)</f>
        <v>0</v>
      </c>
      <c r="AW161" s="107">
        <f>_xlfn.IFNA($M161/VLOOKUP($BT161,'Unit information'!$A$2:$K$29,5,FALSE)*U161,0)*(1+$E$9)</f>
        <v>0</v>
      </c>
      <c r="AX161" s="107">
        <f>_xlfn.IFNA($M161/VLOOKUP($BU161,'Unit information'!$A$2:$K$29,6,FALSE)*V161,0)*(1+$E$9)</f>
        <v>0</v>
      </c>
      <c r="AY161" s="107">
        <f>_xlfn.IFNA($M161/VLOOKUP($BU161,'Unit information'!$A$2:$K$29,7,FALSE)*W161,0)*(1+$E$9)</f>
        <v>0</v>
      </c>
      <c r="AZ161" s="107">
        <f>_xlfn.IFNA($M161/VLOOKUP($BU161,'Unit information'!$A$2:$K$29,8,FALSE)*X161,0)*(1+$E$9)</f>
        <v>0</v>
      </c>
      <c r="BA161" s="107">
        <f>_xlfn.IFNA($M161/VLOOKUP($BU161,'Unit information'!$A$2:$K$29,9,FALSE)*Y161,0)*(1+$E$9)</f>
        <v>0</v>
      </c>
      <c r="BB161" s="107">
        <f>_xlfn.IFNA($M161/VLOOKUP($BV161,'Unit information'!$A$2:$K$29,10,FALSE)*Z161,0)*(1+$E$9)</f>
        <v>0</v>
      </c>
      <c r="BC161" s="108">
        <f>_xlfn.IFNA($M161/VLOOKUP($BV161,'Unit information'!$A$2:$K$29,11,FALSE)*AA161,0)*(1+$E$9)</f>
        <v>0</v>
      </c>
      <c r="BD161" s="106">
        <f t="shared" si="204"/>
        <v>0</v>
      </c>
      <c r="BE161" s="107">
        <f t="shared" si="205"/>
        <v>0</v>
      </c>
      <c r="BF161" s="108">
        <f t="shared" si="206"/>
        <v>0</v>
      </c>
      <c r="BG161" s="25" t="e">
        <f t="shared" si="207"/>
        <v>#N/A</v>
      </c>
      <c r="BH161" s="25" t="e">
        <f t="shared" si="208"/>
        <v>#N/A</v>
      </c>
      <c r="BI161" s="25" t="e">
        <f t="shared" si="209"/>
        <v>#N/A</v>
      </c>
      <c r="BJ161" s="27" t="e">
        <f t="shared" si="210"/>
        <v>#N/A</v>
      </c>
      <c r="BK161" s="18" t="e">
        <f t="shared" si="211"/>
        <v>#N/A</v>
      </c>
      <c r="BL161" s="18" t="e">
        <f t="shared" si="212"/>
        <v>#N/A</v>
      </c>
      <c r="BM161" s="28" t="e">
        <f t="shared" si="257"/>
        <v>#N/A</v>
      </c>
      <c r="BN161" s="33">
        <f>HLOOKUP("maximum population",Miscelaneous!$C$1:$C$33,CH161+3,FALSE)</f>
        <v>240</v>
      </c>
      <c r="BO161" s="14">
        <f t="shared" si="223"/>
        <v>32</v>
      </c>
      <c r="BP161" s="14">
        <f t="shared" si="224"/>
        <v>0</v>
      </c>
      <c r="BQ161" s="14">
        <f t="shared" si="225"/>
        <v>208</v>
      </c>
      <c r="BR161" s="34" t="e">
        <f>HLOOKUP(J161,Villagers!$B$1:$V$33,L161+3,FALSE)-HLOOKUP(J161,Villagers!$B$1:$V$33,L161+2,FALSE)</f>
        <v>#N/A</v>
      </c>
      <c r="BS161" s="49">
        <f t="shared" si="226"/>
        <v>1</v>
      </c>
      <c r="BT161" s="50">
        <f t="shared" si="227"/>
        <v>0</v>
      </c>
      <c r="BU161" s="50">
        <f t="shared" si="228"/>
        <v>0</v>
      </c>
      <c r="BV161" s="50">
        <f t="shared" si="229"/>
        <v>0</v>
      </c>
      <c r="BW161" s="50">
        <f t="shared" si="258"/>
        <v>0</v>
      </c>
      <c r="BX161" s="50">
        <f t="shared" si="259"/>
        <v>0</v>
      </c>
      <c r="BY161" s="50">
        <f t="shared" si="259"/>
        <v>0</v>
      </c>
      <c r="BZ161" s="50">
        <f t="shared" si="260"/>
        <v>0</v>
      </c>
      <c r="CA161" s="50">
        <f t="shared" si="261"/>
        <v>0</v>
      </c>
      <c r="CB161" s="50">
        <f t="shared" si="262"/>
        <v>1</v>
      </c>
      <c r="CC161" s="50">
        <f t="shared" si="263"/>
        <v>0</v>
      </c>
      <c r="CD161" s="50">
        <f t="shared" si="264"/>
        <v>0</v>
      </c>
      <c r="CE161" s="50">
        <f t="shared" si="265"/>
        <v>1</v>
      </c>
      <c r="CF161" s="50">
        <f t="shared" si="266"/>
        <v>1</v>
      </c>
      <c r="CG161" s="50">
        <f t="shared" si="267"/>
        <v>1</v>
      </c>
      <c r="CH161" s="50">
        <f t="shared" si="268"/>
        <v>1</v>
      </c>
      <c r="CI161" s="50">
        <f t="shared" si="269"/>
        <v>1</v>
      </c>
      <c r="CJ161" s="50">
        <f t="shared" si="270"/>
        <v>1</v>
      </c>
      <c r="CK161" s="50">
        <f t="shared" si="270"/>
        <v>0</v>
      </c>
      <c r="CL161" s="50">
        <f t="shared" si="270"/>
        <v>0</v>
      </c>
      <c r="CM161" s="51">
        <f t="shared" si="271"/>
        <v>0</v>
      </c>
      <c r="CN161" s="33">
        <f>ROUND(IF(BS161=0,0,HLOOKUP(BS$14,Villagers!$B$1:$V$33,BS161+3,FALSE)),)</f>
        <v>5</v>
      </c>
      <c r="CO161" s="14">
        <f>ROUND(IF(BT161=0,0,HLOOKUP(BT$14,Villagers!$B$1:$V$33,BT161+3,FALSE)),)</f>
        <v>0</v>
      </c>
      <c r="CP161" s="14">
        <f>ROUND(IF(BU161=0,0,HLOOKUP(BU$14,Villagers!$B$1:$V$33,BU161+3,FALSE)),)</f>
        <v>0</v>
      </c>
      <c r="CQ161" s="14">
        <f>ROUND(IF(BV161=0,0,HLOOKUP(BV$14,Villagers!$B$1:$V$33,BV161+3,FALSE)),)</f>
        <v>0</v>
      </c>
      <c r="CR161" s="14">
        <f>ROUND(IF(BW161=0,0,HLOOKUP(BW$14,Villagers!$B$1:$V$33,BW161+3,FALSE)),)</f>
        <v>0</v>
      </c>
      <c r="CS161" s="14">
        <f>ROUND(IF(BX161=0,0,HLOOKUP(BX$14,Villagers!$B$1:$V$33,BX161+3,FALSE)),)</f>
        <v>0</v>
      </c>
      <c r="CT161" s="14">
        <f>ROUND(IF(BY161=0,0,HLOOKUP(BY$14,Villagers!$B$1:$V$33,BY161+3,FALSE)),)</f>
        <v>0</v>
      </c>
      <c r="CU161" s="14">
        <f>ROUND(IF(BZ161=0,0,HLOOKUP(BZ$14,Villagers!$B$1:$V$33,BZ161+3,FALSE)),)</f>
        <v>0</v>
      </c>
      <c r="CV161" s="14">
        <f>ROUND(IF(CA161=0,0,HLOOKUP(CA$14,Villagers!$B$1:$V$33,CA161+3,FALSE)),)</f>
        <v>0</v>
      </c>
      <c r="CW161" s="14">
        <f>ROUND(IF(CB161=0,0,HLOOKUP(CB$14,Villagers!$B$1:$V$33,CB161+3,FALSE)),)</f>
        <v>0</v>
      </c>
      <c r="CX161" s="14">
        <f>ROUND(IF(CC161=0,0,HLOOKUP(CC$14,Villagers!$B$1:$V$33,CC161+3,FALSE)),)</f>
        <v>0</v>
      </c>
      <c r="CY161" s="14">
        <f>ROUND(IF(CD161=0,0,HLOOKUP(CD$14,Villagers!$B$1:$V$33,CD161+3,FALSE)),)</f>
        <v>0</v>
      </c>
      <c r="CZ161" s="14">
        <f>ROUND(IF(CE161=0,0,HLOOKUP(CE$14,Villagers!$B$1:$V$33,CE161+3,FALSE)),)</f>
        <v>5</v>
      </c>
      <c r="DA161" s="14">
        <f>ROUND(IF(CF161=0,0,HLOOKUP(CF$14,Villagers!$B$1:$V$33,CF161+3,FALSE)),)</f>
        <v>10</v>
      </c>
      <c r="DB161" s="14">
        <f>ROUND(IF(CG161=0,0,HLOOKUP(CG$14,Villagers!$B$1:$V$33,CG161+3,FALSE)),)</f>
        <v>10</v>
      </c>
      <c r="DC161" s="14">
        <f>ROUND(IF(CH161=0,0,HLOOKUP(CH$14,Villagers!$B$1:$V$33,CH161+3,FALSE)),)</f>
        <v>0</v>
      </c>
      <c r="DD161" s="14">
        <f>ROUND(IF(CI161=0,0,HLOOKUP(CI$14,Villagers!$B$1:$V$33,CI161+3,FALSE)),)</f>
        <v>0</v>
      </c>
      <c r="DE161" s="14">
        <f>ROUND(IF(CJ161=0,0,HLOOKUP(CJ$14,Villagers!$B$1:$V$33,CJ161+3,FALSE)),)</f>
        <v>2</v>
      </c>
      <c r="DF161" s="370">
        <f>ROUND(IF(CK161=0,0,HLOOKUP(CK$14,Villagers!$B$1:$V$33,CK161+3,FALSE)),)</f>
        <v>0</v>
      </c>
      <c r="DG161" s="370">
        <f>ROUND(IF(CL161=0,0,HLOOKUP(CL$14,Villagers!$B$1:$V$33,CL161+3,FALSE)),)</f>
        <v>0</v>
      </c>
      <c r="DH161" s="34">
        <f>ROUND(IF(CM161=0,0,HLOOKUP(CM$14,Villagers!$B$1:$V$33,CM161+3,FALSE)),)</f>
        <v>0</v>
      </c>
      <c r="DI161" s="109">
        <f t="shared" si="246"/>
        <v>0</v>
      </c>
      <c r="DJ161" s="50">
        <f t="shared" si="247"/>
        <v>0</v>
      </c>
      <c r="DK161" s="50">
        <f t="shared" si="248"/>
        <v>0</v>
      </c>
      <c r="DL161" s="50">
        <f t="shared" si="249"/>
        <v>0</v>
      </c>
      <c r="DM161" s="50">
        <f t="shared" si="250"/>
        <v>0</v>
      </c>
      <c r="DN161" s="50">
        <f t="shared" si="251"/>
        <v>0</v>
      </c>
      <c r="DO161" s="50">
        <f t="shared" si="252"/>
        <v>0</v>
      </c>
      <c r="DP161" s="50">
        <f t="shared" si="253"/>
        <v>0</v>
      </c>
      <c r="DQ161" s="50">
        <f t="shared" si="231"/>
        <v>0</v>
      </c>
      <c r="DR161" s="50">
        <f t="shared" si="232"/>
        <v>0</v>
      </c>
      <c r="DS161" s="96">
        <f>Miscelaneous!$D$4*Miscelaneous!$D$2^($CI161-1)</f>
        <v>1000</v>
      </c>
      <c r="DT161" s="333">
        <f t="shared" si="213"/>
        <v>1</v>
      </c>
      <c r="DU161" s="81">
        <v>1</v>
      </c>
      <c r="DV161" s="79">
        <f t="shared" si="233"/>
        <v>0</v>
      </c>
      <c r="DW161" s="79">
        <f t="shared" si="234"/>
        <v>0</v>
      </c>
      <c r="DX161" s="79">
        <f t="shared" si="235"/>
        <v>0</v>
      </c>
      <c r="DY161" s="79">
        <v>1</v>
      </c>
      <c r="DZ161" s="79">
        <f t="shared" si="236"/>
        <v>0</v>
      </c>
      <c r="EA161" s="79">
        <f t="shared" si="237"/>
        <v>0</v>
      </c>
      <c r="EB161" s="79">
        <f t="shared" si="238"/>
        <v>0</v>
      </c>
      <c r="EC161" s="79">
        <f t="shared" si="239"/>
        <v>0</v>
      </c>
      <c r="ED161" s="79">
        <v>1</v>
      </c>
      <c r="EE161" s="79">
        <v>1</v>
      </c>
      <c r="EF161" s="79">
        <f t="shared" si="240"/>
        <v>0</v>
      </c>
      <c r="EG161" s="79">
        <v>1</v>
      </c>
      <c r="EH161" s="79">
        <v>1</v>
      </c>
      <c r="EI161" s="79">
        <v>1</v>
      </c>
      <c r="EJ161" s="79">
        <v>1</v>
      </c>
      <c r="EK161" s="79">
        <v>1</v>
      </c>
      <c r="EL161" s="79">
        <v>1</v>
      </c>
      <c r="EM161" s="143">
        <f t="shared" si="241"/>
        <v>0</v>
      </c>
      <c r="EN161" s="143">
        <f t="shared" si="242"/>
        <v>0</v>
      </c>
      <c r="EO161" s="82">
        <f t="shared" si="243"/>
        <v>0</v>
      </c>
    </row>
    <row r="162" spans="1:145" x14ac:dyDescent="0.25">
      <c r="A162">
        <v>148</v>
      </c>
      <c r="B162" s="172" t="e">
        <f t="shared" si="214"/>
        <v>#N/A</v>
      </c>
      <c r="C162" s="121" t="e">
        <f t="shared" si="193"/>
        <v>#N/A</v>
      </c>
      <c r="D162" s="122" t="e">
        <f t="shared" si="194"/>
        <v>#N/A</v>
      </c>
      <c r="E162" s="122" t="e">
        <f t="shared" si="195"/>
        <v>#N/A</v>
      </c>
      <c r="F162" s="176" t="e">
        <f t="shared" si="196"/>
        <v>#N/A</v>
      </c>
      <c r="G162" s="121">
        <f t="shared" si="215"/>
        <v>208</v>
      </c>
      <c r="H162" s="176" t="e">
        <f t="shared" si="216"/>
        <v>#N/A</v>
      </c>
      <c r="I162" s="48">
        <v>1</v>
      </c>
      <c r="J162" s="39"/>
      <c r="K162" s="350">
        <v>1</v>
      </c>
      <c r="L162" s="34" t="e">
        <f t="shared" si="197"/>
        <v>#N/A</v>
      </c>
      <c r="M162" s="38" t="e">
        <f>(HLOOKUP(J162,'Construction Times'!$B$3:$W$34,L162+2,FALSE)*HLOOKUP("hq modifier",'Construction Times'!$W$3:$W$34,BS162+2,FALSE))*(1-$H$9)</f>
        <v>#N/A</v>
      </c>
      <c r="N162" s="443" t="e">
        <f t="shared" si="217"/>
        <v>#N/A</v>
      </c>
      <c r="O162" s="444"/>
      <c r="P162" s="447" t="e">
        <f t="shared" si="218"/>
        <v>#N/A</v>
      </c>
      <c r="Q162" s="448"/>
      <c r="R162" s="103">
        <f t="shared" si="244"/>
        <v>0</v>
      </c>
      <c r="S162" s="104">
        <f t="shared" si="244"/>
        <v>0</v>
      </c>
      <c r="T162" s="104">
        <f t="shared" si="245"/>
        <v>0</v>
      </c>
      <c r="U162" s="104">
        <f t="shared" si="245"/>
        <v>0</v>
      </c>
      <c r="V162" s="104">
        <f t="shared" si="245"/>
        <v>9.9999999999999995E-8</v>
      </c>
      <c r="W162" s="104">
        <f t="shared" si="245"/>
        <v>0</v>
      </c>
      <c r="X162" s="104">
        <f t="shared" si="185"/>
        <v>0</v>
      </c>
      <c r="Y162" s="104">
        <f t="shared" si="185"/>
        <v>9.9999999999999995E-8</v>
      </c>
      <c r="Z162" s="104">
        <f t="shared" si="185"/>
        <v>9.9999999999999995E-8</v>
      </c>
      <c r="AA162" s="105">
        <f t="shared" si="185"/>
        <v>9.9999999999999995E-8</v>
      </c>
      <c r="AB162" s="101" t="e">
        <f>$DT162*HLOOKUP($J162,'Construction Costs (timber)'!$B$1:$V$32,'Construction Planner'!$L162+2,FALSE)</f>
        <v>#N/A</v>
      </c>
      <c r="AC162" s="14" t="e">
        <f>$DT162*HLOOKUP($J162,'Construction Costs (clay)'!$B$1:$V$32,'Construction Planner'!$L162+2,FALSE)</f>
        <v>#N/A</v>
      </c>
      <c r="AD162" s="14" t="e">
        <f>$DT162*HLOOKUP($J162,'Construction Costs (iron)'!$B$1:$V$32,'Construction Planner'!$L162+2,FALSE)</f>
        <v>#N/A</v>
      </c>
      <c r="AE162" s="34" t="e">
        <f t="shared" si="254"/>
        <v>#N/A</v>
      </c>
      <c r="AF162" s="33" t="e">
        <f t="shared" si="198"/>
        <v>#N/A</v>
      </c>
      <c r="AG162" s="14" t="e">
        <f t="shared" si="199"/>
        <v>#N/A</v>
      </c>
      <c r="AH162" s="14" t="e">
        <f t="shared" si="200"/>
        <v>#N/A</v>
      </c>
      <c r="AI162" s="34" t="e">
        <f t="shared" si="255"/>
        <v>#N/A</v>
      </c>
      <c r="AJ162" s="49" t="e">
        <f t="shared" si="219"/>
        <v>#N/A</v>
      </c>
      <c r="AK162" s="49" t="e">
        <f t="shared" si="220"/>
        <v>#N/A</v>
      </c>
      <c r="AL162" s="49" t="e">
        <f t="shared" si="221"/>
        <v>#N/A</v>
      </c>
      <c r="AM162" s="25">
        <f t="shared" si="201"/>
        <v>30</v>
      </c>
      <c r="AN162" s="25">
        <f t="shared" si="202"/>
        <v>30</v>
      </c>
      <c r="AO162" s="25">
        <f t="shared" si="203"/>
        <v>30</v>
      </c>
      <c r="AP162" s="52" t="e">
        <f t="shared" si="222"/>
        <v>#N/A</v>
      </c>
      <c r="AQ162" s="53" t="e">
        <f t="shared" si="222"/>
        <v>#N/A</v>
      </c>
      <c r="AR162" s="54" t="e">
        <f t="shared" si="222"/>
        <v>#N/A</v>
      </c>
      <c r="AS162" s="316">
        <f t="shared" si="256"/>
        <v>0</v>
      </c>
      <c r="AT162" s="106">
        <f>_xlfn.IFNA($M162/VLOOKUP($BT162,'Unit information'!$A$2:$K$29,2,FALSE)*R162,0)*(1+$E$9)</f>
        <v>0</v>
      </c>
      <c r="AU162" s="107">
        <f>_xlfn.IFNA($M162/VLOOKUP($BT162,'Unit information'!$A$2:$K$29,3,FALSE)*S162,0)*(1+$E$9)</f>
        <v>0</v>
      </c>
      <c r="AV162" s="107">
        <f>_xlfn.IFNA($M162/VLOOKUP($BT162,'Unit information'!$A$2:$K$29,4,FALSE)*T162,0)*(1+$E$9)</f>
        <v>0</v>
      </c>
      <c r="AW162" s="107">
        <f>_xlfn.IFNA($M162/VLOOKUP($BT162,'Unit information'!$A$2:$K$29,5,FALSE)*U162,0)*(1+$E$9)</f>
        <v>0</v>
      </c>
      <c r="AX162" s="107">
        <f>_xlfn.IFNA($M162/VLOOKUP($BU162,'Unit information'!$A$2:$K$29,6,FALSE)*V162,0)*(1+$E$9)</f>
        <v>0</v>
      </c>
      <c r="AY162" s="107">
        <f>_xlfn.IFNA($M162/VLOOKUP($BU162,'Unit information'!$A$2:$K$29,7,FALSE)*W162,0)*(1+$E$9)</f>
        <v>0</v>
      </c>
      <c r="AZ162" s="107">
        <f>_xlfn.IFNA($M162/VLOOKUP($BU162,'Unit information'!$A$2:$K$29,8,FALSE)*X162,0)*(1+$E$9)</f>
        <v>0</v>
      </c>
      <c r="BA162" s="107">
        <f>_xlfn.IFNA($M162/VLOOKUP($BU162,'Unit information'!$A$2:$K$29,9,FALSE)*Y162,0)*(1+$E$9)</f>
        <v>0</v>
      </c>
      <c r="BB162" s="107">
        <f>_xlfn.IFNA($M162/VLOOKUP($BV162,'Unit information'!$A$2:$K$29,10,FALSE)*Z162,0)*(1+$E$9)</f>
        <v>0</v>
      </c>
      <c r="BC162" s="108">
        <f>_xlfn.IFNA($M162/VLOOKUP($BV162,'Unit information'!$A$2:$K$29,11,FALSE)*AA162,0)*(1+$E$9)</f>
        <v>0</v>
      </c>
      <c r="BD162" s="106">
        <f t="shared" si="204"/>
        <v>0</v>
      </c>
      <c r="BE162" s="107">
        <f t="shared" si="205"/>
        <v>0</v>
      </c>
      <c r="BF162" s="108">
        <f t="shared" si="206"/>
        <v>0</v>
      </c>
      <c r="BG162" s="25" t="e">
        <f t="shared" si="207"/>
        <v>#N/A</v>
      </c>
      <c r="BH162" s="25" t="e">
        <f t="shared" si="208"/>
        <v>#N/A</v>
      </c>
      <c r="BI162" s="25" t="e">
        <f t="shared" si="209"/>
        <v>#N/A</v>
      </c>
      <c r="BJ162" s="27" t="e">
        <f t="shared" si="210"/>
        <v>#N/A</v>
      </c>
      <c r="BK162" s="18" t="e">
        <f t="shared" si="211"/>
        <v>#N/A</v>
      </c>
      <c r="BL162" s="18" t="e">
        <f t="shared" si="212"/>
        <v>#N/A</v>
      </c>
      <c r="BM162" s="28" t="e">
        <f t="shared" si="257"/>
        <v>#N/A</v>
      </c>
      <c r="BN162" s="33">
        <f>HLOOKUP("maximum population",Miscelaneous!$C$1:$C$33,CH162+3,FALSE)</f>
        <v>240</v>
      </c>
      <c r="BO162" s="14">
        <f t="shared" si="223"/>
        <v>32</v>
      </c>
      <c r="BP162" s="14">
        <f t="shared" si="224"/>
        <v>0</v>
      </c>
      <c r="BQ162" s="14">
        <f t="shared" si="225"/>
        <v>208</v>
      </c>
      <c r="BR162" s="34" t="e">
        <f>HLOOKUP(J162,Villagers!$B$1:$V$33,L162+3,FALSE)-HLOOKUP(J162,Villagers!$B$1:$V$33,L162+2,FALSE)</f>
        <v>#N/A</v>
      </c>
      <c r="BS162" s="49">
        <f t="shared" si="226"/>
        <v>1</v>
      </c>
      <c r="BT162" s="50">
        <f t="shared" si="227"/>
        <v>0</v>
      </c>
      <c r="BU162" s="50">
        <f t="shared" si="228"/>
        <v>0</v>
      </c>
      <c r="BV162" s="50">
        <f t="shared" si="229"/>
        <v>0</v>
      </c>
      <c r="BW162" s="50">
        <f t="shared" si="258"/>
        <v>0</v>
      </c>
      <c r="BX162" s="50">
        <f t="shared" si="259"/>
        <v>0</v>
      </c>
      <c r="BY162" s="50">
        <f t="shared" si="259"/>
        <v>0</v>
      </c>
      <c r="BZ162" s="50">
        <f t="shared" si="260"/>
        <v>0</v>
      </c>
      <c r="CA162" s="50">
        <f t="shared" si="261"/>
        <v>0</v>
      </c>
      <c r="CB162" s="50">
        <f t="shared" si="262"/>
        <v>1</v>
      </c>
      <c r="CC162" s="50">
        <f t="shared" si="263"/>
        <v>0</v>
      </c>
      <c r="CD162" s="50">
        <f t="shared" si="264"/>
        <v>0</v>
      </c>
      <c r="CE162" s="50">
        <f t="shared" si="265"/>
        <v>1</v>
      </c>
      <c r="CF162" s="50">
        <f t="shared" si="266"/>
        <v>1</v>
      </c>
      <c r="CG162" s="50">
        <f t="shared" si="267"/>
        <v>1</v>
      </c>
      <c r="CH162" s="50">
        <f t="shared" si="268"/>
        <v>1</v>
      </c>
      <c r="CI162" s="50">
        <f t="shared" si="269"/>
        <v>1</v>
      </c>
      <c r="CJ162" s="50">
        <f t="shared" si="270"/>
        <v>1</v>
      </c>
      <c r="CK162" s="50">
        <f t="shared" si="270"/>
        <v>0</v>
      </c>
      <c r="CL162" s="50">
        <f t="shared" si="270"/>
        <v>0</v>
      </c>
      <c r="CM162" s="51">
        <f t="shared" si="271"/>
        <v>0</v>
      </c>
      <c r="CN162" s="33">
        <f>ROUND(IF(BS162=0,0,HLOOKUP(BS$14,Villagers!$B$1:$V$33,BS162+3,FALSE)),)</f>
        <v>5</v>
      </c>
      <c r="CO162" s="14">
        <f>ROUND(IF(BT162=0,0,HLOOKUP(BT$14,Villagers!$B$1:$V$33,BT162+3,FALSE)),)</f>
        <v>0</v>
      </c>
      <c r="CP162" s="14">
        <f>ROUND(IF(BU162=0,0,HLOOKUP(BU$14,Villagers!$B$1:$V$33,BU162+3,FALSE)),)</f>
        <v>0</v>
      </c>
      <c r="CQ162" s="14">
        <f>ROUND(IF(BV162=0,0,HLOOKUP(BV$14,Villagers!$B$1:$V$33,BV162+3,FALSE)),)</f>
        <v>0</v>
      </c>
      <c r="CR162" s="14">
        <f>ROUND(IF(BW162=0,0,HLOOKUP(BW$14,Villagers!$B$1:$V$33,BW162+3,FALSE)),)</f>
        <v>0</v>
      </c>
      <c r="CS162" s="14">
        <f>ROUND(IF(BX162=0,0,HLOOKUP(BX$14,Villagers!$B$1:$V$33,BX162+3,FALSE)),)</f>
        <v>0</v>
      </c>
      <c r="CT162" s="14">
        <f>ROUND(IF(BY162=0,0,HLOOKUP(BY$14,Villagers!$B$1:$V$33,BY162+3,FALSE)),)</f>
        <v>0</v>
      </c>
      <c r="CU162" s="14">
        <f>ROUND(IF(BZ162=0,0,HLOOKUP(BZ$14,Villagers!$B$1:$V$33,BZ162+3,FALSE)),)</f>
        <v>0</v>
      </c>
      <c r="CV162" s="14">
        <f>ROUND(IF(CA162=0,0,HLOOKUP(CA$14,Villagers!$B$1:$V$33,CA162+3,FALSE)),)</f>
        <v>0</v>
      </c>
      <c r="CW162" s="14">
        <f>ROUND(IF(CB162=0,0,HLOOKUP(CB$14,Villagers!$B$1:$V$33,CB162+3,FALSE)),)</f>
        <v>0</v>
      </c>
      <c r="CX162" s="14">
        <f>ROUND(IF(CC162=0,0,HLOOKUP(CC$14,Villagers!$B$1:$V$33,CC162+3,FALSE)),)</f>
        <v>0</v>
      </c>
      <c r="CY162" s="14">
        <f>ROUND(IF(CD162=0,0,HLOOKUP(CD$14,Villagers!$B$1:$V$33,CD162+3,FALSE)),)</f>
        <v>0</v>
      </c>
      <c r="CZ162" s="14">
        <f>ROUND(IF(CE162=0,0,HLOOKUP(CE$14,Villagers!$B$1:$V$33,CE162+3,FALSE)),)</f>
        <v>5</v>
      </c>
      <c r="DA162" s="14">
        <f>ROUND(IF(CF162=0,0,HLOOKUP(CF$14,Villagers!$B$1:$V$33,CF162+3,FALSE)),)</f>
        <v>10</v>
      </c>
      <c r="DB162" s="14">
        <f>ROUND(IF(CG162=0,0,HLOOKUP(CG$14,Villagers!$B$1:$V$33,CG162+3,FALSE)),)</f>
        <v>10</v>
      </c>
      <c r="DC162" s="14">
        <f>ROUND(IF(CH162=0,0,HLOOKUP(CH$14,Villagers!$B$1:$V$33,CH162+3,FALSE)),)</f>
        <v>0</v>
      </c>
      <c r="DD162" s="14">
        <f>ROUND(IF(CI162=0,0,HLOOKUP(CI$14,Villagers!$B$1:$V$33,CI162+3,FALSE)),)</f>
        <v>0</v>
      </c>
      <c r="DE162" s="14">
        <f>ROUND(IF(CJ162=0,0,HLOOKUP(CJ$14,Villagers!$B$1:$V$33,CJ162+3,FALSE)),)</f>
        <v>2</v>
      </c>
      <c r="DF162" s="370">
        <f>ROUND(IF(CK162=0,0,HLOOKUP(CK$14,Villagers!$B$1:$V$33,CK162+3,FALSE)),)</f>
        <v>0</v>
      </c>
      <c r="DG162" s="370">
        <f>ROUND(IF(CL162=0,0,HLOOKUP(CL$14,Villagers!$B$1:$V$33,CL162+3,FALSE)),)</f>
        <v>0</v>
      </c>
      <c r="DH162" s="34">
        <f>ROUND(IF(CM162=0,0,HLOOKUP(CM$14,Villagers!$B$1:$V$33,CM162+3,FALSE)),)</f>
        <v>0</v>
      </c>
      <c r="DI162" s="109">
        <f t="shared" si="246"/>
        <v>0</v>
      </c>
      <c r="DJ162" s="50">
        <f t="shared" si="247"/>
        <v>0</v>
      </c>
      <c r="DK162" s="50">
        <f t="shared" si="248"/>
        <v>0</v>
      </c>
      <c r="DL162" s="50">
        <f t="shared" si="249"/>
        <v>0</v>
      </c>
      <c r="DM162" s="50">
        <f t="shared" si="250"/>
        <v>0</v>
      </c>
      <c r="DN162" s="50">
        <f t="shared" si="251"/>
        <v>0</v>
      </c>
      <c r="DO162" s="50">
        <f t="shared" si="252"/>
        <v>0</v>
      </c>
      <c r="DP162" s="50">
        <f t="shared" si="253"/>
        <v>0</v>
      </c>
      <c r="DQ162" s="50">
        <f t="shared" si="231"/>
        <v>0</v>
      </c>
      <c r="DR162" s="50">
        <f t="shared" si="232"/>
        <v>0</v>
      </c>
      <c r="DS162" s="96">
        <f>Miscelaneous!$D$4*Miscelaneous!$D$2^($CI162-1)</f>
        <v>1000</v>
      </c>
      <c r="DT162" s="333">
        <f t="shared" si="213"/>
        <v>1</v>
      </c>
      <c r="DU162" s="81">
        <v>1</v>
      </c>
      <c r="DV162" s="79">
        <f t="shared" si="233"/>
        <v>0</v>
      </c>
      <c r="DW162" s="79">
        <f t="shared" si="234"/>
        <v>0</v>
      </c>
      <c r="DX162" s="79">
        <f t="shared" si="235"/>
        <v>0</v>
      </c>
      <c r="DY162" s="79">
        <v>1</v>
      </c>
      <c r="DZ162" s="79">
        <f t="shared" si="236"/>
        <v>0</v>
      </c>
      <c r="EA162" s="79">
        <f t="shared" si="237"/>
        <v>0</v>
      </c>
      <c r="EB162" s="79">
        <f t="shared" si="238"/>
        <v>0</v>
      </c>
      <c r="EC162" s="79">
        <f t="shared" si="239"/>
        <v>0</v>
      </c>
      <c r="ED162" s="79">
        <v>1</v>
      </c>
      <c r="EE162" s="79">
        <v>1</v>
      </c>
      <c r="EF162" s="79">
        <f t="shared" si="240"/>
        <v>0</v>
      </c>
      <c r="EG162" s="79">
        <v>1</v>
      </c>
      <c r="EH162" s="79">
        <v>1</v>
      </c>
      <c r="EI162" s="79">
        <v>1</v>
      </c>
      <c r="EJ162" s="79">
        <v>1</v>
      </c>
      <c r="EK162" s="79">
        <v>1</v>
      </c>
      <c r="EL162" s="79">
        <v>1</v>
      </c>
      <c r="EM162" s="143">
        <f t="shared" si="241"/>
        <v>0</v>
      </c>
      <c r="EN162" s="143">
        <f t="shared" si="242"/>
        <v>0</v>
      </c>
      <c r="EO162" s="82">
        <f t="shared" si="243"/>
        <v>0</v>
      </c>
    </row>
    <row r="163" spans="1:145" x14ac:dyDescent="0.25">
      <c r="A163">
        <v>149</v>
      </c>
      <c r="B163" s="172" t="e">
        <f t="shared" si="214"/>
        <v>#N/A</v>
      </c>
      <c r="C163" s="121" t="e">
        <f t="shared" si="193"/>
        <v>#N/A</v>
      </c>
      <c r="D163" s="122" t="e">
        <f t="shared" si="194"/>
        <v>#N/A</v>
      </c>
      <c r="E163" s="122" t="e">
        <f t="shared" si="195"/>
        <v>#N/A</v>
      </c>
      <c r="F163" s="176" t="e">
        <f t="shared" si="196"/>
        <v>#N/A</v>
      </c>
      <c r="G163" s="121">
        <f t="shared" si="215"/>
        <v>208</v>
      </c>
      <c r="H163" s="176" t="e">
        <f t="shared" si="216"/>
        <v>#N/A</v>
      </c>
      <c r="I163" s="48">
        <v>1</v>
      </c>
      <c r="J163" s="39"/>
      <c r="K163" s="350">
        <v>1</v>
      </c>
      <c r="L163" s="34" t="e">
        <f t="shared" si="197"/>
        <v>#N/A</v>
      </c>
      <c r="M163" s="38" t="e">
        <f>(HLOOKUP(J163,'Construction Times'!$B$3:$W$34,L163+2,FALSE)*HLOOKUP("hq modifier",'Construction Times'!$W$3:$W$34,BS163+2,FALSE))*(1-$H$9)</f>
        <v>#N/A</v>
      </c>
      <c r="N163" s="443" t="e">
        <f t="shared" si="217"/>
        <v>#N/A</v>
      </c>
      <c r="O163" s="444"/>
      <c r="P163" s="447" t="e">
        <f t="shared" si="218"/>
        <v>#N/A</v>
      </c>
      <c r="Q163" s="448"/>
      <c r="R163" s="103">
        <f t="shared" si="244"/>
        <v>0</v>
      </c>
      <c r="S163" s="104">
        <f t="shared" si="244"/>
        <v>0</v>
      </c>
      <c r="T163" s="104">
        <f t="shared" si="245"/>
        <v>0</v>
      </c>
      <c r="U163" s="104">
        <f t="shared" si="245"/>
        <v>0</v>
      </c>
      <c r="V163" s="104">
        <f t="shared" si="245"/>
        <v>9.9999999999999995E-8</v>
      </c>
      <c r="W163" s="104">
        <f t="shared" si="245"/>
        <v>0</v>
      </c>
      <c r="X163" s="104">
        <f t="shared" si="185"/>
        <v>0</v>
      </c>
      <c r="Y163" s="104">
        <f t="shared" si="185"/>
        <v>9.9999999999999995E-8</v>
      </c>
      <c r="Z163" s="104">
        <f t="shared" si="185"/>
        <v>9.9999999999999995E-8</v>
      </c>
      <c r="AA163" s="105">
        <f t="shared" si="185"/>
        <v>9.9999999999999995E-8</v>
      </c>
      <c r="AB163" s="101" t="e">
        <f>$DT163*HLOOKUP($J163,'Construction Costs (timber)'!$B$1:$V$32,'Construction Planner'!$L163+2,FALSE)</f>
        <v>#N/A</v>
      </c>
      <c r="AC163" s="14" t="e">
        <f>$DT163*HLOOKUP($J163,'Construction Costs (clay)'!$B$1:$V$32,'Construction Planner'!$L163+2,FALSE)</f>
        <v>#N/A</v>
      </c>
      <c r="AD163" s="14" t="e">
        <f>$DT163*HLOOKUP($J163,'Construction Costs (iron)'!$B$1:$V$32,'Construction Planner'!$L163+2,FALSE)</f>
        <v>#N/A</v>
      </c>
      <c r="AE163" s="34" t="e">
        <f t="shared" si="254"/>
        <v>#N/A</v>
      </c>
      <c r="AF163" s="33" t="e">
        <f t="shared" si="198"/>
        <v>#N/A</v>
      </c>
      <c r="AG163" s="14" t="e">
        <f t="shared" si="199"/>
        <v>#N/A</v>
      </c>
      <c r="AH163" s="14" t="e">
        <f t="shared" si="200"/>
        <v>#N/A</v>
      </c>
      <c r="AI163" s="34" t="e">
        <f t="shared" si="255"/>
        <v>#N/A</v>
      </c>
      <c r="AJ163" s="49" t="e">
        <f t="shared" si="219"/>
        <v>#N/A</v>
      </c>
      <c r="AK163" s="49" t="e">
        <f t="shared" si="220"/>
        <v>#N/A</v>
      </c>
      <c r="AL163" s="49" t="e">
        <f t="shared" si="221"/>
        <v>#N/A</v>
      </c>
      <c r="AM163" s="25">
        <f t="shared" si="201"/>
        <v>30</v>
      </c>
      <c r="AN163" s="25">
        <f t="shared" si="202"/>
        <v>30</v>
      </c>
      <c r="AO163" s="25">
        <f t="shared" si="203"/>
        <v>30</v>
      </c>
      <c r="AP163" s="52" t="e">
        <f t="shared" si="222"/>
        <v>#N/A</v>
      </c>
      <c r="AQ163" s="53" t="e">
        <f t="shared" si="222"/>
        <v>#N/A</v>
      </c>
      <c r="AR163" s="54" t="e">
        <f t="shared" si="222"/>
        <v>#N/A</v>
      </c>
      <c r="AS163" s="316">
        <f t="shared" si="256"/>
        <v>0</v>
      </c>
      <c r="AT163" s="106">
        <f>_xlfn.IFNA($M163/VLOOKUP($BT163,'Unit information'!$A$2:$K$29,2,FALSE)*R163,0)*(1+$E$9)</f>
        <v>0</v>
      </c>
      <c r="AU163" s="107">
        <f>_xlfn.IFNA($M163/VLOOKUP($BT163,'Unit information'!$A$2:$K$29,3,FALSE)*S163,0)*(1+$E$9)</f>
        <v>0</v>
      </c>
      <c r="AV163" s="107">
        <f>_xlfn.IFNA($M163/VLOOKUP($BT163,'Unit information'!$A$2:$K$29,4,FALSE)*T163,0)*(1+$E$9)</f>
        <v>0</v>
      </c>
      <c r="AW163" s="107">
        <f>_xlfn.IFNA($M163/VLOOKUP($BT163,'Unit information'!$A$2:$K$29,5,FALSE)*U163,0)*(1+$E$9)</f>
        <v>0</v>
      </c>
      <c r="AX163" s="107">
        <f>_xlfn.IFNA($M163/VLOOKUP($BU163,'Unit information'!$A$2:$K$29,6,FALSE)*V163,0)*(1+$E$9)</f>
        <v>0</v>
      </c>
      <c r="AY163" s="107">
        <f>_xlfn.IFNA($M163/VLOOKUP($BU163,'Unit information'!$A$2:$K$29,7,FALSE)*W163,0)*(1+$E$9)</f>
        <v>0</v>
      </c>
      <c r="AZ163" s="107">
        <f>_xlfn.IFNA($M163/VLOOKUP($BU163,'Unit information'!$A$2:$K$29,8,FALSE)*X163,0)*(1+$E$9)</f>
        <v>0</v>
      </c>
      <c r="BA163" s="107">
        <f>_xlfn.IFNA($M163/VLOOKUP($BU163,'Unit information'!$A$2:$K$29,9,FALSE)*Y163,0)*(1+$E$9)</f>
        <v>0</v>
      </c>
      <c r="BB163" s="107">
        <f>_xlfn.IFNA($M163/VLOOKUP($BV163,'Unit information'!$A$2:$K$29,10,FALSE)*Z163,0)*(1+$E$9)</f>
        <v>0</v>
      </c>
      <c r="BC163" s="108">
        <f>_xlfn.IFNA($M163/VLOOKUP($BV163,'Unit information'!$A$2:$K$29,11,FALSE)*AA163,0)*(1+$E$9)</f>
        <v>0</v>
      </c>
      <c r="BD163" s="106">
        <f t="shared" si="204"/>
        <v>0</v>
      </c>
      <c r="BE163" s="107">
        <f t="shared" si="205"/>
        <v>0</v>
      </c>
      <c r="BF163" s="108">
        <f t="shared" si="206"/>
        <v>0</v>
      </c>
      <c r="BG163" s="25" t="e">
        <f t="shared" si="207"/>
        <v>#N/A</v>
      </c>
      <c r="BH163" s="25" t="e">
        <f t="shared" si="208"/>
        <v>#N/A</v>
      </c>
      <c r="BI163" s="25" t="e">
        <f t="shared" si="209"/>
        <v>#N/A</v>
      </c>
      <c r="BJ163" s="27" t="e">
        <f t="shared" si="210"/>
        <v>#N/A</v>
      </c>
      <c r="BK163" s="18" t="e">
        <f t="shared" si="211"/>
        <v>#N/A</v>
      </c>
      <c r="BL163" s="18" t="e">
        <f t="shared" si="212"/>
        <v>#N/A</v>
      </c>
      <c r="BM163" s="28" t="e">
        <f t="shared" si="257"/>
        <v>#N/A</v>
      </c>
      <c r="BN163" s="33">
        <f>HLOOKUP("maximum population",Miscelaneous!$C$1:$C$33,CH163+3,FALSE)</f>
        <v>240</v>
      </c>
      <c r="BO163" s="14">
        <f t="shared" si="223"/>
        <v>32</v>
      </c>
      <c r="BP163" s="14">
        <f t="shared" si="224"/>
        <v>0</v>
      </c>
      <c r="BQ163" s="14">
        <f t="shared" si="225"/>
        <v>208</v>
      </c>
      <c r="BR163" s="34" t="e">
        <f>HLOOKUP(J163,Villagers!$B$1:$V$33,L163+3,FALSE)-HLOOKUP(J163,Villagers!$B$1:$V$33,L163+2,FALSE)</f>
        <v>#N/A</v>
      </c>
      <c r="BS163" s="49">
        <f t="shared" si="226"/>
        <v>1</v>
      </c>
      <c r="BT163" s="50">
        <f t="shared" si="227"/>
        <v>0</v>
      </c>
      <c r="BU163" s="50">
        <f t="shared" si="228"/>
        <v>0</v>
      </c>
      <c r="BV163" s="50">
        <f t="shared" si="229"/>
        <v>0</v>
      </c>
      <c r="BW163" s="50">
        <f t="shared" si="258"/>
        <v>0</v>
      </c>
      <c r="BX163" s="50">
        <f t="shared" si="259"/>
        <v>0</v>
      </c>
      <c r="BY163" s="50">
        <f t="shared" si="259"/>
        <v>0</v>
      </c>
      <c r="BZ163" s="50">
        <f t="shared" si="260"/>
        <v>0</v>
      </c>
      <c r="CA163" s="50">
        <f t="shared" si="261"/>
        <v>0</v>
      </c>
      <c r="CB163" s="50">
        <f t="shared" si="262"/>
        <v>1</v>
      </c>
      <c r="CC163" s="50">
        <f t="shared" si="263"/>
        <v>0</v>
      </c>
      <c r="CD163" s="50">
        <f t="shared" si="264"/>
        <v>0</v>
      </c>
      <c r="CE163" s="50">
        <f t="shared" si="265"/>
        <v>1</v>
      </c>
      <c r="CF163" s="50">
        <f t="shared" si="266"/>
        <v>1</v>
      </c>
      <c r="CG163" s="50">
        <f t="shared" si="267"/>
        <v>1</v>
      </c>
      <c r="CH163" s="50">
        <f t="shared" si="268"/>
        <v>1</v>
      </c>
      <c r="CI163" s="50">
        <f t="shared" si="269"/>
        <v>1</v>
      </c>
      <c r="CJ163" s="50">
        <f t="shared" si="270"/>
        <v>1</v>
      </c>
      <c r="CK163" s="50">
        <f t="shared" si="270"/>
        <v>0</v>
      </c>
      <c r="CL163" s="50">
        <f t="shared" si="270"/>
        <v>0</v>
      </c>
      <c r="CM163" s="51">
        <f t="shared" si="271"/>
        <v>0</v>
      </c>
      <c r="CN163" s="33">
        <f>ROUND(IF(BS163=0,0,HLOOKUP(BS$14,Villagers!$B$1:$V$33,BS163+3,FALSE)),)</f>
        <v>5</v>
      </c>
      <c r="CO163" s="14">
        <f>ROUND(IF(BT163=0,0,HLOOKUP(BT$14,Villagers!$B$1:$V$33,BT163+3,FALSE)),)</f>
        <v>0</v>
      </c>
      <c r="CP163" s="14">
        <f>ROUND(IF(BU163=0,0,HLOOKUP(BU$14,Villagers!$B$1:$V$33,BU163+3,FALSE)),)</f>
        <v>0</v>
      </c>
      <c r="CQ163" s="14">
        <f>ROUND(IF(BV163=0,0,HLOOKUP(BV$14,Villagers!$B$1:$V$33,BV163+3,FALSE)),)</f>
        <v>0</v>
      </c>
      <c r="CR163" s="14">
        <f>ROUND(IF(BW163=0,0,HLOOKUP(BW$14,Villagers!$B$1:$V$33,BW163+3,FALSE)),)</f>
        <v>0</v>
      </c>
      <c r="CS163" s="14">
        <f>ROUND(IF(BX163=0,0,HLOOKUP(BX$14,Villagers!$B$1:$V$33,BX163+3,FALSE)),)</f>
        <v>0</v>
      </c>
      <c r="CT163" s="14">
        <f>ROUND(IF(BY163=0,0,HLOOKUP(BY$14,Villagers!$B$1:$V$33,BY163+3,FALSE)),)</f>
        <v>0</v>
      </c>
      <c r="CU163" s="14">
        <f>ROUND(IF(BZ163=0,0,HLOOKUP(BZ$14,Villagers!$B$1:$V$33,BZ163+3,FALSE)),)</f>
        <v>0</v>
      </c>
      <c r="CV163" s="14">
        <f>ROUND(IF(CA163=0,0,HLOOKUP(CA$14,Villagers!$B$1:$V$33,CA163+3,FALSE)),)</f>
        <v>0</v>
      </c>
      <c r="CW163" s="14">
        <f>ROUND(IF(CB163=0,0,HLOOKUP(CB$14,Villagers!$B$1:$V$33,CB163+3,FALSE)),)</f>
        <v>0</v>
      </c>
      <c r="CX163" s="14">
        <f>ROUND(IF(CC163=0,0,HLOOKUP(CC$14,Villagers!$B$1:$V$33,CC163+3,FALSE)),)</f>
        <v>0</v>
      </c>
      <c r="CY163" s="14">
        <f>ROUND(IF(CD163=0,0,HLOOKUP(CD$14,Villagers!$B$1:$V$33,CD163+3,FALSE)),)</f>
        <v>0</v>
      </c>
      <c r="CZ163" s="14">
        <f>ROUND(IF(CE163=0,0,HLOOKUP(CE$14,Villagers!$B$1:$V$33,CE163+3,FALSE)),)</f>
        <v>5</v>
      </c>
      <c r="DA163" s="14">
        <f>ROUND(IF(CF163=0,0,HLOOKUP(CF$14,Villagers!$B$1:$V$33,CF163+3,FALSE)),)</f>
        <v>10</v>
      </c>
      <c r="DB163" s="14">
        <f>ROUND(IF(CG163=0,0,HLOOKUP(CG$14,Villagers!$B$1:$V$33,CG163+3,FALSE)),)</f>
        <v>10</v>
      </c>
      <c r="DC163" s="14">
        <f>ROUND(IF(CH163=0,0,HLOOKUP(CH$14,Villagers!$B$1:$V$33,CH163+3,FALSE)),)</f>
        <v>0</v>
      </c>
      <c r="DD163" s="14">
        <f>ROUND(IF(CI163=0,0,HLOOKUP(CI$14,Villagers!$B$1:$V$33,CI163+3,FALSE)),)</f>
        <v>0</v>
      </c>
      <c r="DE163" s="14">
        <f>ROUND(IF(CJ163=0,0,HLOOKUP(CJ$14,Villagers!$B$1:$V$33,CJ163+3,FALSE)),)</f>
        <v>2</v>
      </c>
      <c r="DF163" s="370">
        <f>ROUND(IF(CK163=0,0,HLOOKUP(CK$14,Villagers!$B$1:$V$33,CK163+3,FALSE)),)</f>
        <v>0</v>
      </c>
      <c r="DG163" s="370">
        <f>ROUND(IF(CL163=0,0,HLOOKUP(CL$14,Villagers!$B$1:$V$33,CL163+3,FALSE)),)</f>
        <v>0</v>
      </c>
      <c r="DH163" s="34">
        <f>ROUND(IF(CM163=0,0,HLOOKUP(CM$14,Villagers!$B$1:$V$33,CM163+3,FALSE)),)</f>
        <v>0</v>
      </c>
      <c r="DI163" s="109">
        <f t="shared" si="246"/>
        <v>0</v>
      </c>
      <c r="DJ163" s="50">
        <f t="shared" si="247"/>
        <v>0</v>
      </c>
      <c r="DK163" s="50">
        <f t="shared" si="248"/>
        <v>0</v>
      </c>
      <c r="DL163" s="50">
        <f t="shared" si="249"/>
        <v>0</v>
      </c>
      <c r="DM163" s="50">
        <f t="shared" si="250"/>
        <v>0</v>
      </c>
      <c r="DN163" s="50">
        <f t="shared" si="251"/>
        <v>0</v>
      </c>
      <c r="DO163" s="50">
        <f t="shared" si="252"/>
        <v>0</v>
      </c>
      <c r="DP163" s="50">
        <f t="shared" si="253"/>
        <v>0</v>
      </c>
      <c r="DQ163" s="50">
        <f t="shared" si="231"/>
        <v>0</v>
      </c>
      <c r="DR163" s="50">
        <f t="shared" si="232"/>
        <v>0</v>
      </c>
      <c r="DS163" s="96">
        <f>Miscelaneous!$D$4*Miscelaneous!$D$2^($CI163-1)</f>
        <v>1000</v>
      </c>
      <c r="DT163" s="333">
        <f t="shared" si="213"/>
        <v>1</v>
      </c>
      <c r="DU163" s="81">
        <v>1</v>
      </c>
      <c r="DV163" s="79">
        <f t="shared" si="233"/>
        <v>0</v>
      </c>
      <c r="DW163" s="79">
        <f t="shared" si="234"/>
        <v>0</v>
      </c>
      <c r="DX163" s="79">
        <f t="shared" si="235"/>
        <v>0</v>
      </c>
      <c r="DY163" s="79">
        <v>1</v>
      </c>
      <c r="DZ163" s="79">
        <f t="shared" si="236"/>
        <v>0</v>
      </c>
      <c r="EA163" s="79">
        <f t="shared" si="237"/>
        <v>0</v>
      </c>
      <c r="EB163" s="79">
        <f t="shared" si="238"/>
        <v>0</v>
      </c>
      <c r="EC163" s="79">
        <f t="shared" si="239"/>
        <v>0</v>
      </c>
      <c r="ED163" s="79">
        <v>1</v>
      </c>
      <c r="EE163" s="79">
        <v>1</v>
      </c>
      <c r="EF163" s="79">
        <f t="shared" si="240"/>
        <v>0</v>
      </c>
      <c r="EG163" s="79">
        <v>1</v>
      </c>
      <c r="EH163" s="79">
        <v>1</v>
      </c>
      <c r="EI163" s="79">
        <v>1</v>
      </c>
      <c r="EJ163" s="79">
        <v>1</v>
      </c>
      <c r="EK163" s="79">
        <v>1</v>
      </c>
      <c r="EL163" s="79">
        <v>1</v>
      </c>
      <c r="EM163" s="143">
        <f t="shared" si="241"/>
        <v>0</v>
      </c>
      <c r="EN163" s="143">
        <f t="shared" si="242"/>
        <v>0</v>
      </c>
      <c r="EO163" s="82">
        <f t="shared" si="243"/>
        <v>0</v>
      </c>
    </row>
    <row r="164" spans="1:145" x14ac:dyDescent="0.25">
      <c r="A164">
        <v>150</v>
      </c>
      <c r="B164" s="172" t="e">
        <f t="shared" si="214"/>
        <v>#N/A</v>
      </c>
      <c r="C164" s="121" t="e">
        <f t="shared" si="193"/>
        <v>#N/A</v>
      </c>
      <c r="D164" s="122" t="e">
        <f t="shared" si="194"/>
        <v>#N/A</v>
      </c>
      <c r="E164" s="122" t="e">
        <f t="shared" si="195"/>
        <v>#N/A</v>
      </c>
      <c r="F164" s="176" t="e">
        <f t="shared" si="196"/>
        <v>#N/A</v>
      </c>
      <c r="G164" s="121">
        <f t="shared" si="215"/>
        <v>208</v>
      </c>
      <c r="H164" s="176" t="e">
        <f t="shared" si="216"/>
        <v>#N/A</v>
      </c>
      <c r="I164" s="48">
        <v>1</v>
      </c>
      <c r="J164" s="39"/>
      <c r="K164" s="350">
        <v>1</v>
      </c>
      <c r="L164" s="34" t="e">
        <f t="shared" si="197"/>
        <v>#N/A</v>
      </c>
      <c r="M164" s="38" t="e">
        <f>(HLOOKUP(J164,'Construction Times'!$B$3:$W$34,L164+2,FALSE)*HLOOKUP("hq modifier",'Construction Times'!$W$3:$W$34,BS164+2,FALSE))*(1-$H$9)</f>
        <v>#N/A</v>
      </c>
      <c r="N164" s="443" t="e">
        <f t="shared" si="217"/>
        <v>#N/A</v>
      </c>
      <c r="O164" s="444"/>
      <c r="P164" s="447" t="e">
        <f t="shared" si="218"/>
        <v>#N/A</v>
      </c>
      <c r="Q164" s="448"/>
      <c r="R164" s="103">
        <f t="shared" si="244"/>
        <v>0</v>
      </c>
      <c r="S164" s="104">
        <f t="shared" si="244"/>
        <v>0</v>
      </c>
      <c r="T164" s="104">
        <f t="shared" si="245"/>
        <v>0</v>
      </c>
      <c r="U164" s="104">
        <f t="shared" si="245"/>
        <v>0</v>
      </c>
      <c r="V164" s="104">
        <f t="shared" si="245"/>
        <v>9.9999999999999995E-8</v>
      </c>
      <c r="W164" s="104">
        <f t="shared" si="245"/>
        <v>0</v>
      </c>
      <c r="X164" s="104">
        <f t="shared" si="185"/>
        <v>0</v>
      </c>
      <c r="Y164" s="104">
        <f t="shared" si="185"/>
        <v>9.9999999999999995E-8</v>
      </c>
      <c r="Z164" s="104">
        <f t="shared" si="185"/>
        <v>9.9999999999999995E-8</v>
      </c>
      <c r="AA164" s="105">
        <f t="shared" si="185"/>
        <v>9.9999999999999995E-8</v>
      </c>
      <c r="AB164" s="101" t="e">
        <f>$DT164*HLOOKUP($J164,'Construction Costs (timber)'!$B$1:$V$32,'Construction Planner'!$L164+2,FALSE)</f>
        <v>#N/A</v>
      </c>
      <c r="AC164" s="14" t="e">
        <f>$DT164*HLOOKUP($J164,'Construction Costs (clay)'!$B$1:$V$32,'Construction Planner'!$L164+2,FALSE)</f>
        <v>#N/A</v>
      </c>
      <c r="AD164" s="14" t="e">
        <f>$DT164*HLOOKUP($J164,'Construction Costs (iron)'!$B$1:$V$32,'Construction Planner'!$L164+2,FALSE)</f>
        <v>#N/A</v>
      </c>
      <c r="AE164" s="34" t="e">
        <f t="shared" si="254"/>
        <v>#N/A</v>
      </c>
      <c r="AF164" s="33" t="e">
        <f t="shared" si="198"/>
        <v>#N/A</v>
      </c>
      <c r="AG164" s="14" t="e">
        <f t="shared" si="199"/>
        <v>#N/A</v>
      </c>
      <c r="AH164" s="14" t="e">
        <f t="shared" si="200"/>
        <v>#N/A</v>
      </c>
      <c r="AI164" s="34" t="e">
        <f t="shared" si="255"/>
        <v>#N/A</v>
      </c>
      <c r="AJ164" s="49" t="e">
        <f t="shared" si="219"/>
        <v>#N/A</v>
      </c>
      <c r="AK164" s="49" t="e">
        <f t="shared" si="220"/>
        <v>#N/A</v>
      </c>
      <c r="AL164" s="49" t="e">
        <f t="shared" si="221"/>
        <v>#N/A</v>
      </c>
      <c r="AM164" s="25">
        <f t="shared" si="201"/>
        <v>30</v>
      </c>
      <c r="AN164" s="25">
        <f t="shared" si="202"/>
        <v>30</v>
      </c>
      <c r="AO164" s="25">
        <f t="shared" si="203"/>
        <v>30</v>
      </c>
      <c r="AP164" s="52" t="e">
        <f t="shared" si="222"/>
        <v>#N/A</v>
      </c>
      <c r="AQ164" s="53" t="e">
        <f t="shared" si="222"/>
        <v>#N/A</v>
      </c>
      <c r="AR164" s="54" t="e">
        <f t="shared" si="222"/>
        <v>#N/A</v>
      </c>
      <c r="AS164" s="316">
        <f t="shared" ref="AS164:AS179" si="272">AS163</f>
        <v>0</v>
      </c>
      <c r="AT164" s="106">
        <f>_xlfn.IFNA($M164/VLOOKUP($BT164,'Unit information'!$A$2:$K$29,2,FALSE)*R164,0)*(1+$E$9)</f>
        <v>0</v>
      </c>
      <c r="AU164" s="107">
        <f>_xlfn.IFNA($M164/VLOOKUP($BT164,'Unit information'!$A$2:$K$29,3,FALSE)*S164,0)*(1+$E$9)</f>
        <v>0</v>
      </c>
      <c r="AV164" s="107">
        <f>_xlfn.IFNA($M164/VLOOKUP($BT164,'Unit information'!$A$2:$K$29,4,FALSE)*T164,0)*(1+$E$9)</f>
        <v>0</v>
      </c>
      <c r="AW164" s="107">
        <f>_xlfn.IFNA($M164/VLOOKUP($BT164,'Unit information'!$A$2:$K$29,5,FALSE)*U164,0)*(1+$E$9)</f>
        <v>0</v>
      </c>
      <c r="AX164" s="107">
        <f>_xlfn.IFNA($M164/VLOOKUP($BU164,'Unit information'!$A$2:$K$29,6,FALSE)*V164,0)*(1+$E$9)</f>
        <v>0</v>
      </c>
      <c r="AY164" s="107">
        <f>_xlfn.IFNA($M164/VLOOKUP($BU164,'Unit information'!$A$2:$K$29,7,FALSE)*W164,0)*(1+$E$9)</f>
        <v>0</v>
      </c>
      <c r="AZ164" s="107">
        <f>_xlfn.IFNA($M164/VLOOKUP($BU164,'Unit information'!$A$2:$K$29,8,FALSE)*X164,0)*(1+$E$9)</f>
        <v>0</v>
      </c>
      <c r="BA164" s="107">
        <f>_xlfn.IFNA($M164/VLOOKUP($BU164,'Unit information'!$A$2:$K$29,9,FALSE)*Y164,0)*(1+$E$9)</f>
        <v>0</v>
      </c>
      <c r="BB164" s="107">
        <f>_xlfn.IFNA($M164/VLOOKUP($BV164,'Unit information'!$A$2:$K$29,10,FALSE)*Z164,0)*(1+$E$9)</f>
        <v>0</v>
      </c>
      <c r="BC164" s="108">
        <f>_xlfn.IFNA($M164/VLOOKUP($BV164,'Unit information'!$A$2:$K$29,11,FALSE)*AA164,0)*(1+$E$9)</f>
        <v>0</v>
      </c>
      <c r="BD164" s="106">
        <f t="shared" si="204"/>
        <v>0</v>
      </c>
      <c r="BE164" s="107">
        <f t="shared" si="205"/>
        <v>0</v>
      </c>
      <c r="BF164" s="108">
        <f t="shared" si="206"/>
        <v>0</v>
      </c>
      <c r="BG164" s="25" t="e">
        <f t="shared" si="207"/>
        <v>#N/A</v>
      </c>
      <c r="BH164" s="25" t="e">
        <f t="shared" si="208"/>
        <v>#N/A</v>
      </c>
      <c r="BI164" s="25" t="e">
        <f t="shared" si="209"/>
        <v>#N/A</v>
      </c>
      <c r="BJ164" s="27" t="e">
        <f t="shared" si="210"/>
        <v>#N/A</v>
      </c>
      <c r="BK164" s="18" t="e">
        <f t="shared" si="211"/>
        <v>#N/A</v>
      </c>
      <c r="BL164" s="18" t="e">
        <f t="shared" si="212"/>
        <v>#N/A</v>
      </c>
      <c r="BM164" s="28" t="e">
        <f t="shared" si="257"/>
        <v>#N/A</v>
      </c>
      <c r="BN164" s="33">
        <f>HLOOKUP("maximum population",Miscelaneous!$C$1:$C$33,CH164+3,FALSE)</f>
        <v>240</v>
      </c>
      <c r="BO164" s="14">
        <f t="shared" si="223"/>
        <v>32</v>
      </c>
      <c r="BP164" s="14">
        <f t="shared" si="224"/>
        <v>0</v>
      </c>
      <c r="BQ164" s="14">
        <f t="shared" si="225"/>
        <v>208</v>
      </c>
      <c r="BR164" s="34" t="e">
        <f>HLOOKUP(J164,Villagers!$B$1:$V$33,L164+3,FALSE)-HLOOKUP(J164,Villagers!$B$1:$V$33,L164+2,FALSE)</f>
        <v>#N/A</v>
      </c>
      <c r="BS164" s="49">
        <f t="shared" si="226"/>
        <v>1</v>
      </c>
      <c r="BT164" s="50">
        <f t="shared" si="227"/>
        <v>0</v>
      </c>
      <c r="BU164" s="50">
        <f t="shared" si="228"/>
        <v>0</v>
      </c>
      <c r="BV164" s="50">
        <f t="shared" si="229"/>
        <v>0</v>
      </c>
      <c r="BW164" s="50">
        <f t="shared" si="258"/>
        <v>0</v>
      </c>
      <c r="BX164" s="50">
        <f t="shared" si="259"/>
        <v>0</v>
      </c>
      <c r="BY164" s="50">
        <f t="shared" si="259"/>
        <v>0</v>
      </c>
      <c r="BZ164" s="50">
        <f t="shared" si="260"/>
        <v>0</v>
      </c>
      <c r="CA164" s="50">
        <f t="shared" si="261"/>
        <v>0</v>
      </c>
      <c r="CB164" s="50">
        <f t="shared" si="262"/>
        <v>1</v>
      </c>
      <c r="CC164" s="50">
        <f t="shared" si="263"/>
        <v>0</v>
      </c>
      <c r="CD164" s="50">
        <f t="shared" si="264"/>
        <v>0</v>
      </c>
      <c r="CE164" s="50">
        <f t="shared" si="265"/>
        <v>1</v>
      </c>
      <c r="CF164" s="50">
        <f t="shared" si="266"/>
        <v>1</v>
      </c>
      <c r="CG164" s="50">
        <f t="shared" si="267"/>
        <v>1</v>
      </c>
      <c r="CH164" s="50">
        <f t="shared" si="268"/>
        <v>1</v>
      </c>
      <c r="CI164" s="50">
        <f t="shared" si="269"/>
        <v>1</v>
      </c>
      <c r="CJ164" s="50">
        <f t="shared" si="270"/>
        <v>1</v>
      </c>
      <c r="CK164" s="50">
        <f t="shared" si="270"/>
        <v>0</v>
      </c>
      <c r="CL164" s="50">
        <f t="shared" si="270"/>
        <v>0</v>
      </c>
      <c r="CM164" s="51">
        <f t="shared" si="271"/>
        <v>0</v>
      </c>
      <c r="CN164" s="33">
        <f>ROUND(IF(BS164=0,0,HLOOKUP(BS$14,Villagers!$B$1:$V$33,BS164+3,FALSE)),)</f>
        <v>5</v>
      </c>
      <c r="CO164" s="14">
        <f>ROUND(IF(BT164=0,0,HLOOKUP(BT$14,Villagers!$B$1:$V$33,BT164+3,FALSE)),)</f>
        <v>0</v>
      </c>
      <c r="CP164" s="14">
        <f>ROUND(IF(BU164=0,0,HLOOKUP(BU$14,Villagers!$B$1:$V$33,BU164+3,FALSE)),)</f>
        <v>0</v>
      </c>
      <c r="CQ164" s="14">
        <f>ROUND(IF(BV164=0,0,HLOOKUP(BV$14,Villagers!$B$1:$V$33,BV164+3,FALSE)),)</f>
        <v>0</v>
      </c>
      <c r="CR164" s="14">
        <f>ROUND(IF(BW164=0,0,HLOOKUP(BW$14,Villagers!$B$1:$V$33,BW164+3,FALSE)),)</f>
        <v>0</v>
      </c>
      <c r="CS164" s="14">
        <f>ROUND(IF(BX164=0,0,HLOOKUP(BX$14,Villagers!$B$1:$V$33,BX164+3,FALSE)),)</f>
        <v>0</v>
      </c>
      <c r="CT164" s="14">
        <f>ROUND(IF(BY164=0,0,HLOOKUP(BY$14,Villagers!$B$1:$V$33,BY164+3,FALSE)),)</f>
        <v>0</v>
      </c>
      <c r="CU164" s="14">
        <f>ROUND(IF(BZ164=0,0,HLOOKUP(BZ$14,Villagers!$B$1:$V$33,BZ164+3,FALSE)),)</f>
        <v>0</v>
      </c>
      <c r="CV164" s="14">
        <f>ROUND(IF(CA164=0,0,HLOOKUP(CA$14,Villagers!$B$1:$V$33,CA164+3,FALSE)),)</f>
        <v>0</v>
      </c>
      <c r="CW164" s="14">
        <f>ROUND(IF(CB164=0,0,HLOOKUP(CB$14,Villagers!$B$1:$V$33,CB164+3,FALSE)),)</f>
        <v>0</v>
      </c>
      <c r="CX164" s="14">
        <f>ROUND(IF(CC164=0,0,HLOOKUP(CC$14,Villagers!$B$1:$V$33,CC164+3,FALSE)),)</f>
        <v>0</v>
      </c>
      <c r="CY164" s="14">
        <f>ROUND(IF(CD164=0,0,HLOOKUP(CD$14,Villagers!$B$1:$V$33,CD164+3,FALSE)),)</f>
        <v>0</v>
      </c>
      <c r="CZ164" s="14">
        <f>ROUND(IF(CE164=0,0,HLOOKUP(CE$14,Villagers!$B$1:$V$33,CE164+3,FALSE)),)</f>
        <v>5</v>
      </c>
      <c r="DA164" s="14">
        <f>ROUND(IF(CF164=0,0,HLOOKUP(CF$14,Villagers!$B$1:$V$33,CF164+3,FALSE)),)</f>
        <v>10</v>
      </c>
      <c r="DB164" s="14">
        <f>ROUND(IF(CG164=0,0,HLOOKUP(CG$14,Villagers!$B$1:$V$33,CG164+3,FALSE)),)</f>
        <v>10</v>
      </c>
      <c r="DC164" s="14">
        <f>ROUND(IF(CH164=0,0,HLOOKUP(CH$14,Villagers!$B$1:$V$33,CH164+3,FALSE)),)</f>
        <v>0</v>
      </c>
      <c r="DD164" s="14">
        <f>ROUND(IF(CI164=0,0,HLOOKUP(CI$14,Villagers!$B$1:$V$33,CI164+3,FALSE)),)</f>
        <v>0</v>
      </c>
      <c r="DE164" s="14">
        <f>ROUND(IF(CJ164=0,0,HLOOKUP(CJ$14,Villagers!$B$1:$V$33,CJ164+3,FALSE)),)</f>
        <v>2</v>
      </c>
      <c r="DF164" s="370">
        <f>ROUND(IF(CK164=0,0,HLOOKUP(CK$14,Villagers!$B$1:$V$33,CK164+3,FALSE)),)</f>
        <v>0</v>
      </c>
      <c r="DG164" s="370">
        <f>ROUND(IF(CL164=0,0,HLOOKUP(CL$14,Villagers!$B$1:$V$33,CL164+3,FALSE)),)</f>
        <v>0</v>
      </c>
      <c r="DH164" s="34">
        <f>ROUND(IF(CM164=0,0,HLOOKUP(CM$14,Villagers!$B$1:$V$33,CM164+3,FALSE)),)</f>
        <v>0</v>
      </c>
      <c r="DI164" s="109">
        <f t="shared" si="246"/>
        <v>0</v>
      </c>
      <c r="DJ164" s="50">
        <f t="shared" si="247"/>
        <v>0</v>
      </c>
      <c r="DK164" s="50">
        <f t="shared" si="248"/>
        <v>0</v>
      </c>
      <c r="DL164" s="50">
        <f t="shared" si="249"/>
        <v>0</v>
      </c>
      <c r="DM164" s="50">
        <f t="shared" si="250"/>
        <v>0</v>
      </c>
      <c r="DN164" s="50">
        <f t="shared" si="251"/>
        <v>0</v>
      </c>
      <c r="DO164" s="50">
        <f t="shared" si="252"/>
        <v>0</v>
      </c>
      <c r="DP164" s="50">
        <f t="shared" si="253"/>
        <v>0</v>
      </c>
      <c r="DQ164" s="50">
        <f t="shared" si="231"/>
        <v>0</v>
      </c>
      <c r="DR164" s="50">
        <f t="shared" si="232"/>
        <v>0</v>
      </c>
      <c r="DS164" s="96">
        <f>Miscelaneous!$D$4*Miscelaneous!$D$2^($CI164-1)</f>
        <v>1000</v>
      </c>
      <c r="DT164" s="333">
        <f t="shared" si="213"/>
        <v>1</v>
      </c>
      <c r="DU164" s="81">
        <v>1</v>
      </c>
      <c r="DV164" s="79">
        <f t="shared" si="233"/>
        <v>0</v>
      </c>
      <c r="DW164" s="79">
        <f t="shared" si="234"/>
        <v>0</v>
      </c>
      <c r="DX164" s="79">
        <f t="shared" si="235"/>
        <v>0</v>
      </c>
      <c r="DY164" s="79">
        <v>1</v>
      </c>
      <c r="DZ164" s="79">
        <f t="shared" si="236"/>
        <v>0</v>
      </c>
      <c r="EA164" s="79">
        <f t="shared" si="237"/>
        <v>0</v>
      </c>
      <c r="EB164" s="79">
        <f t="shared" si="238"/>
        <v>0</v>
      </c>
      <c r="EC164" s="79">
        <f t="shared" si="239"/>
        <v>0</v>
      </c>
      <c r="ED164" s="79">
        <v>1</v>
      </c>
      <c r="EE164" s="79">
        <v>1</v>
      </c>
      <c r="EF164" s="79">
        <f t="shared" si="240"/>
        <v>0</v>
      </c>
      <c r="EG164" s="79">
        <v>1</v>
      </c>
      <c r="EH164" s="79">
        <v>1</v>
      </c>
      <c r="EI164" s="79">
        <v>1</v>
      </c>
      <c r="EJ164" s="79">
        <v>1</v>
      </c>
      <c r="EK164" s="79">
        <v>1</v>
      </c>
      <c r="EL164" s="79">
        <v>1</v>
      </c>
      <c r="EM164" s="143">
        <f t="shared" si="241"/>
        <v>0</v>
      </c>
      <c r="EN164" s="143">
        <f t="shared" si="242"/>
        <v>0</v>
      </c>
      <c r="EO164" s="82">
        <f t="shared" si="243"/>
        <v>0</v>
      </c>
    </row>
    <row r="165" spans="1:145" x14ac:dyDescent="0.25">
      <c r="A165">
        <v>151</v>
      </c>
      <c r="B165" s="172" t="e">
        <f t="shared" si="214"/>
        <v>#N/A</v>
      </c>
      <c r="C165" s="121" t="e">
        <f t="shared" si="193"/>
        <v>#N/A</v>
      </c>
      <c r="D165" s="122" t="e">
        <f t="shared" si="194"/>
        <v>#N/A</v>
      </c>
      <c r="E165" s="122" t="e">
        <f t="shared" si="195"/>
        <v>#N/A</v>
      </c>
      <c r="F165" s="176" t="e">
        <f t="shared" si="196"/>
        <v>#N/A</v>
      </c>
      <c r="G165" s="121">
        <f t="shared" si="215"/>
        <v>208</v>
      </c>
      <c r="H165" s="176" t="e">
        <f t="shared" si="216"/>
        <v>#N/A</v>
      </c>
      <c r="I165" s="48">
        <v>1</v>
      </c>
      <c r="J165" s="39"/>
      <c r="K165" s="350">
        <v>1</v>
      </c>
      <c r="L165" s="34" t="e">
        <f t="shared" si="197"/>
        <v>#N/A</v>
      </c>
      <c r="M165" s="38" t="e">
        <f>(HLOOKUP(J165,'Construction Times'!$B$3:$W$34,L165+2,FALSE)*HLOOKUP("hq modifier",'Construction Times'!$W$3:$W$34,BS165+2,FALSE))*(1-$H$9)</f>
        <v>#N/A</v>
      </c>
      <c r="N165" s="443" t="e">
        <f t="shared" si="217"/>
        <v>#N/A</v>
      </c>
      <c r="O165" s="444"/>
      <c r="P165" s="447" t="e">
        <f t="shared" si="218"/>
        <v>#N/A</v>
      </c>
      <c r="Q165" s="448"/>
      <c r="R165" s="103">
        <f t="shared" si="244"/>
        <v>0</v>
      </c>
      <c r="S165" s="104">
        <f t="shared" si="244"/>
        <v>0</v>
      </c>
      <c r="T165" s="104">
        <f t="shared" si="245"/>
        <v>0</v>
      </c>
      <c r="U165" s="104">
        <f t="shared" si="245"/>
        <v>0</v>
      </c>
      <c r="V165" s="104">
        <f t="shared" si="245"/>
        <v>9.9999999999999995E-8</v>
      </c>
      <c r="W165" s="104">
        <f t="shared" si="245"/>
        <v>0</v>
      </c>
      <c r="X165" s="104">
        <f t="shared" si="185"/>
        <v>0</v>
      </c>
      <c r="Y165" s="104">
        <f t="shared" si="185"/>
        <v>9.9999999999999995E-8</v>
      </c>
      <c r="Z165" s="104">
        <f t="shared" si="185"/>
        <v>9.9999999999999995E-8</v>
      </c>
      <c r="AA165" s="105">
        <f t="shared" si="185"/>
        <v>9.9999999999999995E-8</v>
      </c>
      <c r="AB165" s="101" t="e">
        <f>$DT165*HLOOKUP($J165,'Construction Costs (timber)'!$B$1:$V$32,'Construction Planner'!$L165+2,FALSE)</f>
        <v>#N/A</v>
      </c>
      <c r="AC165" s="14" t="e">
        <f>$DT165*HLOOKUP($J165,'Construction Costs (clay)'!$B$1:$V$32,'Construction Planner'!$L165+2,FALSE)</f>
        <v>#N/A</v>
      </c>
      <c r="AD165" s="14" t="e">
        <f>$DT165*HLOOKUP($J165,'Construction Costs (iron)'!$B$1:$V$32,'Construction Planner'!$L165+2,FALSE)</f>
        <v>#N/A</v>
      </c>
      <c r="AE165" s="34" t="e">
        <f t="shared" si="254"/>
        <v>#N/A</v>
      </c>
      <c r="AF165" s="33" t="e">
        <f t="shared" si="198"/>
        <v>#N/A</v>
      </c>
      <c r="AG165" s="14" t="e">
        <f t="shared" si="199"/>
        <v>#N/A</v>
      </c>
      <c r="AH165" s="14" t="e">
        <f t="shared" si="200"/>
        <v>#N/A</v>
      </c>
      <c r="AI165" s="34" t="e">
        <f t="shared" si="255"/>
        <v>#N/A</v>
      </c>
      <c r="AJ165" s="49" t="e">
        <f t="shared" si="219"/>
        <v>#N/A</v>
      </c>
      <c r="AK165" s="49" t="e">
        <f t="shared" si="220"/>
        <v>#N/A</v>
      </c>
      <c r="AL165" s="49" t="e">
        <f t="shared" si="221"/>
        <v>#N/A</v>
      </c>
      <c r="AM165" s="25">
        <f t="shared" si="201"/>
        <v>30</v>
      </c>
      <c r="AN165" s="25">
        <f t="shared" si="202"/>
        <v>30</v>
      </c>
      <c r="AO165" s="25">
        <f t="shared" si="203"/>
        <v>30</v>
      </c>
      <c r="AP165" s="52" t="e">
        <f t="shared" si="222"/>
        <v>#N/A</v>
      </c>
      <c r="AQ165" s="53" t="e">
        <f t="shared" si="222"/>
        <v>#N/A</v>
      </c>
      <c r="AR165" s="54" t="e">
        <f t="shared" si="222"/>
        <v>#N/A</v>
      </c>
      <c r="AS165" s="316">
        <f t="shared" si="272"/>
        <v>0</v>
      </c>
      <c r="AT165" s="106">
        <f>_xlfn.IFNA($M165/VLOOKUP($BT165,'Unit information'!$A$2:$K$29,2,FALSE)*R165,0)*(1+$E$9)</f>
        <v>0</v>
      </c>
      <c r="AU165" s="107">
        <f>_xlfn.IFNA($M165/VLOOKUP($BT165,'Unit information'!$A$2:$K$29,3,FALSE)*S165,0)*(1+$E$9)</f>
        <v>0</v>
      </c>
      <c r="AV165" s="107">
        <f>_xlfn.IFNA($M165/VLOOKUP($BT165,'Unit information'!$A$2:$K$29,4,FALSE)*T165,0)*(1+$E$9)</f>
        <v>0</v>
      </c>
      <c r="AW165" s="107">
        <f>_xlfn.IFNA($M165/VLOOKUP($BT165,'Unit information'!$A$2:$K$29,5,FALSE)*U165,0)*(1+$E$9)</f>
        <v>0</v>
      </c>
      <c r="AX165" s="107">
        <f>_xlfn.IFNA($M165/VLOOKUP($BU165,'Unit information'!$A$2:$K$29,6,FALSE)*V165,0)*(1+$E$9)</f>
        <v>0</v>
      </c>
      <c r="AY165" s="107">
        <f>_xlfn.IFNA($M165/VLOOKUP($BU165,'Unit information'!$A$2:$K$29,7,FALSE)*W165,0)*(1+$E$9)</f>
        <v>0</v>
      </c>
      <c r="AZ165" s="107">
        <f>_xlfn.IFNA($M165/VLOOKUP($BU165,'Unit information'!$A$2:$K$29,8,FALSE)*X165,0)*(1+$E$9)</f>
        <v>0</v>
      </c>
      <c r="BA165" s="107">
        <f>_xlfn.IFNA($M165/VLOOKUP($BU165,'Unit information'!$A$2:$K$29,9,FALSE)*Y165,0)*(1+$E$9)</f>
        <v>0</v>
      </c>
      <c r="BB165" s="107">
        <f>_xlfn.IFNA($M165/VLOOKUP($BV165,'Unit information'!$A$2:$K$29,10,FALSE)*Z165,0)*(1+$E$9)</f>
        <v>0</v>
      </c>
      <c r="BC165" s="108">
        <f>_xlfn.IFNA($M165/VLOOKUP($BV165,'Unit information'!$A$2:$K$29,11,FALSE)*AA165,0)*(1+$E$9)</f>
        <v>0</v>
      </c>
      <c r="BD165" s="106">
        <f t="shared" si="204"/>
        <v>0</v>
      </c>
      <c r="BE165" s="107">
        <f t="shared" si="205"/>
        <v>0</v>
      </c>
      <c r="BF165" s="108">
        <f t="shared" si="206"/>
        <v>0</v>
      </c>
      <c r="BG165" s="25" t="e">
        <f t="shared" si="207"/>
        <v>#N/A</v>
      </c>
      <c r="BH165" s="25" t="e">
        <f t="shared" si="208"/>
        <v>#N/A</v>
      </c>
      <c r="BI165" s="25" t="e">
        <f t="shared" si="209"/>
        <v>#N/A</v>
      </c>
      <c r="BJ165" s="27" t="e">
        <f t="shared" si="210"/>
        <v>#N/A</v>
      </c>
      <c r="BK165" s="18" t="e">
        <f t="shared" si="211"/>
        <v>#N/A</v>
      </c>
      <c r="BL165" s="18" t="e">
        <f t="shared" si="212"/>
        <v>#N/A</v>
      </c>
      <c r="BM165" s="28" t="e">
        <f t="shared" si="257"/>
        <v>#N/A</v>
      </c>
      <c r="BN165" s="33">
        <f>HLOOKUP("maximum population",Miscelaneous!$C$1:$C$33,CH165+3,FALSE)</f>
        <v>240</v>
      </c>
      <c r="BO165" s="14">
        <f t="shared" si="223"/>
        <v>32</v>
      </c>
      <c r="BP165" s="14">
        <f t="shared" si="224"/>
        <v>0</v>
      </c>
      <c r="BQ165" s="14">
        <f t="shared" si="225"/>
        <v>208</v>
      </c>
      <c r="BR165" s="34" t="e">
        <f>HLOOKUP(J165,Villagers!$B$1:$V$33,L165+3,FALSE)-HLOOKUP(J165,Villagers!$B$1:$V$33,L165+2,FALSE)</f>
        <v>#N/A</v>
      </c>
      <c r="BS165" s="49">
        <f t="shared" si="226"/>
        <v>1</v>
      </c>
      <c r="BT165" s="50">
        <f t="shared" si="227"/>
        <v>0</v>
      </c>
      <c r="BU165" s="50">
        <f t="shared" si="228"/>
        <v>0</v>
      </c>
      <c r="BV165" s="50">
        <f t="shared" si="229"/>
        <v>0</v>
      </c>
      <c r="BW165" s="50">
        <f t="shared" si="258"/>
        <v>0</v>
      </c>
      <c r="BX165" s="50">
        <f t="shared" si="259"/>
        <v>0</v>
      </c>
      <c r="BY165" s="50">
        <f t="shared" si="259"/>
        <v>0</v>
      </c>
      <c r="BZ165" s="50">
        <f t="shared" si="260"/>
        <v>0</v>
      </c>
      <c r="CA165" s="50">
        <f t="shared" si="261"/>
        <v>0</v>
      </c>
      <c r="CB165" s="50">
        <f t="shared" si="262"/>
        <v>1</v>
      </c>
      <c r="CC165" s="50">
        <f t="shared" si="263"/>
        <v>0</v>
      </c>
      <c r="CD165" s="50">
        <f t="shared" si="264"/>
        <v>0</v>
      </c>
      <c r="CE165" s="50">
        <f t="shared" si="265"/>
        <v>1</v>
      </c>
      <c r="CF165" s="50">
        <f t="shared" si="266"/>
        <v>1</v>
      </c>
      <c r="CG165" s="50">
        <f t="shared" si="267"/>
        <v>1</v>
      </c>
      <c r="CH165" s="50">
        <f t="shared" si="268"/>
        <v>1</v>
      </c>
      <c r="CI165" s="50">
        <f t="shared" si="269"/>
        <v>1</v>
      </c>
      <c r="CJ165" s="50">
        <f t="shared" si="270"/>
        <v>1</v>
      </c>
      <c r="CK165" s="50">
        <f t="shared" si="270"/>
        <v>0</v>
      </c>
      <c r="CL165" s="50">
        <f t="shared" si="270"/>
        <v>0</v>
      </c>
      <c r="CM165" s="51">
        <f t="shared" si="271"/>
        <v>0</v>
      </c>
      <c r="CN165" s="33">
        <f>ROUND(IF(BS165=0,0,HLOOKUP(BS$14,Villagers!$B$1:$V$33,BS165+3,FALSE)),)</f>
        <v>5</v>
      </c>
      <c r="CO165" s="14">
        <f>ROUND(IF(BT165=0,0,HLOOKUP(BT$14,Villagers!$B$1:$V$33,BT165+3,FALSE)),)</f>
        <v>0</v>
      </c>
      <c r="CP165" s="14">
        <f>ROUND(IF(BU165=0,0,HLOOKUP(BU$14,Villagers!$B$1:$V$33,BU165+3,FALSE)),)</f>
        <v>0</v>
      </c>
      <c r="CQ165" s="14">
        <f>ROUND(IF(BV165=0,0,HLOOKUP(BV$14,Villagers!$B$1:$V$33,BV165+3,FALSE)),)</f>
        <v>0</v>
      </c>
      <c r="CR165" s="14">
        <f>ROUND(IF(BW165=0,0,HLOOKUP(BW$14,Villagers!$B$1:$V$33,BW165+3,FALSE)),)</f>
        <v>0</v>
      </c>
      <c r="CS165" s="14">
        <f>ROUND(IF(BX165=0,0,HLOOKUP(BX$14,Villagers!$B$1:$V$33,BX165+3,FALSE)),)</f>
        <v>0</v>
      </c>
      <c r="CT165" s="14">
        <f>ROUND(IF(BY165=0,0,HLOOKUP(BY$14,Villagers!$B$1:$V$33,BY165+3,FALSE)),)</f>
        <v>0</v>
      </c>
      <c r="CU165" s="14">
        <f>ROUND(IF(BZ165=0,0,HLOOKUP(BZ$14,Villagers!$B$1:$V$33,BZ165+3,FALSE)),)</f>
        <v>0</v>
      </c>
      <c r="CV165" s="14">
        <f>ROUND(IF(CA165=0,0,HLOOKUP(CA$14,Villagers!$B$1:$V$33,CA165+3,FALSE)),)</f>
        <v>0</v>
      </c>
      <c r="CW165" s="14">
        <f>ROUND(IF(CB165=0,0,HLOOKUP(CB$14,Villagers!$B$1:$V$33,CB165+3,FALSE)),)</f>
        <v>0</v>
      </c>
      <c r="CX165" s="14">
        <f>ROUND(IF(CC165=0,0,HLOOKUP(CC$14,Villagers!$B$1:$V$33,CC165+3,FALSE)),)</f>
        <v>0</v>
      </c>
      <c r="CY165" s="14">
        <f>ROUND(IF(CD165=0,0,HLOOKUP(CD$14,Villagers!$B$1:$V$33,CD165+3,FALSE)),)</f>
        <v>0</v>
      </c>
      <c r="CZ165" s="14">
        <f>ROUND(IF(CE165=0,0,HLOOKUP(CE$14,Villagers!$B$1:$V$33,CE165+3,FALSE)),)</f>
        <v>5</v>
      </c>
      <c r="DA165" s="14">
        <f>ROUND(IF(CF165=0,0,HLOOKUP(CF$14,Villagers!$B$1:$V$33,CF165+3,FALSE)),)</f>
        <v>10</v>
      </c>
      <c r="DB165" s="14">
        <f>ROUND(IF(CG165=0,0,HLOOKUP(CG$14,Villagers!$B$1:$V$33,CG165+3,FALSE)),)</f>
        <v>10</v>
      </c>
      <c r="DC165" s="14">
        <f>ROUND(IF(CH165=0,0,HLOOKUP(CH$14,Villagers!$B$1:$V$33,CH165+3,FALSE)),)</f>
        <v>0</v>
      </c>
      <c r="DD165" s="14">
        <f>ROUND(IF(CI165=0,0,HLOOKUP(CI$14,Villagers!$B$1:$V$33,CI165+3,FALSE)),)</f>
        <v>0</v>
      </c>
      <c r="DE165" s="14">
        <f>ROUND(IF(CJ165=0,0,HLOOKUP(CJ$14,Villagers!$B$1:$V$33,CJ165+3,FALSE)),)</f>
        <v>2</v>
      </c>
      <c r="DF165" s="370">
        <f>ROUND(IF(CK165=0,0,HLOOKUP(CK$14,Villagers!$B$1:$V$33,CK165+3,FALSE)),)</f>
        <v>0</v>
      </c>
      <c r="DG165" s="370">
        <f>ROUND(IF(CL165=0,0,HLOOKUP(CL$14,Villagers!$B$1:$V$33,CL165+3,FALSE)),)</f>
        <v>0</v>
      </c>
      <c r="DH165" s="34">
        <f>ROUND(IF(CM165=0,0,HLOOKUP(CM$14,Villagers!$B$1:$V$33,CM165+3,FALSE)),)</f>
        <v>0</v>
      </c>
      <c r="DI165" s="109">
        <f t="shared" si="246"/>
        <v>0</v>
      </c>
      <c r="DJ165" s="50">
        <f t="shared" si="247"/>
        <v>0</v>
      </c>
      <c r="DK165" s="50">
        <f t="shared" si="248"/>
        <v>0</v>
      </c>
      <c r="DL165" s="50">
        <f t="shared" si="249"/>
        <v>0</v>
      </c>
      <c r="DM165" s="50">
        <f t="shared" si="250"/>
        <v>0</v>
      </c>
      <c r="DN165" s="50">
        <f t="shared" si="251"/>
        <v>0</v>
      </c>
      <c r="DO165" s="50">
        <f t="shared" si="252"/>
        <v>0</v>
      </c>
      <c r="DP165" s="50">
        <f t="shared" si="253"/>
        <v>0</v>
      </c>
      <c r="DQ165" s="50">
        <f t="shared" si="231"/>
        <v>0</v>
      </c>
      <c r="DR165" s="50">
        <f t="shared" si="232"/>
        <v>0</v>
      </c>
      <c r="DS165" s="96">
        <f>Miscelaneous!$D$4*Miscelaneous!$D$2^($CI165-1)</f>
        <v>1000</v>
      </c>
      <c r="DT165" s="333">
        <f t="shared" si="213"/>
        <v>1</v>
      </c>
      <c r="DU165" s="81">
        <v>1</v>
      </c>
      <c r="DV165" s="79">
        <f t="shared" si="233"/>
        <v>0</v>
      </c>
      <c r="DW165" s="79">
        <f t="shared" si="234"/>
        <v>0</v>
      </c>
      <c r="DX165" s="79">
        <f t="shared" si="235"/>
        <v>0</v>
      </c>
      <c r="DY165" s="79">
        <v>1</v>
      </c>
      <c r="DZ165" s="79">
        <f t="shared" si="236"/>
        <v>0</v>
      </c>
      <c r="EA165" s="79">
        <f t="shared" si="237"/>
        <v>0</v>
      </c>
      <c r="EB165" s="79">
        <f t="shared" si="238"/>
        <v>0</v>
      </c>
      <c r="EC165" s="79">
        <f t="shared" si="239"/>
        <v>0</v>
      </c>
      <c r="ED165" s="79">
        <v>1</v>
      </c>
      <c r="EE165" s="79">
        <v>1</v>
      </c>
      <c r="EF165" s="79">
        <f t="shared" si="240"/>
        <v>0</v>
      </c>
      <c r="EG165" s="79">
        <v>1</v>
      </c>
      <c r="EH165" s="79">
        <v>1</v>
      </c>
      <c r="EI165" s="79">
        <v>1</v>
      </c>
      <c r="EJ165" s="79">
        <v>1</v>
      </c>
      <c r="EK165" s="79">
        <v>1</v>
      </c>
      <c r="EL165" s="79">
        <v>1</v>
      </c>
      <c r="EM165" s="143">
        <f t="shared" si="241"/>
        <v>0</v>
      </c>
      <c r="EN165" s="143">
        <f t="shared" si="242"/>
        <v>0</v>
      </c>
      <c r="EO165" s="82">
        <f t="shared" si="243"/>
        <v>0</v>
      </c>
    </row>
    <row r="166" spans="1:145" x14ac:dyDescent="0.25">
      <c r="A166">
        <v>152</v>
      </c>
      <c r="B166" s="172" t="e">
        <f t="shared" si="214"/>
        <v>#N/A</v>
      </c>
      <c r="C166" s="121" t="e">
        <f t="shared" si="193"/>
        <v>#N/A</v>
      </c>
      <c r="D166" s="122" t="e">
        <f t="shared" si="194"/>
        <v>#N/A</v>
      </c>
      <c r="E166" s="122" t="e">
        <f t="shared" si="195"/>
        <v>#N/A</v>
      </c>
      <c r="F166" s="176" t="e">
        <f t="shared" si="196"/>
        <v>#N/A</v>
      </c>
      <c r="G166" s="121">
        <f t="shared" si="215"/>
        <v>208</v>
      </c>
      <c r="H166" s="176" t="e">
        <f t="shared" si="216"/>
        <v>#N/A</v>
      </c>
      <c r="I166" s="48">
        <v>1</v>
      </c>
      <c r="J166" s="39"/>
      <c r="K166" s="350">
        <v>1</v>
      </c>
      <c r="L166" s="34" t="e">
        <f t="shared" si="197"/>
        <v>#N/A</v>
      </c>
      <c r="M166" s="38" t="e">
        <f>(HLOOKUP(J166,'Construction Times'!$B$3:$W$34,L166+2,FALSE)*HLOOKUP("hq modifier",'Construction Times'!$W$3:$W$34,BS166+2,FALSE))*(1-$H$9)</f>
        <v>#N/A</v>
      </c>
      <c r="N166" s="443" t="e">
        <f t="shared" si="217"/>
        <v>#N/A</v>
      </c>
      <c r="O166" s="444"/>
      <c r="P166" s="447" t="e">
        <f t="shared" si="218"/>
        <v>#N/A</v>
      </c>
      <c r="Q166" s="448"/>
      <c r="R166" s="103">
        <f t="shared" si="244"/>
        <v>0</v>
      </c>
      <c r="S166" s="104">
        <f t="shared" si="244"/>
        <v>0</v>
      </c>
      <c r="T166" s="104">
        <f t="shared" si="245"/>
        <v>0</v>
      </c>
      <c r="U166" s="104">
        <f t="shared" si="245"/>
        <v>0</v>
      </c>
      <c r="V166" s="104">
        <f t="shared" si="245"/>
        <v>9.9999999999999995E-8</v>
      </c>
      <c r="W166" s="104">
        <f t="shared" si="245"/>
        <v>0</v>
      </c>
      <c r="X166" s="104">
        <f t="shared" si="185"/>
        <v>0</v>
      </c>
      <c r="Y166" s="104">
        <f t="shared" si="185"/>
        <v>9.9999999999999995E-8</v>
      </c>
      <c r="Z166" s="104">
        <f t="shared" si="185"/>
        <v>9.9999999999999995E-8</v>
      </c>
      <c r="AA166" s="105">
        <f t="shared" si="185"/>
        <v>9.9999999999999995E-8</v>
      </c>
      <c r="AB166" s="101" t="e">
        <f>$DT166*HLOOKUP($J166,'Construction Costs (timber)'!$B$1:$V$32,'Construction Planner'!$L166+2,FALSE)</f>
        <v>#N/A</v>
      </c>
      <c r="AC166" s="14" t="e">
        <f>$DT166*HLOOKUP($J166,'Construction Costs (clay)'!$B$1:$V$32,'Construction Planner'!$L166+2,FALSE)</f>
        <v>#N/A</v>
      </c>
      <c r="AD166" s="14" t="e">
        <f>$DT166*HLOOKUP($J166,'Construction Costs (iron)'!$B$1:$V$32,'Construction Planner'!$L166+2,FALSE)</f>
        <v>#N/A</v>
      </c>
      <c r="AE166" s="34" t="e">
        <f t="shared" si="254"/>
        <v>#N/A</v>
      </c>
      <c r="AF166" s="33" t="e">
        <f t="shared" si="198"/>
        <v>#N/A</v>
      </c>
      <c r="AG166" s="14" t="e">
        <f t="shared" si="199"/>
        <v>#N/A</v>
      </c>
      <c r="AH166" s="14" t="e">
        <f t="shared" si="200"/>
        <v>#N/A</v>
      </c>
      <c r="AI166" s="34" t="e">
        <f t="shared" si="255"/>
        <v>#N/A</v>
      </c>
      <c r="AJ166" s="49" t="e">
        <f t="shared" si="219"/>
        <v>#N/A</v>
      </c>
      <c r="AK166" s="49" t="e">
        <f t="shared" si="220"/>
        <v>#N/A</v>
      </c>
      <c r="AL166" s="49" t="e">
        <f t="shared" si="221"/>
        <v>#N/A</v>
      </c>
      <c r="AM166" s="25">
        <f t="shared" si="201"/>
        <v>30</v>
      </c>
      <c r="AN166" s="25">
        <f t="shared" si="202"/>
        <v>30</v>
      </c>
      <c r="AO166" s="25">
        <f t="shared" si="203"/>
        <v>30</v>
      </c>
      <c r="AP166" s="52" t="e">
        <f t="shared" si="222"/>
        <v>#N/A</v>
      </c>
      <c r="AQ166" s="53" t="e">
        <f t="shared" si="222"/>
        <v>#N/A</v>
      </c>
      <c r="AR166" s="54" t="e">
        <f t="shared" si="222"/>
        <v>#N/A</v>
      </c>
      <c r="AS166" s="316">
        <f t="shared" si="272"/>
        <v>0</v>
      </c>
      <c r="AT166" s="106">
        <f>_xlfn.IFNA($M166/VLOOKUP($BT166,'Unit information'!$A$2:$K$29,2,FALSE)*R166,0)*(1+$E$9)</f>
        <v>0</v>
      </c>
      <c r="AU166" s="107">
        <f>_xlfn.IFNA($M166/VLOOKUP($BT166,'Unit information'!$A$2:$K$29,3,FALSE)*S166,0)*(1+$E$9)</f>
        <v>0</v>
      </c>
      <c r="AV166" s="107">
        <f>_xlfn.IFNA($M166/VLOOKUP($BT166,'Unit information'!$A$2:$K$29,4,FALSE)*T166,0)*(1+$E$9)</f>
        <v>0</v>
      </c>
      <c r="AW166" s="107">
        <f>_xlfn.IFNA($M166/VLOOKUP($BT166,'Unit information'!$A$2:$K$29,5,FALSE)*U166,0)*(1+$E$9)</f>
        <v>0</v>
      </c>
      <c r="AX166" s="107">
        <f>_xlfn.IFNA($M166/VLOOKUP($BU166,'Unit information'!$A$2:$K$29,6,FALSE)*V166,0)*(1+$E$9)</f>
        <v>0</v>
      </c>
      <c r="AY166" s="107">
        <f>_xlfn.IFNA($M166/VLOOKUP($BU166,'Unit information'!$A$2:$K$29,7,FALSE)*W166,0)*(1+$E$9)</f>
        <v>0</v>
      </c>
      <c r="AZ166" s="107">
        <f>_xlfn.IFNA($M166/VLOOKUP($BU166,'Unit information'!$A$2:$K$29,8,FALSE)*X166,0)*(1+$E$9)</f>
        <v>0</v>
      </c>
      <c r="BA166" s="107">
        <f>_xlfn.IFNA($M166/VLOOKUP($BU166,'Unit information'!$A$2:$K$29,9,FALSE)*Y166,0)*(1+$E$9)</f>
        <v>0</v>
      </c>
      <c r="BB166" s="107">
        <f>_xlfn.IFNA($M166/VLOOKUP($BV166,'Unit information'!$A$2:$K$29,10,FALSE)*Z166,0)*(1+$E$9)</f>
        <v>0</v>
      </c>
      <c r="BC166" s="108">
        <f>_xlfn.IFNA($M166/VLOOKUP($BV166,'Unit information'!$A$2:$K$29,11,FALSE)*AA166,0)*(1+$E$9)</f>
        <v>0</v>
      </c>
      <c r="BD166" s="106">
        <f t="shared" si="204"/>
        <v>0</v>
      </c>
      <c r="BE166" s="107">
        <f t="shared" si="205"/>
        <v>0</v>
      </c>
      <c r="BF166" s="108">
        <f t="shared" si="206"/>
        <v>0</v>
      </c>
      <c r="BG166" s="25" t="e">
        <f t="shared" si="207"/>
        <v>#N/A</v>
      </c>
      <c r="BH166" s="25" t="e">
        <f t="shared" si="208"/>
        <v>#N/A</v>
      </c>
      <c r="BI166" s="25" t="e">
        <f t="shared" si="209"/>
        <v>#N/A</v>
      </c>
      <c r="BJ166" s="27" t="e">
        <f t="shared" si="210"/>
        <v>#N/A</v>
      </c>
      <c r="BK166" s="18" t="e">
        <f t="shared" si="211"/>
        <v>#N/A</v>
      </c>
      <c r="BL166" s="18" t="e">
        <f t="shared" si="212"/>
        <v>#N/A</v>
      </c>
      <c r="BM166" s="28" t="e">
        <f t="shared" si="257"/>
        <v>#N/A</v>
      </c>
      <c r="BN166" s="33">
        <f>HLOOKUP("maximum population",Miscelaneous!$C$1:$C$33,CH166+3,FALSE)</f>
        <v>240</v>
      </c>
      <c r="BO166" s="14">
        <f t="shared" si="223"/>
        <v>32</v>
      </c>
      <c r="BP166" s="14">
        <f t="shared" si="224"/>
        <v>0</v>
      </c>
      <c r="BQ166" s="14">
        <f t="shared" si="225"/>
        <v>208</v>
      </c>
      <c r="BR166" s="34" t="e">
        <f>HLOOKUP(J166,Villagers!$B$1:$V$33,L166+3,FALSE)-HLOOKUP(J166,Villagers!$B$1:$V$33,L166+2,FALSE)</f>
        <v>#N/A</v>
      </c>
      <c r="BS166" s="49">
        <f t="shared" si="226"/>
        <v>1</v>
      </c>
      <c r="BT166" s="50">
        <f t="shared" si="227"/>
        <v>0</v>
      </c>
      <c r="BU166" s="50">
        <f t="shared" si="228"/>
        <v>0</v>
      </c>
      <c r="BV166" s="50">
        <f t="shared" si="229"/>
        <v>0</v>
      </c>
      <c r="BW166" s="50">
        <f t="shared" si="258"/>
        <v>0</v>
      </c>
      <c r="BX166" s="50">
        <f t="shared" si="259"/>
        <v>0</v>
      </c>
      <c r="BY166" s="50">
        <f t="shared" si="259"/>
        <v>0</v>
      </c>
      <c r="BZ166" s="50">
        <f t="shared" si="260"/>
        <v>0</v>
      </c>
      <c r="CA166" s="50">
        <f t="shared" si="261"/>
        <v>0</v>
      </c>
      <c r="CB166" s="50">
        <f t="shared" si="262"/>
        <v>1</v>
      </c>
      <c r="CC166" s="50">
        <f t="shared" si="263"/>
        <v>0</v>
      </c>
      <c r="CD166" s="50">
        <f t="shared" si="264"/>
        <v>0</v>
      </c>
      <c r="CE166" s="50">
        <f t="shared" si="265"/>
        <v>1</v>
      </c>
      <c r="CF166" s="50">
        <f t="shared" si="266"/>
        <v>1</v>
      </c>
      <c r="CG166" s="50">
        <f t="shared" si="267"/>
        <v>1</v>
      </c>
      <c r="CH166" s="50">
        <f t="shared" si="268"/>
        <v>1</v>
      </c>
      <c r="CI166" s="50">
        <f t="shared" si="269"/>
        <v>1</v>
      </c>
      <c r="CJ166" s="50">
        <f t="shared" si="270"/>
        <v>1</v>
      </c>
      <c r="CK166" s="50">
        <f t="shared" si="270"/>
        <v>0</v>
      </c>
      <c r="CL166" s="50">
        <f t="shared" si="270"/>
        <v>0</v>
      </c>
      <c r="CM166" s="51">
        <f t="shared" si="271"/>
        <v>0</v>
      </c>
      <c r="CN166" s="33">
        <f>ROUND(IF(BS166=0,0,HLOOKUP(BS$14,Villagers!$B$1:$V$33,BS166+3,FALSE)),)</f>
        <v>5</v>
      </c>
      <c r="CO166" s="14">
        <f>ROUND(IF(BT166=0,0,HLOOKUP(BT$14,Villagers!$B$1:$V$33,BT166+3,FALSE)),)</f>
        <v>0</v>
      </c>
      <c r="CP166" s="14">
        <f>ROUND(IF(BU166=0,0,HLOOKUP(BU$14,Villagers!$B$1:$V$33,BU166+3,FALSE)),)</f>
        <v>0</v>
      </c>
      <c r="CQ166" s="14">
        <f>ROUND(IF(BV166=0,0,HLOOKUP(BV$14,Villagers!$B$1:$V$33,BV166+3,FALSE)),)</f>
        <v>0</v>
      </c>
      <c r="CR166" s="14">
        <f>ROUND(IF(BW166=0,0,HLOOKUP(BW$14,Villagers!$B$1:$V$33,BW166+3,FALSE)),)</f>
        <v>0</v>
      </c>
      <c r="CS166" s="14">
        <f>ROUND(IF(BX166=0,0,HLOOKUP(BX$14,Villagers!$B$1:$V$33,BX166+3,FALSE)),)</f>
        <v>0</v>
      </c>
      <c r="CT166" s="14">
        <f>ROUND(IF(BY166=0,0,HLOOKUP(BY$14,Villagers!$B$1:$V$33,BY166+3,FALSE)),)</f>
        <v>0</v>
      </c>
      <c r="CU166" s="14">
        <f>ROUND(IF(BZ166=0,0,HLOOKUP(BZ$14,Villagers!$B$1:$V$33,BZ166+3,FALSE)),)</f>
        <v>0</v>
      </c>
      <c r="CV166" s="14">
        <f>ROUND(IF(CA166=0,0,HLOOKUP(CA$14,Villagers!$B$1:$V$33,CA166+3,FALSE)),)</f>
        <v>0</v>
      </c>
      <c r="CW166" s="14">
        <f>ROUND(IF(CB166=0,0,HLOOKUP(CB$14,Villagers!$B$1:$V$33,CB166+3,FALSE)),)</f>
        <v>0</v>
      </c>
      <c r="CX166" s="14">
        <f>ROUND(IF(CC166=0,0,HLOOKUP(CC$14,Villagers!$B$1:$V$33,CC166+3,FALSE)),)</f>
        <v>0</v>
      </c>
      <c r="CY166" s="14">
        <f>ROUND(IF(CD166=0,0,HLOOKUP(CD$14,Villagers!$B$1:$V$33,CD166+3,FALSE)),)</f>
        <v>0</v>
      </c>
      <c r="CZ166" s="14">
        <f>ROUND(IF(CE166=0,0,HLOOKUP(CE$14,Villagers!$B$1:$V$33,CE166+3,FALSE)),)</f>
        <v>5</v>
      </c>
      <c r="DA166" s="14">
        <f>ROUND(IF(CF166=0,0,HLOOKUP(CF$14,Villagers!$B$1:$V$33,CF166+3,FALSE)),)</f>
        <v>10</v>
      </c>
      <c r="DB166" s="14">
        <f>ROUND(IF(CG166=0,0,HLOOKUP(CG$14,Villagers!$B$1:$V$33,CG166+3,FALSE)),)</f>
        <v>10</v>
      </c>
      <c r="DC166" s="14">
        <f>ROUND(IF(CH166=0,0,HLOOKUP(CH$14,Villagers!$B$1:$V$33,CH166+3,FALSE)),)</f>
        <v>0</v>
      </c>
      <c r="DD166" s="14">
        <f>ROUND(IF(CI166=0,0,HLOOKUP(CI$14,Villagers!$B$1:$V$33,CI166+3,FALSE)),)</f>
        <v>0</v>
      </c>
      <c r="DE166" s="14">
        <f>ROUND(IF(CJ166=0,0,HLOOKUP(CJ$14,Villagers!$B$1:$V$33,CJ166+3,FALSE)),)</f>
        <v>2</v>
      </c>
      <c r="DF166" s="370">
        <f>ROUND(IF(CK166=0,0,HLOOKUP(CK$14,Villagers!$B$1:$V$33,CK166+3,FALSE)),)</f>
        <v>0</v>
      </c>
      <c r="DG166" s="370">
        <f>ROUND(IF(CL166=0,0,HLOOKUP(CL$14,Villagers!$B$1:$V$33,CL166+3,FALSE)),)</f>
        <v>0</v>
      </c>
      <c r="DH166" s="34">
        <f>ROUND(IF(CM166=0,0,HLOOKUP(CM$14,Villagers!$B$1:$V$33,CM166+3,FALSE)),)</f>
        <v>0</v>
      </c>
      <c r="DI166" s="109">
        <f t="shared" si="246"/>
        <v>0</v>
      </c>
      <c r="DJ166" s="50">
        <f t="shared" si="247"/>
        <v>0</v>
      </c>
      <c r="DK166" s="50">
        <f t="shared" si="248"/>
        <v>0</v>
      </c>
      <c r="DL166" s="50">
        <f t="shared" si="249"/>
        <v>0</v>
      </c>
      <c r="DM166" s="50">
        <f t="shared" si="250"/>
        <v>0</v>
      </c>
      <c r="DN166" s="50">
        <f t="shared" si="251"/>
        <v>0</v>
      </c>
      <c r="DO166" s="50">
        <f t="shared" si="252"/>
        <v>0</v>
      </c>
      <c r="DP166" s="50">
        <f t="shared" si="253"/>
        <v>0</v>
      </c>
      <c r="DQ166" s="50">
        <f t="shared" si="231"/>
        <v>0</v>
      </c>
      <c r="DR166" s="50">
        <f t="shared" si="232"/>
        <v>0</v>
      </c>
      <c r="DS166" s="96">
        <f>Miscelaneous!$D$4*Miscelaneous!$D$2^($CI166-1)</f>
        <v>1000</v>
      </c>
      <c r="DT166" s="333">
        <f t="shared" si="213"/>
        <v>1</v>
      </c>
      <c r="DU166" s="81">
        <v>1</v>
      </c>
      <c r="DV166" s="79">
        <f t="shared" si="233"/>
        <v>0</v>
      </c>
      <c r="DW166" s="79">
        <f t="shared" si="234"/>
        <v>0</v>
      </c>
      <c r="DX166" s="79">
        <f t="shared" si="235"/>
        <v>0</v>
      </c>
      <c r="DY166" s="79">
        <v>1</v>
      </c>
      <c r="DZ166" s="79">
        <f t="shared" si="236"/>
        <v>0</v>
      </c>
      <c r="EA166" s="79">
        <f t="shared" si="237"/>
        <v>0</v>
      </c>
      <c r="EB166" s="79">
        <f t="shared" si="238"/>
        <v>0</v>
      </c>
      <c r="EC166" s="79">
        <f t="shared" si="239"/>
        <v>0</v>
      </c>
      <c r="ED166" s="79">
        <v>1</v>
      </c>
      <c r="EE166" s="79">
        <v>1</v>
      </c>
      <c r="EF166" s="79">
        <f t="shared" si="240"/>
        <v>0</v>
      </c>
      <c r="EG166" s="79">
        <v>1</v>
      </c>
      <c r="EH166" s="79">
        <v>1</v>
      </c>
      <c r="EI166" s="79">
        <v>1</v>
      </c>
      <c r="EJ166" s="79">
        <v>1</v>
      </c>
      <c r="EK166" s="79">
        <v>1</v>
      </c>
      <c r="EL166" s="79">
        <v>1</v>
      </c>
      <c r="EM166" s="143">
        <f t="shared" si="241"/>
        <v>0</v>
      </c>
      <c r="EN166" s="143">
        <f t="shared" si="242"/>
        <v>0</v>
      </c>
      <c r="EO166" s="82">
        <f t="shared" si="243"/>
        <v>0</v>
      </c>
    </row>
    <row r="167" spans="1:145" x14ac:dyDescent="0.25">
      <c r="A167">
        <v>153</v>
      </c>
      <c r="B167" s="172" t="e">
        <f t="shared" si="214"/>
        <v>#N/A</v>
      </c>
      <c r="C167" s="121" t="e">
        <f t="shared" si="193"/>
        <v>#N/A</v>
      </c>
      <c r="D167" s="122" t="e">
        <f t="shared" si="194"/>
        <v>#N/A</v>
      </c>
      <c r="E167" s="122" t="e">
        <f t="shared" si="195"/>
        <v>#N/A</v>
      </c>
      <c r="F167" s="176" t="e">
        <f t="shared" si="196"/>
        <v>#N/A</v>
      </c>
      <c r="G167" s="121">
        <f t="shared" si="215"/>
        <v>208</v>
      </c>
      <c r="H167" s="176" t="e">
        <f t="shared" si="216"/>
        <v>#N/A</v>
      </c>
      <c r="I167" s="48">
        <v>1</v>
      </c>
      <c r="J167" s="39"/>
      <c r="K167" s="350">
        <v>1</v>
      </c>
      <c r="L167" s="34" t="e">
        <f t="shared" si="197"/>
        <v>#N/A</v>
      </c>
      <c r="M167" s="38" t="e">
        <f>(HLOOKUP(J167,'Construction Times'!$B$3:$W$34,L167+2,FALSE)*HLOOKUP("hq modifier",'Construction Times'!$W$3:$W$34,BS167+2,FALSE))*(1-$H$9)</f>
        <v>#N/A</v>
      </c>
      <c r="N167" s="443" t="e">
        <f t="shared" si="217"/>
        <v>#N/A</v>
      </c>
      <c r="O167" s="444"/>
      <c r="P167" s="447" t="e">
        <f t="shared" si="218"/>
        <v>#N/A</v>
      </c>
      <c r="Q167" s="448"/>
      <c r="R167" s="103">
        <f t="shared" si="244"/>
        <v>0</v>
      </c>
      <c r="S167" s="104">
        <f t="shared" si="244"/>
        <v>0</v>
      </c>
      <c r="T167" s="104">
        <f t="shared" si="245"/>
        <v>0</v>
      </c>
      <c r="U167" s="104">
        <f t="shared" si="245"/>
        <v>0</v>
      </c>
      <c r="V167" s="104">
        <f t="shared" si="245"/>
        <v>9.9999999999999995E-8</v>
      </c>
      <c r="W167" s="104">
        <f t="shared" si="245"/>
        <v>0</v>
      </c>
      <c r="X167" s="104">
        <f t="shared" si="185"/>
        <v>0</v>
      </c>
      <c r="Y167" s="104">
        <f t="shared" si="185"/>
        <v>9.9999999999999995E-8</v>
      </c>
      <c r="Z167" s="104">
        <f t="shared" si="185"/>
        <v>9.9999999999999995E-8</v>
      </c>
      <c r="AA167" s="105">
        <f t="shared" si="185"/>
        <v>9.9999999999999995E-8</v>
      </c>
      <c r="AB167" s="101" t="e">
        <f>$DT167*HLOOKUP($J167,'Construction Costs (timber)'!$B$1:$V$32,'Construction Planner'!$L167+2,FALSE)</f>
        <v>#N/A</v>
      </c>
      <c r="AC167" s="14" t="e">
        <f>$DT167*HLOOKUP($J167,'Construction Costs (clay)'!$B$1:$V$32,'Construction Planner'!$L167+2,FALSE)</f>
        <v>#N/A</v>
      </c>
      <c r="AD167" s="14" t="e">
        <f>$DT167*HLOOKUP($J167,'Construction Costs (iron)'!$B$1:$V$32,'Construction Planner'!$L167+2,FALSE)</f>
        <v>#N/A</v>
      </c>
      <c r="AE167" s="34" t="e">
        <f t="shared" si="254"/>
        <v>#N/A</v>
      </c>
      <c r="AF167" s="33" t="e">
        <f t="shared" si="198"/>
        <v>#N/A</v>
      </c>
      <c r="AG167" s="14" t="e">
        <f t="shared" si="199"/>
        <v>#N/A</v>
      </c>
      <c r="AH167" s="14" t="e">
        <f t="shared" si="200"/>
        <v>#N/A</v>
      </c>
      <c r="AI167" s="34" t="e">
        <f t="shared" si="255"/>
        <v>#N/A</v>
      </c>
      <c r="AJ167" s="49" t="e">
        <f t="shared" si="219"/>
        <v>#N/A</v>
      </c>
      <c r="AK167" s="49" t="e">
        <f t="shared" si="220"/>
        <v>#N/A</v>
      </c>
      <c r="AL167" s="49" t="e">
        <f t="shared" si="221"/>
        <v>#N/A</v>
      </c>
      <c r="AM167" s="25">
        <f t="shared" si="201"/>
        <v>30</v>
      </c>
      <c r="AN167" s="25">
        <f t="shared" si="202"/>
        <v>30</v>
      </c>
      <c r="AO167" s="25">
        <f t="shared" si="203"/>
        <v>30</v>
      </c>
      <c r="AP167" s="52" t="e">
        <f t="shared" si="222"/>
        <v>#N/A</v>
      </c>
      <c r="AQ167" s="53" t="e">
        <f t="shared" si="222"/>
        <v>#N/A</v>
      </c>
      <c r="AR167" s="54" t="e">
        <f t="shared" si="222"/>
        <v>#N/A</v>
      </c>
      <c r="AS167" s="316">
        <f t="shared" si="272"/>
        <v>0</v>
      </c>
      <c r="AT167" s="106">
        <f>_xlfn.IFNA($M167/VLOOKUP($BT167,'Unit information'!$A$2:$K$29,2,FALSE)*R167,0)*(1+$E$9)</f>
        <v>0</v>
      </c>
      <c r="AU167" s="107">
        <f>_xlfn.IFNA($M167/VLOOKUP($BT167,'Unit information'!$A$2:$K$29,3,FALSE)*S167,0)*(1+$E$9)</f>
        <v>0</v>
      </c>
      <c r="AV167" s="107">
        <f>_xlfn.IFNA($M167/VLOOKUP($BT167,'Unit information'!$A$2:$K$29,4,FALSE)*T167,0)*(1+$E$9)</f>
        <v>0</v>
      </c>
      <c r="AW167" s="107">
        <f>_xlfn.IFNA($M167/VLOOKUP($BT167,'Unit information'!$A$2:$K$29,5,FALSE)*U167,0)*(1+$E$9)</f>
        <v>0</v>
      </c>
      <c r="AX167" s="107">
        <f>_xlfn.IFNA($M167/VLOOKUP($BU167,'Unit information'!$A$2:$K$29,6,FALSE)*V167,0)*(1+$E$9)</f>
        <v>0</v>
      </c>
      <c r="AY167" s="107">
        <f>_xlfn.IFNA($M167/VLOOKUP($BU167,'Unit information'!$A$2:$K$29,7,FALSE)*W167,0)*(1+$E$9)</f>
        <v>0</v>
      </c>
      <c r="AZ167" s="107">
        <f>_xlfn.IFNA($M167/VLOOKUP($BU167,'Unit information'!$A$2:$K$29,8,FALSE)*X167,0)*(1+$E$9)</f>
        <v>0</v>
      </c>
      <c r="BA167" s="107">
        <f>_xlfn.IFNA($M167/VLOOKUP($BU167,'Unit information'!$A$2:$K$29,9,FALSE)*Y167,0)*(1+$E$9)</f>
        <v>0</v>
      </c>
      <c r="BB167" s="107">
        <f>_xlfn.IFNA($M167/VLOOKUP($BV167,'Unit information'!$A$2:$K$29,10,FALSE)*Z167,0)*(1+$E$9)</f>
        <v>0</v>
      </c>
      <c r="BC167" s="108">
        <f>_xlfn.IFNA($M167/VLOOKUP($BV167,'Unit information'!$A$2:$K$29,11,FALSE)*AA167,0)*(1+$E$9)</f>
        <v>0</v>
      </c>
      <c r="BD167" s="106">
        <f t="shared" si="204"/>
        <v>0</v>
      </c>
      <c r="BE167" s="107">
        <f t="shared" si="205"/>
        <v>0</v>
      </c>
      <c r="BF167" s="108">
        <f t="shared" si="206"/>
        <v>0</v>
      </c>
      <c r="BG167" s="25" t="e">
        <f t="shared" si="207"/>
        <v>#N/A</v>
      </c>
      <c r="BH167" s="25" t="e">
        <f t="shared" si="208"/>
        <v>#N/A</v>
      </c>
      <c r="BI167" s="25" t="e">
        <f t="shared" si="209"/>
        <v>#N/A</v>
      </c>
      <c r="BJ167" s="27" t="e">
        <f t="shared" si="210"/>
        <v>#N/A</v>
      </c>
      <c r="BK167" s="18" t="e">
        <f t="shared" si="211"/>
        <v>#N/A</v>
      </c>
      <c r="BL167" s="18" t="e">
        <f t="shared" si="212"/>
        <v>#N/A</v>
      </c>
      <c r="BM167" s="28" t="e">
        <f t="shared" si="257"/>
        <v>#N/A</v>
      </c>
      <c r="BN167" s="33">
        <f>HLOOKUP("maximum population",Miscelaneous!$C$1:$C$33,CH167+3,FALSE)</f>
        <v>240</v>
      </c>
      <c r="BO167" s="14">
        <f t="shared" si="223"/>
        <v>32</v>
      </c>
      <c r="BP167" s="14">
        <f t="shared" si="224"/>
        <v>0</v>
      </c>
      <c r="BQ167" s="14">
        <f t="shared" si="225"/>
        <v>208</v>
      </c>
      <c r="BR167" s="34" t="e">
        <f>HLOOKUP(J167,Villagers!$B$1:$V$33,L167+3,FALSE)-HLOOKUP(J167,Villagers!$B$1:$V$33,L167+2,FALSE)</f>
        <v>#N/A</v>
      </c>
      <c r="BS167" s="49">
        <f t="shared" si="226"/>
        <v>1</v>
      </c>
      <c r="BT167" s="50">
        <f t="shared" si="227"/>
        <v>0</v>
      </c>
      <c r="BU167" s="50">
        <f t="shared" si="228"/>
        <v>0</v>
      </c>
      <c r="BV167" s="50">
        <f t="shared" si="229"/>
        <v>0</v>
      </c>
      <c r="BW167" s="50">
        <f t="shared" si="258"/>
        <v>0</v>
      </c>
      <c r="BX167" s="50">
        <f t="shared" si="259"/>
        <v>0</v>
      </c>
      <c r="BY167" s="50">
        <f t="shared" si="259"/>
        <v>0</v>
      </c>
      <c r="BZ167" s="50">
        <f t="shared" si="260"/>
        <v>0</v>
      </c>
      <c r="CA167" s="50">
        <f t="shared" si="261"/>
        <v>0</v>
      </c>
      <c r="CB167" s="50">
        <f t="shared" si="262"/>
        <v>1</v>
      </c>
      <c r="CC167" s="50">
        <f t="shared" si="263"/>
        <v>0</v>
      </c>
      <c r="CD167" s="50">
        <f t="shared" si="264"/>
        <v>0</v>
      </c>
      <c r="CE167" s="50">
        <f t="shared" si="265"/>
        <v>1</v>
      </c>
      <c r="CF167" s="50">
        <f t="shared" si="266"/>
        <v>1</v>
      </c>
      <c r="CG167" s="50">
        <f t="shared" si="267"/>
        <v>1</v>
      </c>
      <c r="CH167" s="50">
        <f t="shared" si="268"/>
        <v>1</v>
      </c>
      <c r="CI167" s="50">
        <f t="shared" si="269"/>
        <v>1</v>
      </c>
      <c r="CJ167" s="50">
        <f t="shared" si="270"/>
        <v>1</v>
      </c>
      <c r="CK167" s="50">
        <f t="shared" si="270"/>
        <v>0</v>
      </c>
      <c r="CL167" s="50">
        <f t="shared" si="270"/>
        <v>0</v>
      </c>
      <c r="CM167" s="51">
        <f t="shared" si="271"/>
        <v>0</v>
      </c>
      <c r="CN167" s="33">
        <f>ROUND(IF(BS167=0,0,HLOOKUP(BS$14,Villagers!$B$1:$V$33,BS167+3,FALSE)),)</f>
        <v>5</v>
      </c>
      <c r="CO167" s="14">
        <f>ROUND(IF(BT167=0,0,HLOOKUP(BT$14,Villagers!$B$1:$V$33,BT167+3,FALSE)),)</f>
        <v>0</v>
      </c>
      <c r="CP167" s="14">
        <f>ROUND(IF(BU167=0,0,HLOOKUP(BU$14,Villagers!$B$1:$V$33,BU167+3,FALSE)),)</f>
        <v>0</v>
      </c>
      <c r="CQ167" s="14">
        <f>ROUND(IF(BV167=0,0,HLOOKUP(BV$14,Villagers!$B$1:$V$33,BV167+3,FALSE)),)</f>
        <v>0</v>
      </c>
      <c r="CR167" s="14">
        <f>ROUND(IF(BW167=0,0,HLOOKUP(BW$14,Villagers!$B$1:$V$33,BW167+3,FALSE)),)</f>
        <v>0</v>
      </c>
      <c r="CS167" s="14">
        <f>ROUND(IF(BX167=0,0,HLOOKUP(BX$14,Villagers!$B$1:$V$33,BX167+3,FALSE)),)</f>
        <v>0</v>
      </c>
      <c r="CT167" s="14">
        <f>ROUND(IF(BY167=0,0,HLOOKUP(BY$14,Villagers!$B$1:$V$33,BY167+3,FALSE)),)</f>
        <v>0</v>
      </c>
      <c r="CU167" s="14">
        <f>ROUND(IF(BZ167=0,0,HLOOKUP(BZ$14,Villagers!$B$1:$V$33,BZ167+3,FALSE)),)</f>
        <v>0</v>
      </c>
      <c r="CV167" s="14">
        <f>ROUND(IF(CA167=0,0,HLOOKUP(CA$14,Villagers!$B$1:$V$33,CA167+3,FALSE)),)</f>
        <v>0</v>
      </c>
      <c r="CW167" s="14">
        <f>ROUND(IF(CB167=0,0,HLOOKUP(CB$14,Villagers!$B$1:$V$33,CB167+3,FALSE)),)</f>
        <v>0</v>
      </c>
      <c r="CX167" s="14">
        <f>ROUND(IF(CC167=0,0,HLOOKUP(CC$14,Villagers!$B$1:$V$33,CC167+3,FALSE)),)</f>
        <v>0</v>
      </c>
      <c r="CY167" s="14">
        <f>ROUND(IF(CD167=0,0,HLOOKUP(CD$14,Villagers!$B$1:$V$33,CD167+3,FALSE)),)</f>
        <v>0</v>
      </c>
      <c r="CZ167" s="14">
        <f>ROUND(IF(CE167=0,0,HLOOKUP(CE$14,Villagers!$B$1:$V$33,CE167+3,FALSE)),)</f>
        <v>5</v>
      </c>
      <c r="DA167" s="14">
        <f>ROUND(IF(CF167=0,0,HLOOKUP(CF$14,Villagers!$B$1:$V$33,CF167+3,FALSE)),)</f>
        <v>10</v>
      </c>
      <c r="DB167" s="14">
        <f>ROUND(IF(CG167=0,0,HLOOKUP(CG$14,Villagers!$B$1:$V$33,CG167+3,FALSE)),)</f>
        <v>10</v>
      </c>
      <c r="DC167" s="14">
        <f>ROUND(IF(CH167=0,0,HLOOKUP(CH$14,Villagers!$B$1:$V$33,CH167+3,FALSE)),)</f>
        <v>0</v>
      </c>
      <c r="DD167" s="14">
        <f>ROUND(IF(CI167=0,0,HLOOKUP(CI$14,Villagers!$B$1:$V$33,CI167+3,FALSE)),)</f>
        <v>0</v>
      </c>
      <c r="DE167" s="14">
        <f>ROUND(IF(CJ167=0,0,HLOOKUP(CJ$14,Villagers!$B$1:$V$33,CJ167+3,FALSE)),)</f>
        <v>2</v>
      </c>
      <c r="DF167" s="370">
        <f>ROUND(IF(CK167=0,0,HLOOKUP(CK$14,Villagers!$B$1:$V$33,CK167+3,FALSE)),)</f>
        <v>0</v>
      </c>
      <c r="DG167" s="370">
        <f>ROUND(IF(CL167=0,0,HLOOKUP(CL$14,Villagers!$B$1:$V$33,CL167+3,FALSE)),)</f>
        <v>0</v>
      </c>
      <c r="DH167" s="34">
        <f>ROUND(IF(CM167=0,0,HLOOKUP(CM$14,Villagers!$B$1:$V$33,CM167+3,FALSE)),)</f>
        <v>0</v>
      </c>
      <c r="DI167" s="109">
        <f t="shared" si="246"/>
        <v>0</v>
      </c>
      <c r="DJ167" s="50">
        <f t="shared" si="247"/>
        <v>0</v>
      </c>
      <c r="DK167" s="50">
        <f t="shared" si="248"/>
        <v>0</v>
      </c>
      <c r="DL167" s="50">
        <f t="shared" si="249"/>
        <v>0</v>
      </c>
      <c r="DM167" s="50">
        <f t="shared" si="250"/>
        <v>0</v>
      </c>
      <c r="DN167" s="50">
        <f t="shared" si="251"/>
        <v>0</v>
      </c>
      <c r="DO167" s="50">
        <f t="shared" si="252"/>
        <v>0</v>
      </c>
      <c r="DP167" s="50">
        <f t="shared" si="253"/>
        <v>0</v>
      </c>
      <c r="DQ167" s="50">
        <f t="shared" si="231"/>
        <v>0</v>
      </c>
      <c r="DR167" s="50">
        <f t="shared" si="232"/>
        <v>0</v>
      </c>
      <c r="DS167" s="96">
        <f>Miscelaneous!$D$4*Miscelaneous!$D$2^($CI167-1)</f>
        <v>1000</v>
      </c>
      <c r="DT167" s="333">
        <f t="shared" si="213"/>
        <v>1</v>
      </c>
      <c r="DU167" s="81">
        <v>1</v>
      </c>
      <c r="DV167" s="79">
        <f t="shared" si="233"/>
        <v>0</v>
      </c>
      <c r="DW167" s="79">
        <f t="shared" si="234"/>
        <v>0</v>
      </c>
      <c r="DX167" s="79">
        <f t="shared" si="235"/>
        <v>0</v>
      </c>
      <c r="DY167" s="79">
        <v>1</v>
      </c>
      <c r="DZ167" s="79">
        <f t="shared" si="236"/>
        <v>0</v>
      </c>
      <c r="EA167" s="79">
        <f t="shared" si="237"/>
        <v>0</v>
      </c>
      <c r="EB167" s="79">
        <f t="shared" si="238"/>
        <v>0</v>
      </c>
      <c r="EC167" s="79">
        <f t="shared" si="239"/>
        <v>0</v>
      </c>
      <c r="ED167" s="79">
        <v>1</v>
      </c>
      <c r="EE167" s="79">
        <v>1</v>
      </c>
      <c r="EF167" s="79">
        <f t="shared" si="240"/>
        <v>0</v>
      </c>
      <c r="EG167" s="79">
        <v>1</v>
      </c>
      <c r="EH167" s="79">
        <v>1</v>
      </c>
      <c r="EI167" s="79">
        <v>1</v>
      </c>
      <c r="EJ167" s="79">
        <v>1</v>
      </c>
      <c r="EK167" s="79">
        <v>1</v>
      </c>
      <c r="EL167" s="79">
        <v>1</v>
      </c>
      <c r="EM167" s="143">
        <f t="shared" si="241"/>
        <v>0</v>
      </c>
      <c r="EN167" s="143">
        <f t="shared" si="242"/>
        <v>0</v>
      </c>
      <c r="EO167" s="82">
        <f t="shared" si="243"/>
        <v>0</v>
      </c>
    </row>
    <row r="168" spans="1:145" x14ac:dyDescent="0.25">
      <c r="A168">
        <v>154</v>
      </c>
      <c r="B168" s="172" t="e">
        <f t="shared" si="214"/>
        <v>#N/A</v>
      </c>
      <c r="C168" s="121" t="e">
        <f t="shared" si="193"/>
        <v>#N/A</v>
      </c>
      <c r="D168" s="122" t="e">
        <f t="shared" si="194"/>
        <v>#N/A</v>
      </c>
      <c r="E168" s="122" t="e">
        <f t="shared" si="195"/>
        <v>#N/A</v>
      </c>
      <c r="F168" s="176" t="e">
        <f t="shared" si="196"/>
        <v>#N/A</v>
      </c>
      <c r="G168" s="121">
        <f t="shared" si="215"/>
        <v>208</v>
      </c>
      <c r="H168" s="176" t="e">
        <f t="shared" si="216"/>
        <v>#N/A</v>
      </c>
      <c r="I168" s="48">
        <v>1</v>
      </c>
      <c r="J168" s="39"/>
      <c r="K168" s="350">
        <v>1</v>
      </c>
      <c r="L168" s="34" t="e">
        <f t="shared" si="197"/>
        <v>#N/A</v>
      </c>
      <c r="M168" s="38" t="e">
        <f>(HLOOKUP(J168,'Construction Times'!$B$3:$W$34,L168+2,FALSE)*HLOOKUP("hq modifier",'Construction Times'!$W$3:$W$34,BS168+2,FALSE))*(1-$H$9)</f>
        <v>#N/A</v>
      </c>
      <c r="N168" s="443" t="e">
        <f t="shared" si="217"/>
        <v>#N/A</v>
      </c>
      <c r="O168" s="444"/>
      <c r="P168" s="447" t="e">
        <f t="shared" si="218"/>
        <v>#N/A</v>
      </c>
      <c r="Q168" s="448"/>
      <c r="R168" s="103">
        <f t="shared" si="244"/>
        <v>0</v>
      </c>
      <c r="S168" s="104">
        <f t="shared" si="244"/>
        <v>0</v>
      </c>
      <c r="T168" s="104">
        <f t="shared" si="245"/>
        <v>0</v>
      </c>
      <c r="U168" s="104">
        <f t="shared" si="245"/>
        <v>0</v>
      </c>
      <c r="V168" s="104">
        <f t="shared" si="245"/>
        <v>9.9999999999999995E-8</v>
      </c>
      <c r="W168" s="104">
        <f t="shared" si="245"/>
        <v>0</v>
      </c>
      <c r="X168" s="104">
        <f t="shared" si="185"/>
        <v>0</v>
      </c>
      <c r="Y168" s="104">
        <f t="shared" si="185"/>
        <v>9.9999999999999995E-8</v>
      </c>
      <c r="Z168" s="104">
        <f t="shared" si="185"/>
        <v>9.9999999999999995E-8</v>
      </c>
      <c r="AA168" s="105">
        <f t="shared" si="185"/>
        <v>9.9999999999999995E-8</v>
      </c>
      <c r="AB168" s="101" t="e">
        <f>$DT168*HLOOKUP($J168,'Construction Costs (timber)'!$B$1:$V$32,'Construction Planner'!$L168+2,FALSE)</f>
        <v>#N/A</v>
      </c>
      <c r="AC168" s="14" t="e">
        <f>$DT168*HLOOKUP($J168,'Construction Costs (clay)'!$B$1:$V$32,'Construction Planner'!$L168+2,FALSE)</f>
        <v>#N/A</v>
      </c>
      <c r="AD168" s="14" t="e">
        <f>$DT168*HLOOKUP($J168,'Construction Costs (iron)'!$B$1:$V$32,'Construction Planner'!$L168+2,FALSE)</f>
        <v>#N/A</v>
      </c>
      <c r="AE168" s="34" t="e">
        <f t="shared" si="254"/>
        <v>#N/A</v>
      </c>
      <c r="AF168" s="33" t="e">
        <f t="shared" si="198"/>
        <v>#N/A</v>
      </c>
      <c r="AG168" s="14" t="e">
        <f t="shared" si="199"/>
        <v>#N/A</v>
      </c>
      <c r="AH168" s="14" t="e">
        <f t="shared" si="200"/>
        <v>#N/A</v>
      </c>
      <c r="AI168" s="34" t="e">
        <f t="shared" si="255"/>
        <v>#N/A</v>
      </c>
      <c r="AJ168" s="49" t="e">
        <f t="shared" si="219"/>
        <v>#N/A</v>
      </c>
      <c r="AK168" s="49" t="e">
        <f t="shared" si="220"/>
        <v>#N/A</v>
      </c>
      <c r="AL168" s="49" t="e">
        <f t="shared" si="221"/>
        <v>#N/A</v>
      </c>
      <c r="AM168" s="25">
        <f t="shared" si="201"/>
        <v>30</v>
      </c>
      <c r="AN168" s="25">
        <f t="shared" si="202"/>
        <v>30</v>
      </c>
      <c r="AO168" s="25">
        <f t="shared" si="203"/>
        <v>30</v>
      </c>
      <c r="AP168" s="52" t="e">
        <f t="shared" si="222"/>
        <v>#N/A</v>
      </c>
      <c r="AQ168" s="53" t="e">
        <f t="shared" si="222"/>
        <v>#N/A</v>
      </c>
      <c r="AR168" s="54" t="e">
        <f t="shared" si="222"/>
        <v>#N/A</v>
      </c>
      <c r="AS168" s="316">
        <f t="shared" si="272"/>
        <v>0</v>
      </c>
      <c r="AT168" s="106">
        <f>_xlfn.IFNA($M168/VLOOKUP($BT168,'Unit information'!$A$2:$K$29,2,FALSE)*R168,0)*(1+$E$9)</f>
        <v>0</v>
      </c>
      <c r="AU168" s="107">
        <f>_xlfn.IFNA($M168/VLOOKUP($BT168,'Unit information'!$A$2:$K$29,3,FALSE)*S168,0)*(1+$E$9)</f>
        <v>0</v>
      </c>
      <c r="AV168" s="107">
        <f>_xlfn.IFNA($M168/VLOOKUP($BT168,'Unit information'!$A$2:$K$29,4,FALSE)*T168,0)*(1+$E$9)</f>
        <v>0</v>
      </c>
      <c r="AW168" s="107">
        <f>_xlfn.IFNA($M168/VLOOKUP($BT168,'Unit information'!$A$2:$K$29,5,FALSE)*U168,0)*(1+$E$9)</f>
        <v>0</v>
      </c>
      <c r="AX168" s="107">
        <f>_xlfn.IFNA($M168/VLOOKUP($BU168,'Unit information'!$A$2:$K$29,6,FALSE)*V168,0)*(1+$E$9)</f>
        <v>0</v>
      </c>
      <c r="AY168" s="107">
        <f>_xlfn.IFNA($M168/VLOOKUP($BU168,'Unit information'!$A$2:$K$29,7,FALSE)*W168,0)*(1+$E$9)</f>
        <v>0</v>
      </c>
      <c r="AZ168" s="107">
        <f>_xlfn.IFNA($M168/VLOOKUP($BU168,'Unit information'!$A$2:$K$29,8,FALSE)*X168,0)*(1+$E$9)</f>
        <v>0</v>
      </c>
      <c r="BA168" s="107">
        <f>_xlfn.IFNA($M168/VLOOKUP($BU168,'Unit information'!$A$2:$K$29,9,FALSE)*Y168,0)*(1+$E$9)</f>
        <v>0</v>
      </c>
      <c r="BB168" s="107">
        <f>_xlfn.IFNA($M168/VLOOKUP($BV168,'Unit information'!$A$2:$K$29,10,FALSE)*Z168,0)*(1+$E$9)</f>
        <v>0</v>
      </c>
      <c r="BC168" s="108">
        <f>_xlfn.IFNA($M168/VLOOKUP($BV168,'Unit information'!$A$2:$K$29,11,FALSE)*AA168,0)*(1+$E$9)</f>
        <v>0</v>
      </c>
      <c r="BD168" s="106">
        <f t="shared" si="204"/>
        <v>0</v>
      </c>
      <c r="BE168" s="107">
        <f t="shared" si="205"/>
        <v>0</v>
      </c>
      <c r="BF168" s="108">
        <f t="shared" si="206"/>
        <v>0</v>
      </c>
      <c r="BG168" s="25" t="e">
        <f t="shared" si="207"/>
        <v>#N/A</v>
      </c>
      <c r="BH168" s="25" t="e">
        <f t="shared" si="208"/>
        <v>#N/A</v>
      </c>
      <c r="BI168" s="25" t="e">
        <f t="shared" si="209"/>
        <v>#N/A</v>
      </c>
      <c r="BJ168" s="27" t="e">
        <f t="shared" si="210"/>
        <v>#N/A</v>
      </c>
      <c r="BK168" s="18" t="e">
        <f t="shared" si="211"/>
        <v>#N/A</v>
      </c>
      <c r="BL168" s="18" t="e">
        <f t="shared" si="212"/>
        <v>#N/A</v>
      </c>
      <c r="BM168" s="28" t="e">
        <f t="shared" si="257"/>
        <v>#N/A</v>
      </c>
      <c r="BN168" s="33">
        <f>HLOOKUP("maximum population",Miscelaneous!$C$1:$C$33,CH168+3,FALSE)</f>
        <v>240</v>
      </c>
      <c r="BO168" s="14">
        <f t="shared" si="223"/>
        <v>32</v>
      </c>
      <c r="BP168" s="14">
        <f t="shared" si="224"/>
        <v>0</v>
      </c>
      <c r="BQ168" s="14">
        <f t="shared" si="225"/>
        <v>208</v>
      </c>
      <c r="BR168" s="34" t="e">
        <f>HLOOKUP(J168,Villagers!$B$1:$V$33,L168+3,FALSE)-HLOOKUP(J168,Villagers!$B$1:$V$33,L168+2,FALSE)</f>
        <v>#N/A</v>
      </c>
      <c r="BS168" s="49">
        <f t="shared" si="226"/>
        <v>1</v>
      </c>
      <c r="BT168" s="50">
        <f t="shared" si="227"/>
        <v>0</v>
      </c>
      <c r="BU168" s="50">
        <f t="shared" si="228"/>
        <v>0</v>
      </c>
      <c r="BV168" s="50">
        <f t="shared" si="229"/>
        <v>0</v>
      </c>
      <c r="BW168" s="50">
        <f t="shared" si="258"/>
        <v>0</v>
      </c>
      <c r="BX168" s="50">
        <f t="shared" si="259"/>
        <v>0</v>
      </c>
      <c r="BY168" s="50">
        <f t="shared" si="259"/>
        <v>0</v>
      </c>
      <c r="BZ168" s="50">
        <f t="shared" si="260"/>
        <v>0</v>
      </c>
      <c r="CA168" s="50">
        <f t="shared" si="261"/>
        <v>0</v>
      </c>
      <c r="CB168" s="50">
        <f t="shared" si="262"/>
        <v>1</v>
      </c>
      <c r="CC168" s="50">
        <f t="shared" si="263"/>
        <v>0</v>
      </c>
      <c r="CD168" s="50">
        <f t="shared" si="264"/>
        <v>0</v>
      </c>
      <c r="CE168" s="50">
        <f t="shared" si="265"/>
        <v>1</v>
      </c>
      <c r="CF168" s="50">
        <f t="shared" si="266"/>
        <v>1</v>
      </c>
      <c r="CG168" s="50">
        <f t="shared" si="267"/>
        <v>1</v>
      </c>
      <c r="CH168" s="50">
        <f t="shared" si="268"/>
        <v>1</v>
      </c>
      <c r="CI168" s="50">
        <f t="shared" si="269"/>
        <v>1</v>
      </c>
      <c r="CJ168" s="50">
        <f t="shared" si="270"/>
        <v>1</v>
      </c>
      <c r="CK168" s="50">
        <f t="shared" si="270"/>
        <v>0</v>
      </c>
      <c r="CL168" s="50">
        <f t="shared" si="270"/>
        <v>0</v>
      </c>
      <c r="CM168" s="51">
        <f t="shared" si="271"/>
        <v>0</v>
      </c>
      <c r="CN168" s="33">
        <f>ROUND(IF(BS168=0,0,HLOOKUP(BS$14,Villagers!$B$1:$V$33,BS168+3,FALSE)),)</f>
        <v>5</v>
      </c>
      <c r="CO168" s="14">
        <f>ROUND(IF(BT168=0,0,HLOOKUP(BT$14,Villagers!$B$1:$V$33,BT168+3,FALSE)),)</f>
        <v>0</v>
      </c>
      <c r="CP168" s="14">
        <f>ROUND(IF(BU168=0,0,HLOOKUP(BU$14,Villagers!$B$1:$V$33,BU168+3,FALSE)),)</f>
        <v>0</v>
      </c>
      <c r="CQ168" s="14">
        <f>ROUND(IF(BV168=0,0,HLOOKUP(BV$14,Villagers!$B$1:$V$33,BV168+3,FALSE)),)</f>
        <v>0</v>
      </c>
      <c r="CR168" s="14">
        <f>ROUND(IF(BW168=0,0,HLOOKUP(BW$14,Villagers!$B$1:$V$33,BW168+3,FALSE)),)</f>
        <v>0</v>
      </c>
      <c r="CS168" s="14">
        <f>ROUND(IF(BX168=0,0,HLOOKUP(BX$14,Villagers!$B$1:$V$33,BX168+3,FALSE)),)</f>
        <v>0</v>
      </c>
      <c r="CT168" s="14">
        <f>ROUND(IF(BY168=0,0,HLOOKUP(BY$14,Villagers!$B$1:$V$33,BY168+3,FALSE)),)</f>
        <v>0</v>
      </c>
      <c r="CU168" s="14">
        <f>ROUND(IF(BZ168=0,0,HLOOKUP(BZ$14,Villagers!$B$1:$V$33,BZ168+3,FALSE)),)</f>
        <v>0</v>
      </c>
      <c r="CV168" s="14">
        <f>ROUND(IF(CA168=0,0,HLOOKUP(CA$14,Villagers!$B$1:$V$33,CA168+3,FALSE)),)</f>
        <v>0</v>
      </c>
      <c r="CW168" s="14">
        <f>ROUND(IF(CB168=0,0,HLOOKUP(CB$14,Villagers!$B$1:$V$33,CB168+3,FALSE)),)</f>
        <v>0</v>
      </c>
      <c r="CX168" s="14">
        <f>ROUND(IF(CC168=0,0,HLOOKUP(CC$14,Villagers!$B$1:$V$33,CC168+3,FALSE)),)</f>
        <v>0</v>
      </c>
      <c r="CY168" s="14">
        <f>ROUND(IF(CD168=0,0,HLOOKUP(CD$14,Villagers!$B$1:$V$33,CD168+3,FALSE)),)</f>
        <v>0</v>
      </c>
      <c r="CZ168" s="14">
        <f>ROUND(IF(CE168=0,0,HLOOKUP(CE$14,Villagers!$B$1:$V$33,CE168+3,FALSE)),)</f>
        <v>5</v>
      </c>
      <c r="DA168" s="14">
        <f>ROUND(IF(CF168=0,0,HLOOKUP(CF$14,Villagers!$B$1:$V$33,CF168+3,FALSE)),)</f>
        <v>10</v>
      </c>
      <c r="DB168" s="14">
        <f>ROUND(IF(CG168=0,0,HLOOKUP(CG$14,Villagers!$B$1:$V$33,CG168+3,FALSE)),)</f>
        <v>10</v>
      </c>
      <c r="DC168" s="14">
        <f>ROUND(IF(CH168=0,0,HLOOKUP(CH$14,Villagers!$B$1:$V$33,CH168+3,FALSE)),)</f>
        <v>0</v>
      </c>
      <c r="DD168" s="14">
        <f>ROUND(IF(CI168=0,0,HLOOKUP(CI$14,Villagers!$B$1:$V$33,CI168+3,FALSE)),)</f>
        <v>0</v>
      </c>
      <c r="DE168" s="14">
        <f>ROUND(IF(CJ168=0,0,HLOOKUP(CJ$14,Villagers!$B$1:$V$33,CJ168+3,FALSE)),)</f>
        <v>2</v>
      </c>
      <c r="DF168" s="370">
        <f>ROUND(IF(CK168=0,0,HLOOKUP(CK$14,Villagers!$B$1:$V$33,CK168+3,FALSE)),)</f>
        <v>0</v>
      </c>
      <c r="DG168" s="370">
        <f>ROUND(IF(CL168=0,0,HLOOKUP(CL$14,Villagers!$B$1:$V$33,CL168+3,FALSE)),)</f>
        <v>0</v>
      </c>
      <c r="DH168" s="34">
        <f>ROUND(IF(CM168=0,0,HLOOKUP(CM$14,Villagers!$B$1:$V$33,CM168+3,FALSE)),)</f>
        <v>0</v>
      </c>
      <c r="DI168" s="109">
        <f t="shared" si="246"/>
        <v>0</v>
      </c>
      <c r="DJ168" s="50">
        <f t="shared" si="247"/>
        <v>0</v>
      </c>
      <c r="DK168" s="50">
        <f t="shared" si="248"/>
        <v>0</v>
      </c>
      <c r="DL168" s="50">
        <f t="shared" si="249"/>
        <v>0</v>
      </c>
      <c r="DM168" s="50">
        <f t="shared" si="250"/>
        <v>0</v>
      </c>
      <c r="DN168" s="50">
        <f t="shared" si="251"/>
        <v>0</v>
      </c>
      <c r="DO168" s="50">
        <f t="shared" si="252"/>
        <v>0</v>
      </c>
      <c r="DP168" s="50">
        <f t="shared" si="253"/>
        <v>0</v>
      </c>
      <c r="DQ168" s="50">
        <f t="shared" si="231"/>
        <v>0</v>
      </c>
      <c r="DR168" s="50">
        <f t="shared" si="232"/>
        <v>0</v>
      </c>
      <c r="DS168" s="96">
        <f>Miscelaneous!$D$4*Miscelaneous!$D$2^($CI168-1)</f>
        <v>1000</v>
      </c>
      <c r="DT168" s="333">
        <f t="shared" si="213"/>
        <v>1</v>
      </c>
      <c r="DU168" s="81">
        <v>1</v>
      </c>
      <c r="DV168" s="79">
        <f t="shared" si="233"/>
        <v>0</v>
      </c>
      <c r="DW168" s="79">
        <f t="shared" si="234"/>
        <v>0</v>
      </c>
      <c r="DX168" s="79">
        <f t="shared" si="235"/>
        <v>0</v>
      </c>
      <c r="DY168" s="79">
        <v>1</v>
      </c>
      <c r="DZ168" s="79">
        <f t="shared" si="236"/>
        <v>0</v>
      </c>
      <c r="EA168" s="79">
        <f t="shared" si="237"/>
        <v>0</v>
      </c>
      <c r="EB168" s="79">
        <f t="shared" si="238"/>
        <v>0</v>
      </c>
      <c r="EC168" s="79">
        <f t="shared" si="239"/>
        <v>0</v>
      </c>
      <c r="ED168" s="79">
        <v>1</v>
      </c>
      <c r="EE168" s="79">
        <v>1</v>
      </c>
      <c r="EF168" s="79">
        <f t="shared" si="240"/>
        <v>0</v>
      </c>
      <c r="EG168" s="79">
        <v>1</v>
      </c>
      <c r="EH168" s="79">
        <v>1</v>
      </c>
      <c r="EI168" s="79">
        <v>1</v>
      </c>
      <c r="EJ168" s="79">
        <v>1</v>
      </c>
      <c r="EK168" s="79">
        <v>1</v>
      </c>
      <c r="EL168" s="79">
        <v>1</v>
      </c>
      <c r="EM168" s="143">
        <f t="shared" si="241"/>
        <v>0</v>
      </c>
      <c r="EN168" s="143">
        <f t="shared" si="242"/>
        <v>0</v>
      </c>
      <c r="EO168" s="82">
        <f t="shared" si="243"/>
        <v>0</v>
      </c>
    </row>
    <row r="169" spans="1:145" x14ac:dyDescent="0.25">
      <c r="A169">
        <v>155</v>
      </c>
      <c r="B169" s="172" t="e">
        <f t="shared" si="214"/>
        <v>#N/A</v>
      </c>
      <c r="C169" s="121" t="e">
        <f t="shared" si="193"/>
        <v>#N/A</v>
      </c>
      <c r="D169" s="122" t="e">
        <f t="shared" si="194"/>
        <v>#N/A</v>
      </c>
      <c r="E169" s="122" t="e">
        <f t="shared" si="195"/>
        <v>#N/A</v>
      </c>
      <c r="F169" s="176" t="e">
        <f t="shared" si="196"/>
        <v>#N/A</v>
      </c>
      <c r="G169" s="121">
        <f t="shared" si="215"/>
        <v>208</v>
      </c>
      <c r="H169" s="176" t="e">
        <f t="shared" si="216"/>
        <v>#N/A</v>
      </c>
      <c r="I169" s="48">
        <v>1</v>
      </c>
      <c r="J169" s="39"/>
      <c r="K169" s="350">
        <v>1</v>
      </c>
      <c r="L169" s="34" t="e">
        <f t="shared" si="197"/>
        <v>#N/A</v>
      </c>
      <c r="M169" s="38" t="e">
        <f>(HLOOKUP(J169,'Construction Times'!$B$3:$W$34,L169+2,FALSE)*HLOOKUP("hq modifier",'Construction Times'!$W$3:$W$34,BS169+2,FALSE))*(1-$H$9)</f>
        <v>#N/A</v>
      </c>
      <c r="N169" s="443" t="e">
        <f t="shared" si="217"/>
        <v>#N/A</v>
      </c>
      <c r="O169" s="444"/>
      <c r="P169" s="447" t="e">
        <f t="shared" si="218"/>
        <v>#N/A</v>
      </c>
      <c r="Q169" s="448"/>
      <c r="R169" s="103">
        <f t="shared" si="244"/>
        <v>0</v>
      </c>
      <c r="S169" s="104">
        <f t="shared" si="244"/>
        <v>0</v>
      </c>
      <c r="T169" s="104">
        <f t="shared" si="245"/>
        <v>0</v>
      </c>
      <c r="U169" s="104">
        <f t="shared" si="245"/>
        <v>0</v>
      </c>
      <c r="V169" s="104">
        <f t="shared" si="245"/>
        <v>9.9999999999999995E-8</v>
      </c>
      <c r="W169" s="104">
        <f t="shared" si="245"/>
        <v>0</v>
      </c>
      <c r="X169" s="104">
        <f t="shared" si="185"/>
        <v>0</v>
      </c>
      <c r="Y169" s="104">
        <f t="shared" si="185"/>
        <v>9.9999999999999995E-8</v>
      </c>
      <c r="Z169" s="104">
        <f t="shared" si="185"/>
        <v>9.9999999999999995E-8</v>
      </c>
      <c r="AA169" s="105">
        <f t="shared" si="185"/>
        <v>9.9999999999999995E-8</v>
      </c>
      <c r="AB169" s="101" t="e">
        <f>$DT169*HLOOKUP($J169,'Construction Costs (timber)'!$B$1:$V$32,'Construction Planner'!$L169+2,FALSE)</f>
        <v>#N/A</v>
      </c>
      <c r="AC169" s="14" t="e">
        <f>$DT169*HLOOKUP($J169,'Construction Costs (clay)'!$B$1:$V$32,'Construction Planner'!$L169+2,FALSE)</f>
        <v>#N/A</v>
      </c>
      <c r="AD169" s="14" t="e">
        <f>$DT169*HLOOKUP($J169,'Construction Costs (iron)'!$B$1:$V$32,'Construction Planner'!$L169+2,FALSE)</f>
        <v>#N/A</v>
      </c>
      <c r="AE169" s="34" t="e">
        <f t="shared" si="254"/>
        <v>#N/A</v>
      </c>
      <c r="AF169" s="33" t="e">
        <f t="shared" si="198"/>
        <v>#N/A</v>
      </c>
      <c r="AG169" s="14" t="e">
        <f t="shared" si="199"/>
        <v>#N/A</v>
      </c>
      <c r="AH169" s="14" t="e">
        <f t="shared" si="200"/>
        <v>#N/A</v>
      </c>
      <c r="AI169" s="34" t="e">
        <f t="shared" si="255"/>
        <v>#N/A</v>
      </c>
      <c r="AJ169" s="49" t="e">
        <f t="shared" si="219"/>
        <v>#N/A</v>
      </c>
      <c r="AK169" s="49" t="e">
        <f t="shared" si="220"/>
        <v>#N/A</v>
      </c>
      <c r="AL169" s="49" t="e">
        <f t="shared" si="221"/>
        <v>#N/A</v>
      </c>
      <c r="AM169" s="25">
        <f t="shared" si="201"/>
        <v>30</v>
      </c>
      <c r="AN169" s="25">
        <f t="shared" si="202"/>
        <v>30</v>
      </c>
      <c r="AO169" s="25">
        <f t="shared" si="203"/>
        <v>30</v>
      </c>
      <c r="AP169" s="52" t="e">
        <f t="shared" si="222"/>
        <v>#N/A</v>
      </c>
      <c r="AQ169" s="53" t="e">
        <f t="shared" si="222"/>
        <v>#N/A</v>
      </c>
      <c r="AR169" s="54" t="e">
        <f t="shared" si="222"/>
        <v>#N/A</v>
      </c>
      <c r="AS169" s="316">
        <f t="shared" si="272"/>
        <v>0</v>
      </c>
      <c r="AT169" s="106">
        <f>_xlfn.IFNA($M169/VLOOKUP($BT169,'Unit information'!$A$2:$K$29,2,FALSE)*R169,0)*(1+$E$9)</f>
        <v>0</v>
      </c>
      <c r="AU169" s="107">
        <f>_xlfn.IFNA($M169/VLOOKUP($BT169,'Unit information'!$A$2:$K$29,3,FALSE)*S169,0)*(1+$E$9)</f>
        <v>0</v>
      </c>
      <c r="AV169" s="107">
        <f>_xlfn.IFNA($M169/VLOOKUP($BT169,'Unit information'!$A$2:$K$29,4,FALSE)*T169,0)*(1+$E$9)</f>
        <v>0</v>
      </c>
      <c r="AW169" s="107">
        <f>_xlfn.IFNA($M169/VLOOKUP($BT169,'Unit information'!$A$2:$K$29,5,FALSE)*U169,0)*(1+$E$9)</f>
        <v>0</v>
      </c>
      <c r="AX169" s="107">
        <f>_xlfn.IFNA($M169/VLOOKUP($BU169,'Unit information'!$A$2:$K$29,6,FALSE)*V169,0)*(1+$E$9)</f>
        <v>0</v>
      </c>
      <c r="AY169" s="107">
        <f>_xlfn.IFNA($M169/VLOOKUP($BU169,'Unit information'!$A$2:$K$29,7,FALSE)*W169,0)*(1+$E$9)</f>
        <v>0</v>
      </c>
      <c r="AZ169" s="107">
        <f>_xlfn.IFNA($M169/VLOOKUP($BU169,'Unit information'!$A$2:$K$29,8,FALSE)*X169,0)*(1+$E$9)</f>
        <v>0</v>
      </c>
      <c r="BA169" s="107">
        <f>_xlfn.IFNA($M169/VLOOKUP($BU169,'Unit information'!$A$2:$K$29,9,FALSE)*Y169,0)*(1+$E$9)</f>
        <v>0</v>
      </c>
      <c r="BB169" s="107">
        <f>_xlfn.IFNA($M169/VLOOKUP($BV169,'Unit information'!$A$2:$K$29,10,FALSE)*Z169,0)*(1+$E$9)</f>
        <v>0</v>
      </c>
      <c r="BC169" s="108">
        <f>_xlfn.IFNA($M169/VLOOKUP($BV169,'Unit information'!$A$2:$K$29,11,FALSE)*AA169,0)*(1+$E$9)</f>
        <v>0</v>
      </c>
      <c r="BD169" s="106">
        <f t="shared" si="204"/>
        <v>0</v>
      </c>
      <c r="BE169" s="107">
        <f t="shared" si="205"/>
        <v>0</v>
      </c>
      <c r="BF169" s="108">
        <f t="shared" si="206"/>
        <v>0</v>
      </c>
      <c r="BG169" s="25" t="e">
        <f t="shared" si="207"/>
        <v>#N/A</v>
      </c>
      <c r="BH169" s="25" t="e">
        <f t="shared" si="208"/>
        <v>#N/A</v>
      </c>
      <c r="BI169" s="25" t="e">
        <f t="shared" si="209"/>
        <v>#N/A</v>
      </c>
      <c r="BJ169" s="27" t="e">
        <f t="shared" si="210"/>
        <v>#N/A</v>
      </c>
      <c r="BK169" s="18" t="e">
        <f t="shared" si="211"/>
        <v>#N/A</v>
      </c>
      <c r="BL169" s="18" t="e">
        <f t="shared" si="212"/>
        <v>#N/A</v>
      </c>
      <c r="BM169" s="28" t="e">
        <f t="shared" si="257"/>
        <v>#N/A</v>
      </c>
      <c r="BN169" s="33">
        <f>HLOOKUP("maximum population",Miscelaneous!$C$1:$C$33,CH169+3,FALSE)</f>
        <v>240</v>
      </c>
      <c r="BO169" s="14">
        <f t="shared" si="223"/>
        <v>32</v>
      </c>
      <c r="BP169" s="14">
        <f t="shared" si="224"/>
        <v>0</v>
      </c>
      <c r="BQ169" s="14">
        <f t="shared" si="225"/>
        <v>208</v>
      </c>
      <c r="BR169" s="34" t="e">
        <f>HLOOKUP(J169,Villagers!$B$1:$V$33,L169+3,FALSE)-HLOOKUP(J169,Villagers!$B$1:$V$33,L169+2,FALSE)</f>
        <v>#N/A</v>
      </c>
      <c r="BS169" s="49">
        <f t="shared" si="226"/>
        <v>1</v>
      </c>
      <c r="BT169" s="50">
        <f t="shared" si="227"/>
        <v>0</v>
      </c>
      <c r="BU169" s="50">
        <f t="shared" si="228"/>
        <v>0</v>
      </c>
      <c r="BV169" s="50">
        <f t="shared" si="229"/>
        <v>0</v>
      </c>
      <c r="BW169" s="50">
        <f t="shared" si="258"/>
        <v>0</v>
      </c>
      <c r="BX169" s="50">
        <f t="shared" si="259"/>
        <v>0</v>
      </c>
      <c r="BY169" s="50">
        <f t="shared" si="259"/>
        <v>0</v>
      </c>
      <c r="BZ169" s="50">
        <f t="shared" si="260"/>
        <v>0</v>
      </c>
      <c r="CA169" s="50">
        <f t="shared" si="261"/>
        <v>0</v>
      </c>
      <c r="CB169" s="50">
        <f t="shared" si="262"/>
        <v>1</v>
      </c>
      <c r="CC169" s="50">
        <f t="shared" si="263"/>
        <v>0</v>
      </c>
      <c r="CD169" s="50">
        <f t="shared" si="264"/>
        <v>0</v>
      </c>
      <c r="CE169" s="50">
        <f t="shared" si="265"/>
        <v>1</v>
      </c>
      <c r="CF169" s="50">
        <f t="shared" si="266"/>
        <v>1</v>
      </c>
      <c r="CG169" s="50">
        <f t="shared" si="267"/>
        <v>1</v>
      </c>
      <c r="CH169" s="50">
        <f t="shared" si="268"/>
        <v>1</v>
      </c>
      <c r="CI169" s="50">
        <f t="shared" si="269"/>
        <v>1</v>
      </c>
      <c r="CJ169" s="50">
        <f t="shared" si="270"/>
        <v>1</v>
      </c>
      <c r="CK169" s="50">
        <f t="shared" si="270"/>
        <v>0</v>
      </c>
      <c r="CL169" s="50">
        <f t="shared" si="270"/>
        <v>0</v>
      </c>
      <c r="CM169" s="51">
        <f t="shared" si="271"/>
        <v>0</v>
      </c>
      <c r="CN169" s="33">
        <f>ROUND(IF(BS169=0,0,HLOOKUP(BS$14,Villagers!$B$1:$V$33,BS169+3,FALSE)),)</f>
        <v>5</v>
      </c>
      <c r="CO169" s="14">
        <f>ROUND(IF(BT169=0,0,HLOOKUP(BT$14,Villagers!$B$1:$V$33,BT169+3,FALSE)),)</f>
        <v>0</v>
      </c>
      <c r="CP169" s="14">
        <f>ROUND(IF(BU169=0,0,HLOOKUP(BU$14,Villagers!$B$1:$V$33,BU169+3,FALSE)),)</f>
        <v>0</v>
      </c>
      <c r="CQ169" s="14">
        <f>ROUND(IF(BV169=0,0,HLOOKUP(BV$14,Villagers!$B$1:$V$33,BV169+3,FALSE)),)</f>
        <v>0</v>
      </c>
      <c r="CR169" s="14">
        <f>ROUND(IF(BW169=0,0,HLOOKUP(BW$14,Villagers!$B$1:$V$33,BW169+3,FALSE)),)</f>
        <v>0</v>
      </c>
      <c r="CS169" s="14">
        <f>ROUND(IF(BX169=0,0,HLOOKUP(BX$14,Villagers!$B$1:$V$33,BX169+3,FALSE)),)</f>
        <v>0</v>
      </c>
      <c r="CT169" s="14">
        <f>ROUND(IF(BY169=0,0,HLOOKUP(BY$14,Villagers!$B$1:$V$33,BY169+3,FALSE)),)</f>
        <v>0</v>
      </c>
      <c r="CU169" s="14">
        <f>ROUND(IF(BZ169=0,0,HLOOKUP(BZ$14,Villagers!$B$1:$V$33,BZ169+3,FALSE)),)</f>
        <v>0</v>
      </c>
      <c r="CV169" s="14">
        <f>ROUND(IF(CA169=0,0,HLOOKUP(CA$14,Villagers!$B$1:$V$33,CA169+3,FALSE)),)</f>
        <v>0</v>
      </c>
      <c r="CW169" s="14">
        <f>ROUND(IF(CB169=0,0,HLOOKUP(CB$14,Villagers!$B$1:$V$33,CB169+3,FALSE)),)</f>
        <v>0</v>
      </c>
      <c r="CX169" s="14">
        <f>ROUND(IF(CC169=0,0,HLOOKUP(CC$14,Villagers!$B$1:$V$33,CC169+3,FALSE)),)</f>
        <v>0</v>
      </c>
      <c r="CY169" s="14">
        <f>ROUND(IF(CD169=0,0,HLOOKUP(CD$14,Villagers!$B$1:$V$33,CD169+3,FALSE)),)</f>
        <v>0</v>
      </c>
      <c r="CZ169" s="14">
        <f>ROUND(IF(CE169=0,0,HLOOKUP(CE$14,Villagers!$B$1:$V$33,CE169+3,FALSE)),)</f>
        <v>5</v>
      </c>
      <c r="DA169" s="14">
        <f>ROUND(IF(CF169=0,0,HLOOKUP(CF$14,Villagers!$B$1:$V$33,CF169+3,FALSE)),)</f>
        <v>10</v>
      </c>
      <c r="DB169" s="14">
        <f>ROUND(IF(CG169=0,0,HLOOKUP(CG$14,Villagers!$B$1:$V$33,CG169+3,FALSE)),)</f>
        <v>10</v>
      </c>
      <c r="DC169" s="14">
        <f>ROUND(IF(CH169=0,0,HLOOKUP(CH$14,Villagers!$B$1:$V$33,CH169+3,FALSE)),)</f>
        <v>0</v>
      </c>
      <c r="DD169" s="14">
        <f>ROUND(IF(CI169=0,0,HLOOKUP(CI$14,Villagers!$B$1:$V$33,CI169+3,FALSE)),)</f>
        <v>0</v>
      </c>
      <c r="DE169" s="14">
        <f>ROUND(IF(CJ169=0,0,HLOOKUP(CJ$14,Villagers!$B$1:$V$33,CJ169+3,FALSE)),)</f>
        <v>2</v>
      </c>
      <c r="DF169" s="370">
        <f>ROUND(IF(CK169=0,0,HLOOKUP(CK$14,Villagers!$B$1:$V$33,CK169+3,FALSE)),)</f>
        <v>0</v>
      </c>
      <c r="DG169" s="370">
        <f>ROUND(IF(CL169=0,0,HLOOKUP(CL$14,Villagers!$B$1:$V$33,CL169+3,FALSE)),)</f>
        <v>0</v>
      </c>
      <c r="DH169" s="34">
        <f>ROUND(IF(CM169=0,0,HLOOKUP(CM$14,Villagers!$B$1:$V$33,CM169+3,FALSE)),)</f>
        <v>0</v>
      </c>
      <c r="DI169" s="109">
        <f t="shared" si="246"/>
        <v>0</v>
      </c>
      <c r="DJ169" s="50">
        <f t="shared" si="247"/>
        <v>0</v>
      </c>
      <c r="DK169" s="50">
        <f t="shared" si="248"/>
        <v>0</v>
      </c>
      <c r="DL169" s="50">
        <f t="shared" si="249"/>
        <v>0</v>
      </c>
      <c r="DM169" s="50">
        <f t="shared" si="250"/>
        <v>0</v>
      </c>
      <c r="DN169" s="50">
        <f t="shared" si="251"/>
        <v>0</v>
      </c>
      <c r="DO169" s="50">
        <f t="shared" si="252"/>
        <v>0</v>
      </c>
      <c r="DP169" s="50">
        <f t="shared" si="253"/>
        <v>0</v>
      </c>
      <c r="DQ169" s="50">
        <f t="shared" si="231"/>
        <v>0</v>
      </c>
      <c r="DR169" s="50">
        <f t="shared" si="232"/>
        <v>0</v>
      </c>
      <c r="DS169" s="96">
        <f>Miscelaneous!$D$4*Miscelaneous!$D$2^($CI169-1)</f>
        <v>1000</v>
      </c>
      <c r="DT169" s="333">
        <f t="shared" si="213"/>
        <v>1</v>
      </c>
      <c r="DU169" s="81">
        <v>1</v>
      </c>
      <c r="DV169" s="79">
        <f t="shared" si="233"/>
        <v>0</v>
      </c>
      <c r="DW169" s="79">
        <f t="shared" si="234"/>
        <v>0</v>
      </c>
      <c r="DX169" s="79">
        <f t="shared" si="235"/>
        <v>0</v>
      </c>
      <c r="DY169" s="79">
        <v>1</v>
      </c>
      <c r="DZ169" s="79">
        <f t="shared" si="236"/>
        <v>0</v>
      </c>
      <c r="EA169" s="79">
        <f t="shared" si="237"/>
        <v>0</v>
      </c>
      <c r="EB169" s="79">
        <f t="shared" si="238"/>
        <v>0</v>
      </c>
      <c r="EC169" s="79">
        <f t="shared" si="239"/>
        <v>0</v>
      </c>
      <c r="ED169" s="79">
        <v>1</v>
      </c>
      <c r="EE169" s="79">
        <v>1</v>
      </c>
      <c r="EF169" s="79">
        <f t="shared" si="240"/>
        <v>0</v>
      </c>
      <c r="EG169" s="79">
        <v>1</v>
      </c>
      <c r="EH169" s="79">
        <v>1</v>
      </c>
      <c r="EI169" s="79">
        <v>1</v>
      </c>
      <c r="EJ169" s="79">
        <v>1</v>
      </c>
      <c r="EK169" s="79">
        <v>1</v>
      </c>
      <c r="EL169" s="79">
        <v>1</v>
      </c>
      <c r="EM169" s="143">
        <f t="shared" si="241"/>
        <v>0</v>
      </c>
      <c r="EN169" s="143">
        <f t="shared" si="242"/>
        <v>0</v>
      </c>
      <c r="EO169" s="82">
        <f t="shared" si="243"/>
        <v>0</v>
      </c>
    </row>
    <row r="170" spans="1:145" x14ac:dyDescent="0.25">
      <c r="A170">
        <v>156</v>
      </c>
      <c r="B170" s="172" t="e">
        <f t="shared" si="214"/>
        <v>#N/A</v>
      </c>
      <c r="C170" s="121" t="e">
        <f t="shared" si="193"/>
        <v>#N/A</v>
      </c>
      <c r="D170" s="122" t="e">
        <f t="shared" si="194"/>
        <v>#N/A</v>
      </c>
      <c r="E170" s="122" t="e">
        <f t="shared" si="195"/>
        <v>#N/A</v>
      </c>
      <c r="F170" s="176" t="e">
        <f t="shared" si="196"/>
        <v>#N/A</v>
      </c>
      <c r="G170" s="121">
        <f t="shared" si="215"/>
        <v>208</v>
      </c>
      <c r="H170" s="176" t="e">
        <f t="shared" si="216"/>
        <v>#N/A</v>
      </c>
      <c r="I170" s="48">
        <v>1</v>
      </c>
      <c r="J170" s="39"/>
      <c r="K170" s="350">
        <v>1</v>
      </c>
      <c r="L170" s="34" t="e">
        <f t="shared" si="197"/>
        <v>#N/A</v>
      </c>
      <c r="M170" s="38" t="e">
        <f>(HLOOKUP(J170,'Construction Times'!$B$3:$W$34,L170+2,FALSE)*HLOOKUP("hq modifier",'Construction Times'!$W$3:$W$34,BS170+2,FALSE))*(1-$H$9)</f>
        <v>#N/A</v>
      </c>
      <c r="N170" s="443" t="e">
        <f t="shared" si="217"/>
        <v>#N/A</v>
      </c>
      <c r="O170" s="444"/>
      <c r="P170" s="447" t="e">
        <f t="shared" si="218"/>
        <v>#N/A</v>
      </c>
      <c r="Q170" s="448"/>
      <c r="R170" s="103">
        <f t="shared" si="244"/>
        <v>0</v>
      </c>
      <c r="S170" s="104">
        <f t="shared" si="244"/>
        <v>0</v>
      </c>
      <c r="T170" s="104">
        <f t="shared" si="245"/>
        <v>0</v>
      </c>
      <c r="U170" s="104">
        <f t="shared" si="245"/>
        <v>0</v>
      </c>
      <c r="V170" s="104">
        <f t="shared" si="245"/>
        <v>9.9999999999999995E-8</v>
      </c>
      <c r="W170" s="104">
        <f t="shared" si="245"/>
        <v>0</v>
      </c>
      <c r="X170" s="104">
        <f t="shared" si="185"/>
        <v>0</v>
      </c>
      <c r="Y170" s="104">
        <f t="shared" si="185"/>
        <v>9.9999999999999995E-8</v>
      </c>
      <c r="Z170" s="104">
        <f t="shared" si="185"/>
        <v>9.9999999999999995E-8</v>
      </c>
      <c r="AA170" s="105">
        <f t="shared" si="185"/>
        <v>9.9999999999999995E-8</v>
      </c>
      <c r="AB170" s="101" t="e">
        <f>$DT170*HLOOKUP($J170,'Construction Costs (timber)'!$B$1:$V$32,'Construction Planner'!$L170+2,FALSE)</f>
        <v>#N/A</v>
      </c>
      <c r="AC170" s="14" t="e">
        <f>$DT170*HLOOKUP($J170,'Construction Costs (clay)'!$B$1:$V$32,'Construction Planner'!$L170+2,FALSE)</f>
        <v>#N/A</v>
      </c>
      <c r="AD170" s="14" t="e">
        <f>$DT170*HLOOKUP($J170,'Construction Costs (iron)'!$B$1:$V$32,'Construction Planner'!$L170+2,FALSE)</f>
        <v>#N/A</v>
      </c>
      <c r="AE170" s="34" t="e">
        <f t="shared" si="254"/>
        <v>#N/A</v>
      </c>
      <c r="AF170" s="33" t="e">
        <f t="shared" si="198"/>
        <v>#N/A</v>
      </c>
      <c r="AG170" s="14" t="e">
        <f t="shared" si="199"/>
        <v>#N/A</v>
      </c>
      <c r="AH170" s="14" t="e">
        <f t="shared" si="200"/>
        <v>#N/A</v>
      </c>
      <c r="AI170" s="34" t="e">
        <f t="shared" si="255"/>
        <v>#N/A</v>
      </c>
      <c r="AJ170" s="49" t="e">
        <f t="shared" si="219"/>
        <v>#N/A</v>
      </c>
      <c r="AK170" s="49" t="e">
        <f t="shared" si="220"/>
        <v>#N/A</v>
      </c>
      <c r="AL170" s="49" t="e">
        <f t="shared" si="221"/>
        <v>#N/A</v>
      </c>
      <c r="AM170" s="25">
        <f t="shared" si="201"/>
        <v>30</v>
      </c>
      <c r="AN170" s="25">
        <f t="shared" si="202"/>
        <v>30</v>
      </c>
      <c r="AO170" s="25">
        <f t="shared" si="203"/>
        <v>30</v>
      </c>
      <c r="AP170" s="52" t="e">
        <f t="shared" si="222"/>
        <v>#N/A</v>
      </c>
      <c r="AQ170" s="53" t="e">
        <f t="shared" si="222"/>
        <v>#N/A</v>
      </c>
      <c r="AR170" s="54" t="e">
        <f t="shared" si="222"/>
        <v>#N/A</v>
      </c>
      <c r="AS170" s="316">
        <f t="shared" si="272"/>
        <v>0</v>
      </c>
      <c r="AT170" s="106">
        <f>_xlfn.IFNA($M170/VLOOKUP($BT170,'Unit information'!$A$2:$K$29,2,FALSE)*R170,0)*(1+$E$9)</f>
        <v>0</v>
      </c>
      <c r="AU170" s="107">
        <f>_xlfn.IFNA($M170/VLOOKUP($BT170,'Unit information'!$A$2:$K$29,3,FALSE)*S170,0)*(1+$E$9)</f>
        <v>0</v>
      </c>
      <c r="AV170" s="107">
        <f>_xlfn.IFNA($M170/VLOOKUP($BT170,'Unit information'!$A$2:$K$29,4,FALSE)*T170,0)*(1+$E$9)</f>
        <v>0</v>
      </c>
      <c r="AW170" s="107">
        <f>_xlfn.IFNA($M170/VLOOKUP($BT170,'Unit information'!$A$2:$K$29,5,FALSE)*U170,0)*(1+$E$9)</f>
        <v>0</v>
      </c>
      <c r="AX170" s="107">
        <f>_xlfn.IFNA($M170/VLOOKUP($BU170,'Unit information'!$A$2:$K$29,6,FALSE)*V170,0)*(1+$E$9)</f>
        <v>0</v>
      </c>
      <c r="AY170" s="107">
        <f>_xlfn.IFNA($M170/VLOOKUP($BU170,'Unit information'!$A$2:$K$29,7,FALSE)*W170,0)*(1+$E$9)</f>
        <v>0</v>
      </c>
      <c r="AZ170" s="107">
        <f>_xlfn.IFNA($M170/VLOOKUP($BU170,'Unit information'!$A$2:$K$29,8,FALSE)*X170,0)*(1+$E$9)</f>
        <v>0</v>
      </c>
      <c r="BA170" s="107">
        <f>_xlfn.IFNA($M170/VLOOKUP($BU170,'Unit information'!$A$2:$K$29,9,FALSE)*Y170,0)*(1+$E$9)</f>
        <v>0</v>
      </c>
      <c r="BB170" s="107">
        <f>_xlfn.IFNA($M170/VLOOKUP($BV170,'Unit information'!$A$2:$K$29,10,FALSE)*Z170,0)*(1+$E$9)</f>
        <v>0</v>
      </c>
      <c r="BC170" s="108">
        <f>_xlfn.IFNA($M170/VLOOKUP($BV170,'Unit information'!$A$2:$K$29,11,FALSE)*AA170,0)*(1+$E$9)</f>
        <v>0</v>
      </c>
      <c r="BD170" s="106">
        <f t="shared" si="204"/>
        <v>0</v>
      </c>
      <c r="BE170" s="107">
        <f t="shared" si="205"/>
        <v>0</v>
      </c>
      <c r="BF170" s="108">
        <f t="shared" si="206"/>
        <v>0</v>
      </c>
      <c r="BG170" s="25" t="e">
        <f t="shared" si="207"/>
        <v>#N/A</v>
      </c>
      <c r="BH170" s="25" t="e">
        <f t="shared" si="208"/>
        <v>#N/A</v>
      </c>
      <c r="BI170" s="25" t="e">
        <f t="shared" si="209"/>
        <v>#N/A</v>
      </c>
      <c r="BJ170" s="27" t="e">
        <f t="shared" si="210"/>
        <v>#N/A</v>
      </c>
      <c r="BK170" s="18" t="e">
        <f t="shared" si="211"/>
        <v>#N/A</v>
      </c>
      <c r="BL170" s="18" t="e">
        <f t="shared" si="212"/>
        <v>#N/A</v>
      </c>
      <c r="BM170" s="28" t="e">
        <f t="shared" si="257"/>
        <v>#N/A</v>
      </c>
      <c r="BN170" s="33">
        <f>HLOOKUP("maximum population",Miscelaneous!$C$1:$C$33,CH170+3,FALSE)</f>
        <v>240</v>
      </c>
      <c r="BO170" s="14">
        <f t="shared" si="223"/>
        <v>32</v>
      </c>
      <c r="BP170" s="14">
        <f t="shared" si="224"/>
        <v>0</v>
      </c>
      <c r="BQ170" s="14">
        <f t="shared" si="225"/>
        <v>208</v>
      </c>
      <c r="BR170" s="34" t="e">
        <f>HLOOKUP(J170,Villagers!$B$1:$V$33,L170+3,FALSE)-HLOOKUP(J170,Villagers!$B$1:$V$33,L170+2,FALSE)</f>
        <v>#N/A</v>
      </c>
      <c r="BS170" s="49">
        <f t="shared" si="226"/>
        <v>1</v>
      </c>
      <c r="BT170" s="50">
        <f t="shared" si="227"/>
        <v>0</v>
      </c>
      <c r="BU170" s="50">
        <f t="shared" si="228"/>
        <v>0</v>
      </c>
      <c r="BV170" s="50">
        <f t="shared" si="229"/>
        <v>0</v>
      </c>
      <c r="BW170" s="50">
        <f t="shared" si="258"/>
        <v>0</v>
      </c>
      <c r="BX170" s="50">
        <f t="shared" si="259"/>
        <v>0</v>
      </c>
      <c r="BY170" s="50">
        <f t="shared" si="259"/>
        <v>0</v>
      </c>
      <c r="BZ170" s="50">
        <f t="shared" si="260"/>
        <v>0</v>
      </c>
      <c r="CA170" s="50">
        <f t="shared" si="261"/>
        <v>0</v>
      </c>
      <c r="CB170" s="50">
        <f t="shared" si="262"/>
        <v>1</v>
      </c>
      <c r="CC170" s="50">
        <f t="shared" si="263"/>
        <v>0</v>
      </c>
      <c r="CD170" s="50">
        <f t="shared" si="264"/>
        <v>0</v>
      </c>
      <c r="CE170" s="50">
        <f t="shared" si="265"/>
        <v>1</v>
      </c>
      <c r="CF170" s="50">
        <f t="shared" si="266"/>
        <v>1</v>
      </c>
      <c r="CG170" s="50">
        <f t="shared" si="267"/>
        <v>1</v>
      </c>
      <c r="CH170" s="50">
        <f t="shared" si="268"/>
        <v>1</v>
      </c>
      <c r="CI170" s="50">
        <f t="shared" si="269"/>
        <v>1</v>
      </c>
      <c r="CJ170" s="50">
        <f t="shared" si="270"/>
        <v>1</v>
      </c>
      <c r="CK170" s="50">
        <f t="shared" si="270"/>
        <v>0</v>
      </c>
      <c r="CL170" s="50">
        <f t="shared" si="270"/>
        <v>0</v>
      </c>
      <c r="CM170" s="51">
        <f t="shared" si="271"/>
        <v>0</v>
      </c>
      <c r="CN170" s="33">
        <f>ROUND(IF(BS170=0,0,HLOOKUP(BS$14,Villagers!$B$1:$V$33,BS170+3,FALSE)),)</f>
        <v>5</v>
      </c>
      <c r="CO170" s="14">
        <f>ROUND(IF(BT170=0,0,HLOOKUP(BT$14,Villagers!$B$1:$V$33,BT170+3,FALSE)),)</f>
        <v>0</v>
      </c>
      <c r="CP170" s="14">
        <f>ROUND(IF(BU170=0,0,HLOOKUP(BU$14,Villagers!$B$1:$V$33,BU170+3,FALSE)),)</f>
        <v>0</v>
      </c>
      <c r="CQ170" s="14">
        <f>ROUND(IF(BV170=0,0,HLOOKUP(BV$14,Villagers!$B$1:$V$33,BV170+3,FALSE)),)</f>
        <v>0</v>
      </c>
      <c r="CR170" s="14">
        <f>ROUND(IF(BW170=0,0,HLOOKUP(BW$14,Villagers!$B$1:$V$33,BW170+3,FALSE)),)</f>
        <v>0</v>
      </c>
      <c r="CS170" s="14">
        <f>ROUND(IF(BX170=0,0,HLOOKUP(BX$14,Villagers!$B$1:$V$33,BX170+3,FALSE)),)</f>
        <v>0</v>
      </c>
      <c r="CT170" s="14">
        <f>ROUND(IF(BY170=0,0,HLOOKUP(BY$14,Villagers!$B$1:$V$33,BY170+3,FALSE)),)</f>
        <v>0</v>
      </c>
      <c r="CU170" s="14">
        <f>ROUND(IF(BZ170=0,0,HLOOKUP(BZ$14,Villagers!$B$1:$V$33,BZ170+3,FALSE)),)</f>
        <v>0</v>
      </c>
      <c r="CV170" s="14">
        <f>ROUND(IF(CA170=0,0,HLOOKUP(CA$14,Villagers!$B$1:$V$33,CA170+3,FALSE)),)</f>
        <v>0</v>
      </c>
      <c r="CW170" s="14">
        <f>ROUND(IF(CB170=0,0,HLOOKUP(CB$14,Villagers!$B$1:$V$33,CB170+3,FALSE)),)</f>
        <v>0</v>
      </c>
      <c r="CX170" s="14">
        <f>ROUND(IF(CC170=0,0,HLOOKUP(CC$14,Villagers!$B$1:$V$33,CC170+3,FALSE)),)</f>
        <v>0</v>
      </c>
      <c r="CY170" s="14">
        <f>ROUND(IF(CD170=0,0,HLOOKUP(CD$14,Villagers!$B$1:$V$33,CD170+3,FALSE)),)</f>
        <v>0</v>
      </c>
      <c r="CZ170" s="14">
        <f>ROUND(IF(CE170=0,0,HLOOKUP(CE$14,Villagers!$B$1:$V$33,CE170+3,FALSE)),)</f>
        <v>5</v>
      </c>
      <c r="DA170" s="14">
        <f>ROUND(IF(CF170=0,0,HLOOKUP(CF$14,Villagers!$B$1:$V$33,CF170+3,FALSE)),)</f>
        <v>10</v>
      </c>
      <c r="DB170" s="14">
        <f>ROUND(IF(CG170=0,0,HLOOKUP(CG$14,Villagers!$B$1:$V$33,CG170+3,FALSE)),)</f>
        <v>10</v>
      </c>
      <c r="DC170" s="14">
        <f>ROUND(IF(CH170=0,0,HLOOKUP(CH$14,Villagers!$B$1:$V$33,CH170+3,FALSE)),)</f>
        <v>0</v>
      </c>
      <c r="DD170" s="14">
        <f>ROUND(IF(CI170=0,0,HLOOKUP(CI$14,Villagers!$B$1:$V$33,CI170+3,FALSE)),)</f>
        <v>0</v>
      </c>
      <c r="DE170" s="14">
        <f>ROUND(IF(CJ170=0,0,HLOOKUP(CJ$14,Villagers!$B$1:$V$33,CJ170+3,FALSE)),)</f>
        <v>2</v>
      </c>
      <c r="DF170" s="370">
        <f>ROUND(IF(CK170=0,0,HLOOKUP(CK$14,Villagers!$B$1:$V$33,CK170+3,FALSE)),)</f>
        <v>0</v>
      </c>
      <c r="DG170" s="370">
        <f>ROUND(IF(CL170=0,0,HLOOKUP(CL$14,Villagers!$B$1:$V$33,CL170+3,FALSE)),)</f>
        <v>0</v>
      </c>
      <c r="DH170" s="34">
        <f>ROUND(IF(CM170=0,0,HLOOKUP(CM$14,Villagers!$B$1:$V$33,CM170+3,FALSE)),)</f>
        <v>0</v>
      </c>
      <c r="DI170" s="109">
        <f t="shared" si="246"/>
        <v>0</v>
      </c>
      <c r="DJ170" s="50">
        <f t="shared" si="247"/>
        <v>0</v>
      </c>
      <c r="DK170" s="50">
        <f t="shared" si="248"/>
        <v>0</v>
      </c>
      <c r="DL170" s="50">
        <f t="shared" si="249"/>
        <v>0</v>
      </c>
      <c r="DM170" s="50">
        <f t="shared" si="250"/>
        <v>0</v>
      </c>
      <c r="DN170" s="50">
        <f t="shared" si="251"/>
        <v>0</v>
      </c>
      <c r="DO170" s="50">
        <f t="shared" si="252"/>
        <v>0</v>
      </c>
      <c r="DP170" s="50">
        <f t="shared" si="253"/>
        <v>0</v>
      </c>
      <c r="DQ170" s="50">
        <f t="shared" si="231"/>
        <v>0</v>
      </c>
      <c r="DR170" s="50">
        <f t="shared" si="232"/>
        <v>0</v>
      </c>
      <c r="DS170" s="96">
        <f>Miscelaneous!$D$4*Miscelaneous!$D$2^($CI170-1)</f>
        <v>1000</v>
      </c>
      <c r="DT170" s="333">
        <f t="shared" si="213"/>
        <v>1</v>
      </c>
      <c r="DU170" s="81">
        <v>1</v>
      </c>
      <c r="DV170" s="79">
        <f t="shared" si="233"/>
        <v>0</v>
      </c>
      <c r="DW170" s="79">
        <f t="shared" si="234"/>
        <v>0</v>
      </c>
      <c r="DX170" s="79">
        <f t="shared" si="235"/>
        <v>0</v>
      </c>
      <c r="DY170" s="79">
        <v>1</v>
      </c>
      <c r="DZ170" s="79">
        <f t="shared" si="236"/>
        <v>0</v>
      </c>
      <c r="EA170" s="79">
        <f t="shared" si="237"/>
        <v>0</v>
      </c>
      <c r="EB170" s="79">
        <f t="shared" si="238"/>
        <v>0</v>
      </c>
      <c r="EC170" s="79">
        <f t="shared" si="239"/>
        <v>0</v>
      </c>
      <c r="ED170" s="79">
        <v>1</v>
      </c>
      <c r="EE170" s="79">
        <v>1</v>
      </c>
      <c r="EF170" s="79">
        <f t="shared" si="240"/>
        <v>0</v>
      </c>
      <c r="EG170" s="79">
        <v>1</v>
      </c>
      <c r="EH170" s="79">
        <v>1</v>
      </c>
      <c r="EI170" s="79">
        <v>1</v>
      </c>
      <c r="EJ170" s="79">
        <v>1</v>
      </c>
      <c r="EK170" s="79">
        <v>1</v>
      </c>
      <c r="EL170" s="79">
        <v>1</v>
      </c>
      <c r="EM170" s="143">
        <f t="shared" si="241"/>
        <v>0</v>
      </c>
      <c r="EN170" s="143">
        <f t="shared" si="242"/>
        <v>0</v>
      </c>
      <c r="EO170" s="82">
        <f t="shared" si="243"/>
        <v>0</v>
      </c>
    </row>
    <row r="171" spans="1:145" x14ac:dyDescent="0.25">
      <c r="A171">
        <v>157</v>
      </c>
      <c r="B171" s="172" t="e">
        <f t="shared" si="214"/>
        <v>#N/A</v>
      </c>
      <c r="C171" s="121" t="e">
        <f t="shared" si="193"/>
        <v>#N/A</v>
      </c>
      <c r="D171" s="122" t="e">
        <f t="shared" si="194"/>
        <v>#N/A</v>
      </c>
      <c r="E171" s="122" t="e">
        <f t="shared" si="195"/>
        <v>#N/A</v>
      </c>
      <c r="F171" s="176" t="e">
        <f t="shared" si="196"/>
        <v>#N/A</v>
      </c>
      <c r="G171" s="121">
        <f t="shared" si="215"/>
        <v>208</v>
      </c>
      <c r="H171" s="176" t="e">
        <f t="shared" si="216"/>
        <v>#N/A</v>
      </c>
      <c r="I171" s="48">
        <v>1</v>
      </c>
      <c r="J171" s="39"/>
      <c r="K171" s="350">
        <v>1</v>
      </c>
      <c r="L171" s="34" t="e">
        <f t="shared" si="197"/>
        <v>#N/A</v>
      </c>
      <c r="M171" s="38" t="e">
        <f>(HLOOKUP(J171,'Construction Times'!$B$3:$W$34,L171+2,FALSE)*HLOOKUP("hq modifier",'Construction Times'!$W$3:$W$34,BS171+2,FALSE))*(1-$H$9)</f>
        <v>#N/A</v>
      </c>
      <c r="N171" s="443" t="e">
        <f t="shared" si="217"/>
        <v>#N/A</v>
      </c>
      <c r="O171" s="444"/>
      <c r="P171" s="447" t="e">
        <f t="shared" si="218"/>
        <v>#N/A</v>
      </c>
      <c r="Q171" s="448"/>
      <c r="R171" s="103">
        <f t="shared" si="244"/>
        <v>0</v>
      </c>
      <c r="S171" s="104">
        <f t="shared" si="244"/>
        <v>0</v>
      </c>
      <c r="T171" s="104">
        <f t="shared" si="245"/>
        <v>0</v>
      </c>
      <c r="U171" s="104">
        <f t="shared" si="245"/>
        <v>0</v>
      </c>
      <c r="V171" s="104">
        <f t="shared" si="245"/>
        <v>9.9999999999999995E-8</v>
      </c>
      <c r="W171" s="104">
        <f t="shared" si="245"/>
        <v>0</v>
      </c>
      <c r="X171" s="104">
        <f t="shared" si="185"/>
        <v>0</v>
      </c>
      <c r="Y171" s="104">
        <f t="shared" si="185"/>
        <v>9.9999999999999995E-8</v>
      </c>
      <c r="Z171" s="104">
        <f t="shared" si="185"/>
        <v>9.9999999999999995E-8</v>
      </c>
      <c r="AA171" s="105">
        <f t="shared" si="185"/>
        <v>9.9999999999999995E-8</v>
      </c>
      <c r="AB171" s="101" t="e">
        <f>$DT171*HLOOKUP($J171,'Construction Costs (timber)'!$B$1:$V$32,'Construction Planner'!$L171+2,FALSE)</f>
        <v>#N/A</v>
      </c>
      <c r="AC171" s="14" t="e">
        <f>$DT171*HLOOKUP($J171,'Construction Costs (clay)'!$B$1:$V$32,'Construction Planner'!$L171+2,FALSE)</f>
        <v>#N/A</v>
      </c>
      <c r="AD171" s="14" t="e">
        <f>$DT171*HLOOKUP($J171,'Construction Costs (iron)'!$B$1:$V$32,'Construction Planner'!$L171+2,FALSE)</f>
        <v>#N/A</v>
      </c>
      <c r="AE171" s="34" t="e">
        <f t="shared" si="254"/>
        <v>#N/A</v>
      </c>
      <c r="AF171" s="33" t="e">
        <f t="shared" si="198"/>
        <v>#N/A</v>
      </c>
      <c r="AG171" s="14" t="e">
        <f t="shared" si="199"/>
        <v>#N/A</v>
      </c>
      <c r="AH171" s="14" t="e">
        <f t="shared" si="200"/>
        <v>#N/A</v>
      </c>
      <c r="AI171" s="34" t="e">
        <f t="shared" si="255"/>
        <v>#N/A</v>
      </c>
      <c r="AJ171" s="49" t="e">
        <f t="shared" si="219"/>
        <v>#N/A</v>
      </c>
      <c r="AK171" s="49" t="e">
        <f t="shared" si="220"/>
        <v>#N/A</v>
      </c>
      <c r="AL171" s="49" t="e">
        <f t="shared" si="221"/>
        <v>#N/A</v>
      </c>
      <c r="AM171" s="25">
        <f t="shared" si="201"/>
        <v>30</v>
      </c>
      <c r="AN171" s="25">
        <f t="shared" si="202"/>
        <v>30</v>
      </c>
      <c r="AO171" s="25">
        <f t="shared" si="203"/>
        <v>30</v>
      </c>
      <c r="AP171" s="52" t="e">
        <f t="shared" si="222"/>
        <v>#N/A</v>
      </c>
      <c r="AQ171" s="53" t="e">
        <f t="shared" si="222"/>
        <v>#N/A</v>
      </c>
      <c r="AR171" s="54" t="e">
        <f t="shared" si="222"/>
        <v>#N/A</v>
      </c>
      <c r="AS171" s="316">
        <f t="shared" si="272"/>
        <v>0</v>
      </c>
      <c r="AT171" s="106">
        <f>_xlfn.IFNA($M171/VLOOKUP($BT171,'Unit information'!$A$2:$K$29,2,FALSE)*R171,0)*(1+$E$9)</f>
        <v>0</v>
      </c>
      <c r="AU171" s="107">
        <f>_xlfn.IFNA($M171/VLOOKUP($BT171,'Unit information'!$A$2:$K$29,3,FALSE)*S171,0)*(1+$E$9)</f>
        <v>0</v>
      </c>
      <c r="AV171" s="107">
        <f>_xlfn.IFNA($M171/VLOOKUP($BT171,'Unit information'!$A$2:$K$29,4,FALSE)*T171,0)*(1+$E$9)</f>
        <v>0</v>
      </c>
      <c r="AW171" s="107">
        <f>_xlfn.IFNA($M171/VLOOKUP($BT171,'Unit information'!$A$2:$K$29,5,FALSE)*U171,0)*(1+$E$9)</f>
        <v>0</v>
      </c>
      <c r="AX171" s="107">
        <f>_xlfn.IFNA($M171/VLOOKUP($BU171,'Unit information'!$A$2:$K$29,6,FALSE)*V171,0)*(1+$E$9)</f>
        <v>0</v>
      </c>
      <c r="AY171" s="107">
        <f>_xlfn.IFNA($M171/VLOOKUP($BU171,'Unit information'!$A$2:$K$29,7,FALSE)*W171,0)*(1+$E$9)</f>
        <v>0</v>
      </c>
      <c r="AZ171" s="107">
        <f>_xlfn.IFNA($M171/VLOOKUP($BU171,'Unit information'!$A$2:$K$29,8,FALSE)*X171,0)*(1+$E$9)</f>
        <v>0</v>
      </c>
      <c r="BA171" s="107">
        <f>_xlfn.IFNA($M171/VLOOKUP($BU171,'Unit information'!$A$2:$K$29,9,FALSE)*Y171,0)*(1+$E$9)</f>
        <v>0</v>
      </c>
      <c r="BB171" s="107">
        <f>_xlfn.IFNA($M171/VLOOKUP($BV171,'Unit information'!$A$2:$K$29,10,FALSE)*Z171,0)*(1+$E$9)</f>
        <v>0</v>
      </c>
      <c r="BC171" s="108">
        <f>_xlfn.IFNA($M171/VLOOKUP($BV171,'Unit information'!$A$2:$K$29,11,FALSE)*AA171,0)*(1+$E$9)</f>
        <v>0</v>
      </c>
      <c r="BD171" s="106">
        <f t="shared" si="204"/>
        <v>0</v>
      </c>
      <c r="BE171" s="107">
        <f t="shared" si="205"/>
        <v>0</v>
      </c>
      <c r="BF171" s="108">
        <f t="shared" si="206"/>
        <v>0</v>
      </c>
      <c r="BG171" s="25" t="e">
        <f t="shared" si="207"/>
        <v>#N/A</v>
      </c>
      <c r="BH171" s="25" t="e">
        <f t="shared" si="208"/>
        <v>#N/A</v>
      </c>
      <c r="BI171" s="25" t="e">
        <f t="shared" si="209"/>
        <v>#N/A</v>
      </c>
      <c r="BJ171" s="27" t="e">
        <f t="shared" si="210"/>
        <v>#N/A</v>
      </c>
      <c r="BK171" s="18" t="e">
        <f t="shared" si="211"/>
        <v>#N/A</v>
      </c>
      <c r="BL171" s="18" t="e">
        <f t="shared" si="212"/>
        <v>#N/A</v>
      </c>
      <c r="BM171" s="28" t="e">
        <f t="shared" si="257"/>
        <v>#N/A</v>
      </c>
      <c r="BN171" s="33">
        <f>HLOOKUP("maximum population",Miscelaneous!$C$1:$C$33,CH171+3,FALSE)</f>
        <v>240</v>
      </c>
      <c r="BO171" s="14">
        <f t="shared" si="223"/>
        <v>32</v>
      </c>
      <c r="BP171" s="14">
        <f t="shared" si="224"/>
        <v>0</v>
      </c>
      <c r="BQ171" s="14">
        <f t="shared" si="225"/>
        <v>208</v>
      </c>
      <c r="BR171" s="34" t="e">
        <f>HLOOKUP(J171,Villagers!$B$1:$V$33,L171+3,FALSE)-HLOOKUP(J171,Villagers!$B$1:$V$33,L171+2,FALSE)</f>
        <v>#N/A</v>
      </c>
      <c r="BS171" s="49">
        <f t="shared" si="226"/>
        <v>1</v>
      </c>
      <c r="BT171" s="50">
        <f t="shared" si="227"/>
        <v>0</v>
      </c>
      <c r="BU171" s="50">
        <f t="shared" si="228"/>
        <v>0</v>
      </c>
      <c r="BV171" s="50">
        <f t="shared" si="229"/>
        <v>0</v>
      </c>
      <c r="BW171" s="50">
        <f t="shared" si="258"/>
        <v>0</v>
      </c>
      <c r="BX171" s="50">
        <f t="shared" si="259"/>
        <v>0</v>
      </c>
      <c r="BY171" s="50">
        <f t="shared" si="259"/>
        <v>0</v>
      </c>
      <c r="BZ171" s="50">
        <f t="shared" si="260"/>
        <v>0</v>
      </c>
      <c r="CA171" s="50">
        <f t="shared" si="261"/>
        <v>0</v>
      </c>
      <c r="CB171" s="50">
        <f t="shared" si="262"/>
        <v>1</v>
      </c>
      <c r="CC171" s="50">
        <f t="shared" si="263"/>
        <v>0</v>
      </c>
      <c r="CD171" s="50">
        <f t="shared" si="264"/>
        <v>0</v>
      </c>
      <c r="CE171" s="50">
        <f t="shared" si="265"/>
        <v>1</v>
      </c>
      <c r="CF171" s="50">
        <f t="shared" si="266"/>
        <v>1</v>
      </c>
      <c r="CG171" s="50">
        <f t="shared" si="267"/>
        <v>1</v>
      </c>
      <c r="CH171" s="50">
        <f t="shared" si="268"/>
        <v>1</v>
      </c>
      <c r="CI171" s="50">
        <f t="shared" si="269"/>
        <v>1</v>
      </c>
      <c r="CJ171" s="50">
        <f t="shared" si="270"/>
        <v>1</v>
      </c>
      <c r="CK171" s="50">
        <f t="shared" si="270"/>
        <v>0</v>
      </c>
      <c r="CL171" s="50">
        <f t="shared" si="270"/>
        <v>0</v>
      </c>
      <c r="CM171" s="51">
        <f t="shared" si="271"/>
        <v>0</v>
      </c>
      <c r="CN171" s="33">
        <f>ROUND(IF(BS171=0,0,HLOOKUP(BS$14,Villagers!$B$1:$V$33,BS171+3,FALSE)),)</f>
        <v>5</v>
      </c>
      <c r="CO171" s="14">
        <f>ROUND(IF(BT171=0,0,HLOOKUP(BT$14,Villagers!$B$1:$V$33,BT171+3,FALSE)),)</f>
        <v>0</v>
      </c>
      <c r="CP171" s="14">
        <f>ROUND(IF(BU171=0,0,HLOOKUP(BU$14,Villagers!$B$1:$V$33,BU171+3,FALSE)),)</f>
        <v>0</v>
      </c>
      <c r="CQ171" s="14">
        <f>ROUND(IF(BV171=0,0,HLOOKUP(BV$14,Villagers!$B$1:$V$33,BV171+3,FALSE)),)</f>
        <v>0</v>
      </c>
      <c r="CR171" s="14">
        <f>ROUND(IF(BW171=0,0,HLOOKUP(BW$14,Villagers!$B$1:$V$33,BW171+3,FALSE)),)</f>
        <v>0</v>
      </c>
      <c r="CS171" s="14">
        <f>ROUND(IF(BX171=0,0,HLOOKUP(BX$14,Villagers!$B$1:$V$33,BX171+3,FALSE)),)</f>
        <v>0</v>
      </c>
      <c r="CT171" s="14">
        <f>ROUND(IF(BY171=0,0,HLOOKUP(BY$14,Villagers!$B$1:$V$33,BY171+3,FALSE)),)</f>
        <v>0</v>
      </c>
      <c r="CU171" s="14">
        <f>ROUND(IF(BZ171=0,0,HLOOKUP(BZ$14,Villagers!$B$1:$V$33,BZ171+3,FALSE)),)</f>
        <v>0</v>
      </c>
      <c r="CV171" s="14">
        <f>ROUND(IF(CA171=0,0,HLOOKUP(CA$14,Villagers!$B$1:$V$33,CA171+3,FALSE)),)</f>
        <v>0</v>
      </c>
      <c r="CW171" s="14">
        <f>ROUND(IF(CB171=0,0,HLOOKUP(CB$14,Villagers!$B$1:$V$33,CB171+3,FALSE)),)</f>
        <v>0</v>
      </c>
      <c r="CX171" s="14">
        <f>ROUND(IF(CC171=0,0,HLOOKUP(CC$14,Villagers!$B$1:$V$33,CC171+3,FALSE)),)</f>
        <v>0</v>
      </c>
      <c r="CY171" s="14">
        <f>ROUND(IF(CD171=0,0,HLOOKUP(CD$14,Villagers!$B$1:$V$33,CD171+3,FALSE)),)</f>
        <v>0</v>
      </c>
      <c r="CZ171" s="14">
        <f>ROUND(IF(CE171=0,0,HLOOKUP(CE$14,Villagers!$B$1:$V$33,CE171+3,FALSE)),)</f>
        <v>5</v>
      </c>
      <c r="DA171" s="14">
        <f>ROUND(IF(CF171=0,0,HLOOKUP(CF$14,Villagers!$B$1:$V$33,CF171+3,FALSE)),)</f>
        <v>10</v>
      </c>
      <c r="DB171" s="14">
        <f>ROUND(IF(CG171=0,0,HLOOKUP(CG$14,Villagers!$B$1:$V$33,CG171+3,FALSE)),)</f>
        <v>10</v>
      </c>
      <c r="DC171" s="14">
        <f>ROUND(IF(CH171=0,0,HLOOKUP(CH$14,Villagers!$B$1:$V$33,CH171+3,FALSE)),)</f>
        <v>0</v>
      </c>
      <c r="DD171" s="14">
        <f>ROUND(IF(CI171=0,0,HLOOKUP(CI$14,Villagers!$B$1:$V$33,CI171+3,FALSE)),)</f>
        <v>0</v>
      </c>
      <c r="DE171" s="14">
        <f>ROUND(IF(CJ171=0,0,HLOOKUP(CJ$14,Villagers!$B$1:$V$33,CJ171+3,FALSE)),)</f>
        <v>2</v>
      </c>
      <c r="DF171" s="370">
        <f>ROUND(IF(CK171=0,0,HLOOKUP(CK$14,Villagers!$B$1:$V$33,CK171+3,FALSE)),)</f>
        <v>0</v>
      </c>
      <c r="DG171" s="370">
        <f>ROUND(IF(CL171=0,0,HLOOKUP(CL$14,Villagers!$B$1:$V$33,CL171+3,FALSE)),)</f>
        <v>0</v>
      </c>
      <c r="DH171" s="34">
        <f>ROUND(IF(CM171=0,0,HLOOKUP(CM$14,Villagers!$B$1:$V$33,CM171+3,FALSE)),)</f>
        <v>0</v>
      </c>
      <c r="DI171" s="109">
        <f t="shared" si="246"/>
        <v>0</v>
      </c>
      <c r="DJ171" s="50">
        <f t="shared" si="247"/>
        <v>0</v>
      </c>
      <c r="DK171" s="50">
        <f t="shared" si="248"/>
        <v>0</v>
      </c>
      <c r="DL171" s="50">
        <f t="shared" si="249"/>
        <v>0</v>
      </c>
      <c r="DM171" s="50">
        <f t="shared" si="250"/>
        <v>0</v>
      </c>
      <c r="DN171" s="50">
        <f t="shared" si="251"/>
        <v>0</v>
      </c>
      <c r="DO171" s="50">
        <f t="shared" si="252"/>
        <v>0</v>
      </c>
      <c r="DP171" s="50">
        <f t="shared" si="253"/>
        <v>0</v>
      </c>
      <c r="DQ171" s="50">
        <f t="shared" si="231"/>
        <v>0</v>
      </c>
      <c r="DR171" s="50">
        <f t="shared" si="232"/>
        <v>0</v>
      </c>
      <c r="DS171" s="96">
        <f>Miscelaneous!$D$4*Miscelaneous!$D$2^($CI171-1)</f>
        <v>1000</v>
      </c>
      <c r="DT171" s="333">
        <f t="shared" si="213"/>
        <v>1</v>
      </c>
      <c r="DU171" s="81">
        <v>1</v>
      </c>
      <c r="DV171" s="79">
        <f t="shared" si="233"/>
        <v>0</v>
      </c>
      <c r="DW171" s="79">
        <f t="shared" si="234"/>
        <v>0</v>
      </c>
      <c r="DX171" s="79">
        <f t="shared" si="235"/>
        <v>0</v>
      </c>
      <c r="DY171" s="79">
        <v>1</v>
      </c>
      <c r="DZ171" s="79">
        <f t="shared" si="236"/>
        <v>0</v>
      </c>
      <c r="EA171" s="79">
        <f t="shared" si="237"/>
        <v>0</v>
      </c>
      <c r="EB171" s="79">
        <f t="shared" si="238"/>
        <v>0</v>
      </c>
      <c r="EC171" s="79">
        <f t="shared" si="239"/>
        <v>0</v>
      </c>
      <c r="ED171" s="79">
        <v>1</v>
      </c>
      <c r="EE171" s="79">
        <v>1</v>
      </c>
      <c r="EF171" s="79">
        <f t="shared" si="240"/>
        <v>0</v>
      </c>
      <c r="EG171" s="79">
        <v>1</v>
      </c>
      <c r="EH171" s="79">
        <v>1</v>
      </c>
      <c r="EI171" s="79">
        <v>1</v>
      </c>
      <c r="EJ171" s="79">
        <v>1</v>
      </c>
      <c r="EK171" s="79">
        <v>1</v>
      </c>
      <c r="EL171" s="79">
        <v>1</v>
      </c>
      <c r="EM171" s="143">
        <f t="shared" si="241"/>
        <v>0</v>
      </c>
      <c r="EN171" s="143">
        <f t="shared" si="242"/>
        <v>0</v>
      </c>
      <c r="EO171" s="82">
        <f t="shared" si="243"/>
        <v>0</v>
      </c>
    </row>
    <row r="172" spans="1:145" x14ac:dyDescent="0.25">
      <c r="A172">
        <v>158</v>
      </c>
      <c r="B172" s="172" t="e">
        <f t="shared" si="214"/>
        <v>#N/A</v>
      </c>
      <c r="C172" s="121" t="e">
        <f t="shared" si="193"/>
        <v>#N/A</v>
      </c>
      <c r="D172" s="122" t="e">
        <f t="shared" si="194"/>
        <v>#N/A</v>
      </c>
      <c r="E172" s="122" t="e">
        <f t="shared" si="195"/>
        <v>#N/A</v>
      </c>
      <c r="F172" s="176" t="e">
        <f t="shared" si="196"/>
        <v>#N/A</v>
      </c>
      <c r="G172" s="121">
        <f t="shared" si="215"/>
        <v>208</v>
      </c>
      <c r="H172" s="176" t="e">
        <f t="shared" si="216"/>
        <v>#N/A</v>
      </c>
      <c r="I172" s="48">
        <v>1</v>
      </c>
      <c r="J172" s="39"/>
      <c r="K172" s="350">
        <v>1</v>
      </c>
      <c r="L172" s="34" t="e">
        <f t="shared" si="197"/>
        <v>#N/A</v>
      </c>
      <c r="M172" s="38" t="e">
        <f>(HLOOKUP(J172,'Construction Times'!$B$3:$W$34,L172+2,FALSE)*HLOOKUP("hq modifier",'Construction Times'!$W$3:$W$34,BS172+2,FALSE))*(1-$H$9)</f>
        <v>#N/A</v>
      </c>
      <c r="N172" s="443" t="e">
        <f t="shared" si="217"/>
        <v>#N/A</v>
      </c>
      <c r="O172" s="444"/>
      <c r="P172" s="447" t="e">
        <f t="shared" si="218"/>
        <v>#N/A</v>
      </c>
      <c r="Q172" s="448"/>
      <c r="R172" s="103">
        <f t="shared" si="244"/>
        <v>0</v>
      </c>
      <c r="S172" s="104">
        <f t="shared" si="244"/>
        <v>0</v>
      </c>
      <c r="T172" s="104">
        <f t="shared" si="245"/>
        <v>0</v>
      </c>
      <c r="U172" s="104">
        <f t="shared" si="245"/>
        <v>0</v>
      </c>
      <c r="V172" s="104">
        <f t="shared" si="245"/>
        <v>9.9999999999999995E-8</v>
      </c>
      <c r="W172" s="104">
        <f t="shared" si="245"/>
        <v>0</v>
      </c>
      <c r="X172" s="104">
        <f t="shared" si="185"/>
        <v>0</v>
      </c>
      <c r="Y172" s="104">
        <f t="shared" si="185"/>
        <v>9.9999999999999995E-8</v>
      </c>
      <c r="Z172" s="104">
        <f t="shared" si="185"/>
        <v>9.9999999999999995E-8</v>
      </c>
      <c r="AA172" s="105">
        <f>AA171</f>
        <v>9.9999999999999995E-8</v>
      </c>
      <c r="AB172" s="101" t="e">
        <f>$DT172*HLOOKUP($J172,'Construction Costs (timber)'!$B$1:$V$32,'Construction Planner'!$L172+2,FALSE)</f>
        <v>#N/A</v>
      </c>
      <c r="AC172" s="14" t="e">
        <f>$DT172*HLOOKUP($J172,'Construction Costs (clay)'!$B$1:$V$32,'Construction Planner'!$L172+2,FALSE)</f>
        <v>#N/A</v>
      </c>
      <c r="AD172" s="14" t="e">
        <f>$DT172*HLOOKUP($J172,'Construction Costs (iron)'!$B$1:$V$32,'Construction Planner'!$L172+2,FALSE)</f>
        <v>#N/A</v>
      </c>
      <c r="AE172" s="34" t="e">
        <f t="shared" si="254"/>
        <v>#N/A</v>
      </c>
      <c r="AF172" s="33" t="e">
        <f t="shared" si="198"/>
        <v>#N/A</v>
      </c>
      <c r="AG172" s="14" t="e">
        <f t="shared" si="199"/>
        <v>#N/A</v>
      </c>
      <c r="AH172" s="14" t="e">
        <f t="shared" si="200"/>
        <v>#N/A</v>
      </c>
      <c r="AI172" s="34" t="e">
        <f t="shared" si="255"/>
        <v>#N/A</v>
      </c>
      <c r="AJ172" s="49" t="e">
        <f t="shared" si="219"/>
        <v>#N/A</v>
      </c>
      <c r="AK172" s="49" t="e">
        <f t="shared" si="220"/>
        <v>#N/A</v>
      </c>
      <c r="AL172" s="49" t="e">
        <f t="shared" si="221"/>
        <v>#N/A</v>
      </c>
      <c r="AM172" s="25">
        <f t="shared" si="201"/>
        <v>30</v>
      </c>
      <c r="AN172" s="25">
        <f t="shared" si="202"/>
        <v>30</v>
      </c>
      <c r="AO172" s="25">
        <f t="shared" si="203"/>
        <v>30</v>
      </c>
      <c r="AP172" s="52" t="e">
        <f t="shared" si="222"/>
        <v>#N/A</v>
      </c>
      <c r="AQ172" s="53" t="e">
        <f t="shared" si="222"/>
        <v>#N/A</v>
      </c>
      <c r="AR172" s="54" t="e">
        <f t="shared" si="222"/>
        <v>#N/A</v>
      </c>
      <c r="AS172" s="316">
        <f t="shared" si="272"/>
        <v>0</v>
      </c>
      <c r="AT172" s="106">
        <f>_xlfn.IFNA($M172/VLOOKUP($BT172,'Unit information'!$A$2:$K$29,2,FALSE)*R172,0)*(1+$E$9)</f>
        <v>0</v>
      </c>
      <c r="AU172" s="107">
        <f>_xlfn.IFNA($M172/VLOOKUP($BT172,'Unit information'!$A$2:$K$29,3,FALSE)*S172,0)*(1+$E$9)</f>
        <v>0</v>
      </c>
      <c r="AV172" s="107">
        <f>_xlfn.IFNA($M172/VLOOKUP($BT172,'Unit information'!$A$2:$K$29,4,FALSE)*T172,0)*(1+$E$9)</f>
        <v>0</v>
      </c>
      <c r="AW172" s="107">
        <f>_xlfn.IFNA($M172/VLOOKUP($BT172,'Unit information'!$A$2:$K$29,5,FALSE)*U172,0)*(1+$E$9)</f>
        <v>0</v>
      </c>
      <c r="AX172" s="107">
        <f>_xlfn.IFNA($M172/VLOOKUP($BU172,'Unit information'!$A$2:$K$29,6,FALSE)*V172,0)*(1+$E$9)</f>
        <v>0</v>
      </c>
      <c r="AY172" s="107">
        <f>_xlfn.IFNA($M172/VLOOKUP($BU172,'Unit information'!$A$2:$K$29,7,FALSE)*W172,0)*(1+$E$9)</f>
        <v>0</v>
      </c>
      <c r="AZ172" s="107">
        <f>_xlfn.IFNA($M172/VLOOKUP($BU172,'Unit information'!$A$2:$K$29,8,FALSE)*X172,0)*(1+$E$9)</f>
        <v>0</v>
      </c>
      <c r="BA172" s="107">
        <f>_xlfn.IFNA($M172/VLOOKUP($BU172,'Unit information'!$A$2:$K$29,9,FALSE)*Y172,0)*(1+$E$9)</f>
        <v>0</v>
      </c>
      <c r="BB172" s="107">
        <f>_xlfn.IFNA($M172/VLOOKUP($BV172,'Unit information'!$A$2:$K$29,10,FALSE)*Z172,0)*(1+$E$9)</f>
        <v>0</v>
      </c>
      <c r="BC172" s="108">
        <f>_xlfn.IFNA($M172/VLOOKUP($BV172,'Unit information'!$A$2:$K$29,11,FALSE)*AA172,0)*(1+$E$9)</f>
        <v>0</v>
      </c>
      <c r="BD172" s="106">
        <f t="shared" si="204"/>
        <v>0</v>
      </c>
      <c r="BE172" s="107">
        <f t="shared" si="205"/>
        <v>0</v>
      </c>
      <c r="BF172" s="108">
        <f t="shared" si="206"/>
        <v>0</v>
      </c>
      <c r="BG172" s="25" t="e">
        <f t="shared" si="207"/>
        <v>#N/A</v>
      </c>
      <c r="BH172" s="25" t="e">
        <f t="shared" si="208"/>
        <v>#N/A</v>
      </c>
      <c r="BI172" s="25" t="e">
        <f t="shared" si="209"/>
        <v>#N/A</v>
      </c>
      <c r="BJ172" s="27" t="e">
        <f t="shared" si="210"/>
        <v>#N/A</v>
      </c>
      <c r="BK172" s="18" t="e">
        <f t="shared" si="211"/>
        <v>#N/A</v>
      </c>
      <c r="BL172" s="18" t="e">
        <f t="shared" si="212"/>
        <v>#N/A</v>
      </c>
      <c r="BM172" s="28" t="e">
        <f t="shared" si="257"/>
        <v>#N/A</v>
      </c>
      <c r="BN172" s="33">
        <f>HLOOKUP("maximum population",Miscelaneous!$C$1:$C$33,CH172+3,FALSE)</f>
        <v>240</v>
      </c>
      <c r="BO172" s="14">
        <f t="shared" si="223"/>
        <v>32</v>
      </c>
      <c r="BP172" s="14">
        <f t="shared" si="224"/>
        <v>0</v>
      </c>
      <c r="BQ172" s="14">
        <f t="shared" si="225"/>
        <v>208</v>
      </c>
      <c r="BR172" s="34" t="e">
        <f>HLOOKUP(J172,Villagers!$B$1:$V$33,L172+3,FALSE)-HLOOKUP(J172,Villagers!$B$1:$V$33,L172+2,FALSE)</f>
        <v>#N/A</v>
      </c>
      <c r="BS172" s="49">
        <f t="shared" si="226"/>
        <v>1</v>
      </c>
      <c r="BT172" s="50">
        <f t="shared" si="227"/>
        <v>0</v>
      </c>
      <c r="BU172" s="50">
        <f t="shared" si="228"/>
        <v>0</v>
      </c>
      <c r="BV172" s="50">
        <f t="shared" si="229"/>
        <v>0</v>
      </c>
      <c r="BW172" s="50">
        <f t="shared" si="258"/>
        <v>0</v>
      </c>
      <c r="BX172" s="50">
        <f t="shared" si="259"/>
        <v>0</v>
      </c>
      <c r="BY172" s="50">
        <f t="shared" si="259"/>
        <v>0</v>
      </c>
      <c r="BZ172" s="50">
        <f t="shared" si="260"/>
        <v>0</v>
      </c>
      <c r="CA172" s="50">
        <f t="shared" si="261"/>
        <v>0</v>
      </c>
      <c r="CB172" s="50">
        <f t="shared" si="262"/>
        <v>1</v>
      </c>
      <c r="CC172" s="50">
        <f t="shared" si="263"/>
        <v>0</v>
      </c>
      <c r="CD172" s="50">
        <f t="shared" si="264"/>
        <v>0</v>
      </c>
      <c r="CE172" s="50">
        <f t="shared" si="265"/>
        <v>1</v>
      </c>
      <c r="CF172" s="50">
        <f t="shared" si="266"/>
        <v>1</v>
      </c>
      <c r="CG172" s="50">
        <f t="shared" si="267"/>
        <v>1</v>
      </c>
      <c r="CH172" s="50">
        <f t="shared" si="268"/>
        <v>1</v>
      </c>
      <c r="CI172" s="50">
        <f t="shared" si="269"/>
        <v>1</v>
      </c>
      <c r="CJ172" s="50">
        <f t="shared" si="270"/>
        <v>1</v>
      </c>
      <c r="CK172" s="50">
        <f t="shared" si="270"/>
        <v>0</v>
      </c>
      <c r="CL172" s="50">
        <f t="shared" si="270"/>
        <v>0</v>
      </c>
      <c r="CM172" s="51">
        <f t="shared" si="271"/>
        <v>0</v>
      </c>
      <c r="CN172" s="33">
        <f>ROUND(IF(BS172=0,0,HLOOKUP(BS$14,Villagers!$B$1:$V$33,BS172+3,FALSE)),)</f>
        <v>5</v>
      </c>
      <c r="CO172" s="14">
        <f>ROUND(IF(BT172=0,0,HLOOKUP(BT$14,Villagers!$B$1:$V$33,BT172+3,FALSE)),)</f>
        <v>0</v>
      </c>
      <c r="CP172" s="14">
        <f>ROUND(IF(BU172=0,0,HLOOKUP(BU$14,Villagers!$B$1:$V$33,BU172+3,FALSE)),)</f>
        <v>0</v>
      </c>
      <c r="CQ172" s="14">
        <f>ROUND(IF(BV172=0,0,HLOOKUP(BV$14,Villagers!$B$1:$V$33,BV172+3,FALSE)),)</f>
        <v>0</v>
      </c>
      <c r="CR172" s="14">
        <f>ROUND(IF(BW172=0,0,HLOOKUP(BW$14,Villagers!$B$1:$V$33,BW172+3,FALSE)),)</f>
        <v>0</v>
      </c>
      <c r="CS172" s="14">
        <f>ROUND(IF(BX172=0,0,HLOOKUP(BX$14,Villagers!$B$1:$V$33,BX172+3,FALSE)),)</f>
        <v>0</v>
      </c>
      <c r="CT172" s="14">
        <f>ROUND(IF(BY172=0,0,HLOOKUP(BY$14,Villagers!$B$1:$V$33,BY172+3,FALSE)),)</f>
        <v>0</v>
      </c>
      <c r="CU172" s="14">
        <f>ROUND(IF(BZ172=0,0,HLOOKUP(BZ$14,Villagers!$B$1:$V$33,BZ172+3,FALSE)),)</f>
        <v>0</v>
      </c>
      <c r="CV172" s="14">
        <f>ROUND(IF(CA172=0,0,HLOOKUP(CA$14,Villagers!$B$1:$V$33,CA172+3,FALSE)),)</f>
        <v>0</v>
      </c>
      <c r="CW172" s="14">
        <f>ROUND(IF(CB172=0,0,HLOOKUP(CB$14,Villagers!$B$1:$V$33,CB172+3,FALSE)),)</f>
        <v>0</v>
      </c>
      <c r="CX172" s="14">
        <f>ROUND(IF(CC172=0,0,HLOOKUP(CC$14,Villagers!$B$1:$V$33,CC172+3,FALSE)),)</f>
        <v>0</v>
      </c>
      <c r="CY172" s="14">
        <f>ROUND(IF(CD172=0,0,HLOOKUP(CD$14,Villagers!$B$1:$V$33,CD172+3,FALSE)),)</f>
        <v>0</v>
      </c>
      <c r="CZ172" s="14">
        <f>ROUND(IF(CE172=0,0,HLOOKUP(CE$14,Villagers!$B$1:$V$33,CE172+3,FALSE)),)</f>
        <v>5</v>
      </c>
      <c r="DA172" s="14">
        <f>ROUND(IF(CF172=0,0,HLOOKUP(CF$14,Villagers!$B$1:$V$33,CF172+3,FALSE)),)</f>
        <v>10</v>
      </c>
      <c r="DB172" s="14">
        <f>ROUND(IF(CG172=0,0,HLOOKUP(CG$14,Villagers!$B$1:$V$33,CG172+3,FALSE)),)</f>
        <v>10</v>
      </c>
      <c r="DC172" s="14">
        <f>ROUND(IF(CH172=0,0,HLOOKUP(CH$14,Villagers!$B$1:$V$33,CH172+3,FALSE)),)</f>
        <v>0</v>
      </c>
      <c r="DD172" s="14">
        <f>ROUND(IF(CI172=0,0,HLOOKUP(CI$14,Villagers!$B$1:$V$33,CI172+3,FALSE)),)</f>
        <v>0</v>
      </c>
      <c r="DE172" s="14">
        <f>ROUND(IF(CJ172=0,0,HLOOKUP(CJ$14,Villagers!$B$1:$V$33,CJ172+3,FALSE)),)</f>
        <v>2</v>
      </c>
      <c r="DF172" s="370">
        <f>ROUND(IF(CK172=0,0,HLOOKUP(CK$14,Villagers!$B$1:$V$33,CK172+3,FALSE)),)</f>
        <v>0</v>
      </c>
      <c r="DG172" s="370">
        <f>ROUND(IF(CL172=0,0,HLOOKUP(CL$14,Villagers!$B$1:$V$33,CL172+3,FALSE)),)</f>
        <v>0</v>
      </c>
      <c r="DH172" s="34">
        <f>ROUND(IF(CM172=0,0,HLOOKUP(CM$14,Villagers!$B$1:$V$33,CM172+3,FALSE)),)</f>
        <v>0</v>
      </c>
      <c r="DI172" s="109">
        <f t="shared" si="246"/>
        <v>0</v>
      </c>
      <c r="DJ172" s="50">
        <f t="shared" si="247"/>
        <v>0</v>
      </c>
      <c r="DK172" s="50">
        <f t="shared" si="248"/>
        <v>0</v>
      </c>
      <c r="DL172" s="50">
        <f t="shared" si="249"/>
        <v>0</v>
      </c>
      <c r="DM172" s="50">
        <f t="shared" si="250"/>
        <v>0</v>
      </c>
      <c r="DN172" s="50">
        <f t="shared" si="251"/>
        <v>0</v>
      </c>
      <c r="DO172" s="50">
        <f t="shared" si="252"/>
        <v>0</v>
      </c>
      <c r="DP172" s="50">
        <f t="shared" si="253"/>
        <v>0</v>
      </c>
      <c r="DQ172" s="50">
        <f t="shared" si="231"/>
        <v>0</v>
      </c>
      <c r="DR172" s="50">
        <f t="shared" si="232"/>
        <v>0</v>
      </c>
      <c r="DS172" s="96">
        <f>Miscelaneous!$D$4*Miscelaneous!$D$2^($CI172-1)</f>
        <v>1000</v>
      </c>
      <c r="DT172" s="333">
        <f t="shared" si="213"/>
        <v>1</v>
      </c>
      <c r="DU172" s="81">
        <v>1</v>
      </c>
      <c r="DV172" s="79">
        <f t="shared" si="233"/>
        <v>0</v>
      </c>
      <c r="DW172" s="79">
        <f t="shared" si="234"/>
        <v>0</v>
      </c>
      <c r="DX172" s="79">
        <f t="shared" si="235"/>
        <v>0</v>
      </c>
      <c r="DY172" s="79">
        <v>1</v>
      </c>
      <c r="DZ172" s="79">
        <f t="shared" si="236"/>
        <v>0</v>
      </c>
      <c r="EA172" s="79">
        <f t="shared" si="237"/>
        <v>0</v>
      </c>
      <c r="EB172" s="79">
        <f t="shared" si="238"/>
        <v>0</v>
      </c>
      <c r="EC172" s="79">
        <f t="shared" si="239"/>
        <v>0</v>
      </c>
      <c r="ED172" s="79">
        <v>1</v>
      </c>
      <c r="EE172" s="79">
        <v>1</v>
      </c>
      <c r="EF172" s="79">
        <f t="shared" si="240"/>
        <v>0</v>
      </c>
      <c r="EG172" s="79">
        <v>1</v>
      </c>
      <c r="EH172" s="79">
        <v>1</v>
      </c>
      <c r="EI172" s="79">
        <v>1</v>
      </c>
      <c r="EJ172" s="79">
        <v>1</v>
      </c>
      <c r="EK172" s="79">
        <v>1</v>
      </c>
      <c r="EL172" s="79">
        <v>1</v>
      </c>
      <c r="EM172" s="143">
        <f t="shared" si="241"/>
        <v>0</v>
      </c>
      <c r="EN172" s="143">
        <f t="shared" si="242"/>
        <v>0</v>
      </c>
      <c r="EO172" s="82">
        <f t="shared" si="243"/>
        <v>0</v>
      </c>
    </row>
    <row r="173" spans="1:145" x14ac:dyDescent="0.25">
      <c r="A173">
        <v>159</v>
      </c>
      <c r="B173" s="172" t="e">
        <f t="shared" si="214"/>
        <v>#N/A</v>
      </c>
      <c r="C173" s="121" t="e">
        <f t="shared" si="193"/>
        <v>#N/A</v>
      </c>
      <c r="D173" s="122" t="e">
        <f t="shared" si="194"/>
        <v>#N/A</v>
      </c>
      <c r="E173" s="122" t="e">
        <f t="shared" si="195"/>
        <v>#N/A</v>
      </c>
      <c r="F173" s="176" t="e">
        <f t="shared" si="196"/>
        <v>#N/A</v>
      </c>
      <c r="G173" s="121">
        <f t="shared" si="215"/>
        <v>208</v>
      </c>
      <c r="H173" s="176" t="e">
        <f t="shared" si="216"/>
        <v>#N/A</v>
      </c>
      <c r="I173" s="48">
        <v>1</v>
      </c>
      <c r="J173" s="39"/>
      <c r="K173" s="350">
        <v>1</v>
      </c>
      <c r="L173" s="34" t="e">
        <f t="shared" si="197"/>
        <v>#N/A</v>
      </c>
      <c r="M173" s="38" t="e">
        <f>(HLOOKUP(J173,'Construction Times'!$B$3:$W$34,L173+2,FALSE)*HLOOKUP("hq modifier",'Construction Times'!$W$3:$W$34,BS173+2,FALSE))*(1-$H$9)</f>
        <v>#N/A</v>
      </c>
      <c r="N173" s="443" t="e">
        <f t="shared" si="217"/>
        <v>#N/A</v>
      </c>
      <c r="O173" s="444"/>
      <c r="P173" s="447" t="e">
        <f t="shared" si="218"/>
        <v>#N/A</v>
      </c>
      <c r="Q173" s="448"/>
      <c r="R173" s="103">
        <f t="shared" si="244"/>
        <v>0</v>
      </c>
      <c r="S173" s="104">
        <f t="shared" si="244"/>
        <v>0</v>
      </c>
      <c r="T173" s="104">
        <f t="shared" si="245"/>
        <v>0</v>
      </c>
      <c r="U173" s="104">
        <f t="shared" si="245"/>
        <v>0</v>
      </c>
      <c r="V173" s="104">
        <f t="shared" si="245"/>
        <v>9.9999999999999995E-8</v>
      </c>
      <c r="W173" s="104">
        <f t="shared" si="245"/>
        <v>0</v>
      </c>
      <c r="X173" s="104">
        <f t="shared" ref="X173:AA236" si="273">X172</f>
        <v>0</v>
      </c>
      <c r="Y173" s="104">
        <f t="shared" si="273"/>
        <v>9.9999999999999995E-8</v>
      </c>
      <c r="Z173" s="104">
        <f t="shared" si="273"/>
        <v>9.9999999999999995E-8</v>
      </c>
      <c r="AA173" s="105">
        <f t="shared" si="273"/>
        <v>9.9999999999999995E-8</v>
      </c>
      <c r="AB173" s="101" t="e">
        <f>$DT173*HLOOKUP($J173,'Construction Costs (timber)'!$B$1:$V$32,'Construction Planner'!$L173+2,FALSE)</f>
        <v>#N/A</v>
      </c>
      <c r="AC173" s="14" t="e">
        <f>$DT173*HLOOKUP($J173,'Construction Costs (clay)'!$B$1:$V$32,'Construction Planner'!$L173+2,FALSE)</f>
        <v>#N/A</v>
      </c>
      <c r="AD173" s="14" t="e">
        <f>$DT173*HLOOKUP($J173,'Construction Costs (iron)'!$B$1:$V$32,'Construction Planner'!$L173+2,FALSE)</f>
        <v>#N/A</v>
      </c>
      <c r="AE173" s="34" t="e">
        <f t="shared" si="254"/>
        <v>#N/A</v>
      </c>
      <c r="AF173" s="33" t="e">
        <f t="shared" si="198"/>
        <v>#N/A</v>
      </c>
      <c r="AG173" s="14" t="e">
        <f t="shared" si="199"/>
        <v>#N/A</v>
      </c>
      <c r="AH173" s="14" t="e">
        <f t="shared" si="200"/>
        <v>#N/A</v>
      </c>
      <c r="AI173" s="34" t="e">
        <f t="shared" si="255"/>
        <v>#N/A</v>
      </c>
      <c r="AJ173" s="49" t="e">
        <f t="shared" si="219"/>
        <v>#N/A</v>
      </c>
      <c r="AK173" s="49" t="e">
        <f t="shared" si="220"/>
        <v>#N/A</v>
      </c>
      <c r="AL173" s="49" t="e">
        <f t="shared" si="221"/>
        <v>#N/A</v>
      </c>
      <c r="AM173" s="25">
        <f t="shared" si="201"/>
        <v>30</v>
      </c>
      <c r="AN173" s="25">
        <f t="shared" si="202"/>
        <v>30</v>
      </c>
      <c r="AO173" s="25">
        <f t="shared" si="203"/>
        <v>30</v>
      </c>
      <c r="AP173" s="52" t="e">
        <f t="shared" si="222"/>
        <v>#N/A</v>
      </c>
      <c r="AQ173" s="53" t="e">
        <f t="shared" si="222"/>
        <v>#N/A</v>
      </c>
      <c r="AR173" s="54" t="e">
        <f t="shared" si="222"/>
        <v>#N/A</v>
      </c>
      <c r="AS173" s="316">
        <f t="shared" si="272"/>
        <v>0</v>
      </c>
      <c r="AT173" s="106">
        <f>_xlfn.IFNA($M173/VLOOKUP($BT173,'Unit information'!$A$2:$K$29,2,FALSE)*R173,0)*(1+$E$9)</f>
        <v>0</v>
      </c>
      <c r="AU173" s="107">
        <f>_xlfn.IFNA($M173/VLOOKUP($BT173,'Unit information'!$A$2:$K$29,3,FALSE)*S173,0)*(1+$E$9)</f>
        <v>0</v>
      </c>
      <c r="AV173" s="107">
        <f>_xlfn.IFNA($M173/VLOOKUP($BT173,'Unit information'!$A$2:$K$29,4,FALSE)*T173,0)*(1+$E$9)</f>
        <v>0</v>
      </c>
      <c r="AW173" s="107">
        <f>_xlfn.IFNA($M173/VLOOKUP($BT173,'Unit information'!$A$2:$K$29,5,FALSE)*U173,0)*(1+$E$9)</f>
        <v>0</v>
      </c>
      <c r="AX173" s="107">
        <f>_xlfn.IFNA($M173/VLOOKUP($BU173,'Unit information'!$A$2:$K$29,6,FALSE)*V173,0)*(1+$E$9)</f>
        <v>0</v>
      </c>
      <c r="AY173" s="107">
        <f>_xlfn.IFNA($M173/VLOOKUP($BU173,'Unit information'!$A$2:$K$29,7,FALSE)*W173,0)*(1+$E$9)</f>
        <v>0</v>
      </c>
      <c r="AZ173" s="107">
        <f>_xlfn.IFNA($M173/VLOOKUP($BU173,'Unit information'!$A$2:$K$29,8,FALSE)*X173,0)*(1+$E$9)</f>
        <v>0</v>
      </c>
      <c r="BA173" s="107">
        <f>_xlfn.IFNA($M173/VLOOKUP($BU173,'Unit information'!$A$2:$K$29,9,FALSE)*Y173,0)*(1+$E$9)</f>
        <v>0</v>
      </c>
      <c r="BB173" s="107">
        <f>_xlfn.IFNA($M173/VLOOKUP($BV173,'Unit information'!$A$2:$K$29,10,FALSE)*Z173,0)*(1+$E$9)</f>
        <v>0</v>
      </c>
      <c r="BC173" s="108">
        <f>_xlfn.IFNA($M173/VLOOKUP($BV173,'Unit information'!$A$2:$K$29,11,FALSE)*AA173,0)*(1+$E$9)</f>
        <v>0</v>
      </c>
      <c r="BD173" s="106">
        <f t="shared" si="204"/>
        <v>0</v>
      </c>
      <c r="BE173" s="107">
        <f t="shared" si="205"/>
        <v>0</v>
      </c>
      <c r="BF173" s="108">
        <f t="shared" si="206"/>
        <v>0</v>
      </c>
      <c r="BG173" s="25" t="e">
        <f t="shared" si="207"/>
        <v>#N/A</v>
      </c>
      <c r="BH173" s="25" t="e">
        <f t="shared" si="208"/>
        <v>#N/A</v>
      </c>
      <c r="BI173" s="25" t="e">
        <f t="shared" si="209"/>
        <v>#N/A</v>
      </c>
      <c r="BJ173" s="27" t="e">
        <f t="shared" si="210"/>
        <v>#N/A</v>
      </c>
      <c r="BK173" s="18" t="e">
        <f t="shared" si="211"/>
        <v>#N/A</v>
      </c>
      <c r="BL173" s="18" t="e">
        <f t="shared" si="212"/>
        <v>#N/A</v>
      </c>
      <c r="BM173" s="28" t="e">
        <f t="shared" si="257"/>
        <v>#N/A</v>
      </c>
      <c r="BN173" s="33">
        <f>HLOOKUP("maximum population",Miscelaneous!$C$1:$C$33,CH173+3,FALSE)</f>
        <v>240</v>
      </c>
      <c r="BO173" s="14">
        <f t="shared" si="223"/>
        <v>32</v>
      </c>
      <c r="BP173" s="14">
        <f t="shared" si="224"/>
        <v>0</v>
      </c>
      <c r="BQ173" s="14">
        <f t="shared" si="225"/>
        <v>208</v>
      </c>
      <c r="BR173" s="34" t="e">
        <f>HLOOKUP(J173,Villagers!$B$1:$V$33,L173+3,FALSE)-HLOOKUP(J173,Villagers!$B$1:$V$33,L173+2,FALSE)</f>
        <v>#N/A</v>
      </c>
      <c r="BS173" s="49">
        <f t="shared" si="226"/>
        <v>1</v>
      </c>
      <c r="BT173" s="50">
        <f t="shared" si="227"/>
        <v>0</v>
      </c>
      <c r="BU173" s="50">
        <f t="shared" si="228"/>
        <v>0</v>
      </c>
      <c r="BV173" s="50">
        <f t="shared" si="229"/>
        <v>0</v>
      </c>
      <c r="BW173" s="50">
        <f t="shared" si="258"/>
        <v>0</v>
      </c>
      <c r="BX173" s="50">
        <f t="shared" si="259"/>
        <v>0</v>
      </c>
      <c r="BY173" s="50">
        <f t="shared" si="259"/>
        <v>0</v>
      </c>
      <c r="BZ173" s="50">
        <f t="shared" si="260"/>
        <v>0</v>
      </c>
      <c r="CA173" s="50">
        <f t="shared" si="261"/>
        <v>0</v>
      </c>
      <c r="CB173" s="50">
        <f t="shared" si="262"/>
        <v>1</v>
      </c>
      <c r="CC173" s="50">
        <f t="shared" si="263"/>
        <v>0</v>
      </c>
      <c r="CD173" s="50">
        <f t="shared" si="264"/>
        <v>0</v>
      </c>
      <c r="CE173" s="50">
        <f t="shared" si="265"/>
        <v>1</v>
      </c>
      <c r="CF173" s="50">
        <f t="shared" si="266"/>
        <v>1</v>
      </c>
      <c r="CG173" s="50">
        <f t="shared" si="267"/>
        <v>1</v>
      </c>
      <c r="CH173" s="50">
        <f t="shared" si="268"/>
        <v>1</v>
      </c>
      <c r="CI173" s="50">
        <f t="shared" si="269"/>
        <v>1</v>
      </c>
      <c r="CJ173" s="50">
        <f t="shared" si="270"/>
        <v>1</v>
      </c>
      <c r="CK173" s="50">
        <f t="shared" si="270"/>
        <v>0</v>
      </c>
      <c r="CL173" s="50">
        <f t="shared" si="270"/>
        <v>0</v>
      </c>
      <c r="CM173" s="51">
        <f t="shared" si="271"/>
        <v>0</v>
      </c>
      <c r="CN173" s="33">
        <f>ROUND(IF(BS173=0,0,HLOOKUP(BS$14,Villagers!$B$1:$V$33,BS173+3,FALSE)),)</f>
        <v>5</v>
      </c>
      <c r="CO173" s="14">
        <f>ROUND(IF(BT173=0,0,HLOOKUP(BT$14,Villagers!$B$1:$V$33,BT173+3,FALSE)),)</f>
        <v>0</v>
      </c>
      <c r="CP173" s="14">
        <f>ROUND(IF(BU173=0,0,HLOOKUP(BU$14,Villagers!$B$1:$V$33,BU173+3,FALSE)),)</f>
        <v>0</v>
      </c>
      <c r="CQ173" s="14">
        <f>ROUND(IF(BV173=0,0,HLOOKUP(BV$14,Villagers!$B$1:$V$33,BV173+3,FALSE)),)</f>
        <v>0</v>
      </c>
      <c r="CR173" s="14">
        <f>ROUND(IF(BW173=0,0,HLOOKUP(BW$14,Villagers!$B$1:$V$33,BW173+3,FALSE)),)</f>
        <v>0</v>
      </c>
      <c r="CS173" s="14">
        <f>ROUND(IF(BX173=0,0,HLOOKUP(BX$14,Villagers!$B$1:$V$33,BX173+3,FALSE)),)</f>
        <v>0</v>
      </c>
      <c r="CT173" s="14">
        <f>ROUND(IF(BY173=0,0,HLOOKUP(BY$14,Villagers!$B$1:$V$33,BY173+3,FALSE)),)</f>
        <v>0</v>
      </c>
      <c r="CU173" s="14">
        <f>ROUND(IF(BZ173=0,0,HLOOKUP(BZ$14,Villagers!$B$1:$V$33,BZ173+3,FALSE)),)</f>
        <v>0</v>
      </c>
      <c r="CV173" s="14">
        <f>ROUND(IF(CA173=0,0,HLOOKUP(CA$14,Villagers!$B$1:$V$33,CA173+3,FALSE)),)</f>
        <v>0</v>
      </c>
      <c r="CW173" s="14">
        <f>ROUND(IF(CB173=0,0,HLOOKUP(CB$14,Villagers!$B$1:$V$33,CB173+3,FALSE)),)</f>
        <v>0</v>
      </c>
      <c r="CX173" s="14">
        <f>ROUND(IF(CC173=0,0,HLOOKUP(CC$14,Villagers!$B$1:$V$33,CC173+3,FALSE)),)</f>
        <v>0</v>
      </c>
      <c r="CY173" s="14">
        <f>ROUND(IF(CD173=0,0,HLOOKUP(CD$14,Villagers!$B$1:$V$33,CD173+3,FALSE)),)</f>
        <v>0</v>
      </c>
      <c r="CZ173" s="14">
        <f>ROUND(IF(CE173=0,0,HLOOKUP(CE$14,Villagers!$B$1:$V$33,CE173+3,FALSE)),)</f>
        <v>5</v>
      </c>
      <c r="DA173" s="14">
        <f>ROUND(IF(CF173=0,0,HLOOKUP(CF$14,Villagers!$B$1:$V$33,CF173+3,FALSE)),)</f>
        <v>10</v>
      </c>
      <c r="DB173" s="14">
        <f>ROUND(IF(CG173=0,0,HLOOKUP(CG$14,Villagers!$B$1:$V$33,CG173+3,FALSE)),)</f>
        <v>10</v>
      </c>
      <c r="DC173" s="14">
        <f>ROUND(IF(CH173=0,0,HLOOKUP(CH$14,Villagers!$B$1:$V$33,CH173+3,FALSE)),)</f>
        <v>0</v>
      </c>
      <c r="DD173" s="14">
        <f>ROUND(IF(CI173=0,0,HLOOKUP(CI$14,Villagers!$B$1:$V$33,CI173+3,FALSE)),)</f>
        <v>0</v>
      </c>
      <c r="DE173" s="14">
        <f>ROUND(IF(CJ173=0,0,HLOOKUP(CJ$14,Villagers!$B$1:$V$33,CJ173+3,FALSE)),)</f>
        <v>2</v>
      </c>
      <c r="DF173" s="370">
        <f>ROUND(IF(CK173=0,0,HLOOKUP(CK$14,Villagers!$B$1:$V$33,CK173+3,FALSE)),)</f>
        <v>0</v>
      </c>
      <c r="DG173" s="370">
        <f>ROUND(IF(CL173=0,0,HLOOKUP(CL$14,Villagers!$B$1:$V$33,CL173+3,FALSE)),)</f>
        <v>0</v>
      </c>
      <c r="DH173" s="34">
        <f>ROUND(IF(CM173=0,0,HLOOKUP(CM$14,Villagers!$B$1:$V$33,CM173+3,FALSE)),)</f>
        <v>0</v>
      </c>
      <c r="DI173" s="109">
        <f t="shared" si="246"/>
        <v>0</v>
      </c>
      <c r="DJ173" s="50">
        <f t="shared" si="247"/>
        <v>0</v>
      </c>
      <c r="DK173" s="50">
        <f t="shared" si="248"/>
        <v>0</v>
      </c>
      <c r="DL173" s="50">
        <f t="shared" si="249"/>
        <v>0</v>
      </c>
      <c r="DM173" s="50">
        <f t="shared" si="250"/>
        <v>0</v>
      </c>
      <c r="DN173" s="50">
        <f t="shared" si="251"/>
        <v>0</v>
      </c>
      <c r="DO173" s="50">
        <f t="shared" si="252"/>
        <v>0</v>
      </c>
      <c r="DP173" s="50">
        <f t="shared" si="253"/>
        <v>0</v>
      </c>
      <c r="DQ173" s="50">
        <f t="shared" si="231"/>
        <v>0</v>
      </c>
      <c r="DR173" s="50">
        <f t="shared" si="232"/>
        <v>0</v>
      </c>
      <c r="DS173" s="96">
        <f>Miscelaneous!$D$4*Miscelaneous!$D$2^($CI173-1)</f>
        <v>1000</v>
      </c>
      <c r="DT173" s="333">
        <f t="shared" si="213"/>
        <v>1</v>
      </c>
      <c r="DU173" s="81">
        <v>1</v>
      </c>
      <c r="DV173" s="79">
        <f t="shared" si="233"/>
        <v>0</v>
      </c>
      <c r="DW173" s="79">
        <f t="shared" si="234"/>
        <v>0</v>
      </c>
      <c r="DX173" s="79">
        <f t="shared" si="235"/>
        <v>0</v>
      </c>
      <c r="DY173" s="79">
        <v>1</v>
      </c>
      <c r="DZ173" s="79">
        <f t="shared" si="236"/>
        <v>0</v>
      </c>
      <c r="EA173" s="79">
        <f t="shared" si="237"/>
        <v>0</v>
      </c>
      <c r="EB173" s="79">
        <f t="shared" si="238"/>
        <v>0</v>
      </c>
      <c r="EC173" s="79">
        <f t="shared" si="239"/>
        <v>0</v>
      </c>
      <c r="ED173" s="79">
        <v>1</v>
      </c>
      <c r="EE173" s="79">
        <v>1</v>
      </c>
      <c r="EF173" s="79">
        <f t="shared" si="240"/>
        <v>0</v>
      </c>
      <c r="EG173" s="79">
        <v>1</v>
      </c>
      <c r="EH173" s="79">
        <v>1</v>
      </c>
      <c r="EI173" s="79">
        <v>1</v>
      </c>
      <c r="EJ173" s="79">
        <v>1</v>
      </c>
      <c r="EK173" s="79">
        <v>1</v>
      </c>
      <c r="EL173" s="79">
        <v>1</v>
      </c>
      <c r="EM173" s="143">
        <f t="shared" si="241"/>
        <v>0</v>
      </c>
      <c r="EN173" s="143">
        <f t="shared" si="242"/>
        <v>0</v>
      </c>
      <c r="EO173" s="82">
        <f t="shared" si="243"/>
        <v>0</v>
      </c>
    </row>
    <row r="174" spans="1:145" x14ac:dyDescent="0.25">
      <c r="A174">
        <v>160</v>
      </c>
      <c r="B174" s="172" t="e">
        <f t="shared" si="214"/>
        <v>#N/A</v>
      </c>
      <c r="C174" s="121" t="e">
        <f t="shared" si="193"/>
        <v>#N/A</v>
      </c>
      <c r="D174" s="122" t="e">
        <f t="shared" si="194"/>
        <v>#N/A</v>
      </c>
      <c r="E174" s="122" t="e">
        <f t="shared" si="195"/>
        <v>#N/A</v>
      </c>
      <c r="F174" s="176" t="e">
        <f t="shared" si="196"/>
        <v>#N/A</v>
      </c>
      <c r="G174" s="121">
        <f t="shared" si="215"/>
        <v>208</v>
      </c>
      <c r="H174" s="176" t="e">
        <f t="shared" si="216"/>
        <v>#N/A</v>
      </c>
      <c r="I174" s="48">
        <v>1</v>
      </c>
      <c r="J174" s="39"/>
      <c r="K174" s="350">
        <v>1</v>
      </c>
      <c r="L174" s="34" t="e">
        <f t="shared" si="197"/>
        <v>#N/A</v>
      </c>
      <c r="M174" s="38" t="e">
        <f>(HLOOKUP(J174,'Construction Times'!$B$3:$W$34,L174+2,FALSE)*HLOOKUP("hq modifier",'Construction Times'!$W$3:$W$34,BS174+2,FALSE))*(1-$H$9)</f>
        <v>#N/A</v>
      </c>
      <c r="N174" s="443" t="e">
        <f t="shared" si="217"/>
        <v>#N/A</v>
      </c>
      <c r="O174" s="444"/>
      <c r="P174" s="447" t="e">
        <f t="shared" si="218"/>
        <v>#N/A</v>
      </c>
      <c r="Q174" s="448"/>
      <c r="R174" s="103">
        <f t="shared" si="244"/>
        <v>0</v>
      </c>
      <c r="S174" s="104">
        <f t="shared" si="244"/>
        <v>0</v>
      </c>
      <c r="T174" s="104">
        <f t="shared" si="245"/>
        <v>0</v>
      </c>
      <c r="U174" s="104">
        <f t="shared" si="245"/>
        <v>0</v>
      </c>
      <c r="V174" s="104">
        <f t="shared" si="245"/>
        <v>9.9999999999999995E-8</v>
      </c>
      <c r="W174" s="104">
        <f t="shared" si="245"/>
        <v>0</v>
      </c>
      <c r="X174" s="104">
        <f t="shared" si="273"/>
        <v>0</v>
      </c>
      <c r="Y174" s="104">
        <f t="shared" si="273"/>
        <v>9.9999999999999995E-8</v>
      </c>
      <c r="Z174" s="104">
        <f t="shared" si="273"/>
        <v>9.9999999999999995E-8</v>
      </c>
      <c r="AA174" s="105">
        <f t="shared" si="273"/>
        <v>9.9999999999999995E-8</v>
      </c>
      <c r="AB174" s="101" t="e">
        <f>$DT174*HLOOKUP($J174,'Construction Costs (timber)'!$B$1:$V$32,'Construction Planner'!$L174+2,FALSE)</f>
        <v>#N/A</v>
      </c>
      <c r="AC174" s="14" t="e">
        <f>$DT174*HLOOKUP($J174,'Construction Costs (clay)'!$B$1:$V$32,'Construction Planner'!$L174+2,FALSE)</f>
        <v>#N/A</v>
      </c>
      <c r="AD174" s="14" t="e">
        <f>$DT174*HLOOKUP($J174,'Construction Costs (iron)'!$B$1:$V$32,'Construction Planner'!$L174+2,FALSE)</f>
        <v>#N/A</v>
      </c>
      <c r="AE174" s="34" t="e">
        <f t="shared" si="254"/>
        <v>#N/A</v>
      </c>
      <c r="AF174" s="33" t="e">
        <f t="shared" si="198"/>
        <v>#N/A</v>
      </c>
      <c r="AG174" s="14" t="e">
        <f t="shared" si="199"/>
        <v>#N/A</v>
      </c>
      <c r="AH174" s="14" t="e">
        <f t="shared" si="200"/>
        <v>#N/A</v>
      </c>
      <c r="AI174" s="34" t="e">
        <f t="shared" si="255"/>
        <v>#N/A</v>
      </c>
      <c r="AJ174" s="49" t="e">
        <f t="shared" si="219"/>
        <v>#N/A</v>
      </c>
      <c r="AK174" s="49" t="e">
        <f t="shared" si="220"/>
        <v>#N/A</v>
      </c>
      <c r="AL174" s="49" t="e">
        <f t="shared" si="221"/>
        <v>#N/A</v>
      </c>
      <c r="AM174" s="25">
        <f t="shared" si="201"/>
        <v>30</v>
      </c>
      <c r="AN174" s="25">
        <f t="shared" si="202"/>
        <v>30</v>
      </c>
      <c r="AO174" s="25">
        <f t="shared" si="203"/>
        <v>30</v>
      </c>
      <c r="AP174" s="52" t="e">
        <f t="shared" si="222"/>
        <v>#N/A</v>
      </c>
      <c r="AQ174" s="53" t="e">
        <f t="shared" si="222"/>
        <v>#N/A</v>
      </c>
      <c r="AR174" s="54" t="e">
        <f t="shared" si="222"/>
        <v>#N/A</v>
      </c>
      <c r="AS174" s="316">
        <f t="shared" si="272"/>
        <v>0</v>
      </c>
      <c r="AT174" s="106">
        <f>_xlfn.IFNA($M174/VLOOKUP($BT174,'Unit information'!$A$2:$K$29,2,FALSE)*R174,0)*(1+$E$9)</f>
        <v>0</v>
      </c>
      <c r="AU174" s="107">
        <f>_xlfn.IFNA($M174/VLOOKUP($BT174,'Unit information'!$A$2:$K$29,3,FALSE)*S174,0)*(1+$E$9)</f>
        <v>0</v>
      </c>
      <c r="AV174" s="107">
        <f>_xlfn.IFNA($M174/VLOOKUP($BT174,'Unit information'!$A$2:$K$29,4,FALSE)*T174,0)*(1+$E$9)</f>
        <v>0</v>
      </c>
      <c r="AW174" s="107">
        <f>_xlfn.IFNA($M174/VLOOKUP($BT174,'Unit information'!$A$2:$K$29,5,FALSE)*U174,0)*(1+$E$9)</f>
        <v>0</v>
      </c>
      <c r="AX174" s="107">
        <f>_xlfn.IFNA($M174/VLOOKUP($BU174,'Unit information'!$A$2:$K$29,6,FALSE)*V174,0)*(1+$E$9)</f>
        <v>0</v>
      </c>
      <c r="AY174" s="107">
        <f>_xlfn.IFNA($M174/VLOOKUP($BU174,'Unit information'!$A$2:$K$29,7,FALSE)*W174,0)*(1+$E$9)</f>
        <v>0</v>
      </c>
      <c r="AZ174" s="107">
        <f>_xlfn.IFNA($M174/VLOOKUP($BU174,'Unit information'!$A$2:$K$29,8,FALSE)*X174,0)*(1+$E$9)</f>
        <v>0</v>
      </c>
      <c r="BA174" s="107">
        <f>_xlfn.IFNA($M174/VLOOKUP($BU174,'Unit information'!$A$2:$K$29,9,FALSE)*Y174,0)*(1+$E$9)</f>
        <v>0</v>
      </c>
      <c r="BB174" s="107">
        <f>_xlfn.IFNA($M174/VLOOKUP($BV174,'Unit information'!$A$2:$K$29,10,FALSE)*Z174,0)*(1+$E$9)</f>
        <v>0</v>
      </c>
      <c r="BC174" s="108">
        <f>_xlfn.IFNA($M174/VLOOKUP($BV174,'Unit information'!$A$2:$K$29,11,FALSE)*AA174,0)*(1+$E$9)</f>
        <v>0</v>
      </c>
      <c r="BD174" s="106">
        <f t="shared" si="204"/>
        <v>0</v>
      </c>
      <c r="BE174" s="107">
        <f t="shared" si="205"/>
        <v>0</v>
      </c>
      <c r="BF174" s="108">
        <f t="shared" si="206"/>
        <v>0</v>
      </c>
      <c r="BG174" s="25" t="e">
        <f t="shared" si="207"/>
        <v>#N/A</v>
      </c>
      <c r="BH174" s="25" t="e">
        <f t="shared" si="208"/>
        <v>#N/A</v>
      </c>
      <c r="BI174" s="25" t="e">
        <f t="shared" si="209"/>
        <v>#N/A</v>
      </c>
      <c r="BJ174" s="27" t="e">
        <f t="shared" si="210"/>
        <v>#N/A</v>
      </c>
      <c r="BK174" s="18" t="e">
        <f t="shared" si="211"/>
        <v>#N/A</v>
      </c>
      <c r="BL174" s="18" t="e">
        <f t="shared" si="212"/>
        <v>#N/A</v>
      </c>
      <c r="BM174" s="28" t="e">
        <f t="shared" si="257"/>
        <v>#N/A</v>
      </c>
      <c r="BN174" s="33">
        <f>HLOOKUP("maximum population",Miscelaneous!$C$1:$C$33,CH174+3,FALSE)</f>
        <v>240</v>
      </c>
      <c r="BO174" s="14">
        <f t="shared" si="223"/>
        <v>32</v>
      </c>
      <c r="BP174" s="14">
        <f t="shared" si="224"/>
        <v>0</v>
      </c>
      <c r="BQ174" s="14">
        <f t="shared" si="225"/>
        <v>208</v>
      </c>
      <c r="BR174" s="34" t="e">
        <f>HLOOKUP(J174,Villagers!$B$1:$V$33,L174+3,FALSE)-HLOOKUP(J174,Villagers!$B$1:$V$33,L174+2,FALSE)</f>
        <v>#N/A</v>
      </c>
      <c r="BS174" s="49">
        <f t="shared" si="226"/>
        <v>1</v>
      </c>
      <c r="BT174" s="50">
        <f t="shared" si="227"/>
        <v>0</v>
      </c>
      <c r="BU174" s="50">
        <f t="shared" si="228"/>
        <v>0</v>
      </c>
      <c r="BV174" s="50">
        <f t="shared" si="229"/>
        <v>0</v>
      </c>
      <c r="BW174" s="50">
        <f t="shared" si="258"/>
        <v>0</v>
      </c>
      <c r="BX174" s="50">
        <f t="shared" si="259"/>
        <v>0</v>
      </c>
      <c r="BY174" s="50">
        <f t="shared" si="259"/>
        <v>0</v>
      </c>
      <c r="BZ174" s="50">
        <f t="shared" si="260"/>
        <v>0</v>
      </c>
      <c r="CA174" s="50">
        <f t="shared" si="261"/>
        <v>0</v>
      </c>
      <c r="CB174" s="50">
        <f t="shared" si="262"/>
        <v>1</v>
      </c>
      <c r="CC174" s="50">
        <f t="shared" si="263"/>
        <v>0</v>
      </c>
      <c r="CD174" s="50">
        <f t="shared" si="264"/>
        <v>0</v>
      </c>
      <c r="CE174" s="50">
        <f t="shared" si="265"/>
        <v>1</v>
      </c>
      <c r="CF174" s="50">
        <f t="shared" si="266"/>
        <v>1</v>
      </c>
      <c r="CG174" s="50">
        <f t="shared" si="267"/>
        <v>1</v>
      </c>
      <c r="CH174" s="50">
        <f t="shared" si="268"/>
        <v>1</v>
      </c>
      <c r="CI174" s="50">
        <f t="shared" si="269"/>
        <v>1</v>
      </c>
      <c r="CJ174" s="50">
        <f t="shared" si="270"/>
        <v>1</v>
      </c>
      <c r="CK174" s="50">
        <f t="shared" si="270"/>
        <v>0</v>
      </c>
      <c r="CL174" s="50">
        <f t="shared" si="270"/>
        <v>0</v>
      </c>
      <c r="CM174" s="51">
        <f t="shared" si="271"/>
        <v>0</v>
      </c>
      <c r="CN174" s="33">
        <f>ROUND(IF(BS174=0,0,HLOOKUP(BS$14,Villagers!$B$1:$V$33,BS174+3,FALSE)),)</f>
        <v>5</v>
      </c>
      <c r="CO174" s="14">
        <f>ROUND(IF(BT174=0,0,HLOOKUP(BT$14,Villagers!$B$1:$V$33,BT174+3,FALSE)),)</f>
        <v>0</v>
      </c>
      <c r="CP174" s="14">
        <f>ROUND(IF(BU174=0,0,HLOOKUP(BU$14,Villagers!$B$1:$V$33,BU174+3,FALSE)),)</f>
        <v>0</v>
      </c>
      <c r="CQ174" s="14">
        <f>ROUND(IF(BV174=0,0,HLOOKUP(BV$14,Villagers!$B$1:$V$33,BV174+3,FALSE)),)</f>
        <v>0</v>
      </c>
      <c r="CR174" s="14">
        <f>ROUND(IF(BW174=0,0,HLOOKUP(BW$14,Villagers!$B$1:$V$33,BW174+3,FALSE)),)</f>
        <v>0</v>
      </c>
      <c r="CS174" s="14">
        <f>ROUND(IF(BX174=0,0,HLOOKUP(BX$14,Villagers!$B$1:$V$33,BX174+3,FALSE)),)</f>
        <v>0</v>
      </c>
      <c r="CT174" s="14">
        <f>ROUND(IF(BY174=0,0,HLOOKUP(BY$14,Villagers!$B$1:$V$33,BY174+3,FALSE)),)</f>
        <v>0</v>
      </c>
      <c r="CU174" s="14">
        <f>ROUND(IF(BZ174=0,0,HLOOKUP(BZ$14,Villagers!$B$1:$V$33,BZ174+3,FALSE)),)</f>
        <v>0</v>
      </c>
      <c r="CV174" s="14">
        <f>ROUND(IF(CA174=0,0,HLOOKUP(CA$14,Villagers!$B$1:$V$33,CA174+3,FALSE)),)</f>
        <v>0</v>
      </c>
      <c r="CW174" s="14">
        <f>ROUND(IF(CB174=0,0,HLOOKUP(CB$14,Villagers!$B$1:$V$33,CB174+3,FALSE)),)</f>
        <v>0</v>
      </c>
      <c r="CX174" s="14">
        <f>ROUND(IF(CC174=0,0,HLOOKUP(CC$14,Villagers!$B$1:$V$33,CC174+3,FALSE)),)</f>
        <v>0</v>
      </c>
      <c r="CY174" s="14">
        <f>ROUND(IF(CD174=0,0,HLOOKUP(CD$14,Villagers!$B$1:$V$33,CD174+3,FALSE)),)</f>
        <v>0</v>
      </c>
      <c r="CZ174" s="14">
        <f>ROUND(IF(CE174=0,0,HLOOKUP(CE$14,Villagers!$B$1:$V$33,CE174+3,FALSE)),)</f>
        <v>5</v>
      </c>
      <c r="DA174" s="14">
        <f>ROUND(IF(CF174=0,0,HLOOKUP(CF$14,Villagers!$B$1:$V$33,CF174+3,FALSE)),)</f>
        <v>10</v>
      </c>
      <c r="DB174" s="14">
        <f>ROUND(IF(CG174=0,0,HLOOKUP(CG$14,Villagers!$B$1:$V$33,CG174+3,FALSE)),)</f>
        <v>10</v>
      </c>
      <c r="DC174" s="14">
        <f>ROUND(IF(CH174=0,0,HLOOKUP(CH$14,Villagers!$B$1:$V$33,CH174+3,FALSE)),)</f>
        <v>0</v>
      </c>
      <c r="DD174" s="14">
        <f>ROUND(IF(CI174=0,0,HLOOKUP(CI$14,Villagers!$B$1:$V$33,CI174+3,FALSE)),)</f>
        <v>0</v>
      </c>
      <c r="DE174" s="14">
        <f>ROUND(IF(CJ174=0,0,HLOOKUP(CJ$14,Villagers!$B$1:$V$33,CJ174+3,FALSE)),)</f>
        <v>2</v>
      </c>
      <c r="DF174" s="370">
        <f>ROUND(IF(CK174=0,0,HLOOKUP(CK$14,Villagers!$B$1:$V$33,CK174+3,FALSE)),)</f>
        <v>0</v>
      </c>
      <c r="DG174" s="370">
        <f>ROUND(IF(CL174=0,0,HLOOKUP(CL$14,Villagers!$B$1:$V$33,CL174+3,FALSE)),)</f>
        <v>0</v>
      </c>
      <c r="DH174" s="34">
        <f>ROUND(IF(CM174=0,0,HLOOKUP(CM$14,Villagers!$B$1:$V$33,CM174+3,FALSE)),)</f>
        <v>0</v>
      </c>
      <c r="DI174" s="109">
        <f t="shared" si="246"/>
        <v>0</v>
      </c>
      <c r="DJ174" s="50">
        <f t="shared" si="247"/>
        <v>0</v>
      </c>
      <c r="DK174" s="50">
        <f t="shared" si="248"/>
        <v>0</v>
      </c>
      <c r="DL174" s="50">
        <f t="shared" si="249"/>
        <v>0</v>
      </c>
      <c r="DM174" s="50">
        <f t="shared" si="250"/>
        <v>0</v>
      </c>
      <c r="DN174" s="50">
        <f t="shared" si="251"/>
        <v>0</v>
      </c>
      <c r="DO174" s="50">
        <f t="shared" si="252"/>
        <v>0</v>
      </c>
      <c r="DP174" s="50">
        <f t="shared" si="253"/>
        <v>0</v>
      </c>
      <c r="DQ174" s="50">
        <f t="shared" si="231"/>
        <v>0</v>
      </c>
      <c r="DR174" s="50">
        <f t="shared" si="232"/>
        <v>0</v>
      </c>
      <c r="DS174" s="96">
        <f>Miscelaneous!$D$4*Miscelaneous!$D$2^($CI174-1)</f>
        <v>1000</v>
      </c>
      <c r="DT174" s="333">
        <f t="shared" si="213"/>
        <v>1</v>
      </c>
      <c r="DU174" s="81">
        <v>1</v>
      </c>
      <c r="DV174" s="79">
        <f t="shared" si="233"/>
        <v>0</v>
      </c>
      <c r="DW174" s="79">
        <f t="shared" si="234"/>
        <v>0</v>
      </c>
      <c r="DX174" s="79">
        <f t="shared" si="235"/>
        <v>0</v>
      </c>
      <c r="DY174" s="79">
        <v>1</v>
      </c>
      <c r="DZ174" s="79">
        <f t="shared" si="236"/>
        <v>0</v>
      </c>
      <c r="EA174" s="79">
        <f t="shared" si="237"/>
        <v>0</v>
      </c>
      <c r="EB174" s="79">
        <f t="shared" si="238"/>
        <v>0</v>
      </c>
      <c r="EC174" s="79">
        <f t="shared" si="239"/>
        <v>0</v>
      </c>
      <c r="ED174" s="79">
        <v>1</v>
      </c>
      <c r="EE174" s="79">
        <v>1</v>
      </c>
      <c r="EF174" s="79">
        <f t="shared" si="240"/>
        <v>0</v>
      </c>
      <c r="EG174" s="79">
        <v>1</v>
      </c>
      <c r="EH174" s="79">
        <v>1</v>
      </c>
      <c r="EI174" s="79">
        <v>1</v>
      </c>
      <c r="EJ174" s="79">
        <v>1</v>
      </c>
      <c r="EK174" s="79">
        <v>1</v>
      </c>
      <c r="EL174" s="79">
        <v>1</v>
      </c>
      <c r="EM174" s="143">
        <f t="shared" si="241"/>
        <v>0</v>
      </c>
      <c r="EN174" s="143">
        <f t="shared" si="242"/>
        <v>0</v>
      </c>
      <c r="EO174" s="82">
        <f t="shared" si="243"/>
        <v>0</v>
      </c>
    </row>
    <row r="175" spans="1:145" x14ac:dyDescent="0.25">
      <c r="A175">
        <v>161</v>
      </c>
      <c r="B175" s="172" t="e">
        <f t="shared" si="214"/>
        <v>#N/A</v>
      </c>
      <c r="C175" s="121" t="e">
        <f t="shared" si="193"/>
        <v>#N/A</v>
      </c>
      <c r="D175" s="122" t="e">
        <f t="shared" si="194"/>
        <v>#N/A</v>
      </c>
      <c r="E175" s="122" t="e">
        <f t="shared" si="195"/>
        <v>#N/A</v>
      </c>
      <c r="F175" s="176" t="e">
        <f t="shared" si="196"/>
        <v>#N/A</v>
      </c>
      <c r="G175" s="121">
        <f t="shared" si="215"/>
        <v>208</v>
      </c>
      <c r="H175" s="176" t="e">
        <f t="shared" si="216"/>
        <v>#N/A</v>
      </c>
      <c r="I175" s="48">
        <v>1</v>
      </c>
      <c r="J175" s="39"/>
      <c r="K175" s="350">
        <v>1</v>
      </c>
      <c r="L175" s="34" t="e">
        <f t="shared" si="197"/>
        <v>#N/A</v>
      </c>
      <c r="M175" s="38" t="e">
        <f>(HLOOKUP(J175,'Construction Times'!$B$3:$W$34,L175+2,FALSE)*HLOOKUP("hq modifier",'Construction Times'!$W$3:$W$34,BS175+2,FALSE))*(1-$H$9)</f>
        <v>#N/A</v>
      </c>
      <c r="N175" s="443" t="e">
        <f t="shared" si="217"/>
        <v>#N/A</v>
      </c>
      <c r="O175" s="444"/>
      <c r="P175" s="447" t="e">
        <f t="shared" si="218"/>
        <v>#N/A</v>
      </c>
      <c r="Q175" s="448"/>
      <c r="R175" s="103">
        <f t="shared" si="244"/>
        <v>0</v>
      </c>
      <c r="S175" s="104">
        <f t="shared" si="244"/>
        <v>0</v>
      </c>
      <c r="T175" s="104">
        <f t="shared" si="245"/>
        <v>0</v>
      </c>
      <c r="U175" s="104">
        <f t="shared" si="245"/>
        <v>0</v>
      </c>
      <c r="V175" s="104">
        <f t="shared" si="245"/>
        <v>9.9999999999999995E-8</v>
      </c>
      <c r="W175" s="104">
        <f t="shared" si="245"/>
        <v>0</v>
      </c>
      <c r="X175" s="104">
        <f t="shared" si="273"/>
        <v>0</v>
      </c>
      <c r="Y175" s="104">
        <f t="shared" si="273"/>
        <v>9.9999999999999995E-8</v>
      </c>
      <c r="Z175" s="104">
        <f t="shared" si="273"/>
        <v>9.9999999999999995E-8</v>
      </c>
      <c r="AA175" s="105">
        <f t="shared" si="273"/>
        <v>9.9999999999999995E-8</v>
      </c>
      <c r="AB175" s="101" t="e">
        <f>$DT175*HLOOKUP($J175,'Construction Costs (timber)'!$B$1:$V$32,'Construction Planner'!$L175+2,FALSE)</f>
        <v>#N/A</v>
      </c>
      <c r="AC175" s="14" t="e">
        <f>$DT175*HLOOKUP($J175,'Construction Costs (clay)'!$B$1:$V$32,'Construction Planner'!$L175+2,FALSE)</f>
        <v>#N/A</v>
      </c>
      <c r="AD175" s="14" t="e">
        <f>$DT175*HLOOKUP($J175,'Construction Costs (iron)'!$B$1:$V$32,'Construction Planner'!$L175+2,FALSE)</f>
        <v>#N/A</v>
      </c>
      <c r="AE175" s="34" t="e">
        <f t="shared" si="254"/>
        <v>#N/A</v>
      </c>
      <c r="AF175" s="33" t="e">
        <f t="shared" si="198"/>
        <v>#N/A</v>
      </c>
      <c r="AG175" s="14" t="e">
        <f t="shared" si="199"/>
        <v>#N/A</v>
      </c>
      <c r="AH175" s="14" t="e">
        <f t="shared" si="200"/>
        <v>#N/A</v>
      </c>
      <c r="AI175" s="34" t="e">
        <f t="shared" si="255"/>
        <v>#N/A</v>
      </c>
      <c r="AJ175" s="49" t="e">
        <f t="shared" si="219"/>
        <v>#N/A</v>
      </c>
      <c r="AK175" s="49" t="e">
        <f t="shared" si="220"/>
        <v>#N/A</v>
      </c>
      <c r="AL175" s="49" t="e">
        <f t="shared" si="221"/>
        <v>#N/A</v>
      </c>
      <c r="AM175" s="25">
        <f t="shared" si="201"/>
        <v>30</v>
      </c>
      <c r="AN175" s="25">
        <f t="shared" si="202"/>
        <v>30</v>
      </c>
      <c r="AO175" s="25">
        <f t="shared" si="203"/>
        <v>30</v>
      </c>
      <c r="AP175" s="52" t="e">
        <f t="shared" si="222"/>
        <v>#N/A</v>
      </c>
      <c r="AQ175" s="53" t="e">
        <f t="shared" si="222"/>
        <v>#N/A</v>
      </c>
      <c r="AR175" s="54" t="e">
        <f t="shared" si="222"/>
        <v>#N/A</v>
      </c>
      <c r="AS175" s="316">
        <f t="shared" si="272"/>
        <v>0</v>
      </c>
      <c r="AT175" s="106">
        <f>_xlfn.IFNA($M175/VLOOKUP($BT175,'Unit information'!$A$2:$K$29,2,FALSE)*R175,0)*(1+$E$9)</f>
        <v>0</v>
      </c>
      <c r="AU175" s="107">
        <f>_xlfn.IFNA($M175/VLOOKUP($BT175,'Unit information'!$A$2:$K$29,3,FALSE)*S175,0)*(1+$E$9)</f>
        <v>0</v>
      </c>
      <c r="AV175" s="107">
        <f>_xlfn.IFNA($M175/VLOOKUP($BT175,'Unit information'!$A$2:$K$29,4,FALSE)*T175,0)*(1+$E$9)</f>
        <v>0</v>
      </c>
      <c r="AW175" s="107">
        <f>_xlfn.IFNA($M175/VLOOKUP($BT175,'Unit information'!$A$2:$K$29,5,FALSE)*U175,0)*(1+$E$9)</f>
        <v>0</v>
      </c>
      <c r="AX175" s="107">
        <f>_xlfn.IFNA($M175/VLOOKUP($BU175,'Unit information'!$A$2:$K$29,6,FALSE)*V175,0)*(1+$E$9)</f>
        <v>0</v>
      </c>
      <c r="AY175" s="107">
        <f>_xlfn.IFNA($M175/VLOOKUP($BU175,'Unit information'!$A$2:$K$29,7,FALSE)*W175,0)*(1+$E$9)</f>
        <v>0</v>
      </c>
      <c r="AZ175" s="107">
        <f>_xlfn.IFNA($M175/VLOOKUP($BU175,'Unit information'!$A$2:$K$29,8,FALSE)*X175,0)*(1+$E$9)</f>
        <v>0</v>
      </c>
      <c r="BA175" s="107">
        <f>_xlfn.IFNA($M175/VLOOKUP($BU175,'Unit information'!$A$2:$K$29,9,FALSE)*Y175,0)*(1+$E$9)</f>
        <v>0</v>
      </c>
      <c r="BB175" s="107">
        <f>_xlfn.IFNA($M175/VLOOKUP($BV175,'Unit information'!$A$2:$K$29,10,FALSE)*Z175,0)*(1+$E$9)</f>
        <v>0</v>
      </c>
      <c r="BC175" s="108">
        <f>_xlfn.IFNA($M175/VLOOKUP($BV175,'Unit information'!$A$2:$K$29,11,FALSE)*AA175,0)*(1+$E$9)</f>
        <v>0</v>
      </c>
      <c r="BD175" s="106">
        <f t="shared" si="204"/>
        <v>0</v>
      </c>
      <c r="BE175" s="107">
        <f t="shared" si="205"/>
        <v>0</v>
      </c>
      <c r="BF175" s="108">
        <f t="shared" si="206"/>
        <v>0</v>
      </c>
      <c r="BG175" s="25" t="e">
        <f t="shared" si="207"/>
        <v>#N/A</v>
      </c>
      <c r="BH175" s="25" t="e">
        <f t="shared" si="208"/>
        <v>#N/A</v>
      </c>
      <c r="BI175" s="25" t="e">
        <f t="shared" si="209"/>
        <v>#N/A</v>
      </c>
      <c r="BJ175" s="27" t="e">
        <f t="shared" si="210"/>
        <v>#N/A</v>
      </c>
      <c r="BK175" s="18" t="e">
        <f t="shared" si="211"/>
        <v>#N/A</v>
      </c>
      <c r="BL175" s="18" t="e">
        <f t="shared" si="212"/>
        <v>#N/A</v>
      </c>
      <c r="BM175" s="28" t="e">
        <f t="shared" si="257"/>
        <v>#N/A</v>
      </c>
      <c r="BN175" s="33">
        <f>HLOOKUP("maximum population",Miscelaneous!$C$1:$C$33,CH175+3,FALSE)</f>
        <v>240</v>
      </c>
      <c r="BO175" s="14">
        <f t="shared" si="223"/>
        <v>32</v>
      </c>
      <c r="BP175" s="14">
        <f t="shared" si="224"/>
        <v>0</v>
      </c>
      <c r="BQ175" s="14">
        <f t="shared" si="225"/>
        <v>208</v>
      </c>
      <c r="BR175" s="34" t="e">
        <f>HLOOKUP(J175,Villagers!$B$1:$V$33,L175+3,FALSE)-HLOOKUP(J175,Villagers!$B$1:$V$33,L175+2,FALSE)</f>
        <v>#N/A</v>
      </c>
      <c r="BS175" s="49">
        <f t="shared" si="226"/>
        <v>1</v>
      </c>
      <c r="BT175" s="50">
        <f t="shared" si="227"/>
        <v>0</v>
      </c>
      <c r="BU175" s="50">
        <f t="shared" si="228"/>
        <v>0</v>
      </c>
      <c r="BV175" s="50">
        <f t="shared" si="229"/>
        <v>0</v>
      </c>
      <c r="BW175" s="50">
        <f t="shared" si="258"/>
        <v>0</v>
      </c>
      <c r="BX175" s="50">
        <f t="shared" si="259"/>
        <v>0</v>
      </c>
      <c r="BY175" s="50">
        <f t="shared" si="259"/>
        <v>0</v>
      </c>
      <c r="BZ175" s="50">
        <f t="shared" si="260"/>
        <v>0</v>
      </c>
      <c r="CA175" s="50">
        <f t="shared" si="261"/>
        <v>0</v>
      </c>
      <c r="CB175" s="50">
        <f t="shared" si="262"/>
        <v>1</v>
      </c>
      <c r="CC175" s="50">
        <f t="shared" si="263"/>
        <v>0</v>
      </c>
      <c r="CD175" s="50">
        <f t="shared" si="264"/>
        <v>0</v>
      </c>
      <c r="CE175" s="50">
        <f t="shared" si="265"/>
        <v>1</v>
      </c>
      <c r="CF175" s="50">
        <f t="shared" si="266"/>
        <v>1</v>
      </c>
      <c r="CG175" s="50">
        <f t="shared" si="267"/>
        <v>1</v>
      </c>
      <c r="CH175" s="50">
        <f t="shared" si="268"/>
        <v>1</v>
      </c>
      <c r="CI175" s="50">
        <f t="shared" si="269"/>
        <v>1</v>
      </c>
      <c r="CJ175" s="50">
        <f t="shared" si="270"/>
        <v>1</v>
      </c>
      <c r="CK175" s="50">
        <f t="shared" si="270"/>
        <v>0</v>
      </c>
      <c r="CL175" s="50">
        <f t="shared" si="270"/>
        <v>0</v>
      </c>
      <c r="CM175" s="51">
        <f t="shared" ref="CM175:CM238" si="274">IF($J174=CM$14,$L174,CM174)</f>
        <v>0</v>
      </c>
      <c r="CN175" s="33">
        <f>ROUND(IF(BS175=0,0,HLOOKUP(BS$14,Villagers!$B$1:$V$33,BS175+3,FALSE)),)</f>
        <v>5</v>
      </c>
      <c r="CO175" s="14">
        <f>ROUND(IF(BT175=0,0,HLOOKUP(BT$14,Villagers!$B$1:$V$33,BT175+3,FALSE)),)</f>
        <v>0</v>
      </c>
      <c r="CP175" s="14">
        <f>ROUND(IF(BU175=0,0,HLOOKUP(BU$14,Villagers!$B$1:$V$33,BU175+3,FALSE)),)</f>
        <v>0</v>
      </c>
      <c r="CQ175" s="14">
        <f>ROUND(IF(BV175=0,0,HLOOKUP(BV$14,Villagers!$B$1:$V$33,BV175+3,FALSE)),)</f>
        <v>0</v>
      </c>
      <c r="CR175" s="14">
        <f>ROUND(IF(BW175=0,0,HLOOKUP(BW$14,Villagers!$B$1:$V$33,BW175+3,FALSE)),)</f>
        <v>0</v>
      </c>
      <c r="CS175" s="14">
        <f>ROUND(IF(BX175=0,0,HLOOKUP(BX$14,Villagers!$B$1:$V$33,BX175+3,FALSE)),)</f>
        <v>0</v>
      </c>
      <c r="CT175" s="14">
        <f>ROUND(IF(BY175=0,0,HLOOKUP(BY$14,Villagers!$B$1:$V$33,BY175+3,FALSE)),)</f>
        <v>0</v>
      </c>
      <c r="CU175" s="14">
        <f>ROUND(IF(BZ175=0,0,HLOOKUP(BZ$14,Villagers!$B$1:$V$33,BZ175+3,FALSE)),)</f>
        <v>0</v>
      </c>
      <c r="CV175" s="14">
        <f>ROUND(IF(CA175=0,0,HLOOKUP(CA$14,Villagers!$B$1:$V$33,CA175+3,FALSE)),)</f>
        <v>0</v>
      </c>
      <c r="CW175" s="14">
        <f>ROUND(IF(CB175=0,0,HLOOKUP(CB$14,Villagers!$B$1:$V$33,CB175+3,FALSE)),)</f>
        <v>0</v>
      </c>
      <c r="CX175" s="14">
        <f>ROUND(IF(CC175=0,0,HLOOKUP(CC$14,Villagers!$B$1:$V$33,CC175+3,FALSE)),)</f>
        <v>0</v>
      </c>
      <c r="CY175" s="14">
        <f>ROUND(IF(CD175=0,0,HLOOKUP(CD$14,Villagers!$B$1:$V$33,CD175+3,FALSE)),)</f>
        <v>0</v>
      </c>
      <c r="CZ175" s="14">
        <f>ROUND(IF(CE175=0,0,HLOOKUP(CE$14,Villagers!$B$1:$V$33,CE175+3,FALSE)),)</f>
        <v>5</v>
      </c>
      <c r="DA175" s="14">
        <f>ROUND(IF(CF175=0,0,HLOOKUP(CF$14,Villagers!$B$1:$V$33,CF175+3,FALSE)),)</f>
        <v>10</v>
      </c>
      <c r="DB175" s="14">
        <f>ROUND(IF(CG175=0,0,HLOOKUP(CG$14,Villagers!$B$1:$V$33,CG175+3,FALSE)),)</f>
        <v>10</v>
      </c>
      <c r="DC175" s="14">
        <f>ROUND(IF(CH175=0,0,HLOOKUP(CH$14,Villagers!$B$1:$V$33,CH175+3,FALSE)),)</f>
        <v>0</v>
      </c>
      <c r="DD175" s="14">
        <f>ROUND(IF(CI175=0,0,HLOOKUP(CI$14,Villagers!$B$1:$V$33,CI175+3,FALSE)),)</f>
        <v>0</v>
      </c>
      <c r="DE175" s="14">
        <f>ROUND(IF(CJ175=0,0,HLOOKUP(CJ$14,Villagers!$B$1:$V$33,CJ175+3,FALSE)),)</f>
        <v>2</v>
      </c>
      <c r="DF175" s="370">
        <f>ROUND(IF(CK175=0,0,HLOOKUP(CK$14,Villagers!$B$1:$V$33,CK175+3,FALSE)),)</f>
        <v>0</v>
      </c>
      <c r="DG175" s="370">
        <f>ROUND(IF(CL175=0,0,HLOOKUP(CL$14,Villagers!$B$1:$V$33,CL175+3,FALSE)),)</f>
        <v>0</v>
      </c>
      <c r="DH175" s="34">
        <f>ROUND(IF(CM175=0,0,HLOOKUP(CM$14,Villagers!$B$1:$V$33,CM175+3,FALSE)),)</f>
        <v>0</v>
      </c>
      <c r="DI175" s="109">
        <f t="shared" si="246"/>
        <v>0</v>
      </c>
      <c r="DJ175" s="50">
        <f t="shared" si="247"/>
        <v>0</v>
      </c>
      <c r="DK175" s="50">
        <f t="shared" si="248"/>
        <v>0</v>
      </c>
      <c r="DL175" s="50">
        <f t="shared" si="249"/>
        <v>0</v>
      </c>
      <c r="DM175" s="50">
        <f t="shared" si="250"/>
        <v>0</v>
      </c>
      <c r="DN175" s="50">
        <f t="shared" si="251"/>
        <v>0</v>
      </c>
      <c r="DO175" s="50">
        <f t="shared" si="252"/>
        <v>0</v>
      </c>
      <c r="DP175" s="50">
        <f t="shared" si="253"/>
        <v>0</v>
      </c>
      <c r="DQ175" s="50">
        <f t="shared" si="231"/>
        <v>0</v>
      </c>
      <c r="DR175" s="50">
        <f t="shared" si="232"/>
        <v>0</v>
      </c>
      <c r="DS175" s="96">
        <f>Miscelaneous!$D$4*Miscelaneous!$D$2^($CI175-1)</f>
        <v>1000</v>
      </c>
      <c r="DT175" s="333">
        <f t="shared" si="213"/>
        <v>1</v>
      </c>
      <c r="DU175" s="81">
        <v>1</v>
      </c>
      <c r="DV175" s="79">
        <f t="shared" si="233"/>
        <v>0</v>
      </c>
      <c r="DW175" s="79">
        <f t="shared" si="234"/>
        <v>0</v>
      </c>
      <c r="DX175" s="79">
        <f t="shared" si="235"/>
        <v>0</v>
      </c>
      <c r="DY175" s="79">
        <v>1</v>
      </c>
      <c r="DZ175" s="79">
        <f t="shared" si="236"/>
        <v>0</v>
      </c>
      <c r="EA175" s="79">
        <f t="shared" si="237"/>
        <v>0</v>
      </c>
      <c r="EB175" s="79">
        <f t="shared" si="238"/>
        <v>0</v>
      </c>
      <c r="EC175" s="79">
        <f t="shared" si="239"/>
        <v>0</v>
      </c>
      <c r="ED175" s="79">
        <v>1</v>
      </c>
      <c r="EE175" s="79">
        <v>1</v>
      </c>
      <c r="EF175" s="79">
        <f t="shared" si="240"/>
        <v>0</v>
      </c>
      <c r="EG175" s="79">
        <v>1</v>
      </c>
      <c r="EH175" s="79">
        <v>1</v>
      </c>
      <c r="EI175" s="79">
        <v>1</v>
      </c>
      <c r="EJ175" s="79">
        <v>1</v>
      </c>
      <c r="EK175" s="79">
        <v>1</v>
      </c>
      <c r="EL175" s="79">
        <v>1</v>
      </c>
      <c r="EM175" s="143">
        <f t="shared" si="241"/>
        <v>0</v>
      </c>
      <c r="EN175" s="143">
        <f t="shared" si="242"/>
        <v>0</v>
      </c>
      <c r="EO175" s="82">
        <f t="shared" si="243"/>
        <v>0</v>
      </c>
    </row>
    <row r="176" spans="1:145" x14ac:dyDescent="0.25">
      <c r="A176">
        <v>162</v>
      </c>
      <c r="B176" s="172" t="e">
        <f t="shared" si="214"/>
        <v>#N/A</v>
      </c>
      <c r="C176" s="121" t="e">
        <f t="shared" si="193"/>
        <v>#N/A</v>
      </c>
      <c r="D176" s="122" t="e">
        <f t="shared" si="194"/>
        <v>#N/A</v>
      </c>
      <c r="E176" s="122" t="e">
        <f t="shared" si="195"/>
        <v>#N/A</v>
      </c>
      <c r="F176" s="176" t="e">
        <f t="shared" si="196"/>
        <v>#N/A</v>
      </c>
      <c r="G176" s="121">
        <f t="shared" si="215"/>
        <v>208</v>
      </c>
      <c r="H176" s="176" t="e">
        <f t="shared" si="216"/>
        <v>#N/A</v>
      </c>
      <c r="I176" s="48">
        <v>1</v>
      </c>
      <c r="J176" s="39"/>
      <c r="K176" s="350">
        <v>1</v>
      </c>
      <c r="L176" s="34" t="e">
        <f t="shared" si="197"/>
        <v>#N/A</v>
      </c>
      <c r="M176" s="38" t="e">
        <f>(HLOOKUP(J176,'Construction Times'!$B$3:$W$34,L176+2,FALSE)*HLOOKUP("hq modifier",'Construction Times'!$W$3:$W$34,BS176+2,FALSE))*(1-$H$9)</f>
        <v>#N/A</v>
      </c>
      <c r="N176" s="443" t="e">
        <f t="shared" si="217"/>
        <v>#N/A</v>
      </c>
      <c r="O176" s="444"/>
      <c r="P176" s="447" t="e">
        <f t="shared" si="218"/>
        <v>#N/A</v>
      </c>
      <c r="Q176" s="448"/>
      <c r="R176" s="103">
        <f t="shared" si="244"/>
        <v>0</v>
      </c>
      <c r="S176" s="104">
        <f t="shared" si="244"/>
        <v>0</v>
      </c>
      <c r="T176" s="104">
        <f t="shared" si="245"/>
        <v>0</v>
      </c>
      <c r="U176" s="104">
        <f t="shared" si="245"/>
        <v>0</v>
      </c>
      <c r="V176" s="104">
        <f t="shared" si="245"/>
        <v>9.9999999999999995E-8</v>
      </c>
      <c r="W176" s="104">
        <f t="shared" si="245"/>
        <v>0</v>
      </c>
      <c r="X176" s="104">
        <f t="shared" si="273"/>
        <v>0</v>
      </c>
      <c r="Y176" s="104">
        <f t="shared" si="273"/>
        <v>9.9999999999999995E-8</v>
      </c>
      <c r="Z176" s="104">
        <f t="shared" si="273"/>
        <v>9.9999999999999995E-8</v>
      </c>
      <c r="AA176" s="105">
        <f t="shared" si="273"/>
        <v>9.9999999999999995E-8</v>
      </c>
      <c r="AB176" s="101" t="e">
        <f>$DT176*HLOOKUP($J176,'Construction Costs (timber)'!$B$1:$V$32,'Construction Planner'!$L176+2,FALSE)</f>
        <v>#N/A</v>
      </c>
      <c r="AC176" s="14" t="e">
        <f>$DT176*HLOOKUP($J176,'Construction Costs (clay)'!$B$1:$V$32,'Construction Planner'!$L176+2,FALSE)</f>
        <v>#N/A</v>
      </c>
      <c r="AD176" s="14" t="e">
        <f>$DT176*HLOOKUP($J176,'Construction Costs (iron)'!$B$1:$V$32,'Construction Planner'!$L176+2,FALSE)</f>
        <v>#N/A</v>
      </c>
      <c r="AE176" s="34" t="e">
        <f t="shared" si="254"/>
        <v>#N/A</v>
      </c>
      <c r="AF176" s="33" t="e">
        <f t="shared" si="198"/>
        <v>#N/A</v>
      </c>
      <c r="AG176" s="14" t="e">
        <f t="shared" si="199"/>
        <v>#N/A</v>
      </c>
      <c r="AH176" s="14" t="e">
        <f t="shared" si="200"/>
        <v>#N/A</v>
      </c>
      <c r="AI176" s="34" t="e">
        <f t="shared" si="255"/>
        <v>#N/A</v>
      </c>
      <c r="AJ176" s="49" t="e">
        <f t="shared" si="219"/>
        <v>#N/A</v>
      </c>
      <c r="AK176" s="49" t="e">
        <f t="shared" si="220"/>
        <v>#N/A</v>
      </c>
      <c r="AL176" s="49" t="e">
        <f t="shared" si="221"/>
        <v>#N/A</v>
      </c>
      <c r="AM176" s="25">
        <f t="shared" si="201"/>
        <v>30</v>
      </c>
      <c r="AN176" s="25">
        <f t="shared" si="202"/>
        <v>30</v>
      </c>
      <c r="AO176" s="25">
        <f t="shared" si="203"/>
        <v>30</v>
      </c>
      <c r="AP176" s="52" t="e">
        <f t="shared" si="222"/>
        <v>#N/A</v>
      </c>
      <c r="AQ176" s="53" t="e">
        <f t="shared" si="222"/>
        <v>#N/A</v>
      </c>
      <c r="AR176" s="54" t="e">
        <f t="shared" si="222"/>
        <v>#N/A</v>
      </c>
      <c r="AS176" s="316">
        <f t="shared" si="272"/>
        <v>0</v>
      </c>
      <c r="AT176" s="106">
        <f>_xlfn.IFNA($M176/VLOOKUP($BT176,'Unit information'!$A$2:$K$29,2,FALSE)*R176,0)*(1+$E$9)</f>
        <v>0</v>
      </c>
      <c r="AU176" s="107">
        <f>_xlfn.IFNA($M176/VLOOKUP($BT176,'Unit information'!$A$2:$K$29,3,FALSE)*S176,0)*(1+$E$9)</f>
        <v>0</v>
      </c>
      <c r="AV176" s="107">
        <f>_xlfn.IFNA($M176/VLOOKUP($BT176,'Unit information'!$A$2:$K$29,4,FALSE)*T176,0)*(1+$E$9)</f>
        <v>0</v>
      </c>
      <c r="AW176" s="107">
        <f>_xlfn.IFNA($M176/VLOOKUP($BT176,'Unit information'!$A$2:$K$29,5,FALSE)*U176,0)*(1+$E$9)</f>
        <v>0</v>
      </c>
      <c r="AX176" s="107">
        <f>_xlfn.IFNA($M176/VLOOKUP($BU176,'Unit information'!$A$2:$K$29,6,FALSE)*V176,0)*(1+$E$9)</f>
        <v>0</v>
      </c>
      <c r="AY176" s="107">
        <f>_xlfn.IFNA($M176/VLOOKUP($BU176,'Unit information'!$A$2:$K$29,7,FALSE)*W176,0)*(1+$E$9)</f>
        <v>0</v>
      </c>
      <c r="AZ176" s="107">
        <f>_xlfn.IFNA($M176/VLOOKUP($BU176,'Unit information'!$A$2:$K$29,8,FALSE)*X176,0)*(1+$E$9)</f>
        <v>0</v>
      </c>
      <c r="BA176" s="107">
        <f>_xlfn.IFNA($M176/VLOOKUP($BU176,'Unit information'!$A$2:$K$29,9,FALSE)*Y176,0)*(1+$E$9)</f>
        <v>0</v>
      </c>
      <c r="BB176" s="107">
        <f>_xlfn.IFNA($M176/VLOOKUP($BV176,'Unit information'!$A$2:$K$29,10,FALSE)*Z176,0)*(1+$E$9)</f>
        <v>0</v>
      </c>
      <c r="BC176" s="108">
        <f>_xlfn.IFNA($M176/VLOOKUP($BV176,'Unit information'!$A$2:$K$29,11,FALSE)*AA176,0)*(1+$E$9)</f>
        <v>0</v>
      </c>
      <c r="BD176" s="106">
        <f t="shared" si="204"/>
        <v>0</v>
      </c>
      <c r="BE176" s="107">
        <f t="shared" si="205"/>
        <v>0</v>
      </c>
      <c r="BF176" s="108">
        <f t="shared" si="206"/>
        <v>0</v>
      </c>
      <c r="BG176" s="25" t="e">
        <f t="shared" si="207"/>
        <v>#N/A</v>
      </c>
      <c r="BH176" s="25" t="e">
        <f t="shared" si="208"/>
        <v>#N/A</v>
      </c>
      <c r="BI176" s="25" t="e">
        <f t="shared" si="209"/>
        <v>#N/A</v>
      </c>
      <c r="BJ176" s="27" t="e">
        <f t="shared" si="210"/>
        <v>#N/A</v>
      </c>
      <c r="BK176" s="18" t="e">
        <f t="shared" si="211"/>
        <v>#N/A</v>
      </c>
      <c r="BL176" s="18" t="e">
        <f t="shared" si="212"/>
        <v>#N/A</v>
      </c>
      <c r="BM176" s="28" t="e">
        <f t="shared" si="257"/>
        <v>#N/A</v>
      </c>
      <c r="BN176" s="33">
        <f>HLOOKUP("maximum population",Miscelaneous!$C$1:$C$33,CH176+3,FALSE)</f>
        <v>240</v>
      </c>
      <c r="BO176" s="14">
        <f t="shared" si="223"/>
        <v>32</v>
      </c>
      <c r="BP176" s="14">
        <f t="shared" si="224"/>
        <v>0</v>
      </c>
      <c r="BQ176" s="14">
        <f t="shared" si="225"/>
        <v>208</v>
      </c>
      <c r="BR176" s="34" t="e">
        <f>HLOOKUP(J176,Villagers!$B$1:$V$33,L176+3,FALSE)-HLOOKUP(J176,Villagers!$B$1:$V$33,L176+2,FALSE)</f>
        <v>#N/A</v>
      </c>
      <c r="BS176" s="49">
        <f t="shared" si="226"/>
        <v>1</v>
      </c>
      <c r="BT176" s="50">
        <f t="shared" si="227"/>
        <v>0</v>
      </c>
      <c r="BU176" s="50">
        <f t="shared" si="228"/>
        <v>0</v>
      </c>
      <c r="BV176" s="50">
        <f t="shared" si="229"/>
        <v>0</v>
      </c>
      <c r="BW176" s="50">
        <f t="shared" ref="BW176:BY182" si="275">IF($J175=BW$14,$L175,BW175)</f>
        <v>0</v>
      </c>
      <c r="BX176" s="50">
        <f t="shared" si="275"/>
        <v>0</v>
      </c>
      <c r="BY176" s="50">
        <f t="shared" si="275"/>
        <v>0</v>
      </c>
      <c r="BZ176" s="50">
        <f t="shared" si="260"/>
        <v>0</v>
      </c>
      <c r="CA176" s="50">
        <f t="shared" si="261"/>
        <v>0</v>
      </c>
      <c r="CB176" s="50">
        <f t="shared" si="262"/>
        <v>1</v>
      </c>
      <c r="CC176" s="50">
        <f t="shared" si="263"/>
        <v>0</v>
      </c>
      <c r="CD176" s="50">
        <f t="shared" si="264"/>
        <v>0</v>
      </c>
      <c r="CE176" s="50">
        <f t="shared" si="265"/>
        <v>1</v>
      </c>
      <c r="CF176" s="50">
        <f t="shared" si="266"/>
        <v>1</v>
      </c>
      <c r="CG176" s="50">
        <f t="shared" si="267"/>
        <v>1</v>
      </c>
      <c r="CH176" s="50">
        <f t="shared" si="268"/>
        <v>1</v>
      </c>
      <c r="CI176" s="50">
        <f t="shared" si="269"/>
        <v>1</v>
      </c>
      <c r="CJ176" s="50">
        <f t="shared" si="270"/>
        <v>1</v>
      </c>
      <c r="CK176" s="50">
        <f t="shared" si="270"/>
        <v>0</v>
      </c>
      <c r="CL176" s="50">
        <f t="shared" si="270"/>
        <v>0</v>
      </c>
      <c r="CM176" s="51">
        <f t="shared" si="274"/>
        <v>0</v>
      </c>
      <c r="CN176" s="33">
        <f>ROUND(IF(BS176=0,0,HLOOKUP(BS$14,Villagers!$B$1:$V$33,BS176+3,FALSE)),)</f>
        <v>5</v>
      </c>
      <c r="CO176" s="14">
        <f>ROUND(IF(BT176=0,0,HLOOKUP(BT$14,Villagers!$B$1:$V$33,BT176+3,FALSE)),)</f>
        <v>0</v>
      </c>
      <c r="CP176" s="14">
        <f>ROUND(IF(BU176=0,0,HLOOKUP(BU$14,Villagers!$B$1:$V$33,BU176+3,FALSE)),)</f>
        <v>0</v>
      </c>
      <c r="CQ176" s="14">
        <f>ROUND(IF(BV176=0,0,HLOOKUP(BV$14,Villagers!$B$1:$V$33,BV176+3,FALSE)),)</f>
        <v>0</v>
      </c>
      <c r="CR176" s="14">
        <f>ROUND(IF(BW176=0,0,HLOOKUP(BW$14,Villagers!$B$1:$V$33,BW176+3,FALSE)),)</f>
        <v>0</v>
      </c>
      <c r="CS176" s="14">
        <f>ROUND(IF(BX176=0,0,HLOOKUP(BX$14,Villagers!$B$1:$V$33,BX176+3,FALSE)),)</f>
        <v>0</v>
      </c>
      <c r="CT176" s="14">
        <f>ROUND(IF(BY176=0,0,HLOOKUP(BY$14,Villagers!$B$1:$V$33,BY176+3,FALSE)),)</f>
        <v>0</v>
      </c>
      <c r="CU176" s="14">
        <f>ROUND(IF(BZ176=0,0,HLOOKUP(BZ$14,Villagers!$B$1:$V$33,BZ176+3,FALSE)),)</f>
        <v>0</v>
      </c>
      <c r="CV176" s="14">
        <f>ROUND(IF(CA176=0,0,HLOOKUP(CA$14,Villagers!$B$1:$V$33,CA176+3,FALSE)),)</f>
        <v>0</v>
      </c>
      <c r="CW176" s="14">
        <f>ROUND(IF(CB176=0,0,HLOOKUP(CB$14,Villagers!$B$1:$V$33,CB176+3,FALSE)),)</f>
        <v>0</v>
      </c>
      <c r="CX176" s="14">
        <f>ROUND(IF(CC176=0,0,HLOOKUP(CC$14,Villagers!$B$1:$V$33,CC176+3,FALSE)),)</f>
        <v>0</v>
      </c>
      <c r="CY176" s="14">
        <f>ROUND(IF(CD176=0,0,HLOOKUP(CD$14,Villagers!$B$1:$V$33,CD176+3,FALSE)),)</f>
        <v>0</v>
      </c>
      <c r="CZ176" s="14">
        <f>ROUND(IF(CE176=0,0,HLOOKUP(CE$14,Villagers!$B$1:$V$33,CE176+3,FALSE)),)</f>
        <v>5</v>
      </c>
      <c r="DA176" s="14">
        <f>ROUND(IF(CF176=0,0,HLOOKUP(CF$14,Villagers!$B$1:$V$33,CF176+3,FALSE)),)</f>
        <v>10</v>
      </c>
      <c r="DB176" s="14">
        <f>ROUND(IF(CG176=0,0,HLOOKUP(CG$14,Villagers!$B$1:$V$33,CG176+3,FALSE)),)</f>
        <v>10</v>
      </c>
      <c r="DC176" s="14">
        <f>ROUND(IF(CH176=0,0,HLOOKUP(CH$14,Villagers!$B$1:$V$33,CH176+3,FALSE)),)</f>
        <v>0</v>
      </c>
      <c r="DD176" s="14">
        <f>ROUND(IF(CI176=0,0,HLOOKUP(CI$14,Villagers!$B$1:$V$33,CI176+3,FALSE)),)</f>
        <v>0</v>
      </c>
      <c r="DE176" s="14">
        <f>ROUND(IF(CJ176=0,0,HLOOKUP(CJ$14,Villagers!$B$1:$V$33,CJ176+3,FALSE)),)</f>
        <v>2</v>
      </c>
      <c r="DF176" s="370">
        <f>ROUND(IF(CK176=0,0,HLOOKUP(CK$14,Villagers!$B$1:$V$33,CK176+3,FALSE)),)</f>
        <v>0</v>
      </c>
      <c r="DG176" s="370">
        <f>ROUND(IF(CL176=0,0,HLOOKUP(CL$14,Villagers!$B$1:$V$33,CL176+3,FALSE)),)</f>
        <v>0</v>
      </c>
      <c r="DH176" s="34">
        <f>ROUND(IF(CM176=0,0,HLOOKUP(CM$14,Villagers!$B$1:$V$33,CM176+3,FALSE)),)</f>
        <v>0</v>
      </c>
      <c r="DI176" s="109">
        <f t="shared" si="246"/>
        <v>0</v>
      </c>
      <c r="DJ176" s="50">
        <f t="shared" si="247"/>
        <v>0</v>
      </c>
      <c r="DK176" s="50">
        <f t="shared" si="248"/>
        <v>0</v>
      </c>
      <c r="DL176" s="50">
        <f t="shared" si="249"/>
        <v>0</v>
      </c>
      <c r="DM176" s="50">
        <f t="shared" si="250"/>
        <v>0</v>
      </c>
      <c r="DN176" s="50">
        <f t="shared" si="251"/>
        <v>0</v>
      </c>
      <c r="DO176" s="50">
        <f t="shared" si="252"/>
        <v>0</v>
      </c>
      <c r="DP176" s="50">
        <f t="shared" si="253"/>
        <v>0</v>
      </c>
      <c r="DQ176" s="50">
        <f t="shared" si="231"/>
        <v>0</v>
      </c>
      <c r="DR176" s="50">
        <f t="shared" si="232"/>
        <v>0</v>
      </c>
      <c r="DS176" s="96">
        <f>Miscelaneous!$D$4*Miscelaneous!$D$2^($CI176-1)</f>
        <v>1000</v>
      </c>
      <c r="DT176" s="333">
        <f t="shared" si="213"/>
        <v>1</v>
      </c>
      <c r="DU176" s="81">
        <v>1</v>
      </c>
      <c r="DV176" s="79">
        <f t="shared" si="233"/>
        <v>0</v>
      </c>
      <c r="DW176" s="79">
        <f t="shared" si="234"/>
        <v>0</v>
      </c>
      <c r="DX176" s="79">
        <f t="shared" si="235"/>
        <v>0</v>
      </c>
      <c r="DY176" s="79">
        <v>1</v>
      </c>
      <c r="DZ176" s="79">
        <f t="shared" si="236"/>
        <v>0</v>
      </c>
      <c r="EA176" s="79">
        <f t="shared" si="237"/>
        <v>0</v>
      </c>
      <c r="EB176" s="79">
        <f t="shared" si="238"/>
        <v>0</v>
      </c>
      <c r="EC176" s="79">
        <f t="shared" si="239"/>
        <v>0</v>
      </c>
      <c r="ED176" s="79">
        <v>1</v>
      </c>
      <c r="EE176" s="79">
        <v>1</v>
      </c>
      <c r="EF176" s="79">
        <f t="shared" si="240"/>
        <v>0</v>
      </c>
      <c r="EG176" s="79">
        <v>1</v>
      </c>
      <c r="EH176" s="79">
        <v>1</v>
      </c>
      <c r="EI176" s="79">
        <v>1</v>
      </c>
      <c r="EJ176" s="79">
        <v>1</v>
      </c>
      <c r="EK176" s="79">
        <v>1</v>
      </c>
      <c r="EL176" s="79">
        <v>1</v>
      </c>
      <c r="EM176" s="143">
        <f t="shared" si="241"/>
        <v>0</v>
      </c>
      <c r="EN176" s="143">
        <f t="shared" si="242"/>
        <v>0</v>
      </c>
      <c r="EO176" s="82">
        <f t="shared" si="243"/>
        <v>0</v>
      </c>
    </row>
    <row r="177" spans="1:145" x14ac:dyDescent="0.25">
      <c r="A177">
        <v>163</v>
      </c>
      <c r="B177" s="172" t="e">
        <f t="shared" si="214"/>
        <v>#N/A</v>
      </c>
      <c r="C177" s="121" t="e">
        <f t="shared" si="193"/>
        <v>#N/A</v>
      </c>
      <c r="D177" s="122" t="e">
        <f t="shared" si="194"/>
        <v>#N/A</v>
      </c>
      <c r="E177" s="122" t="e">
        <f t="shared" si="195"/>
        <v>#N/A</v>
      </c>
      <c r="F177" s="176" t="e">
        <f t="shared" si="196"/>
        <v>#N/A</v>
      </c>
      <c r="G177" s="121">
        <f t="shared" si="215"/>
        <v>208</v>
      </c>
      <c r="H177" s="176" t="e">
        <f t="shared" si="216"/>
        <v>#N/A</v>
      </c>
      <c r="I177" s="48">
        <v>1</v>
      </c>
      <c r="J177" s="39"/>
      <c r="K177" s="350">
        <v>1</v>
      </c>
      <c r="L177" s="34" t="e">
        <f t="shared" si="197"/>
        <v>#N/A</v>
      </c>
      <c r="M177" s="38" t="e">
        <f>(HLOOKUP(J177,'Construction Times'!$B$3:$W$34,L177+2,FALSE)*HLOOKUP("hq modifier",'Construction Times'!$W$3:$W$34,BS177+2,FALSE))*(1-$H$9)</f>
        <v>#N/A</v>
      </c>
      <c r="N177" s="443" t="e">
        <f t="shared" si="217"/>
        <v>#N/A</v>
      </c>
      <c r="O177" s="444"/>
      <c r="P177" s="447" t="e">
        <f t="shared" si="218"/>
        <v>#N/A</v>
      </c>
      <c r="Q177" s="448"/>
      <c r="R177" s="103">
        <f t="shared" si="244"/>
        <v>0</v>
      </c>
      <c r="S177" s="104">
        <f t="shared" si="244"/>
        <v>0</v>
      </c>
      <c r="T177" s="104">
        <f t="shared" si="245"/>
        <v>0</v>
      </c>
      <c r="U177" s="104">
        <f t="shared" si="245"/>
        <v>0</v>
      </c>
      <c r="V177" s="104">
        <f t="shared" si="245"/>
        <v>9.9999999999999995E-8</v>
      </c>
      <c r="W177" s="104">
        <f t="shared" si="245"/>
        <v>0</v>
      </c>
      <c r="X177" s="104">
        <f t="shared" si="273"/>
        <v>0</v>
      </c>
      <c r="Y177" s="104">
        <f t="shared" si="273"/>
        <v>9.9999999999999995E-8</v>
      </c>
      <c r="Z177" s="104">
        <f t="shared" si="273"/>
        <v>9.9999999999999995E-8</v>
      </c>
      <c r="AA177" s="105">
        <f t="shared" si="273"/>
        <v>9.9999999999999995E-8</v>
      </c>
      <c r="AB177" s="101" t="e">
        <f>$DT177*HLOOKUP($J177,'Construction Costs (timber)'!$B$1:$V$32,'Construction Planner'!$L177+2,FALSE)</f>
        <v>#N/A</v>
      </c>
      <c r="AC177" s="14" t="e">
        <f>$DT177*HLOOKUP($J177,'Construction Costs (clay)'!$B$1:$V$32,'Construction Planner'!$L177+2,FALSE)</f>
        <v>#N/A</v>
      </c>
      <c r="AD177" s="14" t="e">
        <f>$DT177*HLOOKUP($J177,'Construction Costs (iron)'!$B$1:$V$32,'Construction Planner'!$L177+2,FALSE)</f>
        <v>#N/A</v>
      </c>
      <c r="AE177" s="34" t="e">
        <f t="shared" si="254"/>
        <v>#N/A</v>
      </c>
      <c r="AF177" s="33" t="e">
        <f t="shared" si="198"/>
        <v>#N/A</v>
      </c>
      <c r="AG177" s="14" t="e">
        <f t="shared" si="199"/>
        <v>#N/A</v>
      </c>
      <c r="AH177" s="14" t="e">
        <f t="shared" si="200"/>
        <v>#N/A</v>
      </c>
      <c r="AI177" s="34" t="e">
        <f t="shared" si="255"/>
        <v>#N/A</v>
      </c>
      <c r="AJ177" s="49" t="e">
        <f t="shared" si="219"/>
        <v>#N/A</v>
      </c>
      <c r="AK177" s="49" t="e">
        <f t="shared" si="220"/>
        <v>#N/A</v>
      </c>
      <c r="AL177" s="49" t="e">
        <f t="shared" si="221"/>
        <v>#N/A</v>
      </c>
      <c r="AM177" s="25">
        <f t="shared" si="201"/>
        <v>30</v>
      </c>
      <c r="AN177" s="25">
        <f t="shared" si="202"/>
        <v>30</v>
      </c>
      <c r="AO177" s="25">
        <f t="shared" si="203"/>
        <v>30</v>
      </c>
      <c r="AP177" s="52" t="e">
        <f t="shared" si="222"/>
        <v>#N/A</v>
      </c>
      <c r="AQ177" s="53" t="e">
        <f t="shared" si="222"/>
        <v>#N/A</v>
      </c>
      <c r="AR177" s="54" t="e">
        <f t="shared" si="222"/>
        <v>#N/A</v>
      </c>
      <c r="AS177" s="316">
        <f t="shared" si="272"/>
        <v>0</v>
      </c>
      <c r="AT177" s="106">
        <f>_xlfn.IFNA($M177/VLOOKUP($BT177,'Unit information'!$A$2:$K$29,2,FALSE)*R177,0)*(1+$E$9)</f>
        <v>0</v>
      </c>
      <c r="AU177" s="107">
        <f>_xlfn.IFNA($M177/VLOOKUP($BT177,'Unit information'!$A$2:$K$29,3,FALSE)*S177,0)*(1+$E$9)</f>
        <v>0</v>
      </c>
      <c r="AV177" s="107">
        <f>_xlfn.IFNA($M177/VLOOKUP($BT177,'Unit information'!$A$2:$K$29,4,FALSE)*T177,0)*(1+$E$9)</f>
        <v>0</v>
      </c>
      <c r="AW177" s="107">
        <f>_xlfn.IFNA($M177/VLOOKUP($BT177,'Unit information'!$A$2:$K$29,5,FALSE)*U177,0)*(1+$E$9)</f>
        <v>0</v>
      </c>
      <c r="AX177" s="107">
        <f>_xlfn.IFNA($M177/VLOOKUP($BU177,'Unit information'!$A$2:$K$29,6,FALSE)*V177,0)*(1+$E$9)</f>
        <v>0</v>
      </c>
      <c r="AY177" s="107">
        <f>_xlfn.IFNA($M177/VLOOKUP($BU177,'Unit information'!$A$2:$K$29,7,FALSE)*W177,0)*(1+$E$9)</f>
        <v>0</v>
      </c>
      <c r="AZ177" s="107">
        <f>_xlfn.IFNA($M177/VLOOKUP($BU177,'Unit information'!$A$2:$K$29,8,FALSE)*X177,0)*(1+$E$9)</f>
        <v>0</v>
      </c>
      <c r="BA177" s="107">
        <f>_xlfn.IFNA($M177/VLOOKUP($BU177,'Unit information'!$A$2:$K$29,9,FALSE)*Y177,0)*(1+$E$9)</f>
        <v>0</v>
      </c>
      <c r="BB177" s="107">
        <f>_xlfn.IFNA($M177/VLOOKUP($BV177,'Unit information'!$A$2:$K$29,10,FALSE)*Z177,0)*(1+$E$9)</f>
        <v>0</v>
      </c>
      <c r="BC177" s="108">
        <f>_xlfn.IFNA($M177/VLOOKUP($BV177,'Unit information'!$A$2:$K$29,11,FALSE)*AA177,0)*(1+$E$9)</f>
        <v>0</v>
      </c>
      <c r="BD177" s="106">
        <f t="shared" si="204"/>
        <v>0</v>
      </c>
      <c r="BE177" s="107">
        <f t="shared" si="205"/>
        <v>0</v>
      </c>
      <c r="BF177" s="108">
        <f t="shared" si="206"/>
        <v>0</v>
      </c>
      <c r="BG177" s="25" t="e">
        <f t="shared" si="207"/>
        <v>#N/A</v>
      </c>
      <c r="BH177" s="25" t="e">
        <f t="shared" si="208"/>
        <v>#N/A</v>
      </c>
      <c r="BI177" s="25" t="e">
        <f t="shared" si="209"/>
        <v>#N/A</v>
      </c>
      <c r="BJ177" s="27" t="e">
        <f t="shared" si="210"/>
        <v>#N/A</v>
      </c>
      <c r="BK177" s="18" t="e">
        <f t="shared" si="211"/>
        <v>#N/A</v>
      </c>
      <c r="BL177" s="18" t="e">
        <f t="shared" si="212"/>
        <v>#N/A</v>
      </c>
      <c r="BM177" s="28" t="e">
        <f t="shared" si="257"/>
        <v>#N/A</v>
      </c>
      <c r="BN177" s="33">
        <f>HLOOKUP("maximum population",Miscelaneous!$C$1:$C$33,CH177+3,FALSE)</f>
        <v>240</v>
      </c>
      <c r="BO177" s="14">
        <f t="shared" si="223"/>
        <v>32</v>
      </c>
      <c r="BP177" s="14">
        <f t="shared" si="224"/>
        <v>0</v>
      </c>
      <c r="BQ177" s="14">
        <f t="shared" si="225"/>
        <v>208</v>
      </c>
      <c r="BR177" s="34" t="e">
        <f>HLOOKUP(J177,Villagers!$B$1:$V$33,L177+3,FALSE)-HLOOKUP(J177,Villagers!$B$1:$V$33,L177+2,FALSE)</f>
        <v>#N/A</v>
      </c>
      <c r="BS177" s="49">
        <f t="shared" si="226"/>
        <v>1</v>
      </c>
      <c r="BT177" s="50">
        <f t="shared" si="227"/>
        <v>0</v>
      </c>
      <c r="BU177" s="50">
        <f t="shared" si="228"/>
        <v>0</v>
      </c>
      <c r="BV177" s="50">
        <f t="shared" si="229"/>
        <v>0</v>
      </c>
      <c r="BW177" s="50">
        <f t="shared" si="275"/>
        <v>0</v>
      </c>
      <c r="BX177" s="50">
        <f t="shared" si="275"/>
        <v>0</v>
      </c>
      <c r="BY177" s="50">
        <f t="shared" si="275"/>
        <v>0</v>
      </c>
      <c r="BZ177" s="50">
        <f t="shared" si="260"/>
        <v>0</v>
      </c>
      <c r="CA177" s="50">
        <f t="shared" si="261"/>
        <v>0</v>
      </c>
      <c r="CB177" s="50">
        <f t="shared" si="262"/>
        <v>1</v>
      </c>
      <c r="CC177" s="50">
        <f t="shared" si="263"/>
        <v>0</v>
      </c>
      <c r="CD177" s="50">
        <f t="shared" si="264"/>
        <v>0</v>
      </c>
      <c r="CE177" s="50">
        <f t="shared" si="265"/>
        <v>1</v>
      </c>
      <c r="CF177" s="50">
        <f t="shared" si="266"/>
        <v>1</v>
      </c>
      <c r="CG177" s="50">
        <f t="shared" si="267"/>
        <v>1</v>
      </c>
      <c r="CH177" s="50">
        <f t="shared" si="268"/>
        <v>1</v>
      </c>
      <c r="CI177" s="50">
        <f t="shared" si="269"/>
        <v>1</v>
      </c>
      <c r="CJ177" s="50">
        <f t="shared" si="270"/>
        <v>1</v>
      </c>
      <c r="CK177" s="50">
        <f t="shared" si="270"/>
        <v>0</v>
      </c>
      <c r="CL177" s="50">
        <f t="shared" si="270"/>
        <v>0</v>
      </c>
      <c r="CM177" s="51">
        <f t="shared" si="274"/>
        <v>0</v>
      </c>
      <c r="CN177" s="33">
        <f>ROUND(IF(BS177=0,0,HLOOKUP(BS$14,Villagers!$B$1:$V$33,BS177+3,FALSE)),)</f>
        <v>5</v>
      </c>
      <c r="CO177" s="14">
        <f>ROUND(IF(BT177=0,0,HLOOKUP(BT$14,Villagers!$B$1:$V$33,BT177+3,FALSE)),)</f>
        <v>0</v>
      </c>
      <c r="CP177" s="14">
        <f>ROUND(IF(BU177=0,0,HLOOKUP(BU$14,Villagers!$B$1:$V$33,BU177+3,FALSE)),)</f>
        <v>0</v>
      </c>
      <c r="CQ177" s="14">
        <f>ROUND(IF(BV177=0,0,HLOOKUP(BV$14,Villagers!$B$1:$V$33,BV177+3,FALSE)),)</f>
        <v>0</v>
      </c>
      <c r="CR177" s="14">
        <f>ROUND(IF(BW177=0,0,HLOOKUP(BW$14,Villagers!$B$1:$V$33,BW177+3,FALSE)),)</f>
        <v>0</v>
      </c>
      <c r="CS177" s="14">
        <f>ROUND(IF(BX177=0,0,HLOOKUP(BX$14,Villagers!$B$1:$V$33,BX177+3,FALSE)),)</f>
        <v>0</v>
      </c>
      <c r="CT177" s="14">
        <f>ROUND(IF(BY177=0,0,HLOOKUP(BY$14,Villagers!$B$1:$V$33,BY177+3,FALSE)),)</f>
        <v>0</v>
      </c>
      <c r="CU177" s="14">
        <f>ROUND(IF(BZ177=0,0,HLOOKUP(BZ$14,Villagers!$B$1:$V$33,BZ177+3,FALSE)),)</f>
        <v>0</v>
      </c>
      <c r="CV177" s="14">
        <f>ROUND(IF(CA177=0,0,HLOOKUP(CA$14,Villagers!$B$1:$V$33,CA177+3,FALSE)),)</f>
        <v>0</v>
      </c>
      <c r="CW177" s="14">
        <f>ROUND(IF(CB177=0,0,HLOOKUP(CB$14,Villagers!$B$1:$V$33,CB177+3,FALSE)),)</f>
        <v>0</v>
      </c>
      <c r="CX177" s="14">
        <f>ROUND(IF(CC177=0,0,HLOOKUP(CC$14,Villagers!$B$1:$V$33,CC177+3,FALSE)),)</f>
        <v>0</v>
      </c>
      <c r="CY177" s="14">
        <f>ROUND(IF(CD177=0,0,HLOOKUP(CD$14,Villagers!$B$1:$V$33,CD177+3,FALSE)),)</f>
        <v>0</v>
      </c>
      <c r="CZ177" s="14">
        <f>ROUND(IF(CE177=0,0,HLOOKUP(CE$14,Villagers!$B$1:$V$33,CE177+3,FALSE)),)</f>
        <v>5</v>
      </c>
      <c r="DA177" s="14">
        <f>ROUND(IF(CF177=0,0,HLOOKUP(CF$14,Villagers!$B$1:$V$33,CF177+3,FALSE)),)</f>
        <v>10</v>
      </c>
      <c r="DB177" s="14">
        <f>ROUND(IF(CG177=0,0,HLOOKUP(CG$14,Villagers!$B$1:$V$33,CG177+3,FALSE)),)</f>
        <v>10</v>
      </c>
      <c r="DC177" s="14">
        <f>ROUND(IF(CH177=0,0,HLOOKUP(CH$14,Villagers!$B$1:$V$33,CH177+3,FALSE)),)</f>
        <v>0</v>
      </c>
      <c r="DD177" s="14">
        <f>ROUND(IF(CI177=0,0,HLOOKUP(CI$14,Villagers!$B$1:$V$33,CI177+3,FALSE)),)</f>
        <v>0</v>
      </c>
      <c r="DE177" s="14">
        <f>ROUND(IF(CJ177=0,0,HLOOKUP(CJ$14,Villagers!$B$1:$V$33,CJ177+3,FALSE)),)</f>
        <v>2</v>
      </c>
      <c r="DF177" s="370">
        <f>ROUND(IF(CK177=0,0,HLOOKUP(CK$14,Villagers!$B$1:$V$33,CK177+3,FALSE)),)</f>
        <v>0</v>
      </c>
      <c r="DG177" s="370">
        <f>ROUND(IF(CL177=0,0,HLOOKUP(CL$14,Villagers!$B$1:$V$33,CL177+3,FALSE)),)</f>
        <v>0</v>
      </c>
      <c r="DH177" s="34">
        <f>ROUND(IF(CM177=0,0,HLOOKUP(CM$14,Villagers!$B$1:$V$33,CM177+3,FALSE)),)</f>
        <v>0</v>
      </c>
      <c r="DI177" s="109">
        <f t="shared" si="246"/>
        <v>0</v>
      </c>
      <c r="DJ177" s="50">
        <f t="shared" si="247"/>
        <v>0</v>
      </c>
      <c r="DK177" s="50">
        <f t="shared" si="248"/>
        <v>0</v>
      </c>
      <c r="DL177" s="50">
        <f t="shared" si="249"/>
        <v>0</v>
      </c>
      <c r="DM177" s="50">
        <f t="shared" si="250"/>
        <v>0</v>
      </c>
      <c r="DN177" s="50">
        <f t="shared" si="251"/>
        <v>0</v>
      </c>
      <c r="DO177" s="50">
        <f t="shared" si="252"/>
        <v>0</v>
      </c>
      <c r="DP177" s="50">
        <f t="shared" si="253"/>
        <v>0</v>
      </c>
      <c r="DQ177" s="50">
        <f t="shared" si="231"/>
        <v>0</v>
      </c>
      <c r="DR177" s="50">
        <f t="shared" si="232"/>
        <v>0</v>
      </c>
      <c r="DS177" s="96">
        <f>Miscelaneous!$D$4*Miscelaneous!$D$2^($CI177-1)</f>
        <v>1000</v>
      </c>
      <c r="DT177" s="333">
        <f t="shared" si="213"/>
        <v>1</v>
      </c>
      <c r="DU177" s="81">
        <v>1</v>
      </c>
      <c r="DV177" s="79">
        <f t="shared" si="233"/>
        <v>0</v>
      </c>
      <c r="DW177" s="79">
        <f t="shared" si="234"/>
        <v>0</v>
      </c>
      <c r="DX177" s="79">
        <f t="shared" si="235"/>
        <v>0</v>
      </c>
      <c r="DY177" s="79">
        <v>1</v>
      </c>
      <c r="DZ177" s="79">
        <f t="shared" si="236"/>
        <v>0</v>
      </c>
      <c r="EA177" s="79">
        <f t="shared" si="237"/>
        <v>0</v>
      </c>
      <c r="EB177" s="79">
        <f t="shared" si="238"/>
        <v>0</v>
      </c>
      <c r="EC177" s="79">
        <f t="shared" si="239"/>
        <v>0</v>
      </c>
      <c r="ED177" s="79">
        <v>1</v>
      </c>
      <c r="EE177" s="79">
        <v>1</v>
      </c>
      <c r="EF177" s="79">
        <f t="shared" si="240"/>
        <v>0</v>
      </c>
      <c r="EG177" s="79">
        <v>1</v>
      </c>
      <c r="EH177" s="79">
        <v>1</v>
      </c>
      <c r="EI177" s="79">
        <v>1</v>
      </c>
      <c r="EJ177" s="79">
        <v>1</v>
      </c>
      <c r="EK177" s="79">
        <v>1</v>
      </c>
      <c r="EL177" s="79">
        <v>1</v>
      </c>
      <c r="EM177" s="143">
        <f t="shared" si="241"/>
        <v>0</v>
      </c>
      <c r="EN177" s="143">
        <f t="shared" si="242"/>
        <v>0</v>
      </c>
      <c r="EO177" s="82">
        <f t="shared" si="243"/>
        <v>0</v>
      </c>
    </row>
    <row r="178" spans="1:145" x14ac:dyDescent="0.25">
      <c r="A178">
        <v>164</v>
      </c>
      <c r="B178" s="172" t="e">
        <f t="shared" si="214"/>
        <v>#N/A</v>
      </c>
      <c r="C178" s="121" t="e">
        <f t="shared" si="193"/>
        <v>#N/A</v>
      </c>
      <c r="D178" s="122" t="e">
        <f t="shared" si="194"/>
        <v>#N/A</v>
      </c>
      <c r="E178" s="122" t="e">
        <f t="shared" si="195"/>
        <v>#N/A</v>
      </c>
      <c r="F178" s="176" t="e">
        <f t="shared" si="196"/>
        <v>#N/A</v>
      </c>
      <c r="G178" s="121">
        <f t="shared" si="215"/>
        <v>208</v>
      </c>
      <c r="H178" s="176" t="e">
        <f t="shared" si="216"/>
        <v>#N/A</v>
      </c>
      <c r="I178" s="48">
        <v>1</v>
      </c>
      <c r="J178" s="39"/>
      <c r="K178" s="350">
        <v>1</v>
      </c>
      <c r="L178" s="34" t="e">
        <f t="shared" si="197"/>
        <v>#N/A</v>
      </c>
      <c r="M178" s="38" t="e">
        <f>(HLOOKUP(J178,'Construction Times'!$B$3:$W$34,L178+2,FALSE)*HLOOKUP("hq modifier",'Construction Times'!$W$3:$W$34,BS178+2,FALSE))*(1-$H$9)</f>
        <v>#N/A</v>
      </c>
      <c r="N178" s="443" t="e">
        <f t="shared" si="217"/>
        <v>#N/A</v>
      </c>
      <c r="O178" s="444"/>
      <c r="P178" s="447" t="e">
        <f t="shared" si="218"/>
        <v>#N/A</v>
      </c>
      <c r="Q178" s="448"/>
      <c r="R178" s="103">
        <f t="shared" si="244"/>
        <v>0</v>
      </c>
      <c r="S178" s="104">
        <f t="shared" si="244"/>
        <v>0</v>
      </c>
      <c r="T178" s="104">
        <f t="shared" si="245"/>
        <v>0</v>
      </c>
      <c r="U178" s="104">
        <f t="shared" si="245"/>
        <v>0</v>
      </c>
      <c r="V178" s="104">
        <f t="shared" si="245"/>
        <v>9.9999999999999995E-8</v>
      </c>
      <c r="W178" s="104">
        <f t="shared" si="245"/>
        <v>0</v>
      </c>
      <c r="X178" s="104">
        <f t="shared" si="273"/>
        <v>0</v>
      </c>
      <c r="Y178" s="104">
        <f t="shared" si="273"/>
        <v>9.9999999999999995E-8</v>
      </c>
      <c r="Z178" s="104">
        <f t="shared" si="273"/>
        <v>9.9999999999999995E-8</v>
      </c>
      <c r="AA178" s="105">
        <f t="shared" si="273"/>
        <v>9.9999999999999995E-8</v>
      </c>
      <c r="AB178" s="101" t="e">
        <f>$DT178*HLOOKUP($J178,'Construction Costs (timber)'!$B$1:$V$32,'Construction Planner'!$L178+2,FALSE)</f>
        <v>#N/A</v>
      </c>
      <c r="AC178" s="14" t="e">
        <f>$DT178*HLOOKUP($J178,'Construction Costs (clay)'!$B$1:$V$32,'Construction Planner'!$L178+2,FALSE)</f>
        <v>#N/A</v>
      </c>
      <c r="AD178" s="14" t="e">
        <f>$DT178*HLOOKUP($J178,'Construction Costs (iron)'!$B$1:$V$32,'Construction Planner'!$L178+2,FALSE)</f>
        <v>#N/A</v>
      </c>
      <c r="AE178" s="34" t="e">
        <f t="shared" si="254"/>
        <v>#N/A</v>
      </c>
      <c r="AF178" s="33" t="e">
        <f t="shared" si="198"/>
        <v>#N/A</v>
      </c>
      <c r="AG178" s="14" t="e">
        <f t="shared" si="199"/>
        <v>#N/A</v>
      </c>
      <c r="AH178" s="14" t="e">
        <f t="shared" si="200"/>
        <v>#N/A</v>
      </c>
      <c r="AI178" s="34" t="e">
        <f t="shared" si="255"/>
        <v>#N/A</v>
      </c>
      <c r="AJ178" s="49" t="e">
        <f t="shared" si="219"/>
        <v>#N/A</v>
      </c>
      <c r="AK178" s="49" t="e">
        <f t="shared" si="220"/>
        <v>#N/A</v>
      </c>
      <c r="AL178" s="49" t="e">
        <f t="shared" si="221"/>
        <v>#N/A</v>
      </c>
      <c r="AM178" s="25">
        <f t="shared" si="201"/>
        <v>30</v>
      </c>
      <c r="AN178" s="25">
        <f t="shared" si="202"/>
        <v>30</v>
      </c>
      <c r="AO178" s="25">
        <f t="shared" si="203"/>
        <v>30</v>
      </c>
      <c r="AP178" s="52" t="e">
        <f t="shared" si="222"/>
        <v>#N/A</v>
      </c>
      <c r="AQ178" s="53" t="e">
        <f t="shared" si="222"/>
        <v>#N/A</v>
      </c>
      <c r="AR178" s="54" t="e">
        <f t="shared" si="222"/>
        <v>#N/A</v>
      </c>
      <c r="AS178" s="316">
        <f t="shared" si="272"/>
        <v>0</v>
      </c>
      <c r="AT178" s="106">
        <f>_xlfn.IFNA($M178/VLOOKUP($BT178,'Unit information'!$A$2:$K$29,2,FALSE)*R178,0)*(1+$E$9)</f>
        <v>0</v>
      </c>
      <c r="AU178" s="107">
        <f>_xlfn.IFNA($M178/VLOOKUP($BT178,'Unit information'!$A$2:$K$29,3,FALSE)*S178,0)*(1+$E$9)</f>
        <v>0</v>
      </c>
      <c r="AV178" s="107">
        <f>_xlfn.IFNA($M178/VLOOKUP($BT178,'Unit information'!$A$2:$K$29,4,FALSE)*T178,0)*(1+$E$9)</f>
        <v>0</v>
      </c>
      <c r="AW178" s="107">
        <f>_xlfn.IFNA($M178/VLOOKUP($BT178,'Unit information'!$A$2:$K$29,5,FALSE)*U178,0)*(1+$E$9)</f>
        <v>0</v>
      </c>
      <c r="AX178" s="107">
        <f>_xlfn.IFNA($M178/VLOOKUP($BU178,'Unit information'!$A$2:$K$29,6,FALSE)*V178,0)*(1+$E$9)</f>
        <v>0</v>
      </c>
      <c r="AY178" s="107">
        <f>_xlfn.IFNA($M178/VLOOKUP($BU178,'Unit information'!$A$2:$K$29,7,FALSE)*W178,0)*(1+$E$9)</f>
        <v>0</v>
      </c>
      <c r="AZ178" s="107">
        <f>_xlfn.IFNA($M178/VLOOKUP($BU178,'Unit information'!$A$2:$K$29,8,FALSE)*X178,0)*(1+$E$9)</f>
        <v>0</v>
      </c>
      <c r="BA178" s="107">
        <f>_xlfn.IFNA($M178/VLOOKUP($BU178,'Unit information'!$A$2:$K$29,9,FALSE)*Y178,0)*(1+$E$9)</f>
        <v>0</v>
      </c>
      <c r="BB178" s="107">
        <f>_xlfn.IFNA($M178/VLOOKUP($BV178,'Unit information'!$A$2:$K$29,10,FALSE)*Z178,0)*(1+$E$9)</f>
        <v>0</v>
      </c>
      <c r="BC178" s="108">
        <f>_xlfn.IFNA($M178/VLOOKUP($BV178,'Unit information'!$A$2:$K$29,11,FALSE)*AA178,0)*(1+$E$9)</f>
        <v>0</v>
      </c>
      <c r="BD178" s="106">
        <f t="shared" si="204"/>
        <v>0</v>
      </c>
      <c r="BE178" s="107">
        <f t="shared" si="205"/>
        <v>0</v>
      </c>
      <c r="BF178" s="108">
        <f t="shared" si="206"/>
        <v>0</v>
      </c>
      <c r="BG178" s="25" t="e">
        <f t="shared" si="207"/>
        <v>#N/A</v>
      </c>
      <c r="BH178" s="25" t="e">
        <f t="shared" si="208"/>
        <v>#N/A</v>
      </c>
      <c r="BI178" s="25" t="e">
        <f t="shared" si="209"/>
        <v>#N/A</v>
      </c>
      <c r="BJ178" s="27" t="e">
        <f t="shared" si="210"/>
        <v>#N/A</v>
      </c>
      <c r="BK178" s="18" t="e">
        <f t="shared" si="211"/>
        <v>#N/A</v>
      </c>
      <c r="BL178" s="18" t="e">
        <f t="shared" si="212"/>
        <v>#N/A</v>
      </c>
      <c r="BM178" s="28" t="e">
        <f t="shared" si="257"/>
        <v>#N/A</v>
      </c>
      <c r="BN178" s="33">
        <f>HLOOKUP("maximum population",Miscelaneous!$C$1:$C$33,CH178+3,FALSE)</f>
        <v>240</v>
      </c>
      <c r="BO178" s="14">
        <f t="shared" si="223"/>
        <v>32</v>
      </c>
      <c r="BP178" s="14">
        <f t="shared" si="224"/>
        <v>0</v>
      </c>
      <c r="BQ178" s="14">
        <f t="shared" si="225"/>
        <v>208</v>
      </c>
      <c r="BR178" s="34" t="e">
        <f>HLOOKUP(J178,Villagers!$B$1:$V$33,L178+3,FALSE)-HLOOKUP(J178,Villagers!$B$1:$V$33,L178+2,FALSE)</f>
        <v>#N/A</v>
      </c>
      <c r="BS178" s="49">
        <f t="shared" si="226"/>
        <v>1</v>
      </c>
      <c r="BT178" s="50">
        <f t="shared" si="227"/>
        <v>0</v>
      </c>
      <c r="BU178" s="50">
        <f t="shared" si="228"/>
        <v>0</v>
      </c>
      <c r="BV178" s="50">
        <f t="shared" si="229"/>
        <v>0</v>
      </c>
      <c r="BW178" s="50">
        <f t="shared" si="275"/>
        <v>0</v>
      </c>
      <c r="BX178" s="50">
        <f t="shared" si="275"/>
        <v>0</v>
      </c>
      <c r="BY178" s="50">
        <f t="shared" si="275"/>
        <v>0</v>
      </c>
      <c r="BZ178" s="50">
        <f t="shared" si="260"/>
        <v>0</v>
      </c>
      <c r="CA178" s="50">
        <f t="shared" si="261"/>
        <v>0</v>
      </c>
      <c r="CB178" s="50">
        <f t="shared" si="262"/>
        <v>1</v>
      </c>
      <c r="CC178" s="50">
        <f t="shared" si="263"/>
        <v>0</v>
      </c>
      <c r="CD178" s="50">
        <f t="shared" si="264"/>
        <v>0</v>
      </c>
      <c r="CE178" s="50">
        <f t="shared" si="265"/>
        <v>1</v>
      </c>
      <c r="CF178" s="50">
        <f t="shared" si="266"/>
        <v>1</v>
      </c>
      <c r="CG178" s="50">
        <f t="shared" si="267"/>
        <v>1</v>
      </c>
      <c r="CH178" s="50">
        <f t="shared" si="268"/>
        <v>1</v>
      </c>
      <c r="CI178" s="50">
        <f t="shared" si="269"/>
        <v>1</v>
      </c>
      <c r="CJ178" s="50">
        <f t="shared" si="270"/>
        <v>1</v>
      </c>
      <c r="CK178" s="50">
        <f t="shared" si="270"/>
        <v>0</v>
      </c>
      <c r="CL178" s="50">
        <f t="shared" si="270"/>
        <v>0</v>
      </c>
      <c r="CM178" s="51">
        <f t="shared" si="274"/>
        <v>0</v>
      </c>
      <c r="CN178" s="33">
        <f>ROUND(IF(BS178=0,0,HLOOKUP(BS$14,Villagers!$B$1:$V$33,BS178+3,FALSE)),)</f>
        <v>5</v>
      </c>
      <c r="CO178" s="14">
        <f>ROUND(IF(BT178=0,0,HLOOKUP(BT$14,Villagers!$B$1:$V$33,BT178+3,FALSE)),)</f>
        <v>0</v>
      </c>
      <c r="CP178" s="14">
        <f>ROUND(IF(BU178=0,0,HLOOKUP(BU$14,Villagers!$B$1:$V$33,BU178+3,FALSE)),)</f>
        <v>0</v>
      </c>
      <c r="CQ178" s="14">
        <f>ROUND(IF(BV178=0,0,HLOOKUP(BV$14,Villagers!$B$1:$V$33,BV178+3,FALSE)),)</f>
        <v>0</v>
      </c>
      <c r="CR178" s="14">
        <f>ROUND(IF(BW178=0,0,HLOOKUP(BW$14,Villagers!$B$1:$V$33,BW178+3,FALSE)),)</f>
        <v>0</v>
      </c>
      <c r="CS178" s="14">
        <f>ROUND(IF(BX178=0,0,HLOOKUP(BX$14,Villagers!$B$1:$V$33,BX178+3,FALSE)),)</f>
        <v>0</v>
      </c>
      <c r="CT178" s="14">
        <f>ROUND(IF(BY178=0,0,HLOOKUP(BY$14,Villagers!$B$1:$V$33,BY178+3,FALSE)),)</f>
        <v>0</v>
      </c>
      <c r="CU178" s="14">
        <f>ROUND(IF(BZ178=0,0,HLOOKUP(BZ$14,Villagers!$B$1:$V$33,BZ178+3,FALSE)),)</f>
        <v>0</v>
      </c>
      <c r="CV178" s="14">
        <f>ROUND(IF(CA178=0,0,HLOOKUP(CA$14,Villagers!$B$1:$V$33,CA178+3,FALSE)),)</f>
        <v>0</v>
      </c>
      <c r="CW178" s="14">
        <f>ROUND(IF(CB178=0,0,HLOOKUP(CB$14,Villagers!$B$1:$V$33,CB178+3,FALSE)),)</f>
        <v>0</v>
      </c>
      <c r="CX178" s="14">
        <f>ROUND(IF(CC178=0,0,HLOOKUP(CC$14,Villagers!$B$1:$V$33,CC178+3,FALSE)),)</f>
        <v>0</v>
      </c>
      <c r="CY178" s="14">
        <f>ROUND(IF(CD178=0,0,HLOOKUP(CD$14,Villagers!$B$1:$V$33,CD178+3,FALSE)),)</f>
        <v>0</v>
      </c>
      <c r="CZ178" s="14">
        <f>ROUND(IF(CE178=0,0,HLOOKUP(CE$14,Villagers!$B$1:$V$33,CE178+3,FALSE)),)</f>
        <v>5</v>
      </c>
      <c r="DA178" s="14">
        <f>ROUND(IF(CF178=0,0,HLOOKUP(CF$14,Villagers!$B$1:$V$33,CF178+3,FALSE)),)</f>
        <v>10</v>
      </c>
      <c r="DB178" s="14">
        <f>ROUND(IF(CG178=0,0,HLOOKUP(CG$14,Villagers!$B$1:$V$33,CG178+3,FALSE)),)</f>
        <v>10</v>
      </c>
      <c r="DC178" s="14">
        <f>ROUND(IF(CH178=0,0,HLOOKUP(CH$14,Villagers!$B$1:$V$33,CH178+3,FALSE)),)</f>
        <v>0</v>
      </c>
      <c r="DD178" s="14">
        <f>ROUND(IF(CI178=0,0,HLOOKUP(CI$14,Villagers!$B$1:$V$33,CI178+3,FALSE)),)</f>
        <v>0</v>
      </c>
      <c r="DE178" s="14">
        <f>ROUND(IF(CJ178=0,0,HLOOKUP(CJ$14,Villagers!$B$1:$V$33,CJ178+3,FALSE)),)</f>
        <v>2</v>
      </c>
      <c r="DF178" s="370">
        <f>ROUND(IF(CK178=0,0,HLOOKUP(CK$14,Villagers!$B$1:$V$33,CK178+3,FALSE)),)</f>
        <v>0</v>
      </c>
      <c r="DG178" s="370">
        <f>ROUND(IF(CL178=0,0,HLOOKUP(CL$14,Villagers!$B$1:$V$33,CL178+3,FALSE)),)</f>
        <v>0</v>
      </c>
      <c r="DH178" s="34">
        <f>ROUND(IF(CM178=0,0,HLOOKUP(CM$14,Villagers!$B$1:$V$33,CM178+3,FALSE)),)</f>
        <v>0</v>
      </c>
      <c r="DI178" s="109">
        <f t="shared" si="246"/>
        <v>0</v>
      </c>
      <c r="DJ178" s="50">
        <f t="shared" si="247"/>
        <v>0</v>
      </c>
      <c r="DK178" s="50">
        <f t="shared" si="248"/>
        <v>0</v>
      </c>
      <c r="DL178" s="50">
        <f t="shared" si="249"/>
        <v>0</v>
      </c>
      <c r="DM178" s="50">
        <f t="shared" si="250"/>
        <v>0</v>
      </c>
      <c r="DN178" s="50">
        <f t="shared" si="251"/>
        <v>0</v>
      </c>
      <c r="DO178" s="50">
        <f t="shared" si="252"/>
        <v>0</v>
      </c>
      <c r="DP178" s="50">
        <f t="shared" si="253"/>
        <v>0</v>
      </c>
      <c r="DQ178" s="50">
        <f t="shared" si="231"/>
        <v>0</v>
      </c>
      <c r="DR178" s="50">
        <f t="shared" si="232"/>
        <v>0</v>
      </c>
      <c r="DS178" s="96">
        <f>Miscelaneous!$D$4*Miscelaneous!$D$2^($CI178-1)</f>
        <v>1000</v>
      </c>
      <c r="DT178" s="333">
        <f t="shared" si="213"/>
        <v>1</v>
      </c>
      <c r="DU178" s="81">
        <v>1</v>
      </c>
      <c r="DV178" s="79">
        <f t="shared" si="233"/>
        <v>0</v>
      </c>
      <c r="DW178" s="79">
        <f t="shared" si="234"/>
        <v>0</v>
      </c>
      <c r="DX178" s="79">
        <f t="shared" si="235"/>
        <v>0</v>
      </c>
      <c r="DY178" s="79">
        <v>1</v>
      </c>
      <c r="DZ178" s="79">
        <f t="shared" si="236"/>
        <v>0</v>
      </c>
      <c r="EA178" s="79">
        <f t="shared" si="237"/>
        <v>0</v>
      </c>
      <c r="EB178" s="79">
        <f t="shared" si="238"/>
        <v>0</v>
      </c>
      <c r="EC178" s="79">
        <f t="shared" si="239"/>
        <v>0</v>
      </c>
      <c r="ED178" s="79">
        <v>1</v>
      </c>
      <c r="EE178" s="79">
        <v>1</v>
      </c>
      <c r="EF178" s="79">
        <f t="shared" si="240"/>
        <v>0</v>
      </c>
      <c r="EG178" s="79">
        <v>1</v>
      </c>
      <c r="EH178" s="79">
        <v>1</v>
      </c>
      <c r="EI178" s="79">
        <v>1</v>
      </c>
      <c r="EJ178" s="79">
        <v>1</v>
      </c>
      <c r="EK178" s="79">
        <v>1</v>
      </c>
      <c r="EL178" s="79">
        <v>1</v>
      </c>
      <c r="EM178" s="143">
        <f t="shared" si="241"/>
        <v>0</v>
      </c>
      <c r="EN178" s="143">
        <f t="shared" si="242"/>
        <v>0</v>
      </c>
      <c r="EO178" s="82">
        <f t="shared" si="243"/>
        <v>0</v>
      </c>
    </row>
    <row r="179" spans="1:145" x14ac:dyDescent="0.25">
      <c r="A179">
        <v>165</v>
      </c>
      <c r="B179" s="172" t="e">
        <f t="shared" si="214"/>
        <v>#N/A</v>
      </c>
      <c r="C179" s="121" t="e">
        <f t="shared" si="193"/>
        <v>#N/A</v>
      </c>
      <c r="D179" s="122" t="e">
        <f t="shared" si="194"/>
        <v>#N/A</v>
      </c>
      <c r="E179" s="122" t="e">
        <f t="shared" si="195"/>
        <v>#N/A</v>
      </c>
      <c r="F179" s="176" t="e">
        <f t="shared" si="196"/>
        <v>#N/A</v>
      </c>
      <c r="G179" s="121">
        <f t="shared" si="215"/>
        <v>208</v>
      </c>
      <c r="H179" s="176" t="e">
        <f t="shared" si="216"/>
        <v>#N/A</v>
      </c>
      <c r="I179" s="48">
        <v>1</v>
      </c>
      <c r="J179" s="39"/>
      <c r="K179" s="350">
        <v>1</v>
      </c>
      <c r="L179" s="34" t="e">
        <f t="shared" si="197"/>
        <v>#N/A</v>
      </c>
      <c r="M179" s="38" t="e">
        <f>(HLOOKUP(J179,'Construction Times'!$B$3:$W$34,L179+2,FALSE)*HLOOKUP("hq modifier",'Construction Times'!$W$3:$W$34,BS179+2,FALSE))*(1-$H$9)</f>
        <v>#N/A</v>
      </c>
      <c r="N179" s="443" t="e">
        <f t="shared" si="217"/>
        <v>#N/A</v>
      </c>
      <c r="O179" s="444"/>
      <c r="P179" s="447" t="e">
        <f t="shared" si="218"/>
        <v>#N/A</v>
      </c>
      <c r="Q179" s="448"/>
      <c r="R179" s="103">
        <f t="shared" si="244"/>
        <v>0</v>
      </c>
      <c r="S179" s="104">
        <f t="shared" si="244"/>
        <v>0</v>
      </c>
      <c r="T179" s="104">
        <f t="shared" si="245"/>
        <v>0</v>
      </c>
      <c r="U179" s="104">
        <f t="shared" si="245"/>
        <v>0</v>
      </c>
      <c r="V179" s="104">
        <f t="shared" si="245"/>
        <v>9.9999999999999995E-8</v>
      </c>
      <c r="W179" s="104">
        <f t="shared" si="245"/>
        <v>0</v>
      </c>
      <c r="X179" s="104">
        <f t="shared" si="273"/>
        <v>0</v>
      </c>
      <c r="Y179" s="104">
        <f t="shared" si="273"/>
        <v>9.9999999999999995E-8</v>
      </c>
      <c r="Z179" s="104">
        <f t="shared" si="273"/>
        <v>9.9999999999999995E-8</v>
      </c>
      <c r="AA179" s="105">
        <f t="shared" si="273"/>
        <v>9.9999999999999995E-8</v>
      </c>
      <c r="AB179" s="101" t="e">
        <f>$DT179*HLOOKUP($J179,'Construction Costs (timber)'!$B$1:$V$32,'Construction Planner'!$L179+2,FALSE)</f>
        <v>#N/A</v>
      </c>
      <c r="AC179" s="14" t="e">
        <f>$DT179*HLOOKUP($J179,'Construction Costs (clay)'!$B$1:$V$32,'Construction Planner'!$L179+2,FALSE)</f>
        <v>#N/A</v>
      </c>
      <c r="AD179" s="14" t="e">
        <f>$DT179*HLOOKUP($J179,'Construction Costs (iron)'!$B$1:$V$32,'Construction Planner'!$L179+2,FALSE)</f>
        <v>#N/A</v>
      </c>
      <c r="AE179" s="34" t="e">
        <f t="shared" si="254"/>
        <v>#N/A</v>
      </c>
      <c r="AF179" s="33" t="e">
        <f t="shared" si="198"/>
        <v>#N/A</v>
      </c>
      <c r="AG179" s="14" t="e">
        <f t="shared" si="199"/>
        <v>#N/A</v>
      </c>
      <c r="AH179" s="14" t="e">
        <f t="shared" si="200"/>
        <v>#N/A</v>
      </c>
      <c r="AI179" s="34" t="e">
        <f t="shared" si="255"/>
        <v>#N/A</v>
      </c>
      <c r="AJ179" s="49" t="e">
        <f t="shared" si="219"/>
        <v>#N/A</v>
      </c>
      <c r="AK179" s="49" t="e">
        <f t="shared" si="220"/>
        <v>#N/A</v>
      </c>
      <c r="AL179" s="49" t="e">
        <f t="shared" si="221"/>
        <v>#N/A</v>
      </c>
      <c r="AM179" s="25">
        <f t="shared" si="201"/>
        <v>30</v>
      </c>
      <c r="AN179" s="25">
        <f t="shared" si="202"/>
        <v>30</v>
      </c>
      <c r="AO179" s="25">
        <f t="shared" si="203"/>
        <v>30</v>
      </c>
      <c r="AP179" s="52" t="e">
        <f t="shared" si="222"/>
        <v>#N/A</v>
      </c>
      <c r="AQ179" s="53" t="e">
        <f t="shared" si="222"/>
        <v>#N/A</v>
      </c>
      <c r="AR179" s="54" t="e">
        <f t="shared" si="222"/>
        <v>#N/A</v>
      </c>
      <c r="AS179" s="316">
        <f t="shared" si="272"/>
        <v>0</v>
      </c>
      <c r="AT179" s="106">
        <f>_xlfn.IFNA($M179/VLOOKUP($BT179,'Unit information'!$A$2:$K$29,2,FALSE)*R179,0)*(1+$E$9)</f>
        <v>0</v>
      </c>
      <c r="AU179" s="107">
        <f>_xlfn.IFNA($M179/VLOOKUP($BT179,'Unit information'!$A$2:$K$29,3,FALSE)*S179,0)*(1+$E$9)</f>
        <v>0</v>
      </c>
      <c r="AV179" s="107">
        <f>_xlfn.IFNA($M179/VLOOKUP($BT179,'Unit information'!$A$2:$K$29,4,FALSE)*T179,0)*(1+$E$9)</f>
        <v>0</v>
      </c>
      <c r="AW179" s="107">
        <f>_xlfn.IFNA($M179/VLOOKUP($BT179,'Unit information'!$A$2:$K$29,5,FALSE)*U179,0)*(1+$E$9)</f>
        <v>0</v>
      </c>
      <c r="AX179" s="107">
        <f>_xlfn.IFNA($M179/VLOOKUP($BU179,'Unit information'!$A$2:$K$29,6,FALSE)*V179,0)*(1+$E$9)</f>
        <v>0</v>
      </c>
      <c r="AY179" s="107">
        <f>_xlfn.IFNA($M179/VLOOKUP($BU179,'Unit information'!$A$2:$K$29,7,FALSE)*W179,0)*(1+$E$9)</f>
        <v>0</v>
      </c>
      <c r="AZ179" s="107">
        <f>_xlfn.IFNA($M179/VLOOKUP($BU179,'Unit information'!$A$2:$K$29,8,FALSE)*X179,0)*(1+$E$9)</f>
        <v>0</v>
      </c>
      <c r="BA179" s="107">
        <f>_xlfn.IFNA($M179/VLOOKUP($BU179,'Unit information'!$A$2:$K$29,9,FALSE)*Y179,0)*(1+$E$9)</f>
        <v>0</v>
      </c>
      <c r="BB179" s="107">
        <f>_xlfn.IFNA($M179/VLOOKUP($BV179,'Unit information'!$A$2:$K$29,10,FALSE)*Z179,0)*(1+$E$9)</f>
        <v>0</v>
      </c>
      <c r="BC179" s="108">
        <f>_xlfn.IFNA($M179/VLOOKUP($BV179,'Unit information'!$A$2:$K$29,11,FALSE)*AA179,0)*(1+$E$9)</f>
        <v>0</v>
      </c>
      <c r="BD179" s="106">
        <f t="shared" si="204"/>
        <v>0</v>
      </c>
      <c r="BE179" s="107">
        <f t="shared" si="205"/>
        <v>0</v>
      </c>
      <c r="BF179" s="108">
        <f t="shared" si="206"/>
        <v>0</v>
      </c>
      <c r="BG179" s="25" t="e">
        <f t="shared" si="207"/>
        <v>#N/A</v>
      </c>
      <c r="BH179" s="25" t="e">
        <f t="shared" si="208"/>
        <v>#N/A</v>
      </c>
      <c r="BI179" s="25" t="e">
        <f t="shared" si="209"/>
        <v>#N/A</v>
      </c>
      <c r="BJ179" s="27" t="e">
        <f t="shared" si="210"/>
        <v>#N/A</v>
      </c>
      <c r="BK179" s="18" t="e">
        <f t="shared" si="211"/>
        <v>#N/A</v>
      </c>
      <c r="BL179" s="18" t="e">
        <f t="shared" si="212"/>
        <v>#N/A</v>
      </c>
      <c r="BM179" s="28" t="e">
        <f t="shared" si="257"/>
        <v>#N/A</v>
      </c>
      <c r="BN179" s="33">
        <f>HLOOKUP("maximum population",Miscelaneous!$C$1:$C$33,CH179+3,FALSE)</f>
        <v>240</v>
      </c>
      <c r="BO179" s="14">
        <f t="shared" si="223"/>
        <v>32</v>
      </c>
      <c r="BP179" s="14">
        <f t="shared" si="224"/>
        <v>0</v>
      </c>
      <c r="BQ179" s="14">
        <f t="shared" si="225"/>
        <v>208</v>
      </c>
      <c r="BR179" s="34" t="e">
        <f>HLOOKUP(J179,Villagers!$B$1:$V$33,L179+3,FALSE)-HLOOKUP(J179,Villagers!$B$1:$V$33,L179+2,FALSE)</f>
        <v>#N/A</v>
      </c>
      <c r="BS179" s="49">
        <f t="shared" si="226"/>
        <v>1</v>
      </c>
      <c r="BT179" s="50">
        <f t="shared" si="227"/>
        <v>0</v>
      </c>
      <c r="BU179" s="50">
        <f t="shared" si="228"/>
        <v>0</v>
      </c>
      <c r="BV179" s="50">
        <f t="shared" si="229"/>
        <v>0</v>
      </c>
      <c r="BW179" s="50">
        <f t="shared" si="275"/>
        <v>0</v>
      </c>
      <c r="BX179" s="50">
        <f t="shared" si="275"/>
        <v>0</v>
      </c>
      <c r="BY179" s="50">
        <f t="shared" si="275"/>
        <v>0</v>
      </c>
      <c r="BZ179" s="50">
        <f t="shared" si="260"/>
        <v>0</v>
      </c>
      <c r="CA179" s="50">
        <f t="shared" si="261"/>
        <v>0</v>
      </c>
      <c r="CB179" s="50">
        <f t="shared" si="262"/>
        <v>1</v>
      </c>
      <c r="CC179" s="50">
        <f t="shared" si="263"/>
        <v>0</v>
      </c>
      <c r="CD179" s="50">
        <f t="shared" si="264"/>
        <v>0</v>
      </c>
      <c r="CE179" s="50">
        <f t="shared" si="265"/>
        <v>1</v>
      </c>
      <c r="CF179" s="50">
        <f t="shared" si="266"/>
        <v>1</v>
      </c>
      <c r="CG179" s="50">
        <f t="shared" si="267"/>
        <v>1</v>
      </c>
      <c r="CH179" s="50">
        <f t="shared" si="268"/>
        <v>1</v>
      </c>
      <c r="CI179" s="50">
        <f t="shared" si="269"/>
        <v>1</v>
      </c>
      <c r="CJ179" s="50">
        <f t="shared" si="270"/>
        <v>1</v>
      </c>
      <c r="CK179" s="50">
        <f t="shared" si="270"/>
        <v>0</v>
      </c>
      <c r="CL179" s="50">
        <f t="shared" si="270"/>
        <v>0</v>
      </c>
      <c r="CM179" s="51">
        <f t="shared" si="274"/>
        <v>0</v>
      </c>
      <c r="CN179" s="33">
        <f>ROUND(IF(BS179=0,0,HLOOKUP(BS$14,Villagers!$B$1:$V$33,BS179+3,FALSE)),)</f>
        <v>5</v>
      </c>
      <c r="CO179" s="14">
        <f>ROUND(IF(BT179=0,0,HLOOKUP(BT$14,Villagers!$B$1:$V$33,BT179+3,FALSE)),)</f>
        <v>0</v>
      </c>
      <c r="CP179" s="14">
        <f>ROUND(IF(BU179=0,0,HLOOKUP(BU$14,Villagers!$B$1:$V$33,BU179+3,FALSE)),)</f>
        <v>0</v>
      </c>
      <c r="CQ179" s="14">
        <f>ROUND(IF(BV179=0,0,HLOOKUP(BV$14,Villagers!$B$1:$V$33,BV179+3,FALSE)),)</f>
        <v>0</v>
      </c>
      <c r="CR179" s="14">
        <f>ROUND(IF(BW179=0,0,HLOOKUP(BW$14,Villagers!$B$1:$V$33,BW179+3,FALSE)),)</f>
        <v>0</v>
      </c>
      <c r="CS179" s="14">
        <f>ROUND(IF(BX179=0,0,HLOOKUP(BX$14,Villagers!$B$1:$V$33,BX179+3,FALSE)),)</f>
        <v>0</v>
      </c>
      <c r="CT179" s="14">
        <f>ROUND(IF(BY179=0,0,HLOOKUP(BY$14,Villagers!$B$1:$V$33,BY179+3,FALSE)),)</f>
        <v>0</v>
      </c>
      <c r="CU179" s="14">
        <f>ROUND(IF(BZ179=0,0,HLOOKUP(BZ$14,Villagers!$B$1:$V$33,BZ179+3,FALSE)),)</f>
        <v>0</v>
      </c>
      <c r="CV179" s="14">
        <f>ROUND(IF(CA179=0,0,HLOOKUP(CA$14,Villagers!$B$1:$V$33,CA179+3,FALSE)),)</f>
        <v>0</v>
      </c>
      <c r="CW179" s="14">
        <f>ROUND(IF(CB179=0,0,HLOOKUP(CB$14,Villagers!$B$1:$V$33,CB179+3,FALSE)),)</f>
        <v>0</v>
      </c>
      <c r="CX179" s="14">
        <f>ROUND(IF(CC179=0,0,HLOOKUP(CC$14,Villagers!$B$1:$V$33,CC179+3,FALSE)),)</f>
        <v>0</v>
      </c>
      <c r="CY179" s="14">
        <f>ROUND(IF(CD179=0,0,HLOOKUP(CD$14,Villagers!$B$1:$V$33,CD179+3,FALSE)),)</f>
        <v>0</v>
      </c>
      <c r="CZ179" s="14">
        <f>ROUND(IF(CE179=0,0,HLOOKUP(CE$14,Villagers!$B$1:$V$33,CE179+3,FALSE)),)</f>
        <v>5</v>
      </c>
      <c r="DA179" s="14">
        <f>ROUND(IF(CF179=0,0,HLOOKUP(CF$14,Villagers!$B$1:$V$33,CF179+3,FALSE)),)</f>
        <v>10</v>
      </c>
      <c r="DB179" s="14">
        <f>ROUND(IF(CG179=0,0,HLOOKUP(CG$14,Villagers!$B$1:$V$33,CG179+3,FALSE)),)</f>
        <v>10</v>
      </c>
      <c r="DC179" s="14">
        <f>ROUND(IF(CH179=0,0,HLOOKUP(CH$14,Villagers!$B$1:$V$33,CH179+3,FALSE)),)</f>
        <v>0</v>
      </c>
      <c r="DD179" s="14">
        <f>ROUND(IF(CI179=0,0,HLOOKUP(CI$14,Villagers!$B$1:$V$33,CI179+3,FALSE)),)</f>
        <v>0</v>
      </c>
      <c r="DE179" s="14">
        <f>ROUND(IF(CJ179=0,0,HLOOKUP(CJ$14,Villagers!$B$1:$V$33,CJ179+3,FALSE)),)</f>
        <v>2</v>
      </c>
      <c r="DF179" s="370">
        <f>ROUND(IF(CK179=0,0,HLOOKUP(CK$14,Villagers!$B$1:$V$33,CK179+3,FALSE)),)</f>
        <v>0</v>
      </c>
      <c r="DG179" s="370">
        <f>ROUND(IF(CL179=0,0,HLOOKUP(CL$14,Villagers!$B$1:$V$33,CL179+3,FALSE)),)</f>
        <v>0</v>
      </c>
      <c r="DH179" s="34">
        <f>ROUND(IF(CM179=0,0,HLOOKUP(CM$14,Villagers!$B$1:$V$33,CM179+3,FALSE)),)</f>
        <v>0</v>
      </c>
      <c r="DI179" s="109">
        <f t="shared" si="246"/>
        <v>0</v>
      </c>
      <c r="DJ179" s="50">
        <f t="shared" si="247"/>
        <v>0</v>
      </c>
      <c r="DK179" s="50">
        <f t="shared" si="248"/>
        <v>0</v>
      </c>
      <c r="DL179" s="50">
        <f t="shared" si="249"/>
        <v>0</v>
      </c>
      <c r="DM179" s="50">
        <f t="shared" si="250"/>
        <v>0</v>
      </c>
      <c r="DN179" s="50">
        <f t="shared" si="251"/>
        <v>0</v>
      </c>
      <c r="DO179" s="50">
        <f t="shared" si="252"/>
        <v>0</v>
      </c>
      <c r="DP179" s="50">
        <f t="shared" si="253"/>
        <v>0</v>
      </c>
      <c r="DQ179" s="50">
        <f t="shared" si="231"/>
        <v>0</v>
      </c>
      <c r="DR179" s="50">
        <f t="shared" si="232"/>
        <v>0</v>
      </c>
      <c r="DS179" s="96">
        <f>Miscelaneous!$D$4*Miscelaneous!$D$2^($CI179-1)</f>
        <v>1000</v>
      </c>
      <c r="DT179" s="333">
        <f t="shared" si="213"/>
        <v>1</v>
      </c>
      <c r="DU179" s="81">
        <v>1</v>
      </c>
      <c r="DV179" s="79">
        <f t="shared" si="233"/>
        <v>0</v>
      </c>
      <c r="DW179" s="79">
        <f t="shared" si="234"/>
        <v>0</v>
      </c>
      <c r="DX179" s="79">
        <f t="shared" si="235"/>
        <v>0</v>
      </c>
      <c r="DY179" s="79">
        <v>1</v>
      </c>
      <c r="DZ179" s="79">
        <f t="shared" si="236"/>
        <v>0</v>
      </c>
      <c r="EA179" s="79">
        <f t="shared" si="237"/>
        <v>0</v>
      </c>
      <c r="EB179" s="79">
        <f t="shared" si="238"/>
        <v>0</v>
      </c>
      <c r="EC179" s="79">
        <f t="shared" si="239"/>
        <v>0</v>
      </c>
      <c r="ED179" s="79">
        <v>1</v>
      </c>
      <c r="EE179" s="79">
        <v>1</v>
      </c>
      <c r="EF179" s="79">
        <f t="shared" si="240"/>
        <v>0</v>
      </c>
      <c r="EG179" s="79">
        <v>1</v>
      </c>
      <c r="EH179" s="79">
        <v>1</v>
      </c>
      <c r="EI179" s="79">
        <v>1</v>
      </c>
      <c r="EJ179" s="79">
        <v>1</v>
      </c>
      <c r="EK179" s="79">
        <v>1</v>
      </c>
      <c r="EL179" s="79">
        <v>1</v>
      </c>
      <c r="EM179" s="143">
        <f t="shared" si="241"/>
        <v>0</v>
      </c>
      <c r="EN179" s="143">
        <f t="shared" si="242"/>
        <v>0</v>
      </c>
      <c r="EO179" s="82">
        <f t="shared" si="243"/>
        <v>0</v>
      </c>
    </row>
    <row r="180" spans="1:145" x14ac:dyDescent="0.25">
      <c r="A180">
        <v>166</v>
      </c>
      <c r="B180" s="172" t="e">
        <f t="shared" si="214"/>
        <v>#N/A</v>
      </c>
      <c r="C180" s="121" t="e">
        <f t="shared" si="193"/>
        <v>#N/A</v>
      </c>
      <c r="D180" s="122" t="e">
        <f t="shared" si="194"/>
        <v>#N/A</v>
      </c>
      <c r="E180" s="122" t="e">
        <f t="shared" si="195"/>
        <v>#N/A</v>
      </c>
      <c r="F180" s="176" t="e">
        <f t="shared" si="196"/>
        <v>#N/A</v>
      </c>
      <c r="G180" s="121">
        <f t="shared" si="215"/>
        <v>208</v>
      </c>
      <c r="H180" s="176" t="e">
        <f t="shared" si="216"/>
        <v>#N/A</v>
      </c>
      <c r="I180" s="48">
        <v>1</v>
      </c>
      <c r="J180" s="39"/>
      <c r="K180" s="350">
        <v>1</v>
      </c>
      <c r="L180" s="34" t="e">
        <f t="shared" si="197"/>
        <v>#N/A</v>
      </c>
      <c r="M180" s="38" t="e">
        <f>(HLOOKUP(J180,'Construction Times'!$B$3:$W$34,L180+2,FALSE)*HLOOKUP("hq modifier",'Construction Times'!$W$3:$W$34,BS180+2,FALSE))*(1-$H$9)</f>
        <v>#N/A</v>
      </c>
      <c r="N180" s="443" t="e">
        <f t="shared" si="217"/>
        <v>#N/A</v>
      </c>
      <c r="O180" s="444"/>
      <c r="P180" s="447" t="e">
        <f t="shared" si="218"/>
        <v>#N/A</v>
      </c>
      <c r="Q180" s="448"/>
      <c r="R180" s="103">
        <f t="shared" si="244"/>
        <v>0</v>
      </c>
      <c r="S180" s="104">
        <f t="shared" si="244"/>
        <v>0</v>
      </c>
      <c r="T180" s="104">
        <f t="shared" si="245"/>
        <v>0</v>
      </c>
      <c r="U180" s="104">
        <f t="shared" si="245"/>
        <v>0</v>
      </c>
      <c r="V180" s="104">
        <f t="shared" si="245"/>
        <v>9.9999999999999995E-8</v>
      </c>
      <c r="W180" s="104">
        <f t="shared" si="245"/>
        <v>0</v>
      </c>
      <c r="X180" s="104">
        <f t="shared" si="273"/>
        <v>0</v>
      </c>
      <c r="Y180" s="104">
        <f t="shared" si="273"/>
        <v>9.9999999999999995E-8</v>
      </c>
      <c r="Z180" s="104">
        <f t="shared" si="273"/>
        <v>9.9999999999999995E-8</v>
      </c>
      <c r="AA180" s="105">
        <f t="shared" si="273"/>
        <v>9.9999999999999995E-8</v>
      </c>
      <c r="AB180" s="101" t="e">
        <f>$DT180*HLOOKUP($J180,'Construction Costs (timber)'!$B$1:$V$32,'Construction Planner'!$L180+2,FALSE)</f>
        <v>#N/A</v>
      </c>
      <c r="AC180" s="14" t="e">
        <f>$DT180*HLOOKUP($J180,'Construction Costs (clay)'!$B$1:$V$32,'Construction Planner'!$L180+2,FALSE)</f>
        <v>#N/A</v>
      </c>
      <c r="AD180" s="14" t="e">
        <f>$DT180*HLOOKUP($J180,'Construction Costs (iron)'!$B$1:$V$32,'Construction Planner'!$L180+2,FALSE)</f>
        <v>#N/A</v>
      </c>
      <c r="AE180" s="34" t="e">
        <f t="shared" si="254"/>
        <v>#N/A</v>
      </c>
      <c r="AF180" s="33" t="e">
        <f t="shared" si="198"/>
        <v>#N/A</v>
      </c>
      <c r="AG180" s="14" t="e">
        <f t="shared" si="199"/>
        <v>#N/A</v>
      </c>
      <c r="AH180" s="14" t="e">
        <f t="shared" si="200"/>
        <v>#N/A</v>
      </c>
      <c r="AI180" s="34" t="e">
        <f t="shared" si="255"/>
        <v>#N/A</v>
      </c>
      <c r="AJ180" s="49" t="e">
        <f t="shared" si="219"/>
        <v>#N/A</v>
      </c>
      <c r="AK180" s="49" t="e">
        <f t="shared" si="220"/>
        <v>#N/A</v>
      </c>
      <c r="AL180" s="49" t="e">
        <f t="shared" si="221"/>
        <v>#N/A</v>
      </c>
      <c r="AM180" s="25">
        <f t="shared" si="201"/>
        <v>30</v>
      </c>
      <c r="AN180" s="25">
        <f t="shared" si="202"/>
        <v>30</v>
      </c>
      <c r="AO180" s="25">
        <f t="shared" si="203"/>
        <v>30</v>
      </c>
      <c r="AP180" s="52" t="e">
        <f t="shared" si="222"/>
        <v>#N/A</v>
      </c>
      <c r="AQ180" s="53" t="e">
        <f t="shared" si="222"/>
        <v>#N/A</v>
      </c>
      <c r="AR180" s="54" t="e">
        <f t="shared" si="222"/>
        <v>#N/A</v>
      </c>
      <c r="AS180" s="316">
        <f t="shared" ref="AS180:AS195" si="276">AS179</f>
        <v>0</v>
      </c>
      <c r="AT180" s="106">
        <f>_xlfn.IFNA($M180/VLOOKUP($BT180,'Unit information'!$A$2:$K$29,2,FALSE)*R180,0)*(1+$E$9)</f>
        <v>0</v>
      </c>
      <c r="AU180" s="107">
        <f>_xlfn.IFNA($M180/VLOOKUP($BT180,'Unit information'!$A$2:$K$29,3,FALSE)*S180,0)*(1+$E$9)</f>
        <v>0</v>
      </c>
      <c r="AV180" s="107">
        <f>_xlfn.IFNA($M180/VLOOKUP($BT180,'Unit information'!$A$2:$K$29,4,FALSE)*T180,0)*(1+$E$9)</f>
        <v>0</v>
      </c>
      <c r="AW180" s="107">
        <f>_xlfn.IFNA($M180/VLOOKUP($BT180,'Unit information'!$A$2:$K$29,5,FALSE)*U180,0)*(1+$E$9)</f>
        <v>0</v>
      </c>
      <c r="AX180" s="107">
        <f>_xlfn.IFNA($M180/VLOOKUP($BU180,'Unit information'!$A$2:$K$29,6,FALSE)*V180,0)*(1+$E$9)</f>
        <v>0</v>
      </c>
      <c r="AY180" s="107">
        <f>_xlfn.IFNA($M180/VLOOKUP($BU180,'Unit information'!$A$2:$K$29,7,FALSE)*W180,0)*(1+$E$9)</f>
        <v>0</v>
      </c>
      <c r="AZ180" s="107">
        <f>_xlfn.IFNA($M180/VLOOKUP($BU180,'Unit information'!$A$2:$K$29,8,FALSE)*X180,0)*(1+$E$9)</f>
        <v>0</v>
      </c>
      <c r="BA180" s="107">
        <f>_xlfn.IFNA($M180/VLOOKUP($BU180,'Unit information'!$A$2:$K$29,9,FALSE)*Y180,0)*(1+$E$9)</f>
        <v>0</v>
      </c>
      <c r="BB180" s="107">
        <f>_xlfn.IFNA($M180/VLOOKUP($BV180,'Unit information'!$A$2:$K$29,10,FALSE)*Z180,0)*(1+$E$9)</f>
        <v>0</v>
      </c>
      <c r="BC180" s="108">
        <f>_xlfn.IFNA($M180/VLOOKUP($BV180,'Unit information'!$A$2:$K$29,11,FALSE)*AA180,0)*(1+$E$9)</f>
        <v>0</v>
      </c>
      <c r="BD180" s="106">
        <f t="shared" si="204"/>
        <v>0</v>
      </c>
      <c r="BE180" s="107">
        <f t="shared" si="205"/>
        <v>0</v>
      </c>
      <c r="BF180" s="108">
        <f t="shared" si="206"/>
        <v>0</v>
      </c>
      <c r="BG180" s="25" t="e">
        <f t="shared" si="207"/>
        <v>#N/A</v>
      </c>
      <c r="BH180" s="25" t="e">
        <f t="shared" si="208"/>
        <v>#N/A</v>
      </c>
      <c r="BI180" s="25" t="e">
        <f t="shared" si="209"/>
        <v>#N/A</v>
      </c>
      <c r="BJ180" s="27" t="e">
        <f t="shared" si="210"/>
        <v>#N/A</v>
      </c>
      <c r="BK180" s="18" t="e">
        <f t="shared" si="211"/>
        <v>#N/A</v>
      </c>
      <c r="BL180" s="18" t="e">
        <f t="shared" si="212"/>
        <v>#N/A</v>
      </c>
      <c r="BM180" s="28" t="e">
        <f t="shared" si="257"/>
        <v>#N/A</v>
      </c>
      <c r="BN180" s="33">
        <f>HLOOKUP("maximum population",Miscelaneous!$C$1:$C$33,CH180+3,FALSE)</f>
        <v>240</v>
      </c>
      <c r="BO180" s="14">
        <f t="shared" si="223"/>
        <v>32</v>
      </c>
      <c r="BP180" s="14">
        <f t="shared" si="224"/>
        <v>0</v>
      </c>
      <c r="BQ180" s="14">
        <f t="shared" si="225"/>
        <v>208</v>
      </c>
      <c r="BR180" s="34" t="e">
        <f>HLOOKUP(J180,Villagers!$B$1:$V$33,L180+3,FALSE)-HLOOKUP(J180,Villagers!$B$1:$V$33,L180+2,FALSE)</f>
        <v>#N/A</v>
      </c>
      <c r="BS180" s="49">
        <f t="shared" si="226"/>
        <v>1</v>
      </c>
      <c r="BT180" s="50">
        <f t="shared" si="227"/>
        <v>0</v>
      </c>
      <c r="BU180" s="50">
        <f t="shared" si="228"/>
        <v>0</v>
      </c>
      <c r="BV180" s="50">
        <f t="shared" si="229"/>
        <v>0</v>
      </c>
      <c r="BW180" s="50">
        <f t="shared" si="275"/>
        <v>0</v>
      </c>
      <c r="BX180" s="50">
        <f t="shared" si="275"/>
        <v>0</v>
      </c>
      <c r="BY180" s="50">
        <f t="shared" si="275"/>
        <v>0</v>
      </c>
      <c r="BZ180" s="50">
        <f t="shared" si="260"/>
        <v>0</v>
      </c>
      <c r="CA180" s="50">
        <f t="shared" si="261"/>
        <v>0</v>
      </c>
      <c r="CB180" s="50">
        <f t="shared" si="262"/>
        <v>1</v>
      </c>
      <c r="CC180" s="50">
        <f t="shared" si="263"/>
        <v>0</v>
      </c>
      <c r="CD180" s="50">
        <f t="shared" si="264"/>
        <v>0</v>
      </c>
      <c r="CE180" s="50">
        <f t="shared" si="265"/>
        <v>1</v>
      </c>
      <c r="CF180" s="50">
        <f t="shared" si="266"/>
        <v>1</v>
      </c>
      <c r="CG180" s="50">
        <f t="shared" si="267"/>
        <v>1</v>
      </c>
      <c r="CH180" s="50">
        <f t="shared" si="268"/>
        <v>1</v>
      </c>
      <c r="CI180" s="50">
        <f t="shared" si="269"/>
        <v>1</v>
      </c>
      <c r="CJ180" s="50">
        <f t="shared" si="270"/>
        <v>1</v>
      </c>
      <c r="CK180" s="50">
        <f t="shared" si="270"/>
        <v>0</v>
      </c>
      <c r="CL180" s="50">
        <f t="shared" si="270"/>
        <v>0</v>
      </c>
      <c r="CM180" s="51">
        <f t="shared" si="274"/>
        <v>0</v>
      </c>
      <c r="CN180" s="33">
        <f>ROUND(IF(BS180=0,0,HLOOKUP(BS$14,Villagers!$B$1:$V$33,BS180+3,FALSE)),)</f>
        <v>5</v>
      </c>
      <c r="CO180" s="14">
        <f>ROUND(IF(BT180=0,0,HLOOKUP(BT$14,Villagers!$B$1:$V$33,BT180+3,FALSE)),)</f>
        <v>0</v>
      </c>
      <c r="CP180" s="14">
        <f>ROUND(IF(BU180=0,0,HLOOKUP(BU$14,Villagers!$B$1:$V$33,BU180+3,FALSE)),)</f>
        <v>0</v>
      </c>
      <c r="CQ180" s="14">
        <f>ROUND(IF(BV180=0,0,HLOOKUP(BV$14,Villagers!$B$1:$V$33,BV180+3,FALSE)),)</f>
        <v>0</v>
      </c>
      <c r="CR180" s="14">
        <f>ROUND(IF(BW180=0,0,HLOOKUP(BW$14,Villagers!$B$1:$V$33,BW180+3,FALSE)),)</f>
        <v>0</v>
      </c>
      <c r="CS180" s="14">
        <f>ROUND(IF(BX180=0,0,HLOOKUP(BX$14,Villagers!$B$1:$V$33,BX180+3,FALSE)),)</f>
        <v>0</v>
      </c>
      <c r="CT180" s="14">
        <f>ROUND(IF(BY180=0,0,HLOOKUP(BY$14,Villagers!$B$1:$V$33,BY180+3,FALSE)),)</f>
        <v>0</v>
      </c>
      <c r="CU180" s="14">
        <f>ROUND(IF(BZ180=0,0,HLOOKUP(BZ$14,Villagers!$B$1:$V$33,BZ180+3,FALSE)),)</f>
        <v>0</v>
      </c>
      <c r="CV180" s="14">
        <f>ROUND(IF(CA180=0,0,HLOOKUP(CA$14,Villagers!$B$1:$V$33,CA180+3,FALSE)),)</f>
        <v>0</v>
      </c>
      <c r="CW180" s="14">
        <f>ROUND(IF(CB180=0,0,HLOOKUP(CB$14,Villagers!$B$1:$V$33,CB180+3,FALSE)),)</f>
        <v>0</v>
      </c>
      <c r="CX180" s="14">
        <f>ROUND(IF(CC180=0,0,HLOOKUP(CC$14,Villagers!$B$1:$V$33,CC180+3,FALSE)),)</f>
        <v>0</v>
      </c>
      <c r="CY180" s="14">
        <f>ROUND(IF(CD180=0,0,HLOOKUP(CD$14,Villagers!$B$1:$V$33,CD180+3,FALSE)),)</f>
        <v>0</v>
      </c>
      <c r="CZ180" s="14">
        <f>ROUND(IF(CE180=0,0,HLOOKUP(CE$14,Villagers!$B$1:$V$33,CE180+3,FALSE)),)</f>
        <v>5</v>
      </c>
      <c r="DA180" s="14">
        <f>ROUND(IF(CF180=0,0,HLOOKUP(CF$14,Villagers!$B$1:$V$33,CF180+3,FALSE)),)</f>
        <v>10</v>
      </c>
      <c r="DB180" s="14">
        <f>ROUND(IF(CG180=0,0,HLOOKUP(CG$14,Villagers!$B$1:$V$33,CG180+3,FALSE)),)</f>
        <v>10</v>
      </c>
      <c r="DC180" s="14">
        <f>ROUND(IF(CH180=0,0,HLOOKUP(CH$14,Villagers!$B$1:$V$33,CH180+3,FALSE)),)</f>
        <v>0</v>
      </c>
      <c r="DD180" s="14">
        <f>ROUND(IF(CI180=0,0,HLOOKUP(CI$14,Villagers!$B$1:$V$33,CI180+3,FALSE)),)</f>
        <v>0</v>
      </c>
      <c r="DE180" s="14">
        <f>ROUND(IF(CJ180=0,0,HLOOKUP(CJ$14,Villagers!$B$1:$V$33,CJ180+3,FALSE)),)</f>
        <v>2</v>
      </c>
      <c r="DF180" s="370">
        <f>ROUND(IF(CK180=0,0,HLOOKUP(CK$14,Villagers!$B$1:$V$33,CK180+3,FALSE)),)</f>
        <v>0</v>
      </c>
      <c r="DG180" s="370">
        <f>ROUND(IF(CL180=0,0,HLOOKUP(CL$14,Villagers!$B$1:$V$33,CL180+3,FALSE)),)</f>
        <v>0</v>
      </c>
      <c r="DH180" s="34">
        <f>ROUND(IF(CM180=0,0,HLOOKUP(CM$14,Villagers!$B$1:$V$33,CM180+3,FALSE)),)</f>
        <v>0</v>
      </c>
      <c r="DI180" s="109">
        <f t="shared" si="246"/>
        <v>0</v>
      </c>
      <c r="DJ180" s="50">
        <f t="shared" si="247"/>
        <v>0</v>
      </c>
      <c r="DK180" s="50">
        <f t="shared" si="248"/>
        <v>0</v>
      </c>
      <c r="DL180" s="50">
        <f t="shared" si="249"/>
        <v>0</v>
      </c>
      <c r="DM180" s="50">
        <f t="shared" si="250"/>
        <v>0</v>
      </c>
      <c r="DN180" s="50">
        <f t="shared" si="251"/>
        <v>0</v>
      </c>
      <c r="DO180" s="50">
        <f t="shared" si="252"/>
        <v>0</v>
      </c>
      <c r="DP180" s="50">
        <f t="shared" si="253"/>
        <v>0</v>
      </c>
      <c r="DQ180" s="50">
        <f t="shared" si="231"/>
        <v>0</v>
      </c>
      <c r="DR180" s="50">
        <f t="shared" si="232"/>
        <v>0</v>
      </c>
      <c r="DS180" s="96">
        <f>Miscelaneous!$D$4*Miscelaneous!$D$2^($CI180-1)</f>
        <v>1000</v>
      </c>
      <c r="DT180" s="333">
        <f t="shared" si="213"/>
        <v>1</v>
      </c>
      <c r="DU180" s="81">
        <v>1</v>
      </c>
      <c r="DV180" s="79">
        <f t="shared" si="233"/>
        <v>0</v>
      </c>
      <c r="DW180" s="79">
        <f t="shared" si="234"/>
        <v>0</v>
      </c>
      <c r="DX180" s="79">
        <f t="shared" si="235"/>
        <v>0</v>
      </c>
      <c r="DY180" s="79">
        <v>1</v>
      </c>
      <c r="DZ180" s="79">
        <f t="shared" si="236"/>
        <v>0</v>
      </c>
      <c r="EA180" s="79">
        <f t="shared" si="237"/>
        <v>0</v>
      </c>
      <c r="EB180" s="79">
        <f t="shared" si="238"/>
        <v>0</v>
      </c>
      <c r="EC180" s="79">
        <f t="shared" si="239"/>
        <v>0</v>
      </c>
      <c r="ED180" s="79">
        <v>1</v>
      </c>
      <c r="EE180" s="79">
        <v>1</v>
      </c>
      <c r="EF180" s="79">
        <f t="shared" si="240"/>
        <v>0</v>
      </c>
      <c r="EG180" s="79">
        <v>1</v>
      </c>
      <c r="EH180" s="79">
        <v>1</v>
      </c>
      <c r="EI180" s="79">
        <v>1</v>
      </c>
      <c r="EJ180" s="79">
        <v>1</v>
      </c>
      <c r="EK180" s="79">
        <v>1</v>
      </c>
      <c r="EL180" s="79">
        <v>1</v>
      </c>
      <c r="EM180" s="143">
        <f t="shared" si="241"/>
        <v>0</v>
      </c>
      <c r="EN180" s="143">
        <f t="shared" si="242"/>
        <v>0</v>
      </c>
      <c r="EO180" s="82">
        <f t="shared" si="243"/>
        <v>0</v>
      </c>
    </row>
    <row r="181" spans="1:145" x14ac:dyDescent="0.25">
      <c r="A181">
        <v>167</v>
      </c>
      <c r="B181" s="172" t="e">
        <f t="shared" si="214"/>
        <v>#N/A</v>
      </c>
      <c r="C181" s="121" t="e">
        <f t="shared" si="193"/>
        <v>#N/A</v>
      </c>
      <c r="D181" s="122" t="e">
        <f t="shared" si="194"/>
        <v>#N/A</v>
      </c>
      <c r="E181" s="122" t="e">
        <f t="shared" si="195"/>
        <v>#N/A</v>
      </c>
      <c r="F181" s="176" t="e">
        <f t="shared" si="196"/>
        <v>#N/A</v>
      </c>
      <c r="G181" s="121">
        <f t="shared" si="215"/>
        <v>208</v>
      </c>
      <c r="H181" s="176" t="e">
        <f t="shared" si="216"/>
        <v>#N/A</v>
      </c>
      <c r="I181" s="48">
        <v>1</v>
      </c>
      <c r="J181" s="39"/>
      <c r="K181" s="350">
        <v>1</v>
      </c>
      <c r="L181" s="34" t="e">
        <f t="shared" si="197"/>
        <v>#N/A</v>
      </c>
      <c r="M181" s="38" t="e">
        <f>(HLOOKUP(J181,'Construction Times'!$B$3:$W$34,L181+2,FALSE)*HLOOKUP("hq modifier",'Construction Times'!$W$3:$W$34,BS181+2,FALSE))*(1-$H$9)</f>
        <v>#N/A</v>
      </c>
      <c r="N181" s="443" t="e">
        <f t="shared" si="217"/>
        <v>#N/A</v>
      </c>
      <c r="O181" s="444"/>
      <c r="P181" s="447" t="e">
        <f t="shared" si="218"/>
        <v>#N/A</v>
      </c>
      <c r="Q181" s="448"/>
      <c r="R181" s="103">
        <f t="shared" si="244"/>
        <v>0</v>
      </c>
      <c r="S181" s="104">
        <f t="shared" si="244"/>
        <v>0</v>
      </c>
      <c r="T181" s="104">
        <f t="shared" si="245"/>
        <v>0</v>
      </c>
      <c r="U181" s="104">
        <f t="shared" si="245"/>
        <v>0</v>
      </c>
      <c r="V181" s="104">
        <f t="shared" si="245"/>
        <v>9.9999999999999995E-8</v>
      </c>
      <c r="W181" s="104">
        <f t="shared" si="245"/>
        <v>0</v>
      </c>
      <c r="X181" s="104">
        <f t="shared" si="273"/>
        <v>0</v>
      </c>
      <c r="Y181" s="104">
        <f t="shared" si="273"/>
        <v>9.9999999999999995E-8</v>
      </c>
      <c r="Z181" s="104">
        <f t="shared" si="273"/>
        <v>9.9999999999999995E-8</v>
      </c>
      <c r="AA181" s="105">
        <f t="shared" si="273"/>
        <v>9.9999999999999995E-8</v>
      </c>
      <c r="AB181" s="101" t="e">
        <f>$DT181*HLOOKUP($J181,'Construction Costs (timber)'!$B$1:$V$32,'Construction Planner'!$L181+2,FALSE)</f>
        <v>#N/A</v>
      </c>
      <c r="AC181" s="14" t="e">
        <f>$DT181*HLOOKUP($J181,'Construction Costs (clay)'!$B$1:$V$32,'Construction Planner'!$L181+2,FALSE)</f>
        <v>#N/A</v>
      </c>
      <c r="AD181" s="14" t="e">
        <f>$DT181*HLOOKUP($J181,'Construction Costs (iron)'!$B$1:$V$32,'Construction Planner'!$L181+2,FALSE)</f>
        <v>#N/A</v>
      </c>
      <c r="AE181" s="34" t="e">
        <f t="shared" si="254"/>
        <v>#N/A</v>
      </c>
      <c r="AF181" s="33" t="e">
        <f t="shared" si="198"/>
        <v>#N/A</v>
      </c>
      <c r="AG181" s="14" t="e">
        <f t="shared" si="199"/>
        <v>#N/A</v>
      </c>
      <c r="AH181" s="14" t="e">
        <f t="shared" si="200"/>
        <v>#N/A</v>
      </c>
      <c r="AI181" s="34" t="e">
        <f t="shared" si="255"/>
        <v>#N/A</v>
      </c>
      <c r="AJ181" s="49" t="e">
        <f t="shared" si="219"/>
        <v>#N/A</v>
      </c>
      <c r="AK181" s="49" t="e">
        <f t="shared" si="220"/>
        <v>#N/A</v>
      </c>
      <c r="AL181" s="49" t="e">
        <f t="shared" si="221"/>
        <v>#N/A</v>
      </c>
      <c r="AM181" s="25">
        <f t="shared" si="201"/>
        <v>30</v>
      </c>
      <c r="AN181" s="25">
        <f t="shared" si="202"/>
        <v>30</v>
      </c>
      <c r="AO181" s="25">
        <f t="shared" si="203"/>
        <v>30</v>
      </c>
      <c r="AP181" s="52" t="e">
        <f t="shared" si="222"/>
        <v>#N/A</v>
      </c>
      <c r="AQ181" s="53" t="e">
        <f t="shared" si="222"/>
        <v>#N/A</v>
      </c>
      <c r="AR181" s="54" t="e">
        <f t="shared" si="222"/>
        <v>#N/A</v>
      </c>
      <c r="AS181" s="316">
        <f t="shared" si="276"/>
        <v>0</v>
      </c>
      <c r="AT181" s="106">
        <f>_xlfn.IFNA($M181/VLOOKUP($BT181,'Unit information'!$A$2:$K$29,2,FALSE)*R181,0)*(1+$E$9)</f>
        <v>0</v>
      </c>
      <c r="AU181" s="107">
        <f>_xlfn.IFNA($M181/VLOOKUP($BT181,'Unit information'!$A$2:$K$29,3,FALSE)*S181,0)*(1+$E$9)</f>
        <v>0</v>
      </c>
      <c r="AV181" s="107">
        <f>_xlfn.IFNA($M181/VLOOKUP($BT181,'Unit information'!$A$2:$K$29,4,FALSE)*T181,0)*(1+$E$9)</f>
        <v>0</v>
      </c>
      <c r="AW181" s="107">
        <f>_xlfn.IFNA($M181/VLOOKUP($BT181,'Unit information'!$A$2:$K$29,5,FALSE)*U181,0)*(1+$E$9)</f>
        <v>0</v>
      </c>
      <c r="AX181" s="107">
        <f>_xlfn.IFNA($M181/VLOOKUP($BU181,'Unit information'!$A$2:$K$29,6,FALSE)*V181,0)*(1+$E$9)</f>
        <v>0</v>
      </c>
      <c r="AY181" s="107">
        <f>_xlfn.IFNA($M181/VLOOKUP($BU181,'Unit information'!$A$2:$K$29,7,FALSE)*W181,0)*(1+$E$9)</f>
        <v>0</v>
      </c>
      <c r="AZ181" s="107">
        <f>_xlfn.IFNA($M181/VLOOKUP($BU181,'Unit information'!$A$2:$K$29,8,FALSE)*X181,0)*(1+$E$9)</f>
        <v>0</v>
      </c>
      <c r="BA181" s="107">
        <f>_xlfn.IFNA($M181/VLOOKUP($BU181,'Unit information'!$A$2:$K$29,9,FALSE)*Y181,0)*(1+$E$9)</f>
        <v>0</v>
      </c>
      <c r="BB181" s="107">
        <f>_xlfn.IFNA($M181/VLOOKUP($BV181,'Unit information'!$A$2:$K$29,10,FALSE)*Z181,0)*(1+$E$9)</f>
        <v>0</v>
      </c>
      <c r="BC181" s="108">
        <f>_xlfn.IFNA($M181/VLOOKUP($BV181,'Unit information'!$A$2:$K$29,11,FALSE)*AA181,0)*(1+$E$9)</f>
        <v>0</v>
      </c>
      <c r="BD181" s="106">
        <f t="shared" si="204"/>
        <v>0</v>
      </c>
      <c r="BE181" s="107">
        <f t="shared" si="205"/>
        <v>0</v>
      </c>
      <c r="BF181" s="108">
        <f t="shared" si="206"/>
        <v>0</v>
      </c>
      <c r="BG181" s="25" t="e">
        <f t="shared" si="207"/>
        <v>#N/A</v>
      </c>
      <c r="BH181" s="25" t="e">
        <f t="shared" si="208"/>
        <v>#N/A</v>
      </c>
      <c r="BI181" s="25" t="e">
        <f t="shared" si="209"/>
        <v>#N/A</v>
      </c>
      <c r="BJ181" s="27" t="e">
        <f t="shared" si="210"/>
        <v>#N/A</v>
      </c>
      <c r="BK181" s="18" t="e">
        <f t="shared" si="211"/>
        <v>#N/A</v>
      </c>
      <c r="BL181" s="18" t="e">
        <f t="shared" si="212"/>
        <v>#N/A</v>
      </c>
      <c r="BM181" s="28" t="e">
        <f t="shared" si="257"/>
        <v>#N/A</v>
      </c>
      <c r="BN181" s="33">
        <f>HLOOKUP("maximum population",Miscelaneous!$C$1:$C$33,CH181+3,FALSE)</f>
        <v>240</v>
      </c>
      <c r="BO181" s="14">
        <f t="shared" si="223"/>
        <v>32</v>
      </c>
      <c r="BP181" s="14">
        <f t="shared" si="224"/>
        <v>0</v>
      </c>
      <c r="BQ181" s="14">
        <f t="shared" si="225"/>
        <v>208</v>
      </c>
      <c r="BR181" s="34" t="e">
        <f>HLOOKUP(J181,Villagers!$B$1:$V$33,L181+3,FALSE)-HLOOKUP(J181,Villagers!$B$1:$V$33,L181+2,FALSE)</f>
        <v>#N/A</v>
      </c>
      <c r="BS181" s="49">
        <f t="shared" si="226"/>
        <v>1</v>
      </c>
      <c r="BT181" s="50">
        <f t="shared" si="227"/>
        <v>0</v>
      </c>
      <c r="BU181" s="50">
        <f t="shared" si="228"/>
        <v>0</v>
      </c>
      <c r="BV181" s="50">
        <f t="shared" si="229"/>
        <v>0</v>
      </c>
      <c r="BW181" s="50">
        <f t="shared" si="275"/>
        <v>0</v>
      </c>
      <c r="BX181" s="50">
        <f t="shared" si="275"/>
        <v>0</v>
      </c>
      <c r="BY181" s="50">
        <f t="shared" si="275"/>
        <v>0</v>
      </c>
      <c r="BZ181" s="50">
        <f t="shared" si="260"/>
        <v>0</v>
      </c>
      <c r="CA181" s="50">
        <f t="shared" si="261"/>
        <v>0</v>
      </c>
      <c r="CB181" s="50">
        <f t="shared" si="262"/>
        <v>1</v>
      </c>
      <c r="CC181" s="50">
        <f t="shared" si="263"/>
        <v>0</v>
      </c>
      <c r="CD181" s="50">
        <f t="shared" si="264"/>
        <v>0</v>
      </c>
      <c r="CE181" s="50">
        <f t="shared" si="265"/>
        <v>1</v>
      </c>
      <c r="CF181" s="50">
        <f t="shared" si="266"/>
        <v>1</v>
      </c>
      <c r="CG181" s="50">
        <f t="shared" si="267"/>
        <v>1</v>
      </c>
      <c r="CH181" s="50">
        <f t="shared" si="268"/>
        <v>1</v>
      </c>
      <c r="CI181" s="50">
        <f t="shared" si="269"/>
        <v>1</v>
      </c>
      <c r="CJ181" s="50">
        <f t="shared" si="270"/>
        <v>1</v>
      </c>
      <c r="CK181" s="50">
        <f t="shared" si="270"/>
        <v>0</v>
      </c>
      <c r="CL181" s="50">
        <f t="shared" si="270"/>
        <v>0</v>
      </c>
      <c r="CM181" s="51">
        <f t="shared" si="274"/>
        <v>0</v>
      </c>
      <c r="CN181" s="33">
        <f>ROUND(IF(BS181=0,0,HLOOKUP(BS$14,Villagers!$B$1:$V$33,BS181+3,FALSE)),)</f>
        <v>5</v>
      </c>
      <c r="CO181" s="14">
        <f>ROUND(IF(BT181=0,0,HLOOKUP(BT$14,Villagers!$B$1:$V$33,BT181+3,FALSE)),)</f>
        <v>0</v>
      </c>
      <c r="CP181" s="14">
        <f>ROUND(IF(BU181=0,0,HLOOKUP(BU$14,Villagers!$B$1:$V$33,BU181+3,FALSE)),)</f>
        <v>0</v>
      </c>
      <c r="CQ181" s="14">
        <f>ROUND(IF(BV181=0,0,HLOOKUP(BV$14,Villagers!$B$1:$V$33,BV181+3,FALSE)),)</f>
        <v>0</v>
      </c>
      <c r="CR181" s="14">
        <f>ROUND(IF(BW181=0,0,HLOOKUP(BW$14,Villagers!$B$1:$V$33,BW181+3,FALSE)),)</f>
        <v>0</v>
      </c>
      <c r="CS181" s="14">
        <f>ROUND(IF(BX181=0,0,HLOOKUP(BX$14,Villagers!$B$1:$V$33,BX181+3,FALSE)),)</f>
        <v>0</v>
      </c>
      <c r="CT181" s="14">
        <f>ROUND(IF(BY181=0,0,HLOOKUP(BY$14,Villagers!$B$1:$V$33,BY181+3,FALSE)),)</f>
        <v>0</v>
      </c>
      <c r="CU181" s="14">
        <f>ROUND(IF(BZ181=0,0,HLOOKUP(BZ$14,Villagers!$B$1:$V$33,BZ181+3,FALSE)),)</f>
        <v>0</v>
      </c>
      <c r="CV181" s="14">
        <f>ROUND(IF(CA181=0,0,HLOOKUP(CA$14,Villagers!$B$1:$V$33,CA181+3,FALSE)),)</f>
        <v>0</v>
      </c>
      <c r="CW181" s="14">
        <f>ROUND(IF(CB181=0,0,HLOOKUP(CB$14,Villagers!$B$1:$V$33,CB181+3,FALSE)),)</f>
        <v>0</v>
      </c>
      <c r="CX181" s="14">
        <f>ROUND(IF(CC181=0,0,HLOOKUP(CC$14,Villagers!$B$1:$V$33,CC181+3,FALSE)),)</f>
        <v>0</v>
      </c>
      <c r="CY181" s="14">
        <f>ROUND(IF(CD181=0,0,HLOOKUP(CD$14,Villagers!$B$1:$V$33,CD181+3,FALSE)),)</f>
        <v>0</v>
      </c>
      <c r="CZ181" s="14">
        <f>ROUND(IF(CE181=0,0,HLOOKUP(CE$14,Villagers!$B$1:$V$33,CE181+3,FALSE)),)</f>
        <v>5</v>
      </c>
      <c r="DA181" s="14">
        <f>ROUND(IF(CF181=0,0,HLOOKUP(CF$14,Villagers!$B$1:$V$33,CF181+3,FALSE)),)</f>
        <v>10</v>
      </c>
      <c r="DB181" s="14">
        <f>ROUND(IF(CG181=0,0,HLOOKUP(CG$14,Villagers!$B$1:$V$33,CG181+3,FALSE)),)</f>
        <v>10</v>
      </c>
      <c r="DC181" s="14">
        <f>ROUND(IF(CH181=0,0,HLOOKUP(CH$14,Villagers!$B$1:$V$33,CH181+3,FALSE)),)</f>
        <v>0</v>
      </c>
      <c r="DD181" s="14">
        <f>ROUND(IF(CI181=0,0,HLOOKUP(CI$14,Villagers!$B$1:$V$33,CI181+3,FALSE)),)</f>
        <v>0</v>
      </c>
      <c r="DE181" s="14">
        <f>ROUND(IF(CJ181=0,0,HLOOKUP(CJ$14,Villagers!$B$1:$V$33,CJ181+3,FALSE)),)</f>
        <v>2</v>
      </c>
      <c r="DF181" s="370">
        <f>ROUND(IF(CK181=0,0,HLOOKUP(CK$14,Villagers!$B$1:$V$33,CK181+3,FALSE)),)</f>
        <v>0</v>
      </c>
      <c r="DG181" s="370">
        <f>ROUND(IF(CL181=0,0,HLOOKUP(CL$14,Villagers!$B$1:$V$33,CL181+3,FALSE)),)</f>
        <v>0</v>
      </c>
      <c r="DH181" s="34">
        <f>ROUND(IF(CM181=0,0,HLOOKUP(CM$14,Villagers!$B$1:$V$33,CM181+3,FALSE)),)</f>
        <v>0</v>
      </c>
      <c r="DI181" s="109">
        <f t="shared" si="246"/>
        <v>0</v>
      </c>
      <c r="DJ181" s="50">
        <f t="shared" si="247"/>
        <v>0</v>
      </c>
      <c r="DK181" s="50">
        <f t="shared" si="248"/>
        <v>0</v>
      </c>
      <c r="DL181" s="50">
        <f t="shared" si="249"/>
        <v>0</v>
      </c>
      <c r="DM181" s="50">
        <f t="shared" si="250"/>
        <v>0</v>
      </c>
      <c r="DN181" s="50">
        <f t="shared" si="251"/>
        <v>0</v>
      </c>
      <c r="DO181" s="50">
        <f t="shared" si="252"/>
        <v>0</v>
      </c>
      <c r="DP181" s="50">
        <f t="shared" si="253"/>
        <v>0</v>
      </c>
      <c r="DQ181" s="50">
        <f t="shared" si="231"/>
        <v>0</v>
      </c>
      <c r="DR181" s="50">
        <f t="shared" si="232"/>
        <v>0</v>
      </c>
      <c r="DS181" s="96">
        <f>Miscelaneous!$D$4*Miscelaneous!$D$2^($CI181-1)</f>
        <v>1000</v>
      </c>
      <c r="DT181" s="333">
        <f t="shared" si="213"/>
        <v>1</v>
      </c>
      <c r="DU181" s="81">
        <v>1</v>
      </c>
      <c r="DV181" s="79">
        <f t="shared" si="233"/>
        <v>0</v>
      </c>
      <c r="DW181" s="79">
        <f t="shared" si="234"/>
        <v>0</v>
      </c>
      <c r="DX181" s="79">
        <f t="shared" si="235"/>
        <v>0</v>
      </c>
      <c r="DY181" s="79">
        <v>1</v>
      </c>
      <c r="DZ181" s="79">
        <f t="shared" si="236"/>
        <v>0</v>
      </c>
      <c r="EA181" s="79">
        <f t="shared" si="237"/>
        <v>0</v>
      </c>
      <c r="EB181" s="79">
        <f t="shared" si="238"/>
        <v>0</v>
      </c>
      <c r="EC181" s="79">
        <f t="shared" si="239"/>
        <v>0</v>
      </c>
      <c r="ED181" s="79">
        <v>1</v>
      </c>
      <c r="EE181" s="79">
        <v>1</v>
      </c>
      <c r="EF181" s="79">
        <f t="shared" si="240"/>
        <v>0</v>
      </c>
      <c r="EG181" s="79">
        <v>1</v>
      </c>
      <c r="EH181" s="79">
        <v>1</v>
      </c>
      <c r="EI181" s="79">
        <v>1</v>
      </c>
      <c r="EJ181" s="79">
        <v>1</v>
      </c>
      <c r="EK181" s="79">
        <v>1</v>
      </c>
      <c r="EL181" s="79">
        <v>1</v>
      </c>
      <c r="EM181" s="143">
        <f t="shared" si="241"/>
        <v>0</v>
      </c>
      <c r="EN181" s="143">
        <f t="shared" si="242"/>
        <v>0</v>
      </c>
      <c r="EO181" s="82">
        <f t="shared" si="243"/>
        <v>0</v>
      </c>
    </row>
    <row r="182" spans="1:145" x14ac:dyDescent="0.25">
      <c r="A182">
        <v>168</v>
      </c>
      <c r="B182" s="172" t="e">
        <f t="shared" si="214"/>
        <v>#N/A</v>
      </c>
      <c r="C182" s="121" t="e">
        <f t="shared" si="193"/>
        <v>#N/A</v>
      </c>
      <c r="D182" s="122" t="e">
        <f t="shared" si="194"/>
        <v>#N/A</v>
      </c>
      <c r="E182" s="122" t="e">
        <f t="shared" si="195"/>
        <v>#N/A</v>
      </c>
      <c r="F182" s="176" t="e">
        <f t="shared" si="196"/>
        <v>#N/A</v>
      </c>
      <c r="G182" s="121">
        <f t="shared" si="215"/>
        <v>208</v>
      </c>
      <c r="H182" s="176" t="e">
        <f t="shared" si="216"/>
        <v>#N/A</v>
      </c>
      <c r="I182" s="48">
        <v>1</v>
      </c>
      <c r="J182" s="39"/>
      <c r="K182" s="350">
        <v>1</v>
      </c>
      <c r="L182" s="34" t="e">
        <f t="shared" si="197"/>
        <v>#N/A</v>
      </c>
      <c r="M182" s="38" t="e">
        <f>(HLOOKUP(J182,'Construction Times'!$B$3:$W$34,L182+2,FALSE)*HLOOKUP("hq modifier",'Construction Times'!$W$3:$W$34,BS182+2,FALSE))*(1-$H$9)</f>
        <v>#N/A</v>
      </c>
      <c r="N182" s="443" t="e">
        <f t="shared" si="217"/>
        <v>#N/A</v>
      </c>
      <c r="O182" s="444"/>
      <c r="P182" s="447" t="e">
        <f t="shared" si="218"/>
        <v>#N/A</v>
      </c>
      <c r="Q182" s="448"/>
      <c r="R182" s="103">
        <f t="shared" si="244"/>
        <v>0</v>
      </c>
      <c r="S182" s="104">
        <f t="shared" si="244"/>
        <v>0</v>
      </c>
      <c r="T182" s="104">
        <f t="shared" si="245"/>
        <v>0</v>
      </c>
      <c r="U182" s="104">
        <f t="shared" si="245"/>
        <v>0</v>
      </c>
      <c r="V182" s="104">
        <f t="shared" si="245"/>
        <v>9.9999999999999995E-8</v>
      </c>
      <c r="W182" s="104">
        <f t="shared" si="245"/>
        <v>0</v>
      </c>
      <c r="X182" s="104">
        <f t="shared" si="273"/>
        <v>0</v>
      </c>
      <c r="Y182" s="104">
        <f t="shared" si="273"/>
        <v>9.9999999999999995E-8</v>
      </c>
      <c r="Z182" s="104">
        <f t="shared" si="273"/>
        <v>9.9999999999999995E-8</v>
      </c>
      <c r="AA182" s="105">
        <f t="shared" si="273"/>
        <v>9.9999999999999995E-8</v>
      </c>
      <c r="AB182" s="101" t="e">
        <f>$DT182*HLOOKUP($J182,'Construction Costs (timber)'!$B$1:$V$32,'Construction Planner'!$L182+2,FALSE)</f>
        <v>#N/A</v>
      </c>
      <c r="AC182" s="14" t="e">
        <f>$DT182*HLOOKUP($J182,'Construction Costs (clay)'!$B$1:$V$32,'Construction Planner'!$L182+2,FALSE)</f>
        <v>#N/A</v>
      </c>
      <c r="AD182" s="14" t="e">
        <f>$DT182*HLOOKUP($J182,'Construction Costs (iron)'!$B$1:$V$32,'Construction Planner'!$L182+2,FALSE)</f>
        <v>#N/A</v>
      </c>
      <c r="AE182" s="34" t="e">
        <f t="shared" si="254"/>
        <v>#N/A</v>
      </c>
      <c r="AF182" s="33" t="e">
        <f t="shared" si="198"/>
        <v>#N/A</v>
      </c>
      <c r="AG182" s="14" t="e">
        <f t="shared" si="199"/>
        <v>#N/A</v>
      </c>
      <c r="AH182" s="14" t="e">
        <f t="shared" si="200"/>
        <v>#N/A</v>
      </c>
      <c r="AI182" s="34" t="e">
        <f t="shared" si="255"/>
        <v>#N/A</v>
      </c>
      <c r="AJ182" s="49" t="e">
        <f t="shared" si="219"/>
        <v>#N/A</v>
      </c>
      <c r="AK182" s="49" t="e">
        <f t="shared" si="220"/>
        <v>#N/A</v>
      </c>
      <c r="AL182" s="49" t="e">
        <f t="shared" si="221"/>
        <v>#N/A</v>
      </c>
      <c r="AM182" s="25">
        <f t="shared" si="201"/>
        <v>30</v>
      </c>
      <c r="AN182" s="25">
        <f t="shared" si="202"/>
        <v>30</v>
      </c>
      <c r="AO182" s="25">
        <f t="shared" si="203"/>
        <v>30</v>
      </c>
      <c r="AP182" s="52" t="e">
        <f t="shared" si="222"/>
        <v>#N/A</v>
      </c>
      <c r="AQ182" s="53" t="e">
        <f t="shared" si="222"/>
        <v>#N/A</v>
      </c>
      <c r="AR182" s="54" t="e">
        <f t="shared" si="222"/>
        <v>#N/A</v>
      </c>
      <c r="AS182" s="316">
        <f t="shared" si="276"/>
        <v>0</v>
      </c>
      <c r="AT182" s="106">
        <f>_xlfn.IFNA($M182/VLOOKUP($BT182,'Unit information'!$A$2:$K$29,2,FALSE)*R182,0)*(1+$E$9)</f>
        <v>0</v>
      </c>
      <c r="AU182" s="107">
        <f>_xlfn.IFNA($M182/VLOOKUP($BT182,'Unit information'!$A$2:$K$29,3,FALSE)*S182,0)*(1+$E$9)</f>
        <v>0</v>
      </c>
      <c r="AV182" s="107">
        <f>_xlfn.IFNA($M182/VLOOKUP($BT182,'Unit information'!$A$2:$K$29,4,FALSE)*T182,0)*(1+$E$9)</f>
        <v>0</v>
      </c>
      <c r="AW182" s="107">
        <f>_xlfn.IFNA($M182/VLOOKUP($BT182,'Unit information'!$A$2:$K$29,5,FALSE)*U182,0)*(1+$E$9)</f>
        <v>0</v>
      </c>
      <c r="AX182" s="107">
        <f>_xlfn.IFNA($M182/VLOOKUP($BU182,'Unit information'!$A$2:$K$29,6,FALSE)*V182,0)*(1+$E$9)</f>
        <v>0</v>
      </c>
      <c r="AY182" s="107">
        <f>_xlfn.IFNA($M182/VLOOKUP($BU182,'Unit information'!$A$2:$K$29,7,FALSE)*W182,0)*(1+$E$9)</f>
        <v>0</v>
      </c>
      <c r="AZ182" s="107">
        <f>_xlfn.IFNA($M182/VLOOKUP($BU182,'Unit information'!$A$2:$K$29,8,FALSE)*X182,0)*(1+$E$9)</f>
        <v>0</v>
      </c>
      <c r="BA182" s="107">
        <f>_xlfn.IFNA($M182/VLOOKUP($BU182,'Unit information'!$A$2:$K$29,9,FALSE)*Y182,0)*(1+$E$9)</f>
        <v>0</v>
      </c>
      <c r="BB182" s="107">
        <f>_xlfn.IFNA($M182/VLOOKUP($BV182,'Unit information'!$A$2:$K$29,10,FALSE)*Z182,0)*(1+$E$9)</f>
        <v>0</v>
      </c>
      <c r="BC182" s="108">
        <f>_xlfn.IFNA($M182/VLOOKUP($BV182,'Unit information'!$A$2:$K$29,11,FALSE)*AA182,0)*(1+$E$9)</f>
        <v>0</v>
      </c>
      <c r="BD182" s="106">
        <f t="shared" si="204"/>
        <v>0</v>
      </c>
      <c r="BE182" s="107">
        <f t="shared" si="205"/>
        <v>0</v>
      </c>
      <c r="BF182" s="108">
        <f t="shared" si="206"/>
        <v>0</v>
      </c>
      <c r="BG182" s="25" t="e">
        <f t="shared" si="207"/>
        <v>#N/A</v>
      </c>
      <c r="BH182" s="25" t="e">
        <f t="shared" si="208"/>
        <v>#N/A</v>
      </c>
      <c r="BI182" s="25" t="e">
        <f t="shared" si="209"/>
        <v>#N/A</v>
      </c>
      <c r="BJ182" s="27" t="e">
        <f t="shared" si="210"/>
        <v>#N/A</v>
      </c>
      <c r="BK182" s="18" t="e">
        <f t="shared" si="211"/>
        <v>#N/A</v>
      </c>
      <c r="BL182" s="18" t="e">
        <f t="shared" si="212"/>
        <v>#N/A</v>
      </c>
      <c r="BM182" s="28" t="e">
        <f t="shared" si="257"/>
        <v>#N/A</v>
      </c>
      <c r="BN182" s="33">
        <f>HLOOKUP("maximum population",Miscelaneous!$C$1:$C$33,CH182+3,FALSE)</f>
        <v>240</v>
      </c>
      <c r="BO182" s="14">
        <f t="shared" si="223"/>
        <v>32</v>
      </c>
      <c r="BP182" s="14">
        <f t="shared" si="224"/>
        <v>0</v>
      </c>
      <c r="BQ182" s="14">
        <f t="shared" si="225"/>
        <v>208</v>
      </c>
      <c r="BR182" s="34" t="e">
        <f>HLOOKUP(J182,Villagers!$B$1:$V$33,L182+3,FALSE)-HLOOKUP(J182,Villagers!$B$1:$V$33,L182+2,FALSE)</f>
        <v>#N/A</v>
      </c>
      <c r="BS182" s="49">
        <f t="shared" si="226"/>
        <v>1</v>
      </c>
      <c r="BT182" s="50">
        <f t="shared" si="227"/>
        <v>0</v>
      </c>
      <c r="BU182" s="50">
        <f t="shared" si="228"/>
        <v>0</v>
      </c>
      <c r="BV182" s="50">
        <f t="shared" si="229"/>
        <v>0</v>
      </c>
      <c r="BW182" s="50">
        <f t="shared" si="275"/>
        <v>0</v>
      </c>
      <c r="BX182" s="50">
        <f t="shared" si="275"/>
        <v>0</v>
      </c>
      <c r="BY182" s="50">
        <f t="shared" si="275"/>
        <v>0</v>
      </c>
      <c r="BZ182" s="50">
        <f t="shared" si="260"/>
        <v>0</v>
      </c>
      <c r="CA182" s="50">
        <f t="shared" si="261"/>
        <v>0</v>
      </c>
      <c r="CB182" s="50">
        <f t="shared" si="262"/>
        <v>1</v>
      </c>
      <c r="CC182" s="50">
        <f t="shared" si="263"/>
        <v>0</v>
      </c>
      <c r="CD182" s="50">
        <f t="shared" si="264"/>
        <v>0</v>
      </c>
      <c r="CE182" s="50">
        <f t="shared" si="265"/>
        <v>1</v>
      </c>
      <c r="CF182" s="50">
        <f t="shared" si="266"/>
        <v>1</v>
      </c>
      <c r="CG182" s="50">
        <f t="shared" si="267"/>
        <v>1</v>
      </c>
      <c r="CH182" s="50">
        <f t="shared" si="268"/>
        <v>1</v>
      </c>
      <c r="CI182" s="50">
        <f t="shared" si="269"/>
        <v>1</v>
      </c>
      <c r="CJ182" s="50">
        <f t="shared" si="270"/>
        <v>1</v>
      </c>
      <c r="CK182" s="50">
        <f t="shared" si="270"/>
        <v>0</v>
      </c>
      <c r="CL182" s="50">
        <f t="shared" si="270"/>
        <v>0</v>
      </c>
      <c r="CM182" s="51">
        <f t="shared" si="274"/>
        <v>0</v>
      </c>
      <c r="CN182" s="33">
        <f>ROUND(IF(BS182=0,0,HLOOKUP(BS$14,Villagers!$B$1:$V$33,BS182+3,FALSE)),)</f>
        <v>5</v>
      </c>
      <c r="CO182" s="14">
        <f>ROUND(IF(BT182=0,0,HLOOKUP(BT$14,Villagers!$B$1:$V$33,BT182+3,FALSE)),)</f>
        <v>0</v>
      </c>
      <c r="CP182" s="14">
        <f>ROUND(IF(BU182=0,0,HLOOKUP(BU$14,Villagers!$B$1:$V$33,BU182+3,FALSE)),)</f>
        <v>0</v>
      </c>
      <c r="CQ182" s="14">
        <f>ROUND(IF(BV182=0,0,HLOOKUP(BV$14,Villagers!$B$1:$V$33,BV182+3,FALSE)),)</f>
        <v>0</v>
      </c>
      <c r="CR182" s="14">
        <f>ROUND(IF(BW182=0,0,HLOOKUP(BW$14,Villagers!$B$1:$V$33,BW182+3,FALSE)),)</f>
        <v>0</v>
      </c>
      <c r="CS182" s="14">
        <f>ROUND(IF(BX182=0,0,HLOOKUP(BX$14,Villagers!$B$1:$V$33,BX182+3,FALSE)),)</f>
        <v>0</v>
      </c>
      <c r="CT182" s="14">
        <f>ROUND(IF(BY182=0,0,HLOOKUP(BY$14,Villagers!$B$1:$V$33,BY182+3,FALSE)),)</f>
        <v>0</v>
      </c>
      <c r="CU182" s="14">
        <f>ROUND(IF(BZ182=0,0,HLOOKUP(BZ$14,Villagers!$B$1:$V$33,BZ182+3,FALSE)),)</f>
        <v>0</v>
      </c>
      <c r="CV182" s="14">
        <f>ROUND(IF(CA182=0,0,HLOOKUP(CA$14,Villagers!$B$1:$V$33,CA182+3,FALSE)),)</f>
        <v>0</v>
      </c>
      <c r="CW182" s="14">
        <f>ROUND(IF(CB182=0,0,HLOOKUP(CB$14,Villagers!$B$1:$V$33,CB182+3,FALSE)),)</f>
        <v>0</v>
      </c>
      <c r="CX182" s="14">
        <f>ROUND(IF(CC182=0,0,HLOOKUP(CC$14,Villagers!$B$1:$V$33,CC182+3,FALSE)),)</f>
        <v>0</v>
      </c>
      <c r="CY182" s="14">
        <f>ROUND(IF(CD182=0,0,HLOOKUP(CD$14,Villagers!$B$1:$V$33,CD182+3,FALSE)),)</f>
        <v>0</v>
      </c>
      <c r="CZ182" s="14">
        <f>ROUND(IF(CE182=0,0,HLOOKUP(CE$14,Villagers!$B$1:$V$33,CE182+3,FALSE)),)</f>
        <v>5</v>
      </c>
      <c r="DA182" s="14">
        <f>ROUND(IF(CF182=0,0,HLOOKUP(CF$14,Villagers!$B$1:$V$33,CF182+3,FALSE)),)</f>
        <v>10</v>
      </c>
      <c r="DB182" s="14">
        <f>ROUND(IF(CG182=0,0,HLOOKUP(CG$14,Villagers!$B$1:$V$33,CG182+3,FALSE)),)</f>
        <v>10</v>
      </c>
      <c r="DC182" s="14">
        <f>ROUND(IF(CH182=0,0,HLOOKUP(CH$14,Villagers!$B$1:$V$33,CH182+3,FALSE)),)</f>
        <v>0</v>
      </c>
      <c r="DD182" s="14">
        <f>ROUND(IF(CI182=0,0,HLOOKUP(CI$14,Villagers!$B$1:$V$33,CI182+3,FALSE)),)</f>
        <v>0</v>
      </c>
      <c r="DE182" s="14">
        <f>ROUND(IF(CJ182=0,0,HLOOKUP(CJ$14,Villagers!$B$1:$V$33,CJ182+3,FALSE)),)</f>
        <v>2</v>
      </c>
      <c r="DF182" s="370">
        <f>ROUND(IF(CK182=0,0,HLOOKUP(CK$14,Villagers!$B$1:$V$33,CK182+3,FALSE)),)</f>
        <v>0</v>
      </c>
      <c r="DG182" s="370">
        <f>ROUND(IF(CL182=0,0,HLOOKUP(CL$14,Villagers!$B$1:$V$33,CL182+3,FALSE)),)</f>
        <v>0</v>
      </c>
      <c r="DH182" s="34">
        <f>ROUND(IF(CM182=0,0,HLOOKUP(CM$14,Villagers!$B$1:$V$33,CM182+3,FALSE)),)</f>
        <v>0</v>
      </c>
      <c r="DI182" s="109">
        <f t="shared" si="246"/>
        <v>0</v>
      </c>
      <c r="DJ182" s="50">
        <f t="shared" si="247"/>
        <v>0</v>
      </c>
      <c r="DK182" s="50">
        <f t="shared" si="248"/>
        <v>0</v>
      </c>
      <c r="DL182" s="50">
        <f t="shared" si="249"/>
        <v>0</v>
      </c>
      <c r="DM182" s="50">
        <f t="shared" si="250"/>
        <v>0</v>
      </c>
      <c r="DN182" s="50">
        <f t="shared" si="251"/>
        <v>0</v>
      </c>
      <c r="DO182" s="50">
        <f t="shared" si="252"/>
        <v>0</v>
      </c>
      <c r="DP182" s="50">
        <f t="shared" si="253"/>
        <v>0</v>
      </c>
      <c r="DQ182" s="50">
        <f t="shared" si="231"/>
        <v>0</v>
      </c>
      <c r="DR182" s="50">
        <f t="shared" si="232"/>
        <v>0</v>
      </c>
      <c r="DS182" s="96">
        <f>Miscelaneous!$D$4*Miscelaneous!$D$2^($CI182-1)</f>
        <v>1000</v>
      </c>
      <c r="DT182" s="333">
        <f t="shared" si="213"/>
        <v>1</v>
      </c>
      <c r="DU182" s="81">
        <v>1</v>
      </c>
      <c r="DV182" s="79">
        <f t="shared" si="233"/>
        <v>0</v>
      </c>
      <c r="DW182" s="79">
        <f t="shared" si="234"/>
        <v>0</v>
      </c>
      <c r="DX182" s="79">
        <f t="shared" si="235"/>
        <v>0</v>
      </c>
      <c r="DY182" s="79">
        <v>1</v>
      </c>
      <c r="DZ182" s="79">
        <f t="shared" si="236"/>
        <v>0</v>
      </c>
      <c r="EA182" s="79">
        <f t="shared" si="237"/>
        <v>0</v>
      </c>
      <c r="EB182" s="79">
        <f t="shared" si="238"/>
        <v>0</v>
      </c>
      <c r="EC182" s="79">
        <f t="shared" si="239"/>
        <v>0</v>
      </c>
      <c r="ED182" s="79">
        <v>1</v>
      </c>
      <c r="EE182" s="79">
        <v>1</v>
      </c>
      <c r="EF182" s="79">
        <f t="shared" si="240"/>
        <v>0</v>
      </c>
      <c r="EG182" s="79">
        <v>1</v>
      </c>
      <c r="EH182" s="79">
        <v>1</v>
      </c>
      <c r="EI182" s="79">
        <v>1</v>
      </c>
      <c r="EJ182" s="79">
        <v>1</v>
      </c>
      <c r="EK182" s="79">
        <v>1</v>
      </c>
      <c r="EL182" s="79">
        <v>1</v>
      </c>
      <c r="EM182" s="143">
        <f t="shared" si="241"/>
        <v>0</v>
      </c>
      <c r="EN182" s="143">
        <f t="shared" si="242"/>
        <v>0</v>
      </c>
      <c r="EO182" s="82">
        <f t="shared" si="243"/>
        <v>0</v>
      </c>
    </row>
    <row r="183" spans="1:145" x14ac:dyDescent="0.25">
      <c r="A183">
        <v>169</v>
      </c>
      <c r="B183" s="172" t="e">
        <f t="shared" si="214"/>
        <v>#N/A</v>
      </c>
      <c r="C183" s="121" t="e">
        <f t="shared" si="193"/>
        <v>#N/A</v>
      </c>
      <c r="D183" s="122" t="e">
        <f t="shared" si="194"/>
        <v>#N/A</v>
      </c>
      <c r="E183" s="122" t="e">
        <f t="shared" si="195"/>
        <v>#N/A</v>
      </c>
      <c r="F183" s="176" t="e">
        <f t="shared" si="196"/>
        <v>#N/A</v>
      </c>
      <c r="G183" s="121">
        <f t="shared" si="215"/>
        <v>208</v>
      </c>
      <c r="H183" s="176" t="e">
        <f t="shared" si="216"/>
        <v>#N/A</v>
      </c>
      <c r="I183" s="48">
        <v>1</v>
      </c>
      <c r="J183" s="39"/>
      <c r="K183" s="350">
        <v>1</v>
      </c>
      <c r="L183" s="34" t="e">
        <f t="shared" si="197"/>
        <v>#N/A</v>
      </c>
      <c r="M183" s="38" t="e">
        <f>(HLOOKUP(J183,'Construction Times'!$B$3:$W$34,L183+2,FALSE)*HLOOKUP("hq modifier",'Construction Times'!$W$3:$W$34,BS183+2,FALSE))*(1-$H$9)</f>
        <v>#N/A</v>
      </c>
      <c r="N183" s="443" t="e">
        <f t="shared" si="217"/>
        <v>#N/A</v>
      </c>
      <c r="O183" s="444"/>
      <c r="P183" s="447" t="e">
        <f t="shared" si="218"/>
        <v>#N/A</v>
      </c>
      <c r="Q183" s="448"/>
      <c r="R183" s="103">
        <f t="shared" si="244"/>
        <v>0</v>
      </c>
      <c r="S183" s="104">
        <f t="shared" si="244"/>
        <v>0</v>
      </c>
      <c r="T183" s="104">
        <f t="shared" si="245"/>
        <v>0</v>
      </c>
      <c r="U183" s="104">
        <f t="shared" si="245"/>
        <v>0</v>
      </c>
      <c r="V183" s="104">
        <f t="shared" si="245"/>
        <v>9.9999999999999995E-8</v>
      </c>
      <c r="W183" s="104">
        <f t="shared" si="245"/>
        <v>0</v>
      </c>
      <c r="X183" s="104">
        <f t="shared" si="273"/>
        <v>0</v>
      </c>
      <c r="Y183" s="104">
        <f t="shared" si="273"/>
        <v>9.9999999999999995E-8</v>
      </c>
      <c r="Z183" s="104">
        <f t="shared" si="273"/>
        <v>9.9999999999999995E-8</v>
      </c>
      <c r="AA183" s="105">
        <f t="shared" si="273"/>
        <v>9.9999999999999995E-8</v>
      </c>
      <c r="AB183" s="101" t="e">
        <f>$DT183*HLOOKUP($J183,'Construction Costs (timber)'!$B$1:$V$32,'Construction Planner'!$L183+2,FALSE)</f>
        <v>#N/A</v>
      </c>
      <c r="AC183" s="14" t="e">
        <f>$DT183*HLOOKUP($J183,'Construction Costs (clay)'!$B$1:$V$32,'Construction Planner'!$L183+2,FALSE)</f>
        <v>#N/A</v>
      </c>
      <c r="AD183" s="14" t="e">
        <f>$DT183*HLOOKUP($J183,'Construction Costs (iron)'!$B$1:$V$32,'Construction Planner'!$L183+2,FALSE)</f>
        <v>#N/A</v>
      </c>
      <c r="AE183" s="34" t="e">
        <f t="shared" si="254"/>
        <v>#N/A</v>
      </c>
      <c r="AF183" s="33" t="e">
        <f t="shared" si="198"/>
        <v>#N/A</v>
      </c>
      <c r="AG183" s="14" t="e">
        <f t="shared" si="199"/>
        <v>#N/A</v>
      </c>
      <c r="AH183" s="14" t="e">
        <f t="shared" si="200"/>
        <v>#N/A</v>
      </c>
      <c r="AI183" s="34" t="e">
        <f t="shared" si="255"/>
        <v>#N/A</v>
      </c>
      <c r="AJ183" s="49" t="e">
        <f t="shared" si="219"/>
        <v>#N/A</v>
      </c>
      <c r="AK183" s="49" t="e">
        <f t="shared" si="220"/>
        <v>#N/A</v>
      </c>
      <c r="AL183" s="49" t="e">
        <f t="shared" si="221"/>
        <v>#N/A</v>
      </c>
      <c r="AM183" s="25">
        <f t="shared" si="201"/>
        <v>30</v>
      </c>
      <c r="AN183" s="25">
        <f t="shared" si="202"/>
        <v>30</v>
      </c>
      <c r="AO183" s="25">
        <f t="shared" si="203"/>
        <v>30</v>
      </c>
      <c r="AP183" s="52" t="e">
        <f t="shared" si="222"/>
        <v>#N/A</v>
      </c>
      <c r="AQ183" s="53" t="e">
        <f t="shared" si="222"/>
        <v>#N/A</v>
      </c>
      <c r="AR183" s="54" t="e">
        <f t="shared" si="222"/>
        <v>#N/A</v>
      </c>
      <c r="AS183" s="316">
        <f t="shared" si="276"/>
        <v>0</v>
      </c>
      <c r="AT183" s="106">
        <f>_xlfn.IFNA($M183/VLOOKUP($BT183,'Unit information'!$A$2:$K$29,2,FALSE)*R183,0)*(1+$E$9)</f>
        <v>0</v>
      </c>
      <c r="AU183" s="107">
        <f>_xlfn.IFNA($M183/VLOOKUP($BT183,'Unit information'!$A$2:$K$29,3,FALSE)*S183,0)*(1+$E$9)</f>
        <v>0</v>
      </c>
      <c r="AV183" s="107">
        <f>_xlfn.IFNA($M183/VLOOKUP($BT183,'Unit information'!$A$2:$K$29,4,FALSE)*T183,0)*(1+$E$9)</f>
        <v>0</v>
      </c>
      <c r="AW183" s="107">
        <f>_xlfn.IFNA($M183/VLOOKUP($BT183,'Unit information'!$A$2:$K$29,5,FALSE)*U183,0)*(1+$E$9)</f>
        <v>0</v>
      </c>
      <c r="AX183" s="107">
        <f>_xlfn.IFNA($M183/VLOOKUP($BU183,'Unit information'!$A$2:$K$29,6,FALSE)*V183,0)*(1+$E$9)</f>
        <v>0</v>
      </c>
      <c r="AY183" s="107">
        <f>_xlfn.IFNA($M183/VLOOKUP($BU183,'Unit information'!$A$2:$K$29,7,FALSE)*W183,0)*(1+$E$9)</f>
        <v>0</v>
      </c>
      <c r="AZ183" s="107">
        <f>_xlfn.IFNA($M183/VLOOKUP($BU183,'Unit information'!$A$2:$K$29,8,FALSE)*X183,0)*(1+$E$9)</f>
        <v>0</v>
      </c>
      <c r="BA183" s="107">
        <f>_xlfn.IFNA($M183/VLOOKUP($BU183,'Unit information'!$A$2:$K$29,9,FALSE)*Y183,0)*(1+$E$9)</f>
        <v>0</v>
      </c>
      <c r="BB183" s="107">
        <f>_xlfn.IFNA($M183/VLOOKUP($BV183,'Unit information'!$A$2:$K$29,10,FALSE)*Z183,0)*(1+$E$9)</f>
        <v>0</v>
      </c>
      <c r="BC183" s="108">
        <f>_xlfn.IFNA($M183/VLOOKUP($BV183,'Unit information'!$A$2:$K$29,11,FALSE)*AA183,0)*(1+$E$9)</f>
        <v>0</v>
      </c>
      <c r="BD183" s="106">
        <f t="shared" si="204"/>
        <v>0</v>
      </c>
      <c r="BE183" s="107">
        <f t="shared" si="205"/>
        <v>0</v>
      </c>
      <c r="BF183" s="108">
        <f t="shared" si="206"/>
        <v>0</v>
      </c>
      <c r="BG183" s="25" t="e">
        <f t="shared" si="207"/>
        <v>#N/A</v>
      </c>
      <c r="BH183" s="25" t="e">
        <f t="shared" si="208"/>
        <v>#N/A</v>
      </c>
      <c r="BI183" s="25" t="e">
        <f t="shared" si="209"/>
        <v>#N/A</v>
      </c>
      <c r="BJ183" s="27" t="e">
        <f t="shared" si="210"/>
        <v>#N/A</v>
      </c>
      <c r="BK183" s="18" t="e">
        <f t="shared" si="211"/>
        <v>#N/A</v>
      </c>
      <c r="BL183" s="18" t="e">
        <f t="shared" si="212"/>
        <v>#N/A</v>
      </c>
      <c r="BM183" s="28" t="e">
        <f t="shared" si="257"/>
        <v>#N/A</v>
      </c>
      <c r="BN183" s="33">
        <f>HLOOKUP("maximum population",Miscelaneous!$C$1:$C$33,CH183+3,FALSE)</f>
        <v>240</v>
      </c>
      <c r="BO183" s="14">
        <f t="shared" si="223"/>
        <v>32</v>
      </c>
      <c r="BP183" s="14">
        <f t="shared" si="224"/>
        <v>0</v>
      </c>
      <c r="BQ183" s="14">
        <f t="shared" si="225"/>
        <v>208</v>
      </c>
      <c r="BR183" s="34" t="e">
        <f>HLOOKUP(J183,Villagers!$B$1:$V$33,L183+3,FALSE)-HLOOKUP(J183,Villagers!$B$1:$V$33,L183+2,FALSE)</f>
        <v>#N/A</v>
      </c>
      <c r="BS183" s="49">
        <f t="shared" si="226"/>
        <v>1</v>
      </c>
      <c r="BT183" s="50">
        <f t="shared" si="227"/>
        <v>0</v>
      </c>
      <c r="BU183" s="50">
        <f t="shared" si="228"/>
        <v>0</v>
      </c>
      <c r="BV183" s="50">
        <f t="shared" si="229"/>
        <v>0</v>
      </c>
      <c r="BW183" s="50">
        <f>IF($J182=BW$14,$L182,BW182)</f>
        <v>0</v>
      </c>
      <c r="BX183" s="50">
        <f t="shared" ref="BX183:BY191" si="277">IF($J182=BX$14,$L182,BX182)</f>
        <v>0</v>
      </c>
      <c r="BY183" s="50">
        <f t="shared" si="277"/>
        <v>0</v>
      </c>
      <c r="BZ183" s="50">
        <f t="shared" si="260"/>
        <v>0</v>
      </c>
      <c r="CA183" s="50">
        <f t="shared" si="261"/>
        <v>0</v>
      </c>
      <c r="CB183" s="50">
        <f t="shared" si="262"/>
        <v>1</v>
      </c>
      <c r="CC183" s="50">
        <f t="shared" si="263"/>
        <v>0</v>
      </c>
      <c r="CD183" s="50">
        <f t="shared" si="264"/>
        <v>0</v>
      </c>
      <c r="CE183" s="50">
        <f t="shared" si="265"/>
        <v>1</v>
      </c>
      <c r="CF183" s="50">
        <f t="shared" si="266"/>
        <v>1</v>
      </c>
      <c r="CG183" s="50">
        <f t="shared" si="267"/>
        <v>1</v>
      </c>
      <c r="CH183" s="50">
        <f t="shared" si="268"/>
        <v>1</v>
      </c>
      <c r="CI183" s="50">
        <f t="shared" si="269"/>
        <v>1</v>
      </c>
      <c r="CJ183" s="50">
        <f t="shared" si="270"/>
        <v>1</v>
      </c>
      <c r="CK183" s="50">
        <f t="shared" si="270"/>
        <v>0</v>
      </c>
      <c r="CL183" s="50">
        <f t="shared" si="270"/>
        <v>0</v>
      </c>
      <c r="CM183" s="51">
        <f t="shared" si="274"/>
        <v>0</v>
      </c>
      <c r="CN183" s="33">
        <f>ROUND(IF(BS183=0,0,HLOOKUP(BS$14,Villagers!$B$1:$V$33,BS183+3,FALSE)),)</f>
        <v>5</v>
      </c>
      <c r="CO183" s="14">
        <f>ROUND(IF(BT183=0,0,HLOOKUP(BT$14,Villagers!$B$1:$V$33,BT183+3,FALSE)),)</f>
        <v>0</v>
      </c>
      <c r="CP183" s="14">
        <f>ROUND(IF(BU183=0,0,HLOOKUP(BU$14,Villagers!$B$1:$V$33,BU183+3,FALSE)),)</f>
        <v>0</v>
      </c>
      <c r="CQ183" s="14">
        <f>ROUND(IF(BV183=0,0,HLOOKUP(BV$14,Villagers!$B$1:$V$33,BV183+3,FALSE)),)</f>
        <v>0</v>
      </c>
      <c r="CR183" s="14">
        <f>ROUND(IF(BW183=0,0,HLOOKUP(BW$14,Villagers!$B$1:$V$33,BW183+3,FALSE)),)</f>
        <v>0</v>
      </c>
      <c r="CS183" s="14">
        <f>ROUND(IF(BX183=0,0,HLOOKUP(BX$14,Villagers!$B$1:$V$33,BX183+3,FALSE)),)</f>
        <v>0</v>
      </c>
      <c r="CT183" s="14">
        <f>ROUND(IF(BY183=0,0,HLOOKUP(BY$14,Villagers!$B$1:$V$33,BY183+3,FALSE)),)</f>
        <v>0</v>
      </c>
      <c r="CU183" s="14">
        <f>ROUND(IF(BZ183=0,0,HLOOKUP(BZ$14,Villagers!$B$1:$V$33,BZ183+3,FALSE)),)</f>
        <v>0</v>
      </c>
      <c r="CV183" s="14">
        <f>ROUND(IF(CA183=0,0,HLOOKUP(CA$14,Villagers!$B$1:$V$33,CA183+3,FALSE)),)</f>
        <v>0</v>
      </c>
      <c r="CW183" s="14">
        <f>ROUND(IF(CB183=0,0,HLOOKUP(CB$14,Villagers!$B$1:$V$33,CB183+3,FALSE)),)</f>
        <v>0</v>
      </c>
      <c r="CX183" s="14">
        <f>ROUND(IF(CC183=0,0,HLOOKUP(CC$14,Villagers!$B$1:$V$33,CC183+3,FALSE)),)</f>
        <v>0</v>
      </c>
      <c r="CY183" s="14">
        <f>ROUND(IF(CD183=0,0,HLOOKUP(CD$14,Villagers!$B$1:$V$33,CD183+3,FALSE)),)</f>
        <v>0</v>
      </c>
      <c r="CZ183" s="14">
        <f>ROUND(IF(CE183=0,0,HLOOKUP(CE$14,Villagers!$B$1:$V$33,CE183+3,FALSE)),)</f>
        <v>5</v>
      </c>
      <c r="DA183" s="14">
        <f>ROUND(IF(CF183=0,0,HLOOKUP(CF$14,Villagers!$B$1:$V$33,CF183+3,FALSE)),)</f>
        <v>10</v>
      </c>
      <c r="DB183" s="14">
        <f>ROUND(IF(CG183=0,0,HLOOKUP(CG$14,Villagers!$B$1:$V$33,CG183+3,FALSE)),)</f>
        <v>10</v>
      </c>
      <c r="DC183" s="14">
        <f>ROUND(IF(CH183=0,0,HLOOKUP(CH$14,Villagers!$B$1:$V$33,CH183+3,FALSE)),)</f>
        <v>0</v>
      </c>
      <c r="DD183" s="14">
        <f>ROUND(IF(CI183=0,0,HLOOKUP(CI$14,Villagers!$B$1:$V$33,CI183+3,FALSE)),)</f>
        <v>0</v>
      </c>
      <c r="DE183" s="14">
        <f>ROUND(IF(CJ183=0,0,HLOOKUP(CJ$14,Villagers!$B$1:$V$33,CJ183+3,FALSE)),)</f>
        <v>2</v>
      </c>
      <c r="DF183" s="370">
        <f>ROUND(IF(CK183=0,0,HLOOKUP(CK$14,Villagers!$B$1:$V$33,CK183+3,FALSE)),)</f>
        <v>0</v>
      </c>
      <c r="DG183" s="370">
        <f>ROUND(IF(CL183=0,0,HLOOKUP(CL$14,Villagers!$B$1:$V$33,CL183+3,FALSE)),)</f>
        <v>0</v>
      </c>
      <c r="DH183" s="34">
        <f>ROUND(IF(CM183=0,0,HLOOKUP(CM$14,Villagers!$B$1:$V$33,CM183+3,FALSE)),)</f>
        <v>0</v>
      </c>
      <c r="DI183" s="109">
        <f t="shared" si="246"/>
        <v>0</v>
      </c>
      <c r="DJ183" s="50">
        <f t="shared" si="247"/>
        <v>0</v>
      </c>
      <c r="DK183" s="50">
        <f t="shared" si="248"/>
        <v>0</v>
      </c>
      <c r="DL183" s="50">
        <f t="shared" si="249"/>
        <v>0</v>
      </c>
      <c r="DM183" s="50">
        <f t="shared" si="250"/>
        <v>0</v>
      </c>
      <c r="DN183" s="50">
        <f t="shared" si="251"/>
        <v>0</v>
      </c>
      <c r="DO183" s="50">
        <f t="shared" si="252"/>
        <v>0</v>
      </c>
      <c r="DP183" s="50">
        <f t="shared" si="253"/>
        <v>0</v>
      </c>
      <c r="DQ183" s="50">
        <f t="shared" si="231"/>
        <v>0</v>
      </c>
      <c r="DR183" s="50">
        <f t="shared" si="232"/>
        <v>0</v>
      </c>
      <c r="DS183" s="96">
        <f>Miscelaneous!$D$4*Miscelaneous!$D$2^($CI183-1)</f>
        <v>1000</v>
      </c>
      <c r="DT183" s="333">
        <f t="shared" si="213"/>
        <v>1</v>
      </c>
      <c r="DU183" s="81">
        <v>1</v>
      </c>
      <c r="DV183" s="79">
        <f t="shared" si="233"/>
        <v>0</v>
      </c>
      <c r="DW183" s="79">
        <f t="shared" si="234"/>
        <v>0</v>
      </c>
      <c r="DX183" s="79">
        <f t="shared" si="235"/>
        <v>0</v>
      </c>
      <c r="DY183" s="79">
        <v>1</v>
      </c>
      <c r="DZ183" s="79">
        <f t="shared" si="236"/>
        <v>0</v>
      </c>
      <c r="EA183" s="79">
        <f t="shared" si="237"/>
        <v>0</v>
      </c>
      <c r="EB183" s="79">
        <f t="shared" si="238"/>
        <v>0</v>
      </c>
      <c r="EC183" s="79">
        <f t="shared" si="239"/>
        <v>0</v>
      </c>
      <c r="ED183" s="79">
        <v>1</v>
      </c>
      <c r="EE183" s="79">
        <v>1</v>
      </c>
      <c r="EF183" s="79">
        <f t="shared" si="240"/>
        <v>0</v>
      </c>
      <c r="EG183" s="79">
        <v>1</v>
      </c>
      <c r="EH183" s="79">
        <v>1</v>
      </c>
      <c r="EI183" s="79">
        <v>1</v>
      </c>
      <c r="EJ183" s="79">
        <v>1</v>
      </c>
      <c r="EK183" s="79">
        <v>1</v>
      </c>
      <c r="EL183" s="79">
        <v>1</v>
      </c>
      <c r="EM183" s="143">
        <f t="shared" si="241"/>
        <v>0</v>
      </c>
      <c r="EN183" s="143">
        <f t="shared" si="242"/>
        <v>0</v>
      </c>
      <c r="EO183" s="82">
        <f t="shared" si="243"/>
        <v>0</v>
      </c>
    </row>
    <row r="184" spans="1:145" x14ac:dyDescent="0.25">
      <c r="A184">
        <v>170</v>
      </c>
      <c r="B184" s="172" t="e">
        <f t="shared" si="214"/>
        <v>#N/A</v>
      </c>
      <c r="C184" s="121" t="e">
        <f t="shared" si="193"/>
        <v>#N/A</v>
      </c>
      <c r="D184" s="122" t="e">
        <f t="shared" si="194"/>
        <v>#N/A</v>
      </c>
      <c r="E184" s="122" t="e">
        <f t="shared" si="195"/>
        <v>#N/A</v>
      </c>
      <c r="F184" s="176" t="e">
        <f t="shared" si="196"/>
        <v>#N/A</v>
      </c>
      <c r="G184" s="121">
        <f t="shared" si="215"/>
        <v>208</v>
      </c>
      <c r="H184" s="176" t="e">
        <f t="shared" si="216"/>
        <v>#N/A</v>
      </c>
      <c r="I184" s="48">
        <v>1</v>
      </c>
      <c r="J184" s="39"/>
      <c r="K184" s="350">
        <v>1</v>
      </c>
      <c r="L184" s="34" t="e">
        <f t="shared" si="197"/>
        <v>#N/A</v>
      </c>
      <c r="M184" s="38" t="e">
        <f>(HLOOKUP(J184,'Construction Times'!$B$3:$W$34,L184+2,FALSE)*HLOOKUP("hq modifier",'Construction Times'!$W$3:$W$34,BS184+2,FALSE))*(1-$H$9)</f>
        <v>#N/A</v>
      </c>
      <c r="N184" s="443" t="e">
        <f t="shared" si="217"/>
        <v>#N/A</v>
      </c>
      <c r="O184" s="444"/>
      <c r="P184" s="447" t="e">
        <f t="shared" si="218"/>
        <v>#N/A</v>
      </c>
      <c r="Q184" s="448"/>
      <c r="R184" s="103">
        <f t="shared" si="244"/>
        <v>0</v>
      </c>
      <c r="S184" s="104">
        <f t="shared" si="244"/>
        <v>0</v>
      </c>
      <c r="T184" s="104">
        <f t="shared" si="245"/>
        <v>0</v>
      </c>
      <c r="U184" s="104">
        <f t="shared" si="245"/>
        <v>0</v>
      </c>
      <c r="V184" s="104">
        <f t="shared" si="245"/>
        <v>9.9999999999999995E-8</v>
      </c>
      <c r="W184" s="104">
        <f t="shared" si="245"/>
        <v>0</v>
      </c>
      <c r="X184" s="104">
        <f t="shared" si="273"/>
        <v>0</v>
      </c>
      <c r="Y184" s="104">
        <f t="shared" si="273"/>
        <v>9.9999999999999995E-8</v>
      </c>
      <c r="Z184" s="104">
        <f t="shared" si="273"/>
        <v>9.9999999999999995E-8</v>
      </c>
      <c r="AA184" s="105">
        <f t="shared" si="273"/>
        <v>9.9999999999999995E-8</v>
      </c>
      <c r="AB184" s="101" t="e">
        <f>$DT184*HLOOKUP($J184,'Construction Costs (timber)'!$B$1:$V$32,'Construction Planner'!$L184+2,FALSE)</f>
        <v>#N/A</v>
      </c>
      <c r="AC184" s="14" t="e">
        <f>$DT184*HLOOKUP($J184,'Construction Costs (clay)'!$B$1:$V$32,'Construction Planner'!$L184+2,FALSE)</f>
        <v>#N/A</v>
      </c>
      <c r="AD184" s="14" t="e">
        <f>$DT184*HLOOKUP($J184,'Construction Costs (iron)'!$B$1:$V$32,'Construction Planner'!$L184+2,FALSE)</f>
        <v>#N/A</v>
      </c>
      <c r="AE184" s="34" t="e">
        <f t="shared" si="254"/>
        <v>#N/A</v>
      </c>
      <c r="AF184" s="33" t="e">
        <f t="shared" si="198"/>
        <v>#N/A</v>
      </c>
      <c r="AG184" s="14" t="e">
        <f t="shared" si="199"/>
        <v>#N/A</v>
      </c>
      <c r="AH184" s="14" t="e">
        <f t="shared" si="200"/>
        <v>#N/A</v>
      </c>
      <c r="AI184" s="34" t="e">
        <f t="shared" si="255"/>
        <v>#N/A</v>
      </c>
      <c r="AJ184" s="49" t="e">
        <f t="shared" si="219"/>
        <v>#N/A</v>
      </c>
      <c r="AK184" s="49" t="e">
        <f t="shared" si="220"/>
        <v>#N/A</v>
      </c>
      <c r="AL184" s="49" t="e">
        <f t="shared" si="221"/>
        <v>#N/A</v>
      </c>
      <c r="AM184" s="25">
        <f t="shared" si="201"/>
        <v>30</v>
      </c>
      <c r="AN184" s="25">
        <f t="shared" si="202"/>
        <v>30</v>
      </c>
      <c r="AO184" s="25">
        <f t="shared" si="203"/>
        <v>30</v>
      </c>
      <c r="AP184" s="52" t="e">
        <f t="shared" si="222"/>
        <v>#N/A</v>
      </c>
      <c r="AQ184" s="53" t="e">
        <f t="shared" si="222"/>
        <v>#N/A</v>
      </c>
      <c r="AR184" s="54" t="e">
        <f t="shared" si="222"/>
        <v>#N/A</v>
      </c>
      <c r="AS184" s="316">
        <f t="shared" si="276"/>
        <v>0</v>
      </c>
      <c r="AT184" s="106">
        <f>_xlfn.IFNA($M184/VLOOKUP($BT184,'Unit information'!$A$2:$K$29,2,FALSE)*R184,0)*(1+$E$9)</f>
        <v>0</v>
      </c>
      <c r="AU184" s="107">
        <f>_xlfn.IFNA($M184/VLOOKUP($BT184,'Unit information'!$A$2:$K$29,3,FALSE)*S184,0)*(1+$E$9)</f>
        <v>0</v>
      </c>
      <c r="AV184" s="107">
        <f>_xlfn.IFNA($M184/VLOOKUP($BT184,'Unit information'!$A$2:$K$29,4,FALSE)*T184,0)*(1+$E$9)</f>
        <v>0</v>
      </c>
      <c r="AW184" s="107">
        <f>_xlfn.IFNA($M184/VLOOKUP($BT184,'Unit information'!$A$2:$K$29,5,FALSE)*U184,0)*(1+$E$9)</f>
        <v>0</v>
      </c>
      <c r="AX184" s="107">
        <f>_xlfn.IFNA($M184/VLOOKUP($BU184,'Unit information'!$A$2:$K$29,6,FALSE)*V184,0)*(1+$E$9)</f>
        <v>0</v>
      </c>
      <c r="AY184" s="107">
        <f>_xlfn.IFNA($M184/VLOOKUP($BU184,'Unit information'!$A$2:$K$29,7,FALSE)*W184,0)*(1+$E$9)</f>
        <v>0</v>
      </c>
      <c r="AZ184" s="107">
        <f>_xlfn.IFNA($M184/VLOOKUP($BU184,'Unit information'!$A$2:$K$29,8,FALSE)*X184,0)*(1+$E$9)</f>
        <v>0</v>
      </c>
      <c r="BA184" s="107">
        <f>_xlfn.IFNA($M184/VLOOKUP($BU184,'Unit information'!$A$2:$K$29,9,FALSE)*Y184,0)*(1+$E$9)</f>
        <v>0</v>
      </c>
      <c r="BB184" s="107">
        <f>_xlfn.IFNA($M184/VLOOKUP($BV184,'Unit information'!$A$2:$K$29,10,FALSE)*Z184,0)*(1+$E$9)</f>
        <v>0</v>
      </c>
      <c r="BC184" s="108">
        <f>_xlfn.IFNA($M184/VLOOKUP($BV184,'Unit information'!$A$2:$K$29,11,FALSE)*AA184,0)*(1+$E$9)</f>
        <v>0</v>
      </c>
      <c r="BD184" s="106">
        <f t="shared" si="204"/>
        <v>0</v>
      </c>
      <c r="BE184" s="107">
        <f t="shared" si="205"/>
        <v>0</v>
      </c>
      <c r="BF184" s="108">
        <f t="shared" si="206"/>
        <v>0</v>
      </c>
      <c r="BG184" s="25" t="e">
        <f t="shared" si="207"/>
        <v>#N/A</v>
      </c>
      <c r="BH184" s="25" t="e">
        <f t="shared" si="208"/>
        <v>#N/A</v>
      </c>
      <c r="BI184" s="25" t="e">
        <f t="shared" si="209"/>
        <v>#N/A</v>
      </c>
      <c r="BJ184" s="27" t="e">
        <f t="shared" si="210"/>
        <v>#N/A</v>
      </c>
      <c r="BK184" s="18" t="e">
        <f t="shared" si="211"/>
        <v>#N/A</v>
      </c>
      <c r="BL184" s="18" t="e">
        <f t="shared" si="212"/>
        <v>#N/A</v>
      </c>
      <c r="BM184" s="28" t="e">
        <f t="shared" si="257"/>
        <v>#N/A</v>
      </c>
      <c r="BN184" s="33">
        <f>HLOOKUP("maximum population",Miscelaneous!$C$1:$C$33,CH184+3,FALSE)</f>
        <v>240</v>
      </c>
      <c r="BO184" s="14">
        <f t="shared" si="223"/>
        <v>32</v>
      </c>
      <c r="BP184" s="14">
        <f t="shared" si="224"/>
        <v>0</v>
      </c>
      <c r="BQ184" s="14">
        <f t="shared" si="225"/>
        <v>208</v>
      </c>
      <c r="BR184" s="34" t="e">
        <f>HLOOKUP(J184,Villagers!$B$1:$V$33,L184+3,FALSE)-HLOOKUP(J184,Villagers!$B$1:$V$33,L184+2,FALSE)</f>
        <v>#N/A</v>
      </c>
      <c r="BS184" s="49">
        <f t="shared" si="226"/>
        <v>1</v>
      </c>
      <c r="BT184" s="50">
        <f t="shared" si="227"/>
        <v>0</v>
      </c>
      <c r="BU184" s="50">
        <f t="shared" si="228"/>
        <v>0</v>
      </c>
      <c r="BV184" s="50">
        <f t="shared" si="229"/>
        <v>0</v>
      </c>
      <c r="BW184" s="50">
        <f t="shared" ref="BW184:BW191" si="278">IF($J183=BW$14,$L183,BW183)</f>
        <v>0</v>
      </c>
      <c r="BX184" s="50">
        <f t="shared" si="277"/>
        <v>0</v>
      </c>
      <c r="BY184" s="50">
        <f t="shared" si="277"/>
        <v>0</v>
      </c>
      <c r="BZ184" s="50">
        <f t="shared" si="260"/>
        <v>0</v>
      </c>
      <c r="CA184" s="50">
        <f t="shared" si="261"/>
        <v>0</v>
      </c>
      <c r="CB184" s="50">
        <f t="shared" si="262"/>
        <v>1</v>
      </c>
      <c r="CC184" s="50">
        <f t="shared" si="263"/>
        <v>0</v>
      </c>
      <c r="CD184" s="50">
        <f t="shared" si="264"/>
        <v>0</v>
      </c>
      <c r="CE184" s="50">
        <f t="shared" si="265"/>
        <v>1</v>
      </c>
      <c r="CF184" s="50">
        <f t="shared" si="266"/>
        <v>1</v>
      </c>
      <c r="CG184" s="50">
        <f t="shared" si="267"/>
        <v>1</v>
      </c>
      <c r="CH184" s="50">
        <f t="shared" si="268"/>
        <v>1</v>
      </c>
      <c r="CI184" s="50">
        <f t="shared" si="269"/>
        <v>1</v>
      </c>
      <c r="CJ184" s="50">
        <f t="shared" si="270"/>
        <v>1</v>
      </c>
      <c r="CK184" s="50">
        <f t="shared" si="270"/>
        <v>0</v>
      </c>
      <c r="CL184" s="50">
        <f t="shared" si="270"/>
        <v>0</v>
      </c>
      <c r="CM184" s="51">
        <f t="shared" si="274"/>
        <v>0</v>
      </c>
      <c r="CN184" s="33">
        <f>ROUND(IF(BS184=0,0,HLOOKUP(BS$14,Villagers!$B$1:$V$33,BS184+3,FALSE)),)</f>
        <v>5</v>
      </c>
      <c r="CO184" s="14">
        <f>ROUND(IF(BT184=0,0,HLOOKUP(BT$14,Villagers!$B$1:$V$33,BT184+3,FALSE)),)</f>
        <v>0</v>
      </c>
      <c r="CP184" s="14">
        <f>ROUND(IF(BU184=0,0,HLOOKUP(BU$14,Villagers!$B$1:$V$33,BU184+3,FALSE)),)</f>
        <v>0</v>
      </c>
      <c r="CQ184" s="14">
        <f>ROUND(IF(BV184=0,0,HLOOKUP(BV$14,Villagers!$B$1:$V$33,BV184+3,FALSE)),)</f>
        <v>0</v>
      </c>
      <c r="CR184" s="14">
        <f>ROUND(IF(BW184=0,0,HLOOKUP(BW$14,Villagers!$B$1:$V$33,BW184+3,FALSE)),)</f>
        <v>0</v>
      </c>
      <c r="CS184" s="14">
        <f>ROUND(IF(BX184=0,0,HLOOKUP(BX$14,Villagers!$B$1:$V$33,BX184+3,FALSE)),)</f>
        <v>0</v>
      </c>
      <c r="CT184" s="14">
        <f>ROUND(IF(BY184=0,0,HLOOKUP(BY$14,Villagers!$B$1:$V$33,BY184+3,FALSE)),)</f>
        <v>0</v>
      </c>
      <c r="CU184" s="14">
        <f>ROUND(IF(BZ184=0,0,HLOOKUP(BZ$14,Villagers!$B$1:$V$33,BZ184+3,FALSE)),)</f>
        <v>0</v>
      </c>
      <c r="CV184" s="14">
        <f>ROUND(IF(CA184=0,0,HLOOKUP(CA$14,Villagers!$B$1:$V$33,CA184+3,FALSE)),)</f>
        <v>0</v>
      </c>
      <c r="CW184" s="14">
        <f>ROUND(IF(CB184=0,0,HLOOKUP(CB$14,Villagers!$B$1:$V$33,CB184+3,FALSE)),)</f>
        <v>0</v>
      </c>
      <c r="CX184" s="14">
        <f>ROUND(IF(CC184=0,0,HLOOKUP(CC$14,Villagers!$B$1:$V$33,CC184+3,FALSE)),)</f>
        <v>0</v>
      </c>
      <c r="CY184" s="14">
        <f>ROUND(IF(CD184=0,0,HLOOKUP(CD$14,Villagers!$B$1:$V$33,CD184+3,FALSE)),)</f>
        <v>0</v>
      </c>
      <c r="CZ184" s="14">
        <f>ROUND(IF(CE184=0,0,HLOOKUP(CE$14,Villagers!$B$1:$V$33,CE184+3,FALSE)),)</f>
        <v>5</v>
      </c>
      <c r="DA184" s="14">
        <f>ROUND(IF(CF184=0,0,HLOOKUP(CF$14,Villagers!$B$1:$V$33,CF184+3,FALSE)),)</f>
        <v>10</v>
      </c>
      <c r="DB184" s="14">
        <f>ROUND(IF(CG184=0,0,HLOOKUP(CG$14,Villagers!$B$1:$V$33,CG184+3,FALSE)),)</f>
        <v>10</v>
      </c>
      <c r="DC184" s="14">
        <f>ROUND(IF(CH184=0,0,HLOOKUP(CH$14,Villagers!$B$1:$V$33,CH184+3,FALSE)),)</f>
        <v>0</v>
      </c>
      <c r="DD184" s="14">
        <f>ROUND(IF(CI184=0,0,HLOOKUP(CI$14,Villagers!$B$1:$V$33,CI184+3,FALSE)),)</f>
        <v>0</v>
      </c>
      <c r="DE184" s="14">
        <f>ROUND(IF(CJ184=0,0,HLOOKUP(CJ$14,Villagers!$B$1:$V$33,CJ184+3,FALSE)),)</f>
        <v>2</v>
      </c>
      <c r="DF184" s="370">
        <f>ROUND(IF(CK184=0,0,HLOOKUP(CK$14,Villagers!$B$1:$V$33,CK184+3,FALSE)),)</f>
        <v>0</v>
      </c>
      <c r="DG184" s="370">
        <f>ROUND(IF(CL184=0,0,HLOOKUP(CL$14,Villagers!$B$1:$V$33,CL184+3,FALSE)),)</f>
        <v>0</v>
      </c>
      <c r="DH184" s="34">
        <f>ROUND(IF(CM184=0,0,HLOOKUP(CM$14,Villagers!$B$1:$V$33,CM184+3,FALSE)),)</f>
        <v>0</v>
      </c>
      <c r="DI184" s="109">
        <f t="shared" si="246"/>
        <v>0</v>
      </c>
      <c r="DJ184" s="50">
        <f t="shared" si="247"/>
        <v>0</v>
      </c>
      <c r="DK184" s="50">
        <f t="shared" si="248"/>
        <v>0</v>
      </c>
      <c r="DL184" s="50">
        <f t="shared" si="249"/>
        <v>0</v>
      </c>
      <c r="DM184" s="50">
        <f t="shared" si="250"/>
        <v>0</v>
      </c>
      <c r="DN184" s="50">
        <f t="shared" si="251"/>
        <v>0</v>
      </c>
      <c r="DO184" s="50">
        <f t="shared" si="252"/>
        <v>0</v>
      </c>
      <c r="DP184" s="50">
        <f t="shared" si="253"/>
        <v>0</v>
      </c>
      <c r="DQ184" s="50">
        <f t="shared" si="231"/>
        <v>0</v>
      </c>
      <c r="DR184" s="50">
        <f t="shared" si="232"/>
        <v>0</v>
      </c>
      <c r="DS184" s="96">
        <f>Miscelaneous!$D$4*Miscelaneous!$D$2^($CI184-1)</f>
        <v>1000</v>
      </c>
      <c r="DT184" s="333">
        <f t="shared" si="213"/>
        <v>1</v>
      </c>
      <c r="DU184" s="81">
        <v>1</v>
      </c>
      <c r="DV184" s="79">
        <f t="shared" si="233"/>
        <v>0</v>
      </c>
      <c r="DW184" s="79">
        <f t="shared" si="234"/>
        <v>0</v>
      </c>
      <c r="DX184" s="79">
        <f t="shared" si="235"/>
        <v>0</v>
      </c>
      <c r="DY184" s="79">
        <v>1</v>
      </c>
      <c r="DZ184" s="79">
        <f t="shared" si="236"/>
        <v>0</v>
      </c>
      <c r="EA184" s="79">
        <f t="shared" si="237"/>
        <v>0</v>
      </c>
      <c r="EB184" s="79">
        <f t="shared" si="238"/>
        <v>0</v>
      </c>
      <c r="EC184" s="79">
        <f t="shared" si="239"/>
        <v>0</v>
      </c>
      <c r="ED184" s="79">
        <v>1</v>
      </c>
      <c r="EE184" s="79">
        <v>1</v>
      </c>
      <c r="EF184" s="79">
        <f t="shared" si="240"/>
        <v>0</v>
      </c>
      <c r="EG184" s="79">
        <v>1</v>
      </c>
      <c r="EH184" s="79">
        <v>1</v>
      </c>
      <c r="EI184" s="79">
        <v>1</v>
      </c>
      <c r="EJ184" s="79">
        <v>1</v>
      </c>
      <c r="EK184" s="79">
        <v>1</v>
      </c>
      <c r="EL184" s="79">
        <v>1</v>
      </c>
      <c r="EM184" s="143">
        <f t="shared" si="241"/>
        <v>0</v>
      </c>
      <c r="EN184" s="143">
        <f t="shared" si="242"/>
        <v>0</v>
      </c>
      <c r="EO184" s="82">
        <f t="shared" si="243"/>
        <v>0</v>
      </c>
    </row>
    <row r="185" spans="1:145" x14ac:dyDescent="0.25">
      <c r="A185">
        <v>171</v>
      </c>
      <c r="B185" s="172" t="e">
        <f t="shared" si="214"/>
        <v>#N/A</v>
      </c>
      <c r="C185" s="121" t="e">
        <f t="shared" si="193"/>
        <v>#N/A</v>
      </c>
      <c r="D185" s="122" t="e">
        <f t="shared" si="194"/>
        <v>#N/A</v>
      </c>
      <c r="E185" s="122" t="e">
        <f t="shared" si="195"/>
        <v>#N/A</v>
      </c>
      <c r="F185" s="176" t="e">
        <f t="shared" si="196"/>
        <v>#N/A</v>
      </c>
      <c r="G185" s="121">
        <f t="shared" si="215"/>
        <v>208</v>
      </c>
      <c r="H185" s="176" t="e">
        <f t="shared" si="216"/>
        <v>#N/A</v>
      </c>
      <c r="I185" s="48">
        <v>1</v>
      </c>
      <c r="J185" s="39"/>
      <c r="K185" s="350">
        <v>1</v>
      </c>
      <c r="L185" s="34" t="e">
        <f t="shared" si="197"/>
        <v>#N/A</v>
      </c>
      <c r="M185" s="38" t="e">
        <f>(HLOOKUP(J185,'Construction Times'!$B$3:$W$34,L185+2,FALSE)*HLOOKUP("hq modifier",'Construction Times'!$W$3:$W$34,BS185+2,FALSE))*(1-$H$9)</f>
        <v>#N/A</v>
      </c>
      <c r="N185" s="443" t="e">
        <f t="shared" si="217"/>
        <v>#N/A</v>
      </c>
      <c r="O185" s="444"/>
      <c r="P185" s="447" t="e">
        <f t="shared" si="218"/>
        <v>#N/A</v>
      </c>
      <c r="Q185" s="448"/>
      <c r="R185" s="103">
        <f t="shared" si="244"/>
        <v>0</v>
      </c>
      <c r="S185" s="104">
        <f t="shared" si="244"/>
        <v>0</v>
      </c>
      <c r="T185" s="104">
        <f t="shared" si="245"/>
        <v>0</v>
      </c>
      <c r="U185" s="104">
        <f t="shared" si="245"/>
        <v>0</v>
      </c>
      <c r="V185" s="104">
        <f t="shared" si="245"/>
        <v>9.9999999999999995E-8</v>
      </c>
      <c r="W185" s="104">
        <f t="shared" si="245"/>
        <v>0</v>
      </c>
      <c r="X185" s="104">
        <f t="shared" si="273"/>
        <v>0</v>
      </c>
      <c r="Y185" s="104">
        <f t="shared" si="273"/>
        <v>9.9999999999999995E-8</v>
      </c>
      <c r="Z185" s="104">
        <f t="shared" si="273"/>
        <v>9.9999999999999995E-8</v>
      </c>
      <c r="AA185" s="105">
        <f t="shared" si="273"/>
        <v>9.9999999999999995E-8</v>
      </c>
      <c r="AB185" s="101" t="e">
        <f>$DT185*HLOOKUP($J185,'Construction Costs (timber)'!$B$1:$V$32,'Construction Planner'!$L185+2,FALSE)</f>
        <v>#N/A</v>
      </c>
      <c r="AC185" s="14" t="e">
        <f>$DT185*HLOOKUP($J185,'Construction Costs (clay)'!$B$1:$V$32,'Construction Planner'!$L185+2,FALSE)</f>
        <v>#N/A</v>
      </c>
      <c r="AD185" s="14" t="e">
        <f>$DT185*HLOOKUP($J185,'Construction Costs (iron)'!$B$1:$V$32,'Construction Planner'!$L185+2,FALSE)</f>
        <v>#N/A</v>
      </c>
      <c r="AE185" s="34" t="e">
        <f t="shared" si="254"/>
        <v>#N/A</v>
      </c>
      <c r="AF185" s="33" t="e">
        <f t="shared" si="198"/>
        <v>#N/A</v>
      </c>
      <c r="AG185" s="14" t="e">
        <f t="shared" si="199"/>
        <v>#N/A</v>
      </c>
      <c r="AH185" s="14" t="e">
        <f t="shared" si="200"/>
        <v>#N/A</v>
      </c>
      <c r="AI185" s="34" t="e">
        <f t="shared" si="255"/>
        <v>#N/A</v>
      </c>
      <c r="AJ185" s="49" t="e">
        <f t="shared" si="219"/>
        <v>#N/A</v>
      </c>
      <c r="AK185" s="49" t="e">
        <f t="shared" si="220"/>
        <v>#N/A</v>
      </c>
      <c r="AL185" s="49" t="e">
        <f t="shared" si="221"/>
        <v>#N/A</v>
      </c>
      <c r="AM185" s="25">
        <f t="shared" si="201"/>
        <v>30</v>
      </c>
      <c r="AN185" s="25">
        <f t="shared" si="202"/>
        <v>30</v>
      </c>
      <c r="AO185" s="25">
        <f t="shared" si="203"/>
        <v>30</v>
      </c>
      <c r="AP185" s="52" t="e">
        <f t="shared" si="222"/>
        <v>#N/A</v>
      </c>
      <c r="AQ185" s="53" t="e">
        <f t="shared" si="222"/>
        <v>#N/A</v>
      </c>
      <c r="AR185" s="54" t="e">
        <f t="shared" si="222"/>
        <v>#N/A</v>
      </c>
      <c r="AS185" s="316">
        <f t="shared" si="276"/>
        <v>0</v>
      </c>
      <c r="AT185" s="106">
        <f>_xlfn.IFNA($M185/VLOOKUP($BT185,'Unit information'!$A$2:$K$29,2,FALSE)*R185,0)*(1+$E$9)</f>
        <v>0</v>
      </c>
      <c r="AU185" s="107">
        <f>_xlfn.IFNA($M185/VLOOKUP($BT185,'Unit information'!$A$2:$K$29,3,FALSE)*S185,0)*(1+$E$9)</f>
        <v>0</v>
      </c>
      <c r="AV185" s="107">
        <f>_xlfn.IFNA($M185/VLOOKUP($BT185,'Unit information'!$A$2:$K$29,4,FALSE)*T185,0)*(1+$E$9)</f>
        <v>0</v>
      </c>
      <c r="AW185" s="107">
        <f>_xlfn.IFNA($M185/VLOOKUP($BT185,'Unit information'!$A$2:$K$29,5,FALSE)*U185,0)*(1+$E$9)</f>
        <v>0</v>
      </c>
      <c r="AX185" s="107">
        <f>_xlfn.IFNA($M185/VLOOKUP($BU185,'Unit information'!$A$2:$K$29,6,FALSE)*V185,0)*(1+$E$9)</f>
        <v>0</v>
      </c>
      <c r="AY185" s="107">
        <f>_xlfn.IFNA($M185/VLOOKUP($BU185,'Unit information'!$A$2:$K$29,7,FALSE)*W185,0)*(1+$E$9)</f>
        <v>0</v>
      </c>
      <c r="AZ185" s="107">
        <f>_xlfn.IFNA($M185/VLOOKUP($BU185,'Unit information'!$A$2:$K$29,8,FALSE)*X185,0)*(1+$E$9)</f>
        <v>0</v>
      </c>
      <c r="BA185" s="107">
        <f>_xlfn.IFNA($M185/VLOOKUP($BU185,'Unit information'!$A$2:$K$29,9,FALSE)*Y185,0)*(1+$E$9)</f>
        <v>0</v>
      </c>
      <c r="BB185" s="107">
        <f>_xlfn.IFNA($M185/VLOOKUP($BV185,'Unit information'!$A$2:$K$29,10,FALSE)*Z185,0)*(1+$E$9)</f>
        <v>0</v>
      </c>
      <c r="BC185" s="108">
        <f>_xlfn.IFNA($M185/VLOOKUP($BV185,'Unit information'!$A$2:$K$29,11,FALSE)*AA185,0)*(1+$E$9)</f>
        <v>0</v>
      </c>
      <c r="BD185" s="106">
        <f t="shared" si="204"/>
        <v>0</v>
      </c>
      <c r="BE185" s="107">
        <f t="shared" si="205"/>
        <v>0</v>
      </c>
      <c r="BF185" s="108">
        <f t="shared" si="206"/>
        <v>0</v>
      </c>
      <c r="BG185" s="25" t="e">
        <f t="shared" si="207"/>
        <v>#N/A</v>
      </c>
      <c r="BH185" s="25" t="e">
        <f t="shared" si="208"/>
        <v>#N/A</v>
      </c>
      <c r="BI185" s="25" t="e">
        <f t="shared" si="209"/>
        <v>#N/A</v>
      </c>
      <c r="BJ185" s="27" t="e">
        <f t="shared" si="210"/>
        <v>#N/A</v>
      </c>
      <c r="BK185" s="18" t="e">
        <f t="shared" si="211"/>
        <v>#N/A</v>
      </c>
      <c r="BL185" s="18" t="e">
        <f t="shared" si="212"/>
        <v>#N/A</v>
      </c>
      <c r="BM185" s="28" t="e">
        <f t="shared" si="257"/>
        <v>#N/A</v>
      </c>
      <c r="BN185" s="33">
        <f>HLOOKUP("maximum population",Miscelaneous!$C$1:$C$33,CH185+3,FALSE)</f>
        <v>240</v>
      </c>
      <c r="BO185" s="14">
        <f t="shared" si="223"/>
        <v>32</v>
      </c>
      <c r="BP185" s="14">
        <f t="shared" si="224"/>
        <v>0</v>
      </c>
      <c r="BQ185" s="14">
        <f t="shared" si="225"/>
        <v>208</v>
      </c>
      <c r="BR185" s="34" t="e">
        <f>HLOOKUP(J185,Villagers!$B$1:$V$33,L185+3,FALSE)-HLOOKUP(J185,Villagers!$B$1:$V$33,L185+2,FALSE)</f>
        <v>#N/A</v>
      </c>
      <c r="BS185" s="49">
        <f t="shared" si="226"/>
        <v>1</v>
      </c>
      <c r="BT185" s="50">
        <f t="shared" si="227"/>
        <v>0</v>
      </c>
      <c r="BU185" s="50">
        <f t="shared" si="228"/>
        <v>0</v>
      </c>
      <c r="BV185" s="50">
        <f t="shared" si="229"/>
        <v>0</v>
      </c>
      <c r="BW185" s="50">
        <f t="shared" si="278"/>
        <v>0</v>
      </c>
      <c r="BX185" s="50">
        <f t="shared" si="277"/>
        <v>0</v>
      </c>
      <c r="BY185" s="50">
        <f t="shared" si="277"/>
        <v>0</v>
      </c>
      <c r="BZ185" s="50">
        <f t="shared" si="260"/>
        <v>0</v>
      </c>
      <c r="CA185" s="50">
        <f t="shared" si="261"/>
        <v>0</v>
      </c>
      <c r="CB185" s="50">
        <f t="shared" si="262"/>
        <v>1</v>
      </c>
      <c r="CC185" s="50">
        <f t="shared" si="263"/>
        <v>0</v>
      </c>
      <c r="CD185" s="50">
        <f t="shared" si="264"/>
        <v>0</v>
      </c>
      <c r="CE185" s="50">
        <f t="shared" si="265"/>
        <v>1</v>
      </c>
      <c r="CF185" s="50">
        <f t="shared" si="266"/>
        <v>1</v>
      </c>
      <c r="CG185" s="50">
        <f t="shared" si="267"/>
        <v>1</v>
      </c>
      <c r="CH185" s="50">
        <f t="shared" si="268"/>
        <v>1</v>
      </c>
      <c r="CI185" s="50">
        <f t="shared" si="269"/>
        <v>1</v>
      </c>
      <c r="CJ185" s="50">
        <f t="shared" si="270"/>
        <v>1</v>
      </c>
      <c r="CK185" s="50">
        <f t="shared" si="270"/>
        <v>0</v>
      </c>
      <c r="CL185" s="50">
        <f t="shared" si="270"/>
        <v>0</v>
      </c>
      <c r="CM185" s="51">
        <f t="shared" si="274"/>
        <v>0</v>
      </c>
      <c r="CN185" s="33">
        <f>ROUND(IF(BS185=0,0,HLOOKUP(BS$14,Villagers!$B$1:$V$33,BS185+3,FALSE)),)</f>
        <v>5</v>
      </c>
      <c r="CO185" s="14">
        <f>ROUND(IF(BT185=0,0,HLOOKUP(BT$14,Villagers!$B$1:$V$33,BT185+3,FALSE)),)</f>
        <v>0</v>
      </c>
      <c r="CP185" s="14">
        <f>ROUND(IF(BU185=0,0,HLOOKUP(BU$14,Villagers!$B$1:$V$33,BU185+3,FALSE)),)</f>
        <v>0</v>
      </c>
      <c r="CQ185" s="14">
        <f>ROUND(IF(BV185=0,0,HLOOKUP(BV$14,Villagers!$B$1:$V$33,BV185+3,FALSE)),)</f>
        <v>0</v>
      </c>
      <c r="CR185" s="14">
        <f>ROUND(IF(BW185=0,0,HLOOKUP(BW$14,Villagers!$B$1:$V$33,BW185+3,FALSE)),)</f>
        <v>0</v>
      </c>
      <c r="CS185" s="14">
        <f>ROUND(IF(BX185=0,0,HLOOKUP(BX$14,Villagers!$B$1:$V$33,BX185+3,FALSE)),)</f>
        <v>0</v>
      </c>
      <c r="CT185" s="14">
        <f>ROUND(IF(BY185=0,0,HLOOKUP(BY$14,Villagers!$B$1:$V$33,BY185+3,FALSE)),)</f>
        <v>0</v>
      </c>
      <c r="CU185" s="14">
        <f>ROUND(IF(BZ185=0,0,HLOOKUP(BZ$14,Villagers!$B$1:$V$33,BZ185+3,FALSE)),)</f>
        <v>0</v>
      </c>
      <c r="CV185" s="14">
        <f>ROUND(IF(CA185=0,0,HLOOKUP(CA$14,Villagers!$B$1:$V$33,CA185+3,FALSE)),)</f>
        <v>0</v>
      </c>
      <c r="CW185" s="14">
        <f>ROUND(IF(CB185=0,0,HLOOKUP(CB$14,Villagers!$B$1:$V$33,CB185+3,FALSE)),)</f>
        <v>0</v>
      </c>
      <c r="CX185" s="14">
        <f>ROUND(IF(CC185=0,0,HLOOKUP(CC$14,Villagers!$B$1:$V$33,CC185+3,FALSE)),)</f>
        <v>0</v>
      </c>
      <c r="CY185" s="14">
        <f>ROUND(IF(CD185=0,0,HLOOKUP(CD$14,Villagers!$B$1:$V$33,CD185+3,FALSE)),)</f>
        <v>0</v>
      </c>
      <c r="CZ185" s="14">
        <f>ROUND(IF(CE185=0,0,HLOOKUP(CE$14,Villagers!$B$1:$V$33,CE185+3,FALSE)),)</f>
        <v>5</v>
      </c>
      <c r="DA185" s="14">
        <f>ROUND(IF(CF185=0,0,HLOOKUP(CF$14,Villagers!$B$1:$V$33,CF185+3,FALSE)),)</f>
        <v>10</v>
      </c>
      <c r="DB185" s="14">
        <f>ROUND(IF(CG185=0,0,HLOOKUP(CG$14,Villagers!$B$1:$V$33,CG185+3,FALSE)),)</f>
        <v>10</v>
      </c>
      <c r="DC185" s="14">
        <f>ROUND(IF(CH185=0,0,HLOOKUP(CH$14,Villagers!$B$1:$V$33,CH185+3,FALSE)),)</f>
        <v>0</v>
      </c>
      <c r="DD185" s="14">
        <f>ROUND(IF(CI185=0,0,HLOOKUP(CI$14,Villagers!$B$1:$V$33,CI185+3,FALSE)),)</f>
        <v>0</v>
      </c>
      <c r="DE185" s="14">
        <f>ROUND(IF(CJ185=0,0,HLOOKUP(CJ$14,Villagers!$B$1:$V$33,CJ185+3,FALSE)),)</f>
        <v>2</v>
      </c>
      <c r="DF185" s="370">
        <f>ROUND(IF(CK185=0,0,HLOOKUP(CK$14,Villagers!$B$1:$V$33,CK185+3,FALSE)),)</f>
        <v>0</v>
      </c>
      <c r="DG185" s="370">
        <f>ROUND(IF(CL185=0,0,HLOOKUP(CL$14,Villagers!$B$1:$V$33,CL185+3,FALSE)),)</f>
        <v>0</v>
      </c>
      <c r="DH185" s="34">
        <f>ROUND(IF(CM185=0,0,HLOOKUP(CM$14,Villagers!$B$1:$V$33,CM185+3,FALSE)),)</f>
        <v>0</v>
      </c>
      <c r="DI185" s="109">
        <f t="shared" si="246"/>
        <v>0</v>
      </c>
      <c r="DJ185" s="50">
        <f t="shared" si="247"/>
        <v>0</v>
      </c>
      <c r="DK185" s="50">
        <f t="shared" si="248"/>
        <v>0</v>
      </c>
      <c r="DL185" s="50">
        <f t="shared" si="249"/>
        <v>0</v>
      </c>
      <c r="DM185" s="50">
        <f t="shared" si="250"/>
        <v>0</v>
      </c>
      <c r="DN185" s="50">
        <f t="shared" si="251"/>
        <v>0</v>
      </c>
      <c r="DO185" s="50">
        <f t="shared" si="252"/>
        <v>0</v>
      </c>
      <c r="DP185" s="50">
        <f t="shared" si="253"/>
        <v>0</v>
      </c>
      <c r="DQ185" s="50">
        <f t="shared" si="231"/>
        <v>0</v>
      </c>
      <c r="DR185" s="50">
        <f t="shared" si="232"/>
        <v>0</v>
      </c>
      <c r="DS185" s="96">
        <f>Miscelaneous!$D$4*Miscelaneous!$D$2^($CI185-1)</f>
        <v>1000</v>
      </c>
      <c r="DT185" s="333">
        <f t="shared" si="213"/>
        <v>1</v>
      </c>
      <c r="DU185" s="81">
        <v>1</v>
      </c>
      <c r="DV185" s="79">
        <f t="shared" si="233"/>
        <v>0</v>
      </c>
      <c r="DW185" s="79">
        <f t="shared" si="234"/>
        <v>0</v>
      </c>
      <c r="DX185" s="79">
        <f t="shared" si="235"/>
        <v>0</v>
      </c>
      <c r="DY185" s="79">
        <v>1</v>
      </c>
      <c r="DZ185" s="79">
        <f t="shared" si="236"/>
        <v>0</v>
      </c>
      <c r="EA185" s="79">
        <f t="shared" si="237"/>
        <v>0</v>
      </c>
      <c r="EB185" s="79">
        <f t="shared" si="238"/>
        <v>0</v>
      </c>
      <c r="EC185" s="79">
        <f t="shared" si="239"/>
        <v>0</v>
      </c>
      <c r="ED185" s="79">
        <v>1</v>
      </c>
      <c r="EE185" s="79">
        <v>1</v>
      </c>
      <c r="EF185" s="79">
        <f t="shared" si="240"/>
        <v>0</v>
      </c>
      <c r="EG185" s="79">
        <v>1</v>
      </c>
      <c r="EH185" s="79">
        <v>1</v>
      </c>
      <c r="EI185" s="79">
        <v>1</v>
      </c>
      <c r="EJ185" s="79">
        <v>1</v>
      </c>
      <c r="EK185" s="79">
        <v>1</v>
      </c>
      <c r="EL185" s="79">
        <v>1</v>
      </c>
      <c r="EM185" s="143">
        <f t="shared" si="241"/>
        <v>0</v>
      </c>
      <c r="EN185" s="143">
        <f t="shared" si="242"/>
        <v>0</v>
      </c>
      <c r="EO185" s="82">
        <f t="shared" si="243"/>
        <v>0</v>
      </c>
    </row>
    <row r="186" spans="1:145" x14ac:dyDescent="0.25">
      <c r="A186">
        <v>172</v>
      </c>
      <c r="B186" s="172" t="e">
        <f t="shared" si="214"/>
        <v>#N/A</v>
      </c>
      <c r="C186" s="121" t="e">
        <f t="shared" si="193"/>
        <v>#N/A</v>
      </c>
      <c r="D186" s="122" t="e">
        <f t="shared" si="194"/>
        <v>#N/A</v>
      </c>
      <c r="E186" s="122" t="e">
        <f t="shared" si="195"/>
        <v>#N/A</v>
      </c>
      <c r="F186" s="176" t="e">
        <f t="shared" si="196"/>
        <v>#N/A</v>
      </c>
      <c r="G186" s="121">
        <f t="shared" si="215"/>
        <v>208</v>
      </c>
      <c r="H186" s="176" t="e">
        <f t="shared" si="216"/>
        <v>#N/A</v>
      </c>
      <c r="I186" s="48">
        <v>1</v>
      </c>
      <c r="J186" s="39"/>
      <c r="K186" s="350">
        <v>1</v>
      </c>
      <c r="L186" s="34" t="e">
        <f t="shared" si="197"/>
        <v>#N/A</v>
      </c>
      <c r="M186" s="38" t="e">
        <f>(HLOOKUP(J186,'Construction Times'!$B$3:$W$34,L186+2,FALSE)*HLOOKUP("hq modifier",'Construction Times'!$W$3:$W$34,BS186+2,FALSE))*(1-$H$9)</f>
        <v>#N/A</v>
      </c>
      <c r="N186" s="443" t="e">
        <f t="shared" si="217"/>
        <v>#N/A</v>
      </c>
      <c r="O186" s="444"/>
      <c r="P186" s="447" t="e">
        <f t="shared" si="218"/>
        <v>#N/A</v>
      </c>
      <c r="Q186" s="448"/>
      <c r="R186" s="103">
        <f t="shared" si="244"/>
        <v>0</v>
      </c>
      <c r="S186" s="104">
        <f t="shared" si="244"/>
        <v>0</v>
      </c>
      <c r="T186" s="104">
        <f t="shared" si="245"/>
        <v>0</v>
      </c>
      <c r="U186" s="104">
        <f t="shared" si="245"/>
        <v>0</v>
      </c>
      <c r="V186" s="104">
        <f t="shared" si="245"/>
        <v>9.9999999999999995E-8</v>
      </c>
      <c r="W186" s="104">
        <f t="shared" si="245"/>
        <v>0</v>
      </c>
      <c r="X186" s="104">
        <f t="shared" si="273"/>
        <v>0</v>
      </c>
      <c r="Y186" s="104">
        <f t="shared" si="273"/>
        <v>9.9999999999999995E-8</v>
      </c>
      <c r="Z186" s="104">
        <f t="shared" si="273"/>
        <v>9.9999999999999995E-8</v>
      </c>
      <c r="AA186" s="105">
        <f t="shared" si="273"/>
        <v>9.9999999999999995E-8</v>
      </c>
      <c r="AB186" s="101" t="e">
        <f>$DT186*HLOOKUP($J186,'Construction Costs (timber)'!$B$1:$V$32,'Construction Planner'!$L186+2,FALSE)</f>
        <v>#N/A</v>
      </c>
      <c r="AC186" s="14" t="e">
        <f>$DT186*HLOOKUP($J186,'Construction Costs (clay)'!$B$1:$V$32,'Construction Planner'!$L186+2,FALSE)</f>
        <v>#N/A</v>
      </c>
      <c r="AD186" s="14" t="e">
        <f>$DT186*HLOOKUP($J186,'Construction Costs (iron)'!$B$1:$V$32,'Construction Planner'!$L186+2,FALSE)</f>
        <v>#N/A</v>
      </c>
      <c r="AE186" s="34" t="e">
        <f t="shared" si="254"/>
        <v>#N/A</v>
      </c>
      <c r="AF186" s="33" t="e">
        <f t="shared" si="198"/>
        <v>#N/A</v>
      </c>
      <c r="AG186" s="14" t="e">
        <f t="shared" si="199"/>
        <v>#N/A</v>
      </c>
      <c r="AH186" s="14" t="e">
        <f t="shared" si="200"/>
        <v>#N/A</v>
      </c>
      <c r="AI186" s="34" t="e">
        <f t="shared" si="255"/>
        <v>#N/A</v>
      </c>
      <c r="AJ186" s="49" t="e">
        <f t="shared" si="219"/>
        <v>#N/A</v>
      </c>
      <c r="AK186" s="49" t="e">
        <f t="shared" si="220"/>
        <v>#N/A</v>
      </c>
      <c r="AL186" s="49" t="e">
        <f t="shared" si="221"/>
        <v>#N/A</v>
      </c>
      <c r="AM186" s="25">
        <f t="shared" si="201"/>
        <v>30</v>
      </c>
      <c r="AN186" s="25">
        <f t="shared" si="202"/>
        <v>30</v>
      </c>
      <c r="AO186" s="25">
        <f t="shared" si="203"/>
        <v>30</v>
      </c>
      <c r="AP186" s="52" t="e">
        <f t="shared" si="222"/>
        <v>#N/A</v>
      </c>
      <c r="AQ186" s="53" t="e">
        <f t="shared" si="222"/>
        <v>#N/A</v>
      </c>
      <c r="AR186" s="54" t="e">
        <f t="shared" si="222"/>
        <v>#N/A</v>
      </c>
      <c r="AS186" s="316">
        <f t="shared" si="276"/>
        <v>0</v>
      </c>
      <c r="AT186" s="106">
        <f>_xlfn.IFNA($M186/VLOOKUP($BT186,'Unit information'!$A$2:$K$29,2,FALSE)*R186,0)*(1+$E$9)</f>
        <v>0</v>
      </c>
      <c r="AU186" s="107">
        <f>_xlfn.IFNA($M186/VLOOKUP($BT186,'Unit information'!$A$2:$K$29,3,FALSE)*S186,0)*(1+$E$9)</f>
        <v>0</v>
      </c>
      <c r="AV186" s="107">
        <f>_xlfn.IFNA($M186/VLOOKUP($BT186,'Unit information'!$A$2:$K$29,4,FALSE)*T186,0)*(1+$E$9)</f>
        <v>0</v>
      </c>
      <c r="AW186" s="107">
        <f>_xlfn.IFNA($M186/VLOOKUP($BT186,'Unit information'!$A$2:$K$29,5,FALSE)*U186,0)*(1+$E$9)</f>
        <v>0</v>
      </c>
      <c r="AX186" s="107">
        <f>_xlfn.IFNA($M186/VLOOKUP($BU186,'Unit information'!$A$2:$K$29,6,FALSE)*V186,0)*(1+$E$9)</f>
        <v>0</v>
      </c>
      <c r="AY186" s="107">
        <f>_xlfn.IFNA($M186/VLOOKUP($BU186,'Unit information'!$A$2:$K$29,7,FALSE)*W186,0)*(1+$E$9)</f>
        <v>0</v>
      </c>
      <c r="AZ186" s="107">
        <f>_xlfn.IFNA($M186/VLOOKUP($BU186,'Unit information'!$A$2:$K$29,8,FALSE)*X186,0)*(1+$E$9)</f>
        <v>0</v>
      </c>
      <c r="BA186" s="107">
        <f>_xlfn.IFNA($M186/VLOOKUP($BU186,'Unit information'!$A$2:$K$29,9,FALSE)*Y186,0)*(1+$E$9)</f>
        <v>0</v>
      </c>
      <c r="BB186" s="107">
        <f>_xlfn.IFNA($M186/VLOOKUP($BV186,'Unit information'!$A$2:$K$29,10,FALSE)*Z186,0)*(1+$E$9)</f>
        <v>0</v>
      </c>
      <c r="BC186" s="108">
        <f>_xlfn.IFNA($M186/VLOOKUP($BV186,'Unit information'!$A$2:$K$29,11,FALSE)*AA186,0)*(1+$E$9)</f>
        <v>0</v>
      </c>
      <c r="BD186" s="106">
        <f t="shared" si="204"/>
        <v>0</v>
      </c>
      <c r="BE186" s="107">
        <f t="shared" si="205"/>
        <v>0</v>
      </c>
      <c r="BF186" s="108">
        <f t="shared" si="206"/>
        <v>0</v>
      </c>
      <c r="BG186" s="25" t="e">
        <f t="shared" si="207"/>
        <v>#N/A</v>
      </c>
      <c r="BH186" s="25" t="e">
        <f t="shared" si="208"/>
        <v>#N/A</v>
      </c>
      <c r="BI186" s="25" t="e">
        <f t="shared" si="209"/>
        <v>#N/A</v>
      </c>
      <c r="BJ186" s="27" t="e">
        <f t="shared" si="210"/>
        <v>#N/A</v>
      </c>
      <c r="BK186" s="18" t="e">
        <f t="shared" si="211"/>
        <v>#N/A</v>
      </c>
      <c r="BL186" s="18" t="e">
        <f t="shared" si="212"/>
        <v>#N/A</v>
      </c>
      <c r="BM186" s="28" t="e">
        <f t="shared" si="257"/>
        <v>#N/A</v>
      </c>
      <c r="BN186" s="33">
        <f>HLOOKUP("maximum population",Miscelaneous!$C$1:$C$33,CH186+3,FALSE)</f>
        <v>240</v>
      </c>
      <c r="BO186" s="14">
        <f t="shared" si="223"/>
        <v>32</v>
      </c>
      <c r="BP186" s="14">
        <f t="shared" si="224"/>
        <v>0</v>
      </c>
      <c r="BQ186" s="14">
        <f t="shared" si="225"/>
        <v>208</v>
      </c>
      <c r="BR186" s="34" t="e">
        <f>HLOOKUP(J186,Villagers!$B$1:$V$33,L186+3,FALSE)-HLOOKUP(J186,Villagers!$B$1:$V$33,L186+2,FALSE)</f>
        <v>#N/A</v>
      </c>
      <c r="BS186" s="49">
        <f t="shared" si="226"/>
        <v>1</v>
      </c>
      <c r="BT186" s="50">
        <f t="shared" si="227"/>
        <v>0</v>
      </c>
      <c r="BU186" s="50">
        <f t="shared" si="228"/>
        <v>0</v>
      </c>
      <c r="BV186" s="50">
        <f t="shared" si="229"/>
        <v>0</v>
      </c>
      <c r="BW186" s="50">
        <f t="shared" si="278"/>
        <v>0</v>
      </c>
      <c r="BX186" s="50">
        <f t="shared" si="277"/>
        <v>0</v>
      </c>
      <c r="BY186" s="50">
        <f t="shared" si="277"/>
        <v>0</v>
      </c>
      <c r="BZ186" s="50">
        <f t="shared" si="260"/>
        <v>0</v>
      </c>
      <c r="CA186" s="50">
        <f t="shared" si="261"/>
        <v>0</v>
      </c>
      <c r="CB186" s="50">
        <f t="shared" si="262"/>
        <v>1</v>
      </c>
      <c r="CC186" s="50">
        <f t="shared" si="263"/>
        <v>0</v>
      </c>
      <c r="CD186" s="50">
        <f t="shared" si="264"/>
        <v>0</v>
      </c>
      <c r="CE186" s="50">
        <f t="shared" si="265"/>
        <v>1</v>
      </c>
      <c r="CF186" s="50">
        <f t="shared" si="266"/>
        <v>1</v>
      </c>
      <c r="CG186" s="50">
        <f t="shared" si="267"/>
        <v>1</v>
      </c>
      <c r="CH186" s="50">
        <f t="shared" si="268"/>
        <v>1</v>
      </c>
      <c r="CI186" s="50">
        <f t="shared" si="269"/>
        <v>1</v>
      </c>
      <c r="CJ186" s="50">
        <f t="shared" si="270"/>
        <v>1</v>
      </c>
      <c r="CK186" s="50">
        <f t="shared" si="270"/>
        <v>0</v>
      </c>
      <c r="CL186" s="50">
        <f t="shared" si="270"/>
        <v>0</v>
      </c>
      <c r="CM186" s="51">
        <f t="shared" si="274"/>
        <v>0</v>
      </c>
      <c r="CN186" s="33">
        <f>ROUND(IF(BS186=0,0,HLOOKUP(BS$14,Villagers!$B$1:$V$33,BS186+3,FALSE)),)</f>
        <v>5</v>
      </c>
      <c r="CO186" s="14">
        <f>ROUND(IF(BT186=0,0,HLOOKUP(BT$14,Villagers!$B$1:$V$33,BT186+3,FALSE)),)</f>
        <v>0</v>
      </c>
      <c r="CP186" s="14">
        <f>ROUND(IF(BU186=0,0,HLOOKUP(BU$14,Villagers!$B$1:$V$33,BU186+3,FALSE)),)</f>
        <v>0</v>
      </c>
      <c r="CQ186" s="14">
        <f>ROUND(IF(BV186=0,0,HLOOKUP(BV$14,Villagers!$B$1:$V$33,BV186+3,FALSE)),)</f>
        <v>0</v>
      </c>
      <c r="CR186" s="14">
        <f>ROUND(IF(BW186=0,0,HLOOKUP(BW$14,Villagers!$B$1:$V$33,BW186+3,FALSE)),)</f>
        <v>0</v>
      </c>
      <c r="CS186" s="14">
        <f>ROUND(IF(BX186=0,0,HLOOKUP(BX$14,Villagers!$B$1:$V$33,BX186+3,FALSE)),)</f>
        <v>0</v>
      </c>
      <c r="CT186" s="14">
        <f>ROUND(IF(BY186=0,0,HLOOKUP(BY$14,Villagers!$B$1:$V$33,BY186+3,FALSE)),)</f>
        <v>0</v>
      </c>
      <c r="CU186" s="14">
        <f>ROUND(IF(BZ186=0,0,HLOOKUP(BZ$14,Villagers!$B$1:$V$33,BZ186+3,FALSE)),)</f>
        <v>0</v>
      </c>
      <c r="CV186" s="14">
        <f>ROUND(IF(CA186=0,0,HLOOKUP(CA$14,Villagers!$B$1:$V$33,CA186+3,FALSE)),)</f>
        <v>0</v>
      </c>
      <c r="CW186" s="14">
        <f>ROUND(IF(CB186=0,0,HLOOKUP(CB$14,Villagers!$B$1:$V$33,CB186+3,FALSE)),)</f>
        <v>0</v>
      </c>
      <c r="CX186" s="14">
        <f>ROUND(IF(CC186=0,0,HLOOKUP(CC$14,Villagers!$B$1:$V$33,CC186+3,FALSE)),)</f>
        <v>0</v>
      </c>
      <c r="CY186" s="14">
        <f>ROUND(IF(CD186=0,0,HLOOKUP(CD$14,Villagers!$B$1:$V$33,CD186+3,FALSE)),)</f>
        <v>0</v>
      </c>
      <c r="CZ186" s="14">
        <f>ROUND(IF(CE186=0,0,HLOOKUP(CE$14,Villagers!$B$1:$V$33,CE186+3,FALSE)),)</f>
        <v>5</v>
      </c>
      <c r="DA186" s="14">
        <f>ROUND(IF(CF186=0,0,HLOOKUP(CF$14,Villagers!$B$1:$V$33,CF186+3,FALSE)),)</f>
        <v>10</v>
      </c>
      <c r="DB186" s="14">
        <f>ROUND(IF(CG186=0,0,HLOOKUP(CG$14,Villagers!$B$1:$V$33,CG186+3,FALSE)),)</f>
        <v>10</v>
      </c>
      <c r="DC186" s="14">
        <f>ROUND(IF(CH186=0,0,HLOOKUP(CH$14,Villagers!$B$1:$V$33,CH186+3,FALSE)),)</f>
        <v>0</v>
      </c>
      <c r="DD186" s="14">
        <f>ROUND(IF(CI186=0,0,HLOOKUP(CI$14,Villagers!$B$1:$V$33,CI186+3,FALSE)),)</f>
        <v>0</v>
      </c>
      <c r="DE186" s="14">
        <f>ROUND(IF(CJ186=0,0,HLOOKUP(CJ$14,Villagers!$B$1:$V$33,CJ186+3,FALSE)),)</f>
        <v>2</v>
      </c>
      <c r="DF186" s="370">
        <f>ROUND(IF(CK186=0,0,HLOOKUP(CK$14,Villagers!$B$1:$V$33,CK186+3,FALSE)),)</f>
        <v>0</v>
      </c>
      <c r="DG186" s="370">
        <f>ROUND(IF(CL186=0,0,HLOOKUP(CL$14,Villagers!$B$1:$V$33,CL186+3,FALSE)),)</f>
        <v>0</v>
      </c>
      <c r="DH186" s="34">
        <f>ROUND(IF(CM186=0,0,HLOOKUP(CM$14,Villagers!$B$1:$V$33,CM186+3,FALSE)),)</f>
        <v>0</v>
      </c>
      <c r="DI186" s="109">
        <f t="shared" si="246"/>
        <v>0</v>
      </c>
      <c r="DJ186" s="50">
        <f t="shared" si="247"/>
        <v>0</v>
      </c>
      <c r="DK186" s="50">
        <f t="shared" si="248"/>
        <v>0</v>
      </c>
      <c r="DL186" s="50">
        <f t="shared" si="249"/>
        <v>0</v>
      </c>
      <c r="DM186" s="50">
        <f t="shared" si="250"/>
        <v>0</v>
      </c>
      <c r="DN186" s="50">
        <f t="shared" si="251"/>
        <v>0</v>
      </c>
      <c r="DO186" s="50">
        <f t="shared" si="252"/>
        <v>0</v>
      </c>
      <c r="DP186" s="50">
        <f t="shared" si="253"/>
        <v>0</v>
      </c>
      <c r="DQ186" s="50">
        <f t="shared" si="231"/>
        <v>0</v>
      </c>
      <c r="DR186" s="50">
        <f t="shared" si="232"/>
        <v>0</v>
      </c>
      <c r="DS186" s="96">
        <f>Miscelaneous!$D$4*Miscelaneous!$D$2^($CI186-1)</f>
        <v>1000</v>
      </c>
      <c r="DT186" s="333">
        <f t="shared" si="213"/>
        <v>1</v>
      </c>
      <c r="DU186" s="81">
        <v>1</v>
      </c>
      <c r="DV186" s="79">
        <f t="shared" si="233"/>
        <v>0</v>
      </c>
      <c r="DW186" s="79">
        <f t="shared" si="234"/>
        <v>0</v>
      </c>
      <c r="DX186" s="79">
        <f t="shared" si="235"/>
        <v>0</v>
      </c>
      <c r="DY186" s="79">
        <v>1</v>
      </c>
      <c r="DZ186" s="79">
        <f t="shared" si="236"/>
        <v>0</v>
      </c>
      <c r="EA186" s="79">
        <f t="shared" si="237"/>
        <v>0</v>
      </c>
      <c r="EB186" s="79">
        <f t="shared" si="238"/>
        <v>0</v>
      </c>
      <c r="EC186" s="79">
        <f t="shared" si="239"/>
        <v>0</v>
      </c>
      <c r="ED186" s="79">
        <v>1</v>
      </c>
      <c r="EE186" s="79">
        <v>1</v>
      </c>
      <c r="EF186" s="79">
        <f t="shared" si="240"/>
        <v>0</v>
      </c>
      <c r="EG186" s="79">
        <v>1</v>
      </c>
      <c r="EH186" s="79">
        <v>1</v>
      </c>
      <c r="EI186" s="79">
        <v>1</v>
      </c>
      <c r="EJ186" s="79">
        <v>1</v>
      </c>
      <c r="EK186" s="79">
        <v>1</v>
      </c>
      <c r="EL186" s="79">
        <v>1</v>
      </c>
      <c r="EM186" s="143">
        <f t="shared" si="241"/>
        <v>0</v>
      </c>
      <c r="EN186" s="143">
        <f t="shared" si="242"/>
        <v>0</v>
      </c>
      <c r="EO186" s="82">
        <f t="shared" si="243"/>
        <v>0</v>
      </c>
    </row>
    <row r="187" spans="1:145" x14ac:dyDescent="0.25">
      <c r="A187">
        <v>173</v>
      </c>
      <c r="B187" s="172" t="e">
        <f t="shared" si="214"/>
        <v>#N/A</v>
      </c>
      <c r="C187" s="121" t="e">
        <f t="shared" si="193"/>
        <v>#N/A</v>
      </c>
      <c r="D187" s="122" t="e">
        <f t="shared" si="194"/>
        <v>#N/A</v>
      </c>
      <c r="E187" s="122" t="e">
        <f t="shared" si="195"/>
        <v>#N/A</v>
      </c>
      <c r="F187" s="176" t="e">
        <f t="shared" si="196"/>
        <v>#N/A</v>
      </c>
      <c r="G187" s="121">
        <f t="shared" si="215"/>
        <v>208</v>
      </c>
      <c r="H187" s="176" t="e">
        <f t="shared" si="216"/>
        <v>#N/A</v>
      </c>
      <c r="I187" s="48">
        <v>1</v>
      </c>
      <c r="J187" s="39"/>
      <c r="K187" s="350">
        <v>1</v>
      </c>
      <c r="L187" s="34" t="e">
        <f t="shared" si="197"/>
        <v>#N/A</v>
      </c>
      <c r="M187" s="38" t="e">
        <f>(HLOOKUP(J187,'Construction Times'!$B$3:$W$34,L187+2,FALSE)*HLOOKUP("hq modifier",'Construction Times'!$W$3:$W$34,BS187+2,FALSE))*(1-$H$9)</f>
        <v>#N/A</v>
      </c>
      <c r="N187" s="443" t="e">
        <f t="shared" si="217"/>
        <v>#N/A</v>
      </c>
      <c r="O187" s="444"/>
      <c r="P187" s="447" t="e">
        <f t="shared" si="218"/>
        <v>#N/A</v>
      </c>
      <c r="Q187" s="448"/>
      <c r="R187" s="103">
        <f t="shared" si="244"/>
        <v>0</v>
      </c>
      <c r="S187" s="104">
        <f t="shared" si="244"/>
        <v>0</v>
      </c>
      <c r="T187" s="104">
        <f t="shared" si="245"/>
        <v>0</v>
      </c>
      <c r="U187" s="104">
        <f t="shared" si="245"/>
        <v>0</v>
      </c>
      <c r="V187" s="104">
        <f t="shared" si="245"/>
        <v>9.9999999999999995E-8</v>
      </c>
      <c r="W187" s="104">
        <f t="shared" si="245"/>
        <v>0</v>
      </c>
      <c r="X187" s="104">
        <f t="shared" si="273"/>
        <v>0</v>
      </c>
      <c r="Y187" s="104">
        <f t="shared" si="273"/>
        <v>9.9999999999999995E-8</v>
      </c>
      <c r="Z187" s="104">
        <f t="shared" si="273"/>
        <v>9.9999999999999995E-8</v>
      </c>
      <c r="AA187" s="105">
        <f t="shared" si="273"/>
        <v>9.9999999999999995E-8</v>
      </c>
      <c r="AB187" s="101" t="e">
        <f>$DT187*HLOOKUP($J187,'Construction Costs (timber)'!$B$1:$V$32,'Construction Planner'!$L187+2,FALSE)</f>
        <v>#N/A</v>
      </c>
      <c r="AC187" s="14" t="e">
        <f>$DT187*HLOOKUP($J187,'Construction Costs (clay)'!$B$1:$V$32,'Construction Planner'!$L187+2,FALSE)</f>
        <v>#N/A</v>
      </c>
      <c r="AD187" s="14" t="e">
        <f>$DT187*HLOOKUP($J187,'Construction Costs (iron)'!$B$1:$V$32,'Construction Planner'!$L187+2,FALSE)</f>
        <v>#N/A</v>
      </c>
      <c r="AE187" s="34" t="e">
        <f t="shared" si="254"/>
        <v>#N/A</v>
      </c>
      <c r="AF187" s="33" t="e">
        <f t="shared" si="198"/>
        <v>#N/A</v>
      </c>
      <c r="AG187" s="14" t="e">
        <f t="shared" si="199"/>
        <v>#N/A</v>
      </c>
      <c r="AH187" s="14" t="e">
        <f t="shared" si="200"/>
        <v>#N/A</v>
      </c>
      <c r="AI187" s="34" t="e">
        <f t="shared" si="255"/>
        <v>#N/A</v>
      </c>
      <c r="AJ187" s="49" t="e">
        <f t="shared" si="219"/>
        <v>#N/A</v>
      </c>
      <c r="AK187" s="49" t="e">
        <f t="shared" si="220"/>
        <v>#N/A</v>
      </c>
      <c r="AL187" s="49" t="e">
        <f t="shared" si="221"/>
        <v>#N/A</v>
      </c>
      <c r="AM187" s="25">
        <f t="shared" si="201"/>
        <v>30</v>
      </c>
      <c r="AN187" s="25">
        <f t="shared" si="202"/>
        <v>30</v>
      </c>
      <c r="AO187" s="25">
        <f t="shared" si="203"/>
        <v>30</v>
      </c>
      <c r="AP187" s="52" t="e">
        <f t="shared" si="222"/>
        <v>#N/A</v>
      </c>
      <c r="AQ187" s="53" t="e">
        <f t="shared" si="222"/>
        <v>#N/A</v>
      </c>
      <c r="AR187" s="54" t="e">
        <f t="shared" si="222"/>
        <v>#N/A</v>
      </c>
      <c r="AS187" s="316">
        <f t="shared" si="276"/>
        <v>0</v>
      </c>
      <c r="AT187" s="106">
        <f>_xlfn.IFNA($M187/VLOOKUP($BT187,'Unit information'!$A$2:$K$29,2,FALSE)*R187,0)*(1+$E$9)</f>
        <v>0</v>
      </c>
      <c r="AU187" s="107">
        <f>_xlfn.IFNA($M187/VLOOKUP($BT187,'Unit information'!$A$2:$K$29,3,FALSE)*S187,0)*(1+$E$9)</f>
        <v>0</v>
      </c>
      <c r="AV187" s="107">
        <f>_xlfn.IFNA($M187/VLOOKUP($BT187,'Unit information'!$A$2:$K$29,4,FALSE)*T187,0)*(1+$E$9)</f>
        <v>0</v>
      </c>
      <c r="AW187" s="107">
        <f>_xlfn.IFNA($M187/VLOOKUP($BT187,'Unit information'!$A$2:$K$29,5,FALSE)*U187,0)*(1+$E$9)</f>
        <v>0</v>
      </c>
      <c r="AX187" s="107">
        <f>_xlfn.IFNA($M187/VLOOKUP($BU187,'Unit information'!$A$2:$K$29,6,FALSE)*V187,0)*(1+$E$9)</f>
        <v>0</v>
      </c>
      <c r="AY187" s="107">
        <f>_xlfn.IFNA($M187/VLOOKUP($BU187,'Unit information'!$A$2:$K$29,7,FALSE)*W187,0)*(1+$E$9)</f>
        <v>0</v>
      </c>
      <c r="AZ187" s="107">
        <f>_xlfn.IFNA($M187/VLOOKUP($BU187,'Unit information'!$A$2:$K$29,8,FALSE)*X187,0)*(1+$E$9)</f>
        <v>0</v>
      </c>
      <c r="BA187" s="107">
        <f>_xlfn.IFNA($M187/VLOOKUP($BU187,'Unit information'!$A$2:$K$29,9,FALSE)*Y187,0)*(1+$E$9)</f>
        <v>0</v>
      </c>
      <c r="BB187" s="107">
        <f>_xlfn.IFNA($M187/VLOOKUP($BV187,'Unit information'!$A$2:$K$29,10,FALSE)*Z187,0)*(1+$E$9)</f>
        <v>0</v>
      </c>
      <c r="BC187" s="108">
        <f>_xlfn.IFNA($M187/VLOOKUP($BV187,'Unit information'!$A$2:$K$29,11,FALSE)*AA187,0)*(1+$E$9)</f>
        <v>0</v>
      </c>
      <c r="BD187" s="106">
        <f t="shared" si="204"/>
        <v>0</v>
      </c>
      <c r="BE187" s="107">
        <f t="shared" si="205"/>
        <v>0</v>
      </c>
      <c r="BF187" s="108">
        <f t="shared" si="206"/>
        <v>0</v>
      </c>
      <c r="BG187" s="25" t="e">
        <f t="shared" si="207"/>
        <v>#N/A</v>
      </c>
      <c r="BH187" s="25" t="e">
        <f t="shared" si="208"/>
        <v>#N/A</v>
      </c>
      <c r="BI187" s="25" t="e">
        <f t="shared" si="209"/>
        <v>#N/A</v>
      </c>
      <c r="BJ187" s="27" t="e">
        <f t="shared" si="210"/>
        <v>#N/A</v>
      </c>
      <c r="BK187" s="18" t="e">
        <f t="shared" si="211"/>
        <v>#N/A</v>
      </c>
      <c r="BL187" s="18" t="e">
        <f t="shared" si="212"/>
        <v>#N/A</v>
      </c>
      <c r="BM187" s="28" t="e">
        <f t="shared" si="257"/>
        <v>#N/A</v>
      </c>
      <c r="BN187" s="33">
        <f>HLOOKUP("maximum population",Miscelaneous!$C$1:$C$33,CH187+3,FALSE)</f>
        <v>240</v>
      </c>
      <c r="BO187" s="14">
        <f t="shared" si="223"/>
        <v>32</v>
      </c>
      <c r="BP187" s="14">
        <f t="shared" si="224"/>
        <v>0</v>
      </c>
      <c r="BQ187" s="14">
        <f t="shared" si="225"/>
        <v>208</v>
      </c>
      <c r="BR187" s="34" t="e">
        <f>HLOOKUP(J187,Villagers!$B$1:$V$33,L187+3,FALSE)-HLOOKUP(J187,Villagers!$B$1:$V$33,L187+2,FALSE)</f>
        <v>#N/A</v>
      </c>
      <c r="BS187" s="49">
        <f t="shared" si="226"/>
        <v>1</v>
      </c>
      <c r="BT187" s="50">
        <f t="shared" si="227"/>
        <v>0</v>
      </c>
      <c r="BU187" s="50">
        <f t="shared" si="228"/>
        <v>0</v>
      </c>
      <c r="BV187" s="50">
        <f t="shared" si="229"/>
        <v>0</v>
      </c>
      <c r="BW187" s="50">
        <f t="shared" si="278"/>
        <v>0</v>
      </c>
      <c r="BX187" s="50">
        <f t="shared" si="277"/>
        <v>0</v>
      </c>
      <c r="BY187" s="50">
        <f t="shared" si="277"/>
        <v>0</v>
      </c>
      <c r="BZ187" s="50">
        <f t="shared" si="260"/>
        <v>0</v>
      </c>
      <c r="CA187" s="50">
        <f t="shared" si="261"/>
        <v>0</v>
      </c>
      <c r="CB187" s="50">
        <f t="shared" si="262"/>
        <v>1</v>
      </c>
      <c r="CC187" s="50">
        <f t="shared" si="263"/>
        <v>0</v>
      </c>
      <c r="CD187" s="50">
        <f t="shared" si="264"/>
        <v>0</v>
      </c>
      <c r="CE187" s="50">
        <f t="shared" si="265"/>
        <v>1</v>
      </c>
      <c r="CF187" s="50">
        <f t="shared" si="266"/>
        <v>1</v>
      </c>
      <c r="CG187" s="50">
        <f t="shared" si="267"/>
        <v>1</v>
      </c>
      <c r="CH187" s="50">
        <f t="shared" si="268"/>
        <v>1</v>
      </c>
      <c r="CI187" s="50">
        <f t="shared" si="269"/>
        <v>1</v>
      </c>
      <c r="CJ187" s="50">
        <f t="shared" si="270"/>
        <v>1</v>
      </c>
      <c r="CK187" s="50">
        <f t="shared" si="270"/>
        <v>0</v>
      </c>
      <c r="CL187" s="50">
        <f t="shared" si="270"/>
        <v>0</v>
      </c>
      <c r="CM187" s="51">
        <f t="shared" si="274"/>
        <v>0</v>
      </c>
      <c r="CN187" s="33">
        <f>ROUND(IF(BS187=0,0,HLOOKUP(BS$14,Villagers!$B$1:$V$33,BS187+3,FALSE)),)</f>
        <v>5</v>
      </c>
      <c r="CO187" s="14">
        <f>ROUND(IF(BT187=0,0,HLOOKUP(BT$14,Villagers!$B$1:$V$33,BT187+3,FALSE)),)</f>
        <v>0</v>
      </c>
      <c r="CP187" s="14">
        <f>ROUND(IF(BU187=0,0,HLOOKUP(BU$14,Villagers!$B$1:$V$33,BU187+3,FALSE)),)</f>
        <v>0</v>
      </c>
      <c r="CQ187" s="14">
        <f>ROUND(IF(BV187=0,0,HLOOKUP(BV$14,Villagers!$B$1:$V$33,BV187+3,FALSE)),)</f>
        <v>0</v>
      </c>
      <c r="CR187" s="14">
        <f>ROUND(IF(BW187=0,0,HLOOKUP(BW$14,Villagers!$B$1:$V$33,BW187+3,FALSE)),)</f>
        <v>0</v>
      </c>
      <c r="CS187" s="14">
        <f>ROUND(IF(BX187=0,0,HLOOKUP(BX$14,Villagers!$B$1:$V$33,BX187+3,FALSE)),)</f>
        <v>0</v>
      </c>
      <c r="CT187" s="14">
        <f>ROUND(IF(BY187=0,0,HLOOKUP(BY$14,Villagers!$B$1:$V$33,BY187+3,FALSE)),)</f>
        <v>0</v>
      </c>
      <c r="CU187" s="14">
        <f>ROUND(IF(BZ187=0,0,HLOOKUP(BZ$14,Villagers!$B$1:$V$33,BZ187+3,FALSE)),)</f>
        <v>0</v>
      </c>
      <c r="CV187" s="14">
        <f>ROUND(IF(CA187=0,0,HLOOKUP(CA$14,Villagers!$B$1:$V$33,CA187+3,FALSE)),)</f>
        <v>0</v>
      </c>
      <c r="CW187" s="14">
        <f>ROUND(IF(CB187=0,0,HLOOKUP(CB$14,Villagers!$B$1:$V$33,CB187+3,FALSE)),)</f>
        <v>0</v>
      </c>
      <c r="CX187" s="14">
        <f>ROUND(IF(CC187=0,0,HLOOKUP(CC$14,Villagers!$B$1:$V$33,CC187+3,FALSE)),)</f>
        <v>0</v>
      </c>
      <c r="CY187" s="14">
        <f>ROUND(IF(CD187=0,0,HLOOKUP(CD$14,Villagers!$B$1:$V$33,CD187+3,FALSE)),)</f>
        <v>0</v>
      </c>
      <c r="CZ187" s="14">
        <f>ROUND(IF(CE187=0,0,HLOOKUP(CE$14,Villagers!$B$1:$V$33,CE187+3,FALSE)),)</f>
        <v>5</v>
      </c>
      <c r="DA187" s="14">
        <f>ROUND(IF(CF187=0,0,HLOOKUP(CF$14,Villagers!$B$1:$V$33,CF187+3,FALSE)),)</f>
        <v>10</v>
      </c>
      <c r="DB187" s="14">
        <f>ROUND(IF(CG187=0,0,HLOOKUP(CG$14,Villagers!$B$1:$V$33,CG187+3,FALSE)),)</f>
        <v>10</v>
      </c>
      <c r="DC187" s="14">
        <f>ROUND(IF(CH187=0,0,HLOOKUP(CH$14,Villagers!$B$1:$V$33,CH187+3,FALSE)),)</f>
        <v>0</v>
      </c>
      <c r="DD187" s="14">
        <f>ROUND(IF(CI187=0,0,HLOOKUP(CI$14,Villagers!$B$1:$V$33,CI187+3,FALSE)),)</f>
        <v>0</v>
      </c>
      <c r="DE187" s="14">
        <f>ROUND(IF(CJ187=0,0,HLOOKUP(CJ$14,Villagers!$B$1:$V$33,CJ187+3,FALSE)),)</f>
        <v>2</v>
      </c>
      <c r="DF187" s="370">
        <f>ROUND(IF(CK187=0,0,HLOOKUP(CK$14,Villagers!$B$1:$V$33,CK187+3,FALSE)),)</f>
        <v>0</v>
      </c>
      <c r="DG187" s="370">
        <f>ROUND(IF(CL187=0,0,HLOOKUP(CL$14,Villagers!$B$1:$V$33,CL187+3,FALSE)),)</f>
        <v>0</v>
      </c>
      <c r="DH187" s="34">
        <f>ROUND(IF(CM187=0,0,HLOOKUP(CM$14,Villagers!$B$1:$V$33,CM187+3,FALSE)),)</f>
        <v>0</v>
      </c>
      <c r="DI187" s="109">
        <f t="shared" si="246"/>
        <v>0</v>
      </c>
      <c r="DJ187" s="50">
        <f t="shared" si="247"/>
        <v>0</v>
      </c>
      <c r="DK187" s="50">
        <f t="shared" si="248"/>
        <v>0</v>
      </c>
      <c r="DL187" s="50">
        <f t="shared" si="249"/>
        <v>0</v>
      </c>
      <c r="DM187" s="50">
        <f t="shared" si="250"/>
        <v>0</v>
      </c>
      <c r="DN187" s="50">
        <f t="shared" si="251"/>
        <v>0</v>
      </c>
      <c r="DO187" s="50">
        <f t="shared" si="252"/>
        <v>0</v>
      </c>
      <c r="DP187" s="50">
        <f t="shared" si="253"/>
        <v>0</v>
      </c>
      <c r="DQ187" s="50">
        <f t="shared" si="231"/>
        <v>0</v>
      </c>
      <c r="DR187" s="50">
        <f t="shared" si="232"/>
        <v>0</v>
      </c>
      <c r="DS187" s="96">
        <f>Miscelaneous!$D$4*Miscelaneous!$D$2^($CI187-1)</f>
        <v>1000</v>
      </c>
      <c r="DT187" s="333">
        <f t="shared" si="213"/>
        <v>1</v>
      </c>
      <c r="DU187" s="81">
        <v>1</v>
      </c>
      <c r="DV187" s="79">
        <f t="shared" si="233"/>
        <v>0</v>
      </c>
      <c r="DW187" s="79">
        <f t="shared" si="234"/>
        <v>0</v>
      </c>
      <c r="DX187" s="79">
        <f t="shared" si="235"/>
        <v>0</v>
      </c>
      <c r="DY187" s="79">
        <v>1</v>
      </c>
      <c r="DZ187" s="79">
        <f t="shared" si="236"/>
        <v>0</v>
      </c>
      <c r="EA187" s="79">
        <f t="shared" si="237"/>
        <v>0</v>
      </c>
      <c r="EB187" s="79">
        <f t="shared" si="238"/>
        <v>0</v>
      </c>
      <c r="EC187" s="79">
        <f t="shared" si="239"/>
        <v>0</v>
      </c>
      <c r="ED187" s="79">
        <v>1</v>
      </c>
      <c r="EE187" s="79">
        <v>1</v>
      </c>
      <c r="EF187" s="79">
        <f t="shared" si="240"/>
        <v>0</v>
      </c>
      <c r="EG187" s="79">
        <v>1</v>
      </c>
      <c r="EH187" s="79">
        <v>1</v>
      </c>
      <c r="EI187" s="79">
        <v>1</v>
      </c>
      <c r="EJ187" s="79">
        <v>1</v>
      </c>
      <c r="EK187" s="79">
        <v>1</v>
      </c>
      <c r="EL187" s="79">
        <v>1</v>
      </c>
      <c r="EM187" s="143">
        <f t="shared" si="241"/>
        <v>0</v>
      </c>
      <c r="EN187" s="143">
        <f t="shared" si="242"/>
        <v>0</v>
      </c>
      <c r="EO187" s="82">
        <f t="shared" si="243"/>
        <v>0</v>
      </c>
    </row>
    <row r="188" spans="1:145" x14ac:dyDescent="0.25">
      <c r="A188">
        <v>174</v>
      </c>
      <c r="B188" s="172" t="e">
        <f t="shared" si="214"/>
        <v>#N/A</v>
      </c>
      <c r="C188" s="121" t="e">
        <f t="shared" si="193"/>
        <v>#N/A</v>
      </c>
      <c r="D188" s="122" t="e">
        <f t="shared" si="194"/>
        <v>#N/A</v>
      </c>
      <c r="E188" s="122" t="e">
        <f t="shared" si="195"/>
        <v>#N/A</v>
      </c>
      <c r="F188" s="176" t="e">
        <f t="shared" si="196"/>
        <v>#N/A</v>
      </c>
      <c r="G188" s="121">
        <f t="shared" si="215"/>
        <v>208</v>
      </c>
      <c r="H188" s="176" t="e">
        <f t="shared" si="216"/>
        <v>#N/A</v>
      </c>
      <c r="I188" s="48">
        <v>1</v>
      </c>
      <c r="J188" s="39"/>
      <c r="K188" s="350">
        <v>1</v>
      </c>
      <c r="L188" s="34" t="e">
        <f t="shared" si="197"/>
        <v>#N/A</v>
      </c>
      <c r="M188" s="38" t="e">
        <f>(HLOOKUP(J188,'Construction Times'!$B$3:$W$34,L188+2,FALSE)*HLOOKUP("hq modifier",'Construction Times'!$W$3:$W$34,BS188+2,FALSE))*(1-$H$9)</f>
        <v>#N/A</v>
      </c>
      <c r="N188" s="443" t="e">
        <f t="shared" si="217"/>
        <v>#N/A</v>
      </c>
      <c r="O188" s="444"/>
      <c r="P188" s="447" t="e">
        <f t="shared" si="218"/>
        <v>#N/A</v>
      </c>
      <c r="Q188" s="448"/>
      <c r="R188" s="103">
        <f t="shared" si="244"/>
        <v>0</v>
      </c>
      <c r="S188" s="104">
        <f t="shared" si="244"/>
        <v>0</v>
      </c>
      <c r="T188" s="104">
        <f t="shared" si="245"/>
        <v>0</v>
      </c>
      <c r="U188" s="104">
        <f t="shared" si="245"/>
        <v>0</v>
      </c>
      <c r="V188" s="104">
        <f t="shared" si="245"/>
        <v>9.9999999999999995E-8</v>
      </c>
      <c r="W188" s="104">
        <f t="shared" si="245"/>
        <v>0</v>
      </c>
      <c r="X188" s="104">
        <f t="shared" si="273"/>
        <v>0</v>
      </c>
      <c r="Y188" s="104">
        <f t="shared" si="273"/>
        <v>9.9999999999999995E-8</v>
      </c>
      <c r="Z188" s="104">
        <f t="shared" si="273"/>
        <v>9.9999999999999995E-8</v>
      </c>
      <c r="AA188" s="105">
        <f t="shared" si="273"/>
        <v>9.9999999999999995E-8</v>
      </c>
      <c r="AB188" s="101" t="e">
        <f>$DT188*HLOOKUP($J188,'Construction Costs (timber)'!$B$1:$V$32,'Construction Planner'!$L188+2,FALSE)</f>
        <v>#N/A</v>
      </c>
      <c r="AC188" s="14" t="e">
        <f>$DT188*HLOOKUP($J188,'Construction Costs (clay)'!$B$1:$V$32,'Construction Planner'!$L188+2,FALSE)</f>
        <v>#N/A</v>
      </c>
      <c r="AD188" s="14" t="e">
        <f>$DT188*HLOOKUP($J188,'Construction Costs (iron)'!$B$1:$V$32,'Construction Planner'!$L188+2,FALSE)</f>
        <v>#N/A</v>
      </c>
      <c r="AE188" s="34" t="e">
        <f t="shared" si="254"/>
        <v>#N/A</v>
      </c>
      <c r="AF188" s="33" t="e">
        <f t="shared" si="198"/>
        <v>#N/A</v>
      </c>
      <c r="AG188" s="14" t="e">
        <f t="shared" si="199"/>
        <v>#N/A</v>
      </c>
      <c r="AH188" s="14" t="e">
        <f t="shared" si="200"/>
        <v>#N/A</v>
      </c>
      <c r="AI188" s="34" t="e">
        <f t="shared" si="255"/>
        <v>#N/A</v>
      </c>
      <c r="AJ188" s="49" t="e">
        <f t="shared" si="219"/>
        <v>#N/A</v>
      </c>
      <c r="AK188" s="49" t="e">
        <f t="shared" si="220"/>
        <v>#N/A</v>
      </c>
      <c r="AL188" s="49" t="e">
        <f t="shared" si="221"/>
        <v>#N/A</v>
      </c>
      <c r="AM188" s="25">
        <f t="shared" si="201"/>
        <v>30</v>
      </c>
      <c r="AN188" s="25">
        <f t="shared" si="202"/>
        <v>30</v>
      </c>
      <c r="AO188" s="25">
        <f t="shared" si="203"/>
        <v>30</v>
      </c>
      <c r="AP188" s="52" t="e">
        <f t="shared" si="222"/>
        <v>#N/A</v>
      </c>
      <c r="AQ188" s="53" t="e">
        <f t="shared" si="222"/>
        <v>#N/A</v>
      </c>
      <c r="AR188" s="54" t="e">
        <f t="shared" si="222"/>
        <v>#N/A</v>
      </c>
      <c r="AS188" s="316">
        <f t="shared" si="276"/>
        <v>0</v>
      </c>
      <c r="AT188" s="106">
        <f>_xlfn.IFNA($M188/VLOOKUP($BT188,'Unit information'!$A$2:$K$29,2,FALSE)*R188,0)*(1+$E$9)</f>
        <v>0</v>
      </c>
      <c r="AU188" s="107">
        <f>_xlfn.IFNA($M188/VLOOKUP($BT188,'Unit information'!$A$2:$K$29,3,FALSE)*S188,0)*(1+$E$9)</f>
        <v>0</v>
      </c>
      <c r="AV188" s="107">
        <f>_xlfn.IFNA($M188/VLOOKUP($BT188,'Unit information'!$A$2:$K$29,4,FALSE)*T188,0)*(1+$E$9)</f>
        <v>0</v>
      </c>
      <c r="AW188" s="107">
        <f>_xlfn.IFNA($M188/VLOOKUP($BT188,'Unit information'!$A$2:$K$29,5,FALSE)*U188,0)*(1+$E$9)</f>
        <v>0</v>
      </c>
      <c r="AX188" s="107">
        <f>_xlfn.IFNA($M188/VLOOKUP($BU188,'Unit information'!$A$2:$K$29,6,FALSE)*V188,0)*(1+$E$9)</f>
        <v>0</v>
      </c>
      <c r="AY188" s="107">
        <f>_xlfn.IFNA($M188/VLOOKUP($BU188,'Unit information'!$A$2:$K$29,7,FALSE)*W188,0)*(1+$E$9)</f>
        <v>0</v>
      </c>
      <c r="AZ188" s="107">
        <f>_xlfn.IFNA($M188/VLOOKUP($BU188,'Unit information'!$A$2:$K$29,8,FALSE)*X188,0)*(1+$E$9)</f>
        <v>0</v>
      </c>
      <c r="BA188" s="107">
        <f>_xlfn.IFNA($M188/VLOOKUP($BU188,'Unit information'!$A$2:$K$29,9,FALSE)*Y188,0)*(1+$E$9)</f>
        <v>0</v>
      </c>
      <c r="BB188" s="107">
        <f>_xlfn.IFNA($M188/VLOOKUP($BV188,'Unit information'!$A$2:$K$29,10,FALSE)*Z188,0)*(1+$E$9)</f>
        <v>0</v>
      </c>
      <c r="BC188" s="108">
        <f>_xlfn.IFNA($M188/VLOOKUP($BV188,'Unit information'!$A$2:$K$29,11,FALSE)*AA188,0)*(1+$E$9)</f>
        <v>0</v>
      </c>
      <c r="BD188" s="106">
        <f t="shared" si="204"/>
        <v>0</v>
      </c>
      <c r="BE188" s="107">
        <f t="shared" si="205"/>
        <v>0</v>
      </c>
      <c r="BF188" s="108">
        <f t="shared" si="206"/>
        <v>0</v>
      </c>
      <c r="BG188" s="25" t="e">
        <f t="shared" si="207"/>
        <v>#N/A</v>
      </c>
      <c r="BH188" s="25" t="e">
        <f t="shared" si="208"/>
        <v>#N/A</v>
      </c>
      <c r="BI188" s="25" t="e">
        <f t="shared" si="209"/>
        <v>#N/A</v>
      </c>
      <c r="BJ188" s="27" t="e">
        <f t="shared" si="210"/>
        <v>#N/A</v>
      </c>
      <c r="BK188" s="18" t="e">
        <f t="shared" si="211"/>
        <v>#N/A</v>
      </c>
      <c r="BL188" s="18" t="e">
        <f t="shared" si="212"/>
        <v>#N/A</v>
      </c>
      <c r="BM188" s="28" t="e">
        <f t="shared" si="257"/>
        <v>#N/A</v>
      </c>
      <c r="BN188" s="33">
        <f>HLOOKUP("maximum population",Miscelaneous!$C$1:$C$33,CH188+3,FALSE)</f>
        <v>240</v>
      </c>
      <c r="BO188" s="14">
        <f t="shared" si="223"/>
        <v>32</v>
      </c>
      <c r="BP188" s="14">
        <f t="shared" si="224"/>
        <v>0</v>
      </c>
      <c r="BQ188" s="14">
        <f t="shared" si="225"/>
        <v>208</v>
      </c>
      <c r="BR188" s="34" t="e">
        <f>HLOOKUP(J188,Villagers!$B$1:$V$33,L188+3,FALSE)-HLOOKUP(J188,Villagers!$B$1:$V$33,L188+2,FALSE)</f>
        <v>#N/A</v>
      </c>
      <c r="BS188" s="49">
        <f t="shared" si="226"/>
        <v>1</v>
      </c>
      <c r="BT188" s="50">
        <f t="shared" si="227"/>
        <v>0</v>
      </c>
      <c r="BU188" s="50">
        <f t="shared" si="228"/>
        <v>0</v>
      </c>
      <c r="BV188" s="50">
        <f t="shared" si="229"/>
        <v>0</v>
      </c>
      <c r="BW188" s="50">
        <f t="shared" si="278"/>
        <v>0</v>
      </c>
      <c r="BX188" s="50">
        <f t="shared" si="277"/>
        <v>0</v>
      </c>
      <c r="BY188" s="50">
        <f t="shared" si="277"/>
        <v>0</v>
      </c>
      <c r="BZ188" s="50">
        <f t="shared" si="260"/>
        <v>0</v>
      </c>
      <c r="CA188" s="50">
        <f t="shared" si="261"/>
        <v>0</v>
      </c>
      <c r="CB188" s="50">
        <f t="shared" si="262"/>
        <v>1</v>
      </c>
      <c r="CC188" s="50">
        <f t="shared" si="263"/>
        <v>0</v>
      </c>
      <c r="CD188" s="50">
        <f t="shared" si="264"/>
        <v>0</v>
      </c>
      <c r="CE188" s="50">
        <f t="shared" si="265"/>
        <v>1</v>
      </c>
      <c r="CF188" s="50">
        <f t="shared" si="266"/>
        <v>1</v>
      </c>
      <c r="CG188" s="50">
        <f t="shared" si="267"/>
        <v>1</v>
      </c>
      <c r="CH188" s="50">
        <f t="shared" si="268"/>
        <v>1</v>
      </c>
      <c r="CI188" s="50">
        <f t="shared" si="269"/>
        <v>1</v>
      </c>
      <c r="CJ188" s="50">
        <f t="shared" si="270"/>
        <v>1</v>
      </c>
      <c r="CK188" s="50">
        <f t="shared" si="270"/>
        <v>0</v>
      </c>
      <c r="CL188" s="50">
        <f t="shared" si="270"/>
        <v>0</v>
      </c>
      <c r="CM188" s="51">
        <f t="shared" si="274"/>
        <v>0</v>
      </c>
      <c r="CN188" s="33">
        <f>ROUND(IF(BS188=0,0,HLOOKUP(BS$14,Villagers!$B$1:$V$33,BS188+3,FALSE)),)</f>
        <v>5</v>
      </c>
      <c r="CO188" s="14">
        <f>ROUND(IF(BT188=0,0,HLOOKUP(BT$14,Villagers!$B$1:$V$33,BT188+3,FALSE)),)</f>
        <v>0</v>
      </c>
      <c r="CP188" s="14">
        <f>ROUND(IF(BU188=0,0,HLOOKUP(BU$14,Villagers!$B$1:$V$33,BU188+3,FALSE)),)</f>
        <v>0</v>
      </c>
      <c r="CQ188" s="14">
        <f>ROUND(IF(BV188=0,0,HLOOKUP(BV$14,Villagers!$B$1:$V$33,BV188+3,FALSE)),)</f>
        <v>0</v>
      </c>
      <c r="CR188" s="14">
        <f>ROUND(IF(BW188=0,0,HLOOKUP(BW$14,Villagers!$B$1:$V$33,BW188+3,FALSE)),)</f>
        <v>0</v>
      </c>
      <c r="CS188" s="14">
        <f>ROUND(IF(BX188=0,0,HLOOKUP(BX$14,Villagers!$B$1:$V$33,BX188+3,FALSE)),)</f>
        <v>0</v>
      </c>
      <c r="CT188" s="14">
        <f>ROUND(IF(BY188=0,0,HLOOKUP(BY$14,Villagers!$B$1:$V$33,BY188+3,FALSE)),)</f>
        <v>0</v>
      </c>
      <c r="CU188" s="14">
        <f>ROUND(IF(BZ188=0,0,HLOOKUP(BZ$14,Villagers!$B$1:$V$33,BZ188+3,FALSE)),)</f>
        <v>0</v>
      </c>
      <c r="CV188" s="14">
        <f>ROUND(IF(CA188=0,0,HLOOKUP(CA$14,Villagers!$B$1:$V$33,CA188+3,FALSE)),)</f>
        <v>0</v>
      </c>
      <c r="CW188" s="14">
        <f>ROUND(IF(CB188=0,0,HLOOKUP(CB$14,Villagers!$B$1:$V$33,CB188+3,FALSE)),)</f>
        <v>0</v>
      </c>
      <c r="CX188" s="14">
        <f>ROUND(IF(CC188=0,0,HLOOKUP(CC$14,Villagers!$B$1:$V$33,CC188+3,FALSE)),)</f>
        <v>0</v>
      </c>
      <c r="CY188" s="14">
        <f>ROUND(IF(CD188=0,0,HLOOKUP(CD$14,Villagers!$B$1:$V$33,CD188+3,FALSE)),)</f>
        <v>0</v>
      </c>
      <c r="CZ188" s="14">
        <f>ROUND(IF(CE188=0,0,HLOOKUP(CE$14,Villagers!$B$1:$V$33,CE188+3,FALSE)),)</f>
        <v>5</v>
      </c>
      <c r="DA188" s="14">
        <f>ROUND(IF(CF188=0,0,HLOOKUP(CF$14,Villagers!$B$1:$V$33,CF188+3,FALSE)),)</f>
        <v>10</v>
      </c>
      <c r="DB188" s="14">
        <f>ROUND(IF(CG188=0,0,HLOOKUP(CG$14,Villagers!$B$1:$V$33,CG188+3,FALSE)),)</f>
        <v>10</v>
      </c>
      <c r="DC188" s="14">
        <f>ROUND(IF(CH188=0,0,HLOOKUP(CH$14,Villagers!$B$1:$V$33,CH188+3,FALSE)),)</f>
        <v>0</v>
      </c>
      <c r="DD188" s="14">
        <f>ROUND(IF(CI188=0,0,HLOOKUP(CI$14,Villagers!$B$1:$V$33,CI188+3,FALSE)),)</f>
        <v>0</v>
      </c>
      <c r="DE188" s="14">
        <f>ROUND(IF(CJ188=0,0,HLOOKUP(CJ$14,Villagers!$B$1:$V$33,CJ188+3,FALSE)),)</f>
        <v>2</v>
      </c>
      <c r="DF188" s="370">
        <f>ROUND(IF(CK188=0,0,HLOOKUP(CK$14,Villagers!$B$1:$V$33,CK188+3,FALSE)),)</f>
        <v>0</v>
      </c>
      <c r="DG188" s="370">
        <f>ROUND(IF(CL188=0,0,HLOOKUP(CL$14,Villagers!$B$1:$V$33,CL188+3,FALSE)),)</f>
        <v>0</v>
      </c>
      <c r="DH188" s="34">
        <f>ROUND(IF(CM188=0,0,HLOOKUP(CM$14,Villagers!$B$1:$V$33,CM188+3,FALSE)),)</f>
        <v>0</v>
      </c>
      <c r="DI188" s="109">
        <f t="shared" si="246"/>
        <v>0</v>
      </c>
      <c r="DJ188" s="50">
        <f t="shared" si="247"/>
        <v>0</v>
      </c>
      <c r="DK188" s="50">
        <f t="shared" si="248"/>
        <v>0</v>
      </c>
      <c r="DL188" s="50">
        <f t="shared" si="249"/>
        <v>0</v>
      </c>
      <c r="DM188" s="50">
        <f t="shared" si="250"/>
        <v>0</v>
      </c>
      <c r="DN188" s="50">
        <f t="shared" si="251"/>
        <v>0</v>
      </c>
      <c r="DO188" s="50">
        <f t="shared" si="252"/>
        <v>0</v>
      </c>
      <c r="DP188" s="50">
        <f t="shared" si="253"/>
        <v>0</v>
      </c>
      <c r="DQ188" s="50">
        <f t="shared" si="231"/>
        <v>0</v>
      </c>
      <c r="DR188" s="50">
        <f t="shared" si="232"/>
        <v>0</v>
      </c>
      <c r="DS188" s="96">
        <f>Miscelaneous!$D$4*Miscelaneous!$D$2^($CI188-1)</f>
        <v>1000</v>
      </c>
      <c r="DT188" s="333">
        <f t="shared" si="213"/>
        <v>1</v>
      </c>
      <c r="DU188" s="81">
        <v>1</v>
      </c>
      <c r="DV188" s="79">
        <f t="shared" si="233"/>
        <v>0</v>
      </c>
      <c r="DW188" s="79">
        <f t="shared" si="234"/>
        <v>0</v>
      </c>
      <c r="DX188" s="79">
        <f t="shared" si="235"/>
        <v>0</v>
      </c>
      <c r="DY188" s="79">
        <v>1</v>
      </c>
      <c r="DZ188" s="79">
        <f t="shared" si="236"/>
        <v>0</v>
      </c>
      <c r="EA188" s="79">
        <f t="shared" si="237"/>
        <v>0</v>
      </c>
      <c r="EB188" s="79">
        <f t="shared" si="238"/>
        <v>0</v>
      </c>
      <c r="EC188" s="79">
        <f t="shared" si="239"/>
        <v>0</v>
      </c>
      <c r="ED188" s="79">
        <v>1</v>
      </c>
      <c r="EE188" s="79">
        <v>1</v>
      </c>
      <c r="EF188" s="79">
        <f t="shared" si="240"/>
        <v>0</v>
      </c>
      <c r="EG188" s="79">
        <v>1</v>
      </c>
      <c r="EH188" s="79">
        <v>1</v>
      </c>
      <c r="EI188" s="79">
        <v>1</v>
      </c>
      <c r="EJ188" s="79">
        <v>1</v>
      </c>
      <c r="EK188" s="79">
        <v>1</v>
      </c>
      <c r="EL188" s="79">
        <v>1</v>
      </c>
      <c r="EM188" s="143">
        <f t="shared" si="241"/>
        <v>0</v>
      </c>
      <c r="EN188" s="143">
        <f t="shared" si="242"/>
        <v>0</v>
      </c>
      <c r="EO188" s="82">
        <f t="shared" si="243"/>
        <v>0</v>
      </c>
    </row>
    <row r="189" spans="1:145" x14ac:dyDescent="0.25">
      <c r="A189">
        <v>175</v>
      </c>
      <c r="B189" s="172" t="e">
        <f t="shared" si="214"/>
        <v>#N/A</v>
      </c>
      <c r="C189" s="121" t="e">
        <f t="shared" si="193"/>
        <v>#N/A</v>
      </c>
      <c r="D189" s="122" t="e">
        <f t="shared" si="194"/>
        <v>#N/A</v>
      </c>
      <c r="E189" s="122" t="e">
        <f t="shared" si="195"/>
        <v>#N/A</v>
      </c>
      <c r="F189" s="176" t="e">
        <f t="shared" si="196"/>
        <v>#N/A</v>
      </c>
      <c r="G189" s="121">
        <f t="shared" si="215"/>
        <v>208</v>
      </c>
      <c r="H189" s="176" t="e">
        <f t="shared" si="216"/>
        <v>#N/A</v>
      </c>
      <c r="I189" s="48">
        <v>1</v>
      </c>
      <c r="J189" s="39"/>
      <c r="K189" s="350">
        <v>1</v>
      </c>
      <c r="L189" s="34" t="e">
        <f t="shared" si="197"/>
        <v>#N/A</v>
      </c>
      <c r="M189" s="38" t="e">
        <f>(HLOOKUP(J189,'Construction Times'!$B$3:$W$34,L189+2,FALSE)*HLOOKUP("hq modifier",'Construction Times'!$W$3:$W$34,BS189+2,FALSE))*(1-$H$9)</f>
        <v>#N/A</v>
      </c>
      <c r="N189" s="443" t="e">
        <f t="shared" si="217"/>
        <v>#N/A</v>
      </c>
      <c r="O189" s="444"/>
      <c r="P189" s="447" t="e">
        <f t="shared" si="218"/>
        <v>#N/A</v>
      </c>
      <c r="Q189" s="448"/>
      <c r="R189" s="103">
        <f t="shared" si="244"/>
        <v>0</v>
      </c>
      <c r="S189" s="104">
        <f t="shared" si="244"/>
        <v>0</v>
      </c>
      <c r="T189" s="104">
        <f t="shared" si="245"/>
        <v>0</v>
      </c>
      <c r="U189" s="104">
        <f t="shared" si="245"/>
        <v>0</v>
      </c>
      <c r="V189" s="104">
        <f t="shared" si="245"/>
        <v>9.9999999999999995E-8</v>
      </c>
      <c r="W189" s="104">
        <f t="shared" si="245"/>
        <v>0</v>
      </c>
      <c r="X189" s="104">
        <f t="shared" si="273"/>
        <v>0</v>
      </c>
      <c r="Y189" s="104">
        <f t="shared" si="273"/>
        <v>9.9999999999999995E-8</v>
      </c>
      <c r="Z189" s="104">
        <f t="shared" si="273"/>
        <v>9.9999999999999995E-8</v>
      </c>
      <c r="AA189" s="105">
        <f t="shared" si="273"/>
        <v>9.9999999999999995E-8</v>
      </c>
      <c r="AB189" s="101" t="e">
        <f>$DT189*HLOOKUP($J189,'Construction Costs (timber)'!$B$1:$V$32,'Construction Planner'!$L189+2,FALSE)</f>
        <v>#N/A</v>
      </c>
      <c r="AC189" s="14" t="e">
        <f>$DT189*HLOOKUP($J189,'Construction Costs (clay)'!$B$1:$V$32,'Construction Planner'!$L189+2,FALSE)</f>
        <v>#N/A</v>
      </c>
      <c r="AD189" s="14" t="e">
        <f>$DT189*HLOOKUP($J189,'Construction Costs (iron)'!$B$1:$V$32,'Construction Planner'!$L189+2,FALSE)</f>
        <v>#N/A</v>
      </c>
      <c r="AE189" s="34" t="e">
        <f t="shared" si="254"/>
        <v>#N/A</v>
      </c>
      <c r="AF189" s="33" t="e">
        <f t="shared" si="198"/>
        <v>#N/A</v>
      </c>
      <c r="AG189" s="14" t="e">
        <f t="shared" si="199"/>
        <v>#N/A</v>
      </c>
      <c r="AH189" s="14" t="e">
        <f t="shared" si="200"/>
        <v>#N/A</v>
      </c>
      <c r="AI189" s="34" t="e">
        <f t="shared" si="255"/>
        <v>#N/A</v>
      </c>
      <c r="AJ189" s="49" t="e">
        <f t="shared" si="219"/>
        <v>#N/A</v>
      </c>
      <c r="AK189" s="49" t="e">
        <f t="shared" si="220"/>
        <v>#N/A</v>
      </c>
      <c r="AL189" s="49" t="e">
        <f t="shared" si="221"/>
        <v>#N/A</v>
      </c>
      <c r="AM189" s="25">
        <f t="shared" si="201"/>
        <v>30</v>
      </c>
      <c r="AN189" s="25">
        <f t="shared" si="202"/>
        <v>30</v>
      </c>
      <c r="AO189" s="25">
        <f t="shared" si="203"/>
        <v>30</v>
      </c>
      <c r="AP189" s="52" t="e">
        <f t="shared" si="222"/>
        <v>#N/A</v>
      </c>
      <c r="AQ189" s="53" t="e">
        <f t="shared" si="222"/>
        <v>#N/A</v>
      </c>
      <c r="AR189" s="54" t="e">
        <f t="shared" si="222"/>
        <v>#N/A</v>
      </c>
      <c r="AS189" s="316">
        <f t="shared" si="276"/>
        <v>0</v>
      </c>
      <c r="AT189" s="106">
        <f>_xlfn.IFNA($M189/VLOOKUP($BT189,'Unit information'!$A$2:$K$29,2,FALSE)*R189,0)*(1+$E$9)</f>
        <v>0</v>
      </c>
      <c r="AU189" s="107">
        <f>_xlfn.IFNA($M189/VLOOKUP($BT189,'Unit information'!$A$2:$K$29,3,FALSE)*S189,0)*(1+$E$9)</f>
        <v>0</v>
      </c>
      <c r="AV189" s="107">
        <f>_xlfn.IFNA($M189/VLOOKUP($BT189,'Unit information'!$A$2:$K$29,4,FALSE)*T189,0)*(1+$E$9)</f>
        <v>0</v>
      </c>
      <c r="AW189" s="107">
        <f>_xlfn.IFNA($M189/VLOOKUP($BT189,'Unit information'!$A$2:$K$29,5,FALSE)*U189,0)*(1+$E$9)</f>
        <v>0</v>
      </c>
      <c r="AX189" s="107">
        <f>_xlfn.IFNA($M189/VLOOKUP($BU189,'Unit information'!$A$2:$K$29,6,FALSE)*V189,0)*(1+$E$9)</f>
        <v>0</v>
      </c>
      <c r="AY189" s="107">
        <f>_xlfn.IFNA($M189/VLOOKUP($BU189,'Unit information'!$A$2:$K$29,7,FALSE)*W189,0)*(1+$E$9)</f>
        <v>0</v>
      </c>
      <c r="AZ189" s="107">
        <f>_xlfn.IFNA($M189/VLOOKUP($BU189,'Unit information'!$A$2:$K$29,8,FALSE)*X189,0)*(1+$E$9)</f>
        <v>0</v>
      </c>
      <c r="BA189" s="107">
        <f>_xlfn.IFNA($M189/VLOOKUP($BU189,'Unit information'!$A$2:$K$29,9,FALSE)*Y189,0)*(1+$E$9)</f>
        <v>0</v>
      </c>
      <c r="BB189" s="107">
        <f>_xlfn.IFNA($M189/VLOOKUP($BV189,'Unit information'!$A$2:$K$29,10,FALSE)*Z189,0)*(1+$E$9)</f>
        <v>0</v>
      </c>
      <c r="BC189" s="108">
        <f>_xlfn.IFNA($M189/VLOOKUP($BV189,'Unit information'!$A$2:$K$29,11,FALSE)*AA189,0)*(1+$E$9)</f>
        <v>0</v>
      </c>
      <c r="BD189" s="106">
        <f t="shared" si="204"/>
        <v>0</v>
      </c>
      <c r="BE189" s="107">
        <f t="shared" si="205"/>
        <v>0</v>
      </c>
      <c r="BF189" s="108">
        <f t="shared" si="206"/>
        <v>0</v>
      </c>
      <c r="BG189" s="25" t="e">
        <f t="shared" si="207"/>
        <v>#N/A</v>
      </c>
      <c r="BH189" s="25" t="e">
        <f t="shared" si="208"/>
        <v>#N/A</v>
      </c>
      <c r="BI189" s="25" t="e">
        <f t="shared" si="209"/>
        <v>#N/A</v>
      </c>
      <c r="BJ189" s="27" t="e">
        <f t="shared" si="210"/>
        <v>#N/A</v>
      </c>
      <c r="BK189" s="18" t="e">
        <f t="shared" si="211"/>
        <v>#N/A</v>
      </c>
      <c r="BL189" s="18" t="e">
        <f t="shared" si="212"/>
        <v>#N/A</v>
      </c>
      <c r="BM189" s="28" t="e">
        <f t="shared" si="257"/>
        <v>#N/A</v>
      </c>
      <c r="BN189" s="33">
        <f>HLOOKUP("maximum population",Miscelaneous!$C$1:$C$33,CH189+3,FALSE)</f>
        <v>240</v>
      </c>
      <c r="BO189" s="14">
        <f t="shared" si="223"/>
        <v>32</v>
      </c>
      <c r="BP189" s="14">
        <f t="shared" si="224"/>
        <v>0</v>
      </c>
      <c r="BQ189" s="14">
        <f t="shared" si="225"/>
        <v>208</v>
      </c>
      <c r="BR189" s="34" t="e">
        <f>HLOOKUP(J189,Villagers!$B$1:$V$33,L189+3,FALSE)-HLOOKUP(J189,Villagers!$B$1:$V$33,L189+2,FALSE)</f>
        <v>#N/A</v>
      </c>
      <c r="BS189" s="49">
        <f t="shared" si="226"/>
        <v>1</v>
      </c>
      <c r="BT189" s="50">
        <f t="shared" si="227"/>
        <v>0</v>
      </c>
      <c r="BU189" s="50">
        <f t="shared" si="228"/>
        <v>0</v>
      </c>
      <c r="BV189" s="50">
        <f t="shared" si="229"/>
        <v>0</v>
      </c>
      <c r="BW189" s="50">
        <f t="shared" si="278"/>
        <v>0</v>
      </c>
      <c r="BX189" s="50">
        <f t="shared" si="277"/>
        <v>0</v>
      </c>
      <c r="BY189" s="50">
        <f t="shared" si="277"/>
        <v>0</v>
      </c>
      <c r="BZ189" s="50">
        <f t="shared" si="260"/>
        <v>0</v>
      </c>
      <c r="CA189" s="50">
        <f t="shared" si="261"/>
        <v>0</v>
      </c>
      <c r="CB189" s="50">
        <f t="shared" si="262"/>
        <v>1</v>
      </c>
      <c r="CC189" s="50">
        <f t="shared" si="263"/>
        <v>0</v>
      </c>
      <c r="CD189" s="50">
        <f t="shared" si="264"/>
        <v>0</v>
      </c>
      <c r="CE189" s="50">
        <f t="shared" si="265"/>
        <v>1</v>
      </c>
      <c r="CF189" s="50">
        <f t="shared" si="266"/>
        <v>1</v>
      </c>
      <c r="CG189" s="50">
        <f t="shared" si="267"/>
        <v>1</v>
      </c>
      <c r="CH189" s="50">
        <f t="shared" si="268"/>
        <v>1</v>
      </c>
      <c r="CI189" s="50">
        <f t="shared" si="269"/>
        <v>1</v>
      </c>
      <c r="CJ189" s="50">
        <f t="shared" si="270"/>
        <v>1</v>
      </c>
      <c r="CK189" s="50">
        <f t="shared" si="270"/>
        <v>0</v>
      </c>
      <c r="CL189" s="50">
        <f t="shared" si="270"/>
        <v>0</v>
      </c>
      <c r="CM189" s="51">
        <f t="shared" si="274"/>
        <v>0</v>
      </c>
      <c r="CN189" s="33">
        <f>ROUND(IF(BS189=0,0,HLOOKUP(BS$14,Villagers!$B$1:$V$33,BS189+3,FALSE)),)</f>
        <v>5</v>
      </c>
      <c r="CO189" s="14">
        <f>ROUND(IF(BT189=0,0,HLOOKUP(BT$14,Villagers!$B$1:$V$33,BT189+3,FALSE)),)</f>
        <v>0</v>
      </c>
      <c r="CP189" s="14">
        <f>ROUND(IF(BU189=0,0,HLOOKUP(BU$14,Villagers!$B$1:$V$33,BU189+3,FALSE)),)</f>
        <v>0</v>
      </c>
      <c r="CQ189" s="14">
        <f>ROUND(IF(BV189=0,0,HLOOKUP(BV$14,Villagers!$B$1:$V$33,BV189+3,FALSE)),)</f>
        <v>0</v>
      </c>
      <c r="CR189" s="14">
        <f>ROUND(IF(BW189=0,0,HLOOKUP(BW$14,Villagers!$B$1:$V$33,BW189+3,FALSE)),)</f>
        <v>0</v>
      </c>
      <c r="CS189" s="14">
        <f>ROUND(IF(BX189=0,0,HLOOKUP(BX$14,Villagers!$B$1:$V$33,BX189+3,FALSE)),)</f>
        <v>0</v>
      </c>
      <c r="CT189" s="14">
        <f>ROUND(IF(BY189=0,0,HLOOKUP(BY$14,Villagers!$B$1:$V$33,BY189+3,FALSE)),)</f>
        <v>0</v>
      </c>
      <c r="CU189" s="14">
        <f>ROUND(IF(BZ189=0,0,HLOOKUP(BZ$14,Villagers!$B$1:$V$33,BZ189+3,FALSE)),)</f>
        <v>0</v>
      </c>
      <c r="CV189" s="14">
        <f>ROUND(IF(CA189=0,0,HLOOKUP(CA$14,Villagers!$B$1:$V$33,CA189+3,FALSE)),)</f>
        <v>0</v>
      </c>
      <c r="CW189" s="14">
        <f>ROUND(IF(CB189=0,0,HLOOKUP(CB$14,Villagers!$B$1:$V$33,CB189+3,FALSE)),)</f>
        <v>0</v>
      </c>
      <c r="CX189" s="14">
        <f>ROUND(IF(CC189=0,0,HLOOKUP(CC$14,Villagers!$B$1:$V$33,CC189+3,FALSE)),)</f>
        <v>0</v>
      </c>
      <c r="CY189" s="14">
        <f>ROUND(IF(CD189=0,0,HLOOKUP(CD$14,Villagers!$B$1:$V$33,CD189+3,FALSE)),)</f>
        <v>0</v>
      </c>
      <c r="CZ189" s="14">
        <f>ROUND(IF(CE189=0,0,HLOOKUP(CE$14,Villagers!$B$1:$V$33,CE189+3,FALSE)),)</f>
        <v>5</v>
      </c>
      <c r="DA189" s="14">
        <f>ROUND(IF(CF189=0,0,HLOOKUP(CF$14,Villagers!$B$1:$V$33,CF189+3,FALSE)),)</f>
        <v>10</v>
      </c>
      <c r="DB189" s="14">
        <f>ROUND(IF(CG189=0,0,HLOOKUP(CG$14,Villagers!$B$1:$V$33,CG189+3,FALSE)),)</f>
        <v>10</v>
      </c>
      <c r="DC189" s="14">
        <f>ROUND(IF(CH189=0,0,HLOOKUP(CH$14,Villagers!$B$1:$V$33,CH189+3,FALSE)),)</f>
        <v>0</v>
      </c>
      <c r="DD189" s="14">
        <f>ROUND(IF(CI189=0,0,HLOOKUP(CI$14,Villagers!$B$1:$V$33,CI189+3,FALSE)),)</f>
        <v>0</v>
      </c>
      <c r="DE189" s="14">
        <f>ROUND(IF(CJ189=0,0,HLOOKUP(CJ$14,Villagers!$B$1:$V$33,CJ189+3,FALSE)),)</f>
        <v>2</v>
      </c>
      <c r="DF189" s="370">
        <f>ROUND(IF(CK189=0,0,HLOOKUP(CK$14,Villagers!$B$1:$V$33,CK189+3,FALSE)),)</f>
        <v>0</v>
      </c>
      <c r="DG189" s="370">
        <f>ROUND(IF(CL189=0,0,HLOOKUP(CL$14,Villagers!$B$1:$V$33,CL189+3,FALSE)),)</f>
        <v>0</v>
      </c>
      <c r="DH189" s="34">
        <f>ROUND(IF(CM189=0,0,HLOOKUP(CM$14,Villagers!$B$1:$V$33,CM189+3,FALSE)),)</f>
        <v>0</v>
      </c>
      <c r="DI189" s="109">
        <f t="shared" si="246"/>
        <v>0</v>
      </c>
      <c r="DJ189" s="50">
        <f t="shared" si="247"/>
        <v>0</v>
      </c>
      <c r="DK189" s="50">
        <f t="shared" si="248"/>
        <v>0</v>
      </c>
      <c r="DL189" s="50">
        <f t="shared" si="249"/>
        <v>0</v>
      </c>
      <c r="DM189" s="50">
        <f t="shared" si="250"/>
        <v>0</v>
      </c>
      <c r="DN189" s="50">
        <f t="shared" si="251"/>
        <v>0</v>
      </c>
      <c r="DO189" s="50">
        <f t="shared" si="252"/>
        <v>0</v>
      </c>
      <c r="DP189" s="50">
        <f t="shared" si="253"/>
        <v>0</v>
      </c>
      <c r="DQ189" s="50">
        <f t="shared" si="231"/>
        <v>0</v>
      </c>
      <c r="DR189" s="50">
        <f t="shared" si="232"/>
        <v>0</v>
      </c>
      <c r="DS189" s="96">
        <f>Miscelaneous!$D$4*Miscelaneous!$D$2^($CI189-1)</f>
        <v>1000</v>
      </c>
      <c r="DT189" s="333">
        <f t="shared" si="213"/>
        <v>1</v>
      </c>
      <c r="DU189" s="81">
        <v>1</v>
      </c>
      <c r="DV189" s="79">
        <f t="shared" si="233"/>
        <v>0</v>
      </c>
      <c r="DW189" s="79">
        <f t="shared" si="234"/>
        <v>0</v>
      </c>
      <c r="DX189" s="79">
        <f t="shared" si="235"/>
        <v>0</v>
      </c>
      <c r="DY189" s="79">
        <v>1</v>
      </c>
      <c r="DZ189" s="79">
        <f t="shared" si="236"/>
        <v>0</v>
      </c>
      <c r="EA189" s="79">
        <f t="shared" si="237"/>
        <v>0</v>
      </c>
      <c r="EB189" s="79">
        <f t="shared" si="238"/>
        <v>0</v>
      </c>
      <c r="EC189" s="79">
        <f t="shared" si="239"/>
        <v>0</v>
      </c>
      <c r="ED189" s="79">
        <v>1</v>
      </c>
      <c r="EE189" s="79">
        <v>1</v>
      </c>
      <c r="EF189" s="79">
        <f t="shared" si="240"/>
        <v>0</v>
      </c>
      <c r="EG189" s="79">
        <v>1</v>
      </c>
      <c r="EH189" s="79">
        <v>1</v>
      </c>
      <c r="EI189" s="79">
        <v>1</v>
      </c>
      <c r="EJ189" s="79">
        <v>1</v>
      </c>
      <c r="EK189" s="79">
        <v>1</v>
      </c>
      <c r="EL189" s="79">
        <v>1</v>
      </c>
      <c r="EM189" s="143">
        <f t="shared" si="241"/>
        <v>0</v>
      </c>
      <c r="EN189" s="143">
        <f t="shared" si="242"/>
        <v>0</v>
      </c>
      <c r="EO189" s="82">
        <f t="shared" si="243"/>
        <v>0</v>
      </c>
    </row>
    <row r="190" spans="1:145" x14ac:dyDescent="0.25">
      <c r="A190">
        <v>176</v>
      </c>
      <c r="B190" s="172" t="e">
        <f t="shared" si="214"/>
        <v>#N/A</v>
      </c>
      <c r="C190" s="121" t="e">
        <f t="shared" si="193"/>
        <v>#N/A</v>
      </c>
      <c r="D190" s="122" t="e">
        <f t="shared" si="194"/>
        <v>#N/A</v>
      </c>
      <c r="E190" s="122" t="e">
        <f t="shared" si="195"/>
        <v>#N/A</v>
      </c>
      <c r="F190" s="176" t="e">
        <f t="shared" si="196"/>
        <v>#N/A</v>
      </c>
      <c r="G190" s="121">
        <f t="shared" si="215"/>
        <v>208</v>
      </c>
      <c r="H190" s="176" t="e">
        <f t="shared" si="216"/>
        <v>#N/A</v>
      </c>
      <c r="I190" s="48">
        <v>1</v>
      </c>
      <c r="J190" s="39"/>
      <c r="K190" s="350">
        <v>1</v>
      </c>
      <c r="L190" s="34" t="e">
        <f t="shared" si="197"/>
        <v>#N/A</v>
      </c>
      <c r="M190" s="38" t="e">
        <f>(HLOOKUP(J190,'Construction Times'!$B$3:$W$34,L190+2,FALSE)*HLOOKUP("hq modifier",'Construction Times'!$W$3:$W$34,BS190+2,FALSE))*(1-$H$9)</f>
        <v>#N/A</v>
      </c>
      <c r="N190" s="443" t="e">
        <f t="shared" si="217"/>
        <v>#N/A</v>
      </c>
      <c r="O190" s="444"/>
      <c r="P190" s="447" t="e">
        <f t="shared" si="218"/>
        <v>#N/A</v>
      </c>
      <c r="Q190" s="448"/>
      <c r="R190" s="103">
        <f t="shared" si="244"/>
        <v>0</v>
      </c>
      <c r="S190" s="104">
        <f t="shared" si="244"/>
        <v>0</v>
      </c>
      <c r="T190" s="104">
        <f t="shared" si="245"/>
        <v>0</v>
      </c>
      <c r="U190" s="104">
        <f t="shared" si="245"/>
        <v>0</v>
      </c>
      <c r="V190" s="104">
        <f t="shared" si="245"/>
        <v>9.9999999999999995E-8</v>
      </c>
      <c r="W190" s="104">
        <f t="shared" si="245"/>
        <v>0</v>
      </c>
      <c r="X190" s="104">
        <f t="shared" si="273"/>
        <v>0</v>
      </c>
      <c r="Y190" s="104">
        <f t="shared" si="273"/>
        <v>9.9999999999999995E-8</v>
      </c>
      <c r="Z190" s="104">
        <f t="shared" si="273"/>
        <v>9.9999999999999995E-8</v>
      </c>
      <c r="AA190" s="105">
        <f t="shared" si="273"/>
        <v>9.9999999999999995E-8</v>
      </c>
      <c r="AB190" s="101" t="e">
        <f>$DT190*HLOOKUP($J190,'Construction Costs (timber)'!$B$1:$V$32,'Construction Planner'!$L190+2,FALSE)</f>
        <v>#N/A</v>
      </c>
      <c r="AC190" s="14" t="e">
        <f>$DT190*HLOOKUP($J190,'Construction Costs (clay)'!$B$1:$V$32,'Construction Planner'!$L190+2,FALSE)</f>
        <v>#N/A</v>
      </c>
      <c r="AD190" s="14" t="e">
        <f>$DT190*HLOOKUP($J190,'Construction Costs (iron)'!$B$1:$V$32,'Construction Planner'!$L190+2,FALSE)</f>
        <v>#N/A</v>
      </c>
      <c r="AE190" s="34" t="e">
        <f t="shared" si="254"/>
        <v>#N/A</v>
      </c>
      <c r="AF190" s="33" t="e">
        <f t="shared" si="198"/>
        <v>#N/A</v>
      </c>
      <c r="AG190" s="14" t="e">
        <f t="shared" si="199"/>
        <v>#N/A</v>
      </c>
      <c r="AH190" s="14" t="e">
        <f t="shared" si="200"/>
        <v>#N/A</v>
      </c>
      <c r="AI190" s="34" t="e">
        <f t="shared" si="255"/>
        <v>#N/A</v>
      </c>
      <c r="AJ190" s="49" t="e">
        <f t="shared" si="219"/>
        <v>#N/A</v>
      </c>
      <c r="AK190" s="49" t="e">
        <f t="shared" si="220"/>
        <v>#N/A</v>
      </c>
      <c r="AL190" s="49" t="e">
        <f t="shared" si="221"/>
        <v>#N/A</v>
      </c>
      <c r="AM190" s="25">
        <f t="shared" si="201"/>
        <v>30</v>
      </c>
      <c r="AN190" s="25">
        <f t="shared" si="202"/>
        <v>30</v>
      </c>
      <c r="AO190" s="25">
        <f t="shared" si="203"/>
        <v>30</v>
      </c>
      <c r="AP190" s="52" t="e">
        <f t="shared" si="222"/>
        <v>#N/A</v>
      </c>
      <c r="AQ190" s="53" t="e">
        <f t="shared" si="222"/>
        <v>#N/A</v>
      </c>
      <c r="AR190" s="54" t="e">
        <f t="shared" si="222"/>
        <v>#N/A</v>
      </c>
      <c r="AS190" s="316">
        <f t="shared" si="276"/>
        <v>0</v>
      </c>
      <c r="AT190" s="106">
        <f>_xlfn.IFNA($M190/VLOOKUP($BT190,'Unit information'!$A$2:$K$29,2,FALSE)*R190,0)*(1+$E$9)</f>
        <v>0</v>
      </c>
      <c r="AU190" s="107">
        <f>_xlfn.IFNA($M190/VLOOKUP($BT190,'Unit information'!$A$2:$K$29,3,FALSE)*S190,0)*(1+$E$9)</f>
        <v>0</v>
      </c>
      <c r="AV190" s="107">
        <f>_xlfn.IFNA($M190/VLOOKUP($BT190,'Unit information'!$A$2:$K$29,4,FALSE)*T190,0)*(1+$E$9)</f>
        <v>0</v>
      </c>
      <c r="AW190" s="107">
        <f>_xlfn.IFNA($M190/VLOOKUP($BT190,'Unit information'!$A$2:$K$29,5,FALSE)*U190,0)*(1+$E$9)</f>
        <v>0</v>
      </c>
      <c r="AX190" s="107">
        <f>_xlfn.IFNA($M190/VLOOKUP($BU190,'Unit information'!$A$2:$K$29,6,FALSE)*V190,0)*(1+$E$9)</f>
        <v>0</v>
      </c>
      <c r="AY190" s="107">
        <f>_xlfn.IFNA($M190/VLOOKUP($BU190,'Unit information'!$A$2:$K$29,7,FALSE)*W190,0)*(1+$E$9)</f>
        <v>0</v>
      </c>
      <c r="AZ190" s="107">
        <f>_xlfn.IFNA($M190/VLOOKUP($BU190,'Unit information'!$A$2:$K$29,8,FALSE)*X190,0)*(1+$E$9)</f>
        <v>0</v>
      </c>
      <c r="BA190" s="107">
        <f>_xlfn.IFNA($M190/VLOOKUP($BU190,'Unit information'!$A$2:$K$29,9,FALSE)*Y190,0)*(1+$E$9)</f>
        <v>0</v>
      </c>
      <c r="BB190" s="107">
        <f>_xlfn.IFNA($M190/VLOOKUP($BV190,'Unit information'!$A$2:$K$29,10,FALSE)*Z190,0)*(1+$E$9)</f>
        <v>0</v>
      </c>
      <c r="BC190" s="108">
        <f>_xlfn.IFNA($M190/VLOOKUP($BV190,'Unit information'!$A$2:$K$29,11,FALSE)*AA190,0)*(1+$E$9)</f>
        <v>0</v>
      </c>
      <c r="BD190" s="106">
        <f t="shared" si="204"/>
        <v>0</v>
      </c>
      <c r="BE190" s="107">
        <f t="shared" si="205"/>
        <v>0</v>
      </c>
      <c r="BF190" s="108">
        <f t="shared" si="206"/>
        <v>0</v>
      </c>
      <c r="BG190" s="25" t="e">
        <f t="shared" si="207"/>
        <v>#N/A</v>
      </c>
      <c r="BH190" s="25" t="e">
        <f t="shared" si="208"/>
        <v>#N/A</v>
      </c>
      <c r="BI190" s="25" t="e">
        <f t="shared" si="209"/>
        <v>#N/A</v>
      </c>
      <c r="BJ190" s="27" t="e">
        <f t="shared" si="210"/>
        <v>#N/A</v>
      </c>
      <c r="BK190" s="18" t="e">
        <f t="shared" si="211"/>
        <v>#N/A</v>
      </c>
      <c r="BL190" s="18" t="e">
        <f t="shared" si="212"/>
        <v>#N/A</v>
      </c>
      <c r="BM190" s="28" t="e">
        <f t="shared" si="257"/>
        <v>#N/A</v>
      </c>
      <c r="BN190" s="33">
        <f>HLOOKUP("maximum population",Miscelaneous!$C$1:$C$33,CH190+3,FALSE)</f>
        <v>240</v>
      </c>
      <c r="BO190" s="14">
        <f t="shared" si="223"/>
        <v>32</v>
      </c>
      <c r="BP190" s="14">
        <f t="shared" si="224"/>
        <v>0</v>
      </c>
      <c r="BQ190" s="14">
        <f t="shared" si="225"/>
        <v>208</v>
      </c>
      <c r="BR190" s="34" t="e">
        <f>HLOOKUP(J190,Villagers!$B$1:$V$33,L190+3,FALSE)-HLOOKUP(J190,Villagers!$B$1:$V$33,L190+2,FALSE)</f>
        <v>#N/A</v>
      </c>
      <c r="BS190" s="49">
        <f t="shared" si="226"/>
        <v>1</v>
      </c>
      <c r="BT190" s="50">
        <f t="shared" si="227"/>
        <v>0</v>
      </c>
      <c r="BU190" s="50">
        <f t="shared" si="228"/>
        <v>0</v>
      </c>
      <c r="BV190" s="50">
        <f t="shared" si="229"/>
        <v>0</v>
      </c>
      <c r="BW190" s="50">
        <f t="shared" si="278"/>
        <v>0</v>
      </c>
      <c r="BX190" s="50">
        <f t="shared" si="277"/>
        <v>0</v>
      </c>
      <c r="BY190" s="50">
        <f t="shared" si="277"/>
        <v>0</v>
      </c>
      <c r="BZ190" s="50">
        <f t="shared" si="260"/>
        <v>0</v>
      </c>
      <c r="CA190" s="50">
        <f t="shared" si="261"/>
        <v>0</v>
      </c>
      <c r="CB190" s="50">
        <f t="shared" si="262"/>
        <v>1</v>
      </c>
      <c r="CC190" s="50">
        <f t="shared" si="263"/>
        <v>0</v>
      </c>
      <c r="CD190" s="50">
        <f t="shared" si="264"/>
        <v>0</v>
      </c>
      <c r="CE190" s="50">
        <f t="shared" si="265"/>
        <v>1</v>
      </c>
      <c r="CF190" s="50">
        <f t="shared" si="266"/>
        <v>1</v>
      </c>
      <c r="CG190" s="50">
        <f t="shared" si="267"/>
        <v>1</v>
      </c>
      <c r="CH190" s="50">
        <f t="shared" si="268"/>
        <v>1</v>
      </c>
      <c r="CI190" s="50">
        <f t="shared" si="269"/>
        <v>1</v>
      </c>
      <c r="CJ190" s="50">
        <f t="shared" si="270"/>
        <v>1</v>
      </c>
      <c r="CK190" s="50">
        <f t="shared" si="270"/>
        <v>0</v>
      </c>
      <c r="CL190" s="50">
        <f t="shared" si="270"/>
        <v>0</v>
      </c>
      <c r="CM190" s="51">
        <f t="shared" si="274"/>
        <v>0</v>
      </c>
      <c r="CN190" s="33">
        <f>ROUND(IF(BS190=0,0,HLOOKUP(BS$14,Villagers!$B$1:$V$33,BS190+3,FALSE)),)</f>
        <v>5</v>
      </c>
      <c r="CO190" s="14">
        <f>ROUND(IF(BT190=0,0,HLOOKUP(BT$14,Villagers!$B$1:$V$33,BT190+3,FALSE)),)</f>
        <v>0</v>
      </c>
      <c r="CP190" s="14">
        <f>ROUND(IF(BU190=0,0,HLOOKUP(BU$14,Villagers!$B$1:$V$33,BU190+3,FALSE)),)</f>
        <v>0</v>
      </c>
      <c r="CQ190" s="14">
        <f>ROUND(IF(BV190=0,0,HLOOKUP(BV$14,Villagers!$B$1:$V$33,BV190+3,FALSE)),)</f>
        <v>0</v>
      </c>
      <c r="CR190" s="14">
        <f>ROUND(IF(BW190=0,0,HLOOKUP(BW$14,Villagers!$B$1:$V$33,BW190+3,FALSE)),)</f>
        <v>0</v>
      </c>
      <c r="CS190" s="14">
        <f>ROUND(IF(BX190=0,0,HLOOKUP(BX$14,Villagers!$B$1:$V$33,BX190+3,FALSE)),)</f>
        <v>0</v>
      </c>
      <c r="CT190" s="14">
        <f>ROUND(IF(BY190=0,0,HLOOKUP(BY$14,Villagers!$B$1:$V$33,BY190+3,FALSE)),)</f>
        <v>0</v>
      </c>
      <c r="CU190" s="14">
        <f>ROUND(IF(BZ190=0,0,HLOOKUP(BZ$14,Villagers!$B$1:$V$33,BZ190+3,FALSE)),)</f>
        <v>0</v>
      </c>
      <c r="CV190" s="14">
        <f>ROUND(IF(CA190=0,0,HLOOKUP(CA$14,Villagers!$B$1:$V$33,CA190+3,FALSE)),)</f>
        <v>0</v>
      </c>
      <c r="CW190" s="14">
        <f>ROUND(IF(CB190=0,0,HLOOKUP(CB$14,Villagers!$B$1:$V$33,CB190+3,FALSE)),)</f>
        <v>0</v>
      </c>
      <c r="CX190" s="14">
        <f>ROUND(IF(CC190=0,0,HLOOKUP(CC$14,Villagers!$B$1:$V$33,CC190+3,FALSE)),)</f>
        <v>0</v>
      </c>
      <c r="CY190" s="14">
        <f>ROUND(IF(CD190=0,0,HLOOKUP(CD$14,Villagers!$B$1:$V$33,CD190+3,FALSE)),)</f>
        <v>0</v>
      </c>
      <c r="CZ190" s="14">
        <f>ROUND(IF(CE190=0,0,HLOOKUP(CE$14,Villagers!$B$1:$V$33,CE190+3,FALSE)),)</f>
        <v>5</v>
      </c>
      <c r="DA190" s="14">
        <f>ROUND(IF(CF190=0,0,HLOOKUP(CF$14,Villagers!$B$1:$V$33,CF190+3,FALSE)),)</f>
        <v>10</v>
      </c>
      <c r="DB190" s="14">
        <f>ROUND(IF(CG190=0,0,HLOOKUP(CG$14,Villagers!$B$1:$V$33,CG190+3,FALSE)),)</f>
        <v>10</v>
      </c>
      <c r="DC190" s="14">
        <f>ROUND(IF(CH190=0,0,HLOOKUP(CH$14,Villagers!$B$1:$V$33,CH190+3,FALSE)),)</f>
        <v>0</v>
      </c>
      <c r="DD190" s="14">
        <f>ROUND(IF(CI190=0,0,HLOOKUP(CI$14,Villagers!$B$1:$V$33,CI190+3,FALSE)),)</f>
        <v>0</v>
      </c>
      <c r="DE190" s="14">
        <f>ROUND(IF(CJ190=0,0,HLOOKUP(CJ$14,Villagers!$B$1:$V$33,CJ190+3,FALSE)),)</f>
        <v>2</v>
      </c>
      <c r="DF190" s="370">
        <f>ROUND(IF(CK190=0,0,HLOOKUP(CK$14,Villagers!$B$1:$V$33,CK190+3,FALSE)),)</f>
        <v>0</v>
      </c>
      <c r="DG190" s="370">
        <f>ROUND(IF(CL190=0,0,HLOOKUP(CL$14,Villagers!$B$1:$V$33,CL190+3,FALSE)),)</f>
        <v>0</v>
      </c>
      <c r="DH190" s="34">
        <f>ROUND(IF(CM190=0,0,HLOOKUP(CM$14,Villagers!$B$1:$V$33,CM190+3,FALSE)),)</f>
        <v>0</v>
      </c>
      <c r="DI190" s="109">
        <f t="shared" si="246"/>
        <v>0</v>
      </c>
      <c r="DJ190" s="50">
        <f t="shared" si="247"/>
        <v>0</v>
      </c>
      <c r="DK190" s="50">
        <f t="shared" si="248"/>
        <v>0</v>
      </c>
      <c r="DL190" s="50">
        <f t="shared" si="249"/>
        <v>0</v>
      </c>
      <c r="DM190" s="50">
        <f t="shared" si="250"/>
        <v>0</v>
      </c>
      <c r="DN190" s="50">
        <f t="shared" si="251"/>
        <v>0</v>
      </c>
      <c r="DO190" s="50">
        <f t="shared" si="252"/>
        <v>0</v>
      </c>
      <c r="DP190" s="50">
        <f t="shared" si="253"/>
        <v>0</v>
      </c>
      <c r="DQ190" s="50">
        <f t="shared" si="231"/>
        <v>0</v>
      </c>
      <c r="DR190" s="50">
        <f t="shared" si="232"/>
        <v>0</v>
      </c>
      <c r="DS190" s="96">
        <f>Miscelaneous!$D$4*Miscelaneous!$D$2^($CI190-1)</f>
        <v>1000</v>
      </c>
      <c r="DT190" s="333">
        <f t="shared" si="213"/>
        <v>1</v>
      </c>
      <c r="DU190" s="81">
        <v>1</v>
      </c>
      <c r="DV190" s="79">
        <f t="shared" si="233"/>
        <v>0</v>
      </c>
      <c r="DW190" s="79">
        <f t="shared" si="234"/>
        <v>0</v>
      </c>
      <c r="DX190" s="79">
        <f t="shared" si="235"/>
        <v>0</v>
      </c>
      <c r="DY190" s="79">
        <v>1</v>
      </c>
      <c r="DZ190" s="79">
        <f t="shared" si="236"/>
        <v>0</v>
      </c>
      <c r="EA190" s="79">
        <f t="shared" si="237"/>
        <v>0</v>
      </c>
      <c r="EB190" s="79">
        <f t="shared" si="238"/>
        <v>0</v>
      </c>
      <c r="EC190" s="79">
        <f t="shared" si="239"/>
        <v>0</v>
      </c>
      <c r="ED190" s="79">
        <v>1</v>
      </c>
      <c r="EE190" s="79">
        <v>1</v>
      </c>
      <c r="EF190" s="79">
        <f t="shared" si="240"/>
        <v>0</v>
      </c>
      <c r="EG190" s="79">
        <v>1</v>
      </c>
      <c r="EH190" s="79">
        <v>1</v>
      </c>
      <c r="EI190" s="79">
        <v>1</v>
      </c>
      <c r="EJ190" s="79">
        <v>1</v>
      </c>
      <c r="EK190" s="79">
        <v>1</v>
      </c>
      <c r="EL190" s="79">
        <v>1</v>
      </c>
      <c r="EM190" s="143">
        <f t="shared" si="241"/>
        <v>0</v>
      </c>
      <c r="EN190" s="143">
        <f t="shared" si="242"/>
        <v>0</v>
      </c>
      <c r="EO190" s="82">
        <f t="shared" si="243"/>
        <v>0</v>
      </c>
    </row>
    <row r="191" spans="1:145" x14ac:dyDescent="0.25">
      <c r="A191">
        <v>177</v>
      </c>
      <c r="B191" s="172" t="e">
        <f t="shared" si="214"/>
        <v>#N/A</v>
      </c>
      <c r="C191" s="121" t="e">
        <f t="shared" si="193"/>
        <v>#N/A</v>
      </c>
      <c r="D191" s="122" t="e">
        <f t="shared" si="194"/>
        <v>#N/A</v>
      </c>
      <c r="E191" s="122" t="e">
        <f t="shared" si="195"/>
        <v>#N/A</v>
      </c>
      <c r="F191" s="176" t="e">
        <f t="shared" si="196"/>
        <v>#N/A</v>
      </c>
      <c r="G191" s="121">
        <f t="shared" si="215"/>
        <v>208</v>
      </c>
      <c r="H191" s="176" t="e">
        <f t="shared" si="216"/>
        <v>#N/A</v>
      </c>
      <c r="I191" s="48">
        <v>1</v>
      </c>
      <c r="J191" s="39"/>
      <c r="K191" s="350">
        <v>1</v>
      </c>
      <c r="L191" s="34" t="e">
        <f t="shared" si="197"/>
        <v>#N/A</v>
      </c>
      <c r="M191" s="38" t="e">
        <f>(HLOOKUP(J191,'Construction Times'!$B$3:$W$34,L191+2,FALSE)*HLOOKUP("hq modifier",'Construction Times'!$W$3:$W$34,BS191+2,FALSE))*(1-$H$9)</f>
        <v>#N/A</v>
      </c>
      <c r="N191" s="443" t="e">
        <f t="shared" si="217"/>
        <v>#N/A</v>
      </c>
      <c r="O191" s="444"/>
      <c r="P191" s="447" t="e">
        <f t="shared" si="218"/>
        <v>#N/A</v>
      </c>
      <c r="Q191" s="448"/>
      <c r="R191" s="103">
        <f t="shared" si="244"/>
        <v>0</v>
      </c>
      <c r="S191" s="104">
        <f t="shared" si="244"/>
        <v>0</v>
      </c>
      <c r="T191" s="104">
        <f t="shared" si="245"/>
        <v>0</v>
      </c>
      <c r="U191" s="104">
        <f t="shared" si="245"/>
        <v>0</v>
      </c>
      <c r="V191" s="104">
        <f t="shared" si="245"/>
        <v>9.9999999999999995E-8</v>
      </c>
      <c r="W191" s="104">
        <f t="shared" si="245"/>
        <v>0</v>
      </c>
      <c r="X191" s="104">
        <f t="shared" si="273"/>
        <v>0</v>
      </c>
      <c r="Y191" s="104">
        <f t="shared" si="273"/>
        <v>9.9999999999999995E-8</v>
      </c>
      <c r="Z191" s="104">
        <f t="shared" si="273"/>
        <v>9.9999999999999995E-8</v>
      </c>
      <c r="AA191" s="105">
        <f t="shared" si="273"/>
        <v>9.9999999999999995E-8</v>
      </c>
      <c r="AB191" s="101" t="e">
        <f>$DT191*HLOOKUP($J191,'Construction Costs (timber)'!$B$1:$V$32,'Construction Planner'!$L191+2,FALSE)</f>
        <v>#N/A</v>
      </c>
      <c r="AC191" s="14" t="e">
        <f>$DT191*HLOOKUP($J191,'Construction Costs (clay)'!$B$1:$V$32,'Construction Planner'!$L191+2,FALSE)</f>
        <v>#N/A</v>
      </c>
      <c r="AD191" s="14" t="e">
        <f>$DT191*HLOOKUP($J191,'Construction Costs (iron)'!$B$1:$V$32,'Construction Planner'!$L191+2,FALSE)</f>
        <v>#N/A</v>
      </c>
      <c r="AE191" s="34" t="e">
        <f t="shared" si="254"/>
        <v>#N/A</v>
      </c>
      <c r="AF191" s="33" t="e">
        <f t="shared" si="198"/>
        <v>#N/A</v>
      </c>
      <c r="AG191" s="14" t="e">
        <f t="shared" si="199"/>
        <v>#N/A</v>
      </c>
      <c r="AH191" s="14" t="e">
        <f t="shared" si="200"/>
        <v>#N/A</v>
      </c>
      <c r="AI191" s="34" t="e">
        <f t="shared" si="255"/>
        <v>#N/A</v>
      </c>
      <c r="AJ191" s="49" t="e">
        <f t="shared" si="219"/>
        <v>#N/A</v>
      </c>
      <c r="AK191" s="49" t="e">
        <f t="shared" si="220"/>
        <v>#N/A</v>
      </c>
      <c r="AL191" s="49" t="e">
        <f t="shared" si="221"/>
        <v>#N/A</v>
      </c>
      <c r="AM191" s="25">
        <f t="shared" si="201"/>
        <v>30</v>
      </c>
      <c r="AN191" s="25">
        <f t="shared" si="202"/>
        <v>30</v>
      </c>
      <c r="AO191" s="25">
        <f t="shared" si="203"/>
        <v>30</v>
      </c>
      <c r="AP191" s="52" t="e">
        <f t="shared" si="222"/>
        <v>#N/A</v>
      </c>
      <c r="AQ191" s="53" t="e">
        <f t="shared" si="222"/>
        <v>#N/A</v>
      </c>
      <c r="AR191" s="54" t="e">
        <f t="shared" si="222"/>
        <v>#N/A</v>
      </c>
      <c r="AS191" s="316">
        <f t="shared" si="276"/>
        <v>0</v>
      </c>
      <c r="AT191" s="106">
        <f>_xlfn.IFNA($M191/VLOOKUP($BT191,'Unit information'!$A$2:$K$29,2,FALSE)*R191,0)*(1+$E$9)</f>
        <v>0</v>
      </c>
      <c r="AU191" s="107">
        <f>_xlfn.IFNA($M191/VLOOKUP($BT191,'Unit information'!$A$2:$K$29,3,FALSE)*S191,0)*(1+$E$9)</f>
        <v>0</v>
      </c>
      <c r="AV191" s="107">
        <f>_xlfn.IFNA($M191/VLOOKUP($BT191,'Unit information'!$A$2:$K$29,4,FALSE)*T191,0)*(1+$E$9)</f>
        <v>0</v>
      </c>
      <c r="AW191" s="107">
        <f>_xlfn.IFNA($M191/VLOOKUP($BT191,'Unit information'!$A$2:$K$29,5,FALSE)*U191,0)*(1+$E$9)</f>
        <v>0</v>
      </c>
      <c r="AX191" s="107">
        <f>_xlfn.IFNA($M191/VLOOKUP($BU191,'Unit information'!$A$2:$K$29,6,FALSE)*V191,0)*(1+$E$9)</f>
        <v>0</v>
      </c>
      <c r="AY191" s="107">
        <f>_xlfn.IFNA($M191/VLOOKUP($BU191,'Unit information'!$A$2:$K$29,7,FALSE)*W191,0)*(1+$E$9)</f>
        <v>0</v>
      </c>
      <c r="AZ191" s="107">
        <f>_xlfn.IFNA($M191/VLOOKUP($BU191,'Unit information'!$A$2:$K$29,8,FALSE)*X191,0)*(1+$E$9)</f>
        <v>0</v>
      </c>
      <c r="BA191" s="107">
        <f>_xlfn.IFNA($M191/VLOOKUP($BU191,'Unit information'!$A$2:$K$29,9,FALSE)*Y191,0)*(1+$E$9)</f>
        <v>0</v>
      </c>
      <c r="BB191" s="107">
        <f>_xlfn.IFNA($M191/VLOOKUP($BV191,'Unit information'!$A$2:$K$29,10,FALSE)*Z191,0)*(1+$E$9)</f>
        <v>0</v>
      </c>
      <c r="BC191" s="108">
        <f>_xlfn.IFNA($M191/VLOOKUP($BV191,'Unit information'!$A$2:$K$29,11,FALSE)*AA191,0)*(1+$E$9)</f>
        <v>0</v>
      </c>
      <c r="BD191" s="106">
        <f t="shared" si="204"/>
        <v>0</v>
      </c>
      <c r="BE191" s="107">
        <f t="shared" si="205"/>
        <v>0</v>
      </c>
      <c r="BF191" s="108">
        <f t="shared" si="206"/>
        <v>0</v>
      </c>
      <c r="BG191" s="25" t="e">
        <f t="shared" si="207"/>
        <v>#N/A</v>
      </c>
      <c r="BH191" s="25" t="e">
        <f t="shared" si="208"/>
        <v>#N/A</v>
      </c>
      <c r="BI191" s="25" t="e">
        <f t="shared" si="209"/>
        <v>#N/A</v>
      </c>
      <c r="BJ191" s="27" t="e">
        <f t="shared" si="210"/>
        <v>#N/A</v>
      </c>
      <c r="BK191" s="18" t="e">
        <f t="shared" si="211"/>
        <v>#N/A</v>
      </c>
      <c r="BL191" s="18" t="e">
        <f t="shared" si="212"/>
        <v>#N/A</v>
      </c>
      <c r="BM191" s="28" t="e">
        <f t="shared" si="257"/>
        <v>#N/A</v>
      </c>
      <c r="BN191" s="33">
        <f>HLOOKUP("maximum population",Miscelaneous!$C$1:$C$33,CH191+3,FALSE)</f>
        <v>240</v>
      </c>
      <c r="BO191" s="14">
        <f t="shared" si="223"/>
        <v>32</v>
      </c>
      <c r="BP191" s="14">
        <f t="shared" si="224"/>
        <v>0</v>
      </c>
      <c r="BQ191" s="14">
        <f t="shared" si="225"/>
        <v>208</v>
      </c>
      <c r="BR191" s="34" t="e">
        <f>HLOOKUP(J191,Villagers!$B$1:$V$33,L191+3,FALSE)-HLOOKUP(J191,Villagers!$B$1:$V$33,L191+2,FALSE)</f>
        <v>#N/A</v>
      </c>
      <c r="BS191" s="49">
        <f t="shared" si="226"/>
        <v>1</v>
      </c>
      <c r="BT191" s="50">
        <f t="shared" si="227"/>
        <v>0</v>
      </c>
      <c r="BU191" s="50">
        <f t="shared" si="228"/>
        <v>0</v>
      </c>
      <c r="BV191" s="50">
        <f t="shared" si="229"/>
        <v>0</v>
      </c>
      <c r="BW191" s="50">
        <f t="shared" si="278"/>
        <v>0</v>
      </c>
      <c r="BX191" s="50">
        <f t="shared" si="277"/>
        <v>0</v>
      </c>
      <c r="BY191" s="50">
        <f t="shared" si="277"/>
        <v>0</v>
      </c>
      <c r="BZ191" s="50">
        <f t="shared" si="260"/>
        <v>0</v>
      </c>
      <c r="CA191" s="50">
        <f t="shared" si="261"/>
        <v>0</v>
      </c>
      <c r="CB191" s="50">
        <f t="shared" si="262"/>
        <v>1</v>
      </c>
      <c r="CC191" s="50">
        <f t="shared" si="263"/>
        <v>0</v>
      </c>
      <c r="CD191" s="50">
        <f t="shared" si="264"/>
        <v>0</v>
      </c>
      <c r="CE191" s="50">
        <f t="shared" si="265"/>
        <v>1</v>
      </c>
      <c r="CF191" s="50">
        <f t="shared" si="266"/>
        <v>1</v>
      </c>
      <c r="CG191" s="50">
        <f t="shared" si="267"/>
        <v>1</v>
      </c>
      <c r="CH191" s="50">
        <f t="shared" si="268"/>
        <v>1</v>
      </c>
      <c r="CI191" s="50">
        <f t="shared" si="269"/>
        <v>1</v>
      </c>
      <c r="CJ191" s="50">
        <f t="shared" si="270"/>
        <v>1</v>
      </c>
      <c r="CK191" s="50">
        <f t="shared" si="270"/>
        <v>0</v>
      </c>
      <c r="CL191" s="50">
        <f t="shared" si="270"/>
        <v>0</v>
      </c>
      <c r="CM191" s="51">
        <f t="shared" si="274"/>
        <v>0</v>
      </c>
      <c r="CN191" s="33">
        <f>ROUND(IF(BS191=0,0,HLOOKUP(BS$14,Villagers!$B$1:$V$33,BS191+3,FALSE)),)</f>
        <v>5</v>
      </c>
      <c r="CO191" s="14">
        <f>ROUND(IF(BT191=0,0,HLOOKUP(BT$14,Villagers!$B$1:$V$33,BT191+3,FALSE)),)</f>
        <v>0</v>
      </c>
      <c r="CP191" s="14">
        <f>ROUND(IF(BU191=0,0,HLOOKUP(BU$14,Villagers!$B$1:$V$33,BU191+3,FALSE)),)</f>
        <v>0</v>
      </c>
      <c r="CQ191" s="14">
        <f>ROUND(IF(BV191=0,0,HLOOKUP(BV$14,Villagers!$B$1:$V$33,BV191+3,FALSE)),)</f>
        <v>0</v>
      </c>
      <c r="CR191" s="14">
        <f>ROUND(IF(BW191=0,0,HLOOKUP(BW$14,Villagers!$B$1:$V$33,BW191+3,FALSE)),)</f>
        <v>0</v>
      </c>
      <c r="CS191" s="14">
        <f>ROUND(IF(BX191=0,0,HLOOKUP(BX$14,Villagers!$B$1:$V$33,BX191+3,FALSE)),)</f>
        <v>0</v>
      </c>
      <c r="CT191" s="14">
        <f>ROUND(IF(BY191=0,0,HLOOKUP(BY$14,Villagers!$B$1:$V$33,BY191+3,FALSE)),)</f>
        <v>0</v>
      </c>
      <c r="CU191" s="14">
        <f>ROUND(IF(BZ191=0,0,HLOOKUP(BZ$14,Villagers!$B$1:$V$33,BZ191+3,FALSE)),)</f>
        <v>0</v>
      </c>
      <c r="CV191" s="14">
        <f>ROUND(IF(CA191=0,0,HLOOKUP(CA$14,Villagers!$B$1:$V$33,CA191+3,FALSE)),)</f>
        <v>0</v>
      </c>
      <c r="CW191" s="14">
        <f>ROUND(IF(CB191=0,0,HLOOKUP(CB$14,Villagers!$B$1:$V$33,CB191+3,FALSE)),)</f>
        <v>0</v>
      </c>
      <c r="CX191" s="14">
        <f>ROUND(IF(CC191=0,0,HLOOKUP(CC$14,Villagers!$B$1:$V$33,CC191+3,FALSE)),)</f>
        <v>0</v>
      </c>
      <c r="CY191" s="14">
        <f>ROUND(IF(CD191=0,0,HLOOKUP(CD$14,Villagers!$B$1:$V$33,CD191+3,FALSE)),)</f>
        <v>0</v>
      </c>
      <c r="CZ191" s="14">
        <f>ROUND(IF(CE191=0,0,HLOOKUP(CE$14,Villagers!$B$1:$V$33,CE191+3,FALSE)),)</f>
        <v>5</v>
      </c>
      <c r="DA191" s="14">
        <f>ROUND(IF(CF191=0,0,HLOOKUP(CF$14,Villagers!$B$1:$V$33,CF191+3,FALSE)),)</f>
        <v>10</v>
      </c>
      <c r="DB191" s="14">
        <f>ROUND(IF(CG191=0,0,HLOOKUP(CG$14,Villagers!$B$1:$V$33,CG191+3,FALSE)),)</f>
        <v>10</v>
      </c>
      <c r="DC191" s="14">
        <f>ROUND(IF(CH191=0,0,HLOOKUP(CH$14,Villagers!$B$1:$V$33,CH191+3,FALSE)),)</f>
        <v>0</v>
      </c>
      <c r="DD191" s="14">
        <f>ROUND(IF(CI191=0,0,HLOOKUP(CI$14,Villagers!$B$1:$V$33,CI191+3,FALSE)),)</f>
        <v>0</v>
      </c>
      <c r="DE191" s="14">
        <f>ROUND(IF(CJ191=0,0,HLOOKUP(CJ$14,Villagers!$B$1:$V$33,CJ191+3,FALSE)),)</f>
        <v>2</v>
      </c>
      <c r="DF191" s="370">
        <f>ROUND(IF(CK191=0,0,HLOOKUP(CK$14,Villagers!$B$1:$V$33,CK191+3,FALSE)),)</f>
        <v>0</v>
      </c>
      <c r="DG191" s="370">
        <f>ROUND(IF(CL191=0,0,HLOOKUP(CL$14,Villagers!$B$1:$V$33,CL191+3,FALSE)),)</f>
        <v>0</v>
      </c>
      <c r="DH191" s="34">
        <f>ROUND(IF(CM191=0,0,HLOOKUP(CM$14,Villagers!$B$1:$V$33,CM191+3,FALSE)),)</f>
        <v>0</v>
      </c>
      <c r="DI191" s="109">
        <f t="shared" si="246"/>
        <v>0</v>
      </c>
      <c r="DJ191" s="50">
        <f t="shared" si="247"/>
        <v>0</v>
      </c>
      <c r="DK191" s="50">
        <f t="shared" si="248"/>
        <v>0</v>
      </c>
      <c r="DL191" s="50">
        <f t="shared" si="249"/>
        <v>0</v>
      </c>
      <c r="DM191" s="50">
        <f t="shared" si="250"/>
        <v>0</v>
      </c>
      <c r="DN191" s="50">
        <f t="shared" si="251"/>
        <v>0</v>
      </c>
      <c r="DO191" s="50">
        <f t="shared" si="252"/>
        <v>0</v>
      </c>
      <c r="DP191" s="50">
        <f t="shared" si="253"/>
        <v>0</v>
      </c>
      <c r="DQ191" s="50">
        <f t="shared" si="231"/>
        <v>0</v>
      </c>
      <c r="DR191" s="50">
        <f t="shared" si="232"/>
        <v>0</v>
      </c>
      <c r="DS191" s="96">
        <f>Miscelaneous!$D$4*Miscelaneous!$D$2^($CI191-1)</f>
        <v>1000</v>
      </c>
      <c r="DT191" s="333">
        <f t="shared" si="213"/>
        <v>1</v>
      </c>
      <c r="DU191" s="81">
        <v>1</v>
      </c>
      <c r="DV191" s="79">
        <f t="shared" si="233"/>
        <v>0</v>
      </c>
      <c r="DW191" s="79">
        <f t="shared" si="234"/>
        <v>0</v>
      </c>
      <c r="DX191" s="79">
        <f t="shared" si="235"/>
        <v>0</v>
      </c>
      <c r="DY191" s="79">
        <v>1</v>
      </c>
      <c r="DZ191" s="79">
        <f t="shared" si="236"/>
        <v>0</v>
      </c>
      <c r="EA191" s="79">
        <f t="shared" si="237"/>
        <v>0</v>
      </c>
      <c r="EB191" s="79">
        <f t="shared" si="238"/>
        <v>0</v>
      </c>
      <c r="EC191" s="79">
        <f t="shared" si="239"/>
        <v>0</v>
      </c>
      <c r="ED191" s="79">
        <v>1</v>
      </c>
      <c r="EE191" s="79">
        <v>1</v>
      </c>
      <c r="EF191" s="79">
        <f t="shared" si="240"/>
        <v>0</v>
      </c>
      <c r="EG191" s="79">
        <v>1</v>
      </c>
      <c r="EH191" s="79">
        <v>1</v>
      </c>
      <c r="EI191" s="79">
        <v>1</v>
      </c>
      <c r="EJ191" s="79">
        <v>1</v>
      </c>
      <c r="EK191" s="79">
        <v>1</v>
      </c>
      <c r="EL191" s="79">
        <v>1</v>
      </c>
      <c r="EM191" s="143">
        <f t="shared" si="241"/>
        <v>0</v>
      </c>
      <c r="EN191" s="143">
        <f t="shared" si="242"/>
        <v>0</v>
      </c>
      <c r="EO191" s="82">
        <f t="shared" si="243"/>
        <v>0</v>
      </c>
    </row>
    <row r="192" spans="1:145" x14ac:dyDescent="0.25">
      <c r="A192">
        <v>178</v>
      </c>
      <c r="B192" s="172" t="e">
        <f t="shared" si="214"/>
        <v>#N/A</v>
      </c>
      <c r="C192" s="121" t="e">
        <f t="shared" si="193"/>
        <v>#N/A</v>
      </c>
      <c r="D192" s="122" t="e">
        <f t="shared" si="194"/>
        <v>#N/A</v>
      </c>
      <c r="E192" s="122" t="e">
        <f t="shared" si="195"/>
        <v>#N/A</v>
      </c>
      <c r="F192" s="176" t="e">
        <f t="shared" si="196"/>
        <v>#N/A</v>
      </c>
      <c r="G192" s="121">
        <f t="shared" si="215"/>
        <v>208</v>
      </c>
      <c r="H192" s="176" t="e">
        <f t="shared" si="216"/>
        <v>#N/A</v>
      </c>
      <c r="I192" s="48">
        <v>1</v>
      </c>
      <c r="J192" s="39"/>
      <c r="K192" s="350">
        <v>1</v>
      </c>
      <c r="L192" s="34" t="e">
        <f t="shared" si="197"/>
        <v>#N/A</v>
      </c>
      <c r="M192" s="38" t="e">
        <f>(HLOOKUP(J192,'Construction Times'!$B$3:$W$34,L192+2,FALSE)*HLOOKUP("hq modifier",'Construction Times'!$W$3:$W$34,BS192+2,FALSE))*(1-$H$9)</f>
        <v>#N/A</v>
      </c>
      <c r="N192" s="443" t="e">
        <f t="shared" si="217"/>
        <v>#N/A</v>
      </c>
      <c r="O192" s="444"/>
      <c r="P192" s="447" t="e">
        <f t="shared" si="218"/>
        <v>#N/A</v>
      </c>
      <c r="Q192" s="448"/>
      <c r="R192" s="103">
        <f t="shared" si="244"/>
        <v>0</v>
      </c>
      <c r="S192" s="104">
        <f t="shared" si="244"/>
        <v>0</v>
      </c>
      <c r="T192" s="104">
        <f t="shared" si="245"/>
        <v>0</v>
      </c>
      <c r="U192" s="104">
        <f t="shared" si="245"/>
        <v>0</v>
      </c>
      <c r="V192" s="104">
        <f t="shared" si="245"/>
        <v>9.9999999999999995E-8</v>
      </c>
      <c r="W192" s="104">
        <f t="shared" si="245"/>
        <v>0</v>
      </c>
      <c r="X192" s="104">
        <f t="shared" si="273"/>
        <v>0</v>
      </c>
      <c r="Y192" s="104">
        <f t="shared" si="273"/>
        <v>9.9999999999999995E-8</v>
      </c>
      <c r="Z192" s="104">
        <f t="shared" si="273"/>
        <v>9.9999999999999995E-8</v>
      </c>
      <c r="AA192" s="105">
        <f t="shared" si="273"/>
        <v>9.9999999999999995E-8</v>
      </c>
      <c r="AB192" s="101" t="e">
        <f>$DT192*HLOOKUP($J192,'Construction Costs (timber)'!$B$1:$V$32,'Construction Planner'!$L192+2,FALSE)</f>
        <v>#N/A</v>
      </c>
      <c r="AC192" s="14" t="e">
        <f>$DT192*HLOOKUP($J192,'Construction Costs (clay)'!$B$1:$V$32,'Construction Planner'!$L192+2,FALSE)</f>
        <v>#N/A</v>
      </c>
      <c r="AD192" s="14" t="e">
        <f>$DT192*HLOOKUP($J192,'Construction Costs (iron)'!$B$1:$V$32,'Construction Planner'!$L192+2,FALSE)</f>
        <v>#N/A</v>
      </c>
      <c r="AE192" s="34" t="e">
        <f t="shared" si="254"/>
        <v>#N/A</v>
      </c>
      <c r="AF192" s="33" t="e">
        <f t="shared" si="198"/>
        <v>#N/A</v>
      </c>
      <c r="AG192" s="14" t="e">
        <f t="shared" si="199"/>
        <v>#N/A</v>
      </c>
      <c r="AH192" s="14" t="e">
        <f t="shared" si="200"/>
        <v>#N/A</v>
      </c>
      <c r="AI192" s="34" t="e">
        <f t="shared" si="255"/>
        <v>#N/A</v>
      </c>
      <c r="AJ192" s="49" t="e">
        <f t="shared" si="219"/>
        <v>#N/A</v>
      </c>
      <c r="AK192" s="49" t="e">
        <f t="shared" si="220"/>
        <v>#N/A</v>
      </c>
      <c r="AL192" s="49" t="e">
        <f t="shared" si="221"/>
        <v>#N/A</v>
      </c>
      <c r="AM192" s="25">
        <f t="shared" si="201"/>
        <v>30</v>
      </c>
      <c r="AN192" s="25">
        <f t="shared" si="202"/>
        <v>30</v>
      </c>
      <c r="AO192" s="25">
        <f t="shared" si="203"/>
        <v>30</v>
      </c>
      <c r="AP192" s="52" t="e">
        <f t="shared" si="222"/>
        <v>#N/A</v>
      </c>
      <c r="AQ192" s="53" t="e">
        <f t="shared" si="222"/>
        <v>#N/A</v>
      </c>
      <c r="AR192" s="54" t="e">
        <f t="shared" si="222"/>
        <v>#N/A</v>
      </c>
      <c r="AS192" s="316">
        <f t="shared" si="276"/>
        <v>0</v>
      </c>
      <c r="AT192" s="106">
        <f>_xlfn.IFNA($M192/VLOOKUP($BT192,'Unit information'!$A$2:$K$29,2,FALSE)*R192,0)*(1+$E$9)</f>
        <v>0</v>
      </c>
      <c r="AU192" s="107">
        <f>_xlfn.IFNA($M192/VLOOKUP($BT192,'Unit information'!$A$2:$K$29,3,FALSE)*S192,0)*(1+$E$9)</f>
        <v>0</v>
      </c>
      <c r="AV192" s="107">
        <f>_xlfn.IFNA($M192/VLOOKUP($BT192,'Unit information'!$A$2:$K$29,4,FALSE)*T192,0)*(1+$E$9)</f>
        <v>0</v>
      </c>
      <c r="AW192" s="107">
        <f>_xlfn.IFNA($M192/VLOOKUP($BT192,'Unit information'!$A$2:$K$29,5,FALSE)*U192,0)*(1+$E$9)</f>
        <v>0</v>
      </c>
      <c r="AX192" s="107">
        <f>_xlfn.IFNA($M192/VLOOKUP($BU192,'Unit information'!$A$2:$K$29,6,FALSE)*V192,0)*(1+$E$9)</f>
        <v>0</v>
      </c>
      <c r="AY192" s="107">
        <f>_xlfn.IFNA($M192/VLOOKUP($BU192,'Unit information'!$A$2:$K$29,7,FALSE)*W192,0)*(1+$E$9)</f>
        <v>0</v>
      </c>
      <c r="AZ192" s="107">
        <f>_xlfn.IFNA($M192/VLOOKUP($BU192,'Unit information'!$A$2:$K$29,8,FALSE)*X192,0)*(1+$E$9)</f>
        <v>0</v>
      </c>
      <c r="BA192" s="107">
        <f>_xlfn.IFNA($M192/VLOOKUP($BU192,'Unit information'!$A$2:$K$29,9,FALSE)*Y192,0)*(1+$E$9)</f>
        <v>0</v>
      </c>
      <c r="BB192" s="107">
        <f>_xlfn.IFNA($M192/VLOOKUP($BV192,'Unit information'!$A$2:$K$29,10,FALSE)*Z192,0)*(1+$E$9)</f>
        <v>0</v>
      </c>
      <c r="BC192" s="108">
        <f>_xlfn.IFNA($M192/VLOOKUP($BV192,'Unit information'!$A$2:$K$29,11,FALSE)*AA192,0)*(1+$E$9)</f>
        <v>0</v>
      </c>
      <c r="BD192" s="106">
        <f t="shared" si="204"/>
        <v>0</v>
      </c>
      <c r="BE192" s="107">
        <f t="shared" si="205"/>
        <v>0</v>
      </c>
      <c r="BF192" s="108">
        <f t="shared" si="206"/>
        <v>0</v>
      </c>
      <c r="BG192" s="25" t="e">
        <f t="shared" si="207"/>
        <v>#N/A</v>
      </c>
      <c r="BH192" s="25" t="e">
        <f t="shared" si="208"/>
        <v>#N/A</v>
      </c>
      <c r="BI192" s="25" t="e">
        <f t="shared" si="209"/>
        <v>#N/A</v>
      </c>
      <c r="BJ192" s="27" t="e">
        <f t="shared" si="210"/>
        <v>#N/A</v>
      </c>
      <c r="BK192" s="18" t="e">
        <f t="shared" si="211"/>
        <v>#N/A</v>
      </c>
      <c r="BL192" s="18" t="e">
        <f t="shared" si="212"/>
        <v>#N/A</v>
      </c>
      <c r="BM192" s="28" t="e">
        <f t="shared" si="257"/>
        <v>#N/A</v>
      </c>
      <c r="BN192" s="33">
        <f>HLOOKUP("maximum population",Miscelaneous!$C$1:$C$33,CH192+3,FALSE)</f>
        <v>240</v>
      </c>
      <c r="BO192" s="14">
        <f t="shared" si="223"/>
        <v>32</v>
      </c>
      <c r="BP192" s="14">
        <f t="shared" si="224"/>
        <v>0</v>
      </c>
      <c r="BQ192" s="14">
        <f t="shared" si="225"/>
        <v>208</v>
      </c>
      <c r="BR192" s="34" t="e">
        <f>HLOOKUP(J192,Villagers!$B$1:$V$33,L192+3,FALSE)-HLOOKUP(J192,Villagers!$B$1:$V$33,L192+2,FALSE)</f>
        <v>#N/A</v>
      </c>
      <c r="BS192" s="49">
        <f t="shared" si="226"/>
        <v>1</v>
      </c>
      <c r="BT192" s="50">
        <f t="shared" si="227"/>
        <v>0</v>
      </c>
      <c r="BU192" s="50">
        <f t="shared" si="228"/>
        <v>0</v>
      </c>
      <c r="BV192" s="50">
        <f t="shared" si="229"/>
        <v>0</v>
      </c>
      <c r="BW192" s="50">
        <f t="shared" ref="BW192:BY198" si="279">IF($J191=BW$14,$L191,BW191)</f>
        <v>0</v>
      </c>
      <c r="BX192" s="50">
        <f t="shared" si="279"/>
        <v>0</v>
      </c>
      <c r="BY192" s="50">
        <f t="shared" si="279"/>
        <v>0</v>
      </c>
      <c r="BZ192" s="50">
        <f t="shared" si="260"/>
        <v>0</v>
      </c>
      <c r="CA192" s="50">
        <f t="shared" si="261"/>
        <v>0</v>
      </c>
      <c r="CB192" s="50">
        <f t="shared" si="262"/>
        <v>1</v>
      </c>
      <c r="CC192" s="50">
        <f t="shared" si="263"/>
        <v>0</v>
      </c>
      <c r="CD192" s="50">
        <f t="shared" si="264"/>
        <v>0</v>
      </c>
      <c r="CE192" s="50">
        <f t="shared" si="265"/>
        <v>1</v>
      </c>
      <c r="CF192" s="50">
        <f t="shared" si="266"/>
        <v>1</v>
      </c>
      <c r="CG192" s="50">
        <f t="shared" si="267"/>
        <v>1</v>
      </c>
      <c r="CH192" s="50">
        <f t="shared" si="268"/>
        <v>1</v>
      </c>
      <c r="CI192" s="50">
        <f t="shared" si="269"/>
        <v>1</v>
      </c>
      <c r="CJ192" s="50">
        <f t="shared" si="270"/>
        <v>1</v>
      </c>
      <c r="CK192" s="50">
        <f t="shared" si="270"/>
        <v>0</v>
      </c>
      <c r="CL192" s="50">
        <f t="shared" si="270"/>
        <v>0</v>
      </c>
      <c r="CM192" s="51">
        <f t="shared" si="274"/>
        <v>0</v>
      </c>
      <c r="CN192" s="33">
        <f>ROUND(IF(BS192=0,0,HLOOKUP(BS$14,Villagers!$B$1:$V$33,BS192+3,FALSE)),)</f>
        <v>5</v>
      </c>
      <c r="CO192" s="14">
        <f>ROUND(IF(BT192=0,0,HLOOKUP(BT$14,Villagers!$B$1:$V$33,BT192+3,FALSE)),)</f>
        <v>0</v>
      </c>
      <c r="CP192" s="14">
        <f>ROUND(IF(BU192=0,0,HLOOKUP(BU$14,Villagers!$B$1:$V$33,BU192+3,FALSE)),)</f>
        <v>0</v>
      </c>
      <c r="CQ192" s="14">
        <f>ROUND(IF(BV192=0,0,HLOOKUP(BV$14,Villagers!$B$1:$V$33,BV192+3,FALSE)),)</f>
        <v>0</v>
      </c>
      <c r="CR192" s="14">
        <f>ROUND(IF(BW192=0,0,HLOOKUP(BW$14,Villagers!$B$1:$V$33,BW192+3,FALSE)),)</f>
        <v>0</v>
      </c>
      <c r="CS192" s="14">
        <f>ROUND(IF(BX192=0,0,HLOOKUP(BX$14,Villagers!$B$1:$V$33,BX192+3,FALSE)),)</f>
        <v>0</v>
      </c>
      <c r="CT192" s="14">
        <f>ROUND(IF(BY192=0,0,HLOOKUP(BY$14,Villagers!$B$1:$V$33,BY192+3,FALSE)),)</f>
        <v>0</v>
      </c>
      <c r="CU192" s="14">
        <f>ROUND(IF(BZ192=0,0,HLOOKUP(BZ$14,Villagers!$B$1:$V$33,BZ192+3,FALSE)),)</f>
        <v>0</v>
      </c>
      <c r="CV192" s="14">
        <f>ROUND(IF(CA192=0,0,HLOOKUP(CA$14,Villagers!$B$1:$V$33,CA192+3,FALSE)),)</f>
        <v>0</v>
      </c>
      <c r="CW192" s="14">
        <f>ROUND(IF(CB192=0,0,HLOOKUP(CB$14,Villagers!$B$1:$V$33,CB192+3,FALSE)),)</f>
        <v>0</v>
      </c>
      <c r="CX192" s="14">
        <f>ROUND(IF(CC192=0,0,HLOOKUP(CC$14,Villagers!$B$1:$V$33,CC192+3,FALSE)),)</f>
        <v>0</v>
      </c>
      <c r="CY192" s="14">
        <f>ROUND(IF(CD192=0,0,HLOOKUP(CD$14,Villagers!$B$1:$V$33,CD192+3,FALSE)),)</f>
        <v>0</v>
      </c>
      <c r="CZ192" s="14">
        <f>ROUND(IF(CE192=0,0,HLOOKUP(CE$14,Villagers!$B$1:$V$33,CE192+3,FALSE)),)</f>
        <v>5</v>
      </c>
      <c r="DA192" s="14">
        <f>ROUND(IF(CF192=0,0,HLOOKUP(CF$14,Villagers!$B$1:$V$33,CF192+3,FALSE)),)</f>
        <v>10</v>
      </c>
      <c r="DB192" s="14">
        <f>ROUND(IF(CG192=0,0,HLOOKUP(CG$14,Villagers!$B$1:$V$33,CG192+3,FALSE)),)</f>
        <v>10</v>
      </c>
      <c r="DC192" s="14">
        <f>ROUND(IF(CH192=0,0,HLOOKUP(CH$14,Villagers!$B$1:$V$33,CH192+3,FALSE)),)</f>
        <v>0</v>
      </c>
      <c r="DD192" s="14">
        <f>ROUND(IF(CI192=0,0,HLOOKUP(CI$14,Villagers!$B$1:$V$33,CI192+3,FALSE)),)</f>
        <v>0</v>
      </c>
      <c r="DE192" s="14">
        <f>ROUND(IF(CJ192=0,0,HLOOKUP(CJ$14,Villagers!$B$1:$V$33,CJ192+3,FALSE)),)</f>
        <v>2</v>
      </c>
      <c r="DF192" s="370">
        <f>ROUND(IF(CK192=0,0,HLOOKUP(CK$14,Villagers!$B$1:$V$33,CK192+3,FALSE)),)</f>
        <v>0</v>
      </c>
      <c r="DG192" s="370">
        <f>ROUND(IF(CL192=0,0,HLOOKUP(CL$14,Villagers!$B$1:$V$33,CL192+3,FALSE)),)</f>
        <v>0</v>
      </c>
      <c r="DH192" s="34">
        <f>ROUND(IF(CM192=0,0,HLOOKUP(CM$14,Villagers!$B$1:$V$33,CM192+3,FALSE)),)</f>
        <v>0</v>
      </c>
      <c r="DI192" s="109">
        <f t="shared" si="246"/>
        <v>0</v>
      </c>
      <c r="DJ192" s="50">
        <f t="shared" si="247"/>
        <v>0</v>
      </c>
      <c r="DK192" s="50">
        <f t="shared" si="248"/>
        <v>0</v>
      </c>
      <c r="DL192" s="50">
        <f t="shared" si="249"/>
        <v>0</v>
      </c>
      <c r="DM192" s="50">
        <f t="shared" si="250"/>
        <v>0</v>
      </c>
      <c r="DN192" s="50">
        <f t="shared" si="251"/>
        <v>0</v>
      </c>
      <c r="DO192" s="50">
        <f t="shared" si="252"/>
        <v>0</v>
      </c>
      <c r="DP192" s="50">
        <f t="shared" si="253"/>
        <v>0</v>
      </c>
      <c r="DQ192" s="50">
        <f t="shared" si="231"/>
        <v>0</v>
      </c>
      <c r="DR192" s="50">
        <f t="shared" si="232"/>
        <v>0</v>
      </c>
      <c r="DS192" s="96">
        <f>Miscelaneous!$D$4*Miscelaneous!$D$2^($CI192-1)</f>
        <v>1000</v>
      </c>
      <c r="DT192" s="333">
        <f t="shared" si="213"/>
        <v>1</v>
      </c>
      <c r="DU192" s="81">
        <v>1</v>
      </c>
      <c r="DV192" s="79">
        <f t="shared" si="233"/>
        <v>0</v>
      </c>
      <c r="DW192" s="79">
        <f t="shared" si="234"/>
        <v>0</v>
      </c>
      <c r="DX192" s="79">
        <f t="shared" si="235"/>
        <v>0</v>
      </c>
      <c r="DY192" s="79">
        <v>1</v>
      </c>
      <c r="DZ192" s="79">
        <f t="shared" si="236"/>
        <v>0</v>
      </c>
      <c r="EA192" s="79">
        <f t="shared" si="237"/>
        <v>0</v>
      </c>
      <c r="EB192" s="79">
        <f t="shared" si="238"/>
        <v>0</v>
      </c>
      <c r="EC192" s="79">
        <f t="shared" si="239"/>
        <v>0</v>
      </c>
      <c r="ED192" s="79">
        <v>1</v>
      </c>
      <c r="EE192" s="79">
        <v>1</v>
      </c>
      <c r="EF192" s="79">
        <f t="shared" si="240"/>
        <v>0</v>
      </c>
      <c r="EG192" s="79">
        <v>1</v>
      </c>
      <c r="EH192" s="79">
        <v>1</v>
      </c>
      <c r="EI192" s="79">
        <v>1</v>
      </c>
      <c r="EJ192" s="79">
        <v>1</v>
      </c>
      <c r="EK192" s="79">
        <v>1</v>
      </c>
      <c r="EL192" s="79">
        <v>1</v>
      </c>
      <c r="EM192" s="143">
        <f t="shared" si="241"/>
        <v>0</v>
      </c>
      <c r="EN192" s="143">
        <f t="shared" si="242"/>
        <v>0</v>
      </c>
      <c r="EO192" s="82">
        <f t="shared" si="243"/>
        <v>0</v>
      </c>
    </row>
    <row r="193" spans="1:145" x14ac:dyDescent="0.25">
      <c r="A193">
        <v>179</v>
      </c>
      <c r="B193" s="172" t="e">
        <f t="shared" si="214"/>
        <v>#N/A</v>
      </c>
      <c r="C193" s="121" t="e">
        <f t="shared" si="193"/>
        <v>#N/A</v>
      </c>
      <c r="D193" s="122" t="e">
        <f t="shared" si="194"/>
        <v>#N/A</v>
      </c>
      <c r="E193" s="122" t="e">
        <f t="shared" si="195"/>
        <v>#N/A</v>
      </c>
      <c r="F193" s="176" t="e">
        <f t="shared" si="196"/>
        <v>#N/A</v>
      </c>
      <c r="G193" s="121">
        <f t="shared" si="215"/>
        <v>208</v>
      </c>
      <c r="H193" s="176" t="e">
        <f t="shared" si="216"/>
        <v>#N/A</v>
      </c>
      <c r="I193" s="48">
        <v>1</v>
      </c>
      <c r="J193" s="39"/>
      <c r="K193" s="350">
        <v>1</v>
      </c>
      <c r="L193" s="34" t="e">
        <f t="shared" si="197"/>
        <v>#N/A</v>
      </c>
      <c r="M193" s="38" t="e">
        <f>(HLOOKUP(J193,'Construction Times'!$B$3:$W$34,L193+2,FALSE)*HLOOKUP("hq modifier",'Construction Times'!$W$3:$W$34,BS193+2,FALSE))*(1-$H$9)</f>
        <v>#N/A</v>
      </c>
      <c r="N193" s="443" t="e">
        <f t="shared" si="217"/>
        <v>#N/A</v>
      </c>
      <c r="O193" s="444"/>
      <c r="P193" s="447" t="e">
        <f t="shared" si="218"/>
        <v>#N/A</v>
      </c>
      <c r="Q193" s="448"/>
      <c r="R193" s="103">
        <f t="shared" si="244"/>
        <v>0</v>
      </c>
      <c r="S193" s="104">
        <f t="shared" si="244"/>
        <v>0</v>
      </c>
      <c r="T193" s="104">
        <f t="shared" si="245"/>
        <v>0</v>
      </c>
      <c r="U193" s="104">
        <f t="shared" si="245"/>
        <v>0</v>
      </c>
      <c r="V193" s="104">
        <f t="shared" si="245"/>
        <v>9.9999999999999995E-8</v>
      </c>
      <c r="W193" s="104">
        <f t="shared" si="245"/>
        <v>0</v>
      </c>
      <c r="X193" s="104">
        <f t="shared" si="273"/>
        <v>0</v>
      </c>
      <c r="Y193" s="104">
        <f t="shared" si="273"/>
        <v>9.9999999999999995E-8</v>
      </c>
      <c r="Z193" s="104">
        <f t="shared" si="273"/>
        <v>9.9999999999999995E-8</v>
      </c>
      <c r="AA193" s="105">
        <f t="shared" si="273"/>
        <v>9.9999999999999995E-8</v>
      </c>
      <c r="AB193" s="101" t="e">
        <f>$DT193*HLOOKUP($J193,'Construction Costs (timber)'!$B$1:$V$32,'Construction Planner'!$L193+2,FALSE)</f>
        <v>#N/A</v>
      </c>
      <c r="AC193" s="14" t="e">
        <f>$DT193*HLOOKUP($J193,'Construction Costs (clay)'!$B$1:$V$32,'Construction Planner'!$L193+2,FALSE)</f>
        <v>#N/A</v>
      </c>
      <c r="AD193" s="14" t="e">
        <f>$DT193*HLOOKUP($J193,'Construction Costs (iron)'!$B$1:$V$32,'Construction Planner'!$L193+2,FALSE)</f>
        <v>#N/A</v>
      </c>
      <c r="AE193" s="34" t="e">
        <f t="shared" si="254"/>
        <v>#N/A</v>
      </c>
      <c r="AF193" s="33" t="e">
        <f t="shared" si="198"/>
        <v>#N/A</v>
      </c>
      <c r="AG193" s="14" t="e">
        <f t="shared" si="199"/>
        <v>#N/A</v>
      </c>
      <c r="AH193" s="14" t="e">
        <f t="shared" si="200"/>
        <v>#N/A</v>
      </c>
      <c r="AI193" s="34" t="e">
        <f t="shared" si="255"/>
        <v>#N/A</v>
      </c>
      <c r="AJ193" s="49" t="e">
        <f t="shared" si="219"/>
        <v>#N/A</v>
      </c>
      <c r="AK193" s="49" t="e">
        <f t="shared" si="220"/>
        <v>#N/A</v>
      </c>
      <c r="AL193" s="49" t="e">
        <f t="shared" si="221"/>
        <v>#N/A</v>
      </c>
      <c r="AM193" s="25">
        <f t="shared" si="201"/>
        <v>30</v>
      </c>
      <c r="AN193" s="25">
        <f t="shared" si="202"/>
        <v>30</v>
      </c>
      <c r="AO193" s="25">
        <f t="shared" si="203"/>
        <v>30</v>
      </c>
      <c r="AP193" s="52" t="e">
        <f t="shared" si="222"/>
        <v>#N/A</v>
      </c>
      <c r="AQ193" s="53" t="e">
        <f t="shared" si="222"/>
        <v>#N/A</v>
      </c>
      <c r="AR193" s="54" t="e">
        <f t="shared" si="222"/>
        <v>#N/A</v>
      </c>
      <c r="AS193" s="316">
        <f t="shared" si="276"/>
        <v>0</v>
      </c>
      <c r="AT193" s="106">
        <f>_xlfn.IFNA($M193/VLOOKUP($BT193,'Unit information'!$A$2:$K$29,2,FALSE)*R193,0)*(1+$E$9)</f>
        <v>0</v>
      </c>
      <c r="AU193" s="107">
        <f>_xlfn.IFNA($M193/VLOOKUP($BT193,'Unit information'!$A$2:$K$29,3,FALSE)*S193,0)*(1+$E$9)</f>
        <v>0</v>
      </c>
      <c r="AV193" s="107">
        <f>_xlfn.IFNA($M193/VLOOKUP($BT193,'Unit information'!$A$2:$K$29,4,FALSE)*T193,0)*(1+$E$9)</f>
        <v>0</v>
      </c>
      <c r="AW193" s="107">
        <f>_xlfn.IFNA($M193/VLOOKUP($BT193,'Unit information'!$A$2:$K$29,5,FALSE)*U193,0)*(1+$E$9)</f>
        <v>0</v>
      </c>
      <c r="AX193" s="107">
        <f>_xlfn.IFNA($M193/VLOOKUP($BU193,'Unit information'!$A$2:$K$29,6,FALSE)*V193,0)*(1+$E$9)</f>
        <v>0</v>
      </c>
      <c r="AY193" s="107">
        <f>_xlfn.IFNA($M193/VLOOKUP($BU193,'Unit information'!$A$2:$K$29,7,FALSE)*W193,0)*(1+$E$9)</f>
        <v>0</v>
      </c>
      <c r="AZ193" s="107">
        <f>_xlfn.IFNA($M193/VLOOKUP($BU193,'Unit information'!$A$2:$K$29,8,FALSE)*X193,0)*(1+$E$9)</f>
        <v>0</v>
      </c>
      <c r="BA193" s="107">
        <f>_xlfn.IFNA($M193/VLOOKUP($BU193,'Unit information'!$A$2:$K$29,9,FALSE)*Y193,0)*(1+$E$9)</f>
        <v>0</v>
      </c>
      <c r="BB193" s="107">
        <f>_xlfn.IFNA($M193/VLOOKUP($BV193,'Unit information'!$A$2:$K$29,10,FALSE)*Z193,0)*(1+$E$9)</f>
        <v>0</v>
      </c>
      <c r="BC193" s="108">
        <f>_xlfn.IFNA($M193/VLOOKUP($BV193,'Unit information'!$A$2:$K$29,11,FALSE)*AA193,0)*(1+$E$9)</f>
        <v>0</v>
      </c>
      <c r="BD193" s="106">
        <f t="shared" si="204"/>
        <v>0</v>
      </c>
      <c r="BE193" s="107">
        <f t="shared" si="205"/>
        <v>0</v>
      </c>
      <c r="BF193" s="108">
        <f t="shared" si="206"/>
        <v>0</v>
      </c>
      <c r="BG193" s="25" t="e">
        <f t="shared" si="207"/>
        <v>#N/A</v>
      </c>
      <c r="BH193" s="25" t="e">
        <f t="shared" si="208"/>
        <v>#N/A</v>
      </c>
      <c r="BI193" s="25" t="e">
        <f t="shared" si="209"/>
        <v>#N/A</v>
      </c>
      <c r="BJ193" s="27" t="e">
        <f t="shared" si="210"/>
        <v>#N/A</v>
      </c>
      <c r="BK193" s="18" t="e">
        <f t="shared" si="211"/>
        <v>#N/A</v>
      </c>
      <c r="BL193" s="18" t="e">
        <f t="shared" si="212"/>
        <v>#N/A</v>
      </c>
      <c r="BM193" s="28" t="e">
        <f t="shared" si="257"/>
        <v>#N/A</v>
      </c>
      <c r="BN193" s="33">
        <f>HLOOKUP("maximum population",Miscelaneous!$C$1:$C$33,CH193+3,FALSE)</f>
        <v>240</v>
      </c>
      <c r="BO193" s="14">
        <f t="shared" si="223"/>
        <v>32</v>
      </c>
      <c r="BP193" s="14">
        <f t="shared" si="224"/>
        <v>0</v>
      </c>
      <c r="BQ193" s="14">
        <f t="shared" si="225"/>
        <v>208</v>
      </c>
      <c r="BR193" s="34" t="e">
        <f>HLOOKUP(J193,Villagers!$B$1:$V$33,L193+3,FALSE)-HLOOKUP(J193,Villagers!$B$1:$V$33,L193+2,FALSE)</f>
        <v>#N/A</v>
      </c>
      <c r="BS193" s="49">
        <f t="shared" si="226"/>
        <v>1</v>
      </c>
      <c r="BT193" s="50">
        <f t="shared" si="227"/>
        <v>0</v>
      </c>
      <c r="BU193" s="50">
        <f t="shared" si="228"/>
        <v>0</v>
      </c>
      <c r="BV193" s="50">
        <f t="shared" si="229"/>
        <v>0</v>
      </c>
      <c r="BW193" s="50">
        <f t="shared" si="279"/>
        <v>0</v>
      </c>
      <c r="BX193" s="50">
        <f t="shared" si="279"/>
        <v>0</v>
      </c>
      <c r="BY193" s="50">
        <f t="shared" si="279"/>
        <v>0</v>
      </c>
      <c r="BZ193" s="50">
        <f t="shared" si="260"/>
        <v>0</v>
      </c>
      <c r="CA193" s="50">
        <f t="shared" si="261"/>
        <v>0</v>
      </c>
      <c r="CB193" s="50">
        <f t="shared" si="262"/>
        <v>1</v>
      </c>
      <c r="CC193" s="50">
        <f t="shared" si="263"/>
        <v>0</v>
      </c>
      <c r="CD193" s="50">
        <f t="shared" si="264"/>
        <v>0</v>
      </c>
      <c r="CE193" s="50">
        <f t="shared" si="265"/>
        <v>1</v>
      </c>
      <c r="CF193" s="50">
        <f t="shared" si="266"/>
        <v>1</v>
      </c>
      <c r="CG193" s="50">
        <f t="shared" si="267"/>
        <v>1</v>
      </c>
      <c r="CH193" s="50">
        <f t="shared" si="268"/>
        <v>1</v>
      </c>
      <c r="CI193" s="50">
        <f t="shared" si="269"/>
        <v>1</v>
      </c>
      <c r="CJ193" s="50">
        <f t="shared" si="270"/>
        <v>1</v>
      </c>
      <c r="CK193" s="50">
        <f t="shared" si="270"/>
        <v>0</v>
      </c>
      <c r="CL193" s="50">
        <f t="shared" si="270"/>
        <v>0</v>
      </c>
      <c r="CM193" s="51">
        <f t="shared" si="274"/>
        <v>0</v>
      </c>
      <c r="CN193" s="33">
        <f>ROUND(IF(BS193=0,0,HLOOKUP(BS$14,Villagers!$B$1:$V$33,BS193+3,FALSE)),)</f>
        <v>5</v>
      </c>
      <c r="CO193" s="14">
        <f>ROUND(IF(BT193=0,0,HLOOKUP(BT$14,Villagers!$B$1:$V$33,BT193+3,FALSE)),)</f>
        <v>0</v>
      </c>
      <c r="CP193" s="14">
        <f>ROUND(IF(BU193=0,0,HLOOKUP(BU$14,Villagers!$B$1:$V$33,BU193+3,FALSE)),)</f>
        <v>0</v>
      </c>
      <c r="CQ193" s="14">
        <f>ROUND(IF(BV193=0,0,HLOOKUP(BV$14,Villagers!$B$1:$V$33,BV193+3,FALSE)),)</f>
        <v>0</v>
      </c>
      <c r="CR193" s="14">
        <f>ROUND(IF(BW193=0,0,HLOOKUP(BW$14,Villagers!$B$1:$V$33,BW193+3,FALSE)),)</f>
        <v>0</v>
      </c>
      <c r="CS193" s="14">
        <f>ROUND(IF(BX193=0,0,HLOOKUP(BX$14,Villagers!$B$1:$V$33,BX193+3,FALSE)),)</f>
        <v>0</v>
      </c>
      <c r="CT193" s="14">
        <f>ROUND(IF(BY193=0,0,HLOOKUP(BY$14,Villagers!$B$1:$V$33,BY193+3,FALSE)),)</f>
        <v>0</v>
      </c>
      <c r="CU193" s="14">
        <f>ROUND(IF(BZ193=0,0,HLOOKUP(BZ$14,Villagers!$B$1:$V$33,BZ193+3,FALSE)),)</f>
        <v>0</v>
      </c>
      <c r="CV193" s="14">
        <f>ROUND(IF(CA193=0,0,HLOOKUP(CA$14,Villagers!$B$1:$V$33,CA193+3,FALSE)),)</f>
        <v>0</v>
      </c>
      <c r="CW193" s="14">
        <f>ROUND(IF(CB193=0,0,HLOOKUP(CB$14,Villagers!$B$1:$V$33,CB193+3,FALSE)),)</f>
        <v>0</v>
      </c>
      <c r="CX193" s="14">
        <f>ROUND(IF(CC193=0,0,HLOOKUP(CC$14,Villagers!$B$1:$V$33,CC193+3,FALSE)),)</f>
        <v>0</v>
      </c>
      <c r="CY193" s="14">
        <f>ROUND(IF(CD193=0,0,HLOOKUP(CD$14,Villagers!$B$1:$V$33,CD193+3,FALSE)),)</f>
        <v>0</v>
      </c>
      <c r="CZ193" s="14">
        <f>ROUND(IF(CE193=0,0,HLOOKUP(CE$14,Villagers!$B$1:$V$33,CE193+3,FALSE)),)</f>
        <v>5</v>
      </c>
      <c r="DA193" s="14">
        <f>ROUND(IF(CF193=0,0,HLOOKUP(CF$14,Villagers!$B$1:$V$33,CF193+3,FALSE)),)</f>
        <v>10</v>
      </c>
      <c r="DB193" s="14">
        <f>ROUND(IF(CG193=0,0,HLOOKUP(CG$14,Villagers!$B$1:$V$33,CG193+3,FALSE)),)</f>
        <v>10</v>
      </c>
      <c r="DC193" s="14">
        <f>ROUND(IF(CH193=0,0,HLOOKUP(CH$14,Villagers!$B$1:$V$33,CH193+3,FALSE)),)</f>
        <v>0</v>
      </c>
      <c r="DD193" s="14">
        <f>ROUND(IF(CI193=0,0,HLOOKUP(CI$14,Villagers!$B$1:$V$33,CI193+3,FALSE)),)</f>
        <v>0</v>
      </c>
      <c r="DE193" s="14">
        <f>ROUND(IF(CJ193=0,0,HLOOKUP(CJ$14,Villagers!$B$1:$V$33,CJ193+3,FALSE)),)</f>
        <v>2</v>
      </c>
      <c r="DF193" s="370">
        <f>ROUND(IF(CK193=0,0,HLOOKUP(CK$14,Villagers!$B$1:$V$33,CK193+3,FALSE)),)</f>
        <v>0</v>
      </c>
      <c r="DG193" s="370">
        <f>ROUND(IF(CL193=0,0,HLOOKUP(CL$14,Villagers!$B$1:$V$33,CL193+3,FALSE)),)</f>
        <v>0</v>
      </c>
      <c r="DH193" s="34">
        <f>ROUND(IF(CM193=0,0,HLOOKUP(CM$14,Villagers!$B$1:$V$33,CM193+3,FALSE)),)</f>
        <v>0</v>
      </c>
      <c r="DI193" s="109">
        <f t="shared" si="246"/>
        <v>0</v>
      </c>
      <c r="DJ193" s="50">
        <f t="shared" si="247"/>
        <v>0</v>
      </c>
      <c r="DK193" s="50">
        <f t="shared" si="248"/>
        <v>0</v>
      </c>
      <c r="DL193" s="50">
        <f t="shared" si="249"/>
        <v>0</v>
      </c>
      <c r="DM193" s="50">
        <f t="shared" si="250"/>
        <v>0</v>
      </c>
      <c r="DN193" s="50">
        <f t="shared" si="251"/>
        <v>0</v>
      </c>
      <c r="DO193" s="50">
        <f t="shared" si="252"/>
        <v>0</v>
      </c>
      <c r="DP193" s="50">
        <f t="shared" si="253"/>
        <v>0</v>
      </c>
      <c r="DQ193" s="50">
        <f t="shared" si="231"/>
        <v>0</v>
      </c>
      <c r="DR193" s="50">
        <f t="shared" si="232"/>
        <v>0</v>
      </c>
      <c r="DS193" s="96">
        <f>Miscelaneous!$D$4*Miscelaneous!$D$2^($CI193-1)</f>
        <v>1000</v>
      </c>
      <c r="DT193" s="333">
        <f t="shared" si="213"/>
        <v>1</v>
      </c>
      <c r="DU193" s="81">
        <v>1</v>
      </c>
      <c r="DV193" s="79">
        <f t="shared" si="233"/>
        <v>0</v>
      </c>
      <c r="DW193" s="79">
        <f t="shared" si="234"/>
        <v>0</v>
      </c>
      <c r="DX193" s="79">
        <f t="shared" si="235"/>
        <v>0</v>
      </c>
      <c r="DY193" s="79">
        <v>1</v>
      </c>
      <c r="DZ193" s="79">
        <f t="shared" si="236"/>
        <v>0</v>
      </c>
      <c r="EA193" s="79">
        <f t="shared" si="237"/>
        <v>0</v>
      </c>
      <c r="EB193" s="79">
        <f t="shared" si="238"/>
        <v>0</v>
      </c>
      <c r="EC193" s="79">
        <f t="shared" si="239"/>
        <v>0</v>
      </c>
      <c r="ED193" s="79">
        <v>1</v>
      </c>
      <c r="EE193" s="79">
        <v>1</v>
      </c>
      <c r="EF193" s="79">
        <f t="shared" si="240"/>
        <v>0</v>
      </c>
      <c r="EG193" s="79">
        <v>1</v>
      </c>
      <c r="EH193" s="79">
        <v>1</v>
      </c>
      <c r="EI193" s="79">
        <v>1</v>
      </c>
      <c r="EJ193" s="79">
        <v>1</v>
      </c>
      <c r="EK193" s="79">
        <v>1</v>
      </c>
      <c r="EL193" s="79">
        <v>1</v>
      </c>
      <c r="EM193" s="143">
        <f t="shared" si="241"/>
        <v>0</v>
      </c>
      <c r="EN193" s="143">
        <f t="shared" si="242"/>
        <v>0</v>
      </c>
      <c r="EO193" s="82">
        <f t="shared" si="243"/>
        <v>0</v>
      </c>
    </row>
    <row r="194" spans="1:145" x14ac:dyDescent="0.25">
      <c r="A194">
        <v>180</v>
      </c>
      <c r="B194" s="172" t="e">
        <f t="shared" si="214"/>
        <v>#N/A</v>
      </c>
      <c r="C194" s="121" t="e">
        <f t="shared" si="193"/>
        <v>#N/A</v>
      </c>
      <c r="D194" s="122" t="e">
        <f t="shared" si="194"/>
        <v>#N/A</v>
      </c>
      <c r="E194" s="122" t="e">
        <f t="shared" si="195"/>
        <v>#N/A</v>
      </c>
      <c r="F194" s="176" t="e">
        <f t="shared" si="196"/>
        <v>#N/A</v>
      </c>
      <c r="G194" s="121">
        <f t="shared" si="215"/>
        <v>208</v>
      </c>
      <c r="H194" s="176" t="e">
        <f t="shared" si="216"/>
        <v>#N/A</v>
      </c>
      <c r="I194" s="48">
        <v>1</v>
      </c>
      <c r="J194" s="39"/>
      <c r="K194" s="350">
        <v>1</v>
      </c>
      <c r="L194" s="34" t="e">
        <f t="shared" si="197"/>
        <v>#N/A</v>
      </c>
      <c r="M194" s="38" t="e">
        <f>(HLOOKUP(J194,'Construction Times'!$B$3:$W$34,L194+2,FALSE)*HLOOKUP("hq modifier",'Construction Times'!$W$3:$W$34,BS194+2,FALSE))*(1-$H$9)</f>
        <v>#N/A</v>
      </c>
      <c r="N194" s="443" t="e">
        <f t="shared" si="217"/>
        <v>#N/A</v>
      </c>
      <c r="O194" s="444"/>
      <c r="P194" s="447" t="e">
        <f t="shared" si="218"/>
        <v>#N/A</v>
      </c>
      <c r="Q194" s="448"/>
      <c r="R194" s="103">
        <f t="shared" si="244"/>
        <v>0</v>
      </c>
      <c r="S194" s="104">
        <f t="shared" si="244"/>
        <v>0</v>
      </c>
      <c r="T194" s="104">
        <f t="shared" si="245"/>
        <v>0</v>
      </c>
      <c r="U194" s="104">
        <f t="shared" si="245"/>
        <v>0</v>
      </c>
      <c r="V194" s="104">
        <f t="shared" si="245"/>
        <v>9.9999999999999995E-8</v>
      </c>
      <c r="W194" s="104">
        <f t="shared" si="245"/>
        <v>0</v>
      </c>
      <c r="X194" s="104">
        <f t="shared" si="273"/>
        <v>0</v>
      </c>
      <c r="Y194" s="104">
        <f t="shared" si="273"/>
        <v>9.9999999999999995E-8</v>
      </c>
      <c r="Z194" s="104">
        <f t="shared" si="273"/>
        <v>9.9999999999999995E-8</v>
      </c>
      <c r="AA194" s="105">
        <f t="shared" si="273"/>
        <v>9.9999999999999995E-8</v>
      </c>
      <c r="AB194" s="101" t="e">
        <f>$DT194*HLOOKUP($J194,'Construction Costs (timber)'!$B$1:$V$32,'Construction Planner'!$L194+2,FALSE)</f>
        <v>#N/A</v>
      </c>
      <c r="AC194" s="14" t="e">
        <f>$DT194*HLOOKUP($J194,'Construction Costs (clay)'!$B$1:$V$32,'Construction Planner'!$L194+2,FALSE)</f>
        <v>#N/A</v>
      </c>
      <c r="AD194" s="14" t="e">
        <f>$DT194*HLOOKUP($J194,'Construction Costs (iron)'!$B$1:$V$32,'Construction Planner'!$L194+2,FALSE)</f>
        <v>#N/A</v>
      </c>
      <c r="AE194" s="34" t="e">
        <f t="shared" si="254"/>
        <v>#N/A</v>
      </c>
      <c r="AF194" s="33" t="e">
        <f t="shared" si="198"/>
        <v>#N/A</v>
      </c>
      <c r="AG194" s="14" t="e">
        <f t="shared" si="199"/>
        <v>#N/A</v>
      </c>
      <c r="AH194" s="14" t="e">
        <f t="shared" si="200"/>
        <v>#N/A</v>
      </c>
      <c r="AI194" s="34" t="e">
        <f t="shared" si="255"/>
        <v>#N/A</v>
      </c>
      <c r="AJ194" s="49" t="e">
        <f t="shared" si="219"/>
        <v>#N/A</v>
      </c>
      <c r="AK194" s="49" t="e">
        <f t="shared" si="220"/>
        <v>#N/A</v>
      </c>
      <c r="AL194" s="49" t="e">
        <f t="shared" si="221"/>
        <v>#N/A</v>
      </c>
      <c r="AM194" s="25">
        <f t="shared" si="201"/>
        <v>30</v>
      </c>
      <c r="AN194" s="25">
        <f t="shared" si="202"/>
        <v>30</v>
      </c>
      <c r="AO194" s="25">
        <f t="shared" si="203"/>
        <v>30</v>
      </c>
      <c r="AP194" s="52" t="e">
        <f t="shared" si="222"/>
        <v>#N/A</v>
      </c>
      <c r="AQ194" s="53" t="e">
        <f t="shared" si="222"/>
        <v>#N/A</v>
      </c>
      <c r="AR194" s="54" t="e">
        <f t="shared" si="222"/>
        <v>#N/A</v>
      </c>
      <c r="AS194" s="316">
        <f t="shared" si="276"/>
        <v>0</v>
      </c>
      <c r="AT194" s="106">
        <f>_xlfn.IFNA($M194/VLOOKUP($BT194,'Unit information'!$A$2:$K$29,2,FALSE)*R194,0)*(1+$E$9)</f>
        <v>0</v>
      </c>
      <c r="AU194" s="107">
        <f>_xlfn.IFNA($M194/VLOOKUP($BT194,'Unit information'!$A$2:$K$29,3,FALSE)*S194,0)*(1+$E$9)</f>
        <v>0</v>
      </c>
      <c r="AV194" s="107">
        <f>_xlfn.IFNA($M194/VLOOKUP($BT194,'Unit information'!$A$2:$K$29,4,FALSE)*T194,0)*(1+$E$9)</f>
        <v>0</v>
      </c>
      <c r="AW194" s="107">
        <f>_xlfn.IFNA($M194/VLOOKUP($BT194,'Unit information'!$A$2:$K$29,5,FALSE)*U194,0)*(1+$E$9)</f>
        <v>0</v>
      </c>
      <c r="AX194" s="107">
        <f>_xlfn.IFNA($M194/VLOOKUP($BU194,'Unit information'!$A$2:$K$29,6,FALSE)*V194,0)*(1+$E$9)</f>
        <v>0</v>
      </c>
      <c r="AY194" s="107">
        <f>_xlfn.IFNA($M194/VLOOKUP($BU194,'Unit information'!$A$2:$K$29,7,FALSE)*W194,0)*(1+$E$9)</f>
        <v>0</v>
      </c>
      <c r="AZ194" s="107">
        <f>_xlfn.IFNA($M194/VLOOKUP($BU194,'Unit information'!$A$2:$K$29,8,FALSE)*X194,0)*(1+$E$9)</f>
        <v>0</v>
      </c>
      <c r="BA194" s="107">
        <f>_xlfn.IFNA($M194/VLOOKUP($BU194,'Unit information'!$A$2:$K$29,9,FALSE)*Y194,0)*(1+$E$9)</f>
        <v>0</v>
      </c>
      <c r="BB194" s="107">
        <f>_xlfn.IFNA($M194/VLOOKUP($BV194,'Unit information'!$A$2:$K$29,10,FALSE)*Z194,0)*(1+$E$9)</f>
        <v>0</v>
      </c>
      <c r="BC194" s="108">
        <f>_xlfn.IFNA($M194/VLOOKUP($BV194,'Unit information'!$A$2:$K$29,11,FALSE)*AA194,0)*(1+$E$9)</f>
        <v>0</v>
      </c>
      <c r="BD194" s="106">
        <f t="shared" si="204"/>
        <v>0</v>
      </c>
      <c r="BE194" s="107">
        <f t="shared" si="205"/>
        <v>0</v>
      </c>
      <c r="BF194" s="108">
        <f t="shared" si="206"/>
        <v>0</v>
      </c>
      <c r="BG194" s="25" t="e">
        <f t="shared" si="207"/>
        <v>#N/A</v>
      </c>
      <c r="BH194" s="25" t="e">
        <f t="shared" si="208"/>
        <v>#N/A</v>
      </c>
      <c r="BI194" s="25" t="e">
        <f t="shared" si="209"/>
        <v>#N/A</v>
      </c>
      <c r="BJ194" s="27" t="e">
        <f t="shared" si="210"/>
        <v>#N/A</v>
      </c>
      <c r="BK194" s="18" t="e">
        <f t="shared" si="211"/>
        <v>#N/A</v>
      </c>
      <c r="BL194" s="18" t="e">
        <f t="shared" si="212"/>
        <v>#N/A</v>
      </c>
      <c r="BM194" s="28" t="e">
        <f t="shared" si="257"/>
        <v>#N/A</v>
      </c>
      <c r="BN194" s="33">
        <f>HLOOKUP("maximum population",Miscelaneous!$C$1:$C$33,CH194+3,FALSE)</f>
        <v>240</v>
      </c>
      <c r="BO194" s="14">
        <f t="shared" si="223"/>
        <v>32</v>
      </c>
      <c r="BP194" s="14">
        <f t="shared" si="224"/>
        <v>0</v>
      </c>
      <c r="BQ194" s="14">
        <f t="shared" si="225"/>
        <v>208</v>
      </c>
      <c r="BR194" s="34" t="e">
        <f>HLOOKUP(J194,Villagers!$B$1:$V$33,L194+3,FALSE)-HLOOKUP(J194,Villagers!$B$1:$V$33,L194+2,FALSE)</f>
        <v>#N/A</v>
      </c>
      <c r="BS194" s="49">
        <f t="shared" si="226"/>
        <v>1</v>
      </c>
      <c r="BT194" s="50">
        <f t="shared" si="227"/>
        <v>0</v>
      </c>
      <c r="BU194" s="50">
        <f t="shared" si="228"/>
        <v>0</v>
      </c>
      <c r="BV194" s="50">
        <f t="shared" si="229"/>
        <v>0</v>
      </c>
      <c r="BW194" s="50">
        <f t="shared" si="279"/>
        <v>0</v>
      </c>
      <c r="BX194" s="50">
        <f t="shared" si="279"/>
        <v>0</v>
      </c>
      <c r="BY194" s="50">
        <f t="shared" si="279"/>
        <v>0</v>
      </c>
      <c r="BZ194" s="50">
        <f t="shared" si="260"/>
        <v>0</v>
      </c>
      <c r="CA194" s="50">
        <f t="shared" si="261"/>
        <v>0</v>
      </c>
      <c r="CB194" s="50">
        <f t="shared" si="262"/>
        <v>1</v>
      </c>
      <c r="CC194" s="50">
        <f t="shared" si="263"/>
        <v>0</v>
      </c>
      <c r="CD194" s="50">
        <f t="shared" si="264"/>
        <v>0</v>
      </c>
      <c r="CE194" s="50">
        <f t="shared" si="265"/>
        <v>1</v>
      </c>
      <c r="CF194" s="50">
        <f t="shared" si="266"/>
        <v>1</v>
      </c>
      <c r="CG194" s="50">
        <f t="shared" si="267"/>
        <v>1</v>
      </c>
      <c r="CH194" s="50">
        <f t="shared" si="268"/>
        <v>1</v>
      </c>
      <c r="CI194" s="50">
        <f t="shared" si="269"/>
        <v>1</v>
      </c>
      <c r="CJ194" s="50">
        <f t="shared" si="270"/>
        <v>1</v>
      </c>
      <c r="CK194" s="50">
        <f t="shared" si="270"/>
        <v>0</v>
      </c>
      <c r="CL194" s="50">
        <f t="shared" si="270"/>
        <v>0</v>
      </c>
      <c r="CM194" s="51">
        <f t="shared" si="274"/>
        <v>0</v>
      </c>
      <c r="CN194" s="33">
        <f>ROUND(IF(BS194=0,0,HLOOKUP(BS$14,Villagers!$B$1:$V$33,BS194+3,FALSE)),)</f>
        <v>5</v>
      </c>
      <c r="CO194" s="14">
        <f>ROUND(IF(BT194=0,0,HLOOKUP(BT$14,Villagers!$B$1:$V$33,BT194+3,FALSE)),)</f>
        <v>0</v>
      </c>
      <c r="CP194" s="14">
        <f>ROUND(IF(BU194=0,0,HLOOKUP(BU$14,Villagers!$B$1:$V$33,BU194+3,FALSE)),)</f>
        <v>0</v>
      </c>
      <c r="CQ194" s="14">
        <f>ROUND(IF(BV194=0,0,HLOOKUP(BV$14,Villagers!$B$1:$V$33,BV194+3,FALSE)),)</f>
        <v>0</v>
      </c>
      <c r="CR194" s="14">
        <f>ROUND(IF(BW194=0,0,HLOOKUP(BW$14,Villagers!$B$1:$V$33,BW194+3,FALSE)),)</f>
        <v>0</v>
      </c>
      <c r="CS194" s="14">
        <f>ROUND(IF(BX194=0,0,HLOOKUP(BX$14,Villagers!$B$1:$V$33,BX194+3,FALSE)),)</f>
        <v>0</v>
      </c>
      <c r="CT194" s="14">
        <f>ROUND(IF(BY194=0,0,HLOOKUP(BY$14,Villagers!$B$1:$V$33,BY194+3,FALSE)),)</f>
        <v>0</v>
      </c>
      <c r="CU194" s="14">
        <f>ROUND(IF(BZ194=0,0,HLOOKUP(BZ$14,Villagers!$B$1:$V$33,BZ194+3,FALSE)),)</f>
        <v>0</v>
      </c>
      <c r="CV194" s="14">
        <f>ROUND(IF(CA194=0,0,HLOOKUP(CA$14,Villagers!$B$1:$V$33,CA194+3,FALSE)),)</f>
        <v>0</v>
      </c>
      <c r="CW194" s="14">
        <f>ROUND(IF(CB194=0,0,HLOOKUP(CB$14,Villagers!$B$1:$V$33,CB194+3,FALSE)),)</f>
        <v>0</v>
      </c>
      <c r="CX194" s="14">
        <f>ROUND(IF(CC194=0,0,HLOOKUP(CC$14,Villagers!$B$1:$V$33,CC194+3,FALSE)),)</f>
        <v>0</v>
      </c>
      <c r="CY194" s="14">
        <f>ROUND(IF(CD194=0,0,HLOOKUP(CD$14,Villagers!$B$1:$V$33,CD194+3,FALSE)),)</f>
        <v>0</v>
      </c>
      <c r="CZ194" s="14">
        <f>ROUND(IF(CE194=0,0,HLOOKUP(CE$14,Villagers!$B$1:$V$33,CE194+3,FALSE)),)</f>
        <v>5</v>
      </c>
      <c r="DA194" s="14">
        <f>ROUND(IF(CF194=0,0,HLOOKUP(CF$14,Villagers!$B$1:$V$33,CF194+3,FALSE)),)</f>
        <v>10</v>
      </c>
      <c r="DB194" s="14">
        <f>ROUND(IF(CG194=0,0,HLOOKUP(CG$14,Villagers!$B$1:$V$33,CG194+3,FALSE)),)</f>
        <v>10</v>
      </c>
      <c r="DC194" s="14">
        <f>ROUND(IF(CH194=0,0,HLOOKUP(CH$14,Villagers!$B$1:$V$33,CH194+3,FALSE)),)</f>
        <v>0</v>
      </c>
      <c r="DD194" s="14">
        <f>ROUND(IF(CI194=0,0,HLOOKUP(CI$14,Villagers!$B$1:$V$33,CI194+3,FALSE)),)</f>
        <v>0</v>
      </c>
      <c r="DE194" s="14">
        <f>ROUND(IF(CJ194=0,0,HLOOKUP(CJ$14,Villagers!$B$1:$V$33,CJ194+3,FALSE)),)</f>
        <v>2</v>
      </c>
      <c r="DF194" s="370">
        <f>ROUND(IF(CK194=0,0,HLOOKUP(CK$14,Villagers!$B$1:$V$33,CK194+3,FALSE)),)</f>
        <v>0</v>
      </c>
      <c r="DG194" s="370">
        <f>ROUND(IF(CL194=0,0,HLOOKUP(CL$14,Villagers!$B$1:$V$33,CL194+3,FALSE)),)</f>
        <v>0</v>
      </c>
      <c r="DH194" s="34">
        <f>ROUND(IF(CM194=0,0,HLOOKUP(CM$14,Villagers!$B$1:$V$33,CM194+3,FALSE)),)</f>
        <v>0</v>
      </c>
      <c r="DI194" s="109">
        <f t="shared" si="246"/>
        <v>0</v>
      </c>
      <c r="DJ194" s="50">
        <f t="shared" si="247"/>
        <v>0</v>
      </c>
      <c r="DK194" s="50">
        <f t="shared" si="248"/>
        <v>0</v>
      </c>
      <c r="DL194" s="50">
        <f t="shared" si="249"/>
        <v>0</v>
      </c>
      <c r="DM194" s="50">
        <f t="shared" si="250"/>
        <v>0</v>
      </c>
      <c r="DN194" s="50">
        <f t="shared" si="251"/>
        <v>0</v>
      </c>
      <c r="DO194" s="50">
        <f t="shared" si="252"/>
        <v>0</v>
      </c>
      <c r="DP194" s="50">
        <f t="shared" si="253"/>
        <v>0</v>
      </c>
      <c r="DQ194" s="50">
        <f t="shared" si="231"/>
        <v>0</v>
      </c>
      <c r="DR194" s="50">
        <f t="shared" si="232"/>
        <v>0</v>
      </c>
      <c r="DS194" s="96">
        <f>Miscelaneous!$D$4*Miscelaneous!$D$2^($CI194-1)</f>
        <v>1000</v>
      </c>
      <c r="DT194" s="333">
        <f t="shared" si="213"/>
        <v>1</v>
      </c>
      <c r="DU194" s="81">
        <v>1</v>
      </c>
      <c r="DV194" s="79">
        <f t="shared" si="233"/>
        <v>0</v>
      </c>
      <c r="DW194" s="79">
        <f t="shared" si="234"/>
        <v>0</v>
      </c>
      <c r="DX194" s="79">
        <f t="shared" si="235"/>
        <v>0</v>
      </c>
      <c r="DY194" s="79">
        <v>1</v>
      </c>
      <c r="DZ194" s="79">
        <f t="shared" si="236"/>
        <v>0</v>
      </c>
      <c r="EA194" s="79">
        <f t="shared" si="237"/>
        <v>0</v>
      </c>
      <c r="EB194" s="79">
        <f t="shared" si="238"/>
        <v>0</v>
      </c>
      <c r="EC194" s="79">
        <f t="shared" si="239"/>
        <v>0</v>
      </c>
      <c r="ED194" s="79">
        <v>1</v>
      </c>
      <c r="EE194" s="79">
        <v>1</v>
      </c>
      <c r="EF194" s="79">
        <f t="shared" si="240"/>
        <v>0</v>
      </c>
      <c r="EG194" s="79">
        <v>1</v>
      </c>
      <c r="EH194" s="79">
        <v>1</v>
      </c>
      <c r="EI194" s="79">
        <v>1</v>
      </c>
      <c r="EJ194" s="79">
        <v>1</v>
      </c>
      <c r="EK194" s="79">
        <v>1</v>
      </c>
      <c r="EL194" s="79">
        <v>1</v>
      </c>
      <c r="EM194" s="143">
        <f t="shared" si="241"/>
        <v>0</v>
      </c>
      <c r="EN194" s="143">
        <f t="shared" si="242"/>
        <v>0</v>
      </c>
      <c r="EO194" s="82">
        <f t="shared" si="243"/>
        <v>0</v>
      </c>
    </row>
    <row r="195" spans="1:145" x14ac:dyDescent="0.25">
      <c r="A195">
        <v>181</v>
      </c>
      <c r="B195" s="172" t="e">
        <f t="shared" si="214"/>
        <v>#N/A</v>
      </c>
      <c r="C195" s="121" t="e">
        <f t="shared" si="193"/>
        <v>#N/A</v>
      </c>
      <c r="D195" s="122" t="e">
        <f t="shared" si="194"/>
        <v>#N/A</v>
      </c>
      <c r="E195" s="122" t="e">
        <f t="shared" si="195"/>
        <v>#N/A</v>
      </c>
      <c r="F195" s="176" t="e">
        <f t="shared" si="196"/>
        <v>#N/A</v>
      </c>
      <c r="G195" s="121">
        <f t="shared" si="215"/>
        <v>208</v>
      </c>
      <c r="H195" s="176" t="e">
        <f t="shared" si="216"/>
        <v>#N/A</v>
      </c>
      <c r="I195" s="48">
        <v>1</v>
      </c>
      <c r="J195" s="39"/>
      <c r="K195" s="350">
        <v>1</v>
      </c>
      <c r="L195" s="34" t="e">
        <f t="shared" si="197"/>
        <v>#N/A</v>
      </c>
      <c r="M195" s="38" t="e">
        <f>(HLOOKUP(J195,'Construction Times'!$B$3:$W$34,L195+2,FALSE)*HLOOKUP("hq modifier",'Construction Times'!$W$3:$W$34,BS195+2,FALSE))*(1-$H$9)</f>
        <v>#N/A</v>
      </c>
      <c r="N195" s="443" t="e">
        <f t="shared" si="217"/>
        <v>#N/A</v>
      </c>
      <c r="O195" s="444"/>
      <c r="P195" s="447" t="e">
        <f t="shared" si="218"/>
        <v>#N/A</v>
      </c>
      <c r="Q195" s="448"/>
      <c r="R195" s="103">
        <f t="shared" si="244"/>
        <v>0</v>
      </c>
      <c r="S195" s="104">
        <f t="shared" si="244"/>
        <v>0</v>
      </c>
      <c r="T195" s="104">
        <f t="shared" si="245"/>
        <v>0</v>
      </c>
      <c r="U195" s="104">
        <f t="shared" si="245"/>
        <v>0</v>
      </c>
      <c r="V195" s="104">
        <f t="shared" si="245"/>
        <v>9.9999999999999995E-8</v>
      </c>
      <c r="W195" s="104">
        <f t="shared" si="245"/>
        <v>0</v>
      </c>
      <c r="X195" s="104">
        <f t="shared" si="273"/>
        <v>0</v>
      </c>
      <c r="Y195" s="104">
        <f t="shared" si="273"/>
        <v>9.9999999999999995E-8</v>
      </c>
      <c r="Z195" s="104">
        <f t="shared" si="273"/>
        <v>9.9999999999999995E-8</v>
      </c>
      <c r="AA195" s="105">
        <f t="shared" si="273"/>
        <v>9.9999999999999995E-8</v>
      </c>
      <c r="AB195" s="101" t="e">
        <f>$DT195*HLOOKUP($J195,'Construction Costs (timber)'!$B$1:$V$32,'Construction Planner'!$L195+2,FALSE)</f>
        <v>#N/A</v>
      </c>
      <c r="AC195" s="14" t="e">
        <f>$DT195*HLOOKUP($J195,'Construction Costs (clay)'!$B$1:$V$32,'Construction Planner'!$L195+2,FALSE)</f>
        <v>#N/A</v>
      </c>
      <c r="AD195" s="14" t="e">
        <f>$DT195*HLOOKUP($J195,'Construction Costs (iron)'!$B$1:$V$32,'Construction Planner'!$L195+2,FALSE)</f>
        <v>#N/A</v>
      </c>
      <c r="AE195" s="34" t="e">
        <f t="shared" si="254"/>
        <v>#N/A</v>
      </c>
      <c r="AF195" s="33" t="e">
        <f t="shared" si="198"/>
        <v>#N/A</v>
      </c>
      <c r="AG195" s="14" t="e">
        <f t="shared" si="199"/>
        <v>#N/A</v>
      </c>
      <c r="AH195" s="14" t="e">
        <f t="shared" si="200"/>
        <v>#N/A</v>
      </c>
      <c r="AI195" s="34" t="e">
        <f t="shared" si="255"/>
        <v>#N/A</v>
      </c>
      <c r="AJ195" s="49" t="e">
        <f t="shared" si="219"/>
        <v>#N/A</v>
      </c>
      <c r="AK195" s="49" t="e">
        <f t="shared" si="220"/>
        <v>#N/A</v>
      </c>
      <c r="AL195" s="49" t="e">
        <f t="shared" si="221"/>
        <v>#N/A</v>
      </c>
      <c r="AM195" s="25">
        <f t="shared" si="201"/>
        <v>30</v>
      </c>
      <c r="AN195" s="25">
        <f t="shared" si="202"/>
        <v>30</v>
      </c>
      <c r="AO195" s="25">
        <f t="shared" si="203"/>
        <v>30</v>
      </c>
      <c r="AP195" s="52" t="e">
        <f t="shared" si="222"/>
        <v>#N/A</v>
      </c>
      <c r="AQ195" s="53" t="e">
        <f t="shared" si="222"/>
        <v>#N/A</v>
      </c>
      <c r="AR195" s="54" t="e">
        <f t="shared" si="222"/>
        <v>#N/A</v>
      </c>
      <c r="AS195" s="316">
        <f t="shared" si="276"/>
        <v>0</v>
      </c>
      <c r="AT195" s="106">
        <f>_xlfn.IFNA($M195/VLOOKUP($BT195,'Unit information'!$A$2:$K$29,2,FALSE)*R195,0)*(1+$E$9)</f>
        <v>0</v>
      </c>
      <c r="AU195" s="107">
        <f>_xlfn.IFNA($M195/VLOOKUP($BT195,'Unit information'!$A$2:$K$29,3,FALSE)*S195,0)*(1+$E$9)</f>
        <v>0</v>
      </c>
      <c r="AV195" s="107">
        <f>_xlfn.IFNA($M195/VLOOKUP($BT195,'Unit information'!$A$2:$K$29,4,FALSE)*T195,0)*(1+$E$9)</f>
        <v>0</v>
      </c>
      <c r="AW195" s="107">
        <f>_xlfn.IFNA($M195/VLOOKUP($BT195,'Unit information'!$A$2:$K$29,5,FALSE)*U195,0)*(1+$E$9)</f>
        <v>0</v>
      </c>
      <c r="AX195" s="107">
        <f>_xlfn.IFNA($M195/VLOOKUP($BU195,'Unit information'!$A$2:$K$29,6,FALSE)*V195,0)*(1+$E$9)</f>
        <v>0</v>
      </c>
      <c r="AY195" s="107">
        <f>_xlfn.IFNA($M195/VLOOKUP($BU195,'Unit information'!$A$2:$K$29,7,FALSE)*W195,0)*(1+$E$9)</f>
        <v>0</v>
      </c>
      <c r="AZ195" s="107">
        <f>_xlfn.IFNA($M195/VLOOKUP($BU195,'Unit information'!$A$2:$K$29,8,FALSE)*X195,0)*(1+$E$9)</f>
        <v>0</v>
      </c>
      <c r="BA195" s="107">
        <f>_xlfn.IFNA($M195/VLOOKUP($BU195,'Unit information'!$A$2:$K$29,9,FALSE)*Y195,0)*(1+$E$9)</f>
        <v>0</v>
      </c>
      <c r="BB195" s="107">
        <f>_xlfn.IFNA($M195/VLOOKUP($BV195,'Unit information'!$A$2:$K$29,10,FALSE)*Z195,0)*(1+$E$9)</f>
        <v>0</v>
      </c>
      <c r="BC195" s="108">
        <f>_xlfn.IFNA($M195/VLOOKUP($BV195,'Unit information'!$A$2:$K$29,11,FALSE)*AA195,0)*(1+$E$9)</f>
        <v>0</v>
      </c>
      <c r="BD195" s="106">
        <f t="shared" si="204"/>
        <v>0</v>
      </c>
      <c r="BE195" s="107">
        <f t="shared" si="205"/>
        <v>0</v>
      </c>
      <c r="BF195" s="108">
        <f t="shared" si="206"/>
        <v>0</v>
      </c>
      <c r="BG195" s="25" t="e">
        <f t="shared" si="207"/>
        <v>#N/A</v>
      </c>
      <c r="BH195" s="25" t="e">
        <f t="shared" si="208"/>
        <v>#N/A</v>
      </c>
      <c r="BI195" s="25" t="e">
        <f t="shared" si="209"/>
        <v>#N/A</v>
      </c>
      <c r="BJ195" s="27" t="e">
        <f t="shared" si="210"/>
        <v>#N/A</v>
      </c>
      <c r="BK195" s="18" t="e">
        <f t="shared" si="211"/>
        <v>#N/A</v>
      </c>
      <c r="BL195" s="18" t="e">
        <f t="shared" si="212"/>
        <v>#N/A</v>
      </c>
      <c r="BM195" s="28" t="e">
        <f t="shared" si="257"/>
        <v>#N/A</v>
      </c>
      <c r="BN195" s="33">
        <f>HLOOKUP("maximum population",Miscelaneous!$C$1:$C$33,CH195+3,FALSE)</f>
        <v>240</v>
      </c>
      <c r="BO195" s="14">
        <f t="shared" si="223"/>
        <v>32</v>
      </c>
      <c r="BP195" s="14">
        <f t="shared" si="224"/>
        <v>0</v>
      </c>
      <c r="BQ195" s="14">
        <f t="shared" si="225"/>
        <v>208</v>
      </c>
      <c r="BR195" s="34" t="e">
        <f>HLOOKUP(J195,Villagers!$B$1:$V$33,L195+3,FALSE)-HLOOKUP(J195,Villagers!$B$1:$V$33,L195+2,FALSE)</f>
        <v>#N/A</v>
      </c>
      <c r="BS195" s="49">
        <f t="shared" si="226"/>
        <v>1</v>
      </c>
      <c r="BT195" s="50">
        <f t="shared" si="227"/>
        <v>0</v>
      </c>
      <c r="BU195" s="50">
        <f t="shared" si="228"/>
        <v>0</v>
      </c>
      <c r="BV195" s="50">
        <f t="shared" si="229"/>
        <v>0</v>
      </c>
      <c r="BW195" s="50">
        <f t="shared" si="279"/>
        <v>0</v>
      </c>
      <c r="BX195" s="50">
        <f t="shared" si="279"/>
        <v>0</v>
      </c>
      <c r="BY195" s="50">
        <f t="shared" si="279"/>
        <v>0</v>
      </c>
      <c r="BZ195" s="50">
        <f t="shared" si="260"/>
        <v>0</v>
      </c>
      <c r="CA195" s="50">
        <f t="shared" si="261"/>
        <v>0</v>
      </c>
      <c r="CB195" s="50">
        <f t="shared" si="262"/>
        <v>1</v>
      </c>
      <c r="CC195" s="50">
        <f t="shared" si="263"/>
        <v>0</v>
      </c>
      <c r="CD195" s="50">
        <f t="shared" si="264"/>
        <v>0</v>
      </c>
      <c r="CE195" s="50">
        <f t="shared" si="265"/>
        <v>1</v>
      </c>
      <c r="CF195" s="50">
        <f t="shared" si="266"/>
        <v>1</v>
      </c>
      <c r="CG195" s="50">
        <f t="shared" si="267"/>
        <v>1</v>
      </c>
      <c r="CH195" s="50">
        <f t="shared" si="268"/>
        <v>1</v>
      </c>
      <c r="CI195" s="50">
        <f t="shared" si="269"/>
        <v>1</v>
      </c>
      <c r="CJ195" s="50">
        <f t="shared" si="270"/>
        <v>1</v>
      </c>
      <c r="CK195" s="50">
        <f t="shared" si="270"/>
        <v>0</v>
      </c>
      <c r="CL195" s="50">
        <f t="shared" si="270"/>
        <v>0</v>
      </c>
      <c r="CM195" s="51">
        <f t="shared" si="274"/>
        <v>0</v>
      </c>
      <c r="CN195" s="33">
        <f>ROUND(IF(BS195=0,0,HLOOKUP(BS$14,Villagers!$B$1:$V$33,BS195+3,FALSE)),)</f>
        <v>5</v>
      </c>
      <c r="CO195" s="14">
        <f>ROUND(IF(BT195=0,0,HLOOKUP(BT$14,Villagers!$B$1:$V$33,BT195+3,FALSE)),)</f>
        <v>0</v>
      </c>
      <c r="CP195" s="14">
        <f>ROUND(IF(BU195=0,0,HLOOKUP(BU$14,Villagers!$B$1:$V$33,BU195+3,FALSE)),)</f>
        <v>0</v>
      </c>
      <c r="CQ195" s="14">
        <f>ROUND(IF(BV195=0,0,HLOOKUP(BV$14,Villagers!$B$1:$V$33,BV195+3,FALSE)),)</f>
        <v>0</v>
      </c>
      <c r="CR195" s="14">
        <f>ROUND(IF(BW195=0,0,HLOOKUP(BW$14,Villagers!$B$1:$V$33,BW195+3,FALSE)),)</f>
        <v>0</v>
      </c>
      <c r="CS195" s="14">
        <f>ROUND(IF(BX195=0,0,HLOOKUP(BX$14,Villagers!$B$1:$V$33,BX195+3,FALSE)),)</f>
        <v>0</v>
      </c>
      <c r="CT195" s="14">
        <f>ROUND(IF(BY195=0,0,HLOOKUP(BY$14,Villagers!$B$1:$V$33,BY195+3,FALSE)),)</f>
        <v>0</v>
      </c>
      <c r="CU195" s="14">
        <f>ROUND(IF(BZ195=0,0,HLOOKUP(BZ$14,Villagers!$B$1:$V$33,BZ195+3,FALSE)),)</f>
        <v>0</v>
      </c>
      <c r="CV195" s="14">
        <f>ROUND(IF(CA195=0,0,HLOOKUP(CA$14,Villagers!$B$1:$V$33,CA195+3,FALSE)),)</f>
        <v>0</v>
      </c>
      <c r="CW195" s="14">
        <f>ROUND(IF(CB195=0,0,HLOOKUP(CB$14,Villagers!$B$1:$V$33,CB195+3,FALSE)),)</f>
        <v>0</v>
      </c>
      <c r="CX195" s="14">
        <f>ROUND(IF(CC195=0,0,HLOOKUP(CC$14,Villagers!$B$1:$V$33,CC195+3,FALSE)),)</f>
        <v>0</v>
      </c>
      <c r="CY195" s="14">
        <f>ROUND(IF(CD195=0,0,HLOOKUP(CD$14,Villagers!$B$1:$V$33,CD195+3,FALSE)),)</f>
        <v>0</v>
      </c>
      <c r="CZ195" s="14">
        <f>ROUND(IF(CE195=0,0,HLOOKUP(CE$14,Villagers!$B$1:$V$33,CE195+3,FALSE)),)</f>
        <v>5</v>
      </c>
      <c r="DA195" s="14">
        <f>ROUND(IF(CF195=0,0,HLOOKUP(CF$14,Villagers!$B$1:$V$33,CF195+3,FALSE)),)</f>
        <v>10</v>
      </c>
      <c r="DB195" s="14">
        <f>ROUND(IF(CG195=0,0,HLOOKUP(CG$14,Villagers!$B$1:$V$33,CG195+3,FALSE)),)</f>
        <v>10</v>
      </c>
      <c r="DC195" s="14">
        <f>ROUND(IF(CH195=0,0,HLOOKUP(CH$14,Villagers!$B$1:$V$33,CH195+3,FALSE)),)</f>
        <v>0</v>
      </c>
      <c r="DD195" s="14">
        <f>ROUND(IF(CI195=0,0,HLOOKUP(CI$14,Villagers!$B$1:$V$33,CI195+3,FALSE)),)</f>
        <v>0</v>
      </c>
      <c r="DE195" s="14">
        <f>ROUND(IF(CJ195=0,0,HLOOKUP(CJ$14,Villagers!$B$1:$V$33,CJ195+3,FALSE)),)</f>
        <v>2</v>
      </c>
      <c r="DF195" s="370">
        <f>ROUND(IF(CK195=0,0,HLOOKUP(CK$14,Villagers!$B$1:$V$33,CK195+3,FALSE)),)</f>
        <v>0</v>
      </c>
      <c r="DG195" s="370">
        <f>ROUND(IF(CL195=0,0,HLOOKUP(CL$14,Villagers!$B$1:$V$33,CL195+3,FALSE)),)</f>
        <v>0</v>
      </c>
      <c r="DH195" s="34">
        <f>ROUND(IF(CM195=0,0,HLOOKUP(CM$14,Villagers!$B$1:$V$33,CM195+3,FALSE)),)</f>
        <v>0</v>
      </c>
      <c r="DI195" s="109">
        <f t="shared" si="246"/>
        <v>0</v>
      </c>
      <c r="DJ195" s="50">
        <f t="shared" si="247"/>
        <v>0</v>
      </c>
      <c r="DK195" s="50">
        <f t="shared" si="248"/>
        <v>0</v>
      </c>
      <c r="DL195" s="50">
        <f t="shared" si="249"/>
        <v>0</v>
      </c>
      <c r="DM195" s="50">
        <f t="shared" si="250"/>
        <v>0</v>
      </c>
      <c r="DN195" s="50">
        <f t="shared" si="251"/>
        <v>0</v>
      </c>
      <c r="DO195" s="50">
        <f t="shared" si="252"/>
        <v>0</v>
      </c>
      <c r="DP195" s="50">
        <f t="shared" si="253"/>
        <v>0</v>
      </c>
      <c r="DQ195" s="50">
        <f t="shared" si="231"/>
        <v>0</v>
      </c>
      <c r="DR195" s="50">
        <f t="shared" si="232"/>
        <v>0</v>
      </c>
      <c r="DS195" s="96">
        <f>Miscelaneous!$D$4*Miscelaneous!$D$2^($CI195-1)</f>
        <v>1000</v>
      </c>
      <c r="DT195" s="333">
        <f t="shared" si="213"/>
        <v>1</v>
      </c>
      <c r="DU195" s="81">
        <v>1</v>
      </c>
      <c r="DV195" s="79">
        <f t="shared" si="233"/>
        <v>0</v>
      </c>
      <c r="DW195" s="79">
        <f t="shared" si="234"/>
        <v>0</v>
      </c>
      <c r="DX195" s="79">
        <f t="shared" si="235"/>
        <v>0</v>
      </c>
      <c r="DY195" s="79">
        <v>1</v>
      </c>
      <c r="DZ195" s="79">
        <f t="shared" si="236"/>
        <v>0</v>
      </c>
      <c r="EA195" s="79">
        <f t="shared" si="237"/>
        <v>0</v>
      </c>
      <c r="EB195" s="79">
        <f t="shared" si="238"/>
        <v>0</v>
      </c>
      <c r="EC195" s="79">
        <f t="shared" si="239"/>
        <v>0</v>
      </c>
      <c r="ED195" s="79">
        <v>1</v>
      </c>
      <c r="EE195" s="79">
        <v>1</v>
      </c>
      <c r="EF195" s="79">
        <f t="shared" si="240"/>
        <v>0</v>
      </c>
      <c r="EG195" s="79">
        <v>1</v>
      </c>
      <c r="EH195" s="79">
        <v>1</v>
      </c>
      <c r="EI195" s="79">
        <v>1</v>
      </c>
      <c r="EJ195" s="79">
        <v>1</v>
      </c>
      <c r="EK195" s="79">
        <v>1</v>
      </c>
      <c r="EL195" s="79">
        <v>1</v>
      </c>
      <c r="EM195" s="143">
        <f t="shared" si="241"/>
        <v>0</v>
      </c>
      <c r="EN195" s="143">
        <f t="shared" si="242"/>
        <v>0</v>
      </c>
      <c r="EO195" s="82">
        <f t="shared" si="243"/>
        <v>0</v>
      </c>
    </row>
    <row r="196" spans="1:145" x14ac:dyDescent="0.25">
      <c r="A196">
        <v>182</v>
      </c>
      <c r="B196" s="172" t="e">
        <f t="shared" si="214"/>
        <v>#N/A</v>
      </c>
      <c r="C196" s="121" t="e">
        <f t="shared" si="193"/>
        <v>#N/A</v>
      </c>
      <c r="D196" s="122" t="e">
        <f t="shared" si="194"/>
        <v>#N/A</v>
      </c>
      <c r="E196" s="122" t="e">
        <f t="shared" si="195"/>
        <v>#N/A</v>
      </c>
      <c r="F196" s="176" t="e">
        <f t="shared" si="196"/>
        <v>#N/A</v>
      </c>
      <c r="G196" s="121">
        <f t="shared" si="215"/>
        <v>208</v>
      </c>
      <c r="H196" s="176" t="e">
        <f t="shared" si="216"/>
        <v>#N/A</v>
      </c>
      <c r="I196" s="48">
        <v>1</v>
      </c>
      <c r="J196" s="39"/>
      <c r="K196" s="350">
        <v>1</v>
      </c>
      <c r="L196" s="34" t="e">
        <f t="shared" si="197"/>
        <v>#N/A</v>
      </c>
      <c r="M196" s="38" t="e">
        <f>(HLOOKUP(J196,'Construction Times'!$B$3:$W$34,L196+2,FALSE)*HLOOKUP("hq modifier",'Construction Times'!$W$3:$W$34,BS196+2,FALSE))*(1-$H$9)</f>
        <v>#N/A</v>
      </c>
      <c r="N196" s="443" t="e">
        <f t="shared" si="217"/>
        <v>#N/A</v>
      </c>
      <c r="O196" s="444"/>
      <c r="P196" s="447" t="e">
        <f t="shared" si="218"/>
        <v>#N/A</v>
      </c>
      <c r="Q196" s="448"/>
      <c r="R196" s="103">
        <f t="shared" si="244"/>
        <v>0</v>
      </c>
      <c r="S196" s="104">
        <f t="shared" si="244"/>
        <v>0</v>
      </c>
      <c r="T196" s="104">
        <f t="shared" si="245"/>
        <v>0</v>
      </c>
      <c r="U196" s="104">
        <f t="shared" si="245"/>
        <v>0</v>
      </c>
      <c r="V196" s="104">
        <f t="shared" si="245"/>
        <v>9.9999999999999995E-8</v>
      </c>
      <c r="W196" s="104">
        <f t="shared" si="245"/>
        <v>0</v>
      </c>
      <c r="X196" s="104">
        <f t="shared" si="273"/>
        <v>0</v>
      </c>
      <c r="Y196" s="104">
        <f t="shared" si="273"/>
        <v>9.9999999999999995E-8</v>
      </c>
      <c r="Z196" s="104">
        <f t="shared" si="273"/>
        <v>9.9999999999999995E-8</v>
      </c>
      <c r="AA196" s="105">
        <f t="shared" si="273"/>
        <v>9.9999999999999995E-8</v>
      </c>
      <c r="AB196" s="101" t="e">
        <f>$DT196*HLOOKUP($J196,'Construction Costs (timber)'!$B$1:$V$32,'Construction Planner'!$L196+2,FALSE)</f>
        <v>#N/A</v>
      </c>
      <c r="AC196" s="14" t="e">
        <f>$DT196*HLOOKUP($J196,'Construction Costs (clay)'!$B$1:$V$32,'Construction Planner'!$L196+2,FALSE)</f>
        <v>#N/A</v>
      </c>
      <c r="AD196" s="14" t="e">
        <f>$DT196*HLOOKUP($J196,'Construction Costs (iron)'!$B$1:$V$32,'Construction Planner'!$L196+2,FALSE)</f>
        <v>#N/A</v>
      </c>
      <c r="AE196" s="34" t="e">
        <f t="shared" si="254"/>
        <v>#N/A</v>
      </c>
      <c r="AF196" s="33" t="e">
        <f t="shared" si="198"/>
        <v>#N/A</v>
      </c>
      <c r="AG196" s="14" t="e">
        <f t="shared" si="199"/>
        <v>#N/A</v>
      </c>
      <c r="AH196" s="14" t="e">
        <f t="shared" si="200"/>
        <v>#N/A</v>
      </c>
      <c r="AI196" s="34" t="e">
        <f t="shared" si="255"/>
        <v>#N/A</v>
      </c>
      <c r="AJ196" s="49" t="e">
        <f t="shared" si="219"/>
        <v>#N/A</v>
      </c>
      <c r="AK196" s="49" t="e">
        <f t="shared" si="220"/>
        <v>#N/A</v>
      </c>
      <c r="AL196" s="49" t="e">
        <f t="shared" si="221"/>
        <v>#N/A</v>
      </c>
      <c r="AM196" s="25">
        <f t="shared" si="201"/>
        <v>30</v>
      </c>
      <c r="AN196" s="25">
        <f t="shared" si="202"/>
        <v>30</v>
      </c>
      <c r="AO196" s="25">
        <f t="shared" si="203"/>
        <v>30</v>
      </c>
      <c r="AP196" s="52" t="e">
        <f t="shared" si="222"/>
        <v>#N/A</v>
      </c>
      <c r="AQ196" s="53" t="e">
        <f t="shared" si="222"/>
        <v>#N/A</v>
      </c>
      <c r="AR196" s="54" t="e">
        <f t="shared" si="222"/>
        <v>#N/A</v>
      </c>
      <c r="AS196" s="316">
        <f t="shared" ref="AS196:AS211" si="280">AS195</f>
        <v>0</v>
      </c>
      <c r="AT196" s="106">
        <f>_xlfn.IFNA($M196/VLOOKUP($BT196,'Unit information'!$A$2:$K$29,2,FALSE)*R196,0)*(1+$E$9)</f>
        <v>0</v>
      </c>
      <c r="AU196" s="107">
        <f>_xlfn.IFNA($M196/VLOOKUP($BT196,'Unit information'!$A$2:$K$29,3,FALSE)*S196,0)*(1+$E$9)</f>
        <v>0</v>
      </c>
      <c r="AV196" s="107">
        <f>_xlfn.IFNA($M196/VLOOKUP($BT196,'Unit information'!$A$2:$K$29,4,FALSE)*T196,0)*(1+$E$9)</f>
        <v>0</v>
      </c>
      <c r="AW196" s="107">
        <f>_xlfn.IFNA($M196/VLOOKUP($BT196,'Unit information'!$A$2:$K$29,5,FALSE)*U196,0)*(1+$E$9)</f>
        <v>0</v>
      </c>
      <c r="AX196" s="107">
        <f>_xlfn.IFNA($M196/VLOOKUP($BU196,'Unit information'!$A$2:$K$29,6,FALSE)*V196,0)*(1+$E$9)</f>
        <v>0</v>
      </c>
      <c r="AY196" s="107">
        <f>_xlfn.IFNA($M196/VLOOKUP($BU196,'Unit information'!$A$2:$K$29,7,FALSE)*W196,0)*(1+$E$9)</f>
        <v>0</v>
      </c>
      <c r="AZ196" s="107">
        <f>_xlfn.IFNA($M196/VLOOKUP($BU196,'Unit information'!$A$2:$K$29,8,FALSE)*X196,0)*(1+$E$9)</f>
        <v>0</v>
      </c>
      <c r="BA196" s="107">
        <f>_xlfn.IFNA($M196/VLOOKUP($BU196,'Unit information'!$A$2:$K$29,9,FALSE)*Y196,0)*(1+$E$9)</f>
        <v>0</v>
      </c>
      <c r="BB196" s="107">
        <f>_xlfn.IFNA($M196/VLOOKUP($BV196,'Unit information'!$A$2:$K$29,10,FALSE)*Z196,0)*(1+$E$9)</f>
        <v>0</v>
      </c>
      <c r="BC196" s="108">
        <f>_xlfn.IFNA($M196/VLOOKUP($BV196,'Unit information'!$A$2:$K$29,11,FALSE)*AA196,0)*(1+$E$9)</f>
        <v>0</v>
      </c>
      <c r="BD196" s="106">
        <f t="shared" si="204"/>
        <v>0</v>
      </c>
      <c r="BE196" s="107">
        <f t="shared" si="205"/>
        <v>0</v>
      </c>
      <c r="BF196" s="108">
        <f t="shared" si="206"/>
        <v>0</v>
      </c>
      <c r="BG196" s="25" t="e">
        <f t="shared" si="207"/>
        <v>#N/A</v>
      </c>
      <c r="BH196" s="25" t="e">
        <f t="shared" si="208"/>
        <v>#N/A</v>
      </c>
      <c r="BI196" s="25" t="e">
        <f t="shared" si="209"/>
        <v>#N/A</v>
      </c>
      <c r="BJ196" s="27" t="e">
        <f t="shared" si="210"/>
        <v>#N/A</v>
      </c>
      <c r="BK196" s="18" t="e">
        <f t="shared" si="211"/>
        <v>#N/A</v>
      </c>
      <c r="BL196" s="18" t="e">
        <f t="shared" si="212"/>
        <v>#N/A</v>
      </c>
      <c r="BM196" s="28" t="e">
        <f t="shared" si="257"/>
        <v>#N/A</v>
      </c>
      <c r="BN196" s="33">
        <f>HLOOKUP("maximum population",Miscelaneous!$C$1:$C$33,CH196+3,FALSE)</f>
        <v>240</v>
      </c>
      <c r="BO196" s="14">
        <f t="shared" si="223"/>
        <v>32</v>
      </c>
      <c r="BP196" s="14">
        <f t="shared" si="224"/>
        <v>0</v>
      </c>
      <c r="BQ196" s="14">
        <f t="shared" si="225"/>
        <v>208</v>
      </c>
      <c r="BR196" s="34" t="e">
        <f>HLOOKUP(J196,Villagers!$B$1:$V$33,L196+3,FALSE)-HLOOKUP(J196,Villagers!$B$1:$V$33,L196+2,FALSE)</f>
        <v>#N/A</v>
      </c>
      <c r="BS196" s="49">
        <f t="shared" si="226"/>
        <v>1</v>
      </c>
      <c r="BT196" s="50">
        <f t="shared" si="227"/>
        <v>0</v>
      </c>
      <c r="BU196" s="50">
        <f t="shared" si="228"/>
        <v>0</v>
      </c>
      <c r="BV196" s="50">
        <f t="shared" si="229"/>
        <v>0</v>
      </c>
      <c r="BW196" s="50">
        <f t="shared" si="279"/>
        <v>0</v>
      </c>
      <c r="BX196" s="50">
        <f t="shared" si="279"/>
        <v>0</v>
      </c>
      <c r="BY196" s="50">
        <f t="shared" si="279"/>
        <v>0</v>
      </c>
      <c r="BZ196" s="50">
        <f t="shared" si="260"/>
        <v>0</v>
      </c>
      <c r="CA196" s="50">
        <f t="shared" si="261"/>
        <v>0</v>
      </c>
      <c r="CB196" s="50">
        <f t="shared" si="262"/>
        <v>1</v>
      </c>
      <c r="CC196" s="50">
        <f t="shared" si="263"/>
        <v>0</v>
      </c>
      <c r="CD196" s="50">
        <f t="shared" si="264"/>
        <v>0</v>
      </c>
      <c r="CE196" s="50">
        <f t="shared" si="265"/>
        <v>1</v>
      </c>
      <c r="CF196" s="50">
        <f t="shared" si="266"/>
        <v>1</v>
      </c>
      <c r="CG196" s="50">
        <f t="shared" si="267"/>
        <v>1</v>
      </c>
      <c r="CH196" s="50">
        <f t="shared" si="268"/>
        <v>1</v>
      </c>
      <c r="CI196" s="50">
        <f t="shared" si="269"/>
        <v>1</v>
      </c>
      <c r="CJ196" s="50">
        <f t="shared" si="270"/>
        <v>1</v>
      </c>
      <c r="CK196" s="50">
        <f t="shared" si="270"/>
        <v>0</v>
      </c>
      <c r="CL196" s="50">
        <f t="shared" si="270"/>
        <v>0</v>
      </c>
      <c r="CM196" s="51">
        <f t="shared" si="274"/>
        <v>0</v>
      </c>
      <c r="CN196" s="33">
        <f>ROUND(IF(BS196=0,0,HLOOKUP(BS$14,Villagers!$B$1:$V$33,BS196+3,FALSE)),)</f>
        <v>5</v>
      </c>
      <c r="CO196" s="14">
        <f>ROUND(IF(BT196=0,0,HLOOKUP(BT$14,Villagers!$B$1:$V$33,BT196+3,FALSE)),)</f>
        <v>0</v>
      </c>
      <c r="CP196" s="14">
        <f>ROUND(IF(BU196=0,0,HLOOKUP(BU$14,Villagers!$B$1:$V$33,BU196+3,FALSE)),)</f>
        <v>0</v>
      </c>
      <c r="CQ196" s="14">
        <f>ROUND(IF(BV196=0,0,HLOOKUP(BV$14,Villagers!$B$1:$V$33,BV196+3,FALSE)),)</f>
        <v>0</v>
      </c>
      <c r="CR196" s="14">
        <f>ROUND(IF(BW196=0,0,HLOOKUP(BW$14,Villagers!$B$1:$V$33,BW196+3,FALSE)),)</f>
        <v>0</v>
      </c>
      <c r="CS196" s="14">
        <f>ROUND(IF(BX196=0,0,HLOOKUP(BX$14,Villagers!$B$1:$V$33,BX196+3,FALSE)),)</f>
        <v>0</v>
      </c>
      <c r="CT196" s="14">
        <f>ROUND(IF(BY196=0,0,HLOOKUP(BY$14,Villagers!$B$1:$V$33,BY196+3,FALSE)),)</f>
        <v>0</v>
      </c>
      <c r="CU196" s="14">
        <f>ROUND(IF(BZ196=0,0,HLOOKUP(BZ$14,Villagers!$B$1:$V$33,BZ196+3,FALSE)),)</f>
        <v>0</v>
      </c>
      <c r="CV196" s="14">
        <f>ROUND(IF(CA196=0,0,HLOOKUP(CA$14,Villagers!$B$1:$V$33,CA196+3,FALSE)),)</f>
        <v>0</v>
      </c>
      <c r="CW196" s="14">
        <f>ROUND(IF(CB196=0,0,HLOOKUP(CB$14,Villagers!$B$1:$V$33,CB196+3,FALSE)),)</f>
        <v>0</v>
      </c>
      <c r="CX196" s="14">
        <f>ROUND(IF(CC196=0,0,HLOOKUP(CC$14,Villagers!$B$1:$V$33,CC196+3,FALSE)),)</f>
        <v>0</v>
      </c>
      <c r="CY196" s="14">
        <f>ROUND(IF(CD196=0,0,HLOOKUP(CD$14,Villagers!$B$1:$V$33,CD196+3,FALSE)),)</f>
        <v>0</v>
      </c>
      <c r="CZ196" s="14">
        <f>ROUND(IF(CE196=0,0,HLOOKUP(CE$14,Villagers!$B$1:$V$33,CE196+3,FALSE)),)</f>
        <v>5</v>
      </c>
      <c r="DA196" s="14">
        <f>ROUND(IF(CF196=0,0,HLOOKUP(CF$14,Villagers!$B$1:$V$33,CF196+3,FALSE)),)</f>
        <v>10</v>
      </c>
      <c r="DB196" s="14">
        <f>ROUND(IF(CG196=0,0,HLOOKUP(CG$14,Villagers!$B$1:$V$33,CG196+3,FALSE)),)</f>
        <v>10</v>
      </c>
      <c r="DC196" s="14">
        <f>ROUND(IF(CH196=0,0,HLOOKUP(CH$14,Villagers!$B$1:$V$33,CH196+3,FALSE)),)</f>
        <v>0</v>
      </c>
      <c r="DD196" s="14">
        <f>ROUND(IF(CI196=0,0,HLOOKUP(CI$14,Villagers!$B$1:$V$33,CI196+3,FALSE)),)</f>
        <v>0</v>
      </c>
      <c r="DE196" s="14">
        <f>ROUND(IF(CJ196=0,0,HLOOKUP(CJ$14,Villagers!$B$1:$V$33,CJ196+3,FALSE)),)</f>
        <v>2</v>
      </c>
      <c r="DF196" s="370">
        <f>ROUND(IF(CK196=0,0,HLOOKUP(CK$14,Villagers!$B$1:$V$33,CK196+3,FALSE)),)</f>
        <v>0</v>
      </c>
      <c r="DG196" s="370">
        <f>ROUND(IF(CL196=0,0,HLOOKUP(CL$14,Villagers!$B$1:$V$33,CL196+3,FALSE)),)</f>
        <v>0</v>
      </c>
      <c r="DH196" s="34">
        <f>ROUND(IF(CM196=0,0,HLOOKUP(CM$14,Villagers!$B$1:$V$33,CM196+3,FALSE)),)</f>
        <v>0</v>
      </c>
      <c r="DI196" s="109">
        <f t="shared" si="246"/>
        <v>0</v>
      </c>
      <c r="DJ196" s="50">
        <f t="shared" si="247"/>
        <v>0</v>
      </c>
      <c r="DK196" s="50">
        <f t="shared" si="248"/>
        <v>0</v>
      </c>
      <c r="DL196" s="50">
        <f t="shared" si="249"/>
        <v>0</v>
      </c>
      <c r="DM196" s="50">
        <f t="shared" si="250"/>
        <v>0</v>
      </c>
      <c r="DN196" s="50">
        <f t="shared" si="251"/>
        <v>0</v>
      </c>
      <c r="DO196" s="50">
        <f t="shared" si="252"/>
        <v>0</v>
      </c>
      <c r="DP196" s="50">
        <f t="shared" si="253"/>
        <v>0</v>
      </c>
      <c r="DQ196" s="50">
        <f t="shared" si="231"/>
        <v>0</v>
      </c>
      <c r="DR196" s="50">
        <f t="shared" si="232"/>
        <v>0</v>
      </c>
      <c r="DS196" s="96">
        <f>Miscelaneous!$D$4*Miscelaneous!$D$2^($CI196-1)</f>
        <v>1000</v>
      </c>
      <c r="DT196" s="333">
        <f t="shared" si="213"/>
        <v>1</v>
      </c>
      <c r="DU196" s="81">
        <v>1</v>
      </c>
      <c r="DV196" s="79">
        <f t="shared" si="233"/>
        <v>0</v>
      </c>
      <c r="DW196" s="79">
        <f t="shared" si="234"/>
        <v>0</v>
      </c>
      <c r="DX196" s="79">
        <f t="shared" si="235"/>
        <v>0</v>
      </c>
      <c r="DY196" s="79">
        <v>1</v>
      </c>
      <c r="DZ196" s="79">
        <f t="shared" si="236"/>
        <v>0</v>
      </c>
      <c r="EA196" s="79">
        <f t="shared" si="237"/>
        <v>0</v>
      </c>
      <c r="EB196" s="79">
        <f t="shared" si="238"/>
        <v>0</v>
      </c>
      <c r="EC196" s="79">
        <f t="shared" si="239"/>
        <v>0</v>
      </c>
      <c r="ED196" s="79">
        <v>1</v>
      </c>
      <c r="EE196" s="79">
        <v>1</v>
      </c>
      <c r="EF196" s="79">
        <f t="shared" si="240"/>
        <v>0</v>
      </c>
      <c r="EG196" s="79">
        <v>1</v>
      </c>
      <c r="EH196" s="79">
        <v>1</v>
      </c>
      <c r="EI196" s="79">
        <v>1</v>
      </c>
      <c r="EJ196" s="79">
        <v>1</v>
      </c>
      <c r="EK196" s="79">
        <v>1</v>
      </c>
      <c r="EL196" s="79">
        <v>1</v>
      </c>
      <c r="EM196" s="143">
        <f t="shared" si="241"/>
        <v>0</v>
      </c>
      <c r="EN196" s="143">
        <f t="shared" si="242"/>
        <v>0</v>
      </c>
      <c r="EO196" s="82">
        <f t="shared" si="243"/>
        <v>0</v>
      </c>
    </row>
    <row r="197" spans="1:145" x14ac:dyDescent="0.25">
      <c r="A197">
        <v>183</v>
      </c>
      <c r="B197" s="172" t="e">
        <f t="shared" si="214"/>
        <v>#N/A</v>
      </c>
      <c r="C197" s="121" t="e">
        <f t="shared" si="193"/>
        <v>#N/A</v>
      </c>
      <c r="D197" s="122" t="e">
        <f t="shared" si="194"/>
        <v>#N/A</v>
      </c>
      <c r="E197" s="122" t="e">
        <f t="shared" si="195"/>
        <v>#N/A</v>
      </c>
      <c r="F197" s="176" t="e">
        <f t="shared" si="196"/>
        <v>#N/A</v>
      </c>
      <c r="G197" s="121">
        <f t="shared" si="215"/>
        <v>208</v>
      </c>
      <c r="H197" s="176" t="e">
        <f t="shared" si="216"/>
        <v>#N/A</v>
      </c>
      <c r="I197" s="48">
        <v>1</v>
      </c>
      <c r="J197" s="39"/>
      <c r="K197" s="350">
        <v>1</v>
      </c>
      <c r="L197" s="34" t="e">
        <f t="shared" si="197"/>
        <v>#N/A</v>
      </c>
      <c r="M197" s="38" t="e">
        <f>(HLOOKUP(J197,'Construction Times'!$B$3:$W$34,L197+2,FALSE)*HLOOKUP("hq modifier",'Construction Times'!$W$3:$W$34,BS197+2,FALSE))*(1-$H$9)</f>
        <v>#N/A</v>
      </c>
      <c r="N197" s="443" t="e">
        <f t="shared" si="217"/>
        <v>#N/A</v>
      </c>
      <c r="O197" s="444"/>
      <c r="P197" s="447" t="e">
        <f t="shared" si="218"/>
        <v>#N/A</v>
      </c>
      <c r="Q197" s="448"/>
      <c r="R197" s="103">
        <f t="shared" si="244"/>
        <v>0</v>
      </c>
      <c r="S197" s="104">
        <f t="shared" si="244"/>
        <v>0</v>
      </c>
      <c r="T197" s="104">
        <f t="shared" si="245"/>
        <v>0</v>
      </c>
      <c r="U197" s="104">
        <f t="shared" si="245"/>
        <v>0</v>
      </c>
      <c r="V197" s="104">
        <f t="shared" si="245"/>
        <v>9.9999999999999995E-8</v>
      </c>
      <c r="W197" s="104">
        <f t="shared" si="245"/>
        <v>0</v>
      </c>
      <c r="X197" s="104">
        <f t="shared" si="273"/>
        <v>0</v>
      </c>
      <c r="Y197" s="104">
        <f t="shared" si="273"/>
        <v>9.9999999999999995E-8</v>
      </c>
      <c r="Z197" s="104">
        <f t="shared" si="273"/>
        <v>9.9999999999999995E-8</v>
      </c>
      <c r="AA197" s="105">
        <f t="shared" si="273"/>
        <v>9.9999999999999995E-8</v>
      </c>
      <c r="AB197" s="101" t="e">
        <f>$DT197*HLOOKUP($J197,'Construction Costs (timber)'!$B$1:$V$32,'Construction Planner'!$L197+2,FALSE)</f>
        <v>#N/A</v>
      </c>
      <c r="AC197" s="14" t="e">
        <f>$DT197*HLOOKUP($J197,'Construction Costs (clay)'!$B$1:$V$32,'Construction Planner'!$L197+2,FALSE)</f>
        <v>#N/A</v>
      </c>
      <c r="AD197" s="14" t="e">
        <f>$DT197*HLOOKUP($J197,'Construction Costs (iron)'!$B$1:$V$32,'Construction Planner'!$L197+2,FALSE)</f>
        <v>#N/A</v>
      </c>
      <c r="AE197" s="34" t="e">
        <f t="shared" si="254"/>
        <v>#N/A</v>
      </c>
      <c r="AF197" s="33" t="e">
        <f t="shared" si="198"/>
        <v>#N/A</v>
      </c>
      <c r="AG197" s="14" t="e">
        <f t="shared" si="199"/>
        <v>#N/A</v>
      </c>
      <c r="AH197" s="14" t="e">
        <f t="shared" si="200"/>
        <v>#N/A</v>
      </c>
      <c r="AI197" s="34" t="e">
        <f t="shared" si="255"/>
        <v>#N/A</v>
      </c>
      <c r="AJ197" s="49" t="e">
        <f t="shared" si="219"/>
        <v>#N/A</v>
      </c>
      <c r="AK197" s="49" t="e">
        <f t="shared" si="220"/>
        <v>#N/A</v>
      </c>
      <c r="AL197" s="49" t="e">
        <f t="shared" si="221"/>
        <v>#N/A</v>
      </c>
      <c r="AM197" s="25">
        <f t="shared" si="201"/>
        <v>30</v>
      </c>
      <c r="AN197" s="25">
        <f t="shared" si="202"/>
        <v>30</v>
      </c>
      <c r="AO197" s="25">
        <f t="shared" si="203"/>
        <v>30</v>
      </c>
      <c r="AP197" s="52" t="e">
        <f t="shared" si="222"/>
        <v>#N/A</v>
      </c>
      <c r="AQ197" s="53" t="e">
        <f t="shared" si="222"/>
        <v>#N/A</v>
      </c>
      <c r="AR197" s="54" t="e">
        <f t="shared" si="222"/>
        <v>#N/A</v>
      </c>
      <c r="AS197" s="316">
        <f t="shared" si="280"/>
        <v>0</v>
      </c>
      <c r="AT197" s="106">
        <f>_xlfn.IFNA($M197/VLOOKUP($BT197,'Unit information'!$A$2:$K$29,2,FALSE)*R197,0)*(1+$E$9)</f>
        <v>0</v>
      </c>
      <c r="AU197" s="107">
        <f>_xlfn.IFNA($M197/VLOOKUP($BT197,'Unit information'!$A$2:$K$29,3,FALSE)*S197,0)*(1+$E$9)</f>
        <v>0</v>
      </c>
      <c r="AV197" s="107">
        <f>_xlfn.IFNA($M197/VLOOKUP($BT197,'Unit information'!$A$2:$K$29,4,FALSE)*T197,0)*(1+$E$9)</f>
        <v>0</v>
      </c>
      <c r="AW197" s="107">
        <f>_xlfn.IFNA($M197/VLOOKUP($BT197,'Unit information'!$A$2:$K$29,5,FALSE)*U197,0)*(1+$E$9)</f>
        <v>0</v>
      </c>
      <c r="AX197" s="107">
        <f>_xlfn.IFNA($M197/VLOOKUP($BU197,'Unit information'!$A$2:$K$29,6,FALSE)*V197,0)*(1+$E$9)</f>
        <v>0</v>
      </c>
      <c r="AY197" s="107">
        <f>_xlfn.IFNA($M197/VLOOKUP($BU197,'Unit information'!$A$2:$K$29,7,FALSE)*W197,0)*(1+$E$9)</f>
        <v>0</v>
      </c>
      <c r="AZ197" s="107">
        <f>_xlfn.IFNA($M197/VLOOKUP($BU197,'Unit information'!$A$2:$K$29,8,FALSE)*X197,0)*(1+$E$9)</f>
        <v>0</v>
      </c>
      <c r="BA197" s="107">
        <f>_xlfn.IFNA($M197/VLOOKUP($BU197,'Unit information'!$A$2:$K$29,9,FALSE)*Y197,0)*(1+$E$9)</f>
        <v>0</v>
      </c>
      <c r="BB197" s="107">
        <f>_xlfn.IFNA($M197/VLOOKUP($BV197,'Unit information'!$A$2:$K$29,10,FALSE)*Z197,0)*(1+$E$9)</f>
        <v>0</v>
      </c>
      <c r="BC197" s="108">
        <f>_xlfn.IFNA($M197/VLOOKUP($BV197,'Unit information'!$A$2:$K$29,11,FALSE)*AA197,0)*(1+$E$9)</f>
        <v>0</v>
      </c>
      <c r="BD197" s="106">
        <f t="shared" si="204"/>
        <v>0</v>
      </c>
      <c r="BE197" s="107">
        <f t="shared" si="205"/>
        <v>0</v>
      </c>
      <c r="BF197" s="108">
        <f t="shared" si="206"/>
        <v>0</v>
      </c>
      <c r="BG197" s="25" t="e">
        <f t="shared" si="207"/>
        <v>#N/A</v>
      </c>
      <c r="BH197" s="25" t="e">
        <f t="shared" si="208"/>
        <v>#N/A</v>
      </c>
      <c r="BI197" s="25" t="e">
        <f t="shared" si="209"/>
        <v>#N/A</v>
      </c>
      <c r="BJ197" s="27" t="e">
        <f t="shared" si="210"/>
        <v>#N/A</v>
      </c>
      <c r="BK197" s="18" t="e">
        <f t="shared" si="211"/>
        <v>#N/A</v>
      </c>
      <c r="BL197" s="18" t="e">
        <f t="shared" si="212"/>
        <v>#N/A</v>
      </c>
      <c r="BM197" s="28" t="e">
        <f t="shared" si="257"/>
        <v>#N/A</v>
      </c>
      <c r="BN197" s="33">
        <f>HLOOKUP("maximum population",Miscelaneous!$C$1:$C$33,CH197+3,FALSE)</f>
        <v>240</v>
      </c>
      <c r="BO197" s="14">
        <f t="shared" si="223"/>
        <v>32</v>
      </c>
      <c r="BP197" s="14">
        <f t="shared" si="224"/>
        <v>0</v>
      </c>
      <c r="BQ197" s="14">
        <f t="shared" si="225"/>
        <v>208</v>
      </c>
      <c r="BR197" s="34" t="e">
        <f>HLOOKUP(J197,Villagers!$B$1:$V$33,L197+3,FALSE)-HLOOKUP(J197,Villagers!$B$1:$V$33,L197+2,FALSE)</f>
        <v>#N/A</v>
      </c>
      <c r="BS197" s="49">
        <f t="shared" si="226"/>
        <v>1</v>
      </c>
      <c r="BT197" s="50">
        <f t="shared" si="227"/>
        <v>0</v>
      </c>
      <c r="BU197" s="50">
        <f t="shared" si="228"/>
        <v>0</v>
      </c>
      <c r="BV197" s="50">
        <f t="shared" si="229"/>
        <v>0</v>
      </c>
      <c r="BW197" s="50">
        <f t="shared" si="279"/>
        <v>0</v>
      </c>
      <c r="BX197" s="50">
        <f t="shared" si="279"/>
        <v>0</v>
      </c>
      <c r="BY197" s="50">
        <f t="shared" si="279"/>
        <v>0</v>
      </c>
      <c r="BZ197" s="50">
        <f t="shared" si="260"/>
        <v>0</v>
      </c>
      <c r="CA197" s="50">
        <f t="shared" si="261"/>
        <v>0</v>
      </c>
      <c r="CB197" s="50">
        <f t="shared" si="262"/>
        <v>1</v>
      </c>
      <c r="CC197" s="50">
        <f t="shared" si="263"/>
        <v>0</v>
      </c>
      <c r="CD197" s="50">
        <f t="shared" si="264"/>
        <v>0</v>
      </c>
      <c r="CE197" s="50">
        <f t="shared" si="265"/>
        <v>1</v>
      </c>
      <c r="CF197" s="50">
        <f t="shared" si="266"/>
        <v>1</v>
      </c>
      <c r="CG197" s="50">
        <f t="shared" si="267"/>
        <v>1</v>
      </c>
      <c r="CH197" s="50">
        <f t="shared" si="268"/>
        <v>1</v>
      </c>
      <c r="CI197" s="50">
        <f t="shared" si="269"/>
        <v>1</v>
      </c>
      <c r="CJ197" s="50">
        <f t="shared" si="270"/>
        <v>1</v>
      </c>
      <c r="CK197" s="50">
        <f t="shared" si="270"/>
        <v>0</v>
      </c>
      <c r="CL197" s="50">
        <f t="shared" si="270"/>
        <v>0</v>
      </c>
      <c r="CM197" s="51">
        <f t="shared" si="274"/>
        <v>0</v>
      </c>
      <c r="CN197" s="33">
        <f>ROUND(IF(BS197=0,0,HLOOKUP(BS$14,Villagers!$B$1:$V$33,BS197+3,FALSE)),)</f>
        <v>5</v>
      </c>
      <c r="CO197" s="14">
        <f>ROUND(IF(BT197=0,0,HLOOKUP(BT$14,Villagers!$B$1:$V$33,BT197+3,FALSE)),)</f>
        <v>0</v>
      </c>
      <c r="CP197" s="14">
        <f>ROUND(IF(BU197=0,0,HLOOKUP(BU$14,Villagers!$B$1:$V$33,BU197+3,FALSE)),)</f>
        <v>0</v>
      </c>
      <c r="CQ197" s="14">
        <f>ROUND(IF(BV197=0,0,HLOOKUP(BV$14,Villagers!$B$1:$V$33,BV197+3,FALSE)),)</f>
        <v>0</v>
      </c>
      <c r="CR197" s="14">
        <f>ROUND(IF(BW197=0,0,HLOOKUP(BW$14,Villagers!$B$1:$V$33,BW197+3,FALSE)),)</f>
        <v>0</v>
      </c>
      <c r="CS197" s="14">
        <f>ROUND(IF(BX197=0,0,HLOOKUP(BX$14,Villagers!$B$1:$V$33,BX197+3,FALSE)),)</f>
        <v>0</v>
      </c>
      <c r="CT197" s="14">
        <f>ROUND(IF(BY197=0,0,HLOOKUP(BY$14,Villagers!$B$1:$V$33,BY197+3,FALSE)),)</f>
        <v>0</v>
      </c>
      <c r="CU197" s="14">
        <f>ROUND(IF(BZ197=0,0,HLOOKUP(BZ$14,Villagers!$B$1:$V$33,BZ197+3,FALSE)),)</f>
        <v>0</v>
      </c>
      <c r="CV197" s="14">
        <f>ROUND(IF(CA197=0,0,HLOOKUP(CA$14,Villagers!$B$1:$V$33,CA197+3,FALSE)),)</f>
        <v>0</v>
      </c>
      <c r="CW197" s="14">
        <f>ROUND(IF(CB197=0,0,HLOOKUP(CB$14,Villagers!$B$1:$V$33,CB197+3,FALSE)),)</f>
        <v>0</v>
      </c>
      <c r="CX197" s="14">
        <f>ROUND(IF(CC197=0,0,HLOOKUP(CC$14,Villagers!$B$1:$V$33,CC197+3,FALSE)),)</f>
        <v>0</v>
      </c>
      <c r="CY197" s="14">
        <f>ROUND(IF(CD197=0,0,HLOOKUP(CD$14,Villagers!$B$1:$V$33,CD197+3,FALSE)),)</f>
        <v>0</v>
      </c>
      <c r="CZ197" s="14">
        <f>ROUND(IF(CE197=0,0,HLOOKUP(CE$14,Villagers!$B$1:$V$33,CE197+3,FALSE)),)</f>
        <v>5</v>
      </c>
      <c r="DA197" s="14">
        <f>ROUND(IF(CF197=0,0,HLOOKUP(CF$14,Villagers!$B$1:$V$33,CF197+3,FALSE)),)</f>
        <v>10</v>
      </c>
      <c r="DB197" s="14">
        <f>ROUND(IF(CG197=0,0,HLOOKUP(CG$14,Villagers!$B$1:$V$33,CG197+3,FALSE)),)</f>
        <v>10</v>
      </c>
      <c r="DC197" s="14">
        <f>ROUND(IF(CH197=0,0,HLOOKUP(CH$14,Villagers!$B$1:$V$33,CH197+3,FALSE)),)</f>
        <v>0</v>
      </c>
      <c r="DD197" s="14">
        <f>ROUND(IF(CI197=0,0,HLOOKUP(CI$14,Villagers!$B$1:$V$33,CI197+3,FALSE)),)</f>
        <v>0</v>
      </c>
      <c r="DE197" s="14">
        <f>ROUND(IF(CJ197=0,0,HLOOKUP(CJ$14,Villagers!$B$1:$V$33,CJ197+3,FALSE)),)</f>
        <v>2</v>
      </c>
      <c r="DF197" s="370">
        <f>ROUND(IF(CK197=0,0,HLOOKUP(CK$14,Villagers!$B$1:$V$33,CK197+3,FALSE)),)</f>
        <v>0</v>
      </c>
      <c r="DG197" s="370">
        <f>ROUND(IF(CL197=0,0,HLOOKUP(CL$14,Villagers!$B$1:$V$33,CL197+3,FALSE)),)</f>
        <v>0</v>
      </c>
      <c r="DH197" s="34">
        <f>ROUND(IF(CM197=0,0,HLOOKUP(CM$14,Villagers!$B$1:$V$33,CM197+3,FALSE)),)</f>
        <v>0</v>
      </c>
      <c r="DI197" s="109">
        <f t="shared" si="246"/>
        <v>0</v>
      </c>
      <c r="DJ197" s="50">
        <f t="shared" si="247"/>
        <v>0</v>
      </c>
      <c r="DK197" s="50">
        <f t="shared" si="248"/>
        <v>0</v>
      </c>
      <c r="DL197" s="50">
        <f t="shared" si="249"/>
        <v>0</v>
      </c>
      <c r="DM197" s="50">
        <f t="shared" si="250"/>
        <v>0</v>
      </c>
      <c r="DN197" s="50">
        <f t="shared" si="251"/>
        <v>0</v>
      </c>
      <c r="DO197" s="50">
        <f t="shared" si="252"/>
        <v>0</v>
      </c>
      <c r="DP197" s="50">
        <f t="shared" si="253"/>
        <v>0</v>
      </c>
      <c r="DQ197" s="50">
        <f t="shared" si="231"/>
        <v>0</v>
      </c>
      <c r="DR197" s="50">
        <f t="shared" si="232"/>
        <v>0</v>
      </c>
      <c r="DS197" s="96">
        <f>Miscelaneous!$D$4*Miscelaneous!$D$2^($CI197-1)</f>
        <v>1000</v>
      </c>
      <c r="DT197" s="333">
        <f t="shared" si="213"/>
        <v>1</v>
      </c>
      <c r="DU197" s="81">
        <v>1</v>
      </c>
      <c r="DV197" s="79">
        <f t="shared" si="233"/>
        <v>0</v>
      </c>
      <c r="DW197" s="79">
        <f t="shared" si="234"/>
        <v>0</v>
      </c>
      <c r="DX197" s="79">
        <f t="shared" si="235"/>
        <v>0</v>
      </c>
      <c r="DY197" s="79">
        <v>1</v>
      </c>
      <c r="DZ197" s="79">
        <f t="shared" si="236"/>
        <v>0</v>
      </c>
      <c r="EA197" s="79">
        <f t="shared" si="237"/>
        <v>0</v>
      </c>
      <c r="EB197" s="79">
        <f t="shared" si="238"/>
        <v>0</v>
      </c>
      <c r="EC197" s="79">
        <f t="shared" si="239"/>
        <v>0</v>
      </c>
      <c r="ED197" s="79">
        <v>1</v>
      </c>
      <c r="EE197" s="79">
        <v>1</v>
      </c>
      <c r="EF197" s="79">
        <f t="shared" si="240"/>
        <v>0</v>
      </c>
      <c r="EG197" s="79">
        <v>1</v>
      </c>
      <c r="EH197" s="79">
        <v>1</v>
      </c>
      <c r="EI197" s="79">
        <v>1</v>
      </c>
      <c r="EJ197" s="79">
        <v>1</v>
      </c>
      <c r="EK197" s="79">
        <v>1</v>
      </c>
      <c r="EL197" s="79">
        <v>1</v>
      </c>
      <c r="EM197" s="143">
        <f t="shared" si="241"/>
        <v>0</v>
      </c>
      <c r="EN197" s="143">
        <f t="shared" si="242"/>
        <v>0</v>
      </c>
      <c r="EO197" s="82">
        <f t="shared" si="243"/>
        <v>0</v>
      </c>
    </row>
    <row r="198" spans="1:145" x14ac:dyDescent="0.25">
      <c r="A198">
        <v>184</v>
      </c>
      <c r="B198" s="172" t="e">
        <f t="shared" si="214"/>
        <v>#N/A</v>
      </c>
      <c r="C198" s="121" t="e">
        <f t="shared" si="193"/>
        <v>#N/A</v>
      </c>
      <c r="D198" s="122" t="e">
        <f t="shared" si="194"/>
        <v>#N/A</v>
      </c>
      <c r="E198" s="122" t="e">
        <f t="shared" si="195"/>
        <v>#N/A</v>
      </c>
      <c r="F198" s="176" t="e">
        <f t="shared" si="196"/>
        <v>#N/A</v>
      </c>
      <c r="G198" s="121">
        <f t="shared" si="215"/>
        <v>208</v>
      </c>
      <c r="H198" s="176" t="e">
        <f t="shared" si="216"/>
        <v>#N/A</v>
      </c>
      <c r="I198" s="48">
        <v>1</v>
      </c>
      <c r="J198" s="39"/>
      <c r="K198" s="350">
        <v>1</v>
      </c>
      <c r="L198" s="34" t="e">
        <f t="shared" si="197"/>
        <v>#N/A</v>
      </c>
      <c r="M198" s="38" t="e">
        <f>(HLOOKUP(J198,'Construction Times'!$B$3:$W$34,L198+2,FALSE)*HLOOKUP("hq modifier",'Construction Times'!$W$3:$W$34,BS198+2,FALSE))*(1-$H$9)</f>
        <v>#N/A</v>
      </c>
      <c r="N198" s="443" t="e">
        <f t="shared" si="217"/>
        <v>#N/A</v>
      </c>
      <c r="O198" s="444"/>
      <c r="P198" s="447" t="e">
        <f t="shared" si="218"/>
        <v>#N/A</v>
      </c>
      <c r="Q198" s="448"/>
      <c r="R198" s="103">
        <f t="shared" si="244"/>
        <v>0</v>
      </c>
      <c r="S198" s="104">
        <f t="shared" si="244"/>
        <v>0</v>
      </c>
      <c r="T198" s="104">
        <f t="shared" si="245"/>
        <v>0</v>
      </c>
      <c r="U198" s="104">
        <f t="shared" si="245"/>
        <v>0</v>
      </c>
      <c r="V198" s="104">
        <f t="shared" si="245"/>
        <v>9.9999999999999995E-8</v>
      </c>
      <c r="W198" s="104">
        <f t="shared" si="245"/>
        <v>0</v>
      </c>
      <c r="X198" s="104">
        <f t="shared" si="273"/>
        <v>0</v>
      </c>
      <c r="Y198" s="104">
        <f t="shared" si="273"/>
        <v>9.9999999999999995E-8</v>
      </c>
      <c r="Z198" s="104">
        <f t="shared" si="273"/>
        <v>9.9999999999999995E-8</v>
      </c>
      <c r="AA198" s="105">
        <f t="shared" si="273"/>
        <v>9.9999999999999995E-8</v>
      </c>
      <c r="AB198" s="101" t="e">
        <f>$DT198*HLOOKUP($J198,'Construction Costs (timber)'!$B$1:$V$32,'Construction Planner'!$L198+2,FALSE)</f>
        <v>#N/A</v>
      </c>
      <c r="AC198" s="14" t="e">
        <f>$DT198*HLOOKUP($J198,'Construction Costs (clay)'!$B$1:$V$32,'Construction Planner'!$L198+2,FALSE)</f>
        <v>#N/A</v>
      </c>
      <c r="AD198" s="14" t="e">
        <f>$DT198*HLOOKUP($J198,'Construction Costs (iron)'!$B$1:$V$32,'Construction Planner'!$L198+2,FALSE)</f>
        <v>#N/A</v>
      </c>
      <c r="AE198" s="34" t="e">
        <f t="shared" si="254"/>
        <v>#N/A</v>
      </c>
      <c r="AF198" s="33" t="e">
        <f t="shared" si="198"/>
        <v>#N/A</v>
      </c>
      <c r="AG198" s="14" t="e">
        <f t="shared" si="199"/>
        <v>#N/A</v>
      </c>
      <c r="AH198" s="14" t="e">
        <f t="shared" si="200"/>
        <v>#N/A</v>
      </c>
      <c r="AI198" s="34" t="e">
        <f t="shared" si="255"/>
        <v>#N/A</v>
      </c>
      <c r="AJ198" s="49" t="e">
        <f t="shared" si="219"/>
        <v>#N/A</v>
      </c>
      <c r="AK198" s="49" t="e">
        <f t="shared" si="220"/>
        <v>#N/A</v>
      </c>
      <c r="AL198" s="49" t="e">
        <f t="shared" si="221"/>
        <v>#N/A</v>
      </c>
      <c r="AM198" s="25">
        <f t="shared" si="201"/>
        <v>30</v>
      </c>
      <c r="AN198" s="25">
        <f t="shared" si="202"/>
        <v>30</v>
      </c>
      <c r="AO198" s="25">
        <f t="shared" si="203"/>
        <v>30</v>
      </c>
      <c r="AP198" s="52" t="e">
        <f t="shared" si="222"/>
        <v>#N/A</v>
      </c>
      <c r="AQ198" s="53" t="e">
        <f t="shared" si="222"/>
        <v>#N/A</v>
      </c>
      <c r="AR198" s="54" t="e">
        <f t="shared" si="222"/>
        <v>#N/A</v>
      </c>
      <c r="AS198" s="316">
        <f t="shared" si="280"/>
        <v>0</v>
      </c>
      <c r="AT198" s="106">
        <f>_xlfn.IFNA($M198/VLOOKUP($BT198,'Unit information'!$A$2:$K$29,2,FALSE)*R198,0)*(1+$E$9)</f>
        <v>0</v>
      </c>
      <c r="AU198" s="107">
        <f>_xlfn.IFNA($M198/VLOOKUP($BT198,'Unit information'!$A$2:$K$29,3,FALSE)*S198,0)*(1+$E$9)</f>
        <v>0</v>
      </c>
      <c r="AV198" s="107">
        <f>_xlfn.IFNA($M198/VLOOKUP($BT198,'Unit information'!$A$2:$K$29,4,FALSE)*T198,0)*(1+$E$9)</f>
        <v>0</v>
      </c>
      <c r="AW198" s="107">
        <f>_xlfn.IFNA($M198/VLOOKUP($BT198,'Unit information'!$A$2:$K$29,5,FALSE)*U198,0)*(1+$E$9)</f>
        <v>0</v>
      </c>
      <c r="AX198" s="107">
        <f>_xlfn.IFNA($M198/VLOOKUP($BU198,'Unit information'!$A$2:$K$29,6,FALSE)*V198,0)*(1+$E$9)</f>
        <v>0</v>
      </c>
      <c r="AY198" s="107">
        <f>_xlfn.IFNA($M198/VLOOKUP($BU198,'Unit information'!$A$2:$K$29,7,FALSE)*W198,0)*(1+$E$9)</f>
        <v>0</v>
      </c>
      <c r="AZ198" s="107">
        <f>_xlfn.IFNA($M198/VLOOKUP($BU198,'Unit information'!$A$2:$K$29,8,FALSE)*X198,0)*(1+$E$9)</f>
        <v>0</v>
      </c>
      <c r="BA198" s="107">
        <f>_xlfn.IFNA($M198/VLOOKUP($BU198,'Unit information'!$A$2:$K$29,9,FALSE)*Y198,0)*(1+$E$9)</f>
        <v>0</v>
      </c>
      <c r="BB198" s="107">
        <f>_xlfn.IFNA($M198/VLOOKUP($BV198,'Unit information'!$A$2:$K$29,10,FALSE)*Z198,0)*(1+$E$9)</f>
        <v>0</v>
      </c>
      <c r="BC198" s="108">
        <f>_xlfn.IFNA($M198/VLOOKUP($BV198,'Unit information'!$A$2:$K$29,11,FALSE)*AA198,0)*(1+$E$9)</f>
        <v>0</v>
      </c>
      <c r="BD198" s="106">
        <f t="shared" si="204"/>
        <v>0</v>
      </c>
      <c r="BE198" s="107">
        <f t="shared" si="205"/>
        <v>0</v>
      </c>
      <c r="BF198" s="108">
        <f t="shared" si="206"/>
        <v>0</v>
      </c>
      <c r="BG198" s="25" t="e">
        <f t="shared" si="207"/>
        <v>#N/A</v>
      </c>
      <c r="BH198" s="25" t="e">
        <f t="shared" si="208"/>
        <v>#N/A</v>
      </c>
      <c r="BI198" s="25" t="e">
        <f t="shared" si="209"/>
        <v>#N/A</v>
      </c>
      <c r="BJ198" s="27" t="e">
        <f t="shared" si="210"/>
        <v>#N/A</v>
      </c>
      <c r="BK198" s="18" t="e">
        <f t="shared" si="211"/>
        <v>#N/A</v>
      </c>
      <c r="BL198" s="18" t="e">
        <f t="shared" si="212"/>
        <v>#N/A</v>
      </c>
      <c r="BM198" s="28" t="e">
        <f t="shared" si="257"/>
        <v>#N/A</v>
      </c>
      <c r="BN198" s="33">
        <f>HLOOKUP("maximum population",Miscelaneous!$C$1:$C$33,CH198+3,FALSE)</f>
        <v>240</v>
      </c>
      <c r="BO198" s="14">
        <f t="shared" si="223"/>
        <v>32</v>
      </c>
      <c r="BP198" s="14">
        <f t="shared" si="224"/>
        <v>0</v>
      </c>
      <c r="BQ198" s="14">
        <f t="shared" si="225"/>
        <v>208</v>
      </c>
      <c r="BR198" s="34" t="e">
        <f>HLOOKUP(J198,Villagers!$B$1:$V$33,L198+3,FALSE)-HLOOKUP(J198,Villagers!$B$1:$V$33,L198+2,FALSE)</f>
        <v>#N/A</v>
      </c>
      <c r="BS198" s="49">
        <f t="shared" si="226"/>
        <v>1</v>
      </c>
      <c r="BT198" s="50">
        <f t="shared" si="227"/>
        <v>0</v>
      </c>
      <c r="BU198" s="50">
        <f t="shared" si="228"/>
        <v>0</v>
      </c>
      <c r="BV198" s="50">
        <f t="shared" si="229"/>
        <v>0</v>
      </c>
      <c r="BW198" s="50">
        <f t="shared" si="279"/>
        <v>0</v>
      </c>
      <c r="BX198" s="50">
        <f t="shared" si="279"/>
        <v>0</v>
      </c>
      <c r="BY198" s="50">
        <f t="shared" si="279"/>
        <v>0</v>
      </c>
      <c r="BZ198" s="50">
        <f t="shared" si="260"/>
        <v>0</v>
      </c>
      <c r="CA198" s="50">
        <f t="shared" si="261"/>
        <v>0</v>
      </c>
      <c r="CB198" s="50">
        <f t="shared" si="262"/>
        <v>1</v>
      </c>
      <c r="CC198" s="50">
        <f t="shared" si="263"/>
        <v>0</v>
      </c>
      <c r="CD198" s="50">
        <f t="shared" si="264"/>
        <v>0</v>
      </c>
      <c r="CE198" s="50">
        <f t="shared" si="265"/>
        <v>1</v>
      </c>
      <c r="CF198" s="50">
        <f t="shared" si="266"/>
        <v>1</v>
      </c>
      <c r="CG198" s="50">
        <f t="shared" si="267"/>
        <v>1</v>
      </c>
      <c r="CH198" s="50">
        <f t="shared" si="268"/>
        <v>1</v>
      </c>
      <c r="CI198" s="50">
        <f t="shared" si="269"/>
        <v>1</v>
      </c>
      <c r="CJ198" s="50">
        <f t="shared" si="270"/>
        <v>1</v>
      </c>
      <c r="CK198" s="50">
        <f t="shared" si="270"/>
        <v>0</v>
      </c>
      <c r="CL198" s="50">
        <f t="shared" si="270"/>
        <v>0</v>
      </c>
      <c r="CM198" s="51">
        <f t="shared" si="274"/>
        <v>0</v>
      </c>
      <c r="CN198" s="33">
        <f>ROUND(IF(BS198=0,0,HLOOKUP(BS$14,Villagers!$B$1:$V$33,BS198+3,FALSE)),)</f>
        <v>5</v>
      </c>
      <c r="CO198" s="14">
        <f>ROUND(IF(BT198=0,0,HLOOKUP(BT$14,Villagers!$B$1:$V$33,BT198+3,FALSE)),)</f>
        <v>0</v>
      </c>
      <c r="CP198" s="14">
        <f>ROUND(IF(BU198=0,0,HLOOKUP(BU$14,Villagers!$B$1:$V$33,BU198+3,FALSE)),)</f>
        <v>0</v>
      </c>
      <c r="CQ198" s="14">
        <f>ROUND(IF(BV198=0,0,HLOOKUP(BV$14,Villagers!$B$1:$V$33,BV198+3,FALSE)),)</f>
        <v>0</v>
      </c>
      <c r="CR198" s="14">
        <f>ROUND(IF(BW198=0,0,HLOOKUP(BW$14,Villagers!$B$1:$V$33,BW198+3,FALSE)),)</f>
        <v>0</v>
      </c>
      <c r="CS198" s="14">
        <f>ROUND(IF(BX198=0,0,HLOOKUP(BX$14,Villagers!$B$1:$V$33,BX198+3,FALSE)),)</f>
        <v>0</v>
      </c>
      <c r="CT198" s="14">
        <f>ROUND(IF(BY198=0,0,HLOOKUP(BY$14,Villagers!$B$1:$V$33,BY198+3,FALSE)),)</f>
        <v>0</v>
      </c>
      <c r="CU198" s="14">
        <f>ROUND(IF(BZ198=0,0,HLOOKUP(BZ$14,Villagers!$B$1:$V$33,BZ198+3,FALSE)),)</f>
        <v>0</v>
      </c>
      <c r="CV198" s="14">
        <f>ROUND(IF(CA198=0,0,HLOOKUP(CA$14,Villagers!$B$1:$V$33,CA198+3,FALSE)),)</f>
        <v>0</v>
      </c>
      <c r="CW198" s="14">
        <f>ROUND(IF(CB198=0,0,HLOOKUP(CB$14,Villagers!$B$1:$V$33,CB198+3,FALSE)),)</f>
        <v>0</v>
      </c>
      <c r="CX198" s="14">
        <f>ROUND(IF(CC198=0,0,HLOOKUP(CC$14,Villagers!$B$1:$V$33,CC198+3,FALSE)),)</f>
        <v>0</v>
      </c>
      <c r="CY198" s="14">
        <f>ROUND(IF(CD198=0,0,HLOOKUP(CD$14,Villagers!$B$1:$V$33,CD198+3,FALSE)),)</f>
        <v>0</v>
      </c>
      <c r="CZ198" s="14">
        <f>ROUND(IF(CE198=0,0,HLOOKUP(CE$14,Villagers!$B$1:$V$33,CE198+3,FALSE)),)</f>
        <v>5</v>
      </c>
      <c r="DA198" s="14">
        <f>ROUND(IF(CF198=0,0,HLOOKUP(CF$14,Villagers!$B$1:$V$33,CF198+3,FALSE)),)</f>
        <v>10</v>
      </c>
      <c r="DB198" s="14">
        <f>ROUND(IF(CG198=0,0,HLOOKUP(CG$14,Villagers!$B$1:$V$33,CG198+3,FALSE)),)</f>
        <v>10</v>
      </c>
      <c r="DC198" s="14">
        <f>ROUND(IF(CH198=0,0,HLOOKUP(CH$14,Villagers!$B$1:$V$33,CH198+3,FALSE)),)</f>
        <v>0</v>
      </c>
      <c r="DD198" s="14">
        <f>ROUND(IF(CI198=0,0,HLOOKUP(CI$14,Villagers!$B$1:$V$33,CI198+3,FALSE)),)</f>
        <v>0</v>
      </c>
      <c r="DE198" s="14">
        <f>ROUND(IF(CJ198=0,0,HLOOKUP(CJ$14,Villagers!$B$1:$V$33,CJ198+3,FALSE)),)</f>
        <v>2</v>
      </c>
      <c r="DF198" s="370">
        <f>ROUND(IF(CK198=0,0,HLOOKUP(CK$14,Villagers!$B$1:$V$33,CK198+3,FALSE)),)</f>
        <v>0</v>
      </c>
      <c r="DG198" s="370">
        <f>ROUND(IF(CL198=0,0,HLOOKUP(CL$14,Villagers!$B$1:$V$33,CL198+3,FALSE)),)</f>
        <v>0</v>
      </c>
      <c r="DH198" s="34">
        <f>ROUND(IF(CM198=0,0,HLOOKUP(CM$14,Villagers!$B$1:$V$33,CM198+3,FALSE)),)</f>
        <v>0</v>
      </c>
      <c r="DI198" s="109">
        <f t="shared" si="246"/>
        <v>0</v>
      </c>
      <c r="DJ198" s="50">
        <f t="shared" si="247"/>
        <v>0</v>
      </c>
      <c r="DK198" s="50">
        <f t="shared" si="248"/>
        <v>0</v>
      </c>
      <c r="DL198" s="50">
        <f t="shared" si="249"/>
        <v>0</v>
      </c>
      <c r="DM198" s="50">
        <f t="shared" si="250"/>
        <v>0</v>
      </c>
      <c r="DN198" s="50">
        <f t="shared" si="251"/>
        <v>0</v>
      </c>
      <c r="DO198" s="50">
        <f t="shared" si="252"/>
        <v>0</v>
      </c>
      <c r="DP198" s="50">
        <f t="shared" si="253"/>
        <v>0</v>
      </c>
      <c r="DQ198" s="50">
        <f t="shared" si="231"/>
        <v>0</v>
      </c>
      <c r="DR198" s="50">
        <f t="shared" si="232"/>
        <v>0</v>
      </c>
      <c r="DS198" s="96">
        <f>Miscelaneous!$D$4*Miscelaneous!$D$2^($CI198-1)</f>
        <v>1000</v>
      </c>
      <c r="DT198" s="333">
        <f t="shared" si="213"/>
        <v>1</v>
      </c>
      <c r="DU198" s="81">
        <v>1</v>
      </c>
      <c r="DV198" s="79">
        <f t="shared" si="233"/>
        <v>0</v>
      </c>
      <c r="DW198" s="79">
        <f t="shared" si="234"/>
        <v>0</v>
      </c>
      <c r="DX198" s="79">
        <f t="shared" si="235"/>
        <v>0</v>
      </c>
      <c r="DY198" s="79">
        <v>1</v>
      </c>
      <c r="DZ198" s="79">
        <f t="shared" si="236"/>
        <v>0</v>
      </c>
      <c r="EA198" s="79">
        <f t="shared" si="237"/>
        <v>0</v>
      </c>
      <c r="EB198" s="79">
        <f t="shared" si="238"/>
        <v>0</v>
      </c>
      <c r="EC198" s="79">
        <f t="shared" si="239"/>
        <v>0</v>
      </c>
      <c r="ED198" s="79">
        <v>1</v>
      </c>
      <c r="EE198" s="79">
        <v>1</v>
      </c>
      <c r="EF198" s="79">
        <f t="shared" si="240"/>
        <v>0</v>
      </c>
      <c r="EG198" s="79">
        <v>1</v>
      </c>
      <c r="EH198" s="79">
        <v>1</v>
      </c>
      <c r="EI198" s="79">
        <v>1</v>
      </c>
      <c r="EJ198" s="79">
        <v>1</v>
      </c>
      <c r="EK198" s="79">
        <v>1</v>
      </c>
      <c r="EL198" s="79">
        <v>1</v>
      </c>
      <c r="EM198" s="143">
        <f t="shared" si="241"/>
        <v>0</v>
      </c>
      <c r="EN198" s="143">
        <f t="shared" si="242"/>
        <v>0</v>
      </c>
      <c r="EO198" s="82">
        <f t="shared" si="243"/>
        <v>0</v>
      </c>
    </row>
    <row r="199" spans="1:145" x14ac:dyDescent="0.25">
      <c r="A199">
        <v>185</v>
      </c>
      <c r="B199" s="172" t="e">
        <f t="shared" si="214"/>
        <v>#N/A</v>
      </c>
      <c r="C199" s="121" t="e">
        <f t="shared" si="193"/>
        <v>#N/A</v>
      </c>
      <c r="D199" s="122" t="e">
        <f t="shared" si="194"/>
        <v>#N/A</v>
      </c>
      <c r="E199" s="122" t="e">
        <f t="shared" si="195"/>
        <v>#N/A</v>
      </c>
      <c r="F199" s="176" t="e">
        <f t="shared" si="196"/>
        <v>#N/A</v>
      </c>
      <c r="G199" s="121">
        <f t="shared" si="215"/>
        <v>208</v>
      </c>
      <c r="H199" s="176" t="e">
        <f t="shared" si="216"/>
        <v>#N/A</v>
      </c>
      <c r="I199" s="48">
        <v>1</v>
      </c>
      <c r="J199" s="39"/>
      <c r="K199" s="350">
        <v>1</v>
      </c>
      <c r="L199" s="34" t="e">
        <f t="shared" si="197"/>
        <v>#N/A</v>
      </c>
      <c r="M199" s="38" t="e">
        <f>(HLOOKUP(J199,'Construction Times'!$B$3:$W$34,L199+2,FALSE)*HLOOKUP("hq modifier",'Construction Times'!$W$3:$W$34,BS199+2,FALSE))*(1-$H$9)</f>
        <v>#N/A</v>
      </c>
      <c r="N199" s="443" t="e">
        <f t="shared" si="217"/>
        <v>#N/A</v>
      </c>
      <c r="O199" s="444"/>
      <c r="P199" s="447" t="e">
        <f t="shared" si="218"/>
        <v>#N/A</v>
      </c>
      <c r="Q199" s="448"/>
      <c r="R199" s="103">
        <f t="shared" si="244"/>
        <v>0</v>
      </c>
      <c r="S199" s="104">
        <f t="shared" si="244"/>
        <v>0</v>
      </c>
      <c r="T199" s="104">
        <f t="shared" si="245"/>
        <v>0</v>
      </c>
      <c r="U199" s="104">
        <f t="shared" si="245"/>
        <v>0</v>
      </c>
      <c r="V199" s="104">
        <f t="shared" si="245"/>
        <v>9.9999999999999995E-8</v>
      </c>
      <c r="W199" s="104">
        <f t="shared" si="245"/>
        <v>0</v>
      </c>
      <c r="X199" s="104">
        <f t="shared" si="273"/>
        <v>0</v>
      </c>
      <c r="Y199" s="104">
        <f t="shared" si="273"/>
        <v>9.9999999999999995E-8</v>
      </c>
      <c r="Z199" s="104">
        <f t="shared" si="273"/>
        <v>9.9999999999999995E-8</v>
      </c>
      <c r="AA199" s="105">
        <f t="shared" si="273"/>
        <v>9.9999999999999995E-8</v>
      </c>
      <c r="AB199" s="101" t="e">
        <f>$DT199*HLOOKUP($J199,'Construction Costs (timber)'!$B$1:$V$32,'Construction Planner'!$L199+2,FALSE)</f>
        <v>#N/A</v>
      </c>
      <c r="AC199" s="14" t="e">
        <f>$DT199*HLOOKUP($J199,'Construction Costs (clay)'!$B$1:$V$32,'Construction Planner'!$L199+2,FALSE)</f>
        <v>#N/A</v>
      </c>
      <c r="AD199" s="14" t="e">
        <f>$DT199*HLOOKUP($J199,'Construction Costs (iron)'!$B$1:$V$32,'Construction Planner'!$L199+2,FALSE)</f>
        <v>#N/A</v>
      </c>
      <c r="AE199" s="34" t="e">
        <f t="shared" si="254"/>
        <v>#N/A</v>
      </c>
      <c r="AF199" s="33" t="e">
        <f t="shared" si="198"/>
        <v>#N/A</v>
      </c>
      <c r="AG199" s="14" t="e">
        <f t="shared" si="199"/>
        <v>#N/A</v>
      </c>
      <c r="AH199" s="14" t="e">
        <f t="shared" si="200"/>
        <v>#N/A</v>
      </c>
      <c r="AI199" s="34" t="e">
        <f t="shared" si="255"/>
        <v>#N/A</v>
      </c>
      <c r="AJ199" s="49" t="e">
        <f t="shared" si="219"/>
        <v>#N/A</v>
      </c>
      <c r="AK199" s="49" t="e">
        <f t="shared" si="220"/>
        <v>#N/A</v>
      </c>
      <c r="AL199" s="49" t="e">
        <f t="shared" si="221"/>
        <v>#N/A</v>
      </c>
      <c r="AM199" s="25">
        <f t="shared" si="201"/>
        <v>30</v>
      </c>
      <c r="AN199" s="25">
        <f t="shared" si="202"/>
        <v>30</v>
      </c>
      <c r="AO199" s="25">
        <f t="shared" si="203"/>
        <v>30</v>
      </c>
      <c r="AP199" s="52" t="e">
        <f t="shared" si="222"/>
        <v>#N/A</v>
      </c>
      <c r="AQ199" s="53" t="e">
        <f t="shared" si="222"/>
        <v>#N/A</v>
      </c>
      <c r="AR199" s="54" t="e">
        <f t="shared" si="222"/>
        <v>#N/A</v>
      </c>
      <c r="AS199" s="316">
        <f t="shared" si="280"/>
        <v>0</v>
      </c>
      <c r="AT199" s="106">
        <f>_xlfn.IFNA($M199/VLOOKUP($BT199,'Unit information'!$A$2:$K$29,2,FALSE)*R199,0)*(1+$E$9)</f>
        <v>0</v>
      </c>
      <c r="AU199" s="107">
        <f>_xlfn.IFNA($M199/VLOOKUP($BT199,'Unit information'!$A$2:$K$29,3,FALSE)*S199,0)*(1+$E$9)</f>
        <v>0</v>
      </c>
      <c r="AV199" s="107">
        <f>_xlfn.IFNA($M199/VLOOKUP($BT199,'Unit information'!$A$2:$K$29,4,FALSE)*T199,0)*(1+$E$9)</f>
        <v>0</v>
      </c>
      <c r="AW199" s="107">
        <f>_xlfn.IFNA($M199/VLOOKUP($BT199,'Unit information'!$A$2:$K$29,5,FALSE)*U199,0)*(1+$E$9)</f>
        <v>0</v>
      </c>
      <c r="AX199" s="107">
        <f>_xlfn.IFNA($M199/VLOOKUP($BU199,'Unit information'!$A$2:$K$29,6,FALSE)*V199,0)*(1+$E$9)</f>
        <v>0</v>
      </c>
      <c r="AY199" s="107">
        <f>_xlfn.IFNA($M199/VLOOKUP($BU199,'Unit information'!$A$2:$K$29,7,FALSE)*W199,0)*(1+$E$9)</f>
        <v>0</v>
      </c>
      <c r="AZ199" s="107">
        <f>_xlfn.IFNA($M199/VLOOKUP($BU199,'Unit information'!$A$2:$K$29,8,FALSE)*X199,0)*(1+$E$9)</f>
        <v>0</v>
      </c>
      <c r="BA199" s="107">
        <f>_xlfn.IFNA($M199/VLOOKUP($BU199,'Unit information'!$A$2:$K$29,9,FALSE)*Y199,0)*(1+$E$9)</f>
        <v>0</v>
      </c>
      <c r="BB199" s="107">
        <f>_xlfn.IFNA($M199/VLOOKUP($BV199,'Unit information'!$A$2:$K$29,10,FALSE)*Z199,0)*(1+$E$9)</f>
        <v>0</v>
      </c>
      <c r="BC199" s="108">
        <f>_xlfn.IFNA($M199/VLOOKUP($BV199,'Unit information'!$A$2:$K$29,11,FALSE)*AA199,0)*(1+$E$9)</f>
        <v>0</v>
      </c>
      <c r="BD199" s="106">
        <f t="shared" si="204"/>
        <v>0</v>
      </c>
      <c r="BE199" s="107">
        <f t="shared" si="205"/>
        <v>0</v>
      </c>
      <c r="BF199" s="108">
        <f t="shared" si="206"/>
        <v>0</v>
      </c>
      <c r="BG199" s="25" t="e">
        <f t="shared" si="207"/>
        <v>#N/A</v>
      </c>
      <c r="BH199" s="25" t="e">
        <f t="shared" si="208"/>
        <v>#N/A</v>
      </c>
      <c r="BI199" s="25" t="e">
        <f t="shared" si="209"/>
        <v>#N/A</v>
      </c>
      <c r="BJ199" s="27" t="e">
        <f t="shared" si="210"/>
        <v>#N/A</v>
      </c>
      <c r="BK199" s="18" t="e">
        <f t="shared" si="211"/>
        <v>#N/A</v>
      </c>
      <c r="BL199" s="18" t="e">
        <f t="shared" si="212"/>
        <v>#N/A</v>
      </c>
      <c r="BM199" s="28" t="e">
        <f t="shared" si="257"/>
        <v>#N/A</v>
      </c>
      <c r="BN199" s="33">
        <f>HLOOKUP("maximum population",Miscelaneous!$C$1:$C$33,CH199+3,FALSE)</f>
        <v>240</v>
      </c>
      <c r="BO199" s="14">
        <f t="shared" si="223"/>
        <v>32</v>
      </c>
      <c r="BP199" s="14">
        <f t="shared" si="224"/>
        <v>0</v>
      </c>
      <c r="BQ199" s="14">
        <f t="shared" si="225"/>
        <v>208</v>
      </c>
      <c r="BR199" s="34" t="e">
        <f>HLOOKUP(J199,Villagers!$B$1:$V$33,L199+3,FALSE)-HLOOKUP(J199,Villagers!$B$1:$V$33,L199+2,FALSE)</f>
        <v>#N/A</v>
      </c>
      <c r="BS199" s="49">
        <f t="shared" si="226"/>
        <v>1</v>
      </c>
      <c r="BT199" s="50">
        <f t="shared" si="227"/>
        <v>0</v>
      </c>
      <c r="BU199" s="50">
        <f t="shared" si="228"/>
        <v>0</v>
      </c>
      <c r="BV199" s="50">
        <f t="shared" si="229"/>
        <v>0</v>
      </c>
      <c r="BW199" s="50">
        <f>IF($J198=BW$14,$L198,BW198)</f>
        <v>0</v>
      </c>
      <c r="BX199" s="50">
        <f t="shared" ref="BX199:BY207" si="281">IF($J198=BX$14,$L198,BX198)</f>
        <v>0</v>
      </c>
      <c r="BY199" s="50">
        <f t="shared" si="281"/>
        <v>0</v>
      </c>
      <c r="BZ199" s="50">
        <f t="shared" si="260"/>
        <v>0</v>
      </c>
      <c r="CA199" s="50">
        <f t="shared" si="261"/>
        <v>0</v>
      </c>
      <c r="CB199" s="50">
        <f t="shared" si="262"/>
        <v>1</v>
      </c>
      <c r="CC199" s="50">
        <f t="shared" si="263"/>
        <v>0</v>
      </c>
      <c r="CD199" s="50">
        <f t="shared" si="264"/>
        <v>0</v>
      </c>
      <c r="CE199" s="50">
        <f t="shared" si="265"/>
        <v>1</v>
      </c>
      <c r="CF199" s="50">
        <f t="shared" si="266"/>
        <v>1</v>
      </c>
      <c r="CG199" s="50">
        <f t="shared" si="267"/>
        <v>1</v>
      </c>
      <c r="CH199" s="50">
        <f t="shared" si="268"/>
        <v>1</v>
      </c>
      <c r="CI199" s="50">
        <f t="shared" si="269"/>
        <v>1</v>
      </c>
      <c r="CJ199" s="50">
        <f t="shared" si="270"/>
        <v>1</v>
      </c>
      <c r="CK199" s="50">
        <f t="shared" si="270"/>
        <v>0</v>
      </c>
      <c r="CL199" s="50">
        <f t="shared" si="270"/>
        <v>0</v>
      </c>
      <c r="CM199" s="51">
        <f t="shared" si="274"/>
        <v>0</v>
      </c>
      <c r="CN199" s="33">
        <f>ROUND(IF(BS199=0,0,HLOOKUP(BS$14,Villagers!$B$1:$V$33,BS199+3,FALSE)),)</f>
        <v>5</v>
      </c>
      <c r="CO199" s="14">
        <f>ROUND(IF(BT199=0,0,HLOOKUP(BT$14,Villagers!$B$1:$V$33,BT199+3,FALSE)),)</f>
        <v>0</v>
      </c>
      <c r="CP199" s="14">
        <f>ROUND(IF(BU199=0,0,HLOOKUP(BU$14,Villagers!$B$1:$V$33,BU199+3,FALSE)),)</f>
        <v>0</v>
      </c>
      <c r="CQ199" s="14">
        <f>ROUND(IF(BV199=0,0,HLOOKUP(BV$14,Villagers!$B$1:$V$33,BV199+3,FALSE)),)</f>
        <v>0</v>
      </c>
      <c r="CR199" s="14">
        <f>ROUND(IF(BW199=0,0,HLOOKUP(BW$14,Villagers!$B$1:$V$33,BW199+3,FALSE)),)</f>
        <v>0</v>
      </c>
      <c r="CS199" s="14">
        <f>ROUND(IF(BX199=0,0,HLOOKUP(BX$14,Villagers!$B$1:$V$33,BX199+3,FALSE)),)</f>
        <v>0</v>
      </c>
      <c r="CT199" s="14">
        <f>ROUND(IF(BY199=0,0,HLOOKUP(BY$14,Villagers!$B$1:$V$33,BY199+3,FALSE)),)</f>
        <v>0</v>
      </c>
      <c r="CU199" s="14">
        <f>ROUND(IF(BZ199=0,0,HLOOKUP(BZ$14,Villagers!$B$1:$V$33,BZ199+3,FALSE)),)</f>
        <v>0</v>
      </c>
      <c r="CV199" s="14">
        <f>ROUND(IF(CA199=0,0,HLOOKUP(CA$14,Villagers!$B$1:$V$33,CA199+3,FALSE)),)</f>
        <v>0</v>
      </c>
      <c r="CW199" s="14">
        <f>ROUND(IF(CB199=0,0,HLOOKUP(CB$14,Villagers!$B$1:$V$33,CB199+3,FALSE)),)</f>
        <v>0</v>
      </c>
      <c r="CX199" s="14">
        <f>ROUND(IF(CC199=0,0,HLOOKUP(CC$14,Villagers!$B$1:$V$33,CC199+3,FALSE)),)</f>
        <v>0</v>
      </c>
      <c r="CY199" s="14">
        <f>ROUND(IF(CD199=0,0,HLOOKUP(CD$14,Villagers!$B$1:$V$33,CD199+3,FALSE)),)</f>
        <v>0</v>
      </c>
      <c r="CZ199" s="14">
        <f>ROUND(IF(CE199=0,0,HLOOKUP(CE$14,Villagers!$B$1:$V$33,CE199+3,FALSE)),)</f>
        <v>5</v>
      </c>
      <c r="DA199" s="14">
        <f>ROUND(IF(CF199=0,0,HLOOKUP(CF$14,Villagers!$B$1:$V$33,CF199+3,FALSE)),)</f>
        <v>10</v>
      </c>
      <c r="DB199" s="14">
        <f>ROUND(IF(CG199=0,0,HLOOKUP(CG$14,Villagers!$B$1:$V$33,CG199+3,FALSE)),)</f>
        <v>10</v>
      </c>
      <c r="DC199" s="14">
        <f>ROUND(IF(CH199=0,0,HLOOKUP(CH$14,Villagers!$B$1:$V$33,CH199+3,FALSE)),)</f>
        <v>0</v>
      </c>
      <c r="DD199" s="14">
        <f>ROUND(IF(CI199=0,0,HLOOKUP(CI$14,Villagers!$B$1:$V$33,CI199+3,FALSE)),)</f>
        <v>0</v>
      </c>
      <c r="DE199" s="14">
        <f>ROUND(IF(CJ199=0,0,HLOOKUP(CJ$14,Villagers!$B$1:$V$33,CJ199+3,FALSE)),)</f>
        <v>2</v>
      </c>
      <c r="DF199" s="370">
        <f>ROUND(IF(CK199=0,0,HLOOKUP(CK$14,Villagers!$B$1:$V$33,CK199+3,FALSE)),)</f>
        <v>0</v>
      </c>
      <c r="DG199" s="370">
        <f>ROUND(IF(CL199=0,0,HLOOKUP(CL$14,Villagers!$B$1:$V$33,CL199+3,FALSE)),)</f>
        <v>0</v>
      </c>
      <c r="DH199" s="34">
        <f>ROUND(IF(CM199=0,0,HLOOKUP(CM$14,Villagers!$B$1:$V$33,CM199+3,FALSE)),)</f>
        <v>0</v>
      </c>
      <c r="DI199" s="109">
        <f t="shared" si="246"/>
        <v>0</v>
      </c>
      <c r="DJ199" s="50">
        <f t="shared" si="247"/>
        <v>0</v>
      </c>
      <c r="DK199" s="50">
        <f t="shared" si="248"/>
        <v>0</v>
      </c>
      <c r="DL199" s="50">
        <f t="shared" si="249"/>
        <v>0</v>
      </c>
      <c r="DM199" s="50">
        <f t="shared" si="250"/>
        <v>0</v>
      </c>
      <c r="DN199" s="50">
        <f t="shared" si="251"/>
        <v>0</v>
      </c>
      <c r="DO199" s="50">
        <f t="shared" si="252"/>
        <v>0</v>
      </c>
      <c r="DP199" s="50">
        <f t="shared" si="253"/>
        <v>0</v>
      </c>
      <c r="DQ199" s="50">
        <f t="shared" si="231"/>
        <v>0</v>
      </c>
      <c r="DR199" s="50">
        <f t="shared" si="232"/>
        <v>0</v>
      </c>
      <c r="DS199" s="96">
        <f>Miscelaneous!$D$4*Miscelaneous!$D$2^($CI199-1)</f>
        <v>1000</v>
      </c>
      <c r="DT199" s="333">
        <f t="shared" si="213"/>
        <v>1</v>
      </c>
      <c r="DU199" s="81">
        <v>1</v>
      </c>
      <c r="DV199" s="79">
        <f t="shared" si="233"/>
        <v>0</v>
      </c>
      <c r="DW199" s="79">
        <f t="shared" si="234"/>
        <v>0</v>
      </c>
      <c r="DX199" s="79">
        <f t="shared" si="235"/>
        <v>0</v>
      </c>
      <c r="DY199" s="79">
        <v>1</v>
      </c>
      <c r="DZ199" s="79">
        <f t="shared" si="236"/>
        <v>0</v>
      </c>
      <c r="EA199" s="79">
        <f t="shared" si="237"/>
        <v>0</v>
      </c>
      <c r="EB199" s="79">
        <f t="shared" si="238"/>
        <v>0</v>
      </c>
      <c r="EC199" s="79">
        <f t="shared" si="239"/>
        <v>0</v>
      </c>
      <c r="ED199" s="79">
        <v>1</v>
      </c>
      <c r="EE199" s="79">
        <v>1</v>
      </c>
      <c r="EF199" s="79">
        <f t="shared" si="240"/>
        <v>0</v>
      </c>
      <c r="EG199" s="79">
        <v>1</v>
      </c>
      <c r="EH199" s="79">
        <v>1</v>
      </c>
      <c r="EI199" s="79">
        <v>1</v>
      </c>
      <c r="EJ199" s="79">
        <v>1</v>
      </c>
      <c r="EK199" s="79">
        <v>1</v>
      </c>
      <c r="EL199" s="79">
        <v>1</v>
      </c>
      <c r="EM199" s="143">
        <f t="shared" si="241"/>
        <v>0</v>
      </c>
      <c r="EN199" s="143">
        <f t="shared" si="242"/>
        <v>0</v>
      </c>
      <c r="EO199" s="82">
        <f t="shared" si="243"/>
        <v>0</v>
      </c>
    </row>
    <row r="200" spans="1:145" x14ac:dyDescent="0.25">
      <c r="A200">
        <v>186</v>
      </c>
      <c r="B200" s="172" t="e">
        <f t="shared" si="214"/>
        <v>#N/A</v>
      </c>
      <c r="C200" s="121" t="e">
        <f t="shared" si="193"/>
        <v>#N/A</v>
      </c>
      <c r="D200" s="122" t="e">
        <f t="shared" si="194"/>
        <v>#N/A</v>
      </c>
      <c r="E200" s="122" t="e">
        <f t="shared" si="195"/>
        <v>#N/A</v>
      </c>
      <c r="F200" s="176" t="e">
        <f t="shared" si="196"/>
        <v>#N/A</v>
      </c>
      <c r="G200" s="121">
        <f t="shared" si="215"/>
        <v>208</v>
      </c>
      <c r="H200" s="176" t="e">
        <f t="shared" si="216"/>
        <v>#N/A</v>
      </c>
      <c r="I200" s="48">
        <v>1</v>
      </c>
      <c r="J200" s="39"/>
      <c r="K200" s="350">
        <v>1</v>
      </c>
      <c r="L200" s="34" t="e">
        <f t="shared" si="197"/>
        <v>#N/A</v>
      </c>
      <c r="M200" s="38" t="e">
        <f>(HLOOKUP(J200,'Construction Times'!$B$3:$W$34,L200+2,FALSE)*HLOOKUP("hq modifier",'Construction Times'!$W$3:$W$34,BS200+2,FALSE))*(1-$H$9)</f>
        <v>#N/A</v>
      </c>
      <c r="N200" s="443" t="e">
        <f t="shared" si="217"/>
        <v>#N/A</v>
      </c>
      <c r="O200" s="444"/>
      <c r="P200" s="447" t="e">
        <f t="shared" si="218"/>
        <v>#N/A</v>
      </c>
      <c r="Q200" s="448"/>
      <c r="R200" s="103">
        <f t="shared" si="244"/>
        <v>0</v>
      </c>
      <c r="S200" s="104">
        <f t="shared" si="244"/>
        <v>0</v>
      </c>
      <c r="T200" s="104">
        <f t="shared" si="245"/>
        <v>0</v>
      </c>
      <c r="U200" s="104">
        <f t="shared" si="245"/>
        <v>0</v>
      </c>
      <c r="V200" s="104">
        <f t="shared" si="245"/>
        <v>9.9999999999999995E-8</v>
      </c>
      <c r="W200" s="104">
        <f t="shared" si="245"/>
        <v>0</v>
      </c>
      <c r="X200" s="104">
        <f t="shared" si="273"/>
        <v>0</v>
      </c>
      <c r="Y200" s="104">
        <f t="shared" si="273"/>
        <v>9.9999999999999995E-8</v>
      </c>
      <c r="Z200" s="104">
        <f t="shared" si="273"/>
        <v>9.9999999999999995E-8</v>
      </c>
      <c r="AA200" s="105">
        <f t="shared" si="273"/>
        <v>9.9999999999999995E-8</v>
      </c>
      <c r="AB200" s="101" t="e">
        <f>$DT200*HLOOKUP($J200,'Construction Costs (timber)'!$B$1:$V$32,'Construction Planner'!$L200+2,FALSE)</f>
        <v>#N/A</v>
      </c>
      <c r="AC200" s="14" t="e">
        <f>$DT200*HLOOKUP($J200,'Construction Costs (clay)'!$B$1:$V$32,'Construction Planner'!$L200+2,FALSE)</f>
        <v>#N/A</v>
      </c>
      <c r="AD200" s="14" t="e">
        <f>$DT200*HLOOKUP($J200,'Construction Costs (iron)'!$B$1:$V$32,'Construction Planner'!$L200+2,FALSE)</f>
        <v>#N/A</v>
      </c>
      <c r="AE200" s="34" t="e">
        <f t="shared" si="254"/>
        <v>#N/A</v>
      </c>
      <c r="AF200" s="33" t="e">
        <f t="shared" si="198"/>
        <v>#N/A</v>
      </c>
      <c r="AG200" s="14" t="e">
        <f t="shared" si="199"/>
        <v>#N/A</v>
      </c>
      <c r="AH200" s="14" t="e">
        <f t="shared" si="200"/>
        <v>#N/A</v>
      </c>
      <c r="AI200" s="34" t="e">
        <f t="shared" si="255"/>
        <v>#N/A</v>
      </c>
      <c r="AJ200" s="49" t="e">
        <f t="shared" si="219"/>
        <v>#N/A</v>
      </c>
      <c r="AK200" s="49" t="e">
        <f t="shared" si="220"/>
        <v>#N/A</v>
      </c>
      <c r="AL200" s="49" t="e">
        <f t="shared" si="221"/>
        <v>#N/A</v>
      </c>
      <c r="AM200" s="25">
        <f t="shared" si="201"/>
        <v>30</v>
      </c>
      <c r="AN200" s="25">
        <f t="shared" si="202"/>
        <v>30</v>
      </c>
      <c r="AO200" s="25">
        <f t="shared" si="203"/>
        <v>30</v>
      </c>
      <c r="AP200" s="52" t="e">
        <f t="shared" si="222"/>
        <v>#N/A</v>
      </c>
      <c r="AQ200" s="53" t="e">
        <f t="shared" si="222"/>
        <v>#N/A</v>
      </c>
      <c r="AR200" s="54" t="e">
        <f t="shared" si="222"/>
        <v>#N/A</v>
      </c>
      <c r="AS200" s="316">
        <f t="shared" si="280"/>
        <v>0</v>
      </c>
      <c r="AT200" s="106">
        <f>_xlfn.IFNA($M200/VLOOKUP($BT200,'Unit information'!$A$2:$K$29,2,FALSE)*R200,0)*(1+$E$9)</f>
        <v>0</v>
      </c>
      <c r="AU200" s="107">
        <f>_xlfn.IFNA($M200/VLOOKUP($BT200,'Unit information'!$A$2:$K$29,3,FALSE)*S200,0)*(1+$E$9)</f>
        <v>0</v>
      </c>
      <c r="AV200" s="107">
        <f>_xlfn.IFNA($M200/VLOOKUP($BT200,'Unit information'!$A$2:$K$29,4,FALSE)*T200,0)*(1+$E$9)</f>
        <v>0</v>
      </c>
      <c r="AW200" s="107">
        <f>_xlfn.IFNA($M200/VLOOKUP($BT200,'Unit information'!$A$2:$K$29,5,FALSE)*U200,0)*(1+$E$9)</f>
        <v>0</v>
      </c>
      <c r="AX200" s="107">
        <f>_xlfn.IFNA($M200/VLOOKUP($BU200,'Unit information'!$A$2:$K$29,6,FALSE)*V200,0)*(1+$E$9)</f>
        <v>0</v>
      </c>
      <c r="AY200" s="107">
        <f>_xlfn.IFNA($M200/VLOOKUP($BU200,'Unit information'!$A$2:$K$29,7,FALSE)*W200,0)*(1+$E$9)</f>
        <v>0</v>
      </c>
      <c r="AZ200" s="107">
        <f>_xlfn.IFNA($M200/VLOOKUP($BU200,'Unit information'!$A$2:$K$29,8,FALSE)*X200,0)*(1+$E$9)</f>
        <v>0</v>
      </c>
      <c r="BA200" s="107">
        <f>_xlfn.IFNA($M200/VLOOKUP($BU200,'Unit information'!$A$2:$K$29,9,FALSE)*Y200,0)*(1+$E$9)</f>
        <v>0</v>
      </c>
      <c r="BB200" s="107">
        <f>_xlfn.IFNA($M200/VLOOKUP($BV200,'Unit information'!$A$2:$K$29,10,FALSE)*Z200,0)*(1+$E$9)</f>
        <v>0</v>
      </c>
      <c r="BC200" s="108">
        <f>_xlfn.IFNA($M200/VLOOKUP($BV200,'Unit information'!$A$2:$K$29,11,FALSE)*AA200,0)*(1+$E$9)</f>
        <v>0</v>
      </c>
      <c r="BD200" s="106">
        <f t="shared" si="204"/>
        <v>0</v>
      </c>
      <c r="BE200" s="107">
        <f t="shared" si="205"/>
        <v>0</v>
      </c>
      <c r="BF200" s="108">
        <f t="shared" si="206"/>
        <v>0</v>
      </c>
      <c r="BG200" s="25" t="e">
        <f t="shared" si="207"/>
        <v>#N/A</v>
      </c>
      <c r="BH200" s="25" t="e">
        <f t="shared" si="208"/>
        <v>#N/A</v>
      </c>
      <c r="BI200" s="25" t="e">
        <f t="shared" si="209"/>
        <v>#N/A</v>
      </c>
      <c r="BJ200" s="27" t="e">
        <f t="shared" si="210"/>
        <v>#N/A</v>
      </c>
      <c r="BK200" s="18" t="e">
        <f t="shared" si="211"/>
        <v>#N/A</v>
      </c>
      <c r="BL200" s="18" t="e">
        <f t="shared" si="212"/>
        <v>#N/A</v>
      </c>
      <c r="BM200" s="28" t="e">
        <f t="shared" si="257"/>
        <v>#N/A</v>
      </c>
      <c r="BN200" s="33">
        <f>HLOOKUP("maximum population",Miscelaneous!$C$1:$C$33,CH200+3,FALSE)</f>
        <v>240</v>
      </c>
      <c r="BO200" s="14">
        <f t="shared" si="223"/>
        <v>32</v>
      </c>
      <c r="BP200" s="14">
        <f t="shared" si="224"/>
        <v>0</v>
      </c>
      <c r="BQ200" s="14">
        <f t="shared" si="225"/>
        <v>208</v>
      </c>
      <c r="BR200" s="34" t="e">
        <f>HLOOKUP(J200,Villagers!$B$1:$V$33,L200+3,FALSE)-HLOOKUP(J200,Villagers!$B$1:$V$33,L200+2,FALSE)</f>
        <v>#N/A</v>
      </c>
      <c r="BS200" s="49">
        <f t="shared" si="226"/>
        <v>1</v>
      </c>
      <c r="BT200" s="50">
        <f t="shared" si="227"/>
        <v>0</v>
      </c>
      <c r="BU200" s="50">
        <f t="shared" si="228"/>
        <v>0</v>
      </c>
      <c r="BV200" s="50">
        <f t="shared" si="229"/>
        <v>0</v>
      </c>
      <c r="BW200" s="50">
        <f t="shared" ref="BW200:BW207" si="282">IF($J199=BW$14,$L199,BW199)</f>
        <v>0</v>
      </c>
      <c r="BX200" s="50">
        <f t="shared" si="281"/>
        <v>0</v>
      </c>
      <c r="BY200" s="50">
        <f t="shared" si="281"/>
        <v>0</v>
      </c>
      <c r="BZ200" s="50">
        <f t="shared" si="260"/>
        <v>0</v>
      </c>
      <c r="CA200" s="50">
        <f t="shared" si="261"/>
        <v>0</v>
      </c>
      <c r="CB200" s="50">
        <f t="shared" si="262"/>
        <v>1</v>
      </c>
      <c r="CC200" s="50">
        <f t="shared" si="263"/>
        <v>0</v>
      </c>
      <c r="CD200" s="50">
        <f t="shared" si="264"/>
        <v>0</v>
      </c>
      <c r="CE200" s="50">
        <f t="shared" si="265"/>
        <v>1</v>
      </c>
      <c r="CF200" s="50">
        <f t="shared" si="266"/>
        <v>1</v>
      </c>
      <c r="CG200" s="50">
        <f t="shared" si="267"/>
        <v>1</v>
      </c>
      <c r="CH200" s="50">
        <f t="shared" si="268"/>
        <v>1</v>
      </c>
      <c r="CI200" s="50">
        <f t="shared" si="269"/>
        <v>1</v>
      </c>
      <c r="CJ200" s="50">
        <f t="shared" si="270"/>
        <v>1</v>
      </c>
      <c r="CK200" s="50">
        <f t="shared" si="270"/>
        <v>0</v>
      </c>
      <c r="CL200" s="50">
        <f t="shared" si="270"/>
        <v>0</v>
      </c>
      <c r="CM200" s="51">
        <f t="shared" si="274"/>
        <v>0</v>
      </c>
      <c r="CN200" s="33">
        <f>ROUND(IF(BS200=0,0,HLOOKUP(BS$14,Villagers!$B$1:$V$33,BS200+3,FALSE)),)</f>
        <v>5</v>
      </c>
      <c r="CO200" s="14">
        <f>ROUND(IF(BT200=0,0,HLOOKUP(BT$14,Villagers!$B$1:$V$33,BT200+3,FALSE)),)</f>
        <v>0</v>
      </c>
      <c r="CP200" s="14">
        <f>ROUND(IF(BU200=0,0,HLOOKUP(BU$14,Villagers!$B$1:$V$33,BU200+3,FALSE)),)</f>
        <v>0</v>
      </c>
      <c r="CQ200" s="14">
        <f>ROUND(IF(BV200=0,0,HLOOKUP(BV$14,Villagers!$B$1:$V$33,BV200+3,FALSE)),)</f>
        <v>0</v>
      </c>
      <c r="CR200" s="14">
        <f>ROUND(IF(BW200=0,0,HLOOKUP(BW$14,Villagers!$B$1:$V$33,BW200+3,FALSE)),)</f>
        <v>0</v>
      </c>
      <c r="CS200" s="14">
        <f>ROUND(IF(BX200=0,0,HLOOKUP(BX$14,Villagers!$B$1:$V$33,BX200+3,FALSE)),)</f>
        <v>0</v>
      </c>
      <c r="CT200" s="14">
        <f>ROUND(IF(BY200=0,0,HLOOKUP(BY$14,Villagers!$B$1:$V$33,BY200+3,FALSE)),)</f>
        <v>0</v>
      </c>
      <c r="CU200" s="14">
        <f>ROUND(IF(BZ200=0,0,HLOOKUP(BZ$14,Villagers!$B$1:$V$33,BZ200+3,FALSE)),)</f>
        <v>0</v>
      </c>
      <c r="CV200" s="14">
        <f>ROUND(IF(CA200=0,0,HLOOKUP(CA$14,Villagers!$B$1:$V$33,CA200+3,FALSE)),)</f>
        <v>0</v>
      </c>
      <c r="CW200" s="14">
        <f>ROUND(IF(CB200=0,0,HLOOKUP(CB$14,Villagers!$B$1:$V$33,CB200+3,FALSE)),)</f>
        <v>0</v>
      </c>
      <c r="CX200" s="14">
        <f>ROUND(IF(CC200=0,0,HLOOKUP(CC$14,Villagers!$B$1:$V$33,CC200+3,FALSE)),)</f>
        <v>0</v>
      </c>
      <c r="CY200" s="14">
        <f>ROUND(IF(CD200=0,0,HLOOKUP(CD$14,Villagers!$B$1:$V$33,CD200+3,FALSE)),)</f>
        <v>0</v>
      </c>
      <c r="CZ200" s="14">
        <f>ROUND(IF(CE200=0,0,HLOOKUP(CE$14,Villagers!$B$1:$V$33,CE200+3,FALSE)),)</f>
        <v>5</v>
      </c>
      <c r="DA200" s="14">
        <f>ROUND(IF(CF200=0,0,HLOOKUP(CF$14,Villagers!$B$1:$V$33,CF200+3,FALSE)),)</f>
        <v>10</v>
      </c>
      <c r="DB200" s="14">
        <f>ROUND(IF(CG200=0,0,HLOOKUP(CG$14,Villagers!$B$1:$V$33,CG200+3,FALSE)),)</f>
        <v>10</v>
      </c>
      <c r="DC200" s="14">
        <f>ROUND(IF(CH200=0,0,HLOOKUP(CH$14,Villagers!$B$1:$V$33,CH200+3,FALSE)),)</f>
        <v>0</v>
      </c>
      <c r="DD200" s="14">
        <f>ROUND(IF(CI200=0,0,HLOOKUP(CI$14,Villagers!$B$1:$V$33,CI200+3,FALSE)),)</f>
        <v>0</v>
      </c>
      <c r="DE200" s="14">
        <f>ROUND(IF(CJ200=0,0,HLOOKUP(CJ$14,Villagers!$B$1:$V$33,CJ200+3,FALSE)),)</f>
        <v>2</v>
      </c>
      <c r="DF200" s="370">
        <f>ROUND(IF(CK200=0,0,HLOOKUP(CK$14,Villagers!$B$1:$V$33,CK200+3,FALSE)),)</f>
        <v>0</v>
      </c>
      <c r="DG200" s="370">
        <f>ROUND(IF(CL200=0,0,HLOOKUP(CL$14,Villagers!$B$1:$V$33,CL200+3,FALSE)),)</f>
        <v>0</v>
      </c>
      <c r="DH200" s="34">
        <f>ROUND(IF(CM200=0,0,HLOOKUP(CM$14,Villagers!$B$1:$V$33,CM200+3,FALSE)),)</f>
        <v>0</v>
      </c>
      <c r="DI200" s="109">
        <f t="shared" si="246"/>
        <v>0</v>
      </c>
      <c r="DJ200" s="50">
        <f t="shared" si="247"/>
        <v>0</v>
      </c>
      <c r="DK200" s="50">
        <f t="shared" si="248"/>
        <v>0</v>
      </c>
      <c r="DL200" s="50">
        <f t="shared" si="249"/>
        <v>0</v>
      </c>
      <c r="DM200" s="50">
        <f t="shared" si="250"/>
        <v>0</v>
      </c>
      <c r="DN200" s="50">
        <f t="shared" si="251"/>
        <v>0</v>
      </c>
      <c r="DO200" s="50">
        <f t="shared" si="252"/>
        <v>0</v>
      </c>
      <c r="DP200" s="50">
        <f t="shared" si="253"/>
        <v>0</v>
      </c>
      <c r="DQ200" s="50">
        <f t="shared" si="231"/>
        <v>0</v>
      </c>
      <c r="DR200" s="50">
        <f t="shared" si="232"/>
        <v>0</v>
      </c>
      <c r="DS200" s="96">
        <f>Miscelaneous!$D$4*Miscelaneous!$D$2^($CI200-1)</f>
        <v>1000</v>
      </c>
      <c r="DT200" s="333">
        <f t="shared" si="213"/>
        <v>1</v>
      </c>
      <c r="DU200" s="81">
        <v>1</v>
      </c>
      <c r="DV200" s="79">
        <f t="shared" si="233"/>
        <v>0</v>
      </c>
      <c r="DW200" s="79">
        <f t="shared" si="234"/>
        <v>0</v>
      </c>
      <c r="DX200" s="79">
        <f t="shared" si="235"/>
        <v>0</v>
      </c>
      <c r="DY200" s="79">
        <v>1</v>
      </c>
      <c r="DZ200" s="79">
        <f t="shared" si="236"/>
        <v>0</v>
      </c>
      <c r="EA200" s="79">
        <f t="shared" si="237"/>
        <v>0</v>
      </c>
      <c r="EB200" s="79">
        <f t="shared" si="238"/>
        <v>0</v>
      </c>
      <c r="EC200" s="79">
        <f t="shared" si="239"/>
        <v>0</v>
      </c>
      <c r="ED200" s="79">
        <v>1</v>
      </c>
      <c r="EE200" s="79">
        <v>1</v>
      </c>
      <c r="EF200" s="79">
        <f t="shared" si="240"/>
        <v>0</v>
      </c>
      <c r="EG200" s="79">
        <v>1</v>
      </c>
      <c r="EH200" s="79">
        <v>1</v>
      </c>
      <c r="EI200" s="79">
        <v>1</v>
      </c>
      <c r="EJ200" s="79">
        <v>1</v>
      </c>
      <c r="EK200" s="79">
        <v>1</v>
      </c>
      <c r="EL200" s="79">
        <v>1</v>
      </c>
      <c r="EM200" s="143">
        <f t="shared" si="241"/>
        <v>0</v>
      </c>
      <c r="EN200" s="143">
        <f t="shared" si="242"/>
        <v>0</v>
      </c>
      <c r="EO200" s="82">
        <f t="shared" si="243"/>
        <v>0</v>
      </c>
    </row>
    <row r="201" spans="1:145" x14ac:dyDescent="0.25">
      <c r="A201">
        <v>187</v>
      </c>
      <c r="B201" s="172" t="e">
        <f t="shared" si="214"/>
        <v>#N/A</v>
      </c>
      <c r="C201" s="121" t="e">
        <f t="shared" si="193"/>
        <v>#N/A</v>
      </c>
      <c r="D201" s="122" t="e">
        <f t="shared" si="194"/>
        <v>#N/A</v>
      </c>
      <c r="E201" s="122" t="e">
        <f t="shared" si="195"/>
        <v>#N/A</v>
      </c>
      <c r="F201" s="176" t="e">
        <f t="shared" si="196"/>
        <v>#N/A</v>
      </c>
      <c r="G201" s="121">
        <f t="shared" si="215"/>
        <v>208</v>
      </c>
      <c r="H201" s="176" t="e">
        <f t="shared" si="216"/>
        <v>#N/A</v>
      </c>
      <c r="I201" s="48">
        <v>1</v>
      </c>
      <c r="J201" s="39"/>
      <c r="K201" s="350">
        <v>1</v>
      </c>
      <c r="L201" s="34" t="e">
        <f t="shared" si="197"/>
        <v>#N/A</v>
      </c>
      <c r="M201" s="38" t="e">
        <f>(HLOOKUP(J201,'Construction Times'!$B$3:$W$34,L201+2,FALSE)*HLOOKUP("hq modifier",'Construction Times'!$W$3:$W$34,BS201+2,FALSE))*(1-$H$9)</f>
        <v>#N/A</v>
      </c>
      <c r="N201" s="443" t="e">
        <f t="shared" si="217"/>
        <v>#N/A</v>
      </c>
      <c r="O201" s="444"/>
      <c r="P201" s="447" t="e">
        <f t="shared" si="218"/>
        <v>#N/A</v>
      </c>
      <c r="Q201" s="448"/>
      <c r="R201" s="103">
        <f t="shared" si="244"/>
        <v>0</v>
      </c>
      <c r="S201" s="104">
        <f t="shared" si="244"/>
        <v>0</v>
      </c>
      <c r="T201" s="104">
        <f t="shared" si="245"/>
        <v>0</v>
      </c>
      <c r="U201" s="104">
        <f t="shared" si="245"/>
        <v>0</v>
      </c>
      <c r="V201" s="104">
        <f t="shared" si="245"/>
        <v>9.9999999999999995E-8</v>
      </c>
      <c r="W201" s="104">
        <f t="shared" si="245"/>
        <v>0</v>
      </c>
      <c r="X201" s="104">
        <f t="shared" si="273"/>
        <v>0</v>
      </c>
      <c r="Y201" s="104">
        <f t="shared" si="273"/>
        <v>9.9999999999999995E-8</v>
      </c>
      <c r="Z201" s="104">
        <f t="shared" si="273"/>
        <v>9.9999999999999995E-8</v>
      </c>
      <c r="AA201" s="105">
        <f t="shared" si="273"/>
        <v>9.9999999999999995E-8</v>
      </c>
      <c r="AB201" s="101" t="e">
        <f>$DT201*HLOOKUP($J201,'Construction Costs (timber)'!$B$1:$V$32,'Construction Planner'!$L201+2,FALSE)</f>
        <v>#N/A</v>
      </c>
      <c r="AC201" s="14" t="e">
        <f>$DT201*HLOOKUP($J201,'Construction Costs (clay)'!$B$1:$V$32,'Construction Planner'!$L201+2,FALSE)</f>
        <v>#N/A</v>
      </c>
      <c r="AD201" s="14" t="e">
        <f>$DT201*HLOOKUP($J201,'Construction Costs (iron)'!$B$1:$V$32,'Construction Planner'!$L201+2,FALSE)</f>
        <v>#N/A</v>
      </c>
      <c r="AE201" s="34" t="e">
        <f t="shared" si="254"/>
        <v>#N/A</v>
      </c>
      <c r="AF201" s="33" t="e">
        <f t="shared" si="198"/>
        <v>#N/A</v>
      </c>
      <c r="AG201" s="14" t="e">
        <f t="shared" si="199"/>
        <v>#N/A</v>
      </c>
      <c r="AH201" s="14" t="e">
        <f t="shared" si="200"/>
        <v>#N/A</v>
      </c>
      <c r="AI201" s="34" t="e">
        <f t="shared" si="255"/>
        <v>#N/A</v>
      </c>
      <c r="AJ201" s="49" t="e">
        <f t="shared" si="219"/>
        <v>#N/A</v>
      </c>
      <c r="AK201" s="49" t="e">
        <f t="shared" si="220"/>
        <v>#N/A</v>
      </c>
      <c r="AL201" s="49" t="e">
        <f t="shared" si="221"/>
        <v>#N/A</v>
      </c>
      <c r="AM201" s="25">
        <f t="shared" si="201"/>
        <v>30</v>
      </c>
      <c r="AN201" s="25">
        <f t="shared" si="202"/>
        <v>30</v>
      </c>
      <c r="AO201" s="25">
        <f t="shared" si="203"/>
        <v>30</v>
      </c>
      <c r="AP201" s="52" t="e">
        <f t="shared" si="222"/>
        <v>#N/A</v>
      </c>
      <c r="AQ201" s="53" t="e">
        <f t="shared" si="222"/>
        <v>#N/A</v>
      </c>
      <c r="AR201" s="54" t="e">
        <f t="shared" si="222"/>
        <v>#N/A</v>
      </c>
      <c r="AS201" s="316">
        <f t="shared" si="280"/>
        <v>0</v>
      </c>
      <c r="AT201" s="106">
        <f>_xlfn.IFNA($M201/VLOOKUP($BT201,'Unit information'!$A$2:$K$29,2,FALSE)*R201,0)*(1+$E$9)</f>
        <v>0</v>
      </c>
      <c r="AU201" s="107">
        <f>_xlfn.IFNA($M201/VLOOKUP($BT201,'Unit information'!$A$2:$K$29,3,FALSE)*S201,0)*(1+$E$9)</f>
        <v>0</v>
      </c>
      <c r="AV201" s="107">
        <f>_xlfn.IFNA($M201/VLOOKUP($BT201,'Unit information'!$A$2:$K$29,4,FALSE)*T201,0)*(1+$E$9)</f>
        <v>0</v>
      </c>
      <c r="AW201" s="107">
        <f>_xlfn.IFNA($M201/VLOOKUP($BT201,'Unit information'!$A$2:$K$29,5,FALSE)*U201,0)*(1+$E$9)</f>
        <v>0</v>
      </c>
      <c r="AX201" s="107">
        <f>_xlfn.IFNA($M201/VLOOKUP($BU201,'Unit information'!$A$2:$K$29,6,FALSE)*V201,0)*(1+$E$9)</f>
        <v>0</v>
      </c>
      <c r="AY201" s="107">
        <f>_xlfn.IFNA($M201/VLOOKUP($BU201,'Unit information'!$A$2:$K$29,7,FALSE)*W201,0)*(1+$E$9)</f>
        <v>0</v>
      </c>
      <c r="AZ201" s="107">
        <f>_xlfn.IFNA($M201/VLOOKUP($BU201,'Unit information'!$A$2:$K$29,8,FALSE)*X201,0)*(1+$E$9)</f>
        <v>0</v>
      </c>
      <c r="BA201" s="107">
        <f>_xlfn.IFNA($M201/VLOOKUP($BU201,'Unit information'!$A$2:$K$29,9,FALSE)*Y201,0)*(1+$E$9)</f>
        <v>0</v>
      </c>
      <c r="BB201" s="107">
        <f>_xlfn.IFNA($M201/VLOOKUP($BV201,'Unit information'!$A$2:$K$29,10,FALSE)*Z201,0)*(1+$E$9)</f>
        <v>0</v>
      </c>
      <c r="BC201" s="108">
        <f>_xlfn.IFNA($M201/VLOOKUP($BV201,'Unit information'!$A$2:$K$29,11,FALSE)*AA201,0)*(1+$E$9)</f>
        <v>0</v>
      </c>
      <c r="BD201" s="106">
        <f t="shared" si="204"/>
        <v>0</v>
      </c>
      <c r="BE201" s="107">
        <f t="shared" si="205"/>
        <v>0</v>
      </c>
      <c r="BF201" s="108">
        <f t="shared" si="206"/>
        <v>0</v>
      </c>
      <c r="BG201" s="25" t="e">
        <f t="shared" si="207"/>
        <v>#N/A</v>
      </c>
      <c r="BH201" s="25" t="e">
        <f t="shared" si="208"/>
        <v>#N/A</v>
      </c>
      <c r="BI201" s="25" t="e">
        <f t="shared" si="209"/>
        <v>#N/A</v>
      </c>
      <c r="BJ201" s="27" t="e">
        <f t="shared" si="210"/>
        <v>#N/A</v>
      </c>
      <c r="BK201" s="18" t="e">
        <f t="shared" si="211"/>
        <v>#N/A</v>
      </c>
      <c r="BL201" s="18" t="e">
        <f t="shared" si="212"/>
        <v>#N/A</v>
      </c>
      <c r="BM201" s="28" t="e">
        <f t="shared" si="257"/>
        <v>#N/A</v>
      </c>
      <c r="BN201" s="33">
        <f>HLOOKUP("maximum population",Miscelaneous!$C$1:$C$33,CH201+3,FALSE)</f>
        <v>240</v>
      </c>
      <c r="BO201" s="14">
        <f t="shared" si="223"/>
        <v>32</v>
      </c>
      <c r="BP201" s="14">
        <f t="shared" si="224"/>
        <v>0</v>
      </c>
      <c r="BQ201" s="14">
        <f t="shared" si="225"/>
        <v>208</v>
      </c>
      <c r="BR201" s="34" t="e">
        <f>HLOOKUP(J201,Villagers!$B$1:$V$33,L201+3,FALSE)-HLOOKUP(J201,Villagers!$B$1:$V$33,L201+2,FALSE)</f>
        <v>#N/A</v>
      </c>
      <c r="BS201" s="49">
        <f t="shared" si="226"/>
        <v>1</v>
      </c>
      <c r="BT201" s="50">
        <f t="shared" si="227"/>
        <v>0</v>
      </c>
      <c r="BU201" s="50">
        <f t="shared" si="228"/>
        <v>0</v>
      </c>
      <c r="BV201" s="50">
        <f t="shared" si="229"/>
        <v>0</v>
      </c>
      <c r="BW201" s="50">
        <f t="shared" si="282"/>
        <v>0</v>
      </c>
      <c r="BX201" s="50">
        <f t="shared" si="281"/>
        <v>0</v>
      </c>
      <c r="BY201" s="50">
        <f t="shared" si="281"/>
        <v>0</v>
      </c>
      <c r="BZ201" s="50">
        <f t="shared" si="260"/>
        <v>0</v>
      </c>
      <c r="CA201" s="50">
        <f t="shared" si="261"/>
        <v>0</v>
      </c>
      <c r="CB201" s="50">
        <f t="shared" si="262"/>
        <v>1</v>
      </c>
      <c r="CC201" s="50">
        <f t="shared" si="263"/>
        <v>0</v>
      </c>
      <c r="CD201" s="50">
        <f t="shared" si="264"/>
        <v>0</v>
      </c>
      <c r="CE201" s="50">
        <f t="shared" si="265"/>
        <v>1</v>
      </c>
      <c r="CF201" s="50">
        <f t="shared" si="266"/>
        <v>1</v>
      </c>
      <c r="CG201" s="50">
        <f t="shared" si="267"/>
        <v>1</v>
      </c>
      <c r="CH201" s="50">
        <f t="shared" si="268"/>
        <v>1</v>
      </c>
      <c r="CI201" s="50">
        <f t="shared" si="269"/>
        <v>1</v>
      </c>
      <c r="CJ201" s="50">
        <f t="shared" si="270"/>
        <v>1</v>
      </c>
      <c r="CK201" s="50">
        <f t="shared" si="270"/>
        <v>0</v>
      </c>
      <c r="CL201" s="50">
        <f t="shared" si="270"/>
        <v>0</v>
      </c>
      <c r="CM201" s="51">
        <f t="shared" si="274"/>
        <v>0</v>
      </c>
      <c r="CN201" s="33">
        <f>ROUND(IF(BS201=0,0,HLOOKUP(BS$14,Villagers!$B$1:$V$33,BS201+3,FALSE)),)</f>
        <v>5</v>
      </c>
      <c r="CO201" s="14">
        <f>ROUND(IF(BT201=0,0,HLOOKUP(BT$14,Villagers!$B$1:$V$33,BT201+3,FALSE)),)</f>
        <v>0</v>
      </c>
      <c r="CP201" s="14">
        <f>ROUND(IF(BU201=0,0,HLOOKUP(BU$14,Villagers!$B$1:$V$33,BU201+3,FALSE)),)</f>
        <v>0</v>
      </c>
      <c r="CQ201" s="14">
        <f>ROUND(IF(BV201=0,0,HLOOKUP(BV$14,Villagers!$B$1:$V$33,BV201+3,FALSE)),)</f>
        <v>0</v>
      </c>
      <c r="CR201" s="14">
        <f>ROUND(IF(BW201=0,0,HLOOKUP(BW$14,Villagers!$B$1:$V$33,BW201+3,FALSE)),)</f>
        <v>0</v>
      </c>
      <c r="CS201" s="14">
        <f>ROUND(IF(BX201=0,0,HLOOKUP(BX$14,Villagers!$B$1:$V$33,BX201+3,FALSE)),)</f>
        <v>0</v>
      </c>
      <c r="CT201" s="14">
        <f>ROUND(IF(BY201=0,0,HLOOKUP(BY$14,Villagers!$B$1:$V$33,BY201+3,FALSE)),)</f>
        <v>0</v>
      </c>
      <c r="CU201" s="14">
        <f>ROUND(IF(BZ201=0,0,HLOOKUP(BZ$14,Villagers!$B$1:$V$33,BZ201+3,FALSE)),)</f>
        <v>0</v>
      </c>
      <c r="CV201" s="14">
        <f>ROUND(IF(CA201=0,0,HLOOKUP(CA$14,Villagers!$B$1:$V$33,CA201+3,FALSE)),)</f>
        <v>0</v>
      </c>
      <c r="CW201" s="14">
        <f>ROUND(IF(CB201=0,0,HLOOKUP(CB$14,Villagers!$B$1:$V$33,CB201+3,FALSE)),)</f>
        <v>0</v>
      </c>
      <c r="CX201" s="14">
        <f>ROUND(IF(CC201=0,0,HLOOKUP(CC$14,Villagers!$B$1:$V$33,CC201+3,FALSE)),)</f>
        <v>0</v>
      </c>
      <c r="CY201" s="14">
        <f>ROUND(IF(CD201=0,0,HLOOKUP(CD$14,Villagers!$B$1:$V$33,CD201+3,FALSE)),)</f>
        <v>0</v>
      </c>
      <c r="CZ201" s="14">
        <f>ROUND(IF(CE201=0,0,HLOOKUP(CE$14,Villagers!$B$1:$V$33,CE201+3,FALSE)),)</f>
        <v>5</v>
      </c>
      <c r="DA201" s="14">
        <f>ROUND(IF(CF201=0,0,HLOOKUP(CF$14,Villagers!$B$1:$V$33,CF201+3,FALSE)),)</f>
        <v>10</v>
      </c>
      <c r="DB201" s="14">
        <f>ROUND(IF(CG201=0,0,HLOOKUP(CG$14,Villagers!$B$1:$V$33,CG201+3,FALSE)),)</f>
        <v>10</v>
      </c>
      <c r="DC201" s="14">
        <f>ROUND(IF(CH201=0,0,HLOOKUP(CH$14,Villagers!$B$1:$V$33,CH201+3,FALSE)),)</f>
        <v>0</v>
      </c>
      <c r="DD201" s="14">
        <f>ROUND(IF(CI201=0,0,HLOOKUP(CI$14,Villagers!$B$1:$V$33,CI201+3,FALSE)),)</f>
        <v>0</v>
      </c>
      <c r="DE201" s="14">
        <f>ROUND(IF(CJ201=0,0,HLOOKUP(CJ$14,Villagers!$B$1:$V$33,CJ201+3,FALSE)),)</f>
        <v>2</v>
      </c>
      <c r="DF201" s="370">
        <f>ROUND(IF(CK201=0,0,HLOOKUP(CK$14,Villagers!$B$1:$V$33,CK201+3,FALSE)),)</f>
        <v>0</v>
      </c>
      <c r="DG201" s="370">
        <f>ROUND(IF(CL201=0,0,HLOOKUP(CL$14,Villagers!$B$1:$V$33,CL201+3,FALSE)),)</f>
        <v>0</v>
      </c>
      <c r="DH201" s="34">
        <f>ROUND(IF(CM201=0,0,HLOOKUP(CM$14,Villagers!$B$1:$V$33,CM201+3,FALSE)),)</f>
        <v>0</v>
      </c>
      <c r="DI201" s="109">
        <f t="shared" si="246"/>
        <v>0</v>
      </c>
      <c r="DJ201" s="50">
        <f t="shared" si="247"/>
        <v>0</v>
      </c>
      <c r="DK201" s="50">
        <f t="shared" si="248"/>
        <v>0</v>
      </c>
      <c r="DL201" s="50">
        <f t="shared" si="249"/>
        <v>0</v>
      </c>
      <c r="DM201" s="50">
        <f t="shared" si="250"/>
        <v>0</v>
      </c>
      <c r="DN201" s="50">
        <f t="shared" si="251"/>
        <v>0</v>
      </c>
      <c r="DO201" s="50">
        <f t="shared" si="252"/>
        <v>0</v>
      </c>
      <c r="DP201" s="50">
        <f t="shared" si="253"/>
        <v>0</v>
      </c>
      <c r="DQ201" s="50">
        <f t="shared" si="231"/>
        <v>0</v>
      </c>
      <c r="DR201" s="50">
        <f t="shared" si="232"/>
        <v>0</v>
      </c>
      <c r="DS201" s="96">
        <f>Miscelaneous!$D$4*Miscelaneous!$D$2^($CI201-1)</f>
        <v>1000</v>
      </c>
      <c r="DT201" s="333">
        <f t="shared" si="213"/>
        <v>1</v>
      </c>
      <c r="DU201" s="81">
        <v>1</v>
      </c>
      <c r="DV201" s="79">
        <f t="shared" si="233"/>
        <v>0</v>
      </c>
      <c r="DW201" s="79">
        <f t="shared" si="234"/>
        <v>0</v>
      </c>
      <c r="DX201" s="79">
        <f t="shared" si="235"/>
        <v>0</v>
      </c>
      <c r="DY201" s="79">
        <v>1</v>
      </c>
      <c r="DZ201" s="79">
        <f t="shared" si="236"/>
        <v>0</v>
      </c>
      <c r="EA201" s="79">
        <f t="shared" si="237"/>
        <v>0</v>
      </c>
      <c r="EB201" s="79">
        <f t="shared" si="238"/>
        <v>0</v>
      </c>
      <c r="EC201" s="79">
        <f t="shared" si="239"/>
        <v>0</v>
      </c>
      <c r="ED201" s="79">
        <v>1</v>
      </c>
      <c r="EE201" s="79">
        <v>1</v>
      </c>
      <c r="EF201" s="79">
        <f t="shared" si="240"/>
        <v>0</v>
      </c>
      <c r="EG201" s="79">
        <v>1</v>
      </c>
      <c r="EH201" s="79">
        <v>1</v>
      </c>
      <c r="EI201" s="79">
        <v>1</v>
      </c>
      <c r="EJ201" s="79">
        <v>1</v>
      </c>
      <c r="EK201" s="79">
        <v>1</v>
      </c>
      <c r="EL201" s="79">
        <v>1</v>
      </c>
      <c r="EM201" s="143">
        <f t="shared" si="241"/>
        <v>0</v>
      </c>
      <c r="EN201" s="143">
        <f t="shared" si="242"/>
        <v>0</v>
      </c>
      <c r="EO201" s="82">
        <f t="shared" si="243"/>
        <v>0</v>
      </c>
    </row>
    <row r="202" spans="1:145" x14ac:dyDescent="0.25">
      <c r="A202">
        <v>188</v>
      </c>
      <c r="B202" s="172" t="e">
        <f t="shared" si="214"/>
        <v>#N/A</v>
      </c>
      <c r="C202" s="121" t="e">
        <f t="shared" si="193"/>
        <v>#N/A</v>
      </c>
      <c r="D202" s="122" t="e">
        <f t="shared" si="194"/>
        <v>#N/A</v>
      </c>
      <c r="E202" s="122" t="e">
        <f t="shared" si="195"/>
        <v>#N/A</v>
      </c>
      <c r="F202" s="176" t="e">
        <f t="shared" si="196"/>
        <v>#N/A</v>
      </c>
      <c r="G202" s="121">
        <f t="shared" si="215"/>
        <v>208</v>
      </c>
      <c r="H202" s="176" t="e">
        <f t="shared" si="216"/>
        <v>#N/A</v>
      </c>
      <c r="I202" s="48">
        <v>1</v>
      </c>
      <c r="J202" s="39"/>
      <c r="K202" s="350">
        <v>1</v>
      </c>
      <c r="L202" s="34" t="e">
        <f t="shared" si="197"/>
        <v>#N/A</v>
      </c>
      <c r="M202" s="38" t="e">
        <f>(HLOOKUP(J202,'Construction Times'!$B$3:$W$34,L202+2,FALSE)*HLOOKUP("hq modifier",'Construction Times'!$W$3:$W$34,BS202+2,FALSE))*(1-$H$9)</f>
        <v>#N/A</v>
      </c>
      <c r="N202" s="443" t="e">
        <f t="shared" si="217"/>
        <v>#N/A</v>
      </c>
      <c r="O202" s="444"/>
      <c r="P202" s="447" t="e">
        <f t="shared" si="218"/>
        <v>#N/A</v>
      </c>
      <c r="Q202" s="448"/>
      <c r="R202" s="103">
        <f t="shared" si="244"/>
        <v>0</v>
      </c>
      <c r="S202" s="104">
        <f t="shared" si="244"/>
        <v>0</v>
      </c>
      <c r="T202" s="104">
        <f t="shared" si="245"/>
        <v>0</v>
      </c>
      <c r="U202" s="104">
        <f t="shared" si="245"/>
        <v>0</v>
      </c>
      <c r="V202" s="104">
        <f t="shared" si="245"/>
        <v>9.9999999999999995E-8</v>
      </c>
      <c r="W202" s="104">
        <f t="shared" si="245"/>
        <v>0</v>
      </c>
      <c r="X202" s="104">
        <f t="shared" si="273"/>
        <v>0</v>
      </c>
      <c r="Y202" s="104">
        <f t="shared" si="273"/>
        <v>9.9999999999999995E-8</v>
      </c>
      <c r="Z202" s="104">
        <f t="shared" si="273"/>
        <v>9.9999999999999995E-8</v>
      </c>
      <c r="AA202" s="105">
        <f t="shared" si="273"/>
        <v>9.9999999999999995E-8</v>
      </c>
      <c r="AB202" s="101" t="e">
        <f>$DT202*HLOOKUP($J202,'Construction Costs (timber)'!$B$1:$V$32,'Construction Planner'!$L202+2,FALSE)</f>
        <v>#N/A</v>
      </c>
      <c r="AC202" s="14" t="e">
        <f>$DT202*HLOOKUP($J202,'Construction Costs (clay)'!$B$1:$V$32,'Construction Planner'!$L202+2,FALSE)</f>
        <v>#N/A</v>
      </c>
      <c r="AD202" s="14" t="e">
        <f>$DT202*HLOOKUP($J202,'Construction Costs (iron)'!$B$1:$V$32,'Construction Planner'!$L202+2,FALSE)</f>
        <v>#N/A</v>
      </c>
      <c r="AE202" s="34" t="e">
        <f t="shared" si="254"/>
        <v>#N/A</v>
      </c>
      <c r="AF202" s="33" t="e">
        <f t="shared" si="198"/>
        <v>#N/A</v>
      </c>
      <c r="AG202" s="14" t="e">
        <f t="shared" si="199"/>
        <v>#N/A</v>
      </c>
      <c r="AH202" s="14" t="e">
        <f t="shared" si="200"/>
        <v>#N/A</v>
      </c>
      <c r="AI202" s="34" t="e">
        <f t="shared" si="255"/>
        <v>#N/A</v>
      </c>
      <c r="AJ202" s="49" t="e">
        <f t="shared" si="219"/>
        <v>#N/A</v>
      </c>
      <c r="AK202" s="49" t="e">
        <f t="shared" si="220"/>
        <v>#N/A</v>
      </c>
      <c r="AL202" s="49" t="e">
        <f t="shared" si="221"/>
        <v>#N/A</v>
      </c>
      <c r="AM202" s="25">
        <f t="shared" si="201"/>
        <v>30</v>
      </c>
      <c r="AN202" s="25">
        <f t="shared" si="202"/>
        <v>30</v>
      </c>
      <c r="AO202" s="25">
        <f t="shared" si="203"/>
        <v>30</v>
      </c>
      <c r="AP202" s="52" t="e">
        <f t="shared" si="222"/>
        <v>#N/A</v>
      </c>
      <c r="AQ202" s="53" t="e">
        <f t="shared" si="222"/>
        <v>#N/A</v>
      </c>
      <c r="AR202" s="54" t="e">
        <f t="shared" si="222"/>
        <v>#N/A</v>
      </c>
      <c r="AS202" s="316">
        <f t="shared" si="280"/>
        <v>0</v>
      </c>
      <c r="AT202" s="106">
        <f>_xlfn.IFNA($M202/VLOOKUP($BT202,'Unit information'!$A$2:$K$29,2,FALSE)*R202,0)*(1+$E$9)</f>
        <v>0</v>
      </c>
      <c r="AU202" s="107">
        <f>_xlfn.IFNA($M202/VLOOKUP($BT202,'Unit information'!$A$2:$K$29,3,FALSE)*S202,0)*(1+$E$9)</f>
        <v>0</v>
      </c>
      <c r="AV202" s="107">
        <f>_xlfn.IFNA($M202/VLOOKUP($BT202,'Unit information'!$A$2:$K$29,4,FALSE)*T202,0)*(1+$E$9)</f>
        <v>0</v>
      </c>
      <c r="AW202" s="107">
        <f>_xlfn.IFNA($M202/VLOOKUP($BT202,'Unit information'!$A$2:$K$29,5,FALSE)*U202,0)*(1+$E$9)</f>
        <v>0</v>
      </c>
      <c r="AX202" s="107">
        <f>_xlfn.IFNA($M202/VLOOKUP($BU202,'Unit information'!$A$2:$K$29,6,FALSE)*V202,0)*(1+$E$9)</f>
        <v>0</v>
      </c>
      <c r="AY202" s="107">
        <f>_xlfn.IFNA($M202/VLOOKUP($BU202,'Unit information'!$A$2:$K$29,7,FALSE)*W202,0)*(1+$E$9)</f>
        <v>0</v>
      </c>
      <c r="AZ202" s="107">
        <f>_xlfn.IFNA($M202/VLOOKUP($BU202,'Unit information'!$A$2:$K$29,8,FALSE)*X202,0)*(1+$E$9)</f>
        <v>0</v>
      </c>
      <c r="BA202" s="107">
        <f>_xlfn.IFNA($M202/VLOOKUP($BU202,'Unit information'!$A$2:$K$29,9,FALSE)*Y202,0)*(1+$E$9)</f>
        <v>0</v>
      </c>
      <c r="BB202" s="107">
        <f>_xlfn.IFNA($M202/VLOOKUP($BV202,'Unit information'!$A$2:$K$29,10,FALSE)*Z202,0)*(1+$E$9)</f>
        <v>0</v>
      </c>
      <c r="BC202" s="108">
        <f>_xlfn.IFNA($M202/VLOOKUP($BV202,'Unit information'!$A$2:$K$29,11,FALSE)*AA202,0)*(1+$E$9)</f>
        <v>0</v>
      </c>
      <c r="BD202" s="106">
        <f t="shared" si="204"/>
        <v>0</v>
      </c>
      <c r="BE202" s="107">
        <f t="shared" si="205"/>
        <v>0</v>
      </c>
      <c r="BF202" s="108">
        <f t="shared" si="206"/>
        <v>0</v>
      </c>
      <c r="BG202" s="25" t="e">
        <f t="shared" si="207"/>
        <v>#N/A</v>
      </c>
      <c r="BH202" s="25" t="e">
        <f t="shared" si="208"/>
        <v>#N/A</v>
      </c>
      <c r="BI202" s="25" t="e">
        <f t="shared" si="209"/>
        <v>#N/A</v>
      </c>
      <c r="BJ202" s="27" t="e">
        <f t="shared" si="210"/>
        <v>#N/A</v>
      </c>
      <c r="BK202" s="18" t="e">
        <f t="shared" si="211"/>
        <v>#N/A</v>
      </c>
      <c r="BL202" s="18" t="e">
        <f t="shared" si="212"/>
        <v>#N/A</v>
      </c>
      <c r="BM202" s="28" t="e">
        <f t="shared" si="257"/>
        <v>#N/A</v>
      </c>
      <c r="BN202" s="33">
        <f>HLOOKUP("maximum population",Miscelaneous!$C$1:$C$33,CH202+3,FALSE)</f>
        <v>240</v>
      </c>
      <c r="BO202" s="14">
        <f t="shared" si="223"/>
        <v>32</v>
      </c>
      <c r="BP202" s="14">
        <f t="shared" si="224"/>
        <v>0</v>
      </c>
      <c r="BQ202" s="14">
        <f t="shared" si="225"/>
        <v>208</v>
      </c>
      <c r="BR202" s="34" t="e">
        <f>HLOOKUP(J202,Villagers!$B$1:$V$33,L202+3,FALSE)-HLOOKUP(J202,Villagers!$B$1:$V$33,L202+2,FALSE)</f>
        <v>#N/A</v>
      </c>
      <c r="BS202" s="49">
        <f t="shared" si="226"/>
        <v>1</v>
      </c>
      <c r="BT202" s="50">
        <f t="shared" si="227"/>
        <v>0</v>
      </c>
      <c r="BU202" s="50">
        <f t="shared" si="228"/>
        <v>0</v>
      </c>
      <c r="BV202" s="50">
        <f t="shared" si="229"/>
        <v>0</v>
      </c>
      <c r="BW202" s="50">
        <f t="shared" si="282"/>
        <v>0</v>
      </c>
      <c r="BX202" s="50">
        <f t="shared" si="281"/>
        <v>0</v>
      </c>
      <c r="BY202" s="50">
        <f t="shared" si="281"/>
        <v>0</v>
      </c>
      <c r="BZ202" s="50">
        <f t="shared" si="260"/>
        <v>0</v>
      </c>
      <c r="CA202" s="50">
        <f t="shared" si="261"/>
        <v>0</v>
      </c>
      <c r="CB202" s="50">
        <f t="shared" si="262"/>
        <v>1</v>
      </c>
      <c r="CC202" s="50">
        <f t="shared" si="263"/>
        <v>0</v>
      </c>
      <c r="CD202" s="50">
        <f t="shared" si="264"/>
        <v>0</v>
      </c>
      <c r="CE202" s="50">
        <f t="shared" si="265"/>
        <v>1</v>
      </c>
      <c r="CF202" s="50">
        <f t="shared" si="266"/>
        <v>1</v>
      </c>
      <c r="CG202" s="50">
        <f t="shared" si="267"/>
        <v>1</v>
      </c>
      <c r="CH202" s="50">
        <f t="shared" si="268"/>
        <v>1</v>
      </c>
      <c r="CI202" s="50">
        <f t="shared" si="269"/>
        <v>1</v>
      </c>
      <c r="CJ202" s="50">
        <f t="shared" si="270"/>
        <v>1</v>
      </c>
      <c r="CK202" s="50">
        <f t="shared" si="270"/>
        <v>0</v>
      </c>
      <c r="CL202" s="50">
        <f t="shared" si="270"/>
        <v>0</v>
      </c>
      <c r="CM202" s="51">
        <f t="shared" si="274"/>
        <v>0</v>
      </c>
      <c r="CN202" s="33">
        <f>ROUND(IF(BS202=0,0,HLOOKUP(BS$14,Villagers!$B$1:$V$33,BS202+3,FALSE)),)</f>
        <v>5</v>
      </c>
      <c r="CO202" s="14">
        <f>ROUND(IF(BT202=0,0,HLOOKUP(BT$14,Villagers!$B$1:$V$33,BT202+3,FALSE)),)</f>
        <v>0</v>
      </c>
      <c r="CP202" s="14">
        <f>ROUND(IF(BU202=0,0,HLOOKUP(BU$14,Villagers!$B$1:$V$33,BU202+3,FALSE)),)</f>
        <v>0</v>
      </c>
      <c r="CQ202" s="14">
        <f>ROUND(IF(BV202=0,0,HLOOKUP(BV$14,Villagers!$B$1:$V$33,BV202+3,FALSE)),)</f>
        <v>0</v>
      </c>
      <c r="CR202" s="14">
        <f>ROUND(IF(BW202=0,0,HLOOKUP(BW$14,Villagers!$B$1:$V$33,BW202+3,FALSE)),)</f>
        <v>0</v>
      </c>
      <c r="CS202" s="14">
        <f>ROUND(IF(BX202=0,0,HLOOKUP(BX$14,Villagers!$B$1:$V$33,BX202+3,FALSE)),)</f>
        <v>0</v>
      </c>
      <c r="CT202" s="14">
        <f>ROUND(IF(BY202=0,0,HLOOKUP(BY$14,Villagers!$B$1:$V$33,BY202+3,FALSE)),)</f>
        <v>0</v>
      </c>
      <c r="CU202" s="14">
        <f>ROUND(IF(BZ202=0,0,HLOOKUP(BZ$14,Villagers!$B$1:$V$33,BZ202+3,FALSE)),)</f>
        <v>0</v>
      </c>
      <c r="CV202" s="14">
        <f>ROUND(IF(CA202=0,0,HLOOKUP(CA$14,Villagers!$B$1:$V$33,CA202+3,FALSE)),)</f>
        <v>0</v>
      </c>
      <c r="CW202" s="14">
        <f>ROUND(IF(CB202=0,0,HLOOKUP(CB$14,Villagers!$B$1:$V$33,CB202+3,FALSE)),)</f>
        <v>0</v>
      </c>
      <c r="CX202" s="14">
        <f>ROUND(IF(CC202=0,0,HLOOKUP(CC$14,Villagers!$B$1:$V$33,CC202+3,FALSE)),)</f>
        <v>0</v>
      </c>
      <c r="CY202" s="14">
        <f>ROUND(IF(CD202=0,0,HLOOKUP(CD$14,Villagers!$B$1:$V$33,CD202+3,FALSE)),)</f>
        <v>0</v>
      </c>
      <c r="CZ202" s="14">
        <f>ROUND(IF(CE202=0,0,HLOOKUP(CE$14,Villagers!$B$1:$V$33,CE202+3,FALSE)),)</f>
        <v>5</v>
      </c>
      <c r="DA202" s="14">
        <f>ROUND(IF(CF202=0,0,HLOOKUP(CF$14,Villagers!$B$1:$V$33,CF202+3,FALSE)),)</f>
        <v>10</v>
      </c>
      <c r="DB202" s="14">
        <f>ROUND(IF(CG202=0,0,HLOOKUP(CG$14,Villagers!$B$1:$V$33,CG202+3,FALSE)),)</f>
        <v>10</v>
      </c>
      <c r="DC202" s="14">
        <f>ROUND(IF(CH202=0,0,HLOOKUP(CH$14,Villagers!$B$1:$V$33,CH202+3,FALSE)),)</f>
        <v>0</v>
      </c>
      <c r="DD202" s="14">
        <f>ROUND(IF(CI202=0,0,HLOOKUP(CI$14,Villagers!$B$1:$V$33,CI202+3,FALSE)),)</f>
        <v>0</v>
      </c>
      <c r="DE202" s="14">
        <f>ROUND(IF(CJ202=0,0,HLOOKUP(CJ$14,Villagers!$B$1:$V$33,CJ202+3,FALSE)),)</f>
        <v>2</v>
      </c>
      <c r="DF202" s="370">
        <f>ROUND(IF(CK202=0,0,HLOOKUP(CK$14,Villagers!$B$1:$V$33,CK202+3,FALSE)),)</f>
        <v>0</v>
      </c>
      <c r="DG202" s="370">
        <f>ROUND(IF(CL202=0,0,HLOOKUP(CL$14,Villagers!$B$1:$V$33,CL202+3,FALSE)),)</f>
        <v>0</v>
      </c>
      <c r="DH202" s="34">
        <f>ROUND(IF(CM202=0,0,HLOOKUP(CM$14,Villagers!$B$1:$V$33,CM202+3,FALSE)),)</f>
        <v>0</v>
      </c>
      <c r="DI202" s="109">
        <f t="shared" si="246"/>
        <v>0</v>
      </c>
      <c r="DJ202" s="50">
        <f t="shared" si="247"/>
        <v>0</v>
      </c>
      <c r="DK202" s="50">
        <f t="shared" si="248"/>
        <v>0</v>
      </c>
      <c r="DL202" s="50">
        <f t="shared" si="249"/>
        <v>0</v>
      </c>
      <c r="DM202" s="50">
        <f t="shared" si="250"/>
        <v>0</v>
      </c>
      <c r="DN202" s="50">
        <f t="shared" si="251"/>
        <v>0</v>
      </c>
      <c r="DO202" s="50">
        <f t="shared" si="252"/>
        <v>0</v>
      </c>
      <c r="DP202" s="50">
        <f t="shared" si="253"/>
        <v>0</v>
      </c>
      <c r="DQ202" s="50">
        <f t="shared" si="231"/>
        <v>0</v>
      </c>
      <c r="DR202" s="50">
        <f t="shared" si="232"/>
        <v>0</v>
      </c>
      <c r="DS202" s="96">
        <f>Miscelaneous!$D$4*Miscelaneous!$D$2^($CI202-1)</f>
        <v>1000</v>
      </c>
      <c r="DT202" s="333">
        <f t="shared" si="213"/>
        <v>1</v>
      </c>
      <c r="DU202" s="81">
        <v>1</v>
      </c>
      <c r="DV202" s="79">
        <f t="shared" si="233"/>
        <v>0</v>
      </c>
      <c r="DW202" s="79">
        <f t="shared" si="234"/>
        <v>0</v>
      </c>
      <c r="DX202" s="79">
        <f t="shared" si="235"/>
        <v>0</v>
      </c>
      <c r="DY202" s="79">
        <v>1</v>
      </c>
      <c r="DZ202" s="79">
        <f t="shared" si="236"/>
        <v>0</v>
      </c>
      <c r="EA202" s="79">
        <f t="shared" si="237"/>
        <v>0</v>
      </c>
      <c r="EB202" s="79">
        <f t="shared" si="238"/>
        <v>0</v>
      </c>
      <c r="EC202" s="79">
        <f t="shared" si="239"/>
        <v>0</v>
      </c>
      <c r="ED202" s="79">
        <v>1</v>
      </c>
      <c r="EE202" s="79">
        <v>1</v>
      </c>
      <c r="EF202" s="79">
        <f t="shared" si="240"/>
        <v>0</v>
      </c>
      <c r="EG202" s="79">
        <v>1</v>
      </c>
      <c r="EH202" s="79">
        <v>1</v>
      </c>
      <c r="EI202" s="79">
        <v>1</v>
      </c>
      <c r="EJ202" s="79">
        <v>1</v>
      </c>
      <c r="EK202" s="79">
        <v>1</v>
      </c>
      <c r="EL202" s="79">
        <v>1</v>
      </c>
      <c r="EM202" s="143">
        <f t="shared" si="241"/>
        <v>0</v>
      </c>
      <c r="EN202" s="143">
        <f t="shared" si="242"/>
        <v>0</v>
      </c>
      <c r="EO202" s="82">
        <f t="shared" si="243"/>
        <v>0</v>
      </c>
    </row>
    <row r="203" spans="1:145" x14ac:dyDescent="0.25">
      <c r="A203">
        <v>189</v>
      </c>
      <c r="B203" s="172" t="e">
        <f t="shared" si="214"/>
        <v>#N/A</v>
      </c>
      <c r="C203" s="121" t="e">
        <f t="shared" si="193"/>
        <v>#N/A</v>
      </c>
      <c r="D203" s="122" t="e">
        <f t="shared" si="194"/>
        <v>#N/A</v>
      </c>
      <c r="E203" s="122" t="e">
        <f t="shared" si="195"/>
        <v>#N/A</v>
      </c>
      <c r="F203" s="176" t="e">
        <f t="shared" si="196"/>
        <v>#N/A</v>
      </c>
      <c r="G203" s="121">
        <f t="shared" si="215"/>
        <v>208</v>
      </c>
      <c r="H203" s="176" t="e">
        <f t="shared" si="216"/>
        <v>#N/A</v>
      </c>
      <c r="I203" s="48">
        <v>1</v>
      </c>
      <c r="J203" s="39"/>
      <c r="K203" s="350">
        <v>1</v>
      </c>
      <c r="L203" s="34" t="e">
        <f t="shared" si="197"/>
        <v>#N/A</v>
      </c>
      <c r="M203" s="38" t="e">
        <f>(HLOOKUP(J203,'Construction Times'!$B$3:$W$34,L203+2,FALSE)*HLOOKUP("hq modifier",'Construction Times'!$W$3:$W$34,BS203+2,FALSE))*(1-$H$9)</f>
        <v>#N/A</v>
      </c>
      <c r="N203" s="443" t="e">
        <f t="shared" si="217"/>
        <v>#N/A</v>
      </c>
      <c r="O203" s="444"/>
      <c r="P203" s="447" t="e">
        <f t="shared" si="218"/>
        <v>#N/A</v>
      </c>
      <c r="Q203" s="448"/>
      <c r="R203" s="103">
        <f t="shared" si="244"/>
        <v>0</v>
      </c>
      <c r="S203" s="104">
        <f t="shared" si="244"/>
        <v>0</v>
      </c>
      <c r="T203" s="104">
        <f t="shared" si="245"/>
        <v>0</v>
      </c>
      <c r="U203" s="104">
        <f t="shared" si="245"/>
        <v>0</v>
      </c>
      <c r="V203" s="104">
        <f t="shared" si="245"/>
        <v>9.9999999999999995E-8</v>
      </c>
      <c r="W203" s="104">
        <f t="shared" si="245"/>
        <v>0</v>
      </c>
      <c r="X203" s="104">
        <f t="shared" si="273"/>
        <v>0</v>
      </c>
      <c r="Y203" s="104">
        <f t="shared" si="273"/>
        <v>9.9999999999999995E-8</v>
      </c>
      <c r="Z203" s="104">
        <f t="shared" si="273"/>
        <v>9.9999999999999995E-8</v>
      </c>
      <c r="AA203" s="105">
        <f t="shared" si="273"/>
        <v>9.9999999999999995E-8</v>
      </c>
      <c r="AB203" s="101" t="e">
        <f>$DT203*HLOOKUP($J203,'Construction Costs (timber)'!$B$1:$V$32,'Construction Planner'!$L203+2,FALSE)</f>
        <v>#N/A</v>
      </c>
      <c r="AC203" s="14" t="e">
        <f>$DT203*HLOOKUP($J203,'Construction Costs (clay)'!$B$1:$V$32,'Construction Planner'!$L203+2,FALSE)</f>
        <v>#N/A</v>
      </c>
      <c r="AD203" s="14" t="e">
        <f>$DT203*HLOOKUP($J203,'Construction Costs (iron)'!$B$1:$V$32,'Construction Planner'!$L203+2,FALSE)</f>
        <v>#N/A</v>
      </c>
      <c r="AE203" s="34" t="e">
        <f t="shared" si="254"/>
        <v>#N/A</v>
      </c>
      <c r="AF203" s="33" t="e">
        <f t="shared" si="198"/>
        <v>#N/A</v>
      </c>
      <c r="AG203" s="14" t="e">
        <f t="shared" si="199"/>
        <v>#N/A</v>
      </c>
      <c r="AH203" s="14" t="e">
        <f t="shared" si="200"/>
        <v>#N/A</v>
      </c>
      <c r="AI203" s="34" t="e">
        <f t="shared" si="255"/>
        <v>#N/A</v>
      </c>
      <c r="AJ203" s="49" t="e">
        <f t="shared" si="219"/>
        <v>#N/A</v>
      </c>
      <c r="AK203" s="49" t="e">
        <f t="shared" si="220"/>
        <v>#N/A</v>
      </c>
      <c r="AL203" s="49" t="e">
        <f t="shared" si="221"/>
        <v>#N/A</v>
      </c>
      <c r="AM203" s="25">
        <f t="shared" si="201"/>
        <v>30</v>
      </c>
      <c r="AN203" s="25">
        <f t="shared" si="202"/>
        <v>30</v>
      </c>
      <c r="AO203" s="25">
        <f t="shared" si="203"/>
        <v>30</v>
      </c>
      <c r="AP203" s="52" t="e">
        <f t="shared" si="222"/>
        <v>#N/A</v>
      </c>
      <c r="AQ203" s="53" t="e">
        <f t="shared" si="222"/>
        <v>#N/A</v>
      </c>
      <c r="AR203" s="54" t="e">
        <f t="shared" si="222"/>
        <v>#N/A</v>
      </c>
      <c r="AS203" s="316">
        <f t="shared" si="280"/>
        <v>0</v>
      </c>
      <c r="AT203" s="106">
        <f>_xlfn.IFNA($M203/VLOOKUP($BT203,'Unit information'!$A$2:$K$29,2,FALSE)*R203,0)*(1+$E$9)</f>
        <v>0</v>
      </c>
      <c r="AU203" s="107">
        <f>_xlfn.IFNA($M203/VLOOKUP($BT203,'Unit information'!$A$2:$K$29,3,FALSE)*S203,0)*(1+$E$9)</f>
        <v>0</v>
      </c>
      <c r="AV203" s="107">
        <f>_xlfn.IFNA($M203/VLOOKUP($BT203,'Unit information'!$A$2:$K$29,4,FALSE)*T203,0)*(1+$E$9)</f>
        <v>0</v>
      </c>
      <c r="AW203" s="107">
        <f>_xlfn.IFNA($M203/VLOOKUP($BT203,'Unit information'!$A$2:$K$29,5,FALSE)*U203,0)*(1+$E$9)</f>
        <v>0</v>
      </c>
      <c r="AX203" s="107">
        <f>_xlfn.IFNA($M203/VLOOKUP($BU203,'Unit information'!$A$2:$K$29,6,FALSE)*V203,0)*(1+$E$9)</f>
        <v>0</v>
      </c>
      <c r="AY203" s="107">
        <f>_xlfn.IFNA($M203/VLOOKUP($BU203,'Unit information'!$A$2:$K$29,7,FALSE)*W203,0)*(1+$E$9)</f>
        <v>0</v>
      </c>
      <c r="AZ203" s="107">
        <f>_xlfn.IFNA($M203/VLOOKUP($BU203,'Unit information'!$A$2:$K$29,8,FALSE)*X203,0)*(1+$E$9)</f>
        <v>0</v>
      </c>
      <c r="BA203" s="107">
        <f>_xlfn.IFNA($M203/VLOOKUP($BU203,'Unit information'!$A$2:$K$29,9,FALSE)*Y203,0)*(1+$E$9)</f>
        <v>0</v>
      </c>
      <c r="BB203" s="107">
        <f>_xlfn.IFNA($M203/VLOOKUP($BV203,'Unit information'!$A$2:$K$29,10,FALSE)*Z203,0)*(1+$E$9)</f>
        <v>0</v>
      </c>
      <c r="BC203" s="108">
        <f>_xlfn.IFNA($M203/VLOOKUP($BV203,'Unit information'!$A$2:$K$29,11,FALSE)*AA203,0)*(1+$E$9)</f>
        <v>0</v>
      </c>
      <c r="BD203" s="106">
        <f t="shared" si="204"/>
        <v>0</v>
      </c>
      <c r="BE203" s="107">
        <f t="shared" si="205"/>
        <v>0</v>
      </c>
      <c r="BF203" s="108">
        <f t="shared" si="206"/>
        <v>0</v>
      </c>
      <c r="BG203" s="25" t="e">
        <f t="shared" si="207"/>
        <v>#N/A</v>
      </c>
      <c r="BH203" s="25" t="e">
        <f t="shared" si="208"/>
        <v>#N/A</v>
      </c>
      <c r="BI203" s="25" t="e">
        <f t="shared" si="209"/>
        <v>#N/A</v>
      </c>
      <c r="BJ203" s="27" t="e">
        <f t="shared" si="210"/>
        <v>#N/A</v>
      </c>
      <c r="BK203" s="18" t="e">
        <f t="shared" si="211"/>
        <v>#N/A</v>
      </c>
      <c r="BL203" s="18" t="e">
        <f t="shared" si="212"/>
        <v>#N/A</v>
      </c>
      <c r="BM203" s="28" t="e">
        <f t="shared" si="257"/>
        <v>#N/A</v>
      </c>
      <c r="BN203" s="33">
        <f>HLOOKUP("maximum population",Miscelaneous!$C$1:$C$33,CH203+3,FALSE)</f>
        <v>240</v>
      </c>
      <c r="BO203" s="14">
        <f t="shared" si="223"/>
        <v>32</v>
      </c>
      <c r="BP203" s="14">
        <f t="shared" si="224"/>
        <v>0</v>
      </c>
      <c r="BQ203" s="14">
        <f t="shared" si="225"/>
        <v>208</v>
      </c>
      <c r="BR203" s="34" t="e">
        <f>HLOOKUP(J203,Villagers!$B$1:$V$33,L203+3,FALSE)-HLOOKUP(J203,Villagers!$B$1:$V$33,L203+2,FALSE)</f>
        <v>#N/A</v>
      </c>
      <c r="BS203" s="49">
        <f t="shared" si="226"/>
        <v>1</v>
      </c>
      <c r="BT203" s="50">
        <f t="shared" si="227"/>
        <v>0</v>
      </c>
      <c r="BU203" s="50">
        <f t="shared" si="228"/>
        <v>0</v>
      </c>
      <c r="BV203" s="50">
        <f t="shared" si="229"/>
        <v>0</v>
      </c>
      <c r="BW203" s="50">
        <f t="shared" si="282"/>
        <v>0</v>
      </c>
      <c r="BX203" s="50">
        <f t="shared" si="281"/>
        <v>0</v>
      </c>
      <c r="BY203" s="50">
        <f t="shared" si="281"/>
        <v>0</v>
      </c>
      <c r="BZ203" s="50">
        <f t="shared" si="260"/>
        <v>0</v>
      </c>
      <c r="CA203" s="50">
        <f t="shared" si="261"/>
        <v>0</v>
      </c>
      <c r="CB203" s="50">
        <f t="shared" si="262"/>
        <v>1</v>
      </c>
      <c r="CC203" s="50">
        <f t="shared" si="263"/>
        <v>0</v>
      </c>
      <c r="CD203" s="50">
        <f t="shared" si="264"/>
        <v>0</v>
      </c>
      <c r="CE203" s="50">
        <f t="shared" si="265"/>
        <v>1</v>
      </c>
      <c r="CF203" s="50">
        <f t="shared" si="266"/>
        <v>1</v>
      </c>
      <c r="CG203" s="50">
        <f t="shared" si="267"/>
        <v>1</v>
      </c>
      <c r="CH203" s="50">
        <f t="shared" si="268"/>
        <v>1</v>
      </c>
      <c r="CI203" s="50">
        <f t="shared" si="269"/>
        <v>1</v>
      </c>
      <c r="CJ203" s="50">
        <f t="shared" si="270"/>
        <v>1</v>
      </c>
      <c r="CK203" s="50">
        <f t="shared" si="270"/>
        <v>0</v>
      </c>
      <c r="CL203" s="50">
        <f t="shared" si="270"/>
        <v>0</v>
      </c>
      <c r="CM203" s="51">
        <f t="shared" si="274"/>
        <v>0</v>
      </c>
      <c r="CN203" s="33">
        <f>ROUND(IF(BS203=0,0,HLOOKUP(BS$14,Villagers!$B$1:$V$33,BS203+3,FALSE)),)</f>
        <v>5</v>
      </c>
      <c r="CO203" s="14">
        <f>ROUND(IF(BT203=0,0,HLOOKUP(BT$14,Villagers!$B$1:$V$33,BT203+3,FALSE)),)</f>
        <v>0</v>
      </c>
      <c r="CP203" s="14">
        <f>ROUND(IF(BU203=0,0,HLOOKUP(BU$14,Villagers!$B$1:$V$33,BU203+3,FALSE)),)</f>
        <v>0</v>
      </c>
      <c r="CQ203" s="14">
        <f>ROUND(IF(BV203=0,0,HLOOKUP(BV$14,Villagers!$B$1:$V$33,BV203+3,FALSE)),)</f>
        <v>0</v>
      </c>
      <c r="CR203" s="14">
        <f>ROUND(IF(BW203=0,0,HLOOKUP(BW$14,Villagers!$B$1:$V$33,BW203+3,FALSE)),)</f>
        <v>0</v>
      </c>
      <c r="CS203" s="14">
        <f>ROUND(IF(BX203=0,0,HLOOKUP(BX$14,Villagers!$B$1:$V$33,BX203+3,FALSE)),)</f>
        <v>0</v>
      </c>
      <c r="CT203" s="14">
        <f>ROUND(IF(BY203=0,0,HLOOKUP(BY$14,Villagers!$B$1:$V$33,BY203+3,FALSE)),)</f>
        <v>0</v>
      </c>
      <c r="CU203" s="14">
        <f>ROUND(IF(BZ203=0,0,HLOOKUP(BZ$14,Villagers!$B$1:$V$33,BZ203+3,FALSE)),)</f>
        <v>0</v>
      </c>
      <c r="CV203" s="14">
        <f>ROUND(IF(CA203=0,0,HLOOKUP(CA$14,Villagers!$B$1:$V$33,CA203+3,FALSE)),)</f>
        <v>0</v>
      </c>
      <c r="CW203" s="14">
        <f>ROUND(IF(CB203=0,0,HLOOKUP(CB$14,Villagers!$B$1:$V$33,CB203+3,FALSE)),)</f>
        <v>0</v>
      </c>
      <c r="CX203" s="14">
        <f>ROUND(IF(CC203=0,0,HLOOKUP(CC$14,Villagers!$B$1:$V$33,CC203+3,FALSE)),)</f>
        <v>0</v>
      </c>
      <c r="CY203" s="14">
        <f>ROUND(IF(CD203=0,0,HLOOKUP(CD$14,Villagers!$B$1:$V$33,CD203+3,FALSE)),)</f>
        <v>0</v>
      </c>
      <c r="CZ203" s="14">
        <f>ROUND(IF(CE203=0,0,HLOOKUP(CE$14,Villagers!$B$1:$V$33,CE203+3,FALSE)),)</f>
        <v>5</v>
      </c>
      <c r="DA203" s="14">
        <f>ROUND(IF(CF203=0,0,HLOOKUP(CF$14,Villagers!$B$1:$V$33,CF203+3,FALSE)),)</f>
        <v>10</v>
      </c>
      <c r="DB203" s="14">
        <f>ROUND(IF(CG203=0,0,HLOOKUP(CG$14,Villagers!$B$1:$V$33,CG203+3,FALSE)),)</f>
        <v>10</v>
      </c>
      <c r="DC203" s="14">
        <f>ROUND(IF(CH203=0,0,HLOOKUP(CH$14,Villagers!$B$1:$V$33,CH203+3,FALSE)),)</f>
        <v>0</v>
      </c>
      <c r="DD203" s="14">
        <f>ROUND(IF(CI203=0,0,HLOOKUP(CI$14,Villagers!$B$1:$V$33,CI203+3,FALSE)),)</f>
        <v>0</v>
      </c>
      <c r="DE203" s="14">
        <f>ROUND(IF(CJ203=0,0,HLOOKUP(CJ$14,Villagers!$B$1:$V$33,CJ203+3,FALSE)),)</f>
        <v>2</v>
      </c>
      <c r="DF203" s="370">
        <f>ROUND(IF(CK203=0,0,HLOOKUP(CK$14,Villagers!$B$1:$V$33,CK203+3,FALSE)),)</f>
        <v>0</v>
      </c>
      <c r="DG203" s="370">
        <f>ROUND(IF(CL203=0,0,HLOOKUP(CL$14,Villagers!$B$1:$V$33,CL203+3,FALSE)),)</f>
        <v>0</v>
      </c>
      <c r="DH203" s="34">
        <f>ROUND(IF(CM203=0,0,HLOOKUP(CM$14,Villagers!$B$1:$V$33,CM203+3,FALSE)),)</f>
        <v>0</v>
      </c>
      <c r="DI203" s="109">
        <f t="shared" si="246"/>
        <v>0</v>
      </c>
      <c r="DJ203" s="50">
        <f t="shared" si="247"/>
        <v>0</v>
      </c>
      <c r="DK203" s="50">
        <f t="shared" si="248"/>
        <v>0</v>
      </c>
      <c r="DL203" s="50">
        <f t="shared" si="249"/>
        <v>0</v>
      </c>
      <c r="DM203" s="50">
        <f t="shared" si="250"/>
        <v>0</v>
      </c>
      <c r="DN203" s="50">
        <f t="shared" si="251"/>
        <v>0</v>
      </c>
      <c r="DO203" s="50">
        <f t="shared" si="252"/>
        <v>0</v>
      </c>
      <c r="DP203" s="50">
        <f t="shared" si="253"/>
        <v>0</v>
      </c>
      <c r="DQ203" s="50">
        <f t="shared" si="231"/>
        <v>0</v>
      </c>
      <c r="DR203" s="50">
        <f t="shared" si="232"/>
        <v>0</v>
      </c>
      <c r="DS203" s="96">
        <f>Miscelaneous!$D$4*Miscelaneous!$D$2^($CI203-1)</f>
        <v>1000</v>
      </c>
      <c r="DT203" s="333">
        <f t="shared" si="213"/>
        <v>1</v>
      </c>
      <c r="DU203" s="81">
        <v>1</v>
      </c>
      <c r="DV203" s="79">
        <f t="shared" si="233"/>
        <v>0</v>
      </c>
      <c r="DW203" s="79">
        <f t="shared" si="234"/>
        <v>0</v>
      </c>
      <c r="DX203" s="79">
        <f t="shared" si="235"/>
        <v>0</v>
      </c>
      <c r="DY203" s="79">
        <v>1</v>
      </c>
      <c r="DZ203" s="79">
        <f t="shared" si="236"/>
        <v>0</v>
      </c>
      <c r="EA203" s="79">
        <f t="shared" si="237"/>
        <v>0</v>
      </c>
      <c r="EB203" s="79">
        <f t="shared" si="238"/>
        <v>0</v>
      </c>
      <c r="EC203" s="79">
        <f t="shared" si="239"/>
        <v>0</v>
      </c>
      <c r="ED203" s="79">
        <v>1</v>
      </c>
      <c r="EE203" s="79">
        <v>1</v>
      </c>
      <c r="EF203" s="79">
        <f t="shared" si="240"/>
        <v>0</v>
      </c>
      <c r="EG203" s="79">
        <v>1</v>
      </c>
      <c r="EH203" s="79">
        <v>1</v>
      </c>
      <c r="EI203" s="79">
        <v>1</v>
      </c>
      <c r="EJ203" s="79">
        <v>1</v>
      </c>
      <c r="EK203" s="79">
        <v>1</v>
      </c>
      <c r="EL203" s="79">
        <v>1</v>
      </c>
      <c r="EM203" s="143">
        <f t="shared" si="241"/>
        <v>0</v>
      </c>
      <c r="EN203" s="143">
        <f t="shared" si="242"/>
        <v>0</v>
      </c>
      <c r="EO203" s="82">
        <f t="shared" si="243"/>
        <v>0</v>
      </c>
    </row>
    <row r="204" spans="1:145" x14ac:dyDescent="0.25">
      <c r="A204">
        <v>190</v>
      </c>
      <c r="B204" s="172" t="e">
        <f t="shared" si="214"/>
        <v>#N/A</v>
      </c>
      <c r="C204" s="121" t="e">
        <f t="shared" si="193"/>
        <v>#N/A</v>
      </c>
      <c r="D204" s="122" t="e">
        <f t="shared" si="194"/>
        <v>#N/A</v>
      </c>
      <c r="E204" s="122" t="e">
        <f t="shared" si="195"/>
        <v>#N/A</v>
      </c>
      <c r="F204" s="176" t="e">
        <f t="shared" si="196"/>
        <v>#N/A</v>
      </c>
      <c r="G204" s="121">
        <f t="shared" si="215"/>
        <v>208</v>
      </c>
      <c r="H204" s="176" t="e">
        <f t="shared" si="216"/>
        <v>#N/A</v>
      </c>
      <c r="I204" s="48">
        <v>1</v>
      </c>
      <c r="J204" s="39"/>
      <c r="K204" s="350">
        <v>1</v>
      </c>
      <c r="L204" s="34" t="e">
        <f t="shared" si="197"/>
        <v>#N/A</v>
      </c>
      <c r="M204" s="38" t="e">
        <f>(HLOOKUP(J204,'Construction Times'!$B$3:$W$34,L204+2,FALSE)*HLOOKUP("hq modifier",'Construction Times'!$W$3:$W$34,BS204+2,FALSE))*(1-$H$9)</f>
        <v>#N/A</v>
      </c>
      <c r="N204" s="443" t="e">
        <f t="shared" si="217"/>
        <v>#N/A</v>
      </c>
      <c r="O204" s="444"/>
      <c r="P204" s="447" t="e">
        <f t="shared" si="218"/>
        <v>#N/A</v>
      </c>
      <c r="Q204" s="448"/>
      <c r="R204" s="103">
        <f t="shared" si="244"/>
        <v>0</v>
      </c>
      <c r="S204" s="104">
        <f t="shared" si="244"/>
        <v>0</v>
      </c>
      <c r="T204" s="104">
        <f t="shared" si="245"/>
        <v>0</v>
      </c>
      <c r="U204" s="104">
        <f t="shared" si="245"/>
        <v>0</v>
      </c>
      <c r="V204" s="104">
        <f t="shared" si="245"/>
        <v>9.9999999999999995E-8</v>
      </c>
      <c r="W204" s="104">
        <f t="shared" si="245"/>
        <v>0</v>
      </c>
      <c r="X204" s="104">
        <f t="shared" si="273"/>
        <v>0</v>
      </c>
      <c r="Y204" s="104">
        <f t="shared" si="273"/>
        <v>9.9999999999999995E-8</v>
      </c>
      <c r="Z204" s="104">
        <f t="shared" si="273"/>
        <v>9.9999999999999995E-8</v>
      </c>
      <c r="AA204" s="105">
        <f t="shared" si="273"/>
        <v>9.9999999999999995E-8</v>
      </c>
      <c r="AB204" s="101" t="e">
        <f>$DT204*HLOOKUP($J204,'Construction Costs (timber)'!$B$1:$V$32,'Construction Planner'!$L204+2,FALSE)</f>
        <v>#N/A</v>
      </c>
      <c r="AC204" s="14" t="e">
        <f>$DT204*HLOOKUP($J204,'Construction Costs (clay)'!$B$1:$V$32,'Construction Planner'!$L204+2,FALSE)</f>
        <v>#N/A</v>
      </c>
      <c r="AD204" s="14" t="e">
        <f>$DT204*HLOOKUP($J204,'Construction Costs (iron)'!$B$1:$V$32,'Construction Planner'!$L204+2,FALSE)</f>
        <v>#N/A</v>
      </c>
      <c r="AE204" s="34" t="e">
        <f t="shared" si="254"/>
        <v>#N/A</v>
      </c>
      <c r="AF204" s="33" t="e">
        <f t="shared" si="198"/>
        <v>#N/A</v>
      </c>
      <c r="AG204" s="14" t="e">
        <f t="shared" si="199"/>
        <v>#N/A</v>
      </c>
      <c r="AH204" s="14" t="e">
        <f t="shared" si="200"/>
        <v>#N/A</v>
      </c>
      <c r="AI204" s="34" t="e">
        <f t="shared" si="255"/>
        <v>#N/A</v>
      </c>
      <c r="AJ204" s="49" t="e">
        <f t="shared" si="219"/>
        <v>#N/A</v>
      </c>
      <c r="AK204" s="49" t="e">
        <f t="shared" si="220"/>
        <v>#N/A</v>
      </c>
      <c r="AL204" s="49" t="e">
        <f t="shared" si="221"/>
        <v>#N/A</v>
      </c>
      <c r="AM204" s="25">
        <f t="shared" si="201"/>
        <v>30</v>
      </c>
      <c r="AN204" s="25">
        <f t="shared" si="202"/>
        <v>30</v>
      </c>
      <c r="AO204" s="25">
        <f t="shared" si="203"/>
        <v>30</v>
      </c>
      <c r="AP204" s="52" t="e">
        <f t="shared" si="222"/>
        <v>#N/A</v>
      </c>
      <c r="AQ204" s="53" t="e">
        <f t="shared" si="222"/>
        <v>#N/A</v>
      </c>
      <c r="AR204" s="54" t="e">
        <f t="shared" si="222"/>
        <v>#N/A</v>
      </c>
      <c r="AS204" s="316">
        <f t="shared" si="280"/>
        <v>0</v>
      </c>
      <c r="AT204" s="106">
        <f>_xlfn.IFNA($M204/VLOOKUP($BT204,'Unit information'!$A$2:$K$29,2,FALSE)*R204,0)*(1+$E$9)</f>
        <v>0</v>
      </c>
      <c r="AU204" s="107">
        <f>_xlfn.IFNA($M204/VLOOKUP($BT204,'Unit information'!$A$2:$K$29,3,FALSE)*S204,0)*(1+$E$9)</f>
        <v>0</v>
      </c>
      <c r="AV204" s="107">
        <f>_xlfn.IFNA($M204/VLOOKUP($BT204,'Unit information'!$A$2:$K$29,4,FALSE)*T204,0)*(1+$E$9)</f>
        <v>0</v>
      </c>
      <c r="AW204" s="107">
        <f>_xlfn.IFNA($M204/VLOOKUP($BT204,'Unit information'!$A$2:$K$29,5,FALSE)*U204,0)*(1+$E$9)</f>
        <v>0</v>
      </c>
      <c r="AX204" s="107">
        <f>_xlfn.IFNA($M204/VLOOKUP($BU204,'Unit information'!$A$2:$K$29,6,FALSE)*V204,0)*(1+$E$9)</f>
        <v>0</v>
      </c>
      <c r="AY204" s="107">
        <f>_xlfn.IFNA($M204/VLOOKUP($BU204,'Unit information'!$A$2:$K$29,7,FALSE)*W204,0)*(1+$E$9)</f>
        <v>0</v>
      </c>
      <c r="AZ204" s="107">
        <f>_xlfn.IFNA($M204/VLOOKUP($BU204,'Unit information'!$A$2:$K$29,8,FALSE)*X204,0)*(1+$E$9)</f>
        <v>0</v>
      </c>
      <c r="BA204" s="107">
        <f>_xlfn.IFNA($M204/VLOOKUP($BU204,'Unit information'!$A$2:$K$29,9,FALSE)*Y204,0)*(1+$E$9)</f>
        <v>0</v>
      </c>
      <c r="BB204" s="107">
        <f>_xlfn.IFNA($M204/VLOOKUP($BV204,'Unit information'!$A$2:$K$29,10,FALSE)*Z204,0)*(1+$E$9)</f>
        <v>0</v>
      </c>
      <c r="BC204" s="108">
        <f>_xlfn.IFNA($M204/VLOOKUP($BV204,'Unit information'!$A$2:$K$29,11,FALSE)*AA204,0)*(1+$E$9)</f>
        <v>0</v>
      </c>
      <c r="BD204" s="106">
        <f t="shared" si="204"/>
        <v>0</v>
      </c>
      <c r="BE204" s="107">
        <f t="shared" si="205"/>
        <v>0</v>
      </c>
      <c r="BF204" s="108">
        <f t="shared" si="206"/>
        <v>0</v>
      </c>
      <c r="BG204" s="25" t="e">
        <f t="shared" si="207"/>
        <v>#N/A</v>
      </c>
      <c r="BH204" s="25" t="e">
        <f t="shared" si="208"/>
        <v>#N/A</v>
      </c>
      <c r="BI204" s="25" t="e">
        <f t="shared" si="209"/>
        <v>#N/A</v>
      </c>
      <c r="BJ204" s="27" t="e">
        <f t="shared" si="210"/>
        <v>#N/A</v>
      </c>
      <c r="BK204" s="18" t="e">
        <f t="shared" si="211"/>
        <v>#N/A</v>
      </c>
      <c r="BL204" s="18" t="e">
        <f t="shared" si="212"/>
        <v>#N/A</v>
      </c>
      <c r="BM204" s="28" t="e">
        <f t="shared" si="257"/>
        <v>#N/A</v>
      </c>
      <c r="BN204" s="33">
        <f>HLOOKUP("maximum population",Miscelaneous!$C$1:$C$33,CH204+3,FALSE)</f>
        <v>240</v>
      </c>
      <c r="BO204" s="14">
        <f t="shared" si="223"/>
        <v>32</v>
      </c>
      <c r="BP204" s="14">
        <f t="shared" si="224"/>
        <v>0</v>
      </c>
      <c r="BQ204" s="14">
        <f t="shared" si="225"/>
        <v>208</v>
      </c>
      <c r="BR204" s="34" t="e">
        <f>HLOOKUP(J204,Villagers!$B$1:$V$33,L204+3,FALSE)-HLOOKUP(J204,Villagers!$B$1:$V$33,L204+2,FALSE)</f>
        <v>#N/A</v>
      </c>
      <c r="BS204" s="49">
        <f t="shared" si="226"/>
        <v>1</v>
      </c>
      <c r="BT204" s="50">
        <f t="shared" si="227"/>
        <v>0</v>
      </c>
      <c r="BU204" s="50">
        <f t="shared" si="228"/>
        <v>0</v>
      </c>
      <c r="BV204" s="50">
        <f t="shared" si="229"/>
        <v>0</v>
      </c>
      <c r="BW204" s="50">
        <f t="shared" si="282"/>
        <v>0</v>
      </c>
      <c r="BX204" s="50">
        <f t="shared" si="281"/>
        <v>0</v>
      </c>
      <c r="BY204" s="50">
        <f t="shared" si="281"/>
        <v>0</v>
      </c>
      <c r="BZ204" s="50">
        <f t="shared" si="260"/>
        <v>0</v>
      </c>
      <c r="CA204" s="50">
        <f t="shared" si="261"/>
        <v>0</v>
      </c>
      <c r="CB204" s="50">
        <f t="shared" si="262"/>
        <v>1</v>
      </c>
      <c r="CC204" s="50">
        <f t="shared" si="263"/>
        <v>0</v>
      </c>
      <c r="CD204" s="50">
        <f t="shared" si="264"/>
        <v>0</v>
      </c>
      <c r="CE204" s="50">
        <f t="shared" si="265"/>
        <v>1</v>
      </c>
      <c r="CF204" s="50">
        <f t="shared" si="266"/>
        <v>1</v>
      </c>
      <c r="CG204" s="50">
        <f t="shared" si="267"/>
        <v>1</v>
      </c>
      <c r="CH204" s="50">
        <f t="shared" si="268"/>
        <v>1</v>
      </c>
      <c r="CI204" s="50">
        <f t="shared" si="269"/>
        <v>1</v>
      </c>
      <c r="CJ204" s="50">
        <f t="shared" si="270"/>
        <v>1</v>
      </c>
      <c r="CK204" s="50">
        <f t="shared" si="270"/>
        <v>0</v>
      </c>
      <c r="CL204" s="50">
        <f t="shared" si="270"/>
        <v>0</v>
      </c>
      <c r="CM204" s="51">
        <f t="shared" si="274"/>
        <v>0</v>
      </c>
      <c r="CN204" s="33">
        <f>ROUND(IF(BS204=0,0,HLOOKUP(BS$14,Villagers!$B$1:$V$33,BS204+3,FALSE)),)</f>
        <v>5</v>
      </c>
      <c r="CO204" s="14">
        <f>ROUND(IF(BT204=0,0,HLOOKUP(BT$14,Villagers!$B$1:$V$33,BT204+3,FALSE)),)</f>
        <v>0</v>
      </c>
      <c r="CP204" s="14">
        <f>ROUND(IF(BU204=0,0,HLOOKUP(BU$14,Villagers!$B$1:$V$33,BU204+3,FALSE)),)</f>
        <v>0</v>
      </c>
      <c r="CQ204" s="14">
        <f>ROUND(IF(BV204=0,0,HLOOKUP(BV$14,Villagers!$B$1:$V$33,BV204+3,FALSE)),)</f>
        <v>0</v>
      </c>
      <c r="CR204" s="14">
        <f>ROUND(IF(BW204=0,0,HLOOKUP(BW$14,Villagers!$B$1:$V$33,BW204+3,FALSE)),)</f>
        <v>0</v>
      </c>
      <c r="CS204" s="14">
        <f>ROUND(IF(BX204=0,0,HLOOKUP(BX$14,Villagers!$B$1:$V$33,BX204+3,FALSE)),)</f>
        <v>0</v>
      </c>
      <c r="CT204" s="14">
        <f>ROUND(IF(BY204=0,0,HLOOKUP(BY$14,Villagers!$B$1:$V$33,BY204+3,FALSE)),)</f>
        <v>0</v>
      </c>
      <c r="CU204" s="14">
        <f>ROUND(IF(BZ204=0,0,HLOOKUP(BZ$14,Villagers!$B$1:$V$33,BZ204+3,FALSE)),)</f>
        <v>0</v>
      </c>
      <c r="CV204" s="14">
        <f>ROUND(IF(CA204=0,0,HLOOKUP(CA$14,Villagers!$B$1:$V$33,CA204+3,FALSE)),)</f>
        <v>0</v>
      </c>
      <c r="CW204" s="14">
        <f>ROUND(IF(CB204=0,0,HLOOKUP(CB$14,Villagers!$B$1:$V$33,CB204+3,FALSE)),)</f>
        <v>0</v>
      </c>
      <c r="CX204" s="14">
        <f>ROUND(IF(CC204=0,0,HLOOKUP(CC$14,Villagers!$B$1:$V$33,CC204+3,FALSE)),)</f>
        <v>0</v>
      </c>
      <c r="CY204" s="14">
        <f>ROUND(IF(CD204=0,0,HLOOKUP(CD$14,Villagers!$B$1:$V$33,CD204+3,FALSE)),)</f>
        <v>0</v>
      </c>
      <c r="CZ204" s="14">
        <f>ROUND(IF(CE204=0,0,HLOOKUP(CE$14,Villagers!$B$1:$V$33,CE204+3,FALSE)),)</f>
        <v>5</v>
      </c>
      <c r="DA204" s="14">
        <f>ROUND(IF(CF204=0,0,HLOOKUP(CF$14,Villagers!$B$1:$V$33,CF204+3,FALSE)),)</f>
        <v>10</v>
      </c>
      <c r="DB204" s="14">
        <f>ROUND(IF(CG204=0,0,HLOOKUP(CG$14,Villagers!$B$1:$V$33,CG204+3,FALSE)),)</f>
        <v>10</v>
      </c>
      <c r="DC204" s="14">
        <f>ROUND(IF(CH204=0,0,HLOOKUP(CH$14,Villagers!$B$1:$V$33,CH204+3,FALSE)),)</f>
        <v>0</v>
      </c>
      <c r="DD204" s="14">
        <f>ROUND(IF(CI204=0,0,HLOOKUP(CI$14,Villagers!$B$1:$V$33,CI204+3,FALSE)),)</f>
        <v>0</v>
      </c>
      <c r="DE204" s="14">
        <f>ROUND(IF(CJ204=0,0,HLOOKUP(CJ$14,Villagers!$B$1:$V$33,CJ204+3,FALSE)),)</f>
        <v>2</v>
      </c>
      <c r="DF204" s="370">
        <f>ROUND(IF(CK204=0,0,HLOOKUP(CK$14,Villagers!$B$1:$V$33,CK204+3,FALSE)),)</f>
        <v>0</v>
      </c>
      <c r="DG204" s="370">
        <f>ROUND(IF(CL204=0,0,HLOOKUP(CL$14,Villagers!$B$1:$V$33,CL204+3,FALSE)),)</f>
        <v>0</v>
      </c>
      <c r="DH204" s="34">
        <f>ROUND(IF(CM204=0,0,HLOOKUP(CM$14,Villagers!$B$1:$V$33,CM204+3,FALSE)),)</f>
        <v>0</v>
      </c>
      <c r="DI204" s="109">
        <f t="shared" si="246"/>
        <v>0</v>
      </c>
      <c r="DJ204" s="50">
        <f t="shared" si="247"/>
        <v>0</v>
      </c>
      <c r="DK204" s="50">
        <f t="shared" si="248"/>
        <v>0</v>
      </c>
      <c r="DL204" s="50">
        <f t="shared" si="249"/>
        <v>0</v>
      </c>
      <c r="DM204" s="50">
        <f t="shared" si="250"/>
        <v>0</v>
      </c>
      <c r="DN204" s="50">
        <f t="shared" si="251"/>
        <v>0</v>
      </c>
      <c r="DO204" s="50">
        <f t="shared" si="252"/>
        <v>0</v>
      </c>
      <c r="DP204" s="50">
        <f t="shared" si="253"/>
        <v>0</v>
      </c>
      <c r="DQ204" s="50">
        <f t="shared" si="231"/>
        <v>0</v>
      </c>
      <c r="DR204" s="50">
        <f t="shared" si="232"/>
        <v>0</v>
      </c>
      <c r="DS204" s="96">
        <f>Miscelaneous!$D$4*Miscelaneous!$D$2^($CI204-1)</f>
        <v>1000</v>
      </c>
      <c r="DT204" s="333">
        <f t="shared" si="213"/>
        <v>1</v>
      </c>
      <c r="DU204" s="81">
        <v>1</v>
      </c>
      <c r="DV204" s="79">
        <f t="shared" si="233"/>
        <v>0</v>
      </c>
      <c r="DW204" s="79">
        <f t="shared" si="234"/>
        <v>0</v>
      </c>
      <c r="DX204" s="79">
        <f t="shared" si="235"/>
        <v>0</v>
      </c>
      <c r="DY204" s="79">
        <v>1</v>
      </c>
      <c r="DZ204" s="79">
        <f t="shared" si="236"/>
        <v>0</v>
      </c>
      <c r="EA204" s="79">
        <f t="shared" si="237"/>
        <v>0</v>
      </c>
      <c r="EB204" s="79">
        <f t="shared" si="238"/>
        <v>0</v>
      </c>
      <c r="EC204" s="79">
        <f t="shared" si="239"/>
        <v>0</v>
      </c>
      <c r="ED204" s="79">
        <v>1</v>
      </c>
      <c r="EE204" s="79">
        <v>1</v>
      </c>
      <c r="EF204" s="79">
        <f t="shared" si="240"/>
        <v>0</v>
      </c>
      <c r="EG204" s="79">
        <v>1</v>
      </c>
      <c r="EH204" s="79">
        <v>1</v>
      </c>
      <c r="EI204" s="79">
        <v>1</v>
      </c>
      <c r="EJ204" s="79">
        <v>1</v>
      </c>
      <c r="EK204" s="79">
        <v>1</v>
      </c>
      <c r="EL204" s="79">
        <v>1</v>
      </c>
      <c r="EM204" s="143">
        <f t="shared" si="241"/>
        <v>0</v>
      </c>
      <c r="EN204" s="143">
        <f t="shared" si="242"/>
        <v>0</v>
      </c>
      <c r="EO204" s="82">
        <f t="shared" si="243"/>
        <v>0</v>
      </c>
    </row>
    <row r="205" spans="1:145" x14ac:dyDescent="0.25">
      <c r="A205">
        <v>191</v>
      </c>
      <c r="B205" s="172" t="e">
        <f t="shared" si="214"/>
        <v>#N/A</v>
      </c>
      <c r="C205" s="121" t="e">
        <f t="shared" si="193"/>
        <v>#N/A</v>
      </c>
      <c r="D205" s="122" t="e">
        <f t="shared" si="194"/>
        <v>#N/A</v>
      </c>
      <c r="E205" s="122" t="e">
        <f t="shared" si="195"/>
        <v>#N/A</v>
      </c>
      <c r="F205" s="176" t="e">
        <f t="shared" si="196"/>
        <v>#N/A</v>
      </c>
      <c r="G205" s="121">
        <f t="shared" si="215"/>
        <v>208</v>
      </c>
      <c r="H205" s="176" t="e">
        <f t="shared" si="216"/>
        <v>#N/A</v>
      </c>
      <c r="I205" s="48">
        <v>1</v>
      </c>
      <c r="J205" s="39"/>
      <c r="K205" s="350">
        <v>1</v>
      </c>
      <c r="L205" s="34" t="e">
        <f t="shared" si="197"/>
        <v>#N/A</v>
      </c>
      <c r="M205" s="38" t="e">
        <f>(HLOOKUP(J205,'Construction Times'!$B$3:$W$34,L205+2,FALSE)*HLOOKUP("hq modifier",'Construction Times'!$W$3:$W$34,BS205+2,FALSE))*(1-$H$9)</f>
        <v>#N/A</v>
      </c>
      <c r="N205" s="443" t="e">
        <f t="shared" si="217"/>
        <v>#N/A</v>
      </c>
      <c r="O205" s="444"/>
      <c r="P205" s="447" t="e">
        <f t="shared" si="218"/>
        <v>#N/A</v>
      </c>
      <c r="Q205" s="448"/>
      <c r="R205" s="103">
        <f t="shared" si="244"/>
        <v>0</v>
      </c>
      <c r="S205" s="104">
        <f t="shared" si="244"/>
        <v>0</v>
      </c>
      <c r="T205" s="104">
        <f t="shared" si="245"/>
        <v>0</v>
      </c>
      <c r="U205" s="104">
        <f t="shared" si="245"/>
        <v>0</v>
      </c>
      <c r="V205" s="104">
        <f t="shared" si="245"/>
        <v>9.9999999999999995E-8</v>
      </c>
      <c r="W205" s="104">
        <f t="shared" si="245"/>
        <v>0</v>
      </c>
      <c r="X205" s="104">
        <f t="shared" si="273"/>
        <v>0</v>
      </c>
      <c r="Y205" s="104">
        <f t="shared" si="273"/>
        <v>9.9999999999999995E-8</v>
      </c>
      <c r="Z205" s="104">
        <f t="shared" si="273"/>
        <v>9.9999999999999995E-8</v>
      </c>
      <c r="AA205" s="105">
        <f t="shared" si="273"/>
        <v>9.9999999999999995E-8</v>
      </c>
      <c r="AB205" s="101" t="e">
        <f>$DT205*HLOOKUP($J205,'Construction Costs (timber)'!$B$1:$V$32,'Construction Planner'!$L205+2,FALSE)</f>
        <v>#N/A</v>
      </c>
      <c r="AC205" s="14" t="e">
        <f>$DT205*HLOOKUP($J205,'Construction Costs (clay)'!$B$1:$V$32,'Construction Planner'!$L205+2,FALSE)</f>
        <v>#N/A</v>
      </c>
      <c r="AD205" s="14" t="e">
        <f>$DT205*HLOOKUP($J205,'Construction Costs (iron)'!$B$1:$V$32,'Construction Planner'!$L205+2,FALSE)</f>
        <v>#N/A</v>
      </c>
      <c r="AE205" s="34" t="e">
        <f t="shared" si="254"/>
        <v>#N/A</v>
      </c>
      <c r="AF205" s="33" t="e">
        <f t="shared" si="198"/>
        <v>#N/A</v>
      </c>
      <c r="AG205" s="14" t="e">
        <f t="shared" si="199"/>
        <v>#N/A</v>
      </c>
      <c r="AH205" s="14" t="e">
        <f t="shared" si="200"/>
        <v>#N/A</v>
      </c>
      <c r="AI205" s="34" t="e">
        <f t="shared" si="255"/>
        <v>#N/A</v>
      </c>
      <c r="AJ205" s="49" t="e">
        <f t="shared" si="219"/>
        <v>#N/A</v>
      </c>
      <c r="AK205" s="49" t="e">
        <f t="shared" si="220"/>
        <v>#N/A</v>
      </c>
      <c r="AL205" s="49" t="e">
        <f t="shared" si="221"/>
        <v>#N/A</v>
      </c>
      <c r="AM205" s="25">
        <f t="shared" si="201"/>
        <v>30</v>
      </c>
      <c r="AN205" s="25">
        <f t="shared" si="202"/>
        <v>30</v>
      </c>
      <c r="AO205" s="25">
        <f t="shared" si="203"/>
        <v>30</v>
      </c>
      <c r="AP205" s="52" t="e">
        <f t="shared" si="222"/>
        <v>#N/A</v>
      </c>
      <c r="AQ205" s="53" t="e">
        <f t="shared" si="222"/>
        <v>#N/A</v>
      </c>
      <c r="AR205" s="54" t="e">
        <f t="shared" si="222"/>
        <v>#N/A</v>
      </c>
      <c r="AS205" s="316">
        <f t="shared" si="280"/>
        <v>0</v>
      </c>
      <c r="AT205" s="106">
        <f>_xlfn.IFNA($M205/VLOOKUP($BT205,'Unit information'!$A$2:$K$29,2,FALSE)*R205,0)*(1+$E$9)</f>
        <v>0</v>
      </c>
      <c r="AU205" s="107">
        <f>_xlfn.IFNA($M205/VLOOKUP($BT205,'Unit information'!$A$2:$K$29,3,FALSE)*S205,0)*(1+$E$9)</f>
        <v>0</v>
      </c>
      <c r="AV205" s="107">
        <f>_xlfn.IFNA($M205/VLOOKUP($BT205,'Unit information'!$A$2:$K$29,4,FALSE)*T205,0)*(1+$E$9)</f>
        <v>0</v>
      </c>
      <c r="AW205" s="107">
        <f>_xlfn.IFNA($M205/VLOOKUP($BT205,'Unit information'!$A$2:$K$29,5,FALSE)*U205,0)*(1+$E$9)</f>
        <v>0</v>
      </c>
      <c r="AX205" s="107">
        <f>_xlfn.IFNA($M205/VLOOKUP($BU205,'Unit information'!$A$2:$K$29,6,FALSE)*V205,0)*(1+$E$9)</f>
        <v>0</v>
      </c>
      <c r="AY205" s="107">
        <f>_xlfn.IFNA($M205/VLOOKUP($BU205,'Unit information'!$A$2:$K$29,7,FALSE)*W205,0)*(1+$E$9)</f>
        <v>0</v>
      </c>
      <c r="AZ205" s="107">
        <f>_xlfn.IFNA($M205/VLOOKUP($BU205,'Unit information'!$A$2:$K$29,8,FALSE)*X205,0)*(1+$E$9)</f>
        <v>0</v>
      </c>
      <c r="BA205" s="107">
        <f>_xlfn.IFNA($M205/VLOOKUP($BU205,'Unit information'!$A$2:$K$29,9,FALSE)*Y205,0)*(1+$E$9)</f>
        <v>0</v>
      </c>
      <c r="BB205" s="107">
        <f>_xlfn.IFNA($M205/VLOOKUP($BV205,'Unit information'!$A$2:$K$29,10,FALSE)*Z205,0)*(1+$E$9)</f>
        <v>0</v>
      </c>
      <c r="BC205" s="108">
        <f>_xlfn.IFNA($M205/VLOOKUP($BV205,'Unit information'!$A$2:$K$29,11,FALSE)*AA205,0)*(1+$E$9)</f>
        <v>0</v>
      </c>
      <c r="BD205" s="106">
        <f t="shared" si="204"/>
        <v>0</v>
      </c>
      <c r="BE205" s="107">
        <f t="shared" si="205"/>
        <v>0</v>
      </c>
      <c r="BF205" s="108">
        <f t="shared" si="206"/>
        <v>0</v>
      </c>
      <c r="BG205" s="25" t="e">
        <f t="shared" si="207"/>
        <v>#N/A</v>
      </c>
      <c r="BH205" s="25" t="e">
        <f t="shared" si="208"/>
        <v>#N/A</v>
      </c>
      <c r="BI205" s="25" t="e">
        <f t="shared" si="209"/>
        <v>#N/A</v>
      </c>
      <c r="BJ205" s="27" t="e">
        <f t="shared" si="210"/>
        <v>#N/A</v>
      </c>
      <c r="BK205" s="18" t="e">
        <f t="shared" si="211"/>
        <v>#N/A</v>
      </c>
      <c r="BL205" s="18" t="e">
        <f t="shared" si="212"/>
        <v>#N/A</v>
      </c>
      <c r="BM205" s="28" t="e">
        <f t="shared" si="257"/>
        <v>#N/A</v>
      </c>
      <c r="BN205" s="33">
        <f>HLOOKUP("maximum population",Miscelaneous!$C$1:$C$33,CH205+3,FALSE)</f>
        <v>240</v>
      </c>
      <c r="BO205" s="14">
        <f t="shared" si="223"/>
        <v>32</v>
      </c>
      <c r="BP205" s="14">
        <f t="shared" si="224"/>
        <v>0</v>
      </c>
      <c r="BQ205" s="14">
        <f t="shared" si="225"/>
        <v>208</v>
      </c>
      <c r="BR205" s="34" t="e">
        <f>HLOOKUP(J205,Villagers!$B$1:$V$33,L205+3,FALSE)-HLOOKUP(J205,Villagers!$B$1:$V$33,L205+2,FALSE)</f>
        <v>#N/A</v>
      </c>
      <c r="BS205" s="49">
        <f t="shared" si="226"/>
        <v>1</v>
      </c>
      <c r="BT205" s="50">
        <f t="shared" si="227"/>
        <v>0</v>
      </c>
      <c r="BU205" s="50">
        <f t="shared" si="228"/>
        <v>0</v>
      </c>
      <c r="BV205" s="50">
        <f t="shared" si="229"/>
        <v>0</v>
      </c>
      <c r="BW205" s="50">
        <f t="shared" si="282"/>
        <v>0</v>
      </c>
      <c r="BX205" s="50">
        <f t="shared" si="281"/>
        <v>0</v>
      </c>
      <c r="BY205" s="50">
        <f t="shared" si="281"/>
        <v>0</v>
      </c>
      <c r="BZ205" s="50">
        <f t="shared" si="260"/>
        <v>0</v>
      </c>
      <c r="CA205" s="50">
        <f t="shared" si="261"/>
        <v>0</v>
      </c>
      <c r="CB205" s="50">
        <f t="shared" si="262"/>
        <v>1</v>
      </c>
      <c r="CC205" s="50">
        <f t="shared" si="263"/>
        <v>0</v>
      </c>
      <c r="CD205" s="50">
        <f t="shared" si="264"/>
        <v>0</v>
      </c>
      <c r="CE205" s="50">
        <f t="shared" si="265"/>
        <v>1</v>
      </c>
      <c r="CF205" s="50">
        <f t="shared" si="266"/>
        <v>1</v>
      </c>
      <c r="CG205" s="50">
        <f t="shared" si="267"/>
        <v>1</v>
      </c>
      <c r="CH205" s="50">
        <f t="shared" si="268"/>
        <v>1</v>
      </c>
      <c r="CI205" s="50">
        <f t="shared" si="269"/>
        <v>1</v>
      </c>
      <c r="CJ205" s="50">
        <f t="shared" si="270"/>
        <v>1</v>
      </c>
      <c r="CK205" s="50">
        <f t="shared" si="270"/>
        <v>0</v>
      </c>
      <c r="CL205" s="50">
        <f t="shared" si="270"/>
        <v>0</v>
      </c>
      <c r="CM205" s="51">
        <f t="shared" si="274"/>
        <v>0</v>
      </c>
      <c r="CN205" s="33">
        <f>ROUND(IF(BS205=0,0,HLOOKUP(BS$14,Villagers!$B$1:$V$33,BS205+3,FALSE)),)</f>
        <v>5</v>
      </c>
      <c r="CO205" s="14">
        <f>ROUND(IF(BT205=0,0,HLOOKUP(BT$14,Villagers!$B$1:$V$33,BT205+3,FALSE)),)</f>
        <v>0</v>
      </c>
      <c r="CP205" s="14">
        <f>ROUND(IF(BU205=0,0,HLOOKUP(BU$14,Villagers!$B$1:$V$33,BU205+3,FALSE)),)</f>
        <v>0</v>
      </c>
      <c r="CQ205" s="14">
        <f>ROUND(IF(BV205=0,0,HLOOKUP(BV$14,Villagers!$B$1:$V$33,BV205+3,FALSE)),)</f>
        <v>0</v>
      </c>
      <c r="CR205" s="14">
        <f>ROUND(IF(BW205=0,0,HLOOKUP(BW$14,Villagers!$B$1:$V$33,BW205+3,FALSE)),)</f>
        <v>0</v>
      </c>
      <c r="CS205" s="14">
        <f>ROUND(IF(BX205=0,0,HLOOKUP(BX$14,Villagers!$B$1:$V$33,BX205+3,FALSE)),)</f>
        <v>0</v>
      </c>
      <c r="CT205" s="14">
        <f>ROUND(IF(BY205=0,0,HLOOKUP(BY$14,Villagers!$B$1:$V$33,BY205+3,FALSE)),)</f>
        <v>0</v>
      </c>
      <c r="CU205" s="14">
        <f>ROUND(IF(BZ205=0,0,HLOOKUP(BZ$14,Villagers!$B$1:$V$33,BZ205+3,FALSE)),)</f>
        <v>0</v>
      </c>
      <c r="CV205" s="14">
        <f>ROUND(IF(CA205=0,0,HLOOKUP(CA$14,Villagers!$B$1:$V$33,CA205+3,FALSE)),)</f>
        <v>0</v>
      </c>
      <c r="CW205" s="14">
        <f>ROUND(IF(CB205=0,0,HLOOKUP(CB$14,Villagers!$B$1:$V$33,CB205+3,FALSE)),)</f>
        <v>0</v>
      </c>
      <c r="CX205" s="14">
        <f>ROUND(IF(CC205=0,0,HLOOKUP(CC$14,Villagers!$B$1:$V$33,CC205+3,FALSE)),)</f>
        <v>0</v>
      </c>
      <c r="CY205" s="14">
        <f>ROUND(IF(CD205=0,0,HLOOKUP(CD$14,Villagers!$B$1:$V$33,CD205+3,FALSE)),)</f>
        <v>0</v>
      </c>
      <c r="CZ205" s="14">
        <f>ROUND(IF(CE205=0,0,HLOOKUP(CE$14,Villagers!$B$1:$V$33,CE205+3,FALSE)),)</f>
        <v>5</v>
      </c>
      <c r="DA205" s="14">
        <f>ROUND(IF(CF205=0,0,HLOOKUP(CF$14,Villagers!$B$1:$V$33,CF205+3,FALSE)),)</f>
        <v>10</v>
      </c>
      <c r="DB205" s="14">
        <f>ROUND(IF(CG205=0,0,HLOOKUP(CG$14,Villagers!$B$1:$V$33,CG205+3,FALSE)),)</f>
        <v>10</v>
      </c>
      <c r="DC205" s="14">
        <f>ROUND(IF(CH205=0,0,HLOOKUP(CH$14,Villagers!$B$1:$V$33,CH205+3,FALSE)),)</f>
        <v>0</v>
      </c>
      <c r="DD205" s="14">
        <f>ROUND(IF(CI205=0,0,HLOOKUP(CI$14,Villagers!$B$1:$V$33,CI205+3,FALSE)),)</f>
        <v>0</v>
      </c>
      <c r="DE205" s="14">
        <f>ROUND(IF(CJ205=0,0,HLOOKUP(CJ$14,Villagers!$B$1:$V$33,CJ205+3,FALSE)),)</f>
        <v>2</v>
      </c>
      <c r="DF205" s="370">
        <f>ROUND(IF(CK205=0,0,HLOOKUP(CK$14,Villagers!$B$1:$V$33,CK205+3,FALSE)),)</f>
        <v>0</v>
      </c>
      <c r="DG205" s="370">
        <f>ROUND(IF(CL205=0,0,HLOOKUP(CL$14,Villagers!$B$1:$V$33,CL205+3,FALSE)),)</f>
        <v>0</v>
      </c>
      <c r="DH205" s="34">
        <f>ROUND(IF(CM205=0,0,HLOOKUP(CM$14,Villagers!$B$1:$V$33,CM205+3,FALSE)),)</f>
        <v>0</v>
      </c>
      <c r="DI205" s="109">
        <f t="shared" si="246"/>
        <v>0</v>
      </c>
      <c r="DJ205" s="50">
        <f t="shared" si="247"/>
        <v>0</v>
      </c>
      <c r="DK205" s="50">
        <f t="shared" si="248"/>
        <v>0</v>
      </c>
      <c r="DL205" s="50">
        <f t="shared" si="249"/>
        <v>0</v>
      </c>
      <c r="DM205" s="50">
        <f t="shared" si="250"/>
        <v>0</v>
      </c>
      <c r="DN205" s="50">
        <f t="shared" si="251"/>
        <v>0</v>
      </c>
      <c r="DO205" s="50">
        <f t="shared" si="252"/>
        <v>0</v>
      </c>
      <c r="DP205" s="50">
        <f t="shared" si="253"/>
        <v>0</v>
      </c>
      <c r="DQ205" s="50">
        <f t="shared" si="231"/>
        <v>0</v>
      </c>
      <c r="DR205" s="50">
        <f t="shared" si="232"/>
        <v>0</v>
      </c>
      <c r="DS205" s="96">
        <f>Miscelaneous!$D$4*Miscelaneous!$D$2^($CI205-1)</f>
        <v>1000</v>
      </c>
      <c r="DT205" s="333">
        <f t="shared" si="213"/>
        <v>1</v>
      </c>
      <c r="DU205" s="81">
        <v>1</v>
      </c>
      <c r="DV205" s="79">
        <f t="shared" si="233"/>
        <v>0</v>
      </c>
      <c r="DW205" s="79">
        <f t="shared" si="234"/>
        <v>0</v>
      </c>
      <c r="DX205" s="79">
        <f t="shared" si="235"/>
        <v>0</v>
      </c>
      <c r="DY205" s="79">
        <v>1</v>
      </c>
      <c r="DZ205" s="79">
        <f t="shared" si="236"/>
        <v>0</v>
      </c>
      <c r="EA205" s="79">
        <f t="shared" si="237"/>
        <v>0</v>
      </c>
      <c r="EB205" s="79">
        <f t="shared" si="238"/>
        <v>0</v>
      </c>
      <c r="EC205" s="79">
        <f t="shared" si="239"/>
        <v>0</v>
      </c>
      <c r="ED205" s="79">
        <v>1</v>
      </c>
      <c r="EE205" s="79">
        <v>1</v>
      </c>
      <c r="EF205" s="79">
        <f t="shared" si="240"/>
        <v>0</v>
      </c>
      <c r="EG205" s="79">
        <v>1</v>
      </c>
      <c r="EH205" s="79">
        <v>1</v>
      </c>
      <c r="EI205" s="79">
        <v>1</v>
      </c>
      <c r="EJ205" s="79">
        <v>1</v>
      </c>
      <c r="EK205" s="79">
        <v>1</v>
      </c>
      <c r="EL205" s="79">
        <v>1</v>
      </c>
      <c r="EM205" s="143">
        <f t="shared" si="241"/>
        <v>0</v>
      </c>
      <c r="EN205" s="143">
        <f t="shared" si="242"/>
        <v>0</v>
      </c>
      <c r="EO205" s="82">
        <f t="shared" si="243"/>
        <v>0</v>
      </c>
    </row>
    <row r="206" spans="1:145" x14ac:dyDescent="0.25">
      <c r="A206">
        <v>192</v>
      </c>
      <c r="B206" s="172" t="e">
        <f t="shared" si="214"/>
        <v>#N/A</v>
      </c>
      <c r="C206" s="121" t="e">
        <f t="shared" si="193"/>
        <v>#N/A</v>
      </c>
      <c r="D206" s="122" t="e">
        <f t="shared" si="194"/>
        <v>#N/A</v>
      </c>
      <c r="E206" s="122" t="e">
        <f t="shared" si="195"/>
        <v>#N/A</v>
      </c>
      <c r="F206" s="176" t="e">
        <f t="shared" si="196"/>
        <v>#N/A</v>
      </c>
      <c r="G206" s="121">
        <f t="shared" si="215"/>
        <v>208</v>
      </c>
      <c r="H206" s="176" t="e">
        <f t="shared" si="216"/>
        <v>#N/A</v>
      </c>
      <c r="I206" s="48">
        <v>1</v>
      </c>
      <c r="J206" s="39"/>
      <c r="K206" s="350">
        <v>1</v>
      </c>
      <c r="L206" s="34" t="e">
        <f t="shared" si="197"/>
        <v>#N/A</v>
      </c>
      <c r="M206" s="38" t="e">
        <f>(HLOOKUP(J206,'Construction Times'!$B$3:$W$34,L206+2,FALSE)*HLOOKUP("hq modifier",'Construction Times'!$W$3:$W$34,BS206+2,FALSE))*(1-$H$9)</f>
        <v>#N/A</v>
      </c>
      <c r="N206" s="443" t="e">
        <f t="shared" si="217"/>
        <v>#N/A</v>
      </c>
      <c r="O206" s="444"/>
      <c r="P206" s="447" t="e">
        <f t="shared" si="218"/>
        <v>#N/A</v>
      </c>
      <c r="Q206" s="448"/>
      <c r="R206" s="103">
        <f t="shared" si="244"/>
        <v>0</v>
      </c>
      <c r="S206" s="104">
        <f t="shared" si="244"/>
        <v>0</v>
      </c>
      <c r="T206" s="104">
        <f t="shared" si="245"/>
        <v>0</v>
      </c>
      <c r="U206" s="104">
        <f t="shared" si="245"/>
        <v>0</v>
      </c>
      <c r="V206" s="104">
        <f t="shared" si="245"/>
        <v>9.9999999999999995E-8</v>
      </c>
      <c r="W206" s="104">
        <f t="shared" si="245"/>
        <v>0</v>
      </c>
      <c r="X206" s="104">
        <f t="shared" si="273"/>
        <v>0</v>
      </c>
      <c r="Y206" s="104">
        <f t="shared" si="273"/>
        <v>9.9999999999999995E-8</v>
      </c>
      <c r="Z206" s="104">
        <f t="shared" si="273"/>
        <v>9.9999999999999995E-8</v>
      </c>
      <c r="AA206" s="105">
        <f t="shared" si="273"/>
        <v>9.9999999999999995E-8</v>
      </c>
      <c r="AB206" s="101" t="e">
        <f>$DT206*HLOOKUP($J206,'Construction Costs (timber)'!$B$1:$V$32,'Construction Planner'!$L206+2,FALSE)</f>
        <v>#N/A</v>
      </c>
      <c r="AC206" s="14" t="e">
        <f>$DT206*HLOOKUP($J206,'Construction Costs (clay)'!$B$1:$V$32,'Construction Planner'!$L206+2,FALSE)</f>
        <v>#N/A</v>
      </c>
      <c r="AD206" s="14" t="e">
        <f>$DT206*HLOOKUP($J206,'Construction Costs (iron)'!$B$1:$V$32,'Construction Planner'!$L206+2,FALSE)</f>
        <v>#N/A</v>
      </c>
      <c r="AE206" s="34" t="e">
        <f t="shared" si="254"/>
        <v>#N/A</v>
      </c>
      <c r="AF206" s="33" t="e">
        <f t="shared" si="198"/>
        <v>#N/A</v>
      </c>
      <c r="AG206" s="14" t="e">
        <f t="shared" si="199"/>
        <v>#N/A</v>
      </c>
      <c r="AH206" s="14" t="e">
        <f t="shared" si="200"/>
        <v>#N/A</v>
      </c>
      <c r="AI206" s="34" t="e">
        <f t="shared" si="255"/>
        <v>#N/A</v>
      </c>
      <c r="AJ206" s="49" t="e">
        <f t="shared" si="219"/>
        <v>#N/A</v>
      </c>
      <c r="AK206" s="49" t="e">
        <f t="shared" si="220"/>
        <v>#N/A</v>
      </c>
      <c r="AL206" s="49" t="e">
        <f t="shared" si="221"/>
        <v>#N/A</v>
      </c>
      <c r="AM206" s="25">
        <f t="shared" si="201"/>
        <v>30</v>
      </c>
      <c r="AN206" s="25">
        <f t="shared" si="202"/>
        <v>30</v>
      </c>
      <c r="AO206" s="25">
        <f t="shared" si="203"/>
        <v>30</v>
      </c>
      <c r="AP206" s="52" t="e">
        <f t="shared" si="222"/>
        <v>#N/A</v>
      </c>
      <c r="AQ206" s="53" t="e">
        <f t="shared" si="222"/>
        <v>#N/A</v>
      </c>
      <c r="AR206" s="54" t="e">
        <f t="shared" si="222"/>
        <v>#N/A</v>
      </c>
      <c r="AS206" s="316">
        <f t="shared" si="280"/>
        <v>0</v>
      </c>
      <c r="AT206" s="106">
        <f>_xlfn.IFNA($M206/VLOOKUP($BT206,'Unit information'!$A$2:$K$29,2,FALSE)*R206,0)*(1+$E$9)</f>
        <v>0</v>
      </c>
      <c r="AU206" s="107">
        <f>_xlfn.IFNA($M206/VLOOKUP($BT206,'Unit information'!$A$2:$K$29,3,FALSE)*S206,0)*(1+$E$9)</f>
        <v>0</v>
      </c>
      <c r="AV206" s="107">
        <f>_xlfn.IFNA($M206/VLOOKUP($BT206,'Unit information'!$A$2:$K$29,4,FALSE)*T206,0)*(1+$E$9)</f>
        <v>0</v>
      </c>
      <c r="AW206" s="107">
        <f>_xlfn.IFNA($M206/VLOOKUP($BT206,'Unit information'!$A$2:$K$29,5,FALSE)*U206,0)*(1+$E$9)</f>
        <v>0</v>
      </c>
      <c r="AX206" s="107">
        <f>_xlfn.IFNA($M206/VLOOKUP($BU206,'Unit information'!$A$2:$K$29,6,FALSE)*V206,0)*(1+$E$9)</f>
        <v>0</v>
      </c>
      <c r="AY206" s="107">
        <f>_xlfn.IFNA($M206/VLOOKUP($BU206,'Unit information'!$A$2:$K$29,7,FALSE)*W206,0)*(1+$E$9)</f>
        <v>0</v>
      </c>
      <c r="AZ206" s="107">
        <f>_xlfn.IFNA($M206/VLOOKUP($BU206,'Unit information'!$A$2:$K$29,8,FALSE)*X206,0)*(1+$E$9)</f>
        <v>0</v>
      </c>
      <c r="BA206" s="107">
        <f>_xlfn.IFNA($M206/VLOOKUP($BU206,'Unit information'!$A$2:$K$29,9,FALSE)*Y206,0)*(1+$E$9)</f>
        <v>0</v>
      </c>
      <c r="BB206" s="107">
        <f>_xlfn.IFNA($M206/VLOOKUP($BV206,'Unit information'!$A$2:$K$29,10,FALSE)*Z206,0)*(1+$E$9)</f>
        <v>0</v>
      </c>
      <c r="BC206" s="108">
        <f>_xlfn.IFNA($M206/VLOOKUP($BV206,'Unit information'!$A$2:$K$29,11,FALSE)*AA206,0)*(1+$E$9)</f>
        <v>0</v>
      </c>
      <c r="BD206" s="106">
        <f t="shared" si="204"/>
        <v>0</v>
      </c>
      <c r="BE206" s="107">
        <f t="shared" si="205"/>
        <v>0</v>
      </c>
      <c r="BF206" s="108">
        <f t="shared" si="206"/>
        <v>0</v>
      </c>
      <c r="BG206" s="25" t="e">
        <f t="shared" si="207"/>
        <v>#N/A</v>
      </c>
      <c r="BH206" s="25" t="e">
        <f t="shared" si="208"/>
        <v>#N/A</v>
      </c>
      <c r="BI206" s="25" t="e">
        <f t="shared" si="209"/>
        <v>#N/A</v>
      </c>
      <c r="BJ206" s="27" t="e">
        <f t="shared" si="210"/>
        <v>#N/A</v>
      </c>
      <c r="BK206" s="18" t="e">
        <f t="shared" si="211"/>
        <v>#N/A</v>
      </c>
      <c r="BL206" s="18" t="e">
        <f t="shared" si="212"/>
        <v>#N/A</v>
      </c>
      <c r="BM206" s="28" t="e">
        <f t="shared" si="257"/>
        <v>#N/A</v>
      </c>
      <c r="BN206" s="33">
        <f>HLOOKUP("maximum population",Miscelaneous!$C$1:$C$33,CH206+3,FALSE)</f>
        <v>240</v>
      </c>
      <c r="BO206" s="14">
        <f t="shared" si="223"/>
        <v>32</v>
      </c>
      <c r="BP206" s="14">
        <f t="shared" si="224"/>
        <v>0</v>
      </c>
      <c r="BQ206" s="14">
        <f t="shared" si="225"/>
        <v>208</v>
      </c>
      <c r="BR206" s="34" t="e">
        <f>HLOOKUP(J206,Villagers!$B$1:$V$33,L206+3,FALSE)-HLOOKUP(J206,Villagers!$B$1:$V$33,L206+2,FALSE)</f>
        <v>#N/A</v>
      </c>
      <c r="BS206" s="49">
        <f t="shared" si="226"/>
        <v>1</v>
      </c>
      <c r="BT206" s="50">
        <f t="shared" si="227"/>
        <v>0</v>
      </c>
      <c r="BU206" s="50">
        <f t="shared" si="228"/>
        <v>0</v>
      </c>
      <c r="BV206" s="50">
        <f t="shared" si="229"/>
        <v>0</v>
      </c>
      <c r="BW206" s="50">
        <f t="shared" si="282"/>
        <v>0</v>
      </c>
      <c r="BX206" s="50">
        <f t="shared" si="281"/>
        <v>0</v>
      </c>
      <c r="BY206" s="50">
        <f t="shared" si="281"/>
        <v>0</v>
      </c>
      <c r="BZ206" s="50">
        <f t="shared" si="260"/>
        <v>0</v>
      </c>
      <c r="CA206" s="50">
        <f t="shared" si="261"/>
        <v>0</v>
      </c>
      <c r="CB206" s="50">
        <f t="shared" si="262"/>
        <v>1</v>
      </c>
      <c r="CC206" s="50">
        <f t="shared" si="263"/>
        <v>0</v>
      </c>
      <c r="CD206" s="50">
        <f t="shared" si="264"/>
        <v>0</v>
      </c>
      <c r="CE206" s="50">
        <f t="shared" si="265"/>
        <v>1</v>
      </c>
      <c r="CF206" s="50">
        <f t="shared" si="266"/>
        <v>1</v>
      </c>
      <c r="CG206" s="50">
        <f t="shared" si="267"/>
        <v>1</v>
      </c>
      <c r="CH206" s="50">
        <f t="shared" si="268"/>
        <v>1</v>
      </c>
      <c r="CI206" s="50">
        <f t="shared" si="269"/>
        <v>1</v>
      </c>
      <c r="CJ206" s="50">
        <f t="shared" si="270"/>
        <v>1</v>
      </c>
      <c r="CK206" s="50">
        <f t="shared" si="270"/>
        <v>0</v>
      </c>
      <c r="CL206" s="50">
        <f t="shared" si="270"/>
        <v>0</v>
      </c>
      <c r="CM206" s="51">
        <f t="shared" si="274"/>
        <v>0</v>
      </c>
      <c r="CN206" s="33">
        <f>ROUND(IF(BS206=0,0,HLOOKUP(BS$14,Villagers!$B$1:$V$33,BS206+3,FALSE)),)</f>
        <v>5</v>
      </c>
      <c r="CO206" s="14">
        <f>ROUND(IF(BT206=0,0,HLOOKUP(BT$14,Villagers!$B$1:$V$33,BT206+3,FALSE)),)</f>
        <v>0</v>
      </c>
      <c r="CP206" s="14">
        <f>ROUND(IF(BU206=0,0,HLOOKUP(BU$14,Villagers!$B$1:$V$33,BU206+3,FALSE)),)</f>
        <v>0</v>
      </c>
      <c r="CQ206" s="14">
        <f>ROUND(IF(BV206=0,0,HLOOKUP(BV$14,Villagers!$B$1:$V$33,BV206+3,FALSE)),)</f>
        <v>0</v>
      </c>
      <c r="CR206" s="14">
        <f>ROUND(IF(BW206=0,0,HLOOKUP(BW$14,Villagers!$B$1:$V$33,BW206+3,FALSE)),)</f>
        <v>0</v>
      </c>
      <c r="CS206" s="14">
        <f>ROUND(IF(BX206=0,0,HLOOKUP(BX$14,Villagers!$B$1:$V$33,BX206+3,FALSE)),)</f>
        <v>0</v>
      </c>
      <c r="CT206" s="14">
        <f>ROUND(IF(BY206=0,0,HLOOKUP(BY$14,Villagers!$B$1:$V$33,BY206+3,FALSE)),)</f>
        <v>0</v>
      </c>
      <c r="CU206" s="14">
        <f>ROUND(IF(BZ206=0,0,HLOOKUP(BZ$14,Villagers!$B$1:$V$33,BZ206+3,FALSE)),)</f>
        <v>0</v>
      </c>
      <c r="CV206" s="14">
        <f>ROUND(IF(CA206=0,0,HLOOKUP(CA$14,Villagers!$B$1:$V$33,CA206+3,FALSE)),)</f>
        <v>0</v>
      </c>
      <c r="CW206" s="14">
        <f>ROUND(IF(CB206=0,0,HLOOKUP(CB$14,Villagers!$B$1:$V$33,CB206+3,FALSE)),)</f>
        <v>0</v>
      </c>
      <c r="CX206" s="14">
        <f>ROUND(IF(CC206=0,0,HLOOKUP(CC$14,Villagers!$B$1:$V$33,CC206+3,FALSE)),)</f>
        <v>0</v>
      </c>
      <c r="CY206" s="14">
        <f>ROUND(IF(CD206=0,0,HLOOKUP(CD$14,Villagers!$B$1:$V$33,CD206+3,FALSE)),)</f>
        <v>0</v>
      </c>
      <c r="CZ206" s="14">
        <f>ROUND(IF(CE206=0,0,HLOOKUP(CE$14,Villagers!$B$1:$V$33,CE206+3,FALSE)),)</f>
        <v>5</v>
      </c>
      <c r="DA206" s="14">
        <f>ROUND(IF(CF206=0,0,HLOOKUP(CF$14,Villagers!$B$1:$V$33,CF206+3,FALSE)),)</f>
        <v>10</v>
      </c>
      <c r="DB206" s="14">
        <f>ROUND(IF(CG206=0,0,HLOOKUP(CG$14,Villagers!$B$1:$V$33,CG206+3,FALSE)),)</f>
        <v>10</v>
      </c>
      <c r="DC206" s="14">
        <f>ROUND(IF(CH206=0,0,HLOOKUP(CH$14,Villagers!$B$1:$V$33,CH206+3,FALSE)),)</f>
        <v>0</v>
      </c>
      <c r="DD206" s="14">
        <f>ROUND(IF(CI206=0,0,HLOOKUP(CI$14,Villagers!$B$1:$V$33,CI206+3,FALSE)),)</f>
        <v>0</v>
      </c>
      <c r="DE206" s="14">
        <f>ROUND(IF(CJ206=0,0,HLOOKUP(CJ$14,Villagers!$B$1:$V$33,CJ206+3,FALSE)),)</f>
        <v>2</v>
      </c>
      <c r="DF206" s="370">
        <f>ROUND(IF(CK206=0,0,HLOOKUP(CK$14,Villagers!$B$1:$V$33,CK206+3,FALSE)),)</f>
        <v>0</v>
      </c>
      <c r="DG206" s="370">
        <f>ROUND(IF(CL206=0,0,HLOOKUP(CL$14,Villagers!$B$1:$V$33,CL206+3,FALSE)),)</f>
        <v>0</v>
      </c>
      <c r="DH206" s="34">
        <f>ROUND(IF(CM206=0,0,HLOOKUP(CM$14,Villagers!$B$1:$V$33,CM206+3,FALSE)),)</f>
        <v>0</v>
      </c>
      <c r="DI206" s="109">
        <f t="shared" si="246"/>
        <v>0</v>
      </c>
      <c r="DJ206" s="50">
        <f t="shared" si="247"/>
        <v>0</v>
      </c>
      <c r="DK206" s="50">
        <f t="shared" si="248"/>
        <v>0</v>
      </c>
      <c r="DL206" s="50">
        <f t="shared" si="249"/>
        <v>0</v>
      </c>
      <c r="DM206" s="50">
        <f t="shared" si="250"/>
        <v>0</v>
      </c>
      <c r="DN206" s="50">
        <f t="shared" si="251"/>
        <v>0</v>
      </c>
      <c r="DO206" s="50">
        <f t="shared" si="252"/>
        <v>0</v>
      </c>
      <c r="DP206" s="50">
        <f t="shared" si="253"/>
        <v>0</v>
      </c>
      <c r="DQ206" s="50">
        <f t="shared" si="231"/>
        <v>0</v>
      </c>
      <c r="DR206" s="50">
        <f t="shared" si="232"/>
        <v>0</v>
      </c>
      <c r="DS206" s="96">
        <f>Miscelaneous!$D$4*Miscelaneous!$D$2^($CI206-1)</f>
        <v>1000</v>
      </c>
      <c r="DT206" s="333">
        <f t="shared" si="213"/>
        <v>1</v>
      </c>
      <c r="DU206" s="81">
        <v>1</v>
      </c>
      <c r="DV206" s="79">
        <f t="shared" si="233"/>
        <v>0</v>
      </c>
      <c r="DW206" s="79">
        <f t="shared" si="234"/>
        <v>0</v>
      </c>
      <c r="DX206" s="79">
        <f t="shared" si="235"/>
        <v>0</v>
      </c>
      <c r="DY206" s="79">
        <v>1</v>
      </c>
      <c r="DZ206" s="79">
        <f t="shared" si="236"/>
        <v>0</v>
      </c>
      <c r="EA206" s="79">
        <f t="shared" si="237"/>
        <v>0</v>
      </c>
      <c r="EB206" s="79">
        <f t="shared" si="238"/>
        <v>0</v>
      </c>
      <c r="EC206" s="79">
        <f t="shared" si="239"/>
        <v>0</v>
      </c>
      <c r="ED206" s="79">
        <v>1</v>
      </c>
      <c r="EE206" s="79">
        <v>1</v>
      </c>
      <c r="EF206" s="79">
        <f t="shared" si="240"/>
        <v>0</v>
      </c>
      <c r="EG206" s="79">
        <v>1</v>
      </c>
      <c r="EH206" s="79">
        <v>1</v>
      </c>
      <c r="EI206" s="79">
        <v>1</v>
      </c>
      <c r="EJ206" s="79">
        <v>1</v>
      </c>
      <c r="EK206" s="79">
        <v>1</v>
      </c>
      <c r="EL206" s="79">
        <v>1</v>
      </c>
      <c r="EM206" s="143">
        <f t="shared" si="241"/>
        <v>0</v>
      </c>
      <c r="EN206" s="143">
        <f t="shared" si="242"/>
        <v>0</v>
      </c>
      <c r="EO206" s="82">
        <f t="shared" si="243"/>
        <v>0</v>
      </c>
    </row>
    <row r="207" spans="1:145" x14ac:dyDescent="0.25">
      <c r="A207">
        <v>193</v>
      </c>
      <c r="B207" s="172" t="e">
        <f t="shared" si="214"/>
        <v>#N/A</v>
      </c>
      <c r="C207" s="121" t="e">
        <f t="shared" ref="C207:C270" si="283">AJ207-SUM(AB207:AB211)</f>
        <v>#N/A</v>
      </c>
      <c r="D207" s="122" t="e">
        <f t="shared" ref="D207:D270" si="284">AK207-SUM(AC207:AC211)</f>
        <v>#N/A</v>
      </c>
      <c r="E207" s="122" t="e">
        <f t="shared" ref="E207:E270" si="285">AL207-SUM(AD207:AD211)</f>
        <v>#N/A</v>
      </c>
      <c r="F207" s="176" t="e">
        <f t="shared" ref="F207:F270" si="286">IF(AND(MAX(C207:E207)&gt;0,DS207-MAX(C207:E207)&lt;DS207),DS207-MAX(C207:E207),DS207)</f>
        <v>#N/A</v>
      </c>
      <c r="G207" s="121">
        <f t="shared" si="215"/>
        <v>208</v>
      </c>
      <c r="H207" s="176" t="e">
        <f t="shared" si="216"/>
        <v>#N/A</v>
      </c>
      <c r="I207" s="48">
        <v>1</v>
      </c>
      <c r="J207" s="39"/>
      <c r="K207" s="350">
        <v>1</v>
      </c>
      <c r="L207" s="34" t="e">
        <f t="shared" ref="L207:L270" si="287">HLOOKUP(J207,$BS$14:$CM$508,A208,FALSE)+K207</f>
        <v>#N/A</v>
      </c>
      <c r="M207" s="38" t="e">
        <f>(HLOOKUP(J207,'Construction Times'!$B$3:$W$34,L207+2,FALSE)*HLOOKUP("hq modifier",'Construction Times'!$W$3:$W$34,BS207+2,FALSE))*(1-$H$9)</f>
        <v>#N/A</v>
      </c>
      <c r="N207" s="443" t="e">
        <f t="shared" si="217"/>
        <v>#N/A</v>
      </c>
      <c r="O207" s="444"/>
      <c r="P207" s="447" t="e">
        <f t="shared" si="218"/>
        <v>#N/A</v>
      </c>
      <c r="Q207" s="448"/>
      <c r="R207" s="103">
        <f t="shared" si="244"/>
        <v>0</v>
      </c>
      <c r="S207" s="104">
        <f t="shared" si="244"/>
        <v>0</v>
      </c>
      <c r="T207" s="104">
        <f t="shared" si="245"/>
        <v>0</v>
      </c>
      <c r="U207" s="104">
        <f t="shared" si="245"/>
        <v>0</v>
      </c>
      <c r="V207" s="104">
        <f t="shared" si="245"/>
        <v>9.9999999999999995E-8</v>
      </c>
      <c r="W207" s="104">
        <f t="shared" si="245"/>
        <v>0</v>
      </c>
      <c r="X207" s="104">
        <f t="shared" si="273"/>
        <v>0</v>
      </c>
      <c r="Y207" s="104">
        <f t="shared" si="273"/>
        <v>9.9999999999999995E-8</v>
      </c>
      <c r="Z207" s="104">
        <f t="shared" si="273"/>
        <v>9.9999999999999995E-8</v>
      </c>
      <c r="AA207" s="105">
        <f t="shared" si="273"/>
        <v>9.9999999999999995E-8</v>
      </c>
      <c r="AB207" s="101" t="e">
        <f>$DT207*HLOOKUP($J207,'Construction Costs (timber)'!$B$1:$V$32,'Construction Planner'!$L207+2,FALSE)</f>
        <v>#N/A</v>
      </c>
      <c r="AC207" s="14" t="e">
        <f>$DT207*HLOOKUP($J207,'Construction Costs (clay)'!$B$1:$V$32,'Construction Planner'!$L207+2,FALSE)</f>
        <v>#N/A</v>
      </c>
      <c r="AD207" s="14" t="e">
        <f>$DT207*HLOOKUP($J207,'Construction Costs (iron)'!$B$1:$V$32,'Construction Planner'!$L207+2,FALSE)</f>
        <v>#N/A</v>
      </c>
      <c r="AE207" s="34" t="e">
        <f t="shared" si="254"/>
        <v>#N/A</v>
      </c>
      <c r="AF207" s="33" t="e">
        <f t="shared" ref="AF207:AF270" si="288">AB207*($AH$3/$M207)</f>
        <v>#N/A</v>
      </c>
      <c r="AG207" s="14" t="e">
        <f t="shared" ref="AG207:AG270" si="289">AC207*($AH$3/$M207)</f>
        <v>#N/A</v>
      </c>
      <c r="AH207" s="14" t="e">
        <f t="shared" ref="AH207:AH270" si="290">AD207*($AH$3/$M207)</f>
        <v>#N/A</v>
      </c>
      <c r="AI207" s="34" t="e">
        <f t="shared" si="255"/>
        <v>#N/A</v>
      </c>
      <c r="AJ207" s="49" t="e">
        <f t="shared" si="219"/>
        <v>#N/A</v>
      </c>
      <c r="AK207" s="49" t="e">
        <f t="shared" si="220"/>
        <v>#N/A</v>
      </c>
      <c r="AL207" s="49" t="e">
        <f t="shared" si="221"/>
        <v>#N/A</v>
      </c>
      <c r="AM207" s="25">
        <f t="shared" ref="AM207:AM270" si="291">IF(CE207 = 0,$E$3*5,$E$3*30*1.163118^(CE207-1))*(1+$B$10)</f>
        <v>30</v>
      </c>
      <c r="AN207" s="25">
        <f t="shared" ref="AN207:AN270" si="292">IF(CF207 = 0,$E$3*5,$E$3*30*1.163118^(CF207-1))*(1+$B$10)</f>
        <v>30</v>
      </c>
      <c r="AO207" s="25">
        <f t="shared" ref="AO207:AO270" si="293">IF(CG207 = 0,$E$3*5,$E$3*30*1.163118^(CG207-1))*(1+$B$10)</f>
        <v>30</v>
      </c>
      <c r="AP207" s="52" t="e">
        <f t="shared" si="222"/>
        <v>#N/A</v>
      </c>
      <c r="AQ207" s="53" t="e">
        <f t="shared" si="222"/>
        <v>#N/A</v>
      </c>
      <c r="AR207" s="54" t="e">
        <f t="shared" si="222"/>
        <v>#N/A</v>
      </c>
      <c r="AS207" s="316">
        <f t="shared" si="280"/>
        <v>0</v>
      </c>
      <c r="AT207" s="106">
        <f>_xlfn.IFNA($M207/VLOOKUP($BT207,'Unit information'!$A$2:$K$29,2,FALSE)*R207,0)*(1+$E$9)</f>
        <v>0</v>
      </c>
      <c r="AU207" s="107">
        <f>_xlfn.IFNA($M207/VLOOKUP($BT207,'Unit information'!$A$2:$K$29,3,FALSE)*S207,0)*(1+$E$9)</f>
        <v>0</v>
      </c>
      <c r="AV207" s="107">
        <f>_xlfn.IFNA($M207/VLOOKUP($BT207,'Unit information'!$A$2:$K$29,4,FALSE)*T207,0)*(1+$E$9)</f>
        <v>0</v>
      </c>
      <c r="AW207" s="107">
        <f>_xlfn.IFNA($M207/VLOOKUP($BT207,'Unit information'!$A$2:$K$29,5,FALSE)*U207,0)*(1+$E$9)</f>
        <v>0</v>
      </c>
      <c r="AX207" s="107">
        <f>_xlfn.IFNA($M207/VLOOKUP($BU207,'Unit information'!$A$2:$K$29,6,FALSE)*V207,0)*(1+$E$9)</f>
        <v>0</v>
      </c>
      <c r="AY207" s="107">
        <f>_xlfn.IFNA($M207/VLOOKUP($BU207,'Unit information'!$A$2:$K$29,7,FALSE)*W207,0)*(1+$E$9)</f>
        <v>0</v>
      </c>
      <c r="AZ207" s="107">
        <f>_xlfn.IFNA($M207/VLOOKUP($BU207,'Unit information'!$A$2:$K$29,8,FALSE)*X207,0)*(1+$E$9)</f>
        <v>0</v>
      </c>
      <c r="BA207" s="107">
        <f>_xlfn.IFNA($M207/VLOOKUP($BU207,'Unit information'!$A$2:$K$29,9,FALSE)*Y207,0)*(1+$E$9)</f>
        <v>0</v>
      </c>
      <c r="BB207" s="107">
        <f>_xlfn.IFNA($M207/VLOOKUP($BV207,'Unit information'!$A$2:$K$29,10,FALSE)*Z207,0)*(1+$E$9)</f>
        <v>0</v>
      </c>
      <c r="BC207" s="108">
        <f>_xlfn.IFNA($M207/VLOOKUP($BV207,'Unit information'!$A$2:$K$29,11,FALSE)*AA207,0)*(1+$E$9)</f>
        <v>0</v>
      </c>
      <c r="BD207" s="106">
        <f t="shared" ref="BD207:BD270" si="294">$AT207*50+$AU207*30+$AV207*60+$AX207*50+$AY207*125+$BA207*200+$BB207*300+$BC207*320</f>
        <v>0</v>
      </c>
      <c r="BE207" s="107">
        <f t="shared" ref="BE207:BE270" si="295">$AT207*30+$AU207*30+$AV207*30+$AX207*50+$AY207*100+$BA207*150+$BB207*200+$BC207*400</f>
        <v>0</v>
      </c>
      <c r="BF207" s="108">
        <f t="shared" ref="BF207:BF270" si="296">$AT207*10+$AU207*70+$AV207*40+$AX207*20+$AY207*250+$BA207*600+$BB207*200+$BC207*100</f>
        <v>0</v>
      </c>
      <c r="BG207" s="25" t="e">
        <f t="shared" ref="BG207:BG270" si="297">AM207+AP207</f>
        <v>#N/A</v>
      </c>
      <c r="BH207" s="25" t="e">
        <f t="shared" ref="BH207:BH270" si="298">AN207+AQ207</f>
        <v>#N/A</v>
      </c>
      <c r="BI207" s="25" t="e">
        <f t="shared" ref="BI207:BI270" si="299">AO207+AR207</f>
        <v>#N/A</v>
      </c>
      <c r="BJ207" s="27" t="e">
        <f t="shared" ref="BJ207:BJ270" si="300">IF(AJ207&gt;AB207,0,(AB207-AJ207)/BG207*$AK$3)</f>
        <v>#N/A</v>
      </c>
      <c r="BK207" s="18" t="e">
        <f t="shared" ref="BK207:BK270" si="301">IF(AK207&gt;AC207,0,(AC207-AK207)/BH207*$AK$3)</f>
        <v>#N/A</v>
      </c>
      <c r="BL207" s="18" t="e">
        <f t="shared" ref="BL207:BL270" si="302">IF(AL207&gt;AD207,0,(AD207-AL207)/BI207*$AK$3)</f>
        <v>#N/A</v>
      </c>
      <c r="BM207" s="28" t="e">
        <f t="shared" si="257"/>
        <v>#N/A</v>
      </c>
      <c r="BN207" s="33">
        <f>HLOOKUP("maximum population",Miscelaneous!$C$1:$C$33,CH207+3,FALSE)</f>
        <v>240</v>
      </c>
      <c r="BO207" s="14">
        <f t="shared" si="223"/>
        <v>32</v>
      </c>
      <c r="BP207" s="14">
        <f t="shared" si="224"/>
        <v>0</v>
      </c>
      <c r="BQ207" s="14">
        <f t="shared" si="225"/>
        <v>208</v>
      </c>
      <c r="BR207" s="34" t="e">
        <f>HLOOKUP(J207,Villagers!$B$1:$V$33,L207+3,FALSE)-HLOOKUP(J207,Villagers!$B$1:$V$33,L207+2,FALSE)</f>
        <v>#N/A</v>
      </c>
      <c r="BS207" s="49">
        <f t="shared" si="226"/>
        <v>1</v>
      </c>
      <c r="BT207" s="50">
        <f t="shared" si="227"/>
        <v>0</v>
      </c>
      <c r="BU207" s="50">
        <f t="shared" si="228"/>
        <v>0</v>
      </c>
      <c r="BV207" s="50">
        <f t="shared" si="229"/>
        <v>0</v>
      </c>
      <c r="BW207" s="50">
        <f t="shared" si="282"/>
        <v>0</v>
      </c>
      <c r="BX207" s="50">
        <f t="shared" si="281"/>
        <v>0</v>
      </c>
      <c r="BY207" s="50">
        <f t="shared" si="281"/>
        <v>0</v>
      </c>
      <c r="BZ207" s="50">
        <f t="shared" si="260"/>
        <v>0</v>
      </c>
      <c r="CA207" s="50">
        <f t="shared" si="261"/>
        <v>0</v>
      </c>
      <c r="CB207" s="50">
        <f t="shared" si="262"/>
        <v>1</v>
      </c>
      <c r="CC207" s="50">
        <f t="shared" si="263"/>
        <v>0</v>
      </c>
      <c r="CD207" s="50">
        <f t="shared" si="264"/>
        <v>0</v>
      </c>
      <c r="CE207" s="50">
        <f t="shared" si="265"/>
        <v>1</v>
      </c>
      <c r="CF207" s="50">
        <f t="shared" si="266"/>
        <v>1</v>
      </c>
      <c r="CG207" s="50">
        <f t="shared" si="267"/>
        <v>1</v>
      </c>
      <c r="CH207" s="50">
        <f t="shared" si="268"/>
        <v>1</v>
      </c>
      <c r="CI207" s="50">
        <f t="shared" si="269"/>
        <v>1</v>
      </c>
      <c r="CJ207" s="50">
        <f t="shared" si="270"/>
        <v>1</v>
      </c>
      <c r="CK207" s="50">
        <f t="shared" si="270"/>
        <v>0</v>
      </c>
      <c r="CL207" s="50">
        <f t="shared" si="270"/>
        <v>0</v>
      </c>
      <c r="CM207" s="51">
        <f t="shared" si="274"/>
        <v>0</v>
      </c>
      <c r="CN207" s="33">
        <f>ROUND(IF(BS207=0,0,HLOOKUP(BS$14,Villagers!$B$1:$V$33,BS207+3,FALSE)),)</f>
        <v>5</v>
      </c>
      <c r="CO207" s="14">
        <f>ROUND(IF(BT207=0,0,HLOOKUP(BT$14,Villagers!$B$1:$V$33,BT207+3,FALSE)),)</f>
        <v>0</v>
      </c>
      <c r="CP207" s="14">
        <f>ROUND(IF(BU207=0,0,HLOOKUP(BU$14,Villagers!$B$1:$V$33,BU207+3,FALSE)),)</f>
        <v>0</v>
      </c>
      <c r="CQ207" s="14">
        <f>ROUND(IF(BV207=0,0,HLOOKUP(BV$14,Villagers!$B$1:$V$33,BV207+3,FALSE)),)</f>
        <v>0</v>
      </c>
      <c r="CR207" s="14">
        <f>ROUND(IF(BW207=0,0,HLOOKUP(BW$14,Villagers!$B$1:$V$33,BW207+3,FALSE)),)</f>
        <v>0</v>
      </c>
      <c r="CS207" s="14">
        <f>ROUND(IF(BX207=0,0,HLOOKUP(BX$14,Villagers!$B$1:$V$33,BX207+3,FALSE)),)</f>
        <v>0</v>
      </c>
      <c r="CT207" s="14">
        <f>ROUND(IF(BY207=0,0,HLOOKUP(BY$14,Villagers!$B$1:$V$33,BY207+3,FALSE)),)</f>
        <v>0</v>
      </c>
      <c r="CU207" s="14">
        <f>ROUND(IF(BZ207=0,0,HLOOKUP(BZ$14,Villagers!$B$1:$V$33,BZ207+3,FALSE)),)</f>
        <v>0</v>
      </c>
      <c r="CV207" s="14">
        <f>ROUND(IF(CA207=0,0,HLOOKUP(CA$14,Villagers!$B$1:$V$33,CA207+3,FALSE)),)</f>
        <v>0</v>
      </c>
      <c r="CW207" s="14">
        <f>ROUND(IF(CB207=0,0,HLOOKUP(CB$14,Villagers!$B$1:$V$33,CB207+3,FALSE)),)</f>
        <v>0</v>
      </c>
      <c r="CX207" s="14">
        <f>ROUND(IF(CC207=0,0,HLOOKUP(CC$14,Villagers!$B$1:$V$33,CC207+3,FALSE)),)</f>
        <v>0</v>
      </c>
      <c r="CY207" s="14">
        <f>ROUND(IF(CD207=0,0,HLOOKUP(CD$14,Villagers!$B$1:$V$33,CD207+3,FALSE)),)</f>
        <v>0</v>
      </c>
      <c r="CZ207" s="14">
        <f>ROUND(IF(CE207=0,0,HLOOKUP(CE$14,Villagers!$B$1:$V$33,CE207+3,FALSE)),)</f>
        <v>5</v>
      </c>
      <c r="DA207" s="14">
        <f>ROUND(IF(CF207=0,0,HLOOKUP(CF$14,Villagers!$B$1:$V$33,CF207+3,FALSE)),)</f>
        <v>10</v>
      </c>
      <c r="DB207" s="14">
        <f>ROUND(IF(CG207=0,0,HLOOKUP(CG$14,Villagers!$B$1:$V$33,CG207+3,FALSE)),)</f>
        <v>10</v>
      </c>
      <c r="DC207" s="14">
        <f>ROUND(IF(CH207=0,0,HLOOKUP(CH$14,Villagers!$B$1:$V$33,CH207+3,FALSE)),)</f>
        <v>0</v>
      </c>
      <c r="DD207" s="14">
        <f>ROUND(IF(CI207=0,0,HLOOKUP(CI$14,Villagers!$B$1:$V$33,CI207+3,FALSE)),)</f>
        <v>0</v>
      </c>
      <c r="DE207" s="14">
        <f>ROUND(IF(CJ207=0,0,HLOOKUP(CJ$14,Villagers!$B$1:$V$33,CJ207+3,FALSE)),)</f>
        <v>2</v>
      </c>
      <c r="DF207" s="370">
        <f>ROUND(IF(CK207=0,0,HLOOKUP(CK$14,Villagers!$B$1:$V$33,CK207+3,FALSE)),)</f>
        <v>0</v>
      </c>
      <c r="DG207" s="370">
        <f>ROUND(IF(CL207=0,0,HLOOKUP(CL$14,Villagers!$B$1:$V$33,CL207+3,FALSE)),)</f>
        <v>0</v>
      </c>
      <c r="DH207" s="34">
        <f>ROUND(IF(CM207=0,0,HLOOKUP(CM$14,Villagers!$B$1:$V$33,CM207+3,FALSE)),)</f>
        <v>0</v>
      </c>
      <c r="DI207" s="109">
        <f t="shared" si="246"/>
        <v>0</v>
      </c>
      <c r="DJ207" s="50">
        <f t="shared" si="247"/>
        <v>0</v>
      </c>
      <c r="DK207" s="50">
        <f t="shared" si="248"/>
        <v>0</v>
      </c>
      <c r="DL207" s="50">
        <f t="shared" si="249"/>
        <v>0</v>
      </c>
      <c r="DM207" s="50">
        <f t="shared" si="250"/>
        <v>0</v>
      </c>
      <c r="DN207" s="50">
        <f t="shared" si="251"/>
        <v>0</v>
      </c>
      <c r="DO207" s="50">
        <f t="shared" si="252"/>
        <v>0</v>
      </c>
      <c r="DP207" s="50">
        <f t="shared" si="253"/>
        <v>0</v>
      </c>
      <c r="DQ207" s="50">
        <f t="shared" si="231"/>
        <v>0</v>
      </c>
      <c r="DR207" s="50">
        <f t="shared" si="232"/>
        <v>0</v>
      </c>
      <c r="DS207" s="96">
        <f>Miscelaneous!$D$4*Miscelaneous!$D$2^($CI207-1)</f>
        <v>1000</v>
      </c>
      <c r="DT207" s="333">
        <f t="shared" ref="DT207:DT270" si="303">IF(I207&lt;3,1,1.125^(I207-3))</f>
        <v>1</v>
      </c>
      <c r="DU207" s="81">
        <v>1</v>
      </c>
      <c r="DV207" s="79">
        <f t="shared" si="233"/>
        <v>0</v>
      </c>
      <c r="DW207" s="79">
        <f t="shared" si="234"/>
        <v>0</v>
      </c>
      <c r="DX207" s="79">
        <f t="shared" si="235"/>
        <v>0</v>
      </c>
      <c r="DY207" s="79">
        <v>1</v>
      </c>
      <c r="DZ207" s="79">
        <f t="shared" si="236"/>
        <v>0</v>
      </c>
      <c r="EA207" s="79">
        <f t="shared" si="237"/>
        <v>0</v>
      </c>
      <c r="EB207" s="79">
        <f t="shared" si="238"/>
        <v>0</v>
      </c>
      <c r="EC207" s="79">
        <f t="shared" si="239"/>
        <v>0</v>
      </c>
      <c r="ED207" s="79">
        <v>1</v>
      </c>
      <c r="EE207" s="79">
        <v>1</v>
      </c>
      <c r="EF207" s="79">
        <f t="shared" si="240"/>
        <v>0</v>
      </c>
      <c r="EG207" s="79">
        <v>1</v>
      </c>
      <c r="EH207" s="79">
        <v>1</v>
      </c>
      <c r="EI207" s="79">
        <v>1</v>
      </c>
      <c r="EJ207" s="79">
        <v>1</v>
      </c>
      <c r="EK207" s="79">
        <v>1</v>
      </c>
      <c r="EL207" s="79">
        <v>1</v>
      </c>
      <c r="EM207" s="143">
        <f t="shared" si="241"/>
        <v>0</v>
      </c>
      <c r="EN207" s="143">
        <f t="shared" si="242"/>
        <v>0</v>
      </c>
      <c r="EO207" s="82">
        <f t="shared" si="243"/>
        <v>0</v>
      </c>
    </row>
    <row r="208" spans="1:145" x14ac:dyDescent="0.25">
      <c r="A208">
        <v>194</v>
      </c>
      <c r="B208" s="172" t="e">
        <f t="shared" ref="B208:B271" si="304">BM208</f>
        <v>#N/A</v>
      </c>
      <c r="C208" s="121" t="e">
        <f t="shared" si="283"/>
        <v>#N/A</v>
      </c>
      <c r="D208" s="122" t="e">
        <f t="shared" si="284"/>
        <v>#N/A</v>
      </c>
      <c r="E208" s="122" t="e">
        <f t="shared" si="285"/>
        <v>#N/A</v>
      </c>
      <c r="F208" s="176" t="e">
        <f t="shared" si="286"/>
        <v>#N/A</v>
      </c>
      <c r="G208" s="121">
        <f t="shared" ref="G208:G271" si="305">BQ208</f>
        <v>208</v>
      </c>
      <c r="H208" s="176" t="e">
        <f t="shared" ref="H208:H271" si="306">BQ208-SUM(BR208:BR212)</f>
        <v>#N/A</v>
      </c>
      <c r="I208" s="48">
        <v>1</v>
      </c>
      <c r="J208" s="39"/>
      <c r="K208" s="350">
        <v>1</v>
      </c>
      <c r="L208" s="34" t="e">
        <f t="shared" si="287"/>
        <v>#N/A</v>
      </c>
      <c r="M208" s="38" t="e">
        <f>(HLOOKUP(J208,'Construction Times'!$B$3:$W$34,L208+2,FALSE)*HLOOKUP("hq modifier",'Construction Times'!$W$3:$W$34,BS208+2,FALSE))*(1-$H$9)</f>
        <v>#N/A</v>
      </c>
      <c r="N208" s="443" t="e">
        <f t="shared" ref="N208:N271" si="307">P207+M207</f>
        <v>#N/A</v>
      </c>
      <c r="O208" s="444"/>
      <c r="P208" s="447" t="e">
        <f t="shared" ref="P208:P271" si="308">IF(MAX(AB208:AD208)&gt;DS208,"Speicher zu klein",IF(HLOOKUP(J208,$DU$14:$EO$509,A208+2,FALSE)=0,"Gebäude Vor. nicht erfüllt",N208+BM208))</f>
        <v>#N/A</v>
      </c>
      <c r="Q208" s="448"/>
      <c r="R208" s="103">
        <f t="shared" si="244"/>
        <v>0</v>
      </c>
      <c r="S208" s="104">
        <f t="shared" si="244"/>
        <v>0</v>
      </c>
      <c r="T208" s="104">
        <f t="shared" si="245"/>
        <v>0</v>
      </c>
      <c r="U208" s="104">
        <f t="shared" si="245"/>
        <v>0</v>
      </c>
      <c r="V208" s="104">
        <f t="shared" si="245"/>
        <v>9.9999999999999995E-8</v>
      </c>
      <c r="W208" s="104">
        <f>W207</f>
        <v>0</v>
      </c>
      <c r="X208" s="104">
        <f t="shared" si="273"/>
        <v>0</v>
      </c>
      <c r="Y208" s="104">
        <f t="shared" si="273"/>
        <v>9.9999999999999995E-8</v>
      </c>
      <c r="Z208" s="104">
        <f t="shared" si="273"/>
        <v>9.9999999999999995E-8</v>
      </c>
      <c r="AA208" s="105">
        <f t="shared" si="273"/>
        <v>9.9999999999999995E-8</v>
      </c>
      <c r="AB208" s="101" t="e">
        <f>$DT208*HLOOKUP($J208,'Construction Costs (timber)'!$B$1:$V$32,'Construction Planner'!$L208+2,FALSE)</f>
        <v>#N/A</v>
      </c>
      <c r="AC208" s="14" t="e">
        <f>$DT208*HLOOKUP($J208,'Construction Costs (clay)'!$B$1:$V$32,'Construction Planner'!$L208+2,FALSE)</f>
        <v>#N/A</v>
      </c>
      <c r="AD208" s="14" t="e">
        <f>$DT208*HLOOKUP($J208,'Construction Costs (iron)'!$B$1:$V$32,'Construction Planner'!$L208+2,FALSE)</f>
        <v>#N/A</v>
      </c>
      <c r="AE208" s="34" t="e">
        <f t="shared" si="254"/>
        <v>#N/A</v>
      </c>
      <c r="AF208" s="33" t="e">
        <f t="shared" si="288"/>
        <v>#N/A</v>
      </c>
      <c r="AG208" s="14" t="e">
        <f t="shared" si="289"/>
        <v>#N/A</v>
      </c>
      <c r="AH208" s="14" t="e">
        <f t="shared" si="290"/>
        <v>#N/A</v>
      </c>
      <c r="AI208" s="34" t="e">
        <f t="shared" si="255"/>
        <v>#N/A</v>
      </c>
      <c r="AJ208" s="49" t="e">
        <f t="shared" ref="AJ208:AJ271" si="309">(($N208-$N207)/$AK$3)*BG207+AJ207-AB207-BD207</f>
        <v>#N/A</v>
      </c>
      <c r="AK208" s="49" t="e">
        <f t="shared" ref="AK208:AK271" si="310">(($N208-$N207)/$AK$3)*BH207+AK207-AC207-BE207</f>
        <v>#N/A</v>
      </c>
      <c r="AL208" s="49" t="e">
        <f t="shared" ref="AL208:AL271" si="311">(($N208-$N207)/$AK$3)*BI207+AL207-AD207-BF207</f>
        <v>#N/A</v>
      </c>
      <c r="AM208" s="25">
        <f t="shared" si="291"/>
        <v>30</v>
      </c>
      <c r="AN208" s="25">
        <f t="shared" si="292"/>
        <v>30</v>
      </c>
      <c r="AO208" s="25">
        <f t="shared" si="293"/>
        <v>30</v>
      </c>
      <c r="AP208" s="52" t="e">
        <f t="shared" ref="AP208:AR271" si="312">($N208-$AK$6+$AK$9+1)*$AK$5/24/3*$AS208</f>
        <v>#N/A</v>
      </c>
      <c r="AQ208" s="53" t="e">
        <f t="shared" si="312"/>
        <v>#N/A</v>
      </c>
      <c r="AR208" s="54" t="e">
        <f t="shared" si="312"/>
        <v>#N/A</v>
      </c>
      <c r="AS208" s="316">
        <f t="shared" si="280"/>
        <v>0</v>
      </c>
      <c r="AT208" s="106">
        <f>_xlfn.IFNA($M208/VLOOKUP($BT208,'Unit information'!$A$2:$K$29,2,FALSE)*R208,0)*(1+$E$9)</f>
        <v>0</v>
      </c>
      <c r="AU208" s="107">
        <f>_xlfn.IFNA($M208/VLOOKUP($BT208,'Unit information'!$A$2:$K$29,3,FALSE)*S208,0)*(1+$E$9)</f>
        <v>0</v>
      </c>
      <c r="AV208" s="107">
        <f>_xlfn.IFNA($M208/VLOOKUP($BT208,'Unit information'!$A$2:$K$29,4,FALSE)*T208,0)*(1+$E$9)</f>
        <v>0</v>
      </c>
      <c r="AW208" s="107">
        <f>_xlfn.IFNA($M208/VLOOKUP($BT208,'Unit information'!$A$2:$K$29,5,FALSE)*U208,0)*(1+$E$9)</f>
        <v>0</v>
      </c>
      <c r="AX208" s="107">
        <f>_xlfn.IFNA($M208/VLOOKUP($BU208,'Unit information'!$A$2:$K$29,6,FALSE)*V208,0)*(1+$E$9)</f>
        <v>0</v>
      </c>
      <c r="AY208" s="107">
        <f>_xlfn.IFNA($M208/VLOOKUP($BU208,'Unit information'!$A$2:$K$29,7,FALSE)*W208,0)*(1+$E$9)</f>
        <v>0</v>
      </c>
      <c r="AZ208" s="107">
        <f>_xlfn.IFNA($M208/VLOOKUP($BU208,'Unit information'!$A$2:$K$29,8,FALSE)*X208,0)*(1+$E$9)</f>
        <v>0</v>
      </c>
      <c r="BA208" s="107">
        <f>_xlfn.IFNA($M208/VLOOKUP($BU208,'Unit information'!$A$2:$K$29,9,FALSE)*Y208,0)*(1+$E$9)</f>
        <v>0</v>
      </c>
      <c r="BB208" s="107">
        <f>_xlfn.IFNA($M208/VLOOKUP($BV208,'Unit information'!$A$2:$K$29,10,FALSE)*Z208,0)*(1+$E$9)</f>
        <v>0</v>
      </c>
      <c r="BC208" s="108">
        <f>_xlfn.IFNA($M208/VLOOKUP($BV208,'Unit information'!$A$2:$K$29,11,FALSE)*AA208,0)*(1+$E$9)</f>
        <v>0</v>
      </c>
      <c r="BD208" s="106">
        <f t="shared" si="294"/>
        <v>0</v>
      </c>
      <c r="BE208" s="107">
        <f t="shared" si="295"/>
        <v>0</v>
      </c>
      <c r="BF208" s="108">
        <f t="shared" si="296"/>
        <v>0</v>
      </c>
      <c r="BG208" s="25" t="e">
        <f t="shared" si="297"/>
        <v>#N/A</v>
      </c>
      <c r="BH208" s="25" t="e">
        <f t="shared" si="298"/>
        <v>#N/A</v>
      </c>
      <c r="BI208" s="25" t="e">
        <f t="shared" si="299"/>
        <v>#N/A</v>
      </c>
      <c r="BJ208" s="27" t="e">
        <f t="shared" si="300"/>
        <v>#N/A</v>
      </c>
      <c r="BK208" s="18" t="e">
        <f t="shared" si="301"/>
        <v>#N/A</v>
      </c>
      <c r="BL208" s="18" t="e">
        <f t="shared" si="302"/>
        <v>#N/A</v>
      </c>
      <c r="BM208" s="28" t="e">
        <f t="shared" si="257"/>
        <v>#N/A</v>
      </c>
      <c r="BN208" s="33">
        <f>HLOOKUP("maximum population",Miscelaneous!$C$1:$C$33,CH208+3,FALSE)</f>
        <v>240</v>
      </c>
      <c r="BO208" s="14">
        <f t="shared" ref="BO208:BO271" si="313">SUM(CN209:DH209)</f>
        <v>32</v>
      </c>
      <c r="BP208" s="14">
        <f t="shared" ref="BP208:BP271" si="314">SUM(DI208:DL208)+DM208*2+DN208*4+DO208*5+DP208*6+DQ208*5+DR208*8</f>
        <v>0</v>
      </c>
      <c r="BQ208" s="14">
        <f t="shared" ref="BQ208:BQ271" si="315">BN208-BO208-BP208</f>
        <v>208</v>
      </c>
      <c r="BR208" s="34" t="e">
        <f>HLOOKUP(J208,Villagers!$B$1:$V$33,L208+3,FALSE)-HLOOKUP(J208,Villagers!$B$1:$V$33,L208+2,FALSE)</f>
        <v>#N/A</v>
      </c>
      <c r="BS208" s="49">
        <f t="shared" ref="BS208:BS271" si="316">IF($J207=BS$14,$L207,BS207)</f>
        <v>1</v>
      </c>
      <c r="BT208" s="50">
        <f t="shared" ref="BT208:BT271" si="317">IF($J207=BT$14,$L207,BT207)</f>
        <v>0</v>
      </c>
      <c r="BU208" s="50">
        <f t="shared" ref="BU208:BU271" si="318">IF($J207=BU$14,$L207,BU207)</f>
        <v>0</v>
      </c>
      <c r="BV208" s="50">
        <f t="shared" ref="BV208:BV271" si="319">IF($J207=BV$14,$L207,BV207)</f>
        <v>0</v>
      </c>
      <c r="BW208" s="50">
        <f t="shared" ref="BW208:BY214" si="320">IF($J207=BW$14,$L207,BW207)</f>
        <v>0</v>
      </c>
      <c r="BX208" s="50">
        <f t="shared" si="320"/>
        <v>0</v>
      </c>
      <c r="BY208" s="50">
        <f t="shared" si="320"/>
        <v>0</v>
      </c>
      <c r="BZ208" s="50">
        <f t="shared" si="260"/>
        <v>0</v>
      </c>
      <c r="CA208" s="50">
        <f t="shared" si="261"/>
        <v>0</v>
      </c>
      <c r="CB208" s="50">
        <f t="shared" si="262"/>
        <v>1</v>
      </c>
      <c r="CC208" s="50">
        <f t="shared" si="263"/>
        <v>0</v>
      </c>
      <c r="CD208" s="50">
        <f t="shared" si="264"/>
        <v>0</v>
      </c>
      <c r="CE208" s="50">
        <f t="shared" si="265"/>
        <v>1</v>
      </c>
      <c r="CF208" s="50">
        <f t="shared" si="266"/>
        <v>1</v>
      </c>
      <c r="CG208" s="50">
        <f t="shared" si="267"/>
        <v>1</v>
      </c>
      <c r="CH208" s="50">
        <f t="shared" si="268"/>
        <v>1</v>
      </c>
      <c r="CI208" s="50">
        <f t="shared" si="269"/>
        <v>1</v>
      </c>
      <c r="CJ208" s="50">
        <f t="shared" si="270"/>
        <v>1</v>
      </c>
      <c r="CK208" s="50">
        <f t="shared" si="270"/>
        <v>0</v>
      </c>
      <c r="CL208" s="50">
        <f t="shared" si="270"/>
        <v>0</v>
      </c>
      <c r="CM208" s="51">
        <f t="shared" si="274"/>
        <v>0</v>
      </c>
      <c r="CN208" s="33">
        <f>ROUND(IF(BS208=0,0,HLOOKUP(BS$14,Villagers!$B$1:$V$33,BS208+3,FALSE)),)</f>
        <v>5</v>
      </c>
      <c r="CO208" s="14">
        <f>ROUND(IF(BT208=0,0,HLOOKUP(BT$14,Villagers!$B$1:$V$33,BT208+3,FALSE)),)</f>
        <v>0</v>
      </c>
      <c r="CP208" s="14">
        <f>ROUND(IF(BU208=0,0,HLOOKUP(BU$14,Villagers!$B$1:$V$33,BU208+3,FALSE)),)</f>
        <v>0</v>
      </c>
      <c r="CQ208" s="14">
        <f>ROUND(IF(BV208=0,0,HLOOKUP(BV$14,Villagers!$B$1:$V$33,BV208+3,FALSE)),)</f>
        <v>0</v>
      </c>
      <c r="CR208" s="14">
        <f>ROUND(IF(BW208=0,0,HLOOKUP(BW$14,Villagers!$B$1:$V$33,BW208+3,FALSE)),)</f>
        <v>0</v>
      </c>
      <c r="CS208" s="14">
        <f>ROUND(IF(BX208=0,0,HLOOKUP(BX$14,Villagers!$B$1:$V$33,BX208+3,FALSE)),)</f>
        <v>0</v>
      </c>
      <c r="CT208" s="14">
        <f>ROUND(IF(BY208=0,0,HLOOKUP(BY$14,Villagers!$B$1:$V$33,BY208+3,FALSE)),)</f>
        <v>0</v>
      </c>
      <c r="CU208" s="14">
        <f>ROUND(IF(BZ208=0,0,HLOOKUP(BZ$14,Villagers!$B$1:$V$33,BZ208+3,FALSE)),)</f>
        <v>0</v>
      </c>
      <c r="CV208" s="14">
        <f>ROUND(IF(CA208=0,0,HLOOKUP(CA$14,Villagers!$B$1:$V$33,CA208+3,FALSE)),)</f>
        <v>0</v>
      </c>
      <c r="CW208" s="14">
        <f>ROUND(IF(CB208=0,0,HLOOKUP(CB$14,Villagers!$B$1:$V$33,CB208+3,FALSE)),)</f>
        <v>0</v>
      </c>
      <c r="CX208" s="14">
        <f>ROUND(IF(CC208=0,0,HLOOKUP(CC$14,Villagers!$B$1:$V$33,CC208+3,FALSE)),)</f>
        <v>0</v>
      </c>
      <c r="CY208" s="14">
        <f>ROUND(IF(CD208=0,0,HLOOKUP(CD$14,Villagers!$B$1:$V$33,CD208+3,FALSE)),)</f>
        <v>0</v>
      </c>
      <c r="CZ208" s="14">
        <f>ROUND(IF(CE208=0,0,HLOOKUP(CE$14,Villagers!$B$1:$V$33,CE208+3,FALSE)),)</f>
        <v>5</v>
      </c>
      <c r="DA208" s="14">
        <f>ROUND(IF(CF208=0,0,HLOOKUP(CF$14,Villagers!$B$1:$V$33,CF208+3,FALSE)),)</f>
        <v>10</v>
      </c>
      <c r="DB208" s="14">
        <f>ROUND(IF(CG208=0,0,HLOOKUP(CG$14,Villagers!$B$1:$V$33,CG208+3,FALSE)),)</f>
        <v>10</v>
      </c>
      <c r="DC208" s="14">
        <f>ROUND(IF(CH208=0,0,HLOOKUP(CH$14,Villagers!$B$1:$V$33,CH208+3,FALSE)),)</f>
        <v>0</v>
      </c>
      <c r="DD208" s="14">
        <f>ROUND(IF(CI208=0,0,HLOOKUP(CI$14,Villagers!$B$1:$V$33,CI208+3,FALSE)),)</f>
        <v>0</v>
      </c>
      <c r="DE208" s="14">
        <f>ROUND(IF(CJ208=0,0,HLOOKUP(CJ$14,Villagers!$B$1:$V$33,CJ208+3,FALSE)),)</f>
        <v>2</v>
      </c>
      <c r="DF208" s="370">
        <f>ROUND(IF(CK208=0,0,HLOOKUP(CK$14,Villagers!$B$1:$V$33,CK208+3,FALSE)),)</f>
        <v>0</v>
      </c>
      <c r="DG208" s="370">
        <f>ROUND(IF(CL208=0,0,HLOOKUP(CL$14,Villagers!$B$1:$V$33,CL208+3,FALSE)),)</f>
        <v>0</v>
      </c>
      <c r="DH208" s="34">
        <f>ROUND(IF(CM208=0,0,HLOOKUP(CM$14,Villagers!$B$1:$V$33,CM208+3,FALSE)),)</f>
        <v>0</v>
      </c>
      <c r="DI208" s="109">
        <f t="shared" si="246"/>
        <v>0</v>
      </c>
      <c r="DJ208" s="50">
        <f t="shared" si="247"/>
        <v>0</v>
      </c>
      <c r="DK208" s="50">
        <f t="shared" si="248"/>
        <v>0</v>
      </c>
      <c r="DL208" s="50">
        <f t="shared" si="249"/>
        <v>0</v>
      </c>
      <c r="DM208" s="50">
        <f t="shared" si="250"/>
        <v>0</v>
      </c>
      <c r="DN208" s="50">
        <f t="shared" si="251"/>
        <v>0</v>
      </c>
      <c r="DO208" s="50">
        <f t="shared" si="252"/>
        <v>0</v>
      </c>
      <c r="DP208" s="50">
        <f t="shared" si="253"/>
        <v>0</v>
      </c>
      <c r="DQ208" s="50">
        <f t="shared" ref="DQ208:DQ271" si="321">ROUND(_xlfn.IFNA(DQ207+BB208,DQ207),0)</f>
        <v>0</v>
      </c>
      <c r="DR208" s="50">
        <f t="shared" ref="DR208:DR271" si="322">ROUND(_xlfn.IFNA(DR207+BC208,DR207),0)</f>
        <v>0</v>
      </c>
      <c r="DS208" s="96">
        <f>Miscelaneous!$D$4*Miscelaneous!$D$2^($CI208-1)</f>
        <v>1000</v>
      </c>
      <c r="DT208" s="333">
        <f t="shared" si="303"/>
        <v>1</v>
      </c>
      <c r="DU208" s="81">
        <v>1</v>
      </c>
      <c r="DV208" s="79">
        <f t="shared" ref="DV208:DV271" si="323">IF(BS208&gt;2,1,0)</f>
        <v>0</v>
      </c>
      <c r="DW208" s="79">
        <f t="shared" ref="DW208:DW271" si="324">IF(AND(BS208&gt;9,CA208&gt;4,BT208&gt;4)=TRUE,1,0)</f>
        <v>0</v>
      </c>
      <c r="DX208" s="79">
        <f t="shared" ref="DX208:DX271" si="325">IF(AND(BS208&gt;9,CA208&gt;9)=TRUE,1,0)</f>
        <v>0</v>
      </c>
      <c r="DY208" s="79">
        <v>1</v>
      </c>
      <c r="DZ208" s="79">
        <f t="shared" ref="DZ208:DZ271" si="326">IF(AND(BS208&gt;4,CH208&gt;4),1,0)</f>
        <v>0</v>
      </c>
      <c r="EA208" s="79">
        <f t="shared" ref="EA208:EA271" si="327">IF(AND(BS208&gt;4,CH208&gt;4),1,0)</f>
        <v>0</v>
      </c>
      <c r="EB208" s="79">
        <f t="shared" ref="EB208:EB271" si="328">IF(AND(BS208&gt;19,CA208&gt;19,CD208&gt;9)=TRUE,1,0)</f>
        <v>0</v>
      </c>
      <c r="EC208" s="79">
        <f t="shared" ref="EC208:EC271" si="329">IF(AND(BS208&gt;4,BT208&gt;0)=TRUE,1,0)</f>
        <v>0</v>
      </c>
      <c r="ED208" s="79">
        <v>1</v>
      </c>
      <c r="EE208" s="79">
        <v>1</v>
      </c>
      <c r="EF208" s="79">
        <f t="shared" ref="EF208:EF271" si="330">IF(AND(BS208&gt;2,CI208&gt;1),1,0)</f>
        <v>0</v>
      </c>
      <c r="EG208" s="79">
        <v>1</v>
      </c>
      <c r="EH208" s="79">
        <v>1</v>
      </c>
      <c r="EI208" s="79">
        <v>1</v>
      </c>
      <c r="EJ208" s="79">
        <v>1</v>
      </c>
      <c r="EK208" s="79">
        <v>1</v>
      </c>
      <c r="EL208" s="79">
        <v>1</v>
      </c>
      <c r="EM208" s="143">
        <f t="shared" ref="EM208:EM271" si="331">IF(CL208&gt;0,1,0)</f>
        <v>0</v>
      </c>
      <c r="EN208" s="143">
        <f t="shared" ref="EN208:EN271" si="332">IF(BZ208&gt;0,1,0)</f>
        <v>0</v>
      </c>
      <c r="EO208" s="82">
        <f t="shared" ref="EO208:EO271" si="333">IF(BT208&gt;0,1,0)</f>
        <v>0</v>
      </c>
    </row>
    <row r="209" spans="1:145" x14ac:dyDescent="0.25">
      <c r="A209">
        <v>195</v>
      </c>
      <c r="B209" s="172" t="e">
        <f t="shared" si="304"/>
        <v>#N/A</v>
      </c>
      <c r="C209" s="121" t="e">
        <f t="shared" si="283"/>
        <v>#N/A</v>
      </c>
      <c r="D209" s="122" t="e">
        <f t="shared" si="284"/>
        <v>#N/A</v>
      </c>
      <c r="E209" s="122" t="e">
        <f t="shared" si="285"/>
        <v>#N/A</v>
      </c>
      <c r="F209" s="176" t="e">
        <f t="shared" si="286"/>
        <v>#N/A</v>
      </c>
      <c r="G209" s="121">
        <f t="shared" si="305"/>
        <v>208</v>
      </c>
      <c r="H209" s="176" t="e">
        <f t="shared" si="306"/>
        <v>#N/A</v>
      </c>
      <c r="I209" s="48">
        <v>1</v>
      </c>
      <c r="J209" s="39"/>
      <c r="K209" s="350">
        <v>1</v>
      </c>
      <c r="L209" s="34" t="e">
        <f t="shared" si="287"/>
        <v>#N/A</v>
      </c>
      <c r="M209" s="38" t="e">
        <f>(HLOOKUP(J209,'Construction Times'!$B$3:$W$34,L209+2,FALSE)*HLOOKUP("hq modifier",'Construction Times'!$W$3:$W$34,BS209+2,FALSE))*(1-$H$9)</f>
        <v>#N/A</v>
      </c>
      <c r="N209" s="443" t="e">
        <f t="shared" si="307"/>
        <v>#N/A</v>
      </c>
      <c r="O209" s="444"/>
      <c r="P209" s="447" t="e">
        <f t="shared" si="308"/>
        <v>#N/A</v>
      </c>
      <c r="Q209" s="448"/>
      <c r="R209" s="103">
        <f t="shared" ref="R209:S272" si="334">R208</f>
        <v>0</v>
      </c>
      <c r="S209" s="104">
        <f t="shared" si="334"/>
        <v>0</v>
      </c>
      <c r="T209" s="104">
        <f t="shared" ref="T209:W272" si="335">T208</f>
        <v>0</v>
      </c>
      <c r="U209" s="104">
        <f t="shared" si="335"/>
        <v>0</v>
      </c>
      <c r="V209" s="104">
        <f t="shared" si="335"/>
        <v>9.9999999999999995E-8</v>
      </c>
      <c r="W209" s="104">
        <f t="shared" si="335"/>
        <v>0</v>
      </c>
      <c r="X209" s="104">
        <f t="shared" si="273"/>
        <v>0</v>
      </c>
      <c r="Y209" s="104">
        <f t="shared" si="273"/>
        <v>9.9999999999999995E-8</v>
      </c>
      <c r="Z209" s="104">
        <f t="shared" si="273"/>
        <v>9.9999999999999995E-8</v>
      </c>
      <c r="AA209" s="105">
        <f t="shared" si="273"/>
        <v>9.9999999999999995E-8</v>
      </c>
      <c r="AB209" s="101" t="e">
        <f>$DT209*HLOOKUP($J209,'Construction Costs (timber)'!$B$1:$V$32,'Construction Planner'!$L209+2,FALSE)</f>
        <v>#N/A</v>
      </c>
      <c r="AC209" s="14" t="e">
        <f>$DT209*HLOOKUP($J209,'Construction Costs (clay)'!$B$1:$V$32,'Construction Planner'!$L209+2,FALSE)</f>
        <v>#N/A</v>
      </c>
      <c r="AD209" s="14" t="e">
        <f>$DT209*HLOOKUP($J209,'Construction Costs (iron)'!$B$1:$V$32,'Construction Planner'!$L209+2,FALSE)</f>
        <v>#N/A</v>
      </c>
      <c r="AE209" s="34" t="e">
        <f t="shared" si="254"/>
        <v>#N/A</v>
      </c>
      <c r="AF209" s="33" t="e">
        <f t="shared" si="288"/>
        <v>#N/A</v>
      </c>
      <c r="AG209" s="14" t="e">
        <f t="shared" si="289"/>
        <v>#N/A</v>
      </c>
      <c r="AH209" s="14" t="e">
        <f t="shared" si="290"/>
        <v>#N/A</v>
      </c>
      <c r="AI209" s="34" t="e">
        <f t="shared" si="255"/>
        <v>#N/A</v>
      </c>
      <c r="AJ209" s="49" t="e">
        <f t="shared" si="309"/>
        <v>#N/A</v>
      </c>
      <c r="AK209" s="49" t="e">
        <f t="shared" si="310"/>
        <v>#N/A</v>
      </c>
      <c r="AL209" s="49" t="e">
        <f t="shared" si="311"/>
        <v>#N/A</v>
      </c>
      <c r="AM209" s="25">
        <f t="shared" si="291"/>
        <v>30</v>
      </c>
      <c r="AN209" s="25">
        <f t="shared" si="292"/>
        <v>30</v>
      </c>
      <c r="AO209" s="25">
        <f t="shared" si="293"/>
        <v>30</v>
      </c>
      <c r="AP209" s="52" t="e">
        <f t="shared" si="312"/>
        <v>#N/A</v>
      </c>
      <c r="AQ209" s="53" t="e">
        <f t="shared" si="312"/>
        <v>#N/A</v>
      </c>
      <c r="AR209" s="54" t="e">
        <f t="shared" si="312"/>
        <v>#N/A</v>
      </c>
      <c r="AS209" s="316">
        <f t="shared" si="280"/>
        <v>0</v>
      </c>
      <c r="AT209" s="106">
        <f>_xlfn.IFNA($M209/VLOOKUP($BT209,'Unit information'!$A$2:$K$29,2,FALSE)*R209,0)*(1+$E$9)</f>
        <v>0</v>
      </c>
      <c r="AU209" s="107">
        <f>_xlfn.IFNA($M209/VLOOKUP($BT209,'Unit information'!$A$2:$K$29,3,FALSE)*S209,0)*(1+$E$9)</f>
        <v>0</v>
      </c>
      <c r="AV209" s="107">
        <f>_xlfn.IFNA($M209/VLOOKUP($BT209,'Unit information'!$A$2:$K$29,4,FALSE)*T209,0)*(1+$E$9)</f>
        <v>0</v>
      </c>
      <c r="AW209" s="107">
        <f>_xlfn.IFNA($M209/VLOOKUP($BT209,'Unit information'!$A$2:$K$29,5,FALSE)*U209,0)*(1+$E$9)</f>
        <v>0</v>
      </c>
      <c r="AX209" s="107">
        <f>_xlfn.IFNA($M209/VLOOKUP($BU209,'Unit information'!$A$2:$K$29,6,FALSE)*V209,0)*(1+$E$9)</f>
        <v>0</v>
      </c>
      <c r="AY209" s="107">
        <f>_xlfn.IFNA($M209/VLOOKUP($BU209,'Unit information'!$A$2:$K$29,7,FALSE)*W209,0)*(1+$E$9)</f>
        <v>0</v>
      </c>
      <c r="AZ209" s="107">
        <f>_xlfn.IFNA($M209/VLOOKUP($BU209,'Unit information'!$A$2:$K$29,8,FALSE)*X209,0)*(1+$E$9)</f>
        <v>0</v>
      </c>
      <c r="BA209" s="107">
        <f>_xlfn.IFNA($M209/VLOOKUP($BU209,'Unit information'!$A$2:$K$29,9,FALSE)*Y209,0)*(1+$E$9)</f>
        <v>0</v>
      </c>
      <c r="BB209" s="107">
        <f>_xlfn.IFNA($M209/VLOOKUP($BV209,'Unit information'!$A$2:$K$29,10,FALSE)*Z209,0)*(1+$E$9)</f>
        <v>0</v>
      </c>
      <c r="BC209" s="108">
        <f>_xlfn.IFNA($M209/VLOOKUP($BV209,'Unit information'!$A$2:$K$29,11,FALSE)*AA209,0)*(1+$E$9)</f>
        <v>0</v>
      </c>
      <c r="BD209" s="106">
        <f t="shared" si="294"/>
        <v>0</v>
      </c>
      <c r="BE209" s="107">
        <f t="shared" si="295"/>
        <v>0</v>
      </c>
      <c r="BF209" s="108">
        <f t="shared" si="296"/>
        <v>0</v>
      </c>
      <c r="BG209" s="25" t="e">
        <f t="shared" si="297"/>
        <v>#N/A</v>
      </c>
      <c r="BH209" s="25" t="e">
        <f t="shared" si="298"/>
        <v>#N/A</v>
      </c>
      <c r="BI209" s="25" t="e">
        <f t="shared" si="299"/>
        <v>#N/A</v>
      </c>
      <c r="BJ209" s="27" t="e">
        <f t="shared" si="300"/>
        <v>#N/A</v>
      </c>
      <c r="BK209" s="18" t="e">
        <f t="shared" si="301"/>
        <v>#N/A</v>
      </c>
      <c r="BL209" s="18" t="e">
        <f t="shared" si="302"/>
        <v>#N/A</v>
      </c>
      <c r="BM209" s="28" t="e">
        <f t="shared" si="257"/>
        <v>#N/A</v>
      </c>
      <c r="BN209" s="33">
        <f>HLOOKUP("maximum population",Miscelaneous!$C$1:$C$33,CH209+3,FALSE)</f>
        <v>240</v>
      </c>
      <c r="BO209" s="14">
        <f t="shared" si="313"/>
        <v>32</v>
      </c>
      <c r="BP209" s="14">
        <f t="shared" si="314"/>
        <v>0</v>
      </c>
      <c r="BQ209" s="14">
        <f t="shared" si="315"/>
        <v>208</v>
      </c>
      <c r="BR209" s="34" t="e">
        <f>HLOOKUP(J209,Villagers!$B$1:$V$33,L209+3,FALSE)-HLOOKUP(J209,Villagers!$B$1:$V$33,L209+2,FALSE)</f>
        <v>#N/A</v>
      </c>
      <c r="BS209" s="49">
        <f t="shared" si="316"/>
        <v>1</v>
      </c>
      <c r="BT209" s="50">
        <f t="shared" si="317"/>
        <v>0</v>
      </c>
      <c r="BU209" s="50">
        <f t="shared" si="318"/>
        <v>0</v>
      </c>
      <c r="BV209" s="50">
        <f t="shared" si="319"/>
        <v>0</v>
      </c>
      <c r="BW209" s="50">
        <f t="shared" si="320"/>
        <v>0</v>
      </c>
      <c r="BX209" s="50">
        <f t="shared" si="320"/>
        <v>0</v>
      </c>
      <c r="BY209" s="50">
        <f t="shared" si="320"/>
        <v>0</v>
      </c>
      <c r="BZ209" s="50">
        <f t="shared" si="260"/>
        <v>0</v>
      </c>
      <c r="CA209" s="50">
        <f t="shared" si="261"/>
        <v>0</v>
      </c>
      <c r="CB209" s="50">
        <f t="shared" si="262"/>
        <v>1</v>
      </c>
      <c r="CC209" s="50">
        <f t="shared" si="263"/>
        <v>0</v>
      </c>
      <c r="CD209" s="50">
        <f t="shared" si="264"/>
        <v>0</v>
      </c>
      <c r="CE209" s="50">
        <f t="shared" si="265"/>
        <v>1</v>
      </c>
      <c r="CF209" s="50">
        <f t="shared" si="266"/>
        <v>1</v>
      </c>
      <c r="CG209" s="50">
        <f t="shared" si="267"/>
        <v>1</v>
      </c>
      <c r="CH209" s="50">
        <f t="shared" si="268"/>
        <v>1</v>
      </c>
      <c r="CI209" s="50">
        <f t="shared" si="269"/>
        <v>1</v>
      </c>
      <c r="CJ209" s="50">
        <f t="shared" si="270"/>
        <v>1</v>
      </c>
      <c r="CK209" s="50">
        <f t="shared" si="270"/>
        <v>0</v>
      </c>
      <c r="CL209" s="50">
        <f t="shared" si="270"/>
        <v>0</v>
      </c>
      <c r="CM209" s="51">
        <f t="shared" si="274"/>
        <v>0</v>
      </c>
      <c r="CN209" s="33">
        <f>ROUND(IF(BS209=0,0,HLOOKUP(BS$14,Villagers!$B$1:$V$33,BS209+3,FALSE)),)</f>
        <v>5</v>
      </c>
      <c r="CO209" s="14">
        <f>ROUND(IF(BT209=0,0,HLOOKUP(BT$14,Villagers!$B$1:$V$33,BT209+3,FALSE)),)</f>
        <v>0</v>
      </c>
      <c r="CP209" s="14">
        <f>ROUND(IF(BU209=0,0,HLOOKUP(BU$14,Villagers!$B$1:$V$33,BU209+3,FALSE)),)</f>
        <v>0</v>
      </c>
      <c r="CQ209" s="14">
        <f>ROUND(IF(BV209=0,0,HLOOKUP(BV$14,Villagers!$B$1:$V$33,BV209+3,FALSE)),)</f>
        <v>0</v>
      </c>
      <c r="CR209" s="14">
        <f>ROUND(IF(BW209=0,0,HLOOKUP(BW$14,Villagers!$B$1:$V$33,BW209+3,FALSE)),)</f>
        <v>0</v>
      </c>
      <c r="CS209" s="14">
        <f>ROUND(IF(BX209=0,0,HLOOKUP(BX$14,Villagers!$B$1:$V$33,BX209+3,FALSE)),)</f>
        <v>0</v>
      </c>
      <c r="CT209" s="14">
        <f>ROUND(IF(BY209=0,0,HLOOKUP(BY$14,Villagers!$B$1:$V$33,BY209+3,FALSE)),)</f>
        <v>0</v>
      </c>
      <c r="CU209" s="14">
        <f>ROUND(IF(BZ209=0,0,HLOOKUP(BZ$14,Villagers!$B$1:$V$33,BZ209+3,FALSE)),)</f>
        <v>0</v>
      </c>
      <c r="CV209" s="14">
        <f>ROUND(IF(CA209=0,0,HLOOKUP(CA$14,Villagers!$B$1:$V$33,CA209+3,FALSE)),)</f>
        <v>0</v>
      </c>
      <c r="CW209" s="14">
        <f>ROUND(IF(CB209=0,0,HLOOKUP(CB$14,Villagers!$B$1:$V$33,CB209+3,FALSE)),)</f>
        <v>0</v>
      </c>
      <c r="CX209" s="14">
        <f>ROUND(IF(CC209=0,0,HLOOKUP(CC$14,Villagers!$B$1:$V$33,CC209+3,FALSE)),)</f>
        <v>0</v>
      </c>
      <c r="CY209" s="14">
        <f>ROUND(IF(CD209=0,0,HLOOKUP(CD$14,Villagers!$B$1:$V$33,CD209+3,FALSE)),)</f>
        <v>0</v>
      </c>
      <c r="CZ209" s="14">
        <f>ROUND(IF(CE209=0,0,HLOOKUP(CE$14,Villagers!$B$1:$V$33,CE209+3,FALSE)),)</f>
        <v>5</v>
      </c>
      <c r="DA209" s="14">
        <f>ROUND(IF(CF209=0,0,HLOOKUP(CF$14,Villagers!$B$1:$V$33,CF209+3,FALSE)),)</f>
        <v>10</v>
      </c>
      <c r="DB209" s="14">
        <f>ROUND(IF(CG209=0,0,HLOOKUP(CG$14,Villagers!$B$1:$V$33,CG209+3,FALSE)),)</f>
        <v>10</v>
      </c>
      <c r="DC209" s="14">
        <f>ROUND(IF(CH209=0,0,HLOOKUP(CH$14,Villagers!$B$1:$V$33,CH209+3,FALSE)),)</f>
        <v>0</v>
      </c>
      <c r="DD209" s="14">
        <f>ROUND(IF(CI209=0,0,HLOOKUP(CI$14,Villagers!$B$1:$V$33,CI209+3,FALSE)),)</f>
        <v>0</v>
      </c>
      <c r="DE209" s="14">
        <f>ROUND(IF(CJ209=0,0,HLOOKUP(CJ$14,Villagers!$B$1:$V$33,CJ209+3,FALSE)),)</f>
        <v>2</v>
      </c>
      <c r="DF209" s="370">
        <f>ROUND(IF(CK209=0,0,HLOOKUP(CK$14,Villagers!$B$1:$V$33,CK209+3,FALSE)),)</f>
        <v>0</v>
      </c>
      <c r="DG209" s="370">
        <f>ROUND(IF(CL209=0,0,HLOOKUP(CL$14,Villagers!$B$1:$V$33,CL209+3,FALSE)),)</f>
        <v>0</v>
      </c>
      <c r="DH209" s="34">
        <f>ROUND(IF(CM209=0,0,HLOOKUP(CM$14,Villagers!$B$1:$V$33,CM209+3,FALSE)),)</f>
        <v>0</v>
      </c>
      <c r="DI209" s="109">
        <f t="shared" ref="DI209:DI272" si="336">ROUND(_xlfn.IFNA(DI208+AT209,DI208),0)</f>
        <v>0</v>
      </c>
      <c r="DJ209" s="50">
        <f t="shared" ref="DJ209:DJ272" si="337">ROUND(_xlfn.IFNA(DJ208+AU209,DJ208),0)</f>
        <v>0</v>
      </c>
      <c r="DK209" s="50">
        <f t="shared" ref="DK209:DK272" si="338">ROUND(_xlfn.IFNA(DK208+AV209,DK208),0)</f>
        <v>0</v>
      </c>
      <c r="DL209" s="50">
        <f t="shared" ref="DL209:DL272" si="339">ROUND(_xlfn.IFNA(DL208+AW209,DL208),0)</f>
        <v>0</v>
      </c>
      <c r="DM209" s="50">
        <f t="shared" ref="DM209:DM272" si="340">ROUND(_xlfn.IFNA(DM208+AX209,DM208),0)</f>
        <v>0</v>
      </c>
      <c r="DN209" s="50">
        <f t="shared" ref="DN209:DN272" si="341">ROUND(_xlfn.IFNA(DN208+AY209,DN208),0)</f>
        <v>0</v>
      </c>
      <c r="DO209" s="50">
        <f t="shared" ref="DO209:DO272" si="342">ROUND(_xlfn.IFNA(DO208+AZ209,DO208),0)</f>
        <v>0</v>
      </c>
      <c r="DP209" s="50">
        <f t="shared" ref="DP209:DP272" si="343">ROUND(_xlfn.IFNA(DP208+BA209,DP208),0)</f>
        <v>0</v>
      </c>
      <c r="DQ209" s="50">
        <f t="shared" si="321"/>
        <v>0</v>
      </c>
      <c r="DR209" s="50">
        <f t="shared" si="322"/>
        <v>0</v>
      </c>
      <c r="DS209" s="96">
        <f>Miscelaneous!$D$4*Miscelaneous!$D$2^($CI209-1)</f>
        <v>1000</v>
      </c>
      <c r="DT209" s="333">
        <f t="shared" si="303"/>
        <v>1</v>
      </c>
      <c r="DU209" s="81">
        <v>1</v>
      </c>
      <c r="DV209" s="79">
        <f t="shared" si="323"/>
        <v>0</v>
      </c>
      <c r="DW209" s="79">
        <f t="shared" si="324"/>
        <v>0</v>
      </c>
      <c r="DX209" s="79">
        <f t="shared" si="325"/>
        <v>0</v>
      </c>
      <c r="DY209" s="79">
        <v>1</v>
      </c>
      <c r="DZ209" s="79">
        <f t="shared" si="326"/>
        <v>0</v>
      </c>
      <c r="EA209" s="79">
        <f t="shared" si="327"/>
        <v>0</v>
      </c>
      <c r="EB209" s="79">
        <f t="shared" si="328"/>
        <v>0</v>
      </c>
      <c r="EC209" s="79">
        <f t="shared" si="329"/>
        <v>0</v>
      </c>
      <c r="ED209" s="79">
        <v>1</v>
      </c>
      <c r="EE209" s="79">
        <v>1</v>
      </c>
      <c r="EF209" s="79">
        <f t="shared" si="330"/>
        <v>0</v>
      </c>
      <c r="EG209" s="79">
        <v>1</v>
      </c>
      <c r="EH209" s="79">
        <v>1</v>
      </c>
      <c r="EI209" s="79">
        <v>1</v>
      </c>
      <c r="EJ209" s="79">
        <v>1</v>
      </c>
      <c r="EK209" s="79">
        <v>1</v>
      </c>
      <c r="EL209" s="79">
        <v>1</v>
      </c>
      <c r="EM209" s="143">
        <f t="shared" si="331"/>
        <v>0</v>
      </c>
      <c r="EN209" s="143">
        <f t="shared" si="332"/>
        <v>0</v>
      </c>
      <c r="EO209" s="82">
        <f t="shared" si="333"/>
        <v>0</v>
      </c>
    </row>
    <row r="210" spans="1:145" x14ac:dyDescent="0.25">
      <c r="A210">
        <v>196</v>
      </c>
      <c r="B210" s="172" t="e">
        <f t="shared" si="304"/>
        <v>#N/A</v>
      </c>
      <c r="C210" s="121" t="e">
        <f t="shared" si="283"/>
        <v>#N/A</v>
      </c>
      <c r="D210" s="122" t="e">
        <f t="shared" si="284"/>
        <v>#N/A</v>
      </c>
      <c r="E210" s="122" t="e">
        <f t="shared" si="285"/>
        <v>#N/A</v>
      </c>
      <c r="F210" s="176" t="e">
        <f t="shared" si="286"/>
        <v>#N/A</v>
      </c>
      <c r="G210" s="121">
        <f t="shared" si="305"/>
        <v>208</v>
      </c>
      <c r="H210" s="176" t="e">
        <f t="shared" si="306"/>
        <v>#N/A</v>
      </c>
      <c r="I210" s="48">
        <v>1</v>
      </c>
      <c r="J210" s="39"/>
      <c r="K210" s="350">
        <v>1</v>
      </c>
      <c r="L210" s="34" t="e">
        <f t="shared" si="287"/>
        <v>#N/A</v>
      </c>
      <c r="M210" s="38" t="e">
        <f>(HLOOKUP(J210,'Construction Times'!$B$3:$W$34,L210+2,FALSE)*HLOOKUP("hq modifier",'Construction Times'!$W$3:$W$34,BS210+2,FALSE))*(1-$H$9)</f>
        <v>#N/A</v>
      </c>
      <c r="N210" s="443" t="e">
        <f t="shared" si="307"/>
        <v>#N/A</v>
      </c>
      <c r="O210" s="444"/>
      <c r="P210" s="447" t="e">
        <f t="shared" si="308"/>
        <v>#N/A</v>
      </c>
      <c r="Q210" s="448"/>
      <c r="R210" s="103">
        <f t="shared" si="334"/>
        <v>0</v>
      </c>
      <c r="S210" s="104">
        <f t="shared" si="334"/>
        <v>0</v>
      </c>
      <c r="T210" s="104">
        <f t="shared" si="335"/>
        <v>0</v>
      </c>
      <c r="U210" s="104">
        <f t="shared" si="335"/>
        <v>0</v>
      </c>
      <c r="V210" s="104">
        <f t="shared" si="335"/>
        <v>9.9999999999999995E-8</v>
      </c>
      <c r="W210" s="104">
        <f t="shared" si="335"/>
        <v>0</v>
      </c>
      <c r="X210" s="104">
        <f t="shared" si="273"/>
        <v>0</v>
      </c>
      <c r="Y210" s="104">
        <f t="shared" si="273"/>
        <v>9.9999999999999995E-8</v>
      </c>
      <c r="Z210" s="104">
        <f t="shared" si="273"/>
        <v>9.9999999999999995E-8</v>
      </c>
      <c r="AA210" s="105">
        <f t="shared" si="273"/>
        <v>9.9999999999999995E-8</v>
      </c>
      <c r="AB210" s="101" t="e">
        <f>$DT210*HLOOKUP($J210,'Construction Costs (timber)'!$B$1:$V$32,'Construction Planner'!$L210+2,FALSE)</f>
        <v>#N/A</v>
      </c>
      <c r="AC210" s="14" t="e">
        <f>$DT210*HLOOKUP($J210,'Construction Costs (clay)'!$B$1:$V$32,'Construction Planner'!$L210+2,FALSE)</f>
        <v>#N/A</v>
      </c>
      <c r="AD210" s="14" t="e">
        <f>$DT210*HLOOKUP($J210,'Construction Costs (iron)'!$B$1:$V$32,'Construction Planner'!$L210+2,FALSE)</f>
        <v>#N/A</v>
      </c>
      <c r="AE210" s="34" t="e">
        <f t="shared" si="254"/>
        <v>#N/A</v>
      </c>
      <c r="AF210" s="33" t="e">
        <f t="shared" si="288"/>
        <v>#N/A</v>
      </c>
      <c r="AG210" s="14" t="e">
        <f t="shared" si="289"/>
        <v>#N/A</v>
      </c>
      <c r="AH210" s="14" t="e">
        <f t="shared" si="290"/>
        <v>#N/A</v>
      </c>
      <c r="AI210" s="34" t="e">
        <f t="shared" si="255"/>
        <v>#N/A</v>
      </c>
      <c r="AJ210" s="49" t="e">
        <f t="shared" si="309"/>
        <v>#N/A</v>
      </c>
      <c r="AK210" s="49" t="e">
        <f t="shared" si="310"/>
        <v>#N/A</v>
      </c>
      <c r="AL210" s="49" t="e">
        <f t="shared" si="311"/>
        <v>#N/A</v>
      </c>
      <c r="AM210" s="25">
        <f t="shared" si="291"/>
        <v>30</v>
      </c>
      <c r="AN210" s="25">
        <f t="shared" si="292"/>
        <v>30</v>
      </c>
      <c r="AO210" s="25">
        <f t="shared" si="293"/>
        <v>30</v>
      </c>
      <c r="AP210" s="52" t="e">
        <f t="shared" si="312"/>
        <v>#N/A</v>
      </c>
      <c r="AQ210" s="53" t="e">
        <f t="shared" si="312"/>
        <v>#N/A</v>
      </c>
      <c r="AR210" s="54" t="e">
        <f t="shared" si="312"/>
        <v>#N/A</v>
      </c>
      <c r="AS210" s="316">
        <f t="shared" si="280"/>
        <v>0</v>
      </c>
      <c r="AT210" s="106">
        <f>_xlfn.IFNA($M210/VLOOKUP($BT210,'Unit information'!$A$2:$K$29,2,FALSE)*R210,0)*(1+$E$9)</f>
        <v>0</v>
      </c>
      <c r="AU210" s="107">
        <f>_xlfn.IFNA($M210/VLOOKUP($BT210,'Unit information'!$A$2:$K$29,3,FALSE)*S210,0)*(1+$E$9)</f>
        <v>0</v>
      </c>
      <c r="AV210" s="107">
        <f>_xlfn.IFNA($M210/VLOOKUP($BT210,'Unit information'!$A$2:$K$29,4,FALSE)*T210,0)*(1+$E$9)</f>
        <v>0</v>
      </c>
      <c r="AW210" s="107">
        <f>_xlfn.IFNA($M210/VLOOKUP($BT210,'Unit information'!$A$2:$K$29,5,FALSE)*U210,0)*(1+$E$9)</f>
        <v>0</v>
      </c>
      <c r="AX210" s="107">
        <f>_xlfn.IFNA($M210/VLOOKUP($BU210,'Unit information'!$A$2:$K$29,6,FALSE)*V210,0)*(1+$E$9)</f>
        <v>0</v>
      </c>
      <c r="AY210" s="107">
        <f>_xlfn.IFNA($M210/VLOOKUP($BU210,'Unit information'!$A$2:$K$29,7,FALSE)*W210,0)*(1+$E$9)</f>
        <v>0</v>
      </c>
      <c r="AZ210" s="107">
        <f>_xlfn.IFNA($M210/VLOOKUP($BU210,'Unit information'!$A$2:$K$29,8,FALSE)*X210,0)*(1+$E$9)</f>
        <v>0</v>
      </c>
      <c r="BA210" s="107">
        <f>_xlfn.IFNA($M210/VLOOKUP($BU210,'Unit information'!$A$2:$K$29,9,FALSE)*Y210,0)*(1+$E$9)</f>
        <v>0</v>
      </c>
      <c r="BB210" s="107">
        <f>_xlfn.IFNA($M210/VLOOKUP($BV210,'Unit information'!$A$2:$K$29,10,FALSE)*Z210,0)*(1+$E$9)</f>
        <v>0</v>
      </c>
      <c r="BC210" s="108">
        <f>_xlfn.IFNA($M210/VLOOKUP($BV210,'Unit information'!$A$2:$K$29,11,FALSE)*AA210,0)*(1+$E$9)</f>
        <v>0</v>
      </c>
      <c r="BD210" s="106">
        <f t="shared" si="294"/>
        <v>0</v>
      </c>
      <c r="BE210" s="107">
        <f t="shared" si="295"/>
        <v>0</v>
      </c>
      <c r="BF210" s="108">
        <f t="shared" si="296"/>
        <v>0</v>
      </c>
      <c r="BG210" s="25" t="e">
        <f t="shared" si="297"/>
        <v>#N/A</v>
      </c>
      <c r="BH210" s="25" t="e">
        <f t="shared" si="298"/>
        <v>#N/A</v>
      </c>
      <c r="BI210" s="25" t="e">
        <f t="shared" si="299"/>
        <v>#N/A</v>
      </c>
      <c r="BJ210" s="27" t="e">
        <f t="shared" si="300"/>
        <v>#N/A</v>
      </c>
      <c r="BK210" s="18" t="e">
        <f t="shared" si="301"/>
        <v>#N/A</v>
      </c>
      <c r="BL210" s="18" t="e">
        <f t="shared" si="302"/>
        <v>#N/A</v>
      </c>
      <c r="BM210" s="28" t="e">
        <f t="shared" si="257"/>
        <v>#N/A</v>
      </c>
      <c r="BN210" s="33">
        <f>HLOOKUP("maximum population",Miscelaneous!$C$1:$C$33,CH210+3,FALSE)</f>
        <v>240</v>
      </c>
      <c r="BO210" s="14">
        <f t="shared" si="313"/>
        <v>32</v>
      </c>
      <c r="BP210" s="14">
        <f t="shared" si="314"/>
        <v>0</v>
      </c>
      <c r="BQ210" s="14">
        <f t="shared" si="315"/>
        <v>208</v>
      </c>
      <c r="BR210" s="34" t="e">
        <f>HLOOKUP(J210,Villagers!$B$1:$V$33,L210+3,FALSE)-HLOOKUP(J210,Villagers!$B$1:$V$33,L210+2,FALSE)</f>
        <v>#N/A</v>
      </c>
      <c r="BS210" s="49">
        <f t="shared" si="316"/>
        <v>1</v>
      </c>
      <c r="BT210" s="50">
        <f t="shared" si="317"/>
        <v>0</v>
      </c>
      <c r="BU210" s="50">
        <f t="shared" si="318"/>
        <v>0</v>
      </c>
      <c r="BV210" s="50">
        <f t="shared" si="319"/>
        <v>0</v>
      </c>
      <c r="BW210" s="50">
        <f t="shared" si="320"/>
        <v>0</v>
      </c>
      <c r="BX210" s="50">
        <f t="shared" si="320"/>
        <v>0</v>
      </c>
      <c r="BY210" s="50">
        <f t="shared" si="320"/>
        <v>0</v>
      </c>
      <c r="BZ210" s="50">
        <f t="shared" si="260"/>
        <v>0</v>
      </c>
      <c r="CA210" s="50">
        <f t="shared" si="261"/>
        <v>0</v>
      </c>
      <c r="CB210" s="50">
        <f t="shared" si="262"/>
        <v>1</v>
      </c>
      <c r="CC210" s="50">
        <f t="shared" si="263"/>
        <v>0</v>
      </c>
      <c r="CD210" s="50">
        <f t="shared" si="264"/>
        <v>0</v>
      </c>
      <c r="CE210" s="50">
        <f t="shared" si="265"/>
        <v>1</v>
      </c>
      <c r="CF210" s="50">
        <f t="shared" si="266"/>
        <v>1</v>
      </c>
      <c r="CG210" s="50">
        <f t="shared" si="267"/>
        <v>1</v>
      </c>
      <c r="CH210" s="50">
        <f t="shared" si="268"/>
        <v>1</v>
      </c>
      <c r="CI210" s="50">
        <f t="shared" si="269"/>
        <v>1</v>
      </c>
      <c r="CJ210" s="50">
        <f t="shared" si="270"/>
        <v>1</v>
      </c>
      <c r="CK210" s="50">
        <f t="shared" si="270"/>
        <v>0</v>
      </c>
      <c r="CL210" s="50">
        <f t="shared" si="270"/>
        <v>0</v>
      </c>
      <c r="CM210" s="51">
        <f t="shared" si="274"/>
        <v>0</v>
      </c>
      <c r="CN210" s="33">
        <f>ROUND(IF(BS210=0,0,HLOOKUP(BS$14,Villagers!$B$1:$V$33,BS210+3,FALSE)),)</f>
        <v>5</v>
      </c>
      <c r="CO210" s="14">
        <f>ROUND(IF(BT210=0,0,HLOOKUP(BT$14,Villagers!$B$1:$V$33,BT210+3,FALSE)),)</f>
        <v>0</v>
      </c>
      <c r="CP210" s="14">
        <f>ROUND(IF(BU210=0,0,HLOOKUP(BU$14,Villagers!$B$1:$V$33,BU210+3,FALSE)),)</f>
        <v>0</v>
      </c>
      <c r="CQ210" s="14">
        <f>ROUND(IF(BV210=0,0,HLOOKUP(BV$14,Villagers!$B$1:$V$33,BV210+3,FALSE)),)</f>
        <v>0</v>
      </c>
      <c r="CR210" s="14">
        <f>ROUND(IF(BW210=0,0,HLOOKUP(BW$14,Villagers!$B$1:$V$33,BW210+3,FALSE)),)</f>
        <v>0</v>
      </c>
      <c r="CS210" s="14">
        <f>ROUND(IF(BX210=0,0,HLOOKUP(BX$14,Villagers!$B$1:$V$33,BX210+3,FALSE)),)</f>
        <v>0</v>
      </c>
      <c r="CT210" s="14">
        <f>ROUND(IF(BY210=0,0,HLOOKUP(BY$14,Villagers!$B$1:$V$33,BY210+3,FALSE)),)</f>
        <v>0</v>
      </c>
      <c r="CU210" s="14">
        <f>ROUND(IF(BZ210=0,0,HLOOKUP(BZ$14,Villagers!$B$1:$V$33,BZ210+3,FALSE)),)</f>
        <v>0</v>
      </c>
      <c r="CV210" s="14">
        <f>ROUND(IF(CA210=0,0,HLOOKUP(CA$14,Villagers!$B$1:$V$33,CA210+3,FALSE)),)</f>
        <v>0</v>
      </c>
      <c r="CW210" s="14">
        <f>ROUND(IF(CB210=0,0,HLOOKUP(CB$14,Villagers!$B$1:$V$33,CB210+3,FALSE)),)</f>
        <v>0</v>
      </c>
      <c r="CX210" s="14">
        <f>ROUND(IF(CC210=0,0,HLOOKUP(CC$14,Villagers!$B$1:$V$33,CC210+3,FALSE)),)</f>
        <v>0</v>
      </c>
      <c r="CY210" s="14">
        <f>ROUND(IF(CD210=0,0,HLOOKUP(CD$14,Villagers!$B$1:$V$33,CD210+3,FALSE)),)</f>
        <v>0</v>
      </c>
      <c r="CZ210" s="14">
        <f>ROUND(IF(CE210=0,0,HLOOKUP(CE$14,Villagers!$B$1:$V$33,CE210+3,FALSE)),)</f>
        <v>5</v>
      </c>
      <c r="DA210" s="14">
        <f>ROUND(IF(CF210=0,0,HLOOKUP(CF$14,Villagers!$B$1:$V$33,CF210+3,FALSE)),)</f>
        <v>10</v>
      </c>
      <c r="DB210" s="14">
        <f>ROUND(IF(CG210=0,0,HLOOKUP(CG$14,Villagers!$B$1:$V$33,CG210+3,FALSE)),)</f>
        <v>10</v>
      </c>
      <c r="DC210" s="14">
        <f>ROUND(IF(CH210=0,0,HLOOKUP(CH$14,Villagers!$B$1:$V$33,CH210+3,FALSE)),)</f>
        <v>0</v>
      </c>
      <c r="DD210" s="14">
        <f>ROUND(IF(CI210=0,0,HLOOKUP(CI$14,Villagers!$B$1:$V$33,CI210+3,FALSE)),)</f>
        <v>0</v>
      </c>
      <c r="DE210" s="14">
        <f>ROUND(IF(CJ210=0,0,HLOOKUP(CJ$14,Villagers!$B$1:$V$33,CJ210+3,FALSE)),)</f>
        <v>2</v>
      </c>
      <c r="DF210" s="370">
        <f>ROUND(IF(CK210=0,0,HLOOKUP(CK$14,Villagers!$B$1:$V$33,CK210+3,FALSE)),)</f>
        <v>0</v>
      </c>
      <c r="DG210" s="370">
        <f>ROUND(IF(CL210=0,0,HLOOKUP(CL$14,Villagers!$B$1:$V$33,CL210+3,FALSE)),)</f>
        <v>0</v>
      </c>
      <c r="DH210" s="34">
        <f>ROUND(IF(CM210=0,0,HLOOKUP(CM$14,Villagers!$B$1:$V$33,CM210+3,FALSE)),)</f>
        <v>0</v>
      </c>
      <c r="DI210" s="109">
        <f t="shared" si="336"/>
        <v>0</v>
      </c>
      <c r="DJ210" s="50">
        <f t="shared" si="337"/>
        <v>0</v>
      </c>
      <c r="DK210" s="50">
        <f t="shared" si="338"/>
        <v>0</v>
      </c>
      <c r="DL210" s="50">
        <f t="shared" si="339"/>
        <v>0</v>
      </c>
      <c r="DM210" s="50">
        <f t="shared" si="340"/>
        <v>0</v>
      </c>
      <c r="DN210" s="50">
        <f t="shared" si="341"/>
        <v>0</v>
      </c>
      <c r="DO210" s="50">
        <f t="shared" si="342"/>
        <v>0</v>
      </c>
      <c r="DP210" s="50">
        <f t="shared" si="343"/>
        <v>0</v>
      </c>
      <c r="DQ210" s="50">
        <f t="shared" si="321"/>
        <v>0</v>
      </c>
      <c r="DR210" s="50">
        <f t="shared" si="322"/>
        <v>0</v>
      </c>
      <c r="DS210" s="96">
        <f>Miscelaneous!$D$4*Miscelaneous!$D$2^($CI210-1)</f>
        <v>1000</v>
      </c>
      <c r="DT210" s="333">
        <f t="shared" si="303"/>
        <v>1</v>
      </c>
      <c r="DU210" s="81">
        <v>1</v>
      </c>
      <c r="DV210" s="79">
        <f t="shared" si="323"/>
        <v>0</v>
      </c>
      <c r="DW210" s="79">
        <f t="shared" si="324"/>
        <v>0</v>
      </c>
      <c r="DX210" s="79">
        <f t="shared" si="325"/>
        <v>0</v>
      </c>
      <c r="DY210" s="79">
        <v>1</v>
      </c>
      <c r="DZ210" s="79">
        <f t="shared" si="326"/>
        <v>0</v>
      </c>
      <c r="EA210" s="79">
        <f t="shared" si="327"/>
        <v>0</v>
      </c>
      <c r="EB210" s="79">
        <f t="shared" si="328"/>
        <v>0</v>
      </c>
      <c r="EC210" s="79">
        <f t="shared" si="329"/>
        <v>0</v>
      </c>
      <c r="ED210" s="79">
        <v>1</v>
      </c>
      <c r="EE210" s="79">
        <v>1</v>
      </c>
      <c r="EF210" s="79">
        <f t="shared" si="330"/>
        <v>0</v>
      </c>
      <c r="EG210" s="79">
        <v>1</v>
      </c>
      <c r="EH210" s="79">
        <v>1</v>
      </c>
      <c r="EI210" s="79">
        <v>1</v>
      </c>
      <c r="EJ210" s="79">
        <v>1</v>
      </c>
      <c r="EK210" s="79">
        <v>1</v>
      </c>
      <c r="EL210" s="79">
        <v>1</v>
      </c>
      <c r="EM210" s="143">
        <f t="shared" si="331"/>
        <v>0</v>
      </c>
      <c r="EN210" s="143">
        <f t="shared" si="332"/>
        <v>0</v>
      </c>
      <c r="EO210" s="82">
        <f t="shared" si="333"/>
        <v>0</v>
      </c>
    </row>
    <row r="211" spans="1:145" x14ac:dyDescent="0.25">
      <c r="A211">
        <v>197</v>
      </c>
      <c r="B211" s="172" t="e">
        <f t="shared" si="304"/>
        <v>#N/A</v>
      </c>
      <c r="C211" s="121" t="e">
        <f t="shared" si="283"/>
        <v>#N/A</v>
      </c>
      <c r="D211" s="122" t="e">
        <f t="shared" si="284"/>
        <v>#N/A</v>
      </c>
      <c r="E211" s="122" t="e">
        <f t="shared" si="285"/>
        <v>#N/A</v>
      </c>
      <c r="F211" s="176" t="e">
        <f t="shared" si="286"/>
        <v>#N/A</v>
      </c>
      <c r="G211" s="121">
        <f t="shared" si="305"/>
        <v>208</v>
      </c>
      <c r="H211" s="176" t="e">
        <f t="shared" si="306"/>
        <v>#N/A</v>
      </c>
      <c r="I211" s="48">
        <v>1</v>
      </c>
      <c r="J211" s="39"/>
      <c r="K211" s="350">
        <v>1</v>
      </c>
      <c r="L211" s="34" t="e">
        <f t="shared" si="287"/>
        <v>#N/A</v>
      </c>
      <c r="M211" s="38" t="e">
        <f>(HLOOKUP(J211,'Construction Times'!$B$3:$W$34,L211+2,FALSE)*HLOOKUP("hq modifier",'Construction Times'!$W$3:$W$34,BS211+2,FALSE))*(1-$H$9)</f>
        <v>#N/A</v>
      </c>
      <c r="N211" s="443" t="e">
        <f t="shared" si="307"/>
        <v>#N/A</v>
      </c>
      <c r="O211" s="444"/>
      <c r="P211" s="447" t="e">
        <f t="shared" si="308"/>
        <v>#N/A</v>
      </c>
      <c r="Q211" s="448"/>
      <c r="R211" s="103">
        <f t="shared" si="334"/>
        <v>0</v>
      </c>
      <c r="S211" s="104">
        <f t="shared" si="334"/>
        <v>0</v>
      </c>
      <c r="T211" s="104">
        <f t="shared" si="335"/>
        <v>0</v>
      </c>
      <c r="U211" s="104">
        <f t="shared" si="335"/>
        <v>0</v>
      </c>
      <c r="V211" s="104">
        <f t="shared" si="335"/>
        <v>9.9999999999999995E-8</v>
      </c>
      <c r="W211" s="104">
        <f t="shared" si="335"/>
        <v>0</v>
      </c>
      <c r="X211" s="104">
        <f t="shared" si="273"/>
        <v>0</v>
      </c>
      <c r="Y211" s="104">
        <f t="shared" si="273"/>
        <v>9.9999999999999995E-8</v>
      </c>
      <c r="Z211" s="104">
        <f t="shared" si="273"/>
        <v>9.9999999999999995E-8</v>
      </c>
      <c r="AA211" s="105">
        <f t="shared" si="273"/>
        <v>9.9999999999999995E-8</v>
      </c>
      <c r="AB211" s="101" t="e">
        <f>$DT211*HLOOKUP($J211,'Construction Costs (timber)'!$B$1:$V$32,'Construction Planner'!$L211+2,FALSE)</f>
        <v>#N/A</v>
      </c>
      <c r="AC211" s="14" t="e">
        <f>$DT211*HLOOKUP($J211,'Construction Costs (clay)'!$B$1:$V$32,'Construction Planner'!$L211+2,FALSE)</f>
        <v>#N/A</v>
      </c>
      <c r="AD211" s="14" t="e">
        <f>$DT211*HLOOKUP($J211,'Construction Costs (iron)'!$B$1:$V$32,'Construction Planner'!$L211+2,FALSE)</f>
        <v>#N/A</v>
      </c>
      <c r="AE211" s="34" t="e">
        <f t="shared" si="254"/>
        <v>#N/A</v>
      </c>
      <c r="AF211" s="33" t="e">
        <f t="shared" si="288"/>
        <v>#N/A</v>
      </c>
      <c r="AG211" s="14" t="e">
        <f t="shared" si="289"/>
        <v>#N/A</v>
      </c>
      <c r="AH211" s="14" t="e">
        <f t="shared" si="290"/>
        <v>#N/A</v>
      </c>
      <c r="AI211" s="34" t="e">
        <f t="shared" si="255"/>
        <v>#N/A</v>
      </c>
      <c r="AJ211" s="49" t="e">
        <f t="shared" si="309"/>
        <v>#N/A</v>
      </c>
      <c r="AK211" s="49" t="e">
        <f t="shared" si="310"/>
        <v>#N/A</v>
      </c>
      <c r="AL211" s="49" t="e">
        <f t="shared" si="311"/>
        <v>#N/A</v>
      </c>
      <c r="AM211" s="25">
        <f t="shared" si="291"/>
        <v>30</v>
      </c>
      <c r="AN211" s="25">
        <f t="shared" si="292"/>
        <v>30</v>
      </c>
      <c r="AO211" s="25">
        <f t="shared" si="293"/>
        <v>30</v>
      </c>
      <c r="AP211" s="52" t="e">
        <f t="shared" si="312"/>
        <v>#N/A</v>
      </c>
      <c r="AQ211" s="53" t="e">
        <f t="shared" si="312"/>
        <v>#N/A</v>
      </c>
      <c r="AR211" s="54" t="e">
        <f t="shared" si="312"/>
        <v>#N/A</v>
      </c>
      <c r="AS211" s="316">
        <f t="shared" si="280"/>
        <v>0</v>
      </c>
      <c r="AT211" s="106">
        <f>_xlfn.IFNA($M211/VLOOKUP($BT211,'Unit information'!$A$2:$K$29,2,FALSE)*R211,0)*(1+$E$9)</f>
        <v>0</v>
      </c>
      <c r="AU211" s="107">
        <f>_xlfn.IFNA($M211/VLOOKUP($BT211,'Unit information'!$A$2:$K$29,3,FALSE)*S211,0)*(1+$E$9)</f>
        <v>0</v>
      </c>
      <c r="AV211" s="107">
        <f>_xlfn.IFNA($M211/VLOOKUP($BT211,'Unit information'!$A$2:$K$29,4,FALSE)*T211,0)*(1+$E$9)</f>
        <v>0</v>
      </c>
      <c r="AW211" s="107">
        <f>_xlfn.IFNA($M211/VLOOKUP($BT211,'Unit information'!$A$2:$K$29,5,FALSE)*U211,0)*(1+$E$9)</f>
        <v>0</v>
      </c>
      <c r="AX211" s="107">
        <f>_xlfn.IFNA($M211/VLOOKUP($BU211,'Unit information'!$A$2:$K$29,6,FALSE)*V211,0)*(1+$E$9)</f>
        <v>0</v>
      </c>
      <c r="AY211" s="107">
        <f>_xlfn.IFNA($M211/VLOOKUP($BU211,'Unit information'!$A$2:$K$29,7,FALSE)*W211,0)*(1+$E$9)</f>
        <v>0</v>
      </c>
      <c r="AZ211" s="107">
        <f>_xlfn.IFNA($M211/VLOOKUP($BU211,'Unit information'!$A$2:$K$29,8,FALSE)*X211,0)*(1+$E$9)</f>
        <v>0</v>
      </c>
      <c r="BA211" s="107">
        <f>_xlfn.IFNA($M211/VLOOKUP($BU211,'Unit information'!$A$2:$K$29,9,FALSE)*Y211,0)*(1+$E$9)</f>
        <v>0</v>
      </c>
      <c r="BB211" s="107">
        <f>_xlfn.IFNA($M211/VLOOKUP($BV211,'Unit information'!$A$2:$K$29,10,FALSE)*Z211,0)*(1+$E$9)</f>
        <v>0</v>
      </c>
      <c r="BC211" s="108">
        <f>_xlfn.IFNA($M211/VLOOKUP($BV211,'Unit information'!$A$2:$K$29,11,FALSE)*AA211,0)*(1+$E$9)</f>
        <v>0</v>
      </c>
      <c r="BD211" s="106">
        <f t="shared" si="294"/>
        <v>0</v>
      </c>
      <c r="BE211" s="107">
        <f t="shared" si="295"/>
        <v>0</v>
      </c>
      <c r="BF211" s="108">
        <f t="shared" si="296"/>
        <v>0</v>
      </c>
      <c r="BG211" s="25" t="e">
        <f t="shared" si="297"/>
        <v>#N/A</v>
      </c>
      <c r="BH211" s="25" t="e">
        <f t="shared" si="298"/>
        <v>#N/A</v>
      </c>
      <c r="BI211" s="25" t="e">
        <f t="shared" si="299"/>
        <v>#N/A</v>
      </c>
      <c r="BJ211" s="27" t="e">
        <f t="shared" si="300"/>
        <v>#N/A</v>
      </c>
      <c r="BK211" s="18" t="e">
        <f t="shared" si="301"/>
        <v>#N/A</v>
      </c>
      <c r="BL211" s="18" t="e">
        <f t="shared" si="302"/>
        <v>#N/A</v>
      </c>
      <c r="BM211" s="28" t="e">
        <f t="shared" si="257"/>
        <v>#N/A</v>
      </c>
      <c r="BN211" s="33">
        <f>HLOOKUP("maximum population",Miscelaneous!$C$1:$C$33,CH211+3,FALSE)</f>
        <v>240</v>
      </c>
      <c r="BO211" s="14">
        <f t="shared" si="313"/>
        <v>32</v>
      </c>
      <c r="BP211" s="14">
        <f t="shared" si="314"/>
        <v>0</v>
      </c>
      <c r="BQ211" s="14">
        <f t="shared" si="315"/>
        <v>208</v>
      </c>
      <c r="BR211" s="34" t="e">
        <f>HLOOKUP(J211,Villagers!$B$1:$V$33,L211+3,FALSE)-HLOOKUP(J211,Villagers!$B$1:$V$33,L211+2,FALSE)</f>
        <v>#N/A</v>
      </c>
      <c r="BS211" s="49">
        <f t="shared" si="316"/>
        <v>1</v>
      </c>
      <c r="BT211" s="50">
        <f t="shared" si="317"/>
        <v>0</v>
      </c>
      <c r="BU211" s="50">
        <f t="shared" si="318"/>
        <v>0</v>
      </c>
      <c r="BV211" s="50">
        <f t="shared" si="319"/>
        <v>0</v>
      </c>
      <c r="BW211" s="50">
        <f t="shared" si="320"/>
        <v>0</v>
      </c>
      <c r="BX211" s="50">
        <f t="shared" si="320"/>
        <v>0</v>
      </c>
      <c r="BY211" s="50">
        <f t="shared" si="320"/>
        <v>0</v>
      </c>
      <c r="BZ211" s="50">
        <f t="shared" si="260"/>
        <v>0</v>
      </c>
      <c r="CA211" s="50">
        <f t="shared" si="261"/>
        <v>0</v>
      </c>
      <c r="CB211" s="50">
        <f t="shared" si="262"/>
        <v>1</v>
      </c>
      <c r="CC211" s="50">
        <f t="shared" si="263"/>
        <v>0</v>
      </c>
      <c r="CD211" s="50">
        <f t="shared" si="264"/>
        <v>0</v>
      </c>
      <c r="CE211" s="50">
        <f t="shared" si="265"/>
        <v>1</v>
      </c>
      <c r="CF211" s="50">
        <f t="shared" si="266"/>
        <v>1</v>
      </c>
      <c r="CG211" s="50">
        <f t="shared" si="267"/>
        <v>1</v>
      </c>
      <c r="CH211" s="50">
        <f t="shared" si="268"/>
        <v>1</v>
      </c>
      <c r="CI211" s="50">
        <f t="shared" si="269"/>
        <v>1</v>
      </c>
      <c r="CJ211" s="50">
        <f t="shared" si="270"/>
        <v>1</v>
      </c>
      <c r="CK211" s="50">
        <f t="shared" si="270"/>
        <v>0</v>
      </c>
      <c r="CL211" s="50">
        <f t="shared" si="270"/>
        <v>0</v>
      </c>
      <c r="CM211" s="51">
        <f t="shared" si="274"/>
        <v>0</v>
      </c>
      <c r="CN211" s="33">
        <f>ROUND(IF(BS211=0,0,HLOOKUP(BS$14,Villagers!$B$1:$V$33,BS211+3,FALSE)),)</f>
        <v>5</v>
      </c>
      <c r="CO211" s="14">
        <f>ROUND(IF(BT211=0,0,HLOOKUP(BT$14,Villagers!$B$1:$V$33,BT211+3,FALSE)),)</f>
        <v>0</v>
      </c>
      <c r="CP211" s="14">
        <f>ROUND(IF(BU211=0,0,HLOOKUP(BU$14,Villagers!$B$1:$V$33,BU211+3,FALSE)),)</f>
        <v>0</v>
      </c>
      <c r="CQ211" s="14">
        <f>ROUND(IF(BV211=0,0,HLOOKUP(BV$14,Villagers!$B$1:$V$33,BV211+3,FALSE)),)</f>
        <v>0</v>
      </c>
      <c r="CR211" s="14">
        <f>ROUND(IF(BW211=0,0,HLOOKUP(BW$14,Villagers!$B$1:$V$33,BW211+3,FALSE)),)</f>
        <v>0</v>
      </c>
      <c r="CS211" s="14">
        <f>ROUND(IF(BX211=0,0,HLOOKUP(BX$14,Villagers!$B$1:$V$33,BX211+3,FALSE)),)</f>
        <v>0</v>
      </c>
      <c r="CT211" s="14">
        <f>ROUND(IF(BY211=0,0,HLOOKUP(BY$14,Villagers!$B$1:$V$33,BY211+3,FALSE)),)</f>
        <v>0</v>
      </c>
      <c r="CU211" s="14">
        <f>ROUND(IF(BZ211=0,0,HLOOKUP(BZ$14,Villagers!$B$1:$V$33,BZ211+3,FALSE)),)</f>
        <v>0</v>
      </c>
      <c r="CV211" s="14">
        <f>ROUND(IF(CA211=0,0,HLOOKUP(CA$14,Villagers!$B$1:$V$33,CA211+3,FALSE)),)</f>
        <v>0</v>
      </c>
      <c r="CW211" s="14">
        <f>ROUND(IF(CB211=0,0,HLOOKUP(CB$14,Villagers!$B$1:$V$33,CB211+3,FALSE)),)</f>
        <v>0</v>
      </c>
      <c r="CX211" s="14">
        <f>ROUND(IF(CC211=0,0,HLOOKUP(CC$14,Villagers!$B$1:$V$33,CC211+3,FALSE)),)</f>
        <v>0</v>
      </c>
      <c r="CY211" s="14">
        <f>ROUND(IF(CD211=0,0,HLOOKUP(CD$14,Villagers!$B$1:$V$33,CD211+3,FALSE)),)</f>
        <v>0</v>
      </c>
      <c r="CZ211" s="14">
        <f>ROUND(IF(CE211=0,0,HLOOKUP(CE$14,Villagers!$B$1:$V$33,CE211+3,FALSE)),)</f>
        <v>5</v>
      </c>
      <c r="DA211" s="14">
        <f>ROUND(IF(CF211=0,0,HLOOKUP(CF$14,Villagers!$B$1:$V$33,CF211+3,FALSE)),)</f>
        <v>10</v>
      </c>
      <c r="DB211" s="14">
        <f>ROUND(IF(CG211=0,0,HLOOKUP(CG$14,Villagers!$B$1:$V$33,CG211+3,FALSE)),)</f>
        <v>10</v>
      </c>
      <c r="DC211" s="14">
        <f>ROUND(IF(CH211=0,0,HLOOKUP(CH$14,Villagers!$B$1:$V$33,CH211+3,FALSE)),)</f>
        <v>0</v>
      </c>
      <c r="DD211" s="14">
        <f>ROUND(IF(CI211=0,0,HLOOKUP(CI$14,Villagers!$B$1:$V$33,CI211+3,FALSE)),)</f>
        <v>0</v>
      </c>
      <c r="DE211" s="14">
        <f>ROUND(IF(CJ211=0,0,HLOOKUP(CJ$14,Villagers!$B$1:$V$33,CJ211+3,FALSE)),)</f>
        <v>2</v>
      </c>
      <c r="DF211" s="370">
        <f>ROUND(IF(CK211=0,0,HLOOKUP(CK$14,Villagers!$B$1:$V$33,CK211+3,FALSE)),)</f>
        <v>0</v>
      </c>
      <c r="DG211" s="370">
        <f>ROUND(IF(CL211=0,0,HLOOKUP(CL$14,Villagers!$B$1:$V$33,CL211+3,FALSE)),)</f>
        <v>0</v>
      </c>
      <c r="DH211" s="34">
        <f>ROUND(IF(CM211=0,0,HLOOKUP(CM$14,Villagers!$B$1:$V$33,CM211+3,FALSE)),)</f>
        <v>0</v>
      </c>
      <c r="DI211" s="109">
        <f t="shared" si="336"/>
        <v>0</v>
      </c>
      <c r="DJ211" s="50">
        <f t="shared" si="337"/>
        <v>0</v>
      </c>
      <c r="DK211" s="50">
        <f t="shared" si="338"/>
        <v>0</v>
      </c>
      <c r="DL211" s="50">
        <f t="shared" si="339"/>
        <v>0</v>
      </c>
      <c r="DM211" s="50">
        <f t="shared" si="340"/>
        <v>0</v>
      </c>
      <c r="DN211" s="50">
        <f t="shared" si="341"/>
        <v>0</v>
      </c>
      <c r="DO211" s="50">
        <f t="shared" si="342"/>
        <v>0</v>
      </c>
      <c r="DP211" s="50">
        <f t="shared" si="343"/>
        <v>0</v>
      </c>
      <c r="DQ211" s="50">
        <f t="shared" si="321"/>
        <v>0</v>
      </c>
      <c r="DR211" s="50">
        <f t="shared" si="322"/>
        <v>0</v>
      </c>
      <c r="DS211" s="96">
        <f>Miscelaneous!$D$4*Miscelaneous!$D$2^($CI211-1)</f>
        <v>1000</v>
      </c>
      <c r="DT211" s="333">
        <f t="shared" si="303"/>
        <v>1</v>
      </c>
      <c r="DU211" s="81">
        <v>1</v>
      </c>
      <c r="DV211" s="79">
        <f t="shared" si="323"/>
        <v>0</v>
      </c>
      <c r="DW211" s="79">
        <f t="shared" si="324"/>
        <v>0</v>
      </c>
      <c r="DX211" s="79">
        <f t="shared" si="325"/>
        <v>0</v>
      </c>
      <c r="DY211" s="79">
        <v>1</v>
      </c>
      <c r="DZ211" s="79">
        <f t="shared" si="326"/>
        <v>0</v>
      </c>
      <c r="EA211" s="79">
        <f t="shared" si="327"/>
        <v>0</v>
      </c>
      <c r="EB211" s="79">
        <f t="shared" si="328"/>
        <v>0</v>
      </c>
      <c r="EC211" s="79">
        <f t="shared" si="329"/>
        <v>0</v>
      </c>
      <c r="ED211" s="79">
        <v>1</v>
      </c>
      <c r="EE211" s="79">
        <v>1</v>
      </c>
      <c r="EF211" s="79">
        <f t="shared" si="330"/>
        <v>0</v>
      </c>
      <c r="EG211" s="79">
        <v>1</v>
      </c>
      <c r="EH211" s="79">
        <v>1</v>
      </c>
      <c r="EI211" s="79">
        <v>1</v>
      </c>
      <c r="EJ211" s="79">
        <v>1</v>
      </c>
      <c r="EK211" s="79">
        <v>1</v>
      </c>
      <c r="EL211" s="79">
        <v>1</v>
      </c>
      <c r="EM211" s="143">
        <f t="shared" si="331"/>
        <v>0</v>
      </c>
      <c r="EN211" s="143">
        <f t="shared" si="332"/>
        <v>0</v>
      </c>
      <c r="EO211" s="82">
        <f t="shared" si="333"/>
        <v>0</v>
      </c>
    </row>
    <row r="212" spans="1:145" x14ac:dyDescent="0.25">
      <c r="A212">
        <v>198</v>
      </c>
      <c r="B212" s="172" t="e">
        <f t="shared" si="304"/>
        <v>#N/A</v>
      </c>
      <c r="C212" s="121" t="e">
        <f t="shared" si="283"/>
        <v>#N/A</v>
      </c>
      <c r="D212" s="122" t="e">
        <f t="shared" si="284"/>
        <v>#N/A</v>
      </c>
      <c r="E212" s="122" t="e">
        <f t="shared" si="285"/>
        <v>#N/A</v>
      </c>
      <c r="F212" s="176" t="e">
        <f t="shared" si="286"/>
        <v>#N/A</v>
      </c>
      <c r="G212" s="121">
        <f t="shared" si="305"/>
        <v>208</v>
      </c>
      <c r="H212" s="176" t="e">
        <f t="shared" si="306"/>
        <v>#N/A</v>
      </c>
      <c r="I212" s="48">
        <v>1</v>
      </c>
      <c r="J212" s="39"/>
      <c r="K212" s="350">
        <v>1</v>
      </c>
      <c r="L212" s="34" t="e">
        <f t="shared" si="287"/>
        <v>#N/A</v>
      </c>
      <c r="M212" s="38" t="e">
        <f>(HLOOKUP(J212,'Construction Times'!$B$3:$W$34,L212+2,FALSE)*HLOOKUP("hq modifier",'Construction Times'!$W$3:$W$34,BS212+2,FALSE))*(1-$H$9)</f>
        <v>#N/A</v>
      </c>
      <c r="N212" s="443" t="e">
        <f t="shared" si="307"/>
        <v>#N/A</v>
      </c>
      <c r="O212" s="444"/>
      <c r="P212" s="447" t="e">
        <f t="shared" si="308"/>
        <v>#N/A</v>
      </c>
      <c r="Q212" s="448"/>
      <c r="R212" s="103">
        <f t="shared" si="334"/>
        <v>0</v>
      </c>
      <c r="S212" s="104">
        <f t="shared" si="334"/>
        <v>0</v>
      </c>
      <c r="T212" s="104">
        <f t="shared" si="335"/>
        <v>0</v>
      </c>
      <c r="U212" s="104">
        <f t="shared" si="335"/>
        <v>0</v>
      </c>
      <c r="V212" s="104">
        <f t="shared" si="335"/>
        <v>9.9999999999999995E-8</v>
      </c>
      <c r="W212" s="104">
        <f t="shared" si="335"/>
        <v>0</v>
      </c>
      <c r="X212" s="104">
        <f t="shared" si="273"/>
        <v>0</v>
      </c>
      <c r="Y212" s="104">
        <f t="shared" si="273"/>
        <v>9.9999999999999995E-8</v>
      </c>
      <c r="Z212" s="104">
        <f t="shared" si="273"/>
        <v>9.9999999999999995E-8</v>
      </c>
      <c r="AA212" s="105">
        <f t="shared" si="273"/>
        <v>9.9999999999999995E-8</v>
      </c>
      <c r="AB212" s="101" t="e">
        <f>$DT212*HLOOKUP($J212,'Construction Costs (timber)'!$B$1:$V$32,'Construction Planner'!$L212+2,FALSE)</f>
        <v>#N/A</v>
      </c>
      <c r="AC212" s="14" t="e">
        <f>$DT212*HLOOKUP($J212,'Construction Costs (clay)'!$B$1:$V$32,'Construction Planner'!$L212+2,FALSE)</f>
        <v>#N/A</v>
      </c>
      <c r="AD212" s="14" t="e">
        <f>$DT212*HLOOKUP($J212,'Construction Costs (iron)'!$B$1:$V$32,'Construction Planner'!$L212+2,FALSE)</f>
        <v>#N/A</v>
      </c>
      <c r="AE212" s="34" t="e">
        <f t="shared" ref="AE212:AE275" si="344">SUM(AB212:AD212)</f>
        <v>#N/A</v>
      </c>
      <c r="AF212" s="33" t="e">
        <f t="shared" si="288"/>
        <v>#N/A</v>
      </c>
      <c r="AG212" s="14" t="e">
        <f t="shared" si="289"/>
        <v>#N/A</v>
      </c>
      <c r="AH212" s="14" t="e">
        <f t="shared" si="290"/>
        <v>#N/A</v>
      </c>
      <c r="AI212" s="34" t="e">
        <f t="shared" ref="AI212:AI275" si="345">SUM(AF212:AH212)</f>
        <v>#N/A</v>
      </c>
      <c r="AJ212" s="49" t="e">
        <f t="shared" si="309"/>
        <v>#N/A</v>
      </c>
      <c r="AK212" s="49" t="e">
        <f t="shared" si="310"/>
        <v>#N/A</v>
      </c>
      <c r="AL212" s="49" t="e">
        <f t="shared" si="311"/>
        <v>#N/A</v>
      </c>
      <c r="AM212" s="25">
        <f t="shared" si="291"/>
        <v>30</v>
      </c>
      <c r="AN212" s="25">
        <f t="shared" si="292"/>
        <v>30</v>
      </c>
      <c r="AO212" s="25">
        <f t="shared" si="293"/>
        <v>30</v>
      </c>
      <c r="AP212" s="52" t="e">
        <f t="shared" si="312"/>
        <v>#N/A</v>
      </c>
      <c r="AQ212" s="53" t="e">
        <f t="shared" si="312"/>
        <v>#N/A</v>
      </c>
      <c r="AR212" s="54" t="e">
        <f t="shared" si="312"/>
        <v>#N/A</v>
      </c>
      <c r="AS212" s="316">
        <f t="shared" ref="AS212:AS227" si="346">AS211</f>
        <v>0</v>
      </c>
      <c r="AT212" s="106">
        <f>_xlfn.IFNA($M212/VLOOKUP($BT212,'Unit information'!$A$2:$K$29,2,FALSE)*R212,0)*(1+$E$9)</f>
        <v>0</v>
      </c>
      <c r="AU212" s="107">
        <f>_xlfn.IFNA($M212/VLOOKUP($BT212,'Unit information'!$A$2:$K$29,3,FALSE)*S212,0)*(1+$E$9)</f>
        <v>0</v>
      </c>
      <c r="AV212" s="107">
        <f>_xlfn.IFNA($M212/VLOOKUP($BT212,'Unit information'!$A$2:$K$29,4,FALSE)*T212,0)*(1+$E$9)</f>
        <v>0</v>
      </c>
      <c r="AW212" s="107">
        <f>_xlfn.IFNA($M212/VLOOKUP($BT212,'Unit information'!$A$2:$K$29,5,FALSE)*U212,0)*(1+$E$9)</f>
        <v>0</v>
      </c>
      <c r="AX212" s="107">
        <f>_xlfn.IFNA($M212/VLOOKUP($BU212,'Unit information'!$A$2:$K$29,6,FALSE)*V212,0)*(1+$E$9)</f>
        <v>0</v>
      </c>
      <c r="AY212" s="107">
        <f>_xlfn.IFNA($M212/VLOOKUP($BU212,'Unit information'!$A$2:$K$29,7,FALSE)*W212,0)*(1+$E$9)</f>
        <v>0</v>
      </c>
      <c r="AZ212" s="107">
        <f>_xlfn.IFNA($M212/VLOOKUP($BU212,'Unit information'!$A$2:$K$29,8,FALSE)*X212,0)*(1+$E$9)</f>
        <v>0</v>
      </c>
      <c r="BA212" s="107">
        <f>_xlfn.IFNA($M212/VLOOKUP($BU212,'Unit information'!$A$2:$K$29,9,FALSE)*Y212,0)*(1+$E$9)</f>
        <v>0</v>
      </c>
      <c r="BB212" s="107">
        <f>_xlfn.IFNA($M212/VLOOKUP($BV212,'Unit information'!$A$2:$K$29,10,FALSE)*Z212,0)*(1+$E$9)</f>
        <v>0</v>
      </c>
      <c r="BC212" s="108">
        <f>_xlfn.IFNA($M212/VLOOKUP($BV212,'Unit information'!$A$2:$K$29,11,FALSE)*AA212,0)*(1+$E$9)</f>
        <v>0</v>
      </c>
      <c r="BD212" s="106">
        <f t="shared" si="294"/>
        <v>0</v>
      </c>
      <c r="BE212" s="107">
        <f t="shared" si="295"/>
        <v>0</v>
      </c>
      <c r="BF212" s="108">
        <f t="shared" si="296"/>
        <v>0</v>
      </c>
      <c r="BG212" s="25" t="e">
        <f t="shared" si="297"/>
        <v>#N/A</v>
      </c>
      <c r="BH212" s="25" t="e">
        <f t="shared" si="298"/>
        <v>#N/A</v>
      </c>
      <c r="BI212" s="25" t="e">
        <f t="shared" si="299"/>
        <v>#N/A</v>
      </c>
      <c r="BJ212" s="27" t="e">
        <f t="shared" si="300"/>
        <v>#N/A</v>
      </c>
      <c r="BK212" s="18" t="e">
        <f t="shared" si="301"/>
        <v>#N/A</v>
      </c>
      <c r="BL212" s="18" t="e">
        <f t="shared" si="302"/>
        <v>#N/A</v>
      </c>
      <c r="BM212" s="28" t="e">
        <f t="shared" ref="BM212:BM275" si="347">MAX(BJ212:BL212)</f>
        <v>#N/A</v>
      </c>
      <c r="BN212" s="33">
        <f>HLOOKUP("maximum population",Miscelaneous!$C$1:$C$33,CH212+3,FALSE)</f>
        <v>240</v>
      </c>
      <c r="BO212" s="14">
        <f t="shared" si="313"/>
        <v>32</v>
      </c>
      <c r="BP212" s="14">
        <f t="shared" si="314"/>
        <v>0</v>
      </c>
      <c r="BQ212" s="14">
        <f t="shared" si="315"/>
        <v>208</v>
      </c>
      <c r="BR212" s="34" t="e">
        <f>HLOOKUP(J212,Villagers!$B$1:$V$33,L212+3,FALSE)-HLOOKUP(J212,Villagers!$B$1:$V$33,L212+2,FALSE)</f>
        <v>#N/A</v>
      </c>
      <c r="BS212" s="49">
        <f t="shared" si="316"/>
        <v>1</v>
      </c>
      <c r="BT212" s="50">
        <f t="shared" si="317"/>
        <v>0</v>
      </c>
      <c r="BU212" s="50">
        <f t="shared" si="318"/>
        <v>0</v>
      </c>
      <c r="BV212" s="50">
        <f t="shared" si="319"/>
        <v>0</v>
      </c>
      <c r="BW212" s="50">
        <f t="shared" si="320"/>
        <v>0</v>
      </c>
      <c r="BX212" s="50">
        <f t="shared" si="320"/>
        <v>0</v>
      </c>
      <c r="BY212" s="50">
        <f t="shared" si="320"/>
        <v>0</v>
      </c>
      <c r="BZ212" s="50">
        <f t="shared" si="260"/>
        <v>0</v>
      </c>
      <c r="CA212" s="50">
        <f t="shared" si="261"/>
        <v>0</v>
      </c>
      <c r="CB212" s="50">
        <f t="shared" si="262"/>
        <v>1</v>
      </c>
      <c r="CC212" s="50">
        <f t="shared" si="263"/>
        <v>0</v>
      </c>
      <c r="CD212" s="50">
        <f t="shared" si="264"/>
        <v>0</v>
      </c>
      <c r="CE212" s="50">
        <f t="shared" si="265"/>
        <v>1</v>
      </c>
      <c r="CF212" s="50">
        <f t="shared" si="266"/>
        <v>1</v>
      </c>
      <c r="CG212" s="50">
        <f t="shared" si="267"/>
        <v>1</v>
      </c>
      <c r="CH212" s="50">
        <f t="shared" si="268"/>
        <v>1</v>
      </c>
      <c r="CI212" s="50">
        <f t="shared" si="269"/>
        <v>1</v>
      </c>
      <c r="CJ212" s="50">
        <f t="shared" si="270"/>
        <v>1</v>
      </c>
      <c r="CK212" s="50">
        <f t="shared" si="270"/>
        <v>0</v>
      </c>
      <c r="CL212" s="50">
        <f t="shared" si="270"/>
        <v>0</v>
      </c>
      <c r="CM212" s="51">
        <f t="shared" si="274"/>
        <v>0</v>
      </c>
      <c r="CN212" s="33">
        <f>ROUND(IF(BS212=0,0,HLOOKUP(BS$14,Villagers!$B$1:$V$33,BS212+3,FALSE)),)</f>
        <v>5</v>
      </c>
      <c r="CO212" s="14">
        <f>ROUND(IF(BT212=0,0,HLOOKUP(BT$14,Villagers!$B$1:$V$33,BT212+3,FALSE)),)</f>
        <v>0</v>
      </c>
      <c r="CP212" s="14">
        <f>ROUND(IF(BU212=0,0,HLOOKUP(BU$14,Villagers!$B$1:$V$33,BU212+3,FALSE)),)</f>
        <v>0</v>
      </c>
      <c r="CQ212" s="14">
        <f>ROUND(IF(BV212=0,0,HLOOKUP(BV$14,Villagers!$B$1:$V$33,BV212+3,FALSE)),)</f>
        <v>0</v>
      </c>
      <c r="CR212" s="14">
        <f>ROUND(IF(BW212=0,0,HLOOKUP(BW$14,Villagers!$B$1:$V$33,BW212+3,FALSE)),)</f>
        <v>0</v>
      </c>
      <c r="CS212" s="14">
        <f>ROUND(IF(BX212=0,0,HLOOKUP(BX$14,Villagers!$B$1:$V$33,BX212+3,FALSE)),)</f>
        <v>0</v>
      </c>
      <c r="CT212" s="14">
        <f>ROUND(IF(BY212=0,0,HLOOKUP(BY$14,Villagers!$B$1:$V$33,BY212+3,FALSE)),)</f>
        <v>0</v>
      </c>
      <c r="CU212" s="14">
        <f>ROUND(IF(BZ212=0,0,HLOOKUP(BZ$14,Villagers!$B$1:$V$33,BZ212+3,FALSE)),)</f>
        <v>0</v>
      </c>
      <c r="CV212" s="14">
        <f>ROUND(IF(CA212=0,0,HLOOKUP(CA$14,Villagers!$B$1:$V$33,CA212+3,FALSE)),)</f>
        <v>0</v>
      </c>
      <c r="CW212" s="14">
        <f>ROUND(IF(CB212=0,0,HLOOKUP(CB$14,Villagers!$B$1:$V$33,CB212+3,FALSE)),)</f>
        <v>0</v>
      </c>
      <c r="CX212" s="14">
        <f>ROUND(IF(CC212=0,0,HLOOKUP(CC$14,Villagers!$B$1:$V$33,CC212+3,FALSE)),)</f>
        <v>0</v>
      </c>
      <c r="CY212" s="14">
        <f>ROUND(IF(CD212=0,0,HLOOKUP(CD$14,Villagers!$B$1:$V$33,CD212+3,FALSE)),)</f>
        <v>0</v>
      </c>
      <c r="CZ212" s="14">
        <f>ROUND(IF(CE212=0,0,HLOOKUP(CE$14,Villagers!$B$1:$V$33,CE212+3,FALSE)),)</f>
        <v>5</v>
      </c>
      <c r="DA212" s="14">
        <f>ROUND(IF(CF212=0,0,HLOOKUP(CF$14,Villagers!$B$1:$V$33,CF212+3,FALSE)),)</f>
        <v>10</v>
      </c>
      <c r="DB212" s="14">
        <f>ROUND(IF(CG212=0,0,HLOOKUP(CG$14,Villagers!$B$1:$V$33,CG212+3,FALSE)),)</f>
        <v>10</v>
      </c>
      <c r="DC212" s="14">
        <f>ROUND(IF(CH212=0,0,HLOOKUP(CH$14,Villagers!$B$1:$V$33,CH212+3,FALSE)),)</f>
        <v>0</v>
      </c>
      <c r="DD212" s="14">
        <f>ROUND(IF(CI212=0,0,HLOOKUP(CI$14,Villagers!$B$1:$V$33,CI212+3,FALSE)),)</f>
        <v>0</v>
      </c>
      <c r="DE212" s="14">
        <f>ROUND(IF(CJ212=0,0,HLOOKUP(CJ$14,Villagers!$B$1:$V$33,CJ212+3,FALSE)),)</f>
        <v>2</v>
      </c>
      <c r="DF212" s="370">
        <f>ROUND(IF(CK212=0,0,HLOOKUP(CK$14,Villagers!$B$1:$V$33,CK212+3,FALSE)),)</f>
        <v>0</v>
      </c>
      <c r="DG212" s="370">
        <f>ROUND(IF(CL212=0,0,HLOOKUP(CL$14,Villagers!$B$1:$V$33,CL212+3,FALSE)),)</f>
        <v>0</v>
      </c>
      <c r="DH212" s="34">
        <f>ROUND(IF(CM212=0,0,HLOOKUP(CM$14,Villagers!$B$1:$V$33,CM212+3,FALSE)),)</f>
        <v>0</v>
      </c>
      <c r="DI212" s="109">
        <f t="shared" si="336"/>
        <v>0</v>
      </c>
      <c r="DJ212" s="50">
        <f t="shared" si="337"/>
        <v>0</v>
      </c>
      <c r="DK212" s="50">
        <f t="shared" si="338"/>
        <v>0</v>
      </c>
      <c r="DL212" s="50">
        <f t="shared" si="339"/>
        <v>0</v>
      </c>
      <c r="DM212" s="50">
        <f t="shared" si="340"/>
        <v>0</v>
      </c>
      <c r="DN212" s="50">
        <f t="shared" si="341"/>
        <v>0</v>
      </c>
      <c r="DO212" s="50">
        <f t="shared" si="342"/>
        <v>0</v>
      </c>
      <c r="DP212" s="50">
        <f t="shared" si="343"/>
        <v>0</v>
      </c>
      <c r="DQ212" s="50">
        <f t="shared" si="321"/>
        <v>0</v>
      </c>
      <c r="DR212" s="50">
        <f t="shared" si="322"/>
        <v>0</v>
      </c>
      <c r="DS212" s="96">
        <f>Miscelaneous!$D$4*Miscelaneous!$D$2^($CI212-1)</f>
        <v>1000</v>
      </c>
      <c r="DT212" s="333">
        <f t="shared" si="303"/>
        <v>1</v>
      </c>
      <c r="DU212" s="81">
        <v>1</v>
      </c>
      <c r="DV212" s="79">
        <f t="shared" si="323"/>
        <v>0</v>
      </c>
      <c r="DW212" s="79">
        <f t="shared" si="324"/>
        <v>0</v>
      </c>
      <c r="DX212" s="79">
        <f t="shared" si="325"/>
        <v>0</v>
      </c>
      <c r="DY212" s="79">
        <v>1</v>
      </c>
      <c r="DZ212" s="79">
        <f t="shared" si="326"/>
        <v>0</v>
      </c>
      <c r="EA212" s="79">
        <f t="shared" si="327"/>
        <v>0</v>
      </c>
      <c r="EB212" s="79">
        <f t="shared" si="328"/>
        <v>0</v>
      </c>
      <c r="EC212" s="79">
        <f t="shared" si="329"/>
        <v>0</v>
      </c>
      <c r="ED212" s="79">
        <v>1</v>
      </c>
      <c r="EE212" s="79">
        <v>1</v>
      </c>
      <c r="EF212" s="79">
        <f t="shared" si="330"/>
        <v>0</v>
      </c>
      <c r="EG212" s="79">
        <v>1</v>
      </c>
      <c r="EH212" s="79">
        <v>1</v>
      </c>
      <c r="EI212" s="79">
        <v>1</v>
      </c>
      <c r="EJ212" s="79">
        <v>1</v>
      </c>
      <c r="EK212" s="79">
        <v>1</v>
      </c>
      <c r="EL212" s="79">
        <v>1</v>
      </c>
      <c r="EM212" s="143">
        <f t="shared" si="331"/>
        <v>0</v>
      </c>
      <c r="EN212" s="143">
        <f t="shared" si="332"/>
        <v>0</v>
      </c>
      <c r="EO212" s="82">
        <f t="shared" si="333"/>
        <v>0</v>
      </c>
    </row>
    <row r="213" spans="1:145" x14ac:dyDescent="0.25">
      <c r="A213">
        <v>199</v>
      </c>
      <c r="B213" s="172" t="e">
        <f t="shared" si="304"/>
        <v>#N/A</v>
      </c>
      <c r="C213" s="121" t="e">
        <f t="shared" si="283"/>
        <v>#N/A</v>
      </c>
      <c r="D213" s="122" t="e">
        <f t="shared" si="284"/>
        <v>#N/A</v>
      </c>
      <c r="E213" s="122" t="e">
        <f t="shared" si="285"/>
        <v>#N/A</v>
      </c>
      <c r="F213" s="176" t="e">
        <f t="shared" si="286"/>
        <v>#N/A</v>
      </c>
      <c r="G213" s="121">
        <f t="shared" si="305"/>
        <v>208</v>
      </c>
      <c r="H213" s="176" t="e">
        <f t="shared" si="306"/>
        <v>#N/A</v>
      </c>
      <c r="I213" s="48">
        <v>1</v>
      </c>
      <c r="J213" s="39"/>
      <c r="K213" s="350">
        <v>1</v>
      </c>
      <c r="L213" s="34" t="e">
        <f t="shared" si="287"/>
        <v>#N/A</v>
      </c>
      <c r="M213" s="38" t="e">
        <f>(HLOOKUP(J213,'Construction Times'!$B$3:$W$34,L213+2,FALSE)*HLOOKUP("hq modifier",'Construction Times'!$W$3:$W$34,BS213+2,FALSE))*(1-$H$9)</f>
        <v>#N/A</v>
      </c>
      <c r="N213" s="443" t="e">
        <f t="shared" si="307"/>
        <v>#N/A</v>
      </c>
      <c r="O213" s="444"/>
      <c r="P213" s="447" t="e">
        <f t="shared" si="308"/>
        <v>#N/A</v>
      </c>
      <c r="Q213" s="448"/>
      <c r="R213" s="103">
        <f t="shared" si="334"/>
        <v>0</v>
      </c>
      <c r="S213" s="104">
        <f t="shared" si="334"/>
        <v>0</v>
      </c>
      <c r="T213" s="104">
        <f t="shared" si="335"/>
        <v>0</v>
      </c>
      <c r="U213" s="104">
        <f t="shared" si="335"/>
        <v>0</v>
      </c>
      <c r="V213" s="104">
        <f t="shared" si="335"/>
        <v>9.9999999999999995E-8</v>
      </c>
      <c r="W213" s="104">
        <f t="shared" si="335"/>
        <v>0</v>
      </c>
      <c r="X213" s="104">
        <f t="shared" si="273"/>
        <v>0</v>
      </c>
      <c r="Y213" s="104">
        <f t="shared" si="273"/>
        <v>9.9999999999999995E-8</v>
      </c>
      <c r="Z213" s="104">
        <f t="shared" si="273"/>
        <v>9.9999999999999995E-8</v>
      </c>
      <c r="AA213" s="105">
        <f t="shared" si="273"/>
        <v>9.9999999999999995E-8</v>
      </c>
      <c r="AB213" s="101" t="e">
        <f>$DT213*HLOOKUP($J213,'Construction Costs (timber)'!$B$1:$V$32,'Construction Planner'!$L213+2,FALSE)</f>
        <v>#N/A</v>
      </c>
      <c r="AC213" s="14" t="e">
        <f>$DT213*HLOOKUP($J213,'Construction Costs (clay)'!$B$1:$V$32,'Construction Planner'!$L213+2,FALSE)</f>
        <v>#N/A</v>
      </c>
      <c r="AD213" s="14" t="e">
        <f>$DT213*HLOOKUP($J213,'Construction Costs (iron)'!$B$1:$V$32,'Construction Planner'!$L213+2,FALSE)</f>
        <v>#N/A</v>
      </c>
      <c r="AE213" s="34" t="e">
        <f t="shared" si="344"/>
        <v>#N/A</v>
      </c>
      <c r="AF213" s="33" t="e">
        <f t="shared" si="288"/>
        <v>#N/A</v>
      </c>
      <c r="AG213" s="14" t="e">
        <f t="shared" si="289"/>
        <v>#N/A</v>
      </c>
      <c r="AH213" s="14" t="e">
        <f t="shared" si="290"/>
        <v>#N/A</v>
      </c>
      <c r="AI213" s="34" t="e">
        <f t="shared" si="345"/>
        <v>#N/A</v>
      </c>
      <c r="AJ213" s="49" t="e">
        <f t="shared" si="309"/>
        <v>#N/A</v>
      </c>
      <c r="AK213" s="49" t="e">
        <f t="shared" si="310"/>
        <v>#N/A</v>
      </c>
      <c r="AL213" s="49" t="e">
        <f t="shared" si="311"/>
        <v>#N/A</v>
      </c>
      <c r="AM213" s="25">
        <f t="shared" si="291"/>
        <v>30</v>
      </c>
      <c r="AN213" s="25">
        <f t="shared" si="292"/>
        <v>30</v>
      </c>
      <c r="AO213" s="25">
        <f t="shared" si="293"/>
        <v>30</v>
      </c>
      <c r="AP213" s="52" t="e">
        <f t="shared" si="312"/>
        <v>#N/A</v>
      </c>
      <c r="AQ213" s="53" t="e">
        <f t="shared" si="312"/>
        <v>#N/A</v>
      </c>
      <c r="AR213" s="54" t="e">
        <f t="shared" si="312"/>
        <v>#N/A</v>
      </c>
      <c r="AS213" s="316">
        <f t="shared" si="346"/>
        <v>0</v>
      </c>
      <c r="AT213" s="106">
        <f>_xlfn.IFNA($M213/VLOOKUP($BT213,'Unit information'!$A$2:$K$29,2,FALSE)*R213,0)*(1+$E$9)</f>
        <v>0</v>
      </c>
      <c r="AU213" s="107">
        <f>_xlfn.IFNA($M213/VLOOKUP($BT213,'Unit information'!$A$2:$K$29,3,FALSE)*S213,0)*(1+$E$9)</f>
        <v>0</v>
      </c>
      <c r="AV213" s="107">
        <f>_xlfn.IFNA($M213/VLOOKUP($BT213,'Unit information'!$A$2:$K$29,4,FALSE)*T213,0)*(1+$E$9)</f>
        <v>0</v>
      </c>
      <c r="AW213" s="107">
        <f>_xlfn.IFNA($M213/VLOOKUP($BT213,'Unit information'!$A$2:$K$29,5,FALSE)*U213,0)*(1+$E$9)</f>
        <v>0</v>
      </c>
      <c r="AX213" s="107">
        <f>_xlfn.IFNA($M213/VLOOKUP($BU213,'Unit information'!$A$2:$K$29,6,FALSE)*V213,0)*(1+$E$9)</f>
        <v>0</v>
      </c>
      <c r="AY213" s="107">
        <f>_xlfn.IFNA($M213/VLOOKUP($BU213,'Unit information'!$A$2:$K$29,7,FALSE)*W213,0)*(1+$E$9)</f>
        <v>0</v>
      </c>
      <c r="AZ213" s="107">
        <f>_xlfn.IFNA($M213/VLOOKUP($BU213,'Unit information'!$A$2:$K$29,8,FALSE)*X213,0)*(1+$E$9)</f>
        <v>0</v>
      </c>
      <c r="BA213" s="107">
        <f>_xlfn.IFNA($M213/VLOOKUP($BU213,'Unit information'!$A$2:$K$29,9,FALSE)*Y213,0)*(1+$E$9)</f>
        <v>0</v>
      </c>
      <c r="BB213" s="107">
        <f>_xlfn.IFNA($M213/VLOOKUP($BV213,'Unit information'!$A$2:$K$29,10,FALSE)*Z213,0)*(1+$E$9)</f>
        <v>0</v>
      </c>
      <c r="BC213" s="108">
        <f>_xlfn.IFNA($M213/VLOOKUP($BV213,'Unit information'!$A$2:$K$29,11,FALSE)*AA213,0)*(1+$E$9)</f>
        <v>0</v>
      </c>
      <c r="BD213" s="106">
        <f t="shared" si="294"/>
        <v>0</v>
      </c>
      <c r="BE213" s="107">
        <f t="shared" si="295"/>
        <v>0</v>
      </c>
      <c r="BF213" s="108">
        <f t="shared" si="296"/>
        <v>0</v>
      </c>
      <c r="BG213" s="25" t="e">
        <f t="shared" si="297"/>
        <v>#N/A</v>
      </c>
      <c r="BH213" s="25" t="e">
        <f t="shared" si="298"/>
        <v>#N/A</v>
      </c>
      <c r="BI213" s="25" t="e">
        <f t="shared" si="299"/>
        <v>#N/A</v>
      </c>
      <c r="BJ213" s="27" t="e">
        <f t="shared" si="300"/>
        <v>#N/A</v>
      </c>
      <c r="BK213" s="18" t="e">
        <f t="shared" si="301"/>
        <v>#N/A</v>
      </c>
      <c r="BL213" s="18" t="e">
        <f t="shared" si="302"/>
        <v>#N/A</v>
      </c>
      <c r="BM213" s="28" t="e">
        <f t="shared" si="347"/>
        <v>#N/A</v>
      </c>
      <c r="BN213" s="33">
        <f>HLOOKUP("maximum population",Miscelaneous!$C$1:$C$33,CH213+3,FALSE)</f>
        <v>240</v>
      </c>
      <c r="BO213" s="14">
        <f t="shared" si="313"/>
        <v>32</v>
      </c>
      <c r="BP213" s="14">
        <f t="shared" si="314"/>
        <v>0</v>
      </c>
      <c r="BQ213" s="14">
        <f t="shared" si="315"/>
        <v>208</v>
      </c>
      <c r="BR213" s="34" t="e">
        <f>HLOOKUP(J213,Villagers!$B$1:$V$33,L213+3,FALSE)-HLOOKUP(J213,Villagers!$B$1:$V$33,L213+2,FALSE)</f>
        <v>#N/A</v>
      </c>
      <c r="BS213" s="49">
        <f t="shared" si="316"/>
        <v>1</v>
      </c>
      <c r="BT213" s="50">
        <f t="shared" si="317"/>
        <v>0</v>
      </c>
      <c r="BU213" s="50">
        <f t="shared" si="318"/>
        <v>0</v>
      </c>
      <c r="BV213" s="50">
        <f t="shared" si="319"/>
        <v>0</v>
      </c>
      <c r="BW213" s="50">
        <f t="shared" si="320"/>
        <v>0</v>
      </c>
      <c r="BX213" s="50">
        <f t="shared" si="320"/>
        <v>0</v>
      </c>
      <c r="BY213" s="50">
        <f t="shared" si="320"/>
        <v>0</v>
      </c>
      <c r="BZ213" s="50">
        <f t="shared" si="260"/>
        <v>0</v>
      </c>
      <c r="CA213" s="50">
        <f t="shared" si="261"/>
        <v>0</v>
      </c>
      <c r="CB213" s="50">
        <f t="shared" si="262"/>
        <v>1</v>
      </c>
      <c r="CC213" s="50">
        <f t="shared" si="263"/>
        <v>0</v>
      </c>
      <c r="CD213" s="50">
        <f t="shared" si="264"/>
        <v>0</v>
      </c>
      <c r="CE213" s="50">
        <f t="shared" si="265"/>
        <v>1</v>
      </c>
      <c r="CF213" s="50">
        <f t="shared" si="266"/>
        <v>1</v>
      </c>
      <c r="CG213" s="50">
        <f t="shared" si="267"/>
        <v>1</v>
      </c>
      <c r="CH213" s="50">
        <f t="shared" si="268"/>
        <v>1</v>
      </c>
      <c r="CI213" s="50">
        <f t="shared" si="269"/>
        <v>1</v>
      </c>
      <c r="CJ213" s="50">
        <f t="shared" si="270"/>
        <v>1</v>
      </c>
      <c r="CK213" s="50">
        <f t="shared" si="270"/>
        <v>0</v>
      </c>
      <c r="CL213" s="50">
        <f t="shared" si="270"/>
        <v>0</v>
      </c>
      <c r="CM213" s="51">
        <f t="shared" si="274"/>
        <v>0</v>
      </c>
      <c r="CN213" s="33">
        <f>ROUND(IF(BS213=0,0,HLOOKUP(BS$14,Villagers!$B$1:$V$33,BS213+3,FALSE)),)</f>
        <v>5</v>
      </c>
      <c r="CO213" s="14">
        <f>ROUND(IF(BT213=0,0,HLOOKUP(BT$14,Villagers!$B$1:$V$33,BT213+3,FALSE)),)</f>
        <v>0</v>
      </c>
      <c r="CP213" s="14">
        <f>ROUND(IF(BU213=0,0,HLOOKUP(BU$14,Villagers!$B$1:$V$33,BU213+3,FALSE)),)</f>
        <v>0</v>
      </c>
      <c r="CQ213" s="14">
        <f>ROUND(IF(BV213=0,0,HLOOKUP(BV$14,Villagers!$B$1:$V$33,BV213+3,FALSE)),)</f>
        <v>0</v>
      </c>
      <c r="CR213" s="14">
        <f>ROUND(IF(BW213=0,0,HLOOKUP(BW$14,Villagers!$B$1:$V$33,BW213+3,FALSE)),)</f>
        <v>0</v>
      </c>
      <c r="CS213" s="14">
        <f>ROUND(IF(BX213=0,0,HLOOKUP(BX$14,Villagers!$B$1:$V$33,BX213+3,FALSE)),)</f>
        <v>0</v>
      </c>
      <c r="CT213" s="14">
        <f>ROUND(IF(BY213=0,0,HLOOKUP(BY$14,Villagers!$B$1:$V$33,BY213+3,FALSE)),)</f>
        <v>0</v>
      </c>
      <c r="CU213" s="14">
        <f>ROUND(IF(BZ213=0,0,HLOOKUP(BZ$14,Villagers!$B$1:$V$33,BZ213+3,FALSE)),)</f>
        <v>0</v>
      </c>
      <c r="CV213" s="14">
        <f>ROUND(IF(CA213=0,0,HLOOKUP(CA$14,Villagers!$B$1:$V$33,CA213+3,FALSE)),)</f>
        <v>0</v>
      </c>
      <c r="CW213" s="14">
        <f>ROUND(IF(CB213=0,0,HLOOKUP(CB$14,Villagers!$B$1:$V$33,CB213+3,FALSE)),)</f>
        <v>0</v>
      </c>
      <c r="CX213" s="14">
        <f>ROUND(IF(CC213=0,0,HLOOKUP(CC$14,Villagers!$B$1:$V$33,CC213+3,FALSE)),)</f>
        <v>0</v>
      </c>
      <c r="CY213" s="14">
        <f>ROUND(IF(CD213=0,0,HLOOKUP(CD$14,Villagers!$B$1:$V$33,CD213+3,FALSE)),)</f>
        <v>0</v>
      </c>
      <c r="CZ213" s="14">
        <f>ROUND(IF(CE213=0,0,HLOOKUP(CE$14,Villagers!$B$1:$V$33,CE213+3,FALSE)),)</f>
        <v>5</v>
      </c>
      <c r="DA213" s="14">
        <f>ROUND(IF(CF213=0,0,HLOOKUP(CF$14,Villagers!$B$1:$V$33,CF213+3,FALSE)),)</f>
        <v>10</v>
      </c>
      <c r="DB213" s="14">
        <f>ROUND(IF(CG213=0,0,HLOOKUP(CG$14,Villagers!$B$1:$V$33,CG213+3,FALSE)),)</f>
        <v>10</v>
      </c>
      <c r="DC213" s="14">
        <f>ROUND(IF(CH213=0,0,HLOOKUP(CH$14,Villagers!$B$1:$V$33,CH213+3,FALSE)),)</f>
        <v>0</v>
      </c>
      <c r="DD213" s="14">
        <f>ROUND(IF(CI213=0,0,HLOOKUP(CI$14,Villagers!$B$1:$V$33,CI213+3,FALSE)),)</f>
        <v>0</v>
      </c>
      <c r="DE213" s="14">
        <f>ROUND(IF(CJ213=0,0,HLOOKUP(CJ$14,Villagers!$B$1:$V$33,CJ213+3,FALSE)),)</f>
        <v>2</v>
      </c>
      <c r="DF213" s="370">
        <f>ROUND(IF(CK213=0,0,HLOOKUP(CK$14,Villagers!$B$1:$V$33,CK213+3,FALSE)),)</f>
        <v>0</v>
      </c>
      <c r="DG213" s="370">
        <f>ROUND(IF(CL213=0,0,HLOOKUP(CL$14,Villagers!$B$1:$V$33,CL213+3,FALSE)),)</f>
        <v>0</v>
      </c>
      <c r="DH213" s="34">
        <f>ROUND(IF(CM213=0,0,HLOOKUP(CM$14,Villagers!$B$1:$V$33,CM213+3,FALSE)),)</f>
        <v>0</v>
      </c>
      <c r="DI213" s="109">
        <f t="shared" si="336"/>
        <v>0</v>
      </c>
      <c r="DJ213" s="50">
        <f t="shared" si="337"/>
        <v>0</v>
      </c>
      <c r="DK213" s="50">
        <f t="shared" si="338"/>
        <v>0</v>
      </c>
      <c r="DL213" s="50">
        <f t="shared" si="339"/>
        <v>0</v>
      </c>
      <c r="DM213" s="50">
        <f t="shared" si="340"/>
        <v>0</v>
      </c>
      <c r="DN213" s="50">
        <f t="shared" si="341"/>
        <v>0</v>
      </c>
      <c r="DO213" s="50">
        <f t="shared" si="342"/>
        <v>0</v>
      </c>
      <c r="DP213" s="50">
        <f t="shared" si="343"/>
        <v>0</v>
      </c>
      <c r="DQ213" s="50">
        <f t="shared" si="321"/>
        <v>0</v>
      </c>
      <c r="DR213" s="50">
        <f t="shared" si="322"/>
        <v>0</v>
      </c>
      <c r="DS213" s="96">
        <f>Miscelaneous!$D$4*Miscelaneous!$D$2^($CI213-1)</f>
        <v>1000</v>
      </c>
      <c r="DT213" s="333">
        <f t="shared" si="303"/>
        <v>1</v>
      </c>
      <c r="DU213" s="81">
        <v>1</v>
      </c>
      <c r="DV213" s="79">
        <f t="shared" si="323"/>
        <v>0</v>
      </c>
      <c r="DW213" s="79">
        <f t="shared" si="324"/>
        <v>0</v>
      </c>
      <c r="DX213" s="79">
        <f t="shared" si="325"/>
        <v>0</v>
      </c>
      <c r="DY213" s="79">
        <v>1</v>
      </c>
      <c r="DZ213" s="79">
        <f t="shared" si="326"/>
        <v>0</v>
      </c>
      <c r="EA213" s="79">
        <f t="shared" si="327"/>
        <v>0</v>
      </c>
      <c r="EB213" s="79">
        <f t="shared" si="328"/>
        <v>0</v>
      </c>
      <c r="EC213" s="79">
        <f t="shared" si="329"/>
        <v>0</v>
      </c>
      <c r="ED213" s="79">
        <v>1</v>
      </c>
      <c r="EE213" s="79">
        <v>1</v>
      </c>
      <c r="EF213" s="79">
        <f t="shared" si="330"/>
        <v>0</v>
      </c>
      <c r="EG213" s="79">
        <v>1</v>
      </c>
      <c r="EH213" s="79">
        <v>1</v>
      </c>
      <c r="EI213" s="79">
        <v>1</v>
      </c>
      <c r="EJ213" s="79">
        <v>1</v>
      </c>
      <c r="EK213" s="79">
        <v>1</v>
      </c>
      <c r="EL213" s="79">
        <v>1</v>
      </c>
      <c r="EM213" s="143">
        <f t="shared" si="331"/>
        <v>0</v>
      </c>
      <c r="EN213" s="143">
        <f t="shared" si="332"/>
        <v>0</v>
      </c>
      <c r="EO213" s="82">
        <f t="shared" si="333"/>
        <v>0</v>
      </c>
    </row>
    <row r="214" spans="1:145" x14ac:dyDescent="0.25">
      <c r="A214">
        <v>200</v>
      </c>
      <c r="B214" s="172" t="e">
        <f t="shared" si="304"/>
        <v>#N/A</v>
      </c>
      <c r="C214" s="121" t="e">
        <f t="shared" si="283"/>
        <v>#N/A</v>
      </c>
      <c r="D214" s="122" t="e">
        <f t="shared" si="284"/>
        <v>#N/A</v>
      </c>
      <c r="E214" s="122" t="e">
        <f t="shared" si="285"/>
        <v>#N/A</v>
      </c>
      <c r="F214" s="176" t="e">
        <f t="shared" si="286"/>
        <v>#N/A</v>
      </c>
      <c r="G214" s="121">
        <f t="shared" si="305"/>
        <v>208</v>
      </c>
      <c r="H214" s="176" t="e">
        <f t="shared" si="306"/>
        <v>#N/A</v>
      </c>
      <c r="I214" s="48">
        <v>1</v>
      </c>
      <c r="J214" s="39"/>
      <c r="K214" s="350">
        <v>1</v>
      </c>
      <c r="L214" s="34" t="e">
        <f t="shared" si="287"/>
        <v>#N/A</v>
      </c>
      <c r="M214" s="38" t="e">
        <f>(HLOOKUP(J214,'Construction Times'!$B$3:$W$34,L214+2,FALSE)*HLOOKUP("hq modifier",'Construction Times'!$W$3:$W$34,BS214+2,FALSE))*(1-$H$9)</f>
        <v>#N/A</v>
      </c>
      <c r="N214" s="443" t="e">
        <f t="shared" si="307"/>
        <v>#N/A</v>
      </c>
      <c r="O214" s="444"/>
      <c r="P214" s="447" t="e">
        <f t="shared" si="308"/>
        <v>#N/A</v>
      </c>
      <c r="Q214" s="448"/>
      <c r="R214" s="103">
        <f t="shared" si="334"/>
        <v>0</v>
      </c>
      <c r="S214" s="104">
        <f t="shared" si="334"/>
        <v>0</v>
      </c>
      <c r="T214" s="104">
        <f t="shared" si="335"/>
        <v>0</v>
      </c>
      <c r="U214" s="104">
        <f t="shared" si="335"/>
        <v>0</v>
      </c>
      <c r="V214" s="104">
        <f t="shared" si="335"/>
        <v>9.9999999999999995E-8</v>
      </c>
      <c r="W214" s="104">
        <f t="shared" si="335"/>
        <v>0</v>
      </c>
      <c r="X214" s="104">
        <f t="shared" si="273"/>
        <v>0</v>
      </c>
      <c r="Y214" s="104">
        <f t="shared" si="273"/>
        <v>9.9999999999999995E-8</v>
      </c>
      <c r="Z214" s="104">
        <f t="shared" si="273"/>
        <v>9.9999999999999995E-8</v>
      </c>
      <c r="AA214" s="105">
        <f t="shared" si="273"/>
        <v>9.9999999999999995E-8</v>
      </c>
      <c r="AB214" s="101" t="e">
        <f>$DT214*HLOOKUP($J214,'Construction Costs (timber)'!$B$1:$V$32,'Construction Planner'!$L214+2,FALSE)</f>
        <v>#N/A</v>
      </c>
      <c r="AC214" s="14" t="e">
        <f>$DT214*HLOOKUP($J214,'Construction Costs (clay)'!$B$1:$V$32,'Construction Planner'!$L214+2,FALSE)</f>
        <v>#N/A</v>
      </c>
      <c r="AD214" s="14" t="e">
        <f>$DT214*HLOOKUP($J214,'Construction Costs (iron)'!$B$1:$V$32,'Construction Planner'!$L214+2,FALSE)</f>
        <v>#N/A</v>
      </c>
      <c r="AE214" s="34" t="e">
        <f t="shared" si="344"/>
        <v>#N/A</v>
      </c>
      <c r="AF214" s="33" t="e">
        <f t="shared" si="288"/>
        <v>#N/A</v>
      </c>
      <c r="AG214" s="14" t="e">
        <f t="shared" si="289"/>
        <v>#N/A</v>
      </c>
      <c r="AH214" s="14" t="e">
        <f t="shared" si="290"/>
        <v>#N/A</v>
      </c>
      <c r="AI214" s="34" t="e">
        <f t="shared" si="345"/>
        <v>#N/A</v>
      </c>
      <c r="AJ214" s="49" t="e">
        <f t="shared" si="309"/>
        <v>#N/A</v>
      </c>
      <c r="AK214" s="49" t="e">
        <f t="shared" si="310"/>
        <v>#N/A</v>
      </c>
      <c r="AL214" s="49" t="e">
        <f t="shared" si="311"/>
        <v>#N/A</v>
      </c>
      <c r="AM214" s="25">
        <f t="shared" si="291"/>
        <v>30</v>
      </c>
      <c r="AN214" s="25">
        <f t="shared" si="292"/>
        <v>30</v>
      </c>
      <c r="AO214" s="25">
        <f t="shared" si="293"/>
        <v>30</v>
      </c>
      <c r="AP214" s="52" t="e">
        <f t="shared" si="312"/>
        <v>#N/A</v>
      </c>
      <c r="AQ214" s="53" t="e">
        <f t="shared" si="312"/>
        <v>#N/A</v>
      </c>
      <c r="AR214" s="54" t="e">
        <f t="shared" si="312"/>
        <v>#N/A</v>
      </c>
      <c r="AS214" s="316">
        <f t="shared" si="346"/>
        <v>0</v>
      </c>
      <c r="AT214" s="106">
        <f>_xlfn.IFNA($M214/VLOOKUP($BT214,'Unit information'!$A$2:$K$29,2,FALSE)*R214,0)*(1+$E$9)</f>
        <v>0</v>
      </c>
      <c r="AU214" s="107">
        <f>_xlfn.IFNA($M214/VLOOKUP($BT214,'Unit information'!$A$2:$K$29,3,FALSE)*S214,0)*(1+$E$9)</f>
        <v>0</v>
      </c>
      <c r="AV214" s="107">
        <f>_xlfn.IFNA($M214/VLOOKUP($BT214,'Unit information'!$A$2:$K$29,4,FALSE)*T214,0)*(1+$E$9)</f>
        <v>0</v>
      </c>
      <c r="AW214" s="107">
        <f>_xlfn.IFNA($M214/VLOOKUP($BT214,'Unit information'!$A$2:$K$29,5,FALSE)*U214,0)*(1+$E$9)</f>
        <v>0</v>
      </c>
      <c r="AX214" s="107">
        <f>_xlfn.IFNA($M214/VLOOKUP($BU214,'Unit information'!$A$2:$K$29,6,FALSE)*V214,0)*(1+$E$9)</f>
        <v>0</v>
      </c>
      <c r="AY214" s="107">
        <f>_xlfn.IFNA($M214/VLOOKUP($BU214,'Unit information'!$A$2:$K$29,7,FALSE)*W214,0)*(1+$E$9)</f>
        <v>0</v>
      </c>
      <c r="AZ214" s="107">
        <f>_xlfn.IFNA($M214/VLOOKUP($BU214,'Unit information'!$A$2:$K$29,8,FALSE)*X214,0)*(1+$E$9)</f>
        <v>0</v>
      </c>
      <c r="BA214" s="107">
        <f>_xlfn.IFNA($M214/VLOOKUP($BU214,'Unit information'!$A$2:$K$29,9,FALSE)*Y214,0)*(1+$E$9)</f>
        <v>0</v>
      </c>
      <c r="BB214" s="107">
        <f>_xlfn.IFNA($M214/VLOOKUP($BV214,'Unit information'!$A$2:$K$29,10,FALSE)*Z214,0)*(1+$E$9)</f>
        <v>0</v>
      </c>
      <c r="BC214" s="108">
        <f>_xlfn.IFNA($M214/VLOOKUP($BV214,'Unit information'!$A$2:$K$29,11,FALSE)*AA214,0)*(1+$E$9)</f>
        <v>0</v>
      </c>
      <c r="BD214" s="106">
        <f t="shared" si="294"/>
        <v>0</v>
      </c>
      <c r="BE214" s="107">
        <f t="shared" si="295"/>
        <v>0</v>
      </c>
      <c r="BF214" s="108">
        <f t="shared" si="296"/>
        <v>0</v>
      </c>
      <c r="BG214" s="25" t="e">
        <f t="shared" si="297"/>
        <v>#N/A</v>
      </c>
      <c r="BH214" s="25" t="e">
        <f t="shared" si="298"/>
        <v>#N/A</v>
      </c>
      <c r="BI214" s="25" t="e">
        <f t="shared" si="299"/>
        <v>#N/A</v>
      </c>
      <c r="BJ214" s="27" t="e">
        <f t="shared" si="300"/>
        <v>#N/A</v>
      </c>
      <c r="BK214" s="18" t="e">
        <f t="shared" si="301"/>
        <v>#N/A</v>
      </c>
      <c r="BL214" s="18" t="e">
        <f t="shared" si="302"/>
        <v>#N/A</v>
      </c>
      <c r="BM214" s="28" t="e">
        <f t="shared" si="347"/>
        <v>#N/A</v>
      </c>
      <c r="BN214" s="33">
        <f>HLOOKUP("maximum population",Miscelaneous!$C$1:$C$33,CH214+3,FALSE)</f>
        <v>240</v>
      </c>
      <c r="BO214" s="14">
        <f t="shared" si="313"/>
        <v>32</v>
      </c>
      <c r="BP214" s="14">
        <f t="shared" si="314"/>
        <v>0</v>
      </c>
      <c r="BQ214" s="14">
        <f t="shared" si="315"/>
        <v>208</v>
      </c>
      <c r="BR214" s="34" t="e">
        <f>HLOOKUP(J214,Villagers!$B$1:$V$33,L214+3,FALSE)-HLOOKUP(J214,Villagers!$B$1:$V$33,L214+2,FALSE)</f>
        <v>#N/A</v>
      </c>
      <c r="BS214" s="49">
        <f t="shared" si="316"/>
        <v>1</v>
      </c>
      <c r="BT214" s="50">
        <f t="shared" si="317"/>
        <v>0</v>
      </c>
      <c r="BU214" s="50">
        <f t="shared" si="318"/>
        <v>0</v>
      </c>
      <c r="BV214" s="50">
        <f t="shared" si="319"/>
        <v>0</v>
      </c>
      <c r="BW214" s="50">
        <f t="shared" si="320"/>
        <v>0</v>
      </c>
      <c r="BX214" s="50">
        <f t="shared" si="320"/>
        <v>0</v>
      </c>
      <c r="BY214" s="50">
        <f t="shared" si="320"/>
        <v>0</v>
      </c>
      <c r="BZ214" s="50">
        <f t="shared" si="260"/>
        <v>0</v>
      </c>
      <c r="CA214" s="50">
        <f t="shared" si="261"/>
        <v>0</v>
      </c>
      <c r="CB214" s="50">
        <f t="shared" si="262"/>
        <v>1</v>
      </c>
      <c r="CC214" s="50">
        <f t="shared" si="263"/>
        <v>0</v>
      </c>
      <c r="CD214" s="50">
        <f t="shared" si="264"/>
        <v>0</v>
      </c>
      <c r="CE214" s="50">
        <f t="shared" si="265"/>
        <v>1</v>
      </c>
      <c r="CF214" s="50">
        <f t="shared" si="266"/>
        <v>1</v>
      </c>
      <c r="CG214" s="50">
        <f t="shared" si="267"/>
        <v>1</v>
      </c>
      <c r="CH214" s="50">
        <f t="shared" si="268"/>
        <v>1</v>
      </c>
      <c r="CI214" s="50">
        <f t="shared" si="269"/>
        <v>1</v>
      </c>
      <c r="CJ214" s="50">
        <f t="shared" si="270"/>
        <v>1</v>
      </c>
      <c r="CK214" s="50">
        <f t="shared" si="270"/>
        <v>0</v>
      </c>
      <c r="CL214" s="50">
        <f t="shared" si="270"/>
        <v>0</v>
      </c>
      <c r="CM214" s="51">
        <f t="shared" si="274"/>
        <v>0</v>
      </c>
      <c r="CN214" s="33">
        <f>ROUND(IF(BS214=0,0,HLOOKUP(BS$14,Villagers!$B$1:$V$33,BS214+3,FALSE)),)</f>
        <v>5</v>
      </c>
      <c r="CO214" s="14">
        <f>ROUND(IF(BT214=0,0,HLOOKUP(BT$14,Villagers!$B$1:$V$33,BT214+3,FALSE)),)</f>
        <v>0</v>
      </c>
      <c r="CP214" s="14">
        <f>ROUND(IF(BU214=0,0,HLOOKUP(BU$14,Villagers!$B$1:$V$33,BU214+3,FALSE)),)</f>
        <v>0</v>
      </c>
      <c r="CQ214" s="14">
        <f>ROUND(IF(BV214=0,0,HLOOKUP(BV$14,Villagers!$B$1:$V$33,BV214+3,FALSE)),)</f>
        <v>0</v>
      </c>
      <c r="CR214" s="14">
        <f>ROUND(IF(BW214=0,0,HLOOKUP(BW$14,Villagers!$B$1:$V$33,BW214+3,FALSE)),)</f>
        <v>0</v>
      </c>
      <c r="CS214" s="14">
        <f>ROUND(IF(BX214=0,0,HLOOKUP(BX$14,Villagers!$B$1:$V$33,BX214+3,FALSE)),)</f>
        <v>0</v>
      </c>
      <c r="CT214" s="14">
        <f>ROUND(IF(BY214=0,0,HLOOKUP(BY$14,Villagers!$B$1:$V$33,BY214+3,FALSE)),)</f>
        <v>0</v>
      </c>
      <c r="CU214" s="14">
        <f>ROUND(IF(BZ214=0,0,HLOOKUP(BZ$14,Villagers!$B$1:$V$33,BZ214+3,FALSE)),)</f>
        <v>0</v>
      </c>
      <c r="CV214" s="14">
        <f>ROUND(IF(CA214=0,0,HLOOKUP(CA$14,Villagers!$B$1:$V$33,CA214+3,FALSE)),)</f>
        <v>0</v>
      </c>
      <c r="CW214" s="14">
        <f>ROUND(IF(CB214=0,0,HLOOKUP(CB$14,Villagers!$B$1:$V$33,CB214+3,FALSE)),)</f>
        <v>0</v>
      </c>
      <c r="CX214" s="14">
        <f>ROUND(IF(CC214=0,0,HLOOKUP(CC$14,Villagers!$B$1:$V$33,CC214+3,FALSE)),)</f>
        <v>0</v>
      </c>
      <c r="CY214" s="14">
        <f>ROUND(IF(CD214=0,0,HLOOKUP(CD$14,Villagers!$B$1:$V$33,CD214+3,FALSE)),)</f>
        <v>0</v>
      </c>
      <c r="CZ214" s="14">
        <f>ROUND(IF(CE214=0,0,HLOOKUP(CE$14,Villagers!$B$1:$V$33,CE214+3,FALSE)),)</f>
        <v>5</v>
      </c>
      <c r="DA214" s="14">
        <f>ROUND(IF(CF214=0,0,HLOOKUP(CF$14,Villagers!$B$1:$V$33,CF214+3,FALSE)),)</f>
        <v>10</v>
      </c>
      <c r="DB214" s="14">
        <f>ROUND(IF(CG214=0,0,HLOOKUP(CG$14,Villagers!$B$1:$V$33,CG214+3,FALSE)),)</f>
        <v>10</v>
      </c>
      <c r="DC214" s="14">
        <f>ROUND(IF(CH214=0,0,HLOOKUP(CH$14,Villagers!$B$1:$V$33,CH214+3,FALSE)),)</f>
        <v>0</v>
      </c>
      <c r="DD214" s="14">
        <f>ROUND(IF(CI214=0,0,HLOOKUP(CI$14,Villagers!$B$1:$V$33,CI214+3,FALSE)),)</f>
        <v>0</v>
      </c>
      <c r="DE214" s="14">
        <f>ROUND(IF(CJ214=0,0,HLOOKUP(CJ$14,Villagers!$B$1:$V$33,CJ214+3,FALSE)),)</f>
        <v>2</v>
      </c>
      <c r="DF214" s="370">
        <f>ROUND(IF(CK214=0,0,HLOOKUP(CK$14,Villagers!$B$1:$V$33,CK214+3,FALSE)),)</f>
        <v>0</v>
      </c>
      <c r="DG214" s="370">
        <f>ROUND(IF(CL214=0,0,HLOOKUP(CL$14,Villagers!$B$1:$V$33,CL214+3,FALSE)),)</f>
        <v>0</v>
      </c>
      <c r="DH214" s="34">
        <f>ROUND(IF(CM214=0,0,HLOOKUP(CM$14,Villagers!$B$1:$V$33,CM214+3,FALSE)),)</f>
        <v>0</v>
      </c>
      <c r="DI214" s="109">
        <f t="shared" si="336"/>
        <v>0</v>
      </c>
      <c r="DJ214" s="50">
        <f t="shared" si="337"/>
        <v>0</v>
      </c>
      <c r="DK214" s="50">
        <f t="shared" si="338"/>
        <v>0</v>
      </c>
      <c r="DL214" s="50">
        <f t="shared" si="339"/>
        <v>0</v>
      </c>
      <c r="DM214" s="50">
        <f t="shared" si="340"/>
        <v>0</v>
      </c>
      <c r="DN214" s="50">
        <f t="shared" si="341"/>
        <v>0</v>
      </c>
      <c r="DO214" s="50">
        <f t="shared" si="342"/>
        <v>0</v>
      </c>
      <c r="DP214" s="50">
        <f t="shared" si="343"/>
        <v>0</v>
      </c>
      <c r="DQ214" s="50">
        <f t="shared" si="321"/>
        <v>0</v>
      </c>
      <c r="DR214" s="50">
        <f t="shared" si="322"/>
        <v>0</v>
      </c>
      <c r="DS214" s="96">
        <f>Miscelaneous!$D$4*Miscelaneous!$D$2^($CI214-1)</f>
        <v>1000</v>
      </c>
      <c r="DT214" s="333">
        <f t="shared" si="303"/>
        <v>1</v>
      </c>
      <c r="DU214" s="81">
        <v>1</v>
      </c>
      <c r="DV214" s="79">
        <f t="shared" si="323"/>
        <v>0</v>
      </c>
      <c r="DW214" s="79">
        <f t="shared" si="324"/>
        <v>0</v>
      </c>
      <c r="DX214" s="79">
        <f t="shared" si="325"/>
        <v>0</v>
      </c>
      <c r="DY214" s="79">
        <v>1</v>
      </c>
      <c r="DZ214" s="79">
        <f t="shared" si="326"/>
        <v>0</v>
      </c>
      <c r="EA214" s="79">
        <f t="shared" si="327"/>
        <v>0</v>
      </c>
      <c r="EB214" s="79">
        <f t="shared" si="328"/>
        <v>0</v>
      </c>
      <c r="EC214" s="79">
        <f t="shared" si="329"/>
        <v>0</v>
      </c>
      <c r="ED214" s="79">
        <v>1</v>
      </c>
      <c r="EE214" s="79">
        <v>1</v>
      </c>
      <c r="EF214" s="79">
        <f t="shared" si="330"/>
        <v>0</v>
      </c>
      <c r="EG214" s="79">
        <v>1</v>
      </c>
      <c r="EH214" s="79">
        <v>1</v>
      </c>
      <c r="EI214" s="79">
        <v>1</v>
      </c>
      <c r="EJ214" s="79">
        <v>1</v>
      </c>
      <c r="EK214" s="79">
        <v>1</v>
      </c>
      <c r="EL214" s="79">
        <v>1</v>
      </c>
      <c r="EM214" s="143">
        <f t="shared" si="331"/>
        <v>0</v>
      </c>
      <c r="EN214" s="143">
        <f t="shared" si="332"/>
        <v>0</v>
      </c>
      <c r="EO214" s="82">
        <f t="shared" si="333"/>
        <v>0</v>
      </c>
    </row>
    <row r="215" spans="1:145" x14ac:dyDescent="0.25">
      <c r="A215">
        <v>201</v>
      </c>
      <c r="B215" s="172" t="e">
        <f t="shared" si="304"/>
        <v>#N/A</v>
      </c>
      <c r="C215" s="121" t="e">
        <f t="shared" si="283"/>
        <v>#N/A</v>
      </c>
      <c r="D215" s="122" t="e">
        <f t="shared" si="284"/>
        <v>#N/A</v>
      </c>
      <c r="E215" s="122" t="e">
        <f t="shared" si="285"/>
        <v>#N/A</v>
      </c>
      <c r="F215" s="176" t="e">
        <f t="shared" si="286"/>
        <v>#N/A</v>
      </c>
      <c r="G215" s="121">
        <f t="shared" si="305"/>
        <v>208</v>
      </c>
      <c r="H215" s="176" t="e">
        <f t="shared" si="306"/>
        <v>#N/A</v>
      </c>
      <c r="I215" s="48">
        <v>1</v>
      </c>
      <c r="J215" s="39"/>
      <c r="K215" s="350">
        <v>1</v>
      </c>
      <c r="L215" s="34" t="e">
        <f t="shared" si="287"/>
        <v>#N/A</v>
      </c>
      <c r="M215" s="38" t="e">
        <f>(HLOOKUP(J215,'Construction Times'!$B$3:$W$34,L215+2,FALSE)*HLOOKUP("hq modifier",'Construction Times'!$W$3:$W$34,BS215+2,FALSE))*(1-$H$9)</f>
        <v>#N/A</v>
      </c>
      <c r="N215" s="443" t="e">
        <f t="shared" si="307"/>
        <v>#N/A</v>
      </c>
      <c r="O215" s="444"/>
      <c r="P215" s="447" t="e">
        <f t="shared" si="308"/>
        <v>#N/A</v>
      </c>
      <c r="Q215" s="448"/>
      <c r="R215" s="103">
        <f t="shared" si="334"/>
        <v>0</v>
      </c>
      <c r="S215" s="104">
        <f t="shared" si="334"/>
        <v>0</v>
      </c>
      <c r="T215" s="104">
        <f t="shared" si="335"/>
        <v>0</v>
      </c>
      <c r="U215" s="104">
        <f t="shared" si="335"/>
        <v>0</v>
      </c>
      <c r="V215" s="104">
        <f t="shared" si="335"/>
        <v>9.9999999999999995E-8</v>
      </c>
      <c r="W215" s="104">
        <f t="shared" si="335"/>
        <v>0</v>
      </c>
      <c r="X215" s="104">
        <f t="shared" si="273"/>
        <v>0</v>
      </c>
      <c r="Y215" s="104">
        <f t="shared" si="273"/>
        <v>9.9999999999999995E-8</v>
      </c>
      <c r="Z215" s="104">
        <f t="shared" si="273"/>
        <v>9.9999999999999995E-8</v>
      </c>
      <c r="AA215" s="105">
        <f t="shared" si="273"/>
        <v>9.9999999999999995E-8</v>
      </c>
      <c r="AB215" s="101" t="e">
        <f>$DT215*HLOOKUP($J215,'Construction Costs (timber)'!$B$1:$V$32,'Construction Planner'!$L215+2,FALSE)</f>
        <v>#N/A</v>
      </c>
      <c r="AC215" s="14" t="e">
        <f>$DT215*HLOOKUP($J215,'Construction Costs (clay)'!$B$1:$V$32,'Construction Planner'!$L215+2,FALSE)</f>
        <v>#N/A</v>
      </c>
      <c r="AD215" s="14" t="e">
        <f>$DT215*HLOOKUP($J215,'Construction Costs (iron)'!$B$1:$V$32,'Construction Planner'!$L215+2,FALSE)</f>
        <v>#N/A</v>
      </c>
      <c r="AE215" s="34" t="e">
        <f t="shared" si="344"/>
        <v>#N/A</v>
      </c>
      <c r="AF215" s="33" t="e">
        <f t="shared" si="288"/>
        <v>#N/A</v>
      </c>
      <c r="AG215" s="14" t="e">
        <f t="shared" si="289"/>
        <v>#N/A</v>
      </c>
      <c r="AH215" s="14" t="e">
        <f t="shared" si="290"/>
        <v>#N/A</v>
      </c>
      <c r="AI215" s="34" t="e">
        <f t="shared" si="345"/>
        <v>#N/A</v>
      </c>
      <c r="AJ215" s="49" t="e">
        <f t="shared" si="309"/>
        <v>#N/A</v>
      </c>
      <c r="AK215" s="49" t="e">
        <f t="shared" si="310"/>
        <v>#N/A</v>
      </c>
      <c r="AL215" s="49" t="e">
        <f t="shared" si="311"/>
        <v>#N/A</v>
      </c>
      <c r="AM215" s="25">
        <f t="shared" si="291"/>
        <v>30</v>
      </c>
      <c r="AN215" s="25">
        <f t="shared" si="292"/>
        <v>30</v>
      </c>
      <c r="AO215" s="25">
        <f t="shared" si="293"/>
        <v>30</v>
      </c>
      <c r="AP215" s="52" t="e">
        <f t="shared" si="312"/>
        <v>#N/A</v>
      </c>
      <c r="AQ215" s="53" t="e">
        <f t="shared" si="312"/>
        <v>#N/A</v>
      </c>
      <c r="AR215" s="54" t="e">
        <f t="shared" si="312"/>
        <v>#N/A</v>
      </c>
      <c r="AS215" s="316">
        <f t="shared" si="346"/>
        <v>0</v>
      </c>
      <c r="AT215" s="106">
        <f>_xlfn.IFNA($M215/VLOOKUP($BT215,'Unit information'!$A$2:$K$29,2,FALSE)*R215,0)*(1+$E$9)</f>
        <v>0</v>
      </c>
      <c r="AU215" s="107">
        <f>_xlfn.IFNA($M215/VLOOKUP($BT215,'Unit information'!$A$2:$K$29,3,FALSE)*S215,0)*(1+$E$9)</f>
        <v>0</v>
      </c>
      <c r="AV215" s="107">
        <f>_xlfn.IFNA($M215/VLOOKUP($BT215,'Unit information'!$A$2:$K$29,4,FALSE)*T215,0)*(1+$E$9)</f>
        <v>0</v>
      </c>
      <c r="AW215" s="107">
        <f>_xlfn.IFNA($M215/VLOOKUP($BT215,'Unit information'!$A$2:$K$29,5,FALSE)*U215,0)*(1+$E$9)</f>
        <v>0</v>
      </c>
      <c r="AX215" s="107">
        <f>_xlfn.IFNA($M215/VLOOKUP($BU215,'Unit information'!$A$2:$K$29,6,FALSE)*V215,0)*(1+$E$9)</f>
        <v>0</v>
      </c>
      <c r="AY215" s="107">
        <f>_xlfn.IFNA($M215/VLOOKUP($BU215,'Unit information'!$A$2:$K$29,7,FALSE)*W215,0)*(1+$E$9)</f>
        <v>0</v>
      </c>
      <c r="AZ215" s="107">
        <f>_xlfn.IFNA($M215/VLOOKUP($BU215,'Unit information'!$A$2:$K$29,8,FALSE)*X215,0)*(1+$E$9)</f>
        <v>0</v>
      </c>
      <c r="BA215" s="107">
        <f>_xlfn.IFNA($M215/VLOOKUP($BU215,'Unit information'!$A$2:$K$29,9,FALSE)*Y215,0)*(1+$E$9)</f>
        <v>0</v>
      </c>
      <c r="BB215" s="107">
        <f>_xlfn.IFNA($M215/VLOOKUP($BV215,'Unit information'!$A$2:$K$29,10,FALSE)*Z215,0)*(1+$E$9)</f>
        <v>0</v>
      </c>
      <c r="BC215" s="108">
        <f>_xlfn.IFNA($M215/VLOOKUP($BV215,'Unit information'!$A$2:$K$29,11,FALSE)*AA215,0)*(1+$E$9)</f>
        <v>0</v>
      </c>
      <c r="BD215" s="106">
        <f t="shared" si="294"/>
        <v>0</v>
      </c>
      <c r="BE215" s="107">
        <f t="shared" si="295"/>
        <v>0</v>
      </c>
      <c r="BF215" s="108">
        <f t="shared" si="296"/>
        <v>0</v>
      </c>
      <c r="BG215" s="25" t="e">
        <f t="shared" si="297"/>
        <v>#N/A</v>
      </c>
      <c r="BH215" s="25" t="e">
        <f t="shared" si="298"/>
        <v>#N/A</v>
      </c>
      <c r="BI215" s="25" t="e">
        <f t="shared" si="299"/>
        <v>#N/A</v>
      </c>
      <c r="BJ215" s="27" t="e">
        <f t="shared" si="300"/>
        <v>#N/A</v>
      </c>
      <c r="BK215" s="18" t="e">
        <f t="shared" si="301"/>
        <v>#N/A</v>
      </c>
      <c r="BL215" s="18" t="e">
        <f t="shared" si="302"/>
        <v>#N/A</v>
      </c>
      <c r="BM215" s="28" t="e">
        <f t="shared" si="347"/>
        <v>#N/A</v>
      </c>
      <c r="BN215" s="33">
        <f>HLOOKUP("maximum population",Miscelaneous!$C$1:$C$33,CH215+3,FALSE)</f>
        <v>240</v>
      </c>
      <c r="BO215" s="14">
        <f t="shared" si="313"/>
        <v>32</v>
      </c>
      <c r="BP215" s="14">
        <f t="shared" si="314"/>
        <v>0</v>
      </c>
      <c r="BQ215" s="14">
        <f t="shared" si="315"/>
        <v>208</v>
      </c>
      <c r="BR215" s="34" t="e">
        <f>HLOOKUP(J215,Villagers!$B$1:$V$33,L215+3,FALSE)-HLOOKUP(J215,Villagers!$B$1:$V$33,L215+2,FALSE)</f>
        <v>#N/A</v>
      </c>
      <c r="BS215" s="49">
        <f t="shared" si="316"/>
        <v>1</v>
      </c>
      <c r="BT215" s="50">
        <f t="shared" si="317"/>
        <v>0</v>
      </c>
      <c r="BU215" s="50">
        <f t="shared" si="318"/>
        <v>0</v>
      </c>
      <c r="BV215" s="50">
        <f t="shared" si="319"/>
        <v>0</v>
      </c>
      <c r="BW215" s="50">
        <f>IF($J214=BW$14,$L214,BW214)</f>
        <v>0</v>
      </c>
      <c r="BX215" s="50">
        <f t="shared" ref="BX215:BY223" si="348">IF($J214=BX$14,$L214,BX214)</f>
        <v>0</v>
      </c>
      <c r="BY215" s="50">
        <f t="shared" si="348"/>
        <v>0</v>
      </c>
      <c r="BZ215" s="50">
        <f t="shared" si="260"/>
        <v>0</v>
      </c>
      <c r="CA215" s="50">
        <f t="shared" si="261"/>
        <v>0</v>
      </c>
      <c r="CB215" s="50">
        <f t="shared" si="262"/>
        <v>1</v>
      </c>
      <c r="CC215" s="50">
        <f t="shared" si="263"/>
        <v>0</v>
      </c>
      <c r="CD215" s="50">
        <f t="shared" si="264"/>
        <v>0</v>
      </c>
      <c r="CE215" s="50">
        <f t="shared" si="265"/>
        <v>1</v>
      </c>
      <c r="CF215" s="50">
        <f t="shared" si="266"/>
        <v>1</v>
      </c>
      <c r="CG215" s="50">
        <f t="shared" si="267"/>
        <v>1</v>
      </c>
      <c r="CH215" s="50">
        <f t="shared" si="268"/>
        <v>1</v>
      </c>
      <c r="CI215" s="50">
        <f t="shared" si="269"/>
        <v>1</v>
      </c>
      <c r="CJ215" s="50">
        <f t="shared" si="270"/>
        <v>1</v>
      </c>
      <c r="CK215" s="50">
        <f t="shared" si="270"/>
        <v>0</v>
      </c>
      <c r="CL215" s="50">
        <f t="shared" si="270"/>
        <v>0</v>
      </c>
      <c r="CM215" s="51">
        <f t="shared" si="274"/>
        <v>0</v>
      </c>
      <c r="CN215" s="33">
        <f>ROUND(IF(BS215=0,0,HLOOKUP(BS$14,Villagers!$B$1:$V$33,BS215+3,FALSE)),)</f>
        <v>5</v>
      </c>
      <c r="CO215" s="14">
        <f>ROUND(IF(BT215=0,0,HLOOKUP(BT$14,Villagers!$B$1:$V$33,BT215+3,FALSE)),)</f>
        <v>0</v>
      </c>
      <c r="CP215" s="14">
        <f>ROUND(IF(BU215=0,0,HLOOKUP(BU$14,Villagers!$B$1:$V$33,BU215+3,FALSE)),)</f>
        <v>0</v>
      </c>
      <c r="CQ215" s="14">
        <f>ROUND(IF(BV215=0,0,HLOOKUP(BV$14,Villagers!$B$1:$V$33,BV215+3,FALSE)),)</f>
        <v>0</v>
      </c>
      <c r="CR215" s="14">
        <f>ROUND(IF(BW215=0,0,HLOOKUP(BW$14,Villagers!$B$1:$V$33,BW215+3,FALSE)),)</f>
        <v>0</v>
      </c>
      <c r="CS215" s="14">
        <f>ROUND(IF(BX215=0,0,HLOOKUP(BX$14,Villagers!$B$1:$V$33,BX215+3,FALSE)),)</f>
        <v>0</v>
      </c>
      <c r="CT215" s="14">
        <f>ROUND(IF(BY215=0,0,HLOOKUP(BY$14,Villagers!$B$1:$V$33,BY215+3,FALSE)),)</f>
        <v>0</v>
      </c>
      <c r="CU215" s="14">
        <f>ROUND(IF(BZ215=0,0,HLOOKUP(BZ$14,Villagers!$B$1:$V$33,BZ215+3,FALSE)),)</f>
        <v>0</v>
      </c>
      <c r="CV215" s="14">
        <f>ROUND(IF(CA215=0,0,HLOOKUP(CA$14,Villagers!$B$1:$V$33,CA215+3,FALSE)),)</f>
        <v>0</v>
      </c>
      <c r="CW215" s="14">
        <f>ROUND(IF(CB215=0,0,HLOOKUP(CB$14,Villagers!$B$1:$V$33,CB215+3,FALSE)),)</f>
        <v>0</v>
      </c>
      <c r="CX215" s="14">
        <f>ROUND(IF(CC215=0,0,HLOOKUP(CC$14,Villagers!$B$1:$V$33,CC215+3,FALSE)),)</f>
        <v>0</v>
      </c>
      <c r="CY215" s="14">
        <f>ROUND(IF(CD215=0,0,HLOOKUP(CD$14,Villagers!$B$1:$V$33,CD215+3,FALSE)),)</f>
        <v>0</v>
      </c>
      <c r="CZ215" s="14">
        <f>ROUND(IF(CE215=0,0,HLOOKUP(CE$14,Villagers!$B$1:$V$33,CE215+3,FALSE)),)</f>
        <v>5</v>
      </c>
      <c r="DA215" s="14">
        <f>ROUND(IF(CF215=0,0,HLOOKUP(CF$14,Villagers!$B$1:$V$33,CF215+3,FALSE)),)</f>
        <v>10</v>
      </c>
      <c r="DB215" s="14">
        <f>ROUND(IF(CG215=0,0,HLOOKUP(CG$14,Villagers!$B$1:$V$33,CG215+3,FALSE)),)</f>
        <v>10</v>
      </c>
      <c r="DC215" s="14">
        <f>ROUND(IF(CH215=0,0,HLOOKUP(CH$14,Villagers!$B$1:$V$33,CH215+3,FALSE)),)</f>
        <v>0</v>
      </c>
      <c r="DD215" s="14">
        <f>ROUND(IF(CI215=0,0,HLOOKUP(CI$14,Villagers!$B$1:$V$33,CI215+3,FALSE)),)</f>
        <v>0</v>
      </c>
      <c r="DE215" s="14">
        <f>ROUND(IF(CJ215=0,0,HLOOKUP(CJ$14,Villagers!$B$1:$V$33,CJ215+3,FALSE)),)</f>
        <v>2</v>
      </c>
      <c r="DF215" s="370">
        <f>ROUND(IF(CK215=0,0,HLOOKUP(CK$14,Villagers!$B$1:$V$33,CK215+3,FALSE)),)</f>
        <v>0</v>
      </c>
      <c r="DG215" s="370">
        <f>ROUND(IF(CL215=0,0,HLOOKUP(CL$14,Villagers!$B$1:$V$33,CL215+3,FALSE)),)</f>
        <v>0</v>
      </c>
      <c r="DH215" s="34">
        <f>ROUND(IF(CM215=0,0,HLOOKUP(CM$14,Villagers!$B$1:$V$33,CM215+3,FALSE)),)</f>
        <v>0</v>
      </c>
      <c r="DI215" s="109">
        <f t="shared" si="336"/>
        <v>0</v>
      </c>
      <c r="DJ215" s="50">
        <f t="shared" si="337"/>
        <v>0</v>
      </c>
      <c r="DK215" s="50">
        <f t="shared" si="338"/>
        <v>0</v>
      </c>
      <c r="DL215" s="50">
        <f t="shared" si="339"/>
        <v>0</v>
      </c>
      <c r="DM215" s="50">
        <f t="shared" si="340"/>
        <v>0</v>
      </c>
      <c r="DN215" s="50">
        <f t="shared" si="341"/>
        <v>0</v>
      </c>
      <c r="DO215" s="50">
        <f t="shared" si="342"/>
        <v>0</v>
      </c>
      <c r="DP215" s="50">
        <f t="shared" si="343"/>
        <v>0</v>
      </c>
      <c r="DQ215" s="50">
        <f t="shared" si="321"/>
        <v>0</v>
      </c>
      <c r="DR215" s="50">
        <f t="shared" si="322"/>
        <v>0</v>
      </c>
      <c r="DS215" s="96">
        <f>Miscelaneous!$D$4*Miscelaneous!$D$2^($CI215-1)</f>
        <v>1000</v>
      </c>
      <c r="DT215" s="333">
        <f t="shared" si="303"/>
        <v>1</v>
      </c>
      <c r="DU215" s="81">
        <v>1</v>
      </c>
      <c r="DV215" s="79">
        <f t="shared" si="323"/>
        <v>0</v>
      </c>
      <c r="DW215" s="79">
        <f t="shared" si="324"/>
        <v>0</v>
      </c>
      <c r="DX215" s="79">
        <f t="shared" si="325"/>
        <v>0</v>
      </c>
      <c r="DY215" s="79">
        <v>1</v>
      </c>
      <c r="DZ215" s="79">
        <f t="shared" si="326"/>
        <v>0</v>
      </c>
      <c r="EA215" s="79">
        <f t="shared" si="327"/>
        <v>0</v>
      </c>
      <c r="EB215" s="79">
        <f t="shared" si="328"/>
        <v>0</v>
      </c>
      <c r="EC215" s="79">
        <f t="shared" si="329"/>
        <v>0</v>
      </c>
      <c r="ED215" s="79">
        <v>1</v>
      </c>
      <c r="EE215" s="79">
        <v>1</v>
      </c>
      <c r="EF215" s="79">
        <f t="shared" si="330"/>
        <v>0</v>
      </c>
      <c r="EG215" s="79">
        <v>1</v>
      </c>
      <c r="EH215" s="79">
        <v>1</v>
      </c>
      <c r="EI215" s="79">
        <v>1</v>
      </c>
      <c r="EJ215" s="79">
        <v>1</v>
      </c>
      <c r="EK215" s="79">
        <v>1</v>
      </c>
      <c r="EL215" s="79">
        <v>1</v>
      </c>
      <c r="EM215" s="143">
        <f t="shared" si="331"/>
        <v>0</v>
      </c>
      <c r="EN215" s="143">
        <f t="shared" si="332"/>
        <v>0</v>
      </c>
      <c r="EO215" s="82">
        <f t="shared" si="333"/>
        <v>0</v>
      </c>
    </row>
    <row r="216" spans="1:145" x14ac:dyDescent="0.25">
      <c r="A216">
        <v>202</v>
      </c>
      <c r="B216" s="172" t="e">
        <f t="shared" si="304"/>
        <v>#N/A</v>
      </c>
      <c r="C216" s="121" t="e">
        <f t="shared" si="283"/>
        <v>#N/A</v>
      </c>
      <c r="D216" s="122" t="e">
        <f t="shared" si="284"/>
        <v>#N/A</v>
      </c>
      <c r="E216" s="122" t="e">
        <f t="shared" si="285"/>
        <v>#N/A</v>
      </c>
      <c r="F216" s="176" t="e">
        <f t="shared" si="286"/>
        <v>#N/A</v>
      </c>
      <c r="G216" s="121">
        <f t="shared" si="305"/>
        <v>208</v>
      </c>
      <c r="H216" s="176" t="e">
        <f t="shared" si="306"/>
        <v>#N/A</v>
      </c>
      <c r="I216" s="48">
        <v>1</v>
      </c>
      <c r="J216" s="39"/>
      <c r="K216" s="350">
        <v>1</v>
      </c>
      <c r="L216" s="34" t="e">
        <f t="shared" si="287"/>
        <v>#N/A</v>
      </c>
      <c r="M216" s="38" t="e">
        <f>(HLOOKUP(J216,'Construction Times'!$B$3:$W$34,L216+2,FALSE)*HLOOKUP("hq modifier",'Construction Times'!$W$3:$W$34,BS216+2,FALSE))*(1-$H$9)</f>
        <v>#N/A</v>
      </c>
      <c r="N216" s="443" t="e">
        <f t="shared" si="307"/>
        <v>#N/A</v>
      </c>
      <c r="O216" s="444"/>
      <c r="P216" s="447" t="e">
        <f t="shared" si="308"/>
        <v>#N/A</v>
      </c>
      <c r="Q216" s="448"/>
      <c r="R216" s="103">
        <f t="shared" si="334"/>
        <v>0</v>
      </c>
      <c r="S216" s="104">
        <f t="shared" si="334"/>
        <v>0</v>
      </c>
      <c r="T216" s="104">
        <f t="shared" si="335"/>
        <v>0</v>
      </c>
      <c r="U216" s="104">
        <f t="shared" si="335"/>
        <v>0</v>
      </c>
      <c r="V216" s="104">
        <f t="shared" si="335"/>
        <v>9.9999999999999995E-8</v>
      </c>
      <c r="W216" s="104">
        <f t="shared" si="335"/>
        <v>0</v>
      </c>
      <c r="X216" s="104">
        <f t="shared" si="273"/>
        <v>0</v>
      </c>
      <c r="Y216" s="104">
        <f t="shared" si="273"/>
        <v>9.9999999999999995E-8</v>
      </c>
      <c r="Z216" s="104">
        <f t="shared" si="273"/>
        <v>9.9999999999999995E-8</v>
      </c>
      <c r="AA216" s="105">
        <f t="shared" si="273"/>
        <v>9.9999999999999995E-8</v>
      </c>
      <c r="AB216" s="101" t="e">
        <f>$DT216*HLOOKUP($J216,'Construction Costs (timber)'!$B$1:$V$32,'Construction Planner'!$L216+2,FALSE)</f>
        <v>#N/A</v>
      </c>
      <c r="AC216" s="14" t="e">
        <f>$DT216*HLOOKUP($J216,'Construction Costs (clay)'!$B$1:$V$32,'Construction Planner'!$L216+2,FALSE)</f>
        <v>#N/A</v>
      </c>
      <c r="AD216" s="14" t="e">
        <f>$DT216*HLOOKUP($J216,'Construction Costs (iron)'!$B$1:$V$32,'Construction Planner'!$L216+2,FALSE)</f>
        <v>#N/A</v>
      </c>
      <c r="AE216" s="34" t="e">
        <f t="shared" si="344"/>
        <v>#N/A</v>
      </c>
      <c r="AF216" s="33" t="e">
        <f t="shared" si="288"/>
        <v>#N/A</v>
      </c>
      <c r="AG216" s="14" t="e">
        <f t="shared" si="289"/>
        <v>#N/A</v>
      </c>
      <c r="AH216" s="14" t="e">
        <f t="shared" si="290"/>
        <v>#N/A</v>
      </c>
      <c r="AI216" s="34" t="e">
        <f t="shared" si="345"/>
        <v>#N/A</v>
      </c>
      <c r="AJ216" s="49" t="e">
        <f t="shared" si="309"/>
        <v>#N/A</v>
      </c>
      <c r="AK216" s="49" t="e">
        <f t="shared" si="310"/>
        <v>#N/A</v>
      </c>
      <c r="AL216" s="49" t="e">
        <f t="shared" si="311"/>
        <v>#N/A</v>
      </c>
      <c r="AM216" s="25">
        <f t="shared" si="291"/>
        <v>30</v>
      </c>
      <c r="AN216" s="25">
        <f t="shared" si="292"/>
        <v>30</v>
      </c>
      <c r="AO216" s="25">
        <f t="shared" si="293"/>
        <v>30</v>
      </c>
      <c r="AP216" s="52" t="e">
        <f t="shared" si="312"/>
        <v>#N/A</v>
      </c>
      <c r="AQ216" s="53" t="e">
        <f t="shared" si="312"/>
        <v>#N/A</v>
      </c>
      <c r="AR216" s="54" t="e">
        <f t="shared" si="312"/>
        <v>#N/A</v>
      </c>
      <c r="AS216" s="316">
        <f t="shared" si="346"/>
        <v>0</v>
      </c>
      <c r="AT216" s="106">
        <f>_xlfn.IFNA($M216/VLOOKUP($BT216,'Unit information'!$A$2:$K$29,2,FALSE)*R216,0)*(1+$E$9)</f>
        <v>0</v>
      </c>
      <c r="AU216" s="107">
        <f>_xlfn.IFNA($M216/VLOOKUP($BT216,'Unit information'!$A$2:$K$29,3,FALSE)*S216,0)*(1+$E$9)</f>
        <v>0</v>
      </c>
      <c r="AV216" s="107">
        <f>_xlfn.IFNA($M216/VLOOKUP($BT216,'Unit information'!$A$2:$K$29,4,FALSE)*T216,0)*(1+$E$9)</f>
        <v>0</v>
      </c>
      <c r="AW216" s="107">
        <f>_xlfn.IFNA($M216/VLOOKUP($BT216,'Unit information'!$A$2:$K$29,5,FALSE)*U216,0)*(1+$E$9)</f>
        <v>0</v>
      </c>
      <c r="AX216" s="107">
        <f>_xlfn.IFNA($M216/VLOOKUP($BU216,'Unit information'!$A$2:$K$29,6,FALSE)*V216,0)*(1+$E$9)</f>
        <v>0</v>
      </c>
      <c r="AY216" s="107">
        <f>_xlfn.IFNA($M216/VLOOKUP($BU216,'Unit information'!$A$2:$K$29,7,FALSE)*W216,0)*(1+$E$9)</f>
        <v>0</v>
      </c>
      <c r="AZ216" s="107">
        <f>_xlfn.IFNA($M216/VLOOKUP($BU216,'Unit information'!$A$2:$K$29,8,FALSE)*X216,0)*(1+$E$9)</f>
        <v>0</v>
      </c>
      <c r="BA216" s="107">
        <f>_xlfn.IFNA($M216/VLOOKUP($BU216,'Unit information'!$A$2:$K$29,9,FALSE)*Y216,0)*(1+$E$9)</f>
        <v>0</v>
      </c>
      <c r="BB216" s="107">
        <f>_xlfn.IFNA($M216/VLOOKUP($BV216,'Unit information'!$A$2:$K$29,10,FALSE)*Z216,0)*(1+$E$9)</f>
        <v>0</v>
      </c>
      <c r="BC216" s="108">
        <f>_xlfn.IFNA($M216/VLOOKUP($BV216,'Unit information'!$A$2:$K$29,11,FALSE)*AA216,0)*(1+$E$9)</f>
        <v>0</v>
      </c>
      <c r="BD216" s="106">
        <f t="shared" si="294"/>
        <v>0</v>
      </c>
      <c r="BE216" s="107">
        <f t="shared" si="295"/>
        <v>0</v>
      </c>
      <c r="BF216" s="108">
        <f t="shared" si="296"/>
        <v>0</v>
      </c>
      <c r="BG216" s="25" t="e">
        <f t="shared" si="297"/>
        <v>#N/A</v>
      </c>
      <c r="BH216" s="25" t="e">
        <f t="shared" si="298"/>
        <v>#N/A</v>
      </c>
      <c r="BI216" s="25" t="e">
        <f t="shared" si="299"/>
        <v>#N/A</v>
      </c>
      <c r="BJ216" s="27" t="e">
        <f t="shared" si="300"/>
        <v>#N/A</v>
      </c>
      <c r="BK216" s="18" t="e">
        <f t="shared" si="301"/>
        <v>#N/A</v>
      </c>
      <c r="BL216" s="18" t="e">
        <f t="shared" si="302"/>
        <v>#N/A</v>
      </c>
      <c r="BM216" s="28" t="e">
        <f t="shared" si="347"/>
        <v>#N/A</v>
      </c>
      <c r="BN216" s="33">
        <f>HLOOKUP("maximum population",Miscelaneous!$C$1:$C$33,CH216+3,FALSE)</f>
        <v>240</v>
      </c>
      <c r="BO216" s="14">
        <f t="shared" si="313"/>
        <v>32</v>
      </c>
      <c r="BP216" s="14">
        <f t="shared" si="314"/>
        <v>0</v>
      </c>
      <c r="BQ216" s="14">
        <f t="shared" si="315"/>
        <v>208</v>
      </c>
      <c r="BR216" s="34" t="e">
        <f>HLOOKUP(J216,Villagers!$B$1:$V$33,L216+3,FALSE)-HLOOKUP(J216,Villagers!$B$1:$V$33,L216+2,FALSE)</f>
        <v>#N/A</v>
      </c>
      <c r="BS216" s="49">
        <f t="shared" si="316"/>
        <v>1</v>
      </c>
      <c r="BT216" s="50">
        <f t="shared" si="317"/>
        <v>0</v>
      </c>
      <c r="BU216" s="50">
        <f t="shared" si="318"/>
        <v>0</v>
      </c>
      <c r="BV216" s="50">
        <f t="shared" si="319"/>
        <v>0</v>
      </c>
      <c r="BW216" s="50">
        <f t="shared" ref="BW216:BW223" si="349">IF($J215=BW$14,$L215,BW215)</f>
        <v>0</v>
      </c>
      <c r="BX216" s="50">
        <f t="shared" si="348"/>
        <v>0</v>
      </c>
      <c r="BY216" s="50">
        <f t="shared" si="348"/>
        <v>0</v>
      </c>
      <c r="BZ216" s="50">
        <f t="shared" si="260"/>
        <v>0</v>
      </c>
      <c r="CA216" s="50">
        <f t="shared" si="261"/>
        <v>0</v>
      </c>
      <c r="CB216" s="50">
        <f t="shared" si="262"/>
        <v>1</v>
      </c>
      <c r="CC216" s="50">
        <f t="shared" si="263"/>
        <v>0</v>
      </c>
      <c r="CD216" s="50">
        <f t="shared" si="264"/>
        <v>0</v>
      </c>
      <c r="CE216" s="50">
        <f t="shared" si="265"/>
        <v>1</v>
      </c>
      <c r="CF216" s="50">
        <f t="shared" si="266"/>
        <v>1</v>
      </c>
      <c r="CG216" s="50">
        <f t="shared" si="267"/>
        <v>1</v>
      </c>
      <c r="CH216" s="50">
        <f t="shared" si="268"/>
        <v>1</v>
      </c>
      <c r="CI216" s="50">
        <f t="shared" si="269"/>
        <v>1</v>
      </c>
      <c r="CJ216" s="50">
        <f t="shared" si="270"/>
        <v>1</v>
      </c>
      <c r="CK216" s="50">
        <f t="shared" si="270"/>
        <v>0</v>
      </c>
      <c r="CL216" s="50">
        <f t="shared" si="270"/>
        <v>0</v>
      </c>
      <c r="CM216" s="51">
        <f t="shared" si="274"/>
        <v>0</v>
      </c>
      <c r="CN216" s="33">
        <f>ROUND(IF(BS216=0,0,HLOOKUP(BS$14,Villagers!$B$1:$V$33,BS216+3,FALSE)),)</f>
        <v>5</v>
      </c>
      <c r="CO216" s="14">
        <f>ROUND(IF(BT216=0,0,HLOOKUP(BT$14,Villagers!$B$1:$V$33,BT216+3,FALSE)),)</f>
        <v>0</v>
      </c>
      <c r="CP216" s="14">
        <f>ROUND(IF(BU216=0,0,HLOOKUP(BU$14,Villagers!$B$1:$V$33,BU216+3,FALSE)),)</f>
        <v>0</v>
      </c>
      <c r="CQ216" s="14">
        <f>ROUND(IF(BV216=0,0,HLOOKUP(BV$14,Villagers!$B$1:$V$33,BV216+3,FALSE)),)</f>
        <v>0</v>
      </c>
      <c r="CR216" s="14">
        <f>ROUND(IF(BW216=0,0,HLOOKUP(BW$14,Villagers!$B$1:$V$33,BW216+3,FALSE)),)</f>
        <v>0</v>
      </c>
      <c r="CS216" s="14">
        <f>ROUND(IF(BX216=0,0,HLOOKUP(BX$14,Villagers!$B$1:$V$33,BX216+3,FALSE)),)</f>
        <v>0</v>
      </c>
      <c r="CT216" s="14">
        <f>ROUND(IF(BY216=0,0,HLOOKUP(BY$14,Villagers!$B$1:$V$33,BY216+3,FALSE)),)</f>
        <v>0</v>
      </c>
      <c r="CU216" s="14">
        <f>ROUND(IF(BZ216=0,0,HLOOKUP(BZ$14,Villagers!$B$1:$V$33,BZ216+3,FALSE)),)</f>
        <v>0</v>
      </c>
      <c r="CV216" s="14">
        <f>ROUND(IF(CA216=0,0,HLOOKUP(CA$14,Villagers!$B$1:$V$33,CA216+3,FALSE)),)</f>
        <v>0</v>
      </c>
      <c r="CW216" s="14">
        <f>ROUND(IF(CB216=0,0,HLOOKUP(CB$14,Villagers!$B$1:$V$33,CB216+3,FALSE)),)</f>
        <v>0</v>
      </c>
      <c r="CX216" s="14">
        <f>ROUND(IF(CC216=0,0,HLOOKUP(CC$14,Villagers!$B$1:$V$33,CC216+3,FALSE)),)</f>
        <v>0</v>
      </c>
      <c r="CY216" s="14">
        <f>ROUND(IF(CD216=0,0,HLOOKUP(CD$14,Villagers!$B$1:$V$33,CD216+3,FALSE)),)</f>
        <v>0</v>
      </c>
      <c r="CZ216" s="14">
        <f>ROUND(IF(CE216=0,0,HLOOKUP(CE$14,Villagers!$B$1:$V$33,CE216+3,FALSE)),)</f>
        <v>5</v>
      </c>
      <c r="DA216" s="14">
        <f>ROUND(IF(CF216=0,0,HLOOKUP(CF$14,Villagers!$B$1:$V$33,CF216+3,FALSE)),)</f>
        <v>10</v>
      </c>
      <c r="DB216" s="14">
        <f>ROUND(IF(CG216=0,0,HLOOKUP(CG$14,Villagers!$B$1:$V$33,CG216+3,FALSE)),)</f>
        <v>10</v>
      </c>
      <c r="DC216" s="14">
        <f>ROUND(IF(CH216=0,0,HLOOKUP(CH$14,Villagers!$B$1:$V$33,CH216+3,FALSE)),)</f>
        <v>0</v>
      </c>
      <c r="DD216" s="14">
        <f>ROUND(IF(CI216=0,0,HLOOKUP(CI$14,Villagers!$B$1:$V$33,CI216+3,FALSE)),)</f>
        <v>0</v>
      </c>
      <c r="DE216" s="14">
        <f>ROUND(IF(CJ216=0,0,HLOOKUP(CJ$14,Villagers!$B$1:$V$33,CJ216+3,FALSE)),)</f>
        <v>2</v>
      </c>
      <c r="DF216" s="370">
        <f>ROUND(IF(CK216=0,0,HLOOKUP(CK$14,Villagers!$B$1:$V$33,CK216+3,FALSE)),)</f>
        <v>0</v>
      </c>
      <c r="DG216" s="370">
        <f>ROUND(IF(CL216=0,0,HLOOKUP(CL$14,Villagers!$B$1:$V$33,CL216+3,FALSE)),)</f>
        <v>0</v>
      </c>
      <c r="DH216" s="34">
        <f>ROUND(IF(CM216=0,0,HLOOKUP(CM$14,Villagers!$B$1:$V$33,CM216+3,FALSE)),)</f>
        <v>0</v>
      </c>
      <c r="DI216" s="109">
        <f t="shared" si="336"/>
        <v>0</v>
      </c>
      <c r="DJ216" s="50">
        <f t="shared" si="337"/>
        <v>0</v>
      </c>
      <c r="DK216" s="50">
        <f t="shared" si="338"/>
        <v>0</v>
      </c>
      <c r="DL216" s="50">
        <f t="shared" si="339"/>
        <v>0</v>
      </c>
      <c r="DM216" s="50">
        <f t="shared" si="340"/>
        <v>0</v>
      </c>
      <c r="DN216" s="50">
        <f t="shared" si="341"/>
        <v>0</v>
      </c>
      <c r="DO216" s="50">
        <f t="shared" si="342"/>
        <v>0</v>
      </c>
      <c r="DP216" s="50">
        <f t="shared" si="343"/>
        <v>0</v>
      </c>
      <c r="DQ216" s="50">
        <f t="shared" si="321"/>
        <v>0</v>
      </c>
      <c r="DR216" s="50">
        <f t="shared" si="322"/>
        <v>0</v>
      </c>
      <c r="DS216" s="96">
        <f>Miscelaneous!$D$4*Miscelaneous!$D$2^($CI216-1)</f>
        <v>1000</v>
      </c>
      <c r="DT216" s="333">
        <f t="shared" si="303"/>
        <v>1</v>
      </c>
      <c r="DU216" s="81">
        <v>1</v>
      </c>
      <c r="DV216" s="79">
        <f t="shared" si="323"/>
        <v>0</v>
      </c>
      <c r="DW216" s="79">
        <f t="shared" si="324"/>
        <v>0</v>
      </c>
      <c r="DX216" s="79">
        <f t="shared" si="325"/>
        <v>0</v>
      </c>
      <c r="DY216" s="79">
        <v>1</v>
      </c>
      <c r="DZ216" s="79">
        <f t="shared" si="326"/>
        <v>0</v>
      </c>
      <c r="EA216" s="79">
        <f t="shared" si="327"/>
        <v>0</v>
      </c>
      <c r="EB216" s="79">
        <f t="shared" si="328"/>
        <v>0</v>
      </c>
      <c r="EC216" s="79">
        <f t="shared" si="329"/>
        <v>0</v>
      </c>
      <c r="ED216" s="79">
        <v>1</v>
      </c>
      <c r="EE216" s="79">
        <v>1</v>
      </c>
      <c r="EF216" s="79">
        <f t="shared" si="330"/>
        <v>0</v>
      </c>
      <c r="EG216" s="79">
        <v>1</v>
      </c>
      <c r="EH216" s="79">
        <v>1</v>
      </c>
      <c r="EI216" s="79">
        <v>1</v>
      </c>
      <c r="EJ216" s="79">
        <v>1</v>
      </c>
      <c r="EK216" s="79">
        <v>1</v>
      </c>
      <c r="EL216" s="79">
        <v>1</v>
      </c>
      <c r="EM216" s="143">
        <f t="shared" si="331"/>
        <v>0</v>
      </c>
      <c r="EN216" s="143">
        <f t="shared" si="332"/>
        <v>0</v>
      </c>
      <c r="EO216" s="82">
        <f t="shared" si="333"/>
        <v>0</v>
      </c>
    </row>
    <row r="217" spans="1:145" x14ac:dyDescent="0.25">
      <c r="A217">
        <v>203</v>
      </c>
      <c r="B217" s="172" t="e">
        <f t="shared" si="304"/>
        <v>#N/A</v>
      </c>
      <c r="C217" s="121" t="e">
        <f t="shared" si="283"/>
        <v>#N/A</v>
      </c>
      <c r="D217" s="122" t="e">
        <f t="shared" si="284"/>
        <v>#N/A</v>
      </c>
      <c r="E217" s="122" t="e">
        <f t="shared" si="285"/>
        <v>#N/A</v>
      </c>
      <c r="F217" s="176" t="e">
        <f t="shared" si="286"/>
        <v>#N/A</v>
      </c>
      <c r="G217" s="121">
        <f t="shared" si="305"/>
        <v>208</v>
      </c>
      <c r="H217" s="176" t="e">
        <f t="shared" si="306"/>
        <v>#N/A</v>
      </c>
      <c r="I217" s="48">
        <v>1</v>
      </c>
      <c r="J217" s="39"/>
      <c r="K217" s="350">
        <v>1</v>
      </c>
      <c r="L217" s="34" t="e">
        <f t="shared" si="287"/>
        <v>#N/A</v>
      </c>
      <c r="M217" s="38" t="e">
        <f>(HLOOKUP(J217,'Construction Times'!$B$3:$W$34,L217+2,FALSE)*HLOOKUP("hq modifier",'Construction Times'!$W$3:$W$34,BS217+2,FALSE))*(1-$H$9)</f>
        <v>#N/A</v>
      </c>
      <c r="N217" s="443" t="e">
        <f t="shared" si="307"/>
        <v>#N/A</v>
      </c>
      <c r="O217" s="444"/>
      <c r="P217" s="447" t="e">
        <f t="shared" si="308"/>
        <v>#N/A</v>
      </c>
      <c r="Q217" s="448"/>
      <c r="R217" s="103">
        <f t="shared" si="334"/>
        <v>0</v>
      </c>
      <c r="S217" s="104">
        <f t="shared" si="334"/>
        <v>0</v>
      </c>
      <c r="T217" s="104">
        <f t="shared" si="335"/>
        <v>0</v>
      </c>
      <c r="U217" s="104">
        <f t="shared" si="335"/>
        <v>0</v>
      </c>
      <c r="V217" s="104">
        <f t="shared" si="335"/>
        <v>9.9999999999999995E-8</v>
      </c>
      <c r="W217" s="104">
        <f t="shared" si="335"/>
        <v>0</v>
      </c>
      <c r="X217" s="104">
        <f t="shared" si="273"/>
        <v>0</v>
      </c>
      <c r="Y217" s="104">
        <f t="shared" si="273"/>
        <v>9.9999999999999995E-8</v>
      </c>
      <c r="Z217" s="104">
        <f t="shared" si="273"/>
        <v>9.9999999999999995E-8</v>
      </c>
      <c r="AA217" s="105">
        <f t="shared" si="273"/>
        <v>9.9999999999999995E-8</v>
      </c>
      <c r="AB217" s="101" t="e">
        <f>$DT217*HLOOKUP($J217,'Construction Costs (timber)'!$B$1:$V$32,'Construction Planner'!$L217+2,FALSE)</f>
        <v>#N/A</v>
      </c>
      <c r="AC217" s="14" t="e">
        <f>$DT217*HLOOKUP($J217,'Construction Costs (clay)'!$B$1:$V$32,'Construction Planner'!$L217+2,FALSE)</f>
        <v>#N/A</v>
      </c>
      <c r="AD217" s="14" t="e">
        <f>$DT217*HLOOKUP($J217,'Construction Costs (iron)'!$B$1:$V$32,'Construction Planner'!$L217+2,FALSE)</f>
        <v>#N/A</v>
      </c>
      <c r="AE217" s="34" t="e">
        <f t="shared" si="344"/>
        <v>#N/A</v>
      </c>
      <c r="AF217" s="33" t="e">
        <f t="shared" si="288"/>
        <v>#N/A</v>
      </c>
      <c r="AG217" s="14" t="e">
        <f t="shared" si="289"/>
        <v>#N/A</v>
      </c>
      <c r="AH217" s="14" t="e">
        <f t="shared" si="290"/>
        <v>#N/A</v>
      </c>
      <c r="AI217" s="34" t="e">
        <f t="shared" si="345"/>
        <v>#N/A</v>
      </c>
      <c r="AJ217" s="49" t="e">
        <f t="shared" si="309"/>
        <v>#N/A</v>
      </c>
      <c r="AK217" s="49" t="e">
        <f t="shared" si="310"/>
        <v>#N/A</v>
      </c>
      <c r="AL217" s="49" t="e">
        <f t="shared" si="311"/>
        <v>#N/A</v>
      </c>
      <c r="AM217" s="25">
        <f t="shared" si="291"/>
        <v>30</v>
      </c>
      <c r="AN217" s="25">
        <f t="shared" si="292"/>
        <v>30</v>
      </c>
      <c r="AO217" s="25">
        <f t="shared" si="293"/>
        <v>30</v>
      </c>
      <c r="AP217" s="52" t="e">
        <f t="shared" si="312"/>
        <v>#N/A</v>
      </c>
      <c r="AQ217" s="53" t="e">
        <f t="shared" si="312"/>
        <v>#N/A</v>
      </c>
      <c r="AR217" s="54" t="e">
        <f t="shared" si="312"/>
        <v>#N/A</v>
      </c>
      <c r="AS217" s="316">
        <f t="shared" si="346"/>
        <v>0</v>
      </c>
      <c r="AT217" s="106">
        <f>_xlfn.IFNA($M217/VLOOKUP($BT217,'Unit information'!$A$2:$K$29,2,FALSE)*R217,0)*(1+$E$9)</f>
        <v>0</v>
      </c>
      <c r="AU217" s="107">
        <f>_xlfn.IFNA($M217/VLOOKUP($BT217,'Unit information'!$A$2:$K$29,3,FALSE)*S217,0)*(1+$E$9)</f>
        <v>0</v>
      </c>
      <c r="AV217" s="107">
        <f>_xlfn.IFNA($M217/VLOOKUP($BT217,'Unit information'!$A$2:$K$29,4,FALSE)*T217,0)*(1+$E$9)</f>
        <v>0</v>
      </c>
      <c r="AW217" s="107">
        <f>_xlfn.IFNA($M217/VLOOKUP($BT217,'Unit information'!$A$2:$K$29,5,FALSE)*U217,0)*(1+$E$9)</f>
        <v>0</v>
      </c>
      <c r="AX217" s="107">
        <f>_xlfn.IFNA($M217/VLOOKUP($BU217,'Unit information'!$A$2:$K$29,6,FALSE)*V217,0)*(1+$E$9)</f>
        <v>0</v>
      </c>
      <c r="AY217" s="107">
        <f>_xlfn.IFNA($M217/VLOOKUP($BU217,'Unit information'!$A$2:$K$29,7,FALSE)*W217,0)*(1+$E$9)</f>
        <v>0</v>
      </c>
      <c r="AZ217" s="107">
        <f>_xlfn.IFNA($M217/VLOOKUP($BU217,'Unit information'!$A$2:$K$29,8,FALSE)*X217,0)*(1+$E$9)</f>
        <v>0</v>
      </c>
      <c r="BA217" s="107">
        <f>_xlfn.IFNA($M217/VLOOKUP($BU217,'Unit information'!$A$2:$K$29,9,FALSE)*Y217,0)*(1+$E$9)</f>
        <v>0</v>
      </c>
      <c r="BB217" s="107">
        <f>_xlfn.IFNA($M217/VLOOKUP($BV217,'Unit information'!$A$2:$K$29,10,FALSE)*Z217,0)*(1+$E$9)</f>
        <v>0</v>
      </c>
      <c r="BC217" s="108">
        <f>_xlfn.IFNA($M217/VLOOKUP($BV217,'Unit information'!$A$2:$K$29,11,FALSE)*AA217,0)*(1+$E$9)</f>
        <v>0</v>
      </c>
      <c r="BD217" s="106">
        <f t="shared" si="294"/>
        <v>0</v>
      </c>
      <c r="BE217" s="107">
        <f t="shared" si="295"/>
        <v>0</v>
      </c>
      <c r="BF217" s="108">
        <f t="shared" si="296"/>
        <v>0</v>
      </c>
      <c r="BG217" s="25" t="e">
        <f t="shared" si="297"/>
        <v>#N/A</v>
      </c>
      <c r="BH217" s="25" t="e">
        <f t="shared" si="298"/>
        <v>#N/A</v>
      </c>
      <c r="BI217" s="25" t="e">
        <f t="shared" si="299"/>
        <v>#N/A</v>
      </c>
      <c r="BJ217" s="27" t="e">
        <f t="shared" si="300"/>
        <v>#N/A</v>
      </c>
      <c r="BK217" s="18" t="e">
        <f t="shared" si="301"/>
        <v>#N/A</v>
      </c>
      <c r="BL217" s="18" t="e">
        <f t="shared" si="302"/>
        <v>#N/A</v>
      </c>
      <c r="BM217" s="28" t="e">
        <f t="shared" si="347"/>
        <v>#N/A</v>
      </c>
      <c r="BN217" s="33">
        <f>HLOOKUP("maximum population",Miscelaneous!$C$1:$C$33,CH217+3,FALSE)</f>
        <v>240</v>
      </c>
      <c r="BO217" s="14">
        <f t="shared" si="313"/>
        <v>32</v>
      </c>
      <c r="BP217" s="14">
        <f t="shared" si="314"/>
        <v>0</v>
      </c>
      <c r="BQ217" s="14">
        <f t="shared" si="315"/>
        <v>208</v>
      </c>
      <c r="BR217" s="34" t="e">
        <f>HLOOKUP(J217,Villagers!$B$1:$V$33,L217+3,FALSE)-HLOOKUP(J217,Villagers!$B$1:$V$33,L217+2,FALSE)</f>
        <v>#N/A</v>
      </c>
      <c r="BS217" s="49">
        <f t="shared" si="316"/>
        <v>1</v>
      </c>
      <c r="BT217" s="50">
        <f t="shared" si="317"/>
        <v>0</v>
      </c>
      <c r="BU217" s="50">
        <f t="shared" si="318"/>
        <v>0</v>
      </c>
      <c r="BV217" s="50">
        <f t="shared" si="319"/>
        <v>0</v>
      </c>
      <c r="BW217" s="50">
        <f t="shared" si="349"/>
        <v>0</v>
      </c>
      <c r="BX217" s="50">
        <f t="shared" si="348"/>
        <v>0</v>
      </c>
      <c r="BY217" s="50">
        <f t="shared" si="348"/>
        <v>0</v>
      </c>
      <c r="BZ217" s="50">
        <f t="shared" si="260"/>
        <v>0</v>
      </c>
      <c r="CA217" s="50">
        <f t="shared" si="261"/>
        <v>0</v>
      </c>
      <c r="CB217" s="50">
        <f t="shared" si="262"/>
        <v>1</v>
      </c>
      <c r="CC217" s="50">
        <f t="shared" si="263"/>
        <v>0</v>
      </c>
      <c r="CD217" s="50">
        <f t="shared" si="264"/>
        <v>0</v>
      </c>
      <c r="CE217" s="50">
        <f t="shared" si="265"/>
        <v>1</v>
      </c>
      <c r="CF217" s="50">
        <f t="shared" si="266"/>
        <v>1</v>
      </c>
      <c r="CG217" s="50">
        <f t="shared" si="267"/>
        <v>1</v>
      </c>
      <c r="CH217" s="50">
        <f t="shared" si="268"/>
        <v>1</v>
      </c>
      <c r="CI217" s="50">
        <f t="shared" si="269"/>
        <v>1</v>
      </c>
      <c r="CJ217" s="50">
        <f t="shared" si="270"/>
        <v>1</v>
      </c>
      <c r="CK217" s="50">
        <f t="shared" si="270"/>
        <v>0</v>
      </c>
      <c r="CL217" s="50">
        <f t="shared" si="270"/>
        <v>0</v>
      </c>
      <c r="CM217" s="51">
        <f t="shared" si="274"/>
        <v>0</v>
      </c>
      <c r="CN217" s="33">
        <f>ROUND(IF(BS217=0,0,HLOOKUP(BS$14,Villagers!$B$1:$V$33,BS217+3,FALSE)),)</f>
        <v>5</v>
      </c>
      <c r="CO217" s="14">
        <f>ROUND(IF(BT217=0,0,HLOOKUP(BT$14,Villagers!$B$1:$V$33,BT217+3,FALSE)),)</f>
        <v>0</v>
      </c>
      <c r="CP217" s="14">
        <f>ROUND(IF(BU217=0,0,HLOOKUP(BU$14,Villagers!$B$1:$V$33,BU217+3,FALSE)),)</f>
        <v>0</v>
      </c>
      <c r="CQ217" s="14">
        <f>ROUND(IF(BV217=0,0,HLOOKUP(BV$14,Villagers!$B$1:$V$33,BV217+3,FALSE)),)</f>
        <v>0</v>
      </c>
      <c r="CR217" s="14">
        <f>ROUND(IF(BW217=0,0,HLOOKUP(BW$14,Villagers!$B$1:$V$33,BW217+3,FALSE)),)</f>
        <v>0</v>
      </c>
      <c r="CS217" s="14">
        <f>ROUND(IF(BX217=0,0,HLOOKUP(BX$14,Villagers!$B$1:$V$33,BX217+3,FALSE)),)</f>
        <v>0</v>
      </c>
      <c r="CT217" s="14">
        <f>ROUND(IF(BY217=0,0,HLOOKUP(BY$14,Villagers!$B$1:$V$33,BY217+3,FALSE)),)</f>
        <v>0</v>
      </c>
      <c r="CU217" s="14">
        <f>ROUND(IF(BZ217=0,0,HLOOKUP(BZ$14,Villagers!$B$1:$V$33,BZ217+3,FALSE)),)</f>
        <v>0</v>
      </c>
      <c r="CV217" s="14">
        <f>ROUND(IF(CA217=0,0,HLOOKUP(CA$14,Villagers!$B$1:$V$33,CA217+3,FALSE)),)</f>
        <v>0</v>
      </c>
      <c r="CW217" s="14">
        <f>ROUND(IF(CB217=0,0,HLOOKUP(CB$14,Villagers!$B$1:$V$33,CB217+3,FALSE)),)</f>
        <v>0</v>
      </c>
      <c r="CX217" s="14">
        <f>ROUND(IF(CC217=0,0,HLOOKUP(CC$14,Villagers!$B$1:$V$33,CC217+3,FALSE)),)</f>
        <v>0</v>
      </c>
      <c r="CY217" s="14">
        <f>ROUND(IF(CD217=0,0,HLOOKUP(CD$14,Villagers!$B$1:$V$33,CD217+3,FALSE)),)</f>
        <v>0</v>
      </c>
      <c r="CZ217" s="14">
        <f>ROUND(IF(CE217=0,0,HLOOKUP(CE$14,Villagers!$B$1:$V$33,CE217+3,FALSE)),)</f>
        <v>5</v>
      </c>
      <c r="DA217" s="14">
        <f>ROUND(IF(CF217=0,0,HLOOKUP(CF$14,Villagers!$B$1:$V$33,CF217+3,FALSE)),)</f>
        <v>10</v>
      </c>
      <c r="DB217" s="14">
        <f>ROUND(IF(CG217=0,0,HLOOKUP(CG$14,Villagers!$B$1:$V$33,CG217+3,FALSE)),)</f>
        <v>10</v>
      </c>
      <c r="DC217" s="14">
        <f>ROUND(IF(CH217=0,0,HLOOKUP(CH$14,Villagers!$B$1:$V$33,CH217+3,FALSE)),)</f>
        <v>0</v>
      </c>
      <c r="DD217" s="14">
        <f>ROUND(IF(CI217=0,0,HLOOKUP(CI$14,Villagers!$B$1:$V$33,CI217+3,FALSE)),)</f>
        <v>0</v>
      </c>
      <c r="DE217" s="14">
        <f>ROUND(IF(CJ217=0,0,HLOOKUP(CJ$14,Villagers!$B$1:$V$33,CJ217+3,FALSE)),)</f>
        <v>2</v>
      </c>
      <c r="DF217" s="370">
        <f>ROUND(IF(CK217=0,0,HLOOKUP(CK$14,Villagers!$B$1:$V$33,CK217+3,FALSE)),)</f>
        <v>0</v>
      </c>
      <c r="DG217" s="370">
        <f>ROUND(IF(CL217=0,0,HLOOKUP(CL$14,Villagers!$B$1:$V$33,CL217+3,FALSE)),)</f>
        <v>0</v>
      </c>
      <c r="DH217" s="34">
        <f>ROUND(IF(CM217=0,0,HLOOKUP(CM$14,Villagers!$B$1:$V$33,CM217+3,FALSE)),)</f>
        <v>0</v>
      </c>
      <c r="DI217" s="109">
        <f t="shared" si="336"/>
        <v>0</v>
      </c>
      <c r="DJ217" s="50">
        <f t="shared" si="337"/>
        <v>0</v>
      </c>
      <c r="DK217" s="50">
        <f t="shared" si="338"/>
        <v>0</v>
      </c>
      <c r="DL217" s="50">
        <f t="shared" si="339"/>
        <v>0</v>
      </c>
      <c r="DM217" s="50">
        <f t="shared" si="340"/>
        <v>0</v>
      </c>
      <c r="DN217" s="50">
        <f t="shared" si="341"/>
        <v>0</v>
      </c>
      <c r="DO217" s="50">
        <f t="shared" si="342"/>
        <v>0</v>
      </c>
      <c r="DP217" s="50">
        <f t="shared" si="343"/>
        <v>0</v>
      </c>
      <c r="DQ217" s="50">
        <f t="shared" si="321"/>
        <v>0</v>
      </c>
      <c r="DR217" s="50">
        <f t="shared" si="322"/>
        <v>0</v>
      </c>
      <c r="DS217" s="96">
        <f>Miscelaneous!$D$4*Miscelaneous!$D$2^($CI217-1)</f>
        <v>1000</v>
      </c>
      <c r="DT217" s="333">
        <f t="shared" si="303"/>
        <v>1</v>
      </c>
      <c r="DU217" s="81">
        <v>1</v>
      </c>
      <c r="DV217" s="79">
        <f t="shared" si="323"/>
        <v>0</v>
      </c>
      <c r="DW217" s="79">
        <f t="shared" si="324"/>
        <v>0</v>
      </c>
      <c r="DX217" s="79">
        <f t="shared" si="325"/>
        <v>0</v>
      </c>
      <c r="DY217" s="79">
        <v>1</v>
      </c>
      <c r="DZ217" s="79">
        <f t="shared" si="326"/>
        <v>0</v>
      </c>
      <c r="EA217" s="79">
        <f t="shared" si="327"/>
        <v>0</v>
      </c>
      <c r="EB217" s="79">
        <f t="shared" si="328"/>
        <v>0</v>
      </c>
      <c r="EC217" s="79">
        <f t="shared" si="329"/>
        <v>0</v>
      </c>
      <c r="ED217" s="79">
        <v>1</v>
      </c>
      <c r="EE217" s="79">
        <v>1</v>
      </c>
      <c r="EF217" s="79">
        <f t="shared" si="330"/>
        <v>0</v>
      </c>
      <c r="EG217" s="79">
        <v>1</v>
      </c>
      <c r="EH217" s="79">
        <v>1</v>
      </c>
      <c r="EI217" s="79">
        <v>1</v>
      </c>
      <c r="EJ217" s="79">
        <v>1</v>
      </c>
      <c r="EK217" s="79">
        <v>1</v>
      </c>
      <c r="EL217" s="79">
        <v>1</v>
      </c>
      <c r="EM217" s="143">
        <f t="shared" si="331"/>
        <v>0</v>
      </c>
      <c r="EN217" s="143">
        <f t="shared" si="332"/>
        <v>0</v>
      </c>
      <c r="EO217" s="82">
        <f t="shared" si="333"/>
        <v>0</v>
      </c>
    </row>
    <row r="218" spans="1:145" x14ac:dyDescent="0.25">
      <c r="A218">
        <v>204</v>
      </c>
      <c r="B218" s="172" t="e">
        <f t="shared" si="304"/>
        <v>#N/A</v>
      </c>
      <c r="C218" s="121" t="e">
        <f t="shared" si="283"/>
        <v>#N/A</v>
      </c>
      <c r="D218" s="122" t="e">
        <f t="shared" si="284"/>
        <v>#N/A</v>
      </c>
      <c r="E218" s="122" t="e">
        <f t="shared" si="285"/>
        <v>#N/A</v>
      </c>
      <c r="F218" s="176" t="e">
        <f t="shared" si="286"/>
        <v>#N/A</v>
      </c>
      <c r="G218" s="121">
        <f t="shared" si="305"/>
        <v>208</v>
      </c>
      <c r="H218" s="176" t="e">
        <f t="shared" si="306"/>
        <v>#N/A</v>
      </c>
      <c r="I218" s="48">
        <v>1</v>
      </c>
      <c r="J218" s="39"/>
      <c r="K218" s="350">
        <v>1</v>
      </c>
      <c r="L218" s="34" t="e">
        <f t="shared" si="287"/>
        <v>#N/A</v>
      </c>
      <c r="M218" s="38" t="e">
        <f>(HLOOKUP(J218,'Construction Times'!$B$3:$W$34,L218+2,FALSE)*HLOOKUP("hq modifier",'Construction Times'!$W$3:$W$34,BS218+2,FALSE))*(1-$H$9)</f>
        <v>#N/A</v>
      </c>
      <c r="N218" s="443" t="e">
        <f t="shared" si="307"/>
        <v>#N/A</v>
      </c>
      <c r="O218" s="444"/>
      <c r="P218" s="447" t="e">
        <f t="shared" si="308"/>
        <v>#N/A</v>
      </c>
      <c r="Q218" s="448"/>
      <c r="R218" s="103">
        <f t="shared" si="334"/>
        <v>0</v>
      </c>
      <c r="S218" s="104">
        <f t="shared" si="334"/>
        <v>0</v>
      </c>
      <c r="T218" s="104">
        <f t="shared" si="335"/>
        <v>0</v>
      </c>
      <c r="U218" s="104">
        <f t="shared" si="335"/>
        <v>0</v>
      </c>
      <c r="V218" s="104">
        <f t="shared" si="335"/>
        <v>9.9999999999999995E-8</v>
      </c>
      <c r="W218" s="104">
        <f t="shared" si="335"/>
        <v>0</v>
      </c>
      <c r="X218" s="104">
        <f t="shared" si="273"/>
        <v>0</v>
      </c>
      <c r="Y218" s="104">
        <f t="shared" si="273"/>
        <v>9.9999999999999995E-8</v>
      </c>
      <c r="Z218" s="104">
        <f t="shared" si="273"/>
        <v>9.9999999999999995E-8</v>
      </c>
      <c r="AA218" s="105">
        <f t="shared" si="273"/>
        <v>9.9999999999999995E-8</v>
      </c>
      <c r="AB218" s="101" t="e">
        <f>$DT218*HLOOKUP($J218,'Construction Costs (timber)'!$B$1:$V$32,'Construction Planner'!$L218+2,FALSE)</f>
        <v>#N/A</v>
      </c>
      <c r="AC218" s="14" t="e">
        <f>$DT218*HLOOKUP($J218,'Construction Costs (clay)'!$B$1:$V$32,'Construction Planner'!$L218+2,FALSE)</f>
        <v>#N/A</v>
      </c>
      <c r="AD218" s="14" t="e">
        <f>$DT218*HLOOKUP($J218,'Construction Costs (iron)'!$B$1:$V$32,'Construction Planner'!$L218+2,FALSE)</f>
        <v>#N/A</v>
      </c>
      <c r="AE218" s="34" t="e">
        <f t="shared" si="344"/>
        <v>#N/A</v>
      </c>
      <c r="AF218" s="33" t="e">
        <f t="shared" si="288"/>
        <v>#N/A</v>
      </c>
      <c r="AG218" s="14" t="e">
        <f t="shared" si="289"/>
        <v>#N/A</v>
      </c>
      <c r="AH218" s="14" t="e">
        <f t="shared" si="290"/>
        <v>#N/A</v>
      </c>
      <c r="AI218" s="34" t="e">
        <f t="shared" si="345"/>
        <v>#N/A</v>
      </c>
      <c r="AJ218" s="49" t="e">
        <f t="shared" si="309"/>
        <v>#N/A</v>
      </c>
      <c r="AK218" s="49" t="e">
        <f t="shared" si="310"/>
        <v>#N/A</v>
      </c>
      <c r="AL218" s="49" t="e">
        <f t="shared" si="311"/>
        <v>#N/A</v>
      </c>
      <c r="AM218" s="25">
        <f t="shared" si="291"/>
        <v>30</v>
      </c>
      <c r="AN218" s="25">
        <f t="shared" si="292"/>
        <v>30</v>
      </c>
      <c r="AO218" s="25">
        <f t="shared" si="293"/>
        <v>30</v>
      </c>
      <c r="AP218" s="52" t="e">
        <f t="shared" si="312"/>
        <v>#N/A</v>
      </c>
      <c r="AQ218" s="53" t="e">
        <f t="shared" si="312"/>
        <v>#N/A</v>
      </c>
      <c r="AR218" s="54" t="e">
        <f t="shared" si="312"/>
        <v>#N/A</v>
      </c>
      <c r="AS218" s="316">
        <f t="shared" si="346"/>
        <v>0</v>
      </c>
      <c r="AT218" s="106">
        <f>_xlfn.IFNA($M218/VLOOKUP($BT218,'Unit information'!$A$2:$K$29,2,FALSE)*R218,0)*(1+$E$9)</f>
        <v>0</v>
      </c>
      <c r="AU218" s="107">
        <f>_xlfn.IFNA($M218/VLOOKUP($BT218,'Unit information'!$A$2:$K$29,3,FALSE)*S218,0)*(1+$E$9)</f>
        <v>0</v>
      </c>
      <c r="AV218" s="107">
        <f>_xlfn.IFNA($M218/VLOOKUP($BT218,'Unit information'!$A$2:$K$29,4,FALSE)*T218,0)*(1+$E$9)</f>
        <v>0</v>
      </c>
      <c r="AW218" s="107">
        <f>_xlfn.IFNA($M218/VLOOKUP($BT218,'Unit information'!$A$2:$K$29,5,FALSE)*U218,0)*(1+$E$9)</f>
        <v>0</v>
      </c>
      <c r="AX218" s="107">
        <f>_xlfn.IFNA($M218/VLOOKUP($BU218,'Unit information'!$A$2:$K$29,6,FALSE)*V218,0)*(1+$E$9)</f>
        <v>0</v>
      </c>
      <c r="AY218" s="107">
        <f>_xlfn.IFNA($M218/VLOOKUP($BU218,'Unit information'!$A$2:$K$29,7,FALSE)*W218,0)*(1+$E$9)</f>
        <v>0</v>
      </c>
      <c r="AZ218" s="107">
        <f>_xlfn.IFNA($M218/VLOOKUP($BU218,'Unit information'!$A$2:$K$29,8,FALSE)*X218,0)*(1+$E$9)</f>
        <v>0</v>
      </c>
      <c r="BA218" s="107">
        <f>_xlfn.IFNA($M218/VLOOKUP($BU218,'Unit information'!$A$2:$K$29,9,FALSE)*Y218,0)*(1+$E$9)</f>
        <v>0</v>
      </c>
      <c r="BB218" s="107">
        <f>_xlfn.IFNA($M218/VLOOKUP($BV218,'Unit information'!$A$2:$K$29,10,FALSE)*Z218,0)*(1+$E$9)</f>
        <v>0</v>
      </c>
      <c r="BC218" s="108">
        <f>_xlfn.IFNA($M218/VLOOKUP($BV218,'Unit information'!$A$2:$K$29,11,FALSE)*AA218,0)*(1+$E$9)</f>
        <v>0</v>
      </c>
      <c r="BD218" s="106">
        <f t="shared" si="294"/>
        <v>0</v>
      </c>
      <c r="BE218" s="107">
        <f t="shared" si="295"/>
        <v>0</v>
      </c>
      <c r="BF218" s="108">
        <f t="shared" si="296"/>
        <v>0</v>
      </c>
      <c r="BG218" s="25" t="e">
        <f t="shared" si="297"/>
        <v>#N/A</v>
      </c>
      <c r="BH218" s="25" t="e">
        <f t="shared" si="298"/>
        <v>#N/A</v>
      </c>
      <c r="BI218" s="25" t="e">
        <f t="shared" si="299"/>
        <v>#N/A</v>
      </c>
      <c r="BJ218" s="27" t="e">
        <f t="shared" si="300"/>
        <v>#N/A</v>
      </c>
      <c r="BK218" s="18" t="e">
        <f t="shared" si="301"/>
        <v>#N/A</v>
      </c>
      <c r="BL218" s="18" t="e">
        <f t="shared" si="302"/>
        <v>#N/A</v>
      </c>
      <c r="BM218" s="28" t="e">
        <f t="shared" si="347"/>
        <v>#N/A</v>
      </c>
      <c r="BN218" s="33">
        <f>HLOOKUP("maximum population",Miscelaneous!$C$1:$C$33,CH218+3,FALSE)</f>
        <v>240</v>
      </c>
      <c r="BO218" s="14">
        <f t="shared" si="313"/>
        <v>32</v>
      </c>
      <c r="BP218" s="14">
        <f t="shared" si="314"/>
        <v>0</v>
      </c>
      <c r="BQ218" s="14">
        <f t="shared" si="315"/>
        <v>208</v>
      </c>
      <c r="BR218" s="34" t="e">
        <f>HLOOKUP(J218,Villagers!$B$1:$V$33,L218+3,FALSE)-HLOOKUP(J218,Villagers!$B$1:$V$33,L218+2,FALSE)</f>
        <v>#N/A</v>
      </c>
      <c r="BS218" s="49">
        <f t="shared" si="316"/>
        <v>1</v>
      </c>
      <c r="BT218" s="50">
        <f t="shared" si="317"/>
        <v>0</v>
      </c>
      <c r="BU218" s="50">
        <f t="shared" si="318"/>
        <v>0</v>
      </c>
      <c r="BV218" s="50">
        <f t="shared" si="319"/>
        <v>0</v>
      </c>
      <c r="BW218" s="50">
        <f t="shared" si="349"/>
        <v>0</v>
      </c>
      <c r="BX218" s="50">
        <f t="shared" si="348"/>
        <v>0</v>
      </c>
      <c r="BY218" s="50">
        <f t="shared" si="348"/>
        <v>0</v>
      </c>
      <c r="BZ218" s="50">
        <f t="shared" si="260"/>
        <v>0</v>
      </c>
      <c r="CA218" s="50">
        <f t="shared" si="261"/>
        <v>0</v>
      </c>
      <c r="CB218" s="50">
        <f t="shared" si="262"/>
        <v>1</v>
      </c>
      <c r="CC218" s="50">
        <f t="shared" si="263"/>
        <v>0</v>
      </c>
      <c r="CD218" s="50">
        <f t="shared" si="264"/>
        <v>0</v>
      </c>
      <c r="CE218" s="50">
        <f t="shared" si="265"/>
        <v>1</v>
      </c>
      <c r="CF218" s="50">
        <f t="shared" si="266"/>
        <v>1</v>
      </c>
      <c r="CG218" s="50">
        <f t="shared" si="267"/>
        <v>1</v>
      </c>
      <c r="CH218" s="50">
        <f t="shared" si="268"/>
        <v>1</v>
      </c>
      <c r="CI218" s="50">
        <f t="shared" si="269"/>
        <v>1</v>
      </c>
      <c r="CJ218" s="50">
        <f t="shared" si="270"/>
        <v>1</v>
      </c>
      <c r="CK218" s="50">
        <f t="shared" si="270"/>
        <v>0</v>
      </c>
      <c r="CL218" s="50">
        <f t="shared" si="270"/>
        <v>0</v>
      </c>
      <c r="CM218" s="51">
        <f t="shared" si="274"/>
        <v>0</v>
      </c>
      <c r="CN218" s="33">
        <f>ROUND(IF(BS218=0,0,HLOOKUP(BS$14,Villagers!$B$1:$V$33,BS218+3,FALSE)),)</f>
        <v>5</v>
      </c>
      <c r="CO218" s="14">
        <f>ROUND(IF(BT218=0,0,HLOOKUP(BT$14,Villagers!$B$1:$V$33,BT218+3,FALSE)),)</f>
        <v>0</v>
      </c>
      <c r="CP218" s="14">
        <f>ROUND(IF(BU218=0,0,HLOOKUP(BU$14,Villagers!$B$1:$V$33,BU218+3,FALSE)),)</f>
        <v>0</v>
      </c>
      <c r="CQ218" s="14">
        <f>ROUND(IF(BV218=0,0,HLOOKUP(BV$14,Villagers!$B$1:$V$33,BV218+3,FALSE)),)</f>
        <v>0</v>
      </c>
      <c r="CR218" s="14">
        <f>ROUND(IF(BW218=0,0,HLOOKUP(BW$14,Villagers!$B$1:$V$33,BW218+3,FALSE)),)</f>
        <v>0</v>
      </c>
      <c r="CS218" s="14">
        <f>ROUND(IF(BX218=0,0,HLOOKUP(BX$14,Villagers!$B$1:$V$33,BX218+3,FALSE)),)</f>
        <v>0</v>
      </c>
      <c r="CT218" s="14">
        <f>ROUND(IF(BY218=0,0,HLOOKUP(BY$14,Villagers!$B$1:$V$33,BY218+3,FALSE)),)</f>
        <v>0</v>
      </c>
      <c r="CU218" s="14">
        <f>ROUND(IF(BZ218=0,0,HLOOKUP(BZ$14,Villagers!$B$1:$V$33,BZ218+3,FALSE)),)</f>
        <v>0</v>
      </c>
      <c r="CV218" s="14">
        <f>ROUND(IF(CA218=0,0,HLOOKUP(CA$14,Villagers!$B$1:$V$33,CA218+3,FALSE)),)</f>
        <v>0</v>
      </c>
      <c r="CW218" s="14">
        <f>ROUND(IF(CB218=0,0,HLOOKUP(CB$14,Villagers!$B$1:$V$33,CB218+3,FALSE)),)</f>
        <v>0</v>
      </c>
      <c r="CX218" s="14">
        <f>ROUND(IF(CC218=0,0,HLOOKUP(CC$14,Villagers!$B$1:$V$33,CC218+3,FALSE)),)</f>
        <v>0</v>
      </c>
      <c r="CY218" s="14">
        <f>ROUND(IF(CD218=0,0,HLOOKUP(CD$14,Villagers!$B$1:$V$33,CD218+3,FALSE)),)</f>
        <v>0</v>
      </c>
      <c r="CZ218" s="14">
        <f>ROUND(IF(CE218=0,0,HLOOKUP(CE$14,Villagers!$B$1:$V$33,CE218+3,FALSE)),)</f>
        <v>5</v>
      </c>
      <c r="DA218" s="14">
        <f>ROUND(IF(CF218=0,0,HLOOKUP(CF$14,Villagers!$B$1:$V$33,CF218+3,FALSE)),)</f>
        <v>10</v>
      </c>
      <c r="DB218" s="14">
        <f>ROUND(IF(CG218=0,0,HLOOKUP(CG$14,Villagers!$B$1:$V$33,CG218+3,FALSE)),)</f>
        <v>10</v>
      </c>
      <c r="DC218" s="14">
        <f>ROUND(IF(CH218=0,0,HLOOKUP(CH$14,Villagers!$B$1:$V$33,CH218+3,FALSE)),)</f>
        <v>0</v>
      </c>
      <c r="DD218" s="14">
        <f>ROUND(IF(CI218=0,0,HLOOKUP(CI$14,Villagers!$B$1:$V$33,CI218+3,FALSE)),)</f>
        <v>0</v>
      </c>
      <c r="DE218" s="14">
        <f>ROUND(IF(CJ218=0,0,HLOOKUP(CJ$14,Villagers!$B$1:$V$33,CJ218+3,FALSE)),)</f>
        <v>2</v>
      </c>
      <c r="DF218" s="370">
        <f>ROUND(IF(CK218=0,0,HLOOKUP(CK$14,Villagers!$B$1:$V$33,CK218+3,FALSE)),)</f>
        <v>0</v>
      </c>
      <c r="DG218" s="370">
        <f>ROUND(IF(CL218=0,0,HLOOKUP(CL$14,Villagers!$B$1:$V$33,CL218+3,FALSE)),)</f>
        <v>0</v>
      </c>
      <c r="DH218" s="34">
        <f>ROUND(IF(CM218=0,0,HLOOKUP(CM$14,Villagers!$B$1:$V$33,CM218+3,FALSE)),)</f>
        <v>0</v>
      </c>
      <c r="DI218" s="109">
        <f t="shared" si="336"/>
        <v>0</v>
      </c>
      <c r="DJ218" s="50">
        <f t="shared" si="337"/>
        <v>0</v>
      </c>
      <c r="DK218" s="50">
        <f t="shared" si="338"/>
        <v>0</v>
      </c>
      <c r="DL218" s="50">
        <f t="shared" si="339"/>
        <v>0</v>
      </c>
      <c r="DM218" s="50">
        <f t="shared" si="340"/>
        <v>0</v>
      </c>
      <c r="DN218" s="50">
        <f t="shared" si="341"/>
        <v>0</v>
      </c>
      <c r="DO218" s="50">
        <f t="shared" si="342"/>
        <v>0</v>
      </c>
      <c r="DP218" s="50">
        <f t="shared" si="343"/>
        <v>0</v>
      </c>
      <c r="DQ218" s="50">
        <f t="shared" si="321"/>
        <v>0</v>
      </c>
      <c r="DR218" s="50">
        <f t="shared" si="322"/>
        <v>0</v>
      </c>
      <c r="DS218" s="96">
        <f>Miscelaneous!$D$4*Miscelaneous!$D$2^($CI218-1)</f>
        <v>1000</v>
      </c>
      <c r="DT218" s="333">
        <f t="shared" si="303"/>
        <v>1</v>
      </c>
      <c r="DU218" s="81">
        <v>1</v>
      </c>
      <c r="DV218" s="79">
        <f t="shared" si="323"/>
        <v>0</v>
      </c>
      <c r="DW218" s="79">
        <f t="shared" si="324"/>
        <v>0</v>
      </c>
      <c r="DX218" s="79">
        <f t="shared" si="325"/>
        <v>0</v>
      </c>
      <c r="DY218" s="79">
        <v>1</v>
      </c>
      <c r="DZ218" s="79">
        <f t="shared" si="326"/>
        <v>0</v>
      </c>
      <c r="EA218" s="79">
        <f t="shared" si="327"/>
        <v>0</v>
      </c>
      <c r="EB218" s="79">
        <f t="shared" si="328"/>
        <v>0</v>
      </c>
      <c r="EC218" s="79">
        <f t="shared" si="329"/>
        <v>0</v>
      </c>
      <c r="ED218" s="79">
        <v>1</v>
      </c>
      <c r="EE218" s="79">
        <v>1</v>
      </c>
      <c r="EF218" s="79">
        <f t="shared" si="330"/>
        <v>0</v>
      </c>
      <c r="EG218" s="79">
        <v>1</v>
      </c>
      <c r="EH218" s="79">
        <v>1</v>
      </c>
      <c r="EI218" s="79">
        <v>1</v>
      </c>
      <c r="EJ218" s="79">
        <v>1</v>
      </c>
      <c r="EK218" s="79">
        <v>1</v>
      </c>
      <c r="EL218" s="79">
        <v>1</v>
      </c>
      <c r="EM218" s="143">
        <f t="shared" si="331"/>
        <v>0</v>
      </c>
      <c r="EN218" s="143">
        <f t="shared" si="332"/>
        <v>0</v>
      </c>
      <c r="EO218" s="82">
        <f t="shared" si="333"/>
        <v>0</v>
      </c>
    </row>
    <row r="219" spans="1:145" x14ac:dyDescent="0.25">
      <c r="A219">
        <v>205</v>
      </c>
      <c r="B219" s="172" t="e">
        <f t="shared" si="304"/>
        <v>#N/A</v>
      </c>
      <c r="C219" s="121" t="e">
        <f t="shared" si="283"/>
        <v>#N/A</v>
      </c>
      <c r="D219" s="122" t="e">
        <f t="shared" si="284"/>
        <v>#N/A</v>
      </c>
      <c r="E219" s="122" t="e">
        <f t="shared" si="285"/>
        <v>#N/A</v>
      </c>
      <c r="F219" s="176" t="e">
        <f t="shared" si="286"/>
        <v>#N/A</v>
      </c>
      <c r="G219" s="121">
        <f t="shared" si="305"/>
        <v>208</v>
      </c>
      <c r="H219" s="176" t="e">
        <f t="shared" si="306"/>
        <v>#N/A</v>
      </c>
      <c r="I219" s="48">
        <v>1</v>
      </c>
      <c r="J219" s="39"/>
      <c r="K219" s="350">
        <v>1</v>
      </c>
      <c r="L219" s="34" t="e">
        <f t="shared" si="287"/>
        <v>#N/A</v>
      </c>
      <c r="M219" s="38" t="e">
        <f>(HLOOKUP(J219,'Construction Times'!$B$3:$W$34,L219+2,FALSE)*HLOOKUP("hq modifier",'Construction Times'!$W$3:$W$34,BS219+2,FALSE))*(1-$H$9)</f>
        <v>#N/A</v>
      </c>
      <c r="N219" s="443" t="e">
        <f t="shared" si="307"/>
        <v>#N/A</v>
      </c>
      <c r="O219" s="444"/>
      <c r="P219" s="447" t="e">
        <f t="shared" si="308"/>
        <v>#N/A</v>
      </c>
      <c r="Q219" s="448"/>
      <c r="R219" s="103">
        <f t="shared" si="334"/>
        <v>0</v>
      </c>
      <c r="S219" s="104">
        <f t="shared" si="334"/>
        <v>0</v>
      </c>
      <c r="T219" s="104">
        <f t="shared" si="335"/>
        <v>0</v>
      </c>
      <c r="U219" s="104">
        <f t="shared" si="335"/>
        <v>0</v>
      </c>
      <c r="V219" s="104">
        <f t="shared" si="335"/>
        <v>9.9999999999999995E-8</v>
      </c>
      <c r="W219" s="104">
        <f t="shared" si="335"/>
        <v>0</v>
      </c>
      <c r="X219" s="104">
        <f t="shared" si="273"/>
        <v>0</v>
      </c>
      <c r="Y219" s="104">
        <f t="shared" si="273"/>
        <v>9.9999999999999995E-8</v>
      </c>
      <c r="Z219" s="104">
        <f t="shared" si="273"/>
        <v>9.9999999999999995E-8</v>
      </c>
      <c r="AA219" s="105">
        <f t="shared" si="273"/>
        <v>9.9999999999999995E-8</v>
      </c>
      <c r="AB219" s="101" t="e">
        <f>$DT219*HLOOKUP($J219,'Construction Costs (timber)'!$B$1:$V$32,'Construction Planner'!$L219+2,FALSE)</f>
        <v>#N/A</v>
      </c>
      <c r="AC219" s="14" t="e">
        <f>$DT219*HLOOKUP($J219,'Construction Costs (clay)'!$B$1:$V$32,'Construction Planner'!$L219+2,FALSE)</f>
        <v>#N/A</v>
      </c>
      <c r="AD219" s="14" t="e">
        <f>$DT219*HLOOKUP($J219,'Construction Costs (iron)'!$B$1:$V$32,'Construction Planner'!$L219+2,FALSE)</f>
        <v>#N/A</v>
      </c>
      <c r="AE219" s="34" t="e">
        <f t="shared" si="344"/>
        <v>#N/A</v>
      </c>
      <c r="AF219" s="33" t="e">
        <f t="shared" si="288"/>
        <v>#N/A</v>
      </c>
      <c r="AG219" s="14" t="e">
        <f t="shared" si="289"/>
        <v>#N/A</v>
      </c>
      <c r="AH219" s="14" t="e">
        <f t="shared" si="290"/>
        <v>#N/A</v>
      </c>
      <c r="AI219" s="34" t="e">
        <f t="shared" si="345"/>
        <v>#N/A</v>
      </c>
      <c r="AJ219" s="49" t="e">
        <f t="shared" si="309"/>
        <v>#N/A</v>
      </c>
      <c r="AK219" s="49" t="e">
        <f t="shared" si="310"/>
        <v>#N/A</v>
      </c>
      <c r="AL219" s="49" t="e">
        <f t="shared" si="311"/>
        <v>#N/A</v>
      </c>
      <c r="AM219" s="25">
        <f t="shared" si="291"/>
        <v>30</v>
      </c>
      <c r="AN219" s="25">
        <f t="shared" si="292"/>
        <v>30</v>
      </c>
      <c r="AO219" s="25">
        <f t="shared" si="293"/>
        <v>30</v>
      </c>
      <c r="AP219" s="52" t="e">
        <f t="shared" si="312"/>
        <v>#N/A</v>
      </c>
      <c r="AQ219" s="53" t="e">
        <f t="shared" si="312"/>
        <v>#N/A</v>
      </c>
      <c r="AR219" s="54" t="e">
        <f t="shared" si="312"/>
        <v>#N/A</v>
      </c>
      <c r="AS219" s="316">
        <f t="shared" si="346"/>
        <v>0</v>
      </c>
      <c r="AT219" s="106">
        <f>_xlfn.IFNA($M219/VLOOKUP($BT219,'Unit information'!$A$2:$K$29,2,FALSE)*R219,0)*(1+$E$9)</f>
        <v>0</v>
      </c>
      <c r="AU219" s="107">
        <f>_xlfn.IFNA($M219/VLOOKUP($BT219,'Unit information'!$A$2:$K$29,3,FALSE)*S219,0)*(1+$E$9)</f>
        <v>0</v>
      </c>
      <c r="AV219" s="107">
        <f>_xlfn.IFNA($M219/VLOOKUP($BT219,'Unit information'!$A$2:$K$29,4,FALSE)*T219,0)*(1+$E$9)</f>
        <v>0</v>
      </c>
      <c r="AW219" s="107">
        <f>_xlfn.IFNA($M219/VLOOKUP($BT219,'Unit information'!$A$2:$K$29,5,FALSE)*U219,0)*(1+$E$9)</f>
        <v>0</v>
      </c>
      <c r="AX219" s="107">
        <f>_xlfn.IFNA($M219/VLOOKUP($BU219,'Unit information'!$A$2:$K$29,6,FALSE)*V219,0)*(1+$E$9)</f>
        <v>0</v>
      </c>
      <c r="AY219" s="107">
        <f>_xlfn.IFNA($M219/VLOOKUP($BU219,'Unit information'!$A$2:$K$29,7,FALSE)*W219,0)*(1+$E$9)</f>
        <v>0</v>
      </c>
      <c r="AZ219" s="107">
        <f>_xlfn.IFNA($M219/VLOOKUP($BU219,'Unit information'!$A$2:$K$29,8,FALSE)*X219,0)*(1+$E$9)</f>
        <v>0</v>
      </c>
      <c r="BA219" s="107">
        <f>_xlfn.IFNA($M219/VLOOKUP($BU219,'Unit information'!$A$2:$K$29,9,FALSE)*Y219,0)*(1+$E$9)</f>
        <v>0</v>
      </c>
      <c r="BB219" s="107">
        <f>_xlfn.IFNA($M219/VLOOKUP($BV219,'Unit information'!$A$2:$K$29,10,FALSE)*Z219,0)*(1+$E$9)</f>
        <v>0</v>
      </c>
      <c r="BC219" s="108">
        <f>_xlfn.IFNA($M219/VLOOKUP($BV219,'Unit information'!$A$2:$K$29,11,FALSE)*AA219,0)*(1+$E$9)</f>
        <v>0</v>
      </c>
      <c r="BD219" s="106">
        <f t="shared" si="294"/>
        <v>0</v>
      </c>
      <c r="BE219" s="107">
        <f t="shared" si="295"/>
        <v>0</v>
      </c>
      <c r="BF219" s="108">
        <f t="shared" si="296"/>
        <v>0</v>
      </c>
      <c r="BG219" s="25" t="e">
        <f t="shared" si="297"/>
        <v>#N/A</v>
      </c>
      <c r="BH219" s="25" t="e">
        <f t="shared" si="298"/>
        <v>#N/A</v>
      </c>
      <c r="BI219" s="25" t="e">
        <f t="shared" si="299"/>
        <v>#N/A</v>
      </c>
      <c r="BJ219" s="27" t="e">
        <f t="shared" si="300"/>
        <v>#N/A</v>
      </c>
      <c r="BK219" s="18" t="e">
        <f t="shared" si="301"/>
        <v>#N/A</v>
      </c>
      <c r="BL219" s="18" t="e">
        <f t="shared" si="302"/>
        <v>#N/A</v>
      </c>
      <c r="BM219" s="28" t="e">
        <f t="shared" si="347"/>
        <v>#N/A</v>
      </c>
      <c r="BN219" s="33">
        <f>HLOOKUP("maximum population",Miscelaneous!$C$1:$C$33,CH219+3,FALSE)</f>
        <v>240</v>
      </c>
      <c r="BO219" s="14">
        <f t="shared" si="313"/>
        <v>32</v>
      </c>
      <c r="BP219" s="14">
        <f t="shared" si="314"/>
        <v>0</v>
      </c>
      <c r="BQ219" s="14">
        <f t="shared" si="315"/>
        <v>208</v>
      </c>
      <c r="BR219" s="34" t="e">
        <f>HLOOKUP(J219,Villagers!$B$1:$V$33,L219+3,FALSE)-HLOOKUP(J219,Villagers!$B$1:$V$33,L219+2,FALSE)</f>
        <v>#N/A</v>
      </c>
      <c r="BS219" s="49">
        <f t="shared" si="316"/>
        <v>1</v>
      </c>
      <c r="BT219" s="50">
        <f t="shared" si="317"/>
        <v>0</v>
      </c>
      <c r="BU219" s="50">
        <f t="shared" si="318"/>
        <v>0</v>
      </c>
      <c r="BV219" s="50">
        <f t="shared" si="319"/>
        <v>0</v>
      </c>
      <c r="BW219" s="50">
        <f t="shared" si="349"/>
        <v>0</v>
      </c>
      <c r="BX219" s="50">
        <f t="shared" si="348"/>
        <v>0</v>
      </c>
      <c r="BY219" s="50">
        <f t="shared" si="348"/>
        <v>0</v>
      </c>
      <c r="BZ219" s="50">
        <f t="shared" si="260"/>
        <v>0</v>
      </c>
      <c r="CA219" s="50">
        <f t="shared" si="261"/>
        <v>0</v>
      </c>
      <c r="CB219" s="50">
        <f t="shared" si="262"/>
        <v>1</v>
      </c>
      <c r="CC219" s="50">
        <f t="shared" si="263"/>
        <v>0</v>
      </c>
      <c r="CD219" s="50">
        <f t="shared" si="264"/>
        <v>0</v>
      </c>
      <c r="CE219" s="50">
        <f t="shared" si="265"/>
        <v>1</v>
      </c>
      <c r="CF219" s="50">
        <f t="shared" si="266"/>
        <v>1</v>
      </c>
      <c r="CG219" s="50">
        <f t="shared" si="267"/>
        <v>1</v>
      </c>
      <c r="CH219" s="50">
        <f t="shared" si="268"/>
        <v>1</v>
      </c>
      <c r="CI219" s="50">
        <f t="shared" si="269"/>
        <v>1</v>
      </c>
      <c r="CJ219" s="50">
        <f t="shared" si="270"/>
        <v>1</v>
      </c>
      <c r="CK219" s="50">
        <f t="shared" si="270"/>
        <v>0</v>
      </c>
      <c r="CL219" s="50">
        <f t="shared" si="270"/>
        <v>0</v>
      </c>
      <c r="CM219" s="51">
        <f t="shared" si="274"/>
        <v>0</v>
      </c>
      <c r="CN219" s="33">
        <f>ROUND(IF(BS219=0,0,HLOOKUP(BS$14,Villagers!$B$1:$V$33,BS219+3,FALSE)),)</f>
        <v>5</v>
      </c>
      <c r="CO219" s="14">
        <f>ROUND(IF(BT219=0,0,HLOOKUP(BT$14,Villagers!$B$1:$V$33,BT219+3,FALSE)),)</f>
        <v>0</v>
      </c>
      <c r="CP219" s="14">
        <f>ROUND(IF(BU219=0,0,HLOOKUP(BU$14,Villagers!$B$1:$V$33,BU219+3,FALSE)),)</f>
        <v>0</v>
      </c>
      <c r="CQ219" s="14">
        <f>ROUND(IF(BV219=0,0,HLOOKUP(BV$14,Villagers!$B$1:$V$33,BV219+3,FALSE)),)</f>
        <v>0</v>
      </c>
      <c r="CR219" s="14">
        <f>ROUND(IF(BW219=0,0,HLOOKUP(BW$14,Villagers!$B$1:$V$33,BW219+3,FALSE)),)</f>
        <v>0</v>
      </c>
      <c r="CS219" s="14">
        <f>ROUND(IF(BX219=0,0,HLOOKUP(BX$14,Villagers!$B$1:$V$33,BX219+3,FALSE)),)</f>
        <v>0</v>
      </c>
      <c r="CT219" s="14">
        <f>ROUND(IF(BY219=0,0,HLOOKUP(BY$14,Villagers!$B$1:$V$33,BY219+3,FALSE)),)</f>
        <v>0</v>
      </c>
      <c r="CU219" s="14">
        <f>ROUND(IF(BZ219=0,0,HLOOKUP(BZ$14,Villagers!$B$1:$V$33,BZ219+3,FALSE)),)</f>
        <v>0</v>
      </c>
      <c r="CV219" s="14">
        <f>ROUND(IF(CA219=0,0,HLOOKUP(CA$14,Villagers!$B$1:$V$33,CA219+3,FALSE)),)</f>
        <v>0</v>
      </c>
      <c r="CW219" s="14">
        <f>ROUND(IF(CB219=0,0,HLOOKUP(CB$14,Villagers!$B$1:$V$33,CB219+3,FALSE)),)</f>
        <v>0</v>
      </c>
      <c r="CX219" s="14">
        <f>ROUND(IF(CC219=0,0,HLOOKUP(CC$14,Villagers!$B$1:$V$33,CC219+3,FALSE)),)</f>
        <v>0</v>
      </c>
      <c r="CY219" s="14">
        <f>ROUND(IF(CD219=0,0,HLOOKUP(CD$14,Villagers!$B$1:$V$33,CD219+3,FALSE)),)</f>
        <v>0</v>
      </c>
      <c r="CZ219" s="14">
        <f>ROUND(IF(CE219=0,0,HLOOKUP(CE$14,Villagers!$B$1:$V$33,CE219+3,FALSE)),)</f>
        <v>5</v>
      </c>
      <c r="DA219" s="14">
        <f>ROUND(IF(CF219=0,0,HLOOKUP(CF$14,Villagers!$B$1:$V$33,CF219+3,FALSE)),)</f>
        <v>10</v>
      </c>
      <c r="DB219" s="14">
        <f>ROUND(IF(CG219=0,0,HLOOKUP(CG$14,Villagers!$B$1:$V$33,CG219+3,FALSE)),)</f>
        <v>10</v>
      </c>
      <c r="DC219" s="14">
        <f>ROUND(IF(CH219=0,0,HLOOKUP(CH$14,Villagers!$B$1:$V$33,CH219+3,FALSE)),)</f>
        <v>0</v>
      </c>
      <c r="DD219" s="14">
        <f>ROUND(IF(CI219=0,0,HLOOKUP(CI$14,Villagers!$B$1:$V$33,CI219+3,FALSE)),)</f>
        <v>0</v>
      </c>
      <c r="DE219" s="14">
        <f>ROUND(IF(CJ219=0,0,HLOOKUP(CJ$14,Villagers!$B$1:$V$33,CJ219+3,FALSE)),)</f>
        <v>2</v>
      </c>
      <c r="DF219" s="370">
        <f>ROUND(IF(CK219=0,0,HLOOKUP(CK$14,Villagers!$B$1:$V$33,CK219+3,FALSE)),)</f>
        <v>0</v>
      </c>
      <c r="DG219" s="370">
        <f>ROUND(IF(CL219=0,0,HLOOKUP(CL$14,Villagers!$B$1:$V$33,CL219+3,FALSE)),)</f>
        <v>0</v>
      </c>
      <c r="DH219" s="34">
        <f>ROUND(IF(CM219=0,0,HLOOKUP(CM$14,Villagers!$B$1:$V$33,CM219+3,FALSE)),)</f>
        <v>0</v>
      </c>
      <c r="DI219" s="109">
        <f t="shared" si="336"/>
        <v>0</v>
      </c>
      <c r="DJ219" s="50">
        <f t="shared" si="337"/>
        <v>0</v>
      </c>
      <c r="DK219" s="50">
        <f t="shared" si="338"/>
        <v>0</v>
      </c>
      <c r="DL219" s="50">
        <f t="shared" si="339"/>
        <v>0</v>
      </c>
      <c r="DM219" s="50">
        <f t="shared" si="340"/>
        <v>0</v>
      </c>
      <c r="DN219" s="50">
        <f t="shared" si="341"/>
        <v>0</v>
      </c>
      <c r="DO219" s="50">
        <f t="shared" si="342"/>
        <v>0</v>
      </c>
      <c r="DP219" s="50">
        <f t="shared" si="343"/>
        <v>0</v>
      </c>
      <c r="DQ219" s="50">
        <f t="shared" si="321"/>
        <v>0</v>
      </c>
      <c r="DR219" s="50">
        <f t="shared" si="322"/>
        <v>0</v>
      </c>
      <c r="DS219" s="96">
        <f>Miscelaneous!$D$4*Miscelaneous!$D$2^($CI219-1)</f>
        <v>1000</v>
      </c>
      <c r="DT219" s="333">
        <f t="shared" si="303"/>
        <v>1</v>
      </c>
      <c r="DU219" s="81">
        <v>1</v>
      </c>
      <c r="DV219" s="79">
        <f t="shared" si="323"/>
        <v>0</v>
      </c>
      <c r="DW219" s="79">
        <f t="shared" si="324"/>
        <v>0</v>
      </c>
      <c r="DX219" s="79">
        <f t="shared" si="325"/>
        <v>0</v>
      </c>
      <c r="DY219" s="79">
        <v>1</v>
      </c>
      <c r="DZ219" s="79">
        <f t="shared" si="326"/>
        <v>0</v>
      </c>
      <c r="EA219" s="79">
        <f t="shared" si="327"/>
        <v>0</v>
      </c>
      <c r="EB219" s="79">
        <f t="shared" si="328"/>
        <v>0</v>
      </c>
      <c r="EC219" s="79">
        <f t="shared" si="329"/>
        <v>0</v>
      </c>
      <c r="ED219" s="79">
        <v>1</v>
      </c>
      <c r="EE219" s="79">
        <v>1</v>
      </c>
      <c r="EF219" s="79">
        <f t="shared" si="330"/>
        <v>0</v>
      </c>
      <c r="EG219" s="79">
        <v>1</v>
      </c>
      <c r="EH219" s="79">
        <v>1</v>
      </c>
      <c r="EI219" s="79">
        <v>1</v>
      </c>
      <c r="EJ219" s="79">
        <v>1</v>
      </c>
      <c r="EK219" s="79">
        <v>1</v>
      </c>
      <c r="EL219" s="79">
        <v>1</v>
      </c>
      <c r="EM219" s="143">
        <f t="shared" si="331"/>
        <v>0</v>
      </c>
      <c r="EN219" s="143">
        <f t="shared" si="332"/>
        <v>0</v>
      </c>
      <c r="EO219" s="82">
        <f t="shared" si="333"/>
        <v>0</v>
      </c>
    </row>
    <row r="220" spans="1:145" x14ac:dyDescent="0.25">
      <c r="A220">
        <v>206</v>
      </c>
      <c r="B220" s="172" t="e">
        <f t="shared" si="304"/>
        <v>#N/A</v>
      </c>
      <c r="C220" s="121" t="e">
        <f t="shared" si="283"/>
        <v>#N/A</v>
      </c>
      <c r="D220" s="122" t="e">
        <f t="shared" si="284"/>
        <v>#N/A</v>
      </c>
      <c r="E220" s="122" t="e">
        <f t="shared" si="285"/>
        <v>#N/A</v>
      </c>
      <c r="F220" s="176" t="e">
        <f t="shared" si="286"/>
        <v>#N/A</v>
      </c>
      <c r="G220" s="121">
        <f t="shared" si="305"/>
        <v>208</v>
      </c>
      <c r="H220" s="176" t="e">
        <f t="shared" si="306"/>
        <v>#N/A</v>
      </c>
      <c r="I220" s="48">
        <v>1</v>
      </c>
      <c r="J220" s="39"/>
      <c r="K220" s="350">
        <v>1</v>
      </c>
      <c r="L220" s="34" t="e">
        <f t="shared" si="287"/>
        <v>#N/A</v>
      </c>
      <c r="M220" s="38" t="e">
        <f>(HLOOKUP(J220,'Construction Times'!$B$3:$W$34,L220+2,FALSE)*HLOOKUP("hq modifier",'Construction Times'!$W$3:$W$34,BS220+2,FALSE))*(1-$H$9)</f>
        <v>#N/A</v>
      </c>
      <c r="N220" s="443" t="e">
        <f t="shared" si="307"/>
        <v>#N/A</v>
      </c>
      <c r="O220" s="444"/>
      <c r="P220" s="447" t="e">
        <f t="shared" si="308"/>
        <v>#N/A</v>
      </c>
      <c r="Q220" s="448"/>
      <c r="R220" s="103">
        <f t="shared" si="334"/>
        <v>0</v>
      </c>
      <c r="S220" s="104">
        <f t="shared" si="334"/>
        <v>0</v>
      </c>
      <c r="T220" s="104">
        <f t="shared" si="335"/>
        <v>0</v>
      </c>
      <c r="U220" s="104">
        <f t="shared" si="335"/>
        <v>0</v>
      </c>
      <c r="V220" s="104">
        <f t="shared" si="335"/>
        <v>9.9999999999999995E-8</v>
      </c>
      <c r="W220" s="104">
        <f t="shared" si="335"/>
        <v>0</v>
      </c>
      <c r="X220" s="104">
        <f t="shared" si="273"/>
        <v>0</v>
      </c>
      <c r="Y220" s="104">
        <f t="shared" si="273"/>
        <v>9.9999999999999995E-8</v>
      </c>
      <c r="Z220" s="104">
        <f t="shared" si="273"/>
        <v>9.9999999999999995E-8</v>
      </c>
      <c r="AA220" s="105">
        <f t="shared" si="273"/>
        <v>9.9999999999999995E-8</v>
      </c>
      <c r="AB220" s="101" t="e">
        <f>$DT220*HLOOKUP($J220,'Construction Costs (timber)'!$B$1:$V$32,'Construction Planner'!$L220+2,FALSE)</f>
        <v>#N/A</v>
      </c>
      <c r="AC220" s="14" t="e">
        <f>$DT220*HLOOKUP($J220,'Construction Costs (clay)'!$B$1:$V$32,'Construction Planner'!$L220+2,FALSE)</f>
        <v>#N/A</v>
      </c>
      <c r="AD220" s="14" t="e">
        <f>$DT220*HLOOKUP($J220,'Construction Costs (iron)'!$B$1:$V$32,'Construction Planner'!$L220+2,FALSE)</f>
        <v>#N/A</v>
      </c>
      <c r="AE220" s="34" t="e">
        <f t="shared" si="344"/>
        <v>#N/A</v>
      </c>
      <c r="AF220" s="33" t="e">
        <f t="shared" si="288"/>
        <v>#N/A</v>
      </c>
      <c r="AG220" s="14" t="e">
        <f t="shared" si="289"/>
        <v>#N/A</v>
      </c>
      <c r="AH220" s="14" t="e">
        <f t="shared" si="290"/>
        <v>#N/A</v>
      </c>
      <c r="AI220" s="34" t="e">
        <f t="shared" si="345"/>
        <v>#N/A</v>
      </c>
      <c r="AJ220" s="49" t="e">
        <f t="shared" si="309"/>
        <v>#N/A</v>
      </c>
      <c r="AK220" s="49" t="e">
        <f t="shared" si="310"/>
        <v>#N/A</v>
      </c>
      <c r="AL220" s="49" t="e">
        <f t="shared" si="311"/>
        <v>#N/A</v>
      </c>
      <c r="AM220" s="25">
        <f t="shared" si="291"/>
        <v>30</v>
      </c>
      <c r="AN220" s="25">
        <f t="shared" si="292"/>
        <v>30</v>
      </c>
      <c r="AO220" s="25">
        <f t="shared" si="293"/>
        <v>30</v>
      </c>
      <c r="AP220" s="52" t="e">
        <f t="shared" si="312"/>
        <v>#N/A</v>
      </c>
      <c r="AQ220" s="53" t="e">
        <f t="shared" si="312"/>
        <v>#N/A</v>
      </c>
      <c r="AR220" s="54" t="e">
        <f t="shared" si="312"/>
        <v>#N/A</v>
      </c>
      <c r="AS220" s="316">
        <f t="shared" si="346"/>
        <v>0</v>
      </c>
      <c r="AT220" s="106">
        <f>_xlfn.IFNA($M220/VLOOKUP($BT220,'Unit information'!$A$2:$K$29,2,FALSE)*R220,0)*(1+$E$9)</f>
        <v>0</v>
      </c>
      <c r="AU220" s="107">
        <f>_xlfn.IFNA($M220/VLOOKUP($BT220,'Unit information'!$A$2:$K$29,3,FALSE)*S220,0)*(1+$E$9)</f>
        <v>0</v>
      </c>
      <c r="AV220" s="107">
        <f>_xlfn.IFNA($M220/VLOOKUP($BT220,'Unit information'!$A$2:$K$29,4,FALSE)*T220,0)*(1+$E$9)</f>
        <v>0</v>
      </c>
      <c r="AW220" s="107">
        <f>_xlfn.IFNA($M220/VLOOKUP($BT220,'Unit information'!$A$2:$K$29,5,FALSE)*U220,0)*(1+$E$9)</f>
        <v>0</v>
      </c>
      <c r="AX220" s="107">
        <f>_xlfn.IFNA($M220/VLOOKUP($BU220,'Unit information'!$A$2:$K$29,6,FALSE)*V220,0)*(1+$E$9)</f>
        <v>0</v>
      </c>
      <c r="AY220" s="107">
        <f>_xlfn.IFNA($M220/VLOOKUP($BU220,'Unit information'!$A$2:$K$29,7,FALSE)*W220,0)*(1+$E$9)</f>
        <v>0</v>
      </c>
      <c r="AZ220" s="107">
        <f>_xlfn.IFNA($M220/VLOOKUP($BU220,'Unit information'!$A$2:$K$29,8,FALSE)*X220,0)*(1+$E$9)</f>
        <v>0</v>
      </c>
      <c r="BA220" s="107">
        <f>_xlfn.IFNA($M220/VLOOKUP($BU220,'Unit information'!$A$2:$K$29,9,FALSE)*Y220,0)*(1+$E$9)</f>
        <v>0</v>
      </c>
      <c r="BB220" s="107">
        <f>_xlfn.IFNA($M220/VLOOKUP($BV220,'Unit information'!$A$2:$K$29,10,FALSE)*Z220,0)*(1+$E$9)</f>
        <v>0</v>
      </c>
      <c r="BC220" s="108">
        <f>_xlfn.IFNA($M220/VLOOKUP($BV220,'Unit information'!$A$2:$K$29,11,FALSE)*AA220,0)*(1+$E$9)</f>
        <v>0</v>
      </c>
      <c r="BD220" s="106">
        <f t="shared" si="294"/>
        <v>0</v>
      </c>
      <c r="BE220" s="107">
        <f t="shared" si="295"/>
        <v>0</v>
      </c>
      <c r="BF220" s="108">
        <f t="shared" si="296"/>
        <v>0</v>
      </c>
      <c r="BG220" s="25" t="e">
        <f t="shared" si="297"/>
        <v>#N/A</v>
      </c>
      <c r="BH220" s="25" t="e">
        <f t="shared" si="298"/>
        <v>#N/A</v>
      </c>
      <c r="BI220" s="25" t="e">
        <f t="shared" si="299"/>
        <v>#N/A</v>
      </c>
      <c r="BJ220" s="27" t="e">
        <f t="shared" si="300"/>
        <v>#N/A</v>
      </c>
      <c r="BK220" s="18" t="e">
        <f t="shared" si="301"/>
        <v>#N/A</v>
      </c>
      <c r="BL220" s="18" t="e">
        <f t="shared" si="302"/>
        <v>#N/A</v>
      </c>
      <c r="BM220" s="28" t="e">
        <f t="shared" si="347"/>
        <v>#N/A</v>
      </c>
      <c r="BN220" s="33">
        <f>HLOOKUP("maximum population",Miscelaneous!$C$1:$C$33,CH220+3,FALSE)</f>
        <v>240</v>
      </c>
      <c r="BO220" s="14">
        <f t="shared" si="313"/>
        <v>32</v>
      </c>
      <c r="BP220" s="14">
        <f t="shared" si="314"/>
        <v>0</v>
      </c>
      <c r="BQ220" s="14">
        <f t="shared" si="315"/>
        <v>208</v>
      </c>
      <c r="BR220" s="34" t="e">
        <f>HLOOKUP(J220,Villagers!$B$1:$V$33,L220+3,FALSE)-HLOOKUP(J220,Villagers!$B$1:$V$33,L220+2,FALSE)</f>
        <v>#N/A</v>
      </c>
      <c r="BS220" s="49">
        <f t="shared" si="316"/>
        <v>1</v>
      </c>
      <c r="BT220" s="50">
        <f t="shared" si="317"/>
        <v>0</v>
      </c>
      <c r="BU220" s="50">
        <f t="shared" si="318"/>
        <v>0</v>
      </c>
      <c r="BV220" s="50">
        <f t="shared" si="319"/>
        <v>0</v>
      </c>
      <c r="BW220" s="50">
        <f t="shared" si="349"/>
        <v>0</v>
      </c>
      <c r="BX220" s="50">
        <f t="shared" si="348"/>
        <v>0</v>
      </c>
      <c r="BY220" s="50">
        <f t="shared" si="348"/>
        <v>0</v>
      </c>
      <c r="BZ220" s="50">
        <f t="shared" si="260"/>
        <v>0</v>
      </c>
      <c r="CA220" s="50">
        <f t="shared" si="261"/>
        <v>0</v>
      </c>
      <c r="CB220" s="50">
        <f t="shared" si="262"/>
        <v>1</v>
      </c>
      <c r="CC220" s="50">
        <f t="shared" si="263"/>
        <v>0</v>
      </c>
      <c r="CD220" s="50">
        <f t="shared" si="264"/>
        <v>0</v>
      </c>
      <c r="CE220" s="50">
        <f t="shared" si="265"/>
        <v>1</v>
      </c>
      <c r="CF220" s="50">
        <f t="shared" si="266"/>
        <v>1</v>
      </c>
      <c r="CG220" s="50">
        <f t="shared" si="267"/>
        <v>1</v>
      </c>
      <c r="CH220" s="50">
        <f t="shared" si="268"/>
        <v>1</v>
      </c>
      <c r="CI220" s="50">
        <f t="shared" si="269"/>
        <v>1</v>
      </c>
      <c r="CJ220" s="50">
        <f t="shared" si="270"/>
        <v>1</v>
      </c>
      <c r="CK220" s="50">
        <f t="shared" si="270"/>
        <v>0</v>
      </c>
      <c r="CL220" s="50">
        <f t="shared" si="270"/>
        <v>0</v>
      </c>
      <c r="CM220" s="51">
        <f t="shared" si="274"/>
        <v>0</v>
      </c>
      <c r="CN220" s="33">
        <f>ROUND(IF(BS220=0,0,HLOOKUP(BS$14,Villagers!$B$1:$V$33,BS220+3,FALSE)),)</f>
        <v>5</v>
      </c>
      <c r="CO220" s="14">
        <f>ROUND(IF(BT220=0,0,HLOOKUP(BT$14,Villagers!$B$1:$V$33,BT220+3,FALSE)),)</f>
        <v>0</v>
      </c>
      <c r="CP220" s="14">
        <f>ROUND(IF(BU220=0,0,HLOOKUP(BU$14,Villagers!$B$1:$V$33,BU220+3,FALSE)),)</f>
        <v>0</v>
      </c>
      <c r="CQ220" s="14">
        <f>ROUND(IF(BV220=0,0,HLOOKUP(BV$14,Villagers!$B$1:$V$33,BV220+3,FALSE)),)</f>
        <v>0</v>
      </c>
      <c r="CR220" s="14">
        <f>ROUND(IF(BW220=0,0,HLOOKUP(BW$14,Villagers!$B$1:$V$33,BW220+3,FALSE)),)</f>
        <v>0</v>
      </c>
      <c r="CS220" s="14">
        <f>ROUND(IF(BX220=0,0,HLOOKUP(BX$14,Villagers!$B$1:$V$33,BX220+3,FALSE)),)</f>
        <v>0</v>
      </c>
      <c r="CT220" s="14">
        <f>ROUND(IF(BY220=0,0,HLOOKUP(BY$14,Villagers!$B$1:$V$33,BY220+3,FALSE)),)</f>
        <v>0</v>
      </c>
      <c r="CU220" s="14">
        <f>ROUND(IF(BZ220=0,0,HLOOKUP(BZ$14,Villagers!$B$1:$V$33,BZ220+3,FALSE)),)</f>
        <v>0</v>
      </c>
      <c r="CV220" s="14">
        <f>ROUND(IF(CA220=0,0,HLOOKUP(CA$14,Villagers!$B$1:$V$33,CA220+3,FALSE)),)</f>
        <v>0</v>
      </c>
      <c r="CW220" s="14">
        <f>ROUND(IF(CB220=0,0,HLOOKUP(CB$14,Villagers!$B$1:$V$33,CB220+3,FALSE)),)</f>
        <v>0</v>
      </c>
      <c r="CX220" s="14">
        <f>ROUND(IF(CC220=0,0,HLOOKUP(CC$14,Villagers!$B$1:$V$33,CC220+3,FALSE)),)</f>
        <v>0</v>
      </c>
      <c r="CY220" s="14">
        <f>ROUND(IF(CD220=0,0,HLOOKUP(CD$14,Villagers!$B$1:$V$33,CD220+3,FALSE)),)</f>
        <v>0</v>
      </c>
      <c r="CZ220" s="14">
        <f>ROUND(IF(CE220=0,0,HLOOKUP(CE$14,Villagers!$B$1:$V$33,CE220+3,FALSE)),)</f>
        <v>5</v>
      </c>
      <c r="DA220" s="14">
        <f>ROUND(IF(CF220=0,0,HLOOKUP(CF$14,Villagers!$B$1:$V$33,CF220+3,FALSE)),)</f>
        <v>10</v>
      </c>
      <c r="DB220" s="14">
        <f>ROUND(IF(CG220=0,0,HLOOKUP(CG$14,Villagers!$B$1:$V$33,CG220+3,FALSE)),)</f>
        <v>10</v>
      </c>
      <c r="DC220" s="14">
        <f>ROUND(IF(CH220=0,0,HLOOKUP(CH$14,Villagers!$B$1:$V$33,CH220+3,FALSE)),)</f>
        <v>0</v>
      </c>
      <c r="DD220" s="14">
        <f>ROUND(IF(CI220=0,0,HLOOKUP(CI$14,Villagers!$B$1:$V$33,CI220+3,FALSE)),)</f>
        <v>0</v>
      </c>
      <c r="DE220" s="14">
        <f>ROUND(IF(CJ220=0,0,HLOOKUP(CJ$14,Villagers!$B$1:$V$33,CJ220+3,FALSE)),)</f>
        <v>2</v>
      </c>
      <c r="DF220" s="370">
        <f>ROUND(IF(CK220=0,0,HLOOKUP(CK$14,Villagers!$B$1:$V$33,CK220+3,FALSE)),)</f>
        <v>0</v>
      </c>
      <c r="DG220" s="370">
        <f>ROUND(IF(CL220=0,0,HLOOKUP(CL$14,Villagers!$B$1:$V$33,CL220+3,FALSE)),)</f>
        <v>0</v>
      </c>
      <c r="DH220" s="34">
        <f>ROUND(IF(CM220=0,0,HLOOKUP(CM$14,Villagers!$B$1:$V$33,CM220+3,FALSE)),)</f>
        <v>0</v>
      </c>
      <c r="DI220" s="109">
        <f t="shared" si="336"/>
        <v>0</v>
      </c>
      <c r="DJ220" s="50">
        <f t="shared" si="337"/>
        <v>0</v>
      </c>
      <c r="DK220" s="50">
        <f t="shared" si="338"/>
        <v>0</v>
      </c>
      <c r="DL220" s="50">
        <f t="shared" si="339"/>
        <v>0</v>
      </c>
      <c r="DM220" s="50">
        <f t="shared" si="340"/>
        <v>0</v>
      </c>
      <c r="DN220" s="50">
        <f t="shared" si="341"/>
        <v>0</v>
      </c>
      <c r="DO220" s="50">
        <f t="shared" si="342"/>
        <v>0</v>
      </c>
      <c r="DP220" s="50">
        <f t="shared" si="343"/>
        <v>0</v>
      </c>
      <c r="DQ220" s="50">
        <f t="shared" si="321"/>
        <v>0</v>
      </c>
      <c r="DR220" s="50">
        <f t="shared" si="322"/>
        <v>0</v>
      </c>
      <c r="DS220" s="96">
        <f>Miscelaneous!$D$4*Miscelaneous!$D$2^($CI220-1)</f>
        <v>1000</v>
      </c>
      <c r="DT220" s="333">
        <f t="shared" si="303"/>
        <v>1</v>
      </c>
      <c r="DU220" s="81">
        <v>1</v>
      </c>
      <c r="DV220" s="79">
        <f t="shared" si="323"/>
        <v>0</v>
      </c>
      <c r="DW220" s="79">
        <f t="shared" si="324"/>
        <v>0</v>
      </c>
      <c r="DX220" s="79">
        <f t="shared" si="325"/>
        <v>0</v>
      </c>
      <c r="DY220" s="79">
        <v>1</v>
      </c>
      <c r="DZ220" s="79">
        <f t="shared" si="326"/>
        <v>0</v>
      </c>
      <c r="EA220" s="79">
        <f t="shared" si="327"/>
        <v>0</v>
      </c>
      <c r="EB220" s="79">
        <f t="shared" si="328"/>
        <v>0</v>
      </c>
      <c r="EC220" s="79">
        <f t="shared" si="329"/>
        <v>0</v>
      </c>
      <c r="ED220" s="79">
        <v>1</v>
      </c>
      <c r="EE220" s="79">
        <v>1</v>
      </c>
      <c r="EF220" s="79">
        <f t="shared" si="330"/>
        <v>0</v>
      </c>
      <c r="EG220" s="79">
        <v>1</v>
      </c>
      <c r="EH220" s="79">
        <v>1</v>
      </c>
      <c r="EI220" s="79">
        <v>1</v>
      </c>
      <c r="EJ220" s="79">
        <v>1</v>
      </c>
      <c r="EK220" s="79">
        <v>1</v>
      </c>
      <c r="EL220" s="79">
        <v>1</v>
      </c>
      <c r="EM220" s="143">
        <f t="shared" si="331"/>
        <v>0</v>
      </c>
      <c r="EN220" s="143">
        <f t="shared" si="332"/>
        <v>0</v>
      </c>
      <c r="EO220" s="82">
        <f t="shared" si="333"/>
        <v>0</v>
      </c>
    </row>
    <row r="221" spans="1:145" x14ac:dyDescent="0.25">
      <c r="A221">
        <v>207</v>
      </c>
      <c r="B221" s="172" t="e">
        <f t="shared" si="304"/>
        <v>#N/A</v>
      </c>
      <c r="C221" s="121" t="e">
        <f t="shared" si="283"/>
        <v>#N/A</v>
      </c>
      <c r="D221" s="122" t="e">
        <f t="shared" si="284"/>
        <v>#N/A</v>
      </c>
      <c r="E221" s="122" t="e">
        <f t="shared" si="285"/>
        <v>#N/A</v>
      </c>
      <c r="F221" s="176" t="e">
        <f t="shared" si="286"/>
        <v>#N/A</v>
      </c>
      <c r="G221" s="121">
        <f t="shared" si="305"/>
        <v>208</v>
      </c>
      <c r="H221" s="176" t="e">
        <f t="shared" si="306"/>
        <v>#N/A</v>
      </c>
      <c r="I221" s="48">
        <v>1</v>
      </c>
      <c r="J221" s="39"/>
      <c r="K221" s="350">
        <v>1</v>
      </c>
      <c r="L221" s="34" t="e">
        <f t="shared" si="287"/>
        <v>#N/A</v>
      </c>
      <c r="M221" s="38" t="e">
        <f>(HLOOKUP(J221,'Construction Times'!$B$3:$W$34,L221+2,FALSE)*HLOOKUP("hq modifier",'Construction Times'!$W$3:$W$34,BS221+2,FALSE))*(1-$H$9)</f>
        <v>#N/A</v>
      </c>
      <c r="N221" s="443" t="e">
        <f t="shared" si="307"/>
        <v>#N/A</v>
      </c>
      <c r="O221" s="444"/>
      <c r="P221" s="447" t="e">
        <f t="shared" si="308"/>
        <v>#N/A</v>
      </c>
      <c r="Q221" s="448"/>
      <c r="R221" s="103">
        <f t="shared" si="334"/>
        <v>0</v>
      </c>
      <c r="S221" s="104">
        <f t="shared" si="334"/>
        <v>0</v>
      </c>
      <c r="T221" s="104">
        <f t="shared" si="335"/>
        <v>0</v>
      </c>
      <c r="U221" s="104">
        <f t="shared" si="335"/>
        <v>0</v>
      </c>
      <c r="V221" s="104">
        <f t="shared" si="335"/>
        <v>9.9999999999999995E-8</v>
      </c>
      <c r="W221" s="104">
        <f t="shared" si="335"/>
        <v>0</v>
      </c>
      <c r="X221" s="104">
        <f t="shared" si="273"/>
        <v>0</v>
      </c>
      <c r="Y221" s="104">
        <f t="shared" si="273"/>
        <v>9.9999999999999995E-8</v>
      </c>
      <c r="Z221" s="104">
        <f t="shared" si="273"/>
        <v>9.9999999999999995E-8</v>
      </c>
      <c r="AA221" s="105">
        <f t="shared" si="273"/>
        <v>9.9999999999999995E-8</v>
      </c>
      <c r="AB221" s="101" t="e">
        <f>$DT221*HLOOKUP($J221,'Construction Costs (timber)'!$B$1:$V$32,'Construction Planner'!$L221+2,FALSE)</f>
        <v>#N/A</v>
      </c>
      <c r="AC221" s="14" t="e">
        <f>$DT221*HLOOKUP($J221,'Construction Costs (clay)'!$B$1:$V$32,'Construction Planner'!$L221+2,FALSE)</f>
        <v>#N/A</v>
      </c>
      <c r="AD221" s="14" t="e">
        <f>$DT221*HLOOKUP($J221,'Construction Costs (iron)'!$B$1:$V$32,'Construction Planner'!$L221+2,FALSE)</f>
        <v>#N/A</v>
      </c>
      <c r="AE221" s="34" t="e">
        <f t="shared" si="344"/>
        <v>#N/A</v>
      </c>
      <c r="AF221" s="33" t="e">
        <f t="shared" si="288"/>
        <v>#N/A</v>
      </c>
      <c r="AG221" s="14" t="e">
        <f t="shared" si="289"/>
        <v>#N/A</v>
      </c>
      <c r="AH221" s="14" t="e">
        <f t="shared" si="290"/>
        <v>#N/A</v>
      </c>
      <c r="AI221" s="34" t="e">
        <f t="shared" si="345"/>
        <v>#N/A</v>
      </c>
      <c r="AJ221" s="49" t="e">
        <f t="shared" si="309"/>
        <v>#N/A</v>
      </c>
      <c r="AK221" s="49" t="e">
        <f t="shared" si="310"/>
        <v>#N/A</v>
      </c>
      <c r="AL221" s="49" t="e">
        <f t="shared" si="311"/>
        <v>#N/A</v>
      </c>
      <c r="AM221" s="25">
        <f t="shared" si="291"/>
        <v>30</v>
      </c>
      <c r="AN221" s="25">
        <f t="shared" si="292"/>
        <v>30</v>
      </c>
      <c r="AO221" s="25">
        <f t="shared" si="293"/>
        <v>30</v>
      </c>
      <c r="AP221" s="52" t="e">
        <f t="shared" si="312"/>
        <v>#N/A</v>
      </c>
      <c r="AQ221" s="53" t="e">
        <f t="shared" si="312"/>
        <v>#N/A</v>
      </c>
      <c r="AR221" s="54" t="e">
        <f t="shared" si="312"/>
        <v>#N/A</v>
      </c>
      <c r="AS221" s="316">
        <f t="shared" si="346"/>
        <v>0</v>
      </c>
      <c r="AT221" s="106">
        <f>_xlfn.IFNA($M221/VLOOKUP($BT221,'Unit information'!$A$2:$K$29,2,FALSE)*R221,0)*(1+$E$9)</f>
        <v>0</v>
      </c>
      <c r="AU221" s="107">
        <f>_xlfn.IFNA($M221/VLOOKUP($BT221,'Unit information'!$A$2:$K$29,3,FALSE)*S221,0)*(1+$E$9)</f>
        <v>0</v>
      </c>
      <c r="AV221" s="107">
        <f>_xlfn.IFNA($M221/VLOOKUP($BT221,'Unit information'!$A$2:$K$29,4,FALSE)*T221,0)*(1+$E$9)</f>
        <v>0</v>
      </c>
      <c r="AW221" s="107">
        <f>_xlfn.IFNA($M221/VLOOKUP($BT221,'Unit information'!$A$2:$K$29,5,FALSE)*U221,0)*(1+$E$9)</f>
        <v>0</v>
      </c>
      <c r="AX221" s="107">
        <f>_xlfn.IFNA($M221/VLOOKUP($BU221,'Unit information'!$A$2:$K$29,6,FALSE)*V221,0)*(1+$E$9)</f>
        <v>0</v>
      </c>
      <c r="AY221" s="107">
        <f>_xlfn.IFNA($M221/VLOOKUP($BU221,'Unit information'!$A$2:$K$29,7,FALSE)*W221,0)*(1+$E$9)</f>
        <v>0</v>
      </c>
      <c r="AZ221" s="107">
        <f>_xlfn.IFNA($M221/VLOOKUP($BU221,'Unit information'!$A$2:$K$29,8,FALSE)*X221,0)*(1+$E$9)</f>
        <v>0</v>
      </c>
      <c r="BA221" s="107">
        <f>_xlfn.IFNA($M221/VLOOKUP($BU221,'Unit information'!$A$2:$K$29,9,FALSE)*Y221,0)*(1+$E$9)</f>
        <v>0</v>
      </c>
      <c r="BB221" s="107">
        <f>_xlfn.IFNA($M221/VLOOKUP($BV221,'Unit information'!$A$2:$K$29,10,FALSE)*Z221,0)*(1+$E$9)</f>
        <v>0</v>
      </c>
      <c r="BC221" s="108">
        <f>_xlfn.IFNA($M221/VLOOKUP($BV221,'Unit information'!$A$2:$K$29,11,FALSE)*AA221,0)*(1+$E$9)</f>
        <v>0</v>
      </c>
      <c r="BD221" s="106">
        <f t="shared" si="294"/>
        <v>0</v>
      </c>
      <c r="BE221" s="107">
        <f t="shared" si="295"/>
        <v>0</v>
      </c>
      <c r="BF221" s="108">
        <f t="shared" si="296"/>
        <v>0</v>
      </c>
      <c r="BG221" s="25" t="e">
        <f t="shared" si="297"/>
        <v>#N/A</v>
      </c>
      <c r="BH221" s="25" t="e">
        <f t="shared" si="298"/>
        <v>#N/A</v>
      </c>
      <c r="BI221" s="25" t="e">
        <f t="shared" si="299"/>
        <v>#N/A</v>
      </c>
      <c r="BJ221" s="27" t="e">
        <f t="shared" si="300"/>
        <v>#N/A</v>
      </c>
      <c r="BK221" s="18" t="e">
        <f t="shared" si="301"/>
        <v>#N/A</v>
      </c>
      <c r="BL221" s="18" t="e">
        <f t="shared" si="302"/>
        <v>#N/A</v>
      </c>
      <c r="BM221" s="28" t="e">
        <f t="shared" si="347"/>
        <v>#N/A</v>
      </c>
      <c r="BN221" s="33">
        <f>HLOOKUP("maximum population",Miscelaneous!$C$1:$C$33,CH221+3,FALSE)</f>
        <v>240</v>
      </c>
      <c r="BO221" s="14">
        <f t="shared" si="313"/>
        <v>32</v>
      </c>
      <c r="BP221" s="14">
        <f t="shared" si="314"/>
        <v>0</v>
      </c>
      <c r="BQ221" s="14">
        <f t="shared" si="315"/>
        <v>208</v>
      </c>
      <c r="BR221" s="34" t="e">
        <f>HLOOKUP(J221,Villagers!$B$1:$V$33,L221+3,FALSE)-HLOOKUP(J221,Villagers!$B$1:$V$33,L221+2,FALSE)</f>
        <v>#N/A</v>
      </c>
      <c r="BS221" s="49">
        <f t="shared" si="316"/>
        <v>1</v>
      </c>
      <c r="BT221" s="50">
        <f t="shared" si="317"/>
        <v>0</v>
      </c>
      <c r="BU221" s="50">
        <f t="shared" si="318"/>
        <v>0</v>
      </c>
      <c r="BV221" s="50">
        <f t="shared" si="319"/>
        <v>0</v>
      </c>
      <c r="BW221" s="50">
        <f t="shared" si="349"/>
        <v>0</v>
      </c>
      <c r="BX221" s="50">
        <f t="shared" si="348"/>
        <v>0</v>
      </c>
      <c r="BY221" s="50">
        <f t="shared" si="348"/>
        <v>0</v>
      </c>
      <c r="BZ221" s="50">
        <f t="shared" si="260"/>
        <v>0</v>
      </c>
      <c r="CA221" s="50">
        <f t="shared" si="261"/>
        <v>0</v>
      </c>
      <c r="CB221" s="50">
        <f t="shared" si="262"/>
        <v>1</v>
      </c>
      <c r="CC221" s="50">
        <f t="shared" si="263"/>
        <v>0</v>
      </c>
      <c r="CD221" s="50">
        <f t="shared" si="264"/>
        <v>0</v>
      </c>
      <c r="CE221" s="50">
        <f t="shared" si="265"/>
        <v>1</v>
      </c>
      <c r="CF221" s="50">
        <f t="shared" si="266"/>
        <v>1</v>
      </c>
      <c r="CG221" s="50">
        <f t="shared" si="267"/>
        <v>1</v>
      </c>
      <c r="CH221" s="50">
        <f t="shared" si="268"/>
        <v>1</v>
      </c>
      <c r="CI221" s="50">
        <f t="shared" si="269"/>
        <v>1</v>
      </c>
      <c r="CJ221" s="50">
        <f t="shared" si="270"/>
        <v>1</v>
      </c>
      <c r="CK221" s="50">
        <f t="shared" si="270"/>
        <v>0</v>
      </c>
      <c r="CL221" s="50">
        <f t="shared" si="270"/>
        <v>0</v>
      </c>
      <c r="CM221" s="51">
        <f t="shared" si="274"/>
        <v>0</v>
      </c>
      <c r="CN221" s="33">
        <f>ROUND(IF(BS221=0,0,HLOOKUP(BS$14,Villagers!$B$1:$V$33,BS221+3,FALSE)),)</f>
        <v>5</v>
      </c>
      <c r="CO221" s="14">
        <f>ROUND(IF(BT221=0,0,HLOOKUP(BT$14,Villagers!$B$1:$V$33,BT221+3,FALSE)),)</f>
        <v>0</v>
      </c>
      <c r="CP221" s="14">
        <f>ROUND(IF(BU221=0,0,HLOOKUP(BU$14,Villagers!$B$1:$V$33,BU221+3,FALSE)),)</f>
        <v>0</v>
      </c>
      <c r="CQ221" s="14">
        <f>ROUND(IF(BV221=0,0,HLOOKUP(BV$14,Villagers!$B$1:$V$33,BV221+3,FALSE)),)</f>
        <v>0</v>
      </c>
      <c r="CR221" s="14">
        <f>ROUND(IF(BW221=0,0,HLOOKUP(BW$14,Villagers!$B$1:$V$33,BW221+3,FALSE)),)</f>
        <v>0</v>
      </c>
      <c r="CS221" s="14">
        <f>ROUND(IF(BX221=0,0,HLOOKUP(BX$14,Villagers!$B$1:$V$33,BX221+3,FALSE)),)</f>
        <v>0</v>
      </c>
      <c r="CT221" s="14">
        <f>ROUND(IF(BY221=0,0,HLOOKUP(BY$14,Villagers!$B$1:$V$33,BY221+3,FALSE)),)</f>
        <v>0</v>
      </c>
      <c r="CU221" s="14">
        <f>ROUND(IF(BZ221=0,0,HLOOKUP(BZ$14,Villagers!$B$1:$V$33,BZ221+3,FALSE)),)</f>
        <v>0</v>
      </c>
      <c r="CV221" s="14">
        <f>ROUND(IF(CA221=0,0,HLOOKUP(CA$14,Villagers!$B$1:$V$33,CA221+3,FALSE)),)</f>
        <v>0</v>
      </c>
      <c r="CW221" s="14">
        <f>ROUND(IF(CB221=0,0,HLOOKUP(CB$14,Villagers!$B$1:$V$33,CB221+3,FALSE)),)</f>
        <v>0</v>
      </c>
      <c r="CX221" s="14">
        <f>ROUND(IF(CC221=0,0,HLOOKUP(CC$14,Villagers!$B$1:$V$33,CC221+3,FALSE)),)</f>
        <v>0</v>
      </c>
      <c r="CY221" s="14">
        <f>ROUND(IF(CD221=0,0,HLOOKUP(CD$14,Villagers!$B$1:$V$33,CD221+3,FALSE)),)</f>
        <v>0</v>
      </c>
      <c r="CZ221" s="14">
        <f>ROUND(IF(CE221=0,0,HLOOKUP(CE$14,Villagers!$B$1:$V$33,CE221+3,FALSE)),)</f>
        <v>5</v>
      </c>
      <c r="DA221" s="14">
        <f>ROUND(IF(CF221=0,0,HLOOKUP(CF$14,Villagers!$B$1:$V$33,CF221+3,FALSE)),)</f>
        <v>10</v>
      </c>
      <c r="DB221" s="14">
        <f>ROUND(IF(CG221=0,0,HLOOKUP(CG$14,Villagers!$B$1:$V$33,CG221+3,FALSE)),)</f>
        <v>10</v>
      </c>
      <c r="DC221" s="14">
        <f>ROUND(IF(CH221=0,0,HLOOKUP(CH$14,Villagers!$B$1:$V$33,CH221+3,FALSE)),)</f>
        <v>0</v>
      </c>
      <c r="DD221" s="14">
        <f>ROUND(IF(CI221=0,0,HLOOKUP(CI$14,Villagers!$B$1:$V$33,CI221+3,FALSE)),)</f>
        <v>0</v>
      </c>
      <c r="DE221" s="14">
        <f>ROUND(IF(CJ221=0,0,HLOOKUP(CJ$14,Villagers!$B$1:$V$33,CJ221+3,FALSE)),)</f>
        <v>2</v>
      </c>
      <c r="DF221" s="370">
        <f>ROUND(IF(CK221=0,0,HLOOKUP(CK$14,Villagers!$B$1:$V$33,CK221+3,FALSE)),)</f>
        <v>0</v>
      </c>
      <c r="DG221" s="370">
        <f>ROUND(IF(CL221=0,0,HLOOKUP(CL$14,Villagers!$B$1:$V$33,CL221+3,FALSE)),)</f>
        <v>0</v>
      </c>
      <c r="DH221" s="34">
        <f>ROUND(IF(CM221=0,0,HLOOKUP(CM$14,Villagers!$B$1:$V$33,CM221+3,FALSE)),)</f>
        <v>0</v>
      </c>
      <c r="DI221" s="109">
        <f t="shared" si="336"/>
        <v>0</v>
      </c>
      <c r="DJ221" s="50">
        <f t="shared" si="337"/>
        <v>0</v>
      </c>
      <c r="DK221" s="50">
        <f t="shared" si="338"/>
        <v>0</v>
      </c>
      <c r="DL221" s="50">
        <f t="shared" si="339"/>
        <v>0</v>
      </c>
      <c r="DM221" s="50">
        <f t="shared" si="340"/>
        <v>0</v>
      </c>
      <c r="DN221" s="50">
        <f t="shared" si="341"/>
        <v>0</v>
      </c>
      <c r="DO221" s="50">
        <f t="shared" si="342"/>
        <v>0</v>
      </c>
      <c r="DP221" s="50">
        <f t="shared" si="343"/>
        <v>0</v>
      </c>
      <c r="DQ221" s="50">
        <f t="shared" si="321"/>
        <v>0</v>
      </c>
      <c r="DR221" s="50">
        <f t="shared" si="322"/>
        <v>0</v>
      </c>
      <c r="DS221" s="96">
        <f>Miscelaneous!$D$4*Miscelaneous!$D$2^($CI221-1)</f>
        <v>1000</v>
      </c>
      <c r="DT221" s="333">
        <f t="shared" si="303"/>
        <v>1</v>
      </c>
      <c r="DU221" s="81">
        <v>1</v>
      </c>
      <c r="DV221" s="79">
        <f t="shared" si="323"/>
        <v>0</v>
      </c>
      <c r="DW221" s="79">
        <f t="shared" si="324"/>
        <v>0</v>
      </c>
      <c r="DX221" s="79">
        <f t="shared" si="325"/>
        <v>0</v>
      </c>
      <c r="DY221" s="79">
        <v>1</v>
      </c>
      <c r="DZ221" s="79">
        <f t="shared" si="326"/>
        <v>0</v>
      </c>
      <c r="EA221" s="79">
        <f t="shared" si="327"/>
        <v>0</v>
      </c>
      <c r="EB221" s="79">
        <f t="shared" si="328"/>
        <v>0</v>
      </c>
      <c r="EC221" s="79">
        <f t="shared" si="329"/>
        <v>0</v>
      </c>
      <c r="ED221" s="79">
        <v>1</v>
      </c>
      <c r="EE221" s="79">
        <v>1</v>
      </c>
      <c r="EF221" s="79">
        <f t="shared" si="330"/>
        <v>0</v>
      </c>
      <c r="EG221" s="79">
        <v>1</v>
      </c>
      <c r="EH221" s="79">
        <v>1</v>
      </c>
      <c r="EI221" s="79">
        <v>1</v>
      </c>
      <c r="EJ221" s="79">
        <v>1</v>
      </c>
      <c r="EK221" s="79">
        <v>1</v>
      </c>
      <c r="EL221" s="79">
        <v>1</v>
      </c>
      <c r="EM221" s="143">
        <f t="shared" si="331"/>
        <v>0</v>
      </c>
      <c r="EN221" s="143">
        <f t="shared" si="332"/>
        <v>0</v>
      </c>
      <c r="EO221" s="82">
        <f t="shared" si="333"/>
        <v>0</v>
      </c>
    </row>
    <row r="222" spans="1:145" x14ac:dyDescent="0.25">
      <c r="A222">
        <v>208</v>
      </c>
      <c r="B222" s="172" t="e">
        <f t="shared" si="304"/>
        <v>#N/A</v>
      </c>
      <c r="C222" s="121" t="e">
        <f t="shared" si="283"/>
        <v>#N/A</v>
      </c>
      <c r="D222" s="122" t="e">
        <f t="shared" si="284"/>
        <v>#N/A</v>
      </c>
      <c r="E222" s="122" t="e">
        <f t="shared" si="285"/>
        <v>#N/A</v>
      </c>
      <c r="F222" s="176" t="e">
        <f t="shared" si="286"/>
        <v>#N/A</v>
      </c>
      <c r="G222" s="121">
        <f t="shared" si="305"/>
        <v>208</v>
      </c>
      <c r="H222" s="176" t="e">
        <f t="shared" si="306"/>
        <v>#N/A</v>
      </c>
      <c r="I222" s="48">
        <v>1</v>
      </c>
      <c r="J222" s="39"/>
      <c r="K222" s="350">
        <v>1</v>
      </c>
      <c r="L222" s="34" t="e">
        <f t="shared" si="287"/>
        <v>#N/A</v>
      </c>
      <c r="M222" s="38" t="e">
        <f>(HLOOKUP(J222,'Construction Times'!$B$3:$W$34,L222+2,FALSE)*HLOOKUP("hq modifier",'Construction Times'!$W$3:$W$34,BS222+2,FALSE))*(1-$H$9)</f>
        <v>#N/A</v>
      </c>
      <c r="N222" s="443" t="e">
        <f t="shared" si="307"/>
        <v>#N/A</v>
      </c>
      <c r="O222" s="444"/>
      <c r="P222" s="447" t="e">
        <f t="shared" si="308"/>
        <v>#N/A</v>
      </c>
      <c r="Q222" s="448"/>
      <c r="R222" s="103">
        <f t="shared" si="334"/>
        <v>0</v>
      </c>
      <c r="S222" s="104">
        <f t="shared" si="334"/>
        <v>0</v>
      </c>
      <c r="T222" s="104">
        <f t="shared" si="335"/>
        <v>0</v>
      </c>
      <c r="U222" s="104">
        <f t="shared" si="335"/>
        <v>0</v>
      </c>
      <c r="V222" s="104">
        <f t="shared" si="335"/>
        <v>9.9999999999999995E-8</v>
      </c>
      <c r="W222" s="104">
        <f t="shared" si="335"/>
        <v>0</v>
      </c>
      <c r="X222" s="104">
        <f t="shared" si="273"/>
        <v>0</v>
      </c>
      <c r="Y222" s="104">
        <f t="shared" si="273"/>
        <v>9.9999999999999995E-8</v>
      </c>
      <c r="Z222" s="104">
        <f t="shared" si="273"/>
        <v>9.9999999999999995E-8</v>
      </c>
      <c r="AA222" s="105">
        <f t="shared" si="273"/>
        <v>9.9999999999999995E-8</v>
      </c>
      <c r="AB222" s="101" t="e">
        <f>$DT222*HLOOKUP($J222,'Construction Costs (timber)'!$B$1:$V$32,'Construction Planner'!$L222+2,FALSE)</f>
        <v>#N/A</v>
      </c>
      <c r="AC222" s="14" t="e">
        <f>$DT222*HLOOKUP($J222,'Construction Costs (clay)'!$B$1:$V$32,'Construction Planner'!$L222+2,FALSE)</f>
        <v>#N/A</v>
      </c>
      <c r="AD222" s="14" t="e">
        <f>$DT222*HLOOKUP($J222,'Construction Costs (iron)'!$B$1:$V$32,'Construction Planner'!$L222+2,FALSE)</f>
        <v>#N/A</v>
      </c>
      <c r="AE222" s="34" t="e">
        <f t="shared" si="344"/>
        <v>#N/A</v>
      </c>
      <c r="AF222" s="33" t="e">
        <f t="shared" si="288"/>
        <v>#N/A</v>
      </c>
      <c r="AG222" s="14" t="e">
        <f t="shared" si="289"/>
        <v>#N/A</v>
      </c>
      <c r="AH222" s="14" t="e">
        <f t="shared" si="290"/>
        <v>#N/A</v>
      </c>
      <c r="AI222" s="34" t="e">
        <f t="shared" si="345"/>
        <v>#N/A</v>
      </c>
      <c r="AJ222" s="49" t="e">
        <f t="shared" si="309"/>
        <v>#N/A</v>
      </c>
      <c r="AK222" s="49" t="e">
        <f t="shared" si="310"/>
        <v>#N/A</v>
      </c>
      <c r="AL222" s="49" t="e">
        <f t="shared" si="311"/>
        <v>#N/A</v>
      </c>
      <c r="AM222" s="25">
        <f t="shared" si="291"/>
        <v>30</v>
      </c>
      <c r="AN222" s="25">
        <f t="shared" si="292"/>
        <v>30</v>
      </c>
      <c r="AO222" s="25">
        <f t="shared" si="293"/>
        <v>30</v>
      </c>
      <c r="AP222" s="52" t="e">
        <f t="shared" si="312"/>
        <v>#N/A</v>
      </c>
      <c r="AQ222" s="53" t="e">
        <f t="shared" si="312"/>
        <v>#N/A</v>
      </c>
      <c r="AR222" s="54" t="e">
        <f t="shared" si="312"/>
        <v>#N/A</v>
      </c>
      <c r="AS222" s="316">
        <f t="shared" si="346"/>
        <v>0</v>
      </c>
      <c r="AT222" s="106">
        <f>_xlfn.IFNA($M222/VLOOKUP($BT222,'Unit information'!$A$2:$K$29,2,FALSE)*R222,0)*(1+$E$9)</f>
        <v>0</v>
      </c>
      <c r="AU222" s="107">
        <f>_xlfn.IFNA($M222/VLOOKUP($BT222,'Unit information'!$A$2:$K$29,3,FALSE)*S222,0)*(1+$E$9)</f>
        <v>0</v>
      </c>
      <c r="AV222" s="107">
        <f>_xlfn.IFNA($M222/VLOOKUP($BT222,'Unit information'!$A$2:$K$29,4,FALSE)*T222,0)*(1+$E$9)</f>
        <v>0</v>
      </c>
      <c r="AW222" s="107">
        <f>_xlfn.IFNA($M222/VLOOKUP($BT222,'Unit information'!$A$2:$K$29,5,FALSE)*U222,0)*(1+$E$9)</f>
        <v>0</v>
      </c>
      <c r="AX222" s="107">
        <f>_xlfn.IFNA($M222/VLOOKUP($BU222,'Unit information'!$A$2:$K$29,6,FALSE)*V222,0)*(1+$E$9)</f>
        <v>0</v>
      </c>
      <c r="AY222" s="107">
        <f>_xlfn.IFNA($M222/VLOOKUP($BU222,'Unit information'!$A$2:$K$29,7,FALSE)*W222,0)*(1+$E$9)</f>
        <v>0</v>
      </c>
      <c r="AZ222" s="107">
        <f>_xlfn.IFNA($M222/VLOOKUP($BU222,'Unit information'!$A$2:$K$29,8,FALSE)*X222,0)*(1+$E$9)</f>
        <v>0</v>
      </c>
      <c r="BA222" s="107">
        <f>_xlfn.IFNA($M222/VLOOKUP($BU222,'Unit information'!$A$2:$K$29,9,FALSE)*Y222,0)*(1+$E$9)</f>
        <v>0</v>
      </c>
      <c r="BB222" s="107">
        <f>_xlfn.IFNA($M222/VLOOKUP($BV222,'Unit information'!$A$2:$K$29,10,FALSE)*Z222,0)*(1+$E$9)</f>
        <v>0</v>
      </c>
      <c r="BC222" s="108">
        <f>_xlfn.IFNA($M222/VLOOKUP($BV222,'Unit information'!$A$2:$K$29,11,FALSE)*AA222,0)*(1+$E$9)</f>
        <v>0</v>
      </c>
      <c r="BD222" s="106">
        <f t="shared" si="294"/>
        <v>0</v>
      </c>
      <c r="BE222" s="107">
        <f t="shared" si="295"/>
        <v>0</v>
      </c>
      <c r="BF222" s="108">
        <f t="shared" si="296"/>
        <v>0</v>
      </c>
      <c r="BG222" s="25" t="e">
        <f t="shared" si="297"/>
        <v>#N/A</v>
      </c>
      <c r="BH222" s="25" t="e">
        <f t="shared" si="298"/>
        <v>#N/A</v>
      </c>
      <c r="BI222" s="25" t="e">
        <f t="shared" si="299"/>
        <v>#N/A</v>
      </c>
      <c r="BJ222" s="27" t="e">
        <f t="shared" si="300"/>
        <v>#N/A</v>
      </c>
      <c r="BK222" s="18" t="e">
        <f t="shared" si="301"/>
        <v>#N/A</v>
      </c>
      <c r="BL222" s="18" t="e">
        <f t="shared" si="302"/>
        <v>#N/A</v>
      </c>
      <c r="BM222" s="28" t="e">
        <f t="shared" si="347"/>
        <v>#N/A</v>
      </c>
      <c r="BN222" s="33">
        <f>HLOOKUP("maximum population",Miscelaneous!$C$1:$C$33,CH222+3,FALSE)</f>
        <v>240</v>
      </c>
      <c r="BO222" s="14">
        <f t="shared" si="313"/>
        <v>32</v>
      </c>
      <c r="BP222" s="14">
        <f t="shared" si="314"/>
        <v>0</v>
      </c>
      <c r="BQ222" s="14">
        <f t="shared" si="315"/>
        <v>208</v>
      </c>
      <c r="BR222" s="34" t="e">
        <f>HLOOKUP(J222,Villagers!$B$1:$V$33,L222+3,FALSE)-HLOOKUP(J222,Villagers!$B$1:$V$33,L222+2,FALSE)</f>
        <v>#N/A</v>
      </c>
      <c r="BS222" s="49">
        <f t="shared" si="316"/>
        <v>1</v>
      </c>
      <c r="BT222" s="50">
        <f t="shared" si="317"/>
        <v>0</v>
      </c>
      <c r="BU222" s="50">
        <f t="shared" si="318"/>
        <v>0</v>
      </c>
      <c r="BV222" s="50">
        <f t="shared" si="319"/>
        <v>0</v>
      </c>
      <c r="BW222" s="50">
        <f t="shared" si="349"/>
        <v>0</v>
      </c>
      <c r="BX222" s="50">
        <f t="shared" si="348"/>
        <v>0</v>
      </c>
      <c r="BY222" s="50">
        <f t="shared" si="348"/>
        <v>0</v>
      </c>
      <c r="BZ222" s="50">
        <f t="shared" si="260"/>
        <v>0</v>
      </c>
      <c r="CA222" s="50">
        <f t="shared" si="261"/>
        <v>0</v>
      </c>
      <c r="CB222" s="50">
        <f t="shared" si="262"/>
        <v>1</v>
      </c>
      <c r="CC222" s="50">
        <f t="shared" si="263"/>
        <v>0</v>
      </c>
      <c r="CD222" s="50">
        <f t="shared" si="264"/>
        <v>0</v>
      </c>
      <c r="CE222" s="50">
        <f t="shared" si="265"/>
        <v>1</v>
      </c>
      <c r="CF222" s="50">
        <f t="shared" si="266"/>
        <v>1</v>
      </c>
      <c r="CG222" s="50">
        <f t="shared" si="267"/>
        <v>1</v>
      </c>
      <c r="CH222" s="50">
        <f t="shared" si="268"/>
        <v>1</v>
      </c>
      <c r="CI222" s="50">
        <f t="shared" si="269"/>
        <v>1</v>
      </c>
      <c r="CJ222" s="50">
        <f t="shared" si="270"/>
        <v>1</v>
      </c>
      <c r="CK222" s="50">
        <f t="shared" si="270"/>
        <v>0</v>
      </c>
      <c r="CL222" s="50">
        <f t="shared" si="270"/>
        <v>0</v>
      </c>
      <c r="CM222" s="51">
        <f t="shared" si="274"/>
        <v>0</v>
      </c>
      <c r="CN222" s="33">
        <f>ROUND(IF(BS222=0,0,HLOOKUP(BS$14,Villagers!$B$1:$V$33,BS222+3,FALSE)),)</f>
        <v>5</v>
      </c>
      <c r="CO222" s="14">
        <f>ROUND(IF(BT222=0,0,HLOOKUP(BT$14,Villagers!$B$1:$V$33,BT222+3,FALSE)),)</f>
        <v>0</v>
      </c>
      <c r="CP222" s="14">
        <f>ROUND(IF(BU222=0,0,HLOOKUP(BU$14,Villagers!$B$1:$V$33,BU222+3,FALSE)),)</f>
        <v>0</v>
      </c>
      <c r="CQ222" s="14">
        <f>ROUND(IF(BV222=0,0,HLOOKUP(BV$14,Villagers!$B$1:$V$33,BV222+3,FALSE)),)</f>
        <v>0</v>
      </c>
      <c r="CR222" s="14">
        <f>ROUND(IF(BW222=0,0,HLOOKUP(BW$14,Villagers!$B$1:$V$33,BW222+3,FALSE)),)</f>
        <v>0</v>
      </c>
      <c r="CS222" s="14">
        <f>ROUND(IF(BX222=0,0,HLOOKUP(BX$14,Villagers!$B$1:$V$33,BX222+3,FALSE)),)</f>
        <v>0</v>
      </c>
      <c r="CT222" s="14">
        <f>ROUND(IF(BY222=0,0,HLOOKUP(BY$14,Villagers!$B$1:$V$33,BY222+3,FALSE)),)</f>
        <v>0</v>
      </c>
      <c r="CU222" s="14">
        <f>ROUND(IF(BZ222=0,0,HLOOKUP(BZ$14,Villagers!$B$1:$V$33,BZ222+3,FALSE)),)</f>
        <v>0</v>
      </c>
      <c r="CV222" s="14">
        <f>ROUND(IF(CA222=0,0,HLOOKUP(CA$14,Villagers!$B$1:$V$33,CA222+3,FALSE)),)</f>
        <v>0</v>
      </c>
      <c r="CW222" s="14">
        <f>ROUND(IF(CB222=0,0,HLOOKUP(CB$14,Villagers!$B$1:$V$33,CB222+3,FALSE)),)</f>
        <v>0</v>
      </c>
      <c r="CX222" s="14">
        <f>ROUND(IF(CC222=0,0,HLOOKUP(CC$14,Villagers!$B$1:$V$33,CC222+3,FALSE)),)</f>
        <v>0</v>
      </c>
      <c r="CY222" s="14">
        <f>ROUND(IF(CD222=0,0,HLOOKUP(CD$14,Villagers!$B$1:$V$33,CD222+3,FALSE)),)</f>
        <v>0</v>
      </c>
      <c r="CZ222" s="14">
        <f>ROUND(IF(CE222=0,0,HLOOKUP(CE$14,Villagers!$B$1:$V$33,CE222+3,FALSE)),)</f>
        <v>5</v>
      </c>
      <c r="DA222" s="14">
        <f>ROUND(IF(CF222=0,0,HLOOKUP(CF$14,Villagers!$B$1:$V$33,CF222+3,FALSE)),)</f>
        <v>10</v>
      </c>
      <c r="DB222" s="14">
        <f>ROUND(IF(CG222=0,0,HLOOKUP(CG$14,Villagers!$B$1:$V$33,CG222+3,FALSE)),)</f>
        <v>10</v>
      </c>
      <c r="DC222" s="14">
        <f>ROUND(IF(CH222=0,0,HLOOKUP(CH$14,Villagers!$B$1:$V$33,CH222+3,FALSE)),)</f>
        <v>0</v>
      </c>
      <c r="DD222" s="14">
        <f>ROUND(IF(CI222=0,0,HLOOKUP(CI$14,Villagers!$B$1:$V$33,CI222+3,FALSE)),)</f>
        <v>0</v>
      </c>
      <c r="DE222" s="14">
        <f>ROUND(IF(CJ222=0,0,HLOOKUP(CJ$14,Villagers!$B$1:$V$33,CJ222+3,FALSE)),)</f>
        <v>2</v>
      </c>
      <c r="DF222" s="370">
        <f>ROUND(IF(CK222=0,0,HLOOKUP(CK$14,Villagers!$B$1:$V$33,CK222+3,FALSE)),)</f>
        <v>0</v>
      </c>
      <c r="DG222" s="370">
        <f>ROUND(IF(CL222=0,0,HLOOKUP(CL$14,Villagers!$B$1:$V$33,CL222+3,FALSE)),)</f>
        <v>0</v>
      </c>
      <c r="DH222" s="34">
        <f>ROUND(IF(CM222=0,0,HLOOKUP(CM$14,Villagers!$B$1:$V$33,CM222+3,FALSE)),)</f>
        <v>0</v>
      </c>
      <c r="DI222" s="109">
        <f t="shared" si="336"/>
        <v>0</v>
      </c>
      <c r="DJ222" s="50">
        <f t="shared" si="337"/>
        <v>0</v>
      </c>
      <c r="DK222" s="50">
        <f t="shared" si="338"/>
        <v>0</v>
      </c>
      <c r="DL222" s="50">
        <f t="shared" si="339"/>
        <v>0</v>
      </c>
      <c r="DM222" s="50">
        <f t="shared" si="340"/>
        <v>0</v>
      </c>
      <c r="DN222" s="50">
        <f t="shared" si="341"/>
        <v>0</v>
      </c>
      <c r="DO222" s="50">
        <f t="shared" si="342"/>
        <v>0</v>
      </c>
      <c r="DP222" s="50">
        <f t="shared" si="343"/>
        <v>0</v>
      </c>
      <c r="DQ222" s="50">
        <f t="shared" si="321"/>
        <v>0</v>
      </c>
      <c r="DR222" s="50">
        <f t="shared" si="322"/>
        <v>0</v>
      </c>
      <c r="DS222" s="96">
        <f>Miscelaneous!$D$4*Miscelaneous!$D$2^($CI222-1)</f>
        <v>1000</v>
      </c>
      <c r="DT222" s="333">
        <f t="shared" si="303"/>
        <v>1</v>
      </c>
      <c r="DU222" s="81">
        <v>1</v>
      </c>
      <c r="DV222" s="79">
        <f t="shared" si="323"/>
        <v>0</v>
      </c>
      <c r="DW222" s="79">
        <f t="shared" si="324"/>
        <v>0</v>
      </c>
      <c r="DX222" s="79">
        <f t="shared" si="325"/>
        <v>0</v>
      </c>
      <c r="DY222" s="79">
        <v>1</v>
      </c>
      <c r="DZ222" s="79">
        <f t="shared" si="326"/>
        <v>0</v>
      </c>
      <c r="EA222" s="79">
        <f t="shared" si="327"/>
        <v>0</v>
      </c>
      <c r="EB222" s="79">
        <f t="shared" si="328"/>
        <v>0</v>
      </c>
      <c r="EC222" s="79">
        <f t="shared" si="329"/>
        <v>0</v>
      </c>
      <c r="ED222" s="79">
        <v>1</v>
      </c>
      <c r="EE222" s="79">
        <v>1</v>
      </c>
      <c r="EF222" s="79">
        <f t="shared" si="330"/>
        <v>0</v>
      </c>
      <c r="EG222" s="79">
        <v>1</v>
      </c>
      <c r="EH222" s="79">
        <v>1</v>
      </c>
      <c r="EI222" s="79">
        <v>1</v>
      </c>
      <c r="EJ222" s="79">
        <v>1</v>
      </c>
      <c r="EK222" s="79">
        <v>1</v>
      </c>
      <c r="EL222" s="79">
        <v>1</v>
      </c>
      <c r="EM222" s="143">
        <f t="shared" si="331"/>
        <v>0</v>
      </c>
      <c r="EN222" s="143">
        <f t="shared" si="332"/>
        <v>0</v>
      </c>
      <c r="EO222" s="82">
        <f t="shared" si="333"/>
        <v>0</v>
      </c>
    </row>
    <row r="223" spans="1:145" x14ac:dyDescent="0.25">
      <c r="A223">
        <v>209</v>
      </c>
      <c r="B223" s="172" t="e">
        <f t="shared" si="304"/>
        <v>#N/A</v>
      </c>
      <c r="C223" s="121" t="e">
        <f t="shared" si="283"/>
        <v>#N/A</v>
      </c>
      <c r="D223" s="122" t="e">
        <f t="shared" si="284"/>
        <v>#N/A</v>
      </c>
      <c r="E223" s="122" t="e">
        <f t="shared" si="285"/>
        <v>#N/A</v>
      </c>
      <c r="F223" s="176" t="e">
        <f t="shared" si="286"/>
        <v>#N/A</v>
      </c>
      <c r="G223" s="121">
        <f t="shared" si="305"/>
        <v>208</v>
      </c>
      <c r="H223" s="176" t="e">
        <f t="shared" si="306"/>
        <v>#N/A</v>
      </c>
      <c r="I223" s="48">
        <v>1</v>
      </c>
      <c r="J223" s="39"/>
      <c r="K223" s="350">
        <v>1</v>
      </c>
      <c r="L223" s="34" t="e">
        <f t="shared" si="287"/>
        <v>#N/A</v>
      </c>
      <c r="M223" s="38" t="e">
        <f>(HLOOKUP(J223,'Construction Times'!$B$3:$W$34,L223+2,FALSE)*HLOOKUP("hq modifier",'Construction Times'!$W$3:$W$34,BS223+2,FALSE))*(1-$H$9)</f>
        <v>#N/A</v>
      </c>
      <c r="N223" s="443" t="e">
        <f t="shared" si="307"/>
        <v>#N/A</v>
      </c>
      <c r="O223" s="444"/>
      <c r="P223" s="447" t="e">
        <f t="shared" si="308"/>
        <v>#N/A</v>
      </c>
      <c r="Q223" s="448"/>
      <c r="R223" s="103">
        <f t="shared" si="334"/>
        <v>0</v>
      </c>
      <c r="S223" s="104">
        <f t="shared" si="334"/>
        <v>0</v>
      </c>
      <c r="T223" s="104">
        <f t="shared" si="335"/>
        <v>0</v>
      </c>
      <c r="U223" s="104">
        <f t="shared" si="335"/>
        <v>0</v>
      </c>
      <c r="V223" s="104">
        <f t="shared" si="335"/>
        <v>9.9999999999999995E-8</v>
      </c>
      <c r="W223" s="104">
        <f t="shared" si="335"/>
        <v>0</v>
      </c>
      <c r="X223" s="104">
        <f t="shared" si="273"/>
        <v>0</v>
      </c>
      <c r="Y223" s="104">
        <f t="shared" si="273"/>
        <v>9.9999999999999995E-8</v>
      </c>
      <c r="Z223" s="104">
        <f t="shared" si="273"/>
        <v>9.9999999999999995E-8</v>
      </c>
      <c r="AA223" s="105">
        <f t="shared" si="273"/>
        <v>9.9999999999999995E-8</v>
      </c>
      <c r="AB223" s="101" t="e">
        <f>$DT223*HLOOKUP($J223,'Construction Costs (timber)'!$B$1:$V$32,'Construction Planner'!$L223+2,FALSE)</f>
        <v>#N/A</v>
      </c>
      <c r="AC223" s="14" t="e">
        <f>$DT223*HLOOKUP($J223,'Construction Costs (clay)'!$B$1:$V$32,'Construction Planner'!$L223+2,FALSE)</f>
        <v>#N/A</v>
      </c>
      <c r="AD223" s="14" t="e">
        <f>$DT223*HLOOKUP($J223,'Construction Costs (iron)'!$B$1:$V$32,'Construction Planner'!$L223+2,FALSE)</f>
        <v>#N/A</v>
      </c>
      <c r="AE223" s="34" t="e">
        <f t="shared" si="344"/>
        <v>#N/A</v>
      </c>
      <c r="AF223" s="33" t="e">
        <f t="shared" si="288"/>
        <v>#N/A</v>
      </c>
      <c r="AG223" s="14" t="e">
        <f t="shared" si="289"/>
        <v>#N/A</v>
      </c>
      <c r="AH223" s="14" t="e">
        <f t="shared" si="290"/>
        <v>#N/A</v>
      </c>
      <c r="AI223" s="34" t="e">
        <f t="shared" si="345"/>
        <v>#N/A</v>
      </c>
      <c r="AJ223" s="49" t="e">
        <f t="shared" si="309"/>
        <v>#N/A</v>
      </c>
      <c r="AK223" s="49" t="e">
        <f t="shared" si="310"/>
        <v>#N/A</v>
      </c>
      <c r="AL223" s="49" t="e">
        <f t="shared" si="311"/>
        <v>#N/A</v>
      </c>
      <c r="AM223" s="25">
        <f t="shared" si="291"/>
        <v>30</v>
      </c>
      <c r="AN223" s="25">
        <f t="shared" si="292"/>
        <v>30</v>
      </c>
      <c r="AO223" s="25">
        <f t="shared" si="293"/>
        <v>30</v>
      </c>
      <c r="AP223" s="52" t="e">
        <f t="shared" si="312"/>
        <v>#N/A</v>
      </c>
      <c r="AQ223" s="53" t="e">
        <f t="shared" si="312"/>
        <v>#N/A</v>
      </c>
      <c r="AR223" s="54" t="e">
        <f t="shared" si="312"/>
        <v>#N/A</v>
      </c>
      <c r="AS223" s="316">
        <f t="shared" si="346"/>
        <v>0</v>
      </c>
      <c r="AT223" s="106">
        <f>_xlfn.IFNA($M223/VLOOKUP($BT223,'Unit information'!$A$2:$K$29,2,FALSE)*R223,0)*(1+$E$9)</f>
        <v>0</v>
      </c>
      <c r="AU223" s="107">
        <f>_xlfn.IFNA($M223/VLOOKUP($BT223,'Unit information'!$A$2:$K$29,3,FALSE)*S223,0)*(1+$E$9)</f>
        <v>0</v>
      </c>
      <c r="AV223" s="107">
        <f>_xlfn.IFNA($M223/VLOOKUP($BT223,'Unit information'!$A$2:$K$29,4,FALSE)*T223,0)*(1+$E$9)</f>
        <v>0</v>
      </c>
      <c r="AW223" s="107">
        <f>_xlfn.IFNA($M223/VLOOKUP($BT223,'Unit information'!$A$2:$K$29,5,FALSE)*U223,0)*(1+$E$9)</f>
        <v>0</v>
      </c>
      <c r="AX223" s="107">
        <f>_xlfn.IFNA($M223/VLOOKUP($BU223,'Unit information'!$A$2:$K$29,6,FALSE)*V223,0)*(1+$E$9)</f>
        <v>0</v>
      </c>
      <c r="AY223" s="107">
        <f>_xlfn.IFNA($M223/VLOOKUP($BU223,'Unit information'!$A$2:$K$29,7,FALSE)*W223,0)*(1+$E$9)</f>
        <v>0</v>
      </c>
      <c r="AZ223" s="107">
        <f>_xlfn.IFNA($M223/VLOOKUP($BU223,'Unit information'!$A$2:$K$29,8,FALSE)*X223,0)*(1+$E$9)</f>
        <v>0</v>
      </c>
      <c r="BA223" s="107">
        <f>_xlfn.IFNA($M223/VLOOKUP($BU223,'Unit information'!$A$2:$K$29,9,FALSE)*Y223,0)*(1+$E$9)</f>
        <v>0</v>
      </c>
      <c r="BB223" s="107">
        <f>_xlfn.IFNA($M223/VLOOKUP($BV223,'Unit information'!$A$2:$K$29,10,FALSE)*Z223,0)*(1+$E$9)</f>
        <v>0</v>
      </c>
      <c r="BC223" s="108">
        <f>_xlfn.IFNA($M223/VLOOKUP($BV223,'Unit information'!$A$2:$K$29,11,FALSE)*AA223,0)*(1+$E$9)</f>
        <v>0</v>
      </c>
      <c r="BD223" s="106">
        <f t="shared" si="294"/>
        <v>0</v>
      </c>
      <c r="BE223" s="107">
        <f t="shared" si="295"/>
        <v>0</v>
      </c>
      <c r="BF223" s="108">
        <f t="shared" si="296"/>
        <v>0</v>
      </c>
      <c r="BG223" s="25" t="e">
        <f t="shared" si="297"/>
        <v>#N/A</v>
      </c>
      <c r="BH223" s="25" t="e">
        <f t="shared" si="298"/>
        <v>#N/A</v>
      </c>
      <c r="BI223" s="25" t="e">
        <f t="shared" si="299"/>
        <v>#N/A</v>
      </c>
      <c r="BJ223" s="27" t="e">
        <f t="shared" si="300"/>
        <v>#N/A</v>
      </c>
      <c r="BK223" s="18" t="e">
        <f t="shared" si="301"/>
        <v>#N/A</v>
      </c>
      <c r="BL223" s="18" t="e">
        <f t="shared" si="302"/>
        <v>#N/A</v>
      </c>
      <c r="BM223" s="28" t="e">
        <f t="shared" si="347"/>
        <v>#N/A</v>
      </c>
      <c r="BN223" s="33">
        <f>HLOOKUP("maximum population",Miscelaneous!$C$1:$C$33,CH223+3,FALSE)</f>
        <v>240</v>
      </c>
      <c r="BO223" s="14">
        <f t="shared" si="313"/>
        <v>32</v>
      </c>
      <c r="BP223" s="14">
        <f t="shared" si="314"/>
        <v>0</v>
      </c>
      <c r="BQ223" s="14">
        <f t="shared" si="315"/>
        <v>208</v>
      </c>
      <c r="BR223" s="34" t="e">
        <f>HLOOKUP(J223,Villagers!$B$1:$V$33,L223+3,FALSE)-HLOOKUP(J223,Villagers!$B$1:$V$33,L223+2,FALSE)</f>
        <v>#N/A</v>
      </c>
      <c r="BS223" s="49">
        <f t="shared" si="316"/>
        <v>1</v>
      </c>
      <c r="BT223" s="50">
        <f t="shared" si="317"/>
        <v>0</v>
      </c>
      <c r="BU223" s="50">
        <f t="shared" si="318"/>
        <v>0</v>
      </c>
      <c r="BV223" s="50">
        <f t="shared" si="319"/>
        <v>0</v>
      </c>
      <c r="BW223" s="50">
        <f t="shared" si="349"/>
        <v>0</v>
      </c>
      <c r="BX223" s="50">
        <f t="shared" si="348"/>
        <v>0</v>
      </c>
      <c r="BY223" s="50">
        <f t="shared" si="348"/>
        <v>0</v>
      </c>
      <c r="BZ223" s="50">
        <f t="shared" ref="BZ223:BZ286" si="350">IF($J222=BZ$14,$L222,BZ222)</f>
        <v>0</v>
      </c>
      <c r="CA223" s="50">
        <f t="shared" ref="CA223:CA286" si="351">IF($J222=CA$14,$L222,CA222)</f>
        <v>0</v>
      </c>
      <c r="CB223" s="50">
        <f t="shared" ref="CB223:CB286" si="352">IF($J222=CB$14,$L222,CB222)</f>
        <v>1</v>
      </c>
      <c r="CC223" s="50">
        <f t="shared" ref="CC223:CC286" si="353">IF($J222=CC$14,$L222,CC222)</f>
        <v>0</v>
      </c>
      <c r="CD223" s="50">
        <f t="shared" ref="CD223:CD286" si="354">IF($J222=CD$14,$L222,CD222)</f>
        <v>0</v>
      </c>
      <c r="CE223" s="50">
        <f t="shared" ref="CE223:CE286" si="355">IF($J222=CE$14,$L222,CE222)</f>
        <v>1</v>
      </c>
      <c r="CF223" s="50">
        <f t="shared" ref="CF223:CF286" si="356">IF($J222=CF$14,$L222,CF222)</f>
        <v>1</v>
      </c>
      <c r="CG223" s="50">
        <f t="shared" ref="CG223:CG286" si="357">IF($J222=CG$14,$L222,CG222)</f>
        <v>1</v>
      </c>
      <c r="CH223" s="50">
        <f t="shared" ref="CH223:CH286" si="358">IF($J222=CH$14,$L222,CH222)</f>
        <v>1</v>
      </c>
      <c r="CI223" s="50">
        <f t="shared" ref="CI223:CI286" si="359">IF($J222=CI$14,$L222,CI222)</f>
        <v>1</v>
      </c>
      <c r="CJ223" s="50">
        <f t="shared" ref="CJ223:CL286" si="360">IF($J222=CJ$14,$L222,CJ222)</f>
        <v>1</v>
      </c>
      <c r="CK223" s="50">
        <f t="shared" si="360"/>
        <v>0</v>
      </c>
      <c r="CL223" s="50">
        <f t="shared" si="360"/>
        <v>0</v>
      </c>
      <c r="CM223" s="51">
        <f t="shared" si="274"/>
        <v>0</v>
      </c>
      <c r="CN223" s="33">
        <f>ROUND(IF(BS223=0,0,HLOOKUP(BS$14,Villagers!$B$1:$V$33,BS223+3,FALSE)),)</f>
        <v>5</v>
      </c>
      <c r="CO223" s="14">
        <f>ROUND(IF(BT223=0,0,HLOOKUP(BT$14,Villagers!$B$1:$V$33,BT223+3,FALSE)),)</f>
        <v>0</v>
      </c>
      <c r="CP223" s="14">
        <f>ROUND(IF(BU223=0,0,HLOOKUP(BU$14,Villagers!$B$1:$V$33,BU223+3,FALSE)),)</f>
        <v>0</v>
      </c>
      <c r="CQ223" s="14">
        <f>ROUND(IF(BV223=0,0,HLOOKUP(BV$14,Villagers!$B$1:$V$33,BV223+3,FALSE)),)</f>
        <v>0</v>
      </c>
      <c r="CR223" s="14">
        <f>ROUND(IF(BW223=0,0,HLOOKUP(BW$14,Villagers!$B$1:$V$33,BW223+3,FALSE)),)</f>
        <v>0</v>
      </c>
      <c r="CS223" s="14">
        <f>ROUND(IF(BX223=0,0,HLOOKUP(BX$14,Villagers!$B$1:$V$33,BX223+3,FALSE)),)</f>
        <v>0</v>
      </c>
      <c r="CT223" s="14">
        <f>ROUND(IF(BY223=0,0,HLOOKUP(BY$14,Villagers!$B$1:$V$33,BY223+3,FALSE)),)</f>
        <v>0</v>
      </c>
      <c r="CU223" s="14">
        <f>ROUND(IF(BZ223=0,0,HLOOKUP(BZ$14,Villagers!$B$1:$V$33,BZ223+3,FALSE)),)</f>
        <v>0</v>
      </c>
      <c r="CV223" s="14">
        <f>ROUND(IF(CA223=0,0,HLOOKUP(CA$14,Villagers!$B$1:$V$33,CA223+3,FALSE)),)</f>
        <v>0</v>
      </c>
      <c r="CW223" s="14">
        <f>ROUND(IF(CB223=0,0,HLOOKUP(CB$14,Villagers!$B$1:$V$33,CB223+3,FALSE)),)</f>
        <v>0</v>
      </c>
      <c r="CX223" s="14">
        <f>ROUND(IF(CC223=0,0,HLOOKUP(CC$14,Villagers!$B$1:$V$33,CC223+3,FALSE)),)</f>
        <v>0</v>
      </c>
      <c r="CY223" s="14">
        <f>ROUND(IF(CD223=0,0,HLOOKUP(CD$14,Villagers!$B$1:$V$33,CD223+3,FALSE)),)</f>
        <v>0</v>
      </c>
      <c r="CZ223" s="14">
        <f>ROUND(IF(CE223=0,0,HLOOKUP(CE$14,Villagers!$B$1:$V$33,CE223+3,FALSE)),)</f>
        <v>5</v>
      </c>
      <c r="DA223" s="14">
        <f>ROUND(IF(CF223=0,0,HLOOKUP(CF$14,Villagers!$B$1:$V$33,CF223+3,FALSE)),)</f>
        <v>10</v>
      </c>
      <c r="DB223" s="14">
        <f>ROUND(IF(CG223=0,0,HLOOKUP(CG$14,Villagers!$B$1:$V$33,CG223+3,FALSE)),)</f>
        <v>10</v>
      </c>
      <c r="DC223" s="14">
        <f>ROUND(IF(CH223=0,0,HLOOKUP(CH$14,Villagers!$B$1:$V$33,CH223+3,FALSE)),)</f>
        <v>0</v>
      </c>
      <c r="DD223" s="14">
        <f>ROUND(IF(CI223=0,0,HLOOKUP(CI$14,Villagers!$B$1:$V$33,CI223+3,FALSE)),)</f>
        <v>0</v>
      </c>
      <c r="DE223" s="14">
        <f>ROUND(IF(CJ223=0,0,HLOOKUP(CJ$14,Villagers!$B$1:$V$33,CJ223+3,FALSE)),)</f>
        <v>2</v>
      </c>
      <c r="DF223" s="370">
        <f>ROUND(IF(CK223=0,0,HLOOKUP(CK$14,Villagers!$B$1:$V$33,CK223+3,FALSE)),)</f>
        <v>0</v>
      </c>
      <c r="DG223" s="370">
        <f>ROUND(IF(CL223=0,0,HLOOKUP(CL$14,Villagers!$B$1:$V$33,CL223+3,FALSE)),)</f>
        <v>0</v>
      </c>
      <c r="DH223" s="34">
        <f>ROUND(IF(CM223=0,0,HLOOKUP(CM$14,Villagers!$B$1:$V$33,CM223+3,FALSE)),)</f>
        <v>0</v>
      </c>
      <c r="DI223" s="109">
        <f t="shared" si="336"/>
        <v>0</v>
      </c>
      <c r="DJ223" s="50">
        <f t="shared" si="337"/>
        <v>0</v>
      </c>
      <c r="DK223" s="50">
        <f t="shared" si="338"/>
        <v>0</v>
      </c>
      <c r="DL223" s="50">
        <f t="shared" si="339"/>
        <v>0</v>
      </c>
      <c r="DM223" s="50">
        <f t="shared" si="340"/>
        <v>0</v>
      </c>
      <c r="DN223" s="50">
        <f t="shared" si="341"/>
        <v>0</v>
      </c>
      <c r="DO223" s="50">
        <f t="shared" si="342"/>
        <v>0</v>
      </c>
      <c r="DP223" s="50">
        <f t="shared" si="343"/>
        <v>0</v>
      </c>
      <c r="DQ223" s="50">
        <f t="shared" si="321"/>
        <v>0</v>
      </c>
      <c r="DR223" s="50">
        <f t="shared" si="322"/>
        <v>0</v>
      </c>
      <c r="DS223" s="96">
        <f>Miscelaneous!$D$4*Miscelaneous!$D$2^($CI223-1)</f>
        <v>1000</v>
      </c>
      <c r="DT223" s="333">
        <f t="shared" si="303"/>
        <v>1</v>
      </c>
      <c r="DU223" s="81">
        <v>1</v>
      </c>
      <c r="DV223" s="79">
        <f t="shared" si="323"/>
        <v>0</v>
      </c>
      <c r="DW223" s="79">
        <f t="shared" si="324"/>
        <v>0</v>
      </c>
      <c r="DX223" s="79">
        <f t="shared" si="325"/>
        <v>0</v>
      </c>
      <c r="DY223" s="79">
        <v>1</v>
      </c>
      <c r="DZ223" s="79">
        <f t="shared" si="326"/>
        <v>0</v>
      </c>
      <c r="EA223" s="79">
        <f t="shared" si="327"/>
        <v>0</v>
      </c>
      <c r="EB223" s="79">
        <f t="shared" si="328"/>
        <v>0</v>
      </c>
      <c r="EC223" s="79">
        <f t="shared" si="329"/>
        <v>0</v>
      </c>
      <c r="ED223" s="79">
        <v>1</v>
      </c>
      <c r="EE223" s="79">
        <v>1</v>
      </c>
      <c r="EF223" s="79">
        <f t="shared" si="330"/>
        <v>0</v>
      </c>
      <c r="EG223" s="79">
        <v>1</v>
      </c>
      <c r="EH223" s="79">
        <v>1</v>
      </c>
      <c r="EI223" s="79">
        <v>1</v>
      </c>
      <c r="EJ223" s="79">
        <v>1</v>
      </c>
      <c r="EK223" s="79">
        <v>1</v>
      </c>
      <c r="EL223" s="79">
        <v>1</v>
      </c>
      <c r="EM223" s="143">
        <f t="shared" si="331"/>
        <v>0</v>
      </c>
      <c r="EN223" s="143">
        <f t="shared" si="332"/>
        <v>0</v>
      </c>
      <c r="EO223" s="82">
        <f t="shared" si="333"/>
        <v>0</v>
      </c>
    </row>
    <row r="224" spans="1:145" x14ac:dyDescent="0.25">
      <c r="A224">
        <v>210</v>
      </c>
      <c r="B224" s="172" t="e">
        <f t="shared" si="304"/>
        <v>#N/A</v>
      </c>
      <c r="C224" s="121" t="e">
        <f t="shared" si="283"/>
        <v>#N/A</v>
      </c>
      <c r="D224" s="122" t="e">
        <f t="shared" si="284"/>
        <v>#N/A</v>
      </c>
      <c r="E224" s="122" t="e">
        <f t="shared" si="285"/>
        <v>#N/A</v>
      </c>
      <c r="F224" s="176" t="e">
        <f t="shared" si="286"/>
        <v>#N/A</v>
      </c>
      <c r="G224" s="121">
        <f t="shared" si="305"/>
        <v>208</v>
      </c>
      <c r="H224" s="176" t="e">
        <f t="shared" si="306"/>
        <v>#N/A</v>
      </c>
      <c r="I224" s="48">
        <v>1</v>
      </c>
      <c r="J224" s="39"/>
      <c r="K224" s="350">
        <v>1</v>
      </c>
      <c r="L224" s="34" t="e">
        <f t="shared" si="287"/>
        <v>#N/A</v>
      </c>
      <c r="M224" s="38" t="e">
        <f>(HLOOKUP(J224,'Construction Times'!$B$3:$W$34,L224+2,FALSE)*HLOOKUP("hq modifier",'Construction Times'!$W$3:$W$34,BS224+2,FALSE))*(1-$H$9)</f>
        <v>#N/A</v>
      </c>
      <c r="N224" s="443" t="e">
        <f t="shared" si="307"/>
        <v>#N/A</v>
      </c>
      <c r="O224" s="444"/>
      <c r="P224" s="447" t="e">
        <f t="shared" si="308"/>
        <v>#N/A</v>
      </c>
      <c r="Q224" s="448"/>
      <c r="R224" s="103">
        <f t="shared" si="334"/>
        <v>0</v>
      </c>
      <c r="S224" s="104">
        <f t="shared" si="334"/>
        <v>0</v>
      </c>
      <c r="T224" s="104">
        <f t="shared" si="335"/>
        <v>0</v>
      </c>
      <c r="U224" s="104">
        <f t="shared" si="335"/>
        <v>0</v>
      </c>
      <c r="V224" s="104">
        <f t="shared" si="335"/>
        <v>9.9999999999999995E-8</v>
      </c>
      <c r="W224" s="104">
        <f t="shared" si="335"/>
        <v>0</v>
      </c>
      <c r="X224" s="104">
        <f t="shared" si="273"/>
        <v>0</v>
      </c>
      <c r="Y224" s="104">
        <f t="shared" si="273"/>
        <v>9.9999999999999995E-8</v>
      </c>
      <c r="Z224" s="104">
        <f t="shared" si="273"/>
        <v>9.9999999999999995E-8</v>
      </c>
      <c r="AA224" s="105">
        <f t="shared" si="273"/>
        <v>9.9999999999999995E-8</v>
      </c>
      <c r="AB224" s="101" t="e">
        <f>$DT224*HLOOKUP($J224,'Construction Costs (timber)'!$B$1:$V$32,'Construction Planner'!$L224+2,FALSE)</f>
        <v>#N/A</v>
      </c>
      <c r="AC224" s="14" t="e">
        <f>$DT224*HLOOKUP($J224,'Construction Costs (clay)'!$B$1:$V$32,'Construction Planner'!$L224+2,FALSE)</f>
        <v>#N/A</v>
      </c>
      <c r="AD224" s="14" t="e">
        <f>$DT224*HLOOKUP($J224,'Construction Costs (iron)'!$B$1:$V$32,'Construction Planner'!$L224+2,FALSE)</f>
        <v>#N/A</v>
      </c>
      <c r="AE224" s="34" t="e">
        <f t="shared" si="344"/>
        <v>#N/A</v>
      </c>
      <c r="AF224" s="33" t="e">
        <f t="shared" si="288"/>
        <v>#N/A</v>
      </c>
      <c r="AG224" s="14" t="e">
        <f t="shared" si="289"/>
        <v>#N/A</v>
      </c>
      <c r="AH224" s="14" t="e">
        <f t="shared" si="290"/>
        <v>#N/A</v>
      </c>
      <c r="AI224" s="34" t="e">
        <f t="shared" si="345"/>
        <v>#N/A</v>
      </c>
      <c r="AJ224" s="49" t="e">
        <f t="shared" si="309"/>
        <v>#N/A</v>
      </c>
      <c r="AK224" s="49" t="e">
        <f t="shared" si="310"/>
        <v>#N/A</v>
      </c>
      <c r="AL224" s="49" t="e">
        <f t="shared" si="311"/>
        <v>#N/A</v>
      </c>
      <c r="AM224" s="25">
        <f t="shared" si="291"/>
        <v>30</v>
      </c>
      <c r="AN224" s="25">
        <f t="shared" si="292"/>
        <v>30</v>
      </c>
      <c r="AO224" s="25">
        <f t="shared" si="293"/>
        <v>30</v>
      </c>
      <c r="AP224" s="52" t="e">
        <f t="shared" si="312"/>
        <v>#N/A</v>
      </c>
      <c r="AQ224" s="53" t="e">
        <f t="shared" si="312"/>
        <v>#N/A</v>
      </c>
      <c r="AR224" s="54" t="e">
        <f t="shared" si="312"/>
        <v>#N/A</v>
      </c>
      <c r="AS224" s="316">
        <f t="shared" si="346"/>
        <v>0</v>
      </c>
      <c r="AT224" s="106">
        <f>_xlfn.IFNA($M224/VLOOKUP($BT224,'Unit information'!$A$2:$K$29,2,FALSE)*R224,0)*(1+$E$9)</f>
        <v>0</v>
      </c>
      <c r="AU224" s="107">
        <f>_xlfn.IFNA($M224/VLOOKUP($BT224,'Unit information'!$A$2:$K$29,3,FALSE)*S224,0)*(1+$E$9)</f>
        <v>0</v>
      </c>
      <c r="AV224" s="107">
        <f>_xlfn.IFNA($M224/VLOOKUP($BT224,'Unit information'!$A$2:$K$29,4,FALSE)*T224,0)*(1+$E$9)</f>
        <v>0</v>
      </c>
      <c r="AW224" s="107">
        <f>_xlfn.IFNA($M224/VLOOKUP($BT224,'Unit information'!$A$2:$K$29,5,FALSE)*U224,0)*(1+$E$9)</f>
        <v>0</v>
      </c>
      <c r="AX224" s="107">
        <f>_xlfn.IFNA($M224/VLOOKUP($BU224,'Unit information'!$A$2:$K$29,6,FALSE)*V224,0)*(1+$E$9)</f>
        <v>0</v>
      </c>
      <c r="AY224" s="107">
        <f>_xlfn.IFNA($M224/VLOOKUP($BU224,'Unit information'!$A$2:$K$29,7,FALSE)*W224,0)*(1+$E$9)</f>
        <v>0</v>
      </c>
      <c r="AZ224" s="107">
        <f>_xlfn.IFNA($M224/VLOOKUP($BU224,'Unit information'!$A$2:$K$29,8,FALSE)*X224,0)*(1+$E$9)</f>
        <v>0</v>
      </c>
      <c r="BA224" s="107">
        <f>_xlfn.IFNA($M224/VLOOKUP($BU224,'Unit information'!$A$2:$K$29,9,FALSE)*Y224,0)*(1+$E$9)</f>
        <v>0</v>
      </c>
      <c r="BB224" s="107">
        <f>_xlfn.IFNA($M224/VLOOKUP($BV224,'Unit information'!$A$2:$K$29,10,FALSE)*Z224,0)*(1+$E$9)</f>
        <v>0</v>
      </c>
      <c r="BC224" s="108">
        <f>_xlfn.IFNA($M224/VLOOKUP($BV224,'Unit information'!$A$2:$K$29,11,FALSE)*AA224,0)*(1+$E$9)</f>
        <v>0</v>
      </c>
      <c r="BD224" s="106">
        <f t="shared" si="294"/>
        <v>0</v>
      </c>
      <c r="BE224" s="107">
        <f t="shared" si="295"/>
        <v>0</v>
      </c>
      <c r="BF224" s="108">
        <f t="shared" si="296"/>
        <v>0</v>
      </c>
      <c r="BG224" s="25" t="e">
        <f t="shared" si="297"/>
        <v>#N/A</v>
      </c>
      <c r="BH224" s="25" t="e">
        <f t="shared" si="298"/>
        <v>#N/A</v>
      </c>
      <c r="BI224" s="25" t="e">
        <f t="shared" si="299"/>
        <v>#N/A</v>
      </c>
      <c r="BJ224" s="27" t="e">
        <f t="shared" si="300"/>
        <v>#N/A</v>
      </c>
      <c r="BK224" s="18" t="e">
        <f t="shared" si="301"/>
        <v>#N/A</v>
      </c>
      <c r="BL224" s="18" t="e">
        <f t="shared" si="302"/>
        <v>#N/A</v>
      </c>
      <c r="BM224" s="28" t="e">
        <f t="shared" si="347"/>
        <v>#N/A</v>
      </c>
      <c r="BN224" s="33">
        <f>HLOOKUP("maximum population",Miscelaneous!$C$1:$C$33,CH224+3,FALSE)</f>
        <v>240</v>
      </c>
      <c r="BO224" s="14">
        <f t="shared" si="313"/>
        <v>32</v>
      </c>
      <c r="BP224" s="14">
        <f t="shared" si="314"/>
        <v>0</v>
      </c>
      <c r="BQ224" s="14">
        <f t="shared" si="315"/>
        <v>208</v>
      </c>
      <c r="BR224" s="34" t="e">
        <f>HLOOKUP(J224,Villagers!$B$1:$V$33,L224+3,FALSE)-HLOOKUP(J224,Villagers!$B$1:$V$33,L224+2,FALSE)</f>
        <v>#N/A</v>
      </c>
      <c r="BS224" s="49">
        <f t="shared" si="316"/>
        <v>1</v>
      </c>
      <c r="BT224" s="50">
        <f t="shared" si="317"/>
        <v>0</v>
      </c>
      <c r="BU224" s="50">
        <f t="shared" si="318"/>
        <v>0</v>
      </c>
      <c r="BV224" s="50">
        <f t="shared" si="319"/>
        <v>0</v>
      </c>
      <c r="BW224" s="50">
        <f t="shared" ref="BW224:BY230" si="361">IF($J223=BW$14,$L223,BW223)</f>
        <v>0</v>
      </c>
      <c r="BX224" s="50">
        <f t="shared" si="361"/>
        <v>0</v>
      </c>
      <c r="BY224" s="50">
        <f t="shared" si="361"/>
        <v>0</v>
      </c>
      <c r="BZ224" s="50">
        <f t="shared" si="350"/>
        <v>0</v>
      </c>
      <c r="CA224" s="50">
        <f t="shared" si="351"/>
        <v>0</v>
      </c>
      <c r="CB224" s="50">
        <f t="shared" si="352"/>
        <v>1</v>
      </c>
      <c r="CC224" s="50">
        <f t="shared" si="353"/>
        <v>0</v>
      </c>
      <c r="CD224" s="50">
        <f t="shared" si="354"/>
        <v>0</v>
      </c>
      <c r="CE224" s="50">
        <f t="shared" si="355"/>
        <v>1</v>
      </c>
      <c r="CF224" s="50">
        <f t="shared" si="356"/>
        <v>1</v>
      </c>
      <c r="CG224" s="50">
        <f t="shared" si="357"/>
        <v>1</v>
      </c>
      <c r="CH224" s="50">
        <f t="shared" si="358"/>
        <v>1</v>
      </c>
      <c r="CI224" s="50">
        <f t="shared" si="359"/>
        <v>1</v>
      </c>
      <c r="CJ224" s="50">
        <f t="shared" si="360"/>
        <v>1</v>
      </c>
      <c r="CK224" s="50">
        <f t="shared" si="360"/>
        <v>0</v>
      </c>
      <c r="CL224" s="50">
        <f t="shared" si="360"/>
        <v>0</v>
      </c>
      <c r="CM224" s="51">
        <f t="shared" si="274"/>
        <v>0</v>
      </c>
      <c r="CN224" s="33">
        <f>ROUND(IF(BS224=0,0,HLOOKUP(BS$14,Villagers!$B$1:$V$33,BS224+3,FALSE)),)</f>
        <v>5</v>
      </c>
      <c r="CO224" s="14">
        <f>ROUND(IF(BT224=0,0,HLOOKUP(BT$14,Villagers!$B$1:$V$33,BT224+3,FALSE)),)</f>
        <v>0</v>
      </c>
      <c r="CP224" s="14">
        <f>ROUND(IF(BU224=0,0,HLOOKUP(BU$14,Villagers!$B$1:$V$33,BU224+3,FALSE)),)</f>
        <v>0</v>
      </c>
      <c r="CQ224" s="14">
        <f>ROUND(IF(BV224=0,0,HLOOKUP(BV$14,Villagers!$B$1:$V$33,BV224+3,FALSE)),)</f>
        <v>0</v>
      </c>
      <c r="CR224" s="14">
        <f>ROUND(IF(BW224=0,0,HLOOKUP(BW$14,Villagers!$B$1:$V$33,BW224+3,FALSE)),)</f>
        <v>0</v>
      </c>
      <c r="CS224" s="14">
        <f>ROUND(IF(BX224=0,0,HLOOKUP(BX$14,Villagers!$B$1:$V$33,BX224+3,FALSE)),)</f>
        <v>0</v>
      </c>
      <c r="CT224" s="14">
        <f>ROUND(IF(BY224=0,0,HLOOKUP(BY$14,Villagers!$B$1:$V$33,BY224+3,FALSE)),)</f>
        <v>0</v>
      </c>
      <c r="CU224" s="14">
        <f>ROUND(IF(BZ224=0,0,HLOOKUP(BZ$14,Villagers!$B$1:$V$33,BZ224+3,FALSE)),)</f>
        <v>0</v>
      </c>
      <c r="CV224" s="14">
        <f>ROUND(IF(CA224=0,0,HLOOKUP(CA$14,Villagers!$B$1:$V$33,CA224+3,FALSE)),)</f>
        <v>0</v>
      </c>
      <c r="CW224" s="14">
        <f>ROUND(IF(CB224=0,0,HLOOKUP(CB$14,Villagers!$B$1:$V$33,CB224+3,FALSE)),)</f>
        <v>0</v>
      </c>
      <c r="CX224" s="14">
        <f>ROUND(IF(CC224=0,0,HLOOKUP(CC$14,Villagers!$B$1:$V$33,CC224+3,FALSE)),)</f>
        <v>0</v>
      </c>
      <c r="CY224" s="14">
        <f>ROUND(IF(CD224=0,0,HLOOKUP(CD$14,Villagers!$B$1:$V$33,CD224+3,FALSE)),)</f>
        <v>0</v>
      </c>
      <c r="CZ224" s="14">
        <f>ROUND(IF(CE224=0,0,HLOOKUP(CE$14,Villagers!$B$1:$V$33,CE224+3,FALSE)),)</f>
        <v>5</v>
      </c>
      <c r="DA224" s="14">
        <f>ROUND(IF(CF224=0,0,HLOOKUP(CF$14,Villagers!$B$1:$V$33,CF224+3,FALSE)),)</f>
        <v>10</v>
      </c>
      <c r="DB224" s="14">
        <f>ROUND(IF(CG224=0,0,HLOOKUP(CG$14,Villagers!$B$1:$V$33,CG224+3,FALSE)),)</f>
        <v>10</v>
      </c>
      <c r="DC224" s="14">
        <f>ROUND(IF(CH224=0,0,HLOOKUP(CH$14,Villagers!$B$1:$V$33,CH224+3,FALSE)),)</f>
        <v>0</v>
      </c>
      <c r="DD224" s="14">
        <f>ROUND(IF(CI224=0,0,HLOOKUP(CI$14,Villagers!$B$1:$V$33,CI224+3,FALSE)),)</f>
        <v>0</v>
      </c>
      <c r="DE224" s="14">
        <f>ROUND(IF(CJ224=0,0,HLOOKUP(CJ$14,Villagers!$B$1:$V$33,CJ224+3,FALSE)),)</f>
        <v>2</v>
      </c>
      <c r="DF224" s="370">
        <f>ROUND(IF(CK224=0,0,HLOOKUP(CK$14,Villagers!$B$1:$V$33,CK224+3,FALSE)),)</f>
        <v>0</v>
      </c>
      <c r="DG224" s="370">
        <f>ROUND(IF(CL224=0,0,HLOOKUP(CL$14,Villagers!$B$1:$V$33,CL224+3,FALSE)),)</f>
        <v>0</v>
      </c>
      <c r="DH224" s="34">
        <f>ROUND(IF(CM224=0,0,HLOOKUP(CM$14,Villagers!$B$1:$V$33,CM224+3,FALSE)),)</f>
        <v>0</v>
      </c>
      <c r="DI224" s="109">
        <f t="shared" si="336"/>
        <v>0</v>
      </c>
      <c r="DJ224" s="50">
        <f t="shared" si="337"/>
        <v>0</v>
      </c>
      <c r="DK224" s="50">
        <f t="shared" si="338"/>
        <v>0</v>
      </c>
      <c r="DL224" s="50">
        <f t="shared" si="339"/>
        <v>0</v>
      </c>
      <c r="DM224" s="50">
        <f t="shared" si="340"/>
        <v>0</v>
      </c>
      <c r="DN224" s="50">
        <f t="shared" si="341"/>
        <v>0</v>
      </c>
      <c r="DO224" s="50">
        <f t="shared" si="342"/>
        <v>0</v>
      </c>
      <c r="DP224" s="50">
        <f t="shared" si="343"/>
        <v>0</v>
      </c>
      <c r="DQ224" s="50">
        <f t="shared" si="321"/>
        <v>0</v>
      </c>
      <c r="DR224" s="50">
        <f t="shared" si="322"/>
        <v>0</v>
      </c>
      <c r="DS224" s="96">
        <f>Miscelaneous!$D$4*Miscelaneous!$D$2^($CI224-1)</f>
        <v>1000</v>
      </c>
      <c r="DT224" s="333">
        <f t="shared" si="303"/>
        <v>1</v>
      </c>
      <c r="DU224" s="81">
        <v>1</v>
      </c>
      <c r="DV224" s="79">
        <f t="shared" si="323"/>
        <v>0</v>
      </c>
      <c r="DW224" s="79">
        <f t="shared" si="324"/>
        <v>0</v>
      </c>
      <c r="DX224" s="79">
        <f t="shared" si="325"/>
        <v>0</v>
      </c>
      <c r="DY224" s="79">
        <v>1</v>
      </c>
      <c r="DZ224" s="79">
        <f t="shared" si="326"/>
        <v>0</v>
      </c>
      <c r="EA224" s="79">
        <f t="shared" si="327"/>
        <v>0</v>
      </c>
      <c r="EB224" s="79">
        <f t="shared" si="328"/>
        <v>0</v>
      </c>
      <c r="EC224" s="79">
        <f t="shared" si="329"/>
        <v>0</v>
      </c>
      <c r="ED224" s="79">
        <v>1</v>
      </c>
      <c r="EE224" s="79">
        <v>1</v>
      </c>
      <c r="EF224" s="79">
        <f t="shared" si="330"/>
        <v>0</v>
      </c>
      <c r="EG224" s="79">
        <v>1</v>
      </c>
      <c r="EH224" s="79">
        <v>1</v>
      </c>
      <c r="EI224" s="79">
        <v>1</v>
      </c>
      <c r="EJ224" s="79">
        <v>1</v>
      </c>
      <c r="EK224" s="79">
        <v>1</v>
      </c>
      <c r="EL224" s="79">
        <v>1</v>
      </c>
      <c r="EM224" s="143">
        <f t="shared" si="331"/>
        <v>0</v>
      </c>
      <c r="EN224" s="143">
        <f t="shared" si="332"/>
        <v>0</v>
      </c>
      <c r="EO224" s="82">
        <f t="shared" si="333"/>
        <v>0</v>
      </c>
    </row>
    <row r="225" spans="1:145" x14ac:dyDescent="0.25">
      <c r="A225">
        <v>211</v>
      </c>
      <c r="B225" s="172" t="e">
        <f t="shared" si="304"/>
        <v>#N/A</v>
      </c>
      <c r="C225" s="121" t="e">
        <f t="shared" si="283"/>
        <v>#N/A</v>
      </c>
      <c r="D225" s="122" t="e">
        <f t="shared" si="284"/>
        <v>#N/A</v>
      </c>
      <c r="E225" s="122" t="e">
        <f t="shared" si="285"/>
        <v>#N/A</v>
      </c>
      <c r="F225" s="176" t="e">
        <f t="shared" si="286"/>
        <v>#N/A</v>
      </c>
      <c r="G225" s="121">
        <f t="shared" si="305"/>
        <v>208</v>
      </c>
      <c r="H225" s="176" t="e">
        <f t="shared" si="306"/>
        <v>#N/A</v>
      </c>
      <c r="I225" s="48">
        <v>1</v>
      </c>
      <c r="J225" s="39"/>
      <c r="K225" s="350">
        <v>1</v>
      </c>
      <c r="L225" s="34" t="e">
        <f t="shared" si="287"/>
        <v>#N/A</v>
      </c>
      <c r="M225" s="38" t="e">
        <f>(HLOOKUP(J225,'Construction Times'!$B$3:$W$34,L225+2,FALSE)*HLOOKUP("hq modifier",'Construction Times'!$W$3:$W$34,BS225+2,FALSE))*(1-$H$9)</f>
        <v>#N/A</v>
      </c>
      <c r="N225" s="443" t="e">
        <f t="shared" si="307"/>
        <v>#N/A</v>
      </c>
      <c r="O225" s="444"/>
      <c r="P225" s="447" t="e">
        <f t="shared" si="308"/>
        <v>#N/A</v>
      </c>
      <c r="Q225" s="448"/>
      <c r="R225" s="103">
        <f t="shared" si="334"/>
        <v>0</v>
      </c>
      <c r="S225" s="104">
        <f t="shared" si="334"/>
        <v>0</v>
      </c>
      <c r="T225" s="104">
        <f t="shared" si="335"/>
        <v>0</v>
      </c>
      <c r="U225" s="104">
        <f t="shared" si="335"/>
        <v>0</v>
      </c>
      <c r="V225" s="104">
        <f t="shared" si="335"/>
        <v>9.9999999999999995E-8</v>
      </c>
      <c r="W225" s="104">
        <f t="shared" si="335"/>
        <v>0</v>
      </c>
      <c r="X225" s="104">
        <f t="shared" si="273"/>
        <v>0</v>
      </c>
      <c r="Y225" s="104">
        <f t="shared" si="273"/>
        <v>9.9999999999999995E-8</v>
      </c>
      <c r="Z225" s="104">
        <f t="shared" si="273"/>
        <v>9.9999999999999995E-8</v>
      </c>
      <c r="AA225" s="105">
        <f t="shared" si="273"/>
        <v>9.9999999999999995E-8</v>
      </c>
      <c r="AB225" s="101" t="e">
        <f>$DT225*HLOOKUP($J225,'Construction Costs (timber)'!$B$1:$V$32,'Construction Planner'!$L225+2,FALSE)</f>
        <v>#N/A</v>
      </c>
      <c r="AC225" s="14" t="e">
        <f>$DT225*HLOOKUP($J225,'Construction Costs (clay)'!$B$1:$V$32,'Construction Planner'!$L225+2,FALSE)</f>
        <v>#N/A</v>
      </c>
      <c r="AD225" s="14" t="e">
        <f>$DT225*HLOOKUP($J225,'Construction Costs (iron)'!$B$1:$V$32,'Construction Planner'!$L225+2,FALSE)</f>
        <v>#N/A</v>
      </c>
      <c r="AE225" s="34" t="e">
        <f t="shared" si="344"/>
        <v>#N/A</v>
      </c>
      <c r="AF225" s="33" t="e">
        <f t="shared" si="288"/>
        <v>#N/A</v>
      </c>
      <c r="AG225" s="14" t="e">
        <f t="shared" si="289"/>
        <v>#N/A</v>
      </c>
      <c r="AH225" s="14" t="e">
        <f t="shared" si="290"/>
        <v>#N/A</v>
      </c>
      <c r="AI225" s="34" t="e">
        <f t="shared" si="345"/>
        <v>#N/A</v>
      </c>
      <c r="AJ225" s="49" t="e">
        <f t="shared" si="309"/>
        <v>#N/A</v>
      </c>
      <c r="AK225" s="49" t="e">
        <f t="shared" si="310"/>
        <v>#N/A</v>
      </c>
      <c r="AL225" s="49" t="e">
        <f t="shared" si="311"/>
        <v>#N/A</v>
      </c>
      <c r="AM225" s="25">
        <f t="shared" si="291"/>
        <v>30</v>
      </c>
      <c r="AN225" s="25">
        <f t="shared" si="292"/>
        <v>30</v>
      </c>
      <c r="AO225" s="25">
        <f t="shared" si="293"/>
        <v>30</v>
      </c>
      <c r="AP225" s="52" t="e">
        <f t="shared" si="312"/>
        <v>#N/A</v>
      </c>
      <c r="AQ225" s="53" t="e">
        <f t="shared" si="312"/>
        <v>#N/A</v>
      </c>
      <c r="AR225" s="54" t="e">
        <f t="shared" si="312"/>
        <v>#N/A</v>
      </c>
      <c r="AS225" s="316">
        <f t="shared" si="346"/>
        <v>0</v>
      </c>
      <c r="AT225" s="106">
        <f>_xlfn.IFNA($M225/VLOOKUP($BT225,'Unit information'!$A$2:$K$29,2,FALSE)*R225,0)*(1+$E$9)</f>
        <v>0</v>
      </c>
      <c r="AU225" s="107">
        <f>_xlfn.IFNA($M225/VLOOKUP($BT225,'Unit information'!$A$2:$K$29,3,FALSE)*S225,0)*(1+$E$9)</f>
        <v>0</v>
      </c>
      <c r="AV225" s="107">
        <f>_xlfn.IFNA($M225/VLOOKUP($BT225,'Unit information'!$A$2:$K$29,4,FALSE)*T225,0)*(1+$E$9)</f>
        <v>0</v>
      </c>
      <c r="AW225" s="107">
        <f>_xlfn.IFNA($M225/VLOOKUP($BT225,'Unit information'!$A$2:$K$29,5,FALSE)*U225,0)*(1+$E$9)</f>
        <v>0</v>
      </c>
      <c r="AX225" s="107">
        <f>_xlfn.IFNA($M225/VLOOKUP($BU225,'Unit information'!$A$2:$K$29,6,FALSE)*V225,0)*(1+$E$9)</f>
        <v>0</v>
      </c>
      <c r="AY225" s="107">
        <f>_xlfn.IFNA($M225/VLOOKUP($BU225,'Unit information'!$A$2:$K$29,7,FALSE)*W225,0)*(1+$E$9)</f>
        <v>0</v>
      </c>
      <c r="AZ225" s="107">
        <f>_xlfn.IFNA($M225/VLOOKUP($BU225,'Unit information'!$A$2:$K$29,8,FALSE)*X225,0)*(1+$E$9)</f>
        <v>0</v>
      </c>
      <c r="BA225" s="107">
        <f>_xlfn.IFNA($M225/VLOOKUP($BU225,'Unit information'!$A$2:$K$29,9,FALSE)*Y225,0)*(1+$E$9)</f>
        <v>0</v>
      </c>
      <c r="BB225" s="107">
        <f>_xlfn.IFNA($M225/VLOOKUP($BV225,'Unit information'!$A$2:$K$29,10,FALSE)*Z225,0)*(1+$E$9)</f>
        <v>0</v>
      </c>
      <c r="BC225" s="108">
        <f>_xlfn.IFNA($M225/VLOOKUP($BV225,'Unit information'!$A$2:$K$29,11,FALSE)*AA225,0)*(1+$E$9)</f>
        <v>0</v>
      </c>
      <c r="BD225" s="106">
        <f t="shared" si="294"/>
        <v>0</v>
      </c>
      <c r="BE225" s="107">
        <f t="shared" si="295"/>
        <v>0</v>
      </c>
      <c r="BF225" s="108">
        <f t="shared" si="296"/>
        <v>0</v>
      </c>
      <c r="BG225" s="25" t="e">
        <f t="shared" si="297"/>
        <v>#N/A</v>
      </c>
      <c r="BH225" s="25" t="e">
        <f t="shared" si="298"/>
        <v>#N/A</v>
      </c>
      <c r="BI225" s="25" t="e">
        <f t="shared" si="299"/>
        <v>#N/A</v>
      </c>
      <c r="BJ225" s="27" t="e">
        <f t="shared" si="300"/>
        <v>#N/A</v>
      </c>
      <c r="BK225" s="18" t="e">
        <f t="shared" si="301"/>
        <v>#N/A</v>
      </c>
      <c r="BL225" s="18" t="e">
        <f t="shared" si="302"/>
        <v>#N/A</v>
      </c>
      <c r="BM225" s="28" t="e">
        <f t="shared" si="347"/>
        <v>#N/A</v>
      </c>
      <c r="BN225" s="33">
        <f>HLOOKUP("maximum population",Miscelaneous!$C$1:$C$33,CH225+3,FALSE)</f>
        <v>240</v>
      </c>
      <c r="BO225" s="14">
        <f t="shared" si="313"/>
        <v>32</v>
      </c>
      <c r="BP225" s="14">
        <f t="shared" si="314"/>
        <v>0</v>
      </c>
      <c r="BQ225" s="14">
        <f t="shared" si="315"/>
        <v>208</v>
      </c>
      <c r="BR225" s="34" t="e">
        <f>HLOOKUP(J225,Villagers!$B$1:$V$33,L225+3,FALSE)-HLOOKUP(J225,Villagers!$B$1:$V$33,L225+2,FALSE)</f>
        <v>#N/A</v>
      </c>
      <c r="BS225" s="49">
        <f t="shared" si="316"/>
        <v>1</v>
      </c>
      <c r="BT225" s="50">
        <f t="shared" si="317"/>
        <v>0</v>
      </c>
      <c r="BU225" s="50">
        <f t="shared" si="318"/>
        <v>0</v>
      </c>
      <c r="BV225" s="50">
        <f t="shared" si="319"/>
        <v>0</v>
      </c>
      <c r="BW225" s="50">
        <f t="shared" si="361"/>
        <v>0</v>
      </c>
      <c r="BX225" s="50">
        <f t="shared" si="361"/>
        <v>0</v>
      </c>
      <c r="BY225" s="50">
        <f t="shared" si="361"/>
        <v>0</v>
      </c>
      <c r="BZ225" s="50">
        <f t="shared" si="350"/>
        <v>0</v>
      </c>
      <c r="CA225" s="50">
        <f t="shared" si="351"/>
        <v>0</v>
      </c>
      <c r="CB225" s="50">
        <f t="shared" si="352"/>
        <v>1</v>
      </c>
      <c r="CC225" s="50">
        <f t="shared" si="353"/>
        <v>0</v>
      </c>
      <c r="CD225" s="50">
        <f t="shared" si="354"/>
        <v>0</v>
      </c>
      <c r="CE225" s="50">
        <f t="shared" si="355"/>
        <v>1</v>
      </c>
      <c r="CF225" s="50">
        <f t="shared" si="356"/>
        <v>1</v>
      </c>
      <c r="CG225" s="50">
        <f t="shared" si="357"/>
        <v>1</v>
      </c>
      <c r="CH225" s="50">
        <f t="shared" si="358"/>
        <v>1</v>
      </c>
      <c r="CI225" s="50">
        <f t="shared" si="359"/>
        <v>1</v>
      </c>
      <c r="CJ225" s="50">
        <f t="shared" si="360"/>
        <v>1</v>
      </c>
      <c r="CK225" s="50">
        <f t="shared" si="360"/>
        <v>0</v>
      </c>
      <c r="CL225" s="50">
        <f t="shared" si="360"/>
        <v>0</v>
      </c>
      <c r="CM225" s="51">
        <f t="shared" si="274"/>
        <v>0</v>
      </c>
      <c r="CN225" s="33">
        <f>ROUND(IF(BS225=0,0,HLOOKUP(BS$14,Villagers!$B$1:$V$33,BS225+3,FALSE)),)</f>
        <v>5</v>
      </c>
      <c r="CO225" s="14">
        <f>ROUND(IF(BT225=0,0,HLOOKUP(BT$14,Villagers!$B$1:$V$33,BT225+3,FALSE)),)</f>
        <v>0</v>
      </c>
      <c r="CP225" s="14">
        <f>ROUND(IF(BU225=0,0,HLOOKUP(BU$14,Villagers!$B$1:$V$33,BU225+3,FALSE)),)</f>
        <v>0</v>
      </c>
      <c r="CQ225" s="14">
        <f>ROUND(IF(BV225=0,0,HLOOKUP(BV$14,Villagers!$B$1:$V$33,BV225+3,FALSE)),)</f>
        <v>0</v>
      </c>
      <c r="CR225" s="14">
        <f>ROUND(IF(BW225=0,0,HLOOKUP(BW$14,Villagers!$B$1:$V$33,BW225+3,FALSE)),)</f>
        <v>0</v>
      </c>
      <c r="CS225" s="14">
        <f>ROUND(IF(BX225=0,0,HLOOKUP(BX$14,Villagers!$B$1:$V$33,BX225+3,FALSE)),)</f>
        <v>0</v>
      </c>
      <c r="CT225" s="14">
        <f>ROUND(IF(BY225=0,0,HLOOKUP(BY$14,Villagers!$B$1:$V$33,BY225+3,FALSE)),)</f>
        <v>0</v>
      </c>
      <c r="CU225" s="14">
        <f>ROUND(IF(BZ225=0,0,HLOOKUP(BZ$14,Villagers!$B$1:$V$33,BZ225+3,FALSE)),)</f>
        <v>0</v>
      </c>
      <c r="CV225" s="14">
        <f>ROUND(IF(CA225=0,0,HLOOKUP(CA$14,Villagers!$B$1:$V$33,CA225+3,FALSE)),)</f>
        <v>0</v>
      </c>
      <c r="CW225" s="14">
        <f>ROUND(IF(CB225=0,0,HLOOKUP(CB$14,Villagers!$B$1:$V$33,CB225+3,FALSE)),)</f>
        <v>0</v>
      </c>
      <c r="CX225" s="14">
        <f>ROUND(IF(CC225=0,0,HLOOKUP(CC$14,Villagers!$B$1:$V$33,CC225+3,FALSE)),)</f>
        <v>0</v>
      </c>
      <c r="CY225" s="14">
        <f>ROUND(IF(CD225=0,0,HLOOKUP(CD$14,Villagers!$B$1:$V$33,CD225+3,FALSE)),)</f>
        <v>0</v>
      </c>
      <c r="CZ225" s="14">
        <f>ROUND(IF(CE225=0,0,HLOOKUP(CE$14,Villagers!$B$1:$V$33,CE225+3,FALSE)),)</f>
        <v>5</v>
      </c>
      <c r="DA225" s="14">
        <f>ROUND(IF(CF225=0,0,HLOOKUP(CF$14,Villagers!$B$1:$V$33,CF225+3,FALSE)),)</f>
        <v>10</v>
      </c>
      <c r="DB225" s="14">
        <f>ROUND(IF(CG225=0,0,HLOOKUP(CG$14,Villagers!$B$1:$V$33,CG225+3,FALSE)),)</f>
        <v>10</v>
      </c>
      <c r="DC225" s="14">
        <f>ROUND(IF(CH225=0,0,HLOOKUP(CH$14,Villagers!$B$1:$V$33,CH225+3,FALSE)),)</f>
        <v>0</v>
      </c>
      <c r="DD225" s="14">
        <f>ROUND(IF(CI225=0,0,HLOOKUP(CI$14,Villagers!$B$1:$V$33,CI225+3,FALSE)),)</f>
        <v>0</v>
      </c>
      <c r="DE225" s="14">
        <f>ROUND(IF(CJ225=0,0,HLOOKUP(CJ$14,Villagers!$B$1:$V$33,CJ225+3,FALSE)),)</f>
        <v>2</v>
      </c>
      <c r="DF225" s="370">
        <f>ROUND(IF(CK225=0,0,HLOOKUP(CK$14,Villagers!$B$1:$V$33,CK225+3,FALSE)),)</f>
        <v>0</v>
      </c>
      <c r="DG225" s="370">
        <f>ROUND(IF(CL225=0,0,HLOOKUP(CL$14,Villagers!$B$1:$V$33,CL225+3,FALSE)),)</f>
        <v>0</v>
      </c>
      <c r="DH225" s="34">
        <f>ROUND(IF(CM225=0,0,HLOOKUP(CM$14,Villagers!$B$1:$V$33,CM225+3,FALSE)),)</f>
        <v>0</v>
      </c>
      <c r="DI225" s="109">
        <f t="shared" si="336"/>
        <v>0</v>
      </c>
      <c r="DJ225" s="50">
        <f t="shared" si="337"/>
        <v>0</v>
      </c>
      <c r="DK225" s="50">
        <f t="shared" si="338"/>
        <v>0</v>
      </c>
      <c r="DL225" s="50">
        <f t="shared" si="339"/>
        <v>0</v>
      </c>
      <c r="DM225" s="50">
        <f t="shared" si="340"/>
        <v>0</v>
      </c>
      <c r="DN225" s="50">
        <f t="shared" si="341"/>
        <v>0</v>
      </c>
      <c r="DO225" s="50">
        <f t="shared" si="342"/>
        <v>0</v>
      </c>
      <c r="DP225" s="50">
        <f t="shared" si="343"/>
        <v>0</v>
      </c>
      <c r="DQ225" s="50">
        <f t="shared" si="321"/>
        <v>0</v>
      </c>
      <c r="DR225" s="50">
        <f t="shared" si="322"/>
        <v>0</v>
      </c>
      <c r="DS225" s="96">
        <f>Miscelaneous!$D$4*Miscelaneous!$D$2^($CI225-1)</f>
        <v>1000</v>
      </c>
      <c r="DT225" s="333">
        <f t="shared" si="303"/>
        <v>1</v>
      </c>
      <c r="DU225" s="81">
        <v>1</v>
      </c>
      <c r="DV225" s="79">
        <f t="shared" si="323"/>
        <v>0</v>
      </c>
      <c r="DW225" s="79">
        <f t="shared" si="324"/>
        <v>0</v>
      </c>
      <c r="DX225" s="79">
        <f t="shared" si="325"/>
        <v>0</v>
      </c>
      <c r="DY225" s="79">
        <v>1</v>
      </c>
      <c r="DZ225" s="79">
        <f t="shared" si="326"/>
        <v>0</v>
      </c>
      <c r="EA225" s="79">
        <f t="shared" si="327"/>
        <v>0</v>
      </c>
      <c r="EB225" s="79">
        <f t="shared" si="328"/>
        <v>0</v>
      </c>
      <c r="EC225" s="79">
        <f t="shared" si="329"/>
        <v>0</v>
      </c>
      <c r="ED225" s="79">
        <v>1</v>
      </c>
      <c r="EE225" s="79">
        <v>1</v>
      </c>
      <c r="EF225" s="79">
        <f t="shared" si="330"/>
        <v>0</v>
      </c>
      <c r="EG225" s="79">
        <v>1</v>
      </c>
      <c r="EH225" s="79">
        <v>1</v>
      </c>
      <c r="EI225" s="79">
        <v>1</v>
      </c>
      <c r="EJ225" s="79">
        <v>1</v>
      </c>
      <c r="EK225" s="79">
        <v>1</v>
      </c>
      <c r="EL225" s="79">
        <v>1</v>
      </c>
      <c r="EM225" s="143">
        <f t="shared" si="331"/>
        <v>0</v>
      </c>
      <c r="EN225" s="143">
        <f t="shared" si="332"/>
        <v>0</v>
      </c>
      <c r="EO225" s="82">
        <f t="shared" si="333"/>
        <v>0</v>
      </c>
    </row>
    <row r="226" spans="1:145" x14ac:dyDescent="0.25">
      <c r="A226">
        <v>212</v>
      </c>
      <c r="B226" s="172" t="e">
        <f t="shared" si="304"/>
        <v>#N/A</v>
      </c>
      <c r="C226" s="121" t="e">
        <f t="shared" si="283"/>
        <v>#N/A</v>
      </c>
      <c r="D226" s="122" t="e">
        <f t="shared" si="284"/>
        <v>#N/A</v>
      </c>
      <c r="E226" s="122" t="e">
        <f t="shared" si="285"/>
        <v>#N/A</v>
      </c>
      <c r="F226" s="176" t="e">
        <f t="shared" si="286"/>
        <v>#N/A</v>
      </c>
      <c r="G226" s="121">
        <f t="shared" si="305"/>
        <v>208</v>
      </c>
      <c r="H226" s="176" t="e">
        <f t="shared" si="306"/>
        <v>#N/A</v>
      </c>
      <c r="I226" s="48">
        <v>1</v>
      </c>
      <c r="J226" s="39"/>
      <c r="K226" s="350">
        <v>1</v>
      </c>
      <c r="L226" s="34" t="e">
        <f t="shared" si="287"/>
        <v>#N/A</v>
      </c>
      <c r="M226" s="38" t="e">
        <f>(HLOOKUP(J226,'Construction Times'!$B$3:$W$34,L226+2,FALSE)*HLOOKUP("hq modifier",'Construction Times'!$W$3:$W$34,BS226+2,FALSE))*(1-$H$9)</f>
        <v>#N/A</v>
      </c>
      <c r="N226" s="443" t="e">
        <f t="shared" si="307"/>
        <v>#N/A</v>
      </c>
      <c r="O226" s="444"/>
      <c r="P226" s="447" t="e">
        <f t="shared" si="308"/>
        <v>#N/A</v>
      </c>
      <c r="Q226" s="448"/>
      <c r="R226" s="103">
        <f t="shared" si="334"/>
        <v>0</v>
      </c>
      <c r="S226" s="104">
        <f t="shared" si="334"/>
        <v>0</v>
      </c>
      <c r="T226" s="104">
        <f t="shared" si="335"/>
        <v>0</v>
      </c>
      <c r="U226" s="104">
        <f t="shared" si="335"/>
        <v>0</v>
      </c>
      <c r="V226" s="104">
        <f t="shared" si="335"/>
        <v>9.9999999999999995E-8</v>
      </c>
      <c r="W226" s="104">
        <f t="shared" si="335"/>
        <v>0</v>
      </c>
      <c r="X226" s="104">
        <f t="shared" si="273"/>
        <v>0</v>
      </c>
      <c r="Y226" s="104">
        <f t="shared" si="273"/>
        <v>9.9999999999999995E-8</v>
      </c>
      <c r="Z226" s="104">
        <f t="shared" si="273"/>
        <v>9.9999999999999995E-8</v>
      </c>
      <c r="AA226" s="105">
        <f t="shared" si="273"/>
        <v>9.9999999999999995E-8</v>
      </c>
      <c r="AB226" s="101" t="e">
        <f>$DT226*HLOOKUP($J226,'Construction Costs (timber)'!$B$1:$V$32,'Construction Planner'!$L226+2,FALSE)</f>
        <v>#N/A</v>
      </c>
      <c r="AC226" s="14" t="e">
        <f>$DT226*HLOOKUP($J226,'Construction Costs (clay)'!$B$1:$V$32,'Construction Planner'!$L226+2,FALSE)</f>
        <v>#N/A</v>
      </c>
      <c r="AD226" s="14" t="e">
        <f>$DT226*HLOOKUP($J226,'Construction Costs (iron)'!$B$1:$V$32,'Construction Planner'!$L226+2,FALSE)</f>
        <v>#N/A</v>
      </c>
      <c r="AE226" s="34" t="e">
        <f t="shared" si="344"/>
        <v>#N/A</v>
      </c>
      <c r="AF226" s="33" t="e">
        <f t="shared" si="288"/>
        <v>#N/A</v>
      </c>
      <c r="AG226" s="14" t="e">
        <f t="shared" si="289"/>
        <v>#N/A</v>
      </c>
      <c r="AH226" s="14" t="e">
        <f t="shared" si="290"/>
        <v>#N/A</v>
      </c>
      <c r="AI226" s="34" t="e">
        <f t="shared" si="345"/>
        <v>#N/A</v>
      </c>
      <c r="AJ226" s="49" t="e">
        <f t="shared" si="309"/>
        <v>#N/A</v>
      </c>
      <c r="AK226" s="49" t="e">
        <f t="shared" si="310"/>
        <v>#N/A</v>
      </c>
      <c r="AL226" s="49" t="e">
        <f t="shared" si="311"/>
        <v>#N/A</v>
      </c>
      <c r="AM226" s="25">
        <f t="shared" si="291"/>
        <v>30</v>
      </c>
      <c r="AN226" s="25">
        <f t="shared" si="292"/>
        <v>30</v>
      </c>
      <c r="AO226" s="25">
        <f t="shared" si="293"/>
        <v>30</v>
      </c>
      <c r="AP226" s="52" t="e">
        <f t="shared" si="312"/>
        <v>#N/A</v>
      </c>
      <c r="AQ226" s="53" t="e">
        <f t="shared" si="312"/>
        <v>#N/A</v>
      </c>
      <c r="AR226" s="54" t="e">
        <f t="shared" si="312"/>
        <v>#N/A</v>
      </c>
      <c r="AS226" s="316">
        <f t="shared" si="346"/>
        <v>0</v>
      </c>
      <c r="AT226" s="106">
        <f>_xlfn.IFNA($M226/VLOOKUP($BT226,'Unit information'!$A$2:$K$29,2,FALSE)*R226,0)*(1+$E$9)</f>
        <v>0</v>
      </c>
      <c r="AU226" s="107">
        <f>_xlfn.IFNA($M226/VLOOKUP($BT226,'Unit information'!$A$2:$K$29,3,FALSE)*S226,0)*(1+$E$9)</f>
        <v>0</v>
      </c>
      <c r="AV226" s="107">
        <f>_xlfn.IFNA($M226/VLOOKUP($BT226,'Unit information'!$A$2:$K$29,4,FALSE)*T226,0)*(1+$E$9)</f>
        <v>0</v>
      </c>
      <c r="AW226" s="107">
        <f>_xlfn.IFNA($M226/VLOOKUP($BT226,'Unit information'!$A$2:$K$29,5,FALSE)*U226,0)*(1+$E$9)</f>
        <v>0</v>
      </c>
      <c r="AX226" s="107">
        <f>_xlfn.IFNA($M226/VLOOKUP($BU226,'Unit information'!$A$2:$K$29,6,FALSE)*V226,0)*(1+$E$9)</f>
        <v>0</v>
      </c>
      <c r="AY226" s="107">
        <f>_xlfn.IFNA($M226/VLOOKUP($BU226,'Unit information'!$A$2:$K$29,7,FALSE)*W226,0)*(1+$E$9)</f>
        <v>0</v>
      </c>
      <c r="AZ226" s="107">
        <f>_xlfn.IFNA($M226/VLOOKUP($BU226,'Unit information'!$A$2:$K$29,8,FALSE)*X226,0)*(1+$E$9)</f>
        <v>0</v>
      </c>
      <c r="BA226" s="107">
        <f>_xlfn.IFNA($M226/VLOOKUP($BU226,'Unit information'!$A$2:$K$29,9,FALSE)*Y226,0)*(1+$E$9)</f>
        <v>0</v>
      </c>
      <c r="BB226" s="107">
        <f>_xlfn.IFNA($M226/VLOOKUP($BV226,'Unit information'!$A$2:$K$29,10,FALSE)*Z226,0)*(1+$E$9)</f>
        <v>0</v>
      </c>
      <c r="BC226" s="108">
        <f>_xlfn.IFNA($M226/VLOOKUP($BV226,'Unit information'!$A$2:$K$29,11,FALSE)*AA226,0)*(1+$E$9)</f>
        <v>0</v>
      </c>
      <c r="BD226" s="106">
        <f t="shared" si="294"/>
        <v>0</v>
      </c>
      <c r="BE226" s="107">
        <f t="shared" si="295"/>
        <v>0</v>
      </c>
      <c r="BF226" s="108">
        <f t="shared" si="296"/>
        <v>0</v>
      </c>
      <c r="BG226" s="25" t="e">
        <f t="shared" si="297"/>
        <v>#N/A</v>
      </c>
      <c r="BH226" s="25" t="e">
        <f t="shared" si="298"/>
        <v>#N/A</v>
      </c>
      <c r="BI226" s="25" t="e">
        <f t="shared" si="299"/>
        <v>#N/A</v>
      </c>
      <c r="BJ226" s="27" t="e">
        <f t="shared" si="300"/>
        <v>#N/A</v>
      </c>
      <c r="BK226" s="18" t="e">
        <f t="shared" si="301"/>
        <v>#N/A</v>
      </c>
      <c r="BL226" s="18" t="e">
        <f t="shared" si="302"/>
        <v>#N/A</v>
      </c>
      <c r="BM226" s="28" t="e">
        <f t="shared" si="347"/>
        <v>#N/A</v>
      </c>
      <c r="BN226" s="33">
        <f>HLOOKUP("maximum population",Miscelaneous!$C$1:$C$33,CH226+3,FALSE)</f>
        <v>240</v>
      </c>
      <c r="BO226" s="14">
        <f t="shared" si="313"/>
        <v>32</v>
      </c>
      <c r="BP226" s="14">
        <f t="shared" si="314"/>
        <v>0</v>
      </c>
      <c r="BQ226" s="14">
        <f t="shared" si="315"/>
        <v>208</v>
      </c>
      <c r="BR226" s="34" t="e">
        <f>HLOOKUP(J226,Villagers!$B$1:$V$33,L226+3,FALSE)-HLOOKUP(J226,Villagers!$B$1:$V$33,L226+2,FALSE)</f>
        <v>#N/A</v>
      </c>
      <c r="BS226" s="49">
        <f t="shared" si="316"/>
        <v>1</v>
      </c>
      <c r="BT226" s="50">
        <f t="shared" si="317"/>
        <v>0</v>
      </c>
      <c r="BU226" s="50">
        <f t="shared" si="318"/>
        <v>0</v>
      </c>
      <c r="BV226" s="50">
        <f t="shared" si="319"/>
        <v>0</v>
      </c>
      <c r="BW226" s="50">
        <f t="shared" si="361"/>
        <v>0</v>
      </c>
      <c r="BX226" s="50">
        <f t="shared" si="361"/>
        <v>0</v>
      </c>
      <c r="BY226" s="50">
        <f t="shared" si="361"/>
        <v>0</v>
      </c>
      <c r="BZ226" s="50">
        <f t="shared" si="350"/>
        <v>0</v>
      </c>
      <c r="CA226" s="50">
        <f t="shared" si="351"/>
        <v>0</v>
      </c>
      <c r="CB226" s="50">
        <f t="shared" si="352"/>
        <v>1</v>
      </c>
      <c r="CC226" s="50">
        <f t="shared" si="353"/>
        <v>0</v>
      </c>
      <c r="CD226" s="50">
        <f t="shared" si="354"/>
        <v>0</v>
      </c>
      <c r="CE226" s="50">
        <f t="shared" si="355"/>
        <v>1</v>
      </c>
      <c r="CF226" s="50">
        <f t="shared" si="356"/>
        <v>1</v>
      </c>
      <c r="CG226" s="50">
        <f t="shared" si="357"/>
        <v>1</v>
      </c>
      <c r="CH226" s="50">
        <f t="shared" si="358"/>
        <v>1</v>
      </c>
      <c r="CI226" s="50">
        <f t="shared" si="359"/>
        <v>1</v>
      </c>
      <c r="CJ226" s="50">
        <f t="shared" si="360"/>
        <v>1</v>
      </c>
      <c r="CK226" s="50">
        <f t="shared" si="360"/>
        <v>0</v>
      </c>
      <c r="CL226" s="50">
        <f t="shared" si="360"/>
        <v>0</v>
      </c>
      <c r="CM226" s="51">
        <f t="shared" si="274"/>
        <v>0</v>
      </c>
      <c r="CN226" s="33">
        <f>ROUND(IF(BS226=0,0,HLOOKUP(BS$14,Villagers!$B$1:$V$33,BS226+3,FALSE)),)</f>
        <v>5</v>
      </c>
      <c r="CO226" s="14">
        <f>ROUND(IF(BT226=0,0,HLOOKUP(BT$14,Villagers!$B$1:$V$33,BT226+3,FALSE)),)</f>
        <v>0</v>
      </c>
      <c r="CP226" s="14">
        <f>ROUND(IF(BU226=0,0,HLOOKUP(BU$14,Villagers!$B$1:$V$33,BU226+3,FALSE)),)</f>
        <v>0</v>
      </c>
      <c r="CQ226" s="14">
        <f>ROUND(IF(BV226=0,0,HLOOKUP(BV$14,Villagers!$B$1:$V$33,BV226+3,FALSE)),)</f>
        <v>0</v>
      </c>
      <c r="CR226" s="14">
        <f>ROUND(IF(BW226=0,0,HLOOKUP(BW$14,Villagers!$B$1:$V$33,BW226+3,FALSE)),)</f>
        <v>0</v>
      </c>
      <c r="CS226" s="14">
        <f>ROUND(IF(BX226=0,0,HLOOKUP(BX$14,Villagers!$B$1:$V$33,BX226+3,FALSE)),)</f>
        <v>0</v>
      </c>
      <c r="CT226" s="14">
        <f>ROUND(IF(BY226=0,0,HLOOKUP(BY$14,Villagers!$B$1:$V$33,BY226+3,FALSE)),)</f>
        <v>0</v>
      </c>
      <c r="CU226" s="14">
        <f>ROUND(IF(BZ226=0,0,HLOOKUP(BZ$14,Villagers!$B$1:$V$33,BZ226+3,FALSE)),)</f>
        <v>0</v>
      </c>
      <c r="CV226" s="14">
        <f>ROUND(IF(CA226=0,0,HLOOKUP(CA$14,Villagers!$B$1:$V$33,CA226+3,FALSE)),)</f>
        <v>0</v>
      </c>
      <c r="CW226" s="14">
        <f>ROUND(IF(CB226=0,0,HLOOKUP(CB$14,Villagers!$B$1:$V$33,CB226+3,FALSE)),)</f>
        <v>0</v>
      </c>
      <c r="CX226" s="14">
        <f>ROUND(IF(CC226=0,0,HLOOKUP(CC$14,Villagers!$B$1:$V$33,CC226+3,FALSE)),)</f>
        <v>0</v>
      </c>
      <c r="CY226" s="14">
        <f>ROUND(IF(CD226=0,0,HLOOKUP(CD$14,Villagers!$B$1:$V$33,CD226+3,FALSE)),)</f>
        <v>0</v>
      </c>
      <c r="CZ226" s="14">
        <f>ROUND(IF(CE226=0,0,HLOOKUP(CE$14,Villagers!$B$1:$V$33,CE226+3,FALSE)),)</f>
        <v>5</v>
      </c>
      <c r="DA226" s="14">
        <f>ROUND(IF(CF226=0,0,HLOOKUP(CF$14,Villagers!$B$1:$V$33,CF226+3,FALSE)),)</f>
        <v>10</v>
      </c>
      <c r="DB226" s="14">
        <f>ROUND(IF(CG226=0,0,HLOOKUP(CG$14,Villagers!$B$1:$V$33,CG226+3,FALSE)),)</f>
        <v>10</v>
      </c>
      <c r="DC226" s="14">
        <f>ROUND(IF(CH226=0,0,HLOOKUP(CH$14,Villagers!$B$1:$V$33,CH226+3,FALSE)),)</f>
        <v>0</v>
      </c>
      <c r="DD226" s="14">
        <f>ROUND(IF(CI226=0,0,HLOOKUP(CI$14,Villagers!$B$1:$V$33,CI226+3,FALSE)),)</f>
        <v>0</v>
      </c>
      <c r="DE226" s="14">
        <f>ROUND(IF(CJ226=0,0,HLOOKUP(CJ$14,Villagers!$B$1:$V$33,CJ226+3,FALSE)),)</f>
        <v>2</v>
      </c>
      <c r="DF226" s="370">
        <f>ROUND(IF(CK226=0,0,HLOOKUP(CK$14,Villagers!$B$1:$V$33,CK226+3,FALSE)),)</f>
        <v>0</v>
      </c>
      <c r="DG226" s="370">
        <f>ROUND(IF(CL226=0,0,HLOOKUP(CL$14,Villagers!$B$1:$V$33,CL226+3,FALSE)),)</f>
        <v>0</v>
      </c>
      <c r="DH226" s="34">
        <f>ROUND(IF(CM226=0,0,HLOOKUP(CM$14,Villagers!$B$1:$V$33,CM226+3,FALSE)),)</f>
        <v>0</v>
      </c>
      <c r="DI226" s="109">
        <f t="shared" si="336"/>
        <v>0</v>
      </c>
      <c r="DJ226" s="50">
        <f t="shared" si="337"/>
        <v>0</v>
      </c>
      <c r="DK226" s="50">
        <f t="shared" si="338"/>
        <v>0</v>
      </c>
      <c r="DL226" s="50">
        <f t="shared" si="339"/>
        <v>0</v>
      </c>
      <c r="DM226" s="50">
        <f t="shared" si="340"/>
        <v>0</v>
      </c>
      <c r="DN226" s="50">
        <f t="shared" si="341"/>
        <v>0</v>
      </c>
      <c r="DO226" s="50">
        <f t="shared" si="342"/>
        <v>0</v>
      </c>
      <c r="DP226" s="50">
        <f t="shared" si="343"/>
        <v>0</v>
      </c>
      <c r="DQ226" s="50">
        <f t="shared" si="321"/>
        <v>0</v>
      </c>
      <c r="DR226" s="50">
        <f t="shared" si="322"/>
        <v>0</v>
      </c>
      <c r="DS226" s="96">
        <f>Miscelaneous!$D$4*Miscelaneous!$D$2^($CI226-1)</f>
        <v>1000</v>
      </c>
      <c r="DT226" s="333">
        <f t="shared" si="303"/>
        <v>1</v>
      </c>
      <c r="DU226" s="81">
        <v>1</v>
      </c>
      <c r="DV226" s="79">
        <f t="shared" si="323"/>
        <v>0</v>
      </c>
      <c r="DW226" s="79">
        <f t="shared" si="324"/>
        <v>0</v>
      </c>
      <c r="DX226" s="79">
        <f t="shared" si="325"/>
        <v>0</v>
      </c>
      <c r="DY226" s="79">
        <v>1</v>
      </c>
      <c r="DZ226" s="79">
        <f t="shared" si="326"/>
        <v>0</v>
      </c>
      <c r="EA226" s="79">
        <f t="shared" si="327"/>
        <v>0</v>
      </c>
      <c r="EB226" s="79">
        <f t="shared" si="328"/>
        <v>0</v>
      </c>
      <c r="EC226" s="79">
        <f t="shared" si="329"/>
        <v>0</v>
      </c>
      <c r="ED226" s="79">
        <v>1</v>
      </c>
      <c r="EE226" s="79">
        <v>1</v>
      </c>
      <c r="EF226" s="79">
        <f t="shared" si="330"/>
        <v>0</v>
      </c>
      <c r="EG226" s="79">
        <v>1</v>
      </c>
      <c r="EH226" s="79">
        <v>1</v>
      </c>
      <c r="EI226" s="79">
        <v>1</v>
      </c>
      <c r="EJ226" s="79">
        <v>1</v>
      </c>
      <c r="EK226" s="79">
        <v>1</v>
      </c>
      <c r="EL226" s="79">
        <v>1</v>
      </c>
      <c r="EM226" s="143">
        <f t="shared" si="331"/>
        <v>0</v>
      </c>
      <c r="EN226" s="143">
        <f t="shared" si="332"/>
        <v>0</v>
      </c>
      <c r="EO226" s="82">
        <f t="shared" si="333"/>
        <v>0</v>
      </c>
    </row>
    <row r="227" spans="1:145" x14ac:dyDescent="0.25">
      <c r="A227">
        <v>213</v>
      </c>
      <c r="B227" s="172" t="e">
        <f t="shared" si="304"/>
        <v>#N/A</v>
      </c>
      <c r="C227" s="121" t="e">
        <f t="shared" si="283"/>
        <v>#N/A</v>
      </c>
      <c r="D227" s="122" t="e">
        <f t="shared" si="284"/>
        <v>#N/A</v>
      </c>
      <c r="E227" s="122" t="e">
        <f t="shared" si="285"/>
        <v>#N/A</v>
      </c>
      <c r="F227" s="176" t="e">
        <f t="shared" si="286"/>
        <v>#N/A</v>
      </c>
      <c r="G227" s="121">
        <f t="shared" si="305"/>
        <v>208</v>
      </c>
      <c r="H227" s="176" t="e">
        <f t="shared" si="306"/>
        <v>#N/A</v>
      </c>
      <c r="I227" s="48">
        <v>1</v>
      </c>
      <c r="J227" s="39"/>
      <c r="K227" s="350">
        <v>1</v>
      </c>
      <c r="L227" s="34" t="e">
        <f t="shared" si="287"/>
        <v>#N/A</v>
      </c>
      <c r="M227" s="38" t="e">
        <f>(HLOOKUP(J227,'Construction Times'!$B$3:$W$34,L227+2,FALSE)*HLOOKUP("hq modifier",'Construction Times'!$W$3:$W$34,BS227+2,FALSE))*(1-$H$9)</f>
        <v>#N/A</v>
      </c>
      <c r="N227" s="443" t="e">
        <f t="shared" si="307"/>
        <v>#N/A</v>
      </c>
      <c r="O227" s="444"/>
      <c r="P227" s="447" t="e">
        <f t="shared" si="308"/>
        <v>#N/A</v>
      </c>
      <c r="Q227" s="448"/>
      <c r="R227" s="103">
        <f t="shared" si="334"/>
        <v>0</v>
      </c>
      <c r="S227" s="104">
        <f t="shared" si="334"/>
        <v>0</v>
      </c>
      <c r="T227" s="104">
        <f t="shared" si="335"/>
        <v>0</v>
      </c>
      <c r="U227" s="104">
        <f t="shared" si="335"/>
        <v>0</v>
      </c>
      <c r="V227" s="104">
        <f t="shared" si="335"/>
        <v>9.9999999999999995E-8</v>
      </c>
      <c r="W227" s="104">
        <f t="shared" si="335"/>
        <v>0</v>
      </c>
      <c r="X227" s="104">
        <f t="shared" si="273"/>
        <v>0</v>
      </c>
      <c r="Y227" s="104">
        <f t="shared" si="273"/>
        <v>9.9999999999999995E-8</v>
      </c>
      <c r="Z227" s="104">
        <f t="shared" si="273"/>
        <v>9.9999999999999995E-8</v>
      </c>
      <c r="AA227" s="105">
        <f t="shared" si="273"/>
        <v>9.9999999999999995E-8</v>
      </c>
      <c r="AB227" s="101" t="e">
        <f>$DT227*HLOOKUP($J227,'Construction Costs (timber)'!$B$1:$V$32,'Construction Planner'!$L227+2,FALSE)</f>
        <v>#N/A</v>
      </c>
      <c r="AC227" s="14" t="e">
        <f>$DT227*HLOOKUP($J227,'Construction Costs (clay)'!$B$1:$V$32,'Construction Planner'!$L227+2,FALSE)</f>
        <v>#N/A</v>
      </c>
      <c r="AD227" s="14" t="e">
        <f>$DT227*HLOOKUP($J227,'Construction Costs (iron)'!$B$1:$V$32,'Construction Planner'!$L227+2,FALSE)</f>
        <v>#N/A</v>
      </c>
      <c r="AE227" s="34" t="e">
        <f t="shared" si="344"/>
        <v>#N/A</v>
      </c>
      <c r="AF227" s="33" t="e">
        <f t="shared" si="288"/>
        <v>#N/A</v>
      </c>
      <c r="AG227" s="14" t="e">
        <f t="shared" si="289"/>
        <v>#N/A</v>
      </c>
      <c r="AH227" s="14" t="e">
        <f t="shared" si="290"/>
        <v>#N/A</v>
      </c>
      <c r="AI227" s="34" t="e">
        <f t="shared" si="345"/>
        <v>#N/A</v>
      </c>
      <c r="AJ227" s="49" t="e">
        <f t="shared" si="309"/>
        <v>#N/A</v>
      </c>
      <c r="AK227" s="49" t="e">
        <f t="shared" si="310"/>
        <v>#N/A</v>
      </c>
      <c r="AL227" s="49" t="e">
        <f t="shared" si="311"/>
        <v>#N/A</v>
      </c>
      <c r="AM227" s="25">
        <f t="shared" si="291"/>
        <v>30</v>
      </c>
      <c r="AN227" s="25">
        <f t="shared" si="292"/>
        <v>30</v>
      </c>
      <c r="AO227" s="25">
        <f t="shared" si="293"/>
        <v>30</v>
      </c>
      <c r="AP227" s="52" t="e">
        <f t="shared" si="312"/>
        <v>#N/A</v>
      </c>
      <c r="AQ227" s="53" t="e">
        <f t="shared" si="312"/>
        <v>#N/A</v>
      </c>
      <c r="AR227" s="54" t="e">
        <f t="shared" si="312"/>
        <v>#N/A</v>
      </c>
      <c r="AS227" s="316">
        <f t="shared" si="346"/>
        <v>0</v>
      </c>
      <c r="AT227" s="106">
        <f>_xlfn.IFNA($M227/VLOOKUP($BT227,'Unit information'!$A$2:$K$29,2,FALSE)*R227,0)*(1+$E$9)</f>
        <v>0</v>
      </c>
      <c r="AU227" s="107">
        <f>_xlfn.IFNA($M227/VLOOKUP($BT227,'Unit information'!$A$2:$K$29,3,FALSE)*S227,0)*(1+$E$9)</f>
        <v>0</v>
      </c>
      <c r="AV227" s="107">
        <f>_xlfn.IFNA($M227/VLOOKUP($BT227,'Unit information'!$A$2:$K$29,4,FALSE)*T227,0)*(1+$E$9)</f>
        <v>0</v>
      </c>
      <c r="AW227" s="107">
        <f>_xlfn.IFNA($M227/VLOOKUP($BT227,'Unit information'!$A$2:$K$29,5,FALSE)*U227,0)*(1+$E$9)</f>
        <v>0</v>
      </c>
      <c r="AX227" s="107">
        <f>_xlfn.IFNA($M227/VLOOKUP($BU227,'Unit information'!$A$2:$K$29,6,FALSE)*V227,0)*(1+$E$9)</f>
        <v>0</v>
      </c>
      <c r="AY227" s="107">
        <f>_xlfn.IFNA($M227/VLOOKUP($BU227,'Unit information'!$A$2:$K$29,7,FALSE)*W227,0)*(1+$E$9)</f>
        <v>0</v>
      </c>
      <c r="AZ227" s="107">
        <f>_xlfn.IFNA($M227/VLOOKUP($BU227,'Unit information'!$A$2:$K$29,8,FALSE)*X227,0)*(1+$E$9)</f>
        <v>0</v>
      </c>
      <c r="BA227" s="107">
        <f>_xlfn.IFNA($M227/VLOOKUP($BU227,'Unit information'!$A$2:$K$29,9,FALSE)*Y227,0)*(1+$E$9)</f>
        <v>0</v>
      </c>
      <c r="BB227" s="107">
        <f>_xlfn.IFNA($M227/VLOOKUP($BV227,'Unit information'!$A$2:$K$29,10,FALSE)*Z227,0)*(1+$E$9)</f>
        <v>0</v>
      </c>
      <c r="BC227" s="108">
        <f>_xlfn.IFNA($M227/VLOOKUP($BV227,'Unit information'!$A$2:$K$29,11,FALSE)*AA227,0)*(1+$E$9)</f>
        <v>0</v>
      </c>
      <c r="BD227" s="106">
        <f t="shared" si="294"/>
        <v>0</v>
      </c>
      <c r="BE227" s="107">
        <f t="shared" si="295"/>
        <v>0</v>
      </c>
      <c r="BF227" s="108">
        <f t="shared" si="296"/>
        <v>0</v>
      </c>
      <c r="BG227" s="25" t="e">
        <f t="shared" si="297"/>
        <v>#N/A</v>
      </c>
      <c r="BH227" s="25" t="e">
        <f t="shared" si="298"/>
        <v>#N/A</v>
      </c>
      <c r="BI227" s="25" t="e">
        <f t="shared" si="299"/>
        <v>#N/A</v>
      </c>
      <c r="BJ227" s="27" t="e">
        <f t="shared" si="300"/>
        <v>#N/A</v>
      </c>
      <c r="BK227" s="18" t="e">
        <f t="shared" si="301"/>
        <v>#N/A</v>
      </c>
      <c r="BL227" s="18" t="e">
        <f t="shared" si="302"/>
        <v>#N/A</v>
      </c>
      <c r="BM227" s="28" t="e">
        <f t="shared" si="347"/>
        <v>#N/A</v>
      </c>
      <c r="BN227" s="33">
        <f>HLOOKUP("maximum population",Miscelaneous!$C$1:$C$33,CH227+3,FALSE)</f>
        <v>240</v>
      </c>
      <c r="BO227" s="14">
        <f t="shared" si="313"/>
        <v>32</v>
      </c>
      <c r="BP227" s="14">
        <f t="shared" si="314"/>
        <v>0</v>
      </c>
      <c r="BQ227" s="14">
        <f t="shared" si="315"/>
        <v>208</v>
      </c>
      <c r="BR227" s="34" t="e">
        <f>HLOOKUP(J227,Villagers!$B$1:$V$33,L227+3,FALSE)-HLOOKUP(J227,Villagers!$B$1:$V$33,L227+2,FALSE)</f>
        <v>#N/A</v>
      </c>
      <c r="BS227" s="49">
        <f t="shared" si="316"/>
        <v>1</v>
      </c>
      <c r="BT227" s="50">
        <f t="shared" si="317"/>
        <v>0</v>
      </c>
      <c r="BU227" s="50">
        <f t="shared" si="318"/>
        <v>0</v>
      </c>
      <c r="BV227" s="50">
        <f t="shared" si="319"/>
        <v>0</v>
      </c>
      <c r="BW227" s="50">
        <f t="shared" si="361"/>
        <v>0</v>
      </c>
      <c r="BX227" s="50">
        <f t="shared" si="361"/>
        <v>0</v>
      </c>
      <c r="BY227" s="50">
        <f t="shared" si="361"/>
        <v>0</v>
      </c>
      <c r="BZ227" s="50">
        <f t="shared" si="350"/>
        <v>0</v>
      </c>
      <c r="CA227" s="50">
        <f t="shared" si="351"/>
        <v>0</v>
      </c>
      <c r="CB227" s="50">
        <f t="shared" si="352"/>
        <v>1</v>
      </c>
      <c r="CC227" s="50">
        <f t="shared" si="353"/>
        <v>0</v>
      </c>
      <c r="CD227" s="50">
        <f t="shared" si="354"/>
        <v>0</v>
      </c>
      <c r="CE227" s="50">
        <f t="shared" si="355"/>
        <v>1</v>
      </c>
      <c r="CF227" s="50">
        <f t="shared" si="356"/>
        <v>1</v>
      </c>
      <c r="CG227" s="50">
        <f t="shared" si="357"/>
        <v>1</v>
      </c>
      <c r="CH227" s="50">
        <f t="shared" si="358"/>
        <v>1</v>
      </c>
      <c r="CI227" s="50">
        <f t="shared" si="359"/>
        <v>1</v>
      </c>
      <c r="CJ227" s="50">
        <f t="shared" si="360"/>
        <v>1</v>
      </c>
      <c r="CK227" s="50">
        <f t="shared" si="360"/>
        <v>0</v>
      </c>
      <c r="CL227" s="50">
        <f t="shared" si="360"/>
        <v>0</v>
      </c>
      <c r="CM227" s="51">
        <f t="shared" si="274"/>
        <v>0</v>
      </c>
      <c r="CN227" s="33">
        <f>ROUND(IF(BS227=0,0,HLOOKUP(BS$14,Villagers!$B$1:$V$33,BS227+3,FALSE)),)</f>
        <v>5</v>
      </c>
      <c r="CO227" s="14">
        <f>ROUND(IF(BT227=0,0,HLOOKUP(BT$14,Villagers!$B$1:$V$33,BT227+3,FALSE)),)</f>
        <v>0</v>
      </c>
      <c r="CP227" s="14">
        <f>ROUND(IF(BU227=0,0,HLOOKUP(BU$14,Villagers!$B$1:$V$33,BU227+3,FALSE)),)</f>
        <v>0</v>
      </c>
      <c r="CQ227" s="14">
        <f>ROUND(IF(BV227=0,0,HLOOKUP(BV$14,Villagers!$B$1:$V$33,BV227+3,FALSE)),)</f>
        <v>0</v>
      </c>
      <c r="CR227" s="14">
        <f>ROUND(IF(BW227=0,0,HLOOKUP(BW$14,Villagers!$B$1:$V$33,BW227+3,FALSE)),)</f>
        <v>0</v>
      </c>
      <c r="CS227" s="14">
        <f>ROUND(IF(BX227=0,0,HLOOKUP(BX$14,Villagers!$B$1:$V$33,BX227+3,FALSE)),)</f>
        <v>0</v>
      </c>
      <c r="CT227" s="14">
        <f>ROUND(IF(BY227=0,0,HLOOKUP(BY$14,Villagers!$B$1:$V$33,BY227+3,FALSE)),)</f>
        <v>0</v>
      </c>
      <c r="CU227" s="14">
        <f>ROUND(IF(BZ227=0,0,HLOOKUP(BZ$14,Villagers!$B$1:$V$33,BZ227+3,FALSE)),)</f>
        <v>0</v>
      </c>
      <c r="CV227" s="14">
        <f>ROUND(IF(CA227=0,0,HLOOKUP(CA$14,Villagers!$B$1:$V$33,CA227+3,FALSE)),)</f>
        <v>0</v>
      </c>
      <c r="CW227" s="14">
        <f>ROUND(IF(CB227=0,0,HLOOKUP(CB$14,Villagers!$B$1:$V$33,CB227+3,FALSE)),)</f>
        <v>0</v>
      </c>
      <c r="CX227" s="14">
        <f>ROUND(IF(CC227=0,0,HLOOKUP(CC$14,Villagers!$B$1:$V$33,CC227+3,FALSE)),)</f>
        <v>0</v>
      </c>
      <c r="CY227" s="14">
        <f>ROUND(IF(CD227=0,0,HLOOKUP(CD$14,Villagers!$B$1:$V$33,CD227+3,FALSE)),)</f>
        <v>0</v>
      </c>
      <c r="CZ227" s="14">
        <f>ROUND(IF(CE227=0,0,HLOOKUP(CE$14,Villagers!$B$1:$V$33,CE227+3,FALSE)),)</f>
        <v>5</v>
      </c>
      <c r="DA227" s="14">
        <f>ROUND(IF(CF227=0,0,HLOOKUP(CF$14,Villagers!$B$1:$V$33,CF227+3,FALSE)),)</f>
        <v>10</v>
      </c>
      <c r="DB227" s="14">
        <f>ROUND(IF(CG227=0,0,HLOOKUP(CG$14,Villagers!$B$1:$V$33,CG227+3,FALSE)),)</f>
        <v>10</v>
      </c>
      <c r="DC227" s="14">
        <f>ROUND(IF(CH227=0,0,HLOOKUP(CH$14,Villagers!$B$1:$V$33,CH227+3,FALSE)),)</f>
        <v>0</v>
      </c>
      <c r="DD227" s="14">
        <f>ROUND(IF(CI227=0,0,HLOOKUP(CI$14,Villagers!$B$1:$V$33,CI227+3,FALSE)),)</f>
        <v>0</v>
      </c>
      <c r="DE227" s="14">
        <f>ROUND(IF(CJ227=0,0,HLOOKUP(CJ$14,Villagers!$B$1:$V$33,CJ227+3,FALSE)),)</f>
        <v>2</v>
      </c>
      <c r="DF227" s="370">
        <f>ROUND(IF(CK227=0,0,HLOOKUP(CK$14,Villagers!$B$1:$V$33,CK227+3,FALSE)),)</f>
        <v>0</v>
      </c>
      <c r="DG227" s="370">
        <f>ROUND(IF(CL227=0,0,HLOOKUP(CL$14,Villagers!$B$1:$V$33,CL227+3,FALSE)),)</f>
        <v>0</v>
      </c>
      <c r="DH227" s="34">
        <f>ROUND(IF(CM227=0,0,HLOOKUP(CM$14,Villagers!$B$1:$V$33,CM227+3,FALSE)),)</f>
        <v>0</v>
      </c>
      <c r="DI227" s="109">
        <f t="shared" si="336"/>
        <v>0</v>
      </c>
      <c r="DJ227" s="50">
        <f t="shared" si="337"/>
        <v>0</v>
      </c>
      <c r="DK227" s="50">
        <f t="shared" si="338"/>
        <v>0</v>
      </c>
      <c r="DL227" s="50">
        <f t="shared" si="339"/>
        <v>0</v>
      </c>
      <c r="DM227" s="50">
        <f t="shared" si="340"/>
        <v>0</v>
      </c>
      <c r="DN227" s="50">
        <f t="shared" si="341"/>
        <v>0</v>
      </c>
      <c r="DO227" s="50">
        <f t="shared" si="342"/>
        <v>0</v>
      </c>
      <c r="DP227" s="50">
        <f t="shared" si="343"/>
        <v>0</v>
      </c>
      <c r="DQ227" s="50">
        <f t="shared" si="321"/>
        <v>0</v>
      </c>
      <c r="DR227" s="50">
        <f t="shared" si="322"/>
        <v>0</v>
      </c>
      <c r="DS227" s="96">
        <f>Miscelaneous!$D$4*Miscelaneous!$D$2^($CI227-1)</f>
        <v>1000</v>
      </c>
      <c r="DT227" s="333">
        <f t="shared" si="303"/>
        <v>1</v>
      </c>
      <c r="DU227" s="81">
        <v>1</v>
      </c>
      <c r="DV227" s="79">
        <f t="shared" si="323"/>
        <v>0</v>
      </c>
      <c r="DW227" s="79">
        <f t="shared" si="324"/>
        <v>0</v>
      </c>
      <c r="DX227" s="79">
        <f t="shared" si="325"/>
        <v>0</v>
      </c>
      <c r="DY227" s="79">
        <v>1</v>
      </c>
      <c r="DZ227" s="79">
        <f t="shared" si="326"/>
        <v>0</v>
      </c>
      <c r="EA227" s="79">
        <f t="shared" si="327"/>
        <v>0</v>
      </c>
      <c r="EB227" s="79">
        <f t="shared" si="328"/>
        <v>0</v>
      </c>
      <c r="EC227" s="79">
        <f t="shared" si="329"/>
        <v>0</v>
      </c>
      <c r="ED227" s="79">
        <v>1</v>
      </c>
      <c r="EE227" s="79">
        <v>1</v>
      </c>
      <c r="EF227" s="79">
        <f t="shared" si="330"/>
        <v>0</v>
      </c>
      <c r="EG227" s="79">
        <v>1</v>
      </c>
      <c r="EH227" s="79">
        <v>1</v>
      </c>
      <c r="EI227" s="79">
        <v>1</v>
      </c>
      <c r="EJ227" s="79">
        <v>1</v>
      </c>
      <c r="EK227" s="79">
        <v>1</v>
      </c>
      <c r="EL227" s="79">
        <v>1</v>
      </c>
      <c r="EM227" s="143">
        <f t="shared" si="331"/>
        <v>0</v>
      </c>
      <c r="EN227" s="143">
        <f t="shared" si="332"/>
        <v>0</v>
      </c>
      <c r="EO227" s="82">
        <f t="shared" si="333"/>
        <v>0</v>
      </c>
    </row>
    <row r="228" spans="1:145" x14ac:dyDescent="0.25">
      <c r="A228">
        <v>214</v>
      </c>
      <c r="B228" s="172" t="e">
        <f t="shared" si="304"/>
        <v>#N/A</v>
      </c>
      <c r="C228" s="121" t="e">
        <f t="shared" si="283"/>
        <v>#N/A</v>
      </c>
      <c r="D228" s="122" t="e">
        <f t="shared" si="284"/>
        <v>#N/A</v>
      </c>
      <c r="E228" s="122" t="e">
        <f t="shared" si="285"/>
        <v>#N/A</v>
      </c>
      <c r="F228" s="176" t="e">
        <f t="shared" si="286"/>
        <v>#N/A</v>
      </c>
      <c r="G228" s="121">
        <f t="shared" si="305"/>
        <v>208</v>
      </c>
      <c r="H228" s="176" t="e">
        <f t="shared" si="306"/>
        <v>#N/A</v>
      </c>
      <c r="I228" s="48">
        <v>1</v>
      </c>
      <c r="J228" s="39"/>
      <c r="K228" s="350">
        <v>1</v>
      </c>
      <c r="L228" s="34" t="e">
        <f t="shared" si="287"/>
        <v>#N/A</v>
      </c>
      <c r="M228" s="38" t="e">
        <f>(HLOOKUP(J228,'Construction Times'!$B$3:$W$34,L228+2,FALSE)*HLOOKUP("hq modifier",'Construction Times'!$W$3:$W$34,BS228+2,FALSE))*(1-$H$9)</f>
        <v>#N/A</v>
      </c>
      <c r="N228" s="443" t="e">
        <f t="shared" si="307"/>
        <v>#N/A</v>
      </c>
      <c r="O228" s="444"/>
      <c r="P228" s="447" t="e">
        <f t="shared" si="308"/>
        <v>#N/A</v>
      </c>
      <c r="Q228" s="448"/>
      <c r="R228" s="103">
        <f t="shared" si="334"/>
        <v>0</v>
      </c>
      <c r="S228" s="104">
        <f t="shared" si="334"/>
        <v>0</v>
      </c>
      <c r="T228" s="104">
        <f t="shared" si="335"/>
        <v>0</v>
      </c>
      <c r="U228" s="104">
        <f t="shared" si="335"/>
        <v>0</v>
      </c>
      <c r="V228" s="104">
        <f t="shared" si="335"/>
        <v>9.9999999999999995E-8</v>
      </c>
      <c r="W228" s="104">
        <f t="shared" si="335"/>
        <v>0</v>
      </c>
      <c r="X228" s="104">
        <f t="shared" si="273"/>
        <v>0</v>
      </c>
      <c r="Y228" s="104">
        <f t="shared" si="273"/>
        <v>9.9999999999999995E-8</v>
      </c>
      <c r="Z228" s="104">
        <f t="shared" si="273"/>
        <v>9.9999999999999995E-8</v>
      </c>
      <c r="AA228" s="105">
        <f t="shared" si="273"/>
        <v>9.9999999999999995E-8</v>
      </c>
      <c r="AB228" s="101" t="e">
        <f>$DT228*HLOOKUP($J228,'Construction Costs (timber)'!$B$1:$V$32,'Construction Planner'!$L228+2,FALSE)</f>
        <v>#N/A</v>
      </c>
      <c r="AC228" s="14" t="e">
        <f>$DT228*HLOOKUP($J228,'Construction Costs (clay)'!$B$1:$V$32,'Construction Planner'!$L228+2,FALSE)</f>
        <v>#N/A</v>
      </c>
      <c r="AD228" s="14" t="e">
        <f>$DT228*HLOOKUP($J228,'Construction Costs (iron)'!$B$1:$V$32,'Construction Planner'!$L228+2,FALSE)</f>
        <v>#N/A</v>
      </c>
      <c r="AE228" s="34" t="e">
        <f t="shared" si="344"/>
        <v>#N/A</v>
      </c>
      <c r="AF228" s="33" t="e">
        <f t="shared" si="288"/>
        <v>#N/A</v>
      </c>
      <c r="AG228" s="14" t="e">
        <f t="shared" si="289"/>
        <v>#N/A</v>
      </c>
      <c r="AH228" s="14" t="e">
        <f t="shared" si="290"/>
        <v>#N/A</v>
      </c>
      <c r="AI228" s="34" t="e">
        <f t="shared" si="345"/>
        <v>#N/A</v>
      </c>
      <c r="AJ228" s="49" t="e">
        <f t="shared" si="309"/>
        <v>#N/A</v>
      </c>
      <c r="AK228" s="49" t="e">
        <f t="shared" si="310"/>
        <v>#N/A</v>
      </c>
      <c r="AL228" s="49" t="e">
        <f t="shared" si="311"/>
        <v>#N/A</v>
      </c>
      <c r="AM228" s="25">
        <f t="shared" si="291"/>
        <v>30</v>
      </c>
      <c r="AN228" s="25">
        <f t="shared" si="292"/>
        <v>30</v>
      </c>
      <c r="AO228" s="25">
        <f t="shared" si="293"/>
        <v>30</v>
      </c>
      <c r="AP228" s="52" t="e">
        <f t="shared" si="312"/>
        <v>#N/A</v>
      </c>
      <c r="AQ228" s="53" t="e">
        <f t="shared" si="312"/>
        <v>#N/A</v>
      </c>
      <c r="AR228" s="54" t="e">
        <f t="shared" si="312"/>
        <v>#N/A</v>
      </c>
      <c r="AS228" s="316">
        <f t="shared" ref="AS228:AS243" si="362">AS227</f>
        <v>0</v>
      </c>
      <c r="AT228" s="106">
        <f>_xlfn.IFNA($M228/VLOOKUP($BT228,'Unit information'!$A$2:$K$29,2,FALSE)*R228,0)*(1+$E$9)</f>
        <v>0</v>
      </c>
      <c r="AU228" s="107">
        <f>_xlfn.IFNA($M228/VLOOKUP($BT228,'Unit information'!$A$2:$K$29,3,FALSE)*S228,0)*(1+$E$9)</f>
        <v>0</v>
      </c>
      <c r="AV228" s="107">
        <f>_xlfn.IFNA($M228/VLOOKUP($BT228,'Unit information'!$A$2:$K$29,4,FALSE)*T228,0)*(1+$E$9)</f>
        <v>0</v>
      </c>
      <c r="AW228" s="107">
        <f>_xlfn.IFNA($M228/VLOOKUP($BT228,'Unit information'!$A$2:$K$29,5,FALSE)*U228,0)*(1+$E$9)</f>
        <v>0</v>
      </c>
      <c r="AX228" s="107">
        <f>_xlfn.IFNA($M228/VLOOKUP($BU228,'Unit information'!$A$2:$K$29,6,FALSE)*V228,0)*(1+$E$9)</f>
        <v>0</v>
      </c>
      <c r="AY228" s="107">
        <f>_xlfn.IFNA($M228/VLOOKUP($BU228,'Unit information'!$A$2:$K$29,7,FALSE)*W228,0)*(1+$E$9)</f>
        <v>0</v>
      </c>
      <c r="AZ228" s="107">
        <f>_xlfn.IFNA($M228/VLOOKUP($BU228,'Unit information'!$A$2:$K$29,8,FALSE)*X228,0)*(1+$E$9)</f>
        <v>0</v>
      </c>
      <c r="BA228" s="107">
        <f>_xlfn.IFNA($M228/VLOOKUP($BU228,'Unit information'!$A$2:$K$29,9,FALSE)*Y228,0)*(1+$E$9)</f>
        <v>0</v>
      </c>
      <c r="BB228" s="107">
        <f>_xlfn.IFNA($M228/VLOOKUP($BV228,'Unit information'!$A$2:$K$29,10,FALSE)*Z228,0)*(1+$E$9)</f>
        <v>0</v>
      </c>
      <c r="BC228" s="108">
        <f>_xlfn.IFNA($M228/VLOOKUP($BV228,'Unit information'!$A$2:$K$29,11,FALSE)*AA228,0)*(1+$E$9)</f>
        <v>0</v>
      </c>
      <c r="BD228" s="106">
        <f t="shared" si="294"/>
        <v>0</v>
      </c>
      <c r="BE228" s="107">
        <f t="shared" si="295"/>
        <v>0</v>
      </c>
      <c r="BF228" s="108">
        <f t="shared" si="296"/>
        <v>0</v>
      </c>
      <c r="BG228" s="25" t="e">
        <f t="shared" si="297"/>
        <v>#N/A</v>
      </c>
      <c r="BH228" s="25" t="e">
        <f t="shared" si="298"/>
        <v>#N/A</v>
      </c>
      <c r="BI228" s="25" t="e">
        <f t="shared" si="299"/>
        <v>#N/A</v>
      </c>
      <c r="BJ228" s="27" t="e">
        <f t="shared" si="300"/>
        <v>#N/A</v>
      </c>
      <c r="BK228" s="18" t="e">
        <f t="shared" si="301"/>
        <v>#N/A</v>
      </c>
      <c r="BL228" s="18" t="e">
        <f t="shared" si="302"/>
        <v>#N/A</v>
      </c>
      <c r="BM228" s="28" t="e">
        <f t="shared" si="347"/>
        <v>#N/A</v>
      </c>
      <c r="BN228" s="33">
        <f>HLOOKUP("maximum population",Miscelaneous!$C$1:$C$33,CH228+3,FALSE)</f>
        <v>240</v>
      </c>
      <c r="BO228" s="14">
        <f t="shared" si="313"/>
        <v>32</v>
      </c>
      <c r="BP228" s="14">
        <f t="shared" si="314"/>
        <v>0</v>
      </c>
      <c r="BQ228" s="14">
        <f t="shared" si="315"/>
        <v>208</v>
      </c>
      <c r="BR228" s="34" t="e">
        <f>HLOOKUP(J228,Villagers!$B$1:$V$33,L228+3,FALSE)-HLOOKUP(J228,Villagers!$B$1:$V$33,L228+2,FALSE)</f>
        <v>#N/A</v>
      </c>
      <c r="BS228" s="49">
        <f t="shared" si="316"/>
        <v>1</v>
      </c>
      <c r="BT228" s="50">
        <f t="shared" si="317"/>
        <v>0</v>
      </c>
      <c r="BU228" s="50">
        <f t="shared" si="318"/>
        <v>0</v>
      </c>
      <c r="BV228" s="50">
        <f t="shared" si="319"/>
        <v>0</v>
      </c>
      <c r="BW228" s="50">
        <f t="shared" si="361"/>
        <v>0</v>
      </c>
      <c r="BX228" s="50">
        <f t="shared" si="361"/>
        <v>0</v>
      </c>
      <c r="BY228" s="50">
        <f t="shared" si="361"/>
        <v>0</v>
      </c>
      <c r="BZ228" s="50">
        <f t="shared" si="350"/>
        <v>0</v>
      </c>
      <c r="CA228" s="50">
        <f t="shared" si="351"/>
        <v>0</v>
      </c>
      <c r="CB228" s="50">
        <f t="shared" si="352"/>
        <v>1</v>
      </c>
      <c r="CC228" s="50">
        <f t="shared" si="353"/>
        <v>0</v>
      </c>
      <c r="CD228" s="50">
        <f t="shared" si="354"/>
        <v>0</v>
      </c>
      <c r="CE228" s="50">
        <f t="shared" si="355"/>
        <v>1</v>
      </c>
      <c r="CF228" s="50">
        <f t="shared" si="356"/>
        <v>1</v>
      </c>
      <c r="CG228" s="50">
        <f t="shared" si="357"/>
        <v>1</v>
      </c>
      <c r="CH228" s="50">
        <f t="shared" si="358"/>
        <v>1</v>
      </c>
      <c r="CI228" s="50">
        <f t="shared" si="359"/>
        <v>1</v>
      </c>
      <c r="CJ228" s="50">
        <f t="shared" si="360"/>
        <v>1</v>
      </c>
      <c r="CK228" s="50">
        <f t="shared" si="360"/>
        <v>0</v>
      </c>
      <c r="CL228" s="50">
        <f t="shared" si="360"/>
        <v>0</v>
      </c>
      <c r="CM228" s="51">
        <f t="shared" si="274"/>
        <v>0</v>
      </c>
      <c r="CN228" s="33">
        <f>ROUND(IF(BS228=0,0,HLOOKUP(BS$14,Villagers!$B$1:$V$33,BS228+3,FALSE)),)</f>
        <v>5</v>
      </c>
      <c r="CO228" s="14">
        <f>ROUND(IF(BT228=0,0,HLOOKUP(BT$14,Villagers!$B$1:$V$33,BT228+3,FALSE)),)</f>
        <v>0</v>
      </c>
      <c r="CP228" s="14">
        <f>ROUND(IF(BU228=0,0,HLOOKUP(BU$14,Villagers!$B$1:$V$33,BU228+3,FALSE)),)</f>
        <v>0</v>
      </c>
      <c r="CQ228" s="14">
        <f>ROUND(IF(BV228=0,0,HLOOKUP(BV$14,Villagers!$B$1:$V$33,BV228+3,FALSE)),)</f>
        <v>0</v>
      </c>
      <c r="CR228" s="14">
        <f>ROUND(IF(BW228=0,0,HLOOKUP(BW$14,Villagers!$B$1:$V$33,BW228+3,FALSE)),)</f>
        <v>0</v>
      </c>
      <c r="CS228" s="14">
        <f>ROUND(IF(BX228=0,0,HLOOKUP(BX$14,Villagers!$B$1:$V$33,BX228+3,FALSE)),)</f>
        <v>0</v>
      </c>
      <c r="CT228" s="14">
        <f>ROUND(IF(BY228=0,0,HLOOKUP(BY$14,Villagers!$B$1:$V$33,BY228+3,FALSE)),)</f>
        <v>0</v>
      </c>
      <c r="CU228" s="14">
        <f>ROUND(IF(BZ228=0,0,HLOOKUP(BZ$14,Villagers!$B$1:$V$33,BZ228+3,FALSE)),)</f>
        <v>0</v>
      </c>
      <c r="CV228" s="14">
        <f>ROUND(IF(CA228=0,0,HLOOKUP(CA$14,Villagers!$B$1:$V$33,CA228+3,FALSE)),)</f>
        <v>0</v>
      </c>
      <c r="CW228" s="14">
        <f>ROUND(IF(CB228=0,0,HLOOKUP(CB$14,Villagers!$B$1:$V$33,CB228+3,FALSE)),)</f>
        <v>0</v>
      </c>
      <c r="CX228" s="14">
        <f>ROUND(IF(CC228=0,0,HLOOKUP(CC$14,Villagers!$B$1:$V$33,CC228+3,FALSE)),)</f>
        <v>0</v>
      </c>
      <c r="CY228" s="14">
        <f>ROUND(IF(CD228=0,0,HLOOKUP(CD$14,Villagers!$B$1:$V$33,CD228+3,FALSE)),)</f>
        <v>0</v>
      </c>
      <c r="CZ228" s="14">
        <f>ROUND(IF(CE228=0,0,HLOOKUP(CE$14,Villagers!$B$1:$V$33,CE228+3,FALSE)),)</f>
        <v>5</v>
      </c>
      <c r="DA228" s="14">
        <f>ROUND(IF(CF228=0,0,HLOOKUP(CF$14,Villagers!$B$1:$V$33,CF228+3,FALSE)),)</f>
        <v>10</v>
      </c>
      <c r="DB228" s="14">
        <f>ROUND(IF(CG228=0,0,HLOOKUP(CG$14,Villagers!$B$1:$V$33,CG228+3,FALSE)),)</f>
        <v>10</v>
      </c>
      <c r="DC228" s="14">
        <f>ROUND(IF(CH228=0,0,HLOOKUP(CH$14,Villagers!$B$1:$V$33,CH228+3,FALSE)),)</f>
        <v>0</v>
      </c>
      <c r="DD228" s="14">
        <f>ROUND(IF(CI228=0,0,HLOOKUP(CI$14,Villagers!$B$1:$V$33,CI228+3,FALSE)),)</f>
        <v>0</v>
      </c>
      <c r="DE228" s="14">
        <f>ROUND(IF(CJ228=0,0,HLOOKUP(CJ$14,Villagers!$B$1:$V$33,CJ228+3,FALSE)),)</f>
        <v>2</v>
      </c>
      <c r="DF228" s="370">
        <f>ROUND(IF(CK228=0,0,HLOOKUP(CK$14,Villagers!$B$1:$V$33,CK228+3,FALSE)),)</f>
        <v>0</v>
      </c>
      <c r="DG228" s="370">
        <f>ROUND(IF(CL228=0,0,HLOOKUP(CL$14,Villagers!$B$1:$V$33,CL228+3,FALSE)),)</f>
        <v>0</v>
      </c>
      <c r="DH228" s="34">
        <f>ROUND(IF(CM228=0,0,HLOOKUP(CM$14,Villagers!$B$1:$V$33,CM228+3,FALSE)),)</f>
        <v>0</v>
      </c>
      <c r="DI228" s="109">
        <f t="shared" si="336"/>
        <v>0</v>
      </c>
      <c r="DJ228" s="50">
        <f t="shared" si="337"/>
        <v>0</v>
      </c>
      <c r="DK228" s="50">
        <f t="shared" si="338"/>
        <v>0</v>
      </c>
      <c r="DL228" s="50">
        <f t="shared" si="339"/>
        <v>0</v>
      </c>
      <c r="DM228" s="50">
        <f t="shared" si="340"/>
        <v>0</v>
      </c>
      <c r="DN228" s="50">
        <f t="shared" si="341"/>
        <v>0</v>
      </c>
      <c r="DO228" s="50">
        <f t="shared" si="342"/>
        <v>0</v>
      </c>
      <c r="DP228" s="50">
        <f t="shared" si="343"/>
        <v>0</v>
      </c>
      <c r="DQ228" s="50">
        <f t="shared" si="321"/>
        <v>0</v>
      </c>
      <c r="DR228" s="50">
        <f t="shared" si="322"/>
        <v>0</v>
      </c>
      <c r="DS228" s="96">
        <f>Miscelaneous!$D$4*Miscelaneous!$D$2^($CI228-1)</f>
        <v>1000</v>
      </c>
      <c r="DT228" s="333">
        <f t="shared" si="303"/>
        <v>1</v>
      </c>
      <c r="DU228" s="81">
        <v>1</v>
      </c>
      <c r="DV228" s="79">
        <f t="shared" si="323"/>
        <v>0</v>
      </c>
      <c r="DW228" s="79">
        <f t="shared" si="324"/>
        <v>0</v>
      </c>
      <c r="DX228" s="79">
        <f t="shared" si="325"/>
        <v>0</v>
      </c>
      <c r="DY228" s="79">
        <v>1</v>
      </c>
      <c r="DZ228" s="79">
        <f t="shared" si="326"/>
        <v>0</v>
      </c>
      <c r="EA228" s="79">
        <f t="shared" si="327"/>
        <v>0</v>
      </c>
      <c r="EB228" s="79">
        <f t="shared" si="328"/>
        <v>0</v>
      </c>
      <c r="EC228" s="79">
        <f t="shared" si="329"/>
        <v>0</v>
      </c>
      <c r="ED228" s="79">
        <v>1</v>
      </c>
      <c r="EE228" s="79">
        <v>1</v>
      </c>
      <c r="EF228" s="79">
        <f t="shared" si="330"/>
        <v>0</v>
      </c>
      <c r="EG228" s="79">
        <v>1</v>
      </c>
      <c r="EH228" s="79">
        <v>1</v>
      </c>
      <c r="EI228" s="79">
        <v>1</v>
      </c>
      <c r="EJ228" s="79">
        <v>1</v>
      </c>
      <c r="EK228" s="79">
        <v>1</v>
      </c>
      <c r="EL228" s="79">
        <v>1</v>
      </c>
      <c r="EM228" s="143">
        <f t="shared" si="331"/>
        <v>0</v>
      </c>
      <c r="EN228" s="143">
        <f t="shared" si="332"/>
        <v>0</v>
      </c>
      <c r="EO228" s="82">
        <f t="shared" si="333"/>
        <v>0</v>
      </c>
    </row>
    <row r="229" spans="1:145" x14ac:dyDescent="0.25">
      <c r="A229">
        <v>215</v>
      </c>
      <c r="B229" s="172" t="e">
        <f t="shared" si="304"/>
        <v>#N/A</v>
      </c>
      <c r="C229" s="121" t="e">
        <f t="shared" si="283"/>
        <v>#N/A</v>
      </c>
      <c r="D229" s="122" t="e">
        <f t="shared" si="284"/>
        <v>#N/A</v>
      </c>
      <c r="E229" s="122" t="e">
        <f t="shared" si="285"/>
        <v>#N/A</v>
      </c>
      <c r="F229" s="176" t="e">
        <f t="shared" si="286"/>
        <v>#N/A</v>
      </c>
      <c r="G229" s="121">
        <f t="shared" si="305"/>
        <v>208</v>
      </c>
      <c r="H229" s="176" t="e">
        <f t="shared" si="306"/>
        <v>#N/A</v>
      </c>
      <c r="I229" s="48">
        <v>1</v>
      </c>
      <c r="J229" s="39"/>
      <c r="K229" s="350">
        <v>1</v>
      </c>
      <c r="L229" s="34" t="e">
        <f t="shared" si="287"/>
        <v>#N/A</v>
      </c>
      <c r="M229" s="38" t="e">
        <f>(HLOOKUP(J229,'Construction Times'!$B$3:$W$34,L229+2,FALSE)*HLOOKUP("hq modifier",'Construction Times'!$W$3:$W$34,BS229+2,FALSE))*(1-$H$9)</f>
        <v>#N/A</v>
      </c>
      <c r="N229" s="443" t="e">
        <f t="shared" si="307"/>
        <v>#N/A</v>
      </c>
      <c r="O229" s="444"/>
      <c r="P229" s="447" t="e">
        <f t="shared" si="308"/>
        <v>#N/A</v>
      </c>
      <c r="Q229" s="448"/>
      <c r="R229" s="103">
        <f t="shared" si="334"/>
        <v>0</v>
      </c>
      <c r="S229" s="104">
        <f t="shared" si="334"/>
        <v>0</v>
      </c>
      <c r="T229" s="104">
        <f t="shared" si="335"/>
        <v>0</v>
      </c>
      <c r="U229" s="104">
        <f t="shared" si="335"/>
        <v>0</v>
      </c>
      <c r="V229" s="104">
        <f t="shared" si="335"/>
        <v>9.9999999999999995E-8</v>
      </c>
      <c r="W229" s="104">
        <f t="shared" si="335"/>
        <v>0</v>
      </c>
      <c r="X229" s="104">
        <f t="shared" si="273"/>
        <v>0</v>
      </c>
      <c r="Y229" s="104">
        <f t="shared" si="273"/>
        <v>9.9999999999999995E-8</v>
      </c>
      <c r="Z229" s="104">
        <f t="shared" si="273"/>
        <v>9.9999999999999995E-8</v>
      </c>
      <c r="AA229" s="105">
        <f t="shared" si="273"/>
        <v>9.9999999999999995E-8</v>
      </c>
      <c r="AB229" s="101" t="e">
        <f>$DT229*HLOOKUP($J229,'Construction Costs (timber)'!$B$1:$V$32,'Construction Planner'!$L229+2,FALSE)</f>
        <v>#N/A</v>
      </c>
      <c r="AC229" s="14" t="e">
        <f>$DT229*HLOOKUP($J229,'Construction Costs (clay)'!$B$1:$V$32,'Construction Planner'!$L229+2,FALSE)</f>
        <v>#N/A</v>
      </c>
      <c r="AD229" s="14" t="e">
        <f>$DT229*HLOOKUP($J229,'Construction Costs (iron)'!$B$1:$V$32,'Construction Planner'!$L229+2,FALSE)</f>
        <v>#N/A</v>
      </c>
      <c r="AE229" s="34" t="e">
        <f t="shared" si="344"/>
        <v>#N/A</v>
      </c>
      <c r="AF229" s="33" t="e">
        <f t="shared" si="288"/>
        <v>#N/A</v>
      </c>
      <c r="AG229" s="14" t="e">
        <f t="shared" si="289"/>
        <v>#N/A</v>
      </c>
      <c r="AH229" s="14" t="e">
        <f t="shared" si="290"/>
        <v>#N/A</v>
      </c>
      <c r="AI229" s="34" t="e">
        <f t="shared" si="345"/>
        <v>#N/A</v>
      </c>
      <c r="AJ229" s="49" t="e">
        <f t="shared" si="309"/>
        <v>#N/A</v>
      </c>
      <c r="AK229" s="49" t="e">
        <f t="shared" si="310"/>
        <v>#N/A</v>
      </c>
      <c r="AL229" s="49" t="e">
        <f t="shared" si="311"/>
        <v>#N/A</v>
      </c>
      <c r="AM229" s="25">
        <f t="shared" si="291"/>
        <v>30</v>
      </c>
      <c r="AN229" s="25">
        <f t="shared" si="292"/>
        <v>30</v>
      </c>
      <c r="AO229" s="25">
        <f t="shared" si="293"/>
        <v>30</v>
      </c>
      <c r="AP229" s="52" t="e">
        <f t="shared" si="312"/>
        <v>#N/A</v>
      </c>
      <c r="AQ229" s="53" t="e">
        <f t="shared" si="312"/>
        <v>#N/A</v>
      </c>
      <c r="AR229" s="54" t="e">
        <f t="shared" si="312"/>
        <v>#N/A</v>
      </c>
      <c r="AS229" s="316">
        <f t="shared" si="362"/>
        <v>0</v>
      </c>
      <c r="AT229" s="106">
        <f>_xlfn.IFNA($M229/VLOOKUP($BT229,'Unit information'!$A$2:$K$29,2,FALSE)*R229,0)*(1+$E$9)</f>
        <v>0</v>
      </c>
      <c r="AU229" s="107">
        <f>_xlfn.IFNA($M229/VLOOKUP($BT229,'Unit information'!$A$2:$K$29,3,FALSE)*S229,0)*(1+$E$9)</f>
        <v>0</v>
      </c>
      <c r="AV229" s="107">
        <f>_xlfn.IFNA($M229/VLOOKUP($BT229,'Unit information'!$A$2:$K$29,4,FALSE)*T229,0)*(1+$E$9)</f>
        <v>0</v>
      </c>
      <c r="AW229" s="107">
        <f>_xlfn.IFNA($M229/VLOOKUP($BT229,'Unit information'!$A$2:$K$29,5,FALSE)*U229,0)*(1+$E$9)</f>
        <v>0</v>
      </c>
      <c r="AX229" s="107">
        <f>_xlfn.IFNA($M229/VLOOKUP($BU229,'Unit information'!$A$2:$K$29,6,FALSE)*V229,0)*(1+$E$9)</f>
        <v>0</v>
      </c>
      <c r="AY229" s="107">
        <f>_xlfn.IFNA($M229/VLOOKUP($BU229,'Unit information'!$A$2:$K$29,7,FALSE)*W229,0)*(1+$E$9)</f>
        <v>0</v>
      </c>
      <c r="AZ229" s="107">
        <f>_xlfn.IFNA($M229/VLOOKUP($BU229,'Unit information'!$A$2:$K$29,8,FALSE)*X229,0)*(1+$E$9)</f>
        <v>0</v>
      </c>
      <c r="BA229" s="107">
        <f>_xlfn.IFNA($M229/VLOOKUP($BU229,'Unit information'!$A$2:$K$29,9,FALSE)*Y229,0)*(1+$E$9)</f>
        <v>0</v>
      </c>
      <c r="BB229" s="107">
        <f>_xlfn.IFNA($M229/VLOOKUP($BV229,'Unit information'!$A$2:$K$29,10,FALSE)*Z229,0)*(1+$E$9)</f>
        <v>0</v>
      </c>
      <c r="BC229" s="108">
        <f>_xlfn.IFNA($M229/VLOOKUP($BV229,'Unit information'!$A$2:$K$29,11,FALSE)*AA229,0)*(1+$E$9)</f>
        <v>0</v>
      </c>
      <c r="BD229" s="106">
        <f t="shared" si="294"/>
        <v>0</v>
      </c>
      <c r="BE229" s="107">
        <f t="shared" si="295"/>
        <v>0</v>
      </c>
      <c r="BF229" s="108">
        <f t="shared" si="296"/>
        <v>0</v>
      </c>
      <c r="BG229" s="25" t="e">
        <f t="shared" si="297"/>
        <v>#N/A</v>
      </c>
      <c r="BH229" s="25" t="e">
        <f t="shared" si="298"/>
        <v>#N/A</v>
      </c>
      <c r="BI229" s="25" t="e">
        <f t="shared" si="299"/>
        <v>#N/A</v>
      </c>
      <c r="BJ229" s="27" t="e">
        <f t="shared" si="300"/>
        <v>#N/A</v>
      </c>
      <c r="BK229" s="18" t="e">
        <f t="shared" si="301"/>
        <v>#N/A</v>
      </c>
      <c r="BL229" s="18" t="e">
        <f t="shared" si="302"/>
        <v>#N/A</v>
      </c>
      <c r="BM229" s="28" t="e">
        <f t="shared" si="347"/>
        <v>#N/A</v>
      </c>
      <c r="BN229" s="33">
        <f>HLOOKUP("maximum population",Miscelaneous!$C$1:$C$33,CH229+3,FALSE)</f>
        <v>240</v>
      </c>
      <c r="BO229" s="14">
        <f t="shared" si="313"/>
        <v>32</v>
      </c>
      <c r="BP229" s="14">
        <f t="shared" si="314"/>
        <v>0</v>
      </c>
      <c r="BQ229" s="14">
        <f t="shared" si="315"/>
        <v>208</v>
      </c>
      <c r="BR229" s="34" t="e">
        <f>HLOOKUP(J229,Villagers!$B$1:$V$33,L229+3,FALSE)-HLOOKUP(J229,Villagers!$B$1:$V$33,L229+2,FALSE)</f>
        <v>#N/A</v>
      </c>
      <c r="BS229" s="49">
        <f t="shared" si="316"/>
        <v>1</v>
      </c>
      <c r="BT229" s="50">
        <f t="shared" si="317"/>
        <v>0</v>
      </c>
      <c r="BU229" s="50">
        <f t="shared" si="318"/>
        <v>0</v>
      </c>
      <c r="BV229" s="50">
        <f t="shared" si="319"/>
        <v>0</v>
      </c>
      <c r="BW229" s="50">
        <f t="shared" si="361"/>
        <v>0</v>
      </c>
      <c r="BX229" s="50">
        <f t="shared" si="361"/>
        <v>0</v>
      </c>
      <c r="BY229" s="50">
        <f t="shared" si="361"/>
        <v>0</v>
      </c>
      <c r="BZ229" s="50">
        <f t="shared" si="350"/>
        <v>0</v>
      </c>
      <c r="CA229" s="50">
        <f t="shared" si="351"/>
        <v>0</v>
      </c>
      <c r="CB229" s="50">
        <f t="shared" si="352"/>
        <v>1</v>
      </c>
      <c r="CC229" s="50">
        <f t="shared" si="353"/>
        <v>0</v>
      </c>
      <c r="CD229" s="50">
        <f t="shared" si="354"/>
        <v>0</v>
      </c>
      <c r="CE229" s="50">
        <f t="shared" si="355"/>
        <v>1</v>
      </c>
      <c r="CF229" s="50">
        <f t="shared" si="356"/>
        <v>1</v>
      </c>
      <c r="CG229" s="50">
        <f t="shared" si="357"/>
        <v>1</v>
      </c>
      <c r="CH229" s="50">
        <f t="shared" si="358"/>
        <v>1</v>
      </c>
      <c r="CI229" s="50">
        <f t="shared" si="359"/>
        <v>1</v>
      </c>
      <c r="CJ229" s="50">
        <f t="shared" si="360"/>
        <v>1</v>
      </c>
      <c r="CK229" s="50">
        <f t="shared" si="360"/>
        <v>0</v>
      </c>
      <c r="CL229" s="50">
        <f t="shared" si="360"/>
        <v>0</v>
      </c>
      <c r="CM229" s="51">
        <f t="shared" si="274"/>
        <v>0</v>
      </c>
      <c r="CN229" s="33">
        <f>ROUND(IF(BS229=0,0,HLOOKUP(BS$14,Villagers!$B$1:$V$33,BS229+3,FALSE)),)</f>
        <v>5</v>
      </c>
      <c r="CO229" s="14">
        <f>ROUND(IF(BT229=0,0,HLOOKUP(BT$14,Villagers!$B$1:$V$33,BT229+3,FALSE)),)</f>
        <v>0</v>
      </c>
      <c r="CP229" s="14">
        <f>ROUND(IF(BU229=0,0,HLOOKUP(BU$14,Villagers!$B$1:$V$33,BU229+3,FALSE)),)</f>
        <v>0</v>
      </c>
      <c r="CQ229" s="14">
        <f>ROUND(IF(BV229=0,0,HLOOKUP(BV$14,Villagers!$B$1:$V$33,BV229+3,FALSE)),)</f>
        <v>0</v>
      </c>
      <c r="CR229" s="14">
        <f>ROUND(IF(BW229=0,0,HLOOKUP(BW$14,Villagers!$B$1:$V$33,BW229+3,FALSE)),)</f>
        <v>0</v>
      </c>
      <c r="CS229" s="14">
        <f>ROUND(IF(BX229=0,0,HLOOKUP(BX$14,Villagers!$B$1:$V$33,BX229+3,FALSE)),)</f>
        <v>0</v>
      </c>
      <c r="CT229" s="14">
        <f>ROUND(IF(BY229=0,0,HLOOKUP(BY$14,Villagers!$B$1:$V$33,BY229+3,FALSE)),)</f>
        <v>0</v>
      </c>
      <c r="CU229" s="14">
        <f>ROUND(IF(BZ229=0,0,HLOOKUP(BZ$14,Villagers!$B$1:$V$33,BZ229+3,FALSE)),)</f>
        <v>0</v>
      </c>
      <c r="CV229" s="14">
        <f>ROUND(IF(CA229=0,0,HLOOKUP(CA$14,Villagers!$B$1:$V$33,CA229+3,FALSE)),)</f>
        <v>0</v>
      </c>
      <c r="CW229" s="14">
        <f>ROUND(IF(CB229=0,0,HLOOKUP(CB$14,Villagers!$B$1:$V$33,CB229+3,FALSE)),)</f>
        <v>0</v>
      </c>
      <c r="CX229" s="14">
        <f>ROUND(IF(CC229=0,0,HLOOKUP(CC$14,Villagers!$B$1:$V$33,CC229+3,FALSE)),)</f>
        <v>0</v>
      </c>
      <c r="CY229" s="14">
        <f>ROUND(IF(CD229=0,0,HLOOKUP(CD$14,Villagers!$B$1:$V$33,CD229+3,FALSE)),)</f>
        <v>0</v>
      </c>
      <c r="CZ229" s="14">
        <f>ROUND(IF(CE229=0,0,HLOOKUP(CE$14,Villagers!$B$1:$V$33,CE229+3,FALSE)),)</f>
        <v>5</v>
      </c>
      <c r="DA229" s="14">
        <f>ROUND(IF(CF229=0,0,HLOOKUP(CF$14,Villagers!$B$1:$V$33,CF229+3,FALSE)),)</f>
        <v>10</v>
      </c>
      <c r="DB229" s="14">
        <f>ROUND(IF(CG229=0,0,HLOOKUP(CG$14,Villagers!$B$1:$V$33,CG229+3,FALSE)),)</f>
        <v>10</v>
      </c>
      <c r="DC229" s="14">
        <f>ROUND(IF(CH229=0,0,HLOOKUP(CH$14,Villagers!$B$1:$V$33,CH229+3,FALSE)),)</f>
        <v>0</v>
      </c>
      <c r="DD229" s="14">
        <f>ROUND(IF(CI229=0,0,HLOOKUP(CI$14,Villagers!$B$1:$V$33,CI229+3,FALSE)),)</f>
        <v>0</v>
      </c>
      <c r="DE229" s="14">
        <f>ROUND(IF(CJ229=0,0,HLOOKUP(CJ$14,Villagers!$B$1:$V$33,CJ229+3,FALSE)),)</f>
        <v>2</v>
      </c>
      <c r="DF229" s="370">
        <f>ROUND(IF(CK229=0,0,HLOOKUP(CK$14,Villagers!$B$1:$V$33,CK229+3,FALSE)),)</f>
        <v>0</v>
      </c>
      <c r="DG229" s="370">
        <f>ROUND(IF(CL229=0,0,HLOOKUP(CL$14,Villagers!$B$1:$V$33,CL229+3,FALSE)),)</f>
        <v>0</v>
      </c>
      <c r="DH229" s="34">
        <f>ROUND(IF(CM229=0,0,HLOOKUP(CM$14,Villagers!$B$1:$V$33,CM229+3,FALSE)),)</f>
        <v>0</v>
      </c>
      <c r="DI229" s="109">
        <f t="shared" si="336"/>
        <v>0</v>
      </c>
      <c r="DJ229" s="50">
        <f t="shared" si="337"/>
        <v>0</v>
      </c>
      <c r="DK229" s="50">
        <f t="shared" si="338"/>
        <v>0</v>
      </c>
      <c r="DL229" s="50">
        <f t="shared" si="339"/>
        <v>0</v>
      </c>
      <c r="DM229" s="50">
        <f t="shared" si="340"/>
        <v>0</v>
      </c>
      <c r="DN229" s="50">
        <f t="shared" si="341"/>
        <v>0</v>
      </c>
      <c r="DO229" s="50">
        <f t="shared" si="342"/>
        <v>0</v>
      </c>
      <c r="DP229" s="50">
        <f t="shared" si="343"/>
        <v>0</v>
      </c>
      <c r="DQ229" s="50">
        <f t="shared" si="321"/>
        <v>0</v>
      </c>
      <c r="DR229" s="50">
        <f t="shared" si="322"/>
        <v>0</v>
      </c>
      <c r="DS229" s="96">
        <f>Miscelaneous!$D$4*Miscelaneous!$D$2^($CI229-1)</f>
        <v>1000</v>
      </c>
      <c r="DT229" s="333">
        <f t="shared" si="303"/>
        <v>1</v>
      </c>
      <c r="DU229" s="81">
        <v>1</v>
      </c>
      <c r="DV229" s="79">
        <f t="shared" si="323"/>
        <v>0</v>
      </c>
      <c r="DW229" s="79">
        <f t="shared" si="324"/>
        <v>0</v>
      </c>
      <c r="DX229" s="79">
        <f t="shared" si="325"/>
        <v>0</v>
      </c>
      <c r="DY229" s="79">
        <v>1</v>
      </c>
      <c r="DZ229" s="79">
        <f t="shared" si="326"/>
        <v>0</v>
      </c>
      <c r="EA229" s="79">
        <f t="shared" si="327"/>
        <v>0</v>
      </c>
      <c r="EB229" s="79">
        <f t="shared" si="328"/>
        <v>0</v>
      </c>
      <c r="EC229" s="79">
        <f t="shared" si="329"/>
        <v>0</v>
      </c>
      <c r="ED229" s="79">
        <v>1</v>
      </c>
      <c r="EE229" s="79">
        <v>1</v>
      </c>
      <c r="EF229" s="79">
        <f t="shared" si="330"/>
        <v>0</v>
      </c>
      <c r="EG229" s="79">
        <v>1</v>
      </c>
      <c r="EH229" s="79">
        <v>1</v>
      </c>
      <c r="EI229" s="79">
        <v>1</v>
      </c>
      <c r="EJ229" s="79">
        <v>1</v>
      </c>
      <c r="EK229" s="79">
        <v>1</v>
      </c>
      <c r="EL229" s="79">
        <v>1</v>
      </c>
      <c r="EM229" s="143">
        <f t="shared" si="331"/>
        <v>0</v>
      </c>
      <c r="EN229" s="143">
        <f t="shared" si="332"/>
        <v>0</v>
      </c>
      <c r="EO229" s="82">
        <f t="shared" si="333"/>
        <v>0</v>
      </c>
    </row>
    <row r="230" spans="1:145" x14ac:dyDescent="0.25">
      <c r="A230">
        <v>216</v>
      </c>
      <c r="B230" s="172" t="e">
        <f t="shared" si="304"/>
        <v>#N/A</v>
      </c>
      <c r="C230" s="121" t="e">
        <f t="shared" si="283"/>
        <v>#N/A</v>
      </c>
      <c r="D230" s="122" t="e">
        <f t="shared" si="284"/>
        <v>#N/A</v>
      </c>
      <c r="E230" s="122" t="e">
        <f t="shared" si="285"/>
        <v>#N/A</v>
      </c>
      <c r="F230" s="176" t="e">
        <f t="shared" si="286"/>
        <v>#N/A</v>
      </c>
      <c r="G230" s="121">
        <f t="shared" si="305"/>
        <v>208</v>
      </c>
      <c r="H230" s="176" t="e">
        <f t="shared" si="306"/>
        <v>#N/A</v>
      </c>
      <c r="I230" s="48">
        <v>1</v>
      </c>
      <c r="J230" s="39"/>
      <c r="K230" s="350">
        <v>1</v>
      </c>
      <c r="L230" s="34" t="e">
        <f t="shared" si="287"/>
        <v>#N/A</v>
      </c>
      <c r="M230" s="38" t="e">
        <f>(HLOOKUP(J230,'Construction Times'!$B$3:$W$34,L230+2,FALSE)*HLOOKUP("hq modifier",'Construction Times'!$W$3:$W$34,BS230+2,FALSE))*(1-$H$9)</f>
        <v>#N/A</v>
      </c>
      <c r="N230" s="443" t="e">
        <f t="shared" si="307"/>
        <v>#N/A</v>
      </c>
      <c r="O230" s="444"/>
      <c r="P230" s="447" t="e">
        <f t="shared" si="308"/>
        <v>#N/A</v>
      </c>
      <c r="Q230" s="448"/>
      <c r="R230" s="103">
        <f t="shared" si="334"/>
        <v>0</v>
      </c>
      <c r="S230" s="104">
        <f t="shared" si="334"/>
        <v>0</v>
      </c>
      <c r="T230" s="104">
        <f t="shared" si="335"/>
        <v>0</v>
      </c>
      <c r="U230" s="104">
        <f t="shared" si="335"/>
        <v>0</v>
      </c>
      <c r="V230" s="104">
        <f t="shared" si="335"/>
        <v>9.9999999999999995E-8</v>
      </c>
      <c r="W230" s="104">
        <f t="shared" si="335"/>
        <v>0</v>
      </c>
      <c r="X230" s="104">
        <f t="shared" si="273"/>
        <v>0</v>
      </c>
      <c r="Y230" s="104">
        <f t="shared" si="273"/>
        <v>9.9999999999999995E-8</v>
      </c>
      <c r="Z230" s="104">
        <f t="shared" si="273"/>
        <v>9.9999999999999995E-8</v>
      </c>
      <c r="AA230" s="105">
        <f t="shared" si="273"/>
        <v>9.9999999999999995E-8</v>
      </c>
      <c r="AB230" s="101" t="e">
        <f>$DT230*HLOOKUP($J230,'Construction Costs (timber)'!$B$1:$V$32,'Construction Planner'!$L230+2,FALSE)</f>
        <v>#N/A</v>
      </c>
      <c r="AC230" s="14" t="e">
        <f>$DT230*HLOOKUP($J230,'Construction Costs (clay)'!$B$1:$V$32,'Construction Planner'!$L230+2,FALSE)</f>
        <v>#N/A</v>
      </c>
      <c r="AD230" s="14" t="e">
        <f>$DT230*HLOOKUP($J230,'Construction Costs (iron)'!$B$1:$V$32,'Construction Planner'!$L230+2,FALSE)</f>
        <v>#N/A</v>
      </c>
      <c r="AE230" s="34" t="e">
        <f t="shared" si="344"/>
        <v>#N/A</v>
      </c>
      <c r="AF230" s="33" t="e">
        <f t="shared" si="288"/>
        <v>#N/A</v>
      </c>
      <c r="AG230" s="14" t="e">
        <f t="shared" si="289"/>
        <v>#N/A</v>
      </c>
      <c r="AH230" s="14" t="e">
        <f t="shared" si="290"/>
        <v>#N/A</v>
      </c>
      <c r="AI230" s="34" t="e">
        <f t="shared" si="345"/>
        <v>#N/A</v>
      </c>
      <c r="AJ230" s="49" t="e">
        <f t="shared" si="309"/>
        <v>#N/A</v>
      </c>
      <c r="AK230" s="49" t="e">
        <f t="shared" si="310"/>
        <v>#N/A</v>
      </c>
      <c r="AL230" s="49" t="e">
        <f t="shared" si="311"/>
        <v>#N/A</v>
      </c>
      <c r="AM230" s="25">
        <f t="shared" si="291"/>
        <v>30</v>
      </c>
      <c r="AN230" s="25">
        <f t="shared" si="292"/>
        <v>30</v>
      </c>
      <c r="AO230" s="25">
        <f t="shared" si="293"/>
        <v>30</v>
      </c>
      <c r="AP230" s="52" t="e">
        <f t="shared" si="312"/>
        <v>#N/A</v>
      </c>
      <c r="AQ230" s="53" t="e">
        <f t="shared" si="312"/>
        <v>#N/A</v>
      </c>
      <c r="AR230" s="54" t="e">
        <f t="shared" si="312"/>
        <v>#N/A</v>
      </c>
      <c r="AS230" s="316">
        <f t="shared" si="362"/>
        <v>0</v>
      </c>
      <c r="AT230" s="106">
        <f>_xlfn.IFNA($M230/VLOOKUP($BT230,'Unit information'!$A$2:$K$29,2,FALSE)*R230,0)*(1+$E$9)</f>
        <v>0</v>
      </c>
      <c r="AU230" s="107">
        <f>_xlfn.IFNA($M230/VLOOKUP($BT230,'Unit information'!$A$2:$K$29,3,FALSE)*S230,0)*(1+$E$9)</f>
        <v>0</v>
      </c>
      <c r="AV230" s="107">
        <f>_xlfn.IFNA($M230/VLOOKUP($BT230,'Unit information'!$A$2:$K$29,4,FALSE)*T230,0)*(1+$E$9)</f>
        <v>0</v>
      </c>
      <c r="AW230" s="107">
        <f>_xlfn.IFNA($M230/VLOOKUP($BT230,'Unit information'!$A$2:$K$29,5,FALSE)*U230,0)*(1+$E$9)</f>
        <v>0</v>
      </c>
      <c r="AX230" s="107">
        <f>_xlfn.IFNA($M230/VLOOKUP($BU230,'Unit information'!$A$2:$K$29,6,FALSE)*V230,0)*(1+$E$9)</f>
        <v>0</v>
      </c>
      <c r="AY230" s="107">
        <f>_xlfn.IFNA($M230/VLOOKUP($BU230,'Unit information'!$A$2:$K$29,7,FALSE)*W230,0)*(1+$E$9)</f>
        <v>0</v>
      </c>
      <c r="AZ230" s="107">
        <f>_xlfn.IFNA($M230/VLOOKUP($BU230,'Unit information'!$A$2:$K$29,8,FALSE)*X230,0)*(1+$E$9)</f>
        <v>0</v>
      </c>
      <c r="BA230" s="107">
        <f>_xlfn.IFNA($M230/VLOOKUP($BU230,'Unit information'!$A$2:$K$29,9,FALSE)*Y230,0)*(1+$E$9)</f>
        <v>0</v>
      </c>
      <c r="BB230" s="107">
        <f>_xlfn.IFNA($M230/VLOOKUP($BV230,'Unit information'!$A$2:$K$29,10,FALSE)*Z230,0)*(1+$E$9)</f>
        <v>0</v>
      </c>
      <c r="BC230" s="108">
        <f>_xlfn.IFNA($M230/VLOOKUP($BV230,'Unit information'!$A$2:$K$29,11,FALSE)*AA230,0)*(1+$E$9)</f>
        <v>0</v>
      </c>
      <c r="BD230" s="106">
        <f t="shared" si="294"/>
        <v>0</v>
      </c>
      <c r="BE230" s="107">
        <f t="shared" si="295"/>
        <v>0</v>
      </c>
      <c r="BF230" s="108">
        <f t="shared" si="296"/>
        <v>0</v>
      </c>
      <c r="BG230" s="25" t="e">
        <f t="shared" si="297"/>
        <v>#N/A</v>
      </c>
      <c r="BH230" s="25" t="e">
        <f t="shared" si="298"/>
        <v>#N/A</v>
      </c>
      <c r="BI230" s="25" t="e">
        <f t="shared" si="299"/>
        <v>#N/A</v>
      </c>
      <c r="BJ230" s="27" t="e">
        <f t="shared" si="300"/>
        <v>#N/A</v>
      </c>
      <c r="BK230" s="18" t="e">
        <f t="shared" si="301"/>
        <v>#N/A</v>
      </c>
      <c r="BL230" s="18" t="e">
        <f t="shared" si="302"/>
        <v>#N/A</v>
      </c>
      <c r="BM230" s="28" t="e">
        <f t="shared" si="347"/>
        <v>#N/A</v>
      </c>
      <c r="BN230" s="33">
        <f>HLOOKUP("maximum population",Miscelaneous!$C$1:$C$33,CH230+3,FALSE)</f>
        <v>240</v>
      </c>
      <c r="BO230" s="14">
        <f t="shared" si="313"/>
        <v>32</v>
      </c>
      <c r="BP230" s="14">
        <f t="shared" si="314"/>
        <v>0</v>
      </c>
      <c r="BQ230" s="14">
        <f t="shared" si="315"/>
        <v>208</v>
      </c>
      <c r="BR230" s="34" t="e">
        <f>HLOOKUP(J230,Villagers!$B$1:$V$33,L230+3,FALSE)-HLOOKUP(J230,Villagers!$B$1:$V$33,L230+2,FALSE)</f>
        <v>#N/A</v>
      </c>
      <c r="BS230" s="49">
        <f t="shared" si="316"/>
        <v>1</v>
      </c>
      <c r="BT230" s="50">
        <f t="shared" si="317"/>
        <v>0</v>
      </c>
      <c r="BU230" s="50">
        <f t="shared" si="318"/>
        <v>0</v>
      </c>
      <c r="BV230" s="50">
        <f t="shared" si="319"/>
        <v>0</v>
      </c>
      <c r="BW230" s="50">
        <f t="shared" si="361"/>
        <v>0</v>
      </c>
      <c r="BX230" s="50">
        <f t="shared" si="361"/>
        <v>0</v>
      </c>
      <c r="BY230" s="50">
        <f t="shared" si="361"/>
        <v>0</v>
      </c>
      <c r="BZ230" s="50">
        <f t="shared" si="350"/>
        <v>0</v>
      </c>
      <c r="CA230" s="50">
        <f t="shared" si="351"/>
        <v>0</v>
      </c>
      <c r="CB230" s="50">
        <f t="shared" si="352"/>
        <v>1</v>
      </c>
      <c r="CC230" s="50">
        <f t="shared" si="353"/>
        <v>0</v>
      </c>
      <c r="CD230" s="50">
        <f t="shared" si="354"/>
        <v>0</v>
      </c>
      <c r="CE230" s="50">
        <f t="shared" si="355"/>
        <v>1</v>
      </c>
      <c r="CF230" s="50">
        <f t="shared" si="356"/>
        <v>1</v>
      </c>
      <c r="CG230" s="50">
        <f t="shared" si="357"/>
        <v>1</v>
      </c>
      <c r="CH230" s="50">
        <f t="shared" si="358"/>
        <v>1</v>
      </c>
      <c r="CI230" s="50">
        <f t="shared" si="359"/>
        <v>1</v>
      </c>
      <c r="CJ230" s="50">
        <f t="shared" si="360"/>
        <v>1</v>
      </c>
      <c r="CK230" s="50">
        <f t="shared" si="360"/>
        <v>0</v>
      </c>
      <c r="CL230" s="50">
        <f t="shared" si="360"/>
        <v>0</v>
      </c>
      <c r="CM230" s="51">
        <f t="shared" si="274"/>
        <v>0</v>
      </c>
      <c r="CN230" s="33">
        <f>ROUND(IF(BS230=0,0,HLOOKUP(BS$14,Villagers!$B$1:$V$33,BS230+3,FALSE)),)</f>
        <v>5</v>
      </c>
      <c r="CO230" s="14">
        <f>ROUND(IF(BT230=0,0,HLOOKUP(BT$14,Villagers!$B$1:$V$33,BT230+3,FALSE)),)</f>
        <v>0</v>
      </c>
      <c r="CP230" s="14">
        <f>ROUND(IF(BU230=0,0,HLOOKUP(BU$14,Villagers!$B$1:$V$33,BU230+3,FALSE)),)</f>
        <v>0</v>
      </c>
      <c r="CQ230" s="14">
        <f>ROUND(IF(BV230=0,0,HLOOKUP(BV$14,Villagers!$B$1:$V$33,BV230+3,FALSE)),)</f>
        <v>0</v>
      </c>
      <c r="CR230" s="14">
        <f>ROUND(IF(BW230=0,0,HLOOKUP(BW$14,Villagers!$B$1:$V$33,BW230+3,FALSE)),)</f>
        <v>0</v>
      </c>
      <c r="CS230" s="14">
        <f>ROUND(IF(BX230=0,0,HLOOKUP(BX$14,Villagers!$B$1:$V$33,BX230+3,FALSE)),)</f>
        <v>0</v>
      </c>
      <c r="CT230" s="14">
        <f>ROUND(IF(BY230=0,0,HLOOKUP(BY$14,Villagers!$B$1:$V$33,BY230+3,FALSE)),)</f>
        <v>0</v>
      </c>
      <c r="CU230" s="14">
        <f>ROUND(IF(BZ230=0,0,HLOOKUP(BZ$14,Villagers!$B$1:$V$33,BZ230+3,FALSE)),)</f>
        <v>0</v>
      </c>
      <c r="CV230" s="14">
        <f>ROUND(IF(CA230=0,0,HLOOKUP(CA$14,Villagers!$B$1:$V$33,CA230+3,FALSE)),)</f>
        <v>0</v>
      </c>
      <c r="CW230" s="14">
        <f>ROUND(IF(CB230=0,0,HLOOKUP(CB$14,Villagers!$B$1:$V$33,CB230+3,FALSE)),)</f>
        <v>0</v>
      </c>
      <c r="CX230" s="14">
        <f>ROUND(IF(CC230=0,0,HLOOKUP(CC$14,Villagers!$B$1:$V$33,CC230+3,FALSE)),)</f>
        <v>0</v>
      </c>
      <c r="CY230" s="14">
        <f>ROUND(IF(CD230=0,0,HLOOKUP(CD$14,Villagers!$B$1:$V$33,CD230+3,FALSE)),)</f>
        <v>0</v>
      </c>
      <c r="CZ230" s="14">
        <f>ROUND(IF(CE230=0,0,HLOOKUP(CE$14,Villagers!$B$1:$V$33,CE230+3,FALSE)),)</f>
        <v>5</v>
      </c>
      <c r="DA230" s="14">
        <f>ROUND(IF(CF230=0,0,HLOOKUP(CF$14,Villagers!$B$1:$V$33,CF230+3,FALSE)),)</f>
        <v>10</v>
      </c>
      <c r="DB230" s="14">
        <f>ROUND(IF(CG230=0,0,HLOOKUP(CG$14,Villagers!$B$1:$V$33,CG230+3,FALSE)),)</f>
        <v>10</v>
      </c>
      <c r="DC230" s="14">
        <f>ROUND(IF(CH230=0,0,HLOOKUP(CH$14,Villagers!$B$1:$V$33,CH230+3,FALSE)),)</f>
        <v>0</v>
      </c>
      <c r="DD230" s="14">
        <f>ROUND(IF(CI230=0,0,HLOOKUP(CI$14,Villagers!$B$1:$V$33,CI230+3,FALSE)),)</f>
        <v>0</v>
      </c>
      <c r="DE230" s="14">
        <f>ROUND(IF(CJ230=0,0,HLOOKUP(CJ$14,Villagers!$B$1:$V$33,CJ230+3,FALSE)),)</f>
        <v>2</v>
      </c>
      <c r="DF230" s="370">
        <f>ROUND(IF(CK230=0,0,HLOOKUP(CK$14,Villagers!$B$1:$V$33,CK230+3,FALSE)),)</f>
        <v>0</v>
      </c>
      <c r="DG230" s="370">
        <f>ROUND(IF(CL230=0,0,HLOOKUP(CL$14,Villagers!$B$1:$V$33,CL230+3,FALSE)),)</f>
        <v>0</v>
      </c>
      <c r="DH230" s="34">
        <f>ROUND(IF(CM230=0,0,HLOOKUP(CM$14,Villagers!$B$1:$V$33,CM230+3,FALSE)),)</f>
        <v>0</v>
      </c>
      <c r="DI230" s="109">
        <f t="shared" si="336"/>
        <v>0</v>
      </c>
      <c r="DJ230" s="50">
        <f t="shared" si="337"/>
        <v>0</v>
      </c>
      <c r="DK230" s="50">
        <f t="shared" si="338"/>
        <v>0</v>
      </c>
      <c r="DL230" s="50">
        <f t="shared" si="339"/>
        <v>0</v>
      </c>
      <c r="DM230" s="50">
        <f t="shared" si="340"/>
        <v>0</v>
      </c>
      <c r="DN230" s="50">
        <f t="shared" si="341"/>
        <v>0</v>
      </c>
      <c r="DO230" s="50">
        <f t="shared" si="342"/>
        <v>0</v>
      </c>
      <c r="DP230" s="50">
        <f t="shared" si="343"/>
        <v>0</v>
      </c>
      <c r="DQ230" s="50">
        <f t="shared" si="321"/>
        <v>0</v>
      </c>
      <c r="DR230" s="50">
        <f t="shared" si="322"/>
        <v>0</v>
      </c>
      <c r="DS230" s="96">
        <f>Miscelaneous!$D$4*Miscelaneous!$D$2^($CI230-1)</f>
        <v>1000</v>
      </c>
      <c r="DT230" s="333">
        <f t="shared" si="303"/>
        <v>1</v>
      </c>
      <c r="DU230" s="81">
        <v>1</v>
      </c>
      <c r="DV230" s="79">
        <f t="shared" si="323"/>
        <v>0</v>
      </c>
      <c r="DW230" s="79">
        <f t="shared" si="324"/>
        <v>0</v>
      </c>
      <c r="DX230" s="79">
        <f t="shared" si="325"/>
        <v>0</v>
      </c>
      <c r="DY230" s="79">
        <v>1</v>
      </c>
      <c r="DZ230" s="79">
        <f t="shared" si="326"/>
        <v>0</v>
      </c>
      <c r="EA230" s="79">
        <f t="shared" si="327"/>
        <v>0</v>
      </c>
      <c r="EB230" s="79">
        <f t="shared" si="328"/>
        <v>0</v>
      </c>
      <c r="EC230" s="79">
        <f t="shared" si="329"/>
        <v>0</v>
      </c>
      <c r="ED230" s="79">
        <v>1</v>
      </c>
      <c r="EE230" s="79">
        <v>1</v>
      </c>
      <c r="EF230" s="79">
        <f t="shared" si="330"/>
        <v>0</v>
      </c>
      <c r="EG230" s="79">
        <v>1</v>
      </c>
      <c r="EH230" s="79">
        <v>1</v>
      </c>
      <c r="EI230" s="79">
        <v>1</v>
      </c>
      <c r="EJ230" s="79">
        <v>1</v>
      </c>
      <c r="EK230" s="79">
        <v>1</v>
      </c>
      <c r="EL230" s="79">
        <v>1</v>
      </c>
      <c r="EM230" s="143">
        <f t="shared" si="331"/>
        <v>0</v>
      </c>
      <c r="EN230" s="143">
        <f t="shared" si="332"/>
        <v>0</v>
      </c>
      <c r="EO230" s="82">
        <f t="shared" si="333"/>
        <v>0</v>
      </c>
    </row>
    <row r="231" spans="1:145" x14ac:dyDescent="0.25">
      <c r="A231">
        <v>217</v>
      </c>
      <c r="B231" s="172" t="e">
        <f t="shared" si="304"/>
        <v>#N/A</v>
      </c>
      <c r="C231" s="121" t="e">
        <f t="shared" si="283"/>
        <v>#N/A</v>
      </c>
      <c r="D231" s="122" t="e">
        <f t="shared" si="284"/>
        <v>#N/A</v>
      </c>
      <c r="E231" s="122" t="e">
        <f t="shared" si="285"/>
        <v>#N/A</v>
      </c>
      <c r="F231" s="176" t="e">
        <f t="shared" si="286"/>
        <v>#N/A</v>
      </c>
      <c r="G231" s="121">
        <f t="shared" si="305"/>
        <v>208</v>
      </c>
      <c r="H231" s="176" t="e">
        <f t="shared" si="306"/>
        <v>#N/A</v>
      </c>
      <c r="I231" s="48">
        <v>1</v>
      </c>
      <c r="J231" s="39"/>
      <c r="K231" s="350">
        <v>1</v>
      </c>
      <c r="L231" s="34" t="e">
        <f t="shared" si="287"/>
        <v>#N/A</v>
      </c>
      <c r="M231" s="38" t="e">
        <f>(HLOOKUP(J231,'Construction Times'!$B$3:$W$34,L231+2,FALSE)*HLOOKUP("hq modifier",'Construction Times'!$W$3:$W$34,BS231+2,FALSE))*(1-$H$9)</f>
        <v>#N/A</v>
      </c>
      <c r="N231" s="443" t="e">
        <f t="shared" si="307"/>
        <v>#N/A</v>
      </c>
      <c r="O231" s="444"/>
      <c r="P231" s="447" t="e">
        <f t="shared" si="308"/>
        <v>#N/A</v>
      </c>
      <c r="Q231" s="448"/>
      <c r="R231" s="103">
        <f t="shared" si="334"/>
        <v>0</v>
      </c>
      <c r="S231" s="104">
        <f t="shared" si="334"/>
        <v>0</v>
      </c>
      <c r="T231" s="104">
        <f t="shared" si="335"/>
        <v>0</v>
      </c>
      <c r="U231" s="104">
        <f t="shared" si="335"/>
        <v>0</v>
      </c>
      <c r="V231" s="104">
        <f t="shared" si="335"/>
        <v>9.9999999999999995E-8</v>
      </c>
      <c r="W231" s="104">
        <f t="shared" si="335"/>
        <v>0</v>
      </c>
      <c r="X231" s="104">
        <f t="shared" si="273"/>
        <v>0</v>
      </c>
      <c r="Y231" s="104">
        <f t="shared" si="273"/>
        <v>9.9999999999999995E-8</v>
      </c>
      <c r="Z231" s="104">
        <f t="shared" si="273"/>
        <v>9.9999999999999995E-8</v>
      </c>
      <c r="AA231" s="105">
        <f t="shared" si="273"/>
        <v>9.9999999999999995E-8</v>
      </c>
      <c r="AB231" s="101" t="e">
        <f>$DT231*HLOOKUP($J231,'Construction Costs (timber)'!$B$1:$V$32,'Construction Planner'!$L231+2,FALSE)</f>
        <v>#N/A</v>
      </c>
      <c r="AC231" s="14" t="e">
        <f>$DT231*HLOOKUP($J231,'Construction Costs (clay)'!$B$1:$V$32,'Construction Planner'!$L231+2,FALSE)</f>
        <v>#N/A</v>
      </c>
      <c r="AD231" s="14" t="e">
        <f>$DT231*HLOOKUP($J231,'Construction Costs (iron)'!$B$1:$V$32,'Construction Planner'!$L231+2,FALSE)</f>
        <v>#N/A</v>
      </c>
      <c r="AE231" s="34" t="e">
        <f t="shared" si="344"/>
        <v>#N/A</v>
      </c>
      <c r="AF231" s="33" t="e">
        <f t="shared" si="288"/>
        <v>#N/A</v>
      </c>
      <c r="AG231" s="14" t="e">
        <f t="shared" si="289"/>
        <v>#N/A</v>
      </c>
      <c r="AH231" s="14" t="e">
        <f t="shared" si="290"/>
        <v>#N/A</v>
      </c>
      <c r="AI231" s="34" t="e">
        <f t="shared" si="345"/>
        <v>#N/A</v>
      </c>
      <c r="AJ231" s="49" t="e">
        <f t="shared" si="309"/>
        <v>#N/A</v>
      </c>
      <c r="AK231" s="49" t="e">
        <f t="shared" si="310"/>
        <v>#N/A</v>
      </c>
      <c r="AL231" s="49" t="e">
        <f t="shared" si="311"/>
        <v>#N/A</v>
      </c>
      <c r="AM231" s="25">
        <f t="shared" si="291"/>
        <v>30</v>
      </c>
      <c r="AN231" s="25">
        <f t="shared" si="292"/>
        <v>30</v>
      </c>
      <c r="AO231" s="25">
        <f t="shared" si="293"/>
        <v>30</v>
      </c>
      <c r="AP231" s="52" t="e">
        <f t="shared" si="312"/>
        <v>#N/A</v>
      </c>
      <c r="AQ231" s="53" t="e">
        <f t="shared" si="312"/>
        <v>#N/A</v>
      </c>
      <c r="AR231" s="54" t="e">
        <f t="shared" si="312"/>
        <v>#N/A</v>
      </c>
      <c r="AS231" s="316">
        <f t="shared" si="362"/>
        <v>0</v>
      </c>
      <c r="AT231" s="106">
        <f>_xlfn.IFNA($M231/VLOOKUP($BT231,'Unit information'!$A$2:$K$29,2,FALSE)*R231,0)*(1+$E$9)</f>
        <v>0</v>
      </c>
      <c r="AU231" s="107">
        <f>_xlfn.IFNA($M231/VLOOKUP($BT231,'Unit information'!$A$2:$K$29,3,FALSE)*S231,0)*(1+$E$9)</f>
        <v>0</v>
      </c>
      <c r="AV231" s="107">
        <f>_xlfn.IFNA($M231/VLOOKUP($BT231,'Unit information'!$A$2:$K$29,4,FALSE)*T231,0)*(1+$E$9)</f>
        <v>0</v>
      </c>
      <c r="AW231" s="107">
        <f>_xlfn.IFNA($M231/VLOOKUP($BT231,'Unit information'!$A$2:$K$29,5,FALSE)*U231,0)*(1+$E$9)</f>
        <v>0</v>
      </c>
      <c r="AX231" s="107">
        <f>_xlfn.IFNA($M231/VLOOKUP($BU231,'Unit information'!$A$2:$K$29,6,FALSE)*V231,0)*(1+$E$9)</f>
        <v>0</v>
      </c>
      <c r="AY231" s="107">
        <f>_xlfn.IFNA($M231/VLOOKUP($BU231,'Unit information'!$A$2:$K$29,7,FALSE)*W231,0)*(1+$E$9)</f>
        <v>0</v>
      </c>
      <c r="AZ231" s="107">
        <f>_xlfn.IFNA($M231/VLOOKUP($BU231,'Unit information'!$A$2:$K$29,8,FALSE)*X231,0)*(1+$E$9)</f>
        <v>0</v>
      </c>
      <c r="BA231" s="107">
        <f>_xlfn.IFNA($M231/VLOOKUP($BU231,'Unit information'!$A$2:$K$29,9,FALSE)*Y231,0)*(1+$E$9)</f>
        <v>0</v>
      </c>
      <c r="BB231" s="107">
        <f>_xlfn.IFNA($M231/VLOOKUP($BV231,'Unit information'!$A$2:$K$29,10,FALSE)*Z231,0)*(1+$E$9)</f>
        <v>0</v>
      </c>
      <c r="BC231" s="108">
        <f>_xlfn.IFNA($M231/VLOOKUP($BV231,'Unit information'!$A$2:$K$29,11,FALSE)*AA231,0)*(1+$E$9)</f>
        <v>0</v>
      </c>
      <c r="BD231" s="106">
        <f t="shared" si="294"/>
        <v>0</v>
      </c>
      <c r="BE231" s="107">
        <f t="shared" si="295"/>
        <v>0</v>
      </c>
      <c r="BF231" s="108">
        <f t="shared" si="296"/>
        <v>0</v>
      </c>
      <c r="BG231" s="25" t="e">
        <f t="shared" si="297"/>
        <v>#N/A</v>
      </c>
      <c r="BH231" s="25" t="e">
        <f t="shared" si="298"/>
        <v>#N/A</v>
      </c>
      <c r="BI231" s="25" t="e">
        <f t="shared" si="299"/>
        <v>#N/A</v>
      </c>
      <c r="BJ231" s="27" t="e">
        <f t="shared" si="300"/>
        <v>#N/A</v>
      </c>
      <c r="BK231" s="18" t="e">
        <f t="shared" si="301"/>
        <v>#N/A</v>
      </c>
      <c r="BL231" s="18" t="e">
        <f t="shared" si="302"/>
        <v>#N/A</v>
      </c>
      <c r="BM231" s="28" t="e">
        <f t="shared" si="347"/>
        <v>#N/A</v>
      </c>
      <c r="BN231" s="33">
        <f>HLOOKUP("maximum population",Miscelaneous!$C$1:$C$33,CH231+3,FALSE)</f>
        <v>240</v>
      </c>
      <c r="BO231" s="14">
        <f t="shared" si="313"/>
        <v>32</v>
      </c>
      <c r="BP231" s="14">
        <f t="shared" si="314"/>
        <v>0</v>
      </c>
      <c r="BQ231" s="14">
        <f t="shared" si="315"/>
        <v>208</v>
      </c>
      <c r="BR231" s="34" t="e">
        <f>HLOOKUP(J231,Villagers!$B$1:$V$33,L231+3,FALSE)-HLOOKUP(J231,Villagers!$B$1:$V$33,L231+2,FALSE)</f>
        <v>#N/A</v>
      </c>
      <c r="BS231" s="49">
        <f t="shared" si="316"/>
        <v>1</v>
      </c>
      <c r="BT231" s="50">
        <f t="shared" si="317"/>
        <v>0</v>
      </c>
      <c r="BU231" s="50">
        <f t="shared" si="318"/>
        <v>0</v>
      </c>
      <c r="BV231" s="50">
        <f t="shared" si="319"/>
        <v>0</v>
      </c>
      <c r="BW231" s="50">
        <f t="shared" ref="BW231:BW255" si="363">IF($J230=BW$14,$L230,BW230)</f>
        <v>0</v>
      </c>
      <c r="BX231" s="50">
        <f t="shared" ref="BX231:BY255" si="364">IF($J230=BX$14,$L230,BX230)</f>
        <v>0</v>
      </c>
      <c r="BY231" s="50">
        <f t="shared" si="364"/>
        <v>0</v>
      </c>
      <c r="BZ231" s="50">
        <f t="shared" si="350"/>
        <v>0</v>
      </c>
      <c r="CA231" s="50">
        <f t="shared" si="351"/>
        <v>0</v>
      </c>
      <c r="CB231" s="50">
        <f t="shared" si="352"/>
        <v>1</v>
      </c>
      <c r="CC231" s="50">
        <f t="shared" si="353"/>
        <v>0</v>
      </c>
      <c r="CD231" s="50">
        <f t="shared" si="354"/>
        <v>0</v>
      </c>
      <c r="CE231" s="50">
        <f t="shared" si="355"/>
        <v>1</v>
      </c>
      <c r="CF231" s="50">
        <f t="shared" si="356"/>
        <v>1</v>
      </c>
      <c r="CG231" s="50">
        <f t="shared" si="357"/>
        <v>1</v>
      </c>
      <c r="CH231" s="50">
        <f t="shared" si="358"/>
        <v>1</v>
      </c>
      <c r="CI231" s="50">
        <f t="shared" si="359"/>
        <v>1</v>
      </c>
      <c r="CJ231" s="50">
        <f t="shared" si="360"/>
        <v>1</v>
      </c>
      <c r="CK231" s="50">
        <f t="shared" si="360"/>
        <v>0</v>
      </c>
      <c r="CL231" s="50">
        <f t="shared" si="360"/>
        <v>0</v>
      </c>
      <c r="CM231" s="51">
        <f t="shared" si="274"/>
        <v>0</v>
      </c>
      <c r="CN231" s="33">
        <f>ROUND(IF(BS231=0,0,HLOOKUP(BS$14,Villagers!$B$1:$V$33,BS231+3,FALSE)),)</f>
        <v>5</v>
      </c>
      <c r="CO231" s="14">
        <f>ROUND(IF(BT231=0,0,HLOOKUP(BT$14,Villagers!$B$1:$V$33,BT231+3,FALSE)),)</f>
        <v>0</v>
      </c>
      <c r="CP231" s="14">
        <f>ROUND(IF(BU231=0,0,HLOOKUP(BU$14,Villagers!$B$1:$V$33,BU231+3,FALSE)),)</f>
        <v>0</v>
      </c>
      <c r="CQ231" s="14">
        <f>ROUND(IF(BV231=0,0,HLOOKUP(BV$14,Villagers!$B$1:$V$33,BV231+3,FALSE)),)</f>
        <v>0</v>
      </c>
      <c r="CR231" s="14">
        <f>ROUND(IF(BW231=0,0,HLOOKUP(BW$14,Villagers!$B$1:$V$33,BW231+3,FALSE)),)</f>
        <v>0</v>
      </c>
      <c r="CS231" s="14">
        <f>ROUND(IF(BX231=0,0,HLOOKUP(BX$14,Villagers!$B$1:$V$33,BX231+3,FALSE)),)</f>
        <v>0</v>
      </c>
      <c r="CT231" s="14">
        <f>ROUND(IF(BY231=0,0,HLOOKUP(BY$14,Villagers!$B$1:$V$33,BY231+3,FALSE)),)</f>
        <v>0</v>
      </c>
      <c r="CU231" s="14">
        <f>ROUND(IF(BZ231=0,0,HLOOKUP(BZ$14,Villagers!$B$1:$V$33,BZ231+3,FALSE)),)</f>
        <v>0</v>
      </c>
      <c r="CV231" s="14">
        <f>ROUND(IF(CA231=0,0,HLOOKUP(CA$14,Villagers!$B$1:$V$33,CA231+3,FALSE)),)</f>
        <v>0</v>
      </c>
      <c r="CW231" s="14">
        <f>ROUND(IF(CB231=0,0,HLOOKUP(CB$14,Villagers!$B$1:$V$33,CB231+3,FALSE)),)</f>
        <v>0</v>
      </c>
      <c r="CX231" s="14">
        <f>ROUND(IF(CC231=0,0,HLOOKUP(CC$14,Villagers!$B$1:$V$33,CC231+3,FALSE)),)</f>
        <v>0</v>
      </c>
      <c r="CY231" s="14">
        <f>ROUND(IF(CD231=0,0,HLOOKUP(CD$14,Villagers!$B$1:$V$33,CD231+3,FALSE)),)</f>
        <v>0</v>
      </c>
      <c r="CZ231" s="14">
        <f>ROUND(IF(CE231=0,0,HLOOKUP(CE$14,Villagers!$B$1:$V$33,CE231+3,FALSE)),)</f>
        <v>5</v>
      </c>
      <c r="DA231" s="14">
        <f>ROUND(IF(CF231=0,0,HLOOKUP(CF$14,Villagers!$B$1:$V$33,CF231+3,FALSE)),)</f>
        <v>10</v>
      </c>
      <c r="DB231" s="14">
        <f>ROUND(IF(CG231=0,0,HLOOKUP(CG$14,Villagers!$B$1:$V$33,CG231+3,FALSE)),)</f>
        <v>10</v>
      </c>
      <c r="DC231" s="14">
        <f>ROUND(IF(CH231=0,0,HLOOKUP(CH$14,Villagers!$B$1:$V$33,CH231+3,FALSE)),)</f>
        <v>0</v>
      </c>
      <c r="DD231" s="14">
        <f>ROUND(IF(CI231=0,0,HLOOKUP(CI$14,Villagers!$B$1:$V$33,CI231+3,FALSE)),)</f>
        <v>0</v>
      </c>
      <c r="DE231" s="14">
        <f>ROUND(IF(CJ231=0,0,HLOOKUP(CJ$14,Villagers!$B$1:$V$33,CJ231+3,FALSE)),)</f>
        <v>2</v>
      </c>
      <c r="DF231" s="370">
        <f>ROUND(IF(CK231=0,0,HLOOKUP(CK$14,Villagers!$B$1:$V$33,CK231+3,FALSE)),)</f>
        <v>0</v>
      </c>
      <c r="DG231" s="370">
        <f>ROUND(IF(CL231=0,0,HLOOKUP(CL$14,Villagers!$B$1:$V$33,CL231+3,FALSE)),)</f>
        <v>0</v>
      </c>
      <c r="DH231" s="34">
        <f>ROUND(IF(CM231=0,0,HLOOKUP(CM$14,Villagers!$B$1:$V$33,CM231+3,FALSE)),)</f>
        <v>0</v>
      </c>
      <c r="DI231" s="109">
        <f t="shared" si="336"/>
        <v>0</v>
      </c>
      <c r="DJ231" s="50">
        <f t="shared" si="337"/>
        <v>0</v>
      </c>
      <c r="DK231" s="50">
        <f t="shared" si="338"/>
        <v>0</v>
      </c>
      <c r="DL231" s="50">
        <f t="shared" si="339"/>
        <v>0</v>
      </c>
      <c r="DM231" s="50">
        <f t="shared" si="340"/>
        <v>0</v>
      </c>
      <c r="DN231" s="50">
        <f t="shared" si="341"/>
        <v>0</v>
      </c>
      <c r="DO231" s="50">
        <f t="shared" si="342"/>
        <v>0</v>
      </c>
      <c r="DP231" s="50">
        <f t="shared" si="343"/>
        <v>0</v>
      </c>
      <c r="DQ231" s="50">
        <f t="shared" si="321"/>
        <v>0</v>
      </c>
      <c r="DR231" s="50">
        <f t="shared" si="322"/>
        <v>0</v>
      </c>
      <c r="DS231" s="96">
        <f>Miscelaneous!$D$4*Miscelaneous!$D$2^($CI231-1)</f>
        <v>1000</v>
      </c>
      <c r="DT231" s="333">
        <f t="shared" si="303"/>
        <v>1</v>
      </c>
      <c r="DU231" s="81">
        <v>1</v>
      </c>
      <c r="DV231" s="79">
        <f t="shared" si="323"/>
        <v>0</v>
      </c>
      <c r="DW231" s="79">
        <f t="shared" si="324"/>
        <v>0</v>
      </c>
      <c r="DX231" s="79">
        <f t="shared" si="325"/>
        <v>0</v>
      </c>
      <c r="DY231" s="79">
        <v>1</v>
      </c>
      <c r="DZ231" s="79">
        <f t="shared" si="326"/>
        <v>0</v>
      </c>
      <c r="EA231" s="79">
        <f t="shared" si="327"/>
        <v>0</v>
      </c>
      <c r="EB231" s="79">
        <f t="shared" si="328"/>
        <v>0</v>
      </c>
      <c r="EC231" s="79">
        <f t="shared" si="329"/>
        <v>0</v>
      </c>
      <c r="ED231" s="79">
        <v>1</v>
      </c>
      <c r="EE231" s="79">
        <v>1</v>
      </c>
      <c r="EF231" s="79">
        <f t="shared" si="330"/>
        <v>0</v>
      </c>
      <c r="EG231" s="79">
        <v>1</v>
      </c>
      <c r="EH231" s="79">
        <v>1</v>
      </c>
      <c r="EI231" s="79">
        <v>1</v>
      </c>
      <c r="EJ231" s="79">
        <v>1</v>
      </c>
      <c r="EK231" s="79">
        <v>1</v>
      </c>
      <c r="EL231" s="79">
        <v>1</v>
      </c>
      <c r="EM231" s="143">
        <f t="shared" si="331"/>
        <v>0</v>
      </c>
      <c r="EN231" s="143">
        <f t="shared" si="332"/>
        <v>0</v>
      </c>
      <c r="EO231" s="82">
        <f t="shared" si="333"/>
        <v>0</v>
      </c>
    </row>
    <row r="232" spans="1:145" x14ac:dyDescent="0.25">
      <c r="A232">
        <v>218</v>
      </c>
      <c r="B232" s="172" t="e">
        <f t="shared" si="304"/>
        <v>#N/A</v>
      </c>
      <c r="C232" s="121" t="e">
        <f t="shared" si="283"/>
        <v>#N/A</v>
      </c>
      <c r="D232" s="122" t="e">
        <f t="shared" si="284"/>
        <v>#N/A</v>
      </c>
      <c r="E232" s="122" t="e">
        <f t="shared" si="285"/>
        <v>#N/A</v>
      </c>
      <c r="F232" s="176" t="e">
        <f t="shared" si="286"/>
        <v>#N/A</v>
      </c>
      <c r="G232" s="121">
        <f t="shared" si="305"/>
        <v>208</v>
      </c>
      <c r="H232" s="176" t="e">
        <f t="shared" si="306"/>
        <v>#N/A</v>
      </c>
      <c r="I232" s="48">
        <v>1</v>
      </c>
      <c r="J232" s="39"/>
      <c r="K232" s="350">
        <v>1</v>
      </c>
      <c r="L232" s="34" t="e">
        <f t="shared" si="287"/>
        <v>#N/A</v>
      </c>
      <c r="M232" s="38" t="e">
        <f>(HLOOKUP(J232,'Construction Times'!$B$3:$W$34,L232+2,FALSE)*HLOOKUP("hq modifier",'Construction Times'!$W$3:$W$34,BS232+2,FALSE))*(1-$H$9)</f>
        <v>#N/A</v>
      </c>
      <c r="N232" s="443" t="e">
        <f t="shared" si="307"/>
        <v>#N/A</v>
      </c>
      <c r="O232" s="444"/>
      <c r="P232" s="447" t="e">
        <f t="shared" si="308"/>
        <v>#N/A</v>
      </c>
      <c r="Q232" s="448"/>
      <c r="R232" s="103">
        <f t="shared" si="334"/>
        <v>0</v>
      </c>
      <c r="S232" s="104">
        <f t="shared" si="334"/>
        <v>0</v>
      </c>
      <c r="T232" s="104">
        <f t="shared" si="335"/>
        <v>0</v>
      </c>
      <c r="U232" s="104">
        <f t="shared" si="335"/>
        <v>0</v>
      </c>
      <c r="V232" s="104">
        <f t="shared" si="335"/>
        <v>9.9999999999999995E-8</v>
      </c>
      <c r="W232" s="104">
        <f t="shared" si="335"/>
        <v>0</v>
      </c>
      <c r="X232" s="104">
        <f t="shared" si="273"/>
        <v>0</v>
      </c>
      <c r="Y232" s="104">
        <f t="shared" si="273"/>
        <v>9.9999999999999995E-8</v>
      </c>
      <c r="Z232" s="104">
        <f t="shared" si="273"/>
        <v>9.9999999999999995E-8</v>
      </c>
      <c r="AA232" s="105">
        <f t="shared" si="273"/>
        <v>9.9999999999999995E-8</v>
      </c>
      <c r="AB232" s="101" t="e">
        <f>$DT232*HLOOKUP($J232,'Construction Costs (timber)'!$B$1:$V$32,'Construction Planner'!$L232+2,FALSE)</f>
        <v>#N/A</v>
      </c>
      <c r="AC232" s="14" t="e">
        <f>$DT232*HLOOKUP($J232,'Construction Costs (clay)'!$B$1:$V$32,'Construction Planner'!$L232+2,FALSE)</f>
        <v>#N/A</v>
      </c>
      <c r="AD232" s="14" t="e">
        <f>$DT232*HLOOKUP($J232,'Construction Costs (iron)'!$B$1:$V$32,'Construction Planner'!$L232+2,FALSE)</f>
        <v>#N/A</v>
      </c>
      <c r="AE232" s="34" t="e">
        <f t="shared" si="344"/>
        <v>#N/A</v>
      </c>
      <c r="AF232" s="33" t="e">
        <f t="shared" si="288"/>
        <v>#N/A</v>
      </c>
      <c r="AG232" s="14" t="e">
        <f t="shared" si="289"/>
        <v>#N/A</v>
      </c>
      <c r="AH232" s="14" t="e">
        <f t="shared" si="290"/>
        <v>#N/A</v>
      </c>
      <c r="AI232" s="34" t="e">
        <f t="shared" si="345"/>
        <v>#N/A</v>
      </c>
      <c r="AJ232" s="49" t="e">
        <f t="shared" si="309"/>
        <v>#N/A</v>
      </c>
      <c r="AK232" s="49" t="e">
        <f t="shared" si="310"/>
        <v>#N/A</v>
      </c>
      <c r="AL232" s="49" t="e">
        <f t="shared" si="311"/>
        <v>#N/A</v>
      </c>
      <c r="AM232" s="25">
        <f t="shared" si="291"/>
        <v>30</v>
      </c>
      <c r="AN232" s="25">
        <f t="shared" si="292"/>
        <v>30</v>
      </c>
      <c r="AO232" s="25">
        <f t="shared" si="293"/>
        <v>30</v>
      </c>
      <c r="AP232" s="52" t="e">
        <f t="shared" si="312"/>
        <v>#N/A</v>
      </c>
      <c r="AQ232" s="53" t="e">
        <f t="shared" si="312"/>
        <v>#N/A</v>
      </c>
      <c r="AR232" s="54" t="e">
        <f t="shared" si="312"/>
        <v>#N/A</v>
      </c>
      <c r="AS232" s="316">
        <f t="shared" si="362"/>
        <v>0</v>
      </c>
      <c r="AT232" s="106">
        <f>_xlfn.IFNA($M232/VLOOKUP($BT232,'Unit information'!$A$2:$K$29,2,FALSE)*R232,0)*(1+$E$9)</f>
        <v>0</v>
      </c>
      <c r="AU232" s="107">
        <f>_xlfn.IFNA($M232/VLOOKUP($BT232,'Unit information'!$A$2:$K$29,3,FALSE)*S232,0)*(1+$E$9)</f>
        <v>0</v>
      </c>
      <c r="AV232" s="107">
        <f>_xlfn.IFNA($M232/VLOOKUP($BT232,'Unit information'!$A$2:$K$29,4,FALSE)*T232,0)*(1+$E$9)</f>
        <v>0</v>
      </c>
      <c r="AW232" s="107">
        <f>_xlfn.IFNA($M232/VLOOKUP($BT232,'Unit information'!$A$2:$K$29,5,FALSE)*U232,0)*(1+$E$9)</f>
        <v>0</v>
      </c>
      <c r="AX232" s="107">
        <f>_xlfn.IFNA($M232/VLOOKUP($BU232,'Unit information'!$A$2:$K$29,6,FALSE)*V232,0)*(1+$E$9)</f>
        <v>0</v>
      </c>
      <c r="AY232" s="107">
        <f>_xlfn.IFNA($M232/VLOOKUP($BU232,'Unit information'!$A$2:$K$29,7,FALSE)*W232,0)*(1+$E$9)</f>
        <v>0</v>
      </c>
      <c r="AZ232" s="107">
        <f>_xlfn.IFNA($M232/VLOOKUP($BU232,'Unit information'!$A$2:$K$29,8,FALSE)*X232,0)*(1+$E$9)</f>
        <v>0</v>
      </c>
      <c r="BA232" s="107">
        <f>_xlfn.IFNA($M232/VLOOKUP($BU232,'Unit information'!$A$2:$K$29,9,FALSE)*Y232,0)*(1+$E$9)</f>
        <v>0</v>
      </c>
      <c r="BB232" s="107">
        <f>_xlfn.IFNA($M232/VLOOKUP($BV232,'Unit information'!$A$2:$K$29,10,FALSE)*Z232,0)*(1+$E$9)</f>
        <v>0</v>
      </c>
      <c r="BC232" s="108">
        <f>_xlfn.IFNA($M232/VLOOKUP($BV232,'Unit information'!$A$2:$K$29,11,FALSE)*AA232,0)*(1+$E$9)</f>
        <v>0</v>
      </c>
      <c r="BD232" s="106">
        <f t="shared" si="294"/>
        <v>0</v>
      </c>
      <c r="BE232" s="107">
        <f t="shared" si="295"/>
        <v>0</v>
      </c>
      <c r="BF232" s="108">
        <f t="shared" si="296"/>
        <v>0</v>
      </c>
      <c r="BG232" s="25" t="e">
        <f t="shared" si="297"/>
        <v>#N/A</v>
      </c>
      <c r="BH232" s="25" t="e">
        <f t="shared" si="298"/>
        <v>#N/A</v>
      </c>
      <c r="BI232" s="25" t="e">
        <f t="shared" si="299"/>
        <v>#N/A</v>
      </c>
      <c r="BJ232" s="27" t="e">
        <f t="shared" si="300"/>
        <v>#N/A</v>
      </c>
      <c r="BK232" s="18" t="e">
        <f t="shared" si="301"/>
        <v>#N/A</v>
      </c>
      <c r="BL232" s="18" t="e">
        <f t="shared" si="302"/>
        <v>#N/A</v>
      </c>
      <c r="BM232" s="28" t="e">
        <f t="shared" si="347"/>
        <v>#N/A</v>
      </c>
      <c r="BN232" s="33">
        <f>HLOOKUP("maximum population",Miscelaneous!$C$1:$C$33,CH232+3,FALSE)</f>
        <v>240</v>
      </c>
      <c r="BO232" s="14">
        <f t="shared" si="313"/>
        <v>32</v>
      </c>
      <c r="BP232" s="14">
        <f t="shared" si="314"/>
        <v>0</v>
      </c>
      <c r="BQ232" s="14">
        <f t="shared" si="315"/>
        <v>208</v>
      </c>
      <c r="BR232" s="34" t="e">
        <f>HLOOKUP(J232,Villagers!$B$1:$V$33,L232+3,FALSE)-HLOOKUP(J232,Villagers!$B$1:$V$33,L232+2,FALSE)</f>
        <v>#N/A</v>
      </c>
      <c r="BS232" s="49">
        <f t="shared" si="316"/>
        <v>1</v>
      </c>
      <c r="BT232" s="50">
        <f t="shared" si="317"/>
        <v>0</v>
      </c>
      <c r="BU232" s="50">
        <f t="shared" si="318"/>
        <v>0</v>
      </c>
      <c r="BV232" s="50">
        <f t="shared" si="319"/>
        <v>0</v>
      </c>
      <c r="BW232" s="50">
        <f t="shared" si="363"/>
        <v>0</v>
      </c>
      <c r="BX232" s="50">
        <f t="shared" si="364"/>
        <v>0</v>
      </c>
      <c r="BY232" s="50">
        <f t="shared" si="364"/>
        <v>0</v>
      </c>
      <c r="BZ232" s="50">
        <f t="shared" si="350"/>
        <v>0</v>
      </c>
      <c r="CA232" s="50">
        <f t="shared" si="351"/>
        <v>0</v>
      </c>
      <c r="CB232" s="50">
        <f t="shared" si="352"/>
        <v>1</v>
      </c>
      <c r="CC232" s="50">
        <f t="shared" si="353"/>
        <v>0</v>
      </c>
      <c r="CD232" s="50">
        <f t="shared" si="354"/>
        <v>0</v>
      </c>
      <c r="CE232" s="50">
        <f t="shared" si="355"/>
        <v>1</v>
      </c>
      <c r="CF232" s="50">
        <f t="shared" si="356"/>
        <v>1</v>
      </c>
      <c r="CG232" s="50">
        <f t="shared" si="357"/>
        <v>1</v>
      </c>
      <c r="CH232" s="50">
        <f t="shared" si="358"/>
        <v>1</v>
      </c>
      <c r="CI232" s="50">
        <f t="shared" si="359"/>
        <v>1</v>
      </c>
      <c r="CJ232" s="50">
        <f t="shared" si="360"/>
        <v>1</v>
      </c>
      <c r="CK232" s="50">
        <f t="shared" si="360"/>
        <v>0</v>
      </c>
      <c r="CL232" s="50">
        <f t="shared" si="360"/>
        <v>0</v>
      </c>
      <c r="CM232" s="51">
        <f t="shared" si="274"/>
        <v>0</v>
      </c>
      <c r="CN232" s="33">
        <f>ROUND(IF(BS232=0,0,HLOOKUP(BS$14,Villagers!$B$1:$V$33,BS232+3,FALSE)),)</f>
        <v>5</v>
      </c>
      <c r="CO232" s="14">
        <f>ROUND(IF(BT232=0,0,HLOOKUP(BT$14,Villagers!$B$1:$V$33,BT232+3,FALSE)),)</f>
        <v>0</v>
      </c>
      <c r="CP232" s="14">
        <f>ROUND(IF(BU232=0,0,HLOOKUP(BU$14,Villagers!$B$1:$V$33,BU232+3,FALSE)),)</f>
        <v>0</v>
      </c>
      <c r="CQ232" s="14">
        <f>ROUND(IF(BV232=0,0,HLOOKUP(BV$14,Villagers!$B$1:$V$33,BV232+3,FALSE)),)</f>
        <v>0</v>
      </c>
      <c r="CR232" s="14">
        <f>ROUND(IF(BW232=0,0,HLOOKUP(BW$14,Villagers!$B$1:$V$33,BW232+3,FALSE)),)</f>
        <v>0</v>
      </c>
      <c r="CS232" s="14">
        <f>ROUND(IF(BX232=0,0,HLOOKUP(BX$14,Villagers!$B$1:$V$33,BX232+3,FALSE)),)</f>
        <v>0</v>
      </c>
      <c r="CT232" s="14">
        <f>ROUND(IF(BY232=0,0,HLOOKUP(BY$14,Villagers!$B$1:$V$33,BY232+3,FALSE)),)</f>
        <v>0</v>
      </c>
      <c r="CU232" s="14">
        <f>ROUND(IF(BZ232=0,0,HLOOKUP(BZ$14,Villagers!$B$1:$V$33,BZ232+3,FALSE)),)</f>
        <v>0</v>
      </c>
      <c r="CV232" s="14">
        <f>ROUND(IF(CA232=0,0,HLOOKUP(CA$14,Villagers!$B$1:$V$33,CA232+3,FALSE)),)</f>
        <v>0</v>
      </c>
      <c r="CW232" s="14">
        <f>ROUND(IF(CB232=0,0,HLOOKUP(CB$14,Villagers!$B$1:$V$33,CB232+3,FALSE)),)</f>
        <v>0</v>
      </c>
      <c r="CX232" s="14">
        <f>ROUND(IF(CC232=0,0,HLOOKUP(CC$14,Villagers!$B$1:$V$33,CC232+3,FALSE)),)</f>
        <v>0</v>
      </c>
      <c r="CY232" s="14">
        <f>ROUND(IF(CD232=0,0,HLOOKUP(CD$14,Villagers!$B$1:$V$33,CD232+3,FALSE)),)</f>
        <v>0</v>
      </c>
      <c r="CZ232" s="14">
        <f>ROUND(IF(CE232=0,0,HLOOKUP(CE$14,Villagers!$B$1:$V$33,CE232+3,FALSE)),)</f>
        <v>5</v>
      </c>
      <c r="DA232" s="14">
        <f>ROUND(IF(CF232=0,0,HLOOKUP(CF$14,Villagers!$B$1:$V$33,CF232+3,FALSE)),)</f>
        <v>10</v>
      </c>
      <c r="DB232" s="14">
        <f>ROUND(IF(CG232=0,0,HLOOKUP(CG$14,Villagers!$B$1:$V$33,CG232+3,FALSE)),)</f>
        <v>10</v>
      </c>
      <c r="DC232" s="14">
        <f>ROUND(IF(CH232=0,0,HLOOKUP(CH$14,Villagers!$B$1:$V$33,CH232+3,FALSE)),)</f>
        <v>0</v>
      </c>
      <c r="DD232" s="14">
        <f>ROUND(IF(CI232=0,0,HLOOKUP(CI$14,Villagers!$B$1:$V$33,CI232+3,FALSE)),)</f>
        <v>0</v>
      </c>
      <c r="DE232" s="14">
        <f>ROUND(IF(CJ232=0,0,HLOOKUP(CJ$14,Villagers!$B$1:$V$33,CJ232+3,FALSE)),)</f>
        <v>2</v>
      </c>
      <c r="DF232" s="370">
        <f>ROUND(IF(CK232=0,0,HLOOKUP(CK$14,Villagers!$B$1:$V$33,CK232+3,FALSE)),)</f>
        <v>0</v>
      </c>
      <c r="DG232" s="370">
        <f>ROUND(IF(CL232=0,0,HLOOKUP(CL$14,Villagers!$B$1:$V$33,CL232+3,FALSE)),)</f>
        <v>0</v>
      </c>
      <c r="DH232" s="34">
        <f>ROUND(IF(CM232=0,0,HLOOKUP(CM$14,Villagers!$B$1:$V$33,CM232+3,FALSE)),)</f>
        <v>0</v>
      </c>
      <c r="DI232" s="109">
        <f t="shared" si="336"/>
        <v>0</v>
      </c>
      <c r="DJ232" s="50">
        <f t="shared" si="337"/>
        <v>0</v>
      </c>
      <c r="DK232" s="50">
        <f t="shared" si="338"/>
        <v>0</v>
      </c>
      <c r="DL232" s="50">
        <f t="shared" si="339"/>
        <v>0</v>
      </c>
      <c r="DM232" s="50">
        <f t="shared" si="340"/>
        <v>0</v>
      </c>
      <c r="DN232" s="50">
        <f t="shared" si="341"/>
        <v>0</v>
      </c>
      <c r="DO232" s="50">
        <f t="shared" si="342"/>
        <v>0</v>
      </c>
      <c r="DP232" s="50">
        <f t="shared" si="343"/>
        <v>0</v>
      </c>
      <c r="DQ232" s="50">
        <f t="shared" si="321"/>
        <v>0</v>
      </c>
      <c r="DR232" s="50">
        <f t="shared" si="322"/>
        <v>0</v>
      </c>
      <c r="DS232" s="96">
        <f>Miscelaneous!$D$4*Miscelaneous!$D$2^($CI232-1)</f>
        <v>1000</v>
      </c>
      <c r="DT232" s="333">
        <f t="shared" si="303"/>
        <v>1</v>
      </c>
      <c r="DU232" s="81">
        <v>1</v>
      </c>
      <c r="DV232" s="79">
        <f t="shared" si="323"/>
        <v>0</v>
      </c>
      <c r="DW232" s="79">
        <f t="shared" si="324"/>
        <v>0</v>
      </c>
      <c r="DX232" s="79">
        <f t="shared" si="325"/>
        <v>0</v>
      </c>
      <c r="DY232" s="79">
        <v>1</v>
      </c>
      <c r="DZ232" s="79">
        <f t="shared" si="326"/>
        <v>0</v>
      </c>
      <c r="EA232" s="79">
        <f t="shared" si="327"/>
        <v>0</v>
      </c>
      <c r="EB232" s="79">
        <f t="shared" si="328"/>
        <v>0</v>
      </c>
      <c r="EC232" s="79">
        <f t="shared" si="329"/>
        <v>0</v>
      </c>
      <c r="ED232" s="79">
        <v>1</v>
      </c>
      <c r="EE232" s="79">
        <v>1</v>
      </c>
      <c r="EF232" s="79">
        <f t="shared" si="330"/>
        <v>0</v>
      </c>
      <c r="EG232" s="79">
        <v>1</v>
      </c>
      <c r="EH232" s="79">
        <v>1</v>
      </c>
      <c r="EI232" s="79">
        <v>1</v>
      </c>
      <c r="EJ232" s="79">
        <v>1</v>
      </c>
      <c r="EK232" s="79">
        <v>1</v>
      </c>
      <c r="EL232" s="79">
        <v>1</v>
      </c>
      <c r="EM232" s="143">
        <f t="shared" si="331"/>
        <v>0</v>
      </c>
      <c r="EN232" s="143">
        <f t="shared" si="332"/>
        <v>0</v>
      </c>
      <c r="EO232" s="82">
        <f t="shared" si="333"/>
        <v>0</v>
      </c>
    </row>
    <row r="233" spans="1:145" x14ac:dyDescent="0.25">
      <c r="A233">
        <v>219</v>
      </c>
      <c r="B233" s="172" t="e">
        <f t="shared" si="304"/>
        <v>#N/A</v>
      </c>
      <c r="C233" s="121" t="e">
        <f t="shared" si="283"/>
        <v>#N/A</v>
      </c>
      <c r="D233" s="122" t="e">
        <f t="shared" si="284"/>
        <v>#N/A</v>
      </c>
      <c r="E233" s="122" t="e">
        <f t="shared" si="285"/>
        <v>#N/A</v>
      </c>
      <c r="F233" s="176" t="e">
        <f t="shared" si="286"/>
        <v>#N/A</v>
      </c>
      <c r="G233" s="121">
        <f t="shared" si="305"/>
        <v>208</v>
      </c>
      <c r="H233" s="176" t="e">
        <f t="shared" si="306"/>
        <v>#N/A</v>
      </c>
      <c r="I233" s="48">
        <v>1</v>
      </c>
      <c r="J233" s="39"/>
      <c r="K233" s="350">
        <v>1</v>
      </c>
      <c r="L233" s="34" t="e">
        <f t="shared" si="287"/>
        <v>#N/A</v>
      </c>
      <c r="M233" s="38" t="e">
        <f>(HLOOKUP(J233,'Construction Times'!$B$3:$W$34,L233+2,FALSE)*HLOOKUP("hq modifier",'Construction Times'!$W$3:$W$34,BS233+2,FALSE))*(1-$H$9)</f>
        <v>#N/A</v>
      </c>
      <c r="N233" s="443" t="e">
        <f t="shared" si="307"/>
        <v>#N/A</v>
      </c>
      <c r="O233" s="444"/>
      <c r="P233" s="447" t="e">
        <f t="shared" si="308"/>
        <v>#N/A</v>
      </c>
      <c r="Q233" s="448"/>
      <c r="R233" s="103">
        <f t="shared" si="334"/>
        <v>0</v>
      </c>
      <c r="S233" s="104">
        <f t="shared" si="334"/>
        <v>0</v>
      </c>
      <c r="T233" s="104">
        <f t="shared" si="335"/>
        <v>0</v>
      </c>
      <c r="U233" s="104">
        <f t="shared" si="335"/>
        <v>0</v>
      </c>
      <c r="V233" s="104">
        <f t="shared" si="335"/>
        <v>9.9999999999999995E-8</v>
      </c>
      <c r="W233" s="104">
        <f t="shared" si="335"/>
        <v>0</v>
      </c>
      <c r="X233" s="104">
        <f t="shared" si="273"/>
        <v>0</v>
      </c>
      <c r="Y233" s="104">
        <f t="shared" si="273"/>
        <v>9.9999999999999995E-8</v>
      </c>
      <c r="Z233" s="104">
        <f t="shared" si="273"/>
        <v>9.9999999999999995E-8</v>
      </c>
      <c r="AA233" s="105">
        <f t="shared" si="273"/>
        <v>9.9999999999999995E-8</v>
      </c>
      <c r="AB233" s="101" t="e">
        <f>$DT233*HLOOKUP($J233,'Construction Costs (timber)'!$B$1:$V$32,'Construction Planner'!$L233+2,FALSE)</f>
        <v>#N/A</v>
      </c>
      <c r="AC233" s="14" t="e">
        <f>$DT233*HLOOKUP($J233,'Construction Costs (clay)'!$B$1:$V$32,'Construction Planner'!$L233+2,FALSE)</f>
        <v>#N/A</v>
      </c>
      <c r="AD233" s="14" t="e">
        <f>$DT233*HLOOKUP($J233,'Construction Costs (iron)'!$B$1:$V$32,'Construction Planner'!$L233+2,FALSE)</f>
        <v>#N/A</v>
      </c>
      <c r="AE233" s="34" t="e">
        <f t="shared" si="344"/>
        <v>#N/A</v>
      </c>
      <c r="AF233" s="33" t="e">
        <f t="shared" si="288"/>
        <v>#N/A</v>
      </c>
      <c r="AG233" s="14" t="e">
        <f t="shared" si="289"/>
        <v>#N/A</v>
      </c>
      <c r="AH233" s="14" t="e">
        <f t="shared" si="290"/>
        <v>#N/A</v>
      </c>
      <c r="AI233" s="34" t="e">
        <f t="shared" si="345"/>
        <v>#N/A</v>
      </c>
      <c r="AJ233" s="49" t="e">
        <f t="shared" si="309"/>
        <v>#N/A</v>
      </c>
      <c r="AK233" s="49" t="e">
        <f t="shared" si="310"/>
        <v>#N/A</v>
      </c>
      <c r="AL233" s="49" t="e">
        <f t="shared" si="311"/>
        <v>#N/A</v>
      </c>
      <c r="AM233" s="25">
        <f t="shared" si="291"/>
        <v>30</v>
      </c>
      <c r="AN233" s="25">
        <f t="shared" si="292"/>
        <v>30</v>
      </c>
      <c r="AO233" s="25">
        <f t="shared" si="293"/>
        <v>30</v>
      </c>
      <c r="AP233" s="52" t="e">
        <f t="shared" si="312"/>
        <v>#N/A</v>
      </c>
      <c r="AQ233" s="53" t="e">
        <f t="shared" si="312"/>
        <v>#N/A</v>
      </c>
      <c r="AR233" s="54" t="e">
        <f t="shared" si="312"/>
        <v>#N/A</v>
      </c>
      <c r="AS233" s="316">
        <f t="shared" si="362"/>
        <v>0</v>
      </c>
      <c r="AT233" s="106">
        <f>_xlfn.IFNA($M233/VLOOKUP($BT233,'Unit information'!$A$2:$K$29,2,FALSE)*R233,0)*(1+$E$9)</f>
        <v>0</v>
      </c>
      <c r="AU233" s="107">
        <f>_xlfn.IFNA($M233/VLOOKUP($BT233,'Unit information'!$A$2:$K$29,3,FALSE)*S233,0)*(1+$E$9)</f>
        <v>0</v>
      </c>
      <c r="AV233" s="107">
        <f>_xlfn.IFNA($M233/VLOOKUP($BT233,'Unit information'!$A$2:$K$29,4,FALSE)*T233,0)*(1+$E$9)</f>
        <v>0</v>
      </c>
      <c r="AW233" s="107">
        <f>_xlfn.IFNA($M233/VLOOKUP($BT233,'Unit information'!$A$2:$K$29,5,FALSE)*U233,0)*(1+$E$9)</f>
        <v>0</v>
      </c>
      <c r="AX233" s="107">
        <f>_xlfn.IFNA($M233/VLOOKUP($BU233,'Unit information'!$A$2:$K$29,6,FALSE)*V233,0)*(1+$E$9)</f>
        <v>0</v>
      </c>
      <c r="AY233" s="107">
        <f>_xlfn.IFNA($M233/VLOOKUP($BU233,'Unit information'!$A$2:$K$29,7,FALSE)*W233,0)*(1+$E$9)</f>
        <v>0</v>
      </c>
      <c r="AZ233" s="107">
        <f>_xlfn.IFNA($M233/VLOOKUP($BU233,'Unit information'!$A$2:$K$29,8,FALSE)*X233,0)*(1+$E$9)</f>
        <v>0</v>
      </c>
      <c r="BA233" s="107">
        <f>_xlfn.IFNA($M233/VLOOKUP($BU233,'Unit information'!$A$2:$K$29,9,FALSE)*Y233,0)*(1+$E$9)</f>
        <v>0</v>
      </c>
      <c r="BB233" s="107">
        <f>_xlfn.IFNA($M233/VLOOKUP($BV233,'Unit information'!$A$2:$K$29,10,FALSE)*Z233,0)*(1+$E$9)</f>
        <v>0</v>
      </c>
      <c r="BC233" s="108">
        <f>_xlfn.IFNA($M233/VLOOKUP($BV233,'Unit information'!$A$2:$K$29,11,FALSE)*AA233,0)*(1+$E$9)</f>
        <v>0</v>
      </c>
      <c r="BD233" s="106">
        <f t="shared" si="294"/>
        <v>0</v>
      </c>
      <c r="BE233" s="107">
        <f t="shared" si="295"/>
        <v>0</v>
      </c>
      <c r="BF233" s="108">
        <f t="shared" si="296"/>
        <v>0</v>
      </c>
      <c r="BG233" s="25" t="e">
        <f t="shared" si="297"/>
        <v>#N/A</v>
      </c>
      <c r="BH233" s="25" t="e">
        <f t="shared" si="298"/>
        <v>#N/A</v>
      </c>
      <c r="BI233" s="25" t="e">
        <f t="shared" si="299"/>
        <v>#N/A</v>
      </c>
      <c r="BJ233" s="27" t="e">
        <f t="shared" si="300"/>
        <v>#N/A</v>
      </c>
      <c r="BK233" s="18" t="e">
        <f t="shared" si="301"/>
        <v>#N/A</v>
      </c>
      <c r="BL233" s="18" t="e">
        <f t="shared" si="302"/>
        <v>#N/A</v>
      </c>
      <c r="BM233" s="28" t="e">
        <f t="shared" si="347"/>
        <v>#N/A</v>
      </c>
      <c r="BN233" s="33">
        <f>HLOOKUP("maximum population",Miscelaneous!$C$1:$C$33,CH233+3,FALSE)</f>
        <v>240</v>
      </c>
      <c r="BO233" s="14">
        <f t="shared" si="313"/>
        <v>32</v>
      </c>
      <c r="BP233" s="14">
        <f t="shared" si="314"/>
        <v>0</v>
      </c>
      <c r="BQ233" s="14">
        <f t="shared" si="315"/>
        <v>208</v>
      </c>
      <c r="BR233" s="34" t="e">
        <f>HLOOKUP(J233,Villagers!$B$1:$V$33,L233+3,FALSE)-HLOOKUP(J233,Villagers!$B$1:$V$33,L233+2,FALSE)</f>
        <v>#N/A</v>
      </c>
      <c r="BS233" s="49">
        <f t="shared" si="316"/>
        <v>1</v>
      </c>
      <c r="BT233" s="50">
        <f t="shared" si="317"/>
        <v>0</v>
      </c>
      <c r="BU233" s="50">
        <f t="shared" si="318"/>
        <v>0</v>
      </c>
      <c r="BV233" s="50">
        <f t="shared" si="319"/>
        <v>0</v>
      </c>
      <c r="BW233" s="50">
        <f t="shared" si="363"/>
        <v>0</v>
      </c>
      <c r="BX233" s="50">
        <f t="shared" si="364"/>
        <v>0</v>
      </c>
      <c r="BY233" s="50">
        <f t="shared" si="364"/>
        <v>0</v>
      </c>
      <c r="BZ233" s="50">
        <f t="shared" si="350"/>
        <v>0</v>
      </c>
      <c r="CA233" s="50">
        <f t="shared" si="351"/>
        <v>0</v>
      </c>
      <c r="CB233" s="50">
        <f t="shared" si="352"/>
        <v>1</v>
      </c>
      <c r="CC233" s="50">
        <f t="shared" si="353"/>
        <v>0</v>
      </c>
      <c r="CD233" s="50">
        <f t="shared" si="354"/>
        <v>0</v>
      </c>
      <c r="CE233" s="50">
        <f t="shared" si="355"/>
        <v>1</v>
      </c>
      <c r="CF233" s="50">
        <f t="shared" si="356"/>
        <v>1</v>
      </c>
      <c r="CG233" s="50">
        <f t="shared" si="357"/>
        <v>1</v>
      </c>
      <c r="CH233" s="50">
        <f t="shared" si="358"/>
        <v>1</v>
      </c>
      <c r="CI233" s="50">
        <f t="shared" si="359"/>
        <v>1</v>
      </c>
      <c r="CJ233" s="50">
        <f t="shared" si="360"/>
        <v>1</v>
      </c>
      <c r="CK233" s="50">
        <f t="shared" si="360"/>
        <v>0</v>
      </c>
      <c r="CL233" s="50">
        <f t="shared" si="360"/>
        <v>0</v>
      </c>
      <c r="CM233" s="51">
        <f t="shared" si="274"/>
        <v>0</v>
      </c>
      <c r="CN233" s="33">
        <f>ROUND(IF(BS233=0,0,HLOOKUP(BS$14,Villagers!$B$1:$V$33,BS233+3,FALSE)),)</f>
        <v>5</v>
      </c>
      <c r="CO233" s="14">
        <f>ROUND(IF(BT233=0,0,HLOOKUP(BT$14,Villagers!$B$1:$V$33,BT233+3,FALSE)),)</f>
        <v>0</v>
      </c>
      <c r="CP233" s="14">
        <f>ROUND(IF(BU233=0,0,HLOOKUP(BU$14,Villagers!$B$1:$V$33,BU233+3,FALSE)),)</f>
        <v>0</v>
      </c>
      <c r="CQ233" s="14">
        <f>ROUND(IF(BV233=0,0,HLOOKUP(BV$14,Villagers!$B$1:$V$33,BV233+3,FALSE)),)</f>
        <v>0</v>
      </c>
      <c r="CR233" s="14">
        <f>ROUND(IF(BW233=0,0,HLOOKUP(BW$14,Villagers!$B$1:$V$33,BW233+3,FALSE)),)</f>
        <v>0</v>
      </c>
      <c r="CS233" s="14">
        <f>ROUND(IF(BX233=0,0,HLOOKUP(BX$14,Villagers!$B$1:$V$33,BX233+3,FALSE)),)</f>
        <v>0</v>
      </c>
      <c r="CT233" s="14">
        <f>ROUND(IF(BY233=0,0,HLOOKUP(BY$14,Villagers!$B$1:$V$33,BY233+3,FALSE)),)</f>
        <v>0</v>
      </c>
      <c r="CU233" s="14">
        <f>ROUND(IF(BZ233=0,0,HLOOKUP(BZ$14,Villagers!$B$1:$V$33,BZ233+3,FALSE)),)</f>
        <v>0</v>
      </c>
      <c r="CV233" s="14">
        <f>ROUND(IF(CA233=0,0,HLOOKUP(CA$14,Villagers!$B$1:$V$33,CA233+3,FALSE)),)</f>
        <v>0</v>
      </c>
      <c r="CW233" s="14">
        <f>ROUND(IF(CB233=0,0,HLOOKUP(CB$14,Villagers!$B$1:$V$33,CB233+3,FALSE)),)</f>
        <v>0</v>
      </c>
      <c r="CX233" s="14">
        <f>ROUND(IF(CC233=0,0,HLOOKUP(CC$14,Villagers!$B$1:$V$33,CC233+3,FALSE)),)</f>
        <v>0</v>
      </c>
      <c r="CY233" s="14">
        <f>ROUND(IF(CD233=0,0,HLOOKUP(CD$14,Villagers!$B$1:$V$33,CD233+3,FALSE)),)</f>
        <v>0</v>
      </c>
      <c r="CZ233" s="14">
        <f>ROUND(IF(CE233=0,0,HLOOKUP(CE$14,Villagers!$B$1:$V$33,CE233+3,FALSE)),)</f>
        <v>5</v>
      </c>
      <c r="DA233" s="14">
        <f>ROUND(IF(CF233=0,0,HLOOKUP(CF$14,Villagers!$B$1:$V$33,CF233+3,FALSE)),)</f>
        <v>10</v>
      </c>
      <c r="DB233" s="14">
        <f>ROUND(IF(CG233=0,0,HLOOKUP(CG$14,Villagers!$B$1:$V$33,CG233+3,FALSE)),)</f>
        <v>10</v>
      </c>
      <c r="DC233" s="14">
        <f>ROUND(IF(CH233=0,0,HLOOKUP(CH$14,Villagers!$B$1:$V$33,CH233+3,FALSE)),)</f>
        <v>0</v>
      </c>
      <c r="DD233" s="14">
        <f>ROUND(IF(CI233=0,0,HLOOKUP(CI$14,Villagers!$B$1:$V$33,CI233+3,FALSE)),)</f>
        <v>0</v>
      </c>
      <c r="DE233" s="14">
        <f>ROUND(IF(CJ233=0,0,HLOOKUP(CJ$14,Villagers!$B$1:$V$33,CJ233+3,FALSE)),)</f>
        <v>2</v>
      </c>
      <c r="DF233" s="370">
        <f>ROUND(IF(CK233=0,0,HLOOKUP(CK$14,Villagers!$B$1:$V$33,CK233+3,FALSE)),)</f>
        <v>0</v>
      </c>
      <c r="DG233" s="370">
        <f>ROUND(IF(CL233=0,0,HLOOKUP(CL$14,Villagers!$B$1:$V$33,CL233+3,FALSE)),)</f>
        <v>0</v>
      </c>
      <c r="DH233" s="34">
        <f>ROUND(IF(CM233=0,0,HLOOKUP(CM$14,Villagers!$B$1:$V$33,CM233+3,FALSE)),)</f>
        <v>0</v>
      </c>
      <c r="DI233" s="109">
        <f t="shared" si="336"/>
        <v>0</v>
      </c>
      <c r="DJ233" s="50">
        <f t="shared" si="337"/>
        <v>0</v>
      </c>
      <c r="DK233" s="50">
        <f t="shared" si="338"/>
        <v>0</v>
      </c>
      <c r="DL233" s="50">
        <f t="shared" si="339"/>
        <v>0</v>
      </c>
      <c r="DM233" s="50">
        <f t="shared" si="340"/>
        <v>0</v>
      </c>
      <c r="DN233" s="50">
        <f t="shared" si="341"/>
        <v>0</v>
      </c>
      <c r="DO233" s="50">
        <f t="shared" si="342"/>
        <v>0</v>
      </c>
      <c r="DP233" s="50">
        <f t="shared" si="343"/>
        <v>0</v>
      </c>
      <c r="DQ233" s="50">
        <f t="shared" si="321"/>
        <v>0</v>
      </c>
      <c r="DR233" s="50">
        <f t="shared" si="322"/>
        <v>0</v>
      </c>
      <c r="DS233" s="96">
        <f>Miscelaneous!$D$4*Miscelaneous!$D$2^($CI233-1)</f>
        <v>1000</v>
      </c>
      <c r="DT233" s="333">
        <f t="shared" si="303"/>
        <v>1</v>
      </c>
      <c r="DU233" s="81">
        <v>1</v>
      </c>
      <c r="DV233" s="79">
        <f t="shared" si="323"/>
        <v>0</v>
      </c>
      <c r="DW233" s="79">
        <f t="shared" si="324"/>
        <v>0</v>
      </c>
      <c r="DX233" s="79">
        <f t="shared" si="325"/>
        <v>0</v>
      </c>
      <c r="DY233" s="79">
        <v>1</v>
      </c>
      <c r="DZ233" s="79">
        <f t="shared" si="326"/>
        <v>0</v>
      </c>
      <c r="EA233" s="79">
        <f t="shared" si="327"/>
        <v>0</v>
      </c>
      <c r="EB233" s="79">
        <f t="shared" si="328"/>
        <v>0</v>
      </c>
      <c r="EC233" s="79">
        <f t="shared" si="329"/>
        <v>0</v>
      </c>
      <c r="ED233" s="79">
        <v>1</v>
      </c>
      <c r="EE233" s="79">
        <v>1</v>
      </c>
      <c r="EF233" s="79">
        <f t="shared" si="330"/>
        <v>0</v>
      </c>
      <c r="EG233" s="79">
        <v>1</v>
      </c>
      <c r="EH233" s="79">
        <v>1</v>
      </c>
      <c r="EI233" s="79">
        <v>1</v>
      </c>
      <c r="EJ233" s="79">
        <v>1</v>
      </c>
      <c r="EK233" s="79">
        <v>1</v>
      </c>
      <c r="EL233" s="79">
        <v>1</v>
      </c>
      <c r="EM233" s="143">
        <f t="shared" si="331"/>
        <v>0</v>
      </c>
      <c r="EN233" s="143">
        <f t="shared" si="332"/>
        <v>0</v>
      </c>
      <c r="EO233" s="82">
        <f t="shared" si="333"/>
        <v>0</v>
      </c>
    </row>
    <row r="234" spans="1:145" x14ac:dyDescent="0.25">
      <c r="A234">
        <v>220</v>
      </c>
      <c r="B234" s="172" t="e">
        <f t="shared" si="304"/>
        <v>#N/A</v>
      </c>
      <c r="C234" s="121" t="e">
        <f t="shared" si="283"/>
        <v>#N/A</v>
      </c>
      <c r="D234" s="122" t="e">
        <f t="shared" si="284"/>
        <v>#N/A</v>
      </c>
      <c r="E234" s="122" t="e">
        <f t="shared" si="285"/>
        <v>#N/A</v>
      </c>
      <c r="F234" s="176" t="e">
        <f t="shared" si="286"/>
        <v>#N/A</v>
      </c>
      <c r="G234" s="121">
        <f t="shared" si="305"/>
        <v>208</v>
      </c>
      <c r="H234" s="176" t="e">
        <f t="shared" si="306"/>
        <v>#N/A</v>
      </c>
      <c r="I234" s="48">
        <v>1</v>
      </c>
      <c r="J234" s="39"/>
      <c r="K234" s="350">
        <v>1</v>
      </c>
      <c r="L234" s="34" t="e">
        <f t="shared" si="287"/>
        <v>#N/A</v>
      </c>
      <c r="M234" s="38" t="e">
        <f>(HLOOKUP(J234,'Construction Times'!$B$3:$W$34,L234+2,FALSE)*HLOOKUP("hq modifier",'Construction Times'!$W$3:$W$34,BS234+2,FALSE))*(1-$H$9)</f>
        <v>#N/A</v>
      </c>
      <c r="N234" s="443" t="e">
        <f t="shared" si="307"/>
        <v>#N/A</v>
      </c>
      <c r="O234" s="444"/>
      <c r="P234" s="447" t="e">
        <f t="shared" si="308"/>
        <v>#N/A</v>
      </c>
      <c r="Q234" s="448"/>
      <c r="R234" s="103">
        <f t="shared" si="334"/>
        <v>0</v>
      </c>
      <c r="S234" s="104">
        <f t="shared" si="334"/>
        <v>0</v>
      </c>
      <c r="T234" s="104">
        <f t="shared" si="335"/>
        <v>0</v>
      </c>
      <c r="U234" s="104">
        <f t="shared" si="335"/>
        <v>0</v>
      </c>
      <c r="V234" s="104">
        <f t="shared" si="335"/>
        <v>9.9999999999999995E-8</v>
      </c>
      <c r="W234" s="104">
        <f t="shared" si="335"/>
        <v>0</v>
      </c>
      <c r="X234" s="104">
        <f t="shared" si="273"/>
        <v>0</v>
      </c>
      <c r="Y234" s="104">
        <f t="shared" si="273"/>
        <v>9.9999999999999995E-8</v>
      </c>
      <c r="Z234" s="104">
        <f t="shared" si="273"/>
        <v>9.9999999999999995E-8</v>
      </c>
      <c r="AA234" s="105">
        <f t="shared" si="273"/>
        <v>9.9999999999999995E-8</v>
      </c>
      <c r="AB234" s="101" t="e">
        <f>$DT234*HLOOKUP($J234,'Construction Costs (timber)'!$B$1:$V$32,'Construction Planner'!$L234+2,FALSE)</f>
        <v>#N/A</v>
      </c>
      <c r="AC234" s="14" t="e">
        <f>$DT234*HLOOKUP($J234,'Construction Costs (clay)'!$B$1:$V$32,'Construction Planner'!$L234+2,FALSE)</f>
        <v>#N/A</v>
      </c>
      <c r="AD234" s="14" t="e">
        <f>$DT234*HLOOKUP($J234,'Construction Costs (iron)'!$B$1:$V$32,'Construction Planner'!$L234+2,FALSE)</f>
        <v>#N/A</v>
      </c>
      <c r="AE234" s="34" t="e">
        <f t="shared" si="344"/>
        <v>#N/A</v>
      </c>
      <c r="AF234" s="33" t="e">
        <f t="shared" si="288"/>
        <v>#N/A</v>
      </c>
      <c r="AG234" s="14" t="e">
        <f t="shared" si="289"/>
        <v>#N/A</v>
      </c>
      <c r="AH234" s="14" t="e">
        <f t="shared" si="290"/>
        <v>#N/A</v>
      </c>
      <c r="AI234" s="34" t="e">
        <f t="shared" si="345"/>
        <v>#N/A</v>
      </c>
      <c r="AJ234" s="49" t="e">
        <f t="shared" si="309"/>
        <v>#N/A</v>
      </c>
      <c r="AK234" s="49" t="e">
        <f t="shared" si="310"/>
        <v>#N/A</v>
      </c>
      <c r="AL234" s="49" t="e">
        <f t="shared" si="311"/>
        <v>#N/A</v>
      </c>
      <c r="AM234" s="25">
        <f t="shared" si="291"/>
        <v>30</v>
      </c>
      <c r="AN234" s="25">
        <f t="shared" si="292"/>
        <v>30</v>
      </c>
      <c r="AO234" s="25">
        <f t="shared" si="293"/>
        <v>30</v>
      </c>
      <c r="AP234" s="52" t="e">
        <f t="shared" si="312"/>
        <v>#N/A</v>
      </c>
      <c r="AQ234" s="53" t="e">
        <f t="shared" si="312"/>
        <v>#N/A</v>
      </c>
      <c r="AR234" s="54" t="e">
        <f t="shared" si="312"/>
        <v>#N/A</v>
      </c>
      <c r="AS234" s="316">
        <f t="shared" si="362"/>
        <v>0</v>
      </c>
      <c r="AT234" s="106">
        <f>_xlfn.IFNA($M234/VLOOKUP($BT234,'Unit information'!$A$2:$K$29,2,FALSE)*R234,0)*(1+$E$9)</f>
        <v>0</v>
      </c>
      <c r="AU234" s="107">
        <f>_xlfn.IFNA($M234/VLOOKUP($BT234,'Unit information'!$A$2:$K$29,3,FALSE)*S234,0)*(1+$E$9)</f>
        <v>0</v>
      </c>
      <c r="AV234" s="107">
        <f>_xlfn.IFNA($M234/VLOOKUP($BT234,'Unit information'!$A$2:$K$29,4,FALSE)*T234,0)*(1+$E$9)</f>
        <v>0</v>
      </c>
      <c r="AW234" s="107">
        <f>_xlfn.IFNA($M234/VLOOKUP($BT234,'Unit information'!$A$2:$K$29,5,FALSE)*U234,0)*(1+$E$9)</f>
        <v>0</v>
      </c>
      <c r="AX234" s="107">
        <f>_xlfn.IFNA($M234/VLOOKUP($BU234,'Unit information'!$A$2:$K$29,6,FALSE)*V234,0)*(1+$E$9)</f>
        <v>0</v>
      </c>
      <c r="AY234" s="107">
        <f>_xlfn.IFNA($M234/VLOOKUP($BU234,'Unit information'!$A$2:$K$29,7,FALSE)*W234,0)*(1+$E$9)</f>
        <v>0</v>
      </c>
      <c r="AZ234" s="107">
        <f>_xlfn.IFNA($M234/VLOOKUP($BU234,'Unit information'!$A$2:$K$29,8,FALSE)*X234,0)*(1+$E$9)</f>
        <v>0</v>
      </c>
      <c r="BA234" s="107">
        <f>_xlfn.IFNA($M234/VLOOKUP($BU234,'Unit information'!$A$2:$K$29,9,FALSE)*Y234,0)*(1+$E$9)</f>
        <v>0</v>
      </c>
      <c r="BB234" s="107">
        <f>_xlfn.IFNA($M234/VLOOKUP($BV234,'Unit information'!$A$2:$K$29,10,FALSE)*Z234,0)*(1+$E$9)</f>
        <v>0</v>
      </c>
      <c r="BC234" s="108">
        <f>_xlfn.IFNA($M234/VLOOKUP($BV234,'Unit information'!$A$2:$K$29,11,FALSE)*AA234,0)*(1+$E$9)</f>
        <v>0</v>
      </c>
      <c r="BD234" s="106">
        <f t="shared" si="294"/>
        <v>0</v>
      </c>
      <c r="BE234" s="107">
        <f t="shared" si="295"/>
        <v>0</v>
      </c>
      <c r="BF234" s="108">
        <f t="shared" si="296"/>
        <v>0</v>
      </c>
      <c r="BG234" s="25" t="e">
        <f t="shared" si="297"/>
        <v>#N/A</v>
      </c>
      <c r="BH234" s="25" t="e">
        <f t="shared" si="298"/>
        <v>#N/A</v>
      </c>
      <c r="BI234" s="25" t="e">
        <f t="shared" si="299"/>
        <v>#N/A</v>
      </c>
      <c r="BJ234" s="27" t="e">
        <f t="shared" si="300"/>
        <v>#N/A</v>
      </c>
      <c r="BK234" s="18" t="e">
        <f t="shared" si="301"/>
        <v>#N/A</v>
      </c>
      <c r="BL234" s="18" t="e">
        <f t="shared" si="302"/>
        <v>#N/A</v>
      </c>
      <c r="BM234" s="28" t="e">
        <f t="shared" si="347"/>
        <v>#N/A</v>
      </c>
      <c r="BN234" s="33">
        <f>HLOOKUP("maximum population",Miscelaneous!$C$1:$C$33,CH234+3,FALSE)</f>
        <v>240</v>
      </c>
      <c r="BO234" s="14">
        <f t="shared" si="313"/>
        <v>32</v>
      </c>
      <c r="BP234" s="14">
        <f t="shared" si="314"/>
        <v>0</v>
      </c>
      <c r="BQ234" s="14">
        <f t="shared" si="315"/>
        <v>208</v>
      </c>
      <c r="BR234" s="34" t="e">
        <f>HLOOKUP(J234,Villagers!$B$1:$V$33,L234+3,FALSE)-HLOOKUP(J234,Villagers!$B$1:$V$33,L234+2,FALSE)</f>
        <v>#N/A</v>
      </c>
      <c r="BS234" s="49">
        <f t="shared" si="316"/>
        <v>1</v>
      </c>
      <c r="BT234" s="50">
        <f t="shared" si="317"/>
        <v>0</v>
      </c>
      <c r="BU234" s="50">
        <f t="shared" si="318"/>
        <v>0</v>
      </c>
      <c r="BV234" s="50">
        <f t="shared" si="319"/>
        <v>0</v>
      </c>
      <c r="BW234" s="50">
        <f t="shared" si="363"/>
        <v>0</v>
      </c>
      <c r="BX234" s="50">
        <f t="shared" si="364"/>
        <v>0</v>
      </c>
      <c r="BY234" s="50">
        <f t="shared" si="364"/>
        <v>0</v>
      </c>
      <c r="BZ234" s="50">
        <f t="shared" si="350"/>
        <v>0</v>
      </c>
      <c r="CA234" s="50">
        <f t="shared" si="351"/>
        <v>0</v>
      </c>
      <c r="CB234" s="50">
        <f t="shared" si="352"/>
        <v>1</v>
      </c>
      <c r="CC234" s="50">
        <f t="shared" si="353"/>
        <v>0</v>
      </c>
      <c r="CD234" s="50">
        <f t="shared" si="354"/>
        <v>0</v>
      </c>
      <c r="CE234" s="50">
        <f t="shared" si="355"/>
        <v>1</v>
      </c>
      <c r="CF234" s="50">
        <f t="shared" si="356"/>
        <v>1</v>
      </c>
      <c r="CG234" s="50">
        <f t="shared" si="357"/>
        <v>1</v>
      </c>
      <c r="CH234" s="50">
        <f t="shared" si="358"/>
        <v>1</v>
      </c>
      <c r="CI234" s="50">
        <f t="shared" si="359"/>
        <v>1</v>
      </c>
      <c r="CJ234" s="50">
        <f t="shared" si="360"/>
        <v>1</v>
      </c>
      <c r="CK234" s="50">
        <f t="shared" si="360"/>
        <v>0</v>
      </c>
      <c r="CL234" s="50">
        <f t="shared" si="360"/>
        <v>0</v>
      </c>
      <c r="CM234" s="51">
        <f t="shared" si="274"/>
        <v>0</v>
      </c>
      <c r="CN234" s="33">
        <f>ROUND(IF(BS234=0,0,HLOOKUP(BS$14,Villagers!$B$1:$V$33,BS234+3,FALSE)),)</f>
        <v>5</v>
      </c>
      <c r="CO234" s="14">
        <f>ROUND(IF(BT234=0,0,HLOOKUP(BT$14,Villagers!$B$1:$V$33,BT234+3,FALSE)),)</f>
        <v>0</v>
      </c>
      <c r="CP234" s="14">
        <f>ROUND(IF(BU234=0,0,HLOOKUP(BU$14,Villagers!$B$1:$V$33,BU234+3,FALSE)),)</f>
        <v>0</v>
      </c>
      <c r="CQ234" s="14">
        <f>ROUND(IF(BV234=0,0,HLOOKUP(BV$14,Villagers!$B$1:$V$33,BV234+3,FALSE)),)</f>
        <v>0</v>
      </c>
      <c r="CR234" s="14">
        <f>ROUND(IF(BW234=0,0,HLOOKUP(BW$14,Villagers!$B$1:$V$33,BW234+3,FALSE)),)</f>
        <v>0</v>
      </c>
      <c r="CS234" s="14">
        <f>ROUND(IF(BX234=0,0,HLOOKUP(BX$14,Villagers!$B$1:$V$33,BX234+3,FALSE)),)</f>
        <v>0</v>
      </c>
      <c r="CT234" s="14">
        <f>ROUND(IF(BY234=0,0,HLOOKUP(BY$14,Villagers!$B$1:$V$33,BY234+3,FALSE)),)</f>
        <v>0</v>
      </c>
      <c r="CU234" s="14">
        <f>ROUND(IF(BZ234=0,0,HLOOKUP(BZ$14,Villagers!$B$1:$V$33,BZ234+3,FALSE)),)</f>
        <v>0</v>
      </c>
      <c r="CV234" s="14">
        <f>ROUND(IF(CA234=0,0,HLOOKUP(CA$14,Villagers!$B$1:$V$33,CA234+3,FALSE)),)</f>
        <v>0</v>
      </c>
      <c r="CW234" s="14">
        <f>ROUND(IF(CB234=0,0,HLOOKUP(CB$14,Villagers!$B$1:$V$33,CB234+3,FALSE)),)</f>
        <v>0</v>
      </c>
      <c r="CX234" s="14">
        <f>ROUND(IF(CC234=0,0,HLOOKUP(CC$14,Villagers!$B$1:$V$33,CC234+3,FALSE)),)</f>
        <v>0</v>
      </c>
      <c r="CY234" s="14">
        <f>ROUND(IF(CD234=0,0,HLOOKUP(CD$14,Villagers!$B$1:$V$33,CD234+3,FALSE)),)</f>
        <v>0</v>
      </c>
      <c r="CZ234" s="14">
        <f>ROUND(IF(CE234=0,0,HLOOKUP(CE$14,Villagers!$B$1:$V$33,CE234+3,FALSE)),)</f>
        <v>5</v>
      </c>
      <c r="DA234" s="14">
        <f>ROUND(IF(CF234=0,0,HLOOKUP(CF$14,Villagers!$B$1:$V$33,CF234+3,FALSE)),)</f>
        <v>10</v>
      </c>
      <c r="DB234" s="14">
        <f>ROUND(IF(CG234=0,0,HLOOKUP(CG$14,Villagers!$B$1:$V$33,CG234+3,FALSE)),)</f>
        <v>10</v>
      </c>
      <c r="DC234" s="14">
        <f>ROUND(IF(CH234=0,0,HLOOKUP(CH$14,Villagers!$B$1:$V$33,CH234+3,FALSE)),)</f>
        <v>0</v>
      </c>
      <c r="DD234" s="14">
        <f>ROUND(IF(CI234=0,0,HLOOKUP(CI$14,Villagers!$B$1:$V$33,CI234+3,FALSE)),)</f>
        <v>0</v>
      </c>
      <c r="DE234" s="14">
        <f>ROUND(IF(CJ234=0,0,HLOOKUP(CJ$14,Villagers!$B$1:$V$33,CJ234+3,FALSE)),)</f>
        <v>2</v>
      </c>
      <c r="DF234" s="370">
        <f>ROUND(IF(CK234=0,0,HLOOKUP(CK$14,Villagers!$B$1:$V$33,CK234+3,FALSE)),)</f>
        <v>0</v>
      </c>
      <c r="DG234" s="370">
        <f>ROUND(IF(CL234=0,0,HLOOKUP(CL$14,Villagers!$B$1:$V$33,CL234+3,FALSE)),)</f>
        <v>0</v>
      </c>
      <c r="DH234" s="34">
        <f>ROUND(IF(CM234=0,0,HLOOKUP(CM$14,Villagers!$B$1:$V$33,CM234+3,FALSE)),)</f>
        <v>0</v>
      </c>
      <c r="DI234" s="109">
        <f t="shared" si="336"/>
        <v>0</v>
      </c>
      <c r="DJ234" s="50">
        <f t="shared" si="337"/>
        <v>0</v>
      </c>
      <c r="DK234" s="50">
        <f t="shared" si="338"/>
        <v>0</v>
      </c>
      <c r="DL234" s="50">
        <f t="shared" si="339"/>
        <v>0</v>
      </c>
      <c r="DM234" s="50">
        <f t="shared" si="340"/>
        <v>0</v>
      </c>
      <c r="DN234" s="50">
        <f t="shared" si="341"/>
        <v>0</v>
      </c>
      <c r="DO234" s="50">
        <f t="shared" si="342"/>
        <v>0</v>
      </c>
      <c r="DP234" s="50">
        <f t="shared" si="343"/>
        <v>0</v>
      </c>
      <c r="DQ234" s="50">
        <f t="shared" si="321"/>
        <v>0</v>
      </c>
      <c r="DR234" s="50">
        <f t="shared" si="322"/>
        <v>0</v>
      </c>
      <c r="DS234" s="96">
        <f>Miscelaneous!$D$4*Miscelaneous!$D$2^($CI234-1)</f>
        <v>1000</v>
      </c>
      <c r="DT234" s="333">
        <f t="shared" si="303"/>
        <v>1</v>
      </c>
      <c r="DU234" s="81">
        <v>1</v>
      </c>
      <c r="DV234" s="79">
        <f t="shared" si="323"/>
        <v>0</v>
      </c>
      <c r="DW234" s="79">
        <f t="shared" si="324"/>
        <v>0</v>
      </c>
      <c r="DX234" s="79">
        <f t="shared" si="325"/>
        <v>0</v>
      </c>
      <c r="DY234" s="79">
        <v>1</v>
      </c>
      <c r="DZ234" s="79">
        <f t="shared" si="326"/>
        <v>0</v>
      </c>
      <c r="EA234" s="79">
        <f t="shared" si="327"/>
        <v>0</v>
      </c>
      <c r="EB234" s="79">
        <f t="shared" si="328"/>
        <v>0</v>
      </c>
      <c r="EC234" s="79">
        <f t="shared" si="329"/>
        <v>0</v>
      </c>
      <c r="ED234" s="79">
        <v>1</v>
      </c>
      <c r="EE234" s="79">
        <v>1</v>
      </c>
      <c r="EF234" s="79">
        <f t="shared" si="330"/>
        <v>0</v>
      </c>
      <c r="EG234" s="79">
        <v>1</v>
      </c>
      <c r="EH234" s="79">
        <v>1</v>
      </c>
      <c r="EI234" s="79">
        <v>1</v>
      </c>
      <c r="EJ234" s="79">
        <v>1</v>
      </c>
      <c r="EK234" s="79">
        <v>1</v>
      </c>
      <c r="EL234" s="79">
        <v>1</v>
      </c>
      <c r="EM234" s="143">
        <f t="shared" si="331"/>
        <v>0</v>
      </c>
      <c r="EN234" s="143">
        <f t="shared" si="332"/>
        <v>0</v>
      </c>
      <c r="EO234" s="82">
        <f t="shared" si="333"/>
        <v>0</v>
      </c>
    </row>
    <row r="235" spans="1:145" x14ac:dyDescent="0.25">
      <c r="A235">
        <v>221</v>
      </c>
      <c r="B235" s="172" t="e">
        <f t="shared" si="304"/>
        <v>#N/A</v>
      </c>
      <c r="C235" s="121" t="e">
        <f t="shared" si="283"/>
        <v>#N/A</v>
      </c>
      <c r="D235" s="122" t="e">
        <f t="shared" si="284"/>
        <v>#N/A</v>
      </c>
      <c r="E235" s="122" t="e">
        <f t="shared" si="285"/>
        <v>#N/A</v>
      </c>
      <c r="F235" s="176" t="e">
        <f t="shared" si="286"/>
        <v>#N/A</v>
      </c>
      <c r="G235" s="121">
        <f t="shared" si="305"/>
        <v>208</v>
      </c>
      <c r="H235" s="176" t="e">
        <f t="shared" si="306"/>
        <v>#N/A</v>
      </c>
      <c r="I235" s="48">
        <v>1</v>
      </c>
      <c r="J235" s="39"/>
      <c r="K235" s="350">
        <v>1</v>
      </c>
      <c r="L235" s="34" t="e">
        <f t="shared" si="287"/>
        <v>#N/A</v>
      </c>
      <c r="M235" s="38" t="e">
        <f>(HLOOKUP(J235,'Construction Times'!$B$3:$W$34,L235+2,FALSE)*HLOOKUP("hq modifier",'Construction Times'!$W$3:$W$34,BS235+2,FALSE))*(1-$H$9)</f>
        <v>#N/A</v>
      </c>
      <c r="N235" s="443" t="e">
        <f t="shared" si="307"/>
        <v>#N/A</v>
      </c>
      <c r="O235" s="444"/>
      <c r="P235" s="447" t="e">
        <f t="shared" si="308"/>
        <v>#N/A</v>
      </c>
      <c r="Q235" s="448"/>
      <c r="R235" s="103">
        <f t="shared" si="334"/>
        <v>0</v>
      </c>
      <c r="S235" s="104">
        <f t="shared" si="334"/>
        <v>0</v>
      </c>
      <c r="T235" s="104">
        <f t="shared" si="335"/>
        <v>0</v>
      </c>
      <c r="U235" s="104">
        <f t="shared" si="335"/>
        <v>0</v>
      </c>
      <c r="V235" s="104">
        <f t="shared" si="335"/>
        <v>9.9999999999999995E-8</v>
      </c>
      <c r="W235" s="104">
        <f t="shared" si="335"/>
        <v>0</v>
      </c>
      <c r="X235" s="104">
        <f t="shared" si="273"/>
        <v>0</v>
      </c>
      <c r="Y235" s="104">
        <f t="shared" si="273"/>
        <v>9.9999999999999995E-8</v>
      </c>
      <c r="Z235" s="104">
        <f t="shared" si="273"/>
        <v>9.9999999999999995E-8</v>
      </c>
      <c r="AA235" s="105">
        <f t="shared" si="273"/>
        <v>9.9999999999999995E-8</v>
      </c>
      <c r="AB235" s="101" t="e">
        <f>$DT235*HLOOKUP($J235,'Construction Costs (timber)'!$B$1:$V$32,'Construction Planner'!$L235+2,FALSE)</f>
        <v>#N/A</v>
      </c>
      <c r="AC235" s="14" t="e">
        <f>$DT235*HLOOKUP($J235,'Construction Costs (clay)'!$B$1:$V$32,'Construction Planner'!$L235+2,FALSE)</f>
        <v>#N/A</v>
      </c>
      <c r="AD235" s="14" t="e">
        <f>$DT235*HLOOKUP($J235,'Construction Costs (iron)'!$B$1:$V$32,'Construction Planner'!$L235+2,FALSE)</f>
        <v>#N/A</v>
      </c>
      <c r="AE235" s="34" t="e">
        <f t="shared" si="344"/>
        <v>#N/A</v>
      </c>
      <c r="AF235" s="33" t="e">
        <f t="shared" si="288"/>
        <v>#N/A</v>
      </c>
      <c r="AG235" s="14" t="e">
        <f t="shared" si="289"/>
        <v>#N/A</v>
      </c>
      <c r="AH235" s="14" t="e">
        <f t="shared" si="290"/>
        <v>#N/A</v>
      </c>
      <c r="AI235" s="34" t="e">
        <f t="shared" si="345"/>
        <v>#N/A</v>
      </c>
      <c r="AJ235" s="49" t="e">
        <f t="shared" si="309"/>
        <v>#N/A</v>
      </c>
      <c r="AK235" s="49" t="e">
        <f t="shared" si="310"/>
        <v>#N/A</v>
      </c>
      <c r="AL235" s="49" t="e">
        <f t="shared" si="311"/>
        <v>#N/A</v>
      </c>
      <c r="AM235" s="25">
        <f t="shared" si="291"/>
        <v>30</v>
      </c>
      <c r="AN235" s="25">
        <f t="shared" si="292"/>
        <v>30</v>
      </c>
      <c r="AO235" s="25">
        <f t="shared" si="293"/>
        <v>30</v>
      </c>
      <c r="AP235" s="52" t="e">
        <f t="shared" si="312"/>
        <v>#N/A</v>
      </c>
      <c r="AQ235" s="53" t="e">
        <f t="shared" si="312"/>
        <v>#N/A</v>
      </c>
      <c r="AR235" s="54" t="e">
        <f t="shared" si="312"/>
        <v>#N/A</v>
      </c>
      <c r="AS235" s="316">
        <f t="shared" si="362"/>
        <v>0</v>
      </c>
      <c r="AT235" s="106">
        <f>_xlfn.IFNA($M235/VLOOKUP($BT235,'Unit information'!$A$2:$K$29,2,FALSE)*R235,0)*(1+$E$9)</f>
        <v>0</v>
      </c>
      <c r="AU235" s="107">
        <f>_xlfn.IFNA($M235/VLOOKUP($BT235,'Unit information'!$A$2:$K$29,3,FALSE)*S235,0)*(1+$E$9)</f>
        <v>0</v>
      </c>
      <c r="AV235" s="107">
        <f>_xlfn.IFNA($M235/VLOOKUP($BT235,'Unit information'!$A$2:$K$29,4,FALSE)*T235,0)*(1+$E$9)</f>
        <v>0</v>
      </c>
      <c r="AW235" s="107">
        <f>_xlfn.IFNA($M235/VLOOKUP($BT235,'Unit information'!$A$2:$K$29,5,FALSE)*U235,0)*(1+$E$9)</f>
        <v>0</v>
      </c>
      <c r="AX235" s="107">
        <f>_xlfn.IFNA($M235/VLOOKUP($BU235,'Unit information'!$A$2:$K$29,6,FALSE)*V235,0)*(1+$E$9)</f>
        <v>0</v>
      </c>
      <c r="AY235" s="107">
        <f>_xlfn.IFNA($M235/VLOOKUP($BU235,'Unit information'!$A$2:$K$29,7,FALSE)*W235,0)*(1+$E$9)</f>
        <v>0</v>
      </c>
      <c r="AZ235" s="107">
        <f>_xlfn.IFNA($M235/VLOOKUP($BU235,'Unit information'!$A$2:$K$29,8,FALSE)*X235,0)*(1+$E$9)</f>
        <v>0</v>
      </c>
      <c r="BA235" s="107">
        <f>_xlfn.IFNA($M235/VLOOKUP($BU235,'Unit information'!$A$2:$K$29,9,FALSE)*Y235,0)*(1+$E$9)</f>
        <v>0</v>
      </c>
      <c r="BB235" s="107">
        <f>_xlfn.IFNA($M235/VLOOKUP($BV235,'Unit information'!$A$2:$K$29,10,FALSE)*Z235,0)*(1+$E$9)</f>
        <v>0</v>
      </c>
      <c r="BC235" s="108">
        <f>_xlfn.IFNA($M235/VLOOKUP($BV235,'Unit information'!$A$2:$K$29,11,FALSE)*AA235,0)*(1+$E$9)</f>
        <v>0</v>
      </c>
      <c r="BD235" s="106">
        <f t="shared" si="294"/>
        <v>0</v>
      </c>
      <c r="BE235" s="107">
        <f t="shared" si="295"/>
        <v>0</v>
      </c>
      <c r="BF235" s="108">
        <f t="shared" si="296"/>
        <v>0</v>
      </c>
      <c r="BG235" s="25" t="e">
        <f t="shared" si="297"/>
        <v>#N/A</v>
      </c>
      <c r="BH235" s="25" t="e">
        <f t="shared" si="298"/>
        <v>#N/A</v>
      </c>
      <c r="BI235" s="25" t="e">
        <f t="shared" si="299"/>
        <v>#N/A</v>
      </c>
      <c r="BJ235" s="27" t="e">
        <f t="shared" si="300"/>
        <v>#N/A</v>
      </c>
      <c r="BK235" s="18" t="e">
        <f t="shared" si="301"/>
        <v>#N/A</v>
      </c>
      <c r="BL235" s="18" t="e">
        <f t="shared" si="302"/>
        <v>#N/A</v>
      </c>
      <c r="BM235" s="28" t="e">
        <f t="shared" si="347"/>
        <v>#N/A</v>
      </c>
      <c r="BN235" s="33">
        <f>HLOOKUP("maximum population",Miscelaneous!$C$1:$C$33,CH235+3,FALSE)</f>
        <v>240</v>
      </c>
      <c r="BO235" s="14">
        <f t="shared" si="313"/>
        <v>32</v>
      </c>
      <c r="BP235" s="14">
        <f t="shared" si="314"/>
        <v>0</v>
      </c>
      <c r="BQ235" s="14">
        <f t="shared" si="315"/>
        <v>208</v>
      </c>
      <c r="BR235" s="34" t="e">
        <f>HLOOKUP(J235,Villagers!$B$1:$V$33,L235+3,FALSE)-HLOOKUP(J235,Villagers!$B$1:$V$33,L235+2,FALSE)</f>
        <v>#N/A</v>
      </c>
      <c r="BS235" s="49">
        <f t="shared" si="316"/>
        <v>1</v>
      </c>
      <c r="BT235" s="50">
        <f t="shared" si="317"/>
        <v>0</v>
      </c>
      <c r="BU235" s="50">
        <f t="shared" si="318"/>
        <v>0</v>
      </c>
      <c r="BV235" s="50">
        <f t="shared" si="319"/>
        <v>0</v>
      </c>
      <c r="BW235" s="50">
        <f t="shared" si="363"/>
        <v>0</v>
      </c>
      <c r="BX235" s="50">
        <f t="shared" si="364"/>
        <v>0</v>
      </c>
      <c r="BY235" s="50">
        <f t="shared" si="364"/>
        <v>0</v>
      </c>
      <c r="BZ235" s="50">
        <f t="shared" si="350"/>
        <v>0</v>
      </c>
      <c r="CA235" s="50">
        <f t="shared" si="351"/>
        <v>0</v>
      </c>
      <c r="CB235" s="50">
        <f t="shared" si="352"/>
        <v>1</v>
      </c>
      <c r="CC235" s="50">
        <f t="shared" si="353"/>
        <v>0</v>
      </c>
      <c r="CD235" s="50">
        <f t="shared" si="354"/>
        <v>0</v>
      </c>
      <c r="CE235" s="50">
        <f t="shared" si="355"/>
        <v>1</v>
      </c>
      <c r="CF235" s="50">
        <f t="shared" si="356"/>
        <v>1</v>
      </c>
      <c r="CG235" s="50">
        <f t="shared" si="357"/>
        <v>1</v>
      </c>
      <c r="CH235" s="50">
        <f t="shared" si="358"/>
        <v>1</v>
      </c>
      <c r="CI235" s="50">
        <f t="shared" si="359"/>
        <v>1</v>
      </c>
      <c r="CJ235" s="50">
        <f t="shared" si="360"/>
        <v>1</v>
      </c>
      <c r="CK235" s="50">
        <f t="shared" si="360"/>
        <v>0</v>
      </c>
      <c r="CL235" s="50">
        <f t="shared" si="360"/>
        <v>0</v>
      </c>
      <c r="CM235" s="51">
        <f t="shared" si="274"/>
        <v>0</v>
      </c>
      <c r="CN235" s="33">
        <f>ROUND(IF(BS235=0,0,HLOOKUP(BS$14,Villagers!$B$1:$V$33,BS235+3,FALSE)),)</f>
        <v>5</v>
      </c>
      <c r="CO235" s="14">
        <f>ROUND(IF(BT235=0,0,HLOOKUP(BT$14,Villagers!$B$1:$V$33,BT235+3,FALSE)),)</f>
        <v>0</v>
      </c>
      <c r="CP235" s="14">
        <f>ROUND(IF(BU235=0,0,HLOOKUP(BU$14,Villagers!$B$1:$V$33,BU235+3,FALSE)),)</f>
        <v>0</v>
      </c>
      <c r="CQ235" s="14">
        <f>ROUND(IF(BV235=0,0,HLOOKUP(BV$14,Villagers!$B$1:$V$33,BV235+3,FALSE)),)</f>
        <v>0</v>
      </c>
      <c r="CR235" s="14">
        <f>ROUND(IF(BW235=0,0,HLOOKUP(BW$14,Villagers!$B$1:$V$33,BW235+3,FALSE)),)</f>
        <v>0</v>
      </c>
      <c r="CS235" s="14">
        <f>ROUND(IF(BX235=0,0,HLOOKUP(BX$14,Villagers!$B$1:$V$33,BX235+3,FALSE)),)</f>
        <v>0</v>
      </c>
      <c r="CT235" s="14">
        <f>ROUND(IF(BY235=0,0,HLOOKUP(BY$14,Villagers!$B$1:$V$33,BY235+3,FALSE)),)</f>
        <v>0</v>
      </c>
      <c r="CU235" s="14">
        <f>ROUND(IF(BZ235=0,0,HLOOKUP(BZ$14,Villagers!$B$1:$V$33,BZ235+3,FALSE)),)</f>
        <v>0</v>
      </c>
      <c r="CV235" s="14">
        <f>ROUND(IF(CA235=0,0,HLOOKUP(CA$14,Villagers!$B$1:$V$33,CA235+3,FALSE)),)</f>
        <v>0</v>
      </c>
      <c r="CW235" s="14">
        <f>ROUND(IF(CB235=0,0,HLOOKUP(CB$14,Villagers!$B$1:$V$33,CB235+3,FALSE)),)</f>
        <v>0</v>
      </c>
      <c r="CX235" s="14">
        <f>ROUND(IF(CC235=0,0,HLOOKUP(CC$14,Villagers!$B$1:$V$33,CC235+3,FALSE)),)</f>
        <v>0</v>
      </c>
      <c r="CY235" s="14">
        <f>ROUND(IF(CD235=0,0,HLOOKUP(CD$14,Villagers!$B$1:$V$33,CD235+3,FALSE)),)</f>
        <v>0</v>
      </c>
      <c r="CZ235" s="14">
        <f>ROUND(IF(CE235=0,0,HLOOKUP(CE$14,Villagers!$B$1:$V$33,CE235+3,FALSE)),)</f>
        <v>5</v>
      </c>
      <c r="DA235" s="14">
        <f>ROUND(IF(CF235=0,0,HLOOKUP(CF$14,Villagers!$B$1:$V$33,CF235+3,FALSE)),)</f>
        <v>10</v>
      </c>
      <c r="DB235" s="14">
        <f>ROUND(IF(CG235=0,0,HLOOKUP(CG$14,Villagers!$B$1:$V$33,CG235+3,FALSE)),)</f>
        <v>10</v>
      </c>
      <c r="DC235" s="14">
        <f>ROUND(IF(CH235=0,0,HLOOKUP(CH$14,Villagers!$B$1:$V$33,CH235+3,FALSE)),)</f>
        <v>0</v>
      </c>
      <c r="DD235" s="14">
        <f>ROUND(IF(CI235=0,0,HLOOKUP(CI$14,Villagers!$B$1:$V$33,CI235+3,FALSE)),)</f>
        <v>0</v>
      </c>
      <c r="DE235" s="14">
        <f>ROUND(IF(CJ235=0,0,HLOOKUP(CJ$14,Villagers!$B$1:$V$33,CJ235+3,FALSE)),)</f>
        <v>2</v>
      </c>
      <c r="DF235" s="370">
        <f>ROUND(IF(CK235=0,0,HLOOKUP(CK$14,Villagers!$B$1:$V$33,CK235+3,FALSE)),)</f>
        <v>0</v>
      </c>
      <c r="DG235" s="370">
        <f>ROUND(IF(CL235=0,0,HLOOKUP(CL$14,Villagers!$B$1:$V$33,CL235+3,FALSE)),)</f>
        <v>0</v>
      </c>
      <c r="DH235" s="34">
        <f>ROUND(IF(CM235=0,0,HLOOKUP(CM$14,Villagers!$B$1:$V$33,CM235+3,FALSE)),)</f>
        <v>0</v>
      </c>
      <c r="DI235" s="109">
        <f t="shared" si="336"/>
        <v>0</v>
      </c>
      <c r="DJ235" s="50">
        <f t="shared" si="337"/>
        <v>0</v>
      </c>
      <c r="DK235" s="50">
        <f t="shared" si="338"/>
        <v>0</v>
      </c>
      <c r="DL235" s="50">
        <f t="shared" si="339"/>
        <v>0</v>
      </c>
      <c r="DM235" s="50">
        <f t="shared" si="340"/>
        <v>0</v>
      </c>
      <c r="DN235" s="50">
        <f t="shared" si="341"/>
        <v>0</v>
      </c>
      <c r="DO235" s="50">
        <f t="shared" si="342"/>
        <v>0</v>
      </c>
      <c r="DP235" s="50">
        <f t="shared" si="343"/>
        <v>0</v>
      </c>
      <c r="DQ235" s="50">
        <f t="shared" si="321"/>
        <v>0</v>
      </c>
      <c r="DR235" s="50">
        <f t="shared" si="322"/>
        <v>0</v>
      </c>
      <c r="DS235" s="96">
        <f>Miscelaneous!$D$4*Miscelaneous!$D$2^($CI235-1)</f>
        <v>1000</v>
      </c>
      <c r="DT235" s="333">
        <f t="shared" si="303"/>
        <v>1</v>
      </c>
      <c r="DU235" s="81">
        <v>1</v>
      </c>
      <c r="DV235" s="79">
        <f t="shared" si="323"/>
        <v>0</v>
      </c>
      <c r="DW235" s="79">
        <f t="shared" si="324"/>
        <v>0</v>
      </c>
      <c r="DX235" s="79">
        <f t="shared" si="325"/>
        <v>0</v>
      </c>
      <c r="DY235" s="79">
        <v>1</v>
      </c>
      <c r="DZ235" s="79">
        <f t="shared" si="326"/>
        <v>0</v>
      </c>
      <c r="EA235" s="79">
        <f t="shared" si="327"/>
        <v>0</v>
      </c>
      <c r="EB235" s="79">
        <f t="shared" si="328"/>
        <v>0</v>
      </c>
      <c r="EC235" s="79">
        <f t="shared" si="329"/>
        <v>0</v>
      </c>
      <c r="ED235" s="79">
        <v>1</v>
      </c>
      <c r="EE235" s="79">
        <v>1</v>
      </c>
      <c r="EF235" s="79">
        <f t="shared" si="330"/>
        <v>0</v>
      </c>
      <c r="EG235" s="79">
        <v>1</v>
      </c>
      <c r="EH235" s="79">
        <v>1</v>
      </c>
      <c r="EI235" s="79">
        <v>1</v>
      </c>
      <c r="EJ235" s="79">
        <v>1</v>
      </c>
      <c r="EK235" s="79">
        <v>1</v>
      </c>
      <c r="EL235" s="79">
        <v>1</v>
      </c>
      <c r="EM235" s="143">
        <f t="shared" si="331"/>
        <v>0</v>
      </c>
      <c r="EN235" s="143">
        <f t="shared" si="332"/>
        <v>0</v>
      </c>
      <c r="EO235" s="82">
        <f t="shared" si="333"/>
        <v>0</v>
      </c>
    </row>
    <row r="236" spans="1:145" x14ac:dyDescent="0.25">
      <c r="A236">
        <v>222</v>
      </c>
      <c r="B236" s="172" t="e">
        <f t="shared" si="304"/>
        <v>#N/A</v>
      </c>
      <c r="C236" s="121" t="e">
        <f t="shared" si="283"/>
        <v>#N/A</v>
      </c>
      <c r="D236" s="122" t="e">
        <f t="shared" si="284"/>
        <v>#N/A</v>
      </c>
      <c r="E236" s="122" t="e">
        <f t="shared" si="285"/>
        <v>#N/A</v>
      </c>
      <c r="F236" s="176" t="e">
        <f t="shared" si="286"/>
        <v>#N/A</v>
      </c>
      <c r="G236" s="121">
        <f t="shared" si="305"/>
        <v>208</v>
      </c>
      <c r="H236" s="176" t="e">
        <f t="shared" si="306"/>
        <v>#N/A</v>
      </c>
      <c r="I236" s="48">
        <v>1</v>
      </c>
      <c r="J236" s="39"/>
      <c r="K236" s="350">
        <v>1</v>
      </c>
      <c r="L236" s="34" t="e">
        <f t="shared" si="287"/>
        <v>#N/A</v>
      </c>
      <c r="M236" s="38" t="e">
        <f>(HLOOKUP(J236,'Construction Times'!$B$3:$W$34,L236+2,FALSE)*HLOOKUP("hq modifier",'Construction Times'!$W$3:$W$34,BS236+2,FALSE))*(1-$H$9)</f>
        <v>#N/A</v>
      </c>
      <c r="N236" s="443" t="e">
        <f t="shared" si="307"/>
        <v>#N/A</v>
      </c>
      <c r="O236" s="444"/>
      <c r="P236" s="447" t="e">
        <f t="shared" si="308"/>
        <v>#N/A</v>
      </c>
      <c r="Q236" s="448"/>
      <c r="R236" s="103">
        <f t="shared" si="334"/>
        <v>0</v>
      </c>
      <c r="S236" s="104">
        <f t="shared" si="334"/>
        <v>0</v>
      </c>
      <c r="T236" s="104">
        <f t="shared" si="335"/>
        <v>0</v>
      </c>
      <c r="U236" s="104">
        <f t="shared" si="335"/>
        <v>0</v>
      </c>
      <c r="V236" s="104">
        <f t="shared" si="335"/>
        <v>9.9999999999999995E-8</v>
      </c>
      <c r="W236" s="104">
        <f t="shared" si="335"/>
        <v>0</v>
      </c>
      <c r="X236" s="104">
        <f t="shared" si="273"/>
        <v>0</v>
      </c>
      <c r="Y236" s="104">
        <f t="shared" si="273"/>
        <v>9.9999999999999995E-8</v>
      </c>
      <c r="Z236" s="104">
        <f t="shared" si="273"/>
        <v>9.9999999999999995E-8</v>
      </c>
      <c r="AA236" s="105">
        <f>AA235</f>
        <v>9.9999999999999995E-8</v>
      </c>
      <c r="AB236" s="101" t="e">
        <f>$DT236*HLOOKUP($J236,'Construction Costs (timber)'!$B$1:$V$32,'Construction Planner'!$L236+2,FALSE)</f>
        <v>#N/A</v>
      </c>
      <c r="AC236" s="14" t="e">
        <f>$DT236*HLOOKUP($J236,'Construction Costs (clay)'!$B$1:$V$32,'Construction Planner'!$L236+2,FALSE)</f>
        <v>#N/A</v>
      </c>
      <c r="AD236" s="14" t="e">
        <f>$DT236*HLOOKUP($J236,'Construction Costs (iron)'!$B$1:$V$32,'Construction Planner'!$L236+2,FALSE)</f>
        <v>#N/A</v>
      </c>
      <c r="AE236" s="34" t="e">
        <f t="shared" si="344"/>
        <v>#N/A</v>
      </c>
      <c r="AF236" s="33" t="e">
        <f t="shared" si="288"/>
        <v>#N/A</v>
      </c>
      <c r="AG236" s="14" t="e">
        <f t="shared" si="289"/>
        <v>#N/A</v>
      </c>
      <c r="AH236" s="14" t="e">
        <f t="shared" si="290"/>
        <v>#N/A</v>
      </c>
      <c r="AI236" s="34" t="e">
        <f t="shared" si="345"/>
        <v>#N/A</v>
      </c>
      <c r="AJ236" s="49" t="e">
        <f t="shared" si="309"/>
        <v>#N/A</v>
      </c>
      <c r="AK236" s="49" t="e">
        <f t="shared" si="310"/>
        <v>#N/A</v>
      </c>
      <c r="AL236" s="49" t="e">
        <f t="shared" si="311"/>
        <v>#N/A</v>
      </c>
      <c r="AM236" s="25">
        <f t="shared" si="291"/>
        <v>30</v>
      </c>
      <c r="AN236" s="25">
        <f t="shared" si="292"/>
        <v>30</v>
      </c>
      <c r="AO236" s="25">
        <f t="shared" si="293"/>
        <v>30</v>
      </c>
      <c r="AP236" s="52" t="e">
        <f t="shared" si="312"/>
        <v>#N/A</v>
      </c>
      <c r="AQ236" s="53" t="e">
        <f t="shared" si="312"/>
        <v>#N/A</v>
      </c>
      <c r="AR236" s="54" t="e">
        <f t="shared" si="312"/>
        <v>#N/A</v>
      </c>
      <c r="AS236" s="316">
        <f t="shared" si="362"/>
        <v>0</v>
      </c>
      <c r="AT236" s="106">
        <f>_xlfn.IFNA($M236/VLOOKUP($BT236,'Unit information'!$A$2:$K$29,2,FALSE)*R236,0)*(1+$E$9)</f>
        <v>0</v>
      </c>
      <c r="AU236" s="107">
        <f>_xlfn.IFNA($M236/VLOOKUP($BT236,'Unit information'!$A$2:$K$29,3,FALSE)*S236,0)*(1+$E$9)</f>
        <v>0</v>
      </c>
      <c r="AV236" s="107">
        <f>_xlfn.IFNA($M236/VLOOKUP($BT236,'Unit information'!$A$2:$K$29,4,FALSE)*T236,0)*(1+$E$9)</f>
        <v>0</v>
      </c>
      <c r="AW236" s="107">
        <f>_xlfn.IFNA($M236/VLOOKUP($BT236,'Unit information'!$A$2:$K$29,5,FALSE)*U236,0)*(1+$E$9)</f>
        <v>0</v>
      </c>
      <c r="AX236" s="107">
        <f>_xlfn.IFNA($M236/VLOOKUP($BU236,'Unit information'!$A$2:$K$29,6,FALSE)*V236,0)*(1+$E$9)</f>
        <v>0</v>
      </c>
      <c r="AY236" s="107">
        <f>_xlfn.IFNA($M236/VLOOKUP($BU236,'Unit information'!$A$2:$K$29,7,FALSE)*W236,0)*(1+$E$9)</f>
        <v>0</v>
      </c>
      <c r="AZ236" s="107">
        <f>_xlfn.IFNA($M236/VLOOKUP($BU236,'Unit information'!$A$2:$K$29,8,FALSE)*X236,0)*(1+$E$9)</f>
        <v>0</v>
      </c>
      <c r="BA236" s="107">
        <f>_xlfn.IFNA($M236/VLOOKUP($BU236,'Unit information'!$A$2:$K$29,9,FALSE)*Y236,0)*(1+$E$9)</f>
        <v>0</v>
      </c>
      <c r="BB236" s="107">
        <f>_xlfn.IFNA($M236/VLOOKUP($BV236,'Unit information'!$A$2:$K$29,10,FALSE)*Z236,0)*(1+$E$9)</f>
        <v>0</v>
      </c>
      <c r="BC236" s="108">
        <f>_xlfn.IFNA($M236/VLOOKUP($BV236,'Unit information'!$A$2:$K$29,11,FALSE)*AA236,0)*(1+$E$9)</f>
        <v>0</v>
      </c>
      <c r="BD236" s="106">
        <f t="shared" si="294"/>
        <v>0</v>
      </c>
      <c r="BE236" s="107">
        <f t="shared" si="295"/>
        <v>0</v>
      </c>
      <c r="BF236" s="108">
        <f t="shared" si="296"/>
        <v>0</v>
      </c>
      <c r="BG236" s="25" t="e">
        <f t="shared" si="297"/>
        <v>#N/A</v>
      </c>
      <c r="BH236" s="25" t="e">
        <f t="shared" si="298"/>
        <v>#N/A</v>
      </c>
      <c r="BI236" s="25" t="e">
        <f t="shared" si="299"/>
        <v>#N/A</v>
      </c>
      <c r="BJ236" s="27" t="e">
        <f t="shared" si="300"/>
        <v>#N/A</v>
      </c>
      <c r="BK236" s="18" t="e">
        <f t="shared" si="301"/>
        <v>#N/A</v>
      </c>
      <c r="BL236" s="18" t="e">
        <f t="shared" si="302"/>
        <v>#N/A</v>
      </c>
      <c r="BM236" s="28" t="e">
        <f t="shared" si="347"/>
        <v>#N/A</v>
      </c>
      <c r="BN236" s="33">
        <f>HLOOKUP("maximum population",Miscelaneous!$C$1:$C$33,CH236+3,FALSE)</f>
        <v>240</v>
      </c>
      <c r="BO236" s="14">
        <f t="shared" si="313"/>
        <v>32</v>
      </c>
      <c r="BP236" s="14">
        <f t="shared" si="314"/>
        <v>0</v>
      </c>
      <c r="BQ236" s="14">
        <f t="shared" si="315"/>
        <v>208</v>
      </c>
      <c r="BR236" s="34" t="e">
        <f>HLOOKUP(J236,Villagers!$B$1:$V$33,L236+3,FALSE)-HLOOKUP(J236,Villagers!$B$1:$V$33,L236+2,FALSE)</f>
        <v>#N/A</v>
      </c>
      <c r="BS236" s="49">
        <f t="shared" si="316"/>
        <v>1</v>
      </c>
      <c r="BT236" s="50">
        <f t="shared" si="317"/>
        <v>0</v>
      </c>
      <c r="BU236" s="50">
        <f t="shared" si="318"/>
        <v>0</v>
      </c>
      <c r="BV236" s="50">
        <f t="shared" si="319"/>
        <v>0</v>
      </c>
      <c r="BW236" s="50">
        <f t="shared" si="363"/>
        <v>0</v>
      </c>
      <c r="BX236" s="50">
        <f t="shared" si="364"/>
        <v>0</v>
      </c>
      <c r="BY236" s="50">
        <f t="shared" si="364"/>
        <v>0</v>
      </c>
      <c r="BZ236" s="50">
        <f t="shared" si="350"/>
        <v>0</v>
      </c>
      <c r="CA236" s="50">
        <f t="shared" si="351"/>
        <v>0</v>
      </c>
      <c r="CB236" s="50">
        <f t="shared" si="352"/>
        <v>1</v>
      </c>
      <c r="CC236" s="50">
        <f t="shared" si="353"/>
        <v>0</v>
      </c>
      <c r="CD236" s="50">
        <f t="shared" si="354"/>
        <v>0</v>
      </c>
      <c r="CE236" s="50">
        <f t="shared" si="355"/>
        <v>1</v>
      </c>
      <c r="CF236" s="50">
        <f t="shared" si="356"/>
        <v>1</v>
      </c>
      <c r="CG236" s="50">
        <f t="shared" si="357"/>
        <v>1</v>
      </c>
      <c r="CH236" s="50">
        <f t="shared" si="358"/>
        <v>1</v>
      </c>
      <c r="CI236" s="50">
        <f t="shared" si="359"/>
        <v>1</v>
      </c>
      <c r="CJ236" s="50">
        <f t="shared" si="360"/>
        <v>1</v>
      </c>
      <c r="CK236" s="50">
        <f t="shared" si="360"/>
        <v>0</v>
      </c>
      <c r="CL236" s="50">
        <f t="shared" si="360"/>
        <v>0</v>
      </c>
      <c r="CM236" s="51">
        <f t="shared" si="274"/>
        <v>0</v>
      </c>
      <c r="CN236" s="33">
        <f>ROUND(IF(BS236=0,0,HLOOKUP(BS$14,Villagers!$B$1:$V$33,BS236+3,FALSE)),)</f>
        <v>5</v>
      </c>
      <c r="CO236" s="14">
        <f>ROUND(IF(BT236=0,0,HLOOKUP(BT$14,Villagers!$B$1:$V$33,BT236+3,FALSE)),)</f>
        <v>0</v>
      </c>
      <c r="CP236" s="14">
        <f>ROUND(IF(BU236=0,0,HLOOKUP(BU$14,Villagers!$B$1:$V$33,BU236+3,FALSE)),)</f>
        <v>0</v>
      </c>
      <c r="CQ236" s="14">
        <f>ROUND(IF(BV236=0,0,HLOOKUP(BV$14,Villagers!$B$1:$V$33,BV236+3,FALSE)),)</f>
        <v>0</v>
      </c>
      <c r="CR236" s="14">
        <f>ROUND(IF(BW236=0,0,HLOOKUP(BW$14,Villagers!$B$1:$V$33,BW236+3,FALSE)),)</f>
        <v>0</v>
      </c>
      <c r="CS236" s="14">
        <f>ROUND(IF(BX236=0,0,HLOOKUP(BX$14,Villagers!$B$1:$V$33,BX236+3,FALSE)),)</f>
        <v>0</v>
      </c>
      <c r="CT236" s="14">
        <f>ROUND(IF(BY236=0,0,HLOOKUP(BY$14,Villagers!$B$1:$V$33,BY236+3,FALSE)),)</f>
        <v>0</v>
      </c>
      <c r="CU236" s="14">
        <f>ROUND(IF(BZ236=0,0,HLOOKUP(BZ$14,Villagers!$B$1:$V$33,BZ236+3,FALSE)),)</f>
        <v>0</v>
      </c>
      <c r="CV236" s="14">
        <f>ROUND(IF(CA236=0,0,HLOOKUP(CA$14,Villagers!$B$1:$V$33,CA236+3,FALSE)),)</f>
        <v>0</v>
      </c>
      <c r="CW236" s="14">
        <f>ROUND(IF(CB236=0,0,HLOOKUP(CB$14,Villagers!$B$1:$V$33,CB236+3,FALSE)),)</f>
        <v>0</v>
      </c>
      <c r="CX236" s="14">
        <f>ROUND(IF(CC236=0,0,HLOOKUP(CC$14,Villagers!$B$1:$V$33,CC236+3,FALSE)),)</f>
        <v>0</v>
      </c>
      <c r="CY236" s="14">
        <f>ROUND(IF(CD236=0,0,HLOOKUP(CD$14,Villagers!$B$1:$V$33,CD236+3,FALSE)),)</f>
        <v>0</v>
      </c>
      <c r="CZ236" s="14">
        <f>ROUND(IF(CE236=0,0,HLOOKUP(CE$14,Villagers!$B$1:$V$33,CE236+3,FALSE)),)</f>
        <v>5</v>
      </c>
      <c r="DA236" s="14">
        <f>ROUND(IF(CF236=0,0,HLOOKUP(CF$14,Villagers!$B$1:$V$33,CF236+3,FALSE)),)</f>
        <v>10</v>
      </c>
      <c r="DB236" s="14">
        <f>ROUND(IF(CG236=0,0,HLOOKUP(CG$14,Villagers!$B$1:$V$33,CG236+3,FALSE)),)</f>
        <v>10</v>
      </c>
      <c r="DC236" s="14">
        <f>ROUND(IF(CH236=0,0,HLOOKUP(CH$14,Villagers!$B$1:$V$33,CH236+3,FALSE)),)</f>
        <v>0</v>
      </c>
      <c r="DD236" s="14">
        <f>ROUND(IF(CI236=0,0,HLOOKUP(CI$14,Villagers!$B$1:$V$33,CI236+3,FALSE)),)</f>
        <v>0</v>
      </c>
      <c r="DE236" s="14">
        <f>ROUND(IF(CJ236=0,0,HLOOKUP(CJ$14,Villagers!$B$1:$V$33,CJ236+3,FALSE)),)</f>
        <v>2</v>
      </c>
      <c r="DF236" s="370">
        <f>ROUND(IF(CK236=0,0,HLOOKUP(CK$14,Villagers!$B$1:$V$33,CK236+3,FALSE)),)</f>
        <v>0</v>
      </c>
      <c r="DG236" s="370">
        <f>ROUND(IF(CL236=0,0,HLOOKUP(CL$14,Villagers!$B$1:$V$33,CL236+3,FALSE)),)</f>
        <v>0</v>
      </c>
      <c r="DH236" s="34">
        <f>ROUND(IF(CM236=0,0,HLOOKUP(CM$14,Villagers!$B$1:$V$33,CM236+3,FALSE)),)</f>
        <v>0</v>
      </c>
      <c r="DI236" s="109">
        <f t="shared" si="336"/>
        <v>0</v>
      </c>
      <c r="DJ236" s="50">
        <f t="shared" si="337"/>
        <v>0</v>
      </c>
      <c r="DK236" s="50">
        <f t="shared" si="338"/>
        <v>0</v>
      </c>
      <c r="DL236" s="50">
        <f t="shared" si="339"/>
        <v>0</v>
      </c>
      <c r="DM236" s="50">
        <f t="shared" si="340"/>
        <v>0</v>
      </c>
      <c r="DN236" s="50">
        <f t="shared" si="341"/>
        <v>0</v>
      </c>
      <c r="DO236" s="50">
        <f t="shared" si="342"/>
        <v>0</v>
      </c>
      <c r="DP236" s="50">
        <f t="shared" si="343"/>
        <v>0</v>
      </c>
      <c r="DQ236" s="50">
        <f t="shared" si="321"/>
        <v>0</v>
      </c>
      <c r="DR236" s="50">
        <f t="shared" si="322"/>
        <v>0</v>
      </c>
      <c r="DS236" s="96">
        <f>Miscelaneous!$D$4*Miscelaneous!$D$2^($CI236-1)</f>
        <v>1000</v>
      </c>
      <c r="DT236" s="333">
        <f t="shared" si="303"/>
        <v>1</v>
      </c>
      <c r="DU236" s="81">
        <v>1</v>
      </c>
      <c r="DV236" s="79">
        <f t="shared" si="323"/>
        <v>0</v>
      </c>
      <c r="DW236" s="79">
        <f t="shared" si="324"/>
        <v>0</v>
      </c>
      <c r="DX236" s="79">
        <f t="shared" si="325"/>
        <v>0</v>
      </c>
      <c r="DY236" s="79">
        <v>1</v>
      </c>
      <c r="DZ236" s="79">
        <f t="shared" si="326"/>
        <v>0</v>
      </c>
      <c r="EA236" s="79">
        <f t="shared" si="327"/>
        <v>0</v>
      </c>
      <c r="EB236" s="79">
        <f t="shared" si="328"/>
        <v>0</v>
      </c>
      <c r="EC236" s="79">
        <f t="shared" si="329"/>
        <v>0</v>
      </c>
      <c r="ED236" s="79">
        <v>1</v>
      </c>
      <c r="EE236" s="79">
        <v>1</v>
      </c>
      <c r="EF236" s="79">
        <f t="shared" si="330"/>
        <v>0</v>
      </c>
      <c r="EG236" s="79">
        <v>1</v>
      </c>
      <c r="EH236" s="79">
        <v>1</v>
      </c>
      <c r="EI236" s="79">
        <v>1</v>
      </c>
      <c r="EJ236" s="79">
        <v>1</v>
      </c>
      <c r="EK236" s="79">
        <v>1</v>
      </c>
      <c r="EL236" s="79">
        <v>1</v>
      </c>
      <c r="EM236" s="143">
        <f t="shared" si="331"/>
        <v>0</v>
      </c>
      <c r="EN236" s="143">
        <f t="shared" si="332"/>
        <v>0</v>
      </c>
      <c r="EO236" s="82">
        <f t="shared" si="333"/>
        <v>0</v>
      </c>
    </row>
    <row r="237" spans="1:145" x14ac:dyDescent="0.25">
      <c r="A237">
        <v>223</v>
      </c>
      <c r="B237" s="172" t="e">
        <f t="shared" si="304"/>
        <v>#N/A</v>
      </c>
      <c r="C237" s="121" t="e">
        <f t="shared" si="283"/>
        <v>#N/A</v>
      </c>
      <c r="D237" s="122" t="e">
        <f t="shared" si="284"/>
        <v>#N/A</v>
      </c>
      <c r="E237" s="122" t="e">
        <f t="shared" si="285"/>
        <v>#N/A</v>
      </c>
      <c r="F237" s="176" t="e">
        <f t="shared" si="286"/>
        <v>#N/A</v>
      </c>
      <c r="G237" s="121">
        <f t="shared" si="305"/>
        <v>208</v>
      </c>
      <c r="H237" s="176" t="e">
        <f t="shared" si="306"/>
        <v>#N/A</v>
      </c>
      <c r="I237" s="48">
        <v>1</v>
      </c>
      <c r="J237" s="39"/>
      <c r="K237" s="350">
        <v>1</v>
      </c>
      <c r="L237" s="34" t="e">
        <f t="shared" si="287"/>
        <v>#N/A</v>
      </c>
      <c r="M237" s="38" t="e">
        <f>(HLOOKUP(J237,'Construction Times'!$B$3:$W$34,L237+2,FALSE)*HLOOKUP("hq modifier",'Construction Times'!$W$3:$W$34,BS237+2,FALSE))*(1-$H$9)</f>
        <v>#N/A</v>
      </c>
      <c r="N237" s="443" t="e">
        <f t="shared" si="307"/>
        <v>#N/A</v>
      </c>
      <c r="O237" s="444"/>
      <c r="P237" s="447" t="e">
        <f t="shared" si="308"/>
        <v>#N/A</v>
      </c>
      <c r="Q237" s="448"/>
      <c r="R237" s="103">
        <f t="shared" si="334"/>
        <v>0</v>
      </c>
      <c r="S237" s="104">
        <f t="shared" si="334"/>
        <v>0</v>
      </c>
      <c r="T237" s="104">
        <f t="shared" si="335"/>
        <v>0</v>
      </c>
      <c r="U237" s="104">
        <f t="shared" si="335"/>
        <v>0</v>
      </c>
      <c r="V237" s="104">
        <f t="shared" si="335"/>
        <v>9.9999999999999995E-8</v>
      </c>
      <c r="W237" s="104">
        <f t="shared" si="335"/>
        <v>0</v>
      </c>
      <c r="X237" s="104">
        <f t="shared" ref="X237:AA300" si="365">X236</f>
        <v>0</v>
      </c>
      <c r="Y237" s="104">
        <f t="shared" si="365"/>
        <v>9.9999999999999995E-8</v>
      </c>
      <c r="Z237" s="104">
        <f t="shared" si="365"/>
        <v>9.9999999999999995E-8</v>
      </c>
      <c r="AA237" s="105">
        <f t="shared" si="365"/>
        <v>9.9999999999999995E-8</v>
      </c>
      <c r="AB237" s="101" t="e">
        <f>$DT237*HLOOKUP($J237,'Construction Costs (timber)'!$B$1:$V$32,'Construction Planner'!$L237+2,FALSE)</f>
        <v>#N/A</v>
      </c>
      <c r="AC237" s="14" t="e">
        <f>$DT237*HLOOKUP($J237,'Construction Costs (clay)'!$B$1:$V$32,'Construction Planner'!$L237+2,FALSE)</f>
        <v>#N/A</v>
      </c>
      <c r="AD237" s="14" t="e">
        <f>$DT237*HLOOKUP($J237,'Construction Costs (iron)'!$B$1:$V$32,'Construction Planner'!$L237+2,FALSE)</f>
        <v>#N/A</v>
      </c>
      <c r="AE237" s="34" t="e">
        <f t="shared" si="344"/>
        <v>#N/A</v>
      </c>
      <c r="AF237" s="33" t="e">
        <f t="shared" si="288"/>
        <v>#N/A</v>
      </c>
      <c r="AG237" s="14" t="e">
        <f t="shared" si="289"/>
        <v>#N/A</v>
      </c>
      <c r="AH237" s="14" t="e">
        <f t="shared" si="290"/>
        <v>#N/A</v>
      </c>
      <c r="AI237" s="34" t="e">
        <f t="shared" si="345"/>
        <v>#N/A</v>
      </c>
      <c r="AJ237" s="49" t="e">
        <f t="shared" si="309"/>
        <v>#N/A</v>
      </c>
      <c r="AK237" s="49" t="e">
        <f t="shared" si="310"/>
        <v>#N/A</v>
      </c>
      <c r="AL237" s="49" t="e">
        <f t="shared" si="311"/>
        <v>#N/A</v>
      </c>
      <c r="AM237" s="25">
        <f t="shared" si="291"/>
        <v>30</v>
      </c>
      <c r="AN237" s="25">
        <f t="shared" si="292"/>
        <v>30</v>
      </c>
      <c r="AO237" s="25">
        <f t="shared" si="293"/>
        <v>30</v>
      </c>
      <c r="AP237" s="52" t="e">
        <f t="shared" si="312"/>
        <v>#N/A</v>
      </c>
      <c r="AQ237" s="53" t="e">
        <f t="shared" si="312"/>
        <v>#N/A</v>
      </c>
      <c r="AR237" s="54" t="e">
        <f t="shared" si="312"/>
        <v>#N/A</v>
      </c>
      <c r="AS237" s="316">
        <f t="shared" si="362"/>
        <v>0</v>
      </c>
      <c r="AT237" s="106">
        <f>_xlfn.IFNA($M237/VLOOKUP($BT237,'Unit information'!$A$2:$K$29,2,FALSE)*R237,0)*(1+$E$9)</f>
        <v>0</v>
      </c>
      <c r="AU237" s="107">
        <f>_xlfn.IFNA($M237/VLOOKUP($BT237,'Unit information'!$A$2:$K$29,3,FALSE)*S237,0)*(1+$E$9)</f>
        <v>0</v>
      </c>
      <c r="AV237" s="107">
        <f>_xlfn.IFNA($M237/VLOOKUP($BT237,'Unit information'!$A$2:$K$29,4,FALSE)*T237,0)*(1+$E$9)</f>
        <v>0</v>
      </c>
      <c r="AW237" s="107">
        <f>_xlfn.IFNA($M237/VLOOKUP($BT237,'Unit information'!$A$2:$K$29,5,FALSE)*U237,0)*(1+$E$9)</f>
        <v>0</v>
      </c>
      <c r="AX237" s="107">
        <f>_xlfn.IFNA($M237/VLOOKUP($BU237,'Unit information'!$A$2:$K$29,6,FALSE)*V237,0)*(1+$E$9)</f>
        <v>0</v>
      </c>
      <c r="AY237" s="107">
        <f>_xlfn.IFNA($M237/VLOOKUP($BU237,'Unit information'!$A$2:$K$29,7,FALSE)*W237,0)*(1+$E$9)</f>
        <v>0</v>
      </c>
      <c r="AZ237" s="107">
        <f>_xlfn.IFNA($M237/VLOOKUP($BU237,'Unit information'!$A$2:$K$29,8,FALSE)*X237,0)*(1+$E$9)</f>
        <v>0</v>
      </c>
      <c r="BA237" s="107">
        <f>_xlfn.IFNA($M237/VLOOKUP($BU237,'Unit information'!$A$2:$K$29,9,FALSE)*Y237,0)*(1+$E$9)</f>
        <v>0</v>
      </c>
      <c r="BB237" s="107">
        <f>_xlfn.IFNA($M237/VLOOKUP($BV237,'Unit information'!$A$2:$K$29,10,FALSE)*Z237,0)*(1+$E$9)</f>
        <v>0</v>
      </c>
      <c r="BC237" s="108">
        <f>_xlfn.IFNA($M237/VLOOKUP($BV237,'Unit information'!$A$2:$K$29,11,FALSE)*AA237,0)*(1+$E$9)</f>
        <v>0</v>
      </c>
      <c r="BD237" s="106">
        <f t="shared" si="294"/>
        <v>0</v>
      </c>
      <c r="BE237" s="107">
        <f t="shared" si="295"/>
        <v>0</v>
      </c>
      <c r="BF237" s="108">
        <f t="shared" si="296"/>
        <v>0</v>
      </c>
      <c r="BG237" s="25" t="e">
        <f t="shared" si="297"/>
        <v>#N/A</v>
      </c>
      <c r="BH237" s="25" t="e">
        <f t="shared" si="298"/>
        <v>#N/A</v>
      </c>
      <c r="BI237" s="25" t="e">
        <f t="shared" si="299"/>
        <v>#N/A</v>
      </c>
      <c r="BJ237" s="27" t="e">
        <f t="shared" si="300"/>
        <v>#N/A</v>
      </c>
      <c r="BK237" s="18" t="e">
        <f t="shared" si="301"/>
        <v>#N/A</v>
      </c>
      <c r="BL237" s="18" t="e">
        <f t="shared" si="302"/>
        <v>#N/A</v>
      </c>
      <c r="BM237" s="28" t="e">
        <f t="shared" si="347"/>
        <v>#N/A</v>
      </c>
      <c r="BN237" s="33">
        <f>HLOOKUP("maximum population",Miscelaneous!$C$1:$C$33,CH237+3,FALSE)</f>
        <v>240</v>
      </c>
      <c r="BO237" s="14">
        <f t="shared" si="313"/>
        <v>32</v>
      </c>
      <c r="BP237" s="14">
        <f t="shared" si="314"/>
        <v>0</v>
      </c>
      <c r="BQ237" s="14">
        <f t="shared" si="315"/>
        <v>208</v>
      </c>
      <c r="BR237" s="34" t="e">
        <f>HLOOKUP(J237,Villagers!$B$1:$V$33,L237+3,FALSE)-HLOOKUP(J237,Villagers!$B$1:$V$33,L237+2,FALSE)</f>
        <v>#N/A</v>
      </c>
      <c r="BS237" s="49">
        <f t="shared" si="316"/>
        <v>1</v>
      </c>
      <c r="BT237" s="50">
        <f t="shared" si="317"/>
        <v>0</v>
      </c>
      <c r="BU237" s="50">
        <f t="shared" si="318"/>
        <v>0</v>
      </c>
      <c r="BV237" s="50">
        <f t="shared" si="319"/>
        <v>0</v>
      </c>
      <c r="BW237" s="50">
        <f t="shared" si="363"/>
        <v>0</v>
      </c>
      <c r="BX237" s="50">
        <f t="shared" si="364"/>
        <v>0</v>
      </c>
      <c r="BY237" s="50">
        <f t="shared" si="364"/>
        <v>0</v>
      </c>
      <c r="BZ237" s="50">
        <f t="shared" si="350"/>
        <v>0</v>
      </c>
      <c r="CA237" s="50">
        <f t="shared" si="351"/>
        <v>0</v>
      </c>
      <c r="CB237" s="50">
        <f t="shared" si="352"/>
        <v>1</v>
      </c>
      <c r="CC237" s="50">
        <f t="shared" si="353"/>
        <v>0</v>
      </c>
      <c r="CD237" s="50">
        <f t="shared" si="354"/>
        <v>0</v>
      </c>
      <c r="CE237" s="50">
        <f t="shared" si="355"/>
        <v>1</v>
      </c>
      <c r="CF237" s="50">
        <f t="shared" si="356"/>
        <v>1</v>
      </c>
      <c r="CG237" s="50">
        <f t="shared" si="357"/>
        <v>1</v>
      </c>
      <c r="CH237" s="50">
        <f t="shared" si="358"/>
        <v>1</v>
      </c>
      <c r="CI237" s="50">
        <f t="shared" si="359"/>
        <v>1</v>
      </c>
      <c r="CJ237" s="50">
        <f t="shared" si="360"/>
        <v>1</v>
      </c>
      <c r="CK237" s="50">
        <f t="shared" si="360"/>
        <v>0</v>
      </c>
      <c r="CL237" s="50">
        <f t="shared" si="360"/>
        <v>0</v>
      </c>
      <c r="CM237" s="51">
        <f t="shared" si="274"/>
        <v>0</v>
      </c>
      <c r="CN237" s="33">
        <f>ROUND(IF(BS237=0,0,HLOOKUP(BS$14,Villagers!$B$1:$V$33,BS237+3,FALSE)),)</f>
        <v>5</v>
      </c>
      <c r="CO237" s="14">
        <f>ROUND(IF(BT237=0,0,HLOOKUP(BT$14,Villagers!$B$1:$V$33,BT237+3,FALSE)),)</f>
        <v>0</v>
      </c>
      <c r="CP237" s="14">
        <f>ROUND(IF(BU237=0,0,HLOOKUP(BU$14,Villagers!$B$1:$V$33,BU237+3,FALSE)),)</f>
        <v>0</v>
      </c>
      <c r="CQ237" s="14">
        <f>ROUND(IF(BV237=0,0,HLOOKUP(BV$14,Villagers!$B$1:$V$33,BV237+3,FALSE)),)</f>
        <v>0</v>
      </c>
      <c r="CR237" s="14">
        <f>ROUND(IF(BW237=0,0,HLOOKUP(BW$14,Villagers!$B$1:$V$33,BW237+3,FALSE)),)</f>
        <v>0</v>
      </c>
      <c r="CS237" s="14">
        <f>ROUND(IF(BX237=0,0,HLOOKUP(BX$14,Villagers!$B$1:$V$33,BX237+3,FALSE)),)</f>
        <v>0</v>
      </c>
      <c r="CT237" s="14">
        <f>ROUND(IF(BY237=0,0,HLOOKUP(BY$14,Villagers!$B$1:$V$33,BY237+3,FALSE)),)</f>
        <v>0</v>
      </c>
      <c r="CU237" s="14">
        <f>ROUND(IF(BZ237=0,0,HLOOKUP(BZ$14,Villagers!$B$1:$V$33,BZ237+3,FALSE)),)</f>
        <v>0</v>
      </c>
      <c r="CV237" s="14">
        <f>ROUND(IF(CA237=0,0,HLOOKUP(CA$14,Villagers!$B$1:$V$33,CA237+3,FALSE)),)</f>
        <v>0</v>
      </c>
      <c r="CW237" s="14">
        <f>ROUND(IF(CB237=0,0,HLOOKUP(CB$14,Villagers!$B$1:$V$33,CB237+3,FALSE)),)</f>
        <v>0</v>
      </c>
      <c r="CX237" s="14">
        <f>ROUND(IF(CC237=0,0,HLOOKUP(CC$14,Villagers!$B$1:$V$33,CC237+3,FALSE)),)</f>
        <v>0</v>
      </c>
      <c r="CY237" s="14">
        <f>ROUND(IF(CD237=0,0,HLOOKUP(CD$14,Villagers!$B$1:$V$33,CD237+3,FALSE)),)</f>
        <v>0</v>
      </c>
      <c r="CZ237" s="14">
        <f>ROUND(IF(CE237=0,0,HLOOKUP(CE$14,Villagers!$B$1:$V$33,CE237+3,FALSE)),)</f>
        <v>5</v>
      </c>
      <c r="DA237" s="14">
        <f>ROUND(IF(CF237=0,0,HLOOKUP(CF$14,Villagers!$B$1:$V$33,CF237+3,FALSE)),)</f>
        <v>10</v>
      </c>
      <c r="DB237" s="14">
        <f>ROUND(IF(CG237=0,0,HLOOKUP(CG$14,Villagers!$B$1:$V$33,CG237+3,FALSE)),)</f>
        <v>10</v>
      </c>
      <c r="DC237" s="14">
        <f>ROUND(IF(CH237=0,0,HLOOKUP(CH$14,Villagers!$B$1:$V$33,CH237+3,FALSE)),)</f>
        <v>0</v>
      </c>
      <c r="DD237" s="14">
        <f>ROUND(IF(CI237=0,0,HLOOKUP(CI$14,Villagers!$B$1:$V$33,CI237+3,FALSE)),)</f>
        <v>0</v>
      </c>
      <c r="DE237" s="14">
        <f>ROUND(IF(CJ237=0,0,HLOOKUP(CJ$14,Villagers!$B$1:$V$33,CJ237+3,FALSE)),)</f>
        <v>2</v>
      </c>
      <c r="DF237" s="370">
        <f>ROUND(IF(CK237=0,0,HLOOKUP(CK$14,Villagers!$B$1:$V$33,CK237+3,FALSE)),)</f>
        <v>0</v>
      </c>
      <c r="DG237" s="370">
        <f>ROUND(IF(CL237=0,0,HLOOKUP(CL$14,Villagers!$B$1:$V$33,CL237+3,FALSE)),)</f>
        <v>0</v>
      </c>
      <c r="DH237" s="34">
        <f>ROUND(IF(CM237=0,0,HLOOKUP(CM$14,Villagers!$B$1:$V$33,CM237+3,FALSE)),)</f>
        <v>0</v>
      </c>
      <c r="DI237" s="109">
        <f t="shared" si="336"/>
        <v>0</v>
      </c>
      <c r="DJ237" s="50">
        <f t="shared" si="337"/>
        <v>0</v>
      </c>
      <c r="DK237" s="50">
        <f t="shared" si="338"/>
        <v>0</v>
      </c>
      <c r="DL237" s="50">
        <f t="shared" si="339"/>
        <v>0</v>
      </c>
      <c r="DM237" s="50">
        <f t="shared" si="340"/>
        <v>0</v>
      </c>
      <c r="DN237" s="50">
        <f t="shared" si="341"/>
        <v>0</v>
      </c>
      <c r="DO237" s="50">
        <f t="shared" si="342"/>
        <v>0</v>
      </c>
      <c r="DP237" s="50">
        <f t="shared" si="343"/>
        <v>0</v>
      </c>
      <c r="DQ237" s="50">
        <f t="shared" si="321"/>
        <v>0</v>
      </c>
      <c r="DR237" s="50">
        <f t="shared" si="322"/>
        <v>0</v>
      </c>
      <c r="DS237" s="96">
        <f>Miscelaneous!$D$4*Miscelaneous!$D$2^($CI237-1)</f>
        <v>1000</v>
      </c>
      <c r="DT237" s="333">
        <f t="shared" si="303"/>
        <v>1</v>
      </c>
      <c r="DU237" s="81">
        <v>1</v>
      </c>
      <c r="DV237" s="79">
        <f t="shared" si="323"/>
        <v>0</v>
      </c>
      <c r="DW237" s="79">
        <f t="shared" si="324"/>
        <v>0</v>
      </c>
      <c r="DX237" s="79">
        <f t="shared" si="325"/>
        <v>0</v>
      </c>
      <c r="DY237" s="79">
        <v>1</v>
      </c>
      <c r="DZ237" s="79">
        <f t="shared" si="326"/>
        <v>0</v>
      </c>
      <c r="EA237" s="79">
        <f t="shared" si="327"/>
        <v>0</v>
      </c>
      <c r="EB237" s="79">
        <f t="shared" si="328"/>
        <v>0</v>
      </c>
      <c r="EC237" s="79">
        <f t="shared" si="329"/>
        <v>0</v>
      </c>
      <c r="ED237" s="79">
        <v>1</v>
      </c>
      <c r="EE237" s="79">
        <v>1</v>
      </c>
      <c r="EF237" s="79">
        <f t="shared" si="330"/>
        <v>0</v>
      </c>
      <c r="EG237" s="79">
        <v>1</v>
      </c>
      <c r="EH237" s="79">
        <v>1</v>
      </c>
      <c r="EI237" s="79">
        <v>1</v>
      </c>
      <c r="EJ237" s="79">
        <v>1</v>
      </c>
      <c r="EK237" s="79">
        <v>1</v>
      </c>
      <c r="EL237" s="79">
        <v>1</v>
      </c>
      <c r="EM237" s="143">
        <f t="shared" si="331"/>
        <v>0</v>
      </c>
      <c r="EN237" s="143">
        <f t="shared" si="332"/>
        <v>0</v>
      </c>
      <c r="EO237" s="82">
        <f t="shared" si="333"/>
        <v>0</v>
      </c>
    </row>
    <row r="238" spans="1:145" x14ac:dyDescent="0.25">
      <c r="A238">
        <v>224</v>
      </c>
      <c r="B238" s="172" t="e">
        <f t="shared" si="304"/>
        <v>#N/A</v>
      </c>
      <c r="C238" s="121" t="e">
        <f t="shared" si="283"/>
        <v>#N/A</v>
      </c>
      <c r="D238" s="122" t="e">
        <f t="shared" si="284"/>
        <v>#N/A</v>
      </c>
      <c r="E238" s="122" t="e">
        <f t="shared" si="285"/>
        <v>#N/A</v>
      </c>
      <c r="F238" s="176" t="e">
        <f t="shared" si="286"/>
        <v>#N/A</v>
      </c>
      <c r="G238" s="121">
        <f t="shared" si="305"/>
        <v>208</v>
      </c>
      <c r="H238" s="176" t="e">
        <f t="shared" si="306"/>
        <v>#N/A</v>
      </c>
      <c r="I238" s="48">
        <v>1</v>
      </c>
      <c r="J238" s="39"/>
      <c r="K238" s="350">
        <v>1</v>
      </c>
      <c r="L238" s="34" t="e">
        <f t="shared" si="287"/>
        <v>#N/A</v>
      </c>
      <c r="M238" s="38" t="e">
        <f>(HLOOKUP(J238,'Construction Times'!$B$3:$W$34,L238+2,FALSE)*HLOOKUP("hq modifier",'Construction Times'!$W$3:$W$34,BS238+2,FALSE))*(1-$H$9)</f>
        <v>#N/A</v>
      </c>
      <c r="N238" s="443" t="e">
        <f t="shared" si="307"/>
        <v>#N/A</v>
      </c>
      <c r="O238" s="444"/>
      <c r="P238" s="447" t="e">
        <f t="shared" si="308"/>
        <v>#N/A</v>
      </c>
      <c r="Q238" s="448"/>
      <c r="R238" s="103">
        <f t="shared" si="334"/>
        <v>0</v>
      </c>
      <c r="S238" s="104">
        <f t="shared" si="334"/>
        <v>0</v>
      </c>
      <c r="T238" s="104">
        <f t="shared" si="335"/>
        <v>0</v>
      </c>
      <c r="U238" s="104">
        <f t="shared" si="335"/>
        <v>0</v>
      </c>
      <c r="V238" s="104">
        <f t="shared" si="335"/>
        <v>9.9999999999999995E-8</v>
      </c>
      <c r="W238" s="104">
        <f t="shared" si="335"/>
        <v>0</v>
      </c>
      <c r="X238" s="104">
        <f t="shared" si="365"/>
        <v>0</v>
      </c>
      <c r="Y238" s="104">
        <f t="shared" si="365"/>
        <v>9.9999999999999995E-8</v>
      </c>
      <c r="Z238" s="104">
        <f t="shared" si="365"/>
        <v>9.9999999999999995E-8</v>
      </c>
      <c r="AA238" s="105">
        <f t="shared" si="365"/>
        <v>9.9999999999999995E-8</v>
      </c>
      <c r="AB238" s="101" t="e">
        <f>$DT238*HLOOKUP($J238,'Construction Costs (timber)'!$B$1:$V$32,'Construction Planner'!$L238+2,FALSE)</f>
        <v>#N/A</v>
      </c>
      <c r="AC238" s="14" t="e">
        <f>$DT238*HLOOKUP($J238,'Construction Costs (clay)'!$B$1:$V$32,'Construction Planner'!$L238+2,FALSE)</f>
        <v>#N/A</v>
      </c>
      <c r="AD238" s="14" t="e">
        <f>$DT238*HLOOKUP($J238,'Construction Costs (iron)'!$B$1:$V$32,'Construction Planner'!$L238+2,FALSE)</f>
        <v>#N/A</v>
      </c>
      <c r="AE238" s="34" t="e">
        <f t="shared" si="344"/>
        <v>#N/A</v>
      </c>
      <c r="AF238" s="33" t="e">
        <f t="shared" si="288"/>
        <v>#N/A</v>
      </c>
      <c r="AG238" s="14" t="e">
        <f t="shared" si="289"/>
        <v>#N/A</v>
      </c>
      <c r="AH238" s="14" t="e">
        <f t="shared" si="290"/>
        <v>#N/A</v>
      </c>
      <c r="AI238" s="34" t="e">
        <f t="shared" si="345"/>
        <v>#N/A</v>
      </c>
      <c r="AJ238" s="49" t="e">
        <f t="shared" si="309"/>
        <v>#N/A</v>
      </c>
      <c r="AK238" s="49" t="e">
        <f t="shared" si="310"/>
        <v>#N/A</v>
      </c>
      <c r="AL238" s="49" t="e">
        <f t="shared" si="311"/>
        <v>#N/A</v>
      </c>
      <c r="AM238" s="25">
        <f t="shared" si="291"/>
        <v>30</v>
      </c>
      <c r="AN238" s="25">
        <f t="shared" si="292"/>
        <v>30</v>
      </c>
      <c r="AO238" s="25">
        <f t="shared" si="293"/>
        <v>30</v>
      </c>
      <c r="AP238" s="52" t="e">
        <f t="shared" si="312"/>
        <v>#N/A</v>
      </c>
      <c r="AQ238" s="53" t="e">
        <f t="shared" si="312"/>
        <v>#N/A</v>
      </c>
      <c r="AR238" s="54" t="e">
        <f t="shared" si="312"/>
        <v>#N/A</v>
      </c>
      <c r="AS238" s="316">
        <f t="shared" si="362"/>
        <v>0</v>
      </c>
      <c r="AT238" s="106">
        <f>_xlfn.IFNA($M238/VLOOKUP($BT238,'Unit information'!$A$2:$K$29,2,FALSE)*R238,0)*(1+$E$9)</f>
        <v>0</v>
      </c>
      <c r="AU238" s="107">
        <f>_xlfn.IFNA($M238/VLOOKUP($BT238,'Unit information'!$A$2:$K$29,3,FALSE)*S238,0)*(1+$E$9)</f>
        <v>0</v>
      </c>
      <c r="AV238" s="107">
        <f>_xlfn.IFNA($M238/VLOOKUP($BT238,'Unit information'!$A$2:$K$29,4,FALSE)*T238,0)*(1+$E$9)</f>
        <v>0</v>
      </c>
      <c r="AW238" s="107">
        <f>_xlfn.IFNA($M238/VLOOKUP($BT238,'Unit information'!$A$2:$K$29,5,FALSE)*U238,0)*(1+$E$9)</f>
        <v>0</v>
      </c>
      <c r="AX238" s="107">
        <f>_xlfn.IFNA($M238/VLOOKUP($BU238,'Unit information'!$A$2:$K$29,6,FALSE)*V238,0)*(1+$E$9)</f>
        <v>0</v>
      </c>
      <c r="AY238" s="107">
        <f>_xlfn.IFNA($M238/VLOOKUP($BU238,'Unit information'!$A$2:$K$29,7,FALSE)*W238,0)*(1+$E$9)</f>
        <v>0</v>
      </c>
      <c r="AZ238" s="107">
        <f>_xlfn.IFNA($M238/VLOOKUP($BU238,'Unit information'!$A$2:$K$29,8,FALSE)*X238,0)*(1+$E$9)</f>
        <v>0</v>
      </c>
      <c r="BA238" s="107">
        <f>_xlfn.IFNA($M238/VLOOKUP($BU238,'Unit information'!$A$2:$K$29,9,FALSE)*Y238,0)*(1+$E$9)</f>
        <v>0</v>
      </c>
      <c r="BB238" s="107">
        <f>_xlfn.IFNA($M238/VLOOKUP($BV238,'Unit information'!$A$2:$K$29,10,FALSE)*Z238,0)*(1+$E$9)</f>
        <v>0</v>
      </c>
      <c r="BC238" s="108">
        <f>_xlfn.IFNA($M238/VLOOKUP($BV238,'Unit information'!$A$2:$K$29,11,FALSE)*AA238,0)*(1+$E$9)</f>
        <v>0</v>
      </c>
      <c r="BD238" s="106">
        <f t="shared" si="294"/>
        <v>0</v>
      </c>
      <c r="BE238" s="107">
        <f t="shared" si="295"/>
        <v>0</v>
      </c>
      <c r="BF238" s="108">
        <f t="shared" si="296"/>
        <v>0</v>
      </c>
      <c r="BG238" s="25" t="e">
        <f t="shared" si="297"/>
        <v>#N/A</v>
      </c>
      <c r="BH238" s="25" t="e">
        <f t="shared" si="298"/>
        <v>#N/A</v>
      </c>
      <c r="BI238" s="25" t="e">
        <f t="shared" si="299"/>
        <v>#N/A</v>
      </c>
      <c r="BJ238" s="27" t="e">
        <f t="shared" si="300"/>
        <v>#N/A</v>
      </c>
      <c r="BK238" s="18" t="e">
        <f t="shared" si="301"/>
        <v>#N/A</v>
      </c>
      <c r="BL238" s="18" t="e">
        <f t="shared" si="302"/>
        <v>#N/A</v>
      </c>
      <c r="BM238" s="28" t="e">
        <f t="shared" si="347"/>
        <v>#N/A</v>
      </c>
      <c r="BN238" s="33">
        <f>HLOOKUP("maximum population",Miscelaneous!$C$1:$C$33,CH238+3,FALSE)</f>
        <v>240</v>
      </c>
      <c r="BO238" s="14">
        <f t="shared" si="313"/>
        <v>32</v>
      </c>
      <c r="BP238" s="14">
        <f t="shared" si="314"/>
        <v>0</v>
      </c>
      <c r="BQ238" s="14">
        <f t="shared" si="315"/>
        <v>208</v>
      </c>
      <c r="BR238" s="34" t="e">
        <f>HLOOKUP(J238,Villagers!$B$1:$V$33,L238+3,FALSE)-HLOOKUP(J238,Villagers!$B$1:$V$33,L238+2,FALSE)</f>
        <v>#N/A</v>
      </c>
      <c r="BS238" s="49">
        <f t="shared" si="316"/>
        <v>1</v>
      </c>
      <c r="BT238" s="50">
        <f t="shared" si="317"/>
        <v>0</v>
      </c>
      <c r="BU238" s="50">
        <f t="shared" si="318"/>
        <v>0</v>
      </c>
      <c r="BV238" s="50">
        <f t="shared" si="319"/>
        <v>0</v>
      </c>
      <c r="BW238" s="50">
        <f t="shared" si="363"/>
        <v>0</v>
      </c>
      <c r="BX238" s="50">
        <f t="shared" si="364"/>
        <v>0</v>
      </c>
      <c r="BY238" s="50">
        <f t="shared" si="364"/>
        <v>0</v>
      </c>
      <c r="BZ238" s="50">
        <f t="shared" si="350"/>
        <v>0</v>
      </c>
      <c r="CA238" s="50">
        <f t="shared" si="351"/>
        <v>0</v>
      </c>
      <c r="CB238" s="50">
        <f t="shared" si="352"/>
        <v>1</v>
      </c>
      <c r="CC238" s="50">
        <f t="shared" si="353"/>
        <v>0</v>
      </c>
      <c r="CD238" s="50">
        <f t="shared" si="354"/>
        <v>0</v>
      </c>
      <c r="CE238" s="50">
        <f t="shared" si="355"/>
        <v>1</v>
      </c>
      <c r="CF238" s="50">
        <f t="shared" si="356"/>
        <v>1</v>
      </c>
      <c r="CG238" s="50">
        <f t="shared" si="357"/>
        <v>1</v>
      </c>
      <c r="CH238" s="50">
        <f t="shared" si="358"/>
        <v>1</v>
      </c>
      <c r="CI238" s="50">
        <f t="shared" si="359"/>
        <v>1</v>
      </c>
      <c r="CJ238" s="50">
        <f t="shared" si="360"/>
        <v>1</v>
      </c>
      <c r="CK238" s="50">
        <f t="shared" si="360"/>
        <v>0</v>
      </c>
      <c r="CL238" s="50">
        <f t="shared" si="360"/>
        <v>0</v>
      </c>
      <c r="CM238" s="51">
        <f t="shared" si="274"/>
        <v>0</v>
      </c>
      <c r="CN238" s="33">
        <f>ROUND(IF(BS238=0,0,HLOOKUP(BS$14,Villagers!$B$1:$V$33,BS238+3,FALSE)),)</f>
        <v>5</v>
      </c>
      <c r="CO238" s="14">
        <f>ROUND(IF(BT238=0,0,HLOOKUP(BT$14,Villagers!$B$1:$V$33,BT238+3,FALSE)),)</f>
        <v>0</v>
      </c>
      <c r="CP238" s="14">
        <f>ROUND(IF(BU238=0,0,HLOOKUP(BU$14,Villagers!$B$1:$V$33,BU238+3,FALSE)),)</f>
        <v>0</v>
      </c>
      <c r="CQ238" s="14">
        <f>ROUND(IF(BV238=0,0,HLOOKUP(BV$14,Villagers!$B$1:$V$33,BV238+3,FALSE)),)</f>
        <v>0</v>
      </c>
      <c r="CR238" s="14">
        <f>ROUND(IF(BW238=0,0,HLOOKUP(BW$14,Villagers!$B$1:$V$33,BW238+3,FALSE)),)</f>
        <v>0</v>
      </c>
      <c r="CS238" s="14">
        <f>ROUND(IF(BX238=0,0,HLOOKUP(BX$14,Villagers!$B$1:$V$33,BX238+3,FALSE)),)</f>
        <v>0</v>
      </c>
      <c r="CT238" s="14">
        <f>ROUND(IF(BY238=0,0,HLOOKUP(BY$14,Villagers!$B$1:$V$33,BY238+3,FALSE)),)</f>
        <v>0</v>
      </c>
      <c r="CU238" s="14">
        <f>ROUND(IF(BZ238=0,0,HLOOKUP(BZ$14,Villagers!$B$1:$V$33,BZ238+3,FALSE)),)</f>
        <v>0</v>
      </c>
      <c r="CV238" s="14">
        <f>ROUND(IF(CA238=0,0,HLOOKUP(CA$14,Villagers!$B$1:$V$33,CA238+3,FALSE)),)</f>
        <v>0</v>
      </c>
      <c r="CW238" s="14">
        <f>ROUND(IF(CB238=0,0,HLOOKUP(CB$14,Villagers!$B$1:$V$33,CB238+3,FALSE)),)</f>
        <v>0</v>
      </c>
      <c r="CX238" s="14">
        <f>ROUND(IF(CC238=0,0,HLOOKUP(CC$14,Villagers!$B$1:$V$33,CC238+3,FALSE)),)</f>
        <v>0</v>
      </c>
      <c r="CY238" s="14">
        <f>ROUND(IF(CD238=0,0,HLOOKUP(CD$14,Villagers!$B$1:$V$33,CD238+3,FALSE)),)</f>
        <v>0</v>
      </c>
      <c r="CZ238" s="14">
        <f>ROUND(IF(CE238=0,0,HLOOKUP(CE$14,Villagers!$B$1:$V$33,CE238+3,FALSE)),)</f>
        <v>5</v>
      </c>
      <c r="DA238" s="14">
        <f>ROUND(IF(CF238=0,0,HLOOKUP(CF$14,Villagers!$B$1:$V$33,CF238+3,FALSE)),)</f>
        <v>10</v>
      </c>
      <c r="DB238" s="14">
        <f>ROUND(IF(CG238=0,0,HLOOKUP(CG$14,Villagers!$B$1:$V$33,CG238+3,FALSE)),)</f>
        <v>10</v>
      </c>
      <c r="DC238" s="14">
        <f>ROUND(IF(CH238=0,0,HLOOKUP(CH$14,Villagers!$B$1:$V$33,CH238+3,FALSE)),)</f>
        <v>0</v>
      </c>
      <c r="DD238" s="14">
        <f>ROUND(IF(CI238=0,0,HLOOKUP(CI$14,Villagers!$B$1:$V$33,CI238+3,FALSE)),)</f>
        <v>0</v>
      </c>
      <c r="DE238" s="14">
        <f>ROUND(IF(CJ238=0,0,HLOOKUP(CJ$14,Villagers!$B$1:$V$33,CJ238+3,FALSE)),)</f>
        <v>2</v>
      </c>
      <c r="DF238" s="370">
        <f>ROUND(IF(CK238=0,0,HLOOKUP(CK$14,Villagers!$B$1:$V$33,CK238+3,FALSE)),)</f>
        <v>0</v>
      </c>
      <c r="DG238" s="370">
        <f>ROUND(IF(CL238=0,0,HLOOKUP(CL$14,Villagers!$B$1:$V$33,CL238+3,FALSE)),)</f>
        <v>0</v>
      </c>
      <c r="DH238" s="34">
        <f>ROUND(IF(CM238=0,0,HLOOKUP(CM$14,Villagers!$B$1:$V$33,CM238+3,FALSE)),)</f>
        <v>0</v>
      </c>
      <c r="DI238" s="109">
        <f t="shared" si="336"/>
        <v>0</v>
      </c>
      <c r="DJ238" s="50">
        <f t="shared" si="337"/>
        <v>0</v>
      </c>
      <c r="DK238" s="50">
        <f t="shared" si="338"/>
        <v>0</v>
      </c>
      <c r="DL238" s="50">
        <f t="shared" si="339"/>
        <v>0</v>
      </c>
      <c r="DM238" s="50">
        <f t="shared" si="340"/>
        <v>0</v>
      </c>
      <c r="DN238" s="50">
        <f t="shared" si="341"/>
        <v>0</v>
      </c>
      <c r="DO238" s="50">
        <f t="shared" si="342"/>
        <v>0</v>
      </c>
      <c r="DP238" s="50">
        <f t="shared" si="343"/>
        <v>0</v>
      </c>
      <c r="DQ238" s="50">
        <f t="shared" si="321"/>
        <v>0</v>
      </c>
      <c r="DR238" s="50">
        <f t="shared" si="322"/>
        <v>0</v>
      </c>
      <c r="DS238" s="96">
        <f>Miscelaneous!$D$4*Miscelaneous!$D$2^($CI238-1)</f>
        <v>1000</v>
      </c>
      <c r="DT238" s="333">
        <f t="shared" si="303"/>
        <v>1</v>
      </c>
      <c r="DU238" s="81">
        <v>1</v>
      </c>
      <c r="DV238" s="79">
        <f t="shared" si="323"/>
        <v>0</v>
      </c>
      <c r="DW238" s="79">
        <f t="shared" si="324"/>
        <v>0</v>
      </c>
      <c r="DX238" s="79">
        <f t="shared" si="325"/>
        <v>0</v>
      </c>
      <c r="DY238" s="79">
        <v>1</v>
      </c>
      <c r="DZ238" s="79">
        <f t="shared" si="326"/>
        <v>0</v>
      </c>
      <c r="EA238" s="79">
        <f t="shared" si="327"/>
        <v>0</v>
      </c>
      <c r="EB238" s="79">
        <f t="shared" si="328"/>
        <v>0</v>
      </c>
      <c r="EC238" s="79">
        <f t="shared" si="329"/>
        <v>0</v>
      </c>
      <c r="ED238" s="79">
        <v>1</v>
      </c>
      <c r="EE238" s="79">
        <v>1</v>
      </c>
      <c r="EF238" s="79">
        <f t="shared" si="330"/>
        <v>0</v>
      </c>
      <c r="EG238" s="79">
        <v>1</v>
      </c>
      <c r="EH238" s="79">
        <v>1</v>
      </c>
      <c r="EI238" s="79">
        <v>1</v>
      </c>
      <c r="EJ238" s="79">
        <v>1</v>
      </c>
      <c r="EK238" s="79">
        <v>1</v>
      </c>
      <c r="EL238" s="79">
        <v>1</v>
      </c>
      <c r="EM238" s="143">
        <f t="shared" si="331"/>
        <v>0</v>
      </c>
      <c r="EN238" s="143">
        <f t="shared" si="332"/>
        <v>0</v>
      </c>
      <c r="EO238" s="82">
        <f t="shared" si="333"/>
        <v>0</v>
      </c>
    </row>
    <row r="239" spans="1:145" x14ac:dyDescent="0.25">
      <c r="A239">
        <v>225</v>
      </c>
      <c r="B239" s="172" t="e">
        <f t="shared" si="304"/>
        <v>#N/A</v>
      </c>
      <c r="C239" s="121" t="e">
        <f t="shared" si="283"/>
        <v>#N/A</v>
      </c>
      <c r="D239" s="122" t="e">
        <f t="shared" si="284"/>
        <v>#N/A</v>
      </c>
      <c r="E239" s="122" t="e">
        <f t="shared" si="285"/>
        <v>#N/A</v>
      </c>
      <c r="F239" s="176" t="e">
        <f t="shared" si="286"/>
        <v>#N/A</v>
      </c>
      <c r="G239" s="121">
        <f t="shared" si="305"/>
        <v>208</v>
      </c>
      <c r="H239" s="176" t="e">
        <f t="shared" si="306"/>
        <v>#N/A</v>
      </c>
      <c r="I239" s="48">
        <v>1</v>
      </c>
      <c r="J239" s="39"/>
      <c r="K239" s="350">
        <v>1</v>
      </c>
      <c r="L239" s="34" t="e">
        <f t="shared" si="287"/>
        <v>#N/A</v>
      </c>
      <c r="M239" s="38" t="e">
        <f>(HLOOKUP(J239,'Construction Times'!$B$3:$W$34,L239+2,FALSE)*HLOOKUP("hq modifier",'Construction Times'!$W$3:$W$34,BS239+2,FALSE))*(1-$H$9)</f>
        <v>#N/A</v>
      </c>
      <c r="N239" s="443" t="e">
        <f t="shared" si="307"/>
        <v>#N/A</v>
      </c>
      <c r="O239" s="444"/>
      <c r="P239" s="447" t="e">
        <f t="shared" si="308"/>
        <v>#N/A</v>
      </c>
      <c r="Q239" s="448"/>
      <c r="R239" s="103">
        <f t="shared" si="334"/>
        <v>0</v>
      </c>
      <c r="S239" s="104">
        <f t="shared" si="334"/>
        <v>0</v>
      </c>
      <c r="T239" s="104">
        <f t="shared" si="335"/>
        <v>0</v>
      </c>
      <c r="U239" s="104">
        <f t="shared" si="335"/>
        <v>0</v>
      </c>
      <c r="V239" s="104">
        <f t="shared" si="335"/>
        <v>9.9999999999999995E-8</v>
      </c>
      <c r="W239" s="104">
        <f t="shared" si="335"/>
        <v>0</v>
      </c>
      <c r="X239" s="104">
        <f t="shared" si="365"/>
        <v>0</v>
      </c>
      <c r="Y239" s="104">
        <f t="shared" si="365"/>
        <v>9.9999999999999995E-8</v>
      </c>
      <c r="Z239" s="104">
        <f t="shared" si="365"/>
        <v>9.9999999999999995E-8</v>
      </c>
      <c r="AA239" s="105">
        <f t="shared" si="365"/>
        <v>9.9999999999999995E-8</v>
      </c>
      <c r="AB239" s="101" t="e">
        <f>$DT239*HLOOKUP($J239,'Construction Costs (timber)'!$B$1:$V$32,'Construction Planner'!$L239+2,FALSE)</f>
        <v>#N/A</v>
      </c>
      <c r="AC239" s="14" t="e">
        <f>$DT239*HLOOKUP($J239,'Construction Costs (clay)'!$B$1:$V$32,'Construction Planner'!$L239+2,FALSE)</f>
        <v>#N/A</v>
      </c>
      <c r="AD239" s="14" t="e">
        <f>$DT239*HLOOKUP($J239,'Construction Costs (iron)'!$B$1:$V$32,'Construction Planner'!$L239+2,FALSE)</f>
        <v>#N/A</v>
      </c>
      <c r="AE239" s="34" t="e">
        <f t="shared" si="344"/>
        <v>#N/A</v>
      </c>
      <c r="AF239" s="33" t="e">
        <f t="shared" si="288"/>
        <v>#N/A</v>
      </c>
      <c r="AG239" s="14" t="e">
        <f t="shared" si="289"/>
        <v>#N/A</v>
      </c>
      <c r="AH239" s="14" t="e">
        <f t="shared" si="290"/>
        <v>#N/A</v>
      </c>
      <c r="AI239" s="34" t="e">
        <f t="shared" si="345"/>
        <v>#N/A</v>
      </c>
      <c r="AJ239" s="49" t="e">
        <f t="shared" si="309"/>
        <v>#N/A</v>
      </c>
      <c r="AK239" s="49" t="e">
        <f t="shared" si="310"/>
        <v>#N/A</v>
      </c>
      <c r="AL239" s="49" t="e">
        <f t="shared" si="311"/>
        <v>#N/A</v>
      </c>
      <c r="AM239" s="25">
        <f t="shared" si="291"/>
        <v>30</v>
      </c>
      <c r="AN239" s="25">
        <f t="shared" si="292"/>
        <v>30</v>
      </c>
      <c r="AO239" s="25">
        <f t="shared" si="293"/>
        <v>30</v>
      </c>
      <c r="AP239" s="52" t="e">
        <f t="shared" si="312"/>
        <v>#N/A</v>
      </c>
      <c r="AQ239" s="53" t="e">
        <f t="shared" si="312"/>
        <v>#N/A</v>
      </c>
      <c r="AR239" s="54" t="e">
        <f t="shared" si="312"/>
        <v>#N/A</v>
      </c>
      <c r="AS239" s="316">
        <f t="shared" si="362"/>
        <v>0</v>
      </c>
      <c r="AT239" s="106">
        <f>_xlfn.IFNA($M239/VLOOKUP($BT239,'Unit information'!$A$2:$K$29,2,FALSE)*R239,0)*(1+$E$9)</f>
        <v>0</v>
      </c>
      <c r="AU239" s="107">
        <f>_xlfn.IFNA($M239/VLOOKUP($BT239,'Unit information'!$A$2:$K$29,3,FALSE)*S239,0)*(1+$E$9)</f>
        <v>0</v>
      </c>
      <c r="AV239" s="107">
        <f>_xlfn.IFNA($M239/VLOOKUP($BT239,'Unit information'!$A$2:$K$29,4,FALSE)*T239,0)*(1+$E$9)</f>
        <v>0</v>
      </c>
      <c r="AW239" s="107">
        <f>_xlfn.IFNA($M239/VLOOKUP($BT239,'Unit information'!$A$2:$K$29,5,FALSE)*U239,0)*(1+$E$9)</f>
        <v>0</v>
      </c>
      <c r="AX239" s="107">
        <f>_xlfn.IFNA($M239/VLOOKUP($BU239,'Unit information'!$A$2:$K$29,6,FALSE)*V239,0)*(1+$E$9)</f>
        <v>0</v>
      </c>
      <c r="AY239" s="107">
        <f>_xlfn.IFNA($M239/VLOOKUP($BU239,'Unit information'!$A$2:$K$29,7,FALSE)*W239,0)*(1+$E$9)</f>
        <v>0</v>
      </c>
      <c r="AZ239" s="107">
        <f>_xlfn.IFNA($M239/VLOOKUP($BU239,'Unit information'!$A$2:$K$29,8,FALSE)*X239,0)*(1+$E$9)</f>
        <v>0</v>
      </c>
      <c r="BA239" s="107">
        <f>_xlfn.IFNA($M239/VLOOKUP($BU239,'Unit information'!$A$2:$K$29,9,FALSE)*Y239,0)*(1+$E$9)</f>
        <v>0</v>
      </c>
      <c r="BB239" s="107">
        <f>_xlfn.IFNA($M239/VLOOKUP($BV239,'Unit information'!$A$2:$K$29,10,FALSE)*Z239,0)*(1+$E$9)</f>
        <v>0</v>
      </c>
      <c r="BC239" s="108">
        <f>_xlfn.IFNA($M239/VLOOKUP($BV239,'Unit information'!$A$2:$K$29,11,FALSE)*AA239,0)*(1+$E$9)</f>
        <v>0</v>
      </c>
      <c r="BD239" s="106">
        <f t="shared" si="294"/>
        <v>0</v>
      </c>
      <c r="BE239" s="107">
        <f t="shared" si="295"/>
        <v>0</v>
      </c>
      <c r="BF239" s="108">
        <f t="shared" si="296"/>
        <v>0</v>
      </c>
      <c r="BG239" s="25" t="e">
        <f t="shared" si="297"/>
        <v>#N/A</v>
      </c>
      <c r="BH239" s="25" t="e">
        <f t="shared" si="298"/>
        <v>#N/A</v>
      </c>
      <c r="BI239" s="25" t="e">
        <f t="shared" si="299"/>
        <v>#N/A</v>
      </c>
      <c r="BJ239" s="27" t="e">
        <f t="shared" si="300"/>
        <v>#N/A</v>
      </c>
      <c r="BK239" s="18" t="e">
        <f t="shared" si="301"/>
        <v>#N/A</v>
      </c>
      <c r="BL239" s="18" t="e">
        <f t="shared" si="302"/>
        <v>#N/A</v>
      </c>
      <c r="BM239" s="28" t="e">
        <f t="shared" si="347"/>
        <v>#N/A</v>
      </c>
      <c r="BN239" s="33">
        <f>HLOOKUP("maximum population",Miscelaneous!$C$1:$C$33,CH239+3,FALSE)</f>
        <v>240</v>
      </c>
      <c r="BO239" s="14">
        <f t="shared" si="313"/>
        <v>32</v>
      </c>
      <c r="BP239" s="14">
        <f t="shared" si="314"/>
        <v>0</v>
      </c>
      <c r="BQ239" s="14">
        <f t="shared" si="315"/>
        <v>208</v>
      </c>
      <c r="BR239" s="34" t="e">
        <f>HLOOKUP(J239,Villagers!$B$1:$V$33,L239+3,FALSE)-HLOOKUP(J239,Villagers!$B$1:$V$33,L239+2,FALSE)</f>
        <v>#N/A</v>
      </c>
      <c r="BS239" s="49">
        <f t="shared" si="316"/>
        <v>1</v>
      </c>
      <c r="BT239" s="50">
        <f t="shared" si="317"/>
        <v>0</v>
      </c>
      <c r="BU239" s="50">
        <f t="shared" si="318"/>
        <v>0</v>
      </c>
      <c r="BV239" s="50">
        <f t="shared" si="319"/>
        <v>0</v>
      </c>
      <c r="BW239" s="50">
        <f t="shared" si="363"/>
        <v>0</v>
      </c>
      <c r="BX239" s="50">
        <f t="shared" si="364"/>
        <v>0</v>
      </c>
      <c r="BY239" s="50">
        <f t="shared" si="364"/>
        <v>0</v>
      </c>
      <c r="BZ239" s="50">
        <f t="shared" si="350"/>
        <v>0</v>
      </c>
      <c r="CA239" s="50">
        <f t="shared" si="351"/>
        <v>0</v>
      </c>
      <c r="CB239" s="50">
        <f t="shared" si="352"/>
        <v>1</v>
      </c>
      <c r="CC239" s="50">
        <f t="shared" si="353"/>
        <v>0</v>
      </c>
      <c r="CD239" s="50">
        <f t="shared" si="354"/>
        <v>0</v>
      </c>
      <c r="CE239" s="50">
        <f t="shared" si="355"/>
        <v>1</v>
      </c>
      <c r="CF239" s="50">
        <f t="shared" si="356"/>
        <v>1</v>
      </c>
      <c r="CG239" s="50">
        <f t="shared" si="357"/>
        <v>1</v>
      </c>
      <c r="CH239" s="50">
        <f t="shared" si="358"/>
        <v>1</v>
      </c>
      <c r="CI239" s="50">
        <f t="shared" si="359"/>
        <v>1</v>
      </c>
      <c r="CJ239" s="50">
        <f t="shared" si="360"/>
        <v>1</v>
      </c>
      <c r="CK239" s="50">
        <f t="shared" si="360"/>
        <v>0</v>
      </c>
      <c r="CL239" s="50">
        <f t="shared" si="360"/>
        <v>0</v>
      </c>
      <c r="CM239" s="51">
        <f t="shared" ref="CM239:CM254" si="366">IF($J238=CM$14,$L238,CM238)</f>
        <v>0</v>
      </c>
      <c r="CN239" s="33">
        <f>ROUND(IF(BS239=0,0,HLOOKUP(BS$14,Villagers!$B$1:$V$33,BS239+3,FALSE)),)</f>
        <v>5</v>
      </c>
      <c r="CO239" s="14">
        <f>ROUND(IF(BT239=0,0,HLOOKUP(BT$14,Villagers!$B$1:$V$33,BT239+3,FALSE)),)</f>
        <v>0</v>
      </c>
      <c r="CP239" s="14">
        <f>ROUND(IF(BU239=0,0,HLOOKUP(BU$14,Villagers!$B$1:$V$33,BU239+3,FALSE)),)</f>
        <v>0</v>
      </c>
      <c r="CQ239" s="14">
        <f>ROUND(IF(BV239=0,0,HLOOKUP(BV$14,Villagers!$B$1:$V$33,BV239+3,FALSE)),)</f>
        <v>0</v>
      </c>
      <c r="CR239" s="14">
        <f>ROUND(IF(BW239=0,0,HLOOKUP(BW$14,Villagers!$B$1:$V$33,BW239+3,FALSE)),)</f>
        <v>0</v>
      </c>
      <c r="CS239" s="14">
        <f>ROUND(IF(BX239=0,0,HLOOKUP(BX$14,Villagers!$B$1:$V$33,BX239+3,FALSE)),)</f>
        <v>0</v>
      </c>
      <c r="CT239" s="14">
        <f>ROUND(IF(BY239=0,0,HLOOKUP(BY$14,Villagers!$B$1:$V$33,BY239+3,FALSE)),)</f>
        <v>0</v>
      </c>
      <c r="CU239" s="14">
        <f>ROUND(IF(BZ239=0,0,HLOOKUP(BZ$14,Villagers!$B$1:$V$33,BZ239+3,FALSE)),)</f>
        <v>0</v>
      </c>
      <c r="CV239" s="14">
        <f>ROUND(IF(CA239=0,0,HLOOKUP(CA$14,Villagers!$B$1:$V$33,CA239+3,FALSE)),)</f>
        <v>0</v>
      </c>
      <c r="CW239" s="14">
        <f>ROUND(IF(CB239=0,0,HLOOKUP(CB$14,Villagers!$B$1:$V$33,CB239+3,FALSE)),)</f>
        <v>0</v>
      </c>
      <c r="CX239" s="14">
        <f>ROUND(IF(CC239=0,0,HLOOKUP(CC$14,Villagers!$B$1:$V$33,CC239+3,FALSE)),)</f>
        <v>0</v>
      </c>
      <c r="CY239" s="14">
        <f>ROUND(IF(CD239=0,0,HLOOKUP(CD$14,Villagers!$B$1:$V$33,CD239+3,FALSE)),)</f>
        <v>0</v>
      </c>
      <c r="CZ239" s="14">
        <f>ROUND(IF(CE239=0,0,HLOOKUP(CE$14,Villagers!$B$1:$V$33,CE239+3,FALSE)),)</f>
        <v>5</v>
      </c>
      <c r="DA239" s="14">
        <f>ROUND(IF(CF239=0,0,HLOOKUP(CF$14,Villagers!$B$1:$V$33,CF239+3,FALSE)),)</f>
        <v>10</v>
      </c>
      <c r="DB239" s="14">
        <f>ROUND(IF(CG239=0,0,HLOOKUP(CG$14,Villagers!$B$1:$V$33,CG239+3,FALSE)),)</f>
        <v>10</v>
      </c>
      <c r="DC239" s="14">
        <f>ROUND(IF(CH239=0,0,HLOOKUP(CH$14,Villagers!$B$1:$V$33,CH239+3,FALSE)),)</f>
        <v>0</v>
      </c>
      <c r="DD239" s="14">
        <f>ROUND(IF(CI239=0,0,HLOOKUP(CI$14,Villagers!$B$1:$V$33,CI239+3,FALSE)),)</f>
        <v>0</v>
      </c>
      <c r="DE239" s="14">
        <f>ROUND(IF(CJ239=0,0,HLOOKUP(CJ$14,Villagers!$B$1:$V$33,CJ239+3,FALSE)),)</f>
        <v>2</v>
      </c>
      <c r="DF239" s="370">
        <f>ROUND(IF(CK239=0,0,HLOOKUP(CK$14,Villagers!$B$1:$V$33,CK239+3,FALSE)),)</f>
        <v>0</v>
      </c>
      <c r="DG239" s="370">
        <f>ROUND(IF(CL239=0,0,HLOOKUP(CL$14,Villagers!$B$1:$V$33,CL239+3,FALSE)),)</f>
        <v>0</v>
      </c>
      <c r="DH239" s="34">
        <f>ROUND(IF(CM239=0,0,HLOOKUP(CM$14,Villagers!$B$1:$V$33,CM239+3,FALSE)),)</f>
        <v>0</v>
      </c>
      <c r="DI239" s="109">
        <f t="shared" si="336"/>
        <v>0</v>
      </c>
      <c r="DJ239" s="50">
        <f t="shared" si="337"/>
        <v>0</v>
      </c>
      <c r="DK239" s="50">
        <f t="shared" si="338"/>
        <v>0</v>
      </c>
      <c r="DL239" s="50">
        <f t="shared" si="339"/>
        <v>0</v>
      </c>
      <c r="DM239" s="50">
        <f t="shared" si="340"/>
        <v>0</v>
      </c>
      <c r="DN239" s="50">
        <f t="shared" si="341"/>
        <v>0</v>
      </c>
      <c r="DO239" s="50">
        <f t="shared" si="342"/>
        <v>0</v>
      </c>
      <c r="DP239" s="50">
        <f t="shared" si="343"/>
        <v>0</v>
      </c>
      <c r="DQ239" s="50">
        <f t="shared" si="321"/>
        <v>0</v>
      </c>
      <c r="DR239" s="50">
        <f t="shared" si="322"/>
        <v>0</v>
      </c>
      <c r="DS239" s="96">
        <f>Miscelaneous!$D$4*Miscelaneous!$D$2^($CI239-1)</f>
        <v>1000</v>
      </c>
      <c r="DT239" s="333">
        <f t="shared" si="303"/>
        <v>1</v>
      </c>
      <c r="DU239" s="81">
        <v>1</v>
      </c>
      <c r="DV239" s="79">
        <f t="shared" si="323"/>
        <v>0</v>
      </c>
      <c r="DW239" s="79">
        <f t="shared" si="324"/>
        <v>0</v>
      </c>
      <c r="DX239" s="79">
        <f t="shared" si="325"/>
        <v>0</v>
      </c>
      <c r="DY239" s="79">
        <v>1</v>
      </c>
      <c r="DZ239" s="79">
        <f t="shared" si="326"/>
        <v>0</v>
      </c>
      <c r="EA239" s="79">
        <f t="shared" si="327"/>
        <v>0</v>
      </c>
      <c r="EB239" s="79">
        <f t="shared" si="328"/>
        <v>0</v>
      </c>
      <c r="EC239" s="79">
        <f t="shared" si="329"/>
        <v>0</v>
      </c>
      <c r="ED239" s="79">
        <v>1</v>
      </c>
      <c r="EE239" s="79">
        <v>1</v>
      </c>
      <c r="EF239" s="79">
        <f t="shared" si="330"/>
        <v>0</v>
      </c>
      <c r="EG239" s="79">
        <v>1</v>
      </c>
      <c r="EH239" s="79">
        <v>1</v>
      </c>
      <c r="EI239" s="79">
        <v>1</v>
      </c>
      <c r="EJ239" s="79">
        <v>1</v>
      </c>
      <c r="EK239" s="79">
        <v>1</v>
      </c>
      <c r="EL239" s="79">
        <v>1</v>
      </c>
      <c r="EM239" s="143">
        <f t="shared" si="331"/>
        <v>0</v>
      </c>
      <c r="EN239" s="143">
        <f t="shared" si="332"/>
        <v>0</v>
      </c>
      <c r="EO239" s="82">
        <f t="shared" si="333"/>
        <v>0</v>
      </c>
    </row>
    <row r="240" spans="1:145" x14ac:dyDescent="0.25">
      <c r="A240">
        <v>226</v>
      </c>
      <c r="B240" s="172" t="e">
        <f t="shared" si="304"/>
        <v>#N/A</v>
      </c>
      <c r="C240" s="121" t="e">
        <f t="shared" si="283"/>
        <v>#N/A</v>
      </c>
      <c r="D240" s="122" t="e">
        <f t="shared" si="284"/>
        <v>#N/A</v>
      </c>
      <c r="E240" s="122" t="e">
        <f t="shared" si="285"/>
        <v>#N/A</v>
      </c>
      <c r="F240" s="176" t="e">
        <f t="shared" si="286"/>
        <v>#N/A</v>
      </c>
      <c r="G240" s="121">
        <f t="shared" si="305"/>
        <v>208</v>
      </c>
      <c r="H240" s="176" t="e">
        <f t="shared" si="306"/>
        <v>#N/A</v>
      </c>
      <c r="I240" s="48">
        <v>1</v>
      </c>
      <c r="J240" s="39"/>
      <c r="K240" s="350">
        <v>1</v>
      </c>
      <c r="L240" s="34" t="e">
        <f t="shared" si="287"/>
        <v>#N/A</v>
      </c>
      <c r="M240" s="38" t="e">
        <f>(HLOOKUP(J240,'Construction Times'!$B$3:$W$34,L240+2,FALSE)*HLOOKUP("hq modifier",'Construction Times'!$W$3:$W$34,BS240+2,FALSE))*(1-$H$9)</f>
        <v>#N/A</v>
      </c>
      <c r="N240" s="443" t="e">
        <f t="shared" si="307"/>
        <v>#N/A</v>
      </c>
      <c r="O240" s="444"/>
      <c r="P240" s="447" t="e">
        <f t="shared" si="308"/>
        <v>#N/A</v>
      </c>
      <c r="Q240" s="448"/>
      <c r="R240" s="103">
        <f t="shared" si="334"/>
        <v>0</v>
      </c>
      <c r="S240" s="104">
        <f t="shared" si="334"/>
        <v>0</v>
      </c>
      <c r="T240" s="104">
        <f t="shared" si="335"/>
        <v>0</v>
      </c>
      <c r="U240" s="104">
        <f t="shared" si="335"/>
        <v>0</v>
      </c>
      <c r="V240" s="104">
        <f t="shared" si="335"/>
        <v>9.9999999999999995E-8</v>
      </c>
      <c r="W240" s="104">
        <f t="shared" si="335"/>
        <v>0</v>
      </c>
      <c r="X240" s="104">
        <f t="shared" si="365"/>
        <v>0</v>
      </c>
      <c r="Y240" s="104">
        <f t="shared" si="365"/>
        <v>9.9999999999999995E-8</v>
      </c>
      <c r="Z240" s="104">
        <f t="shared" si="365"/>
        <v>9.9999999999999995E-8</v>
      </c>
      <c r="AA240" s="105">
        <f t="shared" si="365"/>
        <v>9.9999999999999995E-8</v>
      </c>
      <c r="AB240" s="101" t="e">
        <f>$DT240*HLOOKUP($J240,'Construction Costs (timber)'!$B$1:$V$32,'Construction Planner'!$L240+2,FALSE)</f>
        <v>#N/A</v>
      </c>
      <c r="AC240" s="14" t="e">
        <f>$DT240*HLOOKUP($J240,'Construction Costs (clay)'!$B$1:$V$32,'Construction Planner'!$L240+2,FALSE)</f>
        <v>#N/A</v>
      </c>
      <c r="AD240" s="14" t="e">
        <f>$DT240*HLOOKUP($J240,'Construction Costs (iron)'!$B$1:$V$32,'Construction Planner'!$L240+2,FALSE)</f>
        <v>#N/A</v>
      </c>
      <c r="AE240" s="34" t="e">
        <f t="shared" si="344"/>
        <v>#N/A</v>
      </c>
      <c r="AF240" s="33" t="e">
        <f t="shared" si="288"/>
        <v>#N/A</v>
      </c>
      <c r="AG240" s="14" t="e">
        <f t="shared" si="289"/>
        <v>#N/A</v>
      </c>
      <c r="AH240" s="14" t="e">
        <f t="shared" si="290"/>
        <v>#N/A</v>
      </c>
      <c r="AI240" s="34" t="e">
        <f t="shared" si="345"/>
        <v>#N/A</v>
      </c>
      <c r="AJ240" s="49" t="e">
        <f t="shared" si="309"/>
        <v>#N/A</v>
      </c>
      <c r="AK240" s="49" t="e">
        <f t="shared" si="310"/>
        <v>#N/A</v>
      </c>
      <c r="AL240" s="49" t="e">
        <f t="shared" si="311"/>
        <v>#N/A</v>
      </c>
      <c r="AM240" s="25">
        <f t="shared" si="291"/>
        <v>30</v>
      </c>
      <c r="AN240" s="25">
        <f t="shared" si="292"/>
        <v>30</v>
      </c>
      <c r="AO240" s="25">
        <f t="shared" si="293"/>
        <v>30</v>
      </c>
      <c r="AP240" s="52" t="e">
        <f t="shared" si="312"/>
        <v>#N/A</v>
      </c>
      <c r="AQ240" s="53" t="e">
        <f t="shared" si="312"/>
        <v>#N/A</v>
      </c>
      <c r="AR240" s="54" t="e">
        <f t="shared" si="312"/>
        <v>#N/A</v>
      </c>
      <c r="AS240" s="316">
        <f t="shared" si="362"/>
        <v>0</v>
      </c>
      <c r="AT240" s="106">
        <f>_xlfn.IFNA($M240/VLOOKUP($BT240,'Unit information'!$A$2:$K$29,2,FALSE)*R240,0)*(1+$E$9)</f>
        <v>0</v>
      </c>
      <c r="AU240" s="107">
        <f>_xlfn.IFNA($M240/VLOOKUP($BT240,'Unit information'!$A$2:$K$29,3,FALSE)*S240,0)*(1+$E$9)</f>
        <v>0</v>
      </c>
      <c r="AV240" s="107">
        <f>_xlfn.IFNA($M240/VLOOKUP($BT240,'Unit information'!$A$2:$K$29,4,FALSE)*T240,0)*(1+$E$9)</f>
        <v>0</v>
      </c>
      <c r="AW240" s="107">
        <f>_xlfn.IFNA($M240/VLOOKUP($BT240,'Unit information'!$A$2:$K$29,5,FALSE)*U240,0)*(1+$E$9)</f>
        <v>0</v>
      </c>
      <c r="AX240" s="107">
        <f>_xlfn.IFNA($M240/VLOOKUP($BU240,'Unit information'!$A$2:$K$29,6,FALSE)*V240,0)*(1+$E$9)</f>
        <v>0</v>
      </c>
      <c r="AY240" s="107">
        <f>_xlfn.IFNA($M240/VLOOKUP($BU240,'Unit information'!$A$2:$K$29,7,FALSE)*W240,0)*(1+$E$9)</f>
        <v>0</v>
      </c>
      <c r="AZ240" s="107">
        <f>_xlfn.IFNA($M240/VLOOKUP($BU240,'Unit information'!$A$2:$K$29,8,FALSE)*X240,0)*(1+$E$9)</f>
        <v>0</v>
      </c>
      <c r="BA240" s="107">
        <f>_xlfn.IFNA($M240/VLOOKUP($BU240,'Unit information'!$A$2:$K$29,9,FALSE)*Y240,0)*(1+$E$9)</f>
        <v>0</v>
      </c>
      <c r="BB240" s="107">
        <f>_xlfn.IFNA($M240/VLOOKUP($BV240,'Unit information'!$A$2:$K$29,10,FALSE)*Z240,0)*(1+$E$9)</f>
        <v>0</v>
      </c>
      <c r="BC240" s="108">
        <f>_xlfn.IFNA($M240/VLOOKUP($BV240,'Unit information'!$A$2:$K$29,11,FALSE)*AA240,0)*(1+$E$9)</f>
        <v>0</v>
      </c>
      <c r="BD240" s="106">
        <f t="shared" si="294"/>
        <v>0</v>
      </c>
      <c r="BE240" s="107">
        <f t="shared" si="295"/>
        <v>0</v>
      </c>
      <c r="BF240" s="108">
        <f t="shared" si="296"/>
        <v>0</v>
      </c>
      <c r="BG240" s="25" t="e">
        <f t="shared" si="297"/>
        <v>#N/A</v>
      </c>
      <c r="BH240" s="25" t="e">
        <f t="shared" si="298"/>
        <v>#N/A</v>
      </c>
      <c r="BI240" s="25" t="e">
        <f t="shared" si="299"/>
        <v>#N/A</v>
      </c>
      <c r="BJ240" s="27" t="e">
        <f t="shared" si="300"/>
        <v>#N/A</v>
      </c>
      <c r="BK240" s="18" t="e">
        <f t="shared" si="301"/>
        <v>#N/A</v>
      </c>
      <c r="BL240" s="18" t="e">
        <f t="shared" si="302"/>
        <v>#N/A</v>
      </c>
      <c r="BM240" s="28" t="e">
        <f t="shared" si="347"/>
        <v>#N/A</v>
      </c>
      <c r="BN240" s="33">
        <f>HLOOKUP("maximum population",Miscelaneous!$C$1:$C$33,CH240+3,FALSE)</f>
        <v>240</v>
      </c>
      <c r="BO240" s="14">
        <f t="shared" si="313"/>
        <v>32</v>
      </c>
      <c r="BP240" s="14">
        <f t="shared" si="314"/>
        <v>0</v>
      </c>
      <c r="BQ240" s="14">
        <f t="shared" si="315"/>
        <v>208</v>
      </c>
      <c r="BR240" s="34" t="e">
        <f>HLOOKUP(J240,Villagers!$B$1:$V$33,L240+3,FALSE)-HLOOKUP(J240,Villagers!$B$1:$V$33,L240+2,FALSE)</f>
        <v>#N/A</v>
      </c>
      <c r="BS240" s="49">
        <f t="shared" si="316"/>
        <v>1</v>
      </c>
      <c r="BT240" s="50">
        <f t="shared" si="317"/>
        <v>0</v>
      </c>
      <c r="BU240" s="50">
        <f t="shared" si="318"/>
        <v>0</v>
      </c>
      <c r="BV240" s="50">
        <f t="shared" si="319"/>
        <v>0</v>
      </c>
      <c r="BW240" s="50">
        <f t="shared" si="363"/>
        <v>0</v>
      </c>
      <c r="BX240" s="50">
        <f t="shared" si="364"/>
        <v>0</v>
      </c>
      <c r="BY240" s="50">
        <f t="shared" si="364"/>
        <v>0</v>
      </c>
      <c r="BZ240" s="50">
        <f t="shared" si="350"/>
        <v>0</v>
      </c>
      <c r="CA240" s="50">
        <f t="shared" si="351"/>
        <v>0</v>
      </c>
      <c r="CB240" s="50">
        <f t="shared" si="352"/>
        <v>1</v>
      </c>
      <c r="CC240" s="50">
        <f t="shared" si="353"/>
        <v>0</v>
      </c>
      <c r="CD240" s="50">
        <f t="shared" si="354"/>
        <v>0</v>
      </c>
      <c r="CE240" s="50">
        <f t="shared" si="355"/>
        <v>1</v>
      </c>
      <c r="CF240" s="50">
        <f t="shared" si="356"/>
        <v>1</v>
      </c>
      <c r="CG240" s="50">
        <f t="shared" si="357"/>
        <v>1</v>
      </c>
      <c r="CH240" s="50">
        <f t="shared" si="358"/>
        <v>1</v>
      </c>
      <c r="CI240" s="50">
        <f t="shared" si="359"/>
        <v>1</v>
      </c>
      <c r="CJ240" s="50">
        <f t="shared" si="360"/>
        <v>1</v>
      </c>
      <c r="CK240" s="50">
        <f t="shared" si="360"/>
        <v>0</v>
      </c>
      <c r="CL240" s="50">
        <f t="shared" si="360"/>
        <v>0</v>
      </c>
      <c r="CM240" s="51">
        <f t="shared" si="366"/>
        <v>0</v>
      </c>
      <c r="CN240" s="33">
        <f>ROUND(IF(BS240=0,0,HLOOKUP(BS$14,Villagers!$B$1:$V$33,BS240+3,FALSE)),)</f>
        <v>5</v>
      </c>
      <c r="CO240" s="14">
        <f>ROUND(IF(BT240=0,0,HLOOKUP(BT$14,Villagers!$B$1:$V$33,BT240+3,FALSE)),)</f>
        <v>0</v>
      </c>
      <c r="CP240" s="14">
        <f>ROUND(IF(BU240=0,0,HLOOKUP(BU$14,Villagers!$B$1:$V$33,BU240+3,FALSE)),)</f>
        <v>0</v>
      </c>
      <c r="CQ240" s="14">
        <f>ROUND(IF(BV240=0,0,HLOOKUP(BV$14,Villagers!$B$1:$V$33,BV240+3,FALSE)),)</f>
        <v>0</v>
      </c>
      <c r="CR240" s="14">
        <f>ROUND(IF(BW240=0,0,HLOOKUP(BW$14,Villagers!$B$1:$V$33,BW240+3,FALSE)),)</f>
        <v>0</v>
      </c>
      <c r="CS240" s="14">
        <f>ROUND(IF(BX240=0,0,HLOOKUP(BX$14,Villagers!$B$1:$V$33,BX240+3,FALSE)),)</f>
        <v>0</v>
      </c>
      <c r="CT240" s="14">
        <f>ROUND(IF(BY240=0,0,HLOOKUP(BY$14,Villagers!$B$1:$V$33,BY240+3,FALSE)),)</f>
        <v>0</v>
      </c>
      <c r="CU240" s="14">
        <f>ROUND(IF(BZ240=0,0,HLOOKUP(BZ$14,Villagers!$B$1:$V$33,BZ240+3,FALSE)),)</f>
        <v>0</v>
      </c>
      <c r="CV240" s="14">
        <f>ROUND(IF(CA240=0,0,HLOOKUP(CA$14,Villagers!$B$1:$V$33,CA240+3,FALSE)),)</f>
        <v>0</v>
      </c>
      <c r="CW240" s="14">
        <f>ROUND(IF(CB240=0,0,HLOOKUP(CB$14,Villagers!$B$1:$V$33,CB240+3,FALSE)),)</f>
        <v>0</v>
      </c>
      <c r="CX240" s="14">
        <f>ROUND(IF(CC240=0,0,HLOOKUP(CC$14,Villagers!$B$1:$V$33,CC240+3,FALSE)),)</f>
        <v>0</v>
      </c>
      <c r="CY240" s="14">
        <f>ROUND(IF(CD240=0,0,HLOOKUP(CD$14,Villagers!$B$1:$V$33,CD240+3,FALSE)),)</f>
        <v>0</v>
      </c>
      <c r="CZ240" s="14">
        <f>ROUND(IF(CE240=0,0,HLOOKUP(CE$14,Villagers!$B$1:$V$33,CE240+3,FALSE)),)</f>
        <v>5</v>
      </c>
      <c r="DA240" s="14">
        <f>ROUND(IF(CF240=0,0,HLOOKUP(CF$14,Villagers!$B$1:$V$33,CF240+3,FALSE)),)</f>
        <v>10</v>
      </c>
      <c r="DB240" s="14">
        <f>ROUND(IF(CG240=0,0,HLOOKUP(CG$14,Villagers!$B$1:$V$33,CG240+3,FALSE)),)</f>
        <v>10</v>
      </c>
      <c r="DC240" s="14">
        <f>ROUND(IF(CH240=0,0,HLOOKUP(CH$14,Villagers!$B$1:$V$33,CH240+3,FALSE)),)</f>
        <v>0</v>
      </c>
      <c r="DD240" s="14">
        <f>ROUND(IF(CI240=0,0,HLOOKUP(CI$14,Villagers!$B$1:$V$33,CI240+3,FALSE)),)</f>
        <v>0</v>
      </c>
      <c r="DE240" s="14">
        <f>ROUND(IF(CJ240=0,0,HLOOKUP(CJ$14,Villagers!$B$1:$V$33,CJ240+3,FALSE)),)</f>
        <v>2</v>
      </c>
      <c r="DF240" s="370">
        <f>ROUND(IF(CK240=0,0,HLOOKUP(CK$14,Villagers!$B$1:$V$33,CK240+3,FALSE)),)</f>
        <v>0</v>
      </c>
      <c r="DG240" s="370">
        <f>ROUND(IF(CL240=0,0,HLOOKUP(CL$14,Villagers!$B$1:$V$33,CL240+3,FALSE)),)</f>
        <v>0</v>
      </c>
      <c r="DH240" s="34">
        <f>ROUND(IF(CM240=0,0,HLOOKUP(CM$14,Villagers!$B$1:$V$33,CM240+3,FALSE)),)</f>
        <v>0</v>
      </c>
      <c r="DI240" s="109">
        <f t="shared" si="336"/>
        <v>0</v>
      </c>
      <c r="DJ240" s="50">
        <f t="shared" si="337"/>
        <v>0</v>
      </c>
      <c r="DK240" s="50">
        <f t="shared" si="338"/>
        <v>0</v>
      </c>
      <c r="DL240" s="50">
        <f t="shared" si="339"/>
        <v>0</v>
      </c>
      <c r="DM240" s="50">
        <f t="shared" si="340"/>
        <v>0</v>
      </c>
      <c r="DN240" s="50">
        <f t="shared" si="341"/>
        <v>0</v>
      </c>
      <c r="DO240" s="50">
        <f t="shared" si="342"/>
        <v>0</v>
      </c>
      <c r="DP240" s="50">
        <f t="shared" si="343"/>
        <v>0</v>
      </c>
      <c r="DQ240" s="50">
        <f t="shared" si="321"/>
        <v>0</v>
      </c>
      <c r="DR240" s="50">
        <f t="shared" si="322"/>
        <v>0</v>
      </c>
      <c r="DS240" s="96">
        <f>Miscelaneous!$D$4*Miscelaneous!$D$2^($CI240-1)</f>
        <v>1000</v>
      </c>
      <c r="DT240" s="333">
        <f t="shared" si="303"/>
        <v>1</v>
      </c>
      <c r="DU240" s="81">
        <v>1</v>
      </c>
      <c r="DV240" s="79">
        <f t="shared" si="323"/>
        <v>0</v>
      </c>
      <c r="DW240" s="79">
        <f t="shared" si="324"/>
        <v>0</v>
      </c>
      <c r="DX240" s="79">
        <f t="shared" si="325"/>
        <v>0</v>
      </c>
      <c r="DY240" s="79">
        <v>1</v>
      </c>
      <c r="DZ240" s="79">
        <f t="shared" si="326"/>
        <v>0</v>
      </c>
      <c r="EA240" s="79">
        <f t="shared" si="327"/>
        <v>0</v>
      </c>
      <c r="EB240" s="79">
        <f t="shared" si="328"/>
        <v>0</v>
      </c>
      <c r="EC240" s="79">
        <f t="shared" si="329"/>
        <v>0</v>
      </c>
      <c r="ED240" s="79">
        <v>1</v>
      </c>
      <c r="EE240" s="79">
        <v>1</v>
      </c>
      <c r="EF240" s="79">
        <f t="shared" si="330"/>
        <v>0</v>
      </c>
      <c r="EG240" s="79">
        <v>1</v>
      </c>
      <c r="EH240" s="79">
        <v>1</v>
      </c>
      <c r="EI240" s="79">
        <v>1</v>
      </c>
      <c r="EJ240" s="79">
        <v>1</v>
      </c>
      <c r="EK240" s="79">
        <v>1</v>
      </c>
      <c r="EL240" s="79">
        <v>1</v>
      </c>
      <c r="EM240" s="143">
        <f t="shared" si="331"/>
        <v>0</v>
      </c>
      <c r="EN240" s="143">
        <f t="shared" si="332"/>
        <v>0</v>
      </c>
      <c r="EO240" s="82">
        <f t="shared" si="333"/>
        <v>0</v>
      </c>
    </row>
    <row r="241" spans="1:145" x14ac:dyDescent="0.25">
      <c r="A241">
        <v>227</v>
      </c>
      <c r="B241" s="172" t="e">
        <f t="shared" si="304"/>
        <v>#N/A</v>
      </c>
      <c r="C241" s="121" t="e">
        <f t="shared" si="283"/>
        <v>#N/A</v>
      </c>
      <c r="D241" s="122" t="e">
        <f t="shared" si="284"/>
        <v>#N/A</v>
      </c>
      <c r="E241" s="122" t="e">
        <f t="shared" si="285"/>
        <v>#N/A</v>
      </c>
      <c r="F241" s="176" t="e">
        <f t="shared" si="286"/>
        <v>#N/A</v>
      </c>
      <c r="G241" s="121">
        <f t="shared" si="305"/>
        <v>208</v>
      </c>
      <c r="H241" s="176" t="e">
        <f t="shared" si="306"/>
        <v>#N/A</v>
      </c>
      <c r="I241" s="48">
        <v>1</v>
      </c>
      <c r="J241" s="39"/>
      <c r="K241" s="350">
        <v>1</v>
      </c>
      <c r="L241" s="34" t="e">
        <f t="shared" si="287"/>
        <v>#N/A</v>
      </c>
      <c r="M241" s="38" t="e">
        <f>(HLOOKUP(J241,'Construction Times'!$B$3:$W$34,L241+2,FALSE)*HLOOKUP("hq modifier",'Construction Times'!$W$3:$W$34,BS241+2,FALSE))*(1-$H$9)</f>
        <v>#N/A</v>
      </c>
      <c r="N241" s="443" t="e">
        <f t="shared" si="307"/>
        <v>#N/A</v>
      </c>
      <c r="O241" s="444"/>
      <c r="P241" s="447" t="e">
        <f t="shared" si="308"/>
        <v>#N/A</v>
      </c>
      <c r="Q241" s="448"/>
      <c r="R241" s="103">
        <f t="shared" si="334"/>
        <v>0</v>
      </c>
      <c r="S241" s="104">
        <f t="shared" si="334"/>
        <v>0</v>
      </c>
      <c r="T241" s="104">
        <f t="shared" si="335"/>
        <v>0</v>
      </c>
      <c r="U241" s="104">
        <f t="shared" si="335"/>
        <v>0</v>
      </c>
      <c r="V241" s="104">
        <f t="shared" si="335"/>
        <v>9.9999999999999995E-8</v>
      </c>
      <c r="W241" s="104">
        <f t="shared" si="335"/>
        <v>0</v>
      </c>
      <c r="X241" s="104">
        <f t="shared" si="365"/>
        <v>0</v>
      </c>
      <c r="Y241" s="104">
        <f t="shared" si="365"/>
        <v>9.9999999999999995E-8</v>
      </c>
      <c r="Z241" s="104">
        <f t="shared" si="365"/>
        <v>9.9999999999999995E-8</v>
      </c>
      <c r="AA241" s="105">
        <f t="shared" si="365"/>
        <v>9.9999999999999995E-8</v>
      </c>
      <c r="AB241" s="101" t="e">
        <f>$DT241*HLOOKUP($J241,'Construction Costs (timber)'!$B$1:$V$32,'Construction Planner'!$L241+2,FALSE)</f>
        <v>#N/A</v>
      </c>
      <c r="AC241" s="14" t="e">
        <f>$DT241*HLOOKUP($J241,'Construction Costs (clay)'!$B$1:$V$32,'Construction Planner'!$L241+2,FALSE)</f>
        <v>#N/A</v>
      </c>
      <c r="AD241" s="14" t="e">
        <f>$DT241*HLOOKUP($J241,'Construction Costs (iron)'!$B$1:$V$32,'Construction Planner'!$L241+2,FALSE)</f>
        <v>#N/A</v>
      </c>
      <c r="AE241" s="34" t="e">
        <f t="shared" si="344"/>
        <v>#N/A</v>
      </c>
      <c r="AF241" s="33" t="e">
        <f t="shared" si="288"/>
        <v>#N/A</v>
      </c>
      <c r="AG241" s="14" t="e">
        <f t="shared" si="289"/>
        <v>#N/A</v>
      </c>
      <c r="AH241" s="14" t="e">
        <f t="shared" si="290"/>
        <v>#N/A</v>
      </c>
      <c r="AI241" s="34" t="e">
        <f t="shared" si="345"/>
        <v>#N/A</v>
      </c>
      <c r="AJ241" s="49" t="e">
        <f t="shared" si="309"/>
        <v>#N/A</v>
      </c>
      <c r="AK241" s="49" t="e">
        <f t="shared" si="310"/>
        <v>#N/A</v>
      </c>
      <c r="AL241" s="49" t="e">
        <f t="shared" si="311"/>
        <v>#N/A</v>
      </c>
      <c r="AM241" s="25">
        <f t="shared" si="291"/>
        <v>30</v>
      </c>
      <c r="AN241" s="25">
        <f t="shared" si="292"/>
        <v>30</v>
      </c>
      <c r="AO241" s="25">
        <f t="shared" si="293"/>
        <v>30</v>
      </c>
      <c r="AP241" s="52" t="e">
        <f t="shared" si="312"/>
        <v>#N/A</v>
      </c>
      <c r="AQ241" s="53" t="e">
        <f t="shared" si="312"/>
        <v>#N/A</v>
      </c>
      <c r="AR241" s="54" t="e">
        <f t="shared" si="312"/>
        <v>#N/A</v>
      </c>
      <c r="AS241" s="316">
        <f t="shared" si="362"/>
        <v>0</v>
      </c>
      <c r="AT241" s="106">
        <f>_xlfn.IFNA($M241/VLOOKUP($BT241,'Unit information'!$A$2:$K$29,2,FALSE)*R241,0)*(1+$E$9)</f>
        <v>0</v>
      </c>
      <c r="AU241" s="107">
        <f>_xlfn.IFNA($M241/VLOOKUP($BT241,'Unit information'!$A$2:$K$29,3,FALSE)*S241,0)*(1+$E$9)</f>
        <v>0</v>
      </c>
      <c r="AV241" s="107">
        <f>_xlfn.IFNA($M241/VLOOKUP($BT241,'Unit information'!$A$2:$K$29,4,FALSE)*T241,0)*(1+$E$9)</f>
        <v>0</v>
      </c>
      <c r="AW241" s="107">
        <f>_xlfn.IFNA($M241/VLOOKUP($BT241,'Unit information'!$A$2:$K$29,5,FALSE)*U241,0)*(1+$E$9)</f>
        <v>0</v>
      </c>
      <c r="AX241" s="107">
        <f>_xlfn.IFNA($M241/VLOOKUP($BU241,'Unit information'!$A$2:$K$29,6,FALSE)*V241,0)*(1+$E$9)</f>
        <v>0</v>
      </c>
      <c r="AY241" s="107">
        <f>_xlfn.IFNA($M241/VLOOKUP($BU241,'Unit information'!$A$2:$K$29,7,FALSE)*W241,0)*(1+$E$9)</f>
        <v>0</v>
      </c>
      <c r="AZ241" s="107">
        <f>_xlfn.IFNA($M241/VLOOKUP($BU241,'Unit information'!$A$2:$K$29,8,FALSE)*X241,0)*(1+$E$9)</f>
        <v>0</v>
      </c>
      <c r="BA241" s="107">
        <f>_xlfn.IFNA($M241/VLOOKUP($BU241,'Unit information'!$A$2:$K$29,9,FALSE)*Y241,0)*(1+$E$9)</f>
        <v>0</v>
      </c>
      <c r="BB241" s="107">
        <f>_xlfn.IFNA($M241/VLOOKUP($BV241,'Unit information'!$A$2:$K$29,10,FALSE)*Z241,0)*(1+$E$9)</f>
        <v>0</v>
      </c>
      <c r="BC241" s="108">
        <f>_xlfn.IFNA($M241/VLOOKUP($BV241,'Unit information'!$A$2:$K$29,11,FALSE)*AA241,0)*(1+$E$9)</f>
        <v>0</v>
      </c>
      <c r="BD241" s="106">
        <f t="shared" si="294"/>
        <v>0</v>
      </c>
      <c r="BE241" s="107">
        <f t="shared" si="295"/>
        <v>0</v>
      </c>
      <c r="BF241" s="108">
        <f t="shared" si="296"/>
        <v>0</v>
      </c>
      <c r="BG241" s="25" t="e">
        <f t="shared" si="297"/>
        <v>#N/A</v>
      </c>
      <c r="BH241" s="25" t="e">
        <f t="shared" si="298"/>
        <v>#N/A</v>
      </c>
      <c r="BI241" s="25" t="e">
        <f t="shared" si="299"/>
        <v>#N/A</v>
      </c>
      <c r="BJ241" s="27" t="e">
        <f t="shared" si="300"/>
        <v>#N/A</v>
      </c>
      <c r="BK241" s="18" t="e">
        <f t="shared" si="301"/>
        <v>#N/A</v>
      </c>
      <c r="BL241" s="18" t="e">
        <f t="shared" si="302"/>
        <v>#N/A</v>
      </c>
      <c r="BM241" s="28" t="e">
        <f t="shared" si="347"/>
        <v>#N/A</v>
      </c>
      <c r="BN241" s="33">
        <f>HLOOKUP("maximum population",Miscelaneous!$C$1:$C$33,CH241+3,FALSE)</f>
        <v>240</v>
      </c>
      <c r="BO241" s="14">
        <f t="shared" si="313"/>
        <v>32</v>
      </c>
      <c r="BP241" s="14">
        <f t="shared" si="314"/>
        <v>0</v>
      </c>
      <c r="BQ241" s="14">
        <f t="shared" si="315"/>
        <v>208</v>
      </c>
      <c r="BR241" s="34" t="e">
        <f>HLOOKUP(J241,Villagers!$B$1:$V$33,L241+3,FALSE)-HLOOKUP(J241,Villagers!$B$1:$V$33,L241+2,FALSE)</f>
        <v>#N/A</v>
      </c>
      <c r="BS241" s="49">
        <f t="shared" si="316"/>
        <v>1</v>
      </c>
      <c r="BT241" s="50">
        <f t="shared" si="317"/>
        <v>0</v>
      </c>
      <c r="BU241" s="50">
        <f t="shared" si="318"/>
        <v>0</v>
      </c>
      <c r="BV241" s="50">
        <f t="shared" si="319"/>
        <v>0</v>
      </c>
      <c r="BW241" s="50">
        <f t="shared" si="363"/>
        <v>0</v>
      </c>
      <c r="BX241" s="50">
        <f t="shared" si="364"/>
        <v>0</v>
      </c>
      <c r="BY241" s="50">
        <f t="shared" si="364"/>
        <v>0</v>
      </c>
      <c r="BZ241" s="50">
        <f t="shared" si="350"/>
        <v>0</v>
      </c>
      <c r="CA241" s="50">
        <f t="shared" si="351"/>
        <v>0</v>
      </c>
      <c r="CB241" s="50">
        <f t="shared" si="352"/>
        <v>1</v>
      </c>
      <c r="CC241" s="50">
        <f t="shared" si="353"/>
        <v>0</v>
      </c>
      <c r="CD241" s="50">
        <f t="shared" si="354"/>
        <v>0</v>
      </c>
      <c r="CE241" s="50">
        <f t="shared" si="355"/>
        <v>1</v>
      </c>
      <c r="CF241" s="50">
        <f t="shared" si="356"/>
        <v>1</v>
      </c>
      <c r="CG241" s="50">
        <f t="shared" si="357"/>
        <v>1</v>
      </c>
      <c r="CH241" s="50">
        <f t="shared" si="358"/>
        <v>1</v>
      </c>
      <c r="CI241" s="50">
        <f t="shared" si="359"/>
        <v>1</v>
      </c>
      <c r="CJ241" s="50">
        <f t="shared" si="360"/>
        <v>1</v>
      </c>
      <c r="CK241" s="50">
        <f t="shared" si="360"/>
        <v>0</v>
      </c>
      <c r="CL241" s="50">
        <f t="shared" si="360"/>
        <v>0</v>
      </c>
      <c r="CM241" s="51">
        <f t="shared" si="366"/>
        <v>0</v>
      </c>
      <c r="CN241" s="33">
        <f>ROUND(IF(BS241=0,0,HLOOKUP(BS$14,Villagers!$B$1:$V$33,BS241+3,FALSE)),)</f>
        <v>5</v>
      </c>
      <c r="CO241" s="14">
        <f>ROUND(IF(BT241=0,0,HLOOKUP(BT$14,Villagers!$B$1:$V$33,BT241+3,FALSE)),)</f>
        <v>0</v>
      </c>
      <c r="CP241" s="14">
        <f>ROUND(IF(BU241=0,0,HLOOKUP(BU$14,Villagers!$B$1:$V$33,BU241+3,FALSE)),)</f>
        <v>0</v>
      </c>
      <c r="CQ241" s="14">
        <f>ROUND(IF(BV241=0,0,HLOOKUP(BV$14,Villagers!$B$1:$V$33,BV241+3,FALSE)),)</f>
        <v>0</v>
      </c>
      <c r="CR241" s="14">
        <f>ROUND(IF(BW241=0,0,HLOOKUP(BW$14,Villagers!$B$1:$V$33,BW241+3,FALSE)),)</f>
        <v>0</v>
      </c>
      <c r="CS241" s="14">
        <f>ROUND(IF(BX241=0,0,HLOOKUP(BX$14,Villagers!$B$1:$V$33,BX241+3,FALSE)),)</f>
        <v>0</v>
      </c>
      <c r="CT241" s="14">
        <f>ROUND(IF(BY241=0,0,HLOOKUP(BY$14,Villagers!$B$1:$V$33,BY241+3,FALSE)),)</f>
        <v>0</v>
      </c>
      <c r="CU241" s="14">
        <f>ROUND(IF(BZ241=0,0,HLOOKUP(BZ$14,Villagers!$B$1:$V$33,BZ241+3,FALSE)),)</f>
        <v>0</v>
      </c>
      <c r="CV241" s="14">
        <f>ROUND(IF(CA241=0,0,HLOOKUP(CA$14,Villagers!$B$1:$V$33,CA241+3,FALSE)),)</f>
        <v>0</v>
      </c>
      <c r="CW241" s="14">
        <f>ROUND(IF(CB241=0,0,HLOOKUP(CB$14,Villagers!$B$1:$V$33,CB241+3,FALSE)),)</f>
        <v>0</v>
      </c>
      <c r="CX241" s="14">
        <f>ROUND(IF(CC241=0,0,HLOOKUP(CC$14,Villagers!$B$1:$V$33,CC241+3,FALSE)),)</f>
        <v>0</v>
      </c>
      <c r="CY241" s="14">
        <f>ROUND(IF(CD241=0,0,HLOOKUP(CD$14,Villagers!$B$1:$V$33,CD241+3,FALSE)),)</f>
        <v>0</v>
      </c>
      <c r="CZ241" s="14">
        <f>ROUND(IF(CE241=0,0,HLOOKUP(CE$14,Villagers!$B$1:$V$33,CE241+3,FALSE)),)</f>
        <v>5</v>
      </c>
      <c r="DA241" s="14">
        <f>ROUND(IF(CF241=0,0,HLOOKUP(CF$14,Villagers!$B$1:$V$33,CF241+3,FALSE)),)</f>
        <v>10</v>
      </c>
      <c r="DB241" s="14">
        <f>ROUND(IF(CG241=0,0,HLOOKUP(CG$14,Villagers!$B$1:$V$33,CG241+3,FALSE)),)</f>
        <v>10</v>
      </c>
      <c r="DC241" s="14">
        <f>ROUND(IF(CH241=0,0,HLOOKUP(CH$14,Villagers!$B$1:$V$33,CH241+3,FALSE)),)</f>
        <v>0</v>
      </c>
      <c r="DD241" s="14">
        <f>ROUND(IF(CI241=0,0,HLOOKUP(CI$14,Villagers!$B$1:$V$33,CI241+3,FALSE)),)</f>
        <v>0</v>
      </c>
      <c r="DE241" s="14">
        <f>ROUND(IF(CJ241=0,0,HLOOKUP(CJ$14,Villagers!$B$1:$V$33,CJ241+3,FALSE)),)</f>
        <v>2</v>
      </c>
      <c r="DF241" s="370">
        <f>ROUND(IF(CK241=0,0,HLOOKUP(CK$14,Villagers!$B$1:$V$33,CK241+3,FALSE)),)</f>
        <v>0</v>
      </c>
      <c r="DG241" s="370">
        <f>ROUND(IF(CL241=0,0,HLOOKUP(CL$14,Villagers!$B$1:$V$33,CL241+3,FALSE)),)</f>
        <v>0</v>
      </c>
      <c r="DH241" s="34">
        <f>ROUND(IF(CM241=0,0,HLOOKUP(CM$14,Villagers!$B$1:$V$33,CM241+3,FALSE)),)</f>
        <v>0</v>
      </c>
      <c r="DI241" s="109">
        <f t="shared" si="336"/>
        <v>0</v>
      </c>
      <c r="DJ241" s="50">
        <f t="shared" si="337"/>
        <v>0</v>
      </c>
      <c r="DK241" s="50">
        <f t="shared" si="338"/>
        <v>0</v>
      </c>
      <c r="DL241" s="50">
        <f t="shared" si="339"/>
        <v>0</v>
      </c>
      <c r="DM241" s="50">
        <f t="shared" si="340"/>
        <v>0</v>
      </c>
      <c r="DN241" s="50">
        <f t="shared" si="341"/>
        <v>0</v>
      </c>
      <c r="DO241" s="50">
        <f t="shared" si="342"/>
        <v>0</v>
      </c>
      <c r="DP241" s="50">
        <f t="shared" si="343"/>
        <v>0</v>
      </c>
      <c r="DQ241" s="50">
        <f t="shared" si="321"/>
        <v>0</v>
      </c>
      <c r="DR241" s="50">
        <f t="shared" si="322"/>
        <v>0</v>
      </c>
      <c r="DS241" s="96">
        <f>Miscelaneous!$D$4*Miscelaneous!$D$2^($CI241-1)</f>
        <v>1000</v>
      </c>
      <c r="DT241" s="333">
        <f t="shared" si="303"/>
        <v>1</v>
      </c>
      <c r="DU241" s="81">
        <v>1</v>
      </c>
      <c r="DV241" s="79">
        <f t="shared" si="323"/>
        <v>0</v>
      </c>
      <c r="DW241" s="79">
        <f t="shared" si="324"/>
        <v>0</v>
      </c>
      <c r="DX241" s="79">
        <f t="shared" si="325"/>
        <v>0</v>
      </c>
      <c r="DY241" s="79">
        <v>1</v>
      </c>
      <c r="DZ241" s="79">
        <f t="shared" si="326"/>
        <v>0</v>
      </c>
      <c r="EA241" s="79">
        <f t="shared" si="327"/>
        <v>0</v>
      </c>
      <c r="EB241" s="79">
        <f t="shared" si="328"/>
        <v>0</v>
      </c>
      <c r="EC241" s="79">
        <f t="shared" si="329"/>
        <v>0</v>
      </c>
      <c r="ED241" s="79">
        <v>1</v>
      </c>
      <c r="EE241" s="79">
        <v>1</v>
      </c>
      <c r="EF241" s="79">
        <f t="shared" si="330"/>
        <v>0</v>
      </c>
      <c r="EG241" s="79">
        <v>1</v>
      </c>
      <c r="EH241" s="79">
        <v>1</v>
      </c>
      <c r="EI241" s="79">
        <v>1</v>
      </c>
      <c r="EJ241" s="79">
        <v>1</v>
      </c>
      <c r="EK241" s="79">
        <v>1</v>
      </c>
      <c r="EL241" s="79">
        <v>1</v>
      </c>
      <c r="EM241" s="143">
        <f t="shared" si="331"/>
        <v>0</v>
      </c>
      <c r="EN241" s="143">
        <f t="shared" si="332"/>
        <v>0</v>
      </c>
      <c r="EO241" s="82">
        <f t="shared" si="333"/>
        <v>0</v>
      </c>
    </row>
    <row r="242" spans="1:145" x14ac:dyDescent="0.25">
      <c r="A242">
        <v>228</v>
      </c>
      <c r="B242" s="172" t="e">
        <f t="shared" si="304"/>
        <v>#N/A</v>
      </c>
      <c r="C242" s="121" t="e">
        <f t="shared" si="283"/>
        <v>#N/A</v>
      </c>
      <c r="D242" s="122" t="e">
        <f t="shared" si="284"/>
        <v>#N/A</v>
      </c>
      <c r="E242" s="122" t="e">
        <f t="shared" si="285"/>
        <v>#N/A</v>
      </c>
      <c r="F242" s="176" t="e">
        <f t="shared" si="286"/>
        <v>#N/A</v>
      </c>
      <c r="G242" s="121">
        <f t="shared" si="305"/>
        <v>208</v>
      </c>
      <c r="H242" s="176" t="e">
        <f t="shared" si="306"/>
        <v>#N/A</v>
      </c>
      <c r="I242" s="48">
        <v>1</v>
      </c>
      <c r="J242" s="39"/>
      <c r="K242" s="350">
        <v>1</v>
      </c>
      <c r="L242" s="34" t="e">
        <f t="shared" si="287"/>
        <v>#N/A</v>
      </c>
      <c r="M242" s="38" t="e">
        <f>(HLOOKUP(J242,'Construction Times'!$B$3:$W$34,L242+2,FALSE)*HLOOKUP("hq modifier",'Construction Times'!$W$3:$W$34,BS242+2,FALSE))*(1-$H$9)</f>
        <v>#N/A</v>
      </c>
      <c r="N242" s="443" t="e">
        <f t="shared" si="307"/>
        <v>#N/A</v>
      </c>
      <c r="O242" s="444"/>
      <c r="P242" s="447" t="e">
        <f t="shared" si="308"/>
        <v>#N/A</v>
      </c>
      <c r="Q242" s="448"/>
      <c r="R242" s="103">
        <f t="shared" si="334"/>
        <v>0</v>
      </c>
      <c r="S242" s="104">
        <f t="shared" si="334"/>
        <v>0</v>
      </c>
      <c r="T242" s="104">
        <f t="shared" si="335"/>
        <v>0</v>
      </c>
      <c r="U242" s="104">
        <f t="shared" si="335"/>
        <v>0</v>
      </c>
      <c r="V242" s="104">
        <f t="shared" si="335"/>
        <v>9.9999999999999995E-8</v>
      </c>
      <c r="W242" s="104">
        <f t="shared" si="335"/>
        <v>0</v>
      </c>
      <c r="X242" s="104">
        <f t="shared" si="365"/>
        <v>0</v>
      </c>
      <c r="Y242" s="104">
        <f t="shared" si="365"/>
        <v>9.9999999999999995E-8</v>
      </c>
      <c r="Z242" s="104">
        <f t="shared" si="365"/>
        <v>9.9999999999999995E-8</v>
      </c>
      <c r="AA242" s="105">
        <f t="shared" si="365"/>
        <v>9.9999999999999995E-8</v>
      </c>
      <c r="AB242" s="101" t="e">
        <f>$DT242*HLOOKUP($J242,'Construction Costs (timber)'!$B$1:$V$32,'Construction Planner'!$L242+2,FALSE)</f>
        <v>#N/A</v>
      </c>
      <c r="AC242" s="14" t="e">
        <f>$DT242*HLOOKUP($J242,'Construction Costs (clay)'!$B$1:$V$32,'Construction Planner'!$L242+2,FALSE)</f>
        <v>#N/A</v>
      </c>
      <c r="AD242" s="14" t="e">
        <f>$DT242*HLOOKUP($J242,'Construction Costs (iron)'!$B$1:$V$32,'Construction Planner'!$L242+2,FALSE)</f>
        <v>#N/A</v>
      </c>
      <c r="AE242" s="34" t="e">
        <f t="shared" si="344"/>
        <v>#N/A</v>
      </c>
      <c r="AF242" s="33" t="e">
        <f t="shared" si="288"/>
        <v>#N/A</v>
      </c>
      <c r="AG242" s="14" t="e">
        <f t="shared" si="289"/>
        <v>#N/A</v>
      </c>
      <c r="AH242" s="14" t="e">
        <f t="shared" si="290"/>
        <v>#N/A</v>
      </c>
      <c r="AI242" s="34" t="e">
        <f t="shared" si="345"/>
        <v>#N/A</v>
      </c>
      <c r="AJ242" s="49" t="e">
        <f t="shared" si="309"/>
        <v>#N/A</v>
      </c>
      <c r="AK242" s="49" t="e">
        <f t="shared" si="310"/>
        <v>#N/A</v>
      </c>
      <c r="AL242" s="49" t="e">
        <f t="shared" si="311"/>
        <v>#N/A</v>
      </c>
      <c r="AM242" s="25">
        <f t="shared" si="291"/>
        <v>30</v>
      </c>
      <c r="AN242" s="25">
        <f t="shared" si="292"/>
        <v>30</v>
      </c>
      <c r="AO242" s="25">
        <f t="shared" si="293"/>
        <v>30</v>
      </c>
      <c r="AP242" s="52" t="e">
        <f t="shared" si="312"/>
        <v>#N/A</v>
      </c>
      <c r="AQ242" s="53" t="e">
        <f t="shared" si="312"/>
        <v>#N/A</v>
      </c>
      <c r="AR242" s="54" t="e">
        <f t="shared" si="312"/>
        <v>#N/A</v>
      </c>
      <c r="AS242" s="316">
        <f t="shared" si="362"/>
        <v>0</v>
      </c>
      <c r="AT242" s="106">
        <f>_xlfn.IFNA($M242/VLOOKUP($BT242,'Unit information'!$A$2:$K$29,2,FALSE)*R242,0)*(1+$E$9)</f>
        <v>0</v>
      </c>
      <c r="AU242" s="107">
        <f>_xlfn.IFNA($M242/VLOOKUP($BT242,'Unit information'!$A$2:$K$29,3,FALSE)*S242,0)*(1+$E$9)</f>
        <v>0</v>
      </c>
      <c r="AV242" s="107">
        <f>_xlfn.IFNA($M242/VLOOKUP($BT242,'Unit information'!$A$2:$K$29,4,FALSE)*T242,0)*(1+$E$9)</f>
        <v>0</v>
      </c>
      <c r="AW242" s="107">
        <f>_xlfn.IFNA($M242/VLOOKUP($BT242,'Unit information'!$A$2:$K$29,5,FALSE)*U242,0)*(1+$E$9)</f>
        <v>0</v>
      </c>
      <c r="AX242" s="107">
        <f>_xlfn.IFNA($M242/VLOOKUP($BU242,'Unit information'!$A$2:$K$29,6,FALSE)*V242,0)*(1+$E$9)</f>
        <v>0</v>
      </c>
      <c r="AY242" s="107">
        <f>_xlfn.IFNA($M242/VLOOKUP($BU242,'Unit information'!$A$2:$K$29,7,FALSE)*W242,0)*(1+$E$9)</f>
        <v>0</v>
      </c>
      <c r="AZ242" s="107">
        <f>_xlfn.IFNA($M242/VLOOKUP($BU242,'Unit information'!$A$2:$K$29,8,FALSE)*X242,0)*(1+$E$9)</f>
        <v>0</v>
      </c>
      <c r="BA242" s="107">
        <f>_xlfn.IFNA($M242/VLOOKUP($BU242,'Unit information'!$A$2:$K$29,9,FALSE)*Y242,0)*(1+$E$9)</f>
        <v>0</v>
      </c>
      <c r="BB242" s="107">
        <f>_xlfn.IFNA($M242/VLOOKUP($BV242,'Unit information'!$A$2:$K$29,10,FALSE)*Z242,0)*(1+$E$9)</f>
        <v>0</v>
      </c>
      <c r="BC242" s="108">
        <f>_xlfn.IFNA($M242/VLOOKUP($BV242,'Unit information'!$A$2:$K$29,11,FALSE)*AA242,0)*(1+$E$9)</f>
        <v>0</v>
      </c>
      <c r="BD242" s="106">
        <f t="shared" si="294"/>
        <v>0</v>
      </c>
      <c r="BE242" s="107">
        <f t="shared" si="295"/>
        <v>0</v>
      </c>
      <c r="BF242" s="108">
        <f t="shared" si="296"/>
        <v>0</v>
      </c>
      <c r="BG242" s="25" t="e">
        <f t="shared" si="297"/>
        <v>#N/A</v>
      </c>
      <c r="BH242" s="25" t="e">
        <f t="shared" si="298"/>
        <v>#N/A</v>
      </c>
      <c r="BI242" s="25" t="e">
        <f t="shared" si="299"/>
        <v>#N/A</v>
      </c>
      <c r="BJ242" s="27" t="e">
        <f t="shared" si="300"/>
        <v>#N/A</v>
      </c>
      <c r="BK242" s="18" t="e">
        <f t="shared" si="301"/>
        <v>#N/A</v>
      </c>
      <c r="BL242" s="18" t="e">
        <f t="shared" si="302"/>
        <v>#N/A</v>
      </c>
      <c r="BM242" s="28" t="e">
        <f t="shared" si="347"/>
        <v>#N/A</v>
      </c>
      <c r="BN242" s="33">
        <f>HLOOKUP("maximum population",Miscelaneous!$C$1:$C$33,CH242+3,FALSE)</f>
        <v>240</v>
      </c>
      <c r="BO242" s="14">
        <f t="shared" si="313"/>
        <v>32</v>
      </c>
      <c r="BP242" s="14">
        <f t="shared" si="314"/>
        <v>0</v>
      </c>
      <c r="BQ242" s="14">
        <f t="shared" si="315"/>
        <v>208</v>
      </c>
      <c r="BR242" s="34" t="e">
        <f>HLOOKUP(J242,Villagers!$B$1:$V$33,L242+3,FALSE)-HLOOKUP(J242,Villagers!$B$1:$V$33,L242+2,FALSE)</f>
        <v>#N/A</v>
      </c>
      <c r="BS242" s="49">
        <f t="shared" si="316"/>
        <v>1</v>
      </c>
      <c r="BT242" s="50">
        <f t="shared" si="317"/>
        <v>0</v>
      </c>
      <c r="BU242" s="50">
        <f t="shared" si="318"/>
        <v>0</v>
      </c>
      <c r="BV242" s="50">
        <f t="shared" si="319"/>
        <v>0</v>
      </c>
      <c r="BW242" s="50">
        <f t="shared" si="363"/>
        <v>0</v>
      </c>
      <c r="BX242" s="50">
        <f t="shared" si="364"/>
        <v>0</v>
      </c>
      <c r="BY242" s="50">
        <f t="shared" si="364"/>
        <v>0</v>
      </c>
      <c r="BZ242" s="50">
        <f t="shared" si="350"/>
        <v>0</v>
      </c>
      <c r="CA242" s="50">
        <f t="shared" si="351"/>
        <v>0</v>
      </c>
      <c r="CB242" s="50">
        <f t="shared" si="352"/>
        <v>1</v>
      </c>
      <c r="CC242" s="50">
        <f t="shared" si="353"/>
        <v>0</v>
      </c>
      <c r="CD242" s="50">
        <f t="shared" si="354"/>
        <v>0</v>
      </c>
      <c r="CE242" s="50">
        <f t="shared" si="355"/>
        <v>1</v>
      </c>
      <c r="CF242" s="50">
        <f t="shared" si="356"/>
        <v>1</v>
      </c>
      <c r="CG242" s="50">
        <f t="shared" si="357"/>
        <v>1</v>
      </c>
      <c r="CH242" s="50">
        <f t="shared" si="358"/>
        <v>1</v>
      </c>
      <c r="CI242" s="50">
        <f t="shared" si="359"/>
        <v>1</v>
      </c>
      <c r="CJ242" s="50">
        <f t="shared" si="360"/>
        <v>1</v>
      </c>
      <c r="CK242" s="50">
        <f t="shared" si="360"/>
        <v>0</v>
      </c>
      <c r="CL242" s="50">
        <f t="shared" si="360"/>
        <v>0</v>
      </c>
      <c r="CM242" s="51">
        <f t="shared" si="366"/>
        <v>0</v>
      </c>
      <c r="CN242" s="33">
        <f>ROUND(IF(BS242=0,0,HLOOKUP(BS$14,Villagers!$B$1:$V$33,BS242+3,FALSE)),)</f>
        <v>5</v>
      </c>
      <c r="CO242" s="14">
        <f>ROUND(IF(BT242=0,0,HLOOKUP(BT$14,Villagers!$B$1:$V$33,BT242+3,FALSE)),)</f>
        <v>0</v>
      </c>
      <c r="CP242" s="14">
        <f>ROUND(IF(BU242=0,0,HLOOKUP(BU$14,Villagers!$B$1:$V$33,BU242+3,FALSE)),)</f>
        <v>0</v>
      </c>
      <c r="CQ242" s="14">
        <f>ROUND(IF(BV242=0,0,HLOOKUP(BV$14,Villagers!$B$1:$V$33,BV242+3,FALSE)),)</f>
        <v>0</v>
      </c>
      <c r="CR242" s="14">
        <f>ROUND(IF(BW242=0,0,HLOOKUP(BW$14,Villagers!$B$1:$V$33,BW242+3,FALSE)),)</f>
        <v>0</v>
      </c>
      <c r="CS242" s="14">
        <f>ROUND(IF(BX242=0,0,HLOOKUP(BX$14,Villagers!$B$1:$V$33,BX242+3,FALSE)),)</f>
        <v>0</v>
      </c>
      <c r="CT242" s="14">
        <f>ROUND(IF(BY242=0,0,HLOOKUP(BY$14,Villagers!$B$1:$V$33,BY242+3,FALSE)),)</f>
        <v>0</v>
      </c>
      <c r="CU242" s="14">
        <f>ROUND(IF(BZ242=0,0,HLOOKUP(BZ$14,Villagers!$B$1:$V$33,BZ242+3,FALSE)),)</f>
        <v>0</v>
      </c>
      <c r="CV242" s="14">
        <f>ROUND(IF(CA242=0,0,HLOOKUP(CA$14,Villagers!$B$1:$V$33,CA242+3,FALSE)),)</f>
        <v>0</v>
      </c>
      <c r="CW242" s="14">
        <f>ROUND(IF(CB242=0,0,HLOOKUP(CB$14,Villagers!$B$1:$V$33,CB242+3,FALSE)),)</f>
        <v>0</v>
      </c>
      <c r="CX242" s="14">
        <f>ROUND(IF(CC242=0,0,HLOOKUP(CC$14,Villagers!$B$1:$V$33,CC242+3,FALSE)),)</f>
        <v>0</v>
      </c>
      <c r="CY242" s="14">
        <f>ROUND(IF(CD242=0,0,HLOOKUP(CD$14,Villagers!$B$1:$V$33,CD242+3,FALSE)),)</f>
        <v>0</v>
      </c>
      <c r="CZ242" s="14">
        <f>ROUND(IF(CE242=0,0,HLOOKUP(CE$14,Villagers!$B$1:$V$33,CE242+3,FALSE)),)</f>
        <v>5</v>
      </c>
      <c r="DA242" s="14">
        <f>ROUND(IF(CF242=0,0,HLOOKUP(CF$14,Villagers!$B$1:$V$33,CF242+3,FALSE)),)</f>
        <v>10</v>
      </c>
      <c r="DB242" s="14">
        <f>ROUND(IF(CG242=0,0,HLOOKUP(CG$14,Villagers!$B$1:$V$33,CG242+3,FALSE)),)</f>
        <v>10</v>
      </c>
      <c r="DC242" s="14">
        <f>ROUND(IF(CH242=0,0,HLOOKUP(CH$14,Villagers!$B$1:$V$33,CH242+3,FALSE)),)</f>
        <v>0</v>
      </c>
      <c r="DD242" s="14">
        <f>ROUND(IF(CI242=0,0,HLOOKUP(CI$14,Villagers!$B$1:$V$33,CI242+3,FALSE)),)</f>
        <v>0</v>
      </c>
      <c r="DE242" s="14">
        <f>ROUND(IF(CJ242=0,0,HLOOKUP(CJ$14,Villagers!$B$1:$V$33,CJ242+3,FALSE)),)</f>
        <v>2</v>
      </c>
      <c r="DF242" s="370">
        <f>ROUND(IF(CK242=0,0,HLOOKUP(CK$14,Villagers!$B$1:$V$33,CK242+3,FALSE)),)</f>
        <v>0</v>
      </c>
      <c r="DG242" s="370">
        <f>ROUND(IF(CL242=0,0,HLOOKUP(CL$14,Villagers!$B$1:$V$33,CL242+3,FALSE)),)</f>
        <v>0</v>
      </c>
      <c r="DH242" s="34">
        <f>ROUND(IF(CM242=0,0,HLOOKUP(CM$14,Villagers!$B$1:$V$33,CM242+3,FALSE)),)</f>
        <v>0</v>
      </c>
      <c r="DI242" s="109">
        <f t="shared" si="336"/>
        <v>0</v>
      </c>
      <c r="DJ242" s="50">
        <f t="shared" si="337"/>
        <v>0</v>
      </c>
      <c r="DK242" s="50">
        <f t="shared" si="338"/>
        <v>0</v>
      </c>
      <c r="DL242" s="50">
        <f t="shared" si="339"/>
        <v>0</v>
      </c>
      <c r="DM242" s="50">
        <f t="shared" si="340"/>
        <v>0</v>
      </c>
      <c r="DN242" s="50">
        <f t="shared" si="341"/>
        <v>0</v>
      </c>
      <c r="DO242" s="50">
        <f t="shared" si="342"/>
        <v>0</v>
      </c>
      <c r="DP242" s="50">
        <f t="shared" si="343"/>
        <v>0</v>
      </c>
      <c r="DQ242" s="50">
        <f t="shared" si="321"/>
        <v>0</v>
      </c>
      <c r="DR242" s="50">
        <f t="shared" si="322"/>
        <v>0</v>
      </c>
      <c r="DS242" s="96">
        <f>Miscelaneous!$D$4*Miscelaneous!$D$2^($CI242-1)</f>
        <v>1000</v>
      </c>
      <c r="DT242" s="333">
        <f t="shared" si="303"/>
        <v>1</v>
      </c>
      <c r="DU242" s="81">
        <v>1</v>
      </c>
      <c r="DV242" s="79">
        <f t="shared" si="323"/>
        <v>0</v>
      </c>
      <c r="DW242" s="79">
        <f t="shared" si="324"/>
        <v>0</v>
      </c>
      <c r="DX242" s="79">
        <f t="shared" si="325"/>
        <v>0</v>
      </c>
      <c r="DY242" s="79">
        <v>1</v>
      </c>
      <c r="DZ242" s="79">
        <f t="shared" si="326"/>
        <v>0</v>
      </c>
      <c r="EA242" s="79">
        <f t="shared" si="327"/>
        <v>0</v>
      </c>
      <c r="EB242" s="79">
        <f t="shared" si="328"/>
        <v>0</v>
      </c>
      <c r="EC242" s="79">
        <f t="shared" si="329"/>
        <v>0</v>
      </c>
      <c r="ED242" s="79">
        <v>1</v>
      </c>
      <c r="EE242" s="79">
        <v>1</v>
      </c>
      <c r="EF242" s="79">
        <f t="shared" si="330"/>
        <v>0</v>
      </c>
      <c r="EG242" s="79">
        <v>1</v>
      </c>
      <c r="EH242" s="79">
        <v>1</v>
      </c>
      <c r="EI242" s="79">
        <v>1</v>
      </c>
      <c r="EJ242" s="79">
        <v>1</v>
      </c>
      <c r="EK242" s="79">
        <v>1</v>
      </c>
      <c r="EL242" s="79">
        <v>1</v>
      </c>
      <c r="EM242" s="143">
        <f t="shared" si="331"/>
        <v>0</v>
      </c>
      <c r="EN242" s="143">
        <f t="shared" si="332"/>
        <v>0</v>
      </c>
      <c r="EO242" s="82">
        <f t="shared" si="333"/>
        <v>0</v>
      </c>
    </row>
    <row r="243" spans="1:145" x14ac:dyDescent="0.25">
      <c r="A243">
        <v>229</v>
      </c>
      <c r="B243" s="172" t="e">
        <f t="shared" si="304"/>
        <v>#N/A</v>
      </c>
      <c r="C243" s="121" t="e">
        <f t="shared" si="283"/>
        <v>#N/A</v>
      </c>
      <c r="D243" s="122" t="e">
        <f t="shared" si="284"/>
        <v>#N/A</v>
      </c>
      <c r="E243" s="122" t="e">
        <f t="shared" si="285"/>
        <v>#N/A</v>
      </c>
      <c r="F243" s="176" t="e">
        <f t="shared" si="286"/>
        <v>#N/A</v>
      </c>
      <c r="G243" s="121">
        <f t="shared" si="305"/>
        <v>208</v>
      </c>
      <c r="H243" s="176" t="e">
        <f t="shared" si="306"/>
        <v>#N/A</v>
      </c>
      <c r="I243" s="48">
        <v>1</v>
      </c>
      <c r="J243" s="39"/>
      <c r="K243" s="350">
        <v>1</v>
      </c>
      <c r="L243" s="34" t="e">
        <f t="shared" si="287"/>
        <v>#N/A</v>
      </c>
      <c r="M243" s="38" t="e">
        <f>(HLOOKUP(J243,'Construction Times'!$B$3:$W$34,L243+2,FALSE)*HLOOKUP("hq modifier",'Construction Times'!$W$3:$W$34,BS243+2,FALSE))*(1-$H$9)</f>
        <v>#N/A</v>
      </c>
      <c r="N243" s="443" t="e">
        <f t="shared" si="307"/>
        <v>#N/A</v>
      </c>
      <c r="O243" s="444"/>
      <c r="P243" s="447" t="e">
        <f t="shared" si="308"/>
        <v>#N/A</v>
      </c>
      <c r="Q243" s="448"/>
      <c r="R243" s="103">
        <f t="shared" si="334"/>
        <v>0</v>
      </c>
      <c r="S243" s="104">
        <f t="shared" si="334"/>
        <v>0</v>
      </c>
      <c r="T243" s="104">
        <f t="shared" si="335"/>
        <v>0</v>
      </c>
      <c r="U243" s="104">
        <f t="shared" si="335"/>
        <v>0</v>
      </c>
      <c r="V243" s="104">
        <f t="shared" si="335"/>
        <v>9.9999999999999995E-8</v>
      </c>
      <c r="W243" s="104">
        <f t="shared" si="335"/>
        <v>0</v>
      </c>
      <c r="X243" s="104">
        <f t="shared" si="365"/>
        <v>0</v>
      </c>
      <c r="Y243" s="104">
        <f t="shared" si="365"/>
        <v>9.9999999999999995E-8</v>
      </c>
      <c r="Z243" s="104">
        <f t="shared" si="365"/>
        <v>9.9999999999999995E-8</v>
      </c>
      <c r="AA243" s="105">
        <f t="shared" si="365"/>
        <v>9.9999999999999995E-8</v>
      </c>
      <c r="AB243" s="101" t="e">
        <f>$DT243*HLOOKUP($J243,'Construction Costs (timber)'!$B$1:$V$32,'Construction Planner'!$L243+2,FALSE)</f>
        <v>#N/A</v>
      </c>
      <c r="AC243" s="14" t="e">
        <f>$DT243*HLOOKUP($J243,'Construction Costs (clay)'!$B$1:$V$32,'Construction Planner'!$L243+2,FALSE)</f>
        <v>#N/A</v>
      </c>
      <c r="AD243" s="14" t="e">
        <f>$DT243*HLOOKUP($J243,'Construction Costs (iron)'!$B$1:$V$32,'Construction Planner'!$L243+2,FALSE)</f>
        <v>#N/A</v>
      </c>
      <c r="AE243" s="34" t="e">
        <f t="shared" si="344"/>
        <v>#N/A</v>
      </c>
      <c r="AF243" s="33" t="e">
        <f t="shared" si="288"/>
        <v>#N/A</v>
      </c>
      <c r="AG243" s="14" t="e">
        <f t="shared" si="289"/>
        <v>#N/A</v>
      </c>
      <c r="AH243" s="14" t="e">
        <f t="shared" si="290"/>
        <v>#N/A</v>
      </c>
      <c r="AI243" s="34" t="e">
        <f t="shared" si="345"/>
        <v>#N/A</v>
      </c>
      <c r="AJ243" s="49" t="e">
        <f t="shared" si="309"/>
        <v>#N/A</v>
      </c>
      <c r="AK243" s="49" t="e">
        <f t="shared" si="310"/>
        <v>#N/A</v>
      </c>
      <c r="AL243" s="49" t="e">
        <f t="shared" si="311"/>
        <v>#N/A</v>
      </c>
      <c r="AM243" s="25">
        <f t="shared" si="291"/>
        <v>30</v>
      </c>
      <c r="AN243" s="25">
        <f t="shared" si="292"/>
        <v>30</v>
      </c>
      <c r="AO243" s="25">
        <f t="shared" si="293"/>
        <v>30</v>
      </c>
      <c r="AP243" s="52" t="e">
        <f t="shared" si="312"/>
        <v>#N/A</v>
      </c>
      <c r="AQ243" s="53" t="e">
        <f t="shared" si="312"/>
        <v>#N/A</v>
      </c>
      <c r="AR243" s="54" t="e">
        <f t="shared" si="312"/>
        <v>#N/A</v>
      </c>
      <c r="AS243" s="316">
        <f t="shared" si="362"/>
        <v>0</v>
      </c>
      <c r="AT243" s="106">
        <f>_xlfn.IFNA($M243/VLOOKUP($BT243,'Unit information'!$A$2:$K$29,2,FALSE)*R243,0)*(1+$E$9)</f>
        <v>0</v>
      </c>
      <c r="AU243" s="107">
        <f>_xlfn.IFNA($M243/VLOOKUP($BT243,'Unit information'!$A$2:$K$29,3,FALSE)*S243,0)*(1+$E$9)</f>
        <v>0</v>
      </c>
      <c r="AV243" s="107">
        <f>_xlfn.IFNA($M243/VLOOKUP($BT243,'Unit information'!$A$2:$K$29,4,FALSE)*T243,0)*(1+$E$9)</f>
        <v>0</v>
      </c>
      <c r="AW243" s="107">
        <f>_xlfn.IFNA($M243/VLOOKUP($BT243,'Unit information'!$A$2:$K$29,5,FALSE)*U243,0)*(1+$E$9)</f>
        <v>0</v>
      </c>
      <c r="AX243" s="107">
        <f>_xlfn.IFNA($M243/VLOOKUP($BU243,'Unit information'!$A$2:$K$29,6,FALSE)*V243,0)*(1+$E$9)</f>
        <v>0</v>
      </c>
      <c r="AY243" s="107">
        <f>_xlfn.IFNA($M243/VLOOKUP($BU243,'Unit information'!$A$2:$K$29,7,FALSE)*W243,0)*(1+$E$9)</f>
        <v>0</v>
      </c>
      <c r="AZ243" s="107">
        <f>_xlfn.IFNA($M243/VLOOKUP($BU243,'Unit information'!$A$2:$K$29,8,FALSE)*X243,0)*(1+$E$9)</f>
        <v>0</v>
      </c>
      <c r="BA243" s="107">
        <f>_xlfn.IFNA($M243/VLOOKUP($BU243,'Unit information'!$A$2:$K$29,9,FALSE)*Y243,0)*(1+$E$9)</f>
        <v>0</v>
      </c>
      <c r="BB243" s="107">
        <f>_xlfn.IFNA($M243/VLOOKUP($BV243,'Unit information'!$A$2:$K$29,10,FALSE)*Z243,0)*(1+$E$9)</f>
        <v>0</v>
      </c>
      <c r="BC243" s="108">
        <f>_xlfn.IFNA($M243/VLOOKUP($BV243,'Unit information'!$A$2:$K$29,11,FALSE)*AA243,0)*(1+$E$9)</f>
        <v>0</v>
      </c>
      <c r="BD243" s="106">
        <f t="shared" si="294"/>
        <v>0</v>
      </c>
      <c r="BE243" s="107">
        <f t="shared" si="295"/>
        <v>0</v>
      </c>
      <c r="BF243" s="108">
        <f t="shared" si="296"/>
        <v>0</v>
      </c>
      <c r="BG243" s="25" t="e">
        <f t="shared" si="297"/>
        <v>#N/A</v>
      </c>
      <c r="BH243" s="25" t="e">
        <f t="shared" si="298"/>
        <v>#N/A</v>
      </c>
      <c r="BI243" s="25" t="e">
        <f t="shared" si="299"/>
        <v>#N/A</v>
      </c>
      <c r="BJ243" s="27" t="e">
        <f t="shared" si="300"/>
        <v>#N/A</v>
      </c>
      <c r="BK243" s="18" t="e">
        <f t="shared" si="301"/>
        <v>#N/A</v>
      </c>
      <c r="BL243" s="18" t="e">
        <f t="shared" si="302"/>
        <v>#N/A</v>
      </c>
      <c r="BM243" s="28" t="e">
        <f t="shared" si="347"/>
        <v>#N/A</v>
      </c>
      <c r="BN243" s="33">
        <f>HLOOKUP("maximum population",Miscelaneous!$C$1:$C$33,CH243+3,FALSE)</f>
        <v>240</v>
      </c>
      <c r="BO243" s="14">
        <f t="shared" si="313"/>
        <v>32</v>
      </c>
      <c r="BP243" s="14">
        <f t="shared" si="314"/>
        <v>0</v>
      </c>
      <c r="BQ243" s="14">
        <f t="shared" si="315"/>
        <v>208</v>
      </c>
      <c r="BR243" s="34" t="e">
        <f>HLOOKUP(J243,Villagers!$B$1:$V$33,L243+3,FALSE)-HLOOKUP(J243,Villagers!$B$1:$V$33,L243+2,FALSE)</f>
        <v>#N/A</v>
      </c>
      <c r="BS243" s="49">
        <f t="shared" si="316"/>
        <v>1</v>
      </c>
      <c r="BT243" s="50">
        <f t="shared" si="317"/>
        <v>0</v>
      </c>
      <c r="BU243" s="50">
        <f t="shared" si="318"/>
        <v>0</v>
      </c>
      <c r="BV243" s="50">
        <f t="shared" si="319"/>
        <v>0</v>
      </c>
      <c r="BW243" s="50">
        <f t="shared" si="363"/>
        <v>0</v>
      </c>
      <c r="BX243" s="50">
        <f t="shared" si="364"/>
        <v>0</v>
      </c>
      <c r="BY243" s="50">
        <f t="shared" si="364"/>
        <v>0</v>
      </c>
      <c r="BZ243" s="50">
        <f t="shared" si="350"/>
        <v>0</v>
      </c>
      <c r="CA243" s="50">
        <f t="shared" si="351"/>
        <v>0</v>
      </c>
      <c r="CB243" s="50">
        <f t="shared" si="352"/>
        <v>1</v>
      </c>
      <c r="CC243" s="50">
        <f t="shared" si="353"/>
        <v>0</v>
      </c>
      <c r="CD243" s="50">
        <f t="shared" si="354"/>
        <v>0</v>
      </c>
      <c r="CE243" s="50">
        <f t="shared" si="355"/>
        <v>1</v>
      </c>
      <c r="CF243" s="50">
        <f t="shared" si="356"/>
        <v>1</v>
      </c>
      <c r="CG243" s="50">
        <f t="shared" si="357"/>
        <v>1</v>
      </c>
      <c r="CH243" s="50">
        <f t="shared" si="358"/>
        <v>1</v>
      </c>
      <c r="CI243" s="50">
        <f t="shared" si="359"/>
        <v>1</v>
      </c>
      <c r="CJ243" s="50">
        <f t="shared" si="360"/>
        <v>1</v>
      </c>
      <c r="CK243" s="50">
        <f t="shared" si="360"/>
        <v>0</v>
      </c>
      <c r="CL243" s="50">
        <f t="shared" si="360"/>
        <v>0</v>
      </c>
      <c r="CM243" s="51">
        <f t="shared" si="366"/>
        <v>0</v>
      </c>
      <c r="CN243" s="33">
        <f>ROUND(IF(BS243=0,0,HLOOKUP(BS$14,Villagers!$B$1:$V$33,BS243+3,FALSE)),)</f>
        <v>5</v>
      </c>
      <c r="CO243" s="14">
        <f>ROUND(IF(BT243=0,0,HLOOKUP(BT$14,Villagers!$B$1:$V$33,BT243+3,FALSE)),)</f>
        <v>0</v>
      </c>
      <c r="CP243" s="14">
        <f>ROUND(IF(BU243=0,0,HLOOKUP(BU$14,Villagers!$B$1:$V$33,BU243+3,FALSE)),)</f>
        <v>0</v>
      </c>
      <c r="CQ243" s="14">
        <f>ROUND(IF(BV243=0,0,HLOOKUP(BV$14,Villagers!$B$1:$V$33,BV243+3,FALSE)),)</f>
        <v>0</v>
      </c>
      <c r="CR243" s="14">
        <f>ROUND(IF(BW243=0,0,HLOOKUP(BW$14,Villagers!$B$1:$V$33,BW243+3,FALSE)),)</f>
        <v>0</v>
      </c>
      <c r="CS243" s="14">
        <f>ROUND(IF(BX243=0,0,HLOOKUP(BX$14,Villagers!$B$1:$V$33,BX243+3,FALSE)),)</f>
        <v>0</v>
      </c>
      <c r="CT243" s="14">
        <f>ROUND(IF(BY243=0,0,HLOOKUP(BY$14,Villagers!$B$1:$V$33,BY243+3,FALSE)),)</f>
        <v>0</v>
      </c>
      <c r="CU243" s="14">
        <f>ROUND(IF(BZ243=0,0,HLOOKUP(BZ$14,Villagers!$B$1:$V$33,BZ243+3,FALSE)),)</f>
        <v>0</v>
      </c>
      <c r="CV243" s="14">
        <f>ROUND(IF(CA243=0,0,HLOOKUP(CA$14,Villagers!$B$1:$V$33,CA243+3,FALSE)),)</f>
        <v>0</v>
      </c>
      <c r="CW243" s="14">
        <f>ROUND(IF(CB243=0,0,HLOOKUP(CB$14,Villagers!$B$1:$V$33,CB243+3,FALSE)),)</f>
        <v>0</v>
      </c>
      <c r="CX243" s="14">
        <f>ROUND(IF(CC243=0,0,HLOOKUP(CC$14,Villagers!$B$1:$V$33,CC243+3,FALSE)),)</f>
        <v>0</v>
      </c>
      <c r="CY243" s="14">
        <f>ROUND(IF(CD243=0,0,HLOOKUP(CD$14,Villagers!$B$1:$V$33,CD243+3,FALSE)),)</f>
        <v>0</v>
      </c>
      <c r="CZ243" s="14">
        <f>ROUND(IF(CE243=0,0,HLOOKUP(CE$14,Villagers!$B$1:$V$33,CE243+3,FALSE)),)</f>
        <v>5</v>
      </c>
      <c r="DA243" s="14">
        <f>ROUND(IF(CF243=0,0,HLOOKUP(CF$14,Villagers!$B$1:$V$33,CF243+3,FALSE)),)</f>
        <v>10</v>
      </c>
      <c r="DB243" s="14">
        <f>ROUND(IF(CG243=0,0,HLOOKUP(CG$14,Villagers!$B$1:$V$33,CG243+3,FALSE)),)</f>
        <v>10</v>
      </c>
      <c r="DC243" s="14">
        <f>ROUND(IF(CH243=0,0,HLOOKUP(CH$14,Villagers!$B$1:$V$33,CH243+3,FALSE)),)</f>
        <v>0</v>
      </c>
      <c r="DD243" s="14">
        <f>ROUND(IF(CI243=0,0,HLOOKUP(CI$14,Villagers!$B$1:$V$33,CI243+3,FALSE)),)</f>
        <v>0</v>
      </c>
      <c r="DE243" s="14">
        <f>ROUND(IF(CJ243=0,0,HLOOKUP(CJ$14,Villagers!$B$1:$V$33,CJ243+3,FALSE)),)</f>
        <v>2</v>
      </c>
      <c r="DF243" s="370">
        <f>ROUND(IF(CK243=0,0,HLOOKUP(CK$14,Villagers!$B$1:$V$33,CK243+3,FALSE)),)</f>
        <v>0</v>
      </c>
      <c r="DG243" s="370">
        <f>ROUND(IF(CL243=0,0,HLOOKUP(CL$14,Villagers!$B$1:$V$33,CL243+3,FALSE)),)</f>
        <v>0</v>
      </c>
      <c r="DH243" s="34">
        <f>ROUND(IF(CM243=0,0,HLOOKUP(CM$14,Villagers!$B$1:$V$33,CM243+3,FALSE)),)</f>
        <v>0</v>
      </c>
      <c r="DI243" s="109">
        <f t="shared" si="336"/>
        <v>0</v>
      </c>
      <c r="DJ243" s="50">
        <f t="shared" si="337"/>
        <v>0</v>
      </c>
      <c r="DK243" s="50">
        <f t="shared" si="338"/>
        <v>0</v>
      </c>
      <c r="DL243" s="50">
        <f t="shared" si="339"/>
        <v>0</v>
      </c>
      <c r="DM243" s="50">
        <f t="shared" si="340"/>
        <v>0</v>
      </c>
      <c r="DN243" s="50">
        <f t="shared" si="341"/>
        <v>0</v>
      </c>
      <c r="DO243" s="50">
        <f t="shared" si="342"/>
        <v>0</v>
      </c>
      <c r="DP243" s="50">
        <f t="shared" si="343"/>
        <v>0</v>
      </c>
      <c r="DQ243" s="50">
        <f t="shared" si="321"/>
        <v>0</v>
      </c>
      <c r="DR243" s="50">
        <f t="shared" si="322"/>
        <v>0</v>
      </c>
      <c r="DS243" s="96">
        <f>Miscelaneous!$D$4*Miscelaneous!$D$2^($CI243-1)</f>
        <v>1000</v>
      </c>
      <c r="DT243" s="333">
        <f t="shared" si="303"/>
        <v>1</v>
      </c>
      <c r="DU243" s="81">
        <v>1</v>
      </c>
      <c r="DV243" s="79">
        <f t="shared" si="323"/>
        <v>0</v>
      </c>
      <c r="DW243" s="79">
        <f t="shared" si="324"/>
        <v>0</v>
      </c>
      <c r="DX243" s="79">
        <f t="shared" si="325"/>
        <v>0</v>
      </c>
      <c r="DY243" s="79">
        <v>1</v>
      </c>
      <c r="DZ243" s="79">
        <f t="shared" si="326"/>
        <v>0</v>
      </c>
      <c r="EA243" s="79">
        <f t="shared" si="327"/>
        <v>0</v>
      </c>
      <c r="EB243" s="79">
        <f t="shared" si="328"/>
        <v>0</v>
      </c>
      <c r="EC243" s="79">
        <f t="shared" si="329"/>
        <v>0</v>
      </c>
      <c r="ED243" s="79">
        <v>1</v>
      </c>
      <c r="EE243" s="79">
        <v>1</v>
      </c>
      <c r="EF243" s="79">
        <f t="shared" si="330"/>
        <v>0</v>
      </c>
      <c r="EG243" s="79">
        <v>1</v>
      </c>
      <c r="EH243" s="79">
        <v>1</v>
      </c>
      <c r="EI243" s="79">
        <v>1</v>
      </c>
      <c r="EJ243" s="79">
        <v>1</v>
      </c>
      <c r="EK243" s="79">
        <v>1</v>
      </c>
      <c r="EL243" s="79">
        <v>1</v>
      </c>
      <c r="EM243" s="143">
        <f t="shared" si="331"/>
        <v>0</v>
      </c>
      <c r="EN243" s="143">
        <f t="shared" si="332"/>
        <v>0</v>
      </c>
      <c r="EO243" s="82">
        <f t="shared" si="333"/>
        <v>0</v>
      </c>
    </row>
    <row r="244" spans="1:145" x14ac:dyDescent="0.25">
      <c r="A244">
        <v>230</v>
      </c>
      <c r="B244" s="172" t="e">
        <f t="shared" si="304"/>
        <v>#N/A</v>
      </c>
      <c r="C244" s="121" t="e">
        <f t="shared" si="283"/>
        <v>#N/A</v>
      </c>
      <c r="D244" s="122" t="e">
        <f t="shared" si="284"/>
        <v>#N/A</v>
      </c>
      <c r="E244" s="122" t="e">
        <f t="shared" si="285"/>
        <v>#N/A</v>
      </c>
      <c r="F244" s="176" t="e">
        <f t="shared" si="286"/>
        <v>#N/A</v>
      </c>
      <c r="G244" s="121">
        <f t="shared" si="305"/>
        <v>208</v>
      </c>
      <c r="H244" s="176" t="e">
        <f t="shared" si="306"/>
        <v>#N/A</v>
      </c>
      <c r="I244" s="48">
        <v>1</v>
      </c>
      <c r="J244" s="39"/>
      <c r="K244" s="350">
        <v>1</v>
      </c>
      <c r="L244" s="34" t="e">
        <f t="shared" si="287"/>
        <v>#N/A</v>
      </c>
      <c r="M244" s="38" t="e">
        <f>(HLOOKUP(J244,'Construction Times'!$B$3:$W$34,L244+2,FALSE)*HLOOKUP("hq modifier",'Construction Times'!$W$3:$W$34,BS244+2,FALSE))*(1-$H$9)</f>
        <v>#N/A</v>
      </c>
      <c r="N244" s="443" t="e">
        <f t="shared" si="307"/>
        <v>#N/A</v>
      </c>
      <c r="O244" s="444"/>
      <c r="P244" s="447" t="e">
        <f t="shared" si="308"/>
        <v>#N/A</v>
      </c>
      <c r="Q244" s="448"/>
      <c r="R244" s="103">
        <f t="shared" si="334"/>
        <v>0</v>
      </c>
      <c r="S244" s="104">
        <f t="shared" si="334"/>
        <v>0</v>
      </c>
      <c r="T244" s="104">
        <f t="shared" si="335"/>
        <v>0</v>
      </c>
      <c r="U244" s="104">
        <f t="shared" si="335"/>
        <v>0</v>
      </c>
      <c r="V244" s="104">
        <f t="shared" si="335"/>
        <v>9.9999999999999995E-8</v>
      </c>
      <c r="W244" s="104">
        <f t="shared" si="335"/>
        <v>0</v>
      </c>
      <c r="X244" s="104">
        <f t="shared" si="365"/>
        <v>0</v>
      </c>
      <c r="Y244" s="104">
        <f t="shared" si="365"/>
        <v>9.9999999999999995E-8</v>
      </c>
      <c r="Z244" s="104">
        <f t="shared" si="365"/>
        <v>9.9999999999999995E-8</v>
      </c>
      <c r="AA244" s="105">
        <f t="shared" si="365"/>
        <v>9.9999999999999995E-8</v>
      </c>
      <c r="AB244" s="101" t="e">
        <f>$DT244*HLOOKUP($J244,'Construction Costs (timber)'!$B$1:$V$32,'Construction Planner'!$L244+2,FALSE)</f>
        <v>#N/A</v>
      </c>
      <c r="AC244" s="14" t="e">
        <f>$DT244*HLOOKUP($J244,'Construction Costs (clay)'!$B$1:$V$32,'Construction Planner'!$L244+2,FALSE)</f>
        <v>#N/A</v>
      </c>
      <c r="AD244" s="14" t="e">
        <f>$DT244*HLOOKUP($J244,'Construction Costs (iron)'!$B$1:$V$32,'Construction Planner'!$L244+2,FALSE)</f>
        <v>#N/A</v>
      </c>
      <c r="AE244" s="34" t="e">
        <f t="shared" si="344"/>
        <v>#N/A</v>
      </c>
      <c r="AF244" s="33" t="e">
        <f t="shared" si="288"/>
        <v>#N/A</v>
      </c>
      <c r="AG244" s="14" t="e">
        <f t="shared" si="289"/>
        <v>#N/A</v>
      </c>
      <c r="AH244" s="14" t="e">
        <f t="shared" si="290"/>
        <v>#N/A</v>
      </c>
      <c r="AI244" s="34" t="e">
        <f t="shared" si="345"/>
        <v>#N/A</v>
      </c>
      <c r="AJ244" s="49" t="e">
        <f t="shared" si="309"/>
        <v>#N/A</v>
      </c>
      <c r="AK244" s="49" t="e">
        <f t="shared" si="310"/>
        <v>#N/A</v>
      </c>
      <c r="AL244" s="49" t="e">
        <f t="shared" si="311"/>
        <v>#N/A</v>
      </c>
      <c r="AM244" s="25">
        <f t="shared" si="291"/>
        <v>30</v>
      </c>
      <c r="AN244" s="25">
        <f t="shared" si="292"/>
        <v>30</v>
      </c>
      <c r="AO244" s="25">
        <f t="shared" si="293"/>
        <v>30</v>
      </c>
      <c r="AP244" s="52" t="e">
        <f t="shared" si="312"/>
        <v>#N/A</v>
      </c>
      <c r="AQ244" s="53" t="e">
        <f t="shared" si="312"/>
        <v>#N/A</v>
      </c>
      <c r="AR244" s="54" t="e">
        <f t="shared" si="312"/>
        <v>#N/A</v>
      </c>
      <c r="AS244" s="316">
        <f t="shared" ref="AS244:AS259" si="367">AS243</f>
        <v>0</v>
      </c>
      <c r="AT244" s="106">
        <f>_xlfn.IFNA($M244/VLOOKUP($BT244,'Unit information'!$A$2:$K$29,2,FALSE)*R244,0)*(1+$E$9)</f>
        <v>0</v>
      </c>
      <c r="AU244" s="107">
        <f>_xlfn.IFNA($M244/VLOOKUP($BT244,'Unit information'!$A$2:$K$29,3,FALSE)*S244,0)*(1+$E$9)</f>
        <v>0</v>
      </c>
      <c r="AV244" s="107">
        <f>_xlfn.IFNA($M244/VLOOKUP($BT244,'Unit information'!$A$2:$K$29,4,FALSE)*T244,0)*(1+$E$9)</f>
        <v>0</v>
      </c>
      <c r="AW244" s="107">
        <f>_xlfn.IFNA($M244/VLOOKUP($BT244,'Unit information'!$A$2:$K$29,5,FALSE)*U244,0)*(1+$E$9)</f>
        <v>0</v>
      </c>
      <c r="AX244" s="107">
        <f>_xlfn.IFNA($M244/VLOOKUP($BU244,'Unit information'!$A$2:$K$29,6,FALSE)*V244,0)*(1+$E$9)</f>
        <v>0</v>
      </c>
      <c r="AY244" s="107">
        <f>_xlfn.IFNA($M244/VLOOKUP($BU244,'Unit information'!$A$2:$K$29,7,FALSE)*W244,0)*(1+$E$9)</f>
        <v>0</v>
      </c>
      <c r="AZ244" s="107">
        <f>_xlfn.IFNA($M244/VLOOKUP($BU244,'Unit information'!$A$2:$K$29,8,FALSE)*X244,0)*(1+$E$9)</f>
        <v>0</v>
      </c>
      <c r="BA244" s="107">
        <f>_xlfn.IFNA($M244/VLOOKUP($BU244,'Unit information'!$A$2:$K$29,9,FALSE)*Y244,0)*(1+$E$9)</f>
        <v>0</v>
      </c>
      <c r="BB244" s="107">
        <f>_xlfn.IFNA($M244/VLOOKUP($BV244,'Unit information'!$A$2:$K$29,10,FALSE)*Z244,0)*(1+$E$9)</f>
        <v>0</v>
      </c>
      <c r="BC244" s="108">
        <f>_xlfn.IFNA($M244/VLOOKUP($BV244,'Unit information'!$A$2:$K$29,11,FALSE)*AA244,0)*(1+$E$9)</f>
        <v>0</v>
      </c>
      <c r="BD244" s="106">
        <f t="shared" si="294"/>
        <v>0</v>
      </c>
      <c r="BE244" s="107">
        <f t="shared" si="295"/>
        <v>0</v>
      </c>
      <c r="BF244" s="108">
        <f t="shared" si="296"/>
        <v>0</v>
      </c>
      <c r="BG244" s="25" t="e">
        <f t="shared" si="297"/>
        <v>#N/A</v>
      </c>
      <c r="BH244" s="25" t="e">
        <f t="shared" si="298"/>
        <v>#N/A</v>
      </c>
      <c r="BI244" s="25" t="e">
        <f t="shared" si="299"/>
        <v>#N/A</v>
      </c>
      <c r="BJ244" s="27" t="e">
        <f t="shared" si="300"/>
        <v>#N/A</v>
      </c>
      <c r="BK244" s="18" t="e">
        <f t="shared" si="301"/>
        <v>#N/A</v>
      </c>
      <c r="BL244" s="18" t="e">
        <f t="shared" si="302"/>
        <v>#N/A</v>
      </c>
      <c r="BM244" s="28" t="e">
        <f t="shared" si="347"/>
        <v>#N/A</v>
      </c>
      <c r="BN244" s="33">
        <f>HLOOKUP("maximum population",Miscelaneous!$C$1:$C$33,CH244+3,FALSE)</f>
        <v>240</v>
      </c>
      <c r="BO244" s="14">
        <f t="shared" si="313"/>
        <v>32</v>
      </c>
      <c r="BP244" s="14">
        <f t="shared" si="314"/>
        <v>0</v>
      </c>
      <c r="BQ244" s="14">
        <f t="shared" si="315"/>
        <v>208</v>
      </c>
      <c r="BR244" s="34" t="e">
        <f>HLOOKUP(J244,Villagers!$B$1:$V$33,L244+3,FALSE)-HLOOKUP(J244,Villagers!$B$1:$V$33,L244+2,FALSE)</f>
        <v>#N/A</v>
      </c>
      <c r="BS244" s="49">
        <f t="shared" si="316"/>
        <v>1</v>
      </c>
      <c r="BT244" s="50">
        <f t="shared" si="317"/>
        <v>0</v>
      </c>
      <c r="BU244" s="50">
        <f t="shared" si="318"/>
        <v>0</v>
      </c>
      <c r="BV244" s="50">
        <f t="shared" si="319"/>
        <v>0</v>
      </c>
      <c r="BW244" s="50">
        <f t="shared" si="363"/>
        <v>0</v>
      </c>
      <c r="BX244" s="50">
        <f t="shared" si="364"/>
        <v>0</v>
      </c>
      <c r="BY244" s="50">
        <f t="shared" si="364"/>
        <v>0</v>
      </c>
      <c r="BZ244" s="50">
        <f t="shared" si="350"/>
        <v>0</v>
      </c>
      <c r="CA244" s="50">
        <f t="shared" si="351"/>
        <v>0</v>
      </c>
      <c r="CB244" s="50">
        <f t="shared" si="352"/>
        <v>1</v>
      </c>
      <c r="CC244" s="50">
        <f t="shared" si="353"/>
        <v>0</v>
      </c>
      <c r="CD244" s="50">
        <f t="shared" si="354"/>
        <v>0</v>
      </c>
      <c r="CE244" s="50">
        <f t="shared" si="355"/>
        <v>1</v>
      </c>
      <c r="CF244" s="50">
        <f t="shared" si="356"/>
        <v>1</v>
      </c>
      <c r="CG244" s="50">
        <f t="shared" si="357"/>
        <v>1</v>
      </c>
      <c r="CH244" s="50">
        <f t="shared" si="358"/>
        <v>1</v>
      </c>
      <c r="CI244" s="50">
        <f t="shared" si="359"/>
        <v>1</v>
      </c>
      <c r="CJ244" s="50">
        <f t="shared" si="360"/>
        <v>1</v>
      </c>
      <c r="CK244" s="50">
        <f t="shared" si="360"/>
        <v>0</v>
      </c>
      <c r="CL244" s="50">
        <f t="shared" si="360"/>
        <v>0</v>
      </c>
      <c r="CM244" s="51">
        <f t="shared" si="366"/>
        <v>0</v>
      </c>
      <c r="CN244" s="33">
        <f>ROUND(IF(BS244=0,0,HLOOKUP(BS$14,Villagers!$B$1:$V$33,BS244+3,FALSE)),)</f>
        <v>5</v>
      </c>
      <c r="CO244" s="14">
        <f>ROUND(IF(BT244=0,0,HLOOKUP(BT$14,Villagers!$B$1:$V$33,BT244+3,FALSE)),)</f>
        <v>0</v>
      </c>
      <c r="CP244" s="14">
        <f>ROUND(IF(BU244=0,0,HLOOKUP(BU$14,Villagers!$B$1:$V$33,BU244+3,FALSE)),)</f>
        <v>0</v>
      </c>
      <c r="CQ244" s="14">
        <f>ROUND(IF(BV244=0,0,HLOOKUP(BV$14,Villagers!$B$1:$V$33,BV244+3,FALSE)),)</f>
        <v>0</v>
      </c>
      <c r="CR244" s="14">
        <f>ROUND(IF(BW244=0,0,HLOOKUP(BW$14,Villagers!$B$1:$V$33,BW244+3,FALSE)),)</f>
        <v>0</v>
      </c>
      <c r="CS244" s="14">
        <f>ROUND(IF(BX244=0,0,HLOOKUP(BX$14,Villagers!$B$1:$V$33,BX244+3,FALSE)),)</f>
        <v>0</v>
      </c>
      <c r="CT244" s="14">
        <f>ROUND(IF(BY244=0,0,HLOOKUP(BY$14,Villagers!$B$1:$V$33,BY244+3,FALSE)),)</f>
        <v>0</v>
      </c>
      <c r="CU244" s="14">
        <f>ROUND(IF(BZ244=0,0,HLOOKUP(BZ$14,Villagers!$B$1:$V$33,BZ244+3,FALSE)),)</f>
        <v>0</v>
      </c>
      <c r="CV244" s="14">
        <f>ROUND(IF(CA244=0,0,HLOOKUP(CA$14,Villagers!$B$1:$V$33,CA244+3,FALSE)),)</f>
        <v>0</v>
      </c>
      <c r="CW244" s="14">
        <f>ROUND(IF(CB244=0,0,HLOOKUP(CB$14,Villagers!$B$1:$V$33,CB244+3,FALSE)),)</f>
        <v>0</v>
      </c>
      <c r="CX244" s="14">
        <f>ROUND(IF(CC244=0,0,HLOOKUP(CC$14,Villagers!$B$1:$V$33,CC244+3,FALSE)),)</f>
        <v>0</v>
      </c>
      <c r="CY244" s="14">
        <f>ROUND(IF(CD244=0,0,HLOOKUP(CD$14,Villagers!$B$1:$V$33,CD244+3,FALSE)),)</f>
        <v>0</v>
      </c>
      <c r="CZ244" s="14">
        <f>ROUND(IF(CE244=0,0,HLOOKUP(CE$14,Villagers!$B$1:$V$33,CE244+3,FALSE)),)</f>
        <v>5</v>
      </c>
      <c r="DA244" s="14">
        <f>ROUND(IF(CF244=0,0,HLOOKUP(CF$14,Villagers!$B$1:$V$33,CF244+3,FALSE)),)</f>
        <v>10</v>
      </c>
      <c r="DB244" s="14">
        <f>ROUND(IF(CG244=0,0,HLOOKUP(CG$14,Villagers!$B$1:$V$33,CG244+3,FALSE)),)</f>
        <v>10</v>
      </c>
      <c r="DC244" s="14">
        <f>ROUND(IF(CH244=0,0,HLOOKUP(CH$14,Villagers!$B$1:$V$33,CH244+3,FALSE)),)</f>
        <v>0</v>
      </c>
      <c r="DD244" s="14">
        <f>ROUND(IF(CI244=0,0,HLOOKUP(CI$14,Villagers!$B$1:$V$33,CI244+3,FALSE)),)</f>
        <v>0</v>
      </c>
      <c r="DE244" s="14">
        <f>ROUND(IF(CJ244=0,0,HLOOKUP(CJ$14,Villagers!$B$1:$V$33,CJ244+3,FALSE)),)</f>
        <v>2</v>
      </c>
      <c r="DF244" s="370">
        <f>ROUND(IF(CK244=0,0,HLOOKUP(CK$14,Villagers!$B$1:$V$33,CK244+3,FALSE)),)</f>
        <v>0</v>
      </c>
      <c r="DG244" s="370">
        <f>ROUND(IF(CL244=0,0,HLOOKUP(CL$14,Villagers!$B$1:$V$33,CL244+3,FALSE)),)</f>
        <v>0</v>
      </c>
      <c r="DH244" s="34">
        <f>ROUND(IF(CM244=0,0,HLOOKUP(CM$14,Villagers!$B$1:$V$33,CM244+3,FALSE)),)</f>
        <v>0</v>
      </c>
      <c r="DI244" s="109">
        <f t="shared" si="336"/>
        <v>0</v>
      </c>
      <c r="DJ244" s="50">
        <f t="shared" si="337"/>
        <v>0</v>
      </c>
      <c r="DK244" s="50">
        <f t="shared" si="338"/>
        <v>0</v>
      </c>
      <c r="DL244" s="50">
        <f t="shared" si="339"/>
        <v>0</v>
      </c>
      <c r="DM244" s="50">
        <f t="shared" si="340"/>
        <v>0</v>
      </c>
      <c r="DN244" s="50">
        <f t="shared" si="341"/>
        <v>0</v>
      </c>
      <c r="DO244" s="50">
        <f t="shared" si="342"/>
        <v>0</v>
      </c>
      <c r="DP244" s="50">
        <f t="shared" si="343"/>
        <v>0</v>
      </c>
      <c r="DQ244" s="50">
        <f t="shared" si="321"/>
        <v>0</v>
      </c>
      <c r="DR244" s="50">
        <f t="shared" si="322"/>
        <v>0</v>
      </c>
      <c r="DS244" s="96">
        <f>Miscelaneous!$D$4*Miscelaneous!$D$2^($CI244-1)</f>
        <v>1000</v>
      </c>
      <c r="DT244" s="333">
        <f t="shared" si="303"/>
        <v>1</v>
      </c>
      <c r="DU244" s="81">
        <v>1</v>
      </c>
      <c r="DV244" s="79">
        <f t="shared" si="323"/>
        <v>0</v>
      </c>
      <c r="DW244" s="79">
        <f t="shared" si="324"/>
        <v>0</v>
      </c>
      <c r="DX244" s="79">
        <f t="shared" si="325"/>
        <v>0</v>
      </c>
      <c r="DY244" s="79">
        <v>1</v>
      </c>
      <c r="DZ244" s="79">
        <f t="shared" si="326"/>
        <v>0</v>
      </c>
      <c r="EA244" s="79">
        <f t="shared" si="327"/>
        <v>0</v>
      </c>
      <c r="EB244" s="79">
        <f t="shared" si="328"/>
        <v>0</v>
      </c>
      <c r="EC244" s="79">
        <f t="shared" si="329"/>
        <v>0</v>
      </c>
      <c r="ED244" s="79">
        <v>1</v>
      </c>
      <c r="EE244" s="79">
        <v>1</v>
      </c>
      <c r="EF244" s="79">
        <f t="shared" si="330"/>
        <v>0</v>
      </c>
      <c r="EG244" s="79">
        <v>1</v>
      </c>
      <c r="EH244" s="79">
        <v>1</v>
      </c>
      <c r="EI244" s="79">
        <v>1</v>
      </c>
      <c r="EJ244" s="79">
        <v>1</v>
      </c>
      <c r="EK244" s="79">
        <v>1</v>
      </c>
      <c r="EL244" s="79">
        <v>1</v>
      </c>
      <c r="EM244" s="143">
        <f t="shared" si="331"/>
        <v>0</v>
      </c>
      <c r="EN244" s="143">
        <f t="shared" si="332"/>
        <v>0</v>
      </c>
      <c r="EO244" s="82">
        <f t="shared" si="333"/>
        <v>0</v>
      </c>
    </row>
    <row r="245" spans="1:145" x14ac:dyDescent="0.25">
      <c r="A245">
        <v>231</v>
      </c>
      <c r="B245" s="172" t="e">
        <f t="shared" si="304"/>
        <v>#N/A</v>
      </c>
      <c r="C245" s="121" t="e">
        <f t="shared" si="283"/>
        <v>#N/A</v>
      </c>
      <c r="D245" s="122" t="e">
        <f t="shared" si="284"/>
        <v>#N/A</v>
      </c>
      <c r="E245" s="122" t="e">
        <f t="shared" si="285"/>
        <v>#N/A</v>
      </c>
      <c r="F245" s="176" t="e">
        <f t="shared" si="286"/>
        <v>#N/A</v>
      </c>
      <c r="G245" s="121">
        <f t="shared" si="305"/>
        <v>208</v>
      </c>
      <c r="H245" s="176" t="e">
        <f t="shared" si="306"/>
        <v>#N/A</v>
      </c>
      <c r="I245" s="48">
        <v>1</v>
      </c>
      <c r="J245" s="39"/>
      <c r="K245" s="350">
        <v>1</v>
      </c>
      <c r="L245" s="34" t="e">
        <f t="shared" si="287"/>
        <v>#N/A</v>
      </c>
      <c r="M245" s="38" t="e">
        <f>(HLOOKUP(J245,'Construction Times'!$B$3:$W$34,L245+2,FALSE)*HLOOKUP("hq modifier",'Construction Times'!$W$3:$W$34,BS245+2,FALSE))*(1-$H$9)</f>
        <v>#N/A</v>
      </c>
      <c r="N245" s="443" t="e">
        <f t="shared" si="307"/>
        <v>#N/A</v>
      </c>
      <c r="O245" s="444"/>
      <c r="P245" s="447" t="e">
        <f t="shared" si="308"/>
        <v>#N/A</v>
      </c>
      <c r="Q245" s="448"/>
      <c r="R245" s="103">
        <f t="shared" si="334"/>
        <v>0</v>
      </c>
      <c r="S245" s="104">
        <f t="shared" si="334"/>
        <v>0</v>
      </c>
      <c r="T245" s="104">
        <f t="shared" si="335"/>
        <v>0</v>
      </c>
      <c r="U245" s="104">
        <f t="shared" si="335"/>
        <v>0</v>
      </c>
      <c r="V245" s="104">
        <f t="shared" si="335"/>
        <v>9.9999999999999995E-8</v>
      </c>
      <c r="W245" s="104">
        <f t="shared" si="335"/>
        <v>0</v>
      </c>
      <c r="X245" s="104">
        <f t="shared" si="365"/>
        <v>0</v>
      </c>
      <c r="Y245" s="104">
        <f t="shared" si="365"/>
        <v>9.9999999999999995E-8</v>
      </c>
      <c r="Z245" s="104">
        <f t="shared" si="365"/>
        <v>9.9999999999999995E-8</v>
      </c>
      <c r="AA245" s="105">
        <f t="shared" si="365"/>
        <v>9.9999999999999995E-8</v>
      </c>
      <c r="AB245" s="101" t="e">
        <f>$DT245*HLOOKUP($J245,'Construction Costs (timber)'!$B$1:$V$32,'Construction Planner'!$L245+2,FALSE)</f>
        <v>#N/A</v>
      </c>
      <c r="AC245" s="14" t="e">
        <f>$DT245*HLOOKUP($J245,'Construction Costs (clay)'!$B$1:$V$32,'Construction Planner'!$L245+2,FALSE)</f>
        <v>#N/A</v>
      </c>
      <c r="AD245" s="14" t="e">
        <f>$DT245*HLOOKUP($J245,'Construction Costs (iron)'!$B$1:$V$32,'Construction Planner'!$L245+2,FALSE)</f>
        <v>#N/A</v>
      </c>
      <c r="AE245" s="34" t="e">
        <f t="shared" si="344"/>
        <v>#N/A</v>
      </c>
      <c r="AF245" s="33" t="e">
        <f t="shared" si="288"/>
        <v>#N/A</v>
      </c>
      <c r="AG245" s="14" t="e">
        <f t="shared" si="289"/>
        <v>#N/A</v>
      </c>
      <c r="AH245" s="14" t="e">
        <f t="shared" si="290"/>
        <v>#N/A</v>
      </c>
      <c r="AI245" s="34" t="e">
        <f t="shared" si="345"/>
        <v>#N/A</v>
      </c>
      <c r="AJ245" s="49" t="e">
        <f t="shared" si="309"/>
        <v>#N/A</v>
      </c>
      <c r="AK245" s="49" t="e">
        <f t="shared" si="310"/>
        <v>#N/A</v>
      </c>
      <c r="AL245" s="49" t="e">
        <f t="shared" si="311"/>
        <v>#N/A</v>
      </c>
      <c r="AM245" s="25">
        <f t="shared" si="291"/>
        <v>30</v>
      </c>
      <c r="AN245" s="25">
        <f t="shared" si="292"/>
        <v>30</v>
      </c>
      <c r="AO245" s="25">
        <f t="shared" si="293"/>
        <v>30</v>
      </c>
      <c r="AP245" s="52" t="e">
        <f t="shared" si="312"/>
        <v>#N/A</v>
      </c>
      <c r="AQ245" s="53" t="e">
        <f t="shared" si="312"/>
        <v>#N/A</v>
      </c>
      <c r="AR245" s="54" t="e">
        <f t="shared" si="312"/>
        <v>#N/A</v>
      </c>
      <c r="AS245" s="316">
        <f t="shared" si="367"/>
        <v>0</v>
      </c>
      <c r="AT245" s="106">
        <f>_xlfn.IFNA($M245/VLOOKUP($BT245,'Unit information'!$A$2:$K$29,2,FALSE)*R245,0)*(1+$E$9)</f>
        <v>0</v>
      </c>
      <c r="AU245" s="107">
        <f>_xlfn.IFNA($M245/VLOOKUP($BT245,'Unit information'!$A$2:$K$29,3,FALSE)*S245,0)*(1+$E$9)</f>
        <v>0</v>
      </c>
      <c r="AV245" s="107">
        <f>_xlfn.IFNA($M245/VLOOKUP($BT245,'Unit information'!$A$2:$K$29,4,FALSE)*T245,0)*(1+$E$9)</f>
        <v>0</v>
      </c>
      <c r="AW245" s="107">
        <f>_xlfn.IFNA($M245/VLOOKUP($BT245,'Unit information'!$A$2:$K$29,5,FALSE)*U245,0)*(1+$E$9)</f>
        <v>0</v>
      </c>
      <c r="AX245" s="107">
        <f>_xlfn.IFNA($M245/VLOOKUP($BU245,'Unit information'!$A$2:$K$29,6,FALSE)*V245,0)*(1+$E$9)</f>
        <v>0</v>
      </c>
      <c r="AY245" s="107">
        <f>_xlfn.IFNA($M245/VLOOKUP($BU245,'Unit information'!$A$2:$K$29,7,FALSE)*W245,0)*(1+$E$9)</f>
        <v>0</v>
      </c>
      <c r="AZ245" s="107">
        <f>_xlfn.IFNA($M245/VLOOKUP($BU245,'Unit information'!$A$2:$K$29,8,FALSE)*X245,0)*(1+$E$9)</f>
        <v>0</v>
      </c>
      <c r="BA245" s="107">
        <f>_xlfn.IFNA($M245/VLOOKUP($BU245,'Unit information'!$A$2:$K$29,9,FALSE)*Y245,0)*(1+$E$9)</f>
        <v>0</v>
      </c>
      <c r="BB245" s="107">
        <f>_xlfn.IFNA($M245/VLOOKUP($BV245,'Unit information'!$A$2:$K$29,10,FALSE)*Z245,0)*(1+$E$9)</f>
        <v>0</v>
      </c>
      <c r="BC245" s="108">
        <f>_xlfn.IFNA($M245/VLOOKUP($BV245,'Unit information'!$A$2:$K$29,11,FALSE)*AA245,0)*(1+$E$9)</f>
        <v>0</v>
      </c>
      <c r="BD245" s="106">
        <f t="shared" si="294"/>
        <v>0</v>
      </c>
      <c r="BE245" s="107">
        <f t="shared" si="295"/>
        <v>0</v>
      </c>
      <c r="BF245" s="108">
        <f t="shared" si="296"/>
        <v>0</v>
      </c>
      <c r="BG245" s="25" t="e">
        <f t="shared" si="297"/>
        <v>#N/A</v>
      </c>
      <c r="BH245" s="25" t="e">
        <f t="shared" si="298"/>
        <v>#N/A</v>
      </c>
      <c r="BI245" s="25" t="e">
        <f t="shared" si="299"/>
        <v>#N/A</v>
      </c>
      <c r="BJ245" s="27" t="e">
        <f t="shared" si="300"/>
        <v>#N/A</v>
      </c>
      <c r="BK245" s="18" t="e">
        <f t="shared" si="301"/>
        <v>#N/A</v>
      </c>
      <c r="BL245" s="18" t="e">
        <f t="shared" si="302"/>
        <v>#N/A</v>
      </c>
      <c r="BM245" s="28" t="e">
        <f t="shared" si="347"/>
        <v>#N/A</v>
      </c>
      <c r="BN245" s="33">
        <f>HLOOKUP("maximum population",Miscelaneous!$C$1:$C$33,CH245+3,FALSE)</f>
        <v>240</v>
      </c>
      <c r="BO245" s="14">
        <f t="shared" si="313"/>
        <v>32</v>
      </c>
      <c r="BP245" s="14">
        <f t="shared" si="314"/>
        <v>0</v>
      </c>
      <c r="BQ245" s="14">
        <f t="shared" si="315"/>
        <v>208</v>
      </c>
      <c r="BR245" s="34" t="e">
        <f>HLOOKUP(J245,Villagers!$B$1:$V$33,L245+3,FALSE)-HLOOKUP(J245,Villagers!$B$1:$V$33,L245+2,FALSE)</f>
        <v>#N/A</v>
      </c>
      <c r="BS245" s="49">
        <f t="shared" si="316"/>
        <v>1</v>
      </c>
      <c r="BT245" s="50">
        <f t="shared" si="317"/>
        <v>0</v>
      </c>
      <c r="BU245" s="50">
        <f t="shared" si="318"/>
        <v>0</v>
      </c>
      <c r="BV245" s="50">
        <f t="shared" si="319"/>
        <v>0</v>
      </c>
      <c r="BW245" s="50">
        <f t="shared" si="363"/>
        <v>0</v>
      </c>
      <c r="BX245" s="50">
        <f t="shared" si="364"/>
        <v>0</v>
      </c>
      <c r="BY245" s="50">
        <f t="shared" si="364"/>
        <v>0</v>
      </c>
      <c r="BZ245" s="50">
        <f t="shared" si="350"/>
        <v>0</v>
      </c>
      <c r="CA245" s="50">
        <f t="shared" si="351"/>
        <v>0</v>
      </c>
      <c r="CB245" s="50">
        <f t="shared" si="352"/>
        <v>1</v>
      </c>
      <c r="CC245" s="50">
        <f t="shared" si="353"/>
        <v>0</v>
      </c>
      <c r="CD245" s="50">
        <f t="shared" si="354"/>
        <v>0</v>
      </c>
      <c r="CE245" s="50">
        <f t="shared" si="355"/>
        <v>1</v>
      </c>
      <c r="CF245" s="50">
        <f t="shared" si="356"/>
        <v>1</v>
      </c>
      <c r="CG245" s="50">
        <f t="shared" si="357"/>
        <v>1</v>
      </c>
      <c r="CH245" s="50">
        <f t="shared" si="358"/>
        <v>1</v>
      </c>
      <c r="CI245" s="50">
        <f t="shared" si="359"/>
        <v>1</v>
      </c>
      <c r="CJ245" s="50">
        <f t="shared" si="360"/>
        <v>1</v>
      </c>
      <c r="CK245" s="50">
        <f t="shared" si="360"/>
        <v>0</v>
      </c>
      <c r="CL245" s="50">
        <f t="shared" si="360"/>
        <v>0</v>
      </c>
      <c r="CM245" s="51">
        <f t="shared" si="366"/>
        <v>0</v>
      </c>
      <c r="CN245" s="33">
        <f>ROUND(IF(BS245=0,0,HLOOKUP(BS$14,Villagers!$B$1:$V$33,BS245+3,FALSE)),)</f>
        <v>5</v>
      </c>
      <c r="CO245" s="14">
        <f>ROUND(IF(BT245=0,0,HLOOKUP(BT$14,Villagers!$B$1:$V$33,BT245+3,FALSE)),)</f>
        <v>0</v>
      </c>
      <c r="CP245" s="14">
        <f>ROUND(IF(BU245=0,0,HLOOKUP(BU$14,Villagers!$B$1:$V$33,BU245+3,FALSE)),)</f>
        <v>0</v>
      </c>
      <c r="CQ245" s="14">
        <f>ROUND(IF(BV245=0,0,HLOOKUP(BV$14,Villagers!$B$1:$V$33,BV245+3,FALSE)),)</f>
        <v>0</v>
      </c>
      <c r="CR245" s="14">
        <f>ROUND(IF(BW245=0,0,HLOOKUP(BW$14,Villagers!$B$1:$V$33,BW245+3,FALSE)),)</f>
        <v>0</v>
      </c>
      <c r="CS245" s="14">
        <f>ROUND(IF(BX245=0,0,HLOOKUP(BX$14,Villagers!$B$1:$V$33,BX245+3,FALSE)),)</f>
        <v>0</v>
      </c>
      <c r="CT245" s="14">
        <f>ROUND(IF(BY245=0,0,HLOOKUP(BY$14,Villagers!$B$1:$V$33,BY245+3,FALSE)),)</f>
        <v>0</v>
      </c>
      <c r="CU245" s="14">
        <f>ROUND(IF(BZ245=0,0,HLOOKUP(BZ$14,Villagers!$B$1:$V$33,BZ245+3,FALSE)),)</f>
        <v>0</v>
      </c>
      <c r="CV245" s="14">
        <f>ROUND(IF(CA245=0,0,HLOOKUP(CA$14,Villagers!$B$1:$V$33,CA245+3,FALSE)),)</f>
        <v>0</v>
      </c>
      <c r="CW245" s="14">
        <f>ROUND(IF(CB245=0,0,HLOOKUP(CB$14,Villagers!$B$1:$V$33,CB245+3,FALSE)),)</f>
        <v>0</v>
      </c>
      <c r="CX245" s="14">
        <f>ROUND(IF(CC245=0,0,HLOOKUP(CC$14,Villagers!$B$1:$V$33,CC245+3,FALSE)),)</f>
        <v>0</v>
      </c>
      <c r="CY245" s="14">
        <f>ROUND(IF(CD245=0,0,HLOOKUP(CD$14,Villagers!$B$1:$V$33,CD245+3,FALSE)),)</f>
        <v>0</v>
      </c>
      <c r="CZ245" s="14">
        <f>ROUND(IF(CE245=0,0,HLOOKUP(CE$14,Villagers!$B$1:$V$33,CE245+3,FALSE)),)</f>
        <v>5</v>
      </c>
      <c r="DA245" s="14">
        <f>ROUND(IF(CF245=0,0,HLOOKUP(CF$14,Villagers!$B$1:$V$33,CF245+3,FALSE)),)</f>
        <v>10</v>
      </c>
      <c r="DB245" s="14">
        <f>ROUND(IF(CG245=0,0,HLOOKUP(CG$14,Villagers!$B$1:$V$33,CG245+3,FALSE)),)</f>
        <v>10</v>
      </c>
      <c r="DC245" s="14">
        <f>ROUND(IF(CH245=0,0,HLOOKUP(CH$14,Villagers!$B$1:$V$33,CH245+3,FALSE)),)</f>
        <v>0</v>
      </c>
      <c r="DD245" s="14">
        <f>ROUND(IF(CI245=0,0,HLOOKUP(CI$14,Villagers!$B$1:$V$33,CI245+3,FALSE)),)</f>
        <v>0</v>
      </c>
      <c r="DE245" s="14">
        <f>ROUND(IF(CJ245=0,0,HLOOKUP(CJ$14,Villagers!$B$1:$V$33,CJ245+3,FALSE)),)</f>
        <v>2</v>
      </c>
      <c r="DF245" s="370">
        <f>ROUND(IF(CK245=0,0,HLOOKUP(CK$14,Villagers!$B$1:$V$33,CK245+3,FALSE)),)</f>
        <v>0</v>
      </c>
      <c r="DG245" s="370">
        <f>ROUND(IF(CL245=0,0,HLOOKUP(CL$14,Villagers!$B$1:$V$33,CL245+3,FALSE)),)</f>
        <v>0</v>
      </c>
      <c r="DH245" s="34">
        <f>ROUND(IF(CM245=0,0,HLOOKUP(CM$14,Villagers!$B$1:$V$33,CM245+3,FALSE)),)</f>
        <v>0</v>
      </c>
      <c r="DI245" s="109">
        <f t="shared" si="336"/>
        <v>0</v>
      </c>
      <c r="DJ245" s="50">
        <f t="shared" si="337"/>
        <v>0</v>
      </c>
      <c r="DK245" s="50">
        <f t="shared" si="338"/>
        <v>0</v>
      </c>
      <c r="DL245" s="50">
        <f t="shared" si="339"/>
        <v>0</v>
      </c>
      <c r="DM245" s="50">
        <f t="shared" si="340"/>
        <v>0</v>
      </c>
      <c r="DN245" s="50">
        <f t="shared" si="341"/>
        <v>0</v>
      </c>
      <c r="DO245" s="50">
        <f t="shared" si="342"/>
        <v>0</v>
      </c>
      <c r="DP245" s="50">
        <f t="shared" si="343"/>
        <v>0</v>
      </c>
      <c r="DQ245" s="50">
        <f t="shared" si="321"/>
        <v>0</v>
      </c>
      <c r="DR245" s="50">
        <f t="shared" si="322"/>
        <v>0</v>
      </c>
      <c r="DS245" s="96">
        <f>Miscelaneous!$D$4*Miscelaneous!$D$2^($CI245-1)</f>
        <v>1000</v>
      </c>
      <c r="DT245" s="333">
        <f t="shared" si="303"/>
        <v>1</v>
      </c>
      <c r="DU245" s="81">
        <v>1</v>
      </c>
      <c r="DV245" s="79">
        <f t="shared" si="323"/>
        <v>0</v>
      </c>
      <c r="DW245" s="79">
        <f t="shared" si="324"/>
        <v>0</v>
      </c>
      <c r="DX245" s="79">
        <f t="shared" si="325"/>
        <v>0</v>
      </c>
      <c r="DY245" s="79">
        <v>1</v>
      </c>
      <c r="DZ245" s="79">
        <f t="shared" si="326"/>
        <v>0</v>
      </c>
      <c r="EA245" s="79">
        <f t="shared" si="327"/>
        <v>0</v>
      </c>
      <c r="EB245" s="79">
        <f t="shared" si="328"/>
        <v>0</v>
      </c>
      <c r="EC245" s="79">
        <f t="shared" si="329"/>
        <v>0</v>
      </c>
      <c r="ED245" s="79">
        <v>1</v>
      </c>
      <c r="EE245" s="79">
        <v>1</v>
      </c>
      <c r="EF245" s="79">
        <f t="shared" si="330"/>
        <v>0</v>
      </c>
      <c r="EG245" s="79">
        <v>1</v>
      </c>
      <c r="EH245" s="79">
        <v>1</v>
      </c>
      <c r="EI245" s="79">
        <v>1</v>
      </c>
      <c r="EJ245" s="79">
        <v>1</v>
      </c>
      <c r="EK245" s="79">
        <v>1</v>
      </c>
      <c r="EL245" s="79">
        <v>1</v>
      </c>
      <c r="EM245" s="143">
        <f t="shared" si="331"/>
        <v>0</v>
      </c>
      <c r="EN245" s="143">
        <f t="shared" si="332"/>
        <v>0</v>
      </c>
      <c r="EO245" s="82">
        <f t="shared" si="333"/>
        <v>0</v>
      </c>
    </row>
    <row r="246" spans="1:145" x14ac:dyDescent="0.25">
      <c r="A246">
        <v>232</v>
      </c>
      <c r="B246" s="172" t="e">
        <f t="shared" si="304"/>
        <v>#N/A</v>
      </c>
      <c r="C246" s="121" t="e">
        <f t="shared" si="283"/>
        <v>#N/A</v>
      </c>
      <c r="D246" s="122" t="e">
        <f t="shared" si="284"/>
        <v>#N/A</v>
      </c>
      <c r="E246" s="122" t="e">
        <f t="shared" si="285"/>
        <v>#N/A</v>
      </c>
      <c r="F246" s="176" t="e">
        <f t="shared" si="286"/>
        <v>#N/A</v>
      </c>
      <c r="G246" s="121">
        <f t="shared" si="305"/>
        <v>208</v>
      </c>
      <c r="H246" s="176" t="e">
        <f t="shared" si="306"/>
        <v>#N/A</v>
      </c>
      <c r="I246" s="48">
        <v>1</v>
      </c>
      <c r="J246" s="39"/>
      <c r="K246" s="350">
        <v>1</v>
      </c>
      <c r="L246" s="34" t="e">
        <f t="shared" si="287"/>
        <v>#N/A</v>
      </c>
      <c r="M246" s="38" t="e">
        <f>(HLOOKUP(J246,'Construction Times'!$B$3:$W$34,L246+2,FALSE)*HLOOKUP("hq modifier",'Construction Times'!$W$3:$W$34,BS246+2,FALSE))*(1-$H$9)</f>
        <v>#N/A</v>
      </c>
      <c r="N246" s="443" t="e">
        <f t="shared" si="307"/>
        <v>#N/A</v>
      </c>
      <c r="O246" s="444"/>
      <c r="P246" s="447" t="e">
        <f t="shared" si="308"/>
        <v>#N/A</v>
      </c>
      <c r="Q246" s="448"/>
      <c r="R246" s="103">
        <f t="shared" si="334"/>
        <v>0</v>
      </c>
      <c r="S246" s="104">
        <f t="shared" si="334"/>
        <v>0</v>
      </c>
      <c r="T246" s="104">
        <f t="shared" si="335"/>
        <v>0</v>
      </c>
      <c r="U246" s="104">
        <f t="shared" si="335"/>
        <v>0</v>
      </c>
      <c r="V246" s="104">
        <f t="shared" si="335"/>
        <v>9.9999999999999995E-8</v>
      </c>
      <c r="W246" s="104">
        <f t="shared" si="335"/>
        <v>0</v>
      </c>
      <c r="X246" s="104">
        <f t="shared" si="365"/>
        <v>0</v>
      </c>
      <c r="Y246" s="104">
        <f t="shared" si="365"/>
        <v>9.9999999999999995E-8</v>
      </c>
      <c r="Z246" s="104">
        <f t="shared" si="365"/>
        <v>9.9999999999999995E-8</v>
      </c>
      <c r="AA246" s="105">
        <f t="shared" si="365"/>
        <v>9.9999999999999995E-8</v>
      </c>
      <c r="AB246" s="101" t="e">
        <f>$DT246*HLOOKUP($J246,'Construction Costs (timber)'!$B$1:$V$32,'Construction Planner'!$L246+2,FALSE)</f>
        <v>#N/A</v>
      </c>
      <c r="AC246" s="14" t="e">
        <f>$DT246*HLOOKUP($J246,'Construction Costs (clay)'!$B$1:$V$32,'Construction Planner'!$L246+2,FALSE)</f>
        <v>#N/A</v>
      </c>
      <c r="AD246" s="14" t="e">
        <f>$DT246*HLOOKUP($J246,'Construction Costs (iron)'!$B$1:$V$32,'Construction Planner'!$L246+2,FALSE)</f>
        <v>#N/A</v>
      </c>
      <c r="AE246" s="34" t="e">
        <f t="shared" si="344"/>
        <v>#N/A</v>
      </c>
      <c r="AF246" s="33" t="e">
        <f t="shared" si="288"/>
        <v>#N/A</v>
      </c>
      <c r="AG246" s="14" t="e">
        <f t="shared" si="289"/>
        <v>#N/A</v>
      </c>
      <c r="AH246" s="14" t="e">
        <f t="shared" si="290"/>
        <v>#N/A</v>
      </c>
      <c r="AI246" s="34" t="e">
        <f t="shared" si="345"/>
        <v>#N/A</v>
      </c>
      <c r="AJ246" s="49" t="e">
        <f t="shared" si="309"/>
        <v>#N/A</v>
      </c>
      <c r="AK246" s="49" t="e">
        <f t="shared" si="310"/>
        <v>#N/A</v>
      </c>
      <c r="AL246" s="49" t="e">
        <f t="shared" si="311"/>
        <v>#N/A</v>
      </c>
      <c r="AM246" s="25">
        <f t="shared" si="291"/>
        <v>30</v>
      </c>
      <c r="AN246" s="25">
        <f t="shared" si="292"/>
        <v>30</v>
      </c>
      <c r="AO246" s="25">
        <f t="shared" si="293"/>
        <v>30</v>
      </c>
      <c r="AP246" s="52" t="e">
        <f t="shared" si="312"/>
        <v>#N/A</v>
      </c>
      <c r="AQ246" s="53" t="e">
        <f t="shared" si="312"/>
        <v>#N/A</v>
      </c>
      <c r="AR246" s="54" t="e">
        <f t="shared" si="312"/>
        <v>#N/A</v>
      </c>
      <c r="AS246" s="316">
        <f t="shared" si="367"/>
        <v>0</v>
      </c>
      <c r="AT246" s="106">
        <f>_xlfn.IFNA($M246/VLOOKUP($BT246,'Unit information'!$A$2:$K$29,2,FALSE)*R246,0)*(1+$E$9)</f>
        <v>0</v>
      </c>
      <c r="AU246" s="107">
        <f>_xlfn.IFNA($M246/VLOOKUP($BT246,'Unit information'!$A$2:$K$29,3,FALSE)*S246,0)*(1+$E$9)</f>
        <v>0</v>
      </c>
      <c r="AV246" s="107">
        <f>_xlfn.IFNA($M246/VLOOKUP($BT246,'Unit information'!$A$2:$K$29,4,FALSE)*T246,0)*(1+$E$9)</f>
        <v>0</v>
      </c>
      <c r="AW246" s="107">
        <f>_xlfn.IFNA($M246/VLOOKUP($BT246,'Unit information'!$A$2:$K$29,5,FALSE)*U246,0)*(1+$E$9)</f>
        <v>0</v>
      </c>
      <c r="AX246" s="107">
        <f>_xlfn.IFNA($M246/VLOOKUP($BU246,'Unit information'!$A$2:$K$29,6,FALSE)*V246,0)*(1+$E$9)</f>
        <v>0</v>
      </c>
      <c r="AY246" s="107">
        <f>_xlfn.IFNA($M246/VLOOKUP($BU246,'Unit information'!$A$2:$K$29,7,FALSE)*W246,0)*(1+$E$9)</f>
        <v>0</v>
      </c>
      <c r="AZ246" s="107">
        <f>_xlfn.IFNA($M246/VLOOKUP($BU246,'Unit information'!$A$2:$K$29,8,FALSE)*X246,0)*(1+$E$9)</f>
        <v>0</v>
      </c>
      <c r="BA246" s="107">
        <f>_xlfn.IFNA($M246/VLOOKUP($BU246,'Unit information'!$A$2:$K$29,9,FALSE)*Y246,0)*(1+$E$9)</f>
        <v>0</v>
      </c>
      <c r="BB246" s="107">
        <f>_xlfn.IFNA($M246/VLOOKUP($BV246,'Unit information'!$A$2:$K$29,10,FALSE)*Z246,0)*(1+$E$9)</f>
        <v>0</v>
      </c>
      <c r="BC246" s="108">
        <f>_xlfn.IFNA($M246/VLOOKUP($BV246,'Unit information'!$A$2:$K$29,11,FALSE)*AA246,0)*(1+$E$9)</f>
        <v>0</v>
      </c>
      <c r="BD246" s="106">
        <f t="shared" si="294"/>
        <v>0</v>
      </c>
      <c r="BE246" s="107">
        <f t="shared" si="295"/>
        <v>0</v>
      </c>
      <c r="BF246" s="108">
        <f t="shared" si="296"/>
        <v>0</v>
      </c>
      <c r="BG246" s="25" t="e">
        <f t="shared" si="297"/>
        <v>#N/A</v>
      </c>
      <c r="BH246" s="25" t="e">
        <f t="shared" si="298"/>
        <v>#N/A</v>
      </c>
      <c r="BI246" s="25" t="e">
        <f t="shared" si="299"/>
        <v>#N/A</v>
      </c>
      <c r="BJ246" s="27" t="e">
        <f t="shared" si="300"/>
        <v>#N/A</v>
      </c>
      <c r="BK246" s="18" t="e">
        <f t="shared" si="301"/>
        <v>#N/A</v>
      </c>
      <c r="BL246" s="18" t="e">
        <f t="shared" si="302"/>
        <v>#N/A</v>
      </c>
      <c r="BM246" s="28" t="e">
        <f t="shared" si="347"/>
        <v>#N/A</v>
      </c>
      <c r="BN246" s="33">
        <f>HLOOKUP("maximum population",Miscelaneous!$C$1:$C$33,CH246+3,FALSE)</f>
        <v>240</v>
      </c>
      <c r="BO246" s="14">
        <f t="shared" si="313"/>
        <v>32</v>
      </c>
      <c r="BP246" s="14">
        <f t="shared" si="314"/>
        <v>0</v>
      </c>
      <c r="BQ246" s="14">
        <f t="shared" si="315"/>
        <v>208</v>
      </c>
      <c r="BR246" s="34" t="e">
        <f>HLOOKUP(J246,Villagers!$B$1:$V$33,L246+3,FALSE)-HLOOKUP(J246,Villagers!$B$1:$V$33,L246+2,FALSE)</f>
        <v>#N/A</v>
      </c>
      <c r="BS246" s="49">
        <f t="shared" si="316"/>
        <v>1</v>
      </c>
      <c r="BT246" s="50">
        <f t="shared" si="317"/>
        <v>0</v>
      </c>
      <c r="BU246" s="50">
        <f t="shared" si="318"/>
        <v>0</v>
      </c>
      <c r="BV246" s="50">
        <f t="shared" si="319"/>
        <v>0</v>
      </c>
      <c r="BW246" s="50">
        <f t="shared" si="363"/>
        <v>0</v>
      </c>
      <c r="BX246" s="50">
        <f t="shared" si="364"/>
        <v>0</v>
      </c>
      <c r="BY246" s="50">
        <f t="shared" si="364"/>
        <v>0</v>
      </c>
      <c r="BZ246" s="50">
        <f t="shared" si="350"/>
        <v>0</v>
      </c>
      <c r="CA246" s="50">
        <f t="shared" si="351"/>
        <v>0</v>
      </c>
      <c r="CB246" s="50">
        <f t="shared" si="352"/>
        <v>1</v>
      </c>
      <c r="CC246" s="50">
        <f t="shared" si="353"/>
        <v>0</v>
      </c>
      <c r="CD246" s="50">
        <f t="shared" si="354"/>
        <v>0</v>
      </c>
      <c r="CE246" s="50">
        <f t="shared" si="355"/>
        <v>1</v>
      </c>
      <c r="CF246" s="50">
        <f t="shared" si="356"/>
        <v>1</v>
      </c>
      <c r="CG246" s="50">
        <f t="shared" si="357"/>
        <v>1</v>
      </c>
      <c r="CH246" s="50">
        <f t="shared" si="358"/>
        <v>1</v>
      </c>
      <c r="CI246" s="50">
        <f t="shared" si="359"/>
        <v>1</v>
      </c>
      <c r="CJ246" s="50">
        <f t="shared" si="360"/>
        <v>1</v>
      </c>
      <c r="CK246" s="50">
        <f t="shared" si="360"/>
        <v>0</v>
      </c>
      <c r="CL246" s="50">
        <f t="shared" si="360"/>
        <v>0</v>
      </c>
      <c r="CM246" s="51">
        <f t="shared" si="366"/>
        <v>0</v>
      </c>
      <c r="CN246" s="33">
        <f>ROUND(IF(BS246=0,0,HLOOKUP(BS$14,Villagers!$B$1:$V$33,BS246+3,FALSE)),)</f>
        <v>5</v>
      </c>
      <c r="CO246" s="14">
        <f>ROUND(IF(BT246=0,0,HLOOKUP(BT$14,Villagers!$B$1:$V$33,BT246+3,FALSE)),)</f>
        <v>0</v>
      </c>
      <c r="CP246" s="14">
        <f>ROUND(IF(BU246=0,0,HLOOKUP(BU$14,Villagers!$B$1:$V$33,BU246+3,FALSE)),)</f>
        <v>0</v>
      </c>
      <c r="CQ246" s="14">
        <f>ROUND(IF(BV246=0,0,HLOOKUP(BV$14,Villagers!$B$1:$V$33,BV246+3,FALSE)),)</f>
        <v>0</v>
      </c>
      <c r="CR246" s="14">
        <f>ROUND(IF(BW246=0,0,HLOOKUP(BW$14,Villagers!$B$1:$V$33,BW246+3,FALSE)),)</f>
        <v>0</v>
      </c>
      <c r="CS246" s="14">
        <f>ROUND(IF(BX246=0,0,HLOOKUP(BX$14,Villagers!$B$1:$V$33,BX246+3,FALSE)),)</f>
        <v>0</v>
      </c>
      <c r="CT246" s="14">
        <f>ROUND(IF(BY246=0,0,HLOOKUP(BY$14,Villagers!$B$1:$V$33,BY246+3,FALSE)),)</f>
        <v>0</v>
      </c>
      <c r="CU246" s="14">
        <f>ROUND(IF(BZ246=0,0,HLOOKUP(BZ$14,Villagers!$B$1:$V$33,BZ246+3,FALSE)),)</f>
        <v>0</v>
      </c>
      <c r="CV246" s="14">
        <f>ROUND(IF(CA246=0,0,HLOOKUP(CA$14,Villagers!$B$1:$V$33,CA246+3,FALSE)),)</f>
        <v>0</v>
      </c>
      <c r="CW246" s="14">
        <f>ROUND(IF(CB246=0,0,HLOOKUP(CB$14,Villagers!$B$1:$V$33,CB246+3,FALSE)),)</f>
        <v>0</v>
      </c>
      <c r="CX246" s="14">
        <f>ROUND(IF(CC246=0,0,HLOOKUP(CC$14,Villagers!$B$1:$V$33,CC246+3,FALSE)),)</f>
        <v>0</v>
      </c>
      <c r="CY246" s="14">
        <f>ROUND(IF(CD246=0,0,HLOOKUP(CD$14,Villagers!$B$1:$V$33,CD246+3,FALSE)),)</f>
        <v>0</v>
      </c>
      <c r="CZ246" s="14">
        <f>ROUND(IF(CE246=0,0,HLOOKUP(CE$14,Villagers!$B$1:$V$33,CE246+3,FALSE)),)</f>
        <v>5</v>
      </c>
      <c r="DA246" s="14">
        <f>ROUND(IF(CF246=0,0,HLOOKUP(CF$14,Villagers!$B$1:$V$33,CF246+3,FALSE)),)</f>
        <v>10</v>
      </c>
      <c r="DB246" s="14">
        <f>ROUND(IF(CG246=0,0,HLOOKUP(CG$14,Villagers!$B$1:$V$33,CG246+3,FALSE)),)</f>
        <v>10</v>
      </c>
      <c r="DC246" s="14">
        <f>ROUND(IF(CH246=0,0,HLOOKUP(CH$14,Villagers!$B$1:$V$33,CH246+3,FALSE)),)</f>
        <v>0</v>
      </c>
      <c r="DD246" s="14">
        <f>ROUND(IF(CI246=0,0,HLOOKUP(CI$14,Villagers!$B$1:$V$33,CI246+3,FALSE)),)</f>
        <v>0</v>
      </c>
      <c r="DE246" s="14">
        <f>ROUND(IF(CJ246=0,0,HLOOKUP(CJ$14,Villagers!$B$1:$V$33,CJ246+3,FALSE)),)</f>
        <v>2</v>
      </c>
      <c r="DF246" s="370">
        <f>ROUND(IF(CK246=0,0,HLOOKUP(CK$14,Villagers!$B$1:$V$33,CK246+3,FALSE)),)</f>
        <v>0</v>
      </c>
      <c r="DG246" s="370">
        <f>ROUND(IF(CL246=0,0,HLOOKUP(CL$14,Villagers!$B$1:$V$33,CL246+3,FALSE)),)</f>
        <v>0</v>
      </c>
      <c r="DH246" s="34">
        <f>ROUND(IF(CM246=0,0,HLOOKUP(CM$14,Villagers!$B$1:$V$33,CM246+3,FALSE)),)</f>
        <v>0</v>
      </c>
      <c r="DI246" s="109">
        <f t="shared" si="336"/>
        <v>0</v>
      </c>
      <c r="DJ246" s="50">
        <f t="shared" si="337"/>
        <v>0</v>
      </c>
      <c r="DK246" s="50">
        <f t="shared" si="338"/>
        <v>0</v>
      </c>
      <c r="DL246" s="50">
        <f t="shared" si="339"/>
        <v>0</v>
      </c>
      <c r="DM246" s="50">
        <f t="shared" si="340"/>
        <v>0</v>
      </c>
      <c r="DN246" s="50">
        <f t="shared" si="341"/>
        <v>0</v>
      </c>
      <c r="DO246" s="50">
        <f t="shared" si="342"/>
        <v>0</v>
      </c>
      <c r="DP246" s="50">
        <f t="shared" si="343"/>
        <v>0</v>
      </c>
      <c r="DQ246" s="50">
        <f t="shared" si="321"/>
        <v>0</v>
      </c>
      <c r="DR246" s="50">
        <f t="shared" si="322"/>
        <v>0</v>
      </c>
      <c r="DS246" s="96">
        <f>Miscelaneous!$D$4*Miscelaneous!$D$2^($CI246-1)</f>
        <v>1000</v>
      </c>
      <c r="DT246" s="333">
        <f t="shared" si="303"/>
        <v>1</v>
      </c>
      <c r="DU246" s="81">
        <v>1</v>
      </c>
      <c r="DV246" s="79">
        <f t="shared" si="323"/>
        <v>0</v>
      </c>
      <c r="DW246" s="79">
        <f t="shared" si="324"/>
        <v>0</v>
      </c>
      <c r="DX246" s="79">
        <f t="shared" si="325"/>
        <v>0</v>
      </c>
      <c r="DY246" s="79">
        <v>1</v>
      </c>
      <c r="DZ246" s="79">
        <f t="shared" si="326"/>
        <v>0</v>
      </c>
      <c r="EA246" s="79">
        <f t="shared" si="327"/>
        <v>0</v>
      </c>
      <c r="EB246" s="79">
        <f t="shared" si="328"/>
        <v>0</v>
      </c>
      <c r="EC246" s="79">
        <f t="shared" si="329"/>
        <v>0</v>
      </c>
      <c r="ED246" s="79">
        <v>1</v>
      </c>
      <c r="EE246" s="79">
        <v>1</v>
      </c>
      <c r="EF246" s="79">
        <f t="shared" si="330"/>
        <v>0</v>
      </c>
      <c r="EG246" s="79">
        <v>1</v>
      </c>
      <c r="EH246" s="79">
        <v>1</v>
      </c>
      <c r="EI246" s="79">
        <v>1</v>
      </c>
      <c r="EJ246" s="79">
        <v>1</v>
      </c>
      <c r="EK246" s="79">
        <v>1</v>
      </c>
      <c r="EL246" s="79">
        <v>1</v>
      </c>
      <c r="EM246" s="143">
        <f t="shared" si="331"/>
        <v>0</v>
      </c>
      <c r="EN246" s="143">
        <f t="shared" si="332"/>
        <v>0</v>
      </c>
      <c r="EO246" s="82">
        <f t="shared" si="333"/>
        <v>0</v>
      </c>
    </row>
    <row r="247" spans="1:145" x14ac:dyDescent="0.25">
      <c r="A247">
        <v>233</v>
      </c>
      <c r="B247" s="172" t="e">
        <f t="shared" si="304"/>
        <v>#N/A</v>
      </c>
      <c r="C247" s="121" t="e">
        <f t="shared" si="283"/>
        <v>#N/A</v>
      </c>
      <c r="D247" s="122" t="e">
        <f t="shared" si="284"/>
        <v>#N/A</v>
      </c>
      <c r="E247" s="122" t="e">
        <f t="shared" si="285"/>
        <v>#N/A</v>
      </c>
      <c r="F247" s="176" t="e">
        <f t="shared" si="286"/>
        <v>#N/A</v>
      </c>
      <c r="G247" s="121">
        <f t="shared" si="305"/>
        <v>208</v>
      </c>
      <c r="H247" s="176" t="e">
        <f t="shared" si="306"/>
        <v>#N/A</v>
      </c>
      <c r="I247" s="48">
        <v>1</v>
      </c>
      <c r="J247" s="39"/>
      <c r="K247" s="350">
        <v>1</v>
      </c>
      <c r="L247" s="34" t="e">
        <f t="shared" si="287"/>
        <v>#N/A</v>
      </c>
      <c r="M247" s="38" t="e">
        <f>(HLOOKUP(J247,'Construction Times'!$B$3:$W$34,L247+2,FALSE)*HLOOKUP("hq modifier",'Construction Times'!$W$3:$W$34,BS247+2,FALSE))*(1-$H$9)</f>
        <v>#N/A</v>
      </c>
      <c r="N247" s="443" t="e">
        <f t="shared" si="307"/>
        <v>#N/A</v>
      </c>
      <c r="O247" s="444"/>
      <c r="P247" s="447" t="e">
        <f t="shared" si="308"/>
        <v>#N/A</v>
      </c>
      <c r="Q247" s="448"/>
      <c r="R247" s="103">
        <f t="shared" si="334"/>
        <v>0</v>
      </c>
      <c r="S247" s="104">
        <f t="shared" si="334"/>
        <v>0</v>
      </c>
      <c r="T247" s="104">
        <f t="shared" si="335"/>
        <v>0</v>
      </c>
      <c r="U247" s="104">
        <f t="shared" si="335"/>
        <v>0</v>
      </c>
      <c r="V247" s="104">
        <f t="shared" si="335"/>
        <v>9.9999999999999995E-8</v>
      </c>
      <c r="W247" s="104">
        <f t="shared" si="335"/>
        <v>0</v>
      </c>
      <c r="X247" s="104">
        <f t="shared" si="365"/>
        <v>0</v>
      </c>
      <c r="Y247" s="104">
        <f t="shared" si="365"/>
        <v>9.9999999999999995E-8</v>
      </c>
      <c r="Z247" s="104">
        <f t="shared" si="365"/>
        <v>9.9999999999999995E-8</v>
      </c>
      <c r="AA247" s="105">
        <f t="shared" si="365"/>
        <v>9.9999999999999995E-8</v>
      </c>
      <c r="AB247" s="101" t="e">
        <f>$DT247*HLOOKUP($J247,'Construction Costs (timber)'!$B$1:$V$32,'Construction Planner'!$L247+2,FALSE)</f>
        <v>#N/A</v>
      </c>
      <c r="AC247" s="14" t="e">
        <f>$DT247*HLOOKUP($J247,'Construction Costs (clay)'!$B$1:$V$32,'Construction Planner'!$L247+2,FALSE)</f>
        <v>#N/A</v>
      </c>
      <c r="AD247" s="14" t="e">
        <f>$DT247*HLOOKUP($J247,'Construction Costs (iron)'!$B$1:$V$32,'Construction Planner'!$L247+2,FALSE)</f>
        <v>#N/A</v>
      </c>
      <c r="AE247" s="34" t="e">
        <f t="shared" si="344"/>
        <v>#N/A</v>
      </c>
      <c r="AF247" s="33" t="e">
        <f t="shared" si="288"/>
        <v>#N/A</v>
      </c>
      <c r="AG247" s="14" t="e">
        <f t="shared" si="289"/>
        <v>#N/A</v>
      </c>
      <c r="AH247" s="14" t="e">
        <f t="shared" si="290"/>
        <v>#N/A</v>
      </c>
      <c r="AI247" s="34" t="e">
        <f t="shared" si="345"/>
        <v>#N/A</v>
      </c>
      <c r="AJ247" s="49" t="e">
        <f t="shared" si="309"/>
        <v>#N/A</v>
      </c>
      <c r="AK247" s="49" t="e">
        <f t="shared" si="310"/>
        <v>#N/A</v>
      </c>
      <c r="AL247" s="49" t="e">
        <f t="shared" si="311"/>
        <v>#N/A</v>
      </c>
      <c r="AM247" s="25">
        <f t="shared" si="291"/>
        <v>30</v>
      </c>
      <c r="AN247" s="25">
        <f t="shared" si="292"/>
        <v>30</v>
      </c>
      <c r="AO247" s="25">
        <f t="shared" si="293"/>
        <v>30</v>
      </c>
      <c r="AP247" s="52" t="e">
        <f t="shared" si="312"/>
        <v>#N/A</v>
      </c>
      <c r="AQ247" s="53" t="e">
        <f t="shared" si="312"/>
        <v>#N/A</v>
      </c>
      <c r="AR247" s="54" t="e">
        <f t="shared" si="312"/>
        <v>#N/A</v>
      </c>
      <c r="AS247" s="316">
        <f t="shared" si="367"/>
        <v>0</v>
      </c>
      <c r="AT247" s="106">
        <f>_xlfn.IFNA($M247/VLOOKUP($BT247,'Unit information'!$A$2:$K$29,2,FALSE)*R247,0)*(1+$E$9)</f>
        <v>0</v>
      </c>
      <c r="AU247" s="107">
        <f>_xlfn.IFNA($M247/VLOOKUP($BT247,'Unit information'!$A$2:$K$29,3,FALSE)*S247,0)*(1+$E$9)</f>
        <v>0</v>
      </c>
      <c r="AV247" s="107">
        <f>_xlfn.IFNA($M247/VLOOKUP($BT247,'Unit information'!$A$2:$K$29,4,FALSE)*T247,0)*(1+$E$9)</f>
        <v>0</v>
      </c>
      <c r="AW247" s="107">
        <f>_xlfn.IFNA($M247/VLOOKUP($BT247,'Unit information'!$A$2:$K$29,5,FALSE)*U247,0)*(1+$E$9)</f>
        <v>0</v>
      </c>
      <c r="AX247" s="107">
        <f>_xlfn.IFNA($M247/VLOOKUP($BU247,'Unit information'!$A$2:$K$29,6,FALSE)*V247,0)*(1+$E$9)</f>
        <v>0</v>
      </c>
      <c r="AY247" s="107">
        <f>_xlfn.IFNA($M247/VLOOKUP($BU247,'Unit information'!$A$2:$K$29,7,FALSE)*W247,0)*(1+$E$9)</f>
        <v>0</v>
      </c>
      <c r="AZ247" s="107">
        <f>_xlfn.IFNA($M247/VLOOKUP($BU247,'Unit information'!$A$2:$K$29,8,FALSE)*X247,0)*(1+$E$9)</f>
        <v>0</v>
      </c>
      <c r="BA247" s="107">
        <f>_xlfn.IFNA($M247/VLOOKUP($BU247,'Unit information'!$A$2:$K$29,9,FALSE)*Y247,0)*(1+$E$9)</f>
        <v>0</v>
      </c>
      <c r="BB247" s="107">
        <f>_xlfn.IFNA($M247/VLOOKUP($BV247,'Unit information'!$A$2:$K$29,10,FALSE)*Z247,0)*(1+$E$9)</f>
        <v>0</v>
      </c>
      <c r="BC247" s="108">
        <f>_xlfn.IFNA($M247/VLOOKUP($BV247,'Unit information'!$A$2:$K$29,11,FALSE)*AA247,0)*(1+$E$9)</f>
        <v>0</v>
      </c>
      <c r="BD247" s="106">
        <f t="shared" si="294"/>
        <v>0</v>
      </c>
      <c r="BE247" s="107">
        <f t="shared" si="295"/>
        <v>0</v>
      </c>
      <c r="BF247" s="108">
        <f t="shared" si="296"/>
        <v>0</v>
      </c>
      <c r="BG247" s="25" t="e">
        <f t="shared" si="297"/>
        <v>#N/A</v>
      </c>
      <c r="BH247" s="25" t="e">
        <f t="shared" si="298"/>
        <v>#N/A</v>
      </c>
      <c r="BI247" s="25" t="e">
        <f t="shared" si="299"/>
        <v>#N/A</v>
      </c>
      <c r="BJ247" s="27" t="e">
        <f t="shared" si="300"/>
        <v>#N/A</v>
      </c>
      <c r="BK247" s="18" t="e">
        <f t="shared" si="301"/>
        <v>#N/A</v>
      </c>
      <c r="BL247" s="18" t="e">
        <f t="shared" si="302"/>
        <v>#N/A</v>
      </c>
      <c r="BM247" s="28" t="e">
        <f t="shared" si="347"/>
        <v>#N/A</v>
      </c>
      <c r="BN247" s="33">
        <f>HLOOKUP("maximum population",Miscelaneous!$C$1:$C$33,CH247+3,FALSE)</f>
        <v>240</v>
      </c>
      <c r="BO247" s="14">
        <f t="shared" si="313"/>
        <v>32</v>
      </c>
      <c r="BP247" s="14">
        <f t="shared" si="314"/>
        <v>0</v>
      </c>
      <c r="BQ247" s="14">
        <f t="shared" si="315"/>
        <v>208</v>
      </c>
      <c r="BR247" s="34" t="e">
        <f>HLOOKUP(J247,Villagers!$B$1:$V$33,L247+3,FALSE)-HLOOKUP(J247,Villagers!$B$1:$V$33,L247+2,FALSE)</f>
        <v>#N/A</v>
      </c>
      <c r="BS247" s="49">
        <f t="shared" si="316"/>
        <v>1</v>
      </c>
      <c r="BT247" s="50">
        <f t="shared" si="317"/>
        <v>0</v>
      </c>
      <c r="BU247" s="50">
        <f t="shared" si="318"/>
        <v>0</v>
      </c>
      <c r="BV247" s="50">
        <f t="shared" si="319"/>
        <v>0</v>
      </c>
      <c r="BW247" s="50">
        <f t="shared" si="363"/>
        <v>0</v>
      </c>
      <c r="BX247" s="50">
        <f t="shared" si="364"/>
        <v>0</v>
      </c>
      <c r="BY247" s="50">
        <f t="shared" si="364"/>
        <v>0</v>
      </c>
      <c r="BZ247" s="50">
        <f t="shared" si="350"/>
        <v>0</v>
      </c>
      <c r="CA247" s="50">
        <f t="shared" si="351"/>
        <v>0</v>
      </c>
      <c r="CB247" s="50">
        <f t="shared" si="352"/>
        <v>1</v>
      </c>
      <c r="CC247" s="50">
        <f t="shared" si="353"/>
        <v>0</v>
      </c>
      <c r="CD247" s="50">
        <f t="shared" si="354"/>
        <v>0</v>
      </c>
      <c r="CE247" s="50">
        <f t="shared" si="355"/>
        <v>1</v>
      </c>
      <c r="CF247" s="50">
        <f t="shared" si="356"/>
        <v>1</v>
      </c>
      <c r="CG247" s="50">
        <f t="shared" si="357"/>
        <v>1</v>
      </c>
      <c r="CH247" s="50">
        <f t="shared" si="358"/>
        <v>1</v>
      </c>
      <c r="CI247" s="50">
        <f t="shared" si="359"/>
        <v>1</v>
      </c>
      <c r="CJ247" s="50">
        <f t="shared" si="360"/>
        <v>1</v>
      </c>
      <c r="CK247" s="50">
        <f t="shared" si="360"/>
        <v>0</v>
      </c>
      <c r="CL247" s="50">
        <f t="shared" si="360"/>
        <v>0</v>
      </c>
      <c r="CM247" s="51">
        <f t="shared" si="366"/>
        <v>0</v>
      </c>
      <c r="CN247" s="33">
        <f>ROUND(IF(BS247=0,0,HLOOKUP(BS$14,Villagers!$B$1:$V$33,BS247+3,FALSE)),)</f>
        <v>5</v>
      </c>
      <c r="CO247" s="14">
        <f>ROUND(IF(BT247=0,0,HLOOKUP(BT$14,Villagers!$B$1:$V$33,BT247+3,FALSE)),)</f>
        <v>0</v>
      </c>
      <c r="CP247" s="14">
        <f>ROUND(IF(BU247=0,0,HLOOKUP(BU$14,Villagers!$B$1:$V$33,BU247+3,FALSE)),)</f>
        <v>0</v>
      </c>
      <c r="CQ247" s="14">
        <f>ROUND(IF(BV247=0,0,HLOOKUP(BV$14,Villagers!$B$1:$V$33,BV247+3,FALSE)),)</f>
        <v>0</v>
      </c>
      <c r="CR247" s="14">
        <f>ROUND(IF(BW247=0,0,HLOOKUP(BW$14,Villagers!$B$1:$V$33,BW247+3,FALSE)),)</f>
        <v>0</v>
      </c>
      <c r="CS247" s="14">
        <f>ROUND(IF(BX247=0,0,HLOOKUP(BX$14,Villagers!$B$1:$V$33,BX247+3,FALSE)),)</f>
        <v>0</v>
      </c>
      <c r="CT247" s="14">
        <f>ROUND(IF(BY247=0,0,HLOOKUP(BY$14,Villagers!$B$1:$V$33,BY247+3,FALSE)),)</f>
        <v>0</v>
      </c>
      <c r="CU247" s="14">
        <f>ROUND(IF(BZ247=0,0,HLOOKUP(BZ$14,Villagers!$B$1:$V$33,BZ247+3,FALSE)),)</f>
        <v>0</v>
      </c>
      <c r="CV247" s="14">
        <f>ROUND(IF(CA247=0,0,HLOOKUP(CA$14,Villagers!$B$1:$V$33,CA247+3,FALSE)),)</f>
        <v>0</v>
      </c>
      <c r="CW247" s="14">
        <f>ROUND(IF(CB247=0,0,HLOOKUP(CB$14,Villagers!$B$1:$V$33,CB247+3,FALSE)),)</f>
        <v>0</v>
      </c>
      <c r="CX247" s="14">
        <f>ROUND(IF(CC247=0,0,HLOOKUP(CC$14,Villagers!$B$1:$V$33,CC247+3,FALSE)),)</f>
        <v>0</v>
      </c>
      <c r="CY247" s="14">
        <f>ROUND(IF(CD247=0,0,HLOOKUP(CD$14,Villagers!$B$1:$V$33,CD247+3,FALSE)),)</f>
        <v>0</v>
      </c>
      <c r="CZ247" s="14">
        <f>ROUND(IF(CE247=0,0,HLOOKUP(CE$14,Villagers!$B$1:$V$33,CE247+3,FALSE)),)</f>
        <v>5</v>
      </c>
      <c r="DA247" s="14">
        <f>ROUND(IF(CF247=0,0,HLOOKUP(CF$14,Villagers!$B$1:$V$33,CF247+3,FALSE)),)</f>
        <v>10</v>
      </c>
      <c r="DB247" s="14">
        <f>ROUND(IF(CG247=0,0,HLOOKUP(CG$14,Villagers!$B$1:$V$33,CG247+3,FALSE)),)</f>
        <v>10</v>
      </c>
      <c r="DC247" s="14">
        <f>ROUND(IF(CH247=0,0,HLOOKUP(CH$14,Villagers!$B$1:$V$33,CH247+3,FALSE)),)</f>
        <v>0</v>
      </c>
      <c r="DD247" s="14">
        <f>ROUND(IF(CI247=0,0,HLOOKUP(CI$14,Villagers!$B$1:$V$33,CI247+3,FALSE)),)</f>
        <v>0</v>
      </c>
      <c r="DE247" s="14">
        <f>ROUND(IF(CJ247=0,0,HLOOKUP(CJ$14,Villagers!$B$1:$V$33,CJ247+3,FALSE)),)</f>
        <v>2</v>
      </c>
      <c r="DF247" s="370">
        <f>ROUND(IF(CK247=0,0,HLOOKUP(CK$14,Villagers!$B$1:$V$33,CK247+3,FALSE)),)</f>
        <v>0</v>
      </c>
      <c r="DG247" s="370">
        <f>ROUND(IF(CL247=0,0,HLOOKUP(CL$14,Villagers!$B$1:$V$33,CL247+3,FALSE)),)</f>
        <v>0</v>
      </c>
      <c r="DH247" s="34">
        <f>ROUND(IF(CM247=0,0,HLOOKUP(CM$14,Villagers!$B$1:$V$33,CM247+3,FALSE)),)</f>
        <v>0</v>
      </c>
      <c r="DI247" s="109">
        <f t="shared" si="336"/>
        <v>0</v>
      </c>
      <c r="DJ247" s="50">
        <f t="shared" si="337"/>
        <v>0</v>
      </c>
      <c r="DK247" s="50">
        <f t="shared" si="338"/>
        <v>0</v>
      </c>
      <c r="DL247" s="50">
        <f t="shared" si="339"/>
        <v>0</v>
      </c>
      <c r="DM247" s="50">
        <f t="shared" si="340"/>
        <v>0</v>
      </c>
      <c r="DN247" s="50">
        <f t="shared" si="341"/>
        <v>0</v>
      </c>
      <c r="DO247" s="50">
        <f t="shared" si="342"/>
        <v>0</v>
      </c>
      <c r="DP247" s="50">
        <f t="shared" si="343"/>
        <v>0</v>
      </c>
      <c r="DQ247" s="50">
        <f t="shared" si="321"/>
        <v>0</v>
      </c>
      <c r="DR247" s="50">
        <f t="shared" si="322"/>
        <v>0</v>
      </c>
      <c r="DS247" s="96">
        <f>Miscelaneous!$D$4*Miscelaneous!$D$2^($CI247-1)</f>
        <v>1000</v>
      </c>
      <c r="DT247" s="333">
        <f t="shared" si="303"/>
        <v>1</v>
      </c>
      <c r="DU247" s="81">
        <v>1</v>
      </c>
      <c r="DV247" s="79">
        <f t="shared" si="323"/>
        <v>0</v>
      </c>
      <c r="DW247" s="79">
        <f t="shared" si="324"/>
        <v>0</v>
      </c>
      <c r="DX247" s="79">
        <f t="shared" si="325"/>
        <v>0</v>
      </c>
      <c r="DY247" s="79">
        <v>1</v>
      </c>
      <c r="DZ247" s="79">
        <f t="shared" si="326"/>
        <v>0</v>
      </c>
      <c r="EA247" s="79">
        <f t="shared" si="327"/>
        <v>0</v>
      </c>
      <c r="EB247" s="79">
        <f t="shared" si="328"/>
        <v>0</v>
      </c>
      <c r="EC247" s="79">
        <f t="shared" si="329"/>
        <v>0</v>
      </c>
      <c r="ED247" s="79">
        <v>1</v>
      </c>
      <c r="EE247" s="79">
        <v>1</v>
      </c>
      <c r="EF247" s="79">
        <f t="shared" si="330"/>
        <v>0</v>
      </c>
      <c r="EG247" s="79">
        <v>1</v>
      </c>
      <c r="EH247" s="79">
        <v>1</v>
      </c>
      <c r="EI247" s="79">
        <v>1</v>
      </c>
      <c r="EJ247" s="79">
        <v>1</v>
      </c>
      <c r="EK247" s="79">
        <v>1</v>
      </c>
      <c r="EL247" s="79">
        <v>1</v>
      </c>
      <c r="EM247" s="143">
        <f t="shared" si="331"/>
        <v>0</v>
      </c>
      <c r="EN247" s="143">
        <f t="shared" si="332"/>
        <v>0</v>
      </c>
      <c r="EO247" s="82">
        <f t="shared" si="333"/>
        <v>0</v>
      </c>
    </row>
    <row r="248" spans="1:145" x14ac:dyDescent="0.25">
      <c r="A248">
        <v>234</v>
      </c>
      <c r="B248" s="172" t="e">
        <f t="shared" si="304"/>
        <v>#N/A</v>
      </c>
      <c r="C248" s="121" t="e">
        <f t="shared" si="283"/>
        <v>#N/A</v>
      </c>
      <c r="D248" s="122" t="e">
        <f t="shared" si="284"/>
        <v>#N/A</v>
      </c>
      <c r="E248" s="122" t="e">
        <f t="shared" si="285"/>
        <v>#N/A</v>
      </c>
      <c r="F248" s="176" t="e">
        <f t="shared" si="286"/>
        <v>#N/A</v>
      </c>
      <c r="G248" s="121">
        <f t="shared" si="305"/>
        <v>208</v>
      </c>
      <c r="H248" s="176" t="e">
        <f t="shared" si="306"/>
        <v>#N/A</v>
      </c>
      <c r="I248" s="48">
        <v>1</v>
      </c>
      <c r="J248" s="39"/>
      <c r="K248" s="350">
        <v>1</v>
      </c>
      <c r="L248" s="34" t="e">
        <f t="shared" si="287"/>
        <v>#N/A</v>
      </c>
      <c r="M248" s="38" t="e">
        <f>(HLOOKUP(J248,'Construction Times'!$B$3:$W$34,L248+2,FALSE)*HLOOKUP("hq modifier",'Construction Times'!$W$3:$W$34,BS248+2,FALSE))*(1-$H$9)</f>
        <v>#N/A</v>
      </c>
      <c r="N248" s="443" t="e">
        <f t="shared" si="307"/>
        <v>#N/A</v>
      </c>
      <c r="O248" s="444"/>
      <c r="P248" s="447" t="e">
        <f t="shared" si="308"/>
        <v>#N/A</v>
      </c>
      <c r="Q248" s="448"/>
      <c r="R248" s="103">
        <f t="shared" si="334"/>
        <v>0</v>
      </c>
      <c r="S248" s="104">
        <f t="shared" si="334"/>
        <v>0</v>
      </c>
      <c r="T248" s="104">
        <f t="shared" si="335"/>
        <v>0</v>
      </c>
      <c r="U248" s="104">
        <f t="shared" si="335"/>
        <v>0</v>
      </c>
      <c r="V248" s="104">
        <f t="shared" si="335"/>
        <v>9.9999999999999995E-8</v>
      </c>
      <c r="W248" s="104">
        <f t="shared" si="335"/>
        <v>0</v>
      </c>
      <c r="X248" s="104">
        <f t="shared" si="365"/>
        <v>0</v>
      </c>
      <c r="Y248" s="104">
        <f t="shared" si="365"/>
        <v>9.9999999999999995E-8</v>
      </c>
      <c r="Z248" s="104">
        <f t="shared" si="365"/>
        <v>9.9999999999999995E-8</v>
      </c>
      <c r="AA248" s="105">
        <f t="shared" si="365"/>
        <v>9.9999999999999995E-8</v>
      </c>
      <c r="AB248" s="101" t="e">
        <f>$DT248*HLOOKUP($J248,'Construction Costs (timber)'!$B$1:$V$32,'Construction Planner'!$L248+2,FALSE)</f>
        <v>#N/A</v>
      </c>
      <c r="AC248" s="14" t="e">
        <f>$DT248*HLOOKUP($J248,'Construction Costs (clay)'!$B$1:$V$32,'Construction Planner'!$L248+2,FALSE)</f>
        <v>#N/A</v>
      </c>
      <c r="AD248" s="14" t="e">
        <f>$DT248*HLOOKUP($J248,'Construction Costs (iron)'!$B$1:$V$32,'Construction Planner'!$L248+2,FALSE)</f>
        <v>#N/A</v>
      </c>
      <c r="AE248" s="34" t="e">
        <f t="shared" si="344"/>
        <v>#N/A</v>
      </c>
      <c r="AF248" s="33" t="e">
        <f t="shared" si="288"/>
        <v>#N/A</v>
      </c>
      <c r="AG248" s="14" t="e">
        <f t="shared" si="289"/>
        <v>#N/A</v>
      </c>
      <c r="AH248" s="14" t="e">
        <f t="shared" si="290"/>
        <v>#N/A</v>
      </c>
      <c r="AI248" s="34" t="e">
        <f t="shared" si="345"/>
        <v>#N/A</v>
      </c>
      <c r="AJ248" s="49" t="e">
        <f t="shared" si="309"/>
        <v>#N/A</v>
      </c>
      <c r="AK248" s="49" t="e">
        <f t="shared" si="310"/>
        <v>#N/A</v>
      </c>
      <c r="AL248" s="49" t="e">
        <f t="shared" si="311"/>
        <v>#N/A</v>
      </c>
      <c r="AM248" s="25">
        <f t="shared" si="291"/>
        <v>30</v>
      </c>
      <c r="AN248" s="25">
        <f t="shared" si="292"/>
        <v>30</v>
      </c>
      <c r="AO248" s="25">
        <f t="shared" si="293"/>
        <v>30</v>
      </c>
      <c r="AP248" s="52" t="e">
        <f t="shared" si="312"/>
        <v>#N/A</v>
      </c>
      <c r="AQ248" s="53" t="e">
        <f t="shared" si="312"/>
        <v>#N/A</v>
      </c>
      <c r="AR248" s="54" t="e">
        <f t="shared" si="312"/>
        <v>#N/A</v>
      </c>
      <c r="AS248" s="316">
        <f t="shared" si="367"/>
        <v>0</v>
      </c>
      <c r="AT248" s="106">
        <f>_xlfn.IFNA($M248/VLOOKUP($BT248,'Unit information'!$A$2:$K$29,2,FALSE)*R248,0)*(1+$E$9)</f>
        <v>0</v>
      </c>
      <c r="AU248" s="107">
        <f>_xlfn.IFNA($M248/VLOOKUP($BT248,'Unit information'!$A$2:$K$29,3,FALSE)*S248,0)*(1+$E$9)</f>
        <v>0</v>
      </c>
      <c r="AV248" s="107">
        <f>_xlfn.IFNA($M248/VLOOKUP($BT248,'Unit information'!$A$2:$K$29,4,FALSE)*T248,0)*(1+$E$9)</f>
        <v>0</v>
      </c>
      <c r="AW248" s="107">
        <f>_xlfn.IFNA($M248/VLOOKUP($BT248,'Unit information'!$A$2:$K$29,5,FALSE)*U248,0)*(1+$E$9)</f>
        <v>0</v>
      </c>
      <c r="AX248" s="107">
        <f>_xlfn.IFNA($M248/VLOOKUP($BU248,'Unit information'!$A$2:$K$29,6,FALSE)*V248,0)*(1+$E$9)</f>
        <v>0</v>
      </c>
      <c r="AY248" s="107">
        <f>_xlfn.IFNA($M248/VLOOKUP($BU248,'Unit information'!$A$2:$K$29,7,FALSE)*W248,0)*(1+$E$9)</f>
        <v>0</v>
      </c>
      <c r="AZ248" s="107">
        <f>_xlfn.IFNA($M248/VLOOKUP($BU248,'Unit information'!$A$2:$K$29,8,FALSE)*X248,0)*(1+$E$9)</f>
        <v>0</v>
      </c>
      <c r="BA248" s="107">
        <f>_xlfn.IFNA($M248/VLOOKUP($BU248,'Unit information'!$A$2:$K$29,9,FALSE)*Y248,0)*(1+$E$9)</f>
        <v>0</v>
      </c>
      <c r="BB248" s="107">
        <f>_xlfn.IFNA($M248/VLOOKUP($BV248,'Unit information'!$A$2:$K$29,10,FALSE)*Z248,0)*(1+$E$9)</f>
        <v>0</v>
      </c>
      <c r="BC248" s="108">
        <f>_xlfn.IFNA($M248/VLOOKUP($BV248,'Unit information'!$A$2:$K$29,11,FALSE)*AA248,0)*(1+$E$9)</f>
        <v>0</v>
      </c>
      <c r="BD248" s="106">
        <f t="shared" si="294"/>
        <v>0</v>
      </c>
      <c r="BE248" s="107">
        <f t="shared" si="295"/>
        <v>0</v>
      </c>
      <c r="BF248" s="108">
        <f t="shared" si="296"/>
        <v>0</v>
      </c>
      <c r="BG248" s="25" t="e">
        <f t="shared" si="297"/>
        <v>#N/A</v>
      </c>
      <c r="BH248" s="25" t="e">
        <f t="shared" si="298"/>
        <v>#N/A</v>
      </c>
      <c r="BI248" s="25" t="e">
        <f t="shared" si="299"/>
        <v>#N/A</v>
      </c>
      <c r="BJ248" s="27" t="e">
        <f t="shared" si="300"/>
        <v>#N/A</v>
      </c>
      <c r="BK248" s="18" t="e">
        <f t="shared" si="301"/>
        <v>#N/A</v>
      </c>
      <c r="BL248" s="18" t="e">
        <f t="shared" si="302"/>
        <v>#N/A</v>
      </c>
      <c r="BM248" s="28" t="e">
        <f t="shared" si="347"/>
        <v>#N/A</v>
      </c>
      <c r="BN248" s="33">
        <f>HLOOKUP("maximum population",Miscelaneous!$C$1:$C$33,CH248+3,FALSE)</f>
        <v>240</v>
      </c>
      <c r="BO248" s="14">
        <f t="shared" si="313"/>
        <v>32</v>
      </c>
      <c r="BP248" s="14">
        <f t="shared" si="314"/>
        <v>0</v>
      </c>
      <c r="BQ248" s="14">
        <f t="shared" si="315"/>
        <v>208</v>
      </c>
      <c r="BR248" s="34" t="e">
        <f>HLOOKUP(J248,Villagers!$B$1:$V$33,L248+3,FALSE)-HLOOKUP(J248,Villagers!$B$1:$V$33,L248+2,FALSE)</f>
        <v>#N/A</v>
      </c>
      <c r="BS248" s="49">
        <f t="shared" si="316"/>
        <v>1</v>
      </c>
      <c r="BT248" s="50">
        <f t="shared" si="317"/>
        <v>0</v>
      </c>
      <c r="BU248" s="50">
        <f t="shared" si="318"/>
        <v>0</v>
      </c>
      <c r="BV248" s="50">
        <f t="shared" si="319"/>
        <v>0</v>
      </c>
      <c r="BW248" s="50">
        <f t="shared" si="363"/>
        <v>0</v>
      </c>
      <c r="BX248" s="50">
        <f t="shared" si="364"/>
        <v>0</v>
      </c>
      <c r="BY248" s="50">
        <f t="shared" si="364"/>
        <v>0</v>
      </c>
      <c r="BZ248" s="50">
        <f t="shared" si="350"/>
        <v>0</v>
      </c>
      <c r="CA248" s="50">
        <f t="shared" si="351"/>
        <v>0</v>
      </c>
      <c r="CB248" s="50">
        <f t="shared" si="352"/>
        <v>1</v>
      </c>
      <c r="CC248" s="50">
        <f t="shared" si="353"/>
        <v>0</v>
      </c>
      <c r="CD248" s="50">
        <f t="shared" si="354"/>
        <v>0</v>
      </c>
      <c r="CE248" s="50">
        <f t="shared" si="355"/>
        <v>1</v>
      </c>
      <c r="CF248" s="50">
        <f t="shared" si="356"/>
        <v>1</v>
      </c>
      <c r="CG248" s="50">
        <f t="shared" si="357"/>
        <v>1</v>
      </c>
      <c r="CH248" s="50">
        <f t="shared" si="358"/>
        <v>1</v>
      </c>
      <c r="CI248" s="50">
        <f t="shared" si="359"/>
        <v>1</v>
      </c>
      <c r="CJ248" s="50">
        <f t="shared" si="360"/>
        <v>1</v>
      </c>
      <c r="CK248" s="50">
        <f t="shared" si="360"/>
        <v>0</v>
      </c>
      <c r="CL248" s="50">
        <f t="shared" si="360"/>
        <v>0</v>
      </c>
      <c r="CM248" s="51">
        <f t="shared" si="366"/>
        <v>0</v>
      </c>
      <c r="CN248" s="33">
        <f>ROUND(IF(BS248=0,0,HLOOKUP(BS$14,Villagers!$B$1:$V$33,BS248+3,FALSE)),)</f>
        <v>5</v>
      </c>
      <c r="CO248" s="14">
        <f>ROUND(IF(BT248=0,0,HLOOKUP(BT$14,Villagers!$B$1:$V$33,BT248+3,FALSE)),)</f>
        <v>0</v>
      </c>
      <c r="CP248" s="14">
        <f>ROUND(IF(BU248=0,0,HLOOKUP(BU$14,Villagers!$B$1:$V$33,BU248+3,FALSE)),)</f>
        <v>0</v>
      </c>
      <c r="CQ248" s="14">
        <f>ROUND(IF(BV248=0,0,HLOOKUP(BV$14,Villagers!$B$1:$V$33,BV248+3,FALSE)),)</f>
        <v>0</v>
      </c>
      <c r="CR248" s="14">
        <f>ROUND(IF(BW248=0,0,HLOOKUP(BW$14,Villagers!$B$1:$V$33,BW248+3,FALSE)),)</f>
        <v>0</v>
      </c>
      <c r="CS248" s="14">
        <f>ROUND(IF(BX248=0,0,HLOOKUP(BX$14,Villagers!$B$1:$V$33,BX248+3,FALSE)),)</f>
        <v>0</v>
      </c>
      <c r="CT248" s="14">
        <f>ROUND(IF(BY248=0,0,HLOOKUP(BY$14,Villagers!$B$1:$V$33,BY248+3,FALSE)),)</f>
        <v>0</v>
      </c>
      <c r="CU248" s="14">
        <f>ROUND(IF(BZ248=0,0,HLOOKUP(BZ$14,Villagers!$B$1:$V$33,BZ248+3,FALSE)),)</f>
        <v>0</v>
      </c>
      <c r="CV248" s="14">
        <f>ROUND(IF(CA248=0,0,HLOOKUP(CA$14,Villagers!$B$1:$V$33,CA248+3,FALSE)),)</f>
        <v>0</v>
      </c>
      <c r="CW248" s="14">
        <f>ROUND(IF(CB248=0,0,HLOOKUP(CB$14,Villagers!$B$1:$V$33,CB248+3,FALSE)),)</f>
        <v>0</v>
      </c>
      <c r="CX248" s="14">
        <f>ROUND(IF(CC248=0,0,HLOOKUP(CC$14,Villagers!$B$1:$V$33,CC248+3,FALSE)),)</f>
        <v>0</v>
      </c>
      <c r="CY248" s="14">
        <f>ROUND(IF(CD248=0,0,HLOOKUP(CD$14,Villagers!$B$1:$V$33,CD248+3,FALSE)),)</f>
        <v>0</v>
      </c>
      <c r="CZ248" s="14">
        <f>ROUND(IF(CE248=0,0,HLOOKUP(CE$14,Villagers!$B$1:$V$33,CE248+3,FALSE)),)</f>
        <v>5</v>
      </c>
      <c r="DA248" s="14">
        <f>ROUND(IF(CF248=0,0,HLOOKUP(CF$14,Villagers!$B$1:$V$33,CF248+3,FALSE)),)</f>
        <v>10</v>
      </c>
      <c r="DB248" s="14">
        <f>ROUND(IF(CG248=0,0,HLOOKUP(CG$14,Villagers!$B$1:$V$33,CG248+3,FALSE)),)</f>
        <v>10</v>
      </c>
      <c r="DC248" s="14">
        <f>ROUND(IF(CH248=0,0,HLOOKUP(CH$14,Villagers!$B$1:$V$33,CH248+3,FALSE)),)</f>
        <v>0</v>
      </c>
      <c r="DD248" s="14">
        <f>ROUND(IF(CI248=0,0,HLOOKUP(CI$14,Villagers!$B$1:$V$33,CI248+3,FALSE)),)</f>
        <v>0</v>
      </c>
      <c r="DE248" s="14">
        <f>ROUND(IF(CJ248=0,0,HLOOKUP(CJ$14,Villagers!$B$1:$V$33,CJ248+3,FALSE)),)</f>
        <v>2</v>
      </c>
      <c r="DF248" s="370">
        <f>ROUND(IF(CK248=0,0,HLOOKUP(CK$14,Villagers!$B$1:$V$33,CK248+3,FALSE)),)</f>
        <v>0</v>
      </c>
      <c r="DG248" s="370">
        <f>ROUND(IF(CL248=0,0,HLOOKUP(CL$14,Villagers!$B$1:$V$33,CL248+3,FALSE)),)</f>
        <v>0</v>
      </c>
      <c r="DH248" s="34">
        <f>ROUND(IF(CM248=0,0,HLOOKUP(CM$14,Villagers!$B$1:$V$33,CM248+3,FALSE)),)</f>
        <v>0</v>
      </c>
      <c r="DI248" s="109">
        <f t="shared" si="336"/>
        <v>0</v>
      </c>
      <c r="DJ248" s="50">
        <f t="shared" si="337"/>
        <v>0</v>
      </c>
      <c r="DK248" s="50">
        <f t="shared" si="338"/>
        <v>0</v>
      </c>
      <c r="DL248" s="50">
        <f t="shared" si="339"/>
        <v>0</v>
      </c>
      <c r="DM248" s="50">
        <f t="shared" si="340"/>
        <v>0</v>
      </c>
      <c r="DN248" s="50">
        <f t="shared" si="341"/>
        <v>0</v>
      </c>
      <c r="DO248" s="50">
        <f t="shared" si="342"/>
        <v>0</v>
      </c>
      <c r="DP248" s="50">
        <f t="shared" si="343"/>
        <v>0</v>
      </c>
      <c r="DQ248" s="50">
        <f t="shared" si="321"/>
        <v>0</v>
      </c>
      <c r="DR248" s="50">
        <f t="shared" si="322"/>
        <v>0</v>
      </c>
      <c r="DS248" s="96">
        <f>Miscelaneous!$D$4*Miscelaneous!$D$2^($CI248-1)</f>
        <v>1000</v>
      </c>
      <c r="DT248" s="333">
        <f t="shared" si="303"/>
        <v>1</v>
      </c>
      <c r="DU248" s="81">
        <v>1</v>
      </c>
      <c r="DV248" s="79">
        <f t="shared" si="323"/>
        <v>0</v>
      </c>
      <c r="DW248" s="79">
        <f t="shared" si="324"/>
        <v>0</v>
      </c>
      <c r="DX248" s="79">
        <f t="shared" si="325"/>
        <v>0</v>
      </c>
      <c r="DY248" s="79">
        <v>1</v>
      </c>
      <c r="DZ248" s="79">
        <f t="shared" si="326"/>
        <v>0</v>
      </c>
      <c r="EA248" s="79">
        <f t="shared" si="327"/>
        <v>0</v>
      </c>
      <c r="EB248" s="79">
        <f t="shared" si="328"/>
        <v>0</v>
      </c>
      <c r="EC248" s="79">
        <f t="shared" si="329"/>
        <v>0</v>
      </c>
      <c r="ED248" s="79">
        <v>1</v>
      </c>
      <c r="EE248" s="79">
        <v>1</v>
      </c>
      <c r="EF248" s="79">
        <f t="shared" si="330"/>
        <v>0</v>
      </c>
      <c r="EG248" s="79">
        <v>1</v>
      </c>
      <c r="EH248" s="79">
        <v>1</v>
      </c>
      <c r="EI248" s="79">
        <v>1</v>
      </c>
      <c r="EJ248" s="79">
        <v>1</v>
      </c>
      <c r="EK248" s="79">
        <v>1</v>
      </c>
      <c r="EL248" s="79">
        <v>1</v>
      </c>
      <c r="EM248" s="143">
        <f t="shared" si="331"/>
        <v>0</v>
      </c>
      <c r="EN248" s="143">
        <f t="shared" si="332"/>
        <v>0</v>
      </c>
      <c r="EO248" s="82">
        <f t="shared" si="333"/>
        <v>0</v>
      </c>
    </row>
    <row r="249" spans="1:145" x14ac:dyDescent="0.25">
      <c r="A249">
        <v>235</v>
      </c>
      <c r="B249" s="172" t="e">
        <f t="shared" si="304"/>
        <v>#N/A</v>
      </c>
      <c r="C249" s="121" t="e">
        <f t="shared" si="283"/>
        <v>#N/A</v>
      </c>
      <c r="D249" s="122" t="e">
        <f t="shared" si="284"/>
        <v>#N/A</v>
      </c>
      <c r="E249" s="122" t="e">
        <f t="shared" si="285"/>
        <v>#N/A</v>
      </c>
      <c r="F249" s="176" t="e">
        <f t="shared" si="286"/>
        <v>#N/A</v>
      </c>
      <c r="G249" s="121">
        <f t="shared" si="305"/>
        <v>208</v>
      </c>
      <c r="H249" s="176" t="e">
        <f t="shared" si="306"/>
        <v>#N/A</v>
      </c>
      <c r="I249" s="48">
        <v>1</v>
      </c>
      <c r="J249" s="39"/>
      <c r="K249" s="350">
        <v>1</v>
      </c>
      <c r="L249" s="34" t="e">
        <f t="shared" si="287"/>
        <v>#N/A</v>
      </c>
      <c r="M249" s="38" t="e">
        <f>(HLOOKUP(J249,'Construction Times'!$B$3:$W$34,L249+2,FALSE)*HLOOKUP("hq modifier",'Construction Times'!$W$3:$W$34,BS249+2,FALSE))*(1-$H$9)</f>
        <v>#N/A</v>
      </c>
      <c r="N249" s="443" t="e">
        <f t="shared" si="307"/>
        <v>#N/A</v>
      </c>
      <c r="O249" s="444"/>
      <c r="P249" s="447" t="e">
        <f t="shared" si="308"/>
        <v>#N/A</v>
      </c>
      <c r="Q249" s="448"/>
      <c r="R249" s="103">
        <f t="shared" si="334"/>
        <v>0</v>
      </c>
      <c r="S249" s="104">
        <f t="shared" si="334"/>
        <v>0</v>
      </c>
      <c r="T249" s="104">
        <f t="shared" si="335"/>
        <v>0</v>
      </c>
      <c r="U249" s="104">
        <f t="shared" si="335"/>
        <v>0</v>
      </c>
      <c r="V249" s="104">
        <f t="shared" si="335"/>
        <v>9.9999999999999995E-8</v>
      </c>
      <c r="W249" s="104">
        <f t="shared" si="335"/>
        <v>0</v>
      </c>
      <c r="X249" s="104">
        <f t="shared" si="365"/>
        <v>0</v>
      </c>
      <c r="Y249" s="104">
        <f t="shared" si="365"/>
        <v>9.9999999999999995E-8</v>
      </c>
      <c r="Z249" s="104">
        <f t="shared" si="365"/>
        <v>9.9999999999999995E-8</v>
      </c>
      <c r="AA249" s="105">
        <f t="shared" si="365"/>
        <v>9.9999999999999995E-8</v>
      </c>
      <c r="AB249" s="101" t="e">
        <f>$DT249*HLOOKUP($J249,'Construction Costs (timber)'!$B$1:$V$32,'Construction Planner'!$L249+2,FALSE)</f>
        <v>#N/A</v>
      </c>
      <c r="AC249" s="14" t="e">
        <f>$DT249*HLOOKUP($J249,'Construction Costs (clay)'!$B$1:$V$32,'Construction Planner'!$L249+2,FALSE)</f>
        <v>#N/A</v>
      </c>
      <c r="AD249" s="14" t="e">
        <f>$DT249*HLOOKUP($J249,'Construction Costs (iron)'!$B$1:$V$32,'Construction Planner'!$L249+2,FALSE)</f>
        <v>#N/A</v>
      </c>
      <c r="AE249" s="34" t="e">
        <f t="shared" si="344"/>
        <v>#N/A</v>
      </c>
      <c r="AF249" s="33" t="e">
        <f t="shared" si="288"/>
        <v>#N/A</v>
      </c>
      <c r="AG249" s="14" t="e">
        <f t="shared" si="289"/>
        <v>#N/A</v>
      </c>
      <c r="AH249" s="14" t="e">
        <f t="shared" si="290"/>
        <v>#N/A</v>
      </c>
      <c r="AI249" s="34" t="e">
        <f t="shared" si="345"/>
        <v>#N/A</v>
      </c>
      <c r="AJ249" s="49" t="e">
        <f t="shared" si="309"/>
        <v>#N/A</v>
      </c>
      <c r="AK249" s="49" t="e">
        <f t="shared" si="310"/>
        <v>#N/A</v>
      </c>
      <c r="AL249" s="49" t="e">
        <f t="shared" si="311"/>
        <v>#N/A</v>
      </c>
      <c r="AM249" s="25">
        <f t="shared" si="291"/>
        <v>30</v>
      </c>
      <c r="AN249" s="25">
        <f t="shared" si="292"/>
        <v>30</v>
      </c>
      <c r="AO249" s="25">
        <f t="shared" si="293"/>
        <v>30</v>
      </c>
      <c r="AP249" s="52" t="e">
        <f t="shared" si="312"/>
        <v>#N/A</v>
      </c>
      <c r="AQ249" s="53" t="e">
        <f t="shared" si="312"/>
        <v>#N/A</v>
      </c>
      <c r="AR249" s="54" t="e">
        <f t="shared" si="312"/>
        <v>#N/A</v>
      </c>
      <c r="AS249" s="316">
        <f t="shared" si="367"/>
        <v>0</v>
      </c>
      <c r="AT249" s="106">
        <f>_xlfn.IFNA($M249/VLOOKUP($BT249,'Unit information'!$A$2:$K$29,2,FALSE)*R249,0)*(1+$E$9)</f>
        <v>0</v>
      </c>
      <c r="AU249" s="107">
        <f>_xlfn.IFNA($M249/VLOOKUP($BT249,'Unit information'!$A$2:$K$29,3,FALSE)*S249,0)*(1+$E$9)</f>
        <v>0</v>
      </c>
      <c r="AV249" s="107">
        <f>_xlfn.IFNA($M249/VLOOKUP($BT249,'Unit information'!$A$2:$K$29,4,FALSE)*T249,0)*(1+$E$9)</f>
        <v>0</v>
      </c>
      <c r="AW249" s="107">
        <f>_xlfn.IFNA($M249/VLOOKUP($BT249,'Unit information'!$A$2:$K$29,5,FALSE)*U249,0)*(1+$E$9)</f>
        <v>0</v>
      </c>
      <c r="AX249" s="107">
        <f>_xlfn.IFNA($M249/VLOOKUP($BU249,'Unit information'!$A$2:$K$29,6,FALSE)*V249,0)*(1+$E$9)</f>
        <v>0</v>
      </c>
      <c r="AY249" s="107">
        <f>_xlfn.IFNA($M249/VLOOKUP($BU249,'Unit information'!$A$2:$K$29,7,FALSE)*W249,0)*(1+$E$9)</f>
        <v>0</v>
      </c>
      <c r="AZ249" s="107">
        <f>_xlfn.IFNA($M249/VLOOKUP($BU249,'Unit information'!$A$2:$K$29,8,FALSE)*X249,0)*(1+$E$9)</f>
        <v>0</v>
      </c>
      <c r="BA249" s="107">
        <f>_xlfn.IFNA($M249/VLOOKUP($BU249,'Unit information'!$A$2:$K$29,9,FALSE)*Y249,0)*(1+$E$9)</f>
        <v>0</v>
      </c>
      <c r="BB249" s="107">
        <f>_xlfn.IFNA($M249/VLOOKUP($BV249,'Unit information'!$A$2:$K$29,10,FALSE)*Z249,0)*(1+$E$9)</f>
        <v>0</v>
      </c>
      <c r="BC249" s="108">
        <f>_xlfn.IFNA($M249/VLOOKUP($BV249,'Unit information'!$A$2:$K$29,11,FALSE)*AA249,0)*(1+$E$9)</f>
        <v>0</v>
      </c>
      <c r="BD249" s="106">
        <f t="shared" si="294"/>
        <v>0</v>
      </c>
      <c r="BE249" s="107">
        <f t="shared" si="295"/>
        <v>0</v>
      </c>
      <c r="BF249" s="108">
        <f t="shared" si="296"/>
        <v>0</v>
      </c>
      <c r="BG249" s="25" t="e">
        <f t="shared" si="297"/>
        <v>#N/A</v>
      </c>
      <c r="BH249" s="25" t="e">
        <f t="shared" si="298"/>
        <v>#N/A</v>
      </c>
      <c r="BI249" s="25" t="e">
        <f t="shared" si="299"/>
        <v>#N/A</v>
      </c>
      <c r="BJ249" s="27" t="e">
        <f t="shared" si="300"/>
        <v>#N/A</v>
      </c>
      <c r="BK249" s="18" t="e">
        <f t="shared" si="301"/>
        <v>#N/A</v>
      </c>
      <c r="BL249" s="18" t="e">
        <f t="shared" si="302"/>
        <v>#N/A</v>
      </c>
      <c r="BM249" s="28" t="e">
        <f t="shared" si="347"/>
        <v>#N/A</v>
      </c>
      <c r="BN249" s="33">
        <f>HLOOKUP("maximum population",Miscelaneous!$C$1:$C$33,CH249+3,FALSE)</f>
        <v>240</v>
      </c>
      <c r="BO249" s="14">
        <f t="shared" si="313"/>
        <v>32</v>
      </c>
      <c r="BP249" s="14">
        <f t="shared" si="314"/>
        <v>0</v>
      </c>
      <c r="BQ249" s="14">
        <f t="shared" si="315"/>
        <v>208</v>
      </c>
      <c r="BR249" s="34" t="e">
        <f>HLOOKUP(J249,Villagers!$B$1:$V$33,L249+3,FALSE)-HLOOKUP(J249,Villagers!$B$1:$V$33,L249+2,FALSE)</f>
        <v>#N/A</v>
      </c>
      <c r="BS249" s="49">
        <f t="shared" si="316"/>
        <v>1</v>
      </c>
      <c r="BT249" s="50">
        <f t="shared" si="317"/>
        <v>0</v>
      </c>
      <c r="BU249" s="50">
        <f t="shared" si="318"/>
        <v>0</v>
      </c>
      <c r="BV249" s="50">
        <f t="shared" si="319"/>
        <v>0</v>
      </c>
      <c r="BW249" s="50">
        <f t="shared" si="363"/>
        <v>0</v>
      </c>
      <c r="BX249" s="50">
        <f t="shared" si="364"/>
        <v>0</v>
      </c>
      <c r="BY249" s="50">
        <f t="shared" si="364"/>
        <v>0</v>
      </c>
      <c r="BZ249" s="50">
        <f t="shared" si="350"/>
        <v>0</v>
      </c>
      <c r="CA249" s="50">
        <f t="shared" si="351"/>
        <v>0</v>
      </c>
      <c r="CB249" s="50">
        <f t="shared" si="352"/>
        <v>1</v>
      </c>
      <c r="CC249" s="50">
        <f t="shared" si="353"/>
        <v>0</v>
      </c>
      <c r="CD249" s="50">
        <f t="shared" si="354"/>
        <v>0</v>
      </c>
      <c r="CE249" s="50">
        <f t="shared" si="355"/>
        <v>1</v>
      </c>
      <c r="CF249" s="50">
        <f t="shared" si="356"/>
        <v>1</v>
      </c>
      <c r="CG249" s="50">
        <f t="shared" si="357"/>
        <v>1</v>
      </c>
      <c r="CH249" s="50">
        <f t="shared" si="358"/>
        <v>1</v>
      </c>
      <c r="CI249" s="50">
        <f t="shared" si="359"/>
        <v>1</v>
      </c>
      <c r="CJ249" s="50">
        <f t="shared" si="360"/>
        <v>1</v>
      </c>
      <c r="CK249" s="50">
        <f t="shared" si="360"/>
        <v>0</v>
      </c>
      <c r="CL249" s="50">
        <f t="shared" si="360"/>
        <v>0</v>
      </c>
      <c r="CM249" s="51">
        <f t="shared" si="366"/>
        <v>0</v>
      </c>
      <c r="CN249" s="33">
        <f>ROUND(IF(BS249=0,0,HLOOKUP(BS$14,Villagers!$B$1:$V$33,BS249+3,FALSE)),)</f>
        <v>5</v>
      </c>
      <c r="CO249" s="14">
        <f>ROUND(IF(BT249=0,0,HLOOKUP(BT$14,Villagers!$B$1:$V$33,BT249+3,FALSE)),)</f>
        <v>0</v>
      </c>
      <c r="CP249" s="14">
        <f>ROUND(IF(BU249=0,0,HLOOKUP(BU$14,Villagers!$B$1:$V$33,BU249+3,FALSE)),)</f>
        <v>0</v>
      </c>
      <c r="CQ249" s="14">
        <f>ROUND(IF(BV249=0,0,HLOOKUP(BV$14,Villagers!$B$1:$V$33,BV249+3,FALSE)),)</f>
        <v>0</v>
      </c>
      <c r="CR249" s="14">
        <f>ROUND(IF(BW249=0,0,HLOOKUP(BW$14,Villagers!$B$1:$V$33,BW249+3,FALSE)),)</f>
        <v>0</v>
      </c>
      <c r="CS249" s="14">
        <f>ROUND(IF(BX249=0,0,HLOOKUP(BX$14,Villagers!$B$1:$V$33,BX249+3,FALSE)),)</f>
        <v>0</v>
      </c>
      <c r="CT249" s="14">
        <f>ROUND(IF(BY249=0,0,HLOOKUP(BY$14,Villagers!$B$1:$V$33,BY249+3,FALSE)),)</f>
        <v>0</v>
      </c>
      <c r="CU249" s="14">
        <f>ROUND(IF(BZ249=0,0,HLOOKUP(BZ$14,Villagers!$B$1:$V$33,BZ249+3,FALSE)),)</f>
        <v>0</v>
      </c>
      <c r="CV249" s="14">
        <f>ROUND(IF(CA249=0,0,HLOOKUP(CA$14,Villagers!$B$1:$V$33,CA249+3,FALSE)),)</f>
        <v>0</v>
      </c>
      <c r="CW249" s="14">
        <f>ROUND(IF(CB249=0,0,HLOOKUP(CB$14,Villagers!$B$1:$V$33,CB249+3,FALSE)),)</f>
        <v>0</v>
      </c>
      <c r="CX249" s="14">
        <f>ROUND(IF(CC249=0,0,HLOOKUP(CC$14,Villagers!$B$1:$V$33,CC249+3,FALSE)),)</f>
        <v>0</v>
      </c>
      <c r="CY249" s="14">
        <f>ROUND(IF(CD249=0,0,HLOOKUP(CD$14,Villagers!$B$1:$V$33,CD249+3,FALSE)),)</f>
        <v>0</v>
      </c>
      <c r="CZ249" s="14">
        <f>ROUND(IF(CE249=0,0,HLOOKUP(CE$14,Villagers!$B$1:$V$33,CE249+3,FALSE)),)</f>
        <v>5</v>
      </c>
      <c r="DA249" s="14">
        <f>ROUND(IF(CF249=0,0,HLOOKUP(CF$14,Villagers!$B$1:$V$33,CF249+3,FALSE)),)</f>
        <v>10</v>
      </c>
      <c r="DB249" s="14">
        <f>ROUND(IF(CG249=0,0,HLOOKUP(CG$14,Villagers!$B$1:$V$33,CG249+3,FALSE)),)</f>
        <v>10</v>
      </c>
      <c r="DC249" s="14">
        <f>ROUND(IF(CH249=0,0,HLOOKUP(CH$14,Villagers!$B$1:$V$33,CH249+3,FALSE)),)</f>
        <v>0</v>
      </c>
      <c r="DD249" s="14">
        <f>ROUND(IF(CI249=0,0,HLOOKUP(CI$14,Villagers!$B$1:$V$33,CI249+3,FALSE)),)</f>
        <v>0</v>
      </c>
      <c r="DE249" s="14">
        <f>ROUND(IF(CJ249=0,0,HLOOKUP(CJ$14,Villagers!$B$1:$V$33,CJ249+3,FALSE)),)</f>
        <v>2</v>
      </c>
      <c r="DF249" s="370">
        <f>ROUND(IF(CK249=0,0,HLOOKUP(CK$14,Villagers!$B$1:$V$33,CK249+3,FALSE)),)</f>
        <v>0</v>
      </c>
      <c r="DG249" s="370">
        <f>ROUND(IF(CL249=0,0,HLOOKUP(CL$14,Villagers!$B$1:$V$33,CL249+3,FALSE)),)</f>
        <v>0</v>
      </c>
      <c r="DH249" s="34">
        <f>ROUND(IF(CM249=0,0,HLOOKUP(CM$14,Villagers!$B$1:$V$33,CM249+3,FALSE)),)</f>
        <v>0</v>
      </c>
      <c r="DI249" s="109">
        <f t="shared" si="336"/>
        <v>0</v>
      </c>
      <c r="DJ249" s="50">
        <f t="shared" si="337"/>
        <v>0</v>
      </c>
      <c r="DK249" s="50">
        <f t="shared" si="338"/>
        <v>0</v>
      </c>
      <c r="DL249" s="50">
        <f t="shared" si="339"/>
        <v>0</v>
      </c>
      <c r="DM249" s="50">
        <f t="shared" si="340"/>
        <v>0</v>
      </c>
      <c r="DN249" s="50">
        <f t="shared" si="341"/>
        <v>0</v>
      </c>
      <c r="DO249" s="50">
        <f t="shared" si="342"/>
        <v>0</v>
      </c>
      <c r="DP249" s="50">
        <f t="shared" si="343"/>
        <v>0</v>
      </c>
      <c r="DQ249" s="50">
        <f t="shared" si="321"/>
        <v>0</v>
      </c>
      <c r="DR249" s="50">
        <f t="shared" si="322"/>
        <v>0</v>
      </c>
      <c r="DS249" s="96">
        <f>Miscelaneous!$D$4*Miscelaneous!$D$2^($CI249-1)</f>
        <v>1000</v>
      </c>
      <c r="DT249" s="333">
        <f t="shared" si="303"/>
        <v>1</v>
      </c>
      <c r="DU249" s="81">
        <v>1</v>
      </c>
      <c r="DV249" s="79">
        <f t="shared" si="323"/>
        <v>0</v>
      </c>
      <c r="DW249" s="79">
        <f t="shared" si="324"/>
        <v>0</v>
      </c>
      <c r="DX249" s="79">
        <f t="shared" si="325"/>
        <v>0</v>
      </c>
      <c r="DY249" s="79">
        <v>1</v>
      </c>
      <c r="DZ249" s="79">
        <f t="shared" si="326"/>
        <v>0</v>
      </c>
      <c r="EA249" s="79">
        <f t="shared" si="327"/>
        <v>0</v>
      </c>
      <c r="EB249" s="79">
        <f t="shared" si="328"/>
        <v>0</v>
      </c>
      <c r="EC249" s="79">
        <f t="shared" si="329"/>
        <v>0</v>
      </c>
      <c r="ED249" s="79">
        <v>1</v>
      </c>
      <c r="EE249" s="79">
        <v>1</v>
      </c>
      <c r="EF249" s="79">
        <f t="shared" si="330"/>
        <v>0</v>
      </c>
      <c r="EG249" s="79">
        <v>1</v>
      </c>
      <c r="EH249" s="79">
        <v>1</v>
      </c>
      <c r="EI249" s="79">
        <v>1</v>
      </c>
      <c r="EJ249" s="79">
        <v>1</v>
      </c>
      <c r="EK249" s="79">
        <v>1</v>
      </c>
      <c r="EL249" s="79">
        <v>1</v>
      </c>
      <c r="EM249" s="143">
        <f t="shared" si="331"/>
        <v>0</v>
      </c>
      <c r="EN249" s="143">
        <f t="shared" si="332"/>
        <v>0</v>
      </c>
      <c r="EO249" s="82">
        <f t="shared" si="333"/>
        <v>0</v>
      </c>
    </row>
    <row r="250" spans="1:145" x14ac:dyDescent="0.25">
      <c r="A250">
        <v>236</v>
      </c>
      <c r="B250" s="172" t="e">
        <f t="shared" si="304"/>
        <v>#N/A</v>
      </c>
      <c r="C250" s="121" t="e">
        <f t="shared" si="283"/>
        <v>#N/A</v>
      </c>
      <c r="D250" s="122" t="e">
        <f t="shared" si="284"/>
        <v>#N/A</v>
      </c>
      <c r="E250" s="122" t="e">
        <f t="shared" si="285"/>
        <v>#N/A</v>
      </c>
      <c r="F250" s="176" t="e">
        <f t="shared" si="286"/>
        <v>#N/A</v>
      </c>
      <c r="G250" s="121">
        <f t="shared" si="305"/>
        <v>208</v>
      </c>
      <c r="H250" s="176" t="e">
        <f t="shared" si="306"/>
        <v>#N/A</v>
      </c>
      <c r="I250" s="48">
        <v>1</v>
      </c>
      <c r="J250" s="39"/>
      <c r="K250" s="350">
        <v>1</v>
      </c>
      <c r="L250" s="34" t="e">
        <f t="shared" si="287"/>
        <v>#N/A</v>
      </c>
      <c r="M250" s="38" t="e">
        <f>(HLOOKUP(J250,'Construction Times'!$B$3:$W$34,L250+2,FALSE)*HLOOKUP("hq modifier",'Construction Times'!$W$3:$W$34,BS250+2,FALSE))*(1-$H$9)</f>
        <v>#N/A</v>
      </c>
      <c r="N250" s="443" t="e">
        <f t="shared" si="307"/>
        <v>#N/A</v>
      </c>
      <c r="O250" s="444"/>
      <c r="P250" s="447" t="e">
        <f t="shared" si="308"/>
        <v>#N/A</v>
      </c>
      <c r="Q250" s="448"/>
      <c r="R250" s="103">
        <f t="shared" si="334"/>
        <v>0</v>
      </c>
      <c r="S250" s="104">
        <f t="shared" si="334"/>
        <v>0</v>
      </c>
      <c r="T250" s="104">
        <f t="shared" si="335"/>
        <v>0</v>
      </c>
      <c r="U250" s="104">
        <f t="shared" si="335"/>
        <v>0</v>
      </c>
      <c r="V250" s="104">
        <f t="shared" si="335"/>
        <v>9.9999999999999995E-8</v>
      </c>
      <c r="W250" s="104">
        <f t="shared" si="335"/>
        <v>0</v>
      </c>
      <c r="X250" s="104">
        <f t="shared" si="365"/>
        <v>0</v>
      </c>
      <c r="Y250" s="104">
        <f t="shared" si="365"/>
        <v>9.9999999999999995E-8</v>
      </c>
      <c r="Z250" s="104">
        <f t="shared" si="365"/>
        <v>9.9999999999999995E-8</v>
      </c>
      <c r="AA250" s="105">
        <f t="shared" si="365"/>
        <v>9.9999999999999995E-8</v>
      </c>
      <c r="AB250" s="101" t="e">
        <f>$DT250*HLOOKUP($J250,'Construction Costs (timber)'!$B$1:$V$32,'Construction Planner'!$L250+2,FALSE)</f>
        <v>#N/A</v>
      </c>
      <c r="AC250" s="14" t="e">
        <f>$DT250*HLOOKUP($J250,'Construction Costs (clay)'!$B$1:$V$32,'Construction Planner'!$L250+2,FALSE)</f>
        <v>#N/A</v>
      </c>
      <c r="AD250" s="14" t="e">
        <f>$DT250*HLOOKUP($J250,'Construction Costs (iron)'!$B$1:$V$32,'Construction Planner'!$L250+2,FALSE)</f>
        <v>#N/A</v>
      </c>
      <c r="AE250" s="34" t="e">
        <f t="shared" si="344"/>
        <v>#N/A</v>
      </c>
      <c r="AF250" s="33" t="e">
        <f t="shared" si="288"/>
        <v>#N/A</v>
      </c>
      <c r="AG250" s="14" t="e">
        <f t="shared" si="289"/>
        <v>#N/A</v>
      </c>
      <c r="AH250" s="14" t="e">
        <f t="shared" si="290"/>
        <v>#N/A</v>
      </c>
      <c r="AI250" s="34" t="e">
        <f t="shared" si="345"/>
        <v>#N/A</v>
      </c>
      <c r="AJ250" s="49" t="e">
        <f t="shared" si="309"/>
        <v>#N/A</v>
      </c>
      <c r="AK250" s="49" t="e">
        <f t="shared" si="310"/>
        <v>#N/A</v>
      </c>
      <c r="AL250" s="49" t="e">
        <f t="shared" si="311"/>
        <v>#N/A</v>
      </c>
      <c r="AM250" s="25">
        <f t="shared" si="291"/>
        <v>30</v>
      </c>
      <c r="AN250" s="25">
        <f t="shared" si="292"/>
        <v>30</v>
      </c>
      <c r="AO250" s="25">
        <f t="shared" si="293"/>
        <v>30</v>
      </c>
      <c r="AP250" s="52" t="e">
        <f t="shared" si="312"/>
        <v>#N/A</v>
      </c>
      <c r="AQ250" s="53" t="e">
        <f t="shared" si="312"/>
        <v>#N/A</v>
      </c>
      <c r="AR250" s="54" t="e">
        <f t="shared" si="312"/>
        <v>#N/A</v>
      </c>
      <c r="AS250" s="316">
        <f t="shared" si="367"/>
        <v>0</v>
      </c>
      <c r="AT250" s="106">
        <f>_xlfn.IFNA($M250/VLOOKUP($BT250,'Unit information'!$A$2:$K$29,2,FALSE)*R250,0)*(1+$E$9)</f>
        <v>0</v>
      </c>
      <c r="AU250" s="107">
        <f>_xlfn.IFNA($M250/VLOOKUP($BT250,'Unit information'!$A$2:$K$29,3,FALSE)*S250,0)*(1+$E$9)</f>
        <v>0</v>
      </c>
      <c r="AV250" s="107">
        <f>_xlfn.IFNA($M250/VLOOKUP($BT250,'Unit information'!$A$2:$K$29,4,FALSE)*T250,0)*(1+$E$9)</f>
        <v>0</v>
      </c>
      <c r="AW250" s="107">
        <f>_xlfn.IFNA($M250/VLOOKUP($BT250,'Unit information'!$A$2:$K$29,5,FALSE)*U250,0)*(1+$E$9)</f>
        <v>0</v>
      </c>
      <c r="AX250" s="107">
        <f>_xlfn.IFNA($M250/VLOOKUP($BU250,'Unit information'!$A$2:$K$29,6,FALSE)*V250,0)*(1+$E$9)</f>
        <v>0</v>
      </c>
      <c r="AY250" s="107">
        <f>_xlfn.IFNA($M250/VLOOKUP($BU250,'Unit information'!$A$2:$K$29,7,FALSE)*W250,0)*(1+$E$9)</f>
        <v>0</v>
      </c>
      <c r="AZ250" s="107">
        <f>_xlfn.IFNA($M250/VLOOKUP($BU250,'Unit information'!$A$2:$K$29,8,FALSE)*X250,0)*(1+$E$9)</f>
        <v>0</v>
      </c>
      <c r="BA250" s="107">
        <f>_xlfn.IFNA($M250/VLOOKUP($BU250,'Unit information'!$A$2:$K$29,9,FALSE)*Y250,0)*(1+$E$9)</f>
        <v>0</v>
      </c>
      <c r="BB250" s="107">
        <f>_xlfn.IFNA($M250/VLOOKUP($BV250,'Unit information'!$A$2:$K$29,10,FALSE)*Z250,0)*(1+$E$9)</f>
        <v>0</v>
      </c>
      <c r="BC250" s="108">
        <f>_xlfn.IFNA($M250/VLOOKUP($BV250,'Unit information'!$A$2:$K$29,11,FALSE)*AA250,0)*(1+$E$9)</f>
        <v>0</v>
      </c>
      <c r="BD250" s="106">
        <f t="shared" si="294"/>
        <v>0</v>
      </c>
      <c r="BE250" s="107">
        <f t="shared" si="295"/>
        <v>0</v>
      </c>
      <c r="BF250" s="108">
        <f t="shared" si="296"/>
        <v>0</v>
      </c>
      <c r="BG250" s="25" t="e">
        <f t="shared" si="297"/>
        <v>#N/A</v>
      </c>
      <c r="BH250" s="25" t="e">
        <f t="shared" si="298"/>
        <v>#N/A</v>
      </c>
      <c r="BI250" s="25" t="e">
        <f t="shared" si="299"/>
        <v>#N/A</v>
      </c>
      <c r="BJ250" s="27" t="e">
        <f t="shared" si="300"/>
        <v>#N/A</v>
      </c>
      <c r="BK250" s="18" t="e">
        <f t="shared" si="301"/>
        <v>#N/A</v>
      </c>
      <c r="BL250" s="18" t="e">
        <f t="shared" si="302"/>
        <v>#N/A</v>
      </c>
      <c r="BM250" s="28" t="e">
        <f t="shared" si="347"/>
        <v>#N/A</v>
      </c>
      <c r="BN250" s="33">
        <f>HLOOKUP("maximum population",Miscelaneous!$C$1:$C$33,CH250+3,FALSE)</f>
        <v>240</v>
      </c>
      <c r="BO250" s="14">
        <f t="shared" si="313"/>
        <v>32</v>
      </c>
      <c r="BP250" s="14">
        <f t="shared" si="314"/>
        <v>0</v>
      </c>
      <c r="BQ250" s="14">
        <f t="shared" si="315"/>
        <v>208</v>
      </c>
      <c r="BR250" s="34" t="e">
        <f>HLOOKUP(J250,Villagers!$B$1:$V$33,L250+3,FALSE)-HLOOKUP(J250,Villagers!$B$1:$V$33,L250+2,FALSE)</f>
        <v>#N/A</v>
      </c>
      <c r="BS250" s="49">
        <f t="shared" si="316"/>
        <v>1</v>
      </c>
      <c r="BT250" s="50">
        <f t="shared" si="317"/>
        <v>0</v>
      </c>
      <c r="BU250" s="50">
        <f t="shared" si="318"/>
        <v>0</v>
      </c>
      <c r="BV250" s="50">
        <f t="shared" si="319"/>
        <v>0</v>
      </c>
      <c r="BW250" s="50">
        <f t="shared" si="363"/>
        <v>0</v>
      </c>
      <c r="BX250" s="50">
        <f t="shared" si="364"/>
        <v>0</v>
      </c>
      <c r="BY250" s="50">
        <f t="shared" si="364"/>
        <v>0</v>
      </c>
      <c r="BZ250" s="50">
        <f t="shared" si="350"/>
        <v>0</v>
      </c>
      <c r="CA250" s="50">
        <f t="shared" si="351"/>
        <v>0</v>
      </c>
      <c r="CB250" s="50">
        <f t="shared" si="352"/>
        <v>1</v>
      </c>
      <c r="CC250" s="50">
        <f t="shared" si="353"/>
        <v>0</v>
      </c>
      <c r="CD250" s="50">
        <f t="shared" si="354"/>
        <v>0</v>
      </c>
      <c r="CE250" s="50">
        <f t="shared" si="355"/>
        <v>1</v>
      </c>
      <c r="CF250" s="50">
        <f t="shared" si="356"/>
        <v>1</v>
      </c>
      <c r="CG250" s="50">
        <f t="shared" si="357"/>
        <v>1</v>
      </c>
      <c r="CH250" s="50">
        <f t="shared" si="358"/>
        <v>1</v>
      </c>
      <c r="CI250" s="50">
        <f t="shared" si="359"/>
        <v>1</v>
      </c>
      <c r="CJ250" s="50">
        <f t="shared" si="360"/>
        <v>1</v>
      </c>
      <c r="CK250" s="50">
        <f t="shared" si="360"/>
        <v>0</v>
      </c>
      <c r="CL250" s="50">
        <f t="shared" si="360"/>
        <v>0</v>
      </c>
      <c r="CM250" s="51">
        <f t="shared" si="366"/>
        <v>0</v>
      </c>
      <c r="CN250" s="33">
        <f>ROUND(IF(BS250=0,0,HLOOKUP(BS$14,Villagers!$B$1:$V$33,BS250+3,FALSE)),)</f>
        <v>5</v>
      </c>
      <c r="CO250" s="14">
        <f>ROUND(IF(BT250=0,0,HLOOKUP(BT$14,Villagers!$B$1:$V$33,BT250+3,FALSE)),)</f>
        <v>0</v>
      </c>
      <c r="CP250" s="14">
        <f>ROUND(IF(BU250=0,0,HLOOKUP(BU$14,Villagers!$B$1:$V$33,BU250+3,FALSE)),)</f>
        <v>0</v>
      </c>
      <c r="CQ250" s="14">
        <f>ROUND(IF(BV250=0,0,HLOOKUP(BV$14,Villagers!$B$1:$V$33,BV250+3,FALSE)),)</f>
        <v>0</v>
      </c>
      <c r="CR250" s="14">
        <f>ROUND(IF(BW250=0,0,HLOOKUP(BW$14,Villagers!$B$1:$V$33,BW250+3,FALSE)),)</f>
        <v>0</v>
      </c>
      <c r="CS250" s="14">
        <f>ROUND(IF(BX250=0,0,HLOOKUP(BX$14,Villagers!$B$1:$V$33,BX250+3,FALSE)),)</f>
        <v>0</v>
      </c>
      <c r="CT250" s="14">
        <f>ROUND(IF(BY250=0,0,HLOOKUP(BY$14,Villagers!$B$1:$V$33,BY250+3,FALSE)),)</f>
        <v>0</v>
      </c>
      <c r="CU250" s="14">
        <f>ROUND(IF(BZ250=0,0,HLOOKUP(BZ$14,Villagers!$B$1:$V$33,BZ250+3,FALSE)),)</f>
        <v>0</v>
      </c>
      <c r="CV250" s="14">
        <f>ROUND(IF(CA250=0,0,HLOOKUP(CA$14,Villagers!$B$1:$V$33,CA250+3,FALSE)),)</f>
        <v>0</v>
      </c>
      <c r="CW250" s="14">
        <f>ROUND(IF(CB250=0,0,HLOOKUP(CB$14,Villagers!$B$1:$V$33,CB250+3,FALSE)),)</f>
        <v>0</v>
      </c>
      <c r="CX250" s="14">
        <f>ROUND(IF(CC250=0,0,HLOOKUP(CC$14,Villagers!$B$1:$V$33,CC250+3,FALSE)),)</f>
        <v>0</v>
      </c>
      <c r="CY250" s="14">
        <f>ROUND(IF(CD250=0,0,HLOOKUP(CD$14,Villagers!$B$1:$V$33,CD250+3,FALSE)),)</f>
        <v>0</v>
      </c>
      <c r="CZ250" s="14">
        <f>ROUND(IF(CE250=0,0,HLOOKUP(CE$14,Villagers!$B$1:$V$33,CE250+3,FALSE)),)</f>
        <v>5</v>
      </c>
      <c r="DA250" s="14">
        <f>ROUND(IF(CF250=0,0,HLOOKUP(CF$14,Villagers!$B$1:$V$33,CF250+3,FALSE)),)</f>
        <v>10</v>
      </c>
      <c r="DB250" s="14">
        <f>ROUND(IF(CG250=0,0,HLOOKUP(CG$14,Villagers!$B$1:$V$33,CG250+3,FALSE)),)</f>
        <v>10</v>
      </c>
      <c r="DC250" s="14">
        <f>ROUND(IF(CH250=0,0,HLOOKUP(CH$14,Villagers!$B$1:$V$33,CH250+3,FALSE)),)</f>
        <v>0</v>
      </c>
      <c r="DD250" s="14">
        <f>ROUND(IF(CI250=0,0,HLOOKUP(CI$14,Villagers!$B$1:$V$33,CI250+3,FALSE)),)</f>
        <v>0</v>
      </c>
      <c r="DE250" s="14">
        <f>ROUND(IF(CJ250=0,0,HLOOKUP(CJ$14,Villagers!$B$1:$V$33,CJ250+3,FALSE)),)</f>
        <v>2</v>
      </c>
      <c r="DF250" s="370">
        <f>ROUND(IF(CK250=0,0,HLOOKUP(CK$14,Villagers!$B$1:$V$33,CK250+3,FALSE)),)</f>
        <v>0</v>
      </c>
      <c r="DG250" s="370">
        <f>ROUND(IF(CL250=0,0,HLOOKUP(CL$14,Villagers!$B$1:$V$33,CL250+3,FALSE)),)</f>
        <v>0</v>
      </c>
      <c r="DH250" s="34">
        <f>ROUND(IF(CM250=0,0,HLOOKUP(CM$14,Villagers!$B$1:$V$33,CM250+3,FALSE)),)</f>
        <v>0</v>
      </c>
      <c r="DI250" s="109">
        <f t="shared" si="336"/>
        <v>0</v>
      </c>
      <c r="DJ250" s="50">
        <f t="shared" si="337"/>
        <v>0</v>
      </c>
      <c r="DK250" s="50">
        <f t="shared" si="338"/>
        <v>0</v>
      </c>
      <c r="DL250" s="50">
        <f t="shared" si="339"/>
        <v>0</v>
      </c>
      <c r="DM250" s="50">
        <f t="shared" si="340"/>
        <v>0</v>
      </c>
      <c r="DN250" s="50">
        <f t="shared" si="341"/>
        <v>0</v>
      </c>
      <c r="DO250" s="50">
        <f t="shared" si="342"/>
        <v>0</v>
      </c>
      <c r="DP250" s="50">
        <f t="shared" si="343"/>
        <v>0</v>
      </c>
      <c r="DQ250" s="50">
        <f t="shared" si="321"/>
        <v>0</v>
      </c>
      <c r="DR250" s="50">
        <f t="shared" si="322"/>
        <v>0</v>
      </c>
      <c r="DS250" s="96">
        <f>Miscelaneous!$D$4*Miscelaneous!$D$2^($CI250-1)</f>
        <v>1000</v>
      </c>
      <c r="DT250" s="333">
        <f t="shared" si="303"/>
        <v>1</v>
      </c>
      <c r="DU250" s="81">
        <v>1</v>
      </c>
      <c r="DV250" s="79">
        <f t="shared" si="323"/>
        <v>0</v>
      </c>
      <c r="DW250" s="79">
        <f t="shared" si="324"/>
        <v>0</v>
      </c>
      <c r="DX250" s="79">
        <f t="shared" si="325"/>
        <v>0</v>
      </c>
      <c r="DY250" s="79">
        <v>1</v>
      </c>
      <c r="DZ250" s="79">
        <f t="shared" si="326"/>
        <v>0</v>
      </c>
      <c r="EA250" s="79">
        <f t="shared" si="327"/>
        <v>0</v>
      </c>
      <c r="EB250" s="79">
        <f t="shared" si="328"/>
        <v>0</v>
      </c>
      <c r="EC250" s="79">
        <f t="shared" si="329"/>
        <v>0</v>
      </c>
      <c r="ED250" s="79">
        <v>1</v>
      </c>
      <c r="EE250" s="79">
        <v>1</v>
      </c>
      <c r="EF250" s="79">
        <f t="shared" si="330"/>
        <v>0</v>
      </c>
      <c r="EG250" s="79">
        <v>1</v>
      </c>
      <c r="EH250" s="79">
        <v>1</v>
      </c>
      <c r="EI250" s="79">
        <v>1</v>
      </c>
      <c r="EJ250" s="79">
        <v>1</v>
      </c>
      <c r="EK250" s="79">
        <v>1</v>
      </c>
      <c r="EL250" s="79">
        <v>1</v>
      </c>
      <c r="EM250" s="143">
        <f t="shared" si="331"/>
        <v>0</v>
      </c>
      <c r="EN250" s="143">
        <f t="shared" si="332"/>
        <v>0</v>
      </c>
      <c r="EO250" s="82">
        <f t="shared" si="333"/>
        <v>0</v>
      </c>
    </row>
    <row r="251" spans="1:145" x14ac:dyDescent="0.25">
      <c r="A251">
        <v>237</v>
      </c>
      <c r="B251" s="172" t="e">
        <f t="shared" si="304"/>
        <v>#N/A</v>
      </c>
      <c r="C251" s="121" t="e">
        <f t="shared" si="283"/>
        <v>#N/A</v>
      </c>
      <c r="D251" s="122" t="e">
        <f t="shared" si="284"/>
        <v>#N/A</v>
      </c>
      <c r="E251" s="122" t="e">
        <f t="shared" si="285"/>
        <v>#N/A</v>
      </c>
      <c r="F251" s="176" t="e">
        <f t="shared" si="286"/>
        <v>#N/A</v>
      </c>
      <c r="G251" s="121">
        <f t="shared" si="305"/>
        <v>208</v>
      </c>
      <c r="H251" s="176" t="e">
        <f t="shared" si="306"/>
        <v>#N/A</v>
      </c>
      <c r="I251" s="48">
        <v>1</v>
      </c>
      <c r="J251" s="39"/>
      <c r="K251" s="350">
        <v>1</v>
      </c>
      <c r="L251" s="34" t="e">
        <f t="shared" si="287"/>
        <v>#N/A</v>
      </c>
      <c r="M251" s="38" t="e">
        <f>(HLOOKUP(J251,'Construction Times'!$B$3:$W$34,L251+2,FALSE)*HLOOKUP("hq modifier",'Construction Times'!$W$3:$W$34,BS251+2,FALSE))*(1-$H$9)</f>
        <v>#N/A</v>
      </c>
      <c r="N251" s="443" t="e">
        <f t="shared" si="307"/>
        <v>#N/A</v>
      </c>
      <c r="O251" s="444"/>
      <c r="P251" s="447" t="e">
        <f t="shared" si="308"/>
        <v>#N/A</v>
      </c>
      <c r="Q251" s="448"/>
      <c r="R251" s="103">
        <f t="shared" si="334"/>
        <v>0</v>
      </c>
      <c r="S251" s="104">
        <f t="shared" si="334"/>
        <v>0</v>
      </c>
      <c r="T251" s="104">
        <f t="shared" si="335"/>
        <v>0</v>
      </c>
      <c r="U251" s="104">
        <f t="shared" si="335"/>
        <v>0</v>
      </c>
      <c r="V251" s="104">
        <f t="shared" si="335"/>
        <v>9.9999999999999995E-8</v>
      </c>
      <c r="W251" s="104">
        <f t="shared" si="335"/>
        <v>0</v>
      </c>
      <c r="X251" s="104">
        <f t="shared" si="365"/>
        <v>0</v>
      </c>
      <c r="Y251" s="104">
        <f t="shared" si="365"/>
        <v>9.9999999999999995E-8</v>
      </c>
      <c r="Z251" s="104">
        <f t="shared" si="365"/>
        <v>9.9999999999999995E-8</v>
      </c>
      <c r="AA251" s="105">
        <f t="shared" si="365"/>
        <v>9.9999999999999995E-8</v>
      </c>
      <c r="AB251" s="101" t="e">
        <f>$DT251*HLOOKUP($J251,'Construction Costs (timber)'!$B$1:$V$32,'Construction Planner'!$L251+2,FALSE)</f>
        <v>#N/A</v>
      </c>
      <c r="AC251" s="14" t="e">
        <f>$DT251*HLOOKUP($J251,'Construction Costs (clay)'!$B$1:$V$32,'Construction Planner'!$L251+2,FALSE)</f>
        <v>#N/A</v>
      </c>
      <c r="AD251" s="14" t="e">
        <f>$DT251*HLOOKUP($J251,'Construction Costs (iron)'!$B$1:$V$32,'Construction Planner'!$L251+2,FALSE)</f>
        <v>#N/A</v>
      </c>
      <c r="AE251" s="34" t="e">
        <f t="shared" si="344"/>
        <v>#N/A</v>
      </c>
      <c r="AF251" s="33" t="e">
        <f t="shared" si="288"/>
        <v>#N/A</v>
      </c>
      <c r="AG251" s="14" t="e">
        <f t="shared" si="289"/>
        <v>#N/A</v>
      </c>
      <c r="AH251" s="14" t="e">
        <f t="shared" si="290"/>
        <v>#N/A</v>
      </c>
      <c r="AI251" s="34" t="e">
        <f t="shared" si="345"/>
        <v>#N/A</v>
      </c>
      <c r="AJ251" s="49" t="e">
        <f t="shared" si="309"/>
        <v>#N/A</v>
      </c>
      <c r="AK251" s="49" t="e">
        <f t="shared" si="310"/>
        <v>#N/A</v>
      </c>
      <c r="AL251" s="49" t="e">
        <f t="shared" si="311"/>
        <v>#N/A</v>
      </c>
      <c r="AM251" s="25">
        <f t="shared" si="291"/>
        <v>30</v>
      </c>
      <c r="AN251" s="25">
        <f t="shared" si="292"/>
        <v>30</v>
      </c>
      <c r="AO251" s="25">
        <f t="shared" si="293"/>
        <v>30</v>
      </c>
      <c r="AP251" s="52" t="e">
        <f t="shared" si="312"/>
        <v>#N/A</v>
      </c>
      <c r="AQ251" s="53" t="e">
        <f t="shared" si="312"/>
        <v>#N/A</v>
      </c>
      <c r="AR251" s="54" t="e">
        <f t="shared" si="312"/>
        <v>#N/A</v>
      </c>
      <c r="AS251" s="316">
        <f t="shared" si="367"/>
        <v>0</v>
      </c>
      <c r="AT251" s="106">
        <f>_xlfn.IFNA($M251/VLOOKUP($BT251,'Unit information'!$A$2:$K$29,2,FALSE)*R251,0)*(1+$E$9)</f>
        <v>0</v>
      </c>
      <c r="AU251" s="107">
        <f>_xlfn.IFNA($M251/VLOOKUP($BT251,'Unit information'!$A$2:$K$29,3,FALSE)*S251,0)*(1+$E$9)</f>
        <v>0</v>
      </c>
      <c r="AV251" s="107">
        <f>_xlfn.IFNA($M251/VLOOKUP($BT251,'Unit information'!$A$2:$K$29,4,FALSE)*T251,0)*(1+$E$9)</f>
        <v>0</v>
      </c>
      <c r="AW251" s="107">
        <f>_xlfn.IFNA($M251/VLOOKUP($BT251,'Unit information'!$A$2:$K$29,5,FALSE)*U251,0)*(1+$E$9)</f>
        <v>0</v>
      </c>
      <c r="AX251" s="107">
        <f>_xlfn.IFNA($M251/VLOOKUP($BU251,'Unit information'!$A$2:$K$29,6,FALSE)*V251,0)*(1+$E$9)</f>
        <v>0</v>
      </c>
      <c r="AY251" s="107">
        <f>_xlfn.IFNA($M251/VLOOKUP($BU251,'Unit information'!$A$2:$K$29,7,FALSE)*W251,0)*(1+$E$9)</f>
        <v>0</v>
      </c>
      <c r="AZ251" s="107">
        <f>_xlfn.IFNA($M251/VLOOKUP($BU251,'Unit information'!$A$2:$K$29,8,FALSE)*X251,0)*(1+$E$9)</f>
        <v>0</v>
      </c>
      <c r="BA251" s="107">
        <f>_xlfn.IFNA($M251/VLOOKUP($BU251,'Unit information'!$A$2:$K$29,9,FALSE)*Y251,0)*(1+$E$9)</f>
        <v>0</v>
      </c>
      <c r="BB251" s="107">
        <f>_xlfn.IFNA($M251/VLOOKUP($BV251,'Unit information'!$A$2:$K$29,10,FALSE)*Z251,0)*(1+$E$9)</f>
        <v>0</v>
      </c>
      <c r="BC251" s="108">
        <f>_xlfn.IFNA($M251/VLOOKUP($BV251,'Unit information'!$A$2:$K$29,11,FALSE)*AA251,0)*(1+$E$9)</f>
        <v>0</v>
      </c>
      <c r="BD251" s="106">
        <f t="shared" si="294"/>
        <v>0</v>
      </c>
      <c r="BE251" s="107">
        <f t="shared" si="295"/>
        <v>0</v>
      </c>
      <c r="BF251" s="108">
        <f t="shared" si="296"/>
        <v>0</v>
      </c>
      <c r="BG251" s="25" t="e">
        <f t="shared" si="297"/>
        <v>#N/A</v>
      </c>
      <c r="BH251" s="25" t="e">
        <f t="shared" si="298"/>
        <v>#N/A</v>
      </c>
      <c r="BI251" s="25" t="e">
        <f t="shared" si="299"/>
        <v>#N/A</v>
      </c>
      <c r="BJ251" s="27" t="e">
        <f t="shared" si="300"/>
        <v>#N/A</v>
      </c>
      <c r="BK251" s="18" t="e">
        <f t="shared" si="301"/>
        <v>#N/A</v>
      </c>
      <c r="BL251" s="18" t="e">
        <f t="shared" si="302"/>
        <v>#N/A</v>
      </c>
      <c r="BM251" s="28" t="e">
        <f t="shared" si="347"/>
        <v>#N/A</v>
      </c>
      <c r="BN251" s="33">
        <f>HLOOKUP("maximum population",Miscelaneous!$C$1:$C$33,CH251+3,FALSE)</f>
        <v>240</v>
      </c>
      <c r="BO251" s="14">
        <f t="shared" si="313"/>
        <v>32</v>
      </c>
      <c r="BP251" s="14">
        <f t="shared" si="314"/>
        <v>0</v>
      </c>
      <c r="BQ251" s="14">
        <f t="shared" si="315"/>
        <v>208</v>
      </c>
      <c r="BR251" s="34" t="e">
        <f>HLOOKUP(J251,Villagers!$B$1:$V$33,L251+3,FALSE)-HLOOKUP(J251,Villagers!$B$1:$V$33,L251+2,FALSE)</f>
        <v>#N/A</v>
      </c>
      <c r="BS251" s="49">
        <f t="shared" si="316"/>
        <v>1</v>
      </c>
      <c r="BT251" s="50">
        <f t="shared" si="317"/>
        <v>0</v>
      </c>
      <c r="BU251" s="50">
        <f t="shared" si="318"/>
        <v>0</v>
      </c>
      <c r="BV251" s="50">
        <f t="shared" si="319"/>
        <v>0</v>
      </c>
      <c r="BW251" s="50">
        <f t="shared" si="363"/>
        <v>0</v>
      </c>
      <c r="BX251" s="50">
        <f t="shared" si="364"/>
        <v>0</v>
      </c>
      <c r="BY251" s="50">
        <f t="shared" si="364"/>
        <v>0</v>
      </c>
      <c r="BZ251" s="50">
        <f t="shared" si="350"/>
        <v>0</v>
      </c>
      <c r="CA251" s="50">
        <f t="shared" si="351"/>
        <v>0</v>
      </c>
      <c r="CB251" s="50">
        <f t="shared" si="352"/>
        <v>1</v>
      </c>
      <c r="CC251" s="50">
        <f t="shared" si="353"/>
        <v>0</v>
      </c>
      <c r="CD251" s="50">
        <f t="shared" si="354"/>
        <v>0</v>
      </c>
      <c r="CE251" s="50">
        <f t="shared" si="355"/>
        <v>1</v>
      </c>
      <c r="CF251" s="50">
        <f t="shared" si="356"/>
        <v>1</v>
      </c>
      <c r="CG251" s="50">
        <f t="shared" si="357"/>
        <v>1</v>
      </c>
      <c r="CH251" s="50">
        <f t="shared" si="358"/>
        <v>1</v>
      </c>
      <c r="CI251" s="50">
        <f t="shared" si="359"/>
        <v>1</v>
      </c>
      <c r="CJ251" s="50">
        <f t="shared" si="360"/>
        <v>1</v>
      </c>
      <c r="CK251" s="50">
        <f t="shared" si="360"/>
        <v>0</v>
      </c>
      <c r="CL251" s="50">
        <f t="shared" si="360"/>
        <v>0</v>
      </c>
      <c r="CM251" s="51">
        <f t="shared" si="366"/>
        <v>0</v>
      </c>
      <c r="CN251" s="33">
        <f>ROUND(IF(BS251=0,0,HLOOKUP(BS$14,Villagers!$B$1:$V$33,BS251+3,FALSE)),)</f>
        <v>5</v>
      </c>
      <c r="CO251" s="14">
        <f>ROUND(IF(BT251=0,0,HLOOKUP(BT$14,Villagers!$B$1:$V$33,BT251+3,FALSE)),)</f>
        <v>0</v>
      </c>
      <c r="CP251" s="14">
        <f>ROUND(IF(BU251=0,0,HLOOKUP(BU$14,Villagers!$B$1:$V$33,BU251+3,FALSE)),)</f>
        <v>0</v>
      </c>
      <c r="CQ251" s="14">
        <f>ROUND(IF(BV251=0,0,HLOOKUP(BV$14,Villagers!$B$1:$V$33,BV251+3,FALSE)),)</f>
        <v>0</v>
      </c>
      <c r="CR251" s="14">
        <f>ROUND(IF(BW251=0,0,HLOOKUP(BW$14,Villagers!$B$1:$V$33,BW251+3,FALSE)),)</f>
        <v>0</v>
      </c>
      <c r="CS251" s="14">
        <f>ROUND(IF(BX251=0,0,HLOOKUP(BX$14,Villagers!$B$1:$V$33,BX251+3,FALSE)),)</f>
        <v>0</v>
      </c>
      <c r="CT251" s="14">
        <f>ROUND(IF(BY251=0,0,HLOOKUP(BY$14,Villagers!$B$1:$V$33,BY251+3,FALSE)),)</f>
        <v>0</v>
      </c>
      <c r="CU251" s="14">
        <f>ROUND(IF(BZ251=0,0,HLOOKUP(BZ$14,Villagers!$B$1:$V$33,BZ251+3,FALSE)),)</f>
        <v>0</v>
      </c>
      <c r="CV251" s="14">
        <f>ROUND(IF(CA251=0,0,HLOOKUP(CA$14,Villagers!$B$1:$V$33,CA251+3,FALSE)),)</f>
        <v>0</v>
      </c>
      <c r="CW251" s="14">
        <f>ROUND(IF(CB251=0,0,HLOOKUP(CB$14,Villagers!$B$1:$V$33,CB251+3,FALSE)),)</f>
        <v>0</v>
      </c>
      <c r="CX251" s="14">
        <f>ROUND(IF(CC251=0,0,HLOOKUP(CC$14,Villagers!$B$1:$V$33,CC251+3,FALSE)),)</f>
        <v>0</v>
      </c>
      <c r="CY251" s="14">
        <f>ROUND(IF(CD251=0,0,HLOOKUP(CD$14,Villagers!$B$1:$V$33,CD251+3,FALSE)),)</f>
        <v>0</v>
      </c>
      <c r="CZ251" s="14">
        <f>ROUND(IF(CE251=0,0,HLOOKUP(CE$14,Villagers!$B$1:$V$33,CE251+3,FALSE)),)</f>
        <v>5</v>
      </c>
      <c r="DA251" s="14">
        <f>ROUND(IF(CF251=0,0,HLOOKUP(CF$14,Villagers!$B$1:$V$33,CF251+3,FALSE)),)</f>
        <v>10</v>
      </c>
      <c r="DB251" s="14">
        <f>ROUND(IF(CG251=0,0,HLOOKUP(CG$14,Villagers!$B$1:$V$33,CG251+3,FALSE)),)</f>
        <v>10</v>
      </c>
      <c r="DC251" s="14">
        <f>ROUND(IF(CH251=0,0,HLOOKUP(CH$14,Villagers!$B$1:$V$33,CH251+3,FALSE)),)</f>
        <v>0</v>
      </c>
      <c r="DD251" s="14">
        <f>ROUND(IF(CI251=0,0,HLOOKUP(CI$14,Villagers!$B$1:$V$33,CI251+3,FALSE)),)</f>
        <v>0</v>
      </c>
      <c r="DE251" s="14">
        <f>ROUND(IF(CJ251=0,0,HLOOKUP(CJ$14,Villagers!$B$1:$V$33,CJ251+3,FALSE)),)</f>
        <v>2</v>
      </c>
      <c r="DF251" s="370">
        <f>ROUND(IF(CK251=0,0,HLOOKUP(CK$14,Villagers!$B$1:$V$33,CK251+3,FALSE)),)</f>
        <v>0</v>
      </c>
      <c r="DG251" s="370">
        <f>ROUND(IF(CL251=0,0,HLOOKUP(CL$14,Villagers!$B$1:$V$33,CL251+3,FALSE)),)</f>
        <v>0</v>
      </c>
      <c r="DH251" s="34">
        <f>ROUND(IF(CM251=0,0,HLOOKUP(CM$14,Villagers!$B$1:$V$33,CM251+3,FALSE)),)</f>
        <v>0</v>
      </c>
      <c r="DI251" s="109">
        <f t="shared" si="336"/>
        <v>0</v>
      </c>
      <c r="DJ251" s="50">
        <f t="shared" si="337"/>
        <v>0</v>
      </c>
      <c r="DK251" s="50">
        <f t="shared" si="338"/>
        <v>0</v>
      </c>
      <c r="DL251" s="50">
        <f t="shared" si="339"/>
        <v>0</v>
      </c>
      <c r="DM251" s="50">
        <f t="shared" si="340"/>
        <v>0</v>
      </c>
      <c r="DN251" s="50">
        <f t="shared" si="341"/>
        <v>0</v>
      </c>
      <c r="DO251" s="50">
        <f t="shared" si="342"/>
        <v>0</v>
      </c>
      <c r="DP251" s="50">
        <f t="shared" si="343"/>
        <v>0</v>
      </c>
      <c r="DQ251" s="50">
        <f t="shared" si="321"/>
        <v>0</v>
      </c>
      <c r="DR251" s="50">
        <f t="shared" si="322"/>
        <v>0</v>
      </c>
      <c r="DS251" s="96">
        <f>Miscelaneous!$D$4*Miscelaneous!$D$2^($CI251-1)</f>
        <v>1000</v>
      </c>
      <c r="DT251" s="333">
        <f t="shared" si="303"/>
        <v>1</v>
      </c>
      <c r="DU251" s="81">
        <v>1</v>
      </c>
      <c r="DV251" s="79">
        <f t="shared" si="323"/>
        <v>0</v>
      </c>
      <c r="DW251" s="79">
        <f t="shared" si="324"/>
        <v>0</v>
      </c>
      <c r="DX251" s="79">
        <f t="shared" si="325"/>
        <v>0</v>
      </c>
      <c r="DY251" s="79">
        <v>1</v>
      </c>
      <c r="DZ251" s="79">
        <f t="shared" si="326"/>
        <v>0</v>
      </c>
      <c r="EA251" s="79">
        <f t="shared" si="327"/>
        <v>0</v>
      </c>
      <c r="EB251" s="79">
        <f t="shared" si="328"/>
        <v>0</v>
      </c>
      <c r="EC251" s="79">
        <f t="shared" si="329"/>
        <v>0</v>
      </c>
      <c r="ED251" s="79">
        <v>1</v>
      </c>
      <c r="EE251" s="79">
        <v>1</v>
      </c>
      <c r="EF251" s="79">
        <f t="shared" si="330"/>
        <v>0</v>
      </c>
      <c r="EG251" s="79">
        <v>1</v>
      </c>
      <c r="EH251" s="79">
        <v>1</v>
      </c>
      <c r="EI251" s="79">
        <v>1</v>
      </c>
      <c r="EJ251" s="79">
        <v>1</v>
      </c>
      <c r="EK251" s="79">
        <v>1</v>
      </c>
      <c r="EL251" s="79">
        <v>1</v>
      </c>
      <c r="EM251" s="143">
        <f t="shared" si="331"/>
        <v>0</v>
      </c>
      <c r="EN251" s="143">
        <f t="shared" si="332"/>
        <v>0</v>
      </c>
      <c r="EO251" s="82">
        <f t="shared" si="333"/>
        <v>0</v>
      </c>
    </row>
    <row r="252" spans="1:145" x14ac:dyDescent="0.25">
      <c r="A252">
        <v>238</v>
      </c>
      <c r="B252" s="172" t="e">
        <f t="shared" si="304"/>
        <v>#N/A</v>
      </c>
      <c r="C252" s="121" t="e">
        <f t="shared" si="283"/>
        <v>#N/A</v>
      </c>
      <c r="D252" s="122" t="e">
        <f t="shared" si="284"/>
        <v>#N/A</v>
      </c>
      <c r="E252" s="122" t="e">
        <f t="shared" si="285"/>
        <v>#N/A</v>
      </c>
      <c r="F252" s="176" t="e">
        <f t="shared" si="286"/>
        <v>#N/A</v>
      </c>
      <c r="G252" s="121">
        <f t="shared" si="305"/>
        <v>208</v>
      </c>
      <c r="H252" s="176" t="e">
        <f t="shared" si="306"/>
        <v>#N/A</v>
      </c>
      <c r="I252" s="48">
        <v>1</v>
      </c>
      <c r="J252" s="39"/>
      <c r="K252" s="350">
        <v>1</v>
      </c>
      <c r="L252" s="34" t="e">
        <f t="shared" si="287"/>
        <v>#N/A</v>
      </c>
      <c r="M252" s="38" t="e">
        <f>(HLOOKUP(J252,'Construction Times'!$B$3:$W$34,L252+2,FALSE)*HLOOKUP("hq modifier",'Construction Times'!$W$3:$W$34,BS252+2,FALSE))*(1-$H$9)</f>
        <v>#N/A</v>
      </c>
      <c r="N252" s="443" t="e">
        <f t="shared" si="307"/>
        <v>#N/A</v>
      </c>
      <c r="O252" s="444"/>
      <c r="P252" s="447" t="e">
        <f t="shared" si="308"/>
        <v>#N/A</v>
      </c>
      <c r="Q252" s="448"/>
      <c r="R252" s="103">
        <f t="shared" si="334"/>
        <v>0</v>
      </c>
      <c r="S252" s="104">
        <f t="shared" si="334"/>
        <v>0</v>
      </c>
      <c r="T252" s="104">
        <f t="shared" si="335"/>
        <v>0</v>
      </c>
      <c r="U252" s="104">
        <f t="shared" si="335"/>
        <v>0</v>
      </c>
      <c r="V252" s="104">
        <f t="shared" si="335"/>
        <v>9.9999999999999995E-8</v>
      </c>
      <c r="W252" s="104">
        <f t="shared" si="335"/>
        <v>0</v>
      </c>
      <c r="X252" s="104">
        <f t="shared" si="365"/>
        <v>0</v>
      </c>
      <c r="Y252" s="104">
        <f t="shared" si="365"/>
        <v>9.9999999999999995E-8</v>
      </c>
      <c r="Z252" s="104">
        <f t="shared" si="365"/>
        <v>9.9999999999999995E-8</v>
      </c>
      <c r="AA252" s="105">
        <f t="shared" si="365"/>
        <v>9.9999999999999995E-8</v>
      </c>
      <c r="AB252" s="101" t="e">
        <f>$DT252*HLOOKUP($J252,'Construction Costs (timber)'!$B$1:$V$32,'Construction Planner'!$L252+2,FALSE)</f>
        <v>#N/A</v>
      </c>
      <c r="AC252" s="14" t="e">
        <f>$DT252*HLOOKUP($J252,'Construction Costs (clay)'!$B$1:$V$32,'Construction Planner'!$L252+2,FALSE)</f>
        <v>#N/A</v>
      </c>
      <c r="AD252" s="14" t="e">
        <f>$DT252*HLOOKUP($J252,'Construction Costs (iron)'!$B$1:$V$32,'Construction Planner'!$L252+2,FALSE)</f>
        <v>#N/A</v>
      </c>
      <c r="AE252" s="34" t="e">
        <f t="shared" si="344"/>
        <v>#N/A</v>
      </c>
      <c r="AF252" s="33" t="e">
        <f t="shared" si="288"/>
        <v>#N/A</v>
      </c>
      <c r="AG252" s="14" t="e">
        <f t="shared" si="289"/>
        <v>#N/A</v>
      </c>
      <c r="AH252" s="14" t="e">
        <f t="shared" si="290"/>
        <v>#N/A</v>
      </c>
      <c r="AI252" s="34" t="e">
        <f t="shared" si="345"/>
        <v>#N/A</v>
      </c>
      <c r="AJ252" s="49" t="e">
        <f t="shared" si="309"/>
        <v>#N/A</v>
      </c>
      <c r="AK252" s="49" t="e">
        <f t="shared" si="310"/>
        <v>#N/A</v>
      </c>
      <c r="AL252" s="49" t="e">
        <f t="shared" si="311"/>
        <v>#N/A</v>
      </c>
      <c r="AM252" s="25">
        <f t="shared" si="291"/>
        <v>30</v>
      </c>
      <c r="AN252" s="25">
        <f t="shared" si="292"/>
        <v>30</v>
      </c>
      <c r="AO252" s="25">
        <f t="shared" si="293"/>
        <v>30</v>
      </c>
      <c r="AP252" s="52" t="e">
        <f t="shared" si="312"/>
        <v>#N/A</v>
      </c>
      <c r="AQ252" s="53" t="e">
        <f t="shared" si="312"/>
        <v>#N/A</v>
      </c>
      <c r="AR252" s="54" t="e">
        <f t="shared" si="312"/>
        <v>#N/A</v>
      </c>
      <c r="AS252" s="316">
        <f t="shared" si="367"/>
        <v>0</v>
      </c>
      <c r="AT252" s="106">
        <f>_xlfn.IFNA($M252/VLOOKUP($BT252,'Unit information'!$A$2:$K$29,2,FALSE)*R252,0)*(1+$E$9)</f>
        <v>0</v>
      </c>
      <c r="AU252" s="107">
        <f>_xlfn.IFNA($M252/VLOOKUP($BT252,'Unit information'!$A$2:$K$29,3,FALSE)*S252,0)*(1+$E$9)</f>
        <v>0</v>
      </c>
      <c r="AV252" s="107">
        <f>_xlfn.IFNA($M252/VLOOKUP($BT252,'Unit information'!$A$2:$K$29,4,FALSE)*T252,0)*(1+$E$9)</f>
        <v>0</v>
      </c>
      <c r="AW252" s="107">
        <f>_xlfn.IFNA($M252/VLOOKUP($BT252,'Unit information'!$A$2:$K$29,5,FALSE)*U252,0)*(1+$E$9)</f>
        <v>0</v>
      </c>
      <c r="AX252" s="107">
        <f>_xlfn.IFNA($M252/VLOOKUP($BU252,'Unit information'!$A$2:$K$29,6,FALSE)*V252,0)*(1+$E$9)</f>
        <v>0</v>
      </c>
      <c r="AY252" s="107">
        <f>_xlfn.IFNA($M252/VLOOKUP($BU252,'Unit information'!$A$2:$K$29,7,FALSE)*W252,0)*(1+$E$9)</f>
        <v>0</v>
      </c>
      <c r="AZ252" s="107">
        <f>_xlfn.IFNA($M252/VLOOKUP($BU252,'Unit information'!$A$2:$K$29,8,FALSE)*X252,0)*(1+$E$9)</f>
        <v>0</v>
      </c>
      <c r="BA252" s="107">
        <f>_xlfn.IFNA($M252/VLOOKUP($BU252,'Unit information'!$A$2:$K$29,9,FALSE)*Y252,0)*(1+$E$9)</f>
        <v>0</v>
      </c>
      <c r="BB252" s="107">
        <f>_xlfn.IFNA($M252/VLOOKUP($BV252,'Unit information'!$A$2:$K$29,10,FALSE)*Z252,0)*(1+$E$9)</f>
        <v>0</v>
      </c>
      <c r="BC252" s="108">
        <f>_xlfn.IFNA($M252/VLOOKUP($BV252,'Unit information'!$A$2:$K$29,11,FALSE)*AA252,0)*(1+$E$9)</f>
        <v>0</v>
      </c>
      <c r="BD252" s="106">
        <f t="shared" si="294"/>
        <v>0</v>
      </c>
      <c r="BE252" s="107">
        <f t="shared" si="295"/>
        <v>0</v>
      </c>
      <c r="BF252" s="108">
        <f t="shared" si="296"/>
        <v>0</v>
      </c>
      <c r="BG252" s="25" t="e">
        <f t="shared" si="297"/>
        <v>#N/A</v>
      </c>
      <c r="BH252" s="25" t="e">
        <f t="shared" si="298"/>
        <v>#N/A</v>
      </c>
      <c r="BI252" s="25" t="e">
        <f t="shared" si="299"/>
        <v>#N/A</v>
      </c>
      <c r="BJ252" s="27" t="e">
        <f t="shared" si="300"/>
        <v>#N/A</v>
      </c>
      <c r="BK252" s="18" t="e">
        <f t="shared" si="301"/>
        <v>#N/A</v>
      </c>
      <c r="BL252" s="18" t="e">
        <f t="shared" si="302"/>
        <v>#N/A</v>
      </c>
      <c r="BM252" s="28" t="e">
        <f t="shared" si="347"/>
        <v>#N/A</v>
      </c>
      <c r="BN252" s="33">
        <f>HLOOKUP("maximum population",Miscelaneous!$C$1:$C$33,CH252+3,FALSE)</f>
        <v>240</v>
      </c>
      <c r="BO252" s="14">
        <f t="shared" si="313"/>
        <v>32</v>
      </c>
      <c r="BP252" s="14">
        <f t="shared" si="314"/>
        <v>0</v>
      </c>
      <c r="BQ252" s="14">
        <f t="shared" si="315"/>
        <v>208</v>
      </c>
      <c r="BR252" s="34" t="e">
        <f>HLOOKUP(J252,Villagers!$B$1:$V$33,L252+3,FALSE)-HLOOKUP(J252,Villagers!$B$1:$V$33,L252+2,FALSE)</f>
        <v>#N/A</v>
      </c>
      <c r="BS252" s="49">
        <f t="shared" si="316"/>
        <v>1</v>
      </c>
      <c r="BT252" s="50">
        <f t="shared" si="317"/>
        <v>0</v>
      </c>
      <c r="BU252" s="50">
        <f t="shared" si="318"/>
        <v>0</v>
      </c>
      <c r="BV252" s="50">
        <f t="shared" si="319"/>
        <v>0</v>
      </c>
      <c r="BW252" s="50">
        <f t="shared" si="363"/>
        <v>0</v>
      </c>
      <c r="BX252" s="50">
        <f t="shared" si="364"/>
        <v>0</v>
      </c>
      <c r="BY252" s="50">
        <f t="shared" si="364"/>
        <v>0</v>
      </c>
      <c r="BZ252" s="50">
        <f t="shared" si="350"/>
        <v>0</v>
      </c>
      <c r="CA252" s="50">
        <f t="shared" si="351"/>
        <v>0</v>
      </c>
      <c r="CB252" s="50">
        <f t="shared" si="352"/>
        <v>1</v>
      </c>
      <c r="CC252" s="50">
        <f t="shared" si="353"/>
        <v>0</v>
      </c>
      <c r="CD252" s="50">
        <f t="shared" si="354"/>
        <v>0</v>
      </c>
      <c r="CE252" s="50">
        <f t="shared" si="355"/>
        <v>1</v>
      </c>
      <c r="CF252" s="50">
        <f t="shared" si="356"/>
        <v>1</v>
      </c>
      <c r="CG252" s="50">
        <f t="shared" si="357"/>
        <v>1</v>
      </c>
      <c r="CH252" s="50">
        <f t="shared" si="358"/>
        <v>1</v>
      </c>
      <c r="CI252" s="50">
        <f t="shared" si="359"/>
        <v>1</v>
      </c>
      <c r="CJ252" s="50">
        <f t="shared" si="360"/>
        <v>1</v>
      </c>
      <c r="CK252" s="50">
        <f t="shared" si="360"/>
        <v>0</v>
      </c>
      <c r="CL252" s="50">
        <f t="shared" si="360"/>
        <v>0</v>
      </c>
      <c r="CM252" s="51">
        <f t="shared" si="366"/>
        <v>0</v>
      </c>
      <c r="CN252" s="33">
        <f>ROUND(IF(BS252=0,0,HLOOKUP(BS$14,Villagers!$B$1:$V$33,BS252+3,FALSE)),)</f>
        <v>5</v>
      </c>
      <c r="CO252" s="14">
        <f>ROUND(IF(BT252=0,0,HLOOKUP(BT$14,Villagers!$B$1:$V$33,BT252+3,FALSE)),)</f>
        <v>0</v>
      </c>
      <c r="CP252" s="14">
        <f>ROUND(IF(BU252=0,0,HLOOKUP(BU$14,Villagers!$B$1:$V$33,BU252+3,FALSE)),)</f>
        <v>0</v>
      </c>
      <c r="CQ252" s="14">
        <f>ROUND(IF(BV252=0,0,HLOOKUP(BV$14,Villagers!$B$1:$V$33,BV252+3,FALSE)),)</f>
        <v>0</v>
      </c>
      <c r="CR252" s="14">
        <f>ROUND(IF(BW252=0,0,HLOOKUP(BW$14,Villagers!$B$1:$V$33,BW252+3,FALSE)),)</f>
        <v>0</v>
      </c>
      <c r="CS252" s="14">
        <f>ROUND(IF(BX252=0,0,HLOOKUP(BX$14,Villagers!$B$1:$V$33,BX252+3,FALSE)),)</f>
        <v>0</v>
      </c>
      <c r="CT252" s="14">
        <f>ROUND(IF(BY252=0,0,HLOOKUP(BY$14,Villagers!$B$1:$V$33,BY252+3,FALSE)),)</f>
        <v>0</v>
      </c>
      <c r="CU252" s="14">
        <f>ROUND(IF(BZ252=0,0,HLOOKUP(BZ$14,Villagers!$B$1:$V$33,BZ252+3,FALSE)),)</f>
        <v>0</v>
      </c>
      <c r="CV252" s="14">
        <f>ROUND(IF(CA252=0,0,HLOOKUP(CA$14,Villagers!$B$1:$V$33,CA252+3,FALSE)),)</f>
        <v>0</v>
      </c>
      <c r="CW252" s="14">
        <f>ROUND(IF(CB252=0,0,HLOOKUP(CB$14,Villagers!$B$1:$V$33,CB252+3,FALSE)),)</f>
        <v>0</v>
      </c>
      <c r="CX252" s="14">
        <f>ROUND(IF(CC252=0,0,HLOOKUP(CC$14,Villagers!$B$1:$V$33,CC252+3,FALSE)),)</f>
        <v>0</v>
      </c>
      <c r="CY252" s="14">
        <f>ROUND(IF(CD252=0,0,HLOOKUP(CD$14,Villagers!$B$1:$V$33,CD252+3,FALSE)),)</f>
        <v>0</v>
      </c>
      <c r="CZ252" s="14">
        <f>ROUND(IF(CE252=0,0,HLOOKUP(CE$14,Villagers!$B$1:$V$33,CE252+3,FALSE)),)</f>
        <v>5</v>
      </c>
      <c r="DA252" s="14">
        <f>ROUND(IF(CF252=0,0,HLOOKUP(CF$14,Villagers!$B$1:$V$33,CF252+3,FALSE)),)</f>
        <v>10</v>
      </c>
      <c r="DB252" s="14">
        <f>ROUND(IF(CG252=0,0,HLOOKUP(CG$14,Villagers!$B$1:$V$33,CG252+3,FALSE)),)</f>
        <v>10</v>
      </c>
      <c r="DC252" s="14">
        <f>ROUND(IF(CH252=0,0,HLOOKUP(CH$14,Villagers!$B$1:$V$33,CH252+3,FALSE)),)</f>
        <v>0</v>
      </c>
      <c r="DD252" s="14">
        <f>ROUND(IF(CI252=0,0,HLOOKUP(CI$14,Villagers!$B$1:$V$33,CI252+3,FALSE)),)</f>
        <v>0</v>
      </c>
      <c r="DE252" s="14">
        <f>ROUND(IF(CJ252=0,0,HLOOKUP(CJ$14,Villagers!$B$1:$V$33,CJ252+3,FALSE)),)</f>
        <v>2</v>
      </c>
      <c r="DF252" s="370">
        <f>ROUND(IF(CK252=0,0,HLOOKUP(CK$14,Villagers!$B$1:$V$33,CK252+3,FALSE)),)</f>
        <v>0</v>
      </c>
      <c r="DG252" s="370">
        <f>ROUND(IF(CL252=0,0,HLOOKUP(CL$14,Villagers!$B$1:$V$33,CL252+3,FALSE)),)</f>
        <v>0</v>
      </c>
      <c r="DH252" s="34">
        <f>ROUND(IF(CM252=0,0,HLOOKUP(CM$14,Villagers!$B$1:$V$33,CM252+3,FALSE)),)</f>
        <v>0</v>
      </c>
      <c r="DI252" s="109">
        <f t="shared" si="336"/>
        <v>0</v>
      </c>
      <c r="DJ252" s="50">
        <f t="shared" si="337"/>
        <v>0</v>
      </c>
      <c r="DK252" s="50">
        <f t="shared" si="338"/>
        <v>0</v>
      </c>
      <c r="DL252" s="50">
        <f t="shared" si="339"/>
        <v>0</v>
      </c>
      <c r="DM252" s="50">
        <f t="shared" si="340"/>
        <v>0</v>
      </c>
      <c r="DN252" s="50">
        <f t="shared" si="341"/>
        <v>0</v>
      </c>
      <c r="DO252" s="50">
        <f t="shared" si="342"/>
        <v>0</v>
      </c>
      <c r="DP252" s="50">
        <f t="shared" si="343"/>
        <v>0</v>
      </c>
      <c r="DQ252" s="50">
        <f t="shared" si="321"/>
        <v>0</v>
      </c>
      <c r="DR252" s="50">
        <f t="shared" si="322"/>
        <v>0</v>
      </c>
      <c r="DS252" s="96">
        <f>Miscelaneous!$D$4*Miscelaneous!$D$2^($CI252-1)</f>
        <v>1000</v>
      </c>
      <c r="DT252" s="333">
        <f t="shared" si="303"/>
        <v>1</v>
      </c>
      <c r="DU252" s="81">
        <v>1</v>
      </c>
      <c r="DV252" s="79">
        <f t="shared" si="323"/>
        <v>0</v>
      </c>
      <c r="DW252" s="79">
        <f t="shared" si="324"/>
        <v>0</v>
      </c>
      <c r="DX252" s="79">
        <f t="shared" si="325"/>
        <v>0</v>
      </c>
      <c r="DY252" s="79">
        <v>1</v>
      </c>
      <c r="DZ252" s="79">
        <f t="shared" si="326"/>
        <v>0</v>
      </c>
      <c r="EA252" s="79">
        <f t="shared" si="327"/>
        <v>0</v>
      </c>
      <c r="EB252" s="79">
        <f t="shared" si="328"/>
        <v>0</v>
      </c>
      <c r="EC252" s="79">
        <f t="shared" si="329"/>
        <v>0</v>
      </c>
      <c r="ED252" s="79">
        <v>1</v>
      </c>
      <c r="EE252" s="79">
        <v>1</v>
      </c>
      <c r="EF252" s="79">
        <f t="shared" si="330"/>
        <v>0</v>
      </c>
      <c r="EG252" s="79">
        <v>1</v>
      </c>
      <c r="EH252" s="79">
        <v>1</v>
      </c>
      <c r="EI252" s="79">
        <v>1</v>
      </c>
      <c r="EJ252" s="79">
        <v>1</v>
      </c>
      <c r="EK252" s="79">
        <v>1</v>
      </c>
      <c r="EL252" s="79">
        <v>1</v>
      </c>
      <c r="EM252" s="143">
        <f t="shared" si="331"/>
        <v>0</v>
      </c>
      <c r="EN252" s="143">
        <f t="shared" si="332"/>
        <v>0</v>
      </c>
      <c r="EO252" s="82">
        <f t="shared" si="333"/>
        <v>0</v>
      </c>
    </row>
    <row r="253" spans="1:145" x14ac:dyDescent="0.25">
      <c r="A253">
        <v>239</v>
      </c>
      <c r="B253" s="172" t="e">
        <f t="shared" si="304"/>
        <v>#N/A</v>
      </c>
      <c r="C253" s="121" t="e">
        <f t="shared" si="283"/>
        <v>#N/A</v>
      </c>
      <c r="D253" s="122" t="e">
        <f t="shared" si="284"/>
        <v>#N/A</v>
      </c>
      <c r="E253" s="122" t="e">
        <f t="shared" si="285"/>
        <v>#N/A</v>
      </c>
      <c r="F253" s="176" t="e">
        <f t="shared" si="286"/>
        <v>#N/A</v>
      </c>
      <c r="G253" s="121">
        <f t="shared" si="305"/>
        <v>208</v>
      </c>
      <c r="H253" s="176" t="e">
        <f t="shared" si="306"/>
        <v>#N/A</v>
      </c>
      <c r="I253" s="48">
        <v>1</v>
      </c>
      <c r="J253" s="39"/>
      <c r="K253" s="350">
        <v>1</v>
      </c>
      <c r="L253" s="34" t="e">
        <f t="shared" si="287"/>
        <v>#N/A</v>
      </c>
      <c r="M253" s="38" t="e">
        <f>(HLOOKUP(J253,'Construction Times'!$B$3:$W$34,L253+2,FALSE)*HLOOKUP("hq modifier",'Construction Times'!$W$3:$W$34,BS253+2,FALSE))*(1-$H$9)</f>
        <v>#N/A</v>
      </c>
      <c r="N253" s="443" t="e">
        <f t="shared" si="307"/>
        <v>#N/A</v>
      </c>
      <c r="O253" s="444"/>
      <c r="P253" s="447" t="e">
        <f t="shared" si="308"/>
        <v>#N/A</v>
      </c>
      <c r="Q253" s="448"/>
      <c r="R253" s="103">
        <f t="shared" si="334"/>
        <v>0</v>
      </c>
      <c r="S253" s="104">
        <f t="shared" si="334"/>
        <v>0</v>
      </c>
      <c r="T253" s="104">
        <f t="shared" si="335"/>
        <v>0</v>
      </c>
      <c r="U253" s="104">
        <f t="shared" si="335"/>
        <v>0</v>
      </c>
      <c r="V253" s="104">
        <f t="shared" si="335"/>
        <v>9.9999999999999995E-8</v>
      </c>
      <c r="W253" s="104">
        <f t="shared" si="335"/>
        <v>0</v>
      </c>
      <c r="X253" s="104">
        <f t="shared" si="365"/>
        <v>0</v>
      </c>
      <c r="Y253" s="104">
        <f t="shared" si="365"/>
        <v>9.9999999999999995E-8</v>
      </c>
      <c r="Z253" s="104">
        <f t="shared" si="365"/>
        <v>9.9999999999999995E-8</v>
      </c>
      <c r="AA253" s="105">
        <f t="shared" si="365"/>
        <v>9.9999999999999995E-8</v>
      </c>
      <c r="AB253" s="101" t="e">
        <f>$DT253*HLOOKUP($J253,'Construction Costs (timber)'!$B$1:$V$32,'Construction Planner'!$L253+2,FALSE)</f>
        <v>#N/A</v>
      </c>
      <c r="AC253" s="14" t="e">
        <f>$DT253*HLOOKUP($J253,'Construction Costs (clay)'!$B$1:$V$32,'Construction Planner'!$L253+2,FALSE)</f>
        <v>#N/A</v>
      </c>
      <c r="AD253" s="14" t="e">
        <f>$DT253*HLOOKUP($J253,'Construction Costs (iron)'!$B$1:$V$32,'Construction Planner'!$L253+2,FALSE)</f>
        <v>#N/A</v>
      </c>
      <c r="AE253" s="34" t="e">
        <f t="shared" si="344"/>
        <v>#N/A</v>
      </c>
      <c r="AF253" s="33" t="e">
        <f t="shared" si="288"/>
        <v>#N/A</v>
      </c>
      <c r="AG253" s="14" t="e">
        <f t="shared" si="289"/>
        <v>#N/A</v>
      </c>
      <c r="AH253" s="14" t="e">
        <f t="shared" si="290"/>
        <v>#N/A</v>
      </c>
      <c r="AI253" s="34" t="e">
        <f t="shared" si="345"/>
        <v>#N/A</v>
      </c>
      <c r="AJ253" s="49" t="e">
        <f t="shared" si="309"/>
        <v>#N/A</v>
      </c>
      <c r="AK253" s="49" t="e">
        <f t="shared" si="310"/>
        <v>#N/A</v>
      </c>
      <c r="AL253" s="49" t="e">
        <f t="shared" si="311"/>
        <v>#N/A</v>
      </c>
      <c r="AM253" s="25">
        <f t="shared" si="291"/>
        <v>30</v>
      </c>
      <c r="AN253" s="25">
        <f t="shared" si="292"/>
        <v>30</v>
      </c>
      <c r="AO253" s="25">
        <f t="shared" si="293"/>
        <v>30</v>
      </c>
      <c r="AP253" s="52" t="e">
        <f t="shared" si="312"/>
        <v>#N/A</v>
      </c>
      <c r="AQ253" s="53" t="e">
        <f t="shared" si="312"/>
        <v>#N/A</v>
      </c>
      <c r="AR253" s="54" t="e">
        <f t="shared" si="312"/>
        <v>#N/A</v>
      </c>
      <c r="AS253" s="316">
        <f t="shared" si="367"/>
        <v>0</v>
      </c>
      <c r="AT253" s="106">
        <f>_xlfn.IFNA($M253/VLOOKUP($BT253,'Unit information'!$A$2:$K$29,2,FALSE)*R253,0)*(1+$E$9)</f>
        <v>0</v>
      </c>
      <c r="AU253" s="107">
        <f>_xlfn.IFNA($M253/VLOOKUP($BT253,'Unit information'!$A$2:$K$29,3,FALSE)*S253,0)*(1+$E$9)</f>
        <v>0</v>
      </c>
      <c r="AV253" s="107">
        <f>_xlfn.IFNA($M253/VLOOKUP($BT253,'Unit information'!$A$2:$K$29,4,FALSE)*T253,0)*(1+$E$9)</f>
        <v>0</v>
      </c>
      <c r="AW253" s="107">
        <f>_xlfn.IFNA($M253/VLOOKUP($BT253,'Unit information'!$A$2:$K$29,5,FALSE)*U253,0)*(1+$E$9)</f>
        <v>0</v>
      </c>
      <c r="AX253" s="107">
        <f>_xlfn.IFNA($M253/VLOOKUP($BU253,'Unit information'!$A$2:$K$29,6,FALSE)*V253,0)*(1+$E$9)</f>
        <v>0</v>
      </c>
      <c r="AY253" s="107">
        <f>_xlfn.IFNA($M253/VLOOKUP($BU253,'Unit information'!$A$2:$K$29,7,FALSE)*W253,0)*(1+$E$9)</f>
        <v>0</v>
      </c>
      <c r="AZ253" s="107">
        <f>_xlfn.IFNA($M253/VLOOKUP($BU253,'Unit information'!$A$2:$K$29,8,FALSE)*X253,0)*(1+$E$9)</f>
        <v>0</v>
      </c>
      <c r="BA253" s="107">
        <f>_xlfn.IFNA($M253/VLOOKUP($BU253,'Unit information'!$A$2:$K$29,9,FALSE)*Y253,0)*(1+$E$9)</f>
        <v>0</v>
      </c>
      <c r="BB253" s="107">
        <f>_xlfn.IFNA($M253/VLOOKUP($BV253,'Unit information'!$A$2:$K$29,10,FALSE)*Z253,0)*(1+$E$9)</f>
        <v>0</v>
      </c>
      <c r="BC253" s="108">
        <f>_xlfn.IFNA($M253/VLOOKUP($BV253,'Unit information'!$A$2:$K$29,11,FALSE)*AA253,0)*(1+$E$9)</f>
        <v>0</v>
      </c>
      <c r="BD253" s="106">
        <f t="shared" si="294"/>
        <v>0</v>
      </c>
      <c r="BE253" s="107">
        <f t="shared" si="295"/>
        <v>0</v>
      </c>
      <c r="BF253" s="108">
        <f t="shared" si="296"/>
        <v>0</v>
      </c>
      <c r="BG253" s="25" t="e">
        <f t="shared" si="297"/>
        <v>#N/A</v>
      </c>
      <c r="BH253" s="25" t="e">
        <f t="shared" si="298"/>
        <v>#N/A</v>
      </c>
      <c r="BI253" s="25" t="e">
        <f t="shared" si="299"/>
        <v>#N/A</v>
      </c>
      <c r="BJ253" s="27" t="e">
        <f t="shared" si="300"/>
        <v>#N/A</v>
      </c>
      <c r="BK253" s="18" t="e">
        <f t="shared" si="301"/>
        <v>#N/A</v>
      </c>
      <c r="BL253" s="18" t="e">
        <f t="shared" si="302"/>
        <v>#N/A</v>
      </c>
      <c r="BM253" s="28" t="e">
        <f t="shared" si="347"/>
        <v>#N/A</v>
      </c>
      <c r="BN253" s="33">
        <f>HLOOKUP("maximum population",Miscelaneous!$C$1:$C$33,CH253+3,FALSE)</f>
        <v>240</v>
      </c>
      <c r="BO253" s="14">
        <f t="shared" si="313"/>
        <v>32</v>
      </c>
      <c r="BP253" s="14">
        <f t="shared" si="314"/>
        <v>0</v>
      </c>
      <c r="BQ253" s="14">
        <f t="shared" si="315"/>
        <v>208</v>
      </c>
      <c r="BR253" s="34" t="e">
        <f>HLOOKUP(J253,Villagers!$B$1:$V$33,L253+3,FALSE)-HLOOKUP(J253,Villagers!$B$1:$V$33,L253+2,FALSE)</f>
        <v>#N/A</v>
      </c>
      <c r="BS253" s="49">
        <f t="shared" si="316"/>
        <v>1</v>
      </c>
      <c r="BT253" s="50">
        <f t="shared" si="317"/>
        <v>0</v>
      </c>
      <c r="BU253" s="50">
        <f t="shared" si="318"/>
        <v>0</v>
      </c>
      <c r="BV253" s="50">
        <f t="shared" si="319"/>
        <v>0</v>
      </c>
      <c r="BW253" s="50">
        <f t="shared" si="363"/>
        <v>0</v>
      </c>
      <c r="BX253" s="50">
        <f t="shared" si="364"/>
        <v>0</v>
      </c>
      <c r="BY253" s="50">
        <f t="shared" si="364"/>
        <v>0</v>
      </c>
      <c r="BZ253" s="50">
        <f t="shared" si="350"/>
        <v>0</v>
      </c>
      <c r="CA253" s="50">
        <f t="shared" si="351"/>
        <v>0</v>
      </c>
      <c r="CB253" s="50">
        <f t="shared" si="352"/>
        <v>1</v>
      </c>
      <c r="CC253" s="50">
        <f t="shared" si="353"/>
        <v>0</v>
      </c>
      <c r="CD253" s="50">
        <f t="shared" si="354"/>
        <v>0</v>
      </c>
      <c r="CE253" s="50">
        <f t="shared" si="355"/>
        <v>1</v>
      </c>
      <c r="CF253" s="50">
        <f t="shared" si="356"/>
        <v>1</v>
      </c>
      <c r="CG253" s="50">
        <f t="shared" si="357"/>
        <v>1</v>
      </c>
      <c r="CH253" s="50">
        <f t="shared" si="358"/>
        <v>1</v>
      </c>
      <c r="CI253" s="50">
        <f t="shared" si="359"/>
        <v>1</v>
      </c>
      <c r="CJ253" s="50">
        <f t="shared" si="360"/>
        <v>1</v>
      </c>
      <c r="CK253" s="50">
        <f t="shared" si="360"/>
        <v>0</v>
      </c>
      <c r="CL253" s="50">
        <f t="shared" si="360"/>
        <v>0</v>
      </c>
      <c r="CM253" s="51">
        <f t="shared" si="366"/>
        <v>0</v>
      </c>
      <c r="CN253" s="33">
        <f>ROUND(IF(BS253=0,0,HLOOKUP(BS$14,Villagers!$B$1:$V$33,BS253+3,FALSE)),)</f>
        <v>5</v>
      </c>
      <c r="CO253" s="14">
        <f>ROUND(IF(BT253=0,0,HLOOKUP(BT$14,Villagers!$B$1:$V$33,BT253+3,FALSE)),)</f>
        <v>0</v>
      </c>
      <c r="CP253" s="14">
        <f>ROUND(IF(BU253=0,0,HLOOKUP(BU$14,Villagers!$B$1:$V$33,BU253+3,FALSE)),)</f>
        <v>0</v>
      </c>
      <c r="CQ253" s="14">
        <f>ROUND(IF(BV253=0,0,HLOOKUP(BV$14,Villagers!$B$1:$V$33,BV253+3,FALSE)),)</f>
        <v>0</v>
      </c>
      <c r="CR253" s="14">
        <f>ROUND(IF(BW253=0,0,HLOOKUP(BW$14,Villagers!$B$1:$V$33,BW253+3,FALSE)),)</f>
        <v>0</v>
      </c>
      <c r="CS253" s="14">
        <f>ROUND(IF(BX253=0,0,HLOOKUP(BX$14,Villagers!$B$1:$V$33,BX253+3,FALSE)),)</f>
        <v>0</v>
      </c>
      <c r="CT253" s="14">
        <f>ROUND(IF(BY253=0,0,HLOOKUP(BY$14,Villagers!$B$1:$V$33,BY253+3,FALSE)),)</f>
        <v>0</v>
      </c>
      <c r="CU253" s="14">
        <f>ROUND(IF(BZ253=0,0,HLOOKUP(BZ$14,Villagers!$B$1:$V$33,BZ253+3,FALSE)),)</f>
        <v>0</v>
      </c>
      <c r="CV253" s="14">
        <f>ROUND(IF(CA253=0,0,HLOOKUP(CA$14,Villagers!$B$1:$V$33,CA253+3,FALSE)),)</f>
        <v>0</v>
      </c>
      <c r="CW253" s="14">
        <f>ROUND(IF(CB253=0,0,HLOOKUP(CB$14,Villagers!$B$1:$V$33,CB253+3,FALSE)),)</f>
        <v>0</v>
      </c>
      <c r="CX253" s="14">
        <f>ROUND(IF(CC253=0,0,HLOOKUP(CC$14,Villagers!$B$1:$V$33,CC253+3,FALSE)),)</f>
        <v>0</v>
      </c>
      <c r="CY253" s="14">
        <f>ROUND(IF(CD253=0,0,HLOOKUP(CD$14,Villagers!$B$1:$V$33,CD253+3,FALSE)),)</f>
        <v>0</v>
      </c>
      <c r="CZ253" s="14">
        <f>ROUND(IF(CE253=0,0,HLOOKUP(CE$14,Villagers!$B$1:$V$33,CE253+3,FALSE)),)</f>
        <v>5</v>
      </c>
      <c r="DA253" s="14">
        <f>ROUND(IF(CF253=0,0,HLOOKUP(CF$14,Villagers!$B$1:$V$33,CF253+3,FALSE)),)</f>
        <v>10</v>
      </c>
      <c r="DB253" s="14">
        <f>ROUND(IF(CG253=0,0,HLOOKUP(CG$14,Villagers!$B$1:$V$33,CG253+3,FALSE)),)</f>
        <v>10</v>
      </c>
      <c r="DC253" s="14">
        <f>ROUND(IF(CH253=0,0,HLOOKUP(CH$14,Villagers!$B$1:$V$33,CH253+3,FALSE)),)</f>
        <v>0</v>
      </c>
      <c r="DD253" s="14">
        <f>ROUND(IF(CI253=0,0,HLOOKUP(CI$14,Villagers!$B$1:$V$33,CI253+3,FALSE)),)</f>
        <v>0</v>
      </c>
      <c r="DE253" s="14">
        <f>ROUND(IF(CJ253=0,0,HLOOKUP(CJ$14,Villagers!$B$1:$V$33,CJ253+3,FALSE)),)</f>
        <v>2</v>
      </c>
      <c r="DF253" s="370">
        <f>ROUND(IF(CK253=0,0,HLOOKUP(CK$14,Villagers!$B$1:$V$33,CK253+3,FALSE)),)</f>
        <v>0</v>
      </c>
      <c r="DG253" s="370">
        <f>ROUND(IF(CL253=0,0,HLOOKUP(CL$14,Villagers!$B$1:$V$33,CL253+3,FALSE)),)</f>
        <v>0</v>
      </c>
      <c r="DH253" s="34">
        <f>ROUND(IF(CM253=0,0,HLOOKUP(CM$14,Villagers!$B$1:$V$33,CM253+3,FALSE)),)</f>
        <v>0</v>
      </c>
      <c r="DI253" s="109">
        <f t="shared" si="336"/>
        <v>0</v>
      </c>
      <c r="DJ253" s="50">
        <f t="shared" si="337"/>
        <v>0</v>
      </c>
      <c r="DK253" s="50">
        <f t="shared" si="338"/>
        <v>0</v>
      </c>
      <c r="DL253" s="50">
        <f t="shared" si="339"/>
        <v>0</v>
      </c>
      <c r="DM253" s="50">
        <f t="shared" si="340"/>
        <v>0</v>
      </c>
      <c r="DN253" s="50">
        <f t="shared" si="341"/>
        <v>0</v>
      </c>
      <c r="DO253" s="50">
        <f t="shared" si="342"/>
        <v>0</v>
      </c>
      <c r="DP253" s="50">
        <f t="shared" si="343"/>
        <v>0</v>
      </c>
      <c r="DQ253" s="50">
        <f t="shared" si="321"/>
        <v>0</v>
      </c>
      <c r="DR253" s="50">
        <f t="shared" si="322"/>
        <v>0</v>
      </c>
      <c r="DS253" s="96">
        <f>Miscelaneous!$D$4*Miscelaneous!$D$2^($CI253-1)</f>
        <v>1000</v>
      </c>
      <c r="DT253" s="333">
        <f t="shared" si="303"/>
        <v>1</v>
      </c>
      <c r="DU253" s="81">
        <v>1</v>
      </c>
      <c r="DV253" s="79">
        <f t="shared" si="323"/>
        <v>0</v>
      </c>
      <c r="DW253" s="79">
        <f t="shared" si="324"/>
        <v>0</v>
      </c>
      <c r="DX253" s="79">
        <f t="shared" si="325"/>
        <v>0</v>
      </c>
      <c r="DY253" s="79">
        <v>1</v>
      </c>
      <c r="DZ253" s="79">
        <f t="shared" si="326"/>
        <v>0</v>
      </c>
      <c r="EA253" s="79">
        <f t="shared" si="327"/>
        <v>0</v>
      </c>
      <c r="EB253" s="79">
        <f t="shared" si="328"/>
        <v>0</v>
      </c>
      <c r="EC253" s="79">
        <f t="shared" si="329"/>
        <v>0</v>
      </c>
      <c r="ED253" s="79">
        <v>1</v>
      </c>
      <c r="EE253" s="79">
        <v>1</v>
      </c>
      <c r="EF253" s="79">
        <f t="shared" si="330"/>
        <v>0</v>
      </c>
      <c r="EG253" s="79">
        <v>1</v>
      </c>
      <c r="EH253" s="79">
        <v>1</v>
      </c>
      <c r="EI253" s="79">
        <v>1</v>
      </c>
      <c r="EJ253" s="79">
        <v>1</v>
      </c>
      <c r="EK253" s="79">
        <v>1</v>
      </c>
      <c r="EL253" s="79">
        <v>1</v>
      </c>
      <c r="EM253" s="143">
        <f t="shared" si="331"/>
        <v>0</v>
      </c>
      <c r="EN253" s="143">
        <f t="shared" si="332"/>
        <v>0</v>
      </c>
      <c r="EO253" s="82">
        <f t="shared" si="333"/>
        <v>0</v>
      </c>
    </row>
    <row r="254" spans="1:145" x14ac:dyDescent="0.25">
      <c r="A254">
        <v>240</v>
      </c>
      <c r="B254" s="172" t="e">
        <f t="shared" si="304"/>
        <v>#N/A</v>
      </c>
      <c r="C254" s="121" t="e">
        <f t="shared" si="283"/>
        <v>#N/A</v>
      </c>
      <c r="D254" s="122" t="e">
        <f t="shared" si="284"/>
        <v>#N/A</v>
      </c>
      <c r="E254" s="122" t="e">
        <f t="shared" si="285"/>
        <v>#N/A</v>
      </c>
      <c r="F254" s="176" t="e">
        <f t="shared" si="286"/>
        <v>#N/A</v>
      </c>
      <c r="G254" s="121">
        <f t="shared" si="305"/>
        <v>208</v>
      </c>
      <c r="H254" s="176" t="e">
        <f t="shared" si="306"/>
        <v>#N/A</v>
      </c>
      <c r="I254" s="48">
        <v>1</v>
      </c>
      <c r="J254" s="39"/>
      <c r="K254" s="350">
        <v>1</v>
      </c>
      <c r="L254" s="34" t="e">
        <f t="shared" si="287"/>
        <v>#N/A</v>
      </c>
      <c r="M254" s="38" t="e">
        <f>(HLOOKUP(J254,'Construction Times'!$B$3:$W$34,L254+2,FALSE)*HLOOKUP("hq modifier",'Construction Times'!$W$3:$W$34,BS254+2,FALSE))*(1-$H$9)</f>
        <v>#N/A</v>
      </c>
      <c r="N254" s="443" t="e">
        <f t="shared" si="307"/>
        <v>#N/A</v>
      </c>
      <c r="O254" s="444"/>
      <c r="P254" s="447" t="e">
        <f t="shared" si="308"/>
        <v>#N/A</v>
      </c>
      <c r="Q254" s="448"/>
      <c r="R254" s="103">
        <f t="shared" si="334"/>
        <v>0</v>
      </c>
      <c r="S254" s="104">
        <f t="shared" si="334"/>
        <v>0</v>
      </c>
      <c r="T254" s="104">
        <f t="shared" si="335"/>
        <v>0</v>
      </c>
      <c r="U254" s="104">
        <f t="shared" si="335"/>
        <v>0</v>
      </c>
      <c r="V254" s="104">
        <f t="shared" si="335"/>
        <v>9.9999999999999995E-8</v>
      </c>
      <c r="W254" s="104">
        <f t="shared" si="335"/>
        <v>0</v>
      </c>
      <c r="X254" s="104">
        <f t="shared" si="365"/>
        <v>0</v>
      </c>
      <c r="Y254" s="104">
        <f t="shared" si="365"/>
        <v>9.9999999999999995E-8</v>
      </c>
      <c r="Z254" s="104">
        <f t="shared" si="365"/>
        <v>9.9999999999999995E-8</v>
      </c>
      <c r="AA254" s="105">
        <f t="shared" si="365"/>
        <v>9.9999999999999995E-8</v>
      </c>
      <c r="AB254" s="101" t="e">
        <f>$DT254*HLOOKUP($J254,'Construction Costs (timber)'!$B$1:$V$32,'Construction Planner'!$L254+2,FALSE)</f>
        <v>#N/A</v>
      </c>
      <c r="AC254" s="14" t="e">
        <f>$DT254*HLOOKUP($J254,'Construction Costs (clay)'!$B$1:$V$32,'Construction Planner'!$L254+2,FALSE)</f>
        <v>#N/A</v>
      </c>
      <c r="AD254" s="14" t="e">
        <f>$DT254*HLOOKUP($J254,'Construction Costs (iron)'!$B$1:$V$32,'Construction Planner'!$L254+2,FALSE)</f>
        <v>#N/A</v>
      </c>
      <c r="AE254" s="34" t="e">
        <f t="shared" si="344"/>
        <v>#N/A</v>
      </c>
      <c r="AF254" s="33" t="e">
        <f t="shared" si="288"/>
        <v>#N/A</v>
      </c>
      <c r="AG254" s="14" t="e">
        <f t="shared" si="289"/>
        <v>#N/A</v>
      </c>
      <c r="AH254" s="14" t="e">
        <f t="shared" si="290"/>
        <v>#N/A</v>
      </c>
      <c r="AI254" s="34" t="e">
        <f t="shared" si="345"/>
        <v>#N/A</v>
      </c>
      <c r="AJ254" s="49" t="e">
        <f t="shared" si="309"/>
        <v>#N/A</v>
      </c>
      <c r="AK254" s="49" t="e">
        <f t="shared" si="310"/>
        <v>#N/A</v>
      </c>
      <c r="AL254" s="49" t="e">
        <f t="shared" si="311"/>
        <v>#N/A</v>
      </c>
      <c r="AM254" s="25">
        <f t="shared" si="291"/>
        <v>30</v>
      </c>
      <c r="AN254" s="25">
        <f t="shared" si="292"/>
        <v>30</v>
      </c>
      <c r="AO254" s="25">
        <f t="shared" si="293"/>
        <v>30</v>
      </c>
      <c r="AP254" s="52" t="e">
        <f t="shared" si="312"/>
        <v>#N/A</v>
      </c>
      <c r="AQ254" s="53" t="e">
        <f t="shared" si="312"/>
        <v>#N/A</v>
      </c>
      <c r="AR254" s="54" t="e">
        <f t="shared" si="312"/>
        <v>#N/A</v>
      </c>
      <c r="AS254" s="316">
        <f t="shared" si="367"/>
        <v>0</v>
      </c>
      <c r="AT254" s="106">
        <f>_xlfn.IFNA($M254/VLOOKUP($BT254,'Unit information'!$A$2:$K$29,2,FALSE)*R254,0)*(1+$E$9)</f>
        <v>0</v>
      </c>
      <c r="AU254" s="107">
        <f>_xlfn.IFNA($M254/VLOOKUP($BT254,'Unit information'!$A$2:$K$29,3,FALSE)*S254,0)*(1+$E$9)</f>
        <v>0</v>
      </c>
      <c r="AV254" s="107">
        <f>_xlfn.IFNA($M254/VLOOKUP($BT254,'Unit information'!$A$2:$K$29,4,FALSE)*T254,0)*(1+$E$9)</f>
        <v>0</v>
      </c>
      <c r="AW254" s="107">
        <f>_xlfn.IFNA($M254/VLOOKUP($BT254,'Unit information'!$A$2:$K$29,5,FALSE)*U254,0)*(1+$E$9)</f>
        <v>0</v>
      </c>
      <c r="AX254" s="107">
        <f>_xlfn.IFNA($M254/VLOOKUP($BU254,'Unit information'!$A$2:$K$29,6,FALSE)*V254,0)*(1+$E$9)</f>
        <v>0</v>
      </c>
      <c r="AY254" s="107">
        <f>_xlfn.IFNA($M254/VLOOKUP($BU254,'Unit information'!$A$2:$K$29,7,FALSE)*W254,0)*(1+$E$9)</f>
        <v>0</v>
      </c>
      <c r="AZ254" s="107">
        <f>_xlfn.IFNA($M254/VLOOKUP($BU254,'Unit information'!$A$2:$K$29,8,FALSE)*X254,0)*(1+$E$9)</f>
        <v>0</v>
      </c>
      <c r="BA254" s="107">
        <f>_xlfn.IFNA($M254/VLOOKUP($BU254,'Unit information'!$A$2:$K$29,9,FALSE)*Y254,0)*(1+$E$9)</f>
        <v>0</v>
      </c>
      <c r="BB254" s="107">
        <f>_xlfn.IFNA($M254/VLOOKUP($BV254,'Unit information'!$A$2:$K$29,10,FALSE)*Z254,0)*(1+$E$9)</f>
        <v>0</v>
      </c>
      <c r="BC254" s="108">
        <f>_xlfn.IFNA($M254/VLOOKUP($BV254,'Unit information'!$A$2:$K$29,11,FALSE)*AA254,0)*(1+$E$9)</f>
        <v>0</v>
      </c>
      <c r="BD254" s="106">
        <f t="shared" si="294"/>
        <v>0</v>
      </c>
      <c r="BE254" s="107">
        <f t="shared" si="295"/>
        <v>0</v>
      </c>
      <c r="BF254" s="108">
        <f t="shared" si="296"/>
        <v>0</v>
      </c>
      <c r="BG254" s="25" t="e">
        <f t="shared" si="297"/>
        <v>#N/A</v>
      </c>
      <c r="BH254" s="25" t="e">
        <f t="shared" si="298"/>
        <v>#N/A</v>
      </c>
      <c r="BI254" s="25" t="e">
        <f t="shared" si="299"/>
        <v>#N/A</v>
      </c>
      <c r="BJ254" s="27" t="e">
        <f t="shared" si="300"/>
        <v>#N/A</v>
      </c>
      <c r="BK254" s="18" t="e">
        <f t="shared" si="301"/>
        <v>#N/A</v>
      </c>
      <c r="BL254" s="18" t="e">
        <f t="shared" si="302"/>
        <v>#N/A</v>
      </c>
      <c r="BM254" s="28" t="e">
        <f t="shared" si="347"/>
        <v>#N/A</v>
      </c>
      <c r="BN254" s="33">
        <f>HLOOKUP("maximum population",Miscelaneous!$C$1:$C$33,CH254+3,FALSE)</f>
        <v>240</v>
      </c>
      <c r="BO254" s="14">
        <f t="shared" si="313"/>
        <v>32</v>
      </c>
      <c r="BP254" s="14">
        <f t="shared" si="314"/>
        <v>0</v>
      </c>
      <c r="BQ254" s="14">
        <f t="shared" si="315"/>
        <v>208</v>
      </c>
      <c r="BR254" s="34" t="e">
        <f>HLOOKUP(J254,Villagers!$B$1:$V$33,L254+3,FALSE)-HLOOKUP(J254,Villagers!$B$1:$V$33,L254+2,FALSE)</f>
        <v>#N/A</v>
      </c>
      <c r="BS254" s="49">
        <f t="shared" si="316"/>
        <v>1</v>
      </c>
      <c r="BT254" s="50">
        <f t="shared" si="317"/>
        <v>0</v>
      </c>
      <c r="BU254" s="50">
        <f t="shared" si="318"/>
        <v>0</v>
      </c>
      <c r="BV254" s="50">
        <f t="shared" si="319"/>
        <v>0</v>
      </c>
      <c r="BW254" s="50">
        <f t="shared" si="363"/>
        <v>0</v>
      </c>
      <c r="BX254" s="50">
        <f t="shared" si="364"/>
        <v>0</v>
      </c>
      <c r="BY254" s="50">
        <f t="shared" si="364"/>
        <v>0</v>
      </c>
      <c r="BZ254" s="50">
        <f t="shared" si="350"/>
        <v>0</v>
      </c>
      <c r="CA254" s="50">
        <f t="shared" si="351"/>
        <v>0</v>
      </c>
      <c r="CB254" s="50">
        <f t="shared" si="352"/>
        <v>1</v>
      </c>
      <c r="CC254" s="50">
        <f t="shared" si="353"/>
        <v>0</v>
      </c>
      <c r="CD254" s="50">
        <f t="shared" si="354"/>
        <v>0</v>
      </c>
      <c r="CE254" s="50">
        <f t="shared" si="355"/>
        <v>1</v>
      </c>
      <c r="CF254" s="50">
        <f t="shared" si="356"/>
        <v>1</v>
      </c>
      <c r="CG254" s="50">
        <f t="shared" si="357"/>
        <v>1</v>
      </c>
      <c r="CH254" s="50">
        <f t="shared" si="358"/>
        <v>1</v>
      </c>
      <c r="CI254" s="50">
        <f t="shared" si="359"/>
        <v>1</v>
      </c>
      <c r="CJ254" s="50">
        <f t="shared" si="360"/>
        <v>1</v>
      </c>
      <c r="CK254" s="50">
        <f t="shared" si="360"/>
        <v>0</v>
      </c>
      <c r="CL254" s="50">
        <f t="shared" si="360"/>
        <v>0</v>
      </c>
      <c r="CM254" s="51">
        <f t="shared" si="366"/>
        <v>0</v>
      </c>
      <c r="CN254" s="33">
        <f>ROUND(IF(BS254=0,0,HLOOKUP(BS$14,Villagers!$B$1:$V$33,BS254+3,FALSE)),)</f>
        <v>5</v>
      </c>
      <c r="CO254" s="14">
        <f>ROUND(IF(BT254=0,0,HLOOKUP(BT$14,Villagers!$B$1:$V$33,BT254+3,FALSE)),)</f>
        <v>0</v>
      </c>
      <c r="CP254" s="14">
        <f>ROUND(IF(BU254=0,0,HLOOKUP(BU$14,Villagers!$B$1:$V$33,BU254+3,FALSE)),)</f>
        <v>0</v>
      </c>
      <c r="CQ254" s="14">
        <f>ROUND(IF(BV254=0,0,HLOOKUP(BV$14,Villagers!$B$1:$V$33,BV254+3,FALSE)),)</f>
        <v>0</v>
      </c>
      <c r="CR254" s="14">
        <f>ROUND(IF(BW254=0,0,HLOOKUP(BW$14,Villagers!$B$1:$V$33,BW254+3,FALSE)),)</f>
        <v>0</v>
      </c>
      <c r="CS254" s="14">
        <f>ROUND(IF(BX254=0,0,HLOOKUP(BX$14,Villagers!$B$1:$V$33,BX254+3,FALSE)),)</f>
        <v>0</v>
      </c>
      <c r="CT254" s="14">
        <f>ROUND(IF(BY254=0,0,HLOOKUP(BY$14,Villagers!$B$1:$V$33,BY254+3,FALSE)),)</f>
        <v>0</v>
      </c>
      <c r="CU254" s="14">
        <f>ROUND(IF(BZ254=0,0,HLOOKUP(BZ$14,Villagers!$B$1:$V$33,BZ254+3,FALSE)),)</f>
        <v>0</v>
      </c>
      <c r="CV254" s="14">
        <f>ROUND(IF(CA254=0,0,HLOOKUP(CA$14,Villagers!$B$1:$V$33,CA254+3,FALSE)),)</f>
        <v>0</v>
      </c>
      <c r="CW254" s="14">
        <f>ROUND(IF(CB254=0,0,HLOOKUP(CB$14,Villagers!$B$1:$V$33,CB254+3,FALSE)),)</f>
        <v>0</v>
      </c>
      <c r="CX254" s="14">
        <f>ROUND(IF(CC254=0,0,HLOOKUP(CC$14,Villagers!$B$1:$V$33,CC254+3,FALSE)),)</f>
        <v>0</v>
      </c>
      <c r="CY254" s="14">
        <f>ROUND(IF(CD254=0,0,HLOOKUP(CD$14,Villagers!$B$1:$V$33,CD254+3,FALSE)),)</f>
        <v>0</v>
      </c>
      <c r="CZ254" s="14">
        <f>ROUND(IF(CE254=0,0,HLOOKUP(CE$14,Villagers!$B$1:$V$33,CE254+3,FALSE)),)</f>
        <v>5</v>
      </c>
      <c r="DA254" s="14">
        <f>ROUND(IF(CF254=0,0,HLOOKUP(CF$14,Villagers!$B$1:$V$33,CF254+3,FALSE)),)</f>
        <v>10</v>
      </c>
      <c r="DB254" s="14">
        <f>ROUND(IF(CG254=0,0,HLOOKUP(CG$14,Villagers!$B$1:$V$33,CG254+3,FALSE)),)</f>
        <v>10</v>
      </c>
      <c r="DC254" s="14">
        <f>ROUND(IF(CH254=0,0,HLOOKUP(CH$14,Villagers!$B$1:$V$33,CH254+3,FALSE)),)</f>
        <v>0</v>
      </c>
      <c r="DD254" s="14">
        <f>ROUND(IF(CI254=0,0,HLOOKUP(CI$14,Villagers!$B$1:$V$33,CI254+3,FALSE)),)</f>
        <v>0</v>
      </c>
      <c r="DE254" s="14">
        <f>ROUND(IF(CJ254=0,0,HLOOKUP(CJ$14,Villagers!$B$1:$V$33,CJ254+3,FALSE)),)</f>
        <v>2</v>
      </c>
      <c r="DF254" s="370">
        <f>ROUND(IF(CK254=0,0,HLOOKUP(CK$14,Villagers!$B$1:$V$33,CK254+3,FALSE)),)</f>
        <v>0</v>
      </c>
      <c r="DG254" s="370">
        <f>ROUND(IF(CL254=0,0,HLOOKUP(CL$14,Villagers!$B$1:$V$33,CL254+3,FALSE)),)</f>
        <v>0</v>
      </c>
      <c r="DH254" s="34">
        <f>ROUND(IF(CM254=0,0,HLOOKUP(CM$14,Villagers!$B$1:$V$33,CM254+3,FALSE)),)</f>
        <v>0</v>
      </c>
      <c r="DI254" s="109">
        <f t="shared" si="336"/>
        <v>0</v>
      </c>
      <c r="DJ254" s="50">
        <f t="shared" si="337"/>
        <v>0</v>
      </c>
      <c r="DK254" s="50">
        <f t="shared" si="338"/>
        <v>0</v>
      </c>
      <c r="DL254" s="50">
        <f t="shared" si="339"/>
        <v>0</v>
      </c>
      <c r="DM254" s="50">
        <f t="shared" si="340"/>
        <v>0</v>
      </c>
      <c r="DN254" s="50">
        <f t="shared" si="341"/>
        <v>0</v>
      </c>
      <c r="DO254" s="50">
        <f t="shared" si="342"/>
        <v>0</v>
      </c>
      <c r="DP254" s="50">
        <f t="shared" si="343"/>
        <v>0</v>
      </c>
      <c r="DQ254" s="50">
        <f t="shared" si="321"/>
        <v>0</v>
      </c>
      <c r="DR254" s="50">
        <f t="shared" si="322"/>
        <v>0</v>
      </c>
      <c r="DS254" s="96">
        <f>Miscelaneous!$D$4*Miscelaneous!$D$2^($CI254-1)</f>
        <v>1000</v>
      </c>
      <c r="DT254" s="333">
        <f t="shared" si="303"/>
        <v>1</v>
      </c>
      <c r="DU254" s="81">
        <v>1</v>
      </c>
      <c r="DV254" s="79">
        <f t="shared" si="323"/>
        <v>0</v>
      </c>
      <c r="DW254" s="79">
        <f t="shared" si="324"/>
        <v>0</v>
      </c>
      <c r="DX254" s="79">
        <f t="shared" si="325"/>
        <v>0</v>
      </c>
      <c r="DY254" s="79">
        <v>1</v>
      </c>
      <c r="DZ254" s="79">
        <f t="shared" si="326"/>
        <v>0</v>
      </c>
      <c r="EA254" s="79">
        <f t="shared" si="327"/>
        <v>0</v>
      </c>
      <c r="EB254" s="79">
        <f t="shared" si="328"/>
        <v>0</v>
      </c>
      <c r="EC254" s="79">
        <f t="shared" si="329"/>
        <v>0</v>
      </c>
      <c r="ED254" s="79">
        <v>1</v>
      </c>
      <c r="EE254" s="79">
        <v>1</v>
      </c>
      <c r="EF254" s="79">
        <f t="shared" si="330"/>
        <v>0</v>
      </c>
      <c r="EG254" s="79">
        <v>1</v>
      </c>
      <c r="EH254" s="79">
        <v>1</v>
      </c>
      <c r="EI254" s="79">
        <v>1</v>
      </c>
      <c r="EJ254" s="79">
        <v>1</v>
      </c>
      <c r="EK254" s="79">
        <v>1</v>
      </c>
      <c r="EL254" s="79">
        <v>1</v>
      </c>
      <c r="EM254" s="143">
        <f t="shared" si="331"/>
        <v>0</v>
      </c>
      <c r="EN254" s="143">
        <f t="shared" si="332"/>
        <v>0</v>
      </c>
      <c r="EO254" s="82">
        <f t="shared" si="333"/>
        <v>0</v>
      </c>
    </row>
    <row r="255" spans="1:145" x14ac:dyDescent="0.25">
      <c r="A255">
        <v>241</v>
      </c>
      <c r="B255" s="172" t="e">
        <f t="shared" si="304"/>
        <v>#N/A</v>
      </c>
      <c r="C255" s="121" t="e">
        <f t="shared" si="283"/>
        <v>#N/A</v>
      </c>
      <c r="D255" s="122" t="e">
        <f t="shared" si="284"/>
        <v>#N/A</v>
      </c>
      <c r="E255" s="122" t="e">
        <f t="shared" si="285"/>
        <v>#N/A</v>
      </c>
      <c r="F255" s="176" t="e">
        <f t="shared" si="286"/>
        <v>#N/A</v>
      </c>
      <c r="G255" s="121">
        <f t="shared" si="305"/>
        <v>208</v>
      </c>
      <c r="H255" s="176" t="e">
        <f t="shared" si="306"/>
        <v>#N/A</v>
      </c>
      <c r="I255" s="48">
        <v>1</v>
      </c>
      <c r="J255" s="39"/>
      <c r="K255" s="350">
        <v>1</v>
      </c>
      <c r="L255" s="34" t="e">
        <f t="shared" si="287"/>
        <v>#N/A</v>
      </c>
      <c r="M255" s="38" t="e">
        <f>(HLOOKUP(J255,'Construction Times'!$B$3:$W$34,L255+2,FALSE)*HLOOKUP("hq modifier",'Construction Times'!$W$3:$W$34,BS255+2,FALSE))*(1-$H$9)</f>
        <v>#N/A</v>
      </c>
      <c r="N255" s="443" t="e">
        <f t="shared" si="307"/>
        <v>#N/A</v>
      </c>
      <c r="O255" s="444"/>
      <c r="P255" s="447" t="e">
        <f t="shared" si="308"/>
        <v>#N/A</v>
      </c>
      <c r="Q255" s="448"/>
      <c r="R255" s="103">
        <f t="shared" si="334"/>
        <v>0</v>
      </c>
      <c r="S255" s="104">
        <f t="shared" si="334"/>
        <v>0</v>
      </c>
      <c r="T255" s="104">
        <f t="shared" si="335"/>
        <v>0</v>
      </c>
      <c r="U255" s="104">
        <f t="shared" si="335"/>
        <v>0</v>
      </c>
      <c r="V255" s="104">
        <f t="shared" si="335"/>
        <v>9.9999999999999995E-8</v>
      </c>
      <c r="W255" s="104">
        <f t="shared" si="335"/>
        <v>0</v>
      </c>
      <c r="X255" s="104">
        <f t="shared" si="365"/>
        <v>0</v>
      </c>
      <c r="Y255" s="104">
        <f t="shared" si="365"/>
        <v>9.9999999999999995E-8</v>
      </c>
      <c r="Z255" s="104">
        <f t="shared" si="365"/>
        <v>9.9999999999999995E-8</v>
      </c>
      <c r="AA255" s="105">
        <f t="shared" si="365"/>
        <v>9.9999999999999995E-8</v>
      </c>
      <c r="AB255" s="101" t="e">
        <f>$DT255*HLOOKUP($J255,'Construction Costs (timber)'!$B$1:$V$32,'Construction Planner'!$L255+2,FALSE)</f>
        <v>#N/A</v>
      </c>
      <c r="AC255" s="14" t="e">
        <f>$DT255*HLOOKUP($J255,'Construction Costs (clay)'!$B$1:$V$32,'Construction Planner'!$L255+2,FALSE)</f>
        <v>#N/A</v>
      </c>
      <c r="AD255" s="14" t="e">
        <f>$DT255*HLOOKUP($J255,'Construction Costs (iron)'!$B$1:$V$32,'Construction Planner'!$L255+2,FALSE)</f>
        <v>#N/A</v>
      </c>
      <c r="AE255" s="34" t="e">
        <f t="shared" si="344"/>
        <v>#N/A</v>
      </c>
      <c r="AF255" s="33" t="e">
        <f t="shared" si="288"/>
        <v>#N/A</v>
      </c>
      <c r="AG255" s="14" t="e">
        <f t="shared" si="289"/>
        <v>#N/A</v>
      </c>
      <c r="AH255" s="14" t="e">
        <f t="shared" si="290"/>
        <v>#N/A</v>
      </c>
      <c r="AI255" s="34" t="e">
        <f t="shared" si="345"/>
        <v>#N/A</v>
      </c>
      <c r="AJ255" s="49" t="e">
        <f t="shared" si="309"/>
        <v>#N/A</v>
      </c>
      <c r="AK255" s="49" t="e">
        <f t="shared" si="310"/>
        <v>#N/A</v>
      </c>
      <c r="AL255" s="49" t="e">
        <f t="shared" si="311"/>
        <v>#N/A</v>
      </c>
      <c r="AM255" s="25">
        <f t="shared" si="291"/>
        <v>30</v>
      </c>
      <c r="AN255" s="25">
        <f t="shared" si="292"/>
        <v>30</v>
      </c>
      <c r="AO255" s="25">
        <f t="shared" si="293"/>
        <v>30</v>
      </c>
      <c r="AP255" s="52" t="e">
        <f t="shared" si="312"/>
        <v>#N/A</v>
      </c>
      <c r="AQ255" s="53" t="e">
        <f t="shared" si="312"/>
        <v>#N/A</v>
      </c>
      <c r="AR255" s="54" t="e">
        <f t="shared" si="312"/>
        <v>#N/A</v>
      </c>
      <c r="AS255" s="316">
        <f t="shared" si="367"/>
        <v>0</v>
      </c>
      <c r="AT255" s="106">
        <f>_xlfn.IFNA($M255/VLOOKUP($BT255,'Unit information'!$A$2:$K$29,2,FALSE)*R255,0)*(1+$E$9)</f>
        <v>0</v>
      </c>
      <c r="AU255" s="107">
        <f>_xlfn.IFNA($M255/VLOOKUP($BT255,'Unit information'!$A$2:$K$29,3,FALSE)*S255,0)*(1+$E$9)</f>
        <v>0</v>
      </c>
      <c r="AV255" s="107">
        <f>_xlfn.IFNA($M255/VLOOKUP($BT255,'Unit information'!$A$2:$K$29,4,FALSE)*T255,0)*(1+$E$9)</f>
        <v>0</v>
      </c>
      <c r="AW255" s="107">
        <f>_xlfn.IFNA($M255/VLOOKUP($BT255,'Unit information'!$A$2:$K$29,5,FALSE)*U255,0)*(1+$E$9)</f>
        <v>0</v>
      </c>
      <c r="AX255" s="107">
        <f>_xlfn.IFNA($M255/VLOOKUP($BU255,'Unit information'!$A$2:$K$29,6,FALSE)*V255,0)*(1+$E$9)</f>
        <v>0</v>
      </c>
      <c r="AY255" s="107">
        <f>_xlfn.IFNA($M255/VLOOKUP($BU255,'Unit information'!$A$2:$K$29,7,FALSE)*W255,0)*(1+$E$9)</f>
        <v>0</v>
      </c>
      <c r="AZ255" s="107">
        <f>_xlfn.IFNA($M255/VLOOKUP($BU255,'Unit information'!$A$2:$K$29,8,FALSE)*X255,0)*(1+$E$9)</f>
        <v>0</v>
      </c>
      <c r="BA255" s="107">
        <f>_xlfn.IFNA($M255/VLOOKUP($BU255,'Unit information'!$A$2:$K$29,9,FALSE)*Y255,0)*(1+$E$9)</f>
        <v>0</v>
      </c>
      <c r="BB255" s="107">
        <f>_xlfn.IFNA($M255/VLOOKUP($BV255,'Unit information'!$A$2:$K$29,10,FALSE)*Z255,0)*(1+$E$9)</f>
        <v>0</v>
      </c>
      <c r="BC255" s="108">
        <f>_xlfn.IFNA($M255/VLOOKUP($BV255,'Unit information'!$A$2:$K$29,11,FALSE)*AA255,0)*(1+$E$9)</f>
        <v>0</v>
      </c>
      <c r="BD255" s="106">
        <f t="shared" si="294"/>
        <v>0</v>
      </c>
      <c r="BE255" s="107">
        <f t="shared" si="295"/>
        <v>0</v>
      </c>
      <c r="BF255" s="108">
        <f t="shared" si="296"/>
        <v>0</v>
      </c>
      <c r="BG255" s="25" t="e">
        <f t="shared" si="297"/>
        <v>#N/A</v>
      </c>
      <c r="BH255" s="25" t="e">
        <f t="shared" si="298"/>
        <v>#N/A</v>
      </c>
      <c r="BI255" s="25" t="e">
        <f t="shared" si="299"/>
        <v>#N/A</v>
      </c>
      <c r="BJ255" s="27" t="e">
        <f t="shared" si="300"/>
        <v>#N/A</v>
      </c>
      <c r="BK255" s="18" t="e">
        <f t="shared" si="301"/>
        <v>#N/A</v>
      </c>
      <c r="BL255" s="18" t="e">
        <f t="shared" si="302"/>
        <v>#N/A</v>
      </c>
      <c r="BM255" s="28" t="e">
        <f t="shared" si="347"/>
        <v>#N/A</v>
      </c>
      <c r="BN255" s="33">
        <f>HLOOKUP("maximum population",Miscelaneous!$C$1:$C$33,CH255+3,FALSE)</f>
        <v>240</v>
      </c>
      <c r="BO255" s="14">
        <f t="shared" si="313"/>
        <v>32</v>
      </c>
      <c r="BP255" s="14">
        <f t="shared" si="314"/>
        <v>0</v>
      </c>
      <c r="BQ255" s="14">
        <f t="shared" si="315"/>
        <v>208</v>
      </c>
      <c r="BR255" s="34" t="e">
        <f>HLOOKUP(J255,Villagers!$B$1:$V$33,L255+3,FALSE)-HLOOKUP(J255,Villagers!$B$1:$V$33,L255+2,FALSE)</f>
        <v>#N/A</v>
      </c>
      <c r="BS255" s="49">
        <f t="shared" si="316"/>
        <v>1</v>
      </c>
      <c r="BT255" s="50">
        <f t="shared" si="317"/>
        <v>0</v>
      </c>
      <c r="BU255" s="50">
        <f t="shared" si="318"/>
        <v>0</v>
      </c>
      <c r="BV255" s="50">
        <f t="shared" si="319"/>
        <v>0</v>
      </c>
      <c r="BW255" s="50">
        <f t="shared" si="363"/>
        <v>0</v>
      </c>
      <c r="BX255" s="50">
        <f t="shared" si="364"/>
        <v>0</v>
      </c>
      <c r="BY255" s="50">
        <f t="shared" si="364"/>
        <v>0</v>
      </c>
      <c r="BZ255" s="50">
        <f t="shared" si="350"/>
        <v>0</v>
      </c>
      <c r="CA255" s="50">
        <f t="shared" si="351"/>
        <v>0</v>
      </c>
      <c r="CB255" s="50">
        <f t="shared" si="352"/>
        <v>1</v>
      </c>
      <c r="CC255" s="50">
        <f t="shared" si="353"/>
        <v>0</v>
      </c>
      <c r="CD255" s="50">
        <f t="shared" si="354"/>
        <v>0</v>
      </c>
      <c r="CE255" s="50">
        <f t="shared" si="355"/>
        <v>1</v>
      </c>
      <c r="CF255" s="50">
        <f t="shared" si="356"/>
        <v>1</v>
      </c>
      <c r="CG255" s="50">
        <f t="shared" si="357"/>
        <v>1</v>
      </c>
      <c r="CH255" s="50">
        <f t="shared" si="358"/>
        <v>1</v>
      </c>
      <c r="CI255" s="50">
        <f t="shared" si="359"/>
        <v>1</v>
      </c>
      <c r="CJ255" s="50">
        <f t="shared" si="360"/>
        <v>1</v>
      </c>
      <c r="CK255" s="50">
        <f t="shared" si="360"/>
        <v>0</v>
      </c>
      <c r="CL255" s="50">
        <f t="shared" si="360"/>
        <v>0</v>
      </c>
      <c r="CM255" s="51">
        <f t="shared" ref="CM255:CM318" si="368">IF($J254=CM$14,$L254,CM254)</f>
        <v>0</v>
      </c>
      <c r="CN255" s="33">
        <f>ROUND(IF(BS255=0,0,HLOOKUP(BS$14,Villagers!$B$1:$V$33,BS255+3,FALSE)),)</f>
        <v>5</v>
      </c>
      <c r="CO255" s="14">
        <f>ROUND(IF(BT255=0,0,HLOOKUP(BT$14,Villagers!$B$1:$V$33,BT255+3,FALSE)),)</f>
        <v>0</v>
      </c>
      <c r="CP255" s="14">
        <f>ROUND(IF(BU255=0,0,HLOOKUP(BU$14,Villagers!$B$1:$V$33,BU255+3,FALSE)),)</f>
        <v>0</v>
      </c>
      <c r="CQ255" s="14">
        <f>ROUND(IF(BV255=0,0,HLOOKUP(BV$14,Villagers!$B$1:$V$33,BV255+3,FALSE)),)</f>
        <v>0</v>
      </c>
      <c r="CR255" s="14">
        <f>ROUND(IF(BW255=0,0,HLOOKUP(BW$14,Villagers!$B$1:$V$33,BW255+3,FALSE)),)</f>
        <v>0</v>
      </c>
      <c r="CS255" s="14">
        <f>ROUND(IF(BX255=0,0,HLOOKUP(BX$14,Villagers!$B$1:$V$33,BX255+3,FALSE)),)</f>
        <v>0</v>
      </c>
      <c r="CT255" s="14">
        <f>ROUND(IF(BY255=0,0,HLOOKUP(BY$14,Villagers!$B$1:$V$33,BY255+3,FALSE)),)</f>
        <v>0</v>
      </c>
      <c r="CU255" s="14">
        <f>ROUND(IF(BZ255=0,0,HLOOKUP(BZ$14,Villagers!$B$1:$V$33,BZ255+3,FALSE)),)</f>
        <v>0</v>
      </c>
      <c r="CV255" s="14">
        <f>ROUND(IF(CA255=0,0,HLOOKUP(CA$14,Villagers!$B$1:$V$33,CA255+3,FALSE)),)</f>
        <v>0</v>
      </c>
      <c r="CW255" s="14">
        <f>ROUND(IF(CB255=0,0,HLOOKUP(CB$14,Villagers!$B$1:$V$33,CB255+3,FALSE)),)</f>
        <v>0</v>
      </c>
      <c r="CX255" s="14">
        <f>ROUND(IF(CC255=0,0,HLOOKUP(CC$14,Villagers!$B$1:$V$33,CC255+3,FALSE)),)</f>
        <v>0</v>
      </c>
      <c r="CY255" s="14">
        <f>ROUND(IF(CD255=0,0,HLOOKUP(CD$14,Villagers!$B$1:$V$33,CD255+3,FALSE)),)</f>
        <v>0</v>
      </c>
      <c r="CZ255" s="14">
        <f>ROUND(IF(CE255=0,0,HLOOKUP(CE$14,Villagers!$B$1:$V$33,CE255+3,FALSE)),)</f>
        <v>5</v>
      </c>
      <c r="DA255" s="14">
        <f>ROUND(IF(CF255=0,0,HLOOKUP(CF$14,Villagers!$B$1:$V$33,CF255+3,FALSE)),)</f>
        <v>10</v>
      </c>
      <c r="DB255" s="14">
        <f>ROUND(IF(CG255=0,0,HLOOKUP(CG$14,Villagers!$B$1:$V$33,CG255+3,FALSE)),)</f>
        <v>10</v>
      </c>
      <c r="DC255" s="14">
        <f>ROUND(IF(CH255=0,0,HLOOKUP(CH$14,Villagers!$B$1:$V$33,CH255+3,FALSE)),)</f>
        <v>0</v>
      </c>
      <c r="DD255" s="14">
        <f>ROUND(IF(CI255=0,0,HLOOKUP(CI$14,Villagers!$B$1:$V$33,CI255+3,FALSE)),)</f>
        <v>0</v>
      </c>
      <c r="DE255" s="14">
        <f>ROUND(IF(CJ255=0,0,HLOOKUP(CJ$14,Villagers!$B$1:$V$33,CJ255+3,FALSE)),)</f>
        <v>2</v>
      </c>
      <c r="DF255" s="370">
        <f>ROUND(IF(CK255=0,0,HLOOKUP(CK$14,Villagers!$B$1:$V$33,CK255+3,FALSE)),)</f>
        <v>0</v>
      </c>
      <c r="DG255" s="370">
        <f>ROUND(IF(CL255=0,0,HLOOKUP(CL$14,Villagers!$B$1:$V$33,CL255+3,FALSE)),)</f>
        <v>0</v>
      </c>
      <c r="DH255" s="34">
        <f>ROUND(IF(CM255=0,0,HLOOKUP(CM$14,Villagers!$B$1:$V$33,CM255+3,FALSE)),)</f>
        <v>0</v>
      </c>
      <c r="DI255" s="109">
        <f t="shared" si="336"/>
        <v>0</v>
      </c>
      <c r="DJ255" s="50">
        <f t="shared" si="337"/>
        <v>0</v>
      </c>
      <c r="DK255" s="50">
        <f t="shared" si="338"/>
        <v>0</v>
      </c>
      <c r="DL255" s="50">
        <f t="shared" si="339"/>
        <v>0</v>
      </c>
      <c r="DM255" s="50">
        <f t="shared" si="340"/>
        <v>0</v>
      </c>
      <c r="DN255" s="50">
        <f t="shared" si="341"/>
        <v>0</v>
      </c>
      <c r="DO255" s="50">
        <f t="shared" si="342"/>
        <v>0</v>
      </c>
      <c r="DP255" s="50">
        <f t="shared" si="343"/>
        <v>0</v>
      </c>
      <c r="DQ255" s="50">
        <f t="shared" si="321"/>
        <v>0</v>
      </c>
      <c r="DR255" s="50">
        <f t="shared" si="322"/>
        <v>0</v>
      </c>
      <c r="DS255" s="96">
        <f>Miscelaneous!$D$4*Miscelaneous!$D$2^($CI255-1)</f>
        <v>1000</v>
      </c>
      <c r="DT255" s="333">
        <f t="shared" si="303"/>
        <v>1</v>
      </c>
      <c r="DU255" s="81">
        <v>1</v>
      </c>
      <c r="DV255" s="79">
        <f t="shared" si="323"/>
        <v>0</v>
      </c>
      <c r="DW255" s="79">
        <f t="shared" si="324"/>
        <v>0</v>
      </c>
      <c r="DX255" s="79">
        <f t="shared" si="325"/>
        <v>0</v>
      </c>
      <c r="DY255" s="79">
        <v>1</v>
      </c>
      <c r="DZ255" s="79">
        <f t="shared" si="326"/>
        <v>0</v>
      </c>
      <c r="EA255" s="79">
        <f t="shared" si="327"/>
        <v>0</v>
      </c>
      <c r="EB255" s="79">
        <f t="shared" si="328"/>
        <v>0</v>
      </c>
      <c r="EC255" s="79">
        <f t="shared" si="329"/>
        <v>0</v>
      </c>
      <c r="ED255" s="79">
        <v>1</v>
      </c>
      <c r="EE255" s="79">
        <v>1</v>
      </c>
      <c r="EF255" s="79">
        <f t="shared" si="330"/>
        <v>0</v>
      </c>
      <c r="EG255" s="79">
        <v>1</v>
      </c>
      <c r="EH255" s="79">
        <v>1</v>
      </c>
      <c r="EI255" s="79">
        <v>1</v>
      </c>
      <c r="EJ255" s="79">
        <v>1</v>
      </c>
      <c r="EK255" s="79">
        <v>1</v>
      </c>
      <c r="EL255" s="79">
        <v>1</v>
      </c>
      <c r="EM255" s="143">
        <f t="shared" si="331"/>
        <v>0</v>
      </c>
      <c r="EN255" s="143">
        <f t="shared" si="332"/>
        <v>0</v>
      </c>
      <c r="EO255" s="82">
        <f t="shared" si="333"/>
        <v>0</v>
      </c>
    </row>
    <row r="256" spans="1:145" x14ac:dyDescent="0.25">
      <c r="A256">
        <v>242</v>
      </c>
      <c r="B256" s="172" t="e">
        <f t="shared" si="304"/>
        <v>#N/A</v>
      </c>
      <c r="C256" s="121" t="e">
        <f t="shared" si="283"/>
        <v>#N/A</v>
      </c>
      <c r="D256" s="122" t="e">
        <f t="shared" si="284"/>
        <v>#N/A</v>
      </c>
      <c r="E256" s="122" t="e">
        <f t="shared" si="285"/>
        <v>#N/A</v>
      </c>
      <c r="F256" s="176" t="e">
        <f t="shared" si="286"/>
        <v>#N/A</v>
      </c>
      <c r="G256" s="121">
        <f t="shared" si="305"/>
        <v>208</v>
      </c>
      <c r="H256" s="176" t="e">
        <f t="shared" si="306"/>
        <v>#N/A</v>
      </c>
      <c r="I256" s="48">
        <v>1</v>
      </c>
      <c r="J256" s="39"/>
      <c r="K256" s="350">
        <v>1</v>
      </c>
      <c r="L256" s="34" t="e">
        <f t="shared" si="287"/>
        <v>#N/A</v>
      </c>
      <c r="M256" s="38" t="e">
        <f>(HLOOKUP(J256,'Construction Times'!$B$3:$W$34,L256+2,FALSE)*HLOOKUP("hq modifier",'Construction Times'!$W$3:$W$34,BS256+2,FALSE))*(1-$H$9)</f>
        <v>#N/A</v>
      </c>
      <c r="N256" s="443" t="e">
        <f t="shared" si="307"/>
        <v>#N/A</v>
      </c>
      <c r="O256" s="444"/>
      <c r="P256" s="447" t="e">
        <f t="shared" si="308"/>
        <v>#N/A</v>
      </c>
      <c r="Q256" s="448"/>
      <c r="R256" s="103">
        <f t="shared" si="334"/>
        <v>0</v>
      </c>
      <c r="S256" s="104">
        <f t="shared" si="334"/>
        <v>0</v>
      </c>
      <c r="T256" s="104">
        <f t="shared" si="335"/>
        <v>0</v>
      </c>
      <c r="U256" s="104">
        <f t="shared" si="335"/>
        <v>0</v>
      </c>
      <c r="V256" s="104">
        <f t="shared" si="335"/>
        <v>9.9999999999999995E-8</v>
      </c>
      <c r="W256" s="104">
        <f t="shared" si="335"/>
        <v>0</v>
      </c>
      <c r="X256" s="104">
        <f t="shared" si="365"/>
        <v>0</v>
      </c>
      <c r="Y256" s="104">
        <f t="shared" si="365"/>
        <v>9.9999999999999995E-8</v>
      </c>
      <c r="Z256" s="104">
        <f t="shared" si="365"/>
        <v>9.9999999999999995E-8</v>
      </c>
      <c r="AA256" s="105">
        <f t="shared" si="365"/>
        <v>9.9999999999999995E-8</v>
      </c>
      <c r="AB256" s="101" t="e">
        <f>$DT256*HLOOKUP($J256,'Construction Costs (timber)'!$B$1:$V$32,'Construction Planner'!$L256+2,FALSE)</f>
        <v>#N/A</v>
      </c>
      <c r="AC256" s="14" t="e">
        <f>$DT256*HLOOKUP($J256,'Construction Costs (clay)'!$B$1:$V$32,'Construction Planner'!$L256+2,FALSE)</f>
        <v>#N/A</v>
      </c>
      <c r="AD256" s="14" t="e">
        <f>$DT256*HLOOKUP($J256,'Construction Costs (iron)'!$B$1:$V$32,'Construction Planner'!$L256+2,FALSE)</f>
        <v>#N/A</v>
      </c>
      <c r="AE256" s="34" t="e">
        <f t="shared" si="344"/>
        <v>#N/A</v>
      </c>
      <c r="AF256" s="33" t="e">
        <f t="shared" si="288"/>
        <v>#N/A</v>
      </c>
      <c r="AG256" s="14" t="e">
        <f t="shared" si="289"/>
        <v>#N/A</v>
      </c>
      <c r="AH256" s="14" t="e">
        <f t="shared" si="290"/>
        <v>#N/A</v>
      </c>
      <c r="AI256" s="34" t="e">
        <f t="shared" si="345"/>
        <v>#N/A</v>
      </c>
      <c r="AJ256" s="49" t="e">
        <f t="shared" si="309"/>
        <v>#N/A</v>
      </c>
      <c r="AK256" s="49" t="e">
        <f t="shared" si="310"/>
        <v>#N/A</v>
      </c>
      <c r="AL256" s="49" t="e">
        <f t="shared" si="311"/>
        <v>#N/A</v>
      </c>
      <c r="AM256" s="25">
        <f t="shared" si="291"/>
        <v>30</v>
      </c>
      <c r="AN256" s="25">
        <f t="shared" si="292"/>
        <v>30</v>
      </c>
      <c r="AO256" s="25">
        <f t="shared" si="293"/>
        <v>30</v>
      </c>
      <c r="AP256" s="52" t="e">
        <f t="shared" si="312"/>
        <v>#N/A</v>
      </c>
      <c r="AQ256" s="53" t="e">
        <f t="shared" si="312"/>
        <v>#N/A</v>
      </c>
      <c r="AR256" s="54" t="e">
        <f t="shared" si="312"/>
        <v>#N/A</v>
      </c>
      <c r="AS256" s="316">
        <f t="shared" si="367"/>
        <v>0</v>
      </c>
      <c r="AT256" s="106">
        <f>_xlfn.IFNA($M256/VLOOKUP($BT256,'Unit information'!$A$2:$K$29,2,FALSE)*R256,0)*(1+$E$9)</f>
        <v>0</v>
      </c>
      <c r="AU256" s="107">
        <f>_xlfn.IFNA($M256/VLOOKUP($BT256,'Unit information'!$A$2:$K$29,3,FALSE)*S256,0)*(1+$E$9)</f>
        <v>0</v>
      </c>
      <c r="AV256" s="107">
        <f>_xlfn.IFNA($M256/VLOOKUP($BT256,'Unit information'!$A$2:$K$29,4,FALSE)*T256,0)*(1+$E$9)</f>
        <v>0</v>
      </c>
      <c r="AW256" s="107">
        <f>_xlfn.IFNA($M256/VLOOKUP($BT256,'Unit information'!$A$2:$K$29,5,FALSE)*U256,0)*(1+$E$9)</f>
        <v>0</v>
      </c>
      <c r="AX256" s="107">
        <f>_xlfn.IFNA($M256/VLOOKUP($BU256,'Unit information'!$A$2:$K$29,6,FALSE)*V256,0)*(1+$E$9)</f>
        <v>0</v>
      </c>
      <c r="AY256" s="107">
        <f>_xlfn.IFNA($M256/VLOOKUP($BU256,'Unit information'!$A$2:$K$29,7,FALSE)*W256,0)*(1+$E$9)</f>
        <v>0</v>
      </c>
      <c r="AZ256" s="107">
        <f>_xlfn.IFNA($M256/VLOOKUP($BU256,'Unit information'!$A$2:$K$29,8,FALSE)*X256,0)*(1+$E$9)</f>
        <v>0</v>
      </c>
      <c r="BA256" s="107">
        <f>_xlfn.IFNA($M256/VLOOKUP($BU256,'Unit information'!$A$2:$K$29,9,FALSE)*Y256,0)*(1+$E$9)</f>
        <v>0</v>
      </c>
      <c r="BB256" s="107">
        <f>_xlfn.IFNA($M256/VLOOKUP($BV256,'Unit information'!$A$2:$K$29,10,FALSE)*Z256,0)*(1+$E$9)</f>
        <v>0</v>
      </c>
      <c r="BC256" s="108">
        <f>_xlfn.IFNA($M256/VLOOKUP($BV256,'Unit information'!$A$2:$K$29,11,FALSE)*AA256,0)*(1+$E$9)</f>
        <v>0</v>
      </c>
      <c r="BD256" s="106">
        <f t="shared" si="294"/>
        <v>0</v>
      </c>
      <c r="BE256" s="107">
        <f t="shared" si="295"/>
        <v>0</v>
      </c>
      <c r="BF256" s="108">
        <f t="shared" si="296"/>
        <v>0</v>
      </c>
      <c r="BG256" s="25" t="e">
        <f t="shared" si="297"/>
        <v>#N/A</v>
      </c>
      <c r="BH256" s="25" t="e">
        <f t="shared" si="298"/>
        <v>#N/A</v>
      </c>
      <c r="BI256" s="25" t="e">
        <f t="shared" si="299"/>
        <v>#N/A</v>
      </c>
      <c r="BJ256" s="27" t="e">
        <f t="shared" si="300"/>
        <v>#N/A</v>
      </c>
      <c r="BK256" s="18" t="e">
        <f t="shared" si="301"/>
        <v>#N/A</v>
      </c>
      <c r="BL256" s="18" t="e">
        <f t="shared" si="302"/>
        <v>#N/A</v>
      </c>
      <c r="BM256" s="28" t="e">
        <f t="shared" si="347"/>
        <v>#N/A</v>
      </c>
      <c r="BN256" s="33">
        <f>HLOOKUP("maximum population",Miscelaneous!$C$1:$C$33,CH256+3,FALSE)</f>
        <v>240</v>
      </c>
      <c r="BO256" s="14">
        <f t="shared" si="313"/>
        <v>32</v>
      </c>
      <c r="BP256" s="14">
        <f t="shared" si="314"/>
        <v>0</v>
      </c>
      <c r="BQ256" s="14">
        <f t="shared" si="315"/>
        <v>208</v>
      </c>
      <c r="BR256" s="34" t="e">
        <f>HLOOKUP(J256,Villagers!$B$1:$V$33,L256+3,FALSE)-HLOOKUP(J256,Villagers!$B$1:$V$33,L256+2,FALSE)</f>
        <v>#N/A</v>
      </c>
      <c r="BS256" s="49">
        <f t="shared" si="316"/>
        <v>1</v>
      </c>
      <c r="BT256" s="50">
        <f t="shared" si="317"/>
        <v>0</v>
      </c>
      <c r="BU256" s="50">
        <f t="shared" si="318"/>
        <v>0</v>
      </c>
      <c r="BV256" s="50">
        <f t="shared" si="319"/>
        <v>0</v>
      </c>
      <c r="BW256" s="50">
        <f t="shared" ref="BW256:BY262" si="369">IF($J255=BW$14,$L255,BW255)</f>
        <v>0</v>
      </c>
      <c r="BX256" s="50">
        <f t="shared" si="369"/>
        <v>0</v>
      </c>
      <c r="BY256" s="50">
        <f t="shared" si="369"/>
        <v>0</v>
      </c>
      <c r="BZ256" s="50">
        <f t="shared" si="350"/>
        <v>0</v>
      </c>
      <c r="CA256" s="50">
        <f t="shared" si="351"/>
        <v>0</v>
      </c>
      <c r="CB256" s="50">
        <f t="shared" si="352"/>
        <v>1</v>
      </c>
      <c r="CC256" s="50">
        <f t="shared" si="353"/>
        <v>0</v>
      </c>
      <c r="CD256" s="50">
        <f t="shared" si="354"/>
        <v>0</v>
      </c>
      <c r="CE256" s="50">
        <f t="shared" si="355"/>
        <v>1</v>
      </c>
      <c r="CF256" s="50">
        <f t="shared" si="356"/>
        <v>1</v>
      </c>
      <c r="CG256" s="50">
        <f t="shared" si="357"/>
        <v>1</v>
      </c>
      <c r="CH256" s="50">
        <f t="shared" si="358"/>
        <v>1</v>
      </c>
      <c r="CI256" s="50">
        <f t="shared" si="359"/>
        <v>1</v>
      </c>
      <c r="CJ256" s="50">
        <f t="shared" si="360"/>
        <v>1</v>
      </c>
      <c r="CK256" s="50">
        <f t="shared" si="360"/>
        <v>0</v>
      </c>
      <c r="CL256" s="50">
        <f t="shared" si="360"/>
        <v>0</v>
      </c>
      <c r="CM256" s="51">
        <f t="shared" si="368"/>
        <v>0</v>
      </c>
      <c r="CN256" s="33">
        <f>ROUND(IF(BS256=0,0,HLOOKUP(BS$14,Villagers!$B$1:$V$33,BS256+3,FALSE)),)</f>
        <v>5</v>
      </c>
      <c r="CO256" s="14">
        <f>ROUND(IF(BT256=0,0,HLOOKUP(BT$14,Villagers!$B$1:$V$33,BT256+3,FALSE)),)</f>
        <v>0</v>
      </c>
      <c r="CP256" s="14">
        <f>ROUND(IF(BU256=0,0,HLOOKUP(BU$14,Villagers!$B$1:$V$33,BU256+3,FALSE)),)</f>
        <v>0</v>
      </c>
      <c r="CQ256" s="14">
        <f>ROUND(IF(BV256=0,0,HLOOKUP(BV$14,Villagers!$B$1:$V$33,BV256+3,FALSE)),)</f>
        <v>0</v>
      </c>
      <c r="CR256" s="14">
        <f>ROUND(IF(BW256=0,0,HLOOKUP(BW$14,Villagers!$B$1:$V$33,BW256+3,FALSE)),)</f>
        <v>0</v>
      </c>
      <c r="CS256" s="14">
        <f>ROUND(IF(BX256=0,0,HLOOKUP(BX$14,Villagers!$B$1:$V$33,BX256+3,FALSE)),)</f>
        <v>0</v>
      </c>
      <c r="CT256" s="14">
        <f>ROUND(IF(BY256=0,0,HLOOKUP(BY$14,Villagers!$B$1:$V$33,BY256+3,FALSE)),)</f>
        <v>0</v>
      </c>
      <c r="CU256" s="14">
        <f>ROUND(IF(BZ256=0,0,HLOOKUP(BZ$14,Villagers!$B$1:$V$33,BZ256+3,FALSE)),)</f>
        <v>0</v>
      </c>
      <c r="CV256" s="14">
        <f>ROUND(IF(CA256=0,0,HLOOKUP(CA$14,Villagers!$B$1:$V$33,CA256+3,FALSE)),)</f>
        <v>0</v>
      </c>
      <c r="CW256" s="14">
        <f>ROUND(IF(CB256=0,0,HLOOKUP(CB$14,Villagers!$B$1:$V$33,CB256+3,FALSE)),)</f>
        <v>0</v>
      </c>
      <c r="CX256" s="14">
        <f>ROUND(IF(CC256=0,0,HLOOKUP(CC$14,Villagers!$B$1:$V$33,CC256+3,FALSE)),)</f>
        <v>0</v>
      </c>
      <c r="CY256" s="14">
        <f>ROUND(IF(CD256=0,0,HLOOKUP(CD$14,Villagers!$B$1:$V$33,CD256+3,FALSE)),)</f>
        <v>0</v>
      </c>
      <c r="CZ256" s="14">
        <f>ROUND(IF(CE256=0,0,HLOOKUP(CE$14,Villagers!$B$1:$V$33,CE256+3,FALSE)),)</f>
        <v>5</v>
      </c>
      <c r="DA256" s="14">
        <f>ROUND(IF(CF256=0,0,HLOOKUP(CF$14,Villagers!$B$1:$V$33,CF256+3,FALSE)),)</f>
        <v>10</v>
      </c>
      <c r="DB256" s="14">
        <f>ROUND(IF(CG256=0,0,HLOOKUP(CG$14,Villagers!$B$1:$V$33,CG256+3,FALSE)),)</f>
        <v>10</v>
      </c>
      <c r="DC256" s="14">
        <f>ROUND(IF(CH256=0,0,HLOOKUP(CH$14,Villagers!$B$1:$V$33,CH256+3,FALSE)),)</f>
        <v>0</v>
      </c>
      <c r="DD256" s="14">
        <f>ROUND(IF(CI256=0,0,HLOOKUP(CI$14,Villagers!$B$1:$V$33,CI256+3,FALSE)),)</f>
        <v>0</v>
      </c>
      <c r="DE256" s="14">
        <f>ROUND(IF(CJ256=0,0,HLOOKUP(CJ$14,Villagers!$B$1:$V$33,CJ256+3,FALSE)),)</f>
        <v>2</v>
      </c>
      <c r="DF256" s="370">
        <f>ROUND(IF(CK256=0,0,HLOOKUP(CK$14,Villagers!$B$1:$V$33,CK256+3,FALSE)),)</f>
        <v>0</v>
      </c>
      <c r="DG256" s="370">
        <f>ROUND(IF(CL256=0,0,HLOOKUP(CL$14,Villagers!$B$1:$V$33,CL256+3,FALSE)),)</f>
        <v>0</v>
      </c>
      <c r="DH256" s="34">
        <f>ROUND(IF(CM256=0,0,HLOOKUP(CM$14,Villagers!$B$1:$V$33,CM256+3,FALSE)),)</f>
        <v>0</v>
      </c>
      <c r="DI256" s="109">
        <f t="shared" si="336"/>
        <v>0</v>
      </c>
      <c r="DJ256" s="50">
        <f t="shared" si="337"/>
        <v>0</v>
      </c>
      <c r="DK256" s="50">
        <f t="shared" si="338"/>
        <v>0</v>
      </c>
      <c r="DL256" s="50">
        <f t="shared" si="339"/>
        <v>0</v>
      </c>
      <c r="DM256" s="50">
        <f t="shared" si="340"/>
        <v>0</v>
      </c>
      <c r="DN256" s="50">
        <f t="shared" si="341"/>
        <v>0</v>
      </c>
      <c r="DO256" s="50">
        <f t="shared" si="342"/>
        <v>0</v>
      </c>
      <c r="DP256" s="50">
        <f t="shared" si="343"/>
        <v>0</v>
      </c>
      <c r="DQ256" s="50">
        <f t="shared" si="321"/>
        <v>0</v>
      </c>
      <c r="DR256" s="50">
        <f t="shared" si="322"/>
        <v>0</v>
      </c>
      <c r="DS256" s="96">
        <f>Miscelaneous!$D$4*Miscelaneous!$D$2^($CI256-1)</f>
        <v>1000</v>
      </c>
      <c r="DT256" s="333">
        <f t="shared" si="303"/>
        <v>1</v>
      </c>
      <c r="DU256" s="81">
        <v>1</v>
      </c>
      <c r="DV256" s="79">
        <f t="shared" si="323"/>
        <v>0</v>
      </c>
      <c r="DW256" s="79">
        <f t="shared" si="324"/>
        <v>0</v>
      </c>
      <c r="DX256" s="79">
        <f t="shared" si="325"/>
        <v>0</v>
      </c>
      <c r="DY256" s="79">
        <v>1</v>
      </c>
      <c r="DZ256" s="79">
        <f t="shared" si="326"/>
        <v>0</v>
      </c>
      <c r="EA256" s="79">
        <f t="shared" si="327"/>
        <v>0</v>
      </c>
      <c r="EB256" s="79">
        <f t="shared" si="328"/>
        <v>0</v>
      </c>
      <c r="EC256" s="79">
        <f t="shared" si="329"/>
        <v>0</v>
      </c>
      <c r="ED256" s="79">
        <v>1</v>
      </c>
      <c r="EE256" s="79">
        <v>1</v>
      </c>
      <c r="EF256" s="79">
        <f t="shared" si="330"/>
        <v>0</v>
      </c>
      <c r="EG256" s="79">
        <v>1</v>
      </c>
      <c r="EH256" s="79">
        <v>1</v>
      </c>
      <c r="EI256" s="79">
        <v>1</v>
      </c>
      <c r="EJ256" s="79">
        <v>1</v>
      </c>
      <c r="EK256" s="79">
        <v>1</v>
      </c>
      <c r="EL256" s="79">
        <v>1</v>
      </c>
      <c r="EM256" s="143">
        <f t="shared" si="331"/>
        <v>0</v>
      </c>
      <c r="EN256" s="143">
        <f t="shared" si="332"/>
        <v>0</v>
      </c>
      <c r="EO256" s="82">
        <f t="shared" si="333"/>
        <v>0</v>
      </c>
    </row>
    <row r="257" spans="1:145" x14ac:dyDescent="0.25">
      <c r="A257">
        <v>243</v>
      </c>
      <c r="B257" s="172" t="e">
        <f t="shared" si="304"/>
        <v>#N/A</v>
      </c>
      <c r="C257" s="121" t="e">
        <f t="shared" si="283"/>
        <v>#N/A</v>
      </c>
      <c r="D257" s="122" t="e">
        <f t="shared" si="284"/>
        <v>#N/A</v>
      </c>
      <c r="E257" s="122" t="e">
        <f t="shared" si="285"/>
        <v>#N/A</v>
      </c>
      <c r="F257" s="176" t="e">
        <f t="shared" si="286"/>
        <v>#N/A</v>
      </c>
      <c r="G257" s="121">
        <f t="shared" si="305"/>
        <v>208</v>
      </c>
      <c r="H257" s="176" t="e">
        <f t="shared" si="306"/>
        <v>#N/A</v>
      </c>
      <c r="I257" s="48">
        <v>1</v>
      </c>
      <c r="J257" s="39"/>
      <c r="K257" s="350">
        <v>1</v>
      </c>
      <c r="L257" s="34" t="e">
        <f t="shared" si="287"/>
        <v>#N/A</v>
      </c>
      <c r="M257" s="38" t="e">
        <f>(HLOOKUP(J257,'Construction Times'!$B$3:$W$34,L257+2,FALSE)*HLOOKUP("hq modifier",'Construction Times'!$W$3:$W$34,BS257+2,FALSE))*(1-$H$9)</f>
        <v>#N/A</v>
      </c>
      <c r="N257" s="443" t="e">
        <f t="shared" si="307"/>
        <v>#N/A</v>
      </c>
      <c r="O257" s="444"/>
      <c r="P257" s="447" t="e">
        <f t="shared" si="308"/>
        <v>#N/A</v>
      </c>
      <c r="Q257" s="448"/>
      <c r="R257" s="103">
        <f t="shared" si="334"/>
        <v>0</v>
      </c>
      <c r="S257" s="104">
        <f t="shared" si="334"/>
        <v>0</v>
      </c>
      <c r="T257" s="104">
        <f t="shared" si="335"/>
        <v>0</v>
      </c>
      <c r="U257" s="104">
        <f t="shared" si="335"/>
        <v>0</v>
      </c>
      <c r="V257" s="104">
        <f t="shared" si="335"/>
        <v>9.9999999999999995E-8</v>
      </c>
      <c r="W257" s="104">
        <f t="shared" si="335"/>
        <v>0</v>
      </c>
      <c r="X257" s="104">
        <f t="shared" si="365"/>
        <v>0</v>
      </c>
      <c r="Y257" s="104">
        <f t="shared" si="365"/>
        <v>9.9999999999999995E-8</v>
      </c>
      <c r="Z257" s="104">
        <f t="shared" si="365"/>
        <v>9.9999999999999995E-8</v>
      </c>
      <c r="AA257" s="105">
        <f t="shared" si="365"/>
        <v>9.9999999999999995E-8</v>
      </c>
      <c r="AB257" s="101" t="e">
        <f>$DT257*HLOOKUP($J257,'Construction Costs (timber)'!$B$1:$V$32,'Construction Planner'!$L257+2,FALSE)</f>
        <v>#N/A</v>
      </c>
      <c r="AC257" s="14" t="e">
        <f>$DT257*HLOOKUP($J257,'Construction Costs (clay)'!$B$1:$V$32,'Construction Planner'!$L257+2,FALSE)</f>
        <v>#N/A</v>
      </c>
      <c r="AD257" s="14" t="e">
        <f>$DT257*HLOOKUP($J257,'Construction Costs (iron)'!$B$1:$V$32,'Construction Planner'!$L257+2,FALSE)</f>
        <v>#N/A</v>
      </c>
      <c r="AE257" s="34" t="e">
        <f t="shared" si="344"/>
        <v>#N/A</v>
      </c>
      <c r="AF257" s="33" t="e">
        <f t="shared" si="288"/>
        <v>#N/A</v>
      </c>
      <c r="AG257" s="14" t="e">
        <f t="shared" si="289"/>
        <v>#N/A</v>
      </c>
      <c r="AH257" s="14" t="e">
        <f t="shared" si="290"/>
        <v>#N/A</v>
      </c>
      <c r="AI257" s="34" t="e">
        <f t="shared" si="345"/>
        <v>#N/A</v>
      </c>
      <c r="AJ257" s="49" t="e">
        <f t="shared" si="309"/>
        <v>#N/A</v>
      </c>
      <c r="AK257" s="49" t="e">
        <f t="shared" si="310"/>
        <v>#N/A</v>
      </c>
      <c r="AL257" s="49" t="e">
        <f t="shared" si="311"/>
        <v>#N/A</v>
      </c>
      <c r="AM257" s="25">
        <f t="shared" si="291"/>
        <v>30</v>
      </c>
      <c r="AN257" s="25">
        <f t="shared" si="292"/>
        <v>30</v>
      </c>
      <c r="AO257" s="25">
        <f t="shared" si="293"/>
        <v>30</v>
      </c>
      <c r="AP257" s="52" t="e">
        <f t="shared" si="312"/>
        <v>#N/A</v>
      </c>
      <c r="AQ257" s="53" t="e">
        <f t="shared" si="312"/>
        <v>#N/A</v>
      </c>
      <c r="AR257" s="54" t="e">
        <f t="shared" si="312"/>
        <v>#N/A</v>
      </c>
      <c r="AS257" s="316">
        <f t="shared" si="367"/>
        <v>0</v>
      </c>
      <c r="AT257" s="106">
        <f>_xlfn.IFNA($M257/VLOOKUP($BT257,'Unit information'!$A$2:$K$29,2,FALSE)*R257,0)*(1+$E$9)</f>
        <v>0</v>
      </c>
      <c r="AU257" s="107">
        <f>_xlfn.IFNA($M257/VLOOKUP($BT257,'Unit information'!$A$2:$K$29,3,FALSE)*S257,0)*(1+$E$9)</f>
        <v>0</v>
      </c>
      <c r="AV257" s="107">
        <f>_xlfn.IFNA($M257/VLOOKUP($BT257,'Unit information'!$A$2:$K$29,4,FALSE)*T257,0)*(1+$E$9)</f>
        <v>0</v>
      </c>
      <c r="AW257" s="107">
        <f>_xlfn.IFNA($M257/VLOOKUP($BT257,'Unit information'!$A$2:$K$29,5,FALSE)*U257,0)*(1+$E$9)</f>
        <v>0</v>
      </c>
      <c r="AX257" s="107">
        <f>_xlfn.IFNA($M257/VLOOKUP($BU257,'Unit information'!$A$2:$K$29,6,FALSE)*V257,0)*(1+$E$9)</f>
        <v>0</v>
      </c>
      <c r="AY257" s="107">
        <f>_xlfn.IFNA($M257/VLOOKUP($BU257,'Unit information'!$A$2:$K$29,7,FALSE)*W257,0)*(1+$E$9)</f>
        <v>0</v>
      </c>
      <c r="AZ257" s="107">
        <f>_xlfn.IFNA($M257/VLOOKUP($BU257,'Unit information'!$A$2:$K$29,8,FALSE)*X257,0)*(1+$E$9)</f>
        <v>0</v>
      </c>
      <c r="BA257" s="107">
        <f>_xlfn.IFNA($M257/VLOOKUP($BU257,'Unit information'!$A$2:$K$29,9,FALSE)*Y257,0)*(1+$E$9)</f>
        <v>0</v>
      </c>
      <c r="BB257" s="107">
        <f>_xlfn.IFNA($M257/VLOOKUP($BV257,'Unit information'!$A$2:$K$29,10,FALSE)*Z257,0)*(1+$E$9)</f>
        <v>0</v>
      </c>
      <c r="BC257" s="108">
        <f>_xlfn.IFNA($M257/VLOOKUP($BV257,'Unit information'!$A$2:$K$29,11,FALSE)*AA257,0)*(1+$E$9)</f>
        <v>0</v>
      </c>
      <c r="BD257" s="106">
        <f t="shared" si="294"/>
        <v>0</v>
      </c>
      <c r="BE257" s="107">
        <f t="shared" si="295"/>
        <v>0</v>
      </c>
      <c r="BF257" s="108">
        <f t="shared" si="296"/>
        <v>0</v>
      </c>
      <c r="BG257" s="25" t="e">
        <f t="shared" si="297"/>
        <v>#N/A</v>
      </c>
      <c r="BH257" s="25" t="e">
        <f t="shared" si="298"/>
        <v>#N/A</v>
      </c>
      <c r="BI257" s="25" t="e">
        <f t="shared" si="299"/>
        <v>#N/A</v>
      </c>
      <c r="BJ257" s="27" t="e">
        <f t="shared" si="300"/>
        <v>#N/A</v>
      </c>
      <c r="BK257" s="18" t="e">
        <f t="shared" si="301"/>
        <v>#N/A</v>
      </c>
      <c r="BL257" s="18" t="e">
        <f t="shared" si="302"/>
        <v>#N/A</v>
      </c>
      <c r="BM257" s="28" t="e">
        <f t="shared" si="347"/>
        <v>#N/A</v>
      </c>
      <c r="BN257" s="33">
        <f>HLOOKUP("maximum population",Miscelaneous!$C$1:$C$33,CH257+3,FALSE)</f>
        <v>240</v>
      </c>
      <c r="BO257" s="14">
        <f t="shared" si="313"/>
        <v>32</v>
      </c>
      <c r="BP257" s="14">
        <f t="shared" si="314"/>
        <v>0</v>
      </c>
      <c r="BQ257" s="14">
        <f t="shared" si="315"/>
        <v>208</v>
      </c>
      <c r="BR257" s="34" t="e">
        <f>HLOOKUP(J257,Villagers!$B$1:$V$33,L257+3,FALSE)-HLOOKUP(J257,Villagers!$B$1:$V$33,L257+2,FALSE)</f>
        <v>#N/A</v>
      </c>
      <c r="BS257" s="49">
        <f t="shared" si="316"/>
        <v>1</v>
      </c>
      <c r="BT257" s="50">
        <f t="shared" si="317"/>
        <v>0</v>
      </c>
      <c r="BU257" s="50">
        <f t="shared" si="318"/>
        <v>0</v>
      </c>
      <c r="BV257" s="50">
        <f t="shared" si="319"/>
        <v>0</v>
      </c>
      <c r="BW257" s="50">
        <f t="shared" si="369"/>
        <v>0</v>
      </c>
      <c r="BX257" s="50">
        <f t="shared" si="369"/>
        <v>0</v>
      </c>
      <c r="BY257" s="50">
        <f t="shared" si="369"/>
        <v>0</v>
      </c>
      <c r="BZ257" s="50">
        <f t="shared" si="350"/>
        <v>0</v>
      </c>
      <c r="CA257" s="50">
        <f t="shared" si="351"/>
        <v>0</v>
      </c>
      <c r="CB257" s="50">
        <f t="shared" si="352"/>
        <v>1</v>
      </c>
      <c r="CC257" s="50">
        <f t="shared" si="353"/>
        <v>0</v>
      </c>
      <c r="CD257" s="50">
        <f t="shared" si="354"/>
        <v>0</v>
      </c>
      <c r="CE257" s="50">
        <f t="shared" si="355"/>
        <v>1</v>
      </c>
      <c r="CF257" s="50">
        <f t="shared" si="356"/>
        <v>1</v>
      </c>
      <c r="CG257" s="50">
        <f t="shared" si="357"/>
        <v>1</v>
      </c>
      <c r="CH257" s="50">
        <f t="shared" si="358"/>
        <v>1</v>
      </c>
      <c r="CI257" s="50">
        <f t="shared" si="359"/>
        <v>1</v>
      </c>
      <c r="CJ257" s="50">
        <f t="shared" si="360"/>
        <v>1</v>
      </c>
      <c r="CK257" s="50">
        <f t="shared" si="360"/>
        <v>0</v>
      </c>
      <c r="CL257" s="50">
        <f t="shared" si="360"/>
        <v>0</v>
      </c>
      <c r="CM257" s="51">
        <f t="shared" si="368"/>
        <v>0</v>
      </c>
      <c r="CN257" s="33">
        <f>ROUND(IF(BS257=0,0,HLOOKUP(BS$14,Villagers!$B$1:$V$33,BS257+3,FALSE)),)</f>
        <v>5</v>
      </c>
      <c r="CO257" s="14">
        <f>ROUND(IF(BT257=0,0,HLOOKUP(BT$14,Villagers!$B$1:$V$33,BT257+3,FALSE)),)</f>
        <v>0</v>
      </c>
      <c r="CP257" s="14">
        <f>ROUND(IF(BU257=0,0,HLOOKUP(BU$14,Villagers!$B$1:$V$33,BU257+3,FALSE)),)</f>
        <v>0</v>
      </c>
      <c r="CQ257" s="14">
        <f>ROUND(IF(BV257=0,0,HLOOKUP(BV$14,Villagers!$B$1:$V$33,BV257+3,FALSE)),)</f>
        <v>0</v>
      </c>
      <c r="CR257" s="14">
        <f>ROUND(IF(BW257=0,0,HLOOKUP(BW$14,Villagers!$B$1:$V$33,BW257+3,FALSE)),)</f>
        <v>0</v>
      </c>
      <c r="CS257" s="14">
        <f>ROUND(IF(BX257=0,0,HLOOKUP(BX$14,Villagers!$B$1:$V$33,BX257+3,FALSE)),)</f>
        <v>0</v>
      </c>
      <c r="CT257" s="14">
        <f>ROUND(IF(BY257=0,0,HLOOKUP(BY$14,Villagers!$B$1:$V$33,BY257+3,FALSE)),)</f>
        <v>0</v>
      </c>
      <c r="CU257" s="14">
        <f>ROUND(IF(BZ257=0,0,HLOOKUP(BZ$14,Villagers!$B$1:$V$33,BZ257+3,FALSE)),)</f>
        <v>0</v>
      </c>
      <c r="CV257" s="14">
        <f>ROUND(IF(CA257=0,0,HLOOKUP(CA$14,Villagers!$B$1:$V$33,CA257+3,FALSE)),)</f>
        <v>0</v>
      </c>
      <c r="CW257" s="14">
        <f>ROUND(IF(CB257=0,0,HLOOKUP(CB$14,Villagers!$B$1:$V$33,CB257+3,FALSE)),)</f>
        <v>0</v>
      </c>
      <c r="CX257" s="14">
        <f>ROUND(IF(CC257=0,0,HLOOKUP(CC$14,Villagers!$B$1:$V$33,CC257+3,FALSE)),)</f>
        <v>0</v>
      </c>
      <c r="CY257" s="14">
        <f>ROUND(IF(CD257=0,0,HLOOKUP(CD$14,Villagers!$B$1:$V$33,CD257+3,FALSE)),)</f>
        <v>0</v>
      </c>
      <c r="CZ257" s="14">
        <f>ROUND(IF(CE257=0,0,HLOOKUP(CE$14,Villagers!$B$1:$V$33,CE257+3,FALSE)),)</f>
        <v>5</v>
      </c>
      <c r="DA257" s="14">
        <f>ROUND(IF(CF257=0,0,HLOOKUP(CF$14,Villagers!$B$1:$V$33,CF257+3,FALSE)),)</f>
        <v>10</v>
      </c>
      <c r="DB257" s="14">
        <f>ROUND(IF(CG257=0,0,HLOOKUP(CG$14,Villagers!$B$1:$V$33,CG257+3,FALSE)),)</f>
        <v>10</v>
      </c>
      <c r="DC257" s="14">
        <f>ROUND(IF(CH257=0,0,HLOOKUP(CH$14,Villagers!$B$1:$V$33,CH257+3,FALSE)),)</f>
        <v>0</v>
      </c>
      <c r="DD257" s="14">
        <f>ROUND(IF(CI257=0,0,HLOOKUP(CI$14,Villagers!$B$1:$V$33,CI257+3,FALSE)),)</f>
        <v>0</v>
      </c>
      <c r="DE257" s="14">
        <f>ROUND(IF(CJ257=0,0,HLOOKUP(CJ$14,Villagers!$B$1:$V$33,CJ257+3,FALSE)),)</f>
        <v>2</v>
      </c>
      <c r="DF257" s="370">
        <f>ROUND(IF(CK257=0,0,HLOOKUP(CK$14,Villagers!$B$1:$V$33,CK257+3,FALSE)),)</f>
        <v>0</v>
      </c>
      <c r="DG257" s="370">
        <f>ROUND(IF(CL257=0,0,HLOOKUP(CL$14,Villagers!$B$1:$V$33,CL257+3,FALSE)),)</f>
        <v>0</v>
      </c>
      <c r="DH257" s="34">
        <f>ROUND(IF(CM257=0,0,HLOOKUP(CM$14,Villagers!$B$1:$V$33,CM257+3,FALSE)),)</f>
        <v>0</v>
      </c>
      <c r="DI257" s="109">
        <f t="shared" si="336"/>
        <v>0</v>
      </c>
      <c r="DJ257" s="50">
        <f t="shared" si="337"/>
        <v>0</v>
      </c>
      <c r="DK257" s="50">
        <f t="shared" si="338"/>
        <v>0</v>
      </c>
      <c r="DL257" s="50">
        <f t="shared" si="339"/>
        <v>0</v>
      </c>
      <c r="DM257" s="50">
        <f t="shared" si="340"/>
        <v>0</v>
      </c>
      <c r="DN257" s="50">
        <f t="shared" si="341"/>
        <v>0</v>
      </c>
      <c r="DO257" s="50">
        <f t="shared" si="342"/>
        <v>0</v>
      </c>
      <c r="DP257" s="50">
        <f t="shared" si="343"/>
        <v>0</v>
      </c>
      <c r="DQ257" s="50">
        <f t="shared" si="321"/>
        <v>0</v>
      </c>
      <c r="DR257" s="50">
        <f t="shared" si="322"/>
        <v>0</v>
      </c>
      <c r="DS257" s="96">
        <f>Miscelaneous!$D$4*Miscelaneous!$D$2^($CI257-1)</f>
        <v>1000</v>
      </c>
      <c r="DT257" s="333">
        <f t="shared" si="303"/>
        <v>1</v>
      </c>
      <c r="DU257" s="81">
        <v>1</v>
      </c>
      <c r="DV257" s="79">
        <f t="shared" si="323"/>
        <v>0</v>
      </c>
      <c r="DW257" s="79">
        <f t="shared" si="324"/>
        <v>0</v>
      </c>
      <c r="DX257" s="79">
        <f t="shared" si="325"/>
        <v>0</v>
      </c>
      <c r="DY257" s="79">
        <v>1</v>
      </c>
      <c r="DZ257" s="79">
        <f t="shared" si="326"/>
        <v>0</v>
      </c>
      <c r="EA257" s="79">
        <f t="shared" si="327"/>
        <v>0</v>
      </c>
      <c r="EB257" s="79">
        <f t="shared" si="328"/>
        <v>0</v>
      </c>
      <c r="EC257" s="79">
        <f t="shared" si="329"/>
        <v>0</v>
      </c>
      <c r="ED257" s="79">
        <v>1</v>
      </c>
      <c r="EE257" s="79">
        <v>1</v>
      </c>
      <c r="EF257" s="79">
        <f t="shared" si="330"/>
        <v>0</v>
      </c>
      <c r="EG257" s="79">
        <v>1</v>
      </c>
      <c r="EH257" s="79">
        <v>1</v>
      </c>
      <c r="EI257" s="79">
        <v>1</v>
      </c>
      <c r="EJ257" s="79">
        <v>1</v>
      </c>
      <c r="EK257" s="79">
        <v>1</v>
      </c>
      <c r="EL257" s="79">
        <v>1</v>
      </c>
      <c r="EM257" s="143">
        <f t="shared" si="331"/>
        <v>0</v>
      </c>
      <c r="EN257" s="143">
        <f t="shared" si="332"/>
        <v>0</v>
      </c>
      <c r="EO257" s="82">
        <f t="shared" si="333"/>
        <v>0</v>
      </c>
    </row>
    <row r="258" spans="1:145" x14ac:dyDescent="0.25">
      <c r="A258">
        <v>244</v>
      </c>
      <c r="B258" s="172" t="e">
        <f t="shared" si="304"/>
        <v>#N/A</v>
      </c>
      <c r="C258" s="121" t="e">
        <f t="shared" si="283"/>
        <v>#N/A</v>
      </c>
      <c r="D258" s="122" t="e">
        <f t="shared" si="284"/>
        <v>#N/A</v>
      </c>
      <c r="E258" s="122" t="e">
        <f t="shared" si="285"/>
        <v>#N/A</v>
      </c>
      <c r="F258" s="176" t="e">
        <f t="shared" si="286"/>
        <v>#N/A</v>
      </c>
      <c r="G258" s="121">
        <f t="shared" si="305"/>
        <v>208</v>
      </c>
      <c r="H258" s="176" t="e">
        <f t="shared" si="306"/>
        <v>#N/A</v>
      </c>
      <c r="I258" s="48">
        <v>1</v>
      </c>
      <c r="J258" s="39"/>
      <c r="K258" s="350">
        <v>1</v>
      </c>
      <c r="L258" s="34" t="e">
        <f t="shared" si="287"/>
        <v>#N/A</v>
      </c>
      <c r="M258" s="38" t="e">
        <f>(HLOOKUP(J258,'Construction Times'!$B$3:$W$34,L258+2,FALSE)*HLOOKUP("hq modifier",'Construction Times'!$W$3:$W$34,BS258+2,FALSE))*(1-$H$9)</f>
        <v>#N/A</v>
      </c>
      <c r="N258" s="443" t="e">
        <f t="shared" si="307"/>
        <v>#N/A</v>
      </c>
      <c r="O258" s="444"/>
      <c r="P258" s="447" t="e">
        <f t="shared" si="308"/>
        <v>#N/A</v>
      </c>
      <c r="Q258" s="448"/>
      <c r="R258" s="103">
        <f t="shared" si="334"/>
        <v>0</v>
      </c>
      <c r="S258" s="104">
        <f t="shared" si="334"/>
        <v>0</v>
      </c>
      <c r="T258" s="104">
        <f t="shared" si="335"/>
        <v>0</v>
      </c>
      <c r="U258" s="104">
        <f t="shared" si="335"/>
        <v>0</v>
      </c>
      <c r="V258" s="104">
        <f t="shared" si="335"/>
        <v>9.9999999999999995E-8</v>
      </c>
      <c r="W258" s="104">
        <f t="shared" si="335"/>
        <v>0</v>
      </c>
      <c r="X258" s="104">
        <f t="shared" si="365"/>
        <v>0</v>
      </c>
      <c r="Y258" s="104">
        <f t="shared" si="365"/>
        <v>9.9999999999999995E-8</v>
      </c>
      <c r="Z258" s="104">
        <f t="shared" si="365"/>
        <v>9.9999999999999995E-8</v>
      </c>
      <c r="AA258" s="105">
        <f t="shared" si="365"/>
        <v>9.9999999999999995E-8</v>
      </c>
      <c r="AB258" s="101" t="e">
        <f>$DT258*HLOOKUP($J258,'Construction Costs (timber)'!$B$1:$V$32,'Construction Planner'!$L258+2,FALSE)</f>
        <v>#N/A</v>
      </c>
      <c r="AC258" s="14" t="e">
        <f>$DT258*HLOOKUP($J258,'Construction Costs (clay)'!$B$1:$V$32,'Construction Planner'!$L258+2,FALSE)</f>
        <v>#N/A</v>
      </c>
      <c r="AD258" s="14" t="e">
        <f>$DT258*HLOOKUP($J258,'Construction Costs (iron)'!$B$1:$V$32,'Construction Planner'!$L258+2,FALSE)</f>
        <v>#N/A</v>
      </c>
      <c r="AE258" s="34" t="e">
        <f t="shared" si="344"/>
        <v>#N/A</v>
      </c>
      <c r="AF258" s="33" t="e">
        <f t="shared" si="288"/>
        <v>#N/A</v>
      </c>
      <c r="AG258" s="14" t="e">
        <f t="shared" si="289"/>
        <v>#N/A</v>
      </c>
      <c r="AH258" s="14" t="e">
        <f t="shared" si="290"/>
        <v>#N/A</v>
      </c>
      <c r="AI258" s="34" t="e">
        <f t="shared" si="345"/>
        <v>#N/A</v>
      </c>
      <c r="AJ258" s="49" t="e">
        <f t="shared" si="309"/>
        <v>#N/A</v>
      </c>
      <c r="AK258" s="49" t="e">
        <f t="shared" si="310"/>
        <v>#N/A</v>
      </c>
      <c r="AL258" s="49" t="e">
        <f t="shared" si="311"/>
        <v>#N/A</v>
      </c>
      <c r="AM258" s="25">
        <f t="shared" si="291"/>
        <v>30</v>
      </c>
      <c r="AN258" s="25">
        <f t="shared" si="292"/>
        <v>30</v>
      </c>
      <c r="AO258" s="25">
        <f t="shared" si="293"/>
        <v>30</v>
      </c>
      <c r="AP258" s="52" t="e">
        <f t="shared" si="312"/>
        <v>#N/A</v>
      </c>
      <c r="AQ258" s="53" t="e">
        <f t="shared" si="312"/>
        <v>#N/A</v>
      </c>
      <c r="AR258" s="54" t="e">
        <f t="shared" si="312"/>
        <v>#N/A</v>
      </c>
      <c r="AS258" s="316">
        <f t="shared" si="367"/>
        <v>0</v>
      </c>
      <c r="AT258" s="106">
        <f>_xlfn.IFNA($M258/VLOOKUP($BT258,'Unit information'!$A$2:$K$29,2,FALSE)*R258,0)*(1+$E$9)</f>
        <v>0</v>
      </c>
      <c r="AU258" s="107">
        <f>_xlfn.IFNA($M258/VLOOKUP($BT258,'Unit information'!$A$2:$K$29,3,FALSE)*S258,0)*(1+$E$9)</f>
        <v>0</v>
      </c>
      <c r="AV258" s="107">
        <f>_xlfn.IFNA($M258/VLOOKUP($BT258,'Unit information'!$A$2:$K$29,4,FALSE)*T258,0)*(1+$E$9)</f>
        <v>0</v>
      </c>
      <c r="AW258" s="107">
        <f>_xlfn.IFNA($M258/VLOOKUP($BT258,'Unit information'!$A$2:$K$29,5,FALSE)*U258,0)*(1+$E$9)</f>
        <v>0</v>
      </c>
      <c r="AX258" s="107">
        <f>_xlfn.IFNA($M258/VLOOKUP($BU258,'Unit information'!$A$2:$K$29,6,FALSE)*V258,0)*(1+$E$9)</f>
        <v>0</v>
      </c>
      <c r="AY258" s="107">
        <f>_xlfn.IFNA($M258/VLOOKUP($BU258,'Unit information'!$A$2:$K$29,7,FALSE)*W258,0)*(1+$E$9)</f>
        <v>0</v>
      </c>
      <c r="AZ258" s="107">
        <f>_xlfn.IFNA($M258/VLOOKUP($BU258,'Unit information'!$A$2:$K$29,8,FALSE)*X258,0)*(1+$E$9)</f>
        <v>0</v>
      </c>
      <c r="BA258" s="107">
        <f>_xlfn.IFNA($M258/VLOOKUP($BU258,'Unit information'!$A$2:$K$29,9,FALSE)*Y258,0)*(1+$E$9)</f>
        <v>0</v>
      </c>
      <c r="BB258" s="107">
        <f>_xlfn.IFNA($M258/VLOOKUP($BV258,'Unit information'!$A$2:$K$29,10,FALSE)*Z258,0)*(1+$E$9)</f>
        <v>0</v>
      </c>
      <c r="BC258" s="108">
        <f>_xlfn.IFNA($M258/VLOOKUP($BV258,'Unit information'!$A$2:$K$29,11,FALSE)*AA258,0)*(1+$E$9)</f>
        <v>0</v>
      </c>
      <c r="BD258" s="106">
        <f t="shared" si="294"/>
        <v>0</v>
      </c>
      <c r="BE258" s="107">
        <f t="shared" si="295"/>
        <v>0</v>
      </c>
      <c r="BF258" s="108">
        <f t="shared" si="296"/>
        <v>0</v>
      </c>
      <c r="BG258" s="25" t="e">
        <f t="shared" si="297"/>
        <v>#N/A</v>
      </c>
      <c r="BH258" s="25" t="e">
        <f t="shared" si="298"/>
        <v>#N/A</v>
      </c>
      <c r="BI258" s="25" t="e">
        <f t="shared" si="299"/>
        <v>#N/A</v>
      </c>
      <c r="BJ258" s="27" t="e">
        <f t="shared" si="300"/>
        <v>#N/A</v>
      </c>
      <c r="BK258" s="18" t="e">
        <f t="shared" si="301"/>
        <v>#N/A</v>
      </c>
      <c r="BL258" s="18" t="e">
        <f t="shared" si="302"/>
        <v>#N/A</v>
      </c>
      <c r="BM258" s="28" t="e">
        <f t="shared" si="347"/>
        <v>#N/A</v>
      </c>
      <c r="BN258" s="33">
        <f>HLOOKUP("maximum population",Miscelaneous!$C$1:$C$33,CH258+3,FALSE)</f>
        <v>240</v>
      </c>
      <c r="BO258" s="14">
        <f t="shared" si="313"/>
        <v>32</v>
      </c>
      <c r="BP258" s="14">
        <f t="shared" si="314"/>
        <v>0</v>
      </c>
      <c r="BQ258" s="14">
        <f t="shared" si="315"/>
        <v>208</v>
      </c>
      <c r="BR258" s="34" t="e">
        <f>HLOOKUP(J258,Villagers!$B$1:$V$33,L258+3,FALSE)-HLOOKUP(J258,Villagers!$B$1:$V$33,L258+2,FALSE)</f>
        <v>#N/A</v>
      </c>
      <c r="BS258" s="49">
        <f t="shared" si="316"/>
        <v>1</v>
      </c>
      <c r="BT258" s="50">
        <f t="shared" si="317"/>
        <v>0</v>
      </c>
      <c r="BU258" s="50">
        <f t="shared" si="318"/>
        <v>0</v>
      </c>
      <c r="BV258" s="50">
        <f t="shared" si="319"/>
        <v>0</v>
      </c>
      <c r="BW258" s="50">
        <f t="shared" si="369"/>
        <v>0</v>
      </c>
      <c r="BX258" s="50">
        <f t="shared" si="369"/>
        <v>0</v>
      </c>
      <c r="BY258" s="50">
        <f t="shared" si="369"/>
        <v>0</v>
      </c>
      <c r="BZ258" s="50">
        <f t="shared" si="350"/>
        <v>0</v>
      </c>
      <c r="CA258" s="50">
        <f t="shared" si="351"/>
        <v>0</v>
      </c>
      <c r="CB258" s="50">
        <f t="shared" si="352"/>
        <v>1</v>
      </c>
      <c r="CC258" s="50">
        <f t="shared" si="353"/>
        <v>0</v>
      </c>
      <c r="CD258" s="50">
        <f t="shared" si="354"/>
        <v>0</v>
      </c>
      <c r="CE258" s="50">
        <f t="shared" si="355"/>
        <v>1</v>
      </c>
      <c r="CF258" s="50">
        <f t="shared" si="356"/>
        <v>1</v>
      </c>
      <c r="CG258" s="50">
        <f t="shared" si="357"/>
        <v>1</v>
      </c>
      <c r="CH258" s="50">
        <f t="shared" si="358"/>
        <v>1</v>
      </c>
      <c r="CI258" s="50">
        <f t="shared" si="359"/>
        <v>1</v>
      </c>
      <c r="CJ258" s="50">
        <f t="shared" si="360"/>
        <v>1</v>
      </c>
      <c r="CK258" s="50">
        <f t="shared" si="360"/>
        <v>0</v>
      </c>
      <c r="CL258" s="50">
        <f t="shared" si="360"/>
        <v>0</v>
      </c>
      <c r="CM258" s="51">
        <f t="shared" si="368"/>
        <v>0</v>
      </c>
      <c r="CN258" s="33">
        <f>ROUND(IF(BS258=0,0,HLOOKUP(BS$14,Villagers!$B$1:$V$33,BS258+3,FALSE)),)</f>
        <v>5</v>
      </c>
      <c r="CO258" s="14">
        <f>ROUND(IF(BT258=0,0,HLOOKUP(BT$14,Villagers!$B$1:$V$33,BT258+3,FALSE)),)</f>
        <v>0</v>
      </c>
      <c r="CP258" s="14">
        <f>ROUND(IF(BU258=0,0,HLOOKUP(BU$14,Villagers!$B$1:$V$33,BU258+3,FALSE)),)</f>
        <v>0</v>
      </c>
      <c r="CQ258" s="14">
        <f>ROUND(IF(BV258=0,0,HLOOKUP(BV$14,Villagers!$B$1:$V$33,BV258+3,FALSE)),)</f>
        <v>0</v>
      </c>
      <c r="CR258" s="14">
        <f>ROUND(IF(BW258=0,0,HLOOKUP(BW$14,Villagers!$B$1:$V$33,BW258+3,FALSE)),)</f>
        <v>0</v>
      </c>
      <c r="CS258" s="14">
        <f>ROUND(IF(BX258=0,0,HLOOKUP(BX$14,Villagers!$B$1:$V$33,BX258+3,FALSE)),)</f>
        <v>0</v>
      </c>
      <c r="CT258" s="14">
        <f>ROUND(IF(BY258=0,0,HLOOKUP(BY$14,Villagers!$B$1:$V$33,BY258+3,FALSE)),)</f>
        <v>0</v>
      </c>
      <c r="CU258" s="14">
        <f>ROUND(IF(BZ258=0,0,HLOOKUP(BZ$14,Villagers!$B$1:$V$33,BZ258+3,FALSE)),)</f>
        <v>0</v>
      </c>
      <c r="CV258" s="14">
        <f>ROUND(IF(CA258=0,0,HLOOKUP(CA$14,Villagers!$B$1:$V$33,CA258+3,FALSE)),)</f>
        <v>0</v>
      </c>
      <c r="CW258" s="14">
        <f>ROUND(IF(CB258=0,0,HLOOKUP(CB$14,Villagers!$B$1:$V$33,CB258+3,FALSE)),)</f>
        <v>0</v>
      </c>
      <c r="CX258" s="14">
        <f>ROUND(IF(CC258=0,0,HLOOKUP(CC$14,Villagers!$B$1:$V$33,CC258+3,FALSE)),)</f>
        <v>0</v>
      </c>
      <c r="CY258" s="14">
        <f>ROUND(IF(CD258=0,0,HLOOKUP(CD$14,Villagers!$B$1:$V$33,CD258+3,FALSE)),)</f>
        <v>0</v>
      </c>
      <c r="CZ258" s="14">
        <f>ROUND(IF(CE258=0,0,HLOOKUP(CE$14,Villagers!$B$1:$V$33,CE258+3,FALSE)),)</f>
        <v>5</v>
      </c>
      <c r="DA258" s="14">
        <f>ROUND(IF(CF258=0,0,HLOOKUP(CF$14,Villagers!$B$1:$V$33,CF258+3,FALSE)),)</f>
        <v>10</v>
      </c>
      <c r="DB258" s="14">
        <f>ROUND(IF(CG258=0,0,HLOOKUP(CG$14,Villagers!$B$1:$V$33,CG258+3,FALSE)),)</f>
        <v>10</v>
      </c>
      <c r="DC258" s="14">
        <f>ROUND(IF(CH258=0,0,HLOOKUP(CH$14,Villagers!$B$1:$V$33,CH258+3,FALSE)),)</f>
        <v>0</v>
      </c>
      <c r="DD258" s="14">
        <f>ROUND(IF(CI258=0,0,HLOOKUP(CI$14,Villagers!$B$1:$V$33,CI258+3,FALSE)),)</f>
        <v>0</v>
      </c>
      <c r="DE258" s="14">
        <f>ROUND(IF(CJ258=0,0,HLOOKUP(CJ$14,Villagers!$B$1:$V$33,CJ258+3,FALSE)),)</f>
        <v>2</v>
      </c>
      <c r="DF258" s="370">
        <f>ROUND(IF(CK258=0,0,HLOOKUP(CK$14,Villagers!$B$1:$V$33,CK258+3,FALSE)),)</f>
        <v>0</v>
      </c>
      <c r="DG258" s="370">
        <f>ROUND(IF(CL258=0,0,HLOOKUP(CL$14,Villagers!$B$1:$V$33,CL258+3,FALSE)),)</f>
        <v>0</v>
      </c>
      <c r="DH258" s="34">
        <f>ROUND(IF(CM258=0,0,HLOOKUP(CM$14,Villagers!$B$1:$V$33,CM258+3,FALSE)),)</f>
        <v>0</v>
      </c>
      <c r="DI258" s="109">
        <f t="shared" si="336"/>
        <v>0</v>
      </c>
      <c r="DJ258" s="50">
        <f t="shared" si="337"/>
        <v>0</v>
      </c>
      <c r="DK258" s="50">
        <f t="shared" si="338"/>
        <v>0</v>
      </c>
      <c r="DL258" s="50">
        <f t="shared" si="339"/>
        <v>0</v>
      </c>
      <c r="DM258" s="50">
        <f t="shared" si="340"/>
        <v>0</v>
      </c>
      <c r="DN258" s="50">
        <f t="shared" si="341"/>
        <v>0</v>
      </c>
      <c r="DO258" s="50">
        <f t="shared" si="342"/>
        <v>0</v>
      </c>
      <c r="DP258" s="50">
        <f t="shared" si="343"/>
        <v>0</v>
      </c>
      <c r="DQ258" s="50">
        <f t="shared" si="321"/>
        <v>0</v>
      </c>
      <c r="DR258" s="50">
        <f t="shared" si="322"/>
        <v>0</v>
      </c>
      <c r="DS258" s="96">
        <f>Miscelaneous!$D$4*Miscelaneous!$D$2^($CI258-1)</f>
        <v>1000</v>
      </c>
      <c r="DT258" s="333">
        <f t="shared" si="303"/>
        <v>1</v>
      </c>
      <c r="DU258" s="81">
        <v>1</v>
      </c>
      <c r="DV258" s="79">
        <f t="shared" si="323"/>
        <v>0</v>
      </c>
      <c r="DW258" s="79">
        <f t="shared" si="324"/>
        <v>0</v>
      </c>
      <c r="DX258" s="79">
        <f t="shared" si="325"/>
        <v>0</v>
      </c>
      <c r="DY258" s="79">
        <v>1</v>
      </c>
      <c r="DZ258" s="79">
        <f t="shared" si="326"/>
        <v>0</v>
      </c>
      <c r="EA258" s="79">
        <f t="shared" si="327"/>
        <v>0</v>
      </c>
      <c r="EB258" s="79">
        <f t="shared" si="328"/>
        <v>0</v>
      </c>
      <c r="EC258" s="79">
        <f t="shared" si="329"/>
        <v>0</v>
      </c>
      <c r="ED258" s="79">
        <v>1</v>
      </c>
      <c r="EE258" s="79">
        <v>1</v>
      </c>
      <c r="EF258" s="79">
        <f t="shared" si="330"/>
        <v>0</v>
      </c>
      <c r="EG258" s="79">
        <v>1</v>
      </c>
      <c r="EH258" s="79">
        <v>1</v>
      </c>
      <c r="EI258" s="79">
        <v>1</v>
      </c>
      <c r="EJ258" s="79">
        <v>1</v>
      </c>
      <c r="EK258" s="79">
        <v>1</v>
      </c>
      <c r="EL258" s="79">
        <v>1</v>
      </c>
      <c r="EM258" s="143">
        <f t="shared" si="331"/>
        <v>0</v>
      </c>
      <c r="EN258" s="143">
        <f t="shared" si="332"/>
        <v>0</v>
      </c>
      <c r="EO258" s="82">
        <f t="shared" si="333"/>
        <v>0</v>
      </c>
    </row>
    <row r="259" spans="1:145" x14ac:dyDescent="0.25">
      <c r="A259">
        <v>245</v>
      </c>
      <c r="B259" s="172" t="e">
        <f t="shared" si="304"/>
        <v>#N/A</v>
      </c>
      <c r="C259" s="121" t="e">
        <f t="shared" si="283"/>
        <v>#N/A</v>
      </c>
      <c r="D259" s="122" t="e">
        <f t="shared" si="284"/>
        <v>#N/A</v>
      </c>
      <c r="E259" s="122" t="e">
        <f t="shared" si="285"/>
        <v>#N/A</v>
      </c>
      <c r="F259" s="176" t="e">
        <f t="shared" si="286"/>
        <v>#N/A</v>
      </c>
      <c r="G259" s="121">
        <f t="shared" si="305"/>
        <v>208</v>
      </c>
      <c r="H259" s="176" t="e">
        <f t="shared" si="306"/>
        <v>#N/A</v>
      </c>
      <c r="I259" s="48">
        <v>1</v>
      </c>
      <c r="J259" s="39"/>
      <c r="K259" s="350">
        <v>1</v>
      </c>
      <c r="L259" s="34" t="e">
        <f t="shared" si="287"/>
        <v>#N/A</v>
      </c>
      <c r="M259" s="38" t="e">
        <f>(HLOOKUP(J259,'Construction Times'!$B$3:$W$34,L259+2,FALSE)*HLOOKUP("hq modifier",'Construction Times'!$W$3:$W$34,BS259+2,FALSE))*(1-$H$9)</f>
        <v>#N/A</v>
      </c>
      <c r="N259" s="443" t="e">
        <f t="shared" si="307"/>
        <v>#N/A</v>
      </c>
      <c r="O259" s="444"/>
      <c r="P259" s="447" t="e">
        <f t="shared" si="308"/>
        <v>#N/A</v>
      </c>
      <c r="Q259" s="448"/>
      <c r="R259" s="103">
        <f t="shared" si="334"/>
        <v>0</v>
      </c>
      <c r="S259" s="104">
        <f t="shared" si="334"/>
        <v>0</v>
      </c>
      <c r="T259" s="104">
        <f t="shared" si="335"/>
        <v>0</v>
      </c>
      <c r="U259" s="104">
        <f t="shared" si="335"/>
        <v>0</v>
      </c>
      <c r="V259" s="104">
        <f t="shared" si="335"/>
        <v>9.9999999999999995E-8</v>
      </c>
      <c r="W259" s="104">
        <f t="shared" si="335"/>
        <v>0</v>
      </c>
      <c r="X259" s="104">
        <f t="shared" si="365"/>
        <v>0</v>
      </c>
      <c r="Y259" s="104">
        <f t="shared" si="365"/>
        <v>9.9999999999999995E-8</v>
      </c>
      <c r="Z259" s="104">
        <f t="shared" si="365"/>
        <v>9.9999999999999995E-8</v>
      </c>
      <c r="AA259" s="105">
        <f t="shared" si="365"/>
        <v>9.9999999999999995E-8</v>
      </c>
      <c r="AB259" s="101" t="e">
        <f>$DT259*HLOOKUP($J259,'Construction Costs (timber)'!$B$1:$V$32,'Construction Planner'!$L259+2,FALSE)</f>
        <v>#N/A</v>
      </c>
      <c r="AC259" s="14" t="e">
        <f>$DT259*HLOOKUP($J259,'Construction Costs (clay)'!$B$1:$V$32,'Construction Planner'!$L259+2,FALSE)</f>
        <v>#N/A</v>
      </c>
      <c r="AD259" s="14" t="e">
        <f>$DT259*HLOOKUP($J259,'Construction Costs (iron)'!$B$1:$V$32,'Construction Planner'!$L259+2,FALSE)</f>
        <v>#N/A</v>
      </c>
      <c r="AE259" s="34" t="e">
        <f t="shared" si="344"/>
        <v>#N/A</v>
      </c>
      <c r="AF259" s="33" t="e">
        <f t="shared" si="288"/>
        <v>#N/A</v>
      </c>
      <c r="AG259" s="14" t="e">
        <f t="shared" si="289"/>
        <v>#N/A</v>
      </c>
      <c r="AH259" s="14" t="e">
        <f t="shared" si="290"/>
        <v>#N/A</v>
      </c>
      <c r="AI259" s="34" t="e">
        <f t="shared" si="345"/>
        <v>#N/A</v>
      </c>
      <c r="AJ259" s="49" t="e">
        <f t="shared" si="309"/>
        <v>#N/A</v>
      </c>
      <c r="AK259" s="49" t="e">
        <f t="shared" si="310"/>
        <v>#N/A</v>
      </c>
      <c r="AL259" s="49" t="e">
        <f t="shared" si="311"/>
        <v>#N/A</v>
      </c>
      <c r="AM259" s="25">
        <f t="shared" si="291"/>
        <v>30</v>
      </c>
      <c r="AN259" s="25">
        <f t="shared" si="292"/>
        <v>30</v>
      </c>
      <c r="AO259" s="25">
        <f t="shared" si="293"/>
        <v>30</v>
      </c>
      <c r="AP259" s="52" t="e">
        <f t="shared" si="312"/>
        <v>#N/A</v>
      </c>
      <c r="AQ259" s="53" t="e">
        <f t="shared" si="312"/>
        <v>#N/A</v>
      </c>
      <c r="AR259" s="54" t="e">
        <f t="shared" si="312"/>
        <v>#N/A</v>
      </c>
      <c r="AS259" s="316">
        <f t="shared" si="367"/>
        <v>0</v>
      </c>
      <c r="AT259" s="106">
        <f>_xlfn.IFNA($M259/VLOOKUP($BT259,'Unit information'!$A$2:$K$29,2,FALSE)*R259,0)*(1+$E$9)</f>
        <v>0</v>
      </c>
      <c r="AU259" s="107">
        <f>_xlfn.IFNA($M259/VLOOKUP($BT259,'Unit information'!$A$2:$K$29,3,FALSE)*S259,0)*(1+$E$9)</f>
        <v>0</v>
      </c>
      <c r="AV259" s="107">
        <f>_xlfn.IFNA($M259/VLOOKUP($BT259,'Unit information'!$A$2:$K$29,4,FALSE)*T259,0)*(1+$E$9)</f>
        <v>0</v>
      </c>
      <c r="AW259" s="107">
        <f>_xlfn.IFNA($M259/VLOOKUP($BT259,'Unit information'!$A$2:$K$29,5,FALSE)*U259,0)*(1+$E$9)</f>
        <v>0</v>
      </c>
      <c r="AX259" s="107">
        <f>_xlfn.IFNA($M259/VLOOKUP($BU259,'Unit information'!$A$2:$K$29,6,FALSE)*V259,0)*(1+$E$9)</f>
        <v>0</v>
      </c>
      <c r="AY259" s="107">
        <f>_xlfn.IFNA($M259/VLOOKUP($BU259,'Unit information'!$A$2:$K$29,7,FALSE)*W259,0)*(1+$E$9)</f>
        <v>0</v>
      </c>
      <c r="AZ259" s="107">
        <f>_xlfn.IFNA($M259/VLOOKUP($BU259,'Unit information'!$A$2:$K$29,8,FALSE)*X259,0)*(1+$E$9)</f>
        <v>0</v>
      </c>
      <c r="BA259" s="107">
        <f>_xlfn.IFNA($M259/VLOOKUP($BU259,'Unit information'!$A$2:$K$29,9,FALSE)*Y259,0)*(1+$E$9)</f>
        <v>0</v>
      </c>
      <c r="BB259" s="107">
        <f>_xlfn.IFNA($M259/VLOOKUP($BV259,'Unit information'!$A$2:$K$29,10,FALSE)*Z259,0)*(1+$E$9)</f>
        <v>0</v>
      </c>
      <c r="BC259" s="108">
        <f>_xlfn.IFNA($M259/VLOOKUP($BV259,'Unit information'!$A$2:$K$29,11,FALSE)*AA259,0)*(1+$E$9)</f>
        <v>0</v>
      </c>
      <c r="BD259" s="106">
        <f t="shared" si="294"/>
        <v>0</v>
      </c>
      <c r="BE259" s="107">
        <f t="shared" si="295"/>
        <v>0</v>
      </c>
      <c r="BF259" s="108">
        <f t="shared" si="296"/>
        <v>0</v>
      </c>
      <c r="BG259" s="25" t="e">
        <f t="shared" si="297"/>
        <v>#N/A</v>
      </c>
      <c r="BH259" s="25" t="e">
        <f t="shared" si="298"/>
        <v>#N/A</v>
      </c>
      <c r="BI259" s="25" t="e">
        <f t="shared" si="299"/>
        <v>#N/A</v>
      </c>
      <c r="BJ259" s="27" t="e">
        <f t="shared" si="300"/>
        <v>#N/A</v>
      </c>
      <c r="BK259" s="18" t="e">
        <f t="shared" si="301"/>
        <v>#N/A</v>
      </c>
      <c r="BL259" s="18" t="e">
        <f t="shared" si="302"/>
        <v>#N/A</v>
      </c>
      <c r="BM259" s="28" t="e">
        <f t="shared" si="347"/>
        <v>#N/A</v>
      </c>
      <c r="BN259" s="33">
        <f>HLOOKUP("maximum population",Miscelaneous!$C$1:$C$33,CH259+3,FALSE)</f>
        <v>240</v>
      </c>
      <c r="BO259" s="14">
        <f t="shared" si="313"/>
        <v>32</v>
      </c>
      <c r="BP259" s="14">
        <f t="shared" si="314"/>
        <v>0</v>
      </c>
      <c r="BQ259" s="14">
        <f t="shared" si="315"/>
        <v>208</v>
      </c>
      <c r="BR259" s="34" t="e">
        <f>HLOOKUP(J259,Villagers!$B$1:$V$33,L259+3,FALSE)-HLOOKUP(J259,Villagers!$B$1:$V$33,L259+2,FALSE)</f>
        <v>#N/A</v>
      </c>
      <c r="BS259" s="49">
        <f t="shared" si="316"/>
        <v>1</v>
      </c>
      <c r="BT259" s="50">
        <f t="shared" si="317"/>
        <v>0</v>
      </c>
      <c r="BU259" s="50">
        <f t="shared" si="318"/>
        <v>0</v>
      </c>
      <c r="BV259" s="50">
        <f t="shared" si="319"/>
        <v>0</v>
      </c>
      <c r="BW259" s="50">
        <f t="shared" si="369"/>
        <v>0</v>
      </c>
      <c r="BX259" s="50">
        <f t="shared" si="369"/>
        <v>0</v>
      </c>
      <c r="BY259" s="50">
        <f t="shared" si="369"/>
        <v>0</v>
      </c>
      <c r="BZ259" s="50">
        <f t="shared" si="350"/>
        <v>0</v>
      </c>
      <c r="CA259" s="50">
        <f t="shared" si="351"/>
        <v>0</v>
      </c>
      <c r="CB259" s="50">
        <f t="shared" si="352"/>
        <v>1</v>
      </c>
      <c r="CC259" s="50">
        <f t="shared" si="353"/>
        <v>0</v>
      </c>
      <c r="CD259" s="50">
        <f t="shared" si="354"/>
        <v>0</v>
      </c>
      <c r="CE259" s="50">
        <f t="shared" si="355"/>
        <v>1</v>
      </c>
      <c r="CF259" s="50">
        <f t="shared" si="356"/>
        <v>1</v>
      </c>
      <c r="CG259" s="50">
        <f t="shared" si="357"/>
        <v>1</v>
      </c>
      <c r="CH259" s="50">
        <f t="shared" si="358"/>
        <v>1</v>
      </c>
      <c r="CI259" s="50">
        <f t="shared" si="359"/>
        <v>1</v>
      </c>
      <c r="CJ259" s="50">
        <f t="shared" si="360"/>
        <v>1</v>
      </c>
      <c r="CK259" s="50">
        <f t="shared" si="360"/>
        <v>0</v>
      </c>
      <c r="CL259" s="50">
        <f t="shared" si="360"/>
        <v>0</v>
      </c>
      <c r="CM259" s="51">
        <f t="shared" si="368"/>
        <v>0</v>
      </c>
      <c r="CN259" s="33">
        <f>ROUND(IF(BS259=0,0,HLOOKUP(BS$14,Villagers!$B$1:$V$33,BS259+3,FALSE)),)</f>
        <v>5</v>
      </c>
      <c r="CO259" s="14">
        <f>ROUND(IF(BT259=0,0,HLOOKUP(BT$14,Villagers!$B$1:$V$33,BT259+3,FALSE)),)</f>
        <v>0</v>
      </c>
      <c r="CP259" s="14">
        <f>ROUND(IF(BU259=0,0,HLOOKUP(BU$14,Villagers!$B$1:$V$33,BU259+3,FALSE)),)</f>
        <v>0</v>
      </c>
      <c r="CQ259" s="14">
        <f>ROUND(IF(BV259=0,0,HLOOKUP(BV$14,Villagers!$B$1:$V$33,BV259+3,FALSE)),)</f>
        <v>0</v>
      </c>
      <c r="CR259" s="14">
        <f>ROUND(IF(BW259=0,0,HLOOKUP(BW$14,Villagers!$B$1:$V$33,BW259+3,FALSE)),)</f>
        <v>0</v>
      </c>
      <c r="CS259" s="14">
        <f>ROUND(IF(BX259=0,0,HLOOKUP(BX$14,Villagers!$B$1:$V$33,BX259+3,FALSE)),)</f>
        <v>0</v>
      </c>
      <c r="CT259" s="14">
        <f>ROUND(IF(BY259=0,0,HLOOKUP(BY$14,Villagers!$B$1:$V$33,BY259+3,FALSE)),)</f>
        <v>0</v>
      </c>
      <c r="CU259" s="14">
        <f>ROUND(IF(BZ259=0,0,HLOOKUP(BZ$14,Villagers!$B$1:$V$33,BZ259+3,FALSE)),)</f>
        <v>0</v>
      </c>
      <c r="CV259" s="14">
        <f>ROUND(IF(CA259=0,0,HLOOKUP(CA$14,Villagers!$B$1:$V$33,CA259+3,FALSE)),)</f>
        <v>0</v>
      </c>
      <c r="CW259" s="14">
        <f>ROUND(IF(CB259=0,0,HLOOKUP(CB$14,Villagers!$B$1:$V$33,CB259+3,FALSE)),)</f>
        <v>0</v>
      </c>
      <c r="CX259" s="14">
        <f>ROUND(IF(CC259=0,0,HLOOKUP(CC$14,Villagers!$B$1:$V$33,CC259+3,FALSE)),)</f>
        <v>0</v>
      </c>
      <c r="CY259" s="14">
        <f>ROUND(IF(CD259=0,0,HLOOKUP(CD$14,Villagers!$B$1:$V$33,CD259+3,FALSE)),)</f>
        <v>0</v>
      </c>
      <c r="CZ259" s="14">
        <f>ROUND(IF(CE259=0,0,HLOOKUP(CE$14,Villagers!$B$1:$V$33,CE259+3,FALSE)),)</f>
        <v>5</v>
      </c>
      <c r="DA259" s="14">
        <f>ROUND(IF(CF259=0,0,HLOOKUP(CF$14,Villagers!$B$1:$V$33,CF259+3,FALSE)),)</f>
        <v>10</v>
      </c>
      <c r="DB259" s="14">
        <f>ROUND(IF(CG259=0,0,HLOOKUP(CG$14,Villagers!$B$1:$V$33,CG259+3,FALSE)),)</f>
        <v>10</v>
      </c>
      <c r="DC259" s="14">
        <f>ROUND(IF(CH259=0,0,HLOOKUP(CH$14,Villagers!$B$1:$V$33,CH259+3,FALSE)),)</f>
        <v>0</v>
      </c>
      <c r="DD259" s="14">
        <f>ROUND(IF(CI259=0,0,HLOOKUP(CI$14,Villagers!$B$1:$V$33,CI259+3,FALSE)),)</f>
        <v>0</v>
      </c>
      <c r="DE259" s="14">
        <f>ROUND(IF(CJ259=0,0,HLOOKUP(CJ$14,Villagers!$B$1:$V$33,CJ259+3,FALSE)),)</f>
        <v>2</v>
      </c>
      <c r="DF259" s="370">
        <f>ROUND(IF(CK259=0,0,HLOOKUP(CK$14,Villagers!$B$1:$V$33,CK259+3,FALSE)),)</f>
        <v>0</v>
      </c>
      <c r="DG259" s="370">
        <f>ROUND(IF(CL259=0,0,HLOOKUP(CL$14,Villagers!$B$1:$V$33,CL259+3,FALSE)),)</f>
        <v>0</v>
      </c>
      <c r="DH259" s="34">
        <f>ROUND(IF(CM259=0,0,HLOOKUP(CM$14,Villagers!$B$1:$V$33,CM259+3,FALSE)),)</f>
        <v>0</v>
      </c>
      <c r="DI259" s="109">
        <f t="shared" si="336"/>
        <v>0</v>
      </c>
      <c r="DJ259" s="50">
        <f t="shared" si="337"/>
        <v>0</v>
      </c>
      <c r="DK259" s="50">
        <f t="shared" si="338"/>
        <v>0</v>
      </c>
      <c r="DL259" s="50">
        <f t="shared" si="339"/>
        <v>0</v>
      </c>
      <c r="DM259" s="50">
        <f t="shared" si="340"/>
        <v>0</v>
      </c>
      <c r="DN259" s="50">
        <f t="shared" si="341"/>
        <v>0</v>
      </c>
      <c r="DO259" s="50">
        <f t="shared" si="342"/>
        <v>0</v>
      </c>
      <c r="DP259" s="50">
        <f t="shared" si="343"/>
        <v>0</v>
      </c>
      <c r="DQ259" s="50">
        <f t="shared" si="321"/>
        <v>0</v>
      </c>
      <c r="DR259" s="50">
        <f t="shared" si="322"/>
        <v>0</v>
      </c>
      <c r="DS259" s="96">
        <f>Miscelaneous!$D$4*Miscelaneous!$D$2^($CI259-1)</f>
        <v>1000</v>
      </c>
      <c r="DT259" s="333">
        <f t="shared" si="303"/>
        <v>1</v>
      </c>
      <c r="DU259" s="81">
        <v>1</v>
      </c>
      <c r="DV259" s="79">
        <f t="shared" si="323"/>
        <v>0</v>
      </c>
      <c r="DW259" s="79">
        <f t="shared" si="324"/>
        <v>0</v>
      </c>
      <c r="DX259" s="79">
        <f t="shared" si="325"/>
        <v>0</v>
      </c>
      <c r="DY259" s="79">
        <v>1</v>
      </c>
      <c r="DZ259" s="79">
        <f t="shared" si="326"/>
        <v>0</v>
      </c>
      <c r="EA259" s="79">
        <f t="shared" si="327"/>
        <v>0</v>
      </c>
      <c r="EB259" s="79">
        <f t="shared" si="328"/>
        <v>0</v>
      </c>
      <c r="EC259" s="79">
        <f t="shared" si="329"/>
        <v>0</v>
      </c>
      <c r="ED259" s="79">
        <v>1</v>
      </c>
      <c r="EE259" s="79">
        <v>1</v>
      </c>
      <c r="EF259" s="79">
        <f t="shared" si="330"/>
        <v>0</v>
      </c>
      <c r="EG259" s="79">
        <v>1</v>
      </c>
      <c r="EH259" s="79">
        <v>1</v>
      </c>
      <c r="EI259" s="79">
        <v>1</v>
      </c>
      <c r="EJ259" s="79">
        <v>1</v>
      </c>
      <c r="EK259" s="79">
        <v>1</v>
      </c>
      <c r="EL259" s="79">
        <v>1</v>
      </c>
      <c r="EM259" s="143">
        <f t="shared" si="331"/>
        <v>0</v>
      </c>
      <c r="EN259" s="143">
        <f t="shared" si="332"/>
        <v>0</v>
      </c>
      <c r="EO259" s="82">
        <f t="shared" si="333"/>
        <v>0</v>
      </c>
    </row>
    <row r="260" spans="1:145" x14ac:dyDescent="0.25">
      <c r="A260">
        <v>246</v>
      </c>
      <c r="B260" s="172" t="e">
        <f t="shared" si="304"/>
        <v>#N/A</v>
      </c>
      <c r="C260" s="121" t="e">
        <f t="shared" si="283"/>
        <v>#N/A</v>
      </c>
      <c r="D260" s="122" t="e">
        <f t="shared" si="284"/>
        <v>#N/A</v>
      </c>
      <c r="E260" s="122" t="e">
        <f t="shared" si="285"/>
        <v>#N/A</v>
      </c>
      <c r="F260" s="176" t="e">
        <f t="shared" si="286"/>
        <v>#N/A</v>
      </c>
      <c r="G260" s="121">
        <f t="shared" si="305"/>
        <v>208</v>
      </c>
      <c r="H260" s="176" t="e">
        <f t="shared" si="306"/>
        <v>#N/A</v>
      </c>
      <c r="I260" s="48">
        <v>1</v>
      </c>
      <c r="J260" s="39"/>
      <c r="K260" s="350">
        <v>1</v>
      </c>
      <c r="L260" s="34" t="e">
        <f t="shared" si="287"/>
        <v>#N/A</v>
      </c>
      <c r="M260" s="38" t="e">
        <f>(HLOOKUP(J260,'Construction Times'!$B$3:$W$34,L260+2,FALSE)*HLOOKUP("hq modifier",'Construction Times'!$W$3:$W$34,BS260+2,FALSE))*(1-$H$9)</f>
        <v>#N/A</v>
      </c>
      <c r="N260" s="443" t="e">
        <f t="shared" si="307"/>
        <v>#N/A</v>
      </c>
      <c r="O260" s="444"/>
      <c r="P260" s="447" t="e">
        <f t="shared" si="308"/>
        <v>#N/A</v>
      </c>
      <c r="Q260" s="448"/>
      <c r="R260" s="103">
        <f t="shared" si="334"/>
        <v>0</v>
      </c>
      <c r="S260" s="104">
        <f t="shared" si="334"/>
        <v>0</v>
      </c>
      <c r="T260" s="104">
        <f t="shared" si="335"/>
        <v>0</v>
      </c>
      <c r="U260" s="104">
        <f t="shared" si="335"/>
        <v>0</v>
      </c>
      <c r="V260" s="104">
        <f t="shared" si="335"/>
        <v>9.9999999999999995E-8</v>
      </c>
      <c r="W260" s="104">
        <f t="shared" si="335"/>
        <v>0</v>
      </c>
      <c r="X260" s="104">
        <f t="shared" si="365"/>
        <v>0</v>
      </c>
      <c r="Y260" s="104">
        <f t="shared" si="365"/>
        <v>9.9999999999999995E-8</v>
      </c>
      <c r="Z260" s="104">
        <f t="shared" si="365"/>
        <v>9.9999999999999995E-8</v>
      </c>
      <c r="AA260" s="105">
        <f t="shared" si="365"/>
        <v>9.9999999999999995E-8</v>
      </c>
      <c r="AB260" s="101" t="e">
        <f>$DT260*HLOOKUP($J260,'Construction Costs (timber)'!$B$1:$V$32,'Construction Planner'!$L260+2,FALSE)</f>
        <v>#N/A</v>
      </c>
      <c r="AC260" s="14" t="e">
        <f>$DT260*HLOOKUP($J260,'Construction Costs (clay)'!$B$1:$V$32,'Construction Planner'!$L260+2,FALSE)</f>
        <v>#N/A</v>
      </c>
      <c r="AD260" s="14" t="e">
        <f>$DT260*HLOOKUP($J260,'Construction Costs (iron)'!$B$1:$V$32,'Construction Planner'!$L260+2,FALSE)</f>
        <v>#N/A</v>
      </c>
      <c r="AE260" s="34" t="e">
        <f t="shared" si="344"/>
        <v>#N/A</v>
      </c>
      <c r="AF260" s="33" t="e">
        <f t="shared" si="288"/>
        <v>#N/A</v>
      </c>
      <c r="AG260" s="14" t="e">
        <f t="shared" si="289"/>
        <v>#N/A</v>
      </c>
      <c r="AH260" s="14" t="e">
        <f t="shared" si="290"/>
        <v>#N/A</v>
      </c>
      <c r="AI260" s="34" t="e">
        <f t="shared" si="345"/>
        <v>#N/A</v>
      </c>
      <c r="AJ260" s="49" t="e">
        <f t="shared" si="309"/>
        <v>#N/A</v>
      </c>
      <c r="AK260" s="49" t="e">
        <f t="shared" si="310"/>
        <v>#N/A</v>
      </c>
      <c r="AL260" s="49" t="e">
        <f t="shared" si="311"/>
        <v>#N/A</v>
      </c>
      <c r="AM260" s="25">
        <f t="shared" si="291"/>
        <v>30</v>
      </c>
      <c r="AN260" s="25">
        <f t="shared" si="292"/>
        <v>30</v>
      </c>
      <c r="AO260" s="25">
        <f t="shared" si="293"/>
        <v>30</v>
      </c>
      <c r="AP260" s="52" t="e">
        <f t="shared" si="312"/>
        <v>#N/A</v>
      </c>
      <c r="AQ260" s="53" t="e">
        <f t="shared" si="312"/>
        <v>#N/A</v>
      </c>
      <c r="AR260" s="54" t="e">
        <f t="shared" si="312"/>
        <v>#N/A</v>
      </c>
      <c r="AS260" s="316">
        <f t="shared" ref="AS260:AS275" si="370">AS259</f>
        <v>0</v>
      </c>
      <c r="AT260" s="106">
        <f>_xlfn.IFNA($M260/VLOOKUP($BT260,'Unit information'!$A$2:$K$29,2,FALSE)*R260,0)*(1+$E$9)</f>
        <v>0</v>
      </c>
      <c r="AU260" s="107">
        <f>_xlfn.IFNA($M260/VLOOKUP($BT260,'Unit information'!$A$2:$K$29,3,FALSE)*S260,0)*(1+$E$9)</f>
        <v>0</v>
      </c>
      <c r="AV260" s="107">
        <f>_xlfn.IFNA($M260/VLOOKUP($BT260,'Unit information'!$A$2:$K$29,4,FALSE)*T260,0)*(1+$E$9)</f>
        <v>0</v>
      </c>
      <c r="AW260" s="107">
        <f>_xlfn.IFNA($M260/VLOOKUP($BT260,'Unit information'!$A$2:$K$29,5,FALSE)*U260,0)*(1+$E$9)</f>
        <v>0</v>
      </c>
      <c r="AX260" s="107">
        <f>_xlfn.IFNA($M260/VLOOKUP($BU260,'Unit information'!$A$2:$K$29,6,FALSE)*V260,0)*(1+$E$9)</f>
        <v>0</v>
      </c>
      <c r="AY260" s="107">
        <f>_xlfn.IFNA($M260/VLOOKUP($BU260,'Unit information'!$A$2:$K$29,7,FALSE)*W260,0)*(1+$E$9)</f>
        <v>0</v>
      </c>
      <c r="AZ260" s="107">
        <f>_xlfn.IFNA($M260/VLOOKUP($BU260,'Unit information'!$A$2:$K$29,8,FALSE)*X260,0)*(1+$E$9)</f>
        <v>0</v>
      </c>
      <c r="BA260" s="107">
        <f>_xlfn.IFNA($M260/VLOOKUP($BU260,'Unit information'!$A$2:$K$29,9,FALSE)*Y260,0)*(1+$E$9)</f>
        <v>0</v>
      </c>
      <c r="BB260" s="107">
        <f>_xlfn.IFNA($M260/VLOOKUP($BV260,'Unit information'!$A$2:$K$29,10,FALSE)*Z260,0)*(1+$E$9)</f>
        <v>0</v>
      </c>
      <c r="BC260" s="108">
        <f>_xlfn.IFNA($M260/VLOOKUP($BV260,'Unit information'!$A$2:$K$29,11,FALSE)*AA260,0)*(1+$E$9)</f>
        <v>0</v>
      </c>
      <c r="BD260" s="106">
        <f t="shared" si="294"/>
        <v>0</v>
      </c>
      <c r="BE260" s="107">
        <f t="shared" si="295"/>
        <v>0</v>
      </c>
      <c r="BF260" s="108">
        <f t="shared" si="296"/>
        <v>0</v>
      </c>
      <c r="BG260" s="25" t="e">
        <f t="shared" si="297"/>
        <v>#N/A</v>
      </c>
      <c r="BH260" s="25" t="e">
        <f t="shared" si="298"/>
        <v>#N/A</v>
      </c>
      <c r="BI260" s="25" t="e">
        <f t="shared" si="299"/>
        <v>#N/A</v>
      </c>
      <c r="BJ260" s="27" t="e">
        <f t="shared" si="300"/>
        <v>#N/A</v>
      </c>
      <c r="BK260" s="18" t="e">
        <f t="shared" si="301"/>
        <v>#N/A</v>
      </c>
      <c r="BL260" s="18" t="e">
        <f t="shared" si="302"/>
        <v>#N/A</v>
      </c>
      <c r="BM260" s="28" t="e">
        <f t="shared" si="347"/>
        <v>#N/A</v>
      </c>
      <c r="BN260" s="33">
        <f>HLOOKUP("maximum population",Miscelaneous!$C$1:$C$33,CH260+3,FALSE)</f>
        <v>240</v>
      </c>
      <c r="BO260" s="14">
        <f t="shared" si="313"/>
        <v>32</v>
      </c>
      <c r="BP260" s="14">
        <f t="shared" si="314"/>
        <v>0</v>
      </c>
      <c r="BQ260" s="14">
        <f t="shared" si="315"/>
        <v>208</v>
      </c>
      <c r="BR260" s="34" t="e">
        <f>HLOOKUP(J260,Villagers!$B$1:$V$33,L260+3,FALSE)-HLOOKUP(J260,Villagers!$B$1:$V$33,L260+2,FALSE)</f>
        <v>#N/A</v>
      </c>
      <c r="BS260" s="49">
        <f t="shared" si="316"/>
        <v>1</v>
      </c>
      <c r="BT260" s="50">
        <f t="shared" si="317"/>
        <v>0</v>
      </c>
      <c r="BU260" s="50">
        <f t="shared" si="318"/>
        <v>0</v>
      </c>
      <c r="BV260" s="50">
        <f t="shared" si="319"/>
        <v>0</v>
      </c>
      <c r="BW260" s="50">
        <f t="shared" si="369"/>
        <v>0</v>
      </c>
      <c r="BX260" s="50">
        <f t="shared" si="369"/>
        <v>0</v>
      </c>
      <c r="BY260" s="50">
        <f t="shared" si="369"/>
        <v>0</v>
      </c>
      <c r="BZ260" s="50">
        <f t="shared" si="350"/>
        <v>0</v>
      </c>
      <c r="CA260" s="50">
        <f t="shared" si="351"/>
        <v>0</v>
      </c>
      <c r="CB260" s="50">
        <f t="shared" si="352"/>
        <v>1</v>
      </c>
      <c r="CC260" s="50">
        <f t="shared" si="353"/>
        <v>0</v>
      </c>
      <c r="CD260" s="50">
        <f t="shared" si="354"/>
        <v>0</v>
      </c>
      <c r="CE260" s="50">
        <f t="shared" si="355"/>
        <v>1</v>
      </c>
      <c r="CF260" s="50">
        <f t="shared" si="356"/>
        <v>1</v>
      </c>
      <c r="CG260" s="50">
        <f t="shared" si="357"/>
        <v>1</v>
      </c>
      <c r="CH260" s="50">
        <f t="shared" si="358"/>
        <v>1</v>
      </c>
      <c r="CI260" s="50">
        <f t="shared" si="359"/>
        <v>1</v>
      </c>
      <c r="CJ260" s="50">
        <f t="shared" si="360"/>
        <v>1</v>
      </c>
      <c r="CK260" s="50">
        <f t="shared" si="360"/>
        <v>0</v>
      </c>
      <c r="CL260" s="50">
        <f t="shared" si="360"/>
        <v>0</v>
      </c>
      <c r="CM260" s="51">
        <f t="shared" si="368"/>
        <v>0</v>
      </c>
      <c r="CN260" s="33">
        <f>ROUND(IF(BS260=0,0,HLOOKUP(BS$14,Villagers!$B$1:$V$33,BS260+3,FALSE)),)</f>
        <v>5</v>
      </c>
      <c r="CO260" s="14">
        <f>ROUND(IF(BT260=0,0,HLOOKUP(BT$14,Villagers!$B$1:$V$33,BT260+3,FALSE)),)</f>
        <v>0</v>
      </c>
      <c r="CP260" s="14">
        <f>ROUND(IF(BU260=0,0,HLOOKUP(BU$14,Villagers!$B$1:$V$33,BU260+3,FALSE)),)</f>
        <v>0</v>
      </c>
      <c r="CQ260" s="14">
        <f>ROUND(IF(BV260=0,0,HLOOKUP(BV$14,Villagers!$B$1:$V$33,BV260+3,FALSE)),)</f>
        <v>0</v>
      </c>
      <c r="CR260" s="14">
        <f>ROUND(IF(BW260=0,0,HLOOKUP(BW$14,Villagers!$B$1:$V$33,BW260+3,FALSE)),)</f>
        <v>0</v>
      </c>
      <c r="CS260" s="14">
        <f>ROUND(IF(BX260=0,0,HLOOKUP(BX$14,Villagers!$B$1:$V$33,BX260+3,FALSE)),)</f>
        <v>0</v>
      </c>
      <c r="CT260" s="14">
        <f>ROUND(IF(BY260=0,0,HLOOKUP(BY$14,Villagers!$B$1:$V$33,BY260+3,FALSE)),)</f>
        <v>0</v>
      </c>
      <c r="CU260" s="14">
        <f>ROUND(IF(BZ260=0,0,HLOOKUP(BZ$14,Villagers!$B$1:$V$33,BZ260+3,FALSE)),)</f>
        <v>0</v>
      </c>
      <c r="CV260" s="14">
        <f>ROUND(IF(CA260=0,0,HLOOKUP(CA$14,Villagers!$B$1:$V$33,CA260+3,FALSE)),)</f>
        <v>0</v>
      </c>
      <c r="CW260" s="14">
        <f>ROUND(IF(CB260=0,0,HLOOKUP(CB$14,Villagers!$B$1:$V$33,CB260+3,FALSE)),)</f>
        <v>0</v>
      </c>
      <c r="CX260" s="14">
        <f>ROUND(IF(CC260=0,0,HLOOKUP(CC$14,Villagers!$B$1:$V$33,CC260+3,FALSE)),)</f>
        <v>0</v>
      </c>
      <c r="CY260" s="14">
        <f>ROUND(IF(CD260=0,0,HLOOKUP(CD$14,Villagers!$B$1:$V$33,CD260+3,FALSE)),)</f>
        <v>0</v>
      </c>
      <c r="CZ260" s="14">
        <f>ROUND(IF(CE260=0,0,HLOOKUP(CE$14,Villagers!$B$1:$V$33,CE260+3,FALSE)),)</f>
        <v>5</v>
      </c>
      <c r="DA260" s="14">
        <f>ROUND(IF(CF260=0,0,HLOOKUP(CF$14,Villagers!$B$1:$V$33,CF260+3,FALSE)),)</f>
        <v>10</v>
      </c>
      <c r="DB260" s="14">
        <f>ROUND(IF(CG260=0,0,HLOOKUP(CG$14,Villagers!$B$1:$V$33,CG260+3,FALSE)),)</f>
        <v>10</v>
      </c>
      <c r="DC260" s="14">
        <f>ROUND(IF(CH260=0,0,HLOOKUP(CH$14,Villagers!$B$1:$V$33,CH260+3,FALSE)),)</f>
        <v>0</v>
      </c>
      <c r="DD260" s="14">
        <f>ROUND(IF(CI260=0,0,HLOOKUP(CI$14,Villagers!$B$1:$V$33,CI260+3,FALSE)),)</f>
        <v>0</v>
      </c>
      <c r="DE260" s="14">
        <f>ROUND(IF(CJ260=0,0,HLOOKUP(CJ$14,Villagers!$B$1:$V$33,CJ260+3,FALSE)),)</f>
        <v>2</v>
      </c>
      <c r="DF260" s="370">
        <f>ROUND(IF(CK260=0,0,HLOOKUP(CK$14,Villagers!$B$1:$V$33,CK260+3,FALSE)),)</f>
        <v>0</v>
      </c>
      <c r="DG260" s="370">
        <f>ROUND(IF(CL260=0,0,HLOOKUP(CL$14,Villagers!$B$1:$V$33,CL260+3,FALSE)),)</f>
        <v>0</v>
      </c>
      <c r="DH260" s="34">
        <f>ROUND(IF(CM260=0,0,HLOOKUP(CM$14,Villagers!$B$1:$V$33,CM260+3,FALSE)),)</f>
        <v>0</v>
      </c>
      <c r="DI260" s="109">
        <f t="shared" si="336"/>
        <v>0</v>
      </c>
      <c r="DJ260" s="50">
        <f t="shared" si="337"/>
        <v>0</v>
      </c>
      <c r="DK260" s="50">
        <f t="shared" si="338"/>
        <v>0</v>
      </c>
      <c r="DL260" s="50">
        <f t="shared" si="339"/>
        <v>0</v>
      </c>
      <c r="DM260" s="50">
        <f t="shared" si="340"/>
        <v>0</v>
      </c>
      <c r="DN260" s="50">
        <f t="shared" si="341"/>
        <v>0</v>
      </c>
      <c r="DO260" s="50">
        <f t="shared" si="342"/>
        <v>0</v>
      </c>
      <c r="DP260" s="50">
        <f t="shared" si="343"/>
        <v>0</v>
      </c>
      <c r="DQ260" s="50">
        <f t="shared" si="321"/>
        <v>0</v>
      </c>
      <c r="DR260" s="50">
        <f t="shared" si="322"/>
        <v>0</v>
      </c>
      <c r="DS260" s="96">
        <f>Miscelaneous!$D$4*Miscelaneous!$D$2^($CI260-1)</f>
        <v>1000</v>
      </c>
      <c r="DT260" s="333">
        <f t="shared" si="303"/>
        <v>1</v>
      </c>
      <c r="DU260" s="81">
        <v>1</v>
      </c>
      <c r="DV260" s="79">
        <f t="shared" si="323"/>
        <v>0</v>
      </c>
      <c r="DW260" s="79">
        <f t="shared" si="324"/>
        <v>0</v>
      </c>
      <c r="DX260" s="79">
        <f t="shared" si="325"/>
        <v>0</v>
      </c>
      <c r="DY260" s="79">
        <v>1</v>
      </c>
      <c r="DZ260" s="79">
        <f t="shared" si="326"/>
        <v>0</v>
      </c>
      <c r="EA260" s="79">
        <f t="shared" si="327"/>
        <v>0</v>
      </c>
      <c r="EB260" s="79">
        <f t="shared" si="328"/>
        <v>0</v>
      </c>
      <c r="EC260" s="79">
        <f t="shared" si="329"/>
        <v>0</v>
      </c>
      <c r="ED260" s="79">
        <v>1</v>
      </c>
      <c r="EE260" s="79">
        <v>1</v>
      </c>
      <c r="EF260" s="79">
        <f t="shared" si="330"/>
        <v>0</v>
      </c>
      <c r="EG260" s="79">
        <v>1</v>
      </c>
      <c r="EH260" s="79">
        <v>1</v>
      </c>
      <c r="EI260" s="79">
        <v>1</v>
      </c>
      <c r="EJ260" s="79">
        <v>1</v>
      </c>
      <c r="EK260" s="79">
        <v>1</v>
      </c>
      <c r="EL260" s="79">
        <v>1</v>
      </c>
      <c r="EM260" s="143">
        <f t="shared" si="331"/>
        <v>0</v>
      </c>
      <c r="EN260" s="143">
        <f t="shared" si="332"/>
        <v>0</v>
      </c>
      <c r="EO260" s="82">
        <f t="shared" si="333"/>
        <v>0</v>
      </c>
    </row>
    <row r="261" spans="1:145" x14ac:dyDescent="0.25">
      <c r="A261">
        <v>247</v>
      </c>
      <c r="B261" s="172" t="e">
        <f t="shared" si="304"/>
        <v>#N/A</v>
      </c>
      <c r="C261" s="121" t="e">
        <f t="shared" si="283"/>
        <v>#N/A</v>
      </c>
      <c r="D261" s="122" t="e">
        <f t="shared" si="284"/>
        <v>#N/A</v>
      </c>
      <c r="E261" s="122" t="e">
        <f t="shared" si="285"/>
        <v>#N/A</v>
      </c>
      <c r="F261" s="176" t="e">
        <f t="shared" si="286"/>
        <v>#N/A</v>
      </c>
      <c r="G261" s="121">
        <f t="shared" si="305"/>
        <v>208</v>
      </c>
      <c r="H261" s="176" t="e">
        <f t="shared" si="306"/>
        <v>#N/A</v>
      </c>
      <c r="I261" s="48">
        <v>1</v>
      </c>
      <c r="J261" s="39"/>
      <c r="K261" s="350">
        <v>1</v>
      </c>
      <c r="L261" s="34" t="e">
        <f t="shared" si="287"/>
        <v>#N/A</v>
      </c>
      <c r="M261" s="38" t="e">
        <f>(HLOOKUP(J261,'Construction Times'!$B$3:$W$34,L261+2,FALSE)*HLOOKUP("hq modifier",'Construction Times'!$W$3:$W$34,BS261+2,FALSE))*(1-$H$9)</f>
        <v>#N/A</v>
      </c>
      <c r="N261" s="443" t="e">
        <f t="shared" si="307"/>
        <v>#N/A</v>
      </c>
      <c r="O261" s="444"/>
      <c r="P261" s="447" t="e">
        <f t="shared" si="308"/>
        <v>#N/A</v>
      </c>
      <c r="Q261" s="448"/>
      <c r="R261" s="103">
        <f t="shared" si="334"/>
        <v>0</v>
      </c>
      <c r="S261" s="104">
        <f t="shared" si="334"/>
        <v>0</v>
      </c>
      <c r="T261" s="104">
        <f t="shared" si="335"/>
        <v>0</v>
      </c>
      <c r="U261" s="104">
        <f t="shared" si="335"/>
        <v>0</v>
      </c>
      <c r="V261" s="104">
        <f t="shared" si="335"/>
        <v>9.9999999999999995E-8</v>
      </c>
      <c r="W261" s="104">
        <f t="shared" si="335"/>
        <v>0</v>
      </c>
      <c r="X261" s="104">
        <f t="shared" si="365"/>
        <v>0</v>
      </c>
      <c r="Y261" s="104">
        <f t="shared" si="365"/>
        <v>9.9999999999999995E-8</v>
      </c>
      <c r="Z261" s="104">
        <f t="shared" si="365"/>
        <v>9.9999999999999995E-8</v>
      </c>
      <c r="AA261" s="105">
        <f t="shared" si="365"/>
        <v>9.9999999999999995E-8</v>
      </c>
      <c r="AB261" s="101" t="e">
        <f>$DT261*HLOOKUP($J261,'Construction Costs (timber)'!$B$1:$V$32,'Construction Planner'!$L261+2,FALSE)</f>
        <v>#N/A</v>
      </c>
      <c r="AC261" s="14" t="e">
        <f>$DT261*HLOOKUP($J261,'Construction Costs (clay)'!$B$1:$V$32,'Construction Planner'!$L261+2,FALSE)</f>
        <v>#N/A</v>
      </c>
      <c r="AD261" s="14" t="e">
        <f>$DT261*HLOOKUP($J261,'Construction Costs (iron)'!$B$1:$V$32,'Construction Planner'!$L261+2,FALSE)</f>
        <v>#N/A</v>
      </c>
      <c r="AE261" s="34" t="e">
        <f t="shared" si="344"/>
        <v>#N/A</v>
      </c>
      <c r="AF261" s="33" t="e">
        <f t="shared" si="288"/>
        <v>#N/A</v>
      </c>
      <c r="AG261" s="14" t="e">
        <f t="shared" si="289"/>
        <v>#N/A</v>
      </c>
      <c r="AH261" s="14" t="e">
        <f t="shared" si="290"/>
        <v>#N/A</v>
      </c>
      <c r="AI261" s="34" t="e">
        <f t="shared" si="345"/>
        <v>#N/A</v>
      </c>
      <c r="AJ261" s="49" t="e">
        <f t="shared" si="309"/>
        <v>#N/A</v>
      </c>
      <c r="AK261" s="49" t="e">
        <f t="shared" si="310"/>
        <v>#N/A</v>
      </c>
      <c r="AL261" s="49" t="e">
        <f t="shared" si="311"/>
        <v>#N/A</v>
      </c>
      <c r="AM261" s="25">
        <f t="shared" si="291"/>
        <v>30</v>
      </c>
      <c r="AN261" s="25">
        <f t="shared" si="292"/>
        <v>30</v>
      </c>
      <c r="AO261" s="25">
        <f t="shared" si="293"/>
        <v>30</v>
      </c>
      <c r="AP261" s="52" t="e">
        <f t="shared" si="312"/>
        <v>#N/A</v>
      </c>
      <c r="AQ261" s="53" t="e">
        <f t="shared" si="312"/>
        <v>#N/A</v>
      </c>
      <c r="AR261" s="54" t="e">
        <f t="shared" si="312"/>
        <v>#N/A</v>
      </c>
      <c r="AS261" s="316">
        <f t="shared" si="370"/>
        <v>0</v>
      </c>
      <c r="AT261" s="106">
        <f>_xlfn.IFNA($M261/VLOOKUP($BT261,'Unit information'!$A$2:$K$29,2,FALSE)*R261,0)*(1+$E$9)</f>
        <v>0</v>
      </c>
      <c r="AU261" s="107">
        <f>_xlfn.IFNA($M261/VLOOKUP($BT261,'Unit information'!$A$2:$K$29,3,FALSE)*S261,0)*(1+$E$9)</f>
        <v>0</v>
      </c>
      <c r="AV261" s="107">
        <f>_xlfn.IFNA($M261/VLOOKUP($BT261,'Unit information'!$A$2:$K$29,4,FALSE)*T261,0)*(1+$E$9)</f>
        <v>0</v>
      </c>
      <c r="AW261" s="107">
        <f>_xlfn.IFNA($M261/VLOOKUP($BT261,'Unit information'!$A$2:$K$29,5,FALSE)*U261,0)*(1+$E$9)</f>
        <v>0</v>
      </c>
      <c r="AX261" s="107">
        <f>_xlfn.IFNA($M261/VLOOKUP($BU261,'Unit information'!$A$2:$K$29,6,FALSE)*V261,0)*(1+$E$9)</f>
        <v>0</v>
      </c>
      <c r="AY261" s="107">
        <f>_xlfn.IFNA($M261/VLOOKUP($BU261,'Unit information'!$A$2:$K$29,7,FALSE)*W261,0)*(1+$E$9)</f>
        <v>0</v>
      </c>
      <c r="AZ261" s="107">
        <f>_xlfn.IFNA($M261/VLOOKUP($BU261,'Unit information'!$A$2:$K$29,8,FALSE)*X261,0)*(1+$E$9)</f>
        <v>0</v>
      </c>
      <c r="BA261" s="107">
        <f>_xlfn.IFNA($M261/VLOOKUP($BU261,'Unit information'!$A$2:$K$29,9,FALSE)*Y261,0)*(1+$E$9)</f>
        <v>0</v>
      </c>
      <c r="BB261" s="107">
        <f>_xlfn.IFNA($M261/VLOOKUP($BV261,'Unit information'!$A$2:$K$29,10,FALSE)*Z261,0)*(1+$E$9)</f>
        <v>0</v>
      </c>
      <c r="BC261" s="108">
        <f>_xlfn.IFNA($M261/VLOOKUP($BV261,'Unit information'!$A$2:$K$29,11,FALSE)*AA261,0)*(1+$E$9)</f>
        <v>0</v>
      </c>
      <c r="BD261" s="106">
        <f t="shared" si="294"/>
        <v>0</v>
      </c>
      <c r="BE261" s="107">
        <f t="shared" si="295"/>
        <v>0</v>
      </c>
      <c r="BF261" s="108">
        <f t="shared" si="296"/>
        <v>0</v>
      </c>
      <c r="BG261" s="25" t="e">
        <f t="shared" si="297"/>
        <v>#N/A</v>
      </c>
      <c r="BH261" s="25" t="e">
        <f t="shared" si="298"/>
        <v>#N/A</v>
      </c>
      <c r="BI261" s="25" t="e">
        <f t="shared" si="299"/>
        <v>#N/A</v>
      </c>
      <c r="BJ261" s="27" t="e">
        <f t="shared" si="300"/>
        <v>#N/A</v>
      </c>
      <c r="BK261" s="18" t="e">
        <f t="shared" si="301"/>
        <v>#N/A</v>
      </c>
      <c r="BL261" s="18" t="e">
        <f t="shared" si="302"/>
        <v>#N/A</v>
      </c>
      <c r="BM261" s="28" t="e">
        <f t="shared" si="347"/>
        <v>#N/A</v>
      </c>
      <c r="BN261" s="33">
        <f>HLOOKUP("maximum population",Miscelaneous!$C$1:$C$33,CH261+3,FALSE)</f>
        <v>240</v>
      </c>
      <c r="BO261" s="14">
        <f t="shared" si="313"/>
        <v>32</v>
      </c>
      <c r="BP261" s="14">
        <f t="shared" si="314"/>
        <v>0</v>
      </c>
      <c r="BQ261" s="14">
        <f t="shared" si="315"/>
        <v>208</v>
      </c>
      <c r="BR261" s="34" t="e">
        <f>HLOOKUP(J261,Villagers!$B$1:$V$33,L261+3,FALSE)-HLOOKUP(J261,Villagers!$B$1:$V$33,L261+2,FALSE)</f>
        <v>#N/A</v>
      </c>
      <c r="BS261" s="49">
        <f t="shared" si="316"/>
        <v>1</v>
      </c>
      <c r="BT261" s="50">
        <f t="shared" si="317"/>
        <v>0</v>
      </c>
      <c r="BU261" s="50">
        <f t="shared" si="318"/>
        <v>0</v>
      </c>
      <c r="BV261" s="50">
        <f t="shared" si="319"/>
        <v>0</v>
      </c>
      <c r="BW261" s="50">
        <f t="shared" si="369"/>
        <v>0</v>
      </c>
      <c r="BX261" s="50">
        <f t="shared" si="369"/>
        <v>0</v>
      </c>
      <c r="BY261" s="50">
        <f t="shared" si="369"/>
        <v>0</v>
      </c>
      <c r="BZ261" s="50">
        <f t="shared" si="350"/>
        <v>0</v>
      </c>
      <c r="CA261" s="50">
        <f t="shared" si="351"/>
        <v>0</v>
      </c>
      <c r="CB261" s="50">
        <f t="shared" si="352"/>
        <v>1</v>
      </c>
      <c r="CC261" s="50">
        <f t="shared" si="353"/>
        <v>0</v>
      </c>
      <c r="CD261" s="50">
        <f t="shared" si="354"/>
        <v>0</v>
      </c>
      <c r="CE261" s="50">
        <f t="shared" si="355"/>
        <v>1</v>
      </c>
      <c r="CF261" s="50">
        <f t="shared" si="356"/>
        <v>1</v>
      </c>
      <c r="CG261" s="50">
        <f t="shared" si="357"/>
        <v>1</v>
      </c>
      <c r="CH261" s="50">
        <f t="shared" si="358"/>
        <v>1</v>
      </c>
      <c r="CI261" s="50">
        <f t="shared" si="359"/>
        <v>1</v>
      </c>
      <c r="CJ261" s="50">
        <f t="shared" si="360"/>
        <v>1</v>
      </c>
      <c r="CK261" s="50">
        <f t="shared" si="360"/>
        <v>0</v>
      </c>
      <c r="CL261" s="50">
        <f t="shared" si="360"/>
        <v>0</v>
      </c>
      <c r="CM261" s="51">
        <f t="shared" si="368"/>
        <v>0</v>
      </c>
      <c r="CN261" s="33">
        <f>ROUND(IF(BS261=0,0,HLOOKUP(BS$14,Villagers!$B$1:$V$33,BS261+3,FALSE)),)</f>
        <v>5</v>
      </c>
      <c r="CO261" s="14">
        <f>ROUND(IF(BT261=0,0,HLOOKUP(BT$14,Villagers!$B$1:$V$33,BT261+3,FALSE)),)</f>
        <v>0</v>
      </c>
      <c r="CP261" s="14">
        <f>ROUND(IF(BU261=0,0,HLOOKUP(BU$14,Villagers!$B$1:$V$33,BU261+3,FALSE)),)</f>
        <v>0</v>
      </c>
      <c r="CQ261" s="14">
        <f>ROUND(IF(BV261=0,0,HLOOKUP(BV$14,Villagers!$B$1:$V$33,BV261+3,FALSE)),)</f>
        <v>0</v>
      </c>
      <c r="CR261" s="14">
        <f>ROUND(IF(BW261=0,0,HLOOKUP(BW$14,Villagers!$B$1:$V$33,BW261+3,FALSE)),)</f>
        <v>0</v>
      </c>
      <c r="CS261" s="14">
        <f>ROUND(IF(BX261=0,0,HLOOKUP(BX$14,Villagers!$B$1:$V$33,BX261+3,FALSE)),)</f>
        <v>0</v>
      </c>
      <c r="CT261" s="14">
        <f>ROUND(IF(BY261=0,0,HLOOKUP(BY$14,Villagers!$B$1:$V$33,BY261+3,FALSE)),)</f>
        <v>0</v>
      </c>
      <c r="CU261" s="14">
        <f>ROUND(IF(BZ261=0,0,HLOOKUP(BZ$14,Villagers!$B$1:$V$33,BZ261+3,FALSE)),)</f>
        <v>0</v>
      </c>
      <c r="CV261" s="14">
        <f>ROUND(IF(CA261=0,0,HLOOKUP(CA$14,Villagers!$B$1:$V$33,CA261+3,FALSE)),)</f>
        <v>0</v>
      </c>
      <c r="CW261" s="14">
        <f>ROUND(IF(CB261=0,0,HLOOKUP(CB$14,Villagers!$B$1:$V$33,CB261+3,FALSE)),)</f>
        <v>0</v>
      </c>
      <c r="CX261" s="14">
        <f>ROUND(IF(CC261=0,0,HLOOKUP(CC$14,Villagers!$B$1:$V$33,CC261+3,FALSE)),)</f>
        <v>0</v>
      </c>
      <c r="CY261" s="14">
        <f>ROUND(IF(CD261=0,0,HLOOKUP(CD$14,Villagers!$B$1:$V$33,CD261+3,FALSE)),)</f>
        <v>0</v>
      </c>
      <c r="CZ261" s="14">
        <f>ROUND(IF(CE261=0,0,HLOOKUP(CE$14,Villagers!$B$1:$V$33,CE261+3,FALSE)),)</f>
        <v>5</v>
      </c>
      <c r="DA261" s="14">
        <f>ROUND(IF(CF261=0,0,HLOOKUP(CF$14,Villagers!$B$1:$V$33,CF261+3,FALSE)),)</f>
        <v>10</v>
      </c>
      <c r="DB261" s="14">
        <f>ROUND(IF(CG261=0,0,HLOOKUP(CG$14,Villagers!$B$1:$V$33,CG261+3,FALSE)),)</f>
        <v>10</v>
      </c>
      <c r="DC261" s="14">
        <f>ROUND(IF(CH261=0,0,HLOOKUP(CH$14,Villagers!$B$1:$V$33,CH261+3,FALSE)),)</f>
        <v>0</v>
      </c>
      <c r="DD261" s="14">
        <f>ROUND(IF(CI261=0,0,HLOOKUP(CI$14,Villagers!$B$1:$V$33,CI261+3,FALSE)),)</f>
        <v>0</v>
      </c>
      <c r="DE261" s="14">
        <f>ROUND(IF(CJ261=0,0,HLOOKUP(CJ$14,Villagers!$B$1:$V$33,CJ261+3,FALSE)),)</f>
        <v>2</v>
      </c>
      <c r="DF261" s="370">
        <f>ROUND(IF(CK261=0,0,HLOOKUP(CK$14,Villagers!$B$1:$V$33,CK261+3,FALSE)),)</f>
        <v>0</v>
      </c>
      <c r="DG261" s="370">
        <f>ROUND(IF(CL261=0,0,HLOOKUP(CL$14,Villagers!$B$1:$V$33,CL261+3,FALSE)),)</f>
        <v>0</v>
      </c>
      <c r="DH261" s="34">
        <f>ROUND(IF(CM261=0,0,HLOOKUP(CM$14,Villagers!$B$1:$V$33,CM261+3,FALSE)),)</f>
        <v>0</v>
      </c>
      <c r="DI261" s="109">
        <f t="shared" si="336"/>
        <v>0</v>
      </c>
      <c r="DJ261" s="50">
        <f t="shared" si="337"/>
        <v>0</v>
      </c>
      <c r="DK261" s="50">
        <f t="shared" si="338"/>
        <v>0</v>
      </c>
      <c r="DL261" s="50">
        <f t="shared" si="339"/>
        <v>0</v>
      </c>
      <c r="DM261" s="50">
        <f t="shared" si="340"/>
        <v>0</v>
      </c>
      <c r="DN261" s="50">
        <f t="shared" si="341"/>
        <v>0</v>
      </c>
      <c r="DO261" s="50">
        <f t="shared" si="342"/>
        <v>0</v>
      </c>
      <c r="DP261" s="50">
        <f t="shared" si="343"/>
        <v>0</v>
      </c>
      <c r="DQ261" s="50">
        <f t="shared" si="321"/>
        <v>0</v>
      </c>
      <c r="DR261" s="50">
        <f t="shared" si="322"/>
        <v>0</v>
      </c>
      <c r="DS261" s="96">
        <f>Miscelaneous!$D$4*Miscelaneous!$D$2^($CI261-1)</f>
        <v>1000</v>
      </c>
      <c r="DT261" s="333">
        <f t="shared" si="303"/>
        <v>1</v>
      </c>
      <c r="DU261" s="81">
        <v>1</v>
      </c>
      <c r="DV261" s="79">
        <f t="shared" si="323"/>
        <v>0</v>
      </c>
      <c r="DW261" s="79">
        <f t="shared" si="324"/>
        <v>0</v>
      </c>
      <c r="DX261" s="79">
        <f t="shared" si="325"/>
        <v>0</v>
      </c>
      <c r="DY261" s="79">
        <v>1</v>
      </c>
      <c r="DZ261" s="79">
        <f t="shared" si="326"/>
        <v>0</v>
      </c>
      <c r="EA261" s="79">
        <f t="shared" si="327"/>
        <v>0</v>
      </c>
      <c r="EB261" s="79">
        <f t="shared" si="328"/>
        <v>0</v>
      </c>
      <c r="EC261" s="79">
        <f t="shared" si="329"/>
        <v>0</v>
      </c>
      <c r="ED261" s="79">
        <v>1</v>
      </c>
      <c r="EE261" s="79">
        <v>1</v>
      </c>
      <c r="EF261" s="79">
        <f t="shared" si="330"/>
        <v>0</v>
      </c>
      <c r="EG261" s="79">
        <v>1</v>
      </c>
      <c r="EH261" s="79">
        <v>1</v>
      </c>
      <c r="EI261" s="79">
        <v>1</v>
      </c>
      <c r="EJ261" s="79">
        <v>1</v>
      </c>
      <c r="EK261" s="79">
        <v>1</v>
      </c>
      <c r="EL261" s="79">
        <v>1</v>
      </c>
      <c r="EM261" s="143">
        <f t="shared" si="331"/>
        <v>0</v>
      </c>
      <c r="EN261" s="143">
        <f t="shared" si="332"/>
        <v>0</v>
      </c>
      <c r="EO261" s="82">
        <f t="shared" si="333"/>
        <v>0</v>
      </c>
    </row>
    <row r="262" spans="1:145" x14ac:dyDescent="0.25">
      <c r="A262">
        <v>248</v>
      </c>
      <c r="B262" s="172" t="e">
        <f t="shared" si="304"/>
        <v>#N/A</v>
      </c>
      <c r="C262" s="121" t="e">
        <f t="shared" si="283"/>
        <v>#N/A</v>
      </c>
      <c r="D262" s="122" t="e">
        <f t="shared" si="284"/>
        <v>#N/A</v>
      </c>
      <c r="E262" s="122" t="e">
        <f t="shared" si="285"/>
        <v>#N/A</v>
      </c>
      <c r="F262" s="176" t="e">
        <f t="shared" si="286"/>
        <v>#N/A</v>
      </c>
      <c r="G262" s="121">
        <f t="shared" si="305"/>
        <v>208</v>
      </c>
      <c r="H262" s="176" t="e">
        <f t="shared" si="306"/>
        <v>#N/A</v>
      </c>
      <c r="I262" s="48">
        <v>1</v>
      </c>
      <c r="J262" s="39"/>
      <c r="K262" s="350">
        <v>1</v>
      </c>
      <c r="L262" s="34" t="e">
        <f t="shared" si="287"/>
        <v>#N/A</v>
      </c>
      <c r="M262" s="38" t="e">
        <f>(HLOOKUP(J262,'Construction Times'!$B$3:$W$34,L262+2,FALSE)*HLOOKUP("hq modifier",'Construction Times'!$W$3:$W$34,BS262+2,FALSE))*(1-$H$9)</f>
        <v>#N/A</v>
      </c>
      <c r="N262" s="443" t="e">
        <f t="shared" si="307"/>
        <v>#N/A</v>
      </c>
      <c r="O262" s="444"/>
      <c r="P262" s="447" t="e">
        <f t="shared" si="308"/>
        <v>#N/A</v>
      </c>
      <c r="Q262" s="448"/>
      <c r="R262" s="103">
        <f t="shared" si="334"/>
        <v>0</v>
      </c>
      <c r="S262" s="104">
        <f t="shared" si="334"/>
        <v>0</v>
      </c>
      <c r="T262" s="104">
        <f t="shared" si="335"/>
        <v>0</v>
      </c>
      <c r="U262" s="104">
        <f t="shared" si="335"/>
        <v>0</v>
      </c>
      <c r="V262" s="104">
        <f t="shared" si="335"/>
        <v>9.9999999999999995E-8</v>
      </c>
      <c r="W262" s="104">
        <f t="shared" si="335"/>
        <v>0</v>
      </c>
      <c r="X262" s="104">
        <f t="shared" si="365"/>
        <v>0</v>
      </c>
      <c r="Y262" s="104">
        <f t="shared" si="365"/>
        <v>9.9999999999999995E-8</v>
      </c>
      <c r="Z262" s="104">
        <f t="shared" si="365"/>
        <v>9.9999999999999995E-8</v>
      </c>
      <c r="AA262" s="105">
        <f t="shared" si="365"/>
        <v>9.9999999999999995E-8</v>
      </c>
      <c r="AB262" s="101" t="e">
        <f>$DT262*HLOOKUP($J262,'Construction Costs (timber)'!$B$1:$V$32,'Construction Planner'!$L262+2,FALSE)</f>
        <v>#N/A</v>
      </c>
      <c r="AC262" s="14" t="e">
        <f>$DT262*HLOOKUP($J262,'Construction Costs (clay)'!$B$1:$V$32,'Construction Planner'!$L262+2,FALSE)</f>
        <v>#N/A</v>
      </c>
      <c r="AD262" s="14" t="e">
        <f>$DT262*HLOOKUP($J262,'Construction Costs (iron)'!$B$1:$V$32,'Construction Planner'!$L262+2,FALSE)</f>
        <v>#N/A</v>
      </c>
      <c r="AE262" s="34" t="e">
        <f t="shared" si="344"/>
        <v>#N/A</v>
      </c>
      <c r="AF262" s="33" t="e">
        <f t="shared" si="288"/>
        <v>#N/A</v>
      </c>
      <c r="AG262" s="14" t="e">
        <f t="shared" si="289"/>
        <v>#N/A</v>
      </c>
      <c r="AH262" s="14" t="e">
        <f t="shared" si="290"/>
        <v>#N/A</v>
      </c>
      <c r="AI262" s="34" t="e">
        <f t="shared" si="345"/>
        <v>#N/A</v>
      </c>
      <c r="AJ262" s="49" t="e">
        <f t="shared" si="309"/>
        <v>#N/A</v>
      </c>
      <c r="AK262" s="49" t="e">
        <f t="shared" si="310"/>
        <v>#N/A</v>
      </c>
      <c r="AL262" s="49" t="e">
        <f t="shared" si="311"/>
        <v>#N/A</v>
      </c>
      <c r="AM262" s="25">
        <f t="shared" si="291"/>
        <v>30</v>
      </c>
      <c r="AN262" s="25">
        <f t="shared" si="292"/>
        <v>30</v>
      </c>
      <c r="AO262" s="25">
        <f t="shared" si="293"/>
        <v>30</v>
      </c>
      <c r="AP262" s="52" t="e">
        <f t="shared" si="312"/>
        <v>#N/A</v>
      </c>
      <c r="AQ262" s="53" t="e">
        <f t="shared" si="312"/>
        <v>#N/A</v>
      </c>
      <c r="AR262" s="54" t="e">
        <f t="shared" si="312"/>
        <v>#N/A</v>
      </c>
      <c r="AS262" s="316">
        <f t="shared" si="370"/>
        <v>0</v>
      </c>
      <c r="AT262" s="106">
        <f>_xlfn.IFNA($M262/VLOOKUP($BT262,'Unit information'!$A$2:$K$29,2,FALSE)*R262,0)*(1+$E$9)</f>
        <v>0</v>
      </c>
      <c r="AU262" s="107">
        <f>_xlfn.IFNA($M262/VLOOKUP($BT262,'Unit information'!$A$2:$K$29,3,FALSE)*S262,0)*(1+$E$9)</f>
        <v>0</v>
      </c>
      <c r="AV262" s="107">
        <f>_xlfn.IFNA($M262/VLOOKUP($BT262,'Unit information'!$A$2:$K$29,4,FALSE)*T262,0)*(1+$E$9)</f>
        <v>0</v>
      </c>
      <c r="AW262" s="107">
        <f>_xlfn.IFNA($M262/VLOOKUP($BT262,'Unit information'!$A$2:$K$29,5,FALSE)*U262,0)*(1+$E$9)</f>
        <v>0</v>
      </c>
      <c r="AX262" s="107">
        <f>_xlfn.IFNA($M262/VLOOKUP($BU262,'Unit information'!$A$2:$K$29,6,FALSE)*V262,0)*(1+$E$9)</f>
        <v>0</v>
      </c>
      <c r="AY262" s="107">
        <f>_xlfn.IFNA($M262/VLOOKUP($BU262,'Unit information'!$A$2:$K$29,7,FALSE)*W262,0)*(1+$E$9)</f>
        <v>0</v>
      </c>
      <c r="AZ262" s="107">
        <f>_xlfn.IFNA($M262/VLOOKUP($BU262,'Unit information'!$A$2:$K$29,8,FALSE)*X262,0)*(1+$E$9)</f>
        <v>0</v>
      </c>
      <c r="BA262" s="107">
        <f>_xlfn.IFNA($M262/VLOOKUP($BU262,'Unit information'!$A$2:$K$29,9,FALSE)*Y262,0)*(1+$E$9)</f>
        <v>0</v>
      </c>
      <c r="BB262" s="107">
        <f>_xlfn.IFNA($M262/VLOOKUP($BV262,'Unit information'!$A$2:$K$29,10,FALSE)*Z262,0)*(1+$E$9)</f>
        <v>0</v>
      </c>
      <c r="BC262" s="108">
        <f>_xlfn.IFNA($M262/VLOOKUP($BV262,'Unit information'!$A$2:$K$29,11,FALSE)*AA262,0)*(1+$E$9)</f>
        <v>0</v>
      </c>
      <c r="BD262" s="106">
        <f t="shared" si="294"/>
        <v>0</v>
      </c>
      <c r="BE262" s="107">
        <f t="shared" si="295"/>
        <v>0</v>
      </c>
      <c r="BF262" s="108">
        <f t="shared" si="296"/>
        <v>0</v>
      </c>
      <c r="BG262" s="25" t="e">
        <f t="shared" si="297"/>
        <v>#N/A</v>
      </c>
      <c r="BH262" s="25" t="e">
        <f t="shared" si="298"/>
        <v>#N/A</v>
      </c>
      <c r="BI262" s="25" t="e">
        <f t="shared" si="299"/>
        <v>#N/A</v>
      </c>
      <c r="BJ262" s="27" t="e">
        <f t="shared" si="300"/>
        <v>#N/A</v>
      </c>
      <c r="BK262" s="18" t="e">
        <f t="shared" si="301"/>
        <v>#N/A</v>
      </c>
      <c r="BL262" s="18" t="e">
        <f t="shared" si="302"/>
        <v>#N/A</v>
      </c>
      <c r="BM262" s="28" t="e">
        <f t="shared" si="347"/>
        <v>#N/A</v>
      </c>
      <c r="BN262" s="33">
        <f>HLOOKUP("maximum population",Miscelaneous!$C$1:$C$33,CH262+3,FALSE)</f>
        <v>240</v>
      </c>
      <c r="BO262" s="14">
        <f t="shared" si="313"/>
        <v>32</v>
      </c>
      <c r="BP262" s="14">
        <f t="shared" si="314"/>
        <v>0</v>
      </c>
      <c r="BQ262" s="14">
        <f t="shared" si="315"/>
        <v>208</v>
      </c>
      <c r="BR262" s="34" t="e">
        <f>HLOOKUP(J262,Villagers!$B$1:$V$33,L262+3,FALSE)-HLOOKUP(J262,Villagers!$B$1:$V$33,L262+2,FALSE)</f>
        <v>#N/A</v>
      </c>
      <c r="BS262" s="49">
        <f t="shared" si="316"/>
        <v>1</v>
      </c>
      <c r="BT262" s="50">
        <f t="shared" si="317"/>
        <v>0</v>
      </c>
      <c r="BU262" s="50">
        <f t="shared" si="318"/>
        <v>0</v>
      </c>
      <c r="BV262" s="50">
        <f t="shared" si="319"/>
        <v>0</v>
      </c>
      <c r="BW262" s="50">
        <f t="shared" si="369"/>
        <v>0</v>
      </c>
      <c r="BX262" s="50">
        <f t="shared" si="369"/>
        <v>0</v>
      </c>
      <c r="BY262" s="50">
        <f t="shared" si="369"/>
        <v>0</v>
      </c>
      <c r="BZ262" s="50">
        <f t="shared" si="350"/>
        <v>0</v>
      </c>
      <c r="CA262" s="50">
        <f t="shared" si="351"/>
        <v>0</v>
      </c>
      <c r="CB262" s="50">
        <f t="shared" si="352"/>
        <v>1</v>
      </c>
      <c r="CC262" s="50">
        <f t="shared" si="353"/>
        <v>0</v>
      </c>
      <c r="CD262" s="50">
        <f t="shared" si="354"/>
        <v>0</v>
      </c>
      <c r="CE262" s="50">
        <f t="shared" si="355"/>
        <v>1</v>
      </c>
      <c r="CF262" s="50">
        <f t="shared" si="356"/>
        <v>1</v>
      </c>
      <c r="CG262" s="50">
        <f t="shared" si="357"/>
        <v>1</v>
      </c>
      <c r="CH262" s="50">
        <f t="shared" si="358"/>
        <v>1</v>
      </c>
      <c r="CI262" s="50">
        <f t="shared" si="359"/>
        <v>1</v>
      </c>
      <c r="CJ262" s="50">
        <f t="shared" si="360"/>
        <v>1</v>
      </c>
      <c r="CK262" s="50">
        <f t="shared" si="360"/>
        <v>0</v>
      </c>
      <c r="CL262" s="50">
        <f t="shared" si="360"/>
        <v>0</v>
      </c>
      <c r="CM262" s="51">
        <f t="shared" si="368"/>
        <v>0</v>
      </c>
      <c r="CN262" s="33">
        <f>ROUND(IF(BS262=0,0,HLOOKUP(BS$14,Villagers!$B$1:$V$33,BS262+3,FALSE)),)</f>
        <v>5</v>
      </c>
      <c r="CO262" s="14">
        <f>ROUND(IF(BT262=0,0,HLOOKUP(BT$14,Villagers!$B$1:$V$33,BT262+3,FALSE)),)</f>
        <v>0</v>
      </c>
      <c r="CP262" s="14">
        <f>ROUND(IF(BU262=0,0,HLOOKUP(BU$14,Villagers!$B$1:$V$33,BU262+3,FALSE)),)</f>
        <v>0</v>
      </c>
      <c r="CQ262" s="14">
        <f>ROUND(IF(BV262=0,0,HLOOKUP(BV$14,Villagers!$B$1:$V$33,BV262+3,FALSE)),)</f>
        <v>0</v>
      </c>
      <c r="CR262" s="14">
        <f>ROUND(IF(BW262=0,0,HLOOKUP(BW$14,Villagers!$B$1:$V$33,BW262+3,FALSE)),)</f>
        <v>0</v>
      </c>
      <c r="CS262" s="14">
        <f>ROUND(IF(BX262=0,0,HLOOKUP(BX$14,Villagers!$B$1:$V$33,BX262+3,FALSE)),)</f>
        <v>0</v>
      </c>
      <c r="CT262" s="14">
        <f>ROUND(IF(BY262=0,0,HLOOKUP(BY$14,Villagers!$B$1:$V$33,BY262+3,FALSE)),)</f>
        <v>0</v>
      </c>
      <c r="CU262" s="14">
        <f>ROUND(IF(BZ262=0,0,HLOOKUP(BZ$14,Villagers!$B$1:$V$33,BZ262+3,FALSE)),)</f>
        <v>0</v>
      </c>
      <c r="CV262" s="14">
        <f>ROUND(IF(CA262=0,0,HLOOKUP(CA$14,Villagers!$B$1:$V$33,CA262+3,FALSE)),)</f>
        <v>0</v>
      </c>
      <c r="CW262" s="14">
        <f>ROUND(IF(CB262=0,0,HLOOKUP(CB$14,Villagers!$B$1:$V$33,CB262+3,FALSE)),)</f>
        <v>0</v>
      </c>
      <c r="CX262" s="14">
        <f>ROUND(IF(CC262=0,0,HLOOKUP(CC$14,Villagers!$B$1:$V$33,CC262+3,FALSE)),)</f>
        <v>0</v>
      </c>
      <c r="CY262" s="14">
        <f>ROUND(IF(CD262=0,0,HLOOKUP(CD$14,Villagers!$B$1:$V$33,CD262+3,FALSE)),)</f>
        <v>0</v>
      </c>
      <c r="CZ262" s="14">
        <f>ROUND(IF(CE262=0,0,HLOOKUP(CE$14,Villagers!$B$1:$V$33,CE262+3,FALSE)),)</f>
        <v>5</v>
      </c>
      <c r="DA262" s="14">
        <f>ROUND(IF(CF262=0,0,HLOOKUP(CF$14,Villagers!$B$1:$V$33,CF262+3,FALSE)),)</f>
        <v>10</v>
      </c>
      <c r="DB262" s="14">
        <f>ROUND(IF(CG262=0,0,HLOOKUP(CG$14,Villagers!$B$1:$V$33,CG262+3,FALSE)),)</f>
        <v>10</v>
      </c>
      <c r="DC262" s="14">
        <f>ROUND(IF(CH262=0,0,HLOOKUP(CH$14,Villagers!$B$1:$V$33,CH262+3,FALSE)),)</f>
        <v>0</v>
      </c>
      <c r="DD262" s="14">
        <f>ROUND(IF(CI262=0,0,HLOOKUP(CI$14,Villagers!$B$1:$V$33,CI262+3,FALSE)),)</f>
        <v>0</v>
      </c>
      <c r="DE262" s="14">
        <f>ROUND(IF(CJ262=0,0,HLOOKUP(CJ$14,Villagers!$B$1:$V$33,CJ262+3,FALSE)),)</f>
        <v>2</v>
      </c>
      <c r="DF262" s="370">
        <f>ROUND(IF(CK262=0,0,HLOOKUP(CK$14,Villagers!$B$1:$V$33,CK262+3,FALSE)),)</f>
        <v>0</v>
      </c>
      <c r="DG262" s="370">
        <f>ROUND(IF(CL262=0,0,HLOOKUP(CL$14,Villagers!$B$1:$V$33,CL262+3,FALSE)),)</f>
        <v>0</v>
      </c>
      <c r="DH262" s="34">
        <f>ROUND(IF(CM262=0,0,HLOOKUP(CM$14,Villagers!$B$1:$V$33,CM262+3,FALSE)),)</f>
        <v>0</v>
      </c>
      <c r="DI262" s="109">
        <f t="shared" si="336"/>
        <v>0</v>
      </c>
      <c r="DJ262" s="50">
        <f t="shared" si="337"/>
        <v>0</v>
      </c>
      <c r="DK262" s="50">
        <f t="shared" si="338"/>
        <v>0</v>
      </c>
      <c r="DL262" s="50">
        <f t="shared" si="339"/>
        <v>0</v>
      </c>
      <c r="DM262" s="50">
        <f t="shared" si="340"/>
        <v>0</v>
      </c>
      <c r="DN262" s="50">
        <f t="shared" si="341"/>
        <v>0</v>
      </c>
      <c r="DO262" s="50">
        <f t="shared" si="342"/>
        <v>0</v>
      </c>
      <c r="DP262" s="50">
        <f t="shared" si="343"/>
        <v>0</v>
      </c>
      <c r="DQ262" s="50">
        <f t="shared" si="321"/>
        <v>0</v>
      </c>
      <c r="DR262" s="50">
        <f t="shared" si="322"/>
        <v>0</v>
      </c>
      <c r="DS262" s="96">
        <f>Miscelaneous!$D$4*Miscelaneous!$D$2^($CI262-1)</f>
        <v>1000</v>
      </c>
      <c r="DT262" s="333">
        <f t="shared" si="303"/>
        <v>1</v>
      </c>
      <c r="DU262" s="81">
        <v>1</v>
      </c>
      <c r="DV262" s="79">
        <f t="shared" si="323"/>
        <v>0</v>
      </c>
      <c r="DW262" s="79">
        <f t="shared" si="324"/>
        <v>0</v>
      </c>
      <c r="DX262" s="79">
        <f t="shared" si="325"/>
        <v>0</v>
      </c>
      <c r="DY262" s="79">
        <v>1</v>
      </c>
      <c r="DZ262" s="79">
        <f t="shared" si="326"/>
        <v>0</v>
      </c>
      <c r="EA262" s="79">
        <f t="shared" si="327"/>
        <v>0</v>
      </c>
      <c r="EB262" s="79">
        <f t="shared" si="328"/>
        <v>0</v>
      </c>
      <c r="EC262" s="79">
        <f t="shared" si="329"/>
        <v>0</v>
      </c>
      <c r="ED262" s="79">
        <v>1</v>
      </c>
      <c r="EE262" s="79">
        <v>1</v>
      </c>
      <c r="EF262" s="79">
        <f t="shared" si="330"/>
        <v>0</v>
      </c>
      <c r="EG262" s="79">
        <v>1</v>
      </c>
      <c r="EH262" s="79">
        <v>1</v>
      </c>
      <c r="EI262" s="79">
        <v>1</v>
      </c>
      <c r="EJ262" s="79">
        <v>1</v>
      </c>
      <c r="EK262" s="79">
        <v>1</v>
      </c>
      <c r="EL262" s="79">
        <v>1</v>
      </c>
      <c r="EM262" s="143">
        <f t="shared" si="331"/>
        <v>0</v>
      </c>
      <c r="EN262" s="143">
        <f t="shared" si="332"/>
        <v>0</v>
      </c>
      <c r="EO262" s="82">
        <f t="shared" si="333"/>
        <v>0</v>
      </c>
    </row>
    <row r="263" spans="1:145" x14ac:dyDescent="0.25">
      <c r="A263">
        <v>249</v>
      </c>
      <c r="B263" s="172" t="e">
        <f t="shared" si="304"/>
        <v>#N/A</v>
      </c>
      <c r="C263" s="121" t="e">
        <f t="shared" si="283"/>
        <v>#N/A</v>
      </c>
      <c r="D263" s="122" t="e">
        <f t="shared" si="284"/>
        <v>#N/A</v>
      </c>
      <c r="E263" s="122" t="e">
        <f t="shared" si="285"/>
        <v>#N/A</v>
      </c>
      <c r="F263" s="176" t="e">
        <f t="shared" si="286"/>
        <v>#N/A</v>
      </c>
      <c r="G263" s="121">
        <f t="shared" si="305"/>
        <v>208</v>
      </c>
      <c r="H263" s="176" t="e">
        <f t="shared" si="306"/>
        <v>#N/A</v>
      </c>
      <c r="I263" s="48">
        <v>1</v>
      </c>
      <c r="J263" s="39"/>
      <c r="K263" s="350">
        <v>1</v>
      </c>
      <c r="L263" s="34" t="e">
        <f t="shared" si="287"/>
        <v>#N/A</v>
      </c>
      <c r="M263" s="38" t="e">
        <f>(HLOOKUP(J263,'Construction Times'!$B$3:$W$34,L263+2,FALSE)*HLOOKUP("hq modifier",'Construction Times'!$W$3:$W$34,BS263+2,FALSE))*(1-$H$9)</f>
        <v>#N/A</v>
      </c>
      <c r="N263" s="443" t="e">
        <f t="shared" si="307"/>
        <v>#N/A</v>
      </c>
      <c r="O263" s="444"/>
      <c r="P263" s="447" t="e">
        <f t="shared" si="308"/>
        <v>#N/A</v>
      </c>
      <c r="Q263" s="448"/>
      <c r="R263" s="103">
        <f t="shared" si="334"/>
        <v>0</v>
      </c>
      <c r="S263" s="104">
        <f t="shared" si="334"/>
        <v>0</v>
      </c>
      <c r="T263" s="104">
        <f t="shared" si="335"/>
        <v>0</v>
      </c>
      <c r="U263" s="104">
        <f t="shared" si="335"/>
        <v>0</v>
      </c>
      <c r="V263" s="104">
        <f t="shared" si="335"/>
        <v>9.9999999999999995E-8</v>
      </c>
      <c r="W263" s="104">
        <f t="shared" si="335"/>
        <v>0</v>
      </c>
      <c r="X263" s="104">
        <f t="shared" si="365"/>
        <v>0</v>
      </c>
      <c r="Y263" s="104">
        <f t="shared" si="365"/>
        <v>9.9999999999999995E-8</v>
      </c>
      <c r="Z263" s="104">
        <f t="shared" si="365"/>
        <v>9.9999999999999995E-8</v>
      </c>
      <c r="AA263" s="105">
        <f t="shared" si="365"/>
        <v>9.9999999999999995E-8</v>
      </c>
      <c r="AB263" s="101" t="e">
        <f>$DT263*HLOOKUP($J263,'Construction Costs (timber)'!$B$1:$V$32,'Construction Planner'!$L263+2,FALSE)</f>
        <v>#N/A</v>
      </c>
      <c r="AC263" s="14" t="e">
        <f>$DT263*HLOOKUP($J263,'Construction Costs (clay)'!$B$1:$V$32,'Construction Planner'!$L263+2,FALSE)</f>
        <v>#N/A</v>
      </c>
      <c r="AD263" s="14" t="e">
        <f>$DT263*HLOOKUP($J263,'Construction Costs (iron)'!$B$1:$V$32,'Construction Planner'!$L263+2,FALSE)</f>
        <v>#N/A</v>
      </c>
      <c r="AE263" s="34" t="e">
        <f t="shared" si="344"/>
        <v>#N/A</v>
      </c>
      <c r="AF263" s="33" t="e">
        <f t="shared" si="288"/>
        <v>#N/A</v>
      </c>
      <c r="AG263" s="14" t="e">
        <f t="shared" si="289"/>
        <v>#N/A</v>
      </c>
      <c r="AH263" s="14" t="e">
        <f t="shared" si="290"/>
        <v>#N/A</v>
      </c>
      <c r="AI263" s="34" t="e">
        <f t="shared" si="345"/>
        <v>#N/A</v>
      </c>
      <c r="AJ263" s="49" t="e">
        <f t="shared" si="309"/>
        <v>#N/A</v>
      </c>
      <c r="AK263" s="49" t="e">
        <f t="shared" si="310"/>
        <v>#N/A</v>
      </c>
      <c r="AL263" s="49" t="e">
        <f t="shared" si="311"/>
        <v>#N/A</v>
      </c>
      <c r="AM263" s="25">
        <f t="shared" si="291"/>
        <v>30</v>
      </c>
      <c r="AN263" s="25">
        <f t="shared" si="292"/>
        <v>30</v>
      </c>
      <c r="AO263" s="25">
        <f t="shared" si="293"/>
        <v>30</v>
      </c>
      <c r="AP263" s="52" t="e">
        <f t="shared" si="312"/>
        <v>#N/A</v>
      </c>
      <c r="AQ263" s="53" t="e">
        <f t="shared" si="312"/>
        <v>#N/A</v>
      </c>
      <c r="AR263" s="54" t="e">
        <f t="shared" si="312"/>
        <v>#N/A</v>
      </c>
      <c r="AS263" s="316">
        <f t="shared" si="370"/>
        <v>0</v>
      </c>
      <c r="AT263" s="106">
        <f>_xlfn.IFNA($M263/VLOOKUP($BT263,'Unit information'!$A$2:$K$29,2,FALSE)*R263,0)*(1+$E$9)</f>
        <v>0</v>
      </c>
      <c r="AU263" s="107">
        <f>_xlfn.IFNA($M263/VLOOKUP($BT263,'Unit information'!$A$2:$K$29,3,FALSE)*S263,0)*(1+$E$9)</f>
        <v>0</v>
      </c>
      <c r="AV263" s="107">
        <f>_xlfn.IFNA($M263/VLOOKUP($BT263,'Unit information'!$A$2:$K$29,4,FALSE)*T263,0)*(1+$E$9)</f>
        <v>0</v>
      </c>
      <c r="AW263" s="107">
        <f>_xlfn.IFNA($M263/VLOOKUP($BT263,'Unit information'!$A$2:$K$29,5,FALSE)*U263,0)*(1+$E$9)</f>
        <v>0</v>
      </c>
      <c r="AX263" s="107">
        <f>_xlfn.IFNA($M263/VLOOKUP($BU263,'Unit information'!$A$2:$K$29,6,FALSE)*V263,0)*(1+$E$9)</f>
        <v>0</v>
      </c>
      <c r="AY263" s="107">
        <f>_xlfn.IFNA($M263/VLOOKUP($BU263,'Unit information'!$A$2:$K$29,7,FALSE)*W263,0)*(1+$E$9)</f>
        <v>0</v>
      </c>
      <c r="AZ263" s="107">
        <f>_xlfn.IFNA($M263/VLOOKUP($BU263,'Unit information'!$A$2:$K$29,8,FALSE)*X263,0)*(1+$E$9)</f>
        <v>0</v>
      </c>
      <c r="BA263" s="107">
        <f>_xlfn.IFNA($M263/VLOOKUP($BU263,'Unit information'!$A$2:$K$29,9,FALSE)*Y263,0)*(1+$E$9)</f>
        <v>0</v>
      </c>
      <c r="BB263" s="107">
        <f>_xlfn.IFNA($M263/VLOOKUP($BV263,'Unit information'!$A$2:$K$29,10,FALSE)*Z263,0)*(1+$E$9)</f>
        <v>0</v>
      </c>
      <c r="BC263" s="108">
        <f>_xlfn.IFNA($M263/VLOOKUP($BV263,'Unit information'!$A$2:$K$29,11,FALSE)*AA263,0)*(1+$E$9)</f>
        <v>0</v>
      </c>
      <c r="BD263" s="106">
        <f t="shared" si="294"/>
        <v>0</v>
      </c>
      <c r="BE263" s="107">
        <f t="shared" si="295"/>
        <v>0</v>
      </c>
      <c r="BF263" s="108">
        <f t="shared" si="296"/>
        <v>0</v>
      </c>
      <c r="BG263" s="25" t="e">
        <f t="shared" si="297"/>
        <v>#N/A</v>
      </c>
      <c r="BH263" s="25" t="e">
        <f t="shared" si="298"/>
        <v>#N/A</v>
      </c>
      <c r="BI263" s="25" t="e">
        <f t="shared" si="299"/>
        <v>#N/A</v>
      </c>
      <c r="BJ263" s="27" t="e">
        <f t="shared" si="300"/>
        <v>#N/A</v>
      </c>
      <c r="BK263" s="18" t="e">
        <f t="shared" si="301"/>
        <v>#N/A</v>
      </c>
      <c r="BL263" s="18" t="e">
        <f t="shared" si="302"/>
        <v>#N/A</v>
      </c>
      <c r="BM263" s="28" t="e">
        <f t="shared" si="347"/>
        <v>#N/A</v>
      </c>
      <c r="BN263" s="33">
        <f>HLOOKUP("maximum population",Miscelaneous!$C$1:$C$33,CH263+3,FALSE)</f>
        <v>240</v>
      </c>
      <c r="BO263" s="14">
        <f t="shared" si="313"/>
        <v>32</v>
      </c>
      <c r="BP263" s="14">
        <f t="shared" si="314"/>
        <v>0</v>
      </c>
      <c r="BQ263" s="14">
        <f t="shared" si="315"/>
        <v>208</v>
      </c>
      <c r="BR263" s="34" t="e">
        <f>HLOOKUP(J263,Villagers!$B$1:$V$33,L263+3,FALSE)-HLOOKUP(J263,Villagers!$B$1:$V$33,L263+2,FALSE)</f>
        <v>#N/A</v>
      </c>
      <c r="BS263" s="49">
        <f t="shared" si="316"/>
        <v>1</v>
      </c>
      <c r="BT263" s="50">
        <f t="shared" si="317"/>
        <v>0</v>
      </c>
      <c r="BU263" s="50">
        <f t="shared" si="318"/>
        <v>0</v>
      </c>
      <c r="BV263" s="50">
        <f t="shared" si="319"/>
        <v>0</v>
      </c>
      <c r="BW263" s="50">
        <f>IF($J262=BW$14,$L262,BW262)</f>
        <v>0</v>
      </c>
      <c r="BX263" s="50">
        <f t="shared" ref="BX263:BY271" si="371">IF($J262=BX$14,$L262,BX262)</f>
        <v>0</v>
      </c>
      <c r="BY263" s="50">
        <f t="shared" si="371"/>
        <v>0</v>
      </c>
      <c r="BZ263" s="50">
        <f t="shared" si="350"/>
        <v>0</v>
      </c>
      <c r="CA263" s="50">
        <f t="shared" si="351"/>
        <v>0</v>
      </c>
      <c r="CB263" s="50">
        <f t="shared" si="352"/>
        <v>1</v>
      </c>
      <c r="CC263" s="50">
        <f t="shared" si="353"/>
        <v>0</v>
      </c>
      <c r="CD263" s="50">
        <f t="shared" si="354"/>
        <v>0</v>
      </c>
      <c r="CE263" s="50">
        <f t="shared" si="355"/>
        <v>1</v>
      </c>
      <c r="CF263" s="50">
        <f t="shared" si="356"/>
        <v>1</v>
      </c>
      <c r="CG263" s="50">
        <f t="shared" si="357"/>
        <v>1</v>
      </c>
      <c r="CH263" s="50">
        <f t="shared" si="358"/>
        <v>1</v>
      </c>
      <c r="CI263" s="50">
        <f t="shared" si="359"/>
        <v>1</v>
      </c>
      <c r="CJ263" s="50">
        <f t="shared" si="360"/>
        <v>1</v>
      </c>
      <c r="CK263" s="50">
        <f t="shared" si="360"/>
        <v>0</v>
      </c>
      <c r="CL263" s="50">
        <f t="shared" si="360"/>
        <v>0</v>
      </c>
      <c r="CM263" s="51">
        <f t="shared" si="368"/>
        <v>0</v>
      </c>
      <c r="CN263" s="33">
        <f>ROUND(IF(BS263=0,0,HLOOKUP(BS$14,Villagers!$B$1:$V$33,BS263+3,FALSE)),)</f>
        <v>5</v>
      </c>
      <c r="CO263" s="14">
        <f>ROUND(IF(BT263=0,0,HLOOKUP(BT$14,Villagers!$B$1:$V$33,BT263+3,FALSE)),)</f>
        <v>0</v>
      </c>
      <c r="CP263" s="14">
        <f>ROUND(IF(BU263=0,0,HLOOKUP(BU$14,Villagers!$B$1:$V$33,BU263+3,FALSE)),)</f>
        <v>0</v>
      </c>
      <c r="CQ263" s="14">
        <f>ROUND(IF(BV263=0,0,HLOOKUP(BV$14,Villagers!$B$1:$V$33,BV263+3,FALSE)),)</f>
        <v>0</v>
      </c>
      <c r="CR263" s="14">
        <f>ROUND(IF(BW263=0,0,HLOOKUP(BW$14,Villagers!$B$1:$V$33,BW263+3,FALSE)),)</f>
        <v>0</v>
      </c>
      <c r="CS263" s="14">
        <f>ROUND(IF(BX263=0,0,HLOOKUP(BX$14,Villagers!$B$1:$V$33,BX263+3,FALSE)),)</f>
        <v>0</v>
      </c>
      <c r="CT263" s="14">
        <f>ROUND(IF(BY263=0,0,HLOOKUP(BY$14,Villagers!$B$1:$V$33,BY263+3,FALSE)),)</f>
        <v>0</v>
      </c>
      <c r="CU263" s="14">
        <f>ROUND(IF(BZ263=0,0,HLOOKUP(BZ$14,Villagers!$B$1:$V$33,BZ263+3,FALSE)),)</f>
        <v>0</v>
      </c>
      <c r="CV263" s="14">
        <f>ROUND(IF(CA263=0,0,HLOOKUP(CA$14,Villagers!$B$1:$V$33,CA263+3,FALSE)),)</f>
        <v>0</v>
      </c>
      <c r="CW263" s="14">
        <f>ROUND(IF(CB263=0,0,HLOOKUP(CB$14,Villagers!$B$1:$V$33,CB263+3,FALSE)),)</f>
        <v>0</v>
      </c>
      <c r="CX263" s="14">
        <f>ROUND(IF(CC263=0,0,HLOOKUP(CC$14,Villagers!$B$1:$V$33,CC263+3,FALSE)),)</f>
        <v>0</v>
      </c>
      <c r="CY263" s="14">
        <f>ROUND(IF(CD263=0,0,HLOOKUP(CD$14,Villagers!$B$1:$V$33,CD263+3,FALSE)),)</f>
        <v>0</v>
      </c>
      <c r="CZ263" s="14">
        <f>ROUND(IF(CE263=0,0,HLOOKUP(CE$14,Villagers!$B$1:$V$33,CE263+3,FALSE)),)</f>
        <v>5</v>
      </c>
      <c r="DA263" s="14">
        <f>ROUND(IF(CF263=0,0,HLOOKUP(CF$14,Villagers!$B$1:$V$33,CF263+3,FALSE)),)</f>
        <v>10</v>
      </c>
      <c r="DB263" s="14">
        <f>ROUND(IF(CG263=0,0,HLOOKUP(CG$14,Villagers!$B$1:$V$33,CG263+3,FALSE)),)</f>
        <v>10</v>
      </c>
      <c r="DC263" s="14">
        <f>ROUND(IF(CH263=0,0,HLOOKUP(CH$14,Villagers!$B$1:$V$33,CH263+3,FALSE)),)</f>
        <v>0</v>
      </c>
      <c r="DD263" s="14">
        <f>ROUND(IF(CI263=0,0,HLOOKUP(CI$14,Villagers!$B$1:$V$33,CI263+3,FALSE)),)</f>
        <v>0</v>
      </c>
      <c r="DE263" s="14">
        <f>ROUND(IF(CJ263=0,0,HLOOKUP(CJ$14,Villagers!$B$1:$V$33,CJ263+3,FALSE)),)</f>
        <v>2</v>
      </c>
      <c r="DF263" s="370">
        <f>ROUND(IF(CK263=0,0,HLOOKUP(CK$14,Villagers!$B$1:$V$33,CK263+3,FALSE)),)</f>
        <v>0</v>
      </c>
      <c r="DG263" s="370">
        <f>ROUND(IF(CL263=0,0,HLOOKUP(CL$14,Villagers!$B$1:$V$33,CL263+3,FALSE)),)</f>
        <v>0</v>
      </c>
      <c r="DH263" s="34">
        <f>ROUND(IF(CM263=0,0,HLOOKUP(CM$14,Villagers!$B$1:$V$33,CM263+3,FALSE)),)</f>
        <v>0</v>
      </c>
      <c r="DI263" s="109">
        <f t="shared" si="336"/>
        <v>0</v>
      </c>
      <c r="DJ263" s="50">
        <f t="shared" si="337"/>
        <v>0</v>
      </c>
      <c r="DK263" s="50">
        <f t="shared" si="338"/>
        <v>0</v>
      </c>
      <c r="DL263" s="50">
        <f t="shared" si="339"/>
        <v>0</v>
      </c>
      <c r="DM263" s="50">
        <f t="shared" si="340"/>
        <v>0</v>
      </c>
      <c r="DN263" s="50">
        <f t="shared" si="341"/>
        <v>0</v>
      </c>
      <c r="DO263" s="50">
        <f t="shared" si="342"/>
        <v>0</v>
      </c>
      <c r="DP263" s="50">
        <f t="shared" si="343"/>
        <v>0</v>
      </c>
      <c r="DQ263" s="50">
        <f t="shared" si="321"/>
        <v>0</v>
      </c>
      <c r="DR263" s="50">
        <f t="shared" si="322"/>
        <v>0</v>
      </c>
      <c r="DS263" s="96">
        <f>Miscelaneous!$D$4*Miscelaneous!$D$2^($CI263-1)</f>
        <v>1000</v>
      </c>
      <c r="DT263" s="333">
        <f t="shared" si="303"/>
        <v>1</v>
      </c>
      <c r="DU263" s="81">
        <v>1</v>
      </c>
      <c r="DV263" s="79">
        <f t="shared" si="323"/>
        <v>0</v>
      </c>
      <c r="DW263" s="79">
        <f t="shared" si="324"/>
        <v>0</v>
      </c>
      <c r="DX263" s="79">
        <f t="shared" si="325"/>
        <v>0</v>
      </c>
      <c r="DY263" s="79">
        <v>1</v>
      </c>
      <c r="DZ263" s="79">
        <f t="shared" si="326"/>
        <v>0</v>
      </c>
      <c r="EA263" s="79">
        <f t="shared" si="327"/>
        <v>0</v>
      </c>
      <c r="EB263" s="79">
        <f t="shared" si="328"/>
        <v>0</v>
      </c>
      <c r="EC263" s="79">
        <f t="shared" si="329"/>
        <v>0</v>
      </c>
      <c r="ED263" s="79">
        <v>1</v>
      </c>
      <c r="EE263" s="79">
        <v>1</v>
      </c>
      <c r="EF263" s="79">
        <f t="shared" si="330"/>
        <v>0</v>
      </c>
      <c r="EG263" s="79">
        <v>1</v>
      </c>
      <c r="EH263" s="79">
        <v>1</v>
      </c>
      <c r="EI263" s="79">
        <v>1</v>
      </c>
      <c r="EJ263" s="79">
        <v>1</v>
      </c>
      <c r="EK263" s="79">
        <v>1</v>
      </c>
      <c r="EL263" s="79">
        <v>1</v>
      </c>
      <c r="EM263" s="143">
        <f t="shared" si="331"/>
        <v>0</v>
      </c>
      <c r="EN263" s="143">
        <f t="shared" si="332"/>
        <v>0</v>
      </c>
      <c r="EO263" s="82">
        <f t="shared" si="333"/>
        <v>0</v>
      </c>
    </row>
    <row r="264" spans="1:145" x14ac:dyDescent="0.25">
      <c r="A264">
        <v>250</v>
      </c>
      <c r="B264" s="172" t="e">
        <f t="shared" si="304"/>
        <v>#N/A</v>
      </c>
      <c r="C264" s="121" t="e">
        <f t="shared" si="283"/>
        <v>#N/A</v>
      </c>
      <c r="D264" s="122" t="e">
        <f t="shared" si="284"/>
        <v>#N/A</v>
      </c>
      <c r="E264" s="122" t="e">
        <f t="shared" si="285"/>
        <v>#N/A</v>
      </c>
      <c r="F264" s="176" t="e">
        <f t="shared" si="286"/>
        <v>#N/A</v>
      </c>
      <c r="G264" s="121">
        <f t="shared" si="305"/>
        <v>208</v>
      </c>
      <c r="H264" s="176" t="e">
        <f t="shared" si="306"/>
        <v>#N/A</v>
      </c>
      <c r="I264" s="48">
        <v>1</v>
      </c>
      <c r="J264" s="39"/>
      <c r="K264" s="350">
        <v>1</v>
      </c>
      <c r="L264" s="34" t="e">
        <f t="shared" si="287"/>
        <v>#N/A</v>
      </c>
      <c r="M264" s="38" t="e">
        <f>(HLOOKUP(J264,'Construction Times'!$B$3:$W$34,L264+2,FALSE)*HLOOKUP("hq modifier",'Construction Times'!$W$3:$W$34,BS264+2,FALSE))*(1-$H$9)</f>
        <v>#N/A</v>
      </c>
      <c r="N264" s="443" t="e">
        <f t="shared" si="307"/>
        <v>#N/A</v>
      </c>
      <c r="O264" s="444"/>
      <c r="P264" s="447" t="e">
        <f t="shared" si="308"/>
        <v>#N/A</v>
      </c>
      <c r="Q264" s="448"/>
      <c r="R264" s="103">
        <f t="shared" si="334"/>
        <v>0</v>
      </c>
      <c r="S264" s="104">
        <f t="shared" si="334"/>
        <v>0</v>
      </c>
      <c r="T264" s="104">
        <f t="shared" si="335"/>
        <v>0</v>
      </c>
      <c r="U264" s="104">
        <f t="shared" si="335"/>
        <v>0</v>
      </c>
      <c r="V264" s="104">
        <f t="shared" si="335"/>
        <v>9.9999999999999995E-8</v>
      </c>
      <c r="W264" s="104">
        <f t="shared" si="335"/>
        <v>0</v>
      </c>
      <c r="X264" s="104">
        <f t="shared" si="365"/>
        <v>0</v>
      </c>
      <c r="Y264" s="104">
        <f t="shared" si="365"/>
        <v>9.9999999999999995E-8</v>
      </c>
      <c r="Z264" s="104">
        <f t="shared" si="365"/>
        <v>9.9999999999999995E-8</v>
      </c>
      <c r="AA264" s="105">
        <f t="shared" si="365"/>
        <v>9.9999999999999995E-8</v>
      </c>
      <c r="AB264" s="101" t="e">
        <f>$DT264*HLOOKUP($J264,'Construction Costs (timber)'!$B$1:$V$32,'Construction Planner'!$L264+2,FALSE)</f>
        <v>#N/A</v>
      </c>
      <c r="AC264" s="14" t="e">
        <f>$DT264*HLOOKUP($J264,'Construction Costs (clay)'!$B$1:$V$32,'Construction Planner'!$L264+2,FALSE)</f>
        <v>#N/A</v>
      </c>
      <c r="AD264" s="14" t="e">
        <f>$DT264*HLOOKUP($J264,'Construction Costs (iron)'!$B$1:$V$32,'Construction Planner'!$L264+2,FALSE)</f>
        <v>#N/A</v>
      </c>
      <c r="AE264" s="34" t="e">
        <f t="shared" si="344"/>
        <v>#N/A</v>
      </c>
      <c r="AF264" s="33" t="e">
        <f t="shared" si="288"/>
        <v>#N/A</v>
      </c>
      <c r="AG264" s="14" t="e">
        <f t="shared" si="289"/>
        <v>#N/A</v>
      </c>
      <c r="AH264" s="14" t="e">
        <f t="shared" si="290"/>
        <v>#N/A</v>
      </c>
      <c r="AI264" s="34" t="e">
        <f t="shared" si="345"/>
        <v>#N/A</v>
      </c>
      <c r="AJ264" s="49" t="e">
        <f t="shared" si="309"/>
        <v>#N/A</v>
      </c>
      <c r="AK264" s="49" t="e">
        <f t="shared" si="310"/>
        <v>#N/A</v>
      </c>
      <c r="AL264" s="49" t="e">
        <f t="shared" si="311"/>
        <v>#N/A</v>
      </c>
      <c r="AM264" s="25">
        <f t="shared" si="291"/>
        <v>30</v>
      </c>
      <c r="AN264" s="25">
        <f t="shared" si="292"/>
        <v>30</v>
      </c>
      <c r="AO264" s="25">
        <f t="shared" si="293"/>
        <v>30</v>
      </c>
      <c r="AP264" s="52" t="e">
        <f t="shared" si="312"/>
        <v>#N/A</v>
      </c>
      <c r="AQ264" s="53" t="e">
        <f t="shared" si="312"/>
        <v>#N/A</v>
      </c>
      <c r="AR264" s="54" t="e">
        <f t="shared" si="312"/>
        <v>#N/A</v>
      </c>
      <c r="AS264" s="316">
        <f t="shared" si="370"/>
        <v>0</v>
      </c>
      <c r="AT264" s="106">
        <f>_xlfn.IFNA($M264/VLOOKUP($BT264,'Unit information'!$A$2:$K$29,2,FALSE)*R264,0)*(1+$E$9)</f>
        <v>0</v>
      </c>
      <c r="AU264" s="107">
        <f>_xlfn.IFNA($M264/VLOOKUP($BT264,'Unit information'!$A$2:$K$29,3,FALSE)*S264,0)*(1+$E$9)</f>
        <v>0</v>
      </c>
      <c r="AV264" s="107">
        <f>_xlfn.IFNA($M264/VLOOKUP($BT264,'Unit information'!$A$2:$K$29,4,FALSE)*T264,0)*(1+$E$9)</f>
        <v>0</v>
      </c>
      <c r="AW264" s="107">
        <f>_xlfn.IFNA($M264/VLOOKUP($BT264,'Unit information'!$A$2:$K$29,5,FALSE)*U264,0)*(1+$E$9)</f>
        <v>0</v>
      </c>
      <c r="AX264" s="107">
        <f>_xlfn.IFNA($M264/VLOOKUP($BU264,'Unit information'!$A$2:$K$29,6,FALSE)*V264,0)*(1+$E$9)</f>
        <v>0</v>
      </c>
      <c r="AY264" s="107">
        <f>_xlfn.IFNA($M264/VLOOKUP($BU264,'Unit information'!$A$2:$K$29,7,FALSE)*W264,0)*(1+$E$9)</f>
        <v>0</v>
      </c>
      <c r="AZ264" s="107">
        <f>_xlfn.IFNA($M264/VLOOKUP($BU264,'Unit information'!$A$2:$K$29,8,FALSE)*X264,0)*(1+$E$9)</f>
        <v>0</v>
      </c>
      <c r="BA264" s="107">
        <f>_xlfn.IFNA($M264/VLOOKUP($BU264,'Unit information'!$A$2:$K$29,9,FALSE)*Y264,0)*(1+$E$9)</f>
        <v>0</v>
      </c>
      <c r="BB264" s="107">
        <f>_xlfn.IFNA($M264/VLOOKUP($BV264,'Unit information'!$A$2:$K$29,10,FALSE)*Z264,0)*(1+$E$9)</f>
        <v>0</v>
      </c>
      <c r="BC264" s="108">
        <f>_xlfn.IFNA($M264/VLOOKUP($BV264,'Unit information'!$A$2:$K$29,11,FALSE)*AA264,0)*(1+$E$9)</f>
        <v>0</v>
      </c>
      <c r="BD264" s="106">
        <f t="shared" si="294"/>
        <v>0</v>
      </c>
      <c r="BE264" s="107">
        <f t="shared" si="295"/>
        <v>0</v>
      </c>
      <c r="BF264" s="108">
        <f t="shared" si="296"/>
        <v>0</v>
      </c>
      <c r="BG264" s="25" t="e">
        <f t="shared" si="297"/>
        <v>#N/A</v>
      </c>
      <c r="BH264" s="25" t="e">
        <f t="shared" si="298"/>
        <v>#N/A</v>
      </c>
      <c r="BI264" s="25" t="e">
        <f t="shared" si="299"/>
        <v>#N/A</v>
      </c>
      <c r="BJ264" s="27" t="e">
        <f t="shared" si="300"/>
        <v>#N/A</v>
      </c>
      <c r="BK264" s="18" t="e">
        <f t="shared" si="301"/>
        <v>#N/A</v>
      </c>
      <c r="BL264" s="18" t="e">
        <f t="shared" si="302"/>
        <v>#N/A</v>
      </c>
      <c r="BM264" s="28" t="e">
        <f t="shared" si="347"/>
        <v>#N/A</v>
      </c>
      <c r="BN264" s="33">
        <f>HLOOKUP("maximum population",Miscelaneous!$C$1:$C$33,CH264+3,FALSE)</f>
        <v>240</v>
      </c>
      <c r="BO264" s="14">
        <f t="shared" si="313"/>
        <v>32</v>
      </c>
      <c r="BP264" s="14">
        <f t="shared" si="314"/>
        <v>0</v>
      </c>
      <c r="BQ264" s="14">
        <f t="shared" si="315"/>
        <v>208</v>
      </c>
      <c r="BR264" s="34" t="e">
        <f>HLOOKUP(J264,Villagers!$B$1:$V$33,L264+3,FALSE)-HLOOKUP(J264,Villagers!$B$1:$V$33,L264+2,FALSE)</f>
        <v>#N/A</v>
      </c>
      <c r="BS264" s="49">
        <f t="shared" si="316"/>
        <v>1</v>
      </c>
      <c r="BT264" s="50">
        <f t="shared" si="317"/>
        <v>0</v>
      </c>
      <c r="BU264" s="50">
        <f t="shared" si="318"/>
        <v>0</v>
      </c>
      <c r="BV264" s="50">
        <f t="shared" si="319"/>
        <v>0</v>
      </c>
      <c r="BW264" s="50">
        <f t="shared" ref="BW264:BW271" si="372">IF($J263=BW$14,$L263,BW263)</f>
        <v>0</v>
      </c>
      <c r="BX264" s="50">
        <f t="shared" si="371"/>
        <v>0</v>
      </c>
      <c r="BY264" s="50">
        <f t="shared" si="371"/>
        <v>0</v>
      </c>
      <c r="BZ264" s="50">
        <f t="shared" si="350"/>
        <v>0</v>
      </c>
      <c r="CA264" s="50">
        <f t="shared" si="351"/>
        <v>0</v>
      </c>
      <c r="CB264" s="50">
        <f t="shared" si="352"/>
        <v>1</v>
      </c>
      <c r="CC264" s="50">
        <f t="shared" si="353"/>
        <v>0</v>
      </c>
      <c r="CD264" s="50">
        <f t="shared" si="354"/>
        <v>0</v>
      </c>
      <c r="CE264" s="50">
        <f t="shared" si="355"/>
        <v>1</v>
      </c>
      <c r="CF264" s="50">
        <f t="shared" si="356"/>
        <v>1</v>
      </c>
      <c r="CG264" s="50">
        <f t="shared" si="357"/>
        <v>1</v>
      </c>
      <c r="CH264" s="50">
        <f t="shared" si="358"/>
        <v>1</v>
      </c>
      <c r="CI264" s="50">
        <f t="shared" si="359"/>
        <v>1</v>
      </c>
      <c r="CJ264" s="50">
        <f t="shared" si="360"/>
        <v>1</v>
      </c>
      <c r="CK264" s="50">
        <f t="shared" si="360"/>
        <v>0</v>
      </c>
      <c r="CL264" s="50">
        <f t="shared" si="360"/>
        <v>0</v>
      </c>
      <c r="CM264" s="51">
        <f t="shared" si="368"/>
        <v>0</v>
      </c>
      <c r="CN264" s="33">
        <f>ROUND(IF(BS264=0,0,HLOOKUP(BS$14,Villagers!$B$1:$V$33,BS264+3,FALSE)),)</f>
        <v>5</v>
      </c>
      <c r="CO264" s="14">
        <f>ROUND(IF(BT264=0,0,HLOOKUP(BT$14,Villagers!$B$1:$V$33,BT264+3,FALSE)),)</f>
        <v>0</v>
      </c>
      <c r="CP264" s="14">
        <f>ROUND(IF(BU264=0,0,HLOOKUP(BU$14,Villagers!$B$1:$V$33,BU264+3,FALSE)),)</f>
        <v>0</v>
      </c>
      <c r="CQ264" s="14">
        <f>ROUND(IF(BV264=0,0,HLOOKUP(BV$14,Villagers!$B$1:$V$33,BV264+3,FALSE)),)</f>
        <v>0</v>
      </c>
      <c r="CR264" s="14">
        <f>ROUND(IF(BW264=0,0,HLOOKUP(BW$14,Villagers!$B$1:$V$33,BW264+3,FALSE)),)</f>
        <v>0</v>
      </c>
      <c r="CS264" s="14">
        <f>ROUND(IF(BX264=0,0,HLOOKUP(BX$14,Villagers!$B$1:$V$33,BX264+3,FALSE)),)</f>
        <v>0</v>
      </c>
      <c r="CT264" s="14">
        <f>ROUND(IF(BY264=0,0,HLOOKUP(BY$14,Villagers!$B$1:$V$33,BY264+3,FALSE)),)</f>
        <v>0</v>
      </c>
      <c r="CU264" s="14">
        <f>ROUND(IF(BZ264=0,0,HLOOKUP(BZ$14,Villagers!$B$1:$V$33,BZ264+3,FALSE)),)</f>
        <v>0</v>
      </c>
      <c r="CV264" s="14">
        <f>ROUND(IF(CA264=0,0,HLOOKUP(CA$14,Villagers!$B$1:$V$33,CA264+3,FALSE)),)</f>
        <v>0</v>
      </c>
      <c r="CW264" s="14">
        <f>ROUND(IF(CB264=0,0,HLOOKUP(CB$14,Villagers!$B$1:$V$33,CB264+3,FALSE)),)</f>
        <v>0</v>
      </c>
      <c r="CX264" s="14">
        <f>ROUND(IF(CC264=0,0,HLOOKUP(CC$14,Villagers!$B$1:$V$33,CC264+3,FALSE)),)</f>
        <v>0</v>
      </c>
      <c r="CY264" s="14">
        <f>ROUND(IF(CD264=0,0,HLOOKUP(CD$14,Villagers!$B$1:$V$33,CD264+3,FALSE)),)</f>
        <v>0</v>
      </c>
      <c r="CZ264" s="14">
        <f>ROUND(IF(CE264=0,0,HLOOKUP(CE$14,Villagers!$B$1:$V$33,CE264+3,FALSE)),)</f>
        <v>5</v>
      </c>
      <c r="DA264" s="14">
        <f>ROUND(IF(CF264=0,0,HLOOKUP(CF$14,Villagers!$B$1:$V$33,CF264+3,FALSE)),)</f>
        <v>10</v>
      </c>
      <c r="DB264" s="14">
        <f>ROUND(IF(CG264=0,0,HLOOKUP(CG$14,Villagers!$B$1:$V$33,CG264+3,FALSE)),)</f>
        <v>10</v>
      </c>
      <c r="DC264" s="14">
        <f>ROUND(IF(CH264=0,0,HLOOKUP(CH$14,Villagers!$B$1:$V$33,CH264+3,FALSE)),)</f>
        <v>0</v>
      </c>
      <c r="DD264" s="14">
        <f>ROUND(IF(CI264=0,0,HLOOKUP(CI$14,Villagers!$B$1:$V$33,CI264+3,FALSE)),)</f>
        <v>0</v>
      </c>
      <c r="DE264" s="14">
        <f>ROUND(IF(CJ264=0,0,HLOOKUP(CJ$14,Villagers!$B$1:$V$33,CJ264+3,FALSE)),)</f>
        <v>2</v>
      </c>
      <c r="DF264" s="370">
        <f>ROUND(IF(CK264=0,0,HLOOKUP(CK$14,Villagers!$B$1:$V$33,CK264+3,FALSE)),)</f>
        <v>0</v>
      </c>
      <c r="DG264" s="370">
        <f>ROUND(IF(CL264=0,0,HLOOKUP(CL$14,Villagers!$B$1:$V$33,CL264+3,FALSE)),)</f>
        <v>0</v>
      </c>
      <c r="DH264" s="34">
        <f>ROUND(IF(CM264=0,0,HLOOKUP(CM$14,Villagers!$B$1:$V$33,CM264+3,FALSE)),)</f>
        <v>0</v>
      </c>
      <c r="DI264" s="109">
        <f t="shared" si="336"/>
        <v>0</v>
      </c>
      <c r="DJ264" s="50">
        <f t="shared" si="337"/>
        <v>0</v>
      </c>
      <c r="DK264" s="50">
        <f t="shared" si="338"/>
        <v>0</v>
      </c>
      <c r="DL264" s="50">
        <f t="shared" si="339"/>
        <v>0</v>
      </c>
      <c r="DM264" s="50">
        <f t="shared" si="340"/>
        <v>0</v>
      </c>
      <c r="DN264" s="50">
        <f t="shared" si="341"/>
        <v>0</v>
      </c>
      <c r="DO264" s="50">
        <f t="shared" si="342"/>
        <v>0</v>
      </c>
      <c r="DP264" s="50">
        <f t="shared" si="343"/>
        <v>0</v>
      </c>
      <c r="DQ264" s="50">
        <f t="shared" si="321"/>
        <v>0</v>
      </c>
      <c r="DR264" s="50">
        <f t="shared" si="322"/>
        <v>0</v>
      </c>
      <c r="DS264" s="96">
        <f>Miscelaneous!$D$4*Miscelaneous!$D$2^($CI264-1)</f>
        <v>1000</v>
      </c>
      <c r="DT264" s="333">
        <f t="shared" si="303"/>
        <v>1</v>
      </c>
      <c r="DU264" s="81">
        <v>1</v>
      </c>
      <c r="DV264" s="79">
        <f t="shared" si="323"/>
        <v>0</v>
      </c>
      <c r="DW264" s="79">
        <f t="shared" si="324"/>
        <v>0</v>
      </c>
      <c r="DX264" s="79">
        <f t="shared" si="325"/>
        <v>0</v>
      </c>
      <c r="DY264" s="79">
        <v>1</v>
      </c>
      <c r="DZ264" s="79">
        <f t="shared" si="326"/>
        <v>0</v>
      </c>
      <c r="EA264" s="79">
        <f t="shared" si="327"/>
        <v>0</v>
      </c>
      <c r="EB264" s="79">
        <f t="shared" si="328"/>
        <v>0</v>
      </c>
      <c r="EC264" s="79">
        <f t="shared" si="329"/>
        <v>0</v>
      </c>
      <c r="ED264" s="79">
        <v>1</v>
      </c>
      <c r="EE264" s="79">
        <v>1</v>
      </c>
      <c r="EF264" s="79">
        <f t="shared" si="330"/>
        <v>0</v>
      </c>
      <c r="EG264" s="79">
        <v>1</v>
      </c>
      <c r="EH264" s="79">
        <v>1</v>
      </c>
      <c r="EI264" s="79">
        <v>1</v>
      </c>
      <c r="EJ264" s="79">
        <v>1</v>
      </c>
      <c r="EK264" s="79">
        <v>1</v>
      </c>
      <c r="EL264" s="79">
        <v>1</v>
      </c>
      <c r="EM264" s="143">
        <f t="shared" si="331"/>
        <v>0</v>
      </c>
      <c r="EN264" s="143">
        <f t="shared" si="332"/>
        <v>0</v>
      </c>
      <c r="EO264" s="82">
        <f t="shared" si="333"/>
        <v>0</v>
      </c>
    </row>
    <row r="265" spans="1:145" x14ac:dyDescent="0.25">
      <c r="A265">
        <v>251</v>
      </c>
      <c r="B265" s="172" t="e">
        <f t="shared" si="304"/>
        <v>#N/A</v>
      </c>
      <c r="C265" s="121" t="e">
        <f t="shared" si="283"/>
        <v>#N/A</v>
      </c>
      <c r="D265" s="122" t="e">
        <f t="shared" si="284"/>
        <v>#N/A</v>
      </c>
      <c r="E265" s="122" t="e">
        <f t="shared" si="285"/>
        <v>#N/A</v>
      </c>
      <c r="F265" s="176" t="e">
        <f t="shared" si="286"/>
        <v>#N/A</v>
      </c>
      <c r="G265" s="121">
        <f t="shared" si="305"/>
        <v>208</v>
      </c>
      <c r="H265" s="176" t="e">
        <f t="shared" si="306"/>
        <v>#N/A</v>
      </c>
      <c r="I265" s="48">
        <v>1</v>
      </c>
      <c r="J265" s="39"/>
      <c r="K265" s="350">
        <v>1</v>
      </c>
      <c r="L265" s="34" t="e">
        <f t="shared" si="287"/>
        <v>#N/A</v>
      </c>
      <c r="M265" s="38" t="e">
        <f>(HLOOKUP(J265,'Construction Times'!$B$3:$W$34,L265+2,FALSE)*HLOOKUP("hq modifier",'Construction Times'!$W$3:$W$34,BS265+2,FALSE))*(1-$H$9)</f>
        <v>#N/A</v>
      </c>
      <c r="N265" s="443" t="e">
        <f t="shared" si="307"/>
        <v>#N/A</v>
      </c>
      <c r="O265" s="444"/>
      <c r="P265" s="447" t="e">
        <f t="shared" si="308"/>
        <v>#N/A</v>
      </c>
      <c r="Q265" s="448"/>
      <c r="R265" s="103">
        <f t="shared" si="334"/>
        <v>0</v>
      </c>
      <c r="S265" s="104">
        <f t="shared" si="334"/>
        <v>0</v>
      </c>
      <c r="T265" s="104">
        <f t="shared" si="335"/>
        <v>0</v>
      </c>
      <c r="U265" s="104">
        <f t="shared" si="335"/>
        <v>0</v>
      </c>
      <c r="V265" s="104">
        <f t="shared" si="335"/>
        <v>9.9999999999999995E-8</v>
      </c>
      <c r="W265" s="104">
        <f t="shared" si="335"/>
        <v>0</v>
      </c>
      <c r="X265" s="104">
        <f t="shared" si="365"/>
        <v>0</v>
      </c>
      <c r="Y265" s="104">
        <f t="shared" si="365"/>
        <v>9.9999999999999995E-8</v>
      </c>
      <c r="Z265" s="104">
        <f t="shared" si="365"/>
        <v>9.9999999999999995E-8</v>
      </c>
      <c r="AA265" s="105">
        <f t="shared" si="365"/>
        <v>9.9999999999999995E-8</v>
      </c>
      <c r="AB265" s="101" t="e">
        <f>$DT265*HLOOKUP($J265,'Construction Costs (timber)'!$B$1:$V$32,'Construction Planner'!$L265+2,FALSE)</f>
        <v>#N/A</v>
      </c>
      <c r="AC265" s="14" t="e">
        <f>$DT265*HLOOKUP($J265,'Construction Costs (clay)'!$B$1:$V$32,'Construction Planner'!$L265+2,FALSE)</f>
        <v>#N/A</v>
      </c>
      <c r="AD265" s="14" t="e">
        <f>$DT265*HLOOKUP($J265,'Construction Costs (iron)'!$B$1:$V$32,'Construction Planner'!$L265+2,FALSE)</f>
        <v>#N/A</v>
      </c>
      <c r="AE265" s="34" t="e">
        <f t="shared" si="344"/>
        <v>#N/A</v>
      </c>
      <c r="AF265" s="33" t="e">
        <f t="shared" si="288"/>
        <v>#N/A</v>
      </c>
      <c r="AG265" s="14" t="e">
        <f t="shared" si="289"/>
        <v>#N/A</v>
      </c>
      <c r="AH265" s="14" t="e">
        <f t="shared" si="290"/>
        <v>#N/A</v>
      </c>
      <c r="AI265" s="34" t="e">
        <f t="shared" si="345"/>
        <v>#N/A</v>
      </c>
      <c r="AJ265" s="49" t="e">
        <f t="shared" si="309"/>
        <v>#N/A</v>
      </c>
      <c r="AK265" s="49" t="e">
        <f t="shared" si="310"/>
        <v>#N/A</v>
      </c>
      <c r="AL265" s="49" t="e">
        <f t="shared" si="311"/>
        <v>#N/A</v>
      </c>
      <c r="AM265" s="25">
        <f t="shared" si="291"/>
        <v>30</v>
      </c>
      <c r="AN265" s="25">
        <f t="shared" si="292"/>
        <v>30</v>
      </c>
      <c r="AO265" s="25">
        <f t="shared" si="293"/>
        <v>30</v>
      </c>
      <c r="AP265" s="52" t="e">
        <f t="shared" si="312"/>
        <v>#N/A</v>
      </c>
      <c r="AQ265" s="53" t="e">
        <f t="shared" si="312"/>
        <v>#N/A</v>
      </c>
      <c r="AR265" s="54" t="e">
        <f t="shared" si="312"/>
        <v>#N/A</v>
      </c>
      <c r="AS265" s="316">
        <f t="shared" si="370"/>
        <v>0</v>
      </c>
      <c r="AT265" s="106">
        <f>_xlfn.IFNA($M265/VLOOKUP($BT265,'Unit information'!$A$2:$K$29,2,FALSE)*R265,0)*(1+$E$9)</f>
        <v>0</v>
      </c>
      <c r="AU265" s="107">
        <f>_xlfn.IFNA($M265/VLOOKUP($BT265,'Unit information'!$A$2:$K$29,3,FALSE)*S265,0)*(1+$E$9)</f>
        <v>0</v>
      </c>
      <c r="AV265" s="107">
        <f>_xlfn.IFNA($M265/VLOOKUP($BT265,'Unit information'!$A$2:$K$29,4,FALSE)*T265,0)*(1+$E$9)</f>
        <v>0</v>
      </c>
      <c r="AW265" s="107">
        <f>_xlfn.IFNA($M265/VLOOKUP($BT265,'Unit information'!$A$2:$K$29,5,FALSE)*U265,0)*(1+$E$9)</f>
        <v>0</v>
      </c>
      <c r="AX265" s="107">
        <f>_xlfn.IFNA($M265/VLOOKUP($BU265,'Unit information'!$A$2:$K$29,6,FALSE)*V265,0)*(1+$E$9)</f>
        <v>0</v>
      </c>
      <c r="AY265" s="107">
        <f>_xlfn.IFNA($M265/VLOOKUP($BU265,'Unit information'!$A$2:$K$29,7,FALSE)*W265,0)*(1+$E$9)</f>
        <v>0</v>
      </c>
      <c r="AZ265" s="107">
        <f>_xlfn.IFNA($M265/VLOOKUP($BU265,'Unit information'!$A$2:$K$29,8,FALSE)*X265,0)*(1+$E$9)</f>
        <v>0</v>
      </c>
      <c r="BA265" s="107">
        <f>_xlfn.IFNA($M265/VLOOKUP($BU265,'Unit information'!$A$2:$K$29,9,FALSE)*Y265,0)*(1+$E$9)</f>
        <v>0</v>
      </c>
      <c r="BB265" s="107">
        <f>_xlfn.IFNA($M265/VLOOKUP($BV265,'Unit information'!$A$2:$K$29,10,FALSE)*Z265,0)*(1+$E$9)</f>
        <v>0</v>
      </c>
      <c r="BC265" s="108">
        <f>_xlfn.IFNA($M265/VLOOKUP($BV265,'Unit information'!$A$2:$K$29,11,FALSE)*AA265,0)*(1+$E$9)</f>
        <v>0</v>
      </c>
      <c r="BD265" s="106">
        <f t="shared" si="294"/>
        <v>0</v>
      </c>
      <c r="BE265" s="107">
        <f t="shared" si="295"/>
        <v>0</v>
      </c>
      <c r="BF265" s="108">
        <f t="shared" si="296"/>
        <v>0</v>
      </c>
      <c r="BG265" s="25" t="e">
        <f t="shared" si="297"/>
        <v>#N/A</v>
      </c>
      <c r="BH265" s="25" t="e">
        <f t="shared" si="298"/>
        <v>#N/A</v>
      </c>
      <c r="BI265" s="25" t="e">
        <f t="shared" si="299"/>
        <v>#N/A</v>
      </c>
      <c r="BJ265" s="27" t="e">
        <f t="shared" si="300"/>
        <v>#N/A</v>
      </c>
      <c r="BK265" s="18" t="e">
        <f t="shared" si="301"/>
        <v>#N/A</v>
      </c>
      <c r="BL265" s="18" t="e">
        <f t="shared" si="302"/>
        <v>#N/A</v>
      </c>
      <c r="BM265" s="28" t="e">
        <f t="shared" si="347"/>
        <v>#N/A</v>
      </c>
      <c r="BN265" s="33">
        <f>HLOOKUP("maximum population",Miscelaneous!$C$1:$C$33,CH265+3,FALSE)</f>
        <v>240</v>
      </c>
      <c r="BO265" s="14">
        <f t="shared" si="313"/>
        <v>32</v>
      </c>
      <c r="BP265" s="14">
        <f t="shared" si="314"/>
        <v>0</v>
      </c>
      <c r="BQ265" s="14">
        <f t="shared" si="315"/>
        <v>208</v>
      </c>
      <c r="BR265" s="34" t="e">
        <f>HLOOKUP(J265,Villagers!$B$1:$V$33,L265+3,FALSE)-HLOOKUP(J265,Villagers!$B$1:$V$33,L265+2,FALSE)</f>
        <v>#N/A</v>
      </c>
      <c r="BS265" s="49">
        <f t="shared" si="316"/>
        <v>1</v>
      </c>
      <c r="BT265" s="50">
        <f t="shared" si="317"/>
        <v>0</v>
      </c>
      <c r="BU265" s="50">
        <f t="shared" si="318"/>
        <v>0</v>
      </c>
      <c r="BV265" s="50">
        <f t="shared" si="319"/>
        <v>0</v>
      </c>
      <c r="BW265" s="50">
        <f t="shared" si="372"/>
        <v>0</v>
      </c>
      <c r="BX265" s="50">
        <f t="shared" si="371"/>
        <v>0</v>
      </c>
      <c r="BY265" s="50">
        <f t="shared" si="371"/>
        <v>0</v>
      </c>
      <c r="BZ265" s="50">
        <f t="shared" si="350"/>
        <v>0</v>
      </c>
      <c r="CA265" s="50">
        <f t="shared" si="351"/>
        <v>0</v>
      </c>
      <c r="CB265" s="50">
        <f t="shared" si="352"/>
        <v>1</v>
      </c>
      <c r="CC265" s="50">
        <f t="shared" si="353"/>
        <v>0</v>
      </c>
      <c r="CD265" s="50">
        <f t="shared" si="354"/>
        <v>0</v>
      </c>
      <c r="CE265" s="50">
        <f t="shared" si="355"/>
        <v>1</v>
      </c>
      <c r="CF265" s="50">
        <f t="shared" si="356"/>
        <v>1</v>
      </c>
      <c r="CG265" s="50">
        <f t="shared" si="357"/>
        <v>1</v>
      </c>
      <c r="CH265" s="50">
        <f t="shared" si="358"/>
        <v>1</v>
      </c>
      <c r="CI265" s="50">
        <f t="shared" si="359"/>
        <v>1</v>
      </c>
      <c r="CJ265" s="50">
        <f t="shared" si="360"/>
        <v>1</v>
      </c>
      <c r="CK265" s="50">
        <f t="shared" si="360"/>
        <v>0</v>
      </c>
      <c r="CL265" s="50">
        <f t="shared" si="360"/>
        <v>0</v>
      </c>
      <c r="CM265" s="51">
        <f t="shared" si="368"/>
        <v>0</v>
      </c>
      <c r="CN265" s="33">
        <f>ROUND(IF(BS265=0,0,HLOOKUP(BS$14,Villagers!$B$1:$V$33,BS265+3,FALSE)),)</f>
        <v>5</v>
      </c>
      <c r="CO265" s="14">
        <f>ROUND(IF(BT265=0,0,HLOOKUP(BT$14,Villagers!$B$1:$V$33,BT265+3,FALSE)),)</f>
        <v>0</v>
      </c>
      <c r="CP265" s="14">
        <f>ROUND(IF(BU265=0,0,HLOOKUP(BU$14,Villagers!$B$1:$V$33,BU265+3,FALSE)),)</f>
        <v>0</v>
      </c>
      <c r="CQ265" s="14">
        <f>ROUND(IF(BV265=0,0,HLOOKUP(BV$14,Villagers!$B$1:$V$33,BV265+3,FALSE)),)</f>
        <v>0</v>
      </c>
      <c r="CR265" s="14">
        <f>ROUND(IF(BW265=0,0,HLOOKUP(BW$14,Villagers!$B$1:$V$33,BW265+3,FALSE)),)</f>
        <v>0</v>
      </c>
      <c r="CS265" s="14">
        <f>ROUND(IF(BX265=0,0,HLOOKUP(BX$14,Villagers!$B$1:$V$33,BX265+3,FALSE)),)</f>
        <v>0</v>
      </c>
      <c r="CT265" s="14">
        <f>ROUND(IF(BY265=0,0,HLOOKUP(BY$14,Villagers!$B$1:$V$33,BY265+3,FALSE)),)</f>
        <v>0</v>
      </c>
      <c r="CU265" s="14">
        <f>ROUND(IF(BZ265=0,0,HLOOKUP(BZ$14,Villagers!$B$1:$V$33,BZ265+3,FALSE)),)</f>
        <v>0</v>
      </c>
      <c r="CV265" s="14">
        <f>ROUND(IF(CA265=0,0,HLOOKUP(CA$14,Villagers!$B$1:$V$33,CA265+3,FALSE)),)</f>
        <v>0</v>
      </c>
      <c r="CW265" s="14">
        <f>ROUND(IF(CB265=0,0,HLOOKUP(CB$14,Villagers!$B$1:$V$33,CB265+3,FALSE)),)</f>
        <v>0</v>
      </c>
      <c r="CX265" s="14">
        <f>ROUND(IF(CC265=0,0,HLOOKUP(CC$14,Villagers!$B$1:$V$33,CC265+3,FALSE)),)</f>
        <v>0</v>
      </c>
      <c r="CY265" s="14">
        <f>ROUND(IF(CD265=0,0,HLOOKUP(CD$14,Villagers!$B$1:$V$33,CD265+3,FALSE)),)</f>
        <v>0</v>
      </c>
      <c r="CZ265" s="14">
        <f>ROUND(IF(CE265=0,0,HLOOKUP(CE$14,Villagers!$B$1:$V$33,CE265+3,FALSE)),)</f>
        <v>5</v>
      </c>
      <c r="DA265" s="14">
        <f>ROUND(IF(CF265=0,0,HLOOKUP(CF$14,Villagers!$B$1:$V$33,CF265+3,FALSE)),)</f>
        <v>10</v>
      </c>
      <c r="DB265" s="14">
        <f>ROUND(IF(CG265=0,0,HLOOKUP(CG$14,Villagers!$B$1:$V$33,CG265+3,FALSE)),)</f>
        <v>10</v>
      </c>
      <c r="DC265" s="14">
        <f>ROUND(IF(CH265=0,0,HLOOKUP(CH$14,Villagers!$B$1:$V$33,CH265+3,FALSE)),)</f>
        <v>0</v>
      </c>
      <c r="DD265" s="14">
        <f>ROUND(IF(CI265=0,0,HLOOKUP(CI$14,Villagers!$B$1:$V$33,CI265+3,FALSE)),)</f>
        <v>0</v>
      </c>
      <c r="DE265" s="14">
        <f>ROUND(IF(CJ265=0,0,HLOOKUP(CJ$14,Villagers!$B$1:$V$33,CJ265+3,FALSE)),)</f>
        <v>2</v>
      </c>
      <c r="DF265" s="370">
        <f>ROUND(IF(CK265=0,0,HLOOKUP(CK$14,Villagers!$B$1:$V$33,CK265+3,FALSE)),)</f>
        <v>0</v>
      </c>
      <c r="DG265" s="370">
        <f>ROUND(IF(CL265=0,0,HLOOKUP(CL$14,Villagers!$B$1:$V$33,CL265+3,FALSE)),)</f>
        <v>0</v>
      </c>
      <c r="DH265" s="34">
        <f>ROUND(IF(CM265=0,0,HLOOKUP(CM$14,Villagers!$B$1:$V$33,CM265+3,FALSE)),)</f>
        <v>0</v>
      </c>
      <c r="DI265" s="109">
        <f t="shared" si="336"/>
        <v>0</v>
      </c>
      <c r="DJ265" s="50">
        <f t="shared" si="337"/>
        <v>0</v>
      </c>
      <c r="DK265" s="50">
        <f t="shared" si="338"/>
        <v>0</v>
      </c>
      <c r="DL265" s="50">
        <f t="shared" si="339"/>
        <v>0</v>
      </c>
      <c r="DM265" s="50">
        <f t="shared" si="340"/>
        <v>0</v>
      </c>
      <c r="DN265" s="50">
        <f t="shared" si="341"/>
        <v>0</v>
      </c>
      <c r="DO265" s="50">
        <f t="shared" si="342"/>
        <v>0</v>
      </c>
      <c r="DP265" s="50">
        <f t="shared" si="343"/>
        <v>0</v>
      </c>
      <c r="DQ265" s="50">
        <f t="shared" si="321"/>
        <v>0</v>
      </c>
      <c r="DR265" s="50">
        <f t="shared" si="322"/>
        <v>0</v>
      </c>
      <c r="DS265" s="96">
        <f>Miscelaneous!$D$4*Miscelaneous!$D$2^($CI265-1)</f>
        <v>1000</v>
      </c>
      <c r="DT265" s="333">
        <f t="shared" si="303"/>
        <v>1</v>
      </c>
      <c r="DU265" s="81">
        <v>1</v>
      </c>
      <c r="DV265" s="79">
        <f t="shared" si="323"/>
        <v>0</v>
      </c>
      <c r="DW265" s="79">
        <f t="shared" si="324"/>
        <v>0</v>
      </c>
      <c r="DX265" s="79">
        <f t="shared" si="325"/>
        <v>0</v>
      </c>
      <c r="DY265" s="79">
        <v>1</v>
      </c>
      <c r="DZ265" s="79">
        <f t="shared" si="326"/>
        <v>0</v>
      </c>
      <c r="EA265" s="79">
        <f t="shared" si="327"/>
        <v>0</v>
      </c>
      <c r="EB265" s="79">
        <f t="shared" si="328"/>
        <v>0</v>
      </c>
      <c r="EC265" s="79">
        <f t="shared" si="329"/>
        <v>0</v>
      </c>
      <c r="ED265" s="79">
        <v>1</v>
      </c>
      <c r="EE265" s="79">
        <v>1</v>
      </c>
      <c r="EF265" s="79">
        <f t="shared" si="330"/>
        <v>0</v>
      </c>
      <c r="EG265" s="79">
        <v>1</v>
      </c>
      <c r="EH265" s="79">
        <v>1</v>
      </c>
      <c r="EI265" s="79">
        <v>1</v>
      </c>
      <c r="EJ265" s="79">
        <v>1</v>
      </c>
      <c r="EK265" s="79">
        <v>1</v>
      </c>
      <c r="EL265" s="79">
        <v>1</v>
      </c>
      <c r="EM265" s="143">
        <f t="shared" si="331"/>
        <v>0</v>
      </c>
      <c r="EN265" s="143">
        <f t="shared" si="332"/>
        <v>0</v>
      </c>
      <c r="EO265" s="82">
        <f t="shared" si="333"/>
        <v>0</v>
      </c>
    </row>
    <row r="266" spans="1:145" x14ac:dyDescent="0.25">
      <c r="A266">
        <v>252</v>
      </c>
      <c r="B266" s="172" t="e">
        <f t="shared" si="304"/>
        <v>#N/A</v>
      </c>
      <c r="C266" s="121" t="e">
        <f t="shared" si="283"/>
        <v>#N/A</v>
      </c>
      <c r="D266" s="122" t="e">
        <f t="shared" si="284"/>
        <v>#N/A</v>
      </c>
      <c r="E266" s="122" t="e">
        <f t="shared" si="285"/>
        <v>#N/A</v>
      </c>
      <c r="F266" s="176" t="e">
        <f t="shared" si="286"/>
        <v>#N/A</v>
      </c>
      <c r="G266" s="121">
        <f t="shared" si="305"/>
        <v>208</v>
      </c>
      <c r="H266" s="176" t="e">
        <f t="shared" si="306"/>
        <v>#N/A</v>
      </c>
      <c r="I266" s="48">
        <v>1</v>
      </c>
      <c r="J266" s="39"/>
      <c r="K266" s="350">
        <v>1</v>
      </c>
      <c r="L266" s="34" t="e">
        <f t="shared" si="287"/>
        <v>#N/A</v>
      </c>
      <c r="M266" s="38" t="e">
        <f>(HLOOKUP(J266,'Construction Times'!$B$3:$W$34,L266+2,FALSE)*HLOOKUP("hq modifier",'Construction Times'!$W$3:$W$34,BS266+2,FALSE))*(1-$H$9)</f>
        <v>#N/A</v>
      </c>
      <c r="N266" s="443" t="e">
        <f t="shared" si="307"/>
        <v>#N/A</v>
      </c>
      <c r="O266" s="444"/>
      <c r="P266" s="447" t="e">
        <f t="shared" si="308"/>
        <v>#N/A</v>
      </c>
      <c r="Q266" s="448"/>
      <c r="R266" s="103">
        <f t="shared" si="334"/>
        <v>0</v>
      </c>
      <c r="S266" s="104">
        <f t="shared" si="334"/>
        <v>0</v>
      </c>
      <c r="T266" s="104">
        <f t="shared" si="335"/>
        <v>0</v>
      </c>
      <c r="U266" s="104">
        <f t="shared" si="335"/>
        <v>0</v>
      </c>
      <c r="V266" s="104">
        <f t="shared" si="335"/>
        <v>9.9999999999999995E-8</v>
      </c>
      <c r="W266" s="104">
        <f t="shared" si="335"/>
        <v>0</v>
      </c>
      <c r="X266" s="104">
        <f t="shared" si="365"/>
        <v>0</v>
      </c>
      <c r="Y266" s="104">
        <f t="shared" si="365"/>
        <v>9.9999999999999995E-8</v>
      </c>
      <c r="Z266" s="104">
        <f t="shared" si="365"/>
        <v>9.9999999999999995E-8</v>
      </c>
      <c r="AA266" s="105">
        <f t="shared" si="365"/>
        <v>9.9999999999999995E-8</v>
      </c>
      <c r="AB266" s="101" t="e">
        <f>$DT266*HLOOKUP($J266,'Construction Costs (timber)'!$B$1:$V$32,'Construction Planner'!$L266+2,FALSE)</f>
        <v>#N/A</v>
      </c>
      <c r="AC266" s="14" t="e">
        <f>$DT266*HLOOKUP($J266,'Construction Costs (clay)'!$B$1:$V$32,'Construction Planner'!$L266+2,FALSE)</f>
        <v>#N/A</v>
      </c>
      <c r="AD266" s="14" t="e">
        <f>$DT266*HLOOKUP($J266,'Construction Costs (iron)'!$B$1:$V$32,'Construction Planner'!$L266+2,FALSE)</f>
        <v>#N/A</v>
      </c>
      <c r="AE266" s="34" t="e">
        <f t="shared" si="344"/>
        <v>#N/A</v>
      </c>
      <c r="AF266" s="33" t="e">
        <f t="shared" si="288"/>
        <v>#N/A</v>
      </c>
      <c r="AG266" s="14" t="e">
        <f t="shared" si="289"/>
        <v>#N/A</v>
      </c>
      <c r="AH266" s="14" t="e">
        <f t="shared" si="290"/>
        <v>#N/A</v>
      </c>
      <c r="AI266" s="34" t="e">
        <f t="shared" si="345"/>
        <v>#N/A</v>
      </c>
      <c r="AJ266" s="49" t="e">
        <f t="shared" si="309"/>
        <v>#N/A</v>
      </c>
      <c r="AK266" s="49" t="e">
        <f t="shared" si="310"/>
        <v>#N/A</v>
      </c>
      <c r="AL266" s="49" t="e">
        <f t="shared" si="311"/>
        <v>#N/A</v>
      </c>
      <c r="AM266" s="25">
        <f t="shared" si="291"/>
        <v>30</v>
      </c>
      <c r="AN266" s="25">
        <f t="shared" si="292"/>
        <v>30</v>
      </c>
      <c r="AO266" s="25">
        <f t="shared" si="293"/>
        <v>30</v>
      </c>
      <c r="AP266" s="52" t="e">
        <f t="shared" si="312"/>
        <v>#N/A</v>
      </c>
      <c r="AQ266" s="53" t="e">
        <f t="shared" si="312"/>
        <v>#N/A</v>
      </c>
      <c r="AR266" s="54" t="e">
        <f t="shared" si="312"/>
        <v>#N/A</v>
      </c>
      <c r="AS266" s="316">
        <f t="shared" si="370"/>
        <v>0</v>
      </c>
      <c r="AT266" s="106">
        <f>_xlfn.IFNA($M266/VLOOKUP($BT266,'Unit information'!$A$2:$K$29,2,FALSE)*R266,0)*(1+$E$9)</f>
        <v>0</v>
      </c>
      <c r="AU266" s="107">
        <f>_xlfn.IFNA($M266/VLOOKUP($BT266,'Unit information'!$A$2:$K$29,3,FALSE)*S266,0)*(1+$E$9)</f>
        <v>0</v>
      </c>
      <c r="AV266" s="107">
        <f>_xlfn.IFNA($M266/VLOOKUP($BT266,'Unit information'!$A$2:$K$29,4,FALSE)*T266,0)*(1+$E$9)</f>
        <v>0</v>
      </c>
      <c r="AW266" s="107">
        <f>_xlfn.IFNA($M266/VLOOKUP($BT266,'Unit information'!$A$2:$K$29,5,FALSE)*U266,0)*(1+$E$9)</f>
        <v>0</v>
      </c>
      <c r="AX266" s="107">
        <f>_xlfn.IFNA($M266/VLOOKUP($BU266,'Unit information'!$A$2:$K$29,6,FALSE)*V266,0)*(1+$E$9)</f>
        <v>0</v>
      </c>
      <c r="AY266" s="107">
        <f>_xlfn.IFNA($M266/VLOOKUP($BU266,'Unit information'!$A$2:$K$29,7,FALSE)*W266,0)*(1+$E$9)</f>
        <v>0</v>
      </c>
      <c r="AZ266" s="107">
        <f>_xlfn.IFNA($M266/VLOOKUP($BU266,'Unit information'!$A$2:$K$29,8,FALSE)*X266,0)*(1+$E$9)</f>
        <v>0</v>
      </c>
      <c r="BA266" s="107">
        <f>_xlfn.IFNA($M266/VLOOKUP($BU266,'Unit information'!$A$2:$K$29,9,FALSE)*Y266,0)*(1+$E$9)</f>
        <v>0</v>
      </c>
      <c r="BB266" s="107">
        <f>_xlfn.IFNA($M266/VLOOKUP($BV266,'Unit information'!$A$2:$K$29,10,FALSE)*Z266,0)*(1+$E$9)</f>
        <v>0</v>
      </c>
      <c r="BC266" s="108">
        <f>_xlfn.IFNA($M266/VLOOKUP($BV266,'Unit information'!$A$2:$K$29,11,FALSE)*AA266,0)*(1+$E$9)</f>
        <v>0</v>
      </c>
      <c r="BD266" s="106">
        <f t="shared" si="294"/>
        <v>0</v>
      </c>
      <c r="BE266" s="107">
        <f t="shared" si="295"/>
        <v>0</v>
      </c>
      <c r="BF266" s="108">
        <f t="shared" si="296"/>
        <v>0</v>
      </c>
      <c r="BG266" s="25" t="e">
        <f t="shared" si="297"/>
        <v>#N/A</v>
      </c>
      <c r="BH266" s="25" t="e">
        <f t="shared" si="298"/>
        <v>#N/A</v>
      </c>
      <c r="BI266" s="25" t="e">
        <f t="shared" si="299"/>
        <v>#N/A</v>
      </c>
      <c r="BJ266" s="27" t="e">
        <f t="shared" si="300"/>
        <v>#N/A</v>
      </c>
      <c r="BK266" s="18" t="e">
        <f t="shared" si="301"/>
        <v>#N/A</v>
      </c>
      <c r="BL266" s="18" t="e">
        <f t="shared" si="302"/>
        <v>#N/A</v>
      </c>
      <c r="BM266" s="28" t="e">
        <f t="shared" si="347"/>
        <v>#N/A</v>
      </c>
      <c r="BN266" s="33">
        <f>HLOOKUP("maximum population",Miscelaneous!$C$1:$C$33,CH266+3,FALSE)</f>
        <v>240</v>
      </c>
      <c r="BO266" s="14">
        <f t="shared" si="313"/>
        <v>32</v>
      </c>
      <c r="BP266" s="14">
        <f t="shared" si="314"/>
        <v>0</v>
      </c>
      <c r="BQ266" s="14">
        <f t="shared" si="315"/>
        <v>208</v>
      </c>
      <c r="BR266" s="34" t="e">
        <f>HLOOKUP(J266,Villagers!$B$1:$V$33,L266+3,FALSE)-HLOOKUP(J266,Villagers!$B$1:$V$33,L266+2,FALSE)</f>
        <v>#N/A</v>
      </c>
      <c r="BS266" s="49">
        <f t="shared" si="316"/>
        <v>1</v>
      </c>
      <c r="BT266" s="50">
        <f t="shared" si="317"/>
        <v>0</v>
      </c>
      <c r="BU266" s="50">
        <f t="shared" si="318"/>
        <v>0</v>
      </c>
      <c r="BV266" s="50">
        <f t="shared" si="319"/>
        <v>0</v>
      </c>
      <c r="BW266" s="50">
        <f t="shared" si="372"/>
        <v>0</v>
      </c>
      <c r="BX266" s="50">
        <f t="shared" si="371"/>
        <v>0</v>
      </c>
      <c r="BY266" s="50">
        <f t="shared" si="371"/>
        <v>0</v>
      </c>
      <c r="BZ266" s="50">
        <f t="shared" si="350"/>
        <v>0</v>
      </c>
      <c r="CA266" s="50">
        <f t="shared" si="351"/>
        <v>0</v>
      </c>
      <c r="CB266" s="50">
        <f t="shared" si="352"/>
        <v>1</v>
      </c>
      <c r="CC266" s="50">
        <f t="shared" si="353"/>
        <v>0</v>
      </c>
      <c r="CD266" s="50">
        <f t="shared" si="354"/>
        <v>0</v>
      </c>
      <c r="CE266" s="50">
        <f t="shared" si="355"/>
        <v>1</v>
      </c>
      <c r="CF266" s="50">
        <f t="shared" si="356"/>
        <v>1</v>
      </c>
      <c r="CG266" s="50">
        <f t="shared" si="357"/>
        <v>1</v>
      </c>
      <c r="CH266" s="50">
        <f t="shared" si="358"/>
        <v>1</v>
      </c>
      <c r="CI266" s="50">
        <f t="shared" si="359"/>
        <v>1</v>
      </c>
      <c r="CJ266" s="50">
        <f t="shared" si="360"/>
        <v>1</v>
      </c>
      <c r="CK266" s="50">
        <f t="shared" si="360"/>
        <v>0</v>
      </c>
      <c r="CL266" s="50">
        <f t="shared" si="360"/>
        <v>0</v>
      </c>
      <c r="CM266" s="51">
        <f t="shared" si="368"/>
        <v>0</v>
      </c>
      <c r="CN266" s="33">
        <f>ROUND(IF(BS266=0,0,HLOOKUP(BS$14,Villagers!$B$1:$V$33,BS266+3,FALSE)),)</f>
        <v>5</v>
      </c>
      <c r="CO266" s="14">
        <f>ROUND(IF(BT266=0,0,HLOOKUP(BT$14,Villagers!$B$1:$V$33,BT266+3,FALSE)),)</f>
        <v>0</v>
      </c>
      <c r="CP266" s="14">
        <f>ROUND(IF(BU266=0,0,HLOOKUP(BU$14,Villagers!$B$1:$V$33,BU266+3,FALSE)),)</f>
        <v>0</v>
      </c>
      <c r="CQ266" s="14">
        <f>ROUND(IF(BV266=0,0,HLOOKUP(BV$14,Villagers!$B$1:$V$33,BV266+3,FALSE)),)</f>
        <v>0</v>
      </c>
      <c r="CR266" s="14">
        <f>ROUND(IF(BW266=0,0,HLOOKUP(BW$14,Villagers!$B$1:$V$33,BW266+3,FALSE)),)</f>
        <v>0</v>
      </c>
      <c r="CS266" s="14">
        <f>ROUND(IF(BX266=0,0,HLOOKUP(BX$14,Villagers!$B$1:$V$33,BX266+3,FALSE)),)</f>
        <v>0</v>
      </c>
      <c r="CT266" s="14">
        <f>ROUND(IF(BY266=0,0,HLOOKUP(BY$14,Villagers!$B$1:$V$33,BY266+3,FALSE)),)</f>
        <v>0</v>
      </c>
      <c r="CU266" s="14">
        <f>ROUND(IF(BZ266=0,0,HLOOKUP(BZ$14,Villagers!$B$1:$V$33,BZ266+3,FALSE)),)</f>
        <v>0</v>
      </c>
      <c r="CV266" s="14">
        <f>ROUND(IF(CA266=0,0,HLOOKUP(CA$14,Villagers!$B$1:$V$33,CA266+3,FALSE)),)</f>
        <v>0</v>
      </c>
      <c r="CW266" s="14">
        <f>ROUND(IF(CB266=0,0,HLOOKUP(CB$14,Villagers!$B$1:$V$33,CB266+3,FALSE)),)</f>
        <v>0</v>
      </c>
      <c r="CX266" s="14">
        <f>ROUND(IF(CC266=0,0,HLOOKUP(CC$14,Villagers!$B$1:$V$33,CC266+3,FALSE)),)</f>
        <v>0</v>
      </c>
      <c r="CY266" s="14">
        <f>ROUND(IF(CD266=0,0,HLOOKUP(CD$14,Villagers!$B$1:$V$33,CD266+3,FALSE)),)</f>
        <v>0</v>
      </c>
      <c r="CZ266" s="14">
        <f>ROUND(IF(CE266=0,0,HLOOKUP(CE$14,Villagers!$B$1:$V$33,CE266+3,FALSE)),)</f>
        <v>5</v>
      </c>
      <c r="DA266" s="14">
        <f>ROUND(IF(CF266=0,0,HLOOKUP(CF$14,Villagers!$B$1:$V$33,CF266+3,FALSE)),)</f>
        <v>10</v>
      </c>
      <c r="DB266" s="14">
        <f>ROUND(IF(CG266=0,0,HLOOKUP(CG$14,Villagers!$B$1:$V$33,CG266+3,FALSE)),)</f>
        <v>10</v>
      </c>
      <c r="DC266" s="14">
        <f>ROUND(IF(CH266=0,0,HLOOKUP(CH$14,Villagers!$B$1:$V$33,CH266+3,FALSE)),)</f>
        <v>0</v>
      </c>
      <c r="DD266" s="14">
        <f>ROUND(IF(CI266=0,0,HLOOKUP(CI$14,Villagers!$B$1:$V$33,CI266+3,FALSE)),)</f>
        <v>0</v>
      </c>
      <c r="DE266" s="14">
        <f>ROUND(IF(CJ266=0,0,HLOOKUP(CJ$14,Villagers!$B$1:$V$33,CJ266+3,FALSE)),)</f>
        <v>2</v>
      </c>
      <c r="DF266" s="370">
        <f>ROUND(IF(CK266=0,0,HLOOKUP(CK$14,Villagers!$B$1:$V$33,CK266+3,FALSE)),)</f>
        <v>0</v>
      </c>
      <c r="DG266" s="370">
        <f>ROUND(IF(CL266=0,0,HLOOKUP(CL$14,Villagers!$B$1:$V$33,CL266+3,FALSE)),)</f>
        <v>0</v>
      </c>
      <c r="DH266" s="34">
        <f>ROUND(IF(CM266=0,0,HLOOKUP(CM$14,Villagers!$B$1:$V$33,CM266+3,FALSE)),)</f>
        <v>0</v>
      </c>
      <c r="DI266" s="109">
        <f t="shared" si="336"/>
        <v>0</v>
      </c>
      <c r="DJ266" s="50">
        <f t="shared" si="337"/>
        <v>0</v>
      </c>
      <c r="DK266" s="50">
        <f t="shared" si="338"/>
        <v>0</v>
      </c>
      <c r="DL266" s="50">
        <f t="shared" si="339"/>
        <v>0</v>
      </c>
      <c r="DM266" s="50">
        <f t="shared" si="340"/>
        <v>0</v>
      </c>
      <c r="DN266" s="50">
        <f t="shared" si="341"/>
        <v>0</v>
      </c>
      <c r="DO266" s="50">
        <f t="shared" si="342"/>
        <v>0</v>
      </c>
      <c r="DP266" s="50">
        <f t="shared" si="343"/>
        <v>0</v>
      </c>
      <c r="DQ266" s="50">
        <f t="shared" si="321"/>
        <v>0</v>
      </c>
      <c r="DR266" s="50">
        <f t="shared" si="322"/>
        <v>0</v>
      </c>
      <c r="DS266" s="96">
        <f>Miscelaneous!$D$4*Miscelaneous!$D$2^($CI266-1)</f>
        <v>1000</v>
      </c>
      <c r="DT266" s="333">
        <f t="shared" si="303"/>
        <v>1</v>
      </c>
      <c r="DU266" s="81">
        <v>1</v>
      </c>
      <c r="DV266" s="79">
        <f t="shared" si="323"/>
        <v>0</v>
      </c>
      <c r="DW266" s="79">
        <f t="shared" si="324"/>
        <v>0</v>
      </c>
      <c r="DX266" s="79">
        <f t="shared" si="325"/>
        <v>0</v>
      </c>
      <c r="DY266" s="79">
        <v>1</v>
      </c>
      <c r="DZ266" s="79">
        <f t="shared" si="326"/>
        <v>0</v>
      </c>
      <c r="EA266" s="79">
        <f t="shared" si="327"/>
        <v>0</v>
      </c>
      <c r="EB266" s="79">
        <f t="shared" si="328"/>
        <v>0</v>
      </c>
      <c r="EC266" s="79">
        <f t="shared" si="329"/>
        <v>0</v>
      </c>
      <c r="ED266" s="79">
        <v>1</v>
      </c>
      <c r="EE266" s="79">
        <v>1</v>
      </c>
      <c r="EF266" s="79">
        <f t="shared" si="330"/>
        <v>0</v>
      </c>
      <c r="EG266" s="79">
        <v>1</v>
      </c>
      <c r="EH266" s="79">
        <v>1</v>
      </c>
      <c r="EI266" s="79">
        <v>1</v>
      </c>
      <c r="EJ266" s="79">
        <v>1</v>
      </c>
      <c r="EK266" s="79">
        <v>1</v>
      </c>
      <c r="EL266" s="79">
        <v>1</v>
      </c>
      <c r="EM266" s="143">
        <f t="shared" si="331"/>
        <v>0</v>
      </c>
      <c r="EN266" s="143">
        <f t="shared" si="332"/>
        <v>0</v>
      </c>
      <c r="EO266" s="82">
        <f t="shared" si="333"/>
        <v>0</v>
      </c>
    </row>
    <row r="267" spans="1:145" x14ac:dyDescent="0.25">
      <c r="A267">
        <v>253</v>
      </c>
      <c r="B267" s="172" t="e">
        <f t="shared" si="304"/>
        <v>#N/A</v>
      </c>
      <c r="C267" s="121" t="e">
        <f t="shared" si="283"/>
        <v>#N/A</v>
      </c>
      <c r="D267" s="122" t="e">
        <f t="shared" si="284"/>
        <v>#N/A</v>
      </c>
      <c r="E267" s="122" t="e">
        <f t="shared" si="285"/>
        <v>#N/A</v>
      </c>
      <c r="F267" s="176" t="e">
        <f t="shared" si="286"/>
        <v>#N/A</v>
      </c>
      <c r="G267" s="121">
        <f t="shared" si="305"/>
        <v>208</v>
      </c>
      <c r="H267" s="176" t="e">
        <f t="shared" si="306"/>
        <v>#N/A</v>
      </c>
      <c r="I267" s="48">
        <v>1</v>
      </c>
      <c r="J267" s="39"/>
      <c r="K267" s="350">
        <v>1</v>
      </c>
      <c r="L267" s="34" t="e">
        <f t="shared" si="287"/>
        <v>#N/A</v>
      </c>
      <c r="M267" s="38" t="e">
        <f>(HLOOKUP(J267,'Construction Times'!$B$3:$W$34,L267+2,FALSE)*HLOOKUP("hq modifier",'Construction Times'!$W$3:$W$34,BS267+2,FALSE))*(1-$H$9)</f>
        <v>#N/A</v>
      </c>
      <c r="N267" s="443" t="e">
        <f t="shared" si="307"/>
        <v>#N/A</v>
      </c>
      <c r="O267" s="444"/>
      <c r="P267" s="447" t="e">
        <f t="shared" si="308"/>
        <v>#N/A</v>
      </c>
      <c r="Q267" s="448"/>
      <c r="R267" s="103">
        <f t="shared" si="334"/>
        <v>0</v>
      </c>
      <c r="S267" s="104">
        <f t="shared" si="334"/>
        <v>0</v>
      </c>
      <c r="T267" s="104">
        <f t="shared" si="335"/>
        <v>0</v>
      </c>
      <c r="U267" s="104">
        <f t="shared" si="335"/>
        <v>0</v>
      </c>
      <c r="V267" s="104">
        <f t="shared" si="335"/>
        <v>9.9999999999999995E-8</v>
      </c>
      <c r="W267" s="104">
        <f t="shared" si="335"/>
        <v>0</v>
      </c>
      <c r="X267" s="104">
        <f t="shared" si="365"/>
        <v>0</v>
      </c>
      <c r="Y267" s="104">
        <f t="shared" si="365"/>
        <v>9.9999999999999995E-8</v>
      </c>
      <c r="Z267" s="104">
        <f t="shared" si="365"/>
        <v>9.9999999999999995E-8</v>
      </c>
      <c r="AA267" s="105">
        <f t="shared" si="365"/>
        <v>9.9999999999999995E-8</v>
      </c>
      <c r="AB267" s="101" t="e">
        <f>$DT267*HLOOKUP($J267,'Construction Costs (timber)'!$B$1:$V$32,'Construction Planner'!$L267+2,FALSE)</f>
        <v>#N/A</v>
      </c>
      <c r="AC267" s="14" t="e">
        <f>$DT267*HLOOKUP($J267,'Construction Costs (clay)'!$B$1:$V$32,'Construction Planner'!$L267+2,FALSE)</f>
        <v>#N/A</v>
      </c>
      <c r="AD267" s="14" t="e">
        <f>$DT267*HLOOKUP($J267,'Construction Costs (iron)'!$B$1:$V$32,'Construction Planner'!$L267+2,FALSE)</f>
        <v>#N/A</v>
      </c>
      <c r="AE267" s="34" t="e">
        <f t="shared" si="344"/>
        <v>#N/A</v>
      </c>
      <c r="AF267" s="33" t="e">
        <f t="shared" si="288"/>
        <v>#N/A</v>
      </c>
      <c r="AG267" s="14" t="e">
        <f t="shared" si="289"/>
        <v>#N/A</v>
      </c>
      <c r="AH267" s="14" t="e">
        <f t="shared" si="290"/>
        <v>#N/A</v>
      </c>
      <c r="AI267" s="34" t="e">
        <f t="shared" si="345"/>
        <v>#N/A</v>
      </c>
      <c r="AJ267" s="49" t="e">
        <f t="shared" si="309"/>
        <v>#N/A</v>
      </c>
      <c r="AK267" s="49" t="e">
        <f t="shared" si="310"/>
        <v>#N/A</v>
      </c>
      <c r="AL267" s="49" t="e">
        <f t="shared" si="311"/>
        <v>#N/A</v>
      </c>
      <c r="AM267" s="25">
        <f t="shared" si="291"/>
        <v>30</v>
      </c>
      <c r="AN267" s="25">
        <f t="shared" si="292"/>
        <v>30</v>
      </c>
      <c r="AO267" s="25">
        <f t="shared" si="293"/>
        <v>30</v>
      </c>
      <c r="AP267" s="52" t="e">
        <f t="shared" si="312"/>
        <v>#N/A</v>
      </c>
      <c r="AQ267" s="53" t="e">
        <f t="shared" si="312"/>
        <v>#N/A</v>
      </c>
      <c r="AR267" s="54" t="e">
        <f t="shared" si="312"/>
        <v>#N/A</v>
      </c>
      <c r="AS267" s="316">
        <f t="shared" si="370"/>
        <v>0</v>
      </c>
      <c r="AT267" s="106">
        <f>_xlfn.IFNA($M267/VLOOKUP($BT267,'Unit information'!$A$2:$K$29,2,FALSE)*R267,0)*(1+$E$9)</f>
        <v>0</v>
      </c>
      <c r="AU267" s="107">
        <f>_xlfn.IFNA($M267/VLOOKUP($BT267,'Unit information'!$A$2:$K$29,3,FALSE)*S267,0)*(1+$E$9)</f>
        <v>0</v>
      </c>
      <c r="AV267" s="107">
        <f>_xlfn.IFNA($M267/VLOOKUP($BT267,'Unit information'!$A$2:$K$29,4,FALSE)*T267,0)*(1+$E$9)</f>
        <v>0</v>
      </c>
      <c r="AW267" s="107">
        <f>_xlfn.IFNA($M267/VLOOKUP($BT267,'Unit information'!$A$2:$K$29,5,FALSE)*U267,0)*(1+$E$9)</f>
        <v>0</v>
      </c>
      <c r="AX267" s="107">
        <f>_xlfn.IFNA($M267/VLOOKUP($BU267,'Unit information'!$A$2:$K$29,6,FALSE)*V267,0)*(1+$E$9)</f>
        <v>0</v>
      </c>
      <c r="AY267" s="107">
        <f>_xlfn.IFNA($M267/VLOOKUP($BU267,'Unit information'!$A$2:$K$29,7,FALSE)*W267,0)*(1+$E$9)</f>
        <v>0</v>
      </c>
      <c r="AZ267" s="107">
        <f>_xlfn.IFNA($M267/VLOOKUP($BU267,'Unit information'!$A$2:$K$29,8,FALSE)*X267,0)*(1+$E$9)</f>
        <v>0</v>
      </c>
      <c r="BA267" s="107">
        <f>_xlfn.IFNA($M267/VLOOKUP($BU267,'Unit information'!$A$2:$K$29,9,FALSE)*Y267,0)*(1+$E$9)</f>
        <v>0</v>
      </c>
      <c r="BB267" s="107">
        <f>_xlfn.IFNA($M267/VLOOKUP($BV267,'Unit information'!$A$2:$K$29,10,FALSE)*Z267,0)*(1+$E$9)</f>
        <v>0</v>
      </c>
      <c r="BC267" s="108">
        <f>_xlfn.IFNA($M267/VLOOKUP($BV267,'Unit information'!$A$2:$K$29,11,FALSE)*AA267,0)*(1+$E$9)</f>
        <v>0</v>
      </c>
      <c r="BD267" s="106">
        <f t="shared" si="294"/>
        <v>0</v>
      </c>
      <c r="BE267" s="107">
        <f t="shared" si="295"/>
        <v>0</v>
      </c>
      <c r="BF267" s="108">
        <f t="shared" si="296"/>
        <v>0</v>
      </c>
      <c r="BG267" s="25" t="e">
        <f t="shared" si="297"/>
        <v>#N/A</v>
      </c>
      <c r="BH267" s="25" t="e">
        <f t="shared" si="298"/>
        <v>#N/A</v>
      </c>
      <c r="BI267" s="25" t="e">
        <f t="shared" si="299"/>
        <v>#N/A</v>
      </c>
      <c r="BJ267" s="27" t="e">
        <f t="shared" si="300"/>
        <v>#N/A</v>
      </c>
      <c r="BK267" s="18" t="e">
        <f t="shared" si="301"/>
        <v>#N/A</v>
      </c>
      <c r="BL267" s="18" t="e">
        <f t="shared" si="302"/>
        <v>#N/A</v>
      </c>
      <c r="BM267" s="28" t="e">
        <f t="shared" si="347"/>
        <v>#N/A</v>
      </c>
      <c r="BN267" s="33">
        <f>HLOOKUP("maximum population",Miscelaneous!$C$1:$C$33,CH267+3,FALSE)</f>
        <v>240</v>
      </c>
      <c r="BO267" s="14">
        <f t="shared" si="313"/>
        <v>32</v>
      </c>
      <c r="BP267" s="14">
        <f t="shared" si="314"/>
        <v>0</v>
      </c>
      <c r="BQ267" s="14">
        <f t="shared" si="315"/>
        <v>208</v>
      </c>
      <c r="BR267" s="34" t="e">
        <f>HLOOKUP(J267,Villagers!$B$1:$V$33,L267+3,FALSE)-HLOOKUP(J267,Villagers!$B$1:$V$33,L267+2,FALSE)</f>
        <v>#N/A</v>
      </c>
      <c r="BS267" s="49">
        <f t="shared" si="316"/>
        <v>1</v>
      </c>
      <c r="BT267" s="50">
        <f t="shared" si="317"/>
        <v>0</v>
      </c>
      <c r="BU267" s="50">
        <f t="shared" si="318"/>
        <v>0</v>
      </c>
      <c r="BV267" s="50">
        <f t="shared" si="319"/>
        <v>0</v>
      </c>
      <c r="BW267" s="50">
        <f t="shared" si="372"/>
        <v>0</v>
      </c>
      <c r="BX267" s="50">
        <f t="shared" si="371"/>
        <v>0</v>
      </c>
      <c r="BY267" s="50">
        <f t="shared" si="371"/>
        <v>0</v>
      </c>
      <c r="BZ267" s="50">
        <f t="shared" si="350"/>
        <v>0</v>
      </c>
      <c r="CA267" s="50">
        <f t="shared" si="351"/>
        <v>0</v>
      </c>
      <c r="CB267" s="50">
        <f t="shared" si="352"/>
        <v>1</v>
      </c>
      <c r="CC267" s="50">
        <f t="shared" si="353"/>
        <v>0</v>
      </c>
      <c r="CD267" s="50">
        <f t="shared" si="354"/>
        <v>0</v>
      </c>
      <c r="CE267" s="50">
        <f t="shared" si="355"/>
        <v>1</v>
      </c>
      <c r="CF267" s="50">
        <f t="shared" si="356"/>
        <v>1</v>
      </c>
      <c r="CG267" s="50">
        <f t="shared" si="357"/>
        <v>1</v>
      </c>
      <c r="CH267" s="50">
        <f t="shared" si="358"/>
        <v>1</v>
      </c>
      <c r="CI267" s="50">
        <f t="shared" si="359"/>
        <v>1</v>
      </c>
      <c r="CJ267" s="50">
        <f t="shared" si="360"/>
        <v>1</v>
      </c>
      <c r="CK267" s="50">
        <f t="shared" si="360"/>
        <v>0</v>
      </c>
      <c r="CL267" s="50">
        <f t="shared" si="360"/>
        <v>0</v>
      </c>
      <c r="CM267" s="51">
        <f t="shared" si="368"/>
        <v>0</v>
      </c>
      <c r="CN267" s="33">
        <f>ROUND(IF(BS267=0,0,HLOOKUP(BS$14,Villagers!$B$1:$V$33,BS267+3,FALSE)),)</f>
        <v>5</v>
      </c>
      <c r="CO267" s="14">
        <f>ROUND(IF(BT267=0,0,HLOOKUP(BT$14,Villagers!$B$1:$V$33,BT267+3,FALSE)),)</f>
        <v>0</v>
      </c>
      <c r="CP267" s="14">
        <f>ROUND(IF(BU267=0,0,HLOOKUP(BU$14,Villagers!$B$1:$V$33,BU267+3,FALSE)),)</f>
        <v>0</v>
      </c>
      <c r="CQ267" s="14">
        <f>ROUND(IF(BV267=0,0,HLOOKUP(BV$14,Villagers!$B$1:$V$33,BV267+3,FALSE)),)</f>
        <v>0</v>
      </c>
      <c r="CR267" s="14">
        <f>ROUND(IF(BW267=0,0,HLOOKUP(BW$14,Villagers!$B$1:$V$33,BW267+3,FALSE)),)</f>
        <v>0</v>
      </c>
      <c r="CS267" s="14">
        <f>ROUND(IF(BX267=0,0,HLOOKUP(BX$14,Villagers!$B$1:$V$33,BX267+3,FALSE)),)</f>
        <v>0</v>
      </c>
      <c r="CT267" s="14">
        <f>ROUND(IF(BY267=0,0,HLOOKUP(BY$14,Villagers!$B$1:$V$33,BY267+3,FALSE)),)</f>
        <v>0</v>
      </c>
      <c r="CU267" s="14">
        <f>ROUND(IF(BZ267=0,0,HLOOKUP(BZ$14,Villagers!$B$1:$V$33,BZ267+3,FALSE)),)</f>
        <v>0</v>
      </c>
      <c r="CV267" s="14">
        <f>ROUND(IF(CA267=0,0,HLOOKUP(CA$14,Villagers!$B$1:$V$33,CA267+3,FALSE)),)</f>
        <v>0</v>
      </c>
      <c r="CW267" s="14">
        <f>ROUND(IF(CB267=0,0,HLOOKUP(CB$14,Villagers!$B$1:$V$33,CB267+3,FALSE)),)</f>
        <v>0</v>
      </c>
      <c r="CX267" s="14">
        <f>ROUND(IF(CC267=0,0,HLOOKUP(CC$14,Villagers!$B$1:$V$33,CC267+3,FALSE)),)</f>
        <v>0</v>
      </c>
      <c r="CY267" s="14">
        <f>ROUND(IF(CD267=0,0,HLOOKUP(CD$14,Villagers!$B$1:$V$33,CD267+3,FALSE)),)</f>
        <v>0</v>
      </c>
      <c r="CZ267" s="14">
        <f>ROUND(IF(CE267=0,0,HLOOKUP(CE$14,Villagers!$B$1:$V$33,CE267+3,FALSE)),)</f>
        <v>5</v>
      </c>
      <c r="DA267" s="14">
        <f>ROUND(IF(CF267=0,0,HLOOKUP(CF$14,Villagers!$B$1:$V$33,CF267+3,FALSE)),)</f>
        <v>10</v>
      </c>
      <c r="DB267" s="14">
        <f>ROUND(IF(CG267=0,0,HLOOKUP(CG$14,Villagers!$B$1:$V$33,CG267+3,FALSE)),)</f>
        <v>10</v>
      </c>
      <c r="DC267" s="14">
        <f>ROUND(IF(CH267=0,0,HLOOKUP(CH$14,Villagers!$B$1:$V$33,CH267+3,FALSE)),)</f>
        <v>0</v>
      </c>
      <c r="DD267" s="14">
        <f>ROUND(IF(CI267=0,0,HLOOKUP(CI$14,Villagers!$B$1:$V$33,CI267+3,FALSE)),)</f>
        <v>0</v>
      </c>
      <c r="DE267" s="14">
        <f>ROUND(IF(CJ267=0,0,HLOOKUP(CJ$14,Villagers!$B$1:$V$33,CJ267+3,FALSE)),)</f>
        <v>2</v>
      </c>
      <c r="DF267" s="370">
        <f>ROUND(IF(CK267=0,0,HLOOKUP(CK$14,Villagers!$B$1:$V$33,CK267+3,FALSE)),)</f>
        <v>0</v>
      </c>
      <c r="DG267" s="370">
        <f>ROUND(IF(CL267=0,0,HLOOKUP(CL$14,Villagers!$B$1:$V$33,CL267+3,FALSE)),)</f>
        <v>0</v>
      </c>
      <c r="DH267" s="34">
        <f>ROUND(IF(CM267=0,0,HLOOKUP(CM$14,Villagers!$B$1:$V$33,CM267+3,FALSE)),)</f>
        <v>0</v>
      </c>
      <c r="DI267" s="109">
        <f t="shared" si="336"/>
        <v>0</v>
      </c>
      <c r="DJ267" s="50">
        <f t="shared" si="337"/>
        <v>0</v>
      </c>
      <c r="DK267" s="50">
        <f t="shared" si="338"/>
        <v>0</v>
      </c>
      <c r="DL267" s="50">
        <f t="shared" si="339"/>
        <v>0</v>
      </c>
      <c r="DM267" s="50">
        <f t="shared" si="340"/>
        <v>0</v>
      </c>
      <c r="DN267" s="50">
        <f t="shared" si="341"/>
        <v>0</v>
      </c>
      <c r="DO267" s="50">
        <f t="shared" si="342"/>
        <v>0</v>
      </c>
      <c r="DP267" s="50">
        <f t="shared" si="343"/>
        <v>0</v>
      </c>
      <c r="DQ267" s="50">
        <f t="shared" si="321"/>
        <v>0</v>
      </c>
      <c r="DR267" s="50">
        <f t="shared" si="322"/>
        <v>0</v>
      </c>
      <c r="DS267" s="96">
        <f>Miscelaneous!$D$4*Miscelaneous!$D$2^($CI267-1)</f>
        <v>1000</v>
      </c>
      <c r="DT267" s="333">
        <f t="shared" si="303"/>
        <v>1</v>
      </c>
      <c r="DU267" s="81">
        <v>1</v>
      </c>
      <c r="DV267" s="79">
        <f t="shared" si="323"/>
        <v>0</v>
      </c>
      <c r="DW267" s="79">
        <f t="shared" si="324"/>
        <v>0</v>
      </c>
      <c r="DX267" s="79">
        <f t="shared" si="325"/>
        <v>0</v>
      </c>
      <c r="DY267" s="79">
        <v>1</v>
      </c>
      <c r="DZ267" s="79">
        <f t="shared" si="326"/>
        <v>0</v>
      </c>
      <c r="EA267" s="79">
        <f t="shared" si="327"/>
        <v>0</v>
      </c>
      <c r="EB267" s="79">
        <f t="shared" si="328"/>
        <v>0</v>
      </c>
      <c r="EC267" s="79">
        <f t="shared" si="329"/>
        <v>0</v>
      </c>
      <c r="ED267" s="79">
        <v>1</v>
      </c>
      <c r="EE267" s="79">
        <v>1</v>
      </c>
      <c r="EF267" s="79">
        <f t="shared" si="330"/>
        <v>0</v>
      </c>
      <c r="EG267" s="79">
        <v>1</v>
      </c>
      <c r="EH267" s="79">
        <v>1</v>
      </c>
      <c r="EI267" s="79">
        <v>1</v>
      </c>
      <c r="EJ267" s="79">
        <v>1</v>
      </c>
      <c r="EK267" s="79">
        <v>1</v>
      </c>
      <c r="EL267" s="79">
        <v>1</v>
      </c>
      <c r="EM267" s="143">
        <f t="shared" si="331"/>
        <v>0</v>
      </c>
      <c r="EN267" s="143">
        <f t="shared" si="332"/>
        <v>0</v>
      </c>
      <c r="EO267" s="82">
        <f t="shared" si="333"/>
        <v>0</v>
      </c>
    </row>
    <row r="268" spans="1:145" x14ac:dyDescent="0.25">
      <c r="A268">
        <v>254</v>
      </c>
      <c r="B268" s="172" t="e">
        <f t="shared" si="304"/>
        <v>#N/A</v>
      </c>
      <c r="C268" s="121" t="e">
        <f t="shared" si="283"/>
        <v>#N/A</v>
      </c>
      <c r="D268" s="122" t="e">
        <f t="shared" si="284"/>
        <v>#N/A</v>
      </c>
      <c r="E268" s="122" t="e">
        <f t="shared" si="285"/>
        <v>#N/A</v>
      </c>
      <c r="F268" s="176" t="e">
        <f t="shared" si="286"/>
        <v>#N/A</v>
      </c>
      <c r="G268" s="121">
        <f t="shared" si="305"/>
        <v>208</v>
      </c>
      <c r="H268" s="176" t="e">
        <f t="shared" si="306"/>
        <v>#N/A</v>
      </c>
      <c r="I268" s="48">
        <v>1</v>
      </c>
      <c r="J268" s="39"/>
      <c r="K268" s="350">
        <v>1</v>
      </c>
      <c r="L268" s="34" t="e">
        <f t="shared" si="287"/>
        <v>#N/A</v>
      </c>
      <c r="M268" s="38" t="e">
        <f>(HLOOKUP(J268,'Construction Times'!$B$3:$W$34,L268+2,FALSE)*HLOOKUP("hq modifier",'Construction Times'!$W$3:$W$34,BS268+2,FALSE))*(1-$H$9)</f>
        <v>#N/A</v>
      </c>
      <c r="N268" s="443" t="e">
        <f t="shared" si="307"/>
        <v>#N/A</v>
      </c>
      <c r="O268" s="444"/>
      <c r="P268" s="447" t="e">
        <f t="shared" si="308"/>
        <v>#N/A</v>
      </c>
      <c r="Q268" s="448"/>
      <c r="R268" s="103">
        <f t="shared" si="334"/>
        <v>0</v>
      </c>
      <c r="S268" s="104">
        <f t="shared" si="334"/>
        <v>0</v>
      </c>
      <c r="T268" s="104">
        <f t="shared" si="335"/>
        <v>0</v>
      </c>
      <c r="U268" s="104">
        <f t="shared" si="335"/>
        <v>0</v>
      </c>
      <c r="V268" s="104">
        <f t="shared" si="335"/>
        <v>9.9999999999999995E-8</v>
      </c>
      <c r="W268" s="104">
        <f t="shared" si="335"/>
        <v>0</v>
      </c>
      <c r="X268" s="104">
        <f t="shared" si="365"/>
        <v>0</v>
      </c>
      <c r="Y268" s="104">
        <f t="shared" si="365"/>
        <v>9.9999999999999995E-8</v>
      </c>
      <c r="Z268" s="104">
        <f t="shared" si="365"/>
        <v>9.9999999999999995E-8</v>
      </c>
      <c r="AA268" s="105">
        <f t="shared" si="365"/>
        <v>9.9999999999999995E-8</v>
      </c>
      <c r="AB268" s="101" t="e">
        <f>$DT268*HLOOKUP($J268,'Construction Costs (timber)'!$B$1:$V$32,'Construction Planner'!$L268+2,FALSE)</f>
        <v>#N/A</v>
      </c>
      <c r="AC268" s="14" t="e">
        <f>$DT268*HLOOKUP($J268,'Construction Costs (clay)'!$B$1:$V$32,'Construction Planner'!$L268+2,FALSE)</f>
        <v>#N/A</v>
      </c>
      <c r="AD268" s="14" t="e">
        <f>$DT268*HLOOKUP($J268,'Construction Costs (iron)'!$B$1:$V$32,'Construction Planner'!$L268+2,FALSE)</f>
        <v>#N/A</v>
      </c>
      <c r="AE268" s="34" t="e">
        <f t="shared" si="344"/>
        <v>#N/A</v>
      </c>
      <c r="AF268" s="33" t="e">
        <f t="shared" si="288"/>
        <v>#N/A</v>
      </c>
      <c r="AG268" s="14" t="e">
        <f t="shared" si="289"/>
        <v>#N/A</v>
      </c>
      <c r="AH268" s="14" t="e">
        <f t="shared" si="290"/>
        <v>#N/A</v>
      </c>
      <c r="AI268" s="34" t="e">
        <f t="shared" si="345"/>
        <v>#N/A</v>
      </c>
      <c r="AJ268" s="49" t="e">
        <f t="shared" si="309"/>
        <v>#N/A</v>
      </c>
      <c r="AK268" s="49" t="e">
        <f t="shared" si="310"/>
        <v>#N/A</v>
      </c>
      <c r="AL268" s="49" t="e">
        <f t="shared" si="311"/>
        <v>#N/A</v>
      </c>
      <c r="AM268" s="25">
        <f t="shared" si="291"/>
        <v>30</v>
      </c>
      <c r="AN268" s="25">
        <f t="shared" si="292"/>
        <v>30</v>
      </c>
      <c r="AO268" s="25">
        <f t="shared" si="293"/>
        <v>30</v>
      </c>
      <c r="AP268" s="52" t="e">
        <f t="shared" si="312"/>
        <v>#N/A</v>
      </c>
      <c r="AQ268" s="53" t="e">
        <f t="shared" si="312"/>
        <v>#N/A</v>
      </c>
      <c r="AR268" s="54" t="e">
        <f t="shared" si="312"/>
        <v>#N/A</v>
      </c>
      <c r="AS268" s="316">
        <f t="shared" si="370"/>
        <v>0</v>
      </c>
      <c r="AT268" s="106">
        <f>_xlfn.IFNA($M268/VLOOKUP($BT268,'Unit information'!$A$2:$K$29,2,FALSE)*R268,0)*(1+$E$9)</f>
        <v>0</v>
      </c>
      <c r="AU268" s="107">
        <f>_xlfn.IFNA($M268/VLOOKUP($BT268,'Unit information'!$A$2:$K$29,3,FALSE)*S268,0)*(1+$E$9)</f>
        <v>0</v>
      </c>
      <c r="AV268" s="107">
        <f>_xlfn.IFNA($M268/VLOOKUP($BT268,'Unit information'!$A$2:$K$29,4,FALSE)*T268,0)*(1+$E$9)</f>
        <v>0</v>
      </c>
      <c r="AW268" s="107">
        <f>_xlfn.IFNA($M268/VLOOKUP($BT268,'Unit information'!$A$2:$K$29,5,FALSE)*U268,0)*(1+$E$9)</f>
        <v>0</v>
      </c>
      <c r="AX268" s="107">
        <f>_xlfn.IFNA($M268/VLOOKUP($BU268,'Unit information'!$A$2:$K$29,6,FALSE)*V268,0)*(1+$E$9)</f>
        <v>0</v>
      </c>
      <c r="AY268" s="107">
        <f>_xlfn.IFNA($M268/VLOOKUP($BU268,'Unit information'!$A$2:$K$29,7,FALSE)*W268,0)*(1+$E$9)</f>
        <v>0</v>
      </c>
      <c r="AZ268" s="107">
        <f>_xlfn.IFNA($M268/VLOOKUP($BU268,'Unit information'!$A$2:$K$29,8,FALSE)*X268,0)*(1+$E$9)</f>
        <v>0</v>
      </c>
      <c r="BA268" s="107">
        <f>_xlfn.IFNA($M268/VLOOKUP($BU268,'Unit information'!$A$2:$K$29,9,FALSE)*Y268,0)*(1+$E$9)</f>
        <v>0</v>
      </c>
      <c r="BB268" s="107">
        <f>_xlfn.IFNA($M268/VLOOKUP($BV268,'Unit information'!$A$2:$K$29,10,FALSE)*Z268,0)*(1+$E$9)</f>
        <v>0</v>
      </c>
      <c r="BC268" s="108">
        <f>_xlfn.IFNA($M268/VLOOKUP($BV268,'Unit information'!$A$2:$K$29,11,FALSE)*AA268,0)*(1+$E$9)</f>
        <v>0</v>
      </c>
      <c r="BD268" s="106">
        <f t="shared" si="294"/>
        <v>0</v>
      </c>
      <c r="BE268" s="107">
        <f t="shared" si="295"/>
        <v>0</v>
      </c>
      <c r="BF268" s="108">
        <f t="shared" si="296"/>
        <v>0</v>
      </c>
      <c r="BG268" s="25" t="e">
        <f t="shared" si="297"/>
        <v>#N/A</v>
      </c>
      <c r="BH268" s="25" t="e">
        <f t="shared" si="298"/>
        <v>#N/A</v>
      </c>
      <c r="BI268" s="25" t="e">
        <f t="shared" si="299"/>
        <v>#N/A</v>
      </c>
      <c r="BJ268" s="27" t="e">
        <f t="shared" si="300"/>
        <v>#N/A</v>
      </c>
      <c r="BK268" s="18" t="e">
        <f t="shared" si="301"/>
        <v>#N/A</v>
      </c>
      <c r="BL268" s="18" t="e">
        <f t="shared" si="302"/>
        <v>#N/A</v>
      </c>
      <c r="BM268" s="28" t="e">
        <f t="shared" si="347"/>
        <v>#N/A</v>
      </c>
      <c r="BN268" s="33">
        <f>HLOOKUP("maximum population",Miscelaneous!$C$1:$C$33,CH268+3,FALSE)</f>
        <v>240</v>
      </c>
      <c r="BO268" s="14">
        <f t="shared" si="313"/>
        <v>32</v>
      </c>
      <c r="BP268" s="14">
        <f t="shared" si="314"/>
        <v>0</v>
      </c>
      <c r="BQ268" s="14">
        <f t="shared" si="315"/>
        <v>208</v>
      </c>
      <c r="BR268" s="34" t="e">
        <f>HLOOKUP(J268,Villagers!$B$1:$V$33,L268+3,FALSE)-HLOOKUP(J268,Villagers!$B$1:$V$33,L268+2,FALSE)</f>
        <v>#N/A</v>
      </c>
      <c r="BS268" s="49">
        <f t="shared" si="316"/>
        <v>1</v>
      </c>
      <c r="BT268" s="50">
        <f t="shared" si="317"/>
        <v>0</v>
      </c>
      <c r="BU268" s="50">
        <f t="shared" si="318"/>
        <v>0</v>
      </c>
      <c r="BV268" s="50">
        <f t="shared" si="319"/>
        <v>0</v>
      </c>
      <c r="BW268" s="50">
        <f t="shared" si="372"/>
        <v>0</v>
      </c>
      <c r="BX268" s="50">
        <f t="shared" si="371"/>
        <v>0</v>
      </c>
      <c r="BY268" s="50">
        <f t="shared" si="371"/>
        <v>0</v>
      </c>
      <c r="BZ268" s="50">
        <f t="shared" si="350"/>
        <v>0</v>
      </c>
      <c r="CA268" s="50">
        <f t="shared" si="351"/>
        <v>0</v>
      </c>
      <c r="CB268" s="50">
        <f t="shared" si="352"/>
        <v>1</v>
      </c>
      <c r="CC268" s="50">
        <f t="shared" si="353"/>
        <v>0</v>
      </c>
      <c r="CD268" s="50">
        <f t="shared" si="354"/>
        <v>0</v>
      </c>
      <c r="CE268" s="50">
        <f t="shared" si="355"/>
        <v>1</v>
      </c>
      <c r="CF268" s="50">
        <f t="shared" si="356"/>
        <v>1</v>
      </c>
      <c r="CG268" s="50">
        <f t="shared" si="357"/>
        <v>1</v>
      </c>
      <c r="CH268" s="50">
        <f t="shared" si="358"/>
        <v>1</v>
      </c>
      <c r="CI268" s="50">
        <f t="shared" si="359"/>
        <v>1</v>
      </c>
      <c r="CJ268" s="50">
        <f t="shared" si="360"/>
        <v>1</v>
      </c>
      <c r="CK268" s="50">
        <f t="shared" si="360"/>
        <v>0</v>
      </c>
      <c r="CL268" s="50">
        <f t="shared" si="360"/>
        <v>0</v>
      </c>
      <c r="CM268" s="51">
        <f t="shared" si="368"/>
        <v>0</v>
      </c>
      <c r="CN268" s="33">
        <f>ROUND(IF(BS268=0,0,HLOOKUP(BS$14,Villagers!$B$1:$V$33,BS268+3,FALSE)),)</f>
        <v>5</v>
      </c>
      <c r="CO268" s="14">
        <f>ROUND(IF(BT268=0,0,HLOOKUP(BT$14,Villagers!$B$1:$V$33,BT268+3,FALSE)),)</f>
        <v>0</v>
      </c>
      <c r="CP268" s="14">
        <f>ROUND(IF(BU268=0,0,HLOOKUP(BU$14,Villagers!$B$1:$V$33,BU268+3,FALSE)),)</f>
        <v>0</v>
      </c>
      <c r="CQ268" s="14">
        <f>ROUND(IF(BV268=0,0,HLOOKUP(BV$14,Villagers!$B$1:$V$33,BV268+3,FALSE)),)</f>
        <v>0</v>
      </c>
      <c r="CR268" s="14">
        <f>ROUND(IF(BW268=0,0,HLOOKUP(BW$14,Villagers!$B$1:$V$33,BW268+3,FALSE)),)</f>
        <v>0</v>
      </c>
      <c r="CS268" s="14">
        <f>ROUND(IF(BX268=0,0,HLOOKUP(BX$14,Villagers!$B$1:$V$33,BX268+3,FALSE)),)</f>
        <v>0</v>
      </c>
      <c r="CT268" s="14">
        <f>ROUND(IF(BY268=0,0,HLOOKUP(BY$14,Villagers!$B$1:$V$33,BY268+3,FALSE)),)</f>
        <v>0</v>
      </c>
      <c r="CU268" s="14">
        <f>ROUND(IF(BZ268=0,0,HLOOKUP(BZ$14,Villagers!$B$1:$V$33,BZ268+3,FALSE)),)</f>
        <v>0</v>
      </c>
      <c r="CV268" s="14">
        <f>ROUND(IF(CA268=0,0,HLOOKUP(CA$14,Villagers!$B$1:$V$33,CA268+3,FALSE)),)</f>
        <v>0</v>
      </c>
      <c r="CW268" s="14">
        <f>ROUND(IF(CB268=0,0,HLOOKUP(CB$14,Villagers!$B$1:$V$33,CB268+3,FALSE)),)</f>
        <v>0</v>
      </c>
      <c r="CX268" s="14">
        <f>ROUND(IF(CC268=0,0,HLOOKUP(CC$14,Villagers!$B$1:$V$33,CC268+3,FALSE)),)</f>
        <v>0</v>
      </c>
      <c r="CY268" s="14">
        <f>ROUND(IF(CD268=0,0,HLOOKUP(CD$14,Villagers!$B$1:$V$33,CD268+3,FALSE)),)</f>
        <v>0</v>
      </c>
      <c r="CZ268" s="14">
        <f>ROUND(IF(CE268=0,0,HLOOKUP(CE$14,Villagers!$B$1:$V$33,CE268+3,FALSE)),)</f>
        <v>5</v>
      </c>
      <c r="DA268" s="14">
        <f>ROUND(IF(CF268=0,0,HLOOKUP(CF$14,Villagers!$B$1:$V$33,CF268+3,FALSE)),)</f>
        <v>10</v>
      </c>
      <c r="DB268" s="14">
        <f>ROUND(IF(CG268=0,0,HLOOKUP(CG$14,Villagers!$B$1:$V$33,CG268+3,FALSE)),)</f>
        <v>10</v>
      </c>
      <c r="DC268" s="14">
        <f>ROUND(IF(CH268=0,0,HLOOKUP(CH$14,Villagers!$B$1:$V$33,CH268+3,FALSE)),)</f>
        <v>0</v>
      </c>
      <c r="DD268" s="14">
        <f>ROUND(IF(CI268=0,0,HLOOKUP(CI$14,Villagers!$B$1:$V$33,CI268+3,FALSE)),)</f>
        <v>0</v>
      </c>
      <c r="DE268" s="14">
        <f>ROUND(IF(CJ268=0,0,HLOOKUP(CJ$14,Villagers!$B$1:$V$33,CJ268+3,FALSE)),)</f>
        <v>2</v>
      </c>
      <c r="DF268" s="370">
        <f>ROUND(IF(CK268=0,0,HLOOKUP(CK$14,Villagers!$B$1:$V$33,CK268+3,FALSE)),)</f>
        <v>0</v>
      </c>
      <c r="DG268" s="370">
        <f>ROUND(IF(CL268=0,0,HLOOKUP(CL$14,Villagers!$B$1:$V$33,CL268+3,FALSE)),)</f>
        <v>0</v>
      </c>
      <c r="DH268" s="34">
        <f>ROUND(IF(CM268=0,0,HLOOKUP(CM$14,Villagers!$B$1:$V$33,CM268+3,FALSE)),)</f>
        <v>0</v>
      </c>
      <c r="DI268" s="109">
        <f t="shared" si="336"/>
        <v>0</v>
      </c>
      <c r="DJ268" s="50">
        <f t="shared" si="337"/>
        <v>0</v>
      </c>
      <c r="DK268" s="50">
        <f t="shared" si="338"/>
        <v>0</v>
      </c>
      <c r="DL268" s="50">
        <f t="shared" si="339"/>
        <v>0</v>
      </c>
      <c r="DM268" s="50">
        <f t="shared" si="340"/>
        <v>0</v>
      </c>
      <c r="DN268" s="50">
        <f t="shared" si="341"/>
        <v>0</v>
      </c>
      <c r="DO268" s="50">
        <f t="shared" si="342"/>
        <v>0</v>
      </c>
      <c r="DP268" s="50">
        <f t="shared" si="343"/>
        <v>0</v>
      </c>
      <c r="DQ268" s="50">
        <f t="shared" si="321"/>
        <v>0</v>
      </c>
      <c r="DR268" s="50">
        <f t="shared" si="322"/>
        <v>0</v>
      </c>
      <c r="DS268" s="96">
        <f>Miscelaneous!$D$4*Miscelaneous!$D$2^($CI268-1)</f>
        <v>1000</v>
      </c>
      <c r="DT268" s="333">
        <f t="shared" si="303"/>
        <v>1</v>
      </c>
      <c r="DU268" s="81">
        <v>1</v>
      </c>
      <c r="DV268" s="79">
        <f t="shared" si="323"/>
        <v>0</v>
      </c>
      <c r="DW268" s="79">
        <f t="shared" si="324"/>
        <v>0</v>
      </c>
      <c r="DX268" s="79">
        <f t="shared" si="325"/>
        <v>0</v>
      </c>
      <c r="DY268" s="79">
        <v>1</v>
      </c>
      <c r="DZ268" s="79">
        <f t="shared" si="326"/>
        <v>0</v>
      </c>
      <c r="EA268" s="79">
        <f t="shared" si="327"/>
        <v>0</v>
      </c>
      <c r="EB268" s="79">
        <f t="shared" si="328"/>
        <v>0</v>
      </c>
      <c r="EC268" s="79">
        <f t="shared" si="329"/>
        <v>0</v>
      </c>
      <c r="ED268" s="79">
        <v>1</v>
      </c>
      <c r="EE268" s="79">
        <v>1</v>
      </c>
      <c r="EF268" s="79">
        <f t="shared" si="330"/>
        <v>0</v>
      </c>
      <c r="EG268" s="79">
        <v>1</v>
      </c>
      <c r="EH268" s="79">
        <v>1</v>
      </c>
      <c r="EI268" s="79">
        <v>1</v>
      </c>
      <c r="EJ268" s="79">
        <v>1</v>
      </c>
      <c r="EK268" s="79">
        <v>1</v>
      </c>
      <c r="EL268" s="79">
        <v>1</v>
      </c>
      <c r="EM268" s="143">
        <f t="shared" si="331"/>
        <v>0</v>
      </c>
      <c r="EN268" s="143">
        <f t="shared" si="332"/>
        <v>0</v>
      </c>
      <c r="EO268" s="82">
        <f t="shared" si="333"/>
        <v>0</v>
      </c>
    </row>
    <row r="269" spans="1:145" x14ac:dyDescent="0.25">
      <c r="A269">
        <v>255</v>
      </c>
      <c r="B269" s="172" t="e">
        <f t="shared" si="304"/>
        <v>#N/A</v>
      </c>
      <c r="C269" s="121" t="e">
        <f t="shared" si="283"/>
        <v>#N/A</v>
      </c>
      <c r="D269" s="122" t="e">
        <f t="shared" si="284"/>
        <v>#N/A</v>
      </c>
      <c r="E269" s="122" t="e">
        <f t="shared" si="285"/>
        <v>#N/A</v>
      </c>
      <c r="F269" s="176" t="e">
        <f t="shared" si="286"/>
        <v>#N/A</v>
      </c>
      <c r="G269" s="121">
        <f t="shared" si="305"/>
        <v>208</v>
      </c>
      <c r="H269" s="176" t="e">
        <f t="shared" si="306"/>
        <v>#N/A</v>
      </c>
      <c r="I269" s="48">
        <v>1</v>
      </c>
      <c r="J269" s="39"/>
      <c r="K269" s="350">
        <v>1</v>
      </c>
      <c r="L269" s="34" t="e">
        <f t="shared" si="287"/>
        <v>#N/A</v>
      </c>
      <c r="M269" s="38" t="e">
        <f>(HLOOKUP(J269,'Construction Times'!$B$3:$W$34,L269+2,FALSE)*HLOOKUP("hq modifier",'Construction Times'!$W$3:$W$34,BS269+2,FALSE))*(1-$H$9)</f>
        <v>#N/A</v>
      </c>
      <c r="N269" s="443" t="e">
        <f t="shared" si="307"/>
        <v>#N/A</v>
      </c>
      <c r="O269" s="444"/>
      <c r="P269" s="447" t="e">
        <f t="shared" si="308"/>
        <v>#N/A</v>
      </c>
      <c r="Q269" s="448"/>
      <c r="R269" s="103">
        <f t="shared" si="334"/>
        <v>0</v>
      </c>
      <c r="S269" s="104">
        <f t="shared" si="334"/>
        <v>0</v>
      </c>
      <c r="T269" s="104">
        <f t="shared" si="335"/>
        <v>0</v>
      </c>
      <c r="U269" s="104">
        <f t="shared" si="335"/>
        <v>0</v>
      </c>
      <c r="V269" s="104">
        <f t="shared" si="335"/>
        <v>9.9999999999999995E-8</v>
      </c>
      <c r="W269" s="104">
        <f t="shared" si="335"/>
        <v>0</v>
      </c>
      <c r="X269" s="104">
        <f t="shared" si="365"/>
        <v>0</v>
      </c>
      <c r="Y269" s="104">
        <f t="shared" si="365"/>
        <v>9.9999999999999995E-8</v>
      </c>
      <c r="Z269" s="104">
        <f t="shared" si="365"/>
        <v>9.9999999999999995E-8</v>
      </c>
      <c r="AA269" s="105">
        <f t="shared" si="365"/>
        <v>9.9999999999999995E-8</v>
      </c>
      <c r="AB269" s="101" t="e">
        <f>$DT269*HLOOKUP($J269,'Construction Costs (timber)'!$B$1:$V$32,'Construction Planner'!$L269+2,FALSE)</f>
        <v>#N/A</v>
      </c>
      <c r="AC269" s="14" t="e">
        <f>$DT269*HLOOKUP($J269,'Construction Costs (clay)'!$B$1:$V$32,'Construction Planner'!$L269+2,FALSE)</f>
        <v>#N/A</v>
      </c>
      <c r="AD269" s="14" t="e">
        <f>$DT269*HLOOKUP($J269,'Construction Costs (iron)'!$B$1:$V$32,'Construction Planner'!$L269+2,FALSE)</f>
        <v>#N/A</v>
      </c>
      <c r="AE269" s="34" t="e">
        <f t="shared" si="344"/>
        <v>#N/A</v>
      </c>
      <c r="AF269" s="33" t="e">
        <f t="shared" si="288"/>
        <v>#N/A</v>
      </c>
      <c r="AG269" s="14" t="e">
        <f t="shared" si="289"/>
        <v>#N/A</v>
      </c>
      <c r="AH269" s="14" t="e">
        <f t="shared" si="290"/>
        <v>#N/A</v>
      </c>
      <c r="AI269" s="34" t="e">
        <f t="shared" si="345"/>
        <v>#N/A</v>
      </c>
      <c r="AJ269" s="49" t="e">
        <f t="shared" si="309"/>
        <v>#N/A</v>
      </c>
      <c r="AK269" s="49" t="e">
        <f t="shared" si="310"/>
        <v>#N/A</v>
      </c>
      <c r="AL269" s="49" t="e">
        <f t="shared" si="311"/>
        <v>#N/A</v>
      </c>
      <c r="AM269" s="25">
        <f t="shared" si="291"/>
        <v>30</v>
      </c>
      <c r="AN269" s="25">
        <f t="shared" si="292"/>
        <v>30</v>
      </c>
      <c r="AO269" s="25">
        <f t="shared" si="293"/>
        <v>30</v>
      </c>
      <c r="AP269" s="52" t="e">
        <f t="shared" si="312"/>
        <v>#N/A</v>
      </c>
      <c r="AQ269" s="53" t="e">
        <f t="shared" si="312"/>
        <v>#N/A</v>
      </c>
      <c r="AR269" s="54" t="e">
        <f t="shared" si="312"/>
        <v>#N/A</v>
      </c>
      <c r="AS269" s="316">
        <f t="shared" si="370"/>
        <v>0</v>
      </c>
      <c r="AT269" s="106">
        <f>_xlfn.IFNA($M269/VLOOKUP($BT269,'Unit information'!$A$2:$K$29,2,FALSE)*R269,0)*(1+$E$9)</f>
        <v>0</v>
      </c>
      <c r="AU269" s="107">
        <f>_xlfn.IFNA($M269/VLOOKUP($BT269,'Unit information'!$A$2:$K$29,3,FALSE)*S269,0)*(1+$E$9)</f>
        <v>0</v>
      </c>
      <c r="AV269" s="107">
        <f>_xlfn.IFNA($M269/VLOOKUP($BT269,'Unit information'!$A$2:$K$29,4,FALSE)*T269,0)*(1+$E$9)</f>
        <v>0</v>
      </c>
      <c r="AW269" s="107">
        <f>_xlfn.IFNA($M269/VLOOKUP($BT269,'Unit information'!$A$2:$K$29,5,FALSE)*U269,0)*(1+$E$9)</f>
        <v>0</v>
      </c>
      <c r="AX269" s="107">
        <f>_xlfn.IFNA($M269/VLOOKUP($BU269,'Unit information'!$A$2:$K$29,6,FALSE)*V269,0)*(1+$E$9)</f>
        <v>0</v>
      </c>
      <c r="AY269" s="107">
        <f>_xlfn.IFNA($M269/VLOOKUP($BU269,'Unit information'!$A$2:$K$29,7,FALSE)*W269,0)*(1+$E$9)</f>
        <v>0</v>
      </c>
      <c r="AZ269" s="107">
        <f>_xlfn.IFNA($M269/VLOOKUP($BU269,'Unit information'!$A$2:$K$29,8,FALSE)*X269,0)*(1+$E$9)</f>
        <v>0</v>
      </c>
      <c r="BA269" s="107">
        <f>_xlfn.IFNA($M269/VLOOKUP($BU269,'Unit information'!$A$2:$K$29,9,FALSE)*Y269,0)*(1+$E$9)</f>
        <v>0</v>
      </c>
      <c r="BB269" s="107">
        <f>_xlfn.IFNA($M269/VLOOKUP($BV269,'Unit information'!$A$2:$K$29,10,FALSE)*Z269,0)*(1+$E$9)</f>
        <v>0</v>
      </c>
      <c r="BC269" s="108">
        <f>_xlfn.IFNA($M269/VLOOKUP($BV269,'Unit information'!$A$2:$K$29,11,FALSE)*AA269,0)*(1+$E$9)</f>
        <v>0</v>
      </c>
      <c r="BD269" s="106">
        <f t="shared" si="294"/>
        <v>0</v>
      </c>
      <c r="BE269" s="107">
        <f t="shared" si="295"/>
        <v>0</v>
      </c>
      <c r="BF269" s="108">
        <f t="shared" si="296"/>
        <v>0</v>
      </c>
      <c r="BG269" s="25" t="e">
        <f t="shared" si="297"/>
        <v>#N/A</v>
      </c>
      <c r="BH269" s="25" t="e">
        <f t="shared" si="298"/>
        <v>#N/A</v>
      </c>
      <c r="BI269" s="25" t="e">
        <f t="shared" si="299"/>
        <v>#N/A</v>
      </c>
      <c r="BJ269" s="27" t="e">
        <f t="shared" si="300"/>
        <v>#N/A</v>
      </c>
      <c r="BK269" s="18" t="e">
        <f t="shared" si="301"/>
        <v>#N/A</v>
      </c>
      <c r="BL269" s="18" t="e">
        <f t="shared" si="302"/>
        <v>#N/A</v>
      </c>
      <c r="BM269" s="28" t="e">
        <f t="shared" si="347"/>
        <v>#N/A</v>
      </c>
      <c r="BN269" s="33">
        <f>HLOOKUP("maximum population",Miscelaneous!$C$1:$C$33,CH269+3,FALSE)</f>
        <v>240</v>
      </c>
      <c r="BO269" s="14">
        <f t="shared" si="313"/>
        <v>32</v>
      </c>
      <c r="BP269" s="14">
        <f t="shared" si="314"/>
        <v>0</v>
      </c>
      <c r="BQ269" s="14">
        <f t="shared" si="315"/>
        <v>208</v>
      </c>
      <c r="BR269" s="34" t="e">
        <f>HLOOKUP(J269,Villagers!$B$1:$V$33,L269+3,FALSE)-HLOOKUP(J269,Villagers!$B$1:$V$33,L269+2,FALSE)</f>
        <v>#N/A</v>
      </c>
      <c r="BS269" s="49">
        <f t="shared" si="316"/>
        <v>1</v>
      </c>
      <c r="BT269" s="50">
        <f t="shared" si="317"/>
        <v>0</v>
      </c>
      <c r="BU269" s="50">
        <f t="shared" si="318"/>
        <v>0</v>
      </c>
      <c r="BV269" s="50">
        <f t="shared" si="319"/>
        <v>0</v>
      </c>
      <c r="BW269" s="50">
        <f t="shared" si="372"/>
        <v>0</v>
      </c>
      <c r="BX269" s="50">
        <f t="shared" si="371"/>
        <v>0</v>
      </c>
      <c r="BY269" s="50">
        <f t="shared" si="371"/>
        <v>0</v>
      </c>
      <c r="BZ269" s="50">
        <f t="shared" si="350"/>
        <v>0</v>
      </c>
      <c r="CA269" s="50">
        <f t="shared" si="351"/>
        <v>0</v>
      </c>
      <c r="CB269" s="50">
        <f t="shared" si="352"/>
        <v>1</v>
      </c>
      <c r="CC269" s="50">
        <f t="shared" si="353"/>
        <v>0</v>
      </c>
      <c r="CD269" s="50">
        <f t="shared" si="354"/>
        <v>0</v>
      </c>
      <c r="CE269" s="50">
        <f t="shared" si="355"/>
        <v>1</v>
      </c>
      <c r="CF269" s="50">
        <f t="shared" si="356"/>
        <v>1</v>
      </c>
      <c r="CG269" s="50">
        <f t="shared" si="357"/>
        <v>1</v>
      </c>
      <c r="CH269" s="50">
        <f t="shared" si="358"/>
        <v>1</v>
      </c>
      <c r="CI269" s="50">
        <f t="shared" si="359"/>
        <v>1</v>
      </c>
      <c r="CJ269" s="50">
        <f t="shared" si="360"/>
        <v>1</v>
      </c>
      <c r="CK269" s="50">
        <f t="shared" si="360"/>
        <v>0</v>
      </c>
      <c r="CL269" s="50">
        <f t="shared" si="360"/>
        <v>0</v>
      </c>
      <c r="CM269" s="51">
        <f t="shared" si="368"/>
        <v>0</v>
      </c>
      <c r="CN269" s="33">
        <f>ROUND(IF(BS269=0,0,HLOOKUP(BS$14,Villagers!$B$1:$V$33,BS269+3,FALSE)),)</f>
        <v>5</v>
      </c>
      <c r="CO269" s="14">
        <f>ROUND(IF(BT269=0,0,HLOOKUP(BT$14,Villagers!$B$1:$V$33,BT269+3,FALSE)),)</f>
        <v>0</v>
      </c>
      <c r="CP269" s="14">
        <f>ROUND(IF(BU269=0,0,HLOOKUP(BU$14,Villagers!$B$1:$V$33,BU269+3,FALSE)),)</f>
        <v>0</v>
      </c>
      <c r="CQ269" s="14">
        <f>ROUND(IF(BV269=0,0,HLOOKUP(BV$14,Villagers!$B$1:$V$33,BV269+3,FALSE)),)</f>
        <v>0</v>
      </c>
      <c r="CR269" s="14">
        <f>ROUND(IF(BW269=0,0,HLOOKUP(BW$14,Villagers!$B$1:$V$33,BW269+3,FALSE)),)</f>
        <v>0</v>
      </c>
      <c r="CS269" s="14">
        <f>ROUND(IF(BX269=0,0,HLOOKUP(BX$14,Villagers!$B$1:$V$33,BX269+3,FALSE)),)</f>
        <v>0</v>
      </c>
      <c r="CT269" s="14">
        <f>ROUND(IF(BY269=0,0,HLOOKUP(BY$14,Villagers!$B$1:$V$33,BY269+3,FALSE)),)</f>
        <v>0</v>
      </c>
      <c r="CU269" s="14">
        <f>ROUND(IF(BZ269=0,0,HLOOKUP(BZ$14,Villagers!$B$1:$V$33,BZ269+3,FALSE)),)</f>
        <v>0</v>
      </c>
      <c r="CV269" s="14">
        <f>ROUND(IF(CA269=0,0,HLOOKUP(CA$14,Villagers!$B$1:$V$33,CA269+3,FALSE)),)</f>
        <v>0</v>
      </c>
      <c r="CW269" s="14">
        <f>ROUND(IF(CB269=0,0,HLOOKUP(CB$14,Villagers!$B$1:$V$33,CB269+3,FALSE)),)</f>
        <v>0</v>
      </c>
      <c r="CX269" s="14">
        <f>ROUND(IF(CC269=0,0,HLOOKUP(CC$14,Villagers!$B$1:$V$33,CC269+3,FALSE)),)</f>
        <v>0</v>
      </c>
      <c r="CY269" s="14">
        <f>ROUND(IF(CD269=0,0,HLOOKUP(CD$14,Villagers!$B$1:$V$33,CD269+3,FALSE)),)</f>
        <v>0</v>
      </c>
      <c r="CZ269" s="14">
        <f>ROUND(IF(CE269=0,0,HLOOKUP(CE$14,Villagers!$B$1:$V$33,CE269+3,FALSE)),)</f>
        <v>5</v>
      </c>
      <c r="DA269" s="14">
        <f>ROUND(IF(CF269=0,0,HLOOKUP(CF$14,Villagers!$B$1:$V$33,CF269+3,FALSE)),)</f>
        <v>10</v>
      </c>
      <c r="DB269" s="14">
        <f>ROUND(IF(CG269=0,0,HLOOKUP(CG$14,Villagers!$B$1:$V$33,CG269+3,FALSE)),)</f>
        <v>10</v>
      </c>
      <c r="DC269" s="14">
        <f>ROUND(IF(CH269=0,0,HLOOKUP(CH$14,Villagers!$B$1:$V$33,CH269+3,FALSE)),)</f>
        <v>0</v>
      </c>
      <c r="DD269" s="14">
        <f>ROUND(IF(CI269=0,0,HLOOKUP(CI$14,Villagers!$B$1:$V$33,CI269+3,FALSE)),)</f>
        <v>0</v>
      </c>
      <c r="DE269" s="14">
        <f>ROUND(IF(CJ269=0,0,HLOOKUP(CJ$14,Villagers!$B$1:$V$33,CJ269+3,FALSE)),)</f>
        <v>2</v>
      </c>
      <c r="DF269" s="370">
        <f>ROUND(IF(CK269=0,0,HLOOKUP(CK$14,Villagers!$B$1:$V$33,CK269+3,FALSE)),)</f>
        <v>0</v>
      </c>
      <c r="DG269" s="370">
        <f>ROUND(IF(CL269=0,0,HLOOKUP(CL$14,Villagers!$B$1:$V$33,CL269+3,FALSE)),)</f>
        <v>0</v>
      </c>
      <c r="DH269" s="34">
        <f>ROUND(IF(CM269=0,0,HLOOKUP(CM$14,Villagers!$B$1:$V$33,CM269+3,FALSE)),)</f>
        <v>0</v>
      </c>
      <c r="DI269" s="109">
        <f t="shared" si="336"/>
        <v>0</v>
      </c>
      <c r="DJ269" s="50">
        <f t="shared" si="337"/>
        <v>0</v>
      </c>
      <c r="DK269" s="50">
        <f t="shared" si="338"/>
        <v>0</v>
      </c>
      <c r="DL269" s="50">
        <f t="shared" si="339"/>
        <v>0</v>
      </c>
      <c r="DM269" s="50">
        <f t="shared" si="340"/>
        <v>0</v>
      </c>
      <c r="DN269" s="50">
        <f t="shared" si="341"/>
        <v>0</v>
      </c>
      <c r="DO269" s="50">
        <f t="shared" si="342"/>
        <v>0</v>
      </c>
      <c r="DP269" s="50">
        <f t="shared" si="343"/>
        <v>0</v>
      </c>
      <c r="DQ269" s="50">
        <f t="shared" si="321"/>
        <v>0</v>
      </c>
      <c r="DR269" s="50">
        <f t="shared" si="322"/>
        <v>0</v>
      </c>
      <c r="DS269" s="96">
        <f>Miscelaneous!$D$4*Miscelaneous!$D$2^($CI269-1)</f>
        <v>1000</v>
      </c>
      <c r="DT269" s="333">
        <f t="shared" si="303"/>
        <v>1</v>
      </c>
      <c r="DU269" s="81">
        <v>1</v>
      </c>
      <c r="DV269" s="79">
        <f t="shared" si="323"/>
        <v>0</v>
      </c>
      <c r="DW269" s="79">
        <f t="shared" si="324"/>
        <v>0</v>
      </c>
      <c r="DX269" s="79">
        <f t="shared" si="325"/>
        <v>0</v>
      </c>
      <c r="DY269" s="79">
        <v>1</v>
      </c>
      <c r="DZ269" s="79">
        <f t="shared" si="326"/>
        <v>0</v>
      </c>
      <c r="EA269" s="79">
        <f t="shared" si="327"/>
        <v>0</v>
      </c>
      <c r="EB269" s="79">
        <f t="shared" si="328"/>
        <v>0</v>
      </c>
      <c r="EC269" s="79">
        <f t="shared" si="329"/>
        <v>0</v>
      </c>
      <c r="ED269" s="79">
        <v>1</v>
      </c>
      <c r="EE269" s="79">
        <v>1</v>
      </c>
      <c r="EF269" s="79">
        <f t="shared" si="330"/>
        <v>0</v>
      </c>
      <c r="EG269" s="79">
        <v>1</v>
      </c>
      <c r="EH269" s="79">
        <v>1</v>
      </c>
      <c r="EI269" s="79">
        <v>1</v>
      </c>
      <c r="EJ269" s="79">
        <v>1</v>
      </c>
      <c r="EK269" s="79">
        <v>1</v>
      </c>
      <c r="EL269" s="79">
        <v>1</v>
      </c>
      <c r="EM269" s="143">
        <f t="shared" si="331"/>
        <v>0</v>
      </c>
      <c r="EN269" s="143">
        <f t="shared" si="332"/>
        <v>0</v>
      </c>
      <c r="EO269" s="82">
        <f t="shared" si="333"/>
        <v>0</v>
      </c>
    </row>
    <row r="270" spans="1:145" x14ac:dyDescent="0.25">
      <c r="A270">
        <v>256</v>
      </c>
      <c r="B270" s="172" t="e">
        <f t="shared" si="304"/>
        <v>#N/A</v>
      </c>
      <c r="C270" s="121" t="e">
        <f t="shared" si="283"/>
        <v>#N/A</v>
      </c>
      <c r="D270" s="122" t="e">
        <f t="shared" si="284"/>
        <v>#N/A</v>
      </c>
      <c r="E270" s="122" t="e">
        <f t="shared" si="285"/>
        <v>#N/A</v>
      </c>
      <c r="F270" s="176" t="e">
        <f t="shared" si="286"/>
        <v>#N/A</v>
      </c>
      <c r="G270" s="121">
        <f t="shared" si="305"/>
        <v>208</v>
      </c>
      <c r="H270" s="176" t="e">
        <f t="shared" si="306"/>
        <v>#N/A</v>
      </c>
      <c r="I270" s="48">
        <v>1</v>
      </c>
      <c r="J270" s="39"/>
      <c r="K270" s="350">
        <v>1</v>
      </c>
      <c r="L270" s="34" t="e">
        <f t="shared" si="287"/>
        <v>#N/A</v>
      </c>
      <c r="M270" s="38" t="e">
        <f>(HLOOKUP(J270,'Construction Times'!$B$3:$W$34,L270+2,FALSE)*HLOOKUP("hq modifier",'Construction Times'!$W$3:$W$34,BS270+2,FALSE))*(1-$H$9)</f>
        <v>#N/A</v>
      </c>
      <c r="N270" s="443" t="e">
        <f t="shared" si="307"/>
        <v>#N/A</v>
      </c>
      <c r="O270" s="444"/>
      <c r="P270" s="447" t="e">
        <f t="shared" si="308"/>
        <v>#N/A</v>
      </c>
      <c r="Q270" s="448"/>
      <c r="R270" s="103">
        <f t="shared" si="334"/>
        <v>0</v>
      </c>
      <c r="S270" s="104">
        <f t="shared" si="334"/>
        <v>0</v>
      </c>
      <c r="T270" s="104">
        <f t="shared" si="335"/>
        <v>0</v>
      </c>
      <c r="U270" s="104">
        <f t="shared" si="335"/>
        <v>0</v>
      </c>
      <c r="V270" s="104">
        <f t="shared" si="335"/>
        <v>9.9999999999999995E-8</v>
      </c>
      <c r="W270" s="104">
        <f t="shared" si="335"/>
        <v>0</v>
      </c>
      <c r="X270" s="104">
        <f t="shared" si="365"/>
        <v>0</v>
      </c>
      <c r="Y270" s="104">
        <f t="shared" si="365"/>
        <v>9.9999999999999995E-8</v>
      </c>
      <c r="Z270" s="104">
        <f t="shared" si="365"/>
        <v>9.9999999999999995E-8</v>
      </c>
      <c r="AA270" s="105">
        <f t="shared" si="365"/>
        <v>9.9999999999999995E-8</v>
      </c>
      <c r="AB270" s="101" t="e">
        <f>$DT270*HLOOKUP($J270,'Construction Costs (timber)'!$B$1:$V$32,'Construction Planner'!$L270+2,FALSE)</f>
        <v>#N/A</v>
      </c>
      <c r="AC270" s="14" t="e">
        <f>$DT270*HLOOKUP($J270,'Construction Costs (clay)'!$B$1:$V$32,'Construction Planner'!$L270+2,FALSE)</f>
        <v>#N/A</v>
      </c>
      <c r="AD270" s="14" t="e">
        <f>$DT270*HLOOKUP($J270,'Construction Costs (iron)'!$B$1:$V$32,'Construction Planner'!$L270+2,FALSE)</f>
        <v>#N/A</v>
      </c>
      <c r="AE270" s="34" t="e">
        <f t="shared" si="344"/>
        <v>#N/A</v>
      </c>
      <c r="AF270" s="33" t="e">
        <f t="shared" si="288"/>
        <v>#N/A</v>
      </c>
      <c r="AG270" s="14" t="e">
        <f t="shared" si="289"/>
        <v>#N/A</v>
      </c>
      <c r="AH270" s="14" t="e">
        <f t="shared" si="290"/>
        <v>#N/A</v>
      </c>
      <c r="AI270" s="34" t="e">
        <f t="shared" si="345"/>
        <v>#N/A</v>
      </c>
      <c r="AJ270" s="49" t="e">
        <f t="shared" si="309"/>
        <v>#N/A</v>
      </c>
      <c r="AK270" s="49" t="e">
        <f t="shared" si="310"/>
        <v>#N/A</v>
      </c>
      <c r="AL270" s="49" t="e">
        <f t="shared" si="311"/>
        <v>#N/A</v>
      </c>
      <c r="AM270" s="25">
        <f t="shared" si="291"/>
        <v>30</v>
      </c>
      <c r="AN270" s="25">
        <f t="shared" si="292"/>
        <v>30</v>
      </c>
      <c r="AO270" s="25">
        <f t="shared" si="293"/>
        <v>30</v>
      </c>
      <c r="AP270" s="52" t="e">
        <f t="shared" si="312"/>
        <v>#N/A</v>
      </c>
      <c r="AQ270" s="53" t="e">
        <f t="shared" si="312"/>
        <v>#N/A</v>
      </c>
      <c r="AR270" s="54" t="e">
        <f t="shared" si="312"/>
        <v>#N/A</v>
      </c>
      <c r="AS270" s="316">
        <f t="shared" si="370"/>
        <v>0</v>
      </c>
      <c r="AT270" s="106">
        <f>_xlfn.IFNA($M270/VLOOKUP($BT270,'Unit information'!$A$2:$K$29,2,FALSE)*R270,0)*(1+$E$9)</f>
        <v>0</v>
      </c>
      <c r="AU270" s="107">
        <f>_xlfn.IFNA($M270/VLOOKUP($BT270,'Unit information'!$A$2:$K$29,3,FALSE)*S270,0)*(1+$E$9)</f>
        <v>0</v>
      </c>
      <c r="AV270" s="107">
        <f>_xlfn.IFNA($M270/VLOOKUP($BT270,'Unit information'!$A$2:$K$29,4,FALSE)*T270,0)*(1+$E$9)</f>
        <v>0</v>
      </c>
      <c r="AW270" s="107">
        <f>_xlfn.IFNA($M270/VLOOKUP($BT270,'Unit information'!$A$2:$K$29,5,FALSE)*U270,0)*(1+$E$9)</f>
        <v>0</v>
      </c>
      <c r="AX270" s="107">
        <f>_xlfn.IFNA($M270/VLOOKUP($BU270,'Unit information'!$A$2:$K$29,6,FALSE)*V270,0)*(1+$E$9)</f>
        <v>0</v>
      </c>
      <c r="AY270" s="107">
        <f>_xlfn.IFNA($M270/VLOOKUP($BU270,'Unit information'!$A$2:$K$29,7,FALSE)*W270,0)*(1+$E$9)</f>
        <v>0</v>
      </c>
      <c r="AZ270" s="107">
        <f>_xlfn.IFNA($M270/VLOOKUP($BU270,'Unit information'!$A$2:$K$29,8,FALSE)*X270,0)*(1+$E$9)</f>
        <v>0</v>
      </c>
      <c r="BA270" s="107">
        <f>_xlfn.IFNA($M270/VLOOKUP($BU270,'Unit information'!$A$2:$K$29,9,FALSE)*Y270,0)*(1+$E$9)</f>
        <v>0</v>
      </c>
      <c r="BB270" s="107">
        <f>_xlfn.IFNA($M270/VLOOKUP($BV270,'Unit information'!$A$2:$K$29,10,FALSE)*Z270,0)*(1+$E$9)</f>
        <v>0</v>
      </c>
      <c r="BC270" s="108">
        <f>_xlfn.IFNA($M270/VLOOKUP($BV270,'Unit information'!$A$2:$K$29,11,FALSE)*AA270,0)*(1+$E$9)</f>
        <v>0</v>
      </c>
      <c r="BD270" s="106">
        <f t="shared" si="294"/>
        <v>0</v>
      </c>
      <c r="BE270" s="107">
        <f t="shared" si="295"/>
        <v>0</v>
      </c>
      <c r="BF270" s="108">
        <f t="shared" si="296"/>
        <v>0</v>
      </c>
      <c r="BG270" s="25" t="e">
        <f t="shared" si="297"/>
        <v>#N/A</v>
      </c>
      <c r="BH270" s="25" t="e">
        <f t="shared" si="298"/>
        <v>#N/A</v>
      </c>
      <c r="BI270" s="25" t="e">
        <f t="shared" si="299"/>
        <v>#N/A</v>
      </c>
      <c r="BJ270" s="27" t="e">
        <f t="shared" si="300"/>
        <v>#N/A</v>
      </c>
      <c r="BK270" s="18" t="e">
        <f t="shared" si="301"/>
        <v>#N/A</v>
      </c>
      <c r="BL270" s="18" t="e">
        <f t="shared" si="302"/>
        <v>#N/A</v>
      </c>
      <c r="BM270" s="28" t="e">
        <f t="shared" si="347"/>
        <v>#N/A</v>
      </c>
      <c r="BN270" s="33">
        <f>HLOOKUP("maximum population",Miscelaneous!$C$1:$C$33,CH270+3,FALSE)</f>
        <v>240</v>
      </c>
      <c r="BO270" s="14">
        <f t="shared" si="313"/>
        <v>32</v>
      </c>
      <c r="BP270" s="14">
        <f t="shared" si="314"/>
        <v>0</v>
      </c>
      <c r="BQ270" s="14">
        <f t="shared" si="315"/>
        <v>208</v>
      </c>
      <c r="BR270" s="34" t="e">
        <f>HLOOKUP(J270,Villagers!$B$1:$V$33,L270+3,FALSE)-HLOOKUP(J270,Villagers!$B$1:$V$33,L270+2,FALSE)</f>
        <v>#N/A</v>
      </c>
      <c r="BS270" s="49">
        <f t="shared" si="316"/>
        <v>1</v>
      </c>
      <c r="BT270" s="50">
        <f t="shared" si="317"/>
        <v>0</v>
      </c>
      <c r="BU270" s="50">
        <f t="shared" si="318"/>
        <v>0</v>
      </c>
      <c r="BV270" s="50">
        <f t="shared" si="319"/>
        <v>0</v>
      </c>
      <c r="BW270" s="50">
        <f t="shared" si="372"/>
        <v>0</v>
      </c>
      <c r="BX270" s="50">
        <f t="shared" si="371"/>
        <v>0</v>
      </c>
      <c r="BY270" s="50">
        <f t="shared" si="371"/>
        <v>0</v>
      </c>
      <c r="BZ270" s="50">
        <f t="shared" si="350"/>
        <v>0</v>
      </c>
      <c r="CA270" s="50">
        <f t="shared" si="351"/>
        <v>0</v>
      </c>
      <c r="CB270" s="50">
        <f t="shared" si="352"/>
        <v>1</v>
      </c>
      <c r="CC270" s="50">
        <f t="shared" si="353"/>
        <v>0</v>
      </c>
      <c r="CD270" s="50">
        <f t="shared" si="354"/>
        <v>0</v>
      </c>
      <c r="CE270" s="50">
        <f t="shared" si="355"/>
        <v>1</v>
      </c>
      <c r="CF270" s="50">
        <f t="shared" si="356"/>
        <v>1</v>
      </c>
      <c r="CG270" s="50">
        <f t="shared" si="357"/>
        <v>1</v>
      </c>
      <c r="CH270" s="50">
        <f t="shared" si="358"/>
        <v>1</v>
      </c>
      <c r="CI270" s="50">
        <f t="shared" si="359"/>
        <v>1</v>
      </c>
      <c r="CJ270" s="50">
        <f t="shared" si="360"/>
        <v>1</v>
      </c>
      <c r="CK270" s="50">
        <f t="shared" si="360"/>
        <v>0</v>
      </c>
      <c r="CL270" s="50">
        <f t="shared" si="360"/>
        <v>0</v>
      </c>
      <c r="CM270" s="51">
        <f t="shared" si="368"/>
        <v>0</v>
      </c>
      <c r="CN270" s="33">
        <f>ROUND(IF(BS270=0,0,HLOOKUP(BS$14,Villagers!$B$1:$V$33,BS270+3,FALSE)),)</f>
        <v>5</v>
      </c>
      <c r="CO270" s="14">
        <f>ROUND(IF(BT270=0,0,HLOOKUP(BT$14,Villagers!$B$1:$V$33,BT270+3,FALSE)),)</f>
        <v>0</v>
      </c>
      <c r="CP270" s="14">
        <f>ROUND(IF(BU270=0,0,HLOOKUP(BU$14,Villagers!$B$1:$V$33,BU270+3,FALSE)),)</f>
        <v>0</v>
      </c>
      <c r="CQ270" s="14">
        <f>ROUND(IF(BV270=0,0,HLOOKUP(BV$14,Villagers!$B$1:$V$33,BV270+3,FALSE)),)</f>
        <v>0</v>
      </c>
      <c r="CR270" s="14">
        <f>ROUND(IF(BW270=0,0,HLOOKUP(BW$14,Villagers!$B$1:$V$33,BW270+3,FALSE)),)</f>
        <v>0</v>
      </c>
      <c r="CS270" s="14">
        <f>ROUND(IF(BX270=0,0,HLOOKUP(BX$14,Villagers!$B$1:$V$33,BX270+3,FALSE)),)</f>
        <v>0</v>
      </c>
      <c r="CT270" s="14">
        <f>ROUND(IF(BY270=0,0,HLOOKUP(BY$14,Villagers!$B$1:$V$33,BY270+3,FALSE)),)</f>
        <v>0</v>
      </c>
      <c r="CU270" s="14">
        <f>ROUND(IF(BZ270=0,0,HLOOKUP(BZ$14,Villagers!$B$1:$V$33,BZ270+3,FALSE)),)</f>
        <v>0</v>
      </c>
      <c r="CV270" s="14">
        <f>ROUND(IF(CA270=0,0,HLOOKUP(CA$14,Villagers!$B$1:$V$33,CA270+3,FALSE)),)</f>
        <v>0</v>
      </c>
      <c r="CW270" s="14">
        <f>ROUND(IF(CB270=0,0,HLOOKUP(CB$14,Villagers!$B$1:$V$33,CB270+3,FALSE)),)</f>
        <v>0</v>
      </c>
      <c r="CX270" s="14">
        <f>ROUND(IF(CC270=0,0,HLOOKUP(CC$14,Villagers!$B$1:$V$33,CC270+3,FALSE)),)</f>
        <v>0</v>
      </c>
      <c r="CY270" s="14">
        <f>ROUND(IF(CD270=0,0,HLOOKUP(CD$14,Villagers!$B$1:$V$33,CD270+3,FALSE)),)</f>
        <v>0</v>
      </c>
      <c r="CZ270" s="14">
        <f>ROUND(IF(CE270=0,0,HLOOKUP(CE$14,Villagers!$B$1:$V$33,CE270+3,FALSE)),)</f>
        <v>5</v>
      </c>
      <c r="DA270" s="14">
        <f>ROUND(IF(CF270=0,0,HLOOKUP(CF$14,Villagers!$B$1:$V$33,CF270+3,FALSE)),)</f>
        <v>10</v>
      </c>
      <c r="DB270" s="14">
        <f>ROUND(IF(CG270=0,0,HLOOKUP(CG$14,Villagers!$B$1:$V$33,CG270+3,FALSE)),)</f>
        <v>10</v>
      </c>
      <c r="DC270" s="14">
        <f>ROUND(IF(CH270=0,0,HLOOKUP(CH$14,Villagers!$B$1:$V$33,CH270+3,FALSE)),)</f>
        <v>0</v>
      </c>
      <c r="DD270" s="14">
        <f>ROUND(IF(CI270=0,0,HLOOKUP(CI$14,Villagers!$B$1:$V$33,CI270+3,FALSE)),)</f>
        <v>0</v>
      </c>
      <c r="DE270" s="14">
        <f>ROUND(IF(CJ270=0,0,HLOOKUP(CJ$14,Villagers!$B$1:$V$33,CJ270+3,FALSE)),)</f>
        <v>2</v>
      </c>
      <c r="DF270" s="370">
        <f>ROUND(IF(CK270=0,0,HLOOKUP(CK$14,Villagers!$B$1:$V$33,CK270+3,FALSE)),)</f>
        <v>0</v>
      </c>
      <c r="DG270" s="370">
        <f>ROUND(IF(CL270=0,0,HLOOKUP(CL$14,Villagers!$B$1:$V$33,CL270+3,FALSE)),)</f>
        <v>0</v>
      </c>
      <c r="DH270" s="34">
        <f>ROUND(IF(CM270=0,0,HLOOKUP(CM$14,Villagers!$B$1:$V$33,CM270+3,FALSE)),)</f>
        <v>0</v>
      </c>
      <c r="DI270" s="109">
        <f t="shared" si="336"/>
        <v>0</v>
      </c>
      <c r="DJ270" s="50">
        <f t="shared" si="337"/>
        <v>0</v>
      </c>
      <c r="DK270" s="50">
        <f t="shared" si="338"/>
        <v>0</v>
      </c>
      <c r="DL270" s="50">
        <f t="shared" si="339"/>
        <v>0</v>
      </c>
      <c r="DM270" s="50">
        <f t="shared" si="340"/>
        <v>0</v>
      </c>
      <c r="DN270" s="50">
        <f t="shared" si="341"/>
        <v>0</v>
      </c>
      <c r="DO270" s="50">
        <f t="shared" si="342"/>
        <v>0</v>
      </c>
      <c r="DP270" s="50">
        <f t="shared" si="343"/>
        <v>0</v>
      </c>
      <c r="DQ270" s="50">
        <f t="shared" si="321"/>
        <v>0</v>
      </c>
      <c r="DR270" s="50">
        <f t="shared" si="322"/>
        <v>0</v>
      </c>
      <c r="DS270" s="96">
        <f>Miscelaneous!$D$4*Miscelaneous!$D$2^($CI270-1)</f>
        <v>1000</v>
      </c>
      <c r="DT270" s="333">
        <f t="shared" si="303"/>
        <v>1</v>
      </c>
      <c r="DU270" s="81">
        <v>1</v>
      </c>
      <c r="DV270" s="79">
        <f t="shared" si="323"/>
        <v>0</v>
      </c>
      <c r="DW270" s="79">
        <f t="shared" si="324"/>
        <v>0</v>
      </c>
      <c r="DX270" s="79">
        <f t="shared" si="325"/>
        <v>0</v>
      </c>
      <c r="DY270" s="79">
        <v>1</v>
      </c>
      <c r="DZ270" s="79">
        <f t="shared" si="326"/>
        <v>0</v>
      </c>
      <c r="EA270" s="79">
        <f t="shared" si="327"/>
        <v>0</v>
      </c>
      <c r="EB270" s="79">
        <f t="shared" si="328"/>
        <v>0</v>
      </c>
      <c r="EC270" s="79">
        <f t="shared" si="329"/>
        <v>0</v>
      </c>
      <c r="ED270" s="79">
        <v>1</v>
      </c>
      <c r="EE270" s="79">
        <v>1</v>
      </c>
      <c r="EF270" s="79">
        <f t="shared" si="330"/>
        <v>0</v>
      </c>
      <c r="EG270" s="79">
        <v>1</v>
      </c>
      <c r="EH270" s="79">
        <v>1</v>
      </c>
      <c r="EI270" s="79">
        <v>1</v>
      </c>
      <c r="EJ270" s="79">
        <v>1</v>
      </c>
      <c r="EK270" s="79">
        <v>1</v>
      </c>
      <c r="EL270" s="79">
        <v>1</v>
      </c>
      <c r="EM270" s="143">
        <f t="shared" si="331"/>
        <v>0</v>
      </c>
      <c r="EN270" s="143">
        <f t="shared" si="332"/>
        <v>0</v>
      </c>
      <c r="EO270" s="82">
        <f t="shared" si="333"/>
        <v>0</v>
      </c>
    </row>
    <row r="271" spans="1:145" x14ac:dyDescent="0.25">
      <c r="A271">
        <v>257</v>
      </c>
      <c r="B271" s="172" t="e">
        <f t="shared" si="304"/>
        <v>#N/A</v>
      </c>
      <c r="C271" s="121" t="e">
        <f t="shared" ref="C271:C334" si="373">AJ271-SUM(AB271:AB275)</f>
        <v>#N/A</v>
      </c>
      <c r="D271" s="122" t="e">
        <f t="shared" ref="D271:D334" si="374">AK271-SUM(AC271:AC275)</f>
        <v>#N/A</v>
      </c>
      <c r="E271" s="122" t="e">
        <f t="shared" ref="E271:E334" si="375">AL271-SUM(AD271:AD275)</f>
        <v>#N/A</v>
      </c>
      <c r="F271" s="176" t="e">
        <f t="shared" ref="F271:F334" si="376">IF(AND(MAX(C271:E271)&gt;0,DS271-MAX(C271:E271)&lt;DS271),DS271-MAX(C271:E271),DS271)</f>
        <v>#N/A</v>
      </c>
      <c r="G271" s="121">
        <f t="shared" si="305"/>
        <v>208</v>
      </c>
      <c r="H271" s="176" t="e">
        <f t="shared" si="306"/>
        <v>#N/A</v>
      </c>
      <c r="I271" s="48">
        <v>1</v>
      </c>
      <c r="J271" s="39"/>
      <c r="K271" s="350">
        <v>1</v>
      </c>
      <c r="L271" s="34" t="e">
        <f t="shared" ref="L271:L334" si="377">HLOOKUP(J271,$BS$14:$CM$508,A272,FALSE)+K271</f>
        <v>#N/A</v>
      </c>
      <c r="M271" s="38" t="e">
        <f>(HLOOKUP(J271,'Construction Times'!$B$3:$W$34,L271+2,FALSE)*HLOOKUP("hq modifier",'Construction Times'!$W$3:$W$34,BS271+2,FALSE))*(1-$H$9)</f>
        <v>#N/A</v>
      </c>
      <c r="N271" s="443" t="e">
        <f t="shared" si="307"/>
        <v>#N/A</v>
      </c>
      <c r="O271" s="444"/>
      <c r="P271" s="447" t="e">
        <f t="shared" si="308"/>
        <v>#N/A</v>
      </c>
      <c r="Q271" s="448"/>
      <c r="R271" s="103">
        <f t="shared" si="334"/>
        <v>0</v>
      </c>
      <c r="S271" s="104">
        <f t="shared" si="334"/>
        <v>0</v>
      </c>
      <c r="T271" s="104">
        <f t="shared" si="335"/>
        <v>0</v>
      </c>
      <c r="U271" s="104">
        <f t="shared" si="335"/>
        <v>0</v>
      </c>
      <c r="V271" s="104">
        <f t="shared" si="335"/>
        <v>9.9999999999999995E-8</v>
      </c>
      <c r="W271" s="104">
        <f t="shared" si="335"/>
        <v>0</v>
      </c>
      <c r="X271" s="104">
        <f t="shared" si="365"/>
        <v>0</v>
      </c>
      <c r="Y271" s="104">
        <f t="shared" si="365"/>
        <v>9.9999999999999995E-8</v>
      </c>
      <c r="Z271" s="104">
        <f t="shared" si="365"/>
        <v>9.9999999999999995E-8</v>
      </c>
      <c r="AA271" s="105">
        <f t="shared" si="365"/>
        <v>9.9999999999999995E-8</v>
      </c>
      <c r="AB271" s="101" t="e">
        <f>$DT271*HLOOKUP($J271,'Construction Costs (timber)'!$B$1:$V$32,'Construction Planner'!$L271+2,FALSE)</f>
        <v>#N/A</v>
      </c>
      <c r="AC271" s="14" t="e">
        <f>$DT271*HLOOKUP($J271,'Construction Costs (clay)'!$B$1:$V$32,'Construction Planner'!$L271+2,FALSE)</f>
        <v>#N/A</v>
      </c>
      <c r="AD271" s="14" t="e">
        <f>$DT271*HLOOKUP($J271,'Construction Costs (iron)'!$B$1:$V$32,'Construction Planner'!$L271+2,FALSE)</f>
        <v>#N/A</v>
      </c>
      <c r="AE271" s="34" t="e">
        <f t="shared" si="344"/>
        <v>#N/A</v>
      </c>
      <c r="AF271" s="33" t="e">
        <f t="shared" ref="AF271:AF334" si="378">AB271*($AH$3/$M271)</f>
        <v>#N/A</v>
      </c>
      <c r="AG271" s="14" t="e">
        <f t="shared" ref="AG271:AG334" si="379">AC271*($AH$3/$M271)</f>
        <v>#N/A</v>
      </c>
      <c r="AH271" s="14" t="e">
        <f t="shared" ref="AH271:AH334" si="380">AD271*($AH$3/$M271)</f>
        <v>#N/A</v>
      </c>
      <c r="AI271" s="34" t="e">
        <f t="shared" si="345"/>
        <v>#N/A</v>
      </c>
      <c r="AJ271" s="49" t="e">
        <f t="shared" si="309"/>
        <v>#N/A</v>
      </c>
      <c r="AK271" s="49" t="e">
        <f t="shared" si="310"/>
        <v>#N/A</v>
      </c>
      <c r="AL271" s="49" t="e">
        <f t="shared" si="311"/>
        <v>#N/A</v>
      </c>
      <c r="AM271" s="25">
        <f t="shared" ref="AM271:AM334" si="381">IF(CE271 = 0,$E$3*5,$E$3*30*1.163118^(CE271-1))*(1+$B$10)</f>
        <v>30</v>
      </c>
      <c r="AN271" s="25">
        <f t="shared" ref="AN271:AN334" si="382">IF(CF271 = 0,$E$3*5,$E$3*30*1.163118^(CF271-1))*(1+$B$10)</f>
        <v>30</v>
      </c>
      <c r="AO271" s="25">
        <f t="shared" ref="AO271:AO334" si="383">IF(CG271 = 0,$E$3*5,$E$3*30*1.163118^(CG271-1))*(1+$B$10)</f>
        <v>30</v>
      </c>
      <c r="AP271" s="52" t="e">
        <f t="shared" si="312"/>
        <v>#N/A</v>
      </c>
      <c r="AQ271" s="53" t="e">
        <f t="shared" si="312"/>
        <v>#N/A</v>
      </c>
      <c r="AR271" s="54" t="e">
        <f t="shared" si="312"/>
        <v>#N/A</v>
      </c>
      <c r="AS271" s="316">
        <f t="shared" si="370"/>
        <v>0</v>
      </c>
      <c r="AT271" s="106">
        <f>_xlfn.IFNA($M271/VLOOKUP($BT271,'Unit information'!$A$2:$K$29,2,FALSE)*R271,0)*(1+$E$9)</f>
        <v>0</v>
      </c>
      <c r="AU271" s="107">
        <f>_xlfn.IFNA($M271/VLOOKUP($BT271,'Unit information'!$A$2:$K$29,3,FALSE)*S271,0)*(1+$E$9)</f>
        <v>0</v>
      </c>
      <c r="AV271" s="107">
        <f>_xlfn.IFNA($M271/VLOOKUP($BT271,'Unit information'!$A$2:$K$29,4,FALSE)*T271,0)*(1+$E$9)</f>
        <v>0</v>
      </c>
      <c r="AW271" s="107">
        <f>_xlfn.IFNA($M271/VLOOKUP($BT271,'Unit information'!$A$2:$K$29,5,FALSE)*U271,0)*(1+$E$9)</f>
        <v>0</v>
      </c>
      <c r="AX271" s="107">
        <f>_xlfn.IFNA($M271/VLOOKUP($BU271,'Unit information'!$A$2:$K$29,6,FALSE)*V271,0)*(1+$E$9)</f>
        <v>0</v>
      </c>
      <c r="AY271" s="107">
        <f>_xlfn.IFNA($M271/VLOOKUP($BU271,'Unit information'!$A$2:$K$29,7,FALSE)*W271,0)*(1+$E$9)</f>
        <v>0</v>
      </c>
      <c r="AZ271" s="107">
        <f>_xlfn.IFNA($M271/VLOOKUP($BU271,'Unit information'!$A$2:$K$29,8,FALSE)*X271,0)*(1+$E$9)</f>
        <v>0</v>
      </c>
      <c r="BA271" s="107">
        <f>_xlfn.IFNA($M271/VLOOKUP($BU271,'Unit information'!$A$2:$K$29,9,FALSE)*Y271,0)*(1+$E$9)</f>
        <v>0</v>
      </c>
      <c r="BB271" s="107">
        <f>_xlfn.IFNA($M271/VLOOKUP($BV271,'Unit information'!$A$2:$K$29,10,FALSE)*Z271,0)*(1+$E$9)</f>
        <v>0</v>
      </c>
      <c r="BC271" s="108">
        <f>_xlfn.IFNA($M271/VLOOKUP($BV271,'Unit information'!$A$2:$K$29,11,FALSE)*AA271,0)*(1+$E$9)</f>
        <v>0</v>
      </c>
      <c r="BD271" s="106">
        <f t="shared" ref="BD271:BD334" si="384">$AT271*50+$AU271*30+$AV271*60+$AX271*50+$AY271*125+$BA271*200+$BB271*300+$BC271*320</f>
        <v>0</v>
      </c>
      <c r="BE271" s="107">
        <f t="shared" ref="BE271:BE334" si="385">$AT271*30+$AU271*30+$AV271*30+$AX271*50+$AY271*100+$BA271*150+$BB271*200+$BC271*400</f>
        <v>0</v>
      </c>
      <c r="BF271" s="108">
        <f t="shared" ref="BF271:BF334" si="386">$AT271*10+$AU271*70+$AV271*40+$AX271*20+$AY271*250+$BA271*600+$BB271*200+$BC271*100</f>
        <v>0</v>
      </c>
      <c r="BG271" s="25" t="e">
        <f t="shared" ref="BG271:BG334" si="387">AM271+AP271</f>
        <v>#N/A</v>
      </c>
      <c r="BH271" s="25" t="e">
        <f t="shared" ref="BH271:BH334" si="388">AN271+AQ271</f>
        <v>#N/A</v>
      </c>
      <c r="BI271" s="25" t="e">
        <f t="shared" ref="BI271:BI334" si="389">AO271+AR271</f>
        <v>#N/A</v>
      </c>
      <c r="BJ271" s="27" t="e">
        <f t="shared" ref="BJ271:BJ334" si="390">IF(AJ271&gt;AB271,0,(AB271-AJ271)/BG271*$AK$3)</f>
        <v>#N/A</v>
      </c>
      <c r="BK271" s="18" t="e">
        <f t="shared" ref="BK271:BK334" si="391">IF(AK271&gt;AC271,0,(AC271-AK271)/BH271*$AK$3)</f>
        <v>#N/A</v>
      </c>
      <c r="BL271" s="18" t="e">
        <f t="shared" ref="BL271:BL334" si="392">IF(AL271&gt;AD271,0,(AD271-AL271)/BI271*$AK$3)</f>
        <v>#N/A</v>
      </c>
      <c r="BM271" s="28" t="e">
        <f t="shared" si="347"/>
        <v>#N/A</v>
      </c>
      <c r="BN271" s="33">
        <f>HLOOKUP("maximum population",Miscelaneous!$C$1:$C$33,CH271+3,FALSE)</f>
        <v>240</v>
      </c>
      <c r="BO271" s="14">
        <f t="shared" si="313"/>
        <v>32</v>
      </c>
      <c r="BP271" s="14">
        <f t="shared" si="314"/>
        <v>0</v>
      </c>
      <c r="BQ271" s="14">
        <f t="shared" si="315"/>
        <v>208</v>
      </c>
      <c r="BR271" s="34" t="e">
        <f>HLOOKUP(J271,Villagers!$B$1:$V$33,L271+3,FALSE)-HLOOKUP(J271,Villagers!$B$1:$V$33,L271+2,FALSE)</f>
        <v>#N/A</v>
      </c>
      <c r="BS271" s="49">
        <f t="shared" si="316"/>
        <v>1</v>
      </c>
      <c r="BT271" s="50">
        <f t="shared" si="317"/>
        <v>0</v>
      </c>
      <c r="BU271" s="50">
        <f t="shared" si="318"/>
        <v>0</v>
      </c>
      <c r="BV271" s="50">
        <f t="shared" si="319"/>
        <v>0</v>
      </c>
      <c r="BW271" s="50">
        <f t="shared" si="372"/>
        <v>0</v>
      </c>
      <c r="BX271" s="50">
        <f t="shared" si="371"/>
        <v>0</v>
      </c>
      <c r="BY271" s="50">
        <f t="shared" si="371"/>
        <v>0</v>
      </c>
      <c r="BZ271" s="50">
        <f t="shared" si="350"/>
        <v>0</v>
      </c>
      <c r="CA271" s="50">
        <f t="shared" si="351"/>
        <v>0</v>
      </c>
      <c r="CB271" s="50">
        <f t="shared" si="352"/>
        <v>1</v>
      </c>
      <c r="CC271" s="50">
        <f t="shared" si="353"/>
        <v>0</v>
      </c>
      <c r="CD271" s="50">
        <f t="shared" si="354"/>
        <v>0</v>
      </c>
      <c r="CE271" s="50">
        <f t="shared" si="355"/>
        <v>1</v>
      </c>
      <c r="CF271" s="50">
        <f t="shared" si="356"/>
        <v>1</v>
      </c>
      <c r="CG271" s="50">
        <f t="shared" si="357"/>
        <v>1</v>
      </c>
      <c r="CH271" s="50">
        <f t="shared" si="358"/>
        <v>1</v>
      </c>
      <c r="CI271" s="50">
        <f t="shared" si="359"/>
        <v>1</v>
      </c>
      <c r="CJ271" s="50">
        <f t="shared" si="360"/>
        <v>1</v>
      </c>
      <c r="CK271" s="50">
        <f t="shared" si="360"/>
        <v>0</v>
      </c>
      <c r="CL271" s="50">
        <f t="shared" si="360"/>
        <v>0</v>
      </c>
      <c r="CM271" s="51">
        <f t="shared" si="368"/>
        <v>0</v>
      </c>
      <c r="CN271" s="33">
        <f>ROUND(IF(BS271=0,0,HLOOKUP(BS$14,Villagers!$B$1:$V$33,BS271+3,FALSE)),)</f>
        <v>5</v>
      </c>
      <c r="CO271" s="14">
        <f>ROUND(IF(BT271=0,0,HLOOKUP(BT$14,Villagers!$B$1:$V$33,BT271+3,FALSE)),)</f>
        <v>0</v>
      </c>
      <c r="CP271" s="14">
        <f>ROUND(IF(BU271=0,0,HLOOKUP(BU$14,Villagers!$B$1:$V$33,BU271+3,FALSE)),)</f>
        <v>0</v>
      </c>
      <c r="CQ271" s="14">
        <f>ROUND(IF(BV271=0,0,HLOOKUP(BV$14,Villagers!$B$1:$V$33,BV271+3,FALSE)),)</f>
        <v>0</v>
      </c>
      <c r="CR271" s="14">
        <f>ROUND(IF(BW271=0,0,HLOOKUP(BW$14,Villagers!$B$1:$V$33,BW271+3,FALSE)),)</f>
        <v>0</v>
      </c>
      <c r="CS271" s="14">
        <f>ROUND(IF(BX271=0,0,HLOOKUP(BX$14,Villagers!$B$1:$V$33,BX271+3,FALSE)),)</f>
        <v>0</v>
      </c>
      <c r="CT271" s="14">
        <f>ROUND(IF(BY271=0,0,HLOOKUP(BY$14,Villagers!$B$1:$V$33,BY271+3,FALSE)),)</f>
        <v>0</v>
      </c>
      <c r="CU271" s="14">
        <f>ROUND(IF(BZ271=0,0,HLOOKUP(BZ$14,Villagers!$B$1:$V$33,BZ271+3,FALSE)),)</f>
        <v>0</v>
      </c>
      <c r="CV271" s="14">
        <f>ROUND(IF(CA271=0,0,HLOOKUP(CA$14,Villagers!$B$1:$V$33,CA271+3,FALSE)),)</f>
        <v>0</v>
      </c>
      <c r="CW271" s="14">
        <f>ROUND(IF(CB271=0,0,HLOOKUP(CB$14,Villagers!$B$1:$V$33,CB271+3,FALSE)),)</f>
        <v>0</v>
      </c>
      <c r="CX271" s="14">
        <f>ROUND(IF(CC271=0,0,HLOOKUP(CC$14,Villagers!$B$1:$V$33,CC271+3,FALSE)),)</f>
        <v>0</v>
      </c>
      <c r="CY271" s="14">
        <f>ROUND(IF(CD271=0,0,HLOOKUP(CD$14,Villagers!$B$1:$V$33,CD271+3,FALSE)),)</f>
        <v>0</v>
      </c>
      <c r="CZ271" s="14">
        <f>ROUND(IF(CE271=0,0,HLOOKUP(CE$14,Villagers!$B$1:$V$33,CE271+3,FALSE)),)</f>
        <v>5</v>
      </c>
      <c r="DA271" s="14">
        <f>ROUND(IF(CF271=0,0,HLOOKUP(CF$14,Villagers!$B$1:$V$33,CF271+3,FALSE)),)</f>
        <v>10</v>
      </c>
      <c r="DB271" s="14">
        <f>ROUND(IF(CG271=0,0,HLOOKUP(CG$14,Villagers!$B$1:$V$33,CG271+3,FALSE)),)</f>
        <v>10</v>
      </c>
      <c r="DC271" s="14">
        <f>ROUND(IF(CH271=0,0,HLOOKUP(CH$14,Villagers!$B$1:$V$33,CH271+3,FALSE)),)</f>
        <v>0</v>
      </c>
      <c r="DD271" s="14">
        <f>ROUND(IF(CI271=0,0,HLOOKUP(CI$14,Villagers!$B$1:$V$33,CI271+3,FALSE)),)</f>
        <v>0</v>
      </c>
      <c r="DE271" s="14">
        <f>ROUND(IF(CJ271=0,0,HLOOKUP(CJ$14,Villagers!$B$1:$V$33,CJ271+3,FALSE)),)</f>
        <v>2</v>
      </c>
      <c r="DF271" s="370">
        <f>ROUND(IF(CK271=0,0,HLOOKUP(CK$14,Villagers!$B$1:$V$33,CK271+3,FALSE)),)</f>
        <v>0</v>
      </c>
      <c r="DG271" s="370">
        <f>ROUND(IF(CL271=0,0,HLOOKUP(CL$14,Villagers!$B$1:$V$33,CL271+3,FALSE)),)</f>
        <v>0</v>
      </c>
      <c r="DH271" s="34">
        <f>ROUND(IF(CM271=0,0,HLOOKUP(CM$14,Villagers!$B$1:$V$33,CM271+3,FALSE)),)</f>
        <v>0</v>
      </c>
      <c r="DI271" s="109">
        <f t="shared" si="336"/>
        <v>0</v>
      </c>
      <c r="DJ271" s="50">
        <f t="shared" si="337"/>
        <v>0</v>
      </c>
      <c r="DK271" s="50">
        <f t="shared" si="338"/>
        <v>0</v>
      </c>
      <c r="DL271" s="50">
        <f t="shared" si="339"/>
        <v>0</v>
      </c>
      <c r="DM271" s="50">
        <f t="shared" si="340"/>
        <v>0</v>
      </c>
      <c r="DN271" s="50">
        <f t="shared" si="341"/>
        <v>0</v>
      </c>
      <c r="DO271" s="50">
        <f t="shared" si="342"/>
        <v>0</v>
      </c>
      <c r="DP271" s="50">
        <f t="shared" si="343"/>
        <v>0</v>
      </c>
      <c r="DQ271" s="50">
        <f t="shared" si="321"/>
        <v>0</v>
      </c>
      <c r="DR271" s="50">
        <f t="shared" si="322"/>
        <v>0</v>
      </c>
      <c r="DS271" s="96">
        <f>Miscelaneous!$D$4*Miscelaneous!$D$2^($CI271-1)</f>
        <v>1000</v>
      </c>
      <c r="DT271" s="333">
        <f t="shared" ref="DT271:DT334" si="393">IF(I271&lt;3,1,1.125^(I271-3))</f>
        <v>1</v>
      </c>
      <c r="DU271" s="81">
        <v>1</v>
      </c>
      <c r="DV271" s="79">
        <f t="shared" si="323"/>
        <v>0</v>
      </c>
      <c r="DW271" s="79">
        <f t="shared" si="324"/>
        <v>0</v>
      </c>
      <c r="DX271" s="79">
        <f t="shared" si="325"/>
        <v>0</v>
      </c>
      <c r="DY271" s="79">
        <v>1</v>
      </c>
      <c r="DZ271" s="79">
        <f t="shared" si="326"/>
        <v>0</v>
      </c>
      <c r="EA271" s="79">
        <f t="shared" si="327"/>
        <v>0</v>
      </c>
      <c r="EB271" s="79">
        <f t="shared" si="328"/>
        <v>0</v>
      </c>
      <c r="EC271" s="79">
        <f t="shared" si="329"/>
        <v>0</v>
      </c>
      <c r="ED271" s="79">
        <v>1</v>
      </c>
      <c r="EE271" s="79">
        <v>1</v>
      </c>
      <c r="EF271" s="79">
        <f t="shared" si="330"/>
        <v>0</v>
      </c>
      <c r="EG271" s="79">
        <v>1</v>
      </c>
      <c r="EH271" s="79">
        <v>1</v>
      </c>
      <c r="EI271" s="79">
        <v>1</v>
      </c>
      <c r="EJ271" s="79">
        <v>1</v>
      </c>
      <c r="EK271" s="79">
        <v>1</v>
      </c>
      <c r="EL271" s="79">
        <v>1</v>
      </c>
      <c r="EM271" s="143">
        <f t="shared" si="331"/>
        <v>0</v>
      </c>
      <c r="EN271" s="143">
        <f t="shared" si="332"/>
        <v>0</v>
      </c>
      <c r="EO271" s="82">
        <f t="shared" si="333"/>
        <v>0</v>
      </c>
    </row>
    <row r="272" spans="1:145" x14ac:dyDescent="0.25">
      <c r="A272">
        <v>258</v>
      </c>
      <c r="B272" s="172" t="e">
        <f t="shared" ref="B272:B335" si="394">BM272</f>
        <v>#N/A</v>
      </c>
      <c r="C272" s="121" t="e">
        <f t="shared" si="373"/>
        <v>#N/A</v>
      </c>
      <c r="D272" s="122" t="e">
        <f t="shared" si="374"/>
        <v>#N/A</v>
      </c>
      <c r="E272" s="122" t="e">
        <f t="shared" si="375"/>
        <v>#N/A</v>
      </c>
      <c r="F272" s="176" t="e">
        <f t="shared" si="376"/>
        <v>#N/A</v>
      </c>
      <c r="G272" s="121">
        <f t="shared" ref="G272:G335" si="395">BQ272</f>
        <v>208</v>
      </c>
      <c r="H272" s="176" t="e">
        <f t="shared" ref="H272:H335" si="396">BQ272-SUM(BR272:BR276)</f>
        <v>#N/A</v>
      </c>
      <c r="I272" s="48">
        <v>1</v>
      </c>
      <c r="J272" s="39"/>
      <c r="K272" s="350">
        <v>1</v>
      </c>
      <c r="L272" s="34" t="e">
        <f t="shared" si="377"/>
        <v>#N/A</v>
      </c>
      <c r="M272" s="38" t="e">
        <f>(HLOOKUP(J272,'Construction Times'!$B$3:$W$34,L272+2,FALSE)*HLOOKUP("hq modifier",'Construction Times'!$W$3:$W$34,BS272+2,FALSE))*(1-$H$9)</f>
        <v>#N/A</v>
      </c>
      <c r="N272" s="443" t="e">
        <f t="shared" ref="N272:N335" si="397">P271+M271</f>
        <v>#N/A</v>
      </c>
      <c r="O272" s="444"/>
      <c r="P272" s="447" t="e">
        <f t="shared" ref="P272:P335" si="398">IF(MAX(AB272:AD272)&gt;DS272,"Speicher zu klein",IF(HLOOKUP(J272,$DU$14:$EO$509,A272+2,FALSE)=0,"Gebäude Vor. nicht erfüllt",N272+BM272))</f>
        <v>#N/A</v>
      </c>
      <c r="Q272" s="448"/>
      <c r="R272" s="103">
        <f t="shared" si="334"/>
        <v>0</v>
      </c>
      <c r="S272" s="104">
        <f t="shared" si="334"/>
        <v>0</v>
      </c>
      <c r="T272" s="104">
        <f t="shared" si="335"/>
        <v>0</v>
      </c>
      <c r="U272" s="104">
        <f t="shared" si="335"/>
        <v>0</v>
      </c>
      <c r="V272" s="104">
        <f t="shared" si="335"/>
        <v>9.9999999999999995E-8</v>
      </c>
      <c r="W272" s="104">
        <f>W271</f>
        <v>0</v>
      </c>
      <c r="X272" s="104">
        <f t="shared" si="365"/>
        <v>0</v>
      </c>
      <c r="Y272" s="104">
        <f t="shared" si="365"/>
        <v>9.9999999999999995E-8</v>
      </c>
      <c r="Z272" s="104">
        <f t="shared" si="365"/>
        <v>9.9999999999999995E-8</v>
      </c>
      <c r="AA272" s="105">
        <f t="shared" si="365"/>
        <v>9.9999999999999995E-8</v>
      </c>
      <c r="AB272" s="101" t="e">
        <f>$DT272*HLOOKUP($J272,'Construction Costs (timber)'!$B$1:$V$32,'Construction Planner'!$L272+2,FALSE)</f>
        <v>#N/A</v>
      </c>
      <c r="AC272" s="14" t="e">
        <f>$DT272*HLOOKUP($J272,'Construction Costs (clay)'!$B$1:$V$32,'Construction Planner'!$L272+2,FALSE)</f>
        <v>#N/A</v>
      </c>
      <c r="AD272" s="14" t="e">
        <f>$DT272*HLOOKUP($J272,'Construction Costs (iron)'!$B$1:$V$32,'Construction Planner'!$L272+2,FALSE)</f>
        <v>#N/A</v>
      </c>
      <c r="AE272" s="34" t="e">
        <f t="shared" si="344"/>
        <v>#N/A</v>
      </c>
      <c r="AF272" s="33" t="e">
        <f t="shared" si="378"/>
        <v>#N/A</v>
      </c>
      <c r="AG272" s="14" t="e">
        <f t="shared" si="379"/>
        <v>#N/A</v>
      </c>
      <c r="AH272" s="14" t="e">
        <f t="shared" si="380"/>
        <v>#N/A</v>
      </c>
      <c r="AI272" s="34" t="e">
        <f t="shared" si="345"/>
        <v>#N/A</v>
      </c>
      <c r="AJ272" s="49" t="e">
        <f t="shared" ref="AJ272:AJ335" si="399">(($N272-$N271)/$AK$3)*BG271+AJ271-AB271-BD271</f>
        <v>#N/A</v>
      </c>
      <c r="AK272" s="49" t="e">
        <f t="shared" ref="AK272:AK335" si="400">(($N272-$N271)/$AK$3)*BH271+AK271-AC271-BE271</f>
        <v>#N/A</v>
      </c>
      <c r="AL272" s="49" t="e">
        <f t="shared" ref="AL272:AL335" si="401">(($N272-$N271)/$AK$3)*BI271+AL271-AD271-BF271</f>
        <v>#N/A</v>
      </c>
      <c r="AM272" s="25">
        <f t="shared" si="381"/>
        <v>30</v>
      </c>
      <c r="AN272" s="25">
        <f t="shared" si="382"/>
        <v>30</v>
      </c>
      <c r="AO272" s="25">
        <f t="shared" si="383"/>
        <v>30</v>
      </c>
      <c r="AP272" s="52" t="e">
        <f t="shared" ref="AP272:AR335" si="402">($N272-$AK$6+$AK$9+1)*$AK$5/24/3*$AS272</f>
        <v>#N/A</v>
      </c>
      <c r="AQ272" s="53" t="e">
        <f t="shared" si="402"/>
        <v>#N/A</v>
      </c>
      <c r="AR272" s="54" t="e">
        <f t="shared" si="402"/>
        <v>#N/A</v>
      </c>
      <c r="AS272" s="316">
        <f t="shared" si="370"/>
        <v>0</v>
      </c>
      <c r="AT272" s="106">
        <f>_xlfn.IFNA($M272/VLOOKUP($BT272,'Unit information'!$A$2:$K$29,2,FALSE)*R272,0)*(1+$E$9)</f>
        <v>0</v>
      </c>
      <c r="AU272" s="107">
        <f>_xlfn.IFNA($M272/VLOOKUP($BT272,'Unit information'!$A$2:$K$29,3,FALSE)*S272,0)*(1+$E$9)</f>
        <v>0</v>
      </c>
      <c r="AV272" s="107">
        <f>_xlfn.IFNA($M272/VLOOKUP($BT272,'Unit information'!$A$2:$K$29,4,FALSE)*T272,0)*(1+$E$9)</f>
        <v>0</v>
      </c>
      <c r="AW272" s="107">
        <f>_xlfn.IFNA($M272/VLOOKUP($BT272,'Unit information'!$A$2:$K$29,5,FALSE)*U272,0)*(1+$E$9)</f>
        <v>0</v>
      </c>
      <c r="AX272" s="107">
        <f>_xlfn.IFNA($M272/VLOOKUP($BU272,'Unit information'!$A$2:$K$29,6,FALSE)*V272,0)*(1+$E$9)</f>
        <v>0</v>
      </c>
      <c r="AY272" s="107">
        <f>_xlfn.IFNA($M272/VLOOKUP($BU272,'Unit information'!$A$2:$K$29,7,FALSE)*W272,0)*(1+$E$9)</f>
        <v>0</v>
      </c>
      <c r="AZ272" s="107">
        <f>_xlfn.IFNA($M272/VLOOKUP($BU272,'Unit information'!$A$2:$K$29,8,FALSE)*X272,0)*(1+$E$9)</f>
        <v>0</v>
      </c>
      <c r="BA272" s="107">
        <f>_xlfn.IFNA($M272/VLOOKUP($BU272,'Unit information'!$A$2:$K$29,9,FALSE)*Y272,0)*(1+$E$9)</f>
        <v>0</v>
      </c>
      <c r="BB272" s="107">
        <f>_xlfn.IFNA($M272/VLOOKUP($BV272,'Unit information'!$A$2:$K$29,10,FALSE)*Z272,0)*(1+$E$9)</f>
        <v>0</v>
      </c>
      <c r="BC272" s="108">
        <f>_xlfn.IFNA($M272/VLOOKUP($BV272,'Unit information'!$A$2:$K$29,11,FALSE)*AA272,0)*(1+$E$9)</f>
        <v>0</v>
      </c>
      <c r="BD272" s="106">
        <f t="shared" si="384"/>
        <v>0</v>
      </c>
      <c r="BE272" s="107">
        <f t="shared" si="385"/>
        <v>0</v>
      </c>
      <c r="BF272" s="108">
        <f t="shared" si="386"/>
        <v>0</v>
      </c>
      <c r="BG272" s="25" t="e">
        <f t="shared" si="387"/>
        <v>#N/A</v>
      </c>
      <c r="BH272" s="25" t="e">
        <f t="shared" si="388"/>
        <v>#N/A</v>
      </c>
      <c r="BI272" s="25" t="e">
        <f t="shared" si="389"/>
        <v>#N/A</v>
      </c>
      <c r="BJ272" s="27" t="e">
        <f t="shared" si="390"/>
        <v>#N/A</v>
      </c>
      <c r="BK272" s="18" t="e">
        <f t="shared" si="391"/>
        <v>#N/A</v>
      </c>
      <c r="BL272" s="18" t="e">
        <f t="shared" si="392"/>
        <v>#N/A</v>
      </c>
      <c r="BM272" s="28" t="e">
        <f t="shared" si="347"/>
        <v>#N/A</v>
      </c>
      <c r="BN272" s="33">
        <f>HLOOKUP("maximum population",Miscelaneous!$C$1:$C$33,CH272+3,FALSE)</f>
        <v>240</v>
      </c>
      <c r="BO272" s="14">
        <f t="shared" ref="BO272:BO335" si="403">SUM(CN273:DH273)</f>
        <v>32</v>
      </c>
      <c r="BP272" s="14">
        <f t="shared" ref="BP272:BP335" si="404">SUM(DI272:DL272)+DM272*2+DN272*4+DO272*5+DP272*6+DQ272*5+DR272*8</f>
        <v>0</v>
      </c>
      <c r="BQ272" s="14">
        <f t="shared" ref="BQ272:BQ335" si="405">BN272-BO272-BP272</f>
        <v>208</v>
      </c>
      <c r="BR272" s="34" t="e">
        <f>HLOOKUP(J272,Villagers!$B$1:$V$33,L272+3,FALSE)-HLOOKUP(J272,Villagers!$B$1:$V$33,L272+2,FALSE)</f>
        <v>#N/A</v>
      </c>
      <c r="BS272" s="49">
        <f t="shared" ref="BS272:BS335" si="406">IF($J271=BS$14,$L271,BS271)</f>
        <v>1</v>
      </c>
      <c r="BT272" s="50">
        <f t="shared" ref="BT272:BT335" si="407">IF($J271=BT$14,$L271,BT271)</f>
        <v>0</v>
      </c>
      <c r="BU272" s="50">
        <f t="shared" ref="BU272:BU335" si="408">IF($J271=BU$14,$L271,BU271)</f>
        <v>0</v>
      </c>
      <c r="BV272" s="50">
        <f t="shared" ref="BV272:BV335" si="409">IF($J271=BV$14,$L271,BV271)</f>
        <v>0</v>
      </c>
      <c r="BW272" s="50">
        <f t="shared" ref="BW272:BY278" si="410">IF($J271=BW$14,$L271,BW271)</f>
        <v>0</v>
      </c>
      <c r="BX272" s="50">
        <f t="shared" si="410"/>
        <v>0</v>
      </c>
      <c r="BY272" s="50">
        <f t="shared" si="410"/>
        <v>0</v>
      </c>
      <c r="BZ272" s="50">
        <f t="shared" si="350"/>
        <v>0</v>
      </c>
      <c r="CA272" s="50">
        <f t="shared" si="351"/>
        <v>0</v>
      </c>
      <c r="CB272" s="50">
        <f t="shared" si="352"/>
        <v>1</v>
      </c>
      <c r="CC272" s="50">
        <f t="shared" si="353"/>
        <v>0</v>
      </c>
      <c r="CD272" s="50">
        <f t="shared" si="354"/>
        <v>0</v>
      </c>
      <c r="CE272" s="50">
        <f t="shared" si="355"/>
        <v>1</v>
      </c>
      <c r="CF272" s="50">
        <f t="shared" si="356"/>
        <v>1</v>
      </c>
      <c r="CG272" s="50">
        <f t="shared" si="357"/>
        <v>1</v>
      </c>
      <c r="CH272" s="50">
        <f t="shared" si="358"/>
        <v>1</v>
      </c>
      <c r="CI272" s="50">
        <f t="shared" si="359"/>
        <v>1</v>
      </c>
      <c r="CJ272" s="50">
        <f t="shared" si="360"/>
        <v>1</v>
      </c>
      <c r="CK272" s="50">
        <f t="shared" si="360"/>
        <v>0</v>
      </c>
      <c r="CL272" s="50">
        <f t="shared" si="360"/>
        <v>0</v>
      </c>
      <c r="CM272" s="51">
        <f t="shared" si="368"/>
        <v>0</v>
      </c>
      <c r="CN272" s="33">
        <f>ROUND(IF(BS272=0,0,HLOOKUP(BS$14,Villagers!$B$1:$V$33,BS272+3,FALSE)),)</f>
        <v>5</v>
      </c>
      <c r="CO272" s="14">
        <f>ROUND(IF(BT272=0,0,HLOOKUP(BT$14,Villagers!$B$1:$V$33,BT272+3,FALSE)),)</f>
        <v>0</v>
      </c>
      <c r="CP272" s="14">
        <f>ROUND(IF(BU272=0,0,HLOOKUP(BU$14,Villagers!$B$1:$V$33,BU272+3,FALSE)),)</f>
        <v>0</v>
      </c>
      <c r="CQ272" s="14">
        <f>ROUND(IF(BV272=0,0,HLOOKUP(BV$14,Villagers!$B$1:$V$33,BV272+3,FALSE)),)</f>
        <v>0</v>
      </c>
      <c r="CR272" s="14">
        <f>ROUND(IF(BW272=0,0,HLOOKUP(BW$14,Villagers!$B$1:$V$33,BW272+3,FALSE)),)</f>
        <v>0</v>
      </c>
      <c r="CS272" s="14">
        <f>ROUND(IF(BX272=0,0,HLOOKUP(BX$14,Villagers!$B$1:$V$33,BX272+3,FALSE)),)</f>
        <v>0</v>
      </c>
      <c r="CT272" s="14">
        <f>ROUND(IF(BY272=0,0,HLOOKUP(BY$14,Villagers!$B$1:$V$33,BY272+3,FALSE)),)</f>
        <v>0</v>
      </c>
      <c r="CU272" s="14">
        <f>ROUND(IF(BZ272=0,0,HLOOKUP(BZ$14,Villagers!$B$1:$V$33,BZ272+3,FALSE)),)</f>
        <v>0</v>
      </c>
      <c r="CV272" s="14">
        <f>ROUND(IF(CA272=0,0,HLOOKUP(CA$14,Villagers!$B$1:$V$33,CA272+3,FALSE)),)</f>
        <v>0</v>
      </c>
      <c r="CW272" s="14">
        <f>ROUND(IF(CB272=0,0,HLOOKUP(CB$14,Villagers!$B$1:$V$33,CB272+3,FALSE)),)</f>
        <v>0</v>
      </c>
      <c r="CX272" s="14">
        <f>ROUND(IF(CC272=0,0,HLOOKUP(CC$14,Villagers!$B$1:$V$33,CC272+3,FALSE)),)</f>
        <v>0</v>
      </c>
      <c r="CY272" s="14">
        <f>ROUND(IF(CD272=0,0,HLOOKUP(CD$14,Villagers!$B$1:$V$33,CD272+3,FALSE)),)</f>
        <v>0</v>
      </c>
      <c r="CZ272" s="14">
        <f>ROUND(IF(CE272=0,0,HLOOKUP(CE$14,Villagers!$B$1:$V$33,CE272+3,FALSE)),)</f>
        <v>5</v>
      </c>
      <c r="DA272" s="14">
        <f>ROUND(IF(CF272=0,0,HLOOKUP(CF$14,Villagers!$B$1:$V$33,CF272+3,FALSE)),)</f>
        <v>10</v>
      </c>
      <c r="DB272" s="14">
        <f>ROUND(IF(CG272=0,0,HLOOKUP(CG$14,Villagers!$B$1:$V$33,CG272+3,FALSE)),)</f>
        <v>10</v>
      </c>
      <c r="DC272" s="14">
        <f>ROUND(IF(CH272=0,0,HLOOKUP(CH$14,Villagers!$B$1:$V$33,CH272+3,FALSE)),)</f>
        <v>0</v>
      </c>
      <c r="DD272" s="14">
        <f>ROUND(IF(CI272=0,0,HLOOKUP(CI$14,Villagers!$B$1:$V$33,CI272+3,FALSE)),)</f>
        <v>0</v>
      </c>
      <c r="DE272" s="14">
        <f>ROUND(IF(CJ272=0,0,HLOOKUP(CJ$14,Villagers!$B$1:$V$33,CJ272+3,FALSE)),)</f>
        <v>2</v>
      </c>
      <c r="DF272" s="370">
        <f>ROUND(IF(CK272=0,0,HLOOKUP(CK$14,Villagers!$B$1:$V$33,CK272+3,FALSE)),)</f>
        <v>0</v>
      </c>
      <c r="DG272" s="370">
        <f>ROUND(IF(CL272=0,0,HLOOKUP(CL$14,Villagers!$B$1:$V$33,CL272+3,FALSE)),)</f>
        <v>0</v>
      </c>
      <c r="DH272" s="34">
        <f>ROUND(IF(CM272=0,0,HLOOKUP(CM$14,Villagers!$B$1:$V$33,CM272+3,FALSE)),)</f>
        <v>0</v>
      </c>
      <c r="DI272" s="109">
        <f t="shared" si="336"/>
        <v>0</v>
      </c>
      <c r="DJ272" s="50">
        <f t="shared" si="337"/>
        <v>0</v>
      </c>
      <c r="DK272" s="50">
        <f t="shared" si="338"/>
        <v>0</v>
      </c>
      <c r="DL272" s="50">
        <f t="shared" si="339"/>
        <v>0</v>
      </c>
      <c r="DM272" s="50">
        <f t="shared" si="340"/>
        <v>0</v>
      </c>
      <c r="DN272" s="50">
        <f t="shared" si="341"/>
        <v>0</v>
      </c>
      <c r="DO272" s="50">
        <f t="shared" si="342"/>
        <v>0</v>
      </c>
      <c r="DP272" s="50">
        <f t="shared" si="343"/>
        <v>0</v>
      </c>
      <c r="DQ272" s="50">
        <f t="shared" ref="DQ272:DQ335" si="411">ROUND(_xlfn.IFNA(DQ271+BB272,DQ271),0)</f>
        <v>0</v>
      </c>
      <c r="DR272" s="50">
        <f t="shared" ref="DR272:DR335" si="412">ROUND(_xlfn.IFNA(DR271+BC272,DR271),0)</f>
        <v>0</v>
      </c>
      <c r="DS272" s="96">
        <f>Miscelaneous!$D$4*Miscelaneous!$D$2^($CI272-1)</f>
        <v>1000</v>
      </c>
      <c r="DT272" s="333">
        <f t="shared" si="393"/>
        <v>1</v>
      </c>
      <c r="DU272" s="81">
        <v>1</v>
      </c>
      <c r="DV272" s="79">
        <f t="shared" ref="DV272:DV335" si="413">IF(BS272&gt;2,1,0)</f>
        <v>0</v>
      </c>
      <c r="DW272" s="79">
        <f t="shared" ref="DW272:DW335" si="414">IF(AND(BS272&gt;9,CA272&gt;4,BT272&gt;4)=TRUE,1,0)</f>
        <v>0</v>
      </c>
      <c r="DX272" s="79">
        <f t="shared" ref="DX272:DX335" si="415">IF(AND(BS272&gt;9,CA272&gt;9)=TRUE,1,0)</f>
        <v>0</v>
      </c>
      <c r="DY272" s="79">
        <v>1</v>
      </c>
      <c r="DZ272" s="79">
        <f t="shared" ref="DZ272:DZ335" si="416">IF(AND(BS272&gt;4,CH272&gt;4),1,0)</f>
        <v>0</v>
      </c>
      <c r="EA272" s="79">
        <f t="shared" ref="EA272:EA335" si="417">IF(AND(BS272&gt;4,CH272&gt;4),1,0)</f>
        <v>0</v>
      </c>
      <c r="EB272" s="79">
        <f t="shared" ref="EB272:EB335" si="418">IF(AND(BS272&gt;19,CA272&gt;19,CD272&gt;9)=TRUE,1,0)</f>
        <v>0</v>
      </c>
      <c r="EC272" s="79">
        <f t="shared" ref="EC272:EC335" si="419">IF(AND(BS272&gt;4,BT272&gt;0)=TRUE,1,0)</f>
        <v>0</v>
      </c>
      <c r="ED272" s="79">
        <v>1</v>
      </c>
      <c r="EE272" s="79">
        <v>1</v>
      </c>
      <c r="EF272" s="79">
        <f t="shared" ref="EF272:EF335" si="420">IF(AND(BS272&gt;2,CI272&gt;1),1,0)</f>
        <v>0</v>
      </c>
      <c r="EG272" s="79">
        <v>1</v>
      </c>
      <c r="EH272" s="79">
        <v>1</v>
      </c>
      <c r="EI272" s="79">
        <v>1</v>
      </c>
      <c r="EJ272" s="79">
        <v>1</v>
      </c>
      <c r="EK272" s="79">
        <v>1</v>
      </c>
      <c r="EL272" s="79">
        <v>1</v>
      </c>
      <c r="EM272" s="143">
        <f t="shared" ref="EM272:EM335" si="421">IF(CL272&gt;0,1,0)</f>
        <v>0</v>
      </c>
      <c r="EN272" s="143">
        <f t="shared" ref="EN272:EN335" si="422">IF(BZ272&gt;0,1,0)</f>
        <v>0</v>
      </c>
      <c r="EO272" s="82">
        <f t="shared" ref="EO272:EO335" si="423">IF(BT272&gt;0,1,0)</f>
        <v>0</v>
      </c>
    </row>
    <row r="273" spans="1:145" x14ac:dyDescent="0.25">
      <c r="A273">
        <v>259</v>
      </c>
      <c r="B273" s="172" t="e">
        <f t="shared" si="394"/>
        <v>#N/A</v>
      </c>
      <c r="C273" s="121" t="e">
        <f t="shared" si="373"/>
        <v>#N/A</v>
      </c>
      <c r="D273" s="122" t="e">
        <f t="shared" si="374"/>
        <v>#N/A</v>
      </c>
      <c r="E273" s="122" t="e">
        <f t="shared" si="375"/>
        <v>#N/A</v>
      </c>
      <c r="F273" s="176" t="e">
        <f t="shared" si="376"/>
        <v>#N/A</v>
      </c>
      <c r="G273" s="121">
        <f t="shared" si="395"/>
        <v>208</v>
      </c>
      <c r="H273" s="176" t="e">
        <f t="shared" si="396"/>
        <v>#N/A</v>
      </c>
      <c r="I273" s="48">
        <v>1</v>
      </c>
      <c r="J273" s="39"/>
      <c r="K273" s="350">
        <v>1</v>
      </c>
      <c r="L273" s="34" t="e">
        <f t="shared" si="377"/>
        <v>#N/A</v>
      </c>
      <c r="M273" s="38" t="e">
        <f>(HLOOKUP(J273,'Construction Times'!$B$3:$W$34,L273+2,FALSE)*HLOOKUP("hq modifier",'Construction Times'!$W$3:$W$34,BS273+2,FALSE))*(1-$H$9)</f>
        <v>#N/A</v>
      </c>
      <c r="N273" s="443" t="e">
        <f t="shared" si="397"/>
        <v>#N/A</v>
      </c>
      <c r="O273" s="444"/>
      <c r="P273" s="447" t="e">
        <f t="shared" si="398"/>
        <v>#N/A</v>
      </c>
      <c r="Q273" s="448"/>
      <c r="R273" s="103">
        <f t="shared" ref="R273:S336" si="424">R272</f>
        <v>0</v>
      </c>
      <c r="S273" s="104">
        <f t="shared" si="424"/>
        <v>0</v>
      </c>
      <c r="T273" s="104">
        <f t="shared" ref="T273:W336" si="425">T272</f>
        <v>0</v>
      </c>
      <c r="U273" s="104">
        <f t="shared" si="425"/>
        <v>0</v>
      </c>
      <c r="V273" s="104">
        <f t="shared" si="425"/>
        <v>9.9999999999999995E-8</v>
      </c>
      <c r="W273" s="104">
        <f t="shared" si="425"/>
        <v>0</v>
      </c>
      <c r="X273" s="104">
        <f t="shared" si="365"/>
        <v>0</v>
      </c>
      <c r="Y273" s="104">
        <f t="shared" si="365"/>
        <v>9.9999999999999995E-8</v>
      </c>
      <c r="Z273" s="104">
        <f t="shared" si="365"/>
        <v>9.9999999999999995E-8</v>
      </c>
      <c r="AA273" s="105">
        <f t="shared" si="365"/>
        <v>9.9999999999999995E-8</v>
      </c>
      <c r="AB273" s="101" t="e">
        <f>$DT273*HLOOKUP($J273,'Construction Costs (timber)'!$B$1:$V$32,'Construction Planner'!$L273+2,FALSE)</f>
        <v>#N/A</v>
      </c>
      <c r="AC273" s="14" t="e">
        <f>$DT273*HLOOKUP($J273,'Construction Costs (clay)'!$B$1:$V$32,'Construction Planner'!$L273+2,FALSE)</f>
        <v>#N/A</v>
      </c>
      <c r="AD273" s="14" t="e">
        <f>$DT273*HLOOKUP($J273,'Construction Costs (iron)'!$B$1:$V$32,'Construction Planner'!$L273+2,FALSE)</f>
        <v>#N/A</v>
      </c>
      <c r="AE273" s="34" t="e">
        <f t="shared" si="344"/>
        <v>#N/A</v>
      </c>
      <c r="AF273" s="33" t="e">
        <f t="shared" si="378"/>
        <v>#N/A</v>
      </c>
      <c r="AG273" s="14" t="e">
        <f t="shared" si="379"/>
        <v>#N/A</v>
      </c>
      <c r="AH273" s="14" t="e">
        <f t="shared" si="380"/>
        <v>#N/A</v>
      </c>
      <c r="AI273" s="34" t="e">
        <f t="shared" si="345"/>
        <v>#N/A</v>
      </c>
      <c r="AJ273" s="49" t="e">
        <f t="shared" si="399"/>
        <v>#N/A</v>
      </c>
      <c r="AK273" s="49" t="e">
        <f t="shared" si="400"/>
        <v>#N/A</v>
      </c>
      <c r="AL273" s="49" t="e">
        <f t="shared" si="401"/>
        <v>#N/A</v>
      </c>
      <c r="AM273" s="25">
        <f t="shared" si="381"/>
        <v>30</v>
      </c>
      <c r="AN273" s="25">
        <f t="shared" si="382"/>
        <v>30</v>
      </c>
      <c r="AO273" s="25">
        <f t="shared" si="383"/>
        <v>30</v>
      </c>
      <c r="AP273" s="52" t="e">
        <f t="shared" si="402"/>
        <v>#N/A</v>
      </c>
      <c r="AQ273" s="53" t="e">
        <f t="shared" si="402"/>
        <v>#N/A</v>
      </c>
      <c r="AR273" s="54" t="e">
        <f t="shared" si="402"/>
        <v>#N/A</v>
      </c>
      <c r="AS273" s="316">
        <f t="shared" si="370"/>
        <v>0</v>
      </c>
      <c r="AT273" s="106">
        <f>_xlfn.IFNA($M273/VLOOKUP($BT273,'Unit information'!$A$2:$K$29,2,FALSE)*R273,0)*(1+$E$9)</f>
        <v>0</v>
      </c>
      <c r="AU273" s="107">
        <f>_xlfn.IFNA($M273/VLOOKUP($BT273,'Unit information'!$A$2:$K$29,3,FALSE)*S273,0)*(1+$E$9)</f>
        <v>0</v>
      </c>
      <c r="AV273" s="107">
        <f>_xlfn.IFNA($M273/VLOOKUP($BT273,'Unit information'!$A$2:$K$29,4,FALSE)*T273,0)*(1+$E$9)</f>
        <v>0</v>
      </c>
      <c r="AW273" s="107">
        <f>_xlfn.IFNA($M273/VLOOKUP($BT273,'Unit information'!$A$2:$K$29,5,FALSE)*U273,0)*(1+$E$9)</f>
        <v>0</v>
      </c>
      <c r="AX273" s="107">
        <f>_xlfn.IFNA($M273/VLOOKUP($BU273,'Unit information'!$A$2:$K$29,6,FALSE)*V273,0)*(1+$E$9)</f>
        <v>0</v>
      </c>
      <c r="AY273" s="107">
        <f>_xlfn.IFNA($M273/VLOOKUP($BU273,'Unit information'!$A$2:$K$29,7,FALSE)*W273,0)*(1+$E$9)</f>
        <v>0</v>
      </c>
      <c r="AZ273" s="107">
        <f>_xlfn.IFNA($M273/VLOOKUP($BU273,'Unit information'!$A$2:$K$29,8,FALSE)*X273,0)*(1+$E$9)</f>
        <v>0</v>
      </c>
      <c r="BA273" s="107">
        <f>_xlfn.IFNA($M273/VLOOKUP($BU273,'Unit information'!$A$2:$K$29,9,FALSE)*Y273,0)*(1+$E$9)</f>
        <v>0</v>
      </c>
      <c r="BB273" s="107">
        <f>_xlfn.IFNA($M273/VLOOKUP($BV273,'Unit information'!$A$2:$K$29,10,FALSE)*Z273,0)*(1+$E$9)</f>
        <v>0</v>
      </c>
      <c r="BC273" s="108">
        <f>_xlfn.IFNA($M273/VLOOKUP($BV273,'Unit information'!$A$2:$K$29,11,FALSE)*AA273,0)*(1+$E$9)</f>
        <v>0</v>
      </c>
      <c r="BD273" s="106">
        <f t="shared" si="384"/>
        <v>0</v>
      </c>
      <c r="BE273" s="107">
        <f t="shared" si="385"/>
        <v>0</v>
      </c>
      <c r="BF273" s="108">
        <f t="shared" si="386"/>
        <v>0</v>
      </c>
      <c r="BG273" s="25" t="e">
        <f t="shared" si="387"/>
        <v>#N/A</v>
      </c>
      <c r="BH273" s="25" t="e">
        <f t="shared" si="388"/>
        <v>#N/A</v>
      </c>
      <c r="BI273" s="25" t="e">
        <f t="shared" si="389"/>
        <v>#N/A</v>
      </c>
      <c r="BJ273" s="27" t="e">
        <f t="shared" si="390"/>
        <v>#N/A</v>
      </c>
      <c r="BK273" s="18" t="e">
        <f t="shared" si="391"/>
        <v>#N/A</v>
      </c>
      <c r="BL273" s="18" t="e">
        <f t="shared" si="392"/>
        <v>#N/A</v>
      </c>
      <c r="BM273" s="28" t="e">
        <f t="shared" si="347"/>
        <v>#N/A</v>
      </c>
      <c r="BN273" s="33">
        <f>HLOOKUP("maximum population",Miscelaneous!$C$1:$C$33,CH273+3,FALSE)</f>
        <v>240</v>
      </c>
      <c r="BO273" s="14">
        <f t="shared" si="403"/>
        <v>32</v>
      </c>
      <c r="BP273" s="14">
        <f t="shared" si="404"/>
        <v>0</v>
      </c>
      <c r="BQ273" s="14">
        <f t="shared" si="405"/>
        <v>208</v>
      </c>
      <c r="BR273" s="34" t="e">
        <f>HLOOKUP(J273,Villagers!$B$1:$V$33,L273+3,FALSE)-HLOOKUP(J273,Villagers!$B$1:$V$33,L273+2,FALSE)</f>
        <v>#N/A</v>
      </c>
      <c r="BS273" s="49">
        <f t="shared" si="406"/>
        <v>1</v>
      </c>
      <c r="BT273" s="50">
        <f t="shared" si="407"/>
        <v>0</v>
      </c>
      <c r="BU273" s="50">
        <f t="shared" si="408"/>
        <v>0</v>
      </c>
      <c r="BV273" s="50">
        <f t="shared" si="409"/>
        <v>0</v>
      </c>
      <c r="BW273" s="50">
        <f t="shared" si="410"/>
        <v>0</v>
      </c>
      <c r="BX273" s="50">
        <f t="shared" si="410"/>
        <v>0</v>
      </c>
      <c r="BY273" s="50">
        <f t="shared" si="410"/>
        <v>0</v>
      </c>
      <c r="BZ273" s="50">
        <f t="shared" si="350"/>
        <v>0</v>
      </c>
      <c r="CA273" s="50">
        <f t="shared" si="351"/>
        <v>0</v>
      </c>
      <c r="CB273" s="50">
        <f t="shared" si="352"/>
        <v>1</v>
      </c>
      <c r="CC273" s="50">
        <f t="shared" si="353"/>
        <v>0</v>
      </c>
      <c r="CD273" s="50">
        <f t="shared" si="354"/>
        <v>0</v>
      </c>
      <c r="CE273" s="50">
        <f t="shared" si="355"/>
        <v>1</v>
      </c>
      <c r="CF273" s="50">
        <f t="shared" si="356"/>
        <v>1</v>
      </c>
      <c r="CG273" s="50">
        <f t="shared" si="357"/>
        <v>1</v>
      </c>
      <c r="CH273" s="50">
        <f t="shared" si="358"/>
        <v>1</v>
      </c>
      <c r="CI273" s="50">
        <f t="shared" si="359"/>
        <v>1</v>
      </c>
      <c r="CJ273" s="50">
        <f t="shared" si="360"/>
        <v>1</v>
      </c>
      <c r="CK273" s="50">
        <f t="shared" si="360"/>
        <v>0</v>
      </c>
      <c r="CL273" s="50">
        <f t="shared" si="360"/>
        <v>0</v>
      </c>
      <c r="CM273" s="51">
        <f t="shared" si="368"/>
        <v>0</v>
      </c>
      <c r="CN273" s="33">
        <f>ROUND(IF(BS273=0,0,HLOOKUP(BS$14,Villagers!$B$1:$V$33,BS273+3,FALSE)),)</f>
        <v>5</v>
      </c>
      <c r="CO273" s="14">
        <f>ROUND(IF(BT273=0,0,HLOOKUP(BT$14,Villagers!$B$1:$V$33,BT273+3,FALSE)),)</f>
        <v>0</v>
      </c>
      <c r="CP273" s="14">
        <f>ROUND(IF(BU273=0,0,HLOOKUP(BU$14,Villagers!$B$1:$V$33,BU273+3,FALSE)),)</f>
        <v>0</v>
      </c>
      <c r="CQ273" s="14">
        <f>ROUND(IF(BV273=0,0,HLOOKUP(BV$14,Villagers!$B$1:$V$33,BV273+3,FALSE)),)</f>
        <v>0</v>
      </c>
      <c r="CR273" s="14">
        <f>ROUND(IF(BW273=0,0,HLOOKUP(BW$14,Villagers!$B$1:$V$33,BW273+3,FALSE)),)</f>
        <v>0</v>
      </c>
      <c r="CS273" s="14">
        <f>ROUND(IF(BX273=0,0,HLOOKUP(BX$14,Villagers!$B$1:$V$33,BX273+3,FALSE)),)</f>
        <v>0</v>
      </c>
      <c r="CT273" s="14">
        <f>ROUND(IF(BY273=0,0,HLOOKUP(BY$14,Villagers!$B$1:$V$33,BY273+3,FALSE)),)</f>
        <v>0</v>
      </c>
      <c r="CU273" s="14">
        <f>ROUND(IF(BZ273=0,0,HLOOKUP(BZ$14,Villagers!$B$1:$V$33,BZ273+3,FALSE)),)</f>
        <v>0</v>
      </c>
      <c r="CV273" s="14">
        <f>ROUND(IF(CA273=0,0,HLOOKUP(CA$14,Villagers!$B$1:$V$33,CA273+3,FALSE)),)</f>
        <v>0</v>
      </c>
      <c r="CW273" s="14">
        <f>ROUND(IF(CB273=0,0,HLOOKUP(CB$14,Villagers!$B$1:$V$33,CB273+3,FALSE)),)</f>
        <v>0</v>
      </c>
      <c r="CX273" s="14">
        <f>ROUND(IF(CC273=0,0,HLOOKUP(CC$14,Villagers!$B$1:$V$33,CC273+3,FALSE)),)</f>
        <v>0</v>
      </c>
      <c r="CY273" s="14">
        <f>ROUND(IF(CD273=0,0,HLOOKUP(CD$14,Villagers!$B$1:$V$33,CD273+3,FALSE)),)</f>
        <v>0</v>
      </c>
      <c r="CZ273" s="14">
        <f>ROUND(IF(CE273=0,0,HLOOKUP(CE$14,Villagers!$B$1:$V$33,CE273+3,FALSE)),)</f>
        <v>5</v>
      </c>
      <c r="DA273" s="14">
        <f>ROUND(IF(CF273=0,0,HLOOKUP(CF$14,Villagers!$B$1:$V$33,CF273+3,FALSE)),)</f>
        <v>10</v>
      </c>
      <c r="DB273" s="14">
        <f>ROUND(IF(CG273=0,0,HLOOKUP(CG$14,Villagers!$B$1:$V$33,CG273+3,FALSE)),)</f>
        <v>10</v>
      </c>
      <c r="DC273" s="14">
        <f>ROUND(IF(CH273=0,0,HLOOKUP(CH$14,Villagers!$B$1:$V$33,CH273+3,FALSE)),)</f>
        <v>0</v>
      </c>
      <c r="DD273" s="14">
        <f>ROUND(IF(CI273=0,0,HLOOKUP(CI$14,Villagers!$B$1:$V$33,CI273+3,FALSE)),)</f>
        <v>0</v>
      </c>
      <c r="DE273" s="14">
        <f>ROUND(IF(CJ273=0,0,HLOOKUP(CJ$14,Villagers!$B$1:$V$33,CJ273+3,FALSE)),)</f>
        <v>2</v>
      </c>
      <c r="DF273" s="370">
        <f>ROUND(IF(CK273=0,0,HLOOKUP(CK$14,Villagers!$B$1:$V$33,CK273+3,FALSE)),)</f>
        <v>0</v>
      </c>
      <c r="DG273" s="370">
        <f>ROUND(IF(CL273=0,0,HLOOKUP(CL$14,Villagers!$B$1:$V$33,CL273+3,FALSE)),)</f>
        <v>0</v>
      </c>
      <c r="DH273" s="34">
        <f>ROUND(IF(CM273=0,0,HLOOKUP(CM$14,Villagers!$B$1:$V$33,CM273+3,FALSE)),)</f>
        <v>0</v>
      </c>
      <c r="DI273" s="109">
        <f t="shared" ref="DI273:DI336" si="426">ROUND(_xlfn.IFNA(DI272+AT273,DI272),0)</f>
        <v>0</v>
      </c>
      <c r="DJ273" s="50">
        <f t="shared" ref="DJ273:DJ336" si="427">ROUND(_xlfn.IFNA(DJ272+AU273,DJ272),0)</f>
        <v>0</v>
      </c>
      <c r="DK273" s="50">
        <f t="shared" ref="DK273:DK336" si="428">ROUND(_xlfn.IFNA(DK272+AV273,DK272),0)</f>
        <v>0</v>
      </c>
      <c r="DL273" s="50">
        <f t="shared" ref="DL273:DL336" si="429">ROUND(_xlfn.IFNA(DL272+AW273,DL272),0)</f>
        <v>0</v>
      </c>
      <c r="DM273" s="50">
        <f t="shared" ref="DM273:DM336" si="430">ROUND(_xlfn.IFNA(DM272+AX273,DM272),0)</f>
        <v>0</v>
      </c>
      <c r="DN273" s="50">
        <f t="shared" ref="DN273:DN336" si="431">ROUND(_xlfn.IFNA(DN272+AY273,DN272),0)</f>
        <v>0</v>
      </c>
      <c r="DO273" s="50">
        <f t="shared" ref="DO273:DO336" si="432">ROUND(_xlfn.IFNA(DO272+AZ273,DO272),0)</f>
        <v>0</v>
      </c>
      <c r="DP273" s="50">
        <f t="shared" ref="DP273:DP336" si="433">ROUND(_xlfn.IFNA(DP272+BA273,DP272),0)</f>
        <v>0</v>
      </c>
      <c r="DQ273" s="50">
        <f t="shared" si="411"/>
        <v>0</v>
      </c>
      <c r="DR273" s="50">
        <f t="shared" si="412"/>
        <v>0</v>
      </c>
      <c r="DS273" s="96">
        <f>Miscelaneous!$D$4*Miscelaneous!$D$2^($CI273-1)</f>
        <v>1000</v>
      </c>
      <c r="DT273" s="333">
        <f t="shared" si="393"/>
        <v>1</v>
      </c>
      <c r="DU273" s="81">
        <v>1</v>
      </c>
      <c r="DV273" s="79">
        <f t="shared" si="413"/>
        <v>0</v>
      </c>
      <c r="DW273" s="79">
        <f t="shared" si="414"/>
        <v>0</v>
      </c>
      <c r="DX273" s="79">
        <f t="shared" si="415"/>
        <v>0</v>
      </c>
      <c r="DY273" s="79">
        <v>1</v>
      </c>
      <c r="DZ273" s="79">
        <f t="shared" si="416"/>
        <v>0</v>
      </c>
      <c r="EA273" s="79">
        <f t="shared" si="417"/>
        <v>0</v>
      </c>
      <c r="EB273" s="79">
        <f t="shared" si="418"/>
        <v>0</v>
      </c>
      <c r="EC273" s="79">
        <f t="shared" si="419"/>
        <v>0</v>
      </c>
      <c r="ED273" s="79">
        <v>1</v>
      </c>
      <c r="EE273" s="79">
        <v>1</v>
      </c>
      <c r="EF273" s="79">
        <f t="shared" si="420"/>
        <v>0</v>
      </c>
      <c r="EG273" s="79">
        <v>1</v>
      </c>
      <c r="EH273" s="79">
        <v>1</v>
      </c>
      <c r="EI273" s="79">
        <v>1</v>
      </c>
      <c r="EJ273" s="79">
        <v>1</v>
      </c>
      <c r="EK273" s="79">
        <v>1</v>
      </c>
      <c r="EL273" s="79">
        <v>1</v>
      </c>
      <c r="EM273" s="143">
        <f t="shared" si="421"/>
        <v>0</v>
      </c>
      <c r="EN273" s="143">
        <f t="shared" si="422"/>
        <v>0</v>
      </c>
      <c r="EO273" s="82">
        <f t="shared" si="423"/>
        <v>0</v>
      </c>
    </row>
    <row r="274" spans="1:145" x14ac:dyDescent="0.25">
      <c r="A274">
        <v>260</v>
      </c>
      <c r="B274" s="172" t="e">
        <f t="shared" si="394"/>
        <v>#N/A</v>
      </c>
      <c r="C274" s="121" t="e">
        <f t="shared" si="373"/>
        <v>#N/A</v>
      </c>
      <c r="D274" s="122" t="e">
        <f t="shared" si="374"/>
        <v>#N/A</v>
      </c>
      <c r="E274" s="122" t="e">
        <f t="shared" si="375"/>
        <v>#N/A</v>
      </c>
      <c r="F274" s="176" t="e">
        <f t="shared" si="376"/>
        <v>#N/A</v>
      </c>
      <c r="G274" s="121">
        <f t="shared" si="395"/>
        <v>208</v>
      </c>
      <c r="H274" s="176" t="e">
        <f t="shared" si="396"/>
        <v>#N/A</v>
      </c>
      <c r="I274" s="48">
        <v>1</v>
      </c>
      <c r="J274" s="39"/>
      <c r="K274" s="350">
        <v>1</v>
      </c>
      <c r="L274" s="34" t="e">
        <f t="shared" si="377"/>
        <v>#N/A</v>
      </c>
      <c r="M274" s="38" t="e">
        <f>(HLOOKUP(J274,'Construction Times'!$B$3:$W$34,L274+2,FALSE)*HLOOKUP("hq modifier",'Construction Times'!$W$3:$W$34,BS274+2,FALSE))*(1-$H$9)</f>
        <v>#N/A</v>
      </c>
      <c r="N274" s="443" t="e">
        <f t="shared" si="397"/>
        <v>#N/A</v>
      </c>
      <c r="O274" s="444"/>
      <c r="P274" s="447" t="e">
        <f t="shared" si="398"/>
        <v>#N/A</v>
      </c>
      <c r="Q274" s="448"/>
      <c r="R274" s="103">
        <f t="shared" si="424"/>
        <v>0</v>
      </c>
      <c r="S274" s="104">
        <f t="shared" si="424"/>
        <v>0</v>
      </c>
      <c r="T274" s="104">
        <f t="shared" si="425"/>
        <v>0</v>
      </c>
      <c r="U274" s="104">
        <f t="shared" si="425"/>
        <v>0</v>
      </c>
      <c r="V274" s="104">
        <f t="shared" si="425"/>
        <v>9.9999999999999995E-8</v>
      </c>
      <c r="W274" s="104">
        <f t="shared" si="425"/>
        <v>0</v>
      </c>
      <c r="X274" s="104">
        <f t="shared" si="365"/>
        <v>0</v>
      </c>
      <c r="Y274" s="104">
        <f t="shared" si="365"/>
        <v>9.9999999999999995E-8</v>
      </c>
      <c r="Z274" s="104">
        <f t="shared" si="365"/>
        <v>9.9999999999999995E-8</v>
      </c>
      <c r="AA274" s="105">
        <f t="shared" si="365"/>
        <v>9.9999999999999995E-8</v>
      </c>
      <c r="AB274" s="101" t="e">
        <f>$DT274*HLOOKUP($J274,'Construction Costs (timber)'!$B$1:$V$32,'Construction Planner'!$L274+2,FALSE)</f>
        <v>#N/A</v>
      </c>
      <c r="AC274" s="14" t="e">
        <f>$DT274*HLOOKUP($J274,'Construction Costs (clay)'!$B$1:$V$32,'Construction Planner'!$L274+2,FALSE)</f>
        <v>#N/A</v>
      </c>
      <c r="AD274" s="14" t="e">
        <f>$DT274*HLOOKUP($J274,'Construction Costs (iron)'!$B$1:$V$32,'Construction Planner'!$L274+2,FALSE)</f>
        <v>#N/A</v>
      </c>
      <c r="AE274" s="34" t="e">
        <f t="shared" si="344"/>
        <v>#N/A</v>
      </c>
      <c r="AF274" s="33" t="e">
        <f t="shared" si="378"/>
        <v>#N/A</v>
      </c>
      <c r="AG274" s="14" t="e">
        <f t="shared" si="379"/>
        <v>#N/A</v>
      </c>
      <c r="AH274" s="14" t="e">
        <f t="shared" si="380"/>
        <v>#N/A</v>
      </c>
      <c r="AI274" s="34" t="e">
        <f t="shared" si="345"/>
        <v>#N/A</v>
      </c>
      <c r="AJ274" s="49" t="e">
        <f t="shared" si="399"/>
        <v>#N/A</v>
      </c>
      <c r="AK274" s="49" t="e">
        <f t="shared" si="400"/>
        <v>#N/A</v>
      </c>
      <c r="AL274" s="49" t="e">
        <f t="shared" si="401"/>
        <v>#N/A</v>
      </c>
      <c r="AM274" s="25">
        <f t="shared" si="381"/>
        <v>30</v>
      </c>
      <c r="AN274" s="25">
        <f t="shared" si="382"/>
        <v>30</v>
      </c>
      <c r="AO274" s="25">
        <f t="shared" si="383"/>
        <v>30</v>
      </c>
      <c r="AP274" s="52" t="e">
        <f t="shared" si="402"/>
        <v>#N/A</v>
      </c>
      <c r="AQ274" s="53" t="e">
        <f t="shared" si="402"/>
        <v>#N/A</v>
      </c>
      <c r="AR274" s="54" t="e">
        <f t="shared" si="402"/>
        <v>#N/A</v>
      </c>
      <c r="AS274" s="316">
        <f t="shared" si="370"/>
        <v>0</v>
      </c>
      <c r="AT274" s="106">
        <f>_xlfn.IFNA($M274/VLOOKUP($BT274,'Unit information'!$A$2:$K$29,2,FALSE)*R274,0)*(1+$E$9)</f>
        <v>0</v>
      </c>
      <c r="AU274" s="107">
        <f>_xlfn.IFNA($M274/VLOOKUP($BT274,'Unit information'!$A$2:$K$29,3,FALSE)*S274,0)*(1+$E$9)</f>
        <v>0</v>
      </c>
      <c r="AV274" s="107">
        <f>_xlfn.IFNA($M274/VLOOKUP($BT274,'Unit information'!$A$2:$K$29,4,FALSE)*T274,0)*(1+$E$9)</f>
        <v>0</v>
      </c>
      <c r="AW274" s="107">
        <f>_xlfn.IFNA($M274/VLOOKUP($BT274,'Unit information'!$A$2:$K$29,5,FALSE)*U274,0)*(1+$E$9)</f>
        <v>0</v>
      </c>
      <c r="AX274" s="107">
        <f>_xlfn.IFNA($M274/VLOOKUP($BU274,'Unit information'!$A$2:$K$29,6,FALSE)*V274,0)*(1+$E$9)</f>
        <v>0</v>
      </c>
      <c r="AY274" s="107">
        <f>_xlfn.IFNA($M274/VLOOKUP($BU274,'Unit information'!$A$2:$K$29,7,FALSE)*W274,0)*(1+$E$9)</f>
        <v>0</v>
      </c>
      <c r="AZ274" s="107">
        <f>_xlfn.IFNA($M274/VLOOKUP($BU274,'Unit information'!$A$2:$K$29,8,FALSE)*X274,0)*(1+$E$9)</f>
        <v>0</v>
      </c>
      <c r="BA274" s="107">
        <f>_xlfn.IFNA($M274/VLOOKUP($BU274,'Unit information'!$A$2:$K$29,9,FALSE)*Y274,0)*(1+$E$9)</f>
        <v>0</v>
      </c>
      <c r="BB274" s="107">
        <f>_xlfn.IFNA($M274/VLOOKUP($BV274,'Unit information'!$A$2:$K$29,10,FALSE)*Z274,0)*(1+$E$9)</f>
        <v>0</v>
      </c>
      <c r="BC274" s="108">
        <f>_xlfn.IFNA($M274/VLOOKUP($BV274,'Unit information'!$A$2:$K$29,11,FALSE)*AA274,0)*(1+$E$9)</f>
        <v>0</v>
      </c>
      <c r="BD274" s="106">
        <f t="shared" si="384"/>
        <v>0</v>
      </c>
      <c r="BE274" s="107">
        <f t="shared" si="385"/>
        <v>0</v>
      </c>
      <c r="BF274" s="108">
        <f t="shared" si="386"/>
        <v>0</v>
      </c>
      <c r="BG274" s="25" t="e">
        <f t="shared" si="387"/>
        <v>#N/A</v>
      </c>
      <c r="BH274" s="25" t="e">
        <f t="shared" si="388"/>
        <v>#N/A</v>
      </c>
      <c r="BI274" s="25" t="e">
        <f t="shared" si="389"/>
        <v>#N/A</v>
      </c>
      <c r="BJ274" s="27" t="e">
        <f t="shared" si="390"/>
        <v>#N/A</v>
      </c>
      <c r="BK274" s="18" t="e">
        <f t="shared" si="391"/>
        <v>#N/A</v>
      </c>
      <c r="BL274" s="18" t="e">
        <f t="shared" si="392"/>
        <v>#N/A</v>
      </c>
      <c r="BM274" s="28" t="e">
        <f t="shared" si="347"/>
        <v>#N/A</v>
      </c>
      <c r="BN274" s="33">
        <f>HLOOKUP("maximum population",Miscelaneous!$C$1:$C$33,CH274+3,FALSE)</f>
        <v>240</v>
      </c>
      <c r="BO274" s="14">
        <f t="shared" si="403"/>
        <v>32</v>
      </c>
      <c r="BP274" s="14">
        <f t="shared" si="404"/>
        <v>0</v>
      </c>
      <c r="BQ274" s="14">
        <f t="shared" si="405"/>
        <v>208</v>
      </c>
      <c r="BR274" s="34" t="e">
        <f>HLOOKUP(J274,Villagers!$B$1:$V$33,L274+3,FALSE)-HLOOKUP(J274,Villagers!$B$1:$V$33,L274+2,FALSE)</f>
        <v>#N/A</v>
      </c>
      <c r="BS274" s="49">
        <f t="shared" si="406"/>
        <v>1</v>
      </c>
      <c r="BT274" s="50">
        <f t="shared" si="407"/>
        <v>0</v>
      </c>
      <c r="BU274" s="50">
        <f t="shared" si="408"/>
        <v>0</v>
      </c>
      <c r="BV274" s="50">
        <f t="shared" si="409"/>
        <v>0</v>
      </c>
      <c r="BW274" s="50">
        <f t="shared" si="410"/>
        <v>0</v>
      </c>
      <c r="BX274" s="50">
        <f t="shared" si="410"/>
        <v>0</v>
      </c>
      <c r="BY274" s="50">
        <f t="shared" si="410"/>
        <v>0</v>
      </c>
      <c r="BZ274" s="50">
        <f t="shared" si="350"/>
        <v>0</v>
      </c>
      <c r="CA274" s="50">
        <f t="shared" si="351"/>
        <v>0</v>
      </c>
      <c r="CB274" s="50">
        <f t="shared" si="352"/>
        <v>1</v>
      </c>
      <c r="CC274" s="50">
        <f t="shared" si="353"/>
        <v>0</v>
      </c>
      <c r="CD274" s="50">
        <f t="shared" si="354"/>
        <v>0</v>
      </c>
      <c r="CE274" s="50">
        <f t="shared" si="355"/>
        <v>1</v>
      </c>
      <c r="CF274" s="50">
        <f t="shared" si="356"/>
        <v>1</v>
      </c>
      <c r="CG274" s="50">
        <f t="shared" si="357"/>
        <v>1</v>
      </c>
      <c r="CH274" s="50">
        <f t="shared" si="358"/>
        <v>1</v>
      </c>
      <c r="CI274" s="50">
        <f t="shared" si="359"/>
        <v>1</v>
      </c>
      <c r="CJ274" s="50">
        <f t="shared" si="360"/>
        <v>1</v>
      </c>
      <c r="CK274" s="50">
        <f t="shared" si="360"/>
        <v>0</v>
      </c>
      <c r="CL274" s="50">
        <f t="shared" si="360"/>
        <v>0</v>
      </c>
      <c r="CM274" s="51">
        <f t="shared" si="368"/>
        <v>0</v>
      </c>
      <c r="CN274" s="33">
        <f>ROUND(IF(BS274=0,0,HLOOKUP(BS$14,Villagers!$B$1:$V$33,BS274+3,FALSE)),)</f>
        <v>5</v>
      </c>
      <c r="CO274" s="14">
        <f>ROUND(IF(BT274=0,0,HLOOKUP(BT$14,Villagers!$B$1:$V$33,BT274+3,FALSE)),)</f>
        <v>0</v>
      </c>
      <c r="CP274" s="14">
        <f>ROUND(IF(BU274=0,0,HLOOKUP(BU$14,Villagers!$B$1:$V$33,BU274+3,FALSE)),)</f>
        <v>0</v>
      </c>
      <c r="CQ274" s="14">
        <f>ROUND(IF(BV274=0,0,HLOOKUP(BV$14,Villagers!$B$1:$V$33,BV274+3,FALSE)),)</f>
        <v>0</v>
      </c>
      <c r="CR274" s="14">
        <f>ROUND(IF(BW274=0,0,HLOOKUP(BW$14,Villagers!$B$1:$V$33,BW274+3,FALSE)),)</f>
        <v>0</v>
      </c>
      <c r="CS274" s="14">
        <f>ROUND(IF(BX274=0,0,HLOOKUP(BX$14,Villagers!$B$1:$V$33,BX274+3,FALSE)),)</f>
        <v>0</v>
      </c>
      <c r="CT274" s="14">
        <f>ROUND(IF(BY274=0,0,HLOOKUP(BY$14,Villagers!$B$1:$V$33,BY274+3,FALSE)),)</f>
        <v>0</v>
      </c>
      <c r="CU274" s="14">
        <f>ROUND(IF(BZ274=0,0,HLOOKUP(BZ$14,Villagers!$B$1:$V$33,BZ274+3,FALSE)),)</f>
        <v>0</v>
      </c>
      <c r="CV274" s="14">
        <f>ROUND(IF(CA274=0,0,HLOOKUP(CA$14,Villagers!$B$1:$V$33,CA274+3,FALSE)),)</f>
        <v>0</v>
      </c>
      <c r="CW274" s="14">
        <f>ROUND(IF(CB274=0,0,HLOOKUP(CB$14,Villagers!$B$1:$V$33,CB274+3,FALSE)),)</f>
        <v>0</v>
      </c>
      <c r="CX274" s="14">
        <f>ROUND(IF(CC274=0,0,HLOOKUP(CC$14,Villagers!$B$1:$V$33,CC274+3,FALSE)),)</f>
        <v>0</v>
      </c>
      <c r="CY274" s="14">
        <f>ROUND(IF(CD274=0,0,HLOOKUP(CD$14,Villagers!$B$1:$V$33,CD274+3,FALSE)),)</f>
        <v>0</v>
      </c>
      <c r="CZ274" s="14">
        <f>ROUND(IF(CE274=0,0,HLOOKUP(CE$14,Villagers!$B$1:$V$33,CE274+3,FALSE)),)</f>
        <v>5</v>
      </c>
      <c r="DA274" s="14">
        <f>ROUND(IF(CF274=0,0,HLOOKUP(CF$14,Villagers!$B$1:$V$33,CF274+3,FALSE)),)</f>
        <v>10</v>
      </c>
      <c r="DB274" s="14">
        <f>ROUND(IF(CG274=0,0,HLOOKUP(CG$14,Villagers!$B$1:$V$33,CG274+3,FALSE)),)</f>
        <v>10</v>
      </c>
      <c r="DC274" s="14">
        <f>ROUND(IF(CH274=0,0,HLOOKUP(CH$14,Villagers!$B$1:$V$33,CH274+3,FALSE)),)</f>
        <v>0</v>
      </c>
      <c r="DD274" s="14">
        <f>ROUND(IF(CI274=0,0,HLOOKUP(CI$14,Villagers!$B$1:$V$33,CI274+3,FALSE)),)</f>
        <v>0</v>
      </c>
      <c r="DE274" s="14">
        <f>ROUND(IF(CJ274=0,0,HLOOKUP(CJ$14,Villagers!$B$1:$V$33,CJ274+3,FALSE)),)</f>
        <v>2</v>
      </c>
      <c r="DF274" s="370">
        <f>ROUND(IF(CK274=0,0,HLOOKUP(CK$14,Villagers!$B$1:$V$33,CK274+3,FALSE)),)</f>
        <v>0</v>
      </c>
      <c r="DG274" s="370">
        <f>ROUND(IF(CL274=0,0,HLOOKUP(CL$14,Villagers!$B$1:$V$33,CL274+3,FALSE)),)</f>
        <v>0</v>
      </c>
      <c r="DH274" s="34">
        <f>ROUND(IF(CM274=0,0,HLOOKUP(CM$14,Villagers!$B$1:$V$33,CM274+3,FALSE)),)</f>
        <v>0</v>
      </c>
      <c r="DI274" s="109">
        <f t="shared" si="426"/>
        <v>0</v>
      </c>
      <c r="DJ274" s="50">
        <f t="shared" si="427"/>
        <v>0</v>
      </c>
      <c r="DK274" s="50">
        <f t="shared" si="428"/>
        <v>0</v>
      </c>
      <c r="DL274" s="50">
        <f t="shared" si="429"/>
        <v>0</v>
      </c>
      <c r="DM274" s="50">
        <f t="shared" si="430"/>
        <v>0</v>
      </c>
      <c r="DN274" s="50">
        <f t="shared" si="431"/>
        <v>0</v>
      </c>
      <c r="DO274" s="50">
        <f t="shared" si="432"/>
        <v>0</v>
      </c>
      <c r="DP274" s="50">
        <f t="shared" si="433"/>
        <v>0</v>
      </c>
      <c r="DQ274" s="50">
        <f t="shared" si="411"/>
        <v>0</v>
      </c>
      <c r="DR274" s="50">
        <f t="shared" si="412"/>
        <v>0</v>
      </c>
      <c r="DS274" s="96">
        <f>Miscelaneous!$D$4*Miscelaneous!$D$2^($CI274-1)</f>
        <v>1000</v>
      </c>
      <c r="DT274" s="333">
        <f t="shared" si="393"/>
        <v>1</v>
      </c>
      <c r="DU274" s="81">
        <v>1</v>
      </c>
      <c r="DV274" s="79">
        <f t="shared" si="413"/>
        <v>0</v>
      </c>
      <c r="DW274" s="79">
        <f t="shared" si="414"/>
        <v>0</v>
      </c>
      <c r="DX274" s="79">
        <f t="shared" si="415"/>
        <v>0</v>
      </c>
      <c r="DY274" s="79">
        <v>1</v>
      </c>
      <c r="DZ274" s="79">
        <f t="shared" si="416"/>
        <v>0</v>
      </c>
      <c r="EA274" s="79">
        <f t="shared" si="417"/>
        <v>0</v>
      </c>
      <c r="EB274" s="79">
        <f t="shared" si="418"/>
        <v>0</v>
      </c>
      <c r="EC274" s="79">
        <f t="shared" si="419"/>
        <v>0</v>
      </c>
      <c r="ED274" s="79">
        <v>1</v>
      </c>
      <c r="EE274" s="79">
        <v>1</v>
      </c>
      <c r="EF274" s="79">
        <f t="shared" si="420"/>
        <v>0</v>
      </c>
      <c r="EG274" s="79">
        <v>1</v>
      </c>
      <c r="EH274" s="79">
        <v>1</v>
      </c>
      <c r="EI274" s="79">
        <v>1</v>
      </c>
      <c r="EJ274" s="79">
        <v>1</v>
      </c>
      <c r="EK274" s="79">
        <v>1</v>
      </c>
      <c r="EL274" s="79">
        <v>1</v>
      </c>
      <c r="EM274" s="143">
        <f t="shared" si="421"/>
        <v>0</v>
      </c>
      <c r="EN274" s="143">
        <f t="shared" si="422"/>
        <v>0</v>
      </c>
      <c r="EO274" s="82">
        <f t="shared" si="423"/>
        <v>0</v>
      </c>
    </row>
    <row r="275" spans="1:145" x14ac:dyDescent="0.25">
      <c r="A275">
        <v>261</v>
      </c>
      <c r="B275" s="172" t="e">
        <f t="shared" si="394"/>
        <v>#N/A</v>
      </c>
      <c r="C275" s="121" t="e">
        <f t="shared" si="373"/>
        <v>#N/A</v>
      </c>
      <c r="D275" s="122" t="e">
        <f t="shared" si="374"/>
        <v>#N/A</v>
      </c>
      <c r="E275" s="122" t="e">
        <f t="shared" si="375"/>
        <v>#N/A</v>
      </c>
      <c r="F275" s="176" t="e">
        <f t="shared" si="376"/>
        <v>#N/A</v>
      </c>
      <c r="G275" s="121">
        <f t="shared" si="395"/>
        <v>208</v>
      </c>
      <c r="H275" s="176" t="e">
        <f t="shared" si="396"/>
        <v>#N/A</v>
      </c>
      <c r="I275" s="48">
        <v>1</v>
      </c>
      <c r="J275" s="39"/>
      <c r="K275" s="350">
        <v>1</v>
      </c>
      <c r="L275" s="34" t="e">
        <f t="shared" si="377"/>
        <v>#N/A</v>
      </c>
      <c r="M275" s="38" t="e">
        <f>(HLOOKUP(J275,'Construction Times'!$B$3:$W$34,L275+2,FALSE)*HLOOKUP("hq modifier",'Construction Times'!$W$3:$W$34,BS275+2,FALSE))*(1-$H$9)</f>
        <v>#N/A</v>
      </c>
      <c r="N275" s="443" t="e">
        <f t="shared" si="397"/>
        <v>#N/A</v>
      </c>
      <c r="O275" s="444"/>
      <c r="P275" s="447" t="e">
        <f t="shared" si="398"/>
        <v>#N/A</v>
      </c>
      <c r="Q275" s="448"/>
      <c r="R275" s="103">
        <f t="shared" si="424"/>
        <v>0</v>
      </c>
      <c r="S275" s="104">
        <f t="shared" si="424"/>
        <v>0</v>
      </c>
      <c r="T275" s="104">
        <f t="shared" si="425"/>
        <v>0</v>
      </c>
      <c r="U275" s="104">
        <f t="shared" si="425"/>
        <v>0</v>
      </c>
      <c r="V275" s="104">
        <f t="shared" si="425"/>
        <v>9.9999999999999995E-8</v>
      </c>
      <c r="W275" s="104">
        <f t="shared" si="425"/>
        <v>0</v>
      </c>
      <c r="X275" s="104">
        <f t="shared" si="365"/>
        <v>0</v>
      </c>
      <c r="Y275" s="104">
        <f t="shared" si="365"/>
        <v>9.9999999999999995E-8</v>
      </c>
      <c r="Z275" s="104">
        <f t="shared" si="365"/>
        <v>9.9999999999999995E-8</v>
      </c>
      <c r="AA275" s="105">
        <f t="shared" si="365"/>
        <v>9.9999999999999995E-8</v>
      </c>
      <c r="AB275" s="101" t="e">
        <f>$DT275*HLOOKUP($J275,'Construction Costs (timber)'!$B$1:$V$32,'Construction Planner'!$L275+2,FALSE)</f>
        <v>#N/A</v>
      </c>
      <c r="AC275" s="14" t="e">
        <f>$DT275*HLOOKUP($J275,'Construction Costs (clay)'!$B$1:$V$32,'Construction Planner'!$L275+2,FALSE)</f>
        <v>#N/A</v>
      </c>
      <c r="AD275" s="14" t="e">
        <f>$DT275*HLOOKUP($J275,'Construction Costs (iron)'!$B$1:$V$32,'Construction Planner'!$L275+2,FALSE)</f>
        <v>#N/A</v>
      </c>
      <c r="AE275" s="34" t="e">
        <f t="shared" si="344"/>
        <v>#N/A</v>
      </c>
      <c r="AF275" s="33" t="e">
        <f t="shared" si="378"/>
        <v>#N/A</v>
      </c>
      <c r="AG275" s="14" t="e">
        <f t="shared" si="379"/>
        <v>#N/A</v>
      </c>
      <c r="AH275" s="14" t="e">
        <f t="shared" si="380"/>
        <v>#N/A</v>
      </c>
      <c r="AI275" s="34" t="e">
        <f t="shared" si="345"/>
        <v>#N/A</v>
      </c>
      <c r="AJ275" s="49" t="e">
        <f t="shared" si="399"/>
        <v>#N/A</v>
      </c>
      <c r="AK275" s="49" t="e">
        <f t="shared" si="400"/>
        <v>#N/A</v>
      </c>
      <c r="AL275" s="49" t="e">
        <f t="shared" si="401"/>
        <v>#N/A</v>
      </c>
      <c r="AM275" s="25">
        <f t="shared" si="381"/>
        <v>30</v>
      </c>
      <c r="AN275" s="25">
        <f t="shared" si="382"/>
        <v>30</v>
      </c>
      <c r="AO275" s="25">
        <f t="shared" si="383"/>
        <v>30</v>
      </c>
      <c r="AP275" s="52" t="e">
        <f t="shared" si="402"/>
        <v>#N/A</v>
      </c>
      <c r="AQ275" s="53" t="e">
        <f t="shared" si="402"/>
        <v>#N/A</v>
      </c>
      <c r="AR275" s="54" t="e">
        <f t="shared" si="402"/>
        <v>#N/A</v>
      </c>
      <c r="AS275" s="316">
        <f t="shared" si="370"/>
        <v>0</v>
      </c>
      <c r="AT275" s="106">
        <f>_xlfn.IFNA($M275/VLOOKUP($BT275,'Unit information'!$A$2:$K$29,2,FALSE)*R275,0)*(1+$E$9)</f>
        <v>0</v>
      </c>
      <c r="AU275" s="107">
        <f>_xlfn.IFNA($M275/VLOOKUP($BT275,'Unit information'!$A$2:$K$29,3,FALSE)*S275,0)*(1+$E$9)</f>
        <v>0</v>
      </c>
      <c r="AV275" s="107">
        <f>_xlfn.IFNA($M275/VLOOKUP($BT275,'Unit information'!$A$2:$K$29,4,FALSE)*T275,0)*(1+$E$9)</f>
        <v>0</v>
      </c>
      <c r="AW275" s="107">
        <f>_xlfn.IFNA($M275/VLOOKUP($BT275,'Unit information'!$A$2:$K$29,5,FALSE)*U275,0)*(1+$E$9)</f>
        <v>0</v>
      </c>
      <c r="AX275" s="107">
        <f>_xlfn.IFNA($M275/VLOOKUP($BU275,'Unit information'!$A$2:$K$29,6,FALSE)*V275,0)*(1+$E$9)</f>
        <v>0</v>
      </c>
      <c r="AY275" s="107">
        <f>_xlfn.IFNA($M275/VLOOKUP($BU275,'Unit information'!$A$2:$K$29,7,FALSE)*W275,0)*(1+$E$9)</f>
        <v>0</v>
      </c>
      <c r="AZ275" s="107">
        <f>_xlfn.IFNA($M275/VLOOKUP($BU275,'Unit information'!$A$2:$K$29,8,FALSE)*X275,0)*(1+$E$9)</f>
        <v>0</v>
      </c>
      <c r="BA275" s="107">
        <f>_xlfn.IFNA($M275/VLOOKUP($BU275,'Unit information'!$A$2:$K$29,9,FALSE)*Y275,0)*(1+$E$9)</f>
        <v>0</v>
      </c>
      <c r="BB275" s="107">
        <f>_xlfn.IFNA($M275/VLOOKUP($BV275,'Unit information'!$A$2:$K$29,10,FALSE)*Z275,0)*(1+$E$9)</f>
        <v>0</v>
      </c>
      <c r="BC275" s="108">
        <f>_xlfn.IFNA($M275/VLOOKUP($BV275,'Unit information'!$A$2:$K$29,11,FALSE)*AA275,0)*(1+$E$9)</f>
        <v>0</v>
      </c>
      <c r="BD275" s="106">
        <f t="shared" si="384"/>
        <v>0</v>
      </c>
      <c r="BE275" s="107">
        <f t="shared" si="385"/>
        <v>0</v>
      </c>
      <c r="BF275" s="108">
        <f t="shared" si="386"/>
        <v>0</v>
      </c>
      <c r="BG275" s="25" t="e">
        <f t="shared" si="387"/>
        <v>#N/A</v>
      </c>
      <c r="BH275" s="25" t="e">
        <f t="shared" si="388"/>
        <v>#N/A</v>
      </c>
      <c r="BI275" s="25" t="e">
        <f t="shared" si="389"/>
        <v>#N/A</v>
      </c>
      <c r="BJ275" s="27" t="e">
        <f t="shared" si="390"/>
        <v>#N/A</v>
      </c>
      <c r="BK275" s="18" t="e">
        <f t="shared" si="391"/>
        <v>#N/A</v>
      </c>
      <c r="BL275" s="18" t="e">
        <f t="shared" si="392"/>
        <v>#N/A</v>
      </c>
      <c r="BM275" s="28" t="e">
        <f t="shared" si="347"/>
        <v>#N/A</v>
      </c>
      <c r="BN275" s="33">
        <f>HLOOKUP("maximum population",Miscelaneous!$C$1:$C$33,CH275+3,FALSE)</f>
        <v>240</v>
      </c>
      <c r="BO275" s="14">
        <f t="shared" si="403"/>
        <v>32</v>
      </c>
      <c r="BP275" s="14">
        <f t="shared" si="404"/>
        <v>0</v>
      </c>
      <c r="BQ275" s="14">
        <f t="shared" si="405"/>
        <v>208</v>
      </c>
      <c r="BR275" s="34" t="e">
        <f>HLOOKUP(J275,Villagers!$B$1:$V$33,L275+3,FALSE)-HLOOKUP(J275,Villagers!$B$1:$V$33,L275+2,FALSE)</f>
        <v>#N/A</v>
      </c>
      <c r="BS275" s="49">
        <f t="shared" si="406"/>
        <v>1</v>
      </c>
      <c r="BT275" s="50">
        <f t="shared" si="407"/>
        <v>0</v>
      </c>
      <c r="BU275" s="50">
        <f t="shared" si="408"/>
        <v>0</v>
      </c>
      <c r="BV275" s="50">
        <f t="shared" si="409"/>
        <v>0</v>
      </c>
      <c r="BW275" s="50">
        <f t="shared" si="410"/>
        <v>0</v>
      </c>
      <c r="BX275" s="50">
        <f t="shared" si="410"/>
        <v>0</v>
      </c>
      <c r="BY275" s="50">
        <f t="shared" si="410"/>
        <v>0</v>
      </c>
      <c r="BZ275" s="50">
        <f t="shared" si="350"/>
        <v>0</v>
      </c>
      <c r="CA275" s="50">
        <f t="shared" si="351"/>
        <v>0</v>
      </c>
      <c r="CB275" s="50">
        <f t="shared" si="352"/>
        <v>1</v>
      </c>
      <c r="CC275" s="50">
        <f t="shared" si="353"/>
        <v>0</v>
      </c>
      <c r="CD275" s="50">
        <f t="shared" si="354"/>
        <v>0</v>
      </c>
      <c r="CE275" s="50">
        <f t="shared" si="355"/>
        <v>1</v>
      </c>
      <c r="CF275" s="50">
        <f t="shared" si="356"/>
        <v>1</v>
      </c>
      <c r="CG275" s="50">
        <f t="shared" si="357"/>
        <v>1</v>
      </c>
      <c r="CH275" s="50">
        <f t="shared" si="358"/>
        <v>1</v>
      </c>
      <c r="CI275" s="50">
        <f t="shared" si="359"/>
        <v>1</v>
      </c>
      <c r="CJ275" s="50">
        <f t="shared" si="360"/>
        <v>1</v>
      </c>
      <c r="CK275" s="50">
        <f t="shared" si="360"/>
        <v>0</v>
      </c>
      <c r="CL275" s="50">
        <f t="shared" si="360"/>
        <v>0</v>
      </c>
      <c r="CM275" s="51">
        <f t="shared" si="368"/>
        <v>0</v>
      </c>
      <c r="CN275" s="33">
        <f>ROUND(IF(BS275=0,0,HLOOKUP(BS$14,Villagers!$B$1:$V$33,BS275+3,FALSE)),)</f>
        <v>5</v>
      </c>
      <c r="CO275" s="14">
        <f>ROUND(IF(BT275=0,0,HLOOKUP(BT$14,Villagers!$B$1:$V$33,BT275+3,FALSE)),)</f>
        <v>0</v>
      </c>
      <c r="CP275" s="14">
        <f>ROUND(IF(BU275=0,0,HLOOKUP(BU$14,Villagers!$B$1:$V$33,BU275+3,FALSE)),)</f>
        <v>0</v>
      </c>
      <c r="CQ275" s="14">
        <f>ROUND(IF(BV275=0,0,HLOOKUP(BV$14,Villagers!$B$1:$V$33,BV275+3,FALSE)),)</f>
        <v>0</v>
      </c>
      <c r="CR275" s="14">
        <f>ROUND(IF(BW275=0,0,HLOOKUP(BW$14,Villagers!$B$1:$V$33,BW275+3,FALSE)),)</f>
        <v>0</v>
      </c>
      <c r="CS275" s="14">
        <f>ROUND(IF(BX275=0,0,HLOOKUP(BX$14,Villagers!$B$1:$V$33,BX275+3,FALSE)),)</f>
        <v>0</v>
      </c>
      <c r="CT275" s="14">
        <f>ROUND(IF(BY275=0,0,HLOOKUP(BY$14,Villagers!$B$1:$V$33,BY275+3,FALSE)),)</f>
        <v>0</v>
      </c>
      <c r="CU275" s="14">
        <f>ROUND(IF(BZ275=0,0,HLOOKUP(BZ$14,Villagers!$B$1:$V$33,BZ275+3,FALSE)),)</f>
        <v>0</v>
      </c>
      <c r="CV275" s="14">
        <f>ROUND(IF(CA275=0,0,HLOOKUP(CA$14,Villagers!$B$1:$V$33,CA275+3,FALSE)),)</f>
        <v>0</v>
      </c>
      <c r="CW275" s="14">
        <f>ROUND(IF(CB275=0,0,HLOOKUP(CB$14,Villagers!$B$1:$V$33,CB275+3,FALSE)),)</f>
        <v>0</v>
      </c>
      <c r="CX275" s="14">
        <f>ROUND(IF(CC275=0,0,HLOOKUP(CC$14,Villagers!$B$1:$V$33,CC275+3,FALSE)),)</f>
        <v>0</v>
      </c>
      <c r="CY275" s="14">
        <f>ROUND(IF(CD275=0,0,HLOOKUP(CD$14,Villagers!$B$1:$V$33,CD275+3,FALSE)),)</f>
        <v>0</v>
      </c>
      <c r="CZ275" s="14">
        <f>ROUND(IF(CE275=0,0,HLOOKUP(CE$14,Villagers!$B$1:$V$33,CE275+3,FALSE)),)</f>
        <v>5</v>
      </c>
      <c r="DA275" s="14">
        <f>ROUND(IF(CF275=0,0,HLOOKUP(CF$14,Villagers!$B$1:$V$33,CF275+3,FALSE)),)</f>
        <v>10</v>
      </c>
      <c r="DB275" s="14">
        <f>ROUND(IF(CG275=0,0,HLOOKUP(CG$14,Villagers!$B$1:$V$33,CG275+3,FALSE)),)</f>
        <v>10</v>
      </c>
      <c r="DC275" s="14">
        <f>ROUND(IF(CH275=0,0,HLOOKUP(CH$14,Villagers!$B$1:$V$33,CH275+3,FALSE)),)</f>
        <v>0</v>
      </c>
      <c r="DD275" s="14">
        <f>ROUND(IF(CI275=0,0,HLOOKUP(CI$14,Villagers!$B$1:$V$33,CI275+3,FALSE)),)</f>
        <v>0</v>
      </c>
      <c r="DE275" s="14">
        <f>ROUND(IF(CJ275=0,0,HLOOKUP(CJ$14,Villagers!$B$1:$V$33,CJ275+3,FALSE)),)</f>
        <v>2</v>
      </c>
      <c r="DF275" s="370">
        <f>ROUND(IF(CK275=0,0,HLOOKUP(CK$14,Villagers!$B$1:$V$33,CK275+3,FALSE)),)</f>
        <v>0</v>
      </c>
      <c r="DG275" s="370">
        <f>ROUND(IF(CL275=0,0,HLOOKUP(CL$14,Villagers!$B$1:$V$33,CL275+3,FALSE)),)</f>
        <v>0</v>
      </c>
      <c r="DH275" s="34">
        <f>ROUND(IF(CM275=0,0,HLOOKUP(CM$14,Villagers!$B$1:$V$33,CM275+3,FALSE)),)</f>
        <v>0</v>
      </c>
      <c r="DI275" s="109">
        <f t="shared" si="426"/>
        <v>0</v>
      </c>
      <c r="DJ275" s="50">
        <f t="shared" si="427"/>
        <v>0</v>
      </c>
      <c r="DK275" s="50">
        <f t="shared" si="428"/>
        <v>0</v>
      </c>
      <c r="DL275" s="50">
        <f t="shared" si="429"/>
        <v>0</v>
      </c>
      <c r="DM275" s="50">
        <f t="shared" si="430"/>
        <v>0</v>
      </c>
      <c r="DN275" s="50">
        <f t="shared" si="431"/>
        <v>0</v>
      </c>
      <c r="DO275" s="50">
        <f t="shared" si="432"/>
        <v>0</v>
      </c>
      <c r="DP275" s="50">
        <f t="shared" si="433"/>
        <v>0</v>
      </c>
      <c r="DQ275" s="50">
        <f t="shared" si="411"/>
        <v>0</v>
      </c>
      <c r="DR275" s="50">
        <f t="shared" si="412"/>
        <v>0</v>
      </c>
      <c r="DS275" s="96">
        <f>Miscelaneous!$D$4*Miscelaneous!$D$2^($CI275-1)</f>
        <v>1000</v>
      </c>
      <c r="DT275" s="333">
        <f t="shared" si="393"/>
        <v>1</v>
      </c>
      <c r="DU275" s="81">
        <v>1</v>
      </c>
      <c r="DV275" s="79">
        <f t="shared" si="413"/>
        <v>0</v>
      </c>
      <c r="DW275" s="79">
        <f t="shared" si="414"/>
        <v>0</v>
      </c>
      <c r="DX275" s="79">
        <f t="shared" si="415"/>
        <v>0</v>
      </c>
      <c r="DY275" s="79">
        <v>1</v>
      </c>
      <c r="DZ275" s="79">
        <f t="shared" si="416"/>
        <v>0</v>
      </c>
      <c r="EA275" s="79">
        <f t="shared" si="417"/>
        <v>0</v>
      </c>
      <c r="EB275" s="79">
        <f t="shared" si="418"/>
        <v>0</v>
      </c>
      <c r="EC275" s="79">
        <f t="shared" si="419"/>
        <v>0</v>
      </c>
      <c r="ED275" s="79">
        <v>1</v>
      </c>
      <c r="EE275" s="79">
        <v>1</v>
      </c>
      <c r="EF275" s="79">
        <f t="shared" si="420"/>
        <v>0</v>
      </c>
      <c r="EG275" s="79">
        <v>1</v>
      </c>
      <c r="EH275" s="79">
        <v>1</v>
      </c>
      <c r="EI275" s="79">
        <v>1</v>
      </c>
      <c r="EJ275" s="79">
        <v>1</v>
      </c>
      <c r="EK275" s="79">
        <v>1</v>
      </c>
      <c r="EL275" s="79">
        <v>1</v>
      </c>
      <c r="EM275" s="143">
        <f t="shared" si="421"/>
        <v>0</v>
      </c>
      <c r="EN275" s="143">
        <f t="shared" si="422"/>
        <v>0</v>
      </c>
      <c r="EO275" s="82">
        <f t="shared" si="423"/>
        <v>0</v>
      </c>
    </row>
    <row r="276" spans="1:145" x14ac:dyDescent="0.25">
      <c r="A276">
        <v>262</v>
      </c>
      <c r="B276" s="172" t="e">
        <f t="shared" si="394"/>
        <v>#N/A</v>
      </c>
      <c r="C276" s="121" t="e">
        <f t="shared" si="373"/>
        <v>#N/A</v>
      </c>
      <c r="D276" s="122" t="e">
        <f t="shared" si="374"/>
        <v>#N/A</v>
      </c>
      <c r="E276" s="122" t="e">
        <f t="shared" si="375"/>
        <v>#N/A</v>
      </c>
      <c r="F276" s="176" t="e">
        <f t="shared" si="376"/>
        <v>#N/A</v>
      </c>
      <c r="G276" s="121">
        <f t="shared" si="395"/>
        <v>208</v>
      </c>
      <c r="H276" s="176" t="e">
        <f t="shared" si="396"/>
        <v>#N/A</v>
      </c>
      <c r="I276" s="48">
        <v>1</v>
      </c>
      <c r="J276" s="39"/>
      <c r="K276" s="350">
        <v>1</v>
      </c>
      <c r="L276" s="34" t="e">
        <f t="shared" si="377"/>
        <v>#N/A</v>
      </c>
      <c r="M276" s="38" t="e">
        <f>(HLOOKUP(J276,'Construction Times'!$B$3:$W$34,L276+2,FALSE)*HLOOKUP("hq modifier",'Construction Times'!$W$3:$W$34,BS276+2,FALSE))*(1-$H$9)</f>
        <v>#N/A</v>
      </c>
      <c r="N276" s="443" t="e">
        <f t="shared" si="397"/>
        <v>#N/A</v>
      </c>
      <c r="O276" s="444"/>
      <c r="P276" s="447" t="e">
        <f t="shared" si="398"/>
        <v>#N/A</v>
      </c>
      <c r="Q276" s="448"/>
      <c r="R276" s="103">
        <f t="shared" si="424"/>
        <v>0</v>
      </c>
      <c r="S276" s="104">
        <f t="shared" si="424"/>
        <v>0</v>
      </c>
      <c r="T276" s="104">
        <f t="shared" si="425"/>
        <v>0</v>
      </c>
      <c r="U276" s="104">
        <f t="shared" si="425"/>
        <v>0</v>
      </c>
      <c r="V276" s="104">
        <f t="shared" si="425"/>
        <v>9.9999999999999995E-8</v>
      </c>
      <c r="W276" s="104">
        <f t="shared" si="425"/>
        <v>0</v>
      </c>
      <c r="X276" s="104">
        <f t="shared" si="365"/>
        <v>0</v>
      </c>
      <c r="Y276" s="104">
        <f t="shared" si="365"/>
        <v>9.9999999999999995E-8</v>
      </c>
      <c r="Z276" s="104">
        <f t="shared" si="365"/>
        <v>9.9999999999999995E-8</v>
      </c>
      <c r="AA276" s="105">
        <f t="shared" si="365"/>
        <v>9.9999999999999995E-8</v>
      </c>
      <c r="AB276" s="101" t="e">
        <f>$DT276*HLOOKUP($J276,'Construction Costs (timber)'!$B$1:$V$32,'Construction Planner'!$L276+2,FALSE)</f>
        <v>#N/A</v>
      </c>
      <c r="AC276" s="14" t="e">
        <f>$DT276*HLOOKUP($J276,'Construction Costs (clay)'!$B$1:$V$32,'Construction Planner'!$L276+2,FALSE)</f>
        <v>#N/A</v>
      </c>
      <c r="AD276" s="14" t="e">
        <f>$DT276*HLOOKUP($J276,'Construction Costs (iron)'!$B$1:$V$32,'Construction Planner'!$L276+2,FALSE)</f>
        <v>#N/A</v>
      </c>
      <c r="AE276" s="34" t="e">
        <f t="shared" ref="AE276:AE339" si="434">SUM(AB276:AD276)</f>
        <v>#N/A</v>
      </c>
      <c r="AF276" s="33" t="e">
        <f t="shared" si="378"/>
        <v>#N/A</v>
      </c>
      <c r="AG276" s="14" t="e">
        <f t="shared" si="379"/>
        <v>#N/A</v>
      </c>
      <c r="AH276" s="14" t="e">
        <f t="shared" si="380"/>
        <v>#N/A</v>
      </c>
      <c r="AI276" s="34" t="e">
        <f t="shared" ref="AI276:AI339" si="435">SUM(AF276:AH276)</f>
        <v>#N/A</v>
      </c>
      <c r="AJ276" s="49" t="e">
        <f t="shared" si="399"/>
        <v>#N/A</v>
      </c>
      <c r="AK276" s="49" t="e">
        <f t="shared" si="400"/>
        <v>#N/A</v>
      </c>
      <c r="AL276" s="49" t="e">
        <f t="shared" si="401"/>
        <v>#N/A</v>
      </c>
      <c r="AM276" s="25">
        <f t="shared" si="381"/>
        <v>30</v>
      </c>
      <c r="AN276" s="25">
        <f t="shared" si="382"/>
        <v>30</v>
      </c>
      <c r="AO276" s="25">
        <f t="shared" si="383"/>
        <v>30</v>
      </c>
      <c r="AP276" s="52" t="e">
        <f t="shared" si="402"/>
        <v>#N/A</v>
      </c>
      <c r="AQ276" s="53" t="e">
        <f t="shared" si="402"/>
        <v>#N/A</v>
      </c>
      <c r="AR276" s="54" t="e">
        <f t="shared" si="402"/>
        <v>#N/A</v>
      </c>
      <c r="AS276" s="316">
        <f t="shared" ref="AS276:AS291" si="436">AS275</f>
        <v>0</v>
      </c>
      <c r="AT276" s="106">
        <f>_xlfn.IFNA($M276/VLOOKUP($BT276,'Unit information'!$A$2:$K$29,2,FALSE)*R276,0)*(1+$E$9)</f>
        <v>0</v>
      </c>
      <c r="AU276" s="107">
        <f>_xlfn.IFNA($M276/VLOOKUP($BT276,'Unit information'!$A$2:$K$29,3,FALSE)*S276,0)*(1+$E$9)</f>
        <v>0</v>
      </c>
      <c r="AV276" s="107">
        <f>_xlfn.IFNA($M276/VLOOKUP($BT276,'Unit information'!$A$2:$K$29,4,FALSE)*T276,0)*(1+$E$9)</f>
        <v>0</v>
      </c>
      <c r="AW276" s="107">
        <f>_xlfn.IFNA($M276/VLOOKUP($BT276,'Unit information'!$A$2:$K$29,5,FALSE)*U276,0)*(1+$E$9)</f>
        <v>0</v>
      </c>
      <c r="AX276" s="107">
        <f>_xlfn.IFNA($M276/VLOOKUP($BU276,'Unit information'!$A$2:$K$29,6,FALSE)*V276,0)*(1+$E$9)</f>
        <v>0</v>
      </c>
      <c r="AY276" s="107">
        <f>_xlfn.IFNA($M276/VLOOKUP($BU276,'Unit information'!$A$2:$K$29,7,FALSE)*W276,0)*(1+$E$9)</f>
        <v>0</v>
      </c>
      <c r="AZ276" s="107">
        <f>_xlfn.IFNA($M276/VLOOKUP($BU276,'Unit information'!$A$2:$K$29,8,FALSE)*X276,0)*(1+$E$9)</f>
        <v>0</v>
      </c>
      <c r="BA276" s="107">
        <f>_xlfn.IFNA($M276/VLOOKUP($BU276,'Unit information'!$A$2:$K$29,9,FALSE)*Y276,0)*(1+$E$9)</f>
        <v>0</v>
      </c>
      <c r="BB276" s="107">
        <f>_xlfn.IFNA($M276/VLOOKUP($BV276,'Unit information'!$A$2:$K$29,10,FALSE)*Z276,0)*(1+$E$9)</f>
        <v>0</v>
      </c>
      <c r="BC276" s="108">
        <f>_xlfn.IFNA($M276/VLOOKUP($BV276,'Unit information'!$A$2:$K$29,11,FALSE)*AA276,0)*(1+$E$9)</f>
        <v>0</v>
      </c>
      <c r="BD276" s="106">
        <f t="shared" si="384"/>
        <v>0</v>
      </c>
      <c r="BE276" s="107">
        <f t="shared" si="385"/>
        <v>0</v>
      </c>
      <c r="BF276" s="108">
        <f t="shared" si="386"/>
        <v>0</v>
      </c>
      <c r="BG276" s="25" t="e">
        <f t="shared" si="387"/>
        <v>#N/A</v>
      </c>
      <c r="BH276" s="25" t="e">
        <f t="shared" si="388"/>
        <v>#N/A</v>
      </c>
      <c r="BI276" s="25" t="e">
        <f t="shared" si="389"/>
        <v>#N/A</v>
      </c>
      <c r="BJ276" s="27" t="e">
        <f t="shared" si="390"/>
        <v>#N/A</v>
      </c>
      <c r="BK276" s="18" t="e">
        <f t="shared" si="391"/>
        <v>#N/A</v>
      </c>
      <c r="BL276" s="18" t="e">
        <f t="shared" si="392"/>
        <v>#N/A</v>
      </c>
      <c r="BM276" s="28" t="e">
        <f t="shared" ref="BM276:BM339" si="437">MAX(BJ276:BL276)</f>
        <v>#N/A</v>
      </c>
      <c r="BN276" s="33">
        <f>HLOOKUP("maximum population",Miscelaneous!$C$1:$C$33,CH276+3,FALSE)</f>
        <v>240</v>
      </c>
      <c r="BO276" s="14">
        <f t="shared" si="403"/>
        <v>32</v>
      </c>
      <c r="BP276" s="14">
        <f t="shared" si="404"/>
        <v>0</v>
      </c>
      <c r="BQ276" s="14">
        <f t="shared" si="405"/>
        <v>208</v>
      </c>
      <c r="BR276" s="34" t="e">
        <f>HLOOKUP(J276,Villagers!$B$1:$V$33,L276+3,FALSE)-HLOOKUP(J276,Villagers!$B$1:$V$33,L276+2,FALSE)</f>
        <v>#N/A</v>
      </c>
      <c r="BS276" s="49">
        <f t="shared" si="406"/>
        <v>1</v>
      </c>
      <c r="BT276" s="50">
        <f t="shared" si="407"/>
        <v>0</v>
      </c>
      <c r="BU276" s="50">
        <f t="shared" si="408"/>
        <v>0</v>
      </c>
      <c r="BV276" s="50">
        <f t="shared" si="409"/>
        <v>0</v>
      </c>
      <c r="BW276" s="50">
        <f t="shared" si="410"/>
        <v>0</v>
      </c>
      <c r="BX276" s="50">
        <f t="shared" si="410"/>
        <v>0</v>
      </c>
      <c r="BY276" s="50">
        <f t="shared" si="410"/>
        <v>0</v>
      </c>
      <c r="BZ276" s="50">
        <f t="shared" si="350"/>
        <v>0</v>
      </c>
      <c r="CA276" s="50">
        <f t="shared" si="351"/>
        <v>0</v>
      </c>
      <c r="CB276" s="50">
        <f t="shared" si="352"/>
        <v>1</v>
      </c>
      <c r="CC276" s="50">
        <f t="shared" si="353"/>
        <v>0</v>
      </c>
      <c r="CD276" s="50">
        <f t="shared" si="354"/>
        <v>0</v>
      </c>
      <c r="CE276" s="50">
        <f t="shared" si="355"/>
        <v>1</v>
      </c>
      <c r="CF276" s="50">
        <f t="shared" si="356"/>
        <v>1</v>
      </c>
      <c r="CG276" s="50">
        <f t="shared" si="357"/>
        <v>1</v>
      </c>
      <c r="CH276" s="50">
        <f t="shared" si="358"/>
        <v>1</v>
      </c>
      <c r="CI276" s="50">
        <f t="shared" si="359"/>
        <v>1</v>
      </c>
      <c r="CJ276" s="50">
        <f t="shared" si="360"/>
        <v>1</v>
      </c>
      <c r="CK276" s="50">
        <f t="shared" si="360"/>
        <v>0</v>
      </c>
      <c r="CL276" s="50">
        <f t="shared" si="360"/>
        <v>0</v>
      </c>
      <c r="CM276" s="51">
        <f t="shared" si="368"/>
        <v>0</v>
      </c>
      <c r="CN276" s="33">
        <f>ROUND(IF(BS276=0,0,HLOOKUP(BS$14,Villagers!$B$1:$V$33,BS276+3,FALSE)),)</f>
        <v>5</v>
      </c>
      <c r="CO276" s="14">
        <f>ROUND(IF(BT276=0,0,HLOOKUP(BT$14,Villagers!$B$1:$V$33,BT276+3,FALSE)),)</f>
        <v>0</v>
      </c>
      <c r="CP276" s="14">
        <f>ROUND(IF(BU276=0,0,HLOOKUP(BU$14,Villagers!$B$1:$V$33,BU276+3,FALSE)),)</f>
        <v>0</v>
      </c>
      <c r="CQ276" s="14">
        <f>ROUND(IF(BV276=0,0,HLOOKUP(BV$14,Villagers!$B$1:$V$33,BV276+3,FALSE)),)</f>
        <v>0</v>
      </c>
      <c r="CR276" s="14">
        <f>ROUND(IF(BW276=0,0,HLOOKUP(BW$14,Villagers!$B$1:$V$33,BW276+3,FALSE)),)</f>
        <v>0</v>
      </c>
      <c r="CS276" s="14">
        <f>ROUND(IF(BX276=0,0,HLOOKUP(BX$14,Villagers!$B$1:$V$33,BX276+3,FALSE)),)</f>
        <v>0</v>
      </c>
      <c r="CT276" s="14">
        <f>ROUND(IF(BY276=0,0,HLOOKUP(BY$14,Villagers!$B$1:$V$33,BY276+3,FALSE)),)</f>
        <v>0</v>
      </c>
      <c r="CU276" s="14">
        <f>ROUND(IF(BZ276=0,0,HLOOKUP(BZ$14,Villagers!$B$1:$V$33,BZ276+3,FALSE)),)</f>
        <v>0</v>
      </c>
      <c r="CV276" s="14">
        <f>ROUND(IF(CA276=0,0,HLOOKUP(CA$14,Villagers!$B$1:$V$33,CA276+3,FALSE)),)</f>
        <v>0</v>
      </c>
      <c r="CW276" s="14">
        <f>ROUND(IF(CB276=0,0,HLOOKUP(CB$14,Villagers!$B$1:$V$33,CB276+3,FALSE)),)</f>
        <v>0</v>
      </c>
      <c r="CX276" s="14">
        <f>ROUND(IF(CC276=0,0,HLOOKUP(CC$14,Villagers!$B$1:$V$33,CC276+3,FALSE)),)</f>
        <v>0</v>
      </c>
      <c r="CY276" s="14">
        <f>ROUND(IF(CD276=0,0,HLOOKUP(CD$14,Villagers!$B$1:$V$33,CD276+3,FALSE)),)</f>
        <v>0</v>
      </c>
      <c r="CZ276" s="14">
        <f>ROUND(IF(CE276=0,0,HLOOKUP(CE$14,Villagers!$B$1:$V$33,CE276+3,FALSE)),)</f>
        <v>5</v>
      </c>
      <c r="DA276" s="14">
        <f>ROUND(IF(CF276=0,0,HLOOKUP(CF$14,Villagers!$B$1:$V$33,CF276+3,FALSE)),)</f>
        <v>10</v>
      </c>
      <c r="DB276" s="14">
        <f>ROUND(IF(CG276=0,0,HLOOKUP(CG$14,Villagers!$B$1:$V$33,CG276+3,FALSE)),)</f>
        <v>10</v>
      </c>
      <c r="DC276" s="14">
        <f>ROUND(IF(CH276=0,0,HLOOKUP(CH$14,Villagers!$B$1:$V$33,CH276+3,FALSE)),)</f>
        <v>0</v>
      </c>
      <c r="DD276" s="14">
        <f>ROUND(IF(CI276=0,0,HLOOKUP(CI$14,Villagers!$B$1:$V$33,CI276+3,FALSE)),)</f>
        <v>0</v>
      </c>
      <c r="DE276" s="14">
        <f>ROUND(IF(CJ276=0,0,HLOOKUP(CJ$14,Villagers!$B$1:$V$33,CJ276+3,FALSE)),)</f>
        <v>2</v>
      </c>
      <c r="DF276" s="370">
        <f>ROUND(IF(CK276=0,0,HLOOKUP(CK$14,Villagers!$B$1:$V$33,CK276+3,FALSE)),)</f>
        <v>0</v>
      </c>
      <c r="DG276" s="370">
        <f>ROUND(IF(CL276=0,0,HLOOKUP(CL$14,Villagers!$B$1:$V$33,CL276+3,FALSE)),)</f>
        <v>0</v>
      </c>
      <c r="DH276" s="34">
        <f>ROUND(IF(CM276=0,0,HLOOKUP(CM$14,Villagers!$B$1:$V$33,CM276+3,FALSE)),)</f>
        <v>0</v>
      </c>
      <c r="DI276" s="109">
        <f t="shared" si="426"/>
        <v>0</v>
      </c>
      <c r="DJ276" s="50">
        <f t="shared" si="427"/>
        <v>0</v>
      </c>
      <c r="DK276" s="50">
        <f t="shared" si="428"/>
        <v>0</v>
      </c>
      <c r="DL276" s="50">
        <f t="shared" si="429"/>
        <v>0</v>
      </c>
      <c r="DM276" s="50">
        <f t="shared" si="430"/>
        <v>0</v>
      </c>
      <c r="DN276" s="50">
        <f t="shared" si="431"/>
        <v>0</v>
      </c>
      <c r="DO276" s="50">
        <f t="shared" si="432"/>
        <v>0</v>
      </c>
      <c r="DP276" s="50">
        <f t="shared" si="433"/>
        <v>0</v>
      </c>
      <c r="DQ276" s="50">
        <f t="shared" si="411"/>
        <v>0</v>
      </c>
      <c r="DR276" s="50">
        <f t="shared" si="412"/>
        <v>0</v>
      </c>
      <c r="DS276" s="96">
        <f>Miscelaneous!$D$4*Miscelaneous!$D$2^($CI276-1)</f>
        <v>1000</v>
      </c>
      <c r="DT276" s="333">
        <f t="shared" si="393"/>
        <v>1</v>
      </c>
      <c r="DU276" s="81">
        <v>1</v>
      </c>
      <c r="DV276" s="79">
        <f t="shared" si="413"/>
        <v>0</v>
      </c>
      <c r="DW276" s="79">
        <f t="shared" si="414"/>
        <v>0</v>
      </c>
      <c r="DX276" s="79">
        <f t="shared" si="415"/>
        <v>0</v>
      </c>
      <c r="DY276" s="79">
        <v>1</v>
      </c>
      <c r="DZ276" s="79">
        <f t="shared" si="416"/>
        <v>0</v>
      </c>
      <c r="EA276" s="79">
        <f t="shared" si="417"/>
        <v>0</v>
      </c>
      <c r="EB276" s="79">
        <f t="shared" si="418"/>
        <v>0</v>
      </c>
      <c r="EC276" s="79">
        <f t="shared" si="419"/>
        <v>0</v>
      </c>
      <c r="ED276" s="79">
        <v>1</v>
      </c>
      <c r="EE276" s="79">
        <v>1</v>
      </c>
      <c r="EF276" s="79">
        <f t="shared" si="420"/>
        <v>0</v>
      </c>
      <c r="EG276" s="79">
        <v>1</v>
      </c>
      <c r="EH276" s="79">
        <v>1</v>
      </c>
      <c r="EI276" s="79">
        <v>1</v>
      </c>
      <c r="EJ276" s="79">
        <v>1</v>
      </c>
      <c r="EK276" s="79">
        <v>1</v>
      </c>
      <c r="EL276" s="79">
        <v>1</v>
      </c>
      <c r="EM276" s="143">
        <f t="shared" si="421"/>
        <v>0</v>
      </c>
      <c r="EN276" s="143">
        <f t="shared" si="422"/>
        <v>0</v>
      </c>
      <c r="EO276" s="82">
        <f t="shared" si="423"/>
        <v>0</v>
      </c>
    </row>
    <row r="277" spans="1:145" x14ac:dyDescent="0.25">
      <c r="A277">
        <v>263</v>
      </c>
      <c r="B277" s="172" t="e">
        <f t="shared" si="394"/>
        <v>#N/A</v>
      </c>
      <c r="C277" s="121" t="e">
        <f t="shared" si="373"/>
        <v>#N/A</v>
      </c>
      <c r="D277" s="122" t="e">
        <f t="shared" si="374"/>
        <v>#N/A</v>
      </c>
      <c r="E277" s="122" t="e">
        <f t="shared" si="375"/>
        <v>#N/A</v>
      </c>
      <c r="F277" s="176" t="e">
        <f t="shared" si="376"/>
        <v>#N/A</v>
      </c>
      <c r="G277" s="121">
        <f t="shared" si="395"/>
        <v>208</v>
      </c>
      <c r="H277" s="176" t="e">
        <f t="shared" si="396"/>
        <v>#N/A</v>
      </c>
      <c r="I277" s="48">
        <v>1</v>
      </c>
      <c r="J277" s="39"/>
      <c r="K277" s="350">
        <v>1</v>
      </c>
      <c r="L277" s="34" t="e">
        <f t="shared" si="377"/>
        <v>#N/A</v>
      </c>
      <c r="M277" s="38" t="e">
        <f>(HLOOKUP(J277,'Construction Times'!$B$3:$W$34,L277+2,FALSE)*HLOOKUP("hq modifier",'Construction Times'!$W$3:$W$34,BS277+2,FALSE))*(1-$H$9)</f>
        <v>#N/A</v>
      </c>
      <c r="N277" s="443" t="e">
        <f t="shared" si="397"/>
        <v>#N/A</v>
      </c>
      <c r="O277" s="444"/>
      <c r="P277" s="447" t="e">
        <f t="shared" si="398"/>
        <v>#N/A</v>
      </c>
      <c r="Q277" s="448"/>
      <c r="R277" s="103">
        <f t="shared" si="424"/>
        <v>0</v>
      </c>
      <c r="S277" s="104">
        <f t="shared" si="424"/>
        <v>0</v>
      </c>
      <c r="T277" s="104">
        <f t="shared" si="425"/>
        <v>0</v>
      </c>
      <c r="U277" s="104">
        <f t="shared" si="425"/>
        <v>0</v>
      </c>
      <c r="V277" s="104">
        <f t="shared" si="425"/>
        <v>9.9999999999999995E-8</v>
      </c>
      <c r="W277" s="104">
        <f t="shared" si="425"/>
        <v>0</v>
      </c>
      <c r="X277" s="104">
        <f t="shared" si="365"/>
        <v>0</v>
      </c>
      <c r="Y277" s="104">
        <f t="shared" si="365"/>
        <v>9.9999999999999995E-8</v>
      </c>
      <c r="Z277" s="104">
        <f t="shared" si="365"/>
        <v>9.9999999999999995E-8</v>
      </c>
      <c r="AA277" s="105">
        <f t="shared" si="365"/>
        <v>9.9999999999999995E-8</v>
      </c>
      <c r="AB277" s="101" t="e">
        <f>$DT277*HLOOKUP($J277,'Construction Costs (timber)'!$B$1:$V$32,'Construction Planner'!$L277+2,FALSE)</f>
        <v>#N/A</v>
      </c>
      <c r="AC277" s="14" t="e">
        <f>$DT277*HLOOKUP($J277,'Construction Costs (clay)'!$B$1:$V$32,'Construction Planner'!$L277+2,FALSE)</f>
        <v>#N/A</v>
      </c>
      <c r="AD277" s="14" t="e">
        <f>$DT277*HLOOKUP($J277,'Construction Costs (iron)'!$B$1:$V$32,'Construction Planner'!$L277+2,FALSE)</f>
        <v>#N/A</v>
      </c>
      <c r="AE277" s="34" t="e">
        <f t="shared" si="434"/>
        <v>#N/A</v>
      </c>
      <c r="AF277" s="33" t="e">
        <f t="shared" si="378"/>
        <v>#N/A</v>
      </c>
      <c r="AG277" s="14" t="e">
        <f t="shared" si="379"/>
        <v>#N/A</v>
      </c>
      <c r="AH277" s="14" t="e">
        <f t="shared" si="380"/>
        <v>#N/A</v>
      </c>
      <c r="AI277" s="34" t="e">
        <f t="shared" si="435"/>
        <v>#N/A</v>
      </c>
      <c r="AJ277" s="49" t="e">
        <f t="shared" si="399"/>
        <v>#N/A</v>
      </c>
      <c r="AK277" s="49" t="e">
        <f t="shared" si="400"/>
        <v>#N/A</v>
      </c>
      <c r="AL277" s="49" t="e">
        <f t="shared" si="401"/>
        <v>#N/A</v>
      </c>
      <c r="AM277" s="25">
        <f t="shared" si="381"/>
        <v>30</v>
      </c>
      <c r="AN277" s="25">
        <f t="shared" si="382"/>
        <v>30</v>
      </c>
      <c r="AO277" s="25">
        <f t="shared" si="383"/>
        <v>30</v>
      </c>
      <c r="AP277" s="52" t="e">
        <f t="shared" si="402"/>
        <v>#N/A</v>
      </c>
      <c r="AQ277" s="53" t="e">
        <f t="shared" si="402"/>
        <v>#N/A</v>
      </c>
      <c r="AR277" s="54" t="e">
        <f t="shared" si="402"/>
        <v>#N/A</v>
      </c>
      <c r="AS277" s="316">
        <f t="shared" si="436"/>
        <v>0</v>
      </c>
      <c r="AT277" s="106">
        <f>_xlfn.IFNA($M277/VLOOKUP($BT277,'Unit information'!$A$2:$K$29,2,FALSE)*R277,0)*(1+$E$9)</f>
        <v>0</v>
      </c>
      <c r="AU277" s="107">
        <f>_xlfn.IFNA($M277/VLOOKUP($BT277,'Unit information'!$A$2:$K$29,3,FALSE)*S277,0)*(1+$E$9)</f>
        <v>0</v>
      </c>
      <c r="AV277" s="107">
        <f>_xlfn.IFNA($M277/VLOOKUP($BT277,'Unit information'!$A$2:$K$29,4,FALSE)*T277,0)*(1+$E$9)</f>
        <v>0</v>
      </c>
      <c r="AW277" s="107">
        <f>_xlfn.IFNA($M277/VLOOKUP($BT277,'Unit information'!$A$2:$K$29,5,FALSE)*U277,0)*(1+$E$9)</f>
        <v>0</v>
      </c>
      <c r="AX277" s="107">
        <f>_xlfn.IFNA($M277/VLOOKUP($BU277,'Unit information'!$A$2:$K$29,6,FALSE)*V277,0)*(1+$E$9)</f>
        <v>0</v>
      </c>
      <c r="AY277" s="107">
        <f>_xlfn.IFNA($M277/VLOOKUP($BU277,'Unit information'!$A$2:$K$29,7,FALSE)*W277,0)*(1+$E$9)</f>
        <v>0</v>
      </c>
      <c r="AZ277" s="107">
        <f>_xlfn.IFNA($M277/VLOOKUP($BU277,'Unit information'!$A$2:$K$29,8,FALSE)*X277,0)*(1+$E$9)</f>
        <v>0</v>
      </c>
      <c r="BA277" s="107">
        <f>_xlfn.IFNA($M277/VLOOKUP($BU277,'Unit information'!$A$2:$K$29,9,FALSE)*Y277,0)*(1+$E$9)</f>
        <v>0</v>
      </c>
      <c r="BB277" s="107">
        <f>_xlfn.IFNA($M277/VLOOKUP($BV277,'Unit information'!$A$2:$K$29,10,FALSE)*Z277,0)*(1+$E$9)</f>
        <v>0</v>
      </c>
      <c r="BC277" s="108">
        <f>_xlfn.IFNA($M277/VLOOKUP($BV277,'Unit information'!$A$2:$K$29,11,FALSE)*AA277,0)*(1+$E$9)</f>
        <v>0</v>
      </c>
      <c r="BD277" s="106">
        <f t="shared" si="384"/>
        <v>0</v>
      </c>
      <c r="BE277" s="107">
        <f t="shared" si="385"/>
        <v>0</v>
      </c>
      <c r="BF277" s="108">
        <f t="shared" si="386"/>
        <v>0</v>
      </c>
      <c r="BG277" s="25" t="e">
        <f t="shared" si="387"/>
        <v>#N/A</v>
      </c>
      <c r="BH277" s="25" t="e">
        <f t="shared" si="388"/>
        <v>#N/A</v>
      </c>
      <c r="BI277" s="25" t="e">
        <f t="shared" si="389"/>
        <v>#N/A</v>
      </c>
      <c r="BJ277" s="27" t="e">
        <f t="shared" si="390"/>
        <v>#N/A</v>
      </c>
      <c r="BK277" s="18" t="e">
        <f t="shared" si="391"/>
        <v>#N/A</v>
      </c>
      <c r="BL277" s="18" t="e">
        <f t="shared" si="392"/>
        <v>#N/A</v>
      </c>
      <c r="BM277" s="28" t="e">
        <f t="shared" si="437"/>
        <v>#N/A</v>
      </c>
      <c r="BN277" s="33">
        <f>HLOOKUP("maximum population",Miscelaneous!$C$1:$C$33,CH277+3,FALSE)</f>
        <v>240</v>
      </c>
      <c r="BO277" s="14">
        <f t="shared" si="403"/>
        <v>32</v>
      </c>
      <c r="BP277" s="14">
        <f t="shared" si="404"/>
        <v>0</v>
      </c>
      <c r="BQ277" s="14">
        <f t="shared" si="405"/>
        <v>208</v>
      </c>
      <c r="BR277" s="34" t="e">
        <f>HLOOKUP(J277,Villagers!$B$1:$V$33,L277+3,FALSE)-HLOOKUP(J277,Villagers!$B$1:$V$33,L277+2,FALSE)</f>
        <v>#N/A</v>
      </c>
      <c r="BS277" s="49">
        <f t="shared" si="406"/>
        <v>1</v>
      </c>
      <c r="BT277" s="50">
        <f t="shared" si="407"/>
        <v>0</v>
      </c>
      <c r="BU277" s="50">
        <f t="shared" si="408"/>
        <v>0</v>
      </c>
      <c r="BV277" s="50">
        <f t="shared" si="409"/>
        <v>0</v>
      </c>
      <c r="BW277" s="50">
        <f t="shared" si="410"/>
        <v>0</v>
      </c>
      <c r="BX277" s="50">
        <f t="shared" si="410"/>
        <v>0</v>
      </c>
      <c r="BY277" s="50">
        <f t="shared" si="410"/>
        <v>0</v>
      </c>
      <c r="BZ277" s="50">
        <f t="shared" si="350"/>
        <v>0</v>
      </c>
      <c r="CA277" s="50">
        <f t="shared" si="351"/>
        <v>0</v>
      </c>
      <c r="CB277" s="50">
        <f t="shared" si="352"/>
        <v>1</v>
      </c>
      <c r="CC277" s="50">
        <f t="shared" si="353"/>
        <v>0</v>
      </c>
      <c r="CD277" s="50">
        <f t="shared" si="354"/>
        <v>0</v>
      </c>
      <c r="CE277" s="50">
        <f t="shared" si="355"/>
        <v>1</v>
      </c>
      <c r="CF277" s="50">
        <f t="shared" si="356"/>
        <v>1</v>
      </c>
      <c r="CG277" s="50">
        <f t="shared" si="357"/>
        <v>1</v>
      </c>
      <c r="CH277" s="50">
        <f t="shared" si="358"/>
        <v>1</v>
      </c>
      <c r="CI277" s="50">
        <f t="shared" si="359"/>
        <v>1</v>
      </c>
      <c r="CJ277" s="50">
        <f t="shared" si="360"/>
        <v>1</v>
      </c>
      <c r="CK277" s="50">
        <f t="shared" si="360"/>
        <v>0</v>
      </c>
      <c r="CL277" s="50">
        <f t="shared" si="360"/>
        <v>0</v>
      </c>
      <c r="CM277" s="51">
        <f t="shared" si="368"/>
        <v>0</v>
      </c>
      <c r="CN277" s="33">
        <f>ROUND(IF(BS277=0,0,HLOOKUP(BS$14,Villagers!$B$1:$V$33,BS277+3,FALSE)),)</f>
        <v>5</v>
      </c>
      <c r="CO277" s="14">
        <f>ROUND(IF(BT277=0,0,HLOOKUP(BT$14,Villagers!$B$1:$V$33,BT277+3,FALSE)),)</f>
        <v>0</v>
      </c>
      <c r="CP277" s="14">
        <f>ROUND(IF(BU277=0,0,HLOOKUP(BU$14,Villagers!$B$1:$V$33,BU277+3,FALSE)),)</f>
        <v>0</v>
      </c>
      <c r="CQ277" s="14">
        <f>ROUND(IF(BV277=0,0,HLOOKUP(BV$14,Villagers!$B$1:$V$33,BV277+3,FALSE)),)</f>
        <v>0</v>
      </c>
      <c r="CR277" s="14">
        <f>ROUND(IF(BW277=0,0,HLOOKUP(BW$14,Villagers!$B$1:$V$33,BW277+3,FALSE)),)</f>
        <v>0</v>
      </c>
      <c r="CS277" s="14">
        <f>ROUND(IF(BX277=0,0,HLOOKUP(BX$14,Villagers!$B$1:$V$33,BX277+3,FALSE)),)</f>
        <v>0</v>
      </c>
      <c r="CT277" s="14">
        <f>ROUND(IF(BY277=0,0,HLOOKUP(BY$14,Villagers!$B$1:$V$33,BY277+3,FALSE)),)</f>
        <v>0</v>
      </c>
      <c r="CU277" s="14">
        <f>ROUND(IF(BZ277=0,0,HLOOKUP(BZ$14,Villagers!$B$1:$V$33,BZ277+3,FALSE)),)</f>
        <v>0</v>
      </c>
      <c r="CV277" s="14">
        <f>ROUND(IF(CA277=0,0,HLOOKUP(CA$14,Villagers!$B$1:$V$33,CA277+3,FALSE)),)</f>
        <v>0</v>
      </c>
      <c r="CW277" s="14">
        <f>ROUND(IF(CB277=0,0,HLOOKUP(CB$14,Villagers!$B$1:$V$33,CB277+3,FALSE)),)</f>
        <v>0</v>
      </c>
      <c r="CX277" s="14">
        <f>ROUND(IF(CC277=0,0,HLOOKUP(CC$14,Villagers!$B$1:$V$33,CC277+3,FALSE)),)</f>
        <v>0</v>
      </c>
      <c r="CY277" s="14">
        <f>ROUND(IF(CD277=0,0,HLOOKUP(CD$14,Villagers!$B$1:$V$33,CD277+3,FALSE)),)</f>
        <v>0</v>
      </c>
      <c r="CZ277" s="14">
        <f>ROUND(IF(CE277=0,0,HLOOKUP(CE$14,Villagers!$B$1:$V$33,CE277+3,FALSE)),)</f>
        <v>5</v>
      </c>
      <c r="DA277" s="14">
        <f>ROUND(IF(CF277=0,0,HLOOKUP(CF$14,Villagers!$B$1:$V$33,CF277+3,FALSE)),)</f>
        <v>10</v>
      </c>
      <c r="DB277" s="14">
        <f>ROUND(IF(CG277=0,0,HLOOKUP(CG$14,Villagers!$B$1:$V$33,CG277+3,FALSE)),)</f>
        <v>10</v>
      </c>
      <c r="DC277" s="14">
        <f>ROUND(IF(CH277=0,0,HLOOKUP(CH$14,Villagers!$B$1:$V$33,CH277+3,FALSE)),)</f>
        <v>0</v>
      </c>
      <c r="DD277" s="14">
        <f>ROUND(IF(CI277=0,0,HLOOKUP(CI$14,Villagers!$B$1:$V$33,CI277+3,FALSE)),)</f>
        <v>0</v>
      </c>
      <c r="DE277" s="14">
        <f>ROUND(IF(CJ277=0,0,HLOOKUP(CJ$14,Villagers!$B$1:$V$33,CJ277+3,FALSE)),)</f>
        <v>2</v>
      </c>
      <c r="DF277" s="370">
        <f>ROUND(IF(CK277=0,0,HLOOKUP(CK$14,Villagers!$B$1:$V$33,CK277+3,FALSE)),)</f>
        <v>0</v>
      </c>
      <c r="DG277" s="370">
        <f>ROUND(IF(CL277=0,0,HLOOKUP(CL$14,Villagers!$B$1:$V$33,CL277+3,FALSE)),)</f>
        <v>0</v>
      </c>
      <c r="DH277" s="34">
        <f>ROUND(IF(CM277=0,0,HLOOKUP(CM$14,Villagers!$B$1:$V$33,CM277+3,FALSE)),)</f>
        <v>0</v>
      </c>
      <c r="DI277" s="109">
        <f t="shared" si="426"/>
        <v>0</v>
      </c>
      <c r="DJ277" s="50">
        <f t="shared" si="427"/>
        <v>0</v>
      </c>
      <c r="DK277" s="50">
        <f t="shared" si="428"/>
        <v>0</v>
      </c>
      <c r="DL277" s="50">
        <f t="shared" si="429"/>
        <v>0</v>
      </c>
      <c r="DM277" s="50">
        <f t="shared" si="430"/>
        <v>0</v>
      </c>
      <c r="DN277" s="50">
        <f t="shared" si="431"/>
        <v>0</v>
      </c>
      <c r="DO277" s="50">
        <f t="shared" si="432"/>
        <v>0</v>
      </c>
      <c r="DP277" s="50">
        <f t="shared" si="433"/>
        <v>0</v>
      </c>
      <c r="DQ277" s="50">
        <f t="shared" si="411"/>
        <v>0</v>
      </c>
      <c r="DR277" s="50">
        <f t="shared" si="412"/>
        <v>0</v>
      </c>
      <c r="DS277" s="96">
        <f>Miscelaneous!$D$4*Miscelaneous!$D$2^($CI277-1)</f>
        <v>1000</v>
      </c>
      <c r="DT277" s="333">
        <f t="shared" si="393"/>
        <v>1</v>
      </c>
      <c r="DU277" s="81">
        <v>1</v>
      </c>
      <c r="DV277" s="79">
        <f t="shared" si="413"/>
        <v>0</v>
      </c>
      <c r="DW277" s="79">
        <f t="shared" si="414"/>
        <v>0</v>
      </c>
      <c r="DX277" s="79">
        <f t="shared" si="415"/>
        <v>0</v>
      </c>
      <c r="DY277" s="79">
        <v>1</v>
      </c>
      <c r="DZ277" s="79">
        <f t="shared" si="416"/>
        <v>0</v>
      </c>
      <c r="EA277" s="79">
        <f t="shared" si="417"/>
        <v>0</v>
      </c>
      <c r="EB277" s="79">
        <f t="shared" si="418"/>
        <v>0</v>
      </c>
      <c r="EC277" s="79">
        <f t="shared" si="419"/>
        <v>0</v>
      </c>
      <c r="ED277" s="79">
        <v>1</v>
      </c>
      <c r="EE277" s="79">
        <v>1</v>
      </c>
      <c r="EF277" s="79">
        <f t="shared" si="420"/>
        <v>0</v>
      </c>
      <c r="EG277" s="79">
        <v>1</v>
      </c>
      <c r="EH277" s="79">
        <v>1</v>
      </c>
      <c r="EI277" s="79">
        <v>1</v>
      </c>
      <c r="EJ277" s="79">
        <v>1</v>
      </c>
      <c r="EK277" s="79">
        <v>1</v>
      </c>
      <c r="EL277" s="79">
        <v>1</v>
      </c>
      <c r="EM277" s="143">
        <f t="shared" si="421"/>
        <v>0</v>
      </c>
      <c r="EN277" s="143">
        <f t="shared" si="422"/>
        <v>0</v>
      </c>
      <c r="EO277" s="82">
        <f t="shared" si="423"/>
        <v>0</v>
      </c>
    </row>
    <row r="278" spans="1:145" x14ac:dyDescent="0.25">
      <c r="A278">
        <v>264</v>
      </c>
      <c r="B278" s="172" t="e">
        <f t="shared" si="394"/>
        <v>#N/A</v>
      </c>
      <c r="C278" s="121" t="e">
        <f t="shared" si="373"/>
        <v>#N/A</v>
      </c>
      <c r="D278" s="122" t="e">
        <f t="shared" si="374"/>
        <v>#N/A</v>
      </c>
      <c r="E278" s="122" t="e">
        <f t="shared" si="375"/>
        <v>#N/A</v>
      </c>
      <c r="F278" s="176" t="e">
        <f t="shared" si="376"/>
        <v>#N/A</v>
      </c>
      <c r="G278" s="121">
        <f t="shared" si="395"/>
        <v>208</v>
      </c>
      <c r="H278" s="176" t="e">
        <f t="shared" si="396"/>
        <v>#N/A</v>
      </c>
      <c r="I278" s="48">
        <v>1</v>
      </c>
      <c r="J278" s="39"/>
      <c r="K278" s="350">
        <v>1</v>
      </c>
      <c r="L278" s="34" t="e">
        <f t="shared" si="377"/>
        <v>#N/A</v>
      </c>
      <c r="M278" s="38" t="e">
        <f>(HLOOKUP(J278,'Construction Times'!$B$3:$W$34,L278+2,FALSE)*HLOOKUP("hq modifier",'Construction Times'!$W$3:$W$34,BS278+2,FALSE))*(1-$H$9)</f>
        <v>#N/A</v>
      </c>
      <c r="N278" s="443" t="e">
        <f t="shared" si="397"/>
        <v>#N/A</v>
      </c>
      <c r="O278" s="444"/>
      <c r="P278" s="447" t="e">
        <f t="shared" si="398"/>
        <v>#N/A</v>
      </c>
      <c r="Q278" s="448"/>
      <c r="R278" s="103">
        <f t="shared" si="424"/>
        <v>0</v>
      </c>
      <c r="S278" s="104">
        <f t="shared" si="424"/>
        <v>0</v>
      </c>
      <c r="T278" s="104">
        <f t="shared" si="425"/>
        <v>0</v>
      </c>
      <c r="U278" s="104">
        <f t="shared" si="425"/>
        <v>0</v>
      </c>
      <c r="V278" s="104">
        <f t="shared" si="425"/>
        <v>9.9999999999999995E-8</v>
      </c>
      <c r="W278" s="104">
        <f t="shared" si="425"/>
        <v>0</v>
      </c>
      <c r="X278" s="104">
        <f t="shared" si="365"/>
        <v>0</v>
      </c>
      <c r="Y278" s="104">
        <f t="shared" si="365"/>
        <v>9.9999999999999995E-8</v>
      </c>
      <c r="Z278" s="104">
        <f t="shared" si="365"/>
        <v>9.9999999999999995E-8</v>
      </c>
      <c r="AA278" s="105">
        <f t="shared" si="365"/>
        <v>9.9999999999999995E-8</v>
      </c>
      <c r="AB278" s="101" t="e">
        <f>$DT278*HLOOKUP($J278,'Construction Costs (timber)'!$B$1:$V$32,'Construction Planner'!$L278+2,FALSE)</f>
        <v>#N/A</v>
      </c>
      <c r="AC278" s="14" t="e">
        <f>$DT278*HLOOKUP($J278,'Construction Costs (clay)'!$B$1:$V$32,'Construction Planner'!$L278+2,FALSE)</f>
        <v>#N/A</v>
      </c>
      <c r="AD278" s="14" t="e">
        <f>$DT278*HLOOKUP($J278,'Construction Costs (iron)'!$B$1:$V$32,'Construction Planner'!$L278+2,FALSE)</f>
        <v>#N/A</v>
      </c>
      <c r="AE278" s="34" t="e">
        <f t="shared" si="434"/>
        <v>#N/A</v>
      </c>
      <c r="AF278" s="33" t="e">
        <f t="shared" si="378"/>
        <v>#N/A</v>
      </c>
      <c r="AG278" s="14" t="e">
        <f t="shared" si="379"/>
        <v>#N/A</v>
      </c>
      <c r="AH278" s="14" t="e">
        <f t="shared" si="380"/>
        <v>#N/A</v>
      </c>
      <c r="AI278" s="34" t="e">
        <f t="shared" si="435"/>
        <v>#N/A</v>
      </c>
      <c r="AJ278" s="49" t="e">
        <f t="shared" si="399"/>
        <v>#N/A</v>
      </c>
      <c r="AK278" s="49" t="e">
        <f t="shared" si="400"/>
        <v>#N/A</v>
      </c>
      <c r="AL278" s="49" t="e">
        <f t="shared" si="401"/>
        <v>#N/A</v>
      </c>
      <c r="AM278" s="25">
        <f t="shared" si="381"/>
        <v>30</v>
      </c>
      <c r="AN278" s="25">
        <f t="shared" si="382"/>
        <v>30</v>
      </c>
      <c r="AO278" s="25">
        <f t="shared" si="383"/>
        <v>30</v>
      </c>
      <c r="AP278" s="52" t="e">
        <f t="shared" si="402"/>
        <v>#N/A</v>
      </c>
      <c r="AQ278" s="53" t="e">
        <f t="shared" si="402"/>
        <v>#N/A</v>
      </c>
      <c r="AR278" s="54" t="e">
        <f t="shared" si="402"/>
        <v>#N/A</v>
      </c>
      <c r="AS278" s="316">
        <f t="shared" si="436"/>
        <v>0</v>
      </c>
      <c r="AT278" s="106">
        <f>_xlfn.IFNA($M278/VLOOKUP($BT278,'Unit information'!$A$2:$K$29,2,FALSE)*R278,0)*(1+$E$9)</f>
        <v>0</v>
      </c>
      <c r="AU278" s="107">
        <f>_xlfn.IFNA($M278/VLOOKUP($BT278,'Unit information'!$A$2:$K$29,3,FALSE)*S278,0)*(1+$E$9)</f>
        <v>0</v>
      </c>
      <c r="AV278" s="107">
        <f>_xlfn.IFNA($M278/VLOOKUP($BT278,'Unit information'!$A$2:$K$29,4,FALSE)*T278,0)*(1+$E$9)</f>
        <v>0</v>
      </c>
      <c r="AW278" s="107">
        <f>_xlfn.IFNA($M278/VLOOKUP($BT278,'Unit information'!$A$2:$K$29,5,FALSE)*U278,0)*(1+$E$9)</f>
        <v>0</v>
      </c>
      <c r="AX278" s="107">
        <f>_xlfn.IFNA($M278/VLOOKUP($BU278,'Unit information'!$A$2:$K$29,6,FALSE)*V278,0)*(1+$E$9)</f>
        <v>0</v>
      </c>
      <c r="AY278" s="107">
        <f>_xlfn.IFNA($M278/VLOOKUP($BU278,'Unit information'!$A$2:$K$29,7,FALSE)*W278,0)*(1+$E$9)</f>
        <v>0</v>
      </c>
      <c r="AZ278" s="107">
        <f>_xlfn.IFNA($M278/VLOOKUP($BU278,'Unit information'!$A$2:$K$29,8,FALSE)*X278,0)*(1+$E$9)</f>
        <v>0</v>
      </c>
      <c r="BA278" s="107">
        <f>_xlfn.IFNA($M278/VLOOKUP($BU278,'Unit information'!$A$2:$K$29,9,FALSE)*Y278,0)*(1+$E$9)</f>
        <v>0</v>
      </c>
      <c r="BB278" s="107">
        <f>_xlfn.IFNA($M278/VLOOKUP($BV278,'Unit information'!$A$2:$K$29,10,FALSE)*Z278,0)*(1+$E$9)</f>
        <v>0</v>
      </c>
      <c r="BC278" s="108">
        <f>_xlfn.IFNA($M278/VLOOKUP($BV278,'Unit information'!$A$2:$K$29,11,FALSE)*AA278,0)*(1+$E$9)</f>
        <v>0</v>
      </c>
      <c r="BD278" s="106">
        <f t="shared" si="384"/>
        <v>0</v>
      </c>
      <c r="BE278" s="107">
        <f t="shared" si="385"/>
        <v>0</v>
      </c>
      <c r="BF278" s="108">
        <f t="shared" si="386"/>
        <v>0</v>
      </c>
      <c r="BG278" s="25" t="e">
        <f t="shared" si="387"/>
        <v>#N/A</v>
      </c>
      <c r="BH278" s="25" t="e">
        <f t="shared" si="388"/>
        <v>#N/A</v>
      </c>
      <c r="BI278" s="25" t="e">
        <f t="shared" si="389"/>
        <v>#N/A</v>
      </c>
      <c r="BJ278" s="27" t="e">
        <f t="shared" si="390"/>
        <v>#N/A</v>
      </c>
      <c r="BK278" s="18" t="e">
        <f t="shared" si="391"/>
        <v>#N/A</v>
      </c>
      <c r="BL278" s="18" t="e">
        <f t="shared" si="392"/>
        <v>#N/A</v>
      </c>
      <c r="BM278" s="28" t="e">
        <f t="shared" si="437"/>
        <v>#N/A</v>
      </c>
      <c r="BN278" s="33">
        <f>HLOOKUP("maximum population",Miscelaneous!$C$1:$C$33,CH278+3,FALSE)</f>
        <v>240</v>
      </c>
      <c r="BO278" s="14">
        <f t="shared" si="403"/>
        <v>32</v>
      </c>
      <c r="BP278" s="14">
        <f t="shared" si="404"/>
        <v>0</v>
      </c>
      <c r="BQ278" s="14">
        <f t="shared" si="405"/>
        <v>208</v>
      </c>
      <c r="BR278" s="34" t="e">
        <f>HLOOKUP(J278,Villagers!$B$1:$V$33,L278+3,FALSE)-HLOOKUP(J278,Villagers!$B$1:$V$33,L278+2,FALSE)</f>
        <v>#N/A</v>
      </c>
      <c r="BS278" s="49">
        <f t="shared" si="406"/>
        <v>1</v>
      </c>
      <c r="BT278" s="50">
        <f t="shared" si="407"/>
        <v>0</v>
      </c>
      <c r="BU278" s="50">
        <f t="shared" si="408"/>
        <v>0</v>
      </c>
      <c r="BV278" s="50">
        <f t="shared" si="409"/>
        <v>0</v>
      </c>
      <c r="BW278" s="50">
        <f t="shared" si="410"/>
        <v>0</v>
      </c>
      <c r="BX278" s="50">
        <f t="shared" si="410"/>
        <v>0</v>
      </c>
      <c r="BY278" s="50">
        <f t="shared" si="410"/>
        <v>0</v>
      </c>
      <c r="BZ278" s="50">
        <f t="shared" si="350"/>
        <v>0</v>
      </c>
      <c r="CA278" s="50">
        <f t="shared" si="351"/>
        <v>0</v>
      </c>
      <c r="CB278" s="50">
        <f t="shared" si="352"/>
        <v>1</v>
      </c>
      <c r="CC278" s="50">
        <f t="shared" si="353"/>
        <v>0</v>
      </c>
      <c r="CD278" s="50">
        <f t="shared" si="354"/>
        <v>0</v>
      </c>
      <c r="CE278" s="50">
        <f t="shared" si="355"/>
        <v>1</v>
      </c>
      <c r="CF278" s="50">
        <f t="shared" si="356"/>
        <v>1</v>
      </c>
      <c r="CG278" s="50">
        <f t="shared" si="357"/>
        <v>1</v>
      </c>
      <c r="CH278" s="50">
        <f t="shared" si="358"/>
        <v>1</v>
      </c>
      <c r="CI278" s="50">
        <f t="shared" si="359"/>
        <v>1</v>
      </c>
      <c r="CJ278" s="50">
        <f t="shared" si="360"/>
        <v>1</v>
      </c>
      <c r="CK278" s="50">
        <f t="shared" si="360"/>
        <v>0</v>
      </c>
      <c r="CL278" s="50">
        <f t="shared" si="360"/>
        <v>0</v>
      </c>
      <c r="CM278" s="51">
        <f t="shared" si="368"/>
        <v>0</v>
      </c>
      <c r="CN278" s="33">
        <f>ROUND(IF(BS278=0,0,HLOOKUP(BS$14,Villagers!$B$1:$V$33,BS278+3,FALSE)),)</f>
        <v>5</v>
      </c>
      <c r="CO278" s="14">
        <f>ROUND(IF(BT278=0,0,HLOOKUP(BT$14,Villagers!$B$1:$V$33,BT278+3,FALSE)),)</f>
        <v>0</v>
      </c>
      <c r="CP278" s="14">
        <f>ROUND(IF(BU278=0,0,HLOOKUP(BU$14,Villagers!$B$1:$V$33,BU278+3,FALSE)),)</f>
        <v>0</v>
      </c>
      <c r="CQ278" s="14">
        <f>ROUND(IF(BV278=0,0,HLOOKUP(BV$14,Villagers!$B$1:$V$33,BV278+3,FALSE)),)</f>
        <v>0</v>
      </c>
      <c r="CR278" s="14">
        <f>ROUND(IF(BW278=0,0,HLOOKUP(BW$14,Villagers!$B$1:$V$33,BW278+3,FALSE)),)</f>
        <v>0</v>
      </c>
      <c r="CS278" s="14">
        <f>ROUND(IF(BX278=0,0,HLOOKUP(BX$14,Villagers!$B$1:$V$33,BX278+3,FALSE)),)</f>
        <v>0</v>
      </c>
      <c r="CT278" s="14">
        <f>ROUND(IF(BY278=0,0,HLOOKUP(BY$14,Villagers!$B$1:$V$33,BY278+3,FALSE)),)</f>
        <v>0</v>
      </c>
      <c r="CU278" s="14">
        <f>ROUND(IF(BZ278=0,0,HLOOKUP(BZ$14,Villagers!$B$1:$V$33,BZ278+3,FALSE)),)</f>
        <v>0</v>
      </c>
      <c r="CV278" s="14">
        <f>ROUND(IF(CA278=0,0,HLOOKUP(CA$14,Villagers!$B$1:$V$33,CA278+3,FALSE)),)</f>
        <v>0</v>
      </c>
      <c r="CW278" s="14">
        <f>ROUND(IF(CB278=0,0,HLOOKUP(CB$14,Villagers!$B$1:$V$33,CB278+3,FALSE)),)</f>
        <v>0</v>
      </c>
      <c r="CX278" s="14">
        <f>ROUND(IF(CC278=0,0,HLOOKUP(CC$14,Villagers!$B$1:$V$33,CC278+3,FALSE)),)</f>
        <v>0</v>
      </c>
      <c r="CY278" s="14">
        <f>ROUND(IF(CD278=0,0,HLOOKUP(CD$14,Villagers!$B$1:$V$33,CD278+3,FALSE)),)</f>
        <v>0</v>
      </c>
      <c r="CZ278" s="14">
        <f>ROUND(IF(CE278=0,0,HLOOKUP(CE$14,Villagers!$B$1:$V$33,CE278+3,FALSE)),)</f>
        <v>5</v>
      </c>
      <c r="DA278" s="14">
        <f>ROUND(IF(CF278=0,0,HLOOKUP(CF$14,Villagers!$B$1:$V$33,CF278+3,FALSE)),)</f>
        <v>10</v>
      </c>
      <c r="DB278" s="14">
        <f>ROUND(IF(CG278=0,0,HLOOKUP(CG$14,Villagers!$B$1:$V$33,CG278+3,FALSE)),)</f>
        <v>10</v>
      </c>
      <c r="DC278" s="14">
        <f>ROUND(IF(CH278=0,0,HLOOKUP(CH$14,Villagers!$B$1:$V$33,CH278+3,FALSE)),)</f>
        <v>0</v>
      </c>
      <c r="DD278" s="14">
        <f>ROUND(IF(CI278=0,0,HLOOKUP(CI$14,Villagers!$B$1:$V$33,CI278+3,FALSE)),)</f>
        <v>0</v>
      </c>
      <c r="DE278" s="14">
        <f>ROUND(IF(CJ278=0,0,HLOOKUP(CJ$14,Villagers!$B$1:$V$33,CJ278+3,FALSE)),)</f>
        <v>2</v>
      </c>
      <c r="DF278" s="370">
        <f>ROUND(IF(CK278=0,0,HLOOKUP(CK$14,Villagers!$B$1:$V$33,CK278+3,FALSE)),)</f>
        <v>0</v>
      </c>
      <c r="DG278" s="370">
        <f>ROUND(IF(CL278=0,0,HLOOKUP(CL$14,Villagers!$B$1:$V$33,CL278+3,FALSE)),)</f>
        <v>0</v>
      </c>
      <c r="DH278" s="34">
        <f>ROUND(IF(CM278=0,0,HLOOKUP(CM$14,Villagers!$B$1:$V$33,CM278+3,FALSE)),)</f>
        <v>0</v>
      </c>
      <c r="DI278" s="109">
        <f t="shared" si="426"/>
        <v>0</v>
      </c>
      <c r="DJ278" s="50">
        <f t="shared" si="427"/>
        <v>0</v>
      </c>
      <c r="DK278" s="50">
        <f t="shared" si="428"/>
        <v>0</v>
      </c>
      <c r="DL278" s="50">
        <f t="shared" si="429"/>
        <v>0</v>
      </c>
      <c r="DM278" s="50">
        <f t="shared" si="430"/>
        <v>0</v>
      </c>
      <c r="DN278" s="50">
        <f t="shared" si="431"/>
        <v>0</v>
      </c>
      <c r="DO278" s="50">
        <f t="shared" si="432"/>
        <v>0</v>
      </c>
      <c r="DP278" s="50">
        <f t="shared" si="433"/>
        <v>0</v>
      </c>
      <c r="DQ278" s="50">
        <f t="shared" si="411"/>
        <v>0</v>
      </c>
      <c r="DR278" s="50">
        <f t="shared" si="412"/>
        <v>0</v>
      </c>
      <c r="DS278" s="96">
        <f>Miscelaneous!$D$4*Miscelaneous!$D$2^($CI278-1)</f>
        <v>1000</v>
      </c>
      <c r="DT278" s="333">
        <f t="shared" si="393"/>
        <v>1</v>
      </c>
      <c r="DU278" s="81">
        <v>1</v>
      </c>
      <c r="DV278" s="79">
        <f t="shared" si="413"/>
        <v>0</v>
      </c>
      <c r="DW278" s="79">
        <f t="shared" si="414"/>
        <v>0</v>
      </c>
      <c r="DX278" s="79">
        <f t="shared" si="415"/>
        <v>0</v>
      </c>
      <c r="DY278" s="79">
        <v>1</v>
      </c>
      <c r="DZ278" s="79">
        <f t="shared" si="416"/>
        <v>0</v>
      </c>
      <c r="EA278" s="79">
        <f t="shared" si="417"/>
        <v>0</v>
      </c>
      <c r="EB278" s="79">
        <f t="shared" si="418"/>
        <v>0</v>
      </c>
      <c r="EC278" s="79">
        <f t="shared" si="419"/>
        <v>0</v>
      </c>
      <c r="ED278" s="79">
        <v>1</v>
      </c>
      <c r="EE278" s="79">
        <v>1</v>
      </c>
      <c r="EF278" s="79">
        <f t="shared" si="420"/>
        <v>0</v>
      </c>
      <c r="EG278" s="79">
        <v>1</v>
      </c>
      <c r="EH278" s="79">
        <v>1</v>
      </c>
      <c r="EI278" s="79">
        <v>1</v>
      </c>
      <c r="EJ278" s="79">
        <v>1</v>
      </c>
      <c r="EK278" s="79">
        <v>1</v>
      </c>
      <c r="EL278" s="79">
        <v>1</v>
      </c>
      <c r="EM278" s="143">
        <f t="shared" si="421"/>
        <v>0</v>
      </c>
      <c r="EN278" s="143">
        <f t="shared" si="422"/>
        <v>0</v>
      </c>
      <c r="EO278" s="82">
        <f t="shared" si="423"/>
        <v>0</v>
      </c>
    </row>
    <row r="279" spans="1:145" x14ac:dyDescent="0.25">
      <c r="A279">
        <v>265</v>
      </c>
      <c r="B279" s="172" t="e">
        <f t="shared" si="394"/>
        <v>#N/A</v>
      </c>
      <c r="C279" s="121" t="e">
        <f t="shared" si="373"/>
        <v>#N/A</v>
      </c>
      <c r="D279" s="122" t="e">
        <f t="shared" si="374"/>
        <v>#N/A</v>
      </c>
      <c r="E279" s="122" t="e">
        <f t="shared" si="375"/>
        <v>#N/A</v>
      </c>
      <c r="F279" s="176" t="e">
        <f t="shared" si="376"/>
        <v>#N/A</v>
      </c>
      <c r="G279" s="121">
        <f t="shared" si="395"/>
        <v>208</v>
      </c>
      <c r="H279" s="176" t="e">
        <f t="shared" si="396"/>
        <v>#N/A</v>
      </c>
      <c r="I279" s="48">
        <v>1</v>
      </c>
      <c r="J279" s="39"/>
      <c r="K279" s="350">
        <v>1</v>
      </c>
      <c r="L279" s="34" t="e">
        <f t="shared" si="377"/>
        <v>#N/A</v>
      </c>
      <c r="M279" s="38" t="e">
        <f>(HLOOKUP(J279,'Construction Times'!$B$3:$W$34,L279+2,FALSE)*HLOOKUP("hq modifier",'Construction Times'!$W$3:$W$34,BS279+2,FALSE))*(1-$H$9)</f>
        <v>#N/A</v>
      </c>
      <c r="N279" s="443" t="e">
        <f t="shared" si="397"/>
        <v>#N/A</v>
      </c>
      <c r="O279" s="444"/>
      <c r="P279" s="447" t="e">
        <f t="shared" si="398"/>
        <v>#N/A</v>
      </c>
      <c r="Q279" s="448"/>
      <c r="R279" s="103">
        <f t="shared" si="424"/>
        <v>0</v>
      </c>
      <c r="S279" s="104">
        <f t="shared" si="424"/>
        <v>0</v>
      </c>
      <c r="T279" s="104">
        <f t="shared" si="425"/>
        <v>0</v>
      </c>
      <c r="U279" s="104">
        <f t="shared" si="425"/>
        <v>0</v>
      </c>
      <c r="V279" s="104">
        <f t="shared" si="425"/>
        <v>9.9999999999999995E-8</v>
      </c>
      <c r="W279" s="104">
        <f t="shared" si="425"/>
        <v>0</v>
      </c>
      <c r="X279" s="104">
        <f t="shared" si="365"/>
        <v>0</v>
      </c>
      <c r="Y279" s="104">
        <f t="shared" si="365"/>
        <v>9.9999999999999995E-8</v>
      </c>
      <c r="Z279" s="104">
        <f t="shared" si="365"/>
        <v>9.9999999999999995E-8</v>
      </c>
      <c r="AA279" s="105">
        <f t="shared" si="365"/>
        <v>9.9999999999999995E-8</v>
      </c>
      <c r="AB279" s="101" t="e">
        <f>$DT279*HLOOKUP($J279,'Construction Costs (timber)'!$B$1:$V$32,'Construction Planner'!$L279+2,FALSE)</f>
        <v>#N/A</v>
      </c>
      <c r="AC279" s="14" t="e">
        <f>$DT279*HLOOKUP($J279,'Construction Costs (clay)'!$B$1:$V$32,'Construction Planner'!$L279+2,FALSE)</f>
        <v>#N/A</v>
      </c>
      <c r="AD279" s="14" t="e">
        <f>$DT279*HLOOKUP($J279,'Construction Costs (iron)'!$B$1:$V$32,'Construction Planner'!$L279+2,FALSE)</f>
        <v>#N/A</v>
      </c>
      <c r="AE279" s="34" t="e">
        <f t="shared" si="434"/>
        <v>#N/A</v>
      </c>
      <c r="AF279" s="33" t="e">
        <f t="shared" si="378"/>
        <v>#N/A</v>
      </c>
      <c r="AG279" s="14" t="e">
        <f t="shared" si="379"/>
        <v>#N/A</v>
      </c>
      <c r="AH279" s="14" t="e">
        <f t="shared" si="380"/>
        <v>#N/A</v>
      </c>
      <c r="AI279" s="34" t="e">
        <f t="shared" si="435"/>
        <v>#N/A</v>
      </c>
      <c r="AJ279" s="49" t="e">
        <f t="shared" si="399"/>
        <v>#N/A</v>
      </c>
      <c r="AK279" s="49" t="e">
        <f t="shared" si="400"/>
        <v>#N/A</v>
      </c>
      <c r="AL279" s="49" t="e">
        <f t="shared" si="401"/>
        <v>#N/A</v>
      </c>
      <c r="AM279" s="25">
        <f t="shared" si="381"/>
        <v>30</v>
      </c>
      <c r="AN279" s="25">
        <f t="shared" si="382"/>
        <v>30</v>
      </c>
      <c r="AO279" s="25">
        <f t="shared" si="383"/>
        <v>30</v>
      </c>
      <c r="AP279" s="52" t="e">
        <f t="shared" si="402"/>
        <v>#N/A</v>
      </c>
      <c r="AQ279" s="53" t="e">
        <f t="shared" si="402"/>
        <v>#N/A</v>
      </c>
      <c r="AR279" s="54" t="e">
        <f t="shared" si="402"/>
        <v>#N/A</v>
      </c>
      <c r="AS279" s="316">
        <f t="shared" si="436"/>
        <v>0</v>
      </c>
      <c r="AT279" s="106">
        <f>_xlfn.IFNA($M279/VLOOKUP($BT279,'Unit information'!$A$2:$K$29,2,FALSE)*R279,0)*(1+$E$9)</f>
        <v>0</v>
      </c>
      <c r="AU279" s="107">
        <f>_xlfn.IFNA($M279/VLOOKUP($BT279,'Unit information'!$A$2:$K$29,3,FALSE)*S279,0)*(1+$E$9)</f>
        <v>0</v>
      </c>
      <c r="AV279" s="107">
        <f>_xlfn.IFNA($M279/VLOOKUP($BT279,'Unit information'!$A$2:$K$29,4,FALSE)*T279,0)*(1+$E$9)</f>
        <v>0</v>
      </c>
      <c r="AW279" s="107">
        <f>_xlfn.IFNA($M279/VLOOKUP($BT279,'Unit information'!$A$2:$K$29,5,FALSE)*U279,0)*(1+$E$9)</f>
        <v>0</v>
      </c>
      <c r="AX279" s="107">
        <f>_xlfn.IFNA($M279/VLOOKUP($BU279,'Unit information'!$A$2:$K$29,6,FALSE)*V279,0)*(1+$E$9)</f>
        <v>0</v>
      </c>
      <c r="AY279" s="107">
        <f>_xlfn.IFNA($M279/VLOOKUP($BU279,'Unit information'!$A$2:$K$29,7,FALSE)*W279,0)*(1+$E$9)</f>
        <v>0</v>
      </c>
      <c r="AZ279" s="107">
        <f>_xlfn.IFNA($M279/VLOOKUP($BU279,'Unit information'!$A$2:$K$29,8,FALSE)*X279,0)*(1+$E$9)</f>
        <v>0</v>
      </c>
      <c r="BA279" s="107">
        <f>_xlfn.IFNA($M279/VLOOKUP($BU279,'Unit information'!$A$2:$K$29,9,FALSE)*Y279,0)*(1+$E$9)</f>
        <v>0</v>
      </c>
      <c r="BB279" s="107">
        <f>_xlfn.IFNA($M279/VLOOKUP($BV279,'Unit information'!$A$2:$K$29,10,FALSE)*Z279,0)*(1+$E$9)</f>
        <v>0</v>
      </c>
      <c r="BC279" s="108">
        <f>_xlfn.IFNA($M279/VLOOKUP($BV279,'Unit information'!$A$2:$K$29,11,FALSE)*AA279,0)*(1+$E$9)</f>
        <v>0</v>
      </c>
      <c r="BD279" s="106">
        <f t="shared" si="384"/>
        <v>0</v>
      </c>
      <c r="BE279" s="107">
        <f t="shared" si="385"/>
        <v>0</v>
      </c>
      <c r="BF279" s="108">
        <f t="shared" si="386"/>
        <v>0</v>
      </c>
      <c r="BG279" s="25" t="e">
        <f t="shared" si="387"/>
        <v>#N/A</v>
      </c>
      <c r="BH279" s="25" t="e">
        <f t="shared" si="388"/>
        <v>#N/A</v>
      </c>
      <c r="BI279" s="25" t="e">
        <f t="shared" si="389"/>
        <v>#N/A</v>
      </c>
      <c r="BJ279" s="27" t="e">
        <f t="shared" si="390"/>
        <v>#N/A</v>
      </c>
      <c r="BK279" s="18" t="e">
        <f t="shared" si="391"/>
        <v>#N/A</v>
      </c>
      <c r="BL279" s="18" t="e">
        <f t="shared" si="392"/>
        <v>#N/A</v>
      </c>
      <c r="BM279" s="28" t="e">
        <f t="shared" si="437"/>
        <v>#N/A</v>
      </c>
      <c r="BN279" s="33">
        <f>HLOOKUP("maximum population",Miscelaneous!$C$1:$C$33,CH279+3,FALSE)</f>
        <v>240</v>
      </c>
      <c r="BO279" s="14">
        <f t="shared" si="403"/>
        <v>32</v>
      </c>
      <c r="BP279" s="14">
        <f t="shared" si="404"/>
        <v>0</v>
      </c>
      <c r="BQ279" s="14">
        <f t="shared" si="405"/>
        <v>208</v>
      </c>
      <c r="BR279" s="34" t="e">
        <f>HLOOKUP(J279,Villagers!$B$1:$V$33,L279+3,FALSE)-HLOOKUP(J279,Villagers!$B$1:$V$33,L279+2,FALSE)</f>
        <v>#N/A</v>
      </c>
      <c r="BS279" s="49">
        <f t="shared" si="406"/>
        <v>1</v>
      </c>
      <c r="BT279" s="50">
        <f t="shared" si="407"/>
        <v>0</v>
      </c>
      <c r="BU279" s="50">
        <f t="shared" si="408"/>
        <v>0</v>
      </c>
      <c r="BV279" s="50">
        <f t="shared" si="409"/>
        <v>0</v>
      </c>
      <c r="BW279" s="50">
        <f>IF($J278=BW$14,$L278,BW278)</f>
        <v>0</v>
      </c>
      <c r="BX279" s="50">
        <f t="shared" ref="BX279:BY287" si="438">IF($J278=BX$14,$L278,BX278)</f>
        <v>0</v>
      </c>
      <c r="BY279" s="50">
        <f t="shared" si="438"/>
        <v>0</v>
      </c>
      <c r="BZ279" s="50">
        <f t="shared" si="350"/>
        <v>0</v>
      </c>
      <c r="CA279" s="50">
        <f t="shared" si="351"/>
        <v>0</v>
      </c>
      <c r="CB279" s="50">
        <f t="shared" si="352"/>
        <v>1</v>
      </c>
      <c r="CC279" s="50">
        <f t="shared" si="353"/>
        <v>0</v>
      </c>
      <c r="CD279" s="50">
        <f t="shared" si="354"/>
        <v>0</v>
      </c>
      <c r="CE279" s="50">
        <f t="shared" si="355"/>
        <v>1</v>
      </c>
      <c r="CF279" s="50">
        <f t="shared" si="356"/>
        <v>1</v>
      </c>
      <c r="CG279" s="50">
        <f t="shared" si="357"/>
        <v>1</v>
      </c>
      <c r="CH279" s="50">
        <f t="shared" si="358"/>
        <v>1</v>
      </c>
      <c r="CI279" s="50">
        <f t="shared" si="359"/>
        <v>1</v>
      </c>
      <c r="CJ279" s="50">
        <f t="shared" si="360"/>
        <v>1</v>
      </c>
      <c r="CK279" s="50">
        <f t="shared" si="360"/>
        <v>0</v>
      </c>
      <c r="CL279" s="50">
        <f t="shared" si="360"/>
        <v>0</v>
      </c>
      <c r="CM279" s="51">
        <f t="shared" si="368"/>
        <v>0</v>
      </c>
      <c r="CN279" s="33">
        <f>ROUND(IF(BS279=0,0,HLOOKUP(BS$14,Villagers!$B$1:$V$33,BS279+3,FALSE)),)</f>
        <v>5</v>
      </c>
      <c r="CO279" s="14">
        <f>ROUND(IF(BT279=0,0,HLOOKUP(BT$14,Villagers!$B$1:$V$33,BT279+3,FALSE)),)</f>
        <v>0</v>
      </c>
      <c r="CP279" s="14">
        <f>ROUND(IF(BU279=0,0,HLOOKUP(BU$14,Villagers!$B$1:$V$33,BU279+3,FALSE)),)</f>
        <v>0</v>
      </c>
      <c r="CQ279" s="14">
        <f>ROUND(IF(BV279=0,0,HLOOKUP(BV$14,Villagers!$B$1:$V$33,BV279+3,FALSE)),)</f>
        <v>0</v>
      </c>
      <c r="CR279" s="14">
        <f>ROUND(IF(BW279=0,0,HLOOKUP(BW$14,Villagers!$B$1:$V$33,BW279+3,FALSE)),)</f>
        <v>0</v>
      </c>
      <c r="CS279" s="14">
        <f>ROUND(IF(BX279=0,0,HLOOKUP(BX$14,Villagers!$B$1:$V$33,BX279+3,FALSE)),)</f>
        <v>0</v>
      </c>
      <c r="CT279" s="14">
        <f>ROUND(IF(BY279=0,0,HLOOKUP(BY$14,Villagers!$B$1:$V$33,BY279+3,FALSE)),)</f>
        <v>0</v>
      </c>
      <c r="CU279" s="14">
        <f>ROUND(IF(BZ279=0,0,HLOOKUP(BZ$14,Villagers!$B$1:$V$33,BZ279+3,FALSE)),)</f>
        <v>0</v>
      </c>
      <c r="CV279" s="14">
        <f>ROUND(IF(CA279=0,0,HLOOKUP(CA$14,Villagers!$B$1:$V$33,CA279+3,FALSE)),)</f>
        <v>0</v>
      </c>
      <c r="CW279" s="14">
        <f>ROUND(IF(CB279=0,0,HLOOKUP(CB$14,Villagers!$B$1:$V$33,CB279+3,FALSE)),)</f>
        <v>0</v>
      </c>
      <c r="CX279" s="14">
        <f>ROUND(IF(CC279=0,0,HLOOKUP(CC$14,Villagers!$B$1:$V$33,CC279+3,FALSE)),)</f>
        <v>0</v>
      </c>
      <c r="CY279" s="14">
        <f>ROUND(IF(CD279=0,0,HLOOKUP(CD$14,Villagers!$B$1:$V$33,CD279+3,FALSE)),)</f>
        <v>0</v>
      </c>
      <c r="CZ279" s="14">
        <f>ROUND(IF(CE279=0,0,HLOOKUP(CE$14,Villagers!$B$1:$V$33,CE279+3,FALSE)),)</f>
        <v>5</v>
      </c>
      <c r="DA279" s="14">
        <f>ROUND(IF(CF279=0,0,HLOOKUP(CF$14,Villagers!$B$1:$V$33,CF279+3,FALSE)),)</f>
        <v>10</v>
      </c>
      <c r="DB279" s="14">
        <f>ROUND(IF(CG279=0,0,HLOOKUP(CG$14,Villagers!$B$1:$V$33,CG279+3,FALSE)),)</f>
        <v>10</v>
      </c>
      <c r="DC279" s="14">
        <f>ROUND(IF(CH279=0,0,HLOOKUP(CH$14,Villagers!$B$1:$V$33,CH279+3,FALSE)),)</f>
        <v>0</v>
      </c>
      <c r="DD279" s="14">
        <f>ROUND(IF(CI279=0,0,HLOOKUP(CI$14,Villagers!$B$1:$V$33,CI279+3,FALSE)),)</f>
        <v>0</v>
      </c>
      <c r="DE279" s="14">
        <f>ROUND(IF(CJ279=0,0,HLOOKUP(CJ$14,Villagers!$B$1:$V$33,CJ279+3,FALSE)),)</f>
        <v>2</v>
      </c>
      <c r="DF279" s="370">
        <f>ROUND(IF(CK279=0,0,HLOOKUP(CK$14,Villagers!$B$1:$V$33,CK279+3,FALSE)),)</f>
        <v>0</v>
      </c>
      <c r="DG279" s="370">
        <f>ROUND(IF(CL279=0,0,HLOOKUP(CL$14,Villagers!$B$1:$V$33,CL279+3,FALSE)),)</f>
        <v>0</v>
      </c>
      <c r="DH279" s="34">
        <f>ROUND(IF(CM279=0,0,HLOOKUP(CM$14,Villagers!$B$1:$V$33,CM279+3,FALSE)),)</f>
        <v>0</v>
      </c>
      <c r="DI279" s="109">
        <f t="shared" si="426"/>
        <v>0</v>
      </c>
      <c r="DJ279" s="50">
        <f t="shared" si="427"/>
        <v>0</v>
      </c>
      <c r="DK279" s="50">
        <f t="shared" si="428"/>
        <v>0</v>
      </c>
      <c r="DL279" s="50">
        <f t="shared" si="429"/>
        <v>0</v>
      </c>
      <c r="DM279" s="50">
        <f t="shared" si="430"/>
        <v>0</v>
      </c>
      <c r="DN279" s="50">
        <f t="shared" si="431"/>
        <v>0</v>
      </c>
      <c r="DO279" s="50">
        <f t="shared" si="432"/>
        <v>0</v>
      </c>
      <c r="DP279" s="50">
        <f t="shared" si="433"/>
        <v>0</v>
      </c>
      <c r="DQ279" s="50">
        <f t="shared" si="411"/>
        <v>0</v>
      </c>
      <c r="DR279" s="50">
        <f t="shared" si="412"/>
        <v>0</v>
      </c>
      <c r="DS279" s="96">
        <f>Miscelaneous!$D$4*Miscelaneous!$D$2^($CI279-1)</f>
        <v>1000</v>
      </c>
      <c r="DT279" s="333">
        <f t="shared" si="393"/>
        <v>1</v>
      </c>
      <c r="DU279" s="81">
        <v>1</v>
      </c>
      <c r="DV279" s="79">
        <f t="shared" si="413"/>
        <v>0</v>
      </c>
      <c r="DW279" s="79">
        <f t="shared" si="414"/>
        <v>0</v>
      </c>
      <c r="DX279" s="79">
        <f t="shared" si="415"/>
        <v>0</v>
      </c>
      <c r="DY279" s="79">
        <v>1</v>
      </c>
      <c r="DZ279" s="79">
        <f t="shared" si="416"/>
        <v>0</v>
      </c>
      <c r="EA279" s="79">
        <f t="shared" si="417"/>
        <v>0</v>
      </c>
      <c r="EB279" s="79">
        <f t="shared" si="418"/>
        <v>0</v>
      </c>
      <c r="EC279" s="79">
        <f t="shared" si="419"/>
        <v>0</v>
      </c>
      <c r="ED279" s="79">
        <v>1</v>
      </c>
      <c r="EE279" s="79">
        <v>1</v>
      </c>
      <c r="EF279" s="79">
        <f t="shared" si="420"/>
        <v>0</v>
      </c>
      <c r="EG279" s="79">
        <v>1</v>
      </c>
      <c r="EH279" s="79">
        <v>1</v>
      </c>
      <c r="EI279" s="79">
        <v>1</v>
      </c>
      <c r="EJ279" s="79">
        <v>1</v>
      </c>
      <c r="EK279" s="79">
        <v>1</v>
      </c>
      <c r="EL279" s="79">
        <v>1</v>
      </c>
      <c r="EM279" s="143">
        <f t="shared" si="421"/>
        <v>0</v>
      </c>
      <c r="EN279" s="143">
        <f t="shared" si="422"/>
        <v>0</v>
      </c>
      <c r="EO279" s="82">
        <f t="shared" si="423"/>
        <v>0</v>
      </c>
    </row>
    <row r="280" spans="1:145" x14ac:dyDescent="0.25">
      <c r="A280">
        <v>266</v>
      </c>
      <c r="B280" s="172" t="e">
        <f t="shared" si="394"/>
        <v>#N/A</v>
      </c>
      <c r="C280" s="121" t="e">
        <f t="shared" si="373"/>
        <v>#N/A</v>
      </c>
      <c r="D280" s="122" t="e">
        <f t="shared" si="374"/>
        <v>#N/A</v>
      </c>
      <c r="E280" s="122" t="e">
        <f t="shared" si="375"/>
        <v>#N/A</v>
      </c>
      <c r="F280" s="176" t="e">
        <f t="shared" si="376"/>
        <v>#N/A</v>
      </c>
      <c r="G280" s="121">
        <f t="shared" si="395"/>
        <v>208</v>
      </c>
      <c r="H280" s="176" t="e">
        <f t="shared" si="396"/>
        <v>#N/A</v>
      </c>
      <c r="I280" s="48">
        <v>1</v>
      </c>
      <c r="J280" s="39"/>
      <c r="K280" s="350">
        <v>1</v>
      </c>
      <c r="L280" s="34" t="e">
        <f t="shared" si="377"/>
        <v>#N/A</v>
      </c>
      <c r="M280" s="38" t="e">
        <f>(HLOOKUP(J280,'Construction Times'!$B$3:$W$34,L280+2,FALSE)*HLOOKUP("hq modifier",'Construction Times'!$W$3:$W$34,BS280+2,FALSE))*(1-$H$9)</f>
        <v>#N/A</v>
      </c>
      <c r="N280" s="443" t="e">
        <f t="shared" si="397"/>
        <v>#N/A</v>
      </c>
      <c r="O280" s="444"/>
      <c r="P280" s="447" t="e">
        <f t="shared" si="398"/>
        <v>#N/A</v>
      </c>
      <c r="Q280" s="448"/>
      <c r="R280" s="103">
        <f t="shared" si="424"/>
        <v>0</v>
      </c>
      <c r="S280" s="104">
        <f t="shared" si="424"/>
        <v>0</v>
      </c>
      <c r="T280" s="104">
        <f t="shared" si="425"/>
        <v>0</v>
      </c>
      <c r="U280" s="104">
        <f t="shared" si="425"/>
        <v>0</v>
      </c>
      <c r="V280" s="104">
        <f t="shared" si="425"/>
        <v>9.9999999999999995E-8</v>
      </c>
      <c r="W280" s="104">
        <f t="shared" si="425"/>
        <v>0</v>
      </c>
      <c r="X280" s="104">
        <f t="shared" si="365"/>
        <v>0</v>
      </c>
      <c r="Y280" s="104">
        <f t="shared" si="365"/>
        <v>9.9999999999999995E-8</v>
      </c>
      <c r="Z280" s="104">
        <f t="shared" si="365"/>
        <v>9.9999999999999995E-8</v>
      </c>
      <c r="AA280" s="105">
        <f t="shared" si="365"/>
        <v>9.9999999999999995E-8</v>
      </c>
      <c r="AB280" s="101" t="e">
        <f>$DT280*HLOOKUP($J280,'Construction Costs (timber)'!$B$1:$V$32,'Construction Planner'!$L280+2,FALSE)</f>
        <v>#N/A</v>
      </c>
      <c r="AC280" s="14" t="e">
        <f>$DT280*HLOOKUP($J280,'Construction Costs (clay)'!$B$1:$V$32,'Construction Planner'!$L280+2,FALSE)</f>
        <v>#N/A</v>
      </c>
      <c r="AD280" s="14" t="e">
        <f>$DT280*HLOOKUP($J280,'Construction Costs (iron)'!$B$1:$V$32,'Construction Planner'!$L280+2,FALSE)</f>
        <v>#N/A</v>
      </c>
      <c r="AE280" s="34" t="e">
        <f t="shared" si="434"/>
        <v>#N/A</v>
      </c>
      <c r="AF280" s="33" t="e">
        <f t="shared" si="378"/>
        <v>#N/A</v>
      </c>
      <c r="AG280" s="14" t="e">
        <f t="shared" si="379"/>
        <v>#N/A</v>
      </c>
      <c r="AH280" s="14" t="e">
        <f t="shared" si="380"/>
        <v>#N/A</v>
      </c>
      <c r="AI280" s="34" t="e">
        <f t="shared" si="435"/>
        <v>#N/A</v>
      </c>
      <c r="AJ280" s="49" t="e">
        <f t="shared" si="399"/>
        <v>#N/A</v>
      </c>
      <c r="AK280" s="49" t="e">
        <f t="shared" si="400"/>
        <v>#N/A</v>
      </c>
      <c r="AL280" s="49" t="e">
        <f t="shared" si="401"/>
        <v>#N/A</v>
      </c>
      <c r="AM280" s="25">
        <f t="shared" si="381"/>
        <v>30</v>
      </c>
      <c r="AN280" s="25">
        <f t="shared" si="382"/>
        <v>30</v>
      </c>
      <c r="AO280" s="25">
        <f t="shared" si="383"/>
        <v>30</v>
      </c>
      <c r="AP280" s="52" t="e">
        <f t="shared" si="402"/>
        <v>#N/A</v>
      </c>
      <c r="AQ280" s="53" t="e">
        <f t="shared" si="402"/>
        <v>#N/A</v>
      </c>
      <c r="AR280" s="54" t="e">
        <f t="shared" si="402"/>
        <v>#N/A</v>
      </c>
      <c r="AS280" s="316">
        <f t="shared" si="436"/>
        <v>0</v>
      </c>
      <c r="AT280" s="106">
        <f>_xlfn.IFNA($M280/VLOOKUP($BT280,'Unit information'!$A$2:$K$29,2,FALSE)*R280,0)*(1+$E$9)</f>
        <v>0</v>
      </c>
      <c r="AU280" s="107">
        <f>_xlfn.IFNA($M280/VLOOKUP($BT280,'Unit information'!$A$2:$K$29,3,FALSE)*S280,0)*(1+$E$9)</f>
        <v>0</v>
      </c>
      <c r="AV280" s="107">
        <f>_xlfn.IFNA($M280/VLOOKUP($BT280,'Unit information'!$A$2:$K$29,4,FALSE)*T280,0)*(1+$E$9)</f>
        <v>0</v>
      </c>
      <c r="AW280" s="107">
        <f>_xlfn.IFNA($M280/VLOOKUP($BT280,'Unit information'!$A$2:$K$29,5,FALSE)*U280,0)*(1+$E$9)</f>
        <v>0</v>
      </c>
      <c r="AX280" s="107">
        <f>_xlfn.IFNA($M280/VLOOKUP($BU280,'Unit information'!$A$2:$K$29,6,FALSE)*V280,0)*(1+$E$9)</f>
        <v>0</v>
      </c>
      <c r="AY280" s="107">
        <f>_xlfn.IFNA($M280/VLOOKUP($BU280,'Unit information'!$A$2:$K$29,7,FALSE)*W280,0)*(1+$E$9)</f>
        <v>0</v>
      </c>
      <c r="AZ280" s="107">
        <f>_xlfn.IFNA($M280/VLOOKUP($BU280,'Unit information'!$A$2:$K$29,8,FALSE)*X280,0)*(1+$E$9)</f>
        <v>0</v>
      </c>
      <c r="BA280" s="107">
        <f>_xlfn.IFNA($M280/VLOOKUP($BU280,'Unit information'!$A$2:$K$29,9,FALSE)*Y280,0)*(1+$E$9)</f>
        <v>0</v>
      </c>
      <c r="BB280" s="107">
        <f>_xlfn.IFNA($M280/VLOOKUP($BV280,'Unit information'!$A$2:$K$29,10,FALSE)*Z280,0)*(1+$E$9)</f>
        <v>0</v>
      </c>
      <c r="BC280" s="108">
        <f>_xlfn.IFNA($M280/VLOOKUP($BV280,'Unit information'!$A$2:$K$29,11,FALSE)*AA280,0)*(1+$E$9)</f>
        <v>0</v>
      </c>
      <c r="BD280" s="106">
        <f t="shared" si="384"/>
        <v>0</v>
      </c>
      <c r="BE280" s="107">
        <f t="shared" si="385"/>
        <v>0</v>
      </c>
      <c r="BF280" s="108">
        <f t="shared" si="386"/>
        <v>0</v>
      </c>
      <c r="BG280" s="25" t="e">
        <f t="shared" si="387"/>
        <v>#N/A</v>
      </c>
      <c r="BH280" s="25" t="e">
        <f t="shared" si="388"/>
        <v>#N/A</v>
      </c>
      <c r="BI280" s="25" t="e">
        <f t="shared" si="389"/>
        <v>#N/A</v>
      </c>
      <c r="BJ280" s="27" t="e">
        <f t="shared" si="390"/>
        <v>#N/A</v>
      </c>
      <c r="BK280" s="18" t="e">
        <f t="shared" si="391"/>
        <v>#N/A</v>
      </c>
      <c r="BL280" s="18" t="e">
        <f t="shared" si="392"/>
        <v>#N/A</v>
      </c>
      <c r="BM280" s="28" t="e">
        <f t="shared" si="437"/>
        <v>#N/A</v>
      </c>
      <c r="BN280" s="33">
        <f>HLOOKUP("maximum population",Miscelaneous!$C$1:$C$33,CH280+3,FALSE)</f>
        <v>240</v>
      </c>
      <c r="BO280" s="14">
        <f t="shared" si="403"/>
        <v>32</v>
      </c>
      <c r="BP280" s="14">
        <f t="shared" si="404"/>
        <v>0</v>
      </c>
      <c r="BQ280" s="14">
        <f t="shared" si="405"/>
        <v>208</v>
      </c>
      <c r="BR280" s="34" t="e">
        <f>HLOOKUP(J280,Villagers!$B$1:$V$33,L280+3,FALSE)-HLOOKUP(J280,Villagers!$B$1:$V$33,L280+2,FALSE)</f>
        <v>#N/A</v>
      </c>
      <c r="BS280" s="49">
        <f t="shared" si="406"/>
        <v>1</v>
      </c>
      <c r="BT280" s="50">
        <f t="shared" si="407"/>
        <v>0</v>
      </c>
      <c r="BU280" s="50">
        <f t="shared" si="408"/>
        <v>0</v>
      </c>
      <c r="BV280" s="50">
        <f t="shared" si="409"/>
        <v>0</v>
      </c>
      <c r="BW280" s="50">
        <f t="shared" ref="BW280:BW287" si="439">IF($J279=BW$14,$L279,BW279)</f>
        <v>0</v>
      </c>
      <c r="BX280" s="50">
        <f t="shared" si="438"/>
        <v>0</v>
      </c>
      <c r="BY280" s="50">
        <f t="shared" si="438"/>
        <v>0</v>
      </c>
      <c r="BZ280" s="50">
        <f t="shared" si="350"/>
        <v>0</v>
      </c>
      <c r="CA280" s="50">
        <f t="shared" si="351"/>
        <v>0</v>
      </c>
      <c r="CB280" s="50">
        <f t="shared" si="352"/>
        <v>1</v>
      </c>
      <c r="CC280" s="50">
        <f t="shared" si="353"/>
        <v>0</v>
      </c>
      <c r="CD280" s="50">
        <f t="shared" si="354"/>
        <v>0</v>
      </c>
      <c r="CE280" s="50">
        <f t="shared" si="355"/>
        <v>1</v>
      </c>
      <c r="CF280" s="50">
        <f t="shared" si="356"/>
        <v>1</v>
      </c>
      <c r="CG280" s="50">
        <f t="shared" si="357"/>
        <v>1</v>
      </c>
      <c r="CH280" s="50">
        <f t="shared" si="358"/>
        <v>1</v>
      </c>
      <c r="CI280" s="50">
        <f t="shared" si="359"/>
        <v>1</v>
      </c>
      <c r="CJ280" s="50">
        <f t="shared" si="360"/>
        <v>1</v>
      </c>
      <c r="CK280" s="50">
        <f t="shared" si="360"/>
        <v>0</v>
      </c>
      <c r="CL280" s="50">
        <f t="shared" si="360"/>
        <v>0</v>
      </c>
      <c r="CM280" s="51">
        <f t="shared" si="368"/>
        <v>0</v>
      </c>
      <c r="CN280" s="33">
        <f>ROUND(IF(BS280=0,0,HLOOKUP(BS$14,Villagers!$B$1:$V$33,BS280+3,FALSE)),)</f>
        <v>5</v>
      </c>
      <c r="CO280" s="14">
        <f>ROUND(IF(BT280=0,0,HLOOKUP(BT$14,Villagers!$B$1:$V$33,BT280+3,FALSE)),)</f>
        <v>0</v>
      </c>
      <c r="CP280" s="14">
        <f>ROUND(IF(BU280=0,0,HLOOKUP(BU$14,Villagers!$B$1:$V$33,BU280+3,FALSE)),)</f>
        <v>0</v>
      </c>
      <c r="CQ280" s="14">
        <f>ROUND(IF(BV280=0,0,HLOOKUP(BV$14,Villagers!$B$1:$V$33,BV280+3,FALSE)),)</f>
        <v>0</v>
      </c>
      <c r="CR280" s="14">
        <f>ROUND(IF(BW280=0,0,HLOOKUP(BW$14,Villagers!$B$1:$V$33,BW280+3,FALSE)),)</f>
        <v>0</v>
      </c>
      <c r="CS280" s="14">
        <f>ROUND(IF(BX280=0,0,HLOOKUP(BX$14,Villagers!$B$1:$V$33,BX280+3,FALSE)),)</f>
        <v>0</v>
      </c>
      <c r="CT280" s="14">
        <f>ROUND(IF(BY280=0,0,HLOOKUP(BY$14,Villagers!$B$1:$V$33,BY280+3,FALSE)),)</f>
        <v>0</v>
      </c>
      <c r="CU280" s="14">
        <f>ROUND(IF(BZ280=0,0,HLOOKUP(BZ$14,Villagers!$B$1:$V$33,BZ280+3,FALSE)),)</f>
        <v>0</v>
      </c>
      <c r="CV280" s="14">
        <f>ROUND(IF(CA280=0,0,HLOOKUP(CA$14,Villagers!$B$1:$V$33,CA280+3,FALSE)),)</f>
        <v>0</v>
      </c>
      <c r="CW280" s="14">
        <f>ROUND(IF(CB280=0,0,HLOOKUP(CB$14,Villagers!$B$1:$V$33,CB280+3,FALSE)),)</f>
        <v>0</v>
      </c>
      <c r="CX280" s="14">
        <f>ROUND(IF(CC280=0,0,HLOOKUP(CC$14,Villagers!$B$1:$V$33,CC280+3,FALSE)),)</f>
        <v>0</v>
      </c>
      <c r="CY280" s="14">
        <f>ROUND(IF(CD280=0,0,HLOOKUP(CD$14,Villagers!$B$1:$V$33,CD280+3,FALSE)),)</f>
        <v>0</v>
      </c>
      <c r="CZ280" s="14">
        <f>ROUND(IF(CE280=0,0,HLOOKUP(CE$14,Villagers!$B$1:$V$33,CE280+3,FALSE)),)</f>
        <v>5</v>
      </c>
      <c r="DA280" s="14">
        <f>ROUND(IF(CF280=0,0,HLOOKUP(CF$14,Villagers!$B$1:$V$33,CF280+3,FALSE)),)</f>
        <v>10</v>
      </c>
      <c r="DB280" s="14">
        <f>ROUND(IF(CG280=0,0,HLOOKUP(CG$14,Villagers!$B$1:$V$33,CG280+3,FALSE)),)</f>
        <v>10</v>
      </c>
      <c r="DC280" s="14">
        <f>ROUND(IF(CH280=0,0,HLOOKUP(CH$14,Villagers!$B$1:$V$33,CH280+3,FALSE)),)</f>
        <v>0</v>
      </c>
      <c r="DD280" s="14">
        <f>ROUND(IF(CI280=0,0,HLOOKUP(CI$14,Villagers!$B$1:$V$33,CI280+3,FALSE)),)</f>
        <v>0</v>
      </c>
      <c r="DE280" s="14">
        <f>ROUND(IF(CJ280=0,0,HLOOKUP(CJ$14,Villagers!$B$1:$V$33,CJ280+3,FALSE)),)</f>
        <v>2</v>
      </c>
      <c r="DF280" s="370">
        <f>ROUND(IF(CK280=0,0,HLOOKUP(CK$14,Villagers!$B$1:$V$33,CK280+3,FALSE)),)</f>
        <v>0</v>
      </c>
      <c r="DG280" s="370">
        <f>ROUND(IF(CL280=0,0,HLOOKUP(CL$14,Villagers!$B$1:$V$33,CL280+3,FALSE)),)</f>
        <v>0</v>
      </c>
      <c r="DH280" s="34">
        <f>ROUND(IF(CM280=0,0,HLOOKUP(CM$14,Villagers!$B$1:$V$33,CM280+3,FALSE)),)</f>
        <v>0</v>
      </c>
      <c r="DI280" s="109">
        <f t="shared" si="426"/>
        <v>0</v>
      </c>
      <c r="DJ280" s="50">
        <f t="shared" si="427"/>
        <v>0</v>
      </c>
      <c r="DK280" s="50">
        <f t="shared" si="428"/>
        <v>0</v>
      </c>
      <c r="DL280" s="50">
        <f t="shared" si="429"/>
        <v>0</v>
      </c>
      <c r="DM280" s="50">
        <f t="shared" si="430"/>
        <v>0</v>
      </c>
      <c r="DN280" s="50">
        <f t="shared" si="431"/>
        <v>0</v>
      </c>
      <c r="DO280" s="50">
        <f t="shared" si="432"/>
        <v>0</v>
      </c>
      <c r="DP280" s="50">
        <f t="shared" si="433"/>
        <v>0</v>
      </c>
      <c r="DQ280" s="50">
        <f t="shared" si="411"/>
        <v>0</v>
      </c>
      <c r="DR280" s="50">
        <f t="shared" si="412"/>
        <v>0</v>
      </c>
      <c r="DS280" s="96">
        <f>Miscelaneous!$D$4*Miscelaneous!$D$2^($CI280-1)</f>
        <v>1000</v>
      </c>
      <c r="DT280" s="333">
        <f t="shared" si="393"/>
        <v>1</v>
      </c>
      <c r="DU280" s="81">
        <v>1</v>
      </c>
      <c r="DV280" s="79">
        <f t="shared" si="413"/>
        <v>0</v>
      </c>
      <c r="DW280" s="79">
        <f t="shared" si="414"/>
        <v>0</v>
      </c>
      <c r="DX280" s="79">
        <f t="shared" si="415"/>
        <v>0</v>
      </c>
      <c r="DY280" s="79">
        <v>1</v>
      </c>
      <c r="DZ280" s="79">
        <f t="shared" si="416"/>
        <v>0</v>
      </c>
      <c r="EA280" s="79">
        <f t="shared" si="417"/>
        <v>0</v>
      </c>
      <c r="EB280" s="79">
        <f t="shared" si="418"/>
        <v>0</v>
      </c>
      <c r="EC280" s="79">
        <f t="shared" si="419"/>
        <v>0</v>
      </c>
      <c r="ED280" s="79">
        <v>1</v>
      </c>
      <c r="EE280" s="79">
        <v>1</v>
      </c>
      <c r="EF280" s="79">
        <f t="shared" si="420"/>
        <v>0</v>
      </c>
      <c r="EG280" s="79">
        <v>1</v>
      </c>
      <c r="EH280" s="79">
        <v>1</v>
      </c>
      <c r="EI280" s="79">
        <v>1</v>
      </c>
      <c r="EJ280" s="79">
        <v>1</v>
      </c>
      <c r="EK280" s="79">
        <v>1</v>
      </c>
      <c r="EL280" s="79">
        <v>1</v>
      </c>
      <c r="EM280" s="143">
        <f t="shared" si="421"/>
        <v>0</v>
      </c>
      <c r="EN280" s="143">
        <f t="shared" si="422"/>
        <v>0</v>
      </c>
      <c r="EO280" s="82">
        <f t="shared" si="423"/>
        <v>0</v>
      </c>
    </row>
    <row r="281" spans="1:145" x14ac:dyDescent="0.25">
      <c r="A281">
        <v>267</v>
      </c>
      <c r="B281" s="172" t="e">
        <f t="shared" si="394"/>
        <v>#N/A</v>
      </c>
      <c r="C281" s="121" t="e">
        <f t="shared" si="373"/>
        <v>#N/A</v>
      </c>
      <c r="D281" s="122" t="e">
        <f t="shared" si="374"/>
        <v>#N/A</v>
      </c>
      <c r="E281" s="122" t="e">
        <f t="shared" si="375"/>
        <v>#N/A</v>
      </c>
      <c r="F281" s="176" t="e">
        <f t="shared" si="376"/>
        <v>#N/A</v>
      </c>
      <c r="G281" s="121">
        <f t="shared" si="395"/>
        <v>208</v>
      </c>
      <c r="H281" s="176" t="e">
        <f t="shared" si="396"/>
        <v>#N/A</v>
      </c>
      <c r="I281" s="48">
        <v>1</v>
      </c>
      <c r="J281" s="39"/>
      <c r="K281" s="350">
        <v>1</v>
      </c>
      <c r="L281" s="34" t="e">
        <f t="shared" si="377"/>
        <v>#N/A</v>
      </c>
      <c r="M281" s="38" t="e">
        <f>(HLOOKUP(J281,'Construction Times'!$B$3:$W$34,L281+2,FALSE)*HLOOKUP("hq modifier",'Construction Times'!$W$3:$W$34,BS281+2,FALSE))*(1-$H$9)</f>
        <v>#N/A</v>
      </c>
      <c r="N281" s="443" t="e">
        <f t="shared" si="397"/>
        <v>#N/A</v>
      </c>
      <c r="O281" s="444"/>
      <c r="P281" s="447" t="e">
        <f t="shared" si="398"/>
        <v>#N/A</v>
      </c>
      <c r="Q281" s="448"/>
      <c r="R281" s="103">
        <f t="shared" si="424"/>
        <v>0</v>
      </c>
      <c r="S281" s="104">
        <f t="shared" si="424"/>
        <v>0</v>
      </c>
      <c r="T281" s="104">
        <f t="shared" si="425"/>
        <v>0</v>
      </c>
      <c r="U281" s="104">
        <f t="shared" si="425"/>
        <v>0</v>
      </c>
      <c r="V281" s="104">
        <f t="shared" si="425"/>
        <v>9.9999999999999995E-8</v>
      </c>
      <c r="W281" s="104">
        <f t="shared" si="425"/>
        <v>0</v>
      </c>
      <c r="X281" s="104">
        <f t="shared" si="365"/>
        <v>0</v>
      </c>
      <c r="Y281" s="104">
        <f t="shared" si="365"/>
        <v>9.9999999999999995E-8</v>
      </c>
      <c r="Z281" s="104">
        <f t="shared" si="365"/>
        <v>9.9999999999999995E-8</v>
      </c>
      <c r="AA281" s="105">
        <f t="shared" si="365"/>
        <v>9.9999999999999995E-8</v>
      </c>
      <c r="AB281" s="101" t="e">
        <f>$DT281*HLOOKUP($J281,'Construction Costs (timber)'!$B$1:$V$32,'Construction Planner'!$L281+2,FALSE)</f>
        <v>#N/A</v>
      </c>
      <c r="AC281" s="14" t="e">
        <f>$DT281*HLOOKUP($J281,'Construction Costs (clay)'!$B$1:$V$32,'Construction Planner'!$L281+2,FALSE)</f>
        <v>#N/A</v>
      </c>
      <c r="AD281" s="14" t="e">
        <f>$DT281*HLOOKUP($J281,'Construction Costs (iron)'!$B$1:$V$32,'Construction Planner'!$L281+2,FALSE)</f>
        <v>#N/A</v>
      </c>
      <c r="AE281" s="34" t="e">
        <f t="shared" si="434"/>
        <v>#N/A</v>
      </c>
      <c r="AF281" s="33" t="e">
        <f t="shared" si="378"/>
        <v>#N/A</v>
      </c>
      <c r="AG281" s="14" t="e">
        <f t="shared" si="379"/>
        <v>#N/A</v>
      </c>
      <c r="AH281" s="14" t="e">
        <f t="shared" si="380"/>
        <v>#N/A</v>
      </c>
      <c r="AI281" s="34" t="e">
        <f t="shared" si="435"/>
        <v>#N/A</v>
      </c>
      <c r="AJ281" s="49" t="e">
        <f t="shared" si="399"/>
        <v>#N/A</v>
      </c>
      <c r="AK281" s="49" t="e">
        <f t="shared" si="400"/>
        <v>#N/A</v>
      </c>
      <c r="AL281" s="49" t="e">
        <f t="shared" si="401"/>
        <v>#N/A</v>
      </c>
      <c r="AM281" s="25">
        <f t="shared" si="381"/>
        <v>30</v>
      </c>
      <c r="AN281" s="25">
        <f t="shared" si="382"/>
        <v>30</v>
      </c>
      <c r="AO281" s="25">
        <f t="shared" si="383"/>
        <v>30</v>
      </c>
      <c r="AP281" s="52" t="e">
        <f t="shared" si="402"/>
        <v>#N/A</v>
      </c>
      <c r="AQ281" s="53" t="e">
        <f t="shared" si="402"/>
        <v>#N/A</v>
      </c>
      <c r="AR281" s="54" t="e">
        <f t="shared" si="402"/>
        <v>#N/A</v>
      </c>
      <c r="AS281" s="316">
        <f t="shared" si="436"/>
        <v>0</v>
      </c>
      <c r="AT281" s="106">
        <f>_xlfn.IFNA($M281/VLOOKUP($BT281,'Unit information'!$A$2:$K$29,2,FALSE)*R281,0)*(1+$E$9)</f>
        <v>0</v>
      </c>
      <c r="AU281" s="107">
        <f>_xlfn.IFNA($M281/VLOOKUP($BT281,'Unit information'!$A$2:$K$29,3,FALSE)*S281,0)*(1+$E$9)</f>
        <v>0</v>
      </c>
      <c r="AV281" s="107">
        <f>_xlfn.IFNA($M281/VLOOKUP($BT281,'Unit information'!$A$2:$K$29,4,FALSE)*T281,0)*(1+$E$9)</f>
        <v>0</v>
      </c>
      <c r="AW281" s="107">
        <f>_xlfn.IFNA($M281/VLOOKUP($BT281,'Unit information'!$A$2:$K$29,5,FALSE)*U281,0)*(1+$E$9)</f>
        <v>0</v>
      </c>
      <c r="AX281" s="107">
        <f>_xlfn.IFNA($M281/VLOOKUP($BU281,'Unit information'!$A$2:$K$29,6,FALSE)*V281,0)*(1+$E$9)</f>
        <v>0</v>
      </c>
      <c r="AY281" s="107">
        <f>_xlfn.IFNA($M281/VLOOKUP($BU281,'Unit information'!$A$2:$K$29,7,FALSE)*W281,0)*(1+$E$9)</f>
        <v>0</v>
      </c>
      <c r="AZ281" s="107">
        <f>_xlfn.IFNA($M281/VLOOKUP($BU281,'Unit information'!$A$2:$K$29,8,FALSE)*X281,0)*(1+$E$9)</f>
        <v>0</v>
      </c>
      <c r="BA281" s="107">
        <f>_xlfn.IFNA($M281/VLOOKUP($BU281,'Unit information'!$A$2:$K$29,9,FALSE)*Y281,0)*(1+$E$9)</f>
        <v>0</v>
      </c>
      <c r="BB281" s="107">
        <f>_xlfn.IFNA($M281/VLOOKUP($BV281,'Unit information'!$A$2:$K$29,10,FALSE)*Z281,0)*(1+$E$9)</f>
        <v>0</v>
      </c>
      <c r="BC281" s="108">
        <f>_xlfn.IFNA($M281/VLOOKUP($BV281,'Unit information'!$A$2:$K$29,11,FALSE)*AA281,0)*(1+$E$9)</f>
        <v>0</v>
      </c>
      <c r="BD281" s="106">
        <f t="shared" si="384"/>
        <v>0</v>
      </c>
      <c r="BE281" s="107">
        <f t="shared" si="385"/>
        <v>0</v>
      </c>
      <c r="BF281" s="108">
        <f t="shared" si="386"/>
        <v>0</v>
      </c>
      <c r="BG281" s="25" t="e">
        <f t="shared" si="387"/>
        <v>#N/A</v>
      </c>
      <c r="BH281" s="25" t="e">
        <f t="shared" si="388"/>
        <v>#N/A</v>
      </c>
      <c r="BI281" s="25" t="e">
        <f t="shared" si="389"/>
        <v>#N/A</v>
      </c>
      <c r="BJ281" s="27" t="e">
        <f t="shared" si="390"/>
        <v>#N/A</v>
      </c>
      <c r="BK281" s="18" t="e">
        <f t="shared" si="391"/>
        <v>#N/A</v>
      </c>
      <c r="BL281" s="18" t="e">
        <f t="shared" si="392"/>
        <v>#N/A</v>
      </c>
      <c r="BM281" s="28" t="e">
        <f t="shared" si="437"/>
        <v>#N/A</v>
      </c>
      <c r="BN281" s="33">
        <f>HLOOKUP("maximum population",Miscelaneous!$C$1:$C$33,CH281+3,FALSE)</f>
        <v>240</v>
      </c>
      <c r="BO281" s="14">
        <f t="shared" si="403"/>
        <v>32</v>
      </c>
      <c r="BP281" s="14">
        <f t="shared" si="404"/>
        <v>0</v>
      </c>
      <c r="BQ281" s="14">
        <f t="shared" si="405"/>
        <v>208</v>
      </c>
      <c r="BR281" s="34" t="e">
        <f>HLOOKUP(J281,Villagers!$B$1:$V$33,L281+3,FALSE)-HLOOKUP(J281,Villagers!$B$1:$V$33,L281+2,FALSE)</f>
        <v>#N/A</v>
      </c>
      <c r="BS281" s="49">
        <f t="shared" si="406"/>
        <v>1</v>
      </c>
      <c r="BT281" s="50">
        <f t="shared" si="407"/>
        <v>0</v>
      </c>
      <c r="BU281" s="50">
        <f t="shared" si="408"/>
        <v>0</v>
      </c>
      <c r="BV281" s="50">
        <f t="shared" si="409"/>
        <v>0</v>
      </c>
      <c r="BW281" s="50">
        <f t="shared" si="439"/>
        <v>0</v>
      </c>
      <c r="BX281" s="50">
        <f t="shared" si="438"/>
        <v>0</v>
      </c>
      <c r="BY281" s="50">
        <f t="shared" si="438"/>
        <v>0</v>
      </c>
      <c r="BZ281" s="50">
        <f t="shared" si="350"/>
        <v>0</v>
      </c>
      <c r="CA281" s="50">
        <f t="shared" si="351"/>
        <v>0</v>
      </c>
      <c r="CB281" s="50">
        <f t="shared" si="352"/>
        <v>1</v>
      </c>
      <c r="CC281" s="50">
        <f t="shared" si="353"/>
        <v>0</v>
      </c>
      <c r="CD281" s="50">
        <f t="shared" si="354"/>
        <v>0</v>
      </c>
      <c r="CE281" s="50">
        <f t="shared" si="355"/>
        <v>1</v>
      </c>
      <c r="CF281" s="50">
        <f t="shared" si="356"/>
        <v>1</v>
      </c>
      <c r="CG281" s="50">
        <f t="shared" si="357"/>
        <v>1</v>
      </c>
      <c r="CH281" s="50">
        <f t="shared" si="358"/>
        <v>1</v>
      </c>
      <c r="CI281" s="50">
        <f t="shared" si="359"/>
        <v>1</v>
      </c>
      <c r="CJ281" s="50">
        <f t="shared" si="360"/>
        <v>1</v>
      </c>
      <c r="CK281" s="50">
        <f t="shared" si="360"/>
        <v>0</v>
      </c>
      <c r="CL281" s="50">
        <f t="shared" si="360"/>
        <v>0</v>
      </c>
      <c r="CM281" s="51">
        <f t="shared" si="368"/>
        <v>0</v>
      </c>
      <c r="CN281" s="33">
        <f>ROUND(IF(BS281=0,0,HLOOKUP(BS$14,Villagers!$B$1:$V$33,BS281+3,FALSE)),)</f>
        <v>5</v>
      </c>
      <c r="CO281" s="14">
        <f>ROUND(IF(BT281=0,0,HLOOKUP(BT$14,Villagers!$B$1:$V$33,BT281+3,FALSE)),)</f>
        <v>0</v>
      </c>
      <c r="CP281" s="14">
        <f>ROUND(IF(BU281=0,0,HLOOKUP(BU$14,Villagers!$B$1:$V$33,BU281+3,FALSE)),)</f>
        <v>0</v>
      </c>
      <c r="CQ281" s="14">
        <f>ROUND(IF(BV281=0,0,HLOOKUP(BV$14,Villagers!$B$1:$V$33,BV281+3,FALSE)),)</f>
        <v>0</v>
      </c>
      <c r="CR281" s="14">
        <f>ROUND(IF(BW281=0,0,HLOOKUP(BW$14,Villagers!$B$1:$V$33,BW281+3,FALSE)),)</f>
        <v>0</v>
      </c>
      <c r="CS281" s="14">
        <f>ROUND(IF(BX281=0,0,HLOOKUP(BX$14,Villagers!$B$1:$V$33,BX281+3,FALSE)),)</f>
        <v>0</v>
      </c>
      <c r="CT281" s="14">
        <f>ROUND(IF(BY281=0,0,HLOOKUP(BY$14,Villagers!$B$1:$V$33,BY281+3,FALSE)),)</f>
        <v>0</v>
      </c>
      <c r="CU281" s="14">
        <f>ROUND(IF(BZ281=0,0,HLOOKUP(BZ$14,Villagers!$B$1:$V$33,BZ281+3,FALSE)),)</f>
        <v>0</v>
      </c>
      <c r="CV281" s="14">
        <f>ROUND(IF(CA281=0,0,HLOOKUP(CA$14,Villagers!$B$1:$V$33,CA281+3,FALSE)),)</f>
        <v>0</v>
      </c>
      <c r="CW281" s="14">
        <f>ROUND(IF(CB281=0,0,HLOOKUP(CB$14,Villagers!$B$1:$V$33,CB281+3,FALSE)),)</f>
        <v>0</v>
      </c>
      <c r="CX281" s="14">
        <f>ROUND(IF(CC281=0,0,HLOOKUP(CC$14,Villagers!$B$1:$V$33,CC281+3,FALSE)),)</f>
        <v>0</v>
      </c>
      <c r="CY281" s="14">
        <f>ROUND(IF(CD281=0,0,HLOOKUP(CD$14,Villagers!$B$1:$V$33,CD281+3,FALSE)),)</f>
        <v>0</v>
      </c>
      <c r="CZ281" s="14">
        <f>ROUND(IF(CE281=0,0,HLOOKUP(CE$14,Villagers!$B$1:$V$33,CE281+3,FALSE)),)</f>
        <v>5</v>
      </c>
      <c r="DA281" s="14">
        <f>ROUND(IF(CF281=0,0,HLOOKUP(CF$14,Villagers!$B$1:$V$33,CF281+3,FALSE)),)</f>
        <v>10</v>
      </c>
      <c r="DB281" s="14">
        <f>ROUND(IF(CG281=0,0,HLOOKUP(CG$14,Villagers!$B$1:$V$33,CG281+3,FALSE)),)</f>
        <v>10</v>
      </c>
      <c r="DC281" s="14">
        <f>ROUND(IF(CH281=0,0,HLOOKUP(CH$14,Villagers!$B$1:$V$33,CH281+3,FALSE)),)</f>
        <v>0</v>
      </c>
      <c r="DD281" s="14">
        <f>ROUND(IF(CI281=0,0,HLOOKUP(CI$14,Villagers!$B$1:$V$33,CI281+3,FALSE)),)</f>
        <v>0</v>
      </c>
      <c r="DE281" s="14">
        <f>ROUND(IF(CJ281=0,0,HLOOKUP(CJ$14,Villagers!$B$1:$V$33,CJ281+3,FALSE)),)</f>
        <v>2</v>
      </c>
      <c r="DF281" s="370">
        <f>ROUND(IF(CK281=0,0,HLOOKUP(CK$14,Villagers!$B$1:$V$33,CK281+3,FALSE)),)</f>
        <v>0</v>
      </c>
      <c r="DG281" s="370">
        <f>ROUND(IF(CL281=0,0,HLOOKUP(CL$14,Villagers!$B$1:$V$33,CL281+3,FALSE)),)</f>
        <v>0</v>
      </c>
      <c r="DH281" s="34">
        <f>ROUND(IF(CM281=0,0,HLOOKUP(CM$14,Villagers!$B$1:$V$33,CM281+3,FALSE)),)</f>
        <v>0</v>
      </c>
      <c r="DI281" s="109">
        <f t="shared" si="426"/>
        <v>0</v>
      </c>
      <c r="DJ281" s="50">
        <f t="shared" si="427"/>
        <v>0</v>
      </c>
      <c r="DK281" s="50">
        <f t="shared" si="428"/>
        <v>0</v>
      </c>
      <c r="DL281" s="50">
        <f t="shared" si="429"/>
        <v>0</v>
      </c>
      <c r="DM281" s="50">
        <f t="shared" si="430"/>
        <v>0</v>
      </c>
      <c r="DN281" s="50">
        <f t="shared" si="431"/>
        <v>0</v>
      </c>
      <c r="DO281" s="50">
        <f t="shared" si="432"/>
        <v>0</v>
      </c>
      <c r="DP281" s="50">
        <f t="shared" si="433"/>
        <v>0</v>
      </c>
      <c r="DQ281" s="50">
        <f t="shared" si="411"/>
        <v>0</v>
      </c>
      <c r="DR281" s="50">
        <f t="shared" si="412"/>
        <v>0</v>
      </c>
      <c r="DS281" s="96">
        <f>Miscelaneous!$D$4*Miscelaneous!$D$2^($CI281-1)</f>
        <v>1000</v>
      </c>
      <c r="DT281" s="333">
        <f t="shared" si="393"/>
        <v>1</v>
      </c>
      <c r="DU281" s="81">
        <v>1</v>
      </c>
      <c r="DV281" s="79">
        <f t="shared" si="413"/>
        <v>0</v>
      </c>
      <c r="DW281" s="79">
        <f t="shared" si="414"/>
        <v>0</v>
      </c>
      <c r="DX281" s="79">
        <f t="shared" si="415"/>
        <v>0</v>
      </c>
      <c r="DY281" s="79">
        <v>1</v>
      </c>
      <c r="DZ281" s="79">
        <f t="shared" si="416"/>
        <v>0</v>
      </c>
      <c r="EA281" s="79">
        <f t="shared" si="417"/>
        <v>0</v>
      </c>
      <c r="EB281" s="79">
        <f t="shared" si="418"/>
        <v>0</v>
      </c>
      <c r="EC281" s="79">
        <f t="shared" si="419"/>
        <v>0</v>
      </c>
      <c r="ED281" s="79">
        <v>1</v>
      </c>
      <c r="EE281" s="79">
        <v>1</v>
      </c>
      <c r="EF281" s="79">
        <f t="shared" si="420"/>
        <v>0</v>
      </c>
      <c r="EG281" s="79">
        <v>1</v>
      </c>
      <c r="EH281" s="79">
        <v>1</v>
      </c>
      <c r="EI281" s="79">
        <v>1</v>
      </c>
      <c r="EJ281" s="79">
        <v>1</v>
      </c>
      <c r="EK281" s="79">
        <v>1</v>
      </c>
      <c r="EL281" s="79">
        <v>1</v>
      </c>
      <c r="EM281" s="143">
        <f t="shared" si="421"/>
        <v>0</v>
      </c>
      <c r="EN281" s="143">
        <f t="shared" si="422"/>
        <v>0</v>
      </c>
      <c r="EO281" s="82">
        <f t="shared" si="423"/>
        <v>0</v>
      </c>
    </row>
    <row r="282" spans="1:145" x14ac:dyDescent="0.25">
      <c r="A282">
        <v>268</v>
      </c>
      <c r="B282" s="172" t="e">
        <f t="shared" si="394"/>
        <v>#N/A</v>
      </c>
      <c r="C282" s="121" t="e">
        <f t="shared" si="373"/>
        <v>#N/A</v>
      </c>
      <c r="D282" s="122" t="e">
        <f t="shared" si="374"/>
        <v>#N/A</v>
      </c>
      <c r="E282" s="122" t="e">
        <f t="shared" si="375"/>
        <v>#N/A</v>
      </c>
      <c r="F282" s="176" t="e">
        <f t="shared" si="376"/>
        <v>#N/A</v>
      </c>
      <c r="G282" s="121">
        <f t="shared" si="395"/>
        <v>208</v>
      </c>
      <c r="H282" s="176" t="e">
        <f t="shared" si="396"/>
        <v>#N/A</v>
      </c>
      <c r="I282" s="48">
        <v>1</v>
      </c>
      <c r="J282" s="39"/>
      <c r="K282" s="350">
        <v>1</v>
      </c>
      <c r="L282" s="34" t="e">
        <f t="shared" si="377"/>
        <v>#N/A</v>
      </c>
      <c r="M282" s="38" t="e">
        <f>(HLOOKUP(J282,'Construction Times'!$B$3:$W$34,L282+2,FALSE)*HLOOKUP("hq modifier",'Construction Times'!$W$3:$W$34,BS282+2,FALSE))*(1-$H$9)</f>
        <v>#N/A</v>
      </c>
      <c r="N282" s="443" t="e">
        <f t="shared" si="397"/>
        <v>#N/A</v>
      </c>
      <c r="O282" s="444"/>
      <c r="P282" s="447" t="e">
        <f t="shared" si="398"/>
        <v>#N/A</v>
      </c>
      <c r="Q282" s="448"/>
      <c r="R282" s="103">
        <f t="shared" si="424"/>
        <v>0</v>
      </c>
      <c r="S282" s="104">
        <f t="shared" si="424"/>
        <v>0</v>
      </c>
      <c r="T282" s="104">
        <f t="shared" si="425"/>
        <v>0</v>
      </c>
      <c r="U282" s="104">
        <f t="shared" si="425"/>
        <v>0</v>
      </c>
      <c r="V282" s="104">
        <f t="shared" si="425"/>
        <v>9.9999999999999995E-8</v>
      </c>
      <c r="W282" s="104">
        <f t="shared" si="425"/>
        <v>0</v>
      </c>
      <c r="X282" s="104">
        <f t="shared" si="365"/>
        <v>0</v>
      </c>
      <c r="Y282" s="104">
        <f t="shared" si="365"/>
        <v>9.9999999999999995E-8</v>
      </c>
      <c r="Z282" s="104">
        <f t="shared" si="365"/>
        <v>9.9999999999999995E-8</v>
      </c>
      <c r="AA282" s="105">
        <f t="shared" si="365"/>
        <v>9.9999999999999995E-8</v>
      </c>
      <c r="AB282" s="101" t="e">
        <f>$DT282*HLOOKUP($J282,'Construction Costs (timber)'!$B$1:$V$32,'Construction Planner'!$L282+2,FALSE)</f>
        <v>#N/A</v>
      </c>
      <c r="AC282" s="14" t="e">
        <f>$DT282*HLOOKUP($J282,'Construction Costs (clay)'!$B$1:$V$32,'Construction Planner'!$L282+2,FALSE)</f>
        <v>#N/A</v>
      </c>
      <c r="AD282" s="14" t="e">
        <f>$DT282*HLOOKUP($J282,'Construction Costs (iron)'!$B$1:$V$32,'Construction Planner'!$L282+2,FALSE)</f>
        <v>#N/A</v>
      </c>
      <c r="AE282" s="34" t="e">
        <f t="shared" si="434"/>
        <v>#N/A</v>
      </c>
      <c r="AF282" s="33" t="e">
        <f t="shared" si="378"/>
        <v>#N/A</v>
      </c>
      <c r="AG282" s="14" t="e">
        <f t="shared" si="379"/>
        <v>#N/A</v>
      </c>
      <c r="AH282" s="14" t="e">
        <f t="shared" si="380"/>
        <v>#N/A</v>
      </c>
      <c r="AI282" s="34" t="e">
        <f t="shared" si="435"/>
        <v>#N/A</v>
      </c>
      <c r="AJ282" s="49" t="e">
        <f t="shared" si="399"/>
        <v>#N/A</v>
      </c>
      <c r="AK282" s="49" t="e">
        <f t="shared" si="400"/>
        <v>#N/A</v>
      </c>
      <c r="AL282" s="49" t="e">
        <f t="shared" si="401"/>
        <v>#N/A</v>
      </c>
      <c r="AM282" s="25">
        <f t="shared" si="381"/>
        <v>30</v>
      </c>
      <c r="AN282" s="25">
        <f t="shared" si="382"/>
        <v>30</v>
      </c>
      <c r="AO282" s="25">
        <f t="shared" si="383"/>
        <v>30</v>
      </c>
      <c r="AP282" s="52" t="e">
        <f t="shared" si="402"/>
        <v>#N/A</v>
      </c>
      <c r="AQ282" s="53" t="e">
        <f t="shared" si="402"/>
        <v>#N/A</v>
      </c>
      <c r="AR282" s="54" t="e">
        <f t="shared" si="402"/>
        <v>#N/A</v>
      </c>
      <c r="AS282" s="316">
        <f t="shared" si="436"/>
        <v>0</v>
      </c>
      <c r="AT282" s="106">
        <f>_xlfn.IFNA($M282/VLOOKUP($BT282,'Unit information'!$A$2:$K$29,2,FALSE)*R282,0)*(1+$E$9)</f>
        <v>0</v>
      </c>
      <c r="AU282" s="107">
        <f>_xlfn.IFNA($M282/VLOOKUP($BT282,'Unit information'!$A$2:$K$29,3,FALSE)*S282,0)*(1+$E$9)</f>
        <v>0</v>
      </c>
      <c r="AV282" s="107">
        <f>_xlfn.IFNA($M282/VLOOKUP($BT282,'Unit information'!$A$2:$K$29,4,FALSE)*T282,0)*(1+$E$9)</f>
        <v>0</v>
      </c>
      <c r="AW282" s="107">
        <f>_xlfn.IFNA($M282/VLOOKUP($BT282,'Unit information'!$A$2:$K$29,5,FALSE)*U282,0)*(1+$E$9)</f>
        <v>0</v>
      </c>
      <c r="AX282" s="107">
        <f>_xlfn.IFNA($M282/VLOOKUP($BU282,'Unit information'!$A$2:$K$29,6,FALSE)*V282,0)*(1+$E$9)</f>
        <v>0</v>
      </c>
      <c r="AY282" s="107">
        <f>_xlfn.IFNA($M282/VLOOKUP($BU282,'Unit information'!$A$2:$K$29,7,FALSE)*W282,0)*(1+$E$9)</f>
        <v>0</v>
      </c>
      <c r="AZ282" s="107">
        <f>_xlfn.IFNA($M282/VLOOKUP($BU282,'Unit information'!$A$2:$K$29,8,FALSE)*X282,0)*(1+$E$9)</f>
        <v>0</v>
      </c>
      <c r="BA282" s="107">
        <f>_xlfn.IFNA($M282/VLOOKUP($BU282,'Unit information'!$A$2:$K$29,9,FALSE)*Y282,0)*(1+$E$9)</f>
        <v>0</v>
      </c>
      <c r="BB282" s="107">
        <f>_xlfn.IFNA($M282/VLOOKUP($BV282,'Unit information'!$A$2:$K$29,10,FALSE)*Z282,0)*(1+$E$9)</f>
        <v>0</v>
      </c>
      <c r="BC282" s="108">
        <f>_xlfn.IFNA($M282/VLOOKUP($BV282,'Unit information'!$A$2:$K$29,11,FALSE)*AA282,0)*(1+$E$9)</f>
        <v>0</v>
      </c>
      <c r="BD282" s="106">
        <f t="shared" si="384"/>
        <v>0</v>
      </c>
      <c r="BE282" s="107">
        <f t="shared" si="385"/>
        <v>0</v>
      </c>
      <c r="BF282" s="108">
        <f t="shared" si="386"/>
        <v>0</v>
      </c>
      <c r="BG282" s="25" t="e">
        <f t="shared" si="387"/>
        <v>#N/A</v>
      </c>
      <c r="BH282" s="25" t="e">
        <f t="shared" si="388"/>
        <v>#N/A</v>
      </c>
      <c r="BI282" s="25" t="e">
        <f t="shared" si="389"/>
        <v>#N/A</v>
      </c>
      <c r="BJ282" s="27" t="e">
        <f t="shared" si="390"/>
        <v>#N/A</v>
      </c>
      <c r="BK282" s="18" t="e">
        <f t="shared" si="391"/>
        <v>#N/A</v>
      </c>
      <c r="BL282" s="18" t="e">
        <f t="shared" si="392"/>
        <v>#N/A</v>
      </c>
      <c r="BM282" s="28" t="e">
        <f t="shared" si="437"/>
        <v>#N/A</v>
      </c>
      <c r="BN282" s="33">
        <f>HLOOKUP("maximum population",Miscelaneous!$C$1:$C$33,CH282+3,FALSE)</f>
        <v>240</v>
      </c>
      <c r="BO282" s="14">
        <f t="shared" si="403"/>
        <v>32</v>
      </c>
      <c r="BP282" s="14">
        <f t="shared" si="404"/>
        <v>0</v>
      </c>
      <c r="BQ282" s="14">
        <f t="shared" si="405"/>
        <v>208</v>
      </c>
      <c r="BR282" s="34" t="e">
        <f>HLOOKUP(J282,Villagers!$B$1:$V$33,L282+3,FALSE)-HLOOKUP(J282,Villagers!$B$1:$V$33,L282+2,FALSE)</f>
        <v>#N/A</v>
      </c>
      <c r="BS282" s="49">
        <f t="shared" si="406"/>
        <v>1</v>
      </c>
      <c r="BT282" s="50">
        <f t="shared" si="407"/>
        <v>0</v>
      </c>
      <c r="BU282" s="50">
        <f t="shared" si="408"/>
        <v>0</v>
      </c>
      <c r="BV282" s="50">
        <f t="shared" si="409"/>
        <v>0</v>
      </c>
      <c r="BW282" s="50">
        <f t="shared" si="439"/>
        <v>0</v>
      </c>
      <c r="BX282" s="50">
        <f t="shared" si="438"/>
        <v>0</v>
      </c>
      <c r="BY282" s="50">
        <f t="shared" si="438"/>
        <v>0</v>
      </c>
      <c r="BZ282" s="50">
        <f t="shared" si="350"/>
        <v>0</v>
      </c>
      <c r="CA282" s="50">
        <f t="shared" si="351"/>
        <v>0</v>
      </c>
      <c r="CB282" s="50">
        <f t="shared" si="352"/>
        <v>1</v>
      </c>
      <c r="CC282" s="50">
        <f t="shared" si="353"/>
        <v>0</v>
      </c>
      <c r="CD282" s="50">
        <f t="shared" si="354"/>
        <v>0</v>
      </c>
      <c r="CE282" s="50">
        <f t="shared" si="355"/>
        <v>1</v>
      </c>
      <c r="CF282" s="50">
        <f t="shared" si="356"/>
        <v>1</v>
      </c>
      <c r="CG282" s="50">
        <f t="shared" si="357"/>
        <v>1</v>
      </c>
      <c r="CH282" s="50">
        <f t="shared" si="358"/>
        <v>1</v>
      </c>
      <c r="CI282" s="50">
        <f t="shared" si="359"/>
        <v>1</v>
      </c>
      <c r="CJ282" s="50">
        <f t="shared" si="360"/>
        <v>1</v>
      </c>
      <c r="CK282" s="50">
        <f t="shared" si="360"/>
        <v>0</v>
      </c>
      <c r="CL282" s="50">
        <f t="shared" si="360"/>
        <v>0</v>
      </c>
      <c r="CM282" s="51">
        <f t="shared" si="368"/>
        <v>0</v>
      </c>
      <c r="CN282" s="33">
        <f>ROUND(IF(BS282=0,0,HLOOKUP(BS$14,Villagers!$B$1:$V$33,BS282+3,FALSE)),)</f>
        <v>5</v>
      </c>
      <c r="CO282" s="14">
        <f>ROUND(IF(BT282=0,0,HLOOKUP(BT$14,Villagers!$B$1:$V$33,BT282+3,FALSE)),)</f>
        <v>0</v>
      </c>
      <c r="CP282" s="14">
        <f>ROUND(IF(BU282=0,0,HLOOKUP(BU$14,Villagers!$B$1:$V$33,BU282+3,FALSE)),)</f>
        <v>0</v>
      </c>
      <c r="CQ282" s="14">
        <f>ROUND(IF(BV282=0,0,HLOOKUP(BV$14,Villagers!$B$1:$V$33,BV282+3,FALSE)),)</f>
        <v>0</v>
      </c>
      <c r="CR282" s="14">
        <f>ROUND(IF(BW282=0,0,HLOOKUP(BW$14,Villagers!$B$1:$V$33,BW282+3,FALSE)),)</f>
        <v>0</v>
      </c>
      <c r="CS282" s="14">
        <f>ROUND(IF(BX282=0,0,HLOOKUP(BX$14,Villagers!$B$1:$V$33,BX282+3,FALSE)),)</f>
        <v>0</v>
      </c>
      <c r="CT282" s="14">
        <f>ROUND(IF(BY282=0,0,HLOOKUP(BY$14,Villagers!$B$1:$V$33,BY282+3,FALSE)),)</f>
        <v>0</v>
      </c>
      <c r="CU282" s="14">
        <f>ROUND(IF(BZ282=0,0,HLOOKUP(BZ$14,Villagers!$B$1:$V$33,BZ282+3,FALSE)),)</f>
        <v>0</v>
      </c>
      <c r="CV282" s="14">
        <f>ROUND(IF(CA282=0,0,HLOOKUP(CA$14,Villagers!$B$1:$V$33,CA282+3,FALSE)),)</f>
        <v>0</v>
      </c>
      <c r="CW282" s="14">
        <f>ROUND(IF(CB282=0,0,HLOOKUP(CB$14,Villagers!$B$1:$V$33,CB282+3,FALSE)),)</f>
        <v>0</v>
      </c>
      <c r="CX282" s="14">
        <f>ROUND(IF(CC282=0,0,HLOOKUP(CC$14,Villagers!$B$1:$V$33,CC282+3,FALSE)),)</f>
        <v>0</v>
      </c>
      <c r="CY282" s="14">
        <f>ROUND(IF(CD282=0,0,HLOOKUP(CD$14,Villagers!$B$1:$V$33,CD282+3,FALSE)),)</f>
        <v>0</v>
      </c>
      <c r="CZ282" s="14">
        <f>ROUND(IF(CE282=0,0,HLOOKUP(CE$14,Villagers!$B$1:$V$33,CE282+3,FALSE)),)</f>
        <v>5</v>
      </c>
      <c r="DA282" s="14">
        <f>ROUND(IF(CF282=0,0,HLOOKUP(CF$14,Villagers!$B$1:$V$33,CF282+3,FALSE)),)</f>
        <v>10</v>
      </c>
      <c r="DB282" s="14">
        <f>ROUND(IF(CG282=0,0,HLOOKUP(CG$14,Villagers!$B$1:$V$33,CG282+3,FALSE)),)</f>
        <v>10</v>
      </c>
      <c r="DC282" s="14">
        <f>ROUND(IF(CH282=0,0,HLOOKUP(CH$14,Villagers!$B$1:$V$33,CH282+3,FALSE)),)</f>
        <v>0</v>
      </c>
      <c r="DD282" s="14">
        <f>ROUND(IF(CI282=0,0,HLOOKUP(CI$14,Villagers!$B$1:$V$33,CI282+3,FALSE)),)</f>
        <v>0</v>
      </c>
      <c r="DE282" s="14">
        <f>ROUND(IF(CJ282=0,0,HLOOKUP(CJ$14,Villagers!$B$1:$V$33,CJ282+3,FALSE)),)</f>
        <v>2</v>
      </c>
      <c r="DF282" s="370">
        <f>ROUND(IF(CK282=0,0,HLOOKUP(CK$14,Villagers!$B$1:$V$33,CK282+3,FALSE)),)</f>
        <v>0</v>
      </c>
      <c r="DG282" s="370">
        <f>ROUND(IF(CL282=0,0,HLOOKUP(CL$14,Villagers!$B$1:$V$33,CL282+3,FALSE)),)</f>
        <v>0</v>
      </c>
      <c r="DH282" s="34">
        <f>ROUND(IF(CM282=0,0,HLOOKUP(CM$14,Villagers!$B$1:$V$33,CM282+3,FALSE)),)</f>
        <v>0</v>
      </c>
      <c r="DI282" s="109">
        <f t="shared" si="426"/>
        <v>0</v>
      </c>
      <c r="DJ282" s="50">
        <f t="shared" si="427"/>
        <v>0</v>
      </c>
      <c r="DK282" s="50">
        <f t="shared" si="428"/>
        <v>0</v>
      </c>
      <c r="DL282" s="50">
        <f t="shared" si="429"/>
        <v>0</v>
      </c>
      <c r="DM282" s="50">
        <f t="shared" si="430"/>
        <v>0</v>
      </c>
      <c r="DN282" s="50">
        <f t="shared" si="431"/>
        <v>0</v>
      </c>
      <c r="DO282" s="50">
        <f t="shared" si="432"/>
        <v>0</v>
      </c>
      <c r="DP282" s="50">
        <f t="shared" si="433"/>
        <v>0</v>
      </c>
      <c r="DQ282" s="50">
        <f t="shared" si="411"/>
        <v>0</v>
      </c>
      <c r="DR282" s="50">
        <f t="shared" si="412"/>
        <v>0</v>
      </c>
      <c r="DS282" s="96">
        <f>Miscelaneous!$D$4*Miscelaneous!$D$2^($CI282-1)</f>
        <v>1000</v>
      </c>
      <c r="DT282" s="333">
        <f t="shared" si="393"/>
        <v>1</v>
      </c>
      <c r="DU282" s="81">
        <v>1</v>
      </c>
      <c r="DV282" s="79">
        <f t="shared" si="413"/>
        <v>0</v>
      </c>
      <c r="DW282" s="79">
        <f t="shared" si="414"/>
        <v>0</v>
      </c>
      <c r="DX282" s="79">
        <f t="shared" si="415"/>
        <v>0</v>
      </c>
      <c r="DY282" s="79">
        <v>1</v>
      </c>
      <c r="DZ282" s="79">
        <f t="shared" si="416"/>
        <v>0</v>
      </c>
      <c r="EA282" s="79">
        <f t="shared" si="417"/>
        <v>0</v>
      </c>
      <c r="EB282" s="79">
        <f t="shared" si="418"/>
        <v>0</v>
      </c>
      <c r="EC282" s="79">
        <f t="shared" si="419"/>
        <v>0</v>
      </c>
      <c r="ED282" s="79">
        <v>1</v>
      </c>
      <c r="EE282" s="79">
        <v>1</v>
      </c>
      <c r="EF282" s="79">
        <f t="shared" si="420"/>
        <v>0</v>
      </c>
      <c r="EG282" s="79">
        <v>1</v>
      </c>
      <c r="EH282" s="79">
        <v>1</v>
      </c>
      <c r="EI282" s="79">
        <v>1</v>
      </c>
      <c r="EJ282" s="79">
        <v>1</v>
      </c>
      <c r="EK282" s="79">
        <v>1</v>
      </c>
      <c r="EL282" s="79">
        <v>1</v>
      </c>
      <c r="EM282" s="143">
        <f t="shared" si="421"/>
        <v>0</v>
      </c>
      <c r="EN282" s="143">
        <f t="shared" si="422"/>
        <v>0</v>
      </c>
      <c r="EO282" s="82">
        <f t="shared" si="423"/>
        <v>0</v>
      </c>
    </row>
    <row r="283" spans="1:145" x14ac:dyDescent="0.25">
      <c r="A283">
        <v>269</v>
      </c>
      <c r="B283" s="172" t="e">
        <f t="shared" si="394"/>
        <v>#N/A</v>
      </c>
      <c r="C283" s="121" t="e">
        <f t="shared" si="373"/>
        <v>#N/A</v>
      </c>
      <c r="D283" s="122" t="e">
        <f t="shared" si="374"/>
        <v>#N/A</v>
      </c>
      <c r="E283" s="122" t="e">
        <f t="shared" si="375"/>
        <v>#N/A</v>
      </c>
      <c r="F283" s="176" t="e">
        <f t="shared" si="376"/>
        <v>#N/A</v>
      </c>
      <c r="G283" s="121">
        <f t="shared" si="395"/>
        <v>208</v>
      </c>
      <c r="H283" s="176" t="e">
        <f t="shared" si="396"/>
        <v>#N/A</v>
      </c>
      <c r="I283" s="48">
        <v>1</v>
      </c>
      <c r="J283" s="39"/>
      <c r="K283" s="350">
        <v>1</v>
      </c>
      <c r="L283" s="34" t="e">
        <f t="shared" si="377"/>
        <v>#N/A</v>
      </c>
      <c r="M283" s="38" t="e">
        <f>(HLOOKUP(J283,'Construction Times'!$B$3:$W$34,L283+2,FALSE)*HLOOKUP("hq modifier",'Construction Times'!$W$3:$W$34,BS283+2,FALSE))*(1-$H$9)</f>
        <v>#N/A</v>
      </c>
      <c r="N283" s="443" t="e">
        <f t="shared" si="397"/>
        <v>#N/A</v>
      </c>
      <c r="O283" s="444"/>
      <c r="P283" s="447" t="e">
        <f t="shared" si="398"/>
        <v>#N/A</v>
      </c>
      <c r="Q283" s="448"/>
      <c r="R283" s="103">
        <f t="shared" si="424"/>
        <v>0</v>
      </c>
      <c r="S283" s="104">
        <f t="shared" si="424"/>
        <v>0</v>
      </c>
      <c r="T283" s="104">
        <f t="shared" si="425"/>
        <v>0</v>
      </c>
      <c r="U283" s="104">
        <f t="shared" si="425"/>
        <v>0</v>
      </c>
      <c r="V283" s="104">
        <f t="shared" si="425"/>
        <v>9.9999999999999995E-8</v>
      </c>
      <c r="W283" s="104">
        <f t="shared" si="425"/>
        <v>0</v>
      </c>
      <c r="X283" s="104">
        <f t="shared" si="365"/>
        <v>0</v>
      </c>
      <c r="Y283" s="104">
        <f t="shared" si="365"/>
        <v>9.9999999999999995E-8</v>
      </c>
      <c r="Z283" s="104">
        <f t="shared" si="365"/>
        <v>9.9999999999999995E-8</v>
      </c>
      <c r="AA283" s="105">
        <f t="shared" si="365"/>
        <v>9.9999999999999995E-8</v>
      </c>
      <c r="AB283" s="101" t="e">
        <f>$DT283*HLOOKUP($J283,'Construction Costs (timber)'!$B$1:$V$32,'Construction Planner'!$L283+2,FALSE)</f>
        <v>#N/A</v>
      </c>
      <c r="AC283" s="14" t="e">
        <f>$DT283*HLOOKUP($J283,'Construction Costs (clay)'!$B$1:$V$32,'Construction Planner'!$L283+2,FALSE)</f>
        <v>#N/A</v>
      </c>
      <c r="AD283" s="14" t="e">
        <f>$DT283*HLOOKUP($J283,'Construction Costs (iron)'!$B$1:$V$32,'Construction Planner'!$L283+2,FALSE)</f>
        <v>#N/A</v>
      </c>
      <c r="AE283" s="34" t="e">
        <f t="shared" si="434"/>
        <v>#N/A</v>
      </c>
      <c r="AF283" s="33" t="e">
        <f t="shared" si="378"/>
        <v>#N/A</v>
      </c>
      <c r="AG283" s="14" t="e">
        <f t="shared" si="379"/>
        <v>#N/A</v>
      </c>
      <c r="AH283" s="14" t="e">
        <f t="shared" si="380"/>
        <v>#N/A</v>
      </c>
      <c r="AI283" s="34" t="e">
        <f t="shared" si="435"/>
        <v>#N/A</v>
      </c>
      <c r="AJ283" s="49" t="e">
        <f t="shared" si="399"/>
        <v>#N/A</v>
      </c>
      <c r="AK283" s="49" t="e">
        <f t="shared" si="400"/>
        <v>#N/A</v>
      </c>
      <c r="AL283" s="49" t="e">
        <f t="shared" si="401"/>
        <v>#N/A</v>
      </c>
      <c r="AM283" s="25">
        <f t="shared" si="381"/>
        <v>30</v>
      </c>
      <c r="AN283" s="25">
        <f t="shared" si="382"/>
        <v>30</v>
      </c>
      <c r="AO283" s="25">
        <f t="shared" si="383"/>
        <v>30</v>
      </c>
      <c r="AP283" s="52" t="e">
        <f t="shared" si="402"/>
        <v>#N/A</v>
      </c>
      <c r="AQ283" s="53" t="e">
        <f t="shared" si="402"/>
        <v>#N/A</v>
      </c>
      <c r="AR283" s="54" t="e">
        <f t="shared" si="402"/>
        <v>#N/A</v>
      </c>
      <c r="AS283" s="316">
        <f t="shared" si="436"/>
        <v>0</v>
      </c>
      <c r="AT283" s="106">
        <f>_xlfn.IFNA($M283/VLOOKUP($BT283,'Unit information'!$A$2:$K$29,2,FALSE)*R283,0)*(1+$E$9)</f>
        <v>0</v>
      </c>
      <c r="AU283" s="107">
        <f>_xlfn.IFNA($M283/VLOOKUP($BT283,'Unit information'!$A$2:$K$29,3,FALSE)*S283,0)*(1+$E$9)</f>
        <v>0</v>
      </c>
      <c r="AV283" s="107">
        <f>_xlfn.IFNA($M283/VLOOKUP($BT283,'Unit information'!$A$2:$K$29,4,FALSE)*T283,0)*(1+$E$9)</f>
        <v>0</v>
      </c>
      <c r="AW283" s="107">
        <f>_xlfn.IFNA($M283/VLOOKUP($BT283,'Unit information'!$A$2:$K$29,5,FALSE)*U283,0)*(1+$E$9)</f>
        <v>0</v>
      </c>
      <c r="AX283" s="107">
        <f>_xlfn.IFNA($M283/VLOOKUP($BU283,'Unit information'!$A$2:$K$29,6,FALSE)*V283,0)*(1+$E$9)</f>
        <v>0</v>
      </c>
      <c r="AY283" s="107">
        <f>_xlfn.IFNA($M283/VLOOKUP($BU283,'Unit information'!$A$2:$K$29,7,FALSE)*W283,0)*(1+$E$9)</f>
        <v>0</v>
      </c>
      <c r="AZ283" s="107">
        <f>_xlfn.IFNA($M283/VLOOKUP($BU283,'Unit information'!$A$2:$K$29,8,FALSE)*X283,0)*(1+$E$9)</f>
        <v>0</v>
      </c>
      <c r="BA283" s="107">
        <f>_xlfn.IFNA($M283/VLOOKUP($BU283,'Unit information'!$A$2:$K$29,9,FALSE)*Y283,0)*(1+$E$9)</f>
        <v>0</v>
      </c>
      <c r="BB283" s="107">
        <f>_xlfn.IFNA($M283/VLOOKUP($BV283,'Unit information'!$A$2:$K$29,10,FALSE)*Z283,0)*(1+$E$9)</f>
        <v>0</v>
      </c>
      <c r="BC283" s="108">
        <f>_xlfn.IFNA($M283/VLOOKUP($BV283,'Unit information'!$A$2:$K$29,11,FALSE)*AA283,0)*(1+$E$9)</f>
        <v>0</v>
      </c>
      <c r="BD283" s="106">
        <f t="shared" si="384"/>
        <v>0</v>
      </c>
      <c r="BE283" s="107">
        <f t="shared" si="385"/>
        <v>0</v>
      </c>
      <c r="BF283" s="108">
        <f t="shared" si="386"/>
        <v>0</v>
      </c>
      <c r="BG283" s="25" t="e">
        <f t="shared" si="387"/>
        <v>#N/A</v>
      </c>
      <c r="BH283" s="25" t="e">
        <f t="shared" si="388"/>
        <v>#N/A</v>
      </c>
      <c r="BI283" s="25" t="e">
        <f t="shared" si="389"/>
        <v>#N/A</v>
      </c>
      <c r="BJ283" s="27" t="e">
        <f t="shared" si="390"/>
        <v>#N/A</v>
      </c>
      <c r="BK283" s="18" t="e">
        <f t="shared" si="391"/>
        <v>#N/A</v>
      </c>
      <c r="BL283" s="18" t="e">
        <f t="shared" si="392"/>
        <v>#N/A</v>
      </c>
      <c r="BM283" s="28" t="e">
        <f t="shared" si="437"/>
        <v>#N/A</v>
      </c>
      <c r="BN283" s="33">
        <f>HLOOKUP("maximum population",Miscelaneous!$C$1:$C$33,CH283+3,FALSE)</f>
        <v>240</v>
      </c>
      <c r="BO283" s="14">
        <f t="shared" si="403"/>
        <v>32</v>
      </c>
      <c r="BP283" s="14">
        <f t="shared" si="404"/>
        <v>0</v>
      </c>
      <c r="BQ283" s="14">
        <f t="shared" si="405"/>
        <v>208</v>
      </c>
      <c r="BR283" s="34" t="e">
        <f>HLOOKUP(J283,Villagers!$B$1:$V$33,L283+3,FALSE)-HLOOKUP(J283,Villagers!$B$1:$V$33,L283+2,FALSE)</f>
        <v>#N/A</v>
      </c>
      <c r="BS283" s="49">
        <f t="shared" si="406"/>
        <v>1</v>
      </c>
      <c r="BT283" s="50">
        <f t="shared" si="407"/>
        <v>0</v>
      </c>
      <c r="BU283" s="50">
        <f t="shared" si="408"/>
        <v>0</v>
      </c>
      <c r="BV283" s="50">
        <f t="shared" si="409"/>
        <v>0</v>
      </c>
      <c r="BW283" s="50">
        <f t="shared" si="439"/>
        <v>0</v>
      </c>
      <c r="BX283" s="50">
        <f t="shared" si="438"/>
        <v>0</v>
      </c>
      <c r="BY283" s="50">
        <f t="shared" si="438"/>
        <v>0</v>
      </c>
      <c r="BZ283" s="50">
        <f t="shared" si="350"/>
        <v>0</v>
      </c>
      <c r="CA283" s="50">
        <f t="shared" si="351"/>
        <v>0</v>
      </c>
      <c r="CB283" s="50">
        <f t="shared" si="352"/>
        <v>1</v>
      </c>
      <c r="CC283" s="50">
        <f t="shared" si="353"/>
        <v>0</v>
      </c>
      <c r="CD283" s="50">
        <f t="shared" si="354"/>
        <v>0</v>
      </c>
      <c r="CE283" s="50">
        <f t="shared" si="355"/>
        <v>1</v>
      </c>
      <c r="CF283" s="50">
        <f t="shared" si="356"/>
        <v>1</v>
      </c>
      <c r="CG283" s="50">
        <f t="shared" si="357"/>
        <v>1</v>
      </c>
      <c r="CH283" s="50">
        <f t="shared" si="358"/>
        <v>1</v>
      </c>
      <c r="CI283" s="50">
        <f t="shared" si="359"/>
        <v>1</v>
      </c>
      <c r="CJ283" s="50">
        <f t="shared" si="360"/>
        <v>1</v>
      </c>
      <c r="CK283" s="50">
        <f t="shared" si="360"/>
        <v>0</v>
      </c>
      <c r="CL283" s="50">
        <f t="shared" si="360"/>
        <v>0</v>
      </c>
      <c r="CM283" s="51">
        <f t="shared" si="368"/>
        <v>0</v>
      </c>
      <c r="CN283" s="33">
        <f>ROUND(IF(BS283=0,0,HLOOKUP(BS$14,Villagers!$B$1:$V$33,BS283+3,FALSE)),)</f>
        <v>5</v>
      </c>
      <c r="CO283" s="14">
        <f>ROUND(IF(BT283=0,0,HLOOKUP(BT$14,Villagers!$B$1:$V$33,BT283+3,FALSE)),)</f>
        <v>0</v>
      </c>
      <c r="CP283" s="14">
        <f>ROUND(IF(BU283=0,0,HLOOKUP(BU$14,Villagers!$B$1:$V$33,BU283+3,FALSE)),)</f>
        <v>0</v>
      </c>
      <c r="CQ283" s="14">
        <f>ROUND(IF(BV283=0,0,HLOOKUP(BV$14,Villagers!$B$1:$V$33,BV283+3,FALSE)),)</f>
        <v>0</v>
      </c>
      <c r="CR283" s="14">
        <f>ROUND(IF(BW283=0,0,HLOOKUP(BW$14,Villagers!$B$1:$V$33,BW283+3,FALSE)),)</f>
        <v>0</v>
      </c>
      <c r="CS283" s="14">
        <f>ROUND(IF(BX283=0,0,HLOOKUP(BX$14,Villagers!$B$1:$V$33,BX283+3,FALSE)),)</f>
        <v>0</v>
      </c>
      <c r="CT283" s="14">
        <f>ROUND(IF(BY283=0,0,HLOOKUP(BY$14,Villagers!$B$1:$V$33,BY283+3,FALSE)),)</f>
        <v>0</v>
      </c>
      <c r="CU283" s="14">
        <f>ROUND(IF(BZ283=0,0,HLOOKUP(BZ$14,Villagers!$B$1:$V$33,BZ283+3,FALSE)),)</f>
        <v>0</v>
      </c>
      <c r="CV283" s="14">
        <f>ROUND(IF(CA283=0,0,HLOOKUP(CA$14,Villagers!$B$1:$V$33,CA283+3,FALSE)),)</f>
        <v>0</v>
      </c>
      <c r="CW283" s="14">
        <f>ROUND(IF(CB283=0,0,HLOOKUP(CB$14,Villagers!$B$1:$V$33,CB283+3,FALSE)),)</f>
        <v>0</v>
      </c>
      <c r="CX283" s="14">
        <f>ROUND(IF(CC283=0,0,HLOOKUP(CC$14,Villagers!$B$1:$V$33,CC283+3,FALSE)),)</f>
        <v>0</v>
      </c>
      <c r="CY283" s="14">
        <f>ROUND(IF(CD283=0,0,HLOOKUP(CD$14,Villagers!$B$1:$V$33,CD283+3,FALSE)),)</f>
        <v>0</v>
      </c>
      <c r="CZ283" s="14">
        <f>ROUND(IF(CE283=0,0,HLOOKUP(CE$14,Villagers!$B$1:$V$33,CE283+3,FALSE)),)</f>
        <v>5</v>
      </c>
      <c r="DA283" s="14">
        <f>ROUND(IF(CF283=0,0,HLOOKUP(CF$14,Villagers!$B$1:$V$33,CF283+3,FALSE)),)</f>
        <v>10</v>
      </c>
      <c r="DB283" s="14">
        <f>ROUND(IF(CG283=0,0,HLOOKUP(CG$14,Villagers!$B$1:$V$33,CG283+3,FALSE)),)</f>
        <v>10</v>
      </c>
      <c r="DC283" s="14">
        <f>ROUND(IF(CH283=0,0,HLOOKUP(CH$14,Villagers!$B$1:$V$33,CH283+3,FALSE)),)</f>
        <v>0</v>
      </c>
      <c r="DD283" s="14">
        <f>ROUND(IF(CI283=0,0,HLOOKUP(CI$14,Villagers!$B$1:$V$33,CI283+3,FALSE)),)</f>
        <v>0</v>
      </c>
      <c r="DE283" s="14">
        <f>ROUND(IF(CJ283=0,0,HLOOKUP(CJ$14,Villagers!$B$1:$V$33,CJ283+3,FALSE)),)</f>
        <v>2</v>
      </c>
      <c r="DF283" s="370">
        <f>ROUND(IF(CK283=0,0,HLOOKUP(CK$14,Villagers!$B$1:$V$33,CK283+3,FALSE)),)</f>
        <v>0</v>
      </c>
      <c r="DG283" s="370">
        <f>ROUND(IF(CL283=0,0,HLOOKUP(CL$14,Villagers!$B$1:$V$33,CL283+3,FALSE)),)</f>
        <v>0</v>
      </c>
      <c r="DH283" s="34">
        <f>ROUND(IF(CM283=0,0,HLOOKUP(CM$14,Villagers!$B$1:$V$33,CM283+3,FALSE)),)</f>
        <v>0</v>
      </c>
      <c r="DI283" s="109">
        <f t="shared" si="426"/>
        <v>0</v>
      </c>
      <c r="DJ283" s="50">
        <f t="shared" si="427"/>
        <v>0</v>
      </c>
      <c r="DK283" s="50">
        <f t="shared" si="428"/>
        <v>0</v>
      </c>
      <c r="DL283" s="50">
        <f t="shared" si="429"/>
        <v>0</v>
      </c>
      <c r="DM283" s="50">
        <f t="shared" si="430"/>
        <v>0</v>
      </c>
      <c r="DN283" s="50">
        <f t="shared" si="431"/>
        <v>0</v>
      </c>
      <c r="DO283" s="50">
        <f t="shared" si="432"/>
        <v>0</v>
      </c>
      <c r="DP283" s="50">
        <f t="shared" si="433"/>
        <v>0</v>
      </c>
      <c r="DQ283" s="50">
        <f t="shared" si="411"/>
        <v>0</v>
      </c>
      <c r="DR283" s="50">
        <f t="shared" si="412"/>
        <v>0</v>
      </c>
      <c r="DS283" s="96">
        <f>Miscelaneous!$D$4*Miscelaneous!$D$2^($CI283-1)</f>
        <v>1000</v>
      </c>
      <c r="DT283" s="333">
        <f t="shared" si="393"/>
        <v>1</v>
      </c>
      <c r="DU283" s="81">
        <v>1</v>
      </c>
      <c r="DV283" s="79">
        <f t="shared" si="413"/>
        <v>0</v>
      </c>
      <c r="DW283" s="79">
        <f t="shared" si="414"/>
        <v>0</v>
      </c>
      <c r="DX283" s="79">
        <f t="shared" si="415"/>
        <v>0</v>
      </c>
      <c r="DY283" s="79">
        <v>1</v>
      </c>
      <c r="DZ283" s="79">
        <f t="shared" si="416"/>
        <v>0</v>
      </c>
      <c r="EA283" s="79">
        <f t="shared" si="417"/>
        <v>0</v>
      </c>
      <c r="EB283" s="79">
        <f t="shared" si="418"/>
        <v>0</v>
      </c>
      <c r="EC283" s="79">
        <f t="shared" si="419"/>
        <v>0</v>
      </c>
      <c r="ED283" s="79">
        <v>1</v>
      </c>
      <c r="EE283" s="79">
        <v>1</v>
      </c>
      <c r="EF283" s="79">
        <f t="shared" si="420"/>
        <v>0</v>
      </c>
      <c r="EG283" s="79">
        <v>1</v>
      </c>
      <c r="EH283" s="79">
        <v>1</v>
      </c>
      <c r="EI283" s="79">
        <v>1</v>
      </c>
      <c r="EJ283" s="79">
        <v>1</v>
      </c>
      <c r="EK283" s="79">
        <v>1</v>
      </c>
      <c r="EL283" s="79">
        <v>1</v>
      </c>
      <c r="EM283" s="143">
        <f t="shared" si="421"/>
        <v>0</v>
      </c>
      <c r="EN283" s="143">
        <f t="shared" si="422"/>
        <v>0</v>
      </c>
      <c r="EO283" s="82">
        <f t="shared" si="423"/>
        <v>0</v>
      </c>
    </row>
    <row r="284" spans="1:145" x14ac:dyDescent="0.25">
      <c r="A284">
        <v>270</v>
      </c>
      <c r="B284" s="172" t="e">
        <f t="shared" si="394"/>
        <v>#N/A</v>
      </c>
      <c r="C284" s="121" t="e">
        <f t="shared" si="373"/>
        <v>#N/A</v>
      </c>
      <c r="D284" s="122" t="e">
        <f t="shared" si="374"/>
        <v>#N/A</v>
      </c>
      <c r="E284" s="122" t="e">
        <f t="shared" si="375"/>
        <v>#N/A</v>
      </c>
      <c r="F284" s="176" t="e">
        <f t="shared" si="376"/>
        <v>#N/A</v>
      </c>
      <c r="G284" s="121">
        <f t="shared" si="395"/>
        <v>208</v>
      </c>
      <c r="H284" s="176" t="e">
        <f t="shared" si="396"/>
        <v>#N/A</v>
      </c>
      <c r="I284" s="48">
        <v>1</v>
      </c>
      <c r="J284" s="39"/>
      <c r="K284" s="350">
        <v>1</v>
      </c>
      <c r="L284" s="34" t="e">
        <f t="shared" si="377"/>
        <v>#N/A</v>
      </c>
      <c r="M284" s="38" t="e">
        <f>(HLOOKUP(J284,'Construction Times'!$B$3:$W$34,L284+2,FALSE)*HLOOKUP("hq modifier",'Construction Times'!$W$3:$W$34,BS284+2,FALSE))*(1-$H$9)</f>
        <v>#N/A</v>
      </c>
      <c r="N284" s="443" t="e">
        <f t="shared" si="397"/>
        <v>#N/A</v>
      </c>
      <c r="O284" s="444"/>
      <c r="P284" s="447" t="e">
        <f t="shared" si="398"/>
        <v>#N/A</v>
      </c>
      <c r="Q284" s="448"/>
      <c r="R284" s="103">
        <f t="shared" si="424"/>
        <v>0</v>
      </c>
      <c r="S284" s="104">
        <f t="shared" si="424"/>
        <v>0</v>
      </c>
      <c r="T284" s="104">
        <f t="shared" si="425"/>
        <v>0</v>
      </c>
      <c r="U284" s="104">
        <f t="shared" si="425"/>
        <v>0</v>
      </c>
      <c r="V284" s="104">
        <f t="shared" si="425"/>
        <v>9.9999999999999995E-8</v>
      </c>
      <c r="W284" s="104">
        <f t="shared" si="425"/>
        <v>0</v>
      </c>
      <c r="X284" s="104">
        <f t="shared" si="365"/>
        <v>0</v>
      </c>
      <c r="Y284" s="104">
        <f t="shared" si="365"/>
        <v>9.9999999999999995E-8</v>
      </c>
      <c r="Z284" s="104">
        <f t="shared" si="365"/>
        <v>9.9999999999999995E-8</v>
      </c>
      <c r="AA284" s="105">
        <f t="shared" si="365"/>
        <v>9.9999999999999995E-8</v>
      </c>
      <c r="AB284" s="101" t="e">
        <f>$DT284*HLOOKUP($J284,'Construction Costs (timber)'!$B$1:$V$32,'Construction Planner'!$L284+2,FALSE)</f>
        <v>#N/A</v>
      </c>
      <c r="AC284" s="14" t="e">
        <f>$DT284*HLOOKUP($J284,'Construction Costs (clay)'!$B$1:$V$32,'Construction Planner'!$L284+2,FALSE)</f>
        <v>#N/A</v>
      </c>
      <c r="AD284" s="14" t="e">
        <f>$DT284*HLOOKUP($J284,'Construction Costs (iron)'!$B$1:$V$32,'Construction Planner'!$L284+2,FALSE)</f>
        <v>#N/A</v>
      </c>
      <c r="AE284" s="34" t="e">
        <f t="shared" si="434"/>
        <v>#N/A</v>
      </c>
      <c r="AF284" s="33" t="e">
        <f t="shared" si="378"/>
        <v>#N/A</v>
      </c>
      <c r="AG284" s="14" t="e">
        <f t="shared" si="379"/>
        <v>#N/A</v>
      </c>
      <c r="AH284" s="14" t="e">
        <f t="shared" si="380"/>
        <v>#N/A</v>
      </c>
      <c r="AI284" s="34" t="e">
        <f t="shared" si="435"/>
        <v>#N/A</v>
      </c>
      <c r="AJ284" s="49" t="e">
        <f t="shared" si="399"/>
        <v>#N/A</v>
      </c>
      <c r="AK284" s="49" t="e">
        <f t="shared" si="400"/>
        <v>#N/A</v>
      </c>
      <c r="AL284" s="49" t="e">
        <f t="shared" si="401"/>
        <v>#N/A</v>
      </c>
      <c r="AM284" s="25">
        <f t="shared" si="381"/>
        <v>30</v>
      </c>
      <c r="AN284" s="25">
        <f t="shared" si="382"/>
        <v>30</v>
      </c>
      <c r="AO284" s="25">
        <f t="shared" si="383"/>
        <v>30</v>
      </c>
      <c r="AP284" s="52" t="e">
        <f t="shared" si="402"/>
        <v>#N/A</v>
      </c>
      <c r="AQ284" s="53" t="e">
        <f t="shared" si="402"/>
        <v>#N/A</v>
      </c>
      <c r="AR284" s="54" t="e">
        <f t="shared" si="402"/>
        <v>#N/A</v>
      </c>
      <c r="AS284" s="316">
        <f t="shared" si="436"/>
        <v>0</v>
      </c>
      <c r="AT284" s="106">
        <f>_xlfn.IFNA($M284/VLOOKUP($BT284,'Unit information'!$A$2:$K$29,2,FALSE)*R284,0)*(1+$E$9)</f>
        <v>0</v>
      </c>
      <c r="AU284" s="107">
        <f>_xlfn.IFNA($M284/VLOOKUP($BT284,'Unit information'!$A$2:$K$29,3,FALSE)*S284,0)*(1+$E$9)</f>
        <v>0</v>
      </c>
      <c r="AV284" s="107">
        <f>_xlfn.IFNA($M284/VLOOKUP($BT284,'Unit information'!$A$2:$K$29,4,FALSE)*T284,0)*(1+$E$9)</f>
        <v>0</v>
      </c>
      <c r="AW284" s="107">
        <f>_xlfn.IFNA($M284/VLOOKUP($BT284,'Unit information'!$A$2:$K$29,5,FALSE)*U284,0)*(1+$E$9)</f>
        <v>0</v>
      </c>
      <c r="AX284" s="107">
        <f>_xlfn.IFNA($M284/VLOOKUP($BU284,'Unit information'!$A$2:$K$29,6,FALSE)*V284,0)*(1+$E$9)</f>
        <v>0</v>
      </c>
      <c r="AY284" s="107">
        <f>_xlfn.IFNA($M284/VLOOKUP($BU284,'Unit information'!$A$2:$K$29,7,FALSE)*W284,0)*(1+$E$9)</f>
        <v>0</v>
      </c>
      <c r="AZ284" s="107">
        <f>_xlfn.IFNA($M284/VLOOKUP($BU284,'Unit information'!$A$2:$K$29,8,FALSE)*X284,0)*(1+$E$9)</f>
        <v>0</v>
      </c>
      <c r="BA284" s="107">
        <f>_xlfn.IFNA($M284/VLOOKUP($BU284,'Unit information'!$A$2:$K$29,9,FALSE)*Y284,0)*(1+$E$9)</f>
        <v>0</v>
      </c>
      <c r="BB284" s="107">
        <f>_xlfn.IFNA($M284/VLOOKUP($BV284,'Unit information'!$A$2:$K$29,10,FALSE)*Z284,0)*(1+$E$9)</f>
        <v>0</v>
      </c>
      <c r="BC284" s="108">
        <f>_xlfn.IFNA($M284/VLOOKUP($BV284,'Unit information'!$A$2:$K$29,11,FALSE)*AA284,0)*(1+$E$9)</f>
        <v>0</v>
      </c>
      <c r="BD284" s="106">
        <f t="shared" si="384"/>
        <v>0</v>
      </c>
      <c r="BE284" s="107">
        <f t="shared" si="385"/>
        <v>0</v>
      </c>
      <c r="BF284" s="108">
        <f t="shared" si="386"/>
        <v>0</v>
      </c>
      <c r="BG284" s="25" t="e">
        <f t="shared" si="387"/>
        <v>#N/A</v>
      </c>
      <c r="BH284" s="25" t="e">
        <f t="shared" si="388"/>
        <v>#N/A</v>
      </c>
      <c r="BI284" s="25" t="e">
        <f t="shared" si="389"/>
        <v>#N/A</v>
      </c>
      <c r="BJ284" s="27" t="e">
        <f t="shared" si="390"/>
        <v>#N/A</v>
      </c>
      <c r="BK284" s="18" t="e">
        <f t="shared" si="391"/>
        <v>#N/A</v>
      </c>
      <c r="BL284" s="18" t="e">
        <f t="shared" si="392"/>
        <v>#N/A</v>
      </c>
      <c r="BM284" s="28" t="e">
        <f t="shared" si="437"/>
        <v>#N/A</v>
      </c>
      <c r="BN284" s="33">
        <f>HLOOKUP("maximum population",Miscelaneous!$C$1:$C$33,CH284+3,FALSE)</f>
        <v>240</v>
      </c>
      <c r="BO284" s="14">
        <f t="shared" si="403"/>
        <v>32</v>
      </c>
      <c r="BP284" s="14">
        <f t="shared" si="404"/>
        <v>0</v>
      </c>
      <c r="BQ284" s="14">
        <f t="shared" si="405"/>
        <v>208</v>
      </c>
      <c r="BR284" s="34" t="e">
        <f>HLOOKUP(J284,Villagers!$B$1:$V$33,L284+3,FALSE)-HLOOKUP(J284,Villagers!$B$1:$V$33,L284+2,FALSE)</f>
        <v>#N/A</v>
      </c>
      <c r="BS284" s="49">
        <f t="shared" si="406"/>
        <v>1</v>
      </c>
      <c r="BT284" s="50">
        <f t="shared" si="407"/>
        <v>0</v>
      </c>
      <c r="BU284" s="50">
        <f t="shared" si="408"/>
        <v>0</v>
      </c>
      <c r="BV284" s="50">
        <f t="shared" si="409"/>
        <v>0</v>
      </c>
      <c r="BW284" s="50">
        <f t="shared" si="439"/>
        <v>0</v>
      </c>
      <c r="BX284" s="50">
        <f t="shared" si="438"/>
        <v>0</v>
      </c>
      <c r="BY284" s="50">
        <f t="shared" si="438"/>
        <v>0</v>
      </c>
      <c r="BZ284" s="50">
        <f t="shared" si="350"/>
        <v>0</v>
      </c>
      <c r="CA284" s="50">
        <f t="shared" si="351"/>
        <v>0</v>
      </c>
      <c r="CB284" s="50">
        <f t="shared" si="352"/>
        <v>1</v>
      </c>
      <c r="CC284" s="50">
        <f t="shared" si="353"/>
        <v>0</v>
      </c>
      <c r="CD284" s="50">
        <f t="shared" si="354"/>
        <v>0</v>
      </c>
      <c r="CE284" s="50">
        <f t="shared" si="355"/>
        <v>1</v>
      </c>
      <c r="CF284" s="50">
        <f t="shared" si="356"/>
        <v>1</v>
      </c>
      <c r="CG284" s="50">
        <f t="shared" si="357"/>
        <v>1</v>
      </c>
      <c r="CH284" s="50">
        <f t="shared" si="358"/>
        <v>1</v>
      </c>
      <c r="CI284" s="50">
        <f t="shared" si="359"/>
        <v>1</v>
      </c>
      <c r="CJ284" s="50">
        <f t="shared" si="360"/>
        <v>1</v>
      </c>
      <c r="CK284" s="50">
        <f t="shared" si="360"/>
        <v>0</v>
      </c>
      <c r="CL284" s="50">
        <f t="shared" si="360"/>
        <v>0</v>
      </c>
      <c r="CM284" s="51">
        <f t="shared" si="368"/>
        <v>0</v>
      </c>
      <c r="CN284" s="33">
        <f>ROUND(IF(BS284=0,0,HLOOKUP(BS$14,Villagers!$B$1:$V$33,BS284+3,FALSE)),)</f>
        <v>5</v>
      </c>
      <c r="CO284" s="14">
        <f>ROUND(IF(BT284=0,0,HLOOKUP(BT$14,Villagers!$B$1:$V$33,BT284+3,FALSE)),)</f>
        <v>0</v>
      </c>
      <c r="CP284" s="14">
        <f>ROUND(IF(BU284=0,0,HLOOKUP(BU$14,Villagers!$B$1:$V$33,BU284+3,FALSE)),)</f>
        <v>0</v>
      </c>
      <c r="CQ284" s="14">
        <f>ROUND(IF(BV284=0,0,HLOOKUP(BV$14,Villagers!$B$1:$V$33,BV284+3,FALSE)),)</f>
        <v>0</v>
      </c>
      <c r="CR284" s="14">
        <f>ROUND(IF(BW284=0,0,HLOOKUP(BW$14,Villagers!$B$1:$V$33,BW284+3,FALSE)),)</f>
        <v>0</v>
      </c>
      <c r="CS284" s="14">
        <f>ROUND(IF(BX284=0,0,HLOOKUP(BX$14,Villagers!$B$1:$V$33,BX284+3,FALSE)),)</f>
        <v>0</v>
      </c>
      <c r="CT284" s="14">
        <f>ROUND(IF(BY284=0,0,HLOOKUP(BY$14,Villagers!$B$1:$V$33,BY284+3,FALSE)),)</f>
        <v>0</v>
      </c>
      <c r="CU284" s="14">
        <f>ROUND(IF(BZ284=0,0,HLOOKUP(BZ$14,Villagers!$B$1:$V$33,BZ284+3,FALSE)),)</f>
        <v>0</v>
      </c>
      <c r="CV284" s="14">
        <f>ROUND(IF(CA284=0,0,HLOOKUP(CA$14,Villagers!$B$1:$V$33,CA284+3,FALSE)),)</f>
        <v>0</v>
      </c>
      <c r="CW284" s="14">
        <f>ROUND(IF(CB284=0,0,HLOOKUP(CB$14,Villagers!$B$1:$V$33,CB284+3,FALSE)),)</f>
        <v>0</v>
      </c>
      <c r="CX284" s="14">
        <f>ROUND(IF(CC284=0,0,HLOOKUP(CC$14,Villagers!$B$1:$V$33,CC284+3,FALSE)),)</f>
        <v>0</v>
      </c>
      <c r="CY284" s="14">
        <f>ROUND(IF(CD284=0,0,HLOOKUP(CD$14,Villagers!$B$1:$V$33,CD284+3,FALSE)),)</f>
        <v>0</v>
      </c>
      <c r="CZ284" s="14">
        <f>ROUND(IF(CE284=0,0,HLOOKUP(CE$14,Villagers!$B$1:$V$33,CE284+3,FALSE)),)</f>
        <v>5</v>
      </c>
      <c r="DA284" s="14">
        <f>ROUND(IF(CF284=0,0,HLOOKUP(CF$14,Villagers!$B$1:$V$33,CF284+3,FALSE)),)</f>
        <v>10</v>
      </c>
      <c r="DB284" s="14">
        <f>ROUND(IF(CG284=0,0,HLOOKUP(CG$14,Villagers!$B$1:$V$33,CG284+3,FALSE)),)</f>
        <v>10</v>
      </c>
      <c r="DC284" s="14">
        <f>ROUND(IF(CH284=0,0,HLOOKUP(CH$14,Villagers!$B$1:$V$33,CH284+3,FALSE)),)</f>
        <v>0</v>
      </c>
      <c r="DD284" s="14">
        <f>ROUND(IF(CI284=0,0,HLOOKUP(CI$14,Villagers!$B$1:$V$33,CI284+3,FALSE)),)</f>
        <v>0</v>
      </c>
      <c r="DE284" s="14">
        <f>ROUND(IF(CJ284=0,0,HLOOKUP(CJ$14,Villagers!$B$1:$V$33,CJ284+3,FALSE)),)</f>
        <v>2</v>
      </c>
      <c r="DF284" s="370">
        <f>ROUND(IF(CK284=0,0,HLOOKUP(CK$14,Villagers!$B$1:$V$33,CK284+3,FALSE)),)</f>
        <v>0</v>
      </c>
      <c r="DG284" s="370">
        <f>ROUND(IF(CL284=0,0,HLOOKUP(CL$14,Villagers!$B$1:$V$33,CL284+3,FALSE)),)</f>
        <v>0</v>
      </c>
      <c r="DH284" s="34">
        <f>ROUND(IF(CM284=0,0,HLOOKUP(CM$14,Villagers!$B$1:$V$33,CM284+3,FALSE)),)</f>
        <v>0</v>
      </c>
      <c r="DI284" s="109">
        <f t="shared" si="426"/>
        <v>0</v>
      </c>
      <c r="DJ284" s="50">
        <f t="shared" si="427"/>
        <v>0</v>
      </c>
      <c r="DK284" s="50">
        <f t="shared" si="428"/>
        <v>0</v>
      </c>
      <c r="DL284" s="50">
        <f t="shared" si="429"/>
        <v>0</v>
      </c>
      <c r="DM284" s="50">
        <f t="shared" si="430"/>
        <v>0</v>
      </c>
      <c r="DN284" s="50">
        <f t="shared" si="431"/>
        <v>0</v>
      </c>
      <c r="DO284" s="50">
        <f t="shared" si="432"/>
        <v>0</v>
      </c>
      <c r="DP284" s="50">
        <f t="shared" si="433"/>
        <v>0</v>
      </c>
      <c r="DQ284" s="50">
        <f t="shared" si="411"/>
        <v>0</v>
      </c>
      <c r="DR284" s="50">
        <f t="shared" si="412"/>
        <v>0</v>
      </c>
      <c r="DS284" s="96">
        <f>Miscelaneous!$D$4*Miscelaneous!$D$2^($CI284-1)</f>
        <v>1000</v>
      </c>
      <c r="DT284" s="333">
        <f t="shared" si="393"/>
        <v>1</v>
      </c>
      <c r="DU284" s="81">
        <v>1</v>
      </c>
      <c r="DV284" s="79">
        <f t="shared" si="413"/>
        <v>0</v>
      </c>
      <c r="DW284" s="79">
        <f t="shared" si="414"/>
        <v>0</v>
      </c>
      <c r="DX284" s="79">
        <f t="shared" si="415"/>
        <v>0</v>
      </c>
      <c r="DY284" s="79">
        <v>1</v>
      </c>
      <c r="DZ284" s="79">
        <f t="shared" si="416"/>
        <v>0</v>
      </c>
      <c r="EA284" s="79">
        <f t="shared" si="417"/>
        <v>0</v>
      </c>
      <c r="EB284" s="79">
        <f t="shared" si="418"/>
        <v>0</v>
      </c>
      <c r="EC284" s="79">
        <f t="shared" si="419"/>
        <v>0</v>
      </c>
      <c r="ED284" s="79">
        <v>1</v>
      </c>
      <c r="EE284" s="79">
        <v>1</v>
      </c>
      <c r="EF284" s="79">
        <f t="shared" si="420"/>
        <v>0</v>
      </c>
      <c r="EG284" s="79">
        <v>1</v>
      </c>
      <c r="EH284" s="79">
        <v>1</v>
      </c>
      <c r="EI284" s="79">
        <v>1</v>
      </c>
      <c r="EJ284" s="79">
        <v>1</v>
      </c>
      <c r="EK284" s="79">
        <v>1</v>
      </c>
      <c r="EL284" s="79">
        <v>1</v>
      </c>
      <c r="EM284" s="143">
        <f t="shared" si="421"/>
        <v>0</v>
      </c>
      <c r="EN284" s="143">
        <f t="shared" si="422"/>
        <v>0</v>
      </c>
      <c r="EO284" s="82">
        <f t="shared" si="423"/>
        <v>0</v>
      </c>
    </row>
    <row r="285" spans="1:145" x14ac:dyDescent="0.25">
      <c r="A285">
        <v>271</v>
      </c>
      <c r="B285" s="172" t="e">
        <f t="shared" si="394"/>
        <v>#N/A</v>
      </c>
      <c r="C285" s="121" t="e">
        <f t="shared" si="373"/>
        <v>#N/A</v>
      </c>
      <c r="D285" s="122" t="e">
        <f t="shared" si="374"/>
        <v>#N/A</v>
      </c>
      <c r="E285" s="122" t="e">
        <f t="shared" si="375"/>
        <v>#N/A</v>
      </c>
      <c r="F285" s="176" t="e">
        <f t="shared" si="376"/>
        <v>#N/A</v>
      </c>
      <c r="G285" s="121">
        <f t="shared" si="395"/>
        <v>208</v>
      </c>
      <c r="H285" s="176" t="e">
        <f t="shared" si="396"/>
        <v>#N/A</v>
      </c>
      <c r="I285" s="48">
        <v>1</v>
      </c>
      <c r="J285" s="39"/>
      <c r="K285" s="350">
        <v>1</v>
      </c>
      <c r="L285" s="34" t="e">
        <f t="shared" si="377"/>
        <v>#N/A</v>
      </c>
      <c r="M285" s="38" t="e">
        <f>(HLOOKUP(J285,'Construction Times'!$B$3:$W$34,L285+2,FALSE)*HLOOKUP("hq modifier",'Construction Times'!$W$3:$W$34,BS285+2,FALSE))*(1-$H$9)</f>
        <v>#N/A</v>
      </c>
      <c r="N285" s="443" t="e">
        <f t="shared" si="397"/>
        <v>#N/A</v>
      </c>
      <c r="O285" s="444"/>
      <c r="P285" s="447" t="e">
        <f t="shared" si="398"/>
        <v>#N/A</v>
      </c>
      <c r="Q285" s="448"/>
      <c r="R285" s="103">
        <f t="shared" si="424"/>
        <v>0</v>
      </c>
      <c r="S285" s="104">
        <f t="shared" si="424"/>
        <v>0</v>
      </c>
      <c r="T285" s="104">
        <f t="shared" si="425"/>
        <v>0</v>
      </c>
      <c r="U285" s="104">
        <f t="shared" si="425"/>
        <v>0</v>
      </c>
      <c r="V285" s="104">
        <f t="shared" si="425"/>
        <v>9.9999999999999995E-8</v>
      </c>
      <c r="W285" s="104">
        <f t="shared" si="425"/>
        <v>0</v>
      </c>
      <c r="X285" s="104">
        <f t="shared" si="365"/>
        <v>0</v>
      </c>
      <c r="Y285" s="104">
        <f t="shared" si="365"/>
        <v>9.9999999999999995E-8</v>
      </c>
      <c r="Z285" s="104">
        <f t="shared" si="365"/>
        <v>9.9999999999999995E-8</v>
      </c>
      <c r="AA285" s="105">
        <f t="shared" si="365"/>
        <v>9.9999999999999995E-8</v>
      </c>
      <c r="AB285" s="101" t="e">
        <f>$DT285*HLOOKUP($J285,'Construction Costs (timber)'!$B$1:$V$32,'Construction Planner'!$L285+2,FALSE)</f>
        <v>#N/A</v>
      </c>
      <c r="AC285" s="14" t="e">
        <f>$DT285*HLOOKUP($J285,'Construction Costs (clay)'!$B$1:$V$32,'Construction Planner'!$L285+2,FALSE)</f>
        <v>#N/A</v>
      </c>
      <c r="AD285" s="14" t="e">
        <f>$DT285*HLOOKUP($J285,'Construction Costs (iron)'!$B$1:$V$32,'Construction Planner'!$L285+2,FALSE)</f>
        <v>#N/A</v>
      </c>
      <c r="AE285" s="34" t="e">
        <f t="shared" si="434"/>
        <v>#N/A</v>
      </c>
      <c r="AF285" s="33" t="e">
        <f t="shared" si="378"/>
        <v>#N/A</v>
      </c>
      <c r="AG285" s="14" t="e">
        <f t="shared" si="379"/>
        <v>#N/A</v>
      </c>
      <c r="AH285" s="14" t="e">
        <f t="shared" si="380"/>
        <v>#N/A</v>
      </c>
      <c r="AI285" s="34" t="e">
        <f t="shared" si="435"/>
        <v>#N/A</v>
      </c>
      <c r="AJ285" s="49" t="e">
        <f t="shared" si="399"/>
        <v>#N/A</v>
      </c>
      <c r="AK285" s="49" t="e">
        <f t="shared" si="400"/>
        <v>#N/A</v>
      </c>
      <c r="AL285" s="49" t="e">
        <f t="shared" si="401"/>
        <v>#N/A</v>
      </c>
      <c r="AM285" s="25">
        <f t="shared" si="381"/>
        <v>30</v>
      </c>
      <c r="AN285" s="25">
        <f t="shared" si="382"/>
        <v>30</v>
      </c>
      <c r="AO285" s="25">
        <f t="shared" si="383"/>
        <v>30</v>
      </c>
      <c r="AP285" s="52" t="e">
        <f t="shared" si="402"/>
        <v>#N/A</v>
      </c>
      <c r="AQ285" s="53" t="e">
        <f t="shared" si="402"/>
        <v>#N/A</v>
      </c>
      <c r="AR285" s="54" t="e">
        <f t="shared" si="402"/>
        <v>#N/A</v>
      </c>
      <c r="AS285" s="316">
        <f t="shared" si="436"/>
        <v>0</v>
      </c>
      <c r="AT285" s="106">
        <f>_xlfn.IFNA($M285/VLOOKUP($BT285,'Unit information'!$A$2:$K$29,2,FALSE)*R285,0)*(1+$E$9)</f>
        <v>0</v>
      </c>
      <c r="AU285" s="107">
        <f>_xlfn.IFNA($M285/VLOOKUP($BT285,'Unit information'!$A$2:$K$29,3,FALSE)*S285,0)*(1+$E$9)</f>
        <v>0</v>
      </c>
      <c r="AV285" s="107">
        <f>_xlfn.IFNA($M285/VLOOKUP($BT285,'Unit information'!$A$2:$K$29,4,FALSE)*T285,0)*(1+$E$9)</f>
        <v>0</v>
      </c>
      <c r="AW285" s="107">
        <f>_xlfn.IFNA($M285/VLOOKUP($BT285,'Unit information'!$A$2:$K$29,5,FALSE)*U285,0)*(1+$E$9)</f>
        <v>0</v>
      </c>
      <c r="AX285" s="107">
        <f>_xlfn.IFNA($M285/VLOOKUP($BU285,'Unit information'!$A$2:$K$29,6,FALSE)*V285,0)*(1+$E$9)</f>
        <v>0</v>
      </c>
      <c r="AY285" s="107">
        <f>_xlfn.IFNA($M285/VLOOKUP($BU285,'Unit information'!$A$2:$K$29,7,FALSE)*W285,0)*(1+$E$9)</f>
        <v>0</v>
      </c>
      <c r="AZ285" s="107">
        <f>_xlfn.IFNA($M285/VLOOKUP($BU285,'Unit information'!$A$2:$K$29,8,FALSE)*X285,0)*(1+$E$9)</f>
        <v>0</v>
      </c>
      <c r="BA285" s="107">
        <f>_xlfn.IFNA($M285/VLOOKUP($BU285,'Unit information'!$A$2:$K$29,9,FALSE)*Y285,0)*(1+$E$9)</f>
        <v>0</v>
      </c>
      <c r="BB285" s="107">
        <f>_xlfn.IFNA($M285/VLOOKUP($BV285,'Unit information'!$A$2:$K$29,10,FALSE)*Z285,0)*(1+$E$9)</f>
        <v>0</v>
      </c>
      <c r="BC285" s="108">
        <f>_xlfn.IFNA($M285/VLOOKUP($BV285,'Unit information'!$A$2:$K$29,11,FALSE)*AA285,0)*(1+$E$9)</f>
        <v>0</v>
      </c>
      <c r="BD285" s="106">
        <f t="shared" si="384"/>
        <v>0</v>
      </c>
      <c r="BE285" s="107">
        <f t="shared" si="385"/>
        <v>0</v>
      </c>
      <c r="BF285" s="108">
        <f t="shared" si="386"/>
        <v>0</v>
      </c>
      <c r="BG285" s="25" t="e">
        <f t="shared" si="387"/>
        <v>#N/A</v>
      </c>
      <c r="BH285" s="25" t="e">
        <f t="shared" si="388"/>
        <v>#N/A</v>
      </c>
      <c r="BI285" s="25" t="e">
        <f t="shared" si="389"/>
        <v>#N/A</v>
      </c>
      <c r="BJ285" s="27" t="e">
        <f t="shared" si="390"/>
        <v>#N/A</v>
      </c>
      <c r="BK285" s="18" t="e">
        <f t="shared" si="391"/>
        <v>#N/A</v>
      </c>
      <c r="BL285" s="18" t="e">
        <f t="shared" si="392"/>
        <v>#N/A</v>
      </c>
      <c r="BM285" s="28" t="e">
        <f t="shared" si="437"/>
        <v>#N/A</v>
      </c>
      <c r="BN285" s="33">
        <f>HLOOKUP("maximum population",Miscelaneous!$C$1:$C$33,CH285+3,FALSE)</f>
        <v>240</v>
      </c>
      <c r="BO285" s="14">
        <f t="shared" si="403"/>
        <v>32</v>
      </c>
      <c r="BP285" s="14">
        <f t="shared" si="404"/>
        <v>0</v>
      </c>
      <c r="BQ285" s="14">
        <f t="shared" si="405"/>
        <v>208</v>
      </c>
      <c r="BR285" s="34" t="e">
        <f>HLOOKUP(J285,Villagers!$B$1:$V$33,L285+3,FALSE)-HLOOKUP(J285,Villagers!$B$1:$V$33,L285+2,FALSE)</f>
        <v>#N/A</v>
      </c>
      <c r="BS285" s="49">
        <f t="shared" si="406"/>
        <v>1</v>
      </c>
      <c r="BT285" s="50">
        <f t="shared" si="407"/>
        <v>0</v>
      </c>
      <c r="BU285" s="50">
        <f t="shared" si="408"/>
        <v>0</v>
      </c>
      <c r="BV285" s="50">
        <f t="shared" si="409"/>
        <v>0</v>
      </c>
      <c r="BW285" s="50">
        <f t="shared" si="439"/>
        <v>0</v>
      </c>
      <c r="BX285" s="50">
        <f t="shared" si="438"/>
        <v>0</v>
      </c>
      <c r="BY285" s="50">
        <f t="shared" si="438"/>
        <v>0</v>
      </c>
      <c r="BZ285" s="50">
        <f t="shared" si="350"/>
        <v>0</v>
      </c>
      <c r="CA285" s="50">
        <f t="shared" si="351"/>
        <v>0</v>
      </c>
      <c r="CB285" s="50">
        <f t="shared" si="352"/>
        <v>1</v>
      </c>
      <c r="CC285" s="50">
        <f t="shared" si="353"/>
        <v>0</v>
      </c>
      <c r="CD285" s="50">
        <f t="shared" si="354"/>
        <v>0</v>
      </c>
      <c r="CE285" s="50">
        <f t="shared" si="355"/>
        <v>1</v>
      </c>
      <c r="CF285" s="50">
        <f t="shared" si="356"/>
        <v>1</v>
      </c>
      <c r="CG285" s="50">
        <f t="shared" si="357"/>
        <v>1</v>
      </c>
      <c r="CH285" s="50">
        <f t="shared" si="358"/>
        <v>1</v>
      </c>
      <c r="CI285" s="50">
        <f t="shared" si="359"/>
        <v>1</v>
      </c>
      <c r="CJ285" s="50">
        <f t="shared" si="360"/>
        <v>1</v>
      </c>
      <c r="CK285" s="50">
        <f t="shared" si="360"/>
        <v>0</v>
      </c>
      <c r="CL285" s="50">
        <f t="shared" si="360"/>
        <v>0</v>
      </c>
      <c r="CM285" s="51">
        <f t="shared" si="368"/>
        <v>0</v>
      </c>
      <c r="CN285" s="33">
        <f>ROUND(IF(BS285=0,0,HLOOKUP(BS$14,Villagers!$B$1:$V$33,BS285+3,FALSE)),)</f>
        <v>5</v>
      </c>
      <c r="CO285" s="14">
        <f>ROUND(IF(BT285=0,0,HLOOKUP(BT$14,Villagers!$B$1:$V$33,BT285+3,FALSE)),)</f>
        <v>0</v>
      </c>
      <c r="CP285" s="14">
        <f>ROUND(IF(BU285=0,0,HLOOKUP(BU$14,Villagers!$B$1:$V$33,BU285+3,FALSE)),)</f>
        <v>0</v>
      </c>
      <c r="CQ285" s="14">
        <f>ROUND(IF(BV285=0,0,HLOOKUP(BV$14,Villagers!$B$1:$V$33,BV285+3,FALSE)),)</f>
        <v>0</v>
      </c>
      <c r="CR285" s="14">
        <f>ROUND(IF(BW285=0,0,HLOOKUP(BW$14,Villagers!$B$1:$V$33,BW285+3,FALSE)),)</f>
        <v>0</v>
      </c>
      <c r="CS285" s="14">
        <f>ROUND(IF(BX285=0,0,HLOOKUP(BX$14,Villagers!$B$1:$V$33,BX285+3,FALSE)),)</f>
        <v>0</v>
      </c>
      <c r="CT285" s="14">
        <f>ROUND(IF(BY285=0,0,HLOOKUP(BY$14,Villagers!$B$1:$V$33,BY285+3,FALSE)),)</f>
        <v>0</v>
      </c>
      <c r="CU285" s="14">
        <f>ROUND(IF(BZ285=0,0,HLOOKUP(BZ$14,Villagers!$B$1:$V$33,BZ285+3,FALSE)),)</f>
        <v>0</v>
      </c>
      <c r="CV285" s="14">
        <f>ROUND(IF(CA285=0,0,HLOOKUP(CA$14,Villagers!$B$1:$V$33,CA285+3,FALSE)),)</f>
        <v>0</v>
      </c>
      <c r="CW285" s="14">
        <f>ROUND(IF(CB285=0,0,HLOOKUP(CB$14,Villagers!$B$1:$V$33,CB285+3,FALSE)),)</f>
        <v>0</v>
      </c>
      <c r="CX285" s="14">
        <f>ROUND(IF(CC285=0,0,HLOOKUP(CC$14,Villagers!$B$1:$V$33,CC285+3,FALSE)),)</f>
        <v>0</v>
      </c>
      <c r="CY285" s="14">
        <f>ROUND(IF(CD285=0,0,HLOOKUP(CD$14,Villagers!$B$1:$V$33,CD285+3,FALSE)),)</f>
        <v>0</v>
      </c>
      <c r="CZ285" s="14">
        <f>ROUND(IF(CE285=0,0,HLOOKUP(CE$14,Villagers!$B$1:$V$33,CE285+3,FALSE)),)</f>
        <v>5</v>
      </c>
      <c r="DA285" s="14">
        <f>ROUND(IF(CF285=0,0,HLOOKUP(CF$14,Villagers!$B$1:$V$33,CF285+3,FALSE)),)</f>
        <v>10</v>
      </c>
      <c r="DB285" s="14">
        <f>ROUND(IF(CG285=0,0,HLOOKUP(CG$14,Villagers!$B$1:$V$33,CG285+3,FALSE)),)</f>
        <v>10</v>
      </c>
      <c r="DC285" s="14">
        <f>ROUND(IF(CH285=0,0,HLOOKUP(CH$14,Villagers!$B$1:$V$33,CH285+3,FALSE)),)</f>
        <v>0</v>
      </c>
      <c r="DD285" s="14">
        <f>ROUND(IF(CI285=0,0,HLOOKUP(CI$14,Villagers!$B$1:$V$33,CI285+3,FALSE)),)</f>
        <v>0</v>
      </c>
      <c r="DE285" s="14">
        <f>ROUND(IF(CJ285=0,0,HLOOKUP(CJ$14,Villagers!$B$1:$V$33,CJ285+3,FALSE)),)</f>
        <v>2</v>
      </c>
      <c r="DF285" s="370">
        <f>ROUND(IF(CK285=0,0,HLOOKUP(CK$14,Villagers!$B$1:$V$33,CK285+3,FALSE)),)</f>
        <v>0</v>
      </c>
      <c r="DG285" s="370">
        <f>ROUND(IF(CL285=0,0,HLOOKUP(CL$14,Villagers!$B$1:$V$33,CL285+3,FALSE)),)</f>
        <v>0</v>
      </c>
      <c r="DH285" s="34">
        <f>ROUND(IF(CM285=0,0,HLOOKUP(CM$14,Villagers!$B$1:$V$33,CM285+3,FALSE)),)</f>
        <v>0</v>
      </c>
      <c r="DI285" s="109">
        <f t="shared" si="426"/>
        <v>0</v>
      </c>
      <c r="DJ285" s="50">
        <f t="shared" si="427"/>
        <v>0</v>
      </c>
      <c r="DK285" s="50">
        <f t="shared" si="428"/>
        <v>0</v>
      </c>
      <c r="DL285" s="50">
        <f t="shared" si="429"/>
        <v>0</v>
      </c>
      <c r="DM285" s="50">
        <f t="shared" si="430"/>
        <v>0</v>
      </c>
      <c r="DN285" s="50">
        <f t="shared" si="431"/>
        <v>0</v>
      </c>
      <c r="DO285" s="50">
        <f t="shared" si="432"/>
        <v>0</v>
      </c>
      <c r="DP285" s="50">
        <f t="shared" si="433"/>
        <v>0</v>
      </c>
      <c r="DQ285" s="50">
        <f t="shared" si="411"/>
        <v>0</v>
      </c>
      <c r="DR285" s="50">
        <f t="shared" si="412"/>
        <v>0</v>
      </c>
      <c r="DS285" s="96">
        <f>Miscelaneous!$D$4*Miscelaneous!$D$2^($CI285-1)</f>
        <v>1000</v>
      </c>
      <c r="DT285" s="333">
        <f t="shared" si="393"/>
        <v>1</v>
      </c>
      <c r="DU285" s="81">
        <v>1</v>
      </c>
      <c r="DV285" s="79">
        <f t="shared" si="413"/>
        <v>0</v>
      </c>
      <c r="DW285" s="79">
        <f t="shared" si="414"/>
        <v>0</v>
      </c>
      <c r="DX285" s="79">
        <f t="shared" si="415"/>
        <v>0</v>
      </c>
      <c r="DY285" s="79">
        <v>1</v>
      </c>
      <c r="DZ285" s="79">
        <f t="shared" si="416"/>
        <v>0</v>
      </c>
      <c r="EA285" s="79">
        <f t="shared" si="417"/>
        <v>0</v>
      </c>
      <c r="EB285" s="79">
        <f t="shared" si="418"/>
        <v>0</v>
      </c>
      <c r="EC285" s="79">
        <f t="shared" si="419"/>
        <v>0</v>
      </c>
      <c r="ED285" s="79">
        <v>1</v>
      </c>
      <c r="EE285" s="79">
        <v>1</v>
      </c>
      <c r="EF285" s="79">
        <f t="shared" si="420"/>
        <v>0</v>
      </c>
      <c r="EG285" s="79">
        <v>1</v>
      </c>
      <c r="EH285" s="79">
        <v>1</v>
      </c>
      <c r="EI285" s="79">
        <v>1</v>
      </c>
      <c r="EJ285" s="79">
        <v>1</v>
      </c>
      <c r="EK285" s="79">
        <v>1</v>
      </c>
      <c r="EL285" s="79">
        <v>1</v>
      </c>
      <c r="EM285" s="143">
        <f t="shared" si="421"/>
        <v>0</v>
      </c>
      <c r="EN285" s="143">
        <f t="shared" si="422"/>
        <v>0</v>
      </c>
      <c r="EO285" s="82">
        <f t="shared" si="423"/>
        <v>0</v>
      </c>
    </row>
    <row r="286" spans="1:145" x14ac:dyDescent="0.25">
      <c r="A286">
        <v>272</v>
      </c>
      <c r="B286" s="172" t="e">
        <f t="shared" si="394"/>
        <v>#N/A</v>
      </c>
      <c r="C286" s="121" t="e">
        <f t="shared" si="373"/>
        <v>#N/A</v>
      </c>
      <c r="D286" s="122" t="e">
        <f t="shared" si="374"/>
        <v>#N/A</v>
      </c>
      <c r="E286" s="122" t="e">
        <f t="shared" si="375"/>
        <v>#N/A</v>
      </c>
      <c r="F286" s="176" t="e">
        <f t="shared" si="376"/>
        <v>#N/A</v>
      </c>
      <c r="G286" s="121">
        <f t="shared" si="395"/>
        <v>208</v>
      </c>
      <c r="H286" s="176" t="e">
        <f t="shared" si="396"/>
        <v>#N/A</v>
      </c>
      <c r="I286" s="48">
        <v>1</v>
      </c>
      <c r="J286" s="39"/>
      <c r="K286" s="350">
        <v>1</v>
      </c>
      <c r="L286" s="34" t="e">
        <f t="shared" si="377"/>
        <v>#N/A</v>
      </c>
      <c r="M286" s="38" t="e">
        <f>(HLOOKUP(J286,'Construction Times'!$B$3:$W$34,L286+2,FALSE)*HLOOKUP("hq modifier",'Construction Times'!$W$3:$W$34,BS286+2,FALSE))*(1-$H$9)</f>
        <v>#N/A</v>
      </c>
      <c r="N286" s="443" t="e">
        <f t="shared" si="397"/>
        <v>#N/A</v>
      </c>
      <c r="O286" s="444"/>
      <c r="P286" s="447" t="e">
        <f t="shared" si="398"/>
        <v>#N/A</v>
      </c>
      <c r="Q286" s="448"/>
      <c r="R286" s="103">
        <f t="shared" si="424"/>
        <v>0</v>
      </c>
      <c r="S286" s="104">
        <f t="shared" si="424"/>
        <v>0</v>
      </c>
      <c r="T286" s="104">
        <f t="shared" si="425"/>
        <v>0</v>
      </c>
      <c r="U286" s="104">
        <f t="shared" si="425"/>
        <v>0</v>
      </c>
      <c r="V286" s="104">
        <f t="shared" si="425"/>
        <v>9.9999999999999995E-8</v>
      </c>
      <c r="W286" s="104">
        <f t="shared" si="425"/>
        <v>0</v>
      </c>
      <c r="X286" s="104">
        <f t="shared" si="365"/>
        <v>0</v>
      </c>
      <c r="Y286" s="104">
        <f t="shared" si="365"/>
        <v>9.9999999999999995E-8</v>
      </c>
      <c r="Z286" s="104">
        <f t="shared" si="365"/>
        <v>9.9999999999999995E-8</v>
      </c>
      <c r="AA286" s="105">
        <f t="shared" si="365"/>
        <v>9.9999999999999995E-8</v>
      </c>
      <c r="AB286" s="101" t="e">
        <f>$DT286*HLOOKUP($J286,'Construction Costs (timber)'!$B$1:$V$32,'Construction Planner'!$L286+2,FALSE)</f>
        <v>#N/A</v>
      </c>
      <c r="AC286" s="14" t="e">
        <f>$DT286*HLOOKUP($J286,'Construction Costs (clay)'!$B$1:$V$32,'Construction Planner'!$L286+2,FALSE)</f>
        <v>#N/A</v>
      </c>
      <c r="AD286" s="14" t="e">
        <f>$DT286*HLOOKUP($J286,'Construction Costs (iron)'!$B$1:$V$32,'Construction Planner'!$L286+2,FALSE)</f>
        <v>#N/A</v>
      </c>
      <c r="AE286" s="34" t="e">
        <f t="shared" si="434"/>
        <v>#N/A</v>
      </c>
      <c r="AF286" s="33" t="e">
        <f t="shared" si="378"/>
        <v>#N/A</v>
      </c>
      <c r="AG286" s="14" t="e">
        <f t="shared" si="379"/>
        <v>#N/A</v>
      </c>
      <c r="AH286" s="14" t="e">
        <f t="shared" si="380"/>
        <v>#N/A</v>
      </c>
      <c r="AI286" s="34" t="e">
        <f t="shared" si="435"/>
        <v>#N/A</v>
      </c>
      <c r="AJ286" s="49" t="e">
        <f t="shared" si="399"/>
        <v>#N/A</v>
      </c>
      <c r="AK286" s="49" t="e">
        <f t="shared" si="400"/>
        <v>#N/A</v>
      </c>
      <c r="AL286" s="49" t="e">
        <f t="shared" si="401"/>
        <v>#N/A</v>
      </c>
      <c r="AM286" s="25">
        <f t="shared" si="381"/>
        <v>30</v>
      </c>
      <c r="AN286" s="25">
        <f t="shared" si="382"/>
        <v>30</v>
      </c>
      <c r="AO286" s="25">
        <f t="shared" si="383"/>
        <v>30</v>
      </c>
      <c r="AP286" s="52" t="e">
        <f t="shared" si="402"/>
        <v>#N/A</v>
      </c>
      <c r="AQ286" s="53" t="e">
        <f t="shared" si="402"/>
        <v>#N/A</v>
      </c>
      <c r="AR286" s="54" t="e">
        <f t="shared" si="402"/>
        <v>#N/A</v>
      </c>
      <c r="AS286" s="316">
        <f t="shared" si="436"/>
        <v>0</v>
      </c>
      <c r="AT286" s="106">
        <f>_xlfn.IFNA($M286/VLOOKUP($BT286,'Unit information'!$A$2:$K$29,2,FALSE)*R286,0)*(1+$E$9)</f>
        <v>0</v>
      </c>
      <c r="AU286" s="107">
        <f>_xlfn.IFNA($M286/VLOOKUP($BT286,'Unit information'!$A$2:$K$29,3,FALSE)*S286,0)*(1+$E$9)</f>
        <v>0</v>
      </c>
      <c r="AV286" s="107">
        <f>_xlfn.IFNA($M286/VLOOKUP($BT286,'Unit information'!$A$2:$K$29,4,FALSE)*T286,0)*(1+$E$9)</f>
        <v>0</v>
      </c>
      <c r="AW286" s="107">
        <f>_xlfn.IFNA($M286/VLOOKUP($BT286,'Unit information'!$A$2:$K$29,5,FALSE)*U286,0)*(1+$E$9)</f>
        <v>0</v>
      </c>
      <c r="AX286" s="107">
        <f>_xlfn.IFNA($M286/VLOOKUP($BU286,'Unit information'!$A$2:$K$29,6,FALSE)*V286,0)*(1+$E$9)</f>
        <v>0</v>
      </c>
      <c r="AY286" s="107">
        <f>_xlfn.IFNA($M286/VLOOKUP($BU286,'Unit information'!$A$2:$K$29,7,FALSE)*W286,0)*(1+$E$9)</f>
        <v>0</v>
      </c>
      <c r="AZ286" s="107">
        <f>_xlfn.IFNA($M286/VLOOKUP($BU286,'Unit information'!$A$2:$K$29,8,FALSE)*X286,0)*(1+$E$9)</f>
        <v>0</v>
      </c>
      <c r="BA286" s="107">
        <f>_xlfn.IFNA($M286/VLOOKUP($BU286,'Unit information'!$A$2:$K$29,9,FALSE)*Y286,0)*(1+$E$9)</f>
        <v>0</v>
      </c>
      <c r="BB286" s="107">
        <f>_xlfn.IFNA($M286/VLOOKUP($BV286,'Unit information'!$A$2:$K$29,10,FALSE)*Z286,0)*(1+$E$9)</f>
        <v>0</v>
      </c>
      <c r="BC286" s="108">
        <f>_xlfn.IFNA($M286/VLOOKUP($BV286,'Unit information'!$A$2:$K$29,11,FALSE)*AA286,0)*(1+$E$9)</f>
        <v>0</v>
      </c>
      <c r="BD286" s="106">
        <f t="shared" si="384"/>
        <v>0</v>
      </c>
      <c r="BE286" s="107">
        <f t="shared" si="385"/>
        <v>0</v>
      </c>
      <c r="BF286" s="108">
        <f t="shared" si="386"/>
        <v>0</v>
      </c>
      <c r="BG286" s="25" t="e">
        <f t="shared" si="387"/>
        <v>#N/A</v>
      </c>
      <c r="BH286" s="25" t="e">
        <f t="shared" si="388"/>
        <v>#N/A</v>
      </c>
      <c r="BI286" s="25" t="e">
        <f t="shared" si="389"/>
        <v>#N/A</v>
      </c>
      <c r="BJ286" s="27" t="e">
        <f t="shared" si="390"/>
        <v>#N/A</v>
      </c>
      <c r="BK286" s="18" t="e">
        <f t="shared" si="391"/>
        <v>#N/A</v>
      </c>
      <c r="BL286" s="18" t="e">
        <f t="shared" si="392"/>
        <v>#N/A</v>
      </c>
      <c r="BM286" s="28" t="e">
        <f t="shared" si="437"/>
        <v>#N/A</v>
      </c>
      <c r="BN286" s="33">
        <f>HLOOKUP("maximum population",Miscelaneous!$C$1:$C$33,CH286+3,FALSE)</f>
        <v>240</v>
      </c>
      <c r="BO286" s="14">
        <f t="shared" si="403"/>
        <v>32</v>
      </c>
      <c r="BP286" s="14">
        <f t="shared" si="404"/>
        <v>0</v>
      </c>
      <c r="BQ286" s="14">
        <f t="shared" si="405"/>
        <v>208</v>
      </c>
      <c r="BR286" s="34" t="e">
        <f>HLOOKUP(J286,Villagers!$B$1:$V$33,L286+3,FALSE)-HLOOKUP(J286,Villagers!$B$1:$V$33,L286+2,FALSE)</f>
        <v>#N/A</v>
      </c>
      <c r="BS286" s="49">
        <f t="shared" si="406"/>
        <v>1</v>
      </c>
      <c r="BT286" s="50">
        <f t="shared" si="407"/>
        <v>0</v>
      </c>
      <c r="BU286" s="50">
        <f t="shared" si="408"/>
        <v>0</v>
      </c>
      <c r="BV286" s="50">
        <f t="shared" si="409"/>
        <v>0</v>
      </c>
      <c r="BW286" s="50">
        <f t="shared" si="439"/>
        <v>0</v>
      </c>
      <c r="BX286" s="50">
        <f t="shared" si="438"/>
        <v>0</v>
      </c>
      <c r="BY286" s="50">
        <f t="shared" si="438"/>
        <v>0</v>
      </c>
      <c r="BZ286" s="50">
        <f t="shared" si="350"/>
        <v>0</v>
      </c>
      <c r="CA286" s="50">
        <f t="shared" si="351"/>
        <v>0</v>
      </c>
      <c r="CB286" s="50">
        <f t="shared" si="352"/>
        <v>1</v>
      </c>
      <c r="CC286" s="50">
        <f t="shared" si="353"/>
        <v>0</v>
      </c>
      <c r="CD286" s="50">
        <f t="shared" si="354"/>
        <v>0</v>
      </c>
      <c r="CE286" s="50">
        <f t="shared" si="355"/>
        <v>1</v>
      </c>
      <c r="CF286" s="50">
        <f t="shared" si="356"/>
        <v>1</v>
      </c>
      <c r="CG286" s="50">
        <f t="shared" si="357"/>
        <v>1</v>
      </c>
      <c r="CH286" s="50">
        <f t="shared" si="358"/>
        <v>1</v>
      </c>
      <c r="CI286" s="50">
        <f t="shared" si="359"/>
        <v>1</v>
      </c>
      <c r="CJ286" s="50">
        <f t="shared" si="360"/>
        <v>1</v>
      </c>
      <c r="CK286" s="50">
        <f t="shared" si="360"/>
        <v>0</v>
      </c>
      <c r="CL286" s="50">
        <f t="shared" si="360"/>
        <v>0</v>
      </c>
      <c r="CM286" s="51">
        <f t="shared" si="368"/>
        <v>0</v>
      </c>
      <c r="CN286" s="33">
        <f>ROUND(IF(BS286=0,0,HLOOKUP(BS$14,Villagers!$B$1:$V$33,BS286+3,FALSE)),)</f>
        <v>5</v>
      </c>
      <c r="CO286" s="14">
        <f>ROUND(IF(BT286=0,0,HLOOKUP(BT$14,Villagers!$B$1:$V$33,BT286+3,FALSE)),)</f>
        <v>0</v>
      </c>
      <c r="CP286" s="14">
        <f>ROUND(IF(BU286=0,0,HLOOKUP(BU$14,Villagers!$B$1:$V$33,BU286+3,FALSE)),)</f>
        <v>0</v>
      </c>
      <c r="CQ286" s="14">
        <f>ROUND(IF(BV286=0,0,HLOOKUP(BV$14,Villagers!$B$1:$V$33,BV286+3,FALSE)),)</f>
        <v>0</v>
      </c>
      <c r="CR286" s="14">
        <f>ROUND(IF(BW286=0,0,HLOOKUP(BW$14,Villagers!$B$1:$V$33,BW286+3,FALSE)),)</f>
        <v>0</v>
      </c>
      <c r="CS286" s="14">
        <f>ROUND(IF(BX286=0,0,HLOOKUP(BX$14,Villagers!$B$1:$V$33,BX286+3,FALSE)),)</f>
        <v>0</v>
      </c>
      <c r="CT286" s="14">
        <f>ROUND(IF(BY286=0,0,HLOOKUP(BY$14,Villagers!$B$1:$V$33,BY286+3,FALSE)),)</f>
        <v>0</v>
      </c>
      <c r="CU286" s="14">
        <f>ROUND(IF(BZ286=0,0,HLOOKUP(BZ$14,Villagers!$B$1:$V$33,BZ286+3,FALSE)),)</f>
        <v>0</v>
      </c>
      <c r="CV286" s="14">
        <f>ROUND(IF(CA286=0,0,HLOOKUP(CA$14,Villagers!$B$1:$V$33,CA286+3,FALSE)),)</f>
        <v>0</v>
      </c>
      <c r="CW286" s="14">
        <f>ROUND(IF(CB286=0,0,HLOOKUP(CB$14,Villagers!$B$1:$V$33,CB286+3,FALSE)),)</f>
        <v>0</v>
      </c>
      <c r="CX286" s="14">
        <f>ROUND(IF(CC286=0,0,HLOOKUP(CC$14,Villagers!$B$1:$V$33,CC286+3,FALSE)),)</f>
        <v>0</v>
      </c>
      <c r="CY286" s="14">
        <f>ROUND(IF(CD286=0,0,HLOOKUP(CD$14,Villagers!$B$1:$V$33,CD286+3,FALSE)),)</f>
        <v>0</v>
      </c>
      <c r="CZ286" s="14">
        <f>ROUND(IF(CE286=0,0,HLOOKUP(CE$14,Villagers!$B$1:$V$33,CE286+3,FALSE)),)</f>
        <v>5</v>
      </c>
      <c r="DA286" s="14">
        <f>ROUND(IF(CF286=0,0,HLOOKUP(CF$14,Villagers!$B$1:$V$33,CF286+3,FALSE)),)</f>
        <v>10</v>
      </c>
      <c r="DB286" s="14">
        <f>ROUND(IF(CG286=0,0,HLOOKUP(CG$14,Villagers!$B$1:$V$33,CG286+3,FALSE)),)</f>
        <v>10</v>
      </c>
      <c r="DC286" s="14">
        <f>ROUND(IF(CH286=0,0,HLOOKUP(CH$14,Villagers!$B$1:$V$33,CH286+3,FALSE)),)</f>
        <v>0</v>
      </c>
      <c r="DD286" s="14">
        <f>ROUND(IF(CI286=0,0,HLOOKUP(CI$14,Villagers!$B$1:$V$33,CI286+3,FALSE)),)</f>
        <v>0</v>
      </c>
      <c r="DE286" s="14">
        <f>ROUND(IF(CJ286=0,0,HLOOKUP(CJ$14,Villagers!$B$1:$V$33,CJ286+3,FALSE)),)</f>
        <v>2</v>
      </c>
      <c r="DF286" s="370">
        <f>ROUND(IF(CK286=0,0,HLOOKUP(CK$14,Villagers!$B$1:$V$33,CK286+3,FALSE)),)</f>
        <v>0</v>
      </c>
      <c r="DG286" s="370">
        <f>ROUND(IF(CL286=0,0,HLOOKUP(CL$14,Villagers!$B$1:$V$33,CL286+3,FALSE)),)</f>
        <v>0</v>
      </c>
      <c r="DH286" s="34">
        <f>ROUND(IF(CM286=0,0,HLOOKUP(CM$14,Villagers!$B$1:$V$33,CM286+3,FALSE)),)</f>
        <v>0</v>
      </c>
      <c r="DI286" s="109">
        <f t="shared" si="426"/>
        <v>0</v>
      </c>
      <c r="DJ286" s="50">
        <f t="shared" si="427"/>
        <v>0</v>
      </c>
      <c r="DK286" s="50">
        <f t="shared" si="428"/>
        <v>0</v>
      </c>
      <c r="DL286" s="50">
        <f t="shared" si="429"/>
        <v>0</v>
      </c>
      <c r="DM286" s="50">
        <f t="shared" si="430"/>
        <v>0</v>
      </c>
      <c r="DN286" s="50">
        <f t="shared" si="431"/>
        <v>0</v>
      </c>
      <c r="DO286" s="50">
        <f t="shared" si="432"/>
        <v>0</v>
      </c>
      <c r="DP286" s="50">
        <f t="shared" si="433"/>
        <v>0</v>
      </c>
      <c r="DQ286" s="50">
        <f t="shared" si="411"/>
        <v>0</v>
      </c>
      <c r="DR286" s="50">
        <f t="shared" si="412"/>
        <v>0</v>
      </c>
      <c r="DS286" s="96">
        <f>Miscelaneous!$D$4*Miscelaneous!$D$2^($CI286-1)</f>
        <v>1000</v>
      </c>
      <c r="DT286" s="333">
        <f t="shared" si="393"/>
        <v>1</v>
      </c>
      <c r="DU286" s="81">
        <v>1</v>
      </c>
      <c r="DV286" s="79">
        <f t="shared" si="413"/>
        <v>0</v>
      </c>
      <c r="DW286" s="79">
        <f t="shared" si="414"/>
        <v>0</v>
      </c>
      <c r="DX286" s="79">
        <f t="shared" si="415"/>
        <v>0</v>
      </c>
      <c r="DY286" s="79">
        <v>1</v>
      </c>
      <c r="DZ286" s="79">
        <f t="shared" si="416"/>
        <v>0</v>
      </c>
      <c r="EA286" s="79">
        <f t="shared" si="417"/>
        <v>0</v>
      </c>
      <c r="EB286" s="79">
        <f t="shared" si="418"/>
        <v>0</v>
      </c>
      <c r="EC286" s="79">
        <f t="shared" si="419"/>
        <v>0</v>
      </c>
      <c r="ED286" s="79">
        <v>1</v>
      </c>
      <c r="EE286" s="79">
        <v>1</v>
      </c>
      <c r="EF286" s="79">
        <f t="shared" si="420"/>
        <v>0</v>
      </c>
      <c r="EG286" s="79">
        <v>1</v>
      </c>
      <c r="EH286" s="79">
        <v>1</v>
      </c>
      <c r="EI286" s="79">
        <v>1</v>
      </c>
      <c r="EJ286" s="79">
        <v>1</v>
      </c>
      <c r="EK286" s="79">
        <v>1</v>
      </c>
      <c r="EL286" s="79">
        <v>1</v>
      </c>
      <c r="EM286" s="143">
        <f t="shared" si="421"/>
        <v>0</v>
      </c>
      <c r="EN286" s="143">
        <f t="shared" si="422"/>
        <v>0</v>
      </c>
      <c r="EO286" s="82">
        <f t="shared" si="423"/>
        <v>0</v>
      </c>
    </row>
    <row r="287" spans="1:145" x14ac:dyDescent="0.25">
      <c r="A287">
        <v>273</v>
      </c>
      <c r="B287" s="172" t="e">
        <f t="shared" si="394"/>
        <v>#N/A</v>
      </c>
      <c r="C287" s="121" t="e">
        <f t="shared" si="373"/>
        <v>#N/A</v>
      </c>
      <c r="D287" s="122" t="e">
        <f t="shared" si="374"/>
        <v>#N/A</v>
      </c>
      <c r="E287" s="122" t="e">
        <f t="shared" si="375"/>
        <v>#N/A</v>
      </c>
      <c r="F287" s="176" t="e">
        <f t="shared" si="376"/>
        <v>#N/A</v>
      </c>
      <c r="G287" s="121">
        <f t="shared" si="395"/>
        <v>208</v>
      </c>
      <c r="H287" s="176" t="e">
        <f t="shared" si="396"/>
        <v>#N/A</v>
      </c>
      <c r="I287" s="48">
        <v>1</v>
      </c>
      <c r="J287" s="39"/>
      <c r="K287" s="350">
        <v>1</v>
      </c>
      <c r="L287" s="34" t="e">
        <f t="shared" si="377"/>
        <v>#N/A</v>
      </c>
      <c r="M287" s="38" t="e">
        <f>(HLOOKUP(J287,'Construction Times'!$B$3:$W$34,L287+2,FALSE)*HLOOKUP("hq modifier",'Construction Times'!$W$3:$W$34,BS287+2,FALSE))*(1-$H$9)</f>
        <v>#N/A</v>
      </c>
      <c r="N287" s="443" t="e">
        <f t="shared" si="397"/>
        <v>#N/A</v>
      </c>
      <c r="O287" s="444"/>
      <c r="P287" s="447" t="e">
        <f t="shared" si="398"/>
        <v>#N/A</v>
      </c>
      <c r="Q287" s="448"/>
      <c r="R287" s="103">
        <f t="shared" si="424"/>
        <v>0</v>
      </c>
      <c r="S287" s="104">
        <f t="shared" si="424"/>
        <v>0</v>
      </c>
      <c r="T287" s="104">
        <f t="shared" si="425"/>
        <v>0</v>
      </c>
      <c r="U287" s="104">
        <f t="shared" si="425"/>
        <v>0</v>
      </c>
      <c r="V287" s="104">
        <f t="shared" si="425"/>
        <v>9.9999999999999995E-8</v>
      </c>
      <c r="W287" s="104">
        <f t="shared" si="425"/>
        <v>0</v>
      </c>
      <c r="X287" s="104">
        <f t="shared" si="365"/>
        <v>0</v>
      </c>
      <c r="Y287" s="104">
        <f t="shared" si="365"/>
        <v>9.9999999999999995E-8</v>
      </c>
      <c r="Z287" s="104">
        <f t="shared" si="365"/>
        <v>9.9999999999999995E-8</v>
      </c>
      <c r="AA287" s="105">
        <f t="shared" si="365"/>
        <v>9.9999999999999995E-8</v>
      </c>
      <c r="AB287" s="101" t="e">
        <f>$DT287*HLOOKUP($J287,'Construction Costs (timber)'!$B$1:$V$32,'Construction Planner'!$L287+2,FALSE)</f>
        <v>#N/A</v>
      </c>
      <c r="AC287" s="14" t="e">
        <f>$DT287*HLOOKUP($J287,'Construction Costs (clay)'!$B$1:$V$32,'Construction Planner'!$L287+2,FALSE)</f>
        <v>#N/A</v>
      </c>
      <c r="AD287" s="14" t="e">
        <f>$DT287*HLOOKUP($J287,'Construction Costs (iron)'!$B$1:$V$32,'Construction Planner'!$L287+2,FALSE)</f>
        <v>#N/A</v>
      </c>
      <c r="AE287" s="34" t="e">
        <f t="shared" si="434"/>
        <v>#N/A</v>
      </c>
      <c r="AF287" s="33" t="e">
        <f t="shared" si="378"/>
        <v>#N/A</v>
      </c>
      <c r="AG287" s="14" t="e">
        <f t="shared" si="379"/>
        <v>#N/A</v>
      </c>
      <c r="AH287" s="14" t="e">
        <f t="shared" si="380"/>
        <v>#N/A</v>
      </c>
      <c r="AI287" s="34" t="e">
        <f t="shared" si="435"/>
        <v>#N/A</v>
      </c>
      <c r="AJ287" s="49" t="e">
        <f t="shared" si="399"/>
        <v>#N/A</v>
      </c>
      <c r="AK287" s="49" t="e">
        <f t="shared" si="400"/>
        <v>#N/A</v>
      </c>
      <c r="AL287" s="49" t="e">
        <f t="shared" si="401"/>
        <v>#N/A</v>
      </c>
      <c r="AM287" s="25">
        <f t="shared" si="381"/>
        <v>30</v>
      </c>
      <c r="AN287" s="25">
        <f t="shared" si="382"/>
        <v>30</v>
      </c>
      <c r="AO287" s="25">
        <f t="shared" si="383"/>
        <v>30</v>
      </c>
      <c r="AP287" s="52" t="e">
        <f t="shared" si="402"/>
        <v>#N/A</v>
      </c>
      <c r="AQ287" s="53" t="e">
        <f t="shared" si="402"/>
        <v>#N/A</v>
      </c>
      <c r="AR287" s="54" t="e">
        <f t="shared" si="402"/>
        <v>#N/A</v>
      </c>
      <c r="AS287" s="316">
        <f t="shared" si="436"/>
        <v>0</v>
      </c>
      <c r="AT287" s="106">
        <f>_xlfn.IFNA($M287/VLOOKUP($BT287,'Unit information'!$A$2:$K$29,2,FALSE)*R287,0)*(1+$E$9)</f>
        <v>0</v>
      </c>
      <c r="AU287" s="107">
        <f>_xlfn.IFNA($M287/VLOOKUP($BT287,'Unit information'!$A$2:$K$29,3,FALSE)*S287,0)*(1+$E$9)</f>
        <v>0</v>
      </c>
      <c r="AV287" s="107">
        <f>_xlfn.IFNA($M287/VLOOKUP($BT287,'Unit information'!$A$2:$K$29,4,FALSE)*T287,0)*(1+$E$9)</f>
        <v>0</v>
      </c>
      <c r="AW287" s="107">
        <f>_xlfn.IFNA($M287/VLOOKUP($BT287,'Unit information'!$A$2:$K$29,5,FALSE)*U287,0)*(1+$E$9)</f>
        <v>0</v>
      </c>
      <c r="AX287" s="107">
        <f>_xlfn.IFNA($M287/VLOOKUP($BU287,'Unit information'!$A$2:$K$29,6,FALSE)*V287,0)*(1+$E$9)</f>
        <v>0</v>
      </c>
      <c r="AY287" s="107">
        <f>_xlfn.IFNA($M287/VLOOKUP($BU287,'Unit information'!$A$2:$K$29,7,FALSE)*W287,0)*(1+$E$9)</f>
        <v>0</v>
      </c>
      <c r="AZ287" s="107">
        <f>_xlfn.IFNA($M287/VLOOKUP($BU287,'Unit information'!$A$2:$K$29,8,FALSE)*X287,0)*(1+$E$9)</f>
        <v>0</v>
      </c>
      <c r="BA287" s="107">
        <f>_xlfn.IFNA($M287/VLOOKUP($BU287,'Unit information'!$A$2:$K$29,9,FALSE)*Y287,0)*(1+$E$9)</f>
        <v>0</v>
      </c>
      <c r="BB287" s="107">
        <f>_xlfn.IFNA($M287/VLOOKUP($BV287,'Unit information'!$A$2:$K$29,10,FALSE)*Z287,0)*(1+$E$9)</f>
        <v>0</v>
      </c>
      <c r="BC287" s="108">
        <f>_xlfn.IFNA($M287/VLOOKUP($BV287,'Unit information'!$A$2:$K$29,11,FALSE)*AA287,0)*(1+$E$9)</f>
        <v>0</v>
      </c>
      <c r="BD287" s="106">
        <f t="shared" si="384"/>
        <v>0</v>
      </c>
      <c r="BE287" s="107">
        <f t="shared" si="385"/>
        <v>0</v>
      </c>
      <c r="BF287" s="108">
        <f t="shared" si="386"/>
        <v>0</v>
      </c>
      <c r="BG287" s="25" t="e">
        <f t="shared" si="387"/>
        <v>#N/A</v>
      </c>
      <c r="BH287" s="25" t="e">
        <f t="shared" si="388"/>
        <v>#N/A</v>
      </c>
      <c r="BI287" s="25" t="e">
        <f t="shared" si="389"/>
        <v>#N/A</v>
      </c>
      <c r="BJ287" s="27" t="e">
        <f t="shared" si="390"/>
        <v>#N/A</v>
      </c>
      <c r="BK287" s="18" t="e">
        <f t="shared" si="391"/>
        <v>#N/A</v>
      </c>
      <c r="BL287" s="18" t="e">
        <f t="shared" si="392"/>
        <v>#N/A</v>
      </c>
      <c r="BM287" s="28" t="e">
        <f t="shared" si="437"/>
        <v>#N/A</v>
      </c>
      <c r="BN287" s="33">
        <f>HLOOKUP("maximum population",Miscelaneous!$C$1:$C$33,CH287+3,FALSE)</f>
        <v>240</v>
      </c>
      <c r="BO287" s="14">
        <f t="shared" si="403"/>
        <v>32</v>
      </c>
      <c r="BP287" s="14">
        <f t="shared" si="404"/>
        <v>0</v>
      </c>
      <c r="BQ287" s="14">
        <f t="shared" si="405"/>
        <v>208</v>
      </c>
      <c r="BR287" s="34" t="e">
        <f>HLOOKUP(J287,Villagers!$B$1:$V$33,L287+3,FALSE)-HLOOKUP(J287,Villagers!$B$1:$V$33,L287+2,FALSE)</f>
        <v>#N/A</v>
      </c>
      <c r="BS287" s="49">
        <f t="shared" si="406"/>
        <v>1</v>
      </c>
      <c r="BT287" s="50">
        <f t="shared" si="407"/>
        <v>0</v>
      </c>
      <c r="BU287" s="50">
        <f t="shared" si="408"/>
        <v>0</v>
      </c>
      <c r="BV287" s="50">
        <f t="shared" si="409"/>
        <v>0</v>
      </c>
      <c r="BW287" s="50">
        <f t="shared" si="439"/>
        <v>0</v>
      </c>
      <c r="BX287" s="50">
        <f t="shared" si="438"/>
        <v>0</v>
      </c>
      <c r="BY287" s="50">
        <f t="shared" si="438"/>
        <v>0</v>
      </c>
      <c r="BZ287" s="50">
        <f t="shared" ref="BZ287:BZ350" si="440">IF($J286=BZ$14,$L286,BZ286)</f>
        <v>0</v>
      </c>
      <c r="CA287" s="50">
        <f t="shared" ref="CA287:CA350" si="441">IF($J286=CA$14,$L286,CA286)</f>
        <v>0</v>
      </c>
      <c r="CB287" s="50">
        <f t="shared" ref="CB287:CB350" si="442">IF($J286=CB$14,$L286,CB286)</f>
        <v>1</v>
      </c>
      <c r="CC287" s="50">
        <f t="shared" ref="CC287:CC350" si="443">IF($J286=CC$14,$L286,CC286)</f>
        <v>0</v>
      </c>
      <c r="CD287" s="50">
        <f t="shared" ref="CD287:CD350" si="444">IF($J286=CD$14,$L286,CD286)</f>
        <v>0</v>
      </c>
      <c r="CE287" s="50">
        <f t="shared" ref="CE287:CE350" si="445">IF($J286=CE$14,$L286,CE286)</f>
        <v>1</v>
      </c>
      <c r="CF287" s="50">
        <f t="shared" ref="CF287:CF350" si="446">IF($J286=CF$14,$L286,CF286)</f>
        <v>1</v>
      </c>
      <c r="CG287" s="50">
        <f t="shared" ref="CG287:CG350" si="447">IF($J286=CG$14,$L286,CG286)</f>
        <v>1</v>
      </c>
      <c r="CH287" s="50">
        <f t="shared" ref="CH287:CH350" si="448">IF($J286=CH$14,$L286,CH286)</f>
        <v>1</v>
      </c>
      <c r="CI287" s="50">
        <f t="shared" ref="CI287:CI350" si="449">IF($J286=CI$14,$L286,CI286)</f>
        <v>1</v>
      </c>
      <c r="CJ287" s="50">
        <f t="shared" ref="CJ287:CL350" si="450">IF($J286=CJ$14,$L286,CJ286)</f>
        <v>1</v>
      </c>
      <c r="CK287" s="50">
        <f t="shared" si="450"/>
        <v>0</v>
      </c>
      <c r="CL287" s="50">
        <f t="shared" si="450"/>
        <v>0</v>
      </c>
      <c r="CM287" s="51">
        <f t="shared" si="368"/>
        <v>0</v>
      </c>
      <c r="CN287" s="33">
        <f>ROUND(IF(BS287=0,0,HLOOKUP(BS$14,Villagers!$B$1:$V$33,BS287+3,FALSE)),)</f>
        <v>5</v>
      </c>
      <c r="CO287" s="14">
        <f>ROUND(IF(BT287=0,0,HLOOKUP(BT$14,Villagers!$B$1:$V$33,BT287+3,FALSE)),)</f>
        <v>0</v>
      </c>
      <c r="CP287" s="14">
        <f>ROUND(IF(BU287=0,0,HLOOKUP(BU$14,Villagers!$B$1:$V$33,BU287+3,FALSE)),)</f>
        <v>0</v>
      </c>
      <c r="CQ287" s="14">
        <f>ROUND(IF(BV287=0,0,HLOOKUP(BV$14,Villagers!$B$1:$V$33,BV287+3,FALSE)),)</f>
        <v>0</v>
      </c>
      <c r="CR287" s="14">
        <f>ROUND(IF(BW287=0,0,HLOOKUP(BW$14,Villagers!$B$1:$V$33,BW287+3,FALSE)),)</f>
        <v>0</v>
      </c>
      <c r="CS287" s="14">
        <f>ROUND(IF(BX287=0,0,HLOOKUP(BX$14,Villagers!$B$1:$V$33,BX287+3,FALSE)),)</f>
        <v>0</v>
      </c>
      <c r="CT287" s="14">
        <f>ROUND(IF(BY287=0,0,HLOOKUP(BY$14,Villagers!$B$1:$V$33,BY287+3,FALSE)),)</f>
        <v>0</v>
      </c>
      <c r="CU287" s="14">
        <f>ROUND(IF(BZ287=0,0,HLOOKUP(BZ$14,Villagers!$B$1:$V$33,BZ287+3,FALSE)),)</f>
        <v>0</v>
      </c>
      <c r="CV287" s="14">
        <f>ROUND(IF(CA287=0,0,HLOOKUP(CA$14,Villagers!$B$1:$V$33,CA287+3,FALSE)),)</f>
        <v>0</v>
      </c>
      <c r="CW287" s="14">
        <f>ROUND(IF(CB287=0,0,HLOOKUP(CB$14,Villagers!$B$1:$V$33,CB287+3,FALSE)),)</f>
        <v>0</v>
      </c>
      <c r="CX287" s="14">
        <f>ROUND(IF(CC287=0,0,HLOOKUP(CC$14,Villagers!$B$1:$V$33,CC287+3,FALSE)),)</f>
        <v>0</v>
      </c>
      <c r="CY287" s="14">
        <f>ROUND(IF(CD287=0,0,HLOOKUP(CD$14,Villagers!$B$1:$V$33,CD287+3,FALSE)),)</f>
        <v>0</v>
      </c>
      <c r="CZ287" s="14">
        <f>ROUND(IF(CE287=0,0,HLOOKUP(CE$14,Villagers!$B$1:$V$33,CE287+3,FALSE)),)</f>
        <v>5</v>
      </c>
      <c r="DA287" s="14">
        <f>ROUND(IF(CF287=0,0,HLOOKUP(CF$14,Villagers!$B$1:$V$33,CF287+3,FALSE)),)</f>
        <v>10</v>
      </c>
      <c r="DB287" s="14">
        <f>ROUND(IF(CG287=0,0,HLOOKUP(CG$14,Villagers!$B$1:$V$33,CG287+3,FALSE)),)</f>
        <v>10</v>
      </c>
      <c r="DC287" s="14">
        <f>ROUND(IF(CH287=0,0,HLOOKUP(CH$14,Villagers!$B$1:$V$33,CH287+3,FALSE)),)</f>
        <v>0</v>
      </c>
      <c r="DD287" s="14">
        <f>ROUND(IF(CI287=0,0,HLOOKUP(CI$14,Villagers!$B$1:$V$33,CI287+3,FALSE)),)</f>
        <v>0</v>
      </c>
      <c r="DE287" s="14">
        <f>ROUND(IF(CJ287=0,0,HLOOKUP(CJ$14,Villagers!$B$1:$V$33,CJ287+3,FALSE)),)</f>
        <v>2</v>
      </c>
      <c r="DF287" s="370">
        <f>ROUND(IF(CK287=0,0,HLOOKUP(CK$14,Villagers!$B$1:$V$33,CK287+3,FALSE)),)</f>
        <v>0</v>
      </c>
      <c r="DG287" s="370">
        <f>ROUND(IF(CL287=0,0,HLOOKUP(CL$14,Villagers!$B$1:$V$33,CL287+3,FALSE)),)</f>
        <v>0</v>
      </c>
      <c r="DH287" s="34">
        <f>ROUND(IF(CM287=0,0,HLOOKUP(CM$14,Villagers!$B$1:$V$33,CM287+3,FALSE)),)</f>
        <v>0</v>
      </c>
      <c r="DI287" s="109">
        <f t="shared" si="426"/>
        <v>0</v>
      </c>
      <c r="DJ287" s="50">
        <f t="shared" si="427"/>
        <v>0</v>
      </c>
      <c r="DK287" s="50">
        <f t="shared" si="428"/>
        <v>0</v>
      </c>
      <c r="DL287" s="50">
        <f t="shared" si="429"/>
        <v>0</v>
      </c>
      <c r="DM287" s="50">
        <f t="shared" si="430"/>
        <v>0</v>
      </c>
      <c r="DN287" s="50">
        <f t="shared" si="431"/>
        <v>0</v>
      </c>
      <c r="DO287" s="50">
        <f t="shared" si="432"/>
        <v>0</v>
      </c>
      <c r="DP287" s="50">
        <f t="shared" si="433"/>
        <v>0</v>
      </c>
      <c r="DQ287" s="50">
        <f t="shared" si="411"/>
        <v>0</v>
      </c>
      <c r="DR287" s="50">
        <f t="shared" si="412"/>
        <v>0</v>
      </c>
      <c r="DS287" s="96">
        <f>Miscelaneous!$D$4*Miscelaneous!$D$2^($CI287-1)</f>
        <v>1000</v>
      </c>
      <c r="DT287" s="333">
        <f t="shared" si="393"/>
        <v>1</v>
      </c>
      <c r="DU287" s="81">
        <v>1</v>
      </c>
      <c r="DV287" s="79">
        <f t="shared" si="413"/>
        <v>0</v>
      </c>
      <c r="DW287" s="79">
        <f t="shared" si="414"/>
        <v>0</v>
      </c>
      <c r="DX287" s="79">
        <f t="shared" si="415"/>
        <v>0</v>
      </c>
      <c r="DY287" s="79">
        <v>1</v>
      </c>
      <c r="DZ287" s="79">
        <f t="shared" si="416"/>
        <v>0</v>
      </c>
      <c r="EA287" s="79">
        <f t="shared" si="417"/>
        <v>0</v>
      </c>
      <c r="EB287" s="79">
        <f t="shared" si="418"/>
        <v>0</v>
      </c>
      <c r="EC287" s="79">
        <f t="shared" si="419"/>
        <v>0</v>
      </c>
      <c r="ED287" s="79">
        <v>1</v>
      </c>
      <c r="EE287" s="79">
        <v>1</v>
      </c>
      <c r="EF287" s="79">
        <f t="shared" si="420"/>
        <v>0</v>
      </c>
      <c r="EG287" s="79">
        <v>1</v>
      </c>
      <c r="EH287" s="79">
        <v>1</v>
      </c>
      <c r="EI287" s="79">
        <v>1</v>
      </c>
      <c r="EJ287" s="79">
        <v>1</v>
      </c>
      <c r="EK287" s="79">
        <v>1</v>
      </c>
      <c r="EL287" s="79">
        <v>1</v>
      </c>
      <c r="EM287" s="143">
        <f t="shared" si="421"/>
        <v>0</v>
      </c>
      <c r="EN287" s="143">
        <f t="shared" si="422"/>
        <v>0</v>
      </c>
      <c r="EO287" s="82">
        <f t="shared" si="423"/>
        <v>0</v>
      </c>
    </row>
    <row r="288" spans="1:145" x14ac:dyDescent="0.25">
      <c r="A288">
        <v>274</v>
      </c>
      <c r="B288" s="172" t="e">
        <f t="shared" si="394"/>
        <v>#N/A</v>
      </c>
      <c r="C288" s="121" t="e">
        <f t="shared" si="373"/>
        <v>#N/A</v>
      </c>
      <c r="D288" s="122" t="e">
        <f t="shared" si="374"/>
        <v>#N/A</v>
      </c>
      <c r="E288" s="122" t="e">
        <f t="shared" si="375"/>
        <v>#N/A</v>
      </c>
      <c r="F288" s="176" t="e">
        <f t="shared" si="376"/>
        <v>#N/A</v>
      </c>
      <c r="G288" s="121">
        <f t="shared" si="395"/>
        <v>208</v>
      </c>
      <c r="H288" s="176" t="e">
        <f t="shared" si="396"/>
        <v>#N/A</v>
      </c>
      <c r="I288" s="48">
        <v>1</v>
      </c>
      <c r="J288" s="39"/>
      <c r="K288" s="350">
        <v>1</v>
      </c>
      <c r="L288" s="34" t="e">
        <f t="shared" si="377"/>
        <v>#N/A</v>
      </c>
      <c r="M288" s="38" t="e">
        <f>(HLOOKUP(J288,'Construction Times'!$B$3:$W$34,L288+2,FALSE)*HLOOKUP("hq modifier",'Construction Times'!$W$3:$W$34,BS288+2,FALSE))*(1-$H$9)</f>
        <v>#N/A</v>
      </c>
      <c r="N288" s="443" t="e">
        <f t="shared" si="397"/>
        <v>#N/A</v>
      </c>
      <c r="O288" s="444"/>
      <c r="P288" s="447" t="e">
        <f t="shared" si="398"/>
        <v>#N/A</v>
      </c>
      <c r="Q288" s="448"/>
      <c r="R288" s="103">
        <f t="shared" si="424"/>
        <v>0</v>
      </c>
      <c r="S288" s="104">
        <f t="shared" si="424"/>
        <v>0</v>
      </c>
      <c r="T288" s="104">
        <f t="shared" si="425"/>
        <v>0</v>
      </c>
      <c r="U288" s="104">
        <f t="shared" si="425"/>
        <v>0</v>
      </c>
      <c r="V288" s="104">
        <f t="shared" si="425"/>
        <v>9.9999999999999995E-8</v>
      </c>
      <c r="W288" s="104">
        <f t="shared" si="425"/>
        <v>0</v>
      </c>
      <c r="X288" s="104">
        <f t="shared" si="365"/>
        <v>0</v>
      </c>
      <c r="Y288" s="104">
        <f t="shared" si="365"/>
        <v>9.9999999999999995E-8</v>
      </c>
      <c r="Z288" s="104">
        <f t="shared" si="365"/>
        <v>9.9999999999999995E-8</v>
      </c>
      <c r="AA288" s="105">
        <f t="shared" si="365"/>
        <v>9.9999999999999995E-8</v>
      </c>
      <c r="AB288" s="101" t="e">
        <f>$DT288*HLOOKUP($J288,'Construction Costs (timber)'!$B$1:$V$32,'Construction Planner'!$L288+2,FALSE)</f>
        <v>#N/A</v>
      </c>
      <c r="AC288" s="14" t="e">
        <f>$DT288*HLOOKUP($J288,'Construction Costs (clay)'!$B$1:$V$32,'Construction Planner'!$L288+2,FALSE)</f>
        <v>#N/A</v>
      </c>
      <c r="AD288" s="14" t="e">
        <f>$DT288*HLOOKUP($J288,'Construction Costs (iron)'!$B$1:$V$32,'Construction Planner'!$L288+2,FALSE)</f>
        <v>#N/A</v>
      </c>
      <c r="AE288" s="34" t="e">
        <f t="shared" si="434"/>
        <v>#N/A</v>
      </c>
      <c r="AF288" s="33" t="e">
        <f t="shared" si="378"/>
        <v>#N/A</v>
      </c>
      <c r="AG288" s="14" t="e">
        <f t="shared" si="379"/>
        <v>#N/A</v>
      </c>
      <c r="AH288" s="14" t="e">
        <f t="shared" si="380"/>
        <v>#N/A</v>
      </c>
      <c r="AI288" s="34" t="e">
        <f t="shared" si="435"/>
        <v>#N/A</v>
      </c>
      <c r="AJ288" s="49" t="e">
        <f t="shared" si="399"/>
        <v>#N/A</v>
      </c>
      <c r="AK288" s="49" t="e">
        <f t="shared" si="400"/>
        <v>#N/A</v>
      </c>
      <c r="AL288" s="49" t="e">
        <f t="shared" si="401"/>
        <v>#N/A</v>
      </c>
      <c r="AM288" s="25">
        <f t="shared" si="381"/>
        <v>30</v>
      </c>
      <c r="AN288" s="25">
        <f t="shared" si="382"/>
        <v>30</v>
      </c>
      <c r="AO288" s="25">
        <f t="shared" si="383"/>
        <v>30</v>
      </c>
      <c r="AP288" s="52" t="e">
        <f t="shared" si="402"/>
        <v>#N/A</v>
      </c>
      <c r="AQ288" s="53" t="e">
        <f t="shared" si="402"/>
        <v>#N/A</v>
      </c>
      <c r="AR288" s="54" t="e">
        <f t="shared" si="402"/>
        <v>#N/A</v>
      </c>
      <c r="AS288" s="316">
        <f t="shared" si="436"/>
        <v>0</v>
      </c>
      <c r="AT288" s="106">
        <f>_xlfn.IFNA($M288/VLOOKUP($BT288,'Unit information'!$A$2:$K$29,2,FALSE)*R288,0)*(1+$E$9)</f>
        <v>0</v>
      </c>
      <c r="AU288" s="107">
        <f>_xlfn.IFNA($M288/VLOOKUP($BT288,'Unit information'!$A$2:$K$29,3,FALSE)*S288,0)*(1+$E$9)</f>
        <v>0</v>
      </c>
      <c r="AV288" s="107">
        <f>_xlfn.IFNA($M288/VLOOKUP($BT288,'Unit information'!$A$2:$K$29,4,FALSE)*T288,0)*(1+$E$9)</f>
        <v>0</v>
      </c>
      <c r="AW288" s="107">
        <f>_xlfn.IFNA($M288/VLOOKUP($BT288,'Unit information'!$A$2:$K$29,5,FALSE)*U288,0)*(1+$E$9)</f>
        <v>0</v>
      </c>
      <c r="AX288" s="107">
        <f>_xlfn.IFNA($M288/VLOOKUP($BU288,'Unit information'!$A$2:$K$29,6,FALSE)*V288,0)*(1+$E$9)</f>
        <v>0</v>
      </c>
      <c r="AY288" s="107">
        <f>_xlfn.IFNA($M288/VLOOKUP($BU288,'Unit information'!$A$2:$K$29,7,FALSE)*W288,0)*(1+$E$9)</f>
        <v>0</v>
      </c>
      <c r="AZ288" s="107">
        <f>_xlfn.IFNA($M288/VLOOKUP($BU288,'Unit information'!$A$2:$K$29,8,FALSE)*X288,0)*(1+$E$9)</f>
        <v>0</v>
      </c>
      <c r="BA288" s="107">
        <f>_xlfn.IFNA($M288/VLOOKUP($BU288,'Unit information'!$A$2:$K$29,9,FALSE)*Y288,0)*(1+$E$9)</f>
        <v>0</v>
      </c>
      <c r="BB288" s="107">
        <f>_xlfn.IFNA($M288/VLOOKUP($BV288,'Unit information'!$A$2:$K$29,10,FALSE)*Z288,0)*(1+$E$9)</f>
        <v>0</v>
      </c>
      <c r="BC288" s="108">
        <f>_xlfn.IFNA($M288/VLOOKUP($BV288,'Unit information'!$A$2:$K$29,11,FALSE)*AA288,0)*(1+$E$9)</f>
        <v>0</v>
      </c>
      <c r="BD288" s="106">
        <f t="shared" si="384"/>
        <v>0</v>
      </c>
      <c r="BE288" s="107">
        <f t="shared" si="385"/>
        <v>0</v>
      </c>
      <c r="BF288" s="108">
        <f t="shared" si="386"/>
        <v>0</v>
      </c>
      <c r="BG288" s="25" t="e">
        <f t="shared" si="387"/>
        <v>#N/A</v>
      </c>
      <c r="BH288" s="25" t="e">
        <f t="shared" si="388"/>
        <v>#N/A</v>
      </c>
      <c r="BI288" s="25" t="e">
        <f t="shared" si="389"/>
        <v>#N/A</v>
      </c>
      <c r="BJ288" s="27" t="e">
        <f t="shared" si="390"/>
        <v>#N/A</v>
      </c>
      <c r="BK288" s="18" t="e">
        <f t="shared" si="391"/>
        <v>#N/A</v>
      </c>
      <c r="BL288" s="18" t="e">
        <f t="shared" si="392"/>
        <v>#N/A</v>
      </c>
      <c r="BM288" s="28" t="e">
        <f t="shared" si="437"/>
        <v>#N/A</v>
      </c>
      <c r="BN288" s="33">
        <f>HLOOKUP("maximum population",Miscelaneous!$C$1:$C$33,CH288+3,FALSE)</f>
        <v>240</v>
      </c>
      <c r="BO288" s="14">
        <f t="shared" si="403"/>
        <v>32</v>
      </c>
      <c r="BP288" s="14">
        <f t="shared" si="404"/>
        <v>0</v>
      </c>
      <c r="BQ288" s="14">
        <f t="shared" si="405"/>
        <v>208</v>
      </c>
      <c r="BR288" s="34" t="e">
        <f>HLOOKUP(J288,Villagers!$B$1:$V$33,L288+3,FALSE)-HLOOKUP(J288,Villagers!$B$1:$V$33,L288+2,FALSE)</f>
        <v>#N/A</v>
      </c>
      <c r="BS288" s="49">
        <f t="shared" si="406"/>
        <v>1</v>
      </c>
      <c r="BT288" s="50">
        <f t="shared" si="407"/>
        <v>0</v>
      </c>
      <c r="BU288" s="50">
        <f t="shared" si="408"/>
        <v>0</v>
      </c>
      <c r="BV288" s="50">
        <f t="shared" si="409"/>
        <v>0</v>
      </c>
      <c r="BW288" s="50">
        <f t="shared" ref="BW288:BY294" si="451">IF($J287=BW$14,$L287,BW287)</f>
        <v>0</v>
      </c>
      <c r="BX288" s="50">
        <f t="shared" si="451"/>
        <v>0</v>
      </c>
      <c r="BY288" s="50">
        <f t="shared" si="451"/>
        <v>0</v>
      </c>
      <c r="BZ288" s="50">
        <f t="shared" si="440"/>
        <v>0</v>
      </c>
      <c r="CA288" s="50">
        <f t="shared" si="441"/>
        <v>0</v>
      </c>
      <c r="CB288" s="50">
        <f t="shared" si="442"/>
        <v>1</v>
      </c>
      <c r="CC288" s="50">
        <f t="shared" si="443"/>
        <v>0</v>
      </c>
      <c r="CD288" s="50">
        <f t="shared" si="444"/>
        <v>0</v>
      </c>
      <c r="CE288" s="50">
        <f t="shared" si="445"/>
        <v>1</v>
      </c>
      <c r="CF288" s="50">
        <f t="shared" si="446"/>
        <v>1</v>
      </c>
      <c r="CG288" s="50">
        <f t="shared" si="447"/>
        <v>1</v>
      </c>
      <c r="CH288" s="50">
        <f t="shared" si="448"/>
        <v>1</v>
      </c>
      <c r="CI288" s="50">
        <f t="shared" si="449"/>
        <v>1</v>
      </c>
      <c r="CJ288" s="50">
        <f t="shared" si="450"/>
        <v>1</v>
      </c>
      <c r="CK288" s="50">
        <f t="shared" si="450"/>
        <v>0</v>
      </c>
      <c r="CL288" s="50">
        <f t="shared" si="450"/>
        <v>0</v>
      </c>
      <c r="CM288" s="51">
        <f t="shared" si="368"/>
        <v>0</v>
      </c>
      <c r="CN288" s="33">
        <f>ROUND(IF(BS288=0,0,HLOOKUP(BS$14,Villagers!$B$1:$V$33,BS288+3,FALSE)),)</f>
        <v>5</v>
      </c>
      <c r="CO288" s="14">
        <f>ROUND(IF(BT288=0,0,HLOOKUP(BT$14,Villagers!$B$1:$V$33,BT288+3,FALSE)),)</f>
        <v>0</v>
      </c>
      <c r="CP288" s="14">
        <f>ROUND(IF(BU288=0,0,HLOOKUP(BU$14,Villagers!$B$1:$V$33,BU288+3,FALSE)),)</f>
        <v>0</v>
      </c>
      <c r="CQ288" s="14">
        <f>ROUND(IF(BV288=0,0,HLOOKUP(BV$14,Villagers!$B$1:$V$33,BV288+3,FALSE)),)</f>
        <v>0</v>
      </c>
      <c r="CR288" s="14">
        <f>ROUND(IF(BW288=0,0,HLOOKUP(BW$14,Villagers!$B$1:$V$33,BW288+3,FALSE)),)</f>
        <v>0</v>
      </c>
      <c r="CS288" s="14">
        <f>ROUND(IF(BX288=0,0,HLOOKUP(BX$14,Villagers!$B$1:$V$33,BX288+3,FALSE)),)</f>
        <v>0</v>
      </c>
      <c r="CT288" s="14">
        <f>ROUND(IF(BY288=0,0,HLOOKUP(BY$14,Villagers!$B$1:$V$33,BY288+3,FALSE)),)</f>
        <v>0</v>
      </c>
      <c r="CU288" s="14">
        <f>ROUND(IF(BZ288=0,0,HLOOKUP(BZ$14,Villagers!$B$1:$V$33,BZ288+3,FALSE)),)</f>
        <v>0</v>
      </c>
      <c r="CV288" s="14">
        <f>ROUND(IF(CA288=0,0,HLOOKUP(CA$14,Villagers!$B$1:$V$33,CA288+3,FALSE)),)</f>
        <v>0</v>
      </c>
      <c r="CW288" s="14">
        <f>ROUND(IF(CB288=0,0,HLOOKUP(CB$14,Villagers!$B$1:$V$33,CB288+3,FALSE)),)</f>
        <v>0</v>
      </c>
      <c r="CX288" s="14">
        <f>ROUND(IF(CC288=0,0,HLOOKUP(CC$14,Villagers!$B$1:$V$33,CC288+3,FALSE)),)</f>
        <v>0</v>
      </c>
      <c r="CY288" s="14">
        <f>ROUND(IF(CD288=0,0,HLOOKUP(CD$14,Villagers!$B$1:$V$33,CD288+3,FALSE)),)</f>
        <v>0</v>
      </c>
      <c r="CZ288" s="14">
        <f>ROUND(IF(CE288=0,0,HLOOKUP(CE$14,Villagers!$B$1:$V$33,CE288+3,FALSE)),)</f>
        <v>5</v>
      </c>
      <c r="DA288" s="14">
        <f>ROUND(IF(CF288=0,0,HLOOKUP(CF$14,Villagers!$B$1:$V$33,CF288+3,FALSE)),)</f>
        <v>10</v>
      </c>
      <c r="DB288" s="14">
        <f>ROUND(IF(CG288=0,0,HLOOKUP(CG$14,Villagers!$B$1:$V$33,CG288+3,FALSE)),)</f>
        <v>10</v>
      </c>
      <c r="DC288" s="14">
        <f>ROUND(IF(CH288=0,0,HLOOKUP(CH$14,Villagers!$B$1:$V$33,CH288+3,FALSE)),)</f>
        <v>0</v>
      </c>
      <c r="DD288" s="14">
        <f>ROUND(IF(CI288=0,0,HLOOKUP(CI$14,Villagers!$B$1:$V$33,CI288+3,FALSE)),)</f>
        <v>0</v>
      </c>
      <c r="DE288" s="14">
        <f>ROUND(IF(CJ288=0,0,HLOOKUP(CJ$14,Villagers!$B$1:$V$33,CJ288+3,FALSE)),)</f>
        <v>2</v>
      </c>
      <c r="DF288" s="370">
        <f>ROUND(IF(CK288=0,0,HLOOKUP(CK$14,Villagers!$B$1:$V$33,CK288+3,FALSE)),)</f>
        <v>0</v>
      </c>
      <c r="DG288" s="370">
        <f>ROUND(IF(CL288=0,0,HLOOKUP(CL$14,Villagers!$B$1:$V$33,CL288+3,FALSE)),)</f>
        <v>0</v>
      </c>
      <c r="DH288" s="34">
        <f>ROUND(IF(CM288=0,0,HLOOKUP(CM$14,Villagers!$B$1:$V$33,CM288+3,FALSE)),)</f>
        <v>0</v>
      </c>
      <c r="DI288" s="109">
        <f t="shared" si="426"/>
        <v>0</v>
      </c>
      <c r="DJ288" s="50">
        <f t="shared" si="427"/>
        <v>0</v>
      </c>
      <c r="DK288" s="50">
        <f t="shared" si="428"/>
        <v>0</v>
      </c>
      <c r="DL288" s="50">
        <f t="shared" si="429"/>
        <v>0</v>
      </c>
      <c r="DM288" s="50">
        <f t="shared" si="430"/>
        <v>0</v>
      </c>
      <c r="DN288" s="50">
        <f t="shared" si="431"/>
        <v>0</v>
      </c>
      <c r="DO288" s="50">
        <f t="shared" si="432"/>
        <v>0</v>
      </c>
      <c r="DP288" s="50">
        <f t="shared" si="433"/>
        <v>0</v>
      </c>
      <c r="DQ288" s="50">
        <f t="shared" si="411"/>
        <v>0</v>
      </c>
      <c r="DR288" s="50">
        <f t="shared" si="412"/>
        <v>0</v>
      </c>
      <c r="DS288" s="96">
        <f>Miscelaneous!$D$4*Miscelaneous!$D$2^($CI288-1)</f>
        <v>1000</v>
      </c>
      <c r="DT288" s="333">
        <f t="shared" si="393"/>
        <v>1</v>
      </c>
      <c r="DU288" s="81">
        <v>1</v>
      </c>
      <c r="DV288" s="79">
        <f t="shared" si="413"/>
        <v>0</v>
      </c>
      <c r="DW288" s="79">
        <f t="shared" si="414"/>
        <v>0</v>
      </c>
      <c r="DX288" s="79">
        <f t="shared" si="415"/>
        <v>0</v>
      </c>
      <c r="DY288" s="79">
        <v>1</v>
      </c>
      <c r="DZ288" s="79">
        <f t="shared" si="416"/>
        <v>0</v>
      </c>
      <c r="EA288" s="79">
        <f t="shared" si="417"/>
        <v>0</v>
      </c>
      <c r="EB288" s="79">
        <f t="shared" si="418"/>
        <v>0</v>
      </c>
      <c r="EC288" s="79">
        <f t="shared" si="419"/>
        <v>0</v>
      </c>
      <c r="ED288" s="79">
        <v>1</v>
      </c>
      <c r="EE288" s="79">
        <v>1</v>
      </c>
      <c r="EF288" s="79">
        <f t="shared" si="420"/>
        <v>0</v>
      </c>
      <c r="EG288" s="79">
        <v>1</v>
      </c>
      <c r="EH288" s="79">
        <v>1</v>
      </c>
      <c r="EI288" s="79">
        <v>1</v>
      </c>
      <c r="EJ288" s="79">
        <v>1</v>
      </c>
      <c r="EK288" s="79">
        <v>1</v>
      </c>
      <c r="EL288" s="79">
        <v>1</v>
      </c>
      <c r="EM288" s="143">
        <f t="shared" si="421"/>
        <v>0</v>
      </c>
      <c r="EN288" s="143">
        <f t="shared" si="422"/>
        <v>0</v>
      </c>
      <c r="EO288" s="82">
        <f t="shared" si="423"/>
        <v>0</v>
      </c>
    </row>
    <row r="289" spans="1:145" x14ac:dyDescent="0.25">
      <c r="A289">
        <v>275</v>
      </c>
      <c r="B289" s="172" t="e">
        <f t="shared" si="394"/>
        <v>#N/A</v>
      </c>
      <c r="C289" s="121" t="e">
        <f t="shared" si="373"/>
        <v>#N/A</v>
      </c>
      <c r="D289" s="122" t="e">
        <f t="shared" si="374"/>
        <v>#N/A</v>
      </c>
      <c r="E289" s="122" t="e">
        <f t="shared" si="375"/>
        <v>#N/A</v>
      </c>
      <c r="F289" s="176" t="e">
        <f t="shared" si="376"/>
        <v>#N/A</v>
      </c>
      <c r="G289" s="121">
        <f t="shared" si="395"/>
        <v>208</v>
      </c>
      <c r="H289" s="176" t="e">
        <f t="shared" si="396"/>
        <v>#N/A</v>
      </c>
      <c r="I289" s="48">
        <v>1</v>
      </c>
      <c r="J289" s="39"/>
      <c r="K289" s="350">
        <v>1</v>
      </c>
      <c r="L289" s="34" t="e">
        <f t="shared" si="377"/>
        <v>#N/A</v>
      </c>
      <c r="M289" s="38" t="e">
        <f>(HLOOKUP(J289,'Construction Times'!$B$3:$W$34,L289+2,FALSE)*HLOOKUP("hq modifier",'Construction Times'!$W$3:$W$34,BS289+2,FALSE))*(1-$H$9)</f>
        <v>#N/A</v>
      </c>
      <c r="N289" s="443" t="e">
        <f t="shared" si="397"/>
        <v>#N/A</v>
      </c>
      <c r="O289" s="444"/>
      <c r="P289" s="447" t="e">
        <f t="shared" si="398"/>
        <v>#N/A</v>
      </c>
      <c r="Q289" s="448"/>
      <c r="R289" s="103">
        <f t="shared" si="424"/>
        <v>0</v>
      </c>
      <c r="S289" s="104">
        <f t="shared" si="424"/>
        <v>0</v>
      </c>
      <c r="T289" s="104">
        <f t="shared" si="425"/>
        <v>0</v>
      </c>
      <c r="U289" s="104">
        <f t="shared" si="425"/>
        <v>0</v>
      </c>
      <c r="V289" s="104">
        <f t="shared" si="425"/>
        <v>9.9999999999999995E-8</v>
      </c>
      <c r="W289" s="104">
        <f t="shared" si="425"/>
        <v>0</v>
      </c>
      <c r="X289" s="104">
        <f t="shared" si="365"/>
        <v>0</v>
      </c>
      <c r="Y289" s="104">
        <f t="shared" si="365"/>
        <v>9.9999999999999995E-8</v>
      </c>
      <c r="Z289" s="104">
        <f t="shared" si="365"/>
        <v>9.9999999999999995E-8</v>
      </c>
      <c r="AA289" s="105">
        <f t="shared" si="365"/>
        <v>9.9999999999999995E-8</v>
      </c>
      <c r="AB289" s="101" t="e">
        <f>$DT289*HLOOKUP($J289,'Construction Costs (timber)'!$B$1:$V$32,'Construction Planner'!$L289+2,FALSE)</f>
        <v>#N/A</v>
      </c>
      <c r="AC289" s="14" t="e">
        <f>$DT289*HLOOKUP($J289,'Construction Costs (clay)'!$B$1:$V$32,'Construction Planner'!$L289+2,FALSE)</f>
        <v>#N/A</v>
      </c>
      <c r="AD289" s="14" t="e">
        <f>$DT289*HLOOKUP($J289,'Construction Costs (iron)'!$B$1:$V$32,'Construction Planner'!$L289+2,FALSE)</f>
        <v>#N/A</v>
      </c>
      <c r="AE289" s="34" t="e">
        <f t="shared" si="434"/>
        <v>#N/A</v>
      </c>
      <c r="AF289" s="33" t="e">
        <f t="shared" si="378"/>
        <v>#N/A</v>
      </c>
      <c r="AG289" s="14" t="e">
        <f t="shared" si="379"/>
        <v>#N/A</v>
      </c>
      <c r="AH289" s="14" t="e">
        <f t="shared" si="380"/>
        <v>#N/A</v>
      </c>
      <c r="AI289" s="34" t="e">
        <f t="shared" si="435"/>
        <v>#N/A</v>
      </c>
      <c r="AJ289" s="49" t="e">
        <f t="shared" si="399"/>
        <v>#N/A</v>
      </c>
      <c r="AK289" s="49" t="e">
        <f t="shared" si="400"/>
        <v>#N/A</v>
      </c>
      <c r="AL289" s="49" t="e">
        <f t="shared" si="401"/>
        <v>#N/A</v>
      </c>
      <c r="AM289" s="25">
        <f t="shared" si="381"/>
        <v>30</v>
      </c>
      <c r="AN289" s="25">
        <f t="shared" si="382"/>
        <v>30</v>
      </c>
      <c r="AO289" s="25">
        <f t="shared" si="383"/>
        <v>30</v>
      </c>
      <c r="AP289" s="52" t="e">
        <f t="shared" si="402"/>
        <v>#N/A</v>
      </c>
      <c r="AQ289" s="53" t="e">
        <f t="shared" si="402"/>
        <v>#N/A</v>
      </c>
      <c r="AR289" s="54" t="e">
        <f t="shared" si="402"/>
        <v>#N/A</v>
      </c>
      <c r="AS289" s="316">
        <f t="shared" si="436"/>
        <v>0</v>
      </c>
      <c r="AT289" s="106">
        <f>_xlfn.IFNA($M289/VLOOKUP($BT289,'Unit information'!$A$2:$K$29,2,FALSE)*R289,0)*(1+$E$9)</f>
        <v>0</v>
      </c>
      <c r="AU289" s="107">
        <f>_xlfn.IFNA($M289/VLOOKUP($BT289,'Unit information'!$A$2:$K$29,3,FALSE)*S289,0)*(1+$E$9)</f>
        <v>0</v>
      </c>
      <c r="AV289" s="107">
        <f>_xlfn.IFNA($M289/VLOOKUP($BT289,'Unit information'!$A$2:$K$29,4,FALSE)*T289,0)*(1+$E$9)</f>
        <v>0</v>
      </c>
      <c r="AW289" s="107">
        <f>_xlfn.IFNA($M289/VLOOKUP($BT289,'Unit information'!$A$2:$K$29,5,FALSE)*U289,0)*(1+$E$9)</f>
        <v>0</v>
      </c>
      <c r="AX289" s="107">
        <f>_xlfn.IFNA($M289/VLOOKUP($BU289,'Unit information'!$A$2:$K$29,6,FALSE)*V289,0)*(1+$E$9)</f>
        <v>0</v>
      </c>
      <c r="AY289" s="107">
        <f>_xlfn.IFNA($M289/VLOOKUP($BU289,'Unit information'!$A$2:$K$29,7,FALSE)*W289,0)*(1+$E$9)</f>
        <v>0</v>
      </c>
      <c r="AZ289" s="107">
        <f>_xlfn.IFNA($M289/VLOOKUP($BU289,'Unit information'!$A$2:$K$29,8,FALSE)*X289,0)*(1+$E$9)</f>
        <v>0</v>
      </c>
      <c r="BA289" s="107">
        <f>_xlfn.IFNA($M289/VLOOKUP($BU289,'Unit information'!$A$2:$K$29,9,FALSE)*Y289,0)*(1+$E$9)</f>
        <v>0</v>
      </c>
      <c r="BB289" s="107">
        <f>_xlfn.IFNA($M289/VLOOKUP($BV289,'Unit information'!$A$2:$K$29,10,FALSE)*Z289,0)*(1+$E$9)</f>
        <v>0</v>
      </c>
      <c r="BC289" s="108">
        <f>_xlfn.IFNA($M289/VLOOKUP($BV289,'Unit information'!$A$2:$K$29,11,FALSE)*AA289,0)*(1+$E$9)</f>
        <v>0</v>
      </c>
      <c r="BD289" s="106">
        <f t="shared" si="384"/>
        <v>0</v>
      </c>
      <c r="BE289" s="107">
        <f t="shared" si="385"/>
        <v>0</v>
      </c>
      <c r="BF289" s="108">
        <f t="shared" si="386"/>
        <v>0</v>
      </c>
      <c r="BG289" s="25" t="e">
        <f t="shared" si="387"/>
        <v>#N/A</v>
      </c>
      <c r="BH289" s="25" t="e">
        <f t="shared" si="388"/>
        <v>#N/A</v>
      </c>
      <c r="BI289" s="25" t="e">
        <f t="shared" si="389"/>
        <v>#N/A</v>
      </c>
      <c r="BJ289" s="27" t="e">
        <f t="shared" si="390"/>
        <v>#N/A</v>
      </c>
      <c r="BK289" s="18" t="e">
        <f t="shared" si="391"/>
        <v>#N/A</v>
      </c>
      <c r="BL289" s="18" t="e">
        <f t="shared" si="392"/>
        <v>#N/A</v>
      </c>
      <c r="BM289" s="28" t="e">
        <f t="shared" si="437"/>
        <v>#N/A</v>
      </c>
      <c r="BN289" s="33">
        <f>HLOOKUP("maximum population",Miscelaneous!$C$1:$C$33,CH289+3,FALSE)</f>
        <v>240</v>
      </c>
      <c r="BO289" s="14">
        <f t="shared" si="403"/>
        <v>32</v>
      </c>
      <c r="BP289" s="14">
        <f t="shared" si="404"/>
        <v>0</v>
      </c>
      <c r="BQ289" s="14">
        <f t="shared" si="405"/>
        <v>208</v>
      </c>
      <c r="BR289" s="34" t="e">
        <f>HLOOKUP(J289,Villagers!$B$1:$V$33,L289+3,FALSE)-HLOOKUP(J289,Villagers!$B$1:$V$33,L289+2,FALSE)</f>
        <v>#N/A</v>
      </c>
      <c r="BS289" s="49">
        <f t="shared" si="406"/>
        <v>1</v>
      </c>
      <c r="BT289" s="50">
        <f t="shared" si="407"/>
        <v>0</v>
      </c>
      <c r="BU289" s="50">
        <f t="shared" si="408"/>
        <v>0</v>
      </c>
      <c r="BV289" s="50">
        <f t="shared" si="409"/>
        <v>0</v>
      </c>
      <c r="BW289" s="50">
        <f t="shared" si="451"/>
        <v>0</v>
      </c>
      <c r="BX289" s="50">
        <f t="shared" si="451"/>
        <v>0</v>
      </c>
      <c r="BY289" s="50">
        <f t="shared" si="451"/>
        <v>0</v>
      </c>
      <c r="BZ289" s="50">
        <f t="shared" si="440"/>
        <v>0</v>
      </c>
      <c r="CA289" s="50">
        <f t="shared" si="441"/>
        <v>0</v>
      </c>
      <c r="CB289" s="50">
        <f t="shared" si="442"/>
        <v>1</v>
      </c>
      <c r="CC289" s="50">
        <f t="shared" si="443"/>
        <v>0</v>
      </c>
      <c r="CD289" s="50">
        <f t="shared" si="444"/>
        <v>0</v>
      </c>
      <c r="CE289" s="50">
        <f t="shared" si="445"/>
        <v>1</v>
      </c>
      <c r="CF289" s="50">
        <f t="shared" si="446"/>
        <v>1</v>
      </c>
      <c r="CG289" s="50">
        <f t="shared" si="447"/>
        <v>1</v>
      </c>
      <c r="CH289" s="50">
        <f t="shared" si="448"/>
        <v>1</v>
      </c>
      <c r="CI289" s="50">
        <f t="shared" si="449"/>
        <v>1</v>
      </c>
      <c r="CJ289" s="50">
        <f t="shared" si="450"/>
        <v>1</v>
      </c>
      <c r="CK289" s="50">
        <f t="shared" si="450"/>
        <v>0</v>
      </c>
      <c r="CL289" s="50">
        <f t="shared" si="450"/>
        <v>0</v>
      </c>
      <c r="CM289" s="51">
        <f t="shared" si="368"/>
        <v>0</v>
      </c>
      <c r="CN289" s="33">
        <f>ROUND(IF(BS289=0,0,HLOOKUP(BS$14,Villagers!$B$1:$V$33,BS289+3,FALSE)),)</f>
        <v>5</v>
      </c>
      <c r="CO289" s="14">
        <f>ROUND(IF(BT289=0,0,HLOOKUP(BT$14,Villagers!$B$1:$V$33,BT289+3,FALSE)),)</f>
        <v>0</v>
      </c>
      <c r="CP289" s="14">
        <f>ROUND(IF(BU289=0,0,HLOOKUP(BU$14,Villagers!$B$1:$V$33,BU289+3,FALSE)),)</f>
        <v>0</v>
      </c>
      <c r="CQ289" s="14">
        <f>ROUND(IF(BV289=0,0,HLOOKUP(BV$14,Villagers!$B$1:$V$33,BV289+3,FALSE)),)</f>
        <v>0</v>
      </c>
      <c r="CR289" s="14">
        <f>ROUND(IF(BW289=0,0,HLOOKUP(BW$14,Villagers!$B$1:$V$33,BW289+3,FALSE)),)</f>
        <v>0</v>
      </c>
      <c r="CS289" s="14">
        <f>ROUND(IF(BX289=0,0,HLOOKUP(BX$14,Villagers!$B$1:$V$33,BX289+3,FALSE)),)</f>
        <v>0</v>
      </c>
      <c r="CT289" s="14">
        <f>ROUND(IF(BY289=0,0,HLOOKUP(BY$14,Villagers!$B$1:$V$33,BY289+3,FALSE)),)</f>
        <v>0</v>
      </c>
      <c r="CU289" s="14">
        <f>ROUND(IF(BZ289=0,0,HLOOKUP(BZ$14,Villagers!$B$1:$V$33,BZ289+3,FALSE)),)</f>
        <v>0</v>
      </c>
      <c r="CV289" s="14">
        <f>ROUND(IF(CA289=0,0,HLOOKUP(CA$14,Villagers!$B$1:$V$33,CA289+3,FALSE)),)</f>
        <v>0</v>
      </c>
      <c r="CW289" s="14">
        <f>ROUND(IF(CB289=0,0,HLOOKUP(CB$14,Villagers!$B$1:$V$33,CB289+3,FALSE)),)</f>
        <v>0</v>
      </c>
      <c r="CX289" s="14">
        <f>ROUND(IF(CC289=0,0,HLOOKUP(CC$14,Villagers!$B$1:$V$33,CC289+3,FALSE)),)</f>
        <v>0</v>
      </c>
      <c r="CY289" s="14">
        <f>ROUND(IF(CD289=0,0,HLOOKUP(CD$14,Villagers!$B$1:$V$33,CD289+3,FALSE)),)</f>
        <v>0</v>
      </c>
      <c r="CZ289" s="14">
        <f>ROUND(IF(CE289=0,0,HLOOKUP(CE$14,Villagers!$B$1:$V$33,CE289+3,FALSE)),)</f>
        <v>5</v>
      </c>
      <c r="DA289" s="14">
        <f>ROUND(IF(CF289=0,0,HLOOKUP(CF$14,Villagers!$B$1:$V$33,CF289+3,FALSE)),)</f>
        <v>10</v>
      </c>
      <c r="DB289" s="14">
        <f>ROUND(IF(CG289=0,0,HLOOKUP(CG$14,Villagers!$B$1:$V$33,CG289+3,FALSE)),)</f>
        <v>10</v>
      </c>
      <c r="DC289" s="14">
        <f>ROUND(IF(CH289=0,0,HLOOKUP(CH$14,Villagers!$B$1:$V$33,CH289+3,FALSE)),)</f>
        <v>0</v>
      </c>
      <c r="DD289" s="14">
        <f>ROUND(IF(CI289=0,0,HLOOKUP(CI$14,Villagers!$B$1:$V$33,CI289+3,FALSE)),)</f>
        <v>0</v>
      </c>
      <c r="DE289" s="14">
        <f>ROUND(IF(CJ289=0,0,HLOOKUP(CJ$14,Villagers!$B$1:$V$33,CJ289+3,FALSE)),)</f>
        <v>2</v>
      </c>
      <c r="DF289" s="370">
        <f>ROUND(IF(CK289=0,0,HLOOKUP(CK$14,Villagers!$B$1:$V$33,CK289+3,FALSE)),)</f>
        <v>0</v>
      </c>
      <c r="DG289" s="370">
        <f>ROUND(IF(CL289=0,0,HLOOKUP(CL$14,Villagers!$B$1:$V$33,CL289+3,FALSE)),)</f>
        <v>0</v>
      </c>
      <c r="DH289" s="34">
        <f>ROUND(IF(CM289=0,0,HLOOKUP(CM$14,Villagers!$B$1:$V$33,CM289+3,FALSE)),)</f>
        <v>0</v>
      </c>
      <c r="DI289" s="109">
        <f t="shared" si="426"/>
        <v>0</v>
      </c>
      <c r="DJ289" s="50">
        <f t="shared" si="427"/>
        <v>0</v>
      </c>
      <c r="DK289" s="50">
        <f t="shared" si="428"/>
        <v>0</v>
      </c>
      <c r="DL289" s="50">
        <f t="shared" si="429"/>
        <v>0</v>
      </c>
      <c r="DM289" s="50">
        <f t="shared" si="430"/>
        <v>0</v>
      </c>
      <c r="DN289" s="50">
        <f t="shared" si="431"/>
        <v>0</v>
      </c>
      <c r="DO289" s="50">
        <f t="shared" si="432"/>
        <v>0</v>
      </c>
      <c r="DP289" s="50">
        <f t="shared" si="433"/>
        <v>0</v>
      </c>
      <c r="DQ289" s="50">
        <f t="shared" si="411"/>
        <v>0</v>
      </c>
      <c r="DR289" s="50">
        <f t="shared" si="412"/>
        <v>0</v>
      </c>
      <c r="DS289" s="96">
        <f>Miscelaneous!$D$4*Miscelaneous!$D$2^($CI289-1)</f>
        <v>1000</v>
      </c>
      <c r="DT289" s="333">
        <f t="shared" si="393"/>
        <v>1</v>
      </c>
      <c r="DU289" s="81">
        <v>1</v>
      </c>
      <c r="DV289" s="79">
        <f t="shared" si="413"/>
        <v>0</v>
      </c>
      <c r="DW289" s="79">
        <f t="shared" si="414"/>
        <v>0</v>
      </c>
      <c r="DX289" s="79">
        <f t="shared" si="415"/>
        <v>0</v>
      </c>
      <c r="DY289" s="79">
        <v>1</v>
      </c>
      <c r="DZ289" s="79">
        <f t="shared" si="416"/>
        <v>0</v>
      </c>
      <c r="EA289" s="79">
        <f t="shared" si="417"/>
        <v>0</v>
      </c>
      <c r="EB289" s="79">
        <f t="shared" si="418"/>
        <v>0</v>
      </c>
      <c r="EC289" s="79">
        <f t="shared" si="419"/>
        <v>0</v>
      </c>
      <c r="ED289" s="79">
        <v>1</v>
      </c>
      <c r="EE289" s="79">
        <v>1</v>
      </c>
      <c r="EF289" s="79">
        <f t="shared" si="420"/>
        <v>0</v>
      </c>
      <c r="EG289" s="79">
        <v>1</v>
      </c>
      <c r="EH289" s="79">
        <v>1</v>
      </c>
      <c r="EI289" s="79">
        <v>1</v>
      </c>
      <c r="EJ289" s="79">
        <v>1</v>
      </c>
      <c r="EK289" s="79">
        <v>1</v>
      </c>
      <c r="EL289" s="79">
        <v>1</v>
      </c>
      <c r="EM289" s="143">
        <f t="shared" si="421"/>
        <v>0</v>
      </c>
      <c r="EN289" s="143">
        <f t="shared" si="422"/>
        <v>0</v>
      </c>
      <c r="EO289" s="82">
        <f t="shared" si="423"/>
        <v>0</v>
      </c>
    </row>
    <row r="290" spans="1:145" x14ac:dyDescent="0.25">
      <c r="A290">
        <v>276</v>
      </c>
      <c r="B290" s="172" t="e">
        <f t="shared" si="394"/>
        <v>#N/A</v>
      </c>
      <c r="C290" s="121" t="e">
        <f t="shared" si="373"/>
        <v>#N/A</v>
      </c>
      <c r="D290" s="122" t="e">
        <f t="shared" si="374"/>
        <v>#N/A</v>
      </c>
      <c r="E290" s="122" t="e">
        <f t="shared" si="375"/>
        <v>#N/A</v>
      </c>
      <c r="F290" s="176" t="e">
        <f t="shared" si="376"/>
        <v>#N/A</v>
      </c>
      <c r="G290" s="121">
        <f t="shared" si="395"/>
        <v>208</v>
      </c>
      <c r="H290" s="176" t="e">
        <f t="shared" si="396"/>
        <v>#N/A</v>
      </c>
      <c r="I290" s="48">
        <v>1</v>
      </c>
      <c r="J290" s="39"/>
      <c r="K290" s="350">
        <v>1</v>
      </c>
      <c r="L290" s="34" t="e">
        <f t="shared" si="377"/>
        <v>#N/A</v>
      </c>
      <c r="M290" s="38" t="e">
        <f>(HLOOKUP(J290,'Construction Times'!$B$3:$W$34,L290+2,FALSE)*HLOOKUP("hq modifier",'Construction Times'!$W$3:$W$34,BS290+2,FALSE))*(1-$H$9)</f>
        <v>#N/A</v>
      </c>
      <c r="N290" s="443" t="e">
        <f t="shared" si="397"/>
        <v>#N/A</v>
      </c>
      <c r="O290" s="444"/>
      <c r="P290" s="447" t="e">
        <f t="shared" si="398"/>
        <v>#N/A</v>
      </c>
      <c r="Q290" s="448"/>
      <c r="R290" s="103">
        <f t="shared" si="424"/>
        <v>0</v>
      </c>
      <c r="S290" s="104">
        <f t="shared" si="424"/>
        <v>0</v>
      </c>
      <c r="T290" s="104">
        <f t="shared" si="425"/>
        <v>0</v>
      </c>
      <c r="U290" s="104">
        <f t="shared" si="425"/>
        <v>0</v>
      </c>
      <c r="V290" s="104">
        <f t="shared" si="425"/>
        <v>9.9999999999999995E-8</v>
      </c>
      <c r="W290" s="104">
        <f t="shared" si="425"/>
        <v>0</v>
      </c>
      <c r="X290" s="104">
        <f t="shared" si="365"/>
        <v>0</v>
      </c>
      <c r="Y290" s="104">
        <f t="shared" si="365"/>
        <v>9.9999999999999995E-8</v>
      </c>
      <c r="Z290" s="104">
        <f t="shared" si="365"/>
        <v>9.9999999999999995E-8</v>
      </c>
      <c r="AA290" s="105">
        <f t="shared" si="365"/>
        <v>9.9999999999999995E-8</v>
      </c>
      <c r="AB290" s="101" t="e">
        <f>$DT290*HLOOKUP($J290,'Construction Costs (timber)'!$B$1:$V$32,'Construction Planner'!$L290+2,FALSE)</f>
        <v>#N/A</v>
      </c>
      <c r="AC290" s="14" t="e">
        <f>$DT290*HLOOKUP($J290,'Construction Costs (clay)'!$B$1:$V$32,'Construction Planner'!$L290+2,FALSE)</f>
        <v>#N/A</v>
      </c>
      <c r="AD290" s="14" t="e">
        <f>$DT290*HLOOKUP($J290,'Construction Costs (iron)'!$B$1:$V$32,'Construction Planner'!$L290+2,FALSE)</f>
        <v>#N/A</v>
      </c>
      <c r="AE290" s="34" t="e">
        <f t="shared" si="434"/>
        <v>#N/A</v>
      </c>
      <c r="AF290" s="33" t="e">
        <f t="shared" si="378"/>
        <v>#N/A</v>
      </c>
      <c r="AG290" s="14" t="e">
        <f t="shared" si="379"/>
        <v>#N/A</v>
      </c>
      <c r="AH290" s="14" t="e">
        <f t="shared" si="380"/>
        <v>#N/A</v>
      </c>
      <c r="AI290" s="34" t="e">
        <f t="shared" si="435"/>
        <v>#N/A</v>
      </c>
      <c r="AJ290" s="49" t="e">
        <f t="shared" si="399"/>
        <v>#N/A</v>
      </c>
      <c r="AK290" s="49" t="e">
        <f t="shared" si="400"/>
        <v>#N/A</v>
      </c>
      <c r="AL290" s="49" t="e">
        <f t="shared" si="401"/>
        <v>#N/A</v>
      </c>
      <c r="AM290" s="25">
        <f t="shared" si="381"/>
        <v>30</v>
      </c>
      <c r="AN290" s="25">
        <f t="shared" si="382"/>
        <v>30</v>
      </c>
      <c r="AO290" s="25">
        <f t="shared" si="383"/>
        <v>30</v>
      </c>
      <c r="AP290" s="52" t="e">
        <f t="shared" si="402"/>
        <v>#N/A</v>
      </c>
      <c r="AQ290" s="53" t="e">
        <f t="shared" si="402"/>
        <v>#N/A</v>
      </c>
      <c r="AR290" s="54" t="e">
        <f t="shared" si="402"/>
        <v>#N/A</v>
      </c>
      <c r="AS290" s="316">
        <f t="shared" si="436"/>
        <v>0</v>
      </c>
      <c r="AT290" s="106">
        <f>_xlfn.IFNA($M290/VLOOKUP($BT290,'Unit information'!$A$2:$K$29,2,FALSE)*R290,0)*(1+$E$9)</f>
        <v>0</v>
      </c>
      <c r="AU290" s="107">
        <f>_xlfn.IFNA($M290/VLOOKUP($BT290,'Unit information'!$A$2:$K$29,3,FALSE)*S290,0)*(1+$E$9)</f>
        <v>0</v>
      </c>
      <c r="AV290" s="107">
        <f>_xlfn.IFNA($M290/VLOOKUP($BT290,'Unit information'!$A$2:$K$29,4,FALSE)*T290,0)*(1+$E$9)</f>
        <v>0</v>
      </c>
      <c r="AW290" s="107">
        <f>_xlfn.IFNA($M290/VLOOKUP($BT290,'Unit information'!$A$2:$K$29,5,FALSE)*U290,0)*(1+$E$9)</f>
        <v>0</v>
      </c>
      <c r="AX290" s="107">
        <f>_xlfn.IFNA($M290/VLOOKUP($BU290,'Unit information'!$A$2:$K$29,6,FALSE)*V290,0)*(1+$E$9)</f>
        <v>0</v>
      </c>
      <c r="AY290" s="107">
        <f>_xlfn.IFNA($M290/VLOOKUP($BU290,'Unit information'!$A$2:$K$29,7,FALSE)*W290,0)*(1+$E$9)</f>
        <v>0</v>
      </c>
      <c r="AZ290" s="107">
        <f>_xlfn.IFNA($M290/VLOOKUP($BU290,'Unit information'!$A$2:$K$29,8,FALSE)*X290,0)*(1+$E$9)</f>
        <v>0</v>
      </c>
      <c r="BA290" s="107">
        <f>_xlfn.IFNA($M290/VLOOKUP($BU290,'Unit information'!$A$2:$K$29,9,FALSE)*Y290,0)*(1+$E$9)</f>
        <v>0</v>
      </c>
      <c r="BB290" s="107">
        <f>_xlfn.IFNA($M290/VLOOKUP($BV290,'Unit information'!$A$2:$K$29,10,FALSE)*Z290,0)*(1+$E$9)</f>
        <v>0</v>
      </c>
      <c r="BC290" s="108">
        <f>_xlfn.IFNA($M290/VLOOKUP($BV290,'Unit information'!$A$2:$K$29,11,FALSE)*AA290,0)*(1+$E$9)</f>
        <v>0</v>
      </c>
      <c r="BD290" s="106">
        <f t="shared" si="384"/>
        <v>0</v>
      </c>
      <c r="BE290" s="107">
        <f t="shared" si="385"/>
        <v>0</v>
      </c>
      <c r="BF290" s="108">
        <f t="shared" si="386"/>
        <v>0</v>
      </c>
      <c r="BG290" s="25" t="e">
        <f t="shared" si="387"/>
        <v>#N/A</v>
      </c>
      <c r="BH290" s="25" t="e">
        <f t="shared" si="388"/>
        <v>#N/A</v>
      </c>
      <c r="BI290" s="25" t="e">
        <f t="shared" si="389"/>
        <v>#N/A</v>
      </c>
      <c r="BJ290" s="27" t="e">
        <f t="shared" si="390"/>
        <v>#N/A</v>
      </c>
      <c r="BK290" s="18" t="e">
        <f t="shared" si="391"/>
        <v>#N/A</v>
      </c>
      <c r="BL290" s="18" t="e">
        <f t="shared" si="392"/>
        <v>#N/A</v>
      </c>
      <c r="BM290" s="28" t="e">
        <f t="shared" si="437"/>
        <v>#N/A</v>
      </c>
      <c r="BN290" s="33">
        <f>HLOOKUP("maximum population",Miscelaneous!$C$1:$C$33,CH290+3,FALSE)</f>
        <v>240</v>
      </c>
      <c r="BO290" s="14">
        <f t="shared" si="403"/>
        <v>32</v>
      </c>
      <c r="BP290" s="14">
        <f t="shared" si="404"/>
        <v>0</v>
      </c>
      <c r="BQ290" s="14">
        <f t="shared" si="405"/>
        <v>208</v>
      </c>
      <c r="BR290" s="34" t="e">
        <f>HLOOKUP(J290,Villagers!$B$1:$V$33,L290+3,FALSE)-HLOOKUP(J290,Villagers!$B$1:$V$33,L290+2,FALSE)</f>
        <v>#N/A</v>
      </c>
      <c r="BS290" s="49">
        <f t="shared" si="406"/>
        <v>1</v>
      </c>
      <c r="BT290" s="50">
        <f t="shared" si="407"/>
        <v>0</v>
      </c>
      <c r="BU290" s="50">
        <f t="shared" si="408"/>
        <v>0</v>
      </c>
      <c r="BV290" s="50">
        <f t="shared" si="409"/>
        <v>0</v>
      </c>
      <c r="BW290" s="50">
        <f t="shared" si="451"/>
        <v>0</v>
      </c>
      <c r="BX290" s="50">
        <f t="shared" si="451"/>
        <v>0</v>
      </c>
      <c r="BY290" s="50">
        <f t="shared" si="451"/>
        <v>0</v>
      </c>
      <c r="BZ290" s="50">
        <f t="shared" si="440"/>
        <v>0</v>
      </c>
      <c r="CA290" s="50">
        <f t="shared" si="441"/>
        <v>0</v>
      </c>
      <c r="CB290" s="50">
        <f t="shared" si="442"/>
        <v>1</v>
      </c>
      <c r="CC290" s="50">
        <f t="shared" si="443"/>
        <v>0</v>
      </c>
      <c r="CD290" s="50">
        <f t="shared" si="444"/>
        <v>0</v>
      </c>
      <c r="CE290" s="50">
        <f t="shared" si="445"/>
        <v>1</v>
      </c>
      <c r="CF290" s="50">
        <f t="shared" si="446"/>
        <v>1</v>
      </c>
      <c r="CG290" s="50">
        <f t="shared" si="447"/>
        <v>1</v>
      </c>
      <c r="CH290" s="50">
        <f t="shared" si="448"/>
        <v>1</v>
      </c>
      <c r="CI290" s="50">
        <f t="shared" si="449"/>
        <v>1</v>
      </c>
      <c r="CJ290" s="50">
        <f t="shared" si="450"/>
        <v>1</v>
      </c>
      <c r="CK290" s="50">
        <f t="shared" si="450"/>
        <v>0</v>
      </c>
      <c r="CL290" s="50">
        <f t="shared" si="450"/>
        <v>0</v>
      </c>
      <c r="CM290" s="51">
        <f t="shared" si="368"/>
        <v>0</v>
      </c>
      <c r="CN290" s="33">
        <f>ROUND(IF(BS290=0,0,HLOOKUP(BS$14,Villagers!$B$1:$V$33,BS290+3,FALSE)),)</f>
        <v>5</v>
      </c>
      <c r="CO290" s="14">
        <f>ROUND(IF(BT290=0,0,HLOOKUP(BT$14,Villagers!$B$1:$V$33,BT290+3,FALSE)),)</f>
        <v>0</v>
      </c>
      <c r="CP290" s="14">
        <f>ROUND(IF(BU290=0,0,HLOOKUP(BU$14,Villagers!$B$1:$V$33,BU290+3,FALSE)),)</f>
        <v>0</v>
      </c>
      <c r="CQ290" s="14">
        <f>ROUND(IF(BV290=0,0,HLOOKUP(BV$14,Villagers!$B$1:$V$33,BV290+3,FALSE)),)</f>
        <v>0</v>
      </c>
      <c r="CR290" s="14">
        <f>ROUND(IF(BW290=0,0,HLOOKUP(BW$14,Villagers!$B$1:$V$33,BW290+3,FALSE)),)</f>
        <v>0</v>
      </c>
      <c r="CS290" s="14">
        <f>ROUND(IF(BX290=0,0,HLOOKUP(BX$14,Villagers!$B$1:$V$33,BX290+3,FALSE)),)</f>
        <v>0</v>
      </c>
      <c r="CT290" s="14">
        <f>ROUND(IF(BY290=0,0,HLOOKUP(BY$14,Villagers!$B$1:$V$33,BY290+3,FALSE)),)</f>
        <v>0</v>
      </c>
      <c r="CU290" s="14">
        <f>ROUND(IF(BZ290=0,0,HLOOKUP(BZ$14,Villagers!$B$1:$V$33,BZ290+3,FALSE)),)</f>
        <v>0</v>
      </c>
      <c r="CV290" s="14">
        <f>ROUND(IF(CA290=0,0,HLOOKUP(CA$14,Villagers!$B$1:$V$33,CA290+3,FALSE)),)</f>
        <v>0</v>
      </c>
      <c r="CW290" s="14">
        <f>ROUND(IF(CB290=0,0,HLOOKUP(CB$14,Villagers!$B$1:$V$33,CB290+3,FALSE)),)</f>
        <v>0</v>
      </c>
      <c r="CX290" s="14">
        <f>ROUND(IF(CC290=0,0,HLOOKUP(CC$14,Villagers!$B$1:$V$33,CC290+3,FALSE)),)</f>
        <v>0</v>
      </c>
      <c r="CY290" s="14">
        <f>ROUND(IF(CD290=0,0,HLOOKUP(CD$14,Villagers!$B$1:$V$33,CD290+3,FALSE)),)</f>
        <v>0</v>
      </c>
      <c r="CZ290" s="14">
        <f>ROUND(IF(CE290=0,0,HLOOKUP(CE$14,Villagers!$B$1:$V$33,CE290+3,FALSE)),)</f>
        <v>5</v>
      </c>
      <c r="DA290" s="14">
        <f>ROUND(IF(CF290=0,0,HLOOKUP(CF$14,Villagers!$B$1:$V$33,CF290+3,FALSE)),)</f>
        <v>10</v>
      </c>
      <c r="DB290" s="14">
        <f>ROUND(IF(CG290=0,0,HLOOKUP(CG$14,Villagers!$B$1:$V$33,CG290+3,FALSE)),)</f>
        <v>10</v>
      </c>
      <c r="DC290" s="14">
        <f>ROUND(IF(CH290=0,0,HLOOKUP(CH$14,Villagers!$B$1:$V$33,CH290+3,FALSE)),)</f>
        <v>0</v>
      </c>
      <c r="DD290" s="14">
        <f>ROUND(IF(CI290=0,0,HLOOKUP(CI$14,Villagers!$B$1:$V$33,CI290+3,FALSE)),)</f>
        <v>0</v>
      </c>
      <c r="DE290" s="14">
        <f>ROUND(IF(CJ290=0,0,HLOOKUP(CJ$14,Villagers!$B$1:$V$33,CJ290+3,FALSE)),)</f>
        <v>2</v>
      </c>
      <c r="DF290" s="370">
        <f>ROUND(IF(CK290=0,0,HLOOKUP(CK$14,Villagers!$B$1:$V$33,CK290+3,FALSE)),)</f>
        <v>0</v>
      </c>
      <c r="DG290" s="370">
        <f>ROUND(IF(CL290=0,0,HLOOKUP(CL$14,Villagers!$B$1:$V$33,CL290+3,FALSE)),)</f>
        <v>0</v>
      </c>
      <c r="DH290" s="34">
        <f>ROUND(IF(CM290=0,0,HLOOKUP(CM$14,Villagers!$B$1:$V$33,CM290+3,FALSE)),)</f>
        <v>0</v>
      </c>
      <c r="DI290" s="109">
        <f t="shared" si="426"/>
        <v>0</v>
      </c>
      <c r="DJ290" s="50">
        <f t="shared" si="427"/>
        <v>0</v>
      </c>
      <c r="DK290" s="50">
        <f t="shared" si="428"/>
        <v>0</v>
      </c>
      <c r="DL290" s="50">
        <f t="shared" si="429"/>
        <v>0</v>
      </c>
      <c r="DM290" s="50">
        <f t="shared" si="430"/>
        <v>0</v>
      </c>
      <c r="DN290" s="50">
        <f t="shared" si="431"/>
        <v>0</v>
      </c>
      <c r="DO290" s="50">
        <f t="shared" si="432"/>
        <v>0</v>
      </c>
      <c r="DP290" s="50">
        <f t="shared" si="433"/>
        <v>0</v>
      </c>
      <c r="DQ290" s="50">
        <f t="shared" si="411"/>
        <v>0</v>
      </c>
      <c r="DR290" s="50">
        <f t="shared" si="412"/>
        <v>0</v>
      </c>
      <c r="DS290" s="96">
        <f>Miscelaneous!$D$4*Miscelaneous!$D$2^($CI290-1)</f>
        <v>1000</v>
      </c>
      <c r="DT290" s="333">
        <f t="shared" si="393"/>
        <v>1</v>
      </c>
      <c r="DU290" s="81">
        <v>1</v>
      </c>
      <c r="DV290" s="79">
        <f t="shared" si="413"/>
        <v>0</v>
      </c>
      <c r="DW290" s="79">
        <f t="shared" si="414"/>
        <v>0</v>
      </c>
      <c r="DX290" s="79">
        <f t="shared" si="415"/>
        <v>0</v>
      </c>
      <c r="DY290" s="79">
        <v>1</v>
      </c>
      <c r="DZ290" s="79">
        <f t="shared" si="416"/>
        <v>0</v>
      </c>
      <c r="EA290" s="79">
        <f t="shared" si="417"/>
        <v>0</v>
      </c>
      <c r="EB290" s="79">
        <f t="shared" si="418"/>
        <v>0</v>
      </c>
      <c r="EC290" s="79">
        <f t="shared" si="419"/>
        <v>0</v>
      </c>
      <c r="ED290" s="79">
        <v>1</v>
      </c>
      <c r="EE290" s="79">
        <v>1</v>
      </c>
      <c r="EF290" s="79">
        <f t="shared" si="420"/>
        <v>0</v>
      </c>
      <c r="EG290" s="79">
        <v>1</v>
      </c>
      <c r="EH290" s="79">
        <v>1</v>
      </c>
      <c r="EI290" s="79">
        <v>1</v>
      </c>
      <c r="EJ290" s="79">
        <v>1</v>
      </c>
      <c r="EK290" s="79">
        <v>1</v>
      </c>
      <c r="EL290" s="79">
        <v>1</v>
      </c>
      <c r="EM290" s="143">
        <f t="shared" si="421"/>
        <v>0</v>
      </c>
      <c r="EN290" s="143">
        <f t="shared" si="422"/>
        <v>0</v>
      </c>
      <c r="EO290" s="82">
        <f t="shared" si="423"/>
        <v>0</v>
      </c>
    </row>
    <row r="291" spans="1:145" x14ac:dyDescent="0.25">
      <c r="A291">
        <v>277</v>
      </c>
      <c r="B291" s="172" t="e">
        <f t="shared" si="394"/>
        <v>#N/A</v>
      </c>
      <c r="C291" s="121" t="e">
        <f t="shared" si="373"/>
        <v>#N/A</v>
      </c>
      <c r="D291" s="122" t="e">
        <f t="shared" si="374"/>
        <v>#N/A</v>
      </c>
      <c r="E291" s="122" t="e">
        <f t="shared" si="375"/>
        <v>#N/A</v>
      </c>
      <c r="F291" s="176" t="e">
        <f t="shared" si="376"/>
        <v>#N/A</v>
      </c>
      <c r="G291" s="121">
        <f t="shared" si="395"/>
        <v>208</v>
      </c>
      <c r="H291" s="176" t="e">
        <f t="shared" si="396"/>
        <v>#N/A</v>
      </c>
      <c r="I291" s="48">
        <v>1</v>
      </c>
      <c r="J291" s="39"/>
      <c r="K291" s="350">
        <v>1</v>
      </c>
      <c r="L291" s="34" t="e">
        <f t="shared" si="377"/>
        <v>#N/A</v>
      </c>
      <c r="M291" s="38" t="e">
        <f>(HLOOKUP(J291,'Construction Times'!$B$3:$W$34,L291+2,FALSE)*HLOOKUP("hq modifier",'Construction Times'!$W$3:$W$34,BS291+2,FALSE))*(1-$H$9)</f>
        <v>#N/A</v>
      </c>
      <c r="N291" s="443" t="e">
        <f t="shared" si="397"/>
        <v>#N/A</v>
      </c>
      <c r="O291" s="444"/>
      <c r="P291" s="447" t="e">
        <f t="shared" si="398"/>
        <v>#N/A</v>
      </c>
      <c r="Q291" s="448"/>
      <c r="R291" s="103">
        <f t="shared" si="424"/>
        <v>0</v>
      </c>
      <c r="S291" s="104">
        <f t="shared" si="424"/>
        <v>0</v>
      </c>
      <c r="T291" s="104">
        <f t="shared" si="425"/>
        <v>0</v>
      </c>
      <c r="U291" s="104">
        <f t="shared" si="425"/>
        <v>0</v>
      </c>
      <c r="V291" s="104">
        <f t="shared" si="425"/>
        <v>9.9999999999999995E-8</v>
      </c>
      <c r="W291" s="104">
        <f t="shared" si="425"/>
        <v>0</v>
      </c>
      <c r="X291" s="104">
        <f t="shared" si="365"/>
        <v>0</v>
      </c>
      <c r="Y291" s="104">
        <f t="shared" si="365"/>
        <v>9.9999999999999995E-8</v>
      </c>
      <c r="Z291" s="104">
        <f t="shared" si="365"/>
        <v>9.9999999999999995E-8</v>
      </c>
      <c r="AA291" s="105">
        <f t="shared" si="365"/>
        <v>9.9999999999999995E-8</v>
      </c>
      <c r="AB291" s="101" t="e">
        <f>$DT291*HLOOKUP($J291,'Construction Costs (timber)'!$B$1:$V$32,'Construction Planner'!$L291+2,FALSE)</f>
        <v>#N/A</v>
      </c>
      <c r="AC291" s="14" t="e">
        <f>$DT291*HLOOKUP($J291,'Construction Costs (clay)'!$B$1:$V$32,'Construction Planner'!$L291+2,FALSE)</f>
        <v>#N/A</v>
      </c>
      <c r="AD291" s="14" t="e">
        <f>$DT291*HLOOKUP($J291,'Construction Costs (iron)'!$B$1:$V$32,'Construction Planner'!$L291+2,FALSE)</f>
        <v>#N/A</v>
      </c>
      <c r="AE291" s="34" t="e">
        <f t="shared" si="434"/>
        <v>#N/A</v>
      </c>
      <c r="AF291" s="33" t="e">
        <f t="shared" si="378"/>
        <v>#N/A</v>
      </c>
      <c r="AG291" s="14" t="e">
        <f t="shared" si="379"/>
        <v>#N/A</v>
      </c>
      <c r="AH291" s="14" t="e">
        <f t="shared" si="380"/>
        <v>#N/A</v>
      </c>
      <c r="AI291" s="34" t="e">
        <f t="shared" si="435"/>
        <v>#N/A</v>
      </c>
      <c r="AJ291" s="49" t="e">
        <f t="shared" si="399"/>
        <v>#N/A</v>
      </c>
      <c r="AK291" s="49" t="e">
        <f t="shared" si="400"/>
        <v>#N/A</v>
      </c>
      <c r="AL291" s="49" t="e">
        <f t="shared" si="401"/>
        <v>#N/A</v>
      </c>
      <c r="AM291" s="25">
        <f t="shared" si="381"/>
        <v>30</v>
      </c>
      <c r="AN291" s="25">
        <f t="shared" si="382"/>
        <v>30</v>
      </c>
      <c r="AO291" s="25">
        <f t="shared" si="383"/>
        <v>30</v>
      </c>
      <c r="AP291" s="52" t="e">
        <f t="shared" si="402"/>
        <v>#N/A</v>
      </c>
      <c r="AQ291" s="53" t="e">
        <f t="shared" si="402"/>
        <v>#N/A</v>
      </c>
      <c r="AR291" s="54" t="e">
        <f t="shared" si="402"/>
        <v>#N/A</v>
      </c>
      <c r="AS291" s="316">
        <f t="shared" si="436"/>
        <v>0</v>
      </c>
      <c r="AT291" s="106">
        <f>_xlfn.IFNA($M291/VLOOKUP($BT291,'Unit information'!$A$2:$K$29,2,FALSE)*R291,0)*(1+$E$9)</f>
        <v>0</v>
      </c>
      <c r="AU291" s="107">
        <f>_xlfn.IFNA($M291/VLOOKUP($BT291,'Unit information'!$A$2:$K$29,3,FALSE)*S291,0)*(1+$E$9)</f>
        <v>0</v>
      </c>
      <c r="AV291" s="107">
        <f>_xlfn.IFNA($M291/VLOOKUP($BT291,'Unit information'!$A$2:$K$29,4,FALSE)*T291,0)*(1+$E$9)</f>
        <v>0</v>
      </c>
      <c r="AW291" s="107">
        <f>_xlfn.IFNA($M291/VLOOKUP($BT291,'Unit information'!$A$2:$K$29,5,FALSE)*U291,0)*(1+$E$9)</f>
        <v>0</v>
      </c>
      <c r="AX291" s="107">
        <f>_xlfn.IFNA($M291/VLOOKUP($BU291,'Unit information'!$A$2:$K$29,6,FALSE)*V291,0)*(1+$E$9)</f>
        <v>0</v>
      </c>
      <c r="AY291" s="107">
        <f>_xlfn.IFNA($M291/VLOOKUP($BU291,'Unit information'!$A$2:$K$29,7,FALSE)*W291,0)*(1+$E$9)</f>
        <v>0</v>
      </c>
      <c r="AZ291" s="107">
        <f>_xlfn.IFNA($M291/VLOOKUP($BU291,'Unit information'!$A$2:$K$29,8,FALSE)*X291,0)*(1+$E$9)</f>
        <v>0</v>
      </c>
      <c r="BA291" s="107">
        <f>_xlfn.IFNA($M291/VLOOKUP($BU291,'Unit information'!$A$2:$K$29,9,FALSE)*Y291,0)*(1+$E$9)</f>
        <v>0</v>
      </c>
      <c r="BB291" s="107">
        <f>_xlfn.IFNA($M291/VLOOKUP($BV291,'Unit information'!$A$2:$K$29,10,FALSE)*Z291,0)*(1+$E$9)</f>
        <v>0</v>
      </c>
      <c r="BC291" s="108">
        <f>_xlfn.IFNA($M291/VLOOKUP($BV291,'Unit information'!$A$2:$K$29,11,FALSE)*AA291,0)*(1+$E$9)</f>
        <v>0</v>
      </c>
      <c r="BD291" s="106">
        <f t="shared" si="384"/>
        <v>0</v>
      </c>
      <c r="BE291" s="107">
        <f t="shared" si="385"/>
        <v>0</v>
      </c>
      <c r="BF291" s="108">
        <f t="shared" si="386"/>
        <v>0</v>
      </c>
      <c r="BG291" s="25" t="e">
        <f t="shared" si="387"/>
        <v>#N/A</v>
      </c>
      <c r="BH291" s="25" t="e">
        <f t="shared" si="388"/>
        <v>#N/A</v>
      </c>
      <c r="BI291" s="25" t="e">
        <f t="shared" si="389"/>
        <v>#N/A</v>
      </c>
      <c r="BJ291" s="27" t="e">
        <f t="shared" si="390"/>
        <v>#N/A</v>
      </c>
      <c r="BK291" s="18" t="e">
        <f t="shared" si="391"/>
        <v>#N/A</v>
      </c>
      <c r="BL291" s="18" t="e">
        <f t="shared" si="392"/>
        <v>#N/A</v>
      </c>
      <c r="BM291" s="28" t="e">
        <f t="shared" si="437"/>
        <v>#N/A</v>
      </c>
      <c r="BN291" s="33">
        <f>HLOOKUP("maximum population",Miscelaneous!$C$1:$C$33,CH291+3,FALSE)</f>
        <v>240</v>
      </c>
      <c r="BO291" s="14">
        <f t="shared" si="403"/>
        <v>32</v>
      </c>
      <c r="BP291" s="14">
        <f t="shared" si="404"/>
        <v>0</v>
      </c>
      <c r="BQ291" s="14">
        <f t="shared" si="405"/>
        <v>208</v>
      </c>
      <c r="BR291" s="34" t="e">
        <f>HLOOKUP(J291,Villagers!$B$1:$V$33,L291+3,FALSE)-HLOOKUP(J291,Villagers!$B$1:$V$33,L291+2,FALSE)</f>
        <v>#N/A</v>
      </c>
      <c r="BS291" s="49">
        <f t="shared" si="406"/>
        <v>1</v>
      </c>
      <c r="BT291" s="50">
        <f t="shared" si="407"/>
        <v>0</v>
      </c>
      <c r="BU291" s="50">
        <f t="shared" si="408"/>
        <v>0</v>
      </c>
      <c r="BV291" s="50">
        <f t="shared" si="409"/>
        <v>0</v>
      </c>
      <c r="BW291" s="50">
        <f t="shared" si="451"/>
        <v>0</v>
      </c>
      <c r="BX291" s="50">
        <f t="shared" si="451"/>
        <v>0</v>
      </c>
      <c r="BY291" s="50">
        <f t="shared" si="451"/>
        <v>0</v>
      </c>
      <c r="BZ291" s="50">
        <f t="shared" si="440"/>
        <v>0</v>
      </c>
      <c r="CA291" s="50">
        <f t="shared" si="441"/>
        <v>0</v>
      </c>
      <c r="CB291" s="50">
        <f t="shared" si="442"/>
        <v>1</v>
      </c>
      <c r="CC291" s="50">
        <f t="shared" si="443"/>
        <v>0</v>
      </c>
      <c r="CD291" s="50">
        <f t="shared" si="444"/>
        <v>0</v>
      </c>
      <c r="CE291" s="50">
        <f t="shared" si="445"/>
        <v>1</v>
      </c>
      <c r="CF291" s="50">
        <f t="shared" si="446"/>
        <v>1</v>
      </c>
      <c r="CG291" s="50">
        <f t="shared" si="447"/>
        <v>1</v>
      </c>
      <c r="CH291" s="50">
        <f t="shared" si="448"/>
        <v>1</v>
      </c>
      <c r="CI291" s="50">
        <f t="shared" si="449"/>
        <v>1</v>
      </c>
      <c r="CJ291" s="50">
        <f t="shared" si="450"/>
        <v>1</v>
      </c>
      <c r="CK291" s="50">
        <f t="shared" si="450"/>
        <v>0</v>
      </c>
      <c r="CL291" s="50">
        <f t="shared" si="450"/>
        <v>0</v>
      </c>
      <c r="CM291" s="51">
        <f t="shared" si="368"/>
        <v>0</v>
      </c>
      <c r="CN291" s="33">
        <f>ROUND(IF(BS291=0,0,HLOOKUP(BS$14,Villagers!$B$1:$V$33,BS291+3,FALSE)),)</f>
        <v>5</v>
      </c>
      <c r="CO291" s="14">
        <f>ROUND(IF(BT291=0,0,HLOOKUP(BT$14,Villagers!$B$1:$V$33,BT291+3,FALSE)),)</f>
        <v>0</v>
      </c>
      <c r="CP291" s="14">
        <f>ROUND(IF(BU291=0,0,HLOOKUP(BU$14,Villagers!$B$1:$V$33,BU291+3,FALSE)),)</f>
        <v>0</v>
      </c>
      <c r="CQ291" s="14">
        <f>ROUND(IF(BV291=0,0,HLOOKUP(BV$14,Villagers!$B$1:$V$33,BV291+3,FALSE)),)</f>
        <v>0</v>
      </c>
      <c r="CR291" s="14">
        <f>ROUND(IF(BW291=0,0,HLOOKUP(BW$14,Villagers!$B$1:$V$33,BW291+3,FALSE)),)</f>
        <v>0</v>
      </c>
      <c r="CS291" s="14">
        <f>ROUND(IF(BX291=0,0,HLOOKUP(BX$14,Villagers!$B$1:$V$33,BX291+3,FALSE)),)</f>
        <v>0</v>
      </c>
      <c r="CT291" s="14">
        <f>ROUND(IF(BY291=0,0,HLOOKUP(BY$14,Villagers!$B$1:$V$33,BY291+3,FALSE)),)</f>
        <v>0</v>
      </c>
      <c r="CU291" s="14">
        <f>ROUND(IF(BZ291=0,0,HLOOKUP(BZ$14,Villagers!$B$1:$V$33,BZ291+3,FALSE)),)</f>
        <v>0</v>
      </c>
      <c r="CV291" s="14">
        <f>ROUND(IF(CA291=0,0,HLOOKUP(CA$14,Villagers!$B$1:$V$33,CA291+3,FALSE)),)</f>
        <v>0</v>
      </c>
      <c r="CW291" s="14">
        <f>ROUND(IF(CB291=0,0,HLOOKUP(CB$14,Villagers!$B$1:$V$33,CB291+3,FALSE)),)</f>
        <v>0</v>
      </c>
      <c r="CX291" s="14">
        <f>ROUND(IF(CC291=0,0,HLOOKUP(CC$14,Villagers!$B$1:$V$33,CC291+3,FALSE)),)</f>
        <v>0</v>
      </c>
      <c r="CY291" s="14">
        <f>ROUND(IF(CD291=0,0,HLOOKUP(CD$14,Villagers!$B$1:$V$33,CD291+3,FALSE)),)</f>
        <v>0</v>
      </c>
      <c r="CZ291" s="14">
        <f>ROUND(IF(CE291=0,0,HLOOKUP(CE$14,Villagers!$B$1:$V$33,CE291+3,FALSE)),)</f>
        <v>5</v>
      </c>
      <c r="DA291" s="14">
        <f>ROUND(IF(CF291=0,0,HLOOKUP(CF$14,Villagers!$B$1:$V$33,CF291+3,FALSE)),)</f>
        <v>10</v>
      </c>
      <c r="DB291" s="14">
        <f>ROUND(IF(CG291=0,0,HLOOKUP(CG$14,Villagers!$B$1:$V$33,CG291+3,FALSE)),)</f>
        <v>10</v>
      </c>
      <c r="DC291" s="14">
        <f>ROUND(IF(CH291=0,0,HLOOKUP(CH$14,Villagers!$B$1:$V$33,CH291+3,FALSE)),)</f>
        <v>0</v>
      </c>
      <c r="DD291" s="14">
        <f>ROUND(IF(CI291=0,0,HLOOKUP(CI$14,Villagers!$B$1:$V$33,CI291+3,FALSE)),)</f>
        <v>0</v>
      </c>
      <c r="DE291" s="14">
        <f>ROUND(IF(CJ291=0,0,HLOOKUP(CJ$14,Villagers!$B$1:$V$33,CJ291+3,FALSE)),)</f>
        <v>2</v>
      </c>
      <c r="DF291" s="370">
        <f>ROUND(IF(CK291=0,0,HLOOKUP(CK$14,Villagers!$B$1:$V$33,CK291+3,FALSE)),)</f>
        <v>0</v>
      </c>
      <c r="DG291" s="370">
        <f>ROUND(IF(CL291=0,0,HLOOKUP(CL$14,Villagers!$B$1:$V$33,CL291+3,FALSE)),)</f>
        <v>0</v>
      </c>
      <c r="DH291" s="34">
        <f>ROUND(IF(CM291=0,0,HLOOKUP(CM$14,Villagers!$B$1:$V$33,CM291+3,FALSE)),)</f>
        <v>0</v>
      </c>
      <c r="DI291" s="109">
        <f t="shared" si="426"/>
        <v>0</v>
      </c>
      <c r="DJ291" s="50">
        <f t="shared" si="427"/>
        <v>0</v>
      </c>
      <c r="DK291" s="50">
        <f t="shared" si="428"/>
        <v>0</v>
      </c>
      <c r="DL291" s="50">
        <f t="shared" si="429"/>
        <v>0</v>
      </c>
      <c r="DM291" s="50">
        <f t="shared" si="430"/>
        <v>0</v>
      </c>
      <c r="DN291" s="50">
        <f t="shared" si="431"/>
        <v>0</v>
      </c>
      <c r="DO291" s="50">
        <f t="shared" si="432"/>
        <v>0</v>
      </c>
      <c r="DP291" s="50">
        <f t="shared" si="433"/>
        <v>0</v>
      </c>
      <c r="DQ291" s="50">
        <f t="shared" si="411"/>
        <v>0</v>
      </c>
      <c r="DR291" s="50">
        <f t="shared" si="412"/>
        <v>0</v>
      </c>
      <c r="DS291" s="96">
        <f>Miscelaneous!$D$4*Miscelaneous!$D$2^($CI291-1)</f>
        <v>1000</v>
      </c>
      <c r="DT291" s="333">
        <f t="shared" si="393"/>
        <v>1</v>
      </c>
      <c r="DU291" s="81">
        <v>1</v>
      </c>
      <c r="DV291" s="79">
        <f t="shared" si="413"/>
        <v>0</v>
      </c>
      <c r="DW291" s="79">
        <f t="shared" si="414"/>
        <v>0</v>
      </c>
      <c r="DX291" s="79">
        <f t="shared" si="415"/>
        <v>0</v>
      </c>
      <c r="DY291" s="79">
        <v>1</v>
      </c>
      <c r="DZ291" s="79">
        <f t="shared" si="416"/>
        <v>0</v>
      </c>
      <c r="EA291" s="79">
        <f t="shared" si="417"/>
        <v>0</v>
      </c>
      <c r="EB291" s="79">
        <f t="shared" si="418"/>
        <v>0</v>
      </c>
      <c r="EC291" s="79">
        <f t="shared" si="419"/>
        <v>0</v>
      </c>
      <c r="ED291" s="79">
        <v>1</v>
      </c>
      <c r="EE291" s="79">
        <v>1</v>
      </c>
      <c r="EF291" s="79">
        <f t="shared" si="420"/>
        <v>0</v>
      </c>
      <c r="EG291" s="79">
        <v>1</v>
      </c>
      <c r="EH291" s="79">
        <v>1</v>
      </c>
      <c r="EI291" s="79">
        <v>1</v>
      </c>
      <c r="EJ291" s="79">
        <v>1</v>
      </c>
      <c r="EK291" s="79">
        <v>1</v>
      </c>
      <c r="EL291" s="79">
        <v>1</v>
      </c>
      <c r="EM291" s="143">
        <f t="shared" si="421"/>
        <v>0</v>
      </c>
      <c r="EN291" s="143">
        <f t="shared" si="422"/>
        <v>0</v>
      </c>
      <c r="EO291" s="82">
        <f t="shared" si="423"/>
        <v>0</v>
      </c>
    </row>
    <row r="292" spans="1:145" x14ac:dyDescent="0.25">
      <c r="A292">
        <v>278</v>
      </c>
      <c r="B292" s="172" t="e">
        <f t="shared" si="394"/>
        <v>#N/A</v>
      </c>
      <c r="C292" s="121" t="e">
        <f t="shared" si="373"/>
        <v>#N/A</v>
      </c>
      <c r="D292" s="122" t="e">
        <f t="shared" si="374"/>
        <v>#N/A</v>
      </c>
      <c r="E292" s="122" t="e">
        <f t="shared" si="375"/>
        <v>#N/A</v>
      </c>
      <c r="F292" s="176" t="e">
        <f t="shared" si="376"/>
        <v>#N/A</v>
      </c>
      <c r="G292" s="121">
        <f t="shared" si="395"/>
        <v>208</v>
      </c>
      <c r="H292" s="176" t="e">
        <f t="shared" si="396"/>
        <v>#N/A</v>
      </c>
      <c r="I292" s="48">
        <v>1</v>
      </c>
      <c r="J292" s="39"/>
      <c r="K292" s="350">
        <v>1</v>
      </c>
      <c r="L292" s="34" t="e">
        <f t="shared" si="377"/>
        <v>#N/A</v>
      </c>
      <c r="M292" s="38" t="e">
        <f>(HLOOKUP(J292,'Construction Times'!$B$3:$W$34,L292+2,FALSE)*HLOOKUP("hq modifier",'Construction Times'!$W$3:$W$34,BS292+2,FALSE))*(1-$H$9)</f>
        <v>#N/A</v>
      </c>
      <c r="N292" s="443" t="e">
        <f t="shared" si="397"/>
        <v>#N/A</v>
      </c>
      <c r="O292" s="444"/>
      <c r="P292" s="447" t="e">
        <f t="shared" si="398"/>
        <v>#N/A</v>
      </c>
      <c r="Q292" s="448"/>
      <c r="R292" s="103">
        <f t="shared" si="424"/>
        <v>0</v>
      </c>
      <c r="S292" s="104">
        <f t="shared" si="424"/>
        <v>0</v>
      </c>
      <c r="T292" s="104">
        <f t="shared" si="425"/>
        <v>0</v>
      </c>
      <c r="U292" s="104">
        <f t="shared" si="425"/>
        <v>0</v>
      </c>
      <c r="V292" s="104">
        <f t="shared" si="425"/>
        <v>9.9999999999999995E-8</v>
      </c>
      <c r="W292" s="104">
        <f t="shared" si="425"/>
        <v>0</v>
      </c>
      <c r="X292" s="104">
        <f t="shared" si="365"/>
        <v>0</v>
      </c>
      <c r="Y292" s="104">
        <f t="shared" si="365"/>
        <v>9.9999999999999995E-8</v>
      </c>
      <c r="Z292" s="104">
        <f t="shared" si="365"/>
        <v>9.9999999999999995E-8</v>
      </c>
      <c r="AA292" s="105">
        <f t="shared" si="365"/>
        <v>9.9999999999999995E-8</v>
      </c>
      <c r="AB292" s="101" t="e">
        <f>$DT292*HLOOKUP($J292,'Construction Costs (timber)'!$B$1:$V$32,'Construction Planner'!$L292+2,FALSE)</f>
        <v>#N/A</v>
      </c>
      <c r="AC292" s="14" t="e">
        <f>$DT292*HLOOKUP($J292,'Construction Costs (clay)'!$B$1:$V$32,'Construction Planner'!$L292+2,FALSE)</f>
        <v>#N/A</v>
      </c>
      <c r="AD292" s="14" t="e">
        <f>$DT292*HLOOKUP($J292,'Construction Costs (iron)'!$B$1:$V$32,'Construction Planner'!$L292+2,FALSE)</f>
        <v>#N/A</v>
      </c>
      <c r="AE292" s="34" t="e">
        <f t="shared" si="434"/>
        <v>#N/A</v>
      </c>
      <c r="AF292" s="33" t="e">
        <f t="shared" si="378"/>
        <v>#N/A</v>
      </c>
      <c r="AG292" s="14" t="e">
        <f t="shared" si="379"/>
        <v>#N/A</v>
      </c>
      <c r="AH292" s="14" t="e">
        <f t="shared" si="380"/>
        <v>#N/A</v>
      </c>
      <c r="AI292" s="34" t="e">
        <f t="shared" si="435"/>
        <v>#N/A</v>
      </c>
      <c r="AJ292" s="49" t="e">
        <f t="shared" si="399"/>
        <v>#N/A</v>
      </c>
      <c r="AK292" s="49" t="e">
        <f t="shared" si="400"/>
        <v>#N/A</v>
      </c>
      <c r="AL292" s="49" t="e">
        <f t="shared" si="401"/>
        <v>#N/A</v>
      </c>
      <c r="AM292" s="25">
        <f t="shared" si="381"/>
        <v>30</v>
      </c>
      <c r="AN292" s="25">
        <f t="shared" si="382"/>
        <v>30</v>
      </c>
      <c r="AO292" s="25">
        <f t="shared" si="383"/>
        <v>30</v>
      </c>
      <c r="AP292" s="52" t="e">
        <f t="shared" si="402"/>
        <v>#N/A</v>
      </c>
      <c r="AQ292" s="53" t="e">
        <f t="shared" si="402"/>
        <v>#N/A</v>
      </c>
      <c r="AR292" s="54" t="e">
        <f t="shared" si="402"/>
        <v>#N/A</v>
      </c>
      <c r="AS292" s="316">
        <f t="shared" ref="AS292:AS307" si="452">AS291</f>
        <v>0</v>
      </c>
      <c r="AT292" s="106">
        <f>_xlfn.IFNA($M292/VLOOKUP($BT292,'Unit information'!$A$2:$K$29,2,FALSE)*R292,0)*(1+$E$9)</f>
        <v>0</v>
      </c>
      <c r="AU292" s="107">
        <f>_xlfn.IFNA($M292/VLOOKUP($BT292,'Unit information'!$A$2:$K$29,3,FALSE)*S292,0)*(1+$E$9)</f>
        <v>0</v>
      </c>
      <c r="AV292" s="107">
        <f>_xlfn.IFNA($M292/VLOOKUP($BT292,'Unit information'!$A$2:$K$29,4,FALSE)*T292,0)*(1+$E$9)</f>
        <v>0</v>
      </c>
      <c r="AW292" s="107">
        <f>_xlfn.IFNA($M292/VLOOKUP($BT292,'Unit information'!$A$2:$K$29,5,FALSE)*U292,0)*(1+$E$9)</f>
        <v>0</v>
      </c>
      <c r="AX292" s="107">
        <f>_xlfn.IFNA($M292/VLOOKUP($BU292,'Unit information'!$A$2:$K$29,6,FALSE)*V292,0)*(1+$E$9)</f>
        <v>0</v>
      </c>
      <c r="AY292" s="107">
        <f>_xlfn.IFNA($M292/VLOOKUP($BU292,'Unit information'!$A$2:$K$29,7,FALSE)*W292,0)*(1+$E$9)</f>
        <v>0</v>
      </c>
      <c r="AZ292" s="107">
        <f>_xlfn.IFNA($M292/VLOOKUP($BU292,'Unit information'!$A$2:$K$29,8,FALSE)*X292,0)*(1+$E$9)</f>
        <v>0</v>
      </c>
      <c r="BA292" s="107">
        <f>_xlfn.IFNA($M292/VLOOKUP($BU292,'Unit information'!$A$2:$K$29,9,FALSE)*Y292,0)*(1+$E$9)</f>
        <v>0</v>
      </c>
      <c r="BB292" s="107">
        <f>_xlfn.IFNA($M292/VLOOKUP($BV292,'Unit information'!$A$2:$K$29,10,FALSE)*Z292,0)*(1+$E$9)</f>
        <v>0</v>
      </c>
      <c r="BC292" s="108">
        <f>_xlfn.IFNA($M292/VLOOKUP($BV292,'Unit information'!$A$2:$K$29,11,FALSE)*AA292,0)*(1+$E$9)</f>
        <v>0</v>
      </c>
      <c r="BD292" s="106">
        <f t="shared" si="384"/>
        <v>0</v>
      </c>
      <c r="BE292" s="107">
        <f t="shared" si="385"/>
        <v>0</v>
      </c>
      <c r="BF292" s="108">
        <f t="shared" si="386"/>
        <v>0</v>
      </c>
      <c r="BG292" s="25" t="e">
        <f t="shared" si="387"/>
        <v>#N/A</v>
      </c>
      <c r="BH292" s="25" t="e">
        <f t="shared" si="388"/>
        <v>#N/A</v>
      </c>
      <c r="BI292" s="25" t="e">
        <f t="shared" si="389"/>
        <v>#N/A</v>
      </c>
      <c r="BJ292" s="27" t="e">
        <f t="shared" si="390"/>
        <v>#N/A</v>
      </c>
      <c r="BK292" s="18" t="e">
        <f t="shared" si="391"/>
        <v>#N/A</v>
      </c>
      <c r="BL292" s="18" t="e">
        <f t="shared" si="392"/>
        <v>#N/A</v>
      </c>
      <c r="BM292" s="28" t="e">
        <f t="shared" si="437"/>
        <v>#N/A</v>
      </c>
      <c r="BN292" s="33">
        <f>HLOOKUP("maximum population",Miscelaneous!$C$1:$C$33,CH292+3,FALSE)</f>
        <v>240</v>
      </c>
      <c r="BO292" s="14">
        <f t="shared" si="403"/>
        <v>32</v>
      </c>
      <c r="BP292" s="14">
        <f t="shared" si="404"/>
        <v>0</v>
      </c>
      <c r="BQ292" s="14">
        <f t="shared" si="405"/>
        <v>208</v>
      </c>
      <c r="BR292" s="34" t="e">
        <f>HLOOKUP(J292,Villagers!$B$1:$V$33,L292+3,FALSE)-HLOOKUP(J292,Villagers!$B$1:$V$33,L292+2,FALSE)</f>
        <v>#N/A</v>
      </c>
      <c r="BS292" s="49">
        <f t="shared" si="406"/>
        <v>1</v>
      </c>
      <c r="BT292" s="50">
        <f t="shared" si="407"/>
        <v>0</v>
      </c>
      <c r="BU292" s="50">
        <f t="shared" si="408"/>
        <v>0</v>
      </c>
      <c r="BV292" s="50">
        <f t="shared" si="409"/>
        <v>0</v>
      </c>
      <c r="BW292" s="50">
        <f t="shared" si="451"/>
        <v>0</v>
      </c>
      <c r="BX292" s="50">
        <f t="shared" si="451"/>
        <v>0</v>
      </c>
      <c r="BY292" s="50">
        <f t="shared" si="451"/>
        <v>0</v>
      </c>
      <c r="BZ292" s="50">
        <f t="shared" si="440"/>
        <v>0</v>
      </c>
      <c r="CA292" s="50">
        <f t="shared" si="441"/>
        <v>0</v>
      </c>
      <c r="CB292" s="50">
        <f t="shared" si="442"/>
        <v>1</v>
      </c>
      <c r="CC292" s="50">
        <f t="shared" si="443"/>
        <v>0</v>
      </c>
      <c r="CD292" s="50">
        <f t="shared" si="444"/>
        <v>0</v>
      </c>
      <c r="CE292" s="50">
        <f t="shared" si="445"/>
        <v>1</v>
      </c>
      <c r="CF292" s="50">
        <f t="shared" si="446"/>
        <v>1</v>
      </c>
      <c r="CG292" s="50">
        <f t="shared" si="447"/>
        <v>1</v>
      </c>
      <c r="CH292" s="50">
        <f t="shared" si="448"/>
        <v>1</v>
      </c>
      <c r="CI292" s="50">
        <f t="shared" si="449"/>
        <v>1</v>
      </c>
      <c r="CJ292" s="50">
        <f t="shared" si="450"/>
        <v>1</v>
      </c>
      <c r="CK292" s="50">
        <f t="shared" si="450"/>
        <v>0</v>
      </c>
      <c r="CL292" s="50">
        <f t="shared" si="450"/>
        <v>0</v>
      </c>
      <c r="CM292" s="51">
        <f t="shared" si="368"/>
        <v>0</v>
      </c>
      <c r="CN292" s="33">
        <f>ROUND(IF(BS292=0,0,HLOOKUP(BS$14,Villagers!$B$1:$V$33,BS292+3,FALSE)),)</f>
        <v>5</v>
      </c>
      <c r="CO292" s="14">
        <f>ROUND(IF(BT292=0,0,HLOOKUP(BT$14,Villagers!$B$1:$V$33,BT292+3,FALSE)),)</f>
        <v>0</v>
      </c>
      <c r="CP292" s="14">
        <f>ROUND(IF(BU292=0,0,HLOOKUP(BU$14,Villagers!$B$1:$V$33,BU292+3,FALSE)),)</f>
        <v>0</v>
      </c>
      <c r="CQ292" s="14">
        <f>ROUND(IF(BV292=0,0,HLOOKUP(BV$14,Villagers!$B$1:$V$33,BV292+3,FALSE)),)</f>
        <v>0</v>
      </c>
      <c r="CR292" s="14">
        <f>ROUND(IF(BW292=0,0,HLOOKUP(BW$14,Villagers!$B$1:$V$33,BW292+3,FALSE)),)</f>
        <v>0</v>
      </c>
      <c r="CS292" s="14">
        <f>ROUND(IF(BX292=0,0,HLOOKUP(BX$14,Villagers!$B$1:$V$33,BX292+3,FALSE)),)</f>
        <v>0</v>
      </c>
      <c r="CT292" s="14">
        <f>ROUND(IF(BY292=0,0,HLOOKUP(BY$14,Villagers!$B$1:$V$33,BY292+3,FALSE)),)</f>
        <v>0</v>
      </c>
      <c r="CU292" s="14">
        <f>ROUND(IF(BZ292=0,0,HLOOKUP(BZ$14,Villagers!$B$1:$V$33,BZ292+3,FALSE)),)</f>
        <v>0</v>
      </c>
      <c r="CV292" s="14">
        <f>ROUND(IF(CA292=0,0,HLOOKUP(CA$14,Villagers!$B$1:$V$33,CA292+3,FALSE)),)</f>
        <v>0</v>
      </c>
      <c r="CW292" s="14">
        <f>ROUND(IF(CB292=0,0,HLOOKUP(CB$14,Villagers!$B$1:$V$33,CB292+3,FALSE)),)</f>
        <v>0</v>
      </c>
      <c r="CX292" s="14">
        <f>ROUND(IF(CC292=0,0,HLOOKUP(CC$14,Villagers!$B$1:$V$33,CC292+3,FALSE)),)</f>
        <v>0</v>
      </c>
      <c r="CY292" s="14">
        <f>ROUND(IF(CD292=0,0,HLOOKUP(CD$14,Villagers!$B$1:$V$33,CD292+3,FALSE)),)</f>
        <v>0</v>
      </c>
      <c r="CZ292" s="14">
        <f>ROUND(IF(CE292=0,0,HLOOKUP(CE$14,Villagers!$B$1:$V$33,CE292+3,FALSE)),)</f>
        <v>5</v>
      </c>
      <c r="DA292" s="14">
        <f>ROUND(IF(CF292=0,0,HLOOKUP(CF$14,Villagers!$B$1:$V$33,CF292+3,FALSE)),)</f>
        <v>10</v>
      </c>
      <c r="DB292" s="14">
        <f>ROUND(IF(CG292=0,0,HLOOKUP(CG$14,Villagers!$B$1:$V$33,CG292+3,FALSE)),)</f>
        <v>10</v>
      </c>
      <c r="DC292" s="14">
        <f>ROUND(IF(CH292=0,0,HLOOKUP(CH$14,Villagers!$B$1:$V$33,CH292+3,FALSE)),)</f>
        <v>0</v>
      </c>
      <c r="DD292" s="14">
        <f>ROUND(IF(CI292=0,0,HLOOKUP(CI$14,Villagers!$B$1:$V$33,CI292+3,FALSE)),)</f>
        <v>0</v>
      </c>
      <c r="DE292" s="14">
        <f>ROUND(IF(CJ292=0,0,HLOOKUP(CJ$14,Villagers!$B$1:$V$33,CJ292+3,FALSE)),)</f>
        <v>2</v>
      </c>
      <c r="DF292" s="370">
        <f>ROUND(IF(CK292=0,0,HLOOKUP(CK$14,Villagers!$B$1:$V$33,CK292+3,FALSE)),)</f>
        <v>0</v>
      </c>
      <c r="DG292" s="370">
        <f>ROUND(IF(CL292=0,0,HLOOKUP(CL$14,Villagers!$B$1:$V$33,CL292+3,FALSE)),)</f>
        <v>0</v>
      </c>
      <c r="DH292" s="34">
        <f>ROUND(IF(CM292=0,0,HLOOKUP(CM$14,Villagers!$B$1:$V$33,CM292+3,FALSE)),)</f>
        <v>0</v>
      </c>
      <c r="DI292" s="109">
        <f t="shared" si="426"/>
        <v>0</v>
      </c>
      <c r="DJ292" s="50">
        <f t="shared" si="427"/>
        <v>0</v>
      </c>
      <c r="DK292" s="50">
        <f t="shared" si="428"/>
        <v>0</v>
      </c>
      <c r="DL292" s="50">
        <f t="shared" si="429"/>
        <v>0</v>
      </c>
      <c r="DM292" s="50">
        <f t="shared" si="430"/>
        <v>0</v>
      </c>
      <c r="DN292" s="50">
        <f t="shared" si="431"/>
        <v>0</v>
      </c>
      <c r="DO292" s="50">
        <f t="shared" si="432"/>
        <v>0</v>
      </c>
      <c r="DP292" s="50">
        <f t="shared" si="433"/>
        <v>0</v>
      </c>
      <c r="DQ292" s="50">
        <f t="shared" si="411"/>
        <v>0</v>
      </c>
      <c r="DR292" s="50">
        <f t="shared" si="412"/>
        <v>0</v>
      </c>
      <c r="DS292" s="96">
        <f>Miscelaneous!$D$4*Miscelaneous!$D$2^($CI292-1)</f>
        <v>1000</v>
      </c>
      <c r="DT292" s="333">
        <f t="shared" si="393"/>
        <v>1</v>
      </c>
      <c r="DU292" s="81">
        <v>1</v>
      </c>
      <c r="DV292" s="79">
        <f t="shared" si="413"/>
        <v>0</v>
      </c>
      <c r="DW292" s="79">
        <f t="shared" si="414"/>
        <v>0</v>
      </c>
      <c r="DX292" s="79">
        <f t="shared" si="415"/>
        <v>0</v>
      </c>
      <c r="DY292" s="79">
        <v>1</v>
      </c>
      <c r="DZ292" s="79">
        <f t="shared" si="416"/>
        <v>0</v>
      </c>
      <c r="EA292" s="79">
        <f t="shared" si="417"/>
        <v>0</v>
      </c>
      <c r="EB292" s="79">
        <f t="shared" si="418"/>
        <v>0</v>
      </c>
      <c r="EC292" s="79">
        <f t="shared" si="419"/>
        <v>0</v>
      </c>
      <c r="ED292" s="79">
        <v>1</v>
      </c>
      <c r="EE292" s="79">
        <v>1</v>
      </c>
      <c r="EF292" s="79">
        <f t="shared" si="420"/>
        <v>0</v>
      </c>
      <c r="EG292" s="79">
        <v>1</v>
      </c>
      <c r="EH292" s="79">
        <v>1</v>
      </c>
      <c r="EI292" s="79">
        <v>1</v>
      </c>
      <c r="EJ292" s="79">
        <v>1</v>
      </c>
      <c r="EK292" s="79">
        <v>1</v>
      </c>
      <c r="EL292" s="79">
        <v>1</v>
      </c>
      <c r="EM292" s="143">
        <f t="shared" si="421"/>
        <v>0</v>
      </c>
      <c r="EN292" s="143">
        <f t="shared" si="422"/>
        <v>0</v>
      </c>
      <c r="EO292" s="82">
        <f t="shared" si="423"/>
        <v>0</v>
      </c>
    </row>
    <row r="293" spans="1:145" x14ac:dyDescent="0.25">
      <c r="A293">
        <v>279</v>
      </c>
      <c r="B293" s="172" t="e">
        <f t="shared" si="394"/>
        <v>#N/A</v>
      </c>
      <c r="C293" s="121" t="e">
        <f t="shared" si="373"/>
        <v>#N/A</v>
      </c>
      <c r="D293" s="122" t="e">
        <f t="shared" si="374"/>
        <v>#N/A</v>
      </c>
      <c r="E293" s="122" t="e">
        <f t="shared" si="375"/>
        <v>#N/A</v>
      </c>
      <c r="F293" s="176" t="e">
        <f t="shared" si="376"/>
        <v>#N/A</v>
      </c>
      <c r="G293" s="121">
        <f t="shared" si="395"/>
        <v>208</v>
      </c>
      <c r="H293" s="176" t="e">
        <f t="shared" si="396"/>
        <v>#N/A</v>
      </c>
      <c r="I293" s="48">
        <v>1</v>
      </c>
      <c r="J293" s="39"/>
      <c r="K293" s="350">
        <v>1</v>
      </c>
      <c r="L293" s="34" t="e">
        <f t="shared" si="377"/>
        <v>#N/A</v>
      </c>
      <c r="M293" s="38" t="e">
        <f>(HLOOKUP(J293,'Construction Times'!$B$3:$W$34,L293+2,FALSE)*HLOOKUP("hq modifier",'Construction Times'!$W$3:$W$34,BS293+2,FALSE))*(1-$H$9)</f>
        <v>#N/A</v>
      </c>
      <c r="N293" s="443" t="e">
        <f t="shared" si="397"/>
        <v>#N/A</v>
      </c>
      <c r="O293" s="444"/>
      <c r="P293" s="447" t="e">
        <f t="shared" si="398"/>
        <v>#N/A</v>
      </c>
      <c r="Q293" s="448"/>
      <c r="R293" s="103">
        <f t="shared" si="424"/>
        <v>0</v>
      </c>
      <c r="S293" s="104">
        <f t="shared" si="424"/>
        <v>0</v>
      </c>
      <c r="T293" s="104">
        <f t="shared" si="425"/>
        <v>0</v>
      </c>
      <c r="U293" s="104">
        <f t="shared" si="425"/>
        <v>0</v>
      </c>
      <c r="V293" s="104">
        <f t="shared" si="425"/>
        <v>9.9999999999999995E-8</v>
      </c>
      <c r="W293" s="104">
        <f t="shared" si="425"/>
        <v>0</v>
      </c>
      <c r="X293" s="104">
        <f t="shared" si="365"/>
        <v>0</v>
      </c>
      <c r="Y293" s="104">
        <f t="shared" si="365"/>
        <v>9.9999999999999995E-8</v>
      </c>
      <c r="Z293" s="104">
        <f t="shared" si="365"/>
        <v>9.9999999999999995E-8</v>
      </c>
      <c r="AA293" s="105">
        <f t="shared" si="365"/>
        <v>9.9999999999999995E-8</v>
      </c>
      <c r="AB293" s="101" t="e">
        <f>$DT293*HLOOKUP($J293,'Construction Costs (timber)'!$B$1:$V$32,'Construction Planner'!$L293+2,FALSE)</f>
        <v>#N/A</v>
      </c>
      <c r="AC293" s="14" t="e">
        <f>$DT293*HLOOKUP($J293,'Construction Costs (clay)'!$B$1:$V$32,'Construction Planner'!$L293+2,FALSE)</f>
        <v>#N/A</v>
      </c>
      <c r="AD293" s="14" t="e">
        <f>$DT293*HLOOKUP($J293,'Construction Costs (iron)'!$B$1:$V$32,'Construction Planner'!$L293+2,FALSE)</f>
        <v>#N/A</v>
      </c>
      <c r="AE293" s="34" t="e">
        <f t="shared" si="434"/>
        <v>#N/A</v>
      </c>
      <c r="AF293" s="33" t="e">
        <f t="shared" si="378"/>
        <v>#N/A</v>
      </c>
      <c r="AG293" s="14" t="e">
        <f t="shared" si="379"/>
        <v>#N/A</v>
      </c>
      <c r="AH293" s="14" t="e">
        <f t="shared" si="380"/>
        <v>#N/A</v>
      </c>
      <c r="AI293" s="34" t="e">
        <f t="shared" si="435"/>
        <v>#N/A</v>
      </c>
      <c r="AJ293" s="49" t="e">
        <f t="shared" si="399"/>
        <v>#N/A</v>
      </c>
      <c r="AK293" s="49" t="e">
        <f t="shared" si="400"/>
        <v>#N/A</v>
      </c>
      <c r="AL293" s="49" t="e">
        <f t="shared" si="401"/>
        <v>#N/A</v>
      </c>
      <c r="AM293" s="25">
        <f t="shared" si="381"/>
        <v>30</v>
      </c>
      <c r="AN293" s="25">
        <f t="shared" si="382"/>
        <v>30</v>
      </c>
      <c r="AO293" s="25">
        <f t="shared" si="383"/>
        <v>30</v>
      </c>
      <c r="AP293" s="52" t="e">
        <f t="shared" si="402"/>
        <v>#N/A</v>
      </c>
      <c r="AQ293" s="53" t="e">
        <f t="shared" si="402"/>
        <v>#N/A</v>
      </c>
      <c r="AR293" s="54" t="e">
        <f t="shared" si="402"/>
        <v>#N/A</v>
      </c>
      <c r="AS293" s="316">
        <f t="shared" si="452"/>
        <v>0</v>
      </c>
      <c r="AT293" s="106">
        <f>_xlfn.IFNA($M293/VLOOKUP($BT293,'Unit information'!$A$2:$K$29,2,FALSE)*R293,0)*(1+$E$9)</f>
        <v>0</v>
      </c>
      <c r="AU293" s="107">
        <f>_xlfn.IFNA($M293/VLOOKUP($BT293,'Unit information'!$A$2:$K$29,3,FALSE)*S293,0)*(1+$E$9)</f>
        <v>0</v>
      </c>
      <c r="AV293" s="107">
        <f>_xlfn.IFNA($M293/VLOOKUP($BT293,'Unit information'!$A$2:$K$29,4,FALSE)*T293,0)*(1+$E$9)</f>
        <v>0</v>
      </c>
      <c r="AW293" s="107">
        <f>_xlfn.IFNA($M293/VLOOKUP($BT293,'Unit information'!$A$2:$K$29,5,FALSE)*U293,0)*(1+$E$9)</f>
        <v>0</v>
      </c>
      <c r="AX293" s="107">
        <f>_xlfn.IFNA($M293/VLOOKUP($BU293,'Unit information'!$A$2:$K$29,6,FALSE)*V293,0)*(1+$E$9)</f>
        <v>0</v>
      </c>
      <c r="AY293" s="107">
        <f>_xlfn.IFNA($M293/VLOOKUP($BU293,'Unit information'!$A$2:$K$29,7,FALSE)*W293,0)*(1+$E$9)</f>
        <v>0</v>
      </c>
      <c r="AZ293" s="107">
        <f>_xlfn.IFNA($M293/VLOOKUP($BU293,'Unit information'!$A$2:$K$29,8,FALSE)*X293,0)*(1+$E$9)</f>
        <v>0</v>
      </c>
      <c r="BA293" s="107">
        <f>_xlfn.IFNA($M293/VLOOKUP($BU293,'Unit information'!$A$2:$K$29,9,FALSE)*Y293,0)*(1+$E$9)</f>
        <v>0</v>
      </c>
      <c r="BB293" s="107">
        <f>_xlfn.IFNA($M293/VLOOKUP($BV293,'Unit information'!$A$2:$K$29,10,FALSE)*Z293,0)*(1+$E$9)</f>
        <v>0</v>
      </c>
      <c r="BC293" s="108">
        <f>_xlfn.IFNA($M293/VLOOKUP($BV293,'Unit information'!$A$2:$K$29,11,FALSE)*AA293,0)*(1+$E$9)</f>
        <v>0</v>
      </c>
      <c r="BD293" s="106">
        <f t="shared" si="384"/>
        <v>0</v>
      </c>
      <c r="BE293" s="107">
        <f t="shared" si="385"/>
        <v>0</v>
      </c>
      <c r="BF293" s="108">
        <f t="shared" si="386"/>
        <v>0</v>
      </c>
      <c r="BG293" s="25" t="e">
        <f t="shared" si="387"/>
        <v>#N/A</v>
      </c>
      <c r="BH293" s="25" t="e">
        <f t="shared" si="388"/>
        <v>#N/A</v>
      </c>
      <c r="BI293" s="25" t="e">
        <f t="shared" si="389"/>
        <v>#N/A</v>
      </c>
      <c r="BJ293" s="27" t="e">
        <f t="shared" si="390"/>
        <v>#N/A</v>
      </c>
      <c r="BK293" s="18" t="e">
        <f t="shared" si="391"/>
        <v>#N/A</v>
      </c>
      <c r="BL293" s="18" t="e">
        <f t="shared" si="392"/>
        <v>#N/A</v>
      </c>
      <c r="BM293" s="28" t="e">
        <f t="shared" si="437"/>
        <v>#N/A</v>
      </c>
      <c r="BN293" s="33">
        <f>HLOOKUP("maximum population",Miscelaneous!$C$1:$C$33,CH293+3,FALSE)</f>
        <v>240</v>
      </c>
      <c r="BO293" s="14">
        <f t="shared" si="403"/>
        <v>32</v>
      </c>
      <c r="BP293" s="14">
        <f t="shared" si="404"/>
        <v>0</v>
      </c>
      <c r="BQ293" s="14">
        <f t="shared" si="405"/>
        <v>208</v>
      </c>
      <c r="BR293" s="34" t="e">
        <f>HLOOKUP(J293,Villagers!$B$1:$V$33,L293+3,FALSE)-HLOOKUP(J293,Villagers!$B$1:$V$33,L293+2,FALSE)</f>
        <v>#N/A</v>
      </c>
      <c r="BS293" s="49">
        <f t="shared" si="406"/>
        <v>1</v>
      </c>
      <c r="BT293" s="50">
        <f t="shared" si="407"/>
        <v>0</v>
      </c>
      <c r="BU293" s="50">
        <f t="shared" si="408"/>
        <v>0</v>
      </c>
      <c r="BV293" s="50">
        <f t="shared" si="409"/>
        <v>0</v>
      </c>
      <c r="BW293" s="50">
        <f t="shared" si="451"/>
        <v>0</v>
      </c>
      <c r="BX293" s="50">
        <f t="shared" si="451"/>
        <v>0</v>
      </c>
      <c r="BY293" s="50">
        <f t="shared" si="451"/>
        <v>0</v>
      </c>
      <c r="BZ293" s="50">
        <f t="shared" si="440"/>
        <v>0</v>
      </c>
      <c r="CA293" s="50">
        <f t="shared" si="441"/>
        <v>0</v>
      </c>
      <c r="CB293" s="50">
        <f t="shared" si="442"/>
        <v>1</v>
      </c>
      <c r="CC293" s="50">
        <f t="shared" si="443"/>
        <v>0</v>
      </c>
      <c r="CD293" s="50">
        <f t="shared" si="444"/>
        <v>0</v>
      </c>
      <c r="CE293" s="50">
        <f t="shared" si="445"/>
        <v>1</v>
      </c>
      <c r="CF293" s="50">
        <f t="shared" si="446"/>
        <v>1</v>
      </c>
      <c r="CG293" s="50">
        <f t="shared" si="447"/>
        <v>1</v>
      </c>
      <c r="CH293" s="50">
        <f t="shared" si="448"/>
        <v>1</v>
      </c>
      <c r="CI293" s="50">
        <f t="shared" si="449"/>
        <v>1</v>
      </c>
      <c r="CJ293" s="50">
        <f t="shared" si="450"/>
        <v>1</v>
      </c>
      <c r="CK293" s="50">
        <f t="shared" si="450"/>
        <v>0</v>
      </c>
      <c r="CL293" s="50">
        <f t="shared" si="450"/>
        <v>0</v>
      </c>
      <c r="CM293" s="51">
        <f t="shared" si="368"/>
        <v>0</v>
      </c>
      <c r="CN293" s="33">
        <f>ROUND(IF(BS293=0,0,HLOOKUP(BS$14,Villagers!$B$1:$V$33,BS293+3,FALSE)),)</f>
        <v>5</v>
      </c>
      <c r="CO293" s="14">
        <f>ROUND(IF(BT293=0,0,HLOOKUP(BT$14,Villagers!$B$1:$V$33,BT293+3,FALSE)),)</f>
        <v>0</v>
      </c>
      <c r="CP293" s="14">
        <f>ROUND(IF(BU293=0,0,HLOOKUP(BU$14,Villagers!$B$1:$V$33,BU293+3,FALSE)),)</f>
        <v>0</v>
      </c>
      <c r="CQ293" s="14">
        <f>ROUND(IF(BV293=0,0,HLOOKUP(BV$14,Villagers!$B$1:$V$33,BV293+3,FALSE)),)</f>
        <v>0</v>
      </c>
      <c r="CR293" s="14">
        <f>ROUND(IF(BW293=0,0,HLOOKUP(BW$14,Villagers!$B$1:$V$33,BW293+3,FALSE)),)</f>
        <v>0</v>
      </c>
      <c r="CS293" s="14">
        <f>ROUND(IF(BX293=0,0,HLOOKUP(BX$14,Villagers!$B$1:$V$33,BX293+3,FALSE)),)</f>
        <v>0</v>
      </c>
      <c r="CT293" s="14">
        <f>ROUND(IF(BY293=0,0,HLOOKUP(BY$14,Villagers!$B$1:$V$33,BY293+3,FALSE)),)</f>
        <v>0</v>
      </c>
      <c r="CU293" s="14">
        <f>ROUND(IF(BZ293=0,0,HLOOKUP(BZ$14,Villagers!$B$1:$V$33,BZ293+3,FALSE)),)</f>
        <v>0</v>
      </c>
      <c r="CV293" s="14">
        <f>ROUND(IF(CA293=0,0,HLOOKUP(CA$14,Villagers!$B$1:$V$33,CA293+3,FALSE)),)</f>
        <v>0</v>
      </c>
      <c r="CW293" s="14">
        <f>ROUND(IF(CB293=0,0,HLOOKUP(CB$14,Villagers!$B$1:$V$33,CB293+3,FALSE)),)</f>
        <v>0</v>
      </c>
      <c r="CX293" s="14">
        <f>ROUND(IF(CC293=0,0,HLOOKUP(CC$14,Villagers!$B$1:$V$33,CC293+3,FALSE)),)</f>
        <v>0</v>
      </c>
      <c r="CY293" s="14">
        <f>ROUND(IF(CD293=0,0,HLOOKUP(CD$14,Villagers!$B$1:$V$33,CD293+3,FALSE)),)</f>
        <v>0</v>
      </c>
      <c r="CZ293" s="14">
        <f>ROUND(IF(CE293=0,0,HLOOKUP(CE$14,Villagers!$B$1:$V$33,CE293+3,FALSE)),)</f>
        <v>5</v>
      </c>
      <c r="DA293" s="14">
        <f>ROUND(IF(CF293=0,0,HLOOKUP(CF$14,Villagers!$B$1:$V$33,CF293+3,FALSE)),)</f>
        <v>10</v>
      </c>
      <c r="DB293" s="14">
        <f>ROUND(IF(CG293=0,0,HLOOKUP(CG$14,Villagers!$B$1:$V$33,CG293+3,FALSE)),)</f>
        <v>10</v>
      </c>
      <c r="DC293" s="14">
        <f>ROUND(IF(CH293=0,0,HLOOKUP(CH$14,Villagers!$B$1:$V$33,CH293+3,FALSE)),)</f>
        <v>0</v>
      </c>
      <c r="DD293" s="14">
        <f>ROUND(IF(CI293=0,0,HLOOKUP(CI$14,Villagers!$B$1:$V$33,CI293+3,FALSE)),)</f>
        <v>0</v>
      </c>
      <c r="DE293" s="14">
        <f>ROUND(IF(CJ293=0,0,HLOOKUP(CJ$14,Villagers!$B$1:$V$33,CJ293+3,FALSE)),)</f>
        <v>2</v>
      </c>
      <c r="DF293" s="370">
        <f>ROUND(IF(CK293=0,0,HLOOKUP(CK$14,Villagers!$B$1:$V$33,CK293+3,FALSE)),)</f>
        <v>0</v>
      </c>
      <c r="DG293" s="370">
        <f>ROUND(IF(CL293=0,0,HLOOKUP(CL$14,Villagers!$B$1:$V$33,CL293+3,FALSE)),)</f>
        <v>0</v>
      </c>
      <c r="DH293" s="34">
        <f>ROUND(IF(CM293=0,0,HLOOKUP(CM$14,Villagers!$B$1:$V$33,CM293+3,FALSE)),)</f>
        <v>0</v>
      </c>
      <c r="DI293" s="109">
        <f t="shared" si="426"/>
        <v>0</v>
      </c>
      <c r="DJ293" s="50">
        <f t="shared" si="427"/>
        <v>0</v>
      </c>
      <c r="DK293" s="50">
        <f t="shared" si="428"/>
        <v>0</v>
      </c>
      <c r="DL293" s="50">
        <f t="shared" si="429"/>
        <v>0</v>
      </c>
      <c r="DM293" s="50">
        <f t="shared" si="430"/>
        <v>0</v>
      </c>
      <c r="DN293" s="50">
        <f t="shared" si="431"/>
        <v>0</v>
      </c>
      <c r="DO293" s="50">
        <f t="shared" si="432"/>
        <v>0</v>
      </c>
      <c r="DP293" s="50">
        <f t="shared" si="433"/>
        <v>0</v>
      </c>
      <c r="DQ293" s="50">
        <f t="shared" si="411"/>
        <v>0</v>
      </c>
      <c r="DR293" s="50">
        <f t="shared" si="412"/>
        <v>0</v>
      </c>
      <c r="DS293" s="96">
        <f>Miscelaneous!$D$4*Miscelaneous!$D$2^($CI293-1)</f>
        <v>1000</v>
      </c>
      <c r="DT293" s="333">
        <f t="shared" si="393"/>
        <v>1</v>
      </c>
      <c r="DU293" s="81">
        <v>1</v>
      </c>
      <c r="DV293" s="79">
        <f t="shared" si="413"/>
        <v>0</v>
      </c>
      <c r="DW293" s="79">
        <f t="shared" si="414"/>
        <v>0</v>
      </c>
      <c r="DX293" s="79">
        <f t="shared" si="415"/>
        <v>0</v>
      </c>
      <c r="DY293" s="79">
        <v>1</v>
      </c>
      <c r="DZ293" s="79">
        <f t="shared" si="416"/>
        <v>0</v>
      </c>
      <c r="EA293" s="79">
        <f t="shared" si="417"/>
        <v>0</v>
      </c>
      <c r="EB293" s="79">
        <f t="shared" si="418"/>
        <v>0</v>
      </c>
      <c r="EC293" s="79">
        <f t="shared" si="419"/>
        <v>0</v>
      </c>
      <c r="ED293" s="79">
        <v>1</v>
      </c>
      <c r="EE293" s="79">
        <v>1</v>
      </c>
      <c r="EF293" s="79">
        <f t="shared" si="420"/>
        <v>0</v>
      </c>
      <c r="EG293" s="79">
        <v>1</v>
      </c>
      <c r="EH293" s="79">
        <v>1</v>
      </c>
      <c r="EI293" s="79">
        <v>1</v>
      </c>
      <c r="EJ293" s="79">
        <v>1</v>
      </c>
      <c r="EK293" s="79">
        <v>1</v>
      </c>
      <c r="EL293" s="79">
        <v>1</v>
      </c>
      <c r="EM293" s="143">
        <f t="shared" si="421"/>
        <v>0</v>
      </c>
      <c r="EN293" s="143">
        <f t="shared" si="422"/>
        <v>0</v>
      </c>
      <c r="EO293" s="82">
        <f t="shared" si="423"/>
        <v>0</v>
      </c>
    </row>
    <row r="294" spans="1:145" x14ac:dyDescent="0.25">
      <c r="A294">
        <v>280</v>
      </c>
      <c r="B294" s="172" t="e">
        <f t="shared" si="394"/>
        <v>#N/A</v>
      </c>
      <c r="C294" s="121" t="e">
        <f t="shared" si="373"/>
        <v>#N/A</v>
      </c>
      <c r="D294" s="122" t="e">
        <f t="shared" si="374"/>
        <v>#N/A</v>
      </c>
      <c r="E294" s="122" t="e">
        <f t="shared" si="375"/>
        <v>#N/A</v>
      </c>
      <c r="F294" s="176" t="e">
        <f t="shared" si="376"/>
        <v>#N/A</v>
      </c>
      <c r="G294" s="121">
        <f t="shared" si="395"/>
        <v>208</v>
      </c>
      <c r="H294" s="176" t="e">
        <f t="shared" si="396"/>
        <v>#N/A</v>
      </c>
      <c r="I294" s="48">
        <v>1</v>
      </c>
      <c r="J294" s="39"/>
      <c r="K294" s="350">
        <v>1</v>
      </c>
      <c r="L294" s="34" t="e">
        <f t="shared" si="377"/>
        <v>#N/A</v>
      </c>
      <c r="M294" s="38" t="e">
        <f>(HLOOKUP(J294,'Construction Times'!$B$3:$W$34,L294+2,FALSE)*HLOOKUP("hq modifier",'Construction Times'!$W$3:$W$34,BS294+2,FALSE))*(1-$H$9)</f>
        <v>#N/A</v>
      </c>
      <c r="N294" s="443" t="e">
        <f t="shared" si="397"/>
        <v>#N/A</v>
      </c>
      <c r="O294" s="444"/>
      <c r="P294" s="447" t="e">
        <f t="shared" si="398"/>
        <v>#N/A</v>
      </c>
      <c r="Q294" s="448"/>
      <c r="R294" s="103">
        <f t="shared" si="424"/>
        <v>0</v>
      </c>
      <c r="S294" s="104">
        <f t="shared" si="424"/>
        <v>0</v>
      </c>
      <c r="T294" s="104">
        <f t="shared" si="425"/>
        <v>0</v>
      </c>
      <c r="U294" s="104">
        <f t="shared" si="425"/>
        <v>0</v>
      </c>
      <c r="V294" s="104">
        <f t="shared" si="425"/>
        <v>9.9999999999999995E-8</v>
      </c>
      <c r="W294" s="104">
        <f t="shared" si="425"/>
        <v>0</v>
      </c>
      <c r="X294" s="104">
        <f t="shared" si="365"/>
        <v>0</v>
      </c>
      <c r="Y294" s="104">
        <f t="shared" si="365"/>
        <v>9.9999999999999995E-8</v>
      </c>
      <c r="Z294" s="104">
        <f t="shared" si="365"/>
        <v>9.9999999999999995E-8</v>
      </c>
      <c r="AA294" s="105">
        <f t="shared" si="365"/>
        <v>9.9999999999999995E-8</v>
      </c>
      <c r="AB294" s="101" t="e">
        <f>$DT294*HLOOKUP($J294,'Construction Costs (timber)'!$B$1:$V$32,'Construction Planner'!$L294+2,FALSE)</f>
        <v>#N/A</v>
      </c>
      <c r="AC294" s="14" t="e">
        <f>$DT294*HLOOKUP($J294,'Construction Costs (clay)'!$B$1:$V$32,'Construction Planner'!$L294+2,FALSE)</f>
        <v>#N/A</v>
      </c>
      <c r="AD294" s="14" t="e">
        <f>$DT294*HLOOKUP($J294,'Construction Costs (iron)'!$B$1:$V$32,'Construction Planner'!$L294+2,FALSE)</f>
        <v>#N/A</v>
      </c>
      <c r="AE294" s="34" t="e">
        <f t="shared" si="434"/>
        <v>#N/A</v>
      </c>
      <c r="AF294" s="33" t="e">
        <f t="shared" si="378"/>
        <v>#N/A</v>
      </c>
      <c r="AG294" s="14" t="e">
        <f t="shared" si="379"/>
        <v>#N/A</v>
      </c>
      <c r="AH294" s="14" t="e">
        <f t="shared" si="380"/>
        <v>#N/A</v>
      </c>
      <c r="AI294" s="34" t="e">
        <f t="shared" si="435"/>
        <v>#N/A</v>
      </c>
      <c r="AJ294" s="49" t="e">
        <f t="shared" si="399"/>
        <v>#N/A</v>
      </c>
      <c r="AK294" s="49" t="e">
        <f t="shared" si="400"/>
        <v>#N/A</v>
      </c>
      <c r="AL294" s="49" t="e">
        <f t="shared" si="401"/>
        <v>#N/A</v>
      </c>
      <c r="AM294" s="25">
        <f t="shared" si="381"/>
        <v>30</v>
      </c>
      <c r="AN294" s="25">
        <f t="shared" si="382"/>
        <v>30</v>
      </c>
      <c r="AO294" s="25">
        <f t="shared" si="383"/>
        <v>30</v>
      </c>
      <c r="AP294" s="52" t="e">
        <f t="shared" si="402"/>
        <v>#N/A</v>
      </c>
      <c r="AQ294" s="53" t="e">
        <f t="shared" si="402"/>
        <v>#N/A</v>
      </c>
      <c r="AR294" s="54" t="e">
        <f t="shared" si="402"/>
        <v>#N/A</v>
      </c>
      <c r="AS294" s="316">
        <f t="shared" si="452"/>
        <v>0</v>
      </c>
      <c r="AT294" s="106">
        <f>_xlfn.IFNA($M294/VLOOKUP($BT294,'Unit information'!$A$2:$K$29,2,FALSE)*R294,0)*(1+$E$9)</f>
        <v>0</v>
      </c>
      <c r="AU294" s="107">
        <f>_xlfn.IFNA($M294/VLOOKUP($BT294,'Unit information'!$A$2:$K$29,3,FALSE)*S294,0)*(1+$E$9)</f>
        <v>0</v>
      </c>
      <c r="AV294" s="107">
        <f>_xlfn.IFNA($M294/VLOOKUP($BT294,'Unit information'!$A$2:$K$29,4,FALSE)*T294,0)*(1+$E$9)</f>
        <v>0</v>
      </c>
      <c r="AW294" s="107">
        <f>_xlfn.IFNA($M294/VLOOKUP($BT294,'Unit information'!$A$2:$K$29,5,FALSE)*U294,0)*(1+$E$9)</f>
        <v>0</v>
      </c>
      <c r="AX294" s="107">
        <f>_xlfn.IFNA($M294/VLOOKUP($BU294,'Unit information'!$A$2:$K$29,6,FALSE)*V294,0)*(1+$E$9)</f>
        <v>0</v>
      </c>
      <c r="AY294" s="107">
        <f>_xlfn.IFNA($M294/VLOOKUP($BU294,'Unit information'!$A$2:$K$29,7,FALSE)*W294,0)*(1+$E$9)</f>
        <v>0</v>
      </c>
      <c r="AZ294" s="107">
        <f>_xlfn.IFNA($M294/VLOOKUP($BU294,'Unit information'!$A$2:$K$29,8,FALSE)*X294,0)*(1+$E$9)</f>
        <v>0</v>
      </c>
      <c r="BA294" s="107">
        <f>_xlfn.IFNA($M294/VLOOKUP($BU294,'Unit information'!$A$2:$K$29,9,FALSE)*Y294,0)*(1+$E$9)</f>
        <v>0</v>
      </c>
      <c r="BB294" s="107">
        <f>_xlfn.IFNA($M294/VLOOKUP($BV294,'Unit information'!$A$2:$K$29,10,FALSE)*Z294,0)*(1+$E$9)</f>
        <v>0</v>
      </c>
      <c r="BC294" s="108">
        <f>_xlfn.IFNA($M294/VLOOKUP($BV294,'Unit information'!$A$2:$K$29,11,FALSE)*AA294,0)*(1+$E$9)</f>
        <v>0</v>
      </c>
      <c r="BD294" s="106">
        <f t="shared" si="384"/>
        <v>0</v>
      </c>
      <c r="BE294" s="107">
        <f t="shared" si="385"/>
        <v>0</v>
      </c>
      <c r="BF294" s="108">
        <f t="shared" si="386"/>
        <v>0</v>
      </c>
      <c r="BG294" s="25" t="e">
        <f t="shared" si="387"/>
        <v>#N/A</v>
      </c>
      <c r="BH294" s="25" t="e">
        <f t="shared" si="388"/>
        <v>#N/A</v>
      </c>
      <c r="BI294" s="25" t="e">
        <f t="shared" si="389"/>
        <v>#N/A</v>
      </c>
      <c r="BJ294" s="27" t="e">
        <f t="shared" si="390"/>
        <v>#N/A</v>
      </c>
      <c r="BK294" s="18" t="e">
        <f t="shared" si="391"/>
        <v>#N/A</v>
      </c>
      <c r="BL294" s="18" t="e">
        <f t="shared" si="392"/>
        <v>#N/A</v>
      </c>
      <c r="BM294" s="28" t="e">
        <f t="shared" si="437"/>
        <v>#N/A</v>
      </c>
      <c r="BN294" s="33">
        <f>HLOOKUP("maximum population",Miscelaneous!$C$1:$C$33,CH294+3,FALSE)</f>
        <v>240</v>
      </c>
      <c r="BO294" s="14">
        <f t="shared" si="403"/>
        <v>32</v>
      </c>
      <c r="BP294" s="14">
        <f t="shared" si="404"/>
        <v>0</v>
      </c>
      <c r="BQ294" s="14">
        <f t="shared" si="405"/>
        <v>208</v>
      </c>
      <c r="BR294" s="34" t="e">
        <f>HLOOKUP(J294,Villagers!$B$1:$V$33,L294+3,FALSE)-HLOOKUP(J294,Villagers!$B$1:$V$33,L294+2,FALSE)</f>
        <v>#N/A</v>
      </c>
      <c r="BS294" s="49">
        <f t="shared" si="406"/>
        <v>1</v>
      </c>
      <c r="BT294" s="50">
        <f t="shared" si="407"/>
        <v>0</v>
      </c>
      <c r="BU294" s="50">
        <f t="shared" si="408"/>
        <v>0</v>
      </c>
      <c r="BV294" s="50">
        <f t="shared" si="409"/>
        <v>0</v>
      </c>
      <c r="BW294" s="50">
        <f t="shared" si="451"/>
        <v>0</v>
      </c>
      <c r="BX294" s="50">
        <f t="shared" si="451"/>
        <v>0</v>
      </c>
      <c r="BY294" s="50">
        <f t="shared" si="451"/>
        <v>0</v>
      </c>
      <c r="BZ294" s="50">
        <f t="shared" si="440"/>
        <v>0</v>
      </c>
      <c r="CA294" s="50">
        <f t="shared" si="441"/>
        <v>0</v>
      </c>
      <c r="CB294" s="50">
        <f t="shared" si="442"/>
        <v>1</v>
      </c>
      <c r="CC294" s="50">
        <f t="shared" si="443"/>
        <v>0</v>
      </c>
      <c r="CD294" s="50">
        <f t="shared" si="444"/>
        <v>0</v>
      </c>
      <c r="CE294" s="50">
        <f t="shared" si="445"/>
        <v>1</v>
      </c>
      <c r="CF294" s="50">
        <f t="shared" si="446"/>
        <v>1</v>
      </c>
      <c r="CG294" s="50">
        <f t="shared" si="447"/>
        <v>1</v>
      </c>
      <c r="CH294" s="50">
        <f t="shared" si="448"/>
        <v>1</v>
      </c>
      <c r="CI294" s="50">
        <f t="shared" si="449"/>
        <v>1</v>
      </c>
      <c r="CJ294" s="50">
        <f t="shared" si="450"/>
        <v>1</v>
      </c>
      <c r="CK294" s="50">
        <f t="shared" si="450"/>
        <v>0</v>
      </c>
      <c r="CL294" s="50">
        <f t="shared" si="450"/>
        <v>0</v>
      </c>
      <c r="CM294" s="51">
        <f t="shared" si="368"/>
        <v>0</v>
      </c>
      <c r="CN294" s="33">
        <f>ROUND(IF(BS294=0,0,HLOOKUP(BS$14,Villagers!$B$1:$V$33,BS294+3,FALSE)),)</f>
        <v>5</v>
      </c>
      <c r="CO294" s="14">
        <f>ROUND(IF(BT294=0,0,HLOOKUP(BT$14,Villagers!$B$1:$V$33,BT294+3,FALSE)),)</f>
        <v>0</v>
      </c>
      <c r="CP294" s="14">
        <f>ROUND(IF(BU294=0,0,HLOOKUP(BU$14,Villagers!$B$1:$V$33,BU294+3,FALSE)),)</f>
        <v>0</v>
      </c>
      <c r="CQ294" s="14">
        <f>ROUND(IF(BV294=0,0,HLOOKUP(BV$14,Villagers!$B$1:$V$33,BV294+3,FALSE)),)</f>
        <v>0</v>
      </c>
      <c r="CR294" s="14">
        <f>ROUND(IF(BW294=0,0,HLOOKUP(BW$14,Villagers!$B$1:$V$33,BW294+3,FALSE)),)</f>
        <v>0</v>
      </c>
      <c r="CS294" s="14">
        <f>ROUND(IF(BX294=0,0,HLOOKUP(BX$14,Villagers!$B$1:$V$33,BX294+3,FALSE)),)</f>
        <v>0</v>
      </c>
      <c r="CT294" s="14">
        <f>ROUND(IF(BY294=0,0,HLOOKUP(BY$14,Villagers!$B$1:$V$33,BY294+3,FALSE)),)</f>
        <v>0</v>
      </c>
      <c r="CU294" s="14">
        <f>ROUND(IF(BZ294=0,0,HLOOKUP(BZ$14,Villagers!$B$1:$V$33,BZ294+3,FALSE)),)</f>
        <v>0</v>
      </c>
      <c r="CV294" s="14">
        <f>ROUND(IF(CA294=0,0,HLOOKUP(CA$14,Villagers!$B$1:$V$33,CA294+3,FALSE)),)</f>
        <v>0</v>
      </c>
      <c r="CW294" s="14">
        <f>ROUND(IF(CB294=0,0,HLOOKUP(CB$14,Villagers!$B$1:$V$33,CB294+3,FALSE)),)</f>
        <v>0</v>
      </c>
      <c r="CX294" s="14">
        <f>ROUND(IF(CC294=0,0,HLOOKUP(CC$14,Villagers!$B$1:$V$33,CC294+3,FALSE)),)</f>
        <v>0</v>
      </c>
      <c r="CY294" s="14">
        <f>ROUND(IF(CD294=0,0,HLOOKUP(CD$14,Villagers!$B$1:$V$33,CD294+3,FALSE)),)</f>
        <v>0</v>
      </c>
      <c r="CZ294" s="14">
        <f>ROUND(IF(CE294=0,0,HLOOKUP(CE$14,Villagers!$B$1:$V$33,CE294+3,FALSE)),)</f>
        <v>5</v>
      </c>
      <c r="DA294" s="14">
        <f>ROUND(IF(CF294=0,0,HLOOKUP(CF$14,Villagers!$B$1:$V$33,CF294+3,FALSE)),)</f>
        <v>10</v>
      </c>
      <c r="DB294" s="14">
        <f>ROUND(IF(CG294=0,0,HLOOKUP(CG$14,Villagers!$B$1:$V$33,CG294+3,FALSE)),)</f>
        <v>10</v>
      </c>
      <c r="DC294" s="14">
        <f>ROUND(IF(CH294=0,0,HLOOKUP(CH$14,Villagers!$B$1:$V$33,CH294+3,FALSE)),)</f>
        <v>0</v>
      </c>
      <c r="DD294" s="14">
        <f>ROUND(IF(CI294=0,0,HLOOKUP(CI$14,Villagers!$B$1:$V$33,CI294+3,FALSE)),)</f>
        <v>0</v>
      </c>
      <c r="DE294" s="14">
        <f>ROUND(IF(CJ294=0,0,HLOOKUP(CJ$14,Villagers!$B$1:$V$33,CJ294+3,FALSE)),)</f>
        <v>2</v>
      </c>
      <c r="DF294" s="370">
        <f>ROUND(IF(CK294=0,0,HLOOKUP(CK$14,Villagers!$B$1:$V$33,CK294+3,FALSE)),)</f>
        <v>0</v>
      </c>
      <c r="DG294" s="370">
        <f>ROUND(IF(CL294=0,0,HLOOKUP(CL$14,Villagers!$B$1:$V$33,CL294+3,FALSE)),)</f>
        <v>0</v>
      </c>
      <c r="DH294" s="34">
        <f>ROUND(IF(CM294=0,0,HLOOKUP(CM$14,Villagers!$B$1:$V$33,CM294+3,FALSE)),)</f>
        <v>0</v>
      </c>
      <c r="DI294" s="109">
        <f t="shared" si="426"/>
        <v>0</v>
      </c>
      <c r="DJ294" s="50">
        <f t="shared" si="427"/>
        <v>0</v>
      </c>
      <c r="DK294" s="50">
        <f t="shared" si="428"/>
        <v>0</v>
      </c>
      <c r="DL294" s="50">
        <f t="shared" si="429"/>
        <v>0</v>
      </c>
      <c r="DM294" s="50">
        <f t="shared" si="430"/>
        <v>0</v>
      </c>
      <c r="DN294" s="50">
        <f t="shared" si="431"/>
        <v>0</v>
      </c>
      <c r="DO294" s="50">
        <f t="shared" si="432"/>
        <v>0</v>
      </c>
      <c r="DP294" s="50">
        <f t="shared" si="433"/>
        <v>0</v>
      </c>
      <c r="DQ294" s="50">
        <f t="shared" si="411"/>
        <v>0</v>
      </c>
      <c r="DR294" s="50">
        <f t="shared" si="412"/>
        <v>0</v>
      </c>
      <c r="DS294" s="96">
        <f>Miscelaneous!$D$4*Miscelaneous!$D$2^($CI294-1)</f>
        <v>1000</v>
      </c>
      <c r="DT294" s="333">
        <f t="shared" si="393"/>
        <v>1</v>
      </c>
      <c r="DU294" s="81">
        <v>1</v>
      </c>
      <c r="DV294" s="79">
        <f t="shared" si="413"/>
        <v>0</v>
      </c>
      <c r="DW294" s="79">
        <f t="shared" si="414"/>
        <v>0</v>
      </c>
      <c r="DX294" s="79">
        <f t="shared" si="415"/>
        <v>0</v>
      </c>
      <c r="DY294" s="79">
        <v>1</v>
      </c>
      <c r="DZ294" s="79">
        <f t="shared" si="416"/>
        <v>0</v>
      </c>
      <c r="EA294" s="79">
        <f t="shared" si="417"/>
        <v>0</v>
      </c>
      <c r="EB294" s="79">
        <f t="shared" si="418"/>
        <v>0</v>
      </c>
      <c r="EC294" s="79">
        <f t="shared" si="419"/>
        <v>0</v>
      </c>
      <c r="ED294" s="79">
        <v>1</v>
      </c>
      <c r="EE294" s="79">
        <v>1</v>
      </c>
      <c r="EF294" s="79">
        <f t="shared" si="420"/>
        <v>0</v>
      </c>
      <c r="EG294" s="79">
        <v>1</v>
      </c>
      <c r="EH294" s="79">
        <v>1</v>
      </c>
      <c r="EI294" s="79">
        <v>1</v>
      </c>
      <c r="EJ294" s="79">
        <v>1</v>
      </c>
      <c r="EK294" s="79">
        <v>1</v>
      </c>
      <c r="EL294" s="79">
        <v>1</v>
      </c>
      <c r="EM294" s="143">
        <f t="shared" si="421"/>
        <v>0</v>
      </c>
      <c r="EN294" s="143">
        <f t="shared" si="422"/>
        <v>0</v>
      </c>
      <c r="EO294" s="82">
        <f t="shared" si="423"/>
        <v>0</v>
      </c>
    </row>
    <row r="295" spans="1:145" x14ac:dyDescent="0.25">
      <c r="A295">
        <v>281</v>
      </c>
      <c r="B295" s="172" t="e">
        <f t="shared" si="394"/>
        <v>#N/A</v>
      </c>
      <c r="C295" s="121" t="e">
        <f t="shared" si="373"/>
        <v>#N/A</v>
      </c>
      <c r="D295" s="122" t="e">
        <f t="shared" si="374"/>
        <v>#N/A</v>
      </c>
      <c r="E295" s="122" t="e">
        <f t="shared" si="375"/>
        <v>#N/A</v>
      </c>
      <c r="F295" s="176" t="e">
        <f t="shared" si="376"/>
        <v>#N/A</v>
      </c>
      <c r="G295" s="121">
        <f t="shared" si="395"/>
        <v>208</v>
      </c>
      <c r="H295" s="176" t="e">
        <f t="shared" si="396"/>
        <v>#N/A</v>
      </c>
      <c r="I295" s="48">
        <v>1</v>
      </c>
      <c r="J295" s="39"/>
      <c r="K295" s="350">
        <v>1</v>
      </c>
      <c r="L295" s="34" t="e">
        <f t="shared" si="377"/>
        <v>#N/A</v>
      </c>
      <c r="M295" s="38" t="e">
        <f>(HLOOKUP(J295,'Construction Times'!$B$3:$W$34,L295+2,FALSE)*HLOOKUP("hq modifier",'Construction Times'!$W$3:$W$34,BS295+2,FALSE))*(1-$H$9)</f>
        <v>#N/A</v>
      </c>
      <c r="N295" s="443" t="e">
        <f t="shared" si="397"/>
        <v>#N/A</v>
      </c>
      <c r="O295" s="444"/>
      <c r="P295" s="447" t="e">
        <f t="shared" si="398"/>
        <v>#N/A</v>
      </c>
      <c r="Q295" s="448"/>
      <c r="R295" s="103">
        <f t="shared" si="424"/>
        <v>0</v>
      </c>
      <c r="S295" s="104">
        <f t="shared" si="424"/>
        <v>0</v>
      </c>
      <c r="T295" s="104">
        <f t="shared" si="425"/>
        <v>0</v>
      </c>
      <c r="U295" s="104">
        <f t="shared" si="425"/>
        <v>0</v>
      </c>
      <c r="V295" s="104">
        <f t="shared" si="425"/>
        <v>9.9999999999999995E-8</v>
      </c>
      <c r="W295" s="104">
        <f t="shared" si="425"/>
        <v>0</v>
      </c>
      <c r="X295" s="104">
        <f t="shared" si="365"/>
        <v>0</v>
      </c>
      <c r="Y295" s="104">
        <f t="shared" si="365"/>
        <v>9.9999999999999995E-8</v>
      </c>
      <c r="Z295" s="104">
        <f t="shared" si="365"/>
        <v>9.9999999999999995E-8</v>
      </c>
      <c r="AA295" s="105">
        <f t="shared" si="365"/>
        <v>9.9999999999999995E-8</v>
      </c>
      <c r="AB295" s="101" t="e">
        <f>$DT295*HLOOKUP($J295,'Construction Costs (timber)'!$B$1:$V$32,'Construction Planner'!$L295+2,FALSE)</f>
        <v>#N/A</v>
      </c>
      <c r="AC295" s="14" t="e">
        <f>$DT295*HLOOKUP($J295,'Construction Costs (clay)'!$B$1:$V$32,'Construction Planner'!$L295+2,FALSE)</f>
        <v>#N/A</v>
      </c>
      <c r="AD295" s="14" t="e">
        <f>$DT295*HLOOKUP($J295,'Construction Costs (iron)'!$B$1:$V$32,'Construction Planner'!$L295+2,FALSE)</f>
        <v>#N/A</v>
      </c>
      <c r="AE295" s="34" t="e">
        <f t="shared" si="434"/>
        <v>#N/A</v>
      </c>
      <c r="AF295" s="33" t="e">
        <f t="shared" si="378"/>
        <v>#N/A</v>
      </c>
      <c r="AG295" s="14" t="e">
        <f t="shared" si="379"/>
        <v>#N/A</v>
      </c>
      <c r="AH295" s="14" t="e">
        <f t="shared" si="380"/>
        <v>#N/A</v>
      </c>
      <c r="AI295" s="34" t="e">
        <f t="shared" si="435"/>
        <v>#N/A</v>
      </c>
      <c r="AJ295" s="49" t="e">
        <f t="shared" si="399"/>
        <v>#N/A</v>
      </c>
      <c r="AK295" s="49" t="e">
        <f t="shared" si="400"/>
        <v>#N/A</v>
      </c>
      <c r="AL295" s="49" t="e">
        <f t="shared" si="401"/>
        <v>#N/A</v>
      </c>
      <c r="AM295" s="25">
        <f t="shared" si="381"/>
        <v>30</v>
      </c>
      <c r="AN295" s="25">
        <f t="shared" si="382"/>
        <v>30</v>
      </c>
      <c r="AO295" s="25">
        <f t="shared" si="383"/>
        <v>30</v>
      </c>
      <c r="AP295" s="52" t="e">
        <f t="shared" si="402"/>
        <v>#N/A</v>
      </c>
      <c r="AQ295" s="53" t="e">
        <f t="shared" si="402"/>
        <v>#N/A</v>
      </c>
      <c r="AR295" s="54" t="e">
        <f t="shared" si="402"/>
        <v>#N/A</v>
      </c>
      <c r="AS295" s="316">
        <f t="shared" si="452"/>
        <v>0</v>
      </c>
      <c r="AT295" s="106">
        <f>_xlfn.IFNA($M295/VLOOKUP($BT295,'Unit information'!$A$2:$K$29,2,FALSE)*R295,0)*(1+$E$9)</f>
        <v>0</v>
      </c>
      <c r="AU295" s="107">
        <f>_xlfn.IFNA($M295/VLOOKUP($BT295,'Unit information'!$A$2:$K$29,3,FALSE)*S295,0)*(1+$E$9)</f>
        <v>0</v>
      </c>
      <c r="AV295" s="107">
        <f>_xlfn.IFNA($M295/VLOOKUP($BT295,'Unit information'!$A$2:$K$29,4,FALSE)*T295,0)*(1+$E$9)</f>
        <v>0</v>
      </c>
      <c r="AW295" s="107">
        <f>_xlfn.IFNA($M295/VLOOKUP($BT295,'Unit information'!$A$2:$K$29,5,FALSE)*U295,0)*(1+$E$9)</f>
        <v>0</v>
      </c>
      <c r="AX295" s="107">
        <f>_xlfn.IFNA($M295/VLOOKUP($BU295,'Unit information'!$A$2:$K$29,6,FALSE)*V295,0)*(1+$E$9)</f>
        <v>0</v>
      </c>
      <c r="AY295" s="107">
        <f>_xlfn.IFNA($M295/VLOOKUP($BU295,'Unit information'!$A$2:$K$29,7,FALSE)*W295,0)*(1+$E$9)</f>
        <v>0</v>
      </c>
      <c r="AZ295" s="107">
        <f>_xlfn.IFNA($M295/VLOOKUP($BU295,'Unit information'!$A$2:$K$29,8,FALSE)*X295,0)*(1+$E$9)</f>
        <v>0</v>
      </c>
      <c r="BA295" s="107">
        <f>_xlfn.IFNA($M295/VLOOKUP($BU295,'Unit information'!$A$2:$K$29,9,FALSE)*Y295,0)*(1+$E$9)</f>
        <v>0</v>
      </c>
      <c r="BB295" s="107">
        <f>_xlfn.IFNA($M295/VLOOKUP($BV295,'Unit information'!$A$2:$K$29,10,FALSE)*Z295,0)*(1+$E$9)</f>
        <v>0</v>
      </c>
      <c r="BC295" s="108">
        <f>_xlfn.IFNA($M295/VLOOKUP($BV295,'Unit information'!$A$2:$K$29,11,FALSE)*AA295,0)*(1+$E$9)</f>
        <v>0</v>
      </c>
      <c r="BD295" s="106">
        <f t="shared" si="384"/>
        <v>0</v>
      </c>
      <c r="BE295" s="107">
        <f t="shared" si="385"/>
        <v>0</v>
      </c>
      <c r="BF295" s="108">
        <f t="shared" si="386"/>
        <v>0</v>
      </c>
      <c r="BG295" s="25" t="e">
        <f t="shared" si="387"/>
        <v>#N/A</v>
      </c>
      <c r="BH295" s="25" t="e">
        <f t="shared" si="388"/>
        <v>#N/A</v>
      </c>
      <c r="BI295" s="25" t="e">
        <f t="shared" si="389"/>
        <v>#N/A</v>
      </c>
      <c r="BJ295" s="27" t="e">
        <f t="shared" si="390"/>
        <v>#N/A</v>
      </c>
      <c r="BK295" s="18" t="e">
        <f t="shared" si="391"/>
        <v>#N/A</v>
      </c>
      <c r="BL295" s="18" t="e">
        <f t="shared" si="392"/>
        <v>#N/A</v>
      </c>
      <c r="BM295" s="28" t="e">
        <f t="shared" si="437"/>
        <v>#N/A</v>
      </c>
      <c r="BN295" s="33">
        <f>HLOOKUP("maximum population",Miscelaneous!$C$1:$C$33,CH295+3,FALSE)</f>
        <v>240</v>
      </c>
      <c r="BO295" s="14">
        <f t="shared" si="403"/>
        <v>32</v>
      </c>
      <c r="BP295" s="14">
        <f t="shared" si="404"/>
        <v>0</v>
      </c>
      <c r="BQ295" s="14">
        <f t="shared" si="405"/>
        <v>208</v>
      </c>
      <c r="BR295" s="34" t="e">
        <f>HLOOKUP(J295,Villagers!$B$1:$V$33,L295+3,FALSE)-HLOOKUP(J295,Villagers!$B$1:$V$33,L295+2,FALSE)</f>
        <v>#N/A</v>
      </c>
      <c r="BS295" s="49">
        <f t="shared" si="406"/>
        <v>1</v>
      </c>
      <c r="BT295" s="50">
        <f t="shared" si="407"/>
        <v>0</v>
      </c>
      <c r="BU295" s="50">
        <f t="shared" si="408"/>
        <v>0</v>
      </c>
      <c r="BV295" s="50">
        <f t="shared" si="409"/>
        <v>0</v>
      </c>
      <c r="BW295" s="50">
        <f>IF($J294=BW$14,$L294,BW294)</f>
        <v>0</v>
      </c>
      <c r="BX295" s="50">
        <f t="shared" ref="BX295:BY303" si="453">IF($J294=BX$14,$L294,BX294)</f>
        <v>0</v>
      </c>
      <c r="BY295" s="50">
        <f t="shared" si="453"/>
        <v>0</v>
      </c>
      <c r="BZ295" s="50">
        <f t="shared" si="440"/>
        <v>0</v>
      </c>
      <c r="CA295" s="50">
        <f t="shared" si="441"/>
        <v>0</v>
      </c>
      <c r="CB295" s="50">
        <f t="shared" si="442"/>
        <v>1</v>
      </c>
      <c r="CC295" s="50">
        <f t="shared" si="443"/>
        <v>0</v>
      </c>
      <c r="CD295" s="50">
        <f t="shared" si="444"/>
        <v>0</v>
      </c>
      <c r="CE295" s="50">
        <f t="shared" si="445"/>
        <v>1</v>
      </c>
      <c r="CF295" s="50">
        <f t="shared" si="446"/>
        <v>1</v>
      </c>
      <c r="CG295" s="50">
        <f t="shared" si="447"/>
        <v>1</v>
      </c>
      <c r="CH295" s="50">
        <f t="shared" si="448"/>
        <v>1</v>
      </c>
      <c r="CI295" s="50">
        <f t="shared" si="449"/>
        <v>1</v>
      </c>
      <c r="CJ295" s="50">
        <f t="shared" si="450"/>
        <v>1</v>
      </c>
      <c r="CK295" s="50">
        <f t="shared" si="450"/>
        <v>0</v>
      </c>
      <c r="CL295" s="50">
        <f t="shared" si="450"/>
        <v>0</v>
      </c>
      <c r="CM295" s="51">
        <f t="shared" si="368"/>
        <v>0</v>
      </c>
      <c r="CN295" s="33">
        <f>ROUND(IF(BS295=0,0,HLOOKUP(BS$14,Villagers!$B$1:$V$33,BS295+3,FALSE)),)</f>
        <v>5</v>
      </c>
      <c r="CO295" s="14">
        <f>ROUND(IF(BT295=0,0,HLOOKUP(BT$14,Villagers!$B$1:$V$33,BT295+3,FALSE)),)</f>
        <v>0</v>
      </c>
      <c r="CP295" s="14">
        <f>ROUND(IF(BU295=0,0,HLOOKUP(BU$14,Villagers!$B$1:$V$33,BU295+3,FALSE)),)</f>
        <v>0</v>
      </c>
      <c r="CQ295" s="14">
        <f>ROUND(IF(BV295=0,0,HLOOKUP(BV$14,Villagers!$B$1:$V$33,BV295+3,FALSE)),)</f>
        <v>0</v>
      </c>
      <c r="CR295" s="14">
        <f>ROUND(IF(BW295=0,0,HLOOKUP(BW$14,Villagers!$B$1:$V$33,BW295+3,FALSE)),)</f>
        <v>0</v>
      </c>
      <c r="CS295" s="14">
        <f>ROUND(IF(BX295=0,0,HLOOKUP(BX$14,Villagers!$B$1:$V$33,BX295+3,FALSE)),)</f>
        <v>0</v>
      </c>
      <c r="CT295" s="14">
        <f>ROUND(IF(BY295=0,0,HLOOKUP(BY$14,Villagers!$B$1:$V$33,BY295+3,FALSE)),)</f>
        <v>0</v>
      </c>
      <c r="CU295" s="14">
        <f>ROUND(IF(BZ295=0,0,HLOOKUP(BZ$14,Villagers!$B$1:$V$33,BZ295+3,FALSE)),)</f>
        <v>0</v>
      </c>
      <c r="CV295" s="14">
        <f>ROUND(IF(CA295=0,0,HLOOKUP(CA$14,Villagers!$B$1:$V$33,CA295+3,FALSE)),)</f>
        <v>0</v>
      </c>
      <c r="CW295" s="14">
        <f>ROUND(IF(CB295=0,0,HLOOKUP(CB$14,Villagers!$B$1:$V$33,CB295+3,FALSE)),)</f>
        <v>0</v>
      </c>
      <c r="CX295" s="14">
        <f>ROUND(IF(CC295=0,0,HLOOKUP(CC$14,Villagers!$B$1:$V$33,CC295+3,FALSE)),)</f>
        <v>0</v>
      </c>
      <c r="CY295" s="14">
        <f>ROUND(IF(CD295=0,0,HLOOKUP(CD$14,Villagers!$B$1:$V$33,CD295+3,FALSE)),)</f>
        <v>0</v>
      </c>
      <c r="CZ295" s="14">
        <f>ROUND(IF(CE295=0,0,HLOOKUP(CE$14,Villagers!$B$1:$V$33,CE295+3,FALSE)),)</f>
        <v>5</v>
      </c>
      <c r="DA295" s="14">
        <f>ROUND(IF(CF295=0,0,HLOOKUP(CF$14,Villagers!$B$1:$V$33,CF295+3,FALSE)),)</f>
        <v>10</v>
      </c>
      <c r="DB295" s="14">
        <f>ROUND(IF(CG295=0,0,HLOOKUP(CG$14,Villagers!$B$1:$V$33,CG295+3,FALSE)),)</f>
        <v>10</v>
      </c>
      <c r="DC295" s="14">
        <f>ROUND(IF(CH295=0,0,HLOOKUP(CH$14,Villagers!$B$1:$V$33,CH295+3,FALSE)),)</f>
        <v>0</v>
      </c>
      <c r="DD295" s="14">
        <f>ROUND(IF(CI295=0,0,HLOOKUP(CI$14,Villagers!$B$1:$V$33,CI295+3,FALSE)),)</f>
        <v>0</v>
      </c>
      <c r="DE295" s="14">
        <f>ROUND(IF(CJ295=0,0,HLOOKUP(CJ$14,Villagers!$B$1:$V$33,CJ295+3,FALSE)),)</f>
        <v>2</v>
      </c>
      <c r="DF295" s="370">
        <f>ROUND(IF(CK295=0,0,HLOOKUP(CK$14,Villagers!$B$1:$V$33,CK295+3,FALSE)),)</f>
        <v>0</v>
      </c>
      <c r="DG295" s="370">
        <f>ROUND(IF(CL295=0,0,HLOOKUP(CL$14,Villagers!$B$1:$V$33,CL295+3,FALSE)),)</f>
        <v>0</v>
      </c>
      <c r="DH295" s="34">
        <f>ROUND(IF(CM295=0,0,HLOOKUP(CM$14,Villagers!$B$1:$V$33,CM295+3,FALSE)),)</f>
        <v>0</v>
      </c>
      <c r="DI295" s="109">
        <f t="shared" si="426"/>
        <v>0</v>
      </c>
      <c r="DJ295" s="50">
        <f t="shared" si="427"/>
        <v>0</v>
      </c>
      <c r="DK295" s="50">
        <f t="shared" si="428"/>
        <v>0</v>
      </c>
      <c r="DL295" s="50">
        <f t="shared" si="429"/>
        <v>0</v>
      </c>
      <c r="DM295" s="50">
        <f t="shared" si="430"/>
        <v>0</v>
      </c>
      <c r="DN295" s="50">
        <f t="shared" si="431"/>
        <v>0</v>
      </c>
      <c r="DO295" s="50">
        <f t="shared" si="432"/>
        <v>0</v>
      </c>
      <c r="DP295" s="50">
        <f t="shared" si="433"/>
        <v>0</v>
      </c>
      <c r="DQ295" s="50">
        <f t="shared" si="411"/>
        <v>0</v>
      </c>
      <c r="DR295" s="50">
        <f t="shared" si="412"/>
        <v>0</v>
      </c>
      <c r="DS295" s="96">
        <f>Miscelaneous!$D$4*Miscelaneous!$D$2^($CI295-1)</f>
        <v>1000</v>
      </c>
      <c r="DT295" s="333">
        <f t="shared" si="393"/>
        <v>1</v>
      </c>
      <c r="DU295" s="81">
        <v>1</v>
      </c>
      <c r="DV295" s="79">
        <f t="shared" si="413"/>
        <v>0</v>
      </c>
      <c r="DW295" s="79">
        <f t="shared" si="414"/>
        <v>0</v>
      </c>
      <c r="DX295" s="79">
        <f t="shared" si="415"/>
        <v>0</v>
      </c>
      <c r="DY295" s="79">
        <v>1</v>
      </c>
      <c r="DZ295" s="79">
        <f t="shared" si="416"/>
        <v>0</v>
      </c>
      <c r="EA295" s="79">
        <f t="shared" si="417"/>
        <v>0</v>
      </c>
      <c r="EB295" s="79">
        <f t="shared" si="418"/>
        <v>0</v>
      </c>
      <c r="EC295" s="79">
        <f t="shared" si="419"/>
        <v>0</v>
      </c>
      <c r="ED295" s="79">
        <v>1</v>
      </c>
      <c r="EE295" s="79">
        <v>1</v>
      </c>
      <c r="EF295" s="79">
        <f t="shared" si="420"/>
        <v>0</v>
      </c>
      <c r="EG295" s="79">
        <v>1</v>
      </c>
      <c r="EH295" s="79">
        <v>1</v>
      </c>
      <c r="EI295" s="79">
        <v>1</v>
      </c>
      <c r="EJ295" s="79">
        <v>1</v>
      </c>
      <c r="EK295" s="79">
        <v>1</v>
      </c>
      <c r="EL295" s="79">
        <v>1</v>
      </c>
      <c r="EM295" s="143">
        <f t="shared" si="421"/>
        <v>0</v>
      </c>
      <c r="EN295" s="143">
        <f t="shared" si="422"/>
        <v>0</v>
      </c>
      <c r="EO295" s="82">
        <f t="shared" si="423"/>
        <v>0</v>
      </c>
    </row>
    <row r="296" spans="1:145" x14ac:dyDescent="0.25">
      <c r="A296">
        <v>282</v>
      </c>
      <c r="B296" s="172" t="e">
        <f t="shared" si="394"/>
        <v>#N/A</v>
      </c>
      <c r="C296" s="121" t="e">
        <f t="shared" si="373"/>
        <v>#N/A</v>
      </c>
      <c r="D296" s="122" t="e">
        <f t="shared" si="374"/>
        <v>#N/A</v>
      </c>
      <c r="E296" s="122" t="e">
        <f t="shared" si="375"/>
        <v>#N/A</v>
      </c>
      <c r="F296" s="176" t="e">
        <f t="shared" si="376"/>
        <v>#N/A</v>
      </c>
      <c r="G296" s="121">
        <f t="shared" si="395"/>
        <v>208</v>
      </c>
      <c r="H296" s="176" t="e">
        <f t="shared" si="396"/>
        <v>#N/A</v>
      </c>
      <c r="I296" s="48">
        <v>1</v>
      </c>
      <c r="J296" s="39"/>
      <c r="K296" s="350">
        <v>1</v>
      </c>
      <c r="L296" s="34" t="e">
        <f t="shared" si="377"/>
        <v>#N/A</v>
      </c>
      <c r="M296" s="38" t="e">
        <f>(HLOOKUP(J296,'Construction Times'!$B$3:$W$34,L296+2,FALSE)*HLOOKUP("hq modifier",'Construction Times'!$W$3:$W$34,BS296+2,FALSE))*(1-$H$9)</f>
        <v>#N/A</v>
      </c>
      <c r="N296" s="443" t="e">
        <f t="shared" si="397"/>
        <v>#N/A</v>
      </c>
      <c r="O296" s="444"/>
      <c r="P296" s="447" t="e">
        <f t="shared" si="398"/>
        <v>#N/A</v>
      </c>
      <c r="Q296" s="448"/>
      <c r="R296" s="103">
        <f t="shared" si="424"/>
        <v>0</v>
      </c>
      <c r="S296" s="104">
        <f t="shared" si="424"/>
        <v>0</v>
      </c>
      <c r="T296" s="104">
        <f t="shared" si="425"/>
        <v>0</v>
      </c>
      <c r="U296" s="104">
        <f t="shared" si="425"/>
        <v>0</v>
      </c>
      <c r="V296" s="104">
        <f t="shared" si="425"/>
        <v>9.9999999999999995E-8</v>
      </c>
      <c r="W296" s="104">
        <f t="shared" si="425"/>
        <v>0</v>
      </c>
      <c r="X296" s="104">
        <f t="shared" si="365"/>
        <v>0</v>
      </c>
      <c r="Y296" s="104">
        <f t="shared" si="365"/>
        <v>9.9999999999999995E-8</v>
      </c>
      <c r="Z296" s="104">
        <f t="shared" si="365"/>
        <v>9.9999999999999995E-8</v>
      </c>
      <c r="AA296" s="105">
        <f t="shared" si="365"/>
        <v>9.9999999999999995E-8</v>
      </c>
      <c r="AB296" s="101" t="e">
        <f>$DT296*HLOOKUP($J296,'Construction Costs (timber)'!$B$1:$V$32,'Construction Planner'!$L296+2,FALSE)</f>
        <v>#N/A</v>
      </c>
      <c r="AC296" s="14" t="e">
        <f>$DT296*HLOOKUP($J296,'Construction Costs (clay)'!$B$1:$V$32,'Construction Planner'!$L296+2,FALSE)</f>
        <v>#N/A</v>
      </c>
      <c r="AD296" s="14" t="e">
        <f>$DT296*HLOOKUP($J296,'Construction Costs (iron)'!$B$1:$V$32,'Construction Planner'!$L296+2,FALSE)</f>
        <v>#N/A</v>
      </c>
      <c r="AE296" s="34" t="e">
        <f t="shared" si="434"/>
        <v>#N/A</v>
      </c>
      <c r="AF296" s="33" t="e">
        <f t="shared" si="378"/>
        <v>#N/A</v>
      </c>
      <c r="AG296" s="14" t="e">
        <f t="shared" si="379"/>
        <v>#N/A</v>
      </c>
      <c r="AH296" s="14" t="e">
        <f t="shared" si="380"/>
        <v>#N/A</v>
      </c>
      <c r="AI296" s="34" t="e">
        <f t="shared" si="435"/>
        <v>#N/A</v>
      </c>
      <c r="AJ296" s="49" t="e">
        <f t="shared" si="399"/>
        <v>#N/A</v>
      </c>
      <c r="AK296" s="49" t="e">
        <f t="shared" si="400"/>
        <v>#N/A</v>
      </c>
      <c r="AL296" s="49" t="e">
        <f t="shared" si="401"/>
        <v>#N/A</v>
      </c>
      <c r="AM296" s="25">
        <f t="shared" si="381"/>
        <v>30</v>
      </c>
      <c r="AN296" s="25">
        <f t="shared" si="382"/>
        <v>30</v>
      </c>
      <c r="AO296" s="25">
        <f t="shared" si="383"/>
        <v>30</v>
      </c>
      <c r="AP296" s="52" t="e">
        <f t="shared" si="402"/>
        <v>#N/A</v>
      </c>
      <c r="AQ296" s="53" t="e">
        <f t="shared" si="402"/>
        <v>#N/A</v>
      </c>
      <c r="AR296" s="54" t="e">
        <f t="shared" si="402"/>
        <v>#N/A</v>
      </c>
      <c r="AS296" s="316">
        <f t="shared" si="452"/>
        <v>0</v>
      </c>
      <c r="AT296" s="106">
        <f>_xlfn.IFNA($M296/VLOOKUP($BT296,'Unit information'!$A$2:$K$29,2,FALSE)*R296,0)*(1+$E$9)</f>
        <v>0</v>
      </c>
      <c r="AU296" s="107">
        <f>_xlfn.IFNA($M296/VLOOKUP($BT296,'Unit information'!$A$2:$K$29,3,FALSE)*S296,0)*(1+$E$9)</f>
        <v>0</v>
      </c>
      <c r="AV296" s="107">
        <f>_xlfn.IFNA($M296/VLOOKUP($BT296,'Unit information'!$A$2:$K$29,4,FALSE)*T296,0)*(1+$E$9)</f>
        <v>0</v>
      </c>
      <c r="AW296" s="107">
        <f>_xlfn.IFNA($M296/VLOOKUP($BT296,'Unit information'!$A$2:$K$29,5,FALSE)*U296,0)*(1+$E$9)</f>
        <v>0</v>
      </c>
      <c r="AX296" s="107">
        <f>_xlfn.IFNA($M296/VLOOKUP($BU296,'Unit information'!$A$2:$K$29,6,FALSE)*V296,0)*(1+$E$9)</f>
        <v>0</v>
      </c>
      <c r="AY296" s="107">
        <f>_xlfn.IFNA($M296/VLOOKUP($BU296,'Unit information'!$A$2:$K$29,7,FALSE)*W296,0)*(1+$E$9)</f>
        <v>0</v>
      </c>
      <c r="AZ296" s="107">
        <f>_xlfn.IFNA($M296/VLOOKUP($BU296,'Unit information'!$A$2:$K$29,8,FALSE)*X296,0)*(1+$E$9)</f>
        <v>0</v>
      </c>
      <c r="BA296" s="107">
        <f>_xlfn.IFNA($M296/VLOOKUP($BU296,'Unit information'!$A$2:$K$29,9,FALSE)*Y296,0)*(1+$E$9)</f>
        <v>0</v>
      </c>
      <c r="BB296" s="107">
        <f>_xlfn.IFNA($M296/VLOOKUP($BV296,'Unit information'!$A$2:$K$29,10,FALSE)*Z296,0)*(1+$E$9)</f>
        <v>0</v>
      </c>
      <c r="BC296" s="108">
        <f>_xlfn.IFNA($M296/VLOOKUP($BV296,'Unit information'!$A$2:$K$29,11,FALSE)*AA296,0)*(1+$E$9)</f>
        <v>0</v>
      </c>
      <c r="BD296" s="106">
        <f t="shared" si="384"/>
        <v>0</v>
      </c>
      <c r="BE296" s="107">
        <f t="shared" si="385"/>
        <v>0</v>
      </c>
      <c r="BF296" s="108">
        <f t="shared" si="386"/>
        <v>0</v>
      </c>
      <c r="BG296" s="25" t="e">
        <f t="shared" si="387"/>
        <v>#N/A</v>
      </c>
      <c r="BH296" s="25" t="e">
        <f t="shared" si="388"/>
        <v>#N/A</v>
      </c>
      <c r="BI296" s="25" t="e">
        <f t="shared" si="389"/>
        <v>#N/A</v>
      </c>
      <c r="BJ296" s="27" t="e">
        <f t="shared" si="390"/>
        <v>#N/A</v>
      </c>
      <c r="BK296" s="18" t="e">
        <f t="shared" si="391"/>
        <v>#N/A</v>
      </c>
      <c r="BL296" s="18" t="e">
        <f t="shared" si="392"/>
        <v>#N/A</v>
      </c>
      <c r="BM296" s="28" t="e">
        <f t="shared" si="437"/>
        <v>#N/A</v>
      </c>
      <c r="BN296" s="33">
        <f>HLOOKUP("maximum population",Miscelaneous!$C$1:$C$33,CH296+3,FALSE)</f>
        <v>240</v>
      </c>
      <c r="BO296" s="14">
        <f t="shared" si="403"/>
        <v>32</v>
      </c>
      <c r="BP296" s="14">
        <f t="shared" si="404"/>
        <v>0</v>
      </c>
      <c r="BQ296" s="14">
        <f t="shared" si="405"/>
        <v>208</v>
      </c>
      <c r="BR296" s="34" t="e">
        <f>HLOOKUP(J296,Villagers!$B$1:$V$33,L296+3,FALSE)-HLOOKUP(J296,Villagers!$B$1:$V$33,L296+2,FALSE)</f>
        <v>#N/A</v>
      </c>
      <c r="BS296" s="49">
        <f t="shared" si="406"/>
        <v>1</v>
      </c>
      <c r="BT296" s="50">
        <f t="shared" si="407"/>
        <v>0</v>
      </c>
      <c r="BU296" s="50">
        <f t="shared" si="408"/>
        <v>0</v>
      </c>
      <c r="BV296" s="50">
        <f t="shared" si="409"/>
        <v>0</v>
      </c>
      <c r="BW296" s="50">
        <f t="shared" ref="BW296:BW303" si="454">IF($J295=BW$14,$L295,BW295)</f>
        <v>0</v>
      </c>
      <c r="BX296" s="50">
        <f t="shared" si="453"/>
        <v>0</v>
      </c>
      <c r="BY296" s="50">
        <f t="shared" si="453"/>
        <v>0</v>
      </c>
      <c r="BZ296" s="50">
        <f t="shared" si="440"/>
        <v>0</v>
      </c>
      <c r="CA296" s="50">
        <f t="shared" si="441"/>
        <v>0</v>
      </c>
      <c r="CB296" s="50">
        <f t="shared" si="442"/>
        <v>1</v>
      </c>
      <c r="CC296" s="50">
        <f t="shared" si="443"/>
        <v>0</v>
      </c>
      <c r="CD296" s="50">
        <f t="shared" si="444"/>
        <v>0</v>
      </c>
      <c r="CE296" s="50">
        <f t="shared" si="445"/>
        <v>1</v>
      </c>
      <c r="CF296" s="50">
        <f t="shared" si="446"/>
        <v>1</v>
      </c>
      <c r="CG296" s="50">
        <f t="shared" si="447"/>
        <v>1</v>
      </c>
      <c r="CH296" s="50">
        <f t="shared" si="448"/>
        <v>1</v>
      </c>
      <c r="CI296" s="50">
        <f t="shared" si="449"/>
        <v>1</v>
      </c>
      <c r="CJ296" s="50">
        <f t="shared" si="450"/>
        <v>1</v>
      </c>
      <c r="CK296" s="50">
        <f t="shared" si="450"/>
        <v>0</v>
      </c>
      <c r="CL296" s="50">
        <f t="shared" si="450"/>
        <v>0</v>
      </c>
      <c r="CM296" s="51">
        <f t="shared" si="368"/>
        <v>0</v>
      </c>
      <c r="CN296" s="33">
        <f>ROUND(IF(BS296=0,0,HLOOKUP(BS$14,Villagers!$B$1:$V$33,BS296+3,FALSE)),)</f>
        <v>5</v>
      </c>
      <c r="CO296" s="14">
        <f>ROUND(IF(BT296=0,0,HLOOKUP(BT$14,Villagers!$B$1:$V$33,BT296+3,FALSE)),)</f>
        <v>0</v>
      </c>
      <c r="CP296" s="14">
        <f>ROUND(IF(BU296=0,0,HLOOKUP(BU$14,Villagers!$B$1:$V$33,BU296+3,FALSE)),)</f>
        <v>0</v>
      </c>
      <c r="CQ296" s="14">
        <f>ROUND(IF(BV296=0,0,HLOOKUP(BV$14,Villagers!$B$1:$V$33,BV296+3,FALSE)),)</f>
        <v>0</v>
      </c>
      <c r="CR296" s="14">
        <f>ROUND(IF(BW296=0,0,HLOOKUP(BW$14,Villagers!$B$1:$V$33,BW296+3,FALSE)),)</f>
        <v>0</v>
      </c>
      <c r="CS296" s="14">
        <f>ROUND(IF(BX296=0,0,HLOOKUP(BX$14,Villagers!$B$1:$V$33,BX296+3,FALSE)),)</f>
        <v>0</v>
      </c>
      <c r="CT296" s="14">
        <f>ROUND(IF(BY296=0,0,HLOOKUP(BY$14,Villagers!$B$1:$V$33,BY296+3,FALSE)),)</f>
        <v>0</v>
      </c>
      <c r="CU296" s="14">
        <f>ROUND(IF(BZ296=0,0,HLOOKUP(BZ$14,Villagers!$B$1:$V$33,BZ296+3,FALSE)),)</f>
        <v>0</v>
      </c>
      <c r="CV296" s="14">
        <f>ROUND(IF(CA296=0,0,HLOOKUP(CA$14,Villagers!$B$1:$V$33,CA296+3,FALSE)),)</f>
        <v>0</v>
      </c>
      <c r="CW296" s="14">
        <f>ROUND(IF(CB296=0,0,HLOOKUP(CB$14,Villagers!$B$1:$V$33,CB296+3,FALSE)),)</f>
        <v>0</v>
      </c>
      <c r="CX296" s="14">
        <f>ROUND(IF(CC296=0,0,HLOOKUP(CC$14,Villagers!$B$1:$V$33,CC296+3,FALSE)),)</f>
        <v>0</v>
      </c>
      <c r="CY296" s="14">
        <f>ROUND(IF(CD296=0,0,HLOOKUP(CD$14,Villagers!$B$1:$V$33,CD296+3,FALSE)),)</f>
        <v>0</v>
      </c>
      <c r="CZ296" s="14">
        <f>ROUND(IF(CE296=0,0,HLOOKUP(CE$14,Villagers!$B$1:$V$33,CE296+3,FALSE)),)</f>
        <v>5</v>
      </c>
      <c r="DA296" s="14">
        <f>ROUND(IF(CF296=0,0,HLOOKUP(CF$14,Villagers!$B$1:$V$33,CF296+3,FALSE)),)</f>
        <v>10</v>
      </c>
      <c r="DB296" s="14">
        <f>ROUND(IF(CG296=0,0,HLOOKUP(CG$14,Villagers!$B$1:$V$33,CG296+3,FALSE)),)</f>
        <v>10</v>
      </c>
      <c r="DC296" s="14">
        <f>ROUND(IF(CH296=0,0,HLOOKUP(CH$14,Villagers!$B$1:$V$33,CH296+3,FALSE)),)</f>
        <v>0</v>
      </c>
      <c r="DD296" s="14">
        <f>ROUND(IF(CI296=0,0,HLOOKUP(CI$14,Villagers!$B$1:$V$33,CI296+3,FALSE)),)</f>
        <v>0</v>
      </c>
      <c r="DE296" s="14">
        <f>ROUND(IF(CJ296=0,0,HLOOKUP(CJ$14,Villagers!$B$1:$V$33,CJ296+3,FALSE)),)</f>
        <v>2</v>
      </c>
      <c r="DF296" s="370">
        <f>ROUND(IF(CK296=0,0,HLOOKUP(CK$14,Villagers!$B$1:$V$33,CK296+3,FALSE)),)</f>
        <v>0</v>
      </c>
      <c r="DG296" s="370">
        <f>ROUND(IF(CL296=0,0,HLOOKUP(CL$14,Villagers!$B$1:$V$33,CL296+3,FALSE)),)</f>
        <v>0</v>
      </c>
      <c r="DH296" s="34">
        <f>ROUND(IF(CM296=0,0,HLOOKUP(CM$14,Villagers!$B$1:$V$33,CM296+3,FALSE)),)</f>
        <v>0</v>
      </c>
      <c r="DI296" s="109">
        <f t="shared" si="426"/>
        <v>0</v>
      </c>
      <c r="DJ296" s="50">
        <f t="shared" si="427"/>
        <v>0</v>
      </c>
      <c r="DK296" s="50">
        <f t="shared" si="428"/>
        <v>0</v>
      </c>
      <c r="DL296" s="50">
        <f t="shared" si="429"/>
        <v>0</v>
      </c>
      <c r="DM296" s="50">
        <f t="shared" si="430"/>
        <v>0</v>
      </c>
      <c r="DN296" s="50">
        <f t="shared" si="431"/>
        <v>0</v>
      </c>
      <c r="DO296" s="50">
        <f t="shared" si="432"/>
        <v>0</v>
      </c>
      <c r="DP296" s="50">
        <f t="shared" si="433"/>
        <v>0</v>
      </c>
      <c r="DQ296" s="50">
        <f t="shared" si="411"/>
        <v>0</v>
      </c>
      <c r="DR296" s="50">
        <f t="shared" si="412"/>
        <v>0</v>
      </c>
      <c r="DS296" s="96">
        <f>Miscelaneous!$D$4*Miscelaneous!$D$2^($CI296-1)</f>
        <v>1000</v>
      </c>
      <c r="DT296" s="333">
        <f t="shared" si="393"/>
        <v>1</v>
      </c>
      <c r="DU296" s="81">
        <v>1</v>
      </c>
      <c r="DV296" s="79">
        <f t="shared" si="413"/>
        <v>0</v>
      </c>
      <c r="DW296" s="79">
        <f t="shared" si="414"/>
        <v>0</v>
      </c>
      <c r="DX296" s="79">
        <f t="shared" si="415"/>
        <v>0</v>
      </c>
      <c r="DY296" s="79">
        <v>1</v>
      </c>
      <c r="DZ296" s="79">
        <f t="shared" si="416"/>
        <v>0</v>
      </c>
      <c r="EA296" s="79">
        <f t="shared" si="417"/>
        <v>0</v>
      </c>
      <c r="EB296" s="79">
        <f t="shared" si="418"/>
        <v>0</v>
      </c>
      <c r="EC296" s="79">
        <f t="shared" si="419"/>
        <v>0</v>
      </c>
      <c r="ED296" s="79">
        <v>1</v>
      </c>
      <c r="EE296" s="79">
        <v>1</v>
      </c>
      <c r="EF296" s="79">
        <f t="shared" si="420"/>
        <v>0</v>
      </c>
      <c r="EG296" s="79">
        <v>1</v>
      </c>
      <c r="EH296" s="79">
        <v>1</v>
      </c>
      <c r="EI296" s="79">
        <v>1</v>
      </c>
      <c r="EJ296" s="79">
        <v>1</v>
      </c>
      <c r="EK296" s="79">
        <v>1</v>
      </c>
      <c r="EL296" s="79">
        <v>1</v>
      </c>
      <c r="EM296" s="143">
        <f t="shared" si="421"/>
        <v>0</v>
      </c>
      <c r="EN296" s="143">
        <f t="shared" si="422"/>
        <v>0</v>
      </c>
      <c r="EO296" s="82">
        <f t="shared" si="423"/>
        <v>0</v>
      </c>
    </row>
    <row r="297" spans="1:145" x14ac:dyDescent="0.25">
      <c r="A297">
        <v>283</v>
      </c>
      <c r="B297" s="172" t="e">
        <f t="shared" si="394"/>
        <v>#N/A</v>
      </c>
      <c r="C297" s="121" t="e">
        <f t="shared" si="373"/>
        <v>#N/A</v>
      </c>
      <c r="D297" s="122" t="e">
        <f t="shared" si="374"/>
        <v>#N/A</v>
      </c>
      <c r="E297" s="122" t="e">
        <f t="shared" si="375"/>
        <v>#N/A</v>
      </c>
      <c r="F297" s="176" t="e">
        <f t="shared" si="376"/>
        <v>#N/A</v>
      </c>
      <c r="G297" s="121">
        <f t="shared" si="395"/>
        <v>208</v>
      </c>
      <c r="H297" s="176" t="e">
        <f t="shared" si="396"/>
        <v>#N/A</v>
      </c>
      <c r="I297" s="48">
        <v>1</v>
      </c>
      <c r="J297" s="39"/>
      <c r="K297" s="350">
        <v>1</v>
      </c>
      <c r="L297" s="34" t="e">
        <f t="shared" si="377"/>
        <v>#N/A</v>
      </c>
      <c r="M297" s="38" t="e">
        <f>(HLOOKUP(J297,'Construction Times'!$B$3:$W$34,L297+2,FALSE)*HLOOKUP("hq modifier",'Construction Times'!$W$3:$W$34,BS297+2,FALSE))*(1-$H$9)</f>
        <v>#N/A</v>
      </c>
      <c r="N297" s="443" t="e">
        <f t="shared" si="397"/>
        <v>#N/A</v>
      </c>
      <c r="O297" s="444"/>
      <c r="P297" s="447" t="e">
        <f t="shared" si="398"/>
        <v>#N/A</v>
      </c>
      <c r="Q297" s="448"/>
      <c r="R297" s="103">
        <f t="shared" si="424"/>
        <v>0</v>
      </c>
      <c r="S297" s="104">
        <f t="shared" si="424"/>
        <v>0</v>
      </c>
      <c r="T297" s="104">
        <f t="shared" si="425"/>
        <v>0</v>
      </c>
      <c r="U297" s="104">
        <f t="shared" si="425"/>
        <v>0</v>
      </c>
      <c r="V297" s="104">
        <f t="shared" si="425"/>
        <v>9.9999999999999995E-8</v>
      </c>
      <c r="W297" s="104">
        <f t="shared" si="425"/>
        <v>0</v>
      </c>
      <c r="X297" s="104">
        <f t="shared" si="365"/>
        <v>0</v>
      </c>
      <c r="Y297" s="104">
        <f t="shared" si="365"/>
        <v>9.9999999999999995E-8</v>
      </c>
      <c r="Z297" s="104">
        <f t="shared" si="365"/>
        <v>9.9999999999999995E-8</v>
      </c>
      <c r="AA297" s="105">
        <f t="shared" si="365"/>
        <v>9.9999999999999995E-8</v>
      </c>
      <c r="AB297" s="101" t="e">
        <f>$DT297*HLOOKUP($J297,'Construction Costs (timber)'!$B$1:$V$32,'Construction Planner'!$L297+2,FALSE)</f>
        <v>#N/A</v>
      </c>
      <c r="AC297" s="14" t="e">
        <f>$DT297*HLOOKUP($J297,'Construction Costs (clay)'!$B$1:$V$32,'Construction Planner'!$L297+2,FALSE)</f>
        <v>#N/A</v>
      </c>
      <c r="AD297" s="14" t="e">
        <f>$DT297*HLOOKUP($J297,'Construction Costs (iron)'!$B$1:$V$32,'Construction Planner'!$L297+2,FALSE)</f>
        <v>#N/A</v>
      </c>
      <c r="AE297" s="34" t="e">
        <f t="shared" si="434"/>
        <v>#N/A</v>
      </c>
      <c r="AF297" s="33" t="e">
        <f t="shared" si="378"/>
        <v>#N/A</v>
      </c>
      <c r="AG297" s="14" t="e">
        <f t="shared" si="379"/>
        <v>#N/A</v>
      </c>
      <c r="AH297" s="14" t="e">
        <f t="shared" si="380"/>
        <v>#N/A</v>
      </c>
      <c r="AI297" s="34" t="e">
        <f t="shared" si="435"/>
        <v>#N/A</v>
      </c>
      <c r="AJ297" s="49" t="e">
        <f t="shared" si="399"/>
        <v>#N/A</v>
      </c>
      <c r="AK297" s="49" t="e">
        <f t="shared" si="400"/>
        <v>#N/A</v>
      </c>
      <c r="AL297" s="49" t="e">
        <f t="shared" si="401"/>
        <v>#N/A</v>
      </c>
      <c r="AM297" s="25">
        <f t="shared" si="381"/>
        <v>30</v>
      </c>
      <c r="AN297" s="25">
        <f t="shared" si="382"/>
        <v>30</v>
      </c>
      <c r="AO297" s="25">
        <f t="shared" si="383"/>
        <v>30</v>
      </c>
      <c r="AP297" s="52" t="e">
        <f t="shared" si="402"/>
        <v>#N/A</v>
      </c>
      <c r="AQ297" s="53" t="e">
        <f t="shared" si="402"/>
        <v>#N/A</v>
      </c>
      <c r="AR297" s="54" t="e">
        <f t="shared" si="402"/>
        <v>#N/A</v>
      </c>
      <c r="AS297" s="316">
        <f t="shared" si="452"/>
        <v>0</v>
      </c>
      <c r="AT297" s="106">
        <f>_xlfn.IFNA($M297/VLOOKUP($BT297,'Unit information'!$A$2:$K$29,2,FALSE)*R297,0)*(1+$E$9)</f>
        <v>0</v>
      </c>
      <c r="AU297" s="107">
        <f>_xlfn.IFNA($M297/VLOOKUP($BT297,'Unit information'!$A$2:$K$29,3,FALSE)*S297,0)*(1+$E$9)</f>
        <v>0</v>
      </c>
      <c r="AV297" s="107">
        <f>_xlfn.IFNA($M297/VLOOKUP($BT297,'Unit information'!$A$2:$K$29,4,FALSE)*T297,0)*(1+$E$9)</f>
        <v>0</v>
      </c>
      <c r="AW297" s="107">
        <f>_xlfn.IFNA($M297/VLOOKUP($BT297,'Unit information'!$A$2:$K$29,5,FALSE)*U297,0)*(1+$E$9)</f>
        <v>0</v>
      </c>
      <c r="AX297" s="107">
        <f>_xlfn.IFNA($M297/VLOOKUP($BU297,'Unit information'!$A$2:$K$29,6,FALSE)*V297,0)*(1+$E$9)</f>
        <v>0</v>
      </c>
      <c r="AY297" s="107">
        <f>_xlfn.IFNA($M297/VLOOKUP($BU297,'Unit information'!$A$2:$K$29,7,FALSE)*W297,0)*(1+$E$9)</f>
        <v>0</v>
      </c>
      <c r="AZ297" s="107">
        <f>_xlfn.IFNA($M297/VLOOKUP($BU297,'Unit information'!$A$2:$K$29,8,FALSE)*X297,0)*(1+$E$9)</f>
        <v>0</v>
      </c>
      <c r="BA297" s="107">
        <f>_xlfn.IFNA($M297/VLOOKUP($BU297,'Unit information'!$A$2:$K$29,9,FALSE)*Y297,0)*(1+$E$9)</f>
        <v>0</v>
      </c>
      <c r="BB297" s="107">
        <f>_xlfn.IFNA($M297/VLOOKUP($BV297,'Unit information'!$A$2:$K$29,10,FALSE)*Z297,0)*(1+$E$9)</f>
        <v>0</v>
      </c>
      <c r="BC297" s="108">
        <f>_xlfn.IFNA($M297/VLOOKUP($BV297,'Unit information'!$A$2:$K$29,11,FALSE)*AA297,0)*(1+$E$9)</f>
        <v>0</v>
      </c>
      <c r="BD297" s="106">
        <f t="shared" si="384"/>
        <v>0</v>
      </c>
      <c r="BE297" s="107">
        <f t="shared" si="385"/>
        <v>0</v>
      </c>
      <c r="BF297" s="108">
        <f t="shared" si="386"/>
        <v>0</v>
      </c>
      <c r="BG297" s="25" t="e">
        <f t="shared" si="387"/>
        <v>#N/A</v>
      </c>
      <c r="BH297" s="25" t="e">
        <f t="shared" si="388"/>
        <v>#N/A</v>
      </c>
      <c r="BI297" s="25" t="e">
        <f t="shared" si="389"/>
        <v>#N/A</v>
      </c>
      <c r="BJ297" s="27" t="e">
        <f t="shared" si="390"/>
        <v>#N/A</v>
      </c>
      <c r="BK297" s="18" t="e">
        <f t="shared" si="391"/>
        <v>#N/A</v>
      </c>
      <c r="BL297" s="18" t="e">
        <f t="shared" si="392"/>
        <v>#N/A</v>
      </c>
      <c r="BM297" s="28" t="e">
        <f t="shared" si="437"/>
        <v>#N/A</v>
      </c>
      <c r="BN297" s="33">
        <f>HLOOKUP("maximum population",Miscelaneous!$C$1:$C$33,CH297+3,FALSE)</f>
        <v>240</v>
      </c>
      <c r="BO297" s="14">
        <f t="shared" si="403"/>
        <v>32</v>
      </c>
      <c r="BP297" s="14">
        <f t="shared" si="404"/>
        <v>0</v>
      </c>
      <c r="BQ297" s="14">
        <f t="shared" si="405"/>
        <v>208</v>
      </c>
      <c r="BR297" s="34" t="e">
        <f>HLOOKUP(J297,Villagers!$B$1:$V$33,L297+3,FALSE)-HLOOKUP(J297,Villagers!$B$1:$V$33,L297+2,FALSE)</f>
        <v>#N/A</v>
      </c>
      <c r="BS297" s="49">
        <f t="shared" si="406"/>
        <v>1</v>
      </c>
      <c r="BT297" s="50">
        <f t="shared" si="407"/>
        <v>0</v>
      </c>
      <c r="BU297" s="50">
        <f t="shared" si="408"/>
        <v>0</v>
      </c>
      <c r="BV297" s="50">
        <f t="shared" si="409"/>
        <v>0</v>
      </c>
      <c r="BW297" s="50">
        <f t="shared" si="454"/>
        <v>0</v>
      </c>
      <c r="BX297" s="50">
        <f t="shared" si="453"/>
        <v>0</v>
      </c>
      <c r="BY297" s="50">
        <f t="shared" si="453"/>
        <v>0</v>
      </c>
      <c r="BZ297" s="50">
        <f t="shared" si="440"/>
        <v>0</v>
      </c>
      <c r="CA297" s="50">
        <f t="shared" si="441"/>
        <v>0</v>
      </c>
      <c r="CB297" s="50">
        <f t="shared" si="442"/>
        <v>1</v>
      </c>
      <c r="CC297" s="50">
        <f t="shared" si="443"/>
        <v>0</v>
      </c>
      <c r="CD297" s="50">
        <f t="shared" si="444"/>
        <v>0</v>
      </c>
      <c r="CE297" s="50">
        <f t="shared" si="445"/>
        <v>1</v>
      </c>
      <c r="CF297" s="50">
        <f t="shared" si="446"/>
        <v>1</v>
      </c>
      <c r="CG297" s="50">
        <f t="shared" si="447"/>
        <v>1</v>
      </c>
      <c r="CH297" s="50">
        <f t="shared" si="448"/>
        <v>1</v>
      </c>
      <c r="CI297" s="50">
        <f t="shared" si="449"/>
        <v>1</v>
      </c>
      <c r="CJ297" s="50">
        <f t="shared" si="450"/>
        <v>1</v>
      </c>
      <c r="CK297" s="50">
        <f t="shared" si="450"/>
        <v>0</v>
      </c>
      <c r="CL297" s="50">
        <f t="shared" si="450"/>
        <v>0</v>
      </c>
      <c r="CM297" s="51">
        <f t="shared" si="368"/>
        <v>0</v>
      </c>
      <c r="CN297" s="33">
        <f>ROUND(IF(BS297=0,0,HLOOKUP(BS$14,Villagers!$B$1:$V$33,BS297+3,FALSE)),)</f>
        <v>5</v>
      </c>
      <c r="CO297" s="14">
        <f>ROUND(IF(BT297=0,0,HLOOKUP(BT$14,Villagers!$B$1:$V$33,BT297+3,FALSE)),)</f>
        <v>0</v>
      </c>
      <c r="CP297" s="14">
        <f>ROUND(IF(BU297=0,0,HLOOKUP(BU$14,Villagers!$B$1:$V$33,BU297+3,FALSE)),)</f>
        <v>0</v>
      </c>
      <c r="CQ297" s="14">
        <f>ROUND(IF(BV297=0,0,HLOOKUP(BV$14,Villagers!$B$1:$V$33,BV297+3,FALSE)),)</f>
        <v>0</v>
      </c>
      <c r="CR297" s="14">
        <f>ROUND(IF(BW297=0,0,HLOOKUP(BW$14,Villagers!$B$1:$V$33,BW297+3,FALSE)),)</f>
        <v>0</v>
      </c>
      <c r="CS297" s="14">
        <f>ROUND(IF(BX297=0,0,HLOOKUP(BX$14,Villagers!$B$1:$V$33,BX297+3,FALSE)),)</f>
        <v>0</v>
      </c>
      <c r="CT297" s="14">
        <f>ROUND(IF(BY297=0,0,HLOOKUP(BY$14,Villagers!$B$1:$V$33,BY297+3,FALSE)),)</f>
        <v>0</v>
      </c>
      <c r="CU297" s="14">
        <f>ROUND(IF(BZ297=0,0,HLOOKUP(BZ$14,Villagers!$B$1:$V$33,BZ297+3,FALSE)),)</f>
        <v>0</v>
      </c>
      <c r="CV297" s="14">
        <f>ROUND(IF(CA297=0,0,HLOOKUP(CA$14,Villagers!$B$1:$V$33,CA297+3,FALSE)),)</f>
        <v>0</v>
      </c>
      <c r="CW297" s="14">
        <f>ROUND(IF(CB297=0,0,HLOOKUP(CB$14,Villagers!$B$1:$V$33,CB297+3,FALSE)),)</f>
        <v>0</v>
      </c>
      <c r="CX297" s="14">
        <f>ROUND(IF(CC297=0,0,HLOOKUP(CC$14,Villagers!$B$1:$V$33,CC297+3,FALSE)),)</f>
        <v>0</v>
      </c>
      <c r="CY297" s="14">
        <f>ROUND(IF(CD297=0,0,HLOOKUP(CD$14,Villagers!$B$1:$V$33,CD297+3,FALSE)),)</f>
        <v>0</v>
      </c>
      <c r="CZ297" s="14">
        <f>ROUND(IF(CE297=0,0,HLOOKUP(CE$14,Villagers!$B$1:$V$33,CE297+3,FALSE)),)</f>
        <v>5</v>
      </c>
      <c r="DA297" s="14">
        <f>ROUND(IF(CF297=0,0,HLOOKUP(CF$14,Villagers!$B$1:$V$33,CF297+3,FALSE)),)</f>
        <v>10</v>
      </c>
      <c r="DB297" s="14">
        <f>ROUND(IF(CG297=0,0,HLOOKUP(CG$14,Villagers!$B$1:$V$33,CG297+3,FALSE)),)</f>
        <v>10</v>
      </c>
      <c r="DC297" s="14">
        <f>ROUND(IF(CH297=0,0,HLOOKUP(CH$14,Villagers!$B$1:$V$33,CH297+3,FALSE)),)</f>
        <v>0</v>
      </c>
      <c r="DD297" s="14">
        <f>ROUND(IF(CI297=0,0,HLOOKUP(CI$14,Villagers!$B$1:$V$33,CI297+3,FALSE)),)</f>
        <v>0</v>
      </c>
      <c r="DE297" s="14">
        <f>ROUND(IF(CJ297=0,0,HLOOKUP(CJ$14,Villagers!$B$1:$V$33,CJ297+3,FALSE)),)</f>
        <v>2</v>
      </c>
      <c r="DF297" s="370">
        <f>ROUND(IF(CK297=0,0,HLOOKUP(CK$14,Villagers!$B$1:$V$33,CK297+3,FALSE)),)</f>
        <v>0</v>
      </c>
      <c r="DG297" s="370">
        <f>ROUND(IF(CL297=0,0,HLOOKUP(CL$14,Villagers!$B$1:$V$33,CL297+3,FALSE)),)</f>
        <v>0</v>
      </c>
      <c r="DH297" s="34">
        <f>ROUND(IF(CM297=0,0,HLOOKUP(CM$14,Villagers!$B$1:$V$33,CM297+3,FALSE)),)</f>
        <v>0</v>
      </c>
      <c r="DI297" s="109">
        <f t="shared" si="426"/>
        <v>0</v>
      </c>
      <c r="DJ297" s="50">
        <f t="shared" si="427"/>
        <v>0</v>
      </c>
      <c r="DK297" s="50">
        <f t="shared" si="428"/>
        <v>0</v>
      </c>
      <c r="DL297" s="50">
        <f t="shared" si="429"/>
        <v>0</v>
      </c>
      <c r="DM297" s="50">
        <f t="shared" si="430"/>
        <v>0</v>
      </c>
      <c r="DN297" s="50">
        <f t="shared" si="431"/>
        <v>0</v>
      </c>
      <c r="DO297" s="50">
        <f t="shared" si="432"/>
        <v>0</v>
      </c>
      <c r="DP297" s="50">
        <f t="shared" si="433"/>
        <v>0</v>
      </c>
      <c r="DQ297" s="50">
        <f t="shared" si="411"/>
        <v>0</v>
      </c>
      <c r="DR297" s="50">
        <f t="shared" si="412"/>
        <v>0</v>
      </c>
      <c r="DS297" s="96">
        <f>Miscelaneous!$D$4*Miscelaneous!$D$2^($CI297-1)</f>
        <v>1000</v>
      </c>
      <c r="DT297" s="333">
        <f t="shared" si="393"/>
        <v>1</v>
      </c>
      <c r="DU297" s="81">
        <v>1</v>
      </c>
      <c r="DV297" s="79">
        <f t="shared" si="413"/>
        <v>0</v>
      </c>
      <c r="DW297" s="79">
        <f t="shared" si="414"/>
        <v>0</v>
      </c>
      <c r="DX297" s="79">
        <f t="shared" si="415"/>
        <v>0</v>
      </c>
      <c r="DY297" s="79">
        <v>1</v>
      </c>
      <c r="DZ297" s="79">
        <f t="shared" si="416"/>
        <v>0</v>
      </c>
      <c r="EA297" s="79">
        <f t="shared" si="417"/>
        <v>0</v>
      </c>
      <c r="EB297" s="79">
        <f t="shared" si="418"/>
        <v>0</v>
      </c>
      <c r="EC297" s="79">
        <f t="shared" si="419"/>
        <v>0</v>
      </c>
      <c r="ED297" s="79">
        <v>1</v>
      </c>
      <c r="EE297" s="79">
        <v>1</v>
      </c>
      <c r="EF297" s="79">
        <f t="shared" si="420"/>
        <v>0</v>
      </c>
      <c r="EG297" s="79">
        <v>1</v>
      </c>
      <c r="EH297" s="79">
        <v>1</v>
      </c>
      <c r="EI297" s="79">
        <v>1</v>
      </c>
      <c r="EJ297" s="79">
        <v>1</v>
      </c>
      <c r="EK297" s="79">
        <v>1</v>
      </c>
      <c r="EL297" s="79">
        <v>1</v>
      </c>
      <c r="EM297" s="143">
        <f t="shared" si="421"/>
        <v>0</v>
      </c>
      <c r="EN297" s="143">
        <f t="shared" si="422"/>
        <v>0</v>
      </c>
      <c r="EO297" s="82">
        <f t="shared" si="423"/>
        <v>0</v>
      </c>
    </row>
    <row r="298" spans="1:145" x14ac:dyDescent="0.25">
      <c r="A298">
        <v>284</v>
      </c>
      <c r="B298" s="172" t="e">
        <f t="shared" si="394"/>
        <v>#N/A</v>
      </c>
      <c r="C298" s="121" t="e">
        <f t="shared" si="373"/>
        <v>#N/A</v>
      </c>
      <c r="D298" s="122" t="e">
        <f t="shared" si="374"/>
        <v>#N/A</v>
      </c>
      <c r="E298" s="122" t="e">
        <f t="shared" si="375"/>
        <v>#N/A</v>
      </c>
      <c r="F298" s="176" t="e">
        <f t="shared" si="376"/>
        <v>#N/A</v>
      </c>
      <c r="G298" s="121">
        <f t="shared" si="395"/>
        <v>208</v>
      </c>
      <c r="H298" s="176" t="e">
        <f t="shared" si="396"/>
        <v>#N/A</v>
      </c>
      <c r="I298" s="48">
        <v>1</v>
      </c>
      <c r="J298" s="39"/>
      <c r="K298" s="350">
        <v>1</v>
      </c>
      <c r="L298" s="34" t="e">
        <f t="shared" si="377"/>
        <v>#N/A</v>
      </c>
      <c r="M298" s="38" t="e">
        <f>(HLOOKUP(J298,'Construction Times'!$B$3:$W$34,L298+2,FALSE)*HLOOKUP("hq modifier",'Construction Times'!$W$3:$W$34,BS298+2,FALSE))*(1-$H$9)</f>
        <v>#N/A</v>
      </c>
      <c r="N298" s="443" t="e">
        <f t="shared" si="397"/>
        <v>#N/A</v>
      </c>
      <c r="O298" s="444"/>
      <c r="P298" s="447" t="e">
        <f t="shared" si="398"/>
        <v>#N/A</v>
      </c>
      <c r="Q298" s="448"/>
      <c r="R298" s="103">
        <f t="shared" si="424"/>
        <v>0</v>
      </c>
      <c r="S298" s="104">
        <f t="shared" si="424"/>
        <v>0</v>
      </c>
      <c r="T298" s="104">
        <f t="shared" si="425"/>
        <v>0</v>
      </c>
      <c r="U298" s="104">
        <f t="shared" si="425"/>
        <v>0</v>
      </c>
      <c r="V298" s="104">
        <f t="shared" si="425"/>
        <v>9.9999999999999995E-8</v>
      </c>
      <c r="W298" s="104">
        <f t="shared" si="425"/>
        <v>0</v>
      </c>
      <c r="X298" s="104">
        <f t="shared" si="365"/>
        <v>0</v>
      </c>
      <c r="Y298" s="104">
        <f t="shared" si="365"/>
        <v>9.9999999999999995E-8</v>
      </c>
      <c r="Z298" s="104">
        <f t="shared" si="365"/>
        <v>9.9999999999999995E-8</v>
      </c>
      <c r="AA298" s="105">
        <f t="shared" si="365"/>
        <v>9.9999999999999995E-8</v>
      </c>
      <c r="AB298" s="101" t="e">
        <f>$DT298*HLOOKUP($J298,'Construction Costs (timber)'!$B$1:$V$32,'Construction Planner'!$L298+2,FALSE)</f>
        <v>#N/A</v>
      </c>
      <c r="AC298" s="14" t="e">
        <f>$DT298*HLOOKUP($J298,'Construction Costs (clay)'!$B$1:$V$32,'Construction Planner'!$L298+2,FALSE)</f>
        <v>#N/A</v>
      </c>
      <c r="AD298" s="14" t="e">
        <f>$DT298*HLOOKUP($J298,'Construction Costs (iron)'!$B$1:$V$32,'Construction Planner'!$L298+2,FALSE)</f>
        <v>#N/A</v>
      </c>
      <c r="AE298" s="34" t="e">
        <f t="shared" si="434"/>
        <v>#N/A</v>
      </c>
      <c r="AF298" s="33" t="e">
        <f t="shared" si="378"/>
        <v>#N/A</v>
      </c>
      <c r="AG298" s="14" t="e">
        <f t="shared" si="379"/>
        <v>#N/A</v>
      </c>
      <c r="AH298" s="14" t="e">
        <f t="shared" si="380"/>
        <v>#N/A</v>
      </c>
      <c r="AI298" s="34" t="e">
        <f t="shared" si="435"/>
        <v>#N/A</v>
      </c>
      <c r="AJ298" s="49" t="e">
        <f t="shared" si="399"/>
        <v>#N/A</v>
      </c>
      <c r="AK298" s="49" t="e">
        <f t="shared" si="400"/>
        <v>#N/A</v>
      </c>
      <c r="AL298" s="49" t="e">
        <f t="shared" si="401"/>
        <v>#N/A</v>
      </c>
      <c r="AM298" s="25">
        <f t="shared" si="381"/>
        <v>30</v>
      </c>
      <c r="AN298" s="25">
        <f t="shared" si="382"/>
        <v>30</v>
      </c>
      <c r="AO298" s="25">
        <f t="shared" si="383"/>
        <v>30</v>
      </c>
      <c r="AP298" s="52" t="e">
        <f t="shared" si="402"/>
        <v>#N/A</v>
      </c>
      <c r="AQ298" s="53" t="e">
        <f t="shared" si="402"/>
        <v>#N/A</v>
      </c>
      <c r="AR298" s="54" t="e">
        <f t="shared" si="402"/>
        <v>#N/A</v>
      </c>
      <c r="AS298" s="316">
        <f t="shared" si="452"/>
        <v>0</v>
      </c>
      <c r="AT298" s="106">
        <f>_xlfn.IFNA($M298/VLOOKUP($BT298,'Unit information'!$A$2:$K$29,2,FALSE)*R298,0)*(1+$E$9)</f>
        <v>0</v>
      </c>
      <c r="AU298" s="107">
        <f>_xlfn.IFNA($M298/VLOOKUP($BT298,'Unit information'!$A$2:$K$29,3,FALSE)*S298,0)*(1+$E$9)</f>
        <v>0</v>
      </c>
      <c r="AV298" s="107">
        <f>_xlfn.IFNA($M298/VLOOKUP($BT298,'Unit information'!$A$2:$K$29,4,FALSE)*T298,0)*(1+$E$9)</f>
        <v>0</v>
      </c>
      <c r="AW298" s="107">
        <f>_xlfn.IFNA($M298/VLOOKUP($BT298,'Unit information'!$A$2:$K$29,5,FALSE)*U298,0)*(1+$E$9)</f>
        <v>0</v>
      </c>
      <c r="AX298" s="107">
        <f>_xlfn.IFNA($M298/VLOOKUP($BU298,'Unit information'!$A$2:$K$29,6,FALSE)*V298,0)*(1+$E$9)</f>
        <v>0</v>
      </c>
      <c r="AY298" s="107">
        <f>_xlfn.IFNA($M298/VLOOKUP($BU298,'Unit information'!$A$2:$K$29,7,FALSE)*W298,0)*(1+$E$9)</f>
        <v>0</v>
      </c>
      <c r="AZ298" s="107">
        <f>_xlfn.IFNA($M298/VLOOKUP($BU298,'Unit information'!$A$2:$K$29,8,FALSE)*X298,0)*(1+$E$9)</f>
        <v>0</v>
      </c>
      <c r="BA298" s="107">
        <f>_xlfn.IFNA($M298/VLOOKUP($BU298,'Unit information'!$A$2:$K$29,9,FALSE)*Y298,0)*(1+$E$9)</f>
        <v>0</v>
      </c>
      <c r="BB298" s="107">
        <f>_xlfn.IFNA($M298/VLOOKUP($BV298,'Unit information'!$A$2:$K$29,10,FALSE)*Z298,0)*(1+$E$9)</f>
        <v>0</v>
      </c>
      <c r="BC298" s="108">
        <f>_xlfn.IFNA($M298/VLOOKUP($BV298,'Unit information'!$A$2:$K$29,11,FALSE)*AA298,0)*(1+$E$9)</f>
        <v>0</v>
      </c>
      <c r="BD298" s="106">
        <f t="shared" si="384"/>
        <v>0</v>
      </c>
      <c r="BE298" s="107">
        <f t="shared" si="385"/>
        <v>0</v>
      </c>
      <c r="BF298" s="108">
        <f t="shared" si="386"/>
        <v>0</v>
      </c>
      <c r="BG298" s="25" t="e">
        <f t="shared" si="387"/>
        <v>#N/A</v>
      </c>
      <c r="BH298" s="25" t="e">
        <f t="shared" si="388"/>
        <v>#N/A</v>
      </c>
      <c r="BI298" s="25" t="e">
        <f t="shared" si="389"/>
        <v>#N/A</v>
      </c>
      <c r="BJ298" s="27" t="e">
        <f t="shared" si="390"/>
        <v>#N/A</v>
      </c>
      <c r="BK298" s="18" t="e">
        <f t="shared" si="391"/>
        <v>#N/A</v>
      </c>
      <c r="BL298" s="18" t="e">
        <f t="shared" si="392"/>
        <v>#N/A</v>
      </c>
      <c r="BM298" s="28" t="e">
        <f t="shared" si="437"/>
        <v>#N/A</v>
      </c>
      <c r="BN298" s="33">
        <f>HLOOKUP("maximum population",Miscelaneous!$C$1:$C$33,CH298+3,FALSE)</f>
        <v>240</v>
      </c>
      <c r="BO298" s="14">
        <f t="shared" si="403"/>
        <v>32</v>
      </c>
      <c r="BP298" s="14">
        <f t="shared" si="404"/>
        <v>0</v>
      </c>
      <c r="BQ298" s="14">
        <f t="shared" si="405"/>
        <v>208</v>
      </c>
      <c r="BR298" s="34" t="e">
        <f>HLOOKUP(J298,Villagers!$B$1:$V$33,L298+3,FALSE)-HLOOKUP(J298,Villagers!$B$1:$V$33,L298+2,FALSE)</f>
        <v>#N/A</v>
      </c>
      <c r="BS298" s="49">
        <f t="shared" si="406"/>
        <v>1</v>
      </c>
      <c r="BT298" s="50">
        <f t="shared" si="407"/>
        <v>0</v>
      </c>
      <c r="BU298" s="50">
        <f t="shared" si="408"/>
        <v>0</v>
      </c>
      <c r="BV298" s="50">
        <f t="shared" si="409"/>
        <v>0</v>
      </c>
      <c r="BW298" s="50">
        <f t="shared" si="454"/>
        <v>0</v>
      </c>
      <c r="BX298" s="50">
        <f t="shared" si="453"/>
        <v>0</v>
      </c>
      <c r="BY298" s="50">
        <f t="shared" si="453"/>
        <v>0</v>
      </c>
      <c r="BZ298" s="50">
        <f t="shared" si="440"/>
        <v>0</v>
      </c>
      <c r="CA298" s="50">
        <f t="shared" si="441"/>
        <v>0</v>
      </c>
      <c r="CB298" s="50">
        <f t="shared" si="442"/>
        <v>1</v>
      </c>
      <c r="CC298" s="50">
        <f t="shared" si="443"/>
        <v>0</v>
      </c>
      <c r="CD298" s="50">
        <f t="shared" si="444"/>
        <v>0</v>
      </c>
      <c r="CE298" s="50">
        <f t="shared" si="445"/>
        <v>1</v>
      </c>
      <c r="CF298" s="50">
        <f t="shared" si="446"/>
        <v>1</v>
      </c>
      <c r="CG298" s="50">
        <f t="shared" si="447"/>
        <v>1</v>
      </c>
      <c r="CH298" s="50">
        <f t="shared" si="448"/>
        <v>1</v>
      </c>
      <c r="CI298" s="50">
        <f t="shared" si="449"/>
        <v>1</v>
      </c>
      <c r="CJ298" s="50">
        <f t="shared" si="450"/>
        <v>1</v>
      </c>
      <c r="CK298" s="50">
        <f t="shared" si="450"/>
        <v>0</v>
      </c>
      <c r="CL298" s="50">
        <f t="shared" si="450"/>
        <v>0</v>
      </c>
      <c r="CM298" s="51">
        <f t="shared" si="368"/>
        <v>0</v>
      </c>
      <c r="CN298" s="33">
        <f>ROUND(IF(BS298=0,0,HLOOKUP(BS$14,Villagers!$B$1:$V$33,BS298+3,FALSE)),)</f>
        <v>5</v>
      </c>
      <c r="CO298" s="14">
        <f>ROUND(IF(BT298=0,0,HLOOKUP(BT$14,Villagers!$B$1:$V$33,BT298+3,FALSE)),)</f>
        <v>0</v>
      </c>
      <c r="CP298" s="14">
        <f>ROUND(IF(BU298=0,0,HLOOKUP(BU$14,Villagers!$B$1:$V$33,BU298+3,FALSE)),)</f>
        <v>0</v>
      </c>
      <c r="CQ298" s="14">
        <f>ROUND(IF(BV298=0,0,HLOOKUP(BV$14,Villagers!$B$1:$V$33,BV298+3,FALSE)),)</f>
        <v>0</v>
      </c>
      <c r="CR298" s="14">
        <f>ROUND(IF(BW298=0,0,HLOOKUP(BW$14,Villagers!$B$1:$V$33,BW298+3,FALSE)),)</f>
        <v>0</v>
      </c>
      <c r="CS298" s="14">
        <f>ROUND(IF(BX298=0,0,HLOOKUP(BX$14,Villagers!$B$1:$V$33,BX298+3,FALSE)),)</f>
        <v>0</v>
      </c>
      <c r="CT298" s="14">
        <f>ROUND(IF(BY298=0,0,HLOOKUP(BY$14,Villagers!$B$1:$V$33,BY298+3,FALSE)),)</f>
        <v>0</v>
      </c>
      <c r="CU298" s="14">
        <f>ROUND(IF(BZ298=0,0,HLOOKUP(BZ$14,Villagers!$B$1:$V$33,BZ298+3,FALSE)),)</f>
        <v>0</v>
      </c>
      <c r="CV298" s="14">
        <f>ROUND(IF(CA298=0,0,HLOOKUP(CA$14,Villagers!$B$1:$V$33,CA298+3,FALSE)),)</f>
        <v>0</v>
      </c>
      <c r="CW298" s="14">
        <f>ROUND(IF(CB298=0,0,HLOOKUP(CB$14,Villagers!$B$1:$V$33,CB298+3,FALSE)),)</f>
        <v>0</v>
      </c>
      <c r="CX298" s="14">
        <f>ROUND(IF(CC298=0,0,HLOOKUP(CC$14,Villagers!$B$1:$V$33,CC298+3,FALSE)),)</f>
        <v>0</v>
      </c>
      <c r="CY298" s="14">
        <f>ROUND(IF(CD298=0,0,HLOOKUP(CD$14,Villagers!$B$1:$V$33,CD298+3,FALSE)),)</f>
        <v>0</v>
      </c>
      <c r="CZ298" s="14">
        <f>ROUND(IF(CE298=0,0,HLOOKUP(CE$14,Villagers!$B$1:$V$33,CE298+3,FALSE)),)</f>
        <v>5</v>
      </c>
      <c r="DA298" s="14">
        <f>ROUND(IF(CF298=0,0,HLOOKUP(CF$14,Villagers!$B$1:$V$33,CF298+3,FALSE)),)</f>
        <v>10</v>
      </c>
      <c r="DB298" s="14">
        <f>ROUND(IF(CG298=0,0,HLOOKUP(CG$14,Villagers!$B$1:$V$33,CG298+3,FALSE)),)</f>
        <v>10</v>
      </c>
      <c r="DC298" s="14">
        <f>ROUND(IF(CH298=0,0,HLOOKUP(CH$14,Villagers!$B$1:$V$33,CH298+3,FALSE)),)</f>
        <v>0</v>
      </c>
      <c r="DD298" s="14">
        <f>ROUND(IF(CI298=0,0,HLOOKUP(CI$14,Villagers!$B$1:$V$33,CI298+3,FALSE)),)</f>
        <v>0</v>
      </c>
      <c r="DE298" s="14">
        <f>ROUND(IF(CJ298=0,0,HLOOKUP(CJ$14,Villagers!$B$1:$V$33,CJ298+3,FALSE)),)</f>
        <v>2</v>
      </c>
      <c r="DF298" s="370">
        <f>ROUND(IF(CK298=0,0,HLOOKUP(CK$14,Villagers!$B$1:$V$33,CK298+3,FALSE)),)</f>
        <v>0</v>
      </c>
      <c r="DG298" s="370">
        <f>ROUND(IF(CL298=0,0,HLOOKUP(CL$14,Villagers!$B$1:$V$33,CL298+3,FALSE)),)</f>
        <v>0</v>
      </c>
      <c r="DH298" s="34">
        <f>ROUND(IF(CM298=0,0,HLOOKUP(CM$14,Villagers!$B$1:$V$33,CM298+3,FALSE)),)</f>
        <v>0</v>
      </c>
      <c r="DI298" s="109">
        <f t="shared" si="426"/>
        <v>0</v>
      </c>
      <c r="DJ298" s="50">
        <f t="shared" si="427"/>
        <v>0</v>
      </c>
      <c r="DK298" s="50">
        <f t="shared" si="428"/>
        <v>0</v>
      </c>
      <c r="DL298" s="50">
        <f t="shared" si="429"/>
        <v>0</v>
      </c>
      <c r="DM298" s="50">
        <f t="shared" si="430"/>
        <v>0</v>
      </c>
      <c r="DN298" s="50">
        <f t="shared" si="431"/>
        <v>0</v>
      </c>
      <c r="DO298" s="50">
        <f t="shared" si="432"/>
        <v>0</v>
      </c>
      <c r="DP298" s="50">
        <f t="shared" si="433"/>
        <v>0</v>
      </c>
      <c r="DQ298" s="50">
        <f t="shared" si="411"/>
        <v>0</v>
      </c>
      <c r="DR298" s="50">
        <f t="shared" si="412"/>
        <v>0</v>
      </c>
      <c r="DS298" s="96">
        <f>Miscelaneous!$D$4*Miscelaneous!$D$2^($CI298-1)</f>
        <v>1000</v>
      </c>
      <c r="DT298" s="333">
        <f t="shared" si="393"/>
        <v>1</v>
      </c>
      <c r="DU298" s="81">
        <v>1</v>
      </c>
      <c r="DV298" s="79">
        <f t="shared" si="413"/>
        <v>0</v>
      </c>
      <c r="DW298" s="79">
        <f t="shared" si="414"/>
        <v>0</v>
      </c>
      <c r="DX298" s="79">
        <f t="shared" si="415"/>
        <v>0</v>
      </c>
      <c r="DY298" s="79">
        <v>1</v>
      </c>
      <c r="DZ298" s="79">
        <f t="shared" si="416"/>
        <v>0</v>
      </c>
      <c r="EA298" s="79">
        <f t="shared" si="417"/>
        <v>0</v>
      </c>
      <c r="EB298" s="79">
        <f t="shared" si="418"/>
        <v>0</v>
      </c>
      <c r="EC298" s="79">
        <f t="shared" si="419"/>
        <v>0</v>
      </c>
      <c r="ED298" s="79">
        <v>1</v>
      </c>
      <c r="EE298" s="79">
        <v>1</v>
      </c>
      <c r="EF298" s="79">
        <f t="shared" si="420"/>
        <v>0</v>
      </c>
      <c r="EG298" s="79">
        <v>1</v>
      </c>
      <c r="EH298" s="79">
        <v>1</v>
      </c>
      <c r="EI298" s="79">
        <v>1</v>
      </c>
      <c r="EJ298" s="79">
        <v>1</v>
      </c>
      <c r="EK298" s="79">
        <v>1</v>
      </c>
      <c r="EL298" s="79">
        <v>1</v>
      </c>
      <c r="EM298" s="143">
        <f t="shared" si="421"/>
        <v>0</v>
      </c>
      <c r="EN298" s="143">
        <f t="shared" si="422"/>
        <v>0</v>
      </c>
      <c r="EO298" s="82">
        <f t="shared" si="423"/>
        <v>0</v>
      </c>
    </row>
    <row r="299" spans="1:145" x14ac:dyDescent="0.25">
      <c r="A299">
        <v>285</v>
      </c>
      <c r="B299" s="172" t="e">
        <f t="shared" si="394"/>
        <v>#N/A</v>
      </c>
      <c r="C299" s="121" t="e">
        <f t="shared" si="373"/>
        <v>#N/A</v>
      </c>
      <c r="D299" s="122" t="e">
        <f t="shared" si="374"/>
        <v>#N/A</v>
      </c>
      <c r="E299" s="122" t="e">
        <f t="shared" si="375"/>
        <v>#N/A</v>
      </c>
      <c r="F299" s="176" t="e">
        <f t="shared" si="376"/>
        <v>#N/A</v>
      </c>
      <c r="G299" s="121">
        <f t="shared" si="395"/>
        <v>208</v>
      </c>
      <c r="H299" s="176" t="e">
        <f t="shared" si="396"/>
        <v>#N/A</v>
      </c>
      <c r="I299" s="48">
        <v>1</v>
      </c>
      <c r="J299" s="39"/>
      <c r="K299" s="350">
        <v>1</v>
      </c>
      <c r="L299" s="34" t="e">
        <f t="shared" si="377"/>
        <v>#N/A</v>
      </c>
      <c r="M299" s="38" t="e">
        <f>(HLOOKUP(J299,'Construction Times'!$B$3:$W$34,L299+2,FALSE)*HLOOKUP("hq modifier",'Construction Times'!$W$3:$W$34,BS299+2,FALSE))*(1-$H$9)</f>
        <v>#N/A</v>
      </c>
      <c r="N299" s="443" t="e">
        <f t="shared" si="397"/>
        <v>#N/A</v>
      </c>
      <c r="O299" s="444"/>
      <c r="P299" s="447" t="e">
        <f t="shared" si="398"/>
        <v>#N/A</v>
      </c>
      <c r="Q299" s="448"/>
      <c r="R299" s="103">
        <f t="shared" si="424"/>
        <v>0</v>
      </c>
      <c r="S299" s="104">
        <f t="shared" si="424"/>
        <v>0</v>
      </c>
      <c r="T299" s="104">
        <f t="shared" si="425"/>
        <v>0</v>
      </c>
      <c r="U299" s="104">
        <f t="shared" si="425"/>
        <v>0</v>
      </c>
      <c r="V299" s="104">
        <f t="shared" si="425"/>
        <v>9.9999999999999995E-8</v>
      </c>
      <c r="W299" s="104">
        <f t="shared" si="425"/>
        <v>0</v>
      </c>
      <c r="X299" s="104">
        <f t="shared" si="365"/>
        <v>0</v>
      </c>
      <c r="Y299" s="104">
        <f t="shared" si="365"/>
        <v>9.9999999999999995E-8</v>
      </c>
      <c r="Z299" s="104">
        <f t="shared" si="365"/>
        <v>9.9999999999999995E-8</v>
      </c>
      <c r="AA299" s="105">
        <f t="shared" si="365"/>
        <v>9.9999999999999995E-8</v>
      </c>
      <c r="AB299" s="101" t="e">
        <f>$DT299*HLOOKUP($J299,'Construction Costs (timber)'!$B$1:$V$32,'Construction Planner'!$L299+2,FALSE)</f>
        <v>#N/A</v>
      </c>
      <c r="AC299" s="14" t="e">
        <f>$DT299*HLOOKUP($J299,'Construction Costs (clay)'!$B$1:$V$32,'Construction Planner'!$L299+2,FALSE)</f>
        <v>#N/A</v>
      </c>
      <c r="AD299" s="14" t="e">
        <f>$DT299*HLOOKUP($J299,'Construction Costs (iron)'!$B$1:$V$32,'Construction Planner'!$L299+2,FALSE)</f>
        <v>#N/A</v>
      </c>
      <c r="AE299" s="34" t="e">
        <f t="shared" si="434"/>
        <v>#N/A</v>
      </c>
      <c r="AF299" s="33" t="e">
        <f t="shared" si="378"/>
        <v>#N/A</v>
      </c>
      <c r="AG299" s="14" t="e">
        <f t="shared" si="379"/>
        <v>#N/A</v>
      </c>
      <c r="AH299" s="14" t="e">
        <f t="shared" si="380"/>
        <v>#N/A</v>
      </c>
      <c r="AI299" s="34" t="e">
        <f t="shared" si="435"/>
        <v>#N/A</v>
      </c>
      <c r="AJ299" s="49" t="e">
        <f t="shared" si="399"/>
        <v>#N/A</v>
      </c>
      <c r="AK299" s="49" t="e">
        <f t="shared" si="400"/>
        <v>#N/A</v>
      </c>
      <c r="AL299" s="49" t="e">
        <f t="shared" si="401"/>
        <v>#N/A</v>
      </c>
      <c r="AM299" s="25">
        <f t="shared" si="381"/>
        <v>30</v>
      </c>
      <c r="AN299" s="25">
        <f t="shared" si="382"/>
        <v>30</v>
      </c>
      <c r="AO299" s="25">
        <f t="shared" si="383"/>
        <v>30</v>
      </c>
      <c r="AP299" s="52" t="e">
        <f t="shared" si="402"/>
        <v>#N/A</v>
      </c>
      <c r="AQ299" s="53" t="e">
        <f t="shared" si="402"/>
        <v>#N/A</v>
      </c>
      <c r="AR299" s="54" t="e">
        <f t="shared" si="402"/>
        <v>#N/A</v>
      </c>
      <c r="AS299" s="316">
        <f t="shared" si="452"/>
        <v>0</v>
      </c>
      <c r="AT299" s="106">
        <f>_xlfn.IFNA($M299/VLOOKUP($BT299,'Unit information'!$A$2:$K$29,2,FALSE)*R299,0)*(1+$E$9)</f>
        <v>0</v>
      </c>
      <c r="AU299" s="107">
        <f>_xlfn.IFNA($M299/VLOOKUP($BT299,'Unit information'!$A$2:$K$29,3,FALSE)*S299,0)*(1+$E$9)</f>
        <v>0</v>
      </c>
      <c r="AV299" s="107">
        <f>_xlfn.IFNA($M299/VLOOKUP($BT299,'Unit information'!$A$2:$K$29,4,FALSE)*T299,0)*(1+$E$9)</f>
        <v>0</v>
      </c>
      <c r="AW299" s="107">
        <f>_xlfn.IFNA($M299/VLOOKUP($BT299,'Unit information'!$A$2:$K$29,5,FALSE)*U299,0)*(1+$E$9)</f>
        <v>0</v>
      </c>
      <c r="AX299" s="107">
        <f>_xlfn.IFNA($M299/VLOOKUP($BU299,'Unit information'!$A$2:$K$29,6,FALSE)*V299,0)*(1+$E$9)</f>
        <v>0</v>
      </c>
      <c r="AY299" s="107">
        <f>_xlfn.IFNA($M299/VLOOKUP($BU299,'Unit information'!$A$2:$K$29,7,FALSE)*W299,0)*(1+$E$9)</f>
        <v>0</v>
      </c>
      <c r="AZ299" s="107">
        <f>_xlfn.IFNA($M299/VLOOKUP($BU299,'Unit information'!$A$2:$K$29,8,FALSE)*X299,0)*(1+$E$9)</f>
        <v>0</v>
      </c>
      <c r="BA299" s="107">
        <f>_xlfn.IFNA($M299/VLOOKUP($BU299,'Unit information'!$A$2:$K$29,9,FALSE)*Y299,0)*(1+$E$9)</f>
        <v>0</v>
      </c>
      <c r="BB299" s="107">
        <f>_xlfn.IFNA($M299/VLOOKUP($BV299,'Unit information'!$A$2:$K$29,10,FALSE)*Z299,0)*(1+$E$9)</f>
        <v>0</v>
      </c>
      <c r="BC299" s="108">
        <f>_xlfn.IFNA($M299/VLOOKUP($BV299,'Unit information'!$A$2:$K$29,11,FALSE)*AA299,0)*(1+$E$9)</f>
        <v>0</v>
      </c>
      <c r="BD299" s="106">
        <f t="shared" si="384"/>
        <v>0</v>
      </c>
      <c r="BE299" s="107">
        <f t="shared" si="385"/>
        <v>0</v>
      </c>
      <c r="BF299" s="108">
        <f t="shared" si="386"/>
        <v>0</v>
      </c>
      <c r="BG299" s="25" t="e">
        <f t="shared" si="387"/>
        <v>#N/A</v>
      </c>
      <c r="BH299" s="25" t="e">
        <f t="shared" si="388"/>
        <v>#N/A</v>
      </c>
      <c r="BI299" s="25" t="e">
        <f t="shared" si="389"/>
        <v>#N/A</v>
      </c>
      <c r="BJ299" s="27" t="e">
        <f t="shared" si="390"/>
        <v>#N/A</v>
      </c>
      <c r="BK299" s="18" t="e">
        <f t="shared" si="391"/>
        <v>#N/A</v>
      </c>
      <c r="BL299" s="18" t="e">
        <f t="shared" si="392"/>
        <v>#N/A</v>
      </c>
      <c r="BM299" s="28" t="e">
        <f t="shared" si="437"/>
        <v>#N/A</v>
      </c>
      <c r="BN299" s="33">
        <f>HLOOKUP("maximum population",Miscelaneous!$C$1:$C$33,CH299+3,FALSE)</f>
        <v>240</v>
      </c>
      <c r="BO299" s="14">
        <f t="shared" si="403"/>
        <v>32</v>
      </c>
      <c r="BP299" s="14">
        <f t="shared" si="404"/>
        <v>0</v>
      </c>
      <c r="BQ299" s="14">
        <f t="shared" si="405"/>
        <v>208</v>
      </c>
      <c r="BR299" s="34" t="e">
        <f>HLOOKUP(J299,Villagers!$B$1:$V$33,L299+3,FALSE)-HLOOKUP(J299,Villagers!$B$1:$V$33,L299+2,FALSE)</f>
        <v>#N/A</v>
      </c>
      <c r="BS299" s="49">
        <f t="shared" si="406"/>
        <v>1</v>
      </c>
      <c r="BT299" s="50">
        <f t="shared" si="407"/>
        <v>0</v>
      </c>
      <c r="BU299" s="50">
        <f t="shared" si="408"/>
        <v>0</v>
      </c>
      <c r="BV299" s="50">
        <f t="shared" si="409"/>
        <v>0</v>
      </c>
      <c r="BW299" s="50">
        <f t="shared" si="454"/>
        <v>0</v>
      </c>
      <c r="BX299" s="50">
        <f t="shared" si="453"/>
        <v>0</v>
      </c>
      <c r="BY299" s="50">
        <f t="shared" si="453"/>
        <v>0</v>
      </c>
      <c r="BZ299" s="50">
        <f t="shared" si="440"/>
        <v>0</v>
      </c>
      <c r="CA299" s="50">
        <f t="shared" si="441"/>
        <v>0</v>
      </c>
      <c r="CB299" s="50">
        <f t="shared" si="442"/>
        <v>1</v>
      </c>
      <c r="CC299" s="50">
        <f t="shared" si="443"/>
        <v>0</v>
      </c>
      <c r="CD299" s="50">
        <f t="shared" si="444"/>
        <v>0</v>
      </c>
      <c r="CE299" s="50">
        <f t="shared" si="445"/>
        <v>1</v>
      </c>
      <c r="CF299" s="50">
        <f t="shared" si="446"/>
        <v>1</v>
      </c>
      <c r="CG299" s="50">
        <f t="shared" si="447"/>
        <v>1</v>
      </c>
      <c r="CH299" s="50">
        <f t="shared" si="448"/>
        <v>1</v>
      </c>
      <c r="CI299" s="50">
        <f t="shared" si="449"/>
        <v>1</v>
      </c>
      <c r="CJ299" s="50">
        <f t="shared" si="450"/>
        <v>1</v>
      </c>
      <c r="CK299" s="50">
        <f t="shared" si="450"/>
        <v>0</v>
      </c>
      <c r="CL299" s="50">
        <f t="shared" si="450"/>
        <v>0</v>
      </c>
      <c r="CM299" s="51">
        <f t="shared" si="368"/>
        <v>0</v>
      </c>
      <c r="CN299" s="33">
        <f>ROUND(IF(BS299=0,0,HLOOKUP(BS$14,Villagers!$B$1:$V$33,BS299+3,FALSE)),)</f>
        <v>5</v>
      </c>
      <c r="CO299" s="14">
        <f>ROUND(IF(BT299=0,0,HLOOKUP(BT$14,Villagers!$B$1:$V$33,BT299+3,FALSE)),)</f>
        <v>0</v>
      </c>
      <c r="CP299" s="14">
        <f>ROUND(IF(BU299=0,0,HLOOKUP(BU$14,Villagers!$B$1:$V$33,BU299+3,FALSE)),)</f>
        <v>0</v>
      </c>
      <c r="CQ299" s="14">
        <f>ROUND(IF(BV299=0,0,HLOOKUP(BV$14,Villagers!$B$1:$V$33,BV299+3,FALSE)),)</f>
        <v>0</v>
      </c>
      <c r="CR299" s="14">
        <f>ROUND(IF(BW299=0,0,HLOOKUP(BW$14,Villagers!$B$1:$V$33,BW299+3,FALSE)),)</f>
        <v>0</v>
      </c>
      <c r="CS299" s="14">
        <f>ROUND(IF(BX299=0,0,HLOOKUP(BX$14,Villagers!$B$1:$V$33,BX299+3,FALSE)),)</f>
        <v>0</v>
      </c>
      <c r="CT299" s="14">
        <f>ROUND(IF(BY299=0,0,HLOOKUP(BY$14,Villagers!$B$1:$V$33,BY299+3,FALSE)),)</f>
        <v>0</v>
      </c>
      <c r="CU299" s="14">
        <f>ROUND(IF(BZ299=0,0,HLOOKUP(BZ$14,Villagers!$B$1:$V$33,BZ299+3,FALSE)),)</f>
        <v>0</v>
      </c>
      <c r="CV299" s="14">
        <f>ROUND(IF(CA299=0,0,HLOOKUP(CA$14,Villagers!$B$1:$V$33,CA299+3,FALSE)),)</f>
        <v>0</v>
      </c>
      <c r="CW299" s="14">
        <f>ROUND(IF(CB299=0,0,HLOOKUP(CB$14,Villagers!$B$1:$V$33,CB299+3,FALSE)),)</f>
        <v>0</v>
      </c>
      <c r="CX299" s="14">
        <f>ROUND(IF(CC299=0,0,HLOOKUP(CC$14,Villagers!$B$1:$V$33,CC299+3,FALSE)),)</f>
        <v>0</v>
      </c>
      <c r="CY299" s="14">
        <f>ROUND(IF(CD299=0,0,HLOOKUP(CD$14,Villagers!$B$1:$V$33,CD299+3,FALSE)),)</f>
        <v>0</v>
      </c>
      <c r="CZ299" s="14">
        <f>ROUND(IF(CE299=0,0,HLOOKUP(CE$14,Villagers!$B$1:$V$33,CE299+3,FALSE)),)</f>
        <v>5</v>
      </c>
      <c r="DA299" s="14">
        <f>ROUND(IF(CF299=0,0,HLOOKUP(CF$14,Villagers!$B$1:$V$33,CF299+3,FALSE)),)</f>
        <v>10</v>
      </c>
      <c r="DB299" s="14">
        <f>ROUND(IF(CG299=0,0,HLOOKUP(CG$14,Villagers!$B$1:$V$33,CG299+3,FALSE)),)</f>
        <v>10</v>
      </c>
      <c r="DC299" s="14">
        <f>ROUND(IF(CH299=0,0,HLOOKUP(CH$14,Villagers!$B$1:$V$33,CH299+3,FALSE)),)</f>
        <v>0</v>
      </c>
      <c r="DD299" s="14">
        <f>ROUND(IF(CI299=0,0,HLOOKUP(CI$14,Villagers!$B$1:$V$33,CI299+3,FALSE)),)</f>
        <v>0</v>
      </c>
      <c r="DE299" s="14">
        <f>ROUND(IF(CJ299=0,0,HLOOKUP(CJ$14,Villagers!$B$1:$V$33,CJ299+3,FALSE)),)</f>
        <v>2</v>
      </c>
      <c r="DF299" s="370">
        <f>ROUND(IF(CK299=0,0,HLOOKUP(CK$14,Villagers!$B$1:$V$33,CK299+3,FALSE)),)</f>
        <v>0</v>
      </c>
      <c r="DG299" s="370">
        <f>ROUND(IF(CL299=0,0,HLOOKUP(CL$14,Villagers!$B$1:$V$33,CL299+3,FALSE)),)</f>
        <v>0</v>
      </c>
      <c r="DH299" s="34">
        <f>ROUND(IF(CM299=0,0,HLOOKUP(CM$14,Villagers!$B$1:$V$33,CM299+3,FALSE)),)</f>
        <v>0</v>
      </c>
      <c r="DI299" s="109">
        <f t="shared" si="426"/>
        <v>0</v>
      </c>
      <c r="DJ299" s="50">
        <f t="shared" si="427"/>
        <v>0</v>
      </c>
      <c r="DK299" s="50">
        <f t="shared" si="428"/>
        <v>0</v>
      </c>
      <c r="DL299" s="50">
        <f t="shared" si="429"/>
        <v>0</v>
      </c>
      <c r="DM299" s="50">
        <f t="shared" si="430"/>
        <v>0</v>
      </c>
      <c r="DN299" s="50">
        <f t="shared" si="431"/>
        <v>0</v>
      </c>
      <c r="DO299" s="50">
        <f t="shared" si="432"/>
        <v>0</v>
      </c>
      <c r="DP299" s="50">
        <f t="shared" si="433"/>
        <v>0</v>
      </c>
      <c r="DQ299" s="50">
        <f t="shared" si="411"/>
        <v>0</v>
      </c>
      <c r="DR299" s="50">
        <f t="shared" si="412"/>
        <v>0</v>
      </c>
      <c r="DS299" s="96">
        <f>Miscelaneous!$D$4*Miscelaneous!$D$2^($CI299-1)</f>
        <v>1000</v>
      </c>
      <c r="DT299" s="333">
        <f t="shared" si="393"/>
        <v>1</v>
      </c>
      <c r="DU299" s="81">
        <v>1</v>
      </c>
      <c r="DV299" s="79">
        <f t="shared" si="413"/>
        <v>0</v>
      </c>
      <c r="DW299" s="79">
        <f t="shared" si="414"/>
        <v>0</v>
      </c>
      <c r="DX299" s="79">
        <f t="shared" si="415"/>
        <v>0</v>
      </c>
      <c r="DY299" s="79">
        <v>1</v>
      </c>
      <c r="DZ299" s="79">
        <f t="shared" si="416"/>
        <v>0</v>
      </c>
      <c r="EA299" s="79">
        <f t="shared" si="417"/>
        <v>0</v>
      </c>
      <c r="EB299" s="79">
        <f t="shared" si="418"/>
        <v>0</v>
      </c>
      <c r="EC299" s="79">
        <f t="shared" si="419"/>
        <v>0</v>
      </c>
      <c r="ED299" s="79">
        <v>1</v>
      </c>
      <c r="EE299" s="79">
        <v>1</v>
      </c>
      <c r="EF299" s="79">
        <f t="shared" si="420"/>
        <v>0</v>
      </c>
      <c r="EG299" s="79">
        <v>1</v>
      </c>
      <c r="EH299" s="79">
        <v>1</v>
      </c>
      <c r="EI299" s="79">
        <v>1</v>
      </c>
      <c r="EJ299" s="79">
        <v>1</v>
      </c>
      <c r="EK299" s="79">
        <v>1</v>
      </c>
      <c r="EL299" s="79">
        <v>1</v>
      </c>
      <c r="EM299" s="143">
        <f t="shared" si="421"/>
        <v>0</v>
      </c>
      <c r="EN299" s="143">
        <f t="shared" si="422"/>
        <v>0</v>
      </c>
      <c r="EO299" s="82">
        <f t="shared" si="423"/>
        <v>0</v>
      </c>
    </row>
    <row r="300" spans="1:145" x14ac:dyDescent="0.25">
      <c r="A300">
        <v>286</v>
      </c>
      <c r="B300" s="172" t="e">
        <f t="shared" si="394"/>
        <v>#N/A</v>
      </c>
      <c r="C300" s="121" t="e">
        <f t="shared" si="373"/>
        <v>#N/A</v>
      </c>
      <c r="D300" s="122" t="e">
        <f t="shared" si="374"/>
        <v>#N/A</v>
      </c>
      <c r="E300" s="122" t="e">
        <f t="shared" si="375"/>
        <v>#N/A</v>
      </c>
      <c r="F300" s="176" t="e">
        <f t="shared" si="376"/>
        <v>#N/A</v>
      </c>
      <c r="G300" s="121">
        <f t="shared" si="395"/>
        <v>208</v>
      </c>
      <c r="H300" s="176" t="e">
        <f t="shared" si="396"/>
        <v>#N/A</v>
      </c>
      <c r="I300" s="48">
        <v>1</v>
      </c>
      <c r="J300" s="39"/>
      <c r="K300" s="350">
        <v>1</v>
      </c>
      <c r="L300" s="34" t="e">
        <f t="shared" si="377"/>
        <v>#N/A</v>
      </c>
      <c r="M300" s="38" t="e">
        <f>(HLOOKUP(J300,'Construction Times'!$B$3:$W$34,L300+2,FALSE)*HLOOKUP("hq modifier",'Construction Times'!$W$3:$W$34,BS300+2,FALSE))*(1-$H$9)</f>
        <v>#N/A</v>
      </c>
      <c r="N300" s="443" t="e">
        <f t="shared" si="397"/>
        <v>#N/A</v>
      </c>
      <c r="O300" s="444"/>
      <c r="P300" s="447" t="e">
        <f t="shared" si="398"/>
        <v>#N/A</v>
      </c>
      <c r="Q300" s="448"/>
      <c r="R300" s="103">
        <f t="shared" si="424"/>
        <v>0</v>
      </c>
      <c r="S300" s="104">
        <f t="shared" si="424"/>
        <v>0</v>
      </c>
      <c r="T300" s="104">
        <f t="shared" si="425"/>
        <v>0</v>
      </c>
      <c r="U300" s="104">
        <f t="shared" si="425"/>
        <v>0</v>
      </c>
      <c r="V300" s="104">
        <f t="shared" si="425"/>
        <v>9.9999999999999995E-8</v>
      </c>
      <c r="W300" s="104">
        <f t="shared" si="425"/>
        <v>0</v>
      </c>
      <c r="X300" s="104">
        <f t="shared" si="365"/>
        <v>0</v>
      </c>
      <c r="Y300" s="104">
        <f t="shared" si="365"/>
        <v>9.9999999999999995E-8</v>
      </c>
      <c r="Z300" s="104">
        <f t="shared" si="365"/>
        <v>9.9999999999999995E-8</v>
      </c>
      <c r="AA300" s="105">
        <f>AA299</f>
        <v>9.9999999999999995E-8</v>
      </c>
      <c r="AB300" s="101" t="e">
        <f>$DT300*HLOOKUP($J300,'Construction Costs (timber)'!$B$1:$V$32,'Construction Planner'!$L300+2,FALSE)</f>
        <v>#N/A</v>
      </c>
      <c r="AC300" s="14" t="e">
        <f>$DT300*HLOOKUP($J300,'Construction Costs (clay)'!$B$1:$V$32,'Construction Planner'!$L300+2,FALSE)</f>
        <v>#N/A</v>
      </c>
      <c r="AD300" s="14" t="e">
        <f>$DT300*HLOOKUP($J300,'Construction Costs (iron)'!$B$1:$V$32,'Construction Planner'!$L300+2,FALSE)</f>
        <v>#N/A</v>
      </c>
      <c r="AE300" s="34" t="e">
        <f t="shared" si="434"/>
        <v>#N/A</v>
      </c>
      <c r="AF300" s="33" t="e">
        <f t="shared" si="378"/>
        <v>#N/A</v>
      </c>
      <c r="AG300" s="14" t="e">
        <f t="shared" si="379"/>
        <v>#N/A</v>
      </c>
      <c r="AH300" s="14" t="e">
        <f t="shared" si="380"/>
        <v>#N/A</v>
      </c>
      <c r="AI300" s="34" t="e">
        <f t="shared" si="435"/>
        <v>#N/A</v>
      </c>
      <c r="AJ300" s="49" t="e">
        <f t="shared" si="399"/>
        <v>#N/A</v>
      </c>
      <c r="AK300" s="49" t="e">
        <f t="shared" si="400"/>
        <v>#N/A</v>
      </c>
      <c r="AL300" s="49" t="e">
        <f t="shared" si="401"/>
        <v>#N/A</v>
      </c>
      <c r="AM300" s="25">
        <f t="shared" si="381"/>
        <v>30</v>
      </c>
      <c r="AN300" s="25">
        <f t="shared" si="382"/>
        <v>30</v>
      </c>
      <c r="AO300" s="25">
        <f t="shared" si="383"/>
        <v>30</v>
      </c>
      <c r="AP300" s="52" t="e">
        <f t="shared" si="402"/>
        <v>#N/A</v>
      </c>
      <c r="AQ300" s="53" t="e">
        <f t="shared" si="402"/>
        <v>#N/A</v>
      </c>
      <c r="AR300" s="54" t="e">
        <f t="shared" si="402"/>
        <v>#N/A</v>
      </c>
      <c r="AS300" s="316">
        <f t="shared" si="452"/>
        <v>0</v>
      </c>
      <c r="AT300" s="106">
        <f>_xlfn.IFNA($M300/VLOOKUP($BT300,'Unit information'!$A$2:$K$29,2,FALSE)*R300,0)*(1+$E$9)</f>
        <v>0</v>
      </c>
      <c r="AU300" s="107">
        <f>_xlfn.IFNA($M300/VLOOKUP($BT300,'Unit information'!$A$2:$K$29,3,FALSE)*S300,0)*(1+$E$9)</f>
        <v>0</v>
      </c>
      <c r="AV300" s="107">
        <f>_xlfn.IFNA($M300/VLOOKUP($BT300,'Unit information'!$A$2:$K$29,4,FALSE)*T300,0)*(1+$E$9)</f>
        <v>0</v>
      </c>
      <c r="AW300" s="107">
        <f>_xlfn.IFNA($M300/VLOOKUP($BT300,'Unit information'!$A$2:$K$29,5,FALSE)*U300,0)*(1+$E$9)</f>
        <v>0</v>
      </c>
      <c r="AX300" s="107">
        <f>_xlfn.IFNA($M300/VLOOKUP($BU300,'Unit information'!$A$2:$K$29,6,FALSE)*V300,0)*(1+$E$9)</f>
        <v>0</v>
      </c>
      <c r="AY300" s="107">
        <f>_xlfn.IFNA($M300/VLOOKUP($BU300,'Unit information'!$A$2:$K$29,7,FALSE)*W300,0)*(1+$E$9)</f>
        <v>0</v>
      </c>
      <c r="AZ300" s="107">
        <f>_xlfn.IFNA($M300/VLOOKUP($BU300,'Unit information'!$A$2:$K$29,8,FALSE)*X300,0)*(1+$E$9)</f>
        <v>0</v>
      </c>
      <c r="BA300" s="107">
        <f>_xlfn.IFNA($M300/VLOOKUP($BU300,'Unit information'!$A$2:$K$29,9,FALSE)*Y300,0)*(1+$E$9)</f>
        <v>0</v>
      </c>
      <c r="BB300" s="107">
        <f>_xlfn.IFNA($M300/VLOOKUP($BV300,'Unit information'!$A$2:$K$29,10,FALSE)*Z300,0)*(1+$E$9)</f>
        <v>0</v>
      </c>
      <c r="BC300" s="108">
        <f>_xlfn.IFNA($M300/VLOOKUP($BV300,'Unit information'!$A$2:$K$29,11,FALSE)*AA300,0)*(1+$E$9)</f>
        <v>0</v>
      </c>
      <c r="BD300" s="106">
        <f t="shared" si="384"/>
        <v>0</v>
      </c>
      <c r="BE300" s="107">
        <f t="shared" si="385"/>
        <v>0</v>
      </c>
      <c r="BF300" s="108">
        <f t="shared" si="386"/>
        <v>0</v>
      </c>
      <c r="BG300" s="25" t="e">
        <f t="shared" si="387"/>
        <v>#N/A</v>
      </c>
      <c r="BH300" s="25" t="e">
        <f t="shared" si="388"/>
        <v>#N/A</v>
      </c>
      <c r="BI300" s="25" t="e">
        <f t="shared" si="389"/>
        <v>#N/A</v>
      </c>
      <c r="BJ300" s="27" t="e">
        <f t="shared" si="390"/>
        <v>#N/A</v>
      </c>
      <c r="BK300" s="18" t="e">
        <f t="shared" si="391"/>
        <v>#N/A</v>
      </c>
      <c r="BL300" s="18" t="e">
        <f t="shared" si="392"/>
        <v>#N/A</v>
      </c>
      <c r="BM300" s="28" t="e">
        <f t="shared" si="437"/>
        <v>#N/A</v>
      </c>
      <c r="BN300" s="33">
        <f>HLOOKUP("maximum population",Miscelaneous!$C$1:$C$33,CH300+3,FALSE)</f>
        <v>240</v>
      </c>
      <c r="BO300" s="14">
        <f t="shared" si="403"/>
        <v>32</v>
      </c>
      <c r="BP300" s="14">
        <f t="shared" si="404"/>
        <v>0</v>
      </c>
      <c r="BQ300" s="14">
        <f t="shared" si="405"/>
        <v>208</v>
      </c>
      <c r="BR300" s="34" t="e">
        <f>HLOOKUP(J300,Villagers!$B$1:$V$33,L300+3,FALSE)-HLOOKUP(J300,Villagers!$B$1:$V$33,L300+2,FALSE)</f>
        <v>#N/A</v>
      </c>
      <c r="BS300" s="49">
        <f t="shared" si="406"/>
        <v>1</v>
      </c>
      <c r="BT300" s="50">
        <f t="shared" si="407"/>
        <v>0</v>
      </c>
      <c r="BU300" s="50">
        <f t="shared" si="408"/>
        <v>0</v>
      </c>
      <c r="BV300" s="50">
        <f t="shared" si="409"/>
        <v>0</v>
      </c>
      <c r="BW300" s="50">
        <f t="shared" si="454"/>
        <v>0</v>
      </c>
      <c r="BX300" s="50">
        <f t="shared" si="453"/>
        <v>0</v>
      </c>
      <c r="BY300" s="50">
        <f t="shared" si="453"/>
        <v>0</v>
      </c>
      <c r="BZ300" s="50">
        <f t="shared" si="440"/>
        <v>0</v>
      </c>
      <c r="CA300" s="50">
        <f t="shared" si="441"/>
        <v>0</v>
      </c>
      <c r="CB300" s="50">
        <f t="shared" si="442"/>
        <v>1</v>
      </c>
      <c r="CC300" s="50">
        <f t="shared" si="443"/>
        <v>0</v>
      </c>
      <c r="CD300" s="50">
        <f t="shared" si="444"/>
        <v>0</v>
      </c>
      <c r="CE300" s="50">
        <f t="shared" si="445"/>
        <v>1</v>
      </c>
      <c r="CF300" s="50">
        <f t="shared" si="446"/>
        <v>1</v>
      </c>
      <c r="CG300" s="50">
        <f t="shared" si="447"/>
        <v>1</v>
      </c>
      <c r="CH300" s="50">
        <f t="shared" si="448"/>
        <v>1</v>
      </c>
      <c r="CI300" s="50">
        <f t="shared" si="449"/>
        <v>1</v>
      </c>
      <c r="CJ300" s="50">
        <f t="shared" si="450"/>
        <v>1</v>
      </c>
      <c r="CK300" s="50">
        <f t="shared" si="450"/>
        <v>0</v>
      </c>
      <c r="CL300" s="50">
        <f t="shared" si="450"/>
        <v>0</v>
      </c>
      <c r="CM300" s="51">
        <f t="shared" si="368"/>
        <v>0</v>
      </c>
      <c r="CN300" s="33">
        <f>ROUND(IF(BS300=0,0,HLOOKUP(BS$14,Villagers!$B$1:$V$33,BS300+3,FALSE)),)</f>
        <v>5</v>
      </c>
      <c r="CO300" s="14">
        <f>ROUND(IF(BT300=0,0,HLOOKUP(BT$14,Villagers!$B$1:$V$33,BT300+3,FALSE)),)</f>
        <v>0</v>
      </c>
      <c r="CP300" s="14">
        <f>ROUND(IF(BU300=0,0,HLOOKUP(BU$14,Villagers!$B$1:$V$33,BU300+3,FALSE)),)</f>
        <v>0</v>
      </c>
      <c r="CQ300" s="14">
        <f>ROUND(IF(BV300=0,0,HLOOKUP(BV$14,Villagers!$B$1:$V$33,BV300+3,FALSE)),)</f>
        <v>0</v>
      </c>
      <c r="CR300" s="14">
        <f>ROUND(IF(BW300=0,0,HLOOKUP(BW$14,Villagers!$B$1:$V$33,BW300+3,FALSE)),)</f>
        <v>0</v>
      </c>
      <c r="CS300" s="14">
        <f>ROUND(IF(BX300=0,0,HLOOKUP(BX$14,Villagers!$B$1:$V$33,BX300+3,FALSE)),)</f>
        <v>0</v>
      </c>
      <c r="CT300" s="14">
        <f>ROUND(IF(BY300=0,0,HLOOKUP(BY$14,Villagers!$B$1:$V$33,BY300+3,FALSE)),)</f>
        <v>0</v>
      </c>
      <c r="CU300" s="14">
        <f>ROUND(IF(BZ300=0,0,HLOOKUP(BZ$14,Villagers!$B$1:$V$33,BZ300+3,FALSE)),)</f>
        <v>0</v>
      </c>
      <c r="CV300" s="14">
        <f>ROUND(IF(CA300=0,0,HLOOKUP(CA$14,Villagers!$B$1:$V$33,CA300+3,FALSE)),)</f>
        <v>0</v>
      </c>
      <c r="CW300" s="14">
        <f>ROUND(IF(CB300=0,0,HLOOKUP(CB$14,Villagers!$B$1:$V$33,CB300+3,FALSE)),)</f>
        <v>0</v>
      </c>
      <c r="CX300" s="14">
        <f>ROUND(IF(CC300=0,0,HLOOKUP(CC$14,Villagers!$B$1:$V$33,CC300+3,FALSE)),)</f>
        <v>0</v>
      </c>
      <c r="CY300" s="14">
        <f>ROUND(IF(CD300=0,0,HLOOKUP(CD$14,Villagers!$B$1:$V$33,CD300+3,FALSE)),)</f>
        <v>0</v>
      </c>
      <c r="CZ300" s="14">
        <f>ROUND(IF(CE300=0,0,HLOOKUP(CE$14,Villagers!$B$1:$V$33,CE300+3,FALSE)),)</f>
        <v>5</v>
      </c>
      <c r="DA300" s="14">
        <f>ROUND(IF(CF300=0,0,HLOOKUP(CF$14,Villagers!$B$1:$V$33,CF300+3,FALSE)),)</f>
        <v>10</v>
      </c>
      <c r="DB300" s="14">
        <f>ROUND(IF(CG300=0,0,HLOOKUP(CG$14,Villagers!$B$1:$V$33,CG300+3,FALSE)),)</f>
        <v>10</v>
      </c>
      <c r="DC300" s="14">
        <f>ROUND(IF(CH300=0,0,HLOOKUP(CH$14,Villagers!$B$1:$V$33,CH300+3,FALSE)),)</f>
        <v>0</v>
      </c>
      <c r="DD300" s="14">
        <f>ROUND(IF(CI300=0,0,HLOOKUP(CI$14,Villagers!$B$1:$V$33,CI300+3,FALSE)),)</f>
        <v>0</v>
      </c>
      <c r="DE300" s="14">
        <f>ROUND(IF(CJ300=0,0,HLOOKUP(CJ$14,Villagers!$B$1:$V$33,CJ300+3,FALSE)),)</f>
        <v>2</v>
      </c>
      <c r="DF300" s="370">
        <f>ROUND(IF(CK300=0,0,HLOOKUP(CK$14,Villagers!$B$1:$V$33,CK300+3,FALSE)),)</f>
        <v>0</v>
      </c>
      <c r="DG300" s="370">
        <f>ROUND(IF(CL300=0,0,HLOOKUP(CL$14,Villagers!$B$1:$V$33,CL300+3,FALSE)),)</f>
        <v>0</v>
      </c>
      <c r="DH300" s="34">
        <f>ROUND(IF(CM300=0,0,HLOOKUP(CM$14,Villagers!$B$1:$V$33,CM300+3,FALSE)),)</f>
        <v>0</v>
      </c>
      <c r="DI300" s="109">
        <f t="shared" si="426"/>
        <v>0</v>
      </c>
      <c r="DJ300" s="50">
        <f t="shared" si="427"/>
        <v>0</v>
      </c>
      <c r="DK300" s="50">
        <f t="shared" si="428"/>
        <v>0</v>
      </c>
      <c r="DL300" s="50">
        <f t="shared" si="429"/>
        <v>0</v>
      </c>
      <c r="DM300" s="50">
        <f t="shared" si="430"/>
        <v>0</v>
      </c>
      <c r="DN300" s="50">
        <f t="shared" si="431"/>
        <v>0</v>
      </c>
      <c r="DO300" s="50">
        <f t="shared" si="432"/>
        <v>0</v>
      </c>
      <c r="DP300" s="50">
        <f t="shared" si="433"/>
        <v>0</v>
      </c>
      <c r="DQ300" s="50">
        <f t="shared" si="411"/>
        <v>0</v>
      </c>
      <c r="DR300" s="50">
        <f t="shared" si="412"/>
        <v>0</v>
      </c>
      <c r="DS300" s="96">
        <f>Miscelaneous!$D$4*Miscelaneous!$D$2^($CI300-1)</f>
        <v>1000</v>
      </c>
      <c r="DT300" s="333">
        <f t="shared" si="393"/>
        <v>1</v>
      </c>
      <c r="DU300" s="81">
        <v>1</v>
      </c>
      <c r="DV300" s="79">
        <f t="shared" si="413"/>
        <v>0</v>
      </c>
      <c r="DW300" s="79">
        <f t="shared" si="414"/>
        <v>0</v>
      </c>
      <c r="DX300" s="79">
        <f t="shared" si="415"/>
        <v>0</v>
      </c>
      <c r="DY300" s="79">
        <v>1</v>
      </c>
      <c r="DZ300" s="79">
        <f t="shared" si="416"/>
        <v>0</v>
      </c>
      <c r="EA300" s="79">
        <f t="shared" si="417"/>
        <v>0</v>
      </c>
      <c r="EB300" s="79">
        <f t="shared" si="418"/>
        <v>0</v>
      </c>
      <c r="EC300" s="79">
        <f t="shared" si="419"/>
        <v>0</v>
      </c>
      <c r="ED300" s="79">
        <v>1</v>
      </c>
      <c r="EE300" s="79">
        <v>1</v>
      </c>
      <c r="EF300" s="79">
        <f t="shared" si="420"/>
        <v>0</v>
      </c>
      <c r="EG300" s="79">
        <v>1</v>
      </c>
      <c r="EH300" s="79">
        <v>1</v>
      </c>
      <c r="EI300" s="79">
        <v>1</v>
      </c>
      <c r="EJ300" s="79">
        <v>1</v>
      </c>
      <c r="EK300" s="79">
        <v>1</v>
      </c>
      <c r="EL300" s="79">
        <v>1</v>
      </c>
      <c r="EM300" s="143">
        <f t="shared" si="421"/>
        <v>0</v>
      </c>
      <c r="EN300" s="143">
        <f t="shared" si="422"/>
        <v>0</v>
      </c>
      <c r="EO300" s="82">
        <f t="shared" si="423"/>
        <v>0</v>
      </c>
    </row>
    <row r="301" spans="1:145" x14ac:dyDescent="0.25">
      <c r="A301">
        <v>287</v>
      </c>
      <c r="B301" s="172" t="e">
        <f t="shared" si="394"/>
        <v>#N/A</v>
      </c>
      <c r="C301" s="121" t="e">
        <f t="shared" si="373"/>
        <v>#N/A</v>
      </c>
      <c r="D301" s="122" t="e">
        <f t="shared" si="374"/>
        <v>#N/A</v>
      </c>
      <c r="E301" s="122" t="e">
        <f t="shared" si="375"/>
        <v>#N/A</v>
      </c>
      <c r="F301" s="176" t="e">
        <f t="shared" si="376"/>
        <v>#N/A</v>
      </c>
      <c r="G301" s="121">
        <f t="shared" si="395"/>
        <v>208</v>
      </c>
      <c r="H301" s="176" t="e">
        <f t="shared" si="396"/>
        <v>#N/A</v>
      </c>
      <c r="I301" s="48">
        <v>1</v>
      </c>
      <c r="J301" s="39"/>
      <c r="K301" s="350">
        <v>1</v>
      </c>
      <c r="L301" s="34" t="e">
        <f t="shared" si="377"/>
        <v>#N/A</v>
      </c>
      <c r="M301" s="38" t="e">
        <f>(HLOOKUP(J301,'Construction Times'!$B$3:$W$34,L301+2,FALSE)*HLOOKUP("hq modifier",'Construction Times'!$W$3:$W$34,BS301+2,FALSE))*(1-$H$9)</f>
        <v>#N/A</v>
      </c>
      <c r="N301" s="443" t="e">
        <f t="shared" si="397"/>
        <v>#N/A</v>
      </c>
      <c r="O301" s="444"/>
      <c r="P301" s="447" t="e">
        <f t="shared" si="398"/>
        <v>#N/A</v>
      </c>
      <c r="Q301" s="448"/>
      <c r="R301" s="103">
        <f t="shared" si="424"/>
        <v>0</v>
      </c>
      <c r="S301" s="104">
        <f t="shared" si="424"/>
        <v>0</v>
      </c>
      <c r="T301" s="104">
        <f t="shared" si="425"/>
        <v>0</v>
      </c>
      <c r="U301" s="104">
        <f t="shared" si="425"/>
        <v>0</v>
      </c>
      <c r="V301" s="104">
        <f t="shared" si="425"/>
        <v>9.9999999999999995E-8</v>
      </c>
      <c r="W301" s="104">
        <f t="shared" si="425"/>
        <v>0</v>
      </c>
      <c r="X301" s="104">
        <f t="shared" ref="X301:AA364" si="455">X300</f>
        <v>0</v>
      </c>
      <c r="Y301" s="104">
        <f t="shared" si="455"/>
        <v>9.9999999999999995E-8</v>
      </c>
      <c r="Z301" s="104">
        <f t="shared" si="455"/>
        <v>9.9999999999999995E-8</v>
      </c>
      <c r="AA301" s="105">
        <f t="shared" si="455"/>
        <v>9.9999999999999995E-8</v>
      </c>
      <c r="AB301" s="101" t="e">
        <f>$DT301*HLOOKUP($J301,'Construction Costs (timber)'!$B$1:$V$32,'Construction Planner'!$L301+2,FALSE)</f>
        <v>#N/A</v>
      </c>
      <c r="AC301" s="14" t="e">
        <f>$DT301*HLOOKUP($J301,'Construction Costs (clay)'!$B$1:$V$32,'Construction Planner'!$L301+2,FALSE)</f>
        <v>#N/A</v>
      </c>
      <c r="AD301" s="14" t="e">
        <f>$DT301*HLOOKUP($J301,'Construction Costs (iron)'!$B$1:$V$32,'Construction Planner'!$L301+2,FALSE)</f>
        <v>#N/A</v>
      </c>
      <c r="AE301" s="34" t="e">
        <f t="shared" si="434"/>
        <v>#N/A</v>
      </c>
      <c r="AF301" s="33" t="e">
        <f t="shared" si="378"/>
        <v>#N/A</v>
      </c>
      <c r="AG301" s="14" t="e">
        <f t="shared" si="379"/>
        <v>#N/A</v>
      </c>
      <c r="AH301" s="14" t="e">
        <f t="shared" si="380"/>
        <v>#N/A</v>
      </c>
      <c r="AI301" s="34" t="e">
        <f t="shared" si="435"/>
        <v>#N/A</v>
      </c>
      <c r="AJ301" s="49" t="e">
        <f t="shared" si="399"/>
        <v>#N/A</v>
      </c>
      <c r="AK301" s="49" t="e">
        <f t="shared" si="400"/>
        <v>#N/A</v>
      </c>
      <c r="AL301" s="49" t="e">
        <f t="shared" si="401"/>
        <v>#N/A</v>
      </c>
      <c r="AM301" s="25">
        <f t="shared" si="381"/>
        <v>30</v>
      </c>
      <c r="AN301" s="25">
        <f t="shared" si="382"/>
        <v>30</v>
      </c>
      <c r="AO301" s="25">
        <f t="shared" si="383"/>
        <v>30</v>
      </c>
      <c r="AP301" s="52" t="e">
        <f t="shared" si="402"/>
        <v>#N/A</v>
      </c>
      <c r="AQ301" s="53" t="e">
        <f t="shared" si="402"/>
        <v>#N/A</v>
      </c>
      <c r="AR301" s="54" t="e">
        <f t="shared" si="402"/>
        <v>#N/A</v>
      </c>
      <c r="AS301" s="316">
        <f t="shared" si="452"/>
        <v>0</v>
      </c>
      <c r="AT301" s="106">
        <f>_xlfn.IFNA($M301/VLOOKUP($BT301,'Unit information'!$A$2:$K$29,2,FALSE)*R301,0)*(1+$E$9)</f>
        <v>0</v>
      </c>
      <c r="AU301" s="107">
        <f>_xlfn.IFNA($M301/VLOOKUP($BT301,'Unit information'!$A$2:$K$29,3,FALSE)*S301,0)*(1+$E$9)</f>
        <v>0</v>
      </c>
      <c r="AV301" s="107">
        <f>_xlfn.IFNA($M301/VLOOKUP($BT301,'Unit information'!$A$2:$K$29,4,FALSE)*T301,0)*(1+$E$9)</f>
        <v>0</v>
      </c>
      <c r="AW301" s="107">
        <f>_xlfn.IFNA($M301/VLOOKUP($BT301,'Unit information'!$A$2:$K$29,5,FALSE)*U301,0)*(1+$E$9)</f>
        <v>0</v>
      </c>
      <c r="AX301" s="107">
        <f>_xlfn.IFNA($M301/VLOOKUP($BU301,'Unit information'!$A$2:$K$29,6,FALSE)*V301,0)*(1+$E$9)</f>
        <v>0</v>
      </c>
      <c r="AY301" s="107">
        <f>_xlfn.IFNA($M301/VLOOKUP($BU301,'Unit information'!$A$2:$K$29,7,FALSE)*W301,0)*(1+$E$9)</f>
        <v>0</v>
      </c>
      <c r="AZ301" s="107">
        <f>_xlfn.IFNA($M301/VLOOKUP($BU301,'Unit information'!$A$2:$K$29,8,FALSE)*X301,0)*(1+$E$9)</f>
        <v>0</v>
      </c>
      <c r="BA301" s="107">
        <f>_xlfn.IFNA($M301/VLOOKUP($BU301,'Unit information'!$A$2:$K$29,9,FALSE)*Y301,0)*(1+$E$9)</f>
        <v>0</v>
      </c>
      <c r="BB301" s="107">
        <f>_xlfn.IFNA($M301/VLOOKUP($BV301,'Unit information'!$A$2:$K$29,10,FALSE)*Z301,0)*(1+$E$9)</f>
        <v>0</v>
      </c>
      <c r="BC301" s="108">
        <f>_xlfn.IFNA($M301/VLOOKUP($BV301,'Unit information'!$A$2:$K$29,11,FALSE)*AA301,0)*(1+$E$9)</f>
        <v>0</v>
      </c>
      <c r="BD301" s="106">
        <f t="shared" si="384"/>
        <v>0</v>
      </c>
      <c r="BE301" s="107">
        <f t="shared" si="385"/>
        <v>0</v>
      </c>
      <c r="BF301" s="108">
        <f t="shared" si="386"/>
        <v>0</v>
      </c>
      <c r="BG301" s="25" t="e">
        <f t="shared" si="387"/>
        <v>#N/A</v>
      </c>
      <c r="BH301" s="25" t="e">
        <f t="shared" si="388"/>
        <v>#N/A</v>
      </c>
      <c r="BI301" s="25" t="e">
        <f t="shared" si="389"/>
        <v>#N/A</v>
      </c>
      <c r="BJ301" s="27" t="e">
        <f t="shared" si="390"/>
        <v>#N/A</v>
      </c>
      <c r="BK301" s="18" t="e">
        <f t="shared" si="391"/>
        <v>#N/A</v>
      </c>
      <c r="BL301" s="18" t="e">
        <f t="shared" si="392"/>
        <v>#N/A</v>
      </c>
      <c r="BM301" s="28" t="e">
        <f t="shared" si="437"/>
        <v>#N/A</v>
      </c>
      <c r="BN301" s="33">
        <f>HLOOKUP("maximum population",Miscelaneous!$C$1:$C$33,CH301+3,FALSE)</f>
        <v>240</v>
      </c>
      <c r="BO301" s="14">
        <f t="shared" si="403"/>
        <v>32</v>
      </c>
      <c r="BP301" s="14">
        <f t="shared" si="404"/>
        <v>0</v>
      </c>
      <c r="BQ301" s="14">
        <f t="shared" si="405"/>
        <v>208</v>
      </c>
      <c r="BR301" s="34" t="e">
        <f>HLOOKUP(J301,Villagers!$B$1:$V$33,L301+3,FALSE)-HLOOKUP(J301,Villagers!$B$1:$V$33,L301+2,FALSE)</f>
        <v>#N/A</v>
      </c>
      <c r="BS301" s="49">
        <f t="shared" si="406"/>
        <v>1</v>
      </c>
      <c r="BT301" s="50">
        <f t="shared" si="407"/>
        <v>0</v>
      </c>
      <c r="BU301" s="50">
        <f t="shared" si="408"/>
        <v>0</v>
      </c>
      <c r="BV301" s="50">
        <f t="shared" si="409"/>
        <v>0</v>
      </c>
      <c r="BW301" s="50">
        <f t="shared" si="454"/>
        <v>0</v>
      </c>
      <c r="BX301" s="50">
        <f t="shared" si="453"/>
        <v>0</v>
      </c>
      <c r="BY301" s="50">
        <f t="shared" si="453"/>
        <v>0</v>
      </c>
      <c r="BZ301" s="50">
        <f t="shared" si="440"/>
        <v>0</v>
      </c>
      <c r="CA301" s="50">
        <f t="shared" si="441"/>
        <v>0</v>
      </c>
      <c r="CB301" s="50">
        <f t="shared" si="442"/>
        <v>1</v>
      </c>
      <c r="CC301" s="50">
        <f t="shared" si="443"/>
        <v>0</v>
      </c>
      <c r="CD301" s="50">
        <f t="shared" si="444"/>
        <v>0</v>
      </c>
      <c r="CE301" s="50">
        <f t="shared" si="445"/>
        <v>1</v>
      </c>
      <c r="CF301" s="50">
        <f t="shared" si="446"/>
        <v>1</v>
      </c>
      <c r="CG301" s="50">
        <f t="shared" si="447"/>
        <v>1</v>
      </c>
      <c r="CH301" s="50">
        <f t="shared" si="448"/>
        <v>1</v>
      </c>
      <c r="CI301" s="50">
        <f t="shared" si="449"/>
        <v>1</v>
      </c>
      <c r="CJ301" s="50">
        <f t="shared" si="450"/>
        <v>1</v>
      </c>
      <c r="CK301" s="50">
        <f t="shared" si="450"/>
        <v>0</v>
      </c>
      <c r="CL301" s="50">
        <f t="shared" si="450"/>
        <v>0</v>
      </c>
      <c r="CM301" s="51">
        <f t="shared" si="368"/>
        <v>0</v>
      </c>
      <c r="CN301" s="33">
        <f>ROUND(IF(BS301=0,0,HLOOKUP(BS$14,Villagers!$B$1:$V$33,BS301+3,FALSE)),)</f>
        <v>5</v>
      </c>
      <c r="CO301" s="14">
        <f>ROUND(IF(BT301=0,0,HLOOKUP(BT$14,Villagers!$B$1:$V$33,BT301+3,FALSE)),)</f>
        <v>0</v>
      </c>
      <c r="CP301" s="14">
        <f>ROUND(IF(BU301=0,0,HLOOKUP(BU$14,Villagers!$B$1:$V$33,BU301+3,FALSE)),)</f>
        <v>0</v>
      </c>
      <c r="CQ301" s="14">
        <f>ROUND(IF(BV301=0,0,HLOOKUP(BV$14,Villagers!$B$1:$V$33,BV301+3,FALSE)),)</f>
        <v>0</v>
      </c>
      <c r="CR301" s="14">
        <f>ROUND(IF(BW301=0,0,HLOOKUP(BW$14,Villagers!$B$1:$V$33,BW301+3,FALSE)),)</f>
        <v>0</v>
      </c>
      <c r="CS301" s="14">
        <f>ROUND(IF(BX301=0,0,HLOOKUP(BX$14,Villagers!$B$1:$V$33,BX301+3,FALSE)),)</f>
        <v>0</v>
      </c>
      <c r="CT301" s="14">
        <f>ROUND(IF(BY301=0,0,HLOOKUP(BY$14,Villagers!$B$1:$V$33,BY301+3,FALSE)),)</f>
        <v>0</v>
      </c>
      <c r="CU301" s="14">
        <f>ROUND(IF(BZ301=0,0,HLOOKUP(BZ$14,Villagers!$B$1:$V$33,BZ301+3,FALSE)),)</f>
        <v>0</v>
      </c>
      <c r="CV301" s="14">
        <f>ROUND(IF(CA301=0,0,HLOOKUP(CA$14,Villagers!$B$1:$V$33,CA301+3,FALSE)),)</f>
        <v>0</v>
      </c>
      <c r="CW301" s="14">
        <f>ROUND(IF(CB301=0,0,HLOOKUP(CB$14,Villagers!$B$1:$V$33,CB301+3,FALSE)),)</f>
        <v>0</v>
      </c>
      <c r="CX301" s="14">
        <f>ROUND(IF(CC301=0,0,HLOOKUP(CC$14,Villagers!$B$1:$V$33,CC301+3,FALSE)),)</f>
        <v>0</v>
      </c>
      <c r="CY301" s="14">
        <f>ROUND(IF(CD301=0,0,HLOOKUP(CD$14,Villagers!$B$1:$V$33,CD301+3,FALSE)),)</f>
        <v>0</v>
      </c>
      <c r="CZ301" s="14">
        <f>ROUND(IF(CE301=0,0,HLOOKUP(CE$14,Villagers!$B$1:$V$33,CE301+3,FALSE)),)</f>
        <v>5</v>
      </c>
      <c r="DA301" s="14">
        <f>ROUND(IF(CF301=0,0,HLOOKUP(CF$14,Villagers!$B$1:$V$33,CF301+3,FALSE)),)</f>
        <v>10</v>
      </c>
      <c r="DB301" s="14">
        <f>ROUND(IF(CG301=0,0,HLOOKUP(CG$14,Villagers!$B$1:$V$33,CG301+3,FALSE)),)</f>
        <v>10</v>
      </c>
      <c r="DC301" s="14">
        <f>ROUND(IF(CH301=0,0,HLOOKUP(CH$14,Villagers!$B$1:$V$33,CH301+3,FALSE)),)</f>
        <v>0</v>
      </c>
      <c r="DD301" s="14">
        <f>ROUND(IF(CI301=0,0,HLOOKUP(CI$14,Villagers!$B$1:$V$33,CI301+3,FALSE)),)</f>
        <v>0</v>
      </c>
      <c r="DE301" s="14">
        <f>ROUND(IF(CJ301=0,0,HLOOKUP(CJ$14,Villagers!$B$1:$V$33,CJ301+3,FALSE)),)</f>
        <v>2</v>
      </c>
      <c r="DF301" s="370">
        <f>ROUND(IF(CK301=0,0,HLOOKUP(CK$14,Villagers!$B$1:$V$33,CK301+3,FALSE)),)</f>
        <v>0</v>
      </c>
      <c r="DG301" s="370">
        <f>ROUND(IF(CL301=0,0,HLOOKUP(CL$14,Villagers!$B$1:$V$33,CL301+3,FALSE)),)</f>
        <v>0</v>
      </c>
      <c r="DH301" s="34">
        <f>ROUND(IF(CM301=0,0,HLOOKUP(CM$14,Villagers!$B$1:$V$33,CM301+3,FALSE)),)</f>
        <v>0</v>
      </c>
      <c r="DI301" s="109">
        <f t="shared" si="426"/>
        <v>0</v>
      </c>
      <c r="DJ301" s="50">
        <f t="shared" si="427"/>
        <v>0</v>
      </c>
      <c r="DK301" s="50">
        <f t="shared" si="428"/>
        <v>0</v>
      </c>
      <c r="DL301" s="50">
        <f t="shared" si="429"/>
        <v>0</v>
      </c>
      <c r="DM301" s="50">
        <f t="shared" si="430"/>
        <v>0</v>
      </c>
      <c r="DN301" s="50">
        <f t="shared" si="431"/>
        <v>0</v>
      </c>
      <c r="DO301" s="50">
        <f t="shared" si="432"/>
        <v>0</v>
      </c>
      <c r="DP301" s="50">
        <f t="shared" si="433"/>
        <v>0</v>
      </c>
      <c r="DQ301" s="50">
        <f t="shared" si="411"/>
        <v>0</v>
      </c>
      <c r="DR301" s="50">
        <f t="shared" si="412"/>
        <v>0</v>
      </c>
      <c r="DS301" s="96">
        <f>Miscelaneous!$D$4*Miscelaneous!$D$2^($CI301-1)</f>
        <v>1000</v>
      </c>
      <c r="DT301" s="333">
        <f t="shared" si="393"/>
        <v>1</v>
      </c>
      <c r="DU301" s="81">
        <v>1</v>
      </c>
      <c r="DV301" s="79">
        <f t="shared" si="413"/>
        <v>0</v>
      </c>
      <c r="DW301" s="79">
        <f t="shared" si="414"/>
        <v>0</v>
      </c>
      <c r="DX301" s="79">
        <f t="shared" si="415"/>
        <v>0</v>
      </c>
      <c r="DY301" s="79">
        <v>1</v>
      </c>
      <c r="DZ301" s="79">
        <f t="shared" si="416"/>
        <v>0</v>
      </c>
      <c r="EA301" s="79">
        <f t="shared" si="417"/>
        <v>0</v>
      </c>
      <c r="EB301" s="79">
        <f t="shared" si="418"/>
        <v>0</v>
      </c>
      <c r="EC301" s="79">
        <f t="shared" si="419"/>
        <v>0</v>
      </c>
      <c r="ED301" s="79">
        <v>1</v>
      </c>
      <c r="EE301" s="79">
        <v>1</v>
      </c>
      <c r="EF301" s="79">
        <f t="shared" si="420"/>
        <v>0</v>
      </c>
      <c r="EG301" s="79">
        <v>1</v>
      </c>
      <c r="EH301" s="79">
        <v>1</v>
      </c>
      <c r="EI301" s="79">
        <v>1</v>
      </c>
      <c r="EJ301" s="79">
        <v>1</v>
      </c>
      <c r="EK301" s="79">
        <v>1</v>
      </c>
      <c r="EL301" s="79">
        <v>1</v>
      </c>
      <c r="EM301" s="143">
        <f t="shared" si="421"/>
        <v>0</v>
      </c>
      <c r="EN301" s="143">
        <f t="shared" si="422"/>
        <v>0</v>
      </c>
      <c r="EO301" s="82">
        <f t="shared" si="423"/>
        <v>0</v>
      </c>
    </row>
    <row r="302" spans="1:145" x14ac:dyDescent="0.25">
      <c r="A302">
        <v>288</v>
      </c>
      <c r="B302" s="172" t="e">
        <f t="shared" si="394"/>
        <v>#N/A</v>
      </c>
      <c r="C302" s="121" t="e">
        <f t="shared" si="373"/>
        <v>#N/A</v>
      </c>
      <c r="D302" s="122" t="e">
        <f t="shared" si="374"/>
        <v>#N/A</v>
      </c>
      <c r="E302" s="122" t="e">
        <f t="shared" si="375"/>
        <v>#N/A</v>
      </c>
      <c r="F302" s="176" t="e">
        <f t="shared" si="376"/>
        <v>#N/A</v>
      </c>
      <c r="G302" s="121">
        <f t="shared" si="395"/>
        <v>208</v>
      </c>
      <c r="H302" s="176" t="e">
        <f t="shared" si="396"/>
        <v>#N/A</v>
      </c>
      <c r="I302" s="48">
        <v>1</v>
      </c>
      <c r="J302" s="39"/>
      <c r="K302" s="350">
        <v>1</v>
      </c>
      <c r="L302" s="34" t="e">
        <f t="shared" si="377"/>
        <v>#N/A</v>
      </c>
      <c r="M302" s="38" t="e">
        <f>(HLOOKUP(J302,'Construction Times'!$B$3:$W$34,L302+2,FALSE)*HLOOKUP("hq modifier",'Construction Times'!$W$3:$W$34,BS302+2,FALSE))*(1-$H$9)</f>
        <v>#N/A</v>
      </c>
      <c r="N302" s="443" t="e">
        <f t="shared" si="397"/>
        <v>#N/A</v>
      </c>
      <c r="O302" s="444"/>
      <c r="P302" s="447" t="e">
        <f t="shared" si="398"/>
        <v>#N/A</v>
      </c>
      <c r="Q302" s="448"/>
      <c r="R302" s="103">
        <f t="shared" si="424"/>
        <v>0</v>
      </c>
      <c r="S302" s="104">
        <f t="shared" si="424"/>
        <v>0</v>
      </c>
      <c r="T302" s="104">
        <f t="shared" si="425"/>
        <v>0</v>
      </c>
      <c r="U302" s="104">
        <f t="shared" si="425"/>
        <v>0</v>
      </c>
      <c r="V302" s="104">
        <f t="shared" si="425"/>
        <v>9.9999999999999995E-8</v>
      </c>
      <c r="W302" s="104">
        <f t="shared" si="425"/>
        <v>0</v>
      </c>
      <c r="X302" s="104">
        <f t="shared" si="455"/>
        <v>0</v>
      </c>
      <c r="Y302" s="104">
        <f t="shared" si="455"/>
        <v>9.9999999999999995E-8</v>
      </c>
      <c r="Z302" s="104">
        <f t="shared" si="455"/>
        <v>9.9999999999999995E-8</v>
      </c>
      <c r="AA302" s="105">
        <f t="shared" si="455"/>
        <v>9.9999999999999995E-8</v>
      </c>
      <c r="AB302" s="101" t="e">
        <f>$DT302*HLOOKUP($J302,'Construction Costs (timber)'!$B$1:$V$32,'Construction Planner'!$L302+2,FALSE)</f>
        <v>#N/A</v>
      </c>
      <c r="AC302" s="14" t="e">
        <f>$DT302*HLOOKUP($J302,'Construction Costs (clay)'!$B$1:$V$32,'Construction Planner'!$L302+2,FALSE)</f>
        <v>#N/A</v>
      </c>
      <c r="AD302" s="14" t="e">
        <f>$DT302*HLOOKUP($J302,'Construction Costs (iron)'!$B$1:$V$32,'Construction Planner'!$L302+2,FALSE)</f>
        <v>#N/A</v>
      </c>
      <c r="AE302" s="34" t="e">
        <f t="shared" si="434"/>
        <v>#N/A</v>
      </c>
      <c r="AF302" s="33" t="e">
        <f t="shared" si="378"/>
        <v>#N/A</v>
      </c>
      <c r="AG302" s="14" t="e">
        <f t="shared" si="379"/>
        <v>#N/A</v>
      </c>
      <c r="AH302" s="14" t="e">
        <f t="shared" si="380"/>
        <v>#N/A</v>
      </c>
      <c r="AI302" s="34" t="e">
        <f t="shared" si="435"/>
        <v>#N/A</v>
      </c>
      <c r="AJ302" s="49" t="e">
        <f t="shared" si="399"/>
        <v>#N/A</v>
      </c>
      <c r="AK302" s="49" t="e">
        <f t="shared" si="400"/>
        <v>#N/A</v>
      </c>
      <c r="AL302" s="49" t="e">
        <f t="shared" si="401"/>
        <v>#N/A</v>
      </c>
      <c r="AM302" s="25">
        <f t="shared" si="381"/>
        <v>30</v>
      </c>
      <c r="AN302" s="25">
        <f t="shared" si="382"/>
        <v>30</v>
      </c>
      <c r="AO302" s="25">
        <f t="shared" si="383"/>
        <v>30</v>
      </c>
      <c r="AP302" s="52" t="e">
        <f t="shared" si="402"/>
        <v>#N/A</v>
      </c>
      <c r="AQ302" s="53" t="e">
        <f t="shared" si="402"/>
        <v>#N/A</v>
      </c>
      <c r="AR302" s="54" t="e">
        <f t="shared" si="402"/>
        <v>#N/A</v>
      </c>
      <c r="AS302" s="316">
        <f t="shared" si="452"/>
        <v>0</v>
      </c>
      <c r="AT302" s="106">
        <f>_xlfn.IFNA($M302/VLOOKUP($BT302,'Unit information'!$A$2:$K$29,2,FALSE)*R302,0)*(1+$E$9)</f>
        <v>0</v>
      </c>
      <c r="AU302" s="107">
        <f>_xlfn.IFNA($M302/VLOOKUP($BT302,'Unit information'!$A$2:$K$29,3,FALSE)*S302,0)*(1+$E$9)</f>
        <v>0</v>
      </c>
      <c r="AV302" s="107">
        <f>_xlfn.IFNA($M302/VLOOKUP($BT302,'Unit information'!$A$2:$K$29,4,FALSE)*T302,0)*(1+$E$9)</f>
        <v>0</v>
      </c>
      <c r="AW302" s="107">
        <f>_xlfn.IFNA($M302/VLOOKUP($BT302,'Unit information'!$A$2:$K$29,5,FALSE)*U302,0)*(1+$E$9)</f>
        <v>0</v>
      </c>
      <c r="AX302" s="107">
        <f>_xlfn.IFNA($M302/VLOOKUP($BU302,'Unit information'!$A$2:$K$29,6,FALSE)*V302,0)*(1+$E$9)</f>
        <v>0</v>
      </c>
      <c r="AY302" s="107">
        <f>_xlfn.IFNA($M302/VLOOKUP($BU302,'Unit information'!$A$2:$K$29,7,FALSE)*W302,0)*(1+$E$9)</f>
        <v>0</v>
      </c>
      <c r="AZ302" s="107">
        <f>_xlfn.IFNA($M302/VLOOKUP($BU302,'Unit information'!$A$2:$K$29,8,FALSE)*X302,0)*(1+$E$9)</f>
        <v>0</v>
      </c>
      <c r="BA302" s="107">
        <f>_xlfn.IFNA($M302/VLOOKUP($BU302,'Unit information'!$A$2:$K$29,9,FALSE)*Y302,0)*(1+$E$9)</f>
        <v>0</v>
      </c>
      <c r="BB302" s="107">
        <f>_xlfn.IFNA($M302/VLOOKUP($BV302,'Unit information'!$A$2:$K$29,10,FALSE)*Z302,0)*(1+$E$9)</f>
        <v>0</v>
      </c>
      <c r="BC302" s="108">
        <f>_xlfn.IFNA($M302/VLOOKUP($BV302,'Unit information'!$A$2:$K$29,11,FALSE)*AA302,0)*(1+$E$9)</f>
        <v>0</v>
      </c>
      <c r="BD302" s="106">
        <f t="shared" si="384"/>
        <v>0</v>
      </c>
      <c r="BE302" s="107">
        <f t="shared" si="385"/>
        <v>0</v>
      </c>
      <c r="BF302" s="108">
        <f t="shared" si="386"/>
        <v>0</v>
      </c>
      <c r="BG302" s="25" t="e">
        <f t="shared" si="387"/>
        <v>#N/A</v>
      </c>
      <c r="BH302" s="25" t="e">
        <f t="shared" si="388"/>
        <v>#N/A</v>
      </c>
      <c r="BI302" s="25" t="e">
        <f t="shared" si="389"/>
        <v>#N/A</v>
      </c>
      <c r="BJ302" s="27" t="e">
        <f t="shared" si="390"/>
        <v>#N/A</v>
      </c>
      <c r="BK302" s="18" t="e">
        <f t="shared" si="391"/>
        <v>#N/A</v>
      </c>
      <c r="BL302" s="18" t="e">
        <f t="shared" si="392"/>
        <v>#N/A</v>
      </c>
      <c r="BM302" s="28" t="e">
        <f t="shared" si="437"/>
        <v>#N/A</v>
      </c>
      <c r="BN302" s="33">
        <f>HLOOKUP("maximum population",Miscelaneous!$C$1:$C$33,CH302+3,FALSE)</f>
        <v>240</v>
      </c>
      <c r="BO302" s="14">
        <f t="shared" si="403"/>
        <v>32</v>
      </c>
      <c r="BP302" s="14">
        <f t="shared" si="404"/>
        <v>0</v>
      </c>
      <c r="BQ302" s="14">
        <f t="shared" si="405"/>
        <v>208</v>
      </c>
      <c r="BR302" s="34" t="e">
        <f>HLOOKUP(J302,Villagers!$B$1:$V$33,L302+3,FALSE)-HLOOKUP(J302,Villagers!$B$1:$V$33,L302+2,FALSE)</f>
        <v>#N/A</v>
      </c>
      <c r="BS302" s="49">
        <f t="shared" si="406"/>
        <v>1</v>
      </c>
      <c r="BT302" s="50">
        <f t="shared" si="407"/>
        <v>0</v>
      </c>
      <c r="BU302" s="50">
        <f t="shared" si="408"/>
        <v>0</v>
      </c>
      <c r="BV302" s="50">
        <f t="shared" si="409"/>
        <v>0</v>
      </c>
      <c r="BW302" s="50">
        <f t="shared" si="454"/>
        <v>0</v>
      </c>
      <c r="BX302" s="50">
        <f t="shared" si="453"/>
        <v>0</v>
      </c>
      <c r="BY302" s="50">
        <f t="shared" si="453"/>
        <v>0</v>
      </c>
      <c r="BZ302" s="50">
        <f t="shared" si="440"/>
        <v>0</v>
      </c>
      <c r="CA302" s="50">
        <f t="shared" si="441"/>
        <v>0</v>
      </c>
      <c r="CB302" s="50">
        <f t="shared" si="442"/>
        <v>1</v>
      </c>
      <c r="CC302" s="50">
        <f t="shared" si="443"/>
        <v>0</v>
      </c>
      <c r="CD302" s="50">
        <f t="shared" si="444"/>
        <v>0</v>
      </c>
      <c r="CE302" s="50">
        <f t="shared" si="445"/>
        <v>1</v>
      </c>
      <c r="CF302" s="50">
        <f t="shared" si="446"/>
        <v>1</v>
      </c>
      <c r="CG302" s="50">
        <f t="shared" si="447"/>
        <v>1</v>
      </c>
      <c r="CH302" s="50">
        <f t="shared" si="448"/>
        <v>1</v>
      </c>
      <c r="CI302" s="50">
        <f t="shared" si="449"/>
        <v>1</v>
      </c>
      <c r="CJ302" s="50">
        <f t="shared" si="450"/>
        <v>1</v>
      </c>
      <c r="CK302" s="50">
        <f t="shared" si="450"/>
        <v>0</v>
      </c>
      <c r="CL302" s="50">
        <f t="shared" si="450"/>
        <v>0</v>
      </c>
      <c r="CM302" s="51">
        <f t="shared" si="368"/>
        <v>0</v>
      </c>
      <c r="CN302" s="33">
        <f>ROUND(IF(BS302=0,0,HLOOKUP(BS$14,Villagers!$B$1:$V$33,BS302+3,FALSE)),)</f>
        <v>5</v>
      </c>
      <c r="CO302" s="14">
        <f>ROUND(IF(BT302=0,0,HLOOKUP(BT$14,Villagers!$B$1:$V$33,BT302+3,FALSE)),)</f>
        <v>0</v>
      </c>
      <c r="CP302" s="14">
        <f>ROUND(IF(BU302=0,0,HLOOKUP(BU$14,Villagers!$B$1:$V$33,BU302+3,FALSE)),)</f>
        <v>0</v>
      </c>
      <c r="CQ302" s="14">
        <f>ROUND(IF(BV302=0,0,HLOOKUP(BV$14,Villagers!$B$1:$V$33,BV302+3,FALSE)),)</f>
        <v>0</v>
      </c>
      <c r="CR302" s="14">
        <f>ROUND(IF(BW302=0,0,HLOOKUP(BW$14,Villagers!$B$1:$V$33,BW302+3,FALSE)),)</f>
        <v>0</v>
      </c>
      <c r="CS302" s="14">
        <f>ROUND(IF(BX302=0,0,HLOOKUP(BX$14,Villagers!$B$1:$V$33,BX302+3,FALSE)),)</f>
        <v>0</v>
      </c>
      <c r="CT302" s="14">
        <f>ROUND(IF(BY302=0,0,HLOOKUP(BY$14,Villagers!$B$1:$V$33,BY302+3,FALSE)),)</f>
        <v>0</v>
      </c>
      <c r="CU302" s="14">
        <f>ROUND(IF(BZ302=0,0,HLOOKUP(BZ$14,Villagers!$B$1:$V$33,BZ302+3,FALSE)),)</f>
        <v>0</v>
      </c>
      <c r="CV302" s="14">
        <f>ROUND(IF(CA302=0,0,HLOOKUP(CA$14,Villagers!$B$1:$V$33,CA302+3,FALSE)),)</f>
        <v>0</v>
      </c>
      <c r="CW302" s="14">
        <f>ROUND(IF(CB302=0,0,HLOOKUP(CB$14,Villagers!$B$1:$V$33,CB302+3,FALSE)),)</f>
        <v>0</v>
      </c>
      <c r="CX302" s="14">
        <f>ROUND(IF(CC302=0,0,HLOOKUP(CC$14,Villagers!$B$1:$V$33,CC302+3,FALSE)),)</f>
        <v>0</v>
      </c>
      <c r="CY302" s="14">
        <f>ROUND(IF(CD302=0,0,HLOOKUP(CD$14,Villagers!$B$1:$V$33,CD302+3,FALSE)),)</f>
        <v>0</v>
      </c>
      <c r="CZ302" s="14">
        <f>ROUND(IF(CE302=0,0,HLOOKUP(CE$14,Villagers!$B$1:$V$33,CE302+3,FALSE)),)</f>
        <v>5</v>
      </c>
      <c r="DA302" s="14">
        <f>ROUND(IF(CF302=0,0,HLOOKUP(CF$14,Villagers!$B$1:$V$33,CF302+3,FALSE)),)</f>
        <v>10</v>
      </c>
      <c r="DB302" s="14">
        <f>ROUND(IF(CG302=0,0,HLOOKUP(CG$14,Villagers!$B$1:$V$33,CG302+3,FALSE)),)</f>
        <v>10</v>
      </c>
      <c r="DC302" s="14">
        <f>ROUND(IF(CH302=0,0,HLOOKUP(CH$14,Villagers!$B$1:$V$33,CH302+3,FALSE)),)</f>
        <v>0</v>
      </c>
      <c r="DD302" s="14">
        <f>ROUND(IF(CI302=0,0,HLOOKUP(CI$14,Villagers!$B$1:$V$33,CI302+3,FALSE)),)</f>
        <v>0</v>
      </c>
      <c r="DE302" s="14">
        <f>ROUND(IF(CJ302=0,0,HLOOKUP(CJ$14,Villagers!$B$1:$V$33,CJ302+3,FALSE)),)</f>
        <v>2</v>
      </c>
      <c r="DF302" s="370">
        <f>ROUND(IF(CK302=0,0,HLOOKUP(CK$14,Villagers!$B$1:$V$33,CK302+3,FALSE)),)</f>
        <v>0</v>
      </c>
      <c r="DG302" s="370">
        <f>ROUND(IF(CL302=0,0,HLOOKUP(CL$14,Villagers!$B$1:$V$33,CL302+3,FALSE)),)</f>
        <v>0</v>
      </c>
      <c r="DH302" s="34">
        <f>ROUND(IF(CM302=0,0,HLOOKUP(CM$14,Villagers!$B$1:$V$33,CM302+3,FALSE)),)</f>
        <v>0</v>
      </c>
      <c r="DI302" s="109">
        <f t="shared" si="426"/>
        <v>0</v>
      </c>
      <c r="DJ302" s="50">
        <f t="shared" si="427"/>
        <v>0</v>
      </c>
      <c r="DK302" s="50">
        <f t="shared" si="428"/>
        <v>0</v>
      </c>
      <c r="DL302" s="50">
        <f t="shared" si="429"/>
        <v>0</v>
      </c>
      <c r="DM302" s="50">
        <f t="shared" si="430"/>
        <v>0</v>
      </c>
      <c r="DN302" s="50">
        <f t="shared" si="431"/>
        <v>0</v>
      </c>
      <c r="DO302" s="50">
        <f t="shared" si="432"/>
        <v>0</v>
      </c>
      <c r="DP302" s="50">
        <f t="shared" si="433"/>
        <v>0</v>
      </c>
      <c r="DQ302" s="50">
        <f t="shared" si="411"/>
        <v>0</v>
      </c>
      <c r="DR302" s="50">
        <f t="shared" si="412"/>
        <v>0</v>
      </c>
      <c r="DS302" s="96">
        <f>Miscelaneous!$D$4*Miscelaneous!$D$2^($CI302-1)</f>
        <v>1000</v>
      </c>
      <c r="DT302" s="333">
        <f t="shared" si="393"/>
        <v>1</v>
      </c>
      <c r="DU302" s="81">
        <v>1</v>
      </c>
      <c r="DV302" s="79">
        <f t="shared" si="413"/>
        <v>0</v>
      </c>
      <c r="DW302" s="79">
        <f t="shared" si="414"/>
        <v>0</v>
      </c>
      <c r="DX302" s="79">
        <f t="shared" si="415"/>
        <v>0</v>
      </c>
      <c r="DY302" s="79">
        <v>1</v>
      </c>
      <c r="DZ302" s="79">
        <f t="shared" si="416"/>
        <v>0</v>
      </c>
      <c r="EA302" s="79">
        <f t="shared" si="417"/>
        <v>0</v>
      </c>
      <c r="EB302" s="79">
        <f t="shared" si="418"/>
        <v>0</v>
      </c>
      <c r="EC302" s="79">
        <f t="shared" si="419"/>
        <v>0</v>
      </c>
      <c r="ED302" s="79">
        <v>1</v>
      </c>
      <c r="EE302" s="79">
        <v>1</v>
      </c>
      <c r="EF302" s="79">
        <f t="shared" si="420"/>
        <v>0</v>
      </c>
      <c r="EG302" s="79">
        <v>1</v>
      </c>
      <c r="EH302" s="79">
        <v>1</v>
      </c>
      <c r="EI302" s="79">
        <v>1</v>
      </c>
      <c r="EJ302" s="79">
        <v>1</v>
      </c>
      <c r="EK302" s="79">
        <v>1</v>
      </c>
      <c r="EL302" s="79">
        <v>1</v>
      </c>
      <c r="EM302" s="143">
        <f t="shared" si="421"/>
        <v>0</v>
      </c>
      <c r="EN302" s="143">
        <f t="shared" si="422"/>
        <v>0</v>
      </c>
      <c r="EO302" s="82">
        <f t="shared" si="423"/>
        <v>0</v>
      </c>
    </row>
    <row r="303" spans="1:145" x14ac:dyDescent="0.25">
      <c r="A303">
        <v>289</v>
      </c>
      <c r="B303" s="172" t="e">
        <f t="shared" si="394"/>
        <v>#N/A</v>
      </c>
      <c r="C303" s="121" t="e">
        <f t="shared" si="373"/>
        <v>#N/A</v>
      </c>
      <c r="D303" s="122" t="e">
        <f t="shared" si="374"/>
        <v>#N/A</v>
      </c>
      <c r="E303" s="122" t="e">
        <f t="shared" si="375"/>
        <v>#N/A</v>
      </c>
      <c r="F303" s="176" t="e">
        <f t="shared" si="376"/>
        <v>#N/A</v>
      </c>
      <c r="G303" s="121">
        <f t="shared" si="395"/>
        <v>208</v>
      </c>
      <c r="H303" s="176" t="e">
        <f t="shared" si="396"/>
        <v>#N/A</v>
      </c>
      <c r="I303" s="48">
        <v>1</v>
      </c>
      <c r="J303" s="39"/>
      <c r="K303" s="350">
        <v>1</v>
      </c>
      <c r="L303" s="34" t="e">
        <f t="shared" si="377"/>
        <v>#N/A</v>
      </c>
      <c r="M303" s="38" t="e">
        <f>(HLOOKUP(J303,'Construction Times'!$B$3:$W$34,L303+2,FALSE)*HLOOKUP("hq modifier",'Construction Times'!$W$3:$W$34,BS303+2,FALSE))*(1-$H$9)</f>
        <v>#N/A</v>
      </c>
      <c r="N303" s="443" t="e">
        <f t="shared" si="397"/>
        <v>#N/A</v>
      </c>
      <c r="O303" s="444"/>
      <c r="P303" s="447" t="e">
        <f t="shared" si="398"/>
        <v>#N/A</v>
      </c>
      <c r="Q303" s="448"/>
      <c r="R303" s="103">
        <f t="shared" si="424"/>
        <v>0</v>
      </c>
      <c r="S303" s="104">
        <f t="shared" si="424"/>
        <v>0</v>
      </c>
      <c r="T303" s="104">
        <f t="shared" si="425"/>
        <v>0</v>
      </c>
      <c r="U303" s="104">
        <f t="shared" si="425"/>
        <v>0</v>
      </c>
      <c r="V303" s="104">
        <f t="shared" si="425"/>
        <v>9.9999999999999995E-8</v>
      </c>
      <c r="W303" s="104">
        <f t="shared" si="425"/>
        <v>0</v>
      </c>
      <c r="X303" s="104">
        <f t="shared" si="455"/>
        <v>0</v>
      </c>
      <c r="Y303" s="104">
        <f t="shared" si="455"/>
        <v>9.9999999999999995E-8</v>
      </c>
      <c r="Z303" s="104">
        <f t="shared" si="455"/>
        <v>9.9999999999999995E-8</v>
      </c>
      <c r="AA303" s="105">
        <f t="shared" si="455"/>
        <v>9.9999999999999995E-8</v>
      </c>
      <c r="AB303" s="101" t="e">
        <f>$DT303*HLOOKUP($J303,'Construction Costs (timber)'!$B$1:$V$32,'Construction Planner'!$L303+2,FALSE)</f>
        <v>#N/A</v>
      </c>
      <c r="AC303" s="14" t="e">
        <f>$DT303*HLOOKUP($J303,'Construction Costs (clay)'!$B$1:$V$32,'Construction Planner'!$L303+2,FALSE)</f>
        <v>#N/A</v>
      </c>
      <c r="AD303" s="14" t="e">
        <f>$DT303*HLOOKUP($J303,'Construction Costs (iron)'!$B$1:$V$32,'Construction Planner'!$L303+2,FALSE)</f>
        <v>#N/A</v>
      </c>
      <c r="AE303" s="34" t="e">
        <f t="shared" si="434"/>
        <v>#N/A</v>
      </c>
      <c r="AF303" s="33" t="e">
        <f t="shared" si="378"/>
        <v>#N/A</v>
      </c>
      <c r="AG303" s="14" t="e">
        <f t="shared" si="379"/>
        <v>#N/A</v>
      </c>
      <c r="AH303" s="14" t="e">
        <f t="shared" si="380"/>
        <v>#N/A</v>
      </c>
      <c r="AI303" s="34" t="e">
        <f t="shared" si="435"/>
        <v>#N/A</v>
      </c>
      <c r="AJ303" s="49" t="e">
        <f t="shared" si="399"/>
        <v>#N/A</v>
      </c>
      <c r="AK303" s="49" t="e">
        <f t="shared" si="400"/>
        <v>#N/A</v>
      </c>
      <c r="AL303" s="49" t="e">
        <f t="shared" si="401"/>
        <v>#N/A</v>
      </c>
      <c r="AM303" s="25">
        <f t="shared" si="381"/>
        <v>30</v>
      </c>
      <c r="AN303" s="25">
        <f t="shared" si="382"/>
        <v>30</v>
      </c>
      <c r="AO303" s="25">
        <f t="shared" si="383"/>
        <v>30</v>
      </c>
      <c r="AP303" s="52" t="e">
        <f t="shared" si="402"/>
        <v>#N/A</v>
      </c>
      <c r="AQ303" s="53" t="e">
        <f t="shared" si="402"/>
        <v>#N/A</v>
      </c>
      <c r="AR303" s="54" t="e">
        <f t="shared" si="402"/>
        <v>#N/A</v>
      </c>
      <c r="AS303" s="316">
        <f t="shared" si="452"/>
        <v>0</v>
      </c>
      <c r="AT303" s="106">
        <f>_xlfn.IFNA($M303/VLOOKUP($BT303,'Unit information'!$A$2:$K$29,2,FALSE)*R303,0)*(1+$E$9)</f>
        <v>0</v>
      </c>
      <c r="AU303" s="107">
        <f>_xlfn.IFNA($M303/VLOOKUP($BT303,'Unit information'!$A$2:$K$29,3,FALSE)*S303,0)*(1+$E$9)</f>
        <v>0</v>
      </c>
      <c r="AV303" s="107">
        <f>_xlfn.IFNA($M303/VLOOKUP($BT303,'Unit information'!$A$2:$K$29,4,FALSE)*T303,0)*(1+$E$9)</f>
        <v>0</v>
      </c>
      <c r="AW303" s="107">
        <f>_xlfn.IFNA($M303/VLOOKUP($BT303,'Unit information'!$A$2:$K$29,5,FALSE)*U303,0)*(1+$E$9)</f>
        <v>0</v>
      </c>
      <c r="AX303" s="107">
        <f>_xlfn.IFNA($M303/VLOOKUP($BU303,'Unit information'!$A$2:$K$29,6,FALSE)*V303,0)*(1+$E$9)</f>
        <v>0</v>
      </c>
      <c r="AY303" s="107">
        <f>_xlfn.IFNA($M303/VLOOKUP($BU303,'Unit information'!$A$2:$K$29,7,FALSE)*W303,0)*(1+$E$9)</f>
        <v>0</v>
      </c>
      <c r="AZ303" s="107">
        <f>_xlfn.IFNA($M303/VLOOKUP($BU303,'Unit information'!$A$2:$K$29,8,FALSE)*X303,0)*(1+$E$9)</f>
        <v>0</v>
      </c>
      <c r="BA303" s="107">
        <f>_xlfn.IFNA($M303/VLOOKUP($BU303,'Unit information'!$A$2:$K$29,9,FALSE)*Y303,0)*(1+$E$9)</f>
        <v>0</v>
      </c>
      <c r="BB303" s="107">
        <f>_xlfn.IFNA($M303/VLOOKUP($BV303,'Unit information'!$A$2:$K$29,10,FALSE)*Z303,0)*(1+$E$9)</f>
        <v>0</v>
      </c>
      <c r="BC303" s="108">
        <f>_xlfn.IFNA($M303/VLOOKUP($BV303,'Unit information'!$A$2:$K$29,11,FALSE)*AA303,0)*(1+$E$9)</f>
        <v>0</v>
      </c>
      <c r="BD303" s="106">
        <f t="shared" si="384"/>
        <v>0</v>
      </c>
      <c r="BE303" s="107">
        <f t="shared" si="385"/>
        <v>0</v>
      </c>
      <c r="BF303" s="108">
        <f t="shared" si="386"/>
        <v>0</v>
      </c>
      <c r="BG303" s="25" t="e">
        <f t="shared" si="387"/>
        <v>#N/A</v>
      </c>
      <c r="BH303" s="25" t="e">
        <f t="shared" si="388"/>
        <v>#N/A</v>
      </c>
      <c r="BI303" s="25" t="e">
        <f t="shared" si="389"/>
        <v>#N/A</v>
      </c>
      <c r="BJ303" s="27" t="e">
        <f t="shared" si="390"/>
        <v>#N/A</v>
      </c>
      <c r="BK303" s="18" t="e">
        <f t="shared" si="391"/>
        <v>#N/A</v>
      </c>
      <c r="BL303" s="18" t="e">
        <f t="shared" si="392"/>
        <v>#N/A</v>
      </c>
      <c r="BM303" s="28" t="e">
        <f t="shared" si="437"/>
        <v>#N/A</v>
      </c>
      <c r="BN303" s="33">
        <f>HLOOKUP("maximum population",Miscelaneous!$C$1:$C$33,CH303+3,FALSE)</f>
        <v>240</v>
      </c>
      <c r="BO303" s="14">
        <f t="shared" si="403"/>
        <v>32</v>
      </c>
      <c r="BP303" s="14">
        <f t="shared" si="404"/>
        <v>0</v>
      </c>
      <c r="BQ303" s="14">
        <f t="shared" si="405"/>
        <v>208</v>
      </c>
      <c r="BR303" s="34" t="e">
        <f>HLOOKUP(J303,Villagers!$B$1:$V$33,L303+3,FALSE)-HLOOKUP(J303,Villagers!$B$1:$V$33,L303+2,FALSE)</f>
        <v>#N/A</v>
      </c>
      <c r="BS303" s="49">
        <f t="shared" si="406"/>
        <v>1</v>
      </c>
      <c r="BT303" s="50">
        <f t="shared" si="407"/>
        <v>0</v>
      </c>
      <c r="BU303" s="50">
        <f t="shared" si="408"/>
        <v>0</v>
      </c>
      <c r="BV303" s="50">
        <f t="shared" si="409"/>
        <v>0</v>
      </c>
      <c r="BW303" s="50">
        <f t="shared" si="454"/>
        <v>0</v>
      </c>
      <c r="BX303" s="50">
        <f t="shared" si="453"/>
        <v>0</v>
      </c>
      <c r="BY303" s="50">
        <f t="shared" si="453"/>
        <v>0</v>
      </c>
      <c r="BZ303" s="50">
        <f t="shared" si="440"/>
        <v>0</v>
      </c>
      <c r="CA303" s="50">
        <f t="shared" si="441"/>
        <v>0</v>
      </c>
      <c r="CB303" s="50">
        <f t="shared" si="442"/>
        <v>1</v>
      </c>
      <c r="CC303" s="50">
        <f t="shared" si="443"/>
        <v>0</v>
      </c>
      <c r="CD303" s="50">
        <f t="shared" si="444"/>
        <v>0</v>
      </c>
      <c r="CE303" s="50">
        <f t="shared" si="445"/>
        <v>1</v>
      </c>
      <c r="CF303" s="50">
        <f t="shared" si="446"/>
        <v>1</v>
      </c>
      <c r="CG303" s="50">
        <f t="shared" si="447"/>
        <v>1</v>
      </c>
      <c r="CH303" s="50">
        <f t="shared" si="448"/>
        <v>1</v>
      </c>
      <c r="CI303" s="50">
        <f t="shared" si="449"/>
        <v>1</v>
      </c>
      <c r="CJ303" s="50">
        <f t="shared" si="450"/>
        <v>1</v>
      </c>
      <c r="CK303" s="50">
        <f t="shared" si="450"/>
        <v>0</v>
      </c>
      <c r="CL303" s="50">
        <f t="shared" si="450"/>
        <v>0</v>
      </c>
      <c r="CM303" s="51">
        <f t="shared" si="368"/>
        <v>0</v>
      </c>
      <c r="CN303" s="33">
        <f>ROUND(IF(BS303=0,0,HLOOKUP(BS$14,Villagers!$B$1:$V$33,BS303+3,FALSE)),)</f>
        <v>5</v>
      </c>
      <c r="CO303" s="14">
        <f>ROUND(IF(BT303=0,0,HLOOKUP(BT$14,Villagers!$B$1:$V$33,BT303+3,FALSE)),)</f>
        <v>0</v>
      </c>
      <c r="CP303" s="14">
        <f>ROUND(IF(BU303=0,0,HLOOKUP(BU$14,Villagers!$B$1:$V$33,BU303+3,FALSE)),)</f>
        <v>0</v>
      </c>
      <c r="CQ303" s="14">
        <f>ROUND(IF(BV303=0,0,HLOOKUP(BV$14,Villagers!$B$1:$V$33,BV303+3,FALSE)),)</f>
        <v>0</v>
      </c>
      <c r="CR303" s="14">
        <f>ROUND(IF(BW303=0,0,HLOOKUP(BW$14,Villagers!$B$1:$V$33,BW303+3,FALSE)),)</f>
        <v>0</v>
      </c>
      <c r="CS303" s="14">
        <f>ROUND(IF(BX303=0,0,HLOOKUP(BX$14,Villagers!$B$1:$V$33,BX303+3,FALSE)),)</f>
        <v>0</v>
      </c>
      <c r="CT303" s="14">
        <f>ROUND(IF(BY303=0,0,HLOOKUP(BY$14,Villagers!$B$1:$V$33,BY303+3,FALSE)),)</f>
        <v>0</v>
      </c>
      <c r="CU303" s="14">
        <f>ROUND(IF(BZ303=0,0,HLOOKUP(BZ$14,Villagers!$B$1:$V$33,BZ303+3,FALSE)),)</f>
        <v>0</v>
      </c>
      <c r="CV303" s="14">
        <f>ROUND(IF(CA303=0,0,HLOOKUP(CA$14,Villagers!$B$1:$V$33,CA303+3,FALSE)),)</f>
        <v>0</v>
      </c>
      <c r="CW303" s="14">
        <f>ROUND(IF(CB303=0,0,HLOOKUP(CB$14,Villagers!$B$1:$V$33,CB303+3,FALSE)),)</f>
        <v>0</v>
      </c>
      <c r="CX303" s="14">
        <f>ROUND(IF(CC303=0,0,HLOOKUP(CC$14,Villagers!$B$1:$V$33,CC303+3,FALSE)),)</f>
        <v>0</v>
      </c>
      <c r="CY303" s="14">
        <f>ROUND(IF(CD303=0,0,HLOOKUP(CD$14,Villagers!$B$1:$V$33,CD303+3,FALSE)),)</f>
        <v>0</v>
      </c>
      <c r="CZ303" s="14">
        <f>ROUND(IF(CE303=0,0,HLOOKUP(CE$14,Villagers!$B$1:$V$33,CE303+3,FALSE)),)</f>
        <v>5</v>
      </c>
      <c r="DA303" s="14">
        <f>ROUND(IF(CF303=0,0,HLOOKUP(CF$14,Villagers!$B$1:$V$33,CF303+3,FALSE)),)</f>
        <v>10</v>
      </c>
      <c r="DB303" s="14">
        <f>ROUND(IF(CG303=0,0,HLOOKUP(CG$14,Villagers!$B$1:$V$33,CG303+3,FALSE)),)</f>
        <v>10</v>
      </c>
      <c r="DC303" s="14">
        <f>ROUND(IF(CH303=0,0,HLOOKUP(CH$14,Villagers!$B$1:$V$33,CH303+3,FALSE)),)</f>
        <v>0</v>
      </c>
      <c r="DD303" s="14">
        <f>ROUND(IF(CI303=0,0,HLOOKUP(CI$14,Villagers!$B$1:$V$33,CI303+3,FALSE)),)</f>
        <v>0</v>
      </c>
      <c r="DE303" s="14">
        <f>ROUND(IF(CJ303=0,0,HLOOKUP(CJ$14,Villagers!$B$1:$V$33,CJ303+3,FALSE)),)</f>
        <v>2</v>
      </c>
      <c r="DF303" s="370">
        <f>ROUND(IF(CK303=0,0,HLOOKUP(CK$14,Villagers!$B$1:$V$33,CK303+3,FALSE)),)</f>
        <v>0</v>
      </c>
      <c r="DG303" s="370">
        <f>ROUND(IF(CL303=0,0,HLOOKUP(CL$14,Villagers!$B$1:$V$33,CL303+3,FALSE)),)</f>
        <v>0</v>
      </c>
      <c r="DH303" s="34">
        <f>ROUND(IF(CM303=0,0,HLOOKUP(CM$14,Villagers!$B$1:$V$33,CM303+3,FALSE)),)</f>
        <v>0</v>
      </c>
      <c r="DI303" s="109">
        <f t="shared" si="426"/>
        <v>0</v>
      </c>
      <c r="DJ303" s="50">
        <f t="shared" si="427"/>
        <v>0</v>
      </c>
      <c r="DK303" s="50">
        <f t="shared" si="428"/>
        <v>0</v>
      </c>
      <c r="DL303" s="50">
        <f t="shared" si="429"/>
        <v>0</v>
      </c>
      <c r="DM303" s="50">
        <f t="shared" si="430"/>
        <v>0</v>
      </c>
      <c r="DN303" s="50">
        <f t="shared" si="431"/>
        <v>0</v>
      </c>
      <c r="DO303" s="50">
        <f t="shared" si="432"/>
        <v>0</v>
      </c>
      <c r="DP303" s="50">
        <f t="shared" si="433"/>
        <v>0</v>
      </c>
      <c r="DQ303" s="50">
        <f t="shared" si="411"/>
        <v>0</v>
      </c>
      <c r="DR303" s="50">
        <f t="shared" si="412"/>
        <v>0</v>
      </c>
      <c r="DS303" s="96">
        <f>Miscelaneous!$D$4*Miscelaneous!$D$2^($CI303-1)</f>
        <v>1000</v>
      </c>
      <c r="DT303" s="333">
        <f t="shared" si="393"/>
        <v>1</v>
      </c>
      <c r="DU303" s="81">
        <v>1</v>
      </c>
      <c r="DV303" s="79">
        <f t="shared" si="413"/>
        <v>0</v>
      </c>
      <c r="DW303" s="79">
        <f t="shared" si="414"/>
        <v>0</v>
      </c>
      <c r="DX303" s="79">
        <f t="shared" si="415"/>
        <v>0</v>
      </c>
      <c r="DY303" s="79">
        <v>1</v>
      </c>
      <c r="DZ303" s="79">
        <f t="shared" si="416"/>
        <v>0</v>
      </c>
      <c r="EA303" s="79">
        <f t="shared" si="417"/>
        <v>0</v>
      </c>
      <c r="EB303" s="79">
        <f t="shared" si="418"/>
        <v>0</v>
      </c>
      <c r="EC303" s="79">
        <f t="shared" si="419"/>
        <v>0</v>
      </c>
      <c r="ED303" s="79">
        <v>1</v>
      </c>
      <c r="EE303" s="79">
        <v>1</v>
      </c>
      <c r="EF303" s="79">
        <f t="shared" si="420"/>
        <v>0</v>
      </c>
      <c r="EG303" s="79">
        <v>1</v>
      </c>
      <c r="EH303" s="79">
        <v>1</v>
      </c>
      <c r="EI303" s="79">
        <v>1</v>
      </c>
      <c r="EJ303" s="79">
        <v>1</v>
      </c>
      <c r="EK303" s="79">
        <v>1</v>
      </c>
      <c r="EL303" s="79">
        <v>1</v>
      </c>
      <c r="EM303" s="143">
        <f t="shared" si="421"/>
        <v>0</v>
      </c>
      <c r="EN303" s="143">
        <f t="shared" si="422"/>
        <v>0</v>
      </c>
      <c r="EO303" s="82">
        <f t="shared" si="423"/>
        <v>0</v>
      </c>
    </row>
    <row r="304" spans="1:145" x14ac:dyDescent="0.25">
      <c r="A304">
        <v>290</v>
      </c>
      <c r="B304" s="172" t="e">
        <f t="shared" si="394"/>
        <v>#N/A</v>
      </c>
      <c r="C304" s="121" t="e">
        <f t="shared" si="373"/>
        <v>#N/A</v>
      </c>
      <c r="D304" s="122" t="e">
        <f t="shared" si="374"/>
        <v>#N/A</v>
      </c>
      <c r="E304" s="122" t="e">
        <f t="shared" si="375"/>
        <v>#N/A</v>
      </c>
      <c r="F304" s="176" t="e">
        <f t="shared" si="376"/>
        <v>#N/A</v>
      </c>
      <c r="G304" s="121">
        <f t="shared" si="395"/>
        <v>208</v>
      </c>
      <c r="H304" s="176" t="e">
        <f t="shared" si="396"/>
        <v>#N/A</v>
      </c>
      <c r="I304" s="48">
        <v>1</v>
      </c>
      <c r="J304" s="39"/>
      <c r="K304" s="350">
        <v>1</v>
      </c>
      <c r="L304" s="34" t="e">
        <f t="shared" si="377"/>
        <v>#N/A</v>
      </c>
      <c r="M304" s="38" t="e">
        <f>(HLOOKUP(J304,'Construction Times'!$B$3:$W$34,L304+2,FALSE)*HLOOKUP("hq modifier",'Construction Times'!$W$3:$W$34,BS304+2,FALSE))*(1-$H$9)</f>
        <v>#N/A</v>
      </c>
      <c r="N304" s="443" t="e">
        <f t="shared" si="397"/>
        <v>#N/A</v>
      </c>
      <c r="O304" s="444"/>
      <c r="P304" s="447" t="e">
        <f t="shared" si="398"/>
        <v>#N/A</v>
      </c>
      <c r="Q304" s="448"/>
      <c r="R304" s="103">
        <f t="shared" si="424"/>
        <v>0</v>
      </c>
      <c r="S304" s="104">
        <f t="shared" si="424"/>
        <v>0</v>
      </c>
      <c r="T304" s="104">
        <f t="shared" si="425"/>
        <v>0</v>
      </c>
      <c r="U304" s="104">
        <f t="shared" si="425"/>
        <v>0</v>
      </c>
      <c r="V304" s="104">
        <f t="shared" si="425"/>
        <v>9.9999999999999995E-8</v>
      </c>
      <c r="W304" s="104">
        <f t="shared" si="425"/>
        <v>0</v>
      </c>
      <c r="X304" s="104">
        <f t="shared" si="455"/>
        <v>0</v>
      </c>
      <c r="Y304" s="104">
        <f t="shared" si="455"/>
        <v>9.9999999999999995E-8</v>
      </c>
      <c r="Z304" s="104">
        <f t="shared" si="455"/>
        <v>9.9999999999999995E-8</v>
      </c>
      <c r="AA304" s="105">
        <f t="shared" si="455"/>
        <v>9.9999999999999995E-8</v>
      </c>
      <c r="AB304" s="101" t="e">
        <f>$DT304*HLOOKUP($J304,'Construction Costs (timber)'!$B$1:$V$32,'Construction Planner'!$L304+2,FALSE)</f>
        <v>#N/A</v>
      </c>
      <c r="AC304" s="14" t="e">
        <f>$DT304*HLOOKUP($J304,'Construction Costs (clay)'!$B$1:$V$32,'Construction Planner'!$L304+2,FALSE)</f>
        <v>#N/A</v>
      </c>
      <c r="AD304" s="14" t="e">
        <f>$DT304*HLOOKUP($J304,'Construction Costs (iron)'!$B$1:$V$32,'Construction Planner'!$L304+2,FALSE)</f>
        <v>#N/A</v>
      </c>
      <c r="AE304" s="34" t="e">
        <f t="shared" si="434"/>
        <v>#N/A</v>
      </c>
      <c r="AF304" s="33" t="e">
        <f t="shared" si="378"/>
        <v>#N/A</v>
      </c>
      <c r="AG304" s="14" t="e">
        <f t="shared" si="379"/>
        <v>#N/A</v>
      </c>
      <c r="AH304" s="14" t="e">
        <f t="shared" si="380"/>
        <v>#N/A</v>
      </c>
      <c r="AI304" s="34" t="e">
        <f t="shared" si="435"/>
        <v>#N/A</v>
      </c>
      <c r="AJ304" s="49" t="e">
        <f t="shared" si="399"/>
        <v>#N/A</v>
      </c>
      <c r="AK304" s="49" t="e">
        <f t="shared" si="400"/>
        <v>#N/A</v>
      </c>
      <c r="AL304" s="49" t="e">
        <f t="shared" si="401"/>
        <v>#N/A</v>
      </c>
      <c r="AM304" s="25">
        <f t="shared" si="381"/>
        <v>30</v>
      </c>
      <c r="AN304" s="25">
        <f t="shared" si="382"/>
        <v>30</v>
      </c>
      <c r="AO304" s="25">
        <f t="shared" si="383"/>
        <v>30</v>
      </c>
      <c r="AP304" s="52" t="e">
        <f t="shared" si="402"/>
        <v>#N/A</v>
      </c>
      <c r="AQ304" s="53" t="e">
        <f t="shared" si="402"/>
        <v>#N/A</v>
      </c>
      <c r="AR304" s="54" t="e">
        <f t="shared" si="402"/>
        <v>#N/A</v>
      </c>
      <c r="AS304" s="316">
        <f t="shared" si="452"/>
        <v>0</v>
      </c>
      <c r="AT304" s="106">
        <f>_xlfn.IFNA($M304/VLOOKUP($BT304,'Unit information'!$A$2:$K$29,2,FALSE)*R304,0)*(1+$E$9)</f>
        <v>0</v>
      </c>
      <c r="AU304" s="107">
        <f>_xlfn.IFNA($M304/VLOOKUP($BT304,'Unit information'!$A$2:$K$29,3,FALSE)*S304,0)*(1+$E$9)</f>
        <v>0</v>
      </c>
      <c r="AV304" s="107">
        <f>_xlfn.IFNA($M304/VLOOKUP($BT304,'Unit information'!$A$2:$K$29,4,FALSE)*T304,0)*(1+$E$9)</f>
        <v>0</v>
      </c>
      <c r="AW304" s="107">
        <f>_xlfn.IFNA($M304/VLOOKUP($BT304,'Unit information'!$A$2:$K$29,5,FALSE)*U304,0)*(1+$E$9)</f>
        <v>0</v>
      </c>
      <c r="AX304" s="107">
        <f>_xlfn.IFNA($M304/VLOOKUP($BU304,'Unit information'!$A$2:$K$29,6,FALSE)*V304,0)*(1+$E$9)</f>
        <v>0</v>
      </c>
      <c r="AY304" s="107">
        <f>_xlfn.IFNA($M304/VLOOKUP($BU304,'Unit information'!$A$2:$K$29,7,FALSE)*W304,0)*(1+$E$9)</f>
        <v>0</v>
      </c>
      <c r="AZ304" s="107">
        <f>_xlfn.IFNA($M304/VLOOKUP($BU304,'Unit information'!$A$2:$K$29,8,FALSE)*X304,0)*(1+$E$9)</f>
        <v>0</v>
      </c>
      <c r="BA304" s="107">
        <f>_xlfn.IFNA($M304/VLOOKUP($BU304,'Unit information'!$A$2:$K$29,9,FALSE)*Y304,0)*(1+$E$9)</f>
        <v>0</v>
      </c>
      <c r="BB304" s="107">
        <f>_xlfn.IFNA($M304/VLOOKUP($BV304,'Unit information'!$A$2:$K$29,10,FALSE)*Z304,0)*(1+$E$9)</f>
        <v>0</v>
      </c>
      <c r="BC304" s="108">
        <f>_xlfn.IFNA($M304/VLOOKUP($BV304,'Unit information'!$A$2:$K$29,11,FALSE)*AA304,0)*(1+$E$9)</f>
        <v>0</v>
      </c>
      <c r="BD304" s="106">
        <f t="shared" si="384"/>
        <v>0</v>
      </c>
      <c r="BE304" s="107">
        <f t="shared" si="385"/>
        <v>0</v>
      </c>
      <c r="BF304" s="108">
        <f t="shared" si="386"/>
        <v>0</v>
      </c>
      <c r="BG304" s="25" t="e">
        <f t="shared" si="387"/>
        <v>#N/A</v>
      </c>
      <c r="BH304" s="25" t="e">
        <f t="shared" si="388"/>
        <v>#N/A</v>
      </c>
      <c r="BI304" s="25" t="e">
        <f t="shared" si="389"/>
        <v>#N/A</v>
      </c>
      <c r="BJ304" s="27" t="e">
        <f t="shared" si="390"/>
        <v>#N/A</v>
      </c>
      <c r="BK304" s="18" t="e">
        <f t="shared" si="391"/>
        <v>#N/A</v>
      </c>
      <c r="BL304" s="18" t="e">
        <f t="shared" si="392"/>
        <v>#N/A</v>
      </c>
      <c r="BM304" s="28" t="e">
        <f t="shared" si="437"/>
        <v>#N/A</v>
      </c>
      <c r="BN304" s="33">
        <f>HLOOKUP("maximum population",Miscelaneous!$C$1:$C$33,CH304+3,FALSE)</f>
        <v>240</v>
      </c>
      <c r="BO304" s="14">
        <f t="shared" si="403"/>
        <v>32</v>
      </c>
      <c r="BP304" s="14">
        <f t="shared" si="404"/>
        <v>0</v>
      </c>
      <c r="BQ304" s="14">
        <f t="shared" si="405"/>
        <v>208</v>
      </c>
      <c r="BR304" s="34" t="e">
        <f>HLOOKUP(J304,Villagers!$B$1:$V$33,L304+3,FALSE)-HLOOKUP(J304,Villagers!$B$1:$V$33,L304+2,FALSE)</f>
        <v>#N/A</v>
      </c>
      <c r="BS304" s="49">
        <f t="shared" si="406"/>
        <v>1</v>
      </c>
      <c r="BT304" s="50">
        <f t="shared" si="407"/>
        <v>0</v>
      </c>
      <c r="BU304" s="50">
        <f t="shared" si="408"/>
        <v>0</v>
      </c>
      <c r="BV304" s="50">
        <f t="shared" si="409"/>
        <v>0</v>
      </c>
      <c r="BW304" s="50">
        <f t="shared" ref="BW304:BY310" si="456">IF($J303=BW$14,$L303,BW303)</f>
        <v>0</v>
      </c>
      <c r="BX304" s="50">
        <f t="shared" si="456"/>
        <v>0</v>
      </c>
      <c r="BY304" s="50">
        <f t="shared" si="456"/>
        <v>0</v>
      </c>
      <c r="BZ304" s="50">
        <f t="shared" si="440"/>
        <v>0</v>
      </c>
      <c r="CA304" s="50">
        <f t="shared" si="441"/>
        <v>0</v>
      </c>
      <c r="CB304" s="50">
        <f t="shared" si="442"/>
        <v>1</v>
      </c>
      <c r="CC304" s="50">
        <f t="shared" si="443"/>
        <v>0</v>
      </c>
      <c r="CD304" s="50">
        <f t="shared" si="444"/>
        <v>0</v>
      </c>
      <c r="CE304" s="50">
        <f t="shared" si="445"/>
        <v>1</v>
      </c>
      <c r="CF304" s="50">
        <f t="shared" si="446"/>
        <v>1</v>
      </c>
      <c r="CG304" s="50">
        <f t="shared" si="447"/>
        <v>1</v>
      </c>
      <c r="CH304" s="50">
        <f t="shared" si="448"/>
        <v>1</v>
      </c>
      <c r="CI304" s="50">
        <f t="shared" si="449"/>
        <v>1</v>
      </c>
      <c r="CJ304" s="50">
        <f t="shared" si="450"/>
        <v>1</v>
      </c>
      <c r="CK304" s="50">
        <f t="shared" si="450"/>
        <v>0</v>
      </c>
      <c r="CL304" s="50">
        <f t="shared" si="450"/>
        <v>0</v>
      </c>
      <c r="CM304" s="51">
        <f t="shared" si="368"/>
        <v>0</v>
      </c>
      <c r="CN304" s="33">
        <f>ROUND(IF(BS304=0,0,HLOOKUP(BS$14,Villagers!$B$1:$V$33,BS304+3,FALSE)),)</f>
        <v>5</v>
      </c>
      <c r="CO304" s="14">
        <f>ROUND(IF(BT304=0,0,HLOOKUP(BT$14,Villagers!$B$1:$V$33,BT304+3,FALSE)),)</f>
        <v>0</v>
      </c>
      <c r="CP304" s="14">
        <f>ROUND(IF(BU304=0,0,HLOOKUP(BU$14,Villagers!$B$1:$V$33,BU304+3,FALSE)),)</f>
        <v>0</v>
      </c>
      <c r="CQ304" s="14">
        <f>ROUND(IF(BV304=0,0,HLOOKUP(BV$14,Villagers!$B$1:$V$33,BV304+3,FALSE)),)</f>
        <v>0</v>
      </c>
      <c r="CR304" s="14">
        <f>ROUND(IF(BW304=0,0,HLOOKUP(BW$14,Villagers!$B$1:$V$33,BW304+3,FALSE)),)</f>
        <v>0</v>
      </c>
      <c r="CS304" s="14">
        <f>ROUND(IF(BX304=0,0,HLOOKUP(BX$14,Villagers!$B$1:$V$33,BX304+3,FALSE)),)</f>
        <v>0</v>
      </c>
      <c r="CT304" s="14">
        <f>ROUND(IF(BY304=0,0,HLOOKUP(BY$14,Villagers!$B$1:$V$33,BY304+3,FALSE)),)</f>
        <v>0</v>
      </c>
      <c r="CU304" s="14">
        <f>ROUND(IF(BZ304=0,0,HLOOKUP(BZ$14,Villagers!$B$1:$V$33,BZ304+3,FALSE)),)</f>
        <v>0</v>
      </c>
      <c r="CV304" s="14">
        <f>ROUND(IF(CA304=0,0,HLOOKUP(CA$14,Villagers!$B$1:$V$33,CA304+3,FALSE)),)</f>
        <v>0</v>
      </c>
      <c r="CW304" s="14">
        <f>ROUND(IF(CB304=0,0,HLOOKUP(CB$14,Villagers!$B$1:$V$33,CB304+3,FALSE)),)</f>
        <v>0</v>
      </c>
      <c r="CX304" s="14">
        <f>ROUND(IF(CC304=0,0,HLOOKUP(CC$14,Villagers!$B$1:$V$33,CC304+3,FALSE)),)</f>
        <v>0</v>
      </c>
      <c r="CY304" s="14">
        <f>ROUND(IF(CD304=0,0,HLOOKUP(CD$14,Villagers!$B$1:$V$33,CD304+3,FALSE)),)</f>
        <v>0</v>
      </c>
      <c r="CZ304" s="14">
        <f>ROUND(IF(CE304=0,0,HLOOKUP(CE$14,Villagers!$B$1:$V$33,CE304+3,FALSE)),)</f>
        <v>5</v>
      </c>
      <c r="DA304" s="14">
        <f>ROUND(IF(CF304=0,0,HLOOKUP(CF$14,Villagers!$B$1:$V$33,CF304+3,FALSE)),)</f>
        <v>10</v>
      </c>
      <c r="DB304" s="14">
        <f>ROUND(IF(CG304=0,0,HLOOKUP(CG$14,Villagers!$B$1:$V$33,CG304+3,FALSE)),)</f>
        <v>10</v>
      </c>
      <c r="DC304" s="14">
        <f>ROUND(IF(CH304=0,0,HLOOKUP(CH$14,Villagers!$B$1:$V$33,CH304+3,FALSE)),)</f>
        <v>0</v>
      </c>
      <c r="DD304" s="14">
        <f>ROUND(IF(CI304=0,0,HLOOKUP(CI$14,Villagers!$B$1:$V$33,CI304+3,FALSE)),)</f>
        <v>0</v>
      </c>
      <c r="DE304" s="14">
        <f>ROUND(IF(CJ304=0,0,HLOOKUP(CJ$14,Villagers!$B$1:$V$33,CJ304+3,FALSE)),)</f>
        <v>2</v>
      </c>
      <c r="DF304" s="370">
        <f>ROUND(IF(CK304=0,0,HLOOKUP(CK$14,Villagers!$B$1:$V$33,CK304+3,FALSE)),)</f>
        <v>0</v>
      </c>
      <c r="DG304" s="370">
        <f>ROUND(IF(CL304=0,0,HLOOKUP(CL$14,Villagers!$B$1:$V$33,CL304+3,FALSE)),)</f>
        <v>0</v>
      </c>
      <c r="DH304" s="34">
        <f>ROUND(IF(CM304=0,0,HLOOKUP(CM$14,Villagers!$B$1:$V$33,CM304+3,FALSE)),)</f>
        <v>0</v>
      </c>
      <c r="DI304" s="109">
        <f t="shared" si="426"/>
        <v>0</v>
      </c>
      <c r="DJ304" s="50">
        <f t="shared" si="427"/>
        <v>0</v>
      </c>
      <c r="DK304" s="50">
        <f t="shared" si="428"/>
        <v>0</v>
      </c>
      <c r="DL304" s="50">
        <f t="shared" si="429"/>
        <v>0</v>
      </c>
      <c r="DM304" s="50">
        <f t="shared" si="430"/>
        <v>0</v>
      </c>
      <c r="DN304" s="50">
        <f t="shared" si="431"/>
        <v>0</v>
      </c>
      <c r="DO304" s="50">
        <f t="shared" si="432"/>
        <v>0</v>
      </c>
      <c r="DP304" s="50">
        <f t="shared" si="433"/>
        <v>0</v>
      </c>
      <c r="DQ304" s="50">
        <f t="shared" si="411"/>
        <v>0</v>
      </c>
      <c r="DR304" s="50">
        <f t="shared" si="412"/>
        <v>0</v>
      </c>
      <c r="DS304" s="96">
        <f>Miscelaneous!$D$4*Miscelaneous!$D$2^($CI304-1)</f>
        <v>1000</v>
      </c>
      <c r="DT304" s="333">
        <f t="shared" si="393"/>
        <v>1</v>
      </c>
      <c r="DU304" s="81">
        <v>1</v>
      </c>
      <c r="DV304" s="79">
        <f t="shared" si="413"/>
        <v>0</v>
      </c>
      <c r="DW304" s="79">
        <f t="shared" si="414"/>
        <v>0</v>
      </c>
      <c r="DX304" s="79">
        <f t="shared" si="415"/>
        <v>0</v>
      </c>
      <c r="DY304" s="79">
        <v>1</v>
      </c>
      <c r="DZ304" s="79">
        <f t="shared" si="416"/>
        <v>0</v>
      </c>
      <c r="EA304" s="79">
        <f t="shared" si="417"/>
        <v>0</v>
      </c>
      <c r="EB304" s="79">
        <f t="shared" si="418"/>
        <v>0</v>
      </c>
      <c r="EC304" s="79">
        <f t="shared" si="419"/>
        <v>0</v>
      </c>
      <c r="ED304" s="79">
        <v>1</v>
      </c>
      <c r="EE304" s="79">
        <v>1</v>
      </c>
      <c r="EF304" s="79">
        <f t="shared" si="420"/>
        <v>0</v>
      </c>
      <c r="EG304" s="79">
        <v>1</v>
      </c>
      <c r="EH304" s="79">
        <v>1</v>
      </c>
      <c r="EI304" s="79">
        <v>1</v>
      </c>
      <c r="EJ304" s="79">
        <v>1</v>
      </c>
      <c r="EK304" s="79">
        <v>1</v>
      </c>
      <c r="EL304" s="79">
        <v>1</v>
      </c>
      <c r="EM304" s="143">
        <f t="shared" si="421"/>
        <v>0</v>
      </c>
      <c r="EN304" s="143">
        <f t="shared" si="422"/>
        <v>0</v>
      </c>
      <c r="EO304" s="82">
        <f t="shared" si="423"/>
        <v>0</v>
      </c>
    </row>
    <row r="305" spans="1:145" x14ac:dyDescent="0.25">
      <c r="A305">
        <v>291</v>
      </c>
      <c r="B305" s="172" t="e">
        <f t="shared" si="394"/>
        <v>#N/A</v>
      </c>
      <c r="C305" s="121" t="e">
        <f t="shared" si="373"/>
        <v>#N/A</v>
      </c>
      <c r="D305" s="122" t="e">
        <f t="shared" si="374"/>
        <v>#N/A</v>
      </c>
      <c r="E305" s="122" t="e">
        <f t="shared" si="375"/>
        <v>#N/A</v>
      </c>
      <c r="F305" s="176" t="e">
        <f t="shared" si="376"/>
        <v>#N/A</v>
      </c>
      <c r="G305" s="121">
        <f t="shared" si="395"/>
        <v>208</v>
      </c>
      <c r="H305" s="176" t="e">
        <f t="shared" si="396"/>
        <v>#N/A</v>
      </c>
      <c r="I305" s="48">
        <v>1</v>
      </c>
      <c r="J305" s="39"/>
      <c r="K305" s="350">
        <v>1</v>
      </c>
      <c r="L305" s="34" t="e">
        <f t="shared" si="377"/>
        <v>#N/A</v>
      </c>
      <c r="M305" s="38" t="e">
        <f>(HLOOKUP(J305,'Construction Times'!$B$3:$W$34,L305+2,FALSE)*HLOOKUP("hq modifier",'Construction Times'!$W$3:$W$34,BS305+2,FALSE))*(1-$H$9)</f>
        <v>#N/A</v>
      </c>
      <c r="N305" s="443" t="e">
        <f t="shared" si="397"/>
        <v>#N/A</v>
      </c>
      <c r="O305" s="444"/>
      <c r="P305" s="447" t="e">
        <f t="shared" si="398"/>
        <v>#N/A</v>
      </c>
      <c r="Q305" s="448"/>
      <c r="R305" s="103">
        <f t="shared" si="424"/>
        <v>0</v>
      </c>
      <c r="S305" s="104">
        <f t="shared" si="424"/>
        <v>0</v>
      </c>
      <c r="T305" s="104">
        <f t="shared" si="425"/>
        <v>0</v>
      </c>
      <c r="U305" s="104">
        <f t="shared" si="425"/>
        <v>0</v>
      </c>
      <c r="V305" s="104">
        <f t="shared" si="425"/>
        <v>9.9999999999999995E-8</v>
      </c>
      <c r="W305" s="104">
        <f t="shared" si="425"/>
        <v>0</v>
      </c>
      <c r="X305" s="104">
        <f t="shared" si="455"/>
        <v>0</v>
      </c>
      <c r="Y305" s="104">
        <f t="shared" si="455"/>
        <v>9.9999999999999995E-8</v>
      </c>
      <c r="Z305" s="104">
        <f t="shared" si="455"/>
        <v>9.9999999999999995E-8</v>
      </c>
      <c r="AA305" s="105">
        <f t="shared" si="455"/>
        <v>9.9999999999999995E-8</v>
      </c>
      <c r="AB305" s="101" t="e">
        <f>$DT305*HLOOKUP($J305,'Construction Costs (timber)'!$B$1:$V$32,'Construction Planner'!$L305+2,FALSE)</f>
        <v>#N/A</v>
      </c>
      <c r="AC305" s="14" t="e">
        <f>$DT305*HLOOKUP($J305,'Construction Costs (clay)'!$B$1:$V$32,'Construction Planner'!$L305+2,FALSE)</f>
        <v>#N/A</v>
      </c>
      <c r="AD305" s="14" t="e">
        <f>$DT305*HLOOKUP($J305,'Construction Costs (iron)'!$B$1:$V$32,'Construction Planner'!$L305+2,FALSE)</f>
        <v>#N/A</v>
      </c>
      <c r="AE305" s="34" t="e">
        <f t="shared" si="434"/>
        <v>#N/A</v>
      </c>
      <c r="AF305" s="33" t="e">
        <f t="shared" si="378"/>
        <v>#N/A</v>
      </c>
      <c r="AG305" s="14" t="e">
        <f t="shared" si="379"/>
        <v>#N/A</v>
      </c>
      <c r="AH305" s="14" t="e">
        <f t="shared" si="380"/>
        <v>#N/A</v>
      </c>
      <c r="AI305" s="34" t="e">
        <f t="shared" si="435"/>
        <v>#N/A</v>
      </c>
      <c r="AJ305" s="49" t="e">
        <f t="shared" si="399"/>
        <v>#N/A</v>
      </c>
      <c r="AK305" s="49" t="e">
        <f t="shared" si="400"/>
        <v>#N/A</v>
      </c>
      <c r="AL305" s="49" t="e">
        <f t="shared" si="401"/>
        <v>#N/A</v>
      </c>
      <c r="AM305" s="25">
        <f t="shared" si="381"/>
        <v>30</v>
      </c>
      <c r="AN305" s="25">
        <f t="shared" si="382"/>
        <v>30</v>
      </c>
      <c r="AO305" s="25">
        <f t="shared" si="383"/>
        <v>30</v>
      </c>
      <c r="AP305" s="52" t="e">
        <f t="shared" si="402"/>
        <v>#N/A</v>
      </c>
      <c r="AQ305" s="53" t="e">
        <f t="shared" si="402"/>
        <v>#N/A</v>
      </c>
      <c r="AR305" s="54" t="e">
        <f t="shared" si="402"/>
        <v>#N/A</v>
      </c>
      <c r="AS305" s="316">
        <f t="shared" si="452"/>
        <v>0</v>
      </c>
      <c r="AT305" s="106">
        <f>_xlfn.IFNA($M305/VLOOKUP($BT305,'Unit information'!$A$2:$K$29,2,FALSE)*R305,0)*(1+$E$9)</f>
        <v>0</v>
      </c>
      <c r="AU305" s="107">
        <f>_xlfn.IFNA($M305/VLOOKUP($BT305,'Unit information'!$A$2:$K$29,3,FALSE)*S305,0)*(1+$E$9)</f>
        <v>0</v>
      </c>
      <c r="AV305" s="107">
        <f>_xlfn.IFNA($M305/VLOOKUP($BT305,'Unit information'!$A$2:$K$29,4,FALSE)*T305,0)*(1+$E$9)</f>
        <v>0</v>
      </c>
      <c r="AW305" s="107">
        <f>_xlfn.IFNA($M305/VLOOKUP($BT305,'Unit information'!$A$2:$K$29,5,FALSE)*U305,0)*(1+$E$9)</f>
        <v>0</v>
      </c>
      <c r="AX305" s="107">
        <f>_xlfn.IFNA($M305/VLOOKUP($BU305,'Unit information'!$A$2:$K$29,6,FALSE)*V305,0)*(1+$E$9)</f>
        <v>0</v>
      </c>
      <c r="AY305" s="107">
        <f>_xlfn.IFNA($M305/VLOOKUP($BU305,'Unit information'!$A$2:$K$29,7,FALSE)*W305,0)*(1+$E$9)</f>
        <v>0</v>
      </c>
      <c r="AZ305" s="107">
        <f>_xlfn.IFNA($M305/VLOOKUP($BU305,'Unit information'!$A$2:$K$29,8,FALSE)*X305,0)*(1+$E$9)</f>
        <v>0</v>
      </c>
      <c r="BA305" s="107">
        <f>_xlfn.IFNA($M305/VLOOKUP($BU305,'Unit information'!$A$2:$K$29,9,FALSE)*Y305,0)*(1+$E$9)</f>
        <v>0</v>
      </c>
      <c r="BB305" s="107">
        <f>_xlfn.IFNA($M305/VLOOKUP($BV305,'Unit information'!$A$2:$K$29,10,FALSE)*Z305,0)*(1+$E$9)</f>
        <v>0</v>
      </c>
      <c r="BC305" s="108">
        <f>_xlfn.IFNA($M305/VLOOKUP($BV305,'Unit information'!$A$2:$K$29,11,FALSE)*AA305,0)*(1+$E$9)</f>
        <v>0</v>
      </c>
      <c r="BD305" s="106">
        <f t="shared" si="384"/>
        <v>0</v>
      </c>
      <c r="BE305" s="107">
        <f t="shared" si="385"/>
        <v>0</v>
      </c>
      <c r="BF305" s="108">
        <f t="shared" si="386"/>
        <v>0</v>
      </c>
      <c r="BG305" s="25" t="e">
        <f t="shared" si="387"/>
        <v>#N/A</v>
      </c>
      <c r="BH305" s="25" t="e">
        <f t="shared" si="388"/>
        <v>#N/A</v>
      </c>
      <c r="BI305" s="25" t="e">
        <f t="shared" si="389"/>
        <v>#N/A</v>
      </c>
      <c r="BJ305" s="27" t="e">
        <f t="shared" si="390"/>
        <v>#N/A</v>
      </c>
      <c r="BK305" s="18" t="e">
        <f t="shared" si="391"/>
        <v>#N/A</v>
      </c>
      <c r="BL305" s="18" t="e">
        <f t="shared" si="392"/>
        <v>#N/A</v>
      </c>
      <c r="BM305" s="28" t="e">
        <f t="shared" si="437"/>
        <v>#N/A</v>
      </c>
      <c r="BN305" s="33">
        <f>HLOOKUP("maximum population",Miscelaneous!$C$1:$C$33,CH305+3,FALSE)</f>
        <v>240</v>
      </c>
      <c r="BO305" s="14">
        <f t="shared" si="403"/>
        <v>32</v>
      </c>
      <c r="BP305" s="14">
        <f t="shared" si="404"/>
        <v>0</v>
      </c>
      <c r="BQ305" s="14">
        <f t="shared" si="405"/>
        <v>208</v>
      </c>
      <c r="BR305" s="34" t="e">
        <f>HLOOKUP(J305,Villagers!$B$1:$V$33,L305+3,FALSE)-HLOOKUP(J305,Villagers!$B$1:$V$33,L305+2,FALSE)</f>
        <v>#N/A</v>
      </c>
      <c r="BS305" s="49">
        <f t="shared" si="406"/>
        <v>1</v>
      </c>
      <c r="BT305" s="50">
        <f t="shared" si="407"/>
        <v>0</v>
      </c>
      <c r="BU305" s="50">
        <f t="shared" si="408"/>
        <v>0</v>
      </c>
      <c r="BV305" s="50">
        <f t="shared" si="409"/>
        <v>0</v>
      </c>
      <c r="BW305" s="50">
        <f t="shared" si="456"/>
        <v>0</v>
      </c>
      <c r="BX305" s="50">
        <f t="shared" si="456"/>
        <v>0</v>
      </c>
      <c r="BY305" s="50">
        <f t="shared" si="456"/>
        <v>0</v>
      </c>
      <c r="BZ305" s="50">
        <f t="shared" si="440"/>
        <v>0</v>
      </c>
      <c r="CA305" s="50">
        <f t="shared" si="441"/>
        <v>0</v>
      </c>
      <c r="CB305" s="50">
        <f t="shared" si="442"/>
        <v>1</v>
      </c>
      <c r="CC305" s="50">
        <f t="shared" si="443"/>
        <v>0</v>
      </c>
      <c r="CD305" s="50">
        <f t="shared" si="444"/>
        <v>0</v>
      </c>
      <c r="CE305" s="50">
        <f t="shared" si="445"/>
        <v>1</v>
      </c>
      <c r="CF305" s="50">
        <f t="shared" si="446"/>
        <v>1</v>
      </c>
      <c r="CG305" s="50">
        <f t="shared" si="447"/>
        <v>1</v>
      </c>
      <c r="CH305" s="50">
        <f t="shared" si="448"/>
        <v>1</v>
      </c>
      <c r="CI305" s="50">
        <f t="shared" si="449"/>
        <v>1</v>
      </c>
      <c r="CJ305" s="50">
        <f t="shared" si="450"/>
        <v>1</v>
      </c>
      <c r="CK305" s="50">
        <f t="shared" si="450"/>
        <v>0</v>
      </c>
      <c r="CL305" s="50">
        <f t="shared" si="450"/>
        <v>0</v>
      </c>
      <c r="CM305" s="51">
        <f t="shared" si="368"/>
        <v>0</v>
      </c>
      <c r="CN305" s="33">
        <f>ROUND(IF(BS305=0,0,HLOOKUP(BS$14,Villagers!$B$1:$V$33,BS305+3,FALSE)),)</f>
        <v>5</v>
      </c>
      <c r="CO305" s="14">
        <f>ROUND(IF(BT305=0,0,HLOOKUP(BT$14,Villagers!$B$1:$V$33,BT305+3,FALSE)),)</f>
        <v>0</v>
      </c>
      <c r="CP305" s="14">
        <f>ROUND(IF(BU305=0,0,HLOOKUP(BU$14,Villagers!$B$1:$V$33,BU305+3,FALSE)),)</f>
        <v>0</v>
      </c>
      <c r="CQ305" s="14">
        <f>ROUND(IF(BV305=0,0,HLOOKUP(BV$14,Villagers!$B$1:$V$33,BV305+3,FALSE)),)</f>
        <v>0</v>
      </c>
      <c r="CR305" s="14">
        <f>ROUND(IF(BW305=0,0,HLOOKUP(BW$14,Villagers!$B$1:$V$33,BW305+3,FALSE)),)</f>
        <v>0</v>
      </c>
      <c r="CS305" s="14">
        <f>ROUND(IF(BX305=0,0,HLOOKUP(BX$14,Villagers!$B$1:$V$33,BX305+3,FALSE)),)</f>
        <v>0</v>
      </c>
      <c r="CT305" s="14">
        <f>ROUND(IF(BY305=0,0,HLOOKUP(BY$14,Villagers!$B$1:$V$33,BY305+3,FALSE)),)</f>
        <v>0</v>
      </c>
      <c r="CU305" s="14">
        <f>ROUND(IF(BZ305=0,0,HLOOKUP(BZ$14,Villagers!$B$1:$V$33,BZ305+3,FALSE)),)</f>
        <v>0</v>
      </c>
      <c r="CV305" s="14">
        <f>ROUND(IF(CA305=0,0,HLOOKUP(CA$14,Villagers!$B$1:$V$33,CA305+3,FALSE)),)</f>
        <v>0</v>
      </c>
      <c r="CW305" s="14">
        <f>ROUND(IF(CB305=0,0,HLOOKUP(CB$14,Villagers!$B$1:$V$33,CB305+3,FALSE)),)</f>
        <v>0</v>
      </c>
      <c r="CX305" s="14">
        <f>ROUND(IF(CC305=0,0,HLOOKUP(CC$14,Villagers!$B$1:$V$33,CC305+3,FALSE)),)</f>
        <v>0</v>
      </c>
      <c r="CY305" s="14">
        <f>ROUND(IF(CD305=0,0,HLOOKUP(CD$14,Villagers!$B$1:$V$33,CD305+3,FALSE)),)</f>
        <v>0</v>
      </c>
      <c r="CZ305" s="14">
        <f>ROUND(IF(CE305=0,0,HLOOKUP(CE$14,Villagers!$B$1:$V$33,CE305+3,FALSE)),)</f>
        <v>5</v>
      </c>
      <c r="DA305" s="14">
        <f>ROUND(IF(CF305=0,0,HLOOKUP(CF$14,Villagers!$B$1:$V$33,CF305+3,FALSE)),)</f>
        <v>10</v>
      </c>
      <c r="DB305" s="14">
        <f>ROUND(IF(CG305=0,0,HLOOKUP(CG$14,Villagers!$B$1:$V$33,CG305+3,FALSE)),)</f>
        <v>10</v>
      </c>
      <c r="DC305" s="14">
        <f>ROUND(IF(CH305=0,0,HLOOKUP(CH$14,Villagers!$B$1:$V$33,CH305+3,FALSE)),)</f>
        <v>0</v>
      </c>
      <c r="DD305" s="14">
        <f>ROUND(IF(CI305=0,0,HLOOKUP(CI$14,Villagers!$B$1:$V$33,CI305+3,FALSE)),)</f>
        <v>0</v>
      </c>
      <c r="DE305" s="14">
        <f>ROUND(IF(CJ305=0,0,HLOOKUP(CJ$14,Villagers!$B$1:$V$33,CJ305+3,FALSE)),)</f>
        <v>2</v>
      </c>
      <c r="DF305" s="370">
        <f>ROUND(IF(CK305=0,0,HLOOKUP(CK$14,Villagers!$B$1:$V$33,CK305+3,FALSE)),)</f>
        <v>0</v>
      </c>
      <c r="DG305" s="370">
        <f>ROUND(IF(CL305=0,0,HLOOKUP(CL$14,Villagers!$B$1:$V$33,CL305+3,FALSE)),)</f>
        <v>0</v>
      </c>
      <c r="DH305" s="34">
        <f>ROUND(IF(CM305=0,0,HLOOKUP(CM$14,Villagers!$B$1:$V$33,CM305+3,FALSE)),)</f>
        <v>0</v>
      </c>
      <c r="DI305" s="109">
        <f t="shared" si="426"/>
        <v>0</v>
      </c>
      <c r="DJ305" s="50">
        <f t="shared" si="427"/>
        <v>0</v>
      </c>
      <c r="DK305" s="50">
        <f t="shared" si="428"/>
        <v>0</v>
      </c>
      <c r="DL305" s="50">
        <f t="shared" si="429"/>
        <v>0</v>
      </c>
      <c r="DM305" s="50">
        <f t="shared" si="430"/>
        <v>0</v>
      </c>
      <c r="DN305" s="50">
        <f t="shared" si="431"/>
        <v>0</v>
      </c>
      <c r="DO305" s="50">
        <f t="shared" si="432"/>
        <v>0</v>
      </c>
      <c r="DP305" s="50">
        <f t="shared" si="433"/>
        <v>0</v>
      </c>
      <c r="DQ305" s="50">
        <f t="shared" si="411"/>
        <v>0</v>
      </c>
      <c r="DR305" s="50">
        <f t="shared" si="412"/>
        <v>0</v>
      </c>
      <c r="DS305" s="96">
        <f>Miscelaneous!$D$4*Miscelaneous!$D$2^($CI305-1)</f>
        <v>1000</v>
      </c>
      <c r="DT305" s="333">
        <f t="shared" si="393"/>
        <v>1</v>
      </c>
      <c r="DU305" s="81">
        <v>1</v>
      </c>
      <c r="DV305" s="79">
        <f t="shared" si="413"/>
        <v>0</v>
      </c>
      <c r="DW305" s="79">
        <f t="shared" si="414"/>
        <v>0</v>
      </c>
      <c r="DX305" s="79">
        <f t="shared" si="415"/>
        <v>0</v>
      </c>
      <c r="DY305" s="79">
        <v>1</v>
      </c>
      <c r="DZ305" s="79">
        <f t="shared" si="416"/>
        <v>0</v>
      </c>
      <c r="EA305" s="79">
        <f t="shared" si="417"/>
        <v>0</v>
      </c>
      <c r="EB305" s="79">
        <f t="shared" si="418"/>
        <v>0</v>
      </c>
      <c r="EC305" s="79">
        <f t="shared" si="419"/>
        <v>0</v>
      </c>
      <c r="ED305" s="79">
        <v>1</v>
      </c>
      <c r="EE305" s="79">
        <v>1</v>
      </c>
      <c r="EF305" s="79">
        <f t="shared" si="420"/>
        <v>0</v>
      </c>
      <c r="EG305" s="79">
        <v>1</v>
      </c>
      <c r="EH305" s="79">
        <v>1</v>
      </c>
      <c r="EI305" s="79">
        <v>1</v>
      </c>
      <c r="EJ305" s="79">
        <v>1</v>
      </c>
      <c r="EK305" s="79">
        <v>1</v>
      </c>
      <c r="EL305" s="79">
        <v>1</v>
      </c>
      <c r="EM305" s="143">
        <f t="shared" si="421"/>
        <v>0</v>
      </c>
      <c r="EN305" s="143">
        <f t="shared" si="422"/>
        <v>0</v>
      </c>
      <c r="EO305" s="82">
        <f t="shared" si="423"/>
        <v>0</v>
      </c>
    </row>
    <row r="306" spans="1:145" x14ac:dyDescent="0.25">
      <c r="A306">
        <v>292</v>
      </c>
      <c r="B306" s="172" t="e">
        <f t="shared" si="394"/>
        <v>#N/A</v>
      </c>
      <c r="C306" s="121" t="e">
        <f t="shared" si="373"/>
        <v>#N/A</v>
      </c>
      <c r="D306" s="122" t="e">
        <f t="shared" si="374"/>
        <v>#N/A</v>
      </c>
      <c r="E306" s="122" t="e">
        <f t="shared" si="375"/>
        <v>#N/A</v>
      </c>
      <c r="F306" s="176" t="e">
        <f t="shared" si="376"/>
        <v>#N/A</v>
      </c>
      <c r="G306" s="121">
        <f t="shared" si="395"/>
        <v>208</v>
      </c>
      <c r="H306" s="176" t="e">
        <f t="shared" si="396"/>
        <v>#N/A</v>
      </c>
      <c r="I306" s="48">
        <v>1</v>
      </c>
      <c r="J306" s="39"/>
      <c r="K306" s="350">
        <v>1</v>
      </c>
      <c r="L306" s="34" t="e">
        <f t="shared" si="377"/>
        <v>#N/A</v>
      </c>
      <c r="M306" s="38" t="e">
        <f>(HLOOKUP(J306,'Construction Times'!$B$3:$W$34,L306+2,FALSE)*HLOOKUP("hq modifier",'Construction Times'!$W$3:$W$34,BS306+2,FALSE))*(1-$H$9)</f>
        <v>#N/A</v>
      </c>
      <c r="N306" s="443" t="e">
        <f t="shared" si="397"/>
        <v>#N/A</v>
      </c>
      <c r="O306" s="444"/>
      <c r="P306" s="447" t="e">
        <f t="shared" si="398"/>
        <v>#N/A</v>
      </c>
      <c r="Q306" s="448"/>
      <c r="R306" s="103">
        <f t="shared" si="424"/>
        <v>0</v>
      </c>
      <c r="S306" s="104">
        <f t="shared" si="424"/>
        <v>0</v>
      </c>
      <c r="T306" s="104">
        <f t="shared" si="425"/>
        <v>0</v>
      </c>
      <c r="U306" s="104">
        <f t="shared" si="425"/>
        <v>0</v>
      </c>
      <c r="V306" s="104">
        <f t="shared" si="425"/>
        <v>9.9999999999999995E-8</v>
      </c>
      <c r="W306" s="104">
        <f t="shared" si="425"/>
        <v>0</v>
      </c>
      <c r="X306" s="104">
        <f t="shared" si="455"/>
        <v>0</v>
      </c>
      <c r="Y306" s="104">
        <f t="shared" si="455"/>
        <v>9.9999999999999995E-8</v>
      </c>
      <c r="Z306" s="104">
        <f t="shared" si="455"/>
        <v>9.9999999999999995E-8</v>
      </c>
      <c r="AA306" s="105">
        <f t="shared" si="455"/>
        <v>9.9999999999999995E-8</v>
      </c>
      <c r="AB306" s="101" t="e">
        <f>$DT306*HLOOKUP($J306,'Construction Costs (timber)'!$B$1:$V$32,'Construction Planner'!$L306+2,FALSE)</f>
        <v>#N/A</v>
      </c>
      <c r="AC306" s="14" t="e">
        <f>$DT306*HLOOKUP($J306,'Construction Costs (clay)'!$B$1:$V$32,'Construction Planner'!$L306+2,FALSE)</f>
        <v>#N/A</v>
      </c>
      <c r="AD306" s="14" t="e">
        <f>$DT306*HLOOKUP($J306,'Construction Costs (iron)'!$B$1:$V$32,'Construction Planner'!$L306+2,FALSE)</f>
        <v>#N/A</v>
      </c>
      <c r="AE306" s="34" t="e">
        <f t="shared" si="434"/>
        <v>#N/A</v>
      </c>
      <c r="AF306" s="33" t="e">
        <f t="shared" si="378"/>
        <v>#N/A</v>
      </c>
      <c r="AG306" s="14" t="e">
        <f t="shared" si="379"/>
        <v>#N/A</v>
      </c>
      <c r="AH306" s="14" t="e">
        <f t="shared" si="380"/>
        <v>#N/A</v>
      </c>
      <c r="AI306" s="34" t="e">
        <f t="shared" si="435"/>
        <v>#N/A</v>
      </c>
      <c r="AJ306" s="49" t="e">
        <f t="shared" si="399"/>
        <v>#N/A</v>
      </c>
      <c r="AK306" s="49" t="e">
        <f t="shared" si="400"/>
        <v>#N/A</v>
      </c>
      <c r="AL306" s="49" t="e">
        <f t="shared" si="401"/>
        <v>#N/A</v>
      </c>
      <c r="AM306" s="25">
        <f t="shared" si="381"/>
        <v>30</v>
      </c>
      <c r="AN306" s="25">
        <f t="shared" si="382"/>
        <v>30</v>
      </c>
      <c r="AO306" s="25">
        <f t="shared" si="383"/>
        <v>30</v>
      </c>
      <c r="AP306" s="52" t="e">
        <f t="shared" si="402"/>
        <v>#N/A</v>
      </c>
      <c r="AQ306" s="53" t="e">
        <f t="shared" si="402"/>
        <v>#N/A</v>
      </c>
      <c r="AR306" s="54" t="e">
        <f t="shared" si="402"/>
        <v>#N/A</v>
      </c>
      <c r="AS306" s="316">
        <f t="shared" si="452"/>
        <v>0</v>
      </c>
      <c r="AT306" s="106">
        <f>_xlfn.IFNA($M306/VLOOKUP($BT306,'Unit information'!$A$2:$K$29,2,FALSE)*R306,0)*(1+$E$9)</f>
        <v>0</v>
      </c>
      <c r="AU306" s="107">
        <f>_xlfn.IFNA($M306/VLOOKUP($BT306,'Unit information'!$A$2:$K$29,3,FALSE)*S306,0)*(1+$E$9)</f>
        <v>0</v>
      </c>
      <c r="AV306" s="107">
        <f>_xlfn.IFNA($M306/VLOOKUP($BT306,'Unit information'!$A$2:$K$29,4,FALSE)*T306,0)*(1+$E$9)</f>
        <v>0</v>
      </c>
      <c r="AW306" s="107">
        <f>_xlfn.IFNA($M306/VLOOKUP($BT306,'Unit information'!$A$2:$K$29,5,FALSE)*U306,0)*(1+$E$9)</f>
        <v>0</v>
      </c>
      <c r="AX306" s="107">
        <f>_xlfn.IFNA($M306/VLOOKUP($BU306,'Unit information'!$A$2:$K$29,6,FALSE)*V306,0)*(1+$E$9)</f>
        <v>0</v>
      </c>
      <c r="AY306" s="107">
        <f>_xlfn.IFNA($M306/VLOOKUP($BU306,'Unit information'!$A$2:$K$29,7,FALSE)*W306,0)*(1+$E$9)</f>
        <v>0</v>
      </c>
      <c r="AZ306" s="107">
        <f>_xlfn.IFNA($M306/VLOOKUP($BU306,'Unit information'!$A$2:$K$29,8,FALSE)*X306,0)*(1+$E$9)</f>
        <v>0</v>
      </c>
      <c r="BA306" s="107">
        <f>_xlfn.IFNA($M306/VLOOKUP($BU306,'Unit information'!$A$2:$K$29,9,FALSE)*Y306,0)*(1+$E$9)</f>
        <v>0</v>
      </c>
      <c r="BB306" s="107">
        <f>_xlfn.IFNA($M306/VLOOKUP($BV306,'Unit information'!$A$2:$K$29,10,FALSE)*Z306,0)*(1+$E$9)</f>
        <v>0</v>
      </c>
      <c r="BC306" s="108">
        <f>_xlfn.IFNA($M306/VLOOKUP($BV306,'Unit information'!$A$2:$K$29,11,FALSE)*AA306,0)*(1+$E$9)</f>
        <v>0</v>
      </c>
      <c r="BD306" s="106">
        <f t="shared" si="384"/>
        <v>0</v>
      </c>
      <c r="BE306" s="107">
        <f t="shared" si="385"/>
        <v>0</v>
      </c>
      <c r="BF306" s="108">
        <f t="shared" si="386"/>
        <v>0</v>
      </c>
      <c r="BG306" s="25" t="e">
        <f t="shared" si="387"/>
        <v>#N/A</v>
      </c>
      <c r="BH306" s="25" t="e">
        <f t="shared" si="388"/>
        <v>#N/A</v>
      </c>
      <c r="BI306" s="25" t="e">
        <f t="shared" si="389"/>
        <v>#N/A</v>
      </c>
      <c r="BJ306" s="27" t="e">
        <f t="shared" si="390"/>
        <v>#N/A</v>
      </c>
      <c r="BK306" s="18" t="e">
        <f t="shared" si="391"/>
        <v>#N/A</v>
      </c>
      <c r="BL306" s="18" t="e">
        <f t="shared" si="392"/>
        <v>#N/A</v>
      </c>
      <c r="BM306" s="28" t="e">
        <f t="shared" si="437"/>
        <v>#N/A</v>
      </c>
      <c r="BN306" s="33">
        <f>HLOOKUP("maximum population",Miscelaneous!$C$1:$C$33,CH306+3,FALSE)</f>
        <v>240</v>
      </c>
      <c r="BO306" s="14">
        <f t="shared" si="403"/>
        <v>32</v>
      </c>
      <c r="BP306" s="14">
        <f t="shared" si="404"/>
        <v>0</v>
      </c>
      <c r="BQ306" s="14">
        <f t="shared" si="405"/>
        <v>208</v>
      </c>
      <c r="BR306" s="34" t="e">
        <f>HLOOKUP(J306,Villagers!$B$1:$V$33,L306+3,FALSE)-HLOOKUP(J306,Villagers!$B$1:$V$33,L306+2,FALSE)</f>
        <v>#N/A</v>
      </c>
      <c r="BS306" s="49">
        <f t="shared" si="406"/>
        <v>1</v>
      </c>
      <c r="BT306" s="50">
        <f t="shared" si="407"/>
        <v>0</v>
      </c>
      <c r="BU306" s="50">
        <f t="shared" si="408"/>
        <v>0</v>
      </c>
      <c r="BV306" s="50">
        <f t="shared" si="409"/>
        <v>0</v>
      </c>
      <c r="BW306" s="50">
        <f t="shared" si="456"/>
        <v>0</v>
      </c>
      <c r="BX306" s="50">
        <f t="shared" si="456"/>
        <v>0</v>
      </c>
      <c r="BY306" s="50">
        <f t="shared" si="456"/>
        <v>0</v>
      </c>
      <c r="BZ306" s="50">
        <f t="shared" si="440"/>
        <v>0</v>
      </c>
      <c r="CA306" s="50">
        <f t="shared" si="441"/>
        <v>0</v>
      </c>
      <c r="CB306" s="50">
        <f t="shared" si="442"/>
        <v>1</v>
      </c>
      <c r="CC306" s="50">
        <f t="shared" si="443"/>
        <v>0</v>
      </c>
      <c r="CD306" s="50">
        <f t="shared" si="444"/>
        <v>0</v>
      </c>
      <c r="CE306" s="50">
        <f t="shared" si="445"/>
        <v>1</v>
      </c>
      <c r="CF306" s="50">
        <f t="shared" si="446"/>
        <v>1</v>
      </c>
      <c r="CG306" s="50">
        <f t="shared" si="447"/>
        <v>1</v>
      </c>
      <c r="CH306" s="50">
        <f t="shared" si="448"/>
        <v>1</v>
      </c>
      <c r="CI306" s="50">
        <f t="shared" si="449"/>
        <v>1</v>
      </c>
      <c r="CJ306" s="50">
        <f t="shared" si="450"/>
        <v>1</v>
      </c>
      <c r="CK306" s="50">
        <f t="shared" si="450"/>
        <v>0</v>
      </c>
      <c r="CL306" s="50">
        <f t="shared" si="450"/>
        <v>0</v>
      </c>
      <c r="CM306" s="51">
        <f t="shared" si="368"/>
        <v>0</v>
      </c>
      <c r="CN306" s="33">
        <f>ROUND(IF(BS306=0,0,HLOOKUP(BS$14,Villagers!$B$1:$V$33,BS306+3,FALSE)),)</f>
        <v>5</v>
      </c>
      <c r="CO306" s="14">
        <f>ROUND(IF(BT306=0,0,HLOOKUP(BT$14,Villagers!$B$1:$V$33,BT306+3,FALSE)),)</f>
        <v>0</v>
      </c>
      <c r="CP306" s="14">
        <f>ROUND(IF(BU306=0,0,HLOOKUP(BU$14,Villagers!$B$1:$V$33,BU306+3,FALSE)),)</f>
        <v>0</v>
      </c>
      <c r="CQ306" s="14">
        <f>ROUND(IF(BV306=0,0,HLOOKUP(BV$14,Villagers!$B$1:$V$33,BV306+3,FALSE)),)</f>
        <v>0</v>
      </c>
      <c r="CR306" s="14">
        <f>ROUND(IF(BW306=0,0,HLOOKUP(BW$14,Villagers!$B$1:$V$33,BW306+3,FALSE)),)</f>
        <v>0</v>
      </c>
      <c r="CS306" s="14">
        <f>ROUND(IF(BX306=0,0,HLOOKUP(BX$14,Villagers!$B$1:$V$33,BX306+3,FALSE)),)</f>
        <v>0</v>
      </c>
      <c r="CT306" s="14">
        <f>ROUND(IF(BY306=0,0,HLOOKUP(BY$14,Villagers!$B$1:$V$33,BY306+3,FALSE)),)</f>
        <v>0</v>
      </c>
      <c r="CU306" s="14">
        <f>ROUND(IF(BZ306=0,0,HLOOKUP(BZ$14,Villagers!$B$1:$V$33,BZ306+3,FALSE)),)</f>
        <v>0</v>
      </c>
      <c r="CV306" s="14">
        <f>ROUND(IF(CA306=0,0,HLOOKUP(CA$14,Villagers!$B$1:$V$33,CA306+3,FALSE)),)</f>
        <v>0</v>
      </c>
      <c r="CW306" s="14">
        <f>ROUND(IF(CB306=0,0,HLOOKUP(CB$14,Villagers!$B$1:$V$33,CB306+3,FALSE)),)</f>
        <v>0</v>
      </c>
      <c r="CX306" s="14">
        <f>ROUND(IF(CC306=0,0,HLOOKUP(CC$14,Villagers!$B$1:$V$33,CC306+3,FALSE)),)</f>
        <v>0</v>
      </c>
      <c r="CY306" s="14">
        <f>ROUND(IF(CD306=0,0,HLOOKUP(CD$14,Villagers!$B$1:$V$33,CD306+3,FALSE)),)</f>
        <v>0</v>
      </c>
      <c r="CZ306" s="14">
        <f>ROUND(IF(CE306=0,0,HLOOKUP(CE$14,Villagers!$B$1:$V$33,CE306+3,FALSE)),)</f>
        <v>5</v>
      </c>
      <c r="DA306" s="14">
        <f>ROUND(IF(CF306=0,0,HLOOKUP(CF$14,Villagers!$B$1:$V$33,CF306+3,FALSE)),)</f>
        <v>10</v>
      </c>
      <c r="DB306" s="14">
        <f>ROUND(IF(CG306=0,0,HLOOKUP(CG$14,Villagers!$B$1:$V$33,CG306+3,FALSE)),)</f>
        <v>10</v>
      </c>
      <c r="DC306" s="14">
        <f>ROUND(IF(CH306=0,0,HLOOKUP(CH$14,Villagers!$B$1:$V$33,CH306+3,FALSE)),)</f>
        <v>0</v>
      </c>
      <c r="DD306" s="14">
        <f>ROUND(IF(CI306=0,0,HLOOKUP(CI$14,Villagers!$B$1:$V$33,CI306+3,FALSE)),)</f>
        <v>0</v>
      </c>
      <c r="DE306" s="14">
        <f>ROUND(IF(CJ306=0,0,HLOOKUP(CJ$14,Villagers!$B$1:$V$33,CJ306+3,FALSE)),)</f>
        <v>2</v>
      </c>
      <c r="DF306" s="370">
        <f>ROUND(IF(CK306=0,0,HLOOKUP(CK$14,Villagers!$B$1:$V$33,CK306+3,FALSE)),)</f>
        <v>0</v>
      </c>
      <c r="DG306" s="370">
        <f>ROUND(IF(CL306=0,0,HLOOKUP(CL$14,Villagers!$B$1:$V$33,CL306+3,FALSE)),)</f>
        <v>0</v>
      </c>
      <c r="DH306" s="34">
        <f>ROUND(IF(CM306=0,0,HLOOKUP(CM$14,Villagers!$B$1:$V$33,CM306+3,FALSE)),)</f>
        <v>0</v>
      </c>
      <c r="DI306" s="109">
        <f t="shared" si="426"/>
        <v>0</v>
      </c>
      <c r="DJ306" s="50">
        <f t="shared" si="427"/>
        <v>0</v>
      </c>
      <c r="DK306" s="50">
        <f t="shared" si="428"/>
        <v>0</v>
      </c>
      <c r="DL306" s="50">
        <f t="shared" si="429"/>
        <v>0</v>
      </c>
      <c r="DM306" s="50">
        <f t="shared" si="430"/>
        <v>0</v>
      </c>
      <c r="DN306" s="50">
        <f t="shared" si="431"/>
        <v>0</v>
      </c>
      <c r="DO306" s="50">
        <f t="shared" si="432"/>
        <v>0</v>
      </c>
      <c r="DP306" s="50">
        <f t="shared" si="433"/>
        <v>0</v>
      </c>
      <c r="DQ306" s="50">
        <f t="shared" si="411"/>
        <v>0</v>
      </c>
      <c r="DR306" s="50">
        <f t="shared" si="412"/>
        <v>0</v>
      </c>
      <c r="DS306" s="96">
        <f>Miscelaneous!$D$4*Miscelaneous!$D$2^($CI306-1)</f>
        <v>1000</v>
      </c>
      <c r="DT306" s="333">
        <f t="shared" si="393"/>
        <v>1</v>
      </c>
      <c r="DU306" s="81">
        <v>1</v>
      </c>
      <c r="DV306" s="79">
        <f t="shared" si="413"/>
        <v>0</v>
      </c>
      <c r="DW306" s="79">
        <f t="shared" si="414"/>
        <v>0</v>
      </c>
      <c r="DX306" s="79">
        <f t="shared" si="415"/>
        <v>0</v>
      </c>
      <c r="DY306" s="79">
        <v>1</v>
      </c>
      <c r="DZ306" s="79">
        <f t="shared" si="416"/>
        <v>0</v>
      </c>
      <c r="EA306" s="79">
        <f t="shared" si="417"/>
        <v>0</v>
      </c>
      <c r="EB306" s="79">
        <f t="shared" si="418"/>
        <v>0</v>
      </c>
      <c r="EC306" s="79">
        <f t="shared" si="419"/>
        <v>0</v>
      </c>
      <c r="ED306" s="79">
        <v>1</v>
      </c>
      <c r="EE306" s="79">
        <v>1</v>
      </c>
      <c r="EF306" s="79">
        <f t="shared" si="420"/>
        <v>0</v>
      </c>
      <c r="EG306" s="79">
        <v>1</v>
      </c>
      <c r="EH306" s="79">
        <v>1</v>
      </c>
      <c r="EI306" s="79">
        <v>1</v>
      </c>
      <c r="EJ306" s="79">
        <v>1</v>
      </c>
      <c r="EK306" s="79">
        <v>1</v>
      </c>
      <c r="EL306" s="79">
        <v>1</v>
      </c>
      <c r="EM306" s="143">
        <f t="shared" si="421"/>
        <v>0</v>
      </c>
      <c r="EN306" s="143">
        <f t="shared" si="422"/>
        <v>0</v>
      </c>
      <c r="EO306" s="82">
        <f t="shared" si="423"/>
        <v>0</v>
      </c>
    </row>
    <row r="307" spans="1:145" x14ac:dyDescent="0.25">
      <c r="A307">
        <v>293</v>
      </c>
      <c r="B307" s="172" t="e">
        <f t="shared" si="394"/>
        <v>#N/A</v>
      </c>
      <c r="C307" s="121" t="e">
        <f t="shared" si="373"/>
        <v>#N/A</v>
      </c>
      <c r="D307" s="122" t="e">
        <f t="shared" si="374"/>
        <v>#N/A</v>
      </c>
      <c r="E307" s="122" t="e">
        <f t="shared" si="375"/>
        <v>#N/A</v>
      </c>
      <c r="F307" s="176" t="e">
        <f t="shared" si="376"/>
        <v>#N/A</v>
      </c>
      <c r="G307" s="121">
        <f t="shared" si="395"/>
        <v>208</v>
      </c>
      <c r="H307" s="176" t="e">
        <f t="shared" si="396"/>
        <v>#N/A</v>
      </c>
      <c r="I307" s="48">
        <v>1</v>
      </c>
      <c r="J307" s="39"/>
      <c r="K307" s="350">
        <v>1</v>
      </c>
      <c r="L307" s="34" t="e">
        <f t="shared" si="377"/>
        <v>#N/A</v>
      </c>
      <c r="M307" s="38" t="e">
        <f>(HLOOKUP(J307,'Construction Times'!$B$3:$W$34,L307+2,FALSE)*HLOOKUP("hq modifier",'Construction Times'!$W$3:$W$34,BS307+2,FALSE))*(1-$H$9)</f>
        <v>#N/A</v>
      </c>
      <c r="N307" s="443" t="e">
        <f t="shared" si="397"/>
        <v>#N/A</v>
      </c>
      <c r="O307" s="444"/>
      <c r="P307" s="447" t="e">
        <f t="shared" si="398"/>
        <v>#N/A</v>
      </c>
      <c r="Q307" s="448"/>
      <c r="R307" s="103">
        <f t="shared" si="424"/>
        <v>0</v>
      </c>
      <c r="S307" s="104">
        <f t="shared" si="424"/>
        <v>0</v>
      </c>
      <c r="T307" s="104">
        <f t="shared" si="425"/>
        <v>0</v>
      </c>
      <c r="U307" s="104">
        <f t="shared" si="425"/>
        <v>0</v>
      </c>
      <c r="V307" s="104">
        <f t="shared" si="425"/>
        <v>9.9999999999999995E-8</v>
      </c>
      <c r="W307" s="104">
        <f t="shared" si="425"/>
        <v>0</v>
      </c>
      <c r="X307" s="104">
        <f t="shared" si="455"/>
        <v>0</v>
      </c>
      <c r="Y307" s="104">
        <f t="shared" si="455"/>
        <v>9.9999999999999995E-8</v>
      </c>
      <c r="Z307" s="104">
        <f t="shared" si="455"/>
        <v>9.9999999999999995E-8</v>
      </c>
      <c r="AA307" s="105">
        <f t="shared" si="455"/>
        <v>9.9999999999999995E-8</v>
      </c>
      <c r="AB307" s="101" t="e">
        <f>$DT307*HLOOKUP($J307,'Construction Costs (timber)'!$B$1:$V$32,'Construction Planner'!$L307+2,FALSE)</f>
        <v>#N/A</v>
      </c>
      <c r="AC307" s="14" t="e">
        <f>$DT307*HLOOKUP($J307,'Construction Costs (clay)'!$B$1:$V$32,'Construction Planner'!$L307+2,FALSE)</f>
        <v>#N/A</v>
      </c>
      <c r="AD307" s="14" t="e">
        <f>$DT307*HLOOKUP($J307,'Construction Costs (iron)'!$B$1:$V$32,'Construction Planner'!$L307+2,FALSE)</f>
        <v>#N/A</v>
      </c>
      <c r="AE307" s="34" t="e">
        <f t="shared" si="434"/>
        <v>#N/A</v>
      </c>
      <c r="AF307" s="33" t="e">
        <f t="shared" si="378"/>
        <v>#N/A</v>
      </c>
      <c r="AG307" s="14" t="e">
        <f t="shared" si="379"/>
        <v>#N/A</v>
      </c>
      <c r="AH307" s="14" t="e">
        <f t="shared" si="380"/>
        <v>#N/A</v>
      </c>
      <c r="AI307" s="34" t="e">
        <f t="shared" si="435"/>
        <v>#N/A</v>
      </c>
      <c r="AJ307" s="49" t="e">
        <f t="shared" si="399"/>
        <v>#N/A</v>
      </c>
      <c r="AK307" s="49" t="e">
        <f t="shared" si="400"/>
        <v>#N/A</v>
      </c>
      <c r="AL307" s="49" t="e">
        <f t="shared" si="401"/>
        <v>#N/A</v>
      </c>
      <c r="AM307" s="25">
        <f t="shared" si="381"/>
        <v>30</v>
      </c>
      <c r="AN307" s="25">
        <f t="shared" si="382"/>
        <v>30</v>
      </c>
      <c r="AO307" s="25">
        <f t="shared" si="383"/>
        <v>30</v>
      </c>
      <c r="AP307" s="52" t="e">
        <f t="shared" si="402"/>
        <v>#N/A</v>
      </c>
      <c r="AQ307" s="53" t="e">
        <f t="shared" si="402"/>
        <v>#N/A</v>
      </c>
      <c r="AR307" s="54" t="e">
        <f t="shared" si="402"/>
        <v>#N/A</v>
      </c>
      <c r="AS307" s="316">
        <f t="shared" si="452"/>
        <v>0</v>
      </c>
      <c r="AT307" s="106">
        <f>_xlfn.IFNA($M307/VLOOKUP($BT307,'Unit information'!$A$2:$K$29,2,FALSE)*R307,0)*(1+$E$9)</f>
        <v>0</v>
      </c>
      <c r="AU307" s="107">
        <f>_xlfn.IFNA($M307/VLOOKUP($BT307,'Unit information'!$A$2:$K$29,3,FALSE)*S307,0)*(1+$E$9)</f>
        <v>0</v>
      </c>
      <c r="AV307" s="107">
        <f>_xlfn.IFNA($M307/VLOOKUP($BT307,'Unit information'!$A$2:$K$29,4,FALSE)*T307,0)*(1+$E$9)</f>
        <v>0</v>
      </c>
      <c r="AW307" s="107">
        <f>_xlfn.IFNA($M307/VLOOKUP($BT307,'Unit information'!$A$2:$K$29,5,FALSE)*U307,0)*(1+$E$9)</f>
        <v>0</v>
      </c>
      <c r="AX307" s="107">
        <f>_xlfn.IFNA($M307/VLOOKUP($BU307,'Unit information'!$A$2:$K$29,6,FALSE)*V307,0)*(1+$E$9)</f>
        <v>0</v>
      </c>
      <c r="AY307" s="107">
        <f>_xlfn.IFNA($M307/VLOOKUP($BU307,'Unit information'!$A$2:$K$29,7,FALSE)*W307,0)*(1+$E$9)</f>
        <v>0</v>
      </c>
      <c r="AZ307" s="107">
        <f>_xlfn.IFNA($M307/VLOOKUP($BU307,'Unit information'!$A$2:$K$29,8,FALSE)*X307,0)*(1+$E$9)</f>
        <v>0</v>
      </c>
      <c r="BA307" s="107">
        <f>_xlfn.IFNA($M307/VLOOKUP($BU307,'Unit information'!$A$2:$K$29,9,FALSE)*Y307,0)*(1+$E$9)</f>
        <v>0</v>
      </c>
      <c r="BB307" s="107">
        <f>_xlfn.IFNA($M307/VLOOKUP($BV307,'Unit information'!$A$2:$K$29,10,FALSE)*Z307,0)*(1+$E$9)</f>
        <v>0</v>
      </c>
      <c r="BC307" s="108">
        <f>_xlfn.IFNA($M307/VLOOKUP($BV307,'Unit information'!$A$2:$K$29,11,FALSE)*AA307,0)*(1+$E$9)</f>
        <v>0</v>
      </c>
      <c r="BD307" s="106">
        <f t="shared" si="384"/>
        <v>0</v>
      </c>
      <c r="BE307" s="107">
        <f t="shared" si="385"/>
        <v>0</v>
      </c>
      <c r="BF307" s="108">
        <f t="shared" si="386"/>
        <v>0</v>
      </c>
      <c r="BG307" s="25" t="e">
        <f t="shared" si="387"/>
        <v>#N/A</v>
      </c>
      <c r="BH307" s="25" t="e">
        <f t="shared" si="388"/>
        <v>#N/A</v>
      </c>
      <c r="BI307" s="25" t="e">
        <f t="shared" si="389"/>
        <v>#N/A</v>
      </c>
      <c r="BJ307" s="27" t="e">
        <f t="shared" si="390"/>
        <v>#N/A</v>
      </c>
      <c r="BK307" s="18" t="e">
        <f t="shared" si="391"/>
        <v>#N/A</v>
      </c>
      <c r="BL307" s="18" t="e">
        <f t="shared" si="392"/>
        <v>#N/A</v>
      </c>
      <c r="BM307" s="28" t="e">
        <f t="shared" si="437"/>
        <v>#N/A</v>
      </c>
      <c r="BN307" s="33">
        <f>HLOOKUP("maximum population",Miscelaneous!$C$1:$C$33,CH307+3,FALSE)</f>
        <v>240</v>
      </c>
      <c r="BO307" s="14">
        <f t="shared" si="403"/>
        <v>32</v>
      </c>
      <c r="BP307" s="14">
        <f t="shared" si="404"/>
        <v>0</v>
      </c>
      <c r="BQ307" s="14">
        <f t="shared" si="405"/>
        <v>208</v>
      </c>
      <c r="BR307" s="34" t="e">
        <f>HLOOKUP(J307,Villagers!$B$1:$V$33,L307+3,FALSE)-HLOOKUP(J307,Villagers!$B$1:$V$33,L307+2,FALSE)</f>
        <v>#N/A</v>
      </c>
      <c r="BS307" s="49">
        <f t="shared" si="406"/>
        <v>1</v>
      </c>
      <c r="BT307" s="50">
        <f t="shared" si="407"/>
        <v>0</v>
      </c>
      <c r="BU307" s="50">
        <f t="shared" si="408"/>
        <v>0</v>
      </c>
      <c r="BV307" s="50">
        <f t="shared" si="409"/>
        <v>0</v>
      </c>
      <c r="BW307" s="50">
        <f t="shared" si="456"/>
        <v>0</v>
      </c>
      <c r="BX307" s="50">
        <f t="shared" si="456"/>
        <v>0</v>
      </c>
      <c r="BY307" s="50">
        <f t="shared" si="456"/>
        <v>0</v>
      </c>
      <c r="BZ307" s="50">
        <f t="shared" si="440"/>
        <v>0</v>
      </c>
      <c r="CA307" s="50">
        <f t="shared" si="441"/>
        <v>0</v>
      </c>
      <c r="CB307" s="50">
        <f t="shared" si="442"/>
        <v>1</v>
      </c>
      <c r="CC307" s="50">
        <f t="shared" si="443"/>
        <v>0</v>
      </c>
      <c r="CD307" s="50">
        <f t="shared" si="444"/>
        <v>0</v>
      </c>
      <c r="CE307" s="50">
        <f t="shared" si="445"/>
        <v>1</v>
      </c>
      <c r="CF307" s="50">
        <f t="shared" si="446"/>
        <v>1</v>
      </c>
      <c r="CG307" s="50">
        <f t="shared" si="447"/>
        <v>1</v>
      </c>
      <c r="CH307" s="50">
        <f t="shared" si="448"/>
        <v>1</v>
      </c>
      <c r="CI307" s="50">
        <f t="shared" si="449"/>
        <v>1</v>
      </c>
      <c r="CJ307" s="50">
        <f t="shared" si="450"/>
        <v>1</v>
      </c>
      <c r="CK307" s="50">
        <f t="shared" si="450"/>
        <v>0</v>
      </c>
      <c r="CL307" s="50">
        <f t="shared" si="450"/>
        <v>0</v>
      </c>
      <c r="CM307" s="51">
        <f t="shared" si="368"/>
        <v>0</v>
      </c>
      <c r="CN307" s="33">
        <f>ROUND(IF(BS307=0,0,HLOOKUP(BS$14,Villagers!$B$1:$V$33,BS307+3,FALSE)),)</f>
        <v>5</v>
      </c>
      <c r="CO307" s="14">
        <f>ROUND(IF(BT307=0,0,HLOOKUP(BT$14,Villagers!$B$1:$V$33,BT307+3,FALSE)),)</f>
        <v>0</v>
      </c>
      <c r="CP307" s="14">
        <f>ROUND(IF(BU307=0,0,HLOOKUP(BU$14,Villagers!$B$1:$V$33,BU307+3,FALSE)),)</f>
        <v>0</v>
      </c>
      <c r="CQ307" s="14">
        <f>ROUND(IF(BV307=0,0,HLOOKUP(BV$14,Villagers!$B$1:$V$33,BV307+3,FALSE)),)</f>
        <v>0</v>
      </c>
      <c r="CR307" s="14">
        <f>ROUND(IF(BW307=0,0,HLOOKUP(BW$14,Villagers!$B$1:$V$33,BW307+3,FALSE)),)</f>
        <v>0</v>
      </c>
      <c r="CS307" s="14">
        <f>ROUND(IF(BX307=0,0,HLOOKUP(BX$14,Villagers!$B$1:$V$33,BX307+3,FALSE)),)</f>
        <v>0</v>
      </c>
      <c r="CT307" s="14">
        <f>ROUND(IF(BY307=0,0,HLOOKUP(BY$14,Villagers!$B$1:$V$33,BY307+3,FALSE)),)</f>
        <v>0</v>
      </c>
      <c r="CU307" s="14">
        <f>ROUND(IF(BZ307=0,0,HLOOKUP(BZ$14,Villagers!$B$1:$V$33,BZ307+3,FALSE)),)</f>
        <v>0</v>
      </c>
      <c r="CV307" s="14">
        <f>ROUND(IF(CA307=0,0,HLOOKUP(CA$14,Villagers!$B$1:$V$33,CA307+3,FALSE)),)</f>
        <v>0</v>
      </c>
      <c r="CW307" s="14">
        <f>ROUND(IF(CB307=0,0,HLOOKUP(CB$14,Villagers!$B$1:$V$33,CB307+3,FALSE)),)</f>
        <v>0</v>
      </c>
      <c r="CX307" s="14">
        <f>ROUND(IF(CC307=0,0,HLOOKUP(CC$14,Villagers!$B$1:$V$33,CC307+3,FALSE)),)</f>
        <v>0</v>
      </c>
      <c r="CY307" s="14">
        <f>ROUND(IF(CD307=0,0,HLOOKUP(CD$14,Villagers!$B$1:$V$33,CD307+3,FALSE)),)</f>
        <v>0</v>
      </c>
      <c r="CZ307" s="14">
        <f>ROUND(IF(CE307=0,0,HLOOKUP(CE$14,Villagers!$B$1:$V$33,CE307+3,FALSE)),)</f>
        <v>5</v>
      </c>
      <c r="DA307" s="14">
        <f>ROUND(IF(CF307=0,0,HLOOKUP(CF$14,Villagers!$B$1:$V$33,CF307+3,FALSE)),)</f>
        <v>10</v>
      </c>
      <c r="DB307" s="14">
        <f>ROUND(IF(CG307=0,0,HLOOKUP(CG$14,Villagers!$B$1:$V$33,CG307+3,FALSE)),)</f>
        <v>10</v>
      </c>
      <c r="DC307" s="14">
        <f>ROUND(IF(CH307=0,0,HLOOKUP(CH$14,Villagers!$B$1:$V$33,CH307+3,FALSE)),)</f>
        <v>0</v>
      </c>
      <c r="DD307" s="14">
        <f>ROUND(IF(CI307=0,0,HLOOKUP(CI$14,Villagers!$B$1:$V$33,CI307+3,FALSE)),)</f>
        <v>0</v>
      </c>
      <c r="DE307" s="14">
        <f>ROUND(IF(CJ307=0,0,HLOOKUP(CJ$14,Villagers!$B$1:$V$33,CJ307+3,FALSE)),)</f>
        <v>2</v>
      </c>
      <c r="DF307" s="370">
        <f>ROUND(IF(CK307=0,0,HLOOKUP(CK$14,Villagers!$B$1:$V$33,CK307+3,FALSE)),)</f>
        <v>0</v>
      </c>
      <c r="DG307" s="370">
        <f>ROUND(IF(CL307=0,0,HLOOKUP(CL$14,Villagers!$B$1:$V$33,CL307+3,FALSE)),)</f>
        <v>0</v>
      </c>
      <c r="DH307" s="34">
        <f>ROUND(IF(CM307=0,0,HLOOKUP(CM$14,Villagers!$B$1:$V$33,CM307+3,FALSE)),)</f>
        <v>0</v>
      </c>
      <c r="DI307" s="109">
        <f t="shared" si="426"/>
        <v>0</v>
      </c>
      <c r="DJ307" s="50">
        <f t="shared" si="427"/>
        <v>0</v>
      </c>
      <c r="DK307" s="50">
        <f t="shared" si="428"/>
        <v>0</v>
      </c>
      <c r="DL307" s="50">
        <f t="shared" si="429"/>
        <v>0</v>
      </c>
      <c r="DM307" s="50">
        <f t="shared" si="430"/>
        <v>0</v>
      </c>
      <c r="DN307" s="50">
        <f t="shared" si="431"/>
        <v>0</v>
      </c>
      <c r="DO307" s="50">
        <f t="shared" si="432"/>
        <v>0</v>
      </c>
      <c r="DP307" s="50">
        <f t="shared" si="433"/>
        <v>0</v>
      </c>
      <c r="DQ307" s="50">
        <f t="shared" si="411"/>
        <v>0</v>
      </c>
      <c r="DR307" s="50">
        <f t="shared" si="412"/>
        <v>0</v>
      </c>
      <c r="DS307" s="96">
        <f>Miscelaneous!$D$4*Miscelaneous!$D$2^($CI307-1)</f>
        <v>1000</v>
      </c>
      <c r="DT307" s="333">
        <f t="shared" si="393"/>
        <v>1</v>
      </c>
      <c r="DU307" s="81">
        <v>1</v>
      </c>
      <c r="DV307" s="79">
        <f t="shared" si="413"/>
        <v>0</v>
      </c>
      <c r="DW307" s="79">
        <f t="shared" si="414"/>
        <v>0</v>
      </c>
      <c r="DX307" s="79">
        <f t="shared" si="415"/>
        <v>0</v>
      </c>
      <c r="DY307" s="79">
        <v>1</v>
      </c>
      <c r="DZ307" s="79">
        <f t="shared" si="416"/>
        <v>0</v>
      </c>
      <c r="EA307" s="79">
        <f t="shared" si="417"/>
        <v>0</v>
      </c>
      <c r="EB307" s="79">
        <f t="shared" si="418"/>
        <v>0</v>
      </c>
      <c r="EC307" s="79">
        <f t="shared" si="419"/>
        <v>0</v>
      </c>
      <c r="ED307" s="79">
        <v>1</v>
      </c>
      <c r="EE307" s="79">
        <v>1</v>
      </c>
      <c r="EF307" s="79">
        <f t="shared" si="420"/>
        <v>0</v>
      </c>
      <c r="EG307" s="79">
        <v>1</v>
      </c>
      <c r="EH307" s="79">
        <v>1</v>
      </c>
      <c r="EI307" s="79">
        <v>1</v>
      </c>
      <c r="EJ307" s="79">
        <v>1</v>
      </c>
      <c r="EK307" s="79">
        <v>1</v>
      </c>
      <c r="EL307" s="79">
        <v>1</v>
      </c>
      <c r="EM307" s="143">
        <f t="shared" si="421"/>
        <v>0</v>
      </c>
      <c r="EN307" s="143">
        <f t="shared" si="422"/>
        <v>0</v>
      </c>
      <c r="EO307" s="82">
        <f t="shared" si="423"/>
        <v>0</v>
      </c>
    </row>
    <row r="308" spans="1:145" x14ac:dyDescent="0.25">
      <c r="A308">
        <v>294</v>
      </c>
      <c r="B308" s="172" t="e">
        <f t="shared" si="394"/>
        <v>#N/A</v>
      </c>
      <c r="C308" s="121" t="e">
        <f t="shared" si="373"/>
        <v>#N/A</v>
      </c>
      <c r="D308" s="122" t="e">
        <f t="shared" si="374"/>
        <v>#N/A</v>
      </c>
      <c r="E308" s="122" t="e">
        <f t="shared" si="375"/>
        <v>#N/A</v>
      </c>
      <c r="F308" s="176" t="e">
        <f t="shared" si="376"/>
        <v>#N/A</v>
      </c>
      <c r="G308" s="121">
        <f t="shared" si="395"/>
        <v>208</v>
      </c>
      <c r="H308" s="176" t="e">
        <f t="shared" si="396"/>
        <v>#N/A</v>
      </c>
      <c r="I308" s="48">
        <v>1</v>
      </c>
      <c r="J308" s="39"/>
      <c r="K308" s="350">
        <v>1</v>
      </c>
      <c r="L308" s="34" t="e">
        <f t="shared" si="377"/>
        <v>#N/A</v>
      </c>
      <c r="M308" s="38" t="e">
        <f>(HLOOKUP(J308,'Construction Times'!$B$3:$W$34,L308+2,FALSE)*HLOOKUP("hq modifier",'Construction Times'!$W$3:$W$34,BS308+2,FALSE))*(1-$H$9)</f>
        <v>#N/A</v>
      </c>
      <c r="N308" s="443" t="e">
        <f t="shared" si="397"/>
        <v>#N/A</v>
      </c>
      <c r="O308" s="444"/>
      <c r="P308" s="447" t="e">
        <f t="shared" si="398"/>
        <v>#N/A</v>
      </c>
      <c r="Q308" s="448"/>
      <c r="R308" s="103">
        <f t="shared" si="424"/>
        <v>0</v>
      </c>
      <c r="S308" s="104">
        <f t="shared" si="424"/>
        <v>0</v>
      </c>
      <c r="T308" s="104">
        <f t="shared" si="425"/>
        <v>0</v>
      </c>
      <c r="U308" s="104">
        <f t="shared" si="425"/>
        <v>0</v>
      </c>
      <c r="V308" s="104">
        <f t="shared" si="425"/>
        <v>9.9999999999999995E-8</v>
      </c>
      <c r="W308" s="104">
        <f t="shared" si="425"/>
        <v>0</v>
      </c>
      <c r="X308" s="104">
        <f t="shared" si="455"/>
        <v>0</v>
      </c>
      <c r="Y308" s="104">
        <f t="shared" si="455"/>
        <v>9.9999999999999995E-8</v>
      </c>
      <c r="Z308" s="104">
        <f t="shared" si="455"/>
        <v>9.9999999999999995E-8</v>
      </c>
      <c r="AA308" s="105">
        <f t="shared" si="455"/>
        <v>9.9999999999999995E-8</v>
      </c>
      <c r="AB308" s="101" t="e">
        <f>$DT308*HLOOKUP($J308,'Construction Costs (timber)'!$B$1:$V$32,'Construction Planner'!$L308+2,FALSE)</f>
        <v>#N/A</v>
      </c>
      <c r="AC308" s="14" t="e">
        <f>$DT308*HLOOKUP($J308,'Construction Costs (clay)'!$B$1:$V$32,'Construction Planner'!$L308+2,FALSE)</f>
        <v>#N/A</v>
      </c>
      <c r="AD308" s="14" t="e">
        <f>$DT308*HLOOKUP($J308,'Construction Costs (iron)'!$B$1:$V$32,'Construction Planner'!$L308+2,FALSE)</f>
        <v>#N/A</v>
      </c>
      <c r="AE308" s="34" t="e">
        <f t="shared" si="434"/>
        <v>#N/A</v>
      </c>
      <c r="AF308" s="33" t="e">
        <f t="shared" si="378"/>
        <v>#N/A</v>
      </c>
      <c r="AG308" s="14" t="e">
        <f t="shared" si="379"/>
        <v>#N/A</v>
      </c>
      <c r="AH308" s="14" t="e">
        <f t="shared" si="380"/>
        <v>#N/A</v>
      </c>
      <c r="AI308" s="34" t="e">
        <f t="shared" si="435"/>
        <v>#N/A</v>
      </c>
      <c r="AJ308" s="49" t="e">
        <f t="shared" si="399"/>
        <v>#N/A</v>
      </c>
      <c r="AK308" s="49" t="e">
        <f t="shared" si="400"/>
        <v>#N/A</v>
      </c>
      <c r="AL308" s="49" t="e">
        <f t="shared" si="401"/>
        <v>#N/A</v>
      </c>
      <c r="AM308" s="25">
        <f t="shared" si="381"/>
        <v>30</v>
      </c>
      <c r="AN308" s="25">
        <f t="shared" si="382"/>
        <v>30</v>
      </c>
      <c r="AO308" s="25">
        <f t="shared" si="383"/>
        <v>30</v>
      </c>
      <c r="AP308" s="52" t="e">
        <f t="shared" si="402"/>
        <v>#N/A</v>
      </c>
      <c r="AQ308" s="53" t="e">
        <f t="shared" si="402"/>
        <v>#N/A</v>
      </c>
      <c r="AR308" s="54" t="e">
        <f t="shared" si="402"/>
        <v>#N/A</v>
      </c>
      <c r="AS308" s="316">
        <f t="shared" ref="AS308:AS323" si="457">AS307</f>
        <v>0</v>
      </c>
      <c r="AT308" s="106">
        <f>_xlfn.IFNA($M308/VLOOKUP($BT308,'Unit information'!$A$2:$K$29,2,FALSE)*R308,0)*(1+$E$9)</f>
        <v>0</v>
      </c>
      <c r="AU308" s="107">
        <f>_xlfn.IFNA($M308/VLOOKUP($BT308,'Unit information'!$A$2:$K$29,3,FALSE)*S308,0)*(1+$E$9)</f>
        <v>0</v>
      </c>
      <c r="AV308" s="107">
        <f>_xlfn.IFNA($M308/VLOOKUP($BT308,'Unit information'!$A$2:$K$29,4,FALSE)*T308,0)*(1+$E$9)</f>
        <v>0</v>
      </c>
      <c r="AW308" s="107">
        <f>_xlfn.IFNA($M308/VLOOKUP($BT308,'Unit information'!$A$2:$K$29,5,FALSE)*U308,0)*(1+$E$9)</f>
        <v>0</v>
      </c>
      <c r="AX308" s="107">
        <f>_xlfn.IFNA($M308/VLOOKUP($BU308,'Unit information'!$A$2:$K$29,6,FALSE)*V308,0)*(1+$E$9)</f>
        <v>0</v>
      </c>
      <c r="AY308" s="107">
        <f>_xlfn.IFNA($M308/VLOOKUP($BU308,'Unit information'!$A$2:$K$29,7,FALSE)*W308,0)*(1+$E$9)</f>
        <v>0</v>
      </c>
      <c r="AZ308" s="107">
        <f>_xlfn.IFNA($M308/VLOOKUP($BU308,'Unit information'!$A$2:$K$29,8,FALSE)*X308,0)*(1+$E$9)</f>
        <v>0</v>
      </c>
      <c r="BA308" s="107">
        <f>_xlfn.IFNA($M308/VLOOKUP($BU308,'Unit information'!$A$2:$K$29,9,FALSE)*Y308,0)*(1+$E$9)</f>
        <v>0</v>
      </c>
      <c r="BB308" s="107">
        <f>_xlfn.IFNA($M308/VLOOKUP($BV308,'Unit information'!$A$2:$K$29,10,FALSE)*Z308,0)*(1+$E$9)</f>
        <v>0</v>
      </c>
      <c r="BC308" s="108">
        <f>_xlfn.IFNA($M308/VLOOKUP($BV308,'Unit information'!$A$2:$K$29,11,FALSE)*AA308,0)*(1+$E$9)</f>
        <v>0</v>
      </c>
      <c r="BD308" s="106">
        <f t="shared" si="384"/>
        <v>0</v>
      </c>
      <c r="BE308" s="107">
        <f t="shared" si="385"/>
        <v>0</v>
      </c>
      <c r="BF308" s="108">
        <f t="shared" si="386"/>
        <v>0</v>
      </c>
      <c r="BG308" s="25" t="e">
        <f t="shared" si="387"/>
        <v>#N/A</v>
      </c>
      <c r="BH308" s="25" t="e">
        <f t="shared" si="388"/>
        <v>#N/A</v>
      </c>
      <c r="BI308" s="25" t="e">
        <f t="shared" si="389"/>
        <v>#N/A</v>
      </c>
      <c r="BJ308" s="27" t="e">
        <f t="shared" si="390"/>
        <v>#N/A</v>
      </c>
      <c r="BK308" s="18" t="e">
        <f t="shared" si="391"/>
        <v>#N/A</v>
      </c>
      <c r="BL308" s="18" t="e">
        <f t="shared" si="392"/>
        <v>#N/A</v>
      </c>
      <c r="BM308" s="28" t="e">
        <f t="shared" si="437"/>
        <v>#N/A</v>
      </c>
      <c r="BN308" s="33">
        <f>HLOOKUP("maximum population",Miscelaneous!$C$1:$C$33,CH308+3,FALSE)</f>
        <v>240</v>
      </c>
      <c r="BO308" s="14">
        <f t="shared" si="403"/>
        <v>32</v>
      </c>
      <c r="BP308" s="14">
        <f t="shared" si="404"/>
        <v>0</v>
      </c>
      <c r="BQ308" s="14">
        <f t="shared" si="405"/>
        <v>208</v>
      </c>
      <c r="BR308" s="34" t="e">
        <f>HLOOKUP(J308,Villagers!$B$1:$V$33,L308+3,FALSE)-HLOOKUP(J308,Villagers!$B$1:$V$33,L308+2,FALSE)</f>
        <v>#N/A</v>
      </c>
      <c r="BS308" s="49">
        <f t="shared" si="406"/>
        <v>1</v>
      </c>
      <c r="BT308" s="50">
        <f t="shared" si="407"/>
        <v>0</v>
      </c>
      <c r="BU308" s="50">
        <f t="shared" si="408"/>
        <v>0</v>
      </c>
      <c r="BV308" s="50">
        <f t="shared" si="409"/>
        <v>0</v>
      </c>
      <c r="BW308" s="50">
        <f t="shared" si="456"/>
        <v>0</v>
      </c>
      <c r="BX308" s="50">
        <f t="shared" si="456"/>
        <v>0</v>
      </c>
      <c r="BY308" s="50">
        <f t="shared" si="456"/>
        <v>0</v>
      </c>
      <c r="BZ308" s="50">
        <f t="shared" si="440"/>
        <v>0</v>
      </c>
      <c r="CA308" s="50">
        <f t="shared" si="441"/>
        <v>0</v>
      </c>
      <c r="CB308" s="50">
        <f t="shared" si="442"/>
        <v>1</v>
      </c>
      <c r="CC308" s="50">
        <f t="shared" si="443"/>
        <v>0</v>
      </c>
      <c r="CD308" s="50">
        <f t="shared" si="444"/>
        <v>0</v>
      </c>
      <c r="CE308" s="50">
        <f t="shared" si="445"/>
        <v>1</v>
      </c>
      <c r="CF308" s="50">
        <f t="shared" si="446"/>
        <v>1</v>
      </c>
      <c r="CG308" s="50">
        <f t="shared" si="447"/>
        <v>1</v>
      </c>
      <c r="CH308" s="50">
        <f t="shared" si="448"/>
        <v>1</v>
      </c>
      <c r="CI308" s="50">
        <f t="shared" si="449"/>
        <v>1</v>
      </c>
      <c r="CJ308" s="50">
        <f t="shared" si="450"/>
        <v>1</v>
      </c>
      <c r="CK308" s="50">
        <f t="shared" si="450"/>
        <v>0</v>
      </c>
      <c r="CL308" s="50">
        <f t="shared" si="450"/>
        <v>0</v>
      </c>
      <c r="CM308" s="51">
        <f t="shared" si="368"/>
        <v>0</v>
      </c>
      <c r="CN308" s="33">
        <f>ROUND(IF(BS308=0,0,HLOOKUP(BS$14,Villagers!$B$1:$V$33,BS308+3,FALSE)),)</f>
        <v>5</v>
      </c>
      <c r="CO308" s="14">
        <f>ROUND(IF(BT308=0,0,HLOOKUP(BT$14,Villagers!$B$1:$V$33,BT308+3,FALSE)),)</f>
        <v>0</v>
      </c>
      <c r="CP308" s="14">
        <f>ROUND(IF(BU308=0,0,HLOOKUP(BU$14,Villagers!$B$1:$V$33,BU308+3,FALSE)),)</f>
        <v>0</v>
      </c>
      <c r="CQ308" s="14">
        <f>ROUND(IF(BV308=0,0,HLOOKUP(BV$14,Villagers!$B$1:$V$33,BV308+3,FALSE)),)</f>
        <v>0</v>
      </c>
      <c r="CR308" s="14">
        <f>ROUND(IF(BW308=0,0,HLOOKUP(BW$14,Villagers!$B$1:$V$33,BW308+3,FALSE)),)</f>
        <v>0</v>
      </c>
      <c r="CS308" s="14">
        <f>ROUND(IF(BX308=0,0,HLOOKUP(BX$14,Villagers!$B$1:$V$33,BX308+3,FALSE)),)</f>
        <v>0</v>
      </c>
      <c r="CT308" s="14">
        <f>ROUND(IF(BY308=0,0,HLOOKUP(BY$14,Villagers!$B$1:$V$33,BY308+3,FALSE)),)</f>
        <v>0</v>
      </c>
      <c r="CU308" s="14">
        <f>ROUND(IF(BZ308=0,0,HLOOKUP(BZ$14,Villagers!$B$1:$V$33,BZ308+3,FALSE)),)</f>
        <v>0</v>
      </c>
      <c r="CV308" s="14">
        <f>ROUND(IF(CA308=0,0,HLOOKUP(CA$14,Villagers!$B$1:$V$33,CA308+3,FALSE)),)</f>
        <v>0</v>
      </c>
      <c r="CW308" s="14">
        <f>ROUND(IF(CB308=0,0,HLOOKUP(CB$14,Villagers!$B$1:$V$33,CB308+3,FALSE)),)</f>
        <v>0</v>
      </c>
      <c r="CX308" s="14">
        <f>ROUND(IF(CC308=0,0,HLOOKUP(CC$14,Villagers!$B$1:$V$33,CC308+3,FALSE)),)</f>
        <v>0</v>
      </c>
      <c r="CY308" s="14">
        <f>ROUND(IF(CD308=0,0,HLOOKUP(CD$14,Villagers!$B$1:$V$33,CD308+3,FALSE)),)</f>
        <v>0</v>
      </c>
      <c r="CZ308" s="14">
        <f>ROUND(IF(CE308=0,0,HLOOKUP(CE$14,Villagers!$B$1:$V$33,CE308+3,FALSE)),)</f>
        <v>5</v>
      </c>
      <c r="DA308" s="14">
        <f>ROUND(IF(CF308=0,0,HLOOKUP(CF$14,Villagers!$B$1:$V$33,CF308+3,FALSE)),)</f>
        <v>10</v>
      </c>
      <c r="DB308" s="14">
        <f>ROUND(IF(CG308=0,0,HLOOKUP(CG$14,Villagers!$B$1:$V$33,CG308+3,FALSE)),)</f>
        <v>10</v>
      </c>
      <c r="DC308" s="14">
        <f>ROUND(IF(CH308=0,0,HLOOKUP(CH$14,Villagers!$B$1:$V$33,CH308+3,FALSE)),)</f>
        <v>0</v>
      </c>
      <c r="DD308" s="14">
        <f>ROUND(IF(CI308=0,0,HLOOKUP(CI$14,Villagers!$B$1:$V$33,CI308+3,FALSE)),)</f>
        <v>0</v>
      </c>
      <c r="DE308" s="14">
        <f>ROUND(IF(CJ308=0,0,HLOOKUP(CJ$14,Villagers!$B$1:$V$33,CJ308+3,FALSE)),)</f>
        <v>2</v>
      </c>
      <c r="DF308" s="370">
        <f>ROUND(IF(CK308=0,0,HLOOKUP(CK$14,Villagers!$B$1:$V$33,CK308+3,FALSE)),)</f>
        <v>0</v>
      </c>
      <c r="DG308" s="370">
        <f>ROUND(IF(CL308=0,0,HLOOKUP(CL$14,Villagers!$B$1:$V$33,CL308+3,FALSE)),)</f>
        <v>0</v>
      </c>
      <c r="DH308" s="34">
        <f>ROUND(IF(CM308=0,0,HLOOKUP(CM$14,Villagers!$B$1:$V$33,CM308+3,FALSE)),)</f>
        <v>0</v>
      </c>
      <c r="DI308" s="109">
        <f t="shared" si="426"/>
        <v>0</v>
      </c>
      <c r="DJ308" s="50">
        <f t="shared" si="427"/>
        <v>0</v>
      </c>
      <c r="DK308" s="50">
        <f t="shared" si="428"/>
        <v>0</v>
      </c>
      <c r="DL308" s="50">
        <f t="shared" si="429"/>
        <v>0</v>
      </c>
      <c r="DM308" s="50">
        <f t="shared" si="430"/>
        <v>0</v>
      </c>
      <c r="DN308" s="50">
        <f t="shared" si="431"/>
        <v>0</v>
      </c>
      <c r="DO308" s="50">
        <f t="shared" si="432"/>
        <v>0</v>
      </c>
      <c r="DP308" s="50">
        <f t="shared" si="433"/>
        <v>0</v>
      </c>
      <c r="DQ308" s="50">
        <f t="shared" si="411"/>
        <v>0</v>
      </c>
      <c r="DR308" s="50">
        <f t="shared" si="412"/>
        <v>0</v>
      </c>
      <c r="DS308" s="96">
        <f>Miscelaneous!$D$4*Miscelaneous!$D$2^($CI308-1)</f>
        <v>1000</v>
      </c>
      <c r="DT308" s="333">
        <f t="shared" si="393"/>
        <v>1</v>
      </c>
      <c r="DU308" s="81">
        <v>1</v>
      </c>
      <c r="DV308" s="79">
        <f t="shared" si="413"/>
        <v>0</v>
      </c>
      <c r="DW308" s="79">
        <f t="shared" si="414"/>
        <v>0</v>
      </c>
      <c r="DX308" s="79">
        <f t="shared" si="415"/>
        <v>0</v>
      </c>
      <c r="DY308" s="79">
        <v>1</v>
      </c>
      <c r="DZ308" s="79">
        <f t="shared" si="416"/>
        <v>0</v>
      </c>
      <c r="EA308" s="79">
        <f t="shared" si="417"/>
        <v>0</v>
      </c>
      <c r="EB308" s="79">
        <f t="shared" si="418"/>
        <v>0</v>
      </c>
      <c r="EC308" s="79">
        <f t="shared" si="419"/>
        <v>0</v>
      </c>
      <c r="ED308" s="79">
        <v>1</v>
      </c>
      <c r="EE308" s="79">
        <v>1</v>
      </c>
      <c r="EF308" s="79">
        <f t="shared" si="420"/>
        <v>0</v>
      </c>
      <c r="EG308" s="79">
        <v>1</v>
      </c>
      <c r="EH308" s="79">
        <v>1</v>
      </c>
      <c r="EI308" s="79">
        <v>1</v>
      </c>
      <c r="EJ308" s="79">
        <v>1</v>
      </c>
      <c r="EK308" s="79">
        <v>1</v>
      </c>
      <c r="EL308" s="79">
        <v>1</v>
      </c>
      <c r="EM308" s="143">
        <f t="shared" si="421"/>
        <v>0</v>
      </c>
      <c r="EN308" s="143">
        <f t="shared" si="422"/>
        <v>0</v>
      </c>
      <c r="EO308" s="82">
        <f t="shared" si="423"/>
        <v>0</v>
      </c>
    </row>
    <row r="309" spans="1:145" x14ac:dyDescent="0.25">
      <c r="A309">
        <v>295</v>
      </c>
      <c r="B309" s="172" t="e">
        <f t="shared" si="394"/>
        <v>#N/A</v>
      </c>
      <c r="C309" s="121" t="e">
        <f t="shared" si="373"/>
        <v>#N/A</v>
      </c>
      <c r="D309" s="122" t="e">
        <f t="shared" si="374"/>
        <v>#N/A</v>
      </c>
      <c r="E309" s="122" t="e">
        <f t="shared" si="375"/>
        <v>#N/A</v>
      </c>
      <c r="F309" s="176" t="e">
        <f t="shared" si="376"/>
        <v>#N/A</v>
      </c>
      <c r="G309" s="121">
        <f t="shared" si="395"/>
        <v>208</v>
      </c>
      <c r="H309" s="176" t="e">
        <f t="shared" si="396"/>
        <v>#N/A</v>
      </c>
      <c r="I309" s="48">
        <v>1</v>
      </c>
      <c r="J309" s="39"/>
      <c r="K309" s="350">
        <v>1</v>
      </c>
      <c r="L309" s="34" t="e">
        <f t="shared" si="377"/>
        <v>#N/A</v>
      </c>
      <c r="M309" s="38" t="e">
        <f>(HLOOKUP(J309,'Construction Times'!$B$3:$W$34,L309+2,FALSE)*HLOOKUP("hq modifier",'Construction Times'!$W$3:$W$34,BS309+2,FALSE))*(1-$H$9)</f>
        <v>#N/A</v>
      </c>
      <c r="N309" s="443" t="e">
        <f t="shared" si="397"/>
        <v>#N/A</v>
      </c>
      <c r="O309" s="444"/>
      <c r="P309" s="447" t="e">
        <f t="shared" si="398"/>
        <v>#N/A</v>
      </c>
      <c r="Q309" s="448"/>
      <c r="R309" s="103">
        <f t="shared" si="424"/>
        <v>0</v>
      </c>
      <c r="S309" s="104">
        <f t="shared" si="424"/>
        <v>0</v>
      </c>
      <c r="T309" s="104">
        <f t="shared" si="425"/>
        <v>0</v>
      </c>
      <c r="U309" s="104">
        <f t="shared" si="425"/>
        <v>0</v>
      </c>
      <c r="V309" s="104">
        <f t="shared" si="425"/>
        <v>9.9999999999999995E-8</v>
      </c>
      <c r="W309" s="104">
        <f t="shared" si="425"/>
        <v>0</v>
      </c>
      <c r="X309" s="104">
        <f t="shared" si="455"/>
        <v>0</v>
      </c>
      <c r="Y309" s="104">
        <f t="shared" si="455"/>
        <v>9.9999999999999995E-8</v>
      </c>
      <c r="Z309" s="104">
        <f t="shared" si="455"/>
        <v>9.9999999999999995E-8</v>
      </c>
      <c r="AA309" s="105">
        <f t="shared" si="455"/>
        <v>9.9999999999999995E-8</v>
      </c>
      <c r="AB309" s="101" t="e">
        <f>$DT309*HLOOKUP($J309,'Construction Costs (timber)'!$B$1:$V$32,'Construction Planner'!$L309+2,FALSE)</f>
        <v>#N/A</v>
      </c>
      <c r="AC309" s="14" t="e">
        <f>$DT309*HLOOKUP($J309,'Construction Costs (clay)'!$B$1:$V$32,'Construction Planner'!$L309+2,FALSE)</f>
        <v>#N/A</v>
      </c>
      <c r="AD309" s="14" t="e">
        <f>$DT309*HLOOKUP($J309,'Construction Costs (iron)'!$B$1:$V$32,'Construction Planner'!$L309+2,FALSE)</f>
        <v>#N/A</v>
      </c>
      <c r="AE309" s="34" t="e">
        <f t="shared" si="434"/>
        <v>#N/A</v>
      </c>
      <c r="AF309" s="33" t="e">
        <f t="shared" si="378"/>
        <v>#N/A</v>
      </c>
      <c r="AG309" s="14" t="e">
        <f t="shared" si="379"/>
        <v>#N/A</v>
      </c>
      <c r="AH309" s="14" t="e">
        <f t="shared" si="380"/>
        <v>#N/A</v>
      </c>
      <c r="AI309" s="34" t="e">
        <f t="shared" si="435"/>
        <v>#N/A</v>
      </c>
      <c r="AJ309" s="49" t="e">
        <f t="shared" si="399"/>
        <v>#N/A</v>
      </c>
      <c r="AK309" s="49" t="e">
        <f t="shared" si="400"/>
        <v>#N/A</v>
      </c>
      <c r="AL309" s="49" t="e">
        <f t="shared" si="401"/>
        <v>#N/A</v>
      </c>
      <c r="AM309" s="25">
        <f t="shared" si="381"/>
        <v>30</v>
      </c>
      <c r="AN309" s="25">
        <f t="shared" si="382"/>
        <v>30</v>
      </c>
      <c r="AO309" s="25">
        <f t="shared" si="383"/>
        <v>30</v>
      </c>
      <c r="AP309" s="52" t="e">
        <f t="shared" si="402"/>
        <v>#N/A</v>
      </c>
      <c r="AQ309" s="53" t="e">
        <f t="shared" si="402"/>
        <v>#N/A</v>
      </c>
      <c r="AR309" s="54" t="e">
        <f t="shared" si="402"/>
        <v>#N/A</v>
      </c>
      <c r="AS309" s="316">
        <f t="shared" si="457"/>
        <v>0</v>
      </c>
      <c r="AT309" s="106">
        <f>_xlfn.IFNA($M309/VLOOKUP($BT309,'Unit information'!$A$2:$K$29,2,FALSE)*R309,0)*(1+$E$9)</f>
        <v>0</v>
      </c>
      <c r="AU309" s="107">
        <f>_xlfn.IFNA($M309/VLOOKUP($BT309,'Unit information'!$A$2:$K$29,3,FALSE)*S309,0)*(1+$E$9)</f>
        <v>0</v>
      </c>
      <c r="AV309" s="107">
        <f>_xlfn.IFNA($M309/VLOOKUP($BT309,'Unit information'!$A$2:$K$29,4,FALSE)*T309,0)*(1+$E$9)</f>
        <v>0</v>
      </c>
      <c r="AW309" s="107">
        <f>_xlfn.IFNA($M309/VLOOKUP($BT309,'Unit information'!$A$2:$K$29,5,FALSE)*U309,0)*(1+$E$9)</f>
        <v>0</v>
      </c>
      <c r="AX309" s="107">
        <f>_xlfn.IFNA($M309/VLOOKUP($BU309,'Unit information'!$A$2:$K$29,6,FALSE)*V309,0)*(1+$E$9)</f>
        <v>0</v>
      </c>
      <c r="AY309" s="107">
        <f>_xlfn.IFNA($M309/VLOOKUP($BU309,'Unit information'!$A$2:$K$29,7,FALSE)*W309,0)*(1+$E$9)</f>
        <v>0</v>
      </c>
      <c r="AZ309" s="107">
        <f>_xlfn.IFNA($M309/VLOOKUP($BU309,'Unit information'!$A$2:$K$29,8,FALSE)*X309,0)*(1+$E$9)</f>
        <v>0</v>
      </c>
      <c r="BA309" s="107">
        <f>_xlfn.IFNA($M309/VLOOKUP($BU309,'Unit information'!$A$2:$K$29,9,FALSE)*Y309,0)*(1+$E$9)</f>
        <v>0</v>
      </c>
      <c r="BB309" s="107">
        <f>_xlfn.IFNA($M309/VLOOKUP($BV309,'Unit information'!$A$2:$K$29,10,FALSE)*Z309,0)*(1+$E$9)</f>
        <v>0</v>
      </c>
      <c r="BC309" s="108">
        <f>_xlfn.IFNA($M309/VLOOKUP($BV309,'Unit information'!$A$2:$K$29,11,FALSE)*AA309,0)*(1+$E$9)</f>
        <v>0</v>
      </c>
      <c r="BD309" s="106">
        <f t="shared" si="384"/>
        <v>0</v>
      </c>
      <c r="BE309" s="107">
        <f t="shared" si="385"/>
        <v>0</v>
      </c>
      <c r="BF309" s="108">
        <f t="shared" si="386"/>
        <v>0</v>
      </c>
      <c r="BG309" s="25" t="e">
        <f t="shared" si="387"/>
        <v>#N/A</v>
      </c>
      <c r="BH309" s="25" t="e">
        <f t="shared" si="388"/>
        <v>#N/A</v>
      </c>
      <c r="BI309" s="25" t="e">
        <f t="shared" si="389"/>
        <v>#N/A</v>
      </c>
      <c r="BJ309" s="27" t="e">
        <f t="shared" si="390"/>
        <v>#N/A</v>
      </c>
      <c r="BK309" s="18" t="e">
        <f t="shared" si="391"/>
        <v>#N/A</v>
      </c>
      <c r="BL309" s="18" t="e">
        <f t="shared" si="392"/>
        <v>#N/A</v>
      </c>
      <c r="BM309" s="28" t="e">
        <f t="shared" si="437"/>
        <v>#N/A</v>
      </c>
      <c r="BN309" s="33">
        <f>HLOOKUP("maximum population",Miscelaneous!$C$1:$C$33,CH309+3,FALSE)</f>
        <v>240</v>
      </c>
      <c r="BO309" s="14">
        <f t="shared" si="403"/>
        <v>32</v>
      </c>
      <c r="BP309" s="14">
        <f t="shared" si="404"/>
        <v>0</v>
      </c>
      <c r="BQ309" s="14">
        <f t="shared" si="405"/>
        <v>208</v>
      </c>
      <c r="BR309" s="34" t="e">
        <f>HLOOKUP(J309,Villagers!$B$1:$V$33,L309+3,FALSE)-HLOOKUP(J309,Villagers!$B$1:$V$33,L309+2,FALSE)</f>
        <v>#N/A</v>
      </c>
      <c r="BS309" s="49">
        <f t="shared" si="406"/>
        <v>1</v>
      </c>
      <c r="BT309" s="50">
        <f t="shared" si="407"/>
        <v>0</v>
      </c>
      <c r="BU309" s="50">
        <f t="shared" si="408"/>
        <v>0</v>
      </c>
      <c r="BV309" s="50">
        <f t="shared" si="409"/>
        <v>0</v>
      </c>
      <c r="BW309" s="50">
        <f t="shared" si="456"/>
        <v>0</v>
      </c>
      <c r="BX309" s="50">
        <f t="shared" si="456"/>
        <v>0</v>
      </c>
      <c r="BY309" s="50">
        <f t="shared" si="456"/>
        <v>0</v>
      </c>
      <c r="BZ309" s="50">
        <f t="shared" si="440"/>
        <v>0</v>
      </c>
      <c r="CA309" s="50">
        <f t="shared" si="441"/>
        <v>0</v>
      </c>
      <c r="CB309" s="50">
        <f t="shared" si="442"/>
        <v>1</v>
      </c>
      <c r="CC309" s="50">
        <f t="shared" si="443"/>
        <v>0</v>
      </c>
      <c r="CD309" s="50">
        <f t="shared" si="444"/>
        <v>0</v>
      </c>
      <c r="CE309" s="50">
        <f t="shared" si="445"/>
        <v>1</v>
      </c>
      <c r="CF309" s="50">
        <f t="shared" si="446"/>
        <v>1</v>
      </c>
      <c r="CG309" s="50">
        <f t="shared" si="447"/>
        <v>1</v>
      </c>
      <c r="CH309" s="50">
        <f t="shared" si="448"/>
        <v>1</v>
      </c>
      <c r="CI309" s="50">
        <f t="shared" si="449"/>
        <v>1</v>
      </c>
      <c r="CJ309" s="50">
        <f t="shared" si="450"/>
        <v>1</v>
      </c>
      <c r="CK309" s="50">
        <f t="shared" si="450"/>
        <v>0</v>
      </c>
      <c r="CL309" s="50">
        <f t="shared" si="450"/>
        <v>0</v>
      </c>
      <c r="CM309" s="51">
        <f t="shared" si="368"/>
        <v>0</v>
      </c>
      <c r="CN309" s="33">
        <f>ROUND(IF(BS309=0,0,HLOOKUP(BS$14,Villagers!$B$1:$V$33,BS309+3,FALSE)),)</f>
        <v>5</v>
      </c>
      <c r="CO309" s="14">
        <f>ROUND(IF(BT309=0,0,HLOOKUP(BT$14,Villagers!$B$1:$V$33,BT309+3,FALSE)),)</f>
        <v>0</v>
      </c>
      <c r="CP309" s="14">
        <f>ROUND(IF(BU309=0,0,HLOOKUP(BU$14,Villagers!$B$1:$V$33,BU309+3,FALSE)),)</f>
        <v>0</v>
      </c>
      <c r="CQ309" s="14">
        <f>ROUND(IF(BV309=0,0,HLOOKUP(BV$14,Villagers!$B$1:$V$33,BV309+3,FALSE)),)</f>
        <v>0</v>
      </c>
      <c r="CR309" s="14">
        <f>ROUND(IF(BW309=0,0,HLOOKUP(BW$14,Villagers!$B$1:$V$33,BW309+3,FALSE)),)</f>
        <v>0</v>
      </c>
      <c r="CS309" s="14">
        <f>ROUND(IF(BX309=0,0,HLOOKUP(BX$14,Villagers!$B$1:$V$33,BX309+3,FALSE)),)</f>
        <v>0</v>
      </c>
      <c r="CT309" s="14">
        <f>ROUND(IF(BY309=0,0,HLOOKUP(BY$14,Villagers!$B$1:$V$33,BY309+3,FALSE)),)</f>
        <v>0</v>
      </c>
      <c r="CU309" s="14">
        <f>ROUND(IF(BZ309=0,0,HLOOKUP(BZ$14,Villagers!$B$1:$V$33,BZ309+3,FALSE)),)</f>
        <v>0</v>
      </c>
      <c r="CV309" s="14">
        <f>ROUND(IF(CA309=0,0,HLOOKUP(CA$14,Villagers!$B$1:$V$33,CA309+3,FALSE)),)</f>
        <v>0</v>
      </c>
      <c r="CW309" s="14">
        <f>ROUND(IF(CB309=0,0,HLOOKUP(CB$14,Villagers!$B$1:$V$33,CB309+3,FALSE)),)</f>
        <v>0</v>
      </c>
      <c r="CX309" s="14">
        <f>ROUND(IF(CC309=0,0,HLOOKUP(CC$14,Villagers!$B$1:$V$33,CC309+3,FALSE)),)</f>
        <v>0</v>
      </c>
      <c r="CY309" s="14">
        <f>ROUND(IF(CD309=0,0,HLOOKUP(CD$14,Villagers!$B$1:$V$33,CD309+3,FALSE)),)</f>
        <v>0</v>
      </c>
      <c r="CZ309" s="14">
        <f>ROUND(IF(CE309=0,0,HLOOKUP(CE$14,Villagers!$B$1:$V$33,CE309+3,FALSE)),)</f>
        <v>5</v>
      </c>
      <c r="DA309" s="14">
        <f>ROUND(IF(CF309=0,0,HLOOKUP(CF$14,Villagers!$B$1:$V$33,CF309+3,FALSE)),)</f>
        <v>10</v>
      </c>
      <c r="DB309" s="14">
        <f>ROUND(IF(CG309=0,0,HLOOKUP(CG$14,Villagers!$B$1:$V$33,CG309+3,FALSE)),)</f>
        <v>10</v>
      </c>
      <c r="DC309" s="14">
        <f>ROUND(IF(CH309=0,0,HLOOKUP(CH$14,Villagers!$B$1:$V$33,CH309+3,FALSE)),)</f>
        <v>0</v>
      </c>
      <c r="DD309" s="14">
        <f>ROUND(IF(CI309=0,0,HLOOKUP(CI$14,Villagers!$B$1:$V$33,CI309+3,FALSE)),)</f>
        <v>0</v>
      </c>
      <c r="DE309" s="14">
        <f>ROUND(IF(CJ309=0,0,HLOOKUP(CJ$14,Villagers!$B$1:$V$33,CJ309+3,FALSE)),)</f>
        <v>2</v>
      </c>
      <c r="DF309" s="370">
        <f>ROUND(IF(CK309=0,0,HLOOKUP(CK$14,Villagers!$B$1:$V$33,CK309+3,FALSE)),)</f>
        <v>0</v>
      </c>
      <c r="DG309" s="370">
        <f>ROUND(IF(CL309=0,0,HLOOKUP(CL$14,Villagers!$B$1:$V$33,CL309+3,FALSE)),)</f>
        <v>0</v>
      </c>
      <c r="DH309" s="34">
        <f>ROUND(IF(CM309=0,0,HLOOKUP(CM$14,Villagers!$B$1:$V$33,CM309+3,FALSE)),)</f>
        <v>0</v>
      </c>
      <c r="DI309" s="109">
        <f t="shared" si="426"/>
        <v>0</v>
      </c>
      <c r="DJ309" s="50">
        <f t="shared" si="427"/>
        <v>0</v>
      </c>
      <c r="DK309" s="50">
        <f t="shared" si="428"/>
        <v>0</v>
      </c>
      <c r="DL309" s="50">
        <f t="shared" si="429"/>
        <v>0</v>
      </c>
      <c r="DM309" s="50">
        <f t="shared" si="430"/>
        <v>0</v>
      </c>
      <c r="DN309" s="50">
        <f t="shared" si="431"/>
        <v>0</v>
      </c>
      <c r="DO309" s="50">
        <f t="shared" si="432"/>
        <v>0</v>
      </c>
      <c r="DP309" s="50">
        <f t="shared" si="433"/>
        <v>0</v>
      </c>
      <c r="DQ309" s="50">
        <f t="shared" si="411"/>
        <v>0</v>
      </c>
      <c r="DR309" s="50">
        <f t="shared" si="412"/>
        <v>0</v>
      </c>
      <c r="DS309" s="96">
        <f>Miscelaneous!$D$4*Miscelaneous!$D$2^($CI309-1)</f>
        <v>1000</v>
      </c>
      <c r="DT309" s="333">
        <f t="shared" si="393"/>
        <v>1</v>
      </c>
      <c r="DU309" s="81">
        <v>1</v>
      </c>
      <c r="DV309" s="79">
        <f t="shared" si="413"/>
        <v>0</v>
      </c>
      <c r="DW309" s="79">
        <f t="shared" si="414"/>
        <v>0</v>
      </c>
      <c r="DX309" s="79">
        <f t="shared" si="415"/>
        <v>0</v>
      </c>
      <c r="DY309" s="79">
        <v>1</v>
      </c>
      <c r="DZ309" s="79">
        <f t="shared" si="416"/>
        <v>0</v>
      </c>
      <c r="EA309" s="79">
        <f t="shared" si="417"/>
        <v>0</v>
      </c>
      <c r="EB309" s="79">
        <f t="shared" si="418"/>
        <v>0</v>
      </c>
      <c r="EC309" s="79">
        <f t="shared" si="419"/>
        <v>0</v>
      </c>
      <c r="ED309" s="79">
        <v>1</v>
      </c>
      <c r="EE309" s="79">
        <v>1</v>
      </c>
      <c r="EF309" s="79">
        <f t="shared" si="420"/>
        <v>0</v>
      </c>
      <c r="EG309" s="79">
        <v>1</v>
      </c>
      <c r="EH309" s="79">
        <v>1</v>
      </c>
      <c r="EI309" s="79">
        <v>1</v>
      </c>
      <c r="EJ309" s="79">
        <v>1</v>
      </c>
      <c r="EK309" s="79">
        <v>1</v>
      </c>
      <c r="EL309" s="79">
        <v>1</v>
      </c>
      <c r="EM309" s="143">
        <f t="shared" si="421"/>
        <v>0</v>
      </c>
      <c r="EN309" s="143">
        <f t="shared" si="422"/>
        <v>0</v>
      </c>
      <c r="EO309" s="82">
        <f t="shared" si="423"/>
        <v>0</v>
      </c>
    </row>
    <row r="310" spans="1:145" x14ac:dyDescent="0.25">
      <c r="A310">
        <v>296</v>
      </c>
      <c r="B310" s="172" t="e">
        <f t="shared" si="394"/>
        <v>#N/A</v>
      </c>
      <c r="C310" s="121" t="e">
        <f t="shared" si="373"/>
        <v>#N/A</v>
      </c>
      <c r="D310" s="122" t="e">
        <f t="shared" si="374"/>
        <v>#N/A</v>
      </c>
      <c r="E310" s="122" t="e">
        <f t="shared" si="375"/>
        <v>#N/A</v>
      </c>
      <c r="F310" s="176" t="e">
        <f t="shared" si="376"/>
        <v>#N/A</v>
      </c>
      <c r="G310" s="121">
        <f t="shared" si="395"/>
        <v>208</v>
      </c>
      <c r="H310" s="176" t="e">
        <f t="shared" si="396"/>
        <v>#N/A</v>
      </c>
      <c r="I310" s="48">
        <v>1</v>
      </c>
      <c r="J310" s="39"/>
      <c r="K310" s="350">
        <v>1</v>
      </c>
      <c r="L310" s="34" t="e">
        <f t="shared" si="377"/>
        <v>#N/A</v>
      </c>
      <c r="M310" s="38" t="e">
        <f>(HLOOKUP(J310,'Construction Times'!$B$3:$W$34,L310+2,FALSE)*HLOOKUP("hq modifier",'Construction Times'!$W$3:$W$34,BS310+2,FALSE))*(1-$H$9)</f>
        <v>#N/A</v>
      </c>
      <c r="N310" s="443" t="e">
        <f t="shared" si="397"/>
        <v>#N/A</v>
      </c>
      <c r="O310" s="444"/>
      <c r="P310" s="447" t="e">
        <f t="shared" si="398"/>
        <v>#N/A</v>
      </c>
      <c r="Q310" s="448"/>
      <c r="R310" s="103">
        <f t="shared" si="424"/>
        <v>0</v>
      </c>
      <c r="S310" s="104">
        <f t="shared" si="424"/>
        <v>0</v>
      </c>
      <c r="T310" s="104">
        <f t="shared" si="425"/>
        <v>0</v>
      </c>
      <c r="U310" s="104">
        <f t="shared" si="425"/>
        <v>0</v>
      </c>
      <c r="V310" s="104">
        <f t="shared" si="425"/>
        <v>9.9999999999999995E-8</v>
      </c>
      <c r="W310" s="104">
        <f t="shared" si="425"/>
        <v>0</v>
      </c>
      <c r="X310" s="104">
        <f t="shared" si="455"/>
        <v>0</v>
      </c>
      <c r="Y310" s="104">
        <f t="shared" si="455"/>
        <v>9.9999999999999995E-8</v>
      </c>
      <c r="Z310" s="104">
        <f t="shared" si="455"/>
        <v>9.9999999999999995E-8</v>
      </c>
      <c r="AA310" s="105">
        <f t="shared" si="455"/>
        <v>9.9999999999999995E-8</v>
      </c>
      <c r="AB310" s="101" t="e">
        <f>$DT310*HLOOKUP($J310,'Construction Costs (timber)'!$B$1:$V$32,'Construction Planner'!$L310+2,FALSE)</f>
        <v>#N/A</v>
      </c>
      <c r="AC310" s="14" t="e">
        <f>$DT310*HLOOKUP($J310,'Construction Costs (clay)'!$B$1:$V$32,'Construction Planner'!$L310+2,FALSE)</f>
        <v>#N/A</v>
      </c>
      <c r="AD310" s="14" t="e">
        <f>$DT310*HLOOKUP($J310,'Construction Costs (iron)'!$B$1:$V$32,'Construction Planner'!$L310+2,FALSE)</f>
        <v>#N/A</v>
      </c>
      <c r="AE310" s="34" t="e">
        <f t="shared" si="434"/>
        <v>#N/A</v>
      </c>
      <c r="AF310" s="33" t="e">
        <f t="shared" si="378"/>
        <v>#N/A</v>
      </c>
      <c r="AG310" s="14" t="e">
        <f t="shared" si="379"/>
        <v>#N/A</v>
      </c>
      <c r="AH310" s="14" t="e">
        <f t="shared" si="380"/>
        <v>#N/A</v>
      </c>
      <c r="AI310" s="34" t="e">
        <f t="shared" si="435"/>
        <v>#N/A</v>
      </c>
      <c r="AJ310" s="49" t="e">
        <f t="shared" si="399"/>
        <v>#N/A</v>
      </c>
      <c r="AK310" s="49" t="e">
        <f t="shared" si="400"/>
        <v>#N/A</v>
      </c>
      <c r="AL310" s="49" t="e">
        <f t="shared" si="401"/>
        <v>#N/A</v>
      </c>
      <c r="AM310" s="25">
        <f t="shared" si="381"/>
        <v>30</v>
      </c>
      <c r="AN310" s="25">
        <f t="shared" si="382"/>
        <v>30</v>
      </c>
      <c r="AO310" s="25">
        <f t="shared" si="383"/>
        <v>30</v>
      </c>
      <c r="AP310" s="52" t="e">
        <f t="shared" si="402"/>
        <v>#N/A</v>
      </c>
      <c r="AQ310" s="53" t="e">
        <f t="shared" si="402"/>
        <v>#N/A</v>
      </c>
      <c r="AR310" s="54" t="e">
        <f t="shared" si="402"/>
        <v>#N/A</v>
      </c>
      <c r="AS310" s="316">
        <f t="shared" si="457"/>
        <v>0</v>
      </c>
      <c r="AT310" s="106">
        <f>_xlfn.IFNA($M310/VLOOKUP($BT310,'Unit information'!$A$2:$K$29,2,FALSE)*R310,0)*(1+$E$9)</f>
        <v>0</v>
      </c>
      <c r="AU310" s="107">
        <f>_xlfn.IFNA($M310/VLOOKUP($BT310,'Unit information'!$A$2:$K$29,3,FALSE)*S310,0)*(1+$E$9)</f>
        <v>0</v>
      </c>
      <c r="AV310" s="107">
        <f>_xlfn.IFNA($M310/VLOOKUP($BT310,'Unit information'!$A$2:$K$29,4,FALSE)*T310,0)*(1+$E$9)</f>
        <v>0</v>
      </c>
      <c r="AW310" s="107">
        <f>_xlfn.IFNA($M310/VLOOKUP($BT310,'Unit information'!$A$2:$K$29,5,FALSE)*U310,0)*(1+$E$9)</f>
        <v>0</v>
      </c>
      <c r="AX310" s="107">
        <f>_xlfn.IFNA($M310/VLOOKUP($BU310,'Unit information'!$A$2:$K$29,6,FALSE)*V310,0)*(1+$E$9)</f>
        <v>0</v>
      </c>
      <c r="AY310" s="107">
        <f>_xlfn.IFNA($M310/VLOOKUP($BU310,'Unit information'!$A$2:$K$29,7,FALSE)*W310,0)*(1+$E$9)</f>
        <v>0</v>
      </c>
      <c r="AZ310" s="107">
        <f>_xlfn.IFNA($M310/VLOOKUP($BU310,'Unit information'!$A$2:$K$29,8,FALSE)*X310,0)*(1+$E$9)</f>
        <v>0</v>
      </c>
      <c r="BA310" s="107">
        <f>_xlfn.IFNA($M310/VLOOKUP($BU310,'Unit information'!$A$2:$K$29,9,FALSE)*Y310,0)*(1+$E$9)</f>
        <v>0</v>
      </c>
      <c r="BB310" s="107">
        <f>_xlfn.IFNA($M310/VLOOKUP($BV310,'Unit information'!$A$2:$K$29,10,FALSE)*Z310,0)*(1+$E$9)</f>
        <v>0</v>
      </c>
      <c r="BC310" s="108">
        <f>_xlfn.IFNA($M310/VLOOKUP($BV310,'Unit information'!$A$2:$K$29,11,FALSE)*AA310,0)*(1+$E$9)</f>
        <v>0</v>
      </c>
      <c r="BD310" s="106">
        <f t="shared" si="384"/>
        <v>0</v>
      </c>
      <c r="BE310" s="107">
        <f t="shared" si="385"/>
        <v>0</v>
      </c>
      <c r="BF310" s="108">
        <f t="shared" si="386"/>
        <v>0</v>
      </c>
      <c r="BG310" s="25" t="e">
        <f t="shared" si="387"/>
        <v>#N/A</v>
      </c>
      <c r="BH310" s="25" t="e">
        <f t="shared" si="388"/>
        <v>#N/A</v>
      </c>
      <c r="BI310" s="25" t="e">
        <f t="shared" si="389"/>
        <v>#N/A</v>
      </c>
      <c r="BJ310" s="27" t="e">
        <f t="shared" si="390"/>
        <v>#N/A</v>
      </c>
      <c r="BK310" s="18" t="e">
        <f t="shared" si="391"/>
        <v>#N/A</v>
      </c>
      <c r="BL310" s="18" t="e">
        <f t="shared" si="392"/>
        <v>#N/A</v>
      </c>
      <c r="BM310" s="28" t="e">
        <f t="shared" si="437"/>
        <v>#N/A</v>
      </c>
      <c r="BN310" s="33">
        <f>HLOOKUP("maximum population",Miscelaneous!$C$1:$C$33,CH310+3,FALSE)</f>
        <v>240</v>
      </c>
      <c r="BO310" s="14">
        <f t="shared" si="403"/>
        <v>32</v>
      </c>
      <c r="BP310" s="14">
        <f t="shared" si="404"/>
        <v>0</v>
      </c>
      <c r="BQ310" s="14">
        <f t="shared" si="405"/>
        <v>208</v>
      </c>
      <c r="BR310" s="34" t="e">
        <f>HLOOKUP(J310,Villagers!$B$1:$V$33,L310+3,FALSE)-HLOOKUP(J310,Villagers!$B$1:$V$33,L310+2,FALSE)</f>
        <v>#N/A</v>
      </c>
      <c r="BS310" s="49">
        <f t="shared" si="406"/>
        <v>1</v>
      </c>
      <c r="BT310" s="50">
        <f t="shared" si="407"/>
        <v>0</v>
      </c>
      <c r="BU310" s="50">
        <f t="shared" si="408"/>
        <v>0</v>
      </c>
      <c r="BV310" s="50">
        <f t="shared" si="409"/>
        <v>0</v>
      </c>
      <c r="BW310" s="50">
        <f t="shared" si="456"/>
        <v>0</v>
      </c>
      <c r="BX310" s="50">
        <f t="shared" si="456"/>
        <v>0</v>
      </c>
      <c r="BY310" s="50">
        <f t="shared" si="456"/>
        <v>0</v>
      </c>
      <c r="BZ310" s="50">
        <f t="shared" si="440"/>
        <v>0</v>
      </c>
      <c r="CA310" s="50">
        <f t="shared" si="441"/>
        <v>0</v>
      </c>
      <c r="CB310" s="50">
        <f t="shared" si="442"/>
        <v>1</v>
      </c>
      <c r="CC310" s="50">
        <f t="shared" si="443"/>
        <v>0</v>
      </c>
      <c r="CD310" s="50">
        <f t="shared" si="444"/>
        <v>0</v>
      </c>
      <c r="CE310" s="50">
        <f t="shared" si="445"/>
        <v>1</v>
      </c>
      <c r="CF310" s="50">
        <f t="shared" si="446"/>
        <v>1</v>
      </c>
      <c r="CG310" s="50">
        <f t="shared" si="447"/>
        <v>1</v>
      </c>
      <c r="CH310" s="50">
        <f t="shared" si="448"/>
        <v>1</v>
      </c>
      <c r="CI310" s="50">
        <f t="shared" si="449"/>
        <v>1</v>
      </c>
      <c r="CJ310" s="50">
        <f t="shared" si="450"/>
        <v>1</v>
      </c>
      <c r="CK310" s="50">
        <f t="shared" si="450"/>
        <v>0</v>
      </c>
      <c r="CL310" s="50">
        <f t="shared" si="450"/>
        <v>0</v>
      </c>
      <c r="CM310" s="51">
        <f t="shared" si="368"/>
        <v>0</v>
      </c>
      <c r="CN310" s="33">
        <f>ROUND(IF(BS310=0,0,HLOOKUP(BS$14,Villagers!$B$1:$V$33,BS310+3,FALSE)),)</f>
        <v>5</v>
      </c>
      <c r="CO310" s="14">
        <f>ROUND(IF(BT310=0,0,HLOOKUP(BT$14,Villagers!$B$1:$V$33,BT310+3,FALSE)),)</f>
        <v>0</v>
      </c>
      <c r="CP310" s="14">
        <f>ROUND(IF(BU310=0,0,HLOOKUP(BU$14,Villagers!$B$1:$V$33,BU310+3,FALSE)),)</f>
        <v>0</v>
      </c>
      <c r="CQ310" s="14">
        <f>ROUND(IF(BV310=0,0,HLOOKUP(BV$14,Villagers!$B$1:$V$33,BV310+3,FALSE)),)</f>
        <v>0</v>
      </c>
      <c r="CR310" s="14">
        <f>ROUND(IF(BW310=0,0,HLOOKUP(BW$14,Villagers!$B$1:$V$33,BW310+3,FALSE)),)</f>
        <v>0</v>
      </c>
      <c r="CS310" s="14">
        <f>ROUND(IF(BX310=0,0,HLOOKUP(BX$14,Villagers!$B$1:$V$33,BX310+3,FALSE)),)</f>
        <v>0</v>
      </c>
      <c r="CT310" s="14">
        <f>ROUND(IF(BY310=0,0,HLOOKUP(BY$14,Villagers!$B$1:$V$33,BY310+3,FALSE)),)</f>
        <v>0</v>
      </c>
      <c r="CU310" s="14">
        <f>ROUND(IF(BZ310=0,0,HLOOKUP(BZ$14,Villagers!$B$1:$V$33,BZ310+3,FALSE)),)</f>
        <v>0</v>
      </c>
      <c r="CV310" s="14">
        <f>ROUND(IF(CA310=0,0,HLOOKUP(CA$14,Villagers!$B$1:$V$33,CA310+3,FALSE)),)</f>
        <v>0</v>
      </c>
      <c r="CW310" s="14">
        <f>ROUND(IF(CB310=0,0,HLOOKUP(CB$14,Villagers!$B$1:$V$33,CB310+3,FALSE)),)</f>
        <v>0</v>
      </c>
      <c r="CX310" s="14">
        <f>ROUND(IF(CC310=0,0,HLOOKUP(CC$14,Villagers!$B$1:$V$33,CC310+3,FALSE)),)</f>
        <v>0</v>
      </c>
      <c r="CY310" s="14">
        <f>ROUND(IF(CD310=0,0,HLOOKUP(CD$14,Villagers!$B$1:$V$33,CD310+3,FALSE)),)</f>
        <v>0</v>
      </c>
      <c r="CZ310" s="14">
        <f>ROUND(IF(CE310=0,0,HLOOKUP(CE$14,Villagers!$B$1:$V$33,CE310+3,FALSE)),)</f>
        <v>5</v>
      </c>
      <c r="DA310" s="14">
        <f>ROUND(IF(CF310=0,0,HLOOKUP(CF$14,Villagers!$B$1:$V$33,CF310+3,FALSE)),)</f>
        <v>10</v>
      </c>
      <c r="DB310" s="14">
        <f>ROUND(IF(CG310=0,0,HLOOKUP(CG$14,Villagers!$B$1:$V$33,CG310+3,FALSE)),)</f>
        <v>10</v>
      </c>
      <c r="DC310" s="14">
        <f>ROUND(IF(CH310=0,0,HLOOKUP(CH$14,Villagers!$B$1:$V$33,CH310+3,FALSE)),)</f>
        <v>0</v>
      </c>
      <c r="DD310" s="14">
        <f>ROUND(IF(CI310=0,0,HLOOKUP(CI$14,Villagers!$B$1:$V$33,CI310+3,FALSE)),)</f>
        <v>0</v>
      </c>
      <c r="DE310" s="14">
        <f>ROUND(IF(CJ310=0,0,HLOOKUP(CJ$14,Villagers!$B$1:$V$33,CJ310+3,FALSE)),)</f>
        <v>2</v>
      </c>
      <c r="DF310" s="370">
        <f>ROUND(IF(CK310=0,0,HLOOKUP(CK$14,Villagers!$B$1:$V$33,CK310+3,FALSE)),)</f>
        <v>0</v>
      </c>
      <c r="DG310" s="370">
        <f>ROUND(IF(CL310=0,0,HLOOKUP(CL$14,Villagers!$B$1:$V$33,CL310+3,FALSE)),)</f>
        <v>0</v>
      </c>
      <c r="DH310" s="34">
        <f>ROUND(IF(CM310=0,0,HLOOKUP(CM$14,Villagers!$B$1:$V$33,CM310+3,FALSE)),)</f>
        <v>0</v>
      </c>
      <c r="DI310" s="109">
        <f t="shared" si="426"/>
        <v>0</v>
      </c>
      <c r="DJ310" s="50">
        <f t="shared" si="427"/>
        <v>0</v>
      </c>
      <c r="DK310" s="50">
        <f t="shared" si="428"/>
        <v>0</v>
      </c>
      <c r="DL310" s="50">
        <f t="shared" si="429"/>
        <v>0</v>
      </c>
      <c r="DM310" s="50">
        <f t="shared" si="430"/>
        <v>0</v>
      </c>
      <c r="DN310" s="50">
        <f t="shared" si="431"/>
        <v>0</v>
      </c>
      <c r="DO310" s="50">
        <f t="shared" si="432"/>
        <v>0</v>
      </c>
      <c r="DP310" s="50">
        <f t="shared" si="433"/>
        <v>0</v>
      </c>
      <c r="DQ310" s="50">
        <f t="shared" si="411"/>
        <v>0</v>
      </c>
      <c r="DR310" s="50">
        <f t="shared" si="412"/>
        <v>0</v>
      </c>
      <c r="DS310" s="96">
        <f>Miscelaneous!$D$4*Miscelaneous!$D$2^($CI310-1)</f>
        <v>1000</v>
      </c>
      <c r="DT310" s="333">
        <f t="shared" si="393"/>
        <v>1</v>
      </c>
      <c r="DU310" s="81">
        <v>1</v>
      </c>
      <c r="DV310" s="79">
        <f t="shared" si="413"/>
        <v>0</v>
      </c>
      <c r="DW310" s="79">
        <f t="shared" si="414"/>
        <v>0</v>
      </c>
      <c r="DX310" s="79">
        <f t="shared" si="415"/>
        <v>0</v>
      </c>
      <c r="DY310" s="79">
        <v>1</v>
      </c>
      <c r="DZ310" s="79">
        <f t="shared" si="416"/>
        <v>0</v>
      </c>
      <c r="EA310" s="79">
        <f t="shared" si="417"/>
        <v>0</v>
      </c>
      <c r="EB310" s="79">
        <f t="shared" si="418"/>
        <v>0</v>
      </c>
      <c r="EC310" s="79">
        <f t="shared" si="419"/>
        <v>0</v>
      </c>
      <c r="ED310" s="79">
        <v>1</v>
      </c>
      <c r="EE310" s="79">
        <v>1</v>
      </c>
      <c r="EF310" s="79">
        <f t="shared" si="420"/>
        <v>0</v>
      </c>
      <c r="EG310" s="79">
        <v>1</v>
      </c>
      <c r="EH310" s="79">
        <v>1</v>
      </c>
      <c r="EI310" s="79">
        <v>1</v>
      </c>
      <c r="EJ310" s="79">
        <v>1</v>
      </c>
      <c r="EK310" s="79">
        <v>1</v>
      </c>
      <c r="EL310" s="79">
        <v>1</v>
      </c>
      <c r="EM310" s="143">
        <f t="shared" si="421"/>
        <v>0</v>
      </c>
      <c r="EN310" s="143">
        <f t="shared" si="422"/>
        <v>0</v>
      </c>
      <c r="EO310" s="82">
        <f t="shared" si="423"/>
        <v>0</v>
      </c>
    </row>
    <row r="311" spans="1:145" x14ac:dyDescent="0.25">
      <c r="A311">
        <v>297</v>
      </c>
      <c r="B311" s="172" t="e">
        <f t="shared" si="394"/>
        <v>#N/A</v>
      </c>
      <c r="C311" s="121" t="e">
        <f t="shared" si="373"/>
        <v>#N/A</v>
      </c>
      <c r="D311" s="122" t="e">
        <f t="shared" si="374"/>
        <v>#N/A</v>
      </c>
      <c r="E311" s="122" t="e">
        <f t="shared" si="375"/>
        <v>#N/A</v>
      </c>
      <c r="F311" s="176" t="e">
        <f t="shared" si="376"/>
        <v>#N/A</v>
      </c>
      <c r="G311" s="121">
        <f t="shared" si="395"/>
        <v>208</v>
      </c>
      <c r="H311" s="176" t="e">
        <f t="shared" si="396"/>
        <v>#N/A</v>
      </c>
      <c r="I311" s="48">
        <v>1</v>
      </c>
      <c r="J311" s="39"/>
      <c r="K311" s="350">
        <v>1</v>
      </c>
      <c r="L311" s="34" t="e">
        <f t="shared" si="377"/>
        <v>#N/A</v>
      </c>
      <c r="M311" s="38" t="e">
        <f>(HLOOKUP(J311,'Construction Times'!$B$3:$W$34,L311+2,FALSE)*HLOOKUP("hq modifier",'Construction Times'!$W$3:$W$34,BS311+2,FALSE))*(1-$H$9)</f>
        <v>#N/A</v>
      </c>
      <c r="N311" s="443" t="e">
        <f t="shared" si="397"/>
        <v>#N/A</v>
      </c>
      <c r="O311" s="444"/>
      <c r="P311" s="447" t="e">
        <f t="shared" si="398"/>
        <v>#N/A</v>
      </c>
      <c r="Q311" s="448"/>
      <c r="R311" s="103">
        <f t="shared" si="424"/>
        <v>0</v>
      </c>
      <c r="S311" s="104">
        <f t="shared" si="424"/>
        <v>0</v>
      </c>
      <c r="T311" s="104">
        <f t="shared" si="425"/>
        <v>0</v>
      </c>
      <c r="U311" s="104">
        <f t="shared" si="425"/>
        <v>0</v>
      </c>
      <c r="V311" s="104">
        <f t="shared" si="425"/>
        <v>9.9999999999999995E-8</v>
      </c>
      <c r="W311" s="104">
        <f t="shared" si="425"/>
        <v>0</v>
      </c>
      <c r="X311" s="104">
        <f t="shared" si="455"/>
        <v>0</v>
      </c>
      <c r="Y311" s="104">
        <f t="shared" si="455"/>
        <v>9.9999999999999995E-8</v>
      </c>
      <c r="Z311" s="104">
        <f t="shared" si="455"/>
        <v>9.9999999999999995E-8</v>
      </c>
      <c r="AA311" s="105">
        <f t="shared" si="455"/>
        <v>9.9999999999999995E-8</v>
      </c>
      <c r="AB311" s="101" t="e">
        <f>$DT311*HLOOKUP($J311,'Construction Costs (timber)'!$B$1:$V$32,'Construction Planner'!$L311+2,FALSE)</f>
        <v>#N/A</v>
      </c>
      <c r="AC311" s="14" t="e">
        <f>$DT311*HLOOKUP($J311,'Construction Costs (clay)'!$B$1:$V$32,'Construction Planner'!$L311+2,FALSE)</f>
        <v>#N/A</v>
      </c>
      <c r="AD311" s="14" t="e">
        <f>$DT311*HLOOKUP($J311,'Construction Costs (iron)'!$B$1:$V$32,'Construction Planner'!$L311+2,FALSE)</f>
        <v>#N/A</v>
      </c>
      <c r="AE311" s="34" t="e">
        <f t="shared" si="434"/>
        <v>#N/A</v>
      </c>
      <c r="AF311" s="33" t="e">
        <f t="shared" si="378"/>
        <v>#N/A</v>
      </c>
      <c r="AG311" s="14" t="e">
        <f t="shared" si="379"/>
        <v>#N/A</v>
      </c>
      <c r="AH311" s="14" t="e">
        <f t="shared" si="380"/>
        <v>#N/A</v>
      </c>
      <c r="AI311" s="34" t="e">
        <f t="shared" si="435"/>
        <v>#N/A</v>
      </c>
      <c r="AJ311" s="49" t="e">
        <f t="shared" si="399"/>
        <v>#N/A</v>
      </c>
      <c r="AK311" s="49" t="e">
        <f t="shared" si="400"/>
        <v>#N/A</v>
      </c>
      <c r="AL311" s="49" t="e">
        <f t="shared" si="401"/>
        <v>#N/A</v>
      </c>
      <c r="AM311" s="25">
        <f t="shared" si="381"/>
        <v>30</v>
      </c>
      <c r="AN311" s="25">
        <f t="shared" si="382"/>
        <v>30</v>
      </c>
      <c r="AO311" s="25">
        <f t="shared" si="383"/>
        <v>30</v>
      </c>
      <c r="AP311" s="52" t="e">
        <f t="shared" si="402"/>
        <v>#N/A</v>
      </c>
      <c r="AQ311" s="53" t="e">
        <f t="shared" si="402"/>
        <v>#N/A</v>
      </c>
      <c r="AR311" s="54" t="e">
        <f t="shared" si="402"/>
        <v>#N/A</v>
      </c>
      <c r="AS311" s="316">
        <f t="shared" si="457"/>
        <v>0</v>
      </c>
      <c r="AT311" s="106">
        <f>_xlfn.IFNA($M311/VLOOKUP($BT311,'Unit information'!$A$2:$K$29,2,FALSE)*R311,0)*(1+$E$9)</f>
        <v>0</v>
      </c>
      <c r="AU311" s="107">
        <f>_xlfn.IFNA($M311/VLOOKUP($BT311,'Unit information'!$A$2:$K$29,3,FALSE)*S311,0)*(1+$E$9)</f>
        <v>0</v>
      </c>
      <c r="AV311" s="107">
        <f>_xlfn.IFNA($M311/VLOOKUP($BT311,'Unit information'!$A$2:$K$29,4,FALSE)*T311,0)*(1+$E$9)</f>
        <v>0</v>
      </c>
      <c r="AW311" s="107">
        <f>_xlfn.IFNA($M311/VLOOKUP($BT311,'Unit information'!$A$2:$K$29,5,FALSE)*U311,0)*(1+$E$9)</f>
        <v>0</v>
      </c>
      <c r="AX311" s="107">
        <f>_xlfn.IFNA($M311/VLOOKUP($BU311,'Unit information'!$A$2:$K$29,6,FALSE)*V311,0)*(1+$E$9)</f>
        <v>0</v>
      </c>
      <c r="AY311" s="107">
        <f>_xlfn.IFNA($M311/VLOOKUP($BU311,'Unit information'!$A$2:$K$29,7,FALSE)*W311,0)*(1+$E$9)</f>
        <v>0</v>
      </c>
      <c r="AZ311" s="107">
        <f>_xlfn.IFNA($M311/VLOOKUP($BU311,'Unit information'!$A$2:$K$29,8,FALSE)*X311,0)*(1+$E$9)</f>
        <v>0</v>
      </c>
      <c r="BA311" s="107">
        <f>_xlfn.IFNA($M311/VLOOKUP($BU311,'Unit information'!$A$2:$K$29,9,FALSE)*Y311,0)*(1+$E$9)</f>
        <v>0</v>
      </c>
      <c r="BB311" s="107">
        <f>_xlfn.IFNA($M311/VLOOKUP($BV311,'Unit information'!$A$2:$K$29,10,FALSE)*Z311,0)*(1+$E$9)</f>
        <v>0</v>
      </c>
      <c r="BC311" s="108">
        <f>_xlfn.IFNA($M311/VLOOKUP($BV311,'Unit information'!$A$2:$K$29,11,FALSE)*AA311,0)*(1+$E$9)</f>
        <v>0</v>
      </c>
      <c r="BD311" s="106">
        <f t="shared" si="384"/>
        <v>0</v>
      </c>
      <c r="BE311" s="107">
        <f t="shared" si="385"/>
        <v>0</v>
      </c>
      <c r="BF311" s="108">
        <f t="shared" si="386"/>
        <v>0</v>
      </c>
      <c r="BG311" s="25" t="e">
        <f t="shared" si="387"/>
        <v>#N/A</v>
      </c>
      <c r="BH311" s="25" t="e">
        <f t="shared" si="388"/>
        <v>#N/A</v>
      </c>
      <c r="BI311" s="25" t="e">
        <f t="shared" si="389"/>
        <v>#N/A</v>
      </c>
      <c r="BJ311" s="27" t="e">
        <f t="shared" si="390"/>
        <v>#N/A</v>
      </c>
      <c r="BK311" s="18" t="e">
        <f t="shared" si="391"/>
        <v>#N/A</v>
      </c>
      <c r="BL311" s="18" t="e">
        <f t="shared" si="392"/>
        <v>#N/A</v>
      </c>
      <c r="BM311" s="28" t="e">
        <f t="shared" si="437"/>
        <v>#N/A</v>
      </c>
      <c r="BN311" s="33">
        <f>HLOOKUP("maximum population",Miscelaneous!$C$1:$C$33,CH311+3,FALSE)</f>
        <v>240</v>
      </c>
      <c r="BO311" s="14">
        <f t="shared" si="403"/>
        <v>32</v>
      </c>
      <c r="BP311" s="14">
        <f t="shared" si="404"/>
        <v>0</v>
      </c>
      <c r="BQ311" s="14">
        <f t="shared" si="405"/>
        <v>208</v>
      </c>
      <c r="BR311" s="34" t="e">
        <f>HLOOKUP(J311,Villagers!$B$1:$V$33,L311+3,FALSE)-HLOOKUP(J311,Villagers!$B$1:$V$33,L311+2,FALSE)</f>
        <v>#N/A</v>
      </c>
      <c r="BS311" s="49">
        <f t="shared" si="406"/>
        <v>1</v>
      </c>
      <c r="BT311" s="50">
        <f t="shared" si="407"/>
        <v>0</v>
      </c>
      <c r="BU311" s="50">
        <f t="shared" si="408"/>
        <v>0</v>
      </c>
      <c r="BV311" s="50">
        <f t="shared" si="409"/>
        <v>0</v>
      </c>
      <c r="BW311" s="50">
        <f t="shared" ref="BW311:BW335" si="458">IF($J310=BW$14,$L310,BW310)</f>
        <v>0</v>
      </c>
      <c r="BX311" s="50">
        <f t="shared" ref="BX311:BY335" si="459">IF($J310=BX$14,$L310,BX310)</f>
        <v>0</v>
      </c>
      <c r="BY311" s="50">
        <f t="shared" si="459"/>
        <v>0</v>
      </c>
      <c r="BZ311" s="50">
        <f t="shared" si="440"/>
        <v>0</v>
      </c>
      <c r="CA311" s="50">
        <f t="shared" si="441"/>
        <v>0</v>
      </c>
      <c r="CB311" s="50">
        <f t="shared" si="442"/>
        <v>1</v>
      </c>
      <c r="CC311" s="50">
        <f t="shared" si="443"/>
        <v>0</v>
      </c>
      <c r="CD311" s="50">
        <f t="shared" si="444"/>
        <v>0</v>
      </c>
      <c r="CE311" s="50">
        <f t="shared" si="445"/>
        <v>1</v>
      </c>
      <c r="CF311" s="50">
        <f t="shared" si="446"/>
        <v>1</v>
      </c>
      <c r="CG311" s="50">
        <f t="shared" si="447"/>
        <v>1</v>
      </c>
      <c r="CH311" s="50">
        <f t="shared" si="448"/>
        <v>1</v>
      </c>
      <c r="CI311" s="50">
        <f t="shared" si="449"/>
        <v>1</v>
      </c>
      <c r="CJ311" s="50">
        <f t="shared" si="450"/>
        <v>1</v>
      </c>
      <c r="CK311" s="50">
        <f t="shared" si="450"/>
        <v>0</v>
      </c>
      <c r="CL311" s="50">
        <f t="shared" si="450"/>
        <v>0</v>
      </c>
      <c r="CM311" s="51">
        <f t="shared" si="368"/>
        <v>0</v>
      </c>
      <c r="CN311" s="33">
        <f>ROUND(IF(BS311=0,0,HLOOKUP(BS$14,Villagers!$B$1:$V$33,BS311+3,FALSE)),)</f>
        <v>5</v>
      </c>
      <c r="CO311" s="14">
        <f>ROUND(IF(BT311=0,0,HLOOKUP(BT$14,Villagers!$B$1:$V$33,BT311+3,FALSE)),)</f>
        <v>0</v>
      </c>
      <c r="CP311" s="14">
        <f>ROUND(IF(BU311=0,0,HLOOKUP(BU$14,Villagers!$B$1:$V$33,BU311+3,FALSE)),)</f>
        <v>0</v>
      </c>
      <c r="CQ311" s="14">
        <f>ROUND(IF(BV311=0,0,HLOOKUP(BV$14,Villagers!$B$1:$V$33,BV311+3,FALSE)),)</f>
        <v>0</v>
      </c>
      <c r="CR311" s="14">
        <f>ROUND(IF(BW311=0,0,HLOOKUP(BW$14,Villagers!$B$1:$V$33,BW311+3,FALSE)),)</f>
        <v>0</v>
      </c>
      <c r="CS311" s="14">
        <f>ROUND(IF(BX311=0,0,HLOOKUP(BX$14,Villagers!$B$1:$V$33,BX311+3,FALSE)),)</f>
        <v>0</v>
      </c>
      <c r="CT311" s="14">
        <f>ROUND(IF(BY311=0,0,HLOOKUP(BY$14,Villagers!$B$1:$V$33,BY311+3,FALSE)),)</f>
        <v>0</v>
      </c>
      <c r="CU311" s="14">
        <f>ROUND(IF(BZ311=0,0,HLOOKUP(BZ$14,Villagers!$B$1:$V$33,BZ311+3,FALSE)),)</f>
        <v>0</v>
      </c>
      <c r="CV311" s="14">
        <f>ROUND(IF(CA311=0,0,HLOOKUP(CA$14,Villagers!$B$1:$V$33,CA311+3,FALSE)),)</f>
        <v>0</v>
      </c>
      <c r="CW311" s="14">
        <f>ROUND(IF(CB311=0,0,HLOOKUP(CB$14,Villagers!$B$1:$V$33,CB311+3,FALSE)),)</f>
        <v>0</v>
      </c>
      <c r="CX311" s="14">
        <f>ROUND(IF(CC311=0,0,HLOOKUP(CC$14,Villagers!$B$1:$V$33,CC311+3,FALSE)),)</f>
        <v>0</v>
      </c>
      <c r="CY311" s="14">
        <f>ROUND(IF(CD311=0,0,HLOOKUP(CD$14,Villagers!$B$1:$V$33,CD311+3,FALSE)),)</f>
        <v>0</v>
      </c>
      <c r="CZ311" s="14">
        <f>ROUND(IF(CE311=0,0,HLOOKUP(CE$14,Villagers!$B$1:$V$33,CE311+3,FALSE)),)</f>
        <v>5</v>
      </c>
      <c r="DA311" s="14">
        <f>ROUND(IF(CF311=0,0,HLOOKUP(CF$14,Villagers!$B$1:$V$33,CF311+3,FALSE)),)</f>
        <v>10</v>
      </c>
      <c r="DB311" s="14">
        <f>ROUND(IF(CG311=0,0,HLOOKUP(CG$14,Villagers!$B$1:$V$33,CG311+3,FALSE)),)</f>
        <v>10</v>
      </c>
      <c r="DC311" s="14">
        <f>ROUND(IF(CH311=0,0,HLOOKUP(CH$14,Villagers!$B$1:$V$33,CH311+3,FALSE)),)</f>
        <v>0</v>
      </c>
      <c r="DD311" s="14">
        <f>ROUND(IF(CI311=0,0,HLOOKUP(CI$14,Villagers!$B$1:$V$33,CI311+3,FALSE)),)</f>
        <v>0</v>
      </c>
      <c r="DE311" s="14">
        <f>ROUND(IF(CJ311=0,0,HLOOKUP(CJ$14,Villagers!$B$1:$V$33,CJ311+3,FALSE)),)</f>
        <v>2</v>
      </c>
      <c r="DF311" s="370">
        <f>ROUND(IF(CK311=0,0,HLOOKUP(CK$14,Villagers!$B$1:$V$33,CK311+3,FALSE)),)</f>
        <v>0</v>
      </c>
      <c r="DG311" s="370">
        <f>ROUND(IF(CL311=0,0,HLOOKUP(CL$14,Villagers!$B$1:$V$33,CL311+3,FALSE)),)</f>
        <v>0</v>
      </c>
      <c r="DH311" s="34">
        <f>ROUND(IF(CM311=0,0,HLOOKUP(CM$14,Villagers!$B$1:$V$33,CM311+3,FALSE)),)</f>
        <v>0</v>
      </c>
      <c r="DI311" s="109">
        <f t="shared" si="426"/>
        <v>0</v>
      </c>
      <c r="DJ311" s="50">
        <f t="shared" si="427"/>
        <v>0</v>
      </c>
      <c r="DK311" s="50">
        <f t="shared" si="428"/>
        <v>0</v>
      </c>
      <c r="DL311" s="50">
        <f t="shared" si="429"/>
        <v>0</v>
      </c>
      <c r="DM311" s="50">
        <f t="shared" si="430"/>
        <v>0</v>
      </c>
      <c r="DN311" s="50">
        <f t="shared" si="431"/>
        <v>0</v>
      </c>
      <c r="DO311" s="50">
        <f t="shared" si="432"/>
        <v>0</v>
      </c>
      <c r="DP311" s="50">
        <f t="shared" si="433"/>
        <v>0</v>
      </c>
      <c r="DQ311" s="50">
        <f t="shared" si="411"/>
        <v>0</v>
      </c>
      <c r="DR311" s="50">
        <f t="shared" si="412"/>
        <v>0</v>
      </c>
      <c r="DS311" s="96">
        <f>Miscelaneous!$D$4*Miscelaneous!$D$2^($CI311-1)</f>
        <v>1000</v>
      </c>
      <c r="DT311" s="333">
        <f t="shared" si="393"/>
        <v>1</v>
      </c>
      <c r="DU311" s="81">
        <v>1</v>
      </c>
      <c r="DV311" s="79">
        <f t="shared" si="413"/>
        <v>0</v>
      </c>
      <c r="DW311" s="79">
        <f t="shared" si="414"/>
        <v>0</v>
      </c>
      <c r="DX311" s="79">
        <f t="shared" si="415"/>
        <v>0</v>
      </c>
      <c r="DY311" s="79">
        <v>1</v>
      </c>
      <c r="DZ311" s="79">
        <f t="shared" si="416"/>
        <v>0</v>
      </c>
      <c r="EA311" s="79">
        <f t="shared" si="417"/>
        <v>0</v>
      </c>
      <c r="EB311" s="79">
        <f t="shared" si="418"/>
        <v>0</v>
      </c>
      <c r="EC311" s="79">
        <f t="shared" si="419"/>
        <v>0</v>
      </c>
      <c r="ED311" s="79">
        <v>1</v>
      </c>
      <c r="EE311" s="79">
        <v>1</v>
      </c>
      <c r="EF311" s="79">
        <f t="shared" si="420"/>
        <v>0</v>
      </c>
      <c r="EG311" s="79">
        <v>1</v>
      </c>
      <c r="EH311" s="79">
        <v>1</v>
      </c>
      <c r="EI311" s="79">
        <v>1</v>
      </c>
      <c r="EJ311" s="79">
        <v>1</v>
      </c>
      <c r="EK311" s="79">
        <v>1</v>
      </c>
      <c r="EL311" s="79">
        <v>1</v>
      </c>
      <c r="EM311" s="143">
        <f t="shared" si="421"/>
        <v>0</v>
      </c>
      <c r="EN311" s="143">
        <f t="shared" si="422"/>
        <v>0</v>
      </c>
      <c r="EO311" s="82">
        <f t="shared" si="423"/>
        <v>0</v>
      </c>
    </row>
    <row r="312" spans="1:145" x14ac:dyDescent="0.25">
      <c r="A312">
        <v>298</v>
      </c>
      <c r="B312" s="172" t="e">
        <f t="shared" si="394"/>
        <v>#N/A</v>
      </c>
      <c r="C312" s="121" t="e">
        <f t="shared" si="373"/>
        <v>#N/A</v>
      </c>
      <c r="D312" s="122" t="e">
        <f t="shared" si="374"/>
        <v>#N/A</v>
      </c>
      <c r="E312" s="122" t="e">
        <f t="shared" si="375"/>
        <v>#N/A</v>
      </c>
      <c r="F312" s="176" t="e">
        <f t="shared" si="376"/>
        <v>#N/A</v>
      </c>
      <c r="G312" s="121">
        <f t="shared" si="395"/>
        <v>208</v>
      </c>
      <c r="H312" s="176" t="e">
        <f t="shared" si="396"/>
        <v>#N/A</v>
      </c>
      <c r="I312" s="48">
        <v>1</v>
      </c>
      <c r="J312" s="39"/>
      <c r="K312" s="350">
        <v>1</v>
      </c>
      <c r="L312" s="34" t="e">
        <f t="shared" si="377"/>
        <v>#N/A</v>
      </c>
      <c r="M312" s="38" t="e">
        <f>(HLOOKUP(J312,'Construction Times'!$B$3:$W$34,L312+2,FALSE)*HLOOKUP("hq modifier",'Construction Times'!$W$3:$W$34,BS312+2,FALSE))*(1-$H$9)</f>
        <v>#N/A</v>
      </c>
      <c r="N312" s="443" t="e">
        <f t="shared" si="397"/>
        <v>#N/A</v>
      </c>
      <c r="O312" s="444"/>
      <c r="P312" s="447" t="e">
        <f t="shared" si="398"/>
        <v>#N/A</v>
      </c>
      <c r="Q312" s="448"/>
      <c r="R312" s="103">
        <f t="shared" si="424"/>
        <v>0</v>
      </c>
      <c r="S312" s="104">
        <f t="shared" si="424"/>
        <v>0</v>
      </c>
      <c r="T312" s="104">
        <f t="shared" si="425"/>
        <v>0</v>
      </c>
      <c r="U312" s="104">
        <f t="shared" si="425"/>
        <v>0</v>
      </c>
      <c r="V312" s="104">
        <f t="shared" si="425"/>
        <v>9.9999999999999995E-8</v>
      </c>
      <c r="W312" s="104">
        <f t="shared" si="425"/>
        <v>0</v>
      </c>
      <c r="X312" s="104">
        <f t="shared" si="455"/>
        <v>0</v>
      </c>
      <c r="Y312" s="104">
        <f t="shared" si="455"/>
        <v>9.9999999999999995E-8</v>
      </c>
      <c r="Z312" s="104">
        <f t="shared" si="455"/>
        <v>9.9999999999999995E-8</v>
      </c>
      <c r="AA312" s="105">
        <f t="shared" si="455"/>
        <v>9.9999999999999995E-8</v>
      </c>
      <c r="AB312" s="101" t="e">
        <f>$DT312*HLOOKUP($J312,'Construction Costs (timber)'!$B$1:$V$32,'Construction Planner'!$L312+2,FALSE)</f>
        <v>#N/A</v>
      </c>
      <c r="AC312" s="14" t="e">
        <f>$DT312*HLOOKUP($J312,'Construction Costs (clay)'!$B$1:$V$32,'Construction Planner'!$L312+2,FALSE)</f>
        <v>#N/A</v>
      </c>
      <c r="AD312" s="14" t="e">
        <f>$DT312*HLOOKUP($J312,'Construction Costs (iron)'!$B$1:$V$32,'Construction Planner'!$L312+2,FALSE)</f>
        <v>#N/A</v>
      </c>
      <c r="AE312" s="34" t="e">
        <f t="shared" si="434"/>
        <v>#N/A</v>
      </c>
      <c r="AF312" s="33" t="e">
        <f t="shared" si="378"/>
        <v>#N/A</v>
      </c>
      <c r="AG312" s="14" t="e">
        <f t="shared" si="379"/>
        <v>#N/A</v>
      </c>
      <c r="AH312" s="14" t="e">
        <f t="shared" si="380"/>
        <v>#N/A</v>
      </c>
      <c r="AI312" s="34" t="e">
        <f t="shared" si="435"/>
        <v>#N/A</v>
      </c>
      <c r="AJ312" s="49" t="e">
        <f t="shared" si="399"/>
        <v>#N/A</v>
      </c>
      <c r="AK312" s="49" t="e">
        <f t="shared" si="400"/>
        <v>#N/A</v>
      </c>
      <c r="AL312" s="49" t="e">
        <f t="shared" si="401"/>
        <v>#N/A</v>
      </c>
      <c r="AM312" s="25">
        <f t="shared" si="381"/>
        <v>30</v>
      </c>
      <c r="AN312" s="25">
        <f t="shared" si="382"/>
        <v>30</v>
      </c>
      <c r="AO312" s="25">
        <f t="shared" si="383"/>
        <v>30</v>
      </c>
      <c r="AP312" s="52" t="e">
        <f t="shared" si="402"/>
        <v>#N/A</v>
      </c>
      <c r="AQ312" s="53" t="e">
        <f t="shared" si="402"/>
        <v>#N/A</v>
      </c>
      <c r="AR312" s="54" t="e">
        <f t="shared" si="402"/>
        <v>#N/A</v>
      </c>
      <c r="AS312" s="316">
        <f t="shared" si="457"/>
        <v>0</v>
      </c>
      <c r="AT312" s="106">
        <f>_xlfn.IFNA($M312/VLOOKUP($BT312,'Unit information'!$A$2:$K$29,2,FALSE)*R312,0)*(1+$E$9)</f>
        <v>0</v>
      </c>
      <c r="AU312" s="107">
        <f>_xlfn.IFNA($M312/VLOOKUP($BT312,'Unit information'!$A$2:$K$29,3,FALSE)*S312,0)*(1+$E$9)</f>
        <v>0</v>
      </c>
      <c r="AV312" s="107">
        <f>_xlfn.IFNA($M312/VLOOKUP($BT312,'Unit information'!$A$2:$K$29,4,FALSE)*T312,0)*(1+$E$9)</f>
        <v>0</v>
      </c>
      <c r="AW312" s="107">
        <f>_xlfn.IFNA($M312/VLOOKUP($BT312,'Unit information'!$A$2:$K$29,5,FALSE)*U312,0)*(1+$E$9)</f>
        <v>0</v>
      </c>
      <c r="AX312" s="107">
        <f>_xlfn.IFNA($M312/VLOOKUP($BU312,'Unit information'!$A$2:$K$29,6,FALSE)*V312,0)*(1+$E$9)</f>
        <v>0</v>
      </c>
      <c r="AY312" s="107">
        <f>_xlfn.IFNA($M312/VLOOKUP($BU312,'Unit information'!$A$2:$K$29,7,FALSE)*W312,0)*(1+$E$9)</f>
        <v>0</v>
      </c>
      <c r="AZ312" s="107">
        <f>_xlfn.IFNA($M312/VLOOKUP($BU312,'Unit information'!$A$2:$K$29,8,FALSE)*X312,0)*(1+$E$9)</f>
        <v>0</v>
      </c>
      <c r="BA312" s="107">
        <f>_xlfn.IFNA($M312/VLOOKUP($BU312,'Unit information'!$A$2:$K$29,9,FALSE)*Y312,0)*(1+$E$9)</f>
        <v>0</v>
      </c>
      <c r="BB312" s="107">
        <f>_xlfn.IFNA($M312/VLOOKUP($BV312,'Unit information'!$A$2:$K$29,10,FALSE)*Z312,0)*(1+$E$9)</f>
        <v>0</v>
      </c>
      <c r="BC312" s="108">
        <f>_xlfn.IFNA($M312/VLOOKUP($BV312,'Unit information'!$A$2:$K$29,11,FALSE)*AA312,0)*(1+$E$9)</f>
        <v>0</v>
      </c>
      <c r="BD312" s="106">
        <f t="shared" si="384"/>
        <v>0</v>
      </c>
      <c r="BE312" s="107">
        <f t="shared" si="385"/>
        <v>0</v>
      </c>
      <c r="BF312" s="108">
        <f t="shared" si="386"/>
        <v>0</v>
      </c>
      <c r="BG312" s="25" t="e">
        <f t="shared" si="387"/>
        <v>#N/A</v>
      </c>
      <c r="BH312" s="25" t="e">
        <f t="shared" si="388"/>
        <v>#N/A</v>
      </c>
      <c r="BI312" s="25" t="e">
        <f t="shared" si="389"/>
        <v>#N/A</v>
      </c>
      <c r="BJ312" s="27" t="e">
        <f t="shared" si="390"/>
        <v>#N/A</v>
      </c>
      <c r="BK312" s="18" t="e">
        <f t="shared" si="391"/>
        <v>#N/A</v>
      </c>
      <c r="BL312" s="18" t="e">
        <f t="shared" si="392"/>
        <v>#N/A</v>
      </c>
      <c r="BM312" s="28" t="e">
        <f t="shared" si="437"/>
        <v>#N/A</v>
      </c>
      <c r="BN312" s="33">
        <f>HLOOKUP("maximum population",Miscelaneous!$C$1:$C$33,CH312+3,FALSE)</f>
        <v>240</v>
      </c>
      <c r="BO312" s="14">
        <f t="shared" si="403"/>
        <v>32</v>
      </c>
      <c r="BP312" s="14">
        <f t="shared" si="404"/>
        <v>0</v>
      </c>
      <c r="BQ312" s="14">
        <f t="shared" si="405"/>
        <v>208</v>
      </c>
      <c r="BR312" s="34" t="e">
        <f>HLOOKUP(J312,Villagers!$B$1:$V$33,L312+3,FALSE)-HLOOKUP(J312,Villagers!$B$1:$V$33,L312+2,FALSE)</f>
        <v>#N/A</v>
      </c>
      <c r="BS312" s="49">
        <f t="shared" si="406"/>
        <v>1</v>
      </c>
      <c r="BT312" s="50">
        <f t="shared" si="407"/>
        <v>0</v>
      </c>
      <c r="BU312" s="50">
        <f t="shared" si="408"/>
        <v>0</v>
      </c>
      <c r="BV312" s="50">
        <f t="shared" si="409"/>
        <v>0</v>
      </c>
      <c r="BW312" s="50">
        <f t="shared" si="458"/>
        <v>0</v>
      </c>
      <c r="BX312" s="50">
        <f t="shared" si="459"/>
        <v>0</v>
      </c>
      <c r="BY312" s="50">
        <f t="shared" si="459"/>
        <v>0</v>
      </c>
      <c r="BZ312" s="50">
        <f t="shared" si="440"/>
        <v>0</v>
      </c>
      <c r="CA312" s="50">
        <f t="shared" si="441"/>
        <v>0</v>
      </c>
      <c r="CB312" s="50">
        <f t="shared" si="442"/>
        <v>1</v>
      </c>
      <c r="CC312" s="50">
        <f t="shared" si="443"/>
        <v>0</v>
      </c>
      <c r="CD312" s="50">
        <f t="shared" si="444"/>
        <v>0</v>
      </c>
      <c r="CE312" s="50">
        <f t="shared" si="445"/>
        <v>1</v>
      </c>
      <c r="CF312" s="50">
        <f t="shared" si="446"/>
        <v>1</v>
      </c>
      <c r="CG312" s="50">
        <f t="shared" si="447"/>
        <v>1</v>
      </c>
      <c r="CH312" s="50">
        <f t="shared" si="448"/>
        <v>1</v>
      </c>
      <c r="CI312" s="50">
        <f t="shared" si="449"/>
        <v>1</v>
      </c>
      <c r="CJ312" s="50">
        <f t="shared" si="450"/>
        <v>1</v>
      </c>
      <c r="CK312" s="50">
        <f t="shared" si="450"/>
        <v>0</v>
      </c>
      <c r="CL312" s="50">
        <f t="shared" si="450"/>
        <v>0</v>
      </c>
      <c r="CM312" s="51">
        <f t="shared" si="368"/>
        <v>0</v>
      </c>
      <c r="CN312" s="33">
        <f>ROUND(IF(BS312=0,0,HLOOKUP(BS$14,Villagers!$B$1:$V$33,BS312+3,FALSE)),)</f>
        <v>5</v>
      </c>
      <c r="CO312" s="14">
        <f>ROUND(IF(BT312=0,0,HLOOKUP(BT$14,Villagers!$B$1:$V$33,BT312+3,FALSE)),)</f>
        <v>0</v>
      </c>
      <c r="CP312" s="14">
        <f>ROUND(IF(BU312=0,0,HLOOKUP(BU$14,Villagers!$B$1:$V$33,BU312+3,FALSE)),)</f>
        <v>0</v>
      </c>
      <c r="CQ312" s="14">
        <f>ROUND(IF(BV312=0,0,HLOOKUP(BV$14,Villagers!$B$1:$V$33,BV312+3,FALSE)),)</f>
        <v>0</v>
      </c>
      <c r="CR312" s="14">
        <f>ROUND(IF(BW312=0,0,HLOOKUP(BW$14,Villagers!$B$1:$V$33,BW312+3,FALSE)),)</f>
        <v>0</v>
      </c>
      <c r="CS312" s="14">
        <f>ROUND(IF(BX312=0,0,HLOOKUP(BX$14,Villagers!$B$1:$V$33,BX312+3,FALSE)),)</f>
        <v>0</v>
      </c>
      <c r="CT312" s="14">
        <f>ROUND(IF(BY312=0,0,HLOOKUP(BY$14,Villagers!$B$1:$V$33,BY312+3,FALSE)),)</f>
        <v>0</v>
      </c>
      <c r="CU312" s="14">
        <f>ROUND(IF(BZ312=0,0,HLOOKUP(BZ$14,Villagers!$B$1:$V$33,BZ312+3,FALSE)),)</f>
        <v>0</v>
      </c>
      <c r="CV312" s="14">
        <f>ROUND(IF(CA312=0,0,HLOOKUP(CA$14,Villagers!$B$1:$V$33,CA312+3,FALSE)),)</f>
        <v>0</v>
      </c>
      <c r="CW312" s="14">
        <f>ROUND(IF(CB312=0,0,HLOOKUP(CB$14,Villagers!$B$1:$V$33,CB312+3,FALSE)),)</f>
        <v>0</v>
      </c>
      <c r="CX312" s="14">
        <f>ROUND(IF(CC312=0,0,HLOOKUP(CC$14,Villagers!$B$1:$V$33,CC312+3,FALSE)),)</f>
        <v>0</v>
      </c>
      <c r="CY312" s="14">
        <f>ROUND(IF(CD312=0,0,HLOOKUP(CD$14,Villagers!$B$1:$V$33,CD312+3,FALSE)),)</f>
        <v>0</v>
      </c>
      <c r="CZ312" s="14">
        <f>ROUND(IF(CE312=0,0,HLOOKUP(CE$14,Villagers!$B$1:$V$33,CE312+3,FALSE)),)</f>
        <v>5</v>
      </c>
      <c r="DA312" s="14">
        <f>ROUND(IF(CF312=0,0,HLOOKUP(CF$14,Villagers!$B$1:$V$33,CF312+3,FALSE)),)</f>
        <v>10</v>
      </c>
      <c r="DB312" s="14">
        <f>ROUND(IF(CG312=0,0,HLOOKUP(CG$14,Villagers!$B$1:$V$33,CG312+3,FALSE)),)</f>
        <v>10</v>
      </c>
      <c r="DC312" s="14">
        <f>ROUND(IF(CH312=0,0,HLOOKUP(CH$14,Villagers!$B$1:$V$33,CH312+3,FALSE)),)</f>
        <v>0</v>
      </c>
      <c r="DD312" s="14">
        <f>ROUND(IF(CI312=0,0,HLOOKUP(CI$14,Villagers!$B$1:$V$33,CI312+3,FALSE)),)</f>
        <v>0</v>
      </c>
      <c r="DE312" s="14">
        <f>ROUND(IF(CJ312=0,0,HLOOKUP(CJ$14,Villagers!$B$1:$V$33,CJ312+3,FALSE)),)</f>
        <v>2</v>
      </c>
      <c r="DF312" s="370">
        <f>ROUND(IF(CK312=0,0,HLOOKUP(CK$14,Villagers!$B$1:$V$33,CK312+3,FALSE)),)</f>
        <v>0</v>
      </c>
      <c r="DG312" s="370">
        <f>ROUND(IF(CL312=0,0,HLOOKUP(CL$14,Villagers!$B$1:$V$33,CL312+3,FALSE)),)</f>
        <v>0</v>
      </c>
      <c r="DH312" s="34">
        <f>ROUND(IF(CM312=0,0,HLOOKUP(CM$14,Villagers!$B$1:$V$33,CM312+3,FALSE)),)</f>
        <v>0</v>
      </c>
      <c r="DI312" s="109">
        <f t="shared" si="426"/>
        <v>0</v>
      </c>
      <c r="DJ312" s="50">
        <f t="shared" si="427"/>
        <v>0</v>
      </c>
      <c r="DK312" s="50">
        <f t="shared" si="428"/>
        <v>0</v>
      </c>
      <c r="DL312" s="50">
        <f t="shared" si="429"/>
        <v>0</v>
      </c>
      <c r="DM312" s="50">
        <f t="shared" si="430"/>
        <v>0</v>
      </c>
      <c r="DN312" s="50">
        <f t="shared" si="431"/>
        <v>0</v>
      </c>
      <c r="DO312" s="50">
        <f t="shared" si="432"/>
        <v>0</v>
      </c>
      <c r="DP312" s="50">
        <f t="shared" si="433"/>
        <v>0</v>
      </c>
      <c r="DQ312" s="50">
        <f t="shared" si="411"/>
        <v>0</v>
      </c>
      <c r="DR312" s="50">
        <f t="shared" si="412"/>
        <v>0</v>
      </c>
      <c r="DS312" s="96">
        <f>Miscelaneous!$D$4*Miscelaneous!$D$2^($CI312-1)</f>
        <v>1000</v>
      </c>
      <c r="DT312" s="333">
        <f t="shared" si="393"/>
        <v>1</v>
      </c>
      <c r="DU312" s="81">
        <v>1</v>
      </c>
      <c r="DV312" s="79">
        <f t="shared" si="413"/>
        <v>0</v>
      </c>
      <c r="DW312" s="79">
        <f t="shared" si="414"/>
        <v>0</v>
      </c>
      <c r="DX312" s="79">
        <f t="shared" si="415"/>
        <v>0</v>
      </c>
      <c r="DY312" s="79">
        <v>1</v>
      </c>
      <c r="DZ312" s="79">
        <f t="shared" si="416"/>
        <v>0</v>
      </c>
      <c r="EA312" s="79">
        <f t="shared" si="417"/>
        <v>0</v>
      </c>
      <c r="EB312" s="79">
        <f t="shared" si="418"/>
        <v>0</v>
      </c>
      <c r="EC312" s="79">
        <f t="shared" si="419"/>
        <v>0</v>
      </c>
      <c r="ED312" s="79">
        <v>1</v>
      </c>
      <c r="EE312" s="79">
        <v>1</v>
      </c>
      <c r="EF312" s="79">
        <f t="shared" si="420"/>
        <v>0</v>
      </c>
      <c r="EG312" s="79">
        <v>1</v>
      </c>
      <c r="EH312" s="79">
        <v>1</v>
      </c>
      <c r="EI312" s="79">
        <v>1</v>
      </c>
      <c r="EJ312" s="79">
        <v>1</v>
      </c>
      <c r="EK312" s="79">
        <v>1</v>
      </c>
      <c r="EL312" s="79">
        <v>1</v>
      </c>
      <c r="EM312" s="143">
        <f t="shared" si="421"/>
        <v>0</v>
      </c>
      <c r="EN312" s="143">
        <f t="shared" si="422"/>
        <v>0</v>
      </c>
      <c r="EO312" s="82">
        <f t="shared" si="423"/>
        <v>0</v>
      </c>
    </row>
    <row r="313" spans="1:145" x14ac:dyDescent="0.25">
      <c r="A313">
        <v>299</v>
      </c>
      <c r="B313" s="172" t="e">
        <f t="shared" si="394"/>
        <v>#N/A</v>
      </c>
      <c r="C313" s="121" t="e">
        <f t="shared" si="373"/>
        <v>#N/A</v>
      </c>
      <c r="D313" s="122" t="e">
        <f t="shared" si="374"/>
        <v>#N/A</v>
      </c>
      <c r="E313" s="122" t="e">
        <f t="shared" si="375"/>
        <v>#N/A</v>
      </c>
      <c r="F313" s="176" t="e">
        <f t="shared" si="376"/>
        <v>#N/A</v>
      </c>
      <c r="G313" s="121">
        <f t="shared" si="395"/>
        <v>208</v>
      </c>
      <c r="H313" s="176" t="e">
        <f t="shared" si="396"/>
        <v>#N/A</v>
      </c>
      <c r="I313" s="48">
        <v>1</v>
      </c>
      <c r="J313" s="39"/>
      <c r="K313" s="350">
        <v>1</v>
      </c>
      <c r="L313" s="34" t="e">
        <f t="shared" si="377"/>
        <v>#N/A</v>
      </c>
      <c r="M313" s="38" t="e">
        <f>(HLOOKUP(J313,'Construction Times'!$B$3:$W$34,L313+2,FALSE)*HLOOKUP("hq modifier",'Construction Times'!$W$3:$W$34,BS313+2,FALSE))*(1-$H$9)</f>
        <v>#N/A</v>
      </c>
      <c r="N313" s="443" t="e">
        <f t="shared" si="397"/>
        <v>#N/A</v>
      </c>
      <c r="O313" s="444"/>
      <c r="P313" s="447" t="e">
        <f t="shared" si="398"/>
        <v>#N/A</v>
      </c>
      <c r="Q313" s="448"/>
      <c r="R313" s="103">
        <f t="shared" si="424"/>
        <v>0</v>
      </c>
      <c r="S313" s="104">
        <f t="shared" si="424"/>
        <v>0</v>
      </c>
      <c r="T313" s="104">
        <f t="shared" si="425"/>
        <v>0</v>
      </c>
      <c r="U313" s="104">
        <f t="shared" si="425"/>
        <v>0</v>
      </c>
      <c r="V313" s="104">
        <f t="shared" si="425"/>
        <v>9.9999999999999995E-8</v>
      </c>
      <c r="W313" s="104">
        <f t="shared" si="425"/>
        <v>0</v>
      </c>
      <c r="X313" s="104">
        <f t="shared" si="455"/>
        <v>0</v>
      </c>
      <c r="Y313" s="104">
        <f t="shared" si="455"/>
        <v>9.9999999999999995E-8</v>
      </c>
      <c r="Z313" s="104">
        <f t="shared" si="455"/>
        <v>9.9999999999999995E-8</v>
      </c>
      <c r="AA313" s="105">
        <f t="shared" si="455"/>
        <v>9.9999999999999995E-8</v>
      </c>
      <c r="AB313" s="101" t="e">
        <f>$DT313*HLOOKUP($J313,'Construction Costs (timber)'!$B$1:$V$32,'Construction Planner'!$L313+2,FALSE)</f>
        <v>#N/A</v>
      </c>
      <c r="AC313" s="14" t="e">
        <f>$DT313*HLOOKUP($J313,'Construction Costs (clay)'!$B$1:$V$32,'Construction Planner'!$L313+2,FALSE)</f>
        <v>#N/A</v>
      </c>
      <c r="AD313" s="14" t="e">
        <f>$DT313*HLOOKUP($J313,'Construction Costs (iron)'!$B$1:$V$32,'Construction Planner'!$L313+2,FALSE)</f>
        <v>#N/A</v>
      </c>
      <c r="AE313" s="34" t="e">
        <f t="shared" si="434"/>
        <v>#N/A</v>
      </c>
      <c r="AF313" s="33" t="e">
        <f t="shared" si="378"/>
        <v>#N/A</v>
      </c>
      <c r="AG313" s="14" t="e">
        <f t="shared" si="379"/>
        <v>#N/A</v>
      </c>
      <c r="AH313" s="14" t="e">
        <f t="shared" si="380"/>
        <v>#N/A</v>
      </c>
      <c r="AI313" s="34" t="e">
        <f t="shared" si="435"/>
        <v>#N/A</v>
      </c>
      <c r="AJ313" s="49" t="e">
        <f t="shared" si="399"/>
        <v>#N/A</v>
      </c>
      <c r="AK313" s="49" t="e">
        <f t="shared" si="400"/>
        <v>#N/A</v>
      </c>
      <c r="AL313" s="49" t="e">
        <f t="shared" si="401"/>
        <v>#N/A</v>
      </c>
      <c r="AM313" s="25">
        <f t="shared" si="381"/>
        <v>30</v>
      </c>
      <c r="AN313" s="25">
        <f t="shared" si="382"/>
        <v>30</v>
      </c>
      <c r="AO313" s="25">
        <f t="shared" si="383"/>
        <v>30</v>
      </c>
      <c r="AP313" s="52" t="e">
        <f t="shared" si="402"/>
        <v>#N/A</v>
      </c>
      <c r="AQ313" s="53" t="e">
        <f t="shared" si="402"/>
        <v>#N/A</v>
      </c>
      <c r="AR313" s="54" t="e">
        <f t="shared" si="402"/>
        <v>#N/A</v>
      </c>
      <c r="AS313" s="316">
        <f t="shared" si="457"/>
        <v>0</v>
      </c>
      <c r="AT313" s="106">
        <f>_xlfn.IFNA($M313/VLOOKUP($BT313,'Unit information'!$A$2:$K$29,2,FALSE)*R313,0)*(1+$E$9)</f>
        <v>0</v>
      </c>
      <c r="AU313" s="107">
        <f>_xlfn.IFNA($M313/VLOOKUP($BT313,'Unit information'!$A$2:$K$29,3,FALSE)*S313,0)*(1+$E$9)</f>
        <v>0</v>
      </c>
      <c r="AV313" s="107">
        <f>_xlfn.IFNA($M313/VLOOKUP($BT313,'Unit information'!$A$2:$K$29,4,FALSE)*T313,0)*(1+$E$9)</f>
        <v>0</v>
      </c>
      <c r="AW313" s="107">
        <f>_xlfn.IFNA($M313/VLOOKUP($BT313,'Unit information'!$A$2:$K$29,5,FALSE)*U313,0)*(1+$E$9)</f>
        <v>0</v>
      </c>
      <c r="AX313" s="107">
        <f>_xlfn.IFNA($M313/VLOOKUP($BU313,'Unit information'!$A$2:$K$29,6,FALSE)*V313,0)*(1+$E$9)</f>
        <v>0</v>
      </c>
      <c r="AY313" s="107">
        <f>_xlfn.IFNA($M313/VLOOKUP($BU313,'Unit information'!$A$2:$K$29,7,FALSE)*W313,0)*(1+$E$9)</f>
        <v>0</v>
      </c>
      <c r="AZ313" s="107">
        <f>_xlfn.IFNA($M313/VLOOKUP($BU313,'Unit information'!$A$2:$K$29,8,FALSE)*X313,0)*(1+$E$9)</f>
        <v>0</v>
      </c>
      <c r="BA313" s="107">
        <f>_xlfn.IFNA($M313/VLOOKUP($BU313,'Unit information'!$A$2:$K$29,9,FALSE)*Y313,0)*(1+$E$9)</f>
        <v>0</v>
      </c>
      <c r="BB313" s="107">
        <f>_xlfn.IFNA($M313/VLOOKUP($BV313,'Unit information'!$A$2:$K$29,10,FALSE)*Z313,0)*(1+$E$9)</f>
        <v>0</v>
      </c>
      <c r="BC313" s="108">
        <f>_xlfn.IFNA($M313/VLOOKUP($BV313,'Unit information'!$A$2:$K$29,11,FALSE)*AA313,0)*(1+$E$9)</f>
        <v>0</v>
      </c>
      <c r="BD313" s="106">
        <f t="shared" si="384"/>
        <v>0</v>
      </c>
      <c r="BE313" s="107">
        <f t="shared" si="385"/>
        <v>0</v>
      </c>
      <c r="BF313" s="108">
        <f t="shared" si="386"/>
        <v>0</v>
      </c>
      <c r="BG313" s="25" t="e">
        <f t="shared" si="387"/>
        <v>#N/A</v>
      </c>
      <c r="BH313" s="25" t="e">
        <f t="shared" si="388"/>
        <v>#N/A</v>
      </c>
      <c r="BI313" s="25" t="e">
        <f t="shared" si="389"/>
        <v>#N/A</v>
      </c>
      <c r="BJ313" s="27" t="e">
        <f t="shared" si="390"/>
        <v>#N/A</v>
      </c>
      <c r="BK313" s="18" t="e">
        <f t="shared" si="391"/>
        <v>#N/A</v>
      </c>
      <c r="BL313" s="18" t="e">
        <f t="shared" si="392"/>
        <v>#N/A</v>
      </c>
      <c r="BM313" s="28" t="e">
        <f t="shared" si="437"/>
        <v>#N/A</v>
      </c>
      <c r="BN313" s="33">
        <f>HLOOKUP("maximum population",Miscelaneous!$C$1:$C$33,CH313+3,FALSE)</f>
        <v>240</v>
      </c>
      <c r="BO313" s="14">
        <f t="shared" si="403"/>
        <v>32</v>
      </c>
      <c r="BP313" s="14">
        <f t="shared" si="404"/>
        <v>0</v>
      </c>
      <c r="BQ313" s="14">
        <f t="shared" si="405"/>
        <v>208</v>
      </c>
      <c r="BR313" s="34" t="e">
        <f>HLOOKUP(J313,Villagers!$B$1:$V$33,L313+3,FALSE)-HLOOKUP(J313,Villagers!$B$1:$V$33,L313+2,FALSE)</f>
        <v>#N/A</v>
      </c>
      <c r="BS313" s="49">
        <f t="shared" si="406"/>
        <v>1</v>
      </c>
      <c r="BT313" s="50">
        <f t="shared" si="407"/>
        <v>0</v>
      </c>
      <c r="BU313" s="50">
        <f t="shared" si="408"/>
        <v>0</v>
      </c>
      <c r="BV313" s="50">
        <f t="shared" si="409"/>
        <v>0</v>
      </c>
      <c r="BW313" s="50">
        <f t="shared" si="458"/>
        <v>0</v>
      </c>
      <c r="BX313" s="50">
        <f t="shared" si="459"/>
        <v>0</v>
      </c>
      <c r="BY313" s="50">
        <f t="shared" si="459"/>
        <v>0</v>
      </c>
      <c r="BZ313" s="50">
        <f t="shared" si="440"/>
        <v>0</v>
      </c>
      <c r="CA313" s="50">
        <f t="shared" si="441"/>
        <v>0</v>
      </c>
      <c r="CB313" s="50">
        <f t="shared" si="442"/>
        <v>1</v>
      </c>
      <c r="CC313" s="50">
        <f t="shared" si="443"/>
        <v>0</v>
      </c>
      <c r="CD313" s="50">
        <f t="shared" si="444"/>
        <v>0</v>
      </c>
      <c r="CE313" s="50">
        <f t="shared" si="445"/>
        <v>1</v>
      </c>
      <c r="CF313" s="50">
        <f t="shared" si="446"/>
        <v>1</v>
      </c>
      <c r="CG313" s="50">
        <f t="shared" si="447"/>
        <v>1</v>
      </c>
      <c r="CH313" s="50">
        <f t="shared" si="448"/>
        <v>1</v>
      </c>
      <c r="CI313" s="50">
        <f t="shared" si="449"/>
        <v>1</v>
      </c>
      <c r="CJ313" s="50">
        <f t="shared" si="450"/>
        <v>1</v>
      </c>
      <c r="CK313" s="50">
        <f t="shared" si="450"/>
        <v>0</v>
      </c>
      <c r="CL313" s="50">
        <f t="shared" si="450"/>
        <v>0</v>
      </c>
      <c r="CM313" s="51">
        <f t="shared" si="368"/>
        <v>0</v>
      </c>
      <c r="CN313" s="33">
        <f>ROUND(IF(BS313=0,0,HLOOKUP(BS$14,Villagers!$B$1:$V$33,BS313+3,FALSE)),)</f>
        <v>5</v>
      </c>
      <c r="CO313" s="14">
        <f>ROUND(IF(BT313=0,0,HLOOKUP(BT$14,Villagers!$B$1:$V$33,BT313+3,FALSE)),)</f>
        <v>0</v>
      </c>
      <c r="CP313" s="14">
        <f>ROUND(IF(BU313=0,0,HLOOKUP(BU$14,Villagers!$B$1:$V$33,BU313+3,FALSE)),)</f>
        <v>0</v>
      </c>
      <c r="CQ313" s="14">
        <f>ROUND(IF(BV313=0,0,HLOOKUP(BV$14,Villagers!$B$1:$V$33,BV313+3,FALSE)),)</f>
        <v>0</v>
      </c>
      <c r="CR313" s="14">
        <f>ROUND(IF(BW313=0,0,HLOOKUP(BW$14,Villagers!$B$1:$V$33,BW313+3,FALSE)),)</f>
        <v>0</v>
      </c>
      <c r="CS313" s="14">
        <f>ROUND(IF(BX313=0,0,HLOOKUP(BX$14,Villagers!$B$1:$V$33,BX313+3,FALSE)),)</f>
        <v>0</v>
      </c>
      <c r="CT313" s="14">
        <f>ROUND(IF(BY313=0,0,HLOOKUP(BY$14,Villagers!$B$1:$V$33,BY313+3,FALSE)),)</f>
        <v>0</v>
      </c>
      <c r="CU313" s="14">
        <f>ROUND(IF(BZ313=0,0,HLOOKUP(BZ$14,Villagers!$B$1:$V$33,BZ313+3,FALSE)),)</f>
        <v>0</v>
      </c>
      <c r="CV313" s="14">
        <f>ROUND(IF(CA313=0,0,HLOOKUP(CA$14,Villagers!$B$1:$V$33,CA313+3,FALSE)),)</f>
        <v>0</v>
      </c>
      <c r="CW313" s="14">
        <f>ROUND(IF(CB313=0,0,HLOOKUP(CB$14,Villagers!$B$1:$V$33,CB313+3,FALSE)),)</f>
        <v>0</v>
      </c>
      <c r="CX313" s="14">
        <f>ROUND(IF(CC313=0,0,HLOOKUP(CC$14,Villagers!$B$1:$V$33,CC313+3,FALSE)),)</f>
        <v>0</v>
      </c>
      <c r="CY313" s="14">
        <f>ROUND(IF(CD313=0,0,HLOOKUP(CD$14,Villagers!$B$1:$V$33,CD313+3,FALSE)),)</f>
        <v>0</v>
      </c>
      <c r="CZ313" s="14">
        <f>ROUND(IF(CE313=0,0,HLOOKUP(CE$14,Villagers!$B$1:$V$33,CE313+3,FALSE)),)</f>
        <v>5</v>
      </c>
      <c r="DA313" s="14">
        <f>ROUND(IF(CF313=0,0,HLOOKUP(CF$14,Villagers!$B$1:$V$33,CF313+3,FALSE)),)</f>
        <v>10</v>
      </c>
      <c r="DB313" s="14">
        <f>ROUND(IF(CG313=0,0,HLOOKUP(CG$14,Villagers!$B$1:$V$33,CG313+3,FALSE)),)</f>
        <v>10</v>
      </c>
      <c r="DC313" s="14">
        <f>ROUND(IF(CH313=0,0,HLOOKUP(CH$14,Villagers!$B$1:$V$33,CH313+3,FALSE)),)</f>
        <v>0</v>
      </c>
      <c r="DD313" s="14">
        <f>ROUND(IF(CI313=0,0,HLOOKUP(CI$14,Villagers!$B$1:$V$33,CI313+3,FALSE)),)</f>
        <v>0</v>
      </c>
      <c r="DE313" s="14">
        <f>ROUND(IF(CJ313=0,0,HLOOKUP(CJ$14,Villagers!$B$1:$V$33,CJ313+3,FALSE)),)</f>
        <v>2</v>
      </c>
      <c r="DF313" s="370">
        <f>ROUND(IF(CK313=0,0,HLOOKUP(CK$14,Villagers!$B$1:$V$33,CK313+3,FALSE)),)</f>
        <v>0</v>
      </c>
      <c r="DG313" s="370">
        <f>ROUND(IF(CL313=0,0,HLOOKUP(CL$14,Villagers!$B$1:$V$33,CL313+3,FALSE)),)</f>
        <v>0</v>
      </c>
      <c r="DH313" s="34">
        <f>ROUND(IF(CM313=0,0,HLOOKUP(CM$14,Villagers!$B$1:$V$33,CM313+3,FALSE)),)</f>
        <v>0</v>
      </c>
      <c r="DI313" s="109">
        <f t="shared" si="426"/>
        <v>0</v>
      </c>
      <c r="DJ313" s="50">
        <f t="shared" si="427"/>
        <v>0</v>
      </c>
      <c r="DK313" s="50">
        <f t="shared" si="428"/>
        <v>0</v>
      </c>
      <c r="DL313" s="50">
        <f t="shared" si="429"/>
        <v>0</v>
      </c>
      <c r="DM313" s="50">
        <f t="shared" si="430"/>
        <v>0</v>
      </c>
      <c r="DN313" s="50">
        <f t="shared" si="431"/>
        <v>0</v>
      </c>
      <c r="DO313" s="50">
        <f t="shared" si="432"/>
        <v>0</v>
      </c>
      <c r="DP313" s="50">
        <f t="shared" si="433"/>
        <v>0</v>
      </c>
      <c r="DQ313" s="50">
        <f t="shared" si="411"/>
        <v>0</v>
      </c>
      <c r="DR313" s="50">
        <f t="shared" si="412"/>
        <v>0</v>
      </c>
      <c r="DS313" s="96">
        <f>Miscelaneous!$D$4*Miscelaneous!$D$2^($CI313-1)</f>
        <v>1000</v>
      </c>
      <c r="DT313" s="333">
        <f t="shared" si="393"/>
        <v>1</v>
      </c>
      <c r="DU313" s="81">
        <v>1</v>
      </c>
      <c r="DV313" s="79">
        <f t="shared" si="413"/>
        <v>0</v>
      </c>
      <c r="DW313" s="79">
        <f t="shared" si="414"/>
        <v>0</v>
      </c>
      <c r="DX313" s="79">
        <f t="shared" si="415"/>
        <v>0</v>
      </c>
      <c r="DY313" s="79">
        <v>1</v>
      </c>
      <c r="DZ313" s="79">
        <f t="shared" si="416"/>
        <v>0</v>
      </c>
      <c r="EA313" s="79">
        <f t="shared" si="417"/>
        <v>0</v>
      </c>
      <c r="EB313" s="79">
        <f t="shared" si="418"/>
        <v>0</v>
      </c>
      <c r="EC313" s="79">
        <f t="shared" si="419"/>
        <v>0</v>
      </c>
      <c r="ED313" s="79">
        <v>1</v>
      </c>
      <c r="EE313" s="79">
        <v>1</v>
      </c>
      <c r="EF313" s="79">
        <f t="shared" si="420"/>
        <v>0</v>
      </c>
      <c r="EG313" s="79">
        <v>1</v>
      </c>
      <c r="EH313" s="79">
        <v>1</v>
      </c>
      <c r="EI313" s="79">
        <v>1</v>
      </c>
      <c r="EJ313" s="79">
        <v>1</v>
      </c>
      <c r="EK313" s="79">
        <v>1</v>
      </c>
      <c r="EL313" s="79">
        <v>1</v>
      </c>
      <c r="EM313" s="143">
        <f t="shared" si="421"/>
        <v>0</v>
      </c>
      <c r="EN313" s="143">
        <f t="shared" si="422"/>
        <v>0</v>
      </c>
      <c r="EO313" s="82">
        <f t="shared" si="423"/>
        <v>0</v>
      </c>
    </row>
    <row r="314" spans="1:145" x14ac:dyDescent="0.25">
      <c r="A314">
        <v>300</v>
      </c>
      <c r="B314" s="172" t="e">
        <f t="shared" si="394"/>
        <v>#N/A</v>
      </c>
      <c r="C314" s="121" t="e">
        <f t="shared" si="373"/>
        <v>#N/A</v>
      </c>
      <c r="D314" s="122" t="e">
        <f t="shared" si="374"/>
        <v>#N/A</v>
      </c>
      <c r="E314" s="122" t="e">
        <f t="shared" si="375"/>
        <v>#N/A</v>
      </c>
      <c r="F314" s="176" t="e">
        <f t="shared" si="376"/>
        <v>#N/A</v>
      </c>
      <c r="G314" s="121">
        <f t="shared" si="395"/>
        <v>208</v>
      </c>
      <c r="H314" s="176" t="e">
        <f t="shared" si="396"/>
        <v>#N/A</v>
      </c>
      <c r="I314" s="48">
        <v>1</v>
      </c>
      <c r="J314" s="39"/>
      <c r="K314" s="350">
        <v>1</v>
      </c>
      <c r="L314" s="34" t="e">
        <f t="shared" si="377"/>
        <v>#N/A</v>
      </c>
      <c r="M314" s="38" t="e">
        <f>(HLOOKUP(J314,'Construction Times'!$B$3:$W$34,L314+2,FALSE)*HLOOKUP("hq modifier",'Construction Times'!$W$3:$W$34,BS314+2,FALSE))*(1-$H$9)</f>
        <v>#N/A</v>
      </c>
      <c r="N314" s="443" t="e">
        <f t="shared" si="397"/>
        <v>#N/A</v>
      </c>
      <c r="O314" s="444"/>
      <c r="P314" s="447" t="e">
        <f t="shared" si="398"/>
        <v>#N/A</v>
      </c>
      <c r="Q314" s="448"/>
      <c r="R314" s="103">
        <f t="shared" si="424"/>
        <v>0</v>
      </c>
      <c r="S314" s="104">
        <f t="shared" si="424"/>
        <v>0</v>
      </c>
      <c r="T314" s="104">
        <f t="shared" si="425"/>
        <v>0</v>
      </c>
      <c r="U314" s="104">
        <f t="shared" si="425"/>
        <v>0</v>
      </c>
      <c r="V314" s="104">
        <f t="shared" si="425"/>
        <v>9.9999999999999995E-8</v>
      </c>
      <c r="W314" s="104">
        <f t="shared" si="425"/>
        <v>0</v>
      </c>
      <c r="X314" s="104">
        <f t="shared" si="455"/>
        <v>0</v>
      </c>
      <c r="Y314" s="104">
        <f t="shared" si="455"/>
        <v>9.9999999999999995E-8</v>
      </c>
      <c r="Z314" s="104">
        <f t="shared" si="455"/>
        <v>9.9999999999999995E-8</v>
      </c>
      <c r="AA314" s="105">
        <f t="shared" si="455"/>
        <v>9.9999999999999995E-8</v>
      </c>
      <c r="AB314" s="101" t="e">
        <f>$DT314*HLOOKUP($J314,'Construction Costs (timber)'!$B$1:$V$32,'Construction Planner'!$L314+2,FALSE)</f>
        <v>#N/A</v>
      </c>
      <c r="AC314" s="14" t="e">
        <f>$DT314*HLOOKUP($J314,'Construction Costs (clay)'!$B$1:$V$32,'Construction Planner'!$L314+2,FALSE)</f>
        <v>#N/A</v>
      </c>
      <c r="AD314" s="14" t="e">
        <f>$DT314*HLOOKUP($J314,'Construction Costs (iron)'!$B$1:$V$32,'Construction Planner'!$L314+2,FALSE)</f>
        <v>#N/A</v>
      </c>
      <c r="AE314" s="34" t="e">
        <f t="shared" si="434"/>
        <v>#N/A</v>
      </c>
      <c r="AF314" s="33" t="e">
        <f t="shared" si="378"/>
        <v>#N/A</v>
      </c>
      <c r="AG314" s="14" t="e">
        <f t="shared" si="379"/>
        <v>#N/A</v>
      </c>
      <c r="AH314" s="14" t="e">
        <f t="shared" si="380"/>
        <v>#N/A</v>
      </c>
      <c r="AI314" s="34" t="e">
        <f t="shared" si="435"/>
        <v>#N/A</v>
      </c>
      <c r="AJ314" s="49" t="e">
        <f t="shared" si="399"/>
        <v>#N/A</v>
      </c>
      <c r="AK314" s="49" t="e">
        <f t="shared" si="400"/>
        <v>#N/A</v>
      </c>
      <c r="AL314" s="49" t="e">
        <f t="shared" si="401"/>
        <v>#N/A</v>
      </c>
      <c r="AM314" s="25">
        <f t="shared" si="381"/>
        <v>30</v>
      </c>
      <c r="AN314" s="25">
        <f t="shared" si="382"/>
        <v>30</v>
      </c>
      <c r="AO314" s="25">
        <f t="shared" si="383"/>
        <v>30</v>
      </c>
      <c r="AP314" s="52" t="e">
        <f t="shared" si="402"/>
        <v>#N/A</v>
      </c>
      <c r="AQ314" s="53" t="e">
        <f t="shared" si="402"/>
        <v>#N/A</v>
      </c>
      <c r="AR314" s="54" t="e">
        <f t="shared" si="402"/>
        <v>#N/A</v>
      </c>
      <c r="AS314" s="316">
        <f t="shared" si="457"/>
        <v>0</v>
      </c>
      <c r="AT314" s="106">
        <f>_xlfn.IFNA($M314/VLOOKUP($BT314,'Unit information'!$A$2:$K$29,2,FALSE)*R314,0)*(1+$E$9)</f>
        <v>0</v>
      </c>
      <c r="AU314" s="107">
        <f>_xlfn.IFNA($M314/VLOOKUP($BT314,'Unit information'!$A$2:$K$29,3,FALSE)*S314,0)*(1+$E$9)</f>
        <v>0</v>
      </c>
      <c r="AV314" s="107">
        <f>_xlfn.IFNA($M314/VLOOKUP($BT314,'Unit information'!$A$2:$K$29,4,FALSE)*T314,0)*(1+$E$9)</f>
        <v>0</v>
      </c>
      <c r="AW314" s="107">
        <f>_xlfn.IFNA($M314/VLOOKUP($BT314,'Unit information'!$A$2:$K$29,5,FALSE)*U314,0)*(1+$E$9)</f>
        <v>0</v>
      </c>
      <c r="AX314" s="107">
        <f>_xlfn.IFNA($M314/VLOOKUP($BU314,'Unit information'!$A$2:$K$29,6,FALSE)*V314,0)*(1+$E$9)</f>
        <v>0</v>
      </c>
      <c r="AY314" s="107">
        <f>_xlfn.IFNA($M314/VLOOKUP($BU314,'Unit information'!$A$2:$K$29,7,FALSE)*W314,0)*(1+$E$9)</f>
        <v>0</v>
      </c>
      <c r="AZ314" s="107">
        <f>_xlfn.IFNA($M314/VLOOKUP($BU314,'Unit information'!$A$2:$K$29,8,FALSE)*X314,0)*(1+$E$9)</f>
        <v>0</v>
      </c>
      <c r="BA314" s="107">
        <f>_xlfn.IFNA($M314/VLOOKUP($BU314,'Unit information'!$A$2:$K$29,9,FALSE)*Y314,0)*(1+$E$9)</f>
        <v>0</v>
      </c>
      <c r="BB314" s="107">
        <f>_xlfn.IFNA($M314/VLOOKUP($BV314,'Unit information'!$A$2:$K$29,10,FALSE)*Z314,0)*(1+$E$9)</f>
        <v>0</v>
      </c>
      <c r="BC314" s="108">
        <f>_xlfn.IFNA($M314/VLOOKUP($BV314,'Unit information'!$A$2:$K$29,11,FALSE)*AA314,0)*(1+$E$9)</f>
        <v>0</v>
      </c>
      <c r="BD314" s="106">
        <f t="shared" si="384"/>
        <v>0</v>
      </c>
      <c r="BE314" s="107">
        <f t="shared" si="385"/>
        <v>0</v>
      </c>
      <c r="BF314" s="108">
        <f t="shared" si="386"/>
        <v>0</v>
      </c>
      <c r="BG314" s="25" t="e">
        <f t="shared" si="387"/>
        <v>#N/A</v>
      </c>
      <c r="BH314" s="25" t="e">
        <f t="shared" si="388"/>
        <v>#N/A</v>
      </c>
      <c r="BI314" s="25" t="e">
        <f t="shared" si="389"/>
        <v>#N/A</v>
      </c>
      <c r="BJ314" s="27" t="e">
        <f t="shared" si="390"/>
        <v>#N/A</v>
      </c>
      <c r="BK314" s="18" t="e">
        <f t="shared" si="391"/>
        <v>#N/A</v>
      </c>
      <c r="BL314" s="18" t="e">
        <f t="shared" si="392"/>
        <v>#N/A</v>
      </c>
      <c r="BM314" s="28" t="e">
        <f t="shared" si="437"/>
        <v>#N/A</v>
      </c>
      <c r="BN314" s="33">
        <f>HLOOKUP("maximum population",Miscelaneous!$C$1:$C$33,CH314+3,FALSE)</f>
        <v>240</v>
      </c>
      <c r="BO314" s="14">
        <f t="shared" si="403"/>
        <v>32</v>
      </c>
      <c r="BP314" s="14">
        <f t="shared" si="404"/>
        <v>0</v>
      </c>
      <c r="BQ314" s="14">
        <f t="shared" si="405"/>
        <v>208</v>
      </c>
      <c r="BR314" s="34" t="e">
        <f>HLOOKUP(J314,Villagers!$B$1:$V$33,L314+3,FALSE)-HLOOKUP(J314,Villagers!$B$1:$V$33,L314+2,FALSE)</f>
        <v>#N/A</v>
      </c>
      <c r="BS314" s="49">
        <f t="shared" si="406"/>
        <v>1</v>
      </c>
      <c r="BT314" s="50">
        <f t="shared" si="407"/>
        <v>0</v>
      </c>
      <c r="BU314" s="50">
        <f t="shared" si="408"/>
        <v>0</v>
      </c>
      <c r="BV314" s="50">
        <f t="shared" si="409"/>
        <v>0</v>
      </c>
      <c r="BW314" s="50">
        <f t="shared" si="458"/>
        <v>0</v>
      </c>
      <c r="BX314" s="50">
        <f t="shared" si="459"/>
        <v>0</v>
      </c>
      <c r="BY314" s="50">
        <f t="shared" si="459"/>
        <v>0</v>
      </c>
      <c r="BZ314" s="50">
        <f t="shared" si="440"/>
        <v>0</v>
      </c>
      <c r="CA314" s="50">
        <f t="shared" si="441"/>
        <v>0</v>
      </c>
      <c r="CB314" s="50">
        <f t="shared" si="442"/>
        <v>1</v>
      </c>
      <c r="CC314" s="50">
        <f t="shared" si="443"/>
        <v>0</v>
      </c>
      <c r="CD314" s="50">
        <f t="shared" si="444"/>
        <v>0</v>
      </c>
      <c r="CE314" s="50">
        <f t="shared" si="445"/>
        <v>1</v>
      </c>
      <c r="CF314" s="50">
        <f t="shared" si="446"/>
        <v>1</v>
      </c>
      <c r="CG314" s="50">
        <f t="shared" si="447"/>
        <v>1</v>
      </c>
      <c r="CH314" s="50">
        <f t="shared" si="448"/>
        <v>1</v>
      </c>
      <c r="CI314" s="50">
        <f t="shared" si="449"/>
        <v>1</v>
      </c>
      <c r="CJ314" s="50">
        <f t="shared" si="450"/>
        <v>1</v>
      </c>
      <c r="CK314" s="50">
        <f t="shared" si="450"/>
        <v>0</v>
      </c>
      <c r="CL314" s="50">
        <f t="shared" si="450"/>
        <v>0</v>
      </c>
      <c r="CM314" s="51">
        <f t="shared" si="368"/>
        <v>0</v>
      </c>
      <c r="CN314" s="33">
        <f>ROUND(IF(BS314=0,0,HLOOKUP(BS$14,Villagers!$B$1:$V$33,BS314+3,FALSE)),)</f>
        <v>5</v>
      </c>
      <c r="CO314" s="14">
        <f>ROUND(IF(BT314=0,0,HLOOKUP(BT$14,Villagers!$B$1:$V$33,BT314+3,FALSE)),)</f>
        <v>0</v>
      </c>
      <c r="CP314" s="14">
        <f>ROUND(IF(BU314=0,0,HLOOKUP(BU$14,Villagers!$B$1:$V$33,BU314+3,FALSE)),)</f>
        <v>0</v>
      </c>
      <c r="CQ314" s="14">
        <f>ROUND(IF(BV314=0,0,HLOOKUP(BV$14,Villagers!$B$1:$V$33,BV314+3,FALSE)),)</f>
        <v>0</v>
      </c>
      <c r="CR314" s="14">
        <f>ROUND(IF(BW314=0,0,HLOOKUP(BW$14,Villagers!$B$1:$V$33,BW314+3,FALSE)),)</f>
        <v>0</v>
      </c>
      <c r="CS314" s="14">
        <f>ROUND(IF(BX314=0,0,HLOOKUP(BX$14,Villagers!$B$1:$V$33,BX314+3,FALSE)),)</f>
        <v>0</v>
      </c>
      <c r="CT314" s="14">
        <f>ROUND(IF(BY314=0,0,HLOOKUP(BY$14,Villagers!$B$1:$V$33,BY314+3,FALSE)),)</f>
        <v>0</v>
      </c>
      <c r="CU314" s="14">
        <f>ROUND(IF(BZ314=0,0,HLOOKUP(BZ$14,Villagers!$B$1:$V$33,BZ314+3,FALSE)),)</f>
        <v>0</v>
      </c>
      <c r="CV314" s="14">
        <f>ROUND(IF(CA314=0,0,HLOOKUP(CA$14,Villagers!$B$1:$V$33,CA314+3,FALSE)),)</f>
        <v>0</v>
      </c>
      <c r="CW314" s="14">
        <f>ROUND(IF(CB314=0,0,HLOOKUP(CB$14,Villagers!$B$1:$V$33,CB314+3,FALSE)),)</f>
        <v>0</v>
      </c>
      <c r="CX314" s="14">
        <f>ROUND(IF(CC314=0,0,HLOOKUP(CC$14,Villagers!$B$1:$V$33,CC314+3,FALSE)),)</f>
        <v>0</v>
      </c>
      <c r="CY314" s="14">
        <f>ROUND(IF(CD314=0,0,HLOOKUP(CD$14,Villagers!$B$1:$V$33,CD314+3,FALSE)),)</f>
        <v>0</v>
      </c>
      <c r="CZ314" s="14">
        <f>ROUND(IF(CE314=0,0,HLOOKUP(CE$14,Villagers!$B$1:$V$33,CE314+3,FALSE)),)</f>
        <v>5</v>
      </c>
      <c r="DA314" s="14">
        <f>ROUND(IF(CF314=0,0,HLOOKUP(CF$14,Villagers!$B$1:$V$33,CF314+3,FALSE)),)</f>
        <v>10</v>
      </c>
      <c r="DB314" s="14">
        <f>ROUND(IF(CG314=0,0,HLOOKUP(CG$14,Villagers!$B$1:$V$33,CG314+3,FALSE)),)</f>
        <v>10</v>
      </c>
      <c r="DC314" s="14">
        <f>ROUND(IF(CH314=0,0,HLOOKUP(CH$14,Villagers!$B$1:$V$33,CH314+3,FALSE)),)</f>
        <v>0</v>
      </c>
      <c r="DD314" s="14">
        <f>ROUND(IF(CI314=0,0,HLOOKUP(CI$14,Villagers!$B$1:$V$33,CI314+3,FALSE)),)</f>
        <v>0</v>
      </c>
      <c r="DE314" s="14">
        <f>ROUND(IF(CJ314=0,0,HLOOKUP(CJ$14,Villagers!$B$1:$V$33,CJ314+3,FALSE)),)</f>
        <v>2</v>
      </c>
      <c r="DF314" s="370">
        <f>ROUND(IF(CK314=0,0,HLOOKUP(CK$14,Villagers!$B$1:$V$33,CK314+3,FALSE)),)</f>
        <v>0</v>
      </c>
      <c r="DG314" s="370">
        <f>ROUND(IF(CL314=0,0,HLOOKUP(CL$14,Villagers!$B$1:$V$33,CL314+3,FALSE)),)</f>
        <v>0</v>
      </c>
      <c r="DH314" s="34">
        <f>ROUND(IF(CM314=0,0,HLOOKUP(CM$14,Villagers!$B$1:$V$33,CM314+3,FALSE)),)</f>
        <v>0</v>
      </c>
      <c r="DI314" s="109">
        <f t="shared" si="426"/>
        <v>0</v>
      </c>
      <c r="DJ314" s="50">
        <f t="shared" si="427"/>
        <v>0</v>
      </c>
      <c r="DK314" s="50">
        <f t="shared" si="428"/>
        <v>0</v>
      </c>
      <c r="DL314" s="50">
        <f t="shared" si="429"/>
        <v>0</v>
      </c>
      <c r="DM314" s="50">
        <f t="shared" si="430"/>
        <v>0</v>
      </c>
      <c r="DN314" s="50">
        <f t="shared" si="431"/>
        <v>0</v>
      </c>
      <c r="DO314" s="50">
        <f t="shared" si="432"/>
        <v>0</v>
      </c>
      <c r="DP314" s="50">
        <f t="shared" si="433"/>
        <v>0</v>
      </c>
      <c r="DQ314" s="50">
        <f t="shared" si="411"/>
        <v>0</v>
      </c>
      <c r="DR314" s="50">
        <f t="shared" si="412"/>
        <v>0</v>
      </c>
      <c r="DS314" s="96">
        <f>Miscelaneous!$D$4*Miscelaneous!$D$2^($CI314-1)</f>
        <v>1000</v>
      </c>
      <c r="DT314" s="333">
        <f t="shared" si="393"/>
        <v>1</v>
      </c>
      <c r="DU314" s="81">
        <v>1</v>
      </c>
      <c r="DV314" s="79">
        <f t="shared" si="413"/>
        <v>0</v>
      </c>
      <c r="DW314" s="79">
        <f t="shared" si="414"/>
        <v>0</v>
      </c>
      <c r="DX314" s="79">
        <f t="shared" si="415"/>
        <v>0</v>
      </c>
      <c r="DY314" s="79">
        <v>1</v>
      </c>
      <c r="DZ314" s="79">
        <f t="shared" si="416"/>
        <v>0</v>
      </c>
      <c r="EA314" s="79">
        <f t="shared" si="417"/>
        <v>0</v>
      </c>
      <c r="EB314" s="79">
        <f t="shared" si="418"/>
        <v>0</v>
      </c>
      <c r="EC314" s="79">
        <f t="shared" si="419"/>
        <v>0</v>
      </c>
      <c r="ED314" s="79">
        <v>1</v>
      </c>
      <c r="EE314" s="79">
        <v>1</v>
      </c>
      <c r="EF314" s="79">
        <f t="shared" si="420"/>
        <v>0</v>
      </c>
      <c r="EG314" s="79">
        <v>1</v>
      </c>
      <c r="EH314" s="79">
        <v>1</v>
      </c>
      <c r="EI314" s="79">
        <v>1</v>
      </c>
      <c r="EJ314" s="79">
        <v>1</v>
      </c>
      <c r="EK314" s="79">
        <v>1</v>
      </c>
      <c r="EL314" s="79">
        <v>1</v>
      </c>
      <c r="EM314" s="143">
        <f t="shared" si="421"/>
        <v>0</v>
      </c>
      <c r="EN314" s="143">
        <f t="shared" si="422"/>
        <v>0</v>
      </c>
      <c r="EO314" s="82">
        <f t="shared" si="423"/>
        <v>0</v>
      </c>
    </row>
    <row r="315" spans="1:145" x14ac:dyDescent="0.25">
      <c r="A315">
        <v>301</v>
      </c>
      <c r="B315" s="172" t="e">
        <f t="shared" si="394"/>
        <v>#N/A</v>
      </c>
      <c r="C315" s="121" t="e">
        <f t="shared" si="373"/>
        <v>#N/A</v>
      </c>
      <c r="D315" s="122" t="e">
        <f t="shared" si="374"/>
        <v>#N/A</v>
      </c>
      <c r="E315" s="122" t="e">
        <f t="shared" si="375"/>
        <v>#N/A</v>
      </c>
      <c r="F315" s="176" t="e">
        <f t="shared" si="376"/>
        <v>#N/A</v>
      </c>
      <c r="G315" s="121">
        <f t="shared" si="395"/>
        <v>208</v>
      </c>
      <c r="H315" s="176" t="e">
        <f t="shared" si="396"/>
        <v>#N/A</v>
      </c>
      <c r="I315" s="48">
        <v>1</v>
      </c>
      <c r="J315" s="39"/>
      <c r="K315" s="350">
        <v>1</v>
      </c>
      <c r="L315" s="34" t="e">
        <f t="shared" si="377"/>
        <v>#N/A</v>
      </c>
      <c r="M315" s="38" t="e">
        <f>(HLOOKUP(J315,'Construction Times'!$B$3:$W$34,L315+2,FALSE)*HLOOKUP("hq modifier",'Construction Times'!$W$3:$W$34,BS315+2,FALSE))*(1-$H$9)</f>
        <v>#N/A</v>
      </c>
      <c r="N315" s="443" t="e">
        <f t="shared" si="397"/>
        <v>#N/A</v>
      </c>
      <c r="O315" s="444"/>
      <c r="P315" s="447" t="e">
        <f t="shared" si="398"/>
        <v>#N/A</v>
      </c>
      <c r="Q315" s="448"/>
      <c r="R315" s="103">
        <f t="shared" si="424"/>
        <v>0</v>
      </c>
      <c r="S315" s="104">
        <f t="shared" si="424"/>
        <v>0</v>
      </c>
      <c r="T315" s="104">
        <f t="shared" si="425"/>
        <v>0</v>
      </c>
      <c r="U315" s="104">
        <f t="shared" si="425"/>
        <v>0</v>
      </c>
      <c r="V315" s="104">
        <f t="shared" si="425"/>
        <v>9.9999999999999995E-8</v>
      </c>
      <c r="W315" s="104">
        <f t="shared" si="425"/>
        <v>0</v>
      </c>
      <c r="X315" s="104">
        <f t="shared" si="455"/>
        <v>0</v>
      </c>
      <c r="Y315" s="104">
        <f t="shared" si="455"/>
        <v>9.9999999999999995E-8</v>
      </c>
      <c r="Z315" s="104">
        <f t="shared" si="455"/>
        <v>9.9999999999999995E-8</v>
      </c>
      <c r="AA315" s="105">
        <f t="shared" si="455"/>
        <v>9.9999999999999995E-8</v>
      </c>
      <c r="AB315" s="101" t="e">
        <f>$DT315*HLOOKUP($J315,'Construction Costs (timber)'!$B$1:$V$32,'Construction Planner'!$L315+2,FALSE)</f>
        <v>#N/A</v>
      </c>
      <c r="AC315" s="14" t="e">
        <f>$DT315*HLOOKUP($J315,'Construction Costs (clay)'!$B$1:$V$32,'Construction Planner'!$L315+2,FALSE)</f>
        <v>#N/A</v>
      </c>
      <c r="AD315" s="14" t="e">
        <f>$DT315*HLOOKUP($J315,'Construction Costs (iron)'!$B$1:$V$32,'Construction Planner'!$L315+2,FALSE)</f>
        <v>#N/A</v>
      </c>
      <c r="AE315" s="34" t="e">
        <f t="shared" si="434"/>
        <v>#N/A</v>
      </c>
      <c r="AF315" s="33" t="e">
        <f t="shared" si="378"/>
        <v>#N/A</v>
      </c>
      <c r="AG315" s="14" t="e">
        <f t="shared" si="379"/>
        <v>#N/A</v>
      </c>
      <c r="AH315" s="14" t="e">
        <f t="shared" si="380"/>
        <v>#N/A</v>
      </c>
      <c r="AI315" s="34" t="e">
        <f t="shared" si="435"/>
        <v>#N/A</v>
      </c>
      <c r="AJ315" s="49" t="e">
        <f t="shared" si="399"/>
        <v>#N/A</v>
      </c>
      <c r="AK315" s="49" t="e">
        <f t="shared" si="400"/>
        <v>#N/A</v>
      </c>
      <c r="AL315" s="49" t="e">
        <f t="shared" si="401"/>
        <v>#N/A</v>
      </c>
      <c r="AM315" s="25">
        <f t="shared" si="381"/>
        <v>30</v>
      </c>
      <c r="AN315" s="25">
        <f t="shared" si="382"/>
        <v>30</v>
      </c>
      <c r="AO315" s="25">
        <f t="shared" si="383"/>
        <v>30</v>
      </c>
      <c r="AP315" s="52" t="e">
        <f t="shared" si="402"/>
        <v>#N/A</v>
      </c>
      <c r="AQ315" s="53" t="e">
        <f t="shared" si="402"/>
        <v>#N/A</v>
      </c>
      <c r="AR315" s="54" t="e">
        <f t="shared" si="402"/>
        <v>#N/A</v>
      </c>
      <c r="AS315" s="316">
        <f t="shared" si="457"/>
        <v>0</v>
      </c>
      <c r="AT315" s="106">
        <f>_xlfn.IFNA($M315/VLOOKUP($BT315,'Unit information'!$A$2:$K$29,2,FALSE)*R315,0)*(1+$E$9)</f>
        <v>0</v>
      </c>
      <c r="AU315" s="107">
        <f>_xlfn.IFNA($M315/VLOOKUP($BT315,'Unit information'!$A$2:$K$29,3,FALSE)*S315,0)*(1+$E$9)</f>
        <v>0</v>
      </c>
      <c r="AV315" s="107">
        <f>_xlfn.IFNA($M315/VLOOKUP($BT315,'Unit information'!$A$2:$K$29,4,FALSE)*T315,0)*(1+$E$9)</f>
        <v>0</v>
      </c>
      <c r="AW315" s="107">
        <f>_xlfn.IFNA($M315/VLOOKUP($BT315,'Unit information'!$A$2:$K$29,5,FALSE)*U315,0)*(1+$E$9)</f>
        <v>0</v>
      </c>
      <c r="AX315" s="107">
        <f>_xlfn.IFNA($M315/VLOOKUP($BU315,'Unit information'!$A$2:$K$29,6,FALSE)*V315,0)*(1+$E$9)</f>
        <v>0</v>
      </c>
      <c r="AY315" s="107">
        <f>_xlfn.IFNA($M315/VLOOKUP($BU315,'Unit information'!$A$2:$K$29,7,FALSE)*W315,0)*(1+$E$9)</f>
        <v>0</v>
      </c>
      <c r="AZ315" s="107">
        <f>_xlfn.IFNA($M315/VLOOKUP($BU315,'Unit information'!$A$2:$K$29,8,FALSE)*X315,0)*(1+$E$9)</f>
        <v>0</v>
      </c>
      <c r="BA315" s="107">
        <f>_xlfn.IFNA($M315/VLOOKUP($BU315,'Unit information'!$A$2:$K$29,9,FALSE)*Y315,0)*(1+$E$9)</f>
        <v>0</v>
      </c>
      <c r="BB315" s="107">
        <f>_xlfn.IFNA($M315/VLOOKUP($BV315,'Unit information'!$A$2:$K$29,10,FALSE)*Z315,0)*(1+$E$9)</f>
        <v>0</v>
      </c>
      <c r="BC315" s="108">
        <f>_xlfn.IFNA($M315/VLOOKUP($BV315,'Unit information'!$A$2:$K$29,11,FALSE)*AA315,0)*(1+$E$9)</f>
        <v>0</v>
      </c>
      <c r="BD315" s="106">
        <f t="shared" si="384"/>
        <v>0</v>
      </c>
      <c r="BE315" s="107">
        <f t="shared" si="385"/>
        <v>0</v>
      </c>
      <c r="BF315" s="108">
        <f t="shared" si="386"/>
        <v>0</v>
      </c>
      <c r="BG315" s="25" t="e">
        <f t="shared" si="387"/>
        <v>#N/A</v>
      </c>
      <c r="BH315" s="25" t="e">
        <f t="shared" si="388"/>
        <v>#N/A</v>
      </c>
      <c r="BI315" s="25" t="e">
        <f t="shared" si="389"/>
        <v>#N/A</v>
      </c>
      <c r="BJ315" s="27" t="e">
        <f t="shared" si="390"/>
        <v>#N/A</v>
      </c>
      <c r="BK315" s="18" t="e">
        <f t="shared" si="391"/>
        <v>#N/A</v>
      </c>
      <c r="BL315" s="18" t="e">
        <f t="shared" si="392"/>
        <v>#N/A</v>
      </c>
      <c r="BM315" s="28" t="e">
        <f t="shared" si="437"/>
        <v>#N/A</v>
      </c>
      <c r="BN315" s="33">
        <f>HLOOKUP("maximum population",Miscelaneous!$C$1:$C$33,CH315+3,FALSE)</f>
        <v>240</v>
      </c>
      <c r="BO315" s="14">
        <f t="shared" si="403"/>
        <v>32</v>
      </c>
      <c r="BP315" s="14">
        <f t="shared" si="404"/>
        <v>0</v>
      </c>
      <c r="BQ315" s="14">
        <f t="shared" si="405"/>
        <v>208</v>
      </c>
      <c r="BR315" s="34" t="e">
        <f>HLOOKUP(J315,Villagers!$B$1:$V$33,L315+3,FALSE)-HLOOKUP(J315,Villagers!$B$1:$V$33,L315+2,FALSE)</f>
        <v>#N/A</v>
      </c>
      <c r="BS315" s="49">
        <f t="shared" si="406"/>
        <v>1</v>
      </c>
      <c r="BT315" s="50">
        <f t="shared" si="407"/>
        <v>0</v>
      </c>
      <c r="BU315" s="50">
        <f t="shared" si="408"/>
        <v>0</v>
      </c>
      <c r="BV315" s="50">
        <f t="shared" si="409"/>
        <v>0</v>
      </c>
      <c r="BW315" s="50">
        <f t="shared" si="458"/>
        <v>0</v>
      </c>
      <c r="BX315" s="50">
        <f t="shared" si="459"/>
        <v>0</v>
      </c>
      <c r="BY315" s="50">
        <f t="shared" si="459"/>
        <v>0</v>
      </c>
      <c r="BZ315" s="50">
        <f t="shared" si="440"/>
        <v>0</v>
      </c>
      <c r="CA315" s="50">
        <f t="shared" si="441"/>
        <v>0</v>
      </c>
      <c r="CB315" s="50">
        <f t="shared" si="442"/>
        <v>1</v>
      </c>
      <c r="CC315" s="50">
        <f t="shared" si="443"/>
        <v>0</v>
      </c>
      <c r="CD315" s="50">
        <f t="shared" si="444"/>
        <v>0</v>
      </c>
      <c r="CE315" s="50">
        <f t="shared" si="445"/>
        <v>1</v>
      </c>
      <c r="CF315" s="50">
        <f t="shared" si="446"/>
        <v>1</v>
      </c>
      <c r="CG315" s="50">
        <f t="shared" si="447"/>
        <v>1</v>
      </c>
      <c r="CH315" s="50">
        <f t="shared" si="448"/>
        <v>1</v>
      </c>
      <c r="CI315" s="50">
        <f t="shared" si="449"/>
        <v>1</v>
      </c>
      <c r="CJ315" s="50">
        <f t="shared" si="450"/>
        <v>1</v>
      </c>
      <c r="CK315" s="50">
        <f t="shared" si="450"/>
        <v>0</v>
      </c>
      <c r="CL315" s="50">
        <f t="shared" si="450"/>
        <v>0</v>
      </c>
      <c r="CM315" s="51">
        <f t="shared" si="368"/>
        <v>0</v>
      </c>
      <c r="CN315" s="33">
        <f>ROUND(IF(BS315=0,0,HLOOKUP(BS$14,Villagers!$B$1:$V$33,BS315+3,FALSE)),)</f>
        <v>5</v>
      </c>
      <c r="CO315" s="14">
        <f>ROUND(IF(BT315=0,0,HLOOKUP(BT$14,Villagers!$B$1:$V$33,BT315+3,FALSE)),)</f>
        <v>0</v>
      </c>
      <c r="CP315" s="14">
        <f>ROUND(IF(BU315=0,0,HLOOKUP(BU$14,Villagers!$B$1:$V$33,BU315+3,FALSE)),)</f>
        <v>0</v>
      </c>
      <c r="CQ315" s="14">
        <f>ROUND(IF(BV315=0,0,HLOOKUP(BV$14,Villagers!$B$1:$V$33,BV315+3,FALSE)),)</f>
        <v>0</v>
      </c>
      <c r="CR315" s="14">
        <f>ROUND(IF(BW315=0,0,HLOOKUP(BW$14,Villagers!$B$1:$V$33,BW315+3,FALSE)),)</f>
        <v>0</v>
      </c>
      <c r="CS315" s="14">
        <f>ROUND(IF(BX315=0,0,HLOOKUP(BX$14,Villagers!$B$1:$V$33,BX315+3,FALSE)),)</f>
        <v>0</v>
      </c>
      <c r="CT315" s="14">
        <f>ROUND(IF(BY315=0,0,HLOOKUP(BY$14,Villagers!$B$1:$V$33,BY315+3,FALSE)),)</f>
        <v>0</v>
      </c>
      <c r="CU315" s="14">
        <f>ROUND(IF(BZ315=0,0,HLOOKUP(BZ$14,Villagers!$B$1:$V$33,BZ315+3,FALSE)),)</f>
        <v>0</v>
      </c>
      <c r="CV315" s="14">
        <f>ROUND(IF(CA315=0,0,HLOOKUP(CA$14,Villagers!$B$1:$V$33,CA315+3,FALSE)),)</f>
        <v>0</v>
      </c>
      <c r="CW315" s="14">
        <f>ROUND(IF(CB315=0,0,HLOOKUP(CB$14,Villagers!$B$1:$V$33,CB315+3,FALSE)),)</f>
        <v>0</v>
      </c>
      <c r="CX315" s="14">
        <f>ROUND(IF(CC315=0,0,HLOOKUP(CC$14,Villagers!$B$1:$V$33,CC315+3,FALSE)),)</f>
        <v>0</v>
      </c>
      <c r="CY315" s="14">
        <f>ROUND(IF(CD315=0,0,HLOOKUP(CD$14,Villagers!$B$1:$V$33,CD315+3,FALSE)),)</f>
        <v>0</v>
      </c>
      <c r="CZ315" s="14">
        <f>ROUND(IF(CE315=0,0,HLOOKUP(CE$14,Villagers!$B$1:$V$33,CE315+3,FALSE)),)</f>
        <v>5</v>
      </c>
      <c r="DA315" s="14">
        <f>ROUND(IF(CF315=0,0,HLOOKUP(CF$14,Villagers!$B$1:$V$33,CF315+3,FALSE)),)</f>
        <v>10</v>
      </c>
      <c r="DB315" s="14">
        <f>ROUND(IF(CG315=0,0,HLOOKUP(CG$14,Villagers!$B$1:$V$33,CG315+3,FALSE)),)</f>
        <v>10</v>
      </c>
      <c r="DC315" s="14">
        <f>ROUND(IF(CH315=0,0,HLOOKUP(CH$14,Villagers!$B$1:$V$33,CH315+3,FALSE)),)</f>
        <v>0</v>
      </c>
      <c r="DD315" s="14">
        <f>ROUND(IF(CI315=0,0,HLOOKUP(CI$14,Villagers!$B$1:$V$33,CI315+3,FALSE)),)</f>
        <v>0</v>
      </c>
      <c r="DE315" s="14">
        <f>ROUND(IF(CJ315=0,0,HLOOKUP(CJ$14,Villagers!$B$1:$V$33,CJ315+3,FALSE)),)</f>
        <v>2</v>
      </c>
      <c r="DF315" s="370">
        <f>ROUND(IF(CK315=0,0,HLOOKUP(CK$14,Villagers!$B$1:$V$33,CK315+3,FALSE)),)</f>
        <v>0</v>
      </c>
      <c r="DG315" s="370">
        <f>ROUND(IF(CL315=0,0,HLOOKUP(CL$14,Villagers!$B$1:$V$33,CL315+3,FALSE)),)</f>
        <v>0</v>
      </c>
      <c r="DH315" s="34">
        <f>ROUND(IF(CM315=0,0,HLOOKUP(CM$14,Villagers!$B$1:$V$33,CM315+3,FALSE)),)</f>
        <v>0</v>
      </c>
      <c r="DI315" s="109">
        <f t="shared" si="426"/>
        <v>0</v>
      </c>
      <c r="DJ315" s="50">
        <f t="shared" si="427"/>
        <v>0</v>
      </c>
      <c r="DK315" s="50">
        <f t="shared" si="428"/>
        <v>0</v>
      </c>
      <c r="DL315" s="50">
        <f t="shared" si="429"/>
        <v>0</v>
      </c>
      <c r="DM315" s="50">
        <f t="shared" si="430"/>
        <v>0</v>
      </c>
      <c r="DN315" s="50">
        <f t="shared" si="431"/>
        <v>0</v>
      </c>
      <c r="DO315" s="50">
        <f t="shared" si="432"/>
        <v>0</v>
      </c>
      <c r="DP315" s="50">
        <f t="shared" si="433"/>
        <v>0</v>
      </c>
      <c r="DQ315" s="50">
        <f t="shared" si="411"/>
        <v>0</v>
      </c>
      <c r="DR315" s="50">
        <f t="shared" si="412"/>
        <v>0</v>
      </c>
      <c r="DS315" s="96">
        <f>Miscelaneous!$D$4*Miscelaneous!$D$2^($CI315-1)</f>
        <v>1000</v>
      </c>
      <c r="DT315" s="333">
        <f t="shared" si="393"/>
        <v>1</v>
      </c>
      <c r="DU315" s="81">
        <v>1</v>
      </c>
      <c r="DV315" s="79">
        <f t="shared" si="413"/>
        <v>0</v>
      </c>
      <c r="DW315" s="79">
        <f t="shared" si="414"/>
        <v>0</v>
      </c>
      <c r="DX315" s="79">
        <f t="shared" si="415"/>
        <v>0</v>
      </c>
      <c r="DY315" s="79">
        <v>1</v>
      </c>
      <c r="DZ315" s="79">
        <f t="shared" si="416"/>
        <v>0</v>
      </c>
      <c r="EA315" s="79">
        <f t="shared" si="417"/>
        <v>0</v>
      </c>
      <c r="EB315" s="79">
        <f t="shared" si="418"/>
        <v>0</v>
      </c>
      <c r="EC315" s="79">
        <f t="shared" si="419"/>
        <v>0</v>
      </c>
      <c r="ED315" s="79">
        <v>1</v>
      </c>
      <c r="EE315" s="79">
        <v>1</v>
      </c>
      <c r="EF315" s="79">
        <f t="shared" si="420"/>
        <v>0</v>
      </c>
      <c r="EG315" s="79">
        <v>1</v>
      </c>
      <c r="EH315" s="79">
        <v>1</v>
      </c>
      <c r="EI315" s="79">
        <v>1</v>
      </c>
      <c r="EJ315" s="79">
        <v>1</v>
      </c>
      <c r="EK315" s="79">
        <v>1</v>
      </c>
      <c r="EL315" s="79">
        <v>1</v>
      </c>
      <c r="EM315" s="143">
        <f t="shared" si="421"/>
        <v>0</v>
      </c>
      <c r="EN315" s="143">
        <f t="shared" si="422"/>
        <v>0</v>
      </c>
      <c r="EO315" s="82">
        <f t="shared" si="423"/>
        <v>0</v>
      </c>
    </row>
    <row r="316" spans="1:145" x14ac:dyDescent="0.25">
      <c r="A316">
        <v>302</v>
      </c>
      <c r="B316" s="172" t="e">
        <f t="shared" si="394"/>
        <v>#N/A</v>
      </c>
      <c r="C316" s="121" t="e">
        <f t="shared" si="373"/>
        <v>#N/A</v>
      </c>
      <c r="D316" s="122" t="e">
        <f t="shared" si="374"/>
        <v>#N/A</v>
      </c>
      <c r="E316" s="122" t="e">
        <f t="shared" si="375"/>
        <v>#N/A</v>
      </c>
      <c r="F316" s="176" t="e">
        <f t="shared" si="376"/>
        <v>#N/A</v>
      </c>
      <c r="G316" s="121">
        <f t="shared" si="395"/>
        <v>208</v>
      </c>
      <c r="H316" s="176" t="e">
        <f t="shared" si="396"/>
        <v>#N/A</v>
      </c>
      <c r="I316" s="48">
        <v>1</v>
      </c>
      <c r="J316" s="39"/>
      <c r="K316" s="350">
        <v>1</v>
      </c>
      <c r="L316" s="34" t="e">
        <f t="shared" si="377"/>
        <v>#N/A</v>
      </c>
      <c r="M316" s="38" t="e">
        <f>(HLOOKUP(J316,'Construction Times'!$B$3:$W$34,L316+2,FALSE)*HLOOKUP("hq modifier",'Construction Times'!$W$3:$W$34,BS316+2,FALSE))*(1-$H$9)</f>
        <v>#N/A</v>
      </c>
      <c r="N316" s="443" t="e">
        <f t="shared" si="397"/>
        <v>#N/A</v>
      </c>
      <c r="O316" s="444"/>
      <c r="P316" s="447" t="e">
        <f t="shared" si="398"/>
        <v>#N/A</v>
      </c>
      <c r="Q316" s="448"/>
      <c r="R316" s="103">
        <f t="shared" si="424"/>
        <v>0</v>
      </c>
      <c r="S316" s="104">
        <f t="shared" si="424"/>
        <v>0</v>
      </c>
      <c r="T316" s="104">
        <f t="shared" si="425"/>
        <v>0</v>
      </c>
      <c r="U316" s="104">
        <f t="shared" si="425"/>
        <v>0</v>
      </c>
      <c r="V316" s="104">
        <f t="shared" si="425"/>
        <v>9.9999999999999995E-8</v>
      </c>
      <c r="W316" s="104">
        <f t="shared" si="425"/>
        <v>0</v>
      </c>
      <c r="X316" s="104">
        <f t="shared" si="455"/>
        <v>0</v>
      </c>
      <c r="Y316" s="104">
        <f t="shared" si="455"/>
        <v>9.9999999999999995E-8</v>
      </c>
      <c r="Z316" s="104">
        <f t="shared" si="455"/>
        <v>9.9999999999999995E-8</v>
      </c>
      <c r="AA316" s="105">
        <f t="shared" si="455"/>
        <v>9.9999999999999995E-8</v>
      </c>
      <c r="AB316" s="101" t="e">
        <f>$DT316*HLOOKUP($J316,'Construction Costs (timber)'!$B$1:$V$32,'Construction Planner'!$L316+2,FALSE)</f>
        <v>#N/A</v>
      </c>
      <c r="AC316" s="14" t="e">
        <f>$DT316*HLOOKUP($J316,'Construction Costs (clay)'!$B$1:$V$32,'Construction Planner'!$L316+2,FALSE)</f>
        <v>#N/A</v>
      </c>
      <c r="AD316" s="14" t="e">
        <f>$DT316*HLOOKUP($J316,'Construction Costs (iron)'!$B$1:$V$32,'Construction Planner'!$L316+2,FALSE)</f>
        <v>#N/A</v>
      </c>
      <c r="AE316" s="34" t="e">
        <f t="shared" si="434"/>
        <v>#N/A</v>
      </c>
      <c r="AF316" s="33" t="e">
        <f t="shared" si="378"/>
        <v>#N/A</v>
      </c>
      <c r="AG316" s="14" t="e">
        <f t="shared" si="379"/>
        <v>#N/A</v>
      </c>
      <c r="AH316" s="14" t="e">
        <f t="shared" si="380"/>
        <v>#N/A</v>
      </c>
      <c r="AI316" s="34" t="e">
        <f t="shared" si="435"/>
        <v>#N/A</v>
      </c>
      <c r="AJ316" s="49" t="e">
        <f t="shared" si="399"/>
        <v>#N/A</v>
      </c>
      <c r="AK316" s="49" t="e">
        <f t="shared" si="400"/>
        <v>#N/A</v>
      </c>
      <c r="AL316" s="49" t="e">
        <f t="shared" si="401"/>
        <v>#N/A</v>
      </c>
      <c r="AM316" s="25">
        <f t="shared" si="381"/>
        <v>30</v>
      </c>
      <c r="AN316" s="25">
        <f t="shared" si="382"/>
        <v>30</v>
      </c>
      <c r="AO316" s="25">
        <f t="shared" si="383"/>
        <v>30</v>
      </c>
      <c r="AP316" s="52" t="e">
        <f t="shared" si="402"/>
        <v>#N/A</v>
      </c>
      <c r="AQ316" s="53" t="e">
        <f t="shared" si="402"/>
        <v>#N/A</v>
      </c>
      <c r="AR316" s="54" t="e">
        <f t="shared" si="402"/>
        <v>#N/A</v>
      </c>
      <c r="AS316" s="316">
        <f t="shared" si="457"/>
        <v>0</v>
      </c>
      <c r="AT316" s="106">
        <f>_xlfn.IFNA($M316/VLOOKUP($BT316,'Unit information'!$A$2:$K$29,2,FALSE)*R316,0)*(1+$E$9)</f>
        <v>0</v>
      </c>
      <c r="AU316" s="107">
        <f>_xlfn.IFNA($M316/VLOOKUP($BT316,'Unit information'!$A$2:$K$29,3,FALSE)*S316,0)*(1+$E$9)</f>
        <v>0</v>
      </c>
      <c r="AV316" s="107">
        <f>_xlfn.IFNA($M316/VLOOKUP($BT316,'Unit information'!$A$2:$K$29,4,FALSE)*T316,0)*(1+$E$9)</f>
        <v>0</v>
      </c>
      <c r="AW316" s="107">
        <f>_xlfn.IFNA($M316/VLOOKUP($BT316,'Unit information'!$A$2:$K$29,5,FALSE)*U316,0)*(1+$E$9)</f>
        <v>0</v>
      </c>
      <c r="AX316" s="107">
        <f>_xlfn.IFNA($M316/VLOOKUP($BU316,'Unit information'!$A$2:$K$29,6,FALSE)*V316,0)*(1+$E$9)</f>
        <v>0</v>
      </c>
      <c r="AY316" s="107">
        <f>_xlfn.IFNA($M316/VLOOKUP($BU316,'Unit information'!$A$2:$K$29,7,FALSE)*W316,0)*(1+$E$9)</f>
        <v>0</v>
      </c>
      <c r="AZ316" s="107">
        <f>_xlfn.IFNA($M316/VLOOKUP($BU316,'Unit information'!$A$2:$K$29,8,FALSE)*X316,0)*(1+$E$9)</f>
        <v>0</v>
      </c>
      <c r="BA316" s="107">
        <f>_xlfn.IFNA($M316/VLOOKUP($BU316,'Unit information'!$A$2:$K$29,9,FALSE)*Y316,0)*(1+$E$9)</f>
        <v>0</v>
      </c>
      <c r="BB316" s="107">
        <f>_xlfn.IFNA($M316/VLOOKUP($BV316,'Unit information'!$A$2:$K$29,10,FALSE)*Z316,0)*(1+$E$9)</f>
        <v>0</v>
      </c>
      <c r="BC316" s="108">
        <f>_xlfn.IFNA($M316/VLOOKUP($BV316,'Unit information'!$A$2:$K$29,11,FALSE)*AA316,0)*(1+$E$9)</f>
        <v>0</v>
      </c>
      <c r="BD316" s="106">
        <f t="shared" si="384"/>
        <v>0</v>
      </c>
      <c r="BE316" s="107">
        <f t="shared" si="385"/>
        <v>0</v>
      </c>
      <c r="BF316" s="108">
        <f t="shared" si="386"/>
        <v>0</v>
      </c>
      <c r="BG316" s="25" t="e">
        <f t="shared" si="387"/>
        <v>#N/A</v>
      </c>
      <c r="BH316" s="25" t="e">
        <f t="shared" si="388"/>
        <v>#N/A</v>
      </c>
      <c r="BI316" s="25" t="e">
        <f t="shared" si="389"/>
        <v>#N/A</v>
      </c>
      <c r="BJ316" s="27" t="e">
        <f t="shared" si="390"/>
        <v>#N/A</v>
      </c>
      <c r="BK316" s="18" t="e">
        <f t="shared" si="391"/>
        <v>#N/A</v>
      </c>
      <c r="BL316" s="18" t="e">
        <f t="shared" si="392"/>
        <v>#N/A</v>
      </c>
      <c r="BM316" s="28" t="e">
        <f t="shared" si="437"/>
        <v>#N/A</v>
      </c>
      <c r="BN316" s="33">
        <f>HLOOKUP("maximum population",Miscelaneous!$C$1:$C$33,CH316+3,FALSE)</f>
        <v>240</v>
      </c>
      <c r="BO316" s="14">
        <f t="shared" si="403"/>
        <v>32</v>
      </c>
      <c r="BP316" s="14">
        <f t="shared" si="404"/>
        <v>0</v>
      </c>
      <c r="BQ316" s="14">
        <f t="shared" si="405"/>
        <v>208</v>
      </c>
      <c r="BR316" s="34" t="e">
        <f>HLOOKUP(J316,Villagers!$B$1:$V$33,L316+3,FALSE)-HLOOKUP(J316,Villagers!$B$1:$V$33,L316+2,FALSE)</f>
        <v>#N/A</v>
      </c>
      <c r="BS316" s="49">
        <f t="shared" si="406"/>
        <v>1</v>
      </c>
      <c r="BT316" s="50">
        <f t="shared" si="407"/>
        <v>0</v>
      </c>
      <c r="BU316" s="50">
        <f t="shared" si="408"/>
        <v>0</v>
      </c>
      <c r="BV316" s="50">
        <f t="shared" si="409"/>
        <v>0</v>
      </c>
      <c r="BW316" s="50">
        <f t="shared" si="458"/>
        <v>0</v>
      </c>
      <c r="BX316" s="50">
        <f t="shared" si="459"/>
        <v>0</v>
      </c>
      <c r="BY316" s="50">
        <f t="shared" si="459"/>
        <v>0</v>
      </c>
      <c r="BZ316" s="50">
        <f t="shared" si="440"/>
        <v>0</v>
      </c>
      <c r="CA316" s="50">
        <f t="shared" si="441"/>
        <v>0</v>
      </c>
      <c r="CB316" s="50">
        <f t="shared" si="442"/>
        <v>1</v>
      </c>
      <c r="CC316" s="50">
        <f t="shared" si="443"/>
        <v>0</v>
      </c>
      <c r="CD316" s="50">
        <f t="shared" si="444"/>
        <v>0</v>
      </c>
      <c r="CE316" s="50">
        <f t="shared" si="445"/>
        <v>1</v>
      </c>
      <c r="CF316" s="50">
        <f t="shared" si="446"/>
        <v>1</v>
      </c>
      <c r="CG316" s="50">
        <f t="shared" si="447"/>
        <v>1</v>
      </c>
      <c r="CH316" s="50">
        <f t="shared" si="448"/>
        <v>1</v>
      </c>
      <c r="CI316" s="50">
        <f t="shared" si="449"/>
        <v>1</v>
      </c>
      <c r="CJ316" s="50">
        <f t="shared" si="450"/>
        <v>1</v>
      </c>
      <c r="CK316" s="50">
        <f t="shared" si="450"/>
        <v>0</v>
      </c>
      <c r="CL316" s="50">
        <f t="shared" si="450"/>
        <v>0</v>
      </c>
      <c r="CM316" s="51">
        <f t="shared" si="368"/>
        <v>0</v>
      </c>
      <c r="CN316" s="33">
        <f>ROUND(IF(BS316=0,0,HLOOKUP(BS$14,Villagers!$B$1:$V$33,BS316+3,FALSE)),)</f>
        <v>5</v>
      </c>
      <c r="CO316" s="14">
        <f>ROUND(IF(BT316=0,0,HLOOKUP(BT$14,Villagers!$B$1:$V$33,BT316+3,FALSE)),)</f>
        <v>0</v>
      </c>
      <c r="CP316" s="14">
        <f>ROUND(IF(BU316=0,0,HLOOKUP(BU$14,Villagers!$B$1:$V$33,BU316+3,FALSE)),)</f>
        <v>0</v>
      </c>
      <c r="CQ316" s="14">
        <f>ROUND(IF(BV316=0,0,HLOOKUP(BV$14,Villagers!$B$1:$V$33,BV316+3,FALSE)),)</f>
        <v>0</v>
      </c>
      <c r="CR316" s="14">
        <f>ROUND(IF(BW316=0,0,HLOOKUP(BW$14,Villagers!$B$1:$V$33,BW316+3,FALSE)),)</f>
        <v>0</v>
      </c>
      <c r="CS316" s="14">
        <f>ROUND(IF(BX316=0,0,HLOOKUP(BX$14,Villagers!$B$1:$V$33,BX316+3,FALSE)),)</f>
        <v>0</v>
      </c>
      <c r="CT316" s="14">
        <f>ROUND(IF(BY316=0,0,HLOOKUP(BY$14,Villagers!$B$1:$V$33,BY316+3,FALSE)),)</f>
        <v>0</v>
      </c>
      <c r="CU316" s="14">
        <f>ROUND(IF(BZ316=0,0,HLOOKUP(BZ$14,Villagers!$B$1:$V$33,BZ316+3,FALSE)),)</f>
        <v>0</v>
      </c>
      <c r="CV316" s="14">
        <f>ROUND(IF(CA316=0,0,HLOOKUP(CA$14,Villagers!$B$1:$V$33,CA316+3,FALSE)),)</f>
        <v>0</v>
      </c>
      <c r="CW316" s="14">
        <f>ROUND(IF(CB316=0,0,HLOOKUP(CB$14,Villagers!$B$1:$V$33,CB316+3,FALSE)),)</f>
        <v>0</v>
      </c>
      <c r="CX316" s="14">
        <f>ROUND(IF(CC316=0,0,HLOOKUP(CC$14,Villagers!$B$1:$V$33,CC316+3,FALSE)),)</f>
        <v>0</v>
      </c>
      <c r="CY316" s="14">
        <f>ROUND(IF(CD316=0,0,HLOOKUP(CD$14,Villagers!$B$1:$V$33,CD316+3,FALSE)),)</f>
        <v>0</v>
      </c>
      <c r="CZ316" s="14">
        <f>ROUND(IF(CE316=0,0,HLOOKUP(CE$14,Villagers!$B$1:$V$33,CE316+3,FALSE)),)</f>
        <v>5</v>
      </c>
      <c r="DA316" s="14">
        <f>ROUND(IF(CF316=0,0,HLOOKUP(CF$14,Villagers!$B$1:$V$33,CF316+3,FALSE)),)</f>
        <v>10</v>
      </c>
      <c r="DB316" s="14">
        <f>ROUND(IF(CG316=0,0,HLOOKUP(CG$14,Villagers!$B$1:$V$33,CG316+3,FALSE)),)</f>
        <v>10</v>
      </c>
      <c r="DC316" s="14">
        <f>ROUND(IF(CH316=0,0,HLOOKUP(CH$14,Villagers!$B$1:$V$33,CH316+3,FALSE)),)</f>
        <v>0</v>
      </c>
      <c r="DD316" s="14">
        <f>ROUND(IF(CI316=0,0,HLOOKUP(CI$14,Villagers!$B$1:$V$33,CI316+3,FALSE)),)</f>
        <v>0</v>
      </c>
      <c r="DE316" s="14">
        <f>ROUND(IF(CJ316=0,0,HLOOKUP(CJ$14,Villagers!$B$1:$V$33,CJ316+3,FALSE)),)</f>
        <v>2</v>
      </c>
      <c r="DF316" s="370">
        <f>ROUND(IF(CK316=0,0,HLOOKUP(CK$14,Villagers!$B$1:$V$33,CK316+3,FALSE)),)</f>
        <v>0</v>
      </c>
      <c r="DG316" s="370">
        <f>ROUND(IF(CL316=0,0,HLOOKUP(CL$14,Villagers!$B$1:$V$33,CL316+3,FALSE)),)</f>
        <v>0</v>
      </c>
      <c r="DH316" s="34">
        <f>ROUND(IF(CM316=0,0,HLOOKUP(CM$14,Villagers!$B$1:$V$33,CM316+3,FALSE)),)</f>
        <v>0</v>
      </c>
      <c r="DI316" s="109">
        <f t="shared" si="426"/>
        <v>0</v>
      </c>
      <c r="DJ316" s="50">
        <f t="shared" si="427"/>
        <v>0</v>
      </c>
      <c r="DK316" s="50">
        <f t="shared" si="428"/>
        <v>0</v>
      </c>
      <c r="DL316" s="50">
        <f t="shared" si="429"/>
        <v>0</v>
      </c>
      <c r="DM316" s="50">
        <f t="shared" si="430"/>
        <v>0</v>
      </c>
      <c r="DN316" s="50">
        <f t="shared" si="431"/>
        <v>0</v>
      </c>
      <c r="DO316" s="50">
        <f t="shared" si="432"/>
        <v>0</v>
      </c>
      <c r="DP316" s="50">
        <f t="shared" si="433"/>
        <v>0</v>
      </c>
      <c r="DQ316" s="50">
        <f t="shared" si="411"/>
        <v>0</v>
      </c>
      <c r="DR316" s="50">
        <f t="shared" si="412"/>
        <v>0</v>
      </c>
      <c r="DS316" s="96">
        <f>Miscelaneous!$D$4*Miscelaneous!$D$2^($CI316-1)</f>
        <v>1000</v>
      </c>
      <c r="DT316" s="333">
        <f t="shared" si="393"/>
        <v>1</v>
      </c>
      <c r="DU316" s="81">
        <v>1</v>
      </c>
      <c r="DV316" s="79">
        <f t="shared" si="413"/>
        <v>0</v>
      </c>
      <c r="DW316" s="79">
        <f t="shared" si="414"/>
        <v>0</v>
      </c>
      <c r="DX316" s="79">
        <f t="shared" si="415"/>
        <v>0</v>
      </c>
      <c r="DY316" s="79">
        <v>1</v>
      </c>
      <c r="DZ316" s="79">
        <f t="shared" si="416"/>
        <v>0</v>
      </c>
      <c r="EA316" s="79">
        <f t="shared" si="417"/>
        <v>0</v>
      </c>
      <c r="EB316" s="79">
        <f t="shared" si="418"/>
        <v>0</v>
      </c>
      <c r="EC316" s="79">
        <f t="shared" si="419"/>
        <v>0</v>
      </c>
      <c r="ED316" s="79">
        <v>1</v>
      </c>
      <c r="EE316" s="79">
        <v>1</v>
      </c>
      <c r="EF316" s="79">
        <f t="shared" si="420"/>
        <v>0</v>
      </c>
      <c r="EG316" s="79">
        <v>1</v>
      </c>
      <c r="EH316" s="79">
        <v>1</v>
      </c>
      <c r="EI316" s="79">
        <v>1</v>
      </c>
      <c r="EJ316" s="79">
        <v>1</v>
      </c>
      <c r="EK316" s="79">
        <v>1</v>
      </c>
      <c r="EL316" s="79">
        <v>1</v>
      </c>
      <c r="EM316" s="143">
        <f t="shared" si="421"/>
        <v>0</v>
      </c>
      <c r="EN316" s="143">
        <f t="shared" si="422"/>
        <v>0</v>
      </c>
      <c r="EO316" s="82">
        <f t="shared" si="423"/>
        <v>0</v>
      </c>
    </row>
    <row r="317" spans="1:145" x14ac:dyDescent="0.25">
      <c r="A317">
        <v>303</v>
      </c>
      <c r="B317" s="172" t="e">
        <f t="shared" si="394"/>
        <v>#N/A</v>
      </c>
      <c r="C317" s="121" t="e">
        <f t="shared" si="373"/>
        <v>#N/A</v>
      </c>
      <c r="D317" s="122" t="e">
        <f t="shared" si="374"/>
        <v>#N/A</v>
      </c>
      <c r="E317" s="122" t="e">
        <f t="shared" si="375"/>
        <v>#N/A</v>
      </c>
      <c r="F317" s="176" t="e">
        <f t="shared" si="376"/>
        <v>#N/A</v>
      </c>
      <c r="G317" s="121">
        <f t="shared" si="395"/>
        <v>208</v>
      </c>
      <c r="H317" s="176" t="e">
        <f t="shared" si="396"/>
        <v>#N/A</v>
      </c>
      <c r="I317" s="48">
        <v>1</v>
      </c>
      <c r="J317" s="39"/>
      <c r="K317" s="350">
        <v>1</v>
      </c>
      <c r="L317" s="34" t="e">
        <f t="shared" si="377"/>
        <v>#N/A</v>
      </c>
      <c r="M317" s="38" t="e">
        <f>(HLOOKUP(J317,'Construction Times'!$B$3:$W$34,L317+2,FALSE)*HLOOKUP("hq modifier",'Construction Times'!$W$3:$W$34,BS317+2,FALSE))*(1-$H$9)</f>
        <v>#N/A</v>
      </c>
      <c r="N317" s="443" t="e">
        <f t="shared" si="397"/>
        <v>#N/A</v>
      </c>
      <c r="O317" s="444"/>
      <c r="P317" s="447" t="e">
        <f t="shared" si="398"/>
        <v>#N/A</v>
      </c>
      <c r="Q317" s="448"/>
      <c r="R317" s="103">
        <f t="shared" si="424"/>
        <v>0</v>
      </c>
      <c r="S317" s="104">
        <f t="shared" si="424"/>
        <v>0</v>
      </c>
      <c r="T317" s="104">
        <f t="shared" si="425"/>
        <v>0</v>
      </c>
      <c r="U317" s="104">
        <f t="shared" si="425"/>
        <v>0</v>
      </c>
      <c r="V317" s="104">
        <f t="shared" si="425"/>
        <v>9.9999999999999995E-8</v>
      </c>
      <c r="W317" s="104">
        <f t="shared" si="425"/>
        <v>0</v>
      </c>
      <c r="X317" s="104">
        <f t="shared" si="455"/>
        <v>0</v>
      </c>
      <c r="Y317" s="104">
        <f t="shared" si="455"/>
        <v>9.9999999999999995E-8</v>
      </c>
      <c r="Z317" s="104">
        <f t="shared" si="455"/>
        <v>9.9999999999999995E-8</v>
      </c>
      <c r="AA317" s="105">
        <f t="shared" si="455"/>
        <v>9.9999999999999995E-8</v>
      </c>
      <c r="AB317" s="101" t="e">
        <f>$DT317*HLOOKUP($J317,'Construction Costs (timber)'!$B$1:$V$32,'Construction Planner'!$L317+2,FALSE)</f>
        <v>#N/A</v>
      </c>
      <c r="AC317" s="14" t="e">
        <f>$DT317*HLOOKUP($J317,'Construction Costs (clay)'!$B$1:$V$32,'Construction Planner'!$L317+2,FALSE)</f>
        <v>#N/A</v>
      </c>
      <c r="AD317" s="14" t="e">
        <f>$DT317*HLOOKUP($J317,'Construction Costs (iron)'!$B$1:$V$32,'Construction Planner'!$L317+2,FALSE)</f>
        <v>#N/A</v>
      </c>
      <c r="AE317" s="34" t="e">
        <f t="shared" si="434"/>
        <v>#N/A</v>
      </c>
      <c r="AF317" s="33" t="e">
        <f t="shared" si="378"/>
        <v>#N/A</v>
      </c>
      <c r="AG317" s="14" t="e">
        <f t="shared" si="379"/>
        <v>#N/A</v>
      </c>
      <c r="AH317" s="14" t="e">
        <f t="shared" si="380"/>
        <v>#N/A</v>
      </c>
      <c r="AI317" s="34" t="e">
        <f t="shared" si="435"/>
        <v>#N/A</v>
      </c>
      <c r="AJ317" s="49" t="e">
        <f t="shared" si="399"/>
        <v>#N/A</v>
      </c>
      <c r="AK317" s="49" t="e">
        <f t="shared" si="400"/>
        <v>#N/A</v>
      </c>
      <c r="AL317" s="49" t="e">
        <f t="shared" si="401"/>
        <v>#N/A</v>
      </c>
      <c r="AM317" s="25">
        <f t="shared" si="381"/>
        <v>30</v>
      </c>
      <c r="AN317" s="25">
        <f t="shared" si="382"/>
        <v>30</v>
      </c>
      <c r="AO317" s="25">
        <f t="shared" si="383"/>
        <v>30</v>
      </c>
      <c r="AP317" s="52" t="e">
        <f t="shared" si="402"/>
        <v>#N/A</v>
      </c>
      <c r="AQ317" s="53" t="e">
        <f t="shared" si="402"/>
        <v>#N/A</v>
      </c>
      <c r="AR317" s="54" t="e">
        <f t="shared" si="402"/>
        <v>#N/A</v>
      </c>
      <c r="AS317" s="316">
        <f t="shared" si="457"/>
        <v>0</v>
      </c>
      <c r="AT317" s="106">
        <f>_xlfn.IFNA($M317/VLOOKUP($BT317,'Unit information'!$A$2:$K$29,2,FALSE)*R317,0)*(1+$E$9)</f>
        <v>0</v>
      </c>
      <c r="AU317" s="107">
        <f>_xlfn.IFNA($M317/VLOOKUP($BT317,'Unit information'!$A$2:$K$29,3,FALSE)*S317,0)*(1+$E$9)</f>
        <v>0</v>
      </c>
      <c r="AV317" s="107">
        <f>_xlfn.IFNA($M317/VLOOKUP($BT317,'Unit information'!$A$2:$K$29,4,FALSE)*T317,0)*(1+$E$9)</f>
        <v>0</v>
      </c>
      <c r="AW317" s="107">
        <f>_xlfn.IFNA($M317/VLOOKUP($BT317,'Unit information'!$A$2:$K$29,5,FALSE)*U317,0)*(1+$E$9)</f>
        <v>0</v>
      </c>
      <c r="AX317" s="107">
        <f>_xlfn.IFNA($M317/VLOOKUP($BU317,'Unit information'!$A$2:$K$29,6,FALSE)*V317,0)*(1+$E$9)</f>
        <v>0</v>
      </c>
      <c r="AY317" s="107">
        <f>_xlfn.IFNA($M317/VLOOKUP($BU317,'Unit information'!$A$2:$K$29,7,FALSE)*W317,0)*(1+$E$9)</f>
        <v>0</v>
      </c>
      <c r="AZ317" s="107">
        <f>_xlfn.IFNA($M317/VLOOKUP($BU317,'Unit information'!$A$2:$K$29,8,FALSE)*X317,0)*(1+$E$9)</f>
        <v>0</v>
      </c>
      <c r="BA317" s="107">
        <f>_xlfn.IFNA($M317/VLOOKUP($BU317,'Unit information'!$A$2:$K$29,9,FALSE)*Y317,0)*(1+$E$9)</f>
        <v>0</v>
      </c>
      <c r="BB317" s="107">
        <f>_xlfn.IFNA($M317/VLOOKUP($BV317,'Unit information'!$A$2:$K$29,10,FALSE)*Z317,0)*(1+$E$9)</f>
        <v>0</v>
      </c>
      <c r="BC317" s="108">
        <f>_xlfn.IFNA($M317/VLOOKUP($BV317,'Unit information'!$A$2:$K$29,11,FALSE)*AA317,0)*(1+$E$9)</f>
        <v>0</v>
      </c>
      <c r="BD317" s="106">
        <f t="shared" si="384"/>
        <v>0</v>
      </c>
      <c r="BE317" s="107">
        <f t="shared" si="385"/>
        <v>0</v>
      </c>
      <c r="BF317" s="108">
        <f t="shared" si="386"/>
        <v>0</v>
      </c>
      <c r="BG317" s="25" t="e">
        <f t="shared" si="387"/>
        <v>#N/A</v>
      </c>
      <c r="BH317" s="25" t="e">
        <f t="shared" si="388"/>
        <v>#N/A</v>
      </c>
      <c r="BI317" s="25" t="e">
        <f t="shared" si="389"/>
        <v>#N/A</v>
      </c>
      <c r="BJ317" s="27" t="e">
        <f t="shared" si="390"/>
        <v>#N/A</v>
      </c>
      <c r="BK317" s="18" t="e">
        <f t="shared" si="391"/>
        <v>#N/A</v>
      </c>
      <c r="BL317" s="18" t="e">
        <f t="shared" si="392"/>
        <v>#N/A</v>
      </c>
      <c r="BM317" s="28" t="e">
        <f t="shared" si="437"/>
        <v>#N/A</v>
      </c>
      <c r="BN317" s="33">
        <f>HLOOKUP("maximum population",Miscelaneous!$C$1:$C$33,CH317+3,FALSE)</f>
        <v>240</v>
      </c>
      <c r="BO317" s="14">
        <f t="shared" si="403"/>
        <v>32</v>
      </c>
      <c r="BP317" s="14">
        <f t="shared" si="404"/>
        <v>0</v>
      </c>
      <c r="BQ317" s="14">
        <f t="shared" si="405"/>
        <v>208</v>
      </c>
      <c r="BR317" s="34" t="e">
        <f>HLOOKUP(J317,Villagers!$B$1:$V$33,L317+3,FALSE)-HLOOKUP(J317,Villagers!$B$1:$V$33,L317+2,FALSE)</f>
        <v>#N/A</v>
      </c>
      <c r="BS317" s="49">
        <f t="shared" si="406"/>
        <v>1</v>
      </c>
      <c r="BT317" s="50">
        <f t="shared" si="407"/>
        <v>0</v>
      </c>
      <c r="BU317" s="50">
        <f t="shared" si="408"/>
        <v>0</v>
      </c>
      <c r="BV317" s="50">
        <f t="shared" si="409"/>
        <v>0</v>
      </c>
      <c r="BW317" s="50">
        <f t="shared" si="458"/>
        <v>0</v>
      </c>
      <c r="BX317" s="50">
        <f t="shared" si="459"/>
        <v>0</v>
      </c>
      <c r="BY317" s="50">
        <f t="shared" si="459"/>
        <v>0</v>
      </c>
      <c r="BZ317" s="50">
        <f t="shared" si="440"/>
        <v>0</v>
      </c>
      <c r="CA317" s="50">
        <f t="shared" si="441"/>
        <v>0</v>
      </c>
      <c r="CB317" s="50">
        <f t="shared" si="442"/>
        <v>1</v>
      </c>
      <c r="CC317" s="50">
        <f t="shared" si="443"/>
        <v>0</v>
      </c>
      <c r="CD317" s="50">
        <f t="shared" si="444"/>
        <v>0</v>
      </c>
      <c r="CE317" s="50">
        <f t="shared" si="445"/>
        <v>1</v>
      </c>
      <c r="CF317" s="50">
        <f t="shared" si="446"/>
        <v>1</v>
      </c>
      <c r="CG317" s="50">
        <f t="shared" si="447"/>
        <v>1</v>
      </c>
      <c r="CH317" s="50">
        <f t="shared" si="448"/>
        <v>1</v>
      </c>
      <c r="CI317" s="50">
        <f t="shared" si="449"/>
        <v>1</v>
      </c>
      <c r="CJ317" s="50">
        <f t="shared" si="450"/>
        <v>1</v>
      </c>
      <c r="CK317" s="50">
        <f t="shared" si="450"/>
        <v>0</v>
      </c>
      <c r="CL317" s="50">
        <f t="shared" si="450"/>
        <v>0</v>
      </c>
      <c r="CM317" s="51">
        <f t="shared" si="368"/>
        <v>0</v>
      </c>
      <c r="CN317" s="33">
        <f>ROUND(IF(BS317=0,0,HLOOKUP(BS$14,Villagers!$B$1:$V$33,BS317+3,FALSE)),)</f>
        <v>5</v>
      </c>
      <c r="CO317" s="14">
        <f>ROUND(IF(BT317=0,0,HLOOKUP(BT$14,Villagers!$B$1:$V$33,BT317+3,FALSE)),)</f>
        <v>0</v>
      </c>
      <c r="CP317" s="14">
        <f>ROUND(IF(BU317=0,0,HLOOKUP(BU$14,Villagers!$B$1:$V$33,BU317+3,FALSE)),)</f>
        <v>0</v>
      </c>
      <c r="CQ317" s="14">
        <f>ROUND(IF(BV317=0,0,HLOOKUP(BV$14,Villagers!$B$1:$V$33,BV317+3,FALSE)),)</f>
        <v>0</v>
      </c>
      <c r="CR317" s="14">
        <f>ROUND(IF(BW317=0,0,HLOOKUP(BW$14,Villagers!$B$1:$V$33,BW317+3,FALSE)),)</f>
        <v>0</v>
      </c>
      <c r="CS317" s="14">
        <f>ROUND(IF(BX317=0,0,HLOOKUP(BX$14,Villagers!$B$1:$V$33,BX317+3,FALSE)),)</f>
        <v>0</v>
      </c>
      <c r="CT317" s="14">
        <f>ROUND(IF(BY317=0,0,HLOOKUP(BY$14,Villagers!$B$1:$V$33,BY317+3,FALSE)),)</f>
        <v>0</v>
      </c>
      <c r="CU317" s="14">
        <f>ROUND(IF(BZ317=0,0,HLOOKUP(BZ$14,Villagers!$B$1:$V$33,BZ317+3,FALSE)),)</f>
        <v>0</v>
      </c>
      <c r="CV317" s="14">
        <f>ROUND(IF(CA317=0,0,HLOOKUP(CA$14,Villagers!$B$1:$V$33,CA317+3,FALSE)),)</f>
        <v>0</v>
      </c>
      <c r="CW317" s="14">
        <f>ROUND(IF(CB317=0,0,HLOOKUP(CB$14,Villagers!$B$1:$V$33,CB317+3,FALSE)),)</f>
        <v>0</v>
      </c>
      <c r="CX317" s="14">
        <f>ROUND(IF(CC317=0,0,HLOOKUP(CC$14,Villagers!$B$1:$V$33,CC317+3,FALSE)),)</f>
        <v>0</v>
      </c>
      <c r="CY317" s="14">
        <f>ROUND(IF(CD317=0,0,HLOOKUP(CD$14,Villagers!$B$1:$V$33,CD317+3,FALSE)),)</f>
        <v>0</v>
      </c>
      <c r="CZ317" s="14">
        <f>ROUND(IF(CE317=0,0,HLOOKUP(CE$14,Villagers!$B$1:$V$33,CE317+3,FALSE)),)</f>
        <v>5</v>
      </c>
      <c r="DA317" s="14">
        <f>ROUND(IF(CF317=0,0,HLOOKUP(CF$14,Villagers!$B$1:$V$33,CF317+3,FALSE)),)</f>
        <v>10</v>
      </c>
      <c r="DB317" s="14">
        <f>ROUND(IF(CG317=0,0,HLOOKUP(CG$14,Villagers!$B$1:$V$33,CG317+3,FALSE)),)</f>
        <v>10</v>
      </c>
      <c r="DC317" s="14">
        <f>ROUND(IF(CH317=0,0,HLOOKUP(CH$14,Villagers!$B$1:$V$33,CH317+3,FALSE)),)</f>
        <v>0</v>
      </c>
      <c r="DD317" s="14">
        <f>ROUND(IF(CI317=0,0,HLOOKUP(CI$14,Villagers!$B$1:$V$33,CI317+3,FALSE)),)</f>
        <v>0</v>
      </c>
      <c r="DE317" s="14">
        <f>ROUND(IF(CJ317=0,0,HLOOKUP(CJ$14,Villagers!$B$1:$V$33,CJ317+3,FALSE)),)</f>
        <v>2</v>
      </c>
      <c r="DF317" s="370">
        <f>ROUND(IF(CK317=0,0,HLOOKUP(CK$14,Villagers!$B$1:$V$33,CK317+3,FALSE)),)</f>
        <v>0</v>
      </c>
      <c r="DG317" s="370">
        <f>ROUND(IF(CL317=0,0,HLOOKUP(CL$14,Villagers!$B$1:$V$33,CL317+3,FALSE)),)</f>
        <v>0</v>
      </c>
      <c r="DH317" s="34">
        <f>ROUND(IF(CM317=0,0,HLOOKUP(CM$14,Villagers!$B$1:$V$33,CM317+3,FALSE)),)</f>
        <v>0</v>
      </c>
      <c r="DI317" s="109">
        <f t="shared" si="426"/>
        <v>0</v>
      </c>
      <c r="DJ317" s="50">
        <f t="shared" si="427"/>
        <v>0</v>
      </c>
      <c r="DK317" s="50">
        <f t="shared" si="428"/>
        <v>0</v>
      </c>
      <c r="DL317" s="50">
        <f t="shared" si="429"/>
        <v>0</v>
      </c>
      <c r="DM317" s="50">
        <f t="shared" si="430"/>
        <v>0</v>
      </c>
      <c r="DN317" s="50">
        <f t="shared" si="431"/>
        <v>0</v>
      </c>
      <c r="DO317" s="50">
        <f t="shared" si="432"/>
        <v>0</v>
      </c>
      <c r="DP317" s="50">
        <f t="shared" si="433"/>
        <v>0</v>
      </c>
      <c r="DQ317" s="50">
        <f t="shared" si="411"/>
        <v>0</v>
      </c>
      <c r="DR317" s="50">
        <f t="shared" si="412"/>
        <v>0</v>
      </c>
      <c r="DS317" s="96">
        <f>Miscelaneous!$D$4*Miscelaneous!$D$2^($CI317-1)</f>
        <v>1000</v>
      </c>
      <c r="DT317" s="333">
        <f t="shared" si="393"/>
        <v>1</v>
      </c>
      <c r="DU317" s="81">
        <v>1</v>
      </c>
      <c r="DV317" s="79">
        <f t="shared" si="413"/>
        <v>0</v>
      </c>
      <c r="DW317" s="79">
        <f t="shared" si="414"/>
        <v>0</v>
      </c>
      <c r="DX317" s="79">
        <f t="shared" si="415"/>
        <v>0</v>
      </c>
      <c r="DY317" s="79">
        <v>1</v>
      </c>
      <c r="DZ317" s="79">
        <f t="shared" si="416"/>
        <v>0</v>
      </c>
      <c r="EA317" s="79">
        <f t="shared" si="417"/>
        <v>0</v>
      </c>
      <c r="EB317" s="79">
        <f t="shared" si="418"/>
        <v>0</v>
      </c>
      <c r="EC317" s="79">
        <f t="shared" si="419"/>
        <v>0</v>
      </c>
      <c r="ED317" s="79">
        <v>1</v>
      </c>
      <c r="EE317" s="79">
        <v>1</v>
      </c>
      <c r="EF317" s="79">
        <f t="shared" si="420"/>
        <v>0</v>
      </c>
      <c r="EG317" s="79">
        <v>1</v>
      </c>
      <c r="EH317" s="79">
        <v>1</v>
      </c>
      <c r="EI317" s="79">
        <v>1</v>
      </c>
      <c r="EJ317" s="79">
        <v>1</v>
      </c>
      <c r="EK317" s="79">
        <v>1</v>
      </c>
      <c r="EL317" s="79">
        <v>1</v>
      </c>
      <c r="EM317" s="143">
        <f t="shared" si="421"/>
        <v>0</v>
      </c>
      <c r="EN317" s="143">
        <f t="shared" si="422"/>
        <v>0</v>
      </c>
      <c r="EO317" s="82">
        <f t="shared" si="423"/>
        <v>0</v>
      </c>
    </row>
    <row r="318" spans="1:145" x14ac:dyDescent="0.25">
      <c r="A318">
        <v>304</v>
      </c>
      <c r="B318" s="172" t="e">
        <f t="shared" si="394"/>
        <v>#N/A</v>
      </c>
      <c r="C318" s="121" t="e">
        <f t="shared" si="373"/>
        <v>#N/A</v>
      </c>
      <c r="D318" s="122" t="e">
        <f t="shared" si="374"/>
        <v>#N/A</v>
      </c>
      <c r="E318" s="122" t="e">
        <f t="shared" si="375"/>
        <v>#N/A</v>
      </c>
      <c r="F318" s="176" t="e">
        <f t="shared" si="376"/>
        <v>#N/A</v>
      </c>
      <c r="G318" s="121">
        <f t="shared" si="395"/>
        <v>208</v>
      </c>
      <c r="H318" s="176" t="e">
        <f t="shared" si="396"/>
        <v>#N/A</v>
      </c>
      <c r="I318" s="48">
        <v>1</v>
      </c>
      <c r="J318" s="39"/>
      <c r="K318" s="350">
        <v>1</v>
      </c>
      <c r="L318" s="34" t="e">
        <f t="shared" si="377"/>
        <v>#N/A</v>
      </c>
      <c r="M318" s="38" t="e">
        <f>(HLOOKUP(J318,'Construction Times'!$B$3:$W$34,L318+2,FALSE)*HLOOKUP("hq modifier",'Construction Times'!$W$3:$W$34,BS318+2,FALSE))*(1-$H$9)</f>
        <v>#N/A</v>
      </c>
      <c r="N318" s="443" t="e">
        <f t="shared" si="397"/>
        <v>#N/A</v>
      </c>
      <c r="O318" s="444"/>
      <c r="P318" s="447" t="e">
        <f t="shared" si="398"/>
        <v>#N/A</v>
      </c>
      <c r="Q318" s="448"/>
      <c r="R318" s="103">
        <f t="shared" si="424"/>
        <v>0</v>
      </c>
      <c r="S318" s="104">
        <f t="shared" si="424"/>
        <v>0</v>
      </c>
      <c r="T318" s="104">
        <f t="shared" si="425"/>
        <v>0</v>
      </c>
      <c r="U318" s="104">
        <f t="shared" si="425"/>
        <v>0</v>
      </c>
      <c r="V318" s="104">
        <f t="shared" si="425"/>
        <v>9.9999999999999995E-8</v>
      </c>
      <c r="W318" s="104">
        <f t="shared" si="425"/>
        <v>0</v>
      </c>
      <c r="X318" s="104">
        <f t="shared" si="455"/>
        <v>0</v>
      </c>
      <c r="Y318" s="104">
        <f t="shared" si="455"/>
        <v>9.9999999999999995E-8</v>
      </c>
      <c r="Z318" s="104">
        <f t="shared" si="455"/>
        <v>9.9999999999999995E-8</v>
      </c>
      <c r="AA318" s="105">
        <f t="shared" si="455"/>
        <v>9.9999999999999995E-8</v>
      </c>
      <c r="AB318" s="101" t="e">
        <f>$DT318*HLOOKUP($J318,'Construction Costs (timber)'!$B$1:$V$32,'Construction Planner'!$L318+2,FALSE)</f>
        <v>#N/A</v>
      </c>
      <c r="AC318" s="14" t="e">
        <f>$DT318*HLOOKUP($J318,'Construction Costs (clay)'!$B$1:$V$32,'Construction Planner'!$L318+2,FALSE)</f>
        <v>#N/A</v>
      </c>
      <c r="AD318" s="14" t="e">
        <f>$DT318*HLOOKUP($J318,'Construction Costs (iron)'!$B$1:$V$32,'Construction Planner'!$L318+2,FALSE)</f>
        <v>#N/A</v>
      </c>
      <c r="AE318" s="34" t="e">
        <f t="shared" si="434"/>
        <v>#N/A</v>
      </c>
      <c r="AF318" s="33" t="e">
        <f t="shared" si="378"/>
        <v>#N/A</v>
      </c>
      <c r="AG318" s="14" t="e">
        <f t="shared" si="379"/>
        <v>#N/A</v>
      </c>
      <c r="AH318" s="14" t="e">
        <f t="shared" si="380"/>
        <v>#N/A</v>
      </c>
      <c r="AI318" s="34" t="e">
        <f t="shared" si="435"/>
        <v>#N/A</v>
      </c>
      <c r="AJ318" s="49" t="e">
        <f t="shared" si="399"/>
        <v>#N/A</v>
      </c>
      <c r="AK318" s="49" t="e">
        <f t="shared" si="400"/>
        <v>#N/A</v>
      </c>
      <c r="AL318" s="49" t="e">
        <f t="shared" si="401"/>
        <v>#N/A</v>
      </c>
      <c r="AM318" s="25">
        <f t="shared" si="381"/>
        <v>30</v>
      </c>
      <c r="AN318" s="25">
        <f t="shared" si="382"/>
        <v>30</v>
      </c>
      <c r="AO318" s="25">
        <f t="shared" si="383"/>
        <v>30</v>
      </c>
      <c r="AP318" s="52" t="e">
        <f t="shared" si="402"/>
        <v>#N/A</v>
      </c>
      <c r="AQ318" s="53" t="e">
        <f t="shared" si="402"/>
        <v>#N/A</v>
      </c>
      <c r="AR318" s="54" t="e">
        <f t="shared" si="402"/>
        <v>#N/A</v>
      </c>
      <c r="AS318" s="316">
        <f t="shared" si="457"/>
        <v>0</v>
      </c>
      <c r="AT318" s="106">
        <f>_xlfn.IFNA($M318/VLOOKUP($BT318,'Unit information'!$A$2:$K$29,2,FALSE)*R318,0)*(1+$E$9)</f>
        <v>0</v>
      </c>
      <c r="AU318" s="107">
        <f>_xlfn.IFNA($M318/VLOOKUP($BT318,'Unit information'!$A$2:$K$29,3,FALSE)*S318,0)*(1+$E$9)</f>
        <v>0</v>
      </c>
      <c r="AV318" s="107">
        <f>_xlfn.IFNA($M318/VLOOKUP($BT318,'Unit information'!$A$2:$K$29,4,FALSE)*T318,0)*(1+$E$9)</f>
        <v>0</v>
      </c>
      <c r="AW318" s="107">
        <f>_xlfn.IFNA($M318/VLOOKUP($BT318,'Unit information'!$A$2:$K$29,5,FALSE)*U318,0)*(1+$E$9)</f>
        <v>0</v>
      </c>
      <c r="AX318" s="107">
        <f>_xlfn.IFNA($M318/VLOOKUP($BU318,'Unit information'!$A$2:$K$29,6,FALSE)*V318,0)*(1+$E$9)</f>
        <v>0</v>
      </c>
      <c r="AY318" s="107">
        <f>_xlfn.IFNA($M318/VLOOKUP($BU318,'Unit information'!$A$2:$K$29,7,FALSE)*W318,0)*(1+$E$9)</f>
        <v>0</v>
      </c>
      <c r="AZ318" s="107">
        <f>_xlfn.IFNA($M318/VLOOKUP($BU318,'Unit information'!$A$2:$K$29,8,FALSE)*X318,0)*(1+$E$9)</f>
        <v>0</v>
      </c>
      <c r="BA318" s="107">
        <f>_xlfn.IFNA($M318/VLOOKUP($BU318,'Unit information'!$A$2:$K$29,9,FALSE)*Y318,0)*(1+$E$9)</f>
        <v>0</v>
      </c>
      <c r="BB318" s="107">
        <f>_xlfn.IFNA($M318/VLOOKUP($BV318,'Unit information'!$A$2:$K$29,10,FALSE)*Z318,0)*(1+$E$9)</f>
        <v>0</v>
      </c>
      <c r="BC318" s="108">
        <f>_xlfn.IFNA($M318/VLOOKUP($BV318,'Unit information'!$A$2:$K$29,11,FALSE)*AA318,0)*(1+$E$9)</f>
        <v>0</v>
      </c>
      <c r="BD318" s="106">
        <f t="shared" si="384"/>
        <v>0</v>
      </c>
      <c r="BE318" s="107">
        <f t="shared" si="385"/>
        <v>0</v>
      </c>
      <c r="BF318" s="108">
        <f t="shared" si="386"/>
        <v>0</v>
      </c>
      <c r="BG318" s="25" t="e">
        <f t="shared" si="387"/>
        <v>#N/A</v>
      </c>
      <c r="BH318" s="25" t="e">
        <f t="shared" si="388"/>
        <v>#N/A</v>
      </c>
      <c r="BI318" s="25" t="e">
        <f t="shared" si="389"/>
        <v>#N/A</v>
      </c>
      <c r="BJ318" s="27" t="e">
        <f t="shared" si="390"/>
        <v>#N/A</v>
      </c>
      <c r="BK318" s="18" t="e">
        <f t="shared" si="391"/>
        <v>#N/A</v>
      </c>
      <c r="BL318" s="18" t="e">
        <f t="shared" si="392"/>
        <v>#N/A</v>
      </c>
      <c r="BM318" s="28" t="e">
        <f t="shared" si="437"/>
        <v>#N/A</v>
      </c>
      <c r="BN318" s="33">
        <f>HLOOKUP("maximum population",Miscelaneous!$C$1:$C$33,CH318+3,FALSE)</f>
        <v>240</v>
      </c>
      <c r="BO318" s="14">
        <f t="shared" si="403"/>
        <v>32</v>
      </c>
      <c r="BP318" s="14">
        <f t="shared" si="404"/>
        <v>0</v>
      </c>
      <c r="BQ318" s="14">
        <f t="shared" si="405"/>
        <v>208</v>
      </c>
      <c r="BR318" s="34" t="e">
        <f>HLOOKUP(J318,Villagers!$B$1:$V$33,L318+3,FALSE)-HLOOKUP(J318,Villagers!$B$1:$V$33,L318+2,FALSE)</f>
        <v>#N/A</v>
      </c>
      <c r="BS318" s="49">
        <f t="shared" si="406"/>
        <v>1</v>
      </c>
      <c r="BT318" s="50">
        <f t="shared" si="407"/>
        <v>0</v>
      </c>
      <c r="BU318" s="50">
        <f t="shared" si="408"/>
        <v>0</v>
      </c>
      <c r="BV318" s="50">
        <f t="shared" si="409"/>
        <v>0</v>
      </c>
      <c r="BW318" s="50">
        <f t="shared" si="458"/>
        <v>0</v>
      </c>
      <c r="BX318" s="50">
        <f t="shared" si="459"/>
        <v>0</v>
      </c>
      <c r="BY318" s="50">
        <f t="shared" si="459"/>
        <v>0</v>
      </c>
      <c r="BZ318" s="50">
        <f t="shared" si="440"/>
        <v>0</v>
      </c>
      <c r="CA318" s="50">
        <f t="shared" si="441"/>
        <v>0</v>
      </c>
      <c r="CB318" s="50">
        <f t="shared" si="442"/>
        <v>1</v>
      </c>
      <c r="CC318" s="50">
        <f t="shared" si="443"/>
        <v>0</v>
      </c>
      <c r="CD318" s="50">
        <f t="shared" si="444"/>
        <v>0</v>
      </c>
      <c r="CE318" s="50">
        <f t="shared" si="445"/>
        <v>1</v>
      </c>
      <c r="CF318" s="50">
        <f t="shared" si="446"/>
        <v>1</v>
      </c>
      <c r="CG318" s="50">
        <f t="shared" si="447"/>
        <v>1</v>
      </c>
      <c r="CH318" s="50">
        <f t="shared" si="448"/>
        <v>1</v>
      </c>
      <c r="CI318" s="50">
        <f t="shared" si="449"/>
        <v>1</v>
      </c>
      <c r="CJ318" s="50">
        <f t="shared" si="450"/>
        <v>1</v>
      </c>
      <c r="CK318" s="50">
        <f t="shared" si="450"/>
        <v>0</v>
      </c>
      <c r="CL318" s="50">
        <f t="shared" si="450"/>
        <v>0</v>
      </c>
      <c r="CM318" s="51">
        <f t="shared" si="368"/>
        <v>0</v>
      </c>
      <c r="CN318" s="33">
        <f>ROUND(IF(BS318=0,0,HLOOKUP(BS$14,Villagers!$B$1:$V$33,BS318+3,FALSE)),)</f>
        <v>5</v>
      </c>
      <c r="CO318" s="14">
        <f>ROUND(IF(BT318=0,0,HLOOKUP(BT$14,Villagers!$B$1:$V$33,BT318+3,FALSE)),)</f>
        <v>0</v>
      </c>
      <c r="CP318" s="14">
        <f>ROUND(IF(BU318=0,0,HLOOKUP(BU$14,Villagers!$B$1:$V$33,BU318+3,FALSE)),)</f>
        <v>0</v>
      </c>
      <c r="CQ318" s="14">
        <f>ROUND(IF(BV318=0,0,HLOOKUP(BV$14,Villagers!$B$1:$V$33,BV318+3,FALSE)),)</f>
        <v>0</v>
      </c>
      <c r="CR318" s="14">
        <f>ROUND(IF(BW318=0,0,HLOOKUP(BW$14,Villagers!$B$1:$V$33,BW318+3,FALSE)),)</f>
        <v>0</v>
      </c>
      <c r="CS318" s="14">
        <f>ROUND(IF(BX318=0,0,HLOOKUP(BX$14,Villagers!$B$1:$V$33,BX318+3,FALSE)),)</f>
        <v>0</v>
      </c>
      <c r="CT318" s="14">
        <f>ROUND(IF(BY318=0,0,HLOOKUP(BY$14,Villagers!$B$1:$V$33,BY318+3,FALSE)),)</f>
        <v>0</v>
      </c>
      <c r="CU318" s="14">
        <f>ROUND(IF(BZ318=0,0,HLOOKUP(BZ$14,Villagers!$B$1:$V$33,BZ318+3,FALSE)),)</f>
        <v>0</v>
      </c>
      <c r="CV318" s="14">
        <f>ROUND(IF(CA318=0,0,HLOOKUP(CA$14,Villagers!$B$1:$V$33,CA318+3,FALSE)),)</f>
        <v>0</v>
      </c>
      <c r="CW318" s="14">
        <f>ROUND(IF(CB318=0,0,HLOOKUP(CB$14,Villagers!$B$1:$V$33,CB318+3,FALSE)),)</f>
        <v>0</v>
      </c>
      <c r="CX318" s="14">
        <f>ROUND(IF(CC318=0,0,HLOOKUP(CC$14,Villagers!$B$1:$V$33,CC318+3,FALSE)),)</f>
        <v>0</v>
      </c>
      <c r="CY318" s="14">
        <f>ROUND(IF(CD318=0,0,HLOOKUP(CD$14,Villagers!$B$1:$V$33,CD318+3,FALSE)),)</f>
        <v>0</v>
      </c>
      <c r="CZ318" s="14">
        <f>ROUND(IF(CE318=0,0,HLOOKUP(CE$14,Villagers!$B$1:$V$33,CE318+3,FALSE)),)</f>
        <v>5</v>
      </c>
      <c r="DA318" s="14">
        <f>ROUND(IF(CF318=0,0,HLOOKUP(CF$14,Villagers!$B$1:$V$33,CF318+3,FALSE)),)</f>
        <v>10</v>
      </c>
      <c r="DB318" s="14">
        <f>ROUND(IF(CG318=0,0,HLOOKUP(CG$14,Villagers!$B$1:$V$33,CG318+3,FALSE)),)</f>
        <v>10</v>
      </c>
      <c r="DC318" s="14">
        <f>ROUND(IF(CH318=0,0,HLOOKUP(CH$14,Villagers!$B$1:$V$33,CH318+3,FALSE)),)</f>
        <v>0</v>
      </c>
      <c r="DD318" s="14">
        <f>ROUND(IF(CI318=0,0,HLOOKUP(CI$14,Villagers!$B$1:$V$33,CI318+3,FALSE)),)</f>
        <v>0</v>
      </c>
      <c r="DE318" s="14">
        <f>ROUND(IF(CJ318=0,0,HLOOKUP(CJ$14,Villagers!$B$1:$V$33,CJ318+3,FALSE)),)</f>
        <v>2</v>
      </c>
      <c r="DF318" s="370">
        <f>ROUND(IF(CK318=0,0,HLOOKUP(CK$14,Villagers!$B$1:$V$33,CK318+3,FALSE)),)</f>
        <v>0</v>
      </c>
      <c r="DG318" s="370">
        <f>ROUND(IF(CL318=0,0,HLOOKUP(CL$14,Villagers!$B$1:$V$33,CL318+3,FALSE)),)</f>
        <v>0</v>
      </c>
      <c r="DH318" s="34">
        <f>ROUND(IF(CM318=0,0,HLOOKUP(CM$14,Villagers!$B$1:$V$33,CM318+3,FALSE)),)</f>
        <v>0</v>
      </c>
      <c r="DI318" s="109">
        <f t="shared" si="426"/>
        <v>0</v>
      </c>
      <c r="DJ318" s="50">
        <f t="shared" si="427"/>
        <v>0</v>
      </c>
      <c r="DK318" s="50">
        <f t="shared" si="428"/>
        <v>0</v>
      </c>
      <c r="DL318" s="50">
        <f t="shared" si="429"/>
        <v>0</v>
      </c>
      <c r="DM318" s="50">
        <f t="shared" si="430"/>
        <v>0</v>
      </c>
      <c r="DN318" s="50">
        <f t="shared" si="431"/>
        <v>0</v>
      </c>
      <c r="DO318" s="50">
        <f t="shared" si="432"/>
        <v>0</v>
      </c>
      <c r="DP318" s="50">
        <f t="shared" si="433"/>
        <v>0</v>
      </c>
      <c r="DQ318" s="50">
        <f t="shared" si="411"/>
        <v>0</v>
      </c>
      <c r="DR318" s="50">
        <f t="shared" si="412"/>
        <v>0</v>
      </c>
      <c r="DS318" s="96">
        <f>Miscelaneous!$D$4*Miscelaneous!$D$2^($CI318-1)</f>
        <v>1000</v>
      </c>
      <c r="DT318" s="333">
        <f t="shared" si="393"/>
        <v>1</v>
      </c>
      <c r="DU318" s="81">
        <v>1</v>
      </c>
      <c r="DV318" s="79">
        <f t="shared" si="413"/>
        <v>0</v>
      </c>
      <c r="DW318" s="79">
        <f t="shared" si="414"/>
        <v>0</v>
      </c>
      <c r="DX318" s="79">
        <f t="shared" si="415"/>
        <v>0</v>
      </c>
      <c r="DY318" s="79">
        <v>1</v>
      </c>
      <c r="DZ318" s="79">
        <f t="shared" si="416"/>
        <v>0</v>
      </c>
      <c r="EA318" s="79">
        <f t="shared" si="417"/>
        <v>0</v>
      </c>
      <c r="EB318" s="79">
        <f t="shared" si="418"/>
        <v>0</v>
      </c>
      <c r="EC318" s="79">
        <f t="shared" si="419"/>
        <v>0</v>
      </c>
      <c r="ED318" s="79">
        <v>1</v>
      </c>
      <c r="EE318" s="79">
        <v>1</v>
      </c>
      <c r="EF318" s="79">
        <f t="shared" si="420"/>
        <v>0</v>
      </c>
      <c r="EG318" s="79">
        <v>1</v>
      </c>
      <c r="EH318" s="79">
        <v>1</v>
      </c>
      <c r="EI318" s="79">
        <v>1</v>
      </c>
      <c r="EJ318" s="79">
        <v>1</v>
      </c>
      <c r="EK318" s="79">
        <v>1</v>
      </c>
      <c r="EL318" s="79">
        <v>1</v>
      </c>
      <c r="EM318" s="143">
        <f t="shared" si="421"/>
        <v>0</v>
      </c>
      <c r="EN318" s="143">
        <f t="shared" si="422"/>
        <v>0</v>
      </c>
      <c r="EO318" s="82">
        <f t="shared" si="423"/>
        <v>0</v>
      </c>
    </row>
    <row r="319" spans="1:145" x14ac:dyDescent="0.25">
      <c r="A319">
        <v>305</v>
      </c>
      <c r="B319" s="172" t="e">
        <f t="shared" si="394"/>
        <v>#N/A</v>
      </c>
      <c r="C319" s="121" t="e">
        <f t="shared" si="373"/>
        <v>#N/A</v>
      </c>
      <c r="D319" s="122" t="e">
        <f t="shared" si="374"/>
        <v>#N/A</v>
      </c>
      <c r="E319" s="122" t="e">
        <f t="shared" si="375"/>
        <v>#N/A</v>
      </c>
      <c r="F319" s="176" t="e">
        <f t="shared" si="376"/>
        <v>#N/A</v>
      </c>
      <c r="G319" s="121">
        <f t="shared" si="395"/>
        <v>208</v>
      </c>
      <c r="H319" s="176" t="e">
        <f t="shared" si="396"/>
        <v>#N/A</v>
      </c>
      <c r="I319" s="48">
        <v>1</v>
      </c>
      <c r="J319" s="39"/>
      <c r="K319" s="350">
        <v>1</v>
      </c>
      <c r="L319" s="34" t="e">
        <f t="shared" si="377"/>
        <v>#N/A</v>
      </c>
      <c r="M319" s="38" t="e">
        <f>(HLOOKUP(J319,'Construction Times'!$B$3:$W$34,L319+2,FALSE)*HLOOKUP("hq modifier",'Construction Times'!$W$3:$W$34,BS319+2,FALSE))*(1-$H$9)</f>
        <v>#N/A</v>
      </c>
      <c r="N319" s="443" t="e">
        <f t="shared" si="397"/>
        <v>#N/A</v>
      </c>
      <c r="O319" s="444"/>
      <c r="P319" s="447" t="e">
        <f t="shared" si="398"/>
        <v>#N/A</v>
      </c>
      <c r="Q319" s="448"/>
      <c r="R319" s="103">
        <f t="shared" si="424"/>
        <v>0</v>
      </c>
      <c r="S319" s="104">
        <f t="shared" si="424"/>
        <v>0</v>
      </c>
      <c r="T319" s="104">
        <f t="shared" si="425"/>
        <v>0</v>
      </c>
      <c r="U319" s="104">
        <f t="shared" si="425"/>
        <v>0</v>
      </c>
      <c r="V319" s="104">
        <f t="shared" si="425"/>
        <v>9.9999999999999995E-8</v>
      </c>
      <c r="W319" s="104">
        <f t="shared" si="425"/>
        <v>0</v>
      </c>
      <c r="X319" s="104">
        <f t="shared" si="455"/>
        <v>0</v>
      </c>
      <c r="Y319" s="104">
        <f t="shared" si="455"/>
        <v>9.9999999999999995E-8</v>
      </c>
      <c r="Z319" s="104">
        <f t="shared" si="455"/>
        <v>9.9999999999999995E-8</v>
      </c>
      <c r="AA319" s="105">
        <f t="shared" si="455"/>
        <v>9.9999999999999995E-8</v>
      </c>
      <c r="AB319" s="101" t="e">
        <f>$DT319*HLOOKUP($J319,'Construction Costs (timber)'!$B$1:$V$32,'Construction Planner'!$L319+2,FALSE)</f>
        <v>#N/A</v>
      </c>
      <c r="AC319" s="14" t="e">
        <f>$DT319*HLOOKUP($J319,'Construction Costs (clay)'!$B$1:$V$32,'Construction Planner'!$L319+2,FALSE)</f>
        <v>#N/A</v>
      </c>
      <c r="AD319" s="14" t="e">
        <f>$DT319*HLOOKUP($J319,'Construction Costs (iron)'!$B$1:$V$32,'Construction Planner'!$L319+2,FALSE)</f>
        <v>#N/A</v>
      </c>
      <c r="AE319" s="34" t="e">
        <f t="shared" si="434"/>
        <v>#N/A</v>
      </c>
      <c r="AF319" s="33" t="e">
        <f t="shared" si="378"/>
        <v>#N/A</v>
      </c>
      <c r="AG319" s="14" t="e">
        <f t="shared" si="379"/>
        <v>#N/A</v>
      </c>
      <c r="AH319" s="14" t="e">
        <f t="shared" si="380"/>
        <v>#N/A</v>
      </c>
      <c r="AI319" s="34" t="e">
        <f t="shared" si="435"/>
        <v>#N/A</v>
      </c>
      <c r="AJ319" s="49" t="e">
        <f t="shared" si="399"/>
        <v>#N/A</v>
      </c>
      <c r="AK319" s="49" t="e">
        <f t="shared" si="400"/>
        <v>#N/A</v>
      </c>
      <c r="AL319" s="49" t="e">
        <f t="shared" si="401"/>
        <v>#N/A</v>
      </c>
      <c r="AM319" s="25">
        <f t="shared" si="381"/>
        <v>30</v>
      </c>
      <c r="AN319" s="25">
        <f t="shared" si="382"/>
        <v>30</v>
      </c>
      <c r="AO319" s="25">
        <f t="shared" si="383"/>
        <v>30</v>
      </c>
      <c r="AP319" s="52" t="e">
        <f t="shared" si="402"/>
        <v>#N/A</v>
      </c>
      <c r="AQ319" s="53" t="e">
        <f t="shared" si="402"/>
        <v>#N/A</v>
      </c>
      <c r="AR319" s="54" t="e">
        <f t="shared" si="402"/>
        <v>#N/A</v>
      </c>
      <c r="AS319" s="316">
        <f t="shared" si="457"/>
        <v>0</v>
      </c>
      <c r="AT319" s="106">
        <f>_xlfn.IFNA($M319/VLOOKUP($BT319,'Unit information'!$A$2:$K$29,2,FALSE)*R319,0)*(1+$E$9)</f>
        <v>0</v>
      </c>
      <c r="AU319" s="107">
        <f>_xlfn.IFNA($M319/VLOOKUP($BT319,'Unit information'!$A$2:$K$29,3,FALSE)*S319,0)*(1+$E$9)</f>
        <v>0</v>
      </c>
      <c r="AV319" s="107">
        <f>_xlfn.IFNA($M319/VLOOKUP($BT319,'Unit information'!$A$2:$K$29,4,FALSE)*T319,0)*(1+$E$9)</f>
        <v>0</v>
      </c>
      <c r="AW319" s="107">
        <f>_xlfn.IFNA($M319/VLOOKUP($BT319,'Unit information'!$A$2:$K$29,5,FALSE)*U319,0)*(1+$E$9)</f>
        <v>0</v>
      </c>
      <c r="AX319" s="107">
        <f>_xlfn.IFNA($M319/VLOOKUP($BU319,'Unit information'!$A$2:$K$29,6,FALSE)*V319,0)*(1+$E$9)</f>
        <v>0</v>
      </c>
      <c r="AY319" s="107">
        <f>_xlfn.IFNA($M319/VLOOKUP($BU319,'Unit information'!$A$2:$K$29,7,FALSE)*W319,0)*(1+$E$9)</f>
        <v>0</v>
      </c>
      <c r="AZ319" s="107">
        <f>_xlfn.IFNA($M319/VLOOKUP($BU319,'Unit information'!$A$2:$K$29,8,FALSE)*X319,0)*(1+$E$9)</f>
        <v>0</v>
      </c>
      <c r="BA319" s="107">
        <f>_xlfn.IFNA($M319/VLOOKUP($BU319,'Unit information'!$A$2:$K$29,9,FALSE)*Y319,0)*(1+$E$9)</f>
        <v>0</v>
      </c>
      <c r="BB319" s="107">
        <f>_xlfn.IFNA($M319/VLOOKUP($BV319,'Unit information'!$A$2:$K$29,10,FALSE)*Z319,0)*(1+$E$9)</f>
        <v>0</v>
      </c>
      <c r="BC319" s="108">
        <f>_xlfn.IFNA($M319/VLOOKUP($BV319,'Unit information'!$A$2:$K$29,11,FALSE)*AA319,0)*(1+$E$9)</f>
        <v>0</v>
      </c>
      <c r="BD319" s="106">
        <f t="shared" si="384"/>
        <v>0</v>
      </c>
      <c r="BE319" s="107">
        <f t="shared" si="385"/>
        <v>0</v>
      </c>
      <c r="BF319" s="108">
        <f t="shared" si="386"/>
        <v>0</v>
      </c>
      <c r="BG319" s="25" t="e">
        <f t="shared" si="387"/>
        <v>#N/A</v>
      </c>
      <c r="BH319" s="25" t="e">
        <f t="shared" si="388"/>
        <v>#N/A</v>
      </c>
      <c r="BI319" s="25" t="e">
        <f t="shared" si="389"/>
        <v>#N/A</v>
      </c>
      <c r="BJ319" s="27" t="e">
        <f t="shared" si="390"/>
        <v>#N/A</v>
      </c>
      <c r="BK319" s="18" t="e">
        <f t="shared" si="391"/>
        <v>#N/A</v>
      </c>
      <c r="BL319" s="18" t="e">
        <f t="shared" si="392"/>
        <v>#N/A</v>
      </c>
      <c r="BM319" s="28" t="e">
        <f t="shared" si="437"/>
        <v>#N/A</v>
      </c>
      <c r="BN319" s="33">
        <f>HLOOKUP("maximum population",Miscelaneous!$C$1:$C$33,CH319+3,FALSE)</f>
        <v>240</v>
      </c>
      <c r="BO319" s="14">
        <f t="shared" si="403"/>
        <v>32</v>
      </c>
      <c r="BP319" s="14">
        <f t="shared" si="404"/>
        <v>0</v>
      </c>
      <c r="BQ319" s="14">
        <f t="shared" si="405"/>
        <v>208</v>
      </c>
      <c r="BR319" s="34" t="e">
        <f>HLOOKUP(J319,Villagers!$B$1:$V$33,L319+3,FALSE)-HLOOKUP(J319,Villagers!$B$1:$V$33,L319+2,FALSE)</f>
        <v>#N/A</v>
      </c>
      <c r="BS319" s="49">
        <f t="shared" si="406"/>
        <v>1</v>
      </c>
      <c r="BT319" s="50">
        <f t="shared" si="407"/>
        <v>0</v>
      </c>
      <c r="BU319" s="50">
        <f t="shared" si="408"/>
        <v>0</v>
      </c>
      <c r="BV319" s="50">
        <f t="shared" si="409"/>
        <v>0</v>
      </c>
      <c r="BW319" s="50">
        <f t="shared" si="458"/>
        <v>0</v>
      </c>
      <c r="BX319" s="50">
        <f t="shared" si="459"/>
        <v>0</v>
      </c>
      <c r="BY319" s="50">
        <f t="shared" si="459"/>
        <v>0</v>
      </c>
      <c r="BZ319" s="50">
        <f t="shared" si="440"/>
        <v>0</v>
      </c>
      <c r="CA319" s="50">
        <f t="shared" si="441"/>
        <v>0</v>
      </c>
      <c r="CB319" s="50">
        <f t="shared" si="442"/>
        <v>1</v>
      </c>
      <c r="CC319" s="50">
        <f t="shared" si="443"/>
        <v>0</v>
      </c>
      <c r="CD319" s="50">
        <f t="shared" si="444"/>
        <v>0</v>
      </c>
      <c r="CE319" s="50">
        <f t="shared" si="445"/>
        <v>1</v>
      </c>
      <c r="CF319" s="50">
        <f t="shared" si="446"/>
        <v>1</v>
      </c>
      <c r="CG319" s="50">
        <f t="shared" si="447"/>
        <v>1</v>
      </c>
      <c r="CH319" s="50">
        <f t="shared" si="448"/>
        <v>1</v>
      </c>
      <c r="CI319" s="50">
        <f t="shared" si="449"/>
        <v>1</v>
      </c>
      <c r="CJ319" s="50">
        <f t="shared" si="450"/>
        <v>1</v>
      </c>
      <c r="CK319" s="50">
        <f t="shared" si="450"/>
        <v>0</v>
      </c>
      <c r="CL319" s="50">
        <f t="shared" si="450"/>
        <v>0</v>
      </c>
      <c r="CM319" s="51">
        <f t="shared" ref="CM319:CM334" si="460">IF($J318=CM$14,$L318,CM318)</f>
        <v>0</v>
      </c>
      <c r="CN319" s="33">
        <f>ROUND(IF(BS319=0,0,HLOOKUP(BS$14,Villagers!$B$1:$V$33,BS319+3,FALSE)),)</f>
        <v>5</v>
      </c>
      <c r="CO319" s="14">
        <f>ROUND(IF(BT319=0,0,HLOOKUP(BT$14,Villagers!$B$1:$V$33,BT319+3,FALSE)),)</f>
        <v>0</v>
      </c>
      <c r="CP319" s="14">
        <f>ROUND(IF(BU319=0,0,HLOOKUP(BU$14,Villagers!$B$1:$V$33,BU319+3,FALSE)),)</f>
        <v>0</v>
      </c>
      <c r="CQ319" s="14">
        <f>ROUND(IF(BV319=0,0,HLOOKUP(BV$14,Villagers!$B$1:$V$33,BV319+3,FALSE)),)</f>
        <v>0</v>
      </c>
      <c r="CR319" s="14">
        <f>ROUND(IF(BW319=0,0,HLOOKUP(BW$14,Villagers!$B$1:$V$33,BW319+3,FALSE)),)</f>
        <v>0</v>
      </c>
      <c r="CS319" s="14">
        <f>ROUND(IF(BX319=0,0,HLOOKUP(BX$14,Villagers!$B$1:$V$33,BX319+3,FALSE)),)</f>
        <v>0</v>
      </c>
      <c r="CT319" s="14">
        <f>ROUND(IF(BY319=0,0,HLOOKUP(BY$14,Villagers!$B$1:$V$33,BY319+3,FALSE)),)</f>
        <v>0</v>
      </c>
      <c r="CU319" s="14">
        <f>ROUND(IF(BZ319=0,0,HLOOKUP(BZ$14,Villagers!$B$1:$V$33,BZ319+3,FALSE)),)</f>
        <v>0</v>
      </c>
      <c r="CV319" s="14">
        <f>ROUND(IF(CA319=0,0,HLOOKUP(CA$14,Villagers!$B$1:$V$33,CA319+3,FALSE)),)</f>
        <v>0</v>
      </c>
      <c r="CW319" s="14">
        <f>ROUND(IF(CB319=0,0,HLOOKUP(CB$14,Villagers!$B$1:$V$33,CB319+3,FALSE)),)</f>
        <v>0</v>
      </c>
      <c r="CX319" s="14">
        <f>ROUND(IF(CC319=0,0,HLOOKUP(CC$14,Villagers!$B$1:$V$33,CC319+3,FALSE)),)</f>
        <v>0</v>
      </c>
      <c r="CY319" s="14">
        <f>ROUND(IF(CD319=0,0,HLOOKUP(CD$14,Villagers!$B$1:$V$33,CD319+3,FALSE)),)</f>
        <v>0</v>
      </c>
      <c r="CZ319" s="14">
        <f>ROUND(IF(CE319=0,0,HLOOKUP(CE$14,Villagers!$B$1:$V$33,CE319+3,FALSE)),)</f>
        <v>5</v>
      </c>
      <c r="DA319" s="14">
        <f>ROUND(IF(CF319=0,0,HLOOKUP(CF$14,Villagers!$B$1:$V$33,CF319+3,FALSE)),)</f>
        <v>10</v>
      </c>
      <c r="DB319" s="14">
        <f>ROUND(IF(CG319=0,0,HLOOKUP(CG$14,Villagers!$B$1:$V$33,CG319+3,FALSE)),)</f>
        <v>10</v>
      </c>
      <c r="DC319" s="14">
        <f>ROUND(IF(CH319=0,0,HLOOKUP(CH$14,Villagers!$B$1:$V$33,CH319+3,FALSE)),)</f>
        <v>0</v>
      </c>
      <c r="DD319" s="14">
        <f>ROUND(IF(CI319=0,0,HLOOKUP(CI$14,Villagers!$B$1:$V$33,CI319+3,FALSE)),)</f>
        <v>0</v>
      </c>
      <c r="DE319" s="14">
        <f>ROUND(IF(CJ319=0,0,HLOOKUP(CJ$14,Villagers!$B$1:$V$33,CJ319+3,FALSE)),)</f>
        <v>2</v>
      </c>
      <c r="DF319" s="370">
        <f>ROUND(IF(CK319=0,0,HLOOKUP(CK$14,Villagers!$B$1:$V$33,CK319+3,FALSE)),)</f>
        <v>0</v>
      </c>
      <c r="DG319" s="370">
        <f>ROUND(IF(CL319=0,0,HLOOKUP(CL$14,Villagers!$B$1:$V$33,CL319+3,FALSE)),)</f>
        <v>0</v>
      </c>
      <c r="DH319" s="34">
        <f>ROUND(IF(CM319=0,0,HLOOKUP(CM$14,Villagers!$B$1:$V$33,CM319+3,FALSE)),)</f>
        <v>0</v>
      </c>
      <c r="DI319" s="109">
        <f t="shared" si="426"/>
        <v>0</v>
      </c>
      <c r="DJ319" s="50">
        <f t="shared" si="427"/>
        <v>0</v>
      </c>
      <c r="DK319" s="50">
        <f t="shared" si="428"/>
        <v>0</v>
      </c>
      <c r="DL319" s="50">
        <f t="shared" si="429"/>
        <v>0</v>
      </c>
      <c r="DM319" s="50">
        <f t="shared" si="430"/>
        <v>0</v>
      </c>
      <c r="DN319" s="50">
        <f t="shared" si="431"/>
        <v>0</v>
      </c>
      <c r="DO319" s="50">
        <f t="shared" si="432"/>
        <v>0</v>
      </c>
      <c r="DP319" s="50">
        <f t="shared" si="433"/>
        <v>0</v>
      </c>
      <c r="DQ319" s="50">
        <f t="shared" si="411"/>
        <v>0</v>
      </c>
      <c r="DR319" s="50">
        <f t="shared" si="412"/>
        <v>0</v>
      </c>
      <c r="DS319" s="96">
        <f>Miscelaneous!$D$4*Miscelaneous!$D$2^($CI319-1)</f>
        <v>1000</v>
      </c>
      <c r="DT319" s="333">
        <f t="shared" si="393"/>
        <v>1</v>
      </c>
      <c r="DU319" s="81">
        <v>1</v>
      </c>
      <c r="DV319" s="79">
        <f t="shared" si="413"/>
        <v>0</v>
      </c>
      <c r="DW319" s="79">
        <f t="shared" si="414"/>
        <v>0</v>
      </c>
      <c r="DX319" s="79">
        <f t="shared" si="415"/>
        <v>0</v>
      </c>
      <c r="DY319" s="79">
        <v>1</v>
      </c>
      <c r="DZ319" s="79">
        <f t="shared" si="416"/>
        <v>0</v>
      </c>
      <c r="EA319" s="79">
        <f t="shared" si="417"/>
        <v>0</v>
      </c>
      <c r="EB319" s="79">
        <f t="shared" si="418"/>
        <v>0</v>
      </c>
      <c r="EC319" s="79">
        <f t="shared" si="419"/>
        <v>0</v>
      </c>
      <c r="ED319" s="79">
        <v>1</v>
      </c>
      <c r="EE319" s="79">
        <v>1</v>
      </c>
      <c r="EF319" s="79">
        <f t="shared" si="420"/>
        <v>0</v>
      </c>
      <c r="EG319" s="79">
        <v>1</v>
      </c>
      <c r="EH319" s="79">
        <v>1</v>
      </c>
      <c r="EI319" s="79">
        <v>1</v>
      </c>
      <c r="EJ319" s="79">
        <v>1</v>
      </c>
      <c r="EK319" s="79">
        <v>1</v>
      </c>
      <c r="EL319" s="79">
        <v>1</v>
      </c>
      <c r="EM319" s="143">
        <f t="shared" si="421"/>
        <v>0</v>
      </c>
      <c r="EN319" s="143">
        <f t="shared" si="422"/>
        <v>0</v>
      </c>
      <c r="EO319" s="82">
        <f t="shared" si="423"/>
        <v>0</v>
      </c>
    </row>
    <row r="320" spans="1:145" x14ac:dyDescent="0.25">
      <c r="A320">
        <v>306</v>
      </c>
      <c r="B320" s="172" t="e">
        <f t="shared" si="394"/>
        <v>#N/A</v>
      </c>
      <c r="C320" s="121" t="e">
        <f t="shared" si="373"/>
        <v>#N/A</v>
      </c>
      <c r="D320" s="122" t="e">
        <f t="shared" si="374"/>
        <v>#N/A</v>
      </c>
      <c r="E320" s="122" t="e">
        <f t="shared" si="375"/>
        <v>#N/A</v>
      </c>
      <c r="F320" s="176" t="e">
        <f t="shared" si="376"/>
        <v>#N/A</v>
      </c>
      <c r="G320" s="121">
        <f t="shared" si="395"/>
        <v>208</v>
      </c>
      <c r="H320" s="176" t="e">
        <f t="shared" si="396"/>
        <v>#N/A</v>
      </c>
      <c r="I320" s="48">
        <v>1</v>
      </c>
      <c r="J320" s="39"/>
      <c r="K320" s="350">
        <v>1</v>
      </c>
      <c r="L320" s="34" t="e">
        <f t="shared" si="377"/>
        <v>#N/A</v>
      </c>
      <c r="M320" s="38" t="e">
        <f>(HLOOKUP(J320,'Construction Times'!$B$3:$W$34,L320+2,FALSE)*HLOOKUP("hq modifier",'Construction Times'!$W$3:$W$34,BS320+2,FALSE))*(1-$H$9)</f>
        <v>#N/A</v>
      </c>
      <c r="N320" s="443" t="e">
        <f t="shared" si="397"/>
        <v>#N/A</v>
      </c>
      <c r="O320" s="444"/>
      <c r="P320" s="447" t="e">
        <f t="shared" si="398"/>
        <v>#N/A</v>
      </c>
      <c r="Q320" s="448"/>
      <c r="R320" s="103">
        <f t="shared" si="424"/>
        <v>0</v>
      </c>
      <c r="S320" s="104">
        <f t="shared" si="424"/>
        <v>0</v>
      </c>
      <c r="T320" s="104">
        <f t="shared" si="425"/>
        <v>0</v>
      </c>
      <c r="U320" s="104">
        <f t="shared" si="425"/>
        <v>0</v>
      </c>
      <c r="V320" s="104">
        <f t="shared" si="425"/>
        <v>9.9999999999999995E-8</v>
      </c>
      <c r="W320" s="104">
        <f t="shared" si="425"/>
        <v>0</v>
      </c>
      <c r="X320" s="104">
        <f t="shared" si="455"/>
        <v>0</v>
      </c>
      <c r="Y320" s="104">
        <f t="shared" si="455"/>
        <v>9.9999999999999995E-8</v>
      </c>
      <c r="Z320" s="104">
        <f t="shared" si="455"/>
        <v>9.9999999999999995E-8</v>
      </c>
      <c r="AA320" s="105">
        <f t="shared" si="455"/>
        <v>9.9999999999999995E-8</v>
      </c>
      <c r="AB320" s="101" t="e">
        <f>$DT320*HLOOKUP($J320,'Construction Costs (timber)'!$B$1:$V$32,'Construction Planner'!$L320+2,FALSE)</f>
        <v>#N/A</v>
      </c>
      <c r="AC320" s="14" t="e">
        <f>$DT320*HLOOKUP($J320,'Construction Costs (clay)'!$B$1:$V$32,'Construction Planner'!$L320+2,FALSE)</f>
        <v>#N/A</v>
      </c>
      <c r="AD320" s="14" t="e">
        <f>$DT320*HLOOKUP($J320,'Construction Costs (iron)'!$B$1:$V$32,'Construction Planner'!$L320+2,FALSE)</f>
        <v>#N/A</v>
      </c>
      <c r="AE320" s="34" t="e">
        <f t="shared" si="434"/>
        <v>#N/A</v>
      </c>
      <c r="AF320" s="33" t="e">
        <f t="shared" si="378"/>
        <v>#N/A</v>
      </c>
      <c r="AG320" s="14" t="e">
        <f t="shared" si="379"/>
        <v>#N/A</v>
      </c>
      <c r="AH320" s="14" t="e">
        <f t="shared" si="380"/>
        <v>#N/A</v>
      </c>
      <c r="AI320" s="34" t="e">
        <f t="shared" si="435"/>
        <v>#N/A</v>
      </c>
      <c r="AJ320" s="49" t="e">
        <f t="shared" si="399"/>
        <v>#N/A</v>
      </c>
      <c r="AK320" s="49" t="e">
        <f t="shared" si="400"/>
        <v>#N/A</v>
      </c>
      <c r="AL320" s="49" t="e">
        <f t="shared" si="401"/>
        <v>#N/A</v>
      </c>
      <c r="AM320" s="25">
        <f t="shared" si="381"/>
        <v>30</v>
      </c>
      <c r="AN320" s="25">
        <f t="shared" si="382"/>
        <v>30</v>
      </c>
      <c r="AO320" s="25">
        <f t="shared" si="383"/>
        <v>30</v>
      </c>
      <c r="AP320" s="52" t="e">
        <f t="shared" si="402"/>
        <v>#N/A</v>
      </c>
      <c r="AQ320" s="53" t="e">
        <f t="shared" si="402"/>
        <v>#N/A</v>
      </c>
      <c r="AR320" s="54" t="e">
        <f t="shared" si="402"/>
        <v>#N/A</v>
      </c>
      <c r="AS320" s="316">
        <f t="shared" si="457"/>
        <v>0</v>
      </c>
      <c r="AT320" s="106">
        <f>_xlfn.IFNA($M320/VLOOKUP($BT320,'Unit information'!$A$2:$K$29,2,FALSE)*R320,0)*(1+$E$9)</f>
        <v>0</v>
      </c>
      <c r="AU320" s="107">
        <f>_xlfn.IFNA($M320/VLOOKUP($BT320,'Unit information'!$A$2:$K$29,3,FALSE)*S320,0)*(1+$E$9)</f>
        <v>0</v>
      </c>
      <c r="AV320" s="107">
        <f>_xlfn.IFNA($M320/VLOOKUP($BT320,'Unit information'!$A$2:$K$29,4,FALSE)*T320,0)*(1+$E$9)</f>
        <v>0</v>
      </c>
      <c r="AW320" s="107">
        <f>_xlfn.IFNA($M320/VLOOKUP($BT320,'Unit information'!$A$2:$K$29,5,FALSE)*U320,0)*(1+$E$9)</f>
        <v>0</v>
      </c>
      <c r="AX320" s="107">
        <f>_xlfn.IFNA($M320/VLOOKUP($BU320,'Unit information'!$A$2:$K$29,6,FALSE)*V320,0)*(1+$E$9)</f>
        <v>0</v>
      </c>
      <c r="AY320" s="107">
        <f>_xlfn.IFNA($M320/VLOOKUP($BU320,'Unit information'!$A$2:$K$29,7,FALSE)*W320,0)*(1+$E$9)</f>
        <v>0</v>
      </c>
      <c r="AZ320" s="107">
        <f>_xlfn.IFNA($M320/VLOOKUP($BU320,'Unit information'!$A$2:$K$29,8,FALSE)*X320,0)*(1+$E$9)</f>
        <v>0</v>
      </c>
      <c r="BA320" s="107">
        <f>_xlfn.IFNA($M320/VLOOKUP($BU320,'Unit information'!$A$2:$K$29,9,FALSE)*Y320,0)*(1+$E$9)</f>
        <v>0</v>
      </c>
      <c r="BB320" s="107">
        <f>_xlfn.IFNA($M320/VLOOKUP($BV320,'Unit information'!$A$2:$K$29,10,FALSE)*Z320,0)*(1+$E$9)</f>
        <v>0</v>
      </c>
      <c r="BC320" s="108">
        <f>_xlfn.IFNA($M320/VLOOKUP($BV320,'Unit information'!$A$2:$K$29,11,FALSE)*AA320,0)*(1+$E$9)</f>
        <v>0</v>
      </c>
      <c r="BD320" s="106">
        <f t="shared" si="384"/>
        <v>0</v>
      </c>
      <c r="BE320" s="107">
        <f t="shared" si="385"/>
        <v>0</v>
      </c>
      <c r="BF320" s="108">
        <f t="shared" si="386"/>
        <v>0</v>
      </c>
      <c r="BG320" s="25" t="e">
        <f t="shared" si="387"/>
        <v>#N/A</v>
      </c>
      <c r="BH320" s="25" t="e">
        <f t="shared" si="388"/>
        <v>#N/A</v>
      </c>
      <c r="BI320" s="25" t="e">
        <f t="shared" si="389"/>
        <v>#N/A</v>
      </c>
      <c r="BJ320" s="27" t="e">
        <f t="shared" si="390"/>
        <v>#N/A</v>
      </c>
      <c r="BK320" s="18" t="e">
        <f t="shared" si="391"/>
        <v>#N/A</v>
      </c>
      <c r="BL320" s="18" t="e">
        <f t="shared" si="392"/>
        <v>#N/A</v>
      </c>
      <c r="BM320" s="28" t="e">
        <f t="shared" si="437"/>
        <v>#N/A</v>
      </c>
      <c r="BN320" s="33">
        <f>HLOOKUP("maximum population",Miscelaneous!$C$1:$C$33,CH320+3,FALSE)</f>
        <v>240</v>
      </c>
      <c r="BO320" s="14">
        <f t="shared" si="403"/>
        <v>32</v>
      </c>
      <c r="BP320" s="14">
        <f t="shared" si="404"/>
        <v>0</v>
      </c>
      <c r="BQ320" s="14">
        <f t="shared" si="405"/>
        <v>208</v>
      </c>
      <c r="BR320" s="34" t="e">
        <f>HLOOKUP(J320,Villagers!$B$1:$V$33,L320+3,FALSE)-HLOOKUP(J320,Villagers!$B$1:$V$33,L320+2,FALSE)</f>
        <v>#N/A</v>
      </c>
      <c r="BS320" s="49">
        <f t="shared" si="406"/>
        <v>1</v>
      </c>
      <c r="BT320" s="50">
        <f t="shared" si="407"/>
        <v>0</v>
      </c>
      <c r="BU320" s="50">
        <f t="shared" si="408"/>
        <v>0</v>
      </c>
      <c r="BV320" s="50">
        <f t="shared" si="409"/>
        <v>0</v>
      </c>
      <c r="BW320" s="50">
        <f t="shared" si="458"/>
        <v>0</v>
      </c>
      <c r="BX320" s="50">
        <f t="shared" si="459"/>
        <v>0</v>
      </c>
      <c r="BY320" s="50">
        <f t="shared" si="459"/>
        <v>0</v>
      </c>
      <c r="BZ320" s="50">
        <f t="shared" si="440"/>
        <v>0</v>
      </c>
      <c r="CA320" s="50">
        <f t="shared" si="441"/>
        <v>0</v>
      </c>
      <c r="CB320" s="50">
        <f t="shared" si="442"/>
        <v>1</v>
      </c>
      <c r="CC320" s="50">
        <f t="shared" si="443"/>
        <v>0</v>
      </c>
      <c r="CD320" s="50">
        <f t="shared" si="444"/>
        <v>0</v>
      </c>
      <c r="CE320" s="50">
        <f t="shared" si="445"/>
        <v>1</v>
      </c>
      <c r="CF320" s="50">
        <f t="shared" si="446"/>
        <v>1</v>
      </c>
      <c r="CG320" s="50">
        <f t="shared" si="447"/>
        <v>1</v>
      </c>
      <c r="CH320" s="50">
        <f t="shared" si="448"/>
        <v>1</v>
      </c>
      <c r="CI320" s="50">
        <f t="shared" si="449"/>
        <v>1</v>
      </c>
      <c r="CJ320" s="50">
        <f t="shared" si="450"/>
        <v>1</v>
      </c>
      <c r="CK320" s="50">
        <f t="shared" si="450"/>
        <v>0</v>
      </c>
      <c r="CL320" s="50">
        <f t="shared" si="450"/>
        <v>0</v>
      </c>
      <c r="CM320" s="51">
        <f t="shared" si="460"/>
        <v>0</v>
      </c>
      <c r="CN320" s="33">
        <f>ROUND(IF(BS320=0,0,HLOOKUP(BS$14,Villagers!$B$1:$V$33,BS320+3,FALSE)),)</f>
        <v>5</v>
      </c>
      <c r="CO320" s="14">
        <f>ROUND(IF(BT320=0,0,HLOOKUP(BT$14,Villagers!$B$1:$V$33,BT320+3,FALSE)),)</f>
        <v>0</v>
      </c>
      <c r="CP320" s="14">
        <f>ROUND(IF(BU320=0,0,HLOOKUP(BU$14,Villagers!$B$1:$V$33,BU320+3,FALSE)),)</f>
        <v>0</v>
      </c>
      <c r="CQ320" s="14">
        <f>ROUND(IF(BV320=0,0,HLOOKUP(BV$14,Villagers!$B$1:$V$33,BV320+3,FALSE)),)</f>
        <v>0</v>
      </c>
      <c r="CR320" s="14">
        <f>ROUND(IF(BW320=0,0,HLOOKUP(BW$14,Villagers!$B$1:$V$33,BW320+3,FALSE)),)</f>
        <v>0</v>
      </c>
      <c r="CS320" s="14">
        <f>ROUND(IF(BX320=0,0,HLOOKUP(BX$14,Villagers!$B$1:$V$33,BX320+3,FALSE)),)</f>
        <v>0</v>
      </c>
      <c r="CT320" s="14">
        <f>ROUND(IF(BY320=0,0,HLOOKUP(BY$14,Villagers!$B$1:$V$33,BY320+3,FALSE)),)</f>
        <v>0</v>
      </c>
      <c r="CU320" s="14">
        <f>ROUND(IF(BZ320=0,0,HLOOKUP(BZ$14,Villagers!$B$1:$V$33,BZ320+3,FALSE)),)</f>
        <v>0</v>
      </c>
      <c r="CV320" s="14">
        <f>ROUND(IF(CA320=0,0,HLOOKUP(CA$14,Villagers!$B$1:$V$33,CA320+3,FALSE)),)</f>
        <v>0</v>
      </c>
      <c r="CW320" s="14">
        <f>ROUND(IF(CB320=0,0,HLOOKUP(CB$14,Villagers!$B$1:$V$33,CB320+3,FALSE)),)</f>
        <v>0</v>
      </c>
      <c r="CX320" s="14">
        <f>ROUND(IF(CC320=0,0,HLOOKUP(CC$14,Villagers!$B$1:$V$33,CC320+3,FALSE)),)</f>
        <v>0</v>
      </c>
      <c r="CY320" s="14">
        <f>ROUND(IF(CD320=0,0,HLOOKUP(CD$14,Villagers!$B$1:$V$33,CD320+3,FALSE)),)</f>
        <v>0</v>
      </c>
      <c r="CZ320" s="14">
        <f>ROUND(IF(CE320=0,0,HLOOKUP(CE$14,Villagers!$B$1:$V$33,CE320+3,FALSE)),)</f>
        <v>5</v>
      </c>
      <c r="DA320" s="14">
        <f>ROUND(IF(CF320=0,0,HLOOKUP(CF$14,Villagers!$B$1:$V$33,CF320+3,FALSE)),)</f>
        <v>10</v>
      </c>
      <c r="DB320" s="14">
        <f>ROUND(IF(CG320=0,0,HLOOKUP(CG$14,Villagers!$B$1:$V$33,CG320+3,FALSE)),)</f>
        <v>10</v>
      </c>
      <c r="DC320" s="14">
        <f>ROUND(IF(CH320=0,0,HLOOKUP(CH$14,Villagers!$B$1:$V$33,CH320+3,FALSE)),)</f>
        <v>0</v>
      </c>
      <c r="DD320" s="14">
        <f>ROUND(IF(CI320=0,0,HLOOKUP(CI$14,Villagers!$B$1:$V$33,CI320+3,FALSE)),)</f>
        <v>0</v>
      </c>
      <c r="DE320" s="14">
        <f>ROUND(IF(CJ320=0,0,HLOOKUP(CJ$14,Villagers!$B$1:$V$33,CJ320+3,FALSE)),)</f>
        <v>2</v>
      </c>
      <c r="DF320" s="370">
        <f>ROUND(IF(CK320=0,0,HLOOKUP(CK$14,Villagers!$B$1:$V$33,CK320+3,FALSE)),)</f>
        <v>0</v>
      </c>
      <c r="DG320" s="370">
        <f>ROUND(IF(CL320=0,0,HLOOKUP(CL$14,Villagers!$B$1:$V$33,CL320+3,FALSE)),)</f>
        <v>0</v>
      </c>
      <c r="DH320" s="34">
        <f>ROUND(IF(CM320=0,0,HLOOKUP(CM$14,Villagers!$B$1:$V$33,CM320+3,FALSE)),)</f>
        <v>0</v>
      </c>
      <c r="DI320" s="109">
        <f t="shared" si="426"/>
        <v>0</v>
      </c>
      <c r="DJ320" s="50">
        <f t="shared" si="427"/>
        <v>0</v>
      </c>
      <c r="DK320" s="50">
        <f t="shared" si="428"/>
        <v>0</v>
      </c>
      <c r="DL320" s="50">
        <f t="shared" si="429"/>
        <v>0</v>
      </c>
      <c r="DM320" s="50">
        <f t="shared" si="430"/>
        <v>0</v>
      </c>
      <c r="DN320" s="50">
        <f t="shared" si="431"/>
        <v>0</v>
      </c>
      <c r="DO320" s="50">
        <f t="shared" si="432"/>
        <v>0</v>
      </c>
      <c r="DP320" s="50">
        <f t="shared" si="433"/>
        <v>0</v>
      </c>
      <c r="DQ320" s="50">
        <f t="shared" si="411"/>
        <v>0</v>
      </c>
      <c r="DR320" s="50">
        <f t="shared" si="412"/>
        <v>0</v>
      </c>
      <c r="DS320" s="96">
        <f>Miscelaneous!$D$4*Miscelaneous!$D$2^($CI320-1)</f>
        <v>1000</v>
      </c>
      <c r="DT320" s="333">
        <f t="shared" si="393"/>
        <v>1</v>
      </c>
      <c r="DU320" s="81">
        <v>1</v>
      </c>
      <c r="DV320" s="79">
        <f t="shared" si="413"/>
        <v>0</v>
      </c>
      <c r="DW320" s="79">
        <f t="shared" si="414"/>
        <v>0</v>
      </c>
      <c r="DX320" s="79">
        <f t="shared" si="415"/>
        <v>0</v>
      </c>
      <c r="DY320" s="79">
        <v>1</v>
      </c>
      <c r="DZ320" s="79">
        <f t="shared" si="416"/>
        <v>0</v>
      </c>
      <c r="EA320" s="79">
        <f t="shared" si="417"/>
        <v>0</v>
      </c>
      <c r="EB320" s="79">
        <f t="shared" si="418"/>
        <v>0</v>
      </c>
      <c r="EC320" s="79">
        <f t="shared" si="419"/>
        <v>0</v>
      </c>
      <c r="ED320" s="79">
        <v>1</v>
      </c>
      <c r="EE320" s="79">
        <v>1</v>
      </c>
      <c r="EF320" s="79">
        <f t="shared" si="420"/>
        <v>0</v>
      </c>
      <c r="EG320" s="79">
        <v>1</v>
      </c>
      <c r="EH320" s="79">
        <v>1</v>
      </c>
      <c r="EI320" s="79">
        <v>1</v>
      </c>
      <c r="EJ320" s="79">
        <v>1</v>
      </c>
      <c r="EK320" s="79">
        <v>1</v>
      </c>
      <c r="EL320" s="79">
        <v>1</v>
      </c>
      <c r="EM320" s="143">
        <f t="shared" si="421"/>
        <v>0</v>
      </c>
      <c r="EN320" s="143">
        <f t="shared" si="422"/>
        <v>0</v>
      </c>
      <c r="EO320" s="82">
        <f t="shared" si="423"/>
        <v>0</v>
      </c>
    </row>
    <row r="321" spans="1:145" x14ac:dyDescent="0.25">
      <c r="A321">
        <v>307</v>
      </c>
      <c r="B321" s="172" t="e">
        <f t="shared" si="394"/>
        <v>#N/A</v>
      </c>
      <c r="C321" s="121" t="e">
        <f t="shared" si="373"/>
        <v>#N/A</v>
      </c>
      <c r="D321" s="122" t="e">
        <f t="shared" si="374"/>
        <v>#N/A</v>
      </c>
      <c r="E321" s="122" t="e">
        <f t="shared" si="375"/>
        <v>#N/A</v>
      </c>
      <c r="F321" s="176" t="e">
        <f t="shared" si="376"/>
        <v>#N/A</v>
      </c>
      <c r="G321" s="121">
        <f t="shared" si="395"/>
        <v>208</v>
      </c>
      <c r="H321" s="176" t="e">
        <f t="shared" si="396"/>
        <v>#N/A</v>
      </c>
      <c r="I321" s="48">
        <v>1</v>
      </c>
      <c r="J321" s="39"/>
      <c r="K321" s="350">
        <v>1</v>
      </c>
      <c r="L321" s="34" t="e">
        <f t="shared" si="377"/>
        <v>#N/A</v>
      </c>
      <c r="M321" s="38" t="e">
        <f>(HLOOKUP(J321,'Construction Times'!$B$3:$W$34,L321+2,FALSE)*HLOOKUP("hq modifier",'Construction Times'!$W$3:$W$34,BS321+2,FALSE))*(1-$H$9)</f>
        <v>#N/A</v>
      </c>
      <c r="N321" s="443" t="e">
        <f t="shared" si="397"/>
        <v>#N/A</v>
      </c>
      <c r="O321" s="444"/>
      <c r="P321" s="447" t="e">
        <f t="shared" si="398"/>
        <v>#N/A</v>
      </c>
      <c r="Q321" s="448"/>
      <c r="R321" s="103">
        <f t="shared" si="424"/>
        <v>0</v>
      </c>
      <c r="S321" s="104">
        <f t="shared" si="424"/>
        <v>0</v>
      </c>
      <c r="T321" s="104">
        <f t="shared" si="425"/>
        <v>0</v>
      </c>
      <c r="U321" s="104">
        <f t="shared" si="425"/>
        <v>0</v>
      </c>
      <c r="V321" s="104">
        <f t="shared" si="425"/>
        <v>9.9999999999999995E-8</v>
      </c>
      <c r="W321" s="104">
        <f t="shared" si="425"/>
        <v>0</v>
      </c>
      <c r="X321" s="104">
        <f t="shared" si="455"/>
        <v>0</v>
      </c>
      <c r="Y321" s="104">
        <f t="shared" si="455"/>
        <v>9.9999999999999995E-8</v>
      </c>
      <c r="Z321" s="104">
        <f t="shared" si="455"/>
        <v>9.9999999999999995E-8</v>
      </c>
      <c r="AA321" s="105">
        <f t="shared" si="455"/>
        <v>9.9999999999999995E-8</v>
      </c>
      <c r="AB321" s="101" t="e">
        <f>$DT321*HLOOKUP($J321,'Construction Costs (timber)'!$B$1:$V$32,'Construction Planner'!$L321+2,FALSE)</f>
        <v>#N/A</v>
      </c>
      <c r="AC321" s="14" t="e">
        <f>$DT321*HLOOKUP($J321,'Construction Costs (clay)'!$B$1:$V$32,'Construction Planner'!$L321+2,FALSE)</f>
        <v>#N/A</v>
      </c>
      <c r="AD321" s="14" t="e">
        <f>$DT321*HLOOKUP($J321,'Construction Costs (iron)'!$B$1:$V$32,'Construction Planner'!$L321+2,FALSE)</f>
        <v>#N/A</v>
      </c>
      <c r="AE321" s="34" t="e">
        <f t="shared" si="434"/>
        <v>#N/A</v>
      </c>
      <c r="AF321" s="33" t="e">
        <f t="shared" si="378"/>
        <v>#N/A</v>
      </c>
      <c r="AG321" s="14" t="e">
        <f t="shared" si="379"/>
        <v>#N/A</v>
      </c>
      <c r="AH321" s="14" t="e">
        <f t="shared" si="380"/>
        <v>#N/A</v>
      </c>
      <c r="AI321" s="34" t="e">
        <f t="shared" si="435"/>
        <v>#N/A</v>
      </c>
      <c r="AJ321" s="49" t="e">
        <f t="shared" si="399"/>
        <v>#N/A</v>
      </c>
      <c r="AK321" s="49" t="e">
        <f t="shared" si="400"/>
        <v>#N/A</v>
      </c>
      <c r="AL321" s="49" t="e">
        <f t="shared" si="401"/>
        <v>#N/A</v>
      </c>
      <c r="AM321" s="25">
        <f t="shared" si="381"/>
        <v>30</v>
      </c>
      <c r="AN321" s="25">
        <f t="shared" si="382"/>
        <v>30</v>
      </c>
      <c r="AO321" s="25">
        <f t="shared" si="383"/>
        <v>30</v>
      </c>
      <c r="AP321" s="52" t="e">
        <f t="shared" si="402"/>
        <v>#N/A</v>
      </c>
      <c r="AQ321" s="53" t="e">
        <f t="shared" si="402"/>
        <v>#N/A</v>
      </c>
      <c r="AR321" s="54" t="e">
        <f t="shared" si="402"/>
        <v>#N/A</v>
      </c>
      <c r="AS321" s="316">
        <f t="shared" si="457"/>
        <v>0</v>
      </c>
      <c r="AT321" s="106">
        <f>_xlfn.IFNA($M321/VLOOKUP($BT321,'Unit information'!$A$2:$K$29,2,FALSE)*R321,0)*(1+$E$9)</f>
        <v>0</v>
      </c>
      <c r="AU321" s="107">
        <f>_xlfn.IFNA($M321/VLOOKUP($BT321,'Unit information'!$A$2:$K$29,3,FALSE)*S321,0)*(1+$E$9)</f>
        <v>0</v>
      </c>
      <c r="AV321" s="107">
        <f>_xlfn.IFNA($M321/VLOOKUP($BT321,'Unit information'!$A$2:$K$29,4,FALSE)*T321,0)*(1+$E$9)</f>
        <v>0</v>
      </c>
      <c r="AW321" s="107">
        <f>_xlfn.IFNA($M321/VLOOKUP($BT321,'Unit information'!$A$2:$K$29,5,FALSE)*U321,0)*(1+$E$9)</f>
        <v>0</v>
      </c>
      <c r="AX321" s="107">
        <f>_xlfn.IFNA($M321/VLOOKUP($BU321,'Unit information'!$A$2:$K$29,6,FALSE)*V321,0)*(1+$E$9)</f>
        <v>0</v>
      </c>
      <c r="AY321" s="107">
        <f>_xlfn.IFNA($M321/VLOOKUP($BU321,'Unit information'!$A$2:$K$29,7,FALSE)*W321,0)*(1+$E$9)</f>
        <v>0</v>
      </c>
      <c r="AZ321" s="107">
        <f>_xlfn.IFNA($M321/VLOOKUP($BU321,'Unit information'!$A$2:$K$29,8,FALSE)*X321,0)*(1+$E$9)</f>
        <v>0</v>
      </c>
      <c r="BA321" s="107">
        <f>_xlfn.IFNA($M321/VLOOKUP($BU321,'Unit information'!$A$2:$K$29,9,FALSE)*Y321,0)*(1+$E$9)</f>
        <v>0</v>
      </c>
      <c r="BB321" s="107">
        <f>_xlfn.IFNA($M321/VLOOKUP($BV321,'Unit information'!$A$2:$K$29,10,FALSE)*Z321,0)*(1+$E$9)</f>
        <v>0</v>
      </c>
      <c r="BC321" s="108">
        <f>_xlfn.IFNA($M321/VLOOKUP($BV321,'Unit information'!$A$2:$K$29,11,FALSE)*AA321,0)*(1+$E$9)</f>
        <v>0</v>
      </c>
      <c r="BD321" s="106">
        <f t="shared" si="384"/>
        <v>0</v>
      </c>
      <c r="BE321" s="107">
        <f t="shared" si="385"/>
        <v>0</v>
      </c>
      <c r="BF321" s="108">
        <f t="shared" si="386"/>
        <v>0</v>
      </c>
      <c r="BG321" s="25" t="e">
        <f t="shared" si="387"/>
        <v>#N/A</v>
      </c>
      <c r="BH321" s="25" t="e">
        <f t="shared" si="388"/>
        <v>#N/A</v>
      </c>
      <c r="BI321" s="25" t="e">
        <f t="shared" si="389"/>
        <v>#N/A</v>
      </c>
      <c r="BJ321" s="27" t="e">
        <f t="shared" si="390"/>
        <v>#N/A</v>
      </c>
      <c r="BK321" s="18" t="e">
        <f t="shared" si="391"/>
        <v>#N/A</v>
      </c>
      <c r="BL321" s="18" t="e">
        <f t="shared" si="392"/>
        <v>#N/A</v>
      </c>
      <c r="BM321" s="28" t="e">
        <f t="shared" si="437"/>
        <v>#N/A</v>
      </c>
      <c r="BN321" s="33">
        <f>HLOOKUP("maximum population",Miscelaneous!$C$1:$C$33,CH321+3,FALSE)</f>
        <v>240</v>
      </c>
      <c r="BO321" s="14">
        <f t="shared" si="403"/>
        <v>32</v>
      </c>
      <c r="BP321" s="14">
        <f t="shared" si="404"/>
        <v>0</v>
      </c>
      <c r="BQ321" s="14">
        <f t="shared" si="405"/>
        <v>208</v>
      </c>
      <c r="BR321" s="34" t="e">
        <f>HLOOKUP(J321,Villagers!$B$1:$V$33,L321+3,FALSE)-HLOOKUP(J321,Villagers!$B$1:$V$33,L321+2,FALSE)</f>
        <v>#N/A</v>
      </c>
      <c r="BS321" s="49">
        <f t="shared" si="406"/>
        <v>1</v>
      </c>
      <c r="BT321" s="50">
        <f t="shared" si="407"/>
        <v>0</v>
      </c>
      <c r="BU321" s="50">
        <f t="shared" si="408"/>
        <v>0</v>
      </c>
      <c r="BV321" s="50">
        <f t="shared" si="409"/>
        <v>0</v>
      </c>
      <c r="BW321" s="50">
        <f t="shared" si="458"/>
        <v>0</v>
      </c>
      <c r="BX321" s="50">
        <f t="shared" si="459"/>
        <v>0</v>
      </c>
      <c r="BY321" s="50">
        <f t="shared" si="459"/>
        <v>0</v>
      </c>
      <c r="BZ321" s="50">
        <f t="shared" si="440"/>
        <v>0</v>
      </c>
      <c r="CA321" s="50">
        <f t="shared" si="441"/>
        <v>0</v>
      </c>
      <c r="CB321" s="50">
        <f t="shared" si="442"/>
        <v>1</v>
      </c>
      <c r="CC321" s="50">
        <f t="shared" si="443"/>
        <v>0</v>
      </c>
      <c r="CD321" s="50">
        <f t="shared" si="444"/>
        <v>0</v>
      </c>
      <c r="CE321" s="50">
        <f t="shared" si="445"/>
        <v>1</v>
      </c>
      <c r="CF321" s="50">
        <f t="shared" si="446"/>
        <v>1</v>
      </c>
      <c r="CG321" s="50">
        <f t="shared" si="447"/>
        <v>1</v>
      </c>
      <c r="CH321" s="50">
        <f t="shared" si="448"/>
        <v>1</v>
      </c>
      <c r="CI321" s="50">
        <f t="shared" si="449"/>
        <v>1</v>
      </c>
      <c r="CJ321" s="50">
        <f t="shared" si="450"/>
        <v>1</v>
      </c>
      <c r="CK321" s="50">
        <f t="shared" si="450"/>
        <v>0</v>
      </c>
      <c r="CL321" s="50">
        <f t="shared" si="450"/>
        <v>0</v>
      </c>
      <c r="CM321" s="51">
        <f t="shared" si="460"/>
        <v>0</v>
      </c>
      <c r="CN321" s="33">
        <f>ROUND(IF(BS321=0,0,HLOOKUP(BS$14,Villagers!$B$1:$V$33,BS321+3,FALSE)),)</f>
        <v>5</v>
      </c>
      <c r="CO321" s="14">
        <f>ROUND(IF(BT321=0,0,HLOOKUP(BT$14,Villagers!$B$1:$V$33,BT321+3,FALSE)),)</f>
        <v>0</v>
      </c>
      <c r="CP321" s="14">
        <f>ROUND(IF(BU321=0,0,HLOOKUP(BU$14,Villagers!$B$1:$V$33,BU321+3,FALSE)),)</f>
        <v>0</v>
      </c>
      <c r="CQ321" s="14">
        <f>ROUND(IF(BV321=0,0,HLOOKUP(BV$14,Villagers!$B$1:$V$33,BV321+3,FALSE)),)</f>
        <v>0</v>
      </c>
      <c r="CR321" s="14">
        <f>ROUND(IF(BW321=0,0,HLOOKUP(BW$14,Villagers!$B$1:$V$33,BW321+3,FALSE)),)</f>
        <v>0</v>
      </c>
      <c r="CS321" s="14">
        <f>ROUND(IF(BX321=0,0,HLOOKUP(BX$14,Villagers!$B$1:$V$33,BX321+3,FALSE)),)</f>
        <v>0</v>
      </c>
      <c r="CT321" s="14">
        <f>ROUND(IF(BY321=0,0,HLOOKUP(BY$14,Villagers!$B$1:$V$33,BY321+3,FALSE)),)</f>
        <v>0</v>
      </c>
      <c r="CU321" s="14">
        <f>ROUND(IF(BZ321=0,0,HLOOKUP(BZ$14,Villagers!$B$1:$V$33,BZ321+3,FALSE)),)</f>
        <v>0</v>
      </c>
      <c r="CV321" s="14">
        <f>ROUND(IF(CA321=0,0,HLOOKUP(CA$14,Villagers!$B$1:$V$33,CA321+3,FALSE)),)</f>
        <v>0</v>
      </c>
      <c r="CW321" s="14">
        <f>ROUND(IF(CB321=0,0,HLOOKUP(CB$14,Villagers!$B$1:$V$33,CB321+3,FALSE)),)</f>
        <v>0</v>
      </c>
      <c r="CX321" s="14">
        <f>ROUND(IF(CC321=0,0,HLOOKUP(CC$14,Villagers!$B$1:$V$33,CC321+3,FALSE)),)</f>
        <v>0</v>
      </c>
      <c r="CY321" s="14">
        <f>ROUND(IF(CD321=0,0,HLOOKUP(CD$14,Villagers!$B$1:$V$33,CD321+3,FALSE)),)</f>
        <v>0</v>
      </c>
      <c r="CZ321" s="14">
        <f>ROUND(IF(CE321=0,0,HLOOKUP(CE$14,Villagers!$B$1:$V$33,CE321+3,FALSE)),)</f>
        <v>5</v>
      </c>
      <c r="DA321" s="14">
        <f>ROUND(IF(CF321=0,0,HLOOKUP(CF$14,Villagers!$B$1:$V$33,CF321+3,FALSE)),)</f>
        <v>10</v>
      </c>
      <c r="DB321" s="14">
        <f>ROUND(IF(CG321=0,0,HLOOKUP(CG$14,Villagers!$B$1:$V$33,CG321+3,FALSE)),)</f>
        <v>10</v>
      </c>
      <c r="DC321" s="14">
        <f>ROUND(IF(CH321=0,0,HLOOKUP(CH$14,Villagers!$B$1:$V$33,CH321+3,FALSE)),)</f>
        <v>0</v>
      </c>
      <c r="DD321" s="14">
        <f>ROUND(IF(CI321=0,0,HLOOKUP(CI$14,Villagers!$B$1:$V$33,CI321+3,FALSE)),)</f>
        <v>0</v>
      </c>
      <c r="DE321" s="14">
        <f>ROUND(IF(CJ321=0,0,HLOOKUP(CJ$14,Villagers!$B$1:$V$33,CJ321+3,FALSE)),)</f>
        <v>2</v>
      </c>
      <c r="DF321" s="370">
        <f>ROUND(IF(CK321=0,0,HLOOKUP(CK$14,Villagers!$B$1:$V$33,CK321+3,FALSE)),)</f>
        <v>0</v>
      </c>
      <c r="DG321" s="370">
        <f>ROUND(IF(CL321=0,0,HLOOKUP(CL$14,Villagers!$B$1:$V$33,CL321+3,FALSE)),)</f>
        <v>0</v>
      </c>
      <c r="DH321" s="34">
        <f>ROUND(IF(CM321=0,0,HLOOKUP(CM$14,Villagers!$B$1:$V$33,CM321+3,FALSE)),)</f>
        <v>0</v>
      </c>
      <c r="DI321" s="109">
        <f t="shared" si="426"/>
        <v>0</v>
      </c>
      <c r="DJ321" s="50">
        <f t="shared" si="427"/>
        <v>0</v>
      </c>
      <c r="DK321" s="50">
        <f t="shared" si="428"/>
        <v>0</v>
      </c>
      <c r="DL321" s="50">
        <f t="shared" si="429"/>
        <v>0</v>
      </c>
      <c r="DM321" s="50">
        <f t="shared" si="430"/>
        <v>0</v>
      </c>
      <c r="DN321" s="50">
        <f t="shared" si="431"/>
        <v>0</v>
      </c>
      <c r="DO321" s="50">
        <f t="shared" si="432"/>
        <v>0</v>
      </c>
      <c r="DP321" s="50">
        <f t="shared" si="433"/>
        <v>0</v>
      </c>
      <c r="DQ321" s="50">
        <f t="shared" si="411"/>
        <v>0</v>
      </c>
      <c r="DR321" s="50">
        <f t="shared" si="412"/>
        <v>0</v>
      </c>
      <c r="DS321" s="96">
        <f>Miscelaneous!$D$4*Miscelaneous!$D$2^($CI321-1)</f>
        <v>1000</v>
      </c>
      <c r="DT321" s="333">
        <f t="shared" si="393"/>
        <v>1</v>
      </c>
      <c r="DU321" s="81">
        <v>1</v>
      </c>
      <c r="DV321" s="79">
        <f t="shared" si="413"/>
        <v>0</v>
      </c>
      <c r="DW321" s="79">
        <f t="shared" si="414"/>
        <v>0</v>
      </c>
      <c r="DX321" s="79">
        <f t="shared" si="415"/>
        <v>0</v>
      </c>
      <c r="DY321" s="79">
        <v>1</v>
      </c>
      <c r="DZ321" s="79">
        <f t="shared" si="416"/>
        <v>0</v>
      </c>
      <c r="EA321" s="79">
        <f t="shared" si="417"/>
        <v>0</v>
      </c>
      <c r="EB321" s="79">
        <f t="shared" si="418"/>
        <v>0</v>
      </c>
      <c r="EC321" s="79">
        <f t="shared" si="419"/>
        <v>0</v>
      </c>
      <c r="ED321" s="79">
        <v>1</v>
      </c>
      <c r="EE321" s="79">
        <v>1</v>
      </c>
      <c r="EF321" s="79">
        <f t="shared" si="420"/>
        <v>0</v>
      </c>
      <c r="EG321" s="79">
        <v>1</v>
      </c>
      <c r="EH321" s="79">
        <v>1</v>
      </c>
      <c r="EI321" s="79">
        <v>1</v>
      </c>
      <c r="EJ321" s="79">
        <v>1</v>
      </c>
      <c r="EK321" s="79">
        <v>1</v>
      </c>
      <c r="EL321" s="79">
        <v>1</v>
      </c>
      <c r="EM321" s="143">
        <f t="shared" si="421"/>
        <v>0</v>
      </c>
      <c r="EN321" s="143">
        <f t="shared" si="422"/>
        <v>0</v>
      </c>
      <c r="EO321" s="82">
        <f t="shared" si="423"/>
        <v>0</v>
      </c>
    </row>
    <row r="322" spans="1:145" x14ac:dyDescent="0.25">
      <c r="A322">
        <v>308</v>
      </c>
      <c r="B322" s="172" t="e">
        <f t="shared" si="394"/>
        <v>#N/A</v>
      </c>
      <c r="C322" s="121" t="e">
        <f t="shared" si="373"/>
        <v>#N/A</v>
      </c>
      <c r="D322" s="122" t="e">
        <f t="shared" si="374"/>
        <v>#N/A</v>
      </c>
      <c r="E322" s="122" t="e">
        <f t="shared" si="375"/>
        <v>#N/A</v>
      </c>
      <c r="F322" s="176" t="e">
        <f t="shared" si="376"/>
        <v>#N/A</v>
      </c>
      <c r="G322" s="121">
        <f t="shared" si="395"/>
        <v>208</v>
      </c>
      <c r="H322" s="176" t="e">
        <f t="shared" si="396"/>
        <v>#N/A</v>
      </c>
      <c r="I322" s="48">
        <v>1</v>
      </c>
      <c r="J322" s="39"/>
      <c r="K322" s="350">
        <v>1</v>
      </c>
      <c r="L322" s="34" t="e">
        <f t="shared" si="377"/>
        <v>#N/A</v>
      </c>
      <c r="M322" s="38" t="e">
        <f>(HLOOKUP(J322,'Construction Times'!$B$3:$W$34,L322+2,FALSE)*HLOOKUP("hq modifier",'Construction Times'!$W$3:$W$34,BS322+2,FALSE))*(1-$H$9)</f>
        <v>#N/A</v>
      </c>
      <c r="N322" s="443" t="e">
        <f t="shared" si="397"/>
        <v>#N/A</v>
      </c>
      <c r="O322" s="444"/>
      <c r="P322" s="447" t="e">
        <f t="shared" si="398"/>
        <v>#N/A</v>
      </c>
      <c r="Q322" s="448"/>
      <c r="R322" s="103">
        <f t="shared" si="424"/>
        <v>0</v>
      </c>
      <c r="S322" s="104">
        <f t="shared" si="424"/>
        <v>0</v>
      </c>
      <c r="T322" s="104">
        <f t="shared" si="425"/>
        <v>0</v>
      </c>
      <c r="U322" s="104">
        <f t="shared" si="425"/>
        <v>0</v>
      </c>
      <c r="V322" s="104">
        <f t="shared" si="425"/>
        <v>9.9999999999999995E-8</v>
      </c>
      <c r="W322" s="104">
        <f t="shared" si="425"/>
        <v>0</v>
      </c>
      <c r="X322" s="104">
        <f t="shared" si="455"/>
        <v>0</v>
      </c>
      <c r="Y322" s="104">
        <f t="shared" si="455"/>
        <v>9.9999999999999995E-8</v>
      </c>
      <c r="Z322" s="104">
        <f t="shared" si="455"/>
        <v>9.9999999999999995E-8</v>
      </c>
      <c r="AA322" s="105">
        <f t="shared" si="455"/>
        <v>9.9999999999999995E-8</v>
      </c>
      <c r="AB322" s="101" t="e">
        <f>$DT322*HLOOKUP($J322,'Construction Costs (timber)'!$B$1:$V$32,'Construction Planner'!$L322+2,FALSE)</f>
        <v>#N/A</v>
      </c>
      <c r="AC322" s="14" t="e">
        <f>$DT322*HLOOKUP($J322,'Construction Costs (clay)'!$B$1:$V$32,'Construction Planner'!$L322+2,FALSE)</f>
        <v>#N/A</v>
      </c>
      <c r="AD322" s="14" t="e">
        <f>$DT322*HLOOKUP($J322,'Construction Costs (iron)'!$B$1:$V$32,'Construction Planner'!$L322+2,FALSE)</f>
        <v>#N/A</v>
      </c>
      <c r="AE322" s="34" t="e">
        <f t="shared" si="434"/>
        <v>#N/A</v>
      </c>
      <c r="AF322" s="33" t="e">
        <f t="shared" si="378"/>
        <v>#N/A</v>
      </c>
      <c r="AG322" s="14" t="e">
        <f t="shared" si="379"/>
        <v>#N/A</v>
      </c>
      <c r="AH322" s="14" t="e">
        <f t="shared" si="380"/>
        <v>#N/A</v>
      </c>
      <c r="AI322" s="34" t="e">
        <f t="shared" si="435"/>
        <v>#N/A</v>
      </c>
      <c r="AJ322" s="49" t="e">
        <f t="shared" si="399"/>
        <v>#N/A</v>
      </c>
      <c r="AK322" s="49" t="e">
        <f t="shared" si="400"/>
        <v>#N/A</v>
      </c>
      <c r="AL322" s="49" t="e">
        <f t="shared" si="401"/>
        <v>#N/A</v>
      </c>
      <c r="AM322" s="25">
        <f t="shared" si="381"/>
        <v>30</v>
      </c>
      <c r="AN322" s="25">
        <f t="shared" si="382"/>
        <v>30</v>
      </c>
      <c r="AO322" s="25">
        <f t="shared" si="383"/>
        <v>30</v>
      </c>
      <c r="AP322" s="52" t="e">
        <f t="shared" si="402"/>
        <v>#N/A</v>
      </c>
      <c r="AQ322" s="53" t="e">
        <f t="shared" si="402"/>
        <v>#N/A</v>
      </c>
      <c r="AR322" s="54" t="e">
        <f t="shared" si="402"/>
        <v>#N/A</v>
      </c>
      <c r="AS322" s="316">
        <f t="shared" si="457"/>
        <v>0</v>
      </c>
      <c r="AT322" s="106">
        <f>_xlfn.IFNA($M322/VLOOKUP($BT322,'Unit information'!$A$2:$K$29,2,FALSE)*R322,0)*(1+$E$9)</f>
        <v>0</v>
      </c>
      <c r="AU322" s="107">
        <f>_xlfn.IFNA($M322/VLOOKUP($BT322,'Unit information'!$A$2:$K$29,3,FALSE)*S322,0)*(1+$E$9)</f>
        <v>0</v>
      </c>
      <c r="AV322" s="107">
        <f>_xlfn.IFNA($M322/VLOOKUP($BT322,'Unit information'!$A$2:$K$29,4,FALSE)*T322,0)*(1+$E$9)</f>
        <v>0</v>
      </c>
      <c r="AW322" s="107">
        <f>_xlfn.IFNA($M322/VLOOKUP($BT322,'Unit information'!$A$2:$K$29,5,FALSE)*U322,0)*(1+$E$9)</f>
        <v>0</v>
      </c>
      <c r="AX322" s="107">
        <f>_xlfn.IFNA($M322/VLOOKUP($BU322,'Unit information'!$A$2:$K$29,6,FALSE)*V322,0)*(1+$E$9)</f>
        <v>0</v>
      </c>
      <c r="AY322" s="107">
        <f>_xlfn.IFNA($M322/VLOOKUP($BU322,'Unit information'!$A$2:$K$29,7,FALSE)*W322,0)*(1+$E$9)</f>
        <v>0</v>
      </c>
      <c r="AZ322" s="107">
        <f>_xlfn.IFNA($M322/VLOOKUP($BU322,'Unit information'!$A$2:$K$29,8,FALSE)*X322,0)*(1+$E$9)</f>
        <v>0</v>
      </c>
      <c r="BA322" s="107">
        <f>_xlfn.IFNA($M322/VLOOKUP($BU322,'Unit information'!$A$2:$K$29,9,FALSE)*Y322,0)*(1+$E$9)</f>
        <v>0</v>
      </c>
      <c r="BB322" s="107">
        <f>_xlfn.IFNA($M322/VLOOKUP($BV322,'Unit information'!$A$2:$K$29,10,FALSE)*Z322,0)*(1+$E$9)</f>
        <v>0</v>
      </c>
      <c r="BC322" s="108">
        <f>_xlfn.IFNA($M322/VLOOKUP($BV322,'Unit information'!$A$2:$K$29,11,FALSE)*AA322,0)*(1+$E$9)</f>
        <v>0</v>
      </c>
      <c r="BD322" s="106">
        <f t="shared" si="384"/>
        <v>0</v>
      </c>
      <c r="BE322" s="107">
        <f t="shared" si="385"/>
        <v>0</v>
      </c>
      <c r="BF322" s="108">
        <f t="shared" si="386"/>
        <v>0</v>
      </c>
      <c r="BG322" s="25" t="e">
        <f t="shared" si="387"/>
        <v>#N/A</v>
      </c>
      <c r="BH322" s="25" t="e">
        <f t="shared" si="388"/>
        <v>#N/A</v>
      </c>
      <c r="BI322" s="25" t="e">
        <f t="shared" si="389"/>
        <v>#N/A</v>
      </c>
      <c r="BJ322" s="27" t="e">
        <f t="shared" si="390"/>
        <v>#N/A</v>
      </c>
      <c r="BK322" s="18" t="e">
        <f t="shared" si="391"/>
        <v>#N/A</v>
      </c>
      <c r="BL322" s="18" t="e">
        <f t="shared" si="392"/>
        <v>#N/A</v>
      </c>
      <c r="BM322" s="28" t="e">
        <f t="shared" si="437"/>
        <v>#N/A</v>
      </c>
      <c r="BN322" s="33">
        <f>HLOOKUP("maximum population",Miscelaneous!$C$1:$C$33,CH322+3,FALSE)</f>
        <v>240</v>
      </c>
      <c r="BO322" s="14">
        <f t="shared" si="403"/>
        <v>32</v>
      </c>
      <c r="BP322" s="14">
        <f t="shared" si="404"/>
        <v>0</v>
      </c>
      <c r="BQ322" s="14">
        <f t="shared" si="405"/>
        <v>208</v>
      </c>
      <c r="BR322" s="34" t="e">
        <f>HLOOKUP(J322,Villagers!$B$1:$V$33,L322+3,FALSE)-HLOOKUP(J322,Villagers!$B$1:$V$33,L322+2,FALSE)</f>
        <v>#N/A</v>
      </c>
      <c r="BS322" s="49">
        <f t="shared" si="406"/>
        <v>1</v>
      </c>
      <c r="BT322" s="50">
        <f t="shared" si="407"/>
        <v>0</v>
      </c>
      <c r="BU322" s="50">
        <f t="shared" si="408"/>
        <v>0</v>
      </c>
      <c r="BV322" s="50">
        <f t="shared" si="409"/>
        <v>0</v>
      </c>
      <c r="BW322" s="50">
        <f t="shared" si="458"/>
        <v>0</v>
      </c>
      <c r="BX322" s="50">
        <f t="shared" si="459"/>
        <v>0</v>
      </c>
      <c r="BY322" s="50">
        <f t="shared" si="459"/>
        <v>0</v>
      </c>
      <c r="BZ322" s="50">
        <f t="shared" si="440"/>
        <v>0</v>
      </c>
      <c r="CA322" s="50">
        <f t="shared" si="441"/>
        <v>0</v>
      </c>
      <c r="CB322" s="50">
        <f t="shared" si="442"/>
        <v>1</v>
      </c>
      <c r="CC322" s="50">
        <f t="shared" si="443"/>
        <v>0</v>
      </c>
      <c r="CD322" s="50">
        <f t="shared" si="444"/>
        <v>0</v>
      </c>
      <c r="CE322" s="50">
        <f t="shared" si="445"/>
        <v>1</v>
      </c>
      <c r="CF322" s="50">
        <f t="shared" si="446"/>
        <v>1</v>
      </c>
      <c r="CG322" s="50">
        <f t="shared" si="447"/>
        <v>1</v>
      </c>
      <c r="CH322" s="50">
        <f t="shared" si="448"/>
        <v>1</v>
      </c>
      <c r="CI322" s="50">
        <f t="shared" si="449"/>
        <v>1</v>
      </c>
      <c r="CJ322" s="50">
        <f t="shared" si="450"/>
        <v>1</v>
      </c>
      <c r="CK322" s="50">
        <f t="shared" si="450"/>
        <v>0</v>
      </c>
      <c r="CL322" s="50">
        <f t="shared" si="450"/>
        <v>0</v>
      </c>
      <c r="CM322" s="51">
        <f t="shared" si="460"/>
        <v>0</v>
      </c>
      <c r="CN322" s="33">
        <f>ROUND(IF(BS322=0,0,HLOOKUP(BS$14,Villagers!$B$1:$V$33,BS322+3,FALSE)),)</f>
        <v>5</v>
      </c>
      <c r="CO322" s="14">
        <f>ROUND(IF(BT322=0,0,HLOOKUP(BT$14,Villagers!$B$1:$V$33,BT322+3,FALSE)),)</f>
        <v>0</v>
      </c>
      <c r="CP322" s="14">
        <f>ROUND(IF(BU322=0,0,HLOOKUP(BU$14,Villagers!$B$1:$V$33,BU322+3,FALSE)),)</f>
        <v>0</v>
      </c>
      <c r="CQ322" s="14">
        <f>ROUND(IF(BV322=0,0,HLOOKUP(BV$14,Villagers!$B$1:$V$33,BV322+3,FALSE)),)</f>
        <v>0</v>
      </c>
      <c r="CR322" s="14">
        <f>ROUND(IF(BW322=0,0,HLOOKUP(BW$14,Villagers!$B$1:$V$33,BW322+3,FALSE)),)</f>
        <v>0</v>
      </c>
      <c r="CS322" s="14">
        <f>ROUND(IF(BX322=0,0,HLOOKUP(BX$14,Villagers!$B$1:$V$33,BX322+3,FALSE)),)</f>
        <v>0</v>
      </c>
      <c r="CT322" s="14">
        <f>ROUND(IF(BY322=0,0,HLOOKUP(BY$14,Villagers!$B$1:$V$33,BY322+3,FALSE)),)</f>
        <v>0</v>
      </c>
      <c r="CU322" s="14">
        <f>ROUND(IF(BZ322=0,0,HLOOKUP(BZ$14,Villagers!$B$1:$V$33,BZ322+3,FALSE)),)</f>
        <v>0</v>
      </c>
      <c r="CV322" s="14">
        <f>ROUND(IF(CA322=0,0,HLOOKUP(CA$14,Villagers!$B$1:$V$33,CA322+3,FALSE)),)</f>
        <v>0</v>
      </c>
      <c r="CW322" s="14">
        <f>ROUND(IF(CB322=0,0,HLOOKUP(CB$14,Villagers!$B$1:$V$33,CB322+3,FALSE)),)</f>
        <v>0</v>
      </c>
      <c r="CX322" s="14">
        <f>ROUND(IF(CC322=0,0,HLOOKUP(CC$14,Villagers!$B$1:$V$33,CC322+3,FALSE)),)</f>
        <v>0</v>
      </c>
      <c r="CY322" s="14">
        <f>ROUND(IF(CD322=0,0,HLOOKUP(CD$14,Villagers!$B$1:$V$33,CD322+3,FALSE)),)</f>
        <v>0</v>
      </c>
      <c r="CZ322" s="14">
        <f>ROUND(IF(CE322=0,0,HLOOKUP(CE$14,Villagers!$B$1:$V$33,CE322+3,FALSE)),)</f>
        <v>5</v>
      </c>
      <c r="DA322" s="14">
        <f>ROUND(IF(CF322=0,0,HLOOKUP(CF$14,Villagers!$B$1:$V$33,CF322+3,FALSE)),)</f>
        <v>10</v>
      </c>
      <c r="DB322" s="14">
        <f>ROUND(IF(CG322=0,0,HLOOKUP(CG$14,Villagers!$B$1:$V$33,CG322+3,FALSE)),)</f>
        <v>10</v>
      </c>
      <c r="DC322" s="14">
        <f>ROUND(IF(CH322=0,0,HLOOKUP(CH$14,Villagers!$B$1:$V$33,CH322+3,FALSE)),)</f>
        <v>0</v>
      </c>
      <c r="DD322" s="14">
        <f>ROUND(IF(CI322=0,0,HLOOKUP(CI$14,Villagers!$B$1:$V$33,CI322+3,FALSE)),)</f>
        <v>0</v>
      </c>
      <c r="DE322" s="14">
        <f>ROUND(IF(CJ322=0,0,HLOOKUP(CJ$14,Villagers!$B$1:$V$33,CJ322+3,FALSE)),)</f>
        <v>2</v>
      </c>
      <c r="DF322" s="370">
        <f>ROUND(IF(CK322=0,0,HLOOKUP(CK$14,Villagers!$B$1:$V$33,CK322+3,FALSE)),)</f>
        <v>0</v>
      </c>
      <c r="DG322" s="370">
        <f>ROUND(IF(CL322=0,0,HLOOKUP(CL$14,Villagers!$B$1:$V$33,CL322+3,FALSE)),)</f>
        <v>0</v>
      </c>
      <c r="DH322" s="34">
        <f>ROUND(IF(CM322=0,0,HLOOKUP(CM$14,Villagers!$B$1:$V$33,CM322+3,FALSE)),)</f>
        <v>0</v>
      </c>
      <c r="DI322" s="109">
        <f t="shared" si="426"/>
        <v>0</v>
      </c>
      <c r="DJ322" s="50">
        <f t="shared" si="427"/>
        <v>0</v>
      </c>
      <c r="DK322" s="50">
        <f t="shared" si="428"/>
        <v>0</v>
      </c>
      <c r="DL322" s="50">
        <f t="shared" si="429"/>
        <v>0</v>
      </c>
      <c r="DM322" s="50">
        <f t="shared" si="430"/>
        <v>0</v>
      </c>
      <c r="DN322" s="50">
        <f t="shared" si="431"/>
        <v>0</v>
      </c>
      <c r="DO322" s="50">
        <f t="shared" si="432"/>
        <v>0</v>
      </c>
      <c r="DP322" s="50">
        <f t="shared" si="433"/>
        <v>0</v>
      </c>
      <c r="DQ322" s="50">
        <f t="shared" si="411"/>
        <v>0</v>
      </c>
      <c r="DR322" s="50">
        <f t="shared" si="412"/>
        <v>0</v>
      </c>
      <c r="DS322" s="96">
        <f>Miscelaneous!$D$4*Miscelaneous!$D$2^($CI322-1)</f>
        <v>1000</v>
      </c>
      <c r="DT322" s="333">
        <f t="shared" si="393"/>
        <v>1</v>
      </c>
      <c r="DU322" s="81">
        <v>1</v>
      </c>
      <c r="DV322" s="79">
        <f t="shared" si="413"/>
        <v>0</v>
      </c>
      <c r="DW322" s="79">
        <f t="shared" si="414"/>
        <v>0</v>
      </c>
      <c r="DX322" s="79">
        <f t="shared" si="415"/>
        <v>0</v>
      </c>
      <c r="DY322" s="79">
        <v>1</v>
      </c>
      <c r="DZ322" s="79">
        <f t="shared" si="416"/>
        <v>0</v>
      </c>
      <c r="EA322" s="79">
        <f t="shared" si="417"/>
        <v>0</v>
      </c>
      <c r="EB322" s="79">
        <f t="shared" si="418"/>
        <v>0</v>
      </c>
      <c r="EC322" s="79">
        <f t="shared" si="419"/>
        <v>0</v>
      </c>
      <c r="ED322" s="79">
        <v>1</v>
      </c>
      <c r="EE322" s="79">
        <v>1</v>
      </c>
      <c r="EF322" s="79">
        <f t="shared" si="420"/>
        <v>0</v>
      </c>
      <c r="EG322" s="79">
        <v>1</v>
      </c>
      <c r="EH322" s="79">
        <v>1</v>
      </c>
      <c r="EI322" s="79">
        <v>1</v>
      </c>
      <c r="EJ322" s="79">
        <v>1</v>
      </c>
      <c r="EK322" s="79">
        <v>1</v>
      </c>
      <c r="EL322" s="79">
        <v>1</v>
      </c>
      <c r="EM322" s="143">
        <f t="shared" si="421"/>
        <v>0</v>
      </c>
      <c r="EN322" s="143">
        <f t="shared" si="422"/>
        <v>0</v>
      </c>
      <c r="EO322" s="82">
        <f t="shared" si="423"/>
        <v>0</v>
      </c>
    </row>
    <row r="323" spans="1:145" x14ac:dyDescent="0.25">
      <c r="A323">
        <v>309</v>
      </c>
      <c r="B323" s="172" t="e">
        <f t="shared" si="394"/>
        <v>#N/A</v>
      </c>
      <c r="C323" s="121" t="e">
        <f t="shared" si="373"/>
        <v>#N/A</v>
      </c>
      <c r="D323" s="122" t="e">
        <f t="shared" si="374"/>
        <v>#N/A</v>
      </c>
      <c r="E323" s="122" t="e">
        <f t="shared" si="375"/>
        <v>#N/A</v>
      </c>
      <c r="F323" s="176" t="e">
        <f t="shared" si="376"/>
        <v>#N/A</v>
      </c>
      <c r="G323" s="121">
        <f t="shared" si="395"/>
        <v>208</v>
      </c>
      <c r="H323" s="176" t="e">
        <f t="shared" si="396"/>
        <v>#N/A</v>
      </c>
      <c r="I323" s="48">
        <v>1</v>
      </c>
      <c r="J323" s="39"/>
      <c r="K323" s="350">
        <v>1</v>
      </c>
      <c r="L323" s="34" t="e">
        <f t="shared" si="377"/>
        <v>#N/A</v>
      </c>
      <c r="M323" s="38" t="e">
        <f>(HLOOKUP(J323,'Construction Times'!$B$3:$W$34,L323+2,FALSE)*HLOOKUP("hq modifier",'Construction Times'!$W$3:$W$34,BS323+2,FALSE))*(1-$H$9)</f>
        <v>#N/A</v>
      </c>
      <c r="N323" s="443" t="e">
        <f t="shared" si="397"/>
        <v>#N/A</v>
      </c>
      <c r="O323" s="444"/>
      <c r="P323" s="447" t="e">
        <f t="shared" si="398"/>
        <v>#N/A</v>
      </c>
      <c r="Q323" s="448"/>
      <c r="R323" s="103">
        <f t="shared" si="424"/>
        <v>0</v>
      </c>
      <c r="S323" s="104">
        <f t="shared" si="424"/>
        <v>0</v>
      </c>
      <c r="T323" s="104">
        <f t="shared" si="425"/>
        <v>0</v>
      </c>
      <c r="U323" s="104">
        <f t="shared" si="425"/>
        <v>0</v>
      </c>
      <c r="V323" s="104">
        <f t="shared" si="425"/>
        <v>9.9999999999999995E-8</v>
      </c>
      <c r="W323" s="104">
        <f t="shared" si="425"/>
        <v>0</v>
      </c>
      <c r="X323" s="104">
        <f t="shared" si="455"/>
        <v>0</v>
      </c>
      <c r="Y323" s="104">
        <f t="shared" si="455"/>
        <v>9.9999999999999995E-8</v>
      </c>
      <c r="Z323" s="104">
        <f t="shared" si="455"/>
        <v>9.9999999999999995E-8</v>
      </c>
      <c r="AA323" s="105">
        <f t="shared" si="455"/>
        <v>9.9999999999999995E-8</v>
      </c>
      <c r="AB323" s="101" t="e">
        <f>$DT323*HLOOKUP($J323,'Construction Costs (timber)'!$B$1:$V$32,'Construction Planner'!$L323+2,FALSE)</f>
        <v>#N/A</v>
      </c>
      <c r="AC323" s="14" t="e">
        <f>$DT323*HLOOKUP($J323,'Construction Costs (clay)'!$B$1:$V$32,'Construction Planner'!$L323+2,FALSE)</f>
        <v>#N/A</v>
      </c>
      <c r="AD323" s="14" t="e">
        <f>$DT323*HLOOKUP($J323,'Construction Costs (iron)'!$B$1:$V$32,'Construction Planner'!$L323+2,FALSE)</f>
        <v>#N/A</v>
      </c>
      <c r="AE323" s="34" t="e">
        <f t="shared" si="434"/>
        <v>#N/A</v>
      </c>
      <c r="AF323" s="33" t="e">
        <f t="shared" si="378"/>
        <v>#N/A</v>
      </c>
      <c r="AG323" s="14" t="e">
        <f t="shared" si="379"/>
        <v>#N/A</v>
      </c>
      <c r="AH323" s="14" t="e">
        <f t="shared" si="380"/>
        <v>#N/A</v>
      </c>
      <c r="AI323" s="34" t="e">
        <f t="shared" si="435"/>
        <v>#N/A</v>
      </c>
      <c r="AJ323" s="49" t="e">
        <f t="shared" si="399"/>
        <v>#N/A</v>
      </c>
      <c r="AK323" s="49" t="e">
        <f t="shared" si="400"/>
        <v>#N/A</v>
      </c>
      <c r="AL323" s="49" t="e">
        <f t="shared" si="401"/>
        <v>#N/A</v>
      </c>
      <c r="AM323" s="25">
        <f t="shared" si="381"/>
        <v>30</v>
      </c>
      <c r="AN323" s="25">
        <f t="shared" si="382"/>
        <v>30</v>
      </c>
      <c r="AO323" s="25">
        <f t="shared" si="383"/>
        <v>30</v>
      </c>
      <c r="AP323" s="52" t="e">
        <f t="shared" si="402"/>
        <v>#N/A</v>
      </c>
      <c r="AQ323" s="53" t="e">
        <f t="shared" si="402"/>
        <v>#N/A</v>
      </c>
      <c r="AR323" s="54" t="e">
        <f t="shared" si="402"/>
        <v>#N/A</v>
      </c>
      <c r="AS323" s="316">
        <f t="shared" si="457"/>
        <v>0</v>
      </c>
      <c r="AT323" s="106">
        <f>_xlfn.IFNA($M323/VLOOKUP($BT323,'Unit information'!$A$2:$K$29,2,FALSE)*R323,0)*(1+$E$9)</f>
        <v>0</v>
      </c>
      <c r="AU323" s="107">
        <f>_xlfn.IFNA($M323/VLOOKUP($BT323,'Unit information'!$A$2:$K$29,3,FALSE)*S323,0)*(1+$E$9)</f>
        <v>0</v>
      </c>
      <c r="AV323" s="107">
        <f>_xlfn.IFNA($M323/VLOOKUP($BT323,'Unit information'!$A$2:$K$29,4,FALSE)*T323,0)*(1+$E$9)</f>
        <v>0</v>
      </c>
      <c r="AW323" s="107">
        <f>_xlfn.IFNA($M323/VLOOKUP($BT323,'Unit information'!$A$2:$K$29,5,FALSE)*U323,0)*(1+$E$9)</f>
        <v>0</v>
      </c>
      <c r="AX323" s="107">
        <f>_xlfn.IFNA($M323/VLOOKUP($BU323,'Unit information'!$A$2:$K$29,6,FALSE)*V323,0)*(1+$E$9)</f>
        <v>0</v>
      </c>
      <c r="AY323" s="107">
        <f>_xlfn.IFNA($M323/VLOOKUP($BU323,'Unit information'!$A$2:$K$29,7,FALSE)*W323,0)*(1+$E$9)</f>
        <v>0</v>
      </c>
      <c r="AZ323" s="107">
        <f>_xlfn.IFNA($M323/VLOOKUP($BU323,'Unit information'!$A$2:$K$29,8,FALSE)*X323,0)*(1+$E$9)</f>
        <v>0</v>
      </c>
      <c r="BA323" s="107">
        <f>_xlfn.IFNA($M323/VLOOKUP($BU323,'Unit information'!$A$2:$K$29,9,FALSE)*Y323,0)*(1+$E$9)</f>
        <v>0</v>
      </c>
      <c r="BB323" s="107">
        <f>_xlfn.IFNA($M323/VLOOKUP($BV323,'Unit information'!$A$2:$K$29,10,FALSE)*Z323,0)*(1+$E$9)</f>
        <v>0</v>
      </c>
      <c r="BC323" s="108">
        <f>_xlfn.IFNA($M323/VLOOKUP($BV323,'Unit information'!$A$2:$K$29,11,FALSE)*AA323,0)*(1+$E$9)</f>
        <v>0</v>
      </c>
      <c r="BD323" s="106">
        <f t="shared" si="384"/>
        <v>0</v>
      </c>
      <c r="BE323" s="107">
        <f t="shared" si="385"/>
        <v>0</v>
      </c>
      <c r="BF323" s="108">
        <f t="shared" si="386"/>
        <v>0</v>
      </c>
      <c r="BG323" s="25" t="e">
        <f t="shared" si="387"/>
        <v>#N/A</v>
      </c>
      <c r="BH323" s="25" t="e">
        <f t="shared" si="388"/>
        <v>#N/A</v>
      </c>
      <c r="BI323" s="25" t="e">
        <f t="shared" si="389"/>
        <v>#N/A</v>
      </c>
      <c r="BJ323" s="27" t="e">
        <f t="shared" si="390"/>
        <v>#N/A</v>
      </c>
      <c r="BK323" s="18" t="e">
        <f t="shared" si="391"/>
        <v>#N/A</v>
      </c>
      <c r="BL323" s="18" t="e">
        <f t="shared" si="392"/>
        <v>#N/A</v>
      </c>
      <c r="BM323" s="28" t="e">
        <f t="shared" si="437"/>
        <v>#N/A</v>
      </c>
      <c r="BN323" s="33">
        <f>HLOOKUP("maximum population",Miscelaneous!$C$1:$C$33,CH323+3,FALSE)</f>
        <v>240</v>
      </c>
      <c r="BO323" s="14">
        <f t="shared" si="403"/>
        <v>32</v>
      </c>
      <c r="BP323" s="14">
        <f t="shared" si="404"/>
        <v>0</v>
      </c>
      <c r="BQ323" s="14">
        <f t="shared" si="405"/>
        <v>208</v>
      </c>
      <c r="BR323" s="34" t="e">
        <f>HLOOKUP(J323,Villagers!$B$1:$V$33,L323+3,FALSE)-HLOOKUP(J323,Villagers!$B$1:$V$33,L323+2,FALSE)</f>
        <v>#N/A</v>
      </c>
      <c r="BS323" s="49">
        <f t="shared" si="406"/>
        <v>1</v>
      </c>
      <c r="BT323" s="50">
        <f t="shared" si="407"/>
        <v>0</v>
      </c>
      <c r="BU323" s="50">
        <f t="shared" si="408"/>
        <v>0</v>
      </c>
      <c r="BV323" s="50">
        <f t="shared" si="409"/>
        <v>0</v>
      </c>
      <c r="BW323" s="50">
        <f t="shared" si="458"/>
        <v>0</v>
      </c>
      <c r="BX323" s="50">
        <f t="shared" si="459"/>
        <v>0</v>
      </c>
      <c r="BY323" s="50">
        <f t="shared" si="459"/>
        <v>0</v>
      </c>
      <c r="BZ323" s="50">
        <f t="shared" si="440"/>
        <v>0</v>
      </c>
      <c r="CA323" s="50">
        <f t="shared" si="441"/>
        <v>0</v>
      </c>
      <c r="CB323" s="50">
        <f t="shared" si="442"/>
        <v>1</v>
      </c>
      <c r="CC323" s="50">
        <f t="shared" si="443"/>
        <v>0</v>
      </c>
      <c r="CD323" s="50">
        <f t="shared" si="444"/>
        <v>0</v>
      </c>
      <c r="CE323" s="50">
        <f t="shared" si="445"/>
        <v>1</v>
      </c>
      <c r="CF323" s="50">
        <f t="shared" si="446"/>
        <v>1</v>
      </c>
      <c r="CG323" s="50">
        <f t="shared" si="447"/>
        <v>1</v>
      </c>
      <c r="CH323" s="50">
        <f t="shared" si="448"/>
        <v>1</v>
      </c>
      <c r="CI323" s="50">
        <f t="shared" si="449"/>
        <v>1</v>
      </c>
      <c r="CJ323" s="50">
        <f t="shared" si="450"/>
        <v>1</v>
      </c>
      <c r="CK323" s="50">
        <f t="shared" si="450"/>
        <v>0</v>
      </c>
      <c r="CL323" s="50">
        <f t="shared" si="450"/>
        <v>0</v>
      </c>
      <c r="CM323" s="51">
        <f t="shared" si="460"/>
        <v>0</v>
      </c>
      <c r="CN323" s="33">
        <f>ROUND(IF(BS323=0,0,HLOOKUP(BS$14,Villagers!$B$1:$V$33,BS323+3,FALSE)),)</f>
        <v>5</v>
      </c>
      <c r="CO323" s="14">
        <f>ROUND(IF(BT323=0,0,HLOOKUP(BT$14,Villagers!$B$1:$V$33,BT323+3,FALSE)),)</f>
        <v>0</v>
      </c>
      <c r="CP323" s="14">
        <f>ROUND(IF(BU323=0,0,HLOOKUP(BU$14,Villagers!$B$1:$V$33,BU323+3,FALSE)),)</f>
        <v>0</v>
      </c>
      <c r="CQ323" s="14">
        <f>ROUND(IF(BV323=0,0,HLOOKUP(BV$14,Villagers!$B$1:$V$33,BV323+3,FALSE)),)</f>
        <v>0</v>
      </c>
      <c r="CR323" s="14">
        <f>ROUND(IF(BW323=0,0,HLOOKUP(BW$14,Villagers!$B$1:$V$33,BW323+3,FALSE)),)</f>
        <v>0</v>
      </c>
      <c r="CS323" s="14">
        <f>ROUND(IF(BX323=0,0,HLOOKUP(BX$14,Villagers!$B$1:$V$33,BX323+3,FALSE)),)</f>
        <v>0</v>
      </c>
      <c r="CT323" s="14">
        <f>ROUND(IF(BY323=0,0,HLOOKUP(BY$14,Villagers!$B$1:$V$33,BY323+3,FALSE)),)</f>
        <v>0</v>
      </c>
      <c r="CU323" s="14">
        <f>ROUND(IF(BZ323=0,0,HLOOKUP(BZ$14,Villagers!$B$1:$V$33,BZ323+3,FALSE)),)</f>
        <v>0</v>
      </c>
      <c r="CV323" s="14">
        <f>ROUND(IF(CA323=0,0,HLOOKUP(CA$14,Villagers!$B$1:$V$33,CA323+3,FALSE)),)</f>
        <v>0</v>
      </c>
      <c r="CW323" s="14">
        <f>ROUND(IF(CB323=0,0,HLOOKUP(CB$14,Villagers!$B$1:$V$33,CB323+3,FALSE)),)</f>
        <v>0</v>
      </c>
      <c r="CX323" s="14">
        <f>ROUND(IF(CC323=0,0,HLOOKUP(CC$14,Villagers!$B$1:$V$33,CC323+3,FALSE)),)</f>
        <v>0</v>
      </c>
      <c r="CY323" s="14">
        <f>ROUND(IF(CD323=0,0,HLOOKUP(CD$14,Villagers!$B$1:$V$33,CD323+3,FALSE)),)</f>
        <v>0</v>
      </c>
      <c r="CZ323" s="14">
        <f>ROUND(IF(CE323=0,0,HLOOKUP(CE$14,Villagers!$B$1:$V$33,CE323+3,FALSE)),)</f>
        <v>5</v>
      </c>
      <c r="DA323" s="14">
        <f>ROUND(IF(CF323=0,0,HLOOKUP(CF$14,Villagers!$B$1:$V$33,CF323+3,FALSE)),)</f>
        <v>10</v>
      </c>
      <c r="DB323" s="14">
        <f>ROUND(IF(CG323=0,0,HLOOKUP(CG$14,Villagers!$B$1:$V$33,CG323+3,FALSE)),)</f>
        <v>10</v>
      </c>
      <c r="DC323" s="14">
        <f>ROUND(IF(CH323=0,0,HLOOKUP(CH$14,Villagers!$B$1:$V$33,CH323+3,FALSE)),)</f>
        <v>0</v>
      </c>
      <c r="DD323" s="14">
        <f>ROUND(IF(CI323=0,0,HLOOKUP(CI$14,Villagers!$B$1:$V$33,CI323+3,FALSE)),)</f>
        <v>0</v>
      </c>
      <c r="DE323" s="14">
        <f>ROUND(IF(CJ323=0,0,HLOOKUP(CJ$14,Villagers!$B$1:$V$33,CJ323+3,FALSE)),)</f>
        <v>2</v>
      </c>
      <c r="DF323" s="370">
        <f>ROUND(IF(CK323=0,0,HLOOKUP(CK$14,Villagers!$B$1:$V$33,CK323+3,FALSE)),)</f>
        <v>0</v>
      </c>
      <c r="DG323" s="370">
        <f>ROUND(IF(CL323=0,0,HLOOKUP(CL$14,Villagers!$B$1:$V$33,CL323+3,FALSE)),)</f>
        <v>0</v>
      </c>
      <c r="DH323" s="34">
        <f>ROUND(IF(CM323=0,0,HLOOKUP(CM$14,Villagers!$B$1:$V$33,CM323+3,FALSE)),)</f>
        <v>0</v>
      </c>
      <c r="DI323" s="109">
        <f t="shared" si="426"/>
        <v>0</v>
      </c>
      <c r="DJ323" s="50">
        <f t="shared" si="427"/>
        <v>0</v>
      </c>
      <c r="DK323" s="50">
        <f t="shared" si="428"/>
        <v>0</v>
      </c>
      <c r="DL323" s="50">
        <f t="shared" si="429"/>
        <v>0</v>
      </c>
      <c r="DM323" s="50">
        <f t="shared" si="430"/>
        <v>0</v>
      </c>
      <c r="DN323" s="50">
        <f t="shared" si="431"/>
        <v>0</v>
      </c>
      <c r="DO323" s="50">
        <f t="shared" si="432"/>
        <v>0</v>
      </c>
      <c r="DP323" s="50">
        <f t="shared" si="433"/>
        <v>0</v>
      </c>
      <c r="DQ323" s="50">
        <f t="shared" si="411"/>
        <v>0</v>
      </c>
      <c r="DR323" s="50">
        <f t="shared" si="412"/>
        <v>0</v>
      </c>
      <c r="DS323" s="96">
        <f>Miscelaneous!$D$4*Miscelaneous!$D$2^($CI323-1)</f>
        <v>1000</v>
      </c>
      <c r="DT323" s="333">
        <f t="shared" si="393"/>
        <v>1</v>
      </c>
      <c r="DU323" s="81">
        <v>1</v>
      </c>
      <c r="DV323" s="79">
        <f t="shared" si="413"/>
        <v>0</v>
      </c>
      <c r="DW323" s="79">
        <f t="shared" si="414"/>
        <v>0</v>
      </c>
      <c r="DX323" s="79">
        <f t="shared" si="415"/>
        <v>0</v>
      </c>
      <c r="DY323" s="79">
        <v>1</v>
      </c>
      <c r="DZ323" s="79">
        <f t="shared" si="416"/>
        <v>0</v>
      </c>
      <c r="EA323" s="79">
        <f t="shared" si="417"/>
        <v>0</v>
      </c>
      <c r="EB323" s="79">
        <f t="shared" si="418"/>
        <v>0</v>
      </c>
      <c r="EC323" s="79">
        <f t="shared" si="419"/>
        <v>0</v>
      </c>
      <c r="ED323" s="79">
        <v>1</v>
      </c>
      <c r="EE323" s="79">
        <v>1</v>
      </c>
      <c r="EF323" s="79">
        <f t="shared" si="420"/>
        <v>0</v>
      </c>
      <c r="EG323" s="79">
        <v>1</v>
      </c>
      <c r="EH323" s="79">
        <v>1</v>
      </c>
      <c r="EI323" s="79">
        <v>1</v>
      </c>
      <c r="EJ323" s="79">
        <v>1</v>
      </c>
      <c r="EK323" s="79">
        <v>1</v>
      </c>
      <c r="EL323" s="79">
        <v>1</v>
      </c>
      <c r="EM323" s="143">
        <f t="shared" si="421"/>
        <v>0</v>
      </c>
      <c r="EN323" s="143">
        <f t="shared" si="422"/>
        <v>0</v>
      </c>
      <c r="EO323" s="82">
        <f t="shared" si="423"/>
        <v>0</v>
      </c>
    </row>
    <row r="324" spans="1:145" x14ac:dyDescent="0.25">
      <c r="A324">
        <v>310</v>
      </c>
      <c r="B324" s="172" t="e">
        <f t="shared" si="394"/>
        <v>#N/A</v>
      </c>
      <c r="C324" s="121" t="e">
        <f t="shared" si="373"/>
        <v>#N/A</v>
      </c>
      <c r="D324" s="122" t="e">
        <f t="shared" si="374"/>
        <v>#N/A</v>
      </c>
      <c r="E324" s="122" t="e">
        <f t="shared" si="375"/>
        <v>#N/A</v>
      </c>
      <c r="F324" s="176" t="e">
        <f t="shared" si="376"/>
        <v>#N/A</v>
      </c>
      <c r="G324" s="121">
        <f t="shared" si="395"/>
        <v>208</v>
      </c>
      <c r="H324" s="176" t="e">
        <f t="shared" si="396"/>
        <v>#N/A</v>
      </c>
      <c r="I324" s="48">
        <v>1</v>
      </c>
      <c r="J324" s="39"/>
      <c r="K324" s="350">
        <v>1</v>
      </c>
      <c r="L324" s="34" t="e">
        <f t="shared" si="377"/>
        <v>#N/A</v>
      </c>
      <c r="M324" s="38" t="e">
        <f>(HLOOKUP(J324,'Construction Times'!$B$3:$W$34,L324+2,FALSE)*HLOOKUP("hq modifier",'Construction Times'!$W$3:$W$34,BS324+2,FALSE))*(1-$H$9)</f>
        <v>#N/A</v>
      </c>
      <c r="N324" s="443" t="e">
        <f t="shared" si="397"/>
        <v>#N/A</v>
      </c>
      <c r="O324" s="444"/>
      <c r="P324" s="447" t="e">
        <f t="shared" si="398"/>
        <v>#N/A</v>
      </c>
      <c r="Q324" s="448"/>
      <c r="R324" s="103">
        <f t="shared" si="424"/>
        <v>0</v>
      </c>
      <c r="S324" s="104">
        <f t="shared" si="424"/>
        <v>0</v>
      </c>
      <c r="T324" s="104">
        <f t="shared" si="425"/>
        <v>0</v>
      </c>
      <c r="U324" s="104">
        <f t="shared" si="425"/>
        <v>0</v>
      </c>
      <c r="V324" s="104">
        <f t="shared" si="425"/>
        <v>9.9999999999999995E-8</v>
      </c>
      <c r="W324" s="104">
        <f t="shared" si="425"/>
        <v>0</v>
      </c>
      <c r="X324" s="104">
        <f t="shared" si="455"/>
        <v>0</v>
      </c>
      <c r="Y324" s="104">
        <f t="shared" si="455"/>
        <v>9.9999999999999995E-8</v>
      </c>
      <c r="Z324" s="104">
        <f t="shared" si="455"/>
        <v>9.9999999999999995E-8</v>
      </c>
      <c r="AA324" s="105">
        <f t="shared" si="455"/>
        <v>9.9999999999999995E-8</v>
      </c>
      <c r="AB324" s="101" t="e">
        <f>$DT324*HLOOKUP($J324,'Construction Costs (timber)'!$B$1:$V$32,'Construction Planner'!$L324+2,FALSE)</f>
        <v>#N/A</v>
      </c>
      <c r="AC324" s="14" t="e">
        <f>$DT324*HLOOKUP($J324,'Construction Costs (clay)'!$B$1:$V$32,'Construction Planner'!$L324+2,FALSE)</f>
        <v>#N/A</v>
      </c>
      <c r="AD324" s="14" t="e">
        <f>$DT324*HLOOKUP($J324,'Construction Costs (iron)'!$B$1:$V$32,'Construction Planner'!$L324+2,FALSE)</f>
        <v>#N/A</v>
      </c>
      <c r="AE324" s="34" t="e">
        <f t="shared" si="434"/>
        <v>#N/A</v>
      </c>
      <c r="AF324" s="33" t="e">
        <f t="shared" si="378"/>
        <v>#N/A</v>
      </c>
      <c r="AG324" s="14" t="e">
        <f t="shared" si="379"/>
        <v>#N/A</v>
      </c>
      <c r="AH324" s="14" t="e">
        <f t="shared" si="380"/>
        <v>#N/A</v>
      </c>
      <c r="AI324" s="34" t="e">
        <f t="shared" si="435"/>
        <v>#N/A</v>
      </c>
      <c r="AJ324" s="49" t="e">
        <f t="shared" si="399"/>
        <v>#N/A</v>
      </c>
      <c r="AK324" s="49" t="e">
        <f t="shared" si="400"/>
        <v>#N/A</v>
      </c>
      <c r="AL324" s="49" t="e">
        <f t="shared" si="401"/>
        <v>#N/A</v>
      </c>
      <c r="AM324" s="25">
        <f t="shared" si="381"/>
        <v>30</v>
      </c>
      <c r="AN324" s="25">
        <f t="shared" si="382"/>
        <v>30</v>
      </c>
      <c r="AO324" s="25">
        <f t="shared" si="383"/>
        <v>30</v>
      </c>
      <c r="AP324" s="52" t="e">
        <f t="shared" si="402"/>
        <v>#N/A</v>
      </c>
      <c r="AQ324" s="53" t="e">
        <f t="shared" si="402"/>
        <v>#N/A</v>
      </c>
      <c r="AR324" s="54" t="e">
        <f t="shared" si="402"/>
        <v>#N/A</v>
      </c>
      <c r="AS324" s="316">
        <f t="shared" ref="AS324:AS339" si="461">AS323</f>
        <v>0</v>
      </c>
      <c r="AT324" s="106">
        <f>_xlfn.IFNA($M324/VLOOKUP($BT324,'Unit information'!$A$2:$K$29,2,FALSE)*R324,0)*(1+$E$9)</f>
        <v>0</v>
      </c>
      <c r="AU324" s="107">
        <f>_xlfn.IFNA($M324/VLOOKUP($BT324,'Unit information'!$A$2:$K$29,3,FALSE)*S324,0)*(1+$E$9)</f>
        <v>0</v>
      </c>
      <c r="AV324" s="107">
        <f>_xlfn.IFNA($M324/VLOOKUP($BT324,'Unit information'!$A$2:$K$29,4,FALSE)*T324,0)*(1+$E$9)</f>
        <v>0</v>
      </c>
      <c r="AW324" s="107">
        <f>_xlfn.IFNA($M324/VLOOKUP($BT324,'Unit information'!$A$2:$K$29,5,FALSE)*U324,0)*(1+$E$9)</f>
        <v>0</v>
      </c>
      <c r="AX324" s="107">
        <f>_xlfn.IFNA($M324/VLOOKUP($BU324,'Unit information'!$A$2:$K$29,6,FALSE)*V324,0)*(1+$E$9)</f>
        <v>0</v>
      </c>
      <c r="AY324" s="107">
        <f>_xlfn.IFNA($M324/VLOOKUP($BU324,'Unit information'!$A$2:$K$29,7,FALSE)*W324,0)*(1+$E$9)</f>
        <v>0</v>
      </c>
      <c r="AZ324" s="107">
        <f>_xlfn.IFNA($M324/VLOOKUP($BU324,'Unit information'!$A$2:$K$29,8,FALSE)*X324,0)*(1+$E$9)</f>
        <v>0</v>
      </c>
      <c r="BA324" s="107">
        <f>_xlfn.IFNA($M324/VLOOKUP($BU324,'Unit information'!$A$2:$K$29,9,FALSE)*Y324,0)*(1+$E$9)</f>
        <v>0</v>
      </c>
      <c r="BB324" s="107">
        <f>_xlfn.IFNA($M324/VLOOKUP($BV324,'Unit information'!$A$2:$K$29,10,FALSE)*Z324,0)*(1+$E$9)</f>
        <v>0</v>
      </c>
      <c r="BC324" s="108">
        <f>_xlfn.IFNA($M324/VLOOKUP($BV324,'Unit information'!$A$2:$K$29,11,FALSE)*AA324,0)*(1+$E$9)</f>
        <v>0</v>
      </c>
      <c r="BD324" s="106">
        <f t="shared" si="384"/>
        <v>0</v>
      </c>
      <c r="BE324" s="107">
        <f t="shared" si="385"/>
        <v>0</v>
      </c>
      <c r="BF324" s="108">
        <f t="shared" si="386"/>
        <v>0</v>
      </c>
      <c r="BG324" s="25" t="e">
        <f t="shared" si="387"/>
        <v>#N/A</v>
      </c>
      <c r="BH324" s="25" t="e">
        <f t="shared" si="388"/>
        <v>#N/A</v>
      </c>
      <c r="BI324" s="25" t="e">
        <f t="shared" si="389"/>
        <v>#N/A</v>
      </c>
      <c r="BJ324" s="27" t="e">
        <f t="shared" si="390"/>
        <v>#N/A</v>
      </c>
      <c r="BK324" s="18" t="e">
        <f t="shared" si="391"/>
        <v>#N/A</v>
      </c>
      <c r="BL324" s="18" t="e">
        <f t="shared" si="392"/>
        <v>#N/A</v>
      </c>
      <c r="BM324" s="28" t="e">
        <f t="shared" si="437"/>
        <v>#N/A</v>
      </c>
      <c r="BN324" s="33">
        <f>HLOOKUP("maximum population",Miscelaneous!$C$1:$C$33,CH324+3,FALSE)</f>
        <v>240</v>
      </c>
      <c r="BO324" s="14">
        <f t="shared" si="403"/>
        <v>32</v>
      </c>
      <c r="BP324" s="14">
        <f t="shared" si="404"/>
        <v>0</v>
      </c>
      <c r="BQ324" s="14">
        <f t="shared" si="405"/>
        <v>208</v>
      </c>
      <c r="BR324" s="34" t="e">
        <f>HLOOKUP(J324,Villagers!$B$1:$V$33,L324+3,FALSE)-HLOOKUP(J324,Villagers!$B$1:$V$33,L324+2,FALSE)</f>
        <v>#N/A</v>
      </c>
      <c r="BS324" s="49">
        <f t="shared" si="406"/>
        <v>1</v>
      </c>
      <c r="BT324" s="50">
        <f t="shared" si="407"/>
        <v>0</v>
      </c>
      <c r="BU324" s="50">
        <f t="shared" si="408"/>
        <v>0</v>
      </c>
      <c r="BV324" s="50">
        <f t="shared" si="409"/>
        <v>0</v>
      </c>
      <c r="BW324" s="50">
        <f t="shared" si="458"/>
        <v>0</v>
      </c>
      <c r="BX324" s="50">
        <f t="shared" si="459"/>
        <v>0</v>
      </c>
      <c r="BY324" s="50">
        <f t="shared" si="459"/>
        <v>0</v>
      </c>
      <c r="BZ324" s="50">
        <f t="shared" si="440"/>
        <v>0</v>
      </c>
      <c r="CA324" s="50">
        <f t="shared" si="441"/>
        <v>0</v>
      </c>
      <c r="CB324" s="50">
        <f t="shared" si="442"/>
        <v>1</v>
      </c>
      <c r="CC324" s="50">
        <f t="shared" si="443"/>
        <v>0</v>
      </c>
      <c r="CD324" s="50">
        <f t="shared" si="444"/>
        <v>0</v>
      </c>
      <c r="CE324" s="50">
        <f t="shared" si="445"/>
        <v>1</v>
      </c>
      <c r="CF324" s="50">
        <f t="shared" si="446"/>
        <v>1</v>
      </c>
      <c r="CG324" s="50">
        <f t="shared" si="447"/>
        <v>1</v>
      </c>
      <c r="CH324" s="50">
        <f t="shared" si="448"/>
        <v>1</v>
      </c>
      <c r="CI324" s="50">
        <f t="shared" si="449"/>
        <v>1</v>
      </c>
      <c r="CJ324" s="50">
        <f t="shared" si="450"/>
        <v>1</v>
      </c>
      <c r="CK324" s="50">
        <f t="shared" si="450"/>
        <v>0</v>
      </c>
      <c r="CL324" s="50">
        <f t="shared" si="450"/>
        <v>0</v>
      </c>
      <c r="CM324" s="51">
        <f t="shared" si="460"/>
        <v>0</v>
      </c>
      <c r="CN324" s="33">
        <f>ROUND(IF(BS324=0,0,HLOOKUP(BS$14,Villagers!$B$1:$V$33,BS324+3,FALSE)),)</f>
        <v>5</v>
      </c>
      <c r="CO324" s="14">
        <f>ROUND(IF(BT324=0,0,HLOOKUP(BT$14,Villagers!$B$1:$V$33,BT324+3,FALSE)),)</f>
        <v>0</v>
      </c>
      <c r="CP324" s="14">
        <f>ROUND(IF(BU324=0,0,HLOOKUP(BU$14,Villagers!$B$1:$V$33,BU324+3,FALSE)),)</f>
        <v>0</v>
      </c>
      <c r="CQ324" s="14">
        <f>ROUND(IF(BV324=0,0,HLOOKUP(BV$14,Villagers!$B$1:$V$33,BV324+3,FALSE)),)</f>
        <v>0</v>
      </c>
      <c r="CR324" s="14">
        <f>ROUND(IF(BW324=0,0,HLOOKUP(BW$14,Villagers!$B$1:$V$33,BW324+3,FALSE)),)</f>
        <v>0</v>
      </c>
      <c r="CS324" s="14">
        <f>ROUND(IF(BX324=0,0,HLOOKUP(BX$14,Villagers!$B$1:$V$33,BX324+3,FALSE)),)</f>
        <v>0</v>
      </c>
      <c r="CT324" s="14">
        <f>ROUND(IF(BY324=0,0,HLOOKUP(BY$14,Villagers!$B$1:$V$33,BY324+3,FALSE)),)</f>
        <v>0</v>
      </c>
      <c r="CU324" s="14">
        <f>ROUND(IF(BZ324=0,0,HLOOKUP(BZ$14,Villagers!$B$1:$V$33,BZ324+3,FALSE)),)</f>
        <v>0</v>
      </c>
      <c r="CV324" s="14">
        <f>ROUND(IF(CA324=0,0,HLOOKUP(CA$14,Villagers!$B$1:$V$33,CA324+3,FALSE)),)</f>
        <v>0</v>
      </c>
      <c r="CW324" s="14">
        <f>ROUND(IF(CB324=0,0,HLOOKUP(CB$14,Villagers!$B$1:$V$33,CB324+3,FALSE)),)</f>
        <v>0</v>
      </c>
      <c r="CX324" s="14">
        <f>ROUND(IF(CC324=0,0,HLOOKUP(CC$14,Villagers!$B$1:$V$33,CC324+3,FALSE)),)</f>
        <v>0</v>
      </c>
      <c r="CY324" s="14">
        <f>ROUND(IF(CD324=0,0,HLOOKUP(CD$14,Villagers!$B$1:$V$33,CD324+3,FALSE)),)</f>
        <v>0</v>
      </c>
      <c r="CZ324" s="14">
        <f>ROUND(IF(CE324=0,0,HLOOKUP(CE$14,Villagers!$B$1:$V$33,CE324+3,FALSE)),)</f>
        <v>5</v>
      </c>
      <c r="DA324" s="14">
        <f>ROUND(IF(CF324=0,0,HLOOKUP(CF$14,Villagers!$B$1:$V$33,CF324+3,FALSE)),)</f>
        <v>10</v>
      </c>
      <c r="DB324" s="14">
        <f>ROUND(IF(CG324=0,0,HLOOKUP(CG$14,Villagers!$B$1:$V$33,CG324+3,FALSE)),)</f>
        <v>10</v>
      </c>
      <c r="DC324" s="14">
        <f>ROUND(IF(CH324=0,0,HLOOKUP(CH$14,Villagers!$B$1:$V$33,CH324+3,FALSE)),)</f>
        <v>0</v>
      </c>
      <c r="DD324" s="14">
        <f>ROUND(IF(CI324=0,0,HLOOKUP(CI$14,Villagers!$B$1:$V$33,CI324+3,FALSE)),)</f>
        <v>0</v>
      </c>
      <c r="DE324" s="14">
        <f>ROUND(IF(CJ324=0,0,HLOOKUP(CJ$14,Villagers!$B$1:$V$33,CJ324+3,FALSE)),)</f>
        <v>2</v>
      </c>
      <c r="DF324" s="370">
        <f>ROUND(IF(CK324=0,0,HLOOKUP(CK$14,Villagers!$B$1:$V$33,CK324+3,FALSE)),)</f>
        <v>0</v>
      </c>
      <c r="DG324" s="370">
        <f>ROUND(IF(CL324=0,0,HLOOKUP(CL$14,Villagers!$B$1:$V$33,CL324+3,FALSE)),)</f>
        <v>0</v>
      </c>
      <c r="DH324" s="34">
        <f>ROUND(IF(CM324=0,0,HLOOKUP(CM$14,Villagers!$B$1:$V$33,CM324+3,FALSE)),)</f>
        <v>0</v>
      </c>
      <c r="DI324" s="109">
        <f t="shared" si="426"/>
        <v>0</v>
      </c>
      <c r="DJ324" s="50">
        <f t="shared" si="427"/>
        <v>0</v>
      </c>
      <c r="DK324" s="50">
        <f t="shared" si="428"/>
        <v>0</v>
      </c>
      <c r="DL324" s="50">
        <f t="shared" si="429"/>
        <v>0</v>
      </c>
      <c r="DM324" s="50">
        <f t="shared" si="430"/>
        <v>0</v>
      </c>
      <c r="DN324" s="50">
        <f t="shared" si="431"/>
        <v>0</v>
      </c>
      <c r="DO324" s="50">
        <f t="shared" si="432"/>
        <v>0</v>
      </c>
      <c r="DP324" s="50">
        <f t="shared" si="433"/>
        <v>0</v>
      </c>
      <c r="DQ324" s="50">
        <f t="shared" si="411"/>
        <v>0</v>
      </c>
      <c r="DR324" s="50">
        <f t="shared" si="412"/>
        <v>0</v>
      </c>
      <c r="DS324" s="96">
        <f>Miscelaneous!$D$4*Miscelaneous!$D$2^($CI324-1)</f>
        <v>1000</v>
      </c>
      <c r="DT324" s="333">
        <f t="shared" si="393"/>
        <v>1</v>
      </c>
      <c r="DU324" s="81">
        <v>1</v>
      </c>
      <c r="DV324" s="79">
        <f t="shared" si="413"/>
        <v>0</v>
      </c>
      <c r="DW324" s="79">
        <f t="shared" si="414"/>
        <v>0</v>
      </c>
      <c r="DX324" s="79">
        <f t="shared" si="415"/>
        <v>0</v>
      </c>
      <c r="DY324" s="79">
        <v>1</v>
      </c>
      <c r="DZ324" s="79">
        <f t="shared" si="416"/>
        <v>0</v>
      </c>
      <c r="EA324" s="79">
        <f t="shared" si="417"/>
        <v>0</v>
      </c>
      <c r="EB324" s="79">
        <f t="shared" si="418"/>
        <v>0</v>
      </c>
      <c r="EC324" s="79">
        <f t="shared" si="419"/>
        <v>0</v>
      </c>
      <c r="ED324" s="79">
        <v>1</v>
      </c>
      <c r="EE324" s="79">
        <v>1</v>
      </c>
      <c r="EF324" s="79">
        <f t="shared" si="420"/>
        <v>0</v>
      </c>
      <c r="EG324" s="79">
        <v>1</v>
      </c>
      <c r="EH324" s="79">
        <v>1</v>
      </c>
      <c r="EI324" s="79">
        <v>1</v>
      </c>
      <c r="EJ324" s="79">
        <v>1</v>
      </c>
      <c r="EK324" s="79">
        <v>1</v>
      </c>
      <c r="EL324" s="79">
        <v>1</v>
      </c>
      <c r="EM324" s="143">
        <f t="shared" si="421"/>
        <v>0</v>
      </c>
      <c r="EN324" s="143">
        <f t="shared" si="422"/>
        <v>0</v>
      </c>
      <c r="EO324" s="82">
        <f t="shared" si="423"/>
        <v>0</v>
      </c>
    </row>
    <row r="325" spans="1:145" x14ac:dyDescent="0.25">
      <c r="A325">
        <v>311</v>
      </c>
      <c r="B325" s="172" t="e">
        <f t="shared" si="394"/>
        <v>#N/A</v>
      </c>
      <c r="C325" s="121" t="e">
        <f t="shared" si="373"/>
        <v>#N/A</v>
      </c>
      <c r="D325" s="122" t="e">
        <f t="shared" si="374"/>
        <v>#N/A</v>
      </c>
      <c r="E325" s="122" t="e">
        <f t="shared" si="375"/>
        <v>#N/A</v>
      </c>
      <c r="F325" s="176" t="e">
        <f t="shared" si="376"/>
        <v>#N/A</v>
      </c>
      <c r="G325" s="121">
        <f t="shared" si="395"/>
        <v>208</v>
      </c>
      <c r="H325" s="176" t="e">
        <f t="shared" si="396"/>
        <v>#N/A</v>
      </c>
      <c r="I325" s="48">
        <v>1</v>
      </c>
      <c r="J325" s="39"/>
      <c r="K325" s="350">
        <v>1</v>
      </c>
      <c r="L325" s="34" t="e">
        <f t="shared" si="377"/>
        <v>#N/A</v>
      </c>
      <c r="M325" s="38" t="e">
        <f>(HLOOKUP(J325,'Construction Times'!$B$3:$W$34,L325+2,FALSE)*HLOOKUP("hq modifier",'Construction Times'!$W$3:$W$34,BS325+2,FALSE))*(1-$H$9)</f>
        <v>#N/A</v>
      </c>
      <c r="N325" s="443" t="e">
        <f t="shared" si="397"/>
        <v>#N/A</v>
      </c>
      <c r="O325" s="444"/>
      <c r="P325" s="447" t="e">
        <f t="shared" si="398"/>
        <v>#N/A</v>
      </c>
      <c r="Q325" s="448"/>
      <c r="R325" s="103">
        <f t="shared" si="424"/>
        <v>0</v>
      </c>
      <c r="S325" s="104">
        <f t="shared" si="424"/>
        <v>0</v>
      </c>
      <c r="T325" s="104">
        <f t="shared" si="425"/>
        <v>0</v>
      </c>
      <c r="U325" s="104">
        <f t="shared" si="425"/>
        <v>0</v>
      </c>
      <c r="V325" s="104">
        <f t="shared" si="425"/>
        <v>9.9999999999999995E-8</v>
      </c>
      <c r="W325" s="104">
        <f t="shared" si="425"/>
        <v>0</v>
      </c>
      <c r="X325" s="104">
        <f t="shared" si="455"/>
        <v>0</v>
      </c>
      <c r="Y325" s="104">
        <f t="shared" si="455"/>
        <v>9.9999999999999995E-8</v>
      </c>
      <c r="Z325" s="104">
        <f t="shared" si="455"/>
        <v>9.9999999999999995E-8</v>
      </c>
      <c r="AA325" s="105">
        <f t="shared" si="455"/>
        <v>9.9999999999999995E-8</v>
      </c>
      <c r="AB325" s="101" t="e">
        <f>$DT325*HLOOKUP($J325,'Construction Costs (timber)'!$B$1:$V$32,'Construction Planner'!$L325+2,FALSE)</f>
        <v>#N/A</v>
      </c>
      <c r="AC325" s="14" t="e">
        <f>$DT325*HLOOKUP($J325,'Construction Costs (clay)'!$B$1:$V$32,'Construction Planner'!$L325+2,FALSE)</f>
        <v>#N/A</v>
      </c>
      <c r="AD325" s="14" t="e">
        <f>$DT325*HLOOKUP($J325,'Construction Costs (iron)'!$B$1:$V$32,'Construction Planner'!$L325+2,FALSE)</f>
        <v>#N/A</v>
      </c>
      <c r="AE325" s="34" t="e">
        <f t="shared" si="434"/>
        <v>#N/A</v>
      </c>
      <c r="AF325" s="33" t="e">
        <f t="shared" si="378"/>
        <v>#N/A</v>
      </c>
      <c r="AG325" s="14" t="e">
        <f t="shared" si="379"/>
        <v>#N/A</v>
      </c>
      <c r="AH325" s="14" t="e">
        <f t="shared" si="380"/>
        <v>#N/A</v>
      </c>
      <c r="AI325" s="34" t="e">
        <f t="shared" si="435"/>
        <v>#N/A</v>
      </c>
      <c r="AJ325" s="49" t="e">
        <f t="shared" si="399"/>
        <v>#N/A</v>
      </c>
      <c r="AK325" s="49" t="e">
        <f t="shared" si="400"/>
        <v>#N/A</v>
      </c>
      <c r="AL325" s="49" t="e">
        <f t="shared" si="401"/>
        <v>#N/A</v>
      </c>
      <c r="AM325" s="25">
        <f t="shared" si="381"/>
        <v>30</v>
      </c>
      <c r="AN325" s="25">
        <f t="shared" si="382"/>
        <v>30</v>
      </c>
      <c r="AO325" s="25">
        <f t="shared" si="383"/>
        <v>30</v>
      </c>
      <c r="AP325" s="52" t="e">
        <f t="shared" si="402"/>
        <v>#N/A</v>
      </c>
      <c r="AQ325" s="53" t="e">
        <f t="shared" si="402"/>
        <v>#N/A</v>
      </c>
      <c r="AR325" s="54" t="e">
        <f t="shared" si="402"/>
        <v>#N/A</v>
      </c>
      <c r="AS325" s="316">
        <f t="shared" si="461"/>
        <v>0</v>
      </c>
      <c r="AT325" s="106">
        <f>_xlfn.IFNA($M325/VLOOKUP($BT325,'Unit information'!$A$2:$K$29,2,FALSE)*R325,0)*(1+$E$9)</f>
        <v>0</v>
      </c>
      <c r="AU325" s="107">
        <f>_xlfn.IFNA($M325/VLOOKUP($BT325,'Unit information'!$A$2:$K$29,3,FALSE)*S325,0)*(1+$E$9)</f>
        <v>0</v>
      </c>
      <c r="AV325" s="107">
        <f>_xlfn.IFNA($M325/VLOOKUP($BT325,'Unit information'!$A$2:$K$29,4,FALSE)*T325,0)*(1+$E$9)</f>
        <v>0</v>
      </c>
      <c r="AW325" s="107">
        <f>_xlfn.IFNA($M325/VLOOKUP($BT325,'Unit information'!$A$2:$K$29,5,FALSE)*U325,0)*(1+$E$9)</f>
        <v>0</v>
      </c>
      <c r="AX325" s="107">
        <f>_xlfn.IFNA($M325/VLOOKUP($BU325,'Unit information'!$A$2:$K$29,6,FALSE)*V325,0)*(1+$E$9)</f>
        <v>0</v>
      </c>
      <c r="AY325" s="107">
        <f>_xlfn.IFNA($M325/VLOOKUP($BU325,'Unit information'!$A$2:$K$29,7,FALSE)*W325,0)*(1+$E$9)</f>
        <v>0</v>
      </c>
      <c r="AZ325" s="107">
        <f>_xlfn.IFNA($M325/VLOOKUP($BU325,'Unit information'!$A$2:$K$29,8,FALSE)*X325,0)*(1+$E$9)</f>
        <v>0</v>
      </c>
      <c r="BA325" s="107">
        <f>_xlfn.IFNA($M325/VLOOKUP($BU325,'Unit information'!$A$2:$K$29,9,FALSE)*Y325,0)*(1+$E$9)</f>
        <v>0</v>
      </c>
      <c r="BB325" s="107">
        <f>_xlfn.IFNA($M325/VLOOKUP($BV325,'Unit information'!$A$2:$K$29,10,FALSE)*Z325,0)*(1+$E$9)</f>
        <v>0</v>
      </c>
      <c r="BC325" s="108">
        <f>_xlfn.IFNA($M325/VLOOKUP($BV325,'Unit information'!$A$2:$K$29,11,FALSE)*AA325,0)*(1+$E$9)</f>
        <v>0</v>
      </c>
      <c r="BD325" s="106">
        <f t="shared" si="384"/>
        <v>0</v>
      </c>
      <c r="BE325" s="107">
        <f t="shared" si="385"/>
        <v>0</v>
      </c>
      <c r="BF325" s="108">
        <f t="shared" si="386"/>
        <v>0</v>
      </c>
      <c r="BG325" s="25" t="e">
        <f t="shared" si="387"/>
        <v>#N/A</v>
      </c>
      <c r="BH325" s="25" t="e">
        <f t="shared" si="388"/>
        <v>#N/A</v>
      </c>
      <c r="BI325" s="25" t="e">
        <f t="shared" si="389"/>
        <v>#N/A</v>
      </c>
      <c r="BJ325" s="27" t="e">
        <f t="shared" si="390"/>
        <v>#N/A</v>
      </c>
      <c r="BK325" s="18" t="e">
        <f t="shared" si="391"/>
        <v>#N/A</v>
      </c>
      <c r="BL325" s="18" t="e">
        <f t="shared" si="392"/>
        <v>#N/A</v>
      </c>
      <c r="BM325" s="28" t="e">
        <f t="shared" si="437"/>
        <v>#N/A</v>
      </c>
      <c r="BN325" s="33">
        <f>HLOOKUP("maximum population",Miscelaneous!$C$1:$C$33,CH325+3,FALSE)</f>
        <v>240</v>
      </c>
      <c r="BO325" s="14">
        <f t="shared" si="403"/>
        <v>32</v>
      </c>
      <c r="BP325" s="14">
        <f t="shared" si="404"/>
        <v>0</v>
      </c>
      <c r="BQ325" s="14">
        <f t="shared" si="405"/>
        <v>208</v>
      </c>
      <c r="BR325" s="34" t="e">
        <f>HLOOKUP(J325,Villagers!$B$1:$V$33,L325+3,FALSE)-HLOOKUP(J325,Villagers!$B$1:$V$33,L325+2,FALSE)</f>
        <v>#N/A</v>
      </c>
      <c r="BS325" s="49">
        <f t="shared" si="406"/>
        <v>1</v>
      </c>
      <c r="BT325" s="50">
        <f t="shared" si="407"/>
        <v>0</v>
      </c>
      <c r="BU325" s="50">
        <f t="shared" si="408"/>
        <v>0</v>
      </c>
      <c r="BV325" s="50">
        <f t="shared" si="409"/>
        <v>0</v>
      </c>
      <c r="BW325" s="50">
        <f t="shared" si="458"/>
        <v>0</v>
      </c>
      <c r="BX325" s="50">
        <f t="shared" si="459"/>
        <v>0</v>
      </c>
      <c r="BY325" s="50">
        <f t="shared" si="459"/>
        <v>0</v>
      </c>
      <c r="BZ325" s="50">
        <f t="shared" si="440"/>
        <v>0</v>
      </c>
      <c r="CA325" s="50">
        <f t="shared" si="441"/>
        <v>0</v>
      </c>
      <c r="CB325" s="50">
        <f t="shared" si="442"/>
        <v>1</v>
      </c>
      <c r="CC325" s="50">
        <f t="shared" si="443"/>
        <v>0</v>
      </c>
      <c r="CD325" s="50">
        <f t="shared" si="444"/>
        <v>0</v>
      </c>
      <c r="CE325" s="50">
        <f t="shared" si="445"/>
        <v>1</v>
      </c>
      <c r="CF325" s="50">
        <f t="shared" si="446"/>
        <v>1</v>
      </c>
      <c r="CG325" s="50">
        <f t="shared" si="447"/>
        <v>1</v>
      </c>
      <c r="CH325" s="50">
        <f t="shared" si="448"/>
        <v>1</v>
      </c>
      <c r="CI325" s="50">
        <f t="shared" si="449"/>
        <v>1</v>
      </c>
      <c r="CJ325" s="50">
        <f t="shared" si="450"/>
        <v>1</v>
      </c>
      <c r="CK325" s="50">
        <f t="shared" si="450"/>
        <v>0</v>
      </c>
      <c r="CL325" s="50">
        <f t="shared" si="450"/>
        <v>0</v>
      </c>
      <c r="CM325" s="51">
        <f t="shared" si="460"/>
        <v>0</v>
      </c>
      <c r="CN325" s="33">
        <f>ROUND(IF(BS325=0,0,HLOOKUP(BS$14,Villagers!$B$1:$V$33,BS325+3,FALSE)),)</f>
        <v>5</v>
      </c>
      <c r="CO325" s="14">
        <f>ROUND(IF(BT325=0,0,HLOOKUP(BT$14,Villagers!$B$1:$V$33,BT325+3,FALSE)),)</f>
        <v>0</v>
      </c>
      <c r="CP325" s="14">
        <f>ROUND(IF(BU325=0,0,HLOOKUP(BU$14,Villagers!$B$1:$V$33,BU325+3,FALSE)),)</f>
        <v>0</v>
      </c>
      <c r="CQ325" s="14">
        <f>ROUND(IF(BV325=0,0,HLOOKUP(BV$14,Villagers!$B$1:$V$33,BV325+3,FALSE)),)</f>
        <v>0</v>
      </c>
      <c r="CR325" s="14">
        <f>ROUND(IF(BW325=0,0,HLOOKUP(BW$14,Villagers!$B$1:$V$33,BW325+3,FALSE)),)</f>
        <v>0</v>
      </c>
      <c r="CS325" s="14">
        <f>ROUND(IF(BX325=0,0,HLOOKUP(BX$14,Villagers!$B$1:$V$33,BX325+3,FALSE)),)</f>
        <v>0</v>
      </c>
      <c r="CT325" s="14">
        <f>ROUND(IF(BY325=0,0,HLOOKUP(BY$14,Villagers!$B$1:$V$33,BY325+3,FALSE)),)</f>
        <v>0</v>
      </c>
      <c r="CU325" s="14">
        <f>ROUND(IF(BZ325=0,0,HLOOKUP(BZ$14,Villagers!$B$1:$V$33,BZ325+3,FALSE)),)</f>
        <v>0</v>
      </c>
      <c r="CV325" s="14">
        <f>ROUND(IF(CA325=0,0,HLOOKUP(CA$14,Villagers!$B$1:$V$33,CA325+3,FALSE)),)</f>
        <v>0</v>
      </c>
      <c r="CW325" s="14">
        <f>ROUND(IF(CB325=0,0,HLOOKUP(CB$14,Villagers!$B$1:$V$33,CB325+3,FALSE)),)</f>
        <v>0</v>
      </c>
      <c r="CX325" s="14">
        <f>ROUND(IF(CC325=0,0,HLOOKUP(CC$14,Villagers!$B$1:$V$33,CC325+3,FALSE)),)</f>
        <v>0</v>
      </c>
      <c r="CY325" s="14">
        <f>ROUND(IF(CD325=0,0,HLOOKUP(CD$14,Villagers!$B$1:$V$33,CD325+3,FALSE)),)</f>
        <v>0</v>
      </c>
      <c r="CZ325" s="14">
        <f>ROUND(IF(CE325=0,0,HLOOKUP(CE$14,Villagers!$B$1:$V$33,CE325+3,FALSE)),)</f>
        <v>5</v>
      </c>
      <c r="DA325" s="14">
        <f>ROUND(IF(CF325=0,0,HLOOKUP(CF$14,Villagers!$B$1:$V$33,CF325+3,FALSE)),)</f>
        <v>10</v>
      </c>
      <c r="DB325" s="14">
        <f>ROUND(IF(CG325=0,0,HLOOKUP(CG$14,Villagers!$B$1:$V$33,CG325+3,FALSE)),)</f>
        <v>10</v>
      </c>
      <c r="DC325" s="14">
        <f>ROUND(IF(CH325=0,0,HLOOKUP(CH$14,Villagers!$B$1:$V$33,CH325+3,FALSE)),)</f>
        <v>0</v>
      </c>
      <c r="DD325" s="14">
        <f>ROUND(IF(CI325=0,0,HLOOKUP(CI$14,Villagers!$B$1:$V$33,CI325+3,FALSE)),)</f>
        <v>0</v>
      </c>
      <c r="DE325" s="14">
        <f>ROUND(IF(CJ325=0,0,HLOOKUP(CJ$14,Villagers!$B$1:$V$33,CJ325+3,FALSE)),)</f>
        <v>2</v>
      </c>
      <c r="DF325" s="370">
        <f>ROUND(IF(CK325=0,0,HLOOKUP(CK$14,Villagers!$B$1:$V$33,CK325+3,FALSE)),)</f>
        <v>0</v>
      </c>
      <c r="DG325" s="370">
        <f>ROUND(IF(CL325=0,0,HLOOKUP(CL$14,Villagers!$B$1:$V$33,CL325+3,FALSE)),)</f>
        <v>0</v>
      </c>
      <c r="DH325" s="34">
        <f>ROUND(IF(CM325=0,0,HLOOKUP(CM$14,Villagers!$B$1:$V$33,CM325+3,FALSE)),)</f>
        <v>0</v>
      </c>
      <c r="DI325" s="109">
        <f t="shared" si="426"/>
        <v>0</v>
      </c>
      <c r="DJ325" s="50">
        <f t="shared" si="427"/>
        <v>0</v>
      </c>
      <c r="DK325" s="50">
        <f t="shared" si="428"/>
        <v>0</v>
      </c>
      <c r="DL325" s="50">
        <f t="shared" si="429"/>
        <v>0</v>
      </c>
      <c r="DM325" s="50">
        <f t="shared" si="430"/>
        <v>0</v>
      </c>
      <c r="DN325" s="50">
        <f t="shared" si="431"/>
        <v>0</v>
      </c>
      <c r="DO325" s="50">
        <f t="shared" si="432"/>
        <v>0</v>
      </c>
      <c r="DP325" s="50">
        <f t="shared" si="433"/>
        <v>0</v>
      </c>
      <c r="DQ325" s="50">
        <f t="shared" si="411"/>
        <v>0</v>
      </c>
      <c r="DR325" s="50">
        <f t="shared" si="412"/>
        <v>0</v>
      </c>
      <c r="DS325" s="96">
        <f>Miscelaneous!$D$4*Miscelaneous!$D$2^($CI325-1)</f>
        <v>1000</v>
      </c>
      <c r="DT325" s="333">
        <f t="shared" si="393"/>
        <v>1</v>
      </c>
      <c r="DU325" s="81">
        <v>1</v>
      </c>
      <c r="DV325" s="79">
        <f t="shared" si="413"/>
        <v>0</v>
      </c>
      <c r="DW325" s="79">
        <f t="shared" si="414"/>
        <v>0</v>
      </c>
      <c r="DX325" s="79">
        <f t="shared" si="415"/>
        <v>0</v>
      </c>
      <c r="DY325" s="79">
        <v>1</v>
      </c>
      <c r="DZ325" s="79">
        <f t="shared" si="416"/>
        <v>0</v>
      </c>
      <c r="EA325" s="79">
        <f t="shared" si="417"/>
        <v>0</v>
      </c>
      <c r="EB325" s="79">
        <f t="shared" si="418"/>
        <v>0</v>
      </c>
      <c r="EC325" s="79">
        <f t="shared" si="419"/>
        <v>0</v>
      </c>
      <c r="ED325" s="79">
        <v>1</v>
      </c>
      <c r="EE325" s="79">
        <v>1</v>
      </c>
      <c r="EF325" s="79">
        <f t="shared" si="420"/>
        <v>0</v>
      </c>
      <c r="EG325" s="79">
        <v>1</v>
      </c>
      <c r="EH325" s="79">
        <v>1</v>
      </c>
      <c r="EI325" s="79">
        <v>1</v>
      </c>
      <c r="EJ325" s="79">
        <v>1</v>
      </c>
      <c r="EK325" s="79">
        <v>1</v>
      </c>
      <c r="EL325" s="79">
        <v>1</v>
      </c>
      <c r="EM325" s="143">
        <f t="shared" si="421"/>
        <v>0</v>
      </c>
      <c r="EN325" s="143">
        <f t="shared" si="422"/>
        <v>0</v>
      </c>
      <c r="EO325" s="82">
        <f t="shared" si="423"/>
        <v>0</v>
      </c>
    </row>
    <row r="326" spans="1:145" x14ac:dyDescent="0.25">
      <c r="A326">
        <v>312</v>
      </c>
      <c r="B326" s="172" t="e">
        <f t="shared" si="394"/>
        <v>#N/A</v>
      </c>
      <c r="C326" s="121" t="e">
        <f t="shared" si="373"/>
        <v>#N/A</v>
      </c>
      <c r="D326" s="122" t="e">
        <f t="shared" si="374"/>
        <v>#N/A</v>
      </c>
      <c r="E326" s="122" t="e">
        <f t="shared" si="375"/>
        <v>#N/A</v>
      </c>
      <c r="F326" s="176" t="e">
        <f t="shared" si="376"/>
        <v>#N/A</v>
      </c>
      <c r="G326" s="121">
        <f t="shared" si="395"/>
        <v>208</v>
      </c>
      <c r="H326" s="176" t="e">
        <f t="shared" si="396"/>
        <v>#N/A</v>
      </c>
      <c r="I326" s="48">
        <v>1</v>
      </c>
      <c r="J326" s="39"/>
      <c r="K326" s="350">
        <v>1</v>
      </c>
      <c r="L326" s="34" t="e">
        <f t="shared" si="377"/>
        <v>#N/A</v>
      </c>
      <c r="M326" s="38" t="e">
        <f>(HLOOKUP(J326,'Construction Times'!$B$3:$W$34,L326+2,FALSE)*HLOOKUP("hq modifier",'Construction Times'!$W$3:$W$34,BS326+2,FALSE))*(1-$H$9)</f>
        <v>#N/A</v>
      </c>
      <c r="N326" s="443" t="e">
        <f t="shared" si="397"/>
        <v>#N/A</v>
      </c>
      <c r="O326" s="444"/>
      <c r="P326" s="447" t="e">
        <f t="shared" si="398"/>
        <v>#N/A</v>
      </c>
      <c r="Q326" s="448"/>
      <c r="R326" s="103">
        <f t="shared" si="424"/>
        <v>0</v>
      </c>
      <c r="S326" s="104">
        <f t="shared" si="424"/>
        <v>0</v>
      </c>
      <c r="T326" s="104">
        <f t="shared" si="425"/>
        <v>0</v>
      </c>
      <c r="U326" s="104">
        <f t="shared" si="425"/>
        <v>0</v>
      </c>
      <c r="V326" s="104">
        <f t="shared" si="425"/>
        <v>9.9999999999999995E-8</v>
      </c>
      <c r="W326" s="104">
        <f t="shared" si="425"/>
        <v>0</v>
      </c>
      <c r="X326" s="104">
        <f t="shared" si="455"/>
        <v>0</v>
      </c>
      <c r="Y326" s="104">
        <f t="shared" si="455"/>
        <v>9.9999999999999995E-8</v>
      </c>
      <c r="Z326" s="104">
        <f t="shared" si="455"/>
        <v>9.9999999999999995E-8</v>
      </c>
      <c r="AA326" s="105">
        <f t="shared" si="455"/>
        <v>9.9999999999999995E-8</v>
      </c>
      <c r="AB326" s="101" t="e">
        <f>$DT326*HLOOKUP($J326,'Construction Costs (timber)'!$B$1:$V$32,'Construction Planner'!$L326+2,FALSE)</f>
        <v>#N/A</v>
      </c>
      <c r="AC326" s="14" t="e">
        <f>$DT326*HLOOKUP($J326,'Construction Costs (clay)'!$B$1:$V$32,'Construction Planner'!$L326+2,FALSE)</f>
        <v>#N/A</v>
      </c>
      <c r="AD326" s="14" t="e">
        <f>$DT326*HLOOKUP($J326,'Construction Costs (iron)'!$B$1:$V$32,'Construction Planner'!$L326+2,FALSE)</f>
        <v>#N/A</v>
      </c>
      <c r="AE326" s="34" t="e">
        <f t="shared" si="434"/>
        <v>#N/A</v>
      </c>
      <c r="AF326" s="33" t="e">
        <f t="shared" si="378"/>
        <v>#N/A</v>
      </c>
      <c r="AG326" s="14" t="e">
        <f t="shared" si="379"/>
        <v>#N/A</v>
      </c>
      <c r="AH326" s="14" t="e">
        <f t="shared" si="380"/>
        <v>#N/A</v>
      </c>
      <c r="AI326" s="34" t="e">
        <f t="shared" si="435"/>
        <v>#N/A</v>
      </c>
      <c r="AJ326" s="49" t="e">
        <f t="shared" si="399"/>
        <v>#N/A</v>
      </c>
      <c r="AK326" s="49" t="e">
        <f t="shared" si="400"/>
        <v>#N/A</v>
      </c>
      <c r="AL326" s="49" t="e">
        <f t="shared" si="401"/>
        <v>#N/A</v>
      </c>
      <c r="AM326" s="25">
        <f t="shared" si="381"/>
        <v>30</v>
      </c>
      <c r="AN326" s="25">
        <f t="shared" si="382"/>
        <v>30</v>
      </c>
      <c r="AO326" s="25">
        <f t="shared" si="383"/>
        <v>30</v>
      </c>
      <c r="AP326" s="52" t="e">
        <f t="shared" si="402"/>
        <v>#N/A</v>
      </c>
      <c r="AQ326" s="53" t="e">
        <f t="shared" si="402"/>
        <v>#N/A</v>
      </c>
      <c r="AR326" s="54" t="e">
        <f t="shared" si="402"/>
        <v>#N/A</v>
      </c>
      <c r="AS326" s="316">
        <f t="shared" si="461"/>
        <v>0</v>
      </c>
      <c r="AT326" s="106">
        <f>_xlfn.IFNA($M326/VLOOKUP($BT326,'Unit information'!$A$2:$K$29,2,FALSE)*R326,0)*(1+$E$9)</f>
        <v>0</v>
      </c>
      <c r="AU326" s="107">
        <f>_xlfn.IFNA($M326/VLOOKUP($BT326,'Unit information'!$A$2:$K$29,3,FALSE)*S326,0)*(1+$E$9)</f>
        <v>0</v>
      </c>
      <c r="AV326" s="107">
        <f>_xlfn.IFNA($M326/VLOOKUP($BT326,'Unit information'!$A$2:$K$29,4,FALSE)*T326,0)*(1+$E$9)</f>
        <v>0</v>
      </c>
      <c r="AW326" s="107">
        <f>_xlfn.IFNA($M326/VLOOKUP($BT326,'Unit information'!$A$2:$K$29,5,FALSE)*U326,0)*(1+$E$9)</f>
        <v>0</v>
      </c>
      <c r="AX326" s="107">
        <f>_xlfn.IFNA($M326/VLOOKUP($BU326,'Unit information'!$A$2:$K$29,6,FALSE)*V326,0)*(1+$E$9)</f>
        <v>0</v>
      </c>
      <c r="AY326" s="107">
        <f>_xlfn.IFNA($M326/VLOOKUP($BU326,'Unit information'!$A$2:$K$29,7,FALSE)*W326,0)*(1+$E$9)</f>
        <v>0</v>
      </c>
      <c r="AZ326" s="107">
        <f>_xlfn.IFNA($M326/VLOOKUP($BU326,'Unit information'!$A$2:$K$29,8,FALSE)*X326,0)*(1+$E$9)</f>
        <v>0</v>
      </c>
      <c r="BA326" s="107">
        <f>_xlfn.IFNA($M326/VLOOKUP($BU326,'Unit information'!$A$2:$K$29,9,FALSE)*Y326,0)*(1+$E$9)</f>
        <v>0</v>
      </c>
      <c r="BB326" s="107">
        <f>_xlfn.IFNA($M326/VLOOKUP($BV326,'Unit information'!$A$2:$K$29,10,FALSE)*Z326,0)*(1+$E$9)</f>
        <v>0</v>
      </c>
      <c r="BC326" s="108">
        <f>_xlfn.IFNA($M326/VLOOKUP($BV326,'Unit information'!$A$2:$K$29,11,FALSE)*AA326,0)*(1+$E$9)</f>
        <v>0</v>
      </c>
      <c r="BD326" s="106">
        <f t="shared" si="384"/>
        <v>0</v>
      </c>
      <c r="BE326" s="107">
        <f t="shared" si="385"/>
        <v>0</v>
      </c>
      <c r="BF326" s="108">
        <f t="shared" si="386"/>
        <v>0</v>
      </c>
      <c r="BG326" s="25" t="e">
        <f t="shared" si="387"/>
        <v>#N/A</v>
      </c>
      <c r="BH326" s="25" t="e">
        <f t="shared" si="388"/>
        <v>#N/A</v>
      </c>
      <c r="BI326" s="25" t="e">
        <f t="shared" si="389"/>
        <v>#N/A</v>
      </c>
      <c r="BJ326" s="27" t="e">
        <f t="shared" si="390"/>
        <v>#N/A</v>
      </c>
      <c r="BK326" s="18" t="e">
        <f t="shared" si="391"/>
        <v>#N/A</v>
      </c>
      <c r="BL326" s="18" t="e">
        <f t="shared" si="392"/>
        <v>#N/A</v>
      </c>
      <c r="BM326" s="28" t="e">
        <f t="shared" si="437"/>
        <v>#N/A</v>
      </c>
      <c r="BN326" s="33">
        <f>HLOOKUP("maximum population",Miscelaneous!$C$1:$C$33,CH326+3,FALSE)</f>
        <v>240</v>
      </c>
      <c r="BO326" s="14">
        <f t="shared" si="403"/>
        <v>32</v>
      </c>
      <c r="BP326" s="14">
        <f t="shared" si="404"/>
        <v>0</v>
      </c>
      <c r="BQ326" s="14">
        <f t="shared" si="405"/>
        <v>208</v>
      </c>
      <c r="BR326" s="34" t="e">
        <f>HLOOKUP(J326,Villagers!$B$1:$V$33,L326+3,FALSE)-HLOOKUP(J326,Villagers!$B$1:$V$33,L326+2,FALSE)</f>
        <v>#N/A</v>
      </c>
      <c r="BS326" s="49">
        <f t="shared" si="406"/>
        <v>1</v>
      </c>
      <c r="BT326" s="50">
        <f t="shared" si="407"/>
        <v>0</v>
      </c>
      <c r="BU326" s="50">
        <f t="shared" si="408"/>
        <v>0</v>
      </c>
      <c r="BV326" s="50">
        <f t="shared" si="409"/>
        <v>0</v>
      </c>
      <c r="BW326" s="50">
        <f t="shared" si="458"/>
        <v>0</v>
      </c>
      <c r="BX326" s="50">
        <f t="shared" si="459"/>
        <v>0</v>
      </c>
      <c r="BY326" s="50">
        <f t="shared" si="459"/>
        <v>0</v>
      </c>
      <c r="BZ326" s="50">
        <f t="shared" si="440"/>
        <v>0</v>
      </c>
      <c r="CA326" s="50">
        <f t="shared" si="441"/>
        <v>0</v>
      </c>
      <c r="CB326" s="50">
        <f t="shared" si="442"/>
        <v>1</v>
      </c>
      <c r="CC326" s="50">
        <f t="shared" si="443"/>
        <v>0</v>
      </c>
      <c r="CD326" s="50">
        <f t="shared" si="444"/>
        <v>0</v>
      </c>
      <c r="CE326" s="50">
        <f t="shared" si="445"/>
        <v>1</v>
      </c>
      <c r="CF326" s="50">
        <f t="shared" si="446"/>
        <v>1</v>
      </c>
      <c r="CG326" s="50">
        <f t="shared" si="447"/>
        <v>1</v>
      </c>
      <c r="CH326" s="50">
        <f t="shared" si="448"/>
        <v>1</v>
      </c>
      <c r="CI326" s="50">
        <f t="shared" si="449"/>
        <v>1</v>
      </c>
      <c r="CJ326" s="50">
        <f t="shared" si="450"/>
        <v>1</v>
      </c>
      <c r="CK326" s="50">
        <f t="shared" si="450"/>
        <v>0</v>
      </c>
      <c r="CL326" s="50">
        <f t="shared" si="450"/>
        <v>0</v>
      </c>
      <c r="CM326" s="51">
        <f t="shared" si="460"/>
        <v>0</v>
      </c>
      <c r="CN326" s="33">
        <f>ROUND(IF(BS326=0,0,HLOOKUP(BS$14,Villagers!$B$1:$V$33,BS326+3,FALSE)),)</f>
        <v>5</v>
      </c>
      <c r="CO326" s="14">
        <f>ROUND(IF(BT326=0,0,HLOOKUP(BT$14,Villagers!$B$1:$V$33,BT326+3,FALSE)),)</f>
        <v>0</v>
      </c>
      <c r="CP326" s="14">
        <f>ROUND(IF(BU326=0,0,HLOOKUP(BU$14,Villagers!$B$1:$V$33,BU326+3,FALSE)),)</f>
        <v>0</v>
      </c>
      <c r="CQ326" s="14">
        <f>ROUND(IF(BV326=0,0,HLOOKUP(BV$14,Villagers!$B$1:$V$33,BV326+3,FALSE)),)</f>
        <v>0</v>
      </c>
      <c r="CR326" s="14">
        <f>ROUND(IF(BW326=0,0,HLOOKUP(BW$14,Villagers!$B$1:$V$33,BW326+3,FALSE)),)</f>
        <v>0</v>
      </c>
      <c r="CS326" s="14">
        <f>ROUND(IF(BX326=0,0,HLOOKUP(BX$14,Villagers!$B$1:$V$33,BX326+3,FALSE)),)</f>
        <v>0</v>
      </c>
      <c r="CT326" s="14">
        <f>ROUND(IF(BY326=0,0,HLOOKUP(BY$14,Villagers!$B$1:$V$33,BY326+3,FALSE)),)</f>
        <v>0</v>
      </c>
      <c r="CU326" s="14">
        <f>ROUND(IF(BZ326=0,0,HLOOKUP(BZ$14,Villagers!$B$1:$V$33,BZ326+3,FALSE)),)</f>
        <v>0</v>
      </c>
      <c r="CV326" s="14">
        <f>ROUND(IF(CA326=0,0,HLOOKUP(CA$14,Villagers!$B$1:$V$33,CA326+3,FALSE)),)</f>
        <v>0</v>
      </c>
      <c r="CW326" s="14">
        <f>ROUND(IF(CB326=0,0,HLOOKUP(CB$14,Villagers!$B$1:$V$33,CB326+3,FALSE)),)</f>
        <v>0</v>
      </c>
      <c r="CX326" s="14">
        <f>ROUND(IF(CC326=0,0,HLOOKUP(CC$14,Villagers!$B$1:$V$33,CC326+3,FALSE)),)</f>
        <v>0</v>
      </c>
      <c r="CY326" s="14">
        <f>ROUND(IF(CD326=0,0,HLOOKUP(CD$14,Villagers!$B$1:$V$33,CD326+3,FALSE)),)</f>
        <v>0</v>
      </c>
      <c r="CZ326" s="14">
        <f>ROUND(IF(CE326=0,0,HLOOKUP(CE$14,Villagers!$B$1:$V$33,CE326+3,FALSE)),)</f>
        <v>5</v>
      </c>
      <c r="DA326" s="14">
        <f>ROUND(IF(CF326=0,0,HLOOKUP(CF$14,Villagers!$B$1:$V$33,CF326+3,FALSE)),)</f>
        <v>10</v>
      </c>
      <c r="DB326" s="14">
        <f>ROUND(IF(CG326=0,0,HLOOKUP(CG$14,Villagers!$B$1:$V$33,CG326+3,FALSE)),)</f>
        <v>10</v>
      </c>
      <c r="DC326" s="14">
        <f>ROUND(IF(CH326=0,0,HLOOKUP(CH$14,Villagers!$B$1:$V$33,CH326+3,FALSE)),)</f>
        <v>0</v>
      </c>
      <c r="DD326" s="14">
        <f>ROUND(IF(CI326=0,0,HLOOKUP(CI$14,Villagers!$B$1:$V$33,CI326+3,FALSE)),)</f>
        <v>0</v>
      </c>
      <c r="DE326" s="14">
        <f>ROUND(IF(CJ326=0,0,HLOOKUP(CJ$14,Villagers!$B$1:$V$33,CJ326+3,FALSE)),)</f>
        <v>2</v>
      </c>
      <c r="DF326" s="370">
        <f>ROUND(IF(CK326=0,0,HLOOKUP(CK$14,Villagers!$B$1:$V$33,CK326+3,FALSE)),)</f>
        <v>0</v>
      </c>
      <c r="DG326" s="370">
        <f>ROUND(IF(CL326=0,0,HLOOKUP(CL$14,Villagers!$B$1:$V$33,CL326+3,FALSE)),)</f>
        <v>0</v>
      </c>
      <c r="DH326" s="34">
        <f>ROUND(IF(CM326=0,0,HLOOKUP(CM$14,Villagers!$B$1:$V$33,CM326+3,FALSE)),)</f>
        <v>0</v>
      </c>
      <c r="DI326" s="109">
        <f t="shared" si="426"/>
        <v>0</v>
      </c>
      <c r="DJ326" s="50">
        <f t="shared" si="427"/>
        <v>0</v>
      </c>
      <c r="DK326" s="50">
        <f t="shared" si="428"/>
        <v>0</v>
      </c>
      <c r="DL326" s="50">
        <f t="shared" si="429"/>
        <v>0</v>
      </c>
      <c r="DM326" s="50">
        <f t="shared" si="430"/>
        <v>0</v>
      </c>
      <c r="DN326" s="50">
        <f t="shared" si="431"/>
        <v>0</v>
      </c>
      <c r="DO326" s="50">
        <f t="shared" si="432"/>
        <v>0</v>
      </c>
      <c r="DP326" s="50">
        <f t="shared" si="433"/>
        <v>0</v>
      </c>
      <c r="DQ326" s="50">
        <f t="shared" si="411"/>
        <v>0</v>
      </c>
      <c r="DR326" s="50">
        <f t="shared" si="412"/>
        <v>0</v>
      </c>
      <c r="DS326" s="96">
        <f>Miscelaneous!$D$4*Miscelaneous!$D$2^($CI326-1)</f>
        <v>1000</v>
      </c>
      <c r="DT326" s="333">
        <f t="shared" si="393"/>
        <v>1</v>
      </c>
      <c r="DU326" s="81">
        <v>1</v>
      </c>
      <c r="DV326" s="79">
        <f t="shared" si="413"/>
        <v>0</v>
      </c>
      <c r="DW326" s="79">
        <f t="shared" si="414"/>
        <v>0</v>
      </c>
      <c r="DX326" s="79">
        <f t="shared" si="415"/>
        <v>0</v>
      </c>
      <c r="DY326" s="79">
        <v>1</v>
      </c>
      <c r="DZ326" s="79">
        <f t="shared" si="416"/>
        <v>0</v>
      </c>
      <c r="EA326" s="79">
        <f t="shared" si="417"/>
        <v>0</v>
      </c>
      <c r="EB326" s="79">
        <f t="shared" si="418"/>
        <v>0</v>
      </c>
      <c r="EC326" s="79">
        <f t="shared" si="419"/>
        <v>0</v>
      </c>
      <c r="ED326" s="79">
        <v>1</v>
      </c>
      <c r="EE326" s="79">
        <v>1</v>
      </c>
      <c r="EF326" s="79">
        <f t="shared" si="420"/>
        <v>0</v>
      </c>
      <c r="EG326" s="79">
        <v>1</v>
      </c>
      <c r="EH326" s="79">
        <v>1</v>
      </c>
      <c r="EI326" s="79">
        <v>1</v>
      </c>
      <c r="EJ326" s="79">
        <v>1</v>
      </c>
      <c r="EK326" s="79">
        <v>1</v>
      </c>
      <c r="EL326" s="79">
        <v>1</v>
      </c>
      <c r="EM326" s="143">
        <f t="shared" si="421"/>
        <v>0</v>
      </c>
      <c r="EN326" s="143">
        <f t="shared" si="422"/>
        <v>0</v>
      </c>
      <c r="EO326" s="82">
        <f t="shared" si="423"/>
        <v>0</v>
      </c>
    </row>
    <row r="327" spans="1:145" x14ac:dyDescent="0.25">
      <c r="A327">
        <v>313</v>
      </c>
      <c r="B327" s="172" t="e">
        <f t="shared" si="394"/>
        <v>#N/A</v>
      </c>
      <c r="C327" s="121" t="e">
        <f t="shared" si="373"/>
        <v>#N/A</v>
      </c>
      <c r="D327" s="122" t="e">
        <f t="shared" si="374"/>
        <v>#N/A</v>
      </c>
      <c r="E327" s="122" t="e">
        <f t="shared" si="375"/>
        <v>#N/A</v>
      </c>
      <c r="F327" s="176" t="e">
        <f t="shared" si="376"/>
        <v>#N/A</v>
      </c>
      <c r="G327" s="121">
        <f t="shared" si="395"/>
        <v>208</v>
      </c>
      <c r="H327" s="176" t="e">
        <f t="shared" si="396"/>
        <v>#N/A</v>
      </c>
      <c r="I327" s="48">
        <v>1</v>
      </c>
      <c r="J327" s="39"/>
      <c r="K327" s="350">
        <v>1</v>
      </c>
      <c r="L327" s="34" t="e">
        <f t="shared" si="377"/>
        <v>#N/A</v>
      </c>
      <c r="M327" s="38" t="e">
        <f>(HLOOKUP(J327,'Construction Times'!$B$3:$W$34,L327+2,FALSE)*HLOOKUP("hq modifier",'Construction Times'!$W$3:$W$34,BS327+2,FALSE))*(1-$H$9)</f>
        <v>#N/A</v>
      </c>
      <c r="N327" s="443" t="e">
        <f t="shared" si="397"/>
        <v>#N/A</v>
      </c>
      <c r="O327" s="444"/>
      <c r="P327" s="447" t="e">
        <f t="shared" si="398"/>
        <v>#N/A</v>
      </c>
      <c r="Q327" s="448"/>
      <c r="R327" s="103">
        <f t="shared" si="424"/>
        <v>0</v>
      </c>
      <c r="S327" s="104">
        <f t="shared" si="424"/>
        <v>0</v>
      </c>
      <c r="T327" s="104">
        <f t="shared" si="425"/>
        <v>0</v>
      </c>
      <c r="U327" s="104">
        <f t="shared" si="425"/>
        <v>0</v>
      </c>
      <c r="V327" s="104">
        <f t="shared" si="425"/>
        <v>9.9999999999999995E-8</v>
      </c>
      <c r="W327" s="104">
        <f t="shared" si="425"/>
        <v>0</v>
      </c>
      <c r="X327" s="104">
        <f t="shared" si="455"/>
        <v>0</v>
      </c>
      <c r="Y327" s="104">
        <f t="shared" si="455"/>
        <v>9.9999999999999995E-8</v>
      </c>
      <c r="Z327" s="104">
        <f t="shared" si="455"/>
        <v>9.9999999999999995E-8</v>
      </c>
      <c r="AA327" s="105">
        <f t="shared" si="455"/>
        <v>9.9999999999999995E-8</v>
      </c>
      <c r="AB327" s="101" t="e">
        <f>$DT327*HLOOKUP($J327,'Construction Costs (timber)'!$B$1:$V$32,'Construction Planner'!$L327+2,FALSE)</f>
        <v>#N/A</v>
      </c>
      <c r="AC327" s="14" t="e">
        <f>$DT327*HLOOKUP($J327,'Construction Costs (clay)'!$B$1:$V$32,'Construction Planner'!$L327+2,FALSE)</f>
        <v>#N/A</v>
      </c>
      <c r="AD327" s="14" t="e">
        <f>$DT327*HLOOKUP($J327,'Construction Costs (iron)'!$B$1:$V$32,'Construction Planner'!$L327+2,FALSE)</f>
        <v>#N/A</v>
      </c>
      <c r="AE327" s="34" t="e">
        <f t="shared" si="434"/>
        <v>#N/A</v>
      </c>
      <c r="AF327" s="33" t="e">
        <f t="shared" si="378"/>
        <v>#N/A</v>
      </c>
      <c r="AG327" s="14" t="e">
        <f t="shared" si="379"/>
        <v>#N/A</v>
      </c>
      <c r="AH327" s="14" t="e">
        <f t="shared" si="380"/>
        <v>#N/A</v>
      </c>
      <c r="AI327" s="34" t="e">
        <f t="shared" si="435"/>
        <v>#N/A</v>
      </c>
      <c r="AJ327" s="49" t="e">
        <f t="shared" si="399"/>
        <v>#N/A</v>
      </c>
      <c r="AK327" s="49" t="e">
        <f t="shared" si="400"/>
        <v>#N/A</v>
      </c>
      <c r="AL327" s="49" t="e">
        <f t="shared" si="401"/>
        <v>#N/A</v>
      </c>
      <c r="AM327" s="25">
        <f t="shared" si="381"/>
        <v>30</v>
      </c>
      <c r="AN327" s="25">
        <f t="shared" si="382"/>
        <v>30</v>
      </c>
      <c r="AO327" s="25">
        <f t="shared" si="383"/>
        <v>30</v>
      </c>
      <c r="AP327" s="52" t="e">
        <f t="shared" si="402"/>
        <v>#N/A</v>
      </c>
      <c r="AQ327" s="53" t="e">
        <f t="shared" si="402"/>
        <v>#N/A</v>
      </c>
      <c r="AR327" s="54" t="e">
        <f t="shared" si="402"/>
        <v>#N/A</v>
      </c>
      <c r="AS327" s="316">
        <f t="shared" si="461"/>
        <v>0</v>
      </c>
      <c r="AT327" s="106">
        <f>_xlfn.IFNA($M327/VLOOKUP($BT327,'Unit information'!$A$2:$K$29,2,FALSE)*R327,0)*(1+$E$9)</f>
        <v>0</v>
      </c>
      <c r="AU327" s="107">
        <f>_xlfn.IFNA($M327/VLOOKUP($BT327,'Unit information'!$A$2:$K$29,3,FALSE)*S327,0)*(1+$E$9)</f>
        <v>0</v>
      </c>
      <c r="AV327" s="107">
        <f>_xlfn.IFNA($M327/VLOOKUP($BT327,'Unit information'!$A$2:$K$29,4,FALSE)*T327,0)*(1+$E$9)</f>
        <v>0</v>
      </c>
      <c r="AW327" s="107">
        <f>_xlfn.IFNA($M327/VLOOKUP($BT327,'Unit information'!$A$2:$K$29,5,FALSE)*U327,0)*(1+$E$9)</f>
        <v>0</v>
      </c>
      <c r="AX327" s="107">
        <f>_xlfn.IFNA($M327/VLOOKUP($BU327,'Unit information'!$A$2:$K$29,6,FALSE)*V327,0)*(1+$E$9)</f>
        <v>0</v>
      </c>
      <c r="AY327" s="107">
        <f>_xlfn.IFNA($M327/VLOOKUP($BU327,'Unit information'!$A$2:$K$29,7,FALSE)*W327,0)*(1+$E$9)</f>
        <v>0</v>
      </c>
      <c r="AZ327" s="107">
        <f>_xlfn.IFNA($M327/VLOOKUP($BU327,'Unit information'!$A$2:$K$29,8,FALSE)*X327,0)*(1+$E$9)</f>
        <v>0</v>
      </c>
      <c r="BA327" s="107">
        <f>_xlfn.IFNA($M327/VLOOKUP($BU327,'Unit information'!$A$2:$K$29,9,FALSE)*Y327,0)*(1+$E$9)</f>
        <v>0</v>
      </c>
      <c r="BB327" s="107">
        <f>_xlfn.IFNA($M327/VLOOKUP($BV327,'Unit information'!$A$2:$K$29,10,FALSE)*Z327,0)*(1+$E$9)</f>
        <v>0</v>
      </c>
      <c r="BC327" s="108">
        <f>_xlfn.IFNA($M327/VLOOKUP($BV327,'Unit information'!$A$2:$K$29,11,FALSE)*AA327,0)*(1+$E$9)</f>
        <v>0</v>
      </c>
      <c r="BD327" s="106">
        <f t="shared" si="384"/>
        <v>0</v>
      </c>
      <c r="BE327" s="107">
        <f t="shared" si="385"/>
        <v>0</v>
      </c>
      <c r="BF327" s="108">
        <f t="shared" si="386"/>
        <v>0</v>
      </c>
      <c r="BG327" s="25" t="e">
        <f t="shared" si="387"/>
        <v>#N/A</v>
      </c>
      <c r="BH327" s="25" t="e">
        <f t="shared" si="388"/>
        <v>#N/A</v>
      </c>
      <c r="BI327" s="25" t="e">
        <f t="shared" si="389"/>
        <v>#N/A</v>
      </c>
      <c r="BJ327" s="27" t="e">
        <f t="shared" si="390"/>
        <v>#N/A</v>
      </c>
      <c r="BK327" s="18" t="e">
        <f t="shared" si="391"/>
        <v>#N/A</v>
      </c>
      <c r="BL327" s="18" t="e">
        <f t="shared" si="392"/>
        <v>#N/A</v>
      </c>
      <c r="BM327" s="28" t="e">
        <f t="shared" si="437"/>
        <v>#N/A</v>
      </c>
      <c r="BN327" s="33">
        <f>HLOOKUP("maximum population",Miscelaneous!$C$1:$C$33,CH327+3,FALSE)</f>
        <v>240</v>
      </c>
      <c r="BO327" s="14">
        <f t="shared" si="403"/>
        <v>32</v>
      </c>
      <c r="BP327" s="14">
        <f t="shared" si="404"/>
        <v>0</v>
      </c>
      <c r="BQ327" s="14">
        <f t="shared" si="405"/>
        <v>208</v>
      </c>
      <c r="BR327" s="34" t="e">
        <f>HLOOKUP(J327,Villagers!$B$1:$V$33,L327+3,FALSE)-HLOOKUP(J327,Villagers!$B$1:$V$33,L327+2,FALSE)</f>
        <v>#N/A</v>
      </c>
      <c r="BS327" s="49">
        <f t="shared" si="406"/>
        <v>1</v>
      </c>
      <c r="BT327" s="50">
        <f t="shared" si="407"/>
        <v>0</v>
      </c>
      <c r="BU327" s="50">
        <f t="shared" si="408"/>
        <v>0</v>
      </c>
      <c r="BV327" s="50">
        <f t="shared" si="409"/>
        <v>0</v>
      </c>
      <c r="BW327" s="50">
        <f t="shared" si="458"/>
        <v>0</v>
      </c>
      <c r="BX327" s="50">
        <f t="shared" si="459"/>
        <v>0</v>
      </c>
      <c r="BY327" s="50">
        <f t="shared" si="459"/>
        <v>0</v>
      </c>
      <c r="BZ327" s="50">
        <f t="shared" si="440"/>
        <v>0</v>
      </c>
      <c r="CA327" s="50">
        <f t="shared" si="441"/>
        <v>0</v>
      </c>
      <c r="CB327" s="50">
        <f t="shared" si="442"/>
        <v>1</v>
      </c>
      <c r="CC327" s="50">
        <f t="shared" si="443"/>
        <v>0</v>
      </c>
      <c r="CD327" s="50">
        <f t="shared" si="444"/>
        <v>0</v>
      </c>
      <c r="CE327" s="50">
        <f t="shared" si="445"/>
        <v>1</v>
      </c>
      <c r="CF327" s="50">
        <f t="shared" si="446"/>
        <v>1</v>
      </c>
      <c r="CG327" s="50">
        <f t="shared" si="447"/>
        <v>1</v>
      </c>
      <c r="CH327" s="50">
        <f t="shared" si="448"/>
        <v>1</v>
      </c>
      <c r="CI327" s="50">
        <f t="shared" si="449"/>
        <v>1</v>
      </c>
      <c r="CJ327" s="50">
        <f t="shared" si="450"/>
        <v>1</v>
      </c>
      <c r="CK327" s="50">
        <f t="shared" si="450"/>
        <v>0</v>
      </c>
      <c r="CL327" s="50">
        <f t="shared" si="450"/>
        <v>0</v>
      </c>
      <c r="CM327" s="51">
        <f t="shared" si="460"/>
        <v>0</v>
      </c>
      <c r="CN327" s="33">
        <f>ROUND(IF(BS327=0,0,HLOOKUP(BS$14,Villagers!$B$1:$V$33,BS327+3,FALSE)),)</f>
        <v>5</v>
      </c>
      <c r="CO327" s="14">
        <f>ROUND(IF(BT327=0,0,HLOOKUP(BT$14,Villagers!$B$1:$V$33,BT327+3,FALSE)),)</f>
        <v>0</v>
      </c>
      <c r="CP327" s="14">
        <f>ROUND(IF(BU327=0,0,HLOOKUP(BU$14,Villagers!$B$1:$V$33,BU327+3,FALSE)),)</f>
        <v>0</v>
      </c>
      <c r="CQ327" s="14">
        <f>ROUND(IF(BV327=0,0,HLOOKUP(BV$14,Villagers!$B$1:$V$33,BV327+3,FALSE)),)</f>
        <v>0</v>
      </c>
      <c r="CR327" s="14">
        <f>ROUND(IF(BW327=0,0,HLOOKUP(BW$14,Villagers!$B$1:$V$33,BW327+3,FALSE)),)</f>
        <v>0</v>
      </c>
      <c r="CS327" s="14">
        <f>ROUND(IF(BX327=0,0,HLOOKUP(BX$14,Villagers!$B$1:$V$33,BX327+3,FALSE)),)</f>
        <v>0</v>
      </c>
      <c r="CT327" s="14">
        <f>ROUND(IF(BY327=0,0,HLOOKUP(BY$14,Villagers!$B$1:$V$33,BY327+3,FALSE)),)</f>
        <v>0</v>
      </c>
      <c r="CU327" s="14">
        <f>ROUND(IF(BZ327=0,0,HLOOKUP(BZ$14,Villagers!$B$1:$V$33,BZ327+3,FALSE)),)</f>
        <v>0</v>
      </c>
      <c r="CV327" s="14">
        <f>ROUND(IF(CA327=0,0,HLOOKUP(CA$14,Villagers!$B$1:$V$33,CA327+3,FALSE)),)</f>
        <v>0</v>
      </c>
      <c r="CW327" s="14">
        <f>ROUND(IF(CB327=0,0,HLOOKUP(CB$14,Villagers!$B$1:$V$33,CB327+3,FALSE)),)</f>
        <v>0</v>
      </c>
      <c r="CX327" s="14">
        <f>ROUND(IF(CC327=0,0,HLOOKUP(CC$14,Villagers!$B$1:$V$33,CC327+3,FALSE)),)</f>
        <v>0</v>
      </c>
      <c r="CY327" s="14">
        <f>ROUND(IF(CD327=0,0,HLOOKUP(CD$14,Villagers!$B$1:$V$33,CD327+3,FALSE)),)</f>
        <v>0</v>
      </c>
      <c r="CZ327" s="14">
        <f>ROUND(IF(CE327=0,0,HLOOKUP(CE$14,Villagers!$B$1:$V$33,CE327+3,FALSE)),)</f>
        <v>5</v>
      </c>
      <c r="DA327" s="14">
        <f>ROUND(IF(CF327=0,0,HLOOKUP(CF$14,Villagers!$B$1:$V$33,CF327+3,FALSE)),)</f>
        <v>10</v>
      </c>
      <c r="DB327" s="14">
        <f>ROUND(IF(CG327=0,0,HLOOKUP(CG$14,Villagers!$B$1:$V$33,CG327+3,FALSE)),)</f>
        <v>10</v>
      </c>
      <c r="DC327" s="14">
        <f>ROUND(IF(CH327=0,0,HLOOKUP(CH$14,Villagers!$B$1:$V$33,CH327+3,FALSE)),)</f>
        <v>0</v>
      </c>
      <c r="DD327" s="14">
        <f>ROUND(IF(CI327=0,0,HLOOKUP(CI$14,Villagers!$B$1:$V$33,CI327+3,FALSE)),)</f>
        <v>0</v>
      </c>
      <c r="DE327" s="14">
        <f>ROUND(IF(CJ327=0,0,HLOOKUP(CJ$14,Villagers!$B$1:$V$33,CJ327+3,FALSE)),)</f>
        <v>2</v>
      </c>
      <c r="DF327" s="370">
        <f>ROUND(IF(CK327=0,0,HLOOKUP(CK$14,Villagers!$B$1:$V$33,CK327+3,FALSE)),)</f>
        <v>0</v>
      </c>
      <c r="DG327" s="370">
        <f>ROUND(IF(CL327=0,0,HLOOKUP(CL$14,Villagers!$B$1:$V$33,CL327+3,FALSE)),)</f>
        <v>0</v>
      </c>
      <c r="DH327" s="34">
        <f>ROUND(IF(CM327=0,0,HLOOKUP(CM$14,Villagers!$B$1:$V$33,CM327+3,FALSE)),)</f>
        <v>0</v>
      </c>
      <c r="DI327" s="109">
        <f t="shared" si="426"/>
        <v>0</v>
      </c>
      <c r="DJ327" s="50">
        <f t="shared" si="427"/>
        <v>0</v>
      </c>
      <c r="DK327" s="50">
        <f t="shared" si="428"/>
        <v>0</v>
      </c>
      <c r="DL327" s="50">
        <f t="shared" si="429"/>
        <v>0</v>
      </c>
      <c r="DM327" s="50">
        <f t="shared" si="430"/>
        <v>0</v>
      </c>
      <c r="DN327" s="50">
        <f t="shared" si="431"/>
        <v>0</v>
      </c>
      <c r="DO327" s="50">
        <f t="shared" si="432"/>
        <v>0</v>
      </c>
      <c r="DP327" s="50">
        <f t="shared" si="433"/>
        <v>0</v>
      </c>
      <c r="DQ327" s="50">
        <f t="shared" si="411"/>
        <v>0</v>
      </c>
      <c r="DR327" s="50">
        <f t="shared" si="412"/>
        <v>0</v>
      </c>
      <c r="DS327" s="96">
        <f>Miscelaneous!$D$4*Miscelaneous!$D$2^($CI327-1)</f>
        <v>1000</v>
      </c>
      <c r="DT327" s="333">
        <f t="shared" si="393"/>
        <v>1</v>
      </c>
      <c r="DU327" s="81">
        <v>1</v>
      </c>
      <c r="DV327" s="79">
        <f t="shared" si="413"/>
        <v>0</v>
      </c>
      <c r="DW327" s="79">
        <f t="shared" si="414"/>
        <v>0</v>
      </c>
      <c r="DX327" s="79">
        <f t="shared" si="415"/>
        <v>0</v>
      </c>
      <c r="DY327" s="79">
        <v>1</v>
      </c>
      <c r="DZ327" s="79">
        <f t="shared" si="416"/>
        <v>0</v>
      </c>
      <c r="EA327" s="79">
        <f t="shared" si="417"/>
        <v>0</v>
      </c>
      <c r="EB327" s="79">
        <f t="shared" si="418"/>
        <v>0</v>
      </c>
      <c r="EC327" s="79">
        <f t="shared" si="419"/>
        <v>0</v>
      </c>
      <c r="ED327" s="79">
        <v>1</v>
      </c>
      <c r="EE327" s="79">
        <v>1</v>
      </c>
      <c r="EF327" s="79">
        <f t="shared" si="420"/>
        <v>0</v>
      </c>
      <c r="EG327" s="79">
        <v>1</v>
      </c>
      <c r="EH327" s="79">
        <v>1</v>
      </c>
      <c r="EI327" s="79">
        <v>1</v>
      </c>
      <c r="EJ327" s="79">
        <v>1</v>
      </c>
      <c r="EK327" s="79">
        <v>1</v>
      </c>
      <c r="EL327" s="79">
        <v>1</v>
      </c>
      <c r="EM327" s="143">
        <f t="shared" si="421"/>
        <v>0</v>
      </c>
      <c r="EN327" s="143">
        <f t="shared" si="422"/>
        <v>0</v>
      </c>
      <c r="EO327" s="82">
        <f t="shared" si="423"/>
        <v>0</v>
      </c>
    </row>
    <row r="328" spans="1:145" x14ac:dyDescent="0.25">
      <c r="A328">
        <v>314</v>
      </c>
      <c r="B328" s="172" t="e">
        <f t="shared" si="394"/>
        <v>#N/A</v>
      </c>
      <c r="C328" s="121" t="e">
        <f t="shared" si="373"/>
        <v>#N/A</v>
      </c>
      <c r="D328" s="122" t="e">
        <f t="shared" si="374"/>
        <v>#N/A</v>
      </c>
      <c r="E328" s="122" t="e">
        <f t="shared" si="375"/>
        <v>#N/A</v>
      </c>
      <c r="F328" s="176" t="e">
        <f t="shared" si="376"/>
        <v>#N/A</v>
      </c>
      <c r="G328" s="121">
        <f t="shared" si="395"/>
        <v>208</v>
      </c>
      <c r="H328" s="176" t="e">
        <f t="shared" si="396"/>
        <v>#N/A</v>
      </c>
      <c r="I328" s="48">
        <v>1</v>
      </c>
      <c r="J328" s="39"/>
      <c r="K328" s="350">
        <v>1</v>
      </c>
      <c r="L328" s="34" t="e">
        <f t="shared" si="377"/>
        <v>#N/A</v>
      </c>
      <c r="M328" s="38" t="e">
        <f>(HLOOKUP(J328,'Construction Times'!$B$3:$W$34,L328+2,FALSE)*HLOOKUP("hq modifier",'Construction Times'!$W$3:$W$34,BS328+2,FALSE))*(1-$H$9)</f>
        <v>#N/A</v>
      </c>
      <c r="N328" s="443" t="e">
        <f t="shared" si="397"/>
        <v>#N/A</v>
      </c>
      <c r="O328" s="444"/>
      <c r="P328" s="447" t="e">
        <f t="shared" si="398"/>
        <v>#N/A</v>
      </c>
      <c r="Q328" s="448"/>
      <c r="R328" s="103">
        <f t="shared" si="424"/>
        <v>0</v>
      </c>
      <c r="S328" s="104">
        <f t="shared" si="424"/>
        <v>0</v>
      </c>
      <c r="T328" s="104">
        <f t="shared" si="425"/>
        <v>0</v>
      </c>
      <c r="U328" s="104">
        <f t="shared" si="425"/>
        <v>0</v>
      </c>
      <c r="V328" s="104">
        <f t="shared" si="425"/>
        <v>9.9999999999999995E-8</v>
      </c>
      <c r="W328" s="104">
        <f t="shared" si="425"/>
        <v>0</v>
      </c>
      <c r="X328" s="104">
        <f t="shared" si="455"/>
        <v>0</v>
      </c>
      <c r="Y328" s="104">
        <f t="shared" si="455"/>
        <v>9.9999999999999995E-8</v>
      </c>
      <c r="Z328" s="104">
        <f t="shared" si="455"/>
        <v>9.9999999999999995E-8</v>
      </c>
      <c r="AA328" s="105">
        <f t="shared" si="455"/>
        <v>9.9999999999999995E-8</v>
      </c>
      <c r="AB328" s="101" t="e">
        <f>$DT328*HLOOKUP($J328,'Construction Costs (timber)'!$B$1:$V$32,'Construction Planner'!$L328+2,FALSE)</f>
        <v>#N/A</v>
      </c>
      <c r="AC328" s="14" t="e">
        <f>$DT328*HLOOKUP($J328,'Construction Costs (clay)'!$B$1:$V$32,'Construction Planner'!$L328+2,FALSE)</f>
        <v>#N/A</v>
      </c>
      <c r="AD328" s="14" t="e">
        <f>$DT328*HLOOKUP($J328,'Construction Costs (iron)'!$B$1:$V$32,'Construction Planner'!$L328+2,FALSE)</f>
        <v>#N/A</v>
      </c>
      <c r="AE328" s="34" t="e">
        <f t="shared" si="434"/>
        <v>#N/A</v>
      </c>
      <c r="AF328" s="33" t="e">
        <f t="shared" si="378"/>
        <v>#N/A</v>
      </c>
      <c r="AG328" s="14" t="e">
        <f t="shared" si="379"/>
        <v>#N/A</v>
      </c>
      <c r="AH328" s="14" t="e">
        <f t="shared" si="380"/>
        <v>#N/A</v>
      </c>
      <c r="AI328" s="34" t="e">
        <f t="shared" si="435"/>
        <v>#N/A</v>
      </c>
      <c r="AJ328" s="49" t="e">
        <f t="shared" si="399"/>
        <v>#N/A</v>
      </c>
      <c r="AK328" s="49" t="e">
        <f t="shared" si="400"/>
        <v>#N/A</v>
      </c>
      <c r="AL328" s="49" t="e">
        <f t="shared" si="401"/>
        <v>#N/A</v>
      </c>
      <c r="AM328" s="25">
        <f t="shared" si="381"/>
        <v>30</v>
      </c>
      <c r="AN328" s="25">
        <f t="shared" si="382"/>
        <v>30</v>
      </c>
      <c r="AO328" s="25">
        <f t="shared" si="383"/>
        <v>30</v>
      </c>
      <c r="AP328" s="52" t="e">
        <f t="shared" si="402"/>
        <v>#N/A</v>
      </c>
      <c r="AQ328" s="53" t="e">
        <f t="shared" si="402"/>
        <v>#N/A</v>
      </c>
      <c r="AR328" s="54" t="e">
        <f t="shared" si="402"/>
        <v>#N/A</v>
      </c>
      <c r="AS328" s="316">
        <f t="shared" si="461"/>
        <v>0</v>
      </c>
      <c r="AT328" s="106">
        <f>_xlfn.IFNA($M328/VLOOKUP($BT328,'Unit information'!$A$2:$K$29,2,FALSE)*R328,0)*(1+$E$9)</f>
        <v>0</v>
      </c>
      <c r="AU328" s="107">
        <f>_xlfn.IFNA($M328/VLOOKUP($BT328,'Unit information'!$A$2:$K$29,3,FALSE)*S328,0)*(1+$E$9)</f>
        <v>0</v>
      </c>
      <c r="AV328" s="107">
        <f>_xlfn.IFNA($M328/VLOOKUP($BT328,'Unit information'!$A$2:$K$29,4,FALSE)*T328,0)*(1+$E$9)</f>
        <v>0</v>
      </c>
      <c r="AW328" s="107">
        <f>_xlfn.IFNA($M328/VLOOKUP($BT328,'Unit information'!$A$2:$K$29,5,FALSE)*U328,0)*(1+$E$9)</f>
        <v>0</v>
      </c>
      <c r="AX328" s="107">
        <f>_xlfn.IFNA($M328/VLOOKUP($BU328,'Unit information'!$A$2:$K$29,6,FALSE)*V328,0)*(1+$E$9)</f>
        <v>0</v>
      </c>
      <c r="AY328" s="107">
        <f>_xlfn.IFNA($M328/VLOOKUP($BU328,'Unit information'!$A$2:$K$29,7,FALSE)*W328,0)*(1+$E$9)</f>
        <v>0</v>
      </c>
      <c r="AZ328" s="107">
        <f>_xlfn.IFNA($M328/VLOOKUP($BU328,'Unit information'!$A$2:$K$29,8,FALSE)*X328,0)*(1+$E$9)</f>
        <v>0</v>
      </c>
      <c r="BA328" s="107">
        <f>_xlfn.IFNA($M328/VLOOKUP($BU328,'Unit information'!$A$2:$K$29,9,FALSE)*Y328,0)*(1+$E$9)</f>
        <v>0</v>
      </c>
      <c r="BB328" s="107">
        <f>_xlfn.IFNA($M328/VLOOKUP($BV328,'Unit information'!$A$2:$K$29,10,FALSE)*Z328,0)*(1+$E$9)</f>
        <v>0</v>
      </c>
      <c r="BC328" s="108">
        <f>_xlfn.IFNA($M328/VLOOKUP($BV328,'Unit information'!$A$2:$K$29,11,FALSE)*AA328,0)*(1+$E$9)</f>
        <v>0</v>
      </c>
      <c r="BD328" s="106">
        <f t="shared" si="384"/>
        <v>0</v>
      </c>
      <c r="BE328" s="107">
        <f t="shared" si="385"/>
        <v>0</v>
      </c>
      <c r="BF328" s="108">
        <f t="shared" si="386"/>
        <v>0</v>
      </c>
      <c r="BG328" s="25" t="e">
        <f t="shared" si="387"/>
        <v>#N/A</v>
      </c>
      <c r="BH328" s="25" t="e">
        <f t="shared" si="388"/>
        <v>#N/A</v>
      </c>
      <c r="BI328" s="25" t="e">
        <f t="shared" si="389"/>
        <v>#N/A</v>
      </c>
      <c r="BJ328" s="27" t="e">
        <f t="shared" si="390"/>
        <v>#N/A</v>
      </c>
      <c r="BK328" s="18" t="e">
        <f t="shared" si="391"/>
        <v>#N/A</v>
      </c>
      <c r="BL328" s="18" t="e">
        <f t="shared" si="392"/>
        <v>#N/A</v>
      </c>
      <c r="BM328" s="28" t="e">
        <f t="shared" si="437"/>
        <v>#N/A</v>
      </c>
      <c r="BN328" s="33">
        <f>HLOOKUP("maximum population",Miscelaneous!$C$1:$C$33,CH328+3,FALSE)</f>
        <v>240</v>
      </c>
      <c r="BO328" s="14">
        <f t="shared" si="403"/>
        <v>32</v>
      </c>
      <c r="BP328" s="14">
        <f t="shared" si="404"/>
        <v>0</v>
      </c>
      <c r="BQ328" s="14">
        <f t="shared" si="405"/>
        <v>208</v>
      </c>
      <c r="BR328" s="34" t="e">
        <f>HLOOKUP(J328,Villagers!$B$1:$V$33,L328+3,FALSE)-HLOOKUP(J328,Villagers!$B$1:$V$33,L328+2,FALSE)</f>
        <v>#N/A</v>
      </c>
      <c r="BS328" s="49">
        <f t="shared" si="406"/>
        <v>1</v>
      </c>
      <c r="BT328" s="50">
        <f t="shared" si="407"/>
        <v>0</v>
      </c>
      <c r="BU328" s="50">
        <f t="shared" si="408"/>
        <v>0</v>
      </c>
      <c r="BV328" s="50">
        <f t="shared" si="409"/>
        <v>0</v>
      </c>
      <c r="BW328" s="50">
        <f t="shared" si="458"/>
        <v>0</v>
      </c>
      <c r="BX328" s="50">
        <f t="shared" si="459"/>
        <v>0</v>
      </c>
      <c r="BY328" s="50">
        <f t="shared" si="459"/>
        <v>0</v>
      </c>
      <c r="BZ328" s="50">
        <f t="shared" si="440"/>
        <v>0</v>
      </c>
      <c r="CA328" s="50">
        <f t="shared" si="441"/>
        <v>0</v>
      </c>
      <c r="CB328" s="50">
        <f t="shared" si="442"/>
        <v>1</v>
      </c>
      <c r="CC328" s="50">
        <f t="shared" si="443"/>
        <v>0</v>
      </c>
      <c r="CD328" s="50">
        <f t="shared" si="444"/>
        <v>0</v>
      </c>
      <c r="CE328" s="50">
        <f t="shared" si="445"/>
        <v>1</v>
      </c>
      <c r="CF328" s="50">
        <f t="shared" si="446"/>
        <v>1</v>
      </c>
      <c r="CG328" s="50">
        <f t="shared" si="447"/>
        <v>1</v>
      </c>
      <c r="CH328" s="50">
        <f t="shared" si="448"/>
        <v>1</v>
      </c>
      <c r="CI328" s="50">
        <f t="shared" si="449"/>
        <v>1</v>
      </c>
      <c r="CJ328" s="50">
        <f t="shared" si="450"/>
        <v>1</v>
      </c>
      <c r="CK328" s="50">
        <f t="shared" si="450"/>
        <v>0</v>
      </c>
      <c r="CL328" s="50">
        <f t="shared" si="450"/>
        <v>0</v>
      </c>
      <c r="CM328" s="51">
        <f t="shared" si="460"/>
        <v>0</v>
      </c>
      <c r="CN328" s="33">
        <f>ROUND(IF(BS328=0,0,HLOOKUP(BS$14,Villagers!$B$1:$V$33,BS328+3,FALSE)),)</f>
        <v>5</v>
      </c>
      <c r="CO328" s="14">
        <f>ROUND(IF(BT328=0,0,HLOOKUP(BT$14,Villagers!$B$1:$V$33,BT328+3,FALSE)),)</f>
        <v>0</v>
      </c>
      <c r="CP328" s="14">
        <f>ROUND(IF(BU328=0,0,HLOOKUP(BU$14,Villagers!$B$1:$V$33,BU328+3,FALSE)),)</f>
        <v>0</v>
      </c>
      <c r="CQ328" s="14">
        <f>ROUND(IF(BV328=0,0,HLOOKUP(BV$14,Villagers!$B$1:$V$33,BV328+3,FALSE)),)</f>
        <v>0</v>
      </c>
      <c r="CR328" s="14">
        <f>ROUND(IF(BW328=0,0,HLOOKUP(BW$14,Villagers!$B$1:$V$33,BW328+3,FALSE)),)</f>
        <v>0</v>
      </c>
      <c r="CS328" s="14">
        <f>ROUND(IF(BX328=0,0,HLOOKUP(BX$14,Villagers!$B$1:$V$33,BX328+3,FALSE)),)</f>
        <v>0</v>
      </c>
      <c r="CT328" s="14">
        <f>ROUND(IF(BY328=0,0,HLOOKUP(BY$14,Villagers!$B$1:$V$33,BY328+3,FALSE)),)</f>
        <v>0</v>
      </c>
      <c r="CU328" s="14">
        <f>ROUND(IF(BZ328=0,0,HLOOKUP(BZ$14,Villagers!$B$1:$V$33,BZ328+3,FALSE)),)</f>
        <v>0</v>
      </c>
      <c r="CV328" s="14">
        <f>ROUND(IF(CA328=0,0,HLOOKUP(CA$14,Villagers!$B$1:$V$33,CA328+3,FALSE)),)</f>
        <v>0</v>
      </c>
      <c r="CW328" s="14">
        <f>ROUND(IF(CB328=0,0,HLOOKUP(CB$14,Villagers!$B$1:$V$33,CB328+3,FALSE)),)</f>
        <v>0</v>
      </c>
      <c r="CX328" s="14">
        <f>ROUND(IF(CC328=0,0,HLOOKUP(CC$14,Villagers!$B$1:$V$33,CC328+3,FALSE)),)</f>
        <v>0</v>
      </c>
      <c r="CY328" s="14">
        <f>ROUND(IF(CD328=0,0,HLOOKUP(CD$14,Villagers!$B$1:$V$33,CD328+3,FALSE)),)</f>
        <v>0</v>
      </c>
      <c r="CZ328" s="14">
        <f>ROUND(IF(CE328=0,0,HLOOKUP(CE$14,Villagers!$B$1:$V$33,CE328+3,FALSE)),)</f>
        <v>5</v>
      </c>
      <c r="DA328" s="14">
        <f>ROUND(IF(CF328=0,0,HLOOKUP(CF$14,Villagers!$B$1:$V$33,CF328+3,FALSE)),)</f>
        <v>10</v>
      </c>
      <c r="DB328" s="14">
        <f>ROUND(IF(CG328=0,0,HLOOKUP(CG$14,Villagers!$B$1:$V$33,CG328+3,FALSE)),)</f>
        <v>10</v>
      </c>
      <c r="DC328" s="14">
        <f>ROUND(IF(CH328=0,0,HLOOKUP(CH$14,Villagers!$B$1:$V$33,CH328+3,FALSE)),)</f>
        <v>0</v>
      </c>
      <c r="DD328" s="14">
        <f>ROUND(IF(CI328=0,0,HLOOKUP(CI$14,Villagers!$B$1:$V$33,CI328+3,FALSE)),)</f>
        <v>0</v>
      </c>
      <c r="DE328" s="14">
        <f>ROUND(IF(CJ328=0,0,HLOOKUP(CJ$14,Villagers!$B$1:$V$33,CJ328+3,FALSE)),)</f>
        <v>2</v>
      </c>
      <c r="DF328" s="370">
        <f>ROUND(IF(CK328=0,0,HLOOKUP(CK$14,Villagers!$B$1:$V$33,CK328+3,FALSE)),)</f>
        <v>0</v>
      </c>
      <c r="DG328" s="370">
        <f>ROUND(IF(CL328=0,0,HLOOKUP(CL$14,Villagers!$B$1:$V$33,CL328+3,FALSE)),)</f>
        <v>0</v>
      </c>
      <c r="DH328" s="34">
        <f>ROUND(IF(CM328=0,0,HLOOKUP(CM$14,Villagers!$B$1:$V$33,CM328+3,FALSE)),)</f>
        <v>0</v>
      </c>
      <c r="DI328" s="109">
        <f t="shared" si="426"/>
        <v>0</v>
      </c>
      <c r="DJ328" s="50">
        <f t="shared" si="427"/>
        <v>0</v>
      </c>
      <c r="DK328" s="50">
        <f t="shared" si="428"/>
        <v>0</v>
      </c>
      <c r="DL328" s="50">
        <f t="shared" si="429"/>
        <v>0</v>
      </c>
      <c r="DM328" s="50">
        <f t="shared" si="430"/>
        <v>0</v>
      </c>
      <c r="DN328" s="50">
        <f t="shared" si="431"/>
        <v>0</v>
      </c>
      <c r="DO328" s="50">
        <f t="shared" si="432"/>
        <v>0</v>
      </c>
      <c r="DP328" s="50">
        <f t="shared" si="433"/>
        <v>0</v>
      </c>
      <c r="DQ328" s="50">
        <f t="shared" si="411"/>
        <v>0</v>
      </c>
      <c r="DR328" s="50">
        <f t="shared" si="412"/>
        <v>0</v>
      </c>
      <c r="DS328" s="96">
        <f>Miscelaneous!$D$4*Miscelaneous!$D$2^($CI328-1)</f>
        <v>1000</v>
      </c>
      <c r="DT328" s="333">
        <f t="shared" si="393"/>
        <v>1</v>
      </c>
      <c r="DU328" s="81">
        <v>1</v>
      </c>
      <c r="DV328" s="79">
        <f t="shared" si="413"/>
        <v>0</v>
      </c>
      <c r="DW328" s="79">
        <f t="shared" si="414"/>
        <v>0</v>
      </c>
      <c r="DX328" s="79">
        <f t="shared" si="415"/>
        <v>0</v>
      </c>
      <c r="DY328" s="79">
        <v>1</v>
      </c>
      <c r="DZ328" s="79">
        <f t="shared" si="416"/>
        <v>0</v>
      </c>
      <c r="EA328" s="79">
        <f t="shared" si="417"/>
        <v>0</v>
      </c>
      <c r="EB328" s="79">
        <f t="shared" si="418"/>
        <v>0</v>
      </c>
      <c r="EC328" s="79">
        <f t="shared" si="419"/>
        <v>0</v>
      </c>
      <c r="ED328" s="79">
        <v>1</v>
      </c>
      <c r="EE328" s="79">
        <v>1</v>
      </c>
      <c r="EF328" s="79">
        <f t="shared" si="420"/>
        <v>0</v>
      </c>
      <c r="EG328" s="79">
        <v>1</v>
      </c>
      <c r="EH328" s="79">
        <v>1</v>
      </c>
      <c r="EI328" s="79">
        <v>1</v>
      </c>
      <c r="EJ328" s="79">
        <v>1</v>
      </c>
      <c r="EK328" s="79">
        <v>1</v>
      </c>
      <c r="EL328" s="79">
        <v>1</v>
      </c>
      <c r="EM328" s="143">
        <f t="shared" si="421"/>
        <v>0</v>
      </c>
      <c r="EN328" s="143">
        <f t="shared" si="422"/>
        <v>0</v>
      </c>
      <c r="EO328" s="82">
        <f t="shared" si="423"/>
        <v>0</v>
      </c>
    </row>
    <row r="329" spans="1:145" x14ac:dyDescent="0.25">
      <c r="A329">
        <v>315</v>
      </c>
      <c r="B329" s="172" t="e">
        <f t="shared" si="394"/>
        <v>#N/A</v>
      </c>
      <c r="C329" s="121" t="e">
        <f t="shared" si="373"/>
        <v>#N/A</v>
      </c>
      <c r="D329" s="122" t="e">
        <f t="shared" si="374"/>
        <v>#N/A</v>
      </c>
      <c r="E329" s="122" t="e">
        <f t="shared" si="375"/>
        <v>#N/A</v>
      </c>
      <c r="F329" s="176" t="e">
        <f t="shared" si="376"/>
        <v>#N/A</v>
      </c>
      <c r="G329" s="121">
        <f t="shared" si="395"/>
        <v>208</v>
      </c>
      <c r="H329" s="176" t="e">
        <f t="shared" si="396"/>
        <v>#N/A</v>
      </c>
      <c r="I329" s="48">
        <v>1</v>
      </c>
      <c r="J329" s="39"/>
      <c r="K329" s="350">
        <v>1</v>
      </c>
      <c r="L329" s="34" t="e">
        <f t="shared" si="377"/>
        <v>#N/A</v>
      </c>
      <c r="M329" s="38" t="e">
        <f>(HLOOKUP(J329,'Construction Times'!$B$3:$W$34,L329+2,FALSE)*HLOOKUP("hq modifier",'Construction Times'!$W$3:$W$34,BS329+2,FALSE))*(1-$H$9)</f>
        <v>#N/A</v>
      </c>
      <c r="N329" s="443" t="e">
        <f t="shared" si="397"/>
        <v>#N/A</v>
      </c>
      <c r="O329" s="444"/>
      <c r="P329" s="447" t="e">
        <f t="shared" si="398"/>
        <v>#N/A</v>
      </c>
      <c r="Q329" s="448"/>
      <c r="R329" s="103">
        <f t="shared" si="424"/>
        <v>0</v>
      </c>
      <c r="S329" s="104">
        <f t="shared" si="424"/>
        <v>0</v>
      </c>
      <c r="T329" s="104">
        <f t="shared" si="425"/>
        <v>0</v>
      </c>
      <c r="U329" s="104">
        <f t="shared" si="425"/>
        <v>0</v>
      </c>
      <c r="V329" s="104">
        <f t="shared" si="425"/>
        <v>9.9999999999999995E-8</v>
      </c>
      <c r="W329" s="104">
        <f t="shared" si="425"/>
        <v>0</v>
      </c>
      <c r="X329" s="104">
        <f t="shared" si="455"/>
        <v>0</v>
      </c>
      <c r="Y329" s="104">
        <f t="shared" si="455"/>
        <v>9.9999999999999995E-8</v>
      </c>
      <c r="Z329" s="104">
        <f t="shared" si="455"/>
        <v>9.9999999999999995E-8</v>
      </c>
      <c r="AA329" s="105">
        <f t="shared" si="455"/>
        <v>9.9999999999999995E-8</v>
      </c>
      <c r="AB329" s="101" t="e">
        <f>$DT329*HLOOKUP($J329,'Construction Costs (timber)'!$B$1:$V$32,'Construction Planner'!$L329+2,FALSE)</f>
        <v>#N/A</v>
      </c>
      <c r="AC329" s="14" t="e">
        <f>$DT329*HLOOKUP($J329,'Construction Costs (clay)'!$B$1:$V$32,'Construction Planner'!$L329+2,FALSE)</f>
        <v>#N/A</v>
      </c>
      <c r="AD329" s="14" t="e">
        <f>$DT329*HLOOKUP($J329,'Construction Costs (iron)'!$B$1:$V$32,'Construction Planner'!$L329+2,FALSE)</f>
        <v>#N/A</v>
      </c>
      <c r="AE329" s="34" t="e">
        <f t="shared" si="434"/>
        <v>#N/A</v>
      </c>
      <c r="AF329" s="33" t="e">
        <f t="shared" si="378"/>
        <v>#N/A</v>
      </c>
      <c r="AG329" s="14" t="e">
        <f t="shared" si="379"/>
        <v>#N/A</v>
      </c>
      <c r="AH329" s="14" t="e">
        <f t="shared" si="380"/>
        <v>#N/A</v>
      </c>
      <c r="AI329" s="34" t="e">
        <f t="shared" si="435"/>
        <v>#N/A</v>
      </c>
      <c r="AJ329" s="49" t="e">
        <f t="shared" si="399"/>
        <v>#N/A</v>
      </c>
      <c r="AK329" s="49" t="e">
        <f t="shared" si="400"/>
        <v>#N/A</v>
      </c>
      <c r="AL329" s="49" t="e">
        <f t="shared" si="401"/>
        <v>#N/A</v>
      </c>
      <c r="AM329" s="25">
        <f t="shared" si="381"/>
        <v>30</v>
      </c>
      <c r="AN329" s="25">
        <f t="shared" si="382"/>
        <v>30</v>
      </c>
      <c r="AO329" s="25">
        <f t="shared" si="383"/>
        <v>30</v>
      </c>
      <c r="AP329" s="52" t="e">
        <f t="shared" si="402"/>
        <v>#N/A</v>
      </c>
      <c r="AQ329" s="53" t="e">
        <f t="shared" si="402"/>
        <v>#N/A</v>
      </c>
      <c r="AR329" s="54" t="e">
        <f t="shared" si="402"/>
        <v>#N/A</v>
      </c>
      <c r="AS329" s="316">
        <f t="shared" si="461"/>
        <v>0</v>
      </c>
      <c r="AT329" s="106">
        <f>_xlfn.IFNA($M329/VLOOKUP($BT329,'Unit information'!$A$2:$K$29,2,FALSE)*R329,0)*(1+$E$9)</f>
        <v>0</v>
      </c>
      <c r="AU329" s="107">
        <f>_xlfn.IFNA($M329/VLOOKUP($BT329,'Unit information'!$A$2:$K$29,3,FALSE)*S329,0)*(1+$E$9)</f>
        <v>0</v>
      </c>
      <c r="AV329" s="107">
        <f>_xlfn.IFNA($M329/VLOOKUP($BT329,'Unit information'!$A$2:$K$29,4,FALSE)*T329,0)*(1+$E$9)</f>
        <v>0</v>
      </c>
      <c r="AW329" s="107">
        <f>_xlfn.IFNA($M329/VLOOKUP($BT329,'Unit information'!$A$2:$K$29,5,FALSE)*U329,0)*(1+$E$9)</f>
        <v>0</v>
      </c>
      <c r="AX329" s="107">
        <f>_xlfn.IFNA($M329/VLOOKUP($BU329,'Unit information'!$A$2:$K$29,6,FALSE)*V329,0)*(1+$E$9)</f>
        <v>0</v>
      </c>
      <c r="AY329" s="107">
        <f>_xlfn.IFNA($M329/VLOOKUP($BU329,'Unit information'!$A$2:$K$29,7,FALSE)*W329,0)*(1+$E$9)</f>
        <v>0</v>
      </c>
      <c r="AZ329" s="107">
        <f>_xlfn.IFNA($M329/VLOOKUP($BU329,'Unit information'!$A$2:$K$29,8,FALSE)*X329,0)*(1+$E$9)</f>
        <v>0</v>
      </c>
      <c r="BA329" s="107">
        <f>_xlfn.IFNA($M329/VLOOKUP($BU329,'Unit information'!$A$2:$K$29,9,FALSE)*Y329,0)*(1+$E$9)</f>
        <v>0</v>
      </c>
      <c r="BB329" s="107">
        <f>_xlfn.IFNA($M329/VLOOKUP($BV329,'Unit information'!$A$2:$K$29,10,FALSE)*Z329,0)*(1+$E$9)</f>
        <v>0</v>
      </c>
      <c r="BC329" s="108">
        <f>_xlfn.IFNA($M329/VLOOKUP($BV329,'Unit information'!$A$2:$K$29,11,FALSE)*AA329,0)*(1+$E$9)</f>
        <v>0</v>
      </c>
      <c r="BD329" s="106">
        <f t="shared" si="384"/>
        <v>0</v>
      </c>
      <c r="BE329" s="107">
        <f t="shared" si="385"/>
        <v>0</v>
      </c>
      <c r="BF329" s="108">
        <f t="shared" si="386"/>
        <v>0</v>
      </c>
      <c r="BG329" s="25" t="e">
        <f t="shared" si="387"/>
        <v>#N/A</v>
      </c>
      <c r="BH329" s="25" t="e">
        <f t="shared" si="388"/>
        <v>#N/A</v>
      </c>
      <c r="BI329" s="25" t="e">
        <f t="shared" si="389"/>
        <v>#N/A</v>
      </c>
      <c r="BJ329" s="27" t="e">
        <f t="shared" si="390"/>
        <v>#N/A</v>
      </c>
      <c r="BK329" s="18" t="e">
        <f t="shared" si="391"/>
        <v>#N/A</v>
      </c>
      <c r="BL329" s="18" t="e">
        <f t="shared" si="392"/>
        <v>#N/A</v>
      </c>
      <c r="BM329" s="28" t="e">
        <f t="shared" si="437"/>
        <v>#N/A</v>
      </c>
      <c r="BN329" s="33">
        <f>HLOOKUP("maximum population",Miscelaneous!$C$1:$C$33,CH329+3,FALSE)</f>
        <v>240</v>
      </c>
      <c r="BO329" s="14">
        <f t="shared" si="403"/>
        <v>32</v>
      </c>
      <c r="BP329" s="14">
        <f t="shared" si="404"/>
        <v>0</v>
      </c>
      <c r="BQ329" s="14">
        <f t="shared" si="405"/>
        <v>208</v>
      </c>
      <c r="BR329" s="34" t="e">
        <f>HLOOKUP(J329,Villagers!$B$1:$V$33,L329+3,FALSE)-HLOOKUP(J329,Villagers!$B$1:$V$33,L329+2,FALSE)</f>
        <v>#N/A</v>
      </c>
      <c r="BS329" s="49">
        <f t="shared" si="406"/>
        <v>1</v>
      </c>
      <c r="BT329" s="50">
        <f t="shared" si="407"/>
        <v>0</v>
      </c>
      <c r="BU329" s="50">
        <f t="shared" si="408"/>
        <v>0</v>
      </c>
      <c r="BV329" s="50">
        <f t="shared" si="409"/>
        <v>0</v>
      </c>
      <c r="BW329" s="50">
        <f t="shared" si="458"/>
        <v>0</v>
      </c>
      <c r="BX329" s="50">
        <f t="shared" si="459"/>
        <v>0</v>
      </c>
      <c r="BY329" s="50">
        <f t="shared" si="459"/>
        <v>0</v>
      </c>
      <c r="BZ329" s="50">
        <f t="shared" si="440"/>
        <v>0</v>
      </c>
      <c r="CA329" s="50">
        <f t="shared" si="441"/>
        <v>0</v>
      </c>
      <c r="CB329" s="50">
        <f t="shared" si="442"/>
        <v>1</v>
      </c>
      <c r="CC329" s="50">
        <f t="shared" si="443"/>
        <v>0</v>
      </c>
      <c r="CD329" s="50">
        <f t="shared" si="444"/>
        <v>0</v>
      </c>
      <c r="CE329" s="50">
        <f t="shared" si="445"/>
        <v>1</v>
      </c>
      <c r="CF329" s="50">
        <f t="shared" si="446"/>
        <v>1</v>
      </c>
      <c r="CG329" s="50">
        <f t="shared" si="447"/>
        <v>1</v>
      </c>
      <c r="CH329" s="50">
        <f t="shared" si="448"/>
        <v>1</v>
      </c>
      <c r="CI329" s="50">
        <f t="shared" si="449"/>
        <v>1</v>
      </c>
      <c r="CJ329" s="50">
        <f t="shared" si="450"/>
        <v>1</v>
      </c>
      <c r="CK329" s="50">
        <f t="shared" si="450"/>
        <v>0</v>
      </c>
      <c r="CL329" s="50">
        <f t="shared" si="450"/>
        <v>0</v>
      </c>
      <c r="CM329" s="51">
        <f t="shared" si="460"/>
        <v>0</v>
      </c>
      <c r="CN329" s="33">
        <f>ROUND(IF(BS329=0,0,HLOOKUP(BS$14,Villagers!$B$1:$V$33,BS329+3,FALSE)),)</f>
        <v>5</v>
      </c>
      <c r="CO329" s="14">
        <f>ROUND(IF(BT329=0,0,HLOOKUP(BT$14,Villagers!$B$1:$V$33,BT329+3,FALSE)),)</f>
        <v>0</v>
      </c>
      <c r="CP329" s="14">
        <f>ROUND(IF(BU329=0,0,HLOOKUP(BU$14,Villagers!$B$1:$V$33,BU329+3,FALSE)),)</f>
        <v>0</v>
      </c>
      <c r="CQ329" s="14">
        <f>ROUND(IF(BV329=0,0,HLOOKUP(BV$14,Villagers!$B$1:$V$33,BV329+3,FALSE)),)</f>
        <v>0</v>
      </c>
      <c r="CR329" s="14">
        <f>ROUND(IF(BW329=0,0,HLOOKUP(BW$14,Villagers!$B$1:$V$33,BW329+3,FALSE)),)</f>
        <v>0</v>
      </c>
      <c r="CS329" s="14">
        <f>ROUND(IF(BX329=0,0,HLOOKUP(BX$14,Villagers!$B$1:$V$33,BX329+3,FALSE)),)</f>
        <v>0</v>
      </c>
      <c r="CT329" s="14">
        <f>ROUND(IF(BY329=0,0,HLOOKUP(BY$14,Villagers!$B$1:$V$33,BY329+3,FALSE)),)</f>
        <v>0</v>
      </c>
      <c r="CU329" s="14">
        <f>ROUND(IF(BZ329=0,0,HLOOKUP(BZ$14,Villagers!$B$1:$V$33,BZ329+3,FALSE)),)</f>
        <v>0</v>
      </c>
      <c r="CV329" s="14">
        <f>ROUND(IF(CA329=0,0,HLOOKUP(CA$14,Villagers!$B$1:$V$33,CA329+3,FALSE)),)</f>
        <v>0</v>
      </c>
      <c r="CW329" s="14">
        <f>ROUND(IF(CB329=0,0,HLOOKUP(CB$14,Villagers!$B$1:$V$33,CB329+3,FALSE)),)</f>
        <v>0</v>
      </c>
      <c r="CX329" s="14">
        <f>ROUND(IF(CC329=0,0,HLOOKUP(CC$14,Villagers!$B$1:$V$33,CC329+3,FALSE)),)</f>
        <v>0</v>
      </c>
      <c r="CY329" s="14">
        <f>ROUND(IF(CD329=0,0,HLOOKUP(CD$14,Villagers!$B$1:$V$33,CD329+3,FALSE)),)</f>
        <v>0</v>
      </c>
      <c r="CZ329" s="14">
        <f>ROUND(IF(CE329=0,0,HLOOKUP(CE$14,Villagers!$B$1:$V$33,CE329+3,FALSE)),)</f>
        <v>5</v>
      </c>
      <c r="DA329" s="14">
        <f>ROUND(IF(CF329=0,0,HLOOKUP(CF$14,Villagers!$B$1:$V$33,CF329+3,FALSE)),)</f>
        <v>10</v>
      </c>
      <c r="DB329" s="14">
        <f>ROUND(IF(CG329=0,0,HLOOKUP(CG$14,Villagers!$B$1:$V$33,CG329+3,FALSE)),)</f>
        <v>10</v>
      </c>
      <c r="DC329" s="14">
        <f>ROUND(IF(CH329=0,0,HLOOKUP(CH$14,Villagers!$B$1:$V$33,CH329+3,FALSE)),)</f>
        <v>0</v>
      </c>
      <c r="DD329" s="14">
        <f>ROUND(IF(CI329=0,0,HLOOKUP(CI$14,Villagers!$B$1:$V$33,CI329+3,FALSE)),)</f>
        <v>0</v>
      </c>
      <c r="DE329" s="14">
        <f>ROUND(IF(CJ329=0,0,HLOOKUP(CJ$14,Villagers!$B$1:$V$33,CJ329+3,FALSE)),)</f>
        <v>2</v>
      </c>
      <c r="DF329" s="370">
        <f>ROUND(IF(CK329=0,0,HLOOKUP(CK$14,Villagers!$B$1:$V$33,CK329+3,FALSE)),)</f>
        <v>0</v>
      </c>
      <c r="DG329" s="370">
        <f>ROUND(IF(CL329=0,0,HLOOKUP(CL$14,Villagers!$B$1:$V$33,CL329+3,FALSE)),)</f>
        <v>0</v>
      </c>
      <c r="DH329" s="34">
        <f>ROUND(IF(CM329=0,0,HLOOKUP(CM$14,Villagers!$B$1:$V$33,CM329+3,FALSE)),)</f>
        <v>0</v>
      </c>
      <c r="DI329" s="109">
        <f t="shared" si="426"/>
        <v>0</v>
      </c>
      <c r="DJ329" s="50">
        <f t="shared" si="427"/>
        <v>0</v>
      </c>
      <c r="DK329" s="50">
        <f t="shared" si="428"/>
        <v>0</v>
      </c>
      <c r="DL329" s="50">
        <f t="shared" si="429"/>
        <v>0</v>
      </c>
      <c r="DM329" s="50">
        <f t="shared" si="430"/>
        <v>0</v>
      </c>
      <c r="DN329" s="50">
        <f t="shared" si="431"/>
        <v>0</v>
      </c>
      <c r="DO329" s="50">
        <f t="shared" si="432"/>
        <v>0</v>
      </c>
      <c r="DP329" s="50">
        <f t="shared" si="433"/>
        <v>0</v>
      </c>
      <c r="DQ329" s="50">
        <f t="shared" si="411"/>
        <v>0</v>
      </c>
      <c r="DR329" s="50">
        <f t="shared" si="412"/>
        <v>0</v>
      </c>
      <c r="DS329" s="96">
        <f>Miscelaneous!$D$4*Miscelaneous!$D$2^($CI329-1)</f>
        <v>1000</v>
      </c>
      <c r="DT329" s="333">
        <f t="shared" si="393"/>
        <v>1</v>
      </c>
      <c r="DU329" s="81">
        <v>1</v>
      </c>
      <c r="DV329" s="79">
        <f t="shared" si="413"/>
        <v>0</v>
      </c>
      <c r="DW329" s="79">
        <f t="shared" si="414"/>
        <v>0</v>
      </c>
      <c r="DX329" s="79">
        <f t="shared" si="415"/>
        <v>0</v>
      </c>
      <c r="DY329" s="79">
        <v>1</v>
      </c>
      <c r="DZ329" s="79">
        <f t="shared" si="416"/>
        <v>0</v>
      </c>
      <c r="EA329" s="79">
        <f t="shared" si="417"/>
        <v>0</v>
      </c>
      <c r="EB329" s="79">
        <f t="shared" si="418"/>
        <v>0</v>
      </c>
      <c r="EC329" s="79">
        <f t="shared" si="419"/>
        <v>0</v>
      </c>
      <c r="ED329" s="79">
        <v>1</v>
      </c>
      <c r="EE329" s="79">
        <v>1</v>
      </c>
      <c r="EF329" s="79">
        <f t="shared" si="420"/>
        <v>0</v>
      </c>
      <c r="EG329" s="79">
        <v>1</v>
      </c>
      <c r="EH329" s="79">
        <v>1</v>
      </c>
      <c r="EI329" s="79">
        <v>1</v>
      </c>
      <c r="EJ329" s="79">
        <v>1</v>
      </c>
      <c r="EK329" s="79">
        <v>1</v>
      </c>
      <c r="EL329" s="79">
        <v>1</v>
      </c>
      <c r="EM329" s="143">
        <f t="shared" si="421"/>
        <v>0</v>
      </c>
      <c r="EN329" s="143">
        <f t="shared" si="422"/>
        <v>0</v>
      </c>
      <c r="EO329" s="82">
        <f t="shared" si="423"/>
        <v>0</v>
      </c>
    </row>
    <row r="330" spans="1:145" x14ac:dyDescent="0.25">
      <c r="A330">
        <v>316</v>
      </c>
      <c r="B330" s="172" t="e">
        <f t="shared" si="394"/>
        <v>#N/A</v>
      </c>
      <c r="C330" s="121" t="e">
        <f t="shared" si="373"/>
        <v>#N/A</v>
      </c>
      <c r="D330" s="122" t="e">
        <f t="shared" si="374"/>
        <v>#N/A</v>
      </c>
      <c r="E330" s="122" t="e">
        <f t="shared" si="375"/>
        <v>#N/A</v>
      </c>
      <c r="F330" s="176" t="e">
        <f t="shared" si="376"/>
        <v>#N/A</v>
      </c>
      <c r="G330" s="121">
        <f t="shared" si="395"/>
        <v>208</v>
      </c>
      <c r="H330" s="176" t="e">
        <f t="shared" si="396"/>
        <v>#N/A</v>
      </c>
      <c r="I330" s="48">
        <v>1</v>
      </c>
      <c r="J330" s="39"/>
      <c r="K330" s="350">
        <v>1</v>
      </c>
      <c r="L330" s="34" t="e">
        <f t="shared" si="377"/>
        <v>#N/A</v>
      </c>
      <c r="M330" s="38" t="e">
        <f>(HLOOKUP(J330,'Construction Times'!$B$3:$W$34,L330+2,FALSE)*HLOOKUP("hq modifier",'Construction Times'!$W$3:$W$34,BS330+2,FALSE))*(1-$H$9)</f>
        <v>#N/A</v>
      </c>
      <c r="N330" s="443" t="e">
        <f t="shared" si="397"/>
        <v>#N/A</v>
      </c>
      <c r="O330" s="444"/>
      <c r="P330" s="447" t="e">
        <f t="shared" si="398"/>
        <v>#N/A</v>
      </c>
      <c r="Q330" s="448"/>
      <c r="R330" s="103">
        <f t="shared" si="424"/>
        <v>0</v>
      </c>
      <c r="S330" s="104">
        <f t="shared" si="424"/>
        <v>0</v>
      </c>
      <c r="T330" s="104">
        <f t="shared" si="425"/>
        <v>0</v>
      </c>
      <c r="U330" s="104">
        <f t="shared" si="425"/>
        <v>0</v>
      </c>
      <c r="V330" s="104">
        <f t="shared" si="425"/>
        <v>9.9999999999999995E-8</v>
      </c>
      <c r="W330" s="104">
        <f t="shared" si="425"/>
        <v>0</v>
      </c>
      <c r="X330" s="104">
        <f t="shared" si="455"/>
        <v>0</v>
      </c>
      <c r="Y330" s="104">
        <f t="shared" si="455"/>
        <v>9.9999999999999995E-8</v>
      </c>
      <c r="Z330" s="104">
        <f t="shared" si="455"/>
        <v>9.9999999999999995E-8</v>
      </c>
      <c r="AA330" s="105">
        <f t="shared" si="455"/>
        <v>9.9999999999999995E-8</v>
      </c>
      <c r="AB330" s="101" t="e">
        <f>$DT330*HLOOKUP($J330,'Construction Costs (timber)'!$B$1:$V$32,'Construction Planner'!$L330+2,FALSE)</f>
        <v>#N/A</v>
      </c>
      <c r="AC330" s="14" t="e">
        <f>$DT330*HLOOKUP($J330,'Construction Costs (clay)'!$B$1:$V$32,'Construction Planner'!$L330+2,FALSE)</f>
        <v>#N/A</v>
      </c>
      <c r="AD330" s="14" t="e">
        <f>$DT330*HLOOKUP($J330,'Construction Costs (iron)'!$B$1:$V$32,'Construction Planner'!$L330+2,FALSE)</f>
        <v>#N/A</v>
      </c>
      <c r="AE330" s="34" t="e">
        <f t="shared" si="434"/>
        <v>#N/A</v>
      </c>
      <c r="AF330" s="33" t="e">
        <f t="shared" si="378"/>
        <v>#N/A</v>
      </c>
      <c r="AG330" s="14" t="e">
        <f t="shared" si="379"/>
        <v>#N/A</v>
      </c>
      <c r="AH330" s="14" t="e">
        <f t="shared" si="380"/>
        <v>#N/A</v>
      </c>
      <c r="AI330" s="34" t="e">
        <f t="shared" si="435"/>
        <v>#N/A</v>
      </c>
      <c r="AJ330" s="49" t="e">
        <f t="shared" si="399"/>
        <v>#N/A</v>
      </c>
      <c r="AK330" s="49" t="e">
        <f t="shared" si="400"/>
        <v>#N/A</v>
      </c>
      <c r="AL330" s="49" t="e">
        <f t="shared" si="401"/>
        <v>#N/A</v>
      </c>
      <c r="AM330" s="25">
        <f t="shared" si="381"/>
        <v>30</v>
      </c>
      <c r="AN330" s="25">
        <f t="shared" si="382"/>
        <v>30</v>
      </c>
      <c r="AO330" s="25">
        <f t="shared" si="383"/>
        <v>30</v>
      </c>
      <c r="AP330" s="52" t="e">
        <f t="shared" si="402"/>
        <v>#N/A</v>
      </c>
      <c r="AQ330" s="53" t="e">
        <f t="shared" si="402"/>
        <v>#N/A</v>
      </c>
      <c r="AR330" s="54" t="e">
        <f t="shared" si="402"/>
        <v>#N/A</v>
      </c>
      <c r="AS330" s="316">
        <f t="shared" si="461"/>
        <v>0</v>
      </c>
      <c r="AT330" s="106">
        <f>_xlfn.IFNA($M330/VLOOKUP($BT330,'Unit information'!$A$2:$K$29,2,FALSE)*R330,0)*(1+$E$9)</f>
        <v>0</v>
      </c>
      <c r="AU330" s="107">
        <f>_xlfn.IFNA($M330/VLOOKUP($BT330,'Unit information'!$A$2:$K$29,3,FALSE)*S330,0)*(1+$E$9)</f>
        <v>0</v>
      </c>
      <c r="AV330" s="107">
        <f>_xlfn.IFNA($M330/VLOOKUP($BT330,'Unit information'!$A$2:$K$29,4,FALSE)*T330,0)*(1+$E$9)</f>
        <v>0</v>
      </c>
      <c r="AW330" s="107">
        <f>_xlfn.IFNA($M330/VLOOKUP($BT330,'Unit information'!$A$2:$K$29,5,FALSE)*U330,0)*(1+$E$9)</f>
        <v>0</v>
      </c>
      <c r="AX330" s="107">
        <f>_xlfn.IFNA($M330/VLOOKUP($BU330,'Unit information'!$A$2:$K$29,6,FALSE)*V330,0)*(1+$E$9)</f>
        <v>0</v>
      </c>
      <c r="AY330" s="107">
        <f>_xlfn.IFNA($M330/VLOOKUP($BU330,'Unit information'!$A$2:$K$29,7,FALSE)*W330,0)*(1+$E$9)</f>
        <v>0</v>
      </c>
      <c r="AZ330" s="107">
        <f>_xlfn.IFNA($M330/VLOOKUP($BU330,'Unit information'!$A$2:$K$29,8,FALSE)*X330,0)*(1+$E$9)</f>
        <v>0</v>
      </c>
      <c r="BA330" s="107">
        <f>_xlfn.IFNA($M330/VLOOKUP($BU330,'Unit information'!$A$2:$K$29,9,FALSE)*Y330,0)*(1+$E$9)</f>
        <v>0</v>
      </c>
      <c r="BB330" s="107">
        <f>_xlfn.IFNA($M330/VLOOKUP($BV330,'Unit information'!$A$2:$K$29,10,FALSE)*Z330,0)*(1+$E$9)</f>
        <v>0</v>
      </c>
      <c r="BC330" s="108">
        <f>_xlfn.IFNA($M330/VLOOKUP($BV330,'Unit information'!$A$2:$K$29,11,FALSE)*AA330,0)*(1+$E$9)</f>
        <v>0</v>
      </c>
      <c r="BD330" s="106">
        <f t="shared" si="384"/>
        <v>0</v>
      </c>
      <c r="BE330" s="107">
        <f t="shared" si="385"/>
        <v>0</v>
      </c>
      <c r="BF330" s="108">
        <f t="shared" si="386"/>
        <v>0</v>
      </c>
      <c r="BG330" s="25" t="e">
        <f t="shared" si="387"/>
        <v>#N/A</v>
      </c>
      <c r="BH330" s="25" t="e">
        <f t="shared" si="388"/>
        <v>#N/A</v>
      </c>
      <c r="BI330" s="25" t="e">
        <f t="shared" si="389"/>
        <v>#N/A</v>
      </c>
      <c r="BJ330" s="27" t="e">
        <f t="shared" si="390"/>
        <v>#N/A</v>
      </c>
      <c r="BK330" s="18" t="e">
        <f t="shared" si="391"/>
        <v>#N/A</v>
      </c>
      <c r="BL330" s="18" t="e">
        <f t="shared" si="392"/>
        <v>#N/A</v>
      </c>
      <c r="BM330" s="28" t="e">
        <f t="shared" si="437"/>
        <v>#N/A</v>
      </c>
      <c r="BN330" s="33">
        <f>HLOOKUP("maximum population",Miscelaneous!$C$1:$C$33,CH330+3,FALSE)</f>
        <v>240</v>
      </c>
      <c r="BO330" s="14">
        <f t="shared" si="403"/>
        <v>32</v>
      </c>
      <c r="BP330" s="14">
        <f t="shared" si="404"/>
        <v>0</v>
      </c>
      <c r="BQ330" s="14">
        <f t="shared" si="405"/>
        <v>208</v>
      </c>
      <c r="BR330" s="34" t="e">
        <f>HLOOKUP(J330,Villagers!$B$1:$V$33,L330+3,FALSE)-HLOOKUP(J330,Villagers!$B$1:$V$33,L330+2,FALSE)</f>
        <v>#N/A</v>
      </c>
      <c r="BS330" s="49">
        <f t="shared" si="406"/>
        <v>1</v>
      </c>
      <c r="BT330" s="50">
        <f t="shared" si="407"/>
        <v>0</v>
      </c>
      <c r="BU330" s="50">
        <f t="shared" si="408"/>
        <v>0</v>
      </c>
      <c r="BV330" s="50">
        <f t="shared" si="409"/>
        <v>0</v>
      </c>
      <c r="BW330" s="50">
        <f t="shared" si="458"/>
        <v>0</v>
      </c>
      <c r="BX330" s="50">
        <f t="shared" si="459"/>
        <v>0</v>
      </c>
      <c r="BY330" s="50">
        <f t="shared" si="459"/>
        <v>0</v>
      </c>
      <c r="BZ330" s="50">
        <f t="shared" si="440"/>
        <v>0</v>
      </c>
      <c r="CA330" s="50">
        <f t="shared" si="441"/>
        <v>0</v>
      </c>
      <c r="CB330" s="50">
        <f t="shared" si="442"/>
        <v>1</v>
      </c>
      <c r="CC330" s="50">
        <f t="shared" si="443"/>
        <v>0</v>
      </c>
      <c r="CD330" s="50">
        <f t="shared" si="444"/>
        <v>0</v>
      </c>
      <c r="CE330" s="50">
        <f t="shared" si="445"/>
        <v>1</v>
      </c>
      <c r="CF330" s="50">
        <f t="shared" si="446"/>
        <v>1</v>
      </c>
      <c r="CG330" s="50">
        <f t="shared" si="447"/>
        <v>1</v>
      </c>
      <c r="CH330" s="50">
        <f t="shared" si="448"/>
        <v>1</v>
      </c>
      <c r="CI330" s="50">
        <f t="shared" si="449"/>
        <v>1</v>
      </c>
      <c r="CJ330" s="50">
        <f t="shared" si="450"/>
        <v>1</v>
      </c>
      <c r="CK330" s="50">
        <f t="shared" si="450"/>
        <v>0</v>
      </c>
      <c r="CL330" s="50">
        <f t="shared" si="450"/>
        <v>0</v>
      </c>
      <c r="CM330" s="51">
        <f t="shared" si="460"/>
        <v>0</v>
      </c>
      <c r="CN330" s="33">
        <f>ROUND(IF(BS330=0,0,HLOOKUP(BS$14,Villagers!$B$1:$V$33,BS330+3,FALSE)),)</f>
        <v>5</v>
      </c>
      <c r="CO330" s="14">
        <f>ROUND(IF(BT330=0,0,HLOOKUP(BT$14,Villagers!$B$1:$V$33,BT330+3,FALSE)),)</f>
        <v>0</v>
      </c>
      <c r="CP330" s="14">
        <f>ROUND(IF(BU330=0,0,HLOOKUP(BU$14,Villagers!$B$1:$V$33,BU330+3,FALSE)),)</f>
        <v>0</v>
      </c>
      <c r="CQ330" s="14">
        <f>ROUND(IF(BV330=0,0,HLOOKUP(BV$14,Villagers!$B$1:$V$33,BV330+3,FALSE)),)</f>
        <v>0</v>
      </c>
      <c r="CR330" s="14">
        <f>ROUND(IF(BW330=0,0,HLOOKUP(BW$14,Villagers!$B$1:$V$33,BW330+3,FALSE)),)</f>
        <v>0</v>
      </c>
      <c r="CS330" s="14">
        <f>ROUND(IF(BX330=0,0,HLOOKUP(BX$14,Villagers!$B$1:$V$33,BX330+3,FALSE)),)</f>
        <v>0</v>
      </c>
      <c r="CT330" s="14">
        <f>ROUND(IF(BY330=0,0,HLOOKUP(BY$14,Villagers!$B$1:$V$33,BY330+3,FALSE)),)</f>
        <v>0</v>
      </c>
      <c r="CU330" s="14">
        <f>ROUND(IF(BZ330=0,0,HLOOKUP(BZ$14,Villagers!$B$1:$V$33,BZ330+3,FALSE)),)</f>
        <v>0</v>
      </c>
      <c r="CV330" s="14">
        <f>ROUND(IF(CA330=0,0,HLOOKUP(CA$14,Villagers!$B$1:$V$33,CA330+3,FALSE)),)</f>
        <v>0</v>
      </c>
      <c r="CW330" s="14">
        <f>ROUND(IF(CB330=0,0,HLOOKUP(CB$14,Villagers!$B$1:$V$33,CB330+3,FALSE)),)</f>
        <v>0</v>
      </c>
      <c r="CX330" s="14">
        <f>ROUND(IF(CC330=0,0,HLOOKUP(CC$14,Villagers!$B$1:$V$33,CC330+3,FALSE)),)</f>
        <v>0</v>
      </c>
      <c r="CY330" s="14">
        <f>ROUND(IF(CD330=0,0,HLOOKUP(CD$14,Villagers!$B$1:$V$33,CD330+3,FALSE)),)</f>
        <v>0</v>
      </c>
      <c r="CZ330" s="14">
        <f>ROUND(IF(CE330=0,0,HLOOKUP(CE$14,Villagers!$B$1:$V$33,CE330+3,FALSE)),)</f>
        <v>5</v>
      </c>
      <c r="DA330" s="14">
        <f>ROUND(IF(CF330=0,0,HLOOKUP(CF$14,Villagers!$B$1:$V$33,CF330+3,FALSE)),)</f>
        <v>10</v>
      </c>
      <c r="DB330" s="14">
        <f>ROUND(IF(CG330=0,0,HLOOKUP(CG$14,Villagers!$B$1:$V$33,CG330+3,FALSE)),)</f>
        <v>10</v>
      </c>
      <c r="DC330" s="14">
        <f>ROUND(IF(CH330=0,0,HLOOKUP(CH$14,Villagers!$B$1:$V$33,CH330+3,FALSE)),)</f>
        <v>0</v>
      </c>
      <c r="DD330" s="14">
        <f>ROUND(IF(CI330=0,0,HLOOKUP(CI$14,Villagers!$B$1:$V$33,CI330+3,FALSE)),)</f>
        <v>0</v>
      </c>
      <c r="DE330" s="14">
        <f>ROUND(IF(CJ330=0,0,HLOOKUP(CJ$14,Villagers!$B$1:$V$33,CJ330+3,FALSE)),)</f>
        <v>2</v>
      </c>
      <c r="DF330" s="370">
        <f>ROUND(IF(CK330=0,0,HLOOKUP(CK$14,Villagers!$B$1:$V$33,CK330+3,FALSE)),)</f>
        <v>0</v>
      </c>
      <c r="DG330" s="370">
        <f>ROUND(IF(CL330=0,0,HLOOKUP(CL$14,Villagers!$B$1:$V$33,CL330+3,FALSE)),)</f>
        <v>0</v>
      </c>
      <c r="DH330" s="34">
        <f>ROUND(IF(CM330=0,0,HLOOKUP(CM$14,Villagers!$B$1:$V$33,CM330+3,FALSE)),)</f>
        <v>0</v>
      </c>
      <c r="DI330" s="109">
        <f t="shared" si="426"/>
        <v>0</v>
      </c>
      <c r="DJ330" s="50">
        <f t="shared" si="427"/>
        <v>0</v>
      </c>
      <c r="DK330" s="50">
        <f t="shared" si="428"/>
        <v>0</v>
      </c>
      <c r="DL330" s="50">
        <f t="shared" si="429"/>
        <v>0</v>
      </c>
      <c r="DM330" s="50">
        <f t="shared" si="430"/>
        <v>0</v>
      </c>
      <c r="DN330" s="50">
        <f t="shared" si="431"/>
        <v>0</v>
      </c>
      <c r="DO330" s="50">
        <f t="shared" si="432"/>
        <v>0</v>
      </c>
      <c r="DP330" s="50">
        <f t="shared" si="433"/>
        <v>0</v>
      </c>
      <c r="DQ330" s="50">
        <f t="shared" si="411"/>
        <v>0</v>
      </c>
      <c r="DR330" s="50">
        <f t="shared" si="412"/>
        <v>0</v>
      </c>
      <c r="DS330" s="96">
        <f>Miscelaneous!$D$4*Miscelaneous!$D$2^($CI330-1)</f>
        <v>1000</v>
      </c>
      <c r="DT330" s="333">
        <f t="shared" si="393"/>
        <v>1</v>
      </c>
      <c r="DU330" s="81">
        <v>1</v>
      </c>
      <c r="DV330" s="79">
        <f t="shared" si="413"/>
        <v>0</v>
      </c>
      <c r="DW330" s="79">
        <f t="shared" si="414"/>
        <v>0</v>
      </c>
      <c r="DX330" s="79">
        <f t="shared" si="415"/>
        <v>0</v>
      </c>
      <c r="DY330" s="79">
        <v>1</v>
      </c>
      <c r="DZ330" s="79">
        <f t="shared" si="416"/>
        <v>0</v>
      </c>
      <c r="EA330" s="79">
        <f t="shared" si="417"/>
        <v>0</v>
      </c>
      <c r="EB330" s="79">
        <f t="shared" si="418"/>
        <v>0</v>
      </c>
      <c r="EC330" s="79">
        <f t="shared" si="419"/>
        <v>0</v>
      </c>
      <c r="ED330" s="79">
        <v>1</v>
      </c>
      <c r="EE330" s="79">
        <v>1</v>
      </c>
      <c r="EF330" s="79">
        <f t="shared" si="420"/>
        <v>0</v>
      </c>
      <c r="EG330" s="79">
        <v>1</v>
      </c>
      <c r="EH330" s="79">
        <v>1</v>
      </c>
      <c r="EI330" s="79">
        <v>1</v>
      </c>
      <c r="EJ330" s="79">
        <v>1</v>
      </c>
      <c r="EK330" s="79">
        <v>1</v>
      </c>
      <c r="EL330" s="79">
        <v>1</v>
      </c>
      <c r="EM330" s="143">
        <f t="shared" si="421"/>
        <v>0</v>
      </c>
      <c r="EN330" s="143">
        <f t="shared" si="422"/>
        <v>0</v>
      </c>
      <c r="EO330" s="82">
        <f t="shared" si="423"/>
        <v>0</v>
      </c>
    </row>
    <row r="331" spans="1:145" x14ac:dyDescent="0.25">
      <c r="A331">
        <v>317</v>
      </c>
      <c r="B331" s="172" t="e">
        <f t="shared" si="394"/>
        <v>#N/A</v>
      </c>
      <c r="C331" s="121" t="e">
        <f t="shared" si="373"/>
        <v>#N/A</v>
      </c>
      <c r="D331" s="122" t="e">
        <f t="shared" si="374"/>
        <v>#N/A</v>
      </c>
      <c r="E331" s="122" t="e">
        <f t="shared" si="375"/>
        <v>#N/A</v>
      </c>
      <c r="F331" s="176" t="e">
        <f t="shared" si="376"/>
        <v>#N/A</v>
      </c>
      <c r="G331" s="121">
        <f t="shared" si="395"/>
        <v>208</v>
      </c>
      <c r="H331" s="176" t="e">
        <f t="shared" si="396"/>
        <v>#N/A</v>
      </c>
      <c r="I331" s="48">
        <v>1</v>
      </c>
      <c r="J331" s="39"/>
      <c r="K331" s="350">
        <v>1</v>
      </c>
      <c r="L331" s="34" t="e">
        <f t="shared" si="377"/>
        <v>#N/A</v>
      </c>
      <c r="M331" s="38" t="e">
        <f>(HLOOKUP(J331,'Construction Times'!$B$3:$W$34,L331+2,FALSE)*HLOOKUP("hq modifier",'Construction Times'!$W$3:$W$34,BS331+2,FALSE))*(1-$H$9)</f>
        <v>#N/A</v>
      </c>
      <c r="N331" s="443" t="e">
        <f t="shared" si="397"/>
        <v>#N/A</v>
      </c>
      <c r="O331" s="444"/>
      <c r="P331" s="447" t="e">
        <f t="shared" si="398"/>
        <v>#N/A</v>
      </c>
      <c r="Q331" s="448"/>
      <c r="R331" s="103">
        <f t="shared" si="424"/>
        <v>0</v>
      </c>
      <c r="S331" s="104">
        <f t="shared" si="424"/>
        <v>0</v>
      </c>
      <c r="T331" s="104">
        <f t="shared" si="425"/>
        <v>0</v>
      </c>
      <c r="U331" s="104">
        <f t="shared" si="425"/>
        <v>0</v>
      </c>
      <c r="V331" s="104">
        <f t="shared" si="425"/>
        <v>9.9999999999999995E-8</v>
      </c>
      <c r="W331" s="104">
        <f t="shared" si="425"/>
        <v>0</v>
      </c>
      <c r="X331" s="104">
        <f t="shared" si="455"/>
        <v>0</v>
      </c>
      <c r="Y331" s="104">
        <f t="shared" si="455"/>
        <v>9.9999999999999995E-8</v>
      </c>
      <c r="Z331" s="104">
        <f t="shared" si="455"/>
        <v>9.9999999999999995E-8</v>
      </c>
      <c r="AA331" s="105">
        <f t="shared" si="455"/>
        <v>9.9999999999999995E-8</v>
      </c>
      <c r="AB331" s="101" t="e">
        <f>$DT331*HLOOKUP($J331,'Construction Costs (timber)'!$B$1:$V$32,'Construction Planner'!$L331+2,FALSE)</f>
        <v>#N/A</v>
      </c>
      <c r="AC331" s="14" t="e">
        <f>$DT331*HLOOKUP($J331,'Construction Costs (clay)'!$B$1:$V$32,'Construction Planner'!$L331+2,FALSE)</f>
        <v>#N/A</v>
      </c>
      <c r="AD331" s="14" t="e">
        <f>$DT331*HLOOKUP($J331,'Construction Costs (iron)'!$B$1:$V$32,'Construction Planner'!$L331+2,FALSE)</f>
        <v>#N/A</v>
      </c>
      <c r="AE331" s="34" t="e">
        <f t="shared" si="434"/>
        <v>#N/A</v>
      </c>
      <c r="AF331" s="33" t="e">
        <f t="shared" si="378"/>
        <v>#N/A</v>
      </c>
      <c r="AG331" s="14" t="e">
        <f t="shared" si="379"/>
        <v>#N/A</v>
      </c>
      <c r="AH331" s="14" t="e">
        <f t="shared" si="380"/>
        <v>#N/A</v>
      </c>
      <c r="AI331" s="34" t="e">
        <f t="shared" si="435"/>
        <v>#N/A</v>
      </c>
      <c r="AJ331" s="49" t="e">
        <f t="shared" si="399"/>
        <v>#N/A</v>
      </c>
      <c r="AK331" s="49" t="e">
        <f t="shared" si="400"/>
        <v>#N/A</v>
      </c>
      <c r="AL331" s="49" t="e">
        <f t="shared" si="401"/>
        <v>#N/A</v>
      </c>
      <c r="AM331" s="25">
        <f t="shared" si="381"/>
        <v>30</v>
      </c>
      <c r="AN331" s="25">
        <f t="shared" si="382"/>
        <v>30</v>
      </c>
      <c r="AO331" s="25">
        <f t="shared" si="383"/>
        <v>30</v>
      </c>
      <c r="AP331" s="52" t="e">
        <f t="shared" si="402"/>
        <v>#N/A</v>
      </c>
      <c r="AQ331" s="53" t="e">
        <f t="shared" si="402"/>
        <v>#N/A</v>
      </c>
      <c r="AR331" s="54" t="e">
        <f t="shared" si="402"/>
        <v>#N/A</v>
      </c>
      <c r="AS331" s="316">
        <f t="shared" si="461"/>
        <v>0</v>
      </c>
      <c r="AT331" s="106">
        <f>_xlfn.IFNA($M331/VLOOKUP($BT331,'Unit information'!$A$2:$K$29,2,FALSE)*R331,0)*(1+$E$9)</f>
        <v>0</v>
      </c>
      <c r="AU331" s="107">
        <f>_xlfn.IFNA($M331/VLOOKUP($BT331,'Unit information'!$A$2:$K$29,3,FALSE)*S331,0)*(1+$E$9)</f>
        <v>0</v>
      </c>
      <c r="AV331" s="107">
        <f>_xlfn.IFNA($M331/VLOOKUP($BT331,'Unit information'!$A$2:$K$29,4,FALSE)*T331,0)*(1+$E$9)</f>
        <v>0</v>
      </c>
      <c r="AW331" s="107">
        <f>_xlfn.IFNA($M331/VLOOKUP($BT331,'Unit information'!$A$2:$K$29,5,FALSE)*U331,0)*(1+$E$9)</f>
        <v>0</v>
      </c>
      <c r="AX331" s="107">
        <f>_xlfn.IFNA($M331/VLOOKUP($BU331,'Unit information'!$A$2:$K$29,6,FALSE)*V331,0)*(1+$E$9)</f>
        <v>0</v>
      </c>
      <c r="AY331" s="107">
        <f>_xlfn.IFNA($M331/VLOOKUP($BU331,'Unit information'!$A$2:$K$29,7,FALSE)*W331,0)*(1+$E$9)</f>
        <v>0</v>
      </c>
      <c r="AZ331" s="107">
        <f>_xlfn.IFNA($M331/VLOOKUP($BU331,'Unit information'!$A$2:$K$29,8,FALSE)*X331,0)*(1+$E$9)</f>
        <v>0</v>
      </c>
      <c r="BA331" s="107">
        <f>_xlfn.IFNA($M331/VLOOKUP($BU331,'Unit information'!$A$2:$K$29,9,FALSE)*Y331,0)*(1+$E$9)</f>
        <v>0</v>
      </c>
      <c r="BB331" s="107">
        <f>_xlfn.IFNA($M331/VLOOKUP($BV331,'Unit information'!$A$2:$K$29,10,FALSE)*Z331,0)*(1+$E$9)</f>
        <v>0</v>
      </c>
      <c r="BC331" s="108">
        <f>_xlfn.IFNA($M331/VLOOKUP($BV331,'Unit information'!$A$2:$K$29,11,FALSE)*AA331,0)*(1+$E$9)</f>
        <v>0</v>
      </c>
      <c r="BD331" s="106">
        <f t="shared" si="384"/>
        <v>0</v>
      </c>
      <c r="BE331" s="107">
        <f t="shared" si="385"/>
        <v>0</v>
      </c>
      <c r="BF331" s="108">
        <f t="shared" si="386"/>
        <v>0</v>
      </c>
      <c r="BG331" s="25" t="e">
        <f t="shared" si="387"/>
        <v>#N/A</v>
      </c>
      <c r="BH331" s="25" t="e">
        <f t="shared" si="388"/>
        <v>#N/A</v>
      </c>
      <c r="BI331" s="25" t="e">
        <f t="shared" si="389"/>
        <v>#N/A</v>
      </c>
      <c r="BJ331" s="27" t="e">
        <f t="shared" si="390"/>
        <v>#N/A</v>
      </c>
      <c r="BK331" s="18" t="e">
        <f t="shared" si="391"/>
        <v>#N/A</v>
      </c>
      <c r="BL331" s="18" t="e">
        <f t="shared" si="392"/>
        <v>#N/A</v>
      </c>
      <c r="BM331" s="28" t="e">
        <f t="shared" si="437"/>
        <v>#N/A</v>
      </c>
      <c r="BN331" s="33">
        <f>HLOOKUP("maximum population",Miscelaneous!$C$1:$C$33,CH331+3,FALSE)</f>
        <v>240</v>
      </c>
      <c r="BO331" s="14">
        <f t="shared" si="403"/>
        <v>32</v>
      </c>
      <c r="BP331" s="14">
        <f t="shared" si="404"/>
        <v>0</v>
      </c>
      <c r="BQ331" s="14">
        <f t="shared" si="405"/>
        <v>208</v>
      </c>
      <c r="BR331" s="34" t="e">
        <f>HLOOKUP(J331,Villagers!$B$1:$V$33,L331+3,FALSE)-HLOOKUP(J331,Villagers!$B$1:$V$33,L331+2,FALSE)</f>
        <v>#N/A</v>
      </c>
      <c r="BS331" s="49">
        <f t="shared" si="406"/>
        <v>1</v>
      </c>
      <c r="BT331" s="50">
        <f t="shared" si="407"/>
        <v>0</v>
      </c>
      <c r="BU331" s="50">
        <f t="shared" si="408"/>
        <v>0</v>
      </c>
      <c r="BV331" s="50">
        <f t="shared" si="409"/>
        <v>0</v>
      </c>
      <c r="BW331" s="50">
        <f t="shared" si="458"/>
        <v>0</v>
      </c>
      <c r="BX331" s="50">
        <f t="shared" si="459"/>
        <v>0</v>
      </c>
      <c r="BY331" s="50">
        <f t="shared" si="459"/>
        <v>0</v>
      </c>
      <c r="BZ331" s="50">
        <f t="shared" si="440"/>
        <v>0</v>
      </c>
      <c r="CA331" s="50">
        <f t="shared" si="441"/>
        <v>0</v>
      </c>
      <c r="CB331" s="50">
        <f t="shared" si="442"/>
        <v>1</v>
      </c>
      <c r="CC331" s="50">
        <f t="shared" si="443"/>
        <v>0</v>
      </c>
      <c r="CD331" s="50">
        <f t="shared" si="444"/>
        <v>0</v>
      </c>
      <c r="CE331" s="50">
        <f t="shared" si="445"/>
        <v>1</v>
      </c>
      <c r="CF331" s="50">
        <f t="shared" si="446"/>
        <v>1</v>
      </c>
      <c r="CG331" s="50">
        <f t="shared" si="447"/>
        <v>1</v>
      </c>
      <c r="CH331" s="50">
        <f t="shared" si="448"/>
        <v>1</v>
      </c>
      <c r="CI331" s="50">
        <f t="shared" si="449"/>
        <v>1</v>
      </c>
      <c r="CJ331" s="50">
        <f t="shared" si="450"/>
        <v>1</v>
      </c>
      <c r="CK331" s="50">
        <f t="shared" si="450"/>
        <v>0</v>
      </c>
      <c r="CL331" s="50">
        <f t="shared" si="450"/>
        <v>0</v>
      </c>
      <c r="CM331" s="51">
        <f t="shared" si="460"/>
        <v>0</v>
      </c>
      <c r="CN331" s="33">
        <f>ROUND(IF(BS331=0,0,HLOOKUP(BS$14,Villagers!$B$1:$V$33,BS331+3,FALSE)),)</f>
        <v>5</v>
      </c>
      <c r="CO331" s="14">
        <f>ROUND(IF(BT331=0,0,HLOOKUP(BT$14,Villagers!$B$1:$V$33,BT331+3,FALSE)),)</f>
        <v>0</v>
      </c>
      <c r="CP331" s="14">
        <f>ROUND(IF(BU331=0,0,HLOOKUP(BU$14,Villagers!$B$1:$V$33,BU331+3,FALSE)),)</f>
        <v>0</v>
      </c>
      <c r="CQ331" s="14">
        <f>ROUND(IF(BV331=0,0,HLOOKUP(BV$14,Villagers!$B$1:$V$33,BV331+3,FALSE)),)</f>
        <v>0</v>
      </c>
      <c r="CR331" s="14">
        <f>ROUND(IF(BW331=0,0,HLOOKUP(BW$14,Villagers!$B$1:$V$33,BW331+3,FALSE)),)</f>
        <v>0</v>
      </c>
      <c r="CS331" s="14">
        <f>ROUND(IF(BX331=0,0,HLOOKUP(BX$14,Villagers!$B$1:$V$33,BX331+3,FALSE)),)</f>
        <v>0</v>
      </c>
      <c r="CT331" s="14">
        <f>ROUND(IF(BY331=0,0,HLOOKUP(BY$14,Villagers!$B$1:$V$33,BY331+3,FALSE)),)</f>
        <v>0</v>
      </c>
      <c r="CU331" s="14">
        <f>ROUND(IF(BZ331=0,0,HLOOKUP(BZ$14,Villagers!$B$1:$V$33,BZ331+3,FALSE)),)</f>
        <v>0</v>
      </c>
      <c r="CV331" s="14">
        <f>ROUND(IF(CA331=0,0,HLOOKUP(CA$14,Villagers!$B$1:$V$33,CA331+3,FALSE)),)</f>
        <v>0</v>
      </c>
      <c r="CW331" s="14">
        <f>ROUND(IF(CB331=0,0,HLOOKUP(CB$14,Villagers!$B$1:$V$33,CB331+3,FALSE)),)</f>
        <v>0</v>
      </c>
      <c r="CX331" s="14">
        <f>ROUND(IF(CC331=0,0,HLOOKUP(CC$14,Villagers!$B$1:$V$33,CC331+3,FALSE)),)</f>
        <v>0</v>
      </c>
      <c r="CY331" s="14">
        <f>ROUND(IF(CD331=0,0,HLOOKUP(CD$14,Villagers!$B$1:$V$33,CD331+3,FALSE)),)</f>
        <v>0</v>
      </c>
      <c r="CZ331" s="14">
        <f>ROUND(IF(CE331=0,0,HLOOKUP(CE$14,Villagers!$B$1:$V$33,CE331+3,FALSE)),)</f>
        <v>5</v>
      </c>
      <c r="DA331" s="14">
        <f>ROUND(IF(CF331=0,0,HLOOKUP(CF$14,Villagers!$B$1:$V$33,CF331+3,FALSE)),)</f>
        <v>10</v>
      </c>
      <c r="DB331" s="14">
        <f>ROUND(IF(CG331=0,0,HLOOKUP(CG$14,Villagers!$B$1:$V$33,CG331+3,FALSE)),)</f>
        <v>10</v>
      </c>
      <c r="DC331" s="14">
        <f>ROUND(IF(CH331=0,0,HLOOKUP(CH$14,Villagers!$B$1:$V$33,CH331+3,FALSE)),)</f>
        <v>0</v>
      </c>
      <c r="DD331" s="14">
        <f>ROUND(IF(CI331=0,0,HLOOKUP(CI$14,Villagers!$B$1:$V$33,CI331+3,FALSE)),)</f>
        <v>0</v>
      </c>
      <c r="DE331" s="14">
        <f>ROUND(IF(CJ331=0,0,HLOOKUP(CJ$14,Villagers!$B$1:$V$33,CJ331+3,FALSE)),)</f>
        <v>2</v>
      </c>
      <c r="DF331" s="370">
        <f>ROUND(IF(CK331=0,0,HLOOKUP(CK$14,Villagers!$B$1:$V$33,CK331+3,FALSE)),)</f>
        <v>0</v>
      </c>
      <c r="DG331" s="370">
        <f>ROUND(IF(CL331=0,0,HLOOKUP(CL$14,Villagers!$B$1:$V$33,CL331+3,FALSE)),)</f>
        <v>0</v>
      </c>
      <c r="DH331" s="34">
        <f>ROUND(IF(CM331=0,0,HLOOKUP(CM$14,Villagers!$B$1:$V$33,CM331+3,FALSE)),)</f>
        <v>0</v>
      </c>
      <c r="DI331" s="109">
        <f t="shared" si="426"/>
        <v>0</v>
      </c>
      <c r="DJ331" s="50">
        <f t="shared" si="427"/>
        <v>0</v>
      </c>
      <c r="DK331" s="50">
        <f t="shared" si="428"/>
        <v>0</v>
      </c>
      <c r="DL331" s="50">
        <f t="shared" si="429"/>
        <v>0</v>
      </c>
      <c r="DM331" s="50">
        <f t="shared" si="430"/>
        <v>0</v>
      </c>
      <c r="DN331" s="50">
        <f t="shared" si="431"/>
        <v>0</v>
      </c>
      <c r="DO331" s="50">
        <f t="shared" si="432"/>
        <v>0</v>
      </c>
      <c r="DP331" s="50">
        <f t="shared" si="433"/>
        <v>0</v>
      </c>
      <c r="DQ331" s="50">
        <f t="shared" si="411"/>
        <v>0</v>
      </c>
      <c r="DR331" s="50">
        <f t="shared" si="412"/>
        <v>0</v>
      </c>
      <c r="DS331" s="96">
        <f>Miscelaneous!$D$4*Miscelaneous!$D$2^($CI331-1)</f>
        <v>1000</v>
      </c>
      <c r="DT331" s="333">
        <f t="shared" si="393"/>
        <v>1</v>
      </c>
      <c r="DU331" s="81">
        <v>1</v>
      </c>
      <c r="DV331" s="79">
        <f t="shared" si="413"/>
        <v>0</v>
      </c>
      <c r="DW331" s="79">
        <f t="shared" si="414"/>
        <v>0</v>
      </c>
      <c r="DX331" s="79">
        <f t="shared" si="415"/>
        <v>0</v>
      </c>
      <c r="DY331" s="79">
        <v>1</v>
      </c>
      <c r="DZ331" s="79">
        <f t="shared" si="416"/>
        <v>0</v>
      </c>
      <c r="EA331" s="79">
        <f t="shared" si="417"/>
        <v>0</v>
      </c>
      <c r="EB331" s="79">
        <f t="shared" si="418"/>
        <v>0</v>
      </c>
      <c r="EC331" s="79">
        <f t="shared" si="419"/>
        <v>0</v>
      </c>
      <c r="ED331" s="79">
        <v>1</v>
      </c>
      <c r="EE331" s="79">
        <v>1</v>
      </c>
      <c r="EF331" s="79">
        <f t="shared" si="420"/>
        <v>0</v>
      </c>
      <c r="EG331" s="79">
        <v>1</v>
      </c>
      <c r="EH331" s="79">
        <v>1</v>
      </c>
      <c r="EI331" s="79">
        <v>1</v>
      </c>
      <c r="EJ331" s="79">
        <v>1</v>
      </c>
      <c r="EK331" s="79">
        <v>1</v>
      </c>
      <c r="EL331" s="79">
        <v>1</v>
      </c>
      <c r="EM331" s="143">
        <f t="shared" si="421"/>
        <v>0</v>
      </c>
      <c r="EN331" s="143">
        <f t="shared" si="422"/>
        <v>0</v>
      </c>
      <c r="EO331" s="82">
        <f t="shared" si="423"/>
        <v>0</v>
      </c>
    </row>
    <row r="332" spans="1:145" x14ac:dyDescent="0.25">
      <c r="A332">
        <v>318</v>
      </c>
      <c r="B332" s="172" t="e">
        <f t="shared" si="394"/>
        <v>#N/A</v>
      </c>
      <c r="C332" s="121" t="e">
        <f t="shared" si="373"/>
        <v>#N/A</v>
      </c>
      <c r="D332" s="122" t="e">
        <f t="shared" si="374"/>
        <v>#N/A</v>
      </c>
      <c r="E332" s="122" t="e">
        <f t="shared" si="375"/>
        <v>#N/A</v>
      </c>
      <c r="F332" s="176" t="e">
        <f t="shared" si="376"/>
        <v>#N/A</v>
      </c>
      <c r="G332" s="121">
        <f t="shared" si="395"/>
        <v>208</v>
      </c>
      <c r="H332" s="176" t="e">
        <f t="shared" si="396"/>
        <v>#N/A</v>
      </c>
      <c r="I332" s="48">
        <v>1</v>
      </c>
      <c r="J332" s="39"/>
      <c r="K332" s="350">
        <v>1</v>
      </c>
      <c r="L332" s="34" t="e">
        <f t="shared" si="377"/>
        <v>#N/A</v>
      </c>
      <c r="M332" s="38" t="e">
        <f>(HLOOKUP(J332,'Construction Times'!$B$3:$W$34,L332+2,FALSE)*HLOOKUP("hq modifier",'Construction Times'!$W$3:$W$34,BS332+2,FALSE))*(1-$H$9)</f>
        <v>#N/A</v>
      </c>
      <c r="N332" s="443" t="e">
        <f t="shared" si="397"/>
        <v>#N/A</v>
      </c>
      <c r="O332" s="444"/>
      <c r="P332" s="447" t="e">
        <f t="shared" si="398"/>
        <v>#N/A</v>
      </c>
      <c r="Q332" s="448"/>
      <c r="R332" s="103">
        <f t="shared" si="424"/>
        <v>0</v>
      </c>
      <c r="S332" s="104">
        <f t="shared" si="424"/>
        <v>0</v>
      </c>
      <c r="T332" s="104">
        <f t="shared" si="425"/>
        <v>0</v>
      </c>
      <c r="U332" s="104">
        <f t="shared" si="425"/>
        <v>0</v>
      </c>
      <c r="V332" s="104">
        <f t="shared" si="425"/>
        <v>9.9999999999999995E-8</v>
      </c>
      <c r="W332" s="104">
        <f t="shared" si="425"/>
        <v>0</v>
      </c>
      <c r="X332" s="104">
        <f t="shared" si="455"/>
        <v>0</v>
      </c>
      <c r="Y332" s="104">
        <f t="shared" si="455"/>
        <v>9.9999999999999995E-8</v>
      </c>
      <c r="Z332" s="104">
        <f t="shared" si="455"/>
        <v>9.9999999999999995E-8</v>
      </c>
      <c r="AA332" s="105">
        <f t="shared" si="455"/>
        <v>9.9999999999999995E-8</v>
      </c>
      <c r="AB332" s="101" t="e">
        <f>$DT332*HLOOKUP($J332,'Construction Costs (timber)'!$B$1:$V$32,'Construction Planner'!$L332+2,FALSE)</f>
        <v>#N/A</v>
      </c>
      <c r="AC332" s="14" t="e">
        <f>$DT332*HLOOKUP($J332,'Construction Costs (clay)'!$B$1:$V$32,'Construction Planner'!$L332+2,FALSE)</f>
        <v>#N/A</v>
      </c>
      <c r="AD332" s="14" t="e">
        <f>$DT332*HLOOKUP($J332,'Construction Costs (iron)'!$B$1:$V$32,'Construction Planner'!$L332+2,FALSE)</f>
        <v>#N/A</v>
      </c>
      <c r="AE332" s="34" t="e">
        <f t="shared" si="434"/>
        <v>#N/A</v>
      </c>
      <c r="AF332" s="33" t="e">
        <f t="shared" si="378"/>
        <v>#N/A</v>
      </c>
      <c r="AG332" s="14" t="e">
        <f t="shared" si="379"/>
        <v>#N/A</v>
      </c>
      <c r="AH332" s="14" t="e">
        <f t="shared" si="380"/>
        <v>#N/A</v>
      </c>
      <c r="AI332" s="34" t="e">
        <f t="shared" si="435"/>
        <v>#N/A</v>
      </c>
      <c r="AJ332" s="49" t="e">
        <f t="shared" si="399"/>
        <v>#N/A</v>
      </c>
      <c r="AK332" s="49" t="e">
        <f t="shared" si="400"/>
        <v>#N/A</v>
      </c>
      <c r="AL332" s="49" t="e">
        <f t="shared" si="401"/>
        <v>#N/A</v>
      </c>
      <c r="AM332" s="25">
        <f t="shared" si="381"/>
        <v>30</v>
      </c>
      <c r="AN332" s="25">
        <f t="shared" si="382"/>
        <v>30</v>
      </c>
      <c r="AO332" s="25">
        <f t="shared" si="383"/>
        <v>30</v>
      </c>
      <c r="AP332" s="52" t="e">
        <f t="shared" si="402"/>
        <v>#N/A</v>
      </c>
      <c r="AQ332" s="53" t="e">
        <f t="shared" si="402"/>
        <v>#N/A</v>
      </c>
      <c r="AR332" s="54" t="e">
        <f t="shared" si="402"/>
        <v>#N/A</v>
      </c>
      <c r="AS332" s="316">
        <f t="shared" si="461"/>
        <v>0</v>
      </c>
      <c r="AT332" s="106">
        <f>_xlfn.IFNA($M332/VLOOKUP($BT332,'Unit information'!$A$2:$K$29,2,FALSE)*R332,0)*(1+$E$9)</f>
        <v>0</v>
      </c>
      <c r="AU332" s="107">
        <f>_xlfn.IFNA($M332/VLOOKUP($BT332,'Unit information'!$A$2:$K$29,3,FALSE)*S332,0)*(1+$E$9)</f>
        <v>0</v>
      </c>
      <c r="AV332" s="107">
        <f>_xlfn.IFNA($M332/VLOOKUP($BT332,'Unit information'!$A$2:$K$29,4,FALSE)*T332,0)*(1+$E$9)</f>
        <v>0</v>
      </c>
      <c r="AW332" s="107">
        <f>_xlfn.IFNA($M332/VLOOKUP($BT332,'Unit information'!$A$2:$K$29,5,FALSE)*U332,0)*(1+$E$9)</f>
        <v>0</v>
      </c>
      <c r="AX332" s="107">
        <f>_xlfn.IFNA($M332/VLOOKUP($BU332,'Unit information'!$A$2:$K$29,6,FALSE)*V332,0)*(1+$E$9)</f>
        <v>0</v>
      </c>
      <c r="AY332" s="107">
        <f>_xlfn.IFNA($M332/VLOOKUP($BU332,'Unit information'!$A$2:$K$29,7,FALSE)*W332,0)*(1+$E$9)</f>
        <v>0</v>
      </c>
      <c r="AZ332" s="107">
        <f>_xlfn.IFNA($M332/VLOOKUP($BU332,'Unit information'!$A$2:$K$29,8,FALSE)*X332,0)*(1+$E$9)</f>
        <v>0</v>
      </c>
      <c r="BA332" s="107">
        <f>_xlfn.IFNA($M332/VLOOKUP($BU332,'Unit information'!$A$2:$K$29,9,FALSE)*Y332,0)*(1+$E$9)</f>
        <v>0</v>
      </c>
      <c r="BB332" s="107">
        <f>_xlfn.IFNA($M332/VLOOKUP($BV332,'Unit information'!$A$2:$K$29,10,FALSE)*Z332,0)*(1+$E$9)</f>
        <v>0</v>
      </c>
      <c r="BC332" s="108">
        <f>_xlfn.IFNA($M332/VLOOKUP($BV332,'Unit information'!$A$2:$K$29,11,FALSE)*AA332,0)*(1+$E$9)</f>
        <v>0</v>
      </c>
      <c r="BD332" s="106">
        <f t="shared" si="384"/>
        <v>0</v>
      </c>
      <c r="BE332" s="107">
        <f t="shared" si="385"/>
        <v>0</v>
      </c>
      <c r="BF332" s="108">
        <f t="shared" si="386"/>
        <v>0</v>
      </c>
      <c r="BG332" s="25" t="e">
        <f t="shared" si="387"/>
        <v>#N/A</v>
      </c>
      <c r="BH332" s="25" t="e">
        <f t="shared" si="388"/>
        <v>#N/A</v>
      </c>
      <c r="BI332" s="25" t="e">
        <f t="shared" si="389"/>
        <v>#N/A</v>
      </c>
      <c r="BJ332" s="27" t="e">
        <f t="shared" si="390"/>
        <v>#N/A</v>
      </c>
      <c r="BK332" s="18" t="e">
        <f t="shared" si="391"/>
        <v>#N/A</v>
      </c>
      <c r="BL332" s="18" t="e">
        <f t="shared" si="392"/>
        <v>#N/A</v>
      </c>
      <c r="BM332" s="28" t="e">
        <f t="shared" si="437"/>
        <v>#N/A</v>
      </c>
      <c r="BN332" s="33">
        <f>HLOOKUP("maximum population",Miscelaneous!$C$1:$C$33,CH332+3,FALSE)</f>
        <v>240</v>
      </c>
      <c r="BO332" s="14">
        <f t="shared" si="403"/>
        <v>32</v>
      </c>
      <c r="BP332" s="14">
        <f t="shared" si="404"/>
        <v>0</v>
      </c>
      <c r="BQ332" s="14">
        <f t="shared" si="405"/>
        <v>208</v>
      </c>
      <c r="BR332" s="34" t="e">
        <f>HLOOKUP(J332,Villagers!$B$1:$V$33,L332+3,FALSE)-HLOOKUP(J332,Villagers!$B$1:$V$33,L332+2,FALSE)</f>
        <v>#N/A</v>
      </c>
      <c r="BS332" s="49">
        <f t="shared" si="406"/>
        <v>1</v>
      </c>
      <c r="BT332" s="50">
        <f t="shared" si="407"/>
        <v>0</v>
      </c>
      <c r="BU332" s="50">
        <f t="shared" si="408"/>
        <v>0</v>
      </c>
      <c r="BV332" s="50">
        <f t="shared" si="409"/>
        <v>0</v>
      </c>
      <c r="BW332" s="50">
        <f t="shared" si="458"/>
        <v>0</v>
      </c>
      <c r="BX332" s="50">
        <f t="shared" si="459"/>
        <v>0</v>
      </c>
      <c r="BY332" s="50">
        <f t="shared" si="459"/>
        <v>0</v>
      </c>
      <c r="BZ332" s="50">
        <f t="shared" si="440"/>
        <v>0</v>
      </c>
      <c r="CA332" s="50">
        <f t="shared" si="441"/>
        <v>0</v>
      </c>
      <c r="CB332" s="50">
        <f t="shared" si="442"/>
        <v>1</v>
      </c>
      <c r="CC332" s="50">
        <f t="shared" si="443"/>
        <v>0</v>
      </c>
      <c r="CD332" s="50">
        <f t="shared" si="444"/>
        <v>0</v>
      </c>
      <c r="CE332" s="50">
        <f t="shared" si="445"/>
        <v>1</v>
      </c>
      <c r="CF332" s="50">
        <f t="shared" si="446"/>
        <v>1</v>
      </c>
      <c r="CG332" s="50">
        <f t="shared" si="447"/>
        <v>1</v>
      </c>
      <c r="CH332" s="50">
        <f t="shared" si="448"/>
        <v>1</v>
      </c>
      <c r="CI332" s="50">
        <f t="shared" si="449"/>
        <v>1</v>
      </c>
      <c r="CJ332" s="50">
        <f t="shared" si="450"/>
        <v>1</v>
      </c>
      <c r="CK332" s="50">
        <f t="shared" si="450"/>
        <v>0</v>
      </c>
      <c r="CL332" s="50">
        <f t="shared" si="450"/>
        <v>0</v>
      </c>
      <c r="CM332" s="51">
        <f t="shared" si="460"/>
        <v>0</v>
      </c>
      <c r="CN332" s="33">
        <f>ROUND(IF(BS332=0,0,HLOOKUP(BS$14,Villagers!$B$1:$V$33,BS332+3,FALSE)),)</f>
        <v>5</v>
      </c>
      <c r="CO332" s="14">
        <f>ROUND(IF(BT332=0,0,HLOOKUP(BT$14,Villagers!$B$1:$V$33,BT332+3,FALSE)),)</f>
        <v>0</v>
      </c>
      <c r="CP332" s="14">
        <f>ROUND(IF(BU332=0,0,HLOOKUP(BU$14,Villagers!$B$1:$V$33,BU332+3,FALSE)),)</f>
        <v>0</v>
      </c>
      <c r="CQ332" s="14">
        <f>ROUND(IF(BV332=0,0,HLOOKUP(BV$14,Villagers!$B$1:$V$33,BV332+3,FALSE)),)</f>
        <v>0</v>
      </c>
      <c r="CR332" s="14">
        <f>ROUND(IF(BW332=0,0,HLOOKUP(BW$14,Villagers!$B$1:$V$33,BW332+3,FALSE)),)</f>
        <v>0</v>
      </c>
      <c r="CS332" s="14">
        <f>ROUND(IF(BX332=0,0,HLOOKUP(BX$14,Villagers!$B$1:$V$33,BX332+3,FALSE)),)</f>
        <v>0</v>
      </c>
      <c r="CT332" s="14">
        <f>ROUND(IF(BY332=0,0,HLOOKUP(BY$14,Villagers!$B$1:$V$33,BY332+3,FALSE)),)</f>
        <v>0</v>
      </c>
      <c r="CU332" s="14">
        <f>ROUND(IF(BZ332=0,0,HLOOKUP(BZ$14,Villagers!$B$1:$V$33,BZ332+3,FALSE)),)</f>
        <v>0</v>
      </c>
      <c r="CV332" s="14">
        <f>ROUND(IF(CA332=0,0,HLOOKUP(CA$14,Villagers!$B$1:$V$33,CA332+3,FALSE)),)</f>
        <v>0</v>
      </c>
      <c r="CW332" s="14">
        <f>ROUND(IF(CB332=0,0,HLOOKUP(CB$14,Villagers!$B$1:$V$33,CB332+3,FALSE)),)</f>
        <v>0</v>
      </c>
      <c r="CX332" s="14">
        <f>ROUND(IF(CC332=0,0,HLOOKUP(CC$14,Villagers!$B$1:$V$33,CC332+3,FALSE)),)</f>
        <v>0</v>
      </c>
      <c r="CY332" s="14">
        <f>ROUND(IF(CD332=0,0,HLOOKUP(CD$14,Villagers!$B$1:$V$33,CD332+3,FALSE)),)</f>
        <v>0</v>
      </c>
      <c r="CZ332" s="14">
        <f>ROUND(IF(CE332=0,0,HLOOKUP(CE$14,Villagers!$B$1:$V$33,CE332+3,FALSE)),)</f>
        <v>5</v>
      </c>
      <c r="DA332" s="14">
        <f>ROUND(IF(CF332=0,0,HLOOKUP(CF$14,Villagers!$B$1:$V$33,CF332+3,FALSE)),)</f>
        <v>10</v>
      </c>
      <c r="DB332" s="14">
        <f>ROUND(IF(CG332=0,0,HLOOKUP(CG$14,Villagers!$B$1:$V$33,CG332+3,FALSE)),)</f>
        <v>10</v>
      </c>
      <c r="DC332" s="14">
        <f>ROUND(IF(CH332=0,0,HLOOKUP(CH$14,Villagers!$B$1:$V$33,CH332+3,FALSE)),)</f>
        <v>0</v>
      </c>
      <c r="DD332" s="14">
        <f>ROUND(IF(CI332=0,0,HLOOKUP(CI$14,Villagers!$B$1:$V$33,CI332+3,FALSE)),)</f>
        <v>0</v>
      </c>
      <c r="DE332" s="14">
        <f>ROUND(IF(CJ332=0,0,HLOOKUP(CJ$14,Villagers!$B$1:$V$33,CJ332+3,FALSE)),)</f>
        <v>2</v>
      </c>
      <c r="DF332" s="370">
        <f>ROUND(IF(CK332=0,0,HLOOKUP(CK$14,Villagers!$B$1:$V$33,CK332+3,FALSE)),)</f>
        <v>0</v>
      </c>
      <c r="DG332" s="370">
        <f>ROUND(IF(CL332=0,0,HLOOKUP(CL$14,Villagers!$B$1:$V$33,CL332+3,FALSE)),)</f>
        <v>0</v>
      </c>
      <c r="DH332" s="34">
        <f>ROUND(IF(CM332=0,0,HLOOKUP(CM$14,Villagers!$B$1:$V$33,CM332+3,FALSE)),)</f>
        <v>0</v>
      </c>
      <c r="DI332" s="109">
        <f t="shared" si="426"/>
        <v>0</v>
      </c>
      <c r="DJ332" s="50">
        <f t="shared" si="427"/>
        <v>0</v>
      </c>
      <c r="DK332" s="50">
        <f t="shared" si="428"/>
        <v>0</v>
      </c>
      <c r="DL332" s="50">
        <f t="shared" si="429"/>
        <v>0</v>
      </c>
      <c r="DM332" s="50">
        <f t="shared" si="430"/>
        <v>0</v>
      </c>
      <c r="DN332" s="50">
        <f t="shared" si="431"/>
        <v>0</v>
      </c>
      <c r="DO332" s="50">
        <f t="shared" si="432"/>
        <v>0</v>
      </c>
      <c r="DP332" s="50">
        <f t="shared" si="433"/>
        <v>0</v>
      </c>
      <c r="DQ332" s="50">
        <f t="shared" si="411"/>
        <v>0</v>
      </c>
      <c r="DR332" s="50">
        <f t="shared" si="412"/>
        <v>0</v>
      </c>
      <c r="DS332" s="96">
        <f>Miscelaneous!$D$4*Miscelaneous!$D$2^($CI332-1)</f>
        <v>1000</v>
      </c>
      <c r="DT332" s="333">
        <f t="shared" si="393"/>
        <v>1</v>
      </c>
      <c r="DU332" s="81">
        <v>1</v>
      </c>
      <c r="DV332" s="79">
        <f t="shared" si="413"/>
        <v>0</v>
      </c>
      <c r="DW332" s="79">
        <f t="shared" si="414"/>
        <v>0</v>
      </c>
      <c r="DX332" s="79">
        <f t="shared" si="415"/>
        <v>0</v>
      </c>
      <c r="DY332" s="79">
        <v>1</v>
      </c>
      <c r="DZ332" s="79">
        <f t="shared" si="416"/>
        <v>0</v>
      </c>
      <c r="EA332" s="79">
        <f t="shared" si="417"/>
        <v>0</v>
      </c>
      <c r="EB332" s="79">
        <f t="shared" si="418"/>
        <v>0</v>
      </c>
      <c r="EC332" s="79">
        <f t="shared" si="419"/>
        <v>0</v>
      </c>
      <c r="ED332" s="79">
        <v>1</v>
      </c>
      <c r="EE332" s="79">
        <v>1</v>
      </c>
      <c r="EF332" s="79">
        <f t="shared" si="420"/>
        <v>0</v>
      </c>
      <c r="EG332" s="79">
        <v>1</v>
      </c>
      <c r="EH332" s="79">
        <v>1</v>
      </c>
      <c r="EI332" s="79">
        <v>1</v>
      </c>
      <c r="EJ332" s="79">
        <v>1</v>
      </c>
      <c r="EK332" s="79">
        <v>1</v>
      </c>
      <c r="EL332" s="79">
        <v>1</v>
      </c>
      <c r="EM332" s="143">
        <f t="shared" si="421"/>
        <v>0</v>
      </c>
      <c r="EN332" s="143">
        <f t="shared" si="422"/>
        <v>0</v>
      </c>
      <c r="EO332" s="82">
        <f t="shared" si="423"/>
        <v>0</v>
      </c>
    </row>
    <row r="333" spans="1:145" x14ac:dyDescent="0.25">
      <c r="A333">
        <v>319</v>
      </c>
      <c r="B333" s="172" t="e">
        <f t="shared" si="394"/>
        <v>#N/A</v>
      </c>
      <c r="C333" s="121" t="e">
        <f t="shared" si="373"/>
        <v>#N/A</v>
      </c>
      <c r="D333" s="122" t="e">
        <f t="shared" si="374"/>
        <v>#N/A</v>
      </c>
      <c r="E333" s="122" t="e">
        <f t="shared" si="375"/>
        <v>#N/A</v>
      </c>
      <c r="F333" s="176" t="e">
        <f t="shared" si="376"/>
        <v>#N/A</v>
      </c>
      <c r="G333" s="121">
        <f t="shared" si="395"/>
        <v>208</v>
      </c>
      <c r="H333" s="176" t="e">
        <f t="shared" si="396"/>
        <v>#N/A</v>
      </c>
      <c r="I333" s="48">
        <v>1</v>
      </c>
      <c r="J333" s="39"/>
      <c r="K333" s="350">
        <v>1</v>
      </c>
      <c r="L333" s="34" t="e">
        <f t="shared" si="377"/>
        <v>#N/A</v>
      </c>
      <c r="M333" s="38" t="e">
        <f>(HLOOKUP(J333,'Construction Times'!$B$3:$W$34,L333+2,FALSE)*HLOOKUP("hq modifier",'Construction Times'!$W$3:$W$34,BS333+2,FALSE))*(1-$H$9)</f>
        <v>#N/A</v>
      </c>
      <c r="N333" s="443" t="e">
        <f t="shared" si="397"/>
        <v>#N/A</v>
      </c>
      <c r="O333" s="444"/>
      <c r="P333" s="447" t="e">
        <f t="shared" si="398"/>
        <v>#N/A</v>
      </c>
      <c r="Q333" s="448"/>
      <c r="R333" s="103">
        <f t="shared" si="424"/>
        <v>0</v>
      </c>
      <c r="S333" s="104">
        <f t="shared" si="424"/>
        <v>0</v>
      </c>
      <c r="T333" s="104">
        <f t="shared" si="425"/>
        <v>0</v>
      </c>
      <c r="U333" s="104">
        <f t="shared" si="425"/>
        <v>0</v>
      </c>
      <c r="V333" s="104">
        <f t="shared" si="425"/>
        <v>9.9999999999999995E-8</v>
      </c>
      <c r="W333" s="104">
        <f t="shared" si="425"/>
        <v>0</v>
      </c>
      <c r="X333" s="104">
        <f t="shared" si="455"/>
        <v>0</v>
      </c>
      <c r="Y333" s="104">
        <f t="shared" si="455"/>
        <v>9.9999999999999995E-8</v>
      </c>
      <c r="Z333" s="104">
        <f t="shared" si="455"/>
        <v>9.9999999999999995E-8</v>
      </c>
      <c r="AA333" s="105">
        <f t="shared" si="455"/>
        <v>9.9999999999999995E-8</v>
      </c>
      <c r="AB333" s="101" t="e">
        <f>$DT333*HLOOKUP($J333,'Construction Costs (timber)'!$B$1:$V$32,'Construction Planner'!$L333+2,FALSE)</f>
        <v>#N/A</v>
      </c>
      <c r="AC333" s="14" t="e">
        <f>$DT333*HLOOKUP($J333,'Construction Costs (clay)'!$B$1:$V$32,'Construction Planner'!$L333+2,FALSE)</f>
        <v>#N/A</v>
      </c>
      <c r="AD333" s="14" t="e">
        <f>$DT333*HLOOKUP($J333,'Construction Costs (iron)'!$B$1:$V$32,'Construction Planner'!$L333+2,FALSE)</f>
        <v>#N/A</v>
      </c>
      <c r="AE333" s="34" t="e">
        <f t="shared" si="434"/>
        <v>#N/A</v>
      </c>
      <c r="AF333" s="33" t="e">
        <f t="shared" si="378"/>
        <v>#N/A</v>
      </c>
      <c r="AG333" s="14" t="e">
        <f t="shared" si="379"/>
        <v>#N/A</v>
      </c>
      <c r="AH333" s="14" t="e">
        <f t="shared" si="380"/>
        <v>#N/A</v>
      </c>
      <c r="AI333" s="34" t="e">
        <f t="shared" si="435"/>
        <v>#N/A</v>
      </c>
      <c r="AJ333" s="49" t="e">
        <f t="shared" si="399"/>
        <v>#N/A</v>
      </c>
      <c r="AK333" s="49" t="e">
        <f t="shared" si="400"/>
        <v>#N/A</v>
      </c>
      <c r="AL333" s="49" t="e">
        <f t="shared" si="401"/>
        <v>#N/A</v>
      </c>
      <c r="AM333" s="25">
        <f t="shared" si="381"/>
        <v>30</v>
      </c>
      <c r="AN333" s="25">
        <f t="shared" si="382"/>
        <v>30</v>
      </c>
      <c r="AO333" s="25">
        <f t="shared" si="383"/>
        <v>30</v>
      </c>
      <c r="AP333" s="52" t="e">
        <f t="shared" si="402"/>
        <v>#N/A</v>
      </c>
      <c r="AQ333" s="53" t="e">
        <f t="shared" si="402"/>
        <v>#N/A</v>
      </c>
      <c r="AR333" s="54" t="e">
        <f t="shared" si="402"/>
        <v>#N/A</v>
      </c>
      <c r="AS333" s="316">
        <f t="shared" si="461"/>
        <v>0</v>
      </c>
      <c r="AT333" s="106">
        <f>_xlfn.IFNA($M333/VLOOKUP($BT333,'Unit information'!$A$2:$K$29,2,FALSE)*R333,0)*(1+$E$9)</f>
        <v>0</v>
      </c>
      <c r="AU333" s="107">
        <f>_xlfn.IFNA($M333/VLOOKUP($BT333,'Unit information'!$A$2:$K$29,3,FALSE)*S333,0)*(1+$E$9)</f>
        <v>0</v>
      </c>
      <c r="AV333" s="107">
        <f>_xlfn.IFNA($M333/VLOOKUP($BT333,'Unit information'!$A$2:$K$29,4,FALSE)*T333,0)*(1+$E$9)</f>
        <v>0</v>
      </c>
      <c r="AW333" s="107">
        <f>_xlfn.IFNA($M333/VLOOKUP($BT333,'Unit information'!$A$2:$K$29,5,FALSE)*U333,0)*(1+$E$9)</f>
        <v>0</v>
      </c>
      <c r="AX333" s="107">
        <f>_xlfn.IFNA($M333/VLOOKUP($BU333,'Unit information'!$A$2:$K$29,6,FALSE)*V333,0)*(1+$E$9)</f>
        <v>0</v>
      </c>
      <c r="AY333" s="107">
        <f>_xlfn.IFNA($M333/VLOOKUP($BU333,'Unit information'!$A$2:$K$29,7,FALSE)*W333,0)*(1+$E$9)</f>
        <v>0</v>
      </c>
      <c r="AZ333" s="107">
        <f>_xlfn.IFNA($M333/VLOOKUP($BU333,'Unit information'!$A$2:$K$29,8,FALSE)*X333,0)*(1+$E$9)</f>
        <v>0</v>
      </c>
      <c r="BA333" s="107">
        <f>_xlfn.IFNA($M333/VLOOKUP($BU333,'Unit information'!$A$2:$K$29,9,FALSE)*Y333,0)*(1+$E$9)</f>
        <v>0</v>
      </c>
      <c r="BB333" s="107">
        <f>_xlfn.IFNA($M333/VLOOKUP($BV333,'Unit information'!$A$2:$K$29,10,FALSE)*Z333,0)*(1+$E$9)</f>
        <v>0</v>
      </c>
      <c r="BC333" s="108">
        <f>_xlfn.IFNA($M333/VLOOKUP($BV333,'Unit information'!$A$2:$K$29,11,FALSE)*AA333,0)*(1+$E$9)</f>
        <v>0</v>
      </c>
      <c r="BD333" s="106">
        <f t="shared" si="384"/>
        <v>0</v>
      </c>
      <c r="BE333" s="107">
        <f t="shared" si="385"/>
        <v>0</v>
      </c>
      <c r="BF333" s="108">
        <f t="shared" si="386"/>
        <v>0</v>
      </c>
      <c r="BG333" s="25" t="e">
        <f t="shared" si="387"/>
        <v>#N/A</v>
      </c>
      <c r="BH333" s="25" t="e">
        <f t="shared" si="388"/>
        <v>#N/A</v>
      </c>
      <c r="BI333" s="25" t="e">
        <f t="shared" si="389"/>
        <v>#N/A</v>
      </c>
      <c r="BJ333" s="27" t="e">
        <f t="shared" si="390"/>
        <v>#N/A</v>
      </c>
      <c r="BK333" s="18" t="e">
        <f t="shared" si="391"/>
        <v>#N/A</v>
      </c>
      <c r="BL333" s="18" t="e">
        <f t="shared" si="392"/>
        <v>#N/A</v>
      </c>
      <c r="BM333" s="28" t="e">
        <f t="shared" si="437"/>
        <v>#N/A</v>
      </c>
      <c r="BN333" s="33">
        <f>HLOOKUP("maximum population",Miscelaneous!$C$1:$C$33,CH333+3,FALSE)</f>
        <v>240</v>
      </c>
      <c r="BO333" s="14">
        <f t="shared" si="403"/>
        <v>32</v>
      </c>
      <c r="BP333" s="14">
        <f t="shared" si="404"/>
        <v>0</v>
      </c>
      <c r="BQ333" s="14">
        <f t="shared" si="405"/>
        <v>208</v>
      </c>
      <c r="BR333" s="34" t="e">
        <f>HLOOKUP(J333,Villagers!$B$1:$V$33,L333+3,FALSE)-HLOOKUP(J333,Villagers!$B$1:$V$33,L333+2,FALSE)</f>
        <v>#N/A</v>
      </c>
      <c r="BS333" s="49">
        <f t="shared" si="406"/>
        <v>1</v>
      </c>
      <c r="BT333" s="50">
        <f t="shared" si="407"/>
        <v>0</v>
      </c>
      <c r="BU333" s="50">
        <f t="shared" si="408"/>
        <v>0</v>
      </c>
      <c r="BV333" s="50">
        <f t="shared" si="409"/>
        <v>0</v>
      </c>
      <c r="BW333" s="50">
        <f t="shared" si="458"/>
        <v>0</v>
      </c>
      <c r="BX333" s="50">
        <f t="shared" si="459"/>
        <v>0</v>
      </c>
      <c r="BY333" s="50">
        <f t="shared" si="459"/>
        <v>0</v>
      </c>
      <c r="BZ333" s="50">
        <f t="shared" si="440"/>
        <v>0</v>
      </c>
      <c r="CA333" s="50">
        <f t="shared" si="441"/>
        <v>0</v>
      </c>
      <c r="CB333" s="50">
        <f t="shared" si="442"/>
        <v>1</v>
      </c>
      <c r="CC333" s="50">
        <f t="shared" si="443"/>
        <v>0</v>
      </c>
      <c r="CD333" s="50">
        <f t="shared" si="444"/>
        <v>0</v>
      </c>
      <c r="CE333" s="50">
        <f t="shared" si="445"/>
        <v>1</v>
      </c>
      <c r="CF333" s="50">
        <f t="shared" si="446"/>
        <v>1</v>
      </c>
      <c r="CG333" s="50">
        <f t="shared" si="447"/>
        <v>1</v>
      </c>
      <c r="CH333" s="50">
        <f t="shared" si="448"/>
        <v>1</v>
      </c>
      <c r="CI333" s="50">
        <f t="shared" si="449"/>
        <v>1</v>
      </c>
      <c r="CJ333" s="50">
        <f t="shared" si="450"/>
        <v>1</v>
      </c>
      <c r="CK333" s="50">
        <f t="shared" si="450"/>
        <v>0</v>
      </c>
      <c r="CL333" s="50">
        <f t="shared" si="450"/>
        <v>0</v>
      </c>
      <c r="CM333" s="51">
        <f t="shared" si="460"/>
        <v>0</v>
      </c>
      <c r="CN333" s="33">
        <f>ROUND(IF(BS333=0,0,HLOOKUP(BS$14,Villagers!$B$1:$V$33,BS333+3,FALSE)),)</f>
        <v>5</v>
      </c>
      <c r="CO333" s="14">
        <f>ROUND(IF(BT333=0,0,HLOOKUP(BT$14,Villagers!$B$1:$V$33,BT333+3,FALSE)),)</f>
        <v>0</v>
      </c>
      <c r="CP333" s="14">
        <f>ROUND(IF(BU333=0,0,HLOOKUP(BU$14,Villagers!$B$1:$V$33,BU333+3,FALSE)),)</f>
        <v>0</v>
      </c>
      <c r="CQ333" s="14">
        <f>ROUND(IF(BV333=0,0,HLOOKUP(BV$14,Villagers!$B$1:$V$33,BV333+3,FALSE)),)</f>
        <v>0</v>
      </c>
      <c r="CR333" s="14">
        <f>ROUND(IF(BW333=0,0,HLOOKUP(BW$14,Villagers!$B$1:$V$33,BW333+3,FALSE)),)</f>
        <v>0</v>
      </c>
      <c r="CS333" s="14">
        <f>ROUND(IF(BX333=0,0,HLOOKUP(BX$14,Villagers!$B$1:$V$33,BX333+3,FALSE)),)</f>
        <v>0</v>
      </c>
      <c r="CT333" s="14">
        <f>ROUND(IF(BY333=0,0,HLOOKUP(BY$14,Villagers!$B$1:$V$33,BY333+3,FALSE)),)</f>
        <v>0</v>
      </c>
      <c r="CU333" s="14">
        <f>ROUND(IF(BZ333=0,0,HLOOKUP(BZ$14,Villagers!$B$1:$V$33,BZ333+3,FALSE)),)</f>
        <v>0</v>
      </c>
      <c r="CV333" s="14">
        <f>ROUND(IF(CA333=0,0,HLOOKUP(CA$14,Villagers!$B$1:$V$33,CA333+3,FALSE)),)</f>
        <v>0</v>
      </c>
      <c r="CW333" s="14">
        <f>ROUND(IF(CB333=0,0,HLOOKUP(CB$14,Villagers!$B$1:$V$33,CB333+3,FALSE)),)</f>
        <v>0</v>
      </c>
      <c r="CX333" s="14">
        <f>ROUND(IF(CC333=0,0,HLOOKUP(CC$14,Villagers!$B$1:$V$33,CC333+3,FALSE)),)</f>
        <v>0</v>
      </c>
      <c r="CY333" s="14">
        <f>ROUND(IF(CD333=0,0,HLOOKUP(CD$14,Villagers!$B$1:$V$33,CD333+3,FALSE)),)</f>
        <v>0</v>
      </c>
      <c r="CZ333" s="14">
        <f>ROUND(IF(CE333=0,0,HLOOKUP(CE$14,Villagers!$B$1:$V$33,CE333+3,FALSE)),)</f>
        <v>5</v>
      </c>
      <c r="DA333" s="14">
        <f>ROUND(IF(CF333=0,0,HLOOKUP(CF$14,Villagers!$B$1:$V$33,CF333+3,FALSE)),)</f>
        <v>10</v>
      </c>
      <c r="DB333" s="14">
        <f>ROUND(IF(CG333=0,0,HLOOKUP(CG$14,Villagers!$B$1:$V$33,CG333+3,FALSE)),)</f>
        <v>10</v>
      </c>
      <c r="DC333" s="14">
        <f>ROUND(IF(CH333=0,0,HLOOKUP(CH$14,Villagers!$B$1:$V$33,CH333+3,FALSE)),)</f>
        <v>0</v>
      </c>
      <c r="DD333" s="14">
        <f>ROUND(IF(CI333=0,0,HLOOKUP(CI$14,Villagers!$B$1:$V$33,CI333+3,FALSE)),)</f>
        <v>0</v>
      </c>
      <c r="DE333" s="14">
        <f>ROUND(IF(CJ333=0,0,HLOOKUP(CJ$14,Villagers!$B$1:$V$33,CJ333+3,FALSE)),)</f>
        <v>2</v>
      </c>
      <c r="DF333" s="370">
        <f>ROUND(IF(CK333=0,0,HLOOKUP(CK$14,Villagers!$B$1:$V$33,CK333+3,FALSE)),)</f>
        <v>0</v>
      </c>
      <c r="DG333" s="370">
        <f>ROUND(IF(CL333=0,0,HLOOKUP(CL$14,Villagers!$B$1:$V$33,CL333+3,FALSE)),)</f>
        <v>0</v>
      </c>
      <c r="DH333" s="34">
        <f>ROUND(IF(CM333=0,0,HLOOKUP(CM$14,Villagers!$B$1:$V$33,CM333+3,FALSE)),)</f>
        <v>0</v>
      </c>
      <c r="DI333" s="109">
        <f t="shared" si="426"/>
        <v>0</v>
      </c>
      <c r="DJ333" s="50">
        <f t="shared" si="427"/>
        <v>0</v>
      </c>
      <c r="DK333" s="50">
        <f t="shared" si="428"/>
        <v>0</v>
      </c>
      <c r="DL333" s="50">
        <f t="shared" si="429"/>
        <v>0</v>
      </c>
      <c r="DM333" s="50">
        <f t="shared" si="430"/>
        <v>0</v>
      </c>
      <c r="DN333" s="50">
        <f t="shared" si="431"/>
        <v>0</v>
      </c>
      <c r="DO333" s="50">
        <f t="shared" si="432"/>
        <v>0</v>
      </c>
      <c r="DP333" s="50">
        <f t="shared" si="433"/>
        <v>0</v>
      </c>
      <c r="DQ333" s="50">
        <f t="shared" si="411"/>
        <v>0</v>
      </c>
      <c r="DR333" s="50">
        <f t="shared" si="412"/>
        <v>0</v>
      </c>
      <c r="DS333" s="96">
        <f>Miscelaneous!$D$4*Miscelaneous!$D$2^($CI333-1)</f>
        <v>1000</v>
      </c>
      <c r="DT333" s="333">
        <f t="shared" si="393"/>
        <v>1</v>
      </c>
      <c r="DU333" s="81">
        <v>1</v>
      </c>
      <c r="DV333" s="79">
        <f t="shared" si="413"/>
        <v>0</v>
      </c>
      <c r="DW333" s="79">
        <f t="shared" si="414"/>
        <v>0</v>
      </c>
      <c r="DX333" s="79">
        <f t="shared" si="415"/>
        <v>0</v>
      </c>
      <c r="DY333" s="79">
        <v>1</v>
      </c>
      <c r="DZ333" s="79">
        <f t="shared" si="416"/>
        <v>0</v>
      </c>
      <c r="EA333" s="79">
        <f t="shared" si="417"/>
        <v>0</v>
      </c>
      <c r="EB333" s="79">
        <f t="shared" si="418"/>
        <v>0</v>
      </c>
      <c r="EC333" s="79">
        <f t="shared" si="419"/>
        <v>0</v>
      </c>
      <c r="ED333" s="79">
        <v>1</v>
      </c>
      <c r="EE333" s="79">
        <v>1</v>
      </c>
      <c r="EF333" s="79">
        <f t="shared" si="420"/>
        <v>0</v>
      </c>
      <c r="EG333" s="79">
        <v>1</v>
      </c>
      <c r="EH333" s="79">
        <v>1</v>
      </c>
      <c r="EI333" s="79">
        <v>1</v>
      </c>
      <c r="EJ333" s="79">
        <v>1</v>
      </c>
      <c r="EK333" s="79">
        <v>1</v>
      </c>
      <c r="EL333" s="79">
        <v>1</v>
      </c>
      <c r="EM333" s="143">
        <f t="shared" si="421"/>
        <v>0</v>
      </c>
      <c r="EN333" s="143">
        <f t="shared" si="422"/>
        <v>0</v>
      </c>
      <c r="EO333" s="82">
        <f t="shared" si="423"/>
        <v>0</v>
      </c>
    </row>
    <row r="334" spans="1:145" x14ac:dyDescent="0.25">
      <c r="A334">
        <v>320</v>
      </c>
      <c r="B334" s="172" t="e">
        <f t="shared" si="394"/>
        <v>#N/A</v>
      </c>
      <c r="C334" s="121" t="e">
        <f t="shared" si="373"/>
        <v>#N/A</v>
      </c>
      <c r="D334" s="122" t="e">
        <f t="shared" si="374"/>
        <v>#N/A</v>
      </c>
      <c r="E334" s="122" t="e">
        <f t="shared" si="375"/>
        <v>#N/A</v>
      </c>
      <c r="F334" s="176" t="e">
        <f t="shared" si="376"/>
        <v>#N/A</v>
      </c>
      <c r="G334" s="121">
        <f t="shared" si="395"/>
        <v>208</v>
      </c>
      <c r="H334" s="176" t="e">
        <f t="shared" si="396"/>
        <v>#N/A</v>
      </c>
      <c r="I334" s="48">
        <v>1</v>
      </c>
      <c r="J334" s="39"/>
      <c r="K334" s="350">
        <v>1</v>
      </c>
      <c r="L334" s="34" t="e">
        <f t="shared" si="377"/>
        <v>#N/A</v>
      </c>
      <c r="M334" s="38" t="e">
        <f>(HLOOKUP(J334,'Construction Times'!$B$3:$W$34,L334+2,FALSE)*HLOOKUP("hq modifier",'Construction Times'!$W$3:$W$34,BS334+2,FALSE))*(1-$H$9)</f>
        <v>#N/A</v>
      </c>
      <c r="N334" s="443" t="e">
        <f t="shared" si="397"/>
        <v>#N/A</v>
      </c>
      <c r="O334" s="444"/>
      <c r="P334" s="447" t="e">
        <f t="shared" si="398"/>
        <v>#N/A</v>
      </c>
      <c r="Q334" s="448"/>
      <c r="R334" s="103">
        <f t="shared" si="424"/>
        <v>0</v>
      </c>
      <c r="S334" s="104">
        <f t="shared" si="424"/>
        <v>0</v>
      </c>
      <c r="T334" s="104">
        <f t="shared" si="425"/>
        <v>0</v>
      </c>
      <c r="U334" s="104">
        <f t="shared" si="425"/>
        <v>0</v>
      </c>
      <c r="V334" s="104">
        <f t="shared" si="425"/>
        <v>9.9999999999999995E-8</v>
      </c>
      <c r="W334" s="104">
        <f t="shared" si="425"/>
        <v>0</v>
      </c>
      <c r="X334" s="104">
        <f t="shared" si="455"/>
        <v>0</v>
      </c>
      <c r="Y334" s="104">
        <f t="shared" si="455"/>
        <v>9.9999999999999995E-8</v>
      </c>
      <c r="Z334" s="104">
        <f t="shared" si="455"/>
        <v>9.9999999999999995E-8</v>
      </c>
      <c r="AA334" s="105">
        <f t="shared" si="455"/>
        <v>9.9999999999999995E-8</v>
      </c>
      <c r="AB334" s="101" t="e">
        <f>$DT334*HLOOKUP($J334,'Construction Costs (timber)'!$B$1:$V$32,'Construction Planner'!$L334+2,FALSE)</f>
        <v>#N/A</v>
      </c>
      <c r="AC334" s="14" t="e">
        <f>$DT334*HLOOKUP($J334,'Construction Costs (clay)'!$B$1:$V$32,'Construction Planner'!$L334+2,FALSE)</f>
        <v>#N/A</v>
      </c>
      <c r="AD334" s="14" t="e">
        <f>$DT334*HLOOKUP($J334,'Construction Costs (iron)'!$B$1:$V$32,'Construction Planner'!$L334+2,FALSE)</f>
        <v>#N/A</v>
      </c>
      <c r="AE334" s="34" t="e">
        <f t="shared" si="434"/>
        <v>#N/A</v>
      </c>
      <c r="AF334" s="33" t="e">
        <f t="shared" si="378"/>
        <v>#N/A</v>
      </c>
      <c r="AG334" s="14" t="e">
        <f t="shared" si="379"/>
        <v>#N/A</v>
      </c>
      <c r="AH334" s="14" t="e">
        <f t="shared" si="380"/>
        <v>#N/A</v>
      </c>
      <c r="AI334" s="34" t="e">
        <f t="shared" si="435"/>
        <v>#N/A</v>
      </c>
      <c r="AJ334" s="49" t="e">
        <f t="shared" si="399"/>
        <v>#N/A</v>
      </c>
      <c r="AK334" s="49" t="e">
        <f t="shared" si="400"/>
        <v>#N/A</v>
      </c>
      <c r="AL334" s="49" t="e">
        <f t="shared" si="401"/>
        <v>#N/A</v>
      </c>
      <c r="AM334" s="25">
        <f t="shared" si="381"/>
        <v>30</v>
      </c>
      <c r="AN334" s="25">
        <f t="shared" si="382"/>
        <v>30</v>
      </c>
      <c r="AO334" s="25">
        <f t="shared" si="383"/>
        <v>30</v>
      </c>
      <c r="AP334" s="52" t="e">
        <f t="shared" si="402"/>
        <v>#N/A</v>
      </c>
      <c r="AQ334" s="53" t="e">
        <f t="shared" si="402"/>
        <v>#N/A</v>
      </c>
      <c r="AR334" s="54" t="e">
        <f t="shared" si="402"/>
        <v>#N/A</v>
      </c>
      <c r="AS334" s="316">
        <f t="shared" si="461"/>
        <v>0</v>
      </c>
      <c r="AT334" s="106">
        <f>_xlfn.IFNA($M334/VLOOKUP($BT334,'Unit information'!$A$2:$K$29,2,FALSE)*R334,0)*(1+$E$9)</f>
        <v>0</v>
      </c>
      <c r="AU334" s="107">
        <f>_xlfn.IFNA($M334/VLOOKUP($BT334,'Unit information'!$A$2:$K$29,3,FALSE)*S334,0)*(1+$E$9)</f>
        <v>0</v>
      </c>
      <c r="AV334" s="107">
        <f>_xlfn.IFNA($M334/VLOOKUP($BT334,'Unit information'!$A$2:$K$29,4,FALSE)*T334,0)*(1+$E$9)</f>
        <v>0</v>
      </c>
      <c r="AW334" s="107">
        <f>_xlfn.IFNA($M334/VLOOKUP($BT334,'Unit information'!$A$2:$K$29,5,FALSE)*U334,0)*(1+$E$9)</f>
        <v>0</v>
      </c>
      <c r="AX334" s="107">
        <f>_xlfn.IFNA($M334/VLOOKUP($BU334,'Unit information'!$A$2:$K$29,6,FALSE)*V334,0)*(1+$E$9)</f>
        <v>0</v>
      </c>
      <c r="AY334" s="107">
        <f>_xlfn.IFNA($M334/VLOOKUP($BU334,'Unit information'!$A$2:$K$29,7,FALSE)*W334,0)*(1+$E$9)</f>
        <v>0</v>
      </c>
      <c r="AZ334" s="107">
        <f>_xlfn.IFNA($M334/VLOOKUP($BU334,'Unit information'!$A$2:$K$29,8,FALSE)*X334,0)*(1+$E$9)</f>
        <v>0</v>
      </c>
      <c r="BA334" s="107">
        <f>_xlfn.IFNA($M334/VLOOKUP($BU334,'Unit information'!$A$2:$K$29,9,FALSE)*Y334,0)*(1+$E$9)</f>
        <v>0</v>
      </c>
      <c r="BB334" s="107">
        <f>_xlfn.IFNA($M334/VLOOKUP($BV334,'Unit information'!$A$2:$K$29,10,FALSE)*Z334,0)*(1+$E$9)</f>
        <v>0</v>
      </c>
      <c r="BC334" s="108">
        <f>_xlfn.IFNA($M334/VLOOKUP($BV334,'Unit information'!$A$2:$K$29,11,FALSE)*AA334,0)*(1+$E$9)</f>
        <v>0</v>
      </c>
      <c r="BD334" s="106">
        <f t="shared" si="384"/>
        <v>0</v>
      </c>
      <c r="BE334" s="107">
        <f t="shared" si="385"/>
        <v>0</v>
      </c>
      <c r="BF334" s="108">
        <f t="shared" si="386"/>
        <v>0</v>
      </c>
      <c r="BG334" s="25" t="e">
        <f t="shared" si="387"/>
        <v>#N/A</v>
      </c>
      <c r="BH334" s="25" t="e">
        <f t="shared" si="388"/>
        <v>#N/A</v>
      </c>
      <c r="BI334" s="25" t="e">
        <f t="shared" si="389"/>
        <v>#N/A</v>
      </c>
      <c r="BJ334" s="27" t="e">
        <f t="shared" si="390"/>
        <v>#N/A</v>
      </c>
      <c r="BK334" s="18" t="e">
        <f t="shared" si="391"/>
        <v>#N/A</v>
      </c>
      <c r="BL334" s="18" t="e">
        <f t="shared" si="392"/>
        <v>#N/A</v>
      </c>
      <c r="BM334" s="28" t="e">
        <f t="shared" si="437"/>
        <v>#N/A</v>
      </c>
      <c r="BN334" s="33">
        <f>HLOOKUP("maximum population",Miscelaneous!$C$1:$C$33,CH334+3,FALSE)</f>
        <v>240</v>
      </c>
      <c r="BO334" s="14">
        <f t="shared" si="403"/>
        <v>32</v>
      </c>
      <c r="BP334" s="14">
        <f t="shared" si="404"/>
        <v>0</v>
      </c>
      <c r="BQ334" s="14">
        <f t="shared" si="405"/>
        <v>208</v>
      </c>
      <c r="BR334" s="34" t="e">
        <f>HLOOKUP(J334,Villagers!$B$1:$V$33,L334+3,FALSE)-HLOOKUP(J334,Villagers!$B$1:$V$33,L334+2,FALSE)</f>
        <v>#N/A</v>
      </c>
      <c r="BS334" s="49">
        <f t="shared" si="406"/>
        <v>1</v>
      </c>
      <c r="BT334" s="50">
        <f t="shared" si="407"/>
        <v>0</v>
      </c>
      <c r="BU334" s="50">
        <f t="shared" si="408"/>
        <v>0</v>
      </c>
      <c r="BV334" s="50">
        <f t="shared" si="409"/>
        <v>0</v>
      </c>
      <c r="BW334" s="50">
        <f t="shared" si="458"/>
        <v>0</v>
      </c>
      <c r="BX334" s="50">
        <f t="shared" si="459"/>
        <v>0</v>
      </c>
      <c r="BY334" s="50">
        <f t="shared" si="459"/>
        <v>0</v>
      </c>
      <c r="BZ334" s="50">
        <f t="shared" si="440"/>
        <v>0</v>
      </c>
      <c r="CA334" s="50">
        <f t="shared" si="441"/>
        <v>0</v>
      </c>
      <c r="CB334" s="50">
        <f t="shared" si="442"/>
        <v>1</v>
      </c>
      <c r="CC334" s="50">
        <f t="shared" si="443"/>
        <v>0</v>
      </c>
      <c r="CD334" s="50">
        <f t="shared" si="444"/>
        <v>0</v>
      </c>
      <c r="CE334" s="50">
        <f t="shared" si="445"/>
        <v>1</v>
      </c>
      <c r="CF334" s="50">
        <f t="shared" si="446"/>
        <v>1</v>
      </c>
      <c r="CG334" s="50">
        <f t="shared" si="447"/>
        <v>1</v>
      </c>
      <c r="CH334" s="50">
        <f t="shared" si="448"/>
        <v>1</v>
      </c>
      <c r="CI334" s="50">
        <f t="shared" si="449"/>
        <v>1</v>
      </c>
      <c r="CJ334" s="50">
        <f t="shared" si="450"/>
        <v>1</v>
      </c>
      <c r="CK334" s="50">
        <f t="shared" si="450"/>
        <v>0</v>
      </c>
      <c r="CL334" s="50">
        <f t="shared" si="450"/>
        <v>0</v>
      </c>
      <c r="CM334" s="51">
        <f t="shared" si="460"/>
        <v>0</v>
      </c>
      <c r="CN334" s="33">
        <f>ROUND(IF(BS334=0,0,HLOOKUP(BS$14,Villagers!$B$1:$V$33,BS334+3,FALSE)),)</f>
        <v>5</v>
      </c>
      <c r="CO334" s="14">
        <f>ROUND(IF(BT334=0,0,HLOOKUP(BT$14,Villagers!$B$1:$V$33,BT334+3,FALSE)),)</f>
        <v>0</v>
      </c>
      <c r="CP334" s="14">
        <f>ROUND(IF(BU334=0,0,HLOOKUP(BU$14,Villagers!$B$1:$V$33,BU334+3,FALSE)),)</f>
        <v>0</v>
      </c>
      <c r="CQ334" s="14">
        <f>ROUND(IF(BV334=0,0,HLOOKUP(BV$14,Villagers!$B$1:$V$33,BV334+3,FALSE)),)</f>
        <v>0</v>
      </c>
      <c r="CR334" s="14">
        <f>ROUND(IF(BW334=0,0,HLOOKUP(BW$14,Villagers!$B$1:$V$33,BW334+3,FALSE)),)</f>
        <v>0</v>
      </c>
      <c r="CS334" s="14">
        <f>ROUND(IF(BX334=0,0,HLOOKUP(BX$14,Villagers!$B$1:$V$33,BX334+3,FALSE)),)</f>
        <v>0</v>
      </c>
      <c r="CT334" s="14">
        <f>ROUND(IF(BY334=0,0,HLOOKUP(BY$14,Villagers!$B$1:$V$33,BY334+3,FALSE)),)</f>
        <v>0</v>
      </c>
      <c r="CU334" s="14">
        <f>ROUND(IF(BZ334=0,0,HLOOKUP(BZ$14,Villagers!$B$1:$V$33,BZ334+3,FALSE)),)</f>
        <v>0</v>
      </c>
      <c r="CV334" s="14">
        <f>ROUND(IF(CA334=0,0,HLOOKUP(CA$14,Villagers!$B$1:$V$33,CA334+3,FALSE)),)</f>
        <v>0</v>
      </c>
      <c r="CW334" s="14">
        <f>ROUND(IF(CB334=0,0,HLOOKUP(CB$14,Villagers!$B$1:$V$33,CB334+3,FALSE)),)</f>
        <v>0</v>
      </c>
      <c r="CX334" s="14">
        <f>ROUND(IF(CC334=0,0,HLOOKUP(CC$14,Villagers!$B$1:$V$33,CC334+3,FALSE)),)</f>
        <v>0</v>
      </c>
      <c r="CY334" s="14">
        <f>ROUND(IF(CD334=0,0,HLOOKUP(CD$14,Villagers!$B$1:$V$33,CD334+3,FALSE)),)</f>
        <v>0</v>
      </c>
      <c r="CZ334" s="14">
        <f>ROUND(IF(CE334=0,0,HLOOKUP(CE$14,Villagers!$B$1:$V$33,CE334+3,FALSE)),)</f>
        <v>5</v>
      </c>
      <c r="DA334" s="14">
        <f>ROUND(IF(CF334=0,0,HLOOKUP(CF$14,Villagers!$B$1:$V$33,CF334+3,FALSE)),)</f>
        <v>10</v>
      </c>
      <c r="DB334" s="14">
        <f>ROUND(IF(CG334=0,0,HLOOKUP(CG$14,Villagers!$B$1:$V$33,CG334+3,FALSE)),)</f>
        <v>10</v>
      </c>
      <c r="DC334" s="14">
        <f>ROUND(IF(CH334=0,0,HLOOKUP(CH$14,Villagers!$B$1:$V$33,CH334+3,FALSE)),)</f>
        <v>0</v>
      </c>
      <c r="DD334" s="14">
        <f>ROUND(IF(CI334=0,0,HLOOKUP(CI$14,Villagers!$B$1:$V$33,CI334+3,FALSE)),)</f>
        <v>0</v>
      </c>
      <c r="DE334" s="14">
        <f>ROUND(IF(CJ334=0,0,HLOOKUP(CJ$14,Villagers!$B$1:$V$33,CJ334+3,FALSE)),)</f>
        <v>2</v>
      </c>
      <c r="DF334" s="370">
        <f>ROUND(IF(CK334=0,0,HLOOKUP(CK$14,Villagers!$B$1:$V$33,CK334+3,FALSE)),)</f>
        <v>0</v>
      </c>
      <c r="DG334" s="370">
        <f>ROUND(IF(CL334=0,0,HLOOKUP(CL$14,Villagers!$B$1:$V$33,CL334+3,FALSE)),)</f>
        <v>0</v>
      </c>
      <c r="DH334" s="34">
        <f>ROUND(IF(CM334=0,0,HLOOKUP(CM$14,Villagers!$B$1:$V$33,CM334+3,FALSE)),)</f>
        <v>0</v>
      </c>
      <c r="DI334" s="109">
        <f t="shared" si="426"/>
        <v>0</v>
      </c>
      <c r="DJ334" s="50">
        <f t="shared" si="427"/>
        <v>0</v>
      </c>
      <c r="DK334" s="50">
        <f t="shared" si="428"/>
        <v>0</v>
      </c>
      <c r="DL334" s="50">
        <f t="shared" si="429"/>
        <v>0</v>
      </c>
      <c r="DM334" s="50">
        <f t="shared" si="430"/>
        <v>0</v>
      </c>
      <c r="DN334" s="50">
        <f t="shared" si="431"/>
        <v>0</v>
      </c>
      <c r="DO334" s="50">
        <f t="shared" si="432"/>
        <v>0</v>
      </c>
      <c r="DP334" s="50">
        <f t="shared" si="433"/>
        <v>0</v>
      </c>
      <c r="DQ334" s="50">
        <f t="shared" si="411"/>
        <v>0</v>
      </c>
      <c r="DR334" s="50">
        <f t="shared" si="412"/>
        <v>0</v>
      </c>
      <c r="DS334" s="96">
        <f>Miscelaneous!$D$4*Miscelaneous!$D$2^($CI334-1)</f>
        <v>1000</v>
      </c>
      <c r="DT334" s="333">
        <f t="shared" si="393"/>
        <v>1</v>
      </c>
      <c r="DU334" s="81">
        <v>1</v>
      </c>
      <c r="DV334" s="79">
        <f t="shared" si="413"/>
        <v>0</v>
      </c>
      <c r="DW334" s="79">
        <f t="shared" si="414"/>
        <v>0</v>
      </c>
      <c r="DX334" s="79">
        <f t="shared" si="415"/>
        <v>0</v>
      </c>
      <c r="DY334" s="79">
        <v>1</v>
      </c>
      <c r="DZ334" s="79">
        <f t="shared" si="416"/>
        <v>0</v>
      </c>
      <c r="EA334" s="79">
        <f t="shared" si="417"/>
        <v>0</v>
      </c>
      <c r="EB334" s="79">
        <f t="shared" si="418"/>
        <v>0</v>
      </c>
      <c r="EC334" s="79">
        <f t="shared" si="419"/>
        <v>0</v>
      </c>
      <c r="ED334" s="79">
        <v>1</v>
      </c>
      <c r="EE334" s="79">
        <v>1</v>
      </c>
      <c r="EF334" s="79">
        <f t="shared" si="420"/>
        <v>0</v>
      </c>
      <c r="EG334" s="79">
        <v>1</v>
      </c>
      <c r="EH334" s="79">
        <v>1</v>
      </c>
      <c r="EI334" s="79">
        <v>1</v>
      </c>
      <c r="EJ334" s="79">
        <v>1</v>
      </c>
      <c r="EK334" s="79">
        <v>1</v>
      </c>
      <c r="EL334" s="79">
        <v>1</v>
      </c>
      <c r="EM334" s="143">
        <f t="shared" si="421"/>
        <v>0</v>
      </c>
      <c r="EN334" s="143">
        <f t="shared" si="422"/>
        <v>0</v>
      </c>
      <c r="EO334" s="82">
        <f t="shared" si="423"/>
        <v>0</v>
      </c>
    </row>
    <row r="335" spans="1:145" x14ac:dyDescent="0.25">
      <c r="A335">
        <v>321</v>
      </c>
      <c r="B335" s="172" t="e">
        <f t="shared" si="394"/>
        <v>#N/A</v>
      </c>
      <c r="C335" s="121" t="e">
        <f t="shared" ref="C335:C398" si="462">AJ335-SUM(AB335:AB339)</f>
        <v>#N/A</v>
      </c>
      <c r="D335" s="122" t="e">
        <f t="shared" ref="D335:D398" si="463">AK335-SUM(AC335:AC339)</f>
        <v>#N/A</v>
      </c>
      <c r="E335" s="122" t="e">
        <f t="shared" ref="E335:E398" si="464">AL335-SUM(AD335:AD339)</f>
        <v>#N/A</v>
      </c>
      <c r="F335" s="176" t="e">
        <f t="shared" ref="F335:F398" si="465">IF(AND(MAX(C335:E335)&gt;0,DS335-MAX(C335:E335)&lt;DS335),DS335-MAX(C335:E335),DS335)</f>
        <v>#N/A</v>
      </c>
      <c r="G335" s="121">
        <f t="shared" si="395"/>
        <v>208</v>
      </c>
      <c r="H335" s="176" t="e">
        <f t="shared" si="396"/>
        <v>#N/A</v>
      </c>
      <c r="I335" s="48">
        <v>1</v>
      </c>
      <c r="J335" s="39"/>
      <c r="K335" s="350">
        <v>1</v>
      </c>
      <c r="L335" s="34" t="e">
        <f t="shared" ref="L335:L398" si="466">HLOOKUP(J335,$BS$14:$CM$508,A336,FALSE)+K335</f>
        <v>#N/A</v>
      </c>
      <c r="M335" s="38" t="e">
        <f>(HLOOKUP(J335,'Construction Times'!$B$3:$W$34,L335+2,FALSE)*HLOOKUP("hq modifier",'Construction Times'!$W$3:$W$34,BS335+2,FALSE))*(1-$H$9)</f>
        <v>#N/A</v>
      </c>
      <c r="N335" s="443" t="e">
        <f t="shared" si="397"/>
        <v>#N/A</v>
      </c>
      <c r="O335" s="444"/>
      <c r="P335" s="447" t="e">
        <f t="shared" si="398"/>
        <v>#N/A</v>
      </c>
      <c r="Q335" s="448"/>
      <c r="R335" s="103">
        <f t="shared" si="424"/>
        <v>0</v>
      </c>
      <c r="S335" s="104">
        <f t="shared" si="424"/>
        <v>0</v>
      </c>
      <c r="T335" s="104">
        <f t="shared" si="425"/>
        <v>0</v>
      </c>
      <c r="U335" s="104">
        <f t="shared" si="425"/>
        <v>0</v>
      </c>
      <c r="V335" s="104">
        <f t="shared" si="425"/>
        <v>9.9999999999999995E-8</v>
      </c>
      <c r="W335" s="104">
        <f t="shared" si="425"/>
        <v>0</v>
      </c>
      <c r="X335" s="104">
        <f t="shared" si="455"/>
        <v>0</v>
      </c>
      <c r="Y335" s="104">
        <f t="shared" si="455"/>
        <v>9.9999999999999995E-8</v>
      </c>
      <c r="Z335" s="104">
        <f t="shared" si="455"/>
        <v>9.9999999999999995E-8</v>
      </c>
      <c r="AA335" s="105">
        <f t="shared" si="455"/>
        <v>9.9999999999999995E-8</v>
      </c>
      <c r="AB335" s="101" t="e">
        <f>$DT335*HLOOKUP($J335,'Construction Costs (timber)'!$B$1:$V$32,'Construction Planner'!$L335+2,FALSE)</f>
        <v>#N/A</v>
      </c>
      <c r="AC335" s="14" t="e">
        <f>$DT335*HLOOKUP($J335,'Construction Costs (clay)'!$B$1:$V$32,'Construction Planner'!$L335+2,FALSE)</f>
        <v>#N/A</v>
      </c>
      <c r="AD335" s="14" t="e">
        <f>$DT335*HLOOKUP($J335,'Construction Costs (iron)'!$B$1:$V$32,'Construction Planner'!$L335+2,FALSE)</f>
        <v>#N/A</v>
      </c>
      <c r="AE335" s="34" t="e">
        <f t="shared" si="434"/>
        <v>#N/A</v>
      </c>
      <c r="AF335" s="33" t="e">
        <f t="shared" ref="AF335:AF398" si="467">AB335*($AH$3/$M335)</f>
        <v>#N/A</v>
      </c>
      <c r="AG335" s="14" t="e">
        <f t="shared" ref="AG335:AG398" si="468">AC335*($AH$3/$M335)</f>
        <v>#N/A</v>
      </c>
      <c r="AH335" s="14" t="e">
        <f t="shared" ref="AH335:AH398" si="469">AD335*($AH$3/$M335)</f>
        <v>#N/A</v>
      </c>
      <c r="AI335" s="34" t="e">
        <f t="shared" si="435"/>
        <v>#N/A</v>
      </c>
      <c r="AJ335" s="49" t="e">
        <f t="shared" si="399"/>
        <v>#N/A</v>
      </c>
      <c r="AK335" s="49" t="e">
        <f t="shared" si="400"/>
        <v>#N/A</v>
      </c>
      <c r="AL335" s="49" t="e">
        <f t="shared" si="401"/>
        <v>#N/A</v>
      </c>
      <c r="AM335" s="25">
        <f t="shared" ref="AM335:AM398" si="470">IF(CE335 = 0,$E$3*5,$E$3*30*1.163118^(CE335-1))*(1+$B$10)</f>
        <v>30</v>
      </c>
      <c r="AN335" s="25">
        <f t="shared" ref="AN335:AN398" si="471">IF(CF335 = 0,$E$3*5,$E$3*30*1.163118^(CF335-1))*(1+$B$10)</f>
        <v>30</v>
      </c>
      <c r="AO335" s="25">
        <f t="shared" ref="AO335:AO398" si="472">IF(CG335 = 0,$E$3*5,$E$3*30*1.163118^(CG335-1))*(1+$B$10)</f>
        <v>30</v>
      </c>
      <c r="AP335" s="52" t="e">
        <f t="shared" si="402"/>
        <v>#N/A</v>
      </c>
      <c r="AQ335" s="53" t="e">
        <f t="shared" si="402"/>
        <v>#N/A</v>
      </c>
      <c r="AR335" s="54" t="e">
        <f t="shared" si="402"/>
        <v>#N/A</v>
      </c>
      <c r="AS335" s="316">
        <f t="shared" si="461"/>
        <v>0</v>
      </c>
      <c r="AT335" s="106">
        <f>_xlfn.IFNA($M335/VLOOKUP($BT335,'Unit information'!$A$2:$K$29,2,FALSE)*R335,0)*(1+$E$9)</f>
        <v>0</v>
      </c>
      <c r="AU335" s="107">
        <f>_xlfn.IFNA($M335/VLOOKUP($BT335,'Unit information'!$A$2:$K$29,3,FALSE)*S335,0)*(1+$E$9)</f>
        <v>0</v>
      </c>
      <c r="AV335" s="107">
        <f>_xlfn.IFNA($M335/VLOOKUP($BT335,'Unit information'!$A$2:$K$29,4,FALSE)*T335,0)*(1+$E$9)</f>
        <v>0</v>
      </c>
      <c r="AW335" s="107">
        <f>_xlfn.IFNA($M335/VLOOKUP($BT335,'Unit information'!$A$2:$K$29,5,FALSE)*U335,0)*(1+$E$9)</f>
        <v>0</v>
      </c>
      <c r="AX335" s="107">
        <f>_xlfn.IFNA($M335/VLOOKUP($BU335,'Unit information'!$A$2:$K$29,6,FALSE)*V335,0)*(1+$E$9)</f>
        <v>0</v>
      </c>
      <c r="AY335" s="107">
        <f>_xlfn.IFNA($M335/VLOOKUP($BU335,'Unit information'!$A$2:$K$29,7,FALSE)*W335,0)*(1+$E$9)</f>
        <v>0</v>
      </c>
      <c r="AZ335" s="107">
        <f>_xlfn.IFNA($M335/VLOOKUP($BU335,'Unit information'!$A$2:$K$29,8,FALSE)*X335,0)*(1+$E$9)</f>
        <v>0</v>
      </c>
      <c r="BA335" s="107">
        <f>_xlfn.IFNA($M335/VLOOKUP($BU335,'Unit information'!$A$2:$K$29,9,FALSE)*Y335,0)*(1+$E$9)</f>
        <v>0</v>
      </c>
      <c r="BB335" s="107">
        <f>_xlfn.IFNA($M335/VLOOKUP($BV335,'Unit information'!$A$2:$K$29,10,FALSE)*Z335,0)*(1+$E$9)</f>
        <v>0</v>
      </c>
      <c r="BC335" s="108">
        <f>_xlfn.IFNA($M335/VLOOKUP($BV335,'Unit information'!$A$2:$K$29,11,FALSE)*AA335,0)*(1+$E$9)</f>
        <v>0</v>
      </c>
      <c r="BD335" s="106">
        <f t="shared" ref="BD335:BD398" si="473">$AT335*50+$AU335*30+$AV335*60+$AX335*50+$AY335*125+$BA335*200+$BB335*300+$BC335*320</f>
        <v>0</v>
      </c>
      <c r="BE335" s="107">
        <f t="shared" ref="BE335:BE398" si="474">$AT335*30+$AU335*30+$AV335*30+$AX335*50+$AY335*100+$BA335*150+$BB335*200+$BC335*400</f>
        <v>0</v>
      </c>
      <c r="BF335" s="108">
        <f t="shared" ref="BF335:BF398" si="475">$AT335*10+$AU335*70+$AV335*40+$AX335*20+$AY335*250+$BA335*600+$BB335*200+$BC335*100</f>
        <v>0</v>
      </c>
      <c r="BG335" s="25" t="e">
        <f t="shared" ref="BG335:BG398" si="476">AM335+AP335</f>
        <v>#N/A</v>
      </c>
      <c r="BH335" s="25" t="e">
        <f t="shared" ref="BH335:BH398" si="477">AN335+AQ335</f>
        <v>#N/A</v>
      </c>
      <c r="BI335" s="25" t="e">
        <f t="shared" ref="BI335:BI398" si="478">AO335+AR335</f>
        <v>#N/A</v>
      </c>
      <c r="BJ335" s="27" t="e">
        <f t="shared" ref="BJ335:BJ398" si="479">IF(AJ335&gt;AB335,0,(AB335-AJ335)/BG335*$AK$3)</f>
        <v>#N/A</v>
      </c>
      <c r="BK335" s="18" t="e">
        <f t="shared" ref="BK335:BK398" si="480">IF(AK335&gt;AC335,0,(AC335-AK335)/BH335*$AK$3)</f>
        <v>#N/A</v>
      </c>
      <c r="BL335" s="18" t="e">
        <f t="shared" ref="BL335:BL398" si="481">IF(AL335&gt;AD335,0,(AD335-AL335)/BI335*$AK$3)</f>
        <v>#N/A</v>
      </c>
      <c r="BM335" s="28" t="e">
        <f t="shared" si="437"/>
        <v>#N/A</v>
      </c>
      <c r="BN335" s="33">
        <f>HLOOKUP("maximum population",Miscelaneous!$C$1:$C$33,CH335+3,FALSE)</f>
        <v>240</v>
      </c>
      <c r="BO335" s="14">
        <f t="shared" si="403"/>
        <v>32</v>
      </c>
      <c r="BP335" s="14">
        <f t="shared" si="404"/>
        <v>0</v>
      </c>
      <c r="BQ335" s="14">
        <f t="shared" si="405"/>
        <v>208</v>
      </c>
      <c r="BR335" s="34" t="e">
        <f>HLOOKUP(J335,Villagers!$B$1:$V$33,L335+3,FALSE)-HLOOKUP(J335,Villagers!$B$1:$V$33,L335+2,FALSE)</f>
        <v>#N/A</v>
      </c>
      <c r="BS335" s="49">
        <f t="shared" si="406"/>
        <v>1</v>
      </c>
      <c r="BT335" s="50">
        <f t="shared" si="407"/>
        <v>0</v>
      </c>
      <c r="BU335" s="50">
        <f t="shared" si="408"/>
        <v>0</v>
      </c>
      <c r="BV335" s="50">
        <f t="shared" si="409"/>
        <v>0</v>
      </c>
      <c r="BW335" s="50">
        <f t="shared" si="458"/>
        <v>0</v>
      </c>
      <c r="BX335" s="50">
        <f t="shared" si="459"/>
        <v>0</v>
      </c>
      <c r="BY335" s="50">
        <f t="shared" si="459"/>
        <v>0</v>
      </c>
      <c r="BZ335" s="50">
        <f t="shared" si="440"/>
        <v>0</v>
      </c>
      <c r="CA335" s="50">
        <f t="shared" si="441"/>
        <v>0</v>
      </c>
      <c r="CB335" s="50">
        <f t="shared" si="442"/>
        <v>1</v>
      </c>
      <c r="CC335" s="50">
        <f t="shared" si="443"/>
        <v>0</v>
      </c>
      <c r="CD335" s="50">
        <f t="shared" si="444"/>
        <v>0</v>
      </c>
      <c r="CE335" s="50">
        <f t="shared" si="445"/>
        <v>1</v>
      </c>
      <c r="CF335" s="50">
        <f t="shared" si="446"/>
        <v>1</v>
      </c>
      <c r="CG335" s="50">
        <f t="shared" si="447"/>
        <v>1</v>
      </c>
      <c r="CH335" s="50">
        <f t="shared" si="448"/>
        <v>1</v>
      </c>
      <c r="CI335" s="50">
        <f t="shared" si="449"/>
        <v>1</v>
      </c>
      <c r="CJ335" s="50">
        <f t="shared" si="450"/>
        <v>1</v>
      </c>
      <c r="CK335" s="50">
        <f t="shared" si="450"/>
        <v>0</v>
      </c>
      <c r="CL335" s="50">
        <f t="shared" si="450"/>
        <v>0</v>
      </c>
      <c r="CM335" s="51">
        <f t="shared" ref="CM335:CM398" si="482">IF($J334=CM$14,$L334,CM334)</f>
        <v>0</v>
      </c>
      <c r="CN335" s="33">
        <f>ROUND(IF(BS335=0,0,HLOOKUP(BS$14,Villagers!$B$1:$V$33,BS335+3,FALSE)),)</f>
        <v>5</v>
      </c>
      <c r="CO335" s="14">
        <f>ROUND(IF(BT335=0,0,HLOOKUP(BT$14,Villagers!$B$1:$V$33,BT335+3,FALSE)),)</f>
        <v>0</v>
      </c>
      <c r="CP335" s="14">
        <f>ROUND(IF(BU335=0,0,HLOOKUP(BU$14,Villagers!$B$1:$V$33,BU335+3,FALSE)),)</f>
        <v>0</v>
      </c>
      <c r="CQ335" s="14">
        <f>ROUND(IF(BV335=0,0,HLOOKUP(BV$14,Villagers!$B$1:$V$33,BV335+3,FALSE)),)</f>
        <v>0</v>
      </c>
      <c r="CR335" s="14">
        <f>ROUND(IF(BW335=0,0,HLOOKUP(BW$14,Villagers!$B$1:$V$33,BW335+3,FALSE)),)</f>
        <v>0</v>
      </c>
      <c r="CS335" s="14">
        <f>ROUND(IF(BX335=0,0,HLOOKUP(BX$14,Villagers!$B$1:$V$33,BX335+3,FALSE)),)</f>
        <v>0</v>
      </c>
      <c r="CT335" s="14">
        <f>ROUND(IF(BY335=0,0,HLOOKUP(BY$14,Villagers!$B$1:$V$33,BY335+3,FALSE)),)</f>
        <v>0</v>
      </c>
      <c r="CU335" s="14">
        <f>ROUND(IF(BZ335=0,0,HLOOKUP(BZ$14,Villagers!$B$1:$V$33,BZ335+3,FALSE)),)</f>
        <v>0</v>
      </c>
      <c r="CV335" s="14">
        <f>ROUND(IF(CA335=0,0,HLOOKUP(CA$14,Villagers!$B$1:$V$33,CA335+3,FALSE)),)</f>
        <v>0</v>
      </c>
      <c r="CW335" s="14">
        <f>ROUND(IF(CB335=0,0,HLOOKUP(CB$14,Villagers!$B$1:$V$33,CB335+3,FALSE)),)</f>
        <v>0</v>
      </c>
      <c r="CX335" s="14">
        <f>ROUND(IF(CC335=0,0,HLOOKUP(CC$14,Villagers!$B$1:$V$33,CC335+3,FALSE)),)</f>
        <v>0</v>
      </c>
      <c r="CY335" s="14">
        <f>ROUND(IF(CD335=0,0,HLOOKUP(CD$14,Villagers!$B$1:$V$33,CD335+3,FALSE)),)</f>
        <v>0</v>
      </c>
      <c r="CZ335" s="14">
        <f>ROUND(IF(CE335=0,0,HLOOKUP(CE$14,Villagers!$B$1:$V$33,CE335+3,FALSE)),)</f>
        <v>5</v>
      </c>
      <c r="DA335" s="14">
        <f>ROUND(IF(CF335=0,0,HLOOKUP(CF$14,Villagers!$B$1:$V$33,CF335+3,FALSE)),)</f>
        <v>10</v>
      </c>
      <c r="DB335" s="14">
        <f>ROUND(IF(CG335=0,0,HLOOKUP(CG$14,Villagers!$B$1:$V$33,CG335+3,FALSE)),)</f>
        <v>10</v>
      </c>
      <c r="DC335" s="14">
        <f>ROUND(IF(CH335=0,0,HLOOKUP(CH$14,Villagers!$B$1:$V$33,CH335+3,FALSE)),)</f>
        <v>0</v>
      </c>
      <c r="DD335" s="14">
        <f>ROUND(IF(CI335=0,0,HLOOKUP(CI$14,Villagers!$B$1:$V$33,CI335+3,FALSE)),)</f>
        <v>0</v>
      </c>
      <c r="DE335" s="14">
        <f>ROUND(IF(CJ335=0,0,HLOOKUP(CJ$14,Villagers!$B$1:$V$33,CJ335+3,FALSE)),)</f>
        <v>2</v>
      </c>
      <c r="DF335" s="370">
        <f>ROUND(IF(CK335=0,0,HLOOKUP(CK$14,Villagers!$B$1:$V$33,CK335+3,FALSE)),)</f>
        <v>0</v>
      </c>
      <c r="DG335" s="370">
        <f>ROUND(IF(CL335=0,0,HLOOKUP(CL$14,Villagers!$B$1:$V$33,CL335+3,FALSE)),)</f>
        <v>0</v>
      </c>
      <c r="DH335" s="34">
        <f>ROUND(IF(CM335=0,0,HLOOKUP(CM$14,Villagers!$B$1:$V$33,CM335+3,FALSE)),)</f>
        <v>0</v>
      </c>
      <c r="DI335" s="109">
        <f t="shared" si="426"/>
        <v>0</v>
      </c>
      <c r="DJ335" s="50">
        <f t="shared" si="427"/>
        <v>0</v>
      </c>
      <c r="DK335" s="50">
        <f t="shared" si="428"/>
        <v>0</v>
      </c>
      <c r="DL335" s="50">
        <f t="shared" si="429"/>
        <v>0</v>
      </c>
      <c r="DM335" s="50">
        <f t="shared" si="430"/>
        <v>0</v>
      </c>
      <c r="DN335" s="50">
        <f t="shared" si="431"/>
        <v>0</v>
      </c>
      <c r="DO335" s="50">
        <f t="shared" si="432"/>
        <v>0</v>
      </c>
      <c r="DP335" s="50">
        <f t="shared" si="433"/>
        <v>0</v>
      </c>
      <c r="DQ335" s="50">
        <f t="shared" si="411"/>
        <v>0</v>
      </c>
      <c r="DR335" s="50">
        <f t="shared" si="412"/>
        <v>0</v>
      </c>
      <c r="DS335" s="96">
        <f>Miscelaneous!$D$4*Miscelaneous!$D$2^($CI335-1)</f>
        <v>1000</v>
      </c>
      <c r="DT335" s="333">
        <f t="shared" ref="DT335:DT398" si="483">IF(I335&lt;3,1,1.125^(I335-3))</f>
        <v>1</v>
      </c>
      <c r="DU335" s="81">
        <v>1</v>
      </c>
      <c r="DV335" s="79">
        <f t="shared" si="413"/>
        <v>0</v>
      </c>
      <c r="DW335" s="79">
        <f t="shared" si="414"/>
        <v>0</v>
      </c>
      <c r="DX335" s="79">
        <f t="shared" si="415"/>
        <v>0</v>
      </c>
      <c r="DY335" s="79">
        <v>1</v>
      </c>
      <c r="DZ335" s="79">
        <f t="shared" si="416"/>
        <v>0</v>
      </c>
      <c r="EA335" s="79">
        <f t="shared" si="417"/>
        <v>0</v>
      </c>
      <c r="EB335" s="79">
        <f t="shared" si="418"/>
        <v>0</v>
      </c>
      <c r="EC335" s="79">
        <f t="shared" si="419"/>
        <v>0</v>
      </c>
      <c r="ED335" s="79">
        <v>1</v>
      </c>
      <c r="EE335" s="79">
        <v>1</v>
      </c>
      <c r="EF335" s="79">
        <f t="shared" si="420"/>
        <v>0</v>
      </c>
      <c r="EG335" s="79">
        <v>1</v>
      </c>
      <c r="EH335" s="79">
        <v>1</v>
      </c>
      <c r="EI335" s="79">
        <v>1</v>
      </c>
      <c r="EJ335" s="79">
        <v>1</v>
      </c>
      <c r="EK335" s="79">
        <v>1</v>
      </c>
      <c r="EL335" s="79">
        <v>1</v>
      </c>
      <c r="EM335" s="143">
        <f t="shared" si="421"/>
        <v>0</v>
      </c>
      <c r="EN335" s="143">
        <f t="shared" si="422"/>
        <v>0</v>
      </c>
      <c r="EO335" s="82">
        <f t="shared" si="423"/>
        <v>0</v>
      </c>
    </row>
    <row r="336" spans="1:145" x14ac:dyDescent="0.25">
      <c r="A336">
        <v>322</v>
      </c>
      <c r="B336" s="172" t="e">
        <f t="shared" ref="B336:B399" si="484">BM336</f>
        <v>#N/A</v>
      </c>
      <c r="C336" s="121" t="e">
        <f t="shared" si="462"/>
        <v>#N/A</v>
      </c>
      <c r="D336" s="122" t="e">
        <f t="shared" si="463"/>
        <v>#N/A</v>
      </c>
      <c r="E336" s="122" t="e">
        <f t="shared" si="464"/>
        <v>#N/A</v>
      </c>
      <c r="F336" s="176" t="e">
        <f t="shared" si="465"/>
        <v>#N/A</v>
      </c>
      <c r="G336" s="121">
        <f t="shared" ref="G336:G399" si="485">BQ336</f>
        <v>208</v>
      </c>
      <c r="H336" s="176" t="e">
        <f t="shared" ref="H336:H399" si="486">BQ336-SUM(BR336:BR340)</f>
        <v>#N/A</v>
      </c>
      <c r="I336" s="48">
        <v>1</v>
      </c>
      <c r="J336" s="39"/>
      <c r="K336" s="350">
        <v>1</v>
      </c>
      <c r="L336" s="34" t="e">
        <f t="shared" si="466"/>
        <v>#N/A</v>
      </c>
      <c r="M336" s="38" t="e">
        <f>(HLOOKUP(J336,'Construction Times'!$B$3:$W$34,L336+2,FALSE)*HLOOKUP("hq modifier",'Construction Times'!$W$3:$W$34,BS336+2,FALSE))*(1-$H$9)</f>
        <v>#N/A</v>
      </c>
      <c r="N336" s="443" t="e">
        <f t="shared" ref="N336:N399" si="487">P335+M335</f>
        <v>#N/A</v>
      </c>
      <c r="O336" s="444"/>
      <c r="P336" s="447" t="e">
        <f t="shared" ref="P336:P399" si="488">IF(MAX(AB336:AD336)&gt;DS336,"Speicher zu klein",IF(HLOOKUP(J336,$DU$14:$EO$509,A336+2,FALSE)=0,"Gebäude Vor. nicht erfüllt",N336+BM336))</f>
        <v>#N/A</v>
      </c>
      <c r="Q336" s="448"/>
      <c r="R336" s="103">
        <f t="shared" si="424"/>
        <v>0</v>
      </c>
      <c r="S336" s="104">
        <f t="shared" si="424"/>
        <v>0</v>
      </c>
      <c r="T336" s="104">
        <f t="shared" si="425"/>
        <v>0</v>
      </c>
      <c r="U336" s="104">
        <f t="shared" si="425"/>
        <v>0</v>
      </c>
      <c r="V336" s="104">
        <f t="shared" si="425"/>
        <v>9.9999999999999995E-8</v>
      </c>
      <c r="W336" s="104">
        <f>W335</f>
        <v>0</v>
      </c>
      <c r="X336" s="104">
        <f t="shared" si="455"/>
        <v>0</v>
      </c>
      <c r="Y336" s="104">
        <f t="shared" si="455"/>
        <v>9.9999999999999995E-8</v>
      </c>
      <c r="Z336" s="104">
        <f t="shared" si="455"/>
        <v>9.9999999999999995E-8</v>
      </c>
      <c r="AA336" s="105">
        <f t="shared" si="455"/>
        <v>9.9999999999999995E-8</v>
      </c>
      <c r="AB336" s="101" t="e">
        <f>$DT336*HLOOKUP($J336,'Construction Costs (timber)'!$B$1:$V$32,'Construction Planner'!$L336+2,FALSE)</f>
        <v>#N/A</v>
      </c>
      <c r="AC336" s="14" t="e">
        <f>$DT336*HLOOKUP($J336,'Construction Costs (clay)'!$B$1:$V$32,'Construction Planner'!$L336+2,FALSE)</f>
        <v>#N/A</v>
      </c>
      <c r="AD336" s="14" t="e">
        <f>$DT336*HLOOKUP($J336,'Construction Costs (iron)'!$B$1:$V$32,'Construction Planner'!$L336+2,FALSE)</f>
        <v>#N/A</v>
      </c>
      <c r="AE336" s="34" t="e">
        <f t="shared" si="434"/>
        <v>#N/A</v>
      </c>
      <c r="AF336" s="33" t="e">
        <f t="shared" si="467"/>
        <v>#N/A</v>
      </c>
      <c r="AG336" s="14" t="e">
        <f t="shared" si="468"/>
        <v>#N/A</v>
      </c>
      <c r="AH336" s="14" t="e">
        <f t="shared" si="469"/>
        <v>#N/A</v>
      </c>
      <c r="AI336" s="34" t="e">
        <f t="shared" si="435"/>
        <v>#N/A</v>
      </c>
      <c r="AJ336" s="49" t="e">
        <f t="shared" ref="AJ336:AJ399" si="489">(($N336-$N335)/$AK$3)*BG335+AJ335-AB335-BD335</f>
        <v>#N/A</v>
      </c>
      <c r="AK336" s="49" t="e">
        <f t="shared" ref="AK336:AK399" si="490">(($N336-$N335)/$AK$3)*BH335+AK335-AC335-BE335</f>
        <v>#N/A</v>
      </c>
      <c r="AL336" s="49" t="e">
        <f t="shared" ref="AL336:AL399" si="491">(($N336-$N335)/$AK$3)*BI335+AL335-AD335-BF335</f>
        <v>#N/A</v>
      </c>
      <c r="AM336" s="25">
        <f t="shared" si="470"/>
        <v>30</v>
      </c>
      <c r="AN336" s="25">
        <f t="shared" si="471"/>
        <v>30</v>
      </c>
      <c r="AO336" s="25">
        <f t="shared" si="472"/>
        <v>30</v>
      </c>
      <c r="AP336" s="52" t="e">
        <f t="shared" ref="AP336:AR367" si="492">($N336-$AK$6+$AK$9+1)*$AK$5/24/3*$AS336</f>
        <v>#N/A</v>
      </c>
      <c r="AQ336" s="53" t="e">
        <f t="shared" si="492"/>
        <v>#N/A</v>
      </c>
      <c r="AR336" s="54" t="e">
        <f t="shared" si="492"/>
        <v>#N/A</v>
      </c>
      <c r="AS336" s="316">
        <f t="shared" si="461"/>
        <v>0</v>
      </c>
      <c r="AT336" s="106">
        <f>_xlfn.IFNA($M336/VLOOKUP($BT336,'Unit information'!$A$2:$K$29,2,FALSE)*R336,0)*(1+$E$9)</f>
        <v>0</v>
      </c>
      <c r="AU336" s="107">
        <f>_xlfn.IFNA($M336/VLOOKUP($BT336,'Unit information'!$A$2:$K$29,3,FALSE)*S336,0)*(1+$E$9)</f>
        <v>0</v>
      </c>
      <c r="AV336" s="107">
        <f>_xlfn.IFNA($M336/VLOOKUP($BT336,'Unit information'!$A$2:$K$29,4,FALSE)*T336,0)*(1+$E$9)</f>
        <v>0</v>
      </c>
      <c r="AW336" s="107">
        <f>_xlfn.IFNA($M336/VLOOKUP($BT336,'Unit information'!$A$2:$K$29,5,FALSE)*U336,0)*(1+$E$9)</f>
        <v>0</v>
      </c>
      <c r="AX336" s="107">
        <f>_xlfn.IFNA($M336/VLOOKUP($BU336,'Unit information'!$A$2:$K$29,6,FALSE)*V336,0)*(1+$E$9)</f>
        <v>0</v>
      </c>
      <c r="AY336" s="107">
        <f>_xlfn.IFNA($M336/VLOOKUP($BU336,'Unit information'!$A$2:$K$29,7,FALSE)*W336,0)*(1+$E$9)</f>
        <v>0</v>
      </c>
      <c r="AZ336" s="107">
        <f>_xlfn.IFNA($M336/VLOOKUP($BU336,'Unit information'!$A$2:$K$29,8,FALSE)*X336,0)*(1+$E$9)</f>
        <v>0</v>
      </c>
      <c r="BA336" s="107">
        <f>_xlfn.IFNA($M336/VLOOKUP($BU336,'Unit information'!$A$2:$K$29,9,FALSE)*Y336,0)*(1+$E$9)</f>
        <v>0</v>
      </c>
      <c r="BB336" s="107">
        <f>_xlfn.IFNA($M336/VLOOKUP($BV336,'Unit information'!$A$2:$K$29,10,FALSE)*Z336,0)*(1+$E$9)</f>
        <v>0</v>
      </c>
      <c r="BC336" s="108">
        <f>_xlfn.IFNA($M336/VLOOKUP($BV336,'Unit information'!$A$2:$K$29,11,FALSE)*AA336,0)*(1+$E$9)</f>
        <v>0</v>
      </c>
      <c r="BD336" s="106">
        <f t="shared" si="473"/>
        <v>0</v>
      </c>
      <c r="BE336" s="107">
        <f t="shared" si="474"/>
        <v>0</v>
      </c>
      <c r="BF336" s="108">
        <f t="shared" si="475"/>
        <v>0</v>
      </c>
      <c r="BG336" s="25" t="e">
        <f t="shared" si="476"/>
        <v>#N/A</v>
      </c>
      <c r="BH336" s="25" t="e">
        <f t="shared" si="477"/>
        <v>#N/A</v>
      </c>
      <c r="BI336" s="25" t="e">
        <f t="shared" si="478"/>
        <v>#N/A</v>
      </c>
      <c r="BJ336" s="27" t="e">
        <f t="shared" si="479"/>
        <v>#N/A</v>
      </c>
      <c r="BK336" s="18" t="e">
        <f t="shared" si="480"/>
        <v>#N/A</v>
      </c>
      <c r="BL336" s="18" t="e">
        <f t="shared" si="481"/>
        <v>#N/A</v>
      </c>
      <c r="BM336" s="28" t="e">
        <f t="shared" si="437"/>
        <v>#N/A</v>
      </c>
      <c r="BN336" s="33">
        <f>HLOOKUP("maximum population",Miscelaneous!$C$1:$C$33,CH336+3,FALSE)</f>
        <v>240</v>
      </c>
      <c r="BO336" s="14">
        <f t="shared" ref="BO336:BO399" si="493">SUM(CN337:DH337)</f>
        <v>32</v>
      </c>
      <c r="BP336" s="14">
        <f t="shared" ref="BP336:BP399" si="494">SUM(DI336:DL336)+DM336*2+DN336*4+DO336*5+DP336*6+DQ336*5+DR336*8</f>
        <v>0</v>
      </c>
      <c r="BQ336" s="14">
        <f t="shared" ref="BQ336:BQ399" si="495">BN336-BO336-BP336</f>
        <v>208</v>
      </c>
      <c r="BR336" s="34" t="e">
        <f>HLOOKUP(J336,Villagers!$B$1:$V$33,L336+3,FALSE)-HLOOKUP(J336,Villagers!$B$1:$V$33,L336+2,FALSE)</f>
        <v>#N/A</v>
      </c>
      <c r="BS336" s="49">
        <f t="shared" ref="BS336:BS399" si="496">IF($J335=BS$14,$L335,BS335)</f>
        <v>1</v>
      </c>
      <c r="BT336" s="50">
        <f t="shared" ref="BT336:BT399" si="497">IF($J335=BT$14,$L335,BT335)</f>
        <v>0</v>
      </c>
      <c r="BU336" s="50">
        <f t="shared" ref="BU336:BU399" si="498">IF($J335=BU$14,$L335,BU335)</f>
        <v>0</v>
      </c>
      <c r="BV336" s="50">
        <f t="shared" ref="BV336:BV399" si="499">IF($J335=BV$14,$L335,BV335)</f>
        <v>0</v>
      </c>
      <c r="BW336" s="50">
        <f t="shared" ref="BW336:BY342" si="500">IF($J335=BW$14,$L335,BW335)</f>
        <v>0</v>
      </c>
      <c r="BX336" s="50">
        <f t="shared" si="500"/>
        <v>0</v>
      </c>
      <c r="BY336" s="50">
        <f t="shared" si="500"/>
        <v>0</v>
      </c>
      <c r="BZ336" s="50">
        <f t="shared" si="440"/>
        <v>0</v>
      </c>
      <c r="CA336" s="50">
        <f t="shared" si="441"/>
        <v>0</v>
      </c>
      <c r="CB336" s="50">
        <f t="shared" si="442"/>
        <v>1</v>
      </c>
      <c r="CC336" s="50">
        <f t="shared" si="443"/>
        <v>0</v>
      </c>
      <c r="CD336" s="50">
        <f t="shared" si="444"/>
        <v>0</v>
      </c>
      <c r="CE336" s="50">
        <f t="shared" si="445"/>
        <v>1</v>
      </c>
      <c r="CF336" s="50">
        <f t="shared" si="446"/>
        <v>1</v>
      </c>
      <c r="CG336" s="50">
        <f t="shared" si="447"/>
        <v>1</v>
      </c>
      <c r="CH336" s="50">
        <f t="shared" si="448"/>
        <v>1</v>
      </c>
      <c r="CI336" s="50">
        <f t="shared" si="449"/>
        <v>1</v>
      </c>
      <c r="CJ336" s="50">
        <f t="shared" si="450"/>
        <v>1</v>
      </c>
      <c r="CK336" s="50">
        <f t="shared" si="450"/>
        <v>0</v>
      </c>
      <c r="CL336" s="50">
        <f t="shared" si="450"/>
        <v>0</v>
      </c>
      <c r="CM336" s="51">
        <f t="shared" si="482"/>
        <v>0</v>
      </c>
      <c r="CN336" s="33">
        <f>ROUND(IF(BS336=0,0,HLOOKUP(BS$14,Villagers!$B$1:$V$33,BS336+3,FALSE)),)</f>
        <v>5</v>
      </c>
      <c r="CO336" s="14">
        <f>ROUND(IF(BT336=0,0,HLOOKUP(BT$14,Villagers!$B$1:$V$33,BT336+3,FALSE)),)</f>
        <v>0</v>
      </c>
      <c r="CP336" s="14">
        <f>ROUND(IF(BU336=0,0,HLOOKUP(BU$14,Villagers!$B$1:$V$33,BU336+3,FALSE)),)</f>
        <v>0</v>
      </c>
      <c r="CQ336" s="14">
        <f>ROUND(IF(BV336=0,0,HLOOKUP(BV$14,Villagers!$B$1:$V$33,BV336+3,FALSE)),)</f>
        <v>0</v>
      </c>
      <c r="CR336" s="14">
        <f>ROUND(IF(BW336=0,0,HLOOKUP(BW$14,Villagers!$B$1:$V$33,BW336+3,FALSE)),)</f>
        <v>0</v>
      </c>
      <c r="CS336" s="14">
        <f>ROUND(IF(BX336=0,0,HLOOKUP(BX$14,Villagers!$B$1:$V$33,BX336+3,FALSE)),)</f>
        <v>0</v>
      </c>
      <c r="CT336" s="14">
        <f>ROUND(IF(BY336=0,0,HLOOKUP(BY$14,Villagers!$B$1:$V$33,BY336+3,FALSE)),)</f>
        <v>0</v>
      </c>
      <c r="CU336" s="14">
        <f>ROUND(IF(BZ336=0,0,HLOOKUP(BZ$14,Villagers!$B$1:$V$33,BZ336+3,FALSE)),)</f>
        <v>0</v>
      </c>
      <c r="CV336" s="14">
        <f>ROUND(IF(CA336=0,0,HLOOKUP(CA$14,Villagers!$B$1:$V$33,CA336+3,FALSE)),)</f>
        <v>0</v>
      </c>
      <c r="CW336" s="14">
        <f>ROUND(IF(CB336=0,0,HLOOKUP(CB$14,Villagers!$B$1:$V$33,CB336+3,FALSE)),)</f>
        <v>0</v>
      </c>
      <c r="CX336" s="14">
        <f>ROUND(IF(CC336=0,0,HLOOKUP(CC$14,Villagers!$B$1:$V$33,CC336+3,FALSE)),)</f>
        <v>0</v>
      </c>
      <c r="CY336" s="14">
        <f>ROUND(IF(CD336=0,0,HLOOKUP(CD$14,Villagers!$B$1:$V$33,CD336+3,FALSE)),)</f>
        <v>0</v>
      </c>
      <c r="CZ336" s="14">
        <f>ROUND(IF(CE336=0,0,HLOOKUP(CE$14,Villagers!$B$1:$V$33,CE336+3,FALSE)),)</f>
        <v>5</v>
      </c>
      <c r="DA336" s="14">
        <f>ROUND(IF(CF336=0,0,HLOOKUP(CF$14,Villagers!$B$1:$V$33,CF336+3,FALSE)),)</f>
        <v>10</v>
      </c>
      <c r="DB336" s="14">
        <f>ROUND(IF(CG336=0,0,HLOOKUP(CG$14,Villagers!$B$1:$V$33,CG336+3,FALSE)),)</f>
        <v>10</v>
      </c>
      <c r="DC336" s="14">
        <f>ROUND(IF(CH336=0,0,HLOOKUP(CH$14,Villagers!$B$1:$V$33,CH336+3,FALSE)),)</f>
        <v>0</v>
      </c>
      <c r="DD336" s="14">
        <f>ROUND(IF(CI336=0,0,HLOOKUP(CI$14,Villagers!$B$1:$V$33,CI336+3,FALSE)),)</f>
        <v>0</v>
      </c>
      <c r="DE336" s="14">
        <f>ROUND(IF(CJ336=0,0,HLOOKUP(CJ$14,Villagers!$B$1:$V$33,CJ336+3,FALSE)),)</f>
        <v>2</v>
      </c>
      <c r="DF336" s="370">
        <f>ROUND(IF(CK336=0,0,HLOOKUP(CK$14,Villagers!$B$1:$V$33,CK336+3,FALSE)),)</f>
        <v>0</v>
      </c>
      <c r="DG336" s="370">
        <f>ROUND(IF(CL336=0,0,HLOOKUP(CL$14,Villagers!$B$1:$V$33,CL336+3,FALSE)),)</f>
        <v>0</v>
      </c>
      <c r="DH336" s="34">
        <f>ROUND(IF(CM336=0,0,HLOOKUP(CM$14,Villagers!$B$1:$V$33,CM336+3,FALSE)),)</f>
        <v>0</v>
      </c>
      <c r="DI336" s="109">
        <f t="shared" si="426"/>
        <v>0</v>
      </c>
      <c r="DJ336" s="50">
        <f t="shared" si="427"/>
        <v>0</v>
      </c>
      <c r="DK336" s="50">
        <f t="shared" si="428"/>
        <v>0</v>
      </c>
      <c r="DL336" s="50">
        <f t="shared" si="429"/>
        <v>0</v>
      </c>
      <c r="DM336" s="50">
        <f t="shared" si="430"/>
        <v>0</v>
      </c>
      <c r="DN336" s="50">
        <f t="shared" si="431"/>
        <v>0</v>
      </c>
      <c r="DO336" s="50">
        <f t="shared" si="432"/>
        <v>0</v>
      </c>
      <c r="DP336" s="50">
        <f t="shared" si="433"/>
        <v>0</v>
      </c>
      <c r="DQ336" s="50">
        <f t="shared" ref="DQ336:DQ399" si="501">ROUND(_xlfn.IFNA(DQ335+BB336,DQ335),0)</f>
        <v>0</v>
      </c>
      <c r="DR336" s="50">
        <f t="shared" ref="DR336:DR399" si="502">ROUND(_xlfn.IFNA(DR335+BC336,DR335),0)</f>
        <v>0</v>
      </c>
      <c r="DS336" s="96">
        <f>Miscelaneous!$D$4*Miscelaneous!$D$2^($CI336-1)</f>
        <v>1000</v>
      </c>
      <c r="DT336" s="333">
        <f t="shared" si="483"/>
        <v>1</v>
      </c>
      <c r="DU336" s="81">
        <v>1</v>
      </c>
      <c r="DV336" s="79">
        <f t="shared" ref="DV336:DV399" si="503">IF(BS336&gt;2,1,0)</f>
        <v>0</v>
      </c>
      <c r="DW336" s="79">
        <f t="shared" ref="DW336:DW399" si="504">IF(AND(BS336&gt;9,CA336&gt;4,BT336&gt;4)=TRUE,1,0)</f>
        <v>0</v>
      </c>
      <c r="DX336" s="79">
        <f t="shared" ref="DX336:DX399" si="505">IF(AND(BS336&gt;9,CA336&gt;9)=TRUE,1,0)</f>
        <v>0</v>
      </c>
      <c r="DY336" s="79">
        <v>1</v>
      </c>
      <c r="DZ336" s="79">
        <f t="shared" ref="DZ336:DZ399" si="506">IF(AND(BS336&gt;4,CH336&gt;4),1,0)</f>
        <v>0</v>
      </c>
      <c r="EA336" s="79">
        <f t="shared" ref="EA336:EA399" si="507">IF(AND(BS336&gt;4,CH336&gt;4),1,0)</f>
        <v>0</v>
      </c>
      <c r="EB336" s="79">
        <f t="shared" ref="EB336:EB399" si="508">IF(AND(BS336&gt;19,CA336&gt;19,CD336&gt;9)=TRUE,1,0)</f>
        <v>0</v>
      </c>
      <c r="EC336" s="79">
        <f t="shared" ref="EC336:EC399" si="509">IF(AND(BS336&gt;4,BT336&gt;0)=TRUE,1,0)</f>
        <v>0</v>
      </c>
      <c r="ED336" s="79">
        <v>1</v>
      </c>
      <c r="EE336" s="79">
        <v>1</v>
      </c>
      <c r="EF336" s="79">
        <f t="shared" ref="EF336:EF399" si="510">IF(AND(BS336&gt;2,CI336&gt;1),1,0)</f>
        <v>0</v>
      </c>
      <c r="EG336" s="79">
        <v>1</v>
      </c>
      <c r="EH336" s="79">
        <v>1</v>
      </c>
      <c r="EI336" s="79">
        <v>1</v>
      </c>
      <c r="EJ336" s="79">
        <v>1</v>
      </c>
      <c r="EK336" s="79">
        <v>1</v>
      </c>
      <c r="EL336" s="79">
        <v>1</v>
      </c>
      <c r="EM336" s="143">
        <f t="shared" ref="EM336:EM399" si="511">IF(CL336&gt;0,1,0)</f>
        <v>0</v>
      </c>
      <c r="EN336" s="143">
        <f t="shared" ref="EN336:EN399" si="512">IF(BZ336&gt;0,1,0)</f>
        <v>0</v>
      </c>
      <c r="EO336" s="82">
        <f t="shared" ref="EO336:EO399" si="513">IF(BT336&gt;0,1,0)</f>
        <v>0</v>
      </c>
    </row>
    <row r="337" spans="1:145" x14ac:dyDescent="0.25">
      <c r="A337">
        <v>323</v>
      </c>
      <c r="B337" s="172" t="e">
        <f t="shared" si="484"/>
        <v>#N/A</v>
      </c>
      <c r="C337" s="121" t="e">
        <f t="shared" si="462"/>
        <v>#N/A</v>
      </c>
      <c r="D337" s="122" t="e">
        <f t="shared" si="463"/>
        <v>#N/A</v>
      </c>
      <c r="E337" s="122" t="e">
        <f t="shared" si="464"/>
        <v>#N/A</v>
      </c>
      <c r="F337" s="176" t="e">
        <f t="shared" si="465"/>
        <v>#N/A</v>
      </c>
      <c r="G337" s="121">
        <f t="shared" si="485"/>
        <v>208</v>
      </c>
      <c r="H337" s="176" t="e">
        <f t="shared" si="486"/>
        <v>#N/A</v>
      </c>
      <c r="I337" s="48">
        <v>1</v>
      </c>
      <c r="J337" s="39"/>
      <c r="K337" s="350">
        <v>1</v>
      </c>
      <c r="L337" s="34" t="e">
        <f t="shared" si="466"/>
        <v>#N/A</v>
      </c>
      <c r="M337" s="38" t="e">
        <f>(HLOOKUP(J337,'Construction Times'!$B$3:$W$34,L337+2,FALSE)*HLOOKUP("hq modifier",'Construction Times'!$W$3:$W$34,BS337+2,FALSE))*(1-$H$9)</f>
        <v>#N/A</v>
      </c>
      <c r="N337" s="443" t="e">
        <f t="shared" si="487"/>
        <v>#N/A</v>
      </c>
      <c r="O337" s="444"/>
      <c r="P337" s="447" t="e">
        <f t="shared" si="488"/>
        <v>#N/A</v>
      </c>
      <c r="Q337" s="448"/>
      <c r="R337" s="103">
        <f t="shared" ref="R337:S368" si="514">R336</f>
        <v>0</v>
      </c>
      <c r="S337" s="104">
        <f t="shared" si="514"/>
        <v>0</v>
      </c>
      <c r="T337" s="104">
        <f t="shared" ref="T337:W368" si="515">T336</f>
        <v>0</v>
      </c>
      <c r="U337" s="104">
        <f t="shared" si="515"/>
        <v>0</v>
      </c>
      <c r="V337" s="104">
        <f t="shared" si="515"/>
        <v>9.9999999999999995E-8</v>
      </c>
      <c r="W337" s="104">
        <f t="shared" si="515"/>
        <v>0</v>
      </c>
      <c r="X337" s="104">
        <f t="shared" si="455"/>
        <v>0</v>
      </c>
      <c r="Y337" s="104">
        <f t="shared" si="455"/>
        <v>9.9999999999999995E-8</v>
      </c>
      <c r="Z337" s="104">
        <f t="shared" si="455"/>
        <v>9.9999999999999995E-8</v>
      </c>
      <c r="AA337" s="105">
        <f t="shared" si="455"/>
        <v>9.9999999999999995E-8</v>
      </c>
      <c r="AB337" s="101" t="e">
        <f>$DT337*HLOOKUP($J337,'Construction Costs (timber)'!$B$1:$V$32,'Construction Planner'!$L337+2,FALSE)</f>
        <v>#N/A</v>
      </c>
      <c r="AC337" s="14" t="e">
        <f>$DT337*HLOOKUP($J337,'Construction Costs (clay)'!$B$1:$V$32,'Construction Planner'!$L337+2,FALSE)</f>
        <v>#N/A</v>
      </c>
      <c r="AD337" s="14" t="e">
        <f>$DT337*HLOOKUP($J337,'Construction Costs (iron)'!$B$1:$V$32,'Construction Planner'!$L337+2,FALSE)</f>
        <v>#N/A</v>
      </c>
      <c r="AE337" s="34" t="e">
        <f t="shared" si="434"/>
        <v>#N/A</v>
      </c>
      <c r="AF337" s="33" t="e">
        <f t="shared" si="467"/>
        <v>#N/A</v>
      </c>
      <c r="AG337" s="14" t="e">
        <f t="shared" si="468"/>
        <v>#N/A</v>
      </c>
      <c r="AH337" s="14" t="e">
        <f t="shared" si="469"/>
        <v>#N/A</v>
      </c>
      <c r="AI337" s="34" t="e">
        <f t="shared" si="435"/>
        <v>#N/A</v>
      </c>
      <c r="AJ337" s="49" t="e">
        <f t="shared" si="489"/>
        <v>#N/A</v>
      </c>
      <c r="AK337" s="49" t="e">
        <f t="shared" si="490"/>
        <v>#N/A</v>
      </c>
      <c r="AL337" s="49" t="e">
        <f t="shared" si="491"/>
        <v>#N/A</v>
      </c>
      <c r="AM337" s="25">
        <f t="shared" si="470"/>
        <v>30</v>
      </c>
      <c r="AN337" s="25">
        <f t="shared" si="471"/>
        <v>30</v>
      </c>
      <c r="AO337" s="25">
        <f t="shared" si="472"/>
        <v>30</v>
      </c>
      <c r="AP337" s="52" t="e">
        <f t="shared" si="492"/>
        <v>#N/A</v>
      </c>
      <c r="AQ337" s="53" t="e">
        <f t="shared" si="492"/>
        <v>#N/A</v>
      </c>
      <c r="AR337" s="54" t="e">
        <f t="shared" si="492"/>
        <v>#N/A</v>
      </c>
      <c r="AS337" s="316">
        <f t="shared" si="461"/>
        <v>0</v>
      </c>
      <c r="AT337" s="106">
        <f>_xlfn.IFNA($M337/VLOOKUP($BT337,'Unit information'!$A$2:$K$29,2,FALSE)*R337,0)*(1+$E$9)</f>
        <v>0</v>
      </c>
      <c r="AU337" s="107">
        <f>_xlfn.IFNA($M337/VLOOKUP($BT337,'Unit information'!$A$2:$K$29,3,FALSE)*S337,0)*(1+$E$9)</f>
        <v>0</v>
      </c>
      <c r="AV337" s="107">
        <f>_xlfn.IFNA($M337/VLOOKUP($BT337,'Unit information'!$A$2:$K$29,4,FALSE)*T337,0)*(1+$E$9)</f>
        <v>0</v>
      </c>
      <c r="AW337" s="107">
        <f>_xlfn.IFNA($M337/VLOOKUP($BT337,'Unit information'!$A$2:$K$29,5,FALSE)*U337,0)*(1+$E$9)</f>
        <v>0</v>
      </c>
      <c r="AX337" s="107">
        <f>_xlfn.IFNA($M337/VLOOKUP($BU337,'Unit information'!$A$2:$K$29,6,FALSE)*V337,0)*(1+$E$9)</f>
        <v>0</v>
      </c>
      <c r="AY337" s="107">
        <f>_xlfn.IFNA($M337/VLOOKUP($BU337,'Unit information'!$A$2:$K$29,7,FALSE)*W337,0)*(1+$E$9)</f>
        <v>0</v>
      </c>
      <c r="AZ337" s="107">
        <f>_xlfn.IFNA($M337/VLOOKUP($BU337,'Unit information'!$A$2:$K$29,8,FALSE)*X337,0)*(1+$E$9)</f>
        <v>0</v>
      </c>
      <c r="BA337" s="107">
        <f>_xlfn.IFNA($M337/VLOOKUP($BU337,'Unit information'!$A$2:$K$29,9,FALSE)*Y337,0)*(1+$E$9)</f>
        <v>0</v>
      </c>
      <c r="BB337" s="107">
        <f>_xlfn.IFNA($M337/VLOOKUP($BV337,'Unit information'!$A$2:$K$29,10,FALSE)*Z337,0)*(1+$E$9)</f>
        <v>0</v>
      </c>
      <c r="BC337" s="108">
        <f>_xlfn.IFNA($M337/VLOOKUP($BV337,'Unit information'!$A$2:$K$29,11,FALSE)*AA337,0)*(1+$E$9)</f>
        <v>0</v>
      </c>
      <c r="BD337" s="106">
        <f t="shared" si="473"/>
        <v>0</v>
      </c>
      <c r="BE337" s="107">
        <f t="shared" si="474"/>
        <v>0</v>
      </c>
      <c r="BF337" s="108">
        <f t="shared" si="475"/>
        <v>0</v>
      </c>
      <c r="BG337" s="25" t="e">
        <f t="shared" si="476"/>
        <v>#N/A</v>
      </c>
      <c r="BH337" s="25" t="e">
        <f t="shared" si="477"/>
        <v>#N/A</v>
      </c>
      <c r="BI337" s="25" t="e">
        <f t="shared" si="478"/>
        <v>#N/A</v>
      </c>
      <c r="BJ337" s="27" t="e">
        <f t="shared" si="479"/>
        <v>#N/A</v>
      </c>
      <c r="BK337" s="18" t="e">
        <f t="shared" si="480"/>
        <v>#N/A</v>
      </c>
      <c r="BL337" s="18" t="e">
        <f t="shared" si="481"/>
        <v>#N/A</v>
      </c>
      <c r="BM337" s="28" t="e">
        <f t="shared" si="437"/>
        <v>#N/A</v>
      </c>
      <c r="BN337" s="33">
        <f>HLOOKUP("maximum population",Miscelaneous!$C$1:$C$33,CH337+3,FALSE)</f>
        <v>240</v>
      </c>
      <c r="BO337" s="14">
        <f t="shared" si="493"/>
        <v>32</v>
      </c>
      <c r="BP337" s="14">
        <f t="shared" si="494"/>
        <v>0</v>
      </c>
      <c r="BQ337" s="14">
        <f t="shared" si="495"/>
        <v>208</v>
      </c>
      <c r="BR337" s="34" t="e">
        <f>HLOOKUP(J337,Villagers!$B$1:$V$33,L337+3,FALSE)-HLOOKUP(J337,Villagers!$B$1:$V$33,L337+2,FALSE)</f>
        <v>#N/A</v>
      </c>
      <c r="BS337" s="49">
        <f t="shared" si="496"/>
        <v>1</v>
      </c>
      <c r="BT337" s="50">
        <f t="shared" si="497"/>
        <v>0</v>
      </c>
      <c r="BU337" s="50">
        <f t="shared" si="498"/>
        <v>0</v>
      </c>
      <c r="BV337" s="50">
        <f t="shared" si="499"/>
        <v>0</v>
      </c>
      <c r="BW337" s="50">
        <f t="shared" si="500"/>
        <v>0</v>
      </c>
      <c r="BX337" s="50">
        <f t="shared" si="500"/>
        <v>0</v>
      </c>
      <c r="BY337" s="50">
        <f t="shared" si="500"/>
        <v>0</v>
      </c>
      <c r="BZ337" s="50">
        <f t="shared" si="440"/>
        <v>0</v>
      </c>
      <c r="CA337" s="50">
        <f t="shared" si="441"/>
        <v>0</v>
      </c>
      <c r="CB337" s="50">
        <f t="shared" si="442"/>
        <v>1</v>
      </c>
      <c r="CC337" s="50">
        <f t="shared" si="443"/>
        <v>0</v>
      </c>
      <c r="CD337" s="50">
        <f t="shared" si="444"/>
        <v>0</v>
      </c>
      <c r="CE337" s="50">
        <f t="shared" si="445"/>
        <v>1</v>
      </c>
      <c r="CF337" s="50">
        <f t="shared" si="446"/>
        <v>1</v>
      </c>
      <c r="CG337" s="50">
        <f t="shared" si="447"/>
        <v>1</v>
      </c>
      <c r="CH337" s="50">
        <f t="shared" si="448"/>
        <v>1</v>
      </c>
      <c r="CI337" s="50">
        <f t="shared" si="449"/>
        <v>1</v>
      </c>
      <c r="CJ337" s="50">
        <f t="shared" si="450"/>
        <v>1</v>
      </c>
      <c r="CK337" s="50">
        <f t="shared" si="450"/>
        <v>0</v>
      </c>
      <c r="CL337" s="50">
        <f t="shared" si="450"/>
        <v>0</v>
      </c>
      <c r="CM337" s="51">
        <f t="shared" si="482"/>
        <v>0</v>
      </c>
      <c r="CN337" s="33">
        <f>ROUND(IF(BS337=0,0,HLOOKUP(BS$14,Villagers!$B$1:$V$33,BS337+3,FALSE)),)</f>
        <v>5</v>
      </c>
      <c r="CO337" s="14">
        <f>ROUND(IF(BT337=0,0,HLOOKUP(BT$14,Villagers!$B$1:$V$33,BT337+3,FALSE)),)</f>
        <v>0</v>
      </c>
      <c r="CP337" s="14">
        <f>ROUND(IF(BU337=0,0,HLOOKUP(BU$14,Villagers!$B$1:$V$33,BU337+3,FALSE)),)</f>
        <v>0</v>
      </c>
      <c r="CQ337" s="14">
        <f>ROUND(IF(BV337=0,0,HLOOKUP(BV$14,Villagers!$B$1:$V$33,BV337+3,FALSE)),)</f>
        <v>0</v>
      </c>
      <c r="CR337" s="14">
        <f>ROUND(IF(BW337=0,0,HLOOKUP(BW$14,Villagers!$B$1:$V$33,BW337+3,FALSE)),)</f>
        <v>0</v>
      </c>
      <c r="CS337" s="14">
        <f>ROUND(IF(BX337=0,0,HLOOKUP(BX$14,Villagers!$B$1:$V$33,BX337+3,FALSE)),)</f>
        <v>0</v>
      </c>
      <c r="CT337" s="14">
        <f>ROUND(IF(BY337=0,0,HLOOKUP(BY$14,Villagers!$B$1:$V$33,BY337+3,FALSE)),)</f>
        <v>0</v>
      </c>
      <c r="CU337" s="14">
        <f>ROUND(IF(BZ337=0,0,HLOOKUP(BZ$14,Villagers!$B$1:$V$33,BZ337+3,FALSE)),)</f>
        <v>0</v>
      </c>
      <c r="CV337" s="14">
        <f>ROUND(IF(CA337=0,0,HLOOKUP(CA$14,Villagers!$B$1:$V$33,CA337+3,FALSE)),)</f>
        <v>0</v>
      </c>
      <c r="CW337" s="14">
        <f>ROUND(IF(CB337=0,0,HLOOKUP(CB$14,Villagers!$B$1:$V$33,CB337+3,FALSE)),)</f>
        <v>0</v>
      </c>
      <c r="CX337" s="14">
        <f>ROUND(IF(CC337=0,0,HLOOKUP(CC$14,Villagers!$B$1:$V$33,CC337+3,FALSE)),)</f>
        <v>0</v>
      </c>
      <c r="CY337" s="14">
        <f>ROUND(IF(CD337=0,0,HLOOKUP(CD$14,Villagers!$B$1:$V$33,CD337+3,FALSE)),)</f>
        <v>0</v>
      </c>
      <c r="CZ337" s="14">
        <f>ROUND(IF(CE337=0,0,HLOOKUP(CE$14,Villagers!$B$1:$V$33,CE337+3,FALSE)),)</f>
        <v>5</v>
      </c>
      <c r="DA337" s="14">
        <f>ROUND(IF(CF337=0,0,HLOOKUP(CF$14,Villagers!$B$1:$V$33,CF337+3,FALSE)),)</f>
        <v>10</v>
      </c>
      <c r="DB337" s="14">
        <f>ROUND(IF(CG337=0,0,HLOOKUP(CG$14,Villagers!$B$1:$V$33,CG337+3,FALSE)),)</f>
        <v>10</v>
      </c>
      <c r="DC337" s="14">
        <f>ROUND(IF(CH337=0,0,HLOOKUP(CH$14,Villagers!$B$1:$V$33,CH337+3,FALSE)),)</f>
        <v>0</v>
      </c>
      <c r="DD337" s="14">
        <f>ROUND(IF(CI337=0,0,HLOOKUP(CI$14,Villagers!$B$1:$V$33,CI337+3,FALSE)),)</f>
        <v>0</v>
      </c>
      <c r="DE337" s="14">
        <f>ROUND(IF(CJ337=0,0,HLOOKUP(CJ$14,Villagers!$B$1:$V$33,CJ337+3,FALSE)),)</f>
        <v>2</v>
      </c>
      <c r="DF337" s="370">
        <f>ROUND(IF(CK337=0,0,HLOOKUP(CK$14,Villagers!$B$1:$V$33,CK337+3,FALSE)),)</f>
        <v>0</v>
      </c>
      <c r="DG337" s="370">
        <f>ROUND(IF(CL337=0,0,HLOOKUP(CL$14,Villagers!$B$1:$V$33,CL337+3,FALSE)),)</f>
        <v>0</v>
      </c>
      <c r="DH337" s="34">
        <f>ROUND(IF(CM337=0,0,HLOOKUP(CM$14,Villagers!$B$1:$V$33,CM337+3,FALSE)),)</f>
        <v>0</v>
      </c>
      <c r="DI337" s="109">
        <f t="shared" ref="DI337:DI400" si="516">ROUND(_xlfn.IFNA(DI336+AT337,DI336),0)</f>
        <v>0</v>
      </c>
      <c r="DJ337" s="50">
        <f t="shared" ref="DJ337:DJ400" si="517">ROUND(_xlfn.IFNA(DJ336+AU337,DJ336),0)</f>
        <v>0</v>
      </c>
      <c r="DK337" s="50">
        <f t="shared" ref="DK337:DK400" si="518">ROUND(_xlfn.IFNA(DK336+AV337,DK336),0)</f>
        <v>0</v>
      </c>
      <c r="DL337" s="50">
        <f t="shared" ref="DL337:DL400" si="519">ROUND(_xlfn.IFNA(DL336+AW337,DL336),0)</f>
        <v>0</v>
      </c>
      <c r="DM337" s="50">
        <f t="shared" ref="DM337:DM400" si="520">ROUND(_xlfn.IFNA(DM336+AX337,DM336),0)</f>
        <v>0</v>
      </c>
      <c r="DN337" s="50">
        <f t="shared" ref="DN337:DN400" si="521">ROUND(_xlfn.IFNA(DN336+AY337,DN336),0)</f>
        <v>0</v>
      </c>
      <c r="DO337" s="50">
        <f t="shared" ref="DO337:DO400" si="522">ROUND(_xlfn.IFNA(DO336+AZ337,DO336),0)</f>
        <v>0</v>
      </c>
      <c r="DP337" s="50">
        <f t="shared" ref="DP337:DP400" si="523">ROUND(_xlfn.IFNA(DP336+BA337,DP336),0)</f>
        <v>0</v>
      </c>
      <c r="DQ337" s="50">
        <f t="shared" si="501"/>
        <v>0</v>
      </c>
      <c r="DR337" s="50">
        <f t="shared" si="502"/>
        <v>0</v>
      </c>
      <c r="DS337" s="96">
        <f>Miscelaneous!$D$4*Miscelaneous!$D$2^($CI337-1)</f>
        <v>1000</v>
      </c>
      <c r="DT337" s="333">
        <f t="shared" si="483"/>
        <v>1</v>
      </c>
      <c r="DU337" s="81">
        <v>1</v>
      </c>
      <c r="DV337" s="79">
        <f t="shared" si="503"/>
        <v>0</v>
      </c>
      <c r="DW337" s="79">
        <f t="shared" si="504"/>
        <v>0</v>
      </c>
      <c r="DX337" s="79">
        <f t="shared" si="505"/>
        <v>0</v>
      </c>
      <c r="DY337" s="79">
        <v>1</v>
      </c>
      <c r="DZ337" s="79">
        <f t="shared" si="506"/>
        <v>0</v>
      </c>
      <c r="EA337" s="79">
        <f t="shared" si="507"/>
        <v>0</v>
      </c>
      <c r="EB337" s="79">
        <f t="shared" si="508"/>
        <v>0</v>
      </c>
      <c r="EC337" s="79">
        <f t="shared" si="509"/>
        <v>0</v>
      </c>
      <c r="ED337" s="79">
        <v>1</v>
      </c>
      <c r="EE337" s="79">
        <v>1</v>
      </c>
      <c r="EF337" s="79">
        <f t="shared" si="510"/>
        <v>0</v>
      </c>
      <c r="EG337" s="79">
        <v>1</v>
      </c>
      <c r="EH337" s="79">
        <v>1</v>
      </c>
      <c r="EI337" s="79">
        <v>1</v>
      </c>
      <c r="EJ337" s="79">
        <v>1</v>
      </c>
      <c r="EK337" s="79">
        <v>1</v>
      </c>
      <c r="EL337" s="79">
        <v>1</v>
      </c>
      <c r="EM337" s="143">
        <f t="shared" si="511"/>
        <v>0</v>
      </c>
      <c r="EN337" s="143">
        <f t="shared" si="512"/>
        <v>0</v>
      </c>
      <c r="EO337" s="82">
        <f t="shared" si="513"/>
        <v>0</v>
      </c>
    </row>
    <row r="338" spans="1:145" x14ac:dyDescent="0.25">
      <c r="A338">
        <v>324</v>
      </c>
      <c r="B338" s="172" t="e">
        <f t="shared" si="484"/>
        <v>#N/A</v>
      </c>
      <c r="C338" s="121" t="e">
        <f t="shared" si="462"/>
        <v>#N/A</v>
      </c>
      <c r="D338" s="122" t="e">
        <f t="shared" si="463"/>
        <v>#N/A</v>
      </c>
      <c r="E338" s="122" t="e">
        <f t="shared" si="464"/>
        <v>#N/A</v>
      </c>
      <c r="F338" s="176" t="e">
        <f t="shared" si="465"/>
        <v>#N/A</v>
      </c>
      <c r="G338" s="121">
        <f t="shared" si="485"/>
        <v>208</v>
      </c>
      <c r="H338" s="176" t="e">
        <f t="shared" si="486"/>
        <v>#N/A</v>
      </c>
      <c r="I338" s="48">
        <v>1</v>
      </c>
      <c r="J338" s="39"/>
      <c r="K338" s="350">
        <v>1</v>
      </c>
      <c r="L338" s="34" t="e">
        <f t="shared" si="466"/>
        <v>#N/A</v>
      </c>
      <c r="M338" s="38" t="e">
        <f>(HLOOKUP(J338,'Construction Times'!$B$3:$W$34,L338+2,FALSE)*HLOOKUP("hq modifier",'Construction Times'!$W$3:$W$34,BS338+2,FALSE))*(1-$H$9)</f>
        <v>#N/A</v>
      </c>
      <c r="N338" s="443" t="e">
        <f t="shared" si="487"/>
        <v>#N/A</v>
      </c>
      <c r="O338" s="444"/>
      <c r="P338" s="447" t="e">
        <f t="shared" si="488"/>
        <v>#N/A</v>
      </c>
      <c r="Q338" s="448"/>
      <c r="R338" s="103">
        <f t="shared" si="514"/>
        <v>0</v>
      </c>
      <c r="S338" s="104">
        <f t="shared" si="514"/>
        <v>0</v>
      </c>
      <c r="T338" s="104">
        <f t="shared" si="515"/>
        <v>0</v>
      </c>
      <c r="U338" s="104">
        <f t="shared" si="515"/>
        <v>0</v>
      </c>
      <c r="V338" s="104">
        <f t="shared" si="515"/>
        <v>9.9999999999999995E-8</v>
      </c>
      <c r="W338" s="104">
        <f t="shared" si="515"/>
        <v>0</v>
      </c>
      <c r="X338" s="104">
        <f t="shared" si="455"/>
        <v>0</v>
      </c>
      <c r="Y338" s="104">
        <f t="shared" si="455"/>
        <v>9.9999999999999995E-8</v>
      </c>
      <c r="Z338" s="104">
        <f t="shared" si="455"/>
        <v>9.9999999999999995E-8</v>
      </c>
      <c r="AA338" s="105">
        <f t="shared" si="455"/>
        <v>9.9999999999999995E-8</v>
      </c>
      <c r="AB338" s="101" t="e">
        <f>$DT338*HLOOKUP($J338,'Construction Costs (timber)'!$B$1:$V$32,'Construction Planner'!$L338+2,FALSE)</f>
        <v>#N/A</v>
      </c>
      <c r="AC338" s="14" t="e">
        <f>$DT338*HLOOKUP($J338,'Construction Costs (clay)'!$B$1:$V$32,'Construction Planner'!$L338+2,FALSE)</f>
        <v>#N/A</v>
      </c>
      <c r="AD338" s="14" t="e">
        <f>$DT338*HLOOKUP($J338,'Construction Costs (iron)'!$B$1:$V$32,'Construction Planner'!$L338+2,FALSE)</f>
        <v>#N/A</v>
      </c>
      <c r="AE338" s="34" t="e">
        <f t="shared" si="434"/>
        <v>#N/A</v>
      </c>
      <c r="AF338" s="33" t="e">
        <f t="shared" si="467"/>
        <v>#N/A</v>
      </c>
      <c r="AG338" s="14" t="e">
        <f t="shared" si="468"/>
        <v>#N/A</v>
      </c>
      <c r="AH338" s="14" t="e">
        <f t="shared" si="469"/>
        <v>#N/A</v>
      </c>
      <c r="AI338" s="34" t="e">
        <f t="shared" si="435"/>
        <v>#N/A</v>
      </c>
      <c r="AJ338" s="49" t="e">
        <f t="shared" si="489"/>
        <v>#N/A</v>
      </c>
      <c r="AK338" s="49" t="e">
        <f t="shared" si="490"/>
        <v>#N/A</v>
      </c>
      <c r="AL338" s="49" t="e">
        <f t="shared" si="491"/>
        <v>#N/A</v>
      </c>
      <c r="AM338" s="25">
        <f t="shared" si="470"/>
        <v>30</v>
      </c>
      <c r="AN338" s="25">
        <f t="shared" si="471"/>
        <v>30</v>
      </c>
      <c r="AO338" s="25">
        <f t="shared" si="472"/>
        <v>30</v>
      </c>
      <c r="AP338" s="52" t="e">
        <f t="shared" si="492"/>
        <v>#N/A</v>
      </c>
      <c r="AQ338" s="53" t="e">
        <f t="shared" si="492"/>
        <v>#N/A</v>
      </c>
      <c r="AR338" s="54" t="e">
        <f t="shared" si="492"/>
        <v>#N/A</v>
      </c>
      <c r="AS338" s="316">
        <f t="shared" si="461"/>
        <v>0</v>
      </c>
      <c r="AT338" s="106">
        <f>_xlfn.IFNA($M338/VLOOKUP($BT338,'Unit information'!$A$2:$K$29,2,FALSE)*R338,0)*(1+$E$9)</f>
        <v>0</v>
      </c>
      <c r="AU338" s="107">
        <f>_xlfn.IFNA($M338/VLOOKUP($BT338,'Unit information'!$A$2:$K$29,3,FALSE)*S338,0)*(1+$E$9)</f>
        <v>0</v>
      </c>
      <c r="AV338" s="107">
        <f>_xlfn.IFNA($M338/VLOOKUP($BT338,'Unit information'!$A$2:$K$29,4,FALSE)*T338,0)*(1+$E$9)</f>
        <v>0</v>
      </c>
      <c r="AW338" s="107">
        <f>_xlfn.IFNA($M338/VLOOKUP($BT338,'Unit information'!$A$2:$K$29,5,FALSE)*U338,0)*(1+$E$9)</f>
        <v>0</v>
      </c>
      <c r="AX338" s="107">
        <f>_xlfn.IFNA($M338/VLOOKUP($BU338,'Unit information'!$A$2:$K$29,6,FALSE)*V338,0)*(1+$E$9)</f>
        <v>0</v>
      </c>
      <c r="AY338" s="107">
        <f>_xlfn.IFNA($M338/VLOOKUP($BU338,'Unit information'!$A$2:$K$29,7,FALSE)*W338,0)*(1+$E$9)</f>
        <v>0</v>
      </c>
      <c r="AZ338" s="107">
        <f>_xlfn.IFNA($M338/VLOOKUP($BU338,'Unit information'!$A$2:$K$29,8,FALSE)*X338,0)*(1+$E$9)</f>
        <v>0</v>
      </c>
      <c r="BA338" s="107">
        <f>_xlfn.IFNA($M338/VLOOKUP($BU338,'Unit information'!$A$2:$K$29,9,FALSE)*Y338,0)*(1+$E$9)</f>
        <v>0</v>
      </c>
      <c r="BB338" s="107">
        <f>_xlfn.IFNA($M338/VLOOKUP($BV338,'Unit information'!$A$2:$K$29,10,FALSE)*Z338,0)*(1+$E$9)</f>
        <v>0</v>
      </c>
      <c r="BC338" s="108">
        <f>_xlfn.IFNA($M338/VLOOKUP($BV338,'Unit information'!$A$2:$K$29,11,FALSE)*AA338,0)*(1+$E$9)</f>
        <v>0</v>
      </c>
      <c r="BD338" s="106">
        <f t="shared" si="473"/>
        <v>0</v>
      </c>
      <c r="BE338" s="107">
        <f t="shared" si="474"/>
        <v>0</v>
      </c>
      <c r="BF338" s="108">
        <f t="shared" si="475"/>
        <v>0</v>
      </c>
      <c r="BG338" s="25" t="e">
        <f t="shared" si="476"/>
        <v>#N/A</v>
      </c>
      <c r="BH338" s="25" t="e">
        <f t="shared" si="477"/>
        <v>#N/A</v>
      </c>
      <c r="BI338" s="25" t="e">
        <f t="shared" si="478"/>
        <v>#N/A</v>
      </c>
      <c r="BJ338" s="27" t="e">
        <f t="shared" si="479"/>
        <v>#N/A</v>
      </c>
      <c r="BK338" s="18" t="e">
        <f t="shared" si="480"/>
        <v>#N/A</v>
      </c>
      <c r="BL338" s="18" t="e">
        <f t="shared" si="481"/>
        <v>#N/A</v>
      </c>
      <c r="BM338" s="28" t="e">
        <f t="shared" si="437"/>
        <v>#N/A</v>
      </c>
      <c r="BN338" s="33">
        <f>HLOOKUP("maximum population",Miscelaneous!$C$1:$C$33,CH338+3,FALSE)</f>
        <v>240</v>
      </c>
      <c r="BO338" s="14">
        <f t="shared" si="493"/>
        <v>32</v>
      </c>
      <c r="BP338" s="14">
        <f t="shared" si="494"/>
        <v>0</v>
      </c>
      <c r="BQ338" s="14">
        <f t="shared" si="495"/>
        <v>208</v>
      </c>
      <c r="BR338" s="34" t="e">
        <f>HLOOKUP(J338,Villagers!$B$1:$V$33,L338+3,FALSE)-HLOOKUP(J338,Villagers!$B$1:$V$33,L338+2,FALSE)</f>
        <v>#N/A</v>
      </c>
      <c r="BS338" s="49">
        <f t="shared" si="496"/>
        <v>1</v>
      </c>
      <c r="BT338" s="50">
        <f t="shared" si="497"/>
        <v>0</v>
      </c>
      <c r="BU338" s="50">
        <f t="shared" si="498"/>
        <v>0</v>
      </c>
      <c r="BV338" s="50">
        <f t="shared" si="499"/>
        <v>0</v>
      </c>
      <c r="BW338" s="50">
        <f t="shared" si="500"/>
        <v>0</v>
      </c>
      <c r="BX338" s="50">
        <f t="shared" si="500"/>
        <v>0</v>
      </c>
      <c r="BY338" s="50">
        <f t="shared" si="500"/>
        <v>0</v>
      </c>
      <c r="BZ338" s="50">
        <f t="shared" si="440"/>
        <v>0</v>
      </c>
      <c r="CA338" s="50">
        <f t="shared" si="441"/>
        <v>0</v>
      </c>
      <c r="CB338" s="50">
        <f t="shared" si="442"/>
        <v>1</v>
      </c>
      <c r="CC338" s="50">
        <f t="shared" si="443"/>
        <v>0</v>
      </c>
      <c r="CD338" s="50">
        <f t="shared" si="444"/>
        <v>0</v>
      </c>
      <c r="CE338" s="50">
        <f t="shared" si="445"/>
        <v>1</v>
      </c>
      <c r="CF338" s="50">
        <f t="shared" si="446"/>
        <v>1</v>
      </c>
      <c r="CG338" s="50">
        <f t="shared" si="447"/>
        <v>1</v>
      </c>
      <c r="CH338" s="50">
        <f t="shared" si="448"/>
        <v>1</v>
      </c>
      <c r="CI338" s="50">
        <f t="shared" si="449"/>
        <v>1</v>
      </c>
      <c r="CJ338" s="50">
        <f t="shared" si="450"/>
        <v>1</v>
      </c>
      <c r="CK338" s="50">
        <f t="shared" si="450"/>
        <v>0</v>
      </c>
      <c r="CL338" s="50">
        <f t="shared" si="450"/>
        <v>0</v>
      </c>
      <c r="CM338" s="51">
        <f t="shared" si="482"/>
        <v>0</v>
      </c>
      <c r="CN338" s="33">
        <f>ROUND(IF(BS338=0,0,HLOOKUP(BS$14,Villagers!$B$1:$V$33,BS338+3,FALSE)),)</f>
        <v>5</v>
      </c>
      <c r="CO338" s="14">
        <f>ROUND(IF(BT338=0,0,HLOOKUP(BT$14,Villagers!$B$1:$V$33,BT338+3,FALSE)),)</f>
        <v>0</v>
      </c>
      <c r="CP338" s="14">
        <f>ROUND(IF(BU338=0,0,HLOOKUP(BU$14,Villagers!$B$1:$V$33,BU338+3,FALSE)),)</f>
        <v>0</v>
      </c>
      <c r="CQ338" s="14">
        <f>ROUND(IF(BV338=0,0,HLOOKUP(BV$14,Villagers!$B$1:$V$33,BV338+3,FALSE)),)</f>
        <v>0</v>
      </c>
      <c r="CR338" s="14">
        <f>ROUND(IF(BW338=0,0,HLOOKUP(BW$14,Villagers!$B$1:$V$33,BW338+3,FALSE)),)</f>
        <v>0</v>
      </c>
      <c r="CS338" s="14">
        <f>ROUND(IF(BX338=0,0,HLOOKUP(BX$14,Villagers!$B$1:$V$33,BX338+3,FALSE)),)</f>
        <v>0</v>
      </c>
      <c r="CT338" s="14">
        <f>ROUND(IF(BY338=0,0,HLOOKUP(BY$14,Villagers!$B$1:$V$33,BY338+3,FALSE)),)</f>
        <v>0</v>
      </c>
      <c r="CU338" s="14">
        <f>ROUND(IF(BZ338=0,0,HLOOKUP(BZ$14,Villagers!$B$1:$V$33,BZ338+3,FALSE)),)</f>
        <v>0</v>
      </c>
      <c r="CV338" s="14">
        <f>ROUND(IF(CA338=0,0,HLOOKUP(CA$14,Villagers!$B$1:$V$33,CA338+3,FALSE)),)</f>
        <v>0</v>
      </c>
      <c r="CW338" s="14">
        <f>ROUND(IF(CB338=0,0,HLOOKUP(CB$14,Villagers!$B$1:$V$33,CB338+3,FALSE)),)</f>
        <v>0</v>
      </c>
      <c r="CX338" s="14">
        <f>ROUND(IF(CC338=0,0,HLOOKUP(CC$14,Villagers!$B$1:$V$33,CC338+3,FALSE)),)</f>
        <v>0</v>
      </c>
      <c r="CY338" s="14">
        <f>ROUND(IF(CD338=0,0,HLOOKUP(CD$14,Villagers!$B$1:$V$33,CD338+3,FALSE)),)</f>
        <v>0</v>
      </c>
      <c r="CZ338" s="14">
        <f>ROUND(IF(CE338=0,0,HLOOKUP(CE$14,Villagers!$B$1:$V$33,CE338+3,FALSE)),)</f>
        <v>5</v>
      </c>
      <c r="DA338" s="14">
        <f>ROUND(IF(CF338=0,0,HLOOKUP(CF$14,Villagers!$B$1:$V$33,CF338+3,FALSE)),)</f>
        <v>10</v>
      </c>
      <c r="DB338" s="14">
        <f>ROUND(IF(CG338=0,0,HLOOKUP(CG$14,Villagers!$B$1:$V$33,CG338+3,FALSE)),)</f>
        <v>10</v>
      </c>
      <c r="DC338" s="14">
        <f>ROUND(IF(CH338=0,0,HLOOKUP(CH$14,Villagers!$B$1:$V$33,CH338+3,FALSE)),)</f>
        <v>0</v>
      </c>
      <c r="DD338" s="14">
        <f>ROUND(IF(CI338=0,0,HLOOKUP(CI$14,Villagers!$B$1:$V$33,CI338+3,FALSE)),)</f>
        <v>0</v>
      </c>
      <c r="DE338" s="14">
        <f>ROUND(IF(CJ338=0,0,HLOOKUP(CJ$14,Villagers!$B$1:$V$33,CJ338+3,FALSE)),)</f>
        <v>2</v>
      </c>
      <c r="DF338" s="370">
        <f>ROUND(IF(CK338=0,0,HLOOKUP(CK$14,Villagers!$B$1:$V$33,CK338+3,FALSE)),)</f>
        <v>0</v>
      </c>
      <c r="DG338" s="370">
        <f>ROUND(IF(CL338=0,0,HLOOKUP(CL$14,Villagers!$B$1:$V$33,CL338+3,FALSE)),)</f>
        <v>0</v>
      </c>
      <c r="DH338" s="34">
        <f>ROUND(IF(CM338=0,0,HLOOKUP(CM$14,Villagers!$B$1:$V$33,CM338+3,FALSE)),)</f>
        <v>0</v>
      </c>
      <c r="DI338" s="109">
        <f t="shared" si="516"/>
        <v>0</v>
      </c>
      <c r="DJ338" s="50">
        <f t="shared" si="517"/>
        <v>0</v>
      </c>
      <c r="DK338" s="50">
        <f t="shared" si="518"/>
        <v>0</v>
      </c>
      <c r="DL338" s="50">
        <f t="shared" si="519"/>
        <v>0</v>
      </c>
      <c r="DM338" s="50">
        <f t="shared" si="520"/>
        <v>0</v>
      </c>
      <c r="DN338" s="50">
        <f t="shared" si="521"/>
        <v>0</v>
      </c>
      <c r="DO338" s="50">
        <f t="shared" si="522"/>
        <v>0</v>
      </c>
      <c r="DP338" s="50">
        <f t="shared" si="523"/>
        <v>0</v>
      </c>
      <c r="DQ338" s="50">
        <f t="shared" si="501"/>
        <v>0</v>
      </c>
      <c r="DR338" s="50">
        <f t="shared" si="502"/>
        <v>0</v>
      </c>
      <c r="DS338" s="96">
        <f>Miscelaneous!$D$4*Miscelaneous!$D$2^($CI338-1)</f>
        <v>1000</v>
      </c>
      <c r="DT338" s="333">
        <f t="shared" si="483"/>
        <v>1</v>
      </c>
      <c r="DU338" s="81">
        <v>1</v>
      </c>
      <c r="DV338" s="79">
        <f t="shared" si="503"/>
        <v>0</v>
      </c>
      <c r="DW338" s="79">
        <f t="shared" si="504"/>
        <v>0</v>
      </c>
      <c r="DX338" s="79">
        <f t="shared" si="505"/>
        <v>0</v>
      </c>
      <c r="DY338" s="79">
        <v>1</v>
      </c>
      <c r="DZ338" s="79">
        <f t="shared" si="506"/>
        <v>0</v>
      </c>
      <c r="EA338" s="79">
        <f t="shared" si="507"/>
        <v>0</v>
      </c>
      <c r="EB338" s="79">
        <f t="shared" si="508"/>
        <v>0</v>
      </c>
      <c r="EC338" s="79">
        <f t="shared" si="509"/>
        <v>0</v>
      </c>
      <c r="ED338" s="79">
        <v>1</v>
      </c>
      <c r="EE338" s="79">
        <v>1</v>
      </c>
      <c r="EF338" s="79">
        <f t="shared" si="510"/>
        <v>0</v>
      </c>
      <c r="EG338" s="79">
        <v>1</v>
      </c>
      <c r="EH338" s="79">
        <v>1</v>
      </c>
      <c r="EI338" s="79">
        <v>1</v>
      </c>
      <c r="EJ338" s="79">
        <v>1</v>
      </c>
      <c r="EK338" s="79">
        <v>1</v>
      </c>
      <c r="EL338" s="79">
        <v>1</v>
      </c>
      <c r="EM338" s="143">
        <f t="shared" si="511"/>
        <v>0</v>
      </c>
      <c r="EN338" s="143">
        <f t="shared" si="512"/>
        <v>0</v>
      </c>
      <c r="EO338" s="82">
        <f t="shared" si="513"/>
        <v>0</v>
      </c>
    </row>
    <row r="339" spans="1:145" x14ac:dyDescent="0.25">
      <c r="A339">
        <v>325</v>
      </c>
      <c r="B339" s="172" t="e">
        <f t="shared" si="484"/>
        <v>#N/A</v>
      </c>
      <c r="C339" s="121" t="e">
        <f t="shared" si="462"/>
        <v>#N/A</v>
      </c>
      <c r="D339" s="122" t="e">
        <f t="shared" si="463"/>
        <v>#N/A</v>
      </c>
      <c r="E339" s="122" t="e">
        <f t="shared" si="464"/>
        <v>#N/A</v>
      </c>
      <c r="F339" s="176" t="e">
        <f t="shared" si="465"/>
        <v>#N/A</v>
      </c>
      <c r="G339" s="121">
        <f t="shared" si="485"/>
        <v>208</v>
      </c>
      <c r="H339" s="176" t="e">
        <f t="shared" si="486"/>
        <v>#N/A</v>
      </c>
      <c r="I339" s="48">
        <v>1</v>
      </c>
      <c r="J339" s="39"/>
      <c r="K339" s="350">
        <v>1</v>
      </c>
      <c r="L339" s="34" t="e">
        <f t="shared" si="466"/>
        <v>#N/A</v>
      </c>
      <c r="M339" s="38" t="e">
        <f>(HLOOKUP(J339,'Construction Times'!$B$3:$W$34,L339+2,FALSE)*HLOOKUP("hq modifier",'Construction Times'!$W$3:$W$34,BS339+2,FALSE))*(1-$H$9)</f>
        <v>#N/A</v>
      </c>
      <c r="N339" s="443" t="e">
        <f t="shared" si="487"/>
        <v>#N/A</v>
      </c>
      <c r="O339" s="444"/>
      <c r="P339" s="447" t="e">
        <f t="shared" si="488"/>
        <v>#N/A</v>
      </c>
      <c r="Q339" s="448"/>
      <c r="R339" s="103">
        <f t="shared" si="514"/>
        <v>0</v>
      </c>
      <c r="S339" s="104">
        <f t="shared" si="514"/>
        <v>0</v>
      </c>
      <c r="T339" s="104">
        <f t="shared" si="515"/>
        <v>0</v>
      </c>
      <c r="U339" s="104">
        <f t="shared" si="515"/>
        <v>0</v>
      </c>
      <c r="V339" s="104">
        <f t="shared" si="515"/>
        <v>9.9999999999999995E-8</v>
      </c>
      <c r="W339" s="104">
        <f t="shared" si="515"/>
        <v>0</v>
      </c>
      <c r="X339" s="104">
        <f t="shared" si="455"/>
        <v>0</v>
      </c>
      <c r="Y339" s="104">
        <f t="shared" si="455"/>
        <v>9.9999999999999995E-8</v>
      </c>
      <c r="Z339" s="104">
        <f t="shared" si="455"/>
        <v>9.9999999999999995E-8</v>
      </c>
      <c r="AA339" s="105">
        <f t="shared" si="455"/>
        <v>9.9999999999999995E-8</v>
      </c>
      <c r="AB339" s="101" t="e">
        <f>$DT339*HLOOKUP($J339,'Construction Costs (timber)'!$B$1:$V$32,'Construction Planner'!$L339+2,FALSE)</f>
        <v>#N/A</v>
      </c>
      <c r="AC339" s="14" t="e">
        <f>$DT339*HLOOKUP($J339,'Construction Costs (clay)'!$B$1:$V$32,'Construction Planner'!$L339+2,FALSE)</f>
        <v>#N/A</v>
      </c>
      <c r="AD339" s="14" t="e">
        <f>$DT339*HLOOKUP($J339,'Construction Costs (iron)'!$B$1:$V$32,'Construction Planner'!$L339+2,FALSE)</f>
        <v>#N/A</v>
      </c>
      <c r="AE339" s="34" t="e">
        <f t="shared" si="434"/>
        <v>#N/A</v>
      </c>
      <c r="AF339" s="33" t="e">
        <f t="shared" si="467"/>
        <v>#N/A</v>
      </c>
      <c r="AG339" s="14" t="e">
        <f t="shared" si="468"/>
        <v>#N/A</v>
      </c>
      <c r="AH339" s="14" t="e">
        <f t="shared" si="469"/>
        <v>#N/A</v>
      </c>
      <c r="AI339" s="34" t="e">
        <f t="shared" si="435"/>
        <v>#N/A</v>
      </c>
      <c r="AJ339" s="49" t="e">
        <f t="shared" si="489"/>
        <v>#N/A</v>
      </c>
      <c r="AK339" s="49" t="e">
        <f t="shared" si="490"/>
        <v>#N/A</v>
      </c>
      <c r="AL339" s="49" t="e">
        <f t="shared" si="491"/>
        <v>#N/A</v>
      </c>
      <c r="AM339" s="25">
        <f t="shared" si="470"/>
        <v>30</v>
      </c>
      <c r="AN339" s="25">
        <f t="shared" si="471"/>
        <v>30</v>
      </c>
      <c r="AO339" s="25">
        <f t="shared" si="472"/>
        <v>30</v>
      </c>
      <c r="AP339" s="52" t="e">
        <f t="shared" si="492"/>
        <v>#N/A</v>
      </c>
      <c r="AQ339" s="53" t="e">
        <f t="shared" si="492"/>
        <v>#N/A</v>
      </c>
      <c r="AR339" s="54" t="e">
        <f t="shared" si="492"/>
        <v>#N/A</v>
      </c>
      <c r="AS339" s="316">
        <f t="shared" si="461"/>
        <v>0</v>
      </c>
      <c r="AT339" s="106">
        <f>_xlfn.IFNA($M339/VLOOKUP($BT339,'Unit information'!$A$2:$K$29,2,FALSE)*R339,0)*(1+$E$9)</f>
        <v>0</v>
      </c>
      <c r="AU339" s="107">
        <f>_xlfn.IFNA($M339/VLOOKUP($BT339,'Unit information'!$A$2:$K$29,3,FALSE)*S339,0)*(1+$E$9)</f>
        <v>0</v>
      </c>
      <c r="AV339" s="107">
        <f>_xlfn.IFNA($M339/VLOOKUP($BT339,'Unit information'!$A$2:$K$29,4,FALSE)*T339,0)*(1+$E$9)</f>
        <v>0</v>
      </c>
      <c r="AW339" s="107">
        <f>_xlfn.IFNA($M339/VLOOKUP($BT339,'Unit information'!$A$2:$K$29,5,FALSE)*U339,0)*(1+$E$9)</f>
        <v>0</v>
      </c>
      <c r="AX339" s="107">
        <f>_xlfn.IFNA($M339/VLOOKUP($BU339,'Unit information'!$A$2:$K$29,6,FALSE)*V339,0)*(1+$E$9)</f>
        <v>0</v>
      </c>
      <c r="AY339" s="107">
        <f>_xlfn.IFNA($M339/VLOOKUP($BU339,'Unit information'!$A$2:$K$29,7,FALSE)*W339,0)*(1+$E$9)</f>
        <v>0</v>
      </c>
      <c r="AZ339" s="107">
        <f>_xlfn.IFNA($M339/VLOOKUP($BU339,'Unit information'!$A$2:$K$29,8,FALSE)*X339,0)*(1+$E$9)</f>
        <v>0</v>
      </c>
      <c r="BA339" s="107">
        <f>_xlfn.IFNA($M339/VLOOKUP($BU339,'Unit information'!$A$2:$K$29,9,FALSE)*Y339,0)*(1+$E$9)</f>
        <v>0</v>
      </c>
      <c r="BB339" s="107">
        <f>_xlfn.IFNA($M339/VLOOKUP($BV339,'Unit information'!$A$2:$K$29,10,FALSE)*Z339,0)*(1+$E$9)</f>
        <v>0</v>
      </c>
      <c r="BC339" s="108">
        <f>_xlfn.IFNA($M339/VLOOKUP($BV339,'Unit information'!$A$2:$K$29,11,FALSE)*AA339,0)*(1+$E$9)</f>
        <v>0</v>
      </c>
      <c r="BD339" s="106">
        <f t="shared" si="473"/>
        <v>0</v>
      </c>
      <c r="BE339" s="107">
        <f t="shared" si="474"/>
        <v>0</v>
      </c>
      <c r="BF339" s="108">
        <f t="shared" si="475"/>
        <v>0</v>
      </c>
      <c r="BG339" s="25" t="e">
        <f t="shared" si="476"/>
        <v>#N/A</v>
      </c>
      <c r="BH339" s="25" t="e">
        <f t="shared" si="477"/>
        <v>#N/A</v>
      </c>
      <c r="BI339" s="25" t="e">
        <f t="shared" si="478"/>
        <v>#N/A</v>
      </c>
      <c r="BJ339" s="27" t="e">
        <f t="shared" si="479"/>
        <v>#N/A</v>
      </c>
      <c r="BK339" s="18" t="e">
        <f t="shared" si="480"/>
        <v>#N/A</v>
      </c>
      <c r="BL339" s="18" t="e">
        <f t="shared" si="481"/>
        <v>#N/A</v>
      </c>
      <c r="BM339" s="28" t="e">
        <f t="shared" si="437"/>
        <v>#N/A</v>
      </c>
      <c r="BN339" s="33">
        <f>HLOOKUP("maximum population",Miscelaneous!$C$1:$C$33,CH339+3,FALSE)</f>
        <v>240</v>
      </c>
      <c r="BO339" s="14">
        <f t="shared" si="493"/>
        <v>32</v>
      </c>
      <c r="BP339" s="14">
        <f t="shared" si="494"/>
        <v>0</v>
      </c>
      <c r="BQ339" s="14">
        <f t="shared" si="495"/>
        <v>208</v>
      </c>
      <c r="BR339" s="34" t="e">
        <f>HLOOKUP(J339,Villagers!$B$1:$V$33,L339+3,FALSE)-HLOOKUP(J339,Villagers!$B$1:$V$33,L339+2,FALSE)</f>
        <v>#N/A</v>
      </c>
      <c r="BS339" s="49">
        <f t="shared" si="496"/>
        <v>1</v>
      </c>
      <c r="BT339" s="50">
        <f t="shared" si="497"/>
        <v>0</v>
      </c>
      <c r="BU339" s="50">
        <f t="shared" si="498"/>
        <v>0</v>
      </c>
      <c r="BV339" s="50">
        <f t="shared" si="499"/>
        <v>0</v>
      </c>
      <c r="BW339" s="50">
        <f t="shared" si="500"/>
        <v>0</v>
      </c>
      <c r="BX339" s="50">
        <f t="shared" si="500"/>
        <v>0</v>
      </c>
      <c r="BY339" s="50">
        <f t="shared" si="500"/>
        <v>0</v>
      </c>
      <c r="BZ339" s="50">
        <f t="shared" si="440"/>
        <v>0</v>
      </c>
      <c r="CA339" s="50">
        <f t="shared" si="441"/>
        <v>0</v>
      </c>
      <c r="CB339" s="50">
        <f t="shared" si="442"/>
        <v>1</v>
      </c>
      <c r="CC339" s="50">
        <f t="shared" si="443"/>
        <v>0</v>
      </c>
      <c r="CD339" s="50">
        <f t="shared" si="444"/>
        <v>0</v>
      </c>
      <c r="CE339" s="50">
        <f t="shared" si="445"/>
        <v>1</v>
      </c>
      <c r="CF339" s="50">
        <f t="shared" si="446"/>
        <v>1</v>
      </c>
      <c r="CG339" s="50">
        <f t="shared" si="447"/>
        <v>1</v>
      </c>
      <c r="CH339" s="50">
        <f t="shared" si="448"/>
        <v>1</v>
      </c>
      <c r="CI339" s="50">
        <f t="shared" si="449"/>
        <v>1</v>
      </c>
      <c r="CJ339" s="50">
        <f t="shared" si="450"/>
        <v>1</v>
      </c>
      <c r="CK339" s="50">
        <f t="shared" si="450"/>
        <v>0</v>
      </c>
      <c r="CL339" s="50">
        <f t="shared" si="450"/>
        <v>0</v>
      </c>
      <c r="CM339" s="51">
        <f t="shared" si="482"/>
        <v>0</v>
      </c>
      <c r="CN339" s="33">
        <f>ROUND(IF(BS339=0,0,HLOOKUP(BS$14,Villagers!$B$1:$V$33,BS339+3,FALSE)),)</f>
        <v>5</v>
      </c>
      <c r="CO339" s="14">
        <f>ROUND(IF(BT339=0,0,HLOOKUP(BT$14,Villagers!$B$1:$V$33,BT339+3,FALSE)),)</f>
        <v>0</v>
      </c>
      <c r="CP339" s="14">
        <f>ROUND(IF(BU339=0,0,HLOOKUP(BU$14,Villagers!$B$1:$V$33,BU339+3,FALSE)),)</f>
        <v>0</v>
      </c>
      <c r="CQ339" s="14">
        <f>ROUND(IF(BV339=0,0,HLOOKUP(BV$14,Villagers!$B$1:$V$33,BV339+3,FALSE)),)</f>
        <v>0</v>
      </c>
      <c r="CR339" s="14">
        <f>ROUND(IF(BW339=0,0,HLOOKUP(BW$14,Villagers!$B$1:$V$33,BW339+3,FALSE)),)</f>
        <v>0</v>
      </c>
      <c r="CS339" s="14">
        <f>ROUND(IF(BX339=0,0,HLOOKUP(BX$14,Villagers!$B$1:$V$33,BX339+3,FALSE)),)</f>
        <v>0</v>
      </c>
      <c r="CT339" s="14">
        <f>ROUND(IF(BY339=0,0,HLOOKUP(BY$14,Villagers!$B$1:$V$33,BY339+3,FALSE)),)</f>
        <v>0</v>
      </c>
      <c r="CU339" s="14">
        <f>ROUND(IF(BZ339=0,0,HLOOKUP(BZ$14,Villagers!$B$1:$V$33,BZ339+3,FALSE)),)</f>
        <v>0</v>
      </c>
      <c r="CV339" s="14">
        <f>ROUND(IF(CA339=0,0,HLOOKUP(CA$14,Villagers!$B$1:$V$33,CA339+3,FALSE)),)</f>
        <v>0</v>
      </c>
      <c r="CW339" s="14">
        <f>ROUND(IF(CB339=0,0,HLOOKUP(CB$14,Villagers!$B$1:$V$33,CB339+3,FALSE)),)</f>
        <v>0</v>
      </c>
      <c r="CX339" s="14">
        <f>ROUND(IF(CC339=0,0,HLOOKUP(CC$14,Villagers!$B$1:$V$33,CC339+3,FALSE)),)</f>
        <v>0</v>
      </c>
      <c r="CY339" s="14">
        <f>ROUND(IF(CD339=0,0,HLOOKUP(CD$14,Villagers!$B$1:$V$33,CD339+3,FALSE)),)</f>
        <v>0</v>
      </c>
      <c r="CZ339" s="14">
        <f>ROUND(IF(CE339=0,0,HLOOKUP(CE$14,Villagers!$B$1:$V$33,CE339+3,FALSE)),)</f>
        <v>5</v>
      </c>
      <c r="DA339" s="14">
        <f>ROUND(IF(CF339=0,0,HLOOKUP(CF$14,Villagers!$B$1:$V$33,CF339+3,FALSE)),)</f>
        <v>10</v>
      </c>
      <c r="DB339" s="14">
        <f>ROUND(IF(CG339=0,0,HLOOKUP(CG$14,Villagers!$B$1:$V$33,CG339+3,FALSE)),)</f>
        <v>10</v>
      </c>
      <c r="DC339" s="14">
        <f>ROUND(IF(CH339=0,0,HLOOKUP(CH$14,Villagers!$B$1:$V$33,CH339+3,FALSE)),)</f>
        <v>0</v>
      </c>
      <c r="DD339" s="14">
        <f>ROUND(IF(CI339=0,0,HLOOKUP(CI$14,Villagers!$B$1:$V$33,CI339+3,FALSE)),)</f>
        <v>0</v>
      </c>
      <c r="DE339" s="14">
        <f>ROUND(IF(CJ339=0,0,HLOOKUP(CJ$14,Villagers!$B$1:$V$33,CJ339+3,FALSE)),)</f>
        <v>2</v>
      </c>
      <c r="DF339" s="370">
        <f>ROUND(IF(CK339=0,0,HLOOKUP(CK$14,Villagers!$B$1:$V$33,CK339+3,FALSE)),)</f>
        <v>0</v>
      </c>
      <c r="DG339" s="370">
        <f>ROUND(IF(CL339=0,0,HLOOKUP(CL$14,Villagers!$B$1:$V$33,CL339+3,FALSE)),)</f>
        <v>0</v>
      </c>
      <c r="DH339" s="34">
        <f>ROUND(IF(CM339=0,0,HLOOKUP(CM$14,Villagers!$B$1:$V$33,CM339+3,FALSE)),)</f>
        <v>0</v>
      </c>
      <c r="DI339" s="109">
        <f t="shared" si="516"/>
        <v>0</v>
      </c>
      <c r="DJ339" s="50">
        <f t="shared" si="517"/>
        <v>0</v>
      </c>
      <c r="DK339" s="50">
        <f t="shared" si="518"/>
        <v>0</v>
      </c>
      <c r="DL339" s="50">
        <f t="shared" si="519"/>
        <v>0</v>
      </c>
      <c r="DM339" s="50">
        <f t="shared" si="520"/>
        <v>0</v>
      </c>
      <c r="DN339" s="50">
        <f t="shared" si="521"/>
        <v>0</v>
      </c>
      <c r="DO339" s="50">
        <f t="shared" si="522"/>
        <v>0</v>
      </c>
      <c r="DP339" s="50">
        <f t="shared" si="523"/>
        <v>0</v>
      </c>
      <c r="DQ339" s="50">
        <f t="shared" si="501"/>
        <v>0</v>
      </c>
      <c r="DR339" s="50">
        <f t="shared" si="502"/>
        <v>0</v>
      </c>
      <c r="DS339" s="96">
        <f>Miscelaneous!$D$4*Miscelaneous!$D$2^($CI339-1)</f>
        <v>1000</v>
      </c>
      <c r="DT339" s="333">
        <f t="shared" si="483"/>
        <v>1</v>
      </c>
      <c r="DU339" s="81">
        <v>1</v>
      </c>
      <c r="DV339" s="79">
        <f t="shared" si="503"/>
        <v>0</v>
      </c>
      <c r="DW339" s="79">
        <f t="shared" si="504"/>
        <v>0</v>
      </c>
      <c r="DX339" s="79">
        <f t="shared" si="505"/>
        <v>0</v>
      </c>
      <c r="DY339" s="79">
        <v>1</v>
      </c>
      <c r="DZ339" s="79">
        <f t="shared" si="506"/>
        <v>0</v>
      </c>
      <c r="EA339" s="79">
        <f t="shared" si="507"/>
        <v>0</v>
      </c>
      <c r="EB339" s="79">
        <f t="shared" si="508"/>
        <v>0</v>
      </c>
      <c r="EC339" s="79">
        <f t="shared" si="509"/>
        <v>0</v>
      </c>
      <c r="ED339" s="79">
        <v>1</v>
      </c>
      <c r="EE339" s="79">
        <v>1</v>
      </c>
      <c r="EF339" s="79">
        <f t="shared" si="510"/>
        <v>0</v>
      </c>
      <c r="EG339" s="79">
        <v>1</v>
      </c>
      <c r="EH339" s="79">
        <v>1</v>
      </c>
      <c r="EI339" s="79">
        <v>1</v>
      </c>
      <c r="EJ339" s="79">
        <v>1</v>
      </c>
      <c r="EK339" s="79">
        <v>1</v>
      </c>
      <c r="EL339" s="79">
        <v>1</v>
      </c>
      <c r="EM339" s="143">
        <f t="shared" si="511"/>
        <v>0</v>
      </c>
      <c r="EN339" s="143">
        <f t="shared" si="512"/>
        <v>0</v>
      </c>
      <c r="EO339" s="82">
        <f t="shared" si="513"/>
        <v>0</v>
      </c>
    </row>
    <row r="340" spans="1:145" x14ac:dyDescent="0.25">
      <c r="A340">
        <v>326</v>
      </c>
      <c r="B340" s="172" t="e">
        <f t="shared" si="484"/>
        <v>#N/A</v>
      </c>
      <c r="C340" s="121" t="e">
        <f t="shared" si="462"/>
        <v>#N/A</v>
      </c>
      <c r="D340" s="122" t="e">
        <f t="shared" si="463"/>
        <v>#N/A</v>
      </c>
      <c r="E340" s="122" t="e">
        <f t="shared" si="464"/>
        <v>#N/A</v>
      </c>
      <c r="F340" s="176" t="e">
        <f t="shared" si="465"/>
        <v>#N/A</v>
      </c>
      <c r="G340" s="121">
        <f t="shared" si="485"/>
        <v>208</v>
      </c>
      <c r="H340" s="176" t="e">
        <f t="shared" si="486"/>
        <v>#N/A</v>
      </c>
      <c r="I340" s="48">
        <v>1</v>
      </c>
      <c r="J340" s="39"/>
      <c r="K340" s="350">
        <v>1</v>
      </c>
      <c r="L340" s="34" t="e">
        <f t="shared" si="466"/>
        <v>#N/A</v>
      </c>
      <c r="M340" s="38" t="e">
        <f>(HLOOKUP(J340,'Construction Times'!$B$3:$W$34,L340+2,FALSE)*HLOOKUP("hq modifier",'Construction Times'!$W$3:$W$34,BS340+2,FALSE))*(1-$H$9)</f>
        <v>#N/A</v>
      </c>
      <c r="N340" s="443" t="e">
        <f t="shared" si="487"/>
        <v>#N/A</v>
      </c>
      <c r="O340" s="444"/>
      <c r="P340" s="447" t="e">
        <f t="shared" si="488"/>
        <v>#N/A</v>
      </c>
      <c r="Q340" s="448"/>
      <c r="R340" s="103">
        <f t="shared" si="514"/>
        <v>0</v>
      </c>
      <c r="S340" s="104">
        <f t="shared" si="514"/>
        <v>0</v>
      </c>
      <c r="T340" s="104">
        <f t="shared" si="515"/>
        <v>0</v>
      </c>
      <c r="U340" s="104">
        <f t="shared" si="515"/>
        <v>0</v>
      </c>
      <c r="V340" s="104">
        <f t="shared" si="515"/>
        <v>9.9999999999999995E-8</v>
      </c>
      <c r="W340" s="104">
        <f t="shared" si="515"/>
        <v>0</v>
      </c>
      <c r="X340" s="104">
        <f t="shared" si="455"/>
        <v>0</v>
      </c>
      <c r="Y340" s="104">
        <f t="shared" si="455"/>
        <v>9.9999999999999995E-8</v>
      </c>
      <c r="Z340" s="104">
        <f t="shared" si="455"/>
        <v>9.9999999999999995E-8</v>
      </c>
      <c r="AA340" s="105">
        <f t="shared" si="455"/>
        <v>9.9999999999999995E-8</v>
      </c>
      <c r="AB340" s="101" t="e">
        <f>$DT340*HLOOKUP($J340,'Construction Costs (timber)'!$B$1:$V$32,'Construction Planner'!$L340+2,FALSE)</f>
        <v>#N/A</v>
      </c>
      <c r="AC340" s="14" t="e">
        <f>$DT340*HLOOKUP($J340,'Construction Costs (clay)'!$B$1:$V$32,'Construction Planner'!$L340+2,FALSE)</f>
        <v>#N/A</v>
      </c>
      <c r="AD340" s="14" t="e">
        <f>$DT340*HLOOKUP($J340,'Construction Costs (iron)'!$B$1:$V$32,'Construction Planner'!$L340+2,FALSE)</f>
        <v>#N/A</v>
      </c>
      <c r="AE340" s="34" t="e">
        <f t="shared" ref="AE340:AE403" si="524">SUM(AB340:AD340)</f>
        <v>#N/A</v>
      </c>
      <c r="AF340" s="33" t="e">
        <f t="shared" si="467"/>
        <v>#N/A</v>
      </c>
      <c r="AG340" s="14" t="e">
        <f t="shared" si="468"/>
        <v>#N/A</v>
      </c>
      <c r="AH340" s="14" t="e">
        <f t="shared" si="469"/>
        <v>#N/A</v>
      </c>
      <c r="AI340" s="34" t="e">
        <f t="shared" ref="AI340:AI403" si="525">SUM(AF340:AH340)</f>
        <v>#N/A</v>
      </c>
      <c r="AJ340" s="49" t="e">
        <f t="shared" si="489"/>
        <v>#N/A</v>
      </c>
      <c r="AK340" s="49" t="e">
        <f t="shared" si="490"/>
        <v>#N/A</v>
      </c>
      <c r="AL340" s="49" t="e">
        <f t="shared" si="491"/>
        <v>#N/A</v>
      </c>
      <c r="AM340" s="25">
        <f t="shared" si="470"/>
        <v>30</v>
      </c>
      <c r="AN340" s="25">
        <f t="shared" si="471"/>
        <v>30</v>
      </c>
      <c r="AO340" s="25">
        <f t="shared" si="472"/>
        <v>30</v>
      </c>
      <c r="AP340" s="52" t="e">
        <f t="shared" si="492"/>
        <v>#N/A</v>
      </c>
      <c r="AQ340" s="53" t="e">
        <f t="shared" si="492"/>
        <v>#N/A</v>
      </c>
      <c r="AR340" s="54" t="e">
        <f t="shared" si="492"/>
        <v>#N/A</v>
      </c>
      <c r="AS340" s="316">
        <f t="shared" ref="AS340:AS355" si="526">AS339</f>
        <v>0</v>
      </c>
      <c r="AT340" s="106">
        <f>_xlfn.IFNA($M340/VLOOKUP($BT340,'Unit information'!$A$2:$K$29,2,FALSE)*R340,0)*(1+$E$9)</f>
        <v>0</v>
      </c>
      <c r="AU340" s="107">
        <f>_xlfn.IFNA($M340/VLOOKUP($BT340,'Unit information'!$A$2:$K$29,3,FALSE)*S340,0)*(1+$E$9)</f>
        <v>0</v>
      </c>
      <c r="AV340" s="107">
        <f>_xlfn.IFNA($M340/VLOOKUP($BT340,'Unit information'!$A$2:$K$29,4,FALSE)*T340,0)*(1+$E$9)</f>
        <v>0</v>
      </c>
      <c r="AW340" s="107">
        <f>_xlfn.IFNA($M340/VLOOKUP($BT340,'Unit information'!$A$2:$K$29,5,FALSE)*U340,0)*(1+$E$9)</f>
        <v>0</v>
      </c>
      <c r="AX340" s="107">
        <f>_xlfn.IFNA($M340/VLOOKUP($BU340,'Unit information'!$A$2:$K$29,6,FALSE)*V340,0)*(1+$E$9)</f>
        <v>0</v>
      </c>
      <c r="AY340" s="107">
        <f>_xlfn.IFNA($M340/VLOOKUP($BU340,'Unit information'!$A$2:$K$29,7,FALSE)*W340,0)*(1+$E$9)</f>
        <v>0</v>
      </c>
      <c r="AZ340" s="107">
        <f>_xlfn.IFNA($M340/VLOOKUP($BU340,'Unit information'!$A$2:$K$29,8,FALSE)*X340,0)*(1+$E$9)</f>
        <v>0</v>
      </c>
      <c r="BA340" s="107">
        <f>_xlfn.IFNA($M340/VLOOKUP($BU340,'Unit information'!$A$2:$K$29,9,FALSE)*Y340,0)*(1+$E$9)</f>
        <v>0</v>
      </c>
      <c r="BB340" s="107">
        <f>_xlfn.IFNA($M340/VLOOKUP($BV340,'Unit information'!$A$2:$K$29,10,FALSE)*Z340,0)*(1+$E$9)</f>
        <v>0</v>
      </c>
      <c r="BC340" s="108">
        <f>_xlfn.IFNA($M340/VLOOKUP($BV340,'Unit information'!$A$2:$K$29,11,FALSE)*AA340,0)*(1+$E$9)</f>
        <v>0</v>
      </c>
      <c r="BD340" s="106">
        <f t="shared" si="473"/>
        <v>0</v>
      </c>
      <c r="BE340" s="107">
        <f t="shared" si="474"/>
        <v>0</v>
      </c>
      <c r="BF340" s="108">
        <f t="shared" si="475"/>
        <v>0</v>
      </c>
      <c r="BG340" s="25" t="e">
        <f t="shared" si="476"/>
        <v>#N/A</v>
      </c>
      <c r="BH340" s="25" t="e">
        <f t="shared" si="477"/>
        <v>#N/A</v>
      </c>
      <c r="BI340" s="25" t="e">
        <f t="shared" si="478"/>
        <v>#N/A</v>
      </c>
      <c r="BJ340" s="27" t="e">
        <f t="shared" si="479"/>
        <v>#N/A</v>
      </c>
      <c r="BK340" s="18" t="e">
        <f t="shared" si="480"/>
        <v>#N/A</v>
      </c>
      <c r="BL340" s="18" t="e">
        <f t="shared" si="481"/>
        <v>#N/A</v>
      </c>
      <c r="BM340" s="28" t="e">
        <f t="shared" ref="BM340:BM403" si="527">MAX(BJ340:BL340)</f>
        <v>#N/A</v>
      </c>
      <c r="BN340" s="33">
        <f>HLOOKUP("maximum population",Miscelaneous!$C$1:$C$33,CH340+3,FALSE)</f>
        <v>240</v>
      </c>
      <c r="BO340" s="14">
        <f t="shared" si="493"/>
        <v>32</v>
      </c>
      <c r="BP340" s="14">
        <f t="shared" si="494"/>
        <v>0</v>
      </c>
      <c r="BQ340" s="14">
        <f t="shared" si="495"/>
        <v>208</v>
      </c>
      <c r="BR340" s="34" t="e">
        <f>HLOOKUP(J340,Villagers!$B$1:$V$33,L340+3,FALSE)-HLOOKUP(J340,Villagers!$B$1:$V$33,L340+2,FALSE)</f>
        <v>#N/A</v>
      </c>
      <c r="BS340" s="49">
        <f t="shared" si="496"/>
        <v>1</v>
      </c>
      <c r="BT340" s="50">
        <f t="shared" si="497"/>
        <v>0</v>
      </c>
      <c r="BU340" s="50">
        <f t="shared" si="498"/>
        <v>0</v>
      </c>
      <c r="BV340" s="50">
        <f t="shared" si="499"/>
        <v>0</v>
      </c>
      <c r="BW340" s="50">
        <f t="shared" si="500"/>
        <v>0</v>
      </c>
      <c r="BX340" s="50">
        <f t="shared" si="500"/>
        <v>0</v>
      </c>
      <c r="BY340" s="50">
        <f t="shared" si="500"/>
        <v>0</v>
      </c>
      <c r="BZ340" s="50">
        <f t="shared" si="440"/>
        <v>0</v>
      </c>
      <c r="CA340" s="50">
        <f t="shared" si="441"/>
        <v>0</v>
      </c>
      <c r="CB340" s="50">
        <f t="shared" si="442"/>
        <v>1</v>
      </c>
      <c r="CC340" s="50">
        <f t="shared" si="443"/>
        <v>0</v>
      </c>
      <c r="CD340" s="50">
        <f t="shared" si="444"/>
        <v>0</v>
      </c>
      <c r="CE340" s="50">
        <f t="shared" si="445"/>
        <v>1</v>
      </c>
      <c r="CF340" s="50">
        <f t="shared" si="446"/>
        <v>1</v>
      </c>
      <c r="CG340" s="50">
        <f t="shared" si="447"/>
        <v>1</v>
      </c>
      <c r="CH340" s="50">
        <f t="shared" si="448"/>
        <v>1</v>
      </c>
      <c r="CI340" s="50">
        <f t="shared" si="449"/>
        <v>1</v>
      </c>
      <c r="CJ340" s="50">
        <f t="shared" si="450"/>
        <v>1</v>
      </c>
      <c r="CK340" s="50">
        <f t="shared" si="450"/>
        <v>0</v>
      </c>
      <c r="CL340" s="50">
        <f t="shared" si="450"/>
        <v>0</v>
      </c>
      <c r="CM340" s="51">
        <f t="shared" si="482"/>
        <v>0</v>
      </c>
      <c r="CN340" s="33">
        <f>ROUND(IF(BS340=0,0,HLOOKUP(BS$14,Villagers!$B$1:$V$33,BS340+3,FALSE)),)</f>
        <v>5</v>
      </c>
      <c r="CO340" s="14">
        <f>ROUND(IF(BT340=0,0,HLOOKUP(BT$14,Villagers!$B$1:$V$33,BT340+3,FALSE)),)</f>
        <v>0</v>
      </c>
      <c r="CP340" s="14">
        <f>ROUND(IF(BU340=0,0,HLOOKUP(BU$14,Villagers!$B$1:$V$33,BU340+3,FALSE)),)</f>
        <v>0</v>
      </c>
      <c r="CQ340" s="14">
        <f>ROUND(IF(BV340=0,0,HLOOKUP(BV$14,Villagers!$B$1:$V$33,BV340+3,FALSE)),)</f>
        <v>0</v>
      </c>
      <c r="CR340" s="14">
        <f>ROUND(IF(BW340=0,0,HLOOKUP(BW$14,Villagers!$B$1:$V$33,BW340+3,FALSE)),)</f>
        <v>0</v>
      </c>
      <c r="CS340" s="14">
        <f>ROUND(IF(BX340=0,0,HLOOKUP(BX$14,Villagers!$B$1:$V$33,BX340+3,FALSE)),)</f>
        <v>0</v>
      </c>
      <c r="CT340" s="14">
        <f>ROUND(IF(BY340=0,0,HLOOKUP(BY$14,Villagers!$B$1:$V$33,BY340+3,FALSE)),)</f>
        <v>0</v>
      </c>
      <c r="CU340" s="14">
        <f>ROUND(IF(BZ340=0,0,HLOOKUP(BZ$14,Villagers!$B$1:$V$33,BZ340+3,FALSE)),)</f>
        <v>0</v>
      </c>
      <c r="CV340" s="14">
        <f>ROUND(IF(CA340=0,0,HLOOKUP(CA$14,Villagers!$B$1:$V$33,CA340+3,FALSE)),)</f>
        <v>0</v>
      </c>
      <c r="CW340" s="14">
        <f>ROUND(IF(CB340=0,0,HLOOKUP(CB$14,Villagers!$B$1:$V$33,CB340+3,FALSE)),)</f>
        <v>0</v>
      </c>
      <c r="CX340" s="14">
        <f>ROUND(IF(CC340=0,0,HLOOKUP(CC$14,Villagers!$B$1:$V$33,CC340+3,FALSE)),)</f>
        <v>0</v>
      </c>
      <c r="CY340" s="14">
        <f>ROUND(IF(CD340=0,0,HLOOKUP(CD$14,Villagers!$B$1:$V$33,CD340+3,FALSE)),)</f>
        <v>0</v>
      </c>
      <c r="CZ340" s="14">
        <f>ROUND(IF(CE340=0,0,HLOOKUP(CE$14,Villagers!$B$1:$V$33,CE340+3,FALSE)),)</f>
        <v>5</v>
      </c>
      <c r="DA340" s="14">
        <f>ROUND(IF(CF340=0,0,HLOOKUP(CF$14,Villagers!$B$1:$V$33,CF340+3,FALSE)),)</f>
        <v>10</v>
      </c>
      <c r="DB340" s="14">
        <f>ROUND(IF(CG340=0,0,HLOOKUP(CG$14,Villagers!$B$1:$V$33,CG340+3,FALSE)),)</f>
        <v>10</v>
      </c>
      <c r="DC340" s="14">
        <f>ROUND(IF(CH340=0,0,HLOOKUP(CH$14,Villagers!$B$1:$V$33,CH340+3,FALSE)),)</f>
        <v>0</v>
      </c>
      <c r="DD340" s="14">
        <f>ROUND(IF(CI340=0,0,HLOOKUP(CI$14,Villagers!$B$1:$V$33,CI340+3,FALSE)),)</f>
        <v>0</v>
      </c>
      <c r="DE340" s="14">
        <f>ROUND(IF(CJ340=0,0,HLOOKUP(CJ$14,Villagers!$B$1:$V$33,CJ340+3,FALSE)),)</f>
        <v>2</v>
      </c>
      <c r="DF340" s="370">
        <f>ROUND(IF(CK340=0,0,HLOOKUP(CK$14,Villagers!$B$1:$V$33,CK340+3,FALSE)),)</f>
        <v>0</v>
      </c>
      <c r="DG340" s="370">
        <f>ROUND(IF(CL340=0,0,HLOOKUP(CL$14,Villagers!$B$1:$V$33,CL340+3,FALSE)),)</f>
        <v>0</v>
      </c>
      <c r="DH340" s="34">
        <f>ROUND(IF(CM340=0,0,HLOOKUP(CM$14,Villagers!$B$1:$V$33,CM340+3,FALSE)),)</f>
        <v>0</v>
      </c>
      <c r="DI340" s="109">
        <f t="shared" si="516"/>
        <v>0</v>
      </c>
      <c r="DJ340" s="50">
        <f t="shared" si="517"/>
        <v>0</v>
      </c>
      <c r="DK340" s="50">
        <f t="shared" si="518"/>
        <v>0</v>
      </c>
      <c r="DL340" s="50">
        <f t="shared" si="519"/>
        <v>0</v>
      </c>
      <c r="DM340" s="50">
        <f t="shared" si="520"/>
        <v>0</v>
      </c>
      <c r="DN340" s="50">
        <f t="shared" si="521"/>
        <v>0</v>
      </c>
      <c r="DO340" s="50">
        <f t="shared" si="522"/>
        <v>0</v>
      </c>
      <c r="DP340" s="50">
        <f t="shared" si="523"/>
        <v>0</v>
      </c>
      <c r="DQ340" s="50">
        <f t="shared" si="501"/>
        <v>0</v>
      </c>
      <c r="DR340" s="50">
        <f t="shared" si="502"/>
        <v>0</v>
      </c>
      <c r="DS340" s="96">
        <f>Miscelaneous!$D$4*Miscelaneous!$D$2^($CI340-1)</f>
        <v>1000</v>
      </c>
      <c r="DT340" s="333">
        <f t="shared" si="483"/>
        <v>1</v>
      </c>
      <c r="DU340" s="81">
        <v>1</v>
      </c>
      <c r="DV340" s="79">
        <f t="shared" si="503"/>
        <v>0</v>
      </c>
      <c r="DW340" s="79">
        <f t="shared" si="504"/>
        <v>0</v>
      </c>
      <c r="DX340" s="79">
        <f t="shared" si="505"/>
        <v>0</v>
      </c>
      <c r="DY340" s="79">
        <v>1</v>
      </c>
      <c r="DZ340" s="79">
        <f t="shared" si="506"/>
        <v>0</v>
      </c>
      <c r="EA340" s="79">
        <f t="shared" si="507"/>
        <v>0</v>
      </c>
      <c r="EB340" s="79">
        <f t="shared" si="508"/>
        <v>0</v>
      </c>
      <c r="EC340" s="79">
        <f t="shared" si="509"/>
        <v>0</v>
      </c>
      <c r="ED340" s="79">
        <v>1</v>
      </c>
      <c r="EE340" s="79">
        <v>1</v>
      </c>
      <c r="EF340" s="79">
        <f t="shared" si="510"/>
        <v>0</v>
      </c>
      <c r="EG340" s="79">
        <v>1</v>
      </c>
      <c r="EH340" s="79">
        <v>1</v>
      </c>
      <c r="EI340" s="79">
        <v>1</v>
      </c>
      <c r="EJ340" s="79">
        <v>1</v>
      </c>
      <c r="EK340" s="79">
        <v>1</v>
      </c>
      <c r="EL340" s="79">
        <v>1</v>
      </c>
      <c r="EM340" s="143">
        <f t="shared" si="511"/>
        <v>0</v>
      </c>
      <c r="EN340" s="143">
        <f t="shared" si="512"/>
        <v>0</v>
      </c>
      <c r="EO340" s="82">
        <f t="shared" si="513"/>
        <v>0</v>
      </c>
    </row>
    <row r="341" spans="1:145" x14ac:dyDescent="0.25">
      <c r="A341">
        <v>327</v>
      </c>
      <c r="B341" s="172" t="e">
        <f t="shared" si="484"/>
        <v>#N/A</v>
      </c>
      <c r="C341" s="121" t="e">
        <f t="shared" si="462"/>
        <v>#N/A</v>
      </c>
      <c r="D341" s="122" t="e">
        <f t="shared" si="463"/>
        <v>#N/A</v>
      </c>
      <c r="E341" s="122" t="e">
        <f t="shared" si="464"/>
        <v>#N/A</v>
      </c>
      <c r="F341" s="176" t="e">
        <f t="shared" si="465"/>
        <v>#N/A</v>
      </c>
      <c r="G341" s="121">
        <f t="shared" si="485"/>
        <v>208</v>
      </c>
      <c r="H341" s="176" t="e">
        <f t="shared" si="486"/>
        <v>#N/A</v>
      </c>
      <c r="I341" s="48">
        <v>1</v>
      </c>
      <c r="J341" s="39"/>
      <c r="K341" s="350">
        <v>1</v>
      </c>
      <c r="L341" s="34" t="e">
        <f t="shared" si="466"/>
        <v>#N/A</v>
      </c>
      <c r="M341" s="38" t="e">
        <f>(HLOOKUP(J341,'Construction Times'!$B$3:$W$34,L341+2,FALSE)*HLOOKUP("hq modifier",'Construction Times'!$W$3:$W$34,BS341+2,FALSE))*(1-$H$9)</f>
        <v>#N/A</v>
      </c>
      <c r="N341" s="443" t="e">
        <f t="shared" si="487"/>
        <v>#N/A</v>
      </c>
      <c r="O341" s="444"/>
      <c r="P341" s="447" t="e">
        <f t="shared" si="488"/>
        <v>#N/A</v>
      </c>
      <c r="Q341" s="448"/>
      <c r="R341" s="103">
        <f t="shared" si="514"/>
        <v>0</v>
      </c>
      <c r="S341" s="104">
        <f t="shared" si="514"/>
        <v>0</v>
      </c>
      <c r="T341" s="104">
        <f t="shared" si="515"/>
        <v>0</v>
      </c>
      <c r="U341" s="104">
        <f t="shared" si="515"/>
        <v>0</v>
      </c>
      <c r="V341" s="104">
        <f t="shared" si="515"/>
        <v>9.9999999999999995E-8</v>
      </c>
      <c r="W341" s="104">
        <f t="shared" si="515"/>
        <v>0</v>
      </c>
      <c r="X341" s="104">
        <f t="shared" si="455"/>
        <v>0</v>
      </c>
      <c r="Y341" s="104">
        <f t="shared" si="455"/>
        <v>9.9999999999999995E-8</v>
      </c>
      <c r="Z341" s="104">
        <f t="shared" si="455"/>
        <v>9.9999999999999995E-8</v>
      </c>
      <c r="AA341" s="105">
        <f t="shared" si="455"/>
        <v>9.9999999999999995E-8</v>
      </c>
      <c r="AB341" s="101" t="e">
        <f>$DT341*HLOOKUP($J341,'Construction Costs (timber)'!$B$1:$V$32,'Construction Planner'!$L341+2,FALSE)</f>
        <v>#N/A</v>
      </c>
      <c r="AC341" s="14" t="e">
        <f>$DT341*HLOOKUP($J341,'Construction Costs (clay)'!$B$1:$V$32,'Construction Planner'!$L341+2,FALSE)</f>
        <v>#N/A</v>
      </c>
      <c r="AD341" s="14" t="e">
        <f>$DT341*HLOOKUP($J341,'Construction Costs (iron)'!$B$1:$V$32,'Construction Planner'!$L341+2,FALSE)</f>
        <v>#N/A</v>
      </c>
      <c r="AE341" s="34" t="e">
        <f t="shared" si="524"/>
        <v>#N/A</v>
      </c>
      <c r="AF341" s="33" t="e">
        <f t="shared" si="467"/>
        <v>#N/A</v>
      </c>
      <c r="AG341" s="14" t="e">
        <f t="shared" si="468"/>
        <v>#N/A</v>
      </c>
      <c r="AH341" s="14" t="e">
        <f t="shared" si="469"/>
        <v>#N/A</v>
      </c>
      <c r="AI341" s="34" t="e">
        <f t="shared" si="525"/>
        <v>#N/A</v>
      </c>
      <c r="AJ341" s="49" t="e">
        <f t="shared" si="489"/>
        <v>#N/A</v>
      </c>
      <c r="AK341" s="49" t="e">
        <f t="shared" si="490"/>
        <v>#N/A</v>
      </c>
      <c r="AL341" s="49" t="e">
        <f t="shared" si="491"/>
        <v>#N/A</v>
      </c>
      <c r="AM341" s="25">
        <f t="shared" si="470"/>
        <v>30</v>
      </c>
      <c r="AN341" s="25">
        <f t="shared" si="471"/>
        <v>30</v>
      </c>
      <c r="AO341" s="25">
        <f t="shared" si="472"/>
        <v>30</v>
      </c>
      <c r="AP341" s="52" t="e">
        <f t="shared" si="492"/>
        <v>#N/A</v>
      </c>
      <c r="AQ341" s="53" t="e">
        <f t="shared" si="492"/>
        <v>#N/A</v>
      </c>
      <c r="AR341" s="54" t="e">
        <f t="shared" si="492"/>
        <v>#N/A</v>
      </c>
      <c r="AS341" s="316">
        <f t="shared" si="526"/>
        <v>0</v>
      </c>
      <c r="AT341" s="106">
        <f>_xlfn.IFNA($M341/VLOOKUP($BT341,'Unit information'!$A$2:$K$29,2,FALSE)*R341,0)*(1+$E$9)</f>
        <v>0</v>
      </c>
      <c r="AU341" s="107">
        <f>_xlfn.IFNA($M341/VLOOKUP($BT341,'Unit information'!$A$2:$K$29,3,FALSE)*S341,0)*(1+$E$9)</f>
        <v>0</v>
      </c>
      <c r="AV341" s="107">
        <f>_xlfn.IFNA($M341/VLOOKUP($BT341,'Unit information'!$A$2:$K$29,4,FALSE)*T341,0)*(1+$E$9)</f>
        <v>0</v>
      </c>
      <c r="AW341" s="107">
        <f>_xlfn.IFNA($M341/VLOOKUP($BT341,'Unit information'!$A$2:$K$29,5,FALSE)*U341,0)*(1+$E$9)</f>
        <v>0</v>
      </c>
      <c r="AX341" s="107">
        <f>_xlfn.IFNA($M341/VLOOKUP($BU341,'Unit information'!$A$2:$K$29,6,FALSE)*V341,0)*(1+$E$9)</f>
        <v>0</v>
      </c>
      <c r="AY341" s="107">
        <f>_xlfn.IFNA($M341/VLOOKUP($BU341,'Unit information'!$A$2:$K$29,7,FALSE)*W341,0)*(1+$E$9)</f>
        <v>0</v>
      </c>
      <c r="AZ341" s="107">
        <f>_xlfn.IFNA($M341/VLOOKUP($BU341,'Unit information'!$A$2:$K$29,8,FALSE)*X341,0)*(1+$E$9)</f>
        <v>0</v>
      </c>
      <c r="BA341" s="107">
        <f>_xlfn.IFNA($M341/VLOOKUP($BU341,'Unit information'!$A$2:$K$29,9,FALSE)*Y341,0)*(1+$E$9)</f>
        <v>0</v>
      </c>
      <c r="BB341" s="107">
        <f>_xlfn.IFNA($M341/VLOOKUP($BV341,'Unit information'!$A$2:$K$29,10,FALSE)*Z341,0)*(1+$E$9)</f>
        <v>0</v>
      </c>
      <c r="BC341" s="108">
        <f>_xlfn.IFNA($M341/VLOOKUP($BV341,'Unit information'!$A$2:$K$29,11,FALSE)*AA341,0)*(1+$E$9)</f>
        <v>0</v>
      </c>
      <c r="BD341" s="106">
        <f t="shared" si="473"/>
        <v>0</v>
      </c>
      <c r="BE341" s="107">
        <f t="shared" si="474"/>
        <v>0</v>
      </c>
      <c r="BF341" s="108">
        <f t="shared" si="475"/>
        <v>0</v>
      </c>
      <c r="BG341" s="25" t="e">
        <f t="shared" si="476"/>
        <v>#N/A</v>
      </c>
      <c r="BH341" s="25" t="e">
        <f t="shared" si="477"/>
        <v>#N/A</v>
      </c>
      <c r="BI341" s="25" t="e">
        <f t="shared" si="478"/>
        <v>#N/A</v>
      </c>
      <c r="BJ341" s="27" t="e">
        <f t="shared" si="479"/>
        <v>#N/A</v>
      </c>
      <c r="BK341" s="18" t="e">
        <f t="shared" si="480"/>
        <v>#N/A</v>
      </c>
      <c r="BL341" s="18" t="e">
        <f t="shared" si="481"/>
        <v>#N/A</v>
      </c>
      <c r="BM341" s="28" t="e">
        <f t="shared" si="527"/>
        <v>#N/A</v>
      </c>
      <c r="BN341" s="33">
        <f>HLOOKUP("maximum population",Miscelaneous!$C$1:$C$33,CH341+3,FALSE)</f>
        <v>240</v>
      </c>
      <c r="BO341" s="14">
        <f t="shared" si="493"/>
        <v>32</v>
      </c>
      <c r="BP341" s="14">
        <f t="shared" si="494"/>
        <v>0</v>
      </c>
      <c r="BQ341" s="14">
        <f t="shared" si="495"/>
        <v>208</v>
      </c>
      <c r="BR341" s="34" t="e">
        <f>HLOOKUP(J341,Villagers!$B$1:$V$33,L341+3,FALSE)-HLOOKUP(J341,Villagers!$B$1:$V$33,L341+2,FALSE)</f>
        <v>#N/A</v>
      </c>
      <c r="BS341" s="49">
        <f t="shared" si="496"/>
        <v>1</v>
      </c>
      <c r="BT341" s="50">
        <f t="shared" si="497"/>
        <v>0</v>
      </c>
      <c r="BU341" s="50">
        <f t="shared" si="498"/>
        <v>0</v>
      </c>
      <c r="BV341" s="50">
        <f t="shared" si="499"/>
        <v>0</v>
      </c>
      <c r="BW341" s="50">
        <f t="shared" si="500"/>
        <v>0</v>
      </c>
      <c r="BX341" s="50">
        <f t="shared" si="500"/>
        <v>0</v>
      </c>
      <c r="BY341" s="50">
        <f t="shared" si="500"/>
        <v>0</v>
      </c>
      <c r="BZ341" s="50">
        <f t="shared" si="440"/>
        <v>0</v>
      </c>
      <c r="CA341" s="50">
        <f t="shared" si="441"/>
        <v>0</v>
      </c>
      <c r="CB341" s="50">
        <f t="shared" si="442"/>
        <v>1</v>
      </c>
      <c r="CC341" s="50">
        <f t="shared" si="443"/>
        <v>0</v>
      </c>
      <c r="CD341" s="50">
        <f t="shared" si="444"/>
        <v>0</v>
      </c>
      <c r="CE341" s="50">
        <f t="shared" si="445"/>
        <v>1</v>
      </c>
      <c r="CF341" s="50">
        <f t="shared" si="446"/>
        <v>1</v>
      </c>
      <c r="CG341" s="50">
        <f t="shared" si="447"/>
        <v>1</v>
      </c>
      <c r="CH341" s="50">
        <f t="shared" si="448"/>
        <v>1</v>
      </c>
      <c r="CI341" s="50">
        <f t="shared" si="449"/>
        <v>1</v>
      </c>
      <c r="CJ341" s="50">
        <f t="shared" si="450"/>
        <v>1</v>
      </c>
      <c r="CK341" s="50">
        <f t="shared" si="450"/>
        <v>0</v>
      </c>
      <c r="CL341" s="50">
        <f t="shared" si="450"/>
        <v>0</v>
      </c>
      <c r="CM341" s="51">
        <f t="shared" si="482"/>
        <v>0</v>
      </c>
      <c r="CN341" s="33">
        <f>ROUND(IF(BS341=0,0,HLOOKUP(BS$14,Villagers!$B$1:$V$33,BS341+3,FALSE)),)</f>
        <v>5</v>
      </c>
      <c r="CO341" s="14">
        <f>ROUND(IF(BT341=0,0,HLOOKUP(BT$14,Villagers!$B$1:$V$33,BT341+3,FALSE)),)</f>
        <v>0</v>
      </c>
      <c r="CP341" s="14">
        <f>ROUND(IF(BU341=0,0,HLOOKUP(BU$14,Villagers!$B$1:$V$33,BU341+3,FALSE)),)</f>
        <v>0</v>
      </c>
      <c r="CQ341" s="14">
        <f>ROUND(IF(BV341=0,0,HLOOKUP(BV$14,Villagers!$B$1:$V$33,BV341+3,FALSE)),)</f>
        <v>0</v>
      </c>
      <c r="CR341" s="14">
        <f>ROUND(IF(BW341=0,0,HLOOKUP(BW$14,Villagers!$B$1:$V$33,BW341+3,FALSE)),)</f>
        <v>0</v>
      </c>
      <c r="CS341" s="14">
        <f>ROUND(IF(BX341=0,0,HLOOKUP(BX$14,Villagers!$B$1:$V$33,BX341+3,FALSE)),)</f>
        <v>0</v>
      </c>
      <c r="CT341" s="14">
        <f>ROUND(IF(BY341=0,0,HLOOKUP(BY$14,Villagers!$B$1:$V$33,BY341+3,FALSE)),)</f>
        <v>0</v>
      </c>
      <c r="CU341" s="14">
        <f>ROUND(IF(BZ341=0,0,HLOOKUP(BZ$14,Villagers!$B$1:$V$33,BZ341+3,FALSE)),)</f>
        <v>0</v>
      </c>
      <c r="CV341" s="14">
        <f>ROUND(IF(CA341=0,0,HLOOKUP(CA$14,Villagers!$B$1:$V$33,CA341+3,FALSE)),)</f>
        <v>0</v>
      </c>
      <c r="CW341" s="14">
        <f>ROUND(IF(CB341=0,0,HLOOKUP(CB$14,Villagers!$B$1:$V$33,CB341+3,FALSE)),)</f>
        <v>0</v>
      </c>
      <c r="CX341" s="14">
        <f>ROUND(IF(CC341=0,0,HLOOKUP(CC$14,Villagers!$B$1:$V$33,CC341+3,FALSE)),)</f>
        <v>0</v>
      </c>
      <c r="CY341" s="14">
        <f>ROUND(IF(CD341=0,0,HLOOKUP(CD$14,Villagers!$B$1:$V$33,CD341+3,FALSE)),)</f>
        <v>0</v>
      </c>
      <c r="CZ341" s="14">
        <f>ROUND(IF(CE341=0,0,HLOOKUP(CE$14,Villagers!$B$1:$V$33,CE341+3,FALSE)),)</f>
        <v>5</v>
      </c>
      <c r="DA341" s="14">
        <f>ROUND(IF(CF341=0,0,HLOOKUP(CF$14,Villagers!$B$1:$V$33,CF341+3,FALSE)),)</f>
        <v>10</v>
      </c>
      <c r="DB341" s="14">
        <f>ROUND(IF(CG341=0,0,HLOOKUP(CG$14,Villagers!$B$1:$V$33,CG341+3,FALSE)),)</f>
        <v>10</v>
      </c>
      <c r="DC341" s="14">
        <f>ROUND(IF(CH341=0,0,HLOOKUP(CH$14,Villagers!$B$1:$V$33,CH341+3,FALSE)),)</f>
        <v>0</v>
      </c>
      <c r="DD341" s="14">
        <f>ROUND(IF(CI341=0,0,HLOOKUP(CI$14,Villagers!$B$1:$V$33,CI341+3,FALSE)),)</f>
        <v>0</v>
      </c>
      <c r="DE341" s="14">
        <f>ROUND(IF(CJ341=0,0,HLOOKUP(CJ$14,Villagers!$B$1:$V$33,CJ341+3,FALSE)),)</f>
        <v>2</v>
      </c>
      <c r="DF341" s="370">
        <f>ROUND(IF(CK341=0,0,HLOOKUP(CK$14,Villagers!$B$1:$V$33,CK341+3,FALSE)),)</f>
        <v>0</v>
      </c>
      <c r="DG341" s="370">
        <f>ROUND(IF(CL341=0,0,HLOOKUP(CL$14,Villagers!$B$1:$V$33,CL341+3,FALSE)),)</f>
        <v>0</v>
      </c>
      <c r="DH341" s="34">
        <f>ROUND(IF(CM341=0,0,HLOOKUP(CM$14,Villagers!$B$1:$V$33,CM341+3,FALSE)),)</f>
        <v>0</v>
      </c>
      <c r="DI341" s="109">
        <f t="shared" si="516"/>
        <v>0</v>
      </c>
      <c r="DJ341" s="50">
        <f t="shared" si="517"/>
        <v>0</v>
      </c>
      <c r="DK341" s="50">
        <f t="shared" si="518"/>
        <v>0</v>
      </c>
      <c r="DL341" s="50">
        <f t="shared" si="519"/>
        <v>0</v>
      </c>
      <c r="DM341" s="50">
        <f t="shared" si="520"/>
        <v>0</v>
      </c>
      <c r="DN341" s="50">
        <f t="shared" si="521"/>
        <v>0</v>
      </c>
      <c r="DO341" s="50">
        <f t="shared" si="522"/>
        <v>0</v>
      </c>
      <c r="DP341" s="50">
        <f t="shared" si="523"/>
        <v>0</v>
      </c>
      <c r="DQ341" s="50">
        <f t="shared" si="501"/>
        <v>0</v>
      </c>
      <c r="DR341" s="50">
        <f t="shared" si="502"/>
        <v>0</v>
      </c>
      <c r="DS341" s="96">
        <f>Miscelaneous!$D$4*Miscelaneous!$D$2^($CI341-1)</f>
        <v>1000</v>
      </c>
      <c r="DT341" s="333">
        <f t="shared" si="483"/>
        <v>1</v>
      </c>
      <c r="DU341" s="81">
        <v>1</v>
      </c>
      <c r="DV341" s="79">
        <f t="shared" si="503"/>
        <v>0</v>
      </c>
      <c r="DW341" s="79">
        <f t="shared" si="504"/>
        <v>0</v>
      </c>
      <c r="DX341" s="79">
        <f t="shared" si="505"/>
        <v>0</v>
      </c>
      <c r="DY341" s="79">
        <v>1</v>
      </c>
      <c r="DZ341" s="79">
        <f t="shared" si="506"/>
        <v>0</v>
      </c>
      <c r="EA341" s="79">
        <f t="shared" si="507"/>
        <v>0</v>
      </c>
      <c r="EB341" s="79">
        <f t="shared" si="508"/>
        <v>0</v>
      </c>
      <c r="EC341" s="79">
        <f t="shared" si="509"/>
        <v>0</v>
      </c>
      <c r="ED341" s="79">
        <v>1</v>
      </c>
      <c r="EE341" s="79">
        <v>1</v>
      </c>
      <c r="EF341" s="79">
        <f t="shared" si="510"/>
        <v>0</v>
      </c>
      <c r="EG341" s="79">
        <v>1</v>
      </c>
      <c r="EH341" s="79">
        <v>1</v>
      </c>
      <c r="EI341" s="79">
        <v>1</v>
      </c>
      <c r="EJ341" s="79">
        <v>1</v>
      </c>
      <c r="EK341" s="79">
        <v>1</v>
      </c>
      <c r="EL341" s="79">
        <v>1</v>
      </c>
      <c r="EM341" s="143">
        <f t="shared" si="511"/>
        <v>0</v>
      </c>
      <c r="EN341" s="143">
        <f t="shared" si="512"/>
        <v>0</v>
      </c>
      <c r="EO341" s="82">
        <f t="shared" si="513"/>
        <v>0</v>
      </c>
    </row>
    <row r="342" spans="1:145" x14ac:dyDescent="0.25">
      <c r="A342">
        <v>328</v>
      </c>
      <c r="B342" s="172" t="e">
        <f t="shared" si="484"/>
        <v>#N/A</v>
      </c>
      <c r="C342" s="121" t="e">
        <f t="shared" si="462"/>
        <v>#N/A</v>
      </c>
      <c r="D342" s="122" t="e">
        <f t="shared" si="463"/>
        <v>#N/A</v>
      </c>
      <c r="E342" s="122" t="e">
        <f t="shared" si="464"/>
        <v>#N/A</v>
      </c>
      <c r="F342" s="176" t="e">
        <f t="shared" si="465"/>
        <v>#N/A</v>
      </c>
      <c r="G342" s="121">
        <f t="shared" si="485"/>
        <v>208</v>
      </c>
      <c r="H342" s="176" t="e">
        <f t="shared" si="486"/>
        <v>#N/A</v>
      </c>
      <c r="I342" s="48">
        <v>1</v>
      </c>
      <c r="J342" s="39"/>
      <c r="K342" s="350">
        <v>1</v>
      </c>
      <c r="L342" s="34" t="e">
        <f t="shared" si="466"/>
        <v>#N/A</v>
      </c>
      <c r="M342" s="38" t="e">
        <f>(HLOOKUP(J342,'Construction Times'!$B$3:$W$34,L342+2,FALSE)*HLOOKUP("hq modifier",'Construction Times'!$W$3:$W$34,BS342+2,FALSE))*(1-$H$9)</f>
        <v>#N/A</v>
      </c>
      <c r="N342" s="443" t="e">
        <f t="shared" si="487"/>
        <v>#N/A</v>
      </c>
      <c r="O342" s="444"/>
      <c r="P342" s="447" t="e">
        <f t="shared" si="488"/>
        <v>#N/A</v>
      </c>
      <c r="Q342" s="448"/>
      <c r="R342" s="103">
        <f t="shared" si="514"/>
        <v>0</v>
      </c>
      <c r="S342" s="104">
        <f t="shared" si="514"/>
        <v>0</v>
      </c>
      <c r="T342" s="104">
        <f t="shared" si="515"/>
        <v>0</v>
      </c>
      <c r="U342" s="104">
        <f t="shared" si="515"/>
        <v>0</v>
      </c>
      <c r="V342" s="104">
        <f t="shared" si="515"/>
        <v>9.9999999999999995E-8</v>
      </c>
      <c r="W342" s="104">
        <f t="shared" si="515"/>
        <v>0</v>
      </c>
      <c r="X342" s="104">
        <f t="shared" si="455"/>
        <v>0</v>
      </c>
      <c r="Y342" s="104">
        <f t="shared" si="455"/>
        <v>9.9999999999999995E-8</v>
      </c>
      <c r="Z342" s="104">
        <f t="shared" si="455"/>
        <v>9.9999999999999995E-8</v>
      </c>
      <c r="AA342" s="105">
        <f t="shared" si="455"/>
        <v>9.9999999999999995E-8</v>
      </c>
      <c r="AB342" s="101" t="e">
        <f>$DT342*HLOOKUP($J342,'Construction Costs (timber)'!$B$1:$V$32,'Construction Planner'!$L342+2,FALSE)</f>
        <v>#N/A</v>
      </c>
      <c r="AC342" s="14" t="e">
        <f>$DT342*HLOOKUP($J342,'Construction Costs (clay)'!$B$1:$V$32,'Construction Planner'!$L342+2,FALSE)</f>
        <v>#N/A</v>
      </c>
      <c r="AD342" s="14" t="e">
        <f>$DT342*HLOOKUP($J342,'Construction Costs (iron)'!$B$1:$V$32,'Construction Planner'!$L342+2,FALSE)</f>
        <v>#N/A</v>
      </c>
      <c r="AE342" s="34" t="e">
        <f t="shared" si="524"/>
        <v>#N/A</v>
      </c>
      <c r="AF342" s="33" t="e">
        <f t="shared" si="467"/>
        <v>#N/A</v>
      </c>
      <c r="AG342" s="14" t="e">
        <f t="shared" si="468"/>
        <v>#N/A</v>
      </c>
      <c r="AH342" s="14" t="e">
        <f t="shared" si="469"/>
        <v>#N/A</v>
      </c>
      <c r="AI342" s="34" t="e">
        <f t="shared" si="525"/>
        <v>#N/A</v>
      </c>
      <c r="AJ342" s="49" t="e">
        <f t="shared" si="489"/>
        <v>#N/A</v>
      </c>
      <c r="AK342" s="49" t="e">
        <f t="shared" si="490"/>
        <v>#N/A</v>
      </c>
      <c r="AL342" s="49" t="e">
        <f t="shared" si="491"/>
        <v>#N/A</v>
      </c>
      <c r="AM342" s="25">
        <f t="shared" si="470"/>
        <v>30</v>
      </c>
      <c r="AN342" s="25">
        <f t="shared" si="471"/>
        <v>30</v>
      </c>
      <c r="AO342" s="25">
        <f t="shared" si="472"/>
        <v>30</v>
      </c>
      <c r="AP342" s="52" t="e">
        <f t="shared" si="492"/>
        <v>#N/A</v>
      </c>
      <c r="AQ342" s="53" t="e">
        <f t="shared" si="492"/>
        <v>#N/A</v>
      </c>
      <c r="AR342" s="54" t="e">
        <f t="shared" si="492"/>
        <v>#N/A</v>
      </c>
      <c r="AS342" s="316">
        <f t="shared" si="526"/>
        <v>0</v>
      </c>
      <c r="AT342" s="106">
        <f>_xlfn.IFNA($M342/VLOOKUP($BT342,'Unit information'!$A$2:$K$29,2,FALSE)*R342,0)*(1+$E$9)</f>
        <v>0</v>
      </c>
      <c r="AU342" s="107">
        <f>_xlfn.IFNA($M342/VLOOKUP($BT342,'Unit information'!$A$2:$K$29,3,FALSE)*S342,0)*(1+$E$9)</f>
        <v>0</v>
      </c>
      <c r="AV342" s="107">
        <f>_xlfn.IFNA($M342/VLOOKUP($BT342,'Unit information'!$A$2:$K$29,4,FALSE)*T342,0)*(1+$E$9)</f>
        <v>0</v>
      </c>
      <c r="AW342" s="107">
        <f>_xlfn.IFNA($M342/VLOOKUP($BT342,'Unit information'!$A$2:$K$29,5,FALSE)*U342,0)*(1+$E$9)</f>
        <v>0</v>
      </c>
      <c r="AX342" s="107">
        <f>_xlfn.IFNA($M342/VLOOKUP($BU342,'Unit information'!$A$2:$K$29,6,FALSE)*V342,0)*(1+$E$9)</f>
        <v>0</v>
      </c>
      <c r="AY342" s="107">
        <f>_xlfn.IFNA($M342/VLOOKUP($BU342,'Unit information'!$A$2:$K$29,7,FALSE)*W342,0)*(1+$E$9)</f>
        <v>0</v>
      </c>
      <c r="AZ342" s="107">
        <f>_xlfn.IFNA($M342/VLOOKUP($BU342,'Unit information'!$A$2:$K$29,8,FALSE)*X342,0)*(1+$E$9)</f>
        <v>0</v>
      </c>
      <c r="BA342" s="107">
        <f>_xlfn.IFNA($M342/VLOOKUP($BU342,'Unit information'!$A$2:$K$29,9,FALSE)*Y342,0)*(1+$E$9)</f>
        <v>0</v>
      </c>
      <c r="BB342" s="107">
        <f>_xlfn.IFNA($M342/VLOOKUP($BV342,'Unit information'!$A$2:$K$29,10,FALSE)*Z342,0)*(1+$E$9)</f>
        <v>0</v>
      </c>
      <c r="BC342" s="108">
        <f>_xlfn.IFNA($M342/VLOOKUP($BV342,'Unit information'!$A$2:$K$29,11,FALSE)*AA342,0)*(1+$E$9)</f>
        <v>0</v>
      </c>
      <c r="BD342" s="106">
        <f t="shared" si="473"/>
        <v>0</v>
      </c>
      <c r="BE342" s="107">
        <f t="shared" si="474"/>
        <v>0</v>
      </c>
      <c r="BF342" s="108">
        <f t="shared" si="475"/>
        <v>0</v>
      </c>
      <c r="BG342" s="25" t="e">
        <f t="shared" si="476"/>
        <v>#N/A</v>
      </c>
      <c r="BH342" s="25" t="e">
        <f t="shared" si="477"/>
        <v>#N/A</v>
      </c>
      <c r="BI342" s="25" t="e">
        <f t="shared" si="478"/>
        <v>#N/A</v>
      </c>
      <c r="BJ342" s="27" t="e">
        <f t="shared" si="479"/>
        <v>#N/A</v>
      </c>
      <c r="BK342" s="18" t="e">
        <f t="shared" si="480"/>
        <v>#N/A</v>
      </c>
      <c r="BL342" s="18" t="e">
        <f t="shared" si="481"/>
        <v>#N/A</v>
      </c>
      <c r="BM342" s="28" t="e">
        <f t="shared" si="527"/>
        <v>#N/A</v>
      </c>
      <c r="BN342" s="33">
        <f>HLOOKUP("maximum population",Miscelaneous!$C$1:$C$33,CH342+3,FALSE)</f>
        <v>240</v>
      </c>
      <c r="BO342" s="14">
        <f t="shared" si="493"/>
        <v>32</v>
      </c>
      <c r="BP342" s="14">
        <f t="shared" si="494"/>
        <v>0</v>
      </c>
      <c r="BQ342" s="14">
        <f t="shared" si="495"/>
        <v>208</v>
      </c>
      <c r="BR342" s="34" t="e">
        <f>HLOOKUP(J342,Villagers!$B$1:$V$33,L342+3,FALSE)-HLOOKUP(J342,Villagers!$B$1:$V$33,L342+2,FALSE)</f>
        <v>#N/A</v>
      </c>
      <c r="BS342" s="49">
        <f t="shared" si="496"/>
        <v>1</v>
      </c>
      <c r="BT342" s="50">
        <f t="shared" si="497"/>
        <v>0</v>
      </c>
      <c r="BU342" s="50">
        <f t="shared" si="498"/>
        <v>0</v>
      </c>
      <c r="BV342" s="50">
        <f t="shared" si="499"/>
        <v>0</v>
      </c>
      <c r="BW342" s="50">
        <f t="shared" si="500"/>
        <v>0</v>
      </c>
      <c r="BX342" s="50">
        <f t="shared" si="500"/>
        <v>0</v>
      </c>
      <c r="BY342" s="50">
        <f t="shared" si="500"/>
        <v>0</v>
      </c>
      <c r="BZ342" s="50">
        <f t="shared" si="440"/>
        <v>0</v>
      </c>
      <c r="CA342" s="50">
        <f t="shared" si="441"/>
        <v>0</v>
      </c>
      <c r="CB342" s="50">
        <f t="shared" si="442"/>
        <v>1</v>
      </c>
      <c r="CC342" s="50">
        <f t="shared" si="443"/>
        <v>0</v>
      </c>
      <c r="CD342" s="50">
        <f t="shared" si="444"/>
        <v>0</v>
      </c>
      <c r="CE342" s="50">
        <f t="shared" si="445"/>
        <v>1</v>
      </c>
      <c r="CF342" s="50">
        <f t="shared" si="446"/>
        <v>1</v>
      </c>
      <c r="CG342" s="50">
        <f t="shared" si="447"/>
        <v>1</v>
      </c>
      <c r="CH342" s="50">
        <f t="shared" si="448"/>
        <v>1</v>
      </c>
      <c r="CI342" s="50">
        <f t="shared" si="449"/>
        <v>1</v>
      </c>
      <c r="CJ342" s="50">
        <f t="shared" si="450"/>
        <v>1</v>
      </c>
      <c r="CK342" s="50">
        <f t="shared" si="450"/>
        <v>0</v>
      </c>
      <c r="CL342" s="50">
        <f t="shared" si="450"/>
        <v>0</v>
      </c>
      <c r="CM342" s="51">
        <f t="shared" si="482"/>
        <v>0</v>
      </c>
      <c r="CN342" s="33">
        <f>ROUND(IF(BS342=0,0,HLOOKUP(BS$14,Villagers!$B$1:$V$33,BS342+3,FALSE)),)</f>
        <v>5</v>
      </c>
      <c r="CO342" s="14">
        <f>ROUND(IF(BT342=0,0,HLOOKUP(BT$14,Villagers!$B$1:$V$33,BT342+3,FALSE)),)</f>
        <v>0</v>
      </c>
      <c r="CP342" s="14">
        <f>ROUND(IF(BU342=0,0,HLOOKUP(BU$14,Villagers!$B$1:$V$33,BU342+3,FALSE)),)</f>
        <v>0</v>
      </c>
      <c r="CQ342" s="14">
        <f>ROUND(IF(BV342=0,0,HLOOKUP(BV$14,Villagers!$B$1:$V$33,BV342+3,FALSE)),)</f>
        <v>0</v>
      </c>
      <c r="CR342" s="14">
        <f>ROUND(IF(BW342=0,0,HLOOKUP(BW$14,Villagers!$B$1:$V$33,BW342+3,FALSE)),)</f>
        <v>0</v>
      </c>
      <c r="CS342" s="14">
        <f>ROUND(IF(BX342=0,0,HLOOKUP(BX$14,Villagers!$B$1:$V$33,BX342+3,FALSE)),)</f>
        <v>0</v>
      </c>
      <c r="CT342" s="14">
        <f>ROUND(IF(BY342=0,0,HLOOKUP(BY$14,Villagers!$B$1:$V$33,BY342+3,FALSE)),)</f>
        <v>0</v>
      </c>
      <c r="CU342" s="14">
        <f>ROUND(IF(BZ342=0,0,HLOOKUP(BZ$14,Villagers!$B$1:$V$33,BZ342+3,FALSE)),)</f>
        <v>0</v>
      </c>
      <c r="CV342" s="14">
        <f>ROUND(IF(CA342=0,0,HLOOKUP(CA$14,Villagers!$B$1:$V$33,CA342+3,FALSE)),)</f>
        <v>0</v>
      </c>
      <c r="CW342" s="14">
        <f>ROUND(IF(CB342=0,0,HLOOKUP(CB$14,Villagers!$B$1:$V$33,CB342+3,FALSE)),)</f>
        <v>0</v>
      </c>
      <c r="CX342" s="14">
        <f>ROUND(IF(CC342=0,0,HLOOKUP(CC$14,Villagers!$B$1:$V$33,CC342+3,FALSE)),)</f>
        <v>0</v>
      </c>
      <c r="CY342" s="14">
        <f>ROUND(IF(CD342=0,0,HLOOKUP(CD$14,Villagers!$B$1:$V$33,CD342+3,FALSE)),)</f>
        <v>0</v>
      </c>
      <c r="CZ342" s="14">
        <f>ROUND(IF(CE342=0,0,HLOOKUP(CE$14,Villagers!$B$1:$V$33,CE342+3,FALSE)),)</f>
        <v>5</v>
      </c>
      <c r="DA342" s="14">
        <f>ROUND(IF(CF342=0,0,HLOOKUP(CF$14,Villagers!$B$1:$V$33,CF342+3,FALSE)),)</f>
        <v>10</v>
      </c>
      <c r="DB342" s="14">
        <f>ROUND(IF(CG342=0,0,HLOOKUP(CG$14,Villagers!$B$1:$V$33,CG342+3,FALSE)),)</f>
        <v>10</v>
      </c>
      <c r="DC342" s="14">
        <f>ROUND(IF(CH342=0,0,HLOOKUP(CH$14,Villagers!$B$1:$V$33,CH342+3,FALSE)),)</f>
        <v>0</v>
      </c>
      <c r="DD342" s="14">
        <f>ROUND(IF(CI342=0,0,HLOOKUP(CI$14,Villagers!$B$1:$V$33,CI342+3,FALSE)),)</f>
        <v>0</v>
      </c>
      <c r="DE342" s="14">
        <f>ROUND(IF(CJ342=0,0,HLOOKUP(CJ$14,Villagers!$B$1:$V$33,CJ342+3,FALSE)),)</f>
        <v>2</v>
      </c>
      <c r="DF342" s="370">
        <f>ROUND(IF(CK342=0,0,HLOOKUP(CK$14,Villagers!$B$1:$V$33,CK342+3,FALSE)),)</f>
        <v>0</v>
      </c>
      <c r="DG342" s="370">
        <f>ROUND(IF(CL342=0,0,HLOOKUP(CL$14,Villagers!$B$1:$V$33,CL342+3,FALSE)),)</f>
        <v>0</v>
      </c>
      <c r="DH342" s="34">
        <f>ROUND(IF(CM342=0,0,HLOOKUP(CM$14,Villagers!$B$1:$V$33,CM342+3,FALSE)),)</f>
        <v>0</v>
      </c>
      <c r="DI342" s="109">
        <f t="shared" si="516"/>
        <v>0</v>
      </c>
      <c r="DJ342" s="50">
        <f t="shared" si="517"/>
        <v>0</v>
      </c>
      <c r="DK342" s="50">
        <f t="shared" si="518"/>
        <v>0</v>
      </c>
      <c r="DL342" s="50">
        <f t="shared" si="519"/>
        <v>0</v>
      </c>
      <c r="DM342" s="50">
        <f t="shared" si="520"/>
        <v>0</v>
      </c>
      <c r="DN342" s="50">
        <f t="shared" si="521"/>
        <v>0</v>
      </c>
      <c r="DO342" s="50">
        <f t="shared" si="522"/>
        <v>0</v>
      </c>
      <c r="DP342" s="50">
        <f t="shared" si="523"/>
        <v>0</v>
      </c>
      <c r="DQ342" s="50">
        <f t="shared" si="501"/>
        <v>0</v>
      </c>
      <c r="DR342" s="50">
        <f t="shared" si="502"/>
        <v>0</v>
      </c>
      <c r="DS342" s="96">
        <f>Miscelaneous!$D$4*Miscelaneous!$D$2^($CI342-1)</f>
        <v>1000</v>
      </c>
      <c r="DT342" s="333">
        <f t="shared" si="483"/>
        <v>1</v>
      </c>
      <c r="DU342" s="81">
        <v>1</v>
      </c>
      <c r="DV342" s="79">
        <f t="shared" si="503"/>
        <v>0</v>
      </c>
      <c r="DW342" s="79">
        <f t="shared" si="504"/>
        <v>0</v>
      </c>
      <c r="DX342" s="79">
        <f t="shared" si="505"/>
        <v>0</v>
      </c>
      <c r="DY342" s="79">
        <v>1</v>
      </c>
      <c r="DZ342" s="79">
        <f t="shared" si="506"/>
        <v>0</v>
      </c>
      <c r="EA342" s="79">
        <f t="shared" si="507"/>
        <v>0</v>
      </c>
      <c r="EB342" s="79">
        <f t="shared" si="508"/>
        <v>0</v>
      </c>
      <c r="EC342" s="79">
        <f t="shared" si="509"/>
        <v>0</v>
      </c>
      <c r="ED342" s="79">
        <v>1</v>
      </c>
      <c r="EE342" s="79">
        <v>1</v>
      </c>
      <c r="EF342" s="79">
        <f t="shared" si="510"/>
        <v>0</v>
      </c>
      <c r="EG342" s="79">
        <v>1</v>
      </c>
      <c r="EH342" s="79">
        <v>1</v>
      </c>
      <c r="EI342" s="79">
        <v>1</v>
      </c>
      <c r="EJ342" s="79">
        <v>1</v>
      </c>
      <c r="EK342" s="79">
        <v>1</v>
      </c>
      <c r="EL342" s="79">
        <v>1</v>
      </c>
      <c r="EM342" s="143">
        <f t="shared" si="511"/>
        <v>0</v>
      </c>
      <c r="EN342" s="143">
        <f t="shared" si="512"/>
        <v>0</v>
      </c>
      <c r="EO342" s="82">
        <f t="shared" si="513"/>
        <v>0</v>
      </c>
    </row>
    <row r="343" spans="1:145" x14ac:dyDescent="0.25">
      <c r="A343">
        <v>329</v>
      </c>
      <c r="B343" s="172" t="e">
        <f t="shared" si="484"/>
        <v>#N/A</v>
      </c>
      <c r="C343" s="121" t="e">
        <f t="shared" si="462"/>
        <v>#N/A</v>
      </c>
      <c r="D343" s="122" t="e">
        <f t="shared" si="463"/>
        <v>#N/A</v>
      </c>
      <c r="E343" s="122" t="e">
        <f t="shared" si="464"/>
        <v>#N/A</v>
      </c>
      <c r="F343" s="176" t="e">
        <f t="shared" si="465"/>
        <v>#N/A</v>
      </c>
      <c r="G343" s="121">
        <f t="shared" si="485"/>
        <v>208</v>
      </c>
      <c r="H343" s="176" t="e">
        <f t="shared" si="486"/>
        <v>#N/A</v>
      </c>
      <c r="I343" s="48">
        <v>1</v>
      </c>
      <c r="J343" s="39"/>
      <c r="K343" s="350">
        <v>1</v>
      </c>
      <c r="L343" s="34" t="e">
        <f t="shared" si="466"/>
        <v>#N/A</v>
      </c>
      <c r="M343" s="38" t="e">
        <f>(HLOOKUP(J343,'Construction Times'!$B$3:$W$34,L343+2,FALSE)*HLOOKUP("hq modifier",'Construction Times'!$W$3:$W$34,BS343+2,FALSE))*(1-$H$9)</f>
        <v>#N/A</v>
      </c>
      <c r="N343" s="443" t="e">
        <f t="shared" si="487"/>
        <v>#N/A</v>
      </c>
      <c r="O343" s="444"/>
      <c r="P343" s="447" t="e">
        <f t="shared" si="488"/>
        <v>#N/A</v>
      </c>
      <c r="Q343" s="448"/>
      <c r="R343" s="103">
        <f t="shared" si="514"/>
        <v>0</v>
      </c>
      <c r="S343" s="104">
        <f t="shared" si="514"/>
        <v>0</v>
      </c>
      <c r="T343" s="104">
        <f t="shared" si="515"/>
        <v>0</v>
      </c>
      <c r="U343" s="104">
        <f t="shared" si="515"/>
        <v>0</v>
      </c>
      <c r="V343" s="104">
        <f t="shared" si="515"/>
        <v>9.9999999999999995E-8</v>
      </c>
      <c r="W343" s="104">
        <f t="shared" si="515"/>
        <v>0</v>
      </c>
      <c r="X343" s="104">
        <f t="shared" si="455"/>
        <v>0</v>
      </c>
      <c r="Y343" s="104">
        <f t="shared" si="455"/>
        <v>9.9999999999999995E-8</v>
      </c>
      <c r="Z343" s="104">
        <f t="shared" si="455"/>
        <v>9.9999999999999995E-8</v>
      </c>
      <c r="AA343" s="105">
        <f t="shared" si="455"/>
        <v>9.9999999999999995E-8</v>
      </c>
      <c r="AB343" s="101" t="e">
        <f>$DT343*HLOOKUP($J343,'Construction Costs (timber)'!$B$1:$V$32,'Construction Planner'!$L343+2,FALSE)</f>
        <v>#N/A</v>
      </c>
      <c r="AC343" s="14" t="e">
        <f>$DT343*HLOOKUP($J343,'Construction Costs (clay)'!$B$1:$V$32,'Construction Planner'!$L343+2,FALSE)</f>
        <v>#N/A</v>
      </c>
      <c r="AD343" s="14" t="e">
        <f>$DT343*HLOOKUP($J343,'Construction Costs (iron)'!$B$1:$V$32,'Construction Planner'!$L343+2,FALSE)</f>
        <v>#N/A</v>
      </c>
      <c r="AE343" s="34" t="e">
        <f t="shared" si="524"/>
        <v>#N/A</v>
      </c>
      <c r="AF343" s="33" t="e">
        <f t="shared" si="467"/>
        <v>#N/A</v>
      </c>
      <c r="AG343" s="14" t="e">
        <f t="shared" si="468"/>
        <v>#N/A</v>
      </c>
      <c r="AH343" s="14" t="e">
        <f t="shared" si="469"/>
        <v>#N/A</v>
      </c>
      <c r="AI343" s="34" t="e">
        <f t="shared" si="525"/>
        <v>#N/A</v>
      </c>
      <c r="AJ343" s="49" t="e">
        <f t="shared" si="489"/>
        <v>#N/A</v>
      </c>
      <c r="AK343" s="49" t="e">
        <f t="shared" si="490"/>
        <v>#N/A</v>
      </c>
      <c r="AL343" s="49" t="e">
        <f t="shared" si="491"/>
        <v>#N/A</v>
      </c>
      <c r="AM343" s="25">
        <f t="shared" si="470"/>
        <v>30</v>
      </c>
      <c r="AN343" s="25">
        <f t="shared" si="471"/>
        <v>30</v>
      </c>
      <c r="AO343" s="25">
        <f t="shared" si="472"/>
        <v>30</v>
      </c>
      <c r="AP343" s="52" t="e">
        <f t="shared" si="492"/>
        <v>#N/A</v>
      </c>
      <c r="AQ343" s="53" t="e">
        <f t="shared" si="492"/>
        <v>#N/A</v>
      </c>
      <c r="AR343" s="54" t="e">
        <f t="shared" si="492"/>
        <v>#N/A</v>
      </c>
      <c r="AS343" s="316">
        <f t="shared" si="526"/>
        <v>0</v>
      </c>
      <c r="AT343" s="106">
        <f>_xlfn.IFNA($M343/VLOOKUP($BT343,'Unit information'!$A$2:$K$29,2,FALSE)*R343,0)*(1+$E$9)</f>
        <v>0</v>
      </c>
      <c r="AU343" s="107">
        <f>_xlfn.IFNA($M343/VLOOKUP($BT343,'Unit information'!$A$2:$K$29,3,FALSE)*S343,0)*(1+$E$9)</f>
        <v>0</v>
      </c>
      <c r="AV343" s="107">
        <f>_xlfn.IFNA($M343/VLOOKUP($BT343,'Unit information'!$A$2:$K$29,4,FALSE)*T343,0)*(1+$E$9)</f>
        <v>0</v>
      </c>
      <c r="AW343" s="107">
        <f>_xlfn.IFNA($M343/VLOOKUP($BT343,'Unit information'!$A$2:$K$29,5,FALSE)*U343,0)*(1+$E$9)</f>
        <v>0</v>
      </c>
      <c r="AX343" s="107">
        <f>_xlfn.IFNA($M343/VLOOKUP($BU343,'Unit information'!$A$2:$K$29,6,FALSE)*V343,0)*(1+$E$9)</f>
        <v>0</v>
      </c>
      <c r="AY343" s="107">
        <f>_xlfn.IFNA($M343/VLOOKUP($BU343,'Unit information'!$A$2:$K$29,7,FALSE)*W343,0)*(1+$E$9)</f>
        <v>0</v>
      </c>
      <c r="AZ343" s="107">
        <f>_xlfn.IFNA($M343/VLOOKUP($BU343,'Unit information'!$A$2:$K$29,8,FALSE)*X343,0)*(1+$E$9)</f>
        <v>0</v>
      </c>
      <c r="BA343" s="107">
        <f>_xlfn.IFNA($M343/VLOOKUP($BU343,'Unit information'!$A$2:$K$29,9,FALSE)*Y343,0)*(1+$E$9)</f>
        <v>0</v>
      </c>
      <c r="BB343" s="107">
        <f>_xlfn.IFNA($M343/VLOOKUP($BV343,'Unit information'!$A$2:$K$29,10,FALSE)*Z343,0)*(1+$E$9)</f>
        <v>0</v>
      </c>
      <c r="BC343" s="108">
        <f>_xlfn.IFNA($M343/VLOOKUP($BV343,'Unit information'!$A$2:$K$29,11,FALSE)*AA343,0)*(1+$E$9)</f>
        <v>0</v>
      </c>
      <c r="BD343" s="106">
        <f t="shared" si="473"/>
        <v>0</v>
      </c>
      <c r="BE343" s="107">
        <f t="shared" si="474"/>
        <v>0</v>
      </c>
      <c r="BF343" s="108">
        <f t="shared" si="475"/>
        <v>0</v>
      </c>
      <c r="BG343" s="25" t="e">
        <f t="shared" si="476"/>
        <v>#N/A</v>
      </c>
      <c r="BH343" s="25" t="e">
        <f t="shared" si="477"/>
        <v>#N/A</v>
      </c>
      <c r="BI343" s="25" t="e">
        <f t="shared" si="478"/>
        <v>#N/A</v>
      </c>
      <c r="BJ343" s="27" t="e">
        <f t="shared" si="479"/>
        <v>#N/A</v>
      </c>
      <c r="BK343" s="18" t="e">
        <f t="shared" si="480"/>
        <v>#N/A</v>
      </c>
      <c r="BL343" s="18" t="e">
        <f t="shared" si="481"/>
        <v>#N/A</v>
      </c>
      <c r="BM343" s="28" t="e">
        <f t="shared" si="527"/>
        <v>#N/A</v>
      </c>
      <c r="BN343" s="33">
        <f>HLOOKUP("maximum population",Miscelaneous!$C$1:$C$33,CH343+3,FALSE)</f>
        <v>240</v>
      </c>
      <c r="BO343" s="14">
        <f t="shared" si="493"/>
        <v>32</v>
      </c>
      <c r="BP343" s="14">
        <f t="shared" si="494"/>
        <v>0</v>
      </c>
      <c r="BQ343" s="14">
        <f t="shared" si="495"/>
        <v>208</v>
      </c>
      <c r="BR343" s="34" t="e">
        <f>HLOOKUP(J343,Villagers!$B$1:$V$33,L343+3,FALSE)-HLOOKUP(J343,Villagers!$B$1:$V$33,L343+2,FALSE)</f>
        <v>#N/A</v>
      </c>
      <c r="BS343" s="49">
        <f t="shared" si="496"/>
        <v>1</v>
      </c>
      <c r="BT343" s="50">
        <f t="shared" si="497"/>
        <v>0</v>
      </c>
      <c r="BU343" s="50">
        <f t="shared" si="498"/>
        <v>0</v>
      </c>
      <c r="BV343" s="50">
        <f t="shared" si="499"/>
        <v>0</v>
      </c>
      <c r="BW343" s="50">
        <f>IF($J342=BW$14,$L342,BW342)</f>
        <v>0</v>
      </c>
      <c r="BX343" s="50">
        <f t="shared" ref="BX343:BY351" si="528">IF($J342=BX$14,$L342,BX342)</f>
        <v>0</v>
      </c>
      <c r="BY343" s="50">
        <f t="shared" si="528"/>
        <v>0</v>
      </c>
      <c r="BZ343" s="50">
        <f t="shared" si="440"/>
        <v>0</v>
      </c>
      <c r="CA343" s="50">
        <f t="shared" si="441"/>
        <v>0</v>
      </c>
      <c r="CB343" s="50">
        <f t="shared" si="442"/>
        <v>1</v>
      </c>
      <c r="CC343" s="50">
        <f t="shared" si="443"/>
        <v>0</v>
      </c>
      <c r="CD343" s="50">
        <f t="shared" si="444"/>
        <v>0</v>
      </c>
      <c r="CE343" s="50">
        <f t="shared" si="445"/>
        <v>1</v>
      </c>
      <c r="CF343" s="50">
        <f t="shared" si="446"/>
        <v>1</v>
      </c>
      <c r="CG343" s="50">
        <f t="shared" si="447"/>
        <v>1</v>
      </c>
      <c r="CH343" s="50">
        <f t="shared" si="448"/>
        <v>1</v>
      </c>
      <c r="CI343" s="50">
        <f t="shared" si="449"/>
        <v>1</v>
      </c>
      <c r="CJ343" s="50">
        <f t="shared" si="450"/>
        <v>1</v>
      </c>
      <c r="CK343" s="50">
        <f t="shared" si="450"/>
        <v>0</v>
      </c>
      <c r="CL343" s="50">
        <f t="shared" si="450"/>
        <v>0</v>
      </c>
      <c r="CM343" s="51">
        <f t="shared" si="482"/>
        <v>0</v>
      </c>
      <c r="CN343" s="33">
        <f>ROUND(IF(BS343=0,0,HLOOKUP(BS$14,Villagers!$B$1:$V$33,BS343+3,FALSE)),)</f>
        <v>5</v>
      </c>
      <c r="CO343" s="14">
        <f>ROUND(IF(BT343=0,0,HLOOKUP(BT$14,Villagers!$B$1:$V$33,BT343+3,FALSE)),)</f>
        <v>0</v>
      </c>
      <c r="CP343" s="14">
        <f>ROUND(IF(BU343=0,0,HLOOKUP(BU$14,Villagers!$B$1:$V$33,BU343+3,FALSE)),)</f>
        <v>0</v>
      </c>
      <c r="CQ343" s="14">
        <f>ROUND(IF(BV343=0,0,HLOOKUP(BV$14,Villagers!$B$1:$V$33,BV343+3,FALSE)),)</f>
        <v>0</v>
      </c>
      <c r="CR343" s="14">
        <f>ROUND(IF(BW343=0,0,HLOOKUP(BW$14,Villagers!$B$1:$V$33,BW343+3,FALSE)),)</f>
        <v>0</v>
      </c>
      <c r="CS343" s="14">
        <f>ROUND(IF(BX343=0,0,HLOOKUP(BX$14,Villagers!$B$1:$V$33,BX343+3,FALSE)),)</f>
        <v>0</v>
      </c>
      <c r="CT343" s="14">
        <f>ROUND(IF(BY343=0,0,HLOOKUP(BY$14,Villagers!$B$1:$V$33,BY343+3,FALSE)),)</f>
        <v>0</v>
      </c>
      <c r="CU343" s="14">
        <f>ROUND(IF(BZ343=0,0,HLOOKUP(BZ$14,Villagers!$B$1:$V$33,BZ343+3,FALSE)),)</f>
        <v>0</v>
      </c>
      <c r="CV343" s="14">
        <f>ROUND(IF(CA343=0,0,HLOOKUP(CA$14,Villagers!$B$1:$V$33,CA343+3,FALSE)),)</f>
        <v>0</v>
      </c>
      <c r="CW343" s="14">
        <f>ROUND(IF(CB343=0,0,HLOOKUP(CB$14,Villagers!$B$1:$V$33,CB343+3,FALSE)),)</f>
        <v>0</v>
      </c>
      <c r="CX343" s="14">
        <f>ROUND(IF(CC343=0,0,HLOOKUP(CC$14,Villagers!$B$1:$V$33,CC343+3,FALSE)),)</f>
        <v>0</v>
      </c>
      <c r="CY343" s="14">
        <f>ROUND(IF(CD343=0,0,HLOOKUP(CD$14,Villagers!$B$1:$V$33,CD343+3,FALSE)),)</f>
        <v>0</v>
      </c>
      <c r="CZ343" s="14">
        <f>ROUND(IF(CE343=0,0,HLOOKUP(CE$14,Villagers!$B$1:$V$33,CE343+3,FALSE)),)</f>
        <v>5</v>
      </c>
      <c r="DA343" s="14">
        <f>ROUND(IF(CF343=0,0,HLOOKUP(CF$14,Villagers!$B$1:$V$33,CF343+3,FALSE)),)</f>
        <v>10</v>
      </c>
      <c r="DB343" s="14">
        <f>ROUND(IF(CG343=0,0,HLOOKUP(CG$14,Villagers!$B$1:$V$33,CG343+3,FALSE)),)</f>
        <v>10</v>
      </c>
      <c r="DC343" s="14">
        <f>ROUND(IF(CH343=0,0,HLOOKUP(CH$14,Villagers!$B$1:$V$33,CH343+3,FALSE)),)</f>
        <v>0</v>
      </c>
      <c r="DD343" s="14">
        <f>ROUND(IF(CI343=0,0,HLOOKUP(CI$14,Villagers!$B$1:$V$33,CI343+3,FALSE)),)</f>
        <v>0</v>
      </c>
      <c r="DE343" s="14">
        <f>ROUND(IF(CJ343=0,0,HLOOKUP(CJ$14,Villagers!$B$1:$V$33,CJ343+3,FALSE)),)</f>
        <v>2</v>
      </c>
      <c r="DF343" s="370">
        <f>ROUND(IF(CK343=0,0,HLOOKUP(CK$14,Villagers!$B$1:$V$33,CK343+3,FALSE)),)</f>
        <v>0</v>
      </c>
      <c r="DG343" s="370">
        <f>ROUND(IF(CL343=0,0,HLOOKUP(CL$14,Villagers!$B$1:$V$33,CL343+3,FALSE)),)</f>
        <v>0</v>
      </c>
      <c r="DH343" s="34">
        <f>ROUND(IF(CM343=0,0,HLOOKUP(CM$14,Villagers!$B$1:$V$33,CM343+3,FALSE)),)</f>
        <v>0</v>
      </c>
      <c r="DI343" s="109">
        <f t="shared" si="516"/>
        <v>0</v>
      </c>
      <c r="DJ343" s="50">
        <f t="shared" si="517"/>
        <v>0</v>
      </c>
      <c r="DK343" s="50">
        <f t="shared" si="518"/>
        <v>0</v>
      </c>
      <c r="DL343" s="50">
        <f t="shared" si="519"/>
        <v>0</v>
      </c>
      <c r="DM343" s="50">
        <f t="shared" si="520"/>
        <v>0</v>
      </c>
      <c r="DN343" s="50">
        <f t="shared" si="521"/>
        <v>0</v>
      </c>
      <c r="DO343" s="50">
        <f t="shared" si="522"/>
        <v>0</v>
      </c>
      <c r="DP343" s="50">
        <f t="shared" si="523"/>
        <v>0</v>
      </c>
      <c r="DQ343" s="50">
        <f t="shared" si="501"/>
        <v>0</v>
      </c>
      <c r="DR343" s="50">
        <f t="shared" si="502"/>
        <v>0</v>
      </c>
      <c r="DS343" s="96">
        <f>Miscelaneous!$D$4*Miscelaneous!$D$2^($CI343-1)</f>
        <v>1000</v>
      </c>
      <c r="DT343" s="333">
        <f t="shared" si="483"/>
        <v>1</v>
      </c>
      <c r="DU343" s="81">
        <v>1</v>
      </c>
      <c r="DV343" s="79">
        <f t="shared" si="503"/>
        <v>0</v>
      </c>
      <c r="DW343" s="79">
        <f t="shared" si="504"/>
        <v>0</v>
      </c>
      <c r="DX343" s="79">
        <f t="shared" si="505"/>
        <v>0</v>
      </c>
      <c r="DY343" s="79">
        <v>1</v>
      </c>
      <c r="DZ343" s="79">
        <f t="shared" si="506"/>
        <v>0</v>
      </c>
      <c r="EA343" s="79">
        <f t="shared" si="507"/>
        <v>0</v>
      </c>
      <c r="EB343" s="79">
        <f t="shared" si="508"/>
        <v>0</v>
      </c>
      <c r="EC343" s="79">
        <f t="shared" si="509"/>
        <v>0</v>
      </c>
      <c r="ED343" s="79">
        <v>1</v>
      </c>
      <c r="EE343" s="79">
        <v>1</v>
      </c>
      <c r="EF343" s="79">
        <f t="shared" si="510"/>
        <v>0</v>
      </c>
      <c r="EG343" s="79">
        <v>1</v>
      </c>
      <c r="EH343" s="79">
        <v>1</v>
      </c>
      <c r="EI343" s="79">
        <v>1</v>
      </c>
      <c r="EJ343" s="79">
        <v>1</v>
      </c>
      <c r="EK343" s="79">
        <v>1</v>
      </c>
      <c r="EL343" s="79">
        <v>1</v>
      </c>
      <c r="EM343" s="143">
        <f t="shared" si="511"/>
        <v>0</v>
      </c>
      <c r="EN343" s="143">
        <f t="shared" si="512"/>
        <v>0</v>
      </c>
      <c r="EO343" s="82">
        <f t="shared" si="513"/>
        <v>0</v>
      </c>
    </row>
    <row r="344" spans="1:145" x14ac:dyDescent="0.25">
      <c r="A344">
        <v>330</v>
      </c>
      <c r="B344" s="172" t="e">
        <f t="shared" si="484"/>
        <v>#N/A</v>
      </c>
      <c r="C344" s="121" t="e">
        <f t="shared" si="462"/>
        <v>#N/A</v>
      </c>
      <c r="D344" s="122" t="e">
        <f t="shared" si="463"/>
        <v>#N/A</v>
      </c>
      <c r="E344" s="122" t="e">
        <f t="shared" si="464"/>
        <v>#N/A</v>
      </c>
      <c r="F344" s="176" t="e">
        <f t="shared" si="465"/>
        <v>#N/A</v>
      </c>
      <c r="G344" s="121">
        <f t="shared" si="485"/>
        <v>208</v>
      </c>
      <c r="H344" s="176" t="e">
        <f t="shared" si="486"/>
        <v>#N/A</v>
      </c>
      <c r="I344" s="48">
        <v>1</v>
      </c>
      <c r="J344" s="39"/>
      <c r="K344" s="350">
        <v>1</v>
      </c>
      <c r="L344" s="34" t="e">
        <f t="shared" si="466"/>
        <v>#N/A</v>
      </c>
      <c r="M344" s="38" t="e">
        <f>(HLOOKUP(J344,'Construction Times'!$B$3:$W$34,L344+2,FALSE)*HLOOKUP("hq modifier",'Construction Times'!$W$3:$W$34,BS344+2,FALSE))*(1-$H$9)</f>
        <v>#N/A</v>
      </c>
      <c r="N344" s="443" t="e">
        <f t="shared" si="487"/>
        <v>#N/A</v>
      </c>
      <c r="O344" s="444"/>
      <c r="P344" s="447" t="e">
        <f t="shared" si="488"/>
        <v>#N/A</v>
      </c>
      <c r="Q344" s="448"/>
      <c r="R344" s="103">
        <f t="shared" si="514"/>
        <v>0</v>
      </c>
      <c r="S344" s="104">
        <f t="shared" si="514"/>
        <v>0</v>
      </c>
      <c r="T344" s="104">
        <f t="shared" si="515"/>
        <v>0</v>
      </c>
      <c r="U344" s="104">
        <f t="shared" si="515"/>
        <v>0</v>
      </c>
      <c r="V344" s="104">
        <f t="shared" si="515"/>
        <v>9.9999999999999995E-8</v>
      </c>
      <c r="W344" s="104">
        <f t="shared" si="515"/>
        <v>0</v>
      </c>
      <c r="X344" s="104">
        <f t="shared" si="455"/>
        <v>0</v>
      </c>
      <c r="Y344" s="104">
        <f t="shared" si="455"/>
        <v>9.9999999999999995E-8</v>
      </c>
      <c r="Z344" s="104">
        <f t="shared" si="455"/>
        <v>9.9999999999999995E-8</v>
      </c>
      <c r="AA344" s="105">
        <f t="shared" si="455"/>
        <v>9.9999999999999995E-8</v>
      </c>
      <c r="AB344" s="101" t="e">
        <f>$DT344*HLOOKUP($J344,'Construction Costs (timber)'!$B$1:$V$32,'Construction Planner'!$L344+2,FALSE)</f>
        <v>#N/A</v>
      </c>
      <c r="AC344" s="14" t="e">
        <f>$DT344*HLOOKUP($J344,'Construction Costs (clay)'!$B$1:$V$32,'Construction Planner'!$L344+2,FALSE)</f>
        <v>#N/A</v>
      </c>
      <c r="AD344" s="14" t="e">
        <f>$DT344*HLOOKUP($J344,'Construction Costs (iron)'!$B$1:$V$32,'Construction Planner'!$L344+2,FALSE)</f>
        <v>#N/A</v>
      </c>
      <c r="AE344" s="34" t="e">
        <f t="shared" si="524"/>
        <v>#N/A</v>
      </c>
      <c r="AF344" s="33" t="e">
        <f t="shared" si="467"/>
        <v>#N/A</v>
      </c>
      <c r="AG344" s="14" t="e">
        <f t="shared" si="468"/>
        <v>#N/A</v>
      </c>
      <c r="AH344" s="14" t="e">
        <f t="shared" si="469"/>
        <v>#N/A</v>
      </c>
      <c r="AI344" s="34" t="e">
        <f t="shared" si="525"/>
        <v>#N/A</v>
      </c>
      <c r="AJ344" s="49" t="e">
        <f t="shared" si="489"/>
        <v>#N/A</v>
      </c>
      <c r="AK344" s="49" t="e">
        <f t="shared" si="490"/>
        <v>#N/A</v>
      </c>
      <c r="AL344" s="49" t="e">
        <f t="shared" si="491"/>
        <v>#N/A</v>
      </c>
      <c r="AM344" s="25">
        <f t="shared" si="470"/>
        <v>30</v>
      </c>
      <c r="AN344" s="25">
        <f t="shared" si="471"/>
        <v>30</v>
      </c>
      <c r="AO344" s="25">
        <f t="shared" si="472"/>
        <v>30</v>
      </c>
      <c r="AP344" s="52" t="e">
        <f t="shared" si="492"/>
        <v>#N/A</v>
      </c>
      <c r="AQ344" s="53" t="e">
        <f t="shared" si="492"/>
        <v>#N/A</v>
      </c>
      <c r="AR344" s="54" t="e">
        <f t="shared" si="492"/>
        <v>#N/A</v>
      </c>
      <c r="AS344" s="316">
        <f t="shared" si="526"/>
        <v>0</v>
      </c>
      <c r="AT344" s="106">
        <f>_xlfn.IFNA($M344/VLOOKUP($BT344,'Unit information'!$A$2:$K$29,2,FALSE)*R344,0)*(1+$E$9)</f>
        <v>0</v>
      </c>
      <c r="AU344" s="107">
        <f>_xlfn.IFNA($M344/VLOOKUP($BT344,'Unit information'!$A$2:$K$29,3,FALSE)*S344,0)*(1+$E$9)</f>
        <v>0</v>
      </c>
      <c r="AV344" s="107">
        <f>_xlfn.IFNA($M344/VLOOKUP($BT344,'Unit information'!$A$2:$K$29,4,FALSE)*T344,0)*(1+$E$9)</f>
        <v>0</v>
      </c>
      <c r="AW344" s="107">
        <f>_xlfn.IFNA($M344/VLOOKUP($BT344,'Unit information'!$A$2:$K$29,5,FALSE)*U344,0)*(1+$E$9)</f>
        <v>0</v>
      </c>
      <c r="AX344" s="107">
        <f>_xlfn.IFNA($M344/VLOOKUP($BU344,'Unit information'!$A$2:$K$29,6,FALSE)*V344,0)*(1+$E$9)</f>
        <v>0</v>
      </c>
      <c r="AY344" s="107">
        <f>_xlfn.IFNA($M344/VLOOKUP($BU344,'Unit information'!$A$2:$K$29,7,FALSE)*W344,0)*(1+$E$9)</f>
        <v>0</v>
      </c>
      <c r="AZ344" s="107">
        <f>_xlfn.IFNA($M344/VLOOKUP($BU344,'Unit information'!$A$2:$K$29,8,FALSE)*X344,0)*(1+$E$9)</f>
        <v>0</v>
      </c>
      <c r="BA344" s="107">
        <f>_xlfn.IFNA($M344/VLOOKUP($BU344,'Unit information'!$A$2:$K$29,9,FALSE)*Y344,0)*(1+$E$9)</f>
        <v>0</v>
      </c>
      <c r="BB344" s="107">
        <f>_xlfn.IFNA($M344/VLOOKUP($BV344,'Unit information'!$A$2:$K$29,10,FALSE)*Z344,0)*(1+$E$9)</f>
        <v>0</v>
      </c>
      <c r="BC344" s="108">
        <f>_xlfn.IFNA($M344/VLOOKUP($BV344,'Unit information'!$A$2:$K$29,11,FALSE)*AA344,0)*(1+$E$9)</f>
        <v>0</v>
      </c>
      <c r="BD344" s="106">
        <f t="shared" si="473"/>
        <v>0</v>
      </c>
      <c r="BE344" s="107">
        <f t="shared" si="474"/>
        <v>0</v>
      </c>
      <c r="BF344" s="108">
        <f t="shared" si="475"/>
        <v>0</v>
      </c>
      <c r="BG344" s="25" t="e">
        <f t="shared" si="476"/>
        <v>#N/A</v>
      </c>
      <c r="BH344" s="25" t="e">
        <f t="shared" si="477"/>
        <v>#N/A</v>
      </c>
      <c r="BI344" s="25" t="e">
        <f t="shared" si="478"/>
        <v>#N/A</v>
      </c>
      <c r="BJ344" s="27" t="e">
        <f t="shared" si="479"/>
        <v>#N/A</v>
      </c>
      <c r="BK344" s="18" t="e">
        <f t="shared" si="480"/>
        <v>#N/A</v>
      </c>
      <c r="BL344" s="18" t="e">
        <f t="shared" si="481"/>
        <v>#N/A</v>
      </c>
      <c r="BM344" s="28" t="e">
        <f t="shared" si="527"/>
        <v>#N/A</v>
      </c>
      <c r="BN344" s="33">
        <f>HLOOKUP("maximum population",Miscelaneous!$C$1:$C$33,CH344+3,FALSE)</f>
        <v>240</v>
      </c>
      <c r="BO344" s="14">
        <f t="shared" si="493"/>
        <v>32</v>
      </c>
      <c r="BP344" s="14">
        <f t="shared" si="494"/>
        <v>0</v>
      </c>
      <c r="BQ344" s="14">
        <f t="shared" si="495"/>
        <v>208</v>
      </c>
      <c r="BR344" s="34" t="e">
        <f>HLOOKUP(J344,Villagers!$B$1:$V$33,L344+3,FALSE)-HLOOKUP(J344,Villagers!$B$1:$V$33,L344+2,FALSE)</f>
        <v>#N/A</v>
      </c>
      <c r="BS344" s="49">
        <f t="shared" si="496"/>
        <v>1</v>
      </c>
      <c r="BT344" s="50">
        <f t="shared" si="497"/>
        <v>0</v>
      </c>
      <c r="BU344" s="50">
        <f t="shared" si="498"/>
        <v>0</v>
      </c>
      <c r="BV344" s="50">
        <f t="shared" si="499"/>
        <v>0</v>
      </c>
      <c r="BW344" s="50">
        <f t="shared" ref="BW344:BW351" si="529">IF($J343=BW$14,$L343,BW343)</f>
        <v>0</v>
      </c>
      <c r="BX344" s="50">
        <f t="shared" si="528"/>
        <v>0</v>
      </c>
      <c r="BY344" s="50">
        <f t="shared" si="528"/>
        <v>0</v>
      </c>
      <c r="BZ344" s="50">
        <f t="shared" si="440"/>
        <v>0</v>
      </c>
      <c r="CA344" s="50">
        <f t="shared" si="441"/>
        <v>0</v>
      </c>
      <c r="CB344" s="50">
        <f t="shared" si="442"/>
        <v>1</v>
      </c>
      <c r="CC344" s="50">
        <f t="shared" si="443"/>
        <v>0</v>
      </c>
      <c r="CD344" s="50">
        <f t="shared" si="444"/>
        <v>0</v>
      </c>
      <c r="CE344" s="50">
        <f t="shared" si="445"/>
        <v>1</v>
      </c>
      <c r="CF344" s="50">
        <f t="shared" si="446"/>
        <v>1</v>
      </c>
      <c r="CG344" s="50">
        <f t="shared" si="447"/>
        <v>1</v>
      </c>
      <c r="CH344" s="50">
        <f t="shared" si="448"/>
        <v>1</v>
      </c>
      <c r="CI344" s="50">
        <f t="shared" si="449"/>
        <v>1</v>
      </c>
      <c r="CJ344" s="50">
        <f t="shared" si="450"/>
        <v>1</v>
      </c>
      <c r="CK344" s="50">
        <f t="shared" si="450"/>
        <v>0</v>
      </c>
      <c r="CL344" s="50">
        <f t="shared" si="450"/>
        <v>0</v>
      </c>
      <c r="CM344" s="51">
        <f t="shared" si="482"/>
        <v>0</v>
      </c>
      <c r="CN344" s="33">
        <f>ROUND(IF(BS344=0,0,HLOOKUP(BS$14,Villagers!$B$1:$V$33,BS344+3,FALSE)),)</f>
        <v>5</v>
      </c>
      <c r="CO344" s="14">
        <f>ROUND(IF(BT344=0,0,HLOOKUP(BT$14,Villagers!$B$1:$V$33,BT344+3,FALSE)),)</f>
        <v>0</v>
      </c>
      <c r="CP344" s="14">
        <f>ROUND(IF(BU344=0,0,HLOOKUP(BU$14,Villagers!$B$1:$V$33,BU344+3,FALSE)),)</f>
        <v>0</v>
      </c>
      <c r="CQ344" s="14">
        <f>ROUND(IF(BV344=0,0,HLOOKUP(BV$14,Villagers!$B$1:$V$33,BV344+3,FALSE)),)</f>
        <v>0</v>
      </c>
      <c r="CR344" s="14">
        <f>ROUND(IF(BW344=0,0,HLOOKUP(BW$14,Villagers!$B$1:$V$33,BW344+3,FALSE)),)</f>
        <v>0</v>
      </c>
      <c r="CS344" s="14">
        <f>ROUND(IF(BX344=0,0,HLOOKUP(BX$14,Villagers!$B$1:$V$33,BX344+3,FALSE)),)</f>
        <v>0</v>
      </c>
      <c r="CT344" s="14">
        <f>ROUND(IF(BY344=0,0,HLOOKUP(BY$14,Villagers!$B$1:$V$33,BY344+3,FALSE)),)</f>
        <v>0</v>
      </c>
      <c r="CU344" s="14">
        <f>ROUND(IF(BZ344=0,0,HLOOKUP(BZ$14,Villagers!$B$1:$V$33,BZ344+3,FALSE)),)</f>
        <v>0</v>
      </c>
      <c r="CV344" s="14">
        <f>ROUND(IF(CA344=0,0,HLOOKUP(CA$14,Villagers!$B$1:$V$33,CA344+3,FALSE)),)</f>
        <v>0</v>
      </c>
      <c r="CW344" s="14">
        <f>ROUND(IF(CB344=0,0,HLOOKUP(CB$14,Villagers!$B$1:$V$33,CB344+3,FALSE)),)</f>
        <v>0</v>
      </c>
      <c r="CX344" s="14">
        <f>ROUND(IF(CC344=0,0,HLOOKUP(CC$14,Villagers!$B$1:$V$33,CC344+3,FALSE)),)</f>
        <v>0</v>
      </c>
      <c r="CY344" s="14">
        <f>ROUND(IF(CD344=0,0,HLOOKUP(CD$14,Villagers!$B$1:$V$33,CD344+3,FALSE)),)</f>
        <v>0</v>
      </c>
      <c r="CZ344" s="14">
        <f>ROUND(IF(CE344=0,0,HLOOKUP(CE$14,Villagers!$B$1:$V$33,CE344+3,FALSE)),)</f>
        <v>5</v>
      </c>
      <c r="DA344" s="14">
        <f>ROUND(IF(CF344=0,0,HLOOKUP(CF$14,Villagers!$B$1:$V$33,CF344+3,FALSE)),)</f>
        <v>10</v>
      </c>
      <c r="DB344" s="14">
        <f>ROUND(IF(CG344=0,0,HLOOKUP(CG$14,Villagers!$B$1:$V$33,CG344+3,FALSE)),)</f>
        <v>10</v>
      </c>
      <c r="DC344" s="14">
        <f>ROUND(IF(CH344=0,0,HLOOKUP(CH$14,Villagers!$B$1:$V$33,CH344+3,FALSE)),)</f>
        <v>0</v>
      </c>
      <c r="DD344" s="14">
        <f>ROUND(IF(CI344=0,0,HLOOKUP(CI$14,Villagers!$B$1:$V$33,CI344+3,FALSE)),)</f>
        <v>0</v>
      </c>
      <c r="DE344" s="14">
        <f>ROUND(IF(CJ344=0,0,HLOOKUP(CJ$14,Villagers!$B$1:$V$33,CJ344+3,FALSE)),)</f>
        <v>2</v>
      </c>
      <c r="DF344" s="370">
        <f>ROUND(IF(CK344=0,0,HLOOKUP(CK$14,Villagers!$B$1:$V$33,CK344+3,FALSE)),)</f>
        <v>0</v>
      </c>
      <c r="DG344" s="370">
        <f>ROUND(IF(CL344=0,0,HLOOKUP(CL$14,Villagers!$B$1:$V$33,CL344+3,FALSE)),)</f>
        <v>0</v>
      </c>
      <c r="DH344" s="34">
        <f>ROUND(IF(CM344=0,0,HLOOKUP(CM$14,Villagers!$B$1:$V$33,CM344+3,FALSE)),)</f>
        <v>0</v>
      </c>
      <c r="DI344" s="109">
        <f t="shared" si="516"/>
        <v>0</v>
      </c>
      <c r="DJ344" s="50">
        <f t="shared" si="517"/>
        <v>0</v>
      </c>
      <c r="DK344" s="50">
        <f t="shared" si="518"/>
        <v>0</v>
      </c>
      <c r="DL344" s="50">
        <f t="shared" si="519"/>
        <v>0</v>
      </c>
      <c r="DM344" s="50">
        <f t="shared" si="520"/>
        <v>0</v>
      </c>
      <c r="DN344" s="50">
        <f t="shared" si="521"/>
        <v>0</v>
      </c>
      <c r="DO344" s="50">
        <f t="shared" si="522"/>
        <v>0</v>
      </c>
      <c r="DP344" s="50">
        <f t="shared" si="523"/>
        <v>0</v>
      </c>
      <c r="DQ344" s="50">
        <f t="shared" si="501"/>
        <v>0</v>
      </c>
      <c r="DR344" s="50">
        <f t="shared" si="502"/>
        <v>0</v>
      </c>
      <c r="DS344" s="96">
        <f>Miscelaneous!$D$4*Miscelaneous!$D$2^($CI344-1)</f>
        <v>1000</v>
      </c>
      <c r="DT344" s="333">
        <f t="shared" si="483"/>
        <v>1</v>
      </c>
      <c r="DU344" s="81">
        <v>1</v>
      </c>
      <c r="DV344" s="79">
        <f t="shared" si="503"/>
        <v>0</v>
      </c>
      <c r="DW344" s="79">
        <f t="shared" si="504"/>
        <v>0</v>
      </c>
      <c r="DX344" s="79">
        <f t="shared" si="505"/>
        <v>0</v>
      </c>
      <c r="DY344" s="79">
        <v>1</v>
      </c>
      <c r="DZ344" s="79">
        <f t="shared" si="506"/>
        <v>0</v>
      </c>
      <c r="EA344" s="79">
        <f t="shared" si="507"/>
        <v>0</v>
      </c>
      <c r="EB344" s="79">
        <f t="shared" si="508"/>
        <v>0</v>
      </c>
      <c r="EC344" s="79">
        <f t="shared" si="509"/>
        <v>0</v>
      </c>
      <c r="ED344" s="79">
        <v>1</v>
      </c>
      <c r="EE344" s="79">
        <v>1</v>
      </c>
      <c r="EF344" s="79">
        <f t="shared" si="510"/>
        <v>0</v>
      </c>
      <c r="EG344" s="79">
        <v>1</v>
      </c>
      <c r="EH344" s="79">
        <v>1</v>
      </c>
      <c r="EI344" s="79">
        <v>1</v>
      </c>
      <c r="EJ344" s="79">
        <v>1</v>
      </c>
      <c r="EK344" s="79">
        <v>1</v>
      </c>
      <c r="EL344" s="79">
        <v>1</v>
      </c>
      <c r="EM344" s="143">
        <f t="shared" si="511"/>
        <v>0</v>
      </c>
      <c r="EN344" s="143">
        <f t="shared" si="512"/>
        <v>0</v>
      </c>
      <c r="EO344" s="82">
        <f t="shared" si="513"/>
        <v>0</v>
      </c>
    </row>
    <row r="345" spans="1:145" x14ac:dyDescent="0.25">
      <c r="A345">
        <v>331</v>
      </c>
      <c r="B345" s="172" t="e">
        <f t="shared" si="484"/>
        <v>#N/A</v>
      </c>
      <c r="C345" s="121" t="e">
        <f t="shared" si="462"/>
        <v>#N/A</v>
      </c>
      <c r="D345" s="122" t="e">
        <f t="shared" si="463"/>
        <v>#N/A</v>
      </c>
      <c r="E345" s="122" t="e">
        <f t="shared" si="464"/>
        <v>#N/A</v>
      </c>
      <c r="F345" s="176" t="e">
        <f t="shared" si="465"/>
        <v>#N/A</v>
      </c>
      <c r="G345" s="121">
        <f t="shared" si="485"/>
        <v>208</v>
      </c>
      <c r="H345" s="176" t="e">
        <f t="shared" si="486"/>
        <v>#N/A</v>
      </c>
      <c r="I345" s="48">
        <v>1</v>
      </c>
      <c r="J345" s="39"/>
      <c r="K345" s="350">
        <v>1</v>
      </c>
      <c r="L345" s="34" t="e">
        <f t="shared" si="466"/>
        <v>#N/A</v>
      </c>
      <c r="M345" s="38" t="e">
        <f>(HLOOKUP(J345,'Construction Times'!$B$3:$W$34,L345+2,FALSE)*HLOOKUP("hq modifier",'Construction Times'!$W$3:$W$34,BS345+2,FALSE))*(1-$H$9)</f>
        <v>#N/A</v>
      </c>
      <c r="N345" s="443" t="e">
        <f t="shared" si="487"/>
        <v>#N/A</v>
      </c>
      <c r="O345" s="444"/>
      <c r="P345" s="447" t="e">
        <f t="shared" si="488"/>
        <v>#N/A</v>
      </c>
      <c r="Q345" s="448"/>
      <c r="R345" s="103">
        <f t="shared" si="514"/>
        <v>0</v>
      </c>
      <c r="S345" s="104">
        <f t="shared" si="514"/>
        <v>0</v>
      </c>
      <c r="T345" s="104">
        <f t="shared" si="515"/>
        <v>0</v>
      </c>
      <c r="U345" s="104">
        <f t="shared" si="515"/>
        <v>0</v>
      </c>
      <c r="V345" s="104">
        <f t="shared" si="515"/>
        <v>9.9999999999999995E-8</v>
      </c>
      <c r="W345" s="104">
        <f t="shared" si="515"/>
        <v>0</v>
      </c>
      <c r="X345" s="104">
        <f t="shared" si="455"/>
        <v>0</v>
      </c>
      <c r="Y345" s="104">
        <f t="shared" si="455"/>
        <v>9.9999999999999995E-8</v>
      </c>
      <c r="Z345" s="104">
        <f t="shared" si="455"/>
        <v>9.9999999999999995E-8</v>
      </c>
      <c r="AA345" s="105">
        <f t="shared" si="455"/>
        <v>9.9999999999999995E-8</v>
      </c>
      <c r="AB345" s="101" t="e">
        <f>$DT345*HLOOKUP($J345,'Construction Costs (timber)'!$B$1:$V$32,'Construction Planner'!$L345+2,FALSE)</f>
        <v>#N/A</v>
      </c>
      <c r="AC345" s="14" t="e">
        <f>$DT345*HLOOKUP($J345,'Construction Costs (clay)'!$B$1:$V$32,'Construction Planner'!$L345+2,FALSE)</f>
        <v>#N/A</v>
      </c>
      <c r="AD345" s="14" t="e">
        <f>$DT345*HLOOKUP($J345,'Construction Costs (iron)'!$B$1:$V$32,'Construction Planner'!$L345+2,FALSE)</f>
        <v>#N/A</v>
      </c>
      <c r="AE345" s="34" t="e">
        <f t="shared" si="524"/>
        <v>#N/A</v>
      </c>
      <c r="AF345" s="33" t="e">
        <f t="shared" si="467"/>
        <v>#N/A</v>
      </c>
      <c r="AG345" s="14" t="e">
        <f t="shared" si="468"/>
        <v>#N/A</v>
      </c>
      <c r="AH345" s="14" t="e">
        <f t="shared" si="469"/>
        <v>#N/A</v>
      </c>
      <c r="AI345" s="34" t="e">
        <f t="shared" si="525"/>
        <v>#N/A</v>
      </c>
      <c r="AJ345" s="49" t="e">
        <f t="shared" si="489"/>
        <v>#N/A</v>
      </c>
      <c r="AK345" s="49" t="e">
        <f t="shared" si="490"/>
        <v>#N/A</v>
      </c>
      <c r="AL345" s="49" t="e">
        <f t="shared" si="491"/>
        <v>#N/A</v>
      </c>
      <c r="AM345" s="25">
        <f t="shared" si="470"/>
        <v>30</v>
      </c>
      <c r="AN345" s="25">
        <f t="shared" si="471"/>
        <v>30</v>
      </c>
      <c r="AO345" s="25">
        <f t="shared" si="472"/>
        <v>30</v>
      </c>
      <c r="AP345" s="52" t="e">
        <f t="shared" si="492"/>
        <v>#N/A</v>
      </c>
      <c r="AQ345" s="53" t="e">
        <f t="shared" si="492"/>
        <v>#N/A</v>
      </c>
      <c r="AR345" s="54" t="e">
        <f t="shared" si="492"/>
        <v>#N/A</v>
      </c>
      <c r="AS345" s="316">
        <f t="shared" si="526"/>
        <v>0</v>
      </c>
      <c r="AT345" s="106">
        <f>_xlfn.IFNA($M345/VLOOKUP($BT345,'Unit information'!$A$2:$K$29,2,FALSE)*R345,0)*(1+$E$9)</f>
        <v>0</v>
      </c>
      <c r="AU345" s="107">
        <f>_xlfn.IFNA($M345/VLOOKUP($BT345,'Unit information'!$A$2:$K$29,3,FALSE)*S345,0)*(1+$E$9)</f>
        <v>0</v>
      </c>
      <c r="AV345" s="107">
        <f>_xlfn.IFNA($M345/VLOOKUP($BT345,'Unit information'!$A$2:$K$29,4,FALSE)*T345,0)*(1+$E$9)</f>
        <v>0</v>
      </c>
      <c r="AW345" s="107">
        <f>_xlfn.IFNA($M345/VLOOKUP($BT345,'Unit information'!$A$2:$K$29,5,FALSE)*U345,0)*(1+$E$9)</f>
        <v>0</v>
      </c>
      <c r="AX345" s="107">
        <f>_xlfn.IFNA($M345/VLOOKUP($BU345,'Unit information'!$A$2:$K$29,6,FALSE)*V345,0)*(1+$E$9)</f>
        <v>0</v>
      </c>
      <c r="AY345" s="107">
        <f>_xlfn.IFNA($M345/VLOOKUP($BU345,'Unit information'!$A$2:$K$29,7,FALSE)*W345,0)*(1+$E$9)</f>
        <v>0</v>
      </c>
      <c r="AZ345" s="107">
        <f>_xlfn.IFNA($M345/VLOOKUP($BU345,'Unit information'!$A$2:$K$29,8,FALSE)*X345,0)*(1+$E$9)</f>
        <v>0</v>
      </c>
      <c r="BA345" s="107">
        <f>_xlfn.IFNA($M345/VLOOKUP($BU345,'Unit information'!$A$2:$K$29,9,FALSE)*Y345,0)*(1+$E$9)</f>
        <v>0</v>
      </c>
      <c r="BB345" s="107">
        <f>_xlfn.IFNA($M345/VLOOKUP($BV345,'Unit information'!$A$2:$K$29,10,FALSE)*Z345,0)*(1+$E$9)</f>
        <v>0</v>
      </c>
      <c r="BC345" s="108">
        <f>_xlfn.IFNA($M345/VLOOKUP($BV345,'Unit information'!$A$2:$K$29,11,FALSE)*AA345,0)*(1+$E$9)</f>
        <v>0</v>
      </c>
      <c r="BD345" s="106">
        <f t="shared" si="473"/>
        <v>0</v>
      </c>
      <c r="BE345" s="107">
        <f t="shared" si="474"/>
        <v>0</v>
      </c>
      <c r="BF345" s="108">
        <f t="shared" si="475"/>
        <v>0</v>
      </c>
      <c r="BG345" s="25" t="e">
        <f t="shared" si="476"/>
        <v>#N/A</v>
      </c>
      <c r="BH345" s="25" t="e">
        <f t="shared" si="477"/>
        <v>#N/A</v>
      </c>
      <c r="BI345" s="25" t="e">
        <f t="shared" si="478"/>
        <v>#N/A</v>
      </c>
      <c r="BJ345" s="27" t="e">
        <f t="shared" si="479"/>
        <v>#N/A</v>
      </c>
      <c r="BK345" s="18" t="e">
        <f t="shared" si="480"/>
        <v>#N/A</v>
      </c>
      <c r="BL345" s="18" t="e">
        <f t="shared" si="481"/>
        <v>#N/A</v>
      </c>
      <c r="BM345" s="28" t="e">
        <f t="shared" si="527"/>
        <v>#N/A</v>
      </c>
      <c r="BN345" s="33">
        <f>HLOOKUP("maximum population",Miscelaneous!$C$1:$C$33,CH345+3,FALSE)</f>
        <v>240</v>
      </c>
      <c r="BO345" s="14">
        <f t="shared" si="493"/>
        <v>32</v>
      </c>
      <c r="BP345" s="14">
        <f t="shared" si="494"/>
        <v>0</v>
      </c>
      <c r="BQ345" s="14">
        <f t="shared" si="495"/>
        <v>208</v>
      </c>
      <c r="BR345" s="34" t="e">
        <f>HLOOKUP(J345,Villagers!$B$1:$V$33,L345+3,FALSE)-HLOOKUP(J345,Villagers!$B$1:$V$33,L345+2,FALSE)</f>
        <v>#N/A</v>
      </c>
      <c r="BS345" s="49">
        <f t="shared" si="496"/>
        <v>1</v>
      </c>
      <c r="BT345" s="50">
        <f t="shared" si="497"/>
        <v>0</v>
      </c>
      <c r="BU345" s="50">
        <f t="shared" si="498"/>
        <v>0</v>
      </c>
      <c r="BV345" s="50">
        <f t="shared" si="499"/>
        <v>0</v>
      </c>
      <c r="BW345" s="50">
        <f t="shared" si="529"/>
        <v>0</v>
      </c>
      <c r="BX345" s="50">
        <f t="shared" si="528"/>
        <v>0</v>
      </c>
      <c r="BY345" s="50">
        <f t="shared" si="528"/>
        <v>0</v>
      </c>
      <c r="BZ345" s="50">
        <f t="shared" si="440"/>
        <v>0</v>
      </c>
      <c r="CA345" s="50">
        <f t="shared" si="441"/>
        <v>0</v>
      </c>
      <c r="CB345" s="50">
        <f t="shared" si="442"/>
        <v>1</v>
      </c>
      <c r="CC345" s="50">
        <f t="shared" si="443"/>
        <v>0</v>
      </c>
      <c r="CD345" s="50">
        <f t="shared" si="444"/>
        <v>0</v>
      </c>
      <c r="CE345" s="50">
        <f t="shared" si="445"/>
        <v>1</v>
      </c>
      <c r="CF345" s="50">
        <f t="shared" si="446"/>
        <v>1</v>
      </c>
      <c r="CG345" s="50">
        <f t="shared" si="447"/>
        <v>1</v>
      </c>
      <c r="CH345" s="50">
        <f t="shared" si="448"/>
        <v>1</v>
      </c>
      <c r="CI345" s="50">
        <f t="shared" si="449"/>
        <v>1</v>
      </c>
      <c r="CJ345" s="50">
        <f t="shared" si="450"/>
        <v>1</v>
      </c>
      <c r="CK345" s="50">
        <f t="shared" si="450"/>
        <v>0</v>
      </c>
      <c r="CL345" s="50">
        <f t="shared" si="450"/>
        <v>0</v>
      </c>
      <c r="CM345" s="51">
        <f t="shared" si="482"/>
        <v>0</v>
      </c>
      <c r="CN345" s="33">
        <f>ROUND(IF(BS345=0,0,HLOOKUP(BS$14,Villagers!$B$1:$V$33,BS345+3,FALSE)),)</f>
        <v>5</v>
      </c>
      <c r="CO345" s="14">
        <f>ROUND(IF(BT345=0,0,HLOOKUP(BT$14,Villagers!$B$1:$V$33,BT345+3,FALSE)),)</f>
        <v>0</v>
      </c>
      <c r="CP345" s="14">
        <f>ROUND(IF(BU345=0,0,HLOOKUP(BU$14,Villagers!$B$1:$V$33,BU345+3,FALSE)),)</f>
        <v>0</v>
      </c>
      <c r="CQ345" s="14">
        <f>ROUND(IF(BV345=0,0,HLOOKUP(BV$14,Villagers!$B$1:$V$33,BV345+3,FALSE)),)</f>
        <v>0</v>
      </c>
      <c r="CR345" s="14">
        <f>ROUND(IF(BW345=0,0,HLOOKUP(BW$14,Villagers!$B$1:$V$33,BW345+3,FALSE)),)</f>
        <v>0</v>
      </c>
      <c r="CS345" s="14">
        <f>ROUND(IF(BX345=0,0,HLOOKUP(BX$14,Villagers!$B$1:$V$33,BX345+3,FALSE)),)</f>
        <v>0</v>
      </c>
      <c r="CT345" s="14">
        <f>ROUND(IF(BY345=0,0,HLOOKUP(BY$14,Villagers!$B$1:$V$33,BY345+3,FALSE)),)</f>
        <v>0</v>
      </c>
      <c r="CU345" s="14">
        <f>ROUND(IF(BZ345=0,0,HLOOKUP(BZ$14,Villagers!$B$1:$V$33,BZ345+3,FALSE)),)</f>
        <v>0</v>
      </c>
      <c r="CV345" s="14">
        <f>ROUND(IF(CA345=0,0,HLOOKUP(CA$14,Villagers!$B$1:$V$33,CA345+3,FALSE)),)</f>
        <v>0</v>
      </c>
      <c r="CW345" s="14">
        <f>ROUND(IF(CB345=0,0,HLOOKUP(CB$14,Villagers!$B$1:$V$33,CB345+3,FALSE)),)</f>
        <v>0</v>
      </c>
      <c r="CX345" s="14">
        <f>ROUND(IF(CC345=0,0,HLOOKUP(CC$14,Villagers!$B$1:$V$33,CC345+3,FALSE)),)</f>
        <v>0</v>
      </c>
      <c r="CY345" s="14">
        <f>ROUND(IF(CD345=0,0,HLOOKUP(CD$14,Villagers!$B$1:$V$33,CD345+3,FALSE)),)</f>
        <v>0</v>
      </c>
      <c r="CZ345" s="14">
        <f>ROUND(IF(CE345=0,0,HLOOKUP(CE$14,Villagers!$B$1:$V$33,CE345+3,FALSE)),)</f>
        <v>5</v>
      </c>
      <c r="DA345" s="14">
        <f>ROUND(IF(CF345=0,0,HLOOKUP(CF$14,Villagers!$B$1:$V$33,CF345+3,FALSE)),)</f>
        <v>10</v>
      </c>
      <c r="DB345" s="14">
        <f>ROUND(IF(CG345=0,0,HLOOKUP(CG$14,Villagers!$B$1:$V$33,CG345+3,FALSE)),)</f>
        <v>10</v>
      </c>
      <c r="DC345" s="14">
        <f>ROUND(IF(CH345=0,0,HLOOKUP(CH$14,Villagers!$B$1:$V$33,CH345+3,FALSE)),)</f>
        <v>0</v>
      </c>
      <c r="DD345" s="14">
        <f>ROUND(IF(CI345=0,0,HLOOKUP(CI$14,Villagers!$B$1:$V$33,CI345+3,FALSE)),)</f>
        <v>0</v>
      </c>
      <c r="DE345" s="14">
        <f>ROUND(IF(CJ345=0,0,HLOOKUP(CJ$14,Villagers!$B$1:$V$33,CJ345+3,FALSE)),)</f>
        <v>2</v>
      </c>
      <c r="DF345" s="370">
        <f>ROUND(IF(CK345=0,0,HLOOKUP(CK$14,Villagers!$B$1:$V$33,CK345+3,FALSE)),)</f>
        <v>0</v>
      </c>
      <c r="DG345" s="370">
        <f>ROUND(IF(CL345=0,0,HLOOKUP(CL$14,Villagers!$B$1:$V$33,CL345+3,FALSE)),)</f>
        <v>0</v>
      </c>
      <c r="DH345" s="34">
        <f>ROUND(IF(CM345=0,0,HLOOKUP(CM$14,Villagers!$B$1:$V$33,CM345+3,FALSE)),)</f>
        <v>0</v>
      </c>
      <c r="DI345" s="109">
        <f t="shared" si="516"/>
        <v>0</v>
      </c>
      <c r="DJ345" s="50">
        <f t="shared" si="517"/>
        <v>0</v>
      </c>
      <c r="DK345" s="50">
        <f t="shared" si="518"/>
        <v>0</v>
      </c>
      <c r="DL345" s="50">
        <f t="shared" si="519"/>
        <v>0</v>
      </c>
      <c r="DM345" s="50">
        <f t="shared" si="520"/>
        <v>0</v>
      </c>
      <c r="DN345" s="50">
        <f t="shared" si="521"/>
        <v>0</v>
      </c>
      <c r="DO345" s="50">
        <f t="shared" si="522"/>
        <v>0</v>
      </c>
      <c r="DP345" s="50">
        <f t="shared" si="523"/>
        <v>0</v>
      </c>
      <c r="DQ345" s="50">
        <f t="shared" si="501"/>
        <v>0</v>
      </c>
      <c r="DR345" s="50">
        <f t="shared" si="502"/>
        <v>0</v>
      </c>
      <c r="DS345" s="96">
        <f>Miscelaneous!$D$4*Miscelaneous!$D$2^($CI345-1)</f>
        <v>1000</v>
      </c>
      <c r="DT345" s="333">
        <f t="shared" si="483"/>
        <v>1</v>
      </c>
      <c r="DU345" s="81">
        <v>1</v>
      </c>
      <c r="DV345" s="79">
        <f t="shared" si="503"/>
        <v>0</v>
      </c>
      <c r="DW345" s="79">
        <f t="shared" si="504"/>
        <v>0</v>
      </c>
      <c r="DX345" s="79">
        <f t="shared" si="505"/>
        <v>0</v>
      </c>
      <c r="DY345" s="79">
        <v>1</v>
      </c>
      <c r="DZ345" s="79">
        <f t="shared" si="506"/>
        <v>0</v>
      </c>
      <c r="EA345" s="79">
        <f t="shared" si="507"/>
        <v>0</v>
      </c>
      <c r="EB345" s="79">
        <f t="shared" si="508"/>
        <v>0</v>
      </c>
      <c r="EC345" s="79">
        <f t="shared" si="509"/>
        <v>0</v>
      </c>
      <c r="ED345" s="79">
        <v>1</v>
      </c>
      <c r="EE345" s="79">
        <v>1</v>
      </c>
      <c r="EF345" s="79">
        <f t="shared" si="510"/>
        <v>0</v>
      </c>
      <c r="EG345" s="79">
        <v>1</v>
      </c>
      <c r="EH345" s="79">
        <v>1</v>
      </c>
      <c r="EI345" s="79">
        <v>1</v>
      </c>
      <c r="EJ345" s="79">
        <v>1</v>
      </c>
      <c r="EK345" s="79">
        <v>1</v>
      </c>
      <c r="EL345" s="79">
        <v>1</v>
      </c>
      <c r="EM345" s="143">
        <f t="shared" si="511"/>
        <v>0</v>
      </c>
      <c r="EN345" s="143">
        <f t="shared" si="512"/>
        <v>0</v>
      </c>
      <c r="EO345" s="82">
        <f t="shared" si="513"/>
        <v>0</v>
      </c>
    </row>
    <row r="346" spans="1:145" x14ac:dyDescent="0.25">
      <c r="A346">
        <v>332</v>
      </c>
      <c r="B346" s="172" t="e">
        <f t="shared" si="484"/>
        <v>#N/A</v>
      </c>
      <c r="C346" s="121" t="e">
        <f t="shared" si="462"/>
        <v>#N/A</v>
      </c>
      <c r="D346" s="122" t="e">
        <f t="shared" si="463"/>
        <v>#N/A</v>
      </c>
      <c r="E346" s="122" t="e">
        <f t="shared" si="464"/>
        <v>#N/A</v>
      </c>
      <c r="F346" s="176" t="e">
        <f t="shared" si="465"/>
        <v>#N/A</v>
      </c>
      <c r="G346" s="121">
        <f t="shared" si="485"/>
        <v>208</v>
      </c>
      <c r="H346" s="176" t="e">
        <f t="shared" si="486"/>
        <v>#N/A</v>
      </c>
      <c r="I346" s="48">
        <v>1</v>
      </c>
      <c r="J346" s="39"/>
      <c r="K346" s="350">
        <v>1</v>
      </c>
      <c r="L346" s="34" t="e">
        <f t="shared" si="466"/>
        <v>#N/A</v>
      </c>
      <c r="M346" s="38" t="e">
        <f>(HLOOKUP(J346,'Construction Times'!$B$3:$W$34,L346+2,FALSE)*HLOOKUP("hq modifier",'Construction Times'!$W$3:$W$34,BS346+2,FALSE))*(1-$H$9)</f>
        <v>#N/A</v>
      </c>
      <c r="N346" s="443" t="e">
        <f t="shared" si="487"/>
        <v>#N/A</v>
      </c>
      <c r="O346" s="444"/>
      <c r="P346" s="447" t="e">
        <f t="shared" si="488"/>
        <v>#N/A</v>
      </c>
      <c r="Q346" s="448"/>
      <c r="R346" s="103">
        <f t="shared" si="514"/>
        <v>0</v>
      </c>
      <c r="S346" s="104">
        <f t="shared" si="514"/>
        <v>0</v>
      </c>
      <c r="T346" s="104">
        <f t="shared" si="515"/>
        <v>0</v>
      </c>
      <c r="U346" s="104">
        <f t="shared" si="515"/>
        <v>0</v>
      </c>
      <c r="V346" s="104">
        <f t="shared" si="515"/>
        <v>9.9999999999999995E-8</v>
      </c>
      <c r="W346" s="104">
        <f t="shared" si="515"/>
        <v>0</v>
      </c>
      <c r="X346" s="104">
        <f t="shared" si="455"/>
        <v>0</v>
      </c>
      <c r="Y346" s="104">
        <f t="shared" si="455"/>
        <v>9.9999999999999995E-8</v>
      </c>
      <c r="Z346" s="104">
        <f t="shared" si="455"/>
        <v>9.9999999999999995E-8</v>
      </c>
      <c r="AA346" s="105">
        <f t="shared" si="455"/>
        <v>9.9999999999999995E-8</v>
      </c>
      <c r="AB346" s="101" t="e">
        <f>$DT346*HLOOKUP($J346,'Construction Costs (timber)'!$B$1:$V$32,'Construction Planner'!$L346+2,FALSE)</f>
        <v>#N/A</v>
      </c>
      <c r="AC346" s="14" t="e">
        <f>$DT346*HLOOKUP($J346,'Construction Costs (clay)'!$B$1:$V$32,'Construction Planner'!$L346+2,FALSE)</f>
        <v>#N/A</v>
      </c>
      <c r="AD346" s="14" t="e">
        <f>$DT346*HLOOKUP($J346,'Construction Costs (iron)'!$B$1:$V$32,'Construction Planner'!$L346+2,FALSE)</f>
        <v>#N/A</v>
      </c>
      <c r="AE346" s="34" t="e">
        <f t="shared" si="524"/>
        <v>#N/A</v>
      </c>
      <c r="AF346" s="33" t="e">
        <f t="shared" si="467"/>
        <v>#N/A</v>
      </c>
      <c r="AG346" s="14" t="e">
        <f t="shared" si="468"/>
        <v>#N/A</v>
      </c>
      <c r="AH346" s="14" t="e">
        <f t="shared" si="469"/>
        <v>#N/A</v>
      </c>
      <c r="AI346" s="34" t="e">
        <f t="shared" si="525"/>
        <v>#N/A</v>
      </c>
      <c r="AJ346" s="49" t="e">
        <f t="shared" si="489"/>
        <v>#N/A</v>
      </c>
      <c r="AK346" s="49" t="e">
        <f t="shared" si="490"/>
        <v>#N/A</v>
      </c>
      <c r="AL346" s="49" t="e">
        <f t="shared" si="491"/>
        <v>#N/A</v>
      </c>
      <c r="AM346" s="25">
        <f t="shared" si="470"/>
        <v>30</v>
      </c>
      <c r="AN346" s="25">
        <f t="shared" si="471"/>
        <v>30</v>
      </c>
      <c r="AO346" s="25">
        <f t="shared" si="472"/>
        <v>30</v>
      </c>
      <c r="AP346" s="52" t="e">
        <f t="shared" si="492"/>
        <v>#N/A</v>
      </c>
      <c r="AQ346" s="53" t="e">
        <f t="shared" si="492"/>
        <v>#N/A</v>
      </c>
      <c r="AR346" s="54" t="e">
        <f t="shared" si="492"/>
        <v>#N/A</v>
      </c>
      <c r="AS346" s="316">
        <f t="shared" si="526"/>
        <v>0</v>
      </c>
      <c r="AT346" s="106">
        <f>_xlfn.IFNA($M346/VLOOKUP($BT346,'Unit information'!$A$2:$K$29,2,FALSE)*R346,0)*(1+$E$9)</f>
        <v>0</v>
      </c>
      <c r="AU346" s="107">
        <f>_xlfn.IFNA($M346/VLOOKUP($BT346,'Unit information'!$A$2:$K$29,3,FALSE)*S346,0)*(1+$E$9)</f>
        <v>0</v>
      </c>
      <c r="AV346" s="107">
        <f>_xlfn.IFNA($M346/VLOOKUP($BT346,'Unit information'!$A$2:$K$29,4,FALSE)*T346,0)*(1+$E$9)</f>
        <v>0</v>
      </c>
      <c r="AW346" s="107">
        <f>_xlfn.IFNA($M346/VLOOKUP($BT346,'Unit information'!$A$2:$K$29,5,FALSE)*U346,0)*(1+$E$9)</f>
        <v>0</v>
      </c>
      <c r="AX346" s="107">
        <f>_xlfn.IFNA($M346/VLOOKUP($BU346,'Unit information'!$A$2:$K$29,6,FALSE)*V346,0)*(1+$E$9)</f>
        <v>0</v>
      </c>
      <c r="AY346" s="107">
        <f>_xlfn.IFNA($M346/VLOOKUP($BU346,'Unit information'!$A$2:$K$29,7,FALSE)*W346,0)*(1+$E$9)</f>
        <v>0</v>
      </c>
      <c r="AZ346" s="107">
        <f>_xlfn.IFNA($M346/VLOOKUP($BU346,'Unit information'!$A$2:$K$29,8,FALSE)*X346,0)*(1+$E$9)</f>
        <v>0</v>
      </c>
      <c r="BA346" s="107">
        <f>_xlfn.IFNA($M346/VLOOKUP($BU346,'Unit information'!$A$2:$K$29,9,FALSE)*Y346,0)*(1+$E$9)</f>
        <v>0</v>
      </c>
      <c r="BB346" s="107">
        <f>_xlfn.IFNA($M346/VLOOKUP($BV346,'Unit information'!$A$2:$K$29,10,FALSE)*Z346,0)*(1+$E$9)</f>
        <v>0</v>
      </c>
      <c r="BC346" s="108">
        <f>_xlfn.IFNA($M346/VLOOKUP($BV346,'Unit information'!$A$2:$K$29,11,FALSE)*AA346,0)*(1+$E$9)</f>
        <v>0</v>
      </c>
      <c r="BD346" s="106">
        <f t="shared" si="473"/>
        <v>0</v>
      </c>
      <c r="BE346" s="107">
        <f t="shared" si="474"/>
        <v>0</v>
      </c>
      <c r="BF346" s="108">
        <f t="shared" si="475"/>
        <v>0</v>
      </c>
      <c r="BG346" s="25" t="e">
        <f t="shared" si="476"/>
        <v>#N/A</v>
      </c>
      <c r="BH346" s="25" t="e">
        <f t="shared" si="477"/>
        <v>#N/A</v>
      </c>
      <c r="BI346" s="25" t="e">
        <f t="shared" si="478"/>
        <v>#N/A</v>
      </c>
      <c r="BJ346" s="27" t="e">
        <f t="shared" si="479"/>
        <v>#N/A</v>
      </c>
      <c r="BK346" s="18" t="e">
        <f t="shared" si="480"/>
        <v>#N/A</v>
      </c>
      <c r="BL346" s="18" t="e">
        <f t="shared" si="481"/>
        <v>#N/A</v>
      </c>
      <c r="BM346" s="28" t="e">
        <f t="shared" si="527"/>
        <v>#N/A</v>
      </c>
      <c r="BN346" s="33">
        <f>HLOOKUP("maximum population",Miscelaneous!$C$1:$C$33,CH346+3,FALSE)</f>
        <v>240</v>
      </c>
      <c r="BO346" s="14">
        <f t="shared" si="493"/>
        <v>32</v>
      </c>
      <c r="BP346" s="14">
        <f t="shared" si="494"/>
        <v>0</v>
      </c>
      <c r="BQ346" s="14">
        <f t="shared" si="495"/>
        <v>208</v>
      </c>
      <c r="BR346" s="34" t="e">
        <f>HLOOKUP(J346,Villagers!$B$1:$V$33,L346+3,FALSE)-HLOOKUP(J346,Villagers!$B$1:$V$33,L346+2,FALSE)</f>
        <v>#N/A</v>
      </c>
      <c r="BS346" s="49">
        <f t="shared" si="496"/>
        <v>1</v>
      </c>
      <c r="BT346" s="50">
        <f t="shared" si="497"/>
        <v>0</v>
      </c>
      <c r="BU346" s="50">
        <f t="shared" si="498"/>
        <v>0</v>
      </c>
      <c r="BV346" s="50">
        <f t="shared" si="499"/>
        <v>0</v>
      </c>
      <c r="BW346" s="50">
        <f t="shared" si="529"/>
        <v>0</v>
      </c>
      <c r="BX346" s="50">
        <f t="shared" si="528"/>
        <v>0</v>
      </c>
      <c r="BY346" s="50">
        <f t="shared" si="528"/>
        <v>0</v>
      </c>
      <c r="BZ346" s="50">
        <f t="shared" si="440"/>
        <v>0</v>
      </c>
      <c r="CA346" s="50">
        <f t="shared" si="441"/>
        <v>0</v>
      </c>
      <c r="CB346" s="50">
        <f t="shared" si="442"/>
        <v>1</v>
      </c>
      <c r="CC346" s="50">
        <f t="shared" si="443"/>
        <v>0</v>
      </c>
      <c r="CD346" s="50">
        <f t="shared" si="444"/>
        <v>0</v>
      </c>
      <c r="CE346" s="50">
        <f t="shared" si="445"/>
        <v>1</v>
      </c>
      <c r="CF346" s="50">
        <f t="shared" si="446"/>
        <v>1</v>
      </c>
      <c r="CG346" s="50">
        <f t="shared" si="447"/>
        <v>1</v>
      </c>
      <c r="CH346" s="50">
        <f t="shared" si="448"/>
        <v>1</v>
      </c>
      <c r="CI346" s="50">
        <f t="shared" si="449"/>
        <v>1</v>
      </c>
      <c r="CJ346" s="50">
        <f t="shared" si="450"/>
        <v>1</v>
      </c>
      <c r="CK346" s="50">
        <f t="shared" si="450"/>
        <v>0</v>
      </c>
      <c r="CL346" s="50">
        <f t="shared" si="450"/>
        <v>0</v>
      </c>
      <c r="CM346" s="51">
        <f t="shared" si="482"/>
        <v>0</v>
      </c>
      <c r="CN346" s="33">
        <f>ROUND(IF(BS346=0,0,HLOOKUP(BS$14,Villagers!$B$1:$V$33,BS346+3,FALSE)),)</f>
        <v>5</v>
      </c>
      <c r="CO346" s="14">
        <f>ROUND(IF(BT346=0,0,HLOOKUP(BT$14,Villagers!$B$1:$V$33,BT346+3,FALSE)),)</f>
        <v>0</v>
      </c>
      <c r="CP346" s="14">
        <f>ROUND(IF(BU346=0,0,HLOOKUP(BU$14,Villagers!$B$1:$V$33,BU346+3,FALSE)),)</f>
        <v>0</v>
      </c>
      <c r="CQ346" s="14">
        <f>ROUND(IF(BV346=0,0,HLOOKUP(BV$14,Villagers!$B$1:$V$33,BV346+3,FALSE)),)</f>
        <v>0</v>
      </c>
      <c r="CR346" s="14">
        <f>ROUND(IF(BW346=0,0,HLOOKUP(BW$14,Villagers!$B$1:$V$33,BW346+3,FALSE)),)</f>
        <v>0</v>
      </c>
      <c r="CS346" s="14">
        <f>ROUND(IF(BX346=0,0,HLOOKUP(BX$14,Villagers!$B$1:$V$33,BX346+3,FALSE)),)</f>
        <v>0</v>
      </c>
      <c r="CT346" s="14">
        <f>ROUND(IF(BY346=0,0,HLOOKUP(BY$14,Villagers!$B$1:$V$33,BY346+3,FALSE)),)</f>
        <v>0</v>
      </c>
      <c r="CU346" s="14">
        <f>ROUND(IF(BZ346=0,0,HLOOKUP(BZ$14,Villagers!$B$1:$V$33,BZ346+3,FALSE)),)</f>
        <v>0</v>
      </c>
      <c r="CV346" s="14">
        <f>ROUND(IF(CA346=0,0,HLOOKUP(CA$14,Villagers!$B$1:$V$33,CA346+3,FALSE)),)</f>
        <v>0</v>
      </c>
      <c r="CW346" s="14">
        <f>ROUND(IF(CB346=0,0,HLOOKUP(CB$14,Villagers!$B$1:$V$33,CB346+3,FALSE)),)</f>
        <v>0</v>
      </c>
      <c r="CX346" s="14">
        <f>ROUND(IF(CC346=0,0,HLOOKUP(CC$14,Villagers!$B$1:$V$33,CC346+3,FALSE)),)</f>
        <v>0</v>
      </c>
      <c r="CY346" s="14">
        <f>ROUND(IF(CD346=0,0,HLOOKUP(CD$14,Villagers!$B$1:$V$33,CD346+3,FALSE)),)</f>
        <v>0</v>
      </c>
      <c r="CZ346" s="14">
        <f>ROUND(IF(CE346=0,0,HLOOKUP(CE$14,Villagers!$B$1:$V$33,CE346+3,FALSE)),)</f>
        <v>5</v>
      </c>
      <c r="DA346" s="14">
        <f>ROUND(IF(CF346=0,0,HLOOKUP(CF$14,Villagers!$B$1:$V$33,CF346+3,FALSE)),)</f>
        <v>10</v>
      </c>
      <c r="DB346" s="14">
        <f>ROUND(IF(CG346=0,0,HLOOKUP(CG$14,Villagers!$B$1:$V$33,CG346+3,FALSE)),)</f>
        <v>10</v>
      </c>
      <c r="DC346" s="14">
        <f>ROUND(IF(CH346=0,0,HLOOKUP(CH$14,Villagers!$B$1:$V$33,CH346+3,FALSE)),)</f>
        <v>0</v>
      </c>
      <c r="DD346" s="14">
        <f>ROUND(IF(CI346=0,0,HLOOKUP(CI$14,Villagers!$B$1:$V$33,CI346+3,FALSE)),)</f>
        <v>0</v>
      </c>
      <c r="DE346" s="14">
        <f>ROUND(IF(CJ346=0,0,HLOOKUP(CJ$14,Villagers!$B$1:$V$33,CJ346+3,FALSE)),)</f>
        <v>2</v>
      </c>
      <c r="DF346" s="370">
        <f>ROUND(IF(CK346=0,0,HLOOKUP(CK$14,Villagers!$B$1:$V$33,CK346+3,FALSE)),)</f>
        <v>0</v>
      </c>
      <c r="DG346" s="370">
        <f>ROUND(IF(CL346=0,0,HLOOKUP(CL$14,Villagers!$B$1:$V$33,CL346+3,FALSE)),)</f>
        <v>0</v>
      </c>
      <c r="DH346" s="34">
        <f>ROUND(IF(CM346=0,0,HLOOKUP(CM$14,Villagers!$B$1:$V$33,CM346+3,FALSE)),)</f>
        <v>0</v>
      </c>
      <c r="DI346" s="109">
        <f t="shared" si="516"/>
        <v>0</v>
      </c>
      <c r="DJ346" s="50">
        <f t="shared" si="517"/>
        <v>0</v>
      </c>
      <c r="DK346" s="50">
        <f t="shared" si="518"/>
        <v>0</v>
      </c>
      <c r="DL346" s="50">
        <f t="shared" si="519"/>
        <v>0</v>
      </c>
      <c r="DM346" s="50">
        <f t="shared" si="520"/>
        <v>0</v>
      </c>
      <c r="DN346" s="50">
        <f t="shared" si="521"/>
        <v>0</v>
      </c>
      <c r="DO346" s="50">
        <f t="shared" si="522"/>
        <v>0</v>
      </c>
      <c r="DP346" s="50">
        <f t="shared" si="523"/>
        <v>0</v>
      </c>
      <c r="DQ346" s="50">
        <f t="shared" si="501"/>
        <v>0</v>
      </c>
      <c r="DR346" s="50">
        <f t="shared" si="502"/>
        <v>0</v>
      </c>
      <c r="DS346" s="96">
        <f>Miscelaneous!$D$4*Miscelaneous!$D$2^($CI346-1)</f>
        <v>1000</v>
      </c>
      <c r="DT346" s="333">
        <f t="shared" si="483"/>
        <v>1</v>
      </c>
      <c r="DU346" s="81">
        <v>1</v>
      </c>
      <c r="DV346" s="79">
        <f t="shared" si="503"/>
        <v>0</v>
      </c>
      <c r="DW346" s="79">
        <f t="shared" si="504"/>
        <v>0</v>
      </c>
      <c r="DX346" s="79">
        <f t="shared" si="505"/>
        <v>0</v>
      </c>
      <c r="DY346" s="79">
        <v>1</v>
      </c>
      <c r="DZ346" s="79">
        <f t="shared" si="506"/>
        <v>0</v>
      </c>
      <c r="EA346" s="79">
        <f t="shared" si="507"/>
        <v>0</v>
      </c>
      <c r="EB346" s="79">
        <f t="shared" si="508"/>
        <v>0</v>
      </c>
      <c r="EC346" s="79">
        <f t="shared" si="509"/>
        <v>0</v>
      </c>
      <c r="ED346" s="79">
        <v>1</v>
      </c>
      <c r="EE346" s="79">
        <v>1</v>
      </c>
      <c r="EF346" s="79">
        <f t="shared" si="510"/>
        <v>0</v>
      </c>
      <c r="EG346" s="79">
        <v>1</v>
      </c>
      <c r="EH346" s="79">
        <v>1</v>
      </c>
      <c r="EI346" s="79">
        <v>1</v>
      </c>
      <c r="EJ346" s="79">
        <v>1</v>
      </c>
      <c r="EK346" s="79">
        <v>1</v>
      </c>
      <c r="EL346" s="79">
        <v>1</v>
      </c>
      <c r="EM346" s="143">
        <f t="shared" si="511"/>
        <v>0</v>
      </c>
      <c r="EN346" s="143">
        <f t="shared" si="512"/>
        <v>0</v>
      </c>
      <c r="EO346" s="82">
        <f t="shared" si="513"/>
        <v>0</v>
      </c>
    </row>
    <row r="347" spans="1:145" x14ac:dyDescent="0.25">
      <c r="A347">
        <v>333</v>
      </c>
      <c r="B347" s="172" t="e">
        <f t="shared" si="484"/>
        <v>#N/A</v>
      </c>
      <c r="C347" s="121" t="e">
        <f t="shared" si="462"/>
        <v>#N/A</v>
      </c>
      <c r="D347" s="122" t="e">
        <f t="shared" si="463"/>
        <v>#N/A</v>
      </c>
      <c r="E347" s="122" t="e">
        <f t="shared" si="464"/>
        <v>#N/A</v>
      </c>
      <c r="F347" s="176" t="e">
        <f t="shared" si="465"/>
        <v>#N/A</v>
      </c>
      <c r="G347" s="121">
        <f t="shared" si="485"/>
        <v>208</v>
      </c>
      <c r="H347" s="176" t="e">
        <f t="shared" si="486"/>
        <v>#N/A</v>
      </c>
      <c r="I347" s="48">
        <v>1</v>
      </c>
      <c r="J347" s="39"/>
      <c r="K347" s="350">
        <v>1</v>
      </c>
      <c r="L347" s="34" t="e">
        <f t="shared" si="466"/>
        <v>#N/A</v>
      </c>
      <c r="M347" s="38" t="e">
        <f>(HLOOKUP(J347,'Construction Times'!$B$3:$W$34,L347+2,FALSE)*HLOOKUP("hq modifier",'Construction Times'!$W$3:$W$34,BS347+2,FALSE))*(1-$H$9)</f>
        <v>#N/A</v>
      </c>
      <c r="N347" s="443" t="e">
        <f t="shared" si="487"/>
        <v>#N/A</v>
      </c>
      <c r="O347" s="444"/>
      <c r="P347" s="447" t="e">
        <f t="shared" si="488"/>
        <v>#N/A</v>
      </c>
      <c r="Q347" s="448"/>
      <c r="R347" s="103">
        <f t="shared" si="514"/>
        <v>0</v>
      </c>
      <c r="S347" s="104">
        <f t="shared" si="514"/>
        <v>0</v>
      </c>
      <c r="T347" s="104">
        <f t="shared" si="515"/>
        <v>0</v>
      </c>
      <c r="U347" s="104">
        <f t="shared" si="515"/>
        <v>0</v>
      </c>
      <c r="V347" s="104">
        <f t="shared" si="515"/>
        <v>9.9999999999999995E-8</v>
      </c>
      <c r="W347" s="104">
        <f t="shared" si="515"/>
        <v>0</v>
      </c>
      <c r="X347" s="104">
        <f t="shared" si="455"/>
        <v>0</v>
      </c>
      <c r="Y347" s="104">
        <f t="shared" si="455"/>
        <v>9.9999999999999995E-8</v>
      </c>
      <c r="Z347" s="104">
        <f t="shared" si="455"/>
        <v>9.9999999999999995E-8</v>
      </c>
      <c r="AA347" s="105">
        <f t="shared" si="455"/>
        <v>9.9999999999999995E-8</v>
      </c>
      <c r="AB347" s="101" t="e">
        <f>$DT347*HLOOKUP($J347,'Construction Costs (timber)'!$B$1:$V$32,'Construction Planner'!$L347+2,FALSE)</f>
        <v>#N/A</v>
      </c>
      <c r="AC347" s="14" t="e">
        <f>$DT347*HLOOKUP($J347,'Construction Costs (clay)'!$B$1:$V$32,'Construction Planner'!$L347+2,FALSE)</f>
        <v>#N/A</v>
      </c>
      <c r="AD347" s="14" t="e">
        <f>$DT347*HLOOKUP($J347,'Construction Costs (iron)'!$B$1:$V$32,'Construction Planner'!$L347+2,FALSE)</f>
        <v>#N/A</v>
      </c>
      <c r="AE347" s="34" t="e">
        <f t="shared" si="524"/>
        <v>#N/A</v>
      </c>
      <c r="AF347" s="33" t="e">
        <f t="shared" si="467"/>
        <v>#N/A</v>
      </c>
      <c r="AG347" s="14" t="e">
        <f t="shared" si="468"/>
        <v>#N/A</v>
      </c>
      <c r="AH347" s="14" t="e">
        <f t="shared" si="469"/>
        <v>#N/A</v>
      </c>
      <c r="AI347" s="34" t="e">
        <f t="shared" si="525"/>
        <v>#N/A</v>
      </c>
      <c r="AJ347" s="49" t="e">
        <f t="shared" si="489"/>
        <v>#N/A</v>
      </c>
      <c r="AK347" s="49" t="e">
        <f t="shared" si="490"/>
        <v>#N/A</v>
      </c>
      <c r="AL347" s="49" t="e">
        <f t="shared" si="491"/>
        <v>#N/A</v>
      </c>
      <c r="AM347" s="25">
        <f t="shared" si="470"/>
        <v>30</v>
      </c>
      <c r="AN347" s="25">
        <f t="shared" si="471"/>
        <v>30</v>
      </c>
      <c r="AO347" s="25">
        <f t="shared" si="472"/>
        <v>30</v>
      </c>
      <c r="AP347" s="52" t="e">
        <f t="shared" si="492"/>
        <v>#N/A</v>
      </c>
      <c r="AQ347" s="53" t="e">
        <f t="shared" si="492"/>
        <v>#N/A</v>
      </c>
      <c r="AR347" s="54" t="e">
        <f t="shared" si="492"/>
        <v>#N/A</v>
      </c>
      <c r="AS347" s="316">
        <f t="shared" si="526"/>
        <v>0</v>
      </c>
      <c r="AT347" s="106">
        <f>_xlfn.IFNA($M347/VLOOKUP($BT347,'Unit information'!$A$2:$K$29,2,FALSE)*R347,0)*(1+$E$9)</f>
        <v>0</v>
      </c>
      <c r="AU347" s="107">
        <f>_xlfn.IFNA($M347/VLOOKUP($BT347,'Unit information'!$A$2:$K$29,3,FALSE)*S347,0)*(1+$E$9)</f>
        <v>0</v>
      </c>
      <c r="AV347" s="107">
        <f>_xlfn.IFNA($M347/VLOOKUP($BT347,'Unit information'!$A$2:$K$29,4,FALSE)*T347,0)*(1+$E$9)</f>
        <v>0</v>
      </c>
      <c r="AW347" s="107">
        <f>_xlfn.IFNA($M347/VLOOKUP($BT347,'Unit information'!$A$2:$K$29,5,FALSE)*U347,0)*(1+$E$9)</f>
        <v>0</v>
      </c>
      <c r="AX347" s="107">
        <f>_xlfn.IFNA($M347/VLOOKUP($BU347,'Unit information'!$A$2:$K$29,6,FALSE)*V347,0)*(1+$E$9)</f>
        <v>0</v>
      </c>
      <c r="AY347" s="107">
        <f>_xlfn.IFNA($M347/VLOOKUP($BU347,'Unit information'!$A$2:$K$29,7,FALSE)*W347,0)*(1+$E$9)</f>
        <v>0</v>
      </c>
      <c r="AZ347" s="107">
        <f>_xlfn.IFNA($M347/VLOOKUP($BU347,'Unit information'!$A$2:$K$29,8,FALSE)*X347,0)*(1+$E$9)</f>
        <v>0</v>
      </c>
      <c r="BA347" s="107">
        <f>_xlfn.IFNA($M347/VLOOKUP($BU347,'Unit information'!$A$2:$K$29,9,FALSE)*Y347,0)*(1+$E$9)</f>
        <v>0</v>
      </c>
      <c r="BB347" s="107">
        <f>_xlfn.IFNA($M347/VLOOKUP($BV347,'Unit information'!$A$2:$K$29,10,FALSE)*Z347,0)*(1+$E$9)</f>
        <v>0</v>
      </c>
      <c r="BC347" s="108">
        <f>_xlfn.IFNA($M347/VLOOKUP($BV347,'Unit information'!$A$2:$K$29,11,FALSE)*AA347,0)*(1+$E$9)</f>
        <v>0</v>
      </c>
      <c r="BD347" s="106">
        <f t="shared" si="473"/>
        <v>0</v>
      </c>
      <c r="BE347" s="107">
        <f t="shared" si="474"/>
        <v>0</v>
      </c>
      <c r="BF347" s="108">
        <f t="shared" si="475"/>
        <v>0</v>
      </c>
      <c r="BG347" s="25" t="e">
        <f t="shared" si="476"/>
        <v>#N/A</v>
      </c>
      <c r="BH347" s="25" t="e">
        <f t="shared" si="477"/>
        <v>#N/A</v>
      </c>
      <c r="BI347" s="25" t="e">
        <f t="shared" si="478"/>
        <v>#N/A</v>
      </c>
      <c r="BJ347" s="27" t="e">
        <f t="shared" si="479"/>
        <v>#N/A</v>
      </c>
      <c r="BK347" s="18" t="e">
        <f t="shared" si="480"/>
        <v>#N/A</v>
      </c>
      <c r="BL347" s="18" t="e">
        <f t="shared" si="481"/>
        <v>#N/A</v>
      </c>
      <c r="BM347" s="28" t="e">
        <f t="shared" si="527"/>
        <v>#N/A</v>
      </c>
      <c r="BN347" s="33">
        <f>HLOOKUP("maximum population",Miscelaneous!$C$1:$C$33,CH347+3,FALSE)</f>
        <v>240</v>
      </c>
      <c r="BO347" s="14">
        <f t="shared" si="493"/>
        <v>32</v>
      </c>
      <c r="BP347" s="14">
        <f t="shared" si="494"/>
        <v>0</v>
      </c>
      <c r="BQ347" s="14">
        <f t="shared" si="495"/>
        <v>208</v>
      </c>
      <c r="BR347" s="34" t="e">
        <f>HLOOKUP(J347,Villagers!$B$1:$V$33,L347+3,FALSE)-HLOOKUP(J347,Villagers!$B$1:$V$33,L347+2,FALSE)</f>
        <v>#N/A</v>
      </c>
      <c r="BS347" s="49">
        <f t="shared" si="496"/>
        <v>1</v>
      </c>
      <c r="BT347" s="50">
        <f t="shared" si="497"/>
        <v>0</v>
      </c>
      <c r="BU347" s="50">
        <f t="shared" si="498"/>
        <v>0</v>
      </c>
      <c r="BV347" s="50">
        <f t="shared" si="499"/>
        <v>0</v>
      </c>
      <c r="BW347" s="50">
        <f t="shared" si="529"/>
        <v>0</v>
      </c>
      <c r="BX347" s="50">
        <f t="shared" si="528"/>
        <v>0</v>
      </c>
      <c r="BY347" s="50">
        <f t="shared" si="528"/>
        <v>0</v>
      </c>
      <c r="BZ347" s="50">
        <f t="shared" si="440"/>
        <v>0</v>
      </c>
      <c r="CA347" s="50">
        <f t="shared" si="441"/>
        <v>0</v>
      </c>
      <c r="CB347" s="50">
        <f t="shared" si="442"/>
        <v>1</v>
      </c>
      <c r="CC347" s="50">
        <f t="shared" si="443"/>
        <v>0</v>
      </c>
      <c r="CD347" s="50">
        <f t="shared" si="444"/>
        <v>0</v>
      </c>
      <c r="CE347" s="50">
        <f t="shared" si="445"/>
        <v>1</v>
      </c>
      <c r="CF347" s="50">
        <f t="shared" si="446"/>
        <v>1</v>
      </c>
      <c r="CG347" s="50">
        <f t="shared" si="447"/>
        <v>1</v>
      </c>
      <c r="CH347" s="50">
        <f t="shared" si="448"/>
        <v>1</v>
      </c>
      <c r="CI347" s="50">
        <f t="shared" si="449"/>
        <v>1</v>
      </c>
      <c r="CJ347" s="50">
        <f t="shared" si="450"/>
        <v>1</v>
      </c>
      <c r="CK347" s="50">
        <f t="shared" si="450"/>
        <v>0</v>
      </c>
      <c r="CL347" s="50">
        <f t="shared" si="450"/>
        <v>0</v>
      </c>
      <c r="CM347" s="51">
        <f t="shared" si="482"/>
        <v>0</v>
      </c>
      <c r="CN347" s="33">
        <f>ROUND(IF(BS347=0,0,HLOOKUP(BS$14,Villagers!$B$1:$V$33,BS347+3,FALSE)),)</f>
        <v>5</v>
      </c>
      <c r="CO347" s="14">
        <f>ROUND(IF(BT347=0,0,HLOOKUP(BT$14,Villagers!$B$1:$V$33,BT347+3,FALSE)),)</f>
        <v>0</v>
      </c>
      <c r="CP347" s="14">
        <f>ROUND(IF(BU347=0,0,HLOOKUP(BU$14,Villagers!$B$1:$V$33,BU347+3,FALSE)),)</f>
        <v>0</v>
      </c>
      <c r="CQ347" s="14">
        <f>ROUND(IF(BV347=0,0,HLOOKUP(BV$14,Villagers!$B$1:$V$33,BV347+3,FALSE)),)</f>
        <v>0</v>
      </c>
      <c r="CR347" s="14">
        <f>ROUND(IF(BW347=0,0,HLOOKUP(BW$14,Villagers!$B$1:$V$33,BW347+3,FALSE)),)</f>
        <v>0</v>
      </c>
      <c r="CS347" s="14">
        <f>ROUND(IF(BX347=0,0,HLOOKUP(BX$14,Villagers!$B$1:$V$33,BX347+3,FALSE)),)</f>
        <v>0</v>
      </c>
      <c r="CT347" s="14">
        <f>ROUND(IF(BY347=0,0,HLOOKUP(BY$14,Villagers!$B$1:$V$33,BY347+3,FALSE)),)</f>
        <v>0</v>
      </c>
      <c r="CU347" s="14">
        <f>ROUND(IF(BZ347=0,0,HLOOKUP(BZ$14,Villagers!$B$1:$V$33,BZ347+3,FALSE)),)</f>
        <v>0</v>
      </c>
      <c r="CV347" s="14">
        <f>ROUND(IF(CA347=0,0,HLOOKUP(CA$14,Villagers!$B$1:$V$33,CA347+3,FALSE)),)</f>
        <v>0</v>
      </c>
      <c r="CW347" s="14">
        <f>ROUND(IF(CB347=0,0,HLOOKUP(CB$14,Villagers!$B$1:$V$33,CB347+3,FALSE)),)</f>
        <v>0</v>
      </c>
      <c r="CX347" s="14">
        <f>ROUND(IF(CC347=0,0,HLOOKUP(CC$14,Villagers!$B$1:$V$33,CC347+3,FALSE)),)</f>
        <v>0</v>
      </c>
      <c r="CY347" s="14">
        <f>ROUND(IF(CD347=0,0,HLOOKUP(CD$14,Villagers!$B$1:$V$33,CD347+3,FALSE)),)</f>
        <v>0</v>
      </c>
      <c r="CZ347" s="14">
        <f>ROUND(IF(CE347=0,0,HLOOKUP(CE$14,Villagers!$B$1:$V$33,CE347+3,FALSE)),)</f>
        <v>5</v>
      </c>
      <c r="DA347" s="14">
        <f>ROUND(IF(CF347=0,0,HLOOKUP(CF$14,Villagers!$B$1:$V$33,CF347+3,FALSE)),)</f>
        <v>10</v>
      </c>
      <c r="DB347" s="14">
        <f>ROUND(IF(CG347=0,0,HLOOKUP(CG$14,Villagers!$B$1:$V$33,CG347+3,FALSE)),)</f>
        <v>10</v>
      </c>
      <c r="DC347" s="14">
        <f>ROUND(IF(CH347=0,0,HLOOKUP(CH$14,Villagers!$B$1:$V$33,CH347+3,FALSE)),)</f>
        <v>0</v>
      </c>
      <c r="DD347" s="14">
        <f>ROUND(IF(CI347=0,0,HLOOKUP(CI$14,Villagers!$B$1:$V$33,CI347+3,FALSE)),)</f>
        <v>0</v>
      </c>
      <c r="DE347" s="14">
        <f>ROUND(IF(CJ347=0,0,HLOOKUP(CJ$14,Villagers!$B$1:$V$33,CJ347+3,FALSE)),)</f>
        <v>2</v>
      </c>
      <c r="DF347" s="370">
        <f>ROUND(IF(CK347=0,0,HLOOKUP(CK$14,Villagers!$B$1:$V$33,CK347+3,FALSE)),)</f>
        <v>0</v>
      </c>
      <c r="DG347" s="370">
        <f>ROUND(IF(CL347=0,0,HLOOKUP(CL$14,Villagers!$B$1:$V$33,CL347+3,FALSE)),)</f>
        <v>0</v>
      </c>
      <c r="DH347" s="34">
        <f>ROUND(IF(CM347=0,0,HLOOKUP(CM$14,Villagers!$B$1:$V$33,CM347+3,FALSE)),)</f>
        <v>0</v>
      </c>
      <c r="DI347" s="109">
        <f t="shared" si="516"/>
        <v>0</v>
      </c>
      <c r="DJ347" s="50">
        <f t="shared" si="517"/>
        <v>0</v>
      </c>
      <c r="DK347" s="50">
        <f t="shared" si="518"/>
        <v>0</v>
      </c>
      <c r="DL347" s="50">
        <f t="shared" si="519"/>
        <v>0</v>
      </c>
      <c r="DM347" s="50">
        <f t="shared" si="520"/>
        <v>0</v>
      </c>
      <c r="DN347" s="50">
        <f t="shared" si="521"/>
        <v>0</v>
      </c>
      <c r="DO347" s="50">
        <f t="shared" si="522"/>
        <v>0</v>
      </c>
      <c r="DP347" s="50">
        <f t="shared" si="523"/>
        <v>0</v>
      </c>
      <c r="DQ347" s="50">
        <f t="shared" si="501"/>
        <v>0</v>
      </c>
      <c r="DR347" s="50">
        <f t="shared" si="502"/>
        <v>0</v>
      </c>
      <c r="DS347" s="96">
        <f>Miscelaneous!$D$4*Miscelaneous!$D$2^($CI347-1)</f>
        <v>1000</v>
      </c>
      <c r="DT347" s="333">
        <f t="shared" si="483"/>
        <v>1</v>
      </c>
      <c r="DU347" s="81">
        <v>1</v>
      </c>
      <c r="DV347" s="79">
        <f t="shared" si="503"/>
        <v>0</v>
      </c>
      <c r="DW347" s="79">
        <f t="shared" si="504"/>
        <v>0</v>
      </c>
      <c r="DX347" s="79">
        <f t="shared" si="505"/>
        <v>0</v>
      </c>
      <c r="DY347" s="79">
        <v>1</v>
      </c>
      <c r="DZ347" s="79">
        <f t="shared" si="506"/>
        <v>0</v>
      </c>
      <c r="EA347" s="79">
        <f t="shared" si="507"/>
        <v>0</v>
      </c>
      <c r="EB347" s="79">
        <f t="shared" si="508"/>
        <v>0</v>
      </c>
      <c r="EC347" s="79">
        <f t="shared" si="509"/>
        <v>0</v>
      </c>
      <c r="ED347" s="79">
        <v>1</v>
      </c>
      <c r="EE347" s="79">
        <v>1</v>
      </c>
      <c r="EF347" s="79">
        <f t="shared" si="510"/>
        <v>0</v>
      </c>
      <c r="EG347" s="79">
        <v>1</v>
      </c>
      <c r="EH347" s="79">
        <v>1</v>
      </c>
      <c r="EI347" s="79">
        <v>1</v>
      </c>
      <c r="EJ347" s="79">
        <v>1</v>
      </c>
      <c r="EK347" s="79">
        <v>1</v>
      </c>
      <c r="EL347" s="79">
        <v>1</v>
      </c>
      <c r="EM347" s="143">
        <f t="shared" si="511"/>
        <v>0</v>
      </c>
      <c r="EN347" s="143">
        <f t="shared" si="512"/>
        <v>0</v>
      </c>
      <c r="EO347" s="82">
        <f t="shared" si="513"/>
        <v>0</v>
      </c>
    </row>
    <row r="348" spans="1:145" x14ac:dyDescent="0.25">
      <c r="A348">
        <v>334</v>
      </c>
      <c r="B348" s="172" t="e">
        <f t="shared" si="484"/>
        <v>#N/A</v>
      </c>
      <c r="C348" s="121" t="e">
        <f t="shared" si="462"/>
        <v>#N/A</v>
      </c>
      <c r="D348" s="122" t="e">
        <f t="shared" si="463"/>
        <v>#N/A</v>
      </c>
      <c r="E348" s="122" t="e">
        <f t="shared" si="464"/>
        <v>#N/A</v>
      </c>
      <c r="F348" s="176" t="e">
        <f t="shared" si="465"/>
        <v>#N/A</v>
      </c>
      <c r="G348" s="121">
        <f t="shared" si="485"/>
        <v>208</v>
      </c>
      <c r="H348" s="176" t="e">
        <f t="shared" si="486"/>
        <v>#N/A</v>
      </c>
      <c r="I348" s="48">
        <v>1</v>
      </c>
      <c r="J348" s="39"/>
      <c r="K348" s="350">
        <v>1</v>
      </c>
      <c r="L348" s="34" t="e">
        <f t="shared" si="466"/>
        <v>#N/A</v>
      </c>
      <c r="M348" s="38" t="e">
        <f>(HLOOKUP(J348,'Construction Times'!$B$3:$W$34,L348+2,FALSE)*HLOOKUP("hq modifier",'Construction Times'!$W$3:$W$34,BS348+2,FALSE))*(1-$H$9)</f>
        <v>#N/A</v>
      </c>
      <c r="N348" s="443" t="e">
        <f t="shared" si="487"/>
        <v>#N/A</v>
      </c>
      <c r="O348" s="444"/>
      <c r="P348" s="447" t="e">
        <f t="shared" si="488"/>
        <v>#N/A</v>
      </c>
      <c r="Q348" s="448"/>
      <c r="R348" s="103">
        <f t="shared" si="514"/>
        <v>0</v>
      </c>
      <c r="S348" s="104">
        <f t="shared" si="514"/>
        <v>0</v>
      </c>
      <c r="T348" s="104">
        <f t="shared" si="515"/>
        <v>0</v>
      </c>
      <c r="U348" s="104">
        <f t="shared" si="515"/>
        <v>0</v>
      </c>
      <c r="V348" s="104">
        <f t="shared" si="515"/>
        <v>9.9999999999999995E-8</v>
      </c>
      <c r="W348" s="104">
        <f t="shared" si="515"/>
        <v>0</v>
      </c>
      <c r="X348" s="104">
        <f t="shared" si="455"/>
        <v>0</v>
      </c>
      <c r="Y348" s="104">
        <f t="shared" si="455"/>
        <v>9.9999999999999995E-8</v>
      </c>
      <c r="Z348" s="104">
        <f t="shared" si="455"/>
        <v>9.9999999999999995E-8</v>
      </c>
      <c r="AA348" s="105">
        <f t="shared" si="455"/>
        <v>9.9999999999999995E-8</v>
      </c>
      <c r="AB348" s="101" t="e">
        <f>$DT348*HLOOKUP($J348,'Construction Costs (timber)'!$B$1:$V$32,'Construction Planner'!$L348+2,FALSE)</f>
        <v>#N/A</v>
      </c>
      <c r="AC348" s="14" t="e">
        <f>$DT348*HLOOKUP($J348,'Construction Costs (clay)'!$B$1:$V$32,'Construction Planner'!$L348+2,FALSE)</f>
        <v>#N/A</v>
      </c>
      <c r="AD348" s="14" t="e">
        <f>$DT348*HLOOKUP($J348,'Construction Costs (iron)'!$B$1:$V$32,'Construction Planner'!$L348+2,FALSE)</f>
        <v>#N/A</v>
      </c>
      <c r="AE348" s="34" t="e">
        <f t="shared" si="524"/>
        <v>#N/A</v>
      </c>
      <c r="AF348" s="33" t="e">
        <f t="shared" si="467"/>
        <v>#N/A</v>
      </c>
      <c r="AG348" s="14" t="e">
        <f t="shared" si="468"/>
        <v>#N/A</v>
      </c>
      <c r="AH348" s="14" t="e">
        <f t="shared" si="469"/>
        <v>#N/A</v>
      </c>
      <c r="AI348" s="34" t="e">
        <f t="shared" si="525"/>
        <v>#N/A</v>
      </c>
      <c r="AJ348" s="49" t="e">
        <f t="shared" si="489"/>
        <v>#N/A</v>
      </c>
      <c r="AK348" s="49" t="e">
        <f t="shared" si="490"/>
        <v>#N/A</v>
      </c>
      <c r="AL348" s="49" t="e">
        <f t="shared" si="491"/>
        <v>#N/A</v>
      </c>
      <c r="AM348" s="25">
        <f t="shared" si="470"/>
        <v>30</v>
      </c>
      <c r="AN348" s="25">
        <f t="shared" si="471"/>
        <v>30</v>
      </c>
      <c r="AO348" s="25">
        <f t="shared" si="472"/>
        <v>30</v>
      </c>
      <c r="AP348" s="52" t="e">
        <f t="shared" si="492"/>
        <v>#N/A</v>
      </c>
      <c r="AQ348" s="53" t="e">
        <f t="shared" si="492"/>
        <v>#N/A</v>
      </c>
      <c r="AR348" s="54" t="e">
        <f t="shared" si="492"/>
        <v>#N/A</v>
      </c>
      <c r="AS348" s="316">
        <f t="shared" si="526"/>
        <v>0</v>
      </c>
      <c r="AT348" s="106">
        <f>_xlfn.IFNA($M348/VLOOKUP($BT348,'Unit information'!$A$2:$K$29,2,FALSE)*R348,0)*(1+$E$9)</f>
        <v>0</v>
      </c>
      <c r="AU348" s="107">
        <f>_xlfn.IFNA($M348/VLOOKUP($BT348,'Unit information'!$A$2:$K$29,3,FALSE)*S348,0)*(1+$E$9)</f>
        <v>0</v>
      </c>
      <c r="AV348" s="107">
        <f>_xlfn.IFNA($M348/VLOOKUP($BT348,'Unit information'!$A$2:$K$29,4,FALSE)*T348,0)*(1+$E$9)</f>
        <v>0</v>
      </c>
      <c r="AW348" s="107">
        <f>_xlfn.IFNA($M348/VLOOKUP($BT348,'Unit information'!$A$2:$K$29,5,FALSE)*U348,0)*(1+$E$9)</f>
        <v>0</v>
      </c>
      <c r="AX348" s="107">
        <f>_xlfn.IFNA($M348/VLOOKUP($BU348,'Unit information'!$A$2:$K$29,6,FALSE)*V348,0)*(1+$E$9)</f>
        <v>0</v>
      </c>
      <c r="AY348" s="107">
        <f>_xlfn.IFNA($M348/VLOOKUP($BU348,'Unit information'!$A$2:$K$29,7,FALSE)*W348,0)*(1+$E$9)</f>
        <v>0</v>
      </c>
      <c r="AZ348" s="107">
        <f>_xlfn.IFNA($M348/VLOOKUP($BU348,'Unit information'!$A$2:$K$29,8,FALSE)*X348,0)*(1+$E$9)</f>
        <v>0</v>
      </c>
      <c r="BA348" s="107">
        <f>_xlfn.IFNA($M348/VLOOKUP($BU348,'Unit information'!$A$2:$K$29,9,FALSE)*Y348,0)*(1+$E$9)</f>
        <v>0</v>
      </c>
      <c r="BB348" s="107">
        <f>_xlfn.IFNA($M348/VLOOKUP($BV348,'Unit information'!$A$2:$K$29,10,FALSE)*Z348,0)*(1+$E$9)</f>
        <v>0</v>
      </c>
      <c r="BC348" s="108">
        <f>_xlfn.IFNA($M348/VLOOKUP($BV348,'Unit information'!$A$2:$K$29,11,FALSE)*AA348,0)*(1+$E$9)</f>
        <v>0</v>
      </c>
      <c r="BD348" s="106">
        <f t="shared" si="473"/>
        <v>0</v>
      </c>
      <c r="BE348" s="107">
        <f t="shared" si="474"/>
        <v>0</v>
      </c>
      <c r="BF348" s="108">
        <f t="shared" si="475"/>
        <v>0</v>
      </c>
      <c r="BG348" s="25" t="e">
        <f t="shared" si="476"/>
        <v>#N/A</v>
      </c>
      <c r="BH348" s="25" t="e">
        <f t="shared" si="477"/>
        <v>#N/A</v>
      </c>
      <c r="BI348" s="25" t="e">
        <f t="shared" si="478"/>
        <v>#N/A</v>
      </c>
      <c r="BJ348" s="27" t="e">
        <f t="shared" si="479"/>
        <v>#N/A</v>
      </c>
      <c r="BK348" s="18" t="e">
        <f t="shared" si="480"/>
        <v>#N/A</v>
      </c>
      <c r="BL348" s="18" t="e">
        <f t="shared" si="481"/>
        <v>#N/A</v>
      </c>
      <c r="BM348" s="28" t="e">
        <f t="shared" si="527"/>
        <v>#N/A</v>
      </c>
      <c r="BN348" s="33">
        <f>HLOOKUP("maximum population",Miscelaneous!$C$1:$C$33,CH348+3,FALSE)</f>
        <v>240</v>
      </c>
      <c r="BO348" s="14">
        <f t="shared" si="493"/>
        <v>32</v>
      </c>
      <c r="BP348" s="14">
        <f t="shared" si="494"/>
        <v>0</v>
      </c>
      <c r="BQ348" s="14">
        <f t="shared" si="495"/>
        <v>208</v>
      </c>
      <c r="BR348" s="34" t="e">
        <f>HLOOKUP(J348,Villagers!$B$1:$V$33,L348+3,FALSE)-HLOOKUP(J348,Villagers!$B$1:$V$33,L348+2,FALSE)</f>
        <v>#N/A</v>
      </c>
      <c r="BS348" s="49">
        <f t="shared" si="496"/>
        <v>1</v>
      </c>
      <c r="BT348" s="50">
        <f t="shared" si="497"/>
        <v>0</v>
      </c>
      <c r="BU348" s="50">
        <f t="shared" si="498"/>
        <v>0</v>
      </c>
      <c r="BV348" s="50">
        <f t="shared" si="499"/>
        <v>0</v>
      </c>
      <c r="BW348" s="50">
        <f t="shared" si="529"/>
        <v>0</v>
      </c>
      <c r="BX348" s="50">
        <f t="shared" si="528"/>
        <v>0</v>
      </c>
      <c r="BY348" s="50">
        <f t="shared" si="528"/>
        <v>0</v>
      </c>
      <c r="BZ348" s="50">
        <f t="shared" si="440"/>
        <v>0</v>
      </c>
      <c r="CA348" s="50">
        <f t="shared" si="441"/>
        <v>0</v>
      </c>
      <c r="CB348" s="50">
        <f t="shared" si="442"/>
        <v>1</v>
      </c>
      <c r="CC348" s="50">
        <f t="shared" si="443"/>
        <v>0</v>
      </c>
      <c r="CD348" s="50">
        <f t="shared" si="444"/>
        <v>0</v>
      </c>
      <c r="CE348" s="50">
        <f t="shared" si="445"/>
        <v>1</v>
      </c>
      <c r="CF348" s="50">
        <f t="shared" si="446"/>
        <v>1</v>
      </c>
      <c r="CG348" s="50">
        <f t="shared" si="447"/>
        <v>1</v>
      </c>
      <c r="CH348" s="50">
        <f t="shared" si="448"/>
        <v>1</v>
      </c>
      <c r="CI348" s="50">
        <f t="shared" si="449"/>
        <v>1</v>
      </c>
      <c r="CJ348" s="50">
        <f t="shared" si="450"/>
        <v>1</v>
      </c>
      <c r="CK348" s="50">
        <f t="shared" si="450"/>
        <v>0</v>
      </c>
      <c r="CL348" s="50">
        <f t="shared" si="450"/>
        <v>0</v>
      </c>
      <c r="CM348" s="51">
        <f t="shared" si="482"/>
        <v>0</v>
      </c>
      <c r="CN348" s="33">
        <f>ROUND(IF(BS348=0,0,HLOOKUP(BS$14,Villagers!$B$1:$V$33,BS348+3,FALSE)),)</f>
        <v>5</v>
      </c>
      <c r="CO348" s="14">
        <f>ROUND(IF(BT348=0,0,HLOOKUP(BT$14,Villagers!$B$1:$V$33,BT348+3,FALSE)),)</f>
        <v>0</v>
      </c>
      <c r="CP348" s="14">
        <f>ROUND(IF(BU348=0,0,HLOOKUP(BU$14,Villagers!$B$1:$V$33,BU348+3,FALSE)),)</f>
        <v>0</v>
      </c>
      <c r="CQ348" s="14">
        <f>ROUND(IF(BV348=0,0,HLOOKUP(BV$14,Villagers!$B$1:$V$33,BV348+3,FALSE)),)</f>
        <v>0</v>
      </c>
      <c r="CR348" s="14">
        <f>ROUND(IF(BW348=0,0,HLOOKUP(BW$14,Villagers!$B$1:$V$33,BW348+3,FALSE)),)</f>
        <v>0</v>
      </c>
      <c r="CS348" s="14">
        <f>ROUND(IF(BX348=0,0,HLOOKUP(BX$14,Villagers!$B$1:$V$33,BX348+3,FALSE)),)</f>
        <v>0</v>
      </c>
      <c r="CT348" s="14">
        <f>ROUND(IF(BY348=0,0,HLOOKUP(BY$14,Villagers!$B$1:$V$33,BY348+3,FALSE)),)</f>
        <v>0</v>
      </c>
      <c r="CU348" s="14">
        <f>ROUND(IF(BZ348=0,0,HLOOKUP(BZ$14,Villagers!$B$1:$V$33,BZ348+3,FALSE)),)</f>
        <v>0</v>
      </c>
      <c r="CV348" s="14">
        <f>ROUND(IF(CA348=0,0,HLOOKUP(CA$14,Villagers!$B$1:$V$33,CA348+3,FALSE)),)</f>
        <v>0</v>
      </c>
      <c r="CW348" s="14">
        <f>ROUND(IF(CB348=0,0,HLOOKUP(CB$14,Villagers!$B$1:$V$33,CB348+3,FALSE)),)</f>
        <v>0</v>
      </c>
      <c r="CX348" s="14">
        <f>ROUND(IF(CC348=0,0,HLOOKUP(CC$14,Villagers!$B$1:$V$33,CC348+3,FALSE)),)</f>
        <v>0</v>
      </c>
      <c r="CY348" s="14">
        <f>ROUND(IF(CD348=0,0,HLOOKUP(CD$14,Villagers!$B$1:$V$33,CD348+3,FALSE)),)</f>
        <v>0</v>
      </c>
      <c r="CZ348" s="14">
        <f>ROUND(IF(CE348=0,0,HLOOKUP(CE$14,Villagers!$B$1:$V$33,CE348+3,FALSE)),)</f>
        <v>5</v>
      </c>
      <c r="DA348" s="14">
        <f>ROUND(IF(CF348=0,0,HLOOKUP(CF$14,Villagers!$B$1:$V$33,CF348+3,FALSE)),)</f>
        <v>10</v>
      </c>
      <c r="DB348" s="14">
        <f>ROUND(IF(CG348=0,0,HLOOKUP(CG$14,Villagers!$B$1:$V$33,CG348+3,FALSE)),)</f>
        <v>10</v>
      </c>
      <c r="DC348" s="14">
        <f>ROUND(IF(CH348=0,0,HLOOKUP(CH$14,Villagers!$B$1:$V$33,CH348+3,FALSE)),)</f>
        <v>0</v>
      </c>
      <c r="DD348" s="14">
        <f>ROUND(IF(CI348=0,0,HLOOKUP(CI$14,Villagers!$B$1:$V$33,CI348+3,FALSE)),)</f>
        <v>0</v>
      </c>
      <c r="DE348" s="14">
        <f>ROUND(IF(CJ348=0,0,HLOOKUP(CJ$14,Villagers!$B$1:$V$33,CJ348+3,FALSE)),)</f>
        <v>2</v>
      </c>
      <c r="DF348" s="370">
        <f>ROUND(IF(CK348=0,0,HLOOKUP(CK$14,Villagers!$B$1:$V$33,CK348+3,FALSE)),)</f>
        <v>0</v>
      </c>
      <c r="DG348" s="370">
        <f>ROUND(IF(CL348=0,0,HLOOKUP(CL$14,Villagers!$B$1:$V$33,CL348+3,FALSE)),)</f>
        <v>0</v>
      </c>
      <c r="DH348" s="34">
        <f>ROUND(IF(CM348=0,0,HLOOKUP(CM$14,Villagers!$B$1:$V$33,CM348+3,FALSE)),)</f>
        <v>0</v>
      </c>
      <c r="DI348" s="109">
        <f t="shared" si="516"/>
        <v>0</v>
      </c>
      <c r="DJ348" s="50">
        <f t="shared" si="517"/>
        <v>0</v>
      </c>
      <c r="DK348" s="50">
        <f t="shared" si="518"/>
        <v>0</v>
      </c>
      <c r="DL348" s="50">
        <f t="shared" si="519"/>
        <v>0</v>
      </c>
      <c r="DM348" s="50">
        <f t="shared" si="520"/>
        <v>0</v>
      </c>
      <c r="DN348" s="50">
        <f t="shared" si="521"/>
        <v>0</v>
      </c>
      <c r="DO348" s="50">
        <f t="shared" si="522"/>
        <v>0</v>
      </c>
      <c r="DP348" s="50">
        <f t="shared" si="523"/>
        <v>0</v>
      </c>
      <c r="DQ348" s="50">
        <f t="shared" si="501"/>
        <v>0</v>
      </c>
      <c r="DR348" s="50">
        <f t="shared" si="502"/>
        <v>0</v>
      </c>
      <c r="DS348" s="96">
        <f>Miscelaneous!$D$4*Miscelaneous!$D$2^($CI348-1)</f>
        <v>1000</v>
      </c>
      <c r="DT348" s="333">
        <f t="shared" si="483"/>
        <v>1</v>
      </c>
      <c r="DU348" s="81">
        <v>1</v>
      </c>
      <c r="DV348" s="79">
        <f t="shared" si="503"/>
        <v>0</v>
      </c>
      <c r="DW348" s="79">
        <f t="shared" si="504"/>
        <v>0</v>
      </c>
      <c r="DX348" s="79">
        <f t="shared" si="505"/>
        <v>0</v>
      </c>
      <c r="DY348" s="79">
        <v>1</v>
      </c>
      <c r="DZ348" s="79">
        <f t="shared" si="506"/>
        <v>0</v>
      </c>
      <c r="EA348" s="79">
        <f t="shared" si="507"/>
        <v>0</v>
      </c>
      <c r="EB348" s="79">
        <f t="shared" si="508"/>
        <v>0</v>
      </c>
      <c r="EC348" s="79">
        <f t="shared" si="509"/>
        <v>0</v>
      </c>
      <c r="ED348" s="79">
        <v>1</v>
      </c>
      <c r="EE348" s="79">
        <v>1</v>
      </c>
      <c r="EF348" s="79">
        <f t="shared" si="510"/>
        <v>0</v>
      </c>
      <c r="EG348" s="79">
        <v>1</v>
      </c>
      <c r="EH348" s="79">
        <v>1</v>
      </c>
      <c r="EI348" s="79">
        <v>1</v>
      </c>
      <c r="EJ348" s="79">
        <v>1</v>
      </c>
      <c r="EK348" s="79">
        <v>1</v>
      </c>
      <c r="EL348" s="79">
        <v>1</v>
      </c>
      <c r="EM348" s="143">
        <f t="shared" si="511"/>
        <v>0</v>
      </c>
      <c r="EN348" s="143">
        <f t="shared" si="512"/>
        <v>0</v>
      </c>
      <c r="EO348" s="82">
        <f t="shared" si="513"/>
        <v>0</v>
      </c>
    </row>
    <row r="349" spans="1:145" x14ac:dyDescent="0.25">
      <c r="A349">
        <v>335</v>
      </c>
      <c r="B349" s="172" t="e">
        <f t="shared" si="484"/>
        <v>#N/A</v>
      </c>
      <c r="C349" s="121" t="e">
        <f t="shared" si="462"/>
        <v>#N/A</v>
      </c>
      <c r="D349" s="122" t="e">
        <f t="shared" si="463"/>
        <v>#N/A</v>
      </c>
      <c r="E349" s="122" t="e">
        <f t="shared" si="464"/>
        <v>#N/A</v>
      </c>
      <c r="F349" s="176" t="e">
        <f t="shared" si="465"/>
        <v>#N/A</v>
      </c>
      <c r="G349" s="121">
        <f t="shared" si="485"/>
        <v>208</v>
      </c>
      <c r="H349" s="176" t="e">
        <f t="shared" si="486"/>
        <v>#N/A</v>
      </c>
      <c r="I349" s="48">
        <v>1</v>
      </c>
      <c r="J349" s="39"/>
      <c r="K349" s="350">
        <v>1</v>
      </c>
      <c r="L349" s="34" t="e">
        <f t="shared" si="466"/>
        <v>#N/A</v>
      </c>
      <c r="M349" s="38" t="e">
        <f>(HLOOKUP(J349,'Construction Times'!$B$3:$W$34,L349+2,FALSE)*HLOOKUP("hq modifier",'Construction Times'!$W$3:$W$34,BS349+2,FALSE))*(1-$H$9)</f>
        <v>#N/A</v>
      </c>
      <c r="N349" s="443" t="e">
        <f t="shared" si="487"/>
        <v>#N/A</v>
      </c>
      <c r="O349" s="444"/>
      <c r="P349" s="447" t="e">
        <f t="shared" si="488"/>
        <v>#N/A</v>
      </c>
      <c r="Q349" s="448"/>
      <c r="R349" s="103">
        <f t="shared" si="514"/>
        <v>0</v>
      </c>
      <c r="S349" s="104">
        <f t="shared" si="514"/>
        <v>0</v>
      </c>
      <c r="T349" s="104">
        <f t="shared" si="515"/>
        <v>0</v>
      </c>
      <c r="U349" s="104">
        <f t="shared" si="515"/>
        <v>0</v>
      </c>
      <c r="V349" s="104">
        <f t="shared" si="515"/>
        <v>9.9999999999999995E-8</v>
      </c>
      <c r="W349" s="104">
        <f t="shared" si="515"/>
        <v>0</v>
      </c>
      <c r="X349" s="104">
        <f t="shared" si="455"/>
        <v>0</v>
      </c>
      <c r="Y349" s="104">
        <f t="shared" si="455"/>
        <v>9.9999999999999995E-8</v>
      </c>
      <c r="Z349" s="104">
        <f t="shared" si="455"/>
        <v>9.9999999999999995E-8</v>
      </c>
      <c r="AA349" s="105">
        <f t="shared" si="455"/>
        <v>9.9999999999999995E-8</v>
      </c>
      <c r="AB349" s="101" t="e">
        <f>$DT349*HLOOKUP($J349,'Construction Costs (timber)'!$B$1:$V$32,'Construction Planner'!$L349+2,FALSE)</f>
        <v>#N/A</v>
      </c>
      <c r="AC349" s="14" t="e">
        <f>$DT349*HLOOKUP($J349,'Construction Costs (clay)'!$B$1:$V$32,'Construction Planner'!$L349+2,FALSE)</f>
        <v>#N/A</v>
      </c>
      <c r="AD349" s="14" t="e">
        <f>$DT349*HLOOKUP($J349,'Construction Costs (iron)'!$B$1:$V$32,'Construction Planner'!$L349+2,FALSE)</f>
        <v>#N/A</v>
      </c>
      <c r="AE349" s="34" t="e">
        <f t="shared" si="524"/>
        <v>#N/A</v>
      </c>
      <c r="AF349" s="33" t="e">
        <f t="shared" si="467"/>
        <v>#N/A</v>
      </c>
      <c r="AG349" s="14" t="e">
        <f t="shared" si="468"/>
        <v>#N/A</v>
      </c>
      <c r="AH349" s="14" t="e">
        <f t="shared" si="469"/>
        <v>#N/A</v>
      </c>
      <c r="AI349" s="34" t="e">
        <f t="shared" si="525"/>
        <v>#N/A</v>
      </c>
      <c r="AJ349" s="49" t="e">
        <f t="shared" si="489"/>
        <v>#N/A</v>
      </c>
      <c r="AK349" s="49" t="e">
        <f t="shared" si="490"/>
        <v>#N/A</v>
      </c>
      <c r="AL349" s="49" t="e">
        <f t="shared" si="491"/>
        <v>#N/A</v>
      </c>
      <c r="AM349" s="25">
        <f t="shared" si="470"/>
        <v>30</v>
      </c>
      <c r="AN349" s="25">
        <f t="shared" si="471"/>
        <v>30</v>
      </c>
      <c r="AO349" s="25">
        <f t="shared" si="472"/>
        <v>30</v>
      </c>
      <c r="AP349" s="52" t="e">
        <f t="shared" si="492"/>
        <v>#N/A</v>
      </c>
      <c r="AQ349" s="53" t="e">
        <f t="shared" si="492"/>
        <v>#N/A</v>
      </c>
      <c r="AR349" s="54" t="e">
        <f t="shared" si="492"/>
        <v>#N/A</v>
      </c>
      <c r="AS349" s="316">
        <f t="shared" si="526"/>
        <v>0</v>
      </c>
      <c r="AT349" s="106">
        <f>_xlfn.IFNA($M349/VLOOKUP($BT349,'Unit information'!$A$2:$K$29,2,FALSE)*R349,0)*(1+$E$9)</f>
        <v>0</v>
      </c>
      <c r="AU349" s="107">
        <f>_xlfn.IFNA($M349/VLOOKUP($BT349,'Unit information'!$A$2:$K$29,3,FALSE)*S349,0)*(1+$E$9)</f>
        <v>0</v>
      </c>
      <c r="AV349" s="107">
        <f>_xlfn.IFNA($M349/VLOOKUP($BT349,'Unit information'!$A$2:$K$29,4,FALSE)*T349,0)*(1+$E$9)</f>
        <v>0</v>
      </c>
      <c r="AW349" s="107">
        <f>_xlfn.IFNA($M349/VLOOKUP($BT349,'Unit information'!$A$2:$K$29,5,FALSE)*U349,0)*(1+$E$9)</f>
        <v>0</v>
      </c>
      <c r="AX349" s="107">
        <f>_xlfn.IFNA($M349/VLOOKUP($BU349,'Unit information'!$A$2:$K$29,6,FALSE)*V349,0)*(1+$E$9)</f>
        <v>0</v>
      </c>
      <c r="AY349" s="107">
        <f>_xlfn.IFNA($M349/VLOOKUP($BU349,'Unit information'!$A$2:$K$29,7,FALSE)*W349,0)*(1+$E$9)</f>
        <v>0</v>
      </c>
      <c r="AZ349" s="107">
        <f>_xlfn.IFNA($M349/VLOOKUP($BU349,'Unit information'!$A$2:$K$29,8,FALSE)*X349,0)*(1+$E$9)</f>
        <v>0</v>
      </c>
      <c r="BA349" s="107">
        <f>_xlfn.IFNA($M349/VLOOKUP($BU349,'Unit information'!$A$2:$K$29,9,FALSE)*Y349,0)*(1+$E$9)</f>
        <v>0</v>
      </c>
      <c r="BB349" s="107">
        <f>_xlfn.IFNA($M349/VLOOKUP($BV349,'Unit information'!$A$2:$K$29,10,FALSE)*Z349,0)*(1+$E$9)</f>
        <v>0</v>
      </c>
      <c r="BC349" s="108">
        <f>_xlfn.IFNA($M349/VLOOKUP($BV349,'Unit information'!$A$2:$K$29,11,FALSE)*AA349,0)*(1+$E$9)</f>
        <v>0</v>
      </c>
      <c r="BD349" s="106">
        <f t="shared" si="473"/>
        <v>0</v>
      </c>
      <c r="BE349" s="107">
        <f t="shared" si="474"/>
        <v>0</v>
      </c>
      <c r="BF349" s="108">
        <f t="shared" si="475"/>
        <v>0</v>
      </c>
      <c r="BG349" s="25" t="e">
        <f t="shared" si="476"/>
        <v>#N/A</v>
      </c>
      <c r="BH349" s="25" t="e">
        <f t="shared" si="477"/>
        <v>#N/A</v>
      </c>
      <c r="BI349" s="25" t="e">
        <f t="shared" si="478"/>
        <v>#N/A</v>
      </c>
      <c r="BJ349" s="27" t="e">
        <f t="shared" si="479"/>
        <v>#N/A</v>
      </c>
      <c r="BK349" s="18" t="e">
        <f t="shared" si="480"/>
        <v>#N/A</v>
      </c>
      <c r="BL349" s="18" t="e">
        <f t="shared" si="481"/>
        <v>#N/A</v>
      </c>
      <c r="BM349" s="28" t="e">
        <f t="shared" si="527"/>
        <v>#N/A</v>
      </c>
      <c r="BN349" s="33">
        <f>HLOOKUP("maximum population",Miscelaneous!$C$1:$C$33,CH349+3,FALSE)</f>
        <v>240</v>
      </c>
      <c r="BO349" s="14">
        <f t="shared" si="493"/>
        <v>32</v>
      </c>
      <c r="BP349" s="14">
        <f t="shared" si="494"/>
        <v>0</v>
      </c>
      <c r="BQ349" s="14">
        <f t="shared" si="495"/>
        <v>208</v>
      </c>
      <c r="BR349" s="34" t="e">
        <f>HLOOKUP(J349,Villagers!$B$1:$V$33,L349+3,FALSE)-HLOOKUP(J349,Villagers!$B$1:$V$33,L349+2,FALSE)</f>
        <v>#N/A</v>
      </c>
      <c r="BS349" s="49">
        <f t="shared" si="496"/>
        <v>1</v>
      </c>
      <c r="BT349" s="50">
        <f t="shared" si="497"/>
        <v>0</v>
      </c>
      <c r="BU349" s="50">
        <f t="shared" si="498"/>
        <v>0</v>
      </c>
      <c r="BV349" s="50">
        <f t="shared" si="499"/>
        <v>0</v>
      </c>
      <c r="BW349" s="50">
        <f t="shared" si="529"/>
        <v>0</v>
      </c>
      <c r="BX349" s="50">
        <f t="shared" si="528"/>
        <v>0</v>
      </c>
      <c r="BY349" s="50">
        <f t="shared" si="528"/>
        <v>0</v>
      </c>
      <c r="BZ349" s="50">
        <f t="shared" si="440"/>
        <v>0</v>
      </c>
      <c r="CA349" s="50">
        <f t="shared" si="441"/>
        <v>0</v>
      </c>
      <c r="CB349" s="50">
        <f t="shared" si="442"/>
        <v>1</v>
      </c>
      <c r="CC349" s="50">
        <f t="shared" si="443"/>
        <v>0</v>
      </c>
      <c r="CD349" s="50">
        <f t="shared" si="444"/>
        <v>0</v>
      </c>
      <c r="CE349" s="50">
        <f t="shared" si="445"/>
        <v>1</v>
      </c>
      <c r="CF349" s="50">
        <f t="shared" si="446"/>
        <v>1</v>
      </c>
      <c r="CG349" s="50">
        <f t="shared" si="447"/>
        <v>1</v>
      </c>
      <c r="CH349" s="50">
        <f t="shared" si="448"/>
        <v>1</v>
      </c>
      <c r="CI349" s="50">
        <f t="shared" si="449"/>
        <v>1</v>
      </c>
      <c r="CJ349" s="50">
        <f t="shared" si="450"/>
        <v>1</v>
      </c>
      <c r="CK349" s="50">
        <f t="shared" si="450"/>
        <v>0</v>
      </c>
      <c r="CL349" s="50">
        <f t="shared" si="450"/>
        <v>0</v>
      </c>
      <c r="CM349" s="51">
        <f t="shared" si="482"/>
        <v>0</v>
      </c>
      <c r="CN349" s="33">
        <f>ROUND(IF(BS349=0,0,HLOOKUP(BS$14,Villagers!$B$1:$V$33,BS349+3,FALSE)),)</f>
        <v>5</v>
      </c>
      <c r="CO349" s="14">
        <f>ROUND(IF(BT349=0,0,HLOOKUP(BT$14,Villagers!$B$1:$V$33,BT349+3,FALSE)),)</f>
        <v>0</v>
      </c>
      <c r="CP349" s="14">
        <f>ROUND(IF(BU349=0,0,HLOOKUP(BU$14,Villagers!$B$1:$V$33,BU349+3,FALSE)),)</f>
        <v>0</v>
      </c>
      <c r="CQ349" s="14">
        <f>ROUND(IF(BV349=0,0,HLOOKUP(BV$14,Villagers!$B$1:$V$33,BV349+3,FALSE)),)</f>
        <v>0</v>
      </c>
      <c r="CR349" s="14">
        <f>ROUND(IF(BW349=0,0,HLOOKUP(BW$14,Villagers!$B$1:$V$33,BW349+3,FALSE)),)</f>
        <v>0</v>
      </c>
      <c r="CS349" s="14">
        <f>ROUND(IF(BX349=0,0,HLOOKUP(BX$14,Villagers!$B$1:$V$33,BX349+3,FALSE)),)</f>
        <v>0</v>
      </c>
      <c r="CT349" s="14">
        <f>ROUND(IF(BY349=0,0,HLOOKUP(BY$14,Villagers!$B$1:$V$33,BY349+3,FALSE)),)</f>
        <v>0</v>
      </c>
      <c r="CU349" s="14">
        <f>ROUND(IF(BZ349=0,0,HLOOKUP(BZ$14,Villagers!$B$1:$V$33,BZ349+3,FALSE)),)</f>
        <v>0</v>
      </c>
      <c r="CV349" s="14">
        <f>ROUND(IF(CA349=0,0,HLOOKUP(CA$14,Villagers!$B$1:$V$33,CA349+3,FALSE)),)</f>
        <v>0</v>
      </c>
      <c r="CW349" s="14">
        <f>ROUND(IF(CB349=0,0,HLOOKUP(CB$14,Villagers!$B$1:$V$33,CB349+3,FALSE)),)</f>
        <v>0</v>
      </c>
      <c r="CX349" s="14">
        <f>ROUND(IF(CC349=0,0,HLOOKUP(CC$14,Villagers!$B$1:$V$33,CC349+3,FALSE)),)</f>
        <v>0</v>
      </c>
      <c r="CY349" s="14">
        <f>ROUND(IF(CD349=0,0,HLOOKUP(CD$14,Villagers!$B$1:$V$33,CD349+3,FALSE)),)</f>
        <v>0</v>
      </c>
      <c r="CZ349" s="14">
        <f>ROUND(IF(CE349=0,0,HLOOKUP(CE$14,Villagers!$B$1:$V$33,CE349+3,FALSE)),)</f>
        <v>5</v>
      </c>
      <c r="DA349" s="14">
        <f>ROUND(IF(CF349=0,0,HLOOKUP(CF$14,Villagers!$B$1:$V$33,CF349+3,FALSE)),)</f>
        <v>10</v>
      </c>
      <c r="DB349" s="14">
        <f>ROUND(IF(CG349=0,0,HLOOKUP(CG$14,Villagers!$B$1:$V$33,CG349+3,FALSE)),)</f>
        <v>10</v>
      </c>
      <c r="DC349" s="14">
        <f>ROUND(IF(CH349=0,0,HLOOKUP(CH$14,Villagers!$B$1:$V$33,CH349+3,FALSE)),)</f>
        <v>0</v>
      </c>
      <c r="DD349" s="14">
        <f>ROUND(IF(CI349=0,0,HLOOKUP(CI$14,Villagers!$B$1:$V$33,CI349+3,FALSE)),)</f>
        <v>0</v>
      </c>
      <c r="DE349" s="14">
        <f>ROUND(IF(CJ349=0,0,HLOOKUP(CJ$14,Villagers!$B$1:$V$33,CJ349+3,FALSE)),)</f>
        <v>2</v>
      </c>
      <c r="DF349" s="370">
        <f>ROUND(IF(CK349=0,0,HLOOKUP(CK$14,Villagers!$B$1:$V$33,CK349+3,FALSE)),)</f>
        <v>0</v>
      </c>
      <c r="DG349" s="370">
        <f>ROUND(IF(CL349=0,0,HLOOKUP(CL$14,Villagers!$B$1:$V$33,CL349+3,FALSE)),)</f>
        <v>0</v>
      </c>
      <c r="DH349" s="34">
        <f>ROUND(IF(CM349=0,0,HLOOKUP(CM$14,Villagers!$B$1:$V$33,CM349+3,FALSE)),)</f>
        <v>0</v>
      </c>
      <c r="DI349" s="109">
        <f t="shared" si="516"/>
        <v>0</v>
      </c>
      <c r="DJ349" s="50">
        <f t="shared" si="517"/>
        <v>0</v>
      </c>
      <c r="DK349" s="50">
        <f t="shared" si="518"/>
        <v>0</v>
      </c>
      <c r="DL349" s="50">
        <f t="shared" si="519"/>
        <v>0</v>
      </c>
      <c r="DM349" s="50">
        <f t="shared" si="520"/>
        <v>0</v>
      </c>
      <c r="DN349" s="50">
        <f t="shared" si="521"/>
        <v>0</v>
      </c>
      <c r="DO349" s="50">
        <f t="shared" si="522"/>
        <v>0</v>
      </c>
      <c r="DP349" s="50">
        <f t="shared" si="523"/>
        <v>0</v>
      </c>
      <c r="DQ349" s="50">
        <f t="shared" si="501"/>
        <v>0</v>
      </c>
      <c r="DR349" s="50">
        <f t="shared" si="502"/>
        <v>0</v>
      </c>
      <c r="DS349" s="96">
        <f>Miscelaneous!$D$4*Miscelaneous!$D$2^($CI349-1)</f>
        <v>1000</v>
      </c>
      <c r="DT349" s="333">
        <f t="shared" si="483"/>
        <v>1</v>
      </c>
      <c r="DU349" s="81">
        <v>1</v>
      </c>
      <c r="DV349" s="79">
        <f t="shared" si="503"/>
        <v>0</v>
      </c>
      <c r="DW349" s="79">
        <f t="shared" si="504"/>
        <v>0</v>
      </c>
      <c r="DX349" s="79">
        <f t="shared" si="505"/>
        <v>0</v>
      </c>
      <c r="DY349" s="79">
        <v>1</v>
      </c>
      <c r="DZ349" s="79">
        <f t="shared" si="506"/>
        <v>0</v>
      </c>
      <c r="EA349" s="79">
        <f t="shared" si="507"/>
        <v>0</v>
      </c>
      <c r="EB349" s="79">
        <f t="shared" si="508"/>
        <v>0</v>
      </c>
      <c r="EC349" s="79">
        <f t="shared" si="509"/>
        <v>0</v>
      </c>
      <c r="ED349" s="79">
        <v>1</v>
      </c>
      <c r="EE349" s="79">
        <v>1</v>
      </c>
      <c r="EF349" s="79">
        <f t="shared" si="510"/>
        <v>0</v>
      </c>
      <c r="EG349" s="79">
        <v>1</v>
      </c>
      <c r="EH349" s="79">
        <v>1</v>
      </c>
      <c r="EI349" s="79">
        <v>1</v>
      </c>
      <c r="EJ349" s="79">
        <v>1</v>
      </c>
      <c r="EK349" s="79">
        <v>1</v>
      </c>
      <c r="EL349" s="79">
        <v>1</v>
      </c>
      <c r="EM349" s="143">
        <f t="shared" si="511"/>
        <v>0</v>
      </c>
      <c r="EN349" s="143">
        <f t="shared" si="512"/>
        <v>0</v>
      </c>
      <c r="EO349" s="82">
        <f t="shared" si="513"/>
        <v>0</v>
      </c>
    </row>
    <row r="350" spans="1:145" x14ac:dyDescent="0.25">
      <c r="A350">
        <v>336</v>
      </c>
      <c r="B350" s="172" t="e">
        <f t="shared" si="484"/>
        <v>#N/A</v>
      </c>
      <c r="C350" s="121" t="e">
        <f t="shared" si="462"/>
        <v>#N/A</v>
      </c>
      <c r="D350" s="122" t="e">
        <f t="shared" si="463"/>
        <v>#N/A</v>
      </c>
      <c r="E350" s="122" t="e">
        <f t="shared" si="464"/>
        <v>#N/A</v>
      </c>
      <c r="F350" s="176" t="e">
        <f t="shared" si="465"/>
        <v>#N/A</v>
      </c>
      <c r="G350" s="121">
        <f t="shared" si="485"/>
        <v>208</v>
      </c>
      <c r="H350" s="176" t="e">
        <f t="shared" si="486"/>
        <v>#N/A</v>
      </c>
      <c r="I350" s="48">
        <v>1</v>
      </c>
      <c r="J350" s="39"/>
      <c r="K350" s="350">
        <v>1</v>
      </c>
      <c r="L350" s="34" t="e">
        <f t="shared" si="466"/>
        <v>#N/A</v>
      </c>
      <c r="M350" s="38" t="e">
        <f>(HLOOKUP(J350,'Construction Times'!$B$3:$W$34,L350+2,FALSE)*HLOOKUP("hq modifier",'Construction Times'!$W$3:$W$34,BS350+2,FALSE))*(1-$H$9)</f>
        <v>#N/A</v>
      </c>
      <c r="N350" s="443" t="e">
        <f t="shared" si="487"/>
        <v>#N/A</v>
      </c>
      <c r="O350" s="444"/>
      <c r="P350" s="447" t="e">
        <f t="shared" si="488"/>
        <v>#N/A</v>
      </c>
      <c r="Q350" s="448"/>
      <c r="R350" s="103">
        <f t="shared" si="514"/>
        <v>0</v>
      </c>
      <c r="S350" s="104">
        <f t="shared" si="514"/>
        <v>0</v>
      </c>
      <c r="T350" s="104">
        <f t="shared" si="515"/>
        <v>0</v>
      </c>
      <c r="U350" s="104">
        <f t="shared" si="515"/>
        <v>0</v>
      </c>
      <c r="V350" s="104">
        <f t="shared" si="515"/>
        <v>9.9999999999999995E-8</v>
      </c>
      <c r="W350" s="104">
        <f t="shared" si="515"/>
        <v>0</v>
      </c>
      <c r="X350" s="104">
        <f t="shared" si="455"/>
        <v>0</v>
      </c>
      <c r="Y350" s="104">
        <f t="shared" si="455"/>
        <v>9.9999999999999995E-8</v>
      </c>
      <c r="Z350" s="104">
        <f t="shared" si="455"/>
        <v>9.9999999999999995E-8</v>
      </c>
      <c r="AA350" s="105">
        <f t="shared" si="455"/>
        <v>9.9999999999999995E-8</v>
      </c>
      <c r="AB350" s="101" t="e">
        <f>$DT350*HLOOKUP($J350,'Construction Costs (timber)'!$B$1:$V$32,'Construction Planner'!$L350+2,FALSE)</f>
        <v>#N/A</v>
      </c>
      <c r="AC350" s="14" t="e">
        <f>$DT350*HLOOKUP($J350,'Construction Costs (clay)'!$B$1:$V$32,'Construction Planner'!$L350+2,FALSE)</f>
        <v>#N/A</v>
      </c>
      <c r="AD350" s="14" t="e">
        <f>$DT350*HLOOKUP($J350,'Construction Costs (iron)'!$B$1:$V$32,'Construction Planner'!$L350+2,FALSE)</f>
        <v>#N/A</v>
      </c>
      <c r="AE350" s="34" t="e">
        <f t="shared" si="524"/>
        <v>#N/A</v>
      </c>
      <c r="AF350" s="33" t="e">
        <f t="shared" si="467"/>
        <v>#N/A</v>
      </c>
      <c r="AG350" s="14" t="e">
        <f t="shared" si="468"/>
        <v>#N/A</v>
      </c>
      <c r="AH350" s="14" t="e">
        <f t="shared" si="469"/>
        <v>#N/A</v>
      </c>
      <c r="AI350" s="34" t="e">
        <f t="shared" si="525"/>
        <v>#N/A</v>
      </c>
      <c r="AJ350" s="49" t="e">
        <f t="shared" si="489"/>
        <v>#N/A</v>
      </c>
      <c r="AK350" s="49" t="e">
        <f t="shared" si="490"/>
        <v>#N/A</v>
      </c>
      <c r="AL350" s="49" t="e">
        <f t="shared" si="491"/>
        <v>#N/A</v>
      </c>
      <c r="AM350" s="25">
        <f t="shared" si="470"/>
        <v>30</v>
      </c>
      <c r="AN350" s="25">
        <f t="shared" si="471"/>
        <v>30</v>
      </c>
      <c r="AO350" s="25">
        <f t="shared" si="472"/>
        <v>30</v>
      </c>
      <c r="AP350" s="52" t="e">
        <f t="shared" si="492"/>
        <v>#N/A</v>
      </c>
      <c r="AQ350" s="53" t="e">
        <f t="shared" si="492"/>
        <v>#N/A</v>
      </c>
      <c r="AR350" s="54" t="e">
        <f t="shared" si="492"/>
        <v>#N/A</v>
      </c>
      <c r="AS350" s="316">
        <f t="shared" si="526"/>
        <v>0</v>
      </c>
      <c r="AT350" s="106">
        <f>_xlfn.IFNA($M350/VLOOKUP($BT350,'Unit information'!$A$2:$K$29,2,FALSE)*R350,0)*(1+$E$9)</f>
        <v>0</v>
      </c>
      <c r="AU350" s="107">
        <f>_xlfn.IFNA($M350/VLOOKUP($BT350,'Unit information'!$A$2:$K$29,3,FALSE)*S350,0)*(1+$E$9)</f>
        <v>0</v>
      </c>
      <c r="AV350" s="107">
        <f>_xlfn.IFNA($M350/VLOOKUP($BT350,'Unit information'!$A$2:$K$29,4,FALSE)*T350,0)*(1+$E$9)</f>
        <v>0</v>
      </c>
      <c r="AW350" s="107">
        <f>_xlfn.IFNA($M350/VLOOKUP($BT350,'Unit information'!$A$2:$K$29,5,FALSE)*U350,0)*(1+$E$9)</f>
        <v>0</v>
      </c>
      <c r="AX350" s="107">
        <f>_xlfn.IFNA($M350/VLOOKUP($BU350,'Unit information'!$A$2:$K$29,6,FALSE)*V350,0)*(1+$E$9)</f>
        <v>0</v>
      </c>
      <c r="AY350" s="107">
        <f>_xlfn.IFNA($M350/VLOOKUP($BU350,'Unit information'!$A$2:$K$29,7,FALSE)*W350,0)*(1+$E$9)</f>
        <v>0</v>
      </c>
      <c r="AZ350" s="107">
        <f>_xlfn.IFNA($M350/VLOOKUP($BU350,'Unit information'!$A$2:$K$29,8,FALSE)*X350,0)*(1+$E$9)</f>
        <v>0</v>
      </c>
      <c r="BA350" s="107">
        <f>_xlfn.IFNA($M350/VLOOKUP($BU350,'Unit information'!$A$2:$K$29,9,FALSE)*Y350,0)*(1+$E$9)</f>
        <v>0</v>
      </c>
      <c r="BB350" s="107">
        <f>_xlfn.IFNA($M350/VLOOKUP($BV350,'Unit information'!$A$2:$K$29,10,FALSE)*Z350,0)*(1+$E$9)</f>
        <v>0</v>
      </c>
      <c r="BC350" s="108">
        <f>_xlfn.IFNA($M350/VLOOKUP($BV350,'Unit information'!$A$2:$K$29,11,FALSE)*AA350,0)*(1+$E$9)</f>
        <v>0</v>
      </c>
      <c r="BD350" s="106">
        <f t="shared" si="473"/>
        <v>0</v>
      </c>
      <c r="BE350" s="107">
        <f t="shared" si="474"/>
        <v>0</v>
      </c>
      <c r="BF350" s="108">
        <f t="shared" si="475"/>
        <v>0</v>
      </c>
      <c r="BG350" s="25" t="e">
        <f t="shared" si="476"/>
        <v>#N/A</v>
      </c>
      <c r="BH350" s="25" t="e">
        <f t="shared" si="477"/>
        <v>#N/A</v>
      </c>
      <c r="BI350" s="25" t="e">
        <f t="shared" si="478"/>
        <v>#N/A</v>
      </c>
      <c r="BJ350" s="27" t="e">
        <f t="shared" si="479"/>
        <v>#N/A</v>
      </c>
      <c r="BK350" s="18" t="e">
        <f t="shared" si="480"/>
        <v>#N/A</v>
      </c>
      <c r="BL350" s="18" t="e">
        <f t="shared" si="481"/>
        <v>#N/A</v>
      </c>
      <c r="BM350" s="28" t="e">
        <f t="shared" si="527"/>
        <v>#N/A</v>
      </c>
      <c r="BN350" s="33">
        <f>HLOOKUP("maximum population",Miscelaneous!$C$1:$C$33,CH350+3,FALSE)</f>
        <v>240</v>
      </c>
      <c r="BO350" s="14">
        <f t="shared" si="493"/>
        <v>32</v>
      </c>
      <c r="BP350" s="14">
        <f t="shared" si="494"/>
        <v>0</v>
      </c>
      <c r="BQ350" s="14">
        <f t="shared" si="495"/>
        <v>208</v>
      </c>
      <c r="BR350" s="34" t="e">
        <f>HLOOKUP(J350,Villagers!$B$1:$V$33,L350+3,FALSE)-HLOOKUP(J350,Villagers!$B$1:$V$33,L350+2,FALSE)</f>
        <v>#N/A</v>
      </c>
      <c r="BS350" s="49">
        <f t="shared" si="496"/>
        <v>1</v>
      </c>
      <c r="BT350" s="50">
        <f t="shared" si="497"/>
        <v>0</v>
      </c>
      <c r="BU350" s="50">
        <f t="shared" si="498"/>
        <v>0</v>
      </c>
      <c r="BV350" s="50">
        <f t="shared" si="499"/>
        <v>0</v>
      </c>
      <c r="BW350" s="50">
        <f t="shared" si="529"/>
        <v>0</v>
      </c>
      <c r="BX350" s="50">
        <f t="shared" si="528"/>
        <v>0</v>
      </c>
      <c r="BY350" s="50">
        <f t="shared" si="528"/>
        <v>0</v>
      </c>
      <c r="BZ350" s="50">
        <f t="shared" si="440"/>
        <v>0</v>
      </c>
      <c r="CA350" s="50">
        <f t="shared" si="441"/>
        <v>0</v>
      </c>
      <c r="CB350" s="50">
        <f t="shared" si="442"/>
        <v>1</v>
      </c>
      <c r="CC350" s="50">
        <f t="shared" si="443"/>
        <v>0</v>
      </c>
      <c r="CD350" s="50">
        <f t="shared" si="444"/>
        <v>0</v>
      </c>
      <c r="CE350" s="50">
        <f t="shared" si="445"/>
        <v>1</v>
      </c>
      <c r="CF350" s="50">
        <f t="shared" si="446"/>
        <v>1</v>
      </c>
      <c r="CG350" s="50">
        <f t="shared" si="447"/>
        <v>1</v>
      </c>
      <c r="CH350" s="50">
        <f t="shared" si="448"/>
        <v>1</v>
      </c>
      <c r="CI350" s="50">
        <f t="shared" si="449"/>
        <v>1</v>
      </c>
      <c r="CJ350" s="50">
        <f t="shared" si="450"/>
        <v>1</v>
      </c>
      <c r="CK350" s="50">
        <f t="shared" si="450"/>
        <v>0</v>
      </c>
      <c r="CL350" s="50">
        <f t="shared" si="450"/>
        <v>0</v>
      </c>
      <c r="CM350" s="51">
        <f t="shared" si="482"/>
        <v>0</v>
      </c>
      <c r="CN350" s="33">
        <f>ROUND(IF(BS350=0,0,HLOOKUP(BS$14,Villagers!$B$1:$V$33,BS350+3,FALSE)),)</f>
        <v>5</v>
      </c>
      <c r="CO350" s="14">
        <f>ROUND(IF(BT350=0,0,HLOOKUP(BT$14,Villagers!$B$1:$V$33,BT350+3,FALSE)),)</f>
        <v>0</v>
      </c>
      <c r="CP350" s="14">
        <f>ROUND(IF(BU350=0,0,HLOOKUP(BU$14,Villagers!$B$1:$V$33,BU350+3,FALSE)),)</f>
        <v>0</v>
      </c>
      <c r="CQ350" s="14">
        <f>ROUND(IF(BV350=0,0,HLOOKUP(BV$14,Villagers!$B$1:$V$33,BV350+3,FALSE)),)</f>
        <v>0</v>
      </c>
      <c r="CR350" s="14">
        <f>ROUND(IF(BW350=0,0,HLOOKUP(BW$14,Villagers!$B$1:$V$33,BW350+3,FALSE)),)</f>
        <v>0</v>
      </c>
      <c r="CS350" s="14">
        <f>ROUND(IF(BX350=0,0,HLOOKUP(BX$14,Villagers!$B$1:$V$33,BX350+3,FALSE)),)</f>
        <v>0</v>
      </c>
      <c r="CT350" s="14">
        <f>ROUND(IF(BY350=0,0,HLOOKUP(BY$14,Villagers!$B$1:$V$33,BY350+3,FALSE)),)</f>
        <v>0</v>
      </c>
      <c r="CU350" s="14">
        <f>ROUND(IF(BZ350=0,0,HLOOKUP(BZ$14,Villagers!$B$1:$V$33,BZ350+3,FALSE)),)</f>
        <v>0</v>
      </c>
      <c r="CV350" s="14">
        <f>ROUND(IF(CA350=0,0,HLOOKUP(CA$14,Villagers!$B$1:$V$33,CA350+3,FALSE)),)</f>
        <v>0</v>
      </c>
      <c r="CW350" s="14">
        <f>ROUND(IF(CB350=0,0,HLOOKUP(CB$14,Villagers!$B$1:$V$33,CB350+3,FALSE)),)</f>
        <v>0</v>
      </c>
      <c r="CX350" s="14">
        <f>ROUND(IF(CC350=0,0,HLOOKUP(CC$14,Villagers!$B$1:$V$33,CC350+3,FALSE)),)</f>
        <v>0</v>
      </c>
      <c r="CY350" s="14">
        <f>ROUND(IF(CD350=0,0,HLOOKUP(CD$14,Villagers!$B$1:$V$33,CD350+3,FALSE)),)</f>
        <v>0</v>
      </c>
      <c r="CZ350" s="14">
        <f>ROUND(IF(CE350=0,0,HLOOKUP(CE$14,Villagers!$B$1:$V$33,CE350+3,FALSE)),)</f>
        <v>5</v>
      </c>
      <c r="DA350" s="14">
        <f>ROUND(IF(CF350=0,0,HLOOKUP(CF$14,Villagers!$B$1:$V$33,CF350+3,FALSE)),)</f>
        <v>10</v>
      </c>
      <c r="DB350" s="14">
        <f>ROUND(IF(CG350=0,0,HLOOKUP(CG$14,Villagers!$B$1:$V$33,CG350+3,FALSE)),)</f>
        <v>10</v>
      </c>
      <c r="DC350" s="14">
        <f>ROUND(IF(CH350=0,0,HLOOKUP(CH$14,Villagers!$B$1:$V$33,CH350+3,FALSE)),)</f>
        <v>0</v>
      </c>
      <c r="DD350" s="14">
        <f>ROUND(IF(CI350=0,0,HLOOKUP(CI$14,Villagers!$B$1:$V$33,CI350+3,FALSE)),)</f>
        <v>0</v>
      </c>
      <c r="DE350" s="14">
        <f>ROUND(IF(CJ350=0,0,HLOOKUP(CJ$14,Villagers!$B$1:$V$33,CJ350+3,FALSE)),)</f>
        <v>2</v>
      </c>
      <c r="DF350" s="370">
        <f>ROUND(IF(CK350=0,0,HLOOKUP(CK$14,Villagers!$B$1:$V$33,CK350+3,FALSE)),)</f>
        <v>0</v>
      </c>
      <c r="DG350" s="370">
        <f>ROUND(IF(CL350=0,0,HLOOKUP(CL$14,Villagers!$B$1:$V$33,CL350+3,FALSE)),)</f>
        <v>0</v>
      </c>
      <c r="DH350" s="34">
        <f>ROUND(IF(CM350=0,0,HLOOKUP(CM$14,Villagers!$B$1:$V$33,CM350+3,FALSE)),)</f>
        <v>0</v>
      </c>
      <c r="DI350" s="109">
        <f t="shared" si="516"/>
        <v>0</v>
      </c>
      <c r="DJ350" s="50">
        <f t="shared" si="517"/>
        <v>0</v>
      </c>
      <c r="DK350" s="50">
        <f t="shared" si="518"/>
        <v>0</v>
      </c>
      <c r="DL350" s="50">
        <f t="shared" si="519"/>
        <v>0</v>
      </c>
      <c r="DM350" s="50">
        <f t="shared" si="520"/>
        <v>0</v>
      </c>
      <c r="DN350" s="50">
        <f t="shared" si="521"/>
        <v>0</v>
      </c>
      <c r="DO350" s="50">
        <f t="shared" si="522"/>
        <v>0</v>
      </c>
      <c r="DP350" s="50">
        <f t="shared" si="523"/>
        <v>0</v>
      </c>
      <c r="DQ350" s="50">
        <f t="shared" si="501"/>
        <v>0</v>
      </c>
      <c r="DR350" s="50">
        <f t="shared" si="502"/>
        <v>0</v>
      </c>
      <c r="DS350" s="96">
        <f>Miscelaneous!$D$4*Miscelaneous!$D$2^($CI350-1)</f>
        <v>1000</v>
      </c>
      <c r="DT350" s="333">
        <f t="shared" si="483"/>
        <v>1</v>
      </c>
      <c r="DU350" s="81">
        <v>1</v>
      </c>
      <c r="DV350" s="79">
        <f t="shared" si="503"/>
        <v>0</v>
      </c>
      <c r="DW350" s="79">
        <f t="shared" si="504"/>
        <v>0</v>
      </c>
      <c r="DX350" s="79">
        <f t="shared" si="505"/>
        <v>0</v>
      </c>
      <c r="DY350" s="79">
        <v>1</v>
      </c>
      <c r="DZ350" s="79">
        <f t="shared" si="506"/>
        <v>0</v>
      </c>
      <c r="EA350" s="79">
        <f t="shared" si="507"/>
        <v>0</v>
      </c>
      <c r="EB350" s="79">
        <f t="shared" si="508"/>
        <v>0</v>
      </c>
      <c r="EC350" s="79">
        <f t="shared" si="509"/>
        <v>0</v>
      </c>
      <c r="ED350" s="79">
        <v>1</v>
      </c>
      <c r="EE350" s="79">
        <v>1</v>
      </c>
      <c r="EF350" s="79">
        <f t="shared" si="510"/>
        <v>0</v>
      </c>
      <c r="EG350" s="79">
        <v>1</v>
      </c>
      <c r="EH350" s="79">
        <v>1</v>
      </c>
      <c r="EI350" s="79">
        <v>1</v>
      </c>
      <c r="EJ350" s="79">
        <v>1</v>
      </c>
      <c r="EK350" s="79">
        <v>1</v>
      </c>
      <c r="EL350" s="79">
        <v>1</v>
      </c>
      <c r="EM350" s="143">
        <f t="shared" si="511"/>
        <v>0</v>
      </c>
      <c r="EN350" s="143">
        <f t="shared" si="512"/>
        <v>0</v>
      </c>
      <c r="EO350" s="82">
        <f t="shared" si="513"/>
        <v>0</v>
      </c>
    </row>
    <row r="351" spans="1:145" x14ac:dyDescent="0.25">
      <c r="A351">
        <v>337</v>
      </c>
      <c r="B351" s="172" t="e">
        <f t="shared" si="484"/>
        <v>#N/A</v>
      </c>
      <c r="C351" s="121" t="e">
        <f t="shared" si="462"/>
        <v>#N/A</v>
      </c>
      <c r="D351" s="122" t="e">
        <f t="shared" si="463"/>
        <v>#N/A</v>
      </c>
      <c r="E351" s="122" t="e">
        <f t="shared" si="464"/>
        <v>#N/A</v>
      </c>
      <c r="F351" s="176" t="e">
        <f t="shared" si="465"/>
        <v>#N/A</v>
      </c>
      <c r="G351" s="121">
        <f t="shared" si="485"/>
        <v>208</v>
      </c>
      <c r="H351" s="176" t="e">
        <f t="shared" si="486"/>
        <v>#N/A</v>
      </c>
      <c r="I351" s="48">
        <v>1</v>
      </c>
      <c r="J351" s="39"/>
      <c r="K351" s="350">
        <v>1</v>
      </c>
      <c r="L351" s="34" t="e">
        <f t="shared" si="466"/>
        <v>#N/A</v>
      </c>
      <c r="M351" s="38" t="e">
        <f>(HLOOKUP(J351,'Construction Times'!$B$3:$W$34,L351+2,FALSE)*HLOOKUP("hq modifier",'Construction Times'!$W$3:$W$34,BS351+2,FALSE))*(1-$H$9)</f>
        <v>#N/A</v>
      </c>
      <c r="N351" s="443" t="e">
        <f t="shared" si="487"/>
        <v>#N/A</v>
      </c>
      <c r="O351" s="444"/>
      <c r="P351" s="447" t="e">
        <f t="shared" si="488"/>
        <v>#N/A</v>
      </c>
      <c r="Q351" s="448"/>
      <c r="R351" s="103">
        <f t="shared" si="514"/>
        <v>0</v>
      </c>
      <c r="S351" s="104">
        <f t="shared" si="514"/>
        <v>0</v>
      </c>
      <c r="T351" s="104">
        <f t="shared" si="515"/>
        <v>0</v>
      </c>
      <c r="U351" s="104">
        <f t="shared" si="515"/>
        <v>0</v>
      </c>
      <c r="V351" s="104">
        <f t="shared" si="515"/>
        <v>9.9999999999999995E-8</v>
      </c>
      <c r="W351" s="104">
        <f t="shared" si="515"/>
        <v>0</v>
      </c>
      <c r="X351" s="104">
        <f t="shared" si="455"/>
        <v>0</v>
      </c>
      <c r="Y351" s="104">
        <f t="shared" si="455"/>
        <v>9.9999999999999995E-8</v>
      </c>
      <c r="Z351" s="104">
        <f t="shared" si="455"/>
        <v>9.9999999999999995E-8</v>
      </c>
      <c r="AA351" s="105">
        <f t="shared" si="455"/>
        <v>9.9999999999999995E-8</v>
      </c>
      <c r="AB351" s="101" t="e">
        <f>$DT351*HLOOKUP($J351,'Construction Costs (timber)'!$B$1:$V$32,'Construction Planner'!$L351+2,FALSE)</f>
        <v>#N/A</v>
      </c>
      <c r="AC351" s="14" t="e">
        <f>$DT351*HLOOKUP($J351,'Construction Costs (clay)'!$B$1:$V$32,'Construction Planner'!$L351+2,FALSE)</f>
        <v>#N/A</v>
      </c>
      <c r="AD351" s="14" t="e">
        <f>$DT351*HLOOKUP($J351,'Construction Costs (iron)'!$B$1:$V$32,'Construction Planner'!$L351+2,FALSE)</f>
        <v>#N/A</v>
      </c>
      <c r="AE351" s="34" t="e">
        <f t="shared" si="524"/>
        <v>#N/A</v>
      </c>
      <c r="AF351" s="33" t="e">
        <f t="shared" si="467"/>
        <v>#N/A</v>
      </c>
      <c r="AG351" s="14" t="e">
        <f t="shared" si="468"/>
        <v>#N/A</v>
      </c>
      <c r="AH351" s="14" t="e">
        <f t="shared" si="469"/>
        <v>#N/A</v>
      </c>
      <c r="AI351" s="34" t="e">
        <f t="shared" si="525"/>
        <v>#N/A</v>
      </c>
      <c r="AJ351" s="49" t="e">
        <f t="shared" si="489"/>
        <v>#N/A</v>
      </c>
      <c r="AK351" s="49" t="e">
        <f t="shared" si="490"/>
        <v>#N/A</v>
      </c>
      <c r="AL351" s="49" t="e">
        <f t="shared" si="491"/>
        <v>#N/A</v>
      </c>
      <c r="AM351" s="25">
        <f t="shared" si="470"/>
        <v>30</v>
      </c>
      <c r="AN351" s="25">
        <f t="shared" si="471"/>
        <v>30</v>
      </c>
      <c r="AO351" s="25">
        <f t="shared" si="472"/>
        <v>30</v>
      </c>
      <c r="AP351" s="52" t="e">
        <f t="shared" si="492"/>
        <v>#N/A</v>
      </c>
      <c r="AQ351" s="53" t="e">
        <f t="shared" si="492"/>
        <v>#N/A</v>
      </c>
      <c r="AR351" s="54" t="e">
        <f t="shared" si="492"/>
        <v>#N/A</v>
      </c>
      <c r="AS351" s="316">
        <f t="shared" si="526"/>
        <v>0</v>
      </c>
      <c r="AT351" s="106">
        <f>_xlfn.IFNA($M351/VLOOKUP($BT351,'Unit information'!$A$2:$K$29,2,FALSE)*R351,0)*(1+$E$9)</f>
        <v>0</v>
      </c>
      <c r="AU351" s="107">
        <f>_xlfn.IFNA($M351/VLOOKUP($BT351,'Unit information'!$A$2:$K$29,3,FALSE)*S351,0)*(1+$E$9)</f>
        <v>0</v>
      </c>
      <c r="AV351" s="107">
        <f>_xlfn.IFNA($M351/VLOOKUP($BT351,'Unit information'!$A$2:$K$29,4,FALSE)*T351,0)*(1+$E$9)</f>
        <v>0</v>
      </c>
      <c r="AW351" s="107">
        <f>_xlfn.IFNA($M351/VLOOKUP($BT351,'Unit information'!$A$2:$K$29,5,FALSE)*U351,0)*(1+$E$9)</f>
        <v>0</v>
      </c>
      <c r="AX351" s="107">
        <f>_xlfn.IFNA($M351/VLOOKUP($BU351,'Unit information'!$A$2:$K$29,6,FALSE)*V351,0)*(1+$E$9)</f>
        <v>0</v>
      </c>
      <c r="AY351" s="107">
        <f>_xlfn.IFNA($M351/VLOOKUP($BU351,'Unit information'!$A$2:$K$29,7,FALSE)*W351,0)*(1+$E$9)</f>
        <v>0</v>
      </c>
      <c r="AZ351" s="107">
        <f>_xlfn.IFNA($M351/VLOOKUP($BU351,'Unit information'!$A$2:$K$29,8,FALSE)*X351,0)*(1+$E$9)</f>
        <v>0</v>
      </c>
      <c r="BA351" s="107">
        <f>_xlfn.IFNA($M351/VLOOKUP($BU351,'Unit information'!$A$2:$K$29,9,FALSE)*Y351,0)*(1+$E$9)</f>
        <v>0</v>
      </c>
      <c r="BB351" s="107">
        <f>_xlfn.IFNA($M351/VLOOKUP($BV351,'Unit information'!$A$2:$K$29,10,FALSE)*Z351,0)*(1+$E$9)</f>
        <v>0</v>
      </c>
      <c r="BC351" s="108">
        <f>_xlfn.IFNA($M351/VLOOKUP($BV351,'Unit information'!$A$2:$K$29,11,FALSE)*AA351,0)*(1+$E$9)</f>
        <v>0</v>
      </c>
      <c r="BD351" s="106">
        <f t="shared" si="473"/>
        <v>0</v>
      </c>
      <c r="BE351" s="107">
        <f t="shared" si="474"/>
        <v>0</v>
      </c>
      <c r="BF351" s="108">
        <f t="shared" si="475"/>
        <v>0</v>
      </c>
      <c r="BG351" s="25" t="e">
        <f t="shared" si="476"/>
        <v>#N/A</v>
      </c>
      <c r="BH351" s="25" t="e">
        <f t="shared" si="477"/>
        <v>#N/A</v>
      </c>
      <c r="BI351" s="25" t="e">
        <f t="shared" si="478"/>
        <v>#N/A</v>
      </c>
      <c r="BJ351" s="27" t="e">
        <f t="shared" si="479"/>
        <v>#N/A</v>
      </c>
      <c r="BK351" s="18" t="e">
        <f t="shared" si="480"/>
        <v>#N/A</v>
      </c>
      <c r="BL351" s="18" t="e">
        <f t="shared" si="481"/>
        <v>#N/A</v>
      </c>
      <c r="BM351" s="28" t="e">
        <f t="shared" si="527"/>
        <v>#N/A</v>
      </c>
      <c r="BN351" s="33">
        <f>HLOOKUP("maximum population",Miscelaneous!$C$1:$C$33,CH351+3,FALSE)</f>
        <v>240</v>
      </c>
      <c r="BO351" s="14">
        <f t="shared" si="493"/>
        <v>32</v>
      </c>
      <c r="BP351" s="14">
        <f t="shared" si="494"/>
        <v>0</v>
      </c>
      <c r="BQ351" s="14">
        <f t="shared" si="495"/>
        <v>208</v>
      </c>
      <c r="BR351" s="34" t="e">
        <f>HLOOKUP(J351,Villagers!$B$1:$V$33,L351+3,FALSE)-HLOOKUP(J351,Villagers!$B$1:$V$33,L351+2,FALSE)</f>
        <v>#N/A</v>
      </c>
      <c r="BS351" s="49">
        <f t="shared" si="496"/>
        <v>1</v>
      </c>
      <c r="BT351" s="50">
        <f t="shared" si="497"/>
        <v>0</v>
      </c>
      <c r="BU351" s="50">
        <f t="shared" si="498"/>
        <v>0</v>
      </c>
      <c r="BV351" s="50">
        <f t="shared" si="499"/>
        <v>0</v>
      </c>
      <c r="BW351" s="50">
        <f t="shared" si="529"/>
        <v>0</v>
      </c>
      <c r="BX351" s="50">
        <f t="shared" si="528"/>
        <v>0</v>
      </c>
      <c r="BY351" s="50">
        <f t="shared" si="528"/>
        <v>0</v>
      </c>
      <c r="BZ351" s="50">
        <f t="shared" ref="BZ351:BZ414" si="530">IF($J350=BZ$14,$L350,BZ350)</f>
        <v>0</v>
      </c>
      <c r="CA351" s="50">
        <f t="shared" ref="CA351:CA414" si="531">IF($J350=CA$14,$L350,CA350)</f>
        <v>0</v>
      </c>
      <c r="CB351" s="50">
        <f t="shared" ref="CB351:CB414" si="532">IF($J350=CB$14,$L350,CB350)</f>
        <v>1</v>
      </c>
      <c r="CC351" s="50">
        <f t="shared" ref="CC351:CC414" si="533">IF($J350=CC$14,$L350,CC350)</f>
        <v>0</v>
      </c>
      <c r="CD351" s="50">
        <f t="shared" ref="CD351:CD414" si="534">IF($J350=CD$14,$L350,CD350)</f>
        <v>0</v>
      </c>
      <c r="CE351" s="50">
        <f t="shared" ref="CE351:CE414" si="535">IF($J350=CE$14,$L350,CE350)</f>
        <v>1</v>
      </c>
      <c r="CF351" s="50">
        <f t="shared" ref="CF351:CF414" si="536">IF($J350=CF$14,$L350,CF350)</f>
        <v>1</v>
      </c>
      <c r="CG351" s="50">
        <f t="shared" ref="CG351:CG414" si="537">IF($J350=CG$14,$L350,CG350)</f>
        <v>1</v>
      </c>
      <c r="CH351" s="50">
        <f t="shared" ref="CH351:CH414" si="538">IF($J350=CH$14,$L350,CH350)</f>
        <v>1</v>
      </c>
      <c r="CI351" s="50">
        <f t="shared" ref="CI351:CI414" si="539">IF($J350=CI$14,$L350,CI350)</f>
        <v>1</v>
      </c>
      <c r="CJ351" s="50">
        <f t="shared" ref="CJ351:CL414" si="540">IF($J350=CJ$14,$L350,CJ350)</f>
        <v>1</v>
      </c>
      <c r="CK351" s="50">
        <f t="shared" si="540"/>
        <v>0</v>
      </c>
      <c r="CL351" s="50">
        <f t="shared" si="540"/>
        <v>0</v>
      </c>
      <c r="CM351" s="51">
        <f t="shared" si="482"/>
        <v>0</v>
      </c>
      <c r="CN351" s="33">
        <f>ROUND(IF(BS351=0,0,HLOOKUP(BS$14,Villagers!$B$1:$V$33,BS351+3,FALSE)),)</f>
        <v>5</v>
      </c>
      <c r="CO351" s="14">
        <f>ROUND(IF(BT351=0,0,HLOOKUP(BT$14,Villagers!$B$1:$V$33,BT351+3,FALSE)),)</f>
        <v>0</v>
      </c>
      <c r="CP351" s="14">
        <f>ROUND(IF(BU351=0,0,HLOOKUP(BU$14,Villagers!$B$1:$V$33,BU351+3,FALSE)),)</f>
        <v>0</v>
      </c>
      <c r="CQ351" s="14">
        <f>ROUND(IF(BV351=0,0,HLOOKUP(BV$14,Villagers!$B$1:$V$33,BV351+3,FALSE)),)</f>
        <v>0</v>
      </c>
      <c r="CR351" s="14">
        <f>ROUND(IF(BW351=0,0,HLOOKUP(BW$14,Villagers!$B$1:$V$33,BW351+3,FALSE)),)</f>
        <v>0</v>
      </c>
      <c r="CS351" s="14">
        <f>ROUND(IF(BX351=0,0,HLOOKUP(BX$14,Villagers!$B$1:$V$33,BX351+3,FALSE)),)</f>
        <v>0</v>
      </c>
      <c r="CT351" s="14">
        <f>ROUND(IF(BY351=0,0,HLOOKUP(BY$14,Villagers!$B$1:$V$33,BY351+3,FALSE)),)</f>
        <v>0</v>
      </c>
      <c r="CU351" s="14">
        <f>ROUND(IF(BZ351=0,0,HLOOKUP(BZ$14,Villagers!$B$1:$V$33,BZ351+3,FALSE)),)</f>
        <v>0</v>
      </c>
      <c r="CV351" s="14">
        <f>ROUND(IF(CA351=0,0,HLOOKUP(CA$14,Villagers!$B$1:$V$33,CA351+3,FALSE)),)</f>
        <v>0</v>
      </c>
      <c r="CW351" s="14">
        <f>ROUND(IF(CB351=0,0,HLOOKUP(CB$14,Villagers!$B$1:$V$33,CB351+3,FALSE)),)</f>
        <v>0</v>
      </c>
      <c r="CX351" s="14">
        <f>ROUND(IF(CC351=0,0,HLOOKUP(CC$14,Villagers!$B$1:$V$33,CC351+3,FALSE)),)</f>
        <v>0</v>
      </c>
      <c r="CY351" s="14">
        <f>ROUND(IF(CD351=0,0,HLOOKUP(CD$14,Villagers!$B$1:$V$33,CD351+3,FALSE)),)</f>
        <v>0</v>
      </c>
      <c r="CZ351" s="14">
        <f>ROUND(IF(CE351=0,0,HLOOKUP(CE$14,Villagers!$B$1:$V$33,CE351+3,FALSE)),)</f>
        <v>5</v>
      </c>
      <c r="DA351" s="14">
        <f>ROUND(IF(CF351=0,0,HLOOKUP(CF$14,Villagers!$B$1:$V$33,CF351+3,FALSE)),)</f>
        <v>10</v>
      </c>
      <c r="DB351" s="14">
        <f>ROUND(IF(CG351=0,0,HLOOKUP(CG$14,Villagers!$B$1:$V$33,CG351+3,FALSE)),)</f>
        <v>10</v>
      </c>
      <c r="DC351" s="14">
        <f>ROUND(IF(CH351=0,0,HLOOKUP(CH$14,Villagers!$B$1:$V$33,CH351+3,FALSE)),)</f>
        <v>0</v>
      </c>
      <c r="DD351" s="14">
        <f>ROUND(IF(CI351=0,0,HLOOKUP(CI$14,Villagers!$B$1:$V$33,CI351+3,FALSE)),)</f>
        <v>0</v>
      </c>
      <c r="DE351" s="14">
        <f>ROUND(IF(CJ351=0,0,HLOOKUP(CJ$14,Villagers!$B$1:$V$33,CJ351+3,FALSE)),)</f>
        <v>2</v>
      </c>
      <c r="DF351" s="370">
        <f>ROUND(IF(CK351=0,0,HLOOKUP(CK$14,Villagers!$B$1:$V$33,CK351+3,FALSE)),)</f>
        <v>0</v>
      </c>
      <c r="DG351" s="370">
        <f>ROUND(IF(CL351=0,0,HLOOKUP(CL$14,Villagers!$B$1:$V$33,CL351+3,FALSE)),)</f>
        <v>0</v>
      </c>
      <c r="DH351" s="34">
        <f>ROUND(IF(CM351=0,0,HLOOKUP(CM$14,Villagers!$B$1:$V$33,CM351+3,FALSE)),)</f>
        <v>0</v>
      </c>
      <c r="DI351" s="109">
        <f t="shared" si="516"/>
        <v>0</v>
      </c>
      <c r="DJ351" s="50">
        <f t="shared" si="517"/>
        <v>0</v>
      </c>
      <c r="DK351" s="50">
        <f t="shared" si="518"/>
        <v>0</v>
      </c>
      <c r="DL351" s="50">
        <f t="shared" si="519"/>
        <v>0</v>
      </c>
      <c r="DM351" s="50">
        <f t="shared" si="520"/>
        <v>0</v>
      </c>
      <c r="DN351" s="50">
        <f t="shared" si="521"/>
        <v>0</v>
      </c>
      <c r="DO351" s="50">
        <f t="shared" si="522"/>
        <v>0</v>
      </c>
      <c r="DP351" s="50">
        <f t="shared" si="523"/>
        <v>0</v>
      </c>
      <c r="DQ351" s="50">
        <f t="shared" si="501"/>
        <v>0</v>
      </c>
      <c r="DR351" s="50">
        <f t="shared" si="502"/>
        <v>0</v>
      </c>
      <c r="DS351" s="96">
        <f>Miscelaneous!$D$4*Miscelaneous!$D$2^($CI351-1)</f>
        <v>1000</v>
      </c>
      <c r="DT351" s="333">
        <f t="shared" si="483"/>
        <v>1</v>
      </c>
      <c r="DU351" s="81">
        <v>1</v>
      </c>
      <c r="DV351" s="79">
        <f t="shared" si="503"/>
        <v>0</v>
      </c>
      <c r="DW351" s="79">
        <f t="shared" si="504"/>
        <v>0</v>
      </c>
      <c r="DX351" s="79">
        <f t="shared" si="505"/>
        <v>0</v>
      </c>
      <c r="DY351" s="79">
        <v>1</v>
      </c>
      <c r="DZ351" s="79">
        <f t="shared" si="506"/>
        <v>0</v>
      </c>
      <c r="EA351" s="79">
        <f t="shared" si="507"/>
        <v>0</v>
      </c>
      <c r="EB351" s="79">
        <f t="shared" si="508"/>
        <v>0</v>
      </c>
      <c r="EC351" s="79">
        <f t="shared" si="509"/>
        <v>0</v>
      </c>
      <c r="ED351" s="79">
        <v>1</v>
      </c>
      <c r="EE351" s="79">
        <v>1</v>
      </c>
      <c r="EF351" s="79">
        <f t="shared" si="510"/>
        <v>0</v>
      </c>
      <c r="EG351" s="79">
        <v>1</v>
      </c>
      <c r="EH351" s="79">
        <v>1</v>
      </c>
      <c r="EI351" s="79">
        <v>1</v>
      </c>
      <c r="EJ351" s="79">
        <v>1</v>
      </c>
      <c r="EK351" s="79">
        <v>1</v>
      </c>
      <c r="EL351" s="79">
        <v>1</v>
      </c>
      <c r="EM351" s="143">
        <f t="shared" si="511"/>
        <v>0</v>
      </c>
      <c r="EN351" s="143">
        <f t="shared" si="512"/>
        <v>0</v>
      </c>
      <c r="EO351" s="82">
        <f t="shared" si="513"/>
        <v>0</v>
      </c>
    </row>
    <row r="352" spans="1:145" x14ac:dyDescent="0.25">
      <c r="A352">
        <v>338</v>
      </c>
      <c r="B352" s="172" t="e">
        <f t="shared" si="484"/>
        <v>#N/A</v>
      </c>
      <c r="C352" s="121" t="e">
        <f t="shared" si="462"/>
        <v>#N/A</v>
      </c>
      <c r="D352" s="122" t="e">
        <f t="shared" si="463"/>
        <v>#N/A</v>
      </c>
      <c r="E352" s="122" t="e">
        <f t="shared" si="464"/>
        <v>#N/A</v>
      </c>
      <c r="F352" s="176" t="e">
        <f t="shared" si="465"/>
        <v>#N/A</v>
      </c>
      <c r="G352" s="121">
        <f t="shared" si="485"/>
        <v>208</v>
      </c>
      <c r="H352" s="176" t="e">
        <f t="shared" si="486"/>
        <v>#N/A</v>
      </c>
      <c r="I352" s="48">
        <v>1</v>
      </c>
      <c r="J352" s="39"/>
      <c r="K352" s="350">
        <v>1</v>
      </c>
      <c r="L352" s="34" t="e">
        <f t="shared" si="466"/>
        <v>#N/A</v>
      </c>
      <c r="M352" s="38" t="e">
        <f>(HLOOKUP(J352,'Construction Times'!$B$3:$W$34,L352+2,FALSE)*HLOOKUP("hq modifier",'Construction Times'!$W$3:$W$34,BS352+2,FALSE))*(1-$H$9)</f>
        <v>#N/A</v>
      </c>
      <c r="N352" s="443" t="e">
        <f t="shared" si="487"/>
        <v>#N/A</v>
      </c>
      <c r="O352" s="444"/>
      <c r="P352" s="447" t="e">
        <f t="shared" si="488"/>
        <v>#N/A</v>
      </c>
      <c r="Q352" s="448"/>
      <c r="R352" s="103">
        <f t="shared" si="514"/>
        <v>0</v>
      </c>
      <c r="S352" s="104">
        <f t="shared" si="514"/>
        <v>0</v>
      </c>
      <c r="T352" s="104">
        <f t="shared" si="515"/>
        <v>0</v>
      </c>
      <c r="U352" s="104">
        <f t="shared" si="515"/>
        <v>0</v>
      </c>
      <c r="V352" s="104">
        <f t="shared" si="515"/>
        <v>9.9999999999999995E-8</v>
      </c>
      <c r="W352" s="104">
        <f t="shared" si="515"/>
        <v>0</v>
      </c>
      <c r="X352" s="104">
        <f t="shared" si="455"/>
        <v>0</v>
      </c>
      <c r="Y352" s="104">
        <f t="shared" si="455"/>
        <v>9.9999999999999995E-8</v>
      </c>
      <c r="Z352" s="104">
        <f t="shared" si="455"/>
        <v>9.9999999999999995E-8</v>
      </c>
      <c r="AA352" s="105">
        <f t="shared" si="455"/>
        <v>9.9999999999999995E-8</v>
      </c>
      <c r="AB352" s="101" t="e">
        <f>$DT352*HLOOKUP($J352,'Construction Costs (timber)'!$B$1:$V$32,'Construction Planner'!$L352+2,FALSE)</f>
        <v>#N/A</v>
      </c>
      <c r="AC352" s="14" t="e">
        <f>$DT352*HLOOKUP($J352,'Construction Costs (clay)'!$B$1:$V$32,'Construction Planner'!$L352+2,FALSE)</f>
        <v>#N/A</v>
      </c>
      <c r="AD352" s="14" t="e">
        <f>$DT352*HLOOKUP($J352,'Construction Costs (iron)'!$B$1:$V$32,'Construction Planner'!$L352+2,FALSE)</f>
        <v>#N/A</v>
      </c>
      <c r="AE352" s="34" t="e">
        <f t="shared" si="524"/>
        <v>#N/A</v>
      </c>
      <c r="AF352" s="33" t="e">
        <f t="shared" si="467"/>
        <v>#N/A</v>
      </c>
      <c r="AG352" s="14" t="e">
        <f t="shared" si="468"/>
        <v>#N/A</v>
      </c>
      <c r="AH352" s="14" t="e">
        <f t="shared" si="469"/>
        <v>#N/A</v>
      </c>
      <c r="AI352" s="34" t="e">
        <f t="shared" si="525"/>
        <v>#N/A</v>
      </c>
      <c r="AJ352" s="49" t="e">
        <f t="shared" si="489"/>
        <v>#N/A</v>
      </c>
      <c r="AK352" s="49" t="e">
        <f t="shared" si="490"/>
        <v>#N/A</v>
      </c>
      <c r="AL352" s="49" t="e">
        <f t="shared" si="491"/>
        <v>#N/A</v>
      </c>
      <c r="AM352" s="25">
        <f t="shared" si="470"/>
        <v>30</v>
      </c>
      <c r="AN352" s="25">
        <f t="shared" si="471"/>
        <v>30</v>
      </c>
      <c r="AO352" s="25">
        <f t="shared" si="472"/>
        <v>30</v>
      </c>
      <c r="AP352" s="52" t="e">
        <f t="shared" si="492"/>
        <v>#N/A</v>
      </c>
      <c r="AQ352" s="53" t="e">
        <f t="shared" si="492"/>
        <v>#N/A</v>
      </c>
      <c r="AR352" s="54" t="e">
        <f t="shared" si="492"/>
        <v>#N/A</v>
      </c>
      <c r="AS352" s="316">
        <f t="shared" si="526"/>
        <v>0</v>
      </c>
      <c r="AT352" s="106">
        <f>_xlfn.IFNA($M352/VLOOKUP($BT352,'Unit information'!$A$2:$K$29,2,FALSE)*R352,0)*(1+$E$9)</f>
        <v>0</v>
      </c>
      <c r="AU352" s="107">
        <f>_xlfn.IFNA($M352/VLOOKUP($BT352,'Unit information'!$A$2:$K$29,3,FALSE)*S352,0)*(1+$E$9)</f>
        <v>0</v>
      </c>
      <c r="AV352" s="107">
        <f>_xlfn.IFNA($M352/VLOOKUP($BT352,'Unit information'!$A$2:$K$29,4,FALSE)*T352,0)*(1+$E$9)</f>
        <v>0</v>
      </c>
      <c r="AW352" s="107">
        <f>_xlfn.IFNA($M352/VLOOKUP($BT352,'Unit information'!$A$2:$K$29,5,FALSE)*U352,0)*(1+$E$9)</f>
        <v>0</v>
      </c>
      <c r="AX352" s="107">
        <f>_xlfn.IFNA($M352/VLOOKUP($BU352,'Unit information'!$A$2:$K$29,6,FALSE)*V352,0)*(1+$E$9)</f>
        <v>0</v>
      </c>
      <c r="AY352" s="107">
        <f>_xlfn.IFNA($M352/VLOOKUP($BU352,'Unit information'!$A$2:$K$29,7,FALSE)*W352,0)*(1+$E$9)</f>
        <v>0</v>
      </c>
      <c r="AZ352" s="107">
        <f>_xlfn.IFNA($M352/VLOOKUP($BU352,'Unit information'!$A$2:$K$29,8,FALSE)*X352,0)*(1+$E$9)</f>
        <v>0</v>
      </c>
      <c r="BA352" s="107">
        <f>_xlfn.IFNA($M352/VLOOKUP($BU352,'Unit information'!$A$2:$K$29,9,FALSE)*Y352,0)*(1+$E$9)</f>
        <v>0</v>
      </c>
      <c r="BB352" s="107">
        <f>_xlfn.IFNA($M352/VLOOKUP($BV352,'Unit information'!$A$2:$K$29,10,FALSE)*Z352,0)*(1+$E$9)</f>
        <v>0</v>
      </c>
      <c r="BC352" s="108">
        <f>_xlfn.IFNA($M352/VLOOKUP($BV352,'Unit information'!$A$2:$K$29,11,FALSE)*AA352,0)*(1+$E$9)</f>
        <v>0</v>
      </c>
      <c r="BD352" s="106">
        <f t="shared" si="473"/>
        <v>0</v>
      </c>
      <c r="BE352" s="107">
        <f t="shared" si="474"/>
        <v>0</v>
      </c>
      <c r="BF352" s="108">
        <f t="shared" si="475"/>
        <v>0</v>
      </c>
      <c r="BG352" s="25" t="e">
        <f t="shared" si="476"/>
        <v>#N/A</v>
      </c>
      <c r="BH352" s="25" t="e">
        <f t="shared" si="477"/>
        <v>#N/A</v>
      </c>
      <c r="BI352" s="25" t="e">
        <f t="shared" si="478"/>
        <v>#N/A</v>
      </c>
      <c r="BJ352" s="27" t="e">
        <f t="shared" si="479"/>
        <v>#N/A</v>
      </c>
      <c r="BK352" s="18" t="e">
        <f t="shared" si="480"/>
        <v>#N/A</v>
      </c>
      <c r="BL352" s="18" t="e">
        <f t="shared" si="481"/>
        <v>#N/A</v>
      </c>
      <c r="BM352" s="28" t="e">
        <f t="shared" si="527"/>
        <v>#N/A</v>
      </c>
      <c r="BN352" s="33">
        <f>HLOOKUP("maximum population",Miscelaneous!$C$1:$C$33,CH352+3,FALSE)</f>
        <v>240</v>
      </c>
      <c r="BO352" s="14">
        <f t="shared" si="493"/>
        <v>32</v>
      </c>
      <c r="BP352" s="14">
        <f t="shared" si="494"/>
        <v>0</v>
      </c>
      <c r="BQ352" s="14">
        <f t="shared" si="495"/>
        <v>208</v>
      </c>
      <c r="BR352" s="34" t="e">
        <f>HLOOKUP(J352,Villagers!$B$1:$V$33,L352+3,FALSE)-HLOOKUP(J352,Villagers!$B$1:$V$33,L352+2,FALSE)</f>
        <v>#N/A</v>
      </c>
      <c r="BS352" s="49">
        <f t="shared" si="496"/>
        <v>1</v>
      </c>
      <c r="BT352" s="50">
        <f t="shared" si="497"/>
        <v>0</v>
      </c>
      <c r="BU352" s="50">
        <f t="shared" si="498"/>
        <v>0</v>
      </c>
      <c r="BV352" s="50">
        <f t="shared" si="499"/>
        <v>0</v>
      </c>
      <c r="BW352" s="50">
        <f t="shared" ref="BW352:BY358" si="541">IF($J351=BW$14,$L351,BW351)</f>
        <v>0</v>
      </c>
      <c r="BX352" s="50">
        <f t="shared" si="541"/>
        <v>0</v>
      </c>
      <c r="BY352" s="50">
        <f t="shared" si="541"/>
        <v>0</v>
      </c>
      <c r="BZ352" s="50">
        <f t="shared" si="530"/>
        <v>0</v>
      </c>
      <c r="CA352" s="50">
        <f t="shared" si="531"/>
        <v>0</v>
      </c>
      <c r="CB352" s="50">
        <f t="shared" si="532"/>
        <v>1</v>
      </c>
      <c r="CC352" s="50">
        <f t="shared" si="533"/>
        <v>0</v>
      </c>
      <c r="CD352" s="50">
        <f t="shared" si="534"/>
        <v>0</v>
      </c>
      <c r="CE352" s="50">
        <f t="shared" si="535"/>
        <v>1</v>
      </c>
      <c r="CF352" s="50">
        <f t="shared" si="536"/>
        <v>1</v>
      </c>
      <c r="CG352" s="50">
        <f t="shared" si="537"/>
        <v>1</v>
      </c>
      <c r="CH352" s="50">
        <f t="shared" si="538"/>
        <v>1</v>
      </c>
      <c r="CI352" s="50">
        <f t="shared" si="539"/>
        <v>1</v>
      </c>
      <c r="CJ352" s="50">
        <f t="shared" si="540"/>
        <v>1</v>
      </c>
      <c r="CK352" s="50">
        <f t="shared" si="540"/>
        <v>0</v>
      </c>
      <c r="CL352" s="50">
        <f t="shared" si="540"/>
        <v>0</v>
      </c>
      <c r="CM352" s="51">
        <f t="shared" si="482"/>
        <v>0</v>
      </c>
      <c r="CN352" s="33">
        <f>ROUND(IF(BS352=0,0,HLOOKUP(BS$14,Villagers!$B$1:$V$33,BS352+3,FALSE)),)</f>
        <v>5</v>
      </c>
      <c r="CO352" s="14">
        <f>ROUND(IF(BT352=0,0,HLOOKUP(BT$14,Villagers!$B$1:$V$33,BT352+3,FALSE)),)</f>
        <v>0</v>
      </c>
      <c r="CP352" s="14">
        <f>ROUND(IF(BU352=0,0,HLOOKUP(BU$14,Villagers!$B$1:$V$33,BU352+3,FALSE)),)</f>
        <v>0</v>
      </c>
      <c r="CQ352" s="14">
        <f>ROUND(IF(BV352=0,0,HLOOKUP(BV$14,Villagers!$B$1:$V$33,BV352+3,FALSE)),)</f>
        <v>0</v>
      </c>
      <c r="CR352" s="14">
        <f>ROUND(IF(BW352=0,0,HLOOKUP(BW$14,Villagers!$B$1:$V$33,BW352+3,FALSE)),)</f>
        <v>0</v>
      </c>
      <c r="CS352" s="14">
        <f>ROUND(IF(BX352=0,0,HLOOKUP(BX$14,Villagers!$B$1:$V$33,BX352+3,FALSE)),)</f>
        <v>0</v>
      </c>
      <c r="CT352" s="14">
        <f>ROUND(IF(BY352=0,0,HLOOKUP(BY$14,Villagers!$B$1:$V$33,BY352+3,FALSE)),)</f>
        <v>0</v>
      </c>
      <c r="CU352" s="14">
        <f>ROUND(IF(BZ352=0,0,HLOOKUP(BZ$14,Villagers!$B$1:$V$33,BZ352+3,FALSE)),)</f>
        <v>0</v>
      </c>
      <c r="CV352" s="14">
        <f>ROUND(IF(CA352=0,0,HLOOKUP(CA$14,Villagers!$B$1:$V$33,CA352+3,FALSE)),)</f>
        <v>0</v>
      </c>
      <c r="CW352" s="14">
        <f>ROUND(IF(CB352=0,0,HLOOKUP(CB$14,Villagers!$B$1:$V$33,CB352+3,FALSE)),)</f>
        <v>0</v>
      </c>
      <c r="CX352" s="14">
        <f>ROUND(IF(CC352=0,0,HLOOKUP(CC$14,Villagers!$B$1:$V$33,CC352+3,FALSE)),)</f>
        <v>0</v>
      </c>
      <c r="CY352" s="14">
        <f>ROUND(IF(CD352=0,0,HLOOKUP(CD$14,Villagers!$B$1:$V$33,CD352+3,FALSE)),)</f>
        <v>0</v>
      </c>
      <c r="CZ352" s="14">
        <f>ROUND(IF(CE352=0,0,HLOOKUP(CE$14,Villagers!$B$1:$V$33,CE352+3,FALSE)),)</f>
        <v>5</v>
      </c>
      <c r="DA352" s="14">
        <f>ROUND(IF(CF352=0,0,HLOOKUP(CF$14,Villagers!$B$1:$V$33,CF352+3,FALSE)),)</f>
        <v>10</v>
      </c>
      <c r="DB352" s="14">
        <f>ROUND(IF(CG352=0,0,HLOOKUP(CG$14,Villagers!$B$1:$V$33,CG352+3,FALSE)),)</f>
        <v>10</v>
      </c>
      <c r="DC352" s="14">
        <f>ROUND(IF(CH352=0,0,HLOOKUP(CH$14,Villagers!$B$1:$V$33,CH352+3,FALSE)),)</f>
        <v>0</v>
      </c>
      <c r="DD352" s="14">
        <f>ROUND(IF(CI352=0,0,HLOOKUP(CI$14,Villagers!$B$1:$V$33,CI352+3,FALSE)),)</f>
        <v>0</v>
      </c>
      <c r="DE352" s="14">
        <f>ROUND(IF(CJ352=0,0,HLOOKUP(CJ$14,Villagers!$B$1:$V$33,CJ352+3,FALSE)),)</f>
        <v>2</v>
      </c>
      <c r="DF352" s="370">
        <f>ROUND(IF(CK352=0,0,HLOOKUP(CK$14,Villagers!$B$1:$V$33,CK352+3,FALSE)),)</f>
        <v>0</v>
      </c>
      <c r="DG352" s="370">
        <f>ROUND(IF(CL352=0,0,HLOOKUP(CL$14,Villagers!$B$1:$V$33,CL352+3,FALSE)),)</f>
        <v>0</v>
      </c>
      <c r="DH352" s="34">
        <f>ROUND(IF(CM352=0,0,HLOOKUP(CM$14,Villagers!$B$1:$V$33,CM352+3,FALSE)),)</f>
        <v>0</v>
      </c>
      <c r="DI352" s="109">
        <f t="shared" si="516"/>
        <v>0</v>
      </c>
      <c r="DJ352" s="50">
        <f t="shared" si="517"/>
        <v>0</v>
      </c>
      <c r="DK352" s="50">
        <f t="shared" si="518"/>
        <v>0</v>
      </c>
      <c r="DL352" s="50">
        <f t="shared" si="519"/>
        <v>0</v>
      </c>
      <c r="DM352" s="50">
        <f t="shared" si="520"/>
        <v>0</v>
      </c>
      <c r="DN352" s="50">
        <f t="shared" si="521"/>
        <v>0</v>
      </c>
      <c r="DO352" s="50">
        <f t="shared" si="522"/>
        <v>0</v>
      </c>
      <c r="DP352" s="50">
        <f t="shared" si="523"/>
        <v>0</v>
      </c>
      <c r="DQ352" s="50">
        <f t="shared" si="501"/>
        <v>0</v>
      </c>
      <c r="DR352" s="50">
        <f t="shared" si="502"/>
        <v>0</v>
      </c>
      <c r="DS352" s="96">
        <f>Miscelaneous!$D$4*Miscelaneous!$D$2^($CI352-1)</f>
        <v>1000</v>
      </c>
      <c r="DT352" s="333">
        <f t="shared" si="483"/>
        <v>1</v>
      </c>
      <c r="DU352" s="81">
        <v>1</v>
      </c>
      <c r="DV352" s="79">
        <f t="shared" si="503"/>
        <v>0</v>
      </c>
      <c r="DW352" s="79">
        <f t="shared" si="504"/>
        <v>0</v>
      </c>
      <c r="DX352" s="79">
        <f t="shared" si="505"/>
        <v>0</v>
      </c>
      <c r="DY352" s="79">
        <v>1</v>
      </c>
      <c r="DZ352" s="79">
        <f t="shared" si="506"/>
        <v>0</v>
      </c>
      <c r="EA352" s="79">
        <f t="shared" si="507"/>
        <v>0</v>
      </c>
      <c r="EB352" s="79">
        <f t="shared" si="508"/>
        <v>0</v>
      </c>
      <c r="EC352" s="79">
        <f t="shared" si="509"/>
        <v>0</v>
      </c>
      <c r="ED352" s="79">
        <v>1</v>
      </c>
      <c r="EE352" s="79">
        <v>1</v>
      </c>
      <c r="EF352" s="79">
        <f t="shared" si="510"/>
        <v>0</v>
      </c>
      <c r="EG352" s="79">
        <v>1</v>
      </c>
      <c r="EH352" s="79">
        <v>1</v>
      </c>
      <c r="EI352" s="79">
        <v>1</v>
      </c>
      <c r="EJ352" s="79">
        <v>1</v>
      </c>
      <c r="EK352" s="79">
        <v>1</v>
      </c>
      <c r="EL352" s="79">
        <v>1</v>
      </c>
      <c r="EM352" s="143">
        <f t="shared" si="511"/>
        <v>0</v>
      </c>
      <c r="EN352" s="143">
        <f t="shared" si="512"/>
        <v>0</v>
      </c>
      <c r="EO352" s="82">
        <f t="shared" si="513"/>
        <v>0</v>
      </c>
    </row>
    <row r="353" spans="1:145" x14ac:dyDescent="0.25">
      <c r="A353">
        <v>339</v>
      </c>
      <c r="B353" s="172" t="e">
        <f t="shared" si="484"/>
        <v>#N/A</v>
      </c>
      <c r="C353" s="121" t="e">
        <f t="shared" si="462"/>
        <v>#N/A</v>
      </c>
      <c r="D353" s="122" t="e">
        <f t="shared" si="463"/>
        <v>#N/A</v>
      </c>
      <c r="E353" s="122" t="e">
        <f t="shared" si="464"/>
        <v>#N/A</v>
      </c>
      <c r="F353" s="176" t="e">
        <f t="shared" si="465"/>
        <v>#N/A</v>
      </c>
      <c r="G353" s="121">
        <f t="shared" si="485"/>
        <v>208</v>
      </c>
      <c r="H353" s="176" t="e">
        <f t="shared" si="486"/>
        <v>#N/A</v>
      </c>
      <c r="I353" s="48">
        <v>1</v>
      </c>
      <c r="J353" s="39"/>
      <c r="K353" s="350">
        <v>1</v>
      </c>
      <c r="L353" s="34" t="e">
        <f t="shared" si="466"/>
        <v>#N/A</v>
      </c>
      <c r="M353" s="38" t="e">
        <f>(HLOOKUP(J353,'Construction Times'!$B$3:$W$34,L353+2,FALSE)*HLOOKUP("hq modifier",'Construction Times'!$W$3:$W$34,BS353+2,FALSE))*(1-$H$9)</f>
        <v>#N/A</v>
      </c>
      <c r="N353" s="443" t="e">
        <f t="shared" si="487"/>
        <v>#N/A</v>
      </c>
      <c r="O353" s="444"/>
      <c r="P353" s="447" t="e">
        <f t="shared" si="488"/>
        <v>#N/A</v>
      </c>
      <c r="Q353" s="448"/>
      <c r="R353" s="103">
        <f t="shared" si="514"/>
        <v>0</v>
      </c>
      <c r="S353" s="104">
        <f t="shared" si="514"/>
        <v>0</v>
      </c>
      <c r="T353" s="104">
        <f t="shared" si="515"/>
        <v>0</v>
      </c>
      <c r="U353" s="104">
        <f t="shared" si="515"/>
        <v>0</v>
      </c>
      <c r="V353" s="104">
        <f t="shared" si="515"/>
        <v>9.9999999999999995E-8</v>
      </c>
      <c r="W353" s="104">
        <f t="shared" si="515"/>
        <v>0</v>
      </c>
      <c r="X353" s="104">
        <f t="shared" si="455"/>
        <v>0</v>
      </c>
      <c r="Y353" s="104">
        <f t="shared" si="455"/>
        <v>9.9999999999999995E-8</v>
      </c>
      <c r="Z353" s="104">
        <f t="shared" si="455"/>
        <v>9.9999999999999995E-8</v>
      </c>
      <c r="AA353" s="105">
        <f t="shared" si="455"/>
        <v>9.9999999999999995E-8</v>
      </c>
      <c r="AB353" s="101" t="e">
        <f>$DT353*HLOOKUP($J353,'Construction Costs (timber)'!$B$1:$V$32,'Construction Planner'!$L353+2,FALSE)</f>
        <v>#N/A</v>
      </c>
      <c r="AC353" s="14" t="e">
        <f>$DT353*HLOOKUP($J353,'Construction Costs (clay)'!$B$1:$V$32,'Construction Planner'!$L353+2,FALSE)</f>
        <v>#N/A</v>
      </c>
      <c r="AD353" s="14" t="e">
        <f>$DT353*HLOOKUP($J353,'Construction Costs (iron)'!$B$1:$V$32,'Construction Planner'!$L353+2,FALSE)</f>
        <v>#N/A</v>
      </c>
      <c r="AE353" s="34" t="e">
        <f t="shared" si="524"/>
        <v>#N/A</v>
      </c>
      <c r="AF353" s="33" t="e">
        <f t="shared" si="467"/>
        <v>#N/A</v>
      </c>
      <c r="AG353" s="14" t="e">
        <f t="shared" si="468"/>
        <v>#N/A</v>
      </c>
      <c r="AH353" s="14" t="e">
        <f t="shared" si="469"/>
        <v>#N/A</v>
      </c>
      <c r="AI353" s="34" t="e">
        <f t="shared" si="525"/>
        <v>#N/A</v>
      </c>
      <c r="AJ353" s="49" t="e">
        <f t="shared" si="489"/>
        <v>#N/A</v>
      </c>
      <c r="AK353" s="49" t="e">
        <f t="shared" si="490"/>
        <v>#N/A</v>
      </c>
      <c r="AL353" s="49" t="e">
        <f t="shared" si="491"/>
        <v>#N/A</v>
      </c>
      <c r="AM353" s="25">
        <f t="shared" si="470"/>
        <v>30</v>
      </c>
      <c r="AN353" s="25">
        <f t="shared" si="471"/>
        <v>30</v>
      </c>
      <c r="AO353" s="25">
        <f t="shared" si="472"/>
        <v>30</v>
      </c>
      <c r="AP353" s="52" t="e">
        <f t="shared" si="492"/>
        <v>#N/A</v>
      </c>
      <c r="AQ353" s="53" t="e">
        <f t="shared" si="492"/>
        <v>#N/A</v>
      </c>
      <c r="AR353" s="54" t="e">
        <f t="shared" si="492"/>
        <v>#N/A</v>
      </c>
      <c r="AS353" s="316">
        <f t="shared" si="526"/>
        <v>0</v>
      </c>
      <c r="AT353" s="106">
        <f>_xlfn.IFNA($M353/VLOOKUP($BT353,'Unit information'!$A$2:$K$29,2,FALSE)*R353,0)*(1+$E$9)</f>
        <v>0</v>
      </c>
      <c r="AU353" s="107">
        <f>_xlfn.IFNA($M353/VLOOKUP($BT353,'Unit information'!$A$2:$K$29,3,FALSE)*S353,0)*(1+$E$9)</f>
        <v>0</v>
      </c>
      <c r="AV353" s="107">
        <f>_xlfn.IFNA($M353/VLOOKUP($BT353,'Unit information'!$A$2:$K$29,4,FALSE)*T353,0)*(1+$E$9)</f>
        <v>0</v>
      </c>
      <c r="AW353" s="107">
        <f>_xlfn.IFNA($M353/VLOOKUP($BT353,'Unit information'!$A$2:$K$29,5,FALSE)*U353,0)*(1+$E$9)</f>
        <v>0</v>
      </c>
      <c r="AX353" s="107">
        <f>_xlfn.IFNA($M353/VLOOKUP($BU353,'Unit information'!$A$2:$K$29,6,FALSE)*V353,0)*(1+$E$9)</f>
        <v>0</v>
      </c>
      <c r="AY353" s="107">
        <f>_xlfn.IFNA($M353/VLOOKUP($BU353,'Unit information'!$A$2:$K$29,7,FALSE)*W353,0)*(1+$E$9)</f>
        <v>0</v>
      </c>
      <c r="AZ353" s="107">
        <f>_xlfn.IFNA($M353/VLOOKUP($BU353,'Unit information'!$A$2:$K$29,8,FALSE)*X353,0)*(1+$E$9)</f>
        <v>0</v>
      </c>
      <c r="BA353" s="107">
        <f>_xlfn.IFNA($M353/VLOOKUP($BU353,'Unit information'!$A$2:$K$29,9,FALSE)*Y353,0)*(1+$E$9)</f>
        <v>0</v>
      </c>
      <c r="BB353" s="107">
        <f>_xlfn.IFNA($M353/VLOOKUP($BV353,'Unit information'!$A$2:$K$29,10,FALSE)*Z353,0)*(1+$E$9)</f>
        <v>0</v>
      </c>
      <c r="BC353" s="108">
        <f>_xlfn.IFNA($M353/VLOOKUP($BV353,'Unit information'!$A$2:$K$29,11,FALSE)*AA353,0)*(1+$E$9)</f>
        <v>0</v>
      </c>
      <c r="BD353" s="106">
        <f t="shared" si="473"/>
        <v>0</v>
      </c>
      <c r="BE353" s="107">
        <f t="shared" si="474"/>
        <v>0</v>
      </c>
      <c r="BF353" s="108">
        <f t="shared" si="475"/>
        <v>0</v>
      </c>
      <c r="BG353" s="25" t="e">
        <f t="shared" si="476"/>
        <v>#N/A</v>
      </c>
      <c r="BH353" s="25" t="e">
        <f t="shared" si="477"/>
        <v>#N/A</v>
      </c>
      <c r="BI353" s="25" t="e">
        <f t="shared" si="478"/>
        <v>#N/A</v>
      </c>
      <c r="BJ353" s="27" t="e">
        <f t="shared" si="479"/>
        <v>#N/A</v>
      </c>
      <c r="BK353" s="18" t="e">
        <f t="shared" si="480"/>
        <v>#N/A</v>
      </c>
      <c r="BL353" s="18" t="e">
        <f t="shared" si="481"/>
        <v>#N/A</v>
      </c>
      <c r="BM353" s="28" t="e">
        <f t="shared" si="527"/>
        <v>#N/A</v>
      </c>
      <c r="BN353" s="33">
        <f>HLOOKUP("maximum population",Miscelaneous!$C$1:$C$33,CH353+3,FALSE)</f>
        <v>240</v>
      </c>
      <c r="BO353" s="14">
        <f t="shared" si="493"/>
        <v>32</v>
      </c>
      <c r="BP353" s="14">
        <f t="shared" si="494"/>
        <v>0</v>
      </c>
      <c r="BQ353" s="14">
        <f t="shared" si="495"/>
        <v>208</v>
      </c>
      <c r="BR353" s="34" t="e">
        <f>HLOOKUP(J353,Villagers!$B$1:$V$33,L353+3,FALSE)-HLOOKUP(J353,Villagers!$B$1:$V$33,L353+2,FALSE)</f>
        <v>#N/A</v>
      </c>
      <c r="BS353" s="49">
        <f t="shared" si="496"/>
        <v>1</v>
      </c>
      <c r="BT353" s="50">
        <f t="shared" si="497"/>
        <v>0</v>
      </c>
      <c r="BU353" s="50">
        <f t="shared" si="498"/>
        <v>0</v>
      </c>
      <c r="BV353" s="50">
        <f t="shared" si="499"/>
        <v>0</v>
      </c>
      <c r="BW353" s="50">
        <f t="shared" si="541"/>
        <v>0</v>
      </c>
      <c r="BX353" s="50">
        <f t="shared" si="541"/>
        <v>0</v>
      </c>
      <c r="BY353" s="50">
        <f t="shared" si="541"/>
        <v>0</v>
      </c>
      <c r="BZ353" s="50">
        <f t="shared" si="530"/>
        <v>0</v>
      </c>
      <c r="CA353" s="50">
        <f t="shared" si="531"/>
        <v>0</v>
      </c>
      <c r="CB353" s="50">
        <f t="shared" si="532"/>
        <v>1</v>
      </c>
      <c r="CC353" s="50">
        <f t="shared" si="533"/>
        <v>0</v>
      </c>
      <c r="CD353" s="50">
        <f t="shared" si="534"/>
        <v>0</v>
      </c>
      <c r="CE353" s="50">
        <f t="shared" si="535"/>
        <v>1</v>
      </c>
      <c r="CF353" s="50">
        <f t="shared" si="536"/>
        <v>1</v>
      </c>
      <c r="CG353" s="50">
        <f t="shared" si="537"/>
        <v>1</v>
      </c>
      <c r="CH353" s="50">
        <f t="shared" si="538"/>
        <v>1</v>
      </c>
      <c r="CI353" s="50">
        <f t="shared" si="539"/>
        <v>1</v>
      </c>
      <c r="CJ353" s="50">
        <f t="shared" si="540"/>
        <v>1</v>
      </c>
      <c r="CK353" s="50">
        <f t="shared" si="540"/>
        <v>0</v>
      </c>
      <c r="CL353" s="50">
        <f t="shared" si="540"/>
        <v>0</v>
      </c>
      <c r="CM353" s="51">
        <f t="shared" si="482"/>
        <v>0</v>
      </c>
      <c r="CN353" s="33">
        <f>ROUND(IF(BS353=0,0,HLOOKUP(BS$14,Villagers!$B$1:$V$33,BS353+3,FALSE)),)</f>
        <v>5</v>
      </c>
      <c r="CO353" s="14">
        <f>ROUND(IF(BT353=0,0,HLOOKUP(BT$14,Villagers!$B$1:$V$33,BT353+3,FALSE)),)</f>
        <v>0</v>
      </c>
      <c r="CP353" s="14">
        <f>ROUND(IF(BU353=0,0,HLOOKUP(BU$14,Villagers!$B$1:$V$33,BU353+3,FALSE)),)</f>
        <v>0</v>
      </c>
      <c r="CQ353" s="14">
        <f>ROUND(IF(BV353=0,0,HLOOKUP(BV$14,Villagers!$B$1:$V$33,BV353+3,FALSE)),)</f>
        <v>0</v>
      </c>
      <c r="CR353" s="14">
        <f>ROUND(IF(BW353=0,0,HLOOKUP(BW$14,Villagers!$B$1:$V$33,BW353+3,FALSE)),)</f>
        <v>0</v>
      </c>
      <c r="CS353" s="14">
        <f>ROUND(IF(BX353=0,0,HLOOKUP(BX$14,Villagers!$B$1:$V$33,BX353+3,FALSE)),)</f>
        <v>0</v>
      </c>
      <c r="CT353" s="14">
        <f>ROUND(IF(BY353=0,0,HLOOKUP(BY$14,Villagers!$B$1:$V$33,BY353+3,FALSE)),)</f>
        <v>0</v>
      </c>
      <c r="CU353" s="14">
        <f>ROUND(IF(BZ353=0,0,HLOOKUP(BZ$14,Villagers!$B$1:$V$33,BZ353+3,FALSE)),)</f>
        <v>0</v>
      </c>
      <c r="CV353" s="14">
        <f>ROUND(IF(CA353=0,0,HLOOKUP(CA$14,Villagers!$B$1:$V$33,CA353+3,FALSE)),)</f>
        <v>0</v>
      </c>
      <c r="CW353" s="14">
        <f>ROUND(IF(CB353=0,0,HLOOKUP(CB$14,Villagers!$B$1:$V$33,CB353+3,FALSE)),)</f>
        <v>0</v>
      </c>
      <c r="CX353" s="14">
        <f>ROUND(IF(CC353=0,0,HLOOKUP(CC$14,Villagers!$B$1:$V$33,CC353+3,FALSE)),)</f>
        <v>0</v>
      </c>
      <c r="CY353" s="14">
        <f>ROUND(IF(CD353=0,0,HLOOKUP(CD$14,Villagers!$B$1:$V$33,CD353+3,FALSE)),)</f>
        <v>0</v>
      </c>
      <c r="CZ353" s="14">
        <f>ROUND(IF(CE353=0,0,HLOOKUP(CE$14,Villagers!$B$1:$V$33,CE353+3,FALSE)),)</f>
        <v>5</v>
      </c>
      <c r="DA353" s="14">
        <f>ROUND(IF(CF353=0,0,HLOOKUP(CF$14,Villagers!$B$1:$V$33,CF353+3,FALSE)),)</f>
        <v>10</v>
      </c>
      <c r="DB353" s="14">
        <f>ROUND(IF(CG353=0,0,HLOOKUP(CG$14,Villagers!$B$1:$V$33,CG353+3,FALSE)),)</f>
        <v>10</v>
      </c>
      <c r="DC353" s="14">
        <f>ROUND(IF(CH353=0,0,HLOOKUP(CH$14,Villagers!$B$1:$V$33,CH353+3,FALSE)),)</f>
        <v>0</v>
      </c>
      <c r="DD353" s="14">
        <f>ROUND(IF(CI353=0,0,HLOOKUP(CI$14,Villagers!$B$1:$V$33,CI353+3,FALSE)),)</f>
        <v>0</v>
      </c>
      <c r="DE353" s="14">
        <f>ROUND(IF(CJ353=0,0,HLOOKUP(CJ$14,Villagers!$B$1:$V$33,CJ353+3,FALSE)),)</f>
        <v>2</v>
      </c>
      <c r="DF353" s="370">
        <f>ROUND(IF(CK353=0,0,HLOOKUP(CK$14,Villagers!$B$1:$V$33,CK353+3,FALSE)),)</f>
        <v>0</v>
      </c>
      <c r="DG353" s="370">
        <f>ROUND(IF(CL353=0,0,HLOOKUP(CL$14,Villagers!$B$1:$V$33,CL353+3,FALSE)),)</f>
        <v>0</v>
      </c>
      <c r="DH353" s="34">
        <f>ROUND(IF(CM353=0,0,HLOOKUP(CM$14,Villagers!$B$1:$V$33,CM353+3,FALSE)),)</f>
        <v>0</v>
      </c>
      <c r="DI353" s="109">
        <f t="shared" si="516"/>
        <v>0</v>
      </c>
      <c r="DJ353" s="50">
        <f t="shared" si="517"/>
        <v>0</v>
      </c>
      <c r="DK353" s="50">
        <f t="shared" si="518"/>
        <v>0</v>
      </c>
      <c r="DL353" s="50">
        <f t="shared" si="519"/>
        <v>0</v>
      </c>
      <c r="DM353" s="50">
        <f t="shared" si="520"/>
        <v>0</v>
      </c>
      <c r="DN353" s="50">
        <f t="shared" si="521"/>
        <v>0</v>
      </c>
      <c r="DO353" s="50">
        <f t="shared" si="522"/>
        <v>0</v>
      </c>
      <c r="DP353" s="50">
        <f t="shared" si="523"/>
        <v>0</v>
      </c>
      <c r="DQ353" s="50">
        <f t="shared" si="501"/>
        <v>0</v>
      </c>
      <c r="DR353" s="50">
        <f t="shared" si="502"/>
        <v>0</v>
      </c>
      <c r="DS353" s="96">
        <f>Miscelaneous!$D$4*Miscelaneous!$D$2^($CI353-1)</f>
        <v>1000</v>
      </c>
      <c r="DT353" s="333">
        <f t="shared" si="483"/>
        <v>1</v>
      </c>
      <c r="DU353" s="81">
        <v>1</v>
      </c>
      <c r="DV353" s="79">
        <f t="shared" si="503"/>
        <v>0</v>
      </c>
      <c r="DW353" s="79">
        <f t="shared" si="504"/>
        <v>0</v>
      </c>
      <c r="DX353" s="79">
        <f t="shared" si="505"/>
        <v>0</v>
      </c>
      <c r="DY353" s="79">
        <v>1</v>
      </c>
      <c r="DZ353" s="79">
        <f t="shared" si="506"/>
        <v>0</v>
      </c>
      <c r="EA353" s="79">
        <f t="shared" si="507"/>
        <v>0</v>
      </c>
      <c r="EB353" s="79">
        <f t="shared" si="508"/>
        <v>0</v>
      </c>
      <c r="EC353" s="79">
        <f t="shared" si="509"/>
        <v>0</v>
      </c>
      <c r="ED353" s="79">
        <v>1</v>
      </c>
      <c r="EE353" s="79">
        <v>1</v>
      </c>
      <c r="EF353" s="79">
        <f t="shared" si="510"/>
        <v>0</v>
      </c>
      <c r="EG353" s="79">
        <v>1</v>
      </c>
      <c r="EH353" s="79">
        <v>1</v>
      </c>
      <c r="EI353" s="79">
        <v>1</v>
      </c>
      <c r="EJ353" s="79">
        <v>1</v>
      </c>
      <c r="EK353" s="79">
        <v>1</v>
      </c>
      <c r="EL353" s="79">
        <v>1</v>
      </c>
      <c r="EM353" s="143">
        <f t="shared" si="511"/>
        <v>0</v>
      </c>
      <c r="EN353" s="143">
        <f t="shared" si="512"/>
        <v>0</v>
      </c>
      <c r="EO353" s="82">
        <f t="shared" si="513"/>
        <v>0</v>
      </c>
    </row>
    <row r="354" spans="1:145" x14ac:dyDescent="0.25">
      <c r="A354">
        <v>340</v>
      </c>
      <c r="B354" s="172" t="e">
        <f t="shared" si="484"/>
        <v>#N/A</v>
      </c>
      <c r="C354" s="121" t="e">
        <f t="shared" si="462"/>
        <v>#N/A</v>
      </c>
      <c r="D354" s="122" t="e">
        <f t="shared" si="463"/>
        <v>#N/A</v>
      </c>
      <c r="E354" s="122" t="e">
        <f t="shared" si="464"/>
        <v>#N/A</v>
      </c>
      <c r="F354" s="176" t="e">
        <f t="shared" si="465"/>
        <v>#N/A</v>
      </c>
      <c r="G354" s="121">
        <f t="shared" si="485"/>
        <v>208</v>
      </c>
      <c r="H354" s="176" t="e">
        <f t="shared" si="486"/>
        <v>#N/A</v>
      </c>
      <c r="I354" s="48">
        <v>1</v>
      </c>
      <c r="J354" s="39"/>
      <c r="K354" s="350">
        <v>1</v>
      </c>
      <c r="L354" s="34" t="e">
        <f t="shared" si="466"/>
        <v>#N/A</v>
      </c>
      <c r="M354" s="38" t="e">
        <f>(HLOOKUP(J354,'Construction Times'!$B$3:$W$34,L354+2,FALSE)*HLOOKUP("hq modifier",'Construction Times'!$W$3:$W$34,BS354+2,FALSE))*(1-$H$9)</f>
        <v>#N/A</v>
      </c>
      <c r="N354" s="443" t="e">
        <f t="shared" si="487"/>
        <v>#N/A</v>
      </c>
      <c r="O354" s="444"/>
      <c r="P354" s="447" t="e">
        <f t="shared" si="488"/>
        <v>#N/A</v>
      </c>
      <c r="Q354" s="448"/>
      <c r="R354" s="103">
        <f t="shared" si="514"/>
        <v>0</v>
      </c>
      <c r="S354" s="104">
        <f t="shared" si="514"/>
        <v>0</v>
      </c>
      <c r="T354" s="104">
        <f t="shared" si="515"/>
        <v>0</v>
      </c>
      <c r="U354" s="104">
        <f t="shared" si="515"/>
        <v>0</v>
      </c>
      <c r="V354" s="104">
        <f t="shared" si="515"/>
        <v>9.9999999999999995E-8</v>
      </c>
      <c r="W354" s="104">
        <f t="shared" si="515"/>
        <v>0</v>
      </c>
      <c r="X354" s="104">
        <f t="shared" si="455"/>
        <v>0</v>
      </c>
      <c r="Y354" s="104">
        <f t="shared" si="455"/>
        <v>9.9999999999999995E-8</v>
      </c>
      <c r="Z354" s="104">
        <f t="shared" si="455"/>
        <v>9.9999999999999995E-8</v>
      </c>
      <c r="AA354" s="105">
        <f t="shared" si="455"/>
        <v>9.9999999999999995E-8</v>
      </c>
      <c r="AB354" s="101" t="e">
        <f>$DT354*HLOOKUP($J354,'Construction Costs (timber)'!$B$1:$V$32,'Construction Planner'!$L354+2,FALSE)</f>
        <v>#N/A</v>
      </c>
      <c r="AC354" s="14" t="e">
        <f>$DT354*HLOOKUP($J354,'Construction Costs (clay)'!$B$1:$V$32,'Construction Planner'!$L354+2,FALSE)</f>
        <v>#N/A</v>
      </c>
      <c r="AD354" s="14" t="e">
        <f>$DT354*HLOOKUP($J354,'Construction Costs (iron)'!$B$1:$V$32,'Construction Planner'!$L354+2,FALSE)</f>
        <v>#N/A</v>
      </c>
      <c r="AE354" s="34" t="e">
        <f t="shared" si="524"/>
        <v>#N/A</v>
      </c>
      <c r="AF354" s="33" t="e">
        <f t="shared" si="467"/>
        <v>#N/A</v>
      </c>
      <c r="AG354" s="14" t="e">
        <f t="shared" si="468"/>
        <v>#N/A</v>
      </c>
      <c r="AH354" s="14" t="e">
        <f t="shared" si="469"/>
        <v>#N/A</v>
      </c>
      <c r="AI354" s="34" t="e">
        <f t="shared" si="525"/>
        <v>#N/A</v>
      </c>
      <c r="AJ354" s="49" t="e">
        <f t="shared" si="489"/>
        <v>#N/A</v>
      </c>
      <c r="AK354" s="49" t="e">
        <f t="shared" si="490"/>
        <v>#N/A</v>
      </c>
      <c r="AL354" s="49" t="e">
        <f t="shared" si="491"/>
        <v>#N/A</v>
      </c>
      <c r="AM354" s="25">
        <f t="shared" si="470"/>
        <v>30</v>
      </c>
      <c r="AN354" s="25">
        <f t="shared" si="471"/>
        <v>30</v>
      </c>
      <c r="AO354" s="25">
        <f t="shared" si="472"/>
        <v>30</v>
      </c>
      <c r="AP354" s="52" t="e">
        <f t="shared" si="492"/>
        <v>#N/A</v>
      </c>
      <c r="AQ354" s="53" t="e">
        <f t="shared" si="492"/>
        <v>#N/A</v>
      </c>
      <c r="AR354" s="54" t="e">
        <f t="shared" si="492"/>
        <v>#N/A</v>
      </c>
      <c r="AS354" s="316">
        <f t="shared" si="526"/>
        <v>0</v>
      </c>
      <c r="AT354" s="106">
        <f>_xlfn.IFNA($M354/VLOOKUP($BT354,'Unit information'!$A$2:$K$29,2,FALSE)*R354,0)*(1+$E$9)</f>
        <v>0</v>
      </c>
      <c r="AU354" s="107">
        <f>_xlfn.IFNA($M354/VLOOKUP($BT354,'Unit information'!$A$2:$K$29,3,FALSE)*S354,0)*(1+$E$9)</f>
        <v>0</v>
      </c>
      <c r="AV354" s="107">
        <f>_xlfn.IFNA($M354/VLOOKUP($BT354,'Unit information'!$A$2:$K$29,4,FALSE)*T354,0)*(1+$E$9)</f>
        <v>0</v>
      </c>
      <c r="AW354" s="107">
        <f>_xlfn.IFNA($M354/VLOOKUP($BT354,'Unit information'!$A$2:$K$29,5,FALSE)*U354,0)*(1+$E$9)</f>
        <v>0</v>
      </c>
      <c r="AX354" s="107">
        <f>_xlfn.IFNA($M354/VLOOKUP($BU354,'Unit information'!$A$2:$K$29,6,FALSE)*V354,0)*(1+$E$9)</f>
        <v>0</v>
      </c>
      <c r="AY354" s="107">
        <f>_xlfn.IFNA($M354/VLOOKUP($BU354,'Unit information'!$A$2:$K$29,7,FALSE)*W354,0)*(1+$E$9)</f>
        <v>0</v>
      </c>
      <c r="AZ354" s="107">
        <f>_xlfn.IFNA($M354/VLOOKUP($BU354,'Unit information'!$A$2:$K$29,8,FALSE)*X354,0)*(1+$E$9)</f>
        <v>0</v>
      </c>
      <c r="BA354" s="107">
        <f>_xlfn.IFNA($M354/VLOOKUP($BU354,'Unit information'!$A$2:$K$29,9,FALSE)*Y354,0)*(1+$E$9)</f>
        <v>0</v>
      </c>
      <c r="BB354" s="107">
        <f>_xlfn.IFNA($M354/VLOOKUP($BV354,'Unit information'!$A$2:$K$29,10,FALSE)*Z354,0)*(1+$E$9)</f>
        <v>0</v>
      </c>
      <c r="BC354" s="108">
        <f>_xlfn.IFNA($M354/VLOOKUP($BV354,'Unit information'!$A$2:$K$29,11,FALSE)*AA354,0)*(1+$E$9)</f>
        <v>0</v>
      </c>
      <c r="BD354" s="106">
        <f t="shared" si="473"/>
        <v>0</v>
      </c>
      <c r="BE354" s="107">
        <f t="shared" si="474"/>
        <v>0</v>
      </c>
      <c r="BF354" s="108">
        <f t="shared" si="475"/>
        <v>0</v>
      </c>
      <c r="BG354" s="25" t="e">
        <f t="shared" si="476"/>
        <v>#N/A</v>
      </c>
      <c r="BH354" s="25" t="e">
        <f t="shared" si="477"/>
        <v>#N/A</v>
      </c>
      <c r="BI354" s="25" t="e">
        <f t="shared" si="478"/>
        <v>#N/A</v>
      </c>
      <c r="BJ354" s="27" t="e">
        <f t="shared" si="479"/>
        <v>#N/A</v>
      </c>
      <c r="BK354" s="18" t="e">
        <f t="shared" si="480"/>
        <v>#N/A</v>
      </c>
      <c r="BL354" s="18" t="e">
        <f t="shared" si="481"/>
        <v>#N/A</v>
      </c>
      <c r="BM354" s="28" t="e">
        <f t="shared" si="527"/>
        <v>#N/A</v>
      </c>
      <c r="BN354" s="33">
        <f>HLOOKUP("maximum population",Miscelaneous!$C$1:$C$33,CH354+3,FALSE)</f>
        <v>240</v>
      </c>
      <c r="BO354" s="14">
        <f t="shared" si="493"/>
        <v>32</v>
      </c>
      <c r="BP354" s="14">
        <f t="shared" si="494"/>
        <v>0</v>
      </c>
      <c r="BQ354" s="14">
        <f t="shared" si="495"/>
        <v>208</v>
      </c>
      <c r="BR354" s="34" t="e">
        <f>HLOOKUP(J354,Villagers!$B$1:$V$33,L354+3,FALSE)-HLOOKUP(J354,Villagers!$B$1:$V$33,L354+2,FALSE)</f>
        <v>#N/A</v>
      </c>
      <c r="BS354" s="49">
        <f t="shared" si="496"/>
        <v>1</v>
      </c>
      <c r="BT354" s="50">
        <f t="shared" si="497"/>
        <v>0</v>
      </c>
      <c r="BU354" s="50">
        <f t="shared" si="498"/>
        <v>0</v>
      </c>
      <c r="BV354" s="50">
        <f t="shared" si="499"/>
        <v>0</v>
      </c>
      <c r="BW354" s="50">
        <f t="shared" si="541"/>
        <v>0</v>
      </c>
      <c r="BX354" s="50">
        <f t="shared" si="541"/>
        <v>0</v>
      </c>
      <c r="BY354" s="50">
        <f t="shared" si="541"/>
        <v>0</v>
      </c>
      <c r="BZ354" s="50">
        <f t="shared" si="530"/>
        <v>0</v>
      </c>
      <c r="CA354" s="50">
        <f t="shared" si="531"/>
        <v>0</v>
      </c>
      <c r="CB354" s="50">
        <f t="shared" si="532"/>
        <v>1</v>
      </c>
      <c r="CC354" s="50">
        <f t="shared" si="533"/>
        <v>0</v>
      </c>
      <c r="CD354" s="50">
        <f t="shared" si="534"/>
        <v>0</v>
      </c>
      <c r="CE354" s="50">
        <f t="shared" si="535"/>
        <v>1</v>
      </c>
      <c r="CF354" s="50">
        <f t="shared" si="536"/>
        <v>1</v>
      </c>
      <c r="CG354" s="50">
        <f t="shared" si="537"/>
        <v>1</v>
      </c>
      <c r="CH354" s="50">
        <f t="shared" si="538"/>
        <v>1</v>
      </c>
      <c r="CI354" s="50">
        <f t="shared" si="539"/>
        <v>1</v>
      </c>
      <c r="CJ354" s="50">
        <f t="shared" si="540"/>
        <v>1</v>
      </c>
      <c r="CK354" s="50">
        <f t="shared" si="540"/>
        <v>0</v>
      </c>
      <c r="CL354" s="50">
        <f t="shared" si="540"/>
        <v>0</v>
      </c>
      <c r="CM354" s="51">
        <f t="shared" si="482"/>
        <v>0</v>
      </c>
      <c r="CN354" s="33">
        <f>ROUND(IF(BS354=0,0,HLOOKUP(BS$14,Villagers!$B$1:$V$33,BS354+3,FALSE)),)</f>
        <v>5</v>
      </c>
      <c r="CO354" s="14">
        <f>ROUND(IF(BT354=0,0,HLOOKUP(BT$14,Villagers!$B$1:$V$33,BT354+3,FALSE)),)</f>
        <v>0</v>
      </c>
      <c r="CP354" s="14">
        <f>ROUND(IF(BU354=0,0,HLOOKUP(BU$14,Villagers!$B$1:$V$33,BU354+3,FALSE)),)</f>
        <v>0</v>
      </c>
      <c r="CQ354" s="14">
        <f>ROUND(IF(BV354=0,0,HLOOKUP(BV$14,Villagers!$B$1:$V$33,BV354+3,FALSE)),)</f>
        <v>0</v>
      </c>
      <c r="CR354" s="14">
        <f>ROUND(IF(BW354=0,0,HLOOKUP(BW$14,Villagers!$B$1:$V$33,BW354+3,FALSE)),)</f>
        <v>0</v>
      </c>
      <c r="CS354" s="14">
        <f>ROUND(IF(BX354=0,0,HLOOKUP(BX$14,Villagers!$B$1:$V$33,BX354+3,FALSE)),)</f>
        <v>0</v>
      </c>
      <c r="CT354" s="14">
        <f>ROUND(IF(BY354=0,0,HLOOKUP(BY$14,Villagers!$B$1:$V$33,BY354+3,FALSE)),)</f>
        <v>0</v>
      </c>
      <c r="CU354" s="14">
        <f>ROUND(IF(BZ354=0,0,HLOOKUP(BZ$14,Villagers!$B$1:$V$33,BZ354+3,FALSE)),)</f>
        <v>0</v>
      </c>
      <c r="CV354" s="14">
        <f>ROUND(IF(CA354=0,0,HLOOKUP(CA$14,Villagers!$B$1:$V$33,CA354+3,FALSE)),)</f>
        <v>0</v>
      </c>
      <c r="CW354" s="14">
        <f>ROUND(IF(CB354=0,0,HLOOKUP(CB$14,Villagers!$B$1:$V$33,CB354+3,FALSE)),)</f>
        <v>0</v>
      </c>
      <c r="CX354" s="14">
        <f>ROUND(IF(CC354=0,0,HLOOKUP(CC$14,Villagers!$B$1:$V$33,CC354+3,FALSE)),)</f>
        <v>0</v>
      </c>
      <c r="CY354" s="14">
        <f>ROUND(IF(CD354=0,0,HLOOKUP(CD$14,Villagers!$B$1:$V$33,CD354+3,FALSE)),)</f>
        <v>0</v>
      </c>
      <c r="CZ354" s="14">
        <f>ROUND(IF(CE354=0,0,HLOOKUP(CE$14,Villagers!$B$1:$V$33,CE354+3,FALSE)),)</f>
        <v>5</v>
      </c>
      <c r="DA354" s="14">
        <f>ROUND(IF(CF354=0,0,HLOOKUP(CF$14,Villagers!$B$1:$V$33,CF354+3,FALSE)),)</f>
        <v>10</v>
      </c>
      <c r="DB354" s="14">
        <f>ROUND(IF(CG354=0,0,HLOOKUP(CG$14,Villagers!$B$1:$V$33,CG354+3,FALSE)),)</f>
        <v>10</v>
      </c>
      <c r="DC354" s="14">
        <f>ROUND(IF(CH354=0,0,HLOOKUP(CH$14,Villagers!$B$1:$V$33,CH354+3,FALSE)),)</f>
        <v>0</v>
      </c>
      <c r="DD354" s="14">
        <f>ROUND(IF(CI354=0,0,HLOOKUP(CI$14,Villagers!$B$1:$V$33,CI354+3,FALSE)),)</f>
        <v>0</v>
      </c>
      <c r="DE354" s="14">
        <f>ROUND(IF(CJ354=0,0,HLOOKUP(CJ$14,Villagers!$B$1:$V$33,CJ354+3,FALSE)),)</f>
        <v>2</v>
      </c>
      <c r="DF354" s="370">
        <f>ROUND(IF(CK354=0,0,HLOOKUP(CK$14,Villagers!$B$1:$V$33,CK354+3,FALSE)),)</f>
        <v>0</v>
      </c>
      <c r="DG354" s="370">
        <f>ROUND(IF(CL354=0,0,HLOOKUP(CL$14,Villagers!$B$1:$V$33,CL354+3,FALSE)),)</f>
        <v>0</v>
      </c>
      <c r="DH354" s="34">
        <f>ROUND(IF(CM354=0,0,HLOOKUP(CM$14,Villagers!$B$1:$V$33,CM354+3,FALSE)),)</f>
        <v>0</v>
      </c>
      <c r="DI354" s="109">
        <f t="shared" si="516"/>
        <v>0</v>
      </c>
      <c r="DJ354" s="50">
        <f t="shared" si="517"/>
        <v>0</v>
      </c>
      <c r="DK354" s="50">
        <f t="shared" si="518"/>
        <v>0</v>
      </c>
      <c r="DL354" s="50">
        <f t="shared" si="519"/>
        <v>0</v>
      </c>
      <c r="DM354" s="50">
        <f t="shared" si="520"/>
        <v>0</v>
      </c>
      <c r="DN354" s="50">
        <f t="shared" si="521"/>
        <v>0</v>
      </c>
      <c r="DO354" s="50">
        <f t="shared" si="522"/>
        <v>0</v>
      </c>
      <c r="DP354" s="50">
        <f t="shared" si="523"/>
        <v>0</v>
      </c>
      <c r="DQ354" s="50">
        <f t="shared" si="501"/>
        <v>0</v>
      </c>
      <c r="DR354" s="50">
        <f t="shared" si="502"/>
        <v>0</v>
      </c>
      <c r="DS354" s="96">
        <f>Miscelaneous!$D$4*Miscelaneous!$D$2^($CI354-1)</f>
        <v>1000</v>
      </c>
      <c r="DT354" s="333">
        <f t="shared" si="483"/>
        <v>1</v>
      </c>
      <c r="DU354" s="81">
        <v>1</v>
      </c>
      <c r="DV354" s="79">
        <f t="shared" si="503"/>
        <v>0</v>
      </c>
      <c r="DW354" s="79">
        <f t="shared" si="504"/>
        <v>0</v>
      </c>
      <c r="DX354" s="79">
        <f t="shared" si="505"/>
        <v>0</v>
      </c>
      <c r="DY354" s="79">
        <v>1</v>
      </c>
      <c r="DZ354" s="79">
        <f t="shared" si="506"/>
        <v>0</v>
      </c>
      <c r="EA354" s="79">
        <f t="shared" si="507"/>
        <v>0</v>
      </c>
      <c r="EB354" s="79">
        <f t="shared" si="508"/>
        <v>0</v>
      </c>
      <c r="EC354" s="79">
        <f t="shared" si="509"/>
        <v>0</v>
      </c>
      <c r="ED354" s="79">
        <v>1</v>
      </c>
      <c r="EE354" s="79">
        <v>1</v>
      </c>
      <c r="EF354" s="79">
        <f t="shared" si="510"/>
        <v>0</v>
      </c>
      <c r="EG354" s="79">
        <v>1</v>
      </c>
      <c r="EH354" s="79">
        <v>1</v>
      </c>
      <c r="EI354" s="79">
        <v>1</v>
      </c>
      <c r="EJ354" s="79">
        <v>1</v>
      </c>
      <c r="EK354" s="79">
        <v>1</v>
      </c>
      <c r="EL354" s="79">
        <v>1</v>
      </c>
      <c r="EM354" s="143">
        <f t="shared" si="511"/>
        <v>0</v>
      </c>
      <c r="EN354" s="143">
        <f t="shared" si="512"/>
        <v>0</v>
      </c>
      <c r="EO354" s="82">
        <f t="shared" si="513"/>
        <v>0</v>
      </c>
    </row>
    <row r="355" spans="1:145" x14ac:dyDescent="0.25">
      <c r="A355">
        <v>341</v>
      </c>
      <c r="B355" s="172" t="e">
        <f t="shared" si="484"/>
        <v>#N/A</v>
      </c>
      <c r="C355" s="121" t="e">
        <f t="shared" si="462"/>
        <v>#N/A</v>
      </c>
      <c r="D355" s="122" t="e">
        <f t="shared" si="463"/>
        <v>#N/A</v>
      </c>
      <c r="E355" s="122" t="e">
        <f t="shared" si="464"/>
        <v>#N/A</v>
      </c>
      <c r="F355" s="176" t="e">
        <f t="shared" si="465"/>
        <v>#N/A</v>
      </c>
      <c r="G355" s="121">
        <f t="shared" si="485"/>
        <v>208</v>
      </c>
      <c r="H355" s="176" t="e">
        <f t="shared" si="486"/>
        <v>#N/A</v>
      </c>
      <c r="I355" s="48">
        <v>1</v>
      </c>
      <c r="J355" s="39"/>
      <c r="K355" s="350">
        <v>1</v>
      </c>
      <c r="L355" s="34" t="e">
        <f t="shared" si="466"/>
        <v>#N/A</v>
      </c>
      <c r="M355" s="38" t="e">
        <f>(HLOOKUP(J355,'Construction Times'!$B$3:$W$34,L355+2,FALSE)*HLOOKUP("hq modifier",'Construction Times'!$W$3:$W$34,BS355+2,FALSE))*(1-$H$9)</f>
        <v>#N/A</v>
      </c>
      <c r="N355" s="443" t="e">
        <f t="shared" si="487"/>
        <v>#N/A</v>
      </c>
      <c r="O355" s="444"/>
      <c r="P355" s="447" t="e">
        <f t="shared" si="488"/>
        <v>#N/A</v>
      </c>
      <c r="Q355" s="448"/>
      <c r="R355" s="103">
        <f t="shared" si="514"/>
        <v>0</v>
      </c>
      <c r="S355" s="104">
        <f t="shared" si="514"/>
        <v>0</v>
      </c>
      <c r="T355" s="104">
        <f t="shared" si="515"/>
        <v>0</v>
      </c>
      <c r="U355" s="104">
        <f t="shared" si="515"/>
        <v>0</v>
      </c>
      <c r="V355" s="104">
        <f t="shared" si="515"/>
        <v>9.9999999999999995E-8</v>
      </c>
      <c r="W355" s="104">
        <f t="shared" si="515"/>
        <v>0</v>
      </c>
      <c r="X355" s="104">
        <f t="shared" si="455"/>
        <v>0</v>
      </c>
      <c r="Y355" s="104">
        <f t="shared" si="455"/>
        <v>9.9999999999999995E-8</v>
      </c>
      <c r="Z355" s="104">
        <f t="shared" si="455"/>
        <v>9.9999999999999995E-8</v>
      </c>
      <c r="AA355" s="105">
        <f t="shared" si="455"/>
        <v>9.9999999999999995E-8</v>
      </c>
      <c r="AB355" s="101" t="e">
        <f>$DT355*HLOOKUP($J355,'Construction Costs (timber)'!$B$1:$V$32,'Construction Planner'!$L355+2,FALSE)</f>
        <v>#N/A</v>
      </c>
      <c r="AC355" s="14" t="e">
        <f>$DT355*HLOOKUP($J355,'Construction Costs (clay)'!$B$1:$V$32,'Construction Planner'!$L355+2,FALSE)</f>
        <v>#N/A</v>
      </c>
      <c r="AD355" s="14" t="e">
        <f>$DT355*HLOOKUP($J355,'Construction Costs (iron)'!$B$1:$V$32,'Construction Planner'!$L355+2,FALSE)</f>
        <v>#N/A</v>
      </c>
      <c r="AE355" s="34" t="e">
        <f t="shared" si="524"/>
        <v>#N/A</v>
      </c>
      <c r="AF355" s="33" t="e">
        <f t="shared" si="467"/>
        <v>#N/A</v>
      </c>
      <c r="AG355" s="14" t="e">
        <f t="shared" si="468"/>
        <v>#N/A</v>
      </c>
      <c r="AH355" s="14" t="e">
        <f t="shared" si="469"/>
        <v>#N/A</v>
      </c>
      <c r="AI355" s="34" t="e">
        <f t="shared" si="525"/>
        <v>#N/A</v>
      </c>
      <c r="AJ355" s="49" t="e">
        <f t="shared" si="489"/>
        <v>#N/A</v>
      </c>
      <c r="AK355" s="49" t="e">
        <f t="shared" si="490"/>
        <v>#N/A</v>
      </c>
      <c r="AL355" s="49" t="e">
        <f t="shared" si="491"/>
        <v>#N/A</v>
      </c>
      <c r="AM355" s="25">
        <f t="shared" si="470"/>
        <v>30</v>
      </c>
      <c r="AN355" s="25">
        <f t="shared" si="471"/>
        <v>30</v>
      </c>
      <c r="AO355" s="25">
        <f t="shared" si="472"/>
        <v>30</v>
      </c>
      <c r="AP355" s="52" t="e">
        <f t="shared" si="492"/>
        <v>#N/A</v>
      </c>
      <c r="AQ355" s="53" t="e">
        <f t="shared" si="492"/>
        <v>#N/A</v>
      </c>
      <c r="AR355" s="54" t="e">
        <f t="shared" si="492"/>
        <v>#N/A</v>
      </c>
      <c r="AS355" s="316">
        <f t="shared" si="526"/>
        <v>0</v>
      </c>
      <c r="AT355" s="106">
        <f>_xlfn.IFNA($M355/VLOOKUP($BT355,'Unit information'!$A$2:$K$29,2,FALSE)*R355,0)*(1+$E$9)</f>
        <v>0</v>
      </c>
      <c r="AU355" s="107">
        <f>_xlfn.IFNA($M355/VLOOKUP($BT355,'Unit information'!$A$2:$K$29,3,FALSE)*S355,0)*(1+$E$9)</f>
        <v>0</v>
      </c>
      <c r="AV355" s="107">
        <f>_xlfn.IFNA($M355/VLOOKUP($BT355,'Unit information'!$A$2:$K$29,4,FALSE)*T355,0)*(1+$E$9)</f>
        <v>0</v>
      </c>
      <c r="AW355" s="107">
        <f>_xlfn.IFNA($M355/VLOOKUP($BT355,'Unit information'!$A$2:$K$29,5,FALSE)*U355,0)*(1+$E$9)</f>
        <v>0</v>
      </c>
      <c r="AX355" s="107">
        <f>_xlfn.IFNA($M355/VLOOKUP($BU355,'Unit information'!$A$2:$K$29,6,FALSE)*V355,0)*(1+$E$9)</f>
        <v>0</v>
      </c>
      <c r="AY355" s="107">
        <f>_xlfn.IFNA($M355/VLOOKUP($BU355,'Unit information'!$A$2:$K$29,7,FALSE)*W355,0)*(1+$E$9)</f>
        <v>0</v>
      </c>
      <c r="AZ355" s="107">
        <f>_xlfn.IFNA($M355/VLOOKUP($BU355,'Unit information'!$A$2:$K$29,8,FALSE)*X355,0)*(1+$E$9)</f>
        <v>0</v>
      </c>
      <c r="BA355" s="107">
        <f>_xlfn.IFNA($M355/VLOOKUP($BU355,'Unit information'!$A$2:$K$29,9,FALSE)*Y355,0)*(1+$E$9)</f>
        <v>0</v>
      </c>
      <c r="BB355" s="107">
        <f>_xlfn.IFNA($M355/VLOOKUP($BV355,'Unit information'!$A$2:$K$29,10,FALSE)*Z355,0)*(1+$E$9)</f>
        <v>0</v>
      </c>
      <c r="BC355" s="108">
        <f>_xlfn.IFNA($M355/VLOOKUP($BV355,'Unit information'!$A$2:$K$29,11,FALSE)*AA355,0)*(1+$E$9)</f>
        <v>0</v>
      </c>
      <c r="BD355" s="106">
        <f t="shared" si="473"/>
        <v>0</v>
      </c>
      <c r="BE355" s="107">
        <f t="shared" si="474"/>
        <v>0</v>
      </c>
      <c r="BF355" s="108">
        <f t="shared" si="475"/>
        <v>0</v>
      </c>
      <c r="BG355" s="25" t="e">
        <f t="shared" si="476"/>
        <v>#N/A</v>
      </c>
      <c r="BH355" s="25" t="e">
        <f t="shared" si="477"/>
        <v>#N/A</v>
      </c>
      <c r="BI355" s="25" t="e">
        <f t="shared" si="478"/>
        <v>#N/A</v>
      </c>
      <c r="BJ355" s="27" t="e">
        <f t="shared" si="479"/>
        <v>#N/A</v>
      </c>
      <c r="BK355" s="18" t="e">
        <f t="shared" si="480"/>
        <v>#N/A</v>
      </c>
      <c r="BL355" s="18" t="e">
        <f t="shared" si="481"/>
        <v>#N/A</v>
      </c>
      <c r="BM355" s="28" t="e">
        <f t="shared" si="527"/>
        <v>#N/A</v>
      </c>
      <c r="BN355" s="33">
        <f>HLOOKUP("maximum population",Miscelaneous!$C$1:$C$33,CH355+3,FALSE)</f>
        <v>240</v>
      </c>
      <c r="BO355" s="14">
        <f t="shared" si="493"/>
        <v>32</v>
      </c>
      <c r="BP355" s="14">
        <f t="shared" si="494"/>
        <v>0</v>
      </c>
      <c r="BQ355" s="14">
        <f t="shared" si="495"/>
        <v>208</v>
      </c>
      <c r="BR355" s="34" t="e">
        <f>HLOOKUP(J355,Villagers!$B$1:$V$33,L355+3,FALSE)-HLOOKUP(J355,Villagers!$B$1:$V$33,L355+2,FALSE)</f>
        <v>#N/A</v>
      </c>
      <c r="BS355" s="49">
        <f t="shared" si="496"/>
        <v>1</v>
      </c>
      <c r="BT355" s="50">
        <f t="shared" si="497"/>
        <v>0</v>
      </c>
      <c r="BU355" s="50">
        <f t="shared" si="498"/>
        <v>0</v>
      </c>
      <c r="BV355" s="50">
        <f t="shared" si="499"/>
        <v>0</v>
      </c>
      <c r="BW355" s="50">
        <f t="shared" si="541"/>
        <v>0</v>
      </c>
      <c r="BX355" s="50">
        <f t="shared" si="541"/>
        <v>0</v>
      </c>
      <c r="BY355" s="50">
        <f t="shared" si="541"/>
        <v>0</v>
      </c>
      <c r="BZ355" s="50">
        <f t="shared" si="530"/>
        <v>0</v>
      </c>
      <c r="CA355" s="50">
        <f t="shared" si="531"/>
        <v>0</v>
      </c>
      <c r="CB355" s="50">
        <f t="shared" si="532"/>
        <v>1</v>
      </c>
      <c r="CC355" s="50">
        <f t="shared" si="533"/>
        <v>0</v>
      </c>
      <c r="CD355" s="50">
        <f t="shared" si="534"/>
        <v>0</v>
      </c>
      <c r="CE355" s="50">
        <f t="shared" si="535"/>
        <v>1</v>
      </c>
      <c r="CF355" s="50">
        <f t="shared" si="536"/>
        <v>1</v>
      </c>
      <c r="CG355" s="50">
        <f t="shared" si="537"/>
        <v>1</v>
      </c>
      <c r="CH355" s="50">
        <f t="shared" si="538"/>
        <v>1</v>
      </c>
      <c r="CI355" s="50">
        <f t="shared" si="539"/>
        <v>1</v>
      </c>
      <c r="CJ355" s="50">
        <f t="shared" si="540"/>
        <v>1</v>
      </c>
      <c r="CK355" s="50">
        <f t="shared" si="540"/>
        <v>0</v>
      </c>
      <c r="CL355" s="50">
        <f t="shared" si="540"/>
        <v>0</v>
      </c>
      <c r="CM355" s="51">
        <f t="shared" si="482"/>
        <v>0</v>
      </c>
      <c r="CN355" s="33">
        <f>ROUND(IF(BS355=0,0,HLOOKUP(BS$14,Villagers!$B$1:$V$33,BS355+3,FALSE)),)</f>
        <v>5</v>
      </c>
      <c r="CO355" s="14">
        <f>ROUND(IF(BT355=0,0,HLOOKUP(BT$14,Villagers!$B$1:$V$33,BT355+3,FALSE)),)</f>
        <v>0</v>
      </c>
      <c r="CP355" s="14">
        <f>ROUND(IF(BU355=0,0,HLOOKUP(BU$14,Villagers!$B$1:$V$33,BU355+3,FALSE)),)</f>
        <v>0</v>
      </c>
      <c r="CQ355" s="14">
        <f>ROUND(IF(BV355=0,0,HLOOKUP(BV$14,Villagers!$B$1:$V$33,BV355+3,FALSE)),)</f>
        <v>0</v>
      </c>
      <c r="CR355" s="14">
        <f>ROUND(IF(BW355=0,0,HLOOKUP(BW$14,Villagers!$B$1:$V$33,BW355+3,FALSE)),)</f>
        <v>0</v>
      </c>
      <c r="CS355" s="14">
        <f>ROUND(IF(BX355=0,0,HLOOKUP(BX$14,Villagers!$B$1:$V$33,BX355+3,FALSE)),)</f>
        <v>0</v>
      </c>
      <c r="CT355" s="14">
        <f>ROUND(IF(BY355=0,0,HLOOKUP(BY$14,Villagers!$B$1:$V$33,BY355+3,FALSE)),)</f>
        <v>0</v>
      </c>
      <c r="CU355" s="14">
        <f>ROUND(IF(BZ355=0,0,HLOOKUP(BZ$14,Villagers!$B$1:$V$33,BZ355+3,FALSE)),)</f>
        <v>0</v>
      </c>
      <c r="CV355" s="14">
        <f>ROUND(IF(CA355=0,0,HLOOKUP(CA$14,Villagers!$B$1:$V$33,CA355+3,FALSE)),)</f>
        <v>0</v>
      </c>
      <c r="CW355" s="14">
        <f>ROUND(IF(CB355=0,0,HLOOKUP(CB$14,Villagers!$B$1:$V$33,CB355+3,FALSE)),)</f>
        <v>0</v>
      </c>
      <c r="CX355" s="14">
        <f>ROUND(IF(CC355=0,0,HLOOKUP(CC$14,Villagers!$B$1:$V$33,CC355+3,FALSE)),)</f>
        <v>0</v>
      </c>
      <c r="CY355" s="14">
        <f>ROUND(IF(CD355=0,0,HLOOKUP(CD$14,Villagers!$B$1:$V$33,CD355+3,FALSE)),)</f>
        <v>0</v>
      </c>
      <c r="CZ355" s="14">
        <f>ROUND(IF(CE355=0,0,HLOOKUP(CE$14,Villagers!$B$1:$V$33,CE355+3,FALSE)),)</f>
        <v>5</v>
      </c>
      <c r="DA355" s="14">
        <f>ROUND(IF(CF355=0,0,HLOOKUP(CF$14,Villagers!$B$1:$V$33,CF355+3,FALSE)),)</f>
        <v>10</v>
      </c>
      <c r="DB355" s="14">
        <f>ROUND(IF(CG355=0,0,HLOOKUP(CG$14,Villagers!$B$1:$V$33,CG355+3,FALSE)),)</f>
        <v>10</v>
      </c>
      <c r="DC355" s="14">
        <f>ROUND(IF(CH355=0,0,HLOOKUP(CH$14,Villagers!$B$1:$V$33,CH355+3,FALSE)),)</f>
        <v>0</v>
      </c>
      <c r="DD355" s="14">
        <f>ROUND(IF(CI355=0,0,HLOOKUP(CI$14,Villagers!$B$1:$V$33,CI355+3,FALSE)),)</f>
        <v>0</v>
      </c>
      <c r="DE355" s="14">
        <f>ROUND(IF(CJ355=0,0,HLOOKUP(CJ$14,Villagers!$B$1:$V$33,CJ355+3,FALSE)),)</f>
        <v>2</v>
      </c>
      <c r="DF355" s="370">
        <f>ROUND(IF(CK355=0,0,HLOOKUP(CK$14,Villagers!$B$1:$V$33,CK355+3,FALSE)),)</f>
        <v>0</v>
      </c>
      <c r="DG355" s="370">
        <f>ROUND(IF(CL355=0,0,HLOOKUP(CL$14,Villagers!$B$1:$V$33,CL355+3,FALSE)),)</f>
        <v>0</v>
      </c>
      <c r="DH355" s="34">
        <f>ROUND(IF(CM355=0,0,HLOOKUP(CM$14,Villagers!$B$1:$V$33,CM355+3,FALSE)),)</f>
        <v>0</v>
      </c>
      <c r="DI355" s="109">
        <f t="shared" si="516"/>
        <v>0</v>
      </c>
      <c r="DJ355" s="50">
        <f t="shared" si="517"/>
        <v>0</v>
      </c>
      <c r="DK355" s="50">
        <f t="shared" si="518"/>
        <v>0</v>
      </c>
      <c r="DL355" s="50">
        <f t="shared" si="519"/>
        <v>0</v>
      </c>
      <c r="DM355" s="50">
        <f t="shared" si="520"/>
        <v>0</v>
      </c>
      <c r="DN355" s="50">
        <f t="shared" si="521"/>
        <v>0</v>
      </c>
      <c r="DO355" s="50">
        <f t="shared" si="522"/>
        <v>0</v>
      </c>
      <c r="DP355" s="50">
        <f t="shared" si="523"/>
        <v>0</v>
      </c>
      <c r="DQ355" s="50">
        <f t="shared" si="501"/>
        <v>0</v>
      </c>
      <c r="DR355" s="50">
        <f t="shared" si="502"/>
        <v>0</v>
      </c>
      <c r="DS355" s="96">
        <f>Miscelaneous!$D$4*Miscelaneous!$D$2^($CI355-1)</f>
        <v>1000</v>
      </c>
      <c r="DT355" s="333">
        <f t="shared" si="483"/>
        <v>1</v>
      </c>
      <c r="DU355" s="81">
        <v>1</v>
      </c>
      <c r="DV355" s="79">
        <f t="shared" si="503"/>
        <v>0</v>
      </c>
      <c r="DW355" s="79">
        <f t="shared" si="504"/>
        <v>0</v>
      </c>
      <c r="DX355" s="79">
        <f t="shared" si="505"/>
        <v>0</v>
      </c>
      <c r="DY355" s="79">
        <v>1</v>
      </c>
      <c r="DZ355" s="79">
        <f t="shared" si="506"/>
        <v>0</v>
      </c>
      <c r="EA355" s="79">
        <f t="shared" si="507"/>
        <v>0</v>
      </c>
      <c r="EB355" s="79">
        <f t="shared" si="508"/>
        <v>0</v>
      </c>
      <c r="EC355" s="79">
        <f t="shared" si="509"/>
        <v>0</v>
      </c>
      <c r="ED355" s="79">
        <v>1</v>
      </c>
      <c r="EE355" s="79">
        <v>1</v>
      </c>
      <c r="EF355" s="79">
        <f t="shared" si="510"/>
        <v>0</v>
      </c>
      <c r="EG355" s="79">
        <v>1</v>
      </c>
      <c r="EH355" s="79">
        <v>1</v>
      </c>
      <c r="EI355" s="79">
        <v>1</v>
      </c>
      <c r="EJ355" s="79">
        <v>1</v>
      </c>
      <c r="EK355" s="79">
        <v>1</v>
      </c>
      <c r="EL355" s="79">
        <v>1</v>
      </c>
      <c r="EM355" s="143">
        <f t="shared" si="511"/>
        <v>0</v>
      </c>
      <c r="EN355" s="143">
        <f t="shared" si="512"/>
        <v>0</v>
      </c>
      <c r="EO355" s="82">
        <f t="shared" si="513"/>
        <v>0</v>
      </c>
    </row>
    <row r="356" spans="1:145" x14ac:dyDescent="0.25">
      <c r="A356">
        <v>342</v>
      </c>
      <c r="B356" s="172" t="e">
        <f t="shared" si="484"/>
        <v>#N/A</v>
      </c>
      <c r="C356" s="121" t="e">
        <f t="shared" si="462"/>
        <v>#N/A</v>
      </c>
      <c r="D356" s="122" t="e">
        <f t="shared" si="463"/>
        <v>#N/A</v>
      </c>
      <c r="E356" s="122" t="e">
        <f t="shared" si="464"/>
        <v>#N/A</v>
      </c>
      <c r="F356" s="176" t="e">
        <f t="shared" si="465"/>
        <v>#N/A</v>
      </c>
      <c r="G356" s="121">
        <f t="shared" si="485"/>
        <v>208</v>
      </c>
      <c r="H356" s="176" t="e">
        <f t="shared" si="486"/>
        <v>#N/A</v>
      </c>
      <c r="I356" s="48">
        <v>1</v>
      </c>
      <c r="J356" s="39"/>
      <c r="K356" s="350">
        <v>1</v>
      </c>
      <c r="L356" s="34" t="e">
        <f t="shared" si="466"/>
        <v>#N/A</v>
      </c>
      <c r="M356" s="38" t="e">
        <f>(HLOOKUP(J356,'Construction Times'!$B$3:$W$34,L356+2,FALSE)*HLOOKUP("hq modifier",'Construction Times'!$W$3:$W$34,BS356+2,FALSE))*(1-$H$9)</f>
        <v>#N/A</v>
      </c>
      <c r="N356" s="443" t="e">
        <f t="shared" si="487"/>
        <v>#N/A</v>
      </c>
      <c r="O356" s="444"/>
      <c r="P356" s="447" t="e">
        <f t="shared" si="488"/>
        <v>#N/A</v>
      </c>
      <c r="Q356" s="448"/>
      <c r="R356" s="103">
        <f t="shared" si="514"/>
        <v>0</v>
      </c>
      <c r="S356" s="104">
        <f t="shared" si="514"/>
        <v>0</v>
      </c>
      <c r="T356" s="104">
        <f t="shared" si="515"/>
        <v>0</v>
      </c>
      <c r="U356" s="104">
        <f t="shared" si="515"/>
        <v>0</v>
      </c>
      <c r="V356" s="104">
        <f t="shared" si="515"/>
        <v>9.9999999999999995E-8</v>
      </c>
      <c r="W356" s="104">
        <f t="shared" si="515"/>
        <v>0</v>
      </c>
      <c r="X356" s="104">
        <f t="shared" si="455"/>
        <v>0</v>
      </c>
      <c r="Y356" s="104">
        <f t="shared" si="455"/>
        <v>9.9999999999999995E-8</v>
      </c>
      <c r="Z356" s="104">
        <f t="shared" si="455"/>
        <v>9.9999999999999995E-8</v>
      </c>
      <c r="AA356" s="105">
        <f t="shared" si="455"/>
        <v>9.9999999999999995E-8</v>
      </c>
      <c r="AB356" s="101" t="e">
        <f>$DT356*HLOOKUP($J356,'Construction Costs (timber)'!$B$1:$V$32,'Construction Planner'!$L356+2,FALSE)</f>
        <v>#N/A</v>
      </c>
      <c r="AC356" s="14" t="e">
        <f>$DT356*HLOOKUP($J356,'Construction Costs (clay)'!$B$1:$V$32,'Construction Planner'!$L356+2,FALSE)</f>
        <v>#N/A</v>
      </c>
      <c r="AD356" s="14" t="e">
        <f>$DT356*HLOOKUP($J356,'Construction Costs (iron)'!$B$1:$V$32,'Construction Planner'!$L356+2,FALSE)</f>
        <v>#N/A</v>
      </c>
      <c r="AE356" s="34" t="e">
        <f t="shared" si="524"/>
        <v>#N/A</v>
      </c>
      <c r="AF356" s="33" t="e">
        <f t="shared" si="467"/>
        <v>#N/A</v>
      </c>
      <c r="AG356" s="14" t="e">
        <f t="shared" si="468"/>
        <v>#N/A</v>
      </c>
      <c r="AH356" s="14" t="e">
        <f t="shared" si="469"/>
        <v>#N/A</v>
      </c>
      <c r="AI356" s="34" t="e">
        <f t="shared" si="525"/>
        <v>#N/A</v>
      </c>
      <c r="AJ356" s="49" t="e">
        <f t="shared" si="489"/>
        <v>#N/A</v>
      </c>
      <c r="AK356" s="49" t="e">
        <f t="shared" si="490"/>
        <v>#N/A</v>
      </c>
      <c r="AL356" s="49" t="e">
        <f t="shared" si="491"/>
        <v>#N/A</v>
      </c>
      <c r="AM356" s="25">
        <f t="shared" si="470"/>
        <v>30</v>
      </c>
      <c r="AN356" s="25">
        <f t="shared" si="471"/>
        <v>30</v>
      </c>
      <c r="AO356" s="25">
        <f t="shared" si="472"/>
        <v>30</v>
      </c>
      <c r="AP356" s="52" t="e">
        <f t="shared" si="492"/>
        <v>#N/A</v>
      </c>
      <c r="AQ356" s="53" t="e">
        <f t="shared" si="492"/>
        <v>#N/A</v>
      </c>
      <c r="AR356" s="54" t="e">
        <f t="shared" si="492"/>
        <v>#N/A</v>
      </c>
      <c r="AS356" s="316">
        <f t="shared" ref="AS356:AS371" si="542">AS355</f>
        <v>0</v>
      </c>
      <c r="AT356" s="106">
        <f>_xlfn.IFNA($M356/VLOOKUP($BT356,'Unit information'!$A$2:$K$29,2,FALSE)*R356,0)*(1+$E$9)</f>
        <v>0</v>
      </c>
      <c r="AU356" s="107">
        <f>_xlfn.IFNA($M356/VLOOKUP($BT356,'Unit information'!$A$2:$K$29,3,FALSE)*S356,0)*(1+$E$9)</f>
        <v>0</v>
      </c>
      <c r="AV356" s="107">
        <f>_xlfn.IFNA($M356/VLOOKUP($BT356,'Unit information'!$A$2:$K$29,4,FALSE)*T356,0)*(1+$E$9)</f>
        <v>0</v>
      </c>
      <c r="AW356" s="107">
        <f>_xlfn.IFNA($M356/VLOOKUP($BT356,'Unit information'!$A$2:$K$29,5,FALSE)*U356,0)*(1+$E$9)</f>
        <v>0</v>
      </c>
      <c r="AX356" s="107">
        <f>_xlfn.IFNA($M356/VLOOKUP($BU356,'Unit information'!$A$2:$K$29,6,FALSE)*V356,0)*(1+$E$9)</f>
        <v>0</v>
      </c>
      <c r="AY356" s="107">
        <f>_xlfn.IFNA($M356/VLOOKUP($BU356,'Unit information'!$A$2:$K$29,7,FALSE)*W356,0)*(1+$E$9)</f>
        <v>0</v>
      </c>
      <c r="AZ356" s="107">
        <f>_xlfn.IFNA($M356/VLOOKUP($BU356,'Unit information'!$A$2:$K$29,8,FALSE)*X356,0)*(1+$E$9)</f>
        <v>0</v>
      </c>
      <c r="BA356" s="107">
        <f>_xlfn.IFNA($M356/VLOOKUP($BU356,'Unit information'!$A$2:$K$29,9,FALSE)*Y356,0)*(1+$E$9)</f>
        <v>0</v>
      </c>
      <c r="BB356" s="107">
        <f>_xlfn.IFNA($M356/VLOOKUP($BV356,'Unit information'!$A$2:$K$29,10,FALSE)*Z356,0)*(1+$E$9)</f>
        <v>0</v>
      </c>
      <c r="BC356" s="108">
        <f>_xlfn.IFNA($M356/VLOOKUP($BV356,'Unit information'!$A$2:$K$29,11,FALSE)*AA356,0)*(1+$E$9)</f>
        <v>0</v>
      </c>
      <c r="BD356" s="106">
        <f t="shared" si="473"/>
        <v>0</v>
      </c>
      <c r="BE356" s="107">
        <f t="shared" si="474"/>
        <v>0</v>
      </c>
      <c r="BF356" s="108">
        <f t="shared" si="475"/>
        <v>0</v>
      </c>
      <c r="BG356" s="25" t="e">
        <f t="shared" si="476"/>
        <v>#N/A</v>
      </c>
      <c r="BH356" s="25" t="e">
        <f t="shared" si="477"/>
        <v>#N/A</v>
      </c>
      <c r="BI356" s="25" t="e">
        <f t="shared" si="478"/>
        <v>#N/A</v>
      </c>
      <c r="BJ356" s="27" t="e">
        <f t="shared" si="479"/>
        <v>#N/A</v>
      </c>
      <c r="BK356" s="18" t="e">
        <f t="shared" si="480"/>
        <v>#N/A</v>
      </c>
      <c r="BL356" s="18" t="e">
        <f t="shared" si="481"/>
        <v>#N/A</v>
      </c>
      <c r="BM356" s="28" t="e">
        <f t="shared" si="527"/>
        <v>#N/A</v>
      </c>
      <c r="BN356" s="33">
        <f>HLOOKUP("maximum population",Miscelaneous!$C$1:$C$33,CH356+3,FALSE)</f>
        <v>240</v>
      </c>
      <c r="BO356" s="14">
        <f t="shared" si="493"/>
        <v>32</v>
      </c>
      <c r="BP356" s="14">
        <f t="shared" si="494"/>
        <v>0</v>
      </c>
      <c r="BQ356" s="14">
        <f t="shared" si="495"/>
        <v>208</v>
      </c>
      <c r="BR356" s="34" t="e">
        <f>HLOOKUP(J356,Villagers!$B$1:$V$33,L356+3,FALSE)-HLOOKUP(J356,Villagers!$B$1:$V$33,L356+2,FALSE)</f>
        <v>#N/A</v>
      </c>
      <c r="BS356" s="49">
        <f t="shared" si="496"/>
        <v>1</v>
      </c>
      <c r="BT356" s="50">
        <f t="shared" si="497"/>
        <v>0</v>
      </c>
      <c r="BU356" s="50">
        <f t="shared" si="498"/>
        <v>0</v>
      </c>
      <c r="BV356" s="50">
        <f t="shared" si="499"/>
        <v>0</v>
      </c>
      <c r="BW356" s="50">
        <f t="shared" si="541"/>
        <v>0</v>
      </c>
      <c r="BX356" s="50">
        <f t="shared" si="541"/>
        <v>0</v>
      </c>
      <c r="BY356" s="50">
        <f t="shared" si="541"/>
        <v>0</v>
      </c>
      <c r="BZ356" s="50">
        <f t="shared" si="530"/>
        <v>0</v>
      </c>
      <c r="CA356" s="50">
        <f t="shared" si="531"/>
        <v>0</v>
      </c>
      <c r="CB356" s="50">
        <f t="shared" si="532"/>
        <v>1</v>
      </c>
      <c r="CC356" s="50">
        <f t="shared" si="533"/>
        <v>0</v>
      </c>
      <c r="CD356" s="50">
        <f t="shared" si="534"/>
        <v>0</v>
      </c>
      <c r="CE356" s="50">
        <f t="shared" si="535"/>
        <v>1</v>
      </c>
      <c r="CF356" s="50">
        <f t="shared" si="536"/>
        <v>1</v>
      </c>
      <c r="CG356" s="50">
        <f t="shared" si="537"/>
        <v>1</v>
      </c>
      <c r="CH356" s="50">
        <f t="shared" si="538"/>
        <v>1</v>
      </c>
      <c r="CI356" s="50">
        <f t="shared" si="539"/>
        <v>1</v>
      </c>
      <c r="CJ356" s="50">
        <f t="shared" si="540"/>
        <v>1</v>
      </c>
      <c r="CK356" s="50">
        <f t="shared" si="540"/>
        <v>0</v>
      </c>
      <c r="CL356" s="50">
        <f t="shared" si="540"/>
        <v>0</v>
      </c>
      <c r="CM356" s="51">
        <f t="shared" si="482"/>
        <v>0</v>
      </c>
      <c r="CN356" s="33">
        <f>ROUND(IF(BS356=0,0,HLOOKUP(BS$14,Villagers!$B$1:$V$33,BS356+3,FALSE)),)</f>
        <v>5</v>
      </c>
      <c r="CO356" s="14">
        <f>ROUND(IF(BT356=0,0,HLOOKUP(BT$14,Villagers!$B$1:$V$33,BT356+3,FALSE)),)</f>
        <v>0</v>
      </c>
      <c r="CP356" s="14">
        <f>ROUND(IF(BU356=0,0,HLOOKUP(BU$14,Villagers!$B$1:$V$33,BU356+3,FALSE)),)</f>
        <v>0</v>
      </c>
      <c r="CQ356" s="14">
        <f>ROUND(IF(BV356=0,0,HLOOKUP(BV$14,Villagers!$B$1:$V$33,BV356+3,FALSE)),)</f>
        <v>0</v>
      </c>
      <c r="CR356" s="14">
        <f>ROUND(IF(BW356=0,0,HLOOKUP(BW$14,Villagers!$B$1:$V$33,BW356+3,FALSE)),)</f>
        <v>0</v>
      </c>
      <c r="CS356" s="14">
        <f>ROUND(IF(BX356=0,0,HLOOKUP(BX$14,Villagers!$B$1:$V$33,BX356+3,FALSE)),)</f>
        <v>0</v>
      </c>
      <c r="CT356" s="14">
        <f>ROUND(IF(BY356=0,0,HLOOKUP(BY$14,Villagers!$B$1:$V$33,BY356+3,FALSE)),)</f>
        <v>0</v>
      </c>
      <c r="CU356" s="14">
        <f>ROUND(IF(BZ356=0,0,HLOOKUP(BZ$14,Villagers!$B$1:$V$33,BZ356+3,FALSE)),)</f>
        <v>0</v>
      </c>
      <c r="CV356" s="14">
        <f>ROUND(IF(CA356=0,0,HLOOKUP(CA$14,Villagers!$B$1:$V$33,CA356+3,FALSE)),)</f>
        <v>0</v>
      </c>
      <c r="CW356" s="14">
        <f>ROUND(IF(CB356=0,0,HLOOKUP(CB$14,Villagers!$B$1:$V$33,CB356+3,FALSE)),)</f>
        <v>0</v>
      </c>
      <c r="CX356" s="14">
        <f>ROUND(IF(CC356=0,0,HLOOKUP(CC$14,Villagers!$B$1:$V$33,CC356+3,FALSE)),)</f>
        <v>0</v>
      </c>
      <c r="CY356" s="14">
        <f>ROUND(IF(CD356=0,0,HLOOKUP(CD$14,Villagers!$B$1:$V$33,CD356+3,FALSE)),)</f>
        <v>0</v>
      </c>
      <c r="CZ356" s="14">
        <f>ROUND(IF(CE356=0,0,HLOOKUP(CE$14,Villagers!$B$1:$V$33,CE356+3,FALSE)),)</f>
        <v>5</v>
      </c>
      <c r="DA356" s="14">
        <f>ROUND(IF(CF356=0,0,HLOOKUP(CF$14,Villagers!$B$1:$V$33,CF356+3,FALSE)),)</f>
        <v>10</v>
      </c>
      <c r="DB356" s="14">
        <f>ROUND(IF(CG356=0,0,HLOOKUP(CG$14,Villagers!$B$1:$V$33,CG356+3,FALSE)),)</f>
        <v>10</v>
      </c>
      <c r="DC356" s="14">
        <f>ROUND(IF(CH356=0,0,HLOOKUP(CH$14,Villagers!$B$1:$V$33,CH356+3,FALSE)),)</f>
        <v>0</v>
      </c>
      <c r="DD356" s="14">
        <f>ROUND(IF(CI356=0,0,HLOOKUP(CI$14,Villagers!$B$1:$V$33,CI356+3,FALSE)),)</f>
        <v>0</v>
      </c>
      <c r="DE356" s="14">
        <f>ROUND(IF(CJ356=0,0,HLOOKUP(CJ$14,Villagers!$B$1:$V$33,CJ356+3,FALSE)),)</f>
        <v>2</v>
      </c>
      <c r="DF356" s="370">
        <f>ROUND(IF(CK356=0,0,HLOOKUP(CK$14,Villagers!$B$1:$V$33,CK356+3,FALSE)),)</f>
        <v>0</v>
      </c>
      <c r="DG356" s="370">
        <f>ROUND(IF(CL356=0,0,HLOOKUP(CL$14,Villagers!$B$1:$V$33,CL356+3,FALSE)),)</f>
        <v>0</v>
      </c>
      <c r="DH356" s="34">
        <f>ROUND(IF(CM356=0,0,HLOOKUP(CM$14,Villagers!$B$1:$V$33,CM356+3,FALSE)),)</f>
        <v>0</v>
      </c>
      <c r="DI356" s="109">
        <f t="shared" si="516"/>
        <v>0</v>
      </c>
      <c r="DJ356" s="50">
        <f t="shared" si="517"/>
        <v>0</v>
      </c>
      <c r="DK356" s="50">
        <f t="shared" si="518"/>
        <v>0</v>
      </c>
      <c r="DL356" s="50">
        <f t="shared" si="519"/>
        <v>0</v>
      </c>
      <c r="DM356" s="50">
        <f t="shared" si="520"/>
        <v>0</v>
      </c>
      <c r="DN356" s="50">
        <f t="shared" si="521"/>
        <v>0</v>
      </c>
      <c r="DO356" s="50">
        <f t="shared" si="522"/>
        <v>0</v>
      </c>
      <c r="DP356" s="50">
        <f t="shared" si="523"/>
        <v>0</v>
      </c>
      <c r="DQ356" s="50">
        <f t="shared" si="501"/>
        <v>0</v>
      </c>
      <c r="DR356" s="50">
        <f t="shared" si="502"/>
        <v>0</v>
      </c>
      <c r="DS356" s="96">
        <f>Miscelaneous!$D$4*Miscelaneous!$D$2^($CI356-1)</f>
        <v>1000</v>
      </c>
      <c r="DT356" s="333">
        <f t="shared" si="483"/>
        <v>1</v>
      </c>
      <c r="DU356" s="81">
        <v>1</v>
      </c>
      <c r="DV356" s="79">
        <f t="shared" si="503"/>
        <v>0</v>
      </c>
      <c r="DW356" s="79">
        <f t="shared" si="504"/>
        <v>0</v>
      </c>
      <c r="DX356" s="79">
        <f t="shared" si="505"/>
        <v>0</v>
      </c>
      <c r="DY356" s="79">
        <v>1</v>
      </c>
      <c r="DZ356" s="79">
        <f t="shared" si="506"/>
        <v>0</v>
      </c>
      <c r="EA356" s="79">
        <f t="shared" si="507"/>
        <v>0</v>
      </c>
      <c r="EB356" s="79">
        <f t="shared" si="508"/>
        <v>0</v>
      </c>
      <c r="EC356" s="79">
        <f t="shared" si="509"/>
        <v>0</v>
      </c>
      <c r="ED356" s="79">
        <v>1</v>
      </c>
      <c r="EE356" s="79">
        <v>1</v>
      </c>
      <c r="EF356" s="79">
        <f t="shared" si="510"/>
        <v>0</v>
      </c>
      <c r="EG356" s="79">
        <v>1</v>
      </c>
      <c r="EH356" s="79">
        <v>1</v>
      </c>
      <c r="EI356" s="79">
        <v>1</v>
      </c>
      <c r="EJ356" s="79">
        <v>1</v>
      </c>
      <c r="EK356" s="79">
        <v>1</v>
      </c>
      <c r="EL356" s="79">
        <v>1</v>
      </c>
      <c r="EM356" s="143">
        <f t="shared" si="511"/>
        <v>0</v>
      </c>
      <c r="EN356" s="143">
        <f t="shared" si="512"/>
        <v>0</v>
      </c>
      <c r="EO356" s="82">
        <f t="shared" si="513"/>
        <v>0</v>
      </c>
    </row>
    <row r="357" spans="1:145" x14ac:dyDescent="0.25">
      <c r="A357">
        <v>343</v>
      </c>
      <c r="B357" s="172" t="e">
        <f t="shared" si="484"/>
        <v>#N/A</v>
      </c>
      <c r="C357" s="121" t="e">
        <f t="shared" si="462"/>
        <v>#N/A</v>
      </c>
      <c r="D357" s="122" t="e">
        <f t="shared" si="463"/>
        <v>#N/A</v>
      </c>
      <c r="E357" s="122" t="e">
        <f t="shared" si="464"/>
        <v>#N/A</v>
      </c>
      <c r="F357" s="176" t="e">
        <f t="shared" si="465"/>
        <v>#N/A</v>
      </c>
      <c r="G357" s="121">
        <f t="shared" si="485"/>
        <v>208</v>
      </c>
      <c r="H357" s="176" t="e">
        <f t="shared" si="486"/>
        <v>#N/A</v>
      </c>
      <c r="I357" s="48">
        <v>1</v>
      </c>
      <c r="J357" s="39"/>
      <c r="K357" s="350">
        <v>1</v>
      </c>
      <c r="L357" s="34" t="e">
        <f t="shared" si="466"/>
        <v>#N/A</v>
      </c>
      <c r="M357" s="38" t="e">
        <f>(HLOOKUP(J357,'Construction Times'!$B$3:$W$34,L357+2,FALSE)*HLOOKUP("hq modifier",'Construction Times'!$W$3:$W$34,BS357+2,FALSE))*(1-$H$9)</f>
        <v>#N/A</v>
      </c>
      <c r="N357" s="443" t="e">
        <f t="shared" si="487"/>
        <v>#N/A</v>
      </c>
      <c r="O357" s="444"/>
      <c r="P357" s="447" t="e">
        <f t="shared" si="488"/>
        <v>#N/A</v>
      </c>
      <c r="Q357" s="448"/>
      <c r="R357" s="103">
        <f t="shared" si="514"/>
        <v>0</v>
      </c>
      <c r="S357" s="104">
        <f t="shared" si="514"/>
        <v>0</v>
      </c>
      <c r="T357" s="104">
        <f t="shared" si="515"/>
        <v>0</v>
      </c>
      <c r="U357" s="104">
        <f t="shared" si="515"/>
        <v>0</v>
      </c>
      <c r="V357" s="104">
        <f t="shared" si="515"/>
        <v>9.9999999999999995E-8</v>
      </c>
      <c r="W357" s="104">
        <f t="shared" si="515"/>
        <v>0</v>
      </c>
      <c r="X357" s="104">
        <f t="shared" si="455"/>
        <v>0</v>
      </c>
      <c r="Y357" s="104">
        <f t="shared" si="455"/>
        <v>9.9999999999999995E-8</v>
      </c>
      <c r="Z357" s="104">
        <f t="shared" si="455"/>
        <v>9.9999999999999995E-8</v>
      </c>
      <c r="AA357" s="105">
        <f t="shared" si="455"/>
        <v>9.9999999999999995E-8</v>
      </c>
      <c r="AB357" s="101" t="e">
        <f>$DT357*HLOOKUP($J357,'Construction Costs (timber)'!$B$1:$V$32,'Construction Planner'!$L357+2,FALSE)</f>
        <v>#N/A</v>
      </c>
      <c r="AC357" s="14" t="e">
        <f>$DT357*HLOOKUP($J357,'Construction Costs (clay)'!$B$1:$V$32,'Construction Planner'!$L357+2,FALSE)</f>
        <v>#N/A</v>
      </c>
      <c r="AD357" s="14" t="e">
        <f>$DT357*HLOOKUP($J357,'Construction Costs (iron)'!$B$1:$V$32,'Construction Planner'!$L357+2,FALSE)</f>
        <v>#N/A</v>
      </c>
      <c r="AE357" s="34" t="e">
        <f t="shared" si="524"/>
        <v>#N/A</v>
      </c>
      <c r="AF357" s="33" t="e">
        <f t="shared" si="467"/>
        <v>#N/A</v>
      </c>
      <c r="AG357" s="14" t="e">
        <f t="shared" si="468"/>
        <v>#N/A</v>
      </c>
      <c r="AH357" s="14" t="e">
        <f t="shared" si="469"/>
        <v>#N/A</v>
      </c>
      <c r="AI357" s="34" t="e">
        <f t="shared" si="525"/>
        <v>#N/A</v>
      </c>
      <c r="AJ357" s="49" t="e">
        <f t="shared" si="489"/>
        <v>#N/A</v>
      </c>
      <c r="AK357" s="49" t="e">
        <f t="shared" si="490"/>
        <v>#N/A</v>
      </c>
      <c r="AL357" s="49" t="e">
        <f t="shared" si="491"/>
        <v>#N/A</v>
      </c>
      <c r="AM357" s="25">
        <f t="shared" si="470"/>
        <v>30</v>
      </c>
      <c r="AN357" s="25">
        <f t="shared" si="471"/>
        <v>30</v>
      </c>
      <c r="AO357" s="25">
        <f t="shared" si="472"/>
        <v>30</v>
      </c>
      <c r="AP357" s="52" t="e">
        <f t="shared" si="492"/>
        <v>#N/A</v>
      </c>
      <c r="AQ357" s="53" t="e">
        <f t="shared" si="492"/>
        <v>#N/A</v>
      </c>
      <c r="AR357" s="54" t="e">
        <f t="shared" si="492"/>
        <v>#N/A</v>
      </c>
      <c r="AS357" s="316">
        <f t="shared" si="542"/>
        <v>0</v>
      </c>
      <c r="AT357" s="106">
        <f>_xlfn.IFNA($M357/VLOOKUP($BT357,'Unit information'!$A$2:$K$29,2,FALSE)*R357,0)*(1+$E$9)</f>
        <v>0</v>
      </c>
      <c r="AU357" s="107">
        <f>_xlfn.IFNA($M357/VLOOKUP($BT357,'Unit information'!$A$2:$K$29,3,FALSE)*S357,0)*(1+$E$9)</f>
        <v>0</v>
      </c>
      <c r="AV357" s="107">
        <f>_xlfn.IFNA($M357/VLOOKUP($BT357,'Unit information'!$A$2:$K$29,4,FALSE)*T357,0)*(1+$E$9)</f>
        <v>0</v>
      </c>
      <c r="AW357" s="107">
        <f>_xlfn.IFNA($M357/VLOOKUP($BT357,'Unit information'!$A$2:$K$29,5,FALSE)*U357,0)*(1+$E$9)</f>
        <v>0</v>
      </c>
      <c r="AX357" s="107">
        <f>_xlfn.IFNA($M357/VLOOKUP($BU357,'Unit information'!$A$2:$K$29,6,FALSE)*V357,0)*(1+$E$9)</f>
        <v>0</v>
      </c>
      <c r="AY357" s="107">
        <f>_xlfn.IFNA($M357/VLOOKUP($BU357,'Unit information'!$A$2:$K$29,7,FALSE)*W357,0)*(1+$E$9)</f>
        <v>0</v>
      </c>
      <c r="AZ357" s="107">
        <f>_xlfn.IFNA($M357/VLOOKUP($BU357,'Unit information'!$A$2:$K$29,8,FALSE)*X357,0)*(1+$E$9)</f>
        <v>0</v>
      </c>
      <c r="BA357" s="107">
        <f>_xlfn.IFNA($M357/VLOOKUP($BU357,'Unit information'!$A$2:$K$29,9,FALSE)*Y357,0)*(1+$E$9)</f>
        <v>0</v>
      </c>
      <c r="BB357" s="107">
        <f>_xlfn.IFNA($M357/VLOOKUP($BV357,'Unit information'!$A$2:$K$29,10,FALSE)*Z357,0)*(1+$E$9)</f>
        <v>0</v>
      </c>
      <c r="BC357" s="108">
        <f>_xlfn.IFNA($M357/VLOOKUP($BV357,'Unit information'!$A$2:$K$29,11,FALSE)*AA357,0)*(1+$E$9)</f>
        <v>0</v>
      </c>
      <c r="BD357" s="106">
        <f t="shared" si="473"/>
        <v>0</v>
      </c>
      <c r="BE357" s="107">
        <f t="shared" si="474"/>
        <v>0</v>
      </c>
      <c r="BF357" s="108">
        <f t="shared" si="475"/>
        <v>0</v>
      </c>
      <c r="BG357" s="25" t="e">
        <f t="shared" si="476"/>
        <v>#N/A</v>
      </c>
      <c r="BH357" s="25" t="e">
        <f t="shared" si="477"/>
        <v>#N/A</v>
      </c>
      <c r="BI357" s="25" t="e">
        <f t="shared" si="478"/>
        <v>#N/A</v>
      </c>
      <c r="BJ357" s="27" t="e">
        <f t="shared" si="479"/>
        <v>#N/A</v>
      </c>
      <c r="BK357" s="18" t="e">
        <f t="shared" si="480"/>
        <v>#N/A</v>
      </c>
      <c r="BL357" s="18" t="e">
        <f t="shared" si="481"/>
        <v>#N/A</v>
      </c>
      <c r="BM357" s="28" t="e">
        <f t="shared" si="527"/>
        <v>#N/A</v>
      </c>
      <c r="BN357" s="33">
        <f>HLOOKUP("maximum population",Miscelaneous!$C$1:$C$33,CH357+3,FALSE)</f>
        <v>240</v>
      </c>
      <c r="BO357" s="14">
        <f t="shared" si="493"/>
        <v>32</v>
      </c>
      <c r="BP357" s="14">
        <f t="shared" si="494"/>
        <v>0</v>
      </c>
      <c r="BQ357" s="14">
        <f t="shared" si="495"/>
        <v>208</v>
      </c>
      <c r="BR357" s="34" t="e">
        <f>HLOOKUP(J357,Villagers!$B$1:$V$33,L357+3,FALSE)-HLOOKUP(J357,Villagers!$B$1:$V$33,L357+2,FALSE)</f>
        <v>#N/A</v>
      </c>
      <c r="BS357" s="49">
        <f t="shared" si="496"/>
        <v>1</v>
      </c>
      <c r="BT357" s="50">
        <f t="shared" si="497"/>
        <v>0</v>
      </c>
      <c r="BU357" s="50">
        <f t="shared" si="498"/>
        <v>0</v>
      </c>
      <c r="BV357" s="50">
        <f t="shared" si="499"/>
        <v>0</v>
      </c>
      <c r="BW357" s="50">
        <f t="shared" si="541"/>
        <v>0</v>
      </c>
      <c r="BX357" s="50">
        <f t="shared" si="541"/>
        <v>0</v>
      </c>
      <c r="BY357" s="50">
        <f t="shared" si="541"/>
        <v>0</v>
      </c>
      <c r="BZ357" s="50">
        <f t="shared" si="530"/>
        <v>0</v>
      </c>
      <c r="CA357" s="50">
        <f t="shared" si="531"/>
        <v>0</v>
      </c>
      <c r="CB357" s="50">
        <f t="shared" si="532"/>
        <v>1</v>
      </c>
      <c r="CC357" s="50">
        <f t="shared" si="533"/>
        <v>0</v>
      </c>
      <c r="CD357" s="50">
        <f t="shared" si="534"/>
        <v>0</v>
      </c>
      <c r="CE357" s="50">
        <f t="shared" si="535"/>
        <v>1</v>
      </c>
      <c r="CF357" s="50">
        <f t="shared" si="536"/>
        <v>1</v>
      </c>
      <c r="CG357" s="50">
        <f t="shared" si="537"/>
        <v>1</v>
      </c>
      <c r="CH357" s="50">
        <f t="shared" si="538"/>
        <v>1</v>
      </c>
      <c r="CI357" s="50">
        <f t="shared" si="539"/>
        <v>1</v>
      </c>
      <c r="CJ357" s="50">
        <f t="shared" si="540"/>
        <v>1</v>
      </c>
      <c r="CK357" s="50">
        <f t="shared" si="540"/>
        <v>0</v>
      </c>
      <c r="CL357" s="50">
        <f t="shared" si="540"/>
        <v>0</v>
      </c>
      <c r="CM357" s="51">
        <f t="shared" si="482"/>
        <v>0</v>
      </c>
      <c r="CN357" s="33">
        <f>ROUND(IF(BS357=0,0,HLOOKUP(BS$14,Villagers!$B$1:$V$33,BS357+3,FALSE)),)</f>
        <v>5</v>
      </c>
      <c r="CO357" s="14">
        <f>ROUND(IF(BT357=0,0,HLOOKUP(BT$14,Villagers!$B$1:$V$33,BT357+3,FALSE)),)</f>
        <v>0</v>
      </c>
      <c r="CP357" s="14">
        <f>ROUND(IF(BU357=0,0,HLOOKUP(BU$14,Villagers!$B$1:$V$33,BU357+3,FALSE)),)</f>
        <v>0</v>
      </c>
      <c r="CQ357" s="14">
        <f>ROUND(IF(BV357=0,0,HLOOKUP(BV$14,Villagers!$B$1:$V$33,BV357+3,FALSE)),)</f>
        <v>0</v>
      </c>
      <c r="CR357" s="14">
        <f>ROUND(IF(BW357=0,0,HLOOKUP(BW$14,Villagers!$B$1:$V$33,BW357+3,FALSE)),)</f>
        <v>0</v>
      </c>
      <c r="CS357" s="14">
        <f>ROUND(IF(BX357=0,0,HLOOKUP(BX$14,Villagers!$B$1:$V$33,BX357+3,FALSE)),)</f>
        <v>0</v>
      </c>
      <c r="CT357" s="14">
        <f>ROUND(IF(BY357=0,0,HLOOKUP(BY$14,Villagers!$B$1:$V$33,BY357+3,FALSE)),)</f>
        <v>0</v>
      </c>
      <c r="CU357" s="14">
        <f>ROUND(IF(BZ357=0,0,HLOOKUP(BZ$14,Villagers!$B$1:$V$33,BZ357+3,FALSE)),)</f>
        <v>0</v>
      </c>
      <c r="CV357" s="14">
        <f>ROUND(IF(CA357=0,0,HLOOKUP(CA$14,Villagers!$B$1:$V$33,CA357+3,FALSE)),)</f>
        <v>0</v>
      </c>
      <c r="CW357" s="14">
        <f>ROUND(IF(CB357=0,0,HLOOKUP(CB$14,Villagers!$B$1:$V$33,CB357+3,FALSE)),)</f>
        <v>0</v>
      </c>
      <c r="CX357" s="14">
        <f>ROUND(IF(CC357=0,0,HLOOKUP(CC$14,Villagers!$B$1:$V$33,CC357+3,FALSE)),)</f>
        <v>0</v>
      </c>
      <c r="CY357" s="14">
        <f>ROUND(IF(CD357=0,0,HLOOKUP(CD$14,Villagers!$B$1:$V$33,CD357+3,FALSE)),)</f>
        <v>0</v>
      </c>
      <c r="CZ357" s="14">
        <f>ROUND(IF(CE357=0,0,HLOOKUP(CE$14,Villagers!$B$1:$V$33,CE357+3,FALSE)),)</f>
        <v>5</v>
      </c>
      <c r="DA357" s="14">
        <f>ROUND(IF(CF357=0,0,HLOOKUP(CF$14,Villagers!$B$1:$V$33,CF357+3,FALSE)),)</f>
        <v>10</v>
      </c>
      <c r="DB357" s="14">
        <f>ROUND(IF(CG357=0,0,HLOOKUP(CG$14,Villagers!$B$1:$V$33,CG357+3,FALSE)),)</f>
        <v>10</v>
      </c>
      <c r="DC357" s="14">
        <f>ROUND(IF(CH357=0,0,HLOOKUP(CH$14,Villagers!$B$1:$V$33,CH357+3,FALSE)),)</f>
        <v>0</v>
      </c>
      <c r="DD357" s="14">
        <f>ROUND(IF(CI357=0,0,HLOOKUP(CI$14,Villagers!$B$1:$V$33,CI357+3,FALSE)),)</f>
        <v>0</v>
      </c>
      <c r="DE357" s="14">
        <f>ROUND(IF(CJ357=0,0,HLOOKUP(CJ$14,Villagers!$B$1:$V$33,CJ357+3,FALSE)),)</f>
        <v>2</v>
      </c>
      <c r="DF357" s="370">
        <f>ROUND(IF(CK357=0,0,HLOOKUP(CK$14,Villagers!$B$1:$V$33,CK357+3,FALSE)),)</f>
        <v>0</v>
      </c>
      <c r="DG357" s="370">
        <f>ROUND(IF(CL357=0,0,HLOOKUP(CL$14,Villagers!$B$1:$V$33,CL357+3,FALSE)),)</f>
        <v>0</v>
      </c>
      <c r="DH357" s="34">
        <f>ROUND(IF(CM357=0,0,HLOOKUP(CM$14,Villagers!$B$1:$V$33,CM357+3,FALSE)),)</f>
        <v>0</v>
      </c>
      <c r="DI357" s="109">
        <f t="shared" si="516"/>
        <v>0</v>
      </c>
      <c r="DJ357" s="50">
        <f t="shared" si="517"/>
        <v>0</v>
      </c>
      <c r="DK357" s="50">
        <f t="shared" si="518"/>
        <v>0</v>
      </c>
      <c r="DL357" s="50">
        <f t="shared" si="519"/>
        <v>0</v>
      </c>
      <c r="DM357" s="50">
        <f t="shared" si="520"/>
        <v>0</v>
      </c>
      <c r="DN357" s="50">
        <f t="shared" si="521"/>
        <v>0</v>
      </c>
      <c r="DO357" s="50">
        <f t="shared" si="522"/>
        <v>0</v>
      </c>
      <c r="DP357" s="50">
        <f t="shared" si="523"/>
        <v>0</v>
      </c>
      <c r="DQ357" s="50">
        <f t="shared" si="501"/>
        <v>0</v>
      </c>
      <c r="DR357" s="50">
        <f t="shared" si="502"/>
        <v>0</v>
      </c>
      <c r="DS357" s="96">
        <f>Miscelaneous!$D$4*Miscelaneous!$D$2^($CI357-1)</f>
        <v>1000</v>
      </c>
      <c r="DT357" s="333">
        <f t="shared" si="483"/>
        <v>1</v>
      </c>
      <c r="DU357" s="81">
        <v>1</v>
      </c>
      <c r="DV357" s="79">
        <f t="shared" si="503"/>
        <v>0</v>
      </c>
      <c r="DW357" s="79">
        <f t="shared" si="504"/>
        <v>0</v>
      </c>
      <c r="DX357" s="79">
        <f t="shared" si="505"/>
        <v>0</v>
      </c>
      <c r="DY357" s="79">
        <v>1</v>
      </c>
      <c r="DZ357" s="79">
        <f t="shared" si="506"/>
        <v>0</v>
      </c>
      <c r="EA357" s="79">
        <f t="shared" si="507"/>
        <v>0</v>
      </c>
      <c r="EB357" s="79">
        <f t="shared" si="508"/>
        <v>0</v>
      </c>
      <c r="EC357" s="79">
        <f t="shared" si="509"/>
        <v>0</v>
      </c>
      <c r="ED357" s="79">
        <v>1</v>
      </c>
      <c r="EE357" s="79">
        <v>1</v>
      </c>
      <c r="EF357" s="79">
        <f t="shared" si="510"/>
        <v>0</v>
      </c>
      <c r="EG357" s="79">
        <v>1</v>
      </c>
      <c r="EH357" s="79">
        <v>1</v>
      </c>
      <c r="EI357" s="79">
        <v>1</v>
      </c>
      <c r="EJ357" s="79">
        <v>1</v>
      </c>
      <c r="EK357" s="79">
        <v>1</v>
      </c>
      <c r="EL357" s="79">
        <v>1</v>
      </c>
      <c r="EM357" s="143">
        <f t="shared" si="511"/>
        <v>0</v>
      </c>
      <c r="EN357" s="143">
        <f t="shared" si="512"/>
        <v>0</v>
      </c>
      <c r="EO357" s="82">
        <f t="shared" si="513"/>
        <v>0</v>
      </c>
    </row>
    <row r="358" spans="1:145" x14ac:dyDescent="0.25">
      <c r="A358">
        <v>344</v>
      </c>
      <c r="B358" s="172" t="e">
        <f t="shared" si="484"/>
        <v>#N/A</v>
      </c>
      <c r="C358" s="121" t="e">
        <f t="shared" si="462"/>
        <v>#N/A</v>
      </c>
      <c r="D358" s="122" t="e">
        <f t="shared" si="463"/>
        <v>#N/A</v>
      </c>
      <c r="E358" s="122" t="e">
        <f t="shared" si="464"/>
        <v>#N/A</v>
      </c>
      <c r="F358" s="176" t="e">
        <f t="shared" si="465"/>
        <v>#N/A</v>
      </c>
      <c r="G358" s="121">
        <f t="shared" si="485"/>
        <v>208</v>
      </c>
      <c r="H358" s="176" t="e">
        <f t="shared" si="486"/>
        <v>#N/A</v>
      </c>
      <c r="I358" s="48">
        <v>1</v>
      </c>
      <c r="J358" s="39"/>
      <c r="K358" s="350">
        <v>1</v>
      </c>
      <c r="L358" s="34" t="e">
        <f t="shared" si="466"/>
        <v>#N/A</v>
      </c>
      <c r="M358" s="38" t="e">
        <f>(HLOOKUP(J358,'Construction Times'!$B$3:$W$34,L358+2,FALSE)*HLOOKUP("hq modifier",'Construction Times'!$W$3:$W$34,BS358+2,FALSE))*(1-$H$9)</f>
        <v>#N/A</v>
      </c>
      <c r="N358" s="443" t="e">
        <f t="shared" si="487"/>
        <v>#N/A</v>
      </c>
      <c r="O358" s="444"/>
      <c r="P358" s="447" t="e">
        <f t="shared" si="488"/>
        <v>#N/A</v>
      </c>
      <c r="Q358" s="448"/>
      <c r="R358" s="103">
        <f t="shared" si="514"/>
        <v>0</v>
      </c>
      <c r="S358" s="104">
        <f t="shared" si="514"/>
        <v>0</v>
      </c>
      <c r="T358" s="104">
        <f t="shared" si="515"/>
        <v>0</v>
      </c>
      <c r="U358" s="104">
        <f t="shared" si="515"/>
        <v>0</v>
      </c>
      <c r="V358" s="104">
        <f t="shared" si="515"/>
        <v>9.9999999999999995E-8</v>
      </c>
      <c r="W358" s="104">
        <f t="shared" si="515"/>
        <v>0</v>
      </c>
      <c r="X358" s="104">
        <f t="shared" si="455"/>
        <v>0</v>
      </c>
      <c r="Y358" s="104">
        <f t="shared" si="455"/>
        <v>9.9999999999999995E-8</v>
      </c>
      <c r="Z358" s="104">
        <f t="shared" si="455"/>
        <v>9.9999999999999995E-8</v>
      </c>
      <c r="AA358" s="105">
        <f t="shared" si="455"/>
        <v>9.9999999999999995E-8</v>
      </c>
      <c r="AB358" s="101" t="e">
        <f>$DT358*HLOOKUP($J358,'Construction Costs (timber)'!$B$1:$V$32,'Construction Planner'!$L358+2,FALSE)</f>
        <v>#N/A</v>
      </c>
      <c r="AC358" s="14" t="e">
        <f>$DT358*HLOOKUP($J358,'Construction Costs (clay)'!$B$1:$V$32,'Construction Planner'!$L358+2,FALSE)</f>
        <v>#N/A</v>
      </c>
      <c r="AD358" s="14" t="e">
        <f>$DT358*HLOOKUP($J358,'Construction Costs (iron)'!$B$1:$V$32,'Construction Planner'!$L358+2,FALSE)</f>
        <v>#N/A</v>
      </c>
      <c r="AE358" s="34" t="e">
        <f t="shared" si="524"/>
        <v>#N/A</v>
      </c>
      <c r="AF358" s="33" t="e">
        <f t="shared" si="467"/>
        <v>#N/A</v>
      </c>
      <c r="AG358" s="14" t="e">
        <f t="shared" si="468"/>
        <v>#N/A</v>
      </c>
      <c r="AH358" s="14" t="e">
        <f t="shared" si="469"/>
        <v>#N/A</v>
      </c>
      <c r="AI358" s="34" t="e">
        <f t="shared" si="525"/>
        <v>#N/A</v>
      </c>
      <c r="AJ358" s="49" t="e">
        <f t="shared" si="489"/>
        <v>#N/A</v>
      </c>
      <c r="AK358" s="49" t="e">
        <f t="shared" si="490"/>
        <v>#N/A</v>
      </c>
      <c r="AL358" s="49" t="e">
        <f t="shared" si="491"/>
        <v>#N/A</v>
      </c>
      <c r="AM358" s="25">
        <f t="shared" si="470"/>
        <v>30</v>
      </c>
      <c r="AN358" s="25">
        <f t="shared" si="471"/>
        <v>30</v>
      </c>
      <c r="AO358" s="25">
        <f t="shared" si="472"/>
        <v>30</v>
      </c>
      <c r="AP358" s="52" t="e">
        <f t="shared" si="492"/>
        <v>#N/A</v>
      </c>
      <c r="AQ358" s="53" t="e">
        <f t="shared" si="492"/>
        <v>#N/A</v>
      </c>
      <c r="AR358" s="54" t="e">
        <f t="shared" si="492"/>
        <v>#N/A</v>
      </c>
      <c r="AS358" s="316">
        <f t="shared" si="542"/>
        <v>0</v>
      </c>
      <c r="AT358" s="106">
        <f>_xlfn.IFNA($M358/VLOOKUP($BT358,'Unit information'!$A$2:$K$29,2,FALSE)*R358,0)*(1+$E$9)</f>
        <v>0</v>
      </c>
      <c r="AU358" s="107">
        <f>_xlfn.IFNA($M358/VLOOKUP($BT358,'Unit information'!$A$2:$K$29,3,FALSE)*S358,0)*(1+$E$9)</f>
        <v>0</v>
      </c>
      <c r="AV358" s="107">
        <f>_xlfn.IFNA($M358/VLOOKUP($BT358,'Unit information'!$A$2:$K$29,4,FALSE)*T358,0)*(1+$E$9)</f>
        <v>0</v>
      </c>
      <c r="AW358" s="107">
        <f>_xlfn.IFNA($M358/VLOOKUP($BT358,'Unit information'!$A$2:$K$29,5,FALSE)*U358,0)*(1+$E$9)</f>
        <v>0</v>
      </c>
      <c r="AX358" s="107">
        <f>_xlfn.IFNA($M358/VLOOKUP($BU358,'Unit information'!$A$2:$K$29,6,FALSE)*V358,0)*(1+$E$9)</f>
        <v>0</v>
      </c>
      <c r="AY358" s="107">
        <f>_xlfn.IFNA($M358/VLOOKUP($BU358,'Unit information'!$A$2:$K$29,7,FALSE)*W358,0)*(1+$E$9)</f>
        <v>0</v>
      </c>
      <c r="AZ358" s="107">
        <f>_xlfn.IFNA($M358/VLOOKUP($BU358,'Unit information'!$A$2:$K$29,8,FALSE)*X358,0)*(1+$E$9)</f>
        <v>0</v>
      </c>
      <c r="BA358" s="107">
        <f>_xlfn.IFNA($M358/VLOOKUP($BU358,'Unit information'!$A$2:$K$29,9,FALSE)*Y358,0)*(1+$E$9)</f>
        <v>0</v>
      </c>
      <c r="BB358" s="107">
        <f>_xlfn.IFNA($M358/VLOOKUP($BV358,'Unit information'!$A$2:$K$29,10,FALSE)*Z358,0)*(1+$E$9)</f>
        <v>0</v>
      </c>
      <c r="BC358" s="108">
        <f>_xlfn.IFNA($M358/VLOOKUP($BV358,'Unit information'!$A$2:$K$29,11,FALSE)*AA358,0)*(1+$E$9)</f>
        <v>0</v>
      </c>
      <c r="BD358" s="106">
        <f t="shared" si="473"/>
        <v>0</v>
      </c>
      <c r="BE358" s="107">
        <f t="shared" si="474"/>
        <v>0</v>
      </c>
      <c r="BF358" s="108">
        <f t="shared" si="475"/>
        <v>0</v>
      </c>
      <c r="BG358" s="25" t="e">
        <f t="shared" si="476"/>
        <v>#N/A</v>
      </c>
      <c r="BH358" s="25" t="e">
        <f t="shared" si="477"/>
        <v>#N/A</v>
      </c>
      <c r="BI358" s="25" t="e">
        <f t="shared" si="478"/>
        <v>#N/A</v>
      </c>
      <c r="BJ358" s="27" t="e">
        <f t="shared" si="479"/>
        <v>#N/A</v>
      </c>
      <c r="BK358" s="18" t="e">
        <f t="shared" si="480"/>
        <v>#N/A</v>
      </c>
      <c r="BL358" s="18" t="e">
        <f t="shared" si="481"/>
        <v>#N/A</v>
      </c>
      <c r="BM358" s="28" t="e">
        <f t="shared" si="527"/>
        <v>#N/A</v>
      </c>
      <c r="BN358" s="33">
        <f>HLOOKUP("maximum population",Miscelaneous!$C$1:$C$33,CH358+3,FALSE)</f>
        <v>240</v>
      </c>
      <c r="BO358" s="14">
        <f t="shared" si="493"/>
        <v>32</v>
      </c>
      <c r="BP358" s="14">
        <f t="shared" si="494"/>
        <v>0</v>
      </c>
      <c r="BQ358" s="14">
        <f t="shared" si="495"/>
        <v>208</v>
      </c>
      <c r="BR358" s="34" t="e">
        <f>HLOOKUP(J358,Villagers!$B$1:$V$33,L358+3,FALSE)-HLOOKUP(J358,Villagers!$B$1:$V$33,L358+2,FALSE)</f>
        <v>#N/A</v>
      </c>
      <c r="BS358" s="49">
        <f t="shared" si="496"/>
        <v>1</v>
      </c>
      <c r="BT358" s="50">
        <f t="shared" si="497"/>
        <v>0</v>
      </c>
      <c r="BU358" s="50">
        <f t="shared" si="498"/>
        <v>0</v>
      </c>
      <c r="BV358" s="50">
        <f t="shared" si="499"/>
        <v>0</v>
      </c>
      <c r="BW358" s="50">
        <f t="shared" si="541"/>
        <v>0</v>
      </c>
      <c r="BX358" s="50">
        <f t="shared" si="541"/>
        <v>0</v>
      </c>
      <c r="BY358" s="50">
        <f t="shared" si="541"/>
        <v>0</v>
      </c>
      <c r="BZ358" s="50">
        <f t="shared" si="530"/>
        <v>0</v>
      </c>
      <c r="CA358" s="50">
        <f t="shared" si="531"/>
        <v>0</v>
      </c>
      <c r="CB358" s="50">
        <f t="shared" si="532"/>
        <v>1</v>
      </c>
      <c r="CC358" s="50">
        <f t="shared" si="533"/>
        <v>0</v>
      </c>
      <c r="CD358" s="50">
        <f t="shared" si="534"/>
        <v>0</v>
      </c>
      <c r="CE358" s="50">
        <f t="shared" si="535"/>
        <v>1</v>
      </c>
      <c r="CF358" s="50">
        <f t="shared" si="536"/>
        <v>1</v>
      </c>
      <c r="CG358" s="50">
        <f t="shared" si="537"/>
        <v>1</v>
      </c>
      <c r="CH358" s="50">
        <f t="shared" si="538"/>
        <v>1</v>
      </c>
      <c r="CI358" s="50">
        <f t="shared" si="539"/>
        <v>1</v>
      </c>
      <c r="CJ358" s="50">
        <f t="shared" si="540"/>
        <v>1</v>
      </c>
      <c r="CK358" s="50">
        <f t="shared" si="540"/>
        <v>0</v>
      </c>
      <c r="CL358" s="50">
        <f t="shared" si="540"/>
        <v>0</v>
      </c>
      <c r="CM358" s="51">
        <f t="shared" si="482"/>
        <v>0</v>
      </c>
      <c r="CN358" s="33">
        <f>ROUND(IF(BS358=0,0,HLOOKUP(BS$14,Villagers!$B$1:$V$33,BS358+3,FALSE)),)</f>
        <v>5</v>
      </c>
      <c r="CO358" s="14">
        <f>ROUND(IF(BT358=0,0,HLOOKUP(BT$14,Villagers!$B$1:$V$33,BT358+3,FALSE)),)</f>
        <v>0</v>
      </c>
      <c r="CP358" s="14">
        <f>ROUND(IF(BU358=0,0,HLOOKUP(BU$14,Villagers!$B$1:$V$33,BU358+3,FALSE)),)</f>
        <v>0</v>
      </c>
      <c r="CQ358" s="14">
        <f>ROUND(IF(BV358=0,0,HLOOKUP(BV$14,Villagers!$B$1:$V$33,BV358+3,FALSE)),)</f>
        <v>0</v>
      </c>
      <c r="CR358" s="14">
        <f>ROUND(IF(BW358=0,0,HLOOKUP(BW$14,Villagers!$B$1:$V$33,BW358+3,FALSE)),)</f>
        <v>0</v>
      </c>
      <c r="CS358" s="14">
        <f>ROUND(IF(BX358=0,0,HLOOKUP(BX$14,Villagers!$B$1:$V$33,BX358+3,FALSE)),)</f>
        <v>0</v>
      </c>
      <c r="CT358" s="14">
        <f>ROUND(IF(BY358=0,0,HLOOKUP(BY$14,Villagers!$B$1:$V$33,BY358+3,FALSE)),)</f>
        <v>0</v>
      </c>
      <c r="CU358" s="14">
        <f>ROUND(IF(BZ358=0,0,HLOOKUP(BZ$14,Villagers!$B$1:$V$33,BZ358+3,FALSE)),)</f>
        <v>0</v>
      </c>
      <c r="CV358" s="14">
        <f>ROUND(IF(CA358=0,0,HLOOKUP(CA$14,Villagers!$B$1:$V$33,CA358+3,FALSE)),)</f>
        <v>0</v>
      </c>
      <c r="CW358" s="14">
        <f>ROUND(IF(CB358=0,0,HLOOKUP(CB$14,Villagers!$B$1:$V$33,CB358+3,FALSE)),)</f>
        <v>0</v>
      </c>
      <c r="CX358" s="14">
        <f>ROUND(IF(CC358=0,0,HLOOKUP(CC$14,Villagers!$B$1:$V$33,CC358+3,FALSE)),)</f>
        <v>0</v>
      </c>
      <c r="CY358" s="14">
        <f>ROUND(IF(CD358=0,0,HLOOKUP(CD$14,Villagers!$B$1:$V$33,CD358+3,FALSE)),)</f>
        <v>0</v>
      </c>
      <c r="CZ358" s="14">
        <f>ROUND(IF(CE358=0,0,HLOOKUP(CE$14,Villagers!$B$1:$V$33,CE358+3,FALSE)),)</f>
        <v>5</v>
      </c>
      <c r="DA358" s="14">
        <f>ROUND(IF(CF358=0,0,HLOOKUP(CF$14,Villagers!$B$1:$V$33,CF358+3,FALSE)),)</f>
        <v>10</v>
      </c>
      <c r="DB358" s="14">
        <f>ROUND(IF(CG358=0,0,HLOOKUP(CG$14,Villagers!$B$1:$V$33,CG358+3,FALSE)),)</f>
        <v>10</v>
      </c>
      <c r="DC358" s="14">
        <f>ROUND(IF(CH358=0,0,HLOOKUP(CH$14,Villagers!$B$1:$V$33,CH358+3,FALSE)),)</f>
        <v>0</v>
      </c>
      <c r="DD358" s="14">
        <f>ROUND(IF(CI358=0,0,HLOOKUP(CI$14,Villagers!$B$1:$V$33,CI358+3,FALSE)),)</f>
        <v>0</v>
      </c>
      <c r="DE358" s="14">
        <f>ROUND(IF(CJ358=0,0,HLOOKUP(CJ$14,Villagers!$B$1:$V$33,CJ358+3,FALSE)),)</f>
        <v>2</v>
      </c>
      <c r="DF358" s="370">
        <f>ROUND(IF(CK358=0,0,HLOOKUP(CK$14,Villagers!$B$1:$V$33,CK358+3,FALSE)),)</f>
        <v>0</v>
      </c>
      <c r="DG358" s="370">
        <f>ROUND(IF(CL358=0,0,HLOOKUP(CL$14,Villagers!$B$1:$V$33,CL358+3,FALSE)),)</f>
        <v>0</v>
      </c>
      <c r="DH358" s="34">
        <f>ROUND(IF(CM358=0,0,HLOOKUP(CM$14,Villagers!$B$1:$V$33,CM358+3,FALSE)),)</f>
        <v>0</v>
      </c>
      <c r="DI358" s="109">
        <f t="shared" si="516"/>
        <v>0</v>
      </c>
      <c r="DJ358" s="50">
        <f t="shared" si="517"/>
        <v>0</v>
      </c>
      <c r="DK358" s="50">
        <f t="shared" si="518"/>
        <v>0</v>
      </c>
      <c r="DL358" s="50">
        <f t="shared" si="519"/>
        <v>0</v>
      </c>
      <c r="DM358" s="50">
        <f t="shared" si="520"/>
        <v>0</v>
      </c>
      <c r="DN358" s="50">
        <f t="shared" si="521"/>
        <v>0</v>
      </c>
      <c r="DO358" s="50">
        <f t="shared" si="522"/>
        <v>0</v>
      </c>
      <c r="DP358" s="50">
        <f t="shared" si="523"/>
        <v>0</v>
      </c>
      <c r="DQ358" s="50">
        <f t="shared" si="501"/>
        <v>0</v>
      </c>
      <c r="DR358" s="50">
        <f t="shared" si="502"/>
        <v>0</v>
      </c>
      <c r="DS358" s="96">
        <f>Miscelaneous!$D$4*Miscelaneous!$D$2^($CI358-1)</f>
        <v>1000</v>
      </c>
      <c r="DT358" s="333">
        <f t="shared" si="483"/>
        <v>1</v>
      </c>
      <c r="DU358" s="81">
        <v>1</v>
      </c>
      <c r="DV358" s="79">
        <f t="shared" si="503"/>
        <v>0</v>
      </c>
      <c r="DW358" s="79">
        <f t="shared" si="504"/>
        <v>0</v>
      </c>
      <c r="DX358" s="79">
        <f t="shared" si="505"/>
        <v>0</v>
      </c>
      <c r="DY358" s="79">
        <v>1</v>
      </c>
      <c r="DZ358" s="79">
        <f t="shared" si="506"/>
        <v>0</v>
      </c>
      <c r="EA358" s="79">
        <f t="shared" si="507"/>
        <v>0</v>
      </c>
      <c r="EB358" s="79">
        <f t="shared" si="508"/>
        <v>0</v>
      </c>
      <c r="EC358" s="79">
        <f t="shared" si="509"/>
        <v>0</v>
      </c>
      <c r="ED358" s="79">
        <v>1</v>
      </c>
      <c r="EE358" s="79">
        <v>1</v>
      </c>
      <c r="EF358" s="79">
        <f t="shared" si="510"/>
        <v>0</v>
      </c>
      <c r="EG358" s="79">
        <v>1</v>
      </c>
      <c r="EH358" s="79">
        <v>1</v>
      </c>
      <c r="EI358" s="79">
        <v>1</v>
      </c>
      <c r="EJ358" s="79">
        <v>1</v>
      </c>
      <c r="EK358" s="79">
        <v>1</v>
      </c>
      <c r="EL358" s="79">
        <v>1</v>
      </c>
      <c r="EM358" s="143">
        <f t="shared" si="511"/>
        <v>0</v>
      </c>
      <c r="EN358" s="143">
        <f t="shared" si="512"/>
        <v>0</v>
      </c>
      <c r="EO358" s="82">
        <f t="shared" si="513"/>
        <v>0</v>
      </c>
    </row>
    <row r="359" spans="1:145" x14ac:dyDescent="0.25">
      <c r="A359">
        <v>345</v>
      </c>
      <c r="B359" s="172" t="e">
        <f t="shared" si="484"/>
        <v>#N/A</v>
      </c>
      <c r="C359" s="121" t="e">
        <f t="shared" si="462"/>
        <v>#N/A</v>
      </c>
      <c r="D359" s="122" t="e">
        <f t="shared" si="463"/>
        <v>#N/A</v>
      </c>
      <c r="E359" s="122" t="e">
        <f t="shared" si="464"/>
        <v>#N/A</v>
      </c>
      <c r="F359" s="176" t="e">
        <f t="shared" si="465"/>
        <v>#N/A</v>
      </c>
      <c r="G359" s="121">
        <f t="shared" si="485"/>
        <v>208</v>
      </c>
      <c r="H359" s="176" t="e">
        <f t="shared" si="486"/>
        <v>#N/A</v>
      </c>
      <c r="I359" s="48">
        <v>1</v>
      </c>
      <c r="J359" s="39"/>
      <c r="K359" s="350">
        <v>1</v>
      </c>
      <c r="L359" s="34" t="e">
        <f t="shared" si="466"/>
        <v>#N/A</v>
      </c>
      <c r="M359" s="38" t="e">
        <f>(HLOOKUP(J359,'Construction Times'!$B$3:$W$34,L359+2,FALSE)*HLOOKUP("hq modifier",'Construction Times'!$W$3:$W$34,BS359+2,FALSE))*(1-$H$9)</f>
        <v>#N/A</v>
      </c>
      <c r="N359" s="443" t="e">
        <f t="shared" si="487"/>
        <v>#N/A</v>
      </c>
      <c r="O359" s="444"/>
      <c r="P359" s="447" t="e">
        <f t="shared" si="488"/>
        <v>#N/A</v>
      </c>
      <c r="Q359" s="448"/>
      <c r="R359" s="103">
        <f t="shared" si="514"/>
        <v>0</v>
      </c>
      <c r="S359" s="104">
        <f t="shared" si="514"/>
        <v>0</v>
      </c>
      <c r="T359" s="104">
        <f t="shared" si="515"/>
        <v>0</v>
      </c>
      <c r="U359" s="104">
        <f t="shared" si="515"/>
        <v>0</v>
      </c>
      <c r="V359" s="104">
        <f t="shared" si="515"/>
        <v>9.9999999999999995E-8</v>
      </c>
      <c r="W359" s="104">
        <f t="shared" si="515"/>
        <v>0</v>
      </c>
      <c r="X359" s="104">
        <f t="shared" si="455"/>
        <v>0</v>
      </c>
      <c r="Y359" s="104">
        <f t="shared" si="455"/>
        <v>9.9999999999999995E-8</v>
      </c>
      <c r="Z359" s="104">
        <f t="shared" si="455"/>
        <v>9.9999999999999995E-8</v>
      </c>
      <c r="AA359" s="105">
        <f t="shared" si="455"/>
        <v>9.9999999999999995E-8</v>
      </c>
      <c r="AB359" s="101" t="e">
        <f>$DT359*HLOOKUP($J359,'Construction Costs (timber)'!$B$1:$V$32,'Construction Planner'!$L359+2,FALSE)</f>
        <v>#N/A</v>
      </c>
      <c r="AC359" s="14" t="e">
        <f>$DT359*HLOOKUP($J359,'Construction Costs (clay)'!$B$1:$V$32,'Construction Planner'!$L359+2,FALSE)</f>
        <v>#N/A</v>
      </c>
      <c r="AD359" s="14" t="e">
        <f>$DT359*HLOOKUP($J359,'Construction Costs (iron)'!$B$1:$V$32,'Construction Planner'!$L359+2,FALSE)</f>
        <v>#N/A</v>
      </c>
      <c r="AE359" s="34" t="e">
        <f t="shared" si="524"/>
        <v>#N/A</v>
      </c>
      <c r="AF359" s="33" t="e">
        <f t="shared" si="467"/>
        <v>#N/A</v>
      </c>
      <c r="AG359" s="14" t="e">
        <f t="shared" si="468"/>
        <v>#N/A</v>
      </c>
      <c r="AH359" s="14" t="e">
        <f t="shared" si="469"/>
        <v>#N/A</v>
      </c>
      <c r="AI359" s="34" t="e">
        <f t="shared" si="525"/>
        <v>#N/A</v>
      </c>
      <c r="AJ359" s="49" t="e">
        <f t="shared" si="489"/>
        <v>#N/A</v>
      </c>
      <c r="AK359" s="49" t="e">
        <f t="shared" si="490"/>
        <v>#N/A</v>
      </c>
      <c r="AL359" s="49" t="e">
        <f t="shared" si="491"/>
        <v>#N/A</v>
      </c>
      <c r="AM359" s="25">
        <f t="shared" si="470"/>
        <v>30</v>
      </c>
      <c r="AN359" s="25">
        <f t="shared" si="471"/>
        <v>30</v>
      </c>
      <c r="AO359" s="25">
        <f t="shared" si="472"/>
        <v>30</v>
      </c>
      <c r="AP359" s="52" t="e">
        <f t="shared" si="492"/>
        <v>#N/A</v>
      </c>
      <c r="AQ359" s="53" t="e">
        <f t="shared" si="492"/>
        <v>#N/A</v>
      </c>
      <c r="AR359" s="54" t="e">
        <f t="shared" si="492"/>
        <v>#N/A</v>
      </c>
      <c r="AS359" s="316">
        <f t="shared" si="542"/>
        <v>0</v>
      </c>
      <c r="AT359" s="106">
        <f>_xlfn.IFNA($M359/VLOOKUP($BT359,'Unit information'!$A$2:$K$29,2,FALSE)*R359,0)*(1+$E$9)</f>
        <v>0</v>
      </c>
      <c r="AU359" s="107">
        <f>_xlfn.IFNA($M359/VLOOKUP($BT359,'Unit information'!$A$2:$K$29,3,FALSE)*S359,0)*(1+$E$9)</f>
        <v>0</v>
      </c>
      <c r="AV359" s="107">
        <f>_xlfn.IFNA($M359/VLOOKUP($BT359,'Unit information'!$A$2:$K$29,4,FALSE)*T359,0)*(1+$E$9)</f>
        <v>0</v>
      </c>
      <c r="AW359" s="107">
        <f>_xlfn.IFNA($M359/VLOOKUP($BT359,'Unit information'!$A$2:$K$29,5,FALSE)*U359,0)*(1+$E$9)</f>
        <v>0</v>
      </c>
      <c r="AX359" s="107">
        <f>_xlfn.IFNA($M359/VLOOKUP($BU359,'Unit information'!$A$2:$K$29,6,FALSE)*V359,0)*(1+$E$9)</f>
        <v>0</v>
      </c>
      <c r="AY359" s="107">
        <f>_xlfn.IFNA($M359/VLOOKUP($BU359,'Unit information'!$A$2:$K$29,7,FALSE)*W359,0)*(1+$E$9)</f>
        <v>0</v>
      </c>
      <c r="AZ359" s="107">
        <f>_xlfn.IFNA($M359/VLOOKUP($BU359,'Unit information'!$A$2:$K$29,8,FALSE)*X359,0)*(1+$E$9)</f>
        <v>0</v>
      </c>
      <c r="BA359" s="107">
        <f>_xlfn.IFNA($M359/VLOOKUP($BU359,'Unit information'!$A$2:$K$29,9,FALSE)*Y359,0)*(1+$E$9)</f>
        <v>0</v>
      </c>
      <c r="BB359" s="107">
        <f>_xlfn.IFNA($M359/VLOOKUP($BV359,'Unit information'!$A$2:$K$29,10,FALSE)*Z359,0)*(1+$E$9)</f>
        <v>0</v>
      </c>
      <c r="BC359" s="108">
        <f>_xlfn.IFNA($M359/VLOOKUP($BV359,'Unit information'!$A$2:$K$29,11,FALSE)*AA359,0)*(1+$E$9)</f>
        <v>0</v>
      </c>
      <c r="BD359" s="106">
        <f t="shared" si="473"/>
        <v>0</v>
      </c>
      <c r="BE359" s="107">
        <f t="shared" si="474"/>
        <v>0</v>
      </c>
      <c r="BF359" s="108">
        <f t="shared" si="475"/>
        <v>0</v>
      </c>
      <c r="BG359" s="25" t="e">
        <f t="shared" si="476"/>
        <v>#N/A</v>
      </c>
      <c r="BH359" s="25" t="e">
        <f t="shared" si="477"/>
        <v>#N/A</v>
      </c>
      <c r="BI359" s="25" t="e">
        <f t="shared" si="478"/>
        <v>#N/A</v>
      </c>
      <c r="BJ359" s="27" t="e">
        <f t="shared" si="479"/>
        <v>#N/A</v>
      </c>
      <c r="BK359" s="18" t="e">
        <f t="shared" si="480"/>
        <v>#N/A</v>
      </c>
      <c r="BL359" s="18" t="e">
        <f t="shared" si="481"/>
        <v>#N/A</v>
      </c>
      <c r="BM359" s="28" t="e">
        <f t="shared" si="527"/>
        <v>#N/A</v>
      </c>
      <c r="BN359" s="33">
        <f>HLOOKUP("maximum population",Miscelaneous!$C$1:$C$33,CH359+3,FALSE)</f>
        <v>240</v>
      </c>
      <c r="BO359" s="14">
        <f t="shared" si="493"/>
        <v>32</v>
      </c>
      <c r="BP359" s="14">
        <f t="shared" si="494"/>
        <v>0</v>
      </c>
      <c r="BQ359" s="14">
        <f t="shared" si="495"/>
        <v>208</v>
      </c>
      <c r="BR359" s="34" t="e">
        <f>HLOOKUP(J359,Villagers!$B$1:$V$33,L359+3,FALSE)-HLOOKUP(J359,Villagers!$B$1:$V$33,L359+2,FALSE)</f>
        <v>#N/A</v>
      </c>
      <c r="BS359" s="49">
        <f t="shared" si="496"/>
        <v>1</v>
      </c>
      <c r="BT359" s="50">
        <f t="shared" si="497"/>
        <v>0</v>
      </c>
      <c r="BU359" s="50">
        <f t="shared" si="498"/>
        <v>0</v>
      </c>
      <c r="BV359" s="50">
        <f t="shared" si="499"/>
        <v>0</v>
      </c>
      <c r="BW359" s="50">
        <f>IF($J358=BW$14,$L358,BW358)</f>
        <v>0</v>
      </c>
      <c r="BX359" s="50">
        <f t="shared" ref="BX359:BY367" si="543">IF($J358=BX$14,$L358,BX358)</f>
        <v>0</v>
      </c>
      <c r="BY359" s="50">
        <f t="shared" si="543"/>
        <v>0</v>
      </c>
      <c r="BZ359" s="50">
        <f t="shared" si="530"/>
        <v>0</v>
      </c>
      <c r="CA359" s="50">
        <f t="shared" si="531"/>
        <v>0</v>
      </c>
      <c r="CB359" s="50">
        <f t="shared" si="532"/>
        <v>1</v>
      </c>
      <c r="CC359" s="50">
        <f t="shared" si="533"/>
        <v>0</v>
      </c>
      <c r="CD359" s="50">
        <f t="shared" si="534"/>
        <v>0</v>
      </c>
      <c r="CE359" s="50">
        <f t="shared" si="535"/>
        <v>1</v>
      </c>
      <c r="CF359" s="50">
        <f t="shared" si="536"/>
        <v>1</v>
      </c>
      <c r="CG359" s="50">
        <f t="shared" si="537"/>
        <v>1</v>
      </c>
      <c r="CH359" s="50">
        <f t="shared" si="538"/>
        <v>1</v>
      </c>
      <c r="CI359" s="50">
        <f t="shared" si="539"/>
        <v>1</v>
      </c>
      <c r="CJ359" s="50">
        <f t="shared" si="540"/>
        <v>1</v>
      </c>
      <c r="CK359" s="50">
        <f t="shared" si="540"/>
        <v>0</v>
      </c>
      <c r="CL359" s="50">
        <f t="shared" si="540"/>
        <v>0</v>
      </c>
      <c r="CM359" s="51">
        <f t="shared" si="482"/>
        <v>0</v>
      </c>
      <c r="CN359" s="33">
        <f>ROUND(IF(BS359=0,0,HLOOKUP(BS$14,Villagers!$B$1:$V$33,BS359+3,FALSE)),)</f>
        <v>5</v>
      </c>
      <c r="CO359" s="14">
        <f>ROUND(IF(BT359=0,0,HLOOKUP(BT$14,Villagers!$B$1:$V$33,BT359+3,FALSE)),)</f>
        <v>0</v>
      </c>
      <c r="CP359" s="14">
        <f>ROUND(IF(BU359=0,0,HLOOKUP(BU$14,Villagers!$B$1:$V$33,BU359+3,FALSE)),)</f>
        <v>0</v>
      </c>
      <c r="CQ359" s="14">
        <f>ROUND(IF(BV359=0,0,HLOOKUP(BV$14,Villagers!$B$1:$V$33,BV359+3,FALSE)),)</f>
        <v>0</v>
      </c>
      <c r="CR359" s="14">
        <f>ROUND(IF(BW359=0,0,HLOOKUP(BW$14,Villagers!$B$1:$V$33,BW359+3,FALSE)),)</f>
        <v>0</v>
      </c>
      <c r="CS359" s="14">
        <f>ROUND(IF(BX359=0,0,HLOOKUP(BX$14,Villagers!$B$1:$V$33,BX359+3,FALSE)),)</f>
        <v>0</v>
      </c>
      <c r="CT359" s="14">
        <f>ROUND(IF(BY359=0,0,HLOOKUP(BY$14,Villagers!$B$1:$V$33,BY359+3,FALSE)),)</f>
        <v>0</v>
      </c>
      <c r="CU359" s="14">
        <f>ROUND(IF(BZ359=0,0,HLOOKUP(BZ$14,Villagers!$B$1:$V$33,BZ359+3,FALSE)),)</f>
        <v>0</v>
      </c>
      <c r="CV359" s="14">
        <f>ROUND(IF(CA359=0,0,HLOOKUP(CA$14,Villagers!$B$1:$V$33,CA359+3,FALSE)),)</f>
        <v>0</v>
      </c>
      <c r="CW359" s="14">
        <f>ROUND(IF(CB359=0,0,HLOOKUP(CB$14,Villagers!$B$1:$V$33,CB359+3,FALSE)),)</f>
        <v>0</v>
      </c>
      <c r="CX359" s="14">
        <f>ROUND(IF(CC359=0,0,HLOOKUP(CC$14,Villagers!$B$1:$V$33,CC359+3,FALSE)),)</f>
        <v>0</v>
      </c>
      <c r="CY359" s="14">
        <f>ROUND(IF(CD359=0,0,HLOOKUP(CD$14,Villagers!$B$1:$V$33,CD359+3,FALSE)),)</f>
        <v>0</v>
      </c>
      <c r="CZ359" s="14">
        <f>ROUND(IF(CE359=0,0,HLOOKUP(CE$14,Villagers!$B$1:$V$33,CE359+3,FALSE)),)</f>
        <v>5</v>
      </c>
      <c r="DA359" s="14">
        <f>ROUND(IF(CF359=0,0,HLOOKUP(CF$14,Villagers!$B$1:$V$33,CF359+3,FALSE)),)</f>
        <v>10</v>
      </c>
      <c r="DB359" s="14">
        <f>ROUND(IF(CG359=0,0,HLOOKUP(CG$14,Villagers!$B$1:$V$33,CG359+3,FALSE)),)</f>
        <v>10</v>
      </c>
      <c r="DC359" s="14">
        <f>ROUND(IF(CH359=0,0,HLOOKUP(CH$14,Villagers!$B$1:$V$33,CH359+3,FALSE)),)</f>
        <v>0</v>
      </c>
      <c r="DD359" s="14">
        <f>ROUND(IF(CI359=0,0,HLOOKUP(CI$14,Villagers!$B$1:$V$33,CI359+3,FALSE)),)</f>
        <v>0</v>
      </c>
      <c r="DE359" s="14">
        <f>ROUND(IF(CJ359=0,0,HLOOKUP(CJ$14,Villagers!$B$1:$V$33,CJ359+3,FALSE)),)</f>
        <v>2</v>
      </c>
      <c r="DF359" s="370">
        <f>ROUND(IF(CK359=0,0,HLOOKUP(CK$14,Villagers!$B$1:$V$33,CK359+3,FALSE)),)</f>
        <v>0</v>
      </c>
      <c r="DG359" s="370">
        <f>ROUND(IF(CL359=0,0,HLOOKUP(CL$14,Villagers!$B$1:$V$33,CL359+3,FALSE)),)</f>
        <v>0</v>
      </c>
      <c r="DH359" s="34">
        <f>ROUND(IF(CM359=0,0,HLOOKUP(CM$14,Villagers!$B$1:$V$33,CM359+3,FALSE)),)</f>
        <v>0</v>
      </c>
      <c r="DI359" s="109">
        <f t="shared" si="516"/>
        <v>0</v>
      </c>
      <c r="DJ359" s="50">
        <f t="shared" si="517"/>
        <v>0</v>
      </c>
      <c r="DK359" s="50">
        <f t="shared" si="518"/>
        <v>0</v>
      </c>
      <c r="DL359" s="50">
        <f t="shared" si="519"/>
        <v>0</v>
      </c>
      <c r="DM359" s="50">
        <f t="shared" si="520"/>
        <v>0</v>
      </c>
      <c r="DN359" s="50">
        <f t="shared" si="521"/>
        <v>0</v>
      </c>
      <c r="DO359" s="50">
        <f t="shared" si="522"/>
        <v>0</v>
      </c>
      <c r="DP359" s="50">
        <f t="shared" si="523"/>
        <v>0</v>
      </c>
      <c r="DQ359" s="50">
        <f t="shared" si="501"/>
        <v>0</v>
      </c>
      <c r="DR359" s="50">
        <f t="shared" si="502"/>
        <v>0</v>
      </c>
      <c r="DS359" s="96">
        <f>Miscelaneous!$D$4*Miscelaneous!$D$2^($CI359-1)</f>
        <v>1000</v>
      </c>
      <c r="DT359" s="333">
        <f t="shared" si="483"/>
        <v>1</v>
      </c>
      <c r="DU359" s="81">
        <v>1</v>
      </c>
      <c r="DV359" s="79">
        <f t="shared" si="503"/>
        <v>0</v>
      </c>
      <c r="DW359" s="79">
        <f t="shared" si="504"/>
        <v>0</v>
      </c>
      <c r="DX359" s="79">
        <f t="shared" si="505"/>
        <v>0</v>
      </c>
      <c r="DY359" s="79">
        <v>1</v>
      </c>
      <c r="DZ359" s="79">
        <f t="shared" si="506"/>
        <v>0</v>
      </c>
      <c r="EA359" s="79">
        <f t="shared" si="507"/>
        <v>0</v>
      </c>
      <c r="EB359" s="79">
        <f t="shared" si="508"/>
        <v>0</v>
      </c>
      <c r="EC359" s="79">
        <f t="shared" si="509"/>
        <v>0</v>
      </c>
      <c r="ED359" s="79">
        <v>1</v>
      </c>
      <c r="EE359" s="79">
        <v>1</v>
      </c>
      <c r="EF359" s="79">
        <f t="shared" si="510"/>
        <v>0</v>
      </c>
      <c r="EG359" s="79">
        <v>1</v>
      </c>
      <c r="EH359" s="79">
        <v>1</v>
      </c>
      <c r="EI359" s="79">
        <v>1</v>
      </c>
      <c r="EJ359" s="79">
        <v>1</v>
      </c>
      <c r="EK359" s="79">
        <v>1</v>
      </c>
      <c r="EL359" s="79">
        <v>1</v>
      </c>
      <c r="EM359" s="143">
        <f t="shared" si="511"/>
        <v>0</v>
      </c>
      <c r="EN359" s="143">
        <f t="shared" si="512"/>
        <v>0</v>
      </c>
      <c r="EO359" s="82">
        <f t="shared" si="513"/>
        <v>0</v>
      </c>
    </row>
    <row r="360" spans="1:145" x14ac:dyDescent="0.25">
      <c r="A360">
        <v>346</v>
      </c>
      <c r="B360" s="172" t="e">
        <f t="shared" si="484"/>
        <v>#N/A</v>
      </c>
      <c r="C360" s="121" t="e">
        <f t="shared" si="462"/>
        <v>#N/A</v>
      </c>
      <c r="D360" s="122" t="e">
        <f t="shared" si="463"/>
        <v>#N/A</v>
      </c>
      <c r="E360" s="122" t="e">
        <f t="shared" si="464"/>
        <v>#N/A</v>
      </c>
      <c r="F360" s="176" t="e">
        <f t="shared" si="465"/>
        <v>#N/A</v>
      </c>
      <c r="G360" s="121">
        <f t="shared" si="485"/>
        <v>208</v>
      </c>
      <c r="H360" s="176" t="e">
        <f t="shared" si="486"/>
        <v>#N/A</v>
      </c>
      <c r="I360" s="48">
        <v>1</v>
      </c>
      <c r="J360" s="39"/>
      <c r="K360" s="350">
        <v>1</v>
      </c>
      <c r="L360" s="34" t="e">
        <f t="shared" si="466"/>
        <v>#N/A</v>
      </c>
      <c r="M360" s="38" t="e">
        <f>(HLOOKUP(J360,'Construction Times'!$B$3:$W$34,L360+2,FALSE)*HLOOKUP("hq modifier",'Construction Times'!$W$3:$W$34,BS360+2,FALSE))*(1-$H$9)</f>
        <v>#N/A</v>
      </c>
      <c r="N360" s="443" t="e">
        <f t="shared" si="487"/>
        <v>#N/A</v>
      </c>
      <c r="O360" s="444"/>
      <c r="P360" s="447" t="e">
        <f t="shared" si="488"/>
        <v>#N/A</v>
      </c>
      <c r="Q360" s="448"/>
      <c r="R360" s="103">
        <f t="shared" si="514"/>
        <v>0</v>
      </c>
      <c r="S360" s="104">
        <f t="shared" si="514"/>
        <v>0</v>
      </c>
      <c r="T360" s="104">
        <f t="shared" si="515"/>
        <v>0</v>
      </c>
      <c r="U360" s="104">
        <f t="shared" si="515"/>
        <v>0</v>
      </c>
      <c r="V360" s="104">
        <f t="shared" si="515"/>
        <v>9.9999999999999995E-8</v>
      </c>
      <c r="W360" s="104">
        <f t="shared" si="515"/>
        <v>0</v>
      </c>
      <c r="X360" s="104">
        <f t="shared" si="455"/>
        <v>0</v>
      </c>
      <c r="Y360" s="104">
        <f t="shared" si="455"/>
        <v>9.9999999999999995E-8</v>
      </c>
      <c r="Z360" s="104">
        <f t="shared" si="455"/>
        <v>9.9999999999999995E-8</v>
      </c>
      <c r="AA360" s="105">
        <f t="shared" si="455"/>
        <v>9.9999999999999995E-8</v>
      </c>
      <c r="AB360" s="101" t="e">
        <f>$DT360*HLOOKUP($J360,'Construction Costs (timber)'!$B$1:$V$32,'Construction Planner'!$L360+2,FALSE)</f>
        <v>#N/A</v>
      </c>
      <c r="AC360" s="14" t="e">
        <f>$DT360*HLOOKUP($J360,'Construction Costs (clay)'!$B$1:$V$32,'Construction Planner'!$L360+2,FALSE)</f>
        <v>#N/A</v>
      </c>
      <c r="AD360" s="14" t="e">
        <f>$DT360*HLOOKUP($J360,'Construction Costs (iron)'!$B$1:$V$32,'Construction Planner'!$L360+2,FALSE)</f>
        <v>#N/A</v>
      </c>
      <c r="AE360" s="34" t="e">
        <f t="shared" si="524"/>
        <v>#N/A</v>
      </c>
      <c r="AF360" s="33" t="e">
        <f t="shared" si="467"/>
        <v>#N/A</v>
      </c>
      <c r="AG360" s="14" t="e">
        <f t="shared" si="468"/>
        <v>#N/A</v>
      </c>
      <c r="AH360" s="14" t="e">
        <f t="shared" si="469"/>
        <v>#N/A</v>
      </c>
      <c r="AI360" s="34" t="e">
        <f t="shared" si="525"/>
        <v>#N/A</v>
      </c>
      <c r="AJ360" s="49" t="e">
        <f t="shared" si="489"/>
        <v>#N/A</v>
      </c>
      <c r="AK360" s="49" t="e">
        <f t="shared" si="490"/>
        <v>#N/A</v>
      </c>
      <c r="AL360" s="49" t="e">
        <f t="shared" si="491"/>
        <v>#N/A</v>
      </c>
      <c r="AM360" s="25">
        <f t="shared" si="470"/>
        <v>30</v>
      </c>
      <c r="AN360" s="25">
        <f t="shared" si="471"/>
        <v>30</v>
      </c>
      <c r="AO360" s="25">
        <f t="shared" si="472"/>
        <v>30</v>
      </c>
      <c r="AP360" s="52" t="e">
        <f t="shared" si="492"/>
        <v>#N/A</v>
      </c>
      <c r="AQ360" s="53" t="e">
        <f t="shared" si="492"/>
        <v>#N/A</v>
      </c>
      <c r="AR360" s="54" t="e">
        <f t="shared" si="492"/>
        <v>#N/A</v>
      </c>
      <c r="AS360" s="316">
        <f t="shared" si="542"/>
        <v>0</v>
      </c>
      <c r="AT360" s="106">
        <f>_xlfn.IFNA($M360/VLOOKUP($BT360,'Unit information'!$A$2:$K$29,2,FALSE)*R360,0)*(1+$E$9)</f>
        <v>0</v>
      </c>
      <c r="AU360" s="107">
        <f>_xlfn.IFNA($M360/VLOOKUP($BT360,'Unit information'!$A$2:$K$29,3,FALSE)*S360,0)*(1+$E$9)</f>
        <v>0</v>
      </c>
      <c r="AV360" s="107">
        <f>_xlfn.IFNA($M360/VLOOKUP($BT360,'Unit information'!$A$2:$K$29,4,FALSE)*T360,0)*(1+$E$9)</f>
        <v>0</v>
      </c>
      <c r="AW360" s="107">
        <f>_xlfn.IFNA($M360/VLOOKUP($BT360,'Unit information'!$A$2:$K$29,5,FALSE)*U360,0)*(1+$E$9)</f>
        <v>0</v>
      </c>
      <c r="AX360" s="107">
        <f>_xlfn.IFNA($M360/VLOOKUP($BU360,'Unit information'!$A$2:$K$29,6,FALSE)*V360,0)*(1+$E$9)</f>
        <v>0</v>
      </c>
      <c r="AY360" s="107">
        <f>_xlfn.IFNA($M360/VLOOKUP($BU360,'Unit information'!$A$2:$K$29,7,FALSE)*W360,0)*(1+$E$9)</f>
        <v>0</v>
      </c>
      <c r="AZ360" s="107">
        <f>_xlfn.IFNA($M360/VLOOKUP($BU360,'Unit information'!$A$2:$K$29,8,FALSE)*X360,0)*(1+$E$9)</f>
        <v>0</v>
      </c>
      <c r="BA360" s="107">
        <f>_xlfn.IFNA($M360/VLOOKUP($BU360,'Unit information'!$A$2:$K$29,9,FALSE)*Y360,0)*(1+$E$9)</f>
        <v>0</v>
      </c>
      <c r="BB360" s="107">
        <f>_xlfn.IFNA($M360/VLOOKUP($BV360,'Unit information'!$A$2:$K$29,10,FALSE)*Z360,0)*(1+$E$9)</f>
        <v>0</v>
      </c>
      <c r="BC360" s="108">
        <f>_xlfn.IFNA($M360/VLOOKUP($BV360,'Unit information'!$A$2:$K$29,11,FALSE)*AA360,0)*(1+$E$9)</f>
        <v>0</v>
      </c>
      <c r="BD360" s="106">
        <f t="shared" si="473"/>
        <v>0</v>
      </c>
      <c r="BE360" s="107">
        <f t="shared" si="474"/>
        <v>0</v>
      </c>
      <c r="BF360" s="108">
        <f t="shared" si="475"/>
        <v>0</v>
      </c>
      <c r="BG360" s="25" t="e">
        <f t="shared" si="476"/>
        <v>#N/A</v>
      </c>
      <c r="BH360" s="25" t="e">
        <f t="shared" si="477"/>
        <v>#N/A</v>
      </c>
      <c r="BI360" s="25" t="e">
        <f t="shared" si="478"/>
        <v>#N/A</v>
      </c>
      <c r="BJ360" s="27" t="e">
        <f t="shared" si="479"/>
        <v>#N/A</v>
      </c>
      <c r="BK360" s="18" t="e">
        <f t="shared" si="480"/>
        <v>#N/A</v>
      </c>
      <c r="BL360" s="18" t="e">
        <f t="shared" si="481"/>
        <v>#N/A</v>
      </c>
      <c r="BM360" s="28" t="e">
        <f t="shared" si="527"/>
        <v>#N/A</v>
      </c>
      <c r="BN360" s="33">
        <f>HLOOKUP("maximum population",Miscelaneous!$C$1:$C$33,CH360+3,FALSE)</f>
        <v>240</v>
      </c>
      <c r="BO360" s="14">
        <f t="shared" si="493"/>
        <v>32</v>
      </c>
      <c r="BP360" s="14">
        <f t="shared" si="494"/>
        <v>0</v>
      </c>
      <c r="BQ360" s="14">
        <f t="shared" si="495"/>
        <v>208</v>
      </c>
      <c r="BR360" s="34" t="e">
        <f>HLOOKUP(J360,Villagers!$B$1:$V$33,L360+3,FALSE)-HLOOKUP(J360,Villagers!$B$1:$V$33,L360+2,FALSE)</f>
        <v>#N/A</v>
      </c>
      <c r="BS360" s="49">
        <f t="shared" si="496"/>
        <v>1</v>
      </c>
      <c r="BT360" s="50">
        <f t="shared" si="497"/>
        <v>0</v>
      </c>
      <c r="BU360" s="50">
        <f t="shared" si="498"/>
        <v>0</v>
      </c>
      <c r="BV360" s="50">
        <f t="shared" si="499"/>
        <v>0</v>
      </c>
      <c r="BW360" s="50">
        <f t="shared" ref="BW360:BW367" si="544">IF($J359=BW$14,$L359,BW359)</f>
        <v>0</v>
      </c>
      <c r="BX360" s="50">
        <f t="shared" si="543"/>
        <v>0</v>
      </c>
      <c r="BY360" s="50">
        <f t="shared" si="543"/>
        <v>0</v>
      </c>
      <c r="BZ360" s="50">
        <f t="shared" si="530"/>
        <v>0</v>
      </c>
      <c r="CA360" s="50">
        <f t="shared" si="531"/>
        <v>0</v>
      </c>
      <c r="CB360" s="50">
        <f t="shared" si="532"/>
        <v>1</v>
      </c>
      <c r="CC360" s="50">
        <f t="shared" si="533"/>
        <v>0</v>
      </c>
      <c r="CD360" s="50">
        <f t="shared" si="534"/>
        <v>0</v>
      </c>
      <c r="CE360" s="50">
        <f t="shared" si="535"/>
        <v>1</v>
      </c>
      <c r="CF360" s="50">
        <f t="shared" si="536"/>
        <v>1</v>
      </c>
      <c r="CG360" s="50">
        <f t="shared" si="537"/>
        <v>1</v>
      </c>
      <c r="CH360" s="50">
        <f t="shared" si="538"/>
        <v>1</v>
      </c>
      <c r="CI360" s="50">
        <f t="shared" si="539"/>
        <v>1</v>
      </c>
      <c r="CJ360" s="50">
        <f t="shared" si="540"/>
        <v>1</v>
      </c>
      <c r="CK360" s="50">
        <f t="shared" si="540"/>
        <v>0</v>
      </c>
      <c r="CL360" s="50">
        <f t="shared" si="540"/>
        <v>0</v>
      </c>
      <c r="CM360" s="51">
        <f t="shared" si="482"/>
        <v>0</v>
      </c>
      <c r="CN360" s="33">
        <f>ROUND(IF(BS360=0,0,HLOOKUP(BS$14,Villagers!$B$1:$V$33,BS360+3,FALSE)),)</f>
        <v>5</v>
      </c>
      <c r="CO360" s="14">
        <f>ROUND(IF(BT360=0,0,HLOOKUP(BT$14,Villagers!$B$1:$V$33,BT360+3,FALSE)),)</f>
        <v>0</v>
      </c>
      <c r="CP360" s="14">
        <f>ROUND(IF(BU360=0,0,HLOOKUP(BU$14,Villagers!$B$1:$V$33,BU360+3,FALSE)),)</f>
        <v>0</v>
      </c>
      <c r="CQ360" s="14">
        <f>ROUND(IF(BV360=0,0,HLOOKUP(BV$14,Villagers!$B$1:$V$33,BV360+3,FALSE)),)</f>
        <v>0</v>
      </c>
      <c r="CR360" s="14">
        <f>ROUND(IF(BW360=0,0,HLOOKUP(BW$14,Villagers!$B$1:$V$33,BW360+3,FALSE)),)</f>
        <v>0</v>
      </c>
      <c r="CS360" s="14">
        <f>ROUND(IF(BX360=0,0,HLOOKUP(BX$14,Villagers!$B$1:$V$33,BX360+3,FALSE)),)</f>
        <v>0</v>
      </c>
      <c r="CT360" s="14">
        <f>ROUND(IF(BY360=0,0,HLOOKUP(BY$14,Villagers!$B$1:$V$33,BY360+3,FALSE)),)</f>
        <v>0</v>
      </c>
      <c r="CU360" s="14">
        <f>ROUND(IF(BZ360=0,0,HLOOKUP(BZ$14,Villagers!$B$1:$V$33,BZ360+3,FALSE)),)</f>
        <v>0</v>
      </c>
      <c r="CV360" s="14">
        <f>ROUND(IF(CA360=0,0,HLOOKUP(CA$14,Villagers!$B$1:$V$33,CA360+3,FALSE)),)</f>
        <v>0</v>
      </c>
      <c r="CW360" s="14">
        <f>ROUND(IF(CB360=0,0,HLOOKUP(CB$14,Villagers!$B$1:$V$33,CB360+3,FALSE)),)</f>
        <v>0</v>
      </c>
      <c r="CX360" s="14">
        <f>ROUND(IF(CC360=0,0,HLOOKUP(CC$14,Villagers!$B$1:$V$33,CC360+3,FALSE)),)</f>
        <v>0</v>
      </c>
      <c r="CY360" s="14">
        <f>ROUND(IF(CD360=0,0,HLOOKUP(CD$14,Villagers!$B$1:$V$33,CD360+3,FALSE)),)</f>
        <v>0</v>
      </c>
      <c r="CZ360" s="14">
        <f>ROUND(IF(CE360=0,0,HLOOKUP(CE$14,Villagers!$B$1:$V$33,CE360+3,FALSE)),)</f>
        <v>5</v>
      </c>
      <c r="DA360" s="14">
        <f>ROUND(IF(CF360=0,0,HLOOKUP(CF$14,Villagers!$B$1:$V$33,CF360+3,FALSE)),)</f>
        <v>10</v>
      </c>
      <c r="DB360" s="14">
        <f>ROUND(IF(CG360=0,0,HLOOKUP(CG$14,Villagers!$B$1:$V$33,CG360+3,FALSE)),)</f>
        <v>10</v>
      </c>
      <c r="DC360" s="14">
        <f>ROUND(IF(CH360=0,0,HLOOKUP(CH$14,Villagers!$B$1:$V$33,CH360+3,FALSE)),)</f>
        <v>0</v>
      </c>
      <c r="DD360" s="14">
        <f>ROUND(IF(CI360=0,0,HLOOKUP(CI$14,Villagers!$B$1:$V$33,CI360+3,FALSE)),)</f>
        <v>0</v>
      </c>
      <c r="DE360" s="14">
        <f>ROUND(IF(CJ360=0,0,HLOOKUP(CJ$14,Villagers!$B$1:$V$33,CJ360+3,FALSE)),)</f>
        <v>2</v>
      </c>
      <c r="DF360" s="370">
        <f>ROUND(IF(CK360=0,0,HLOOKUP(CK$14,Villagers!$B$1:$V$33,CK360+3,FALSE)),)</f>
        <v>0</v>
      </c>
      <c r="DG360" s="370">
        <f>ROUND(IF(CL360=0,0,HLOOKUP(CL$14,Villagers!$B$1:$V$33,CL360+3,FALSE)),)</f>
        <v>0</v>
      </c>
      <c r="DH360" s="34">
        <f>ROUND(IF(CM360=0,0,HLOOKUP(CM$14,Villagers!$B$1:$V$33,CM360+3,FALSE)),)</f>
        <v>0</v>
      </c>
      <c r="DI360" s="109">
        <f t="shared" si="516"/>
        <v>0</v>
      </c>
      <c r="DJ360" s="50">
        <f t="shared" si="517"/>
        <v>0</v>
      </c>
      <c r="DK360" s="50">
        <f t="shared" si="518"/>
        <v>0</v>
      </c>
      <c r="DL360" s="50">
        <f t="shared" si="519"/>
        <v>0</v>
      </c>
      <c r="DM360" s="50">
        <f t="shared" si="520"/>
        <v>0</v>
      </c>
      <c r="DN360" s="50">
        <f t="shared" si="521"/>
        <v>0</v>
      </c>
      <c r="DO360" s="50">
        <f t="shared" si="522"/>
        <v>0</v>
      </c>
      <c r="DP360" s="50">
        <f t="shared" si="523"/>
        <v>0</v>
      </c>
      <c r="DQ360" s="50">
        <f t="shared" si="501"/>
        <v>0</v>
      </c>
      <c r="DR360" s="50">
        <f t="shared" si="502"/>
        <v>0</v>
      </c>
      <c r="DS360" s="96">
        <f>Miscelaneous!$D$4*Miscelaneous!$D$2^($CI360-1)</f>
        <v>1000</v>
      </c>
      <c r="DT360" s="333">
        <f t="shared" si="483"/>
        <v>1</v>
      </c>
      <c r="DU360" s="81">
        <v>1</v>
      </c>
      <c r="DV360" s="79">
        <f t="shared" si="503"/>
        <v>0</v>
      </c>
      <c r="DW360" s="79">
        <f t="shared" si="504"/>
        <v>0</v>
      </c>
      <c r="DX360" s="79">
        <f t="shared" si="505"/>
        <v>0</v>
      </c>
      <c r="DY360" s="79">
        <v>1</v>
      </c>
      <c r="DZ360" s="79">
        <f t="shared" si="506"/>
        <v>0</v>
      </c>
      <c r="EA360" s="79">
        <f t="shared" si="507"/>
        <v>0</v>
      </c>
      <c r="EB360" s="79">
        <f t="shared" si="508"/>
        <v>0</v>
      </c>
      <c r="EC360" s="79">
        <f t="shared" si="509"/>
        <v>0</v>
      </c>
      <c r="ED360" s="79">
        <v>1</v>
      </c>
      <c r="EE360" s="79">
        <v>1</v>
      </c>
      <c r="EF360" s="79">
        <f t="shared" si="510"/>
        <v>0</v>
      </c>
      <c r="EG360" s="79">
        <v>1</v>
      </c>
      <c r="EH360" s="79">
        <v>1</v>
      </c>
      <c r="EI360" s="79">
        <v>1</v>
      </c>
      <c r="EJ360" s="79">
        <v>1</v>
      </c>
      <c r="EK360" s="79">
        <v>1</v>
      </c>
      <c r="EL360" s="79">
        <v>1</v>
      </c>
      <c r="EM360" s="143">
        <f t="shared" si="511"/>
        <v>0</v>
      </c>
      <c r="EN360" s="143">
        <f t="shared" si="512"/>
        <v>0</v>
      </c>
      <c r="EO360" s="82">
        <f t="shared" si="513"/>
        <v>0</v>
      </c>
    </row>
    <row r="361" spans="1:145" x14ac:dyDescent="0.25">
      <c r="A361">
        <v>347</v>
      </c>
      <c r="B361" s="172" t="e">
        <f t="shared" si="484"/>
        <v>#N/A</v>
      </c>
      <c r="C361" s="121" t="e">
        <f t="shared" si="462"/>
        <v>#N/A</v>
      </c>
      <c r="D361" s="122" t="e">
        <f t="shared" si="463"/>
        <v>#N/A</v>
      </c>
      <c r="E361" s="122" t="e">
        <f t="shared" si="464"/>
        <v>#N/A</v>
      </c>
      <c r="F361" s="176" t="e">
        <f t="shared" si="465"/>
        <v>#N/A</v>
      </c>
      <c r="G361" s="121">
        <f t="shared" si="485"/>
        <v>208</v>
      </c>
      <c r="H361" s="176" t="e">
        <f t="shared" si="486"/>
        <v>#N/A</v>
      </c>
      <c r="I361" s="48">
        <v>1</v>
      </c>
      <c r="J361" s="39"/>
      <c r="K361" s="350">
        <v>1</v>
      </c>
      <c r="L361" s="34" t="e">
        <f t="shared" si="466"/>
        <v>#N/A</v>
      </c>
      <c r="M361" s="38" t="e">
        <f>(HLOOKUP(J361,'Construction Times'!$B$3:$W$34,L361+2,FALSE)*HLOOKUP("hq modifier",'Construction Times'!$W$3:$W$34,BS361+2,FALSE))*(1-$H$9)</f>
        <v>#N/A</v>
      </c>
      <c r="N361" s="443" t="e">
        <f t="shared" si="487"/>
        <v>#N/A</v>
      </c>
      <c r="O361" s="444"/>
      <c r="P361" s="447" t="e">
        <f t="shared" si="488"/>
        <v>#N/A</v>
      </c>
      <c r="Q361" s="448"/>
      <c r="R361" s="103">
        <f t="shared" si="514"/>
        <v>0</v>
      </c>
      <c r="S361" s="104">
        <f t="shared" si="514"/>
        <v>0</v>
      </c>
      <c r="T361" s="104">
        <f t="shared" si="515"/>
        <v>0</v>
      </c>
      <c r="U361" s="104">
        <f t="shared" si="515"/>
        <v>0</v>
      </c>
      <c r="V361" s="104">
        <f t="shared" si="515"/>
        <v>9.9999999999999995E-8</v>
      </c>
      <c r="W361" s="104">
        <f t="shared" si="515"/>
        <v>0</v>
      </c>
      <c r="X361" s="104">
        <f t="shared" si="455"/>
        <v>0</v>
      </c>
      <c r="Y361" s="104">
        <f t="shared" si="455"/>
        <v>9.9999999999999995E-8</v>
      </c>
      <c r="Z361" s="104">
        <f t="shared" si="455"/>
        <v>9.9999999999999995E-8</v>
      </c>
      <c r="AA361" s="105">
        <f t="shared" si="455"/>
        <v>9.9999999999999995E-8</v>
      </c>
      <c r="AB361" s="101" t="e">
        <f>$DT361*HLOOKUP($J361,'Construction Costs (timber)'!$B$1:$V$32,'Construction Planner'!$L361+2,FALSE)</f>
        <v>#N/A</v>
      </c>
      <c r="AC361" s="14" t="e">
        <f>$DT361*HLOOKUP($J361,'Construction Costs (clay)'!$B$1:$V$32,'Construction Planner'!$L361+2,FALSE)</f>
        <v>#N/A</v>
      </c>
      <c r="AD361" s="14" t="e">
        <f>$DT361*HLOOKUP($J361,'Construction Costs (iron)'!$B$1:$V$32,'Construction Planner'!$L361+2,FALSE)</f>
        <v>#N/A</v>
      </c>
      <c r="AE361" s="34" t="e">
        <f t="shared" si="524"/>
        <v>#N/A</v>
      </c>
      <c r="AF361" s="33" t="e">
        <f t="shared" si="467"/>
        <v>#N/A</v>
      </c>
      <c r="AG361" s="14" t="e">
        <f t="shared" si="468"/>
        <v>#N/A</v>
      </c>
      <c r="AH361" s="14" t="e">
        <f t="shared" si="469"/>
        <v>#N/A</v>
      </c>
      <c r="AI361" s="34" t="e">
        <f t="shared" si="525"/>
        <v>#N/A</v>
      </c>
      <c r="AJ361" s="49" t="e">
        <f t="shared" si="489"/>
        <v>#N/A</v>
      </c>
      <c r="AK361" s="49" t="e">
        <f t="shared" si="490"/>
        <v>#N/A</v>
      </c>
      <c r="AL361" s="49" t="e">
        <f t="shared" si="491"/>
        <v>#N/A</v>
      </c>
      <c r="AM361" s="25">
        <f t="shared" si="470"/>
        <v>30</v>
      </c>
      <c r="AN361" s="25">
        <f t="shared" si="471"/>
        <v>30</v>
      </c>
      <c r="AO361" s="25">
        <f t="shared" si="472"/>
        <v>30</v>
      </c>
      <c r="AP361" s="52" t="e">
        <f t="shared" si="492"/>
        <v>#N/A</v>
      </c>
      <c r="AQ361" s="53" t="e">
        <f t="shared" si="492"/>
        <v>#N/A</v>
      </c>
      <c r="AR361" s="54" t="e">
        <f t="shared" si="492"/>
        <v>#N/A</v>
      </c>
      <c r="AS361" s="316">
        <f t="shared" si="542"/>
        <v>0</v>
      </c>
      <c r="AT361" s="106">
        <f>_xlfn.IFNA($M361/VLOOKUP($BT361,'Unit information'!$A$2:$K$29,2,FALSE)*R361,0)*(1+$E$9)</f>
        <v>0</v>
      </c>
      <c r="AU361" s="107">
        <f>_xlfn.IFNA($M361/VLOOKUP($BT361,'Unit information'!$A$2:$K$29,3,FALSE)*S361,0)*(1+$E$9)</f>
        <v>0</v>
      </c>
      <c r="AV361" s="107">
        <f>_xlfn.IFNA($M361/VLOOKUP($BT361,'Unit information'!$A$2:$K$29,4,FALSE)*T361,0)*(1+$E$9)</f>
        <v>0</v>
      </c>
      <c r="AW361" s="107">
        <f>_xlfn.IFNA($M361/VLOOKUP($BT361,'Unit information'!$A$2:$K$29,5,FALSE)*U361,0)*(1+$E$9)</f>
        <v>0</v>
      </c>
      <c r="AX361" s="107">
        <f>_xlfn.IFNA($M361/VLOOKUP($BU361,'Unit information'!$A$2:$K$29,6,FALSE)*V361,0)*(1+$E$9)</f>
        <v>0</v>
      </c>
      <c r="AY361" s="107">
        <f>_xlfn.IFNA($M361/VLOOKUP($BU361,'Unit information'!$A$2:$K$29,7,FALSE)*W361,0)*(1+$E$9)</f>
        <v>0</v>
      </c>
      <c r="AZ361" s="107">
        <f>_xlfn.IFNA($M361/VLOOKUP($BU361,'Unit information'!$A$2:$K$29,8,FALSE)*X361,0)*(1+$E$9)</f>
        <v>0</v>
      </c>
      <c r="BA361" s="107">
        <f>_xlfn.IFNA($M361/VLOOKUP($BU361,'Unit information'!$A$2:$K$29,9,FALSE)*Y361,0)*(1+$E$9)</f>
        <v>0</v>
      </c>
      <c r="BB361" s="107">
        <f>_xlfn.IFNA($M361/VLOOKUP($BV361,'Unit information'!$A$2:$K$29,10,FALSE)*Z361,0)*(1+$E$9)</f>
        <v>0</v>
      </c>
      <c r="BC361" s="108">
        <f>_xlfn.IFNA($M361/VLOOKUP($BV361,'Unit information'!$A$2:$K$29,11,FALSE)*AA361,0)*(1+$E$9)</f>
        <v>0</v>
      </c>
      <c r="BD361" s="106">
        <f t="shared" si="473"/>
        <v>0</v>
      </c>
      <c r="BE361" s="107">
        <f t="shared" si="474"/>
        <v>0</v>
      </c>
      <c r="BF361" s="108">
        <f t="shared" si="475"/>
        <v>0</v>
      </c>
      <c r="BG361" s="25" t="e">
        <f t="shared" si="476"/>
        <v>#N/A</v>
      </c>
      <c r="BH361" s="25" t="e">
        <f t="shared" si="477"/>
        <v>#N/A</v>
      </c>
      <c r="BI361" s="25" t="e">
        <f t="shared" si="478"/>
        <v>#N/A</v>
      </c>
      <c r="BJ361" s="27" t="e">
        <f t="shared" si="479"/>
        <v>#N/A</v>
      </c>
      <c r="BK361" s="18" t="e">
        <f t="shared" si="480"/>
        <v>#N/A</v>
      </c>
      <c r="BL361" s="18" t="e">
        <f t="shared" si="481"/>
        <v>#N/A</v>
      </c>
      <c r="BM361" s="28" t="e">
        <f t="shared" si="527"/>
        <v>#N/A</v>
      </c>
      <c r="BN361" s="33">
        <f>HLOOKUP("maximum population",Miscelaneous!$C$1:$C$33,CH361+3,FALSE)</f>
        <v>240</v>
      </c>
      <c r="BO361" s="14">
        <f t="shared" si="493"/>
        <v>32</v>
      </c>
      <c r="BP361" s="14">
        <f t="shared" si="494"/>
        <v>0</v>
      </c>
      <c r="BQ361" s="14">
        <f t="shared" si="495"/>
        <v>208</v>
      </c>
      <c r="BR361" s="34" t="e">
        <f>HLOOKUP(J361,Villagers!$B$1:$V$33,L361+3,FALSE)-HLOOKUP(J361,Villagers!$B$1:$V$33,L361+2,FALSE)</f>
        <v>#N/A</v>
      </c>
      <c r="BS361" s="49">
        <f t="shared" si="496"/>
        <v>1</v>
      </c>
      <c r="BT361" s="50">
        <f t="shared" si="497"/>
        <v>0</v>
      </c>
      <c r="BU361" s="50">
        <f t="shared" si="498"/>
        <v>0</v>
      </c>
      <c r="BV361" s="50">
        <f t="shared" si="499"/>
        <v>0</v>
      </c>
      <c r="BW361" s="50">
        <f t="shared" si="544"/>
        <v>0</v>
      </c>
      <c r="BX361" s="50">
        <f t="shared" si="543"/>
        <v>0</v>
      </c>
      <c r="BY361" s="50">
        <f t="shared" si="543"/>
        <v>0</v>
      </c>
      <c r="BZ361" s="50">
        <f t="shared" si="530"/>
        <v>0</v>
      </c>
      <c r="CA361" s="50">
        <f t="shared" si="531"/>
        <v>0</v>
      </c>
      <c r="CB361" s="50">
        <f t="shared" si="532"/>
        <v>1</v>
      </c>
      <c r="CC361" s="50">
        <f t="shared" si="533"/>
        <v>0</v>
      </c>
      <c r="CD361" s="50">
        <f t="shared" si="534"/>
        <v>0</v>
      </c>
      <c r="CE361" s="50">
        <f t="shared" si="535"/>
        <v>1</v>
      </c>
      <c r="CF361" s="50">
        <f t="shared" si="536"/>
        <v>1</v>
      </c>
      <c r="CG361" s="50">
        <f t="shared" si="537"/>
        <v>1</v>
      </c>
      <c r="CH361" s="50">
        <f t="shared" si="538"/>
        <v>1</v>
      </c>
      <c r="CI361" s="50">
        <f t="shared" si="539"/>
        <v>1</v>
      </c>
      <c r="CJ361" s="50">
        <f t="shared" si="540"/>
        <v>1</v>
      </c>
      <c r="CK361" s="50">
        <f t="shared" si="540"/>
        <v>0</v>
      </c>
      <c r="CL361" s="50">
        <f t="shared" si="540"/>
        <v>0</v>
      </c>
      <c r="CM361" s="51">
        <f t="shared" si="482"/>
        <v>0</v>
      </c>
      <c r="CN361" s="33">
        <f>ROUND(IF(BS361=0,0,HLOOKUP(BS$14,Villagers!$B$1:$V$33,BS361+3,FALSE)),)</f>
        <v>5</v>
      </c>
      <c r="CO361" s="14">
        <f>ROUND(IF(BT361=0,0,HLOOKUP(BT$14,Villagers!$B$1:$V$33,BT361+3,FALSE)),)</f>
        <v>0</v>
      </c>
      <c r="CP361" s="14">
        <f>ROUND(IF(BU361=0,0,HLOOKUP(BU$14,Villagers!$B$1:$V$33,BU361+3,FALSE)),)</f>
        <v>0</v>
      </c>
      <c r="CQ361" s="14">
        <f>ROUND(IF(BV361=0,0,HLOOKUP(BV$14,Villagers!$B$1:$V$33,BV361+3,FALSE)),)</f>
        <v>0</v>
      </c>
      <c r="CR361" s="14">
        <f>ROUND(IF(BW361=0,0,HLOOKUP(BW$14,Villagers!$B$1:$V$33,BW361+3,FALSE)),)</f>
        <v>0</v>
      </c>
      <c r="CS361" s="14">
        <f>ROUND(IF(BX361=0,0,HLOOKUP(BX$14,Villagers!$B$1:$V$33,BX361+3,FALSE)),)</f>
        <v>0</v>
      </c>
      <c r="CT361" s="14">
        <f>ROUND(IF(BY361=0,0,HLOOKUP(BY$14,Villagers!$B$1:$V$33,BY361+3,FALSE)),)</f>
        <v>0</v>
      </c>
      <c r="CU361" s="14">
        <f>ROUND(IF(BZ361=0,0,HLOOKUP(BZ$14,Villagers!$B$1:$V$33,BZ361+3,FALSE)),)</f>
        <v>0</v>
      </c>
      <c r="CV361" s="14">
        <f>ROUND(IF(CA361=0,0,HLOOKUP(CA$14,Villagers!$B$1:$V$33,CA361+3,FALSE)),)</f>
        <v>0</v>
      </c>
      <c r="CW361" s="14">
        <f>ROUND(IF(CB361=0,0,HLOOKUP(CB$14,Villagers!$B$1:$V$33,CB361+3,FALSE)),)</f>
        <v>0</v>
      </c>
      <c r="CX361" s="14">
        <f>ROUND(IF(CC361=0,0,HLOOKUP(CC$14,Villagers!$B$1:$V$33,CC361+3,FALSE)),)</f>
        <v>0</v>
      </c>
      <c r="CY361" s="14">
        <f>ROUND(IF(CD361=0,0,HLOOKUP(CD$14,Villagers!$B$1:$V$33,CD361+3,FALSE)),)</f>
        <v>0</v>
      </c>
      <c r="CZ361" s="14">
        <f>ROUND(IF(CE361=0,0,HLOOKUP(CE$14,Villagers!$B$1:$V$33,CE361+3,FALSE)),)</f>
        <v>5</v>
      </c>
      <c r="DA361" s="14">
        <f>ROUND(IF(CF361=0,0,HLOOKUP(CF$14,Villagers!$B$1:$V$33,CF361+3,FALSE)),)</f>
        <v>10</v>
      </c>
      <c r="DB361" s="14">
        <f>ROUND(IF(CG361=0,0,HLOOKUP(CG$14,Villagers!$B$1:$V$33,CG361+3,FALSE)),)</f>
        <v>10</v>
      </c>
      <c r="DC361" s="14">
        <f>ROUND(IF(CH361=0,0,HLOOKUP(CH$14,Villagers!$B$1:$V$33,CH361+3,FALSE)),)</f>
        <v>0</v>
      </c>
      <c r="DD361" s="14">
        <f>ROUND(IF(CI361=0,0,HLOOKUP(CI$14,Villagers!$B$1:$V$33,CI361+3,FALSE)),)</f>
        <v>0</v>
      </c>
      <c r="DE361" s="14">
        <f>ROUND(IF(CJ361=0,0,HLOOKUP(CJ$14,Villagers!$B$1:$V$33,CJ361+3,FALSE)),)</f>
        <v>2</v>
      </c>
      <c r="DF361" s="370">
        <f>ROUND(IF(CK361=0,0,HLOOKUP(CK$14,Villagers!$B$1:$V$33,CK361+3,FALSE)),)</f>
        <v>0</v>
      </c>
      <c r="DG361" s="370">
        <f>ROUND(IF(CL361=0,0,HLOOKUP(CL$14,Villagers!$B$1:$V$33,CL361+3,FALSE)),)</f>
        <v>0</v>
      </c>
      <c r="DH361" s="34">
        <f>ROUND(IF(CM361=0,0,HLOOKUP(CM$14,Villagers!$B$1:$V$33,CM361+3,FALSE)),)</f>
        <v>0</v>
      </c>
      <c r="DI361" s="109">
        <f t="shared" si="516"/>
        <v>0</v>
      </c>
      <c r="DJ361" s="50">
        <f t="shared" si="517"/>
        <v>0</v>
      </c>
      <c r="DK361" s="50">
        <f t="shared" si="518"/>
        <v>0</v>
      </c>
      <c r="DL361" s="50">
        <f t="shared" si="519"/>
        <v>0</v>
      </c>
      <c r="DM361" s="50">
        <f t="shared" si="520"/>
        <v>0</v>
      </c>
      <c r="DN361" s="50">
        <f t="shared" si="521"/>
        <v>0</v>
      </c>
      <c r="DO361" s="50">
        <f t="shared" si="522"/>
        <v>0</v>
      </c>
      <c r="DP361" s="50">
        <f t="shared" si="523"/>
        <v>0</v>
      </c>
      <c r="DQ361" s="50">
        <f t="shared" si="501"/>
        <v>0</v>
      </c>
      <c r="DR361" s="50">
        <f t="shared" si="502"/>
        <v>0</v>
      </c>
      <c r="DS361" s="96">
        <f>Miscelaneous!$D$4*Miscelaneous!$D$2^($CI361-1)</f>
        <v>1000</v>
      </c>
      <c r="DT361" s="333">
        <f t="shared" si="483"/>
        <v>1</v>
      </c>
      <c r="DU361" s="81">
        <v>1</v>
      </c>
      <c r="DV361" s="79">
        <f t="shared" si="503"/>
        <v>0</v>
      </c>
      <c r="DW361" s="79">
        <f t="shared" si="504"/>
        <v>0</v>
      </c>
      <c r="DX361" s="79">
        <f t="shared" si="505"/>
        <v>0</v>
      </c>
      <c r="DY361" s="79">
        <v>1</v>
      </c>
      <c r="DZ361" s="79">
        <f t="shared" si="506"/>
        <v>0</v>
      </c>
      <c r="EA361" s="79">
        <f t="shared" si="507"/>
        <v>0</v>
      </c>
      <c r="EB361" s="79">
        <f t="shared" si="508"/>
        <v>0</v>
      </c>
      <c r="EC361" s="79">
        <f t="shared" si="509"/>
        <v>0</v>
      </c>
      <c r="ED361" s="79">
        <v>1</v>
      </c>
      <c r="EE361" s="79">
        <v>1</v>
      </c>
      <c r="EF361" s="79">
        <f t="shared" si="510"/>
        <v>0</v>
      </c>
      <c r="EG361" s="79">
        <v>1</v>
      </c>
      <c r="EH361" s="79">
        <v>1</v>
      </c>
      <c r="EI361" s="79">
        <v>1</v>
      </c>
      <c r="EJ361" s="79">
        <v>1</v>
      </c>
      <c r="EK361" s="79">
        <v>1</v>
      </c>
      <c r="EL361" s="79">
        <v>1</v>
      </c>
      <c r="EM361" s="143">
        <f t="shared" si="511"/>
        <v>0</v>
      </c>
      <c r="EN361" s="143">
        <f t="shared" si="512"/>
        <v>0</v>
      </c>
      <c r="EO361" s="82">
        <f t="shared" si="513"/>
        <v>0</v>
      </c>
    </row>
    <row r="362" spans="1:145" x14ac:dyDescent="0.25">
      <c r="A362">
        <v>348</v>
      </c>
      <c r="B362" s="172" t="e">
        <f t="shared" si="484"/>
        <v>#N/A</v>
      </c>
      <c r="C362" s="121" t="e">
        <f t="shared" si="462"/>
        <v>#N/A</v>
      </c>
      <c r="D362" s="122" t="e">
        <f t="shared" si="463"/>
        <v>#N/A</v>
      </c>
      <c r="E362" s="122" t="e">
        <f t="shared" si="464"/>
        <v>#N/A</v>
      </c>
      <c r="F362" s="176" t="e">
        <f t="shared" si="465"/>
        <v>#N/A</v>
      </c>
      <c r="G362" s="121">
        <f t="shared" si="485"/>
        <v>208</v>
      </c>
      <c r="H362" s="176" t="e">
        <f t="shared" si="486"/>
        <v>#N/A</v>
      </c>
      <c r="I362" s="48">
        <v>1</v>
      </c>
      <c r="J362" s="39"/>
      <c r="K362" s="350">
        <v>1</v>
      </c>
      <c r="L362" s="34" t="e">
        <f t="shared" si="466"/>
        <v>#N/A</v>
      </c>
      <c r="M362" s="38" t="e">
        <f>(HLOOKUP(J362,'Construction Times'!$B$3:$W$34,L362+2,FALSE)*HLOOKUP("hq modifier",'Construction Times'!$W$3:$W$34,BS362+2,FALSE))*(1-$H$9)</f>
        <v>#N/A</v>
      </c>
      <c r="N362" s="443" t="e">
        <f t="shared" si="487"/>
        <v>#N/A</v>
      </c>
      <c r="O362" s="444"/>
      <c r="P362" s="447" t="e">
        <f t="shared" si="488"/>
        <v>#N/A</v>
      </c>
      <c r="Q362" s="448"/>
      <c r="R362" s="103">
        <f t="shared" si="514"/>
        <v>0</v>
      </c>
      <c r="S362" s="104">
        <f t="shared" si="514"/>
        <v>0</v>
      </c>
      <c r="T362" s="104">
        <f t="shared" si="515"/>
        <v>0</v>
      </c>
      <c r="U362" s="104">
        <f t="shared" si="515"/>
        <v>0</v>
      </c>
      <c r="V362" s="104">
        <f t="shared" si="515"/>
        <v>9.9999999999999995E-8</v>
      </c>
      <c r="W362" s="104">
        <f t="shared" si="515"/>
        <v>0</v>
      </c>
      <c r="X362" s="104">
        <f t="shared" si="455"/>
        <v>0</v>
      </c>
      <c r="Y362" s="104">
        <f t="shared" si="455"/>
        <v>9.9999999999999995E-8</v>
      </c>
      <c r="Z362" s="104">
        <f t="shared" si="455"/>
        <v>9.9999999999999995E-8</v>
      </c>
      <c r="AA362" s="105">
        <f t="shared" si="455"/>
        <v>9.9999999999999995E-8</v>
      </c>
      <c r="AB362" s="101" t="e">
        <f>$DT362*HLOOKUP($J362,'Construction Costs (timber)'!$B$1:$V$32,'Construction Planner'!$L362+2,FALSE)</f>
        <v>#N/A</v>
      </c>
      <c r="AC362" s="14" t="e">
        <f>$DT362*HLOOKUP($J362,'Construction Costs (clay)'!$B$1:$V$32,'Construction Planner'!$L362+2,FALSE)</f>
        <v>#N/A</v>
      </c>
      <c r="AD362" s="14" t="e">
        <f>$DT362*HLOOKUP($J362,'Construction Costs (iron)'!$B$1:$V$32,'Construction Planner'!$L362+2,FALSE)</f>
        <v>#N/A</v>
      </c>
      <c r="AE362" s="34" t="e">
        <f t="shared" si="524"/>
        <v>#N/A</v>
      </c>
      <c r="AF362" s="33" t="e">
        <f t="shared" si="467"/>
        <v>#N/A</v>
      </c>
      <c r="AG362" s="14" t="e">
        <f t="shared" si="468"/>
        <v>#N/A</v>
      </c>
      <c r="AH362" s="14" t="e">
        <f t="shared" si="469"/>
        <v>#N/A</v>
      </c>
      <c r="AI362" s="34" t="e">
        <f t="shared" si="525"/>
        <v>#N/A</v>
      </c>
      <c r="AJ362" s="49" t="e">
        <f t="shared" si="489"/>
        <v>#N/A</v>
      </c>
      <c r="AK362" s="49" t="e">
        <f t="shared" si="490"/>
        <v>#N/A</v>
      </c>
      <c r="AL362" s="49" t="e">
        <f t="shared" si="491"/>
        <v>#N/A</v>
      </c>
      <c r="AM362" s="25">
        <f t="shared" si="470"/>
        <v>30</v>
      </c>
      <c r="AN362" s="25">
        <f t="shared" si="471"/>
        <v>30</v>
      </c>
      <c r="AO362" s="25">
        <f t="shared" si="472"/>
        <v>30</v>
      </c>
      <c r="AP362" s="52" t="e">
        <f t="shared" si="492"/>
        <v>#N/A</v>
      </c>
      <c r="AQ362" s="53" t="e">
        <f t="shared" si="492"/>
        <v>#N/A</v>
      </c>
      <c r="AR362" s="54" t="e">
        <f t="shared" si="492"/>
        <v>#N/A</v>
      </c>
      <c r="AS362" s="316">
        <f t="shared" si="542"/>
        <v>0</v>
      </c>
      <c r="AT362" s="106">
        <f>_xlfn.IFNA($M362/VLOOKUP($BT362,'Unit information'!$A$2:$K$29,2,FALSE)*R362,0)*(1+$E$9)</f>
        <v>0</v>
      </c>
      <c r="AU362" s="107">
        <f>_xlfn.IFNA($M362/VLOOKUP($BT362,'Unit information'!$A$2:$K$29,3,FALSE)*S362,0)*(1+$E$9)</f>
        <v>0</v>
      </c>
      <c r="AV362" s="107">
        <f>_xlfn.IFNA($M362/VLOOKUP($BT362,'Unit information'!$A$2:$K$29,4,FALSE)*T362,0)*(1+$E$9)</f>
        <v>0</v>
      </c>
      <c r="AW362" s="107">
        <f>_xlfn.IFNA($M362/VLOOKUP($BT362,'Unit information'!$A$2:$K$29,5,FALSE)*U362,0)*(1+$E$9)</f>
        <v>0</v>
      </c>
      <c r="AX362" s="107">
        <f>_xlfn.IFNA($M362/VLOOKUP($BU362,'Unit information'!$A$2:$K$29,6,FALSE)*V362,0)*(1+$E$9)</f>
        <v>0</v>
      </c>
      <c r="AY362" s="107">
        <f>_xlfn.IFNA($M362/VLOOKUP($BU362,'Unit information'!$A$2:$K$29,7,FALSE)*W362,0)*(1+$E$9)</f>
        <v>0</v>
      </c>
      <c r="AZ362" s="107">
        <f>_xlfn.IFNA($M362/VLOOKUP($BU362,'Unit information'!$A$2:$K$29,8,FALSE)*X362,0)*(1+$E$9)</f>
        <v>0</v>
      </c>
      <c r="BA362" s="107">
        <f>_xlfn.IFNA($M362/VLOOKUP($BU362,'Unit information'!$A$2:$K$29,9,FALSE)*Y362,0)*(1+$E$9)</f>
        <v>0</v>
      </c>
      <c r="BB362" s="107">
        <f>_xlfn.IFNA($M362/VLOOKUP($BV362,'Unit information'!$A$2:$K$29,10,FALSE)*Z362,0)*(1+$E$9)</f>
        <v>0</v>
      </c>
      <c r="BC362" s="108">
        <f>_xlfn.IFNA($M362/VLOOKUP($BV362,'Unit information'!$A$2:$K$29,11,FALSE)*AA362,0)*(1+$E$9)</f>
        <v>0</v>
      </c>
      <c r="BD362" s="106">
        <f t="shared" si="473"/>
        <v>0</v>
      </c>
      <c r="BE362" s="107">
        <f t="shared" si="474"/>
        <v>0</v>
      </c>
      <c r="BF362" s="108">
        <f t="shared" si="475"/>
        <v>0</v>
      </c>
      <c r="BG362" s="25" t="e">
        <f t="shared" si="476"/>
        <v>#N/A</v>
      </c>
      <c r="BH362" s="25" t="e">
        <f t="shared" si="477"/>
        <v>#N/A</v>
      </c>
      <c r="BI362" s="25" t="e">
        <f t="shared" si="478"/>
        <v>#N/A</v>
      </c>
      <c r="BJ362" s="27" t="e">
        <f t="shared" si="479"/>
        <v>#N/A</v>
      </c>
      <c r="BK362" s="18" t="e">
        <f t="shared" si="480"/>
        <v>#N/A</v>
      </c>
      <c r="BL362" s="18" t="e">
        <f t="shared" si="481"/>
        <v>#N/A</v>
      </c>
      <c r="BM362" s="28" t="e">
        <f t="shared" si="527"/>
        <v>#N/A</v>
      </c>
      <c r="BN362" s="33">
        <f>HLOOKUP("maximum population",Miscelaneous!$C$1:$C$33,CH362+3,FALSE)</f>
        <v>240</v>
      </c>
      <c r="BO362" s="14">
        <f t="shared" si="493"/>
        <v>32</v>
      </c>
      <c r="BP362" s="14">
        <f t="shared" si="494"/>
        <v>0</v>
      </c>
      <c r="BQ362" s="14">
        <f t="shared" si="495"/>
        <v>208</v>
      </c>
      <c r="BR362" s="34" t="e">
        <f>HLOOKUP(J362,Villagers!$B$1:$V$33,L362+3,FALSE)-HLOOKUP(J362,Villagers!$B$1:$V$33,L362+2,FALSE)</f>
        <v>#N/A</v>
      </c>
      <c r="BS362" s="49">
        <f t="shared" si="496"/>
        <v>1</v>
      </c>
      <c r="BT362" s="50">
        <f t="shared" si="497"/>
        <v>0</v>
      </c>
      <c r="BU362" s="50">
        <f t="shared" si="498"/>
        <v>0</v>
      </c>
      <c r="BV362" s="50">
        <f t="shared" si="499"/>
        <v>0</v>
      </c>
      <c r="BW362" s="50">
        <f t="shared" si="544"/>
        <v>0</v>
      </c>
      <c r="BX362" s="50">
        <f t="shared" si="543"/>
        <v>0</v>
      </c>
      <c r="BY362" s="50">
        <f t="shared" si="543"/>
        <v>0</v>
      </c>
      <c r="BZ362" s="50">
        <f t="shared" si="530"/>
        <v>0</v>
      </c>
      <c r="CA362" s="50">
        <f t="shared" si="531"/>
        <v>0</v>
      </c>
      <c r="CB362" s="50">
        <f t="shared" si="532"/>
        <v>1</v>
      </c>
      <c r="CC362" s="50">
        <f t="shared" si="533"/>
        <v>0</v>
      </c>
      <c r="CD362" s="50">
        <f t="shared" si="534"/>
        <v>0</v>
      </c>
      <c r="CE362" s="50">
        <f t="shared" si="535"/>
        <v>1</v>
      </c>
      <c r="CF362" s="50">
        <f t="shared" si="536"/>
        <v>1</v>
      </c>
      <c r="CG362" s="50">
        <f t="shared" si="537"/>
        <v>1</v>
      </c>
      <c r="CH362" s="50">
        <f t="shared" si="538"/>
        <v>1</v>
      </c>
      <c r="CI362" s="50">
        <f t="shared" si="539"/>
        <v>1</v>
      </c>
      <c r="CJ362" s="50">
        <f t="shared" si="540"/>
        <v>1</v>
      </c>
      <c r="CK362" s="50">
        <f t="shared" si="540"/>
        <v>0</v>
      </c>
      <c r="CL362" s="50">
        <f t="shared" si="540"/>
        <v>0</v>
      </c>
      <c r="CM362" s="51">
        <f t="shared" si="482"/>
        <v>0</v>
      </c>
      <c r="CN362" s="33">
        <f>ROUND(IF(BS362=0,0,HLOOKUP(BS$14,Villagers!$B$1:$V$33,BS362+3,FALSE)),)</f>
        <v>5</v>
      </c>
      <c r="CO362" s="14">
        <f>ROUND(IF(BT362=0,0,HLOOKUP(BT$14,Villagers!$B$1:$V$33,BT362+3,FALSE)),)</f>
        <v>0</v>
      </c>
      <c r="CP362" s="14">
        <f>ROUND(IF(BU362=0,0,HLOOKUP(BU$14,Villagers!$B$1:$V$33,BU362+3,FALSE)),)</f>
        <v>0</v>
      </c>
      <c r="CQ362" s="14">
        <f>ROUND(IF(BV362=0,0,HLOOKUP(BV$14,Villagers!$B$1:$V$33,BV362+3,FALSE)),)</f>
        <v>0</v>
      </c>
      <c r="CR362" s="14">
        <f>ROUND(IF(BW362=0,0,HLOOKUP(BW$14,Villagers!$B$1:$V$33,BW362+3,FALSE)),)</f>
        <v>0</v>
      </c>
      <c r="CS362" s="14">
        <f>ROUND(IF(BX362=0,0,HLOOKUP(BX$14,Villagers!$B$1:$V$33,BX362+3,FALSE)),)</f>
        <v>0</v>
      </c>
      <c r="CT362" s="14">
        <f>ROUND(IF(BY362=0,0,HLOOKUP(BY$14,Villagers!$B$1:$V$33,BY362+3,FALSE)),)</f>
        <v>0</v>
      </c>
      <c r="CU362" s="14">
        <f>ROUND(IF(BZ362=0,0,HLOOKUP(BZ$14,Villagers!$B$1:$V$33,BZ362+3,FALSE)),)</f>
        <v>0</v>
      </c>
      <c r="CV362" s="14">
        <f>ROUND(IF(CA362=0,0,HLOOKUP(CA$14,Villagers!$B$1:$V$33,CA362+3,FALSE)),)</f>
        <v>0</v>
      </c>
      <c r="CW362" s="14">
        <f>ROUND(IF(CB362=0,0,HLOOKUP(CB$14,Villagers!$B$1:$V$33,CB362+3,FALSE)),)</f>
        <v>0</v>
      </c>
      <c r="CX362" s="14">
        <f>ROUND(IF(CC362=0,0,HLOOKUP(CC$14,Villagers!$B$1:$V$33,CC362+3,FALSE)),)</f>
        <v>0</v>
      </c>
      <c r="CY362" s="14">
        <f>ROUND(IF(CD362=0,0,HLOOKUP(CD$14,Villagers!$B$1:$V$33,CD362+3,FALSE)),)</f>
        <v>0</v>
      </c>
      <c r="CZ362" s="14">
        <f>ROUND(IF(CE362=0,0,HLOOKUP(CE$14,Villagers!$B$1:$V$33,CE362+3,FALSE)),)</f>
        <v>5</v>
      </c>
      <c r="DA362" s="14">
        <f>ROUND(IF(CF362=0,0,HLOOKUP(CF$14,Villagers!$B$1:$V$33,CF362+3,FALSE)),)</f>
        <v>10</v>
      </c>
      <c r="DB362" s="14">
        <f>ROUND(IF(CG362=0,0,HLOOKUP(CG$14,Villagers!$B$1:$V$33,CG362+3,FALSE)),)</f>
        <v>10</v>
      </c>
      <c r="DC362" s="14">
        <f>ROUND(IF(CH362=0,0,HLOOKUP(CH$14,Villagers!$B$1:$V$33,CH362+3,FALSE)),)</f>
        <v>0</v>
      </c>
      <c r="DD362" s="14">
        <f>ROUND(IF(CI362=0,0,HLOOKUP(CI$14,Villagers!$B$1:$V$33,CI362+3,FALSE)),)</f>
        <v>0</v>
      </c>
      <c r="DE362" s="14">
        <f>ROUND(IF(CJ362=0,0,HLOOKUP(CJ$14,Villagers!$B$1:$V$33,CJ362+3,FALSE)),)</f>
        <v>2</v>
      </c>
      <c r="DF362" s="370">
        <f>ROUND(IF(CK362=0,0,HLOOKUP(CK$14,Villagers!$B$1:$V$33,CK362+3,FALSE)),)</f>
        <v>0</v>
      </c>
      <c r="DG362" s="370">
        <f>ROUND(IF(CL362=0,0,HLOOKUP(CL$14,Villagers!$B$1:$V$33,CL362+3,FALSE)),)</f>
        <v>0</v>
      </c>
      <c r="DH362" s="34">
        <f>ROUND(IF(CM362=0,0,HLOOKUP(CM$14,Villagers!$B$1:$V$33,CM362+3,FALSE)),)</f>
        <v>0</v>
      </c>
      <c r="DI362" s="109">
        <f t="shared" si="516"/>
        <v>0</v>
      </c>
      <c r="DJ362" s="50">
        <f t="shared" si="517"/>
        <v>0</v>
      </c>
      <c r="DK362" s="50">
        <f t="shared" si="518"/>
        <v>0</v>
      </c>
      <c r="DL362" s="50">
        <f t="shared" si="519"/>
        <v>0</v>
      </c>
      <c r="DM362" s="50">
        <f t="shared" si="520"/>
        <v>0</v>
      </c>
      <c r="DN362" s="50">
        <f t="shared" si="521"/>
        <v>0</v>
      </c>
      <c r="DO362" s="50">
        <f t="shared" si="522"/>
        <v>0</v>
      </c>
      <c r="DP362" s="50">
        <f t="shared" si="523"/>
        <v>0</v>
      </c>
      <c r="DQ362" s="50">
        <f t="shared" si="501"/>
        <v>0</v>
      </c>
      <c r="DR362" s="50">
        <f t="shared" si="502"/>
        <v>0</v>
      </c>
      <c r="DS362" s="96">
        <f>Miscelaneous!$D$4*Miscelaneous!$D$2^($CI362-1)</f>
        <v>1000</v>
      </c>
      <c r="DT362" s="333">
        <f t="shared" si="483"/>
        <v>1</v>
      </c>
      <c r="DU362" s="81">
        <v>1</v>
      </c>
      <c r="DV362" s="79">
        <f t="shared" si="503"/>
        <v>0</v>
      </c>
      <c r="DW362" s="79">
        <f t="shared" si="504"/>
        <v>0</v>
      </c>
      <c r="DX362" s="79">
        <f t="shared" si="505"/>
        <v>0</v>
      </c>
      <c r="DY362" s="79">
        <v>1</v>
      </c>
      <c r="DZ362" s="79">
        <f t="shared" si="506"/>
        <v>0</v>
      </c>
      <c r="EA362" s="79">
        <f t="shared" si="507"/>
        <v>0</v>
      </c>
      <c r="EB362" s="79">
        <f t="shared" si="508"/>
        <v>0</v>
      </c>
      <c r="EC362" s="79">
        <f t="shared" si="509"/>
        <v>0</v>
      </c>
      <c r="ED362" s="79">
        <v>1</v>
      </c>
      <c r="EE362" s="79">
        <v>1</v>
      </c>
      <c r="EF362" s="79">
        <f t="shared" si="510"/>
        <v>0</v>
      </c>
      <c r="EG362" s="79">
        <v>1</v>
      </c>
      <c r="EH362" s="79">
        <v>1</v>
      </c>
      <c r="EI362" s="79">
        <v>1</v>
      </c>
      <c r="EJ362" s="79">
        <v>1</v>
      </c>
      <c r="EK362" s="79">
        <v>1</v>
      </c>
      <c r="EL362" s="79">
        <v>1</v>
      </c>
      <c r="EM362" s="143">
        <f t="shared" si="511"/>
        <v>0</v>
      </c>
      <c r="EN362" s="143">
        <f t="shared" si="512"/>
        <v>0</v>
      </c>
      <c r="EO362" s="82">
        <f t="shared" si="513"/>
        <v>0</v>
      </c>
    </row>
    <row r="363" spans="1:145" x14ac:dyDescent="0.25">
      <c r="A363">
        <v>349</v>
      </c>
      <c r="B363" s="172" t="e">
        <f t="shared" si="484"/>
        <v>#N/A</v>
      </c>
      <c r="C363" s="121" t="e">
        <f t="shared" si="462"/>
        <v>#N/A</v>
      </c>
      <c r="D363" s="122" t="e">
        <f t="shared" si="463"/>
        <v>#N/A</v>
      </c>
      <c r="E363" s="122" t="e">
        <f t="shared" si="464"/>
        <v>#N/A</v>
      </c>
      <c r="F363" s="176" t="e">
        <f t="shared" si="465"/>
        <v>#N/A</v>
      </c>
      <c r="G363" s="121">
        <f t="shared" si="485"/>
        <v>208</v>
      </c>
      <c r="H363" s="176" t="e">
        <f t="shared" si="486"/>
        <v>#N/A</v>
      </c>
      <c r="I363" s="48">
        <v>1</v>
      </c>
      <c r="J363" s="39"/>
      <c r="K363" s="350">
        <v>1</v>
      </c>
      <c r="L363" s="34" t="e">
        <f t="shared" si="466"/>
        <v>#N/A</v>
      </c>
      <c r="M363" s="38" t="e">
        <f>(HLOOKUP(J363,'Construction Times'!$B$3:$W$34,L363+2,FALSE)*HLOOKUP("hq modifier",'Construction Times'!$W$3:$W$34,BS363+2,FALSE))*(1-$H$9)</f>
        <v>#N/A</v>
      </c>
      <c r="N363" s="443" t="e">
        <f t="shared" si="487"/>
        <v>#N/A</v>
      </c>
      <c r="O363" s="444"/>
      <c r="P363" s="447" t="e">
        <f t="shared" si="488"/>
        <v>#N/A</v>
      </c>
      <c r="Q363" s="448"/>
      <c r="R363" s="103">
        <f t="shared" si="514"/>
        <v>0</v>
      </c>
      <c r="S363" s="104">
        <f t="shared" si="514"/>
        <v>0</v>
      </c>
      <c r="T363" s="104">
        <f t="shared" si="515"/>
        <v>0</v>
      </c>
      <c r="U363" s="104">
        <f t="shared" si="515"/>
        <v>0</v>
      </c>
      <c r="V363" s="104">
        <f t="shared" si="515"/>
        <v>9.9999999999999995E-8</v>
      </c>
      <c r="W363" s="104">
        <f t="shared" si="515"/>
        <v>0</v>
      </c>
      <c r="X363" s="104">
        <f t="shared" si="455"/>
        <v>0</v>
      </c>
      <c r="Y363" s="104">
        <f t="shared" si="455"/>
        <v>9.9999999999999995E-8</v>
      </c>
      <c r="Z363" s="104">
        <f t="shared" si="455"/>
        <v>9.9999999999999995E-8</v>
      </c>
      <c r="AA363" s="105">
        <f t="shared" si="455"/>
        <v>9.9999999999999995E-8</v>
      </c>
      <c r="AB363" s="101" t="e">
        <f>$DT363*HLOOKUP($J363,'Construction Costs (timber)'!$B$1:$V$32,'Construction Planner'!$L363+2,FALSE)</f>
        <v>#N/A</v>
      </c>
      <c r="AC363" s="14" t="e">
        <f>$DT363*HLOOKUP($J363,'Construction Costs (clay)'!$B$1:$V$32,'Construction Planner'!$L363+2,FALSE)</f>
        <v>#N/A</v>
      </c>
      <c r="AD363" s="14" t="e">
        <f>$DT363*HLOOKUP($J363,'Construction Costs (iron)'!$B$1:$V$32,'Construction Planner'!$L363+2,FALSE)</f>
        <v>#N/A</v>
      </c>
      <c r="AE363" s="34" t="e">
        <f t="shared" si="524"/>
        <v>#N/A</v>
      </c>
      <c r="AF363" s="33" t="e">
        <f t="shared" si="467"/>
        <v>#N/A</v>
      </c>
      <c r="AG363" s="14" t="e">
        <f t="shared" si="468"/>
        <v>#N/A</v>
      </c>
      <c r="AH363" s="14" t="e">
        <f t="shared" si="469"/>
        <v>#N/A</v>
      </c>
      <c r="AI363" s="34" t="e">
        <f t="shared" si="525"/>
        <v>#N/A</v>
      </c>
      <c r="AJ363" s="49" t="e">
        <f t="shared" si="489"/>
        <v>#N/A</v>
      </c>
      <c r="AK363" s="49" t="e">
        <f t="shared" si="490"/>
        <v>#N/A</v>
      </c>
      <c r="AL363" s="49" t="e">
        <f t="shared" si="491"/>
        <v>#N/A</v>
      </c>
      <c r="AM363" s="25">
        <f t="shared" si="470"/>
        <v>30</v>
      </c>
      <c r="AN363" s="25">
        <f t="shared" si="471"/>
        <v>30</v>
      </c>
      <c r="AO363" s="25">
        <f t="shared" si="472"/>
        <v>30</v>
      </c>
      <c r="AP363" s="52" t="e">
        <f t="shared" si="492"/>
        <v>#N/A</v>
      </c>
      <c r="AQ363" s="53" t="e">
        <f t="shared" si="492"/>
        <v>#N/A</v>
      </c>
      <c r="AR363" s="54" t="e">
        <f t="shared" si="492"/>
        <v>#N/A</v>
      </c>
      <c r="AS363" s="316">
        <f t="shared" si="542"/>
        <v>0</v>
      </c>
      <c r="AT363" s="106">
        <f>_xlfn.IFNA($M363/VLOOKUP($BT363,'Unit information'!$A$2:$K$29,2,FALSE)*R363,0)*(1+$E$9)</f>
        <v>0</v>
      </c>
      <c r="AU363" s="107">
        <f>_xlfn.IFNA($M363/VLOOKUP($BT363,'Unit information'!$A$2:$K$29,3,FALSE)*S363,0)*(1+$E$9)</f>
        <v>0</v>
      </c>
      <c r="AV363" s="107">
        <f>_xlfn.IFNA($M363/VLOOKUP($BT363,'Unit information'!$A$2:$K$29,4,FALSE)*T363,0)*(1+$E$9)</f>
        <v>0</v>
      </c>
      <c r="AW363" s="107">
        <f>_xlfn.IFNA($M363/VLOOKUP($BT363,'Unit information'!$A$2:$K$29,5,FALSE)*U363,0)*(1+$E$9)</f>
        <v>0</v>
      </c>
      <c r="AX363" s="107">
        <f>_xlfn.IFNA($M363/VLOOKUP($BU363,'Unit information'!$A$2:$K$29,6,FALSE)*V363,0)*(1+$E$9)</f>
        <v>0</v>
      </c>
      <c r="AY363" s="107">
        <f>_xlfn.IFNA($M363/VLOOKUP($BU363,'Unit information'!$A$2:$K$29,7,FALSE)*W363,0)*(1+$E$9)</f>
        <v>0</v>
      </c>
      <c r="AZ363" s="107">
        <f>_xlfn.IFNA($M363/VLOOKUP($BU363,'Unit information'!$A$2:$K$29,8,FALSE)*X363,0)*(1+$E$9)</f>
        <v>0</v>
      </c>
      <c r="BA363" s="107">
        <f>_xlfn.IFNA($M363/VLOOKUP($BU363,'Unit information'!$A$2:$K$29,9,FALSE)*Y363,0)*(1+$E$9)</f>
        <v>0</v>
      </c>
      <c r="BB363" s="107">
        <f>_xlfn.IFNA($M363/VLOOKUP($BV363,'Unit information'!$A$2:$K$29,10,FALSE)*Z363,0)*(1+$E$9)</f>
        <v>0</v>
      </c>
      <c r="BC363" s="108">
        <f>_xlfn.IFNA($M363/VLOOKUP($BV363,'Unit information'!$A$2:$K$29,11,FALSE)*AA363,0)*(1+$E$9)</f>
        <v>0</v>
      </c>
      <c r="BD363" s="106">
        <f t="shared" si="473"/>
        <v>0</v>
      </c>
      <c r="BE363" s="107">
        <f t="shared" si="474"/>
        <v>0</v>
      </c>
      <c r="BF363" s="108">
        <f t="shared" si="475"/>
        <v>0</v>
      </c>
      <c r="BG363" s="25" t="e">
        <f t="shared" si="476"/>
        <v>#N/A</v>
      </c>
      <c r="BH363" s="25" t="e">
        <f t="shared" si="477"/>
        <v>#N/A</v>
      </c>
      <c r="BI363" s="25" t="e">
        <f t="shared" si="478"/>
        <v>#N/A</v>
      </c>
      <c r="BJ363" s="27" t="e">
        <f t="shared" si="479"/>
        <v>#N/A</v>
      </c>
      <c r="BK363" s="18" t="e">
        <f t="shared" si="480"/>
        <v>#N/A</v>
      </c>
      <c r="BL363" s="18" t="e">
        <f t="shared" si="481"/>
        <v>#N/A</v>
      </c>
      <c r="BM363" s="28" t="e">
        <f t="shared" si="527"/>
        <v>#N/A</v>
      </c>
      <c r="BN363" s="33">
        <f>HLOOKUP("maximum population",Miscelaneous!$C$1:$C$33,CH363+3,FALSE)</f>
        <v>240</v>
      </c>
      <c r="BO363" s="14">
        <f t="shared" si="493"/>
        <v>32</v>
      </c>
      <c r="BP363" s="14">
        <f t="shared" si="494"/>
        <v>0</v>
      </c>
      <c r="BQ363" s="14">
        <f t="shared" si="495"/>
        <v>208</v>
      </c>
      <c r="BR363" s="34" t="e">
        <f>HLOOKUP(J363,Villagers!$B$1:$V$33,L363+3,FALSE)-HLOOKUP(J363,Villagers!$B$1:$V$33,L363+2,FALSE)</f>
        <v>#N/A</v>
      </c>
      <c r="BS363" s="49">
        <f t="shared" si="496"/>
        <v>1</v>
      </c>
      <c r="BT363" s="50">
        <f t="shared" si="497"/>
        <v>0</v>
      </c>
      <c r="BU363" s="50">
        <f t="shared" si="498"/>
        <v>0</v>
      </c>
      <c r="BV363" s="50">
        <f t="shared" si="499"/>
        <v>0</v>
      </c>
      <c r="BW363" s="50">
        <f t="shared" si="544"/>
        <v>0</v>
      </c>
      <c r="BX363" s="50">
        <f t="shared" si="543"/>
        <v>0</v>
      </c>
      <c r="BY363" s="50">
        <f t="shared" si="543"/>
        <v>0</v>
      </c>
      <c r="BZ363" s="50">
        <f t="shared" si="530"/>
        <v>0</v>
      </c>
      <c r="CA363" s="50">
        <f t="shared" si="531"/>
        <v>0</v>
      </c>
      <c r="CB363" s="50">
        <f t="shared" si="532"/>
        <v>1</v>
      </c>
      <c r="CC363" s="50">
        <f t="shared" si="533"/>
        <v>0</v>
      </c>
      <c r="CD363" s="50">
        <f t="shared" si="534"/>
        <v>0</v>
      </c>
      <c r="CE363" s="50">
        <f t="shared" si="535"/>
        <v>1</v>
      </c>
      <c r="CF363" s="50">
        <f t="shared" si="536"/>
        <v>1</v>
      </c>
      <c r="CG363" s="50">
        <f t="shared" si="537"/>
        <v>1</v>
      </c>
      <c r="CH363" s="50">
        <f t="shared" si="538"/>
        <v>1</v>
      </c>
      <c r="CI363" s="50">
        <f t="shared" si="539"/>
        <v>1</v>
      </c>
      <c r="CJ363" s="50">
        <f t="shared" si="540"/>
        <v>1</v>
      </c>
      <c r="CK363" s="50">
        <f t="shared" si="540"/>
        <v>0</v>
      </c>
      <c r="CL363" s="50">
        <f t="shared" si="540"/>
        <v>0</v>
      </c>
      <c r="CM363" s="51">
        <f t="shared" si="482"/>
        <v>0</v>
      </c>
      <c r="CN363" s="33">
        <f>ROUND(IF(BS363=0,0,HLOOKUP(BS$14,Villagers!$B$1:$V$33,BS363+3,FALSE)),)</f>
        <v>5</v>
      </c>
      <c r="CO363" s="14">
        <f>ROUND(IF(BT363=0,0,HLOOKUP(BT$14,Villagers!$B$1:$V$33,BT363+3,FALSE)),)</f>
        <v>0</v>
      </c>
      <c r="CP363" s="14">
        <f>ROUND(IF(BU363=0,0,HLOOKUP(BU$14,Villagers!$B$1:$V$33,BU363+3,FALSE)),)</f>
        <v>0</v>
      </c>
      <c r="CQ363" s="14">
        <f>ROUND(IF(BV363=0,0,HLOOKUP(BV$14,Villagers!$B$1:$V$33,BV363+3,FALSE)),)</f>
        <v>0</v>
      </c>
      <c r="CR363" s="14">
        <f>ROUND(IF(BW363=0,0,HLOOKUP(BW$14,Villagers!$B$1:$V$33,BW363+3,FALSE)),)</f>
        <v>0</v>
      </c>
      <c r="CS363" s="14">
        <f>ROUND(IF(BX363=0,0,HLOOKUP(BX$14,Villagers!$B$1:$V$33,BX363+3,FALSE)),)</f>
        <v>0</v>
      </c>
      <c r="CT363" s="14">
        <f>ROUND(IF(BY363=0,0,HLOOKUP(BY$14,Villagers!$B$1:$V$33,BY363+3,FALSE)),)</f>
        <v>0</v>
      </c>
      <c r="CU363" s="14">
        <f>ROUND(IF(BZ363=0,0,HLOOKUP(BZ$14,Villagers!$B$1:$V$33,BZ363+3,FALSE)),)</f>
        <v>0</v>
      </c>
      <c r="CV363" s="14">
        <f>ROUND(IF(CA363=0,0,HLOOKUP(CA$14,Villagers!$B$1:$V$33,CA363+3,FALSE)),)</f>
        <v>0</v>
      </c>
      <c r="CW363" s="14">
        <f>ROUND(IF(CB363=0,0,HLOOKUP(CB$14,Villagers!$B$1:$V$33,CB363+3,FALSE)),)</f>
        <v>0</v>
      </c>
      <c r="CX363" s="14">
        <f>ROUND(IF(CC363=0,0,HLOOKUP(CC$14,Villagers!$B$1:$V$33,CC363+3,FALSE)),)</f>
        <v>0</v>
      </c>
      <c r="CY363" s="14">
        <f>ROUND(IF(CD363=0,0,HLOOKUP(CD$14,Villagers!$B$1:$V$33,CD363+3,FALSE)),)</f>
        <v>0</v>
      </c>
      <c r="CZ363" s="14">
        <f>ROUND(IF(CE363=0,0,HLOOKUP(CE$14,Villagers!$B$1:$V$33,CE363+3,FALSE)),)</f>
        <v>5</v>
      </c>
      <c r="DA363" s="14">
        <f>ROUND(IF(CF363=0,0,HLOOKUP(CF$14,Villagers!$B$1:$V$33,CF363+3,FALSE)),)</f>
        <v>10</v>
      </c>
      <c r="DB363" s="14">
        <f>ROUND(IF(CG363=0,0,HLOOKUP(CG$14,Villagers!$B$1:$V$33,CG363+3,FALSE)),)</f>
        <v>10</v>
      </c>
      <c r="DC363" s="14">
        <f>ROUND(IF(CH363=0,0,HLOOKUP(CH$14,Villagers!$B$1:$V$33,CH363+3,FALSE)),)</f>
        <v>0</v>
      </c>
      <c r="DD363" s="14">
        <f>ROUND(IF(CI363=0,0,HLOOKUP(CI$14,Villagers!$B$1:$V$33,CI363+3,FALSE)),)</f>
        <v>0</v>
      </c>
      <c r="DE363" s="14">
        <f>ROUND(IF(CJ363=0,0,HLOOKUP(CJ$14,Villagers!$B$1:$V$33,CJ363+3,FALSE)),)</f>
        <v>2</v>
      </c>
      <c r="DF363" s="370">
        <f>ROUND(IF(CK363=0,0,HLOOKUP(CK$14,Villagers!$B$1:$V$33,CK363+3,FALSE)),)</f>
        <v>0</v>
      </c>
      <c r="DG363" s="370">
        <f>ROUND(IF(CL363=0,0,HLOOKUP(CL$14,Villagers!$B$1:$V$33,CL363+3,FALSE)),)</f>
        <v>0</v>
      </c>
      <c r="DH363" s="34">
        <f>ROUND(IF(CM363=0,0,HLOOKUP(CM$14,Villagers!$B$1:$V$33,CM363+3,FALSE)),)</f>
        <v>0</v>
      </c>
      <c r="DI363" s="109">
        <f t="shared" si="516"/>
        <v>0</v>
      </c>
      <c r="DJ363" s="50">
        <f t="shared" si="517"/>
        <v>0</v>
      </c>
      <c r="DK363" s="50">
        <f t="shared" si="518"/>
        <v>0</v>
      </c>
      <c r="DL363" s="50">
        <f t="shared" si="519"/>
        <v>0</v>
      </c>
      <c r="DM363" s="50">
        <f t="shared" si="520"/>
        <v>0</v>
      </c>
      <c r="DN363" s="50">
        <f t="shared" si="521"/>
        <v>0</v>
      </c>
      <c r="DO363" s="50">
        <f t="shared" si="522"/>
        <v>0</v>
      </c>
      <c r="DP363" s="50">
        <f t="shared" si="523"/>
        <v>0</v>
      </c>
      <c r="DQ363" s="50">
        <f t="shared" si="501"/>
        <v>0</v>
      </c>
      <c r="DR363" s="50">
        <f t="shared" si="502"/>
        <v>0</v>
      </c>
      <c r="DS363" s="96">
        <f>Miscelaneous!$D$4*Miscelaneous!$D$2^($CI363-1)</f>
        <v>1000</v>
      </c>
      <c r="DT363" s="333">
        <f t="shared" si="483"/>
        <v>1</v>
      </c>
      <c r="DU363" s="81">
        <v>1</v>
      </c>
      <c r="DV363" s="79">
        <f t="shared" si="503"/>
        <v>0</v>
      </c>
      <c r="DW363" s="79">
        <f t="shared" si="504"/>
        <v>0</v>
      </c>
      <c r="DX363" s="79">
        <f t="shared" si="505"/>
        <v>0</v>
      </c>
      <c r="DY363" s="79">
        <v>1</v>
      </c>
      <c r="DZ363" s="79">
        <f t="shared" si="506"/>
        <v>0</v>
      </c>
      <c r="EA363" s="79">
        <f t="shared" si="507"/>
        <v>0</v>
      </c>
      <c r="EB363" s="79">
        <f t="shared" si="508"/>
        <v>0</v>
      </c>
      <c r="EC363" s="79">
        <f t="shared" si="509"/>
        <v>0</v>
      </c>
      <c r="ED363" s="79">
        <v>1</v>
      </c>
      <c r="EE363" s="79">
        <v>1</v>
      </c>
      <c r="EF363" s="79">
        <f t="shared" si="510"/>
        <v>0</v>
      </c>
      <c r="EG363" s="79">
        <v>1</v>
      </c>
      <c r="EH363" s="79">
        <v>1</v>
      </c>
      <c r="EI363" s="79">
        <v>1</v>
      </c>
      <c r="EJ363" s="79">
        <v>1</v>
      </c>
      <c r="EK363" s="79">
        <v>1</v>
      </c>
      <c r="EL363" s="79">
        <v>1</v>
      </c>
      <c r="EM363" s="143">
        <f t="shared" si="511"/>
        <v>0</v>
      </c>
      <c r="EN363" s="143">
        <f t="shared" si="512"/>
        <v>0</v>
      </c>
      <c r="EO363" s="82">
        <f t="shared" si="513"/>
        <v>0</v>
      </c>
    </row>
    <row r="364" spans="1:145" x14ac:dyDescent="0.25">
      <c r="A364">
        <v>350</v>
      </c>
      <c r="B364" s="172" t="e">
        <f t="shared" si="484"/>
        <v>#N/A</v>
      </c>
      <c r="C364" s="121" t="e">
        <f t="shared" si="462"/>
        <v>#N/A</v>
      </c>
      <c r="D364" s="122" t="e">
        <f t="shared" si="463"/>
        <v>#N/A</v>
      </c>
      <c r="E364" s="122" t="e">
        <f t="shared" si="464"/>
        <v>#N/A</v>
      </c>
      <c r="F364" s="176" t="e">
        <f t="shared" si="465"/>
        <v>#N/A</v>
      </c>
      <c r="G364" s="121">
        <f t="shared" si="485"/>
        <v>208</v>
      </c>
      <c r="H364" s="176" t="e">
        <f t="shared" si="486"/>
        <v>#N/A</v>
      </c>
      <c r="I364" s="48">
        <v>1</v>
      </c>
      <c r="J364" s="39"/>
      <c r="K364" s="350">
        <v>1</v>
      </c>
      <c r="L364" s="34" t="e">
        <f t="shared" si="466"/>
        <v>#N/A</v>
      </c>
      <c r="M364" s="38" t="e">
        <f>(HLOOKUP(J364,'Construction Times'!$B$3:$W$34,L364+2,FALSE)*HLOOKUP("hq modifier",'Construction Times'!$W$3:$W$34,BS364+2,FALSE))*(1-$H$9)</f>
        <v>#N/A</v>
      </c>
      <c r="N364" s="443" t="e">
        <f t="shared" si="487"/>
        <v>#N/A</v>
      </c>
      <c r="O364" s="444"/>
      <c r="P364" s="447" t="e">
        <f t="shared" si="488"/>
        <v>#N/A</v>
      </c>
      <c r="Q364" s="448"/>
      <c r="R364" s="103">
        <f t="shared" si="514"/>
        <v>0</v>
      </c>
      <c r="S364" s="104">
        <f t="shared" si="514"/>
        <v>0</v>
      </c>
      <c r="T364" s="104">
        <f t="shared" si="515"/>
        <v>0</v>
      </c>
      <c r="U364" s="104">
        <f t="shared" si="515"/>
        <v>0</v>
      </c>
      <c r="V364" s="104">
        <f t="shared" si="515"/>
        <v>9.9999999999999995E-8</v>
      </c>
      <c r="W364" s="104">
        <f t="shared" si="515"/>
        <v>0</v>
      </c>
      <c r="X364" s="104">
        <f t="shared" si="455"/>
        <v>0</v>
      </c>
      <c r="Y364" s="104">
        <f t="shared" si="455"/>
        <v>9.9999999999999995E-8</v>
      </c>
      <c r="Z364" s="104">
        <f t="shared" si="455"/>
        <v>9.9999999999999995E-8</v>
      </c>
      <c r="AA364" s="105">
        <f>AA363</f>
        <v>9.9999999999999995E-8</v>
      </c>
      <c r="AB364" s="101" t="e">
        <f>$DT364*HLOOKUP($J364,'Construction Costs (timber)'!$B$1:$V$32,'Construction Planner'!$L364+2,FALSE)</f>
        <v>#N/A</v>
      </c>
      <c r="AC364" s="14" t="e">
        <f>$DT364*HLOOKUP($J364,'Construction Costs (clay)'!$B$1:$V$32,'Construction Planner'!$L364+2,FALSE)</f>
        <v>#N/A</v>
      </c>
      <c r="AD364" s="14" t="e">
        <f>$DT364*HLOOKUP($J364,'Construction Costs (iron)'!$B$1:$V$32,'Construction Planner'!$L364+2,FALSE)</f>
        <v>#N/A</v>
      </c>
      <c r="AE364" s="34" t="e">
        <f t="shared" si="524"/>
        <v>#N/A</v>
      </c>
      <c r="AF364" s="33" t="e">
        <f t="shared" si="467"/>
        <v>#N/A</v>
      </c>
      <c r="AG364" s="14" t="e">
        <f t="shared" si="468"/>
        <v>#N/A</v>
      </c>
      <c r="AH364" s="14" t="e">
        <f t="shared" si="469"/>
        <v>#N/A</v>
      </c>
      <c r="AI364" s="34" t="e">
        <f t="shared" si="525"/>
        <v>#N/A</v>
      </c>
      <c r="AJ364" s="49" t="e">
        <f t="shared" si="489"/>
        <v>#N/A</v>
      </c>
      <c r="AK364" s="49" t="e">
        <f t="shared" si="490"/>
        <v>#N/A</v>
      </c>
      <c r="AL364" s="49" t="e">
        <f t="shared" si="491"/>
        <v>#N/A</v>
      </c>
      <c r="AM364" s="25">
        <f t="shared" si="470"/>
        <v>30</v>
      </c>
      <c r="AN364" s="25">
        <f t="shared" si="471"/>
        <v>30</v>
      </c>
      <c r="AO364" s="25">
        <f t="shared" si="472"/>
        <v>30</v>
      </c>
      <c r="AP364" s="52" t="e">
        <f t="shared" si="492"/>
        <v>#N/A</v>
      </c>
      <c r="AQ364" s="53" t="e">
        <f t="shared" si="492"/>
        <v>#N/A</v>
      </c>
      <c r="AR364" s="54" t="e">
        <f t="shared" si="492"/>
        <v>#N/A</v>
      </c>
      <c r="AS364" s="316">
        <f t="shared" si="542"/>
        <v>0</v>
      </c>
      <c r="AT364" s="106">
        <f>_xlfn.IFNA($M364/VLOOKUP($BT364,'Unit information'!$A$2:$K$29,2,FALSE)*R364,0)*(1+$E$9)</f>
        <v>0</v>
      </c>
      <c r="AU364" s="107">
        <f>_xlfn.IFNA($M364/VLOOKUP($BT364,'Unit information'!$A$2:$K$29,3,FALSE)*S364,0)*(1+$E$9)</f>
        <v>0</v>
      </c>
      <c r="AV364" s="107">
        <f>_xlfn.IFNA($M364/VLOOKUP($BT364,'Unit information'!$A$2:$K$29,4,FALSE)*T364,0)*(1+$E$9)</f>
        <v>0</v>
      </c>
      <c r="AW364" s="107">
        <f>_xlfn.IFNA($M364/VLOOKUP($BT364,'Unit information'!$A$2:$K$29,5,FALSE)*U364,0)*(1+$E$9)</f>
        <v>0</v>
      </c>
      <c r="AX364" s="107">
        <f>_xlfn.IFNA($M364/VLOOKUP($BU364,'Unit information'!$A$2:$K$29,6,FALSE)*V364,0)*(1+$E$9)</f>
        <v>0</v>
      </c>
      <c r="AY364" s="107">
        <f>_xlfn.IFNA($M364/VLOOKUP($BU364,'Unit information'!$A$2:$K$29,7,FALSE)*W364,0)*(1+$E$9)</f>
        <v>0</v>
      </c>
      <c r="AZ364" s="107">
        <f>_xlfn.IFNA($M364/VLOOKUP($BU364,'Unit information'!$A$2:$K$29,8,FALSE)*X364,0)*(1+$E$9)</f>
        <v>0</v>
      </c>
      <c r="BA364" s="107">
        <f>_xlfn.IFNA($M364/VLOOKUP($BU364,'Unit information'!$A$2:$K$29,9,FALSE)*Y364,0)*(1+$E$9)</f>
        <v>0</v>
      </c>
      <c r="BB364" s="107">
        <f>_xlfn.IFNA($M364/VLOOKUP($BV364,'Unit information'!$A$2:$K$29,10,FALSE)*Z364,0)*(1+$E$9)</f>
        <v>0</v>
      </c>
      <c r="BC364" s="108">
        <f>_xlfn.IFNA($M364/VLOOKUP($BV364,'Unit information'!$A$2:$K$29,11,FALSE)*AA364,0)*(1+$E$9)</f>
        <v>0</v>
      </c>
      <c r="BD364" s="106">
        <f t="shared" si="473"/>
        <v>0</v>
      </c>
      <c r="BE364" s="107">
        <f t="shared" si="474"/>
        <v>0</v>
      </c>
      <c r="BF364" s="108">
        <f t="shared" si="475"/>
        <v>0</v>
      </c>
      <c r="BG364" s="25" t="e">
        <f t="shared" si="476"/>
        <v>#N/A</v>
      </c>
      <c r="BH364" s="25" t="e">
        <f t="shared" si="477"/>
        <v>#N/A</v>
      </c>
      <c r="BI364" s="25" t="e">
        <f t="shared" si="478"/>
        <v>#N/A</v>
      </c>
      <c r="BJ364" s="27" t="e">
        <f t="shared" si="479"/>
        <v>#N/A</v>
      </c>
      <c r="BK364" s="18" t="e">
        <f t="shared" si="480"/>
        <v>#N/A</v>
      </c>
      <c r="BL364" s="18" t="e">
        <f t="shared" si="481"/>
        <v>#N/A</v>
      </c>
      <c r="BM364" s="28" t="e">
        <f t="shared" si="527"/>
        <v>#N/A</v>
      </c>
      <c r="BN364" s="33">
        <f>HLOOKUP("maximum population",Miscelaneous!$C$1:$C$33,CH364+3,FALSE)</f>
        <v>240</v>
      </c>
      <c r="BO364" s="14">
        <f t="shared" si="493"/>
        <v>32</v>
      </c>
      <c r="BP364" s="14">
        <f t="shared" si="494"/>
        <v>0</v>
      </c>
      <c r="BQ364" s="14">
        <f t="shared" si="495"/>
        <v>208</v>
      </c>
      <c r="BR364" s="34" t="e">
        <f>HLOOKUP(J364,Villagers!$B$1:$V$33,L364+3,FALSE)-HLOOKUP(J364,Villagers!$B$1:$V$33,L364+2,FALSE)</f>
        <v>#N/A</v>
      </c>
      <c r="BS364" s="49">
        <f t="shared" si="496"/>
        <v>1</v>
      </c>
      <c r="BT364" s="50">
        <f t="shared" si="497"/>
        <v>0</v>
      </c>
      <c r="BU364" s="50">
        <f t="shared" si="498"/>
        <v>0</v>
      </c>
      <c r="BV364" s="50">
        <f t="shared" si="499"/>
        <v>0</v>
      </c>
      <c r="BW364" s="50">
        <f t="shared" si="544"/>
        <v>0</v>
      </c>
      <c r="BX364" s="50">
        <f t="shared" si="543"/>
        <v>0</v>
      </c>
      <c r="BY364" s="50">
        <f t="shared" si="543"/>
        <v>0</v>
      </c>
      <c r="BZ364" s="50">
        <f t="shared" si="530"/>
        <v>0</v>
      </c>
      <c r="CA364" s="50">
        <f t="shared" si="531"/>
        <v>0</v>
      </c>
      <c r="CB364" s="50">
        <f t="shared" si="532"/>
        <v>1</v>
      </c>
      <c r="CC364" s="50">
        <f t="shared" si="533"/>
        <v>0</v>
      </c>
      <c r="CD364" s="50">
        <f t="shared" si="534"/>
        <v>0</v>
      </c>
      <c r="CE364" s="50">
        <f t="shared" si="535"/>
        <v>1</v>
      </c>
      <c r="CF364" s="50">
        <f t="shared" si="536"/>
        <v>1</v>
      </c>
      <c r="CG364" s="50">
        <f t="shared" si="537"/>
        <v>1</v>
      </c>
      <c r="CH364" s="50">
        <f t="shared" si="538"/>
        <v>1</v>
      </c>
      <c r="CI364" s="50">
        <f t="shared" si="539"/>
        <v>1</v>
      </c>
      <c r="CJ364" s="50">
        <f t="shared" si="540"/>
        <v>1</v>
      </c>
      <c r="CK364" s="50">
        <f t="shared" si="540"/>
        <v>0</v>
      </c>
      <c r="CL364" s="50">
        <f t="shared" si="540"/>
        <v>0</v>
      </c>
      <c r="CM364" s="51">
        <f t="shared" si="482"/>
        <v>0</v>
      </c>
      <c r="CN364" s="33">
        <f>ROUND(IF(BS364=0,0,HLOOKUP(BS$14,Villagers!$B$1:$V$33,BS364+3,FALSE)),)</f>
        <v>5</v>
      </c>
      <c r="CO364" s="14">
        <f>ROUND(IF(BT364=0,0,HLOOKUP(BT$14,Villagers!$B$1:$V$33,BT364+3,FALSE)),)</f>
        <v>0</v>
      </c>
      <c r="CP364" s="14">
        <f>ROUND(IF(BU364=0,0,HLOOKUP(BU$14,Villagers!$B$1:$V$33,BU364+3,FALSE)),)</f>
        <v>0</v>
      </c>
      <c r="CQ364" s="14">
        <f>ROUND(IF(BV364=0,0,HLOOKUP(BV$14,Villagers!$B$1:$V$33,BV364+3,FALSE)),)</f>
        <v>0</v>
      </c>
      <c r="CR364" s="14">
        <f>ROUND(IF(BW364=0,0,HLOOKUP(BW$14,Villagers!$B$1:$V$33,BW364+3,FALSE)),)</f>
        <v>0</v>
      </c>
      <c r="CS364" s="14">
        <f>ROUND(IF(BX364=0,0,HLOOKUP(BX$14,Villagers!$B$1:$V$33,BX364+3,FALSE)),)</f>
        <v>0</v>
      </c>
      <c r="CT364" s="14">
        <f>ROUND(IF(BY364=0,0,HLOOKUP(BY$14,Villagers!$B$1:$V$33,BY364+3,FALSE)),)</f>
        <v>0</v>
      </c>
      <c r="CU364" s="14">
        <f>ROUND(IF(BZ364=0,0,HLOOKUP(BZ$14,Villagers!$B$1:$V$33,BZ364+3,FALSE)),)</f>
        <v>0</v>
      </c>
      <c r="CV364" s="14">
        <f>ROUND(IF(CA364=0,0,HLOOKUP(CA$14,Villagers!$B$1:$V$33,CA364+3,FALSE)),)</f>
        <v>0</v>
      </c>
      <c r="CW364" s="14">
        <f>ROUND(IF(CB364=0,0,HLOOKUP(CB$14,Villagers!$B$1:$V$33,CB364+3,FALSE)),)</f>
        <v>0</v>
      </c>
      <c r="CX364" s="14">
        <f>ROUND(IF(CC364=0,0,HLOOKUP(CC$14,Villagers!$B$1:$V$33,CC364+3,FALSE)),)</f>
        <v>0</v>
      </c>
      <c r="CY364" s="14">
        <f>ROUND(IF(CD364=0,0,HLOOKUP(CD$14,Villagers!$B$1:$V$33,CD364+3,FALSE)),)</f>
        <v>0</v>
      </c>
      <c r="CZ364" s="14">
        <f>ROUND(IF(CE364=0,0,HLOOKUP(CE$14,Villagers!$B$1:$V$33,CE364+3,FALSE)),)</f>
        <v>5</v>
      </c>
      <c r="DA364" s="14">
        <f>ROUND(IF(CF364=0,0,HLOOKUP(CF$14,Villagers!$B$1:$V$33,CF364+3,FALSE)),)</f>
        <v>10</v>
      </c>
      <c r="DB364" s="14">
        <f>ROUND(IF(CG364=0,0,HLOOKUP(CG$14,Villagers!$B$1:$V$33,CG364+3,FALSE)),)</f>
        <v>10</v>
      </c>
      <c r="DC364" s="14">
        <f>ROUND(IF(CH364=0,0,HLOOKUP(CH$14,Villagers!$B$1:$V$33,CH364+3,FALSE)),)</f>
        <v>0</v>
      </c>
      <c r="DD364" s="14">
        <f>ROUND(IF(CI364=0,0,HLOOKUP(CI$14,Villagers!$B$1:$V$33,CI364+3,FALSE)),)</f>
        <v>0</v>
      </c>
      <c r="DE364" s="14">
        <f>ROUND(IF(CJ364=0,0,HLOOKUP(CJ$14,Villagers!$B$1:$V$33,CJ364+3,FALSE)),)</f>
        <v>2</v>
      </c>
      <c r="DF364" s="370">
        <f>ROUND(IF(CK364=0,0,HLOOKUP(CK$14,Villagers!$B$1:$V$33,CK364+3,FALSE)),)</f>
        <v>0</v>
      </c>
      <c r="DG364" s="370">
        <f>ROUND(IF(CL364=0,0,HLOOKUP(CL$14,Villagers!$B$1:$V$33,CL364+3,FALSE)),)</f>
        <v>0</v>
      </c>
      <c r="DH364" s="34">
        <f>ROUND(IF(CM364=0,0,HLOOKUP(CM$14,Villagers!$B$1:$V$33,CM364+3,FALSE)),)</f>
        <v>0</v>
      </c>
      <c r="DI364" s="109">
        <f t="shared" si="516"/>
        <v>0</v>
      </c>
      <c r="DJ364" s="50">
        <f t="shared" si="517"/>
        <v>0</v>
      </c>
      <c r="DK364" s="50">
        <f t="shared" si="518"/>
        <v>0</v>
      </c>
      <c r="DL364" s="50">
        <f t="shared" si="519"/>
        <v>0</v>
      </c>
      <c r="DM364" s="50">
        <f t="shared" si="520"/>
        <v>0</v>
      </c>
      <c r="DN364" s="50">
        <f t="shared" si="521"/>
        <v>0</v>
      </c>
      <c r="DO364" s="50">
        <f t="shared" si="522"/>
        <v>0</v>
      </c>
      <c r="DP364" s="50">
        <f t="shared" si="523"/>
        <v>0</v>
      </c>
      <c r="DQ364" s="50">
        <f t="shared" si="501"/>
        <v>0</v>
      </c>
      <c r="DR364" s="50">
        <f t="shared" si="502"/>
        <v>0</v>
      </c>
      <c r="DS364" s="96">
        <f>Miscelaneous!$D$4*Miscelaneous!$D$2^($CI364-1)</f>
        <v>1000</v>
      </c>
      <c r="DT364" s="333">
        <f t="shared" si="483"/>
        <v>1</v>
      </c>
      <c r="DU364" s="81">
        <v>1</v>
      </c>
      <c r="DV364" s="79">
        <f t="shared" si="503"/>
        <v>0</v>
      </c>
      <c r="DW364" s="79">
        <f t="shared" si="504"/>
        <v>0</v>
      </c>
      <c r="DX364" s="79">
        <f t="shared" si="505"/>
        <v>0</v>
      </c>
      <c r="DY364" s="79">
        <v>1</v>
      </c>
      <c r="DZ364" s="79">
        <f t="shared" si="506"/>
        <v>0</v>
      </c>
      <c r="EA364" s="79">
        <f t="shared" si="507"/>
        <v>0</v>
      </c>
      <c r="EB364" s="79">
        <f t="shared" si="508"/>
        <v>0</v>
      </c>
      <c r="EC364" s="79">
        <f t="shared" si="509"/>
        <v>0</v>
      </c>
      <c r="ED364" s="79">
        <v>1</v>
      </c>
      <c r="EE364" s="79">
        <v>1</v>
      </c>
      <c r="EF364" s="79">
        <f t="shared" si="510"/>
        <v>0</v>
      </c>
      <c r="EG364" s="79">
        <v>1</v>
      </c>
      <c r="EH364" s="79">
        <v>1</v>
      </c>
      <c r="EI364" s="79">
        <v>1</v>
      </c>
      <c r="EJ364" s="79">
        <v>1</v>
      </c>
      <c r="EK364" s="79">
        <v>1</v>
      </c>
      <c r="EL364" s="79">
        <v>1</v>
      </c>
      <c r="EM364" s="143">
        <f t="shared" si="511"/>
        <v>0</v>
      </c>
      <c r="EN364" s="143">
        <f t="shared" si="512"/>
        <v>0</v>
      </c>
      <c r="EO364" s="82">
        <f t="shared" si="513"/>
        <v>0</v>
      </c>
    </row>
    <row r="365" spans="1:145" x14ac:dyDescent="0.25">
      <c r="A365">
        <v>351</v>
      </c>
      <c r="B365" s="172" t="e">
        <f t="shared" si="484"/>
        <v>#N/A</v>
      </c>
      <c r="C365" s="121" t="e">
        <f t="shared" si="462"/>
        <v>#N/A</v>
      </c>
      <c r="D365" s="122" t="e">
        <f t="shared" si="463"/>
        <v>#N/A</v>
      </c>
      <c r="E365" s="122" t="e">
        <f t="shared" si="464"/>
        <v>#N/A</v>
      </c>
      <c r="F365" s="176" t="e">
        <f t="shared" si="465"/>
        <v>#N/A</v>
      </c>
      <c r="G365" s="121">
        <f t="shared" si="485"/>
        <v>208</v>
      </c>
      <c r="H365" s="176" t="e">
        <f t="shared" si="486"/>
        <v>#N/A</v>
      </c>
      <c r="I365" s="48">
        <v>1</v>
      </c>
      <c r="J365" s="39"/>
      <c r="K365" s="350">
        <v>1</v>
      </c>
      <c r="L365" s="34" t="e">
        <f t="shared" si="466"/>
        <v>#N/A</v>
      </c>
      <c r="M365" s="38" t="e">
        <f>(HLOOKUP(J365,'Construction Times'!$B$3:$W$34,L365+2,FALSE)*HLOOKUP("hq modifier",'Construction Times'!$W$3:$W$34,BS365+2,FALSE))*(1-$H$9)</f>
        <v>#N/A</v>
      </c>
      <c r="N365" s="443" t="e">
        <f t="shared" si="487"/>
        <v>#N/A</v>
      </c>
      <c r="O365" s="444"/>
      <c r="P365" s="447" t="e">
        <f t="shared" si="488"/>
        <v>#N/A</v>
      </c>
      <c r="Q365" s="448"/>
      <c r="R365" s="103">
        <f t="shared" si="514"/>
        <v>0</v>
      </c>
      <c r="S365" s="104">
        <f t="shared" si="514"/>
        <v>0</v>
      </c>
      <c r="T365" s="104">
        <f t="shared" si="515"/>
        <v>0</v>
      </c>
      <c r="U365" s="104">
        <f t="shared" si="515"/>
        <v>0</v>
      </c>
      <c r="V365" s="104">
        <f t="shared" si="515"/>
        <v>9.9999999999999995E-8</v>
      </c>
      <c r="W365" s="104">
        <f t="shared" si="515"/>
        <v>0</v>
      </c>
      <c r="X365" s="104">
        <f t="shared" ref="X365:AA396" si="545">X364</f>
        <v>0</v>
      </c>
      <c r="Y365" s="104">
        <f t="shared" si="545"/>
        <v>9.9999999999999995E-8</v>
      </c>
      <c r="Z365" s="104">
        <f t="shared" si="545"/>
        <v>9.9999999999999995E-8</v>
      </c>
      <c r="AA365" s="105">
        <f t="shared" si="545"/>
        <v>9.9999999999999995E-8</v>
      </c>
      <c r="AB365" s="101" t="e">
        <f>$DT365*HLOOKUP($J365,'Construction Costs (timber)'!$B$1:$V$32,'Construction Planner'!$L365+2,FALSE)</f>
        <v>#N/A</v>
      </c>
      <c r="AC365" s="14" t="e">
        <f>$DT365*HLOOKUP($J365,'Construction Costs (clay)'!$B$1:$V$32,'Construction Planner'!$L365+2,FALSE)</f>
        <v>#N/A</v>
      </c>
      <c r="AD365" s="14" t="e">
        <f>$DT365*HLOOKUP($J365,'Construction Costs (iron)'!$B$1:$V$32,'Construction Planner'!$L365+2,FALSE)</f>
        <v>#N/A</v>
      </c>
      <c r="AE365" s="34" t="e">
        <f t="shared" si="524"/>
        <v>#N/A</v>
      </c>
      <c r="AF365" s="33" t="e">
        <f t="shared" si="467"/>
        <v>#N/A</v>
      </c>
      <c r="AG365" s="14" t="e">
        <f t="shared" si="468"/>
        <v>#N/A</v>
      </c>
      <c r="AH365" s="14" t="e">
        <f t="shared" si="469"/>
        <v>#N/A</v>
      </c>
      <c r="AI365" s="34" t="e">
        <f t="shared" si="525"/>
        <v>#N/A</v>
      </c>
      <c r="AJ365" s="49" t="e">
        <f t="shared" si="489"/>
        <v>#N/A</v>
      </c>
      <c r="AK365" s="49" t="e">
        <f t="shared" si="490"/>
        <v>#N/A</v>
      </c>
      <c r="AL365" s="49" t="e">
        <f t="shared" si="491"/>
        <v>#N/A</v>
      </c>
      <c r="AM365" s="25">
        <f t="shared" si="470"/>
        <v>30</v>
      </c>
      <c r="AN365" s="25">
        <f t="shared" si="471"/>
        <v>30</v>
      </c>
      <c r="AO365" s="25">
        <f t="shared" si="472"/>
        <v>30</v>
      </c>
      <c r="AP365" s="52" t="e">
        <f t="shared" si="492"/>
        <v>#N/A</v>
      </c>
      <c r="AQ365" s="53" t="e">
        <f t="shared" si="492"/>
        <v>#N/A</v>
      </c>
      <c r="AR365" s="54" t="e">
        <f t="shared" si="492"/>
        <v>#N/A</v>
      </c>
      <c r="AS365" s="316">
        <f t="shared" si="542"/>
        <v>0</v>
      </c>
      <c r="AT365" s="106">
        <f>_xlfn.IFNA($M365/VLOOKUP($BT365,'Unit information'!$A$2:$K$29,2,FALSE)*R365,0)*(1+$E$9)</f>
        <v>0</v>
      </c>
      <c r="AU365" s="107">
        <f>_xlfn.IFNA($M365/VLOOKUP($BT365,'Unit information'!$A$2:$K$29,3,FALSE)*S365,0)*(1+$E$9)</f>
        <v>0</v>
      </c>
      <c r="AV365" s="107">
        <f>_xlfn.IFNA($M365/VLOOKUP($BT365,'Unit information'!$A$2:$K$29,4,FALSE)*T365,0)*(1+$E$9)</f>
        <v>0</v>
      </c>
      <c r="AW365" s="107">
        <f>_xlfn.IFNA($M365/VLOOKUP($BT365,'Unit information'!$A$2:$K$29,5,FALSE)*U365,0)*(1+$E$9)</f>
        <v>0</v>
      </c>
      <c r="AX365" s="107">
        <f>_xlfn.IFNA($M365/VLOOKUP($BU365,'Unit information'!$A$2:$K$29,6,FALSE)*V365,0)*(1+$E$9)</f>
        <v>0</v>
      </c>
      <c r="AY365" s="107">
        <f>_xlfn.IFNA($M365/VLOOKUP($BU365,'Unit information'!$A$2:$K$29,7,FALSE)*W365,0)*(1+$E$9)</f>
        <v>0</v>
      </c>
      <c r="AZ365" s="107">
        <f>_xlfn.IFNA($M365/VLOOKUP($BU365,'Unit information'!$A$2:$K$29,8,FALSE)*X365,0)*(1+$E$9)</f>
        <v>0</v>
      </c>
      <c r="BA365" s="107">
        <f>_xlfn.IFNA($M365/VLOOKUP($BU365,'Unit information'!$A$2:$K$29,9,FALSE)*Y365,0)*(1+$E$9)</f>
        <v>0</v>
      </c>
      <c r="BB365" s="107">
        <f>_xlfn.IFNA($M365/VLOOKUP($BV365,'Unit information'!$A$2:$K$29,10,FALSE)*Z365,0)*(1+$E$9)</f>
        <v>0</v>
      </c>
      <c r="BC365" s="108">
        <f>_xlfn.IFNA($M365/VLOOKUP($BV365,'Unit information'!$A$2:$K$29,11,FALSE)*AA365,0)*(1+$E$9)</f>
        <v>0</v>
      </c>
      <c r="BD365" s="106">
        <f t="shared" si="473"/>
        <v>0</v>
      </c>
      <c r="BE365" s="107">
        <f t="shared" si="474"/>
        <v>0</v>
      </c>
      <c r="BF365" s="108">
        <f t="shared" si="475"/>
        <v>0</v>
      </c>
      <c r="BG365" s="25" t="e">
        <f t="shared" si="476"/>
        <v>#N/A</v>
      </c>
      <c r="BH365" s="25" t="e">
        <f t="shared" si="477"/>
        <v>#N/A</v>
      </c>
      <c r="BI365" s="25" t="e">
        <f t="shared" si="478"/>
        <v>#N/A</v>
      </c>
      <c r="BJ365" s="27" t="e">
        <f t="shared" si="479"/>
        <v>#N/A</v>
      </c>
      <c r="BK365" s="18" t="e">
        <f t="shared" si="480"/>
        <v>#N/A</v>
      </c>
      <c r="BL365" s="18" t="e">
        <f t="shared" si="481"/>
        <v>#N/A</v>
      </c>
      <c r="BM365" s="28" t="e">
        <f t="shared" si="527"/>
        <v>#N/A</v>
      </c>
      <c r="BN365" s="33">
        <f>HLOOKUP("maximum population",Miscelaneous!$C$1:$C$33,CH365+3,FALSE)</f>
        <v>240</v>
      </c>
      <c r="BO365" s="14">
        <f t="shared" si="493"/>
        <v>32</v>
      </c>
      <c r="BP365" s="14">
        <f t="shared" si="494"/>
        <v>0</v>
      </c>
      <c r="BQ365" s="14">
        <f t="shared" si="495"/>
        <v>208</v>
      </c>
      <c r="BR365" s="34" t="e">
        <f>HLOOKUP(J365,Villagers!$B$1:$V$33,L365+3,FALSE)-HLOOKUP(J365,Villagers!$B$1:$V$33,L365+2,FALSE)</f>
        <v>#N/A</v>
      </c>
      <c r="BS365" s="49">
        <f t="shared" si="496"/>
        <v>1</v>
      </c>
      <c r="BT365" s="50">
        <f t="shared" si="497"/>
        <v>0</v>
      </c>
      <c r="BU365" s="50">
        <f t="shared" si="498"/>
        <v>0</v>
      </c>
      <c r="BV365" s="50">
        <f t="shared" si="499"/>
        <v>0</v>
      </c>
      <c r="BW365" s="50">
        <f t="shared" si="544"/>
        <v>0</v>
      </c>
      <c r="BX365" s="50">
        <f t="shared" si="543"/>
        <v>0</v>
      </c>
      <c r="BY365" s="50">
        <f t="shared" si="543"/>
        <v>0</v>
      </c>
      <c r="BZ365" s="50">
        <f t="shared" si="530"/>
        <v>0</v>
      </c>
      <c r="CA365" s="50">
        <f t="shared" si="531"/>
        <v>0</v>
      </c>
      <c r="CB365" s="50">
        <f t="shared" si="532"/>
        <v>1</v>
      </c>
      <c r="CC365" s="50">
        <f t="shared" si="533"/>
        <v>0</v>
      </c>
      <c r="CD365" s="50">
        <f t="shared" si="534"/>
        <v>0</v>
      </c>
      <c r="CE365" s="50">
        <f t="shared" si="535"/>
        <v>1</v>
      </c>
      <c r="CF365" s="50">
        <f t="shared" si="536"/>
        <v>1</v>
      </c>
      <c r="CG365" s="50">
        <f t="shared" si="537"/>
        <v>1</v>
      </c>
      <c r="CH365" s="50">
        <f t="shared" si="538"/>
        <v>1</v>
      </c>
      <c r="CI365" s="50">
        <f t="shared" si="539"/>
        <v>1</v>
      </c>
      <c r="CJ365" s="50">
        <f t="shared" si="540"/>
        <v>1</v>
      </c>
      <c r="CK365" s="50">
        <f t="shared" si="540"/>
        <v>0</v>
      </c>
      <c r="CL365" s="50">
        <f t="shared" si="540"/>
        <v>0</v>
      </c>
      <c r="CM365" s="51">
        <f t="shared" si="482"/>
        <v>0</v>
      </c>
      <c r="CN365" s="33">
        <f>ROUND(IF(BS365=0,0,HLOOKUP(BS$14,Villagers!$B$1:$V$33,BS365+3,FALSE)),)</f>
        <v>5</v>
      </c>
      <c r="CO365" s="14">
        <f>ROUND(IF(BT365=0,0,HLOOKUP(BT$14,Villagers!$B$1:$V$33,BT365+3,FALSE)),)</f>
        <v>0</v>
      </c>
      <c r="CP365" s="14">
        <f>ROUND(IF(BU365=0,0,HLOOKUP(BU$14,Villagers!$B$1:$V$33,BU365+3,FALSE)),)</f>
        <v>0</v>
      </c>
      <c r="CQ365" s="14">
        <f>ROUND(IF(BV365=0,0,HLOOKUP(BV$14,Villagers!$B$1:$V$33,BV365+3,FALSE)),)</f>
        <v>0</v>
      </c>
      <c r="CR365" s="14">
        <f>ROUND(IF(BW365=0,0,HLOOKUP(BW$14,Villagers!$B$1:$V$33,BW365+3,FALSE)),)</f>
        <v>0</v>
      </c>
      <c r="CS365" s="14">
        <f>ROUND(IF(BX365=0,0,HLOOKUP(BX$14,Villagers!$B$1:$V$33,BX365+3,FALSE)),)</f>
        <v>0</v>
      </c>
      <c r="CT365" s="14">
        <f>ROUND(IF(BY365=0,0,HLOOKUP(BY$14,Villagers!$B$1:$V$33,BY365+3,FALSE)),)</f>
        <v>0</v>
      </c>
      <c r="CU365" s="14">
        <f>ROUND(IF(BZ365=0,0,HLOOKUP(BZ$14,Villagers!$B$1:$V$33,BZ365+3,FALSE)),)</f>
        <v>0</v>
      </c>
      <c r="CV365" s="14">
        <f>ROUND(IF(CA365=0,0,HLOOKUP(CA$14,Villagers!$B$1:$V$33,CA365+3,FALSE)),)</f>
        <v>0</v>
      </c>
      <c r="CW365" s="14">
        <f>ROUND(IF(CB365=0,0,HLOOKUP(CB$14,Villagers!$B$1:$V$33,CB365+3,FALSE)),)</f>
        <v>0</v>
      </c>
      <c r="CX365" s="14">
        <f>ROUND(IF(CC365=0,0,HLOOKUP(CC$14,Villagers!$B$1:$V$33,CC365+3,FALSE)),)</f>
        <v>0</v>
      </c>
      <c r="CY365" s="14">
        <f>ROUND(IF(CD365=0,0,HLOOKUP(CD$14,Villagers!$B$1:$V$33,CD365+3,FALSE)),)</f>
        <v>0</v>
      </c>
      <c r="CZ365" s="14">
        <f>ROUND(IF(CE365=0,0,HLOOKUP(CE$14,Villagers!$B$1:$V$33,CE365+3,FALSE)),)</f>
        <v>5</v>
      </c>
      <c r="DA365" s="14">
        <f>ROUND(IF(CF365=0,0,HLOOKUP(CF$14,Villagers!$B$1:$V$33,CF365+3,FALSE)),)</f>
        <v>10</v>
      </c>
      <c r="DB365" s="14">
        <f>ROUND(IF(CG365=0,0,HLOOKUP(CG$14,Villagers!$B$1:$V$33,CG365+3,FALSE)),)</f>
        <v>10</v>
      </c>
      <c r="DC365" s="14">
        <f>ROUND(IF(CH365=0,0,HLOOKUP(CH$14,Villagers!$B$1:$V$33,CH365+3,FALSE)),)</f>
        <v>0</v>
      </c>
      <c r="DD365" s="14">
        <f>ROUND(IF(CI365=0,0,HLOOKUP(CI$14,Villagers!$B$1:$V$33,CI365+3,FALSE)),)</f>
        <v>0</v>
      </c>
      <c r="DE365" s="14">
        <f>ROUND(IF(CJ365=0,0,HLOOKUP(CJ$14,Villagers!$B$1:$V$33,CJ365+3,FALSE)),)</f>
        <v>2</v>
      </c>
      <c r="DF365" s="370">
        <f>ROUND(IF(CK365=0,0,HLOOKUP(CK$14,Villagers!$B$1:$V$33,CK365+3,FALSE)),)</f>
        <v>0</v>
      </c>
      <c r="DG365" s="370">
        <f>ROUND(IF(CL365=0,0,HLOOKUP(CL$14,Villagers!$B$1:$V$33,CL365+3,FALSE)),)</f>
        <v>0</v>
      </c>
      <c r="DH365" s="34">
        <f>ROUND(IF(CM365=0,0,HLOOKUP(CM$14,Villagers!$B$1:$V$33,CM365+3,FALSE)),)</f>
        <v>0</v>
      </c>
      <c r="DI365" s="109">
        <f t="shared" si="516"/>
        <v>0</v>
      </c>
      <c r="DJ365" s="50">
        <f t="shared" si="517"/>
        <v>0</v>
      </c>
      <c r="DK365" s="50">
        <f t="shared" si="518"/>
        <v>0</v>
      </c>
      <c r="DL365" s="50">
        <f t="shared" si="519"/>
        <v>0</v>
      </c>
      <c r="DM365" s="50">
        <f t="shared" si="520"/>
        <v>0</v>
      </c>
      <c r="DN365" s="50">
        <f t="shared" si="521"/>
        <v>0</v>
      </c>
      <c r="DO365" s="50">
        <f t="shared" si="522"/>
        <v>0</v>
      </c>
      <c r="DP365" s="50">
        <f t="shared" si="523"/>
        <v>0</v>
      </c>
      <c r="DQ365" s="50">
        <f t="shared" si="501"/>
        <v>0</v>
      </c>
      <c r="DR365" s="50">
        <f t="shared" si="502"/>
        <v>0</v>
      </c>
      <c r="DS365" s="96">
        <f>Miscelaneous!$D$4*Miscelaneous!$D$2^($CI365-1)</f>
        <v>1000</v>
      </c>
      <c r="DT365" s="333">
        <f t="shared" si="483"/>
        <v>1</v>
      </c>
      <c r="DU365" s="81">
        <v>1</v>
      </c>
      <c r="DV365" s="79">
        <f t="shared" si="503"/>
        <v>0</v>
      </c>
      <c r="DW365" s="79">
        <f t="shared" si="504"/>
        <v>0</v>
      </c>
      <c r="DX365" s="79">
        <f t="shared" si="505"/>
        <v>0</v>
      </c>
      <c r="DY365" s="79">
        <v>1</v>
      </c>
      <c r="DZ365" s="79">
        <f t="shared" si="506"/>
        <v>0</v>
      </c>
      <c r="EA365" s="79">
        <f t="shared" si="507"/>
        <v>0</v>
      </c>
      <c r="EB365" s="79">
        <f t="shared" si="508"/>
        <v>0</v>
      </c>
      <c r="EC365" s="79">
        <f t="shared" si="509"/>
        <v>0</v>
      </c>
      <c r="ED365" s="79">
        <v>1</v>
      </c>
      <c r="EE365" s="79">
        <v>1</v>
      </c>
      <c r="EF365" s="79">
        <f t="shared" si="510"/>
        <v>0</v>
      </c>
      <c r="EG365" s="79">
        <v>1</v>
      </c>
      <c r="EH365" s="79">
        <v>1</v>
      </c>
      <c r="EI365" s="79">
        <v>1</v>
      </c>
      <c r="EJ365" s="79">
        <v>1</v>
      </c>
      <c r="EK365" s="79">
        <v>1</v>
      </c>
      <c r="EL365" s="79">
        <v>1</v>
      </c>
      <c r="EM365" s="143">
        <f t="shared" si="511"/>
        <v>0</v>
      </c>
      <c r="EN365" s="143">
        <f t="shared" si="512"/>
        <v>0</v>
      </c>
      <c r="EO365" s="82">
        <f t="shared" si="513"/>
        <v>0</v>
      </c>
    </row>
    <row r="366" spans="1:145" x14ac:dyDescent="0.25">
      <c r="A366">
        <v>352</v>
      </c>
      <c r="B366" s="172" t="e">
        <f t="shared" si="484"/>
        <v>#N/A</v>
      </c>
      <c r="C366" s="121" t="e">
        <f t="shared" si="462"/>
        <v>#N/A</v>
      </c>
      <c r="D366" s="122" t="e">
        <f t="shared" si="463"/>
        <v>#N/A</v>
      </c>
      <c r="E366" s="122" t="e">
        <f t="shared" si="464"/>
        <v>#N/A</v>
      </c>
      <c r="F366" s="176" t="e">
        <f t="shared" si="465"/>
        <v>#N/A</v>
      </c>
      <c r="G366" s="121">
        <f t="shared" si="485"/>
        <v>208</v>
      </c>
      <c r="H366" s="176" t="e">
        <f t="shared" si="486"/>
        <v>#N/A</v>
      </c>
      <c r="I366" s="48">
        <v>1</v>
      </c>
      <c r="J366" s="39"/>
      <c r="K366" s="350">
        <v>1</v>
      </c>
      <c r="L366" s="34" t="e">
        <f t="shared" si="466"/>
        <v>#N/A</v>
      </c>
      <c r="M366" s="38" t="e">
        <f>(HLOOKUP(J366,'Construction Times'!$B$3:$W$34,L366+2,FALSE)*HLOOKUP("hq modifier",'Construction Times'!$W$3:$W$34,BS366+2,FALSE))*(1-$H$9)</f>
        <v>#N/A</v>
      </c>
      <c r="N366" s="443" t="e">
        <f t="shared" si="487"/>
        <v>#N/A</v>
      </c>
      <c r="O366" s="444"/>
      <c r="P366" s="447" t="e">
        <f t="shared" si="488"/>
        <v>#N/A</v>
      </c>
      <c r="Q366" s="448"/>
      <c r="R366" s="103">
        <f t="shared" si="514"/>
        <v>0</v>
      </c>
      <c r="S366" s="104">
        <f t="shared" si="514"/>
        <v>0</v>
      </c>
      <c r="T366" s="104">
        <f t="shared" si="515"/>
        <v>0</v>
      </c>
      <c r="U366" s="104">
        <f t="shared" si="515"/>
        <v>0</v>
      </c>
      <c r="V366" s="104">
        <f t="shared" si="515"/>
        <v>9.9999999999999995E-8</v>
      </c>
      <c r="W366" s="104">
        <f t="shared" si="515"/>
        <v>0</v>
      </c>
      <c r="X366" s="104">
        <f t="shared" si="545"/>
        <v>0</v>
      </c>
      <c r="Y366" s="104">
        <f t="shared" si="545"/>
        <v>9.9999999999999995E-8</v>
      </c>
      <c r="Z366" s="104">
        <f t="shared" si="545"/>
        <v>9.9999999999999995E-8</v>
      </c>
      <c r="AA366" s="105">
        <f t="shared" si="545"/>
        <v>9.9999999999999995E-8</v>
      </c>
      <c r="AB366" s="101" t="e">
        <f>$DT366*HLOOKUP($J366,'Construction Costs (timber)'!$B$1:$V$32,'Construction Planner'!$L366+2,FALSE)</f>
        <v>#N/A</v>
      </c>
      <c r="AC366" s="14" t="e">
        <f>$DT366*HLOOKUP($J366,'Construction Costs (clay)'!$B$1:$V$32,'Construction Planner'!$L366+2,FALSE)</f>
        <v>#N/A</v>
      </c>
      <c r="AD366" s="14" t="e">
        <f>$DT366*HLOOKUP($J366,'Construction Costs (iron)'!$B$1:$V$32,'Construction Planner'!$L366+2,FALSE)</f>
        <v>#N/A</v>
      </c>
      <c r="AE366" s="34" t="e">
        <f t="shared" si="524"/>
        <v>#N/A</v>
      </c>
      <c r="AF366" s="33" t="e">
        <f t="shared" si="467"/>
        <v>#N/A</v>
      </c>
      <c r="AG366" s="14" t="e">
        <f t="shared" si="468"/>
        <v>#N/A</v>
      </c>
      <c r="AH366" s="14" t="e">
        <f t="shared" si="469"/>
        <v>#N/A</v>
      </c>
      <c r="AI366" s="34" t="e">
        <f t="shared" si="525"/>
        <v>#N/A</v>
      </c>
      <c r="AJ366" s="49" t="e">
        <f t="shared" si="489"/>
        <v>#N/A</v>
      </c>
      <c r="AK366" s="49" t="e">
        <f t="shared" si="490"/>
        <v>#N/A</v>
      </c>
      <c r="AL366" s="49" t="e">
        <f t="shared" si="491"/>
        <v>#N/A</v>
      </c>
      <c r="AM366" s="25">
        <f t="shared" si="470"/>
        <v>30</v>
      </c>
      <c r="AN366" s="25">
        <f t="shared" si="471"/>
        <v>30</v>
      </c>
      <c r="AO366" s="25">
        <f t="shared" si="472"/>
        <v>30</v>
      </c>
      <c r="AP366" s="52" t="e">
        <f t="shared" si="492"/>
        <v>#N/A</v>
      </c>
      <c r="AQ366" s="53" t="e">
        <f t="shared" si="492"/>
        <v>#N/A</v>
      </c>
      <c r="AR366" s="54" t="e">
        <f t="shared" si="492"/>
        <v>#N/A</v>
      </c>
      <c r="AS366" s="316">
        <f t="shared" si="542"/>
        <v>0</v>
      </c>
      <c r="AT366" s="106">
        <f>_xlfn.IFNA($M366/VLOOKUP($BT366,'Unit information'!$A$2:$K$29,2,FALSE)*R366,0)*(1+$E$9)</f>
        <v>0</v>
      </c>
      <c r="AU366" s="107">
        <f>_xlfn.IFNA($M366/VLOOKUP($BT366,'Unit information'!$A$2:$K$29,3,FALSE)*S366,0)*(1+$E$9)</f>
        <v>0</v>
      </c>
      <c r="AV366" s="107">
        <f>_xlfn.IFNA($M366/VLOOKUP($BT366,'Unit information'!$A$2:$K$29,4,FALSE)*T366,0)*(1+$E$9)</f>
        <v>0</v>
      </c>
      <c r="AW366" s="107">
        <f>_xlfn.IFNA($M366/VLOOKUP($BT366,'Unit information'!$A$2:$K$29,5,FALSE)*U366,0)*(1+$E$9)</f>
        <v>0</v>
      </c>
      <c r="AX366" s="107">
        <f>_xlfn.IFNA($M366/VLOOKUP($BU366,'Unit information'!$A$2:$K$29,6,FALSE)*V366,0)*(1+$E$9)</f>
        <v>0</v>
      </c>
      <c r="AY366" s="107">
        <f>_xlfn.IFNA($M366/VLOOKUP($BU366,'Unit information'!$A$2:$K$29,7,FALSE)*W366,0)*(1+$E$9)</f>
        <v>0</v>
      </c>
      <c r="AZ366" s="107">
        <f>_xlfn.IFNA($M366/VLOOKUP($BU366,'Unit information'!$A$2:$K$29,8,FALSE)*X366,0)*(1+$E$9)</f>
        <v>0</v>
      </c>
      <c r="BA366" s="107">
        <f>_xlfn.IFNA($M366/VLOOKUP($BU366,'Unit information'!$A$2:$K$29,9,FALSE)*Y366,0)*(1+$E$9)</f>
        <v>0</v>
      </c>
      <c r="BB366" s="107">
        <f>_xlfn.IFNA($M366/VLOOKUP($BV366,'Unit information'!$A$2:$K$29,10,FALSE)*Z366,0)*(1+$E$9)</f>
        <v>0</v>
      </c>
      <c r="BC366" s="108">
        <f>_xlfn.IFNA($M366/VLOOKUP($BV366,'Unit information'!$A$2:$K$29,11,FALSE)*AA366,0)*(1+$E$9)</f>
        <v>0</v>
      </c>
      <c r="BD366" s="106">
        <f t="shared" si="473"/>
        <v>0</v>
      </c>
      <c r="BE366" s="107">
        <f t="shared" si="474"/>
        <v>0</v>
      </c>
      <c r="BF366" s="108">
        <f t="shared" si="475"/>
        <v>0</v>
      </c>
      <c r="BG366" s="25" t="e">
        <f t="shared" si="476"/>
        <v>#N/A</v>
      </c>
      <c r="BH366" s="25" t="e">
        <f t="shared" si="477"/>
        <v>#N/A</v>
      </c>
      <c r="BI366" s="25" t="e">
        <f t="shared" si="478"/>
        <v>#N/A</v>
      </c>
      <c r="BJ366" s="27" t="e">
        <f t="shared" si="479"/>
        <v>#N/A</v>
      </c>
      <c r="BK366" s="18" t="e">
        <f t="shared" si="480"/>
        <v>#N/A</v>
      </c>
      <c r="BL366" s="18" t="e">
        <f t="shared" si="481"/>
        <v>#N/A</v>
      </c>
      <c r="BM366" s="28" t="e">
        <f t="shared" si="527"/>
        <v>#N/A</v>
      </c>
      <c r="BN366" s="33">
        <f>HLOOKUP("maximum population",Miscelaneous!$C$1:$C$33,CH366+3,FALSE)</f>
        <v>240</v>
      </c>
      <c r="BO366" s="14">
        <f t="shared" si="493"/>
        <v>32</v>
      </c>
      <c r="BP366" s="14">
        <f t="shared" si="494"/>
        <v>0</v>
      </c>
      <c r="BQ366" s="14">
        <f t="shared" si="495"/>
        <v>208</v>
      </c>
      <c r="BR366" s="34" t="e">
        <f>HLOOKUP(J366,Villagers!$B$1:$V$33,L366+3,FALSE)-HLOOKUP(J366,Villagers!$B$1:$V$33,L366+2,FALSE)</f>
        <v>#N/A</v>
      </c>
      <c r="BS366" s="49">
        <f t="shared" si="496"/>
        <v>1</v>
      </c>
      <c r="BT366" s="50">
        <f t="shared" si="497"/>
        <v>0</v>
      </c>
      <c r="BU366" s="50">
        <f t="shared" si="498"/>
        <v>0</v>
      </c>
      <c r="BV366" s="50">
        <f t="shared" si="499"/>
        <v>0</v>
      </c>
      <c r="BW366" s="50">
        <f t="shared" si="544"/>
        <v>0</v>
      </c>
      <c r="BX366" s="50">
        <f t="shared" si="543"/>
        <v>0</v>
      </c>
      <c r="BY366" s="50">
        <f t="shared" si="543"/>
        <v>0</v>
      </c>
      <c r="BZ366" s="50">
        <f t="shared" si="530"/>
        <v>0</v>
      </c>
      <c r="CA366" s="50">
        <f t="shared" si="531"/>
        <v>0</v>
      </c>
      <c r="CB366" s="50">
        <f t="shared" si="532"/>
        <v>1</v>
      </c>
      <c r="CC366" s="50">
        <f t="shared" si="533"/>
        <v>0</v>
      </c>
      <c r="CD366" s="50">
        <f t="shared" si="534"/>
        <v>0</v>
      </c>
      <c r="CE366" s="50">
        <f t="shared" si="535"/>
        <v>1</v>
      </c>
      <c r="CF366" s="50">
        <f t="shared" si="536"/>
        <v>1</v>
      </c>
      <c r="CG366" s="50">
        <f t="shared" si="537"/>
        <v>1</v>
      </c>
      <c r="CH366" s="50">
        <f t="shared" si="538"/>
        <v>1</v>
      </c>
      <c r="CI366" s="50">
        <f t="shared" si="539"/>
        <v>1</v>
      </c>
      <c r="CJ366" s="50">
        <f t="shared" si="540"/>
        <v>1</v>
      </c>
      <c r="CK366" s="50">
        <f t="shared" si="540"/>
        <v>0</v>
      </c>
      <c r="CL366" s="50">
        <f t="shared" si="540"/>
        <v>0</v>
      </c>
      <c r="CM366" s="51">
        <f t="shared" si="482"/>
        <v>0</v>
      </c>
      <c r="CN366" s="33">
        <f>ROUND(IF(BS366=0,0,HLOOKUP(BS$14,Villagers!$B$1:$V$33,BS366+3,FALSE)),)</f>
        <v>5</v>
      </c>
      <c r="CO366" s="14">
        <f>ROUND(IF(BT366=0,0,HLOOKUP(BT$14,Villagers!$B$1:$V$33,BT366+3,FALSE)),)</f>
        <v>0</v>
      </c>
      <c r="CP366" s="14">
        <f>ROUND(IF(BU366=0,0,HLOOKUP(BU$14,Villagers!$B$1:$V$33,BU366+3,FALSE)),)</f>
        <v>0</v>
      </c>
      <c r="CQ366" s="14">
        <f>ROUND(IF(BV366=0,0,HLOOKUP(BV$14,Villagers!$B$1:$V$33,BV366+3,FALSE)),)</f>
        <v>0</v>
      </c>
      <c r="CR366" s="14">
        <f>ROUND(IF(BW366=0,0,HLOOKUP(BW$14,Villagers!$B$1:$V$33,BW366+3,FALSE)),)</f>
        <v>0</v>
      </c>
      <c r="CS366" s="14">
        <f>ROUND(IF(BX366=0,0,HLOOKUP(BX$14,Villagers!$B$1:$V$33,BX366+3,FALSE)),)</f>
        <v>0</v>
      </c>
      <c r="CT366" s="14">
        <f>ROUND(IF(BY366=0,0,HLOOKUP(BY$14,Villagers!$B$1:$V$33,BY366+3,FALSE)),)</f>
        <v>0</v>
      </c>
      <c r="CU366" s="14">
        <f>ROUND(IF(BZ366=0,0,HLOOKUP(BZ$14,Villagers!$B$1:$V$33,BZ366+3,FALSE)),)</f>
        <v>0</v>
      </c>
      <c r="CV366" s="14">
        <f>ROUND(IF(CA366=0,0,HLOOKUP(CA$14,Villagers!$B$1:$V$33,CA366+3,FALSE)),)</f>
        <v>0</v>
      </c>
      <c r="CW366" s="14">
        <f>ROUND(IF(CB366=0,0,HLOOKUP(CB$14,Villagers!$B$1:$V$33,CB366+3,FALSE)),)</f>
        <v>0</v>
      </c>
      <c r="CX366" s="14">
        <f>ROUND(IF(CC366=0,0,HLOOKUP(CC$14,Villagers!$B$1:$V$33,CC366+3,FALSE)),)</f>
        <v>0</v>
      </c>
      <c r="CY366" s="14">
        <f>ROUND(IF(CD366=0,0,HLOOKUP(CD$14,Villagers!$B$1:$V$33,CD366+3,FALSE)),)</f>
        <v>0</v>
      </c>
      <c r="CZ366" s="14">
        <f>ROUND(IF(CE366=0,0,HLOOKUP(CE$14,Villagers!$B$1:$V$33,CE366+3,FALSE)),)</f>
        <v>5</v>
      </c>
      <c r="DA366" s="14">
        <f>ROUND(IF(CF366=0,0,HLOOKUP(CF$14,Villagers!$B$1:$V$33,CF366+3,FALSE)),)</f>
        <v>10</v>
      </c>
      <c r="DB366" s="14">
        <f>ROUND(IF(CG366=0,0,HLOOKUP(CG$14,Villagers!$B$1:$V$33,CG366+3,FALSE)),)</f>
        <v>10</v>
      </c>
      <c r="DC366" s="14">
        <f>ROUND(IF(CH366=0,0,HLOOKUP(CH$14,Villagers!$B$1:$V$33,CH366+3,FALSE)),)</f>
        <v>0</v>
      </c>
      <c r="DD366" s="14">
        <f>ROUND(IF(CI366=0,0,HLOOKUP(CI$14,Villagers!$B$1:$V$33,CI366+3,FALSE)),)</f>
        <v>0</v>
      </c>
      <c r="DE366" s="14">
        <f>ROUND(IF(CJ366=0,0,HLOOKUP(CJ$14,Villagers!$B$1:$V$33,CJ366+3,FALSE)),)</f>
        <v>2</v>
      </c>
      <c r="DF366" s="370">
        <f>ROUND(IF(CK366=0,0,HLOOKUP(CK$14,Villagers!$B$1:$V$33,CK366+3,FALSE)),)</f>
        <v>0</v>
      </c>
      <c r="DG366" s="370">
        <f>ROUND(IF(CL366=0,0,HLOOKUP(CL$14,Villagers!$B$1:$V$33,CL366+3,FALSE)),)</f>
        <v>0</v>
      </c>
      <c r="DH366" s="34">
        <f>ROUND(IF(CM366=0,0,HLOOKUP(CM$14,Villagers!$B$1:$V$33,CM366+3,FALSE)),)</f>
        <v>0</v>
      </c>
      <c r="DI366" s="109">
        <f t="shared" si="516"/>
        <v>0</v>
      </c>
      <c r="DJ366" s="50">
        <f t="shared" si="517"/>
        <v>0</v>
      </c>
      <c r="DK366" s="50">
        <f t="shared" si="518"/>
        <v>0</v>
      </c>
      <c r="DL366" s="50">
        <f t="shared" si="519"/>
        <v>0</v>
      </c>
      <c r="DM366" s="50">
        <f t="shared" si="520"/>
        <v>0</v>
      </c>
      <c r="DN366" s="50">
        <f t="shared" si="521"/>
        <v>0</v>
      </c>
      <c r="DO366" s="50">
        <f t="shared" si="522"/>
        <v>0</v>
      </c>
      <c r="DP366" s="50">
        <f t="shared" si="523"/>
        <v>0</v>
      </c>
      <c r="DQ366" s="50">
        <f t="shared" si="501"/>
        <v>0</v>
      </c>
      <c r="DR366" s="50">
        <f t="shared" si="502"/>
        <v>0</v>
      </c>
      <c r="DS366" s="96">
        <f>Miscelaneous!$D$4*Miscelaneous!$D$2^($CI366-1)</f>
        <v>1000</v>
      </c>
      <c r="DT366" s="333">
        <f t="shared" si="483"/>
        <v>1</v>
      </c>
      <c r="DU366" s="81">
        <v>1</v>
      </c>
      <c r="DV366" s="79">
        <f t="shared" si="503"/>
        <v>0</v>
      </c>
      <c r="DW366" s="79">
        <f t="shared" si="504"/>
        <v>0</v>
      </c>
      <c r="DX366" s="79">
        <f t="shared" si="505"/>
        <v>0</v>
      </c>
      <c r="DY366" s="79">
        <v>1</v>
      </c>
      <c r="DZ366" s="79">
        <f t="shared" si="506"/>
        <v>0</v>
      </c>
      <c r="EA366" s="79">
        <f t="shared" si="507"/>
        <v>0</v>
      </c>
      <c r="EB366" s="79">
        <f t="shared" si="508"/>
        <v>0</v>
      </c>
      <c r="EC366" s="79">
        <f t="shared" si="509"/>
        <v>0</v>
      </c>
      <c r="ED366" s="79">
        <v>1</v>
      </c>
      <c r="EE366" s="79">
        <v>1</v>
      </c>
      <c r="EF366" s="79">
        <f t="shared" si="510"/>
        <v>0</v>
      </c>
      <c r="EG366" s="79">
        <v>1</v>
      </c>
      <c r="EH366" s="79">
        <v>1</v>
      </c>
      <c r="EI366" s="79">
        <v>1</v>
      </c>
      <c r="EJ366" s="79">
        <v>1</v>
      </c>
      <c r="EK366" s="79">
        <v>1</v>
      </c>
      <c r="EL366" s="79">
        <v>1</v>
      </c>
      <c r="EM366" s="143">
        <f t="shared" si="511"/>
        <v>0</v>
      </c>
      <c r="EN366" s="143">
        <f t="shared" si="512"/>
        <v>0</v>
      </c>
      <c r="EO366" s="82">
        <f t="shared" si="513"/>
        <v>0</v>
      </c>
    </row>
    <row r="367" spans="1:145" x14ac:dyDescent="0.25">
      <c r="A367">
        <v>353</v>
      </c>
      <c r="B367" s="172" t="e">
        <f t="shared" si="484"/>
        <v>#N/A</v>
      </c>
      <c r="C367" s="121" t="e">
        <f t="shared" si="462"/>
        <v>#N/A</v>
      </c>
      <c r="D367" s="122" t="e">
        <f t="shared" si="463"/>
        <v>#N/A</v>
      </c>
      <c r="E367" s="122" t="e">
        <f t="shared" si="464"/>
        <v>#N/A</v>
      </c>
      <c r="F367" s="176" t="e">
        <f t="shared" si="465"/>
        <v>#N/A</v>
      </c>
      <c r="G367" s="121">
        <f t="shared" si="485"/>
        <v>208</v>
      </c>
      <c r="H367" s="176" t="e">
        <f t="shared" si="486"/>
        <v>#N/A</v>
      </c>
      <c r="I367" s="48">
        <v>1</v>
      </c>
      <c r="J367" s="39"/>
      <c r="K367" s="350">
        <v>1</v>
      </c>
      <c r="L367" s="34" t="e">
        <f t="shared" si="466"/>
        <v>#N/A</v>
      </c>
      <c r="M367" s="38" t="e">
        <f>(HLOOKUP(J367,'Construction Times'!$B$3:$W$34,L367+2,FALSE)*HLOOKUP("hq modifier",'Construction Times'!$W$3:$W$34,BS367+2,FALSE))*(1-$H$9)</f>
        <v>#N/A</v>
      </c>
      <c r="N367" s="443" t="e">
        <f t="shared" si="487"/>
        <v>#N/A</v>
      </c>
      <c r="O367" s="444"/>
      <c r="P367" s="447" t="e">
        <f t="shared" si="488"/>
        <v>#N/A</v>
      </c>
      <c r="Q367" s="448"/>
      <c r="R367" s="103">
        <f t="shared" si="514"/>
        <v>0</v>
      </c>
      <c r="S367" s="104">
        <f t="shared" si="514"/>
        <v>0</v>
      </c>
      <c r="T367" s="104">
        <f t="shared" si="515"/>
        <v>0</v>
      </c>
      <c r="U367" s="104">
        <f t="shared" si="515"/>
        <v>0</v>
      </c>
      <c r="V367" s="104">
        <f t="shared" si="515"/>
        <v>9.9999999999999995E-8</v>
      </c>
      <c r="W367" s="104">
        <f t="shared" si="515"/>
        <v>0</v>
      </c>
      <c r="X367" s="104">
        <f t="shared" si="545"/>
        <v>0</v>
      </c>
      <c r="Y367" s="104">
        <f t="shared" si="545"/>
        <v>9.9999999999999995E-8</v>
      </c>
      <c r="Z367" s="104">
        <f t="shared" si="545"/>
        <v>9.9999999999999995E-8</v>
      </c>
      <c r="AA367" s="105">
        <f t="shared" si="545"/>
        <v>9.9999999999999995E-8</v>
      </c>
      <c r="AB367" s="101" t="e">
        <f>$DT367*HLOOKUP($J367,'Construction Costs (timber)'!$B$1:$V$32,'Construction Planner'!$L367+2,FALSE)</f>
        <v>#N/A</v>
      </c>
      <c r="AC367" s="14" t="e">
        <f>$DT367*HLOOKUP($J367,'Construction Costs (clay)'!$B$1:$V$32,'Construction Planner'!$L367+2,FALSE)</f>
        <v>#N/A</v>
      </c>
      <c r="AD367" s="14" t="e">
        <f>$DT367*HLOOKUP($J367,'Construction Costs (iron)'!$B$1:$V$32,'Construction Planner'!$L367+2,FALSE)</f>
        <v>#N/A</v>
      </c>
      <c r="AE367" s="34" t="e">
        <f t="shared" si="524"/>
        <v>#N/A</v>
      </c>
      <c r="AF367" s="33" t="e">
        <f t="shared" si="467"/>
        <v>#N/A</v>
      </c>
      <c r="AG367" s="14" t="e">
        <f t="shared" si="468"/>
        <v>#N/A</v>
      </c>
      <c r="AH367" s="14" t="e">
        <f t="shared" si="469"/>
        <v>#N/A</v>
      </c>
      <c r="AI367" s="34" t="e">
        <f t="shared" si="525"/>
        <v>#N/A</v>
      </c>
      <c r="AJ367" s="49" t="e">
        <f t="shared" si="489"/>
        <v>#N/A</v>
      </c>
      <c r="AK367" s="49" t="e">
        <f t="shared" si="490"/>
        <v>#N/A</v>
      </c>
      <c r="AL367" s="49" t="e">
        <f t="shared" si="491"/>
        <v>#N/A</v>
      </c>
      <c r="AM367" s="25">
        <f t="shared" si="470"/>
        <v>30</v>
      </c>
      <c r="AN367" s="25">
        <f t="shared" si="471"/>
        <v>30</v>
      </c>
      <c r="AO367" s="25">
        <f t="shared" si="472"/>
        <v>30</v>
      </c>
      <c r="AP367" s="52" t="e">
        <f t="shared" si="492"/>
        <v>#N/A</v>
      </c>
      <c r="AQ367" s="53" t="e">
        <f t="shared" si="492"/>
        <v>#N/A</v>
      </c>
      <c r="AR367" s="54" t="e">
        <f t="shared" si="492"/>
        <v>#N/A</v>
      </c>
      <c r="AS367" s="316">
        <f t="shared" si="542"/>
        <v>0</v>
      </c>
      <c r="AT367" s="106">
        <f>_xlfn.IFNA($M367/VLOOKUP($BT367,'Unit information'!$A$2:$K$29,2,FALSE)*R367,0)*(1+$E$9)</f>
        <v>0</v>
      </c>
      <c r="AU367" s="107">
        <f>_xlfn.IFNA($M367/VLOOKUP($BT367,'Unit information'!$A$2:$K$29,3,FALSE)*S367,0)*(1+$E$9)</f>
        <v>0</v>
      </c>
      <c r="AV367" s="107">
        <f>_xlfn.IFNA($M367/VLOOKUP($BT367,'Unit information'!$A$2:$K$29,4,FALSE)*T367,0)*(1+$E$9)</f>
        <v>0</v>
      </c>
      <c r="AW367" s="107">
        <f>_xlfn.IFNA($M367/VLOOKUP($BT367,'Unit information'!$A$2:$K$29,5,FALSE)*U367,0)*(1+$E$9)</f>
        <v>0</v>
      </c>
      <c r="AX367" s="107">
        <f>_xlfn.IFNA($M367/VLOOKUP($BU367,'Unit information'!$A$2:$K$29,6,FALSE)*V367,0)*(1+$E$9)</f>
        <v>0</v>
      </c>
      <c r="AY367" s="107">
        <f>_xlfn.IFNA($M367/VLOOKUP($BU367,'Unit information'!$A$2:$K$29,7,FALSE)*W367,0)*(1+$E$9)</f>
        <v>0</v>
      </c>
      <c r="AZ367" s="107">
        <f>_xlfn.IFNA($M367/VLOOKUP($BU367,'Unit information'!$A$2:$K$29,8,FALSE)*X367,0)*(1+$E$9)</f>
        <v>0</v>
      </c>
      <c r="BA367" s="107">
        <f>_xlfn.IFNA($M367/VLOOKUP($BU367,'Unit information'!$A$2:$K$29,9,FALSE)*Y367,0)*(1+$E$9)</f>
        <v>0</v>
      </c>
      <c r="BB367" s="107">
        <f>_xlfn.IFNA($M367/VLOOKUP($BV367,'Unit information'!$A$2:$K$29,10,FALSE)*Z367,0)*(1+$E$9)</f>
        <v>0</v>
      </c>
      <c r="BC367" s="108">
        <f>_xlfn.IFNA($M367/VLOOKUP($BV367,'Unit information'!$A$2:$K$29,11,FALSE)*AA367,0)*(1+$E$9)</f>
        <v>0</v>
      </c>
      <c r="BD367" s="106">
        <f t="shared" si="473"/>
        <v>0</v>
      </c>
      <c r="BE367" s="107">
        <f t="shared" si="474"/>
        <v>0</v>
      </c>
      <c r="BF367" s="108">
        <f t="shared" si="475"/>
        <v>0</v>
      </c>
      <c r="BG367" s="25" t="e">
        <f t="shared" si="476"/>
        <v>#N/A</v>
      </c>
      <c r="BH367" s="25" t="e">
        <f t="shared" si="477"/>
        <v>#N/A</v>
      </c>
      <c r="BI367" s="25" t="e">
        <f t="shared" si="478"/>
        <v>#N/A</v>
      </c>
      <c r="BJ367" s="27" t="e">
        <f t="shared" si="479"/>
        <v>#N/A</v>
      </c>
      <c r="BK367" s="18" t="e">
        <f t="shared" si="480"/>
        <v>#N/A</v>
      </c>
      <c r="BL367" s="18" t="e">
        <f t="shared" si="481"/>
        <v>#N/A</v>
      </c>
      <c r="BM367" s="28" t="e">
        <f t="shared" si="527"/>
        <v>#N/A</v>
      </c>
      <c r="BN367" s="33">
        <f>HLOOKUP("maximum population",Miscelaneous!$C$1:$C$33,CH367+3,FALSE)</f>
        <v>240</v>
      </c>
      <c r="BO367" s="14">
        <f t="shared" si="493"/>
        <v>32</v>
      </c>
      <c r="BP367" s="14">
        <f t="shared" si="494"/>
        <v>0</v>
      </c>
      <c r="BQ367" s="14">
        <f t="shared" si="495"/>
        <v>208</v>
      </c>
      <c r="BR367" s="34" t="e">
        <f>HLOOKUP(J367,Villagers!$B$1:$V$33,L367+3,FALSE)-HLOOKUP(J367,Villagers!$B$1:$V$33,L367+2,FALSE)</f>
        <v>#N/A</v>
      </c>
      <c r="BS367" s="49">
        <f t="shared" si="496"/>
        <v>1</v>
      </c>
      <c r="BT367" s="50">
        <f t="shared" si="497"/>
        <v>0</v>
      </c>
      <c r="BU367" s="50">
        <f t="shared" si="498"/>
        <v>0</v>
      </c>
      <c r="BV367" s="50">
        <f t="shared" si="499"/>
        <v>0</v>
      </c>
      <c r="BW367" s="50">
        <f t="shared" si="544"/>
        <v>0</v>
      </c>
      <c r="BX367" s="50">
        <f t="shared" si="543"/>
        <v>0</v>
      </c>
      <c r="BY367" s="50">
        <f t="shared" si="543"/>
        <v>0</v>
      </c>
      <c r="BZ367" s="50">
        <f t="shared" si="530"/>
        <v>0</v>
      </c>
      <c r="CA367" s="50">
        <f t="shared" si="531"/>
        <v>0</v>
      </c>
      <c r="CB367" s="50">
        <f t="shared" si="532"/>
        <v>1</v>
      </c>
      <c r="CC367" s="50">
        <f t="shared" si="533"/>
        <v>0</v>
      </c>
      <c r="CD367" s="50">
        <f t="shared" si="534"/>
        <v>0</v>
      </c>
      <c r="CE367" s="50">
        <f t="shared" si="535"/>
        <v>1</v>
      </c>
      <c r="CF367" s="50">
        <f t="shared" si="536"/>
        <v>1</v>
      </c>
      <c r="CG367" s="50">
        <f t="shared" si="537"/>
        <v>1</v>
      </c>
      <c r="CH367" s="50">
        <f t="shared" si="538"/>
        <v>1</v>
      </c>
      <c r="CI367" s="50">
        <f t="shared" si="539"/>
        <v>1</v>
      </c>
      <c r="CJ367" s="50">
        <f t="shared" si="540"/>
        <v>1</v>
      </c>
      <c r="CK367" s="50">
        <f t="shared" si="540"/>
        <v>0</v>
      </c>
      <c r="CL367" s="50">
        <f t="shared" si="540"/>
        <v>0</v>
      </c>
      <c r="CM367" s="51">
        <f t="shared" si="482"/>
        <v>0</v>
      </c>
      <c r="CN367" s="33">
        <f>ROUND(IF(BS367=0,0,HLOOKUP(BS$14,Villagers!$B$1:$V$33,BS367+3,FALSE)),)</f>
        <v>5</v>
      </c>
      <c r="CO367" s="14">
        <f>ROUND(IF(BT367=0,0,HLOOKUP(BT$14,Villagers!$B$1:$V$33,BT367+3,FALSE)),)</f>
        <v>0</v>
      </c>
      <c r="CP367" s="14">
        <f>ROUND(IF(BU367=0,0,HLOOKUP(BU$14,Villagers!$B$1:$V$33,BU367+3,FALSE)),)</f>
        <v>0</v>
      </c>
      <c r="CQ367" s="14">
        <f>ROUND(IF(BV367=0,0,HLOOKUP(BV$14,Villagers!$B$1:$V$33,BV367+3,FALSE)),)</f>
        <v>0</v>
      </c>
      <c r="CR367" s="14">
        <f>ROUND(IF(BW367=0,0,HLOOKUP(BW$14,Villagers!$B$1:$V$33,BW367+3,FALSE)),)</f>
        <v>0</v>
      </c>
      <c r="CS367" s="14">
        <f>ROUND(IF(BX367=0,0,HLOOKUP(BX$14,Villagers!$B$1:$V$33,BX367+3,FALSE)),)</f>
        <v>0</v>
      </c>
      <c r="CT367" s="14">
        <f>ROUND(IF(BY367=0,0,HLOOKUP(BY$14,Villagers!$B$1:$V$33,BY367+3,FALSE)),)</f>
        <v>0</v>
      </c>
      <c r="CU367" s="14">
        <f>ROUND(IF(BZ367=0,0,HLOOKUP(BZ$14,Villagers!$B$1:$V$33,BZ367+3,FALSE)),)</f>
        <v>0</v>
      </c>
      <c r="CV367" s="14">
        <f>ROUND(IF(CA367=0,0,HLOOKUP(CA$14,Villagers!$B$1:$V$33,CA367+3,FALSE)),)</f>
        <v>0</v>
      </c>
      <c r="CW367" s="14">
        <f>ROUND(IF(CB367=0,0,HLOOKUP(CB$14,Villagers!$B$1:$V$33,CB367+3,FALSE)),)</f>
        <v>0</v>
      </c>
      <c r="CX367" s="14">
        <f>ROUND(IF(CC367=0,0,HLOOKUP(CC$14,Villagers!$B$1:$V$33,CC367+3,FALSE)),)</f>
        <v>0</v>
      </c>
      <c r="CY367" s="14">
        <f>ROUND(IF(CD367=0,0,HLOOKUP(CD$14,Villagers!$B$1:$V$33,CD367+3,FALSE)),)</f>
        <v>0</v>
      </c>
      <c r="CZ367" s="14">
        <f>ROUND(IF(CE367=0,0,HLOOKUP(CE$14,Villagers!$B$1:$V$33,CE367+3,FALSE)),)</f>
        <v>5</v>
      </c>
      <c r="DA367" s="14">
        <f>ROUND(IF(CF367=0,0,HLOOKUP(CF$14,Villagers!$B$1:$V$33,CF367+3,FALSE)),)</f>
        <v>10</v>
      </c>
      <c r="DB367" s="14">
        <f>ROUND(IF(CG367=0,0,HLOOKUP(CG$14,Villagers!$B$1:$V$33,CG367+3,FALSE)),)</f>
        <v>10</v>
      </c>
      <c r="DC367" s="14">
        <f>ROUND(IF(CH367=0,0,HLOOKUP(CH$14,Villagers!$B$1:$V$33,CH367+3,FALSE)),)</f>
        <v>0</v>
      </c>
      <c r="DD367" s="14">
        <f>ROUND(IF(CI367=0,0,HLOOKUP(CI$14,Villagers!$B$1:$V$33,CI367+3,FALSE)),)</f>
        <v>0</v>
      </c>
      <c r="DE367" s="14">
        <f>ROUND(IF(CJ367=0,0,HLOOKUP(CJ$14,Villagers!$B$1:$V$33,CJ367+3,FALSE)),)</f>
        <v>2</v>
      </c>
      <c r="DF367" s="370">
        <f>ROUND(IF(CK367=0,0,HLOOKUP(CK$14,Villagers!$B$1:$V$33,CK367+3,FALSE)),)</f>
        <v>0</v>
      </c>
      <c r="DG367" s="370">
        <f>ROUND(IF(CL367=0,0,HLOOKUP(CL$14,Villagers!$B$1:$V$33,CL367+3,FALSE)),)</f>
        <v>0</v>
      </c>
      <c r="DH367" s="34">
        <f>ROUND(IF(CM367=0,0,HLOOKUP(CM$14,Villagers!$B$1:$V$33,CM367+3,FALSE)),)</f>
        <v>0</v>
      </c>
      <c r="DI367" s="109">
        <f t="shared" si="516"/>
        <v>0</v>
      </c>
      <c r="DJ367" s="50">
        <f t="shared" si="517"/>
        <v>0</v>
      </c>
      <c r="DK367" s="50">
        <f t="shared" si="518"/>
        <v>0</v>
      </c>
      <c r="DL367" s="50">
        <f t="shared" si="519"/>
        <v>0</v>
      </c>
      <c r="DM367" s="50">
        <f t="shared" si="520"/>
        <v>0</v>
      </c>
      <c r="DN367" s="50">
        <f t="shared" si="521"/>
        <v>0</v>
      </c>
      <c r="DO367" s="50">
        <f t="shared" si="522"/>
        <v>0</v>
      </c>
      <c r="DP367" s="50">
        <f t="shared" si="523"/>
        <v>0</v>
      </c>
      <c r="DQ367" s="50">
        <f t="shared" si="501"/>
        <v>0</v>
      </c>
      <c r="DR367" s="50">
        <f t="shared" si="502"/>
        <v>0</v>
      </c>
      <c r="DS367" s="96">
        <f>Miscelaneous!$D$4*Miscelaneous!$D$2^($CI367-1)</f>
        <v>1000</v>
      </c>
      <c r="DT367" s="333">
        <f t="shared" si="483"/>
        <v>1</v>
      </c>
      <c r="DU367" s="81">
        <v>1</v>
      </c>
      <c r="DV367" s="79">
        <f t="shared" si="503"/>
        <v>0</v>
      </c>
      <c r="DW367" s="79">
        <f t="shared" si="504"/>
        <v>0</v>
      </c>
      <c r="DX367" s="79">
        <f t="shared" si="505"/>
        <v>0</v>
      </c>
      <c r="DY367" s="79">
        <v>1</v>
      </c>
      <c r="DZ367" s="79">
        <f t="shared" si="506"/>
        <v>0</v>
      </c>
      <c r="EA367" s="79">
        <f t="shared" si="507"/>
        <v>0</v>
      </c>
      <c r="EB367" s="79">
        <f t="shared" si="508"/>
        <v>0</v>
      </c>
      <c r="EC367" s="79">
        <f t="shared" si="509"/>
        <v>0</v>
      </c>
      <c r="ED367" s="79">
        <v>1</v>
      </c>
      <c r="EE367" s="79">
        <v>1</v>
      </c>
      <c r="EF367" s="79">
        <f t="shared" si="510"/>
        <v>0</v>
      </c>
      <c r="EG367" s="79">
        <v>1</v>
      </c>
      <c r="EH367" s="79">
        <v>1</v>
      </c>
      <c r="EI367" s="79">
        <v>1</v>
      </c>
      <c r="EJ367" s="79">
        <v>1</v>
      </c>
      <c r="EK367" s="79">
        <v>1</v>
      </c>
      <c r="EL367" s="79">
        <v>1</v>
      </c>
      <c r="EM367" s="143">
        <f t="shared" si="511"/>
        <v>0</v>
      </c>
      <c r="EN367" s="143">
        <f t="shared" si="512"/>
        <v>0</v>
      </c>
      <c r="EO367" s="82">
        <f t="shared" si="513"/>
        <v>0</v>
      </c>
    </row>
    <row r="368" spans="1:145" x14ac:dyDescent="0.25">
      <c r="A368">
        <v>354</v>
      </c>
      <c r="B368" s="172" t="e">
        <f t="shared" si="484"/>
        <v>#N/A</v>
      </c>
      <c r="C368" s="121" t="e">
        <f t="shared" si="462"/>
        <v>#N/A</v>
      </c>
      <c r="D368" s="122" t="e">
        <f t="shared" si="463"/>
        <v>#N/A</v>
      </c>
      <c r="E368" s="122" t="e">
        <f t="shared" si="464"/>
        <v>#N/A</v>
      </c>
      <c r="F368" s="176" t="e">
        <f t="shared" si="465"/>
        <v>#N/A</v>
      </c>
      <c r="G368" s="121">
        <f t="shared" si="485"/>
        <v>208</v>
      </c>
      <c r="H368" s="176" t="e">
        <f t="shared" si="486"/>
        <v>#N/A</v>
      </c>
      <c r="I368" s="48">
        <v>1</v>
      </c>
      <c r="J368" s="39"/>
      <c r="K368" s="350">
        <v>1</v>
      </c>
      <c r="L368" s="34" t="e">
        <f t="shared" si="466"/>
        <v>#N/A</v>
      </c>
      <c r="M368" s="38" t="e">
        <f>(HLOOKUP(J368,'Construction Times'!$B$3:$W$34,L368+2,FALSE)*HLOOKUP("hq modifier",'Construction Times'!$W$3:$W$34,BS368+2,FALSE))*(1-$H$9)</f>
        <v>#N/A</v>
      </c>
      <c r="N368" s="443" t="e">
        <f t="shared" si="487"/>
        <v>#N/A</v>
      </c>
      <c r="O368" s="444"/>
      <c r="P368" s="447" t="e">
        <f t="shared" si="488"/>
        <v>#N/A</v>
      </c>
      <c r="Q368" s="448"/>
      <c r="R368" s="103">
        <f t="shared" si="514"/>
        <v>0</v>
      </c>
      <c r="S368" s="104">
        <f t="shared" si="514"/>
        <v>0</v>
      </c>
      <c r="T368" s="104">
        <f t="shared" si="515"/>
        <v>0</v>
      </c>
      <c r="U368" s="104">
        <f t="shared" si="515"/>
        <v>0</v>
      </c>
      <c r="V368" s="104">
        <f t="shared" si="515"/>
        <v>9.9999999999999995E-8</v>
      </c>
      <c r="W368" s="104">
        <f t="shared" si="515"/>
        <v>0</v>
      </c>
      <c r="X368" s="104">
        <f t="shared" si="545"/>
        <v>0</v>
      </c>
      <c r="Y368" s="104">
        <f t="shared" si="545"/>
        <v>9.9999999999999995E-8</v>
      </c>
      <c r="Z368" s="104">
        <f t="shared" si="545"/>
        <v>9.9999999999999995E-8</v>
      </c>
      <c r="AA368" s="105">
        <f t="shared" si="545"/>
        <v>9.9999999999999995E-8</v>
      </c>
      <c r="AB368" s="101" t="e">
        <f>$DT368*HLOOKUP($J368,'Construction Costs (timber)'!$B$1:$V$32,'Construction Planner'!$L368+2,FALSE)</f>
        <v>#N/A</v>
      </c>
      <c r="AC368" s="14" t="e">
        <f>$DT368*HLOOKUP($J368,'Construction Costs (clay)'!$B$1:$V$32,'Construction Planner'!$L368+2,FALSE)</f>
        <v>#N/A</v>
      </c>
      <c r="AD368" s="14" t="e">
        <f>$DT368*HLOOKUP($J368,'Construction Costs (iron)'!$B$1:$V$32,'Construction Planner'!$L368+2,FALSE)</f>
        <v>#N/A</v>
      </c>
      <c r="AE368" s="34" t="e">
        <f t="shared" si="524"/>
        <v>#N/A</v>
      </c>
      <c r="AF368" s="33" t="e">
        <f t="shared" si="467"/>
        <v>#N/A</v>
      </c>
      <c r="AG368" s="14" t="e">
        <f t="shared" si="468"/>
        <v>#N/A</v>
      </c>
      <c r="AH368" s="14" t="e">
        <f t="shared" si="469"/>
        <v>#N/A</v>
      </c>
      <c r="AI368" s="34" t="e">
        <f t="shared" si="525"/>
        <v>#N/A</v>
      </c>
      <c r="AJ368" s="49" t="e">
        <f t="shared" si="489"/>
        <v>#N/A</v>
      </c>
      <c r="AK368" s="49" t="e">
        <f t="shared" si="490"/>
        <v>#N/A</v>
      </c>
      <c r="AL368" s="49" t="e">
        <f t="shared" si="491"/>
        <v>#N/A</v>
      </c>
      <c r="AM368" s="25">
        <f t="shared" si="470"/>
        <v>30</v>
      </c>
      <c r="AN368" s="25">
        <f t="shared" si="471"/>
        <v>30</v>
      </c>
      <c r="AO368" s="25">
        <f t="shared" si="472"/>
        <v>30</v>
      </c>
      <c r="AP368" s="52" t="e">
        <f t="shared" ref="AP368:AR399" si="546">($N368-$AK$6+$AK$9+1)*$AK$5/24/3*$AS368</f>
        <v>#N/A</v>
      </c>
      <c r="AQ368" s="53" t="e">
        <f t="shared" si="546"/>
        <v>#N/A</v>
      </c>
      <c r="AR368" s="54" t="e">
        <f t="shared" si="546"/>
        <v>#N/A</v>
      </c>
      <c r="AS368" s="316">
        <f t="shared" si="542"/>
        <v>0</v>
      </c>
      <c r="AT368" s="106">
        <f>_xlfn.IFNA($M368/VLOOKUP($BT368,'Unit information'!$A$2:$K$29,2,FALSE)*R368,0)*(1+$E$9)</f>
        <v>0</v>
      </c>
      <c r="AU368" s="107">
        <f>_xlfn.IFNA($M368/VLOOKUP($BT368,'Unit information'!$A$2:$K$29,3,FALSE)*S368,0)*(1+$E$9)</f>
        <v>0</v>
      </c>
      <c r="AV368" s="107">
        <f>_xlfn.IFNA($M368/VLOOKUP($BT368,'Unit information'!$A$2:$K$29,4,FALSE)*T368,0)*(1+$E$9)</f>
        <v>0</v>
      </c>
      <c r="AW368" s="107">
        <f>_xlfn.IFNA($M368/VLOOKUP($BT368,'Unit information'!$A$2:$K$29,5,FALSE)*U368,0)*(1+$E$9)</f>
        <v>0</v>
      </c>
      <c r="AX368" s="107">
        <f>_xlfn.IFNA($M368/VLOOKUP($BU368,'Unit information'!$A$2:$K$29,6,FALSE)*V368,0)*(1+$E$9)</f>
        <v>0</v>
      </c>
      <c r="AY368" s="107">
        <f>_xlfn.IFNA($M368/VLOOKUP($BU368,'Unit information'!$A$2:$K$29,7,FALSE)*W368,0)*(1+$E$9)</f>
        <v>0</v>
      </c>
      <c r="AZ368" s="107">
        <f>_xlfn.IFNA($M368/VLOOKUP($BU368,'Unit information'!$A$2:$K$29,8,FALSE)*X368,0)*(1+$E$9)</f>
        <v>0</v>
      </c>
      <c r="BA368" s="107">
        <f>_xlfn.IFNA($M368/VLOOKUP($BU368,'Unit information'!$A$2:$K$29,9,FALSE)*Y368,0)*(1+$E$9)</f>
        <v>0</v>
      </c>
      <c r="BB368" s="107">
        <f>_xlfn.IFNA($M368/VLOOKUP($BV368,'Unit information'!$A$2:$K$29,10,FALSE)*Z368,0)*(1+$E$9)</f>
        <v>0</v>
      </c>
      <c r="BC368" s="108">
        <f>_xlfn.IFNA($M368/VLOOKUP($BV368,'Unit information'!$A$2:$K$29,11,FALSE)*AA368,0)*(1+$E$9)</f>
        <v>0</v>
      </c>
      <c r="BD368" s="106">
        <f t="shared" si="473"/>
        <v>0</v>
      </c>
      <c r="BE368" s="107">
        <f t="shared" si="474"/>
        <v>0</v>
      </c>
      <c r="BF368" s="108">
        <f t="shared" si="475"/>
        <v>0</v>
      </c>
      <c r="BG368" s="25" t="e">
        <f t="shared" si="476"/>
        <v>#N/A</v>
      </c>
      <c r="BH368" s="25" t="e">
        <f t="shared" si="477"/>
        <v>#N/A</v>
      </c>
      <c r="BI368" s="25" t="e">
        <f t="shared" si="478"/>
        <v>#N/A</v>
      </c>
      <c r="BJ368" s="27" t="e">
        <f t="shared" si="479"/>
        <v>#N/A</v>
      </c>
      <c r="BK368" s="18" t="e">
        <f t="shared" si="480"/>
        <v>#N/A</v>
      </c>
      <c r="BL368" s="18" t="e">
        <f t="shared" si="481"/>
        <v>#N/A</v>
      </c>
      <c r="BM368" s="28" t="e">
        <f t="shared" si="527"/>
        <v>#N/A</v>
      </c>
      <c r="BN368" s="33">
        <f>HLOOKUP("maximum population",Miscelaneous!$C$1:$C$33,CH368+3,FALSE)</f>
        <v>240</v>
      </c>
      <c r="BO368" s="14">
        <f t="shared" si="493"/>
        <v>32</v>
      </c>
      <c r="BP368" s="14">
        <f t="shared" si="494"/>
        <v>0</v>
      </c>
      <c r="BQ368" s="14">
        <f t="shared" si="495"/>
        <v>208</v>
      </c>
      <c r="BR368" s="34" t="e">
        <f>HLOOKUP(J368,Villagers!$B$1:$V$33,L368+3,FALSE)-HLOOKUP(J368,Villagers!$B$1:$V$33,L368+2,FALSE)</f>
        <v>#N/A</v>
      </c>
      <c r="BS368" s="49">
        <f t="shared" si="496"/>
        <v>1</v>
      </c>
      <c r="BT368" s="50">
        <f t="shared" si="497"/>
        <v>0</v>
      </c>
      <c r="BU368" s="50">
        <f t="shared" si="498"/>
        <v>0</v>
      </c>
      <c r="BV368" s="50">
        <f t="shared" si="499"/>
        <v>0</v>
      </c>
      <c r="BW368" s="50">
        <f t="shared" ref="BW368:BY374" si="547">IF($J367=BW$14,$L367,BW367)</f>
        <v>0</v>
      </c>
      <c r="BX368" s="50">
        <f t="shared" si="547"/>
        <v>0</v>
      </c>
      <c r="BY368" s="50">
        <f t="shared" si="547"/>
        <v>0</v>
      </c>
      <c r="BZ368" s="50">
        <f t="shared" si="530"/>
        <v>0</v>
      </c>
      <c r="CA368" s="50">
        <f t="shared" si="531"/>
        <v>0</v>
      </c>
      <c r="CB368" s="50">
        <f t="shared" si="532"/>
        <v>1</v>
      </c>
      <c r="CC368" s="50">
        <f t="shared" si="533"/>
        <v>0</v>
      </c>
      <c r="CD368" s="50">
        <f t="shared" si="534"/>
        <v>0</v>
      </c>
      <c r="CE368" s="50">
        <f t="shared" si="535"/>
        <v>1</v>
      </c>
      <c r="CF368" s="50">
        <f t="shared" si="536"/>
        <v>1</v>
      </c>
      <c r="CG368" s="50">
        <f t="shared" si="537"/>
        <v>1</v>
      </c>
      <c r="CH368" s="50">
        <f t="shared" si="538"/>
        <v>1</v>
      </c>
      <c r="CI368" s="50">
        <f t="shared" si="539"/>
        <v>1</v>
      </c>
      <c r="CJ368" s="50">
        <f t="shared" si="540"/>
        <v>1</v>
      </c>
      <c r="CK368" s="50">
        <f t="shared" si="540"/>
        <v>0</v>
      </c>
      <c r="CL368" s="50">
        <f t="shared" si="540"/>
        <v>0</v>
      </c>
      <c r="CM368" s="51">
        <f t="shared" si="482"/>
        <v>0</v>
      </c>
      <c r="CN368" s="33">
        <f>ROUND(IF(BS368=0,0,HLOOKUP(BS$14,Villagers!$B$1:$V$33,BS368+3,FALSE)),)</f>
        <v>5</v>
      </c>
      <c r="CO368" s="14">
        <f>ROUND(IF(BT368=0,0,HLOOKUP(BT$14,Villagers!$B$1:$V$33,BT368+3,FALSE)),)</f>
        <v>0</v>
      </c>
      <c r="CP368" s="14">
        <f>ROUND(IF(BU368=0,0,HLOOKUP(BU$14,Villagers!$B$1:$V$33,BU368+3,FALSE)),)</f>
        <v>0</v>
      </c>
      <c r="CQ368" s="14">
        <f>ROUND(IF(BV368=0,0,HLOOKUP(BV$14,Villagers!$B$1:$V$33,BV368+3,FALSE)),)</f>
        <v>0</v>
      </c>
      <c r="CR368" s="14">
        <f>ROUND(IF(BW368=0,0,HLOOKUP(BW$14,Villagers!$B$1:$V$33,BW368+3,FALSE)),)</f>
        <v>0</v>
      </c>
      <c r="CS368" s="14">
        <f>ROUND(IF(BX368=0,0,HLOOKUP(BX$14,Villagers!$B$1:$V$33,BX368+3,FALSE)),)</f>
        <v>0</v>
      </c>
      <c r="CT368" s="14">
        <f>ROUND(IF(BY368=0,0,HLOOKUP(BY$14,Villagers!$B$1:$V$33,BY368+3,FALSE)),)</f>
        <v>0</v>
      </c>
      <c r="CU368" s="14">
        <f>ROUND(IF(BZ368=0,0,HLOOKUP(BZ$14,Villagers!$B$1:$V$33,BZ368+3,FALSE)),)</f>
        <v>0</v>
      </c>
      <c r="CV368" s="14">
        <f>ROUND(IF(CA368=0,0,HLOOKUP(CA$14,Villagers!$B$1:$V$33,CA368+3,FALSE)),)</f>
        <v>0</v>
      </c>
      <c r="CW368" s="14">
        <f>ROUND(IF(CB368=0,0,HLOOKUP(CB$14,Villagers!$B$1:$V$33,CB368+3,FALSE)),)</f>
        <v>0</v>
      </c>
      <c r="CX368" s="14">
        <f>ROUND(IF(CC368=0,0,HLOOKUP(CC$14,Villagers!$B$1:$V$33,CC368+3,FALSE)),)</f>
        <v>0</v>
      </c>
      <c r="CY368" s="14">
        <f>ROUND(IF(CD368=0,0,HLOOKUP(CD$14,Villagers!$B$1:$V$33,CD368+3,FALSE)),)</f>
        <v>0</v>
      </c>
      <c r="CZ368" s="14">
        <f>ROUND(IF(CE368=0,0,HLOOKUP(CE$14,Villagers!$B$1:$V$33,CE368+3,FALSE)),)</f>
        <v>5</v>
      </c>
      <c r="DA368" s="14">
        <f>ROUND(IF(CF368=0,0,HLOOKUP(CF$14,Villagers!$B$1:$V$33,CF368+3,FALSE)),)</f>
        <v>10</v>
      </c>
      <c r="DB368" s="14">
        <f>ROUND(IF(CG368=0,0,HLOOKUP(CG$14,Villagers!$B$1:$V$33,CG368+3,FALSE)),)</f>
        <v>10</v>
      </c>
      <c r="DC368" s="14">
        <f>ROUND(IF(CH368=0,0,HLOOKUP(CH$14,Villagers!$B$1:$V$33,CH368+3,FALSE)),)</f>
        <v>0</v>
      </c>
      <c r="DD368" s="14">
        <f>ROUND(IF(CI368=0,0,HLOOKUP(CI$14,Villagers!$B$1:$V$33,CI368+3,FALSE)),)</f>
        <v>0</v>
      </c>
      <c r="DE368" s="14">
        <f>ROUND(IF(CJ368=0,0,HLOOKUP(CJ$14,Villagers!$B$1:$V$33,CJ368+3,FALSE)),)</f>
        <v>2</v>
      </c>
      <c r="DF368" s="370">
        <f>ROUND(IF(CK368=0,0,HLOOKUP(CK$14,Villagers!$B$1:$V$33,CK368+3,FALSE)),)</f>
        <v>0</v>
      </c>
      <c r="DG368" s="370">
        <f>ROUND(IF(CL368=0,0,HLOOKUP(CL$14,Villagers!$B$1:$V$33,CL368+3,FALSE)),)</f>
        <v>0</v>
      </c>
      <c r="DH368" s="34">
        <f>ROUND(IF(CM368=0,0,HLOOKUP(CM$14,Villagers!$B$1:$V$33,CM368+3,FALSE)),)</f>
        <v>0</v>
      </c>
      <c r="DI368" s="109">
        <f t="shared" si="516"/>
        <v>0</v>
      </c>
      <c r="DJ368" s="50">
        <f t="shared" si="517"/>
        <v>0</v>
      </c>
      <c r="DK368" s="50">
        <f t="shared" si="518"/>
        <v>0</v>
      </c>
      <c r="DL368" s="50">
        <f t="shared" si="519"/>
        <v>0</v>
      </c>
      <c r="DM368" s="50">
        <f t="shared" si="520"/>
        <v>0</v>
      </c>
      <c r="DN368" s="50">
        <f t="shared" si="521"/>
        <v>0</v>
      </c>
      <c r="DO368" s="50">
        <f t="shared" si="522"/>
        <v>0</v>
      </c>
      <c r="DP368" s="50">
        <f t="shared" si="523"/>
        <v>0</v>
      </c>
      <c r="DQ368" s="50">
        <f t="shared" si="501"/>
        <v>0</v>
      </c>
      <c r="DR368" s="50">
        <f t="shared" si="502"/>
        <v>0</v>
      </c>
      <c r="DS368" s="96">
        <f>Miscelaneous!$D$4*Miscelaneous!$D$2^($CI368-1)</f>
        <v>1000</v>
      </c>
      <c r="DT368" s="333">
        <f t="shared" si="483"/>
        <v>1</v>
      </c>
      <c r="DU368" s="81">
        <v>1</v>
      </c>
      <c r="DV368" s="79">
        <f t="shared" si="503"/>
        <v>0</v>
      </c>
      <c r="DW368" s="79">
        <f t="shared" si="504"/>
        <v>0</v>
      </c>
      <c r="DX368" s="79">
        <f t="shared" si="505"/>
        <v>0</v>
      </c>
      <c r="DY368" s="79">
        <v>1</v>
      </c>
      <c r="DZ368" s="79">
        <f t="shared" si="506"/>
        <v>0</v>
      </c>
      <c r="EA368" s="79">
        <f t="shared" si="507"/>
        <v>0</v>
      </c>
      <c r="EB368" s="79">
        <f t="shared" si="508"/>
        <v>0</v>
      </c>
      <c r="EC368" s="79">
        <f t="shared" si="509"/>
        <v>0</v>
      </c>
      <c r="ED368" s="79">
        <v>1</v>
      </c>
      <c r="EE368" s="79">
        <v>1</v>
      </c>
      <c r="EF368" s="79">
        <f t="shared" si="510"/>
        <v>0</v>
      </c>
      <c r="EG368" s="79">
        <v>1</v>
      </c>
      <c r="EH368" s="79">
        <v>1</v>
      </c>
      <c r="EI368" s="79">
        <v>1</v>
      </c>
      <c r="EJ368" s="79">
        <v>1</v>
      </c>
      <c r="EK368" s="79">
        <v>1</v>
      </c>
      <c r="EL368" s="79">
        <v>1</v>
      </c>
      <c r="EM368" s="143">
        <f t="shared" si="511"/>
        <v>0</v>
      </c>
      <c r="EN368" s="143">
        <f t="shared" si="512"/>
        <v>0</v>
      </c>
      <c r="EO368" s="82">
        <f t="shared" si="513"/>
        <v>0</v>
      </c>
    </row>
    <row r="369" spans="1:145" x14ac:dyDescent="0.25">
      <c r="A369">
        <v>355</v>
      </c>
      <c r="B369" s="172" t="e">
        <f t="shared" si="484"/>
        <v>#N/A</v>
      </c>
      <c r="C369" s="121" t="e">
        <f t="shared" si="462"/>
        <v>#N/A</v>
      </c>
      <c r="D369" s="122" t="e">
        <f t="shared" si="463"/>
        <v>#N/A</v>
      </c>
      <c r="E369" s="122" t="e">
        <f t="shared" si="464"/>
        <v>#N/A</v>
      </c>
      <c r="F369" s="176" t="e">
        <f t="shared" si="465"/>
        <v>#N/A</v>
      </c>
      <c r="G369" s="121">
        <f t="shared" si="485"/>
        <v>208</v>
      </c>
      <c r="H369" s="176" t="e">
        <f t="shared" si="486"/>
        <v>#N/A</v>
      </c>
      <c r="I369" s="48">
        <v>1</v>
      </c>
      <c r="J369" s="39"/>
      <c r="K369" s="350">
        <v>1</v>
      </c>
      <c r="L369" s="34" t="e">
        <f t="shared" si="466"/>
        <v>#N/A</v>
      </c>
      <c r="M369" s="38" t="e">
        <f>(HLOOKUP(J369,'Construction Times'!$B$3:$W$34,L369+2,FALSE)*HLOOKUP("hq modifier",'Construction Times'!$W$3:$W$34,BS369+2,FALSE))*(1-$H$9)</f>
        <v>#N/A</v>
      </c>
      <c r="N369" s="443" t="e">
        <f t="shared" si="487"/>
        <v>#N/A</v>
      </c>
      <c r="O369" s="444"/>
      <c r="P369" s="447" t="e">
        <f t="shared" si="488"/>
        <v>#N/A</v>
      </c>
      <c r="Q369" s="448"/>
      <c r="R369" s="103">
        <f t="shared" ref="R369:S400" si="548">R368</f>
        <v>0</v>
      </c>
      <c r="S369" s="104">
        <f t="shared" si="548"/>
        <v>0</v>
      </c>
      <c r="T369" s="104">
        <f t="shared" ref="T369:W400" si="549">T368</f>
        <v>0</v>
      </c>
      <c r="U369" s="104">
        <f t="shared" si="549"/>
        <v>0</v>
      </c>
      <c r="V369" s="104">
        <f t="shared" si="549"/>
        <v>9.9999999999999995E-8</v>
      </c>
      <c r="W369" s="104">
        <f t="shared" si="549"/>
        <v>0</v>
      </c>
      <c r="X369" s="104">
        <f t="shared" si="545"/>
        <v>0</v>
      </c>
      <c r="Y369" s="104">
        <f t="shared" si="545"/>
        <v>9.9999999999999995E-8</v>
      </c>
      <c r="Z369" s="104">
        <f t="shared" si="545"/>
        <v>9.9999999999999995E-8</v>
      </c>
      <c r="AA369" s="105">
        <f t="shared" si="545"/>
        <v>9.9999999999999995E-8</v>
      </c>
      <c r="AB369" s="101" t="e">
        <f>$DT369*HLOOKUP($J369,'Construction Costs (timber)'!$B$1:$V$32,'Construction Planner'!$L369+2,FALSE)</f>
        <v>#N/A</v>
      </c>
      <c r="AC369" s="14" t="e">
        <f>$DT369*HLOOKUP($J369,'Construction Costs (clay)'!$B$1:$V$32,'Construction Planner'!$L369+2,FALSE)</f>
        <v>#N/A</v>
      </c>
      <c r="AD369" s="14" t="e">
        <f>$DT369*HLOOKUP($J369,'Construction Costs (iron)'!$B$1:$V$32,'Construction Planner'!$L369+2,FALSE)</f>
        <v>#N/A</v>
      </c>
      <c r="AE369" s="34" t="e">
        <f t="shared" si="524"/>
        <v>#N/A</v>
      </c>
      <c r="AF369" s="33" t="e">
        <f t="shared" si="467"/>
        <v>#N/A</v>
      </c>
      <c r="AG369" s="14" t="e">
        <f t="shared" si="468"/>
        <v>#N/A</v>
      </c>
      <c r="AH369" s="14" t="e">
        <f t="shared" si="469"/>
        <v>#N/A</v>
      </c>
      <c r="AI369" s="34" t="e">
        <f t="shared" si="525"/>
        <v>#N/A</v>
      </c>
      <c r="AJ369" s="49" t="e">
        <f t="shared" si="489"/>
        <v>#N/A</v>
      </c>
      <c r="AK369" s="49" t="e">
        <f t="shared" si="490"/>
        <v>#N/A</v>
      </c>
      <c r="AL369" s="49" t="e">
        <f t="shared" si="491"/>
        <v>#N/A</v>
      </c>
      <c r="AM369" s="25">
        <f t="shared" si="470"/>
        <v>30</v>
      </c>
      <c r="AN369" s="25">
        <f t="shared" si="471"/>
        <v>30</v>
      </c>
      <c r="AO369" s="25">
        <f t="shared" si="472"/>
        <v>30</v>
      </c>
      <c r="AP369" s="52" t="e">
        <f t="shared" si="546"/>
        <v>#N/A</v>
      </c>
      <c r="AQ369" s="53" t="e">
        <f t="shared" si="546"/>
        <v>#N/A</v>
      </c>
      <c r="AR369" s="54" t="e">
        <f t="shared" si="546"/>
        <v>#N/A</v>
      </c>
      <c r="AS369" s="316">
        <f t="shared" si="542"/>
        <v>0</v>
      </c>
      <c r="AT369" s="106">
        <f>_xlfn.IFNA($M369/VLOOKUP($BT369,'Unit information'!$A$2:$K$29,2,FALSE)*R369,0)*(1+$E$9)</f>
        <v>0</v>
      </c>
      <c r="AU369" s="107">
        <f>_xlfn.IFNA($M369/VLOOKUP($BT369,'Unit information'!$A$2:$K$29,3,FALSE)*S369,0)*(1+$E$9)</f>
        <v>0</v>
      </c>
      <c r="AV369" s="107">
        <f>_xlfn.IFNA($M369/VLOOKUP($BT369,'Unit information'!$A$2:$K$29,4,FALSE)*T369,0)*(1+$E$9)</f>
        <v>0</v>
      </c>
      <c r="AW369" s="107">
        <f>_xlfn.IFNA($M369/VLOOKUP($BT369,'Unit information'!$A$2:$K$29,5,FALSE)*U369,0)*(1+$E$9)</f>
        <v>0</v>
      </c>
      <c r="AX369" s="107">
        <f>_xlfn.IFNA($M369/VLOOKUP($BU369,'Unit information'!$A$2:$K$29,6,FALSE)*V369,0)*(1+$E$9)</f>
        <v>0</v>
      </c>
      <c r="AY369" s="107">
        <f>_xlfn.IFNA($M369/VLOOKUP($BU369,'Unit information'!$A$2:$K$29,7,FALSE)*W369,0)*(1+$E$9)</f>
        <v>0</v>
      </c>
      <c r="AZ369" s="107">
        <f>_xlfn.IFNA($M369/VLOOKUP($BU369,'Unit information'!$A$2:$K$29,8,FALSE)*X369,0)*(1+$E$9)</f>
        <v>0</v>
      </c>
      <c r="BA369" s="107">
        <f>_xlfn.IFNA($M369/VLOOKUP($BU369,'Unit information'!$A$2:$K$29,9,FALSE)*Y369,0)*(1+$E$9)</f>
        <v>0</v>
      </c>
      <c r="BB369" s="107">
        <f>_xlfn.IFNA($M369/VLOOKUP($BV369,'Unit information'!$A$2:$K$29,10,FALSE)*Z369,0)*(1+$E$9)</f>
        <v>0</v>
      </c>
      <c r="BC369" s="108">
        <f>_xlfn.IFNA($M369/VLOOKUP($BV369,'Unit information'!$A$2:$K$29,11,FALSE)*AA369,0)*(1+$E$9)</f>
        <v>0</v>
      </c>
      <c r="BD369" s="106">
        <f t="shared" si="473"/>
        <v>0</v>
      </c>
      <c r="BE369" s="107">
        <f t="shared" si="474"/>
        <v>0</v>
      </c>
      <c r="BF369" s="108">
        <f t="shared" si="475"/>
        <v>0</v>
      </c>
      <c r="BG369" s="25" t="e">
        <f t="shared" si="476"/>
        <v>#N/A</v>
      </c>
      <c r="BH369" s="25" t="e">
        <f t="shared" si="477"/>
        <v>#N/A</v>
      </c>
      <c r="BI369" s="25" t="e">
        <f t="shared" si="478"/>
        <v>#N/A</v>
      </c>
      <c r="BJ369" s="27" t="e">
        <f t="shared" si="479"/>
        <v>#N/A</v>
      </c>
      <c r="BK369" s="18" t="e">
        <f t="shared" si="480"/>
        <v>#N/A</v>
      </c>
      <c r="BL369" s="18" t="e">
        <f t="shared" si="481"/>
        <v>#N/A</v>
      </c>
      <c r="BM369" s="28" t="e">
        <f t="shared" si="527"/>
        <v>#N/A</v>
      </c>
      <c r="BN369" s="33">
        <f>HLOOKUP("maximum population",Miscelaneous!$C$1:$C$33,CH369+3,FALSE)</f>
        <v>240</v>
      </c>
      <c r="BO369" s="14">
        <f t="shared" si="493"/>
        <v>32</v>
      </c>
      <c r="BP369" s="14">
        <f t="shared" si="494"/>
        <v>0</v>
      </c>
      <c r="BQ369" s="14">
        <f t="shared" si="495"/>
        <v>208</v>
      </c>
      <c r="BR369" s="34" t="e">
        <f>HLOOKUP(J369,Villagers!$B$1:$V$33,L369+3,FALSE)-HLOOKUP(J369,Villagers!$B$1:$V$33,L369+2,FALSE)</f>
        <v>#N/A</v>
      </c>
      <c r="BS369" s="49">
        <f t="shared" si="496"/>
        <v>1</v>
      </c>
      <c r="BT369" s="50">
        <f t="shared" si="497"/>
        <v>0</v>
      </c>
      <c r="BU369" s="50">
        <f t="shared" si="498"/>
        <v>0</v>
      </c>
      <c r="BV369" s="50">
        <f t="shared" si="499"/>
        <v>0</v>
      </c>
      <c r="BW369" s="50">
        <f t="shared" si="547"/>
        <v>0</v>
      </c>
      <c r="BX369" s="50">
        <f t="shared" si="547"/>
        <v>0</v>
      </c>
      <c r="BY369" s="50">
        <f t="shared" si="547"/>
        <v>0</v>
      </c>
      <c r="BZ369" s="50">
        <f t="shared" si="530"/>
        <v>0</v>
      </c>
      <c r="CA369" s="50">
        <f t="shared" si="531"/>
        <v>0</v>
      </c>
      <c r="CB369" s="50">
        <f t="shared" si="532"/>
        <v>1</v>
      </c>
      <c r="CC369" s="50">
        <f t="shared" si="533"/>
        <v>0</v>
      </c>
      <c r="CD369" s="50">
        <f t="shared" si="534"/>
        <v>0</v>
      </c>
      <c r="CE369" s="50">
        <f t="shared" si="535"/>
        <v>1</v>
      </c>
      <c r="CF369" s="50">
        <f t="shared" si="536"/>
        <v>1</v>
      </c>
      <c r="CG369" s="50">
        <f t="shared" si="537"/>
        <v>1</v>
      </c>
      <c r="CH369" s="50">
        <f t="shared" si="538"/>
        <v>1</v>
      </c>
      <c r="CI369" s="50">
        <f t="shared" si="539"/>
        <v>1</v>
      </c>
      <c r="CJ369" s="50">
        <f t="shared" si="540"/>
        <v>1</v>
      </c>
      <c r="CK369" s="50">
        <f t="shared" si="540"/>
        <v>0</v>
      </c>
      <c r="CL369" s="50">
        <f t="shared" si="540"/>
        <v>0</v>
      </c>
      <c r="CM369" s="51">
        <f t="shared" si="482"/>
        <v>0</v>
      </c>
      <c r="CN369" s="33">
        <f>ROUND(IF(BS369=0,0,HLOOKUP(BS$14,Villagers!$B$1:$V$33,BS369+3,FALSE)),)</f>
        <v>5</v>
      </c>
      <c r="CO369" s="14">
        <f>ROUND(IF(BT369=0,0,HLOOKUP(BT$14,Villagers!$B$1:$V$33,BT369+3,FALSE)),)</f>
        <v>0</v>
      </c>
      <c r="CP369" s="14">
        <f>ROUND(IF(BU369=0,0,HLOOKUP(BU$14,Villagers!$B$1:$V$33,BU369+3,FALSE)),)</f>
        <v>0</v>
      </c>
      <c r="CQ369" s="14">
        <f>ROUND(IF(BV369=0,0,HLOOKUP(BV$14,Villagers!$B$1:$V$33,BV369+3,FALSE)),)</f>
        <v>0</v>
      </c>
      <c r="CR369" s="14">
        <f>ROUND(IF(BW369=0,0,HLOOKUP(BW$14,Villagers!$B$1:$V$33,BW369+3,FALSE)),)</f>
        <v>0</v>
      </c>
      <c r="CS369" s="14">
        <f>ROUND(IF(BX369=0,0,HLOOKUP(BX$14,Villagers!$B$1:$V$33,BX369+3,FALSE)),)</f>
        <v>0</v>
      </c>
      <c r="CT369" s="14">
        <f>ROUND(IF(BY369=0,0,HLOOKUP(BY$14,Villagers!$B$1:$V$33,BY369+3,FALSE)),)</f>
        <v>0</v>
      </c>
      <c r="CU369" s="14">
        <f>ROUND(IF(BZ369=0,0,HLOOKUP(BZ$14,Villagers!$B$1:$V$33,BZ369+3,FALSE)),)</f>
        <v>0</v>
      </c>
      <c r="CV369" s="14">
        <f>ROUND(IF(CA369=0,0,HLOOKUP(CA$14,Villagers!$B$1:$V$33,CA369+3,FALSE)),)</f>
        <v>0</v>
      </c>
      <c r="CW369" s="14">
        <f>ROUND(IF(CB369=0,0,HLOOKUP(CB$14,Villagers!$B$1:$V$33,CB369+3,FALSE)),)</f>
        <v>0</v>
      </c>
      <c r="CX369" s="14">
        <f>ROUND(IF(CC369=0,0,HLOOKUP(CC$14,Villagers!$B$1:$V$33,CC369+3,FALSE)),)</f>
        <v>0</v>
      </c>
      <c r="CY369" s="14">
        <f>ROUND(IF(CD369=0,0,HLOOKUP(CD$14,Villagers!$B$1:$V$33,CD369+3,FALSE)),)</f>
        <v>0</v>
      </c>
      <c r="CZ369" s="14">
        <f>ROUND(IF(CE369=0,0,HLOOKUP(CE$14,Villagers!$B$1:$V$33,CE369+3,FALSE)),)</f>
        <v>5</v>
      </c>
      <c r="DA369" s="14">
        <f>ROUND(IF(CF369=0,0,HLOOKUP(CF$14,Villagers!$B$1:$V$33,CF369+3,FALSE)),)</f>
        <v>10</v>
      </c>
      <c r="DB369" s="14">
        <f>ROUND(IF(CG369=0,0,HLOOKUP(CG$14,Villagers!$B$1:$V$33,CG369+3,FALSE)),)</f>
        <v>10</v>
      </c>
      <c r="DC369" s="14">
        <f>ROUND(IF(CH369=0,0,HLOOKUP(CH$14,Villagers!$B$1:$V$33,CH369+3,FALSE)),)</f>
        <v>0</v>
      </c>
      <c r="DD369" s="14">
        <f>ROUND(IF(CI369=0,0,HLOOKUP(CI$14,Villagers!$B$1:$V$33,CI369+3,FALSE)),)</f>
        <v>0</v>
      </c>
      <c r="DE369" s="14">
        <f>ROUND(IF(CJ369=0,0,HLOOKUP(CJ$14,Villagers!$B$1:$V$33,CJ369+3,FALSE)),)</f>
        <v>2</v>
      </c>
      <c r="DF369" s="370">
        <f>ROUND(IF(CK369=0,0,HLOOKUP(CK$14,Villagers!$B$1:$V$33,CK369+3,FALSE)),)</f>
        <v>0</v>
      </c>
      <c r="DG369" s="370">
        <f>ROUND(IF(CL369=0,0,HLOOKUP(CL$14,Villagers!$B$1:$V$33,CL369+3,FALSE)),)</f>
        <v>0</v>
      </c>
      <c r="DH369" s="34">
        <f>ROUND(IF(CM369=0,0,HLOOKUP(CM$14,Villagers!$B$1:$V$33,CM369+3,FALSE)),)</f>
        <v>0</v>
      </c>
      <c r="DI369" s="109">
        <f t="shared" si="516"/>
        <v>0</v>
      </c>
      <c r="DJ369" s="50">
        <f t="shared" si="517"/>
        <v>0</v>
      </c>
      <c r="DK369" s="50">
        <f t="shared" si="518"/>
        <v>0</v>
      </c>
      <c r="DL369" s="50">
        <f t="shared" si="519"/>
        <v>0</v>
      </c>
      <c r="DM369" s="50">
        <f t="shared" si="520"/>
        <v>0</v>
      </c>
      <c r="DN369" s="50">
        <f t="shared" si="521"/>
        <v>0</v>
      </c>
      <c r="DO369" s="50">
        <f t="shared" si="522"/>
        <v>0</v>
      </c>
      <c r="DP369" s="50">
        <f t="shared" si="523"/>
        <v>0</v>
      </c>
      <c r="DQ369" s="50">
        <f t="shared" si="501"/>
        <v>0</v>
      </c>
      <c r="DR369" s="50">
        <f t="shared" si="502"/>
        <v>0</v>
      </c>
      <c r="DS369" s="96">
        <f>Miscelaneous!$D$4*Miscelaneous!$D$2^($CI369-1)</f>
        <v>1000</v>
      </c>
      <c r="DT369" s="333">
        <f t="shared" si="483"/>
        <v>1</v>
      </c>
      <c r="DU369" s="81">
        <v>1</v>
      </c>
      <c r="DV369" s="79">
        <f t="shared" si="503"/>
        <v>0</v>
      </c>
      <c r="DW369" s="79">
        <f t="shared" si="504"/>
        <v>0</v>
      </c>
      <c r="DX369" s="79">
        <f t="shared" si="505"/>
        <v>0</v>
      </c>
      <c r="DY369" s="79">
        <v>1</v>
      </c>
      <c r="DZ369" s="79">
        <f t="shared" si="506"/>
        <v>0</v>
      </c>
      <c r="EA369" s="79">
        <f t="shared" si="507"/>
        <v>0</v>
      </c>
      <c r="EB369" s="79">
        <f t="shared" si="508"/>
        <v>0</v>
      </c>
      <c r="EC369" s="79">
        <f t="shared" si="509"/>
        <v>0</v>
      </c>
      <c r="ED369" s="79">
        <v>1</v>
      </c>
      <c r="EE369" s="79">
        <v>1</v>
      </c>
      <c r="EF369" s="79">
        <f t="shared" si="510"/>
        <v>0</v>
      </c>
      <c r="EG369" s="79">
        <v>1</v>
      </c>
      <c r="EH369" s="79">
        <v>1</v>
      </c>
      <c r="EI369" s="79">
        <v>1</v>
      </c>
      <c r="EJ369" s="79">
        <v>1</v>
      </c>
      <c r="EK369" s="79">
        <v>1</v>
      </c>
      <c r="EL369" s="79">
        <v>1</v>
      </c>
      <c r="EM369" s="143">
        <f t="shared" si="511"/>
        <v>0</v>
      </c>
      <c r="EN369" s="143">
        <f t="shared" si="512"/>
        <v>0</v>
      </c>
      <c r="EO369" s="82">
        <f t="shared" si="513"/>
        <v>0</v>
      </c>
    </row>
    <row r="370" spans="1:145" x14ac:dyDescent="0.25">
      <c r="A370">
        <v>356</v>
      </c>
      <c r="B370" s="172" t="e">
        <f t="shared" si="484"/>
        <v>#N/A</v>
      </c>
      <c r="C370" s="121" t="e">
        <f t="shared" si="462"/>
        <v>#N/A</v>
      </c>
      <c r="D370" s="122" t="e">
        <f t="shared" si="463"/>
        <v>#N/A</v>
      </c>
      <c r="E370" s="122" t="e">
        <f t="shared" si="464"/>
        <v>#N/A</v>
      </c>
      <c r="F370" s="176" t="e">
        <f t="shared" si="465"/>
        <v>#N/A</v>
      </c>
      <c r="G370" s="121">
        <f t="shared" si="485"/>
        <v>208</v>
      </c>
      <c r="H370" s="176" t="e">
        <f t="shared" si="486"/>
        <v>#N/A</v>
      </c>
      <c r="I370" s="48">
        <v>1</v>
      </c>
      <c r="J370" s="39"/>
      <c r="K370" s="350">
        <v>1</v>
      </c>
      <c r="L370" s="34" t="e">
        <f t="shared" si="466"/>
        <v>#N/A</v>
      </c>
      <c r="M370" s="38" t="e">
        <f>(HLOOKUP(J370,'Construction Times'!$B$3:$W$34,L370+2,FALSE)*HLOOKUP("hq modifier",'Construction Times'!$W$3:$W$34,BS370+2,FALSE))*(1-$H$9)</f>
        <v>#N/A</v>
      </c>
      <c r="N370" s="443" t="e">
        <f t="shared" si="487"/>
        <v>#N/A</v>
      </c>
      <c r="O370" s="444"/>
      <c r="P370" s="447" t="e">
        <f t="shared" si="488"/>
        <v>#N/A</v>
      </c>
      <c r="Q370" s="448"/>
      <c r="R370" s="103">
        <f t="shared" si="548"/>
        <v>0</v>
      </c>
      <c r="S370" s="104">
        <f t="shared" si="548"/>
        <v>0</v>
      </c>
      <c r="T370" s="104">
        <f t="shared" si="549"/>
        <v>0</v>
      </c>
      <c r="U370" s="104">
        <f t="shared" si="549"/>
        <v>0</v>
      </c>
      <c r="V370" s="104">
        <f t="shared" si="549"/>
        <v>9.9999999999999995E-8</v>
      </c>
      <c r="W370" s="104">
        <f t="shared" si="549"/>
        <v>0</v>
      </c>
      <c r="X370" s="104">
        <f t="shared" si="545"/>
        <v>0</v>
      </c>
      <c r="Y370" s="104">
        <f t="shared" si="545"/>
        <v>9.9999999999999995E-8</v>
      </c>
      <c r="Z370" s="104">
        <f t="shared" si="545"/>
        <v>9.9999999999999995E-8</v>
      </c>
      <c r="AA370" s="105">
        <f t="shared" si="545"/>
        <v>9.9999999999999995E-8</v>
      </c>
      <c r="AB370" s="101" t="e">
        <f>$DT370*HLOOKUP($J370,'Construction Costs (timber)'!$B$1:$V$32,'Construction Planner'!$L370+2,FALSE)</f>
        <v>#N/A</v>
      </c>
      <c r="AC370" s="14" t="e">
        <f>$DT370*HLOOKUP($J370,'Construction Costs (clay)'!$B$1:$V$32,'Construction Planner'!$L370+2,FALSE)</f>
        <v>#N/A</v>
      </c>
      <c r="AD370" s="14" t="e">
        <f>$DT370*HLOOKUP($J370,'Construction Costs (iron)'!$B$1:$V$32,'Construction Planner'!$L370+2,FALSE)</f>
        <v>#N/A</v>
      </c>
      <c r="AE370" s="34" t="e">
        <f t="shared" si="524"/>
        <v>#N/A</v>
      </c>
      <c r="AF370" s="33" t="e">
        <f t="shared" si="467"/>
        <v>#N/A</v>
      </c>
      <c r="AG370" s="14" t="e">
        <f t="shared" si="468"/>
        <v>#N/A</v>
      </c>
      <c r="AH370" s="14" t="e">
        <f t="shared" si="469"/>
        <v>#N/A</v>
      </c>
      <c r="AI370" s="34" t="e">
        <f t="shared" si="525"/>
        <v>#N/A</v>
      </c>
      <c r="AJ370" s="49" t="e">
        <f t="shared" si="489"/>
        <v>#N/A</v>
      </c>
      <c r="AK370" s="49" t="e">
        <f t="shared" si="490"/>
        <v>#N/A</v>
      </c>
      <c r="AL370" s="49" t="e">
        <f t="shared" si="491"/>
        <v>#N/A</v>
      </c>
      <c r="AM370" s="25">
        <f t="shared" si="470"/>
        <v>30</v>
      </c>
      <c r="AN370" s="25">
        <f t="shared" si="471"/>
        <v>30</v>
      </c>
      <c r="AO370" s="25">
        <f t="shared" si="472"/>
        <v>30</v>
      </c>
      <c r="AP370" s="52" t="e">
        <f t="shared" si="546"/>
        <v>#N/A</v>
      </c>
      <c r="AQ370" s="53" t="e">
        <f t="shared" si="546"/>
        <v>#N/A</v>
      </c>
      <c r="AR370" s="54" t="e">
        <f t="shared" si="546"/>
        <v>#N/A</v>
      </c>
      <c r="AS370" s="316">
        <f t="shared" si="542"/>
        <v>0</v>
      </c>
      <c r="AT370" s="106">
        <f>_xlfn.IFNA($M370/VLOOKUP($BT370,'Unit information'!$A$2:$K$29,2,FALSE)*R370,0)*(1+$E$9)</f>
        <v>0</v>
      </c>
      <c r="AU370" s="107">
        <f>_xlfn.IFNA($M370/VLOOKUP($BT370,'Unit information'!$A$2:$K$29,3,FALSE)*S370,0)*(1+$E$9)</f>
        <v>0</v>
      </c>
      <c r="AV370" s="107">
        <f>_xlfn.IFNA($M370/VLOOKUP($BT370,'Unit information'!$A$2:$K$29,4,FALSE)*T370,0)*(1+$E$9)</f>
        <v>0</v>
      </c>
      <c r="AW370" s="107">
        <f>_xlfn.IFNA($M370/VLOOKUP($BT370,'Unit information'!$A$2:$K$29,5,FALSE)*U370,0)*(1+$E$9)</f>
        <v>0</v>
      </c>
      <c r="AX370" s="107">
        <f>_xlfn.IFNA($M370/VLOOKUP($BU370,'Unit information'!$A$2:$K$29,6,FALSE)*V370,0)*(1+$E$9)</f>
        <v>0</v>
      </c>
      <c r="AY370" s="107">
        <f>_xlfn.IFNA($M370/VLOOKUP($BU370,'Unit information'!$A$2:$K$29,7,FALSE)*W370,0)*(1+$E$9)</f>
        <v>0</v>
      </c>
      <c r="AZ370" s="107">
        <f>_xlfn.IFNA($M370/VLOOKUP($BU370,'Unit information'!$A$2:$K$29,8,FALSE)*X370,0)*(1+$E$9)</f>
        <v>0</v>
      </c>
      <c r="BA370" s="107">
        <f>_xlfn.IFNA($M370/VLOOKUP($BU370,'Unit information'!$A$2:$K$29,9,FALSE)*Y370,0)*(1+$E$9)</f>
        <v>0</v>
      </c>
      <c r="BB370" s="107">
        <f>_xlfn.IFNA($M370/VLOOKUP($BV370,'Unit information'!$A$2:$K$29,10,FALSE)*Z370,0)*(1+$E$9)</f>
        <v>0</v>
      </c>
      <c r="BC370" s="108">
        <f>_xlfn.IFNA($M370/VLOOKUP($BV370,'Unit information'!$A$2:$K$29,11,FALSE)*AA370,0)*(1+$E$9)</f>
        <v>0</v>
      </c>
      <c r="BD370" s="106">
        <f t="shared" si="473"/>
        <v>0</v>
      </c>
      <c r="BE370" s="107">
        <f t="shared" si="474"/>
        <v>0</v>
      </c>
      <c r="BF370" s="108">
        <f t="shared" si="475"/>
        <v>0</v>
      </c>
      <c r="BG370" s="25" t="e">
        <f t="shared" si="476"/>
        <v>#N/A</v>
      </c>
      <c r="BH370" s="25" t="e">
        <f t="shared" si="477"/>
        <v>#N/A</v>
      </c>
      <c r="BI370" s="25" t="e">
        <f t="shared" si="478"/>
        <v>#N/A</v>
      </c>
      <c r="BJ370" s="27" t="e">
        <f t="shared" si="479"/>
        <v>#N/A</v>
      </c>
      <c r="BK370" s="18" t="e">
        <f t="shared" si="480"/>
        <v>#N/A</v>
      </c>
      <c r="BL370" s="18" t="e">
        <f t="shared" si="481"/>
        <v>#N/A</v>
      </c>
      <c r="BM370" s="28" t="e">
        <f t="shared" si="527"/>
        <v>#N/A</v>
      </c>
      <c r="BN370" s="33">
        <f>HLOOKUP("maximum population",Miscelaneous!$C$1:$C$33,CH370+3,FALSE)</f>
        <v>240</v>
      </c>
      <c r="BO370" s="14">
        <f t="shared" si="493"/>
        <v>32</v>
      </c>
      <c r="BP370" s="14">
        <f t="shared" si="494"/>
        <v>0</v>
      </c>
      <c r="BQ370" s="14">
        <f t="shared" si="495"/>
        <v>208</v>
      </c>
      <c r="BR370" s="34" t="e">
        <f>HLOOKUP(J370,Villagers!$B$1:$V$33,L370+3,FALSE)-HLOOKUP(J370,Villagers!$B$1:$V$33,L370+2,FALSE)</f>
        <v>#N/A</v>
      </c>
      <c r="BS370" s="49">
        <f t="shared" si="496"/>
        <v>1</v>
      </c>
      <c r="BT370" s="50">
        <f t="shared" si="497"/>
        <v>0</v>
      </c>
      <c r="BU370" s="50">
        <f t="shared" si="498"/>
        <v>0</v>
      </c>
      <c r="BV370" s="50">
        <f t="shared" si="499"/>
        <v>0</v>
      </c>
      <c r="BW370" s="50">
        <f t="shared" si="547"/>
        <v>0</v>
      </c>
      <c r="BX370" s="50">
        <f t="shared" si="547"/>
        <v>0</v>
      </c>
      <c r="BY370" s="50">
        <f t="shared" si="547"/>
        <v>0</v>
      </c>
      <c r="BZ370" s="50">
        <f t="shared" si="530"/>
        <v>0</v>
      </c>
      <c r="CA370" s="50">
        <f t="shared" si="531"/>
        <v>0</v>
      </c>
      <c r="CB370" s="50">
        <f t="shared" si="532"/>
        <v>1</v>
      </c>
      <c r="CC370" s="50">
        <f t="shared" si="533"/>
        <v>0</v>
      </c>
      <c r="CD370" s="50">
        <f t="shared" si="534"/>
        <v>0</v>
      </c>
      <c r="CE370" s="50">
        <f t="shared" si="535"/>
        <v>1</v>
      </c>
      <c r="CF370" s="50">
        <f t="shared" si="536"/>
        <v>1</v>
      </c>
      <c r="CG370" s="50">
        <f t="shared" si="537"/>
        <v>1</v>
      </c>
      <c r="CH370" s="50">
        <f t="shared" si="538"/>
        <v>1</v>
      </c>
      <c r="CI370" s="50">
        <f t="shared" si="539"/>
        <v>1</v>
      </c>
      <c r="CJ370" s="50">
        <f t="shared" si="540"/>
        <v>1</v>
      </c>
      <c r="CK370" s="50">
        <f t="shared" si="540"/>
        <v>0</v>
      </c>
      <c r="CL370" s="50">
        <f t="shared" si="540"/>
        <v>0</v>
      </c>
      <c r="CM370" s="51">
        <f t="shared" si="482"/>
        <v>0</v>
      </c>
      <c r="CN370" s="33">
        <f>ROUND(IF(BS370=0,0,HLOOKUP(BS$14,Villagers!$B$1:$V$33,BS370+3,FALSE)),)</f>
        <v>5</v>
      </c>
      <c r="CO370" s="14">
        <f>ROUND(IF(BT370=0,0,HLOOKUP(BT$14,Villagers!$B$1:$V$33,BT370+3,FALSE)),)</f>
        <v>0</v>
      </c>
      <c r="CP370" s="14">
        <f>ROUND(IF(BU370=0,0,HLOOKUP(BU$14,Villagers!$B$1:$V$33,BU370+3,FALSE)),)</f>
        <v>0</v>
      </c>
      <c r="CQ370" s="14">
        <f>ROUND(IF(BV370=0,0,HLOOKUP(BV$14,Villagers!$B$1:$V$33,BV370+3,FALSE)),)</f>
        <v>0</v>
      </c>
      <c r="CR370" s="14">
        <f>ROUND(IF(BW370=0,0,HLOOKUP(BW$14,Villagers!$B$1:$V$33,BW370+3,FALSE)),)</f>
        <v>0</v>
      </c>
      <c r="CS370" s="14">
        <f>ROUND(IF(BX370=0,0,HLOOKUP(BX$14,Villagers!$B$1:$V$33,BX370+3,FALSE)),)</f>
        <v>0</v>
      </c>
      <c r="CT370" s="14">
        <f>ROUND(IF(BY370=0,0,HLOOKUP(BY$14,Villagers!$B$1:$V$33,BY370+3,FALSE)),)</f>
        <v>0</v>
      </c>
      <c r="CU370" s="14">
        <f>ROUND(IF(BZ370=0,0,HLOOKUP(BZ$14,Villagers!$B$1:$V$33,BZ370+3,FALSE)),)</f>
        <v>0</v>
      </c>
      <c r="CV370" s="14">
        <f>ROUND(IF(CA370=0,0,HLOOKUP(CA$14,Villagers!$B$1:$V$33,CA370+3,FALSE)),)</f>
        <v>0</v>
      </c>
      <c r="CW370" s="14">
        <f>ROUND(IF(CB370=0,0,HLOOKUP(CB$14,Villagers!$B$1:$V$33,CB370+3,FALSE)),)</f>
        <v>0</v>
      </c>
      <c r="CX370" s="14">
        <f>ROUND(IF(CC370=0,0,HLOOKUP(CC$14,Villagers!$B$1:$V$33,CC370+3,FALSE)),)</f>
        <v>0</v>
      </c>
      <c r="CY370" s="14">
        <f>ROUND(IF(CD370=0,0,HLOOKUP(CD$14,Villagers!$B$1:$V$33,CD370+3,FALSE)),)</f>
        <v>0</v>
      </c>
      <c r="CZ370" s="14">
        <f>ROUND(IF(CE370=0,0,HLOOKUP(CE$14,Villagers!$B$1:$V$33,CE370+3,FALSE)),)</f>
        <v>5</v>
      </c>
      <c r="DA370" s="14">
        <f>ROUND(IF(CF370=0,0,HLOOKUP(CF$14,Villagers!$B$1:$V$33,CF370+3,FALSE)),)</f>
        <v>10</v>
      </c>
      <c r="DB370" s="14">
        <f>ROUND(IF(CG370=0,0,HLOOKUP(CG$14,Villagers!$B$1:$V$33,CG370+3,FALSE)),)</f>
        <v>10</v>
      </c>
      <c r="DC370" s="14">
        <f>ROUND(IF(CH370=0,0,HLOOKUP(CH$14,Villagers!$B$1:$V$33,CH370+3,FALSE)),)</f>
        <v>0</v>
      </c>
      <c r="DD370" s="14">
        <f>ROUND(IF(CI370=0,0,HLOOKUP(CI$14,Villagers!$B$1:$V$33,CI370+3,FALSE)),)</f>
        <v>0</v>
      </c>
      <c r="DE370" s="14">
        <f>ROUND(IF(CJ370=0,0,HLOOKUP(CJ$14,Villagers!$B$1:$V$33,CJ370+3,FALSE)),)</f>
        <v>2</v>
      </c>
      <c r="DF370" s="370">
        <f>ROUND(IF(CK370=0,0,HLOOKUP(CK$14,Villagers!$B$1:$V$33,CK370+3,FALSE)),)</f>
        <v>0</v>
      </c>
      <c r="DG370" s="370">
        <f>ROUND(IF(CL370=0,0,HLOOKUP(CL$14,Villagers!$B$1:$V$33,CL370+3,FALSE)),)</f>
        <v>0</v>
      </c>
      <c r="DH370" s="34">
        <f>ROUND(IF(CM370=0,0,HLOOKUP(CM$14,Villagers!$B$1:$V$33,CM370+3,FALSE)),)</f>
        <v>0</v>
      </c>
      <c r="DI370" s="109">
        <f t="shared" si="516"/>
        <v>0</v>
      </c>
      <c r="DJ370" s="50">
        <f t="shared" si="517"/>
        <v>0</v>
      </c>
      <c r="DK370" s="50">
        <f t="shared" si="518"/>
        <v>0</v>
      </c>
      <c r="DL370" s="50">
        <f t="shared" si="519"/>
        <v>0</v>
      </c>
      <c r="DM370" s="50">
        <f t="shared" si="520"/>
        <v>0</v>
      </c>
      <c r="DN370" s="50">
        <f t="shared" si="521"/>
        <v>0</v>
      </c>
      <c r="DO370" s="50">
        <f t="shared" si="522"/>
        <v>0</v>
      </c>
      <c r="DP370" s="50">
        <f t="shared" si="523"/>
        <v>0</v>
      </c>
      <c r="DQ370" s="50">
        <f t="shared" si="501"/>
        <v>0</v>
      </c>
      <c r="DR370" s="50">
        <f t="shared" si="502"/>
        <v>0</v>
      </c>
      <c r="DS370" s="96">
        <f>Miscelaneous!$D$4*Miscelaneous!$D$2^($CI370-1)</f>
        <v>1000</v>
      </c>
      <c r="DT370" s="333">
        <f t="shared" si="483"/>
        <v>1</v>
      </c>
      <c r="DU370" s="81">
        <v>1</v>
      </c>
      <c r="DV370" s="79">
        <f t="shared" si="503"/>
        <v>0</v>
      </c>
      <c r="DW370" s="79">
        <f t="shared" si="504"/>
        <v>0</v>
      </c>
      <c r="DX370" s="79">
        <f t="shared" si="505"/>
        <v>0</v>
      </c>
      <c r="DY370" s="79">
        <v>1</v>
      </c>
      <c r="DZ370" s="79">
        <f t="shared" si="506"/>
        <v>0</v>
      </c>
      <c r="EA370" s="79">
        <f t="shared" si="507"/>
        <v>0</v>
      </c>
      <c r="EB370" s="79">
        <f t="shared" si="508"/>
        <v>0</v>
      </c>
      <c r="EC370" s="79">
        <f t="shared" si="509"/>
        <v>0</v>
      </c>
      <c r="ED370" s="79">
        <v>1</v>
      </c>
      <c r="EE370" s="79">
        <v>1</v>
      </c>
      <c r="EF370" s="79">
        <f t="shared" si="510"/>
        <v>0</v>
      </c>
      <c r="EG370" s="79">
        <v>1</v>
      </c>
      <c r="EH370" s="79">
        <v>1</v>
      </c>
      <c r="EI370" s="79">
        <v>1</v>
      </c>
      <c r="EJ370" s="79">
        <v>1</v>
      </c>
      <c r="EK370" s="79">
        <v>1</v>
      </c>
      <c r="EL370" s="79">
        <v>1</v>
      </c>
      <c r="EM370" s="143">
        <f t="shared" si="511"/>
        <v>0</v>
      </c>
      <c r="EN370" s="143">
        <f t="shared" si="512"/>
        <v>0</v>
      </c>
      <c r="EO370" s="82">
        <f t="shared" si="513"/>
        <v>0</v>
      </c>
    </row>
    <row r="371" spans="1:145" x14ac:dyDescent="0.25">
      <c r="A371">
        <v>357</v>
      </c>
      <c r="B371" s="172" t="e">
        <f t="shared" si="484"/>
        <v>#N/A</v>
      </c>
      <c r="C371" s="121" t="e">
        <f t="shared" si="462"/>
        <v>#N/A</v>
      </c>
      <c r="D371" s="122" t="e">
        <f t="shared" si="463"/>
        <v>#N/A</v>
      </c>
      <c r="E371" s="122" t="e">
        <f t="shared" si="464"/>
        <v>#N/A</v>
      </c>
      <c r="F371" s="176" t="e">
        <f t="shared" si="465"/>
        <v>#N/A</v>
      </c>
      <c r="G371" s="121">
        <f t="shared" si="485"/>
        <v>208</v>
      </c>
      <c r="H371" s="176" t="e">
        <f t="shared" si="486"/>
        <v>#N/A</v>
      </c>
      <c r="I371" s="48">
        <v>1</v>
      </c>
      <c r="J371" s="39"/>
      <c r="K371" s="350">
        <v>1</v>
      </c>
      <c r="L371" s="34" t="e">
        <f t="shared" si="466"/>
        <v>#N/A</v>
      </c>
      <c r="M371" s="38" t="e">
        <f>(HLOOKUP(J371,'Construction Times'!$B$3:$W$34,L371+2,FALSE)*HLOOKUP("hq modifier",'Construction Times'!$W$3:$W$34,BS371+2,FALSE))*(1-$H$9)</f>
        <v>#N/A</v>
      </c>
      <c r="N371" s="443" t="e">
        <f t="shared" si="487"/>
        <v>#N/A</v>
      </c>
      <c r="O371" s="444"/>
      <c r="P371" s="447" t="e">
        <f t="shared" si="488"/>
        <v>#N/A</v>
      </c>
      <c r="Q371" s="448"/>
      <c r="R371" s="103">
        <f t="shared" si="548"/>
        <v>0</v>
      </c>
      <c r="S371" s="104">
        <f t="shared" si="548"/>
        <v>0</v>
      </c>
      <c r="T371" s="104">
        <f t="shared" si="549"/>
        <v>0</v>
      </c>
      <c r="U371" s="104">
        <f t="shared" si="549"/>
        <v>0</v>
      </c>
      <c r="V371" s="104">
        <f t="shared" si="549"/>
        <v>9.9999999999999995E-8</v>
      </c>
      <c r="W371" s="104">
        <f t="shared" si="549"/>
        <v>0</v>
      </c>
      <c r="X371" s="104">
        <f t="shared" si="545"/>
        <v>0</v>
      </c>
      <c r="Y371" s="104">
        <f t="shared" si="545"/>
        <v>9.9999999999999995E-8</v>
      </c>
      <c r="Z371" s="104">
        <f t="shared" si="545"/>
        <v>9.9999999999999995E-8</v>
      </c>
      <c r="AA371" s="105">
        <f t="shared" si="545"/>
        <v>9.9999999999999995E-8</v>
      </c>
      <c r="AB371" s="101" t="e">
        <f>$DT371*HLOOKUP($J371,'Construction Costs (timber)'!$B$1:$V$32,'Construction Planner'!$L371+2,FALSE)</f>
        <v>#N/A</v>
      </c>
      <c r="AC371" s="14" t="e">
        <f>$DT371*HLOOKUP($J371,'Construction Costs (clay)'!$B$1:$V$32,'Construction Planner'!$L371+2,FALSE)</f>
        <v>#N/A</v>
      </c>
      <c r="AD371" s="14" t="e">
        <f>$DT371*HLOOKUP($J371,'Construction Costs (iron)'!$B$1:$V$32,'Construction Planner'!$L371+2,FALSE)</f>
        <v>#N/A</v>
      </c>
      <c r="AE371" s="34" t="e">
        <f t="shared" si="524"/>
        <v>#N/A</v>
      </c>
      <c r="AF371" s="33" t="e">
        <f t="shared" si="467"/>
        <v>#N/A</v>
      </c>
      <c r="AG371" s="14" t="e">
        <f t="shared" si="468"/>
        <v>#N/A</v>
      </c>
      <c r="AH371" s="14" t="e">
        <f t="shared" si="469"/>
        <v>#N/A</v>
      </c>
      <c r="AI371" s="34" t="e">
        <f t="shared" si="525"/>
        <v>#N/A</v>
      </c>
      <c r="AJ371" s="49" t="e">
        <f t="shared" si="489"/>
        <v>#N/A</v>
      </c>
      <c r="AK371" s="49" t="e">
        <f t="shared" si="490"/>
        <v>#N/A</v>
      </c>
      <c r="AL371" s="49" t="e">
        <f t="shared" si="491"/>
        <v>#N/A</v>
      </c>
      <c r="AM371" s="25">
        <f t="shared" si="470"/>
        <v>30</v>
      </c>
      <c r="AN371" s="25">
        <f t="shared" si="471"/>
        <v>30</v>
      </c>
      <c r="AO371" s="25">
        <f t="shared" si="472"/>
        <v>30</v>
      </c>
      <c r="AP371" s="52" t="e">
        <f t="shared" si="546"/>
        <v>#N/A</v>
      </c>
      <c r="AQ371" s="53" t="e">
        <f t="shared" si="546"/>
        <v>#N/A</v>
      </c>
      <c r="AR371" s="54" t="e">
        <f t="shared" si="546"/>
        <v>#N/A</v>
      </c>
      <c r="AS371" s="316">
        <f t="shared" si="542"/>
        <v>0</v>
      </c>
      <c r="AT371" s="106">
        <f>_xlfn.IFNA($M371/VLOOKUP($BT371,'Unit information'!$A$2:$K$29,2,FALSE)*R371,0)*(1+$E$9)</f>
        <v>0</v>
      </c>
      <c r="AU371" s="107">
        <f>_xlfn.IFNA($M371/VLOOKUP($BT371,'Unit information'!$A$2:$K$29,3,FALSE)*S371,0)*(1+$E$9)</f>
        <v>0</v>
      </c>
      <c r="AV371" s="107">
        <f>_xlfn.IFNA($M371/VLOOKUP($BT371,'Unit information'!$A$2:$K$29,4,FALSE)*T371,0)*(1+$E$9)</f>
        <v>0</v>
      </c>
      <c r="AW371" s="107">
        <f>_xlfn.IFNA($M371/VLOOKUP($BT371,'Unit information'!$A$2:$K$29,5,FALSE)*U371,0)*(1+$E$9)</f>
        <v>0</v>
      </c>
      <c r="AX371" s="107">
        <f>_xlfn.IFNA($M371/VLOOKUP($BU371,'Unit information'!$A$2:$K$29,6,FALSE)*V371,0)*(1+$E$9)</f>
        <v>0</v>
      </c>
      <c r="AY371" s="107">
        <f>_xlfn.IFNA($M371/VLOOKUP($BU371,'Unit information'!$A$2:$K$29,7,FALSE)*W371,0)*(1+$E$9)</f>
        <v>0</v>
      </c>
      <c r="AZ371" s="107">
        <f>_xlfn.IFNA($M371/VLOOKUP($BU371,'Unit information'!$A$2:$K$29,8,FALSE)*X371,0)*(1+$E$9)</f>
        <v>0</v>
      </c>
      <c r="BA371" s="107">
        <f>_xlfn.IFNA($M371/VLOOKUP($BU371,'Unit information'!$A$2:$K$29,9,FALSE)*Y371,0)*(1+$E$9)</f>
        <v>0</v>
      </c>
      <c r="BB371" s="107">
        <f>_xlfn.IFNA($M371/VLOOKUP($BV371,'Unit information'!$A$2:$K$29,10,FALSE)*Z371,0)*(1+$E$9)</f>
        <v>0</v>
      </c>
      <c r="BC371" s="108">
        <f>_xlfn.IFNA($M371/VLOOKUP($BV371,'Unit information'!$A$2:$K$29,11,FALSE)*AA371,0)*(1+$E$9)</f>
        <v>0</v>
      </c>
      <c r="BD371" s="106">
        <f t="shared" si="473"/>
        <v>0</v>
      </c>
      <c r="BE371" s="107">
        <f t="shared" si="474"/>
        <v>0</v>
      </c>
      <c r="BF371" s="108">
        <f t="shared" si="475"/>
        <v>0</v>
      </c>
      <c r="BG371" s="25" t="e">
        <f t="shared" si="476"/>
        <v>#N/A</v>
      </c>
      <c r="BH371" s="25" t="e">
        <f t="shared" si="477"/>
        <v>#N/A</v>
      </c>
      <c r="BI371" s="25" t="e">
        <f t="shared" si="478"/>
        <v>#N/A</v>
      </c>
      <c r="BJ371" s="27" t="e">
        <f t="shared" si="479"/>
        <v>#N/A</v>
      </c>
      <c r="BK371" s="18" t="e">
        <f t="shared" si="480"/>
        <v>#N/A</v>
      </c>
      <c r="BL371" s="18" t="e">
        <f t="shared" si="481"/>
        <v>#N/A</v>
      </c>
      <c r="BM371" s="28" t="e">
        <f t="shared" si="527"/>
        <v>#N/A</v>
      </c>
      <c r="BN371" s="33">
        <f>HLOOKUP("maximum population",Miscelaneous!$C$1:$C$33,CH371+3,FALSE)</f>
        <v>240</v>
      </c>
      <c r="BO371" s="14">
        <f t="shared" si="493"/>
        <v>32</v>
      </c>
      <c r="BP371" s="14">
        <f t="shared" si="494"/>
        <v>0</v>
      </c>
      <c r="BQ371" s="14">
        <f t="shared" si="495"/>
        <v>208</v>
      </c>
      <c r="BR371" s="34" t="e">
        <f>HLOOKUP(J371,Villagers!$B$1:$V$33,L371+3,FALSE)-HLOOKUP(J371,Villagers!$B$1:$V$33,L371+2,FALSE)</f>
        <v>#N/A</v>
      </c>
      <c r="BS371" s="49">
        <f t="shared" si="496"/>
        <v>1</v>
      </c>
      <c r="BT371" s="50">
        <f t="shared" si="497"/>
        <v>0</v>
      </c>
      <c r="BU371" s="50">
        <f t="shared" si="498"/>
        <v>0</v>
      </c>
      <c r="BV371" s="50">
        <f t="shared" si="499"/>
        <v>0</v>
      </c>
      <c r="BW371" s="50">
        <f t="shared" si="547"/>
        <v>0</v>
      </c>
      <c r="BX371" s="50">
        <f t="shared" si="547"/>
        <v>0</v>
      </c>
      <c r="BY371" s="50">
        <f t="shared" si="547"/>
        <v>0</v>
      </c>
      <c r="BZ371" s="50">
        <f t="shared" si="530"/>
        <v>0</v>
      </c>
      <c r="CA371" s="50">
        <f t="shared" si="531"/>
        <v>0</v>
      </c>
      <c r="CB371" s="50">
        <f t="shared" si="532"/>
        <v>1</v>
      </c>
      <c r="CC371" s="50">
        <f t="shared" si="533"/>
        <v>0</v>
      </c>
      <c r="CD371" s="50">
        <f t="shared" si="534"/>
        <v>0</v>
      </c>
      <c r="CE371" s="50">
        <f t="shared" si="535"/>
        <v>1</v>
      </c>
      <c r="CF371" s="50">
        <f t="shared" si="536"/>
        <v>1</v>
      </c>
      <c r="CG371" s="50">
        <f t="shared" si="537"/>
        <v>1</v>
      </c>
      <c r="CH371" s="50">
        <f t="shared" si="538"/>
        <v>1</v>
      </c>
      <c r="CI371" s="50">
        <f t="shared" si="539"/>
        <v>1</v>
      </c>
      <c r="CJ371" s="50">
        <f t="shared" si="540"/>
        <v>1</v>
      </c>
      <c r="CK371" s="50">
        <f t="shared" si="540"/>
        <v>0</v>
      </c>
      <c r="CL371" s="50">
        <f t="shared" si="540"/>
        <v>0</v>
      </c>
      <c r="CM371" s="51">
        <f t="shared" si="482"/>
        <v>0</v>
      </c>
      <c r="CN371" s="33">
        <f>ROUND(IF(BS371=0,0,HLOOKUP(BS$14,Villagers!$B$1:$V$33,BS371+3,FALSE)),)</f>
        <v>5</v>
      </c>
      <c r="CO371" s="14">
        <f>ROUND(IF(BT371=0,0,HLOOKUP(BT$14,Villagers!$B$1:$V$33,BT371+3,FALSE)),)</f>
        <v>0</v>
      </c>
      <c r="CP371" s="14">
        <f>ROUND(IF(BU371=0,0,HLOOKUP(BU$14,Villagers!$B$1:$V$33,BU371+3,FALSE)),)</f>
        <v>0</v>
      </c>
      <c r="CQ371" s="14">
        <f>ROUND(IF(BV371=0,0,HLOOKUP(BV$14,Villagers!$B$1:$V$33,BV371+3,FALSE)),)</f>
        <v>0</v>
      </c>
      <c r="CR371" s="14">
        <f>ROUND(IF(BW371=0,0,HLOOKUP(BW$14,Villagers!$B$1:$V$33,BW371+3,FALSE)),)</f>
        <v>0</v>
      </c>
      <c r="CS371" s="14">
        <f>ROUND(IF(BX371=0,0,HLOOKUP(BX$14,Villagers!$B$1:$V$33,BX371+3,FALSE)),)</f>
        <v>0</v>
      </c>
      <c r="CT371" s="14">
        <f>ROUND(IF(BY371=0,0,HLOOKUP(BY$14,Villagers!$B$1:$V$33,BY371+3,FALSE)),)</f>
        <v>0</v>
      </c>
      <c r="CU371" s="14">
        <f>ROUND(IF(BZ371=0,0,HLOOKUP(BZ$14,Villagers!$B$1:$V$33,BZ371+3,FALSE)),)</f>
        <v>0</v>
      </c>
      <c r="CV371" s="14">
        <f>ROUND(IF(CA371=0,0,HLOOKUP(CA$14,Villagers!$B$1:$V$33,CA371+3,FALSE)),)</f>
        <v>0</v>
      </c>
      <c r="CW371" s="14">
        <f>ROUND(IF(CB371=0,0,HLOOKUP(CB$14,Villagers!$B$1:$V$33,CB371+3,FALSE)),)</f>
        <v>0</v>
      </c>
      <c r="CX371" s="14">
        <f>ROUND(IF(CC371=0,0,HLOOKUP(CC$14,Villagers!$B$1:$V$33,CC371+3,FALSE)),)</f>
        <v>0</v>
      </c>
      <c r="CY371" s="14">
        <f>ROUND(IF(CD371=0,0,HLOOKUP(CD$14,Villagers!$B$1:$V$33,CD371+3,FALSE)),)</f>
        <v>0</v>
      </c>
      <c r="CZ371" s="14">
        <f>ROUND(IF(CE371=0,0,HLOOKUP(CE$14,Villagers!$B$1:$V$33,CE371+3,FALSE)),)</f>
        <v>5</v>
      </c>
      <c r="DA371" s="14">
        <f>ROUND(IF(CF371=0,0,HLOOKUP(CF$14,Villagers!$B$1:$V$33,CF371+3,FALSE)),)</f>
        <v>10</v>
      </c>
      <c r="DB371" s="14">
        <f>ROUND(IF(CG371=0,0,HLOOKUP(CG$14,Villagers!$B$1:$V$33,CG371+3,FALSE)),)</f>
        <v>10</v>
      </c>
      <c r="DC371" s="14">
        <f>ROUND(IF(CH371=0,0,HLOOKUP(CH$14,Villagers!$B$1:$V$33,CH371+3,FALSE)),)</f>
        <v>0</v>
      </c>
      <c r="DD371" s="14">
        <f>ROUND(IF(CI371=0,0,HLOOKUP(CI$14,Villagers!$B$1:$V$33,CI371+3,FALSE)),)</f>
        <v>0</v>
      </c>
      <c r="DE371" s="14">
        <f>ROUND(IF(CJ371=0,0,HLOOKUP(CJ$14,Villagers!$B$1:$V$33,CJ371+3,FALSE)),)</f>
        <v>2</v>
      </c>
      <c r="DF371" s="370">
        <f>ROUND(IF(CK371=0,0,HLOOKUP(CK$14,Villagers!$B$1:$V$33,CK371+3,FALSE)),)</f>
        <v>0</v>
      </c>
      <c r="DG371" s="370">
        <f>ROUND(IF(CL371=0,0,HLOOKUP(CL$14,Villagers!$B$1:$V$33,CL371+3,FALSE)),)</f>
        <v>0</v>
      </c>
      <c r="DH371" s="34">
        <f>ROUND(IF(CM371=0,0,HLOOKUP(CM$14,Villagers!$B$1:$V$33,CM371+3,FALSE)),)</f>
        <v>0</v>
      </c>
      <c r="DI371" s="109">
        <f t="shared" si="516"/>
        <v>0</v>
      </c>
      <c r="DJ371" s="50">
        <f t="shared" si="517"/>
        <v>0</v>
      </c>
      <c r="DK371" s="50">
        <f t="shared" si="518"/>
        <v>0</v>
      </c>
      <c r="DL371" s="50">
        <f t="shared" si="519"/>
        <v>0</v>
      </c>
      <c r="DM371" s="50">
        <f t="shared" si="520"/>
        <v>0</v>
      </c>
      <c r="DN371" s="50">
        <f t="shared" si="521"/>
        <v>0</v>
      </c>
      <c r="DO371" s="50">
        <f t="shared" si="522"/>
        <v>0</v>
      </c>
      <c r="DP371" s="50">
        <f t="shared" si="523"/>
        <v>0</v>
      </c>
      <c r="DQ371" s="50">
        <f t="shared" si="501"/>
        <v>0</v>
      </c>
      <c r="DR371" s="50">
        <f t="shared" si="502"/>
        <v>0</v>
      </c>
      <c r="DS371" s="96">
        <f>Miscelaneous!$D$4*Miscelaneous!$D$2^($CI371-1)</f>
        <v>1000</v>
      </c>
      <c r="DT371" s="333">
        <f t="shared" si="483"/>
        <v>1</v>
      </c>
      <c r="DU371" s="81">
        <v>1</v>
      </c>
      <c r="DV371" s="79">
        <f t="shared" si="503"/>
        <v>0</v>
      </c>
      <c r="DW371" s="79">
        <f t="shared" si="504"/>
        <v>0</v>
      </c>
      <c r="DX371" s="79">
        <f t="shared" si="505"/>
        <v>0</v>
      </c>
      <c r="DY371" s="79">
        <v>1</v>
      </c>
      <c r="DZ371" s="79">
        <f t="shared" si="506"/>
        <v>0</v>
      </c>
      <c r="EA371" s="79">
        <f t="shared" si="507"/>
        <v>0</v>
      </c>
      <c r="EB371" s="79">
        <f t="shared" si="508"/>
        <v>0</v>
      </c>
      <c r="EC371" s="79">
        <f t="shared" si="509"/>
        <v>0</v>
      </c>
      <c r="ED371" s="79">
        <v>1</v>
      </c>
      <c r="EE371" s="79">
        <v>1</v>
      </c>
      <c r="EF371" s="79">
        <f t="shared" si="510"/>
        <v>0</v>
      </c>
      <c r="EG371" s="79">
        <v>1</v>
      </c>
      <c r="EH371" s="79">
        <v>1</v>
      </c>
      <c r="EI371" s="79">
        <v>1</v>
      </c>
      <c r="EJ371" s="79">
        <v>1</v>
      </c>
      <c r="EK371" s="79">
        <v>1</v>
      </c>
      <c r="EL371" s="79">
        <v>1</v>
      </c>
      <c r="EM371" s="143">
        <f t="shared" si="511"/>
        <v>0</v>
      </c>
      <c r="EN371" s="143">
        <f t="shared" si="512"/>
        <v>0</v>
      </c>
      <c r="EO371" s="82">
        <f t="shared" si="513"/>
        <v>0</v>
      </c>
    </row>
    <row r="372" spans="1:145" x14ac:dyDescent="0.25">
      <c r="A372">
        <v>358</v>
      </c>
      <c r="B372" s="172" t="e">
        <f t="shared" si="484"/>
        <v>#N/A</v>
      </c>
      <c r="C372" s="121" t="e">
        <f t="shared" si="462"/>
        <v>#N/A</v>
      </c>
      <c r="D372" s="122" t="e">
        <f t="shared" si="463"/>
        <v>#N/A</v>
      </c>
      <c r="E372" s="122" t="e">
        <f t="shared" si="464"/>
        <v>#N/A</v>
      </c>
      <c r="F372" s="176" t="e">
        <f t="shared" si="465"/>
        <v>#N/A</v>
      </c>
      <c r="G372" s="121">
        <f t="shared" si="485"/>
        <v>208</v>
      </c>
      <c r="H372" s="176" t="e">
        <f t="shared" si="486"/>
        <v>#N/A</v>
      </c>
      <c r="I372" s="48">
        <v>1</v>
      </c>
      <c r="J372" s="39"/>
      <c r="K372" s="350">
        <v>1</v>
      </c>
      <c r="L372" s="34" t="e">
        <f t="shared" si="466"/>
        <v>#N/A</v>
      </c>
      <c r="M372" s="38" t="e">
        <f>(HLOOKUP(J372,'Construction Times'!$B$3:$W$34,L372+2,FALSE)*HLOOKUP("hq modifier",'Construction Times'!$W$3:$W$34,BS372+2,FALSE))*(1-$H$9)</f>
        <v>#N/A</v>
      </c>
      <c r="N372" s="443" t="e">
        <f t="shared" si="487"/>
        <v>#N/A</v>
      </c>
      <c r="O372" s="444"/>
      <c r="P372" s="447" t="e">
        <f t="shared" si="488"/>
        <v>#N/A</v>
      </c>
      <c r="Q372" s="448"/>
      <c r="R372" s="103">
        <f t="shared" si="548"/>
        <v>0</v>
      </c>
      <c r="S372" s="104">
        <f t="shared" si="548"/>
        <v>0</v>
      </c>
      <c r="T372" s="104">
        <f t="shared" si="549"/>
        <v>0</v>
      </c>
      <c r="U372" s="104">
        <f t="shared" si="549"/>
        <v>0</v>
      </c>
      <c r="V372" s="104">
        <f t="shared" si="549"/>
        <v>9.9999999999999995E-8</v>
      </c>
      <c r="W372" s="104">
        <f t="shared" si="549"/>
        <v>0</v>
      </c>
      <c r="X372" s="104">
        <f t="shared" si="545"/>
        <v>0</v>
      </c>
      <c r="Y372" s="104">
        <f t="shared" si="545"/>
        <v>9.9999999999999995E-8</v>
      </c>
      <c r="Z372" s="104">
        <f t="shared" si="545"/>
        <v>9.9999999999999995E-8</v>
      </c>
      <c r="AA372" s="105">
        <f t="shared" si="545"/>
        <v>9.9999999999999995E-8</v>
      </c>
      <c r="AB372" s="101" t="e">
        <f>$DT372*HLOOKUP($J372,'Construction Costs (timber)'!$B$1:$V$32,'Construction Planner'!$L372+2,FALSE)</f>
        <v>#N/A</v>
      </c>
      <c r="AC372" s="14" t="e">
        <f>$DT372*HLOOKUP($J372,'Construction Costs (clay)'!$B$1:$V$32,'Construction Planner'!$L372+2,FALSE)</f>
        <v>#N/A</v>
      </c>
      <c r="AD372" s="14" t="e">
        <f>$DT372*HLOOKUP($J372,'Construction Costs (iron)'!$B$1:$V$32,'Construction Planner'!$L372+2,FALSE)</f>
        <v>#N/A</v>
      </c>
      <c r="AE372" s="34" t="e">
        <f t="shared" si="524"/>
        <v>#N/A</v>
      </c>
      <c r="AF372" s="33" t="e">
        <f t="shared" si="467"/>
        <v>#N/A</v>
      </c>
      <c r="AG372" s="14" t="e">
        <f t="shared" si="468"/>
        <v>#N/A</v>
      </c>
      <c r="AH372" s="14" t="e">
        <f t="shared" si="469"/>
        <v>#N/A</v>
      </c>
      <c r="AI372" s="34" t="e">
        <f t="shared" si="525"/>
        <v>#N/A</v>
      </c>
      <c r="AJ372" s="49" t="e">
        <f t="shared" si="489"/>
        <v>#N/A</v>
      </c>
      <c r="AK372" s="49" t="e">
        <f t="shared" si="490"/>
        <v>#N/A</v>
      </c>
      <c r="AL372" s="49" t="e">
        <f t="shared" si="491"/>
        <v>#N/A</v>
      </c>
      <c r="AM372" s="25">
        <f t="shared" si="470"/>
        <v>30</v>
      </c>
      <c r="AN372" s="25">
        <f t="shared" si="471"/>
        <v>30</v>
      </c>
      <c r="AO372" s="25">
        <f t="shared" si="472"/>
        <v>30</v>
      </c>
      <c r="AP372" s="52" t="e">
        <f t="shared" si="546"/>
        <v>#N/A</v>
      </c>
      <c r="AQ372" s="53" t="e">
        <f t="shared" si="546"/>
        <v>#N/A</v>
      </c>
      <c r="AR372" s="54" t="e">
        <f t="shared" si="546"/>
        <v>#N/A</v>
      </c>
      <c r="AS372" s="316">
        <f t="shared" ref="AS372:AS387" si="550">AS371</f>
        <v>0</v>
      </c>
      <c r="AT372" s="106">
        <f>_xlfn.IFNA($M372/VLOOKUP($BT372,'Unit information'!$A$2:$K$29,2,FALSE)*R372,0)*(1+$E$9)</f>
        <v>0</v>
      </c>
      <c r="AU372" s="107">
        <f>_xlfn.IFNA($M372/VLOOKUP($BT372,'Unit information'!$A$2:$K$29,3,FALSE)*S372,0)*(1+$E$9)</f>
        <v>0</v>
      </c>
      <c r="AV372" s="107">
        <f>_xlfn.IFNA($M372/VLOOKUP($BT372,'Unit information'!$A$2:$K$29,4,FALSE)*T372,0)*(1+$E$9)</f>
        <v>0</v>
      </c>
      <c r="AW372" s="107">
        <f>_xlfn.IFNA($M372/VLOOKUP($BT372,'Unit information'!$A$2:$K$29,5,FALSE)*U372,0)*(1+$E$9)</f>
        <v>0</v>
      </c>
      <c r="AX372" s="107">
        <f>_xlfn.IFNA($M372/VLOOKUP($BU372,'Unit information'!$A$2:$K$29,6,FALSE)*V372,0)*(1+$E$9)</f>
        <v>0</v>
      </c>
      <c r="AY372" s="107">
        <f>_xlfn.IFNA($M372/VLOOKUP($BU372,'Unit information'!$A$2:$K$29,7,FALSE)*W372,0)*(1+$E$9)</f>
        <v>0</v>
      </c>
      <c r="AZ372" s="107">
        <f>_xlfn.IFNA($M372/VLOOKUP($BU372,'Unit information'!$A$2:$K$29,8,FALSE)*X372,0)*(1+$E$9)</f>
        <v>0</v>
      </c>
      <c r="BA372" s="107">
        <f>_xlfn.IFNA($M372/VLOOKUP($BU372,'Unit information'!$A$2:$K$29,9,FALSE)*Y372,0)*(1+$E$9)</f>
        <v>0</v>
      </c>
      <c r="BB372" s="107">
        <f>_xlfn.IFNA($M372/VLOOKUP($BV372,'Unit information'!$A$2:$K$29,10,FALSE)*Z372,0)*(1+$E$9)</f>
        <v>0</v>
      </c>
      <c r="BC372" s="108">
        <f>_xlfn.IFNA($M372/VLOOKUP($BV372,'Unit information'!$A$2:$K$29,11,FALSE)*AA372,0)*(1+$E$9)</f>
        <v>0</v>
      </c>
      <c r="BD372" s="106">
        <f t="shared" si="473"/>
        <v>0</v>
      </c>
      <c r="BE372" s="107">
        <f t="shared" si="474"/>
        <v>0</v>
      </c>
      <c r="BF372" s="108">
        <f t="shared" si="475"/>
        <v>0</v>
      </c>
      <c r="BG372" s="25" t="e">
        <f t="shared" si="476"/>
        <v>#N/A</v>
      </c>
      <c r="BH372" s="25" t="e">
        <f t="shared" si="477"/>
        <v>#N/A</v>
      </c>
      <c r="BI372" s="25" t="e">
        <f t="shared" si="478"/>
        <v>#N/A</v>
      </c>
      <c r="BJ372" s="27" t="e">
        <f t="shared" si="479"/>
        <v>#N/A</v>
      </c>
      <c r="BK372" s="18" t="e">
        <f t="shared" si="480"/>
        <v>#N/A</v>
      </c>
      <c r="BL372" s="18" t="e">
        <f t="shared" si="481"/>
        <v>#N/A</v>
      </c>
      <c r="BM372" s="28" t="e">
        <f t="shared" si="527"/>
        <v>#N/A</v>
      </c>
      <c r="BN372" s="33">
        <f>HLOOKUP("maximum population",Miscelaneous!$C$1:$C$33,CH372+3,FALSE)</f>
        <v>240</v>
      </c>
      <c r="BO372" s="14">
        <f t="shared" si="493"/>
        <v>32</v>
      </c>
      <c r="BP372" s="14">
        <f t="shared" si="494"/>
        <v>0</v>
      </c>
      <c r="BQ372" s="14">
        <f t="shared" si="495"/>
        <v>208</v>
      </c>
      <c r="BR372" s="34" t="e">
        <f>HLOOKUP(J372,Villagers!$B$1:$V$33,L372+3,FALSE)-HLOOKUP(J372,Villagers!$B$1:$V$33,L372+2,FALSE)</f>
        <v>#N/A</v>
      </c>
      <c r="BS372" s="49">
        <f t="shared" si="496"/>
        <v>1</v>
      </c>
      <c r="BT372" s="50">
        <f t="shared" si="497"/>
        <v>0</v>
      </c>
      <c r="BU372" s="50">
        <f t="shared" si="498"/>
        <v>0</v>
      </c>
      <c r="BV372" s="50">
        <f t="shared" si="499"/>
        <v>0</v>
      </c>
      <c r="BW372" s="50">
        <f t="shared" si="547"/>
        <v>0</v>
      </c>
      <c r="BX372" s="50">
        <f t="shared" si="547"/>
        <v>0</v>
      </c>
      <c r="BY372" s="50">
        <f t="shared" si="547"/>
        <v>0</v>
      </c>
      <c r="BZ372" s="50">
        <f t="shared" si="530"/>
        <v>0</v>
      </c>
      <c r="CA372" s="50">
        <f t="shared" si="531"/>
        <v>0</v>
      </c>
      <c r="CB372" s="50">
        <f t="shared" si="532"/>
        <v>1</v>
      </c>
      <c r="CC372" s="50">
        <f t="shared" si="533"/>
        <v>0</v>
      </c>
      <c r="CD372" s="50">
        <f t="shared" si="534"/>
        <v>0</v>
      </c>
      <c r="CE372" s="50">
        <f t="shared" si="535"/>
        <v>1</v>
      </c>
      <c r="CF372" s="50">
        <f t="shared" si="536"/>
        <v>1</v>
      </c>
      <c r="CG372" s="50">
        <f t="shared" si="537"/>
        <v>1</v>
      </c>
      <c r="CH372" s="50">
        <f t="shared" si="538"/>
        <v>1</v>
      </c>
      <c r="CI372" s="50">
        <f t="shared" si="539"/>
        <v>1</v>
      </c>
      <c r="CJ372" s="50">
        <f t="shared" si="540"/>
        <v>1</v>
      </c>
      <c r="CK372" s="50">
        <f t="shared" si="540"/>
        <v>0</v>
      </c>
      <c r="CL372" s="50">
        <f t="shared" si="540"/>
        <v>0</v>
      </c>
      <c r="CM372" s="51">
        <f t="shared" si="482"/>
        <v>0</v>
      </c>
      <c r="CN372" s="33">
        <f>ROUND(IF(BS372=0,0,HLOOKUP(BS$14,Villagers!$B$1:$V$33,BS372+3,FALSE)),)</f>
        <v>5</v>
      </c>
      <c r="CO372" s="14">
        <f>ROUND(IF(BT372=0,0,HLOOKUP(BT$14,Villagers!$B$1:$V$33,BT372+3,FALSE)),)</f>
        <v>0</v>
      </c>
      <c r="CP372" s="14">
        <f>ROUND(IF(BU372=0,0,HLOOKUP(BU$14,Villagers!$B$1:$V$33,BU372+3,FALSE)),)</f>
        <v>0</v>
      </c>
      <c r="CQ372" s="14">
        <f>ROUND(IF(BV372=0,0,HLOOKUP(BV$14,Villagers!$B$1:$V$33,BV372+3,FALSE)),)</f>
        <v>0</v>
      </c>
      <c r="CR372" s="14">
        <f>ROUND(IF(BW372=0,0,HLOOKUP(BW$14,Villagers!$B$1:$V$33,BW372+3,FALSE)),)</f>
        <v>0</v>
      </c>
      <c r="CS372" s="14">
        <f>ROUND(IF(BX372=0,0,HLOOKUP(BX$14,Villagers!$B$1:$V$33,BX372+3,FALSE)),)</f>
        <v>0</v>
      </c>
      <c r="CT372" s="14">
        <f>ROUND(IF(BY372=0,0,HLOOKUP(BY$14,Villagers!$B$1:$V$33,BY372+3,FALSE)),)</f>
        <v>0</v>
      </c>
      <c r="CU372" s="14">
        <f>ROUND(IF(BZ372=0,0,HLOOKUP(BZ$14,Villagers!$B$1:$V$33,BZ372+3,FALSE)),)</f>
        <v>0</v>
      </c>
      <c r="CV372" s="14">
        <f>ROUND(IF(CA372=0,0,HLOOKUP(CA$14,Villagers!$B$1:$V$33,CA372+3,FALSE)),)</f>
        <v>0</v>
      </c>
      <c r="CW372" s="14">
        <f>ROUND(IF(CB372=0,0,HLOOKUP(CB$14,Villagers!$B$1:$V$33,CB372+3,FALSE)),)</f>
        <v>0</v>
      </c>
      <c r="CX372" s="14">
        <f>ROUND(IF(CC372=0,0,HLOOKUP(CC$14,Villagers!$B$1:$V$33,CC372+3,FALSE)),)</f>
        <v>0</v>
      </c>
      <c r="CY372" s="14">
        <f>ROUND(IF(CD372=0,0,HLOOKUP(CD$14,Villagers!$B$1:$V$33,CD372+3,FALSE)),)</f>
        <v>0</v>
      </c>
      <c r="CZ372" s="14">
        <f>ROUND(IF(CE372=0,0,HLOOKUP(CE$14,Villagers!$B$1:$V$33,CE372+3,FALSE)),)</f>
        <v>5</v>
      </c>
      <c r="DA372" s="14">
        <f>ROUND(IF(CF372=0,0,HLOOKUP(CF$14,Villagers!$B$1:$V$33,CF372+3,FALSE)),)</f>
        <v>10</v>
      </c>
      <c r="DB372" s="14">
        <f>ROUND(IF(CG372=0,0,HLOOKUP(CG$14,Villagers!$B$1:$V$33,CG372+3,FALSE)),)</f>
        <v>10</v>
      </c>
      <c r="DC372" s="14">
        <f>ROUND(IF(CH372=0,0,HLOOKUP(CH$14,Villagers!$B$1:$V$33,CH372+3,FALSE)),)</f>
        <v>0</v>
      </c>
      <c r="DD372" s="14">
        <f>ROUND(IF(CI372=0,0,HLOOKUP(CI$14,Villagers!$B$1:$V$33,CI372+3,FALSE)),)</f>
        <v>0</v>
      </c>
      <c r="DE372" s="14">
        <f>ROUND(IF(CJ372=0,0,HLOOKUP(CJ$14,Villagers!$B$1:$V$33,CJ372+3,FALSE)),)</f>
        <v>2</v>
      </c>
      <c r="DF372" s="370">
        <f>ROUND(IF(CK372=0,0,HLOOKUP(CK$14,Villagers!$B$1:$V$33,CK372+3,FALSE)),)</f>
        <v>0</v>
      </c>
      <c r="DG372" s="370">
        <f>ROUND(IF(CL372=0,0,HLOOKUP(CL$14,Villagers!$B$1:$V$33,CL372+3,FALSE)),)</f>
        <v>0</v>
      </c>
      <c r="DH372" s="34">
        <f>ROUND(IF(CM372=0,0,HLOOKUP(CM$14,Villagers!$B$1:$V$33,CM372+3,FALSE)),)</f>
        <v>0</v>
      </c>
      <c r="DI372" s="109">
        <f t="shared" si="516"/>
        <v>0</v>
      </c>
      <c r="DJ372" s="50">
        <f t="shared" si="517"/>
        <v>0</v>
      </c>
      <c r="DK372" s="50">
        <f t="shared" si="518"/>
        <v>0</v>
      </c>
      <c r="DL372" s="50">
        <f t="shared" si="519"/>
        <v>0</v>
      </c>
      <c r="DM372" s="50">
        <f t="shared" si="520"/>
        <v>0</v>
      </c>
      <c r="DN372" s="50">
        <f t="shared" si="521"/>
        <v>0</v>
      </c>
      <c r="DO372" s="50">
        <f t="shared" si="522"/>
        <v>0</v>
      </c>
      <c r="DP372" s="50">
        <f t="shared" si="523"/>
        <v>0</v>
      </c>
      <c r="DQ372" s="50">
        <f t="shared" si="501"/>
        <v>0</v>
      </c>
      <c r="DR372" s="50">
        <f t="shared" si="502"/>
        <v>0</v>
      </c>
      <c r="DS372" s="96">
        <f>Miscelaneous!$D$4*Miscelaneous!$D$2^($CI372-1)</f>
        <v>1000</v>
      </c>
      <c r="DT372" s="333">
        <f t="shared" si="483"/>
        <v>1</v>
      </c>
      <c r="DU372" s="81">
        <v>1</v>
      </c>
      <c r="DV372" s="79">
        <f t="shared" si="503"/>
        <v>0</v>
      </c>
      <c r="DW372" s="79">
        <f t="shared" si="504"/>
        <v>0</v>
      </c>
      <c r="DX372" s="79">
        <f t="shared" si="505"/>
        <v>0</v>
      </c>
      <c r="DY372" s="79">
        <v>1</v>
      </c>
      <c r="DZ372" s="79">
        <f t="shared" si="506"/>
        <v>0</v>
      </c>
      <c r="EA372" s="79">
        <f t="shared" si="507"/>
        <v>0</v>
      </c>
      <c r="EB372" s="79">
        <f t="shared" si="508"/>
        <v>0</v>
      </c>
      <c r="EC372" s="79">
        <f t="shared" si="509"/>
        <v>0</v>
      </c>
      <c r="ED372" s="79">
        <v>1</v>
      </c>
      <c r="EE372" s="79">
        <v>1</v>
      </c>
      <c r="EF372" s="79">
        <f t="shared" si="510"/>
        <v>0</v>
      </c>
      <c r="EG372" s="79">
        <v>1</v>
      </c>
      <c r="EH372" s="79">
        <v>1</v>
      </c>
      <c r="EI372" s="79">
        <v>1</v>
      </c>
      <c r="EJ372" s="79">
        <v>1</v>
      </c>
      <c r="EK372" s="79">
        <v>1</v>
      </c>
      <c r="EL372" s="79">
        <v>1</v>
      </c>
      <c r="EM372" s="143">
        <f t="shared" si="511"/>
        <v>0</v>
      </c>
      <c r="EN372" s="143">
        <f t="shared" si="512"/>
        <v>0</v>
      </c>
      <c r="EO372" s="82">
        <f t="shared" si="513"/>
        <v>0</v>
      </c>
    </row>
    <row r="373" spans="1:145" x14ac:dyDescent="0.25">
      <c r="A373">
        <v>359</v>
      </c>
      <c r="B373" s="172" t="e">
        <f t="shared" si="484"/>
        <v>#N/A</v>
      </c>
      <c r="C373" s="121" t="e">
        <f t="shared" si="462"/>
        <v>#N/A</v>
      </c>
      <c r="D373" s="122" t="e">
        <f t="shared" si="463"/>
        <v>#N/A</v>
      </c>
      <c r="E373" s="122" t="e">
        <f t="shared" si="464"/>
        <v>#N/A</v>
      </c>
      <c r="F373" s="176" t="e">
        <f t="shared" si="465"/>
        <v>#N/A</v>
      </c>
      <c r="G373" s="121">
        <f t="shared" si="485"/>
        <v>208</v>
      </c>
      <c r="H373" s="176" t="e">
        <f t="shared" si="486"/>
        <v>#N/A</v>
      </c>
      <c r="I373" s="48">
        <v>1</v>
      </c>
      <c r="J373" s="39"/>
      <c r="K373" s="350">
        <v>1</v>
      </c>
      <c r="L373" s="34" t="e">
        <f t="shared" si="466"/>
        <v>#N/A</v>
      </c>
      <c r="M373" s="38" t="e">
        <f>(HLOOKUP(J373,'Construction Times'!$B$3:$W$34,L373+2,FALSE)*HLOOKUP("hq modifier",'Construction Times'!$W$3:$W$34,BS373+2,FALSE))*(1-$H$9)</f>
        <v>#N/A</v>
      </c>
      <c r="N373" s="443" t="e">
        <f t="shared" si="487"/>
        <v>#N/A</v>
      </c>
      <c r="O373" s="444"/>
      <c r="P373" s="447" t="e">
        <f t="shared" si="488"/>
        <v>#N/A</v>
      </c>
      <c r="Q373" s="448"/>
      <c r="R373" s="103">
        <f t="shared" si="548"/>
        <v>0</v>
      </c>
      <c r="S373" s="104">
        <f t="shared" si="548"/>
        <v>0</v>
      </c>
      <c r="T373" s="104">
        <f t="shared" si="549"/>
        <v>0</v>
      </c>
      <c r="U373" s="104">
        <f t="shared" si="549"/>
        <v>0</v>
      </c>
      <c r="V373" s="104">
        <f t="shared" si="549"/>
        <v>9.9999999999999995E-8</v>
      </c>
      <c r="W373" s="104">
        <f t="shared" si="549"/>
        <v>0</v>
      </c>
      <c r="X373" s="104">
        <f t="shared" si="545"/>
        <v>0</v>
      </c>
      <c r="Y373" s="104">
        <f t="shared" si="545"/>
        <v>9.9999999999999995E-8</v>
      </c>
      <c r="Z373" s="104">
        <f t="shared" si="545"/>
        <v>9.9999999999999995E-8</v>
      </c>
      <c r="AA373" s="105">
        <f t="shared" si="545"/>
        <v>9.9999999999999995E-8</v>
      </c>
      <c r="AB373" s="101" t="e">
        <f>$DT373*HLOOKUP($J373,'Construction Costs (timber)'!$B$1:$V$32,'Construction Planner'!$L373+2,FALSE)</f>
        <v>#N/A</v>
      </c>
      <c r="AC373" s="14" t="e">
        <f>$DT373*HLOOKUP($J373,'Construction Costs (clay)'!$B$1:$V$32,'Construction Planner'!$L373+2,FALSE)</f>
        <v>#N/A</v>
      </c>
      <c r="AD373" s="14" t="e">
        <f>$DT373*HLOOKUP($J373,'Construction Costs (iron)'!$B$1:$V$32,'Construction Planner'!$L373+2,FALSE)</f>
        <v>#N/A</v>
      </c>
      <c r="AE373" s="34" t="e">
        <f t="shared" si="524"/>
        <v>#N/A</v>
      </c>
      <c r="AF373" s="33" t="e">
        <f t="shared" si="467"/>
        <v>#N/A</v>
      </c>
      <c r="AG373" s="14" t="e">
        <f t="shared" si="468"/>
        <v>#N/A</v>
      </c>
      <c r="AH373" s="14" t="e">
        <f t="shared" si="469"/>
        <v>#N/A</v>
      </c>
      <c r="AI373" s="34" t="e">
        <f t="shared" si="525"/>
        <v>#N/A</v>
      </c>
      <c r="AJ373" s="49" t="e">
        <f t="shared" si="489"/>
        <v>#N/A</v>
      </c>
      <c r="AK373" s="49" t="e">
        <f t="shared" si="490"/>
        <v>#N/A</v>
      </c>
      <c r="AL373" s="49" t="e">
        <f t="shared" si="491"/>
        <v>#N/A</v>
      </c>
      <c r="AM373" s="25">
        <f t="shared" si="470"/>
        <v>30</v>
      </c>
      <c r="AN373" s="25">
        <f t="shared" si="471"/>
        <v>30</v>
      </c>
      <c r="AO373" s="25">
        <f t="shared" si="472"/>
        <v>30</v>
      </c>
      <c r="AP373" s="52" t="e">
        <f t="shared" si="546"/>
        <v>#N/A</v>
      </c>
      <c r="AQ373" s="53" t="e">
        <f t="shared" si="546"/>
        <v>#N/A</v>
      </c>
      <c r="AR373" s="54" t="e">
        <f t="shared" si="546"/>
        <v>#N/A</v>
      </c>
      <c r="AS373" s="316">
        <f t="shared" si="550"/>
        <v>0</v>
      </c>
      <c r="AT373" s="106">
        <f>_xlfn.IFNA($M373/VLOOKUP($BT373,'Unit information'!$A$2:$K$29,2,FALSE)*R373,0)*(1+$E$9)</f>
        <v>0</v>
      </c>
      <c r="AU373" s="107">
        <f>_xlfn.IFNA($M373/VLOOKUP($BT373,'Unit information'!$A$2:$K$29,3,FALSE)*S373,0)*(1+$E$9)</f>
        <v>0</v>
      </c>
      <c r="AV373" s="107">
        <f>_xlfn.IFNA($M373/VLOOKUP($BT373,'Unit information'!$A$2:$K$29,4,FALSE)*T373,0)*(1+$E$9)</f>
        <v>0</v>
      </c>
      <c r="AW373" s="107">
        <f>_xlfn.IFNA($M373/VLOOKUP($BT373,'Unit information'!$A$2:$K$29,5,FALSE)*U373,0)*(1+$E$9)</f>
        <v>0</v>
      </c>
      <c r="AX373" s="107">
        <f>_xlfn.IFNA($M373/VLOOKUP($BU373,'Unit information'!$A$2:$K$29,6,FALSE)*V373,0)*(1+$E$9)</f>
        <v>0</v>
      </c>
      <c r="AY373" s="107">
        <f>_xlfn.IFNA($M373/VLOOKUP($BU373,'Unit information'!$A$2:$K$29,7,FALSE)*W373,0)*(1+$E$9)</f>
        <v>0</v>
      </c>
      <c r="AZ373" s="107">
        <f>_xlfn.IFNA($M373/VLOOKUP($BU373,'Unit information'!$A$2:$K$29,8,FALSE)*X373,0)*(1+$E$9)</f>
        <v>0</v>
      </c>
      <c r="BA373" s="107">
        <f>_xlfn.IFNA($M373/VLOOKUP($BU373,'Unit information'!$A$2:$K$29,9,FALSE)*Y373,0)*(1+$E$9)</f>
        <v>0</v>
      </c>
      <c r="BB373" s="107">
        <f>_xlfn.IFNA($M373/VLOOKUP($BV373,'Unit information'!$A$2:$K$29,10,FALSE)*Z373,0)*(1+$E$9)</f>
        <v>0</v>
      </c>
      <c r="BC373" s="108">
        <f>_xlfn.IFNA($M373/VLOOKUP($BV373,'Unit information'!$A$2:$K$29,11,FALSE)*AA373,0)*(1+$E$9)</f>
        <v>0</v>
      </c>
      <c r="BD373" s="106">
        <f t="shared" si="473"/>
        <v>0</v>
      </c>
      <c r="BE373" s="107">
        <f t="shared" si="474"/>
        <v>0</v>
      </c>
      <c r="BF373" s="108">
        <f t="shared" si="475"/>
        <v>0</v>
      </c>
      <c r="BG373" s="25" t="e">
        <f t="shared" si="476"/>
        <v>#N/A</v>
      </c>
      <c r="BH373" s="25" t="e">
        <f t="shared" si="477"/>
        <v>#N/A</v>
      </c>
      <c r="BI373" s="25" t="e">
        <f t="shared" si="478"/>
        <v>#N/A</v>
      </c>
      <c r="BJ373" s="27" t="e">
        <f t="shared" si="479"/>
        <v>#N/A</v>
      </c>
      <c r="BK373" s="18" t="e">
        <f t="shared" si="480"/>
        <v>#N/A</v>
      </c>
      <c r="BL373" s="18" t="e">
        <f t="shared" si="481"/>
        <v>#N/A</v>
      </c>
      <c r="BM373" s="28" t="e">
        <f t="shared" si="527"/>
        <v>#N/A</v>
      </c>
      <c r="BN373" s="33">
        <f>HLOOKUP("maximum population",Miscelaneous!$C$1:$C$33,CH373+3,FALSE)</f>
        <v>240</v>
      </c>
      <c r="BO373" s="14">
        <f t="shared" si="493"/>
        <v>32</v>
      </c>
      <c r="BP373" s="14">
        <f t="shared" si="494"/>
        <v>0</v>
      </c>
      <c r="BQ373" s="14">
        <f t="shared" si="495"/>
        <v>208</v>
      </c>
      <c r="BR373" s="34" t="e">
        <f>HLOOKUP(J373,Villagers!$B$1:$V$33,L373+3,FALSE)-HLOOKUP(J373,Villagers!$B$1:$V$33,L373+2,FALSE)</f>
        <v>#N/A</v>
      </c>
      <c r="BS373" s="49">
        <f t="shared" si="496"/>
        <v>1</v>
      </c>
      <c r="BT373" s="50">
        <f t="shared" si="497"/>
        <v>0</v>
      </c>
      <c r="BU373" s="50">
        <f t="shared" si="498"/>
        <v>0</v>
      </c>
      <c r="BV373" s="50">
        <f t="shared" si="499"/>
        <v>0</v>
      </c>
      <c r="BW373" s="50">
        <f t="shared" si="547"/>
        <v>0</v>
      </c>
      <c r="BX373" s="50">
        <f t="shared" si="547"/>
        <v>0</v>
      </c>
      <c r="BY373" s="50">
        <f t="shared" si="547"/>
        <v>0</v>
      </c>
      <c r="BZ373" s="50">
        <f t="shared" si="530"/>
        <v>0</v>
      </c>
      <c r="CA373" s="50">
        <f t="shared" si="531"/>
        <v>0</v>
      </c>
      <c r="CB373" s="50">
        <f t="shared" si="532"/>
        <v>1</v>
      </c>
      <c r="CC373" s="50">
        <f t="shared" si="533"/>
        <v>0</v>
      </c>
      <c r="CD373" s="50">
        <f t="shared" si="534"/>
        <v>0</v>
      </c>
      <c r="CE373" s="50">
        <f t="shared" si="535"/>
        <v>1</v>
      </c>
      <c r="CF373" s="50">
        <f t="shared" si="536"/>
        <v>1</v>
      </c>
      <c r="CG373" s="50">
        <f t="shared" si="537"/>
        <v>1</v>
      </c>
      <c r="CH373" s="50">
        <f t="shared" si="538"/>
        <v>1</v>
      </c>
      <c r="CI373" s="50">
        <f t="shared" si="539"/>
        <v>1</v>
      </c>
      <c r="CJ373" s="50">
        <f t="shared" si="540"/>
        <v>1</v>
      </c>
      <c r="CK373" s="50">
        <f t="shared" si="540"/>
        <v>0</v>
      </c>
      <c r="CL373" s="50">
        <f t="shared" si="540"/>
        <v>0</v>
      </c>
      <c r="CM373" s="51">
        <f t="shared" si="482"/>
        <v>0</v>
      </c>
      <c r="CN373" s="33">
        <f>ROUND(IF(BS373=0,0,HLOOKUP(BS$14,Villagers!$B$1:$V$33,BS373+3,FALSE)),)</f>
        <v>5</v>
      </c>
      <c r="CO373" s="14">
        <f>ROUND(IF(BT373=0,0,HLOOKUP(BT$14,Villagers!$B$1:$V$33,BT373+3,FALSE)),)</f>
        <v>0</v>
      </c>
      <c r="CP373" s="14">
        <f>ROUND(IF(BU373=0,0,HLOOKUP(BU$14,Villagers!$B$1:$V$33,BU373+3,FALSE)),)</f>
        <v>0</v>
      </c>
      <c r="CQ373" s="14">
        <f>ROUND(IF(BV373=0,0,HLOOKUP(BV$14,Villagers!$B$1:$V$33,BV373+3,FALSE)),)</f>
        <v>0</v>
      </c>
      <c r="CR373" s="14">
        <f>ROUND(IF(BW373=0,0,HLOOKUP(BW$14,Villagers!$B$1:$V$33,BW373+3,FALSE)),)</f>
        <v>0</v>
      </c>
      <c r="CS373" s="14">
        <f>ROUND(IF(BX373=0,0,HLOOKUP(BX$14,Villagers!$B$1:$V$33,BX373+3,FALSE)),)</f>
        <v>0</v>
      </c>
      <c r="CT373" s="14">
        <f>ROUND(IF(BY373=0,0,HLOOKUP(BY$14,Villagers!$B$1:$V$33,BY373+3,FALSE)),)</f>
        <v>0</v>
      </c>
      <c r="CU373" s="14">
        <f>ROUND(IF(BZ373=0,0,HLOOKUP(BZ$14,Villagers!$B$1:$V$33,BZ373+3,FALSE)),)</f>
        <v>0</v>
      </c>
      <c r="CV373" s="14">
        <f>ROUND(IF(CA373=0,0,HLOOKUP(CA$14,Villagers!$B$1:$V$33,CA373+3,FALSE)),)</f>
        <v>0</v>
      </c>
      <c r="CW373" s="14">
        <f>ROUND(IF(CB373=0,0,HLOOKUP(CB$14,Villagers!$B$1:$V$33,CB373+3,FALSE)),)</f>
        <v>0</v>
      </c>
      <c r="CX373" s="14">
        <f>ROUND(IF(CC373=0,0,HLOOKUP(CC$14,Villagers!$B$1:$V$33,CC373+3,FALSE)),)</f>
        <v>0</v>
      </c>
      <c r="CY373" s="14">
        <f>ROUND(IF(CD373=0,0,HLOOKUP(CD$14,Villagers!$B$1:$V$33,CD373+3,FALSE)),)</f>
        <v>0</v>
      </c>
      <c r="CZ373" s="14">
        <f>ROUND(IF(CE373=0,0,HLOOKUP(CE$14,Villagers!$B$1:$V$33,CE373+3,FALSE)),)</f>
        <v>5</v>
      </c>
      <c r="DA373" s="14">
        <f>ROUND(IF(CF373=0,0,HLOOKUP(CF$14,Villagers!$B$1:$V$33,CF373+3,FALSE)),)</f>
        <v>10</v>
      </c>
      <c r="DB373" s="14">
        <f>ROUND(IF(CG373=0,0,HLOOKUP(CG$14,Villagers!$B$1:$V$33,CG373+3,FALSE)),)</f>
        <v>10</v>
      </c>
      <c r="DC373" s="14">
        <f>ROUND(IF(CH373=0,0,HLOOKUP(CH$14,Villagers!$B$1:$V$33,CH373+3,FALSE)),)</f>
        <v>0</v>
      </c>
      <c r="DD373" s="14">
        <f>ROUND(IF(CI373=0,0,HLOOKUP(CI$14,Villagers!$B$1:$V$33,CI373+3,FALSE)),)</f>
        <v>0</v>
      </c>
      <c r="DE373" s="14">
        <f>ROUND(IF(CJ373=0,0,HLOOKUP(CJ$14,Villagers!$B$1:$V$33,CJ373+3,FALSE)),)</f>
        <v>2</v>
      </c>
      <c r="DF373" s="370">
        <f>ROUND(IF(CK373=0,0,HLOOKUP(CK$14,Villagers!$B$1:$V$33,CK373+3,FALSE)),)</f>
        <v>0</v>
      </c>
      <c r="DG373" s="370">
        <f>ROUND(IF(CL373=0,0,HLOOKUP(CL$14,Villagers!$B$1:$V$33,CL373+3,FALSE)),)</f>
        <v>0</v>
      </c>
      <c r="DH373" s="34">
        <f>ROUND(IF(CM373=0,0,HLOOKUP(CM$14,Villagers!$B$1:$V$33,CM373+3,FALSE)),)</f>
        <v>0</v>
      </c>
      <c r="DI373" s="109">
        <f t="shared" si="516"/>
        <v>0</v>
      </c>
      <c r="DJ373" s="50">
        <f t="shared" si="517"/>
        <v>0</v>
      </c>
      <c r="DK373" s="50">
        <f t="shared" si="518"/>
        <v>0</v>
      </c>
      <c r="DL373" s="50">
        <f t="shared" si="519"/>
        <v>0</v>
      </c>
      <c r="DM373" s="50">
        <f t="shared" si="520"/>
        <v>0</v>
      </c>
      <c r="DN373" s="50">
        <f t="shared" si="521"/>
        <v>0</v>
      </c>
      <c r="DO373" s="50">
        <f t="shared" si="522"/>
        <v>0</v>
      </c>
      <c r="DP373" s="50">
        <f t="shared" si="523"/>
        <v>0</v>
      </c>
      <c r="DQ373" s="50">
        <f t="shared" si="501"/>
        <v>0</v>
      </c>
      <c r="DR373" s="50">
        <f t="shared" si="502"/>
        <v>0</v>
      </c>
      <c r="DS373" s="96">
        <f>Miscelaneous!$D$4*Miscelaneous!$D$2^($CI373-1)</f>
        <v>1000</v>
      </c>
      <c r="DT373" s="333">
        <f t="shared" si="483"/>
        <v>1</v>
      </c>
      <c r="DU373" s="81">
        <v>1</v>
      </c>
      <c r="DV373" s="79">
        <f t="shared" si="503"/>
        <v>0</v>
      </c>
      <c r="DW373" s="79">
        <f t="shared" si="504"/>
        <v>0</v>
      </c>
      <c r="DX373" s="79">
        <f t="shared" si="505"/>
        <v>0</v>
      </c>
      <c r="DY373" s="79">
        <v>1</v>
      </c>
      <c r="DZ373" s="79">
        <f t="shared" si="506"/>
        <v>0</v>
      </c>
      <c r="EA373" s="79">
        <f t="shared" si="507"/>
        <v>0</v>
      </c>
      <c r="EB373" s="79">
        <f t="shared" si="508"/>
        <v>0</v>
      </c>
      <c r="EC373" s="79">
        <f t="shared" si="509"/>
        <v>0</v>
      </c>
      <c r="ED373" s="79">
        <v>1</v>
      </c>
      <c r="EE373" s="79">
        <v>1</v>
      </c>
      <c r="EF373" s="79">
        <f t="shared" si="510"/>
        <v>0</v>
      </c>
      <c r="EG373" s="79">
        <v>1</v>
      </c>
      <c r="EH373" s="79">
        <v>1</v>
      </c>
      <c r="EI373" s="79">
        <v>1</v>
      </c>
      <c r="EJ373" s="79">
        <v>1</v>
      </c>
      <c r="EK373" s="79">
        <v>1</v>
      </c>
      <c r="EL373" s="79">
        <v>1</v>
      </c>
      <c r="EM373" s="143">
        <f t="shared" si="511"/>
        <v>0</v>
      </c>
      <c r="EN373" s="143">
        <f t="shared" si="512"/>
        <v>0</v>
      </c>
      <c r="EO373" s="82">
        <f t="shared" si="513"/>
        <v>0</v>
      </c>
    </row>
    <row r="374" spans="1:145" x14ac:dyDescent="0.25">
      <c r="A374">
        <v>360</v>
      </c>
      <c r="B374" s="172" t="e">
        <f t="shared" si="484"/>
        <v>#N/A</v>
      </c>
      <c r="C374" s="121" t="e">
        <f t="shared" si="462"/>
        <v>#N/A</v>
      </c>
      <c r="D374" s="122" t="e">
        <f t="shared" si="463"/>
        <v>#N/A</v>
      </c>
      <c r="E374" s="122" t="e">
        <f t="shared" si="464"/>
        <v>#N/A</v>
      </c>
      <c r="F374" s="176" t="e">
        <f t="shared" si="465"/>
        <v>#N/A</v>
      </c>
      <c r="G374" s="121">
        <f t="shared" si="485"/>
        <v>208</v>
      </c>
      <c r="H374" s="176" t="e">
        <f t="shared" si="486"/>
        <v>#N/A</v>
      </c>
      <c r="I374" s="48">
        <v>1</v>
      </c>
      <c r="J374" s="39"/>
      <c r="K374" s="350">
        <v>1</v>
      </c>
      <c r="L374" s="34" t="e">
        <f t="shared" si="466"/>
        <v>#N/A</v>
      </c>
      <c r="M374" s="38" t="e">
        <f>(HLOOKUP(J374,'Construction Times'!$B$3:$W$34,L374+2,FALSE)*HLOOKUP("hq modifier",'Construction Times'!$W$3:$W$34,BS374+2,FALSE))*(1-$H$9)</f>
        <v>#N/A</v>
      </c>
      <c r="N374" s="443" t="e">
        <f t="shared" si="487"/>
        <v>#N/A</v>
      </c>
      <c r="O374" s="444"/>
      <c r="P374" s="447" t="e">
        <f t="shared" si="488"/>
        <v>#N/A</v>
      </c>
      <c r="Q374" s="448"/>
      <c r="R374" s="103">
        <f t="shared" si="548"/>
        <v>0</v>
      </c>
      <c r="S374" s="104">
        <f t="shared" si="548"/>
        <v>0</v>
      </c>
      <c r="T374" s="104">
        <f t="shared" si="549"/>
        <v>0</v>
      </c>
      <c r="U374" s="104">
        <f t="shared" si="549"/>
        <v>0</v>
      </c>
      <c r="V374" s="104">
        <f t="shared" si="549"/>
        <v>9.9999999999999995E-8</v>
      </c>
      <c r="W374" s="104">
        <f t="shared" si="549"/>
        <v>0</v>
      </c>
      <c r="X374" s="104">
        <f t="shared" si="545"/>
        <v>0</v>
      </c>
      <c r="Y374" s="104">
        <f t="shared" si="545"/>
        <v>9.9999999999999995E-8</v>
      </c>
      <c r="Z374" s="104">
        <f t="shared" si="545"/>
        <v>9.9999999999999995E-8</v>
      </c>
      <c r="AA374" s="105">
        <f t="shared" si="545"/>
        <v>9.9999999999999995E-8</v>
      </c>
      <c r="AB374" s="101" t="e">
        <f>$DT374*HLOOKUP($J374,'Construction Costs (timber)'!$B$1:$V$32,'Construction Planner'!$L374+2,FALSE)</f>
        <v>#N/A</v>
      </c>
      <c r="AC374" s="14" t="e">
        <f>$DT374*HLOOKUP($J374,'Construction Costs (clay)'!$B$1:$V$32,'Construction Planner'!$L374+2,FALSE)</f>
        <v>#N/A</v>
      </c>
      <c r="AD374" s="14" t="e">
        <f>$DT374*HLOOKUP($J374,'Construction Costs (iron)'!$B$1:$V$32,'Construction Planner'!$L374+2,FALSE)</f>
        <v>#N/A</v>
      </c>
      <c r="AE374" s="34" t="e">
        <f t="shared" si="524"/>
        <v>#N/A</v>
      </c>
      <c r="AF374" s="33" t="e">
        <f t="shared" si="467"/>
        <v>#N/A</v>
      </c>
      <c r="AG374" s="14" t="e">
        <f t="shared" si="468"/>
        <v>#N/A</v>
      </c>
      <c r="AH374" s="14" t="e">
        <f t="shared" si="469"/>
        <v>#N/A</v>
      </c>
      <c r="AI374" s="34" t="e">
        <f t="shared" si="525"/>
        <v>#N/A</v>
      </c>
      <c r="AJ374" s="49" t="e">
        <f t="shared" si="489"/>
        <v>#N/A</v>
      </c>
      <c r="AK374" s="49" t="e">
        <f t="shared" si="490"/>
        <v>#N/A</v>
      </c>
      <c r="AL374" s="49" t="e">
        <f t="shared" si="491"/>
        <v>#N/A</v>
      </c>
      <c r="AM374" s="25">
        <f t="shared" si="470"/>
        <v>30</v>
      </c>
      <c r="AN374" s="25">
        <f t="shared" si="471"/>
        <v>30</v>
      </c>
      <c r="AO374" s="25">
        <f t="shared" si="472"/>
        <v>30</v>
      </c>
      <c r="AP374" s="52" t="e">
        <f t="shared" si="546"/>
        <v>#N/A</v>
      </c>
      <c r="AQ374" s="53" t="e">
        <f t="shared" si="546"/>
        <v>#N/A</v>
      </c>
      <c r="AR374" s="54" t="e">
        <f t="shared" si="546"/>
        <v>#N/A</v>
      </c>
      <c r="AS374" s="316">
        <f t="shared" si="550"/>
        <v>0</v>
      </c>
      <c r="AT374" s="106">
        <f>_xlfn.IFNA($M374/VLOOKUP($BT374,'Unit information'!$A$2:$K$29,2,FALSE)*R374,0)*(1+$E$9)</f>
        <v>0</v>
      </c>
      <c r="AU374" s="107">
        <f>_xlfn.IFNA($M374/VLOOKUP($BT374,'Unit information'!$A$2:$K$29,3,FALSE)*S374,0)*(1+$E$9)</f>
        <v>0</v>
      </c>
      <c r="AV374" s="107">
        <f>_xlfn.IFNA($M374/VLOOKUP($BT374,'Unit information'!$A$2:$K$29,4,FALSE)*T374,0)*(1+$E$9)</f>
        <v>0</v>
      </c>
      <c r="AW374" s="107">
        <f>_xlfn.IFNA($M374/VLOOKUP($BT374,'Unit information'!$A$2:$K$29,5,FALSE)*U374,0)*(1+$E$9)</f>
        <v>0</v>
      </c>
      <c r="AX374" s="107">
        <f>_xlfn.IFNA($M374/VLOOKUP($BU374,'Unit information'!$A$2:$K$29,6,FALSE)*V374,0)*(1+$E$9)</f>
        <v>0</v>
      </c>
      <c r="AY374" s="107">
        <f>_xlfn.IFNA($M374/VLOOKUP($BU374,'Unit information'!$A$2:$K$29,7,FALSE)*W374,0)*(1+$E$9)</f>
        <v>0</v>
      </c>
      <c r="AZ374" s="107">
        <f>_xlfn.IFNA($M374/VLOOKUP($BU374,'Unit information'!$A$2:$K$29,8,FALSE)*X374,0)*(1+$E$9)</f>
        <v>0</v>
      </c>
      <c r="BA374" s="107">
        <f>_xlfn.IFNA($M374/VLOOKUP($BU374,'Unit information'!$A$2:$K$29,9,FALSE)*Y374,0)*(1+$E$9)</f>
        <v>0</v>
      </c>
      <c r="BB374" s="107">
        <f>_xlfn.IFNA($M374/VLOOKUP($BV374,'Unit information'!$A$2:$K$29,10,FALSE)*Z374,0)*(1+$E$9)</f>
        <v>0</v>
      </c>
      <c r="BC374" s="108">
        <f>_xlfn.IFNA($M374/VLOOKUP($BV374,'Unit information'!$A$2:$K$29,11,FALSE)*AA374,0)*(1+$E$9)</f>
        <v>0</v>
      </c>
      <c r="BD374" s="106">
        <f t="shared" si="473"/>
        <v>0</v>
      </c>
      <c r="BE374" s="107">
        <f t="shared" si="474"/>
        <v>0</v>
      </c>
      <c r="BF374" s="108">
        <f t="shared" si="475"/>
        <v>0</v>
      </c>
      <c r="BG374" s="25" t="e">
        <f t="shared" si="476"/>
        <v>#N/A</v>
      </c>
      <c r="BH374" s="25" t="e">
        <f t="shared" si="477"/>
        <v>#N/A</v>
      </c>
      <c r="BI374" s="25" t="e">
        <f t="shared" si="478"/>
        <v>#N/A</v>
      </c>
      <c r="BJ374" s="27" t="e">
        <f t="shared" si="479"/>
        <v>#N/A</v>
      </c>
      <c r="BK374" s="18" t="e">
        <f t="shared" si="480"/>
        <v>#N/A</v>
      </c>
      <c r="BL374" s="18" t="e">
        <f t="shared" si="481"/>
        <v>#N/A</v>
      </c>
      <c r="BM374" s="28" t="e">
        <f t="shared" si="527"/>
        <v>#N/A</v>
      </c>
      <c r="BN374" s="33">
        <f>HLOOKUP("maximum population",Miscelaneous!$C$1:$C$33,CH374+3,FALSE)</f>
        <v>240</v>
      </c>
      <c r="BO374" s="14">
        <f t="shared" si="493"/>
        <v>32</v>
      </c>
      <c r="BP374" s="14">
        <f t="shared" si="494"/>
        <v>0</v>
      </c>
      <c r="BQ374" s="14">
        <f t="shared" si="495"/>
        <v>208</v>
      </c>
      <c r="BR374" s="34" t="e">
        <f>HLOOKUP(J374,Villagers!$B$1:$V$33,L374+3,FALSE)-HLOOKUP(J374,Villagers!$B$1:$V$33,L374+2,FALSE)</f>
        <v>#N/A</v>
      </c>
      <c r="BS374" s="49">
        <f t="shared" si="496"/>
        <v>1</v>
      </c>
      <c r="BT374" s="50">
        <f t="shared" si="497"/>
        <v>0</v>
      </c>
      <c r="BU374" s="50">
        <f t="shared" si="498"/>
        <v>0</v>
      </c>
      <c r="BV374" s="50">
        <f t="shared" si="499"/>
        <v>0</v>
      </c>
      <c r="BW374" s="50">
        <f t="shared" si="547"/>
        <v>0</v>
      </c>
      <c r="BX374" s="50">
        <f t="shared" si="547"/>
        <v>0</v>
      </c>
      <c r="BY374" s="50">
        <f t="shared" si="547"/>
        <v>0</v>
      </c>
      <c r="BZ374" s="50">
        <f t="shared" si="530"/>
        <v>0</v>
      </c>
      <c r="CA374" s="50">
        <f t="shared" si="531"/>
        <v>0</v>
      </c>
      <c r="CB374" s="50">
        <f t="shared" si="532"/>
        <v>1</v>
      </c>
      <c r="CC374" s="50">
        <f t="shared" si="533"/>
        <v>0</v>
      </c>
      <c r="CD374" s="50">
        <f t="shared" si="534"/>
        <v>0</v>
      </c>
      <c r="CE374" s="50">
        <f t="shared" si="535"/>
        <v>1</v>
      </c>
      <c r="CF374" s="50">
        <f t="shared" si="536"/>
        <v>1</v>
      </c>
      <c r="CG374" s="50">
        <f t="shared" si="537"/>
        <v>1</v>
      </c>
      <c r="CH374" s="50">
        <f t="shared" si="538"/>
        <v>1</v>
      </c>
      <c r="CI374" s="50">
        <f t="shared" si="539"/>
        <v>1</v>
      </c>
      <c r="CJ374" s="50">
        <f t="shared" si="540"/>
        <v>1</v>
      </c>
      <c r="CK374" s="50">
        <f t="shared" si="540"/>
        <v>0</v>
      </c>
      <c r="CL374" s="50">
        <f t="shared" si="540"/>
        <v>0</v>
      </c>
      <c r="CM374" s="51">
        <f t="shared" si="482"/>
        <v>0</v>
      </c>
      <c r="CN374" s="33">
        <f>ROUND(IF(BS374=0,0,HLOOKUP(BS$14,Villagers!$B$1:$V$33,BS374+3,FALSE)),)</f>
        <v>5</v>
      </c>
      <c r="CO374" s="14">
        <f>ROUND(IF(BT374=0,0,HLOOKUP(BT$14,Villagers!$B$1:$V$33,BT374+3,FALSE)),)</f>
        <v>0</v>
      </c>
      <c r="CP374" s="14">
        <f>ROUND(IF(BU374=0,0,HLOOKUP(BU$14,Villagers!$B$1:$V$33,BU374+3,FALSE)),)</f>
        <v>0</v>
      </c>
      <c r="CQ374" s="14">
        <f>ROUND(IF(BV374=0,0,HLOOKUP(BV$14,Villagers!$B$1:$V$33,BV374+3,FALSE)),)</f>
        <v>0</v>
      </c>
      <c r="CR374" s="14">
        <f>ROUND(IF(BW374=0,0,HLOOKUP(BW$14,Villagers!$B$1:$V$33,BW374+3,FALSE)),)</f>
        <v>0</v>
      </c>
      <c r="CS374" s="14">
        <f>ROUND(IF(BX374=0,0,HLOOKUP(BX$14,Villagers!$B$1:$V$33,BX374+3,FALSE)),)</f>
        <v>0</v>
      </c>
      <c r="CT374" s="14">
        <f>ROUND(IF(BY374=0,0,HLOOKUP(BY$14,Villagers!$B$1:$V$33,BY374+3,FALSE)),)</f>
        <v>0</v>
      </c>
      <c r="CU374" s="14">
        <f>ROUND(IF(BZ374=0,0,HLOOKUP(BZ$14,Villagers!$B$1:$V$33,BZ374+3,FALSE)),)</f>
        <v>0</v>
      </c>
      <c r="CV374" s="14">
        <f>ROUND(IF(CA374=0,0,HLOOKUP(CA$14,Villagers!$B$1:$V$33,CA374+3,FALSE)),)</f>
        <v>0</v>
      </c>
      <c r="CW374" s="14">
        <f>ROUND(IF(CB374=0,0,HLOOKUP(CB$14,Villagers!$B$1:$V$33,CB374+3,FALSE)),)</f>
        <v>0</v>
      </c>
      <c r="CX374" s="14">
        <f>ROUND(IF(CC374=0,0,HLOOKUP(CC$14,Villagers!$B$1:$V$33,CC374+3,FALSE)),)</f>
        <v>0</v>
      </c>
      <c r="CY374" s="14">
        <f>ROUND(IF(CD374=0,0,HLOOKUP(CD$14,Villagers!$B$1:$V$33,CD374+3,FALSE)),)</f>
        <v>0</v>
      </c>
      <c r="CZ374" s="14">
        <f>ROUND(IF(CE374=0,0,HLOOKUP(CE$14,Villagers!$B$1:$V$33,CE374+3,FALSE)),)</f>
        <v>5</v>
      </c>
      <c r="DA374" s="14">
        <f>ROUND(IF(CF374=0,0,HLOOKUP(CF$14,Villagers!$B$1:$V$33,CF374+3,FALSE)),)</f>
        <v>10</v>
      </c>
      <c r="DB374" s="14">
        <f>ROUND(IF(CG374=0,0,HLOOKUP(CG$14,Villagers!$B$1:$V$33,CG374+3,FALSE)),)</f>
        <v>10</v>
      </c>
      <c r="DC374" s="14">
        <f>ROUND(IF(CH374=0,0,HLOOKUP(CH$14,Villagers!$B$1:$V$33,CH374+3,FALSE)),)</f>
        <v>0</v>
      </c>
      <c r="DD374" s="14">
        <f>ROUND(IF(CI374=0,0,HLOOKUP(CI$14,Villagers!$B$1:$V$33,CI374+3,FALSE)),)</f>
        <v>0</v>
      </c>
      <c r="DE374" s="14">
        <f>ROUND(IF(CJ374=0,0,HLOOKUP(CJ$14,Villagers!$B$1:$V$33,CJ374+3,FALSE)),)</f>
        <v>2</v>
      </c>
      <c r="DF374" s="370">
        <f>ROUND(IF(CK374=0,0,HLOOKUP(CK$14,Villagers!$B$1:$V$33,CK374+3,FALSE)),)</f>
        <v>0</v>
      </c>
      <c r="DG374" s="370">
        <f>ROUND(IF(CL374=0,0,HLOOKUP(CL$14,Villagers!$B$1:$V$33,CL374+3,FALSE)),)</f>
        <v>0</v>
      </c>
      <c r="DH374" s="34">
        <f>ROUND(IF(CM374=0,0,HLOOKUP(CM$14,Villagers!$B$1:$V$33,CM374+3,FALSE)),)</f>
        <v>0</v>
      </c>
      <c r="DI374" s="109">
        <f t="shared" si="516"/>
        <v>0</v>
      </c>
      <c r="DJ374" s="50">
        <f t="shared" si="517"/>
        <v>0</v>
      </c>
      <c r="DK374" s="50">
        <f t="shared" si="518"/>
        <v>0</v>
      </c>
      <c r="DL374" s="50">
        <f t="shared" si="519"/>
        <v>0</v>
      </c>
      <c r="DM374" s="50">
        <f t="shared" si="520"/>
        <v>0</v>
      </c>
      <c r="DN374" s="50">
        <f t="shared" si="521"/>
        <v>0</v>
      </c>
      <c r="DO374" s="50">
        <f t="shared" si="522"/>
        <v>0</v>
      </c>
      <c r="DP374" s="50">
        <f t="shared" si="523"/>
        <v>0</v>
      </c>
      <c r="DQ374" s="50">
        <f t="shared" si="501"/>
        <v>0</v>
      </c>
      <c r="DR374" s="50">
        <f t="shared" si="502"/>
        <v>0</v>
      </c>
      <c r="DS374" s="96">
        <f>Miscelaneous!$D$4*Miscelaneous!$D$2^($CI374-1)</f>
        <v>1000</v>
      </c>
      <c r="DT374" s="333">
        <f t="shared" si="483"/>
        <v>1</v>
      </c>
      <c r="DU374" s="81">
        <v>1</v>
      </c>
      <c r="DV374" s="79">
        <f t="shared" si="503"/>
        <v>0</v>
      </c>
      <c r="DW374" s="79">
        <f t="shared" si="504"/>
        <v>0</v>
      </c>
      <c r="DX374" s="79">
        <f t="shared" si="505"/>
        <v>0</v>
      </c>
      <c r="DY374" s="79">
        <v>1</v>
      </c>
      <c r="DZ374" s="79">
        <f t="shared" si="506"/>
        <v>0</v>
      </c>
      <c r="EA374" s="79">
        <f t="shared" si="507"/>
        <v>0</v>
      </c>
      <c r="EB374" s="79">
        <f t="shared" si="508"/>
        <v>0</v>
      </c>
      <c r="EC374" s="79">
        <f t="shared" si="509"/>
        <v>0</v>
      </c>
      <c r="ED374" s="79">
        <v>1</v>
      </c>
      <c r="EE374" s="79">
        <v>1</v>
      </c>
      <c r="EF374" s="79">
        <f t="shared" si="510"/>
        <v>0</v>
      </c>
      <c r="EG374" s="79">
        <v>1</v>
      </c>
      <c r="EH374" s="79">
        <v>1</v>
      </c>
      <c r="EI374" s="79">
        <v>1</v>
      </c>
      <c r="EJ374" s="79">
        <v>1</v>
      </c>
      <c r="EK374" s="79">
        <v>1</v>
      </c>
      <c r="EL374" s="79">
        <v>1</v>
      </c>
      <c r="EM374" s="143">
        <f t="shared" si="511"/>
        <v>0</v>
      </c>
      <c r="EN374" s="143">
        <f t="shared" si="512"/>
        <v>0</v>
      </c>
      <c r="EO374" s="82">
        <f t="shared" si="513"/>
        <v>0</v>
      </c>
    </row>
    <row r="375" spans="1:145" x14ac:dyDescent="0.25">
      <c r="A375">
        <v>361</v>
      </c>
      <c r="B375" s="172" t="e">
        <f t="shared" si="484"/>
        <v>#N/A</v>
      </c>
      <c r="C375" s="121" t="e">
        <f t="shared" si="462"/>
        <v>#N/A</v>
      </c>
      <c r="D375" s="122" t="e">
        <f t="shared" si="463"/>
        <v>#N/A</v>
      </c>
      <c r="E375" s="122" t="e">
        <f t="shared" si="464"/>
        <v>#N/A</v>
      </c>
      <c r="F375" s="176" t="e">
        <f t="shared" si="465"/>
        <v>#N/A</v>
      </c>
      <c r="G375" s="121">
        <f t="shared" si="485"/>
        <v>208</v>
      </c>
      <c r="H375" s="176" t="e">
        <f t="shared" si="486"/>
        <v>#N/A</v>
      </c>
      <c r="I375" s="48">
        <v>1</v>
      </c>
      <c r="J375" s="39"/>
      <c r="K375" s="350">
        <v>1</v>
      </c>
      <c r="L375" s="34" t="e">
        <f t="shared" si="466"/>
        <v>#N/A</v>
      </c>
      <c r="M375" s="38" t="e">
        <f>(HLOOKUP(J375,'Construction Times'!$B$3:$W$34,L375+2,FALSE)*HLOOKUP("hq modifier",'Construction Times'!$W$3:$W$34,BS375+2,FALSE))*(1-$H$9)</f>
        <v>#N/A</v>
      </c>
      <c r="N375" s="443" t="e">
        <f t="shared" si="487"/>
        <v>#N/A</v>
      </c>
      <c r="O375" s="444"/>
      <c r="P375" s="447" t="e">
        <f t="shared" si="488"/>
        <v>#N/A</v>
      </c>
      <c r="Q375" s="448"/>
      <c r="R375" s="103">
        <f t="shared" si="548"/>
        <v>0</v>
      </c>
      <c r="S375" s="104">
        <f t="shared" si="548"/>
        <v>0</v>
      </c>
      <c r="T375" s="104">
        <f t="shared" si="549"/>
        <v>0</v>
      </c>
      <c r="U375" s="104">
        <f t="shared" si="549"/>
        <v>0</v>
      </c>
      <c r="V375" s="104">
        <f t="shared" si="549"/>
        <v>9.9999999999999995E-8</v>
      </c>
      <c r="W375" s="104">
        <f t="shared" si="549"/>
        <v>0</v>
      </c>
      <c r="X375" s="104">
        <f t="shared" si="545"/>
        <v>0</v>
      </c>
      <c r="Y375" s="104">
        <f t="shared" si="545"/>
        <v>9.9999999999999995E-8</v>
      </c>
      <c r="Z375" s="104">
        <f t="shared" si="545"/>
        <v>9.9999999999999995E-8</v>
      </c>
      <c r="AA375" s="105">
        <f t="shared" si="545"/>
        <v>9.9999999999999995E-8</v>
      </c>
      <c r="AB375" s="101" t="e">
        <f>$DT375*HLOOKUP($J375,'Construction Costs (timber)'!$B$1:$V$32,'Construction Planner'!$L375+2,FALSE)</f>
        <v>#N/A</v>
      </c>
      <c r="AC375" s="14" t="e">
        <f>$DT375*HLOOKUP($J375,'Construction Costs (clay)'!$B$1:$V$32,'Construction Planner'!$L375+2,FALSE)</f>
        <v>#N/A</v>
      </c>
      <c r="AD375" s="14" t="e">
        <f>$DT375*HLOOKUP($J375,'Construction Costs (iron)'!$B$1:$V$32,'Construction Planner'!$L375+2,FALSE)</f>
        <v>#N/A</v>
      </c>
      <c r="AE375" s="34" t="e">
        <f t="shared" si="524"/>
        <v>#N/A</v>
      </c>
      <c r="AF375" s="33" t="e">
        <f t="shared" si="467"/>
        <v>#N/A</v>
      </c>
      <c r="AG375" s="14" t="e">
        <f t="shared" si="468"/>
        <v>#N/A</v>
      </c>
      <c r="AH375" s="14" t="e">
        <f t="shared" si="469"/>
        <v>#N/A</v>
      </c>
      <c r="AI375" s="34" t="e">
        <f t="shared" si="525"/>
        <v>#N/A</v>
      </c>
      <c r="AJ375" s="49" t="e">
        <f t="shared" si="489"/>
        <v>#N/A</v>
      </c>
      <c r="AK375" s="49" t="e">
        <f t="shared" si="490"/>
        <v>#N/A</v>
      </c>
      <c r="AL375" s="49" t="e">
        <f t="shared" si="491"/>
        <v>#N/A</v>
      </c>
      <c r="AM375" s="25">
        <f t="shared" si="470"/>
        <v>30</v>
      </c>
      <c r="AN375" s="25">
        <f t="shared" si="471"/>
        <v>30</v>
      </c>
      <c r="AO375" s="25">
        <f t="shared" si="472"/>
        <v>30</v>
      </c>
      <c r="AP375" s="52" t="e">
        <f t="shared" si="546"/>
        <v>#N/A</v>
      </c>
      <c r="AQ375" s="53" t="e">
        <f t="shared" si="546"/>
        <v>#N/A</v>
      </c>
      <c r="AR375" s="54" t="e">
        <f t="shared" si="546"/>
        <v>#N/A</v>
      </c>
      <c r="AS375" s="316">
        <f t="shared" si="550"/>
        <v>0</v>
      </c>
      <c r="AT375" s="106">
        <f>_xlfn.IFNA($M375/VLOOKUP($BT375,'Unit information'!$A$2:$K$29,2,FALSE)*R375,0)*(1+$E$9)</f>
        <v>0</v>
      </c>
      <c r="AU375" s="107">
        <f>_xlfn.IFNA($M375/VLOOKUP($BT375,'Unit information'!$A$2:$K$29,3,FALSE)*S375,0)*(1+$E$9)</f>
        <v>0</v>
      </c>
      <c r="AV375" s="107">
        <f>_xlfn.IFNA($M375/VLOOKUP($BT375,'Unit information'!$A$2:$K$29,4,FALSE)*T375,0)*(1+$E$9)</f>
        <v>0</v>
      </c>
      <c r="AW375" s="107">
        <f>_xlfn.IFNA($M375/VLOOKUP($BT375,'Unit information'!$A$2:$K$29,5,FALSE)*U375,0)*(1+$E$9)</f>
        <v>0</v>
      </c>
      <c r="AX375" s="107">
        <f>_xlfn.IFNA($M375/VLOOKUP($BU375,'Unit information'!$A$2:$K$29,6,FALSE)*V375,0)*(1+$E$9)</f>
        <v>0</v>
      </c>
      <c r="AY375" s="107">
        <f>_xlfn.IFNA($M375/VLOOKUP($BU375,'Unit information'!$A$2:$K$29,7,FALSE)*W375,0)*(1+$E$9)</f>
        <v>0</v>
      </c>
      <c r="AZ375" s="107">
        <f>_xlfn.IFNA($M375/VLOOKUP($BU375,'Unit information'!$A$2:$K$29,8,FALSE)*X375,0)*(1+$E$9)</f>
        <v>0</v>
      </c>
      <c r="BA375" s="107">
        <f>_xlfn.IFNA($M375/VLOOKUP($BU375,'Unit information'!$A$2:$K$29,9,FALSE)*Y375,0)*(1+$E$9)</f>
        <v>0</v>
      </c>
      <c r="BB375" s="107">
        <f>_xlfn.IFNA($M375/VLOOKUP($BV375,'Unit information'!$A$2:$K$29,10,FALSE)*Z375,0)*(1+$E$9)</f>
        <v>0</v>
      </c>
      <c r="BC375" s="108">
        <f>_xlfn.IFNA($M375/VLOOKUP($BV375,'Unit information'!$A$2:$K$29,11,FALSE)*AA375,0)*(1+$E$9)</f>
        <v>0</v>
      </c>
      <c r="BD375" s="106">
        <f t="shared" si="473"/>
        <v>0</v>
      </c>
      <c r="BE375" s="107">
        <f t="shared" si="474"/>
        <v>0</v>
      </c>
      <c r="BF375" s="108">
        <f t="shared" si="475"/>
        <v>0</v>
      </c>
      <c r="BG375" s="25" t="e">
        <f t="shared" si="476"/>
        <v>#N/A</v>
      </c>
      <c r="BH375" s="25" t="e">
        <f t="shared" si="477"/>
        <v>#N/A</v>
      </c>
      <c r="BI375" s="25" t="e">
        <f t="shared" si="478"/>
        <v>#N/A</v>
      </c>
      <c r="BJ375" s="27" t="e">
        <f t="shared" si="479"/>
        <v>#N/A</v>
      </c>
      <c r="BK375" s="18" t="e">
        <f t="shared" si="480"/>
        <v>#N/A</v>
      </c>
      <c r="BL375" s="18" t="e">
        <f t="shared" si="481"/>
        <v>#N/A</v>
      </c>
      <c r="BM375" s="28" t="e">
        <f t="shared" si="527"/>
        <v>#N/A</v>
      </c>
      <c r="BN375" s="33">
        <f>HLOOKUP("maximum population",Miscelaneous!$C$1:$C$33,CH375+3,FALSE)</f>
        <v>240</v>
      </c>
      <c r="BO375" s="14">
        <f t="shared" si="493"/>
        <v>32</v>
      </c>
      <c r="BP375" s="14">
        <f t="shared" si="494"/>
        <v>0</v>
      </c>
      <c r="BQ375" s="14">
        <f t="shared" si="495"/>
        <v>208</v>
      </c>
      <c r="BR375" s="34" t="e">
        <f>HLOOKUP(J375,Villagers!$B$1:$V$33,L375+3,FALSE)-HLOOKUP(J375,Villagers!$B$1:$V$33,L375+2,FALSE)</f>
        <v>#N/A</v>
      </c>
      <c r="BS375" s="49">
        <f t="shared" si="496"/>
        <v>1</v>
      </c>
      <c r="BT375" s="50">
        <f t="shared" si="497"/>
        <v>0</v>
      </c>
      <c r="BU375" s="50">
        <f t="shared" si="498"/>
        <v>0</v>
      </c>
      <c r="BV375" s="50">
        <f t="shared" si="499"/>
        <v>0</v>
      </c>
      <c r="BW375" s="50">
        <f>IF($J374=BW$14,$L374,BW374)</f>
        <v>0</v>
      </c>
      <c r="BX375" s="50">
        <f t="shared" ref="BX375:BY383" si="551">IF($J374=BX$14,$L374,BX374)</f>
        <v>0</v>
      </c>
      <c r="BY375" s="50">
        <f t="shared" si="551"/>
        <v>0</v>
      </c>
      <c r="BZ375" s="50">
        <f t="shared" si="530"/>
        <v>0</v>
      </c>
      <c r="CA375" s="50">
        <f t="shared" si="531"/>
        <v>0</v>
      </c>
      <c r="CB375" s="50">
        <f t="shared" si="532"/>
        <v>1</v>
      </c>
      <c r="CC375" s="50">
        <f t="shared" si="533"/>
        <v>0</v>
      </c>
      <c r="CD375" s="50">
        <f t="shared" si="534"/>
        <v>0</v>
      </c>
      <c r="CE375" s="50">
        <f t="shared" si="535"/>
        <v>1</v>
      </c>
      <c r="CF375" s="50">
        <f t="shared" si="536"/>
        <v>1</v>
      </c>
      <c r="CG375" s="50">
        <f t="shared" si="537"/>
        <v>1</v>
      </c>
      <c r="CH375" s="50">
        <f t="shared" si="538"/>
        <v>1</v>
      </c>
      <c r="CI375" s="50">
        <f t="shared" si="539"/>
        <v>1</v>
      </c>
      <c r="CJ375" s="50">
        <f t="shared" si="540"/>
        <v>1</v>
      </c>
      <c r="CK375" s="50">
        <f t="shared" si="540"/>
        <v>0</v>
      </c>
      <c r="CL375" s="50">
        <f t="shared" si="540"/>
        <v>0</v>
      </c>
      <c r="CM375" s="51">
        <f t="shared" si="482"/>
        <v>0</v>
      </c>
      <c r="CN375" s="33">
        <f>ROUND(IF(BS375=0,0,HLOOKUP(BS$14,Villagers!$B$1:$V$33,BS375+3,FALSE)),)</f>
        <v>5</v>
      </c>
      <c r="CO375" s="14">
        <f>ROUND(IF(BT375=0,0,HLOOKUP(BT$14,Villagers!$B$1:$V$33,BT375+3,FALSE)),)</f>
        <v>0</v>
      </c>
      <c r="CP375" s="14">
        <f>ROUND(IF(BU375=0,0,HLOOKUP(BU$14,Villagers!$B$1:$V$33,BU375+3,FALSE)),)</f>
        <v>0</v>
      </c>
      <c r="CQ375" s="14">
        <f>ROUND(IF(BV375=0,0,HLOOKUP(BV$14,Villagers!$B$1:$V$33,BV375+3,FALSE)),)</f>
        <v>0</v>
      </c>
      <c r="CR375" s="14">
        <f>ROUND(IF(BW375=0,0,HLOOKUP(BW$14,Villagers!$B$1:$V$33,BW375+3,FALSE)),)</f>
        <v>0</v>
      </c>
      <c r="CS375" s="14">
        <f>ROUND(IF(BX375=0,0,HLOOKUP(BX$14,Villagers!$B$1:$V$33,BX375+3,FALSE)),)</f>
        <v>0</v>
      </c>
      <c r="CT375" s="14">
        <f>ROUND(IF(BY375=0,0,HLOOKUP(BY$14,Villagers!$B$1:$V$33,BY375+3,FALSE)),)</f>
        <v>0</v>
      </c>
      <c r="CU375" s="14">
        <f>ROUND(IF(BZ375=0,0,HLOOKUP(BZ$14,Villagers!$B$1:$V$33,BZ375+3,FALSE)),)</f>
        <v>0</v>
      </c>
      <c r="CV375" s="14">
        <f>ROUND(IF(CA375=0,0,HLOOKUP(CA$14,Villagers!$B$1:$V$33,CA375+3,FALSE)),)</f>
        <v>0</v>
      </c>
      <c r="CW375" s="14">
        <f>ROUND(IF(CB375=0,0,HLOOKUP(CB$14,Villagers!$B$1:$V$33,CB375+3,FALSE)),)</f>
        <v>0</v>
      </c>
      <c r="CX375" s="14">
        <f>ROUND(IF(CC375=0,0,HLOOKUP(CC$14,Villagers!$B$1:$V$33,CC375+3,FALSE)),)</f>
        <v>0</v>
      </c>
      <c r="CY375" s="14">
        <f>ROUND(IF(CD375=0,0,HLOOKUP(CD$14,Villagers!$B$1:$V$33,CD375+3,FALSE)),)</f>
        <v>0</v>
      </c>
      <c r="CZ375" s="14">
        <f>ROUND(IF(CE375=0,0,HLOOKUP(CE$14,Villagers!$B$1:$V$33,CE375+3,FALSE)),)</f>
        <v>5</v>
      </c>
      <c r="DA375" s="14">
        <f>ROUND(IF(CF375=0,0,HLOOKUP(CF$14,Villagers!$B$1:$V$33,CF375+3,FALSE)),)</f>
        <v>10</v>
      </c>
      <c r="DB375" s="14">
        <f>ROUND(IF(CG375=0,0,HLOOKUP(CG$14,Villagers!$B$1:$V$33,CG375+3,FALSE)),)</f>
        <v>10</v>
      </c>
      <c r="DC375" s="14">
        <f>ROUND(IF(CH375=0,0,HLOOKUP(CH$14,Villagers!$B$1:$V$33,CH375+3,FALSE)),)</f>
        <v>0</v>
      </c>
      <c r="DD375" s="14">
        <f>ROUND(IF(CI375=0,0,HLOOKUP(CI$14,Villagers!$B$1:$V$33,CI375+3,FALSE)),)</f>
        <v>0</v>
      </c>
      <c r="DE375" s="14">
        <f>ROUND(IF(CJ375=0,0,HLOOKUP(CJ$14,Villagers!$B$1:$V$33,CJ375+3,FALSE)),)</f>
        <v>2</v>
      </c>
      <c r="DF375" s="370">
        <f>ROUND(IF(CK375=0,0,HLOOKUP(CK$14,Villagers!$B$1:$V$33,CK375+3,FALSE)),)</f>
        <v>0</v>
      </c>
      <c r="DG375" s="370">
        <f>ROUND(IF(CL375=0,0,HLOOKUP(CL$14,Villagers!$B$1:$V$33,CL375+3,FALSE)),)</f>
        <v>0</v>
      </c>
      <c r="DH375" s="34">
        <f>ROUND(IF(CM375=0,0,HLOOKUP(CM$14,Villagers!$B$1:$V$33,CM375+3,FALSE)),)</f>
        <v>0</v>
      </c>
      <c r="DI375" s="109">
        <f t="shared" si="516"/>
        <v>0</v>
      </c>
      <c r="DJ375" s="50">
        <f t="shared" si="517"/>
        <v>0</v>
      </c>
      <c r="DK375" s="50">
        <f t="shared" si="518"/>
        <v>0</v>
      </c>
      <c r="DL375" s="50">
        <f t="shared" si="519"/>
        <v>0</v>
      </c>
      <c r="DM375" s="50">
        <f t="shared" si="520"/>
        <v>0</v>
      </c>
      <c r="DN375" s="50">
        <f t="shared" si="521"/>
        <v>0</v>
      </c>
      <c r="DO375" s="50">
        <f t="shared" si="522"/>
        <v>0</v>
      </c>
      <c r="DP375" s="50">
        <f t="shared" si="523"/>
        <v>0</v>
      </c>
      <c r="DQ375" s="50">
        <f t="shared" si="501"/>
        <v>0</v>
      </c>
      <c r="DR375" s="50">
        <f t="shared" si="502"/>
        <v>0</v>
      </c>
      <c r="DS375" s="96">
        <f>Miscelaneous!$D$4*Miscelaneous!$D$2^($CI375-1)</f>
        <v>1000</v>
      </c>
      <c r="DT375" s="333">
        <f t="shared" si="483"/>
        <v>1</v>
      </c>
      <c r="DU375" s="81">
        <v>1</v>
      </c>
      <c r="DV375" s="79">
        <f t="shared" si="503"/>
        <v>0</v>
      </c>
      <c r="DW375" s="79">
        <f t="shared" si="504"/>
        <v>0</v>
      </c>
      <c r="DX375" s="79">
        <f t="shared" si="505"/>
        <v>0</v>
      </c>
      <c r="DY375" s="79">
        <v>1</v>
      </c>
      <c r="DZ375" s="79">
        <f t="shared" si="506"/>
        <v>0</v>
      </c>
      <c r="EA375" s="79">
        <f t="shared" si="507"/>
        <v>0</v>
      </c>
      <c r="EB375" s="79">
        <f t="shared" si="508"/>
        <v>0</v>
      </c>
      <c r="EC375" s="79">
        <f t="shared" si="509"/>
        <v>0</v>
      </c>
      <c r="ED375" s="79">
        <v>1</v>
      </c>
      <c r="EE375" s="79">
        <v>1</v>
      </c>
      <c r="EF375" s="79">
        <f t="shared" si="510"/>
        <v>0</v>
      </c>
      <c r="EG375" s="79">
        <v>1</v>
      </c>
      <c r="EH375" s="79">
        <v>1</v>
      </c>
      <c r="EI375" s="79">
        <v>1</v>
      </c>
      <c r="EJ375" s="79">
        <v>1</v>
      </c>
      <c r="EK375" s="79">
        <v>1</v>
      </c>
      <c r="EL375" s="79">
        <v>1</v>
      </c>
      <c r="EM375" s="143">
        <f t="shared" si="511"/>
        <v>0</v>
      </c>
      <c r="EN375" s="143">
        <f t="shared" si="512"/>
        <v>0</v>
      </c>
      <c r="EO375" s="82">
        <f t="shared" si="513"/>
        <v>0</v>
      </c>
    </row>
    <row r="376" spans="1:145" x14ac:dyDescent="0.25">
      <c r="A376">
        <v>362</v>
      </c>
      <c r="B376" s="172" t="e">
        <f t="shared" si="484"/>
        <v>#N/A</v>
      </c>
      <c r="C376" s="121" t="e">
        <f t="shared" si="462"/>
        <v>#N/A</v>
      </c>
      <c r="D376" s="122" t="e">
        <f t="shared" si="463"/>
        <v>#N/A</v>
      </c>
      <c r="E376" s="122" t="e">
        <f t="shared" si="464"/>
        <v>#N/A</v>
      </c>
      <c r="F376" s="176" t="e">
        <f t="shared" si="465"/>
        <v>#N/A</v>
      </c>
      <c r="G376" s="121">
        <f t="shared" si="485"/>
        <v>208</v>
      </c>
      <c r="H376" s="176" t="e">
        <f t="shared" si="486"/>
        <v>#N/A</v>
      </c>
      <c r="I376" s="48">
        <v>1</v>
      </c>
      <c r="J376" s="39"/>
      <c r="K376" s="350">
        <v>1</v>
      </c>
      <c r="L376" s="34" t="e">
        <f t="shared" si="466"/>
        <v>#N/A</v>
      </c>
      <c r="M376" s="38" t="e">
        <f>(HLOOKUP(J376,'Construction Times'!$B$3:$W$34,L376+2,FALSE)*HLOOKUP("hq modifier",'Construction Times'!$W$3:$W$34,BS376+2,FALSE))*(1-$H$9)</f>
        <v>#N/A</v>
      </c>
      <c r="N376" s="443" t="e">
        <f t="shared" si="487"/>
        <v>#N/A</v>
      </c>
      <c r="O376" s="444"/>
      <c r="P376" s="447" t="e">
        <f t="shared" si="488"/>
        <v>#N/A</v>
      </c>
      <c r="Q376" s="448"/>
      <c r="R376" s="103">
        <f t="shared" si="548"/>
        <v>0</v>
      </c>
      <c r="S376" s="104">
        <f t="shared" si="548"/>
        <v>0</v>
      </c>
      <c r="T376" s="104">
        <f t="shared" si="549"/>
        <v>0</v>
      </c>
      <c r="U376" s="104">
        <f t="shared" si="549"/>
        <v>0</v>
      </c>
      <c r="V376" s="104">
        <f t="shared" si="549"/>
        <v>9.9999999999999995E-8</v>
      </c>
      <c r="W376" s="104">
        <f t="shared" si="549"/>
        <v>0</v>
      </c>
      <c r="X376" s="104">
        <f t="shared" si="545"/>
        <v>0</v>
      </c>
      <c r="Y376" s="104">
        <f t="shared" si="545"/>
        <v>9.9999999999999995E-8</v>
      </c>
      <c r="Z376" s="104">
        <f t="shared" si="545"/>
        <v>9.9999999999999995E-8</v>
      </c>
      <c r="AA376" s="105">
        <f t="shared" si="545"/>
        <v>9.9999999999999995E-8</v>
      </c>
      <c r="AB376" s="101" t="e">
        <f>$DT376*HLOOKUP($J376,'Construction Costs (timber)'!$B$1:$V$32,'Construction Planner'!$L376+2,FALSE)</f>
        <v>#N/A</v>
      </c>
      <c r="AC376" s="14" t="e">
        <f>$DT376*HLOOKUP($J376,'Construction Costs (clay)'!$B$1:$V$32,'Construction Planner'!$L376+2,FALSE)</f>
        <v>#N/A</v>
      </c>
      <c r="AD376" s="14" t="e">
        <f>$DT376*HLOOKUP($J376,'Construction Costs (iron)'!$B$1:$V$32,'Construction Planner'!$L376+2,FALSE)</f>
        <v>#N/A</v>
      </c>
      <c r="AE376" s="34" t="e">
        <f t="shared" si="524"/>
        <v>#N/A</v>
      </c>
      <c r="AF376" s="33" t="e">
        <f t="shared" si="467"/>
        <v>#N/A</v>
      </c>
      <c r="AG376" s="14" t="e">
        <f t="shared" si="468"/>
        <v>#N/A</v>
      </c>
      <c r="AH376" s="14" t="e">
        <f t="shared" si="469"/>
        <v>#N/A</v>
      </c>
      <c r="AI376" s="34" t="e">
        <f t="shared" si="525"/>
        <v>#N/A</v>
      </c>
      <c r="AJ376" s="49" t="e">
        <f t="shared" si="489"/>
        <v>#N/A</v>
      </c>
      <c r="AK376" s="49" t="e">
        <f t="shared" si="490"/>
        <v>#N/A</v>
      </c>
      <c r="AL376" s="49" t="e">
        <f t="shared" si="491"/>
        <v>#N/A</v>
      </c>
      <c r="AM376" s="25">
        <f t="shared" si="470"/>
        <v>30</v>
      </c>
      <c r="AN376" s="25">
        <f t="shared" si="471"/>
        <v>30</v>
      </c>
      <c r="AO376" s="25">
        <f t="shared" si="472"/>
        <v>30</v>
      </c>
      <c r="AP376" s="52" t="e">
        <f t="shared" si="546"/>
        <v>#N/A</v>
      </c>
      <c r="AQ376" s="53" t="e">
        <f t="shared" si="546"/>
        <v>#N/A</v>
      </c>
      <c r="AR376" s="54" t="e">
        <f t="shared" si="546"/>
        <v>#N/A</v>
      </c>
      <c r="AS376" s="316">
        <f t="shared" si="550"/>
        <v>0</v>
      </c>
      <c r="AT376" s="106">
        <f>_xlfn.IFNA($M376/VLOOKUP($BT376,'Unit information'!$A$2:$K$29,2,FALSE)*R376,0)*(1+$E$9)</f>
        <v>0</v>
      </c>
      <c r="AU376" s="107">
        <f>_xlfn.IFNA($M376/VLOOKUP($BT376,'Unit information'!$A$2:$K$29,3,FALSE)*S376,0)*(1+$E$9)</f>
        <v>0</v>
      </c>
      <c r="AV376" s="107">
        <f>_xlfn.IFNA($M376/VLOOKUP($BT376,'Unit information'!$A$2:$K$29,4,FALSE)*T376,0)*(1+$E$9)</f>
        <v>0</v>
      </c>
      <c r="AW376" s="107">
        <f>_xlfn.IFNA($M376/VLOOKUP($BT376,'Unit information'!$A$2:$K$29,5,FALSE)*U376,0)*(1+$E$9)</f>
        <v>0</v>
      </c>
      <c r="AX376" s="107">
        <f>_xlfn.IFNA($M376/VLOOKUP($BU376,'Unit information'!$A$2:$K$29,6,FALSE)*V376,0)*(1+$E$9)</f>
        <v>0</v>
      </c>
      <c r="AY376" s="107">
        <f>_xlfn.IFNA($M376/VLOOKUP($BU376,'Unit information'!$A$2:$K$29,7,FALSE)*W376,0)*(1+$E$9)</f>
        <v>0</v>
      </c>
      <c r="AZ376" s="107">
        <f>_xlfn.IFNA($M376/VLOOKUP($BU376,'Unit information'!$A$2:$K$29,8,FALSE)*X376,0)*(1+$E$9)</f>
        <v>0</v>
      </c>
      <c r="BA376" s="107">
        <f>_xlfn.IFNA($M376/VLOOKUP($BU376,'Unit information'!$A$2:$K$29,9,FALSE)*Y376,0)*(1+$E$9)</f>
        <v>0</v>
      </c>
      <c r="BB376" s="107">
        <f>_xlfn.IFNA($M376/VLOOKUP($BV376,'Unit information'!$A$2:$K$29,10,FALSE)*Z376,0)*(1+$E$9)</f>
        <v>0</v>
      </c>
      <c r="BC376" s="108">
        <f>_xlfn.IFNA($M376/VLOOKUP($BV376,'Unit information'!$A$2:$K$29,11,FALSE)*AA376,0)*(1+$E$9)</f>
        <v>0</v>
      </c>
      <c r="BD376" s="106">
        <f t="shared" si="473"/>
        <v>0</v>
      </c>
      <c r="BE376" s="107">
        <f t="shared" si="474"/>
        <v>0</v>
      </c>
      <c r="BF376" s="108">
        <f t="shared" si="475"/>
        <v>0</v>
      </c>
      <c r="BG376" s="25" t="e">
        <f t="shared" si="476"/>
        <v>#N/A</v>
      </c>
      <c r="BH376" s="25" t="e">
        <f t="shared" si="477"/>
        <v>#N/A</v>
      </c>
      <c r="BI376" s="25" t="e">
        <f t="shared" si="478"/>
        <v>#N/A</v>
      </c>
      <c r="BJ376" s="27" t="e">
        <f t="shared" si="479"/>
        <v>#N/A</v>
      </c>
      <c r="BK376" s="18" t="e">
        <f t="shared" si="480"/>
        <v>#N/A</v>
      </c>
      <c r="BL376" s="18" t="e">
        <f t="shared" si="481"/>
        <v>#N/A</v>
      </c>
      <c r="BM376" s="28" t="e">
        <f t="shared" si="527"/>
        <v>#N/A</v>
      </c>
      <c r="BN376" s="33">
        <f>HLOOKUP("maximum population",Miscelaneous!$C$1:$C$33,CH376+3,FALSE)</f>
        <v>240</v>
      </c>
      <c r="BO376" s="14">
        <f t="shared" si="493"/>
        <v>32</v>
      </c>
      <c r="BP376" s="14">
        <f t="shared" si="494"/>
        <v>0</v>
      </c>
      <c r="BQ376" s="14">
        <f t="shared" si="495"/>
        <v>208</v>
      </c>
      <c r="BR376" s="34" t="e">
        <f>HLOOKUP(J376,Villagers!$B$1:$V$33,L376+3,FALSE)-HLOOKUP(J376,Villagers!$B$1:$V$33,L376+2,FALSE)</f>
        <v>#N/A</v>
      </c>
      <c r="BS376" s="49">
        <f t="shared" si="496"/>
        <v>1</v>
      </c>
      <c r="BT376" s="50">
        <f t="shared" si="497"/>
        <v>0</v>
      </c>
      <c r="BU376" s="50">
        <f t="shared" si="498"/>
        <v>0</v>
      </c>
      <c r="BV376" s="50">
        <f t="shared" si="499"/>
        <v>0</v>
      </c>
      <c r="BW376" s="50">
        <f t="shared" ref="BW376:BW383" si="552">IF($J375=BW$14,$L375,BW375)</f>
        <v>0</v>
      </c>
      <c r="BX376" s="50">
        <f t="shared" si="551"/>
        <v>0</v>
      </c>
      <c r="BY376" s="50">
        <f t="shared" si="551"/>
        <v>0</v>
      </c>
      <c r="BZ376" s="50">
        <f t="shared" si="530"/>
        <v>0</v>
      </c>
      <c r="CA376" s="50">
        <f t="shared" si="531"/>
        <v>0</v>
      </c>
      <c r="CB376" s="50">
        <f t="shared" si="532"/>
        <v>1</v>
      </c>
      <c r="CC376" s="50">
        <f t="shared" si="533"/>
        <v>0</v>
      </c>
      <c r="CD376" s="50">
        <f t="shared" si="534"/>
        <v>0</v>
      </c>
      <c r="CE376" s="50">
        <f t="shared" si="535"/>
        <v>1</v>
      </c>
      <c r="CF376" s="50">
        <f t="shared" si="536"/>
        <v>1</v>
      </c>
      <c r="CG376" s="50">
        <f t="shared" si="537"/>
        <v>1</v>
      </c>
      <c r="CH376" s="50">
        <f t="shared" si="538"/>
        <v>1</v>
      </c>
      <c r="CI376" s="50">
        <f t="shared" si="539"/>
        <v>1</v>
      </c>
      <c r="CJ376" s="50">
        <f t="shared" si="540"/>
        <v>1</v>
      </c>
      <c r="CK376" s="50">
        <f t="shared" si="540"/>
        <v>0</v>
      </c>
      <c r="CL376" s="50">
        <f t="shared" si="540"/>
        <v>0</v>
      </c>
      <c r="CM376" s="51">
        <f t="shared" si="482"/>
        <v>0</v>
      </c>
      <c r="CN376" s="33">
        <f>ROUND(IF(BS376=0,0,HLOOKUP(BS$14,Villagers!$B$1:$V$33,BS376+3,FALSE)),)</f>
        <v>5</v>
      </c>
      <c r="CO376" s="14">
        <f>ROUND(IF(BT376=0,0,HLOOKUP(BT$14,Villagers!$B$1:$V$33,BT376+3,FALSE)),)</f>
        <v>0</v>
      </c>
      <c r="CP376" s="14">
        <f>ROUND(IF(BU376=0,0,HLOOKUP(BU$14,Villagers!$B$1:$V$33,BU376+3,FALSE)),)</f>
        <v>0</v>
      </c>
      <c r="CQ376" s="14">
        <f>ROUND(IF(BV376=0,0,HLOOKUP(BV$14,Villagers!$B$1:$V$33,BV376+3,FALSE)),)</f>
        <v>0</v>
      </c>
      <c r="CR376" s="14">
        <f>ROUND(IF(BW376=0,0,HLOOKUP(BW$14,Villagers!$B$1:$V$33,BW376+3,FALSE)),)</f>
        <v>0</v>
      </c>
      <c r="CS376" s="14">
        <f>ROUND(IF(BX376=0,0,HLOOKUP(BX$14,Villagers!$B$1:$V$33,BX376+3,FALSE)),)</f>
        <v>0</v>
      </c>
      <c r="CT376" s="14">
        <f>ROUND(IF(BY376=0,0,HLOOKUP(BY$14,Villagers!$B$1:$V$33,BY376+3,FALSE)),)</f>
        <v>0</v>
      </c>
      <c r="CU376" s="14">
        <f>ROUND(IF(BZ376=0,0,HLOOKUP(BZ$14,Villagers!$B$1:$V$33,BZ376+3,FALSE)),)</f>
        <v>0</v>
      </c>
      <c r="CV376" s="14">
        <f>ROUND(IF(CA376=0,0,HLOOKUP(CA$14,Villagers!$B$1:$V$33,CA376+3,FALSE)),)</f>
        <v>0</v>
      </c>
      <c r="CW376" s="14">
        <f>ROUND(IF(CB376=0,0,HLOOKUP(CB$14,Villagers!$B$1:$V$33,CB376+3,FALSE)),)</f>
        <v>0</v>
      </c>
      <c r="CX376" s="14">
        <f>ROUND(IF(CC376=0,0,HLOOKUP(CC$14,Villagers!$B$1:$V$33,CC376+3,FALSE)),)</f>
        <v>0</v>
      </c>
      <c r="CY376" s="14">
        <f>ROUND(IF(CD376=0,0,HLOOKUP(CD$14,Villagers!$B$1:$V$33,CD376+3,FALSE)),)</f>
        <v>0</v>
      </c>
      <c r="CZ376" s="14">
        <f>ROUND(IF(CE376=0,0,HLOOKUP(CE$14,Villagers!$B$1:$V$33,CE376+3,FALSE)),)</f>
        <v>5</v>
      </c>
      <c r="DA376" s="14">
        <f>ROUND(IF(CF376=0,0,HLOOKUP(CF$14,Villagers!$B$1:$V$33,CF376+3,FALSE)),)</f>
        <v>10</v>
      </c>
      <c r="DB376" s="14">
        <f>ROUND(IF(CG376=0,0,HLOOKUP(CG$14,Villagers!$B$1:$V$33,CG376+3,FALSE)),)</f>
        <v>10</v>
      </c>
      <c r="DC376" s="14">
        <f>ROUND(IF(CH376=0,0,HLOOKUP(CH$14,Villagers!$B$1:$V$33,CH376+3,FALSE)),)</f>
        <v>0</v>
      </c>
      <c r="DD376" s="14">
        <f>ROUND(IF(CI376=0,0,HLOOKUP(CI$14,Villagers!$B$1:$V$33,CI376+3,FALSE)),)</f>
        <v>0</v>
      </c>
      <c r="DE376" s="14">
        <f>ROUND(IF(CJ376=0,0,HLOOKUP(CJ$14,Villagers!$B$1:$V$33,CJ376+3,FALSE)),)</f>
        <v>2</v>
      </c>
      <c r="DF376" s="370">
        <f>ROUND(IF(CK376=0,0,HLOOKUP(CK$14,Villagers!$B$1:$V$33,CK376+3,FALSE)),)</f>
        <v>0</v>
      </c>
      <c r="DG376" s="370">
        <f>ROUND(IF(CL376=0,0,HLOOKUP(CL$14,Villagers!$B$1:$V$33,CL376+3,FALSE)),)</f>
        <v>0</v>
      </c>
      <c r="DH376" s="34">
        <f>ROUND(IF(CM376=0,0,HLOOKUP(CM$14,Villagers!$B$1:$V$33,CM376+3,FALSE)),)</f>
        <v>0</v>
      </c>
      <c r="DI376" s="109">
        <f t="shared" si="516"/>
        <v>0</v>
      </c>
      <c r="DJ376" s="50">
        <f t="shared" si="517"/>
        <v>0</v>
      </c>
      <c r="DK376" s="50">
        <f t="shared" si="518"/>
        <v>0</v>
      </c>
      <c r="DL376" s="50">
        <f t="shared" si="519"/>
        <v>0</v>
      </c>
      <c r="DM376" s="50">
        <f t="shared" si="520"/>
        <v>0</v>
      </c>
      <c r="DN376" s="50">
        <f t="shared" si="521"/>
        <v>0</v>
      </c>
      <c r="DO376" s="50">
        <f t="shared" si="522"/>
        <v>0</v>
      </c>
      <c r="DP376" s="50">
        <f t="shared" si="523"/>
        <v>0</v>
      </c>
      <c r="DQ376" s="50">
        <f t="shared" si="501"/>
        <v>0</v>
      </c>
      <c r="DR376" s="50">
        <f t="shared" si="502"/>
        <v>0</v>
      </c>
      <c r="DS376" s="96">
        <f>Miscelaneous!$D$4*Miscelaneous!$D$2^($CI376-1)</f>
        <v>1000</v>
      </c>
      <c r="DT376" s="333">
        <f t="shared" si="483"/>
        <v>1</v>
      </c>
      <c r="DU376" s="81">
        <v>1</v>
      </c>
      <c r="DV376" s="79">
        <f t="shared" si="503"/>
        <v>0</v>
      </c>
      <c r="DW376" s="79">
        <f t="shared" si="504"/>
        <v>0</v>
      </c>
      <c r="DX376" s="79">
        <f t="shared" si="505"/>
        <v>0</v>
      </c>
      <c r="DY376" s="79">
        <v>1</v>
      </c>
      <c r="DZ376" s="79">
        <f t="shared" si="506"/>
        <v>0</v>
      </c>
      <c r="EA376" s="79">
        <f t="shared" si="507"/>
        <v>0</v>
      </c>
      <c r="EB376" s="79">
        <f t="shared" si="508"/>
        <v>0</v>
      </c>
      <c r="EC376" s="79">
        <f t="shared" si="509"/>
        <v>0</v>
      </c>
      <c r="ED376" s="79">
        <v>1</v>
      </c>
      <c r="EE376" s="79">
        <v>1</v>
      </c>
      <c r="EF376" s="79">
        <f t="shared" si="510"/>
        <v>0</v>
      </c>
      <c r="EG376" s="79">
        <v>1</v>
      </c>
      <c r="EH376" s="79">
        <v>1</v>
      </c>
      <c r="EI376" s="79">
        <v>1</v>
      </c>
      <c r="EJ376" s="79">
        <v>1</v>
      </c>
      <c r="EK376" s="79">
        <v>1</v>
      </c>
      <c r="EL376" s="79">
        <v>1</v>
      </c>
      <c r="EM376" s="143">
        <f t="shared" si="511"/>
        <v>0</v>
      </c>
      <c r="EN376" s="143">
        <f t="shared" si="512"/>
        <v>0</v>
      </c>
      <c r="EO376" s="82">
        <f t="shared" si="513"/>
        <v>0</v>
      </c>
    </row>
    <row r="377" spans="1:145" x14ac:dyDescent="0.25">
      <c r="A377">
        <v>363</v>
      </c>
      <c r="B377" s="172" t="e">
        <f t="shared" si="484"/>
        <v>#N/A</v>
      </c>
      <c r="C377" s="121" t="e">
        <f t="shared" si="462"/>
        <v>#N/A</v>
      </c>
      <c r="D377" s="122" t="e">
        <f t="shared" si="463"/>
        <v>#N/A</v>
      </c>
      <c r="E377" s="122" t="e">
        <f t="shared" si="464"/>
        <v>#N/A</v>
      </c>
      <c r="F377" s="176" t="e">
        <f t="shared" si="465"/>
        <v>#N/A</v>
      </c>
      <c r="G377" s="121">
        <f t="shared" si="485"/>
        <v>208</v>
      </c>
      <c r="H377" s="176" t="e">
        <f t="shared" si="486"/>
        <v>#N/A</v>
      </c>
      <c r="I377" s="48">
        <v>1</v>
      </c>
      <c r="J377" s="39"/>
      <c r="K377" s="350">
        <v>1</v>
      </c>
      <c r="L377" s="34" t="e">
        <f t="shared" si="466"/>
        <v>#N/A</v>
      </c>
      <c r="M377" s="38" t="e">
        <f>(HLOOKUP(J377,'Construction Times'!$B$3:$W$34,L377+2,FALSE)*HLOOKUP("hq modifier",'Construction Times'!$W$3:$W$34,BS377+2,FALSE))*(1-$H$9)</f>
        <v>#N/A</v>
      </c>
      <c r="N377" s="443" t="e">
        <f t="shared" si="487"/>
        <v>#N/A</v>
      </c>
      <c r="O377" s="444"/>
      <c r="P377" s="447" t="e">
        <f t="shared" si="488"/>
        <v>#N/A</v>
      </c>
      <c r="Q377" s="448"/>
      <c r="R377" s="103">
        <f t="shared" si="548"/>
        <v>0</v>
      </c>
      <c r="S377" s="104">
        <f t="shared" si="548"/>
        <v>0</v>
      </c>
      <c r="T377" s="104">
        <f t="shared" si="549"/>
        <v>0</v>
      </c>
      <c r="U377" s="104">
        <f t="shared" si="549"/>
        <v>0</v>
      </c>
      <c r="V377" s="104">
        <f t="shared" si="549"/>
        <v>9.9999999999999995E-8</v>
      </c>
      <c r="W377" s="104">
        <f t="shared" si="549"/>
        <v>0</v>
      </c>
      <c r="X377" s="104">
        <f t="shared" si="545"/>
        <v>0</v>
      </c>
      <c r="Y377" s="104">
        <f t="shared" si="545"/>
        <v>9.9999999999999995E-8</v>
      </c>
      <c r="Z377" s="104">
        <f t="shared" si="545"/>
        <v>9.9999999999999995E-8</v>
      </c>
      <c r="AA377" s="105">
        <f t="shared" si="545"/>
        <v>9.9999999999999995E-8</v>
      </c>
      <c r="AB377" s="101" t="e">
        <f>$DT377*HLOOKUP($J377,'Construction Costs (timber)'!$B$1:$V$32,'Construction Planner'!$L377+2,FALSE)</f>
        <v>#N/A</v>
      </c>
      <c r="AC377" s="14" t="e">
        <f>$DT377*HLOOKUP($J377,'Construction Costs (clay)'!$B$1:$V$32,'Construction Planner'!$L377+2,FALSE)</f>
        <v>#N/A</v>
      </c>
      <c r="AD377" s="14" t="e">
        <f>$DT377*HLOOKUP($J377,'Construction Costs (iron)'!$B$1:$V$32,'Construction Planner'!$L377+2,FALSE)</f>
        <v>#N/A</v>
      </c>
      <c r="AE377" s="34" t="e">
        <f t="shared" si="524"/>
        <v>#N/A</v>
      </c>
      <c r="AF377" s="33" t="e">
        <f t="shared" si="467"/>
        <v>#N/A</v>
      </c>
      <c r="AG377" s="14" t="e">
        <f t="shared" si="468"/>
        <v>#N/A</v>
      </c>
      <c r="AH377" s="14" t="e">
        <f t="shared" si="469"/>
        <v>#N/A</v>
      </c>
      <c r="AI377" s="34" t="e">
        <f t="shared" si="525"/>
        <v>#N/A</v>
      </c>
      <c r="AJ377" s="49" t="e">
        <f t="shared" si="489"/>
        <v>#N/A</v>
      </c>
      <c r="AK377" s="49" t="e">
        <f t="shared" si="490"/>
        <v>#N/A</v>
      </c>
      <c r="AL377" s="49" t="e">
        <f t="shared" si="491"/>
        <v>#N/A</v>
      </c>
      <c r="AM377" s="25">
        <f t="shared" si="470"/>
        <v>30</v>
      </c>
      <c r="AN377" s="25">
        <f t="shared" si="471"/>
        <v>30</v>
      </c>
      <c r="AO377" s="25">
        <f t="shared" si="472"/>
        <v>30</v>
      </c>
      <c r="AP377" s="52" t="e">
        <f t="shared" si="546"/>
        <v>#N/A</v>
      </c>
      <c r="AQ377" s="53" t="e">
        <f t="shared" si="546"/>
        <v>#N/A</v>
      </c>
      <c r="AR377" s="54" t="e">
        <f t="shared" si="546"/>
        <v>#N/A</v>
      </c>
      <c r="AS377" s="316">
        <f t="shared" si="550"/>
        <v>0</v>
      </c>
      <c r="AT377" s="106">
        <f>_xlfn.IFNA($M377/VLOOKUP($BT377,'Unit information'!$A$2:$K$29,2,FALSE)*R377,0)*(1+$E$9)</f>
        <v>0</v>
      </c>
      <c r="AU377" s="107">
        <f>_xlfn.IFNA($M377/VLOOKUP($BT377,'Unit information'!$A$2:$K$29,3,FALSE)*S377,0)*(1+$E$9)</f>
        <v>0</v>
      </c>
      <c r="AV377" s="107">
        <f>_xlfn.IFNA($M377/VLOOKUP($BT377,'Unit information'!$A$2:$K$29,4,FALSE)*T377,0)*(1+$E$9)</f>
        <v>0</v>
      </c>
      <c r="AW377" s="107">
        <f>_xlfn.IFNA($M377/VLOOKUP($BT377,'Unit information'!$A$2:$K$29,5,FALSE)*U377,0)*(1+$E$9)</f>
        <v>0</v>
      </c>
      <c r="AX377" s="107">
        <f>_xlfn.IFNA($M377/VLOOKUP($BU377,'Unit information'!$A$2:$K$29,6,FALSE)*V377,0)*(1+$E$9)</f>
        <v>0</v>
      </c>
      <c r="AY377" s="107">
        <f>_xlfn.IFNA($M377/VLOOKUP($BU377,'Unit information'!$A$2:$K$29,7,FALSE)*W377,0)*(1+$E$9)</f>
        <v>0</v>
      </c>
      <c r="AZ377" s="107">
        <f>_xlfn.IFNA($M377/VLOOKUP($BU377,'Unit information'!$A$2:$K$29,8,FALSE)*X377,0)*(1+$E$9)</f>
        <v>0</v>
      </c>
      <c r="BA377" s="107">
        <f>_xlfn.IFNA($M377/VLOOKUP($BU377,'Unit information'!$A$2:$K$29,9,FALSE)*Y377,0)*(1+$E$9)</f>
        <v>0</v>
      </c>
      <c r="BB377" s="107">
        <f>_xlfn.IFNA($M377/VLOOKUP($BV377,'Unit information'!$A$2:$K$29,10,FALSE)*Z377,0)*(1+$E$9)</f>
        <v>0</v>
      </c>
      <c r="BC377" s="108">
        <f>_xlfn.IFNA($M377/VLOOKUP($BV377,'Unit information'!$A$2:$K$29,11,FALSE)*AA377,0)*(1+$E$9)</f>
        <v>0</v>
      </c>
      <c r="BD377" s="106">
        <f t="shared" si="473"/>
        <v>0</v>
      </c>
      <c r="BE377" s="107">
        <f t="shared" si="474"/>
        <v>0</v>
      </c>
      <c r="BF377" s="108">
        <f t="shared" si="475"/>
        <v>0</v>
      </c>
      <c r="BG377" s="25" t="e">
        <f t="shared" si="476"/>
        <v>#N/A</v>
      </c>
      <c r="BH377" s="25" t="e">
        <f t="shared" si="477"/>
        <v>#N/A</v>
      </c>
      <c r="BI377" s="25" t="e">
        <f t="shared" si="478"/>
        <v>#N/A</v>
      </c>
      <c r="BJ377" s="27" t="e">
        <f t="shared" si="479"/>
        <v>#N/A</v>
      </c>
      <c r="BK377" s="18" t="e">
        <f t="shared" si="480"/>
        <v>#N/A</v>
      </c>
      <c r="BL377" s="18" t="e">
        <f t="shared" si="481"/>
        <v>#N/A</v>
      </c>
      <c r="BM377" s="28" t="e">
        <f t="shared" si="527"/>
        <v>#N/A</v>
      </c>
      <c r="BN377" s="33">
        <f>HLOOKUP("maximum population",Miscelaneous!$C$1:$C$33,CH377+3,FALSE)</f>
        <v>240</v>
      </c>
      <c r="BO377" s="14">
        <f t="shared" si="493"/>
        <v>32</v>
      </c>
      <c r="BP377" s="14">
        <f t="shared" si="494"/>
        <v>0</v>
      </c>
      <c r="BQ377" s="14">
        <f t="shared" si="495"/>
        <v>208</v>
      </c>
      <c r="BR377" s="34" t="e">
        <f>HLOOKUP(J377,Villagers!$B$1:$V$33,L377+3,FALSE)-HLOOKUP(J377,Villagers!$B$1:$V$33,L377+2,FALSE)</f>
        <v>#N/A</v>
      </c>
      <c r="BS377" s="49">
        <f t="shared" si="496"/>
        <v>1</v>
      </c>
      <c r="BT377" s="50">
        <f t="shared" si="497"/>
        <v>0</v>
      </c>
      <c r="BU377" s="50">
        <f t="shared" si="498"/>
        <v>0</v>
      </c>
      <c r="BV377" s="50">
        <f t="shared" si="499"/>
        <v>0</v>
      </c>
      <c r="BW377" s="50">
        <f t="shared" si="552"/>
        <v>0</v>
      </c>
      <c r="BX377" s="50">
        <f t="shared" si="551"/>
        <v>0</v>
      </c>
      <c r="BY377" s="50">
        <f t="shared" si="551"/>
        <v>0</v>
      </c>
      <c r="BZ377" s="50">
        <f t="shared" si="530"/>
        <v>0</v>
      </c>
      <c r="CA377" s="50">
        <f t="shared" si="531"/>
        <v>0</v>
      </c>
      <c r="CB377" s="50">
        <f t="shared" si="532"/>
        <v>1</v>
      </c>
      <c r="CC377" s="50">
        <f t="shared" si="533"/>
        <v>0</v>
      </c>
      <c r="CD377" s="50">
        <f t="shared" si="534"/>
        <v>0</v>
      </c>
      <c r="CE377" s="50">
        <f t="shared" si="535"/>
        <v>1</v>
      </c>
      <c r="CF377" s="50">
        <f t="shared" si="536"/>
        <v>1</v>
      </c>
      <c r="CG377" s="50">
        <f t="shared" si="537"/>
        <v>1</v>
      </c>
      <c r="CH377" s="50">
        <f t="shared" si="538"/>
        <v>1</v>
      </c>
      <c r="CI377" s="50">
        <f t="shared" si="539"/>
        <v>1</v>
      </c>
      <c r="CJ377" s="50">
        <f t="shared" si="540"/>
        <v>1</v>
      </c>
      <c r="CK377" s="50">
        <f t="shared" si="540"/>
        <v>0</v>
      </c>
      <c r="CL377" s="50">
        <f t="shared" si="540"/>
        <v>0</v>
      </c>
      <c r="CM377" s="51">
        <f t="shared" si="482"/>
        <v>0</v>
      </c>
      <c r="CN377" s="33">
        <f>ROUND(IF(BS377=0,0,HLOOKUP(BS$14,Villagers!$B$1:$V$33,BS377+3,FALSE)),)</f>
        <v>5</v>
      </c>
      <c r="CO377" s="14">
        <f>ROUND(IF(BT377=0,0,HLOOKUP(BT$14,Villagers!$B$1:$V$33,BT377+3,FALSE)),)</f>
        <v>0</v>
      </c>
      <c r="CP377" s="14">
        <f>ROUND(IF(BU377=0,0,HLOOKUP(BU$14,Villagers!$B$1:$V$33,BU377+3,FALSE)),)</f>
        <v>0</v>
      </c>
      <c r="CQ377" s="14">
        <f>ROUND(IF(BV377=0,0,HLOOKUP(BV$14,Villagers!$B$1:$V$33,BV377+3,FALSE)),)</f>
        <v>0</v>
      </c>
      <c r="CR377" s="14">
        <f>ROUND(IF(BW377=0,0,HLOOKUP(BW$14,Villagers!$B$1:$V$33,BW377+3,FALSE)),)</f>
        <v>0</v>
      </c>
      <c r="CS377" s="14">
        <f>ROUND(IF(BX377=0,0,HLOOKUP(BX$14,Villagers!$B$1:$V$33,BX377+3,FALSE)),)</f>
        <v>0</v>
      </c>
      <c r="CT377" s="14">
        <f>ROUND(IF(BY377=0,0,HLOOKUP(BY$14,Villagers!$B$1:$V$33,BY377+3,FALSE)),)</f>
        <v>0</v>
      </c>
      <c r="CU377" s="14">
        <f>ROUND(IF(BZ377=0,0,HLOOKUP(BZ$14,Villagers!$B$1:$V$33,BZ377+3,FALSE)),)</f>
        <v>0</v>
      </c>
      <c r="CV377" s="14">
        <f>ROUND(IF(CA377=0,0,HLOOKUP(CA$14,Villagers!$B$1:$V$33,CA377+3,FALSE)),)</f>
        <v>0</v>
      </c>
      <c r="CW377" s="14">
        <f>ROUND(IF(CB377=0,0,HLOOKUP(CB$14,Villagers!$B$1:$V$33,CB377+3,FALSE)),)</f>
        <v>0</v>
      </c>
      <c r="CX377" s="14">
        <f>ROUND(IF(CC377=0,0,HLOOKUP(CC$14,Villagers!$B$1:$V$33,CC377+3,FALSE)),)</f>
        <v>0</v>
      </c>
      <c r="CY377" s="14">
        <f>ROUND(IF(CD377=0,0,HLOOKUP(CD$14,Villagers!$B$1:$V$33,CD377+3,FALSE)),)</f>
        <v>0</v>
      </c>
      <c r="CZ377" s="14">
        <f>ROUND(IF(CE377=0,0,HLOOKUP(CE$14,Villagers!$B$1:$V$33,CE377+3,FALSE)),)</f>
        <v>5</v>
      </c>
      <c r="DA377" s="14">
        <f>ROUND(IF(CF377=0,0,HLOOKUP(CF$14,Villagers!$B$1:$V$33,CF377+3,FALSE)),)</f>
        <v>10</v>
      </c>
      <c r="DB377" s="14">
        <f>ROUND(IF(CG377=0,0,HLOOKUP(CG$14,Villagers!$B$1:$V$33,CG377+3,FALSE)),)</f>
        <v>10</v>
      </c>
      <c r="DC377" s="14">
        <f>ROUND(IF(CH377=0,0,HLOOKUP(CH$14,Villagers!$B$1:$V$33,CH377+3,FALSE)),)</f>
        <v>0</v>
      </c>
      <c r="DD377" s="14">
        <f>ROUND(IF(CI377=0,0,HLOOKUP(CI$14,Villagers!$B$1:$V$33,CI377+3,FALSE)),)</f>
        <v>0</v>
      </c>
      <c r="DE377" s="14">
        <f>ROUND(IF(CJ377=0,0,HLOOKUP(CJ$14,Villagers!$B$1:$V$33,CJ377+3,FALSE)),)</f>
        <v>2</v>
      </c>
      <c r="DF377" s="370">
        <f>ROUND(IF(CK377=0,0,HLOOKUP(CK$14,Villagers!$B$1:$V$33,CK377+3,FALSE)),)</f>
        <v>0</v>
      </c>
      <c r="DG377" s="370">
        <f>ROUND(IF(CL377=0,0,HLOOKUP(CL$14,Villagers!$B$1:$V$33,CL377+3,FALSE)),)</f>
        <v>0</v>
      </c>
      <c r="DH377" s="34">
        <f>ROUND(IF(CM377=0,0,HLOOKUP(CM$14,Villagers!$B$1:$V$33,CM377+3,FALSE)),)</f>
        <v>0</v>
      </c>
      <c r="DI377" s="109">
        <f t="shared" si="516"/>
        <v>0</v>
      </c>
      <c r="DJ377" s="50">
        <f t="shared" si="517"/>
        <v>0</v>
      </c>
      <c r="DK377" s="50">
        <f t="shared" si="518"/>
        <v>0</v>
      </c>
      <c r="DL377" s="50">
        <f t="shared" si="519"/>
        <v>0</v>
      </c>
      <c r="DM377" s="50">
        <f t="shared" si="520"/>
        <v>0</v>
      </c>
      <c r="DN377" s="50">
        <f t="shared" si="521"/>
        <v>0</v>
      </c>
      <c r="DO377" s="50">
        <f t="shared" si="522"/>
        <v>0</v>
      </c>
      <c r="DP377" s="50">
        <f t="shared" si="523"/>
        <v>0</v>
      </c>
      <c r="DQ377" s="50">
        <f t="shared" si="501"/>
        <v>0</v>
      </c>
      <c r="DR377" s="50">
        <f t="shared" si="502"/>
        <v>0</v>
      </c>
      <c r="DS377" s="96">
        <f>Miscelaneous!$D$4*Miscelaneous!$D$2^($CI377-1)</f>
        <v>1000</v>
      </c>
      <c r="DT377" s="333">
        <f t="shared" si="483"/>
        <v>1</v>
      </c>
      <c r="DU377" s="81">
        <v>1</v>
      </c>
      <c r="DV377" s="79">
        <f t="shared" si="503"/>
        <v>0</v>
      </c>
      <c r="DW377" s="79">
        <f t="shared" si="504"/>
        <v>0</v>
      </c>
      <c r="DX377" s="79">
        <f t="shared" si="505"/>
        <v>0</v>
      </c>
      <c r="DY377" s="79">
        <v>1</v>
      </c>
      <c r="DZ377" s="79">
        <f t="shared" si="506"/>
        <v>0</v>
      </c>
      <c r="EA377" s="79">
        <f t="shared" si="507"/>
        <v>0</v>
      </c>
      <c r="EB377" s="79">
        <f t="shared" si="508"/>
        <v>0</v>
      </c>
      <c r="EC377" s="79">
        <f t="shared" si="509"/>
        <v>0</v>
      </c>
      <c r="ED377" s="79">
        <v>1</v>
      </c>
      <c r="EE377" s="79">
        <v>1</v>
      </c>
      <c r="EF377" s="79">
        <f t="shared" si="510"/>
        <v>0</v>
      </c>
      <c r="EG377" s="79">
        <v>1</v>
      </c>
      <c r="EH377" s="79">
        <v>1</v>
      </c>
      <c r="EI377" s="79">
        <v>1</v>
      </c>
      <c r="EJ377" s="79">
        <v>1</v>
      </c>
      <c r="EK377" s="79">
        <v>1</v>
      </c>
      <c r="EL377" s="79">
        <v>1</v>
      </c>
      <c r="EM377" s="143">
        <f t="shared" si="511"/>
        <v>0</v>
      </c>
      <c r="EN377" s="143">
        <f t="shared" si="512"/>
        <v>0</v>
      </c>
      <c r="EO377" s="82">
        <f t="shared" si="513"/>
        <v>0</v>
      </c>
    </row>
    <row r="378" spans="1:145" x14ac:dyDescent="0.25">
      <c r="A378">
        <v>364</v>
      </c>
      <c r="B378" s="172" t="e">
        <f t="shared" si="484"/>
        <v>#N/A</v>
      </c>
      <c r="C378" s="121" t="e">
        <f t="shared" si="462"/>
        <v>#N/A</v>
      </c>
      <c r="D378" s="122" t="e">
        <f t="shared" si="463"/>
        <v>#N/A</v>
      </c>
      <c r="E378" s="122" t="e">
        <f t="shared" si="464"/>
        <v>#N/A</v>
      </c>
      <c r="F378" s="176" t="e">
        <f t="shared" si="465"/>
        <v>#N/A</v>
      </c>
      <c r="G378" s="121">
        <f t="shared" si="485"/>
        <v>208</v>
      </c>
      <c r="H378" s="176" t="e">
        <f t="shared" si="486"/>
        <v>#N/A</v>
      </c>
      <c r="I378" s="48">
        <v>1</v>
      </c>
      <c r="J378" s="39"/>
      <c r="K378" s="350">
        <v>1</v>
      </c>
      <c r="L378" s="34" t="e">
        <f t="shared" si="466"/>
        <v>#N/A</v>
      </c>
      <c r="M378" s="38" t="e">
        <f>(HLOOKUP(J378,'Construction Times'!$B$3:$W$34,L378+2,FALSE)*HLOOKUP("hq modifier",'Construction Times'!$W$3:$W$34,BS378+2,FALSE))*(1-$H$9)</f>
        <v>#N/A</v>
      </c>
      <c r="N378" s="443" t="e">
        <f t="shared" si="487"/>
        <v>#N/A</v>
      </c>
      <c r="O378" s="444"/>
      <c r="P378" s="447" t="e">
        <f t="shared" si="488"/>
        <v>#N/A</v>
      </c>
      <c r="Q378" s="448"/>
      <c r="R378" s="103">
        <f t="shared" si="548"/>
        <v>0</v>
      </c>
      <c r="S378" s="104">
        <f t="shared" si="548"/>
        <v>0</v>
      </c>
      <c r="T378" s="104">
        <f t="shared" si="549"/>
        <v>0</v>
      </c>
      <c r="U378" s="104">
        <f t="shared" si="549"/>
        <v>0</v>
      </c>
      <c r="V378" s="104">
        <f t="shared" si="549"/>
        <v>9.9999999999999995E-8</v>
      </c>
      <c r="W378" s="104">
        <f t="shared" si="549"/>
        <v>0</v>
      </c>
      <c r="X378" s="104">
        <f t="shared" si="545"/>
        <v>0</v>
      </c>
      <c r="Y378" s="104">
        <f t="shared" si="545"/>
        <v>9.9999999999999995E-8</v>
      </c>
      <c r="Z378" s="104">
        <f t="shared" si="545"/>
        <v>9.9999999999999995E-8</v>
      </c>
      <c r="AA378" s="105">
        <f t="shared" si="545"/>
        <v>9.9999999999999995E-8</v>
      </c>
      <c r="AB378" s="101" t="e">
        <f>$DT378*HLOOKUP($J378,'Construction Costs (timber)'!$B$1:$V$32,'Construction Planner'!$L378+2,FALSE)</f>
        <v>#N/A</v>
      </c>
      <c r="AC378" s="14" t="e">
        <f>$DT378*HLOOKUP($J378,'Construction Costs (clay)'!$B$1:$V$32,'Construction Planner'!$L378+2,FALSE)</f>
        <v>#N/A</v>
      </c>
      <c r="AD378" s="14" t="e">
        <f>$DT378*HLOOKUP($J378,'Construction Costs (iron)'!$B$1:$V$32,'Construction Planner'!$L378+2,FALSE)</f>
        <v>#N/A</v>
      </c>
      <c r="AE378" s="34" t="e">
        <f t="shared" si="524"/>
        <v>#N/A</v>
      </c>
      <c r="AF378" s="33" t="e">
        <f t="shared" si="467"/>
        <v>#N/A</v>
      </c>
      <c r="AG378" s="14" t="e">
        <f t="shared" si="468"/>
        <v>#N/A</v>
      </c>
      <c r="AH378" s="14" t="e">
        <f t="shared" si="469"/>
        <v>#N/A</v>
      </c>
      <c r="AI378" s="34" t="e">
        <f t="shared" si="525"/>
        <v>#N/A</v>
      </c>
      <c r="AJ378" s="49" t="e">
        <f t="shared" si="489"/>
        <v>#N/A</v>
      </c>
      <c r="AK378" s="49" t="e">
        <f t="shared" si="490"/>
        <v>#N/A</v>
      </c>
      <c r="AL378" s="49" t="e">
        <f t="shared" si="491"/>
        <v>#N/A</v>
      </c>
      <c r="AM378" s="25">
        <f t="shared" si="470"/>
        <v>30</v>
      </c>
      <c r="AN378" s="25">
        <f t="shared" si="471"/>
        <v>30</v>
      </c>
      <c r="AO378" s="25">
        <f t="shared" si="472"/>
        <v>30</v>
      </c>
      <c r="AP378" s="52" t="e">
        <f t="shared" si="546"/>
        <v>#N/A</v>
      </c>
      <c r="AQ378" s="53" t="e">
        <f t="shared" si="546"/>
        <v>#N/A</v>
      </c>
      <c r="AR378" s="54" t="e">
        <f t="shared" si="546"/>
        <v>#N/A</v>
      </c>
      <c r="AS378" s="316">
        <f t="shared" si="550"/>
        <v>0</v>
      </c>
      <c r="AT378" s="106">
        <f>_xlfn.IFNA($M378/VLOOKUP($BT378,'Unit information'!$A$2:$K$29,2,FALSE)*R378,0)*(1+$E$9)</f>
        <v>0</v>
      </c>
      <c r="AU378" s="107">
        <f>_xlfn.IFNA($M378/VLOOKUP($BT378,'Unit information'!$A$2:$K$29,3,FALSE)*S378,0)*(1+$E$9)</f>
        <v>0</v>
      </c>
      <c r="AV378" s="107">
        <f>_xlfn.IFNA($M378/VLOOKUP($BT378,'Unit information'!$A$2:$K$29,4,FALSE)*T378,0)*(1+$E$9)</f>
        <v>0</v>
      </c>
      <c r="AW378" s="107">
        <f>_xlfn.IFNA($M378/VLOOKUP($BT378,'Unit information'!$A$2:$K$29,5,FALSE)*U378,0)*(1+$E$9)</f>
        <v>0</v>
      </c>
      <c r="AX378" s="107">
        <f>_xlfn.IFNA($M378/VLOOKUP($BU378,'Unit information'!$A$2:$K$29,6,FALSE)*V378,0)*(1+$E$9)</f>
        <v>0</v>
      </c>
      <c r="AY378" s="107">
        <f>_xlfn.IFNA($M378/VLOOKUP($BU378,'Unit information'!$A$2:$K$29,7,FALSE)*W378,0)*(1+$E$9)</f>
        <v>0</v>
      </c>
      <c r="AZ378" s="107">
        <f>_xlfn.IFNA($M378/VLOOKUP($BU378,'Unit information'!$A$2:$K$29,8,FALSE)*X378,0)*(1+$E$9)</f>
        <v>0</v>
      </c>
      <c r="BA378" s="107">
        <f>_xlfn.IFNA($M378/VLOOKUP($BU378,'Unit information'!$A$2:$K$29,9,FALSE)*Y378,0)*(1+$E$9)</f>
        <v>0</v>
      </c>
      <c r="BB378" s="107">
        <f>_xlfn.IFNA($M378/VLOOKUP($BV378,'Unit information'!$A$2:$K$29,10,FALSE)*Z378,0)*(1+$E$9)</f>
        <v>0</v>
      </c>
      <c r="BC378" s="108">
        <f>_xlfn.IFNA($M378/VLOOKUP($BV378,'Unit information'!$A$2:$K$29,11,FALSE)*AA378,0)*(1+$E$9)</f>
        <v>0</v>
      </c>
      <c r="BD378" s="106">
        <f t="shared" si="473"/>
        <v>0</v>
      </c>
      <c r="BE378" s="107">
        <f t="shared" si="474"/>
        <v>0</v>
      </c>
      <c r="BF378" s="108">
        <f t="shared" si="475"/>
        <v>0</v>
      </c>
      <c r="BG378" s="25" t="e">
        <f t="shared" si="476"/>
        <v>#N/A</v>
      </c>
      <c r="BH378" s="25" t="e">
        <f t="shared" si="477"/>
        <v>#N/A</v>
      </c>
      <c r="BI378" s="25" t="e">
        <f t="shared" si="478"/>
        <v>#N/A</v>
      </c>
      <c r="BJ378" s="27" t="e">
        <f t="shared" si="479"/>
        <v>#N/A</v>
      </c>
      <c r="BK378" s="18" t="e">
        <f t="shared" si="480"/>
        <v>#N/A</v>
      </c>
      <c r="BL378" s="18" t="e">
        <f t="shared" si="481"/>
        <v>#N/A</v>
      </c>
      <c r="BM378" s="28" t="e">
        <f t="shared" si="527"/>
        <v>#N/A</v>
      </c>
      <c r="BN378" s="33">
        <f>HLOOKUP("maximum population",Miscelaneous!$C$1:$C$33,CH378+3,FALSE)</f>
        <v>240</v>
      </c>
      <c r="BO378" s="14">
        <f t="shared" si="493"/>
        <v>32</v>
      </c>
      <c r="BP378" s="14">
        <f t="shared" si="494"/>
        <v>0</v>
      </c>
      <c r="BQ378" s="14">
        <f t="shared" si="495"/>
        <v>208</v>
      </c>
      <c r="BR378" s="34" t="e">
        <f>HLOOKUP(J378,Villagers!$B$1:$V$33,L378+3,FALSE)-HLOOKUP(J378,Villagers!$B$1:$V$33,L378+2,FALSE)</f>
        <v>#N/A</v>
      </c>
      <c r="BS378" s="49">
        <f t="shared" si="496"/>
        <v>1</v>
      </c>
      <c r="BT378" s="50">
        <f t="shared" si="497"/>
        <v>0</v>
      </c>
      <c r="BU378" s="50">
        <f t="shared" si="498"/>
        <v>0</v>
      </c>
      <c r="BV378" s="50">
        <f t="shared" si="499"/>
        <v>0</v>
      </c>
      <c r="BW378" s="50">
        <f t="shared" si="552"/>
        <v>0</v>
      </c>
      <c r="BX378" s="50">
        <f t="shared" si="551"/>
        <v>0</v>
      </c>
      <c r="BY378" s="50">
        <f t="shared" si="551"/>
        <v>0</v>
      </c>
      <c r="BZ378" s="50">
        <f t="shared" si="530"/>
        <v>0</v>
      </c>
      <c r="CA378" s="50">
        <f t="shared" si="531"/>
        <v>0</v>
      </c>
      <c r="CB378" s="50">
        <f t="shared" si="532"/>
        <v>1</v>
      </c>
      <c r="CC378" s="50">
        <f t="shared" si="533"/>
        <v>0</v>
      </c>
      <c r="CD378" s="50">
        <f t="shared" si="534"/>
        <v>0</v>
      </c>
      <c r="CE378" s="50">
        <f t="shared" si="535"/>
        <v>1</v>
      </c>
      <c r="CF378" s="50">
        <f t="shared" si="536"/>
        <v>1</v>
      </c>
      <c r="CG378" s="50">
        <f t="shared" si="537"/>
        <v>1</v>
      </c>
      <c r="CH378" s="50">
        <f t="shared" si="538"/>
        <v>1</v>
      </c>
      <c r="CI378" s="50">
        <f t="shared" si="539"/>
        <v>1</v>
      </c>
      <c r="CJ378" s="50">
        <f t="shared" si="540"/>
        <v>1</v>
      </c>
      <c r="CK378" s="50">
        <f t="shared" si="540"/>
        <v>0</v>
      </c>
      <c r="CL378" s="50">
        <f t="shared" si="540"/>
        <v>0</v>
      </c>
      <c r="CM378" s="51">
        <f t="shared" si="482"/>
        <v>0</v>
      </c>
      <c r="CN378" s="33">
        <f>ROUND(IF(BS378=0,0,HLOOKUP(BS$14,Villagers!$B$1:$V$33,BS378+3,FALSE)),)</f>
        <v>5</v>
      </c>
      <c r="CO378" s="14">
        <f>ROUND(IF(BT378=0,0,HLOOKUP(BT$14,Villagers!$B$1:$V$33,BT378+3,FALSE)),)</f>
        <v>0</v>
      </c>
      <c r="CP378" s="14">
        <f>ROUND(IF(BU378=0,0,HLOOKUP(BU$14,Villagers!$B$1:$V$33,BU378+3,FALSE)),)</f>
        <v>0</v>
      </c>
      <c r="CQ378" s="14">
        <f>ROUND(IF(BV378=0,0,HLOOKUP(BV$14,Villagers!$B$1:$V$33,BV378+3,FALSE)),)</f>
        <v>0</v>
      </c>
      <c r="CR378" s="14">
        <f>ROUND(IF(BW378=0,0,HLOOKUP(BW$14,Villagers!$B$1:$V$33,BW378+3,FALSE)),)</f>
        <v>0</v>
      </c>
      <c r="CS378" s="14">
        <f>ROUND(IF(BX378=0,0,HLOOKUP(BX$14,Villagers!$B$1:$V$33,BX378+3,FALSE)),)</f>
        <v>0</v>
      </c>
      <c r="CT378" s="14">
        <f>ROUND(IF(BY378=0,0,HLOOKUP(BY$14,Villagers!$B$1:$V$33,BY378+3,FALSE)),)</f>
        <v>0</v>
      </c>
      <c r="CU378" s="14">
        <f>ROUND(IF(BZ378=0,0,HLOOKUP(BZ$14,Villagers!$B$1:$V$33,BZ378+3,FALSE)),)</f>
        <v>0</v>
      </c>
      <c r="CV378" s="14">
        <f>ROUND(IF(CA378=0,0,HLOOKUP(CA$14,Villagers!$B$1:$V$33,CA378+3,FALSE)),)</f>
        <v>0</v>
      </c>
      <c r="CW378" s="14">
        <f>ROUND(IF(CB378=0,0,HLOOKUP(CB$14,Villagers!$B$1:$V$33,CB378+3,FALSE)),)</f>
        <v>0</v>
      </c>
      <c r="CX378" s="14">
        <f>ROUND(IF(CC378=0,0,HLOOKUP(CC$14,Villagers!$B$1:$V$33,CC378+3,FALSE)),)</f>
        <v>0</v>
      </c>
      <c r="CY378" s="14">
        <f>ROUND(IF(CD378=0,0,HLOOKUP(CD$14,Villagers!$B$1:$V$33,CD378+3,FALSE)),)</f>
        <v>0</v>
      </c>
      <c r="CZ378" s="14">
        <f>ROUND(IF(CE378=0,0,HLOOKUP(CE$14,Villagers!$B$1:$V$33,CE378+3,FALSE)),)</f>
        <v>5</v>
      </c>
      <c r="DA378" s="14">
        <f>ROUND(IF(CF378=0,0,HLOOKUP(CF$14,Villagers!$B$1:$V$33,CF378+3,FALSE)),)</f>
        <v>10</v>
      </c>
      <c r="DB378" s="14">
        <f>ROUND(IF(CG378=0,0,HLOOKUP(CG$14,Villagers!$B$1:$V$33,CG378+3,FALSE)),)</f>
        <v>10</v>
      </c>
      <c r="DC378" s="14">
        <f>ROUND(IF(CH378=0,0,HLOOKUP(CH$14,Villagers!$B$1:$V$33,CH378+3,FALSE)),)</f>
        <v>0</v>
      </c>
      <c r="DD378" s="14">
        <f>ROUND(IF(CI378=0,0,HLOOKUP(CI$14,Villagers!$B$1:$V$33,CI378+3,FALSE)),)</f>
        <v>0</v>
      </c>
      <c r="DE378" s="14">
        <f>ROUND(IF(CJ378=0,0,HLOOKUP(CJ$14,Villagers!$B$1:$V$33,CJ378+3,FALSE)),)</f>
        <v>2</v>
      </c>
      <c r="DF378" s="370">
        <f>ROUND(IF(CK378=0,0,HLOOKUP(CK$14,Villagers!$B$1:$V$33,CK378+3,FALSE)),)</f>
        <v>0</v>
      </c>
      <c r="DG378" s="370">
        <f>ROUND(IF(CL378=0,0,HLOOKUP(CL$14,Villagers!$B$1:$V$33,CL378+3,FALSE)),)</f>
        <v>0</v>
      </c>
      <c r="DH378" s="34">
        <f>ROUND(IF(CM378=0,0,HLOOKUP(CM$14,Villagers!$B$1:$V$33,CM378+3,FALSE)),)</f>
        <v>0</v>
      </c>
      <c r="DI378" s="109">
        <f t="shared" si="516"/>
        <v>0</v>
      </c>
      <c r="DJ378" s="50">
        <f t="shared" si="517"/>
        <v>0</v>
      </c>
      <c r="DK378" s="50">
        <f t="shared" si="518"/>
        <v>0</v>
      </c>
      <c r="DL378" s="50">
        <f t="shared" si="519"/>
        <v>0</v>
      </c>
      <c r="DM378" s="50">
        <f t="shared" si="520"/>
        <v>0</v>
      </c>
      <c r="DN378" s="50">
        <f t="shared" si="521"/>
        <v>0</v>
      </c>
      <c r="DO378" s="50">
        <f t="shared" si="522"/>
        <v>0</v>
      </c>
      <c r="DP378" s="50">
        <f t="shared" si="523"/>
        <v>0</v>
      </c>
      <c r="DQ378" s="50">
        <f t="shared" si="501"/>
        <v>0</v>
      </c>
      <c r="DR378" s="50">
        <f t="shared" si="502"/>
        <v>0</v>
      </c>
      <c r="DS378" s="96">
        <f>Miscelaneous!$D$4*Miscelaneous!$D$2^($CI378-1)</f>
        <v>1000</v>
      </c>
      <c r="DT378" s="333">
        <f t="shared" si="483"/>
        <v>1</v>
      </c>
      <c r="DU378" s="81">
        <v>1</v>
      </c>
      <c r="DV378" s="79">
        <f t="shared" si="503"/>
        <v>0</v>
      </c>
      <c r="DW378" s="79">
        <f t="shared" si="504"/>
        <v>0</v>
      </c>
      <c r="DX378" s="79">
        <f t="shared" si="505"/>
        <v>0</v>
      </c>
      <c r="DY378" s="79">
        <v>1</v>
      </c>
      <c r="DZ378" s="79">
        <f t="shared" si="506"/>
        <v>0</v>
      </c>
      <c r="EA378" s="79">
        <f t="shared" si="507"/>
        <v>0</v>
      </c>
      <c r="EB378" s="79">
        <f t="shared" si="508"/>
        <v>0</v>
      </c>
      <c r="EC378" s="79">
        <f t="shared" si="509"/>
        <v>0</v>
      </c>
      <c r="ED378" s="79">
        <v>1</v>
      </c>
      <c r="EE378" s="79">
        <v>1</v>
      </c>
      <c r="EF378" s="79">
        <f t="shared" si="510"/>
        <v>0</v>
      </c>
      <c r="EG378" s="79">
        <v>1</v>
      </c>
      <c r="EH378" s="79">
        <v>1</v>
      </c>
      <c r="EI378" s="79">
        <v>1</v>
      </c>
      <c r="EJ378" s="79">
        <v>1</v>
      </c>
      <c r="EK378" s="79">
        <v>1</v>
      </c>
      <c r="EL378" s="79">
        <v>1</v>
      </c>
      <c r="EM378" s="143">
        <f t="shared" si="511"/>
        <v>0</v>
      </c>
      <c r="EN378" s="143">
        <f t="shared" si="512"/>
        <v>0</v>
      </c>
      <c r="EO378" s="82">
        <f t="shared" si="513"/>
        <v>0</v>
      </c>
    </row>
    <row r="379" spans="1:145" x14ac:dyDescent="0.25">
      <c r="A379">
        <v>365</v>
      </c>
      <c r="B379" s="172" t="e">
        <f t="shared" si="484"/>
        <v>#N/A</v>
      </c>
      <c r="C379" s="121" t="e">
        <f t="shared" si="462"/>
        <v>#N/A</v>
      </c>
      <c r="D379" s="122" t="e">
        <f t="shared" si="463"/>
        <v>#N/A</v>
      </c>
      <c r="E379" s="122" t="e">
        <f t="shared" si="464"/>
        <v>#N/A</v>
      </c>
      <c r="F379" s="176" t="e">
        <f t="shared" si="465"/>
        <v>#N/A</v>
      </c>
      <c r="G379" s="121">
        <f t="shared" si="485"/>
        <v>208</v>
      </c>
      <c r="H379" s="176" t="e">
        <f t="shared" si="486"/>
        <v>#N/A</v>
      </c>
      <c r="I379" s="48">
        <v>1</v>
      </c>
      <c r="J379" s="39"/>
      <c r="K379" s="350">
        <v>1</v>
      </c>
      <c r="L379" s="34" t="e">
        <f t="shared" si="466"/>
        <v>#N/A</v>
      </c>
      <c r="M379" s="38" t="e">
        <f>(HLOOKUP(J379,'Construction Times'!$B$3:$W$34,L379+2,FALSE)*HLOOKUP("hq modifier",'Construction Times'!$W$3:$W$34,BS379+2,FALSE))*(1-$H$9)</f>
        <v>#N/A</v>
      </c>
      <c r="N379" s="443" t="e">
        <f t="shared" si="487"/>
        <v>#N/A</v>
      </c>
      <c r="O379" s="444"/>
      <c r="P379" s="447" t="e">
        <f t="shared" si="488"/>
        <v>#N/A</v>
      </c>
      <c r="Q379" s="448"/>
      <c r="R379" s="103">
        <f t="shared" si="548"/>
        <v>0</v>
      </c>
      <c r="S379" s="104">
        <f t="shared" si="548"/>
        <v>0</v>
      </c>
      <c r="T379" s="104">
        <f t="shared" si="549"/>
        <v>0</v>
      </c>
      <c r="U379" s="104">
        <f t="shared" si="549"/>
        <v>0</v>
      </c>
      <c r="V379" s="104">
        <f t="shared" si="549"/>
        <v>9.9999999999999995E-8</v>
      </c>
      <c r="W379" s="104">
        <f t="shared" si="549"/>
        <v>0</v>
      </c>
      <c r="X379" s="104">
        <f t="shared" si="545"/>
        <v>0</v>
      </c>
      <c r="Y379" s="104">
        <f t="shared" si="545"/>
        <v>9.9999999999999995E-8</v>
      </c>
      <c r="Z379" s="104">
        <f t="shared" si="545"/>
        <v>9.9999999999999995E-8</v>
      </c>
      <c r="AA379" s="105">
        <f t="shared" si="545"/>
        <v>9.9999999999999995E-8</v>
      </c>
      <c r="AB379" s="101" t="e">
        <f>$DT379*HLOOKUP($J379,'Construction Costs (timber)'!$B$1:$V$32,'Construction Planner'!$L379+2,FALSE)</f>
        <v>#N/A</v>
      </c>
      <c r="AC379" s="14" t="e">
        <f>$DT379*HLOOKUP($J379,'Construction Costs (clay)'!$B$1:$V$32,'Construction Planner'!$L379+2,FALSE)</f>
        <v>#N/A</v>
      </c>
      <c r="AD379" s="14" t="e">
        <f>$DT379*HLOOKUP($J379,'Construction Costs (iron)'!$B$1:$V$32,'Construction Planner'!$L379+2,FALSE)</f>
        <v>#N/A</v>
      </c>
      <c r="AE379" s="34" t="e">
        <f t="shared" si="524"/>
        <v>#N/A</v>
      </c>
      <c r="AF379" s="33" t="e">
        <f t="shared" si="467"/>
        <v>#N/A</v>
      </c>
      <c r="AG379" s="14" t="e">
        <f t="shared" si="468"/>
        <v>#N/A</v>
      </c>
      <c r="AH379" s="14" t="e">
        <f t="shared" si="469"/>
        <v>#N/A</v>
      </c>
      <c r="AI379" s="34" t="e">
        <f t="shared" si="525"/>
        <v>#N/A</v>
      </c>
      <c r="AJ379" s="49" t="e">
        <f t="shared" si="489"/>
        <v>#N/A</v>
      </c>
      <c r="AK379" s="49" t="e">
        <f t="shared" si="490"/>
        <v>#N/A</v>
      </c>
      <c r="AL379" s="49" t="e">
        <f t="shared" si="491"/>
        <v>#N/A</v>
      </c>
      <c r="AM379" s="25">
        <f t="shared" si="470"/>
        <v>30</v>
      </c>
      <c r="AN379" s="25">
        <f t="shared" si="471"/>
        <v>30</v>
      </c>
      <c r="AO379" s="25">
        <f t="shared" si="472"/>
        <v>30</v>
      </c>
      <c r="AP379" s="52" t="e">
        <f t="shared" si="546"/>
        <v>#N/A</v>
      </c>
      <c r="AQ379" s="53" t="e">
        <f t="shared" si="546"/>
        <v>#N/A</v>
      </c>
      <c r="AR379" s="54" t="e">
        <f t="shared" si="546"/>
        <v>#N/A</v>
      </c>
      <c r="AS379" s="316">
        <f t="shared" si="550"/>
        <v>0</v>
      </c>
      <c r="AT379" s="106">
        <f>_xlfn.IFNA($M379/VLOOKUP($BT379,'Unit information'!$A$2:$K$29,2,FALSE)*R379,0)*(1+$E$9)</f>
        <v>0</v>
      </c>
      <c r="AU379" s="107">
        <f>_xlfn.IFNA($M379/VLOOKUP($BT379,'Unit information'!$A$2:$K$29,3,FALSE)*S379,0)*(1+$E$9)</f>
        <v>0</v>
      </c>
      <c r="AV379" s="107">
        <f>_xlfn.IFNA($M379/VLOOKUP($BT379,'Unit information'!$A$2:$K$29,4,FALSE)*T379,0)*(1+$E$9)</f>
        <v>0</v>
      </c>
      <c r="AW379" s="107">
        <f>_xlfn.IFNA($M379/VLOOKUP($BT379,'Unit information'!$A$2:$K$29,5,FALSE)*U379,0)*(1+$E$9)</f>
        <v>0</v>
      </c>
      <c r="AX379" s="107">
        <f>_xlfn.IFNA($M379/VLOOKUP($BU379,'Unit information'!$A$2:$K$29,6,FALSE)*V379,0)*(1+$E$9)</f>
        <v>0</v>
      </c>
      <c r="AY379" s="107">
        <f>_xlfn.IFNA($M379/VLOOKUP($BU379,'Unit information'!$A$2:$K$29,7,FALSE)*W379,0)*(1+$E$9)</f>
        <v>0</v>
      </c>
      <c r="AZ379" s="107">
        <f>_xlfn.IFNA($M379/VLOOKUP($BU379,'Unit information'!$A$2:$K$29,8,FALSE)*X379,0)*(1+$E$9)</f>
        <v>0</v>
      </c>
      <c r="BA379" s="107">
        <f>_xlfn.IFNA($M379/VLOOKUP($BU379,'Unit information'!$A$2:$K$29,9,FALSE)*Y379,0)*(1+$E$9)</f>
        <v>0</v>
      </c>
      <c r="BB379" s="107">
        <f>_xlfn.IFNA($M379/VLOOKUP($BV379,'Unit information'!$A$2:$K$29,10,FALSE)*Z379,0)*(1+$E$9)</f>
        <v>0</v>
      </c>
      <c r="BC379" s="108">
        <f>_xlfn.IFNA($M379/VLOOKUP($BV379,'Unit information'!$A$2:$K$29,11,FALSE)*AA379,0)*(1+$E$9)</f>
        <v>0</v>
      </c>
      <c r="BD379" s="106">
        <f t="shared" si="473"/>
        <v>0</v>
      </c>
      <c r="BE379" s="107">
        <f t="shared" si="474"/>
        <v>0</v>
      </c>
      <c r="BF379" s="108">
        <f t="shared" si="475"/>
        <v>0</v>
      </c>
      <c r="BG379" s="25" t="e">
        <f t="shared" si="476"/>
        <v>#N/A</v>
      </c>
      <c r="BH379" s="25" t="e">
        <f t="shared" si="477"/>
        <v>#N/A</v>
      </c>
      <c r="BI379" s="25" t="e">
        <f t="shared" si="478"/>
        <v>#N/A</v>
      </c>
      <c r="BJ379" s="27" t="e">
        <f t="shared" si="479"/>
        <v>#N/A</v>
      </c>
      <c r="BK379" s="18" t="e">
        <f t="shared" si="480"/>
        <v>#N/A</v>
      </c>
      <c r="BL379" s="18" t="e">
        <f t="shared" si="481"/>
        <v>#N/A</v>
      </c>
      <c r="BM379" s="28" t="e">
        <f t="shared" si="527"/>
        <v>#N/A</v>
      </c>
      <c r="BN379" s="33">
        <f>HLOOKUP("maximum population",Miscelaneous!$C$1:$C$33,CH379+3,FALSE)</f>
        <v>240</v>
      </c>
      <c r="BO379" s="14">
        <f t="shared" si="493"/>
        <v>32</v>
      </c>
      <c r="BP379" s="14">
        <f t="shared" si="494"/>
        <v>0</v>
      </c>
      <c r="BQ379" s="14">
        <f t="shared" si="495"/>
        <v>208</v>
      </c>
      <c r="BR379" s="34" t="e">
        <f>HLOOKUP(J379,Villagers!$B$1:$V$33,L379+3,FALSE)-HLOOKUP(J379,Villagers!$B$1:$V$33,L379+2,FALSE)</f>
        <v>#N/A</v>
      </c>
      <c r="BS379" s="49">
        <f t="shared" si="496"/>
        <v>1</v>
      </c>
      <c r="BT379" s="50">
        <f t="shared" si="497"/>
        <v>0</v>
      </c>
      <c r="BU379" s="50">
        <f t="shared" si="498"/>
        <v>0</v>
      </c>
      <c r="BV379" s="50">
        <f t="shared" si="499"/>
        <v>0</v>
      </c>
      <c r="BW379" s="50">
        <f t="shared" si="552"/>
        <v>0</v>
      </c>
      <c r="BX379" s="50">
        <f t="shared" si="551"/>
        <v>0</v>
      </c>
      <c r="BY379" s="50">
        <f t="shared" si="551"/>
        <v>0</v>
      </c>
      <c r="BZ379" s="50">
        <f t="shared" si="530"/>
        <v>0</v>
      </c>
      <c r="CA379" s="50">
        <f t="shared" si="531"/>
        <v>0</v>
      </c>
      <c r="CB379" s="50">
        <f t="shared" si="532"/>
        <v>1</v>
      </c>
      <c r="CC379" s="50">
        <f t="shared" si="533"/>
        <v>0</v>
      </c>
      <c r="CD379" s="50">
        <f t="shared" si="534"/>
        <v>0</v>
      </c>
      <c r="CE379" s="50">
        <f t="shared" si="535"/>
        <v>1</v>
      </c>
      <c r="CF379" s="50">
        <f t="shared" si="536"/>
        <v>1</v>
      </c>
      <c r="CG379" s="50">
        <f t="shared" si="537"/>
        <v>1</v>
      </c>
      <c r="CH379" s="50">
        <f t="shared" si="538"/>
        <v>1</v>
      </c>
      <c r="CI379" s="50">
        <f t="shared" si="539"/>
        <v>1</v>
      </c>
      <c r="CJ379" s="50">
        <f t="shared" si="540"/>
        <v>1</v>
      </c>
      <c r="CK379" s="50">
        <f t="shared" si="540"/>
        <v>0</v>
      </c>
      <c r="CL379" s="50">
        <f t="shared" si="540"/>
        <v>0</v>
      </c>
      <c r="CM379" s="51">
        <f t="shared" si="482"/>
        <v>0</v>
      </c>
      <c r="CN379" s="33">
        <f>ROUND(IF(BS379=0,0,HLOOKUP(BS$14,Villagers!$B$1:$V$33,BS379+3,FALSE)),)</f>
        <v>5</v>
      </c>
      <c r="CO379" s="14">
        <f>ROUND(IF(BT379=0,0,HLOOKUP(BT$14,Villagers!$B$1:$V$33,BT379+3,FALSE)),)</f>
        <v>0</v>
      </c>
      <c r="CP379" s="14">
        <f>ROUND(IF(BU379=0,0,HLOOKUP(BU$14,Villagers!$B$1:$V$33,BU379+3,FALSE)),)</f>
        <v>0</v>
      </c>
      <c r="CQ379" s="14">
        <f>ROUND(IF(BV379=0,0,HLOOKUP(BV$14,Villagers!$B$1:$V$33,BV379+3,FALSE)),)</f>
        <v>0</v>
      </c>
      <c r="CR379" s="14">
        <f>ROUND(IF(BW379=0,0,HLOOKUP(BW$14,Villagers!$B$1:$V$33,BW379+3,FALSE)),)</f>
        <v>0</v>
      </c>
      <c r="CS379" s="14">
        <f>ROUND(IF(BX379=0,0,HLOOKUP(BX$14,Villagers!$B$1:$V$33,BX379+3,FALSE)),)</f>
        <v>0</v>
      </c>
      <c r="CT379" s="14">
        <f>ROUND(IF(BY379=0,0,HLOOKUP(BY$14,Villagers!$B$1:$V$33,BY379+3,FALSE)),)</f>
        <v>0</v>
      </c>
      <c r="CU379" s="14">
        <f>ROUND(IF(BZ379=0,0,HLOOKUP(BZ$14,Villagers!$B$1:$V$33,BZ379+3,FALSE)),)</f>
        <v>0</v>
      </c>
      <c r="CV379" s="14">
        <f>ROUND(IF(CA379=0,0,HLOOKUP(CA$14,Villagers!$B$1:$V$33,CA379+3,FALSE)),)</f>
        <v>0</v>
      </c>
      <c r="CW379" s="14">
        <f>ROUND(IF(CB379=0,0,HLOOKUP(CB$14,Villagers!$B$1:$V$33,CB379+3,FALSE)),)</f>
        <v>0</v>
      </c>
      <c r="CX379" s="14">
        <f>ROUND(IF(CC379=0,0,HLOOKUP(CC$14,Villagers!$B$1:$V$33,CC379+3,FALSE)),)</f>
        <v>0</v>
      </c>
      <c r="CY379" s="14">
        <f>ROUND(IF(CD379=0,0,HLOOKUP(CD$14,Villagers!$B$1:$V$33,CD379+3,FALSE)),)</f>
        <v>0</v>
      </c>
      <c r="CZ379" s="14">
        <f>ROUND(IF(CE379=0,0,HLOOKUP(CE$14,Villagers!$B$1:$V$33,CE379+3,FALSE)),)</f>
        <v>5</v>
      </c>
      <c r="DA379" s="14">
        <f>ROUND(IF(CF379=0,0,HLOOKUP(CF$14,Villagers!$B$1:$V$33,CF379+3,FALSE)),)</f>
        <v>10</v>
      </c>
      <c r="DB379" s="14">
        <f>ROUND(IF(CG379=0,0,HLOOKUP(CG$14,Villagers!$B$1:$V$33,CG379+3,FALSE)),)</f>
        <v>10</v>
      </c>
      <c r="DC379" s="14">
        <f>ROUND(IF(CH379=0,0,HLOOKUP(CH$14,Villagers!$B$1:$V$33,CH379+3,FALSE)),)</f>
        <v>0</v>
      </c>
      <c r="DD379" s="14">
        <f>ROUND(IF(CI379=0,0,HLOOKUP(CI$14,Villagers!$B$1:$V$33,CI379+3,FALSE)),)</f>
        <v>0</v>
      </c>
      <c r="DE379" s="14">
        <f>ROUND(IF(CJ379=0,0,HLOOKUP(CJ$14,Villagers!$B$1:$V$33,CJ379+3,FALSE)),)</f>
        <v>2</v>
      </c>
      <c r="DF379" s="370">
        <f>ROUND(IF(CK379=0,0,HLOOKUP(CK$14,Villagers!$B$1:$V$33,CK379+3,FALSE)),)</f>
        <v>0</v>
      </c>
      <c r="DG379" s="370">
        <f>ROUND(IF(CL379=0,0,HLOOKUP(CL$14,Villagers!$B$1:$V$33,CL379+3,FALSE)),)</f>
        <v>0</v>
      </c>
      <c r="DH379" s="34">
        <f>ROUND(IF(CM379=0,0,HLOOKUP(CM$14,Villagers!$B$1:$V$33,CM379+3,FALSE)),)</f>
        <v>0</v>
      </c>
      <c r="DI379" s="109">
        <f t="shared" si="516"/>
        <v>0</v>
      </c>
      <c r="DJ379" s="50">
        <f t="shared" si="517"/>
        <v>0</v>
      </c>
      <c r="DK379" s="50">
        <f t="shared" si="518"/>
        <v>0</v>
      </c>
      <c r="DL379" s="50">
        <f t="shared" si="519"/>
        <v>0</v>
      </c>
      <c r="DM379" s="50">
        <f t="shared" si="520"/>
        <v>0</v>
      </c>
      <c r="DN379" s="50">
        <f t="shared" si="521"/>
        <v>0</v>
      </c>
      <c r="DO379" s="50">
        <f t="shared" si="522"/>
        <v>0</v>
      </c>
      <c r="DP379" s="50">
        <f t="shared" si="523"/>
        <v>0</v>
      </c>
      <c r="DQ379" s="50">
        <f t="shared" si="501"/>
        <v>0</v>
      </c>
      <c r="DR379" s="50">
        <f t="shared" si="502"/>
        <v>0</v>
      </c>
      <c r="DS379" s="96">
        <f>Miscelaneous!$D$4*Miscelaneous!$D$2^($CI379-1)</f>
        <v>1000</v>
      </c>
      <c r="DT379" s="333">
        <f t="shared" si="483"/>
        <v>1</v>
      </c>
      <c r="DU379" s="81">
        <v>1</v>
      </c>
      <c r="DV379" s="79">
        <f t="shared" si="503"/>
        <v>0</v>
      </c>
      <c r="DW379" s="79">
        <f t="shared" si="504"/>
        <v>0</v>
      </c>
      <c r="DX379" s="79">
        <f t="shared" si="505"/>
        <v>0</v>
      </c>
      <c r="DY379" s="79">
        <v>1</v>
      </c>
      <c r="DZ379" s="79">
        <f t="shared" si="506"/>
        <v>0</v>
      </c>
      <c r="EA379" s="79">
        <f t="shared" si="507"/>
        <v>0</v>
      </c>
      <c r="EB379" s="79">
        <f t="shared" si="508"/>
        <v>0</v>
      </c>
      <c r="EC379" s="79">
        <f t="shared" si="509"/>
        <v>0</v>
      </c>
      <c r="ED379" s="79">
        <v>1</v>
      </c>
      <c r="EE379" s="79">
        <v>1</v>
      </c>
      <c r="EF379" s="79">
        <f t="shared" si="510"/>
        <v>0</v>
      </c>
      <c r="EG379" s="79">
        <v>1</v>
      </c>
      <c r="EH379" s="79">
        <v>1</v>
      </c>
      <c r="EI379" s="79">
        <v>1</v>
      </c>
      <c r="EJ379" s="79">
        <v>1</v>
      </c>
      <c r="EK379" s="79">
        <v>1</v>
      </c>
      <c r="EL379" s="79">
        <v>1</v>
      </c>
      <c r="EM379" s="143">
        <f t="shared" si="511"/>
        <v>0</v>
      </c>
      <c r="EN379" s="143">
        <f t="shared" si="512"/>
        <v>0</v>
      </c>
      <c r="EO379" s="82">
        <f t="shared" si="513"/>
        <v>0</v>
      </c>
    </row>
    <row r="380" spans="1:145" x14ac:dyDescent="0.25">
      <c r="A380">
        <v>366</v>
      </c>
      <c r="B380" s="172" t="e">
        <f t="shared" si="484"/>
        <v>#N/A</v>
      </c>
      <c r="C380" s="121" t="e">
        <f t="shared" si="462"/>
        <v>#N/A</v>
      </c>
      <c r="D380" s="122" t="e">
        <f t="shared" si="463"/>
        <v>#N/A</v>
      </c>
      <c r="E380" s="122" t="e">
        <f t="shared" si="464"/>
        <v>#N/A</v>
      </c>
      <c r="F380" s="176" t="e">
        <f t="shared" si="465"/>
        <v>#N/A</v>
      </c>
      <c r="G380" s="121">
        <f t="shared" si="485"/>
        <v>208</v>
      </c>
      <c r="H380" s="176" t="e">
        <f t="shared" si="486"/>
        <v>#N/A</v>
      </c>
      <c r="I380" s="48">
        <v>1</v>
      </c>
      <c r="J380" s="39"/>
      <c r="K380" s="350">
        <v>1</v>
      </c>
      <c r="L380" s="34" t="e">
        <f t="shared" si="466"/>
        <v>#N/A</v>
      </c>
      <c r="M380" s="38" t="e">
        <f>(HLOOKUP(J380,'Construction Times'!$B$3:$W$34,L380+2,FALSE)*HLOOKUP("hq modifier",'Construction Times'!$W$3:$W$34,BS380+2,FALSE))*(1-$H$9)</f>
        <v>#N/A</v>
      </c>
      <c r="N380" s="443" t="e">
        <f t="shared" si="487"/>
        <v>#N/A</v>
      </c>
      <c r="O380" s="444"/>
      <c r="P380" s="447" t="e">
        <f t="shared" si="488"/>
        <v>#N/A</v>
      </c>
      <c r="Q380" s="448"/>
      <c r="R380" s="103">
        <f t="shared" si="548"/>
        <v>0</v>
      </c>
      <c r="S380" s="104">
        <f t="shared" si="548"/>
        <v>0</v>
      </c>
      <c r="T380" s="104">
        <f t="shared" si="549"/>
        <v>0</v>
      </c>
      <c r="U380" s="104">
        <f t="shared" si="549"/>
        <v>0</v>
      </c>
      <c r="V380" s="104">
        <f t="shared" si="549"/>
        <v>9.9999999999999995E-8</v>
      </c>
      <c r="W380" s="104">
        <f t="shared" si="549"/>
        <v>0</v>
      </c>
      <c r="X380" s="104">
        <f t="shared" si="545"/>
        <v>0</v>
      </c>
      <c r="Y380" s="104">
        <f t="shared" si="545"/>
        <v>9.9999999999999995E-8</v>
      </c>
      <c r="Z380" s="104">
        <f t="shared" si="545"/>
        <v>9.9999999999999995E-8</v>
      </c>
      <c r="AA380" s="105">
        <f t="shared" si="545"/>
        <v>9.9999999999999995E-8</v>
      </c>
      <c r="AB380" s="101" t="e">
        <f>$DT380*HLOOKUP($J380,'Construction Costs (timber)'!$B$1:$V$32,'Construction Planner'!$L380+2,FALSE)</f>
        <v>#N/A</v>
      </c>
      <c r="AC380" s="14" t="e">
        <f>$DT380*HLOOKUP($J380,'Construction Costs (clay)'!$B$1:$V$32,'Construction Planner'!$L380+2,FALSE)</f>
        <v>#N/A</v>
      </c>
      <c r="AD380" s="14" t="e">
        <f>$DT380*HLOOKUP($J380,'Construction Costs (iron)'!$B$1:$V$32,'Construction Planner'!$L380+2,FALSE)</f>
        <v>#N/A</v>
      </c>
      <c r="AE380" s="34" t="e">
        <f t="shared" si="524"/>
        <v>#N/A</v>
      </c>
      <c r="AF380" s="33" t="e">
        <f t="shared" si="467"/>
        <v>#N/A</v>
      </c>
      <c r="AG380" s="14" t="e">
        <f t="shared" si="468"/>
        <v>#N/A</v>
      </c>
      <c r="AH380" s="14" t="e">
        <f t="shared" si="469"/>
        <v>#N/A</v>
      </c>
      <c r="AI380" s="34" t="e">
        <f t="shared" si="525"/>
        <v>#N/A</v>
      </c>
      <c r="AJ380" s="49" t="e">
        <f t="shared" si="489"/>
        <v>#N/A</v>
      </c>
      <c r="AK380" s="49" t="e">
        <f t="shared" si="490"/>
        <v>#N/A</v>
      </c>
      <c r="AL380" s="49" t="e">
        <f t="shared" si="491"/>
        <v>#N/A</v>
      </c>
      <c r="AM380" s="25">
        <f t="shared" si="470"/>
        <v>30</v>
      </c>
      <c r="AN380" s="25">
        <f t="shared" si="471"/>
        <v>30</v>
      </c>
      <c r="AO380" s="25">
        <f t="shared" si="472"/>
        <v>30</v>
      </c>
      <c r="AP380" s="52" t="e">
        <f t="shared" si="546"/>
        <v>#N/A</v>
      </c>
      <c r="AQ380" s="53" t="e">
        <f t="shared" si="546"/>
        <v>#N/A</v>
      </c>
      <c r="AR380" s="54" t="e">
        <f t="shared" si="546"/>
        <v>#N/A</v>
      </c>
      <c r="AS380" s="316">
        <f t="shared" si="550"/>
        <v>0</v>
      </c>
      <c r="AT380" s="106">
        <f>_xlfn.IFNA($M380/VLOOKUP($BT380,'Unit information'!$A$2:$K$29,2,FALSE)*R380,0)*(1+$E$9)</f>
        <v>0</v>
      </c>
      <c r="AU380" s="107">
        <f>_xlfn.IFNA($M380/VLOOKUP($BT380,'Unit information'!$A$2:$K$29,3,FALSE)*S380,0)*(1+$E$9)</f>
        <v>0</v>
      </c>
      <c r="AV380" s="107">
        <f>_xlfn.IFNA($M380/VLOOKUP($BT380,'Unit information'!$A$2:$K$29,4,FALSE)*T380,0)*(1+$E$9)</f>
        <v>0</v>
      </c>
      <c r="AW380" s="107">
        <f>_xlfn.IFNA($M380/VLOOKUP($BT380,'Unit information'!$A$2:$K$29,5,FALSE)*U380,0)*(1+$E$9)</f>
        <v>0</v>
      </c>
      <c r="AX380" s="107">
        <f>_xlfn.IFNA($M380/VLOOKUP($BU380,'Unit information'!$A$2:$K$29,6,FALSE)*V380,0)*(1+$E$9)</f>
        <v>0</v>
      </c>
      <c r="AY380" s="107">
        <f>_xlfn.IFNA($M380/VLOOKUP($BU380,'Unit information'!$A$2:$K$29,7,FALSE)*W380,0)*(1+$E$9)</f>
        <v>0</v>
      </c>
      <c r="AZ380" s="107">
        <f>_xlfn.IFNA($M380/VLOOKUP($BU380,'Unit information'!$A$2:$K$29,8,FALSE)*X380,0)*(1+$E$9)</f>
        <v>0</v>
      </c>
      <c r="BA380" s="107">
        <f>_xlfn.IFNA($M380/VLOOKUP($BU380,'Unit information'!$A$2:$K$29,9,FALSE)*Y380,0)*(1+$E$9)</f>
        <v>0</v>
      </c>
      <c r="BB380" s="107">
        <f>_xlfn.IFNA($M380/VLOOKUP($BV380,'Unit information'!$A$2:$K$29,10,FALSE)*Z380,0)*(1+$E$9)</f>
        <v>0</v>
      </c>
      <c r="BC380" s="108">
        <f>_xlfn.IFNA($M380/VLOOKUP($BV380,'Unit information'!$A$2:$K$29,11,FALSE)*AA380,0)*(1+$E$9)</f>
        <v>0</v>
      </c>
      <c r="BD380" s="106">
        <f t="shared" si="473"/>
        <v>0</v>
      </c>
      <c r="BE380" s="107">
        <f t="shared" si="474"/>
        <v>0</v>
      </c>
      <c r="BF380" s="108">
        <f t="shared" si="475"/>
        <v>0</v>
      </c>
      <c r="BG380" s="25" t="e">
        <f t="shared" si="476"/>
        <v>#N/A</v>
      </c>
      <c r="BH380" s="25" t="e">
        <f t="shared" si="477"/>
        <v>#N/A</v>
      </c>
      <c r="BI380" s="25" t="e">
        <f t="shared" si="478"/>
        <v>#N/A</v>
      </c>
      <c r="BJ380" s="27" t="e">
        <f t="shared" si="479"/>
        <v>#N/A</v>
      </c>
      <c r="BK380" s="18" t="e">
        <f t="shared" si="480"/>
        <v>#N/A</v>
      </c>
      <c r="BL380" s="18" t="e">
        <f t="shared" si="481"/>
        <v>#N/A</v>
      </c>
      <c r="BM380" s="28" t="e">
        <f t="shared" si="527"/>
        <v>#N/A</v>
      </c>
      <c r="BN380" s="33">
        <f>HLOOKUP("maximum population",Miscelaneous!$C$1:$C$33,CH380+3,FALSE)</f>
        <v>240</v>
      </c>
      <c r="BO380" s="14">
        <f t="shared" si="493"/>
        <v>32</v>
      </c>
      <c r="BP380" s="14">
        <f t="shared" si="494"/>
        <v>0</v>
      </c>
      <c r="BQ380" s="14">
        <f t="shared" si="495"/>
        <v>208</v>
      </c>
      <c r="BR380" s="34" t="e">
        <f>HLOOKUP(J380,Villagers!$B$1:$V$33,L380+3,FALSE)-HLOOKUP(J380,Villagers!$B$1:$V$33,L380+2,FALSE)</f>
        <v>#N/A</v>
      </c>
      <c r="BS380" s="49">
        <f t="shared" si="496"/>
        <v>1</v>
      </c>
      <c r="BT380" s="50">
        <f t="shared" si="497"/>
        <v>0</v>
      </c>
      <c r="BU380" s="50">
        <f t="shared" si="498"/>
        <v>0</v>
      </c>
      <c r="BV380" s="50">
        <f t="shared" si="499"/>
        <v>0</v>
      </c>
      <c r="BW380" s="50">
        <f t="shared" si="552"/>
        <v>0</v>
      </c>
      <c r="BX380" s="50">
        <f t="shared" si="551"/>
        <v>0</v>
      </c>
      <c r="BY380" s="50">
        <f t="shared" si="551"/>
        <v>0</v>
      </c>
      <c r="BZ380" s="50">
        <f t="shared" si="530"/>
        <v>0</v>
      </c>
      <c r="CA380" s="50">
        <f t="shared" si="531"/>
        <v>0</v>
      </c>
      <c r="CB380" s="50">
        <f t="shared" si="532"/>
        <v>1</v>
      </c>
      <c r="CC380" s="50">
        <f t="shared" si="533"/>
        <v>0</v>
      </c>
      <c r="CD380" s="50">
        <f t="shared" si="534"/>
        <v>0</v>
      </c>
      <c r="CE380" s="50">
        <f t="shared" si="535"/>
        <v>1</v>
      </c>
      <c r="CF380" s="50">
        <f t="shared" si="536"/>
        <v>1</v>
      </c>
      <c r="CG380" s="50">
        <f t="shared" si="537"/>
        <v>1</v>
      </c>
      <c r="CH380" s="50">
        <f t="shared" si="538"/>
        <v>1</v>
      </c>
      <c r="CI380" s="50">
        <f t="shared" si="539"/>
        <v>1</v>
      </c>
      <c r="CJ380" s="50">
        <f t="shared" si="540"/>
        <v>1</v>
      </c>
      <c r="CK380" s="50">
        <f t="shared" si="540"/>
        <v>0</v>
      </c>
      <c r="CL380" s="50">
        <f t="shared" si="540"/>
        <v>0</v>
      </c>
      <c r="CM380" s="51">
        <f t="shared" si="482"/>
        <v>0</v>
      </c>
      <c r="CN380" s="33">
        <f>ROUND(IF(BS380=0,0,HLOOKUP(BS$14,Villagers!$B$1:$V$33,BS380+3,FALSE)),)</f>
        <v>5</v>
      </c>
      <c r="CO380" s="14">
        <f>ROUND(IF(BT380=0,0,HLOOKUP(BT$14,Villagers!$B$1:$V$33,BT380+3,FALSE)),)</f>
        <v>0</v>
      </c>
      <c r="CP380" s="14">
        <f>ROUND(IF(BU380=0,0,HLOOKUP(BU$14,Villagers!$B$1:$V$33,BU380+3,FALSE)),)</f>
        <v>0</v>
      </c>
      <c r="CQ380" s="14">
        <f>ROUND(IF(BV380=0,0,HLOOKUP(BV$14,Villagers!$B$1:$V$33,BV380+3,FALSE)),)</f>
        <v>0</v>
      </c>
      <c r="CR380" s="14">
        <f>ROUND(IF(BW380=0,0,HLOOKUP(BW$14,Villagers!$B$1:$V$33,BW380+3,FALSE)),)</f>
        <v>0</v>
      </c>
      <c r="CS380" s="14">
        <f>ROUND(IF(BX380=0,0,HLOOKUP(BX$14,Villagers!$B$1:$V$33,BX380+3,FALSE)),)</f>
        <v>0</v>
      </c>
      <c r="CT380" s="14">
        <f>ROUND(IF(BY380=0,0,HLOOKUP(BY$14,Villagers!$B$1:$V$33,BY380+3,FALSE)),)</f>
        <v>0</v>
      </c>
      <c r="CU380" s="14">
        <f>ROUND(IF(BZ380=0,0,HLOOKUP(BZ$14,Villagers!$B$1:$V$33,BZ380+3,FALSE)),)</f>
        <v>0</v>
      </c>
      <c r="CV380" s="14">
        <f>ROUND(IF(CA380=0,0,HLOOKUP(CA$14,Villagers!$B$1:$V$33,CA380+3,FALSE)),)</f>
        <v>0</v>
      </c>
      <c r="CW380" s="14">
        <f>ROUND(IF(CB380=0,0,HLOOKUP(CB$14,Villagers!$B$1:$V$33,CB380+3,FALSE)),)</f>
        <v>0</v>
      </c>
      <c r="CX380" s="14">
        <f>ROUND(IF(CC380=0,0,HLOOKUP(CC$14,Villagers!$B$1:$V$33,CC380+3,FALSE)),)</f>
        <v>0</v>
      </c>
      <c r="CY380" s="14">
        <f>ROUND(IF(CD380=0,0,HLOOKUP(CD$14,Villagers!$B$1:$V$33,CD380+3,FALSE)),)</f>
        <v>0</v>
      </c>
      <c r="CZ380" s="14">
        <f>ROUND(IF(CE380=0,0,HLOOKUP(CE$14,Villagers!$B$1:$V$33,CE380+3,FALSE)),)</f>
        <v>5</v>
      </c>
      <c r="DA380" s="14">
        <f>ROUND(IF(CF380=0,0,HLOOKUP(CF$14,Villagers!$B$1:$V$33,CF380+3,FALSE)),)</f>
        <v>10</v>
      </c>
      <c r="DB380" s="14">
        <f>ROUND(IF(CG380=0,0,HLOOKUP(CG$14,Villagers!$B$1:$V$33,CG380+3,FALSE)),)</f>
        <v>10</v>
      </c>
      <c r="DC380" s="14">
        <f>ROUND(IF(CH380=0,0,HLOOKUP(CH$14,Villagers!$B$1:$V$33,CH380+3,FALSE)),)</f>
        <v>0</v>
      </c>
      <c r="DD380" s="14">
        <f>ROUND(IF(CI380=0,0,HLOOKUP(CI$14,Villagers!$B$1:$V$33,CI380+3,FALSE)),)</f>
        <v>0</v>
      </c>
      <c r="DE380" s="14">
        <f>ROUND(IF(CJ380=0,0,HLOOKUP(CJ$14,Villagers!$B$1:$V$33,CJ380+3,FALSE)),)</f>
        <v>2</v>
      </c>
      <c r="DF380" s="370">
        <f>ROUND(IF(CK380=0,0,HLOOKUP(CK$14,Villagers!$B$1:$V$33,CK380+3,FALSE)),)</f>
        <v>0</v>
      </c>
      <c r="DG380" s="370">
        <f>ROUND(IF(CL380=0,0,HLOOKUP(CL$14,Villagers!$B$1:$V$33,CL380+3,FALSE)),)</f>
        <v>0</v>
      </c>
      <c r="DH380" s="34">
        <f>ROUND(IF(CM380=0,0,HLOOKUP(CM$14,Villagers!$B$1:$V$33,CM380+3,FALSE)),)</f>
        <v>0</v>
      </c>
      <c r="DI380" s="109">
        <f t="shared" si="516"/>
        <v>0</v>
      </c>
      <c r="DJ380" s="50">
        <f t="shared" si="517"/>
        <v>0</v>
      </c>
      <c r="DK380" s="50">
        <f t="shared" si="518"/>
        <v>0</v>
      </c>
      <c r="DL380" s="50">
        <f t="shared" si="519"/>
        <v>0</v>
      </c>
      <c r="DM380" s="50">
        <f t="shared" si="520"/>
        <v>0</v>
      </c>
      <c r="DN380" s="50">
        <f t="shared" si="521"/>
        <v>0</v>
      </c>
      <c r="DO380" s="50">
        <f t="shared" si="522"/>
        <v>0</v>
      </c>
      <c r="DP380" s="50">
        <f t="shared" si="523"/>
        <v>0</v>
      </c>
      <c r="DQ380" s="50">
        <f t="shared" si="501"/>
        <v>0</v>
      </c>
      <c r="DR380" s="50">
        <f t="shared" si="502"/>
        <v>0</v>
      </c>
      <c r="DS380" s="96">
        <f>Miscelaneous!$D$4*Miscelaneous!$D$2^($CI380-1)</f>
        <v>1000</v>
      </c>
      <c r="DT380" s="333">
        <f t="shared" si="483"/>
        <v>1</v>
      </c>
      <c r="DU380" s="81">
        <v>1</v>
      </c>
      <c r="DV380" s="79">
        <f t="shared" si="503"/>
        <v>0</v>
      </c>
      <c r="DW380" s="79">
        <f t="shared" si="504"/>
        <v>0</v>
      </c>
      <c r="DX380" s="79">
        <f t="shared" si="505"/>
        <v>0</v>
      </c>
      <c r="DY380" s="79">
        <v>1</v>
      </c>
      <c r="DZ380" s="79">
        <f t="shared" si="506"/>
        <v>0</v>
      </c>
      <c r="EA380" s="79">
        <f t="shared" si="507"/>
        <v>0</v>
      </c>
      <c r="EB380" s="79">
        <f t="shared" si="508"/>
        <v>0</v>
      </c>
      <c r="EC380" s="79">
        <f t="shared" si="509"/>
        <v>0</v>
      </c>
      <c r="ED380" s="79">
        <v>1</v>
      </c>
      <c r="EE380" s="79">
        <v>1</v>
      </c>
      <c r="EF380" s="79">
        <f t="shared" si="510"/>
        <v>0</v>
      </c>
      <c r="EG380" s="79">
        <v>1</v>
      </c>
      <c r="EH380" s="79">
        <v>1</v>
      </c>
      <c r="EI380" s="79">
        <v>1</v>
      </c>
      <c r="EJ380" s="79">
        <v>1</v>
      </c>
      <c r="EK380" s="79">
        <v>1</v>
      </c>
      <c r="EL380" s="79">
        <v>1</v>
      </c>
      <c r="EM380" s="143">
        <f t="shared" si="511"/>
        <v>0</v>
      </c>
      <c r="EN380" s="143">
        <f t="shared" si="512"/>
        <v>0</v>
      </c>
      <c r="EO380" s="82">
        <f t="shared" si="513"/>
        <v>0</v>
      </c>
    </row>
    <row r="381" spans="1:145" x14ac:dyDescent="0.25">
      <c r="A381">
        <v>367</v>
      </c>
      <c r="B381" s="172" t="e">
        <f t="shared" si="484"/>
        <v>#N/A</v>
      </c>
      <c r="C381" s="121" t="e">
        <f t="shared" si="462"/>
        <v>#N/A</v>
      </c>
      <c r="D381" s="122" t="e">
        <f t="shared" si="463"/>
        <v>#N/A</v>
      </c>
      <c r="E381" s="122" t="e">
        <f t="shared" si="464"/>
        <v>#N/A</v>
      </c>
      <c r="F381" s="176" t="e">
        <f t="shared" si="465"/>
        <v>#N/A</v>
      </c>
      <c r="G381" s="121">
        <f t="shared" si="485"/>
        <v>208</v>
      </c>
      <c r="H381" s="176" t="e">
        <f t="shared" si="486"/>
        <v>#N/A</v>
      </c>
      <c r="I381" s="48">
        <v>1</v>
      </c>
      <c r="J381" s="39"/>
      <c r="K381" s="350">
        <v>1</v>
      </c>
      <c r="L381" s="34" t="e">
        <f t="shared" si="466"/>
        <v>#N/A</v>
      </c>
      <c r="M381" s="38" t="e">
        <f>(HLOOKUP(J381,'Construction Times'!$B$3:$W$34,L381+2,FALSE)*HLOOKUP("hq modifier",'Construction Times'!$W$3:$W$34,BS381+2,FALSE))*(1-$H$9)</f>
        <v>#N/A</v>
      </c>
      <c r="N381" s="443" t="e">
        <f t="shared" si="487"/>
        <v>#N/A</v>
      </c>
      <c r="O381" s="444"/>
      <c r="P381" s="447" t="e">
        <f t="shared" si="488"/>
        <v>#N/A</v>
      </c>
      <c r="Q381" s="448"/>
      <c r="R381" s="103">
        <f t="shared" si="548"/>
        <v>0</v>
      </c>
      <c r="S381" s="104">
        <f t="shared" si="548"/>
        <v>0</v>
      </c>
      <c r="T381" s="104">
        <f t="shared" si="549"/>
        <v>0</v>
      </c>
      <c r="U381" s="104">
        <f t="shared" si="549"/>
        <v>0</v>
      </c>
      <c r="V381" s="104">
        <f t="shared" si="549"/>
        <v>9.9999999999999995E-8</v>
      </c>
      <c r="W381" s="104">
        <f t="shared" si="549"/>
        <v>0</v>
      </c>
      <c r="X381" s="104">
        <f t="shared" si="545"/>
        <v>0</v>
      </c>
      <c r="Y381" s="104">
        <f t="shared" si="545"/>
        <v>9.9999999999999995E-8</v>
      </c>
      <c r="Z381" s="104">
        <f t="shared" si="545"/>
        <v>9.9999999999999995E-8</v>
      </c>
      <c r="AA381" s="105">
        <f t="shared" si="545"/>
        <v>9.9999999999999995E-8</v>
      </c>
      <c r="AB381" s="101" t="e">
        <f>$DT381*HLOOKUP($J381,'Construction Costs (timber)'!$B$1:$V$32,'Construction Planner'!$L381+2,FALSE)</f>
        <v>#N/A</v>
      </c>
      <c r="AC381" s="14" t="e">
        <f>$DT381*HLOOKUP($J381,'Construction Costs (clay)'!$B$1:$V$32,'Construction Planner'!$L381+2,FALSE)</f>
        <v>#N/A</v>
      </c>
      <c r="AD381" s="14" t="e">
        <f>$DT381*HLOOKUP($J381,'Construction Costs (iron)'!$B$1:$V$32,'Construction Planner'!$L381+2,FALSE)</f>
        <v>#N/A</v>
      </c>
      <c r="AE381" s="34" t="e">
        <f t="shared" si="524"/>
        <v>#N/A</v>
      </c>
      <c r="AF381" s="33" t="e">
        <f t="shared" si="467"/>
        <v>#N/A</v>
      </c>
      <c r="AG381" s="14" t="e">
        <f t="shared" si="468"/>
        <v>#N/A</v>
      </c>
      <c r="AH381" s="14" t="e">
        <f t="shared" si="469"/>
        <v>#N/A</v>
      </c>
      <c r="AI381" s="34" t="e">
        <f t="shared" si="525"/>
        <v>#N/A</v>
      </c>
      <c r="AJ381" s="49" t="e">
        <f t="shared" si="489"/>
        <v>#N/A</v>
      </c>
      <c r="AK381" s="49" t="e">
        <f t="shared" si="490"/>
        <v>#N/A</v>
      </c>
      <c r="AL381" s="49" t="e">
        <f t="shared" si="491"/>
        <v>#N/A</v>
      </c>
      <c r="AM381" s="25">
        <f t="shared" si="470"/>
        <v>30</v>
      </c>
      <c r="AN381" s="25">
        <f t="shared" si="471"/>
        <v>30</v>
      </c>
      <c r="AO381" s="25">
        <f t="shared" si="472"/>
        <v>30</v>
      </c>
      <c r="AP381" s="52" t="e">
        <f t="shared" si="546"/>
        <v>#N/A</v>
      </c>
      <c r="AQ381" s="53" t="e">
        <f t="shared" si="546"/>
        <v>#N/A</v>
      </c>
      <c r="AR381" s="54" t="e">
        <f t="shared" si="546"/>
        <v>#N/A</v>
      </c>
      <c r="AS381" s="316">
        <f t="shared" si="550"/>
        <v>0</v>
      </c>
      <c r="AT381" s="106">
        <f>_xlfn.IFNA($M381/VLOOKUP($BT381,'Unit information'!$A$2:$K$29,2,FALSE)*R381,0)*(1+$E$9)</f>
        <v>0</v>
      </c>
      <c r="AU381" s="107">
        <f>_xlfn.IFNA($M381/VLOOKUP($BT381,'Unit information'!$A$2:$K$29,3,FALSE)*S381,0)*(1+$E$9)</f>
        <v>0</v>
      </c>
      <c r="AV381" s="107">
        <f>_xlfn.IFNA($M381/VLOOKUP($BT381,'Unit information'!$A$2:$K$29,4,FALSE)*T381,0)*(1+$E$9)</f>
        <v>0</v>
      </c>
      <c r="AW381" s="107">
        <f>_xlfn.IFNA($M381/VLOOKUP($BT381,'Unit information'!$A$2:$K$29,5,FALSE)*U381,0)*(1+$E$9)</f>
        <v>0</v>
      </c>
      <c r="AX381" s="107">
        <f>_xlfn.IFNA($M381/VLOOKUP($BU381,'Unit information'!$A$2:$K$29,6,FALSE)*V381,0)*(1+$E$9)</f>
        <v>0</v>
      </c>
      <c r="AY381" s="107">
        <f>_xlfn.IFNA($M381/VLOOKUP($BU381,'Unit information'!$A$2:$K$29,7,FALSE)*W381,0)*(1+$E$9)</f>
        <v>0</v>
      </c>
      <c r="AZ381" s="107">
        <f>_xlfn.IFNA($M381/VLOOKUP($BU381,'Unit information'!$A$2:$K$29,8,FALSE)*X381,0)*(1+$E$9)</f>
        <v>0</v>
      </c>
      <c r="BA381" s="107">
        <f>_xlfn.IFNA($M381/VLOOKUP($BU381,'Unit information'!$A$2:$K$29,9,FALSE)*Y381,0)*(1+$E$9)</f>
        <v>0</v>
      </c>
      <c r="BB381" s="107">
        <f>_xlfn.IFNA($M381/VLOOKUP($BV381,'Unit information'!$A$2:$K$29,10,FALSE)*Z381,0)*(1+$E$9)</f>
        <v>0</v>
      </c>
      <c r="BC381" s="108">
        <f>_xlfn.IFNA($M381/VLOOKUP($BV381,'Unit information'!$A$2:$K$29,11,FALSE)*AA381,0)*(1+$E$9)</f>
        <v>0</v>
      </c>
      <c r="BD381" s="106">
        <f t="shared" si="473"/>
        <v>0</v>
      </c>
      <c r="BE381" s="107">
        <f t="shared" si="474"/>
        <v>0</v>
      </c>
      <c r="BF381" s="108">
        <f t="shared" si="475"/>
        <v>0</v>
      </c>
      <c r="BG381" s="25" t="e">
        <f t="shared" si="476"/>
        <v>#N/A</v>
      </c>
      <c r="BH381" s="25" t="e">
        <f t="shared" si="477"/>
        <v>#N/A</v>
      </c>
      <c r="BI381" s="25" t="e">
        <f t="shared" si="478"/>
        <v>#N/A</v>
      </c>
      <c r="BJ381" s="27" t="e">
        <f t="shared" si="479"/>
        <v>#N/A</v>
      </c>
      <c r="BK381" s="18" t="e">
        <f t="shared" si="480"/>
        <v>#N/A</v>
      </c>
      <c r="BL381" s="18" t="e">
        <f t="shared" si="481"/>
        <v>#N/A</v>
      </c>
      <c r="BM381" s="28" t="e">
        <f t="shared" si="527"/>
        <v>#N/A</v>
      </c>
      <c r="BN381" s="33">
        <f>HLOOKUP("maximum population",Miscelaneous!$C$1:$C$33,CH381+3,FALSE)</f>
        <v>240</v>
      </c>
      <c r="BO381" s="14">
        <f t="shared" si="493"/>
        <v>32</v>
      </c>
      <c r="BP381" s="14">
        <f t="shared" si="494"/>
        <v>0</v>
      </c>
      <c r="BQ381" s="14">
        <f t="shared" si="495"/>
        <v>208</v>
      </c>
      <c r="BR381" s="34" t="e">
        <f>HLOOKUP(J381,Villagers!$B$1:$V$33,L381+3,FALSE)-HLOOKUP(J381,Villagers!$B$1:$V$33,L381+2,FALSE)</f>
        <v>#N/A</v>
      </c>
      <c r="BS381" s="49">
        <f t="shared" si="496"/>
        <v>1</v>
      </c>
      <c r="BT381" s="50">
        <f t="shared" si="497"/>
        <v>0</v>
      </c>
      <c r="BU381" s="50">
        <f t="shared" si="498"/>
        <v>0</v>
      </c>
      <c r="BV381" s="50">
        <f t="shared" si="499"/>
        <v>0</v>
      </c>
      <c r="BW381" s="50">
        <f t="shared" si="552"/>
        <v>0</v>
      </c>
      <c r="BX381" s="50">
        <f t="shared" si="551"/>
        <v>0</v>
      </c>
      <c r="BY381" s="50">
        <f t="shared" si="551"/>
        <v>0</v>
      </c>
      <c r="BZ381" s="50">
        <f t="shared" si="530"/>
        <v>0</v>
      </c>
      <c r="CA381" s="50">
        <f t="shared" si="531"/>
        <v>0</v>
      </c>
      <c r="CB381" s="50">
        <f t="shared" si="532"/>
        <v>1</v>
      </c>
      <c r="CC381" s="50">
        <f t="shared" si="533"/>
        <v>0</v>
      </c>
      <c r="CD381" s="50">
        <f t="shared" si="534"/>
        <v>0</v>
      </c>
      <c r="CE381" s="50">
        <f t="shared" si="535"/>
        <v>1</v>
      </c>
      <c r="CF381" s="50">
        <f t="shared" si="536"/>
        <v>1</v>
      </c>
      <c r="CG381" s="50">
        <f t="shared" si="537"/>
        <v>1</v>
      </c>
      <c r="CH381" s="50">
        <f t="shared" si="538"/>
        <v>1</v>
      </c>
      <c r="CI381" s="50">
        <f t="shared" si="539"/>
        <v>1</v>
      </c>
      <c r="CJ381" s="50">
        <f t="shared" si="540"/>
        <v>1</v>
      </c>
      <c r="CK381" s="50">
        <f t="shared" si="540"/>
        <v>0</v>
      </c>
      <c r="CL381" s="50">
        <f t="shared" si="540"/>
        <v>0</v>
      </c>
      <c r="CM381" s="51">
        <f t="shared" si="482"/>
        <v>0</v>
      </c>
      <c r="CN381" s="33">
        <f>ROUND(IF(BS381=0,0,HLOOKUP(BS$14,Villagers!$B$1:$V$33,BS381+3,FALSE)),)</f>
        <v>5</v>
      </c>
      <c r="CO381" s="14">
        <f>ROUND(IF(BT381=0,0,HLOOKUP(BT$14,Villagers!$B$1:$V$33,BT381+3,FALSE)),)</f>
        <v>0</v>
      </c>
      <c r="CP381" s="14">
        <f>ROUND(IF(BU381=0,0,HLOOKUP(BU$14,Villagers!$B$1:$V$33,BU381+3,FALSE)),)</f>
        <v>0</v>
      </c>
      <c r="CQ381" s="14">
        <f>ROUND(IF(BV381=0,0,HLOOKUP(BV$14,Villagers!$B$1:$V$33,BV381+3,FALSE)),)</f>
        <v>0</v>
      </c>
      <c r="CR381" s="14">
        <f>ROUND(IF(BW381=0,0,HLOOKUP(BW$14,Villagers!$B$1:$V$33,BW381+3,FALSE)),)</f>
        <v>0</v>
      </c>
      <c r="CS381" s="14">
        <f>ROUND(IF(BX381=0,0,HLOOKUP(BX$14,Villagers!$B$1:$V$33,BX381+3,FALSE)),)</f>
        <v>0</v>
      </c>
      <c r="CT381" s="14">
        <f>ROUND(IF(BY381=0,0,HLOOKUP(BY$14,Villagers!$B$1:$V$33,BY381+3,FALSE)),)</f>
        <v>0</v>
      </c>
      <c r="CU381" s="14">
        <f>ROUND(IF(BZ381=0,0,HLOOKUP(BZ$14,Villagers!$B$1:$V$33,BZ381+3,FALSE)),)</f>
        <v>0</v>
      </c>
      <c r="CV381" s="14">
        <f>ROUND(IF(CA381=0,0,HLOOKUP(CA$14,Villagers!$B$1:$V$33,CA381+3,FALSE)),)</f>
        <v>0</v>
      </c>
      <c r="CW381" s="14">
        <f>ROUND(IF(CB381=0,0,HLOOKUP(CB$14,Villagers!$B$1:$V$33,CB381+3,FALSE)),)</f>
        <v>0</v>
      </c>
      <c r="CX381" s="14">
        <f>ROUND(IF(CC381=0,0,HLOOKUP(CC$14,Villagers!$B$1:$V$33,CC381+3,FALSE)),)</f>
        <v>0</v>
      </c>
      <c r="CY381" s="14">
        <f>ROUND(IF(CD381=0,0,HLOOKUP(CD$14,Villagers!$B$1:$V$33,CD381+3,FALSE)),)</f>
        <v>0</v>
      </c>
      <c r="CZ381" s="14">
        <f>ROUND(IF(CE381=0,0,HLOOKUP(CE$14,Villagers!$B$1:$V$33,CE381+3,FALSE)),)</f>
        <v>5</v>
      </c>
      <c r="DA381" s="14">
        <f>ROUND(IF(CF381=0,0,HLOOKUP(CF$14,Villagers!$B$1:$V$33,CF381+3,FALSE)),)</f>
        <v>10</v>
      </c>
      <c r="DB381" s="14">
        <f>ROUND(IF(CG381=0,0,HLOOKUP(CG$14,Villagers!$B$1:$V$33,CG381+3,FALSE)),)</f>
        <v>10</v>
      </c>
      <c r="DC381" s="14">
        <f>ROUND(IF(CH381=0,0,HLOOKUP(CH$14,Villagers!$B$1:$V$33,CH381+3,FALSE)),)</f>
        <v>0</v>
      </c>
      <c r="DD381" s="14">
        <f>ROUND(IF(CI381=0,0,HLOOKUP(CI$14,Villagers!$B$1:$V$33,CI381+3,FALSE)),)</f>
        <v>0</v>
      </c>
      <c r="DE381" s="14">
        <f>ROUND(IF(CJ381=0,0,HLOOKUP(CJ$14,Villagers!$B$1:$V$33,CJ381+3,FALSE)),)</f>
        <v>2</v>
      </c>
      <c r="DF381" s="370">
        <f>ROUND(IF(CK381=0,0,HLOOKUP(CK$14,Villagers!$B$1:$V$33,CK381+3,FALSE)),)</f>
        <v>0</v>
      </c>
      <c r="DG381" s="370">
        <f>ROUND(IF(CL381=0,0,HLOOKUP(CL$14,Villagers!$B$1:$V$33,CL381+3,FALSE)),)</f>
        <v>0</v>
      </c>
      <c r="DH381" s="34">
        <f>ROUND(IF(CM381=0,0,HLOOKUP(CM$14,Villagers!$B$1:$V$33,CM381+3,FALSE)),)</f>
        <v>0</v>
      </c>
      <c r="DI381" s="109">
        <f t="shared" si="516"/>
        <v>0</v>
      </c>
      <c r="DJ381" s="50">
        <f t="shared" si="517"/>
        <v>0</v>
      </c>
      <c r="DK381" s="50">
        <f t="shared" si="518"/>
        <v>0</v>
      </c>
      <c r="DL381" s="50">
        <f t="shared" si="519"/>
        <v>0</v>
      </c>
      <c r="DM381" s="50">
        <f t="shared" si="520"/>
        <v>0</v>
      </c>
      <c r="DN381" s="50">
        <f t="shared" si="521"/>
        <v>0</v>
      </c>
      <c r="DO381" s="50">
        <f t="shared" si="522"/>
        <v>0</v>
      </c>
      <c r="DP381" s="50">
        <f t="shared" si="523"/>
        <v>0</v>
      </c>
      <c r="DQ381" s="50">
        <f t="shared" si="501"/>
        <v>0</v>
      </c>
      <c r="DR381" s="50">
        <f t="shared" si="502"/>
        <v>0</v>
      </c>
      <c r="DS381" s="96">
        <f>Miscelaneous!$D$4*Miscelaneous!$D$2^($CI381-1)</f>
        <v>1000</v>
      </c>
      <c r="DT381" s="333">
        <f t="shared" si="483"/>
        <v>1</v>
      </c>
      <c r="DU381" s="81">
        <v>1</v>
      </c>
      <c r="DV381" s="79">
        <f t="shared" si="503"/>
        <v>0</v>
      </c>
      <c r="DW381" s="79">
        <f t="shared" si="504"/>
        <v>0</v>
      </c>
      <c r="DX381" s="79">
        <f t="shared" si="505"/>
        <v>0</v>
      </c>
      <c r="DY381" s="79">
        <v>1</v>
      </c>
      <c r="DZ381" s="79">
        <f t="shared" si="506"/>
        <v>0</v>
      </c>
      <c r="EA381" s="79">
        <f t="shared" si="507"/>
        <v>0</v>
      </c>
      <c r="EB381" s="79">
        <f t="shared" si="508"/>
        <v>0</v>
      </c>
      <c r="EC381" s="79">
        <f t="shared" si="509"/>
        <v>0</v>
      </c>
      <c r="ED381" s="79">
        <v>1</v>
      </c>
      <c r="EE381" s="79">
        <v>1</v>
      </c>
      <c r="EF381" s="79">
        <f t="shared" si="510"/>
        <v>0</v>
      </c>
      <c r="EG381" s="79">
        <v>1</v>
      </c>
      <c r="EH381" s="79">
        <v>1</v>
      </c>
      <c r="EI381" s="79">
        <v>1</v>
      </c>
      <c r="EJ381" s="79">
        <v>1</v>
      </c>
      <c r="EK381" s="79">
        <v>1</v>
      </c>
      <c r="EL381" s="79">
        <v>1</v>
      </c>
      <c r="EM381" s="143">
        <f t="shared" si="511"/>
        <v>0</v>
      </c>
      <c r="EN381" s="143">
        <f t="shared" si="512"/>
        <v>0</v>
      </c>
      <c r="EO381" s="82">
        <f t="shared" si="513"/>
        <v>0</v>
      </c>
    </row>
    <row r="382" spans="1:145" x14ac:dyDescent="0.25">
      <c r="A382">
        <v>368</v>
      </c>
      <c r="B382" s="172" t="e">
        <f t="shared" si="484"/>
        <v>#N/A</v>
      </c>
      <c r="C382" s="121" t="e">
        <f t="shared" si="462"/>
        <v>#N/A</v>
      </c>
      <c r="D382" s="122" t="e">
        <f t="shared" si="463"/>
        <v>#N/A</v>
      </c>
      <c r="E382" s="122" t="e">
        <f t="shared" si="464"/>
        <v>#N/A</v>
      </c>
      <c r="F382" s="176" t="e">
        <f t="shared" si="465"/>
        <v>#N/A</v>
      </c>
      <c r="G382" s="121">
        <f t="shared" si="485"/>
        <v>208</v>
      </c>
      <c r="H382" s="176" t="e">
        <f t="shared" si="486"/>
        <v>#N/A</v>
      </c>
      <c r="I382" s="48">
        <v>1</v>
      </c>
      <c r="J382" s="39"/>
      <c r="K382" s="350">
        <v>1</v>
      </c>
      <c r="L382" s="34" t="e">
        <f t="shared" si="466"/>
        <v>#N/A</v>
      </c>
      <c r="M382" s="38" t="e">
        <f>(HLOOKUP(J382,'Construction Times'!$B$3:$W$34,L382+2,FALSE)*HLOOKUP("hq modifier",'Construction Times'!$W$3:$W$34,BS382+2,FALSE))*(1-$H$9)</f>
        <v>#N/A</v>
      </c>
      <c r="N382" s="443" t="e">
        <f t="shared" si="487"/>
        <v>#N/A</v>
      </c>
      <c r="O382" s="444"/>
      <c r="P382" s="447" t="e">
        <f t="shared" si="488"/>
        <v>#N/A</v>
      </c>
      <c r="Q382" s="448"/>
      <c r="R382" s="103">
        <f t="shared" si="548"/>
        <v>0</v>
      </c>
      <c r="S382" s="104">
        <f t="shared" si="548"/>
        <v>0</v>
      </c>
      <c r="T382" s="104">
        <f t="shared" si="549"/>
        <v>0</v>
      </c>
      <c r="U382" s="104">
        <f t="shared" si="549"/>
        <v>0</v>
      </c>
      <c r="V382" s="104">
        <f t="shared" si="549"/>
        <v>9.9999999999999995E-8</v>
      </c>
      <c r="W382" s="104">
        <f t="shared" si="549"/>
        <v>0</v>
      </c>
      <c r="X382" s="104">
        <f t="shared" si="545"/>
        <v>0</v>
      </c>
      <c r="Y382" s="104">
        <f t="shared" si="545"/>
        <v>9.9999999999999995E-8</v>
      </c>
      <c r="Z382" s="104">
        <f t="shared" si="545"/>
        <v>9.9999999999999995E-8</v>
      </c>
      <c r="AA382" s="105">
        <f t="shared" si="545"/>
        <v>9.9999999999999995E-8</v>
      </c>
      <c r="AB382" s="101" t="e">
        <f>$DT382*HLOOKUP($J382,'Construction Costs (timber)'!$B$1:$V$32,'Construction Planner'!$L382+2,FALSE)</f>
        <v>#N/A</v>
      </c>
      <c r="AC382" s="14" t="e">
        <f>$DT382*HLOOKUP($J382,'Construction Costs (clay)'!$B$1:$V$32,'Construction Planner'!$L382+2,FALSE)</f>
        <v>#N/A</v>
      </c>
      <c r="AD382" s="14" t="e">
        <f>$DT382*HLOOKUP($J382,'Construction Costs (iron)'!$B$1:$V$32,'Construction Planner'!$L382+2,FALSE)</f>
        <v>#N/A</v>
      </c>
      <c r="AE382" s="34" t="e">
        <f t="shared" si="524"/>
        <v>#N/A</v>
      </c>
      <c r="AF382" s="33" t="e">
        <f t="shared" si="467"/>
        <v>#N/A</v>
      </c>
      <c r="AG382" s="14" t="e">
        <f t="shared" si="468"/>
        <v>#N/A</v>
      </c>
      <c r="AH382" s="14" t="e">
        <f t="shared" si="469"/>
        <v>#N/A</v>
      </c>
      <c r="AI382" s="34" t="e">
        <f t="shared" si="525"/>
        <v>#N/A</v>
      </c>
      <c r="AJ382" s="49" t="e">
        <f t="shared" si="489"/>
        <v>#N/A</v>
      </c>
      <c r="AK382" s="49" t="e">
        <f t="shared" si="490"/>
        <v>#N/A</v>
      </c>
      <c r="AL382" s="49" t="e">
        <f t="shared" si="491"/>
        <v>#N/A</v>
      </c>
      <c r="AM382" s="25">
        <f t="shared" si="470"/>
        <v>30</v>
      </c>
      <c r="AN382" s="25">
        <f t="shared" si="471"/>
        <v>30</v>
      </c>
      <c r="AO382" s="25">
        <f t="shared" si="472"/>
        <v>30</v>
      </c>
      <c r="AP382" s="52" t="e">
        <f t="shared" si="546"/>
        <v>#N/A</v>
      </c>
      <c r="AQ382" s="53" t="e">
        <f t="shared" si="546"/>
        <v>#N/A</v>
      </c>
      <c r="AR382" s="54" t="e">
        <f t="shared" si="546"/>
        <v>#N/A</v>
      </c>
      <c r="AS382" s="316">
        <f t="shared" si="550"/>
        <v>0</v>
      </c>
      <c r="AT382" s="106">
        <f>_xlfn.IFNA($M382/VLOOKUP($BT382,'Unit information'!$A$2:$K$29,2,FALSE)*R382,0)*(1+$E$9)</f>
        <v>0</v>
      </c>
      <c r="AU382" s="107">
        <f>_xlfn.IFNA($M382/VLOOKUP($BT382,'Unit information'!$A$2:$K$29,3,FALSE)*S382,0)*(1+$E$9)</f>
        <v>0</v>
      </c>
      <c r="AV382" s="107">
        <f>_xlfn.IFNA($M382/VLOOKUP($BT382,'Unit information'!$A$2:$K$29,4,FALSE)*T382,0)*(1+$E$9)</f>
        <v>0</v>
      </c>
      <c r="AW382" s="107">
        <f>_xlfn.IFNA($M382/VLOOKUP($BT382,'Unit information'!$A$2:$K$29,5,FALSE)*U382,0)*(1+$E$9)</f>
        <v>0</v>
      </c>
      <c r="AX382" s="107">
        <f>_xlfn.IFNA($M382/VLOOKUP($BU382,'Unit information'!$A$2:$K$29,6,FALSE)*V382,0)*(1+$E$9)</f>
        <v>0</v>
      </c>
      <c r="AY382" s="107">
        <f>_xlfn.IFNA($M382/VLOOKUP($BU382,'Unit information'!$A$2:$K$29,7,FALSE)*W382,0)*(1+$E$9)</f>
        <v>0</v>
      </c>
      <c r="AZ382" s="107">
        <f>_xlfn.IFNA($M382/VLOOKUP($BU382,'Unit information'!$A$2:$K$29,8,FALSE)*X382,0)*(1+$E$9)</f>
        <v>0</v>
      </c>
      <c r="BA382" s="107">
        <f>_xlfn.IFNA($M382/VLOOKUP($BU382,'Unit information'!$A$2:$K$29,9,FALSE)*Y382,0)*(1+$E$9)</f>
        <v>0</v>
      </c>
      <c r="BB382" s="107">
        <f>_xlfn.IFNA($M382/VLOOKUP($BV382,'Unit information'!$A$2:$K$29,10,FALSE)*Z382,0)*(1+$E$9)</f>
        <v>0</v>
      </c>
      <c r="BC382" s="108">
        <f>_xlfn.IFNA($M382/VLOOKUP($BV382,'Unit information'!$A$2:$K$29,11,FALSE)*AA382,0)*(1+$E$9)</f>
        <v>0</v>
      </c>
      <c r="BD382" s="106">
        <f t="shared" si="473"/>
        <v>0</v>
      </c>
      <c r="BE382" s="107">
        <f t="shared" si="474"/>
        <v>0</v>
      </c>
      <c r="BF382" s="108">
        <f t="shared" si="475"/>
        <v>0</v>
      </c>
      <c r="BG382" s="25" t="e">
        <f t="shared" si="476"/>
        <v>#N/A</v>
      </c>
      <c r="BH382" s="25" t="e">
        <f t="shared" si="477"/>
        <v>#N/A</v>
      </c>
      <c r="BI382" s="25" t="e">
        <f t="shared" si="478"/>
        <v>#N/A</v>
      </c>
      <c r="BJ382" s="27" t="e">
        <f t="shared" si="479"/>
        <v>#N/A</v>
      </c>
      <c r="BK382" s="18" t="e">
        <f t="shared" si="480"/>
        <v>#N/A</v>
      </c>
      <c r="BL382" s="18" t="e">
        <f t="shared" si="481"/>
        <v>#N/A</v>
      </c>
      <c r="BM382" s="28" t="e">
        <f t="shared" si="527"/>
        <v>#N/A</v>
      </c>
      <c r="BN382" s="33">
        <f>HLOOKUP("maximum population",Miscelaneous!$C$1:$C$33,CH382+3,FALSE)</f>
        <v>240</v>
      </c>
      <c r="BO382" s="14">
        <f t="shared" si="493"/>
        <v>32</v>
      </c>
      <c r="BP382" s="14">
        <f t="shared" si="494"/>
        <v>0</v>
      </c>
      <c r="BQ382" s="14">
        <f t="shared" si="495"/>
        <v>208</v>
      </c>
      <c r="BR382" s="34" t="e">
        <f>HLOOKUP(J382,Villagers!$B$1:$V$33,L382+3,FALSE)-HLOOKUP(J382,Villagers!$B$1:$V$33,L382+2,FALSE)</f>
        <v>#N/A</v>
      </c>
      <c r="BS382" s="49">
        <f t="shared" si="496"/>
        <v>1</v>
      </c>
      <c r="BT382" s="50">
        <f t="shared" si="497"/>
        <v>0</v>
      </c>
      <c r="BU382" s="50">
        <f t="shared" si="498"/>
        <v>0</v>
      </c>
      <c r="BV382" s="50">
        <f t="shared" si="499"/>
        <v>0</v>
      </c>
      <c r="BW382" s="50">
        <f t="shared" si="552"/>
        <v>0</v>
      </c>
      <c r="BX382" s="50">
        <f t="shared" si="551"/>
        <v>0</v>
      </c>
      <c r="BY382" s="50">
        <f t="shared" si="551"/>
        <v>0</v>
      </c>
      <c r="BZ382" s="50">
        <f t="shared" si="530"/>
        <v>0</v>
      </c>
      <c r="CA382" s="50">
        <f t="shared" si="531"/>
        <v>0</v>
      </c>
      <c r="CB382" s="50">
        <f t="shared" si="532"/>
        <v>1</v>
      </c>
      <c r="CC382" s="50">
        <f t="shared" si="533"/>
        <v>0</v>
      </c>
      <c r="CD382" s="50">
        <f t="shared" si="534"/>
        <v>0</v>
      </c>
      <c r="CE382" s="50">
        <f t="shared" si="535"/>
        <v>1</v>
      </c>
      <c r="CF382" s="50">
        <f t="shared" si="536"/>
        <v>1</v>
      </c>
      <c r="CG382" s="50">
        <f t="shared" si="537"/>
        <v>1</v>
      </c>
      <c r="CH382" s="50">
        <f t="shared" si="538"/>
        <v>1</v>
      </c>
      <c r="CI382" s="50">
        <f t="shared" si="539"/>
        <v>1</v>
      </c>
      <c r="CJ382" s="50">
        <f t="shared" si="540"/>
        <v>1</v>
      </c>
      <c r="CK382" s="50">
        <f t="shared" si="540"/>
        <v>0</v>
      </c>
      <c r="CL382" s="50">
        <f t="shared" si="540"/>
        <v>0</v>
      </c>
      <c r="CM382" s="51">
        <f t="shared" si="482"/>
        <v>0</v>
      </c>
      <c r="CN382" s="33">
        <f>ROUND(IF(BS382=0,0,HLOOKUP(BS$14,Villagers!$B$1:$V$33,BS382+3,FALSE)),)</f>
        <v>5</v>
      </c>
      <c r="CO382" s="14">
        <f>ROUND(IF(BT382=0,0,HLOOKUP(BT$14,Villagers!$B$1:$V$33,BT382+3,FALSE)),)</f>
        <v>0</v>
      </c>
      <c r="CP382" s="14">
        <f>ROUND(IF(BU382=0,0,HLOOKUP(BU$14,Villagers!$B$1:$V$33,BU382+3,FALSE)),)</f>
        <v>0</v>
      </c>
      <c r="CQ382" s="14">
        <f>ROUND(IF(BV382=0,0,HLOOKUP(BV$14,Villagers!$B$1:$V$33,BV382+3,FALSE)),)</f>
        <v>0</v>
      </c>
      <c r="CR382" s="14">
        <f>ROUND(IF(BW382=0,0,HLOOKUP(BW$14,Villagers!$B$1:$V$33,BW382+3,FALSE)),)</f>
        <v>0</v>
      </c>
      <c r="CS382" s="14">
        <f>ROUND(IF(BX382=0,0,HLOOKUP(BX$14,Villagers!$B$1:$V$33,BX382+3,FALSE)),)</f>
        <v>0</v>
      </c>
      <c r="CT382" s="14">
        <f>ROUND(IF(BY382=0,0,HLOOKUP(BY$14,Villagers!$B$1:$V$33,BY382+3,FALSE)),)</f>
        <v>0</v>
      </c>
      <c r="CU382" s="14">
        <f>ROUND(IF(BZ382=0,0,HLOOKUP(BZ$14,Villagers!$B$1:$V$33,BZ382+3,FALSE)),)</f>
        <v>0</v>
      </c>
      <c r="CV382" s="14">
        <f>ROUND(IF(CA382=0,0,HLOOKUP(CA$14,Villagers!$B$1:$V$33,CA382+3,FALSE)),)</f>
        <v>0</v>
      </c>
      <c r="CW382" s="14">
        <f>ROUND(IF(CB382=0,0,HLOOKUP(CB$14,Villagers!$B$1:$V$33,CB382+3,FALSE)),)</f>
        <v>0</v>
      </c>
      <c r="CX382" s="14">
        <f>ROUND(IF(CC382=0,0,HLOOKUP(CC$14,Villagers!$B$1:$V$33,CC382+3,FALSE)),)</f>
        <v>0</v>
      </c>
      <c r="CY382" s="14">
        <f>ROUND(IF(CD382=0,0,HLOOKUP(CD$14,Villagers!$B$1:$V$33,CD382+3,FALSE)),)</f>
        <v>0</v>
      </c>
      <c r="CZ382" s="14">
        <f>ROUND(IF(CE382=0,0,HLOOKUP(CE$14,Villagers!$B$1:$V$33,CE382+3,FALSE)),)</f>
        <v>5</v>
      </c>
      <c r="DA382" s="14">
        <f>ROUND(IF(CF382=0,0,HLOOKUP(CF$14,Villagers!$B$1:$V$33,CF382+3,FALSE)),)</f>
        <v>10</v>
      </c>
      <c r="DB382" s="14">
        <f>ROUND(IF(CG382=0,0,HLOOKUP(CG$14,Villagers!$B$1:$V$33,CG382+3,FALSE)),)</f>
        <v>10</v>
      </c>
      <c r="DC382" s="14">
        <f>ROUND(IF(CH382=0,0,HLOOKUP(CH$14,Villagers!$B$1:$V$33,CH382+3,FALSE)),)</f>
        <v>0</v>
      </c>
      <c r="DD382" s="14">
        <f>ROUND(IF(CI382=0,0,HLOOKUP(CI$14,Villagers!$B$1:$V$33,CI382+3,FALSE)),)</f>
        <v>0</v>
      </c>
      <c r="DE382" s="14">
        <f>ROUND(IF(CJ382=0,0,HLOOKUP(CJ$14,Villagers!$B$1:$V$33,CJ382+3,FALSE)),)</f>
        <v>2</v>
      </c>
      <c r="DF382" s="370">
        <f>ROUND(IF(CK382=0,0,HLOOKUP(CK$14,Villagers!$B$1:$V$33,CK382+3,FALSE)),)</f>
        <v>0</v>
      </c>
      <c r="DG382" s="370">
        <f>ROUND(IF(CL382=0,0,HLOOKUP(CL$14,Villagers!$B$1:$V$33,CL382+3,FALSE)),)</f>
        <v>0</v>
      </c>
      <c r="DH382" s="34">
        <f>ROUND(IF(CM382=0,0,HLOOKUP(CM$14,Villagers!$B$1:$V$33,CM382+3,FALSE)),)</f>
        <v>0</v>
      </c>
      <c r="DI382" s="109">
        <f t="shared" si="516"/>
        <v>0</v>
      </c>
      <c r="DJ382" s="50">
        <f t="shared" si="517"/>
        <v>0</v>
      </c>
      <c r="DK382" s="50">
        <f t="shared" si="518"/>
        <v>0</v>
      </c>
      <c r="DL382" s="50">
        <f t="shared" si="519"/>
        <v>0</v>
      </c>
      <c r="DM382" s="50">
        <f t="shared" si="520"/>
        <v>0</v>
      </c>
      <c r="DN382" s="50">
        <f t="shared" si="521"/>
        <v>0</v>
      </c>
      <c r="DO382" s="50">
        <f t="shared" si="522"/>
        <v>0</v>
      </c>
      <c r="DP382" s="50">
        <f t="shared" si="523"/>
        <v>0</v>
      </c>
      <c r="DQ382" s="50">
        <f t="shared" si="501"/>
        <v>0</v>
      </c>
      <c r="DR382" s="50">
        <f t="shared" si="502"/>
        <v>0</v>
      </c>
      <c r="DS382" s="96">
        <f>Miscelaneous!$D$4*Miscelaneous!$D$2^($CI382-1)</f>
        <v>1000</v>
      </c>
      <c r="DT382" s="333">
        <f t="shared" si="483"/>
        <v>1</v>
      </c>
      <c r="DU382" s="81">
        <v>1</v>
      </c>
      <c r="DV382" s="79">
        <f t="shared" si="503"/>
        <v>0</v>
      </c>
      <c r="DW382" s="79">
        <f t="shared" si="504"/>
        <v>0</v>
      </c>
      <c r="DX382" s="79">
        <f t="shared" si="505"/>
        <v>0</v>
      </c>
      <c r="DY382" s="79">
        <v>1</v>
      </c>
      <c r="DZ382" s="79">
        <f t="shared" si="506"/>
        <v>0</v>
      </c>
      <c r="EA382" s="79">
        <f t="shared" si="507"/>
        <v>0</v>
      </c>
      <c r="EB382" s="79">
        <f t="shared" si="508"/>
        <v>0</v>
      </c>
      <c r="EC382" s="79">
        <f t="shared" si="509"/>
        <v>0</v>
      </c>
      <c r="ED382" s="79">
        <v>1</v>
      </c>
      <c r="EE382" s="79">
        <v>1</v>
      </c>
      <c r="EF382" s="79">
        <f t="shared" si="510"/>
        <v>0</v>
      </c>
      <c r="EG382" s="79">
        <v>1</v>
      </c>
      <c r="EH382" s="79">
        <v>1</v>
      </c>
      <c r="EI382" s="79">
        <v>1</v>
      </c>
      <c r="EJ382" s="79">
        <v>1</v>
      </c>
      <c r="EK382" s="79">
        <v>1</v>
      </c>
      <c r="EL382" s="79">
        <v>1</v>
      </c>
      <c r="EM382" s="143">
        <f t="shared" si="511"/>
        <v>0</v>
      </c>
      <c r="EN382" s="143">
        <f t="shared" si="512"/>
        <v>0</v>
      </c>
      <c r="EO382" s="82">
        <f t="shared" si="513"/>
        <v>0</v>
      </c>
    </row>
    <row r="383" spans="1:145" x14ac:dyDescent="0.25">
      <c r="A383">
        <v>369</v>
      </c>
      <c r="B383" s="172" t="e">
        <f t="shared" si="484"/>
        <v>#N/A</v>
      </c>
      <c r="C383" s="121" t="e">
        <f t="shared" si="462"/>
        <v>#N/A</v>
      </c>
      <c r="D383" s="122" t="e">
        <f t="shared" si="463"/>
        <v>#N/A</v>
      </c>
      <c r="E383" s="122" t="e">
        <f t="shared" si="464"/>
        <v>#N/A</v>
      </c>
      <c r="F383" s="176" t="e">
        <f t="shared" si="465"/>
        <v>#N/A</v>
      </c>
      <c r="G383" s="121">
        <f t="shared" si="485"/>
        <v>208</v>
      </c>
      <c r="H383" s="176" t="e">
        <f t="shared" si="486"/>
        <v>#N/A</v>
      </c>
      <c r="I383" s="48">
        <v>1</v>
      </c>
      <c r="J383" s="39"/>
      <c r="K383" s="350">
        <v>1</v>
      </c>
      <c r="L383" s="34" t="e">
        <f t="shared" si="466"/>
        <v>#N/A</v>
      </c>
      <c r="M383" s="38" t="e">
        <f>(HLOOKUP(J383,'Construction Times'!$B$3:$W$34,L383+2,FALSE)*HLOOKUP("hq modifier",'Construction Times'!$W$3:$W$34,BS383+2,FALSE))*(1-$H$9)</f>
        <v>#N/A</v>
      </c>
      <c r="N383" s="443" t="e">
        <f t="shared" si="487"/>
        <v>#N/A</v>
      </c>
      <c r="O383" s="444"/>
      <c r="P383" s="447" t="e">
        <f t="shared" si="488"/>
        <v>#N/A</v>
      </c>
      <c r="Q383" s="448"/>
      <c r="R383" s="103">
        <f t="shared" si="548"/>
        <v>0</v>
      </c>
      <c r="S383" s="104">
        <f t="shared" si="548"/>
        <v>0</v>
      </c>
      <c r="T383" s="104">
        <f t="shared" si="549"/>
        <v>0</v>
      </c>
      <c r="U383" s="104">
        <f t="shared" si="549"/>
        <v>0</v>
      </c>
      <c r="V383" s="104">
        <f t="shared" si="549"/>
        <v>9.9999999999999995E-8</v>
      </c>
      <c r="W383" s="104">
        <f t="shared" si="549"/>
        <v>0</v>
      </c>
      <c r="X383" s="104">
        <f t="shared" si="545"/>
        <v>0</v>
      </c>
      <c r="Y383" s="104">
        <f t="shared" si="545"/>
        <v>9.9999999999999995E-8</v>
      </c>
      <c r="Z383" s="104">
        <f t="shared" si="545"/>
        <v>9.9999999999999995E-8</v>
      </c>
      <c r="AA383" s="105">
        <f t="shared" si="545"/>
        <v>9.9999999999999995E-8</v>
      </c>
      <c r="AB383" s="101" t="e">
        <f>$DT383*HLOOKUP($J383,'Construction Costs (timber)'!$B$1:$V$32,'Construction Planner'!$L383+2,FALSE)</f>
        <v>#N/A</v>
      </c>
      <c r="AC383" s="14" t="e">
        <f>$DT383*HLOOKUP($J383,'Construction Costs (clay)'!$B$1:$V$32,'Construction Planner'!$L383+2,FALSE)</f>
        <v>#N/A</v>
      </c>
      <c r="AD383" s="14" t="e">
        <f>$DT383*HLOOKUP($J383,'Construction Costs (iron)'!$B$1:$V$32,'Construction Planner'!$L383+2,FALSE)</f>
        <v>#N/A</v>
      </c>
      <c r="AE383" s="34" t="e">
        <f t="shared" si="524"/>
        <v>#N/A</v>
      </c>
      <c r="AF383" s="33" t="e">
        <f t="shared" si="467"/>
        <v>#N/A</v>
      </c>
      <c r="AG383" s="14" t="e">
        <f t="shared" si="468"/>
        <v>#N/A</v>
      </c>
      <c r="AH383" s="14" t="e">
        <f t="shared" si="469"/>
        <v>#N/A</v>
      </c>
      <c r="AI383" s="34" t="e">
        <f t="shared" si="525"/>
        <v>#N/A</v>
      </c>
      <c r="AJ383" s="49" t="e">
        <f t="shared" si="489"/>
        <v>#N/A</v>
      </c>
      <c r="AK383" s="49" t="e">
        <f t="shared" si="490"/>
        <v>#N/A</v>
      </c>
      <c r="AL383" s="49" t="e">
        <f t="shared" si="491"/>
        <v>#N/A</v>
      </c>
      <c r="AM383" s="25">
        <f t="shared" si="470"/>
        <v>30</v>
      </c>
      <c r="AN383" s="25">
        <f t="shared" si="471"/>
        <v>30</v>
      </c>
      <c r="AO383" s="25">
        <f t="shared" si="472"/>
        <v>30</v>
      </c>
      <c r="AP383" s="52" t="e">
        <f t="shared" si="546"/>
        <v>#N/A</v>
      </c>
      <c r="AQ383" s="53" t="e">
        <f t="shared" si="546"/>
        <v>#N/A</v>
      </c>
      <c r="AR383" s="54" t="e">
        <f t="shared" si="546"/>
        <v>#N/A</v>
      </c>
      <c r="AS383" s="316">
        <f t="shared" si="550"/>
        <v>0</v>
      </c>
      <c r="AT383" s="106">
        <f>_xlfn.IFNA($M383/VLOOKUP($BT383,'Unit information'!$A$2:$K$29,2,FALSE)*R383,0)*(1+$E$9)</f>
        <v>0</v>
      </c>
      <c r="AU383" s="107">
        <f>_xlfn.IFNA($M383/VLOOKUP($BT383,'Unit information'!$A$2:$K$29,3,FALSE)*S383,0)*(1+$E$9)</f>
        <v>0</v>
      </c>
      <c r="AV383" s="107">
        <f>_xlfn.IFNA($M383/VLOOKUP($BT383,'Unit information'!$A$2:$K$29,4,FALSE)*T383,0)*(1+$E$9)</f>
        <v>0</v>
      </c>
      <c r="AW383" s="107">
        <f>_xlfn.IFNA($M383/VLOOKUP($BT383,'Unit information'!$A$2:$K$29,5,FALSE)*U383,0)*(1+$E$9)</f>
        <v>0</v>
      </c>
      <c r="AX383" s="107">
        <f>_xlfn.IFNA($M383/VLOOKUP($BU383,'Unit information'!$A$2:$K$29,6,FALSE)*V383,0)*(1+$E$9)</f>
        <v>0</v>
      </c>
      <c r="AY383" s="107">
        <f>_xlfn.IFNA($M383/VLOOKUP($BU383,'Unit information'!$A$2:$K$29,7,FALSE)*W383,0)*(1+$E$9)</f>
        <v>0</v>
      </c>
      <c r="AZ383" s="107">
        <f>_xlfn.IFNA($M383/VLOOKUP($BU383,'Unit information'!$A$2:$K$29,8,FALSE)*X383,0)*(1+$E$9)</f>
        <v>0</v>
      </c>
      <c r="BA383" s="107">
        <f>_xlfn.IFNA($M383/VLOOKUP($BU383,'Unit information'!$A$2:$K$29,9,FALSE)*Y383,0)*(1+$E$9)</f>
        <v>0</v>
      </c>
      <c r="BB383" s="107">
        <f>_xlfn.IFNA($M383/VLOOKUP($BV383,'Unit information'!$A$2:$K$29,10,FALSE)*Z383,0)*(1+$E$9)</f>
        <v>0</v>
      </c>
      <c r="BC383" s="108">
        <f>_xlfn.IFNA($M383/VLOOKUP($BV383,'Unit information'!$A$2:$K$29,11,FALSE)*AA383,0)*(1+$E$9)</f>
        <v>0</v>
      </c>
      <c r="BD383" s="106">
        <f t="shared" si="473"/>
        <v>0</v>
      </c>
      <c r="BE383" s="107">
        <f t="shared" si="474"/>
        <v>0</v>
      </c>
      <c r="BF383" s="108">
        <f t="shared" si="475"/>
        <v>0</v>
      </c>
      <c r="BG383" s="25" t="e">
        <f t="shared" si="476"/>
        <v>#N/A</v>
      </c>
      <c r="BH383" s="25" t="e">
        <f t="shared" si="477"/>
        <v>#N/A</v>
      </c>
      <c r="BI383" s="25" t="e">
        <f t="shared" si="478"/>
        <v>#N/A</v>
      </c>
      <c r="BJ383" s="27" t="e">
        <f t="shared" si="479"/>
        <v>#N/A</v>
      </c>
      <c r="BK383" s="18" t="e">
        <f t="shared" si="480"/>
        <v>#N/A</v>
      </c>
      <c r="BL383" s="18" t="e">
        <f t="shared" si="481"/>
        <v>#N/A</v>
      </c>
      <c r="BM383" s="28" t="e">
        <f t="shared" si="527"/>
        <v>#N/A</v>
      </c>
      <c r="BN383" s="33">
        <f>HLOOKUP("maximum population",Miscelaneous!$C$1:$C$33,CH383+3,FALSE)</f>
        <v>240</v>
      </c>
      <c r="BO383" s="14">
        <f t="shared" si="493"/>
        <v>32</v>
      </c>
      <c r="BP383" s="14">
        <f t="shared" si="494"/>
        <v>0</v>
      </c>
      <c r="BQ383" s="14">
        <f t="shared" si="495"/>
        <v>208</v>
      </c>
      <c r="BR383" s="34" t="e">
        <f>HLOOKUP(J383,Villagers!$B$1:$V$33,L383+3,FALSE)-HLOOKUP(J383,Villagers!$B$1:$V$33,L383+2,FALSE)</f>
        <v>#N/A</v>
      </c>
      <c r="BS383" s="49">
        <f t="shared" si="496"/>
        <v>1</v>
      </c>
      <c r="BT383" s="50">
        <f t="shared" si="497"/>
        <v>0</v>
      </c>
      <c r="BU383" s="50">
        <f t="shared" si="498"/>
        <v>0</v>
      </c>
      <c r="BV383" s="50">
        <f t="shared" si="499"/>
        <v>0</v>
      </c>
      <c r="BW383" s="50">
        <f t="shared" si="552"/>
        <v>0</v>
      </c>
      <c r="BX383" s="50">
        <f t="shared" si="551"/>
        <v>0</v>
      </c>
      <c r="BY383" s="50">
        <f t="shared" si="551"/>
        <v>0</v>
      </c>
      <c r="BZ383" s="50">
        <f t="shared" si="530"/>
        <v>0</v>
      </c>
      <c r="CA383" s="50">
        <f t="shared" si="531"/>
        <v>0</v>
      </c>
      <c r="CB383" s="50">
        <f t="shared" si="532"/>
        <v>1</v>
      </c>
      <c r="CC383" s="50">
        <f t="shared" si="533"/>
        <v>0</v>
      </c>
      <c r="CD383" s="50">
        <f t="shared" si="534"/>
        <v>0</v>
      </c>
      <c r="CE383" s="50">
        <f t="shared" si="535"/>
        <v>1</v>
      </c>
      <c r="CF383" s="50">
        <f t="shared" si="536"/>
        <v>1</v>
      </c>
      <c r="CG383" s="50">
        <f t="shared" si="537"/>
        <v>1</v>
      </c>
      <c r="CH383" s="50">
        <f t="shared" si="538"/>
        <v>1</v>
      </c>
      <c r="CI383" s="50">
        <f t="shared" si="539"/>
        <v>1</v>
      </c>
      <c r="CJ383" s="50">
        <f t="shared" si="540"/>
        <v>1</v>
      </c>
      <c r="CK383" s="50">
        <f t="shared" si="540"/>
        <v>0</v>
      </c>
      <c r="CL383" s="50">
        <f t="shared" si="540"/>
        <v>0</v>
      </c>
      <c r="CM383" s="51">
        <f t="shared" si="482"/>
        <v>0</v>
      </c>
      <c r="CN383" s="33">
        <f>ROUND(IF(BS383=0,0,HLOOKUP(BS$14,Villagers!$B$1:$V$33,BS383+3,FALSE)),)</f>
        <v>5</v>
      </c>
      <c r="CO383" s="14">
        <f>ROUND(IF(BT383=0,0,HLOOKUP(BT$14,Villagers!$B$1:$V$33,BT383+3,FALSE)),)</f>
        <v>0</v>
      </c>
      <c r="CP383" s="14">
        <f>ROUND(IF(BU383=0,0,HLOOKUP(BU$14,Villagers!$B$1:$V$33,BU383+3,FALSE)),)</f>
        <v>0</v>
      </c>
      <c r="CQ383" s="14">
        <f>ROUND(IF(BV383=0,0,HLOOKUP(BV$14,Villagers!$B$1:$V$33,BV383+3,FALSE)),)</f>
        <v>0</v>
      </c>
      <c r="CR383" s="14">
        <f>ROUND(IF(BW383=0,0,HLOOKUP(BW$14,Villagers!$B$1:$V$33,BW383+3,FALSE)),)</f>
        <v>0</v>
      </c>
      <c r="CS383" s="14">
        <f>ROUND(IF(BX383=0,0,HLOOKUP(BX$14,Villagers!$B$1:$V$33,BX383+3,FALSE)),)</f>
        <v>0</v>
      </c>
      <c r="CT383" s="14">
        <f>ROUND(IF(BY383=0,0,HLOOKUP(BY$14,Villagers!$B$1:$V$33,BY383+3,FALSE)),)</f>
        <v>0</v>
      </c>
      <c r="CU383" s="14">
        <f>ROUND(IF(BZ383=0,0,HLOOKUP(BZ$14,Villagers!$B$1:$V$33,BZ383+3,FALSE)),)</f>
        <v>0</v>
      </c>
      <c r="CV383" s="14">
        <f>ROUND(IF(CA383=0,0,HLOOKUP(CA$14,Villagers!$B$1:$V$33,CA383+3,FALSE)),)</f>
        <v>0</v>
      </c>
      <c r="CW383" s="14">
        <f>ROUND(IF(CB383=0,0,HLOOKUP(CB$14,Villagers!$B$1:$V$33,CB383+3,FALSE)),)</f>
        <v>0</v>
      </c>
      <c r="CX383" s="14">
        <f>ROUND(IF(CC383=0,0,HLOOKUP(CC$14,Villagers!$B$1:$V$33,CC383+3,FALSE)),)</f>
        <v>0</v>
      </c>
      <c r="CY383" s="14">
        <f>ROUND(IF(CD383=0,0,HLOOKUP(CD$14,Villagers!$B$1:$V$33,CD383+3,FALSE)),)</f>
        <v>0</v>
      </c>
      <c r="CZ383" s="14">
        <f>ROUND(IF(CE383=0,0,HLOOKUP(CE$14,Villagers!$B$1:$V$33,CE383+3,FALSE)),)</f>
        <v>5</v>
      </c>
      <c r="DA383" s="14">
        <f>ROUND(IF(CF383=0,0,HLOOKUP(CF$14,Villagers!$B$1:$V$33,CF383+3,FALSE)),)</f>
        <v>10</v>
      </c>
      <c r="DB383" s="14">
        <f>ROUND(IF(CG383=0,0,HLOOKUP(CG$14,Villagers!$B$1:$V$33,CG383+3,FALSE)),)</f>
        <v>10</v>
      </c>
      <c r="DC383" s="14">
        <f>ROUND(IF(CH383=0,0,HLOOKUP(CH$14,Villagers!$B$1:$V$33,CH383+3,FALSE)),)</f>
        <v>0</v>
      </c>
      <c r="DD383" s="14">
        <f>ROUND(IF(CI383=0,0,HLOOKUP(CI$14,Villagers!$B$1:$V$33,CI383+3,FALSE)),)</f>
        <v>0</v>
      </c>
      <c r="DE383" s="14">
        <f>ROUND(IF(CJ383=0,0,HLOOKUP(CJ$14,Villagers!$B$1:$V$33,CJ383+3,FALSE)),)</f>
        <v>2</v>
      </c>
      <c r="DF383" s="370">
        <f>ROUND(IF(CK383=0,0,HLOOKUP(CK$14,Villagers!$B$1:$V$33,CK383+3,FALSE)),)</f>
        <v>0</v>
      </c>
      <c r="DG383" s="370">
        <f>ROUND(IF(CL383=0,0,HLOOKUP(CL$14,Villagers!$B$1:$V$33,CL383+3,FALSE)),)</f>
        <v>0</v>
      </c>
      <c r="DH383" s="34">
        <f>ROUND(IF(CM383=0,0,HLOOKUP(CM$14,Villagers!$B$1:$V$33,CM383+3,FALSE)),)</f>
        <v>0</v>
      </c>
      <c r="DI383" s="109">
        <f t="shared" si="516"/>
        <v>0</v>
      </c>
      <c r="DJ383" s="50">
        <f t="shared" si="517"/>
        <v>0</v>
      </c>
      <c r="DK383" s="50">
        <f t="shared" si="518"/>
        <v>0</v>
      </c>
      <c r="DL383" s="50">
        <f t="shared" si="519"/>
        <v>0</v>
      </c>
      <c r="DM383" s="50">
        <f t="shared" si="520"/>
        <v>0</v>
      </c>
      <c r="DN383" s="50">
        <f t="shared" si="521"/>
        <v>0</v>
      </c>
      <c r="DO383" s="50">
        <f t="shared" si="522"/>
        <v>0</v>
      </c>
      <c r="DP383" s="50">
        <f t="shared" si="523"/>
        <v>0</v>
      </c>
      <c r="DQ383" s="50">
        <f t="shared" si="501"/>
        <v>0</v>
      </c>
      <c r="DR383" s="50">
        <f t="shared" si="502"/>
        <v>0</v>
      </c>
      <c r="DS383" s="96">
        <f>Miscelaneous!$D$4*Miscelaneous!$D$2^($CI383-1)</f>
        <v>1000</v>
      </c>
      <c r="DT383" s="333">
        <f t="shared" si="483"/>
        <v>1</v>
      </c>
      <c r="DU383" s="81">
        <v>1</v>
      </c>
      <c r="DV383" s="79">
        <f t="shared" si="503"/>
        <v>0</v>
      </c>
      <c r="DW383" s="79">
        <f t="shared" si="504"/>
        <v>0</v>
      </c>
      <c r="DX383" s="79">
        <f t="shared" si="505"/>
        <v>0</v>
      </c>
      <c r="DY383" s="79">
        <v>1</v>
      </c>
      <c r="DZ383" s="79">
        <f t="shared" si="506"/>
        <v>0</v>
      </c>
      <c r="EA383" s="79">
        <f t="shared" si="507"/>
        <v>0</v>
      </c>
      <c r="EB383" s="79">
        <f t="shared" si="508"/>
        <v>0</v>
      </c>
      <c r="EC383" s="79">
        <f t="shared" si="509"/>
        <v>0</v>
      </c>
      <c r="ED383" s="79">
        <v>1</v>
      </c>
      <c r="EE383" s="79">
        <v>1</v>
      </c>
      <c r="EF383" s="79">
        <f t="shared" si="510"/>
        <v>0</v>
      </c>
      <c r="EG383" s="79">
        <v>1</v>
      </c>
      <c r="EH383" s="79">
        <v>1</v>
      </c>
      <c r="EI383" s="79">
        <v>1</v>
      </c>
      <c r="EJ383" s="79">
        <v>1</v>
      </c>
      <c r="EK383" s="79">
        <v>1</v>
      </c>
      <c r="EL383" s="79">
        <v>1</v>
      </c>
      <c r="EM383" s="143">
        <f t="shared" si="511"/>
        <v>0</v>
      </c>
      <c r="EN383" s="143">
        <f t="shared" si="512"/>
        <v>0</v>
      </c>
      <c r="EO383" s="82">
        <f t="shared" si="513"/>
        <v>0</v>
      </c>
    </row>
    <row r="384" spans="1:145" x14ac:dyDescent="0.25">
      <c r="A384">
        <v>370</v>
      </c>
      <c r="B384" s="172" t="e">
        <f t="shared" si="484"/>
        <v>#N/A</v>
      </c>
      <c r="C384" s="121" t="e">
        <f t="shared" si="462"/>
        <v>#N/A</v>
      </c>
      <c r="D384" s="122" t="e">
        <f t="shared" si="463"/>
        <v>#N/A</v>
      </c>
      <c r="E384" s="122" t="e">
        <f t="shared" si="464"/>
        <v>#N/A</v>
      </c>
      <c r="F384" s="176" t="e">
        <f t="shared" si="465"/>
        <v>#N/A</v>
      </c>
      <c r="G384" s="121">
        <f t="shared" si="485"/>
        <v>208</v>
      </c>
      <c r="H384" s="176" t="e">
        <f t="shared" si="486"/>
        <v>#N/A</v>
      </c>
      <c r="I384" s="48">
        <v>1</v>
      </c>
      <c r="J384" s="39"/>
      <c r="K384" s="350">
        <v>1</v>
      </c>
      <c r="L384" s="34" t="e">
        <f t="shared" si="466"/>
        <v>#N/A</v>
      </c>
      <c r="M384" s="38" t="e">
        <f>(HLOOKUP(J384,'Construction Times'!$B$3:$W$34,L384+2,FALSE)*HLOOKUP("hq modifier",'Construction Times'!$W$3:$W$34,BS384+2,FALSE))*(1-$H$9)</f>
        <v>#N/A</v>
      </c>
      <c r="N384" s="443" t="e">
        <f t="shared" si="487"/>
        <v>#N/A</v>
      </c>
      <c r="O384" s="444"/>
      <c r="P384" s="447" t="e">
        <f t="shared" si="488"/>
        <v>#N/A</v>
      </c>
      <c r="Q384" s="448"/>
      <c r="R384" s="103">
        <f t="shared" si="548"/>
        <v>0</v>
      </c>
      <c r="S384" s="104">
        <f t="shared" si="548"/>
        <v>0</v>
      </c>
      <c r="T384" s="104">
        <f t="shared" si="549"/>
        <v>0</v>
      </c>
      <c r="U384" s="104">
        <f t="shared" si="549"/>
        <v>0</v>
      </c>
      <c r="V384" s="104">
        <f t="shared" si="549"/>
        <v>9.9999999999999995E-8</v>
      </c>
      <c r="W384" s="104">
        <f t="shared" si="549"/>
        <v>0</v>
      </c>
      <c r="X384" s="104">
        <f t="shared" si="545"/>
        <v>0</v>
      </c>
      <c r="Y384" s="104">
        <f t="shared" si="545"/>
        <v>9.9999999999999995E-8</v>
      </c>
      <c r="Z384" s="104">
        <f t="shared" si="545"/>
        <v>9.9999999999999995E-8</v>
      </c>
      <c r="AA384" s="105">
        <f t="shared" si="545"/>
        <v>9.9999999999999995E-8</v>
      </c>
      <c r="AB384" s="101" t="e">
        <f>$DT384*HLOOKUP($J384,'Construction Costs (timber)'!$B$1:$V$32,'Construction Planner'!$L384+2,FALSE)</f>
        <v>#N/A</v>
      </c>
      <c r="AC384" s="14" t="e">
        <f>$DT384*HLOOKUP($J384,'Construction Costs (clay)'!$B$1:$V$32,'Construction Planner'!$L384+2,FALSE)</f>
        <v>#N/A</v>
      </c>
      <c r="AD384" s="14" t="e">
        <f>$DT384*HLOOKUP($J384,'Construction Costs (iron)'!$B$1:$V$32,'Construction Planner'!$L384+2,FALSE)</f>
        <v>#N/A</v>
      </c>
      <c r="AE384" s="34" t="e">
        <f t="shared" si="524"/>
        <v>#N/A</v>
      </c>
      <c r="AF384" s="33" t="e">
        <f t="shared" si="467"/>
        <v>#N/A</v>
      </c>
      <c r="AG384" s="14" t="e">
        <f t="shared" si="468"/>
        <v>#N/A</v>
      </c>
      <c r="AH384" s="14" t="e">
        <f t="shared" si="469"/>
        <v>#N/A</v>
      </c>
      <c r="AI384" s="34" t="e">
        <f t="shared" si="525"/>
        <v>#N/A</v>
      </c>
      <c r="AJ384" s="49" t="e">
        <f t="shared" si="489"/>
        <v>#N/A</v>
      </c>
      <c r="AK384" s="49" t="e">
        <f t="shared" si="490"/>
        <v>#N/A</v>
      </c>
      <c r="AL384" s="49" t="e">
        <f t="shared" si="491"/>
        <v>#N/A</v>
      </c>
      <c r="AM384" s="25">
        <f t="shared" si="470"/>
        <v>30</v>
      </c>
      <c r="AN384" s="25">
        <f t="shared" si="471"/>
        <v>30</v>
      </c>
      <c r="AO384" s="25">
        <f t="shared" si="472"/>
        <v>30</v>
      </c>
      <c r="AP384" s="52" t="e">
        <f t="shared" si="546"/>
        <v>#N/A</v>
      </c>
      <c r="AQ384" s="53" t="e">
        <f t="shared" si="546"/>
        <v>#N/A</v>
      </c>
      <c r="AR384" s="54" t="e">
        <f t="shared" si="546"/>
        <v>#N/A</v>
      </c>
      <c r="AS384" s="316">
        <f t="shared" si="550"/>
        <v>0</v>
      </c>
      <c r="AT384" s="106">
        <f>_xlfn.IFNA($M384/VLOOKUP($BT384,'Unit information'!$A$2:$K$29,2,FALSE)*R384,0)*(1+$E$9)</f>
        <v>0</v>
      </c>
      <c r="AU384" s="107">
        <f>_xlfn.IFNA($M384/VLOOKUP($BT384,'Unit information'!$A$2:$K$29,3,FALSE)*S384,0)*(1+$E$9)</f>
        <v>0</v>
      </c>
      <c r="AV384" s="107">
        <f>_xlfn.IFNA($M384/VLOOKUP($BT384,'Unit information'!$A$2:$K$29,4,FALSE)*T384,0)*(1+$E$9)</f>
        <v>0</v>
      </c>
      <c r="AW384" s="107">
        <f>_xlfn.IFNA($M384/VLOOKUP($BT384,'Unit information'!$A$2:$K$29,5,FALSE)*U384,0)*(1+$E$9)</f>
        <v>0</v>
      </c>
      <c r="AX384" s="107">
        <f>_xlfn.IFNA($M384/VLOOKUP($BU384,'Unit information'!$A$2:$K$29,6,FALSE)*V384,0)*(1+$E$9)</f>
        <v>0</v>
      </c>
      <c r="AY384" s="107">
        <f>_xlfn.IFNA($M384/VLOOKUP($BU384,'Unit information'!$A$2:$K$29,7,FALSE)*W384,0)*(1+$E$9)</f>
        <v>0</v>
      </c>
      <c r="AZ384" s="107">
        <f>_xlfn.IFNA($M384/VLOOKUP($BU384,'Unit information'!$A$2:$K$29,8,FALSE)*X384,0)*(1+$E$9)</f>
        <v>0</v>
      </c>
      <c r="BA384" s="107">
        <f>_xlfn.IFNA($M384/VLOOKUP($BU384,'Unit information'!$A$2:$K$29,9,FALSE)*Y384,0)*(1+$E$9)</f>
        <v>0</v>
      </c>
      <c r="BB384" s="107">
        <f>_xlfn.IFNA($M384/VLOOKUP($BV384,'Unit information'!$A$2:$K$29,10,FALSE)*Z384,0)*(1+$E$9)</f>
        <v>0</v>
      </c>
      <c r="BC384" s="108">
        <f>_xlfn.IFNA($M384/VLOOKUP($BV384,'Unit information'!$A$2:$K$29,11,FALSE)*AA384,0)*(1+$E$9)</f>
        <v>0</v>
      </c>
      <c r="BD384" s="106">
        <f t="shared" si="473"/>
        <v>0</v>
      </c>
      <c r="BE384" s="107">
        <f t="shared" si="474"/>
        <v>0</v>
      </c>
      <c r="BF384" s="108">
        <f t="shared" si="475"/>
        <v>0</v>
      </c>
      <c r="BG384" s="25" t="e">
        <f t="shared" si="476"/>
        <v>#N/A</v>
      </c>
      <c r="BH384" s="25" t="e">
        <f t="shared" si="477"/>
        <v>#N/A</v>
      </c>
      <c r="BI384" s="25" t="e">
        <f t="shared" si="478"/>
        <v>#N/A</v>
      </c>
      <c r="BJ384" s="27" t="e">
        <f t="shared" si="479"/>
        <v>#N/A</v>
      </c>
      <c r="BK384" s="18" t="e">
        <f t="shared" si="480"/>
        <v>#N/A</v>
      </c>
      <c r="BL384" s="18" t="e">
        <f t="shared" si="481"/>
        <v>#N/A</v>
      </c>
      <c r="BM384" s="28" t="e">
        <f t="shared" si="527"/>
        <v>#N/A</v>
      </c>
      <c r="BN384" s="33">
        <f>HLOOKUP("maximum population",Miscelaneous!$C$1:$C$33,CH384+3,FALSE)</f>
        <v>240</v>
      </c>
      <c r="BO384" s="14">
        <f t="shared" si="493"/>
        <v>32</v>
      </c>
      <c r="BP384" s="14">
        <f t="shared" si="494"/>
        <v>0</v>
      </c>
      <c r="BQ384" s="14">
        <f t="shared" si="495"/>
        <v>208</v>
      </c>
      <c r="BR384" s="34" t="e">
        <f>HLOOKUP(J384,Villagers!$B$1:$V$33,L384+3,FALSE)-HLOOKUP(J384,Villagers!$B$1:$V$33,L384+2,FALSE)</f>
        <v>#N/A</v>
      </c>
      <c r="BS384" s="49">
        <f t="shared" si="496"/>
        <v>1</v>
      </c>
      <c r="BT384" s="50">
        <f t="shared" si="497"/>
        <v>0</v>
      </c>
      <c r="BU384" s="50">
        <f t="shared" si="498"/>
        <v>0</v>
      </c>
      <c r="BV384" s="50">
        <f t="shared" si="499"/>
        <v>0</v>
      </c>
      <c r="BW384" s="50">
        <f t="shared" ref="BW384:BY390" si="553">IF($J383=BW$14,$L383,BW383)</f>
        <v>0</v>
      </c>
      <c r="BX384" s="50">
        <f t="shared" si="553"/>
        <v>0</v>
      </c>
      <c r="BY384" s="50">
        <f t="shared" si="553"/>
        <v>0</v>
      </c>
      <c r="BZ384" s="50">
        <f t="shared" si="530"/>
        <v>0</v>
      </c>
      <c r="CA384" s="50">
        <f t="shared" si="531"/>
        <v>0</v>
      </c>
      <c r="CB384" s="50">
        <f t="shared" si="532"/>
        <v>1</v>
      </c>
      <c r="CC384" s="50">
        <f t="shared" si="533"/>
        <v>0</v>
      </c>
      <c r="CD384" s="50">
        <f t="shared" si="534"/>
        <v>0</v>
      </c>
      <c r="CE384" s="50">
        <f t="shared" si="535"/>
        <v>1</v>
      </c>
      <c r="CF384" s="50">
        <f t="shared" si="536"/>
        <v>1</v>
      </c>
      <c r="CG384" s="50">
        <f t="shared" si="537"/>
        <v>1</v>
      </c>
      <c r="CH384" s="50">
        <f t="shared" si="538"/>
        <v>1</v>
      </c>
      <c r="CI384" s="50">
        <f t="shared" si="539"/>
        <v>1</v>
      </c>
      <c r="CJ384" s="50">
        <f t="shared" si="540"/>
        <v>1</v>
      </c>
      <c r="CK384" s="50">
        <f t="shared" si="540"/>
        <v>0</v>
      </c>
      <c r="CL384" s="50">
        <f t="shared" si="540"/>
        <v>0</v>
      </c>
      <c r="CM384" s="51">
        <f t="shared" si="482"/>
        <v>0</v>
      </c>
      <c r="CN384" s="33">
        <f>ROUND(IF(BS384=0,0,HLOOKUP(BS$14,Villagers!$B$1:$V$33,BS384+3,FALSE)),)</f>
        <v>5</v>
      </c>
      <c r="CO384" s="14">
        <f>ROUND(IF(BT384=0,0,HLOOKUP(BT$14,Villagers!$B$1:$V$33,BT384+3,FALSE)),)</f>
        <v>0</v>
      </c>
      <c r="CP384" s="14">
        <f>ROUND(IF(BU384=0,0,HLOOKUP(BU$14,Villagers!$B$1:$V$33,BU384+3,FALSE)),)</f>
        <v>0</v>
      </c>
      <c r="CQ384" s="14">
        <f>ROUND(IF(BV384=0,0,HLOOKUP(BV$14,Villagers!$B$1:$V$33,BV384+3,FALSE)),)</f>
        <v>0</v>
      </c>
      <c r="CR384" s="14">
        <f>ROUND(IF(BW384=0,0,HLOOKUP(BW$14,Villagers!$B$1:$V$33,BW384+3,FALSE)),)</f>
        <v>0</v>
      </c>
      <c r="CS384" s="14">
        <f>ROUND(IF(BX384=0,0,HLOOKUP(BX$14,Villagers!$B$1:$V$33,BX384+3,FALSE)),)</f>
        <v>0</v>
      </c>
      <c r="CT384" s="14">
        <f>ROUND(IF(BY384=0,0,HLOOKUP(BY$14,Villagers!$B$1:$V$33,BY384+3,FALSE)),)</f>
        <v>0</v>
      </c>
      <c r="CU384" s="14">
        <f>ROUND(IF(BZ384=0,0,HLOOKUP(BZ$14,Villagers!$B$1:$V$33,BZ384+3,FALSE)),)</f>
        <v>0</v>
      </c>
      <c r="CV384" s="14">
        <f>ROUND(IF(CA384=0,0,HLOOKUP(CA$14,Villagers!$B$1:$V$33,CA384+3,FALSE)),)</f>
        <v>0</v>
      </c>
      <c r="CW384" s="14">
        <f>ROUND(IF(CB384=0,0,HLOOKUP(CB$14,Villagers!$B$1:$V$33,CB384+3,FALSE)),)</f>
        <v>0</v>
      </c>
      <c r="CX384" s="14">
        <f>ROUND(IF(CC384=0,0,HLOOKUP(CC$14,Villagers!$B$1:$V$33,CC384+3,FALSE)),)</f>
        <v>0</v>
      </c>
      <c r="CY384" s="14">
        <f>ROUND(IF(CD384=0,0,HLOOKUP(CD$14,Villagers!$B$1:$V$33,CD384+3,FALSE)),)</f>
        <v>0</v>
      </c>
      <c r="CZ384" s="14">
        <f>ROUND(IF(CE384=0,0,HLOOKUP(CE$14,Villagers!$B$1:$V$33,CE384+3,FALSE)),)</f>
        <v>5</v>
      </c>
      <c r="DA384" s="14">
        <f>ROUND(IF(CF384=0,0,HLOOKUP(CF$14,Villagers!$B$1:$V$33,CF384+3,FALSE)),)</f>
        <v>10</v>
      </c>
      <c r="DB384" s="14">
        <f>ROUND(IF(CG384=0,0,HLOOKUP(CG$14,Villagers!$B$1:$V$33,CG384+3,FALSE)),)</f>
        <v>10</v>
      </c>
      <c r="DC384" s="14">
        <f>ROUND(IF(CH384=0,0,HLOOKUP(CH$14,Villagers!$B$1:$V$33,CH384+3,FALSE)),)</f>
        <v>0</v>
      </c>
      <c r="DD384" s="14">
        <f>ROUND(IF(CI384=0,0,HLOOKUP(CI$14,Villagers!$B$1:$V$33,CI384+3,FALSE)),)</f>
        <v>0</v>
      </c>
      <c r="DE384" s="14">
        <f>ROUND(IF(CJ384=0,0,HLOOKUP(CJ$14,Villagers!$B$1:$V$33,CJ384+3,FALSE)),)</f>
        <v>2</v>
      </c>
      <c r="DF384" s="370">
        <f>ROUND(IF(CK384=0,0,HLOOKUP(CK$14,Villagers!$B$1:$V$33,CK384+3,FALSE)),)</f>
        <v>0</v>
      </c>
      <c r="DG384" s="370">
        <f>ROUND(IF(CL384=0,0,HLOOKUP(CL$14,Villagers!$B$1:$V$33,CL384+3,FALSE)),)</f>
        <v>0</v>
      </c>
      <c r="DH384" s="34">
        <f>ROUND(IF(CM384=0,0,HLOOKUP(CM$14,Villagers!$B$1:$V$33,CM384+3,FALSE)),)</f>
        <v>0</v>
      </c>
      <c r="DI384" s="109">
        <f t="shared" si="516"/>
        <v>0</v>
      </c>
      <c r="DJ384" s="50">
        <f t="shared" si="517"/>
        <v>0</v>
      </c>
      <c r="DK384" s="50">
        <f t="shared" si="518"/>
        <v>0</v>
      </c>
      <c r="DL384" s="50">
        <f t="shared" si="519"/>
        <v>0</v>
      </c>
      <c r="DM384" s="50">
        <f t="shared" si="520"/>
        <v>0</v>
      </c>
      <c r="DN384" s="50">
        <f t="shared" si="521"/>
        <v>0</v>
      </c>
      <c r="DO384" s="50">
        <f t="shared" si="522"/>
        <v>0</v>
      </c>
      <c r="DP384" s="50">
        <f t="shared" si="523"/>
        <v>0</v>
      </c>
      <c r="DQ384" s="50">
        <f t="shared" si="501"/>
        <v>0</v>
      </c>
      <c r="DR384" s="50">
        <f t="shared" si="502"/>
        <v>0</v>
      </c>
      <c r="DS384" s="96">
        <f>Miscelaneous!$D$4*Miscelaneous!$D$2^($CI384-1)</f>
        <v>1000</v>
      </c>
      <c r="DT384" s="333">
        <f t="shared" si="483"/>
        <v>1</v>
      </c>
      <c r="DU384" s="81">
        <v>1</v>
      </c>
      <c r="DV384" s="79">
        <f t="shared" si="503"/>
        <v>0</v>
      </c>
      <c r="DW384" s="79">
        <f t="shared" si="504"/>
        <v>0</v>
      </c>
      <c r="DX384" s="79">
        <f t="shared" si="505"/>
        <v>0</v>
      </c>
      <c r="DY384" s="79">
        <v>1</v>
      </c>
      <c r="DZ384" s="79">
        <f t="shared" si="506"/>
        <v>0</v>
      </c>
      <c r="EA384" s="79">
        <f t="shared" si="507"/>
        <v>0</v>
      </c>
      <c r="EB384" s="79">
        <f t="shared" si="508"/>
        <v>0</v>
      </c>
      <c r="EC384" s="79">
        <f t="shared" si="509"/>
        <v>0</v>
      </c>
      <c r="ED384" s="79">
        <v>1</v>
      </c>
      <c r="EE384" s="79">
        <v>1</v>
      </c>
      <c r="EF384" s="79">
        <f t="shared" si="510"/>
        <v>0</v>
      </c>
      <c r="EG384" s="79">
        <v>1</v>
      </c>
      <c r="EH384" s="79">
        <v>1</v>
      </c>
      <c r="EI384" s="79">
        <v>1</v>
      </c>
      <c r="EJ384" s="79">
        <v>1</v>
      </c>
      <c r="EK384" s="79">
        <v>1</v>
      </c>
      <c r="EL384" s="79">
        <v>1</v>
      </c>
      <c r="EM384" s="143">
        <f t="shared" si="511"/>
        <v>0</v>
      </c>
      <c r="EN384" s="143">
        <f t="shared" si="512"/>
        <v>0</v>
      </c>
      <c r="EO384" s="82">
        <f t="shared" si="513"/>
        <v>0</v>
      </c>
    </row>
    <row r="385" spans="1:145" x14ac:dyDescent="0.25">
      <c r="A385">
        <v>371</v>
      </c>
      <c r="B385" s="172" t="e">
        <f t="shared" si="484"/>
        <v>#N/A</v>
      </c>
      <c r="C385" s="121" t="e">
        <f t="shared" si="462"/>
        <v>#N/A</v>
      </c>
      <c r="D385" s="122" t="e">
        <f t="shared" si="463"/>
        <v>#N/A</v>
      </c>
      <c r="E385" s="122" t="e">
        <f t="shared" si="464"/>
        <v>#N/A</v>
      </c>
      <c r="F385" s="176" t="e">
        <f t="shared" si="465"/>
        <v>#N/A</v>
      </c>
      <c r="G385" s="121">
        <f t="shared" si="485"/>
        <v>208</v>
      </c>
      <c r="H385" s="176" t="e">
        <f t="shared" si="486"/>
        <v>#N/A</v>
      </c>
      <c r="I385" s="48">
        <v>1</v>
      </c>
      <c r="J385" s="39"/>
      <c r="K385" s="350">
        <v>1</v>
      </c>
      <c r="L385" s="34" t="e">
        <f t="shared" si="466"/>
        <v>#N/A</v>
      </c>
      <c r="M385" s="38" t="e">
        <f>(HLOOKUP(J385,'Construction Times'!$B$3:$W$34,L385+2,FALSE)*HLOOKUP("hq modifier",'Construction Times'!$W$3:$W$34,BS385+2,FALSE))*(1-$H$9)</f>
        <v>#N/A</v>
      </c>
      <c r="N385" s="443" t="e">
        <f t="shared" si="487"/>
        <v>#N/A</v>
      </c>
      <c r="O385" s="444"/>
      <c r="P385" s="447" t="e">
        <f t="shared" si="488"/>
        <v>#N/A</v>
      </c>
      <c r="Q385" s="448"/>
      <c r="R385" s="103">
        <f t="shared" si="548"/>
        <v>0</v>
      </c>
      <c r="S385" s="104">
        <f t="shared" si="548"/>
        <v>0</v>
      </c>
      <c r="T385" s="104">
        <f t="shared" si="549"/>
        <v>0</v>
      </c>
      <c r="U385" s="104">
        <f t="shared" si="549"/>
        <v>0</v>
      </c>
      <c r="V385" s="104">
        <f t="shared" si="549"/>
        <v>9.9999999999999995E-8</v>
      </c>
      <c r="W385" s="104">
        <f t="shared" si="549"/>
        <v>0</v>
      </c>
      <c r="X385" s="104">
        <f t="shared" si="545"/>
        <v>0</v>
      </c>
      <c r="Y385" s="104">
        <f t="shared" si="545"/>
        <v>9.9999999999999995E-8</v>
      </c>
      <c r="Z385" s="104">
        <f t="shared" si="545"/>
        <v>9.9999999999999995E-8</v>
      </c>
      <c r="AA385" s="105">
        <f t="shared" si="545"/>
        <v>9.9999999999999995E-8</v>
      </c>
      <c r="AB385" s="101" t="e">
        <f>$DT385*HLOOKUP($J385,'Construction Costs (timber)'!$B$1:$V$32,'Construction Planner'!$L385+2,FALSE)</f>
        <v>#N/A</v>
      </c>
      <c r="AC385" s="14" t="e">
        <f>$DT385*HLOOKUP($J385,'Construction Costs (clay)'!$B$1:$V$32,'Construction Planner'!$L385+2,FALSE)</f>
        <v>#N/A</v>
      </c>
      <c r="AD385" s="14" t="e">
        <f>$DT385*HLOOKUP($J385,'Construction Costs (iron)'!$B$1:$V$32,'Construction Planner'!$L385+2,FALSE)</f>
        <v>#N/A</v>
      </c>
      <c r="AE385" s="34" t="e">
        <f t="shared" si="524"/>
        <v>#N/A</v>
      </c>
      <c r="AF385" s="33" t="e">
        <f t="shared" si="467"/>
        <v>#N/A</v>
      </c>
      <c r="AG385" s="14" t="e">
        <f t="shared" si="468"/>
        <v>#N/A</v>
      </c>
      <c r="AH385" s="14" t="e">
        <f t="shared" si="469"/>
        <v>#N/A</v>
      </c>
      <c r="AI385" s="34" t="e">
        <f t="shared" si="525"/>
        <v>#N/A</v>
      </c>
      <c r="AJ385" s="49" t="e">
        <f t="shared" si="489"/>
        <v>#N/A</v>
      </c>
      <c r="AK385" s="49" t="e">
        <f t="shared" si="490"/>
        <v>#N/A</v>
      </c>
      <c r="AL385" s="49" t="e">
        <f t="shared" si="491"/>
        <v>#N/A</v>
      </c>
      <c r="AM385" s="25">
        <f t="shared" si="470"/>
        <v>30</v>
      </c>
      <c r="AN385" s="25">
        <f t="shared" si="471"/>
        <v>30</v>
      </c>
      <c r="AO385" s="25">
        <f t="shared" si="472"/>
        <v>30</v>
      </c>
      <c r="AP385" s="52" t="e">
        <f t="shared" si="546"/>
        <v>#N/A</v>
      </c>
      <c r="AQ385" s="53" t="e">
        <f t="shared" si="546"/>
        <v>#N/A</v>
      </c>
      <c r="AR385" s="54" t="e">
        <f t="shared" si="546"/>
        <v>#N/A</v>
      </c>
      <c r="AS385" s="316">
        <f t="shared" si="550"/>
        <v>0</v>
      </c>
      <c r="AT385" s="106">
        <f>_xlfn.IFNA($M385/VLOOKUP($BT385,'Unit information'!$A$2:$K$29,2,FALSE)*R385,0)*(1+$E$9)</f>
        <v>0</v>
      </c>
      <c r="AU385" s="107">
        <f>_xlfn.IFNA($M385/VLOOKUP($BT385,'Unit information'!$A$2:$K$29,3,FALSE)*S385,0)*(1+$E$9)</f>
        <v>0</v>
      </c>
      <c r="AV385" s="107">
        <f>_xlfn.IFNA($M385/VLOOKUP($BT385,'Unit information'!$A$2:$K$29,4,FALSE)*T385,0)*(1+$E$9)</f>
        <v>0</v>
      </c>
      <c r="AW385" s="107">
        <f>_xlfn.IFNA($M385/VLOOKUP($BT385,'Unit information'!$A$2:$K$29,5,FALSE)*U385,0)*(1+$E$9)</f>
        <v>0</v>
      </c>
      <c r="AX385" s="107">
        <f>_xlfn.IFNA($M385/VLOOKUP($BU385,'Unit information'!$A$2:$K$29,6,FALSE)*V385,0)*(1+$E$9)</f>
        <v>0</v>
      </c>
      <c r="AY385" s="107">
        <f>_xlfn.IFNA($M385/VLOOKUP($BU385,'Unit information'!$A$2:$K$29,7,FALSE)*W385,0)*(1+$E$9)</f>
        <v>0</v>
      </c>
      <c r="AZ385" s="107">
        <f>_xlfn.IFNA($M385/VLOOKUP($BU385,'Unit information'!$A$2:$K$29,8,FALSE)*X385,0)*(1+$E$9)</f>
        <v>0</v>
      </c>
      <c r="BA385" s="107">
        <f>_xlfn.IFNA($M385/VLOOKUP($BU385,'Unit information'!$A$2:$K$29,9,FALSE)*Y385,0)*(1+$E$9)</f>
        <v>0</v>
      </c>
      <c r="BB385" s="107">
        <f>_xlfn.IFNA($M385/VLOOKUP($BV385,'Unit information'!$A$2:$K$29,10,FALSE)*Z385,0)*(1+$E$9)</f>
        <v>0</v>
      </c>
      <c r="BC385" s="108">
        <f>_xlfn.IFNA($M385/VLOOKUP($BV385,'Unit information'!$A$2:$K$29,11,FALSE)*AA385,0)*(1+$E$9)</f>
        <v>0</v>
      </c>
      <c r="BD385" s="106">
        <f t="shared" si="473"/>
        <v>0</v>
      </c>
      <c r="BE385" s="107">
        <f t="shared" si="474"/>
        <v>0</v>
      </c>
      <c r="BF385" s="108">
        <f t="shared" si="475"/>
        <v>0</v>
      </c>
      <c r="BG385" s="25" t="e">
        <f t="shared" si="476"/>
        <v>#N/A</v>
      </c>
      <c r="BH385" s="25" t="e">
        <f t="shared" si="477"/>
        <v>#N/A</v>
      </c>
      <c r="BI385" s="25" t="e">
        <f t="shared" si="478"/>
        <v>#N/A</v>
      </c>
      <c r="BJ385" s="27" t="e">
        <f t="shared" si="479"/>
        <v>#N/A</v>
      </c>
      <c r="BK385" s="18" t="e">
        <f t="shared" si="480"/>
        <v>#N/A</v>
      </c>
      <c r="BL385" s="18" t="e">
        <f t="shared" si="481"/>
        <v>#N/A</v>
      </c>
      <c r="BM385" s="28" t="e">
        <f t="shared" si="527"/>
        <v>#N/A</v>
      </c>
      <c r="BN385" s="33">
        <f>HLOOKUP("maximum population",Miscelaneous!$C$1:$C$33,CH385+3,FALSE)</f>
        <v>240</v>
      </c>
      <c r="BO385" s="14">
        <f t="shared" si="493"/>
        <v>32</v>
      </c>
      <c r="BP385" s="14">
        <f t="shared" si="494"/>
        <v>0</v>
      </c>
      <c r="BQ385" s="14">
        <f t="shared" si="495"/>
        <v>208</v>
      </c>
      <c r="BR385" s="34" t="e">
        <f>HLOOKUP(J385,Villagers!$B$1:$V$33,L385+3,FALSE)-HLOOKUP(J385,Villagers!$B$1:$V$33,L385+2,FALSE)</f>
        <v>#N/A</v>
      </c>
      <c r="BS385" s="49">
        <f t="shared" si="496"/>
        <v>1</v>
      </c>
      <c r="BT385" s="50">
        <f t="shared" si="497"/>
        <v>0</v>
      </c>
      <c r="BU385" s="50">
        <f t="shared" si="498"/>
        <v>0</v>
      </c>
      <c r="BV385" s="50">
        <f t="shared" si="499"/>
        <v>0</v>
      </c>
      <c r="BW385" s="50">
        <f t="shared" si="553"/>
        <v>0</v>
      </c>
      <c r="BX385" s="50">
        <f t="shared" si="553"/>
        <v>0</v>
      </c>
      <c r="BY385" s="50">
        <f t="shared" si="553"/>
        <v>0</v>
      </c>
      <c r="BZ385" s="50">
        <f t="shared" si="530"/>
        <v>0</v>
      </c>
      <c r="CA385" s="50">
        <f t="shared" si="531"/>
        <v>0</v>
      </c>
      <c r="CB385" s="50">
        <f t="shared" si="532"/>
        <v>1</v>
      </c>
      <c r="CC385" s="50">
        <f t="shared" si="533"/>
        <v>0</v>
      </c>
      <c r="CD385" s="50">
        <f t="shared" si="534"/>
        <v>0</v>
      </c>
      <c r="CE385" s="50">
        <f t="shared" si="535"/>
        <v>1</v>
      </c>
      <c r="CF385" s="50">
        <f t="shared" si="536"/>
        <v>1</v>
      </c>
      <c r="CG385" s="50">
        <f t="shared" si="537"/>
        <v>1</v>
      </c>
      <c r="CH385" s="50">
        <f t="shared" si="538"/>
        <v>1</v>
      </c>
      <c r="CI385" s="50">
        <f t="shared" si="539"/>
        <v>1</v>
      </c>
      <c r="CJ385" s="50">
        <f t="shared" si="540"/>
        <v>1</v>
      </c>
      <c r="CK385" s="50">
        <f t="shared" si="540"/>
        <v>0</v>
      </c>
      <c r="CL385" s="50">
        <f t="shared" si="540"/>
        <v>0</v>
      </c>
      <c r="CM385" s="51">
        <f t="shared" si="482"/>
        <v>0</v>
      </c>
      <c r="CN385" s="33">
        <f>ROUND(IF(BS385=0,0,HLOOKUP(BS$14,Villagers!$B$1:$V$33,BS385+3,FALSE)),)</f>
        <v>5</v>
      </c>
      <c r="CO385" s="14">
        <f>ROUND(IF(BT385=0,0,HLOOKUP(BT$14,Villagers!$B$1:$V$33,BT385+3,FALSE)),)</f>
        <v>0</v>
      </c>
      <c r="CP385" s="14">
        <f>ROUND(IF(BU385=0,0,HLOOKUP(BU$14,Villagers!$B$1:$V$33,BU385+3,FALSE)),)</f>
        <v>0</v>
      </c>
      <c r="CQ385" s="14">
        <f>ROUND(IF(BV385=0,0,HLOOKUP(BV$14,Villagers!$B$1:$V$33,BV385+3,FALSE)),)</f>
        <v>0</v>
      </c>
      <c r="CR385" s="14">
        <f>ROUND(IF(BW385=0,0,HLOOKUP(BW$14,Villagers!$B$1:$V$33,BW385+3,FALSE)),)</f>
        <v>0</v>
      </c>
      <c r="CS385" s="14">
        <f>ROUND(IF(BX385=0,0,HLOOKUP(BX$14,Villagers!$B$1:$V$33,BX385+3,FALSE)),)</f>
        <v>0</v>
      </c>
      <c r="CT385" s="14">
        <f>ROUND(IF(BY385=0,0,HLOOKUP(BY$14,Villagers!$B$1:$V$33,BY385+3,FALSE)),)</f>
        <v>0</v>
      </c>
      <c r="CU385" s="14">
        <f>ROUND(IF(BZ385=0,0,HLOOKUP(BZ$14,Villagers!$B$1:$V$33,BZ385+3,FALSE)),)</f>
        <v>0</v>
      </c>
      <c r="CV385" s="14">
        <f>ROUND(IF(CA385=0,0,HLOOKUP(CA$14,Villagers!$B$1:$V$33,CA385+3,FALSE)),)</f>
        <v>0</v>
      </c>
      <c r="CW385" s="14">
        <f>ROUND(IF(CB385=0,0,HLOOKUP(CB$14,Villagers!$B$1:$V$33,CB385+3,FALSE)),)</f>
        <v>0</v>
      </c>
      <c r="CX385" s="14">
        <f>ROUND(IF(CC385=0,0,HLOOKUP(CC$14,Villagers!$B$1:$V$33,CC385+3,FALSE)),)</f>
        <v>0</v>
      </c>
      <c r="CY385" s="14">
        <f>ROUND(IF(CD385=0,0,HLOOKUP(CD$14,Villagers!$B$1:$V$33,CD385+3,FALSE)),)</f>
        <v>0</v>
      </c>
      <c r="CZ385" s="14">
        <f>ROUND(IF(CE385=0,0,HLOOKUP(CE$14,Villagers!$B$1:$V$33,CE385+3,FALSE)),)</f>
        <v>5</v>
      </c>
      <c r="DA385" s="14">
        <f>ROUND(IF(CF385=0,0,HLOOKUP(CF$14,Villagers!$B$1:$V$33,CF385+3,FALSE)),)</f>
        <v>10</v>
      </c>
      <c r="DB385" s="14">
        <f>ROUND(IF(CG385=0,0,HLOOKUP(CG$14,Villagers!$B$1:$V$33,CG385+3,FALSE)),)</f>
        <v>10</v>
      </c>
      <c r="DC385" s="14">
        <f>ROUND(IF(CH385=0,0,HLOOKUP(CH$14,Villagers!$B$1:$V$33,CH385+3,FALSE)),)</f>
        <v>0</v>
      </c>
      <c r="DD385" s="14">
        <f>ROUND(IF(CI385=0,0,HLOOKUP(CI$14,Villagers!$B$1:$V$33,CI385+3,FALSE)),)</f>
        <v>0</v>
      </c>
      <c r="DE385" s="14">
        <f>ROUND(IF(CJ385=0,0,HLOOKUP(CJ$14,Villagers!$B$1:$V$33,CJ385+3,FALSE)),)</f>
        <v>2</v>
      </c>
      <c r="DF385" s="370">
        <f>ROUND(IF(CK385=0,0,HLOOKUP(CK$14,Villagers!$B$1:$V$33,CK385+3,FALSE)),)</f>
        <v>0</v>
      </c>
      <c r="DG385" s="370">
        <f>ROUND(IF(CL385=0,0,HLOOKUP(CL$14,Villagers!$B$1:$V$33,CL385+3,FALSE)),)</f>
        <v>0</v>
      </c>
      <c r="DH385" s="34">
        <f>ROUND(IF(CM385=0,0,HLOOKUP(CM$14,Villagers!$B$1:$V$33,CM385+3,FALSE)),)</f>
        <v>0</v>
      </c>
      <c r="DI385" s="109">
        <f t="shared" si="516"/>
        <v>0</v>
      </c>
      <c r="DJ385" s="50">
        <f t="shared" si="517"/>
        <v>0</v>
      </c>
      <c r="DK385" s="50">
        <f t="shared" si="518"/>
        <v>0</v>
      </c>
      <c r="DL385" s="50">
        <f t="shared" si="519"/>
        <v>0</v>
      </c>
      <c r="DM385" s="50">
        <f t="shared" si="520"/>
        <v>0</v>
      </c>
      <c r="DN385" s="50">
        <f t="shared" si="521"/>
        <v>0</v>
      </c>
      <c r="DO385" s="50">
        <f t="shared" si="522"/>
        <v>0</v>
      </c>
      <c r="DP385" s="50">
        <f t="shared" si="523"/>
        <v>0</v>
      </c>
      <c r="DQ385" s="50">
        <f t="shared" si="501"/>
        <v>0</v>
      </c>
      <c r="DR385" s="50">
        <f t="shared" si="502"/>
        <v>0</v>
      </c>
      <c r="DS385" s="96">
        <f>Miscelaneous!$D$4*Miscelaneous!$D$2^($CI385-1)</f>
        <v>1000</v>
      </c>
      <c r="DT385" s="333">
        <f t="shared" si="483"/>
        <v>1</v>
      </c>
      <c r="DU385" s="81">
        <v>1</v>
      </c>
      <c r="DV385" s="79">
        <f t="shared" si="503"/>
        <v>0</v>
      </c>
      <c r="DW385" s="79">
        <f t="shared" si="504"/>
        <v>0</v>
      </c>
      <c r="DX385" s="79">
        <f t="shared" si="505"/>
        <v>0</v>
      </c>
      <c r="DY385" s="79">
        <v>1</v>
      </c>
      <c r="DZ385" s="79">
        <f t="shared" si="506"/>
        <v>0</v>
      </c>
      <c r="EA385" s="79">
        <f t="shared" si="507"/>
        <v>0</v>
      </c>
      <c r="EB385" s="79">
        <f t="shared" si="508"/>
        <v>0</v>
      </c>
      <c r="EC385" s="79">
        <f t="shared" si="509"/>
        <v>0</v>
      </c>
      <c r="ED385" s="79">
        <v>1</v>
      </c>
      <c r="EE385" s="79">
        <v>1</v>
      </c>
      <c r="EF385" s="79">
        <f t="shared" si="510"/>
        <v>0</v>
      </c>
      <c r="EG385" s="79">
        <v>1</v>
      </c>
      <c r="EH385" s="79">
        <v>1</v>
      </c>
      <c r="EI385" s="79">
        <v>1</v>
      </c>
      <c r="EJ385" s="79">
        <v>1</v>
      </c>
      <c r="EK385" s="79">
        <v>1</v>
      </c>
      <c r="EL385" s="79">
        <v>1</v>
      </c>
      <c r="EM385" s="143">
        <f t="shared" si="511"/>
        <v>0</v>
      </c>
      <c r="EN385" s="143">
        <f t="shared" si="512"/>
        <v>0</v>
      </c>
      <c r="EO385" s="82">
        <f t="shared" si="513"/>
        <v>0</v>
      </c>
    </row>
    <row r="386" spans="1:145" x14ac:dyDescent="0.25">
      <c r="A386">
        <v>372</v>
      </c>
      <c r="B386" s="172" t="e">
        <f t="shared" si="484"/>
        <v>#N/A</v>
      </c>
      <c r="C386" s="121" t="e">
        <f t="shared" si="462"/>
        <v>#N/A</v>
      </c>
      <c r="D386" s="122" t="e">
        <f t="shared" si="463"/>
        <v>#N/A</v>
      </c>
      <c r="E386" s="122" t="e">
        <f t="shared" si="464"/>
        <v>#N/A</v>
      </c>
      <c r="F386" s="176" t="e">
        <f t="shared" si="465"/>
        <v>#N/A</v>
      </c>
      <c r="G386" s="121">
        <f t="shared" si="485"/>
        <v>208</v>
      </c>
      <c r="H386" s="176" t="e">
        <f t="shared" si="486"/>
        <v>#N/A</v>
      </c>
      <c r="I386" s="48">
        <v>1</v>
      </c>
      <c r="J386" s="39"/>
      <c r="K386" s="350">
        <v>1</v>
      </c>
      <c r="L386" s="34" t="e">
        <f t="shared" si="466"/>
        <v>#N/A</v>
      </c>
      <c r="M386" s="38" t="e">
        <f>(HLOOKUP(J386,'Construction Times'!$B$3:$W$34,L386+2,FALSE)*HLOOKUP("hq modifier",'Construction Times'!$W$3:$W$34,BS386+2,FALSE))*(1-$H$9)</f>
        <v>#N/A</v>
      </c>
      <c r="N386" s="443" t="e">
        <f t="shared" si="487"/>
        <v>#N/A</v>
      </c>
      <c r="O386" s="444"/>
      <c r="P386" s="447" t="e">
        <f t="shared" si="488"/>
        <v>#N/A</v>
      </c>
      <c r="Q386" s="448"/>
      <c r="R386" s="103">
        <f t="shared" si="548"/>
        <v>0</v>
      </c>
      <c r="S386" s="104">
        <f t="shared" si="548"/>
        <v>0</v>
      </c>
      <c r="T386" s="104">
        <f t="shared" si="549"/>
        <v>0</v>
      </c>
      <c r="U386" s="104">
        <f t="shared" si="549"/>
        <v>0</v>
      </c>
      <c r="V386" s="104">
        <f t="shared" si="549"/>
        <v>9.9999999999999995E-8</v>
      </c>
      <c r="W386" s="104">
        <f t="shared" si="549"/>
        <v>0</v>
      </c>
      <c r="X386" s="104">
        <f t="shared" si="545"/>
        <v>0</v>
      </c>
      <c r="Y386" s="104">
        <f t="shared" si="545"/>
        <v>9.9999999999999995E-8</v>
      </c>
      <c r="Z386" s="104">
        <f t="shared" si="545"/>
        <v>9.9999999999999995E-8</v>
      </c>
      <c r="AA386" s="105">
        <f t="shared" si="545"/>
        <v>9.9999999999999995E-8</v>
      </c>
      <c r="AB386" s="101" t="e">
        <f>$DT386*HLOOKUP($J386,'Construction Costs (timber)'!$B$1:$V$32,'Construction Planner'!$L386+2,FALSE)</f>
        <v>#N/A</v>
      </c>
      <c r="AC386" s="14" t="e">
        <f>$DT386*HLOOKUP($J386,'Construction Costs (clay)'!$B$1:$V$32,'Construction Planner'!$L386+2,FALSE)</f>
        <v>#N/A</v>
      </c>
      <c r="AD386" s="14" t="e">
        <f>$DT386*HLOOKUP($J386,'Construction Costs (iron)'!$B$1:$V$32,'Construction Planner'!$L386+2,FALSE)</f>
        <v>#N/A</v>
      </c>
      <c r="AE386" s="34" t="e">
        <f t="shared" si="524"/>
        <v>#N/A</v>
      </c>
      <c r="AF386" s="33" t="e">
        <f t="shared" si="467"/>
        <v>#N/A</v>
      </c>
      <c r="AG386" s="14" t="e">
        <f t="shared" si="468"/>
        <v>#N/A</v>
      </c>
      <c r="AH386" s="14" t="e">
        <f t="shared" si="469"/>
        <v>#N/A</v>
      </c>
      <c r="AI386" s="34" t="e">
        <f t="shared" si="525"/>
        <v>#N/A</v>
      </c>
      <c r="AJ386" s="49" t="e">
        <f t="shared" si="489"/>
        <v>#N/A</v>
      </c>
      <c r="AK386" s="49" t="e">
        <f t="shared" si="490"/>
        <v>#N/A</v>
      </c>
      <c r="AL386" s="49" t="e">
        <f t="shared" si="491"/>
        <v>#N/A</v>
      </c>
      <c r="AM386" s="25">
        <f t="shared" si="470"/>
        <v>30</v>
      </c>
      <c r="AN386" s="25">
        <f t="shared" si="471"/>
        <v>30</v>
      </c>
      <c r="AO386" s="25">
        <f t="shared" si="472"/>
        <v>30</v>
      </c>
      <c r="AP386" s="52" t="e">
        <f t="shared" si="546"/>
        <v>#N/A</v>
      </c>
      <c r="AQ386" s="53" t="e">
        <f t="shared" si="546"/>
        <v>#N/A</v>
      </c>
      <c r="AR386" s="54" t="e">
        <f t="shared" si="546"/>
        <v>#N/A</v>
      </c>
      <c r="AS386" s="316">
        <f t="shared" si="550"/>
        <v>0</v>
      </c>
      <c r="AT386" s="106">
        <f>_xlfn.IFNA($M386/VLOOKUP($BT386,'Unit information'!$A$2:$K$29,2,FALSE)*R386,0)*(1+$E$9)</f>
        <v>0</v>
      </c>
      <c r="AU386" s="107">
        <f>_xlfn.IFNA($M386/VLOOKUP($BT386,'Unit information'!$A$2:$K$29,3,FALSE)*S386,0)*(1+$E$9)</f>
        <v>0</v>
      </c>
      <c r="AV386" s="107">
        <f>_xlfn.IFNA($M386/VLOOKUP($BT386,'Unit information'!$A$2:$K$29,4,FALSE)*T386,0)*(1+$E$9)</f>
        <v>0</v>
      </c>
      <c r="AW386" s="107">
        <f>_xlfn.IFNA($M386/VLOOKUP($BT386,'Unit information'!$A$2:$K$29,5,FALSE)*U386,0)*(1+$E$9)</f>
        <v>0</v>
      </c>
      <c r="AX386" s="107">
        <f>_xlfn.IFNA($M386/VLOOKUP($BU386,'Unit information'!$A$2:$K$29,6,FALSE)*V386,0)*(1+$E$9)</f>
        <v>0</v>
      </c>
      <c r="AY386" s="107">
        <f>_xlfn.IFNA($M386/VLOOKUP($BU386,'Unit information'!$A$2:$K$29,7,FALSE)*W386,0)*(1+$E$9)</f>
        <v>0</v>
      </c>
      <c r="AZ386" s="107">
        <f>_xlfn.IFNA($M386/VLOOKUP($BU386,'Unit information'!$A$2:$K$29,8,FALSE)*X386,0)*(1+$E$9)</f>
        <v>0</v>
      </c>
      <c r="BA386" s="107">
        <f>_xlfn.IFNA($M386/VLOOKUP($BU386,'Unit information'!$A$2:$K$29,9,FALSE)*Y386,0)*(1+$E$9)</f>
        <v>0</v>
      </c>
      <c r="BB386" s="107">
        <f>_xlfn.IFNA($M386/VLOOKUP($BV386,'Unit information'!$A$2:$K$29,10,FALSE)*Z386,0)*(1+$E$9)</f>
        <v>0</v>
      </c>
      <c r="BC386" s="108">
        <f>_xlfn.IFNA($M386/VLOOKUP($BV386,'Unit information'!$A$2:$K$29,11,FALSE)*AA386,0)*(1+$E$9)</f>
        <v>0</v>
      </c>
      <c r="BD386" s="106">
        <f t="shared" si="473"/>
        <v>0</v>
      </c>
      <c r="BE386" s="107">
        <f t="shared" si="474"/>
        <v>0</v>
      </c>
      <c r="BF386" s="108">
        <f t="shared" si="475"/>
        <v>0</v>
      </c>
      <c r="BG386" s="25" t="e">
        <f t="shared" si="476"/>
        <v>#N/A</v>
      </c>
      <c r="BH386" s="25" t="e">
        <f t="shared" si="477"/>
        <v>#N/A</v>
      </c>
      <c r="BI386" s="25" t="e">
        <f t="shared" si="478"/>
        <v>#N/A</v>
      </c>
      <c r="BJ386" s="27" t="e">
        <f t="shared" si="479"/>
        <v>#N/A</v>
      </c>
      <c r="BK386" s="18" t="e">
        <f t="shared" si="480"/>
        <v>#N/A</v>
      </c>
      <c r="BL386" s="18" t="e">
        <f t="shared" si="481"/>
        <v>#N/A</v>
      </c>
      <c r="BM386" s="28" t="e">
        <f t="shared" si="527"/>
        <v>#N/A</v>
      </c>
      <c r="BN386" s="33">
        <f>HLOOKUP("maximum population",Miscelaneous!$C$1:$C$33,CH386+3,FALSE)</f>
        <v>240</v>
      </c>
      <c r="BO386" s="14">
        <f t="shared" si="493"/>
        <v>32</v>
      </c>
      <c r="BP386" s="14">
        <f t="shared" si="494"/>
        <v>0</v>
      </c>
      <c r="BQ386" s="14">
        <f t="shared" si="495"/>
        <v>208</v>
      </c>
      <c r="BR386" s="34" t="e">
        <f>HLOOKUP(J386,Villagers!$B$1:$V$33,L386+3,FALSE)-HLOOKUP(J386,Villagers!$B$1:$V$33,L386+2,FALSE)</f>
        <v>#N/A</v>
      </c>
      <c r="BS386" s="49">
        <f t="shared" si="496"/>
        <v>1</v>
      </c>
      <c r="BT386" s="50">
        <f t="shared" si="497"/>
        <v>0</v>
      </c>
      <c r="BU386" s="50">
        <f t="shared" si="498"/>
        <v>0</v>
      </c>
      <c r="BV386" s="50">
        <f t="shared" si="499"/>
        <v>0</v>
      </c>
      <c r="BW386" s="50">
        <f t="shared" si="553"/>
        <v>0</v>
      </c>
      <c r="BX386" s="50">
        <f t="shared" si="553"/>
        <v>0</v>
      </c>
      <c r="BY386" s="50">
        <f t="shared" si="553"/>
        <v>0</v>
      </c>
      <c r="BZ386" s="50">
        <f t="shared" si="530"/>
        <v>0</v>
      </c>
      <c r="CA386" s="50">
        <f t="shared" si="531"/>
        <v>0</v>
      </c>
      <c r="CB386" s="50">
        <f t="shared" si="532"/>
        <v>1</v>
      </c>
      <c r="CC386" s="50">
        <f t="shared" si="533"/>
        <v>0</v>
      </c>
      <c r="CD386" s="50">
        <f t="shared" si="534"/>
        <v>0</v>
      </c>
      <c r="CE386" s="50">
        <f t="shared" si="535"/>
        <v>1</v>
      </c>
      <c r="CF386" s="50">
        <f t="shared" si="536"/>
        <v>1</v>
      </c>
      <c r="CG386" s="50">
        <f t="shared" si="537"/>
        <v>1</v>
      </c>
      <c r="CH386" s="50">
        <f t="shared" si="538"/>
        <v>1</v>
      </c>
      <c r="CI386" s="50">
        <f t="shared" si="539"/>
        <v>1</v>
      </c>
      <c r="CJ386" s="50">
        <f t="shared" si="540"/>
        <v>1</v>
      </c>
      <c r="CK386" s="50">
        <f t="shared" si="540"/>
        <v>0</v>
      </c>
      <c r="CL386" s="50">
        <f t="shared" si="540"/>
        <v>0</v>
      </c>
      <c r="CM386" s="51">
        <f t="shared" si="482"/>
        <v>0</v>
      </c>
      <c r="CN386" s="33">
        <f>ROUND(IF(BS386=0,0,HLOOKUP(BS$14,Villagers!$B$1:$V$33,BS386+3,FALSE)),)</f>
        <v>5</v>
      </c>
      <c r="CO386" s="14">
        <f>ROUND(IF(BT386=0,0,HLOOKUP(BT$14,Villagers!$B$1:$V$33,BT386+3,FALSE)),)</f>
        <v>0</v>
      </c>
      <c r="CP386" s="14">
        <f>ROUND(IF(BU386=0,0,HLOOKUP(BU$14,Villagers!$B$1:$V$33,BU386+3,FALSE)),)</f>
        <v>0</v>
      </c>
      <c r="CQ386" s="14">
        <f>ROUND(IF(BV386=0,0,HLOOKUP(BV$14,Villagers!$B$1:$V$33,BV386+3,FALSE)),)</f>
        <v>0</v>
      </c>
      <c r="CR386" s="14">
        <f>ROUND(IF(BW386=0,0,HLOOKUP(BW$14,Villagers!$B$1:$V$33,BW386+3,FALSE)),)</f>
        <v>0</v>
      </c>
      <c r="CS386" s="14">
        <f>ROUND(IF(BX386=0,0,HLOOKUP(BX$14,Villagers!$B$1:$V$33,BX386+3,FALSE)),)</f>
        <v>0</v>
      </c>
      <c r="CT386" s="14">
        <f>ROUND(IF(BY386=0,0,HLOOKUP(BY$14,Villagers!$B$1:$V$33,BY386+3,FALSE)),)</f>
        <v>0</v>
      </c>
      <c r="CU386" s="14">
        <f>ROUND(IF(BZ386=0,0,HLOOKUP(BZ$14,Villagers!$B$1:$V$33,BZ386+3,FALSE)),)</f>
        <v>0</v>
      </c>
      <c r="CV386" s="14">
        <f>ROUND(IF(CA386=0,0,HLOOKUP(CA$14,Villagers!$B$1:$V$33,CA386+3,FALSE)),)</f>
        <v>0</v>
      </c>
      <c r="CW386" s="14">
        <f>ROUND(IF(CB386=0,0,HLOOKUP(CB$14,Villagers!$B$1:$V$33,CB386+3,FALSE)),)</f>
        <v>0</v>
      </c>
      <c r="CX386" s="14">
        <f>ROUND(IF(CC386=0,0,HLOOKUP(CC$14,Villagers!$B$1:$V$33,CC386+3,FALSE)),)</f>
        <v>0</v>
      </c>
      <c r="CY386" s="14">
        <f>ROUND(IF(CD386=0,0,HLOOKUP(CD$14,Villagers!$B$1:$V$33,CD386+3,FALSE)),)</f>
        <v>0</v>
      </c>
      <c r="CZ386" s="14">
        <f>ROUND(IF(CE386=0,0,HLOOKUP(CE$14,Villagers!$B$1:$V$33,CE386+3,FALSE)),)</f>
        <v>5</v>
      </c>
      <c r="DA386" s="14">
        <f>ROUND(IF(CF386=0,0,HLOOKUP(CF$14,Villagers!$B$1:$V$33,CF386+3,FALSE)),)</f>
        <v>10</v>
      </c>
      <c r="DB386" s="14">
        <f>ROUND(IF(CG386=0,0,HLOOKUP(CG$14,Villagers!$B$1:$V$33,CG386+3,FALSE)),)</f>
        <v>10</v>
      </c>
      <c r="DC386" s="14">
        <f>ROUND(IF(CH386=0,0,HLOOKUP(CH$14,Villagers!$B$1:$V$33,CH386+3,FALSE)),)</f>
        <v>0</v>
      </c>
      <c r="DD386" s="14">
        <f>ROUND(IF(CI386=0,0,HLOOKUP(CI$14,Villagers!$B$1:$V$33,CI386+3,FALSE)),)</f>
        <v>0</v>
      </c>
      <c r="DE386" s="14">
        <f>ROUND(IF(CJ386=0,0,HLOOKUP(CJ$14,Villagers!$B$1:$V$33,CJ386+3,FALSE)),)</f>
        <v>2</v>
      </c>
      <c r="DF386" s="370">
        <f>ROUND(IF(CK386=0,0,HLOOKUP(CK$14,Villagers!$B$1:$V$33,CK386+3,FALSE)),)</f>
        <v>0</v>
      </c>
      <c r="DG386" s="370">
        <f>ROUND(IF(CL386=0,0,HLOOKUP(CL$14,Villagers!$B$1:$V$33,CL386+3,FALSE)),)</f>
        <v>0</v>
      </c>
      <c r="DH386" s="34">
        <f>ROUND(IF(CM386=0,0,HLOOKUP(CM$14,Villagers!$B$1:$V$33,CM386+3,FALSE)),)</f>
        <v>0</v>
      </c>
      <c r="DI386" s="109">
        <f t="shared" si="516"/>
        <v>0</v>
      </c>
      <c r="DJ386" s="50">
        <f t="shared" si="517"/>
        <v>0</v>
      </c>
      <c r="DK386" s="50">
        <f t="shared" si="518"/>
        <v>0</v>
      </c>
      <c r="DL386" s="50">
        <f t="shared" si="519"/>
        <v>0</v>
      </c>
      <c r="DM386" s="50">
        <f t="shared" si="520"/>
        <v>0</v>
      </c>
      <c r="DN386" s="50">
        <f t="shared" si="521"/>
        <v>0</v>
      </c>
      <c r="DO386" s="50">
        <f t="shared" si="522"/>
        <v>0</v>
      </c>
      <c r="DP386" s="50">
        <f t="shared" si="523"/>
        <v>0</v>
      </c>
      <c r="DQ386" s="50">
        <f t="shared" si="501"/>
        <v>0</v>
      </c>
      <c r="DR386" s="50">
        <f t="shared" si="502"/>
        <v>0</v>
      </c>
      <c r="DS386" s="96">
        <f>Miscelaneous!$D$4*Miscelaneous!$D$2^($CI386-1)</f>
        <v>1000</v>
      </c>
      <c r="DT386" s="333">
        <f t="shared" si="483"/>
        <v>1</v>
      </c>
      <c r="DU386" s="81">
        <v>1</v>
      </c>
      <c r="DV386" s="79">
        <f t="shared" si="503"/>
        <v>0</v>
      </c>
      <c r="DW386" s="79">
        <f t="shared" si="504"/>
        <v>0</v>
      </c>
      <c r="DX386" s="79">
        <f t="shared" si="505"/>
        <v>0</v>
      </c>
      <c r="DY386" s="79">
        <v>1</v>
      </c>
      <c r="DZ386" s="79">
        <f t="shared" si="506"/>
        <v>0</v>
      </c>
      <c r="EA386" s="79">
        <f t="shared" si="507"/>
        <v>0</v>
      </c>
      <c r="EB386" s="79">
        <f t="shared" si="508"/>
        <v>0</v>
      </c>
      <c r="EC386" s="79">
        <f t="shared" si="509"/>
        <v>0</v>
      </c>
      <c r="ED386" s="79">
        <v>1</v>
      </c>
      <c r="EE386" s="79">
        <v>1</v>
      </c>
      <c r="EF386" s="79">
        <f t="shared" si="510"/>
        <v>0</v>
      </c>
      <c r="EG386" s="79">
        <v>1</v>
      </c>
      <c r="EH386" s="79">
        <v>1</v>
      </c>
      <c r="EI386" s="79">
        <v>1</v>
      </c>
      <c r="EJ386" s="79">
        <v>1</v>
      </c>
      <c r="EK386" s="79">
        <v>1</v>
      </c>
      <c r="EL386" s="79">
        <v>1</v>
      </c>
      <c r="EM386" s="143">
        <f t="shared" si="511"/>
        <v>0</v>
      </c>
      <c r="EN386" s="143">
        <f t="shared" si="512"/>
        <v>0</v>
      </c>
      <c r="EO386" s="82">
        <f t="shared" si="513"/>
        <v>0</v>
      </c>
    </row>
    <row r="387" spans="1:145" x14ac:dyDescent="0.25">
      <c r="A387">
        <v>373</v>
      </c>
      <c r="B387" s="172" t="e">
        <f t="shared" si="484"/>
        <v>#N/A</v>
      </c>
      <c r="C387" s="121" t="e">
        <f t="shared" si="462"/>
        <v>#N/A</v>
      </c>
      <c r="D387" s="122" t="e">
        <f t="shared" si="463"/>
        <v>#N/A</v>
      </c>
      <c r="E387" s="122" t="e">
        <f t="shared" si="464"/>
        <v>#N/A</v>
      </c>
      <c r="F387" s="176" t="e">
        <f t="shared" si="465"/>
        <v>#N/A</v>
      </c>
      <c r="G387" s="121">
        <f t="shared" si="485"/>
        <v>208</v>
      </c>
      <c r="H387" s="176" t="e">
        <f t="shared" si="486"/>
        <v>#N/A</v>
      </c>
      <c r="I387" s="48">
        <v>1</v>
      </c>
      <c r="J387" s="39"/>
      <c r="K387" s="350">
        <v>1</v>
      </c>
      <c r="L387" s="34" t="e">
        <f t="shared" si="466"/>
        <v>#N/A</v>
      </c>
      <c r="M387" s="38" t="e">
        <f>(HLOOKUP(J387,'Construction Times'!$B$3:$W$34,L387+2,FALSE)*HLOOKUP("hq modifier",'Construction Times'!$W$3:$W$34,BS387+2,FALSE))*(1-$H$9)</f>
        <v>#N/A</v>
      </c>
      <c r="N387" s="443" t="e">
        <f t="shared" si="487"/>
        <v>#N/A</v>
      </c>
      <c r="O387" s="444"/>
      <c r="P387" s="447" t="e">
        <f t="shared" si="488"/>
        <v>#N/A</v>
      </c>
      <c r="Q387" s="448"/>
      <c r="R387" s="103">
        <f t="shared" si="548"/>
        <v>0</v>
      </c>
      <c r="S387" s="104">
        <f t="shared" si="548"/>
        <v>0</v>
      </c>
      <c r="T387" s="104">
        <f t="shared" si="549"/>
        <v>0</v>
      </c>
      <c r="U387" s="104">
        <f t="shared" si="549"/>
        <v>0</v>
      </c>
      <c r="V387" s="104">
        <f t="shared" si="549"/>
        <v>9.9999999999999995E-8</v>
      </c>
      <c r="W387" s="104">
        <f t="shared" si="549"/>
        <v>0</v>
      </c>
      <c r="X387" s="104">
        <f t="shared" si="545"/>
        <v>0</v>
      </c>
      <c r="Y387" s="104">
        <f t="shared" si="545"/>
        <v>9.9999999999999995E-8</v>
      </c>
      <c r="Z387" s="104">
        <f t="shared" si="545"/>
        <v>9.9999999999999995E-8</v>
      </c>
      <c r="AA387" s="105">
        <f t="shared" si="545"/>
        <v>9.9999999999999995E-8</v>
      </c>
      <c r="AB387" s="101" t="e">
        <f>$DT387*HLOOKUP($J387,'Construction Costs (timber)'!$B$1:$V$32,'Construction Planner'!$L387+2,FALSE)</f>
        <v>#N/A</v>
      </c>
      <c r="AC387" s="14" t="e">
        <f>$DT387*HLOOKUP($J387,'Construction Costs (clay)'!$B$1:$V$32,'Construction Planner'!$L387+2,FALSE)</f>
        <v>#N/A</v>
      </c>
      <c r="AD387" s="14" t="e">
        <f>$DT387*HLOOKUP($J387,'Construction Costs (iron)'!$B$1:$V$32,'Construction Planner'!$L387+2,FALSE)</f>
        <v>#N/A</v>
      </c>
      <c r="AE387" s="34" t="e">
        <f t="shared" si="524"/>
        <v>#N/A</v>
      </c>
      <c r="AF387" s="33" t="e">
        <f t="shared" si="467"/>
        <v>#N/A</v>
      </c>
      <c r="AG387" s="14" t="e">
        <f t="shared" si="468"/>
        <v>#N/A</v>
      </c>
      <c r="AH387" s="14" t="e">
        <f t="shared" si="469"/>
        <v>#N/A</v>
      </c>
      <c r="AI387" s="34" t="e">
        <f t="shared" si="525"/>
        <v>#N/A</v>
      </c>
      <c r="AJ387" s="49" t="e">
        <f t="shared" si="489"/>
        <v>#N/A</v>
      </c>
      <c r="AK387" s="49" t="e">
        <f t="shared" si="490"/>
        <v>#N/A</v>
      </c>
      <c r="AL387" s="49" t="e">
        <f t="shared" si="491"/>
        <v>#N/A</v>
      </c>
      <c r="AM387" s="25">
        <f t="shared" si="470"/>
        <v>30</v>
      </c>
      <c r="AN387" s="25">
        <f t="shared" si="471"/>
        <v>30</v>
      </c>
      <c r="AO387" s="25">
        <f t="shared" si="472"/>
        <v>30</v>
      </c>
      <c r="AP387" s="52" t="e">
        <f t="shared" si="546"/>
        <v>#N/A</v>
      </c>
      <c r="AQ387" s="53" t="e">
        <f t="shared" si="546"/>
        <v>#N/A</v>
      </c>
      <c r="AR387" s="54" t="e">
        <f t="shared" si="546"/>
        <v>#N/A</v>
      </c>
      <c r="AS387" s="316">
        <f t="shared" si="550"/>
        <v>0</v>
      </c>
      <c r="AT387" s="106">
        <f>_xlfn.IFNA($M387/VLOOKUP($BT387,'Unit information'!$A$2:$K$29,2,FALSE)*R387,0)*(1+$E$9)</f>
        <v>0</v>
      </c>
      <c r="AU387" s="107">
        <f>_xlfn.IFNA($M387/VLOOKUP($BT387,'Unit information'!$A$2:$K$29,3,FALSE)*S387,0)*(1+$E$9)</f>
        <v>0</v>
      </c>
      <c r="AV387" s="107">
        <f>_xlfn.IFNA($M387/VLOOKUP($BT387,'Unit information'!$A$2:$K$29,4,FALSE)*T387,0)*(1+$E$9)</f>
        <v>0</v>
      </c>
      <c r="AW387" s="107">
        <f>_xlfn.IFNA($M387/VLOOKUP($BT387,'Unit information'!$A$2:$K$29,5,FALSE)*U387,0)*(1+$E$9)</f>
        <v>0</v>
      </c>
      <c r="AX387" s="107">
        <f>_xlfn.IFNA($M387/VLOOKUP($BU387,'Unit information'!$A$2:$K$29,6,FALSE)*V387,0)*(1+$E$9)</f>
        <v>0</v>
      </c>
      <c r="AY387" s="107">
        <f>_xlfn.IFNA($M387/VLOOKUP($BU387,'Unit information'!$A$2:$K$29,7,FALSE)*W387,0)*(1+$E$9)</f>
        <v>0</v>
      </c>
      <c r="AZ387" s="107">
        <f>_xlfn.IFNA($M387/VLOOKUP($BU387,'Unit information'!$A$2:$K$29,8,FALSE)*X387,0)*(1+$E$9)</f>
        <v>0</v>
      </c>
      <c r="BA387" s="107">
        <f>_xlfn.IFNA($M387/VLOOKUP($BU387,'Unit information'!$A$2:$K$29,9,FALSE)*Y387,0)*(1+$E$9)</f>
        <v>0</v>
      </c>
      <c r="BB387" s="107">
        <f>_xlfn.IFNA($M387/VLOOKUP($BV387,'Unit information'!$A$2:$K$29,10,FALSE)*Z387,0)*(1+$E$9)</f>
        <v>0</v>
      </c>
      <c r="BC387" s="108">
        <f>_xlfn.IFNA($M387/VLOOKUP($BV387,'Unit information'!$A$2:$K$29,11,FALSE)*AA387,0)*(1+$E$9)</f>
        <v>0</v>
      </c>
      <c r="BD387" s="106">
        <f t="shared" si="473"/>
        <v>0</v>
      </c>
      <c r="BE387" s="107">
        <f t="shared" si="474"/>
        <v>0</v>
      </c>
      <c r="BF387" s="108">
        <f t="shared" si="475"/>
        <v>0</v>
      </c>
      <c r="BG387" s="25" t="e">
        <f t="shared" si="476"/>
        <v>#N/A</v>
      </c>
      <c r="BH387" s="25" t="e">
        <f t="shared" si="477"/>
        <v>#N/A</v>
      </c>
      <c r="BI387" s="25" t="e">
        <f t="shared" si="478"/>
        <v>#N/A</v>
      </c>
      <c r="BJ387" s="27" t="e">
        <f t="shared" si="479"/>
        <v>#N/A</v>
      </c>
      <c r="BK387" s="18" t="e">
        <f t="shared" si="480"/>
        <v>#N/A</v>
      </c>
      <c r="BL387" s="18" t="e">
        <f t="shared" si="481"/>
        <v>#N/A</v>
      </c>
      <c r="BM387" s="28" t="e">
        <f t="shared" si="527"/>
        <v>#N/A</v>
      </c>
      <c r="BN387" s="33">
        <f>HLOOKUP("maximum population",Miscelaneous!$C$1:$C$33,CH387+3,FALSE)</f>
        <v>240</v>
      </c>
      <c r="BO387" s="14">
        <f t="shared" si="493"/>
        <v>32</v>
      </c>
      <c r="BP387" s="14">
        <f t="shared" si="494"/>
        <v>0</v>
      </c>
      <c r="BQ387" s="14">
        <f t="shared" si="495"/>
        <v>208</v>
      </c>
      <c r="BR387" s="34" t="e">
        <f>HLOOKUP(J387,Villagers!$B$1:$V$33,L387+3,FALSE)-HLOOKUP(J387,Villagers!$B$1:$V$33,L387+2,FALSE)</f>
        <v>#N/A</v>
      </c>
      <c r="BS387" s="49">
        <f t="shared" si="496"/>
        <v>1</v>
      </c>
      <c r="BT387" s="50">
        <f t="shared" si="497"/>
        <v>0</v>
      </c>
      <c r="BU387" s="50">
        <f t="shared" si="498"/>
        <v>0</v>
      </c>
      <c r="BV387" s="50">
        <f t="shared" si="499"/>
        <v>0</v>
      </c>
      <c r="BW387" s="50">
        <f t="shared" si="553"/>
        <v>0</v>
      </c>
      <c r="BX387" s="50">
        <f t="shared" si="553"/>
        <v>0</v>
      </c>
      <c r="BY387" s="50">
        <f t="shared" si="553"/>
        <v>0</v>
      </c>
      <c r="BZ387" s="50">
        <f t="shared" si="530"/>
        <v>0</v>
      </c>
      <c r="CA387" s="50">
        <f t="shared" si="531"/>
        <v>0</v>
      </c>
      <c r="CB387" s="50">
        <f t="shared" si="532"/>
        <v>1</v>
      </c>
      <c r="CC387" s="50">
        <f t="shared" si="533"/>
        <v>0</v>
      </c>
      <c r="CD387" s="50">
        <f t="shared" si="534"/>
        <v>0</v>
      </c>
      <c r="CE387" s="50">
        <f t="shared" si="535"/>
        <v>1</v>
      </c>
      <c r="CF387" s="50">
        <f t="shared" si="536"/>
        <v>1</v>
      </c>
      <c r="CG387" s="50">
        <f t="shared" si="537"/>
        <v>1</v>
      </c>
      <c r="CH387" s="50">
        <f t="shared" si="538"/>
        <v>1</v>
      </c>
      <c r="CI387" s="50">
        <f t="shared" si="539"/>
        <v>1</v>
      </c>
      <c r="CJ387" s="50">
        <f t="shared" si="540"/>
        <v>1</v>
      </c>
      <c r="CK387" s="50">
        <f t="shared" si="540"/>
        <v>0</v>
      </c>
      <c r="CL387" s="50">
        <f t="shared" si="540"/>
        <v>0</v>
      </c>
      <c r="CM387" s="51">
        <f t="shared" si="482"/>
        <v>0</v>
      </c>
      <c r="CN387" s="33">
        <f>ROUND(IF(BS387=0,0,HLOOKUP(BS$14,Villagers!$B$1:$V$33,BS387+3,FALSE)),)</f>
        <v>5</v>
      </c>
      <c r="CO387" s="14">
        <f>ROUND(IF(BT387=0,0,HLOOKUP(BT$14,Villagers!$B$1:$V$33,BT387+3,FALSE)),)</f>
        <v>0</v>
      </c>
      <c r="CP387" s="14">
        <f>ROUND(IF(BU387=0,0,HLOOKUP(BU$14,Villagers!$B$1:$V$33,BU387+3,FALSE)),)</f>
        <v>0</v>
      </c>
      <c r="CQ387" s="14">
        <f>ROUND(IF(BV387=0,0,HLOOKUP(BV$14,Villagers!$B$1:$V$33,BV387+3,FALSE)),)</f>
        <v>0</v>
      </c>
      <c r="CR387" s="14">
        <f>ROUND(IF(BW387=0,0,HLOOKUP(BW$14,Villagers!$B$1:$V$33,BW387+3,FALSE)),)</f>
        <v>0</v>
      </c>
      <c r="CS387" s="14">
        <f>ROUND(IF(BX387=0,0,HLOOKUP(BX$14,Villagers!$B$1:$V$33,BX387+3,FALSE)),)</f>
        <v>0</v>
      </c>
      <c r="CT387" s="14">
        <f>ROUND(IF(BY387=0,0,HLOOKUP(BY$14,Villagers!$B$1:$V$33,BY387+3,FALSE)),)</f>
        <v>0</v>
      </c>
      <c r="CU387" s="14">
        <f>ROUND(IF(BZ387=0,0,HLOOKUP(BZ$14,Villagers!$B$1:$V$33,BZ387+3,FALSE)),)</f>
        <v>0</v>
      </c>
      <c r="CV387" s="14">
        <f>ROUND(IF(CA387=0,0,HLOOKUP(CA$14,Villagers!$B$1:$V$33,CA387+3,FALSE)),)</f>
        <v>0</v>
      </c>
      <c r="CW387" s="14">
        <f>ROUND(IF(CB387=0,0,HLOOKUP(CB$14,Villagers!$B$1:$V$33,CB387+3,FALSE)),)</f>
        <v>0</v>
      </c>
      <c r="CX387" s="14">
        <f>ROUND(IF(CC387=0,0,HLOOKUP(CC$14,Villagers!$B$1:$V$33,CC387+3,FALSE)),)</f>
        <v>0</v>
      </c>
      <c r="CY387" s="14">
        <f>ROUND(IF(CD387=0,0,HLOOKUP(CD$14,Villagers!$B$1:$V$33,CD387+3,FALSE)),)</f>
        <v>0</v>
      </c>
      <c r="CZ387" s="14">
        <f>ROUND(IF(CE387=0,0,HLOOKUP(CE$14,Villagers!$B$1:$V$33,CE387+3,FALSE)),)</f>
        <v>5</v>
      </c>
      <c r="DA387" s="14">
        <f>ROUND(IF(CF387=0,0,HLOOKUP(CF$14,Villagers!$B$1:$V$33,CF387+3,FALSE)),)</f>
        <v>10</v>
      </c>
      <c r="DB387" s="14">
        <f>ROUND(IF(CG387=0,0,HLOOKUP(CG$14,Villagers!$B$1:$V$33,CG387+3,FALSE)),)</f>
        <v>10</v>
      </c>
      <c r="DC387" s="14">
        <f>ROUND(IF(CH387=0,0,HLOOKUP(CH$14,Villagers!$B$1:$V$33,CH387+3,FALSE)),)</f>
        <v>0</v>
      </c>
      <c r="DD387" s="14">
        <f>ROUND(IF(CI387=0,0,HLOOKUP(CI$14,Villagers!$B$1:$V$33,CI387+3,FALSE)),)</f>
        <v>0</v>
      </c>
      <c r="DE387" s="14">
        <f>ROUND(IF(CJ387=0,0,HLOOKUP(CJ$14,Villagers!$B$1:$V$33,CJ387+3,FALSE)),)</f>
        <v>2</v>
      </c>
      <c r="DF387" s="370">
        <f>ROUND(IF(CK387=0,0,HLOOKUP(CK$14,Villagers!$B$1:$V$33,CK387+3,FALSE)),)</f>
        <v>0</v>
      </c>
      <c r="DG387" s="370">
        <f>ROUND(IF(CL387=0,0,HLOOKUP(CL$14,Villagers!$B$1:$V$33,CL387+3,FALSE)),)</f>
        <v>0</v>
      </c>
      <c r="DH387" s="34">
        <f>ROUND(IF(CM387=0,0,HLOOKUP(CM$14,Villagers!$B$1:$V$33,CM387+3,FALSE)),)</f>
        <v>0</v>
      </c>
      <c r="DI387" s="109">
        <f t="shared" si="516"/>
        <v>0</v>
      </c>
      <c r="DJ387" s="50">
        <f t="shared" si="517"/>
        <v>0</v>
      </c>
      <c r="DK387" s="50">
        <f t="shared" si="518"/>
        <v>0</v>
      </c>
      <c r="DL387" s="50">
        <f t="shared" si="519"/>
        <v>0</v>
      </c>
      <c r="DM387" s="50">
        <f t="shared" si="520"/>
        <v>0</v>
      </c>
      <c r="DN387" s="50">
        <f t="shared" si="521"/>
        <v>0</v>
      </c>
      <c r="DO387" s="50">
        <f t="shared" si="522"/>
        <v>0</v>
      </c>
      <c r="DP387" s="50">
        <f t="shared" si="523"/>
        <v>0</v>
      </c>
      <c r="DQ387" s="50">
        <f t="shared" si="501"/>
        <v>0</v>
      </c>
      <c r="DR387" s="50">
        <f t="shared" si="502"/>
        <v>0</v>
      </c>
      <c r="DS387" s="96">
        <f>Miscelaneous!$D$4*Miscelaneous!$D$2^($CI387-1)</f>
        <v>1000</v>
      </c>
      <c r="DT387" s="333">
        <f t="shared" si="483"/>
        <v>1</v>
      </c>
      <c r="DU387" s="81">
        <v>1</v>
      </c>
      <c r="DV387" s="79">
        <f t="shared" si="503"/>
        <v>0</v>
      </c>
      <c r="DW387" s="79">
        <f t="shared" si="504"/>
        <v>0</v>
      </c>
      <c r="DX387" s="79">
        <f t="shared" si="505"/>
        <v>0</v>
      </c>
      <c r="DY387" s="79">
        <v>1</v>
      </c>
      <c r="DZ387" s="79">
        <f t="shared" si="506"/>
        <v>0</v>
      </c>
      <c r="EA387" s="79">
        <f t="shared" si="507"/>
        <v>0</v>
      </c>
      <c r="EB387" s="79">
        <f t="shared" si="508"/>
        <v>0</v>
      </c>
      <c r="EC387" s="79">
        <f t="shared" si="509"/>
        <v>0</v>
      </c>
      <c r="ED387" s="79">
        <v>1</v>
      </c>
      <c r="EE387" s="79">
        <v>1</v>
      </c>
      <c r="EF387" s="79">
        <f t="shared" si="510"/>
        <v>0</v>
      </c>
      <c r="EG387" s="79">
        <v>1</v>
      </c>
      <c r="EH387" s="79">
        <v>1</v>
      </c>
      <c r="EI387" s="79">
        <v>1</v>
      </c>
      <c r="EJ387" s="79">
        <v>1</v>
      </c>
      <c r="EK387" s="79">
        <v>1</v>
      </c>
      <c r="EL387" s="79">
        <v>1</v>
      </c>
      <c r="EM387" s="143">
        <f t="shared" si="511"/>
        <v>0</v>
      </c>
      <c r="EN387" s="143">
        <f t="shared" si="512"/>
        <v>0</v>
      </c>
      <c r="EO387" s="82">
        <f t="shared" si="513"/>
        <v>0</v>
      </c>
    </row>
    <row r="388" spans="1:145" x14ac:dyDescent="0.25">
      <c r="A388">
        <v>374</v>
      </c>
      <c r="B388" s="172" t="e">
        <f t="shared" si="484"/>
        <v>#N/A</v>
      </c>
      <c r="C388" s="121" t="e">
        <f t="shared" si="462"/>
        <v>#N/A</v>
      </c>
      <c r="D388" s="122" t="e">
        <f t="shared" si="463"/>
        <v>#N/A</v>
      </c>
      <c r="E388" s="122" t="e">
        <f t="shared" si="464"/>
        <v>#N/A</v>
      </c>
      <c r="F388" s="176" t="e">
        <f t="shared" si="465"/>
        <v>#N/A</v>
      </c>
      <c r="G388" s="121">
        <f t="shared" si="485"/>
        <v>208</v>
      </c>
      <c r="H388" s="176" t="e">
        <f t="shared" si="486"/>
        <v>#N/A</v>
      </c>
      <c r="I388" s="48">
        <v>1</v>
      </c>
      <c r="J388" s="39"/>
      <c r="K388" s="350">
        <v>1</v>
      </c>
      <c r="L388" s="34" t="e">
        <f t="shared" si="466"/>
        <v>#N/A</v>
      </c>
      <c r="M388" s="38" t="e">
        <f>(HLOOKUP(J388,'Construction Times'!$B$3:$W$34,L388+2,FALSE)*HLOOKUP("hq modifier",'Construction Times'!$W$3:$W$34,BS388+2,FALSE))*(1-$H$9)</f>
        <v>#N/A</v>
      </c>
      <c r="N388" s="443" t="e">
        <f t="shared" si="487"/>
        <v>#N/A</v>
      </c>
      <c r="O388" s="444"/>
      <c r="P388" s="447" t="e">
        <f t="shared" si="488"/>
        <v>#N/A</v>
      </c>
      <c r="Q388" s="448"/>
      <c r="R388" s="103">
        <f t="shared" si="548"/>
        <v>0</v>
      </c>
      <c r="S388" s="104">
        <f t="shared" si="548"/>
        <v>0</v>
      </c>
      <c r="T388" s="104">
        <f t="shared" si="549"/>
        <v>0</v>
      </c>
      <c r="U388" s="104">
        <f t="shared" si="549"/>
        <v>0</v>
      </c>
      <c r="V388" s="104">
        <f t="shared" si="549"/>
        <v>9.9999999999999995E-8</v>
      </c>
      <c r="W388" s="104">
        <f t="shared" si="549"/>
        <v>0</v>
      </c>
      <c r="X388" s="104">
        <f t="shared" si="545"/>
        <v>0</v>
      </c>
      <c r="Y388" s="104">
        <f t="shared" si="545"/>
        <v>9.9999999999999995E-8</v>
      </c>
      <c r="Z388" s="104">
        <f t="shared" si="545"/>
        <v>9.9999999999999995E-8</v>
      </c>
      <c r="AA388" s="105">
        <f t="shared" si="545"/>
        <v>9.9999999999999995E-8</v>
      </c>
      <c r="AB388" s="101" t="e">
        <f>$DT388*HLOOKUP($J388,'Construction Costs (timber)'!$B$1:$V$32,'Construction Planner'!$L388+2,FALSE)</f>
        <v>#N/A</v>
      </c>
      <c r="AC388" s="14" t="e">
        <f>$DT388*HLOOKUP($J388,'Construction Costs (clay)'!$B$1:$V$32,'Construction Planner'!$L388+2,FALSE)</f>
        <v>#N/A</v>
      </c>
      <c r="AD388" s="14" t="e">
        <f>$DT388*HLOOKUP($J388,'Construction Costs (iron)'!$B$1:$V$32,'Construction Planner'!$L388+2,FALSE)</f>
        <v>#N/A</v>
      </c>
      <c r="AE388" s="34" t="e">
        <f t="shared" si="524"/>
        <v>#N/A</v>
      </c>
      <c r="AF388" s="33" t="e">
        <f t="shared" si="467"/>
        <v>#N/A</v>
      </c>
      <c r="AG388" s="14" t="e">
        <f t="shared" si="468"/>
        <v>#N/A</v>
      </c>
      <c r="AH388" s="14" t="e">
        <f t="shared" si="469"/>
        <v>#N/A</v>
      </c>
      <c r="AI388" s="34" t="e">
        <f t="shared" si="525"/>
        <v>#N/A</v>
      </c>
      <c r="AJ388" s="49" t="e">
        <f t="shared" si="489"/>
        <v>#N/A</v>
      </c>
      <c r="AK388" s="49" t="e">
        <f t="shared" si="490"/>
        <v>#N/A</v>
      </c>
      <c r="AL388" s="49" t="e">
        <f t="shared" si="491"/>
        <v>#N/A</v>
      </c>
      <c r="AM388" s="25">
        <f t="shared" si="470"/>
        <v>30</v>
      </c>
      <c r="AN388" s="25">
        <f t="shared" si="471"/>
        <v>30</v>
      </c>
      <c r="AO388" s="25">
        <f t="shared" si="472"/>
        <v>30</v>
      </c>
      <c r="AP388" s="52" t="e">
        <f t="shared" si="546"/>
        <v>#N/A</v>
      </c>
      <c r="AQ388" s="53" t="e">
        <f t="shared" si="546"/>
        <v>#N/A</v>
      </c>
      <c r="AR388" s="54" t="e">
        <f t="shared" si="546"/>
        <v>#N/A</v>
      </c>
      <c r="AS388" s="316">
        <f t="shared" ref="AS388:AS403" si="554">AS387</f>
        <v>0</v>
      </c>
      <c r="AT388" s="106">
        <f>_xlfn.IFNA($M388/VLOOKUP($BT388,'Unit information'!$A$2:$K$29,2,FALSE)*R388,0)*(1+$E$9)</f>
        <v>0</v>
      </c>
      <c r="AU388" s="107">
        <f>_xlfn.IFNA($M388/VLOOKUP($BT388,'Unit information'!$A$2:$K$29,3,FALSE)*S388,0)*(1+$E$9)</f>
        <v>0</v>
      </c>
      <c r="AV388" s="107">
        <f>_xlfn.IFNA($M388/VLOOKUP($BT388,'Unit information'!$A$2:$K$29,4,FALSE)*T388,0)*(1+$E$9)</f>
        <v>0</v>
      </c>
      <c r="AW388" s="107">
        <f>_xlfn.IFNA($M388/VLOOKUP($BT388,'Unit information'!$A$2:$K$29,5,FALSE)*U388,0)*(1+$E$9)</f>
        <v>0</v>
      </c>
      <c r="AX388" s="107">
        <f>_xlfn.IFNA($M388/VLOOKUP($BU388,'Unit information'!$A$2:$K$29,6,FALSE)*V388,0)*(1+$E$9)</f>
        <v>0</v>
      </c>
      <c r="AY388" s="107">
        <f>_xlfn.IFNA($M388/VLOOKUP($BU388,'Unit information'!$A$2:$K$29,7,FALSE)*W388,0)*(1+$E$9)</f>
        <v>0</v>
      </c>
      <c r="AZ388" s="107">
        <f>_xlfn.IFNA($M388/VLOOKUP($BU388,'Unit information'!$A$2:$K$29,8,FALSE)*X388,0)*(1+$E$9)</f>
        <v>0</v>
      </c>
      <c r="BA388" s="107">
        <f>_xlfn.IFNA($M388/VLOOKUP($BU388,'Unit information'!$A$2:$K$29,9,FALSE)*Y388,0)*(1+$E$9)</f>
        <v>0</v>
      </c>
      <c r="BB388" s="107">
        <f>_xlfn.IFNA($M388/VLOOKUP($BV388,'Unit information'!$A$2:$K$29,10,FALSE)*Z388,0)*(1+$E$9)</f>
        <v>0</v>
      </c>
      <c r="BC388" s="108">
        <f>_xlfn.IFNA($M388/VLOOKUP($BV388,'Unit information'!$A$2:$K$29,11,FALSE)*AA388,0)*(1+$E$9)</f>
        <v>0</v>
      </c>
      <c r="BD388" s="106">
        <f t="shared" si="473"/>
        <v>0</v>
      </c>
      <c r="BE388" s="107">
        <f t="shared" si="474"/>
        <v>0</v>
      </c>
      <c r="BF388" s="108">
        <f t="shared" si="475"/>
        <v>0</v>
      </c>
      <c r="BG388" s="25" t="e">
        <f t="shared" si="476"/>
        <v>#N/A</v>
      </c>
      <c r="BH388" s="25" t="e">
        <f t="shared" si="477"/>
        <v>#N/A</v>
      </c>
      <c r="BI388" s="25" t="e">
        <f t="shared" si="478"/>
        <v>#N/A</v>
      </c>
      <c r="BJ388" s="27" t="e">
        <f t="shared" si="479"/>
        <v>#N/A</v>
      </c>
      <c r="BK388" s="18" t="e">
        <f t="shared" si="480"/>
        <v>#N/A</v>
      </c>
      <c r="BL388" s="18" t="e">
        <f t="shared" si="481"/>
        <v>#N/A</v>
      </c>
      <c r="BM388" s="28" t="e">
        <f t="shared" si="527"/>
        <v>#N/A</v>
      </c>
      <c r="BN388" s="33">
        <f>HLOOKUP("maximum population",Miscelaneous!$C$1:$C$33,CH388+3,FALSE)</f>
        <v>240</v>
      </c>
      <c r="BO388" s="14">
        <f t="shared" si="493"/>
        <v>32</v>
      </c>
      <c r="BP388" s="14">
        <f t="shared" si="494"/>
        <v>0</v>
      </c>
      <c r="BQ388" s="14">
        <f t="shared" si="495"/>
        <v>208</v>
      </c>
      <c r="BR388" s="34" t="e">
        <f>HLOOKUP(J388,Villagers!$B$1:$V$33,L388+3,FALSE)-HLOOKUP(J388,Villagers!$B$1:$V$33,L388+2,FALSE)</f>
        <v>#N/A</v>
      </c>
      <c r="BS388" s="49">
        <f t="shared" si="496"/>
        <v>1</v>
      </c>
      <c r="BT388" s="50">
        <f t="shared" si="497"/>
        <v>0</v>
      </c>
      <c r="BU388" s="50">
        <f t="shared" si="498"/>
        <v>0</v>
      </c>
      <c r="BV388" s="50">
        <f t="shared" si="499"/>
        <v>0</v>
      </c>
      <c r="BW388" s="50">
        <f t="shared" si="553"/>
        <v>0</v>
      </c>
      <c r="BX388" s="50">
        <f t="shared" si="553"/>
        <v>0</v>
      </c>
      <c r="BY388" s="50">
        <f t="shared" si="553"/>
        <v>0</v>
      </c>
      <c r="BZ388" s="50">
        <f t="shared" si="530"/>
        <v>0</v>
      </c>
      <c r="CA388" s="50">
        <f t="shared" si="531"/>
        <v>0</v>
      </c>
      <c r="CB388" s="50">
        <f t="shared" si="532"/>
        <v>1</v>
      </c>
      <c r="CC388" s="50">
        <f t="shared" si="533"/>
        <v>0</v>
      </c>
      <c r="CD388" s="50">
        <f t="shared" si="534"/>
        <v>0</v>
      </c>
      <c r="CE388" s="50">
        <f t="shared" si="535"/>
        <v>1</v>
      </c>
      <c r="CF388" s="50">
        <f t="shared" si="536"/>
        <v>1</v>
      </c>
      <c r="CG388" s="50">
        <f t="shared" si="537"/>
        <v>1</v>
      </c>
      <c r="CH388" s="50">
        <f t="shared" si="538"/>
        <v>1</v>
      </c>
      <c r="CI388" s="50">
        <f t="shared" si="539"/>
        <v>1</v>
      </c>
      <c r="CJ388" s="50">
        <f t="shared" si="540"/>
        <v>1</v>
      </c>
      <c r="CK388" s="50">
        <f t="shared" si="540"/>
        <v>0</v>
      </c>
      <c r="CL388" s="50">
        <f t="shared" si="540"/>
        <v>0</v>
      </c>
      <c r="CM388" s="51">
        <f t="shared" si="482"/>
        <v>0</v>
      </c>
      <c r="CN388" s="33">
        <f>ROUND(IF(BS388=0,0,HLOOKUP(BS$14,Villagers!$B$1:$V$33,BS388+3,FALSE)),)</f>
        <v>5</v>
      </c>
      <c r="CO388" s="14">
        <f>ROUND(IF(BT388=0,0,HLOOKUP(BT$14,Villagers!$B$1:$V$33,BT388+3,FALSE)),)</f>
        <v>0</v>
      </c>
      <c r="CP388" s="14">
        <f>ROUND(IF(BU388=0,0,HLOOKUP(BU$14,Villagers!$B$1:$V$33,BU388+3,FALSE)),)</f>
        <v>0</v>
      </c>
      <c r="CQ388" s="14">
        <f>ROUND(IF(BV388=0,0,HLOOKUP(BV$14,Villagers!$B$1:$V$33,BV388+3,FALSE)),)</f>
        <v>0</v>
      </c>
      <c r="CR388" s="14">
        <f>ROUND(IF(BW388=0,0,HLOOKUP(BW$14,Villagers!$B$1:$V$33,BW388+3,FALSE)),)</f>
        <v>0</v>
      </c>
      <c r="CS388" s="14">
        <f>ROUND(IF(BX388=0,0,HLOOKUP(BX$14,Villagers!$B$1:$V$33,BX388+3,FALSE)),)</f>
        <v>0</v>
      </c>
      <c r="CT388" s="14">
        <f>ROUND(IF(BY388=0,0,HLOOKUP(BY$14,Villagers!$B$1:$V$33,BY388+3,FALSE)),)</f>
        <v>0</v>
      </c>
      <c r="CU388" s="14">
        <f>ROUND(IF(BZ388=0,0,HLOOKUP(BZ$14,Villagers!$B$1:$V$33,BZ388+3,FALSE)),)</f>
        <v>0</v>
      </c>
      <c r="CV388" s="14">
        <f>ROUND(IF(CA388=0,0,HLOOKUP(CA$14,Villagers!$B$1:$V$33,CA388+3,FALSE)),)</f>
        <v>0</v>
      </c>
      <c r="CW388" s="14">
        <f>ROUND(IF(CB388=0,0,HLOOKUP(CB$14,Villagers!$B$1:$V$33,CB388+3,FALSE)),)</f>
        <v>0</v>
      </c>
      <c r="CX388" s="14">
        <f>ROUND(IF(CC388=0,0,HLOOKUP(CC$14,Villagers!$B$1:$V$33,CC388+3,FALSE)),)</f>
        <v>0</v>
      </c>
      <c r="CY388" s="14">
        <f>ROUND(IF(CD388=0,0,HLOOKUP(CD$14,Villagers!$B$1:$V$33,CD388+3,FALSE)),)</f>
        <v>0</v>
      </c>
      <c r="CZ388" s="14">
        <f>ROUND(IF(CE388=0,0,HLOOKUP(CE$14,Villagers!$B$1:$V$33,CE388+3,FALSE)),)</f>
        <v>5</v>
      </c>
      <c r="DA388" s="14">
        <f>ROUND(IF(CF388=0,0,HLOOKUP(CF$14,Villagers!$B$1:$V$33,CF388+3,FALSE)),)</f>
        <v>10</v>
      </c>
      <c r="DB388" s="14">
        <f>ROUND(IF(CG388=0,0,HLOOKUP(CG$14,Villagers!$B$1:$V$33,CG388+3,FALSE)),)</f>
        <v>10</v>
      </c>
      <c r="DC388" s="14">
        <f>ROUND(IF(CH388=0,0,HLOOKUP(CH$14,Villagers!$B$1:$V$33,CH388+3,FALSE)),)</f>
        <v>0</v>
      </c>
      <c r="DD388" s="14">
        <f>ROUND(IF(CI388=0,0,HLOOKUP(CI$14,Villagers!$B$1:$V$33,CI388+3,FALSE)),)</f>
        <v>0</v>
      </c>
      <c r="DE388" s="14">
        <f>ROUND(IF(CJ388=0,0,HLOOKUP(CJ$14,Villagers!$B$1:$V$33,CJ388+3,FALSE)),)</f>
        <v>2</v>
      </c>
      <c r="DF388" s="370">
        <f>ROUND(IF(CK388=0,0,HLOOKUP(CK$14,Villagers!$B$1:$V$33,CK388+3,FALSE)),)</f>
        <v>0</v>
      </c>
      <c r="DG388" s="370">
        <f>ROUND(IF(CL388=0,0,HLOOKUP(CL$14,Villagers!$B$1:$V$33,CL388+3,FALSE)),)</f>
        <v>0</v>
      </c>
      <c r="DH388" s="34">
        <f>ROUND(IF(CM388=0,0,HLOOKUP(CM$14,Villagers!$B$1:$V$33,CM388+3,FALSE)),)</f>
        <v>0</v>
      </c>
      <c r="DI388" s="109">
        <f t="shared" si="516"/>
        <v>0</v>
      </c>
      <c r="DJ388" s="50">
        <f t="shared" si="517"/>
        <v>0</v>
      </c>
      <c r="DK388" s="50">
        <f t="shared" si="518"/>
        <v>0</v>
      </c>
      <c r="DL388" s="50">
        <f t="shared" si="519"/>
        <v>0</v>
      </c>
      <c r="DM388" s="50">
        <f t="shared" si="520"/>
        <v>0</v>
      </c>
      <c r="DN388" s="50">
        <f t="shared" si="521"/>
        <v>0</v>
      </c>
      <c r="DO388" s="50">
        <f t="shared" si="522"/>
        <v>0</v>
      </c>
      <c r="DP388" s="50">
        <f t="shared" si="523"/>
        <v>0</v>
      </c>
      <c r="DQ388" s="50">
        <f t="shared" si="501"/>
        <v>0</v>
      </c>
      <c r="DR388" s="50">
        <f t="shared" si="502"/>
        <v>0</v>
      </c>
      <c r="DS388" s="96">
        <f>Miscelaneous!$D$4*Miscelaneous!$D$2^($CI388-1)</f>
        <v>1000</v>
      </c>
      <c r="DT388" s="333">
        <f t="shared" si="483"/>
        <v>1</v>
      </c>
      <c r="DU388" s="81">
        <v>1</v>
      </c>
      <c r="DV388" s="79">
        <f t="shared" si="503"/>
        <v>0</v>
      </c>
      <c r="DW388" s="79">
        <f t="shared" si="504"/>
        <v>0</v>
      </c>
      <c r="DX388" s="79">
        <f t="shared" si="505"/>
        <v>0</v>
      </c>
      <c r="DY388" s="79">
        <v>1</v>
      </c>
      <c r="DZ388" s="79">
        <f t="shared" si="506"/>
        <v>0</v>
      </c>
      <c r="EA388" s="79">
        <f t="shared" si="507"/>
        <v>0</v>
      </c>
      <c r="EB388" s="79">
        <f t="shared" si="508"/>
        <v>0</v>
      </c>
      <c r="EC388" s="79">
        <f t="shared" si="509"/>
        <v>0</v>
      </c>
      <c r="ED388" s="79">
        <v>1</v>
      </c>
      <c r="EE388" s="79">
        <v>1</v>
      </c>
      <c r="EF388" s="79">
        <f t="shared" si="510"/>
        <v>0</v>
      </c>
      <c r="EG388" s="79">
        <v>1</v>
      </c>
      <c r="EH388" s="79">
        <v>1</v>
      </c>
      <c r="EI388" s="79">
        <v>1</v>
      </c>
      <c r="EJ388" s="79">
        <v>1</v>
      </c>
      <c r="EK388" s="79">
        <v>1</v>
      </c>
      <c r="EL388" s="79">
        <v>1</v>
      </c>
      <c r="EM388" s="143">
        <f t="shared" si="511"/>
        <v>0</v>
      </c>
      <c r="EN388" s="143">
        <f t="shared" si="512"/>
        <v>0</v>
      </c>
      <c r="EO388" s="82">
        <f t="shared" si="513"/>
        <v>0</v>
      </c>
    </row>
    <row r="389" spans="1:145" x14ac:dyDescent="0.25">
      <c r="A389">
        <v>375</v>
      </c>
      <c r="B389" s="172" t="e">
        <f t="shared" si="484"/>
        <v>#N/A</v>
      </c>
      <c r="C389" s="121" t="e">
        <f t="shared" si="462"/>
        <v>#N/A</v>
      </c>
      <c r="D389" s="122" t="e">
        <f t="shared" si="463"/>
        <v>#N/A</v>
      </c>
      <c r="E389" s="122" t="e">
        <f t="shared" si="464"/>
        <v>#N/A</v>
      </c>
      <c r="F389" s="176" t="e">
        <f t="shared" si="465"/>
        <v>#N/A</v>
      </c>
      <c r="G389" s="121">
        <f t="shared" si="485"/>
        <v>208</v>
      </c>
      <c r="H389" s="176" t="e">
        <f t="shared" si="486"/>
        <v>#N/A</v>
      </c>
      <c r="I389" s="48">
        <v>1</v>
      </c>
      <c r="J389" s="39"/>
      <c r="K389" s="350">
        <v>1</v>
      </c>
      <c r="L389" s="34" t="e">
        <f t="shared" si="466"/>
        <v>#N/A</v>
      </c>
      <c r="M389" s="38" t="e">
        <f>(HLOOKUP(J389,'Construction Times'!$B$3:$W$34,L389+2,FALSE)*HLOOKUP("hq modifier",'Construction Times'!$W$3:$W$34,BS389+2,FALSE))*(1-$H$9)</f>
        <v>#N/A</v>
      </c>
      <c r="N389" s="443" t="e">
        <f t="shared" si="487"/>
        <v>#N/A</v>
      </c>
      <c r="O389" s="444"/>
      <c r="P389" s="447" t="e">
        <f t="shared" si="488"/>
        <v>#N/A</v>
      </c>
      <c r="Q389" s="448"/>
      <c r="R389" s="103">
        <f t="shared" si="548"/>
        <v>0</v>
      </c>
      <c r="S389" s="104">
        <f t="shared" si="548"/>
        <v>0</v>
      </c>
      <c r="T389" s="104">
        <f t="shared" si="549"/>
        <v>0</v>
      </c>
      <c r="U389" s="104">
        <f t="shared" si="549"/>
        <v>0</v>
      </c>
      <c r="V389" s="104">
        <f t="shared" si="549"/>
        <v>9.9999999999999995E-8</v>
      </c>
      <c r="W389" s="104">
        <f t="shared" si="549"/>
        <v>0</v>
      </c>
      <c r="X389" s="104">
        <f t="shared" si="545"/>
        <v>0</v>
      </c>
      <c r="Y389" s="104">
        <f t="shared" si="545"/>
        <v>9.9999999999999995E-8</v>
      </c>
      <c r="Z389" s="104">
        <f t="shared" si="545"/>
        <v>9.9999999999999995E-8</v>
      </c>
      <c r="AA389" s="105">
        <f t="shared" si="545"/>
        <v>9.9999999999999995E-8</v>
      </c>
      <c r="AB389" s="101" t="e">
        <f>$DT389*HLOOKUP($J389,'Construction Costs (timber)'!$B$1:$V$32,'Construction Planner'!$L389+2,FALSE)</f>
        <v>#N/A</v>
      </c>
      <c r="AC389" s="14" t="e">
        <f>$DT389*HLOOKUP($J389,'Construction Costs (clay)'!$B$1:$V$32,'Construction Planner'!$L389+2,FALSE)</f>
        <v>#N/A</v>
      </c>
      <c r="AD389" s="14" t="e">
        <f>$DT389*HLOOKUP($J389,'Construction Costs (iron)'!$B$1:$V$32,'Construction Planner'!$L389+2,FALSE)</f>
        <v>#N/A</v>
      </c>
      <c r="AE389" s="34" t="e">
        <f t="shared" si="524"/>
        <v>#N/A</v>
      </c>
      <c r="AF389" s="33" t="e">
        <f t="shared" si="467"/>
        <v>#N/A</v>
      </c>
      <c r="AG389" s="14" t="e">
        <f t="shared" si="468"/>
        <v>#N/A</v>
      </c>
      <c r="AH389" s="14" t="e">
        <f t="shared" si="469"/>
        <v>#N/A</v>
      </c>
      <c r="AI389" s="34" t="e">
        <f t="shared" si="525"/>
        <v>#N/A</v>
      </c>
      <c r="AJ389" s="49" t="e">
        <f t="shared" si="489"/>
        <v>#N/A</v>
      </c>
      <c r="AK389" s="49" t="e">
        <f t="shared" si="490"/>
        <v>#N/A</v>
      </c>
      <c r="AL389" s="49" t="e">
        <f t="shared" si="491"/>
        <v>#N/A</v>
      </c>
      <c r="AM389" s="25">
        <f t="shared" si="470"/>
        <v>30</v>
      </c>
      <c r="AN389" s="25">
        <f t="shared" si="471"/>
        <v>30</v>
      </c>
      <c r="AO389" s="25">
        <f t="shared" si="472"/>
        <v>30</v>
      </c>
      <c r="AP389" s="52" t="e">
        <f t="shared" si="546"/>
        <v>#N/A</v>
      </c>
      <c r="AQ389" s="53" t="e">
        <f t="shared" si="546"/>
        <v>#N/A</v>
      </c>
      <c r="AR389" s="54" t="e">
        <f t="shared" si="546"/>
        <v>#N/A</v>
      </c>
      <c r="AS389" s="316">
        <f t="shared" si="554"/>
        <v>0</v>
      </c>
      <c r="AT389" s="106">
        <f>_xlfn.IFNA($M389/VLOOKUP($BT389,'Unit information'!$A$2:$K$29,2,FALSE)*R389,0)*(1+$E$9)</f>
        <v>0</v>
      </c>
      <c r="AU389" s="107">
        <f>_xlfn.IFNA($M389/VLOOKUP($BT389,'Unit information'!$A$2:$K$29,3,FALSE)*S389,0)*(1+$E$9)</f>
        <v>0</v>
      </c>
      <c r="AV389" s="107">
        <f>_xlfn.IFNA($M389/VLOOKUP($BT389,'Unit information'!$A$2:$K$29,4,FALSE)*T389,0)*(1+$E$9)</f>
        <v>0</v>
      </c>
      <c r="AW389" s="107">
        <f>_xlfn.IFNA($M389/VLOOKUP($BT389,'Unit information'!$A$2:$K$29,5,FALSE)*U389,0)*(1+$E$9)</f>
        <v>0</v>
      </c>
      <c r="AX389" s="107">
        <f>_xlfn.IFNA($M389/VLOOKUP($BU389,'Unit information'!$A$2:$K$29,6,FALSE)*V389,0)*(1+$E$9)</f>
        <v>0</v>
      </c>
      <c r="AY389" s="107">
        <f>_xlfn.IFNA($M389/VLOOKUP($BU389,'Unit information'!$A$2:$K$29,7,FALSE)*W389,0)*(1+$E$9)</f>
        <v>0</v>
      </c>
      <c r="AZ389" s="107">
        <f>_xlfn.IFNA($M389/VLOOKUP($BU389,'Unit information'!$A$2:$K$29,8,FALSE)*X389,0)*(1+$E$9)</f>
        <v>0</v>
      </c>
      <c r="BA389" s="107">
        <f>_xlfn.IFNA($M389/VLOOKUP($BU389,'Unit information'!$A$2:$K$29,9,FALSE)*Y389,0)*(1+$E$9)</f>
        <v>0</v>
      </c>
      <c r="BB389" s="107">
        <f>_xlfn.IFNA($M389/VLOOKUP($BV389,'Unit information'!$A$2:$K$29,10,FALSE)*Z389,0)*(1+$E$9)</f>
        <v>0</v>
      </c>
      <c r="BC389" s="108">
        <f>_xlfn.IFNA($M389/VLOOKUP($BV389,'Unit information'!$A$2:$K$29,11,FALSE)*AA389,0)*(1+$E$9)</f>
        <v>0</v>
      </c>
      <c r="BD389" s="106">
        <f t="shared" si="473"/>
        <v>0</v>
      </c>
      <c r="BE389" s="107">
        <f t="shared" si="474"/>
        <v>0</v>
      </c>
      <c r="BF389" s="108">
        <f t="shared" si="475"/>
        <v>0</v>
      </c>
      <c r="BG389" s="25" t="e">
        <f t="shared" si="476"/>
        <v>#N/A</v>
      </c>
      <c r="BH389" s="25" t="e">
        <f t="shared" si="477"/>
        <v>#N/A</v>
      </c>
      <c r="BI389" s="25" t="e">
        <f t="shared" si="478"/>
        <v>#N/A</v>
      </c>
      <c r="BJ389" s="27" t="e">
        <f t="shared" si="479"/>
        <v>#N/A</v>
      </c>
      <c r="BK389" s="18" t="e">
        <f t="shared" si="480"/>
        <v>#N/A</v>
      </c>
      <c r="BL389" s="18" t="e">
        <f t="shared" si="481"/>
        <v>#N/A</v>
      </c>
      <c r="BM389" s="28" t="e">
        <f t="shared" si="527"/>
        <v>#N/A</v>
      </c>
      <c r="BN389" s="33">
        <f>HLOOKUP("maximum population",Miscelaneous!$C$1:$C$33,CH389+3,FALSE)</f>
        <v>240</v>
      </c>
      <c r="BO389" s="14">
        <f t="shared" si="493"/>
        <v>32</v>
      </c>
      <c r="BP389" s="14">
        <f t="shared" si="494"/>
        <v>0</v>
      </c>
      <c r="BQ389" s="14">
        <f t="shared" si="495"/>
        <v>208</v>
      </c>
      <c r="BR389" s="34" t="e">
        <f>HLOOKUP(J389,Villagers!$B$1:$V$33,L389+3,FALSE)-HLOOKUP(J389,Villagers!$B$1:$V$33,L389+2,FALSE)</f>
        <v>#N/A</v>
      </c>
      <c r="BS389" s="49">
        <f t="shared" si="496"/>
        <v>1</v>
      </c>
      <c r="BT389" s="50">
        <f t="shared" si="497"/>
        <v>0</v>
      </c>
      <c r="BU389" s="50">
        <f t="shared" si="498"/>
        <v>0</v>
      </c>
      <c r="BV389" s="50">
        <f t="shared" si="499"/>
        <v>0</v>
      </c>
      <c r="BW389" s="50">
        <f t="shared" si="553"/>
        <v>0</v>
      </c>
      <c r="BX389" s="50">
        <f t="shared" si="553"/>
        <v>0</v>
      </c>
      <c r="BY389" s="50">
        <f t="shared" si="553"/>
        <v>0</v>
      </c>
      <c r="BZ389" s="50">
        <f t="shared" si="530"/>
        <v>0</v>
      </c>
      <c r="CA389" s="50">
        <f t="shared" si="531"/>
        <v>0</v>
      </c>
      <c r="CB389" s="50">
        <f t="shared" si="532"/>
        <v>1</v>
      </c>
      <c r="CC389" s="50">
        <f t="shared" si="533"/>
        <v>0</v>
      </c>
      <c r="CD389" s="50">
        <f t="shared" si="534"/>
        <v>0</v>
      </c>
      <c r="CE389" s="50">
        <f t="shared" si="535"/>
        <v>1</v>
      </c>
      <c r="CF389" s="50">
        <f t="shared" si="536"/>
        <v>1</v>
      </c>
      <c r="CG389" s="50">
        <f t="shared" si="537"/>
        <v>1</v>
      </c>
      <c r="CH389" s="50">
        <f t="shared" si="538"/>
        <v>1</v>
      </c>
      <c r="CI389" s="50">
        <f t="shared" si="539"/>
        <v>1</v>
      </c>
      <c r="CJ389" s="50">
        <f t="shared" si="540"/>
        <v>1</v>
      </c>
      <c r="CK389" s="50">
        <f t="shared" si="540"/>
        <v>0</v>
      </c>
      <c r="CL389" s="50">
        <f t="shared" si="540"/>
        <v>0</v>
      </c>
      <c r="CM389" s="51">
        <f t="shared" si="482"/>
        <v>0</v>
      </c>
      <c r="CN389" s="33">
        <f>ROUND(IF(BS389=0,0,HLOOKUP(BS$14,Villagers!$B$1:$V$33,BS389+3,FALSE)),)</f>
        <v>5</v>
      </c>
      <c r="CO389" s="14">
        <f>ROUND(IF(BT389=0,0,HLOOKUP(BT$14,Villagers!$B$1:$V$33,BT389+3,FALSE)),)</f>
        <v>0</v>
      </c>
      <c r="CP389" s="14">
        <f>ROUND(IF(BU389=0,0,HLOOKUP(BU$14,Villagers!$B$1:$V$33,BU389+3,FALSE)),)</f>
        <v>0</v>
      </c>
      <c r="CQ389" s="14">
        <f>ROUND(IF(BV389=0,0,HLOOKUP(BV$14,Villagers!$B$1:$V$33,BV389+3,FALSE)),)</f>
        <v>0</v>
      </c>
      <c r="CR389" s="14">
        <f>ROUND(IF(BW389=0,0,HLOOKUP(BW$14,Villagers!$B$1:$V$33,BW389+3,FALSE)),)</f>
        <v>0</v>
      </c>
      <c r="CS389" s="14">
        <f>ROUND(IF(BX389=0,0,HLOOKUP(BX$14,Villagers!$B$1:$V$33,BX389+3,FALSE)),)</f>
        <v>0</v>
      </c>
      <c r="CT389" s="14">
        <f>ROUND(IF(BY389=0,0,HLOOKUP(BY$14,Villagers!$B$1:$V$33,BY389+3,FALSE)),)</f>
        <v>0</v>
      </c>
      <c r="CU389" s="14">
        <f>ROUND(IF(BZ389=0,0,HLOOKUP(BZ$14,Villagers!$B$1:$V$33,BZ389+3,FALSE)),)</f>
        <v>0</v>
      </c>
      <c r="CV389" s="14">
        <f>ROUND(IF(CA389=0,0,HLOOKUP(CA$14,Villagers!$B$1:$V$33,CA389+3,FALSE)),)</f>
        <v>0</v>
      </c>
      <c r="CW389" s="14">
        <f>ROUND(IF(CB389=0,0,HLOOKUP(CB$14,Villagers!$B$1:$V$33,CB389+3,FALSE)),)</f>
        <v>0</v>
      </c>
      <c r="CX389" s="14">
        <f>ROUND(IF(CC389=0,0,HLOOKUP(CC$14,Villagers!$B$1:$V$33,CC389+3,FALSE)),)</f>
        <v>0</v>
      </c>
      <c r="CY389" s="14">
        <f>ROUND(IF(CD389=0,0,HLOOKUP(CD$14,Villagers!$B$1:$V$33,CD389+3,FALSE)),)</f>
        <v>0</v>
      </c>
      <c r="CZ389" s="14">
        <f>ROUND(IF(CE389=0,0,HLOOKUP(CE$14,Villagers!$B$1:$V$33,CE389+3,FALSE)),)</f>
        <v>5</v>
      </c>
      <c r="DA389" s="14">
        <f>ROUND(IF(CF389=0,0,HLOOKUP(CF$14,Villagers!$B$1:$V$33,CF389+3,FALSE)),)</f>
        <v>10</v>
      </c>
      <c r="DB389" s="14">
        <f>ROUND(IF(CG389=0,0,HLOOKUP(CG$14,Villagers!$B$1:$V$33,CG389+3,FALSE)),)</f>
        <v>10</v>
      </c>
      <c r="DC389" s="14">
        <f>ROUND(IF(CH389=0,0,HLOOKUP(CH$14,Villagers!$B$1:$V$33,CH389+3,FALSE)),)</f>
        <v>0</v>
      </c>
      <c r="DD389" s="14">
        <f>ROUND(IF(CI389=0,0,HLOOKUP(CI$14,Villagers!$B$1:$V$33,CI389+3,FALSE)),)</f>
        <v>0</v>
      </c>
      <c r="DE389" s="14">
        <f>ROUND(IF(CJ389=0,0,HLOOKUP(CJ$14,Villagers!$B$1:$V$33,CJ389+3,FALSE)),)</f>
        <v>2</v>
      </c>
      <c r="DF389" s="370">
        <f>ROUND(IF(CK389=0,0,HLOOKUP(CK$14,Villagers!$B$1:$V$33,CK389+3,FALSE)),)</f>
        <v>0</v>
      </c>
      <c r="DG389" s="370">
        <f>ROUND(IF(CL389=0,0,HLOOKUP(CL$14,Villagers!$B$1:$V$33,CL389+3,FALSE)),)</f>
        <v>0</v>
      </c>
      <c r="DH389" s="34">
        <f>ROUND(IF(CM389=0,0,HLOOKUP(CM$14,Villagers!$B$1:$V$33,CM389+3,FALSE)),)</f>
        <v>0</v>
      </c>
      <c r="DI389" s="109">
        <f t="shared" si="516"/>
        <v>0</v>
      </c>
      <c r="DJ389" s="50">
        <f t="shared" si="517"/>
        <v>0</v>
      </c>
      <c r="DK389" s="50">
        <f t="shared" si="518"/>
        <v>0</v>
      </c>
      <c r="DL389" s="50">
        <f t="shared" si="519"/>
        <v>0</v>
      </c>
      <c r="DM389" s="50">
        <f t="shared" si="520"/>
        <v>0</v>
      </c>
      <c r="DN389" s="50">
        <f t="shared" si="521"/>
        <v>0</v>
      </c>
      <c r="DO389" s="50">
        <f t="shared" si="522"/>
        <v>0</v>
      </c>
      <c r="DP389" s="50">
        <f t="shared" si="523"/>
        <v>0</v>
      </c>
      <c r="DQ389" s="50">
        <f t="shared" si="501"/>
        <v>0</v>
      </c>
      <c r="DR389" s="50">
        <f t="shared" si="502"/>
        <v>0</v>
      </c>
      <c r="DS389" s="96">
        <f>Miscelaneous!$D$4*Miscelaneous!$D$2^($CI389-1)</f>
        <v>1000</v>
      </c>
      <c r="DT389" s="333">
        <f t="shared" si="483"/>
        <v>1</v>
      </c>
      <c r="DU389" s="81">
        <v>1</v>
      </c>
      <c r="DV389" s="79">
        <f t="shared" si="503"/>
        <v>0</v>
      </c>
      <c r="DW389" s="79">
        <f t="shared" si="504"/>
        <v>0</v>
      </c>
      <c r="DX389" s="79">
        <f t="shared" si="505"/>
        <v>0</v>
      </c>
      <c r="DY389" s="79">
        <v>1</v>
      </c>
      <c r="DZ389" s="79">
        <f t="shared" si="506"/>
        <v>0</v>
      </c>
      <c r="EA389" s="79">
        <f t="shared" si="507"/>
        <v>0</v>
      </c>
      <c r="EB389" s="79">
        <f t="shared" si="508"/>
        <v>0</v>
      </c>
      <c r="EC389" s="79">
        <f t="shared" si="509"/>
        <v>0</v>
      </c>
      <c r="ED389" s="79">
        <v>1</v>
      </c>
      <c r="EE389" s="79">
        <v>1</v>
      </c>
      <c r="EF389" s="79">
        <f t="shared" si="510"/>
        <v>0</v>
      </c>
      <c r="EG389" s="79">
        <v>1</v>
      </c>
      <c r="EH389" s="79">
        <v>1</v>
      </c>
      <c r="EI389" s="79">
        <v>1</v>
      </c>
      <c r="EJ389" s="79">
        <v>1</v>
      </c>
      <c r="EK389" s="79">
        <v>1</v>
      </c>
      <c r="EL389" s="79">
        <v>1</v>
      </c>
      <c r="EM389" s="143">
        <f t="shared" si="511"/>
        <v>0</v>
      </c>
      <c r="EN389" s="143">
        <f t="shared" si="512"/>
        <v>0</v>
      </c>
      <c r="EO389" s="82">
        <f t="shared" si="513"/>
        <v>0</v>
      </c>
    </row>
    <row r="390" spans="1:145" x14ac:dyDescent="0.25">
      <c r="A390">
        <v>376</v>
      </c>
      <c r="B390" s="172" t="e">
        <f t="shared" si="484"/>
        <v>#N/A</v>
      </c>
      <c r="C390" s="121" t="e">
        <f t="shared" si="462"/>
        <v>#N/A</v>
      </c>
      <c r="D390" s="122" t="e">
        <f t="shared" si="463"/>
        <v>#N/A</v>
      </c>
      <c r="E390" s="122" t="e">
        <f t="shared" si="464"/>
        <v>#N/A</v>
      </c>
      <c r="F390" s="176" t="e">
        <f t="shared" si="465"/>
        <v>#N/A</v>
      </c>
      <c r="G390" s="121">
        <f t="shared" si="485"/>
        <v>208</v>
      </c>
      <c r="H390" s="176" t="e">
        <f t="shared" si="486"/>
        <v>#N/A</v>
      </c>
      <c r="I390" s="48">
        <v>1</v>
      </c>
      <c r="J390" s="39"/>
      <c r="K390" s="350">
        <v>1</v>
      </c>
      <c r="L390" s="34" t="e">
        <f t="shared" si="466"/>
        <v>#N/A</v>
      </c>
      <c r="M390" s="38" t="e">
        <f>(HLOOKUP(J390,'Construction Times'!$B$3:$W$34,L390+2,FALSE)*HLOOKUP("hq modifier",'Construction Times'!$W$3:$W$34,BS390+2,FALSE))*(1-$H$9)</f>
        <v>#N/A</v>
      </c>
      <c r="N390" s="443" t="e">
        <f t="shared" si="487"/>
        <v>#N/A</v>
      </c>
      <c r="O390" s="444"/>
      <c r="P390" s="447" t="e">
        <f t="shared" si="488"/>
        <v>#N/A</v>
      </c>
      <c r="Q390" s="448"/>
      <c r="R390" s="103">
        <f t="shared" si="548"/>
        <v>0</v>
      </c>
      <c r="S390" s="104">
        <f t="shared" si="548"/>
        <v>0</v>
      </c>
      <c r="T390" s="104">
        <f t="shared" si="549"/>
        <v>0</v>
      </c>
      <c r="U390" s="104">
        <f t="shared" si="549"/>
        <v>0</v>
      </c>
      <c r="V390" s="104">
        <f t="shared" si="549"/>
        <v>9.9999999999999995E-8</v>
      </c>
      <c r="W390" s="104">
        <f t="shared" si="549"/>
        <v>0</v>
      </c>
      <c r="X390" s="104">
        <f t="shared" si="545"/>
        <v>0</v>
      </c>
      <c r="Y390" s="104">
        <f t="shared" si="545"/>
        <v>9.9999999999999995E-8</v>
      </c>
      <c r="Z390" s="104">
        <f t="shared" si="545"/>
        <v>9.9999999999999995E-8</v>
      </c>
      <c r="AA390" s="105">
        <f t="shared" si="545"/>
        <v>9.9999999999999995E-8</v>
      </c>
      <c r="AB390" s="101" t="e">
        <f>$DT390*HLOOKUP($J390,'Construction Costs (timber)'!$B$1:$V$32,'Construction Planner'!$L390+2,FALSE)</f>
        <v>#N/A</v>
      </c>
      <c r="AC390" s="14" t="e">
        <f>$DT390*HLOOKUP($J390,'Construction Costs (clay)'!$B$1:$V$32,'Construction Planner'!$L390+2,FALSE)</f>
        <v>#N/A</v>
      </c>
      <c r="AD390" s="14" t="e">
        <f>$DT390*HLOOKUP($J390,'Construction Costs (iron)'!$B$1:$V$32,'Construction Planner'!$L390+2,FALSE)</f>
        <v>#N/A</v>
      </c>
      <c r="AE390" s="34" t="e">
        <f t="shared" si="524"/>
        <v>#N/A</v>
      </c>
      <c r="AF390" s="33" t="e">
        <f t="shared" si="467"/>
        <v>#N/A</v>
      </c>
      <c r="AG390" s="14" t="e">
        <f t="shared" si="468"/>
        <v>#N/A</v>
      </c>
      <c r="AH390" s="14" t="e">
        <f t="shared" si="469"/>
        <v>#N/A</v>
      </c>
      <c r="AI390" s="34" t="e">
        <f t="shared" si="525"/>
        <v>#N/A</v>
      </c>
      <c r="AJ390" s="49" t="e">
        <f t="shared" si="489"/>
        <v>#N/A</v>
      </c>
      <c r="AK390" s="49" t="e">
        <f t="shared" si="490"/>
        <v>#N/A</v>
      </c>
      <c r="AL390" s="49" t="e">
        <f t="shared" si="491"/>
        <v>#N/A</v>
      </c>
      <c r="AM390" s="25">
        <f t="shared" si="470"/>
        <v>30</v>
      </c>
      <c r="AN390" s="25">
        <f t="shared" si="471"/>
        <v>30</v>
      </c>
      <c r="AO390" s="25">
        <f t="shared" si="472"/>
        <v>30</v>
      </c>
      <c r="AP390" s="52" t="e">
        <f t="shared" si="546"/>
        <v>#N/A</v>
      </c>
      <c r="AQ390" s="53" t="e">
        <f t="shared" si="546"/>
        <v>#N/A</v>
      </c>
      <c r="AR390" s="54" t="e">
        <f t="shared" si="546"/>
        <v>#N/A</v>
      </c>
      <c r="AS390" s="316">
        <f t="shared" si="554"/>
        <v>0</v>
      </c>
      <c r="AT390" s="106">
        <f>_xlfn.IFNA($M390/VLOOKUP($BT390,'Unit information'!$A$2:$K$29,2,FALSE)*R390,0)*(1+$E$9)</f>
        <v>0</v>
      </c>
      <c r="AU390" s="107">
        <f>_xlfn.IFNA($M390/VLOOKUP($BT390,'Unit information'!$A$2:$K$29,3,FALSE)*S390,0)*(1+$E$9)</f>
        <v>0</v>
      </c>
      <c r="AV390" s="107">
        <f>_xlfn.IFNA($M390/VLOOKUP($BT390,'Unit information'!$A$2:$K$29,4,FALSE)*T390,0)*(1+$E$9)</f>
        <v>0</v>
      </c>
      <c r="AW390" s="107">
        <f>_xlfn.IFNA($M390/VLOOKUP($BT390,'Unit information'!$A$2:$K$29,5,FALSE)*U390,0)*(1+$E$9)</f>
        <v>0</v>
      </c>
      <c r="AX390" s="107">
        <f>_xlfn.IFNA($M390/VLOOKUP($BU390,'Unit information'!$A$2:$K$29,6,FALSE)*V390,0)*(1+$E$9)</f>
        <v>0</v>
      </c>
      <c r="AY390" s="107">
        <f>_xlfn.IFNA($M390/VLOOKUP($BU390,'Unit information'!$A$2:$K$29,7,FALSE)*W390,0)*(1+$E$9)</f>
        <v>0</v>
      </c>
      <c r="AZ390" s="107">
        <f>_xlfn.IFNA($M390/VLOOKUP($BU390,'Unit information'!$A$2:$K$29,8,FALSE)*X390,0)*(1+$E$9)</f>
        <v>0</v>
      </c>
      <c r="BA390" s="107">
        <f>_xlfn.IFNA($M390/VLOOKUP($BU390,'Unit information'!$A$2:$K$29,9,FALSE)*Y390,0)*(1+$E$9)</f>
        <v>0</v>
      </c>
      <c r="BB390" s="107">
        <f>_xlfn.IFNA($M390/VLOOKUP($BV390,'Unit information'!$A$2:$K$29,10,FALSE)*Z390,0)*(1+$E$9)</f>
        <v>0</v>
      </c>
      <c r="BC390" s="108">
        <f>_xlfn.IFNA($M390/VLOOKUP($BV390,'Unit information'!$A$2:$K$29,11,FALSE)*AA390,0)*(1+$E$9)</f>
        <v>0</v>
      </c>
      <c r="BD390" s="106">
        <f t="shared" si="473"/>
        <v>0</v>
      </c>
      <c r="BE390" s="107">
        <f t="shared" si="474"/>
        <v>0</v>
      </c>
      <c r="BF390" s="108">
        <f t="shared" si="475"/>
        <v>0</v>
      </c>
      <c r="BG390" s="25" t="e">
        <f t="shared" si="476"/>
        <v>#N/A</v>
      </c>
      <c r="BH390" s="25" t="e">
        <f t="shared" si="477"/>
        <v>#N/A</v>
      </c>
      <c r="BI390" s="25" t="e">
        <f t="shared" si="478"/>
        <v>#N/A</v>
      </c>
      <c r="BJ390" s="27" t="e">
        <f t="shared" si="479"/>
        <v>#N/A</v>
      </c>
      <c r="BK390" s="18" t="e">
        <f t="shared" si="480"/>
        <v>#N/A</v>
      </c>
      <c r="BL390" s="18" t="e">
        <f t="shared" si="481"/>
        <v>#N/A</v>
      </c>
      <c r="BM390" s="28" t="e">
        <f t="shared" si="527"/>
        <v>#N/A</v>
      </c>
      <c r="BN390" s="33">
        <f>HLOOKUP("maximum population",Miscelaneous!$C$1:$C$33,CH390+3,FALSE)</f>
        <v>240</v>
      </c>
      <c r="BO390" s="14">
        <f t="shared" si="493"/>
        <v>32</v>
      </c>
      <c r="BP390" s="14">
        <f t="shared" si="494"/>
        <v>0</v>
      </c>
      <c r="BQ390" s="14">
        <f t="shared" si="495"/>
        <v>208</v>
      </c>
      <c r="BR390" s="34" t="e">
        <f>HLOOKUP(J390,Villagers!$B$1:$V$33,L390+3,FALSE)-HLOOKUP(J390,Villagers!$B$1:$V$33,L390+2,FALSE)</f>
        <v>#N/A</v>
      </c>
      <c r="BS390" s="49">
        <f t="shared" si="496"/>
        <v>1</v>
      </c>
      <c r="BT390" s="50">
        <f t="shared" si="497"/>
        <v>0</v>
      </c>
      <c r="BU390" s="50">
        <f t="shared" si="498"/>
        <v>0</v>
      </c>
      <c r="BV390" s="50">
        <f t="shared" si="499"/>
        <v>0</v>
      </c>
      <c r="BW390" s="50">
        <f t="shared" si="553"/>
        <v>0</v>
      </c>
      <c r="BX390" s="50">
        <f t="shared" si="553"/>
        <v>0</v>
      </c>
      <c r="BY390" s="50">
        <f t="shared" si="553"/>
        <v>0</v>
      </c>
      <c r="BZ390" s="50">
        <f t="shared" si="530"/>
        <v>0</v>
      </c>
      <c r="CA390" s="50">
        <f t="shared" si="531"/>
        <v>0</v>
      </c>
      <c r="CB390" s="50">
        <f t="shared" si="532"/>
        <v>1</v>
      </c>
      <c r="CC390" s="50">
        <f t="shared" si="533"/>
        <v>0</v>
      </c>
      <c r="CD390" s="50">
        <f t="shared" si="534"/>
        <v>0</v>
      </c>
      <c r="CE390" s="50">
        <f t="shared" si="535"/>
        <v>1</v>
      </c>
      <c r="CF390" s="50">
        <f t="shared" si="536"/>
        <v>1</v>
      </c>
      <c r="CG390" s="50">
        <f t="shared" si="537"/>
        <v>1</v>
      </c>
      <c r="CH390" s="50">
        <f t="shared" si="538"/>
        <v>1</v>
      </c>
      <c r="CI390" s="50">
        <f t="shared" si="539"/>
        <v>1</v>
      </c>
      <c r="CJ390" s="50">
        <f t="shared" si="540"/>
        <v>1</v>
      </c>
      <c r="CK390" s="50">
        <f t="shared" si="540"/>
        <v>0</v>
      </c>
      <c r="CL390" s="50">
        <f t="shared" si="540"/>
        <v>0</v>
      </c>
      <c r="CM390" s="51">
        <f t="shared" si="482"/>
        <v>0</v>
      </c>
      <c r="CN390" s="33">
        <f>ROUND(IF(BS390=0,0,HLOOKUP(BS$14,Villagers!$B$1:$V$33,BS390+3,FALSE)),)</f>
        <v>5</v>
      </c>
      <c r="CO390" s="14">
        <f>ROUND(IF(BT390=0,0,HLOOKUP(BT$14,Villagers!$B$1:$V$33,BT390+3,FALSE)),)</f>
        <v>0</v>
      </c>
      <c r="CP390" s="14">
        <f>ROUND(IF(BU390=0,0,HLOOKUP(BU$14,Villagers!$B$1:$V$33,BU390+3,FALSE)),)</f>
        <v>0</v>
      </c>
      <c r="CQ390" s="14">
        <f>ROUND(IF(BV390=0,0,HLOOKUP(BV$14,Villagers!$B$1:$V$33,BV390+3,FALSE)),)</f>
        <v>0</v>
      </c>
      <c r="CR390" s="14">
        <f>ROUND(IF(BW390=0,0,HLOOKUP(BW$14,Villagers!$B$1:$V$33,BW390+3,FALSE)),)</f>
        <v>0</v>
      </c>
      <c r="CS390" s="14">
        <f>ROUND(IF(BX390=0,0,HLOOKUP(BX$14,Villagers!$B$1:$V$33,BX390+3,FALSE)),)</f>
        <v>0</v>
      </c>
      <c r="CT390" s="14">
        <f>ROUND(IF(BY390=0,0,HLOOKUP(BY$14,Villagers!$B$1:$V$33,BY390+3,FALSE)),)</f>
        <v>0</v>
      </c>
      <c r="CU390" s="14">
        <f>ROUND(IF(BZ390=0,0,HLOOKUP(BZ$14,Villagers!$B$1:$V$33,BZ390+3,FALSE)),)</f>
        <v>0</v>
      </c>
      <c r="CV390" s="14">
        <f>ROUND(IF(CA390=0,0,HLOOKUP(CA$14,Villagers!$B$1:$V$33,CA390+3,FALSE)),)</f>
        <v>0</v>
      </c>
      <c r="CW390" s="14">
        <f>ROUND(IF(CB390=0,0,HLOOKUP(CB$14,Villagers!$B$1:$V$33,CB390+3,FALSE)),)</f>
        <v>0</v>
      </c>
      <c r="CX390" s="14">
        <f>ROUND(IF(CC390=0,0,HLOOKUP(CC$14,Villagers!$B$1:$V$33,CC390+3,FALSE)),)</f>
        <v>0</v>
      </c>
      <c r="CY390" s="14">
        <f>ROUND(IF(CD390=0,0,HLOOKUP(CD$14,Villagers!$B$1:$V$33,CD390+3,FALSE)),)</f>
        <v>0</v>
      </c>
      <c r="CZ390" s="14">
        <f>ROUND(IF(CE390=0,0,HLOOKUP(CE$14,Villagers!$B$1:$V$33,CE390+3,FALSE)),)</f>
        <v>5</v>
      </c>
      <c r="DA390" s="14">
        <f>ROUND(IF(CF390=0,0,HLOOKUP(CF$14,Villagers!$B$1:$V$33,CF390+3,FALSE)),)</f>
        <v>10</v>
      </c>
      <c r="DB390" s="14">
        <f>ROUND(IF(CG390=0,0,HLOOKUP(CG$14,Villagers!$B$1:$V$33,CG390+3,FALSE)),)</f>
        <v>10</v>
      </c>
      <c r="DC390" s="14">
        <f>ROUND(IF(CH390=0,0,HLOOKUP(CH$14,Villagers!$B$1:$V$33,CH390+3,FALSE)),)</f>
        <v>0</v>
      </c>
      <c r="DD390" s="14">
        <f>ROUND(IF(CI390=0,0,HLOOKUP(CI$14,Villagers!$B$1:$V$33,CI390+3,FALSE)),)</f>
        <v>0</v>
      </c>
      <c r="DE390" s="14">
        <f>ROUND(IF(CJ390=0,0,HLOOKUP(CJ$14,Villagers!$B$1:$V$33,CJ390+3,FALSE)),)</f>
        <v>2</v>
      </c>
      <c r="DF390" s="370">
        <f>ROUND(IF(CK390=0,0,HLOOKUP(CK$14,Villagers!$B$1:$V$33,CK390+3,FALSE)),)</f>
        <v>0</v>
      </c>
      <c r="DG390" s="370">
        <f>ROUND(IF(CL390=0,0,HLOOKUP(CL$14,Villagers!$B$1:$V$33,CL390+3,FALSE)),)</f>
        <v>0</v>
      </c>
      <c r="DH390" s="34">
        <f>ROUND(IF(CM390=0,0,HLOOKUP(CM$14,Villagers!$B$1:$V$33,CM390+3,FALSE)),)</f>
        <v>0</v>
      </c>
      <c r="DI390" s="109">
        <f t="shared" si="516"/>
        <v>0</v>
      </c>
      <c r="DJ390" s="50">
        <f t="shared" si="517"/>
        <v>0</v>
      </c>
      <c r="DK390" s="50">
        <f t="shared" si="518"/>
        <v>0</v>
      </c>
      <c r="DL390" s="50">
        <f t="shared" si="519"/>
        <v>0</v>
      </c>
      <c r="DM390" s="50">
        <f t="shared" si="520"/>
        <v>0</v>
      </c>
      <c r="DN390" s="50">
        <f t="shared" si="521"/>
        <v>0</v>
      </c>
      <c r="DO390" s="50">
        <f t="shared" si="522"/>
        <v>0</v>
      </c>
      <c r="DP390" s="50">
        <f t="shared" si="523"/>
        <v>0</v>
      </c>
      <c r="DQ390" s="50">
        <f t="shared" si="501"/>
        <v>0</v>
      </c>
      <c r="DR390" s="50">
        <f t="shared" si="502"/>
        <v>0</v>
      </c>
      <c r="DS390" s="96">
        <f>Miscelaneous!$D$4*Miscelaneous!$D$2^($CI390-1)</f>
        <v>1000</v>
      </c>
      <c r="DT390" s="333">
        <f t="shared" si="483"/>
        <v>1</v>
      </c>
      <c r="DU390" s="81">
        <v>1</v>
      </c>
      <c r="DV390" s="79">
        <f t="shared" si="503"/>
        <v>0</v>
      </c>
      <c r="DW390" s="79">
        <f t="shared" si="504"/>
        <v>0</v>
      </c>
      <c r="DX390" s="79">
        <f t="shared" si="505"/>
        <v>0</v>
      </c>
      <c r="DY390" s="79">
        <v>1</v>
      </c>
      <c r="DZ390" s="79">
        <f t="shared" si="506"/>
        <v>0</v>
      </c>
      <c r="EA390" s="79">
        <f t="shared" si="507"/>
        <v>0</v>
      </c>
      <c r="EB390" s="79">
        <f t="shared" si="508"/>
        <v>0</v>
      </c>
      <c r="EC390" s="79">
        <f t="shared" si="509"/>
        <v>0</v>
      </c>
      <c r="ED390" s="79">
        <v>1</v>
      </c>
      <c r="EE390" s="79">
        <v>1</v>
      </c>
      <c r="EF390" s="79">
        <f t="shared" si="510"/>
        <v>0</v>
      </c>
      <c r="EG390" s="79">
        <v>1</v>
      </c>
      <c r="EH390" s="79">
        <v>1</v>
      </c>
      <c r="EI390" s="79">
        <v>1</v>
      </c>
      <c r="EJ390" s="79">
        <v>1</v>
      </c>
      <c r="EK390" s="79">
        <v>1</v>
      </c>
      <c r="EL390" s="79">
        <v>1</v>
      </c>
      <c r="EM390" s="143">
        <f t="shared" si="511"/>
        <v>0</v>
      </c>
      <c r="EN390" s="143">
        <f t="shared" si="512"/>
        <v>0</v>
      </c>
      <c r="EO390" s="82">
        <f t="shared" si="513"/>
        <v>0</v>
      </c>
    </row>
    <row r="391" spans="1:145" x14ac:dyDescent="0.25">
      <c r="A391">
        <v>377</v>
      </c>
      <c r="B391" s="172" t="e">
        <f t="shared" si="484"/>
        <v>#N/A</v>
      </c>
      <c r="C391" s="121" t="e">
        <f t="shared" si="462"/>
        <v>#N/A</v>
      </c>
      <c r="D391" s="122" t="e">
        <f t="shared" si="463"/>
        <v>#N/A</v>
      </c>
      <c r="E391" s="122" t="e">
        <f t="shared" si="464"/>
        <v>#N/A</v>
      </c>
      <c r="F391" s="176" t="e">
        <f t="shared" si="465"/>
        <v>#N/A</v>
      </c>
      <c r="G391" s="121">
        <f t="shared" si="485"/>
        <v>208</v>
      </c>
      <c r="H391" s="176" t="e">
        <f t="shared" si="486"/>
        <v>#N/A</v>
      </c>
      <c r="I391" s="48">
        <v>1</v>
      </c>
      <c r="J391" s="39"/>
      <c r="K391" s="350">
        <v>1</v>
      </c>
      <c r="L391" s="34" t="e">
        <f t="shared" si="466"/>
        <v>#N/A</v>
      </c>
      <c r="M391" s="38" t="e">
        <f>(HLOOKUP(J391,'Construction Times'!$B$3:$W$34,L391+2,FALSE)*HLOOKUP("hq modifier",'Construction Times'!$W$3:$W$34,BS391+2,FALSE))*(1-$H$9)</f>
        <v>#N/A</v>
      </c>
      <c r="N391" s="443" t="e">
        <f t="shared" si="487"/>
        <v>#N/A</v>
      </c>
      <c r="O391" s="444"/>
      <c r="P391" s="447" t="e">
        <f t="shared" si="488"/>
        <v>#N/A</v>
      </c>
      <c r="Q391" s="448"/>
      <c r="R391" s="103">
        <f t="shared" si="548"/>
        <v>0</v>
      </c>
      <c r="S391" s="104">
        <f t="shared" si="548"/>
        <v>0</v>
      </c>
      <c r="T391" s="104">
        <f t="shared" si="549"/>
        <v>0</v>
      </c>
      <c r="U391" s="104">
        <f t="shared" si="549"/>
        <v>0</v>
      </c>
      <c r="V391" s="104">
        <f t="shared" si="549"/>
        <v>9.9999999999999995E-8</v>
      </c>
      <c r="W391" s="104">
        <f t="shared" si="549"/>
        <v>0</v>
      </c>
      <c r="X391" s="104">
        <f t="shared" si="545"/>
        <v>0</v>
      </c>
      <c r="Y391" s="104">
        <f t="shared" si="545"/>
        <v>9.9999999999999995E-8</v>
      </c>
      <c r="Z391" s="104">
        <f t="shared" si="545"/>
        <v>9.9999999999999995E-8</v>
      </c>
      <c r="AA391" s="105">
        <f t="shared" si="545"/>
        <v>9.9999999999999995E-8</v>
      </c>
      <c r="AB391" s="101" t="e">
        <f>$DT391*HLOOKUP($J391,'Construction Costs (timber)'!$B$1:$V$32,'Construction Planner'!$L391+2,FALSE)</f>
        <v>#N/A</v>
      </c>
      <c r="AC391" s="14" t="e">
        <f>$DT391*HLOOKUP($J391,'Construction Costs (clay)'!$B$1:$V$32,'Construction Planner'!$L391+2,FALSE)</f>
        <v>#N/A</v>
      </c>
      <c r="AD391" s="14" t="e">
        <f>$DT391*HLOOKUP($J391,'Construction Costs (iron)'!$B$1:$V$32,'Construction Planner'!$L391+2,FALSE)</f>
        <v>#N/A</v>
      </c>
      <c r="AE391" s="34" t="e">
        <f t="shared" si="524"/>
        <v>#N/A</v>
      </c>
      <c r="AF391" s="33" t="e">
        <f t="shared" si="467"/>
        <v>#N/A</v>
      </c>
      <c r="AG391" s="14" t="e">
        <f t="shared" si="468"/>
        <v>#N/A</v>
      </c>
      <c r="AH391" s="14" t="e">
        <f t="shared" si="469"/>
        <v>#N/A</v>
      </c>
      <c r="AI391" s="34" t="e">
        <f t="shared" si="525"/>
        <v>#N/A</v>
      </c>
      <c r="AJ391" s="49" t="e">
        <f t="shared" si="489"/>
        <v>#N/A</v>
      </c>
      <c r="AK391" s="49" t="e">
        <f t="shared" si="490"/>
        <v>#N/A</v>
      </c>
      <c r="AL391" s="49" t="e">
        <f t="shared" si="491"/>
        <v>#N/A</v>
      </c>
      <c r="AM391" s="25">
        <f t="shared" si="470"/>
        <v>30</v>
      </c>
      <c r="AN391" s="25">
        <f t="shared" si="471"/>
        <v>30</v>
      </c>
      <c r="AO391" s="25">
        <f t="shared" si="472"/>
        <v>30</v>
      </c>
      <c r="AP391" s="52" t="e">
        <f t="shared" si="546"/>
        <v>#N/A</v>
      </c>
      <c r="AQ391" s="53" t="e">
        <f t="shared" si="546"/>
        <v>#N/A</v>
      </c>
      <c r="AR391" s="54" t="e">
        <f t="shared" si="546"/>
        <v>#N/A</v>
      </c>
      <c r="AS391" s="316">
        <f t="shared" si="554"/>
        <v>0</v>
      </c>
      <c r="AT391" s="106">
        <f>_xlfn.IFNA($M391/VLOOKUP($BT391,'Unit information'!$A$2:$K$29,2,FALSE)*R391,0)*(1+$E$9)</f>
        <v>0</v>
      </c>
      <c r="AU391" s="107">
        <f>_xlfn.IFNA($M391/VLOOKUP($BT391,'Unit information'!$A$2:$K$29,3,FALSE)*S391,0)*(1+$E$9)</f>
        <v>0</v>
      </c>
      <c r="AV391" s="107">
        <f>_xlfn.IFNA($M391/VLOOKUP($BT391,'Unit information'!$A$2:$K$29,4,FALSE)*T391,0)*(1+$E$9)</f>
        <v>0</v>
      </c>
      <c r="AW391" s="107">
        <f>_xlfn.IFNA($M391/VLOOKUP($BT391,'Unit information'!$A$2:$K$29,5,FALSE)*U391,0)*(1+$E$9)</f>
        <v>0</v>
      </c>
      <c r="AX391" s="107">
        <f>_xlfn.IFNA($M391/VLOOKUP($BU391,'Unit information'!$A$2:$K$29,6,FALSE)*V391,0)*(1+$E$9)</f>
        <v>0</v>
      </c>
      <c r="AY391" s="107">
        <f>_xlfn.IFNA($M391/VLOOKUP($BU391,'Unit information'!$A$2:$K$29,7,FALSE)*W391,0)*(1+$E$9)</f>
        <v>0</v>
      </c>
      <c r="AZ391" s="107">
        <f>_xlfn.IFNA($M391/VLOOKUP($BU391,'Unit information'!$A$2:$K$29,8,FALSE)*X391,0)*(1+$E$9)</f>
        <v>0</v>
      </c>
      <c r="BA391" s="107">
        <f>_xlfn.IFNA($M391/VLOOKUP($BU391,'Unit information'!$A$2:$K$29,9,FALSE)*Y391,0)*(1+$E$9)</f>
        <v>0</v>
      </c>
      <c r="BB391" s="107">
        <f>_xlfn.IFNA($M391/VLOOKUP($BV391,'Unit information'!$A$2:$K$29,10,FALSE)*Z391,0)*(1+$E$9)</f>
        <v>0</v>
      </c>
      <c r="BC391" s="108">
        <f>_xlfn.IFNA($M391/VLOOKUP($BV391,'Unit information'!$A$2:$K$29,11,FALSE)*AA391,0)*(1+$E$9)</f>
        <v>0</v>
      </c>
      <c r="BD391" s="106">
        <f t="shared" si="473"/>
        <v>0</v>
      </c>
      <c r="BE391" s="107">
        <f t="shared" si="474"/>
        <v>0</v>
      </c>
      <c r="BF391" s="108">
        <f t="shared" si="475"/>
        <v>0</v>
      </c>
      <c r="BG391" s="25" t="e">
        <f t="shared" si="476"/>
        <v>#N/A</v>
      </c>
      <c r="BH391" s="25" t="e">
        <f t="shared" si="477"/>
        <v>#N/A</v>
      </c>
      <c r="BI391" s="25" t="e">
        <f t="shared" si="478"/>
        <v>#N/A</v>
      </c>
      <c r="BJ391" s="27" t="e">
        <f t="shared" si="479"/>
        <v>#N/A</v>
      </c>
      <c r="BK391" s="18" t="e">
        <f t="shared" si="480"/>
        <v>#N/A</v>
      </c>
      <c r="BL391" s="18" t="e">
        <f t="shared" si="481"/>
        <v>#N/A</v>
      </c>
      <c r="BM391" s="28" t="e">
        <f t="shared" si="527"/>
        <v>#N/A</v>
      </c>
      <c r="BN391" s="33">
        <f>HLOOKUP("maximum population",Miscelaneous!$C$1:$C$33,CH391+3,FALSE)</f>
        <v>240</v>
      </c>
      <c r="BO391" s="14">
        <f t="shared" si="493"/>
        <v>32</v>
      </c>
      <c r="BP391" s="14">
        <f t="shared" si="494"/>
        <v>0</v>
      </c>
      <c r="BQ391" s="14">
        <f t="shared" si="495"/>
        <v>208</v>
      </c>
      <c r="BR391" s="34" t="e">
        <f>HLOOKUP(J391,Villagers!$B$1:$V$33,L391+3,FALSE)-HLOOKUP(J391,Villagers!$B$1:$V$33,L391+2,FALSE)</f>
        <v>#N/A</v>
      </c>
      <c r="BS391" s="49">
        <f t="shared" si="496"/>
        <v>1</v>
      </c>
      <c r="BT391" s="50">
        <f t="shared" si="497"/>
        <v>0</v>
      </c>
      <c r="BU391" s="50">
        <f t="shared" si="498"/>
        <v>0</v>
      </c>
      <c r="BV391" s="50">
        <f t="shared" si="499"/>
        <v>0</v>
      </c>
      <c r="BW391" s="50">
        <f t="shared" ref="BW391:BW415" si="555">IF($J390=BW$14,$L390,BW390)</f>
        <v>0</v>
      </c>
      <c r="BX391" s="50">
        <f t="shared" ref="BX391:BY415" si="556">IF($J390=BX$14,$L390,BX390)</f>
        <v>0</v>
      </c>
      <c r="BY391" s="50">
        <f t="shared" si="556"/>
        <v>0</v>
      </c>
      <c r="BZ391" s="50">
        <f t="shared" si="530"/>
        <v>0</v>
      </c>
      <c r="CA391" s="50">
        <f t="shared" si="531"/>
        <v>0</v>
      </c>
      <c r="CB391" s="50">
        <f t="shared" si="532"/>
        <v>1</v>
      </c>
      <c r="CC391" s="50">
        <f t="shared" si="533"/>
        <v>0</v>
      </c>
      <c r="CD391" s="50">
        <f t="shared" si="534"/>
        <v>0</v>
      </c>
      <c r="CE391" s="50">
        <f t="shared" si="535"/>
        <v>1</v>
      </c>
      <c r="CF391" s="50">
        <f t="shared" si="536"/>
        <v>1</v>
      </c>
      <c r="CG391" s="50">
        <f t="shared" si="537"/>
        <v>1</v>
      </c>
      <c r="CH391" s="50">
        <f t="shared" si="538"/>
        <v>1</v>
      </c>
      <c r="CI391" s="50">
        <f t="shared" si="539"/>
        <v>1</v>
      </c>
      <c r="CJ391" s="50">
        <f t="shared" si="540"/>
        <v>1</v>
      </c>
      <c r="CK391" s="50">
        <f t="shared" si="540"/>
        <v>0</v>
      </c>
      <c r="CL391" s="50">
        <f t="shared" si="540"/>
        <v>0</v>
      </c>
      <c r="CM391" s="51">
        <f t="shared" si="482"/>
        <v>0</v>
      </c>
      <c r="CN391" s="33">
        <f>ROUND(IF(BS391=0,0,HLOOKUP(BS$14,Villagers!$B$1:$V$33,BS391+3,FALSE)),)</f>
        <v>5</v>
      </c>
      <c r="CO391" s="14">
        <f>ROUND(IF(BT391=0,0,HLOOKUP(BT$14,Villagers!$B$1:$V$33,BT391+3,FALSE)),)</f>
        <v>0</v>
      </c>
      <c r="CP391" s="14">
        <f>ROUND(IF(BU391=0,0,HLOOKUP(BU$14,Villagers!$B$1:$V$33,BU391+3,FALSE)),)</f>
        <v>0</v>
      </c>
      <c r="CQ391" s="14">
        <f>ROUND(IF(BV391=0,0,HLOOKUP(BV$14,Villagers!$B$1:$V$33,BV391+3,FALSE)),)</f>
        <v>0</v>
      </c>
      <c r="CR391" s="14">
        <f>ROUND(IF(BW391=0,0,HLOOKUP(BW$14,Villagers!$B$1:$V$33,BW391+3,FALSE)),)</f>
        <v>0</v>
      </c>
      <c r="CS391" s="14">
        <f>ROUND(IF(BX391=0,0,HLOOKUP(BX$14,Villagers!$B$1:$V$33,BX391+3,FALSE)),)</f>
        <v>0</v>
      </c>
      <c r="CT391" s="14">
        <f>ROUND(IF(BY391=0,0,HLOOKUP(BY$14,Villagers!$B$1:$V$33,BY391+3,FALSE)),)</f>
        <v>0</v>
      </c>
      <c r="CU391" s="14">
        <f>ROUND(IF(BZ391=0,0,HLOOKUP(BZ$14,Villagers!$B$1:$V$33,BZ391+3,FALSE)),)</f>
        <v>0</v>
      </c>
      <c r="CV391" s="14">
        <f>ROUND(IF(CA391=0,0,HLOOKUP(CA$14,Villagers!$B$1:$V$33,CA391+3,FALSE)),)</f>
        <v>0</v>
      </c>
      <c r="CW391" s="14">
        <f>ROUND(IF(CB391=0,0,HLOOKUP(CB$14,Villagers!$B$1:$V$33,CB391+3,FALSE)),)</f>
        <v>0</v>
      </c>
      <c r="CX391" s="14">
        <f>ROUND(IF(CC391=0,0,HLOOKUP(CC$14,Villagers!$B$1:$V$33,CC391+3,FALSE)),)</f>
        <v>0</v>
      </c>
      <c r="CY391" s="14">
        <f>ROUND(IF(CD391=0,0,HLOOKUP(CD$14,Villagers!$B$1:$V$33,CD391+3,FALSE)),)</f>
        <v>0</v>
      </c>
      <c r="CZ391" s="14">
        <f>ROUND(IF(CE391=0,0,HLOOKUP(CE$14,Villagers!$B$1:$V$33,CE391+3,FALSE)),)</f>
        <v>5</v>
      </c>
      <c r="DA391" s="14">
        <f>ROUND(IF(CF391=0,0,HLOOKUP(CF$14,Villagers!$B$1:$V$33,CF391+3,FALSE)),)</f>
        <v>10</v>
      </c>
      <c r="DB391" s="14">
        <f>ROUND(IF(CG391=0,0,HLOOKUP(CG$14,Villagers!$B$1:$V$33,CG391+3,FALSE)),)</f>
        <v>10</v>
      </c>
      <c r="DC391" s="14">
        <f>ROUND(IF(CH391=0,0,HLOOKUP(CH$14,Villagers!$B$1:$V$33,CH391+3,FALSE)),)</f>
        <v>0</v>
      </c>
      <c r="DD391" s="14">
        <f>ROUND(IF(CI391=0,0,HLOOKUP(CI$14,Villagers!$B$1:$V$33,CI391+3,FALSE)),)</f>
        <v>0</v>
      </c>
      <c r="DE391" s="14">
        <f>ROUND(IF(CJ391=0,0,HLOOKUP(CJ$14,Villagers!$B$1:$V$33,CJ391+3,FALSE)),)</f>
        <v>2</v>
      </c>
      <c r="DF391" s="370">
        <f>ROUND(IF(CK391=0,0,HLOOKUP(CK$14,Villagers!$B$1:$V$33,CK391+3,FALSE)),)</f>
        <v>0</v>
      </c>
      <c r="DG391" s="370">
        <f>ROUND(IF(CL391=0,0,HLOOKUP(CL$14,Villagers!$B$1:$V$33,CL391+3,FALSE)),)</f>
        <v>0</v>
      </c>
      <c r="DH391" s="34">
        <f>ROUND(IF(CM391=0,0,HLOOKUP(CM$14,Villagers!$B$1:$V$33,CM391+3,FALSE)),)</f>
        <v>0</v>
      </c>
      <c r="DI391" s="109">
        <f t="shared" si="516"/>
        <v>0</v>
      </c>
      <c r="DJ391" s="50">
        <f t="shared" si="517"/>
        <v>0</v>
      </c>
      <c r="DK391" s="50">
        <f t="shared" si="518"/>
        <v>0</v>
      </c>
      <c r="DL391" s="50">
        <f t="shared" si="519"/>
        <v>0</v>
      </c>
      <c r="DM391" s="50">
        <f t="shared" si="520"/>
        <v>0</v>
      </c>
      <c r="DN391" s="50">
        <f t="shared" si="521"/>
        <v>0</v>
      </c>
      <c r="DO391" s="50">
        <f t="shared" si="522"/>
        <v>0</v>
      </c>
      <c r="DP391" s="50">
        <f t="shared" si="523"/>
        <v>0</v>
      </c>
      <c r="DQ391" s="50">
        <f t="shared" si="501"/>
        <v>0</v>
      </c>
      <c r="DR391" s="50">
        <f t="shared" si="502"/>
        <v>0</v>
      </c>
      <c r="DS391" s="96">
        <f>Miscelaneous!$D$4*Miscelaneous!$D$2^($CI391-1)</f>
        <v>1000</v>
      </c>
      <c r="DT391" s="333">
        <f t="shared" si="483"/>
        <v>1</v>
      </c>
      <c r="DU391" s="81">
        <v>1</v>
      </c>
      <c r="DV391" s="79">
        <f t="shared" si="503"/>
        <v>0</v>
      </c>
      <c r="DW391" s="79">
        <f t="shared" si="504"/>
        <v>0</v>
      </c>
      <c r="DX391" s="79">
        <f t="shared" si="505"/>
        <v>0</v>
      </c>
      <c r="DY391" s="79">
        <v>1</v>
      </c>
      <c r="DZ391" s="79">
        <f t="shared" si="506"/>
        <v>0</v>
      </c>
      <c r="EA391" s="79">
        <f t="shared" si="507"/>
        <v>0</v>
      </c>
      <c r="EB391" s="79">
        <f t="shared" si="508"/>
        <v>0</v>
      </c>
      <c r="EC391" s="79">
        <f t="shared" si="509"/>
        <v>0</v>
      </c>
      <c r="ED391" s="79">
        <v>1</v>
      </c>
      <c r="EE391" s="79">
        <v>1</v>
      </c>
      <c r="EF391" s="79">
        <f t="shared" si="510"/>
        <v>0</v>
      </c>
      <c r="EG391" s="79">
        <v>1</v>
      </c>
      <c r="EH391" s="79">
        <v>1</v>
      </c>
      <c r="EI391" s="79">
        <v>1</v>
      </c>
      <c r="EJ391" s="79">
        <v>1</v>
      </c>
      <c r="EK391" s="79">
        <v>1</v>
      </c>
      <c r="EL391" s="79">
        <v>1</v>
      </c>
      <c r="EM391" s="143">
        <f t="shared" si="511"/>
        <v>0</v>
      </c>
      <c r="EN391" s="143">
        <f t="shared" si="512"/>
        <v>0</v>
      </c>
      <c r="EO391" s="82">
        <f t="shared" si="513"/>
        <v>0</v>
      </c>
    </row>
    <row r="392" spans="1:145" x14ac:dyDescent="0.25">
      <c r="A392">
        <v>378</v>
      </c>
      <c r="B392" s="172" t="e">
        <f t="shared" si="484"/>
        <v>#N/A</v>
      </c>
      <c r="C392" s="121" t="e">
        <f t="shared" si="462"/>
        <v>#N/A</v>
      </c>
      <c r="D392" s="122" t="e">
        <f t="shared" si="463"/>
        <v>#N/A</v>
      </c>
      <c r="E392" s="122" t="e">
        <f t="shared" si="464"/>
        <v>#N/A</v>
      </c>
      <c r="F392" s="176" t="e">
        <f t="shared" si="465"/>
        <v>#N/A</v>
      </c>
      <c r="G392" s="121">
        <f t="shared" si="485"/>
        <v>208</v>
      </c>
      <c r="H392" s="176" t="e">
        <f t="shared" si="486"/>
        <v>#N/A</v>
      </c>
      <c r="I392" s="48">
        <v>1</v>
      </c>
      <c r="J392" s="39"/>
      <c r="K392" s="350">
        <v>1</v>
      </c>
      <c r="L392" s="34" t="e">
        <f t="shared" si="466"/>
        <v>#N/A</v>
      </c>
      <c r="M392" s="38" t="e">
        <f>(HLOOKUP(J392,'Construction Times'!$B$3:$W$34,L392+2,FALSE)*HLOOKUP("hq modifier",'Construction Times'!$W$3:$W$34,BS392+2,FALSE))*(1-$H$9)</f>
        <v>#N/A</v>
      </c>
      <c r="N392" s="443" t="e">
        <f t="shared" si="487"/>
        <v>#N/A</v>
      </c>
      <c r="O392" s="444"/>
      <c r="P392" s="447" t="e">
        <f t="shared" si="488"/>
        <v>#N/A</v>
      </c>
      <c r="Q392" s="448"/>
      <c r="R392" s="103">
        <f t="shared" si="548"/>
        <v>0</v>
      </c>
      <c r="S392" s="104">
        <f t="shared" si="548"/>
        <v>0</v>
      </c>
      <c r="T392" s="104">
        <f t="shared" si="549"/>
        <v>0</v>
      </c>
      <c r="U392" s="104">
        <f t="shared" si="549"/>
        <v>0</v>
      </c>
      <c r="V392" s="104">
        <f t="shared" si="549"/>
        <v>9.9999999999999995E-8</v>
      </c>
      <c r="W392" s="104">
        <f t="shared" si="549"/>
        <v>0</v>
      </c>
      <c r="X392" s="104">
        <f t="shared" si="545"/>
        <v>0</v>
      </c>
      <c r="Y392" s="104">
        <f t="shared" si="545"/>
        <v>9.9999999999999995E-8</v>
      </c>
      <c r="Z392" s="104">
        <f t="shared" si="545"/>
        <v>9.9999999999999995E-8</v>
      </c>
      <c r="AA392" s="105">
        <f t="shared" si="545"/>
        <v>9.9999999999999995E-8</v>
      </c>
      <c r="AB392" s="101" t="e">
        <f>$DT392*HLOOKUP($J392,'Construction Costs (timber)'!$B$1:$V$32,'Construction Planner'!$L392+2,FALSE)</f>
        <v>#N/A</v>
      </c>
      <c r="AC392" s="14" t="e">
        <f>$DT392*HLOOKUP($J392,'Construction Costs (clay)'!$B$1:$V$32,'Construction Planner'!$L392+2,FALSE)</f>
        <v>#N/A</v>
      </c>
      <c r="AD392" s="14" t="e">
        <f>$DT392*HLOOKUP($J392,'Construction Costs (iron)'!$B$1:$V$32,'Construction Planner'!$L392+2,FALSE)</f>
        <v>#N/A</v>
      </c>
      <c r="AE392" s="34" t="e">
        <f t="shared" si="524"/>
        <v>#N/A</v>
      </c>
      <c r="AF392" s="33" t="e">
        <f t="shared" si="467"/>
        <v>#N/A</v>
      </c>
      <c r="AG392" s="14" t="e">
        <f t="shared" si="468"/>
        <v>#N/A</v>
      </c>
      <c r="AH392" s="14" t="e">
        <f t="shared" si="469"/>
        <v>#N/A</v>
      </c>
      <c r="AI392" s="34" t="e">
        <f t="shared" si="525"/>
        <v>#N/A</v>
      </c>
      <c r="AJ392" s="49" t="e">
        <f t="shared" si="489"/>
        <v>#N/A</v>
      </c>
      <c r="AK392" s="49" t="e">
        <f t="shared" si="490"/>
        <v>#N/A</v>
      </c>
      <c r="AL392" s="49" t="e">
        <f t="shared" si="491"/>
        <v>#N/A</v>
      </c>
      <c r="AM392" s="25">
        <f t="shared" si="470"/>
        <v>30</v>
      </c>
      <c r="AN392" s="25">
        <f t="shared" si="471"/>
        <v>30</v>
      </c>
      <c r="AO392" s="25">
        <f t="shared" si="472"/>
        <v>30</v>
      </c>
      <c r="AP392" s="52" t="e">
        <f t="shared" si="546"/>
        <v>#N/A</v>
      </c>
      <c r="AQ392" s="53" t="e">
        <f t="shared" si="546"/>
        <v>#N/A</v>
      </c>
      <c r="AR392" s="54" t="e">
        <f t="shared" si="546"/>
        <v>#N/A</v>
      </c>
      <c r="AS392" s="316">
        <f t="shared" si="554"/>
        <v>0</v>
      </c>
      <c r="AT392" s="106">
        <f>_xlfn.IFNA($M392/VLOOKUP($BT392,'Unit information'!$A$2:$K$29,2,FALSE)*R392,0)*(1+$E$9)</f>
        <v>0</v>
      </c>
      <c r="AU392" s="107">
        <f>_xlfn.IFNA($M392/VLOOKUP($BT392,'Unit information'!$A$2:$K$29,3,FALSE)*S392,0)*(1+$E$9)</f>
        <v>0</v>
      </c>
      <c r="AV392" s="107">
        <f>_xlfn.IFNA($M392/VLOOKUP($BT392,'Unit information'!$A$2:$K$29,4,FALSE)*T392,0)*(1+$E$9)</f>
        <v>0</v>
      </c>
      <c r="AW392" s="107">
        <f>_xlfn.IFNA($M392/VLOOKUP($BT392,'Unit information'!$A$2:$K$29,5,FALSE)*U392,0)*(1+$E$9)</f>
        <v>0</v>
      </c>
      <c r="AX392" s="107">
        <f>_xlfn.IFNA($M392/VLOOKUP($BU392,'Unit information'!$A$2:$K$29,6,FALSE)*V392,0)*(1+$E$9)</f>
        <v>0</v>
      </c>
      <c r="AY392" s="107">
        <f>_xlfn.IFNA($M392/VLOOKUP($BU392,'Unit information'!$A$2:$K$29,7,FALSE)*W392,0)*(1+$E$9)</f>
        <v>0</v>
      </c>
      <c r="AZ392" s="107">
        <f>_xlfn.IFNA($M392/VLOOKUP($BU392,'Unit information'!$A$2:$K$29,8,FALSE)*X392,0)*(1+$E$9)</f>
        <v>0</v>
      </c>
      <c r="BA392" s="107">
        <f>_xlfn.IFNA($M392/VLOOKUP($BU392,'Unit information'!$A$2:$K$29,9,FALSE)*Y392,0)*(1+$E$9)</f>
        <v>0</v>
      </c>
      <c r="BB392" s="107">
        <f>_xlfn.IFNA($M392/VLOOKUP($BV392,'Unit information'!$A$2:$K$29,10,FALSE)*Z392,0)*(1+$E$9)</f>
        <v>0</v>
      </c>
      <c r="BC392" s="108">
        <f>_xlfn.IFNA($M392/VLOOKUP($BV392,'Unit information'!$A$2:$K$29,11,FALSE)*AA392,0)*(1+$E$9)</f>
        <v>0</v>
      </c>
      <c r="BD392" s="106">
        <f t="shared" si="473"/>
        <v>0</v>
      </c>
      <c r="BE392" s="107">
        <f t="shared" si="474"/>
        <v>0</v>
      </c>
      <c r="BF392" s="108">
        <f t="shared" si="475"/>
        <v>0</v>
      </c>
      <c r="BG392" s="25" t="e">
        <f t="shared" si="476"/>
        <v>#N/A</v>
      </c>
      <c r="BH392" s="25" t="e">
        <f t="shared" si="477"/>
        <v>#N/A</v>
      </c>
      <c r="BI392" s="25" t="e">
        <f t="shared" si="478"/>
        <v>#N/A</v>
      </c>
      <c r="BJ392" s="27" t="e">
        <f t="shared" si="479"/>
        <v>#N/A</v>
      </c>
      <c r="BK392" s="18" t="e">
        <f t="shared" si="480"/>
        <v>#N/A</v>
      </c>
      <c r="BL392" s="18" t="e">
        <f t="shared" si="481"/>
        <v>#N/A</v>
      </c>
      <c r="BM392" s="28" t="e">
        <f t="shared" si="527"/>
        <v>#N/A</v>
      </c>
      <c r="BN392" s="33">
        <f>HLOOKUP("maximum population",Miscelaneous!$C$1:$C$33,CH392+3,FALSE)</f>
        <v>240</v>
      </c>
      <c r="BO392" s="14">
        <f t="shared" si="493"/>
        <v>32</v>
      </c>
      <c r="BP392" s="14">
        <f t="shared" si="494"/>
        <v>0</v>
      </c>
      <c r="BQ392" s="14">
        <f t="shared" si="495"/>
        <v>208</v>
      </c>
      <c r="BR392" s="34" t="e">
        <f>HLOOKUP(J392,Villagers!$B$1:$V$33,L392+3,FALSE)-HLOOKUP(J392,Villagers!$B$1:$V$33,L392+2,FALSE)</f>
        <v>#N/A</v>
      </c>
      <c r="BS392" s="49">
        <f t="shared" si="496"/>
        <v>1</v>
      </c>
      <c r="BT392" s="50">
        <f t="shared" si="497"/>
        <v>0</v>
      </c>
      <c r="BU392" s="50">
        <f t="shared" si="498"/>
        <v>0</v>
      </c>
      <c r="BV392" s="50">
        <f t="shared" si="499"/>
        <v>0</v>
      </c>
      <c r="BW392" s="50">
        <f t="shared" si="555"/>
        <v>0</v>
      </c>
      <c r="BX392" s="50">
        <f t="shared" si="556"/>
        <v>0</v>
      </c>
      <c r="BY392" s="50">
        <f t="shared" si="556"/>
        <v>0</v>
      </c>
      <c r="BZ392" s="50">
        <f t="shared" si="530"/>
        <v>0</v>
      </c>
      <c r="CA392" s="50">
        <f t="shared" si="531"/>
        <v>0</v>
      </c>
      <c r="CB392" s="50">
        <f t="shared" si="532"/>
        <v>1</v>
      </c>
      <c r="CC392" s="50">
        <f t="shared" si="533"/>
        <v>0</v>
      </c>
      <c r="CD392" s="50">
        <f t="shared" si="534"/>
        <v>0</v>
      </c>
      <c r="CE392" s="50">
        <f t="shared" si="535"/>
        <v>1</v>
      </c>
      <c r="CF392" s="50">
        <f t="shared" si="536"/>
        <v>1</v>
      </c>
      <c r="CG392" s="50">
        <f t="shared" si="537"/>
        <v>1</v>
      </c>
      <c r="CH392" s="50">
        <f t="shared" si="538"/>
        <v>1</v>
      </c>
      <c r="CI392" s="50">
        <f t="shared" si="539"/>
        <v>1</v>
      </c>
      <c r="CJ392" s="50">
        <f t="shared" si="540"/>
        <v>1</v>
      </c>
      <c r="CK392" s="50">
        <f t="shared" si="540"/>
        <v>0</v>
      </c>
      <c r="CL392" s="50">
        <f t="shared" si="540"/>
        <v>0</v>
      </c>
      <c r="CM392" s="51">
        <f t="shared" si="482"/>
        <v>0</v>
      </c>
      <c r="CN392" s="33">
        <f>ROUND(IF(BS392=0,0,HLOOKUP(BS$14,Villagers!$B$1:$V$33,BS392+3,FALSE)),)</f>
        <v>5</v>
      </c>
      <c r="CO392" s="14">
        <f>ROUND(IF(BT392=0,0,HLOOKUP(BT$14,Villagers!$B$1:$V$33,BT392+3,FALSE)),)</f>
        <v>0</v>
      </c>
      <c r="CP392" s="14">
        <f>ROUND(IF(BU392=0,0,HLOOKUP(BU$14,Villagers!$B$1:$V$33,BU392+3,FALSE)),)</f>
        <v>0</v>
      </c>
      <c r="CQ392" s="14">
        <f>ROUND(IF(BV392=0,0,HLOOKUP(BV$14,Villagers!$B$1:$V$33,BV392+3,FALSE)),)</f>
        <v>0</v>
      </c>
      <c r="CR392" s="14">
        <f>ROUND(IF(BW392=0,0,HLOOKUP(BW$14,Villagers!$B$1:$V$33,BW392+3,FALSE)),)</f>
        <v>0</v>
      </c>
      <c r="CS392" s="14">
        <f>ROUND(IF(BX392=0,0,HLOOKUP(BX$14,Villagers!$B$1:$V$33,BX392+3,FALSE)),)</f>
        <v>0</v>
      </c>
      <c r="CT392" s="14">
        <f>ROUND(IF(BY392=0,0,HLOOKUP(BY$14,Villagers!$B$1:$V$33,BY392+3,FALSE)),)</f>
        <v>0</v>
      </c>
      <c r="CU392" s="14">
        <f>ROUND(IF(BZ392=0,0,HLOOKUP(BZ$14,Villagers!$B$1:$V$33,BZ392+3,FALSE)),)</f>
        <v>0</v>
      </c>
      <c r="CV392" s="14">
        <f>ROUND(IF(CA392=0,0,HLOOKUP(CA$14,Villagers!$B$1:$V$33,CA392+3,FALSE)),)</f>
        <v>0</v>
      </c>
      <c r="CW392" s="14">
        <f>ROUND(IF(CB392=0,0,HLOOKUP(CB$14,Villagers!$B$1:$V$33,CB392+3,FALSE)),)</f>
        <v>0</v>
      </c>
      <c r="CX392" s="14">
        <f>ROUND(IF(CC392=0,0,HLOOKUP(CC$14,Villagers!$B$1:$V$33,CC392+3,FALSE)),)</f>
        <v>0</v>
      </c>
      <c r="CY392" s="14">
        <f>ROUND(IF(CD392=0,0,HLOOKUP(CD$14,Villagers!$B$1:$V$33,CD392+3,FALSE)),)</f>
        <v>0</v>
      </c>
      <c r="CZ392" s="14">
        <f>ROUND(IF(CE392=0,0,HLOOKUP(CE$14,Villagers!$B$1:$V$33,CE392+3,FALSE)),)</f>
        <v>5</v>
      </c>
      <c r="DA392" s="14">
        <f>ROUND(IF(CF392=0,0,HLOOKUP(CF$14,Villagers!$B$1:$V$33,CF392+3,FALSE)),)</f>
        <v>10</v>
      </c>
      <c r="DB392" s="14">
        <f>ROUND(IF(CG392=0,0,HLOOKUP(CG$14,Villagers!$B$1:$V$33,CG392+3,FALSE)),)</f>
        <v>10</v>
      </c>
      <c r="DC392" s="14">
        <f>ROUND(IF(CH392=0,0,HLOOKUP(CH$14,Villagers!$B$1:$V$33,CH392+3,FALSE)),)</f>
        <v>0</v>
      </c>
      <c r="DD392" s="14">
        <f>ROUND(IF(CI392=0,0,HLOOKUP(CI$14,Villagers!$B$1:$V$33,CI392+3,FALSE)),)</f>
        <v>0</v>
      </c>
      <c r="DE392" s="14">
        <f>ROUND(IF(CJ392=0,0,HLOOKUP(CJ$14,Villagers!$B$1:$V$33,CJ392+3,FALSE)),)</f>
        <v>2</v>
      </c>
      <c r="DF392" s="370">
        <f>ROUND(IF(CK392=0,0,HLOOKUP(CK$14,Villagers!$B$1:$V$33,CK392+3,FALSE)),)</f>
        <v>0</v>
      </c>
      <c r="DG392" s="370">
        <f>ROUND(IF(CL392=0,0,HLOOKUP(CL$14,Villagers!$B$1:$V$33,CL392+3,FALSE)),)</f>
        <v>0</v>
      </c>
      <c r="DH392" s="34">
        <f>ROUND(IF(CM392=0,0,HLOOKUP(CM$14,Villagers!$B$1:$V$33,CM392+3,FALSE)),)</f>
        <v>0</v>
      </c>
      <c r="DI392" s="109">
        <f t="shared" si="516"/>
        <v>0</v>
      </c>
      <c r="DJ392" s="50">
        <f t="shared" si="517"/>
        <v>0</v>
      </c>
      <c r="DK392" s="50">
        <f t="shared" si="518"/>
        <v>0</v>
      </c>
      <c r="DL392" s="50">
        <f t="shared" si="519"/>
        <v>0</v>
      </c>
      <c r="DM392" s="50">
        <f t="shared" si="520"/>
        <v>0</v>
      </c>
      <c r="DN392" s="50">
        <f t="shared" si="521"/>
        <v>0</v>
      </c>
      <c r="DO392" s="50">
        <f t="shared" si="522"/>
        <v>0</v>
      </c>
      <c r="DP392" s="50">
        <f t="shared" si="523"/>
        <v>0</v>
      </c>
      <c r="DQ392" s="50">
        <f t="shared" si="501"/>
        <v>0</v>
      </c>
      <c r="DR392" s="50">
        <f t="shared" si="502"/>
        <v>0</v>
      </c>
      <c r="DS392" s="96">
        <f>Miscelaneous!$D$4*Miscelaneous!$D$2^($CI392-1)</f>
        <v>1000</v>
      </c>
      <c r="DT392" s="333">
        <f t="shared" si="483"/>
        <v>1</v>
      </c>
      <c r="DU392" s="81">
        <v>1</v>
      </c>
      <c r="DV392" s="79">
        <f t="shared" si="503"/>
        <v>0</v>
      </c>
      <c r="DW392" s="79">
        <f t="shared" si="504"/>
        <v>0</v>
      </c>
      <c r="DX392" s="79">
        <f t="shared" si="505"/>
        <v>0</v>
      </c>
      <c r="DY392" s="79">
        <v>1</v>
      </c>
      <c r="DZ392" s="79">
        <f t="shared" si="506"/>
        <v>0</v>
      </c>
      <c r="EA392" s="79">
        <f t="shared" si="507"/>
        <v>0</v>
      </c>
      <c r="EB392" s="79">
        <f t="shared" si="508"/>
        <v>0</v>
      </c>
      <c r="EC392" s="79">
        <f t="shared" si="509"/>
        <v>0</v>
      </c>
      <c r="ED392" s="79">
        <v>1</v>
      </c>
      <c r="EE392" s="79">
        <v>1</v>
      </c>
      <c r="EF392" s="79">
        <f t="shared" si="510"/>
        <v>0</v>
      </c>
      <c r="EG392" s="79">
        <v>1</v>
      </c>
      <c r="EH392" s="79">
        <v>1</v>
      </c>
      <c r="EI392" s="79">
        <v>1</v>
      </c>
      <c r="EJ392" s="79">
        <v>1</v>
      </c>
      <c r="EK392" s="79">
        <v>1</v>
      </c>
      <c r="EL392" s="79">
        <v>1</v>
      </c>
      <c r="EM392" s="143">
        <f t="shared" si="511"/>
        <v>0</v>
      </c>
      <c r="EN392" s="143">
        <f t="shared" si="512"/>
        <v>0</v>
      </c>
      <c r="EO392" s="82">
        <f t="shared" si="513"/>
        <v>0</v>
      </c>
    </row>
    <row r="393" spans="1:145" x14ac:dyDescent="0.25">
      <c r="A393">
        <v>379</v>
      </c>
      <c r="B393" s="172" t="e">
        <f t="shared" si="484"/>
        <v>#N/A</v>
      </c>
      <c r="C393" s="121" t="e">
        <f t="shared" si="462"/>
        <v>#N/A</v>
      </c>
      <c r="D393" s="122" t="e">
        <f t="shared" si="463"/>
        <v>#N/A</v>
      </c>
      <c r="E393" s="122" t="e">
        <f t="shared" si="464"/>
        <v>#N/A</v>
      </c>
      <c r="F393" s="176" t="e">
        <f t="shared" si="465"/>
        <v>#N/A</v>
      </c>
      <c r="G393" s="121">
        <f t="shared" si="485"/>
        <v>208</v>
      </c>
      <c r="H393" s="176" t="e">
        <f t="shared" si="486"/>
        <v>#N/A</v>
      </c>
      <c r="I393" s="48">
        <v>1</v>
      </c>
      <c r="J393" s="39"/>
      <c r="K393" s="350">
        <v>1</v>
      </c>
      <c r="L393" s="34" t="e">
        <f t="shared" si="466"/>
        <v>#N/A</v>
      </c>
      <c r="M393" s="38" t="e">
        <f>(HLOOKUP(J393,'Construction Times'!$B$3:$W$34,L393+2,FALSE)*HLOOKUP("hq modifier",'Construction Times'!$W$3:$W$34,BS393+2,FALSE))*(1-$H$9)</f>
        <v>#N/A</v>
      </c>
      <c r="N393" s="443" t="e">
        <f t="shared" si="487"/>
        <v>#N/A</v>
      </c>
      <c r="O393" s="444"/>
      <c r="P393" s="447" t="e">
        <f t="shared" si="488"/>
        <v>#N/A</v>
      </c>
      <c r="Q393" s="448"/>
      <c r="R393" s="103">
        <f t="shared" si="548"/>
        <v>0</v>
      </c>
      <c r="S393" s="104">
        <f t="shared" si="548"/>
        <v>0</v>
      </c>
      <c r="T393" s="104">
        <f t="shared" si="549"/>
        <v>0</v>
      </c>
      <c r="U393" s="104">
        <f t="shared" si="549"/>
        <v>0</v>
      </c>
      <c r="V393" s="104">
        <f t="shared" si="549"/>
        <v>9.9999999999999995E-8</v>
      </c>
      <c r="W393" s="104">
        <f t="shared" si="549"/>
        <v>0</v>
      </c>
      <c r="X393" s="104">
        <f t="shared" si="545"/>
        <v>0</v>
      </c>
      <c r="Y393" s="104">
        <f t="shared" si="545"/>
        <v>9.9999999999999995E-8</v>
      </c>
      <c r="Z393" s="104">
        <f t="shared" si="545"/>
        <v>9.9999999999999995E-8</v>
      </c>
      <c r="AA393" s="105">
        <f t="shared" si="545"/>
        <v>9.9999999999999995E-8</v>
      </c>
      <c r="AB393" s="101" t="e">
        <f>$DT393*HLOOKUP($J393,'Construction Costs (timber)'!$B$1:$V$32,'Construction Planner'!$L393+2,FALSE)</f>
        <v>#N/A</v>
      </c>
      <c r="AC393" s="14" t="e">
        <f>$DT393*HLOOKUP($J393,'Construction Costs (clay)'!$B$1:$V$32,'Construction Planner'!$L393+2,FALSE)</f>
        <v>#N/A</v>
      </c>
      <c r="AD393" s="14" t="e">
        <f>$DT393*HLOOKUP($J393,'Construction Costs (iron)'!$B$1:$V$32,'Construction Planner'!$L393+2,FALSE)</f>
        <v>#N/A</v>
      </c>
      <c r="AE393" s="34" t="e">
        <f t="shared" si="524"/>
        <v>#N/A</v>
      </c>
      <c r="AF393" s="33" t="e">
        <f t="shared" si="467"/>
        <v>#N/A</v>
      </c>
      <c r="AG393" s="14" t="e">
        <f t="shared" si="468"/>
        <v>#N/A</v>
      </c>
      <c r="AH393" s="14" t="e">
        <f t="shared" si="469"/>
        <v>#N/A</v>
      </c>
      <c r="AI393" s="34" t="e">
        <f t="shared" si="525"/>
        <v>#N/A</v>
      </c>
      <c r="AJ393" s="49" t="e">
        <f t="shared" si="489"/>
        <v>#N/A</v>
      </c>
      <c r="AK393" s="49" t="e">
        <f t="shared" si="490"/>
        <v>#N/A</v>
      </c>
      <c r="AL393" s="49" t="e">
        <f t="shared" si="491"/>
        <v>#N/A</v>
      </c>
      <c r="AM393" s="25">
        <f t="shared" si="470"/>
        <v>30</v>
      </c>
      <c r="AN393" s="25">
        <f t="shared" si="471"/>
        <v>30</v>
      </c>
      <c r="AO393" s="25">
        <f t="shared" si="472"/>
        <v>30</v>
      </c>
      <c r="AP393" s="52" t="e">
        <f t="shared" si="546"/>
        <v>#N/A</v>
      </c>
      <c r="AQ393" s="53" t="e">
        <f t="shared" si="546"/>
        <v>#N/A</v>
      </c>
      <c r="AR393" s="54" t="e">
        <f t="shared" si="546"/>
        <v>#N/A</v>
      </c>
      <c r="AS393" s="316">
        <f t="shared" si="554"/>
        <v>0</v>
      </c>
      <c r="AT393" s="106">
        <f>_xlfn.IFNA($M393/VLOOKUP($BT393,'Unit information'!$A$2:$K$29,2,FALSE)*R393,0)*(1+$E$9)</f>
        <v>0</v>
      </c>
      <c r="AU393" s="107">
        <f>_xlfn.IFNA($M393/VLOOKUP($BT393,'Unit information'!$A$2:$K$29,3,FALSE)*S393,0)*(1+$E$9)</f>
        <v>0</v>
      </c>
      <c r="AV393" s="107">
        <f>_xlfn.IFNA($M393/VLOOKUP($BT393,'Unit information'!$A$2:$K$29,4,FALSE)*T393,0)*(1+$E$9)</f>
        <v>0</v>
      </c>
      <c r="AW393" s="107">
        <f>_xlfn.IFNA($M393/VLOOKUP($BT393,'Unit information'!$A$2:$K$29,5,FALSE)*U393,0)*(1+$E$9)</f>
        <v>0</v>
      </c>
      <c r="AX393" s="107">
        <f>_xlfn.IFNA($M393/VLOOKUP($BU393,'Unit information'!$A$2:$K$29,6,FALSE)*V393,0)*(1+$E$9)</f>
        <v>0</v>
      </c>
      <c r="AY393" s="107">
        <f>_xlfn.IFNA($M393/VLOOKUP($BU393,'Unit information'!$A$2:$K$29,7,FALSE)*W393,0)*(1+$E$9)</f>
        <v>0</v>
      </c>
      <c r="AZ393" s="107">
        <f>_xlfn.IFNA($M393/VLOOKUP($BU393,'Unit information'!$A$2:$K$29,8,FALSE)*X393,0)*(1+$E$9)</f>
        <v>0</v>
      </c>
      <c r="BA393" s="107">
        <f>_xlfn.IFNA($M393/VLOOKUP($BU393,'Unit information'!$A$2:$K$29,9,FALSE)*Y393,0)*(1+$E$9)</f>
        <v>0</v>
      </c>
      <c r="BB393" s="107">
        <f>_xlfn.IFNA($M393/VLOOKUP($BV393,'Unit information'!$A$2:$K$29,10,FALSE)*Z393,0)*(1+$E$9)</f>
        <v>0</v>
      </c>
      <c r="BC393" s="108">
        <f>_xlfn.IFNA($M393/VLOOKUP($BV393,'Unit information'!$A$2:$K$29,11,FALSE)*AA393,0)*(1+$E$9)</f>
        <v>0</v>
      </c>
      <c r="BD393" s="106">
        <f t="shared" si="473"/>
        <v>0</v>
      </c>
      <c r="BE393" s="107">
        <f t="shared" si="474"/>
        <v>0</v>
      </c>
      <c r="BF393" s="108">
        <f t="shared" si="475"/>
        <v>0</v>
      </c>
      <c r="BG393" s="25" t="e">
        <f t="shared" si="476"/>
        <v>#N/A</v>
      </c>
      <c r="BH393" s="25" t="e">
        <f t="shared" si="477"/>
        <v>#N/A</v>
      </c>
      <c r="BI393" s="25" t="e">
        <f t="shared" si="478"/>
        <v>#N/A</v>
      </c>
      <c r="BJ393" s="27" t="e">
        <f t="shared" si="479"/>
        <v>#N/A</v>
      </c>
      <c r="BK393" s="18" t="e">
        <f t="shared" si="480"/>
        <v>#N/A</v>
      </c>
      <c r="BL393" s="18" t="e">
        <f t="shared" si="481"/>
        <v>#N/A</v>
      </c>
      <c r="BM393" s="28" t="e">
        <f t="shared" si="527"/>
        <v>#N/A</v>
      </c>
      <c r="BN393" s="33">
        <f>HLOOKUP("maximum population",Miscelaneous!$C$1:$C$33,CH393+3,FALSE)</f>
        <v>240</v>
      </c>
      <c r="BO393" s="14">
        <f t="shared" si="493"/>
        <v>32</v>
      </c>
      <c r="BP393" s="14">
        <f t="shared" si="494"/>
        <v>0</v>
      </c>
      <c r="BQ393" s="14">
        <f t="shared" si="495"/>
        <v>208</v>
      </c>
      <c r="BR393" s="34" t="e">
        <f>HLOOKUP(J393,Villagers!$B$1:$V$33,L393+3,FALSE)-HLOOKUP(J393,Villagers!$B$1:$V$33,L393+2,FALSE)</f>
        <v>#N/A</v>
      </c>
      <c r="BS393" s="49">
        <f t="shared" si="496"/>
        <v>1</v>
      </c>
      <c r="BT393" s="50">
        <f t="shared" si="497"/>
        <v>0</v>
      </c>
      <c r="BU393" s="50">
        <f t="shared" si="498"/>
        <v>0</v>
      </c>
      <c r="BV393" s="50">
        <f t="shared" si="499"/>
        <v>0</v>
      </c>
      <c r="BW393" s="50">
        <f t="shared" si="555"/>
        <v>0</v>
      </c>
      <c r="BX393" s="50">
        <f t="shared" si="556"/>
        <v>0</v>
      </c>
      <c r="BY393" s="50">
        <f t="shared" si="556"/>
        <v>0</v>
      </c>
      <c r="BZ393" s="50">
        <f t="shared" si="530"/>
        <v>0</v>
      </c>
      <c r="CA393" s="50">
        <f t="shared" si="531"/>
        <v>0</v>
      </c>
      <c r="CB393" s="50">
        <f t="shared" si="532"/>
        <v>1</v>
      </c>
      <c r="CC393" s="50">
        <f t="shared" si="533"/>
        <v>0</v>
      </c>
      <c r="CD393" s="50">
        <f t="shared" si="534"/>
        <v>0</v>
      </c>
      <c r="CE393" s="50">
        <f t="shared" si="535"/>
        <v>1</v>
      </c>
      <c r="CF393" s="50">
        <f t="shared" si="536"/>
        <v>1</v>
      </c>
      <c r="CG393" s="50">
        <f t="shared" si="537"/>
        <v>1</v>
      </c>
      <c r="CH393" s="50">
        <f t="shared" si="538"/>
        <v>1</v>
      </c>
      <c r="CI393" s="50">
        <f t="shared" si="539"/>
        <v>1</v>
      </c>
      <c r="CJ393" s="50">
        <f t="shared" si="540"/>
        <v>1</v>
      </c>
      <c r="CK393" s="50">
        <f t="shared" si="540"/>
        <v>0</v>
      </c>
      <c r="CL393" s="50">
        <f t="shared" si="540"/>
        <v>0</v>
      </c>
      <c r="CM393" s="51">
        <f t="shared" si="482"/>
        <v>0</v>
      </c>
      <c r="CN393" s="33">
        <f>ROUND(IF(BS393=0,0,HLOOKUP(BS$14,Villagers!$B$1:$V$33,BS393+3,FALSE)),)</f>
        <v>5</v>
      </c>
      <c r="CO393" s="14">
        <f>ROUND(IF(BT393=0,0,HLOOKUP(BT$14,Villagers!$B$1:$V$33,BT393+3,FALSE)),)</f>
        <v>0</v>
      </c>
      <c r="CP393" s="14">
        <f>ROUND(IF(BU393=0,0,HLOOKUP(BU$14,Villagers!$B$1:$V$33,BU393+3,FALSE)),)</f>
        <v>0</v>
      </c>
      <c r="CQ393" s="14">
        <f>ROUND(IF(BV393=0,0,HLOOKUP(BV$14,Villagers!$B$1:$V$33,BV393+3,FALSE)),)</f>
        <v>0</v>
      </c>
      <c r="CR393" s="14">
        <f>ROUND(IF(BW393=0,0,HLOOKUP(BW$14,Villagers!$B$1:$V$33,BW393+3,FALSE)),)</f>
        <v>0</v>
      </c>
      <c r="CS393" s="14">
        <f>ROUND(IF(BX393=0,0,HLOOKUP(BX$14,Villagers!$B$1:$V$33,BX393+3,FALSE)),)</f>
        <v>0</v>
      </c>
      <c r="CT393" s="14">
        <f>ROUND(IF(BY393=0,0,HLOOKUP(BY$14,Villagers!$B$1:$V$33,BY393+3,FALSE)),)</f>
        <v>0</v>
      </c>
      <c r="CU393" s="14">
        <f>ROUND(IF(BZ393=0,0,HLOOKUP(BZ$14,Villagers!$B$1:$V$33,BZ393+3,FALSE)),)</f>
        <v>0</v>
      </c>
      <c r="CV393" s="14">
        <f>ROUND(IF(CA393=0,0,HLOOKUP(CA$14,Villagers!$B$1:$V$33,CA393+3,FALSE)),)</f>
        <v>0</v>
      </c>
      <c r="CW393" s="14">
        <f>ROUND(IF(CB393=0,0,HLOOKUP(CB$14,Villagers!$B$1:$V$33,CB393+3,FALSE)),)</f>
        <v>0</v>
      </c>
      <c r="CX393" s="14">
        <f>ROUND(IF(CC393=0,0,HLOOKUP(CC$14,Villagers!$B$1:$V$33,CC393+3,FALSE)),)</f>
        <v>0</v>
      </c>
      <c r="CY393" s="14">
        <f>ROUND(IF(CD393=0,0,HLOOKUP(CD$14,Villagers!$B$1:$V$33,CD393+3,FALSE)),)</f>
        <v>0</v>
      </c>
      <c r="CZ393" s="14">
        <f>ROUND(IF(CE393=0,0,HLOOKUP(CE$14,Villagers!$B$1:$V$33,CE393+3,FALSE)),)</f>
        <v>5</v>
      </c>
      <c r="DA393" s="14">
        <f>ROUND(IF(CF393=0,0,HLOOKUP(CF$14,Villagers!$B$1:$V$33,CF393+3,FALSE)),)</f>
        <v>10</v>
      </c>
      <c r="DB393" s="14">
        <f>ROUND(IF(CG393=0,0,HLOOKUP(CG$14,Villagers!$B$1:$V$33,CG393+3,FALSE)),)</f>
        <v>10</v>
      </c>
      <c r="DC393" s="14">
        <f>ROUND(IF(CH393=0,0,HLOOKUP(CH$14,Villagers!$B$1:$V$33,CH393+3,FALSE)),)</f>
        <v>0</v>
      </c>
      <c r="DD393" s="14">
        <f>ROUND(IF(CI393=0,0,HLOOKUP(CI$14,Villagers!$B$1:$V$33,CI393+3,FALSE)),)</f>
        <v>0</v>
      </c>
      <c r="DE393" s="14">
        <f>ROUND(IF(CJ393=0,0,HLOOKUP(CJ$14,Villagers!$B$1:$V$33,CJ393+3,FALSE)),)</f>
        <v>2</v>
      </c>
      <c r="DF393" s="370">
        <f>ROUND(IF(CK393=0,0,HLOOKUP(CK$14,Villagers!$B$1:$V$33,CK393+3,FALSE)),)</f>
        <v>0</v>
      </c>
      <c r="DG393" s="370">
        <f>ROUND(IF(CL393=0,0,HLOOKUP(CL$14,Villagers!$B$1:$V$33,CL393+3,FALSE)),)</f>
        <v>0</v>
      </c>
      <c r="DH393" s="34">
        <f>ROUND(IF(CM393=0,0,HLOOKUP(CM$14,Villagers!$B$1:$V$33,CM393+3,FALSE)),)</f>
        <v>0</v>
      </c>
      <c r="DI393" s="109">
        <f t="shared" si="516"/>
        <v>0</v>
      </c>
      <c r="DJ393" s="50">
        <f t="shared" si="517"/>
        <v>0</v>
      </c>
      <c r="DK393" s="50">
        <f t="shared" si="518"/>
        <v>0</v>
      </c>
      <c r="DL393" s="50">
        <f t="shared" si="519"/>
        <v>0</v>
      </c>
      <c r="DM393" s="50">
        <f t="shared" si="520"/>
        <v>0</v>
      </c>
      <c r="DN393" s="50">
        <f t="shared" si="521"/>
        <v>0</v>
      </c>
      <c r="DO393" s="50">
        <f t="shared" si="522"/>
        <v>0</v>
      </c>
      <c r="DP393" s="50">
        <f t="shared" si="523"/>
        <v>0</v>
      </c>
      <c r="DQ393" s="50">
        <f t="shared" si="501"/>
        <v>0</v>
      </c>
      <c r="DR393" s="50">
        <f t="shared" si="502"/>
        <v>0</v>
      </c>
      <c r="DS393" s="96">
        <f>Miscelaneous!$D$4*Miscelaneous!$D$2^($CI393-1)</f>
        <v>1000</v>
      </c>
      <c r="DT393" s="333">
        <f t="shared" si="483"/>
        <v>1</v>
      </c>
      <c r="DU393" s="81">
        <v>1</v>
      </c>
      <c r="DV393" s="79">
        <f t="shared" si="503"/>
        <v>0</v>
      </c>
      <c r="DW393" s="79">
        <f t="shared" si="504"/>
        <v>0</v>
      </c>
      <c r="DX393" s="79">
        <f t="shared" si="505"/>
        <v>0</v>
      </c>
      <c r="DY393" s="79">
        <v>1</v>
      </c>
      <c r="DZ393" s="79">
        <f t="shared" si="506"/>
        <v>0</v>
      </c>
      <c r="EA393" s="79">
        <f t="shared" si="507"/>
        <v>0</v>
      </c>
      <c r="EB393" s="79">
        <f t="shared" si="508"/>
        <v>0</v>
      </c>
      <c r="EC393" s="79">
        <f t="shared" si="509"/>
        <v>0</v>
      </c>
      <c r="ED393" s="79">
        <v>1</v>
      </c>
      <c r="EE393" s="79">
        <v>1</v>
      </c>
      <c r="EF393" s="79">
        <f t="shared" si="510"/>
        <v>0</v>
      </c>
      <c r="EG393" s="79">
        <v>1</v>
      </c>
      <c r="EH393" s="79">
        <v>1</v>
      </c>
      <c r="EI393" s="79">
        <v>1</v>
      </c>
      <c r="EJ393" s="79">
        <v>1</v>
      </c>
      <c r="EK393" s="79">
        <v>1</v>
      </c>
      <c r="EL393" s="79">
        <v>1</v>
      </c>
      <c r="EM393" s="143">
        <f t="shared" si="511"/>
        <v>0</v>
      </c>
      <c r="EN393" s="143">
        <f t="shared" si="512"/>
        <v>0</v>
      </c>
      <c r="EO393" s="82">
        <f t="shared" si="513"/>
        <v>0</v>
      </c>
    </row>
    <row r="394" spans="1:145" x14ac:dyDescent="0.25">
      <c r="A394">
        <v>380</v>
      </c>
      <c r="B394" s="172" t="e">
        <f t="shared" si="484"/>
        <v>#N/A</v>
      </c>
      <c r="C394" s="121" t="e">
        <f t="shared" si="462"/>
        <v>#N/A</v>
      </c>
      <c r="D394" s="122" t="e">
        <f t="shared" si="463"/>
        <v>#N/A</v>
      </c>
      <c r="E394" s="122" t="e">
        <f t="shared" si="464"/>
        <v>#N/A</v>
      </c>
      <c r="F394" s="176" t="e">
        <f t="shared" si="465"/>
        <v>#N/A</v>
      </c>
      <c r="G394" s="121">
        <f t="shared" si="485"/>
        <v>208</v>
      </c>
      <c r="H394" s="176" t="e">
        <f t="shared" si="486"/>
        <v>#N/A</v>
      </c>
      <c r="I394" s="48">
        <v>1</v>
      </c>
      <c r="J394" s="39"/>
      <c r="K394" s="350">
        <v>1</v>
      </c>
      <c r="L394" s="34" t="e">
        <f t="shared" si="466"/>
        <v>#N/A</v>
      </c>
      <c r="M394" s="38" t="e">
        <f>(HLOOKUP(J394,'Construction Times'!$B$3:$W$34,L394+2,FALSE)*HLOOKUP("hq modifier",'Construction Times'!$W$3:$W$34,BS394+2,FALSE))*(1-$H$9)</f>
        <v>#N/A</v>
      </c>
      <c r="N394" s="443" t="e">
        <f t="shared" si="487"/>
        <v>#N/A</v>
      </c>
      <c r="O394" s="444"/>
      <c r="P394" s="447" t="e">
        <f t="shared" si="488"/>
        <v>#N/A</v>
      </c>
      <c r="Q394" s="448"/>
      <c r="R394" s="103">
        <f t="shared" si="548"/>
        <v>0</v>
      </c>
      <c r="S394" s="104">
        <f t="shared" si="548"/>
        <v>0</v>
      </c>
      <c r="T394" s="104">
        <f t="shared" si="549"/>
        <v>0</v>
      </c>
      <c r="U394" s="104">
        <f t="shared" si="549"/>
        <v>0</v>
      </c>
      <c r="V394" s="104">
        <f t="shared" si="549"/>
        <v>9.9999999999999995E-8</v>
      </c>
      <c r="W394" s="104">
        <f t="shared" si="549"/>
        <v>0</v>
      </c>
      <c r="X394" s="104">
        <f t="shared" si="545"/>
        <v>0</v>
      </c>
      <c r="Y394" s="104">
        <f t="shared" si="545"/>
        <v>9.9999999999999995E-8</v>
      </c>
      <c r="Z394" s="104">
        <f t="shared" si="545"/>
        <v>9.9999999999999995E-8</v>
      </c>
      <c r="AA394" s="105">
        <f t="shared" si="545"/>
        <v>9.9999999999999995E-8</v>
      </c>
      <c r="AB394" s="101" t="e">
        <f>$DT394*HLOOKUP($J394,'Construction Costs (timber)'!$B$1:$V$32,'Construction Planner'!$L394+2,FALSE)</f>
        <v>#N/A</v>
      </c>
      <c r="AC394" s="14" t="e">
        <f>$DT394*HLOOKUP($J394,'Construction Costs (clay)'!$B$1:$V$32,'Construction Planner'!$L394+2,FALSE)</f>
        <v>#N/A</v>
      </c>
      <c r="AD394" s="14" t="e">
        <f>$DT394*HLOOKUP($J394,'Construction Costs (iron)'!$B$1:$V$32,'Construction Planner'!$L394+2,FALSE)</f>
        <v>#N/A</v>
      </c>
      <c r="AE394" s="34" t="e">
        <f t="shared" si="524"/>
        <v>#N/A</v>
      </c>
      <c r="AF394" s="33" t="e">
        <f t="shared" si="467"/>
        <v>#N/A</v>
      </c>
      <c r="AG394" s="14" t="e">
        <f t="shared" si="468"/>
        <v>#N/A</v>
      </c>
      <c r="AH394" s="14" t="e">
        <f t="shared" si="469"/>
        <v>#N/A</v>
      </c>
      <c r="AI394" s="34" t="e">
        <f t="shared" si="525"/>
        <v>#N/A</v>
      </c>
      <c r="AJ394" s="49" t="e">
        <f t="shared" si="489"/>
        <v>#N/A</v>
      </c>
      <c r="AK394" s="49" t="e">
        <f t="shared" si="490"/>
        <v>#N/A</v>
      </c>
      <c r="AL394" s="49" t="e">
        <f t="shared" si="491"/>
        <v>#N/A</v>
      </c>
      <c r="AM394" s="25">
        <f t="shared" si="470"/>
        <v>30</v>
      </c>
      <c r="AN394" s="25">
        <f t="shared" si="471"/>
        <v>30</v>
      </c>
      <c r="AO394" s="25">
        <f t="shared" si="472"/>
        <v>30</v>
      </c>
      <c r="AP394" s="52" t="e">
        <f t="shared" si="546"/>
        <v>#N/A</v>
      </c>
      <c r="AQ394" s="53" t="e">
        <f t="shared" si="546"/>
        <v>#N/A</v>
      </c>
      <c r="AR394" s="54" t="e">
        <f t="shared" si="546"/>
        <v>#N/A</v>
      </c>
      <c r="AS394" s="316">
        <f t="shared" si="554"/>
        <v>0</v>
      </c>
      <c r="AT394" s="106">
        <f>_xlfn.IFNA($M394/VLOOKUP($BT394,'Unit information'!$A$2:$K$29,2,FALSE)*R394,0)*(1+$E$9)</f>
        <v>0</v>
      </c>
      <c r="AU394" s="107">
        <f>_xlfn.IFNA($M394/VLOOKUP($BT394,'Unit information'!$A$2:$K$29,3,FALSE)*S394,0)*(1+$E$9)</f>
        <v>0</v>
      </c>
      <c r="AV394" s="107">
        <f>_xlfn.IFNA($M394/VLOOKUP($BT394,'Unit information'!$A$2:$K$29,4,FALSE)*T394,0)*(1+$E$9)</f>
        <v>0</v>
      </c>
      <c r="AW394" s="107">
        <f>_xlfn.IFNA($M394/VLOOKUP($BT394,'Unit information'!$A$2:$K$29,5,FALSE)*U394,0)*(1+$E$9)</f>
        <v>0</v>
      </c>
      <c r="AX394" s="107">
        <f>_xlfn.IFNA($M394/VLOOKUP($BU394,'Unit information'!$A$2:$K$29,6,FALSE)*V394,0)*(1+$E$9)</f>
        <v>0</v>
      </c>
      <c r="AY394" s="107">
        <f>_xlfn.IFNA($M394/VLOOKUP($BU394,'Unit information'!$A$2:$K$29,7,FALSE)*W394,0)*(1+$E$9)</f>
        <v>0</v>
      </c>
      <c r="AZ394" s="107">
        <f>_xlfn.IFNA($M394/VLOOKUP($BU394,'Unit information'!$A$2:$K$29,8,FALSE)*X394,0)*(1+$E$9)</f>
        <v>0</v>
      </c>
      <c r="BA394" s="107">
        <f>_xlfn.IFNA($M394/VLOOKUP($BU394,'Unit information'!$A$2:$K$29,9,FALSE)*Y394,0)*(1+$E$9)</f>
        <v>0</v>
      </c>
      <c r="BB394" s="107">
        <f>_xlfn.IFNA($M394/VLOOKUP($BV394,'Unit information'!$A$2:$K$29,10,FALSE)*Z394,0)*(1+$E$9)</f>
        <v>0</v>
      </c>
      <c r="BC394" s="108">
        <f>_xlfn.IFNA($M394/VLOOKUP($BV394,'Unit information'!$A$2:$K$29,11,FALSE)*AA394,0)*(1+$E$9)</f>
        <v>0</v>
      </c>
      <c r="BD394" s="106">
        <f t="shared" si="473"/>
        <v>0</v>
      </c>
      <c r="BE394" s="107">
        <f t="shared" si="474"/>
        <v>0</v>
      </c>
      <c r="BF394" s="108">
        <f t="shared" si="475"/>
        <v>0</v>
      </c>
      <c r="BG394" s="25" t="e">
        <f t="shared" si="476"/>
        <v>#N/A</v>
      </c>
      <c r="BH394" s="25" t="e">
        <f t="shared" si="477"/>
        <v>#N/A</v>
      </c>
      <c r="BI394" s="25" t="e">
        <f t="shared" si="478"/>
        <v>#N/A</v>
      </c>
      <c r="BJ394" s="27" t="e">
        <f t="shared" si="479"/>
        <v>#N/A</v>
      </c>
      <c r="BK394" s="18" t="e">
        <f t="shared" si="480"/>
        <v>#N/A</v>
      </c>
      <c r="BL394" s="18" t="e">
        <f t="shared" si="481"/>
        <v>#N/A</v>
      </c>
      <c r="BM394" s="28" t="e">
        <f t="shared" si="527"/>
        <v>#N/A</v>
      </c>
      <c r="BN394" s="33">
        <f>HLOOKUP("maximum population",Miscelaneous!$C$1:$C$33,CH394+3,FALSE)</f>
        <v>240</v>
      </c>
      <c r="BO394" s="14">
        <f t="shared" si="493"/>
        <v>32</v>
      </c>
      <c r="BP394" s="14">
        <f t="shared" si="494"/>
        <v>0</v>
      </c>
      <c r="BQ394" s="14">
        <f t="shared" si="495"/>
        <v>208</v>
      </c>
      <c r="BR394" s="34" t="e">
        <f>HLOOKUP(J394,Villagers!$B$1:$V$33,L394+3,FALSE)-HLOOKUP(J394,Villagers!$B$1:$V$33,L394+2,FALSE)</f>
        <v>#N/A</v>
      </c>
      <c r="BS394" s="49">
        <f t="shared" si="496"/>
        <v>1</v>
      </c>
      <c r="BT394" s="50">
        <f t="shared" si="497"/>
        <v>0</v>
      </c>
      <c r="BU394" s="50">
        <f t="shared" si="498"/>
        <v>0</v>
      </c>
      <c r="BV394" s="50">
        <f t="shared" si="499"/>
        <v>0</v>
      </c>
      <c r="BW394" s="50">
        <f t="shared" si="555"/>
        <v>0</v>
      </c>
      <c r="BX394" s="50">
        <f t="shared" si="556"/>
        <v>0</v>
      </c>
      <c r="BY394" s="50">
        <f t="shared" si="556"/>
        <v>0</v>
      </c>
      <c r="BZ394" s="50">
        <f t="shared" si="530"/>
        <v>0</v>
      </c>
      <c r="CA394" s="50">
        <f t="shared" si="531"/>
        <v>0</v>
      </c>
      <c r="CB394" s="50">
        <f t="shared" si="532"/>
        <v>1</v>
      </c>
      <c r="CC394" s="50">
        <f t="shared" si="533"/>
        <v>0</v>
      </c>
      <c r="CD394" s="50">
        <f t="shared" si="534"/>
        <v>0</v>
      </c>
      <c r="CE394" s="50">
        <f t="shared" si="535"/>
        <v>1</v>
      </c>
      <c r="CF394" s="50">
        <f t="shared" si="536"/>
        <v>1</v>
      </c>
      <c r="CG394" s="50">
        <f t="shared" si="537"/>
        <v>1</v>
      </c>
      <c r="CH394" s="50">
        <f t="shared" si="538"/>
        <v>1</v>
      </c>
      <c r="CI394" s="50">
        <f t="shared" si="539"/>
        <v>1</v>
      </c>
      <c r="CJ394" s="50">
        <f t="shared" si="540"/>
        <v>1</v>
      </c>
      <c r="CK394" s="50">
        <f t="shared" si="540"/>
        <v>0</v>
      </c>
      <c r="CL394" s="50">
        <f t="shared" si="540"/>
        <v>0</v>
      </c>
      <c r="CM394" s="51">
        <f t="shared" si="482"/>
        <v>0</v>
      </c>
      <c r="CN394" s="33">
        <f>ROUND(IF(BS394=0,0,HLOOKUP(BS$14,Villagers!$B$1:$V$33,BS394+3,FALSE)),)</f>
        <v>5</v>
      </c>
      <c r="CO394" s="14">
        <f>ROUND(IF(BT394=0,0,HLOOKUP(BT$14,Villagers!$B$1:$V$33,BT394+3,FALSE)),)</f>
        <v>0</v>
      </c>
      <c r="CP394" s="14">
        <f>ROUND(IF(BU394=0,0,HLOOKUP(BU$14,Villagers!$B$1:$V$33,BU394+3,FALSE)),)</f>
        <v>0</v>
      </c>
      <c r="CQ394" s="14">
        <f>ROUND(IF(BV394=0,0,HLOOKUP(BV$14,Villagers!$B$1:$V$33,BV394+3,FALSE)),)</f>
        <v>0</v>
      </c>
      <c r="CR394" s="14">
        <f>ROUND(IF(BW394=0,0,HLOOKUP(BW$14,Villagers!$B$1:$V$33,BW394+3,FALSE)),)</f>
        <v>0</v>
      </c>
      <c r="CS394" s="14">
        <f>ROUND(IF(BX394=0,0,HLOOKUP(BX$14,Villagers!$B$1:$V$33,BX394+3,FALSE)),)</f>
        <v>0</v>
      </c>
      <c r="CT394" s="14">
        <f>ROUND(IF(BY394=0,0,HLOOKUP(BY$14,Villagers!$B$1:$V$33,BY394+3,FALSE)),)</f>
        <v>0</v>
      </c>
      <c r="CU394" s="14">
        <f>ROUND(IF(BZ394=0,0,HLOOKUP(BZ$14,Villagers!$B$1:$V$33,BZ394+3,FALSE)),)</f>
        <v>0</v>
      </c>
      <c r="CV394" s="14">
        <f>ROUND(IF(CA394=0,0,HLOOKUP(CA$14,Villagers!$B$1:$V$33,CA394+3,FALSE)),)</f>
        <v>0</v>
      </c>
      <c r="CW394" s="14">
        <f>ROUND(IF(CB394=0,0,HLOOKUP(CB$14,Villagers!$B$1:$V$33,CB394+3,FALSE)),)</f>
        <v>0</v>
      </c>
      <c r="CX394" s="14">
        <f>ROUND(IF(CC394=0,0,HLOOKUP(CC$14,Villagers!$B$1:$V$33,CC394+3,FALSE)),)</f>
        <v>0</v>
      </c>
      <c r="CY394" s="14">
        <f>ROUND(IF(CD394=0,0,HLOOKUP(CD$14,Villagers!$B$1:$V$33,CD394+3,FALSE)),)</f>
        <v>0</v>
      </c>
      <c r="CZ394" s="14">
        <f>ROUND(IF(CE394=0,0,HLOOKUP(CE$14,Villagers!$B$1:$V$33,CE394+3,FALSE)),)</f>
        <v>5</v>
      </c>
      <c r="DA394" s="14">
        <f>ROUND(IF(CF394=0,0,HLOOKUP(CF$14,Villagers!$B$1:$V$33,CF394+3,FALSE)),)</f>
        <v>10</v>
      </c>
      <c r="DB394" s="14">
        <f>ROUND(IF(CG394=0,0,HLOOKUP(CG$14,Villagers!$B$1:$V$33,CG394+3,FALSE)),)</f>
        <v>10</v>
      </c>
      <c r="DC394" s="14">
        <f>ROUND(IF(CH394=0,0,HLOOKUP(CH$14,Villagers!$B$1:$V$33,CH394+3,FALSE)),)</f>
        <v>0</v>
      </c>
      <c r="DD394" s="14">
        <f>ROUND(IF(CI394=0,0,HLOOKUP(CI$14,Villagers!$B$1:$V$33,CI394+3,FALSE)),)</f>
        <v>0</v>
      </c>
      <c r="DE394" s="14">
        <f>ROUND(IF(CJ394=0,0,HLOOKUP(CJ$14,Villagers!$B$1:$V$33,CJ394+3,FALSE)),)</f>
        <v>2</v>
      </c>
      <c r="DF394" s="370">
        <f>ROUND(IF(CK394=0,0,HLOOKUP(CK$14,Villagers!$B$1:$V$33,CK394+3,FALSE)),)</f>
        <v>0</v>
      </c>
      <c r="DG394" s="370">
        <f>ROUND(IF(CL394=0,0,HLOOKUP(CL$14,Villagers!$B$1:$V$33,CL394+3,FALSE)),)</f>
        <v>0</v>
      </c>
      <c r="DH394" s="34">
        <f>ROUND(IF(CM394=0,0,HLOOKUP(CM$14,Villagers!$B$1:$V$33,CM394+3,FALSE)),)</f>
        <v>0</v>
      </c>
      <c r="DI394" s="109">
        <f t="shared" si="516"/>
        <v>0</v>
      </c>
      <c r="DJ394" s="50">
        <f t="shared" si="517"/>
        <v>0</v>
      </c>
      <c r="DK394" s="50">
        <f t="shared" si="518"/>
        <v>0</v>
      </c>
      <c r="DL394" s="50">
        <f t="shared" si="519"/>
        <v>0</v>
      </c>
      <c r="DM394" s="50">
        <f t="shared" si="520"/>
        <v>0</v>
      </c>
      <c r="DN394" s="50">
        <f t="shared" si="521"/>
        <v>0</v>
      </c>
      <c r="DO394" s="50">
        <f t="shared" si="522"/>
        <v>0</v>
      </c>
      <c r="DP394" s="50">
        <f t="shared" si="523"/>
        <v>0</v>
      </c>
      <c r="DQ394" s="50">
        <f t="shared" si="501"/>
        <v>0</v>
      </c>
      <c r="DR394" s="50">
        <f t="shared" si="502"/>
        <v>0</v>
      </c>
      <c r="DS394" s="96">
        <f>Miscelaneous!$D$4*Miscelaneous!$D$2^($CI394-1)</f>
        <v>1000</v>
      </c>
      <c r="DT394" s="333">
        <f t="shared" si="483"/>
        <v>1</v>
      </c>
      <c r="DU394" s="81">
        <v>1</v>
      </c>
      <c r="DV394" s="79">
        <f t="shared" si="503"/>
        <v>0</v>
      </c>
      <c r="DW394" s="79">
        <f t="shared" si="504"/>
        <v>0</v>
      </c>
      <c r="DX394" s="79">
        <f t="shared" si="505"/>
        <v>0</v>
      </c>
      <c r="DY394" s="79">
        <v>1</v>
      </c>
      <c r="DZ394" s="79">
        <f t="shared" si="506"/>
        <v>0</v>
      </c>
      <c r="EA394" s="79">
        <f t="shared" si="507"/>
        <v>0</v>
      </c>
      <c r="EB394" s="79">
        <f t="shared" si="508"/>
        <v>0</v>
      </c>
      <c r="EC394" s="79">
        <f t="shared" si="509"/>
        <v>0</v>
      </c>
      <c r="ED394" s="79">
        <v>1</v>
      </c>
      <c r="EE394" s="79">
        <v>1</v>
      </c>
      <c r="EF394" s="79">
        <f t="shared" si="510"/>
        <v>0</v>
      </c>
      <c r="EG394" s="79">
        <v>1</v>
      </c>
      <c r="EH394" s="79">
        <v>1</v>
      </c>
      <c r="EI394" s="79">
        <v>1</v>
      </c>
      <c r="EJ394" s="79">
        <v>1</v>
      </c>
      <c r="EK394" s="79">
        <v>1</v>
      </c>
      <c r="EL394" s="79">
        <v>1</v>
      </c>
      <c r="EM394" s="143">
        <f t="shared" si="511"/>
        <v>0</v>
      </c>
      <c r="EN394" s="143">
        <f t="shared" si="512"/>
        <v>0</v>
      </c>
      <c r="EO394" s="82">
        <f t="shared" si="513"/>
        <v>0</v>
      </c>
    </row>
    <row r="395" spans="1:145" x14ac:dyDescent="0.25">
      <c r="A395">
        <v>381</v>
      </c>
      <c r="B395" s="172" t="e">
        <f t="shared" si="484"/>
        <v>#N/A</v>
      </c>
      <c r="C395" s="121" t="e">
        <f t="shared" si="462"/>
        <v>#N/A</v>
      </c>
      <c r="D395" s="122" t="e">
        <f t="shared" si="463"/>
        <v>#N/A</v>
      </c>
      <c r="E395" s="122" t="e">
        <f t="shared" si="464"/>
        <v>#N/A</v>
      </c>
      <c r="F395" s="176" t="e">
        <f t="shared" si="465"/>
        <v>#N/A</v>
      </c>
      <c r="G395" s="121">
        <f t="shared" si="485"/>
        <v>208</v>
      </c>
      <c r="H395" s="176" t="e">
        <f t="shared" si="486"/>
        <v>#N/A</v>
      </c>
      <c r="I395" s="48">
        <v>1</v>
      </c>
      <c r="J395" s="39"/>
      <c r="K395" s="350">
        <v>1</v>
      </c>
      <c r="L395" s="34" t="e">
        <f t="shared" si="466"/>
        <v>#N/A</v>
      </c>
      <c r="M395" s="38" t="e">
        <f>(HLOOKUP(J395,'Construction Times'!$B$3:$W$34,L395+2,FALSE)*HLOOKUP("hq modifier",'Construction Times'!$W$3:$W$34,BS395+2,FALSE))*(1-$H$9)</f>
        <v>#N/A</v>
      </c>
      <c r="N395" s="443" t="e">
        <f t="shared" si="487"/>
        <v>#N/A</v>
      </c>
      <c r="O395" s="444"/>
      <c r="P395" s="447" t="e">
        <f t="shared" si="488"/>
        <v>#N/A</v>
      </c>
      <c r="Q395" s="448"/>
      <c r="R395" s="103">
        <f t="shared" si="548"/>
        <v>0</v>
      </c>
      <c r="S395" s="104">
        <f t="shared" si="548"/>
        <v>0</v>
      </c>
      <c r="T395" s="104">
        <f t="shared" si="549"/>
        <v>0</v>
      </c>
      <c r="U395" s="104">
        <f t="shared" si="549"/>
        <v>0</v>
      </c>
      <c r="V395" s="104">
        <f t="shared" si="549"/>
        <v>9.9999999999999995E-8</v>
      </c>
      <c r="W395" s="104">
        <f t="shared" si="549"/>
        <v>0</v>
      </c>
      <c r="X395" s="104">
        <f t="shared" si="545"/>
        <v>0</v>
      </c>
      <c r="Y395" s="104">
        <f t="shared" si="545"/>
        <v>9.9999999999999995E-8</v>
      </c>
      <c r="Z395" s="104">
        <f t="shared" si="545"/>
        <v>9.9999999999999995E-8</v>
      </c>
      <c r="AA395" s="105">
        <f t="shared" si="545"/>
        <v>9.9999999999999995E-8</v>
      </c>
      <c r="AB395" s="101" t="e">
        <f>$DT395*HLOOKUP($J395,'Construction Costs (timber)'!$B$1:$V$32,'Construction Planner'!$L395+2,FALSE)</f>
        <v>#N/A</v>
      </c>
      <c r="AC395" s="14" t="e">
        <f>$DT395*HLOOKUP($J395,'Construction Costs (clay)'!$B$1:$V$32,'Construction Planner'!$L395+2,FALSE)</f>
        <v>#N/A</v>
      </c>
      <c r="AD395" s="14" t="e">
        <f>$DT395*HLOOKUP($J395,'Construction Costs (iron)'!$B$1:$V$32,'Construction Planner'!$L395+2,FALSE)</f>
        <v>#N/A</v>
      </c>
      <c r="AE395" s="34" t="e">
        <f t="shared" si="524"/>
        <v>#N/A</v>
      </c>
      <c r="AF395" s="33" t="e">
        <f t="shared" si="467"/>
        <v>#N/A</v>
      </c>
      <c r="AG395" s="14" t="e">
        <f t="shared" si="468"/>
        <v>#N/A</v>
      </c>
      <c r="AH395" s="14" t="e">
        <f t="shared" si="469"/>
        <v>#N/A</v>
      </c>
      <c r="AI395" s="34" t="e">
        <f t="shared" si="525"/>
        <v>#N/A</v>
      </c>
      <c r="AJ395" s="49" t="e">
        <f t="shared" si="489"/>
        <v>#N/A</v>
      </c>
      <c r="AK395" s="49" t="e">
        <f t="shared" si="490"/>
        <v>#N/A</v>
      </c>
      <c r="AL395" s="49" t="e">
        <f t="shared" si="491"/>
        <v>#N/A</v>
      </c>
      <c r="AM395" s="25">
        <f t="shared" si="470"/>
        <v>30</v>
      </c>
      <c r="AN395" s="25">
        <f t="shared" si="471"/>
        <v>30</v>
      </c>
      <c r="AO395" s="25">
        <f t="shared" si="472"/>
        <v>30</v>
      </c>
      <c r="AP395" s="52" t="e">
        <f t="shared" si="546"/>
        <v>#N/A</v>
      </c>
      <c r="AQ395" s="53" t="e">
        <f t="shared" si="546"/>
        <v>#N/A</v>
      </c>
      <c r="AR395" s="54" t="e">
        <f t="shared" si="546"/>
        <v>#N/A</v>
      </c>
      <c r="AS395" s="316">
        <f t="shared" si="554"/>
        <v>0</v>
      </c>
      <c r="AT395" s="106">
        <f>_xlfn.IFNA($M395/VLOOKUP($BT395,'Unit information'!$A$2:$K$29,2,FALSE)*R395,0)*(1+$E$9)</f>
        <v>0</v>
      </c>
      <c r="AU395" s="107">
        <f>_xlfn.IFNA($M395/VLOOKUP($BT395,'Unit information'!$A$2:$K$29,3,FALSE)*S395,0)*(1+$E$9)</f>
        <v>0</v>
      </c>
      <c r="AV395" s="107">
        <f>_xlfn.IFNA($M395/VLOOKUP($BT395,'Unit information'!$A$2:$K$29,4,FALSE)*T395,0)*(1+$E$9)</f>
        <v>0</v>
      </c>
      <c r="AW395" s="107">
        <f>_xlfn.IFNA($M395/VLOOKUP($BT395,'Unit information'!$A$2:$K$29,5,FALSE)*U395,0)*(1+$E$9)</f>
        <v>0</v>
      </c>
      <c r="AX395" s="107">
        <f>_xlfn.IFNA($M395/VLOOKUP($BU395,'Unit information'!$A$2:$K$29,6,FALSE)*V395,0)*(1+$E$9)</f>
        <v>0</v>
      </c>
      <c r="AY395" s="107">
        <f>_xlfn.IFNA($M395/VLOOKUP($BU395,'Unit information'!$A$2:$K$29,7,FALSE)*W395,0)*(1+$E$9)</f>
        <v>0</v>
      </c>
      <c r="AZ395" s="107">
        <f>_xlfn.IFNA($M395/VLOOKUP($BU395,'Unit information'!$A$2:$K$29,8,FALSE)*X395,0)*(1+$E$9)</f>
        <v>0</v>
      </c>
      <c r="BA395" s="107">
        <f>_xlfn.IFNA($M395/VLOOKUP($BU395,'Unit information'!$A$2:$K$29,9,FALSE)*Y395,0)*(1+$E$9)</f>
        <v>0</v>
      </c>
      <c r="BB395" s="107">
        <f>_xlfn.IFNA($M395/VLOOKUP($BV395,'Unit information'!$A$2:$K$29,10,FALSE)*Z395,0)*(1+$E$9)</f>
        <v>0</v>
      </c>
      <c r="BC395" s="108">
        <f>_xlfn.IFNA($M395/VLOOKUP($BV395,'Unit information'!$A$2:$K$29,11,FALSE)*AA395,0)*(1+$E$9)</f>
        <v>0</v>
      </c>
      <c r="BD395" s="106">
        <f t="shared" si="473"/>
        <v>0</v>
      </c>
      <c r="BE395" s="107">
        <f t="shared" si="474"/>
        <v>0</v>
      </c>
      <c r="BF395" s="108">
        <f t="shared" si="475"/>
        <v>0</v>
      </c>
      <c r="BG395" s="25" t="e">
        <f t="shared" si="476"/>
        <v>#N/A</v>
      </c>
      <c r="BH395" s="25" t="e">
        <f t="shared" si="477"/>
        <v>#N/A</v>
      </c>
      <c r="BI395" s="25" t="e">
        <f t="shared" si="478"/>
        <v>#N/A</v>
      </c>
      <c r="BJ395" s="27" t="e">
        <f t="shared" si="479"/>
        <v>#N/A</v>
      </c>
      <c r="BK395" s="18" t="e">
        <f t="shared" si="480"/>
        <v>#N/A</v>
      </c>
      <c r="BL395" s="18" t="e">
        <f t="shared" si="481"/>
        <v>#N/A</v>
      </c>
      <c r="BM395" s="28" t="e">
        <f t="shared" si="527"/>
        <v>#N/A</v>
      </c>
      <c r="BN395" s="33">
        <f>HLOOKUP("maximum population",Miscelaneous!$C$1:$C$33,CH395+3,FALSE)</f>
        <v>240</v>
      </c>
      <c r="BO395" s="14">
        <f t="shared" si="493"/>
        <v>32</v>
      </c>
      <c r="BP395" s="14">
        <f t="shared" si="494"/>
        <v>0</v>
      </c>
      <c r="BQ395" s="14">
        <f t="shared" si="495"/>
        <v>208</v>
      </c>
      <c r="BR395" s="34" t="e">
        <f>HLOOKUP(J395,Villagers!$B$1:$V$33,L395+3,FALSE)-HLOOKUP(J395,Villagers!$B$1:$V$33,L395+2,FALSE)</f>
        <v>#N/A</v>
      </c>
      <c r="BS395" s="49">
        <f t="shared" si="496"/>
        <v>1</v>
      </c>
      <c r="BT395" s="50">
        <f t="shared" si="497"/>
        <v>0</v>
      </c>
      <c r="BU395" s="50">
        <f t="shared" si="498"/>
        <v>0</v>
      </c>
      <c r="BV395" s="50">
        <f t="shared" si="499"/>
        <v>0</v>
      </c>
      <c r="BW395" s="50">
        <f t="shared" si="555"/>
        <v>0</v>
      </c>
      <c r="BX395" s="50">
        <f t="shared" si="556"/>
        <v>0</v>
      </c>
      <c r="BY395" s="50">
        <f t="shared" si="556"/>
        <v>0</v>
      </c>
      <c r="BZ395" s="50">
        <f t="shared" si="530"/>
        <v>0</v>
      </c>
      <c r="CA395" s="50">
        <f t="shared" si="531"/>
        <v>0</v>
      </c>
      <c r="CB395" s="50">
        <f t="shared" si="532"/>
        <v>1</v>
      </c>
      <c r="CC395" s="50">
        <f t="shared" si="533"/>
        <v>0</v>
      </c>
      <c r="CD395" s="50">
        <f t="shared" si="534"/>
        <v>0</v>
      </c>
      <c r="CE395" s="50">
        <f t="shared" si="535"/>
        <v>1</v>
      </c>
      <c r="CF395" s="50">
        <f t="shared" si="536"/>
        <v>1</v>
      </c>
      <c r="CG395" s="50">
        <f t="shared" si="537"/>
        <v>1</v>
      </c>
      <c r="CH395" s="50">
        <f t="shared" si="538"/>
        <v>1</v>
      </c>
      <c r="CI395" s="50">
        <f t="shared" si="539"/>
        <v>1</v>
      </c>
      <c r="CJ395" s="50">
        <f t="shared" si="540"/>
        <v>1</v>
      </c>
      <c r="CK395" s="50">
        <f t="shared" si="540"/>
        <v>0</v>
      </c>
      <c r="CL395" s="50">
        <f t="shared" si="540"/>
        <v>0</v>
      </c>
      <c r="CM395" s="51">
        <f t="shared" si="482"/>
        <v>0</v>
      </c>
      <c r="CN395" s="33">
        <f>ROUND(IF(BS395=0,0,HLOOKUP(BS$14,Villagers!$B$1:$V$33,BS395+3,FALSE)),)</f>
        <v>5</v>
      </c>
      <c r="CO395" s="14">
        <f>ROUND(IF(BT395=0,0,HLOOKUP(BT$14,Villagers!$B$1:$V$33,BT395+3,FALSE)),)</f>
        <v>0</v>
      </c>
      <c r="CP395" s="14">
        <f>ROUND(IF(BU395=0,0,HLOOKUP(BU$14,Villagers!$B$1:$V$33,BU395+3,FALSE)),)</f>
        <v>0</v>
      </c>
      <c r="CQ395" s="14">
        <f>ROUND(IF(BV395=0,0,HLOOKUP(BV$14,Villagers!$B$1:$V$33,BV395+3,FALSE)),)</f>
        <v>0</v>
      </c>
      <c r="CR395" s="14">
        <f>ROUND(IF(BW395=0,0,HLOOKUP(BW$14,Villagers!$B$1:$V$33,BW395+3,FALSE)),)</f>
        <v>0</v>
      </c>
      <c r="CS395" s="14">
        <f>ROUND(IF(BX395=0,0,HLOOKUP(BX$14,Villagers!$B$1:$V$33,BX395+3,FALSE)),)</f>
        <v>0</v>
      </c>
      <c r="CT395" s="14">
        <f>ROUND(IF(BY395=0,0,HLOOKUP(BY$14,Villagers!$B$1:$V$33,BY395+3,FALSE)),)</f>
        <v>0</v>
      </c>
      <c r="CU395" s="14">
        <f>ROUND(IF(BZ395=0,0,HLOOKUP(BZ$14,Villagers!$B$1:$V$33,BZ395+3,FALSE)),)</f>
        <v>0</v>
      </c>
      <c r="CV395" s="14">
        <f>ROUND(IF(CA395=0,0,HLOOKUP(CA$14,Villagers!$B$1:$V$33,CA395+3,FALSE)),)</f>
        <v>0</v>
      </c>
      <c r="CW395" s="14">
        <f>ROUND(IF(CB395=0,0,HLOOKUP(CB$14,Villagers!$B$1:$V$33,CB395+3,FALSE)),)</f>
        <v>0</v>
      </c>
      <c r="CX395" s="14">
        <f>ROUND(IF(CC395=0,0,HLOOKUP(CC$14,Villagers!$B$1:$V$33,CC395+3,FALSE)),)</f>
        <v>0</v>
      </c>
      <c r="CY395" s="14">
        <f>ROUND(IF(CD395=0,0,HLOOKUP(CD$14,Villagers!$B$1:$V$33,CD395+3,FALSE)),)</f>
        <v>0</v>
      </c>
      <c r="CZ395" s="14">
        <f>ROUND(IF(CE395=0,0,HLOOKUP(CE$14,Villagers!$B$1:$V$33,CE395+3,FALSE)),)</f>
        <v>5</v>
      </c>
      <c r="DA395" s="14">
        <f>ROUND(IF(CF395=0,0,HLOOKUP(CF$14,Villagers!$B$1:$V$33,CF395+3,FALSE)),)</f>
        <v>10</v>
      </c>
      <c r="DB395" s="14">
        <f>ROUND(IF(CG395=0,0,HLOOKUP(CG$14,Villagers!$B$1:$V$33,CG395+3,FALSE)),)</f>
        <v>10</v>
      </c>
      <c r="DC395" s="14">
        <f>ROUND(IF(CH395=0,0,HLOOKUP(CH$14,Villagers!$B$1:$V$33,CH395+3,FALSE)),)</f>
        <v>0</v>
      </c>
      <c r="DD395" s="14">
        <f>ROUND(IF(CI395=0,0,HLOOKUP(CI$14,Villagers!$B$1:$V$33,CI395+3,FALSE)),)</f>
        <v>0</v>
      </c>
      <c r="DE395" s="14">
        <f>ROUND(IF(CJ395=0,0,HLOOKUP(CJ$14,Villagers!$B$1:$V$33,CJ395+3,FALSE)),)</f>
        <v>2</v>
      </c>
      <c r="DF395" s="370">
        <f>ROUND(IF(CK395=0,0,HLOOKUP(CK$14,Villagers!$B$1:$V$33,CK395+3,FALSE)),)</f>
        <v>0</v>
      </c>
      <c r="DG395" s="370">
        <f>ROUND(IF(CL395=0,0,HLOOKUP(CL$14,Villagers!$B$1:$V$33,CL395+3,FALSE)),)</f>
        <v>0</v>
      </c>
      <c r="DH395" s="34">
        <f>ROUND(IF(CM395=0,0,HLOOKUP(CM$14,Villagers!$B$1:$V$33,CM395+3,FALSE)),)</f>
        <v>0</v>
      </c>
      <c r="DI395" s="109">
        <f t="shared" si="516"/>
        <v>0</v>
      </c>
      <c r="DJ395" s="50">
        <f t="shared" si="517"/>
        <v>0</v>
      </c>
      <c r="DK395" s="50">
        <f t="shared" si="518"/>
        <v>0</v>
      </c>
      <c r="DL395" s="50">
        <f t="shared" si="519"/>
        <v>0</v>
      </c>
      <c r="DM395" s="50">
        <f t="shared" si="520"/>
        <v>0</v>
      </c>
      <c r="DN395" s="50">
        <f t="shared" si="521"/>
        <v>0</v>
      </c>
      <c r="DO395" s="50">
        <f t="shared" si="522"/>
        <v>0</v>
      </c>
      <c r="DP395" s="50">
        <f t="shared" si="523"/>
        <v>0</v>
      </c>
      <c r="DQ395" s="50">
        <f t="shared" si="501"/>
        <v>0</v>
      </c>
      <c r="DR395" s="50">
        <f t="shared" si="502"/>
        <v>0</v>
      </c>
      <c r="DS395" s="96">
        <f>Miscelaneous!$D$4*Miscelaneous!$D$2^($CI395-1)</f>
        <v>1000</v>
      </c>
      <c r="DT395" s="333">
        <f t="shared" si="483"/>
        <v>1</v>
      </c>
      <c r="DU395" s="81">
        <v>1</v>
      </c>
      <c r="DV395" s="79">
        <f t="shared" si="503"/>
        <v>0</v>
      </c>
      <c r="DW395" s="79">
        <f t="shared" si="504"/>
        <v>0</v>
      </c>
      <c r="DX395" s="79">
        <f t="shared" si="505"/>
        <v>0</v>
      </c>
      <c r="DY395" s="79">
        <v>1</v>
      </c>
      <c r="DZ395" s="79">
        <f t="shared" si="506"/>
        <v>0</v>
      </c>
      <c r="EA395" s="79">
        <f t="shared" si="507"/>
        <v>0</v>
      </c>
      <c r="EB395" s="79">
        <f t="shared" si="508"/>
        <v>0</v>
      </c>
      <c r="EC395" s="79">
        <f t="shared" si="509"/>
        <v>0</v>
      </c>
      <c r="ED395" s="79">
        <v>1</v>
      </c>
      <c r="EE395" s="79">
        <v>1</v>
      </c>
      <c r="EF395" s="79">
        <f t="shared" si="510"/>
        <v>0</v>
      </c>
      <c r="EG395" s="79">
        <v>1</v>
      </c>
      <c r="EH395" s="79">
        <v>1</v>
      </c>
      <c r="EI395" s="79">
        <v>1</v>
      </c>
      <c r="EJ395" s="79">
        <v>1</v>
      </c>
      <c r="EK395" s="79">
        <v>1</v>
      </c>
      <c r="EL395" s="79">
        <v>1</v>
      </c>
      <c r="EM395" s="143">
        <f t="shared" si="511"/>
        <v>0</v>
      </c>
      <c r="EN395" s="143">
        <f t="shared" si="512"/>
        <v>0</v>
      </c>
      <c r="EO395" s="82">
        <f t="shared" si="513"/>
        <v>0</v>
      </c>
    </row>
    <row r="396" spans="1:145" x14ac:dyDescent="0.25">
      <c r="A396">
        <v>382</v>
      </c>
      <c r="B396" s="172" t="e">
        <f t="shared" si="484"/>
        <v>#N/A</v>
      </c>
      <c r="C396" s="121" t="e">
        <f t="shared" si="462"/>
        <v>#N/A</v>
      </c>
      <c r="D396" s="122" t="e">
        <f t="shared" si="463"/>
        <v>#N/A</v>
      </c>
      <c r="E396" s="122" t="e">
        <f t="shared" si="464"/>
        <v>#N/A</v>
      </c>
      <c r="F396" s="176" t="e">
        <f t="shared" si="465"/>
        <v>#N/A</v>
      </c>
      <c r="G396" s="121">
        <f t="shared" si="485"/>
        <v>208</v>
      </c>
      <c r="H396" s="176" t="e">
        <f t="shared" si="486"/>
        <v>#N/A</v>
      </c>
      <c r="I396" s="48">
        <v>1</v>
      </c>
      <c r="J396" s="39"/>
      <c r="K396" s="350">
        <v>1</v>
      </c>
      <c r="L396" s="34" t="e">
        <f t="shared" si="466"/>
        <v>#N/A</v>
      </c>
      <c r="M396" s="38" t="e">
        <f>(HLOOKUP(J396,'Construction Times'!$B$3:$W$34,L396+2,FALSE)*HLOOKUP("hq modifier",'Construction Times'!$W$3:$W$34,BS396+2,FALSE))*(1-$H$9)</f>
        <v>#N/A</v>
      </c>
      <c r="N396" s="443" t="e">
        <f t="shared" si="487"/>
        <v>#N/A</v>
      </c>
      <c r="O396" s="444"/>
      <c r="P396" s="447" t="e">
        <f t="shared" si="488"/>
        <v>#N/A</v>
      </c>
      <c r="Q396" s="448"/>
      <c r="R396" s="103">
        <f t="shared" si="548"/>
        <v>0</v>
      </c>
      <c r="S396" s="104">
        <f t="shared" si="548"/>
        <v>0</v>
      </c>
      <c r="T396" s="104">
        <f t="shared" si="549"/>
        <v>0</v>
      </c>
      <c r="U396" s="104">
        <f t="shared" si="549"/>
        <v>0</v>
      </c>
      <c r="V396" s="104">
        <f t="shared" si="549"/>
        <v>9.9999999999999995E-8</v>
      </c>
      <c r="W396" s="104">
        <f t="shared" si="549"/>
        <v>0</v>
      </c>
      <c r="X396" s="104">
        <f t="shared" si="545"/>
        <v>0</v>
      </c>
      <c r="Y396" s="104">
        <f t="shared" si="545"/>
        <v>9.9999999999999995E-8</v>
      </c>
      <c r="Z396" s="104">
        <f t="shared" si="545"/>
        <v>9.9999999999999995E-8</v>
      </c>
      <c r="AA396" s="105">
        <f t="shared" si="545"/>
        <v>9.9999999999999995E-8</v>
      </c>
      <c r="AB396" s="101" t="e">
        <f>$DT396*HLOOKUP($J396,'Construction Costs (timber)'!$B$1:$V$32,'Construction Planner'!$L396+2,FALSE)</f>
        <v>#N/A</v>
      </c>
      <c r="AC396" s="14" t="e">
        <f>$DT396*HLOOKUP($J396,'Construction Costs (clay)'!$B$1:$V$32,'Construction Planner'!$L396+2,FALSE)</f>
        <v>#N/A</v>
      </c>
      <c r="AD396" s="14" t="e">
        <f>$DT396*HLOOKUP($J396,'Construction Costs (iron)'!$B$1:$V$32,'Construction Planner'!$L396+2,FALSE)</f>
        <v>#N/A</v>
      </c>
      <c r="AE396" s="34" t="e">
        <f t="shared" si="524"/>
        <v>#N/A</v>
      </c>
      <c r="AF396" s="33" t="e">
        <f t="shared" si="467"/>
        <v>#N/A</v>
      </c>
      <c r="AG396" s="14" t="e">
        <f t="shared" si="468"/>
        <v>#N/A</v>
      </c>
      <c r="AH396" s="14" t="e">
        <f t="shared" si="469"/>
        <v>#N/A</v>
      </c>
      <c r="AI396" s="34" t="e">
        <f t="shared" si="525"/>
        <v>#N/A</v>
      </c>
      <c r="AJ396" s="49" t="e">
        <f t="shared" si="489"/>
        <v>#N/A</v>
      </c>
      <c r="AK396" s="49" t="e">
        <f t="shared" si="490"/>
        <v>#N/A</v>
      </c>
      <c r="AL396" s="49" t="e">
        <f t="shared" si="491"/>
        <v>#N/A</v>
      </c>
      <c r="AM396" s="25">
        <f t="shared" si="470"/>
        <v>30</v>
      </c>
      <c r="AN396" s="25">
        <f t="shared" si="471"/>
        <v>30</v>
      </c>
      <c r="AO396" s="25">
        <f t="shared" si="472"/>
        <v>30</v>
      </c>
      <c r="AP396" s="52" t="e">
        <f t="shared" si="546"/>
        <v>#N/A</v>
      </c>
      <c r="AQ396" s="53" t="e">
        <f t="shared" si="546"/>
        <v>#N/A</v>
      </c>
      <c r="AR396" s="54" t="e">
        <f t="shared" si="546"/>
        <v>#N/A</v>
      </c>
      <c r="AS396" s="316">
        <f t="shared" si="554"/>
        <v>0</v>
      </c>
      <c r="AT396" s="106">
        <f>_xlfn.IFNA($M396/VLOOKUP($BT396,'Unit information'!$A$2:$K$29,2,FALSE)*R396,0)*(1+$E$9)</f>
        <v>0</v>
      </c>
      <c r="AU396" s="107">
        <f>_xlfn.IFNA($M396/VLOOKUP($BT396,'Unit information'!$A$2:$K$29,3,FALSE)*S396,0)*(1+$E$9)</f>
        <v>0</v>
      </c>
      <c r="AV396" s="107">
        <f>_xlfn.IFNA($M396/VLOOKUP($BT396,'Unit information'!$A$2:$K$29,4,FALSE)*T396,0)*(1+$E$9)</f>
        <v>0</v>
      </c>
      <c r="AW396" s="107">
        <f>_xlfn.IFNA($M396/VLOOKUP($BT396,'Unit information'!$A$2:$K$29,5,FALSE)*U396,0)*(1+$E$9)</f>
        <v>0</v>
      </c>
      <c r="AX396" s="107">
        <f>_xlfn.IFNA($M396/VLOOKUP($BU396,'Unit information'!$A$2:$K$29,6,FALSE)*V396,0)*(1+$E$9)</f>
        <v>0</v>
      </c>
      <c r="AY396" s="107">
        <f>_xlfn.IFNA($M396/VLOOKUP($BU396,'Unit information'!$A$2:$K$29,7,FALSE)*W396,0)*(1+$E$9)</f>
        <v>0</v>
      </c>
      <c r="AZ396" s="107">
        <f>_xlfn.IFNA($M396/VLOOKUP($BU396,'Unit information'!$A$2:$K$29,8,FALSE)*X396,0)*(1+$E$9)</f>
        <v>0</v>
      </c>
      <c r="BA396" s="107">
        <f>_xlfn.IFNA($M396/VLOOKUP($BU396,'Unit information'!$A$2:$K$29,9,FALSE)*Y396,0)*(1+$E$9)</f>
        <v>0</v>
      </c>
      <c r="BB396" s="107">
        <f>_xlfn.IFNA($M396/VLOOKUP($BV396,'Unit information'!$A$2:$K$29,10,FALSE)*Z396,0)*(1+$E$9)</f>
        <v>0</v>
      </c>
      <c r="BC396" s="108">
        <f>_xlfn.IFNA($M396/VLOOKUP($BV396,'Unit information'!$A$2:$K$29,11,FALSE)*AA396,0)*(1+$E$9)</f>
        <v>0</v>
      </c>
      <c r="BD396" s="106">
        <f t="shared" si="473"/>
        <v>0</v>
      </c>
      <c r="BE396" s="107">
        <f t="shared" si="474"/>
        <v>0</v>
      </c>
      <c r="BF396" s="108">
        <f t="shared" si="475"/>
        <v>0</v>
      </c>
      <c r="BG396" s="25" t="e">
        <f t="shared" si="476"/>
        <v>#N/A</v>
      </c>
      <c r="BH396" s="25" t="e">
        <f t="shared" si="477"/>
        <v>#N/A</v>
      </c>
      <c r="BI396" s="25" t="e">
        <f t="shared" si="478"/>
        <v>#N/A</v>
      </c>
      <c r="BJ396" s="27" t="e">
        <f t="shared" si="479"/>
        <v>#N/A</v>
      </c>
      <c r="BK396" s="18" t="e">
        <f t="shared" si="480"/>
        <v>#N/A</v>
      </c>
      <c r="BL396" s="18" t="e">
        <f t="shared" si="481"/>
        <v>#N/A</v>
      </c>
      <c r="BM396" s="28" t="e">
        <f t="shared" si="527"/>
        <v>#N/A</v>
      </c>
      <c r="BN396" s="33">
        <f>HLOOKUP("maximum population",Miscelaneous!$C$1:$C$33,CH396+3,FALSE)</f>
        <v>240</v>
      </c>
      <c r="BO396" s="14">
        <f t="shared" si="493"/>
        <v>32</v>
      </c>
      <c r="BP396" s="14">
        <f t="shared" si="494"/>
        <v>0</v>
      </c>
      <c r="BQ396" s="14">
        <f t="shared" si="495"/>
        <v>208</v>
      </c>
      <c r="BR396" s="34" t="e">
        <f>HLOOKUP(J396,Villagers!$B$1:$V$33,L396+3,FALSE)-HLOOKUP(J396,Villagers!$B$1:$V$33,L396+2,FALSE)</f>
        <v>#N/A</v>
      </c>
      <c r="BS396" s="49">
        <f t="shared" si="496"/>
        <v>1</v>
      </c>
      <c r="BT396" s="50">
        <f t="shared" si="497"/>
        <v>0</v>
      </c>
      <c r="BU396" s="50">
        <f t="shared" si="498"/>
        <v>0</v>
      </c>
      <c r="BV396" s="50">
        <f t="shared" si="499"/>
        <v>0</v>
      </c>
      <c r="BW396" s="50">
        <f t="shared" si="555"/>
        <v>0</v>
      </c>
      <c r="BX396" s="50">
        <f t="shared" si="556"/>
        <v>0</v>
      </c>
      <c r="BY396" s="50">
        <f t="shared" si="556"/>
        <v>0</v>
      </c>
      <c r="BZ396" s="50">
        <f t="shared" si="530"/>
        <v>0</v>
      </c>
      <c r="CA396" s="50">
        <f t="shared" si="531"/>
        <v>0</v>
      </c>
      <c r="CB396" s="50">
        <f t="shared" si="532"/>
        <v>1</v>
      </c>
      <c r="CC396" s="50">
        <f t="shared" si="533"/>
        <v>0</v>
      </c>
      <c r="CD396" s="50">
        <f t="shared" si="534"/>
        <v>0</v>
      </c>
      <c r="CE396" s="50">
        <f t="shared" si="535"/>
        <v>1</v>
      </c>
      <c r="CF396" s="50">
        <f t="shared" si="536"/>
        <v>1</v>
      </c>
      <c r="CG396" s="50">
        <f t="shared" si="537"/>
        <v>1</v>
      </c>
      <c r="CH396" s="50">
        <f t="shared" si="538"/>
        <v>1</v>
      </c>
      <c r="CI396" s="50">
        <f t="shared" si="539"/>
        <v>1</v>
      </c>
      <c r="CJ396" s="50">
        <f t="shared" si="540"/>
        <v>1</v>
      </c>
      <c r="CK396" s="50">
        <f t="shared" si="540"/>
        <v>0</v>
      </c>
      <c r="CL396" s="50">
        <f t="shared" si="540"/>
        <v>0</v>
      </c>
      <c r="CM396" s="51">
        <f t="shared" si="482"/>
        <v>0</v>
      </c>
      <c r="CN396" s="33">
        <f>ROUND(IF(BS396=0,0,HLOOKUP(BS$14,Villagers!$B$1:$V$33,BS396+3,FALSE)),)</f>
        <v>5</v>
      </c>
      <c r="CO396" s="14">
        <f>ROUND(IF(BT396=0,0,HLOOKUP(BT$14,Villagers!$B$1:$V$33,BT396+3,FALSE)),)</f>
        <v>0</v>
      </c>
      <c r="CP396" s="14">
        <f>ROUND(IF(BU396=0,0,HLOOKUP(BU$14,Villagers!$B$1:$V$33,BU396+3,FALSE)),)</f>
        <v>0</v>
      </c>
      <c r="CQ396" s="14">
        <f>ROUND(IF(BV396=0,0,HLOOKUP(BV$14,Villagers!$B$1:$V$33,BV396+3,FALSE)),)</f>
        <v>0</v>
      </c>
      <c r="CR396" s="14">
        <f>ROUND(IF(BW396=0,0,HLOOKUP(BW$14,Villagers!$B$1:$V$33,BW396+3,FALSE)),)</f>
        <v>0</v>
      </c>
      <c r="CS396" s="14">
        <f>ROUND(IF(BX396=0,0,HLOOKUP(BX$14,Villagers!$B$1:$V$33,BX396+3,FALSE)),)</f>
        <v>0</v>
      </c>
      <c r="CT396" s="14">
        <f>ROUND(IF(BY396=0,0,HLOOKUP(BY$14,Villagers!$B$1:$V$33,BY396+3,FALSE)),)</f>
        <v>0</v>
      </c>
      <c r="CU396" s="14">
        <f>ROUND(IF(BZ396=0,0,HLOOKUP(BZ$14,Villagers!$B$1:$V$33,BZ396+3,FALSE)),)</f>
        <v>0</v>
      </c>
      <c r="CV396" s="14">
        <f>ROUND(IF(CA396=0,0,HLOOKUP(CA$14,Villagers!$B$1:$V$33,CA396+3,FALSE)),)</f>
        <v>0</v>
      </c>
      <c r="CW396" s="14">
        <f>ROUND(IF(CB396=0,0,HLOOKUP(CB$14,Villagers!$B$1:$V$33,CB396+3,FALSE)),)</f>
        <v>0</v>
      </c>
      <c r="CX396" s="14">
        <f>ROUND(IF(CC396=0,0,HLOOKUP(CC$14,Villagers!$B$1:$V$33,CC396+3,FALSE)),)</f>
        <v>0</v>
      </c>
      <c r="CY396" s="14">
        <f>ROUND(IF(CD396=0,0,HLOOKUP(CD$14,Villagers!$B$1:$V$33,CD396+3,FALSE)),)</f>
        <v>0</v>
      </c>
      <c r="CZ396" s="14">
        <f>ROUND(IF(CE396=0,0,HLOOKUP(CE$14,Villagers!$B$1:$V$33,CE396+3,FALSE)),)</f>
        <v>5</v>
      </c>
      <c r="DA396" s="14">
        <f>ROUND(IF(CF396=0,0,HLOOKUP(CF$14,Villagers!$B$1:$V$33,CF396+3,FALSE)),)</f>
        <v>10</v>
      </c>
      <c r="DB396" s="14">
        <f>ROUND(IF(CG396=0,0,HLOOKUP(CG$14,Villagers!$B$1:$V$33,CG396+3,FALSE)),)</f>
        <v>10</v>
      </c>
      <c r="DC396" s="14">
        <f>ROUND(IF(CH396=0,0,HLOOKUP(CH$14,Villagers!$B$1:$V$33,CH396+3,FALSE)),)</f>
        <v>0</v>
      </c>
      <c r="DD396" s="14">
        <f>ROUND(IF(CI396=0,0,HLOOKUP(CI$14,Villagers!$B$1:$V$33,CI396+3,FALSE)),)</f>
        <v>0</v>
      </c>
      <c r="DE396" s="14">
        <f>ROUND(IF(CJ396=0,0,HLOOKUP(CJ$14,Villagers!$B$1:$V$33,CJ396+3,FALSE)),)</f>
        <v>2</v>
      </c>
      <c r="DF396" s="370">
        <f>ROUND(IF(CK396=0,0,HLOOKUP(CK$14,Villagers!$B$1:$V$33,CK396+3,FALSE)),)</f>
        <v>0</v>
      </c>
      <c r="DG396" s="370">
        <f>ROUND(IF(CL396=0,0,HLOOKUP(CL$14,Villagers!$B$1:$V$33,CL396+3,FALSE)),)</f>
        <v>0</v>
      </c>
      <c r="DH396" s="34">
        <f>ROUND(IF(CM396=0,0,HLOOKUP(CM$14,Villagers!$B$1:$V$33,CM396+3,FALSE)),)</f>
        <v>0</v>
      </c>
      <c r="DI396" s="109">
        <f t="shared" si="516"/>
        <v>0</v>
      </c>
      <c r="DJ396" s="50">
        <f t="shared" si="517"/>
        <v>0</v>
      </c>
      <c r="DK396" s="50">
        <f t="shared" si="518"/>
        <v>0</v>
      </c>
      <c r="DL396" s="50">
        <f t="shared" si="519"/>
        <v>0</v>
      </c>
      <c r="DM396" s="50">
        <f t="shared" si="520"/>
        <v>0</v>
      </c>
      <c r="DN396" s="50">
        <f t="shared" si="521"/>
        <v>0</v>
      </c>
      <c r="DO396" s="50">
        <f t="shared" si="522"/>
        <v>0</v>
      </c>
      <c r="DP396" s="50">
        <f t="shared" si="523"/>
        <v>0</v>
      </c>
      <c r="DQ396" s="50">
        <f t="shared" si="501"/>
        <v>0</v>
      </c>
      <c r="DR396" s="50">
        <f t="shared" si="502"/>
        <v>0</v>
      </c>
      <c r="DS396" s="96">
        <f>Miscelaneous!$D$4*Miscelaneous!$D$2^($CI396-1)</f>
        <v>1000</v>
      </c>
      <c r="DT396" s="333">
        <f t="shared" si="483"/>
        <v>1</v>
      </c>
      <c r="DU396" s="81">
        <v>1</v>
      </c>
      <c r="DV396" s="79">
        <f t="shared" si="503"/>
        <v>0</v>
      </c>
      <c r="DW396" s="79">
        <f t="shared" si="504"/>
        <v>0</v>
      </c>
      <c r="DX396" s="79">
        <f t="shared" si="505"/>
        <v>0</v>
      </c>
      <c r="DY396" s="79">
        <v>1</v>
      </c>
      <c r="DZ396" s="79">
        <f t="shared" si="506"/>
        <v>0</v>
      </c>
      <c r="EA396" s="79">
        <f t="shared" si="507"/>
        <v>0</v>
      </c>
      <c r="EB396" s="79">
        <f t="shared" si="508"/>
        <v>0</v>
      </c>
      <c r="EC396" s="79">
        <f t="shared" si="509"/>
        <v>0</v>
      </c>
      <c r="ED396" s="79">
        <v>1</v>
      </c>
      <c r="EE396" s="79">
        <v>1</v>
      </c>
      <c r="EF396" s="79">
        <f t="shared" si="510"/>
        <v>0</v>
      </c>
      <c r="EG396" s="79">
        <v>1</v>
      </c>
      <c r="EH396" s="79">
        <v>1</v>
      </c>
      <c r="EI396" s="79">
        <v>1</v>
      </c>
      <c r="EJ396" s="79">
        <v>1</v>
      </c>
      <c r="EK396" s="79">
        <v>1</v>
      </c>
      <c r="EL396" s="79">
        <v>1</v>
      </c>
      <c r="EM396" s="143">
        <f t="shared" si="511"/>
        <v>0</v>
      </c>
      <c r="EN396" s="143">
        <f t="shared" si="512"/>
        <v>0</v>
      </c>
      <c r="EO396" s="82">
        <f t="shared" si="513"/>
        <v>0</v>
      </c>
    </row>
    <row r="397" spans="1:145" x14ac:dyDescent="0.25">
      <c r="A397">
        <v>383</v>
      </c>
      <c r="B397" s="172" t="e">
        <f t="shared" si="484"/>
        <v>#N/A</v>
      </c>
      <c r="C397" s="121" t="e">
        <f t="shared" si="462"/>
        <v>#N/A</v>
      </c>
      <c r="D397" s="122" t="e">
        <f t="shared" si="463"/>
        <v>#N/A</v>
      </c>
      <c r="E397" s="122" t="e">
        <f t="shared" si="464"/>
        <v>#N/A</v>
      </c>
      <c r="F397" s="176" t="e">
        <f t="shared" si="465"/>
        <v>#N/A</v>
      </c>
      <c r="G397" s="121">
        <f t="shared" si="485"/>
        <v>208</v>
      </c>
      <c r="H397" s="176" t="e">
        <f t="shared" si="486"/>
        <v>#N/A</v>
      </c>
      <c r="I397" s="48">
        <v>1</v>
      </c>
      <c r="J397" s="39"/>
      <c r="K397" s="350">
        <v>1</v>
      </c>
      <c r="L397" s="34" t="e">
        <f t="shared" si="466"/>
        <v>#N/A</v>
      </c>
      <c r="M397" s="38" t="e">
        <f>(HLOOKUP(J397,'Construction Times'!$B$3:$W$34,L397+2,FALSE)*HLOOKUP("hq modifier",'Construction Times'!$W$3:$W$34,BS397+2,FALSE))*(1-$H$9)</f>
        <v>#N/A</v>
      </c>
      <c r="N397" s="443" t="e">
        <f t="shared" si="487"/>
        <v>#N/A</v>
      </c>
      <c r="O397" s="444"/>
      <c r="P397" s="447" t="e">
        <f t="shared" si="488"/>
        <v>#N/A</v>
      </c>
      <c r="Q397" s="448"/>
      <c r="R397" s="103">
        <f t="shared" si="548"/>
        <v>0</v>
      </c>
      <c r="S397" s="104">
        <f t="shared" si="548"/>
        <v>0</v>
      </c>
      <c r="T397" s="104">
        <f t="shared" si="549"/>
        <v>0</v>
      </c>
      <c r="U397" s="104">
        <f t="shared" si="549"/>
        <v>0</v>
      </c>
      <c r="V397" s="104">
        <f t="shared" si="549"/>
        <v>9.9999999999999995E-8</v>
      </c>
      <c r="W397" s="104">
        <f t="shared" si="549"/>
        <v>0</v>
      </c>
      <c r="X397" s="104">
        <f t="shared" ref="X397:AA428" si="557">X396</f>
        <v>0</v>
      </c>
      <c r="Y397" s="104">
        <f t="shared" si="557"/>
        <v>9.9999999999999995E-8</v>
      </c>
      <c r="Z397" s="104">
        <f t="shared" si="557"/>
        <v>9.9999999999999995E-8</v>
      </c>
      <c r="AA397" s="105">
        <f t="shared" si="557"/>
        <v>9.9999999999999995E-8</v>
      </c>
      <c r="AB397" s="101" t="e">
        <f>$DT397*HLOOKUP($J397,'Construction Costs (timber)'!$B$1:$V$32,'Construction Planner'!$L397+2,FALSE)</f>
        <v>#N/A</v>
      </c>
      <c r="AC397" s="14" t="e">
        <f>$DT397*HLOOKUP($J397,'Construction Costs (clay)'!$B$1:$V$32,'Construction Planner'!$L397+2,FALSE)</f>
        <v>#N/A</v>
      </c>
      <c r="AD397" s="14" t="e">
        <f>$DT397*HLOOKUP($J397,'Construction Costs (iron)'!$B$1:$V$32,'Construction Planner'!$L397+2,FALSE)</f>
        <v>#N/A</v>
      </c>
      <c r="AE397" s="34" t="e">
        <f t="shared" si="524"/>
        <v>#N/A</v>
      </c>
      <c r="AF397" s="33" t="e">
        <f t="shared" si="467"/>
        <v>#N/A</v>
      </c>
      <c r="AG397" s="14" t="e">
        <f t="shared" si="468"/>
        <v>#N/A</v>
      </c>
      <c r="AH397" s="14" t="e">
        <f t="shared" si="469"/>
        <v>#N/A</v>
      </c>
      <c r="AI397" s="34" t="e">
        <f t="shared" si="525"/>
        <v>#N/A</v>
      </c>
      <c r="AJ397" s="49" t="e">
        <f t="shared" si="489"/>
        <v>#N/A</v>
      </c>
      <c r="AK397" s="49" t="e">
        <f t="shared" si="490"/>
        <v>#N/A</v>
      </c>
      <c r="AL397" s="49" t="e">
        <f t="shared" si="491"/>
        <v>#N/A</v>
      </c>
      <c r="AM397" s="25">
        <f t="shared" si="470"/>
        <v>30</v>
      </c>
      <c r="AN397" s="25">
        <f t="shared" si="471"/>
        <v>30</v>
      </c>
      <c r="AO397" s="25">
        <f t="shared" si="472"/>
        <v>30</v>
      </c>
      <c r="AP397" s="52" t="e">
        <f t="shared" si="546"/>
        <v>#N/A</v>
      </c>
      <c r="AQ397" s="53" t="e">
        <f t="shared" si="546"/>
        <v>#N/A</v>
      </c>
      <c r="AR397" s="54" t="e">
        <f t="shared" si="546"/>
        <v>#N/A</v>
      </c>
      <c r="AS397" s="316">
        <f t="shared" si="554"/>
        <v>0</v>
      </c>
      <c r="AT397" s="106">
        <f>_xlfn.IFNA($M397/VLOOKUP($BT397,'Unit information'!$A$2:$K$29,2,FALSE)*R397,0)*(1+$E$9)</f>
        <v>0</v>
      </c>
      <c r="AU397" s="107">
        <f>_xlfn.IFNA($M397/VLOOKUP($BT397,'Unit information'!$A$2:$K$29,3,FALSE)*S397,0)*(1+$E$9)</f>
        <v>0</v>
      </c>
      <c r="AV397" s="107">
        <f>_xlfn.IFNA($M397/VLOOKUP($BT397,'Unit information'!$A$2:$K$29,4,FALSE)*T397,0)*(1+$E$9)</f>
        <v>0</v>
      </c>
      <c r="AW397" s="107">
        <f>_xlfn.IFNA($M397/VLOOKUP($BT397,'Unit information'!$A$2:$K$29,5,FALSE)*U397,0)*(1+$E$9)</f>
        <v>0</v>
      </c>
      <c r="AX397" s="107">
        <f>_xlfn.IFNA($M397/VLOOKUP($BU397,'Unit information'!$A$2:$K$29,6,FALSE)*V397,0)*(1+$E$9)</f>
        <v>0</v>
      </c>
      <c r="AY397" s="107">
        <f>_xlfn.IFNA($M397/VLOOKUP($BU397,'Unit information'!$A$2:$K$29,7,FALSE)*W397,0)*(1+$E$9)</f>
        <v>0</v>
      </c>
      <c r="AZ397" s="107">
        <f>_xlfn.IFNA($M397/VLOOKUP($BU397,'Unit information'!$A$2:$K$29,8,FALSE)*X397,0)*(1+$E$9)</f>
        <v>0</v>
      </c>
      <c r="BA397" s="107">
        <f>_xlfn.IFNA($M397/VLOOKUP($BU397,'Unit information'!$A$2:$K$29,9,FALSE)*Y397,0)*(1+$E$9)</f>
        <v>0</v>
      </c>
      <c r="BB397" s="107">
        <f>_xlfn.IFNA($M397/VLOOKUP($BV397,'Unit information'!$A$2:$K$29,10,FALSE)*Z397,0)*(1+$E$9)</f>
        <v>0</v>
      </c>
      <c r="BC397" s="108">
        <f>_xlfn.IFNA($M397/VLOOKUP($BV397,'Unit information'!$A$2:$K$29,11,FALSE)*AA397,0)*(1+$E$9)</f>
        <v>0</v>
      </c>
      <c r="BD397" s="106">
        <f t="shared" si="473"/>
        <v>0</v>
      </c>
      <c r="BE397" s="107">
        <f t="shared" si="474"/>
        <v>0</v>
      </c>
      <c r="BF397" s="108">
        <f t="shared" si="475"/>
        <v>0</v>
      </c>
      <c r="BG397" s="25" t="e">
        <f t="shared" si="476"/>
        <v>#N/A</v>
      </c>
      <c r="BH397" s="25" t="e">
        <f t="shared" si="477"/>
        <v>#N/A</v>
      </c>
      <c r="BI397" s="25" t="e">
        <f t="shared" si="478"/>
        <v>#N/A</v>
      </c>
      <c r="BJ397" s="27" t="e">
        <f t="shared" si="479"/>
        <v>#N/A</v>
      </c>
      <c r="BK397" s="18" t="e">
        <f t="shared" si="480"/>
        <v>#N/A</v>
      </c>
      <c r="BL397" s="18" t="e">
        <f t="shared" si="481"/>
        <v>#N/A</v>
      </c>
      <c r="BM397" s="28" t="e">
        <f t="shared" si="527"/>
        <v>#N/A</v>
      </c>
      <c r="BN397" s="33">
        <f>HLOOKUP("maximum population",Miscelaneous!$C$1:$C$33,CH397+3,FALSE)</f>
        <v>240</v>
      </c>
      <c r="BO397" s="14">
        <f t="shared" si="493"/>
        <v>32</v>
      </c>
      <c r="BP397" s="14">
        <f t="shared" si="494"/>
        <v>0</v>
      </c>
      <c r="BQ397" s="14">
        <f t="shared" si="495"/>
        <v>208</v>
      </c>
      <c r="BR397" s="34" t="e">
        <f>HLOOKUP(J397,Villagers!$B$1:$V$33,L397+3,FALSE)-HLOOKUP(J397,Villagers!$B$1:$V$33,L397+2,FALSE)</f>
        <v>#N/A</v>
      </c>
      <c r="BS397" s="49">
        <f t="shared" si="496"/>
        <v>1</v>
      </c>
      <c r="BT397" s="50">
        <f t="shared" si="497"/>
        <v>0</v>
      </c>
      <c r="BU397" s="50">
        <f t="shared" si="498"/>
        <v>0</v>
      </c>
      <c r="BV397" s="50">
        <f t="shared" si="499"/>
        <v>0</v>
      </c>
      <c r="BW397" s="50">
        <f t="shared" si="555"/>
        <v>0</v>
      </c>
      <c r="BX397" s="50">
        <f t="shared" si="556"/>
        <v>0</v>
      </c>
      <c r="BY397" s="50">
        <f t="shared" si="556"/>
        <v>0</v>
      </c>
      <c r="BZ397" s="50">
        <f t="shared" si="530"/>
        <v>0</v>
      </c>
      <c r="CA397" s="50">
        <f t="shared" si="531"/>
        <v>0</v>
      </c>
      <c r="CB397" s="50">
        <f t="shared" si="532"/>
        <v>1</v>
      </c>
      <c r="CC397" s="50">
        <f t="shared" si="533"/>
        <v>0</v>
      </c>
      <c r="CD397" s="50">
        <f t="shared" si="534"/>
        <v>0</v>
      </c>
      <c r="CE397" s="50">
        <f t="shared" si="535"/>
        <v>1</v>
      </c>
      <c r="CF397" s="50">
        <f t="shared" si="536"/>
        <v>1</v>
      </c>
      <c r="CG397" s="50">
        <f t="shared" si="537"/>
        <v>1</v>
      </c>
      <c r="CH397" s="50">
        <f t="shared" si="538"/>
        <v>1</v>
      </c>
      <c r="CI397" s="50">
        <f t="shared" si="539"/>
        <v>1</v>
      </c>
      <c r="CJ397" s="50">
        <f t="shared" si="540"/>
        <v>1</v>
      </c>
      <c r="CK397" s="50">
        <f t="shared" si="540"/>
        <v>0</v>
      </c>
      <c r="CL397" s="50">
        <f t="shared" si="540"/>
        <v>0</v>
      </c>
      <c r="CM397" s="51">
        <f t="shared" si="482"/>
        <v>0</v>
      </c>
      <c r="CN397" s="33">
        <f>ROUND(IF(BS397=0,0,HLOOKUP(BS$14,Villagers!$B$1:$V$33,BS397+3,FALSE)),)</f>
        <v>5</v>
      </c>
      <c r="CO397" s="14">
        <f>ROUND(IF(BT397=0,0,HLOOKUP(BT$14,Villagers!$B$1:$V$33,BT397+3,FALSE)),)</f>
        <v>0</v>
      </c>
      <c r="CP397" s="14">
        <f>ROUND(IF(BU397=0,0,HLOOKUP(BU$14,Villagers!$B$1:$V$33,BU397+3,FALSE)),)</f>
        <v>0</v>
      </c>
      <c r="CQ397" s="14">
        <f>ROUND(IF(BV397=0,0,HLOOKUP(BV$14,Villagers!$B$1:$V$33,BV397+3,FALSE)),)</f>
        <v>0</v>
      </c>
      <c r="CR397" s="14">
        <f>ROUND(IF(BW397=0,0,HLOOKUP(BW$14,Villagers!$B$1:$V$33,BW397+3,FALSE)),)</f>
        <v>0</v>
      </c>
      <c r="CS397" s="14">
        <f>ROUND(IF(BX397=0,0,HLOOKUP(BX$14,Villagers!$B$1:$V$33,BX397+3,FALSE)),)</f>
        <v>0</v>
      </c>
      <c r="CT397" s="14">
        <f>ROUND(IF(BY397=0,0,HLOOKUP(BY$14,Villagers!$B$1:$V$33,BY397+3,FALSE)),)</f>
        <v>0</v>
      </c>
      <c r="CU397" s="14">
        <f>ROUND(IF(BZ397=0,0,HLOOKUP(BZ$14,Villagers!$B$1:$V$33,BZ397+3,FALSE)),)</f>
        <v>0</v>
      </c>
      <c r="CV397" s="14">
        <f>ROUND(IF(CA397=0,0,HLOOKUP(CA$14,Villagers!$B$1:$V$33,CA397+3,FALSE)),)</f>
        <v>0</v>
      </c>
      <c r="CW397" s="14">
        <f>ROUND(IF(CB397=0,0,HLOOKUP(CB$14,Villagers!$B$1:$V$33,CB397+3,FALSE)),)</f>
        <v>0</v>
      </c>
      <c r="CX397" s="14">
        <f>ROUND(IF(CC397=0,0,HLOOKUP(CC$14,Villagers!$B$1:$V$33,CC397+3,FALSE)),)</f>
        <v>0</v>
      </c>
      <c r="CY397" s="14">
        <f>ROUND(IF(CD397=0,0,HLOOKUP(CD$14,Villagers!$B$1:$V$33,CD397+3,FALSE)),)</f>
        <v>0</v>
      </c>
      <c r="CZ397" s="14">
        <f>ROUND(IF(CE397=0,0,HLOOKUP(CE$14,Villagers!$B$1:$V$33,CE397+3,FALSE)),)</f>
        <v>5</v>
      </c>
      <c r="DA397" s="14">
        <f>ROUND(IF(CF397=0,0,HLOOKUP(CF$14,Villagers!$B$1:$V$33,CF397+3,FALSE)),)</f>
        <v>10</v>
      </c>
      <c r="DB397" s="14">
        <f>ROUND(IF(CG397=0,0,HLOOKUP(CG$14,Villagers!$B$1:$V$33,CG397+3,FALSE)),)</f>
        <v>10</v>
      </c>
      <c r="DC397" s="14">
        <f>ROUND(IF(CH397=0,0,HLOOKUP(CH$14,Villagers!$B$1:$V$33,CH397+3,FALSE)),)</f>
        <v>0</v>
      </c>
      <c r="DD397" s="14">
        <f>ROUND(IF(CI397=0,0,HLOOKUP(CI$14,Villagers!$B$1:$V$33,CI397+3,FALSE)),)</f>
        <v>0</v>
      </c>
      <c r="DE397" s="14">
        <f>ROUND(IF(CJ397=0,0,HLOOKUP(CJ$14,Villagers!$B$1:$V$33,CJ397+3,FALSE)),)</f>
        <v>2</v>
      </c>
      <c r="DF397" s="370">
        <f>ROUND(IF(CK397=0,0,HLOOKUP(CK$14,Villagers!$B$1:$V$33,CK397+3,FALSE)),)</f>
        <v>0</v>
      </c>
      <c r="DG397" s="370">
        <f>ROUND(IF(CL397=0,0,HLOOKUP(CL$14,Villagers!$B$1:$V$33,CL397+3,FALSE)),)</f>
        <v>0</v>
      </c>
      <c r="DH397" s="34">
        <f>ROUND(IF(CM397=0,0,HLOOKUP(CM$14,Villagers!$B$1:$V$33,CM397+3,FALSE)),)</f>
        <v>0</v>
      </c>
      <c r="DI397" s="109">
        <f t="shared" si="516"/>
        <v>0</v>
      </c>
      <c r="DJ397" s="50">
        <f t="shared" si="517"/>
        <v>0</v>
      </c>
      <c r="DK397" s="50">
        <f t="shared" si="518"/>
        <v>0</v>
      </c>
      <c r="DL397" s="50">
        <f t="shared" si="519"/>
        <v>0</v>
      </c>
      <c r="DM397" s="50">
        <f t="shared" si="520"/>
        <v>0</v>
      </c>
      <c r="DN397" s="50">
        <f t="shared" si="521"/>
        <v>0</v>
      </c>
      <c r="DO397" s="50">
        <f t="shared" si="522"/>
        <v>0</v>
      </c>
      <c r="DP397" s="50">
        <f t="shared" si="523"/>
        <v>0</v>
      </c>
      <c r="DQ397" s="50">
        <f t="shared" si="501"/>
        <v>0</v>
      </c>
      <c r="DR397" s="50">
        <f t="shared" si="502"/>
        <v>0</v>
      </c>
      <c r="DS397" s="96">
        <f>Miscelaneous!$D$4*Miscelaneous!$D$2^($CI397-1)</f>
        <v>1000</v>
      </c>
      <c r="DT397" s="333">
        <f t="shared" si="483"/>
        <v>1</v>
      </c>
      <c r="DU397" s="81">
        <v>1</v>
      </c>
      <c r="DV397" s="79">
        <f t="shared" si="503"/>
        <v>0</v>
      </c>
      <c r="DW397" s="79">
        <f t="shared" si="504"/>
        <v>0</v>
      </c>
      <c r="DX397" s="79">
        <f t="shared" si="505"/>
        <v>0</v>
      </c>
      <c r="DY397" s="79">
        <v>1</v>
      </c>
      <c r="DZ397" s="79">
        <f t="shared" si="506"/>
        <v>0</v>
      </c>
      <c r="EA397" s="79">
        <f t="shared" si="507"/>
        <v>0</v>
      </c>
      <c r="EB397" s="79">
        <f t="shared" si="508"/>
        <v>0</v>
      </c>
      <c r="EC397" s="79">
        <f t="shared" si="509"/>
        <v>0</v>
      </c>
      <c r="ED397" s="79">
        <v>1</v>
      </c>
      <c r="EE397" s="79">
        <v>1</v>
      </c>
      <c r="EF397" s="79">
        <f t="shared" si="510"/>
        <v>0</v>
      </c>
      <c r="EG397" s="79">
        <v>1</v>
      </c>
      <c r="EH397" s="79">
        <v>1</v>
      </c>
      <c r="EI397" s="79">
        <v>1</v>
      </c>
      <c r="EJ397" s="79">
        <v>1</v>
      </c>
      <c r="EK397" s="79">
        <v>1</v>
      </c>
      <c r="EL397" s="79">
        <v>1</v>
      </c>
      <c r="EM397" s="143">
        <f t="shared" si="511"/>
        <v>0</v>
      </c>
      <c r="EN397" s="143">
        <f t="shared" si="512"/>
        <v>0</v>
      </c>
      <c r="EO397" s="82">
        <f t="shared" si="513"/>
        <v>0</v>
      </c>
    </row>
    <row r="398" spans="1:145" x14ac:dyDescent="0.25">
      <c r="A398">
        <v>384</v>
      </c>
      <c r="B398" s="172" t="e">
        <f t="shared" si="484"/>
        <v>#N/A</v>
      </c>
      <c r="C398" s="121" t="e">
        <f t="shared" si="462"/>
        <v>#N/A</v>
      </c>
      <c r="D398" s="122" t="e">
        <f t="shared" si="463"/>
        <v>#N/A</v>
      </c>
      <c r="E398" s="122" t="e">
        <f t="shared" si="464"/>
        <v>#N/A</v>
      </c>
      <c r="F398" s="176" t="e">
        <f t="shared" si="465"/>
        <v>#N/A</v>
      </c>
      <c r="G398" s="121">
        <f t="shared" si="485"/>
        <v>208</v>
      </c>
      <c r="H398" s="176" t="e">
        <f t="shared" si="486"/>
        <v>#N/A</v>
      </c>
      <c r="I398" s="48">
        <v>1</v>
      </c>
      <c r="J398" s="39"/>
      <c r="K398" s="350">
        <v>1</v>
      </c>
      <c r="L398" s="34" t="e">
        <f t="shared" si="466"/>
        <v>#N/A</v>
      </c>
      <c r="M398" s="38" t="e">
        <f>(HLOOKUP(J398,'Construction Times'!$B$3:$W$34,L398+2,FALSE)*HLOOKUP("hq modifier",'Construction Times'!$W$3:$W$34,BS398+2,FALSE))*(1-$H$9)</f>
        <v>#N/A</v>
      </c>
      <c r="N398" s="443" t="e">
        <f t="shared" si="487"/>
        <v>#N/A</v>
      </c>
      <c r="O398" s="444"/>
      <c r="P398" s="447" t="e">
        <f t="shared" si="488"/>
        <v>#N/A</v>
      </c>
      <c r="Q398" s="448"/>
      <c r="R398" s="103">
        <f t="shared" si="548"/>
        <v>0</v>
      </c>
      <c r="S398" s="104">
        <f t="shared" si="548"/>
        <v>0</v>
      </c>
      <c r="T398" s="104">
        <f t="shared" si="549"/>
        <v>0</v>
      </c>
      <c r="U398" s="104">
        <f t="shared" si="549"/>
        <v>0</v>
      </c>
      <c r="V398" s="104">
        <f t="shared" si="549"/>
        <v>9.9999999999999995E-8</v>
      </c>
      <c r="W398" s="104">
        <f t="shared" si="549"/>
        <v>0</v>
      </c>
      <c r="X398" s="104">
        <f t="shared" si="557"/>
        <v>0</v>
      </c>
      <c r="Y398" s="104">
        <f t="shared" si="557"/>
        <v>9.9999999999999995E-8</v>
      </c>
      <c r="Z398" s="104">
        <f t="shared" si="557"/>
        <v>9.9999999999999995E-8</v>
      </c>
      <c r="AA398" s="105">
        <f t="shared" si="557"/>
        <v>9.9999999999999995E-8</v>
      </c>
      <c r="AB398" s="101" t="e">
        <f>$DT398*HLOOKUP($J398,'Construction Costs (timber)'!$B$1:$V$32,'Construction Planner'!$L398+2,FALSE)</f>
        <v>#N/A</v>
      </c>
      <c r="AC398" s="14" t="e">
        <f>$DT398*HLOOKUP($J398,'Construction Costs (clay)'!$B$1:$V$32,'Construction Planner'!$L398+2,FALSE)</f>
        <v>#N/A</v>
      </c>
      <c r="AD398" s="14" t="e">
        <f>$DT398*HLOOKUP($J398,'Construction Costs (iron)'!$B$1:$V$32,'Construction Planner'!$L398+2,FALSE)</f>
        <v>#N/A</v>
      </c>
      <c r="AE398" s="34" t="e">
        <f t="shared" si="524"/>
        <v>#N/A</v>
      </c>
      <c r="AF398" s="33" t="e">
        <f t="shared" si="467"/>
        <v>#N/A</v>
      </c>
      <c r="AG398" s="14" t="e">
        <f t="shared" si="468"/>
        <v>#N/A</v>
      </c>
      <c r="AH398" s="14" t="e">
        <f t="shared" si="469"/>
        <v>#N/A</v>
      </c>
      <c r="AI398" s="34" t="e">
        <f t="shared" si="525"/>
        <v>#N/A</v>
      </c>
      <c r="AJ398" s="49" t="e">
        <f t="shared" si="489"/>
        <v>#N/A</v>
      </c>
      <c r="AK398" s="49" t="e">
        <f t="shared" si="490"/>
        <v>#N/A</v>
      </c>
      <c r="AL398" s="49" t="e">
        <f t="shared" si="491"/>
        <v>#N/A</v>
      </c>
      <c r="AM398" s="25">
        <f t="shared" si="470"/>
        <v>30</v>
      </c>
      <c r="AN398" s="25">
        <f t="shared" si="471"/>
        <v>30</v>
      </c>
      <c r="AO398" s="25">
        <f t="shared" si="472"/>
        <v>30</v>
      </c>
      <c r="AP398" s="52" t="e">
        <f t="shared" si="546"/>
        <v>#N/A</v>
      </c>
      <c r="AQ398" s="53" t="e">
        <f t="shared" si="546"/>
        <v>#N/A</v>
      </c>
      <c r="AR398" s="54" t="e">
        <f t="shared" si="546"/>
        <v>#N/A</v>
      </c>
      <c r="AS398" s="316">
        <f t="shared" si="554"/>
        <v>0</v>
      </c>
      <c r="AT398" s="106">
        <f>_xlfn.IFNA($M398/VLOOKUP($BT398,'Unit information'!$A$2:$K$29,2,FALSE)*R398,0)*(1+$E$9)</f>
        <v>0</v>
      </c>
      <c r="AU398" s="107">
        <f>_xlfn.IFNA($M398/VLOOKUP($BT398,'Unit information'!$A$2:$K$29,3,FALSE)*S398,0)*(1+$E$9)</f>
        <v>0</v>
      </c>
      <c r="AV398" s="107">
        <f>_xlfn.IFNA($M398/VLOOKUP($BT398,'Unit information'!$A$2:$K$29,4,FALSE)*T398,0)*(1+$E$9)</f>
        <v>0</v>
      </c>
      <c r="AW398" s="107">
        <f>_xlfn.IFNA($M398/VLOOKUP($BT398,'Unit information'!$A$2:$K$29,5,FALSE)*U398,0)*(1+$E$9)</f>
        <v>0</v>
      </c>
      <c r="AX398" s="107">
        <f>_xlfn.IFNA($M398/VLOOKUP($BU398,'Unit information'!$A$2:$K$29,6,FALSE)*V398,0)*(1+$E$9)</f>
        <v>0</v>
      </c>
      <c r="AY398" s="107">
        <f>_xlfn.IFNA($M398/VLOOKUP($BU398,'Unit information'!$A$2:$K$29,7,FALSE)*W398,0)*(1+$E$9)</f>
        <v>0</v>
      </c>
      <c r="AZ398" s="107">
        <f>_xlfn.IFNA($M398/VLOOKUP($BU398,'Unit information'!$A$2:$K$29,8,FALSE)*X398,0)*(1+$E$9)</f>
        <v>0</v>
      </c>
      <c r="BA398" s="107">
        <f>_xlfn.IFNA($M398/VLOOKUP($BU398,'Unit information'!$A$2:$K$29,9,FALSE)*Y398,0)*(1+$E$9)</f>
        <v>0</v>
      </c>
      <c r="BB398" s="107">
        <f>_xlfn.IFNA($M398/VLOOKUP($BV398,'Unit information'!$A$2:$K$29,10,FALSE)*Z398,0)*(1+$E$9)</f>
        <v>0</v>
      </c>
      <c r="BC398" s="108">
        <f>_xlfn.IFNA($M398/VLOOKUP($BV398,'Unit information'!$A$2:$K$29,11,FALSE)*AA398,0)*(1+$E$9)</f>
        <v>0</v>
      </c>
      <c r="BD398" s="106">
        <f t="shared" si="473"/>
        <v>0</v>
      </c>
      <c r="BE398" s="107">
        <f t="shared" si="474"/>
        <v>0</v>
      </c>
      <c r="BF398" s="108">
        <f t="shared" si="475"/>
        <v>0</v>
      </c>
      <c r="BG398" s="25" t="e">
        <f t="shared" si="476"/>
        <v>#N/A</v>
      </c>
      <c r="BH398" s="25" t="e">
        <f t="shared" si="477"/>
        <v>#N/A</v>
      </c>
      <c r="BI398" s="25" t="e">
        <f t="shared" si="478"/>
        <v>#N/A</v>
      </c>
      <c r="BJ398" s="27" t="e">
        <f t="shared" si="479"/>
        <v>#N/A</v>
      </c>
      <c r="BK398" s="18" t="e">
        <f t="shared" si="480"/>
        <v>#N/A</v>
      </c>
      <c r="BL398" s="18" t="e">
        <f t="shared" si="481"/>
        <v>#N/A</v>
      </c>
      <c r="BM398" s="28" t="e">
        <f t="shared" si="527"/>
        <v>#N/A</v>
      </c>
      <c r="BN398" s="33">
        <f>HLOOKUP("maximum population",Miscelaneous!$C$1:$C$33,CH398+3,FALSE)</f>
        <v>240</v>
      </c>
      <c r="BO398" s="14">
        <f t="shared" si="493"/>
        <v>32</v>
      </c>
      <c r="BP398" s="14">
        <f t="shared" si="494"/>
        <v>0</v>
      </c>
      <c r="BQ398" s="14">
        <f t="shared" si="495"/>
        <v>208</v>
      </c>
      <c r="BR398" s="34" t="e">
        <f>HLOOKUP(J398,Villagers!$B$1:$V$33,L398+3,FALSE)-HLOOKUP(J398,Villagers!$B$1:$V$33,L398+2,FALSE)</f>
        <v>#N/A</v>
      </c>
      <c r="BS398" s="49">
        <f t="shared" si="496"/>
        <v>1</v>
      </c>
      <c r="BT398" s="50">
        <f t="shared" si="497"/>
        <v>0</v>
      </c>
      <c r="BU398" s="50">
        <f t="shared" si="498"/>
        <v>0</v>
      </c>
      <c r="BV398" s="50">
        <f t="shared" si="499"/>
        <v>0</v>
      </c>
      <c r="BW398" s="50">
        <f t="shared" si="555"/>
        <v>0</v>
      </c>
      <c r="BX398" s="50">
        <f t="shared" si="556"/>
        <v>0</v>
      </c>
      <c r="BY398" s="50">
        <f t="shared" si="556"/>
        <v>0</v>
      </c>
      <c r="BZ398" s="50">
        <f t="shared" si="530"/>
        <v>0</v>
      </c>
      <c r="CA398" s="50">
        <f t="shared" si="531"/>
        <v>0</v>
      </c>
      <c r="CB398" s="50">
        <f t="shared" si="532"/>
        <v>1</v>
      </c>
      <c r="CC398" s="50">
        <f t="shared" si="533"/>
        <v>0</v>
      </c>
      <c r="CD398" s="50">
        <f t="shared" si="534"/>
        <v>0</v>
      </c>
      <c r="CE398" s="50">
        <f t="shared" si="535"/>
        <v>1</v>
      </c>
      <c r="CF398" s="50">
        <f t="shared" si="536"/>
        <v>1</v>
      </c>
      <c r="CG398" s="50">
        <f t="shared" si="537"/>
        <v>1</v>
      </c>
      <c r="CH398" s="50">
        <f t="shared" si="538"/>
        <v>1</v>
      </c>
      <c r="CI398" s="50">
        <f t="shared" si="539"/>
        <v>1</v>
      </c>
      <c r="CJ398" s="50">
        <f t="shared" si="540"/>
        <v>1</v>
      </c>
      <c r="CK398" s="50">
        <f t="shared" si="540"/>
        <v>0</v>
      </c>
      <c r="CL398" s="50">
        <f t="shared" si="540"/>
        <v>0</v>
      </c>
      <c r="CM398" s="51">
        <f t="shared" si="482"/>
        <v>0</v>
      </c>
      <c r="CN398" s="33">
        <f>ROUND(IF(BS398=0,0,HLOOKUP(BS$14,Villagers!$B$1:$V$33,BS398+3,FALSE)),)</f>
        <v>5</v>
      </c>
      <c r="CO398" s="14">
        <f>ROUND(IF(BT398=0,0,HLOOKUP(BT$14,Villagers!$B$1:$V$33,BT398+3,FALSE)),)</f>
        <v>0</v>
      </c>
      <c r="CP398" s="14">
        <f>ROUND(IF(BU398=0,0,HLOOKUP(BU$14,Villagers!$B$1:$V$33,BU398+3,FALSE)),)</f>
        <v>0</v>
      </c>
      <c r="CQ398" s="14">
        <f>ROUND(IF(BV398=0,0,HLOOKUP(BV$14,Villagers!$B$1:$V$33,BV398+3,FALSE)),)</f>
        <v>0</v>
      </c>
      <c r="CR398" s="14">
        <f>ROUND(IF(BW398=0,0,HLOOKUP(BW$14,Villagers!$B$1:$V$33,BW398+3,FALSE)),)</f>
        <v>0</v>
      </c>
      <c r="CS398" s="14">
        <f>ROUND(IF(BX398=0,0,HLOOKUP(BX$14,Villagers!$B$1:$V$33,BX398+3,FALSE)),)</f>
        <v>0</v>
      </c>
      <c r="CT398" s="14">
        <f>ROUND(IF(BY398=0,0,HLOOKUP(BY$14,Villagers!$B$1:$V$33,BY398+3,FALSE)),)</f>
        <v>0</v>
      </c>
      <c r="CU398" s="14">
        <f>ROUND(IF(BZ398=0,0,HLOOKUP(BZ$14,Villagers!$B$1:$V$33,BZ398+3,FALSE)),)</f>
        <v>0</v>
      </c>
      <c r="CV398" s="14">
        <f>ROUND(IF(CA398=0,0,HLOOKUP(CA$14,Villagers!$B$1:$V$33,CA398+3,FALSE)),)</f>
        <v>0</v>
      </c>
      <c r="CW398" s="14">
        <f>ROUND(IF(CB398=0,0,HLOOKUP(CB$14,Villagers!$B$1:$V$33,CB398+3,FALSE)),)</f>
        <v>0</v>
      </c>
      <c r="CX398" s="14">
        <f>ROUND(IF(CC398=0,0,HLOOKUP(CC$14,Villagers!$B$1:$V$33,CC398+3,FALSE)),)</f>
        <v>0</v>
      </c>
      <c r="CY398" s="14">
        <f>ROUND(IF(CD398=0,0,HLOOKUP(CD$14,Villagers!$B$1:$V$33,CD398+3,FALSE)),)</f>
        <v>0</v>
      </c>
      <c r="CZ398" s="14">
        <f>ROUND(IF(CE398=0,0,HLOOKUP(CE$14,Villagers!$B$1:$V$33,CE398+3,FALSE)),)</f>
        <v>5</v>
      </c>
      <c r="DA398" s="14">
        <f>ROUND(IF(CF398=0,0,HLOOKUP(CF$14,Villagers!$B$1:$V$33,CF398+3,FALSE)),)</f>
        <v>10</v>
      </c>
      <c r="DB398" s="14">
        <f>ROUND(IF(CG398=0,0,HLOOKUP(CG$14,Villagers!$B$1:$V$33,CG398+3,FALSE)),)</f>
        <v>10</v>
      </c>
      <c r="DC398" s="14">
        <f>ROUND(IF(CH398=0,0,HLOOKUP(CH$14,Villagers!$B$1:$V$33,CH398+3,FALSE)),)</f>
        <v>0</v>
      </c>
      <c r="DD398" s="14">
        <f>ROUND(IF(CI398=0,0,HLOOKUP(CI$14,Villagers!$B$1:$V$33,CI398+3,FALSE)),)</f>
        <v>0</v>
      </c>
      <c r="DE398" s="14">
        <f>ROUND(IF(CJ398=0,0,HLOOKUP(CJ$14,Villagers!$B$1:$V$33,CJ398+3,FALSE)),)</f>
        <v>2</v>
      </c>
      <c r="DF398" s="370">
        <f>ROUND(IF(CK398=0,0,HLOOKUP(CK$14,Villagers!$B$1:$V$33,CK398+3,FALSE)),)</f>
        <v>0</v>
      </c>
      <c r="DG398" s="370">
        <f>ROUND(IF(CL398=0,0,HLOOKUP(CL$14,Villagers!$B$1:$V$33,CL398+3,FALSE)),)</f>
        <v>0</v>
      </c>
      <c r="DH398" s="34">
        <f>ROUND(IF(CM398=0,0,HLOOKUP(CM$14,Villagers!$B$1:$V$33,CM398+3,FALSE)),)</f>
        <v>0</v>
      </c>
      <c r="DI398" s="109">
        <f t="shared" si="516"/>
        <v>0</v>
      </c>
      <c r="DJ398" s="50">
        <f t="shared" si="517"/>
        <v>0</v>
      </c>
      <c r="DK398" s="50">
        <f t="shared" si="518"/>
        <v>0</v>
      </c>
      <c r="DL398" s="50">
        <f t="shared" si="519"/>
        <v>0</v>
      </c>
      <c r="DM398" s="50">
        <f t="shared" si="520"/>
        <v>0</v>
      </c>
      <c r="DN398" s="50">
        <f t="shared" si="521"/>
        <v>0</v>
      </c>
      <c r="DO398" s="50">
        <f t="shared" si="522"/>
        <v>0</v>
      </c>
      <c r="DP398" s="50">
        <f t="shared" si="523"/>
        <v>0</v>
      </c>
      <c r="DQ398" s="50">
        <f t="shared" si="501"/>
        <v>0</v>
      </c>
      <c r="DR398" s="50">
        <f t="shared" si="502"/>
        <v>0</v>
      </c>
      <c r="DS398" s="96">
        <f>Miscelaneous!$D$4*Miscelaneous!$D$2^($CI398-1)</f>
        <v>1000</v>
      </c>
      <c r="DT398" s="333">
        <f t="shared" si="483"/>
        <v>1</v>
      </c>
      <c r="DU398" s="81">
        <v>1</v>
      </c>
      <c r="DV398" s="79">
        <f t="shared" si="503"/>
        <v>0</v>
      </c>
      <c r="DW398" s="79">
        <f t="shared" si="504"/>
        <v>0</v>
      </c>
      <c r="DX398" s="79">
        <f t="shared" si="505"/>
        <v>0</v>
      </c>
      <c r="DY398" s="79">
        <v>1</v>
      </c>
      <c r="DZ398" s="79">
        <f t="shared" si="506"/>
        <v>0</v>
      </c>
      <c r="EA398" s="79">
        <f t="shared" si="507"/>
        <v>0</v>
      </c>
      <c r="EB398" s="79">
        <f t="shared" si="508"/>
        <v>0</v>
      </c>
      <c r="EC398" s="79">
        <f t="shared" si="509"/>
        <v>0</v>
      </c>
      <c r="ED398" s="79">
        <v>1</v>
      </c>
      <c r="EE398" s="79">
        <v>1</v>
      </c>
      <c r="EF398" s="79">
        <f t="shared" si="510"/>
        <v>0</v>
      </c>
      <c r="EG398" s="79">
        <v>1</v>
      </c>
      <c r="EH398" s="79">
        <v>1</v>
      </c>
      <c r="EI398" s="79">
        <v>1</v>
      </c>
      <c r="EJ398" s="79">
        <v>1</v>
      </c>
      <c r="EK398" s="79">
        <v>1</v>
      </c>
      <c r="EL398" s="79">
        <v>1</v>
      </c>
      <c r="EM398" s="143">
        <f t="shared" si="511"/>
        <v>0</v>
      </c>
      <c r="EN398" s="143">
        <f t="shared" si="512"/>
        <v>0</v>
      </c>
      <c r="EO398" s="82">
        <f t="shared" si="513"/>
        <v>0</v>
      </c>
    </row>
    <row r="399" spans="1:145" x14ac:dyDescent="0.25">
      <c r="A399">
        <v>385</v>
      </c>
      <c r="B399" s="172" t="e">
        <f t="shared" si="484"/>
        <v>#N/A</v>
      </c>
      <c r="C399" s="121" t="e">
        <f t="shared" ref="C399:C462" si="558">AJ399-SUM(AB399:AB403)</f>
        <v>#N/A</v>
      </c>
      <c r="D399" s="122" t="e">
        <f t="shared" ref="D399:D462" si="559">AK399-SUM(AC399:AC403)</f>
        <v>#N/A</v>
      </c>
      <c r="E399" s="122" t="e">
        <f t="shared" ref="E399:E462" si="560">AL399-SUM(AD399:AD403)</f>
        <v>#N/A</v>
      </c>
      <c r="F399" s="176" t="e">
        <f t="shared" ref="F399:F462" si="561">IF(AND(MAX(C399:E399)&gt;0,DS399-MAX(C399:E399)&lt;DS399),DS399-MAX(C399:E399),DS399)</f>
        <v>#N/A</v>
      </c>
      <c r="G399" s="121">
        <f t="shared" si="485"/>
        <v>208</v>
      </c>
      <c r="H399" s="176" t="e">
        <f t="shared" si="486"/>
        <v>#N/A</v>
      </c>
      <c r="I399" s="48">
        <v>1</v>
      </c>
      <c r="J399" s="39"/>
      <c r="K399" s="350">
        <v>1</v>
      </c>
      <c r="L399" s="34" t="e">
        <f t="shared" ref="L399:L462" si="562">HLOOKUP(J399,$BS$14:$CM$508,A400,FALSE)+K399</f>
        <v>#N/A</v>
      </c>
      <c r="M399" s="38" t="e">
        <f>(HLOOKUP(J399,'Construction Times'!$B$3:$W$34,L399+2,FALSE)*HLOOKUP("hq modifier",'Construction Times'!$W$3:$W$34,BS399+2,FALSE))*(1-$H$9)</f>
        <v>#N/A</v>
      </c>
      <c r="N399" s="443" t="e">
        <f t="shared" si="487"/>
        <v>#N/A</v>
      </c>
      <c r="O399" s="444"/>
      <c r="P399" s="447" t="e">
        <f t="shared" si="488"/>
        <v>#N/A</v>
      </c>
      <c r="Q399" s="448"/>
      <c r="R399" s="103">
        <f t="shared" si="548"/>
        <v>0</v>
      </c>
      <c r="S399" s="104">
        <f t="shared" si="548"/>
        <v>0</v>
      </c>
      <c r="T399" s="104">
        <f t="shared" si="549"/>
        <v>0</v>
      </c>
      <c r="U399" s="104">
        <f t="shared" si="549"/>
        <v>0</v>
      </c>
      <c r="V399" s="104">
        <f t="shared" si="549"/>
        <v>9.9999999999999995E-8</v>
      </c>
      <c r="W399" s="104">
        <f t="shared" si="549"/>
        <v>0</v>
      </c>
      <c r="X399" s="104">
        <f t="shared" si="557"/>
        <v>0</v>
      </c>
      <c r="Y399" s="104">
        <f t="shared" si="557"/>
        <v>9.9999999999999995E-8</v>
      </c>
      <c r="Z399" s="104">
        <f t="shared" si="557"/>
        <v>9.9999999999999995E-8</v>
      </c>
      <c r="AA399" s="105">
        <f t="shared" si="557"/>
        <v>9.9999999999999995E-8</v>
      </c>
      <c r="AB399" s="101" t="e">
        <f>$DT399*HLOOKUP($J399,'Construction Costs (timber)'!$B$1:$V$32,'Construction Planner'!$L399+2,FALSE)</f>
        <v>#N/A</v>
      </c>
      <c r="AC399" s="14" t="e">
        <f>$DT399*HLOOKUP($J399,'Construction Costs (clay)'!$B$1:$V$32,'Construction Planner'!$L399+2,FALSE)</f>
        <v>#N/A</v>
      </c>
      <c r="AD399" s="14" t="e">
        <f>$DT399*HLOOKUP($J399,'Construction Costs (iron)'!$B$1:$V$32,'Construction Planner'!$L399+2,FALSE)</f>
        <v>#N/A</v>
      </c>
      <c r="AE399" s="34" t="e">
        <f t="shared" si="524"/>
        <v>#N/A</v>
      </c>
      <c r="AF399" s="33" t="e">
        <f t="shared" ref="AF399:AF462" si="563">AB399*($AH$3/$M399)</f>
        <v>#N/A</v>
      </c>
      <c r="AG399" s="14" t="e">
        <f t="shared" ref="AG399:AG462" si="564">AC399*($AH$3/$M399)</f>
        <v>#N/A</v>
      </c>
      <c r="AH399" s="14" t="e">
        <f t="shared" ref="AH399:AH462" si="565">AD399*($AH$3/$M399)</f>
        <v>#N/A</v>
      </c>
      <c r="AI399" s="34" t="e">
        <f t="shared" si="525"/>
        <v>#N/A</v>
      </c>
      <c r="AJ399" s="49" t="e">
        <f t="shared" si="489"/>
        <v>#N/A</v>
      </c>
      <c r="AK399" s="49" t="e">
        <f t="shared" si="490"/>
        <v>#N/A</v>
      </c>
      <c r="AL399" s="49" t="e">
        <f t="shared" si="491"/>
        <v>#N/A</v>
      </c>
      <c r="AM399" s="25">
        <f t="shared" ref="AM399:AM462" si="566">IF(CE399 = 0,$E$3*5,$E$3*30*1.163118^(CE399-1))*(1+$B$10)</f>
        <v>30</v>
      </c>
      <c r="AN399" s="25">
        <f t="shared" ref="AN399:AN462" si="567">IF(CF399 = 0,$E$3*5,$E$3*30*1.163118^(CF399-1))*(1+$B$10)</f>
        <v>30</v>
      </c>
      <c r="AO399" s="25">
        <f t="shared" ref="AO399:AO462" si="568">IF(CG399 = 0,$E$3*5,$E$3*30*1.163118^(CG399-1))*(1+$B$10)</f>
        <v>30</v>
      </c>
      <c r="AP399" s="52" t="e">
        <f t="shared" si="546"/>
        <v>#N/A</v>
      </c>
      <c r="AQ399" s="53" t="e">
        <f t="shared" si="546"/>
        <v>#N/A</v>
      </c>
      <c r="AR399" s="54" t="e">
        <f t="shared" si="546"/>
        <v>#N/A</v>
      </c>
      <c r="AS399" s="316">
        <f t="shared" si="554"/>
        <v>0</v>
      </c>
      <c r="AT399" s="106">
        <f>_xlfn.IFNA($M399/VLOOKUP($BT399,'Unit information'!$A$2:$K$29,2,FALSE)*R399,0)*(1+$E$9)</f>
        <v>0</v>
      </c>
      <c r="AU399" s="107">
        <f>_xlfn.IFNA($M399/VLOOKUP($BT399,'Unit information'!$A$2:$K$29,3,FALSE)*S399,0)*(1+$E$9)</f>
        <v>0</v>
      </c>
      <c r="AV399" s="107">
        <f>_xlfn.IFNA($M399/VLOOKUP($BT399,'Unit information'!$A$2:$K$29,4,FALSE)*T399,0)*(1+$E$9)</f>
        <v>0</v>
      </c>
      <c r="AW399" s="107">
        <f>_xlfn.IFNA($M399/VLOOKUP($BT399,'Unit information'!$A$2:$K$29,5,FALSE)*U399,0)*(1+$E$9)</f>
        <v>0</v>
      </c>
      <c r="AX399" s="107">
        <f>_xlfn.IFNA($M399/VLOOKUP($BU399,'Unit information'!$A$2:$K$29,6,FALSE)*V399,0)*(1+$E$9)</f>
        <v>0</v>
      </c>
      <c r="AY399" s="107">
        <f>_xlfn.IFNA($M399/VLOOKUP($BU399,'Unit information'!$A$2:$K$29,7,FALSE)*W399,0)*(1+$E$9)</f>
        <v>0</v>
      </c>
      <c r="AZ399" s="107">
        <f>_xlfn.IFNA($M399/VLOOKUP($BU399,'Unit information'!$A$2:$K$29,8,FALSE)*X399,0)*(1+$E$9)</f>
        <v>0</v>
      </c>
      <c r="BA399" s="107">
        <f>_xlfn.IFNA($M399/VLOOKUP($BU399,'Unit information'!$A$2:$K$29,9,FALSE)*Y399,0)*(1+$E$9)</f>
        <v>0</v>
      </c>
      <c r="BB399" s="107">
        <f>_xlfn.IFNA($M399/VLOOKUP($BV399,'Unit information'!$A$2:$K$29,10,FALSE)*Z399,0)*(1+$E$9)</f>
        <v>0</v>
      </c>
      <c r="BC399" s="108">
        <f>_xlfn.IFNA($M399/VLOOKUP($BV399,'Unit information'!$A$2:$K$29,11,FALSE)*AA399,0)*(1+$E$9)</f>
        <v>0</v>
      </c>
      <c r="BD399" s="106">
        <f t="shared" ref="BD399:BD462" si="569">$AT399*50+$AU399*30+$AV399*60+$AX399*50+$AY399*125+$BA399*200+$BB399*300+$BC399*320</f>
        <v>0</v>
      </c>
      <c r="BE399" s="107">
        <f t="shared" ref="BE399:BE462" si="570">$AT399*30+$AU399*30+$AV399*30+$AX399*50+$AY399*100+$BA399*150+$BB399*200+$BC399*400</f>
        <v>0</v>
      </c>
      <c r="BF399" s="108">
        <f t="shared" ref="BF399:BF462" si="571">$AT399*10+$AU399*70+$AV399*40+$AX399*20+$AY399*250+$BA399*600+$BB399*200+$BC399*100</f>
        <v>0</v>
      </c>
      <c r="BG399" s="25" t="e">
        <f t="shared" ref="BG399:BG462" si="572">AM399+AP399</f>
        <v>#N/A</v>
      </c>
      <c r="BH399" s="25" t="e">
        <f t="shared" ref="BH399:BH462" si="573">AN399+AQ399</f>
        <v>#N/A</v>
      </c>
      <c r="BI399" s="25" t="e">
        <f t="shared" ref="BI399:BI462" si="574">AO399+AR399</f>
        <v>#N/A</v>
      </c>
      <c r="BJ399" s="27" t="e">
        <f t="shared" ref="BJ399:BJ462" si="575">IF(AJ399&gt;AB399,0,(AB399-AJ399)/BG399*$AK$3)</f>
        <v>#N/A</v>
      </c>
      <c r="BK399" s="18" t="e">
        <f t="shared" ref="BK399:BK462" si="576">IF(AK399&gt;AC399,0,(AC399-AK399)/BH399*$AK$3)</f>
        <v>#N/A</v>
      </c>
      <c r="BL399" s="18" t="e">
        <f t="shared" ref="BL399:BL462" si="577">IF(AL399&gt;AD399,0,(AD399-AL399)/BI399*$AK$3)</f>
        <v>#N/A</v>
      </c>
      <c r="BM399" s="28" t="e">
        <f t="shared" si="527"/>
        <v>#N/A</v>
      </c>
      <c r="BN399" s="33">
        <f>HLOOKUP("maximum population",Miscelaneous!$C$1:$C$33,CH399+3,FALSE)</f>
        <v>240</v>
      </c>
      <c r="BO399" s="14">
        <f t="shared" si="493"/>
        <v>32</v>
      </c>
      <c r="BP399" s="14">
        <f t="shared" si="494"/>
        <v>0</v>
      </c>
      <c r="BQ399" s="14">
        <f t="shared" si="495"/>
        <v>208</v>
      </c>
      <c r="BR399" s="34" t="e">
        <f>HLOOKUP(J399,Villagers!$B$1:$V$33,L399+3,FALSE)-HLOOKUP(J399,Villagers!$B$1:$V$33,L399+2,FALSE)</f>
        <v>#N/A</v>
      </c>
      <c r="BS399" s="49">
        <f t="shared" si="496"/>
        <v>1</v>
      </c>
      <c r="BT399" s="50">
        <f t="shared" si="497"/>
        <v>0</v>
      </c>
      <c r="BU399" s="50">
        <f t="shared" si="498"/>
        <v>0</v>
      </c>
      <c r="BV399" s="50">
        <f t="shared" si="499"/>
        <v>0</v>
      </c>
      <c r="BW399" s="50">
        <f t="shared" si="555"/>
        <v>0</v>
      </c>
      <c r="BX399" s="50">
        <f t="shared" si="556"/>
        <v>0</v>
      </c>
      <c r="BY399" s="50">
        <f t="shared" si="556"/>
        <v>0</v>
      </c>
      <c r="BZ399" s="50">
        <f t="shared" si="530"/>
        <v>0</v>
      </c>
      <c r="CA399" s="50">
        <f t="shared" si="531"/>
        <v>0</v>
      </c>
      <c r="CB399" s="50">
        <f t="shared" si="532"/>
        <v>1</v>
      </c>
      <c r="CC399" s="50">
        <f t="shared" si="533"/>
        <v>0</v>
      </c>
      <c r="CD399" s="50">
        <f t="shared" si="534"/>
        <v>0</v>
      </c>
      <c r="CE399" s="50">
        <f t="shared" si="535"/>
        <v>1</v>
      </c>
      <c r="CF399" s="50">
        <f t="shared" si="536"/>
        <v>1</v>
      </c>
      <c r="CG399" s="50">
        <f t="shared" si="537"/>
        <v>1</v>
      </c>
      <c r="CH399" s="50">
        <f t="shared" si="538"/>
        <v>1</v>
      </c>
      <c r="CI399" s="50">
        <f t="shared" si="539"/>
        <v>1</v>
      </c>
      <c r="CJ399" s="50">
        <f t="shared" si="540"/>
        <v>1</v>
      </c>
      <c r="CK399" s="50">
        <f t="shared" si="540"/>
        <v>0</v>
      </c>
      <c r="CL399" s="50">
        <f t="shared" si="540"/>
        <v>0</v>
      </c>
      <c r="CM399" s="51">
        <f t="shared" ref="CM399:CM414" si="578">IF($J398=CM$14,$L398,CM398)</f>
        <v>0</v>
      </c>
      <c r="CN399" s="33">
        <f>ROUND(IF(BS399=0,0,HLOOKUP(BS$14,Villagers!$B$1:$V$33,BS399+3,FALSE)),)</f>
        <v>5</v>
      </c>
      <c r="CO399" s="14">
        <f>ROUND(IF(BT399=0,0,HLOOKUP(BT$14,Villagers!$B$1:$V$33,BT399+3,FALSE)),)</f>
        <v>0</v>
      </c>
      <c r="CP399" s="14">
        <f>ROUND(IF(BU399=0,0,HLOOKUP(BU$14,Villagers!$B$1:$V$33,BU399+3,FALSE)),)</f>
        <v>0</v>
      </c>
      <c r="CQ399" s="14">
        <f>ROUND(IF(BV399=0,0,HLOOKUP(BV$14,Villagers!$B$1:$V$33,BV399+3,FALSE)),)</f>
        <v>0</v>
      </c>
      <c r="CR399" s="14">
        <f>ROUND(IF(BW399=0,0,HLOOKUP(BW$14,Villagers!$B$1:$V$33,BW399+3,FALSE)),)</f>
        <v>0</v>
      </c>
      <c r="CS399" s="14">
        <f>ROUND(IF(BX399=0,0,HLOOKUP(BX$14,Villagers!$B$1:$V$33,BX399+3,FALSE)),)</f>
        <v>0</v>
      </c>
      <c r="CT399" s="14">
        <f>ROUND(IF(BY399=0,0,HLOOKUP(BY$14,Villagers!$B$1:$V$33,BY399+3,FALSE)),)</f>
        <v>0</v>
      </c>
      <c r="CU399" s="14">
        <f>ROUND(IF(BZ399=0,0,HLOOKUP(BZ$14,Villagers!$B$1:$V$33,BZ399+3,FALSE)),)</f>
        <v>0</v>
      </c>
      <c r="CV399" s="14">
        <f>ROUND(IF(CA399=0,0,HLOOKUP(CA$14,Villagers!$B$1:$V$33,CA399+3,FALSE)),)</f>
        <v>0</v>
      </c>
      <c r="CW399" s="14">
        <f>ROUND(IF(CB399=0,0,HLOOKUP(CB$14,Villagers!$B$1:$V$33,CB399+3,FALSE)),)</f>
        <v>0</v>
      </c>
      <c r="CX399" s="14">
        <f>ROUND(IF(CC399=0,0,HLOOKUP(CC$14,Villagers!$B$1:$V$33,CC399+3,FALSE)),)</f>
        <v>0</v>
      </c>
      <c r="CY399" s="14">
        <f>ROUND(IF(CD399=0,0,HLOOKUP(CD$14,Villagers!$B$1:$V$33,CD399+3,FALSE)),)</f>
        <v>0</v>
      </c>
      <c r="CZ399" s="14">
        <f>ROUND(IF(CE399=0,0,HLOOKUP(CE$14,Villagers!$B$1:$V$33,CE399+3,FALSE)),)</f>
        <v>5</v>
      </c>
      <c r="DA399" s="14">
        <f>ROUND(IF(CF399=0,0,HLOOKUP(CF$14,Villagers!$B$1:$V$33,CF399+3,FALSE)),)</f>
        <v>10</v>
      </c>
      <c r="DB399" s="14">
        <f>ROUND(IF(CG399=0,0,HLOOKUP(CG$14,Villagers!$B$1:$V$33,CG399+3,FALSE)),)</f>
        <v>10</v>
      </c>
      <c r="DC399" s="14">
        <f>ROUND(IF(CH399=0,0,HLOOKUP(CH$14,Villagers!$B$1:$V$33,CH399+3,FALSE)),)</f>
        <v>0</v>
      </c>
      <c r="DD399" s="14">
        <f>ROUND(IF(CI399=0,0,HLOOKUP(CI$14,Villagers!$B$1:$V$33,CI399+3,FALSE)),)</f>
        <v>0</v>
      </c>
      <c r="DE399" s="14">
        <f>ROUND(IF(CJ399=0,0,HLOOKUP(CJ$14,Villagers!$B$1:$V$33,CJ399+3,FALSE)),)</f>
        <v>2</v>
      </c>
      <c r="DF399" s="370">
        <f>ROUND(IF(CK399=0,0,HLOOKUP(CK$14,Villagers!$B$1:$V$33,CK399+3,FALSE)),)</f>
        <v>0</v>
      </c>
      <c r="DG399" s="370">
        <f>ROUND(IF(CL399=0,0,HLOOKUP(CL$14,Villagers!$B$1:$V$33,CL399+3,FALSE)),)</f>
        <v>0</v>
      </c>
      <c r="DH399" s="34">
        <f>ROUND(IF(CM399=0,0,HLOOKUP(CM$14,Villagers!$B$1:$V$33,CM399+3,FALSE)),)</f>
        <v>0</v>
      </c>
      <c r="DI399" s="109">
        <f t="shared" si="516"/>
        <v>0</v>
      </c>
      <c r="DJ399" s="50">
        <f t="shared" si="517"/>
        <v>0</v>
      </c>
      <c r="DK399" s="50">
        <f t="shared" si="518"/>
        <v>0</v>
      </c>
      <c r="DL399" s="50">
        <f t="shared" si="519"/>
        <v>0</v>
      </c>
      <c r="DM399" s="50">
        <f t="shared" si="520"/>
        <v>0</v>
      </c>
      <c r="DN399" s="50">
        <f t="shared" si="521"/>
        <v>0</v>
      </c>
      <c r="DO399" s="50">
        <f t="shared" si="522"/>
        <v>0</v>
      </c>
      <c r="DP399" s="50">
        <f t="shared" si="523"/>
        <v>0</v>
      </c>
      <c r="DQ399" s="50">
        <f t="shared" si="501"/>
        <v>0</v>
      </c>
      <c r="DR399" s="50">
        <f t="shared" si="502"/>
        <v>0</v>
      </c>
      <c r="DS399" s="96">
        <f>Miscelaneous!$D$4*Miscelaneous!$D$2^($CI399-1)</f>
        <v>1000</v>
      </c>
      <c r="DT399" s="333">
        <f t="shared" ref="DT399:DT462" si="579">IF(I399&lt;3,1,1.125^(I399-3))</f>
        <v>1</v>
      </c>
      <c r="DU399" s="81">
        <v>1</v>
      </c>
      <c r="DV399" s="79">
        <f t="shared" si="503"/>
        <v>0</v>
      </c>
      <c r="DW399" s="79">
        <f t="shared" si="504"/>
        <v>0</v>
      </c>
      <c r="DX399" s="79">
        <f t="shared" si="505"/>
        <v>0</v>
      </c>
      <c r="DY399" s="79">
        <v>1</v>
      </c>
      <c r="DZ399" s="79">
        <f t="shared" si="506"/>
        <v>0</v>
      </c>
      <c r="EA399" s="79">
        <f t="shared" si="507"/>
        <v>0</v>
      </c>
      <c r="EB399" s="79">
        <f t="shared" si="508"/>
        <v>0</v>
      </c>
      <c r="EC399" s="79">
        <f t="shared" si="509"/>
        <v>0</v>
      </c>
      <c r="ED399" s="79">
        <v>1</v>
      </c>
      <c r="EE399" s="79">
        <v>1</v>
      </c>
      <c r="EF399" s="79">
        <f t="shared" si="510"/>
        <v>0</v>
      </c>
      <c r="EG399" s="79">
        <v>1</v>
      </c>
      <c r="EH399" s="79">
        <v>1</v>
      </c>
      <c r="EI399" s="79">
        <v>1</v>
      </c>
      <c r="EJ399" s="79">
        <v>1</v>
      </c>
      <c r="EK399" s="79">
        <v>1</v>
      </c>
      <c r="EL399" s="79">
        <v>1</v>
      </c>
      <c r="EM399" s="143">
        <f t="shared" si="511"/>
        <v>0</v>
      </c>
      <c r="EN399" s="143">
        <f t="shared" si="512"/>
        <v>0</v>
      </c>
      <c r="EO399" s="82">
        <f t="shared" si="513"/>
        <v>0</v>
      </c>
    </row>
    <row r="400" spans="1:145" x14ac:dyDescent="0.25">
      <c r="A400">
        <v>386</v>
      </c>
      <c r="B400" s="172" t="e">
        <f t="shared" ref="B400:B463" si="580">BM400</f>
        <v>#N/A</v>
      </c>
      <c r="C400" s="121" t="e">
        <f t="shared" si="558"/>
        <v>#N/A</v>
      </c>
      <c r="D400" s="122" t="e">
        <f t="shared" si="559"/>
        <v>#N/A</v>
      </c>
      <c r="E400" s="122" t="e">
        <f t="shared" si="560"/>
        <v>#N/A</v>
      </c>
      <c r="F400" s="176" t="e">
        <f t="shared" si="561"/>
        <v>#N/A</v>
      </c>
      <c r="G400" s="121">
        <f t="shared" ref="G400:G463" si="581">BQ400</f>
        <v>208</v>
      </c>
      <c r="H400" s="176" t="e">
        <f t="shared" ref="H400:H463" si="582">BQ400-SUM(BR400:BR404)</f>
        <v>#N/A</v>
      </c>
      <c r="I400" s="48">
        <v>1</v>
      </c>
      <c r="J400" s="39"/>
      <c r="K400" s="350">
        <v>1</v>
      </c>
      <c r="L400" s="34" t="e">
        <f t="shared" si="562"/>
        <v>#N/A</v>
      </c>
      <c r="M400" s="38" t="e">
        <f>(HLOOKUP(J400,'Construction Times'!$B$3:$W$34,L400+2,FALSE)*HLOOKUP("hq modifier",'Construction Times'!$W$3:$W$34,BS400+2,FALSE))*(1-$H$9)</f>
        <v>#N/A</v>
      </c>
      <c r="N400" s="443" t="e">
        <f t="shared" ref="N400:N463" si="583">P399+M399</f>
        <v>#N/A</v>
      </c>
      <c r="O400" s="444"/>
      <c r="P400" s="447" t="e">
        <f t="shared" ref="P400:P463" si="584">IF(MAX(AB400:AD400)&gt;DS400,"Speicher zu klein",IF(HLOOKUP(J400,$DU$14:$EO$509,A400+2,FALSE)=0,"Gebäude Vor. nicht erfüllt",N400+BM400))</f>
        <v>#N/A</v>
      </c>
      <c r="Q400" s="448"/>
      <c r="R400" s="103">
        <f t="shared" si="548"/>
        <v>0</v>
      </c>
      <c r="S400" s="104">
        <f t="shared" si="548"/>
        <v>0</v>
      </c>
      <c r="T400" s="104">
        <f t="shared" si="549"/>
        <v>0</v>
      </c>
      <c r="U400" s="104">
        <f t="shared" si="549"/>
        <v>0</v>
      </c>
      <c r="V400" s="104">
        <f t="shared" si="549"/>
        <v>9.9999999999999995E-8</v>
      </c>
      <c r="W400" s="104">
        <f t="shared" si="549"/>
        <v>0</v>
      </c>
      <c r="X400" s="104">
        <f t="shared" si="557"/>
        <v>0</v>
      </c>
      <c r="Y400" s="104">
        <f t="shared" si="557"/>
        <v>9.9999999999999995E-8</v>
      </c>
      <c r="Z400" s="104">
        <f t="shared" si="557"/>
        <v>9.9999999999999995E-8</v>
      </c>
      <c r="AA400" s="105">
        <f t="shared" si="557"/>
        <v>9.9999999999999995E-8</v>
      </c>
      <c r="AB400" s="101" t="e">
        <f>$DT400*HLOOKUP($J400,'Construction Costs (timber)'!$B$1:$V$32,'Construction Planner'!$L400+2,FALSE)</f>
        <v>#N/A</v>
      </c>
      <c r="AC400" s="14" t="e">
        <f>$DT400*HLOOKUP($J400,'Construction Costs (clay)'!$B$1:$V$32,'Construction Planner'!$L400+2,FALSE)</f>
        <v>#N/A</v>
      </c>
      <c r="AD400" s="14" t="e">
        <f>$DT400*HLOOKUP($J400,'Construction Costs (iron)'!$B$1:$V$32,'Construction Planner'!$L400+2,FALSE)</f>
        <v>#N/A</v>
      </c>
      <c r="AE400" s="34" t="e">
        <f t="shared" si="524"/>
        <v>#N/A</v>
      </c>
      <c r="AF400" s="33" t="e">
        <f t="shared" si="563"/>
        <v>#N/A</v>
      </c>
      <c r="AG400" s="14" t="e">
        <f t="shared" si="564"/>
        <v>#N/A</v>
      </c>
      <c r="AH400" s="14" t="e">
        <f t="shared" si="565"/>
        <v>#N/A</v>
      </c>
      <c r="AI400" s="34" t="e">
        <f t="shared" si="525"/>
        <v>#N/A</v>
      </c>
      <c r="AJ400" s="49" t="e">
        <f t="shared" ref="AJ400:AJ463" si="585">(($N400-$N399)/$AK$3)*BG399+AJ399-AB399-BD399</f>
        <v>#N/A</v>
      </c>
      <c r="AK400" s="49" t="e">
        <f t="shared" ref="AK400:AK463" si="586">(($N400-$N399)/$AK$3)*BH399+AK399-AC399-BE399</f>
        <v>#N/A</v>
      </c>
      <c r="AL400" s="49" t="e">
        <f t="shared" ref="AL400:AL463" si="587">(($N400-$N399)/$AK$3)*BI399+AL399-AD399-BF399</f>
        <v>#N/A</v>
      </c>
      <c r="AM400" s="25">
        <f t="shared" si="566"/>
        <v>30</v>
      </c>
      <c r="AN400" s="25">
        <f t="shared" si="567"/>
        <v>30</v>
      </c>
      <c r="AO400" s="25">
        <f t="shared" si="568"/>
        <v>30</v>
      </c>
      <c r="AP400" s="52" t="e">
        <f t="shared" ref="AP400:AR431" si="588">($N400-$AK$6+$AK$9+1)*$AK$5/24/3*$AS400</f>
        <v>#N/A</v>
      </c>
      <c r="AQ400" s="53" t="e">
        <f t="shared" si="588"/>
        <v>#N/A</v>
      </c>
      <c r="AR400" s="54" t="e">
        <f t="shared" si="588"/>
        <v>#N/A</v>
      </c>
      <c r="AS400" s="316">
        <f t="shared" si="554"/>
        <v>0</v>
      </c>
      <c r="AT400" s="106">
        <f>_xlfn.IFNA($M400/VLOOKUP($BT400,'Unit information'!$A$2:$K$29,2,FALSE)*R400,0)*(1+$E$9)</f>
        <v>0</v>
      </c>
      <c r="AU400" s="107">
        <f>_xlfn.IFNA($M400/VLOOKUP($BT400,'Unit information'!$A$2:$K$29,3,FALSE)*S400,0)*(1+$E$9)</f>
        <v>0</v>
      </c>
      <c r="AV400" s="107">
        <f>_xlfn.IFNA($M400/VLOOKUP($BT400,'Unit information'!$A$2:$K$29,4,FALSE)*T400,0)*(1+$E$9)</f>
        <v>0</v>
      </c>
      <c r="AW400" s="107">
        <f>_xlfn.IFNA($M400/VLOOKUP($BT400,'Unit information'!$A$2:$K$29,5,FALSE)*U400,0)*(1+$E$9)</f>
        <v>0</v>
      </c>
      <c r="AX400" s="107">
        <f>_xlfn.IFNA($M400/VLOOKUP($BU400,'Unit information'!$A$2:$K$29,6,FALSE)*V400,0)*(1+$E$9)</f>
        <v>0</v>
      </c>
      <c r="AY400" s="107">
        <f>_xlfn.IFNA($M400/VLOOKUP($BU400,'Unit information'!$A$2:$K$29,7,FALSE)*W400,0)*(1+$E$9)</f>
        <v>0</v>
      </c>
      <c r="AZ400" s="107">
        <f>_xlfn.IFNA($M400/VLOOKUP($BU400,'Unit information'!$A$2:$K$29,8,FALSE)*X400,0)*(1+$E$9)</f>
        <v>0</v>
      </c>
      <c r="BA400" s="107">
        <f>_xlfn.IFNA($M400/VLOOKUP($BU400,'Unit information'!$A$2:$K$29,9,FALSE)*Y400,0)*(1+$E$9)</f>
        <v>0</v>
      </c>
      <c r="BB400" s="107">
        <f>_xlfn.IFNA($M400/VLOOKUP($BV400,'Unit information'!$A$2:$K$29,10,FALSE)*Z400,0)*(1+$E$9)</f>
        <v>0</v>
      </c>
      <c r="BC400" s="108">
        <f>_xlfn.IFNA($M400/VLOOKUP($BV400,'Unit information'!$A$2:$K$29,11,FALSE)*AA400,0)*(1+$E$9)</f>
        <v>0</v>
      </c>
      <c r="BD400" s="106">
        <f t="shared" si="569"/>
        <v>0</v>
      </c>
      <c r="BE400" s="107">
        <f t="shared" si="570"/>
        <v>0</v>
      </c>
      <c r="BF400" s="108">
        <f t="shared" si="571"/>
        <v>0</v>
      </c>
      <c r="BG400" s="25" t="e">
        <f t="shared" si="572"/>
        <v>#N/A</v>
      </c>
      <c r="BH400" s="25" t="e">
        <f t="shared" si="573"/>
        <v>#N/A</v>
      </c>
      <c r="BI400" s="25" t="e">
        <f t="shared" si="574"/>
        <v>#N/A</v>
      </c>
      <c r="BJ400" s="27" t="e">
        <f t="shared" si="575"/>
        <v>#N/A</v>
      </c>
      <c r="BK400" s="18" t="e">
        <f t="shared" si="576"/>
        <v>#N/A</v>
      </c>
      <c r="BL400" s="18" t="e">
        <f t="shared" si="577"/>
        <v>#N/A</v>
      </c>
      <c r="BM400" s="28" t="e">
        <f t="shared" si="527"/>
        <v>#N/A</v>
      </c>
      <c r="BN400" s="33">
        <f>HLOOKUP("maximum population",Miscelaneous!$C$1:$C$33,CH400+3,FALSE)</f>
        <v>240</v>
      </c>
      <c r="BO400" s="14">
        <f t="shared" ref="BO400:BO463" si="589">SUM(CN401:DH401)</f>
        <v>32</v>
      </c>
      <c r="BP400" s="14">
        <f t="shared" ref="BP400:BP463" si="590">SUM(DI400:DL400)+DM400*2+DN400*4+DO400*5+DP400*6+DQ400*5+DR400*8</f>
        <v>0</v>
      </c>
      <c r="BQ400" s="14">
        <f t="shared" ref="BQ400:BQ463" si="591">BN400-BO400-BP400</f>
        <v>208</v>
      </c>
      <c r="BR400" s="34" t="e">
        <f>HLOOKUP(J400,Villagers!$B$1:$V$33,L400+3,FALSE)-HLOOKUP(J400,Villagers!$B$1:$V$33,L400+2,FALSE)</f>
        <v>#N/A</v>
      </c>
      <c r="BS400" s="49">
        <f t="shared" ref="BS400:BS463" si="592">IF($J399=BS$14,$L399,BS399)</f>
        <v>1</v>
      </c>
      <c r="BT400" s="50">
        <f t="shared" ref="BT400:BT463" si="593">IF($J399=BT$14,$L399,BT399)</f>
        <v>0</v>
      </c>
      <c r="BU400" s="50">
        <f t="shared" ref="BU400:BU463" si="594">IF($J399=BU$14,$L399,BU399)</f>
        <v>0</v>
      </c>
      <c r="BV400" s="50">
        <f t="shared" ref="BV400:BV463" si="595">IF($J399=BV$14,$L399,BV399)</f>
        <v>0</v>
      </c>
      <c r="BW400" s="50">
        <f t="shared" si="555"/>
        <v>0</v>
      </c>
      <c r="BX400" s="50">
        <f t="shared" si="556"/>
        <v>0</v>
      </c>
      <c r="BY400" s="50">
        <f t="shared" si="556"/>
        <v>0</v>
      </c>
      <c r="BZ400" s="50">
        <f t="shared" si="530"/>
        <v>0</v>
      </c>
      <c r="CA400" s="50">
        <f t="shared" si="531"/>
        <v>0</v>
      </c>
      <c r="CB400" s="50">
        <f t="shared" si="532"/>
        <v>1</v>
      </c>
      <c r="CC400" s="50">
        <f t="shared" si="533"/>
        <v>0</v>
      </c>
      <c r="CD400" s="50">
        <f t="shared" si="534"/>
        <v>0</v>
      </c>
      <c r="CE400" s="50">
        <f t="shared" si="535"/>
        <v>1</v>
      </c>
      <c r="CF400" s="50">
        <f t="shared" si="536"/>
        <v>1</v>
      </c>
      <c r="CG400" s="50">
        <f t="shared" si="537"/>
        <v>1</v>
      </c>
      <c r="CH400" s="50">
        <f t="shared" si="538"/>
        <v>1</v>
      </c>
      <c r="CI400" s="50">
        <f t="shared" si="539"/>
        <v>1</v>
      </c>
      <c r="CJ400" s="50">
        <f t="shared" si="540"/>
        <v>1</v>
      </c>
      <c r="CK400" s="50">
        <f t="shared" si="540"/>
        <v>0</v>
      </c>
      <c r="CL400" s="50">
        <f t="shared" si="540"/>
        <v>0</v>
      </c>
      <c r="CM400" s="51">
        <f t="shared" si="578"/>
        <v>0</v>
      </c>
      <c r="CN400" s="33">
        <f>ROUND(IF(BS400=0,0,HLOOKUP(BS$14,Villagers!$B$1:$V$33,BS400+3,FALSE)),)</f>
        <v>5</v>
      </c>
      <c r="CO400" s="14">
        <f>ROUND(IF(BT400=0,0,HLOOKUP(BT$14,Villagers!$B$1:$V$33,BT400+3,FALSE)),)</f>
        <v>0</v>
      </c>
      <c r="CP400" s="14">
        <f>ROUND(IF(BU400=0,0,HLOOKUP(BU$14,Villagers!$B$1:$V$33,BU400+3,FALSE)),)</f>
        <v>0</v>
      </c>
      <c r="CQ400" s="14">
        <f>ROUND(IF(BV400=0,0,HLOOKUP(BV$14,Villagers!$B$1:$V$33,BV400+3,FALSE)),)</f>
        <v>0</v>
      </c>
      <c r="CR400" s="14">
        <f>ROUND(IF(BW400=0,0,HLOOKUP(BW$14,Villagers!$B$1:$V$33,BW400+3,FALSE)),)</f>
        <v>0</v>
      </c>
      <c r="CS400" s="14">
        <f>ROUND(IF(BX400=0,0,HLOOKUP(BX$14,Villagers!$B$1:$V$33,BX400+3,FALSE)),)</f>
        <v>0</v>
      </c>
      <c r="CT400" s="14">
        <f>ROUND(IF(BY400=0,0,HLOOKUP(BY$14,Villagers!$B$1:$V$33,BY400+3,FALSE)),)</f>
        <v>0</v>
      </c>
      <c r="CU400" s="14">
        <f>ROUND(IF(BZ400=0,0,HLOOKUP(BZ$14,Villagers!$B$1:$V$33,BZ400+3,FALSE)),)</f>
        <v>0</v>
      </c>
      <c r="CV400" s="14">
        <f>ROUND(IF(CA400=0,0,HLOOKUP(CA$14,Villagers!$B$1:$V$33,CA400+3,FALSE)),)</f>
        <v>0</v>
      </c>
      <c r="CW400" s="14">
        <f>ROUND(IF(CB400=0,0,HLOOKUP(CB$14,Villagers!$B$1:$V$33,CB400+3,FALSE)),)</f>
        <v>0</v>
      </c>
      <c r="CX400" s="14">
        <f>ROUND(IF(CC400=0,0,HLOOKUP(CC$14,Villagers!$B$1:$V$33,CC400+3,FALSE)),)</f>
        <v>0</v>
      </c>
      <c r="CY400" s="14">
        <f>ROUND(IF(CD400=0,0,HLOOKUP(CD$14,Villagers!$B$1:$V$33,CD400+3,FALSE)),)</f>
        <v>0</v>
      </c>
      <c r="CZ400" s="14">
        <f>ROUND(IF(CE400=0,0,HLOOKUP(CE$14,Villagers!$B$1:$V$33,CE400+3,FALSE)),)</f>
        <v>5</v>
      </c>
      <c r="DA400" s="14">
        <f>ROUND(IF(CF400=0,0,HLOOKUP(CF$14,Villagers!$B$1:$V$33,CF400+3,FALSE)),)</f>
        <v>10</v>
      </c>
      <c r="DB400" s="14">
        <f>ROUND(IF(CG400=0,0,HLOOKUP(CG$14,Villagers!$B$1:$V$33,CG400+3,FALSE)),)</f>
        <v>10</v>
      </c>
      <c r="DC400" s="14">
        <f>ROUND(IF(CH400=0,0,HLOOKUP(CH$14,Villagers!$B$1:$V$33,CH400+3,FALSE)),)</f>
        <v>0</v>
      </c>
      <c r="DD400" s="14">
        <f>ROUND(IF(CI400=0,0,HLOOKUP(CI$14,Villagers!$B$1:$V$33,CI400+3,FALSE)),)</f>
        <v>0</v>
      </c>
      <c r="DE400" s="14">
        <f>ROUND(IF(CJ400=0,0,HLOOKUP(CJ$14,Villagers!$B$1:$V$33,CJ400+3,FALSE)),)</f>
        <v>2</v>
      </c>
      <c r="DF400" s="370">
        <f>ROUND(IF(CK400=0,0,HLOOKUP(CK$14,Villagers!$B$1:$V$33,CK400+3,FALSE)),)</f>
        <v>0</v>
      </c>
      <c r="DG400" s="370">
        <f>ROUND(IF(CL400=0,0,HLOOKUP(CL$14,Villagers!$B$1:$V$33,CL400+3,FALSE)),)</f>
        <v>0</v>
      </c>
      <c r="DH400" s="34">
        <f>ROUND(IF(CM400=0,0,HLOOKUP(CM$14,Villagers!$B$1:$V$33,CM400+3,FALSE)),)</f>
        <v>0</v>
      </c>
      <c r="DI400" s="109">
        <f t="shared" si="516"/>
        <v>0</v>
      </c>
      <c r="DJ400" s="50">
        <f t="shared" si="517"/>
        <v>0</v>
      </c>
      <c r="DK400" s="50">
        <f t="shared" si="518"/>
        <v>0</v>
      </c>
      <c r="DL400" s="50">
        <f t="shared" si="519"/>
        <v>0</v>
      </c>
      <c r="DM400" s="50">
        <f t="shared" si="520"/>
        <v>0</v>
      </c>
      <c r="DN400" s="50">
        <f t="shared" si="521"/>
        <v>0</v>
      </c>
      <c r="DO400" s="50">
        <f t="shared" si="522"/>
        <v>0</v>
      </c>
      <c r="DP400" s="50">
        <f t="shared" si="523"/>
        <v>0</v>
      </c>
      <c r="DQ400" s="50">
        <f t="shared" ref="DQ400:DQ463" si="596">ROUND(_xlfn.IFNA(DQ399+BB400,DQ399),0)</f>
        <v>0</v>
      </c>
      <c r="DR400" s="50">
        <f t="shared" ref="DR400:DR463" si="597">ROUND(_xlfn.IFNA(DR399+BC400,DR399),0)</f>
        <v>0</v>
      </c>
      <c r="DS400" s="96">
        <f>Miscelaneous!$D$4*Miscelaneous!$D$2^($CI400-1)</f>
        <v>1000</v>
      </c>
      <c r="DT400" s="333">
        <f t="shared" si="579"/>
        <v>1</v>
      </c>
      <c r="DU400" s="81">
        <v>1</v>
      </c>
      <c r="DV400" s="79">
        <f t="shared" ref="DV400:DV463" si="598">IF(BS400&gt;2,1,0)</f>
        <v>0</v>
      </c>
      <c r="DW400" s="79">
        <f t="shared" ref="DW400:DW463" si="599">IF(AND(BS400&gt;9,CA400&gt;4,BT400&gt;4)=TRUE,1,0)</f>
        <v>0</v>
      </c>
      <c r="DX400" s="79">
        <f t="shared" ref="DX400:DX463" si="600">IF(AND(BS400&gt;9,CA400&gt;9)=TRUE,1,0)</f>
        <v>0</v>
      </c>
      <c r="DY400" s="79">
        <v>1</v>
      </c>
      <c r="DZ400" s="79">
        <f t="shared" ref="DZ400:DZ463" si="601">IF(AND(BS400&gt;4,CH400&gt;4),1,0)</f>
        <v>0</v>
      </c>
      <c r="EA400" s="79">
        <f t="shared" ref="EA400:EA463" si="602">IF(AND(BS400&gt;4,CH400&gt;4),1,0)</f>
        <v>0</v>
      </c>
      <c r="EB400" s="79">
        <f t="shared" ref="EB400:EB463" si="603">IF(AND(BS400&gt;19,CA400&gt;19,CD400&gt;9)=TRUE,1,0)</f>
        <v>0</v>
      </c>
      <c r="EC400" s="79">
        <f t="shared" ref="EC400:EC463" si="604">IF(AND(BS400&gt;4,BT400&gt;0)=TRUE,1,0)</f>
        <v>0</v>
      </c>
      <c r="ED400" s="79">
        <v>1</v>
      </c>
      <c r="EE400" s="79">
        <v>1</v>
      </c>
      <c r="EF400" s="79">
        <f t="shared" ref="EF400:EF463" si="605">IF(AND(BS400&gt;2,CI400&gt;1),1,0)</f>
        <v>0</v>
      </c>
      <c r="EG400" s="79">
        <v>1</v>
      </c>
      <c r="EH400" s="79">
        <v>1</v>
      </c>
      <c r="EI400" s="79">
        <v>1</v>
      </c>
      <c r="EJ400" s="79">
        <v>1</v>
      </c>
      <c r="EK400" s="79">
        <v>1</v>
      </c>
      <c r="EL400" s="79">
        <v>1</v>
      </c>
      <c r="EM400" s="143">
        <f t="shared" ref="EM400:EM463" si="606">IF(CL400&gt;0,1,0)</f>
        <v>0</v>
      </c>
      <c r="EN400" s="143">
        <f t="shared" ref="EN400:EN463" si="607">IF(BZ400&gt;0,1,0)</f>
        <v>0</v>
      </c>
      <c r="EO400" s="82">
        <f t="shared" ref="EO400:EO463" si="608">IF(BT400&gt;0,1,0)</f>
        <v>0</v>
      </c>
    </row>
    <row r="401" spans="1:145" x14ac:dyDescent="0.25">
      <c r="A401">
        <v>387</v>
      </c>
      <c r="B401" s="172" t="e">
        <f t="shared" si="580"/>
        <v>#N/A</v>
      </c>
      <c r="C401" s="121" t="e">
        <f t="shared" si="558"/>
        <v>#N/A</v>
      </c>
      <c r="D401" s="122" t="e">
        <f t="shared" si="559"/>
        <v>#N/A</v>
      </c>
      <c r="E401" s="122" t="e">
        <f t="shared" si="560"/>
        <v>#N/A</v>
      </c>
      <c r="F401" s="176" t="e">
        <f t="shared" si="561"/>
        <v>#N/A</v>
      </c>
      <c r="G401" s="121">
        <f t="shared" si="581"/>
        <v>208</v>
      </c>
      <c r="H401" s="176" t="e">
        <f t="shared" si="582"/>
        <v>#N/A</v>
      </c>
      <c r="I401" s="48">
        <v>1</v>
      </c>
      <c r="J401" s="39"/>
      <c r="K401" s="350">
        <v>1</v>
      </c>
      <c r="L401" s="34" t="e">
        <f t="shared" si="562"/>
        <v>#N/A</v>
      </c>
      <c r="M401" s="38" t="e">
        <f>(HLOOKUP(J401,'Construction Times'!$B$3:$W$34,L401+2,FALSE)*HLOOKUP("hq modifier",'Construction Times'!$W$3:$W$34,BS401+2,FALSE))*(1-$H$9)</f>
        <v>#N/A</v>
      </c>
      <c r="N401" s="443" t="e">
        <f t="shared" si="583"/>
        <v>#N/A</v>
      </c>
      <c r="O401" s="444"/>
      <c r="P401" s="447" t="e">
        <f t="shared" si="584"/>
        <v>#N/A</v>
      </c>
      <c r="Q401" s="448"/>
      <c r="R401" s="103">
        <f t="shared" ref="R401:S432" si="609">R400</f>
        <v>0</v>
      </c>
      <c r="S401" s="104">
        <f t="shared" si="609"/>
        <v>0</v>
      </c>
      <c r="T401" s="104">
        <f t="shared" ref="T401:W432" si="610">T400</f>
        <v>0</v>
      </c>
      <c r="U401" s="104">
        <f t="shared" si="610"/>
        <v>0</v>
      </c>
      <c r="V401" s="104">
        <f t="shared" si="610"/>
        <v>9.9999999999999995E-8</v>
      </c>
      <c r="W401" s="104">
        <f t="shared" si="610"/>
        <v>0</v>
      </c>
      <c r="X401" s="104">
        <f t="shared" si="557"/>
        <v>0</v>
      </c>
      <c r="Y401" s="104">
        <f t="shared" si="557"/>
        <v>9.9999999999999995E-8</v>
      </c>
      <c r="Z401" s="104">
        <f t="shared" si="557"/>
        <v>9.9999999999999995E-8</v>
      </c>
      <c r="AA401" s="105">
        <f t="shared" si="557"/>
        <v>9.9999999999999995E-8</v>
      </c>
      <c r="AB401" s="101" t="e">
        <f>$DT401*HLOOKUP($J401,'Construction Costs (timber)'!$B$1:$V$32,'Construction Planner'!$L401+2,FALSE)</f>
        <v>#N/A</v>
      </c>
      <c r="AC401" s="14" t="e">
        <f>$DT401*HLOOKUP($J401,'Construction Costs (clay)'!$B$1:$V$32,'Construction Planner'!$L401+2,FALSE)</f>
        <v>#N/A</v>
      </c>
      <c r="AD401" s="14" t="e">
        <f>$DT401*HLOOKUP($J401,'Construction Costs (iron)'!$B$1:$V$32,'Construction Planner'!$L401+2,FALSE)</f>
        <v>#N/A</v>
      </c>
      <c r="AE401" s="34" t="e">
        <f t="shared" si="524"/>
        <v>#N/A</v>
      </c>
      <c r="AF401" s="33" t="e">
        <f t="shared" si="563"/>
        <v>#N/A</v>
      </c>
      <c r="AG401" s="14" t="e">
        <f t="shared" si="564"/>
        <v>#N/A</v>
      </c>
      <c r="AH401" s="14" t="e">
        <f t="shared" si="565"/>
        <v>#N/A</v>
      </c>
      <c r="AI401" s="34" t="e">
        <f t="shared" si="525"/>
        <v>#N/A</v>
      </c>
      <c r="AJ401" s="49" t="e">
        <f t="shared" si="585"/>
        <v>#N/A</v>
      </c>
      <c r="AK401" s="49" t="e">
        <f t="shared" si="586"/>
        <v>#N/A</v>
      </c>
      <c r="AL401" s="49" t="e">
        <f t="shared" si="587"/>
        <v>#N/A</v>
      </c>
      <c r="AM401" s="25">
        <f t="shared" si="566"/>
        <v>30</v>
      </c>
      <c r="AN401" s="25">
        <f t="shared" si="567"/>
        <v>30</v>
      </c>
      <c r="AO401" s="25">
        <f t="shared" si="568"/>
        <v>30</v>
      </c>
      <c r="AP401" s="52" t="e">
        <f t="shared" si="588"/>
        <v>#N/A</v>
      </c>
      <c r="AQ401" s="53" t="e">
        <f t="shared" si="588"/>
        <v>#N/A</v>
      </c>
      <c r="AR401" s="54" t="e">
        <f t="shared" si="588"/>
        <v>#N/A</v>
      </c>
      <c r="AS401" s="316">
        <f t="shared" si="554"/>
        <v>0</v>
      </c>
      <c r="AT401" s="106">
        <f>_xlfn.IFNA($M401/VLOOKUP($BT401,'Unit information'!$A$2:$K$29,2,FALSE)*R401,0)*(1+$E$9)</f>
        <v>0</v>
      </c>
      <c r="AU401" s="107">
        <f>_xlfn.IFNA($M401/VLOOKUP($BT401,'Unit information'!$A$2:$K$29,3,FALSE)*S401,0)*(1+$E$9)</f>
        <v>0</v>
      </c>
      <c r="AV401" s="107">
        <f>_xlfn.IFNA($M401/VLOOKUP($BT401,'Unit information'!$A$2:$K$29,4,FALSE)*T401,0)*(1+$E$9)</f>
        <v>0</v>
      </c>
      <c r="AW401" s="107">
        <f>_xlfn.IFNA($M401/VLOOKUP($BT401,'Unit information'!$A$2:$K$29,5,FALSE)*U401,0)*(1+$E$9)</f>
        <v>0</v>
      </c>
      <c r="AX401" s="107">
        <f>_xlfn.IFNA($M401/VLOOKUP($BU401,'Unit information'!$A$2:$K$29,6,FALSE)*V401,0)*(1+$E$9)</f>
        <v>0</v>
      </c>
      <c r="AY401" s="107">
        <f>_xlfn.IFNA($M401/VLOOKUP($BU401,'Unit information'!$A$2:$K$29,7,FALSE)*W401,0)*(1+$E$9)</f>
        <v>0</v>
      </c>
      <c r="AZ401" s="107">
        <f>_xlfn.IFNA($M401/VLOOKUP($BU401,'Unit information'!$A$2:$K$29,8,FALSE)*X401,0)*(1+$E$9)</f>
        <v>0</v>
      </c>
      <c r="BA401" s="107">
        <f>_xlfn.IFNA($M401/VLOOKUP($BU401,'Unit information'!$A$2:$K$29,9,FALSE)*Y401,0)*(1+$E$9)</f>
        <v>0</v>
      </c>
      <c r="BB401" s="107">
        <f>_xlfn.IFNA($M401/VLOOKUP($BV401,'Unit information'!$A$2:$K$29,10,FALSE)*Z401,0)*(1+$E$9)</f>
        <v>0</v>
      </c>
      <c r="BC401" s="108">
        <f>_xlfn.IFNA($M401/VLOOKUP($BV401,'Unit information'!$A$2:$K$29,11,FALSE)*AA401,0)*(1+$E$9)</f>
        <v>0</v>
      </c>
      <c r="BD401" s="106">
        <f t="shared" si="569"/>
        <v>0</v>
      </c>
      <c r="BE401" s="107">
        <f t="shared" si="570"/>
        <v>0</v>
      </c>
      <c r="BF401" s="108">
        <f t="shared" si="571"/>
        <v>0</v>
      </c>
      <c r="BG401" s="25" t="e">
        <f t="shared" si="572"/>
        <v>#N/A</v>
      </c>
      <c r="BH401" s="25" t="e">
        <f t="shared" si="573"/>
        <v>#N/A</v>
      </c>
      <c r="BI401" s="25" t="e">
        <f t="shared" si="574"/>
        <v>#N/A</v>
      </c>
      <c r="BJ401" s="27" t="e">
        <f t="shared" si="575"/>
        <v>#N/A</v>
      </c>
      <c r="BK401" s="18" t="e">
        <f t="shared" si="576"/>
        <v>#N/A</v>
      </c>
      <c r="BL401" s="18" t="e">
        <f t="shared" si="577"/>
        <v>#N/A</v>
      </c>
      <c r="BM401" s="28" t="e">
        <f t="shared" si="527"/>
        <v>#N/A</v>
      </c>
      <c r="BN401" s="33">
        <f>HLOOKUP("maximum population",Miscelaneous!$C$1:$C$33,CH401+3,FALSE)</f>
        <v>240</v>
      </c>
      <c r="BO401" s="14">
        <f t="shared" si="589"/>
        <v>32</v>
      </c>
      <c r="BP401" s="14">
        <f t="shared" si="590"/>
        <v>0</v>
      </c>
      <c r="BQ401" s="14">
        <f t="shared" si="591"/>
        <v>208</v>
      </c>
      <c r="BR401" s="34" t="e">
        <f>HLOOKUP(J401,Villagers!$B$1:$V$33,L401+3,FALSE)-HLOOKUP(J401,Villagers!$B$1:$V$33,L401+2,FALSE)</f>
        <v>#N/A</v>
      </c>
      <c r="BS401" s="49">
        <f t="shared" si="592"/>
        <v>1</v>
      </c>
      <c r="BT401" s="50">
        <f t="shared" si="593"/>
        <v>0</v>
      </c>
      <c r="BU401" s="50">
        <f t="shared" si="594"/>
        <v>0</v>
      </c>
      <c r="BV401" s="50">
        <f t="shared" si="595"/>
        <v>0</v>
      </c>
      <c r="BW401" s="50">
        <f t="shared" si="555"/>
        <v>0</v>
      </c>
      <c r="BX401" s="50">
        <f t="shared" si="556"/>
        <v>0</v>
      </c>
      <c r="BY401" s="50">
        <f t="shared" si="556"/>
        <v>0</v>
      </c>
      <c r="BZ401" s="50">
        <f t="shared" si="530"/>
        <v>0</v>
      </c>
      <c r="CA401" s="50">
        <f t="shared" si="531"/>
        <v>0</v>
      </c>
      <c r="CB401" s="50">
        <f t="shared" si="532"/>
        <v>1</v>
      </c>
      <c r="CC401" s="50">
        <f t="shared" si="533"/>
        <v>0</v>
      </c>
      <c r="CD401" s="50">
        <f t="shared" si="534"/>
        <v>0</v>
      </c>
      <c r="CE401" s="50">
        <f t="shared" si="535"/>
        <v>1</v>
      </c>
      <c r="CF401" s="50">
        <f t="shared" si="536"/>
        <v>1</v>
      </c>
      <c r="CG401" s="50">
        <f t="shared" si="537"/>
        <v>1</v>
      </c>
      <c r="CH401" s="50">
        <f t="shared" si="538"/>
        <v>1</v>
      </c>
      <c r="CI401" s="50">
        <f t="shared" si="539"/>
        <v>1</v>
      </c>
      <c r="CJ401" s="50">
        <f t="shared" si="540"/>
        <v>1</v>
      </c>
      <c r="CK401" s="50">
        <f t="shared" si="540"/>
        <v>0</v>
      </c>
      <c r="CL401" s="50">
        <f t="shared" si="540"/>
        <v>0</v>
      </c>
      <c r="CM401" s="51">
        <f t="shared" si="578"/>
        <v>0</v>
      </c>
      <c r="CN401" s="33">
        <f>ROUND(IF(BS401=0,0,HLOOKUP(BS$14,Villagers!$B$1:$V$33,BS401+3,FALSE)),)</f>
        <v>5</v>
      </c>
      <c r="CO401" s="14">
        <f>ROUND(IF(BT401=0,0,HLOOKUP(BT$14,Villagers!$B$1:$V$33,BT401+3,FALSE)),)</f>
        <v>0</v>
      </c>
      <c r="CP401" s="14">
        <f>ROUND(IF(BU401=0,0,HLOOKUP(BU$14,Villagers!$B$1:$V$33,BU401+3,FALSE)),)</f>
        <v>0</v>
      </c>
      <c r="CQ401" s="14">
        <f>ROUND(IF(BV401=0,0,HLOOKUP(BV$14,Villagers!$B$1:$V$33,BV401+3,FALSE)),)</f>
        <v>0</v>
      </c>
      <c r="CR401" s="14">
        <f>ROUND(IF(BW401=0,0,HLOOKUP(BW$14,Villagers!$B$1:$V$33,BW401+3,FALSE)),)</f>
        <v>0</v>
      </c>
      <c r="CS401" s="14">
        <f>ROUND(IF(BX401=0,0,HLOOKUP(BX$14,Villagers!$B$1:$V$33,BX401+3,FALSE)),)</f>
        <v>0</v>
      </c>
      <c r="CT401" s="14">
        <f>ROUND(IF(BY401=0,0,HLOOKUP(BY$14,Villagers!$B$1:$V$33,BY401+3,FALSE)),)</f>
        <v>0</v>
      </c>
      <c r="CU401" s="14">
        <f>ROUND(IF(BZ401=0,0,HLOOKUP(BZ$14,Villagers!$B$1:$V$33,BZ401+3,FALSE)),)</f>
        <v>0</v>
      </c>
      <c r="CV401" s="14">
        <f>ROUND(IF(CA401=0,0,HLOOKUP(CA$14,Villagers!$B$1:$V$33,CA401+3,FALSE)),)</f>
        <v>0</v>
      </c>
      <c r="CW401" s="14">
        <f>ROUND(IF(CB401=0,0,HLOOKUP(CB$14,Villagers!$B$1:$V$33,CB401+3,FALSE)),)</f>
        <v>0</v>
      </c>
      <c r="CX401" s="14">
        <f>ROUND(IF(CC401=0,0,HLOOKUP(CC$14,Villagers!$B$1:$V$33,CC401+3,FALSE)),)</f>
        <v>0</v>
      </c>
      <c r="CY401" s="14">
        <f>ROUND(IF(CD401=0,0,HLOOKUP(CD$14,Villagers!$B$1:$V$33,CD401+3,FALSE)),)</f>
        <v>0</v>
      </c>
      <c r="CZ401" s="14">
        <f>ROUND(IF(CE401=0,0,HLOOKUP(CE$14,Villagers!$B$1:$V$33,CE401+3,FALSE)),)</f>
        <v>5</v>
      </c>
      <c r="DA401" s="14">
        <f>ROUND(IF(CF401=0,0,HLOOKUP(CF$14,Villagers!$B$1:$V$33,CF401+3,FALSE)),)</f>
        <v>10</v>
      </c>
      <c r="DB401" s="14">
        <f>ROUND(IF(CG401=0,0,HLOOKUP(CG$14,Villagers!$B$1:$V$33,CG401+3,FALSE)),)</f>
        <v>10</v>
      </c>
      <c r="DC401" s="14">
        <f>ROUND(IF(CH401=0,0,HLOOKUP(CH$14,Villagers!$B$1:$V$33,CH401+3,FALSE)),)</f>
        <v>0</v>
      </c>
      <c r="DD401" s="14">
        <f>ROUND(IF(CI401=0,0,HLOOKUP(CI$14,Villagers!$B$1:$V$33,CI401+3,FALSE)),)</f>
        <v>0</v>
      </c>
      <c r="DE401" s="14">
        <f>ROUND(IF(CJ401=0,0,HLOOKUP(CJ$14,Villagers!$B$1:$V$33,CJ401+3,FALSE)),)</f>
        <v>2</v>
      </c>
      <c r="DF401" s="370">
        <f>ROUND(IF(CK401=0,0,HLOOKUP(CK$14,Villagers!$B$1:$V$33,CK401+3,FALSE)),)</f>
        <v>0</v>
      </c>
      <c r="DG401" s="370">
        <f>ROUND(IF(CL401=0,0,HLOOKUP(CL$14,Villagers!$B$1:$V$33,CL401+3,FALSE)),)</f>
        <v>0</v>
      </c>
      <c r="DH401" s="34">
        <f>ROUND(IF(CM401=0,0,HLOOKUP(CM$14,Villagers!$B$1:$V$33,CM401+3,FALSE)),)</f>
        <v>0</v>
      </c>
      <c r="DI401" s="109">
        <f t="shared" ref="DI401:DI464" si="611">ROUND(_xlfn.IFNA(DI400+AT401,DI400),0)</f>
        <v>0</v>
      </c>
      <c r="DJ401" s="50">
        <f t="shared" ref="DJ401:DJ464" si="612">ROUND(_xlfn.IFNA(DJ400+AU401,DJ400),0)</f>
        <v>0</v>
      </c>
      <c r="DK401" s="50">
        <f t="shared" ref="DK401:DK464" si="613">ROUND(_xlfn.IFNA(DK400+AV401,DK400),0)</f>
        <v>0</v>
      </c>
      <c r="DL401" s="50">
        <f t="shared" ref="DL401:DL464" si="614">ROUND(_xlfn.IFNA(DL400+AW401,DL400),0)</f>
        <v>0</v>
      </c>
      <c r="DM401" s="50">
        <f t="shared" ref="DM401:DM464" si="615">ROUND(_xlfn.IFNA(DM400+AX401,DM400),0)</f>
        <v>0</v>
      </c>
      <c r="DN401" s="50">
        <f t="shared" ref="DN401:DN464" si="616">ROUND(_xlfn.IFNA(DN400+AY401,DN400),0)</f>
        <v>0</v>
      </c>
      <c r="DO401" s="50">
        <f t="shared" ref="DO401:DO464" si="617">ROUND(_xlfn.IFNA(DO400+AZ401,DO400),0)</f>
        <v>0</v>
      </c>
      <c r="DP401" s="50">
        <f t="shared" ref="DP401:DP464" si="618">ROUND(_xlfn.IFNA(DP400+BA401,DP400),0)</f>
        <v>0</v>
      </c>
      <c r="DQ401" s="50">
        <f t="shared" si="596"/>
        <v>0</v>
      </c>
      <c r="DR401" s="50">
        <f t="shared" si="597"/>
        <v>0</v>
      </c>
      <c r="DS401" s="96">
        <f>Miscelaneous!$D$4*Miscelaneous!$D$2^($CI401-1)</f>
        <v>1000</v>
      </c>
      <c r="DT401" s="333">
        <f t="shared" si="579"/>
        <v>1</v>
      </c>
      <c r="DU401" s="81">
        <v>1</v>
      </c>
      <c r="DV401" s="79">
        <f t="shared" si="598"/>
        <v>0</v>
      </c>
      <c r="DW401" s="79">
        <f t="shared" si="599"/>
        <v>0</v>
      </c>
      <c r="DX401" s="79">
        <f t="shared" si="600"/>
        <v>0</v>
      </c>
      <c r="DY401" s="79">
        <v>1</v>
      </c>
      <c r="DZ401" s="79">
        <f t="shared" si="601"/>
        <v>0</v>
      </c>
      <c r="EA401" s="79">
        <f t="shared" si="602"/>
        <v>0</v>
      </c>
      <c r="EB401" s="79">
        <f t="shared" si="603"/>
        <v>0</v>
      </c>
      <c r="EC401" s="79">
        <f t="shared" si="604"/>
        <v>0</v>
      </c>
      <c r="ED401" s="79">
        <v>1</v>
      </c>
      <c r="EE401" s="79">
        <v>1</v>
      </c>
      <c r="EF401" s="79">
        <f t="shared" si="605"/>
        <v>0</v>
      </c>
      <c r="EG401" s="79">
        <v>1</v>
      </c>
      <c r="EH401" s="79">
        <v>1</v>
      </c>
      <c r="EI401" s="79">
        <v>1</v>
      </c>
      <c r="EJ401" s="79">
        <v>1</v>
      </c>
      <c r="EK401" s="79">
        <v>1</v>
      </c>
      <c r="EL401" s="79">
        <v>1</v>
      </c>
      <c r="EM401" s="143">
        <f t="shared" si="606"/>
        <v>0</v>
      </c>
      <c r="EN401" s="143">
        <f t="shared" si="607"/>
        <v>0</v>
      </c>
      <c r="EO401" s="82">
        <f t="shared" si="608"/>
        <v>0</v>
      </c>
    </row>
    <row r="402" spans="1:145" x14ac:dyDescent="0.25">
      <c r="A402">
        <v>388</v>
      </c>
      <c r="B402" s="172" t="e">
        <f t="shared" si="580"/>
        <v>#N/A</v>
      </c>
      <c r="C402" s="121" t="e">
        <f t="shared" si="558"/>
        <v>#N/A</v>
      </c>
      <c r="D402" s="122" t="e">
        <f t="shared" si="559"/>
        <v>#N/A</v>
      </c>
      <c r="E402" s="122" t="e">
        <f t="shared" si="560"/>
        <v>#N/A</v>
      </c>
      <c r="F402" s="176" t="e">
        <f t="shared" si="561"/>
        <v>#N/A</v>
      </c>
      <c r="G402" s="121">
        <f t="shared" si="581"/>
        <v>208</v>
      </c>
      <c r="H402" s="176" t="e">
        <f t="shared" si="582"/>
        <v>#N/A</v>
      </c>
      <c r="I402" s="48">
        <v>1</v>
      </c>
      <c r="J402" s="39"/>
      <c r="K402" s="350">
        <v>1</v>
      </c>
      <c r="L402" s="34" t="e">
        <f t="shared" si="562"/>
        <v>#N/A</v>
      </c>
      <c r="M402" s="38" t="e">
        <f>(HLOOKUP(J402,'Construction Times'!$B$3:$W$34,L402+2,FALSE)*HLOOKUP("hq modifier",'Construction Times'!$W$3:$W$34,BS402+2,FALSE))*(1-$H$9)</f>
        <v>#N/A</v>
      </c>
      <c r="N402" s="443" t="e">
        <f t="shared" si="583"/>
        <v>#N/A</v>
      </c>
      <c r="O402" s="444"/>
      <c r="P402" s="447" t="e">
        <f t="shared" si="584"/>
        <v>#N/A</v>
      </c>
      <c r="Q402" s="448"/>
      <c r="R402" s="103">
        <f t="shared" si="609"/>
        <v>0</v>
      </c>
      <c r="S402" s="104">
        <f t="shared" si="609"/>
        <v>0</v>
      </c>
      <c r="T402" s="104">
        <f t="shared" si="610"/>
        <v>0</v>
      </c>
      <c r="U402" s="104">
        <f t="shared" si="610"/>
        <v>0</v>
      </c>
      <c r="V402" s="104">
        <f t="shared" si="610"/>
        <v>9.9999999999999995E-8</v>
      </c>
      <c r="W402" s="104">
        <f t="shared" si="610"/>
        <v>0</v>
      </c>
      <c r="X402" s="104">
        <f t="shared" si="557"/>
        <v>0</v>
      </c>
      <c r="Y402" s="104">
        <f t="shared" si="557"/>
        <v>9.9999999999999995E-8</v>
      </c>
      <c r="Z402" s="104">
        <f t="shared" si="557"/>
        <v>9.9999999999999995E-8</v>
      </c>
      <c r="AA402" s="105">
        <f t="shared" si="557"/>
        <v>9.9999999999999995E-8</v>
      </c>
      <c r="AB402" s="101" t="e">
        <f>$DT402*HLOOKUP($J402,'Construction Costs (timber)'!$B$1:$V$32,'Construction Planner'!$L402+2,FALSE)</f>
        <v>#N/A</v>
      </c>
      <c r="AC402" s="14" t="e">
        <f>$DT402*HLOOKUP($J402,'Construction Costs (clay)'!$B$1:$V$32,'Construction Planner'!$L402+2,FALSE)</f>
        <v>#N/A</v>
      </c>
      <c r="AD402" s="14" t="e">
        <f>$DT402*HLOOKUP($J402,'Construction Costs (iron)'!$B$1:$V$32,'Construction Planner'!$L402+2,FALSE)</f>
        <v>#N/A</v>
      </c>
      <c r="AE402" s="34" t="e">
        <f t="shared" si="524"/>
        <v>#N/A</v>
      </c>
      <c r="AF402" s="33" t="e">
        <f t="shared" si="563"/>
        <v>#N/A</v>
      </c>
      <c r="AG402" s="14" t="e">
        <f t="shared" si="564"/>
        <v>#N/A</v>
      </c>
      <c r="AH402" s="14" t="e">
        <f t="shared" si="565"/>
        <v>#N/A</v>
      </c>
      <c r="AI402" s="34" t="e">
        <f t="shared" si="525"/>
        <v>#N/A</v>
      </c>
      <c r="AJ402" s="49" t="e">
        <f t="shared" si="585"/>
        <v>#N/A</v>
      </c>
      <c r="AK402" s="49" t="e">
        <f t="shared" si="586"/>
        <v>#N/A</v>
      </c>
      <c r="AL402" s="49" t="e">
        <f t="shared" si="587"/>
        <v>#N/A</v>
      </c>
      <c r="AM402" s="25">
        <f t="shared" si="566"/>
        <v>30</v>
      </c>
      <c r="AN402" s="25">
        <f t="shared" si="567"/>
        <v>30</v>
      </c>
      <c r="AO402" s="25">
        <f t="shared" si="568"/>
        <v>30</v>
      </c>
      <c r="AP402" s="52" t="e">
        <f t="shared" si="588"/>
        <v>#N/A</v>
      </c>
      <c r="AQ402" s="53" t="e">
        <f t="shared" si="588"/>
        <v>#N/A</v>
      </c>
      <c r="AR402" s="54" t="e">
        <f t="shared" si="588"/>
        <v>#N/A</v>
      </c>
      <c r="AS402" s="316">
        <f t="shared" si="554"/>
        <v>0</v>
      </c>
      <c r="AT402" s="106">
        <f>_xlfn.IFNA($M402/VLOOKUP($BT402,'Unit information'!$A$2:$K$29,2,FALSE)*R402,0)*(1+$E$9)</f>
        <v>0</v>
      </c>
      <c r="AU402" s="107">
        <f>_xlfn.IFNA($M402/VLOOKUP($BT402,'Unit information'!$A$2:$K$29,3,FALSE)*S402,0)*(1+$E$9)</f>
        <v>0</v>
      </c>
      <c r="AV402" s="107">
        <f>_xlfn.IFNA($M402/VLOOKUP($BT402,'Unit information'!$A$2:$K$29,4,FALSE)*T402,0)*(1+$E$9)</f>
        <v>0</v>
      </c>
      <c r="AW402" s="107">
        <f>_xlfn.IFNA($M402/VLOOKUP($BT402,'Unit information'!$A$2:$K$29,5,FALSE)*U402,0)*(1+$E$9)</f>
        <v>0</v>
      </c>
      <c r="AX402" s="107">
        <f>_xlfn.IFNA($M402/VLOOKUP($BU402,'Unit information'!$A$2:$K$29,6,FALSE)*V402,0)*(1+$E$9)</f>
        <v>0</v>
      </c>
      <c r="AY402" s="107">
        <f>_xlfn.IFNA($M402/VLOOKUP($BU402,'Unit information'!$A$2:$K$29,7,FALSE)*W402,0)*(1+$E$9)</f>
        <v>0</v>
      </c>
      <c r="AZ402" s="107">
        <f>_xlfn.IFNA($M402/VLOOKUP($BU402,'Unit information'!$A$2:$K$29,8,FALSE)*X402,0)*(1+$E$9)</f>
        <v>0</v>
      </c>
      <c r="BA402" s="107">
        <f>_xlfn.IFNA($M402/VLOOKUP($BU402,'Unit information'!$A$2:$K$29,9,FALSE)*Y402,0)*(1+$E$9)</f>
        <v>0</v>
      </c>
      <c r="BB402" s="107">
        <f>_xlfn.IFNA($M402/VLOOKUP($BV402,'Unit information'!$A$2:$K$29,10,FALSE)*Z402,0)*(1+$E$9)</f>
        <v>0</v>
      </c>
      <c r="BC402" s="108">
        <f>_xlfn.IFNA($M402/VLOOKUP($BV402,'Unit information'!$A$2:$K$29,11,FALSE)*AA402,0)*(1+$E$9)</f>
        <v>0</v>
      </c>
      <c r="BD402" s="106">
        <f t="shared" si="569"/>
        <v>0</v>
      </c>
      <c r="BE402" s="107">
        <f t="shared" si="570"/>
        <v>0</v>
      </c>
      <c r="BF402" s="108">
        <f t="shared" si="571"/>
        <v>0</v>
      </c>
      <c r="BG402" s="25" t="e">
        <f t="shared" si="572"/>
        <v>#N/A</v>
      </c>
      <c r="BH402" s="25" t="e">
        <f t="shared" si="573"/>
        <v>#N/A</v>
      </c>
      <c r="BI402" s="25" t="e">
        <f t="shared" si="574"/>
        <v>#N/A</v>
      </c>
      <c r="BJ402" s="27" t="e">
        <f t="shared" si="575"/>
        <v>#N/A</v>
      </c>
      <c r="BK402" s="18" t="e">
        <f t="shared" si="576"/>
        <v>#N/A</v>
      </c>
      <c r="BL402" s="18" t="e">
        <f t="shared" si="577"/>
        <v>#N/A</v>
      </c>
      <c r="BM402" s="28" t="e">
        <f t="shared" si="527"/>
        <v>#N/A</v>
      </c>
      <c r="BN402" s="33">
        <f>HLOOKUP("maximum population",Miscelaneous!$C$1:$C$33,CH402+3,FALSE)</f>
        <v>240</v>
      </c>
      <c r="BO402" s="14">
        <f t="shared" si="589"/>
        <v>32</v>
      </c>
      <c r="BP402" s="14">
        <f t="shared" si="590"/>
        <v>0</v>
      </c>
      <c r="BQ402" s="14">
        <f t="shared" si="591"/>
        <v>208</v>
      </c>
      <c r="BR402" s="34" t="e">
        <f>HLOOKUP(J402,Villagers!$B$1:$V$33,L402+3,FALSE)-HLOOKUP(J402,Villagers!$B$1:$V$33,L402+2,FALSE)</f>
        <v>#N/A</v>
      </c>
      <c r="BS402" s="49">
        <f t="shared" si="592"/>
        <v>1</v>
      </c>
      <c r="BT402" s="50">
        <f t="shared" si="593"/>
        <v>0</v>
      </c>
      <c r="BU402" s="50">
        <f t="shared" si="594"/>
        <v>0</v>
      </c>
      <c r="BV402" s="50">
        <f t="shared" si="595"/>
        <v>0</v>
      </c>
      <c r="BW402" s="50">
        <f t="shared" si="555"/>
        <v>0</v>
      </c>
      <c r="BX402" s="50">
        <f t="shared" si="556"/>
        <v>0</v>
      </c>
      <c r="BY402" s="50">
        <f t="shared" si="556"/>
        <v>0</v>
      </c>
      <c r="BZ402" s="50">
        <f t="shared" si="530"/>
        <v>0</v>
      </c>
      <c r="CA402" s="50">
        <f t="shared" si="531"/>
        <v>0</v>
      </c>
      <c r="CB402" s="50">
        <f t="shared" si="532"/>
        <v>1</v>
      </c>
      <c r="CC402" s="50">
        <f t="shared" si="533"/>
        <v>0</v>
      </c>
      <c r="CD402" s="50">
        <f t="shared" si="534"/>
        <v>0</v>
      </c>
      <c r="CE402" s="50">
        <f t="shared" si="535"/>
        <v>1</v>
      </c>
      <c r="CF402" s="50">
        <f t="shared" si="536"/>
        <v>1</v>
      </c>
      <c r="CG402" s="50">
        <f t="shared" si="537"/>
        <v>1</v>
      </c>
      <c r="CH402" s="50">
        <f t="shared" si="538"/>
        <v>1</v>
      </c>
      <c r="CI402" s="50">
        <f t="shared" si="539"/>
        <v>1</v>
      </c>
      <c r="CJ402" s="50">
        <f t="shared" si="540"/>
        <v>1</v>
      </c>
      <c r="CK402" s="50">
        <f t="shared" si="540"/>
        <v>0</v>
      </c>
      <c r="CL402" s="50">
        <f t="shared" si="540"/>
        <v>0</v>
      </c>
      <c r="CM402" s="51">
        <f t="shared" si="578"/>
        <v>0</v>
      </c>
      <c r="CN402" s="33">
        <f>ROUND(IF(BS402=0,0,HLOOKUP(BS$14,Villagers!$B$1:$V$33,BS402+3,FALSE)),)</f>
        <v>5</v>
      </c>
      <c r="CO402" s="14">
        <f>ROUND(IF(BT402=0,0,HLOOKUP(BT$14,Villagers!$B$1:$V$33,BT402+3,FALSE)),)</f>
        <v>0</v>
      </c>
      <c r="CP402" s="14">
        <f>ROUND(IF(BU402=0,0,HLOOKUP(BU$14,Villagers!$B$1:$V$33,BU402+3,FALSE)),)</f>
        <v>0</v>
      </c>
      <c r="CQ402" s="14">
        <f>ROUND(IF(BV402=0,0,HLOOKUP(BV$14,Villagers!$B$1:$V$33,BV402+3,FALSE)),)</f>
        <v>0</v>
      </c>
      <c r="CR402" s="14">
        <f>ROUND(IF(BW402=0,0,HLOOKUP(BW$14,Villagers!$B$1:$V$33,BW402+3,FALSE)),)</f>
        <v>0</v>
      </c>
      <c r="CS402" s="14">
        <f>ROUND(IF(BX402=0,0,HLOOKUP(BX$14,Villagers!$B$1:$V$33,BX402+3,FALSE)),)</f>
        <v>0</v>
      </c>
      <c r="CT402" s="14">
        <f>ROUND(IF(BY402=0,0,HLOOKUP(BY$14,Villagers!$B$1:$V$33,BY402+3,FALSE)),)</f>
        <v>0</v>
      </c>
      <c r="CU402" s="14">
        <f>ROUND(IF(BZ402=0,0,HLOOKUP(BZ$14,Villagers!$B$1:$V$33,BZ402+3,FALSE)),)</f>
        <v>0</v>
      </c>
      <c r="CV402" s="14">
        <f>ROUND(IF(CA402=0,0,HLOOKUP(CA$14,Villagers!$B$1:$V$33,CA402+3,FALSE)),)</f>
        <v>0</v>
      </c>
      <c r="CW402" s="14">
        <f>ROUND(IF(CB402=0,0,HLOOKUP(CB$14,Villagers!$B$1:$V$33,CB402+3,FALSE)),)</f>
        <v>0</v>
      </c>
      <c r="CX402" s="14">
        <f>ROUND(IF(CC402=0,0,HLOOKUP(CC$14,Villagers!$B$1:$V$33,CC402+3,FALSE)),)</f>
        <v>0</v>
      </c>
      <c r="CY402" s="14">
        <f>ROUND(IF(CD402=0,0,HLOOKUP(CD$14,Villagers!$B$1:$V$33,CD402+3,FALSE)),)</f>
        <v>0</v>
      </c>
      <c r="CZ402" s="14">
        <f>ROUND(IF(CE402=0,0,HLOOKUP(CE$14,Villagers!$B$1:$V$33,CE402+3,FALSE)),)</f>
        <v>5</v>
      </c>
      <c r="DA402" s="14">
        <f>ROUND(IF(CF402=0,0,HLOOKUP(CF$14,Villagers!$B$1:$V$33,CF402+3,FALSE)),)</f>
        <v>10</v>
      </c>
      <c r="DB402" s="14">
        <f>ROUND(IF(CG402=0,0,HLOOKUP(CG$14,Villagers!$B$1:$V$33,CG402+3,FALSE)),)</f>
        <v>10</v>
      </c>
      <c r="DC402" s="14">
        <f>ROUND(IF(CH402=0,0,HLOOKUP(CH$14,Villagers!$B$1:$V$33,CH402+3,FALSE)),)</f>
        <v>0</v>
      </c>
      <c r="DD402" s="14">
        <f>ROUND(IF(CI402=0,0,HLOOKUP(CI$14,Villagers!$B$1:$V$33,CI402+3,FALSE)),)</f>
        <v>0</v>
      </c>
      <c r="DE402" s="14">
        <f>ROUND(IF(CJ402=0,0,HLOOKUP(CJ$14,Villagers!$B$1:$V$33,CJ402+3,FALSE)),)</f>
        <v>2</v>
      </c>
      <c r="DF402" s="370">
        <f>ROUND(IF(CK402=0,0,HLOOKUP(CK$14,Villagers!$B$1:$V$33,CK402+3,FALSE)),)</f>
        <v>0</v>
      </c>
      <c r="DG402" s="370">
        <f>ROUND(IF(CL402=0,0,HLOOKUP(CL$14,Villagers!$B$1:$V$33,CL402+3,FALSE)),)</f>
        <v>0</v>
      </c>
      <c r="DH402" s="34">
        <f>ROUND(IF(CM402=0,0,HLOOKUP(CM$14,Villagers!$B$1:$V$33,CM402+3,FALSE)),)</f>
        <v>0</v>
      </c>
      <c r="DI402" s="109">
        <f t="shared" si="611"/>
        <v>0</v>
      </c>
      <c r="DJ402" s="50">
        <f t="shared" si="612"/>
        <v>0</v>
      </c>
      <c r="DK402" s="50">
        <f t="shared" si="613"/>
        <v>0</v>
      </c>
      <c r="DL402" s="50">
        <f t="shared" si="614"/>
        <v>0</v>
      </c>
      <c r="DM402" s="50">
        <f t="shared" si="615"/>
        <v>0</v>
      </c>
      <c r="DN402" s="50">
        <f t="shared" si="616"/>
        <v>0</v>
      </c>
      <c r="DO402" s="50">
        <f t="shared" si="617"/>
        <v>0</v>
      </c>
      <c r="DP402" s="50">
        <f t="shared" si="618"/>
        <v>0</v>
      </c>
      <c r="DQ402" s="50">
        <f t="shared" si="596"/>
        <v>0</v>
      </c>
      <c r="DR402" s="50">
        <f t="shared" si="597"/>
        <v>0</v>
      </c>
      <c r="DS402" s="96">
        <f>Miscelaneous!$D$4*Miscelaneous!$D$2^($CI402-1)</f>
        <v>1000</v>
      </c>
      <c r="DT402" s="333">
        <f t="shared" si="579"/>
        <v>1</v>
      </c>
      <c r="DU402" s="81">
        <v>1</v>
      </c>
      <c r="DV402" s="79">
        <f t="shared" si="598"/>
        <v>0</v>
      </c>
      <c r="DW402" s="79">
        <f t="shared" si="599"/>
        <v>0</v>
      </c>
      <c r="DX402" s="79">
        <f t="shared" si="600"/>
        <v>0</v>
      </c>
      <c r="DY402" s="79">
        <v>1</v>
      </c>
      <c r="DZ402" s="79">
        <f t="shared" si="601"/>
        <v>0</v>
      </c>
      <c r="EA402" s="79">
        <f t="shared" si="602"/>
        <v>0</v>
      </c>
      <c r="EB402" s="79">
        <f t="shared" si="603"/>
        <v>0</v>
      </c>
      <c r="EC402" s="79">
        <f t="shared" si="604"/>
        <v>0</v>
      </c>
      <c r="ED402" s="79">
        <v>1</v>
      </c>
      <c r="EE402" s="79">
        <v>1</v>
      </c>
      <c r="EF402" s="79">
        <f t="shared" si="605"/>
        <v>0</v>
      </c>
      <c r="EG402" s="79">
        <v>1</v>
      </c>
      <c r="EH402" s="79">
        <v>1</v>
      </c>
      <c r="EI402" s="79">
        <v>1</v>
      </c>
      <c r="EJ402" s="79">
        <v>1</v>
      </c>
      <c r="EK402" s="79">
        <v>1</v>
      </c>
      <c r="EL402" s="79">
        <v>1</v>
      </c>
      <c r="EM402" s="143">
        <f t="shared" si="606"/>
        <v>0</v>
      </c>
      <c r="EN402" s="143">
        <f t="shared" si="607"/>
        <v>0</v>
      </c>
      <c r="EO402" s="82">
        <f t="shared" si="608"/>
        <v>0</v>
      </c>
    </row>
    <row r="403" spans="1:145" x14ac:dyDescent="0.25">
      <c r="A403">
        <v>389</v>
      </c>
      <c r="B403" s="172" t="e">
        <f t="shared" si="580"/>
        <v>#N/A</v>
      </c>
      <c r="C403" s="121" t="e">
        <f t="shared" si="558"/>
        <v>#N/A</v>
      </c>
      <c r="D403" s="122" t="e">
        <f t="shared" si="559"/>
        <v>#N/A</v>
      </c>
      <c r="E403" s="122" t="e">
        <f t="shared" si="560"/>
        <v>#N/A</v>
      </c>
      <c r="F403" s="176" t="e">
        <f t="shared" si="561"/>
        <v>#N/A</v>
      </c>
      <c r="G403" s="121">
        <f t="shared" si="581"/>
        <v>208</v>
      </c>
      <c r="H403" s="176" t="e">
        <f t="shared" si="582"/>
        <v>#N/A</v>
      </c>
      <c r="I403" s="48">
        <v>1</v>
      </c>
      <c r="J403" s="39"/>
      <c r="K403" s="350">
        <v>1</v>
      </c>
      <c r="L403" s="34" t="e">
        <f t="shared" si="562"/>
        <v>#N/A</v>
      </c>
      <c r="M403" s="38" t="e">
        <f>(HLOOKUP(J403,'Construction Times'!$B$3:$W$34,L403+2,FALSE)*HLOOKUP("hq modifier",'Construction Times'!$W$3:$W$34,BS403+2,FALSE))*(1-$H$9)</f>
        <v>#N/A</v>
      </c>
      <c r="N403" s="443" t="e">
        <f t="shared" si="583"/>
        <v>#N/A</v>
      </c>
      <c r="O403" s="444"/>
      <c r="P403" s="447" t="e">
        <f t="shared" si="584"/>
        <v>#N/A</v>
      </c>
      <c r="Q403" s="448"/>
      <c r="R403" s="103">
        <f t="shared" si="609"/>
        <v>0</v>
      </c>
      <c r="S403" s="104">
        <f t="shared" si="609"/>
        <v>0</v>
      </c>
      <c r="T403" s="104">
        <f t="shared" si="610"/>
        <v>0</v>
      </c>
      <c r="U403" s="104">
        <f t="shared" si="610"/>
        <v>0</v>
      </c>
      <c r="V403" s="104">
        <f t="shared" si="610"/>
        <v>9.9999999999999995E-8</v>
      </c>
      <c r="W403" s="104">
        <f t="shared" si="610"/>
        <v>0</v>
      </c>
      <c r="X403" s="104">
        <f t="shared" si="557"/>
        <v>0</v>
      </c>
      <c r="Y403" s="104">
        <f t="shared" si="557"/>
        <v>9.9999999999999995E-8</v>
      </c>
      <c r="Z403" s="104">
        <f t="shared" si="557"/>
        <v>9.9999999999999995E-8</v>
      </c>
      <c r="AA403" s="105">
        <f t="shared" si="557"/>
        <v>9.9999999999999995E-8</v>
      </c>
      <c r="AB403" s="101" t="e">
        <f>$DT403*HLOOKUP($J403,'Construction Costs (timber)'!$B$1:$V$32,'Construction Planner'!$L403+2,FALSE)</f>
        <v>#N/A</v>
      </c>
      <c r="AC403" s="14" t="e">
        <f>$DT403*HLOOKUP($J403,'Construction Costs (clay)'!$B$1:$V$32,'Construction Planner'!$L403+2,FALSE)</f>
        <v>#N/A</v>
      </c>
      <c r="AD403" s="14" t="e">
        <f>$DT403*HLOOKUP($J403,'Construction Costs (iron)'!$B$1:$V$32,'Construction Planner'!$L403+2,FALSE)</f>
        <v>#N/A</v>
      </c>
      <c r="AE403" s="34" t="e">
        <f t="shared" si="524"/>
        <v>#N/A</v>
      </c>
      <c r="AF403" s="33" t="e">
        <f t="shared" si="563"/>
        <v>#N/A</v>
      </c>
      <c r="AG403" s="14" t="e">
        <f t="shared" si="564"/>
        <v>#N/A</v>
      </c>
      <c r="AH403" s="14" t="e">
        <f t="shared" si="565"/>
        <v>#N/A</v>
      </c>
      <c r="AI403" s="34" t="e">
        <f t="shared" si="525"/>
        <v>#N/A</v>
      </c>
      <c r="AJ403" s="49" t="e">
        <f t="shared" si="585"/>
        <v>#N/A</v>
      </c>
      <c r="AK403" s="49" t="e">
        <f t="shared" si="586"/>
        <v>#N/A</v>
      </c>
      <c r="AL403" s="49" t="e">
        <f t="shared" si="587"/>
        <v>#N/A</v>
      </c>
      <c r="AM403" s="25">
        <f t="shared" si="566"/>
        <v>30</v>
      </c>
      <c r="AN403" s="25">
        <f t="shared" si="567"/>
        <v>30</v>
      </c>
      <c r="AO403" s="25">
        <f t="shared" si="568"/>
        <v>30</v>
      </c>
      <c r="AP403" s="52" t="e">
        <f t="shared" si="588"/>
        <v>#N/A</v>
      </c>
      <c r="AQ403" s="53" t="e">
        <f t="shared" si="588"/>
        <v>#N/A</v>
      </c>
      <c r="AR403" s="54" t="e">
        <f t="shared" si="588"/>
        <v>#N/A</v>
      </c>
      <c r="AS403" s="316">
        <f t="shared" si="554"/>
        <v>0</v>
      </c>
      <c r="AT403" s="106">
        <f>_xlfn.IFNA($M403/VLOOKUP($BT403,'Unit information'!$A$2:$K$29,2,FALSE)*R403,0)*(1+$E$9)</f>
        <v>0</v>
      </c>
      <c r="AU403" s="107">
        <f>_xlfn.IFNA($M403/VLOOKUP($BT403,'Unit information'!$A$2:$K$29,3,FALSE)*S403,0)*(1+$E$9)</f>
        <v>0</v>
      </c>
      <c r="AV403" s="107">
        <f>_xlfn.IFNA($M403/VLOOKUP($BT403,'Unit information'!$A$2:$K$29,4,FALSE)*T403,0)*(1+$E$9)</f>
        <v>0</v>
      </c>
      <c r="AW403" s="107">
        <f>_xlfn.IFNA($M403/VLOOKUP($BT403,'Unit information'!$A$2:$K$29,5,FALSE)*U403,0)*(1+$E$9)</f>
        <v>0</v>
      </c>
      <c r="AX403" s="107">
        <f>_xlfn.IFNA($M403/VLOOKUP($BU403,'Unit information'!$A$2:$K$29,6,FALSE)*V403,0)*(1+$E$9)</f>
        <v>0</v>
      </c>
      <c r="AY403" s="107">
        <f>_xlfn.IFNA($M403/VLOOKUP($BU403,'Unit information'!$A$2:$K$29,7,FALSE)*W403,0)*(1+$E$9)</f>
        <v>0</v>
      </c>
      <c r="AZ403" s="107">
        <f>_xlfn.IFNA($M403/VLOOKUP($BU403,'Unit information'!$A$2:$K$29,8,FALSE)*X403,0)*(1+$E$9)</f>
        <v>0</v>
      </c>
      <c r="BA403" s="107">
        <f>_xlfn.IFNA($M403/VLOOKUP($BU403,'Unit information'!$A$2:$K$29,9,FALSE)*Y403,0)*(1+$E$9)</f>
        <v>0</v>
      </c>
      <c r="BB403" s="107">
        <f>_xlfn.IFNA($M403/VLOOKUP($BV403,'Unit information'!$A$2:$K$29,10,FALSE)*Z403,0)*(1+$E$9)</f>
        <v>0</v>
      </c>
      <c r="BC403" s="108">
        <f>_xlfn.IFNA($M403/VLOOKUP($BV403,'Unit information'!$A$2:$K$29,11,FALSE)*AA403,0)*(1+$E$9)</f>
        <v>0</v>
      </c>
      <c r="BD403" s="106">
        <f t="shared" si="569"/>
        <v>0</v>
      </c>
      <c r="BE403" s="107">
        <f t="shared" si="570"/>
        <v>0</v>
      </c>
      <c r="BF403" s="108">
        <f t="shared" si="571"/>
        <v>0</v>
      </c>
      <c r="BG403" s="25" t="e">
        <f t="shared" si="572"/>
        <v>#N/A</v>
      </c>
      <c r="BH403" s="25" t="e">
        <f t="shared" si="573"/>
        <v>#N/A</v>
      </c>
      <c r="BI403" s="25" t="e">
        <f t="shared" si="574"/>
        <v>#N/A</v>
      </c>
      <c r="BJ403" s="27" t="e">
        <f t="shared" si="575"/>
        <v>#N/A</v>
      </c>
      <c r="BK403" s="18" t="e">
        <f t="shared" si="576"/>
        <v>#N/A</v>
      </c>
      <c r="BL403" s="18" t="e">
        <f t="shared" si="577"/>
        <v>#N/A</v>
      </c>
      <c r="BM403" s="28" t="e">
        <f t="shared" si="527"/>
        <v>#N/A</v>
      </c>
      <c r="BN403" s="33">
        <f>HLOOKUP("maximum population",Miscelaneous!$C$1:$C$33,CH403+3,FALSE)</f>
        <v>240</v>
      </c>
      <c r="BO403" s="14">
        <f t="shared" si="589"/>
        <v>32</v>
      </c>
      <c r="BP403" s="14">
        <f t="shared" si="590"/>
        <v>0</v>
      </c>
      <c r="BQ403" s="14">
        <f t="shared" si="591"/>
        <v>208</v>
      </c>
      <c r="BR403" s="34" t="e">
        <f>HLOOKUP(J403,Villagers!$B$1:$V$33,L403+3,FALSE)-HLOOKUP(J403,Villagers!$B$1:$V$33,L403+2,FALSE)</f>
        <v>#N/A</v>
      </c>
      <c r="BS403" s="49">
        <f t="shared" si="592"/>
        <v>1</v>
      </c>
      <c r="BT403" s="50">
        <f t="shared" si="593"/>
        <v>0</v>
      </c>
      <c r="BU403" s="50">
        <f t="shared" si="594"/>
        <v>0</v>
      </c>
      <c r="BV403" s="50">
        <f t="shared" si="595"/>
        <v>0</v>
      </c>
      <c r="BW403" s="50">
        <f t="shared" si="555"/>
        <v>0</v>
      </c>
      <c r="BX403" s="50">
        <f t="shared" si="556"/>
        <v>0</v>
      </c>
      <c r="BY403" s="50">
        <f t="shared" si="556"/>
        <v>0</v>
      </c>
      <c r="BZ403" s="50">
        <f t="shared" si="530"/>
        <v>0</v>
      </c>
      <c r="CA403" s="50">
        <f t="shared" si="531"/>
        <v>0</v>
      </c>
      <c r="CB403" s="50">
        <f t="shared" si="532"/>
        <v>1</v>
      </c>
      <c r="CC403" s="50">
        <f t="shared" si="533"/>
        <v>0</v>
      </c>
      <c r="CD403" s="50">
        <f t="shared" si="534"/>
        <v>0</v>
      </c>
      <c r="CE403" s="50">
        <f t="shared" si="535"/>
        <v>1</v>
      </c>
      <c r="CF403" s="50">
        <f t="shared" si="536"/>
        <v>1</v>
      </c>
      <c r="CG403" s="50">
        <f t="shared" si="537"/>
        <v>1</v>
      </c>
      <c r="CH403" s="50">
        <f t="shared" si="538"/>
        <v>1</v>
      </c>
      <c r="CI403" s="50">
        <f t="shared" si="539"/>
        <v>1</v>
      </c>
      <c r="CJ403" s="50">
        <f t="shared" si="540"/>
        <v>1</v>
      </c>
      <c r="CK403" s="50">
        <f t="shared" si="540"/>
        <v>0</v>
      </c>
      <c r="CL403" s="50">
        <f t="shared" si="540"/>
        <v>0</v>
      </c>
      <c r="CM403" s="51">
        <f t="shared" si="578"/>
        <v>0</v>
      </c>
      <c r="CN403" s="33">
        <f>ROUND(IF(BS403=0,0,HLOOKUP(BS$14,Villagers!$B$1:$V$33,BS403+3,FALSE)),)</f>
        <v>5</v>
      </c>
      <c r="CO403" s="14">
        <f>ROUND(IF(BT403=0,0,HLOOKUP(BT$14,Villagers!$B$1:$V$33,BT403+3,FALSE)),)</f>
        <v>0</v>
      </c>
      <c r="CP403" s="14">
        <f>ROUND(IF(BU403=0,0,HLOOKUP(BU$14,Villagers!$B$1:$V$33,BU403+3,FALSE)),)</f>
        <v>0</v>
      </c>
      <c r="CQ403" s="14">
        <f>ROUND(IF(BV403=0,0,HLOOKUP(BV$14,Villagers!$B$1:$V$33,BV403+3,FALSE)),)</f>
        <v>0</v>
      </c>
      <c r="CR403" s="14">
        <f>ROUND(IF(BW403=0,0,HLOOKUP(BW$14,Villagers!$B$1:$V$33,BW403+3,FALSE)),)</f>
        <v>0</v>
      </c>
      <c r="CS403" s="14">
        <f>ROUND(IF(BX403=0,0,HLOOKUP(BX$14,Villagers!$B$1:$V$33,BX403+3,FALSE)),)</f>
        <v>0</v>
      </c>
      <c r="CT403" s="14">
        <f>ROUND(IF(BY403=0,0,HLOOKUP(BY$14,Villagers!$B$1:$V$33,BY403+3,FALSE)),)</f>
        <v>0</v>
      </c>
      <c r="CU403" s="14">
        <f>ROUND(IF(BZ403=0,0,HLOOKUP(BZ$14,Villagers!$B$1:$V$33,BZ403+3,FALSE)),)</f>
        <v>0</v>
      </c>
      <c r="CV403" s="14">
        <f>ROUND(IF(CA403=0,0,HLOOKUP(CA$14,Villagers!$B$1:$V$33,CA403+3,FALSE)),)</f>
        <v>0</v>
      </c>
      <c r="CW403" s="14">
        <f>ROUND(IF(CB403=0,0,HLOOKUP(CB$14,Villagers!$B$1:$V$33,CB403+3,FALSE)),)</f>
        <v>0</v>
      </c>
      <c r="CX403" s="14">
        <f>ROUND(IF(CC403=0,0,HLOOKUP(CC$14,Villagers!$B$1:$V$33,CC403+3,FALSE)),)</f>
        <v>0</v>
      </c>
      <c r="CY403" s="14">
        <f>ROUND(IF(CD403=0,0,HLOOKUP(CD$14,Villagers!$B$1:$V$33,CD403+3,FALSE)),)</f>
        <v>0</v>
      </c>
      <c r="CZ403" s="14">
        <f>ROUND(IF(CE403=0,0,HLOOKUP(CE$14,Villagers!$B$1:$V$33,CE403+3,FALSE)),)</f>
        <v>5</v>
      </c>
      <c r="DA403" s="14">
        <f>ROUND(IF(CF403=0,0,HLOOKUP(CF$14,Villagers!$B$1:$V$33,CF403+3,FALSE)),)</f>
        <v>10</v>
      </c>
      <c r="DB403" s="14">
        <f>ROUND(IF(CG403=0,0,HLOOKUP(CG$14,Villagers!$B$1:$V$33,CG403+3,FALSE)),)</f>
        <v>10</v>
      </c>
      <c r="DC403" s="14">
        <f>ROUND(IF(CH403=0,0,HLOOKUP(CH$14,Villagers!$B$1:$V$33,CH403+3,FALSE)),)</f>
        <v>0</v>
      </c>
      <c r="DD403" s="14">
        <f>ROUND(IF(CI403=0,0,HLOOKUP(CI$14,Villagers!$B$1:$V$33,CI403+3,FALSE)),)</f>
        <v>0</v>
      </c>
      <c r="DE403" s="14">
        <f>ROUND(IF(CJ403=0,0,HLOOKUP(CJ$14,Villagers!$B$1:$V$33,CJ403+3,FALSE)),)</f>
        <v>2</v>
      </c>
      <c r="DF403" s="370">
        <f>ROUND(IF(CK403=0,0,HLOOKUP(CK$14,Villagers!$B$1:$V$33,CK403+3,FALSE)),)</f>
        <v>0</v>
      </c>
      <c r="DG403" s="370">
        <f>ROUND(IF(CL403=0,0,HLOOKUP(CL$14,Villagers!$B$1:$V$33,CL403+3,FALSE)),)</f>
        <v>0</v>
      </c>
      <c r="DH403" s="34">
        <f>ROUND(IF(CM403=0,0,HLOOKUP(CM$14,Villagers!$B$1:$V$33,CM403+3,FALSE)),)</f>
        <v>0</v>
      </c>
      <c r="DI403" s="109">
        <f t="shared" si="611"/>
        <v>0</v>
      </c>
      <c r="DJ403" s="50">
        <f t="shared" si="612"/>
        <v>0</v>
      </c>
      <c r="DK403" s="50">
        <f t="shared" si="613"/>
        <v>0</v>
      </c>
      <c r="DL403" s="50">
        <f t="shared" si="614"/>
        <v>0</v>
      </c>
      <c r="DM403" s="50">
        <f t="shared" si="615"/>
        <v>0</v>
      </c>
      <c r="DN403" s="50">
        <f t="shared" si="616"/>
        <v>0</v>
      </c>
      <c r="DO403" s="50">
        <f t="shared" si="617"/>
        <v>0</v>
      </c>
      <c r="DP403" s="50">
        <f t="shared" si="618"/>
        <v>0</v>
      </c>
      <c r="DQ403" s="50">
        <f t="shared" si="596"/>
        <v>0</v>
      </c>
      <c r="DR403" s="50">
        <f t="shared" si="597"/>
        <v>0</v>
      </c>
      <c r="DS403" s="96">
        <f>Miscelaneous!$D$4*Miscelaneous!$D$2^($CI403-1)</f>
        <v>1000</v>
      </c>
      <c r="DT403" s="333">
        <f t="shared" si="579"/>
        <v>1</v>
      </c>
      <c r="DU403" s="81">
        <v>1</v>
      </c>
      <c r="DV403" s="79">
        <f t="shared" si="598"/>
        <v>0</v>
      </c>
      <c r="DW403" s="79">
        <f t="shared" si="599"/>
        <v>0</v>
      </c>
      <c r="DX403" s="79">
        <f t="shared" si="600"/>
        <v>0</v>
      </c>
      <c r="DY403" s="79">
        <v>1</v>
      </c>
      <c r="DZ403" s="79">
        <f t="shared" si="601"/>
        <v>0</v>
      </c>
      <c r="EA403" s="79">
        <f t="shared" si="602"/>
        <v>0</v>
      </c>
      <c r="EB403" s="79">
        <f t="shared" si="603"/>
        <v>0</v>
      </c>
      <c r="EC403" s="79">
        <f t="shared" si="604"/>
        <v>0</v>
      </c>
      <c r="ED403" s="79">
        <v>1</v>
      </c>
      <c r="EE403" s="79">
        <v>1</v>
      </c>
      <c r="EF403" s="79">
        <f t="shared" si="605"/>
        <v>0</v>
      </c>
      <c r="EG403" s="79">
        <v>1</v>
      </c>
      <c r="EH403" s="79">
        <v>1</v>
      </c>
      <c r="EI403" s="79">
        <v>1</v>
      </c>
      <c r="EJ403" s="79">
        <v>1</v>
      </c>
      <c r="EK403" s="79">
        <v>1</v>
      </c>
      <c r="EL403" s="79">
        <v>1</v>
      </c>
      <c r="EM403" s="143">
        <f t="shared" si="606"/>
        <v>0</v>
      </c>
      <c r="EN403" s="143">
        <f t="shared" si="607"/>
        <v>0</v>
      </c>
      <c r="EO403" s="82">
        <f t="shared" si="608"/>
        <v>0</v>
      </c>
    </row>
    <row r="404" spans="1:145" x14ac:dyDescent="0.25">
      <c r="A404">
        <v>390</v>
      </c>
      <c r="B404" s="172" t="e">
        <f t="shared" si="580"/>
        <v>#N/A</v>
      </c>
      <c r="C404" s="121" t="e">
        <f t="shared" si="558"/>
        <v>#N/A</v>
      </c>
      <c r="D404" s="122" t="e">
        <f t="shared" si="559"/>
        <v>#N/A</v>
      </c>
      <c r="E404" s="122" t="e">
        <f t="shared" si="560"/>
        <v>#N/A</v>
      </c>
      <c r="F404" s="176" t="e">
        <f t="shared" si="561"/>
        <v>#N/A</v>
      </c>
      <c r="G404" s="121">
        <f t="shared" si="581"/>
        <v>208</v>
      </c>
      <c r="H404" s="176" t="e">
        <f t="shared" si="582"/>
        <v>#N/A</v>
      </c>
      <c r="I404" s="48">
        <v>1</v>
      </c>
      <c r="J404" s="39"/>
      <c r="K404" s="350">
        <v>1</v>
      </c>
      <c r="L404" s="34" t="e">
        <f t="shared" si="562"/>
        <v>#N/A</v>
      </c>
      <c r="M404" s="38" t="e">
        <f>(HLOOKUP(J404,'Construction Times'!$B$3:$W$34,L404+2,FALSE)*HLOOKUP("hq modifier",'Construction Times'!$W$3:$W$34,BS404+2,FALSE))*(1-$H$9)</f>
        <v>#N/A</v>
      </c>
      <c r="N404" s="443" t="e">
        <f t="shared" si="583"/>
        <v>#N/A</v>
      </c>
      <c r="O404" s="444"/>
      <c r="P404" s="447" t="e">
        <f t="shared" si="584"/>
        <v>#N/A</v>
      </c>
      <c r="Q404" s="448"/>
      <c r="R404" s="103">
        <f t="shared" si="609"/>
        <v>0</v>
      </c>
      <c r="S404" s="104">
        <f t="shared" si="609"/>
        <v>0</v>
      </c>
      <c r="T404" s="104">
        <f t="shared" si="610"/>
        <v>0</v>
      </c>
      <c r="U404" s="104">
        <f t="shared" si="610"/>
        <v>0</v>
      </c>
      <c r="V404" s="104">
        <f t="shared" si="610"/>
        <v>9.9999999999999995E-8</v>
      </c>
      <c r="W404" s="104">
        <f t="shared" si="610"/>
        <v>0</v>
      </c>
      <c r="X404" s="104">
        <f t="shared" si="557"/>
        <v>0</v>
      </c>
      <c r="Y404" s="104">
        <f t="shared" si="557"/>
        <v>9.9999999999999995E-8</v>
      </c>
      <c r="Z404" s="104">
        <f t="shared" si="557"/>
        <v>9.9999999999999995E-8</v>
      </c>
      <c r="AA404" s="105">
        <f t="shared" si="557"/>
        <v>9.9999999999999995E-8</v>
      </c>
      <c r="AB404" s="101" t="e">
        <f>$DT404*HLOOKUP($J404,'Construction Costs (timber)'!$B$1:$V$32,'Construction Planner'!$L404+2,FALSE)</f>
        <v>#N/A</v>
      </c>
      <c r="AC404" s="14" t="e">
        <f>$DT404*HLOOKUP($J404,'Construction Costs (clay)'!$B$1:$V$32,'Construction Planner'!$L404+2,FALSE)</f>
        <v>#N/A</v>
      </c>
      <c r="AD404" s="14" t="e">
        <f>$DT404*HLOOKUP($J404,'Construction Costs (iron)'!$B$1:$V$32,'Construction Planner'!$L404+2,FALSE)</f>
        <v>#N/A</v>
      </c>
      <c r="AE404" s="34" t="e">
        <f t="shared" ref="AE404:AE467" si="619">SUM(AB404:AD404)</f>
        <v>#N/A</v>
      </c>
      <c r="AF404" s="33" t="e">
        <f t="shared" si="563"/>
        <v>#N/A</v>
      </c>
      <c r="AG404" s="14" t="e">
        <f t="shared" si="564"/>
        <v>#N/A</v>
      </c>
      <c r="AH404" s="14" t="e">
        <f t="shared" si="565"/>
        <v>#N/A</v>
      </c>
      <c r="AI404" s="34" t="e">
        <f t="shared" ref="AI404:AI467" si="620">SUM(AF404:AH404)</f>
        <v>#N/A</v>
      </c>
      <c r="AJ404" s="49" t="e">
        <f t="shared" si="585"/>
        <v>#N/A</v>
      </c>
      <c r="AK404" s="49" t="e">
        <f t="shared" si="586"/>
        <v>#N/A</v>
      </c>
      <c r="AL404" s="49" t="e">
        <f t="shared" si="587"/>
        <v>#N/A</v>
      </c>
      <c r="AM404" s="25">
        <f t="shared" si="566"/>
        <v>30</v>
      </c>
      <c r="AN404" s="25">
        <f t="shared" si="567"/>
        <v>30</v>
      </c>
      <c r="AO404" s="25">
        <f t="shared" si="568"/>
        <v>30</v>
      </c>
      <c r="AP404" s="52" t="e">
        <f t="shared" si="588"/>
        <v>#N/A</v>
      </c>
      <c r="AQ404" s="53" t="e">
        <f t="shared" si="588"/>
        <v>#N/A</v>
      </c>
      <c r="AR404" s="54" t="e">
        <f t="shared" si="588"/>
        <v>#N/A</v>
      </c>
      <c r="AS404" s="316">
        <f t="shared" ref="AS404:AS419" si="621">AS403</f>
        <v>0</v>
      </c>
      <c r="AT404" s="106">
        <f>_xlfn.IFNA($M404/VLOOKUP($BT404,'Unit information'!$A$2:$K$29,2,FALSE)*R404,0)*(1+$E$9)</f>
        <v>0</v>
      </c>
      <c r="AU404" s="107">
        <f>_xlfn.IFNA($M404/VLOOKUP($BT404,'Unit information'!$A$2:$K$29,3,FALSE)*S404,0)*(1+$E$9)</f>
        <v>0</v>
      </c>
      <c r="AV404" s="107">
        <f>_xlfn.IFNA($M404/VLOOKUP($BT404,'Unit information'!$A$2:$K$29,4,FALSE)*T404,0)*(1+$E$9)</f>
        <v>0</v>
      </c>
      <c r="AW404" s="107">
        <f>_xlfn.IFNA($M404/VLOOKUP($BT404,'Unit information'!$A$2:$K$29,5,FALSE)*U404,0)*(1+$E$9)</f>
        <v>0</v>
      </c>
      <c r="AX404" s="107">
        <f>_xlfn.IFNA($M404/VLOOKUP($BU404,'Unit information'!$A$2:$K$29,6,FALSE)*V404,0)*(1+$E$9)</f>
        <v>0</v>
      </c>
      <c r="AY404" s="107">
        <f>_xlfn.IFNA($M404/VLOOKUP($BU404,'Unit information'!$A$2:$K$29,7,FALSE)*W404,0)*(1+$E$9)</f>
        <v>0</v>
      </c>
      <c r="AZ404" s="107">
        <f>_xlfn.IFNA($M404/VLOOKUP($BU404,'Unit information'!$A$2:$K$29,8,FALSE)*X404,0)*(1+$E$9)</f>
        <v>0</v>
      </c>
      <c r="BA404" s="107">
        <f>_xlfn.IFNA($M404/VLOOKUP($BU404,'Unit information'!$A$2:$K$29,9,FALSE)*Y404,0)*(1+$E$9)</f>
        <v>0</v>
      </c>
      <c r="BB404" s="107">
        <f>_xlfn.IFNA($M404/VLOOKUP($BV404,'Unit information'!$A$2:$K$29,10,FALSE)*Z404,0)*(1+$E$9)</f>
        <v>0</v>
      </c>
      <c r="BC404" s="108">
        <f>_xlfn.IFNA($M404/VLOOKUP($BV404,'Unit information'!$A$2:$K$29,11,FALSE)*AA404,0)*(1+$E$9)</f>
        <v>0</v>
      </c>
      <c r="BD404" s="106">
        <f t="shared" si="569"/>
        <v>0</v>
      </c>
      <c r="BE404" s="107">
        <f t="shared" si="570"/>
        <v>0</v>
      </c>
      <c r="BF404" s="108">
        <f t="shared" si="571"/>
        <v>0</v>
      </c>
      <c r="BG404" s="25" t="e">
        <f t="shared" si="572"/>
        <v>#N/A</v>
      </c>
      <c r="BH404" s="25" t="e">
        <f t="shared" si="573"/>
        <v>#N/A</v>
      </c>
      <c r="BI404" s="25" t="e">
        <f t="shared" si="574"/>
        <v>#N/A</v>
      </c>
      <c r="BJ404" s="27" t="e">
        <f t="shared" si="575"/>
        <v>#N/A</v>
      </c>
      <c r="BK404" s="18" t="e">
        <f t="shared" si="576"/>
        <v>#N/A</v>
      </c>
      <c r="BL404" s="18" t="e">
        <f t="shared" si="577"/>
        <v>#N/A</v>
      </c>
      <c r="BM404" s="28" t="e">
        <f t="shared" ref="BM404:BM467" si="622">MAX(BJ404:BL404)</f>
        <v>#N/A</v>
      </c>
      <c r="BN404" s="33">
        <f>HLOOKUP("maximum population",Miscelaneous!$C$1:$C$33,CH404+3,FALSE)</f>
        <v>240</v>
      </c>
      <c r="BO404" s="14">
        <f t="shared" si="589"/>
        <v>32</v>
      </c>
      <c r="BP404" s="14">
        <f t="shared" si="590"/>
        <v>0</v>
      </c>
      <c r="BQ404" s="14">
        <f t="shared" si="591"/>
        <v>208</v>
      </c>
      <c r="BR404" s="34" t="e">
        <f>HLOOKUP(J404,Villagers!$B$1:$V$33,L404+3,FALSE)-HLOOKUP(J404,Villagers!$B$1:$V$33,L404+2,FALSE)</f>
        <v>#N/A</v>
      </c>
      <c r="BS404" s="49">
        <f t="shared" si="592"/>
        <v>1</v>
      </c>
      <c r="BT404" s="50">
        <f t="shared" si="593"/>
        <v>0</v>
      </c>
      <c r="BU404" s="50">
        <f t="shared" si="594"/>
        <v>0</v>
      </c>
      <c r="BV404" s="50">
        <f t="shared" si="595"/>
        <v>0</v>
      </c>
      <c r="BW404" s="50">
        <f t="shared" si="555"/>
        <v>0</v>
      </c>
      <c r="BX404" s="50">
        <f t="shared" si="556"/>
        <v>0</v>
      </c>
      <c r="BY404" s="50">
        <f t="shared" si="556"/>
        <v>0</v>
      </c>
      <c r="BZ404" s="50">
        <f t="shared" si="530"/>
        <v>0</v>
      </c>
      <c r="CA404" s="50">
        <f t="shared" si="531"/>
        <v>0</v>
      </c>
      <c r="CB404" s="50">
        <f t="shared" si="532"/>
        <v>1</v>
      </c>
      <c r="CC404" s="50">
        <f t="shared" si="533"/>
        <v>0</v>
      </c>
      <c r="CD404" s="50">
        <f t="shared" si="534"/>
        <v>0</v>
      </c>
      <c r="CE404" s="50">
        <f t="shared" si="535"/>
        <v>1</v>
      </c>
      <c r="CF404" s="50">
        <f t="shared" si="536"/>
        <v>1</v>
      </c>
      <c r="CG404" s="50">
        <f t="shared" si="537"/>
        <v>1</v>
      </c>
      <c r="CH404" s="50">
        <f t="shared" si="538"/>
        <v>1</v>
      </c>
      <c r="CI404" s="50">
        <f t="shared" si="539"/>
        <v>1</v>
      </c>
      <c r="CJ404" s="50">
        <f t="shared" si="540"/>
        <v>1</v>
      </c>
      <c r="CK404" s="50">
        <f t="shared" si="540"/>
        <v>0</v>
      </c>
      <c r="CL404" s="50">
        <f t="shared" si="540"/>
        <v>0</v>
      </c>
      <c r="CM404" s="51">
        <f t="shared" si="578"/>
        <v>0</v>
      </c>
      <c r="CN404" s="33">
        <f>ROUND(IF(BS404=0,0,HLOOKUP(BS$14,Villagers!$B$1:$V$33,BS404+3,FALSE)),)</f>
        <v>5</v>
      </c>
      <c r="CO404" s="14">
        <f>ROUND(IF(BT404=0,0,HLOOKUP(BT$14,Villagers!$B$1:$V$33,BT404+3,FALSE)),)</f>
        <v>0</v>
      </c>
      <c r="CP404" s="14">
        <f>ROUND(IF(BU404=0,0,HLOOKUP(BU$14,Villagers!$B$1:$V$33,BU404+3,FALSE)),)</f>
        <v>0</v>
      </c>
      <c r="CQ404" s="14">
        <f>ROUND(IF(BV404=0,0,HLOOKUP(BV$14,Villagers!$B$1:$V$33,BV404+3,FALSE)),)</f>
        <v>0</v>
      </c>
      <c r="CR404" s="14">
        <f>ROUND(IF(BW404=0,0,HLOOKUP(BW$14,Villagers!$B$1:$V$33,BW404+3,FALSE)),)</f>
        <v>0</v>
      </c>
      <c r="CS404" s="14">
        <f>ROUND(IF(BX404=0,0,HLOOKUP(BX$14,Villagers!$B$1:$V$33,BX404+3,FALSE)),)</f>
        <v>0</v>
      </c>
      <c r="CT404" s="14">
        <f>ROUND(IF(BY404=0,0,HLOOKUP(BY$14,Villagers!$B$1:$V$33,BY404+3,FALSE)),)</f>
        <v>0</v>
      </c>
      <c r="CU404" s="14">
        <f>ROUND(IF(BZ404=0,0,HLOOKUP(BZ$14,Villagers!$B$1:$V$33,BZ404+3,FALSE)),)</f>
        <v>0</v>
      </c>
      <c r="CV404" s="14">
        <f>ROUND(IF(CA404=0,0,HLOOKUP(CA$14,Villagers!$B$1:$V$33,CA404+3,FALSE)),)</f>
        <v>0</v>
      </c>
      <c r="CW404" s="14">
        <f>ROUND(IF(CB404=0,0,HLOOKUP(CB$14,Villagers!$B$1:$V$33,CB404+3,FALSE)),)</f>
        <v>0</v>
      </c>
      <c r="CX404" s="14">
        <f>ROUND(IF(CC404=0,0,HLOOKUP(CC$14,Villagers!$B$1:$V$33,CC404+3,FALSE)),)</f>
        <v>0</v>
      </c>
      <c r="CY404" s="14">
        <f>ROUND(IF(CD404=0,0,HLOOKUP(CD$14,Villagers!$B$1:$V$33,CD404+3,FALSE)),)</f>
        <v>0</v>
      </c>
      <c r="CZ404" s="14">
        <f>ROUND(IF(CE404=0,0,HLOOKUP(CE$14,Villagers!$B$1:$V$33,CE404+3,FALSE)),)</f>
        <v>5</v>
      </c>
      <c r="DA404" s="14">
        <f>ROUND(IF(CF404=0,0,HLOOKUP(CF$14,Villagers!$B$1:$V$33,CF404+3,FALSE)),)</f>
        <v>10</v>
      </c>
      <c r="DB404" s="14">
        <f>ROUND(IF(CG404=0,0,HLOOKUP(CG$14,Villagers!$B$1:$V$33,CG404+3,FALSE)),)</f>
        <v>10</v>
      </c>
      <c r="DC404" s="14">
        <f>ROUND(IF(CH404=0,0,HLOOKUP(CH$14,Villagers!$B$1:$V$33,CH404+3,FALSE)),)</f>
        <v>0</v>
      </c>
      <c r="DD404" s="14">
        <f>ROUND(IF(CI404=0,0,HLOOKUP(CI$14,Villagers!$B$1:$V$33,CI404+3,FALSE)),)</f>
        <v>0</v>
      </c>
      <c r="DE404" s="14">
        <f>ROUND(IF(CJ404=0,0,HLOOKUP(CJ$14,Villagers!$B$1:$V$33,CJ404+3,FALSE)),)</f>
        <v>2</v>
      </c>
      <c r="DF404" s="370">
        <f>ROUND(IF(CK404=0,0,HLOOKUP(CK$14,Villagers!$B$1:$V$33,CK404+3,FALSE)),)</f>
        <v>0</v>
      </c>
      <c r="DG404" s="370">
        <f>ROUND(IF(CL404=0,0,HLOOKUP(CL$14,Villagers!$B$1:$V$33,CL404+3,FALSE)),)</f>
        <v>0</v>
      </c>
      <c r="DH404" s="34">
        <f>ROUND(IF(CM404=0,0,HLOOKUP(CM$14,Villagers!$B$1:$V$33,CM404+3,FALSE)),)</f>
        <v>0</v>
      </c>
      <c r="DI404" s="109">
        <f t="shared" si="611"/>
        <v>0</v>
      </c>
      <c r="DJ404" s="50">
        <f t="shared" si="612"/>
        <v>0</v>
      </c>
      <c r="DK404" s="50">
        <f t="shared" si="613"/>
        <v>0</v>
      </c>
      <c r="DL404" s="50">
        <f t="shared" si="614"/>
        <v>0</v>
      </c>
      <c r="DM404" s="50">
        <f t="shared" si="615"/>
        <v>0</v>
      </c>
      <c r="DN404" s="50">
        <f t="shared" si="616"/>
        <v>0</v>
      </c>
      <c r="DO404" s="50">
        <f t="shared" si="617"/>
        <v>0</v>
      </c>
      <c r="DP404" s="50">
        <f t="shared" si="618"/>
        <v>0</v>
      </c>
      <c r="DQ404" s="50">
        <f t="shared" si="596"/>
        <v>0</v>
      </c>
      <c r="DR404" s="50">
        <f t="shared" si="597"/>
        <v>0</v>
      </c>
      <c r="DS404" s="96">
        <f>Miscelaneous!$D$4*Miscelaneous!$D$2^($CI404-1)</f>
        <v>1000</v>
      </c>
      <c r="DT404" s="333">
        <f t="shared" si="579"/>
        <v>1</v>
      </c>
      <c r="DU404" s="81">
        <v>1</v>
      </c>
      <c r="DV404" s="79">
        <f t="shared" si="598"/>
        <v>0</v>
      </c>
      <c r="DW404" s="79">
        <f t="shared" si="599"/>
        <v>0</v>
      </c>
      <c r="DX404" s="79">
        <f t="shared" si="600"/>
        <v>0</v>
      </c>
      <c r="DY404" s="79">
        <v>1</v>
      </c>
      <c r="DZ404" s="79">
        <f t="shared" si="601"/>
        <v>0</v>
      </c>
      <c r="EA404" s="79">
        <f t="shared" si="602"/>
        <v>0</v>
      </c>
      <c r="EB404" s="79">
        <f t="shared" si="603"/>
        <v>0</v>
      </c>
      <c r="EC404" s="79">
        <f t="shared" si="604"/>
        <v>0</v>
      </c>
      <c r="ED404" s="79">
        <v>1</v>
      </c>
      <c r="EE404" s="79">
        <v>1</v>
      </c>
      <c r="EF404" s="79">
        <f t="shared" si="605"/>
        <v>0</v>
      </c>
      <c r="EG404" s="79">
        <v>1</v>
      </c>
      <c r="EH404" s="79">
        <v>1</v>
      </c>
      <c r="EI404" s="79">
        <v>1</v>
      </c>
      <c r="EJ404" s="79">
        <v>1</v>
      </c>
      <c r="EK404" s="79">
        <v>1</v>
      </c>
      <c r="EL404" s="79">
        <v>1</v>
      </c>
      <c r="EM404" s="143">
        <f t="shared" si="606"/>
        <v>0</v>
      </c>
      <c r="EN404" s="143">
        <f t="shared" si="607"/>
        <v>0</v>
      </c>
      <c r="EO404" s="82">
        <f t="shared" si="608"/>
        <v>0</v>
      </c>
    </row>
    <row r="405" spans="1:145" x14ac:dyDescent="0.25">
      <c r="A405">
        <v>391</v>
      </c>
      <c r="B405" s="172" t="e">
        <f t="shared" si="580"/>
        <v>#N/A</v>
      </c>
      <c r="C405" s="121" t="e">
        <f t="shared" si="558"/>
        <v>#N/A</v>
      </c>
      <c r="D405" s="122" t="e">
        <f t="shared" si="559"/>
        <v>#N/A</v>
      </c>
      <c r="E405" s="122" t="e">
        <f t="shared" si="560"/>
        <v>#N/A</v>
      </c>
      <c r="F405" s="176" t="e">
        <f t="shared" si="561"/>
        <v>#N/A</v>
      </c>
      <c r="G405" s="121">
        <f t="shared" si="581"/>
        <v>208</v>
      </c>
      <c r="H405" s="176" t="e">
        <f t="shared" si="582"/>
        <v>#N/A</v>
      </c>
      <c r="I405" s="48">
        <v>1</v>
      </c>
      <c r="J405" s="39"/>
      <c r="K405" s="350">
        <v>1</v>
      </c>
      <c r="L405" s="34" t="e">
        <f t="shared" si="562"/>
        <v>#N/A</v>
      </c>
      <c r="M405" s="38" t="e">
        <f>(HLOOKUP(J405,'Construction Times'!$B$3:$W$34,L405+2,FALSE)*HLOOKUP("hq modifier",'Construction Times'!$W$3:$W$34,BS405+2,FALSE))*(1-$H$9)</f>
        <v>#N/A</v>
      </c>
      <c r="N405" s="443" t="e">
        <f t="shared" si="583"/>
        <v>#N/A</v>
      </c>
      <c r="O405" s="444"/>
      <c r="P405" s="447" t="e">
        <f t="shared" si="584"/>
        <v>#N/A</v>
      </c>
      <c r="Q405" s="448"/>
      <c r="R405" s="103">
        <f t="shared" si="609"/>
        <v>0</v>
      </c>
      <c r="S405" s="104">
        <f t="shared" si="609"/>
        <v>0</v>
      </c>
      <c r="T405" s="104">
        <f t="shared" si="610"/>
        <v>0</v>
      </c>
      <c r="U405" s="104">
        <f t="shared" si="610"/>
        <v>0</v>
      </c>
      <c r="V405" s="104">
        <f t="shared" si="610"/>
        <v>9.9999999999999995E-8</v>
      </c>
      <c r="W405" s="104">
        <f t="shared" si="610"/>
        <v>0</v>
      </c>
      <c r="X405" s="104">
        <f t="shared" si="557"/>
        <v>0</v>
      </c>
      <c r="Y405" s="104">
        <f t="shared" si="557"/>
        <v>9.9999999999999995E-8</v>
      </c>
      <c r="Z405" s="104">
        <f t="shared" si="557"/>
        <v>9.9999999999999995E-8</v>
      </c>
      <c r="AA405" s="105">
        <f t="shared" si="557"/>
        <v>9.9999999999999995E-8</v>
      </c>
      <c r="AB405" s="101" t="e">
        <f>$DT405*HLOOKUP($J405,'Construction Costs (timber)'!$B$1:$V$32,'Construction Planner'!$L405+2,FALSE)</f>
        <v>#N/A</v>
      </c>
      <c r="AC405" s="14" t="e">
        <f>$DT405*HLOOKUP($J405,'Construction Costs (clay)'!$B$1:$V$32,'Construction Planner'!$L405+2,FALSE)</f>
        <v>#N/A</v>
      </c>
      <c r="AD405" s="14" t="e">
        <f>$DT405*HLOOKUP($J405,'Construction Costs (iron)'!$B$1:$V$32,'Construction Planner'!$L405+2,FALSE)</f>
        <v>#N/A</v>
      </c>
      <c r="AE405" s="34" t="e">
        <f t="shared" si="619"/>
        <v>#N/A</v>
      </c>
      <c r="AF405" s="33" t="e">
        <f t="shared" si="563"/>
        <v>#N/A</v>
      </c>
      <c r="AG405" s="14" t="e">
        <f t="shared" si="564"/>
        <v>#N/A</v>
      </c>
      <c r="AH405" s="14" t="e">
        <f t="shared" si="565"/>
        <v>#N/A</v>
      </c>
      <c r="AI405" s="34" t="e">
        <f t="shared" si="620"/>
        <v>#N/A</v>
      </c>
      <c r="AJ405" s="49" t="e">
        <f t="shared" si="585"/>
        <v>#N/A</v>
      </c>
      <c r="AK405" s="49" t="e">
        <f t="shared" si="586"/>
        <v>#N/A</v>
      </c>
      <c r="AL405" s="49" t="e">
        <f t="shared" si="587"/>
        <v>#N/A</v>
      </c>
      <c r="AM405" s="25">
        <f t="shared" si="566"/>
        <v>30</v>
      </c>
      <c r="AN405" s="25">
        <f t="shared" si="567"/>
        <v>30</v>
      </c>
      <c r="AO405" s="25">
        <f t="shared" si="568"/>
        <v>30</v>
      </c>
      <c r="AP405" s="52" t="e">
        <f t="shared" si="588"/>
        <v>#N/A</v>
      </c>
      <c r="AQ405" s="53" t="e">
        <f t="shared" si="588"/>
        <v>#N/A</v>
      </c>
      <c r="AR405" s="54" t="e">
        <f t="shared" si="588"/>
        <v>#N/A</v>
      </c>
      <c r="AS405" s="316">
        <f t="shared" si="621"/>
        <v>0</v>
      </c>
      <c r="AT405" s="106">
        <f>_xlfn.IFNA($M405/VLOOKUP($BT405,'Unit information'!$A$2:$K$29,2,FALSE)*R405,0)*(1+$E$9)</f>
        <v>0</v>
      </c>
      <c r="AU405" s="107">
        <f>_xlfn.IFNA($M405/VLOOKUP($BT405,'Unit information'!$A$2:$K$29,3,FALSE)*S405,0)*(1+$E$9)</f>
        <v>0</v>
      </c>
      <c r="AV405" s="107">
        <f>_xlfn.IFNA($M405/VLOOKUP($BT405,'Unit information'!$A$2:$K$29,4,FALSE)*T405,0)*(1+$E$9)</f>
        <v>0</v>
      </c>
      <c r="AW405" s="107">
        <f>_xlfn.IFNA($M405/VLOOKUP($BT405,'Unit information'!$A$2:$K$29,5,FALSE)*U405,0)*(1+$E$9)</f>
        <v>0</v>
      </c>
      <c r="AX405" s="107">
        <f>_xlfn.IFNA($M405/VLOOKUP($BU405,'Unit information'!$A$2:$K$29,6,FALSE)*V405,0)*(1+$E$9)</f>
        <v>0</v>
      </c>
      <c r="AY405" s="107">
        <f>_xlfn.IFNA($M405/VLOOKUP($BU405,'Unit information'!$A$2:$K$29,7,FALSE)*W405,0)*(1+$E$9)</f>
        <v>0</v>
      </c>
      <c r="AZ405" s="107">
        <f>_xlfn.IFNA($M405/VLOOKUP($BU405,'Unit information'!$A$2:$K$29,8,FALSE)*X405,0)*(1+$E$9)</f>
        <v>0</v>
      </c>
      <c r="BA405" s="107">
        <f>_xlfn.IFNA($M405/VLOOKUP($BU405,'Unit information'!$A$2:$K$29,9,FALSE)*Y405,0)*(1+$E$9)</f>
        <v>0</v>
      </c>
      <c r="BB405" s="107">
        <f>_xlfn.IFNA($M405/VLOOKUP($BV405,'Unit information'!$A$2:$K$29,10,FALSE)*Z405,0)*(1+$E$9)</f>
        <v>0</v>
      </c>
      <c r="BC405" s="108">
        <f>_xlfn.IFNA($M405/VLOOKUP($BV405,'Unit information'!$A$2:$K$29,11,FALSE)*AA405,0)*(1+$E$9)</f>
        <v>0</v>
      </c>
      <c r="BD405" s="106">
        <f t="shared" si="569"/>
        <v>0</v>
      </c>
      <c r="BE405" s="107">
        <f t="shared" si="570"/>
        <v>0</v>
      </c>
      <c r="BF405" s="108">
        <f t="shared" si="571"/>
        <v>0</v>
      </c>
      <c r="BG405" s="25" t="e">
        <f t="shared" si="572"/>
        <v>#N/A</v>
      </c>
      <c r="BH405" s="25" t="e">
        <f t="shared" si="573"/>
        <v>#N/A</v>
      </c>
      <c r="BI405" s="25" t="e">
        <f t="shared" si="574"/>
        <v>#N/A</v>
      </c>
      <c r="BJ405" s="27" t="e">
        <f t="shared" si="575"/>
        <v>#N/A</v>
      </c>
      <c r="BK405" s="18" t="e">
        <f t="shared" si="576"/>
        <v>#N/A</v>
      </c>
      <c r="BL405" s="18" t="e">
        <f t="shared" si="577"/>
        <v>#N/A</v>
      </c>
      <c r="BM405" s="28" t="e">
        <f t="shared" si="622"/>
        <v>#N/A</v>
      </c>
      <c r="BN405" s="33">
        <f>HLOOKUP("maximum population",Miscelaneous!$C$1:$C$33,CH405+3,FALSE)</f>
        <v>240</v>
      </c>
      <c r="BO405" s="14">
        <f t="shared" si="589"/>
        <v>32</v>
      </c>
      <c r="BP405" s="14">
        <f t="shared" si="590"/>
        <v>0</v>
      </c>
      <c r="BQ405" s="14">
        <f t="shared" si="591"/>
        <v>208</v>
      </c>
      <c r="BR405" s="34" t="e">
        <f>HLOOKUP(J405,Villagers!$B$1:$V$33,L405+3,FALSE)-HLOOKUP(J405,Villagers!$B$1:$V$33,L405+2,FALSE)</f>
        <v>#N/A</v>
      </c>
      <c r="BS405" s="49">
        <f t="shared" si="592"/>
        <v>1</v>
      </c>
      <c r="BT405" s="50">
        <f t="shared" si="593"/>
        <v>0</v>
      </c>
      <c r="BU405" s="50">
        <f t="shared" si="594"/>
        <v>0</v>
      </c>
      <c r="BV405" s="50">
        <f t="shared" si="595"/>
        <v>0</v>
      </c>
      <c r="BW405" s="50">
        <f t="shared" si="555"/>
        <v>0</v>
      </c>
      <c r="BX405" s="50">
        <f t="shared" si="556"/>
        <v>0</v>
      </c>
      <c r="BY405" s="50">
        <f t="shared" si="556"/>
        <v>0</v>
      </c>
      <c r="BZ405" s="50">
        <f t="shared" si="530"/>
        <v>0</v>
      </c>
      <c r="CA405" s="50">
        <f t="shared" si="531"/>
        <v>0</v>
      </c>
      <c r="CB405" s="50">
        <f t="shared" si="532"/>
        <v>1</v>
      </c>
      <c r="CC405" s="50">
        <f t="shared" si="533"/>
        <v>0</v>
      </c>
      <c r="CD405" s="50">
        <f t="shared" si="534"/>
        <v>0</v>
      </c>
      <c r="CE405" s="50">
        <f t="shared" si="535"/>
        <v>1</v>
      </c>
      <c r="CF405" s="50">
        <f t="shared" si="536"/>
        <v>1</v>
      </c>
      <c r="CG405" s="50">
        <f t="shared" si="537"/>
        <v>1</v>
      </c>
      <c r="CH405" s="50">
        <f t="shared" si="538"/>
        <v>1</v>
      </c>
      <c r="CI405" s="50">
        <f t="shared" si="539"/>
        <v>1</v>
      </c>
      <c r="CJ405" s="50">
        <f t="shared" si="540"/>
        <v>1</v>
      </c>
      <c r="CK405" s="50">
        <f t="shared" si="540"/>
        <v>0</v>
      </c>
      <c r="CL405" s="50">
        <f t="shared" si="540"/>
        <v>0</v>
      </c>
      <c r="CM405" s="51">
        <f t="shared" si="578"/>
        <v>0</v>
      </c>
      <c r="CN405" s="33">
        <f>ROUND(IF(BS405=0,0,HLOOKUP(BS$14,Villagers!$B$1:$V$33,BS405+3,FALSE)),)</f>
        <v>5</v>
      </c>
      <c r="CO405" s="14">
        <f>ROUND(IF(BT405=0,0,HLOOKUP(BT$14,Villagers!$B$1:$V$33,BT405+3,FALSE)),)</f>
        <v>0</v>
      </c>
      <c r="CP405" s="14">
        <f>ROUND(IF(BU405=0,0,HLOOKUP(BU$14,Villagers!$B$1:$V$33,BU405+3,FALSE)),)</f>
        <v>0</v>
      </c>
      <c r="CQ405" s="14">
        <f>ROUND(IF(BV405=0,0,HLOOKUP(BV$14,Villagers!$B$1:$V$33,BV405+3,FALSE)),)</f>
        <v>0</v>
      </c>
      <c r="CR405" s="14">
        <f>ROUND(IF(BW405=0,0,HLOOKUP(BW$14,Villagers!$B$1:$V$33,BW405+3,FALSE)),)</f>
        <v>0</v>
      </c>
      <c r="CS405" s="14">
        <f>ROUND(IF(BX405=0,0,HLOOKUP(BX$14,Villagers!$B$1:$V$33,BX405+3,FALSE)),)</f>
        <v>0</v>
      </c>
      <c r="CT405" s="14">
        <f>ROUND(IF(BY405=0,0,HLOOKUP(BY$14,Villagers!$B$1:$V$33,BY405+3,FALSE)),)</f>
        <v>0</v>
      </c>
      <c r="CU405" s="14">
        <f>ROUND(IF(BZ405=0,0,HLOOKUP(BZ$14,Villagers!$B$1:$V$33,BZ405+3,FALSE)),)</f>
        <v>0</v>
      </c>
      <c r="CV405" s="14">
        <f>ROUND(IF(CA405=0,0,HLOOKUP(CA$14,Villagers!$B$1:$V$33,CA405+3,FALSE)),)</f>
        <v>0</v>
      </c>
      <c r="CW405" s="14">
        <f>ROUND(IF(CB405=0,0,HLOOKUP(CB$14,Villagers!$B$1:$V$33,CB405+3,FALSE)),)</f>
        <v>0</v>
      </c>
      <c r="CX405" s="14">
        <f>ROUND(IF(CC405=0,0,HLOOKUP(CC$14,Villagers!$B$1:$V$33,CC405+3,FALSE)),)</f>
        <v>0</v>
      </c>
      <c r="CY405" s="14">
        <f>ROUND(IF(CD405=0,0,HLOOKUP(CD$14,Villagers!$B$1:$V$33,CD405+3,FALSE)),)</f>
        <v>0</v>
      </c>
      <c r="CZ405" s="14">
        <f>ROUND(IF(CE405=0,0,HLOOKUP(CE$14,Villagers!$B$1:$V$33,CE405+3,FALSE)),)</f>
        <v>5</v>
      </c>
      <c r="DA405" s="14">
        <f>ROUND(IF(CF405=0,0,HLOOKUP(CF$14,Villagers!$B$1:$V$33,CF405+3,FALSE)),)</f>
        <v>10</v>
      </c>
      <c r="DB405" s="14">
        <f>ROUND(IF(CG405=0,0,HLOOKUP(CG$14,Villagers!$B$1:$V$33,CG405+3,FALSE)),)</f>
        <v>10</v>
      </c>
      <c r="DC405" s="14">
        <f>ROUND(IF(CH405=0,0,HLOOKUP(CH$14,Villagers!$B$1:$V$33,CH405+3,FALSE)),)</f>
        <v>0</v>
      </c>
      <c r="DD405" s="14">
        <f>ROUND(IF(CI405=0,0,HLOOKUP(CI$14,Villagers!$B$1:$V$33,CI405+3,FALSE)),)</f>
        <v>0</v>
      </c>
      <c r="DE405" s="14">
        <f>ROUND(IF(CJ405=0,0,HLOOKUP(CJ$14,Villagers!$B$1:$V$33,CJ405+3,FALSE)),)</f>
        <v>2</v>
      </c>
      <c r="DF405" s="370">
        <f>ROUND(IF(CK405=0,0,HLOOKUP(CK$14,Villagers!$B$1:$V$33,CK405+3,FALSE)),)</f>
        <v>0</v>
      </c>
      <c r="DG405" s="370">
        <f>ROUND(IF(CL405=0,0,HLOOKUP(CL$14,Villagers!$B$1:$V$33,CL405+3,FALSE)),)</f>
        <v>0</v>
      </c>
      <c r="DH405" s="34">
        <f>ROUND(IF(CM405=0,0,HLOOKUP(CM$14,Villagers!$B$1:$V$33,CM405+3,FALSE)),)</f>
        <v>0</v>
      </c>
      <c r="DI405" s="109">
        <f t="shared" si="611"/>
        <v>0</v>
      </c>
      <c r="DJ405" s="50">
        <f t="shared" si="612"/>
        <v>0</v>
      </c>
      <c r="DK405" s="50">
        <f t="shared" si="613"/>
        <v>0</v>
      </c>
      <c r="DL405" s="50">
        <f t="shared" si="614"/>
        <v>0</v>
      </c>
      <c r="DM405" s="50">
        <f t="shared" si="615"/>
        <v>0</v>
      </c>
      <c r="DN405" s="50">
        <f t="shared" si="616"/>
        <v>0</v>
      </c>
      <c r="DO405" s="50">
        <f t="shared" si="617"/>
        <v>0</v>
      </c>
      <c r="DP405" s="50">
        <f t="shared" si="618"/>
        <v>0</v>
      </c>
      <c r="DQ405" s="50">
        <f t="shared" si="596"/>
        <v>0</v>
      </c>
      <c r="DR405" s="50">
        <f t="shared" si="597"/>
        <v>0</v>
      </c>
      <c r="DS405" s="96">
        <f>Miscelaneous!$D$4*Miscelaneous!$D$2^($CI405-1)</f>
        <v>1000</v>
      </c>
      <c r="DT405" s="333">
        <f t="shared" si="579"/>
        <v>1</v>
      </c>
      <c r="DU405" s="81">
        <v>1</v>
      </c>
      <c r="DV405" s="79">
        <f t="shared" si="598"/>
        <v>0</v>
      </c>
      <c r="DW405" s="79">
        <f t="shared" si="599"/>
        <v>0</v>
      </c>
      <c r="DX405" s="79">
        <f t="shared" si="600"/>
        <v>0</v>
      </c>
      <c r="DY405" s="79">
        <v>1</v>
      </c>
      <c r="DZ405" s="79">
        <f t="shared" si="601"/>
        <v>0</v>
      </c>
      <c r="EA405" s="79">
        <f t="shared" si="602"/>
        <v>0</v>
      </c>
      <c r="EB405" s="79">
        <f t="shared" si="603"/>
        <v>0</v>
      </c>
      <c r="EC405" s="79">
        <f t="shared" si="604"/>
        <v>0</v>
      </c>
      <c r="ED405" s="79">
        <v>1</v>
      </c>
      <c r="EE405" s="79">
        <v>1</v>
      </c>
      <c r="EF405" s="79">
        <f t="shared" si="605"/>
        <v>0</v>
      </c>
      <c r="EG405" s="79">
        <v>1</v>
      </c>
      <c r="EH405" s="79">
        <v>1</v>
      </c>
      <c r="EI405" s="79">
        <v>1</v>
      </c>
      <c r="EJ405" s="79">
        <v>1</v>
      </c>
      <c r="EK405" s="79">
        <v>1</v>
      </c>
      <c r="EL405" s="79">
        <v>1</v>
      </c>
      <c r="EM405" s="143">
        <f t="shared" si="606"/>
        <v>0</v>
      </c>
      <c r="EN405" s="143">
        <f t="shared" si="607"/>
        <v>0</v>
      </c>
      <c r="EO405" s="82">
        <f t="shared" si="608"/>
        <v>0</v>
      </c>
    </row>
    <row r="406" spans="1:145" x14ac:dyDescent="0.25">
      <c r="A406">
        <v>392</v>
      </c>
      <c r="B406" s="172" t="e">
        <f t="shared" si="580"/>
        <v>#N/A</v>
      </c>
      <c r="C406" s="121" t="e">
        <f t="shared" si="558"/>
        <v>#N/A</v>
      </c>
      <c r="D406" s="122" t="e">
        <f t="shared" si="559"/>
        <v>#N/A</v>
      </c>
      <c r="E406" s="122" t="e">
        <f t="shared" si="560"/>
        <v>#N/A</v>
      </c>
      <c r="F406" s="176" t="e">
        <f t="shared" si="561"/>
        <v>#N/A</v>
      </c>
      <c r="G406" s="121">
        <f t="shared" si="581"/>
        <v>208</v>
      </c>
      <c r="H406" s="176" t="e">
        <f t="shared" si="582"/>
        <v>#N/A</v>
      </c>
      <c r="I406" s="48">
        <v>1</v>
      </c>
      <c r="J406" s="39"/>
      <c r="K406" s="350">
        <v>1</v>
      </c>
      <c r="L406" s="34" t="e">
        <f t="shared" si="562"/>
        <v>#N/A</v>
      </c>
      <c r="M406" s="38" t="e">
        <f>(HLOOKUP(J406,'Construction Times'!$B$3:$W$34,L406+2,FALSE)*HLOOKUP("hq modifier",'Construction Times'!$W$3:$W$34,BS406+2,FALSE))*(1-$H$9)</f>
        <v>#N/A</v>
      </c>
      <c r="N406" s="443" t="e">
        <f t="shared" si="583"/>
        <v>#N/A</v>
      </c>
      <c r="O406" s="444"/>
      <c r="P406" s="447" t="e">
        <f t="shared" si="584"/>
        <v>#N/A</v>
      </c>
      <c r="Q406" s="448"/>
      <c r="R406" s="103">
        <f t="shared" si="609"/>
        <v>0</v>
      </c>
      <c r="S406" s="104">
        <f t="shared" si="609"/>
        <v>0</v>
      </c>
      <c r="T406" s="104">
        <f t="shared" si="610"/>
        <v>0</v>
      </c>
      <c r="U406" s="104">
        <f t="shared" si="610"/>
        <v>0</v>
      </c>
      <c r="V406" s="104">
        <f t="shared" si="610"/>
        <v>9.9999999999999995E-8</v>
      </c>
      <c r="W406" s="104">
        <f t="shared" si="610"/>
        <v>0</v>
      </c>
      <c r="X406" s="104">
        <f t="shared" si="557"/>
        <v>0</v>
      </c>
      <c r="Y406" s="104">
        <f t="shared" si="557"/>
        <v>9.9999999999999995E-8</v>
      </c>
      <c r="Z406" s="104">
        <f t="shared" si="557"/>
        <v>9.9999999999999995E-8</v>
      </c>
      <c r="AA406" s="105">
        <f t="shared" si="557"/>
        <v>9.9999999999999995E-8</v>
      </c>
      <c r="AB406" s="101" t="e">
        <f>$DT406*HLOOKUP($J406,'Construction Costs (timber)'!$B$1:$V$32,'Construction Planner'!$L406+2,FALSE)</f>
        <v>#N/A</v>
      </c>
      <c r="AC406" s="14" t="e">
        <f>$DT406*HLOOKUP($J406,'Construction Costs (clay)'!$B$1:$V$32,'Construction Planner'!$L406+2,FALSE)</f>
        <v>#N/A</v>
      </c>
      <c r="AD406" s="14" t="e">
        <f>$DT406*HLOOKUP($J406,'Construction Costs (iron)'!$B$1:$V$32,'Construction Planner'!$L406+2,FALSE)</f>
        <v>#N/A</v>
      </c>
      <c r="AE406" s="34" t="e">
        <f t="shared" si="619"/>
        <v>#N/A</v>
      </c>
      <c r="AF406" s="33" t="e">
        <f t="shared" si="563"/>
        <v>#N/A</v>
      </c>
      <c r="AG406" s="14" t="e">
        <f t="shared" si="564"/>
        <v>#N/A</v>
      </c>
      <c r="AH406" s="14" t="e">
        <f t="shared" si="565"/>
        <v>#N/A</v>
      </c>
      <c r="AI406" s="34" t="e">
        <f t="shared" si="620"/>
        <v>#N/A</v>
      </c>
      <c r="AJ406" s="49" t="e">
        <f t="shared" si="585"/>
        <v>#N/A</v>
      </c>
      <c r="AK406" s="49" t="e">
        <f t="shared" si="586"/>
        <v>#N/A</v>
      </c>
      <c r="AL406" s="49" t="e">
        <f t="shared" si="587"/>
        <v>#N/A</v>
      </c>
      <c r="AM406" s="25">
        <f t="shared" si="566"/>
        <v>30</v>
      </c>
      <c r="AN406" s="25">
        <f t="shared" si="567"/>
        <v>30</v>
      </c>
      <c r="AO406" s="25">
        <f t="shared" si="568"/>
        <v>30</v>
      </c>
      <c r="AP406" s="52" t="e">
        <f t="shared" si="588"/>
        <v>#N/A</v>
      </c>
      <c r="AQ406" s="53" t="e">
        <f t="shared" si="588"/>
        <v>#N/A</v>
      </c>
      <c r="AR406" s="54" t="e">
        <f t="shared" si="588"/>
        <v>#N/A</v>
      </c>
      <c r="AS406" s="316">
        <f t="shared" si="621"/>
        <v>0</v>
      </c>
      <c r="AT406" s="106">
        <f>_xlfn.IFNA($M406/VLOOKUP($BT406,'Unit information'!$A$2:$K$29,2,FALSE)*R406,0)*(1+$E$9)</f>
        <v>0</v>
      </c>
      <c r="AU406" s="107">
        <f>_xlfn.IFNA($M406/VLOOKUP($BT406,'Unit information'!$A$2:$K$29,3,FALSE)*S406,0)*(1+$E$9)</f>
        <v>0</v>
      </c>
      <c r="AV406" s="107">
        <f>_xlfn.IFNA($M406/VLOOKUP($BT406,'Unit information'!$A$2:$K$29,4,FALSE)*T406,0)*(1+$E$9)</f>
        <v>0</v>
      </c>
      <c r="AW406" s="107">
        <f>_xlfn.IFNA($M406/VLOOKUP($BT406,'Unit information'!$A$2:$K$29,5,FALSE)*U406,0)*(1+$E$9)</f>
        <v>0</v>
      </c>
      <c r="AX406" s="107">
        <f>_xlfn.IFNA($M406/VLOOKUP($BU406,'Unit information'!$A$2:$K$29,6,FALSE)*V406,0)*(1+$E$9)</f>
        <v>0</v>
      </c>
      <c r="AY406" s="107">
        <f>_xlfn.IFNA($M406/VLOOKUP($BU406,'Unit information'!$A$2:$K$29,7,FALSE)*W406,0)*(1+$E$9)</f>
        <v>0</v>
      </c>
      <c r="AZ406" s="107">
        <f>_xlfn.IFNA($M406/VLOOKUP($BU406,'Unit information'!$A$2:$K$29,8,FALSE)*X406,0)*(1+$E$9)</f>
        <v>0</v>
      </c>
      <c r="BA406" s="107">
        <f>_xlfn.IFNA($M406/VLOOKUP($BU406,'Unit information'!$A$2:$K$29,9,FALSE)*Y406,0)*(1+$E$9)</f>
        <v>0</v>
      </c>
      <c r="BB406" s="107">
        <f>_xlfn.IFNA($M406/VLOOKUP($BV406,'Unit information'!$A$2:$K$29,10,FALSE)*Z406,0)*(1+$E$9)</f>
        <v>0</v>
      </c>
      <c r="BC406" s="108">
        <f>_xlfn.IFNA($M406/VLOOKUP($BV406,'Unit information'!$A$2:$K$29,11,FALSE)*AA406,0)*(1+$E$9)</f>
        <v>0</v>
      </c>
      <c r="BD406" s="106">
        <f t="shared" si="569"/>
        <v>0</v>
      </c>
      <c r="BE406" s="107">
        <f t="shared" si="570"/>
        <v>0</v>
      </c>
      <c r="BF406" s="108">
        <f t="shared" si="571"/>
        <v>0</v>
      </c>
      <c r="BG406" s="25" t="e">
        <f t="shared" si="572"/>
        <v>#N/A</v>
      </c>
      <c r="BH406" s="25" t="e">
        <f t="shared" si="573"/>
        <v>#N/A</v>
      </c>
      <c r="BI406" s="25" t="e">
        <f t="shared" si="574"/>
        <v>#N/A</v>
      </c>
      <c r="BJ406" s="27" t="e">
        <f t="shared" si="575"/>
        <v>#N/A</v>
      </c>
      <c r="BK406" s="18" t="e">
        <f t="shared" si="576"/>
        <v>#N/A</v>
      </c>
      <c r="BL406" s="18" t="e">
        <f t="shared" si="577"/>
        <v>#N/A</v>
      </c>
      <c r="BM406" s="28" t="e">
        <f t="shared" si="622"/>
        <v>#N/A</v>
      </c>
      <c r="BN406" s="33">
        <f>HLOOKUP("maximum population",Miscelaneous!$C$1:$C$33,CH406+3,FALSE)</f>
        <v>240</v>
      </c>
      <c r="BO406" s="14">
        <f t="shared" si="589"/>
        <v>32</v>
      </c>
      <c r="BP406" s="14">
        <f t="shared" si="590"/>
        <v>0</v>
      </c>
      <c r="BQ406" s="14">
        <f t="shared" si="591"/>
        <v>208</v>
      </c>
      <c r="BR406" s="34" t="e">
        <f>HLOOKUP(J406,Villagers!$B$1:$V$33,L406+3,FALSE)-HLOOKUP(J406,Villagers!$B$1:$V$33,L406+2,FALSE)</f>
        <v>#N/A</v>
      </c>
      <c r="BS406" s="49">
        <f t="shared" si="592"/>
        <v>1</v>
      </c>
      <c r="BT406" s="50">
        <f t="shared" si="593"/>
        <v>0</v>
      </c>
      <c r="BU406" s="50">
        <f t="shared" si="594"/>
        <v>0</v>
      </c>
      <c r="BV406" s="50">
        <f t="shared" si="595"/>
        <v>0</v>
      </c>
      <c r="BW406" s="50">
        <f t="shared" si="555"/>
        <v>0</v>
      </c>
      <c r="BX406" s="50">
        <f t="shared" si="556"/>
        <v>0</v>
      </c>
      <c r="BY406" s="50">
        <f t="shared" si="556"/>
        <v>0</v>
      </c>
      <c r="BZ406" s="50">
        <f t="shared" si="530"/>
        <v>0</v>
      </c>
      <c r="CA406" s="50">
        <f t="shared" si="531"/>
        <v>0</v>
      </c>
      <c r="CB406" s="50">
        <f t="shared" si="532"/>
        <v>1</v>
      </c>
      <c r="CC406" s="50">
        <f t="shared" si="533"/>
        <v>0</v>
      </c>
      <c r="CD406" s="50">
        <f t="shared" si="534"/>
        <v>0</v>
      </c>
      <c r="CE406" s="50">
        <f t="shared" si="535"/>
        <v>1</v>
      </c>
      <c r="CF406" s="50">
        <f t="shared" si="536"/>
        <v>1</v>
      </c>
      <c r="CG406" s="50">
        <f t="shared" si="537"/>
        <v>1</v>
      </c>
      <c r="CH406" s="50">
        <f t="shared" si="538"/>
        <v>1</v>
      </c>
      <c r="CI406" s="50">
        <f t="shared" si="539"/>
        <v>1</v>
      </c>
      <c r="CJ406" s="50">
        <f t="shared" si="540"/>
        <v>1</v>
      </c>
      <c r="CK406" s="50">
        <f t="shared" si="540"/>
        <v>0</v>
      </c>
      <c r="CL406" s="50">
        <f t="shared" si="540"/>
        <v>0</v>
      </c>
      <c r="CM406" s="51">
        <f t="shared" si="578"/>
        <v>0</v>
      </c>
      <c r="CN406" s="33">
        <f>ROUND(IF(BS406=0,0,HLOOKUP(BS$14,Villagers!$B$1:$V$33,BS406+3,FALSE)),)</f>
        <v>5</v>
      </c>
      <c r="CO406" s="14">
        <f>ROUND(IF(BT406=0,0,HLOOKUP(BT$14,Villagers!$B$1:$V$33,BT406+3,FALSE)),)</f>
        <v>0</v>
      </c>
      <c r="CP406" s="14">
        <f>ROUND(IF(BU406=0,0,HLOOKUP(BU$14,Villagers!$B$1:$V$33,BU406+3,FALSE)),)</f>
        <v>0</v>
      </c>
      <c r="CQ406" s="14">
        <f>ROUND(IF(BV406=0,0,HLOOKUP(BV$14,Villagers!$B$1:$V$33,BV406+3,FALSE)),)</f>
        <v>0</v>
      </c>
      <c r="CR406" s="14">
        <f>ROUND(IF(BW406=0,0,HLOOKUP(BW$14,Villagers!$B$1:$V$33,BW406+3,FALSE)),)</f>
        <v>0</v>
      </c>
      <c r="CS406" s="14">
        <f>ROUND(IF(BX406=0,0,HLOOKUP(BX$14,Villagers!$B$1:$V$33,BX406+3,FALSE)),)</f>
        <v>0</v>
      </c>
      <c r="CT406" s="14">
        <f>ROUND(IF(BY406=0,0,HLOOKUP(BY$14,Villagers!$B$1:$V$33,BY406+3,FALSE)),)</f>
        <v>0</v>
      </c>
      <c r="CU406" s="14">
        <f>ROUND(IF(BZ406=0,0,HLOOKUP(BZ$14,Villagers!$B$1:$V$33,BZ406+3,FALSE)),)</f>
        <v>0</v>
      </c>
      <c r="CV406" s="14">
        <f>ROUND(IF(CA406=0,0,HLOOKUP(CA$14,Villagers!$B$1:$V$33,CA406+3,FALSE)),)</f>
        <v>0</v>
      </c>
      <c r="CW406" s="14">
        <f>ROUND(IF(CB406=0,0,HLOOKUP(CB$14,Villagers!$B$1:$V$33,CB406+3,FALSE)),)</f>
        <v>0</v>
      </c>
      <c r="CX406" s="14">
        <f>ROUND(IF(CC406=0,0,HLOOKUP(CC$14,Villagers!$B$1:$V$33,CC406+3,FALSE)),)</f>
        <v>0</v>
      </c>
      <c r="CY406" s="14">
        <f>ROUND(IF(CD406=0,0,HLOOKUP(CD$14,Villagers!$B$1:$V$33,CD406+3,FALSE)),)</f>
        <v>0</v>
      </c>
      <c r="CZ406" s="14">
        <f>ROUND(IF(CE406=0,0,HLOOKUP(CE$14,Villagers!$B$1:$V$33,CE406+3,FALSE)),)</f>
        <v>5</v>
      </c>
      <c r="DA406" s="14">
        <f>ROUND(IF(CF406=0,0,HLOOKUP(CF$14,Villagers!$B$1:$V$33,CF406+3,FALSE)),)</f>
        <v>10</v>
      </c>
      <c r="DB406" s="14">
        <f>ROUND(IF(CG406=0,0,HLOOKUP(CG$14,Villagers!$B$1:$V$33,CG406+3,FALSE)),)</f>
        <v>10</v>
      </c>
      <c r="DC406" s="14">
        <f>ROUND(IF(CH406=0,0,HLOOKUP(CH$14,Villagers!$B$1:$V$33,CH406+3,FALSE)),)</f>
        <v>0</v>
      </c>
      <c r="DD406" s="14">
        <f>ROUND(IF(CI406=0,0,HLOOKUP(CI$14,Villagers!$B$1:$V$33,CI406+3,FALSE)),)</f>
        <v>0</v>
      </c>
      <c r="DE406" s="14">
        <f>ROUND(IF(CJ406=0,0,HLOOKUP(CJ$14,Villagers!$B$1:$V$33,CJ406+3,FALSE)),)</f>
        <v>2</v>
      </c>
      <c r="DF406" s="370">
        <f>ROUND(IF(CK406=0,0,HLOOKUP(CK$14,Villagers!$B$1:$V$33,CK406+3,FALSE)),)</f>
        <v>0</v>
      </c>
      <c r="DG406" s="370">
        <f>ROUND(IF(CL406=0,0,HLOOKUP(CL$14,Villagers!$B$1:$V$33,CL406+3,FALSE)),)</f>
        <v>0</v>
      </c>
      <c r="DH406" s="34">
        <f>ROUND(IF(CM406=0,0,HLOOKUP(CM$14,Villagers!$B$1:$V$33,CM406+3,FALSE)),)</f>
        <v>0</v>
      </c>
      <c r="DI406" s="109">
        <f t="shared" si="611"/>
        <v>0</v>
      </c>
      <c r="DJ406" s="50">
        <f t="shared" si="612"/>
        <v>0</v>
      </c>
      <c r="DK406" s="50">
        <f t="shared" si="613"/>
        <v>0</v>
      </c>
      <c r="DL406" s="50">
        <f t="shared" si="614"/>
        <v>0</v>
      </c>
      <c r="DM406" s="50">
        <f t="shared" si="615"/>
        <v>0</v>
      </c>
      <c r="DN406" s="50">
        <f t="shared" si="616"/>
        <v>0</v>
      </c>
      <c r="DO406" s="50">
        <f t="shared" si="617"/>
        <v>0</v>
      </c>
      <c r="DP406" s="50">
        <f t="shared" si="618"/>
        <v>0</v>
      </c>
      <c r="DQ406" s="50">
        <f t="shared" si="596"/>
        <v>0</v>
      </c>
      <c r="DR406" s="50">
        <f t="shared" si="597"/>
        <v>0</v>
      </c>
      <c r="DS406" s="96">
        <f>Miscelaneous!$D$4*Miscelaneous!$D$2^($CI406-1)</f>
        <v>1000</v>
      </c>
      <c r="DT406" s="333">
        <f t="shared" si="579"/>
        <v>1</v>
      </c>
      <c r="DU406" s="81">
        <v>1</v>
      </c>
      <c r="DV406" s="79">
        <f t="shared" si="598"/>
        <v>0</v>
      </c>
      <c r="DW406" s="79">
        <f t="shared" si="599"/>
        <v>0</v>
      </c>
      <c r="DX406" s="79">
        <f t="shared" si="600"/>
        <v>0</v>
      </c>
      <c r="DY406" s="79">
        <v>1</v>
      </c>
      <c r="DZ406" s="79">
        <f t="shared" si="601"/>
        <v>0</v>
      </c>
      <c r="EA406" s="79">
        <f t="shared" si="602"/>
        <v>0</v>
      </c>
      <c r="EB406" s="79">
        <f t="shared" si="603"/>
        <v>0</v>
      </c>
      <c r="EC406" s="79">
        <f t="shared" si="604"/>
        <v>0</v>
      </c>
      <c r="ED406" s="79">
        <v>1</v>
      </c>
      <c r="EE406" s="79">
        <v>1</v>
      </c>
      <c r="EF406" s="79">
        <f t="shared" si="605"/>
        <v>0</v>
      </c>
      <c r="EG406" s="79">
        <v>1</v>
      </c>
      <c r="EH406" s="79">
        <v>1</v>
      </c>
      <c r="EI406" s="79">
        <v>1</v>
      </c>
      <c r="EJ406" s="79">
        <v>1</v>
      </c>
      <c r="EK406" s="79">
        <v>1</v>
      </c>
      <c r="EL406" s="79">
        <v>1</v>
      </c>
      <c r="EM406" s="143">
        <f t="shared" si="606"/>
        <v>0</v>
      </c>
      <c r="EN406" s="143">
        <f t="shared" si="607"/>
        <v>0</v>
      </c>
      <c r="EO406" s="82">
        <f t="shared" si="608"/>
        <v>0</v>
      </c>
    </row>
    <row r="407" spans="1:145" x14ac:dyDescent="0.25">
      <c r="A407">
        <v>393</v>
      </c>
      <c r="B407" s="172" t="e">
        <f t="shared" si="580"/>
        <v>#N/A</v>
      </c>
      <c r="C407" s="121" t="e">
        <f t="shared" si="558"/>
        <v>#N/A</v>
      </c>
      <c r="D407" s="122" t="e">
        <f t="shared" si="559"/>
        <v>#N/A</v>
      </c>
      <c r="E407" s="122" t="e">
        <f t="shared" si="560"/>
        <v>#N/A</v>
      </c>
      <c r="F407" s="176" t="e">
        <f t="shared" si="561"/>
        <v>#N/A</v>
      </c>
      <c r="G407" s="121">
        <f t="shared" si="581"/>
        <v>208</v>
      </c>
      <c r="H407" s="176" t="e">
        <f t="shared" si="582"/>
        <v>#N/A</v>
      </c>
      <c r="I407" s="48">
        <v>1</v>
      </c>
      <c r="J407" s="39"/>
      <c r="K407" s="350">
        <v>1</v>
      </c>
      <c r="L407" s="34" t="e">
        <f t="shared" si="562"/>
        <v>#N/A</v>
      </c>
      <c r="M407" s="38" t="e">
        <f>(HLOOKUP(J407,'Construction Times'!$B$3:$W$34,L407+2,FALSE)*HLOOKUP("hq modifier",'Construction Times'!$W$3:$W$34,BS407+2,FALSE))*(1-$H$9)</f>
        <v>#N/A</v>
      </c>
      <c r="N407" s="443" t="e">
        <f t="shared" si="583"/>
        <v>#N/A</v>
      </c>
      <c r="O407" s="444"/>
      <c r="P407" s="447" t="e">
        <f t="shared" si="584"/>
        <v>#N/A</v>
      </c>
      <c r="Q407" s="448"/>
      <c r="R407" s="103">
        <f t="shared" si="609"/>
        <v>0</v>
      </c>
      <c r="S407" s="104">
        <f t="shared" si="609"/>
        <v>0</v>
      </c>
      <c r="T407" s="104">
        <f t="shared" si="610"/>
        <v>0</v>
      </c>
      <c r="U407" s="104">
        <f t="shared" si="610"/>
        <v>0</v>
      </c>
      <c r="V407" s="104">
        <f t="shared" si="610"/>
        <v>9.9999999999999995E-8</v>
      </c>
      <c r="W407" s="104">
        <f t="shared" si="610"/>
        <v>0</v>
      </c>
      <c r="X407" s="104">
        <f t="shared" si="557"/>
        <v>0</v>
      </c>
      <c r="Y407" s="104">
        <f t="shared" si="557"/>
        <v>9.9999999999999995E-8</v>
      </c>
      <c r="Z407" s="104">
        <f t="shared" si="557"/>
        <v>9.9999999999999995E-8</v>
      </c>
      <c r="AA407" s="105">
        <f t="shared" si="557"/>
        <v>9.9999999999999995E-8</v>
      </c>
      <c r="AB407" s="101" t="e">
        <f>$DT407*HLOOKUP($J407,'Construction Costs (timber)'!$B$1:$V$32,'Construction Planner'!$L407+2,FALSE)</f>
        <v>#N/A</v>
      </c>
      <c r="AC407" s="14" t="e">
        <f>$DT407*HLOOKUP($J407,'Construction Costs (clay)'!$B$1:$V$32,'Construction Planner'!$L407+2,FALSE)</f>
        <v>#N/A</v>
      </c>
      <c r="AD407" s="14" t="e">
        <f>$DT407*HLOOKUP($J407,'Construction Costs (iron)'!$B$1:$V$32,'Construction Planner'!$L407+2,FALSE)</f>
        <v>#N/A</v>
      </c>
      <c r="AE407" s="34" t="e">
        <f t="shared" si="619"/>
        <v>#N/A</v>
      </c>
      <c r="AF407" s="33" t="e">
        <f t="shared" si="563"/>
        <v>#N/A</v>
      </c>
      <c r="AG407" s="14" t="e">
        <f t="shared" si="564"/>
        <v>#N/A</v>
      </c>
      <c r="AH407" s="14" t="e">
        <f t="shared" si="565"/>
        <v>#N/A</v>
      </c>
      <c r="AI407" s="34" t="e">
        <f t="shared" si="620"/>
        <v>#N/A</v>
      </c>
      <c r="AJ407" s="49" t="e">
        <f t="shared" si="585"/>
        <v>#N/A</v>
      </c>
      <c r="AK407" s="49" t="e">
        <f t="shared" si="586"/>
        <v>#N/A</v>
      </c>
      <c r="AL407" s="49" t="e">
        <f t="shared" si="587"/>
        <v>#N/A</v>
      </c>
      <c r="AM407" s="25">
        <f t="shared" si="566"/>
        <v>30</v>
      </c>
      <c r="AN407" s="25">
        <f t="shared" si="567"/>
        <v>30</v>
      </c>
      <c r="AO407" s="25">
        <f t="shared" si="568"/>
        <v>30</v>
      </c>
      <c r="AP407" s="52" t="e">
        <f t="shared" si="588"/>
        <v>#N/A</v>
      </c>
      <c r="AQ407" s="53" t="e">
        <f t="shared" si="588"/>
        <v>#N/A</v>
      </c>
      <c r="AR407" s="54" t="e">
        <f t="shared" si="588"/>
        <v>#N/A</v>
      </c>
      <c r="AS407" s="316">
        <f t="shared" si="621"/>
        <v>0</v>
      </c>
      <c r="AT407" s="106">
        <f>_xlfn.IFNA($M407/VLOOKUP($BT407,'Unit information'!$A$2:$K$29,2,FALSE)*R407,0)*(1+$E$9)</f>
        <v>0</v>
      </c>
      <c r="AU407" s="107">
        <f>_xlfn.IFNA($M407/VLOOKUP($BT407,'Unit information'!$A$2:$K$29,3,FALSE)*S407,0)*(1+$E$9)</f>
        <v>0</v>
      </c>
      <c r="AV407" s="107">
        <f>_xlfn.IFNA($M407/VLOOKUP($BT407,'Unit information'!$A$2:$K$29,4,FALSE)*T407,0)*(1+$E$9)</f>
        <v>0</v>
      </c>
      <c r="AW407" s="107">
        <f>_xlfn.IFNA($M407/VLOOKUP($BT407,'Unit information'!$A$2:$K$29,5,FALSE)*U407,0)*(1+$E$9)</f>
        <v>0</v>
      </c>
      <c r="AX407" s="107">
        <f>_xlfn.IFNA($M407/VLOOKUP($BU407,'Unit information'!$A$2:$K$29,6,FALSE)*V407,0)*(1+$E$9)</f>
        <v>0</v>
      </c>
      <c r="AY407" s="107">
        <f>_xlfn.IFNA($M407/VLOOKUP($BU407,'Unit information'!$A$2:$K$29,7,FALSE)*W407,0)*(1+$E$9)</f>
        <v>0</v>
      </c>
      <c r="AZ407" s="107">
        <f>_xlfn.IFNA($M407/VLOOKUP($BU407,'Unit information'!$A$2:$K$29,8,FALSE)*X407,0)*(1+$E$9)</f>
        <v>0</v>
      </c>
      <c r="BA407" s="107">
        <f>_xlfn.IFNA($M407/VLOOKUP($BU407,'Unit information'!$A$2:$K$29,9,FALSE)*Y407,0)*(1+$E$9)</f>
        <v>0</v>
      </c>
      <c r="BB407" s="107">
        <f>_xlfn.IFNA($M407/VLOOKUP($BV407,'Unit information'!$A$2:$K$29,10,FALSE)*Z407,0)*(1+$E$9)</f>
        <v>0</v>
      </c>
      <c r="BC407" s="108">
        <f>_xlfn.IFNA($M407/VLOOKUP($BV407,'Unit information'!$A$2:$K$29,11,FALSE)*AA407,0)*(1+$E$9)</f>
        <v>0</v>
      </c>
      <c r="BD407" s="106">
        <f t="shared" si="569"/>
        <v>0</v>
      </c>
      <c r="BE407" s="107">
        <f t="shared" si="570"/>
        <v>0</v>
      </c>
      <c r="BF407" s="108">
        <f t="shared" si="571"/>
        <v>0</v>
      </c>
      <c r="BG407" s="25" t="e">
        <f t="shared" si="572"/>
        <v>#N/A</v>
      </c>
      <c r="BH407" s="25" t="e">
        <f t="shared" si="573"/>
        <v>#N/A</v>
      </c>
      <c r="BI407" s="25" t="e">
        <f t="shared" si="574"/>
        <v>#N/A</v>
      </c>
      <c r="BJ407" s="27" t="e">
        <f t="shared" si="575"/>
        <v>#N/A</v>
      </c>
      <c r="BK407" s="18" t="e">
        <f t="shared" si="576"/>
        <v>#N/A</v>
      </c>
      <c r="BL407" s="18" t="e">
        <f t="shared" si="577"/>
        <v>#N/A</v>
      </c>
      <c r="BM407" s="28" t="e">
        <f t="shared" si="622"/>
        <v>#N/A</v>
      </c>
      <c r="BN407" s="33">
        <f>HLOOKUP("maximum population",Miscelaneous!$C$1:$C$33,CH407+3,FALSE)</f>
        <v>240</v>
      </c>
      <c r="BO407" s="14">
        <f t="shared" si="589"/>
        <v>32</v>
      </c>
      <c r="BP407" s="14">
        <f t="shared" si="590"/>
        <v>0</v>
      </c>
      <c r="BQ407" s="14">
        <f t="shared" si="591"/>
        <v>208</v>
      </c>
      <c r="BR407" s="34" t="e">
        <f>HLOOKUP(J407,Villagers!$B$1:$V$33,L407+3,FALSE)-HLOOKUP(J407,Villagers!$B$1:$V$33,L407+2,FALSE)</f>
        <v>#N/A</v>
      </c>
      <c r="BS407" s="49">
        <f t="shared" si="592"/>
        <v>1</v>
      </c>
      <c r="BT407" s="50">
        <f t="shared" si="593"/>
        <v>0</v>
      </c>
      <c r="BU407" s="50">
        <f t="shared" si="594"/>
        <v>0</v>
      </c>
      <c r="BV407" s="50">
        <f t="shared" si="595"/>
        <v>0</v>
      </c>
      <c r="BW407" s="50">
        <f t="shared" si="555"/>
        <v>0</v>
      </c>
      <c r="BX407" s="50">
        <f t="shared" si="556"/>
        <v>0</v>
      </c>
      <c r="BY407" s="50">
        <f t="shared" si="556"/>
        <v>0</v>
      </c>
      <c r="BZ407" s="50">
        <f t="shared" si="530"/>
        <v>0</v>
      </c>
      <c r="CA407" s="50">
        <f t="shared" si="531"/>
        <v>0</v>
      </c>
      <c r="CB407" s="50">
        <f t="shared" si="532"/>
        <v>1</v>
      </c>
      <c r="CC407" s="50">
        <f t="shared" si="533"/>
        <v>0</v>
      </c>
      <c r="CD407" s="50">
        <f t="shared" si="534"/>
        <v>0</v>
      </c>
      <c r="CE407" s="50">
        <f t="shared" si="535"/>
        <v>1</v>
      </c>
      <c r="CF407" s="50">
        <f t="shared" si="536"/>
        <v>1</v>
      </c>
      <c r="CG407" s="50">
        <f t="shared" si="537"/>
        <v>1</v>
      </c>
      <c r="CH407" s="50">
        <f t="shared" si="538"/>
        <v>1</v>
      </c>
      <c r="CI407" s="50">
        <f t="shared" si="539"/>
        <v>1</v>
      </c>
      <c r="CJ407" s="50">
        <f t="shared" si="540"/>
        <v>1</v>
      </c>
      <c r="CK407" s="50">
        <f t="shared" si="540"/>
        <v>0</v>
      </c>
      <c r="CL407" s="50">
        <f t="shared" si="540"/>
        <v>0</v>
      </c>
      <c r="CM407" s="51">
        <f t="shared" si="578"/>
        <v>0</v>
      </c>
      <c r="CN407" s="33">
        <f>ROUND(IF(BS407=0,0,HLOOKUP(BS$14,Villagers!$B$1:$V$33,BS407+3,FALSE)),)</f>
        <v>5</v>
      </c>
      <c r="CO407" s="14">
        <f>ROUND(IF(BT407=0,0,HLOOKUP(BT$14,Villagers!$B$1:$V$33,BT407+3,FALSE)),)</f>
        <v>0</v>
      </c>
      <c r="CP407" s="14">
        <f>ROUND(IF(BU407=0,0,HLOOKUP(BU$14,Villagers!$B$1:$V$33,BU407+3,FALSE)),)</f>
        <v>0</v>
      </c>
      <c r="CQ407" s="14">
        <f>ROUND(IF(BV407=0,0,HLOOKUP(BV$14,Villagers!$B$1:$V$33,BV407+3,FALSE)),)</f>
        <v>0</v>
      </c>
      <c r="CR407" s="14">
        <f>ROUND(IF(BW407=0,0,HLOOKUP(BW$14,Villagers!$B$1:$V$33,BW407+3,FALSE)),)</f>
        <v>0</v>
      </c>
      <c r="CS407" s="14">
        <f>ROUND(IF(BX407=0,0,HLOOKUP(BX$14,Villagers!$B$1:$V$33,BX407+3,FALSE)),)</f>
        <v>0</v>
      </c>
      <c r="CT407" s="14">
        <f>ROUND(IF(BY407=0,0,HLOOKUP(BY$14,Villagers!$B$1:$V$33,BY407+3,FALSE)),)</f>
        <v>0</v>
      </c>
      <c r="CU407" s="14">
        <f>ROUND(IF(BZ407=0,0,HLOOKUP(BZ$14,Villagers!$B$1:$V$33,BZ407+3,FALSE)),)</f>
        <v>0</v>
      </c>
      <c r="CV407" s="14">
        <f>ROUND(IF(CA407=0,0,HLOOKUP(CA$14,Villagers!$B$1:$V$33,CA407+3,FALSE)),)</f>
        <v>0</v>
      </c>
      <c r="CW407" s="14">
        <f>ROUND(IF(CB407=0,0,HLOOKUP(CB$14,Villagers!$B$1:$V$33,CB407+3,FALSE)),)</f>
        <v>0</v>
      </c>
      <c r="CX407" s="14">
        <f>ROUND(IF(CC407=0,0,HLOOKUP(CC$14,Villagers!$B$1:$V$33,CC407+3,FALSE)),)</f>
        <v>0</v>
      </c>
      <c r="CY407" s="14">
        <f>ROUND(IF(CD407=0,0,HLOOKUP(CD$14,Villagers!$B$1:$V$33,CD407+3,FALSE)),)</f>
        <v>0</v>
      </c>
      <c r="CZ407" s="14">
        <f>ROUND(IF(CE407=0,0,HLOOKUP(CE$14,Villagers!$B$1:$V$33,CE407+3,FALSE)),)</f>
        <v>5</v>
      </c>
      <c r="DA407" s="14">
        <f>ROUND(IF(CF407=0,0,HLOOKUP(CF$14,Villagers!$B$1:$V$33,CF407+3,FALSE)),)</f>
        <v>10</v>
      </c>
      <c r="DB407" s="14">
        <f>ROUND(IF(CG407=0,0,HLOOKUP(CG$14,Villagers!$B$1:$V$33,CG407+3,FALSE)),)</f>
        <v>10</v>
      </c>
      <c r="DC407" s="14">
        <f>ROUND(IF(CH407=0,0,HLOOKUP(CH$14,Villagers!$B$1:$V$33,CH407+3,FALSE)),)</f>
        <v>0</v>
      </c>
      <c r="DD407" s="14">
        <f>ROUND(IF(CI407=0,0,HLOOKUP(CI$14,Villagers!$B$1:$V$33,CI407+3,FALSE)),)</f>
        <v>0</v>
      </c>
      <c r="DE407" s="14">
        <f>ROUND(IF(CJ407=0,0,HLOOKUP(CJ$14,Villagers!$B$1:$V$33,CJ407+3,FALSE)),)</f>
        <v>2</v>
      </c>
      <c r="DF407" s="370">
        <f>ROUND(IF(CK407=0,0,HLOOKUP(CK$14,Villagers!$B$1:$V$33,CK407+3,FALSE)),)</f>
        <v>0</v>
      </c>
      <c r="DG407" s="370">
        <f>ROUND(IF(CL407=0,0,HLOOKUP(CL$14,Villagers!$B$1:$V$33,CL407+3,FALSE)),)</f>
        <v>0</v>
      </c>
      <c r="DH407" s="34">
        <f>ROUND(IF(CM407=0,0,HLOOKUP(CM$14,Villagers!$B$1:$V$33,CM407+3,FALSE)),)</f>
        <v>0</v>
      </c>
      <c r="DI407" s="109">
        <f t="shared" si="611"/>
        <v>0</v>
      </c>
      <c r="DJ407" s="50">
        <f t="shared" si="612"/>
        <v>0</v>
      </c>
      <c r="DK407" s="50">
        <f t="shared" si="613"/>
        <v>0</v>
      </c>
      <c r="DL407" s="50">
        <f t="shared" si="614"/>
        <v>0</v>
      </c>
      <c r="DM407" s="50">
        <f t="shared" si="615"/>
        <v>0</v>
      </c>
      <c r="DN407" s="50">
        <f t="shared" si="616"/>
        <v>0</v>
      </c>
      <c r="DO407" s="50">
        <f t="shared" si="617"/>
        <v>0</v>
      </c>
      <c r="DP407" s="50">
        <f t="shared" si="618"/>
        <v>0</v>
      </c>
      <c r="DQ407" s="50">
        <f t="shared" si="596"/>
        <v>0</v>
      </c>
      <c r="DR407" s="50">
        <f t="shared" si="597"/>
        <v>0</v>
      </c>
      <c r="DS407" s="96">
        <f>Miscelaneous!$D$4*Miscelaneous!$D$2^($CI407-1)</f>
        <v>1000</v>
      </c>
      <c r="DT407" s="333">
        <f t="shared" si="579"/>
        <v>1</v>
      </c>
      <c r="DU407" s="81">
        <v>1</v>
      </c>
      <c r="DV407" s="79">
        <f t="shared" si="598"/>
        <v>0</v>
      </c>
      <c r="DW407" s="79">
        <f t="shared" si="599"/>
        <v>0</v>
      </c>
      <c r="DX407" s="79">
        <f t="shared" si="600"/>
        <v>0</v>
      </c>
      <c r="DY407" s="79">
        <v>1</v>
      </c>
      <c r="DZ407" s="79">
        <f t="shared" si="601"/>
        <v>0</v>
      </c>
      <c r="EA407" s="79">
        <f t="shared" si="602"/>
        <v>0</v>
      </c>
      <c r="EB407" s="79">
        <f t="shared" si="603"/>
        <v>0</v>
      </c>
      <c r="EC407" s="79">
        <f t="shared" si="604"/>
        <v>0</v>
      </c>
      <c r="ED407" s="79">
        <v>1</v>
      </c>
      <c r="EE407" s="79">
        <v>1</v>
      </c>
      <c r="EF407" s="79">
        <f t="shared" si="605"/>
        <v>0</v>
      </c>
      <c r="EG407" s="79">
        <v>1</v>
      </c>
      <c r="EH407" s="79">
        <v>1</v>
      </c>
      <c r="EI407" s="79">
        <v>1</v>
      </c>
      <c r="EJ407" s="79">
        <v>1</v>
      </c>
      <c r="EK407" s="79">
        <v>1</v>
      </c>
      <c r="EL407" s="79">
        <v>1</v>
      </c>
      <c r="EM407" s="143">
        <f t="shared" si="606"/>
        <v>0</v>
      </c>
      <c r="EN407" s="143">
        <f t="shared" si="607"/>
        <v>0</v>
      </c>
      <c r="EO407" s="82">
        <f t="shared" si="608"/>
        <v>0</v>
      </c>
    </row>
    <row r="408" spans="1:145" x14ac:dyDescent="0.25">
      <c r="A408">
        <v>394</v>
      </c>
      <c r="B408" s="172" t="e">
        <f t="shared" si="580"/>
        <v>#N/A</v>
      </c>
      <c r="C408" s="121" t="e">
        <f t="shared" si="558"/>
        <v>#N/A</v>
      </c>
      <c r="D408" s="122" t="e">
        <f t="shared" si="559"/>
        <v>#N/A</v>
      </c>
      <c r="E408" s="122" t="e">
        <f t="shared" si="560"/>
        <v>#N/A</v>
      </c>
      <c r="F408" s="176" t="e">
        <f t="shared" si="561"/>
        <v>#N/A</v>
      </c>
      <c r="G408" s="121">
        <f t="shared" si="581"/>
        <v>208</v>
      </c>
      <c r="H408" s="176" t="e">
        <f t="shared" si="582"/>
        <v>#N/A</v>
      </c>
      <c r="I408" s="48">
        <v>1</v>
      </c>
      <c r="J408" s="39"/>
      <c r="K408" s="350">
        <v>1</v>
      </c>
      <c r="L408" s="34" t="e">
        <f t="shared" si="562"/>
        <v>#N/A</v>
      </c>
      <c r="M408" s="38" t="e">
        <f>(HLOOKUP(J408,'Construction Times'!$B$3:$W$34,L408+2,FALSE)*HLOOKUP("hq modifier",'Construction Times'!$W$3:$W$34,BS408+2,FALSE))*(1-$H$9)</f>
        <v>#N/A</v>
      </c>
      <c r="N408" s="443" t="e">
        <f t="shared" si="583"/>
        <v>#N/A</v>
      </c>
      <c r="O408" s="444"/>
      <c r="P408" s="447" t="e">
        <f t="shared" si="584"/>
        <v>#N/A</v>
      </c>
      <c r="Q408" s="448"/>
      <c r="R408" s="103">
        <f t="shared" si="609"/>
        <v>0</v>
      </c>
      <c r="S408" s="104">
        <f t="shared" si="609"/>
        <v>0</v>
      </c>
      <c r="T408" s="104">
        <f t="shared" si="610"/>
        <v>0</v>
      </c>
      <c r="U408" s="104">
        <f t="shared" si="610"/>
        <v>0</v>
      </c>
      <c r="V408" s="104">
        <f t="shared" si="610"/>
        <v>9.9999999999999995E-8</v>
      </c>
      <c r="W408" s="104">
        <f t="shared" si="610"/>
        <v>0</v>
      </c>
      <c r="X408" s="104">
        <f t="shared" si="557"/>
        <v>0</v>
      </c>
      <c r="Y408" s="104">
        <f t="shared" si="557"/>
        <v>9.9999999999999995E-8</v>
      </c>
      <c r="Z408" s="104">
        <f t="shared" si="557"/>
        <v>9.9999999999999995E-8</v>
      </c>
      <c r="AA408" s="105">
        <f t="shared" si="557"/>
        <v>9.9999999999999995E-8</v>
      </c>
      <c r="AB408" s="101" t="e">
        <f>$DT408*HLOOKUP($J408,'Construction Costs (timber)'!$B$1:$V$32,'Construction Planner'!$L408+2,FALSE)</f>
        <v>#N/A</v>
      </c>
      <c r="AC408" s="14" t="e">
        <f>$DT408*HLOOKUP($J408,'Construction Costs (clay)'!$B$1:$V$32,'Construction Planner'!$L408+2,FALSE)</f>
        <v>#N/A</v>
      </c>
      <c r="AD408" s="14" t="e">
        <f>$DT408*HLOOKUP($J408,'Construction Costs (iron)'!$B$1:$V$32,'Construction Planner'!$L408+2,FALSE)</f>
        <v>#N/A</v>
      </c>
      <c r="AE408" s="34" t="e">
        <f t="shared" si="619"/>
        <v>#N/A</v>
      </c>
      <c r="AF408" s="33" t="e">
        <f t="shared" si="563"/>
        <v>#N/A</v>
      </c>
      <c r="AG408" s="14" t="e">
        <f t="shared" si="564"/>
        <v>#N/A</v>
      </c>
      <c r="AH408" s="14" t="e">
        <f t="shared" si="565"/>
        <v>#N/A</v>
      </c>
      <c r="AI408" s="34" t="e">
        <f t="shared" si="620"/>
        <v>#N/A</v>
      </c>
      <c r="AJ408" s="49" t="e">
        <f t="shared" si="585"/>
        <v>#N/A</v>
      </c>
      <c r="AK408" s="49" t="e">
        <f t="shared" si="586"/>
        <v>#N/A</v>
      </c>
      <c r="AL408" s="49" t="e">
        <f t="shared" si="587"/>
        <v>#N/A</v>
      </c>
      <c r="AM408" s="25">
        <f t="shared" si="566"/>
        <v>30</v>
      </c>
      <c r="AN408" s="25">
        <f t="shared" si="567"/>
        <v>30</v>
      </c>
      <c r="AO408" s="25">
        <f t="shared" si="568"/>
        <v>30</v>
      </c>
      <c r="AP408" s="52" t="e">
        <f t="shared" si="588"/>
        <v>#N/A</v>
      </c>
      <c r="AQ408" s="53" t="e">
        <f t="shared" si="588"/>
        <v>#N/A</v>
      </c>
      <c r="AR408" s="54" t="e">
        <f t="shared" si="588"/>
        <v>#N/A</v>
      </c>
      <c r="AS408" s="316">
        <f t="shared" si="621"/>
        <v>0</v>
      </c>
      <c r="AT408" s="106">
        <f>_xlfn.IFNA($M408/VLOOKUP($BT408,'Unit information'!$A$2:$K$29,2,FALSE)*R408,0)*(1+$E$9)</f>
        <v>0</v>
      </c>
      <c r="AU408" s="107">
        <f>_xlfn.IFNA($M408/VLOOKUP($BT408,'Unit information'!$A$2:$K$29,3,FALSE)*S408,0)*(1+$E$9)</f>
        <v>0</v>
      </c>
      <c r="AV408" s="107">
        <f>_xlfn.IFNA($M408/VLOOKUP($BT408,'Unit information'!$A$2:$K$29,4,FALSE)*T408,0)*(1+$E$9)</f>
        <v>0</v>
      </c>
      <c r="AW408" s="107">
        <f>_xlfn.IFNA($M408/VLOOKUP($BT408,'Unit information'!$A$2:$K$29,5,FALSE)*U408,0)*(1+$E$9)</f>
        <v>0</v>
      </c>
      <c r="AX408" s="107">
        <f>_xlfn.IFNA($M408/VLOOKUP($BU408,'Unit information'!$A$2:$K$29,6,FALSE)*V408,0)*(1+$E$9)</f>
        <v>0</v>
      </c>
      <c r="AY408" s="107">
        <f>_xlfn.IFNA($M408/VLOOKUP($BU408,'Unit information'!$A$2:$K$29,7,FALSE)*W408,0)*(1+$E$9)</f>
        <v>0</v>
      </c>
      <c r="AZ408" s="107">
        <f>_xlfn.IFNA($M408/VLOOKUP($BU408,'Unit information'!$A$2:$K$29,8,FALSE)*X408,0)*(1+$E$9)</f>
        <v>0</v>
      </c>
      <c r="BA408" s="107">
        <f>_xlfn.IFNA($M408/VLOOKUP($BU408,'Unit information'!$A$2:$K$29,9,FALSE)*Y408,0)*(1+$E$9)</f>
        <v>0</v>
      </c>
      <c r="BB408" s="107">
        <f>_xlfn.IFNA($M408/VLOOKUP($BV408,'Unit information'!$A$2:$K$29,10,FALSE)*Z408,0)*(1+$E$9)</f>
        <v>0</v>
      </c>
      <c r="BC408" s="108">
        <f>_xlfn.IFNA($M408/VLOOKUP($BV408,'Unit information'!$A$2:$K$29,11,FALSE)*AA408,0)*(1+$E$9)</f>
        <v>0</v>
      </c>
      <c r="BD408" s="106">
        <f t="shared" si="569"/>
        <v>0</v>
      </c>
      <c r="BE408" s="107">
        <f t="shared" si="570"/>
        <v>0</v>
      </c>
      <c r="BF408" s="108">
        <f t="shared" si="571"/>
        <v>0</v>
      </c>
      <c r="BG408" s="25" t="e">
        <f t="shared" si="572"/>
        <v>#N/A</v>
      </c>
      <c r="BH408" s="25" t="e">
        <f t="shared" si="573"/>
        <v>#N/A</v>
      </c>
      <c r="BI408" s="25" t="e">
        <f t="shared" si="574"/>
        <v>#N/A</v>
      </c>
      <c r="BJ408" s="27" t="e">
        <f t="shared" si="575"/>
        <v>#N/A</v>
      </c>
      <c r="BK408" s="18" t="e">
        <f t="shared" si="576"/>
        <v>#N/A</v>
      </c>
      <c r="BL408" s="18" t="e">
        <f t="shared" si="577"/>
        <v>#N/A</v>
      </c>
      <c r="BM408" s="28" t="e">
        <f t="shared" si="622"/>
        <v>#N/A</v>
      </c>
      <c r="BN408" s="33">
        <f>HLOOKUP("maximum population",Miscelaneous!$C$1:$C$33,CH408+3,FALSE)</f>
        <v>240</v>
      </c>
      <c r="BO408" s="14">
        <f t="shared" si="589"/>
        <v>32</v>
      </c>
      <c r="BP408" s="14">
        <f t="shared" si="590"/>
        <v>0</v>
      </c>
      <c r="BQ408" s="14">
        <f t="shared" si="591"/>
        <v>208</v>
      </c>
      <c r="BR408" s="34" t="e">
        <f>HLOOKUP(J408,Villagers!$B$1:$V$33,L408+3,FALSE)-HLOOKUP(J408,Villagers!$B$1:$V$33,L408+2,FALSE)</f>
        <v>#N/A</v>
      </c>
      <c r="BS408" s="49">
        <f t="shared" si="592"/>
        <v>1</v>
      </c>
      <c r="BT408" s="50">
        <f t="shared" si="593"/>
        <v>0</v>
      </c>
      <c r="BU408" s="50">
        <f t="shared" si="594"/>
        <v>0</v>
      </c>
      <c r="BV408" s="50">
        <f t="shared" si="595"/>
        <v>0</v>
      </c>
      <c r="BW408" s="50">
        <f t="shared" si="555"/>
        <v>0</v>
      </c>
      <c r="BX408" s="50">
        <f t="shared" si="556"/>
        <v>0</v>
      </c>
      <c r="BY408" s="50">
        <f t="shared" si="556"/>
        <v>0</v>
      </c>
      <c r="BZ408" s="50">
        <f t="shared" si="530"/>
        <v>0</v>
      </c>
      <c r="CA408" s="50">
        <f t="shared" si="531"/>
        <v>0</v>
      </c>
      <c r="CB408" s="50">
        <f t="shared" si="532"/>
        <v>1</v>
      </c>
      <c r="CC408" s="50">
        <f t="shared" si="533"/>
        <v>0</v>
      </c>
      <c r="CD408" s="50">
        <f t="shared" si="534"/>
        <v>0</v>
      </c>
      <c r="CE408" s="50">
        <f t="shared" si="535"/>
        <v>1</v>
      </c>
      <c r="CF408" s="50">
        <f t="shared" si="536"/>
        <v>1</v>
      </c>
      <c r="CG408" s="50">
        <f t="shared" si="537"/>
        <v>1</v>
      </c>
      <c r="CH408" s="50">
        <f t="shared" si="538"/>
        <v>1</v>
      </c>
      <c r="CI408" s="50">
        <f t="shared" si="539"/>
        <v>1</v>
      </c>
      <c r="CJ408" s="50">
        <f t="shared" si="540"/>
        <v>1</v>
      </c>
      <c r="CK408" s="50">
        <f t="shared" si="540"/>
        <v>0</v>
      </c>
      <c r="CL408" s="50">
        <f t="shared" si="540"/>
        <v>0</v>
      </c>
      <c r="CM408" s="51">
        <f t="shared" si="578"/>
        <v>0</v>
      </c>
      <c r="CN408" s="33">
        <f>ROUND(IF(BS408=0,0,HLOOKUP(BS$14,Villagers!$B$1:$V$33,BS408+3,FALSE)),)</f>
        <v>5</v>
      </c>
      <c r="CO408" s="14">
        <f>ROUND(IF(BT408=0,0,HLOOKUP(BT$14,Villagers!$B$1:$V$33,BT408+3,FALSE)),)</f>
        <v>0</v>
      </c>
      <c r="CP408" s="14">
        <f>ROUND(IF(BU408=0,0,HLOOKUP(BU$14,Villagers!$B$1:$V$33,BU408+3,FALSE)),)</f>
        <v>0</v>
      </c>
      <c r="CQ408" s="14">
        <f>ROUND(IF(BV408=0,0,HLOOKUP(BV$14,Villagers!$B$1:$V$33,BV408+3,FALSE)),)</f>
        <v>0</v>
      </c>
      <c r="CR408" s="14">
        <f>ROUND(IF(BW408=0,0,HLOOKUP(BW$14,Villagers!$B$1:$V$33,BW408+3,FALSE)),)</f>
        <v>0</v>
      </c>
      <c r="CS408" s="14">
        <f>ROUND(IF(BX408=0,0,HLOOKUP(BX$14,Villagers!$B$1:$V$33,BX408+3,FALSE)),)</f>
        <v>0</v>
      </c>
      <c r="CT408" s="14">
        <f>ROUND(IF(BY408=0,0,HLOOKUP(BY$14,Villagers!$B$1:$V$33,BY408+3,FALSE)),)</f>
        <v>0</v>
      </c>
      <c r="CU408" s="14">
        <f>ROUND(IF(BZ408=0,0,HLOOKUP(BZ$14,Villagers!$B$1:$V$33,BZ408+3,FALSE)),)</f>
        <v>0</v>
      </c>
      <c r="CV408" s="14">
        <f>ROUND(IF(CA408=0,0,HLOOKUP(CA$14,Villagers!$B$1:$V$33,CA408+3,FALSE)),)</f>
        <v>0</v>
      </c>
      <c r="CW408" s="14">
        <f>ROUND(IF(CB408=0,0,HLOOKUP(CB$14,Villagers!$B$1:$V$33,CB408+3,FALSE)),)</f>
        <v>0</v>
      </c>
      <c r="CX408" s="14">
        <f>ROUND(IF(CC408=0,0,HLOOKUP(CC$14,Villagers!$B$1:$V$33,CC408+3,FALSE)),)</f>
        <v>0</v>
      </c>
      <c r="CY408" s="14">
        <f>ROUND(IF(CD408=0,0,HLOOKUP(CD$14,Villagers!$B$1:$V$33,CD408+3,FALSE)),)</f>
        <v>0</v>
      </c>
      <c r="CZ408" s="14">
        <f>ROUND(IF(CE408=0,0,HLOOKUP(CE$14,Villagers!$B$1:$V$33,CE408+3,FALSE)),)</f>
        <v>5</v>
      </c>
      <c r="DA408" s="14">
        <f>ROUND(IF(CF408=0,0,HLOOKUP(CF$14,Villagers!$B$1:$V$33,CF408+3,FALSE)),)</f>
        <v>10</v>
      </c>
      <c r="DB408" s="14">
        <f>ROUND(IF(CG408=0,0,HLOOKUP(CG$14,Villagers!$B$1:$V$33,CG408+3,FALSE)),)</f>
        <v>10</v>
      </c>
      <c r="DC408" s="14">
        <f>ROUND(IF(CH408=0,0,HLOOKUP(CH$14,Villagers!$B$1:$V$33,CH408+3,FALSE)),)</f>
        <v>0</v>
      </c>
      <c r="DD408" s="14">
        <f>ROUND(IF(CI408=0,0,HLOOKUP(CI$14,Villagers!$B$1:$V$33,CI408+3,FALSE)),)</f>
        <v>0</v>
      </c>
      <c r="DE408" s="14">
        <f>ROUND(IF(CJ408=0,0,HLOOKUP(CJ$14,Villagers!$B$1:$V$33,CJ408+3,FALSE)),)</f>
        <v>2</v>
      </c>
      <c r="DF408" s="370">
        <f>ROUND(IF(CK408=0,0,HLOOKUP(CK$14,Villagers!$B$1:$V$33,CK408+3,FALSE)),)</f>
        <v>0</v>
      </c>
      <c r="DG408" s="370">
        <f>ROUND(IF(CL408=0,0,HLOOKUP(CL$14,Villagers!$B$1:$V$33,CL408+3,FALSE)),)</f>
        <v>0</v>
      </c>
      <c r="DH408" s="34">
        <f>ROUND(IF(CM408=0,0,HLOOKUP(CM$14,Villagers!$B$1:$V$33,CM408+3,FALSE)),)</f>
        <v>0</v>
      </c>
      <c r="DI408" s="109">
        <f t="shared" si="611"/>
        <v>0</v>
      </c>
      <c r="DJ408" s="50">
        <f t="shared" si="612"/>
        <v>0</v>
      </c>
      <c r="DK408" s="50">
        <f t="shared" si="613"/>
        <v>0</v>
      </c>
      <c r="DL408" s="50">
        <f t="shared" si="614"/>
        <v>0</v>
      </c>
      <c r="DM408" s="50">
        <f t="shared" si="615"/>
        <v>0</v>
      </c>
      <c r="DN408" s="50">
        <f t="shared" si="616"/>
        <v>0</v>
      </c>
      <c r="DO408" s="50">
        <f t="shared" si="617"/>
        <v>0</v>
      </c>
      <c r="DP408" s="50">
        <f t="shared" si="618"/>
        <v>0</v>
      </c>
      <c r="DQ408" s="50">
        <f t="shared" si="596"/>
        <v>0</v>
      </c>
      <c r="DR408" s="50">
        <f t="shared" si="597"/>
        <v>0</v>
      </c>
      <c r="DS408" s="96">
        <f>Miscelaneous!$D$4*Miscelaneous!$D$2^($CI408-1)</f>
        <v>1000</v>
      </c>
      <c r="DT408" s="333">
        <f t="shared" si="579"/>
        <v>1</v>
      </c>
      <c r="DU408" s="81">
        <v>1</v>
      </c>
      <c r="DV408" s="79">
        <f t="shared" si="598"/>
        <v>0</v>
      </c>
      <c r="DW408" s="79">
        <f t="shared" si="599"/>
        <v>0</v>
      </c>
      <c r="DX408" s="79">
        <f t="shared" si="600"/>
        <v>0</v>
      </c>
      <c r="DY408" s="79">
        <v>1</v>
      </c>
      <c r="DZ408" s="79">
        <f t="shared" si="601"/>
        <v>0</v>
      </c>
      <c r="EA408" s="79">
        <f t="shared" si="602"/>
        <v>0</v>
      </c>
      <c r="EB408" s="79">
        <f t="shared" si="603"/>
        <v>0</v>
      </c>
      <c r="EC408" s="79">
        <f t="shared" si="604"/>
        <v>0</v>
      </c>
      <c r="ED408" s="79">
        <v>1</v>
      </c>
      <c r="EE408" s="79">
        <v>1</v>
      </c>
      <c r="EF408" s="79">
        <f t="shared" si="605"/>
        <v>0</v>
      </c>
      <c r="EG408" s="79">
        <v>1</v>
      </c>
      <c r="EH408" s="79">
        <v>1</v>
      </c>
      <c r="EI408" s="79">
        <v>1</v>
      </c>
      <c r="EJ408" s="79">
        <v>1</v>
      </c>
      <c r="EK408" s="79">
        <v>1</v>
      </c>
      <c r="EL408" s="79">
        <v>1</v>
      </c>
      <c r="EM408" s="143">
        <f t="shared" si="606"/>
        <v>0</v>
      </c>
      <c r="EN408" s="143">
        <f t="shared" si="607"/>
        <v>0</v>
      </c>
      <c r="EO408" s="82">
        <f t="shared" si="608"/>
        <v>0</v>
      </c>
    </row>
    <row r="409" spans="1:145" x14ac:dyDescent="0.25">
      <c r="A409">
        <v>395</v>
      </c>
      <c r="B409" s="172" t="e">
        <f t="shared" si="580"/>
        <v>#N/A</v>
      </c>
      <c r="C409" s="121" t="e">
        <f t="shared" si="558"/>
        <v>#N/A</v>
      </c>
      <c r="D409" s="122" t="e">
        <f t="shared" si="559"/>
        <v>#N/A</v>
      </c>
      <c r="E409" s="122" t="e">
        <f t="shared" si="560"/>
        <v>#N/A</v>
      </c>
      <c r="F409" s="176" t="e">
        <f t="shared" si="561"/>
        <v>#N/A</v>
      </c>
      <c r="G409" s="121">
        <f t="shared" si="581"/>
        <v>208</v>
      </c>
      <c r="H409" s="176" t="e">
        <f t="shared" si="582"/>
        <v>#N/A</v>
      </c>
      <c r="I409" s="48">
        <v>1</v>
      </c>
      <c r="J409" s="39"/>
      <c r="K409" s="350">
        <v>1</v>
      </c>
      <c r="L409" s="34" t="e">
        <f t="shared" si="562"/>
        <v>#N/A</v>
      </c>
      <c r="M409" s="38" t="e">
        <f>(HLOOKUP(J409,'Construction Times'!$B$3:$W$34,L409+2,FALSE)*HLOOKUP("hq modifier",'Construction Times'!$W$3:$W$34,BS409+2,FALSE))*(1-$H$9)</f>
        <v>#N/A</v>
      </c>
      <c r="N409" s="443" t="e">
        <f t="shared" si="583"/>
        <v>#N/A</v>
      </c>
      <c r="O409" s="444"/>
      <c r="P409" s="447" t="e">
        <f t="shared" si="584"/>
        <v>#N/A</v>
      </c>
      <c r="Q409" s="448"/>
      <c r="R409" s="103">
        <f t="shared" si="609"/>
        <v>0</v>
      </c>
      <c r="S409" s="104">
        <f t="shared" si="609"/>
        <v>0</v>
      </c>
      <c r="T409" s="104">
        <f t="shared" si="610"/>
        <v>0</v>
      </c>
      <c r="U409" s="104">
        <f t="shared" si="610"/>
        <v>0</v>
      </c>
      <c r="V409" s="104">
        <f t="shared" si="610"/>
        <v>9.9999999999999995E-8</v>
      </c>
      <c r="W409" s="104">
        <f t="shared" si="610"/>
        <v>0</v>
      </c>
      <c r="X409" s="104">
        <f t="shared" si="557"/>
        <v>0</v>
      </c>
      <c r="Y409" s="104">
        <f t="shared" si="557"/>
        <v>9.9999999999999995E-8</v>
      </c>
      <c r="Z409" s="104">
        <f t="shared" si="557"/>
        <v>9.9999999999999995E-8</v>
      </c>
      <c r="AA409" s="105">
        <f t="shared" si="557"/>
        <v>9.9999999999999995E-8</v>
      </c>
      <c r="AB409" s="101" t="e">
        <f>$DT409*HLOOKUP($J409,'Construction Costs (timber)'!$B$1:$V$32,'Construction Planner'!$L409+2,FALSE)</f>
        <v>#N/A</v>
      </c>
      <c r="AC409" s="14" t="e">
        <f>$DT409*HLOOKUP($J409,'Construction Costs (clay)'!$B$1:$V$32,'Construction Planner'!$L409+2,FALSE)</f>
        <v>#N/A</v>
      </c>
      <c r="AD409" s="14" t="e">
        <f>$DT409*HLOOKUP($J409,'Construction Costs (iron)'!$B$1:$V$32,'Construction Planner'!$L409+2,FALSE)</f>
        <v>#N/A</v>
      </c>
      <c r="AE409" s="34" t="e">
        <f t="shared" si="619"/>
        <v>#N/A</v>
      </c>
      <c r="AF409" s="33" t="e">
        <f t="shared" si="563"/>
        <v>#N/A</v>
      </c>
      <c r="AG409" s="14" t="e">
        <f t="shared" si="564"/>
        <v>#N/A</v>
      </c>
      <c r="AH409" s="14" t="e">
        <f t="shared" si="565"/>
        <v>#N/A</v>
      </c>
      <c r="AI409" s="34" t="e">
        <f t="shared" si="620"/>
        <v>#N/A</v>
      </c>
      <c r="AJ409" s="49" t="e">
        <f t="shared" si="585"/>
        <v>#N/A</v>
      </c>
      <c r="AK409" s="49" t="e">
        <f t="shared" si="586"/>
        <v>#N/A</v>
      </c>
      <c r="AL409" s="49" t="e">
        <f t="shared" si="587"/>
        <v>#N/A</v>
      </c>
      <c r="AM409" s="25">
        <f t="shared" si="566"/>
        <v>30</v>
      </c>
      <c r="AN409" s="25">
        <f t="shared" si="567"/>
        <v>30</v>
      </c>
      <c r="AO409" s="25">
        <f t="shared" si="568"/>
        <v>30</v>
      </c>
      <c r="AP409" s="52" t="e">
        <f t="shared" si="588"/>
        <v>#N/A</v>
      </c>
      <c r="AQ409" s="53" t="e">
        <f t="shared" si="588"/>
        <v>#N/A</v>
      </c>
      <c r="AR409" s="54" t="e">
        <f t="shared" si="588"/>
        <v>#N/A</v>
      </c>
      <c r="AS409" s="316">
        <f t="shared" si="621"/>
        <v>0</v>
      </c>
      <c r="AT409" s="106">
        <f>_xlfn.IFNA($M409/VLOOKUP($BT409,'Unit information'!$A$2:$K$29,2,FALSE)*R409,0)*(1+$E$9)</f>
        <v>0</v>
      </c>
      <c r="AU409" s="107">
        <f>_xlfn.IFNA($M409/VLOOKUP($BT409,'Unit information'!$A$2:$K$29,3,FALSE)*S409,0)*(1+$E$9)</f>
        <v>0</v>
      </c>
      <c r="AV409" s="107">
        <f>_xlfn.IFNA($M409/VLOOKUP($BT409,'Unit information'!$A$2:$K$29,4,FALSE)*T409,0)*(1+$E$9)</f>
        <v>0</v>
      </c>
      <c r="AW409" s="107">
        <f>_xlfn.IFNA($M409/VLOOKUP($BT409,'Unit information'!$A$2:$K$29,5,FALSE)*U409,0)*(1+$E$9)</f>
        <v>0</v>
      </c>
      <c r="AX409" s="107">
        <f>_xlfn.IFNA($M409/VLOOKUP($BU409,'Unit information'!$A$2:$K$29,6,FALSE)*V409,0)*(1+$E$9)</f>
        <v>0</v>
      </c>
      <c r="AY409" s="107">
        <f>_xlfn.IFNA($M409/VLOOKUP($BU409,'Unit information'!$A$2:$K$29,7,FALSE)*W409,0)*(1+$E$9)</f>
        <v>0</v>
      </c>
      <c r="AZ409" s="107">
        <f>_xlfn.IFNA($M409/VLOOKUP($BU409,'Unit information'!$A$2:$K$29,8,FALSE)*X409,0)*(1+$E$9)</f>
        <v>0</v>
      </c>
      <c r="BA409" s="107">
        <f>_xlfn.IFNA($M409/VLOOKUP($BU409,'Unit information'!$A$2:$K$29,9,FALSE)*Y409,0)*(1+$E$9)</f>
        <v>0</v>
      </c>
      <c r="BB409" s="107">
        <f>_xlfn.IFNA($M409/VLOOKUP($BV409,'Unit information'!$A$2:$K$29,10,FALSE)*Z409,0)*(1+$E$9)</f>
        <v>0</v>
      </c>
      <c r="BC409" s="108">
        <f>_xlfn.IFNA($M409/VLOOKUP($BV409,'Unit information'!$A$2:$K$29,11,FALSE)*AA409,0)*(1+$E$9)</f>
        <v>0</v>
      </c>
      <c r="BD409" s="106">
        <f t="shared" si="569"/>
        <v>0</v>
      </c>
      <c r="BE409" s="107">
        <f t="shared" si="570"/>
        <v>0</v>
      </c>
      <c r="BF409" s="108">
        <f t="shared" si="571"/>
        <v>0</v>
      </c>
      <c r="BG409" s="25" t="e">
        <f t="shared" si="572"/>
        <v>#N/A</v>
      </c>
      <c r="BH409" s="25" t="e">
        <f t="shared" si="573"/>
        <v>#N/A</v>
      </c>
      <c r="BI409" s="25" t="e">
        <f t="shared" si="574"/>
        <v>#N/A</v>
      </c>
      <c r="BJ409" s="27" t="e">
        <f t="shared" si="575"/>
        <v>#N/A</v>
      </c>
      <c r="BK409" s="18" t="e">
        <f t="shared" si="576"/>
        <v>#N/A</v>
      </c>
      <c r="BL409" s="18" t="e">
        <f t="shared" si="577"/>
        <v>#N/A</v>
      </c>
      <c r="BM409" s="28" t="e">
        <f t="shared" si="622"/>
        <v>#N/A</v>
      </c>
      <c r="BN409" s="33">
        <f>HLOOKUP("maximum population",Miscelaneous!$C$1:$C$33,CH409+3,FALSE)</f>
        <v>240</v>
      </c>
      <c r="BO409" s="14">
        <f t="shared" si="589"/>
        <v>32</v>
      </c>
      <c r="BP409" s="14">
        <f t="shared" si="590"/>
        <v>0</v>
      </c>
      <c r="BQ409" s="14">
        <f t="shared" si="591"/>
        <v>208</v>
      </c>
      <c r="BR409" s="34" t="e">
        <f>HLOOKUP(J409,Villagers!$B$1:$V$33,L409+3,FALSE)-HLOOKUP(J409,Villagers!$B$1:$V$33,L409+2,FALSE)</f>
        <v>#N/A</v>
      </c>
      <c r="BS409" s="49">
        <f t="shared" si="592"/>
        <v>1</v>
      </c>
      <c r="BT409" s="50">
        <f t="shared" si="593"/>
        <v>0</v>
      </c>
      <c r="BU409" s="50">
        <f t="shared" si="594"/>
        <v>0</v>
      </c>
      <c r="BV409" s="50">
        <f t="shared" si="595"/>
        <v>0</v>
      </c>
      <c r="BW409" s="50">
        <f t="shared" si="555"/>
        <v>0</v>
      </c>
      <c r="BX409" s="50">
        <f t="shared" si="556"/>
        <v>0</v>
      </c>
      <c r="BY409" s="50">
        <f t="shared" si="556"/>
        <v>0</v>
      </c>
      <c r="BZ409" s="50">
        <f t="shared" si="530"/>
        <v>0</v>
      </c>
      <c r="CA409" s="50">
        <f t="shared" si="531"/>
        <v>0</v>
      </c>
      <c r="CB409" s="50">
        <f t="shared" si="532"/>
        <v>1</v>
      </c>
      <c r="CC409" s="50">
        <f t="shared" si="533"/>
        <v>0</v>
      </c>
      <c r="CD409" s="50">
        <f t="shared" si="534"/>
        <v>0</v>
      </c>
      <c r="CE409" s="50">
        <f t="shared" si="535"/>
        <v>1</v>
      </c>
      <c r="CF409" s="50">
        <f t="shared" si="536"/>
        <v>1</v>
      </c>
      <c r="CG409" s="50">
        <f t="shared" si="537"/>
        <v>1</v>
      </c>
      <c r="CH409" s="50">
        <f t="shared" si="538"/>
        <v>1</v>
      </c>
      <c r="CI409" s="50">
        <f t="shared" si="539"/>
        <v>1</v>
      </c>
      <c r="CJ409" s="50">
        <f t="shared" si="540"/>
        <v>1</v>
      </c>
      <c r="CK409" s="50">
        <f t="shared" si="540"/>
        <v>0</v>
      </c>
      <c r="CL409" s="50">
        <f t="shared" si="540"/>
        <v>0</v>
      </c>
      <c r="CM409" s="51">
        <f t="shared" si="578"/>
        <v>0</v>
      </c>
      <c r="CN409" s="33">
        <f>ROUND(IF(BS409=0,0,HLOOKUP(BS$14,Villagers!$B$1:$V$33,BS409+3,FALSE)),)</f>
        <v>5</v>
      </c>
      <c r="CO409" s="14">
        <f>ROUND(IF(BT409=0,0,HLOOKUP(BT$14,Villagers!$B$1:$V$33,BT409+3,FALSE)),)</f>
        <v>0</v>
      </c>
      <c r="CP409" s="14">
        <f>ROUND(IF(BU409=0,0,HLOOKUP(BU$14,Villagers!$B$1:$V$33,BU409+3,FALSE)),)</f>
        <v>0</v>
      </c>
      <c r="CQ409" s="14">
        <f>ROUND(IF(BV409=0,0,HLOOKUP(BV$14,Villagers!$B$1:$V$33,BV409+3,FALSE)),)</f>
        <v>0</v>
      </c>
      <c r="CR409" s="14">
        <f>ROUND(IF(BW409=0,0,HLOOKUP(BW$14,Villagers!$B$1:$V$33,BW409+3,FALSE)),)</f>
        <v>0</v>
      </c>
      <c r="CS409" s="14">
        <f>ROUND(IF(BX409=0,0,HLOOKUP(BX$14,Villagers!$B$1:$V$33,BX409+3,FALSE)),)</f>
        <v>0</v>
      </c>
      <c r="CT409" s="14">
        <f>ROUND(IF(BY409=0,0,HLOOKUP(BY$14,Villagers!$B$1:$V$33,BY409+3,FALSE)),)</f>
        <v>0</v>
      </c>
      <c r="CU409" s="14">
        <f>ROUND(IF(BZ409=0,0,HLOOKUP(BZ$14,Villagers!$B$1:$V$33,BZ409+3,FALSE)),)</f>
        <v>0</v>
      </c>
      <c r="CV409" s="14">
        <f>ROUND(IF(CA409=0,0,HLOOKUP(CA$14,Villagers!$B$1:$V$33,CA409+3,FALSE)),)</f>
        <v>0</v>
      </c>
      <c r="CW409" s="14">
        <f>ROUND(IF(CB409=0,0,HLOOKUP(CB$14,Villagers!$B$1:$V$33,CB409+3,FALSE)),)</f>
        <v>0</v>
      </c>
      <c r="CX409" s="14">
        <f>ROUND(IF(CC409=0,0,HLOOKUP(CC$14,Villagers!$B$1:$V$33,CC409+3,FALSE)),)</f>
        <v>0</v>
      </c>
      <c r="CY409" s="14">
        <f>ROUND(IF(CD409=0,0,HLOOKUP(CD$14,Villagers!$B$1:$V$33,CD409+3,FALSE)),)</f>
        <v>0</v>
      </c>
      <c r="CZ409" s="14">
        <f>ROUND(IF(CE409=0,0,HLOOKUP(CE$14,Villagers!$B$1:$V$33,CE409+3,FALSE)),)</f>
        <v>5</v>
      </c>
      <c r="DA409" s="14">
        <f>ROUND(IF(CF409=0,0,HLOOKUP(CF$14,Villagers!$B$1:$V$33,CF409+3,FALSE)),)</f>
        <v>10</v>
      </c>
      <c r="DB409" s="14">
        <f>ROUND(IF(CG409=0,0,HLOOKUP(CG$14,Villagers!$B$1:$V$33,CG409+3,FALSE)),)</f>
        <v>10</v>
      </c>
      <c r="DC409" s="14">
        <f>ROUND(IF(CH409=0,0,HLOOKUP(CH$14,Villagers!$B$1:$V$33,CH409+3,FALSE)),)</f>
        <v>0</v>
      </c>
      <c r="DD409" s="14">
        <f>ROUND(IF(CI409=0,0,HLOOKUP(CI$14,Villagers!$B$1:$V$33,CI409+3,FALSE)),)</f>
        <v>0</v>
      </c>
      <c r="DE409" s="14">
        <f>ROUND(IF(CJ409=0,0,HLOOKUP(CJ$14,Villagers!$B$1:$V$33,CJ409+3,FALSE)),)</f>
        <v>2</v>
      </c>
      <c r="DF409" s="370">
        <f>ROUND(IF(CK409=0,0,HLOOKUP(CK$14,Villagers!$B$1:$V$33,CK409+3,FALSE)),)</f>
        <v>0</v>
      </c>
      <c r="DG409" s="370">
        <f>ROUND(IF(CL409=0,0,HLOOKUP(CL$14,Villagers!$B$1:$V$33,CL409+3,FALSE)),)</f>
        <v>0</v>
      </c>
      <c r="DH409" s="34">
        <f>ROUND(IF(CM409=0,0,HLOOKUP(CM$14,Villagers!$B$1:$V$33,CM409+3,FALSE)),)</f>
        <v>0</v>
      </c>
      <c r="DI409" s="109">
        <f t="shared" si="611"/>
        <v>0</v>
      </c>
      <c r="DJ409" s="50">
        <f t="shared" si="612"/>
        <v>0</v>
      </c>
      <c r="DK409" s="50">
        <f t="shared" si="613"/>
        <v>0</v>
      </c>
      <c r="DL409" s="50">
        <f t="shared" si="614"/>
        <v>0</v>
      </c>
      <c r="DM409" s="50">
        <f t="shared" si="615"/>
        <v>0</v>
      </c>
      <c r="DN409" s="50">
        <f t="shared" si="616"/>
        <v>0</v>
      </c>
      <c r="DO409" s="50">
        <f t="shared" si="617"/>
        <v>0</v>
      </c>
      <c r="DP409" s="50">
        <f t="shared" si="618"/>
        <v>0</v>
      </c>
      <c r="DQ409" s="50">
        <f t="shared" si="596"/>
        <v>0</v>
      </c>
      <c r="DR409" s="50">
        <f t="shared" si="597"/>
        <v>0</v>
      </c>
      <c r="DS409" s="96">
        <f>Miscelaneous!$D$4*Miscelaneous!$D$2^($CI409-1)</f>
        <v>1000</v>
      </c>
      <c r="DT409" s="333">
        <f t="shared" si="579"/>
        <v>1</v>
      </c>
      <c r="DU409" s="81">
        <v>1</v>
      </c>
      <c r="DV409" s="79">
        <f t="shared" si="598"/>
        <v>0</v>
      </c>
      <c r="DW409" s="79">
        <f t="shared" si="599"/>
        <v>0</v>
      </c>
      <c r="DX409" s="79">
        <f t="shared" si="600"/>
        <v>0</v>
      </c>
      <c r="DY409" s="79">
        <v>1</v>
      </c>
      <c r="DZ409" s="79">
        <f t="shared" si="601"/>
        <v>0</v>
      </c>
      <c r="EA409" s="79">
        <f t="shared" si="602"/>
        <v>0</v>
      </c>
      <c r="EB409" s="79">
        <f t="shared" si="603"/>
        <v>0</v>
      </c>
      <c r="EC409" s="79">
        <f t="shared" si="604"/>
        <v>0</v>
      </c>
      <c r="ED409" s="79">
        <v>1</v>
      </c>
      <c r="EE409" s="79">
        <v>1</v>
      </c>
      <c r="EF409" s="79">
        <f t="shared" si="605"/>
        <v>0</v>
      </c>
      <c r="EG409" s="79">
        <v>1</v>
      </c>
      <c r="EH409" s="79">
        <v>1</v>
      </c>
      <c r="EI409" s="79">
        <v>1</v>
      </c>
      <c r="EJ409" s="79">
        <v>1</v>
      </c>
      <c r="EK409" s="79">
        <v>1</v>
      </c>
      <c r="EL409" s="79">
        <v>1</v>
      </c>
      <c r="EM409" s="143">
        <f t="shared" si="606"/>
        <v>0</v>
      </c>
      <c r="EN409" s="143">
        <f t="shared" si="607"/>
        <v>0</v>
      </c>
      <c r="EO409" s="82">
        <f t="shared" si="608"/>
        <v>0</v>
      </c>
    </row>
    <row r="410" spans="1:145" x14ac:dyDescent="0.25">
      <c r="A410">
        <v>396</v>
      </c>
      <c r="B410" s="172" t="e">
        <f t="shared" si="580"/>
        <v>#N/A</v>
      </c>
      <c r="C410" s="121" t="e">
        <f t="shared" si="558"/>
        <v>#N/A</v>
      </c>
      <c r="D410" s="122" t="e">
        <f t="shared" si="559"/>
        <v>#N/A</v>
      </c>
      <c r="E410" s="122" t="e">
        <f t="shared" si="560"/>
        <v>#N/A</v>
      </c>
      <c r="F410" s="176" t="e">
        <f t="shared" si="561"/>
        <v>#N/A</v>
      </c>
      <c r="G410" s="121">
        <f t="shared" si="581"/>
        <v>208</v>
      </c>
      <c r="H410" s="176" t="e">
        <f t="shared" si="582"/>
        <v>#N/A</v>
      </c>
      <c r="I410" s="48">
        <v>1</v>
      </c>
      <c r="J410" s="39"/>
      <c r="K410" s="350">
        <v>1</v>
      </c>
      <c r="L410" s="34" t="e">
        <f t="shared" si="562"/>
        <v>#N/A</v>
      </c>
      <c r="M410" s="38" t="e">
        <f>(HLOOKUP(J410,'Construction Times'!$B$3:$W$34,L410+2,FALSE)*HLOOKUP("hq modifier",'Construction Times'!$W$3:$W$34,BS410+2,FALSE))*(1-$H$9)</f>
        <v>#N/A</v>
      </c>
      <c r="N410" s="443" t="e">
        <f t="shared" si="583"/>
        <v>#N/A</v>
      </c>
      <c r="O410" s="444"/>
      <c r="P410" s="447" t="e">
        <f t="shared" si="584"/>
        <v>#N/A</v>
      </c>
      <c r="Q410" s="448"/>
      <c r="R410" s="103">
        <f t="shared" si="609"/>
        <v>0</v>
      </c>
      <c r="S410" s="104">
        <f t="shared" si="609"/>
        <v>0</v>
      </c>
      <c r="T410" s="104">
        <f t="shared" si="610"/>
        <v>0</v>
      </c>
      <c r="U410" s="104">
        <f t="shared" si="610"/>
        <v>0</v>
      </c>
      <c r="V410" s="104">
        <f t="shared" si="610"/>
        <v>9.9999999999999995E-8</v>
      </c>
      <c r="W410" s="104">
        <f t="shared" si="610"/>
        <v>0</v>
      </c>
      <c r="X410" s="104">
        <f t="shared" si="557"/>
        <v>0</v>
      </c>
      <c r="Y410" s="104">
        <f t="shared" si="557"/>
        <v>9.9999999999999995E-8</v>
      </c>
      <c r="Z410" s="104">
        <f t="shared" si="557"/>
        <v>9.9999999999999995E-8</v>
      </c>
      <c r="AA410" s="105">
        <f t="shared" si="557"/>
        <v>9.9999999999999995E-8</v>
      </c>
      <c r="AB410" s="101" t="e">
        <f>$DT410*HLOOKUP($J410,'Construction Costs (timber)'!$B$1:$V$32,'Construction Planner'!$L410+2,FALSE)</f>
        <v>#N/A</v>
      </c>
      <c r="AC410" s="14" t="e">
        <f>$DT410*HLOOKUP($J410,'Construction Costs (clay)'!$B$1:$V$32,'Construction Planner'!$L410+2,FALSE)</f>
        <v>#N/A</v>
      </c>
      <c r="AD410" s="14" t="e">
        <f>$DT410*HLOOKUP($J410,'Construction Costs (iron)'!$B$1:$V$32,'Construction Planner'!$L410+2,FALSE)</f>
        <v>#N/A</v>
      </c>
      <c r="AE410" s="34" t="e">
        <f t="shared" si="619"/>
        <v>#N/A</v>
      </c>
      <c r="AF410" s="33" t="e">
        <f t="shared" si="563"/>
        <v>#N/A</v>
      </c>
      <c r="AG410" s="14" t="e">
        <f t="shared" si="564"/>
        <v>#N/A</v>
      </c>
      <c r="AH410" s="14" t="e">
        <f t="shared" si="565"/>
        <v>#N/A</v>
      </c>
      <c r="AI410" s="34" t="e">
        <f t="shared" si="620"/>
        <v>#N/A</v>
      </c>
      <c r="AJ410" s="49" t="e">
        <f t="shared" si="585"/>
        <v>#N/A</v>
      </c>
      <c r="AK410" s="49" t="e">
        <f t="shared" si="586"/>
        <v>#N/A</v>
      </c>
      <c r="AL410" s="49" t="e">
        <f t="shared" si="587"/>
        <v>#N/A</v>
      </c>
      <c r="AM410" s="25">
        <f t="shared" si="566"/>
        <v>30</v>
      </c>
      <c r="AN410" s="25">
        <f t="shared" si="567"/>
        <v>30</v>
      </c>
      <c r="AO410" s="25">
        <f t="shared" si="568"/>
        <v>30</v>
      </c>
      <c r="AP410" s="52" t="e">
        <f t="shared" si="588"/>
        <v>#N/A</v>
      </c>
      <c r="AQ410" s="53" t="e">
        <f t="shared" si="588"/>
        <v>#N/A</v>
      </c>
      <c r="AR410" s="54" t="e">
        <f t="shared" si="588"/>
        <v>#N/A</v>
      </c>
      <c r="AS410" s="316">
        <f t="shared" si="621"/>
        <v>0</v>
      </c>
      <c r="AT410" s="106">
        <f>_xlfn.IFNA($M410/VLOOKUP($BT410,'Unit information'!$A$2:$K$29,2,FALSE)*R410,0)*(1+$E$9)</f>
        <v>0</v>
      </c>
      <c r="AU410" s="107">
        <f>_xlfn.IFNA($M410/VLOOKUP($BT410,'Unit information'!$A$2:$K$29,3,FALSE)*S410,0)*(1+$E$9)</f>
        <v>0</v>
      </c>
      <c r="AV410" s="107">
        <f>_xlfn.IFNA($M410/VLOOKUP($BT410,'Unit information'!$A$2:$K$29,4,FALSE)*T410,0)*(1+$E$9)</f>
        <v>0</v>
      </c>
      <c r="AW410" s="107">
        <f>_xlfn.IFNA($M410/VLOOKUP($BT410,'Unit information'!$A$2:$K$29,5,FALSE)*U410,0)*(1+$E$9)</f>
        <v>0</v>
      </c>
      <c r="AX410" s="107">
        <f>_xlfn.IFNA($M410/VLOOKUP($BU410,'Unit information'!$A$2:$K$29,6,FALSE)*V410,0)*(1+$E$9)</f>
        <v>0</v>
      </c>
      <c r="AY410" s="107">
        <f>_xlfn.IFNA($M410/VLOOKUP($BU410,'Unit information'!$A$2:$K$29,7,FALSE)*W410,0)*(1+$E$9)</f>
        <v>0</v>
      </c>
      <c r="AZ410" s="107">
        <f>_xlfn.IFNA($M410/VLOOKUP($BU410,'Unit information'!$A$2:$K$29,8,FALSE)*X410,0)*(1+$E$9)</f>
        <v>0</v>
      </c>
      <c r="BA410" s="107">
        <f>_xlfn.IFNA($M410/VLOOKUP($BU410,'Unit information'!$A$2:$K$29,9,FALSE)*Y410,0)*(1+$E$9)</f>
        <v>0</v>
      </c>
      <c r="BB410" s="107">
        <f>_xlfn.IFNA($M410/VLOOKUP($BV410,'Unit information'!$A$2:$K$29,10,FALSE)*Z410,0)*(1+$E$9)</f>
        <v>0</v>
      </c>
      <c r="BC410" s="108">
        <f>_xlfn.IFNA($M410/VLOOKUP($BV410,'Unit information'!$A$2:$K$29,11,FALSE)*AA410,0)*(1+$E$9)</f>
        <v>0</v>
      </c>
      <c r="BD410" s="106">
        <f t="shared" si="569"/>
        <v>0</v>
      </c>
      <c r="BE410" s="107">
        <f t="shared" si="570"/>
        <v>0</v>
      </c>
      <c r="BF410" s="108">
        <f t="shared" si="571"/>
        <v>0</v>
      </c>
      <c r="BG410" s="25" t="e">
        <f t="shared" si="572"/>
        <v>#N/A</v>
      </c>
      <c r="BH410" s="25" t="e">
        <f t="shared" si="573"/>
        <v>#N/A</v>
      </c>
      <c r="BI410" s="25" t="e">
        <f t="shared" si="574"/>
        <v>#N/A</v>
      </c>
      <c r="BJ410" s="27" t="e">
        <f t="shared" si="575"/>
        <v>#N/A</v>
      </c>
      <c r="BK410" s="18" t="e">
        <f t="shared" si="576"/>
        <v>#N/A</v>
      </c>
      <c r="BL410" s="18" t="e">
        <f t="shared" si="577"/>
        <v>#N/A</v>
      </c>
      <c r="BM410" s="28" t="e">
        <f t="shared" si="622"/>
        <v>#N/A</v>
      </c>
      <c r="BN410" s="33">
        <f>HLOOKUP("maximum population",Miscelaneous!$C$1:$C$33,CH410+3,FALSE)</f>
        <v>240</v>
      </c>
      <c r="BO410" s="14">
        <f t="shared" si="589"/>
        <v>32</v>
      </c>
      <c r="BP410" s="14">
        <f t="shared" si="590"/>
        <v>0</v>
      </c>
      <c r="BQ410" s="14">
        <f t="shared" si="591"/>
        <v>208</v>
      </c>
      <c r="BR410" s="34" t="e">
        <f>HLOOKUP(J410,Villagers!$B$1:$V$33,L410+3,FALSE)-HLOOKUP(J410,Villagers!$B$1:$V$33,L410+2,FALSE)</f>
        <v>#N/A</v>
      </c>
      <c r="BS410" s="49">
        <f t="shared" si="592"/>
        <v>1</v>
      </c>
      <c r="BT410" s="50">
        <f t="shared" si="593"/>
        <v>0</v>
      </c>
      <c r="BU410" s="50">
        <f t="shared" si="594"/>
        <v>0</v>
      </c>
      <c r="BV410" s="50">
        <f t="shared" si="595"/>
        <v>0</v>
      </c>
      <c r="BW410" s="50">
        <f t="shared" si="555"/>
        <v>0</v>
      </c>
      <c r="BX410" s="50">
        <f t="shared" si="556"/>
        <v>0</v>
      </c>
      <c r="BY410" s="50">
        <f t="shared" si="556"/>
        <v>0</v>
      </c>
      <c r="BZ410" s="50">
        <f t="shared" si="530"/>
        <v>0</v>
      </c>
      <c r="CA410" s="50">
        <f t="shared" si="531"/>
        <v>0</v>
      </c>
      <c r="CB410" s="50">
        <f t="shared" si="532"/>
        <v>1</v>
      </c>
      <c r="CC410" s="50">
        <f t="shared" si="533"/>
        <v>0</v>
      </c>
      <c r="CD410" s="50">
        <f t="shared" si="534"/>
        <v>0</v>
      </c>
      <c r="CE410" s="50">
        <f t="shared" si="535"/>
        <v>1</v>
      </c>
      <c r="CF410" s="50">
        <f t="shared" si="536"/>
        <v>1</v>
      </c>
      <c r="CG410" s="50">
        <f t="shared" si="537"/>
        <v>1</v>
      </c>
      <c r="CH410" s="50">
        <f t="shared" si="538"/>
        <v>1</v>
      </c>
      <c r="CI410" s="50">
        <f t="shared" si="539"/>
        <v>1</v>
      </c>
      <c r="CJ410" s="50">
        <f t="shared" si="540"/>
        <v>1</v>
      </c>
      <c r="CK410" s="50">
        <f t="shared" si="540"/>
        <v>0</v>
      </c>
      <c r="CL410" s="50">
        <f t="shared" si="540"/>
        <v>0</v>
      </c>
      <c r="CM410" s="51">
        <f t="shared" si="578"/>
        <v>0</v>
      </c>
      <c r="CN410" s="33">
        <f>ROUND(IF(BS410=0,0,HLOOKUP(BS$14,Villagers!$B$1:$V$33,BS410+3,FALSE)),)</f>
        <v>5</v>
      </c>
      <c r="CO410" s="14">
        <f>ROUND(IF(BT410=0,0,HLOOKUP(BT$14,Villagers!$B$1:$V$33,BT410+3,FALSE)),)</f>
        <v>0</v>
      </c>
      <c r="CP410" s="14">
        <f>ROUND(IF(BU410=0,0,HLOOKUP(BU$14,Villagers!$B$1:$V$33,BU410+3,FALSE)),)</f>
        <v>0</v>
      </c>
      <c r="CQ410" s="14">
        <f>ROUND(IF(BV410=0,0,HLOOKUP(BV$14,Villagers!$B$1:$V$33,BV410+3,FALSE)),)</f>
        <v>0</v>
      </c>
      <c r="CR410" s="14">
        <f>ROUND(IF(BW410=0,0,HLOOKUP(BW$14,Villagers!$B$1:$V$33,BW410+3,FALSE)),)</f>
        <v>0</v>
      </c>
      <c r="CS410" s="14">
        <f>ROUND(IF(BX410=0,0,HLOOKUP(BX$14,Villagers!$B$1:$V$33,BX410+3,FALSE)),)</f>
        <v>0</v>
      </c>
      <c r="CT410" s="14">
        <f>ROUND(IF(BY410=0,0,HLOOKUP(BY$14,Villagers!$B$1:$V$33,BY410+3,FALSE)),)</f>
        <v>0</v>
      </c>
      <c r="CU410" s="14">
        <f>ROUND(IF(BZ410=0,0,HLOOKUP(BZ$14,Villagers!$B$1:$V$33,BZ410+3,FALSE)),)</f>
        <v>0</v>
      </c>
      <c r="CV410" s="14">
        <f>ROUND(IF(CA410=0,0,HLOOKUP(CA$14,Villagers!$B$1:$V$33,CA410+3,FALSE)),)</f>
        <v>0</v>
      </c>
      <c r="CW410" s="14">
        <f>ROUND(IF(CB410=0,0,HLOOKUP(CB$14,Villagers!$B$1:$V$33,CB410+3,FALSE)),)</f>
        <v>0</v>
      </c>
      <c r="CX410" s="14">
        <f>ROUND(IF(CC410=0,0,HLOOKUP(CC$14,Villagers!$B$1:$V$33,CC410+3,FALSE)),)</f>
        <v>0</v>
      </c>
      <c r="CY410" s="14">
        <f>ROUND(IF(CD410=0,0,HLOOKUP(CD$14,Villagers!$B$1:$V$33,CD410+3,FALSE)),)</f>
        <v>0</v>
      </c>
      <c r="CZ410" s="14">
        <f>ROUND(IF(CE410=0,0,HLOOKUP(CE$14,Villagers!$B$1:$V$33,CE410+3,FALSE)),)</f>
        <v>5</v>
      </c>
      <c r="DA410" s="14">
        <f>ROUND(IF(CF410=0,0,HLOOKUP(CF$14,Villagers!$B$1:$V$33,CF410+3,FALSE)),)</f>
        <v>10</v>
      </c>
      <c r="DB410" s="14">
        <f>ROUND(IF(CG410=0,0,HLOOKUP(CG$14,Villagers!$B$1:$V$33,CG410+3,FALSE)),)</f>
        <v>10</v>
      </c>
      <c r="DC410" s="14">
        <f>ROUND(IF(CH410=0,0,HLOOKUP(CH$14,Villagers!$B$1:$V$33,CH410+3,FALSE)),)</f>
        <v>0</v>
      </c>
      <c r="DD410" s="14">
        <f>ROUND(IF(CI410=0,0,HLOOKUP(CI$14,Villagers!$B$1:$V$33,CI410+3,FALSE)),)</f>
        <v>0</v>
      </c>
      <c r="DE410" s="14">
        <f>ROUND(IF(CJ410=0,0,HLOOKUP(CJ$14,Villagers!$B$1:$V$33,CJ410+3,FALSE)),)</f>
        <v>2</v>
      </c>
      <c r="DF410" s="370">
        <f>ROUND(IF(CK410=0,0,HLOOKUP(CK$14,Villagers!$B$1:$V$33,CK410+3,FALSE)),)</f>
        <v>0</v>
      </c>
      <c r="DG410" s="370">
        <f>ROUND(IF(CL410=0,0,HLOOKUP(CL$14,Villagers!$B$1:$V$33,CL410+3,FALSE)),)</f>
        <v>0</v>
      </c>
      <c r="DH410" s="34">
        <f>ROUND(IF(CM410=0,0,HLOOKUP(CM$14,Villagers!$B$1:$V$33,CM410+3,FALSE)),)</f>
        <v>0</v>
      </c>
      <c r="DI410" s="109">
        <f t="shared" si="611"/>
        <v>0</v>
      </c>
      <c r="DJ410" s="50">
        <f t="shared" si="612"/>
        <v>0</v>
      </c>
      <c r="DK410" s="50">
        <f t="shared" si="613"/>
        <v>0</v>
      </c>
      <c r="DL410" s="50">
        <f t="shared" si="614"/>
        <v>0</v>
      </c>
      <c r="DM410" s="50">
        <f t="shared" si="615"/>
        <v>0</v>
      </c>
      <c r="DN410" s="50">
        <f t="shared" si="616"/>
        <v>0</v>
      </c>
      <c r="DO410" s="50">
        <f t="shared" si="617"/>
        <v>0</v>
      </c>
      <c r="DP410" s="50">
        <f t="shared" si="618"/>
        <v>0</v>
      </c>
      <c r="DQ410" s="50">
        <f t="shared" si="596"/>
        <v>0</v>
      </c>
      <c r="DR410" s="50">
        <f t="shared" si="597"/>
        <v>0</v>
      </c>
      <c r="DS410" s="96">
        <f>Miscelaneous!$D$4*Miscelaneous!$D$2^($CI410-1)</f>
        <v>1000</v>
      </c>
      <c r="DT410" s="333">
        <f t="shared" si="579"/>
        <v>1</v>
      </c>
      <c r="DU410" s="81">
        <v>1</v>
      </c>
      <c r="DV410" s="79">
        <f t="shared" si="598"/>
        <v>0</v>
      </c>
      <c r="DW410" s="79">
        <f t="shared" si="599"/>
        <v>0</v>
      </c>
      <c r="DX410" s="79">
        <f t="shared" si="600"/>
        <v>0</v>
      </c>
      <c r="DY410" s="79">
        <v>1</v>
      </c>
      <c r="DZ410" s="79">
        <f t="shared" si="601"/>
        <v>0</v>
      </c>
      <c r="EA410" s="79">
        <f t="shared" si="602"/>
        <v>0</v>
      </c>
      <c r="EB410" s="79">
        <f t="shared" si="603"/>
        <v>0</v>
      </c>
      <c r="EC410" s="79">
        <f t="shared" si="604"/>
        <v>0</v>
      </c>
      <c r="ED410" s="79">
        <v>1</v>
      </c>
      <c r="EE410" s="79">
        <v>1</v>
      </c>
      <c r="EF410" s="79">
        <f t="shared" si="605"/>
        <v>0</v>
      </c>
      <c r="EG410" s="79">
        <v>1</v>
      </c>
      <c r="EH410" s="79">
        <v>1</v>
      </c>
      <c r="EI410" s="79">
        <v>1</v>
      </c>
      <c r="EJ410" s="79">
        <v>1</v>
      </c>
      <c r="EK410" s="79">
        <v>1</v>
      </c>
      <c r="EL410" s="79">
        <v>1</v>
      </c>
      <c r="EM410" s="143">
        <f t="shared" si="606"/>
        <v>0</v>
      </c>
      <c r="EN410" s="143">
        <f t="shared" si="607"/>
        <v>0</v>
      </c>
      <c r="EO410" s="82">
        <f t="shared" si="608"/>
        <v>0</v>
      </c>
    </row>
    <row r="411" spans="1:145" x14ac:dyDescent="0.25">
      <c r="A411">
        <v>397</v>
      </c>
      <c r="B411" s="172" t="e">
        <f t="shared" si="580"/>
        <v>#N/A</v>
      </c>
      <c r="C411" s="121" t="e">
        <f t="shared" si="558"/>
        <v>#N/A</v>
      </c>
      <c r="D411" s="122" t="e">
        <f t="shared" si="559"/>
        <v>#N/A</v>
      </c>
      <c r="E411" s="122" t="e">
        <f t="shared" si="560"/>
        <v>#N/A</v>
      </c>
      <c r="F411" s="176" t="e">
        <f t="shared" si="561"/>
        <v>#N/A</v>
      </c>
      <c r="G411" s="121">
        <f t="shared" si="581"/>
        <v>208</v>
      </c>
      <c r="H411" s="176" t="e">
        <f t="shared" si="582"/>
        <v>#N/A</v>
      </c>
      <c r="I411" s="48">
        <v>1</v>
      </c>
      <c r="J411" s="39"/>
      <c r="K411" s="350">
        <v>1</v>
      </c>
      <c r="L411" s="34" t="e">
        <f t="shared" si="562"/>
        <v>#N/A</v>
      </c>
      <c r="M411" s="38" t="e">
        <f>(HLOOKUP(J411,'Construction Times'!$B$3:$W$34,L411+2,FALSE)*HLOOKUP("hq modifier",'Construction Times'!$W$3:$W$34,BS411+2,FALSE))*(1-$H$9)</f>
        <v>#N/A</v>
      </c>
      <c r="N411" s="443" t="e">
        <f t="shared" si="583"/>
        <v>#N/A</v>
      </c>
      <c r="O411" s="444"/>
      <c r="P411" s="447" t="e">
        <f t="shared" si="584"/>
        <v>#N/A</v>
      </c>
      <c r="Q411" s="448"/>
      <c r="R411" s="103">
        <f t="shared" si="609"/>
        <v>0</v>
      </c>
      <c r="S411" s="104">
        <f t="shared" si="609"/>
        <v>0</v>
      </c>
      <c r="T411" s="104">
        <f t="shared" si="610"/>
        <v>0</v>
      </c>
      <c r="U411" s="104">
        <f t="shared" si="610"/>
        <v>0</v>
      </c>
      <c r="V411" s="104">
        <f t="shared" si="610"/>
        <v>9.9999999999999995E-8</v>
      </c>
      <c r="W411" s="104">
        <f t="shared" si="610"/>
        <v>0</v>
      </c>
      <c r="X411" s="104">
        <f t="shared" si="557"/>
        <v>0</v>
      </c>
      <c r="Y411" s="104">
        <f t="shared" si="557"/>
        <v>9.9999999999999995E-8</v>
      </c>
      <c r="Z411" s="104">
        <f t="shared" si="557"/>
        <v>9.9999999999999995E-8</v>
      </c>
      <c r="AA411" s="105">
        <f t="shared" si="557"/>
        <v>9.9999999999999995E-8</v>
      </c>
      <c r="AB411" s="101" t="e">
        <f>$DT411*HLOOKUP($J411,'Construction Costs (timber)'!$B$1:$V$32,'Construction Planner'!$L411+2,FALSE)</f>
        <v>#N/A</v>
      </c>
      <c r="AC411" s="14" t="e">
        <f>$DT411*HLOOKUP($J411,'Construction Costs (clay)'!$B$1:$V$32,'Construction Planner'!$L411+2,FALSE)</f>
        <v>#N/A</v>
      </c>
      <c r="AD411" s="14" t="e">
        <f>$DT411*HLOOKUP($J411,'Construction Costs (iron)'!$B$1:$V$32,'Construction Planner'!$L411+2,FALSE)</f>
        <v>#N/A</v>
      </c>
      <c r="AE411" s="34" t="e">
        <f t="shared" si="619"/>
        <v>#N/A</v>
      </c>
      <c r="AF411" s="33" t="e">
        <f t="shared" si="563"/>
        <v>#N/A</v>
      </c>
      <c r="AG411" s="14" t="e">
        <f t="shared" si="564"/>
        <v>#N/A</v>
      </c>
      <c r="AH411" s="14" t="e">
        <f t="shared" si="565"/>
        <v>#N/A</v>
      </c>
      <c r="AI411" s="34" t="e">
        <f t="shared" si="620"/>
        <v>#N/A</v>
      </c>
      <c r="AJ411" s="49" t="e">
        <f t="shared" si="585"/>
        <v>#N/A</v>
      </c>
      <c r="AK411" s="49" t="e">
        <f t="shared" si="586"/>
        <v>#N/A</v>
      </c>
      <c r="AL411" s="49" t="e">
        <f t="shared" si="587"/>
        <v>#N/A</v>
      </c>
      <c r="AM411" s="25">
        <f t="shared" si="566"/>
        <v>30</v>
      </c>
      <c r="AN411" s="25">
        <f t="shared" si="567"/>
        <v>30</v>
      </c>
      <c r="AO411" s="25">
        <f t="shared" si="568"/>
        <v>30</v>
      </c>
      <c r="AP411" s="52" t="e">
        <f t="shared" si="588"/>
        <v>#N/A</v>
      </c>
      <c r="AQ411" s="53" t="e">
        <f t="shared" si="588"/>
        <v>#N/A</v>
      </c>
      <c r="AR411" s="54" t="e">
        <f t="shared" si="588"/>
        <v>#N/A</v>
      </c>
      <c r="AS411" s="316">
        <f t="shared" si="621"/>
        <v>0</v>
      </c>
      <c r="AT411" s="106">
        <f>_xlfn.IFNA($M411/VLOOKUP($BT411,'Unit information'!$A$2:$K$29,2,FALSE)*R411,0)*(1+$E$9)</f>
        <v>0</v>
      </c>
      <c r="AU411" s="107">
        <f>_xlfn.IFNA($M411/VLOOKUP($BT411,'Unit information'!$A$2:$K$29,3,FALSE)*S411,0)*(1+$E$9)</f>
        <v>0</v>
      </c>
      <c r="AV411" s="107">
        <f>_xlfn.IFNA($M411/VLOOKUP($BT411,'Unit information'!$A$2:$K$29,4,FALSE)*T411,0)*(1+$E$9)</f>
        <v>0</v>
      </c>
      <c r="AW411" s="107">
        <f>_xlfn.IFNA($M411/VLOOKUP($BT411,'Unit information'!$A$2:$K$29,5,FALSE)*U411,0)*(1+$E$9)</f>
        <v>0</v>
      </c>
      <c r="AX411" s="107">
        <f>_xlfn.IFNA($M411/VLOOKUP($BU411,'Unit information'!$A$2:$K$29,6,FALSE)*V411,0)*(1+$E$9)</f>
        <v>0</v>
      </c>
      <c r="AY411" s="107">
        <f>_xlfn.IFNA($M411/VLOOKUP($BU411,'Unit information'!$A$2:$K$29,7,FALSE)*W411,0)*(1+$E$9)</f>
        <v>0</v>
      </c>
      <c r="AZ411" s="107">
        <f>_xlfn.IFNA($M411/VLOOKUP($BU411,'Unit information'!$A$2:$K$29,8,FALSE)*X411,0)*(1+$E$9)</f>
        <v>0</v>
      </c>
      <c r="BA411" s="107">
        <f>_xlfn.IFNA($M411/VLOOKUP($BU411,'Unit information'!$A$2:$K$29,9,FALSE)*Y411,0)*(1+$E$9)</f>
        <v>0</v>
      </c>
      <c r="BB411" s="107">
        <f>_xlfn.IFNA($M411/VLOOKUP($BV411,'Unit information'!$A$2:$K$29,10,FALSE)*Z411,0)*(1+$E$9)</f>
        <v>0</v>
      </c>
      <c r="BC411" s="108">
        <f>_xlfn.IFNA($M411/VLOOKUP($BV411,'Unit information'!$A$2:$K$29,11,FALSE)*AA411,0)*(1+$E$9)</f>
        <v>0</v>
      </c>
      <c r="BD411" s="106">
        <f t="shared" si="569"/>
        <v>0</v>
      </c>
      <c r="BE411" s="107">
        <f t="shared" si="570"/>
        <v>0</v>
      </c>
      <c r="BF411" s="108">
        <f t="shared" si="571"/>
        <v>0</v>
      </c>
      <c r="BG411" s="25" t="e">
        <f t="shared" si="572"/>
        <v>#N/A</v>
      </c>
      <c r="BH411" s="25" t="e">
        <f t="shared" si="573"/>
        <v>#N/A</v>
      </c>
      <c r="BI411" s="25" t="e">
        <f t="shared" si="574"/>
        <v>#N/A</v>
      </c>
      <c r="BJ411" s="27" t="e">
        <f t="shared" si="575"/>
        <v>#N/A</v>
      </c>
      <c r="BK411" s="18" t="e">
        <f t="shared" si="576"/>
        <v>#N/A</v>
      </c>
      <c r="BL411" s="18" t="e">
        <f t="shared" si="577"/>
        <v>#N/A</v>
      </c>
      <c r="BM411" s="28" t="e">
        <f t="shared" si="622"/>
        <v>#N/A</v>
      </c>
      <c r="BN411" s="33">
        <f>HLOOKUP("maximum population",Miscelaneous!$C$1:$C$33,CH411+3,FALSE)</f>
        <v>240</v>
      </c>
      <c r="BO411" s="14">
        <f t="shared" si="589"/>
        <v>32</v>
      </c>
      <c r="BP411" s="14">
        <f t="shared" si="590"/>
        <v>0</v>
      </c>
      <c r="BQ411" s="14">
        <f t="shared" si="591"/>
        <v>208</v>
      </c>
      <c r="BR411" s="34" t="e">
        <f>HLOOKUP(J411,Villagers!$B$1:$V$33,L411+3,FALSE)-HLOOKUP(J411,Villagers!$B$1:$V$33,L411+2,FALSE)</f>
        <v>#N/A</v>
      </c>
      <c r="BS411" s="49">
        <f t="shared" si="592"/>
        <v>1</v>
      </c>
      <c r="BT411" s="50">
        <f t="shared" si="593"/>
        <v>0</v>
      </c>
      <c r="BU411" s="50">
        <f t="shared" si="594"/>
        <v>0</v>
      </c>
      <c r="BV411" s="50">
        <f t="shared" si="595"/>
        <v>0</v>
      </c>
      <c r="BW411" s="50">
        <f t="shared" si="555"/>
        <v>0</v>
      </c>
      <c r="BX411" s="50">
        <f t="shared" si="556"/>
        <v>0</v>
      </c>
      <c r="BY411" s="50">
        <f t="shared" si="556"/>
        <v>0</v>
      </c>
      <c r="BZ411" s="50">
        <f t="shared" si="530"/>
        <v>0</v>
      </c>
      <c r="CA411" s="50">
        <f t="shared" si="531"/>
        <v>0</v>
      </c>
      <c r="CB411" s="50">
        <f t="shared" si="532"/>
        <v>1</v>
      </c>
      <c r="CC411" s="50">
        <f t="shared" si="533"/>
        <v>0</v>
      </c>
      <c r="CD411" s="50">
        <f t="shared" si="534"/>
        <v>0</v>
      </c>
      <c r="CE411" s="50">
        <f t="shared" si="535"/>
        <v>1</v>
      </c>
      <c r="CF411" s="50">
        <f t="shared" si="536"/>
        <v>1</v>
      </c>
      <c r="CG411" s="50">
        <f t="shared" si="537"/>
        <v>1</v>
      </c>
      <c r="CH411" s="50">
        <f t="shared" si="538"/>
        <v>1</v>
      </c>
      <c r="CI411" s="50">
        <f t="shared" si="539"/>
        <v>1</v>
      </c>
      <c r="CJ411" s="50">
        <f t="shared" si="540"/>
        <v>1</v>
      </c>
      <c r="CK411" s="50">
        <f t="shared" si="540"/>
        <v>0</v>
      </c>
      <c r="CL411" s="50">
        <f t="shared" si="540"/>
        <v>0</v>
      </c>
      <c r="CM411" s="51">
        <f t="shared" si="578"/>
        <v>0</v>
      </c>
      <c r="CN411" s="33">
        <f>ROUND(IF(BS411=0,0,HLOOKUP(BS$14,Villagers!$B$1:$V$33,BS411+3,FALSE)),)</f>
        <v>5</v>
      </c>
      <c r="CO411" s="14">
        <f>ROUND(IF(BT411=0,0,HLOOKUP(BT$14,Villagers!$B$1:$V$33,BT411+3,FALSE)),)</f>
        <v>0</v>
      </c>
      <c r="CP411" s="14">
        <f>ROUND(IF(BU411=0,0,HLOOKUP(BU$14,Villagers!$B$1:$V$33,BU411+3,FALSE)),)</f>
        <v>0</v>
      </c>
      <c r="CQ411" s="14">
        <f>ROUND(IF(BV411=0,0,HLOOKUP(BV$14,Villagers!$B$1:$V$33,BV411+3,FALSE)),)</f>
        <v>0</v>
      </c>
      <c r="CR411" s="14">
        <f>ROUND(IF(BW411=0,0,HLOOKUP(BW$14,Villagers!$B$1:$V$33,BW411+3,FALSE)),)</f>
        <v>0</v>
      </c>
      <c r="CS411" s="14">
        <f>ROUND(IF(BX411=0,0,HLOOKUP(BX$14,Villagers!$B$1:$V$33,BX411+3,FALSE)),)</f>
        <v>0</v>
      </c>
      <c r="CT411" s="14">
        <f>ROUND(IF(BY411=0,0,HLOOKUP(BY$14,Villagers!$B$1:$V$33,BY411+3,FALSE)),)</f>
        <v>0</v>
      </c>
      <c r="CU411" s="14">
        <f>ROUND(IF(BZ411=0,0,HLOOKUP(BZ$14,Villagers!$B$1:$V$33,BZ411+3,FALSE)),)</f>
        <v>0</v>
      </c>
      <c r="CV411" s="14">
        <f>ROUND(IF(CA411=0,0,HLOOKUP(CA$14,Villagers!$B$1:$V$33,CA411+3,FALSE)),)</f>
        <v>0</v>
      </c>
      <c r="CW411" s="14">
        <f>ROUND(IF(CB411=0,0,HLOOKUP(CB$14,Villagers!$B$1:$V$33,CB411+3,FALSE)),)</f>
        <v>0</v>
      </c>
      <c r="CX411" s="14">
        <f>ROUND(IF(CC411=0,0,HLOOKUP(CC$14,Villagers!$B$1:$V$33,CC411+3,FALSE)),)</f>
        <v>0</v>
      </c>
      <c r="CY411" s="14">
        <f>ROUND(IF(CD411=0,0,HLOOKUP(CD$14,Villagers!$B$1:$V$33,CD411+3,FALSE)),)</f>
        <v>0</v>
      </c>
      <c r="CZ411" s="14">
        <f>ROUND(IF(CE411=0,0,HLOOKUP(CE$14,Villagers!$B$1:$V$33,CE411+3,FALSE)),)</f>
        <v>5</v>
      </c>
      <c r="DA411" s="14">
        <f>ROUND(IF(CF411=0,0,HLOOKUP(CF$14,Villagers!$B$1:$V$33,CF411+3,FALSE)),)</f>
        <v>10</v>
      </c>
      <c r="DB411" s="14">
        <f>ROUND(IF(CG411=0,0,HLOOKUP(CG$14,Villagers!$B$1:$V$33,CG411+3,FALSE)),)</f>
        <v>10</v>
      </c>
      <c r="DC411" s="14">
        <f>ROUND(IF(CH411=0,0,HLOOKUP(CH$14,Villagers!$B$1:$V$33,CH411+3,FALSE)),)</f>
        <v>0</v>
      </c>
      <c r="DD411" s="14">
        <f>ROUND(IF(CI411=0,0,HLOOKUP(CI$14,Villagers!$B$1:$V$33,CI411+3,FALSE)),)</f>
        <v>0</v>
      </c>
      <c r="DE411" s="14">
        <f>ROUND(IF(CJ411=0,0,HLOOKUP(CJ$14,Villagers!$B$1:$V$33,CJ411+3,FALSE)),)</f>
        <v>2</v>
      </c>
      <c r="DF411" s="370">
        <f>ROUND(IF(CK411=0,0,HLOOKUP(CK$14,Villagers!$B$1:$V$33,CK411+3,FALSE)),)</f>
        <v>0</v>
      </c>
      <c r="DG411" s="370">
        <f>ROUND(IF(CL411=0,0,HLOOKUP(CL$14,Villagers!$B$1:$V$33,CL411+3,FALSE)),)</f>
        <v>0</v>
      </c>
      <c r="DH411" s="34">
        <f>ROUND(IF(CM411=0,0,HLOOKUP(CM$14,Villagers!$B$1:$V$33,CM411+3,FALSE)),)</f>
        <v>0</v>
      </c>
      <c r="DI411" s="109">
        <f t="shared" si="611"/>
        <v>0</v>
      </c>
      <c r="DJ411" s="50">
        <f t="shared" si="612"/>
        <v>0</v>
      </c>
      <c r="DK411" s="50">
        <f t="shared" si="613"/>
        <v>0</v>
      </c>
      <c r="DL411" s="50">
        <f t="shared" si="614"/>
        <v>0</v>
      </c>
      <c r="DM411" s="50">
        <f t="shared" si="615"/>
        <v>0</v>
      </c>
      <c r="DN411" s="50">
        <f t="shared" si="616"/>
        <v>0</v>
      </c>
      <c r="DO411" s="50">
        <f t="shared" si="617"/>
        <v>0</v>
      </c>
      <c r="DP411" s="50">
        <f t="shared" si="618"/>
        <v>0</v>
      </c>
      <c r="DQ411" s="50">
        <f t="shared" si="596"/>
        <v>0</v>
      </c>
      <c r="DR411" s="50">
        <f t="shared" si="597"/>
        <v>0</v>
      </c>
      <c r="DS411" s="96">
        <f>Miscelaneous!$D$4*Miscelaneous!$D$2^($CI411-1)</f>
        <v>1000</v>
      </c>
      <c r="DT411" s="333">
        <f t="shared" si="579"/>
        <v>1</v>
      </c>
      <c r="DU411" s="81">
        <v>1</v>
      </c>
      <c r="DV411" s="79">
        <f t="shared" si="598"/>
        <v>0</v>
      </c>
      <c r="DW411" s="79">
        <f t="shared" si="599"/>
        <v>0</v>
      </c>
      <c r="DX411" s="79">
        <f t="shared" si="600"/>
        <v>0</v>
      </c>
      <c r="DY411" s="79">
        <v>1</v>
      </c>
      <c r="DZ411" s="79">
        <f t="shared" si="601"/>
        <v>0</v>
      </c>
      <c r="EA411" s="79">
        <f t="shared" si="602"/>
        <v>0</v>
      </c>
      <c r="EB411" s="79">
        <f t="shared" si="603"/>
        <v>0</v>
      </c>
      <c r="EC411" s="79">
        <f t="shared" si="604"/>
        <v>0</v>
      </c>
      <c r="ED411" s="79">
        <v>1</v>
      </c>
      <c r="EE411" s="79">
        <v>1</v>
      </c>
      <c r="EF411" s="79">
        <f t="shared" si="605"/>
        <v>0</v>
      </c>
      <c r="EG411" s="79">
        <v>1</v>
      </c>
      <c r="EH411" s="79">
        <v>1</v>
      </c>
      <c r="EI411" s="79">
        <v>1</v>
      </c>
      <c r="EJ411" s="79">
        <v>1</v>
      </c>
      <c r="EK411" s="79">
        <v>1</v>
      </c>
      <c r="EL411" s="79">
        <v>1</v>
      </c>
      <c r="EM411" s="143">
        <f t="shared" si="606"/>
        <v>0</v>
      </c>
      <c r="EN411" s="143">
        <f t="shared" si="607"/>
        <v>0</v>
      </c>
      <c r="EO411" s="82">
        <f t="shared" si="608"/>
        <v>0</v>
      </c>
    </row>
    <row r="412" spans="1:145" x14ac:dyDescent="0.25">
      <c r="A412">
        <v>398</v>
      </c>
      <c r="B412" s="172" t="e">
        <f t="shared" si="580"/>
        <v>#N/A</v>
      </c>
      <c r="C412" s="121" t="e">
        <f t="shared" si="558"/>
        <v>#N/A</v>
      </c>
      <c r="D412" s="122" t="e">
        <f t="shared" si="559"/>
        <v>#N/A</v>
      </c>
      <c r="E412" s="122" t="e">
        <f t="shared" si="560"/>
        <v>#N/A</v>
      </c>
      <c r="F412" s="176" t="e">
        <f t="shared" si="561"/>
        <v>#N/A</v>
      </c>
      <c r="G412" s="121">
        <f t="shared" si="581"/>
        <v>208</v>
      </c>
      <c r="H412" s="176" t="e">
        <f t="shared" si="582"/>
        <v>#N/A</v>
      </c>
      <c r="I412" s="48">
        <v>1</v>
      </c>
      <c r="J412" s="39"/>
      <c r="K412" s="350">
        <v>1</v>
      </c>
      <c r="L412" s="34" t="e">
        <f t="shared" si="562"/>
        <v>#N/A</v>
      </c>
      <c r="M412" s="38" t="e">
        <f>(HLOOKUP(J412,'Construction Times'!$B$3:$W$34,L412+2,FALSE)*HLOOKUP("hq modifier",'Construction Times'!$W$3:$W$34,BS412+2,FALSE))*(1-$H$9)</f>
        <v>#N/A</v>
      </c>
      <c r="N412" s="443" t="e">
        <f t="shared" si="583"/>
        <v>#N/A</v>
      </c>
      <c r="O412" s="444"/>
      <c r="P412" s="447" t="e">
        <f t="shared" si="584"/>
        <v>#N/A</v>
      </c>
      <c r="Q412" s="448"/>
      <c r="R412" s="103">
        <f t="shared" si="609"/>
        <v>0</v>
      </c>
      <c r="S412" s="104">
        <f t="shared" si="609"/>
        <v>0</v>
      </c>
      <c r="T412" s="104">
        <f t="shared" si="610"/>
        <v>0</v>
      </c>
      <c r="U412" s="104">
        <f t="shared" si="610"/>
        <v>0</v>
      </c>
      <c r="V412" s="104">
        <f t="shared" si="610"/>
        <v>9.9999999999999995E-8</v>
      </c>
      <c r="W412" s="104">
        <f t="shared" si="610"/>
        <v>0</v>
      </c>
      <c r="X412" s="104">
        <f t="shared" si="557"/>
        <v>0</v>
      </c>
      <c r="Y412" s="104">
        <f t="shared" si="557"/>
        <v>9.9999999999999995E-8</v>
      </c>
      <c r="Z412" s="104">
        <f t="shared" si="557"/>
        <v>9.9999999999999995E-8</v>
      </c>
      <c r="AA412" s="105">
        <f t="shared" si="557"/>
        <v>9.9999999999999995E-8</v>
      </c>
      <c r="AB412" s="101" t="e">
        <f>$DT412*HLOOKUP($J412,'Construction Costs (timber)'!$B$1:$V$32,'Construction Planner'!$L412+2,FALSE)</f>
        <v>#N/A</v>
      </c>
      <c r="AC412" s="14" t="e">
        <f>$DT412*HLOOKUP($J412,'Construction Costs (clay)'!$B$1:$V$32,'Construction Planner'!$L412+2,FALSE)</f>
        <v>#N/A</v>
      </c>
      <c r="AD412" s="14" t="e">
        <f>$DT412*HLOOKUP($J412,'Construction Costs (iron)'!$B$1:$V$32,'Construction Planner'!$L412+2,FALSE)</f>
        <v>#N/A</v>
      </c>
      <c r="AE412" s="34" t="e">
        <f t="shared" si="619"/>
        <v>#N/A</v>
      </c>
      <c r="AF412" s="33" t="e">
        <f t="shared" si="563"/>
        <v>#N/A</v>
      </c>
      <c r="AG412" s="14" t="e">
        <f t="shared" si="564"/>
        <v>#N/A</v>
      </c>
      <c r="AH412" s="14" t="e">
        <f t="shared" si="565"/>
        <v>#N/A</v>
      </c>
      <c r="AI412" s="34" t="e">
        <f t="shared" si="620"/>
        <v>#N/A</v>
      </c>
      <c r="AJ412" s="49" t="e">
        <f t="shared" si="585"/>
        <v>#N/A</v>
      </c>
      <c r="AK412" s="49" t="e">
        <f t="shared" si="586"/>
        <v>#N/A</v>
      </c>
      <c r="AL412" s="49" t="e">
        <f t="shared" si="587"/>
        <v>#N/A</v>
      </c>
      <c r="AM412" s="25">
        <f t="shared" si="566"/>
        <v>30</v>
      </c>
      <c r="AN412" s="25">
        <f t="shared" si="567"/>
        <v>30</v>
      </c>
      <c r="AO412" s="25">
        <f t="shared" si="568"/>
        <v>30</v>
      </c>
      <c r="AP412" s="52" t="e">
        <f t="shared" si="588"/>
        <v>#N/A</v>
      </c>
      <c r="AQ412" s="53" t="e">
        <f t="shared" si="588"/>
        <v>#N/A</v>
      </c>
      <c r="AR412" s="54" t="e">
        <f t="shared" si="588"/>
        <v>#N/A</v>
      </c>
      <c r="AS412" s="316">
        <f t="shared" si="621"/>
        <v>0</v>
      </c>
      <c r="AT412" s="106">
        <f>_xlfn.IFNA($M412/VLOOKUP($BT412,'Unit information'!$A$2:$K$29,2,FALSE)*R412,0)*(1+$E$9)</f>
        <v>0</v>
      </c>
      <c r="AU412" s="107">
        <f>_xlfn.IFNA($M412/VLOOKUP($BT412,'Unit information'!$A$2:$K$29,3,FALSE)*S412,0)*(1+$E$9)</f>
        <v>0</v>
      </c>
      <c r="AV412" s="107">
        <f>_xlfn.IFNA($M412/VLOOKUP($BT412,'Unit information'!$A$2:$K$29,4,FALSE)*T412,0)*(1+$E$9)</f>
        <v>0</v>
      </c>
      <c r="AW412" s="107">
        <f>_xlfn.IFNA($M412/VLOOKUP($BT412,'Unit information'!$A$2:$K$29,5,FALSE)*U412,0)*(1+$E$9)</f>
        <v>0</v>
      </c>
      <c r="AX412" s="107">
        <f>_xlfn.IFNA($M412/VLOOKUP($BU412,'Unit information'!$A$2:$K$29,6,FALSE)*V412,0)*(1+$E$9)</f>
        <v>0</v>
      </c>
      <c r="AY412" s="107">
        <f>_xlfn.IFNA($M412/VLOOKUP($BU412,'Unit information'!$A$2:$K$29,7,FALSE)*W412,0)*(1+$E$9)</f>
        <v>0</v>
      </c>
      <c r="AZ412" s="107">
        <f>_xlfn.IFNA($M412/VLOOKUP($BU412,'Unit information'!$A$2:$K$29,8,FALSE)*X412,0)*(1+$E$9)</f>
        <v>0</v>
      </c>
      <c r="BA412" s="107">
        <f>_xlfn.IFNA($M412/VLOOKUP($BU412,'Unit information'!$A$2:$K$29,9,FALSE)*Y412,0)*(1+$E$9)</f>
        <v>0</v>
      </c>
      <c r="BB412" s="107">
        <f>_xlfn.IFNA($M412/VLOOKUP($BV412,'Unit information'!$A$2:$K$29,10,FALSE)*Z412,0)*(1+$E$9)</f>
        <v>0</v>
      </c>
      <c r="BC412" s="108">
        <f>_xlfn.IFNA($M412/VLOOKUP($BV412,'Unit information'!$A$2:$K$29,11,FALSE)*AA412,0)*(1+$E$9)</f>
        <v>0</v>
      </c>
      <c r="BD412" s="106">
        <f t="shared" si="569"/>
        <v>0</v>
      </c>
      <c r="BE412" s="107">
        <f t="shared" si="570"/>
        <v>0</v>
      </c>
      <c r="BF412" s="108">
        <f t="shared" si="571"/>
        <v>0</v>
      </c>
      <c r="BG412" s="25" t="e">
        <f t="shared" si="572"/>
        <v>#N/A</v>
      </c>
      <c r="BH412" s="25" t="e">
        <f t="shared" si="573"/>
        <v>#N/A</v>
      </c>
      <c r="BI412" s="25" t="e">
        <f t="shared" si="574"/>
        <v>#N/A</v>
      </c>
      <c r="BJ412" s="27" t="e">
        <f t="shared" si="575"/>
        <v>#N/A</v>
      </c>
      <c r="BK412" s="18" t="e">
        <f t="shared" si="576"/>
        <v>#N/A</v>
      </c>
      <c r="BL412" s="18" t="e">
        <f t="shared" si="577"/>
        <v>#N/A</v>
      </c>
      <c r="BM412" s="28" t="e">
        <f t="shared" si="622"/>
        <v>#N/A</v>
      </c>
      <c r="BN412" s="33">
        <f>HLOOKUP("maximum population",Miscelaneous!$C$1:$C$33,CH412+3,FALSE)</f>
        <v>240</v>
      </c>
      <c r="BO412" s="14">
        <f t="shared" si="589"/>
        <v>32</v>
      </c>
      <c r="BP412" s="14">
        <f t="shared" si="590"/>
        <v>0</v>
      </c>
      <c r="BQ412" s="14">
        <f t="shared" si="591"/>
        <v>208</v>
      </c>
      <c r="BR412" s="34" t="e">
        <f>HLOOKUP(J412,Villagers!$B$1:$V$33,L412+3,FALSE)-HLOOKUP(J412,Villagers!$B$1:$V$33,L412+2,FALSE)</f>
        <v>#N/A</v>
      </c>
      <c r="BS412" s="49">
        <f t="shared" si="592"/>
        <v>1</v>
      </c>
      <c r="BT412" s="50">
        <f t="shared" si="593"/>
        <v>0</v>
      </c>
      <c r="BU412" s="50">
        <f t="shared" si="594"/>
        <v>0</v>
      </c>
      <c r="BV412" s="50">
        <f t="shared" si="595"/>
        <v>0</v>
      </c>
      <c r="BW412" s="50">
        <f t="shared" si="555"/>
        <v>0</v>
      </c>
      <c r="BX412" s="50">
        <f t="shared" si="556"/>
        <v>0</v>
      </c>
      <c r="BY412" s="50">
        <f t="shared" si="556"/>
        <v>0</v>
      </c>
      <c r="BZ412" s="50">
        <f t="shared" si="530"/>
        <v>0</v>
      </c>
      <c r="CA412" s="50">
        <f t="shared" si="531"/>
        <v>0</v>
      </c>
      <c r="CB412" s="50">
        <f t="shared" si="532"/>
        <v>1</v>
      </c>
      <c r="CC412" s="50">
        <f t="shared" si="533"/>
        <v>0</v>
      </c>
      <c r="CD412" s="50">
        <f t="shared" si="534"/>
        <v>0</v>
      </c>
      <c r="CE412" s="50">
        <f t="shared" si="535"/>
        <v>1</v>
      </c>
      <c r="CF412" s="50">
        <f t="shared" si="536"/>
        <v>1</v>
      </c>
      <c r="CG412" s="50">
        <f t="shared" si="537"/>
        <v>1</v>
      </c>
      <c r="CH412" s="50">
        <f t="shared" si="538"/>
        <v>1</v>
      </c>
      <c r="CI412" s="50">
        <f t="shared" si="539"/>
        <v>1</v>
      </c>
      <c r="CJ412" s="50">
        <f t="shared" si="540"/>
        <v>1</v>
      </c>
      <c r="CK412" s="50">
        <f t="shared" si="540"/>
        <v>0</v>
      </c>
      <c r="CL412" s="50">
        <f t="shared" si="540"/>
        <v>0</v>
      </c>
      <c r="CM412" s="51">
        <f t="shared" si="578"/>
        <v>0</v>
      </c>
      <c r="CN412" s="33">
        <f>ROUND(IF(BS412=0,0,HLOOKUP(BS$14,Villagers!$B$1:$V$33,BS412+3,FALSE)),)</f>
        <v>5</v>
      </c>
      <c r="CO412" s="14">
        <f>ROUND(IF(BT412=0,0,HLOOKUP(BT$14,Villagers!$B$1:$V$33,BT412+3,FALSE)),)</f>
        <v>0</v>
      </c>
      <c r="CP412" s="14">
        <f>ROUND(IF(BU412=0,0,HLOOKUP(BU$14,Villagers!$B$1:$V$33,BU412+3,FALSE)),)</f>
        <v>0</v>
      </c>
      <c r="CQ412" s="14">
        <f>ROUND(IF(BV412=0,0,HLOOKUP(BV$14,Villagers!$B$1:$V$33,BV412+3,FALSE)),)</f>
        <v>0</v>
      </c>
      <c r="CR412" s="14">
        <f>ROUND(IF(BW412=0,0,HLOOKUP(BW$14,Villagers!$B$1:$V$33,BW412+3,FALSE)),)</f>
        <v>0</v>
      </c>
      <c r="CS412" s="14">
        <f>ROUND(IF(BX412=0,0,HLOOKUP(BX$14,Villagers!$B$1:$V$33,BX412+3,FALSE)),)</f>
        <v>0</v>
      </c>
      <c r="CT412" s="14">
        <f>ROUND(IF(BY412=0,0,HLOOKUP(BY$14,Villagers!$B$1:$V$33,BY412+3,FALSE)),)</f>
        <v>0</v>
      </c>
      <c r="CU412" s="14">
        <f>ROUND(IF(BZ412=0,0,HLOOKUP(BZ$14,Villagers!$B$1:$V$33,BZ412+3,FALSE)),)</f>
        <v>0</v>
      </c>
      <c r="CV412" s="14">
        <f>ROUND(IF(CA412=0,0,HLOOKUP(CA$14,Villagers!$B$1:$V$33,CA412+3,FALSE)),)</f>
        <v>0</v>
      </c>
      <c r="CW412" s="14">
        <f>ROUND(IF(CB412=0,0,HLOOKUP(CB$14,Villagers!$B$1:$V$33,CB412+3,FALSE)),)</f>
        <v>0</v>
      </c>
      <c r="CX412" s="14">
        <f>ROUND(IF(CC412=0,0,HLOOKUP(CC$14,Villagers!$B$1:$V$33,CC412+3,FALSE)),)</f>
        <v>0</v>
      </c>
      <c r="CY412" s="14">
        <f>ROUND(IF(CD412=0,0,HLOOKUP(CD$14,Villagers!$B$1:$V$33,CD412+3,FALSE)),)</f>
        <v>0</v>
      </c>
      <c r="CZ412" s="14">
        <f>ROUND(IF(CE412=0,0,HLOOKUP(CE$14,Villagers!$B$1:$V$33,CE412+3,FALSE)),)</f>
        <v>5</v>
      </c>
      <c r="DA412" s="14">
        <f>ROUND(IF(CF412=0,0,HLOOKUP(CF$14,Villagers!$B$1:$V$33,CF412+3,FALSE)),)</f>
        <v>10</v>
      </c>
      <c r="DB412" s="14">
        <f>ROUND(IF(CG412=0,0,HLOOKUP(CG$14,Villagers!$B$1:$V$33,CG412+3,FALSE)),)</f>
        <v>10</v>
      </c>
      <c r="DC412" s="14">
        <f>ROUND(IF(CH412=0,0,HLOOKUP(CH$14,Villagers!$B$1:$V$33,CH412+3,FALSE)),)</f>
        <v>0</v>
      </c>
      <c r="DD412" s="14">
        <f>ROUND(IF(CI412=0,0,HLOOKUP(CI$14,Villagers!$B$1:$V$33,CI412+3,FALSE)),)</f>
        <v>0</v>
      </c>
      <c r="DE412" s="14">
        <f>ROUND(IF(CJ412=0,0,HLOOKUP(CJ$14,Villagers!$B$1:$V$33,CJ412+3,FALSE)),)</f>
        <v>2</v>
      </c>
      <c r="DF412" s="370">
        <f>ROUND(IF(CK412=0,0,HLOOKUP(CK$14,Villagers!$B$1:$V$33,CK412+3,FALSE)),)</f>
        <v>0</v>
      </c>
      <c r="DG412" s="370">
        <f>ROUND(IF(CL412=0,0,HLOOKUP(CL$14,Villagers!$B$1:$V$33,CL412+3,FALSE)),)</f>
        <v>0</v>
      </c>
      <c r="DH412" s="34">
        <f>ROUND(IF(CM412=0,0,HLOOKUP(CM$14,Villagers!$B$1:$V$33,CM412+3,FALSE)),)</f>
        <v>0</v>
      </c>
      <c r="DI412" s="109">
        <f t="shared" si="611"/>
        <v>0</v>
      </c>
      <c r="DJ412" s="50">
        <f t="shared" si="612"/>
        <v>0</v>
      </c>
      <c r="DK412" s="50">
        <f t="shared" si="613"/>
        <v>0</v>
      </c>
      <c r="DL412" s="50">
        <f t="shared" si="614"/>
        <v>0</v>
      </c>
      <c r="DM412" s="50">
        <f t="shared" si="615"/>
        <v>0</v>
      </c>
      <c r="DN412" s="50">
        <f t="shared" si="616"/>
        <v>0</v>
      </c>
      <c r="DO412" s="50">
        <f t="shared" si="617"/>
        <v>0</v>
      </c>
      <c r="DP412" s="50">
        <f t="shared" si="618"/>
        <v>0</v>
      </c>
      <c r="DQ412" s="50">
        <f t="shared" si="596"/>
        <v>0</v>
      </c>
      <c r="DR412" s="50">
        <f t="shared" si="597"/>
        <v>0</v>
      </c>
      <c r="DS412" s="96">
        <f>Miscelaneous!$D$4*Miscelaneous!$D$2^($CI412-1)</f>
        <v>1000</v>
      </c>
      <c r="DT412" s="333">
        <f t="shared" si="579"/>
        <v>1</v>
      </c>
      <c r="DU412" s="81">
        <v>1</v>
      </c>
      <c r="DV412" s="79">
        <f t="shared" si="598"/>
        <v>0</v>
      </c>
      <c r="DW412" s="79">
        <f t="shared" si="599"/>
        <v>0</v>
      </c>
      <c r="DX412" s="79">
        <f t="shared" si="600"/>
        <v>0</v>
      </c>
      <c r="DY412" s="79">
        <v>1</v>
      </c>
      <c r="DZ412" s="79">
        <f t="shared" si="601"/>
        <v>0</v>
      </c>
      <c r="EA412" s="79">
        <f t="shared" si="602"/>
        <v>0</v>
      </c>
      <c r="EB412" s="79">
        <f t="shared" si="603"/>
        <v>0</v>
      </c>
      <c r="EC412" s="79">
        <f t="shared" si="604"/>
        <v>0</v>
      </c>
      <c r="ED412" s="79">
        <v>1</v>
      </c>
      <c r="EE412" s="79">
        <v>1</v>
      </c>
      <c r="EF412" s="79">
        <f t="shared" si="605"/>
        <v>0</v>
      </c>
      <c r="EG412" s="79">
        <v>1</v>
      </c>
      <c r="EH412" s="79">
        <v>1</v>
      </c>
      <c r="EI412" s="79">
        <v>1</v>
      </c>
      <c r="EJ412" s="79">
        <v>1</v>
      </c>
      <c r="EK412" s="79">
        <v>1</v>
      </c>
      <c r="EL412" s="79">
        <v>1</v>
      </c>
      <c r="EM412" s="143">
        <f t="shared" si="606"/>
        <v>0</v>
      </c>
      <c r="EN412" s="143">
        <f t="shared" si="607"/>
        <v>0</v>
      </c>
      <c r="EO412" s="82">
        <f t="shared" si="608"/>
        <v>0</v>
      </c>
    </row>
    <row r="413" spans="1:145" x14ac:dyDescent="0.25">
      <c r="A413">
        <v>399</v>
      </c>
      <c r="B413" s="172" t="e">
        <f t="shared" si="580"/>
        <v>#N/A</v>
      </c>
      <c r="C413" s="121" t="e">
        <f t="shared" si="558"/>
        <v>#N/A</v>
      </c>
      <c r="D413" s="122" t="e">
        <f t="shared" si="559"/>
        <v>#N/A</v>
      </c>
      <c r="E413" s="122" t="e">
        <f t="shared" si="560"/>
        <v>#N/A</v>
      </c>
      <c r="F413" s="176" t="e">
        <f t="shared" si="561"/>
        <v>#N/A</v>
      </c>
      <c r="G413" s="121">
        <f t="shared" si="581"/>
        <v>208</v>
      </c>
      <c r="H413" s="176" t="e">
        <f t="shared" si="582"/>
        <v>#N/A</v>
      </c>
      <c r="I413" s="48">
        <v>1</v>
      </c>
      <c r="J413" s="39"/>
      <c r="K413" s="350">
        <v>1</v>
      </c>
      <c r="L413" s="34" t="e">
        <f t="shared" si="562"/>
        <v>#N/A</v>
      </c>
      <c r="M413" s="38" t="e">
        <f>(HLOOKUP(J413,'Construction Times'!$B$3:$W$34,L413+2,FALSE)*HLOOKUP("hq modifier",'Construction Times'!$W$3:$W$34,BS413+2,FALSE))*(1-$H$9)</f>
        <v>#N/A</v>
      </c>
      <c r="N413" s="443" t="e">
        <f t="shared" si="583"/>
        <v>#N/A</v>
      </c>
      <c r="O413" s="444"/>
      <c r="P413" s="447" t="e">
        <f t="shared" si="584"/>
        <v>#N/A</v>
      </c>
      <c r="Q413" s="448"/>
      <c r="R413" s="103">
        <f t="shared" si="609"/>
        <v>0</v>
      </c>
      <c r="S413" s="104">
        <f t="shared" si="609"/>
        <v>0</v>
      </c>
      <c r="T413" s="104">
        <f t="shared" si="610"/>
        <v>0</v>
      </c>
      <c r="U413" s="104">
        <f t="shared" si="610"/>
        <v>0</v>
      </c>
      <c r="V413" s="104">
        <f t="shared" si="610"/>
        <v>9.9999999999999995E-8</v>
      </c>
      <c r="W413" s="104">
        <f t="shared" si="610"/>
        <v>0</v>
      </c>
      <c r="X413" s="104">
        <f t="shared" si="557"/>
        <v>0</v>
      </c>
      <c r="Y413" s="104">
        <f t="shared" si="557"/>
        <v>9.9999999999999995E-8</v>
      </c>
      <c r="Z413" s="104">
        <f t="shared" si="557"/>
        <v>9.9999999999999995E-8</v>
      </c>
      <c r="AA413" s="105">
        <f t="shared" si="557"/>
        <v>9.9999999999999995E-8</v>
      </c>
      <c r="AB413" s="101" t="e">
        <f>$DT413*HLOOKUP($J413,'Construction Costs (timber)'!$B$1:$V$32,'Construction Planner'!$L413+2,FALSE)</f>
        <v>#N/A</v>
      </c>
      <c r="AC413" s="14" t="e">
        <f>$DT413*HLOOKUP($J413,'Construction Costs (clay)'!$B$1:$V$32,'Construction Planner'!$L413+2,FALSE)</f>
        <v>#N/A</v>
      </c>
      <c r="AD413" s="14" t="e">
        <f>$DT413*HLOOKUP($J413,'Construction Costs (iron)'!$B$1:$V$32,'Construction Planner'!$L413+2,FALSE)</f>
        <v>#N/A</v>
      </c>
      <c r="AE413" s="34" t="e">
        <f t="shared" si="619"/>
        <v>#N/A</v>
      </c>
      <c r="AF413" s="33" t="e">
        <f t="shared" si="563"/>
        <v>#N/A</v>
      </c>
      <c r="AG413" s="14" t="e">
        <f t="shared" si="564"/>
        <v>#N/A</v>
      </c>
      <c r="AH413" s="14" t="e">
        <f t="shared" si="565"/>
        <v>#N/A</v>
      </c>
      <c r="AI413" s="34" t="e">
        <f t="shared" si="620"/>
        <v>#N/A</v>
      </c>
      <c r="AJ413" s="49" t="e">
        <f t="shared" si="585"/>
        <v>#N/A</v>
      </c>
      <c r="AK413" s="49" t="e">
        <f t="shared" si="586"/>
        <v>#N/A</v>
      </c>
      <c r="AL413" s="49" t="e">
        <f t="shared" si="587"/>
        <v>#N/A</v>
      </c>
      <c r="AM413" s="25">
        <f t="shared" si="566"/>
        <v>30</v>
      </c>
      <c r="AN413" s="25">
        <f t="shared" si="567"/>
        <v>30</v>
      </c>
      <c r="AO413" s="25">
        <f t="shared" si="568"/>
        <v>30</v>
      </c>
      <c r="AP413" s="52" t="e">
        <f t="shared" si="588"/>
        <v>#N/A</v>
      </c>
      <c r="AQ413" s="53" t="e">
        <f t="shared" si="588"/>
        <v>#N/A</v>
      </c>
      <c r="AR413" s="54" t="e">
        <f t="shared" si="588"/>
        <v>#N/A</v>
      </c>
      <c r="AS413" s="316">
        <f t="shared" si="621"/>
        <v>0</v>
      </c>
      <c r="AT413" s="106">
        <f>_xlfn.IFNA($M413/VLOOKUP($BT413,'Unit information'!$A$2:$K$29,2,FALSE)*R413,0)*(1+$E$9)</f>
        <v>0</v>
      </c>
      <c r="AU413" s="107">
        <f>_xlfn.IFNA($M413/VLOOKUP($BT413,'Unit information'!$A$2:$K$29,3,FALSE)*S413,0)*(1+$E$9)</f>
        <v>0</v>
      </c>
      <c r="AV413" s="107">
        <f>_xlfn.IFNA($M413/VLOOKUP($BT413,'Unit information'!$A$2:$K$29,4,FALSE)*T413,0)*(1+$E$9)</f>
        <v>0</v>
      </c>
      <c r="AW413" s="107">
        <f>_xlfn.IFNA($M413/VLOOKUP($BT413,'Unit information'!$A$2:$K$29,5,FALSE)*U413,0)*(1+$E$9)</f>
        <v>0</v>
      </c>
      <c r="AX413" s="107">
        <f>_xlfn.IFNA($M413/VLOOKUP($BU413,'Unit information'!$A$2:$K$29,6,FALSE)*V413,0)*(1+$E$9)</f>
        <v>0</v>
      </c>
      <c r="AY413" s="107">
        <f>_xlfn.IFNA($M413/VLOOKUP($BU413,'Unit information'!$A$2:$K$29,7,FALSE)*W413,0)*(1+$E$9)</f>
        <v>0</v>
      </c>
      <c r="AZ413" s="107">
        <f>_xlfn.IFNA($M413/VLOOKUP($BU413,'Unit information'!$A$2:$K$29,8,FALSE)*X413,0)*(1+$E$9)</f>
        <v>0</v>
      </c>
      <c r="BA413" s="107">
        <f>_xlfn.IFNA($M413/VLOOKUP($BU413,'Unit information'!$A$2:$K$29,9,FALSE)*Y413,0)*(1+$E$9)</f>
        <v>0</v>
      </c>
      <c r="BB413" s="107">
        <f>_xlfn.IFNA($M413/VLOOKUP($BV413,'Unit information'!$A$2:$K$29,10,FALSE)*Z413,0)*(1+$E$9)</f>
        <v>0</v>
      </c>
      <c r="BC413" s="108">
        <f>_xlfn.IFNA($M413/VLOOKUP($BV413,'Unit information'!$A$2:$K$29,11,FALSE)*AA413,0)*(1+$E$9)</f>
        <v>0</v>
      </c>
      <c r="BD413" s="106">
        <f t="shared" si="569"/>
        <v>0</v>
      </c>
      <c r="BE413" s="107">
        <f t="shared" si="570"/>
        <v>0</v>
      </c>
      <c r="BF413" s="108">
        <f t="shared" si="571"/>
        <v>0</v>
      </c>
      <c r="BG413" s="25" t="e">
        <f t="shared" si="572"/>
        <v>#N/A</v>
      </c>
      <c r="BH413" s="25" t="e">
        <f t="shared" si="573"/>
        <v>#N/A</v>
      </c>
      <c r="BI413" s="25" t="e">
        <f t="shared" si="574"/>
        <v>#N/A</v>
      </c>
      <c r="BJ413" s="27" t="e">
        <f t="shared" si="575"/>
        <v>#N/A</v>
      </c>
      <c r="BK413" s="18" t="e">
        <f t="shared" si="576"/>
        <v>#N/A</v>
      </c>
      <c r="BL413" s="18" t="e">
        <f t="shared" si="577"/>
        <v>#N/A</v>
      </c>
      <c r="BM413" s="28" t="e">
        <f t="shared" si="622"/>
        <v>#N/A</v>
      </c>
      <c r="BN413" s="33">
        <f>HLOOKUP("maximum population",Miscelaneous!$C$1:$C$33,CH413+3,FALSE)</f>
        <v>240</v>
      </c>
      <c r="BO413" s="14">
        <f t="shared" si="589"/>
        <v>32</v>
      </c>
      <c r="BP413" s="14">
        <f t="shared" si="590"/>
        <v>0</v>
      </c>
      <c r="BQ413" s="14">
        <f t="shared" si="591"/>
        <v>208</v>
      </c>
      <c r="BR413" s="34" t="e">
        <f>HLOOKUP(J413,Villagers!$B$1:$V$33,L413+3,FALSE)-HLOOKUP(J413,Villagers!$B$1:$V$33,L413+2,FALSE)</f>
        <v>#N/A</v>
      </c>
      <c r="BS413" s="49">
        <f t="shared" si="592"/>
        <v>1</v>
      </c>
      <c r="BT413" s="50">
        <f t="shared" si="593"/>
        <v>0</v>
      </c>
      <c r="BU413" s="50">
        <f t="shared" si="594"/>
        <v>0</v>
      </c>
      <c r="BV413" s="50">
        <f t="shared" si="595"/>
        <v>0</v>
      </c>
      <c r="BW413" s="50">
        <f t="shared" si="555"/>
        <v>0</v>
      </c>
      <c r="BX413" s="50">
        <f t="shared" si="556"/>
        <v>0</v>
      </c>
      <c r="BY413" s="50">
        <f t="shared" si="556"/>
        <v>0</v>
      </c>
      <c r="BZ413" s="50">
        <f t="shared" si="530"/>
        <v>0</v>
      </c>
      <c r="CA413" s="50">
        <f t="shared" si="531"/>
        <v>0</v>
      </c>
      <c r="CB413" s="50">
        <f t="shared" si="532"/>
        <v>1</v>
      </c>
      <c r="CC413" s="50">
        <f t="shared" si="533"/>
        <v>0</v>
      </c>
      <c r="CD413" s="50">
        <f t="shared" si="534"/>
        <v>0</v>
      </c>
      <c r="CE413" s="50">
        <f t="shared" si="535"/>
        <v>1</v>
      </c>
      <c r="CF413" s="50">
        <f t="shared" si="536"/>
        <v>1</v>
      </c>
      <c r="CG413" s="50">
        <f t="shared" si="537"/>
        <v>1</v>
      </c>
      <c r="CH413" s="50">
        <f t="shared" si="538"/>
        <v>1</v>
      </c>
      <c r="CI413" s="50">
        <f t="shared" si="539"/>
        <v>1</v>
      </c>
      <c r="CJ413" s="50">
        <f t="shared" si="540"/>
        <v>1</v>
      </c>
      <c r="CK413" s="50">
        <f t="shared" si="540"/>
        <v>0</v>
      </c>
      <c r="CL413" s="50">
        <f t="shared" si="540"/>
        <v>0</v>
      </c>
      <c r="CM413" s="51">
        <f t="shared" si="578"/>
        <v>0</v>
      </c>
      <c r="CN413" s="33">
        <f>ROUND(IF(BS413=0,0,HLOOKUP(BS$14,Villagers!$B$1:$V$33,BS413+3,FALSE)),)</f>
        <v>5</v>
      </c>
      <c r="CO413" s="14">
        <f>ROUND(IF(BT413=0,0,HLOOKUP(BT$14,Villagers!$B$1:$V$33,BT413+3,FALSE)),)</f>
        <v>0</v>
      </c>
      <c r="CP413" s="14">
        <f>ROUND(IF(BU413=0,0,HLOOKUP(BU$14,Villagers!$B$1:$V$33,BU413+3,FALSE)),)</f>
        <v>0</v>
      </c>
      <c r="CQ413" s="14">
        <f>ROUND(IF(BV413=0,0,HLOOKUP(BV$14,Villagers!$B$1:$V$33,BV413+3,FALSE)),)</f>
        <v>0</v>
      </c>
      <c r="CR413" s="14">
        <f>ROUND(IF(BW413=0,0,HLOOKUP(BW$14,Villagers!$B$1:$V$33,BW413+3,FALSE)),)</f>
        <v>0</v>
      </c>
      <c r="CS413" s="14">
        <f>ROUND(IF(BX413=0,0,HLOOKUP(BX$14,Villagers!$B$1:$V$33,BX413+3,FALSE)),)</f>
        <v>0</v>
      </c>
      <c r="CT413" s="14">
        <f>ROUND(IF(BY413=0,0,HLOOKUP(BY$14,Villagers!$B$1:$V$33,BY413+3,FALSE)),)</f>
        <v>0</v>
      </c>
      <c r="CU413" s="14">
        <f>ROUND(IF(BZ413=0,0,HLOOKUP(BZ$14,Villagers!$B$1:$V$33,BZ413+3,FALSE)),)</f>
        <v>0</v>
      </c>
      <c r="CV413" s="14">
        <f>ROUND(IF(CA413=0,0,HLOOKUP(CA$14,Villagers!$B$1:$V$33,CA413+3,FALSE)),)</f>
        <v>0</v>
      </c>
      <c r="CW413" s="14">
        <f>ROUND(IF(CB413=0,0,HLOOKUP(CB$14,Villagers!$B$1:$V$33,CB413+3,FALSE)),)</f>
        <v>0</v>
      </c>
      <c r="CX413" s="14">
        <f>ROUND(IF(CC413=0,0,HLOOKUP(CC$14,Villagers!$B$1:$V$33,CC413+3,FALSE)),)</f>
        <v>0</v>
      </c>
      <c r="CY413" s="14">
        <f>ROUND(IF(CD413=0,0,HLOOKUP(CD$14,Villagers!$B$1:$V$33,CD413+3,FALSE)),)</f>
        <v>0</v>
      </c>
      <c r="CZ413" s="14">
        <f>ROUND(IF(CE413=0,0,HLOOKUP(CE$14,Villagers!$B$1:$V$33,CE413+3,FALSE)),)</f>
        <v>5</v>
      </c>
      <c r="DA413" s="14">
        <f>ROUND(IF(CF413=0,0,HLOOKUP(CF$14,Villagers!$B$1:$V$33,CF413+3,FALSE)),)</f>
        <v>10</v>
      </c>
      <c r="DB413" s="14">
        <f>ROUND(IF(CG413=0,0,HLOOKUP(CG$14,Villagers!$B$1:$V$33,CG413+3,FALSE)),)</f>
        <v>10</v>
      </c>
      <c r="DC413" s="14">
        <f>ROUND(IF(CH413=0,0,HLOOKUP(CH$14,Villagers!$B$1:$V$33,CH413+3,FALSE)),)</f>
        <v>0</v>
      </c>
      <c r="DD413" s="14">
        <f>ROUND(IF(CI413=0,0,HLOOKUP(CI$14,Villagers!$B$1:$V$33,CI413+3,FALSE)),)</f>
        <v>0</v>
      </c>
      <c r="DE413" s="14">
        <f>ROUND(IF(CJ413=0,0,HLOOKUP(CJ$14,Villagers!$B$1:$V$33,CJ413+3,FALSE)),)</f>
        <v>2</v>
      </c>
      <c r="DF413" s="370">
        <f>ROUND(IF(CK413=0,0,HLOOKUP(CK$14,Villagers!$B$1:$V$33,CK413+3,FALSE)),)</f>
        <v>0</v>
      </c>
      <c r="DG413" s="370">
        <f>ROUND(IF(CL413=0,0,HLOOKUP(CL$14,Villagers!$B$1:$V$33,CL413+3,FALSE)),)</f>
        <v>0</v>
      </c>
      <c r="DH413" s="34">
        <f>ROUND(IF(CM413=0,0,HLOOKUP(CM$14,Villagers!$B$1:$V$33,CM413+3,FALSE)),)</f>
        <v>0</v>
      </c>
      <c r="DI413" s="109">
        <f t="shared" si="611"/>
        <v>0</v>
      </c>
      <c r="DJ413" s="50">
        <f t="shared" si="612"/>
        <v>0</v>
      </c>
      <c r="DK413" s="50">
        <f t="shared" si="613"/>
        <v>0</v>
      </c>
      <c r="DL413" s="50">
        <f t="shared" si="614"/>
        <v>0</v>
      </c>
      <c r="DM413" s="50">
        <f t="shared" si="615"/>
        <v>0</v>
      </c>
      <c r="DN413" s="50">
        <f t="shared" si="616"/>
        <v>0</v>
      </c>
      <c r="DO413" s="50">
        <f t="shared" si="617"/>
        <v>0</v>
      </c>
      <c r="DP413" s="50">
        <f t="shared" si="618"/>
        <v>0</v>
      </c>
      <c r="DQ413" s="50">
        <f t="shared" si="596"/>
        <v>0</v>
      </c>
      <c r="DR413" s="50">
        <f t="shared" si="597"/>
        <v>0</v>
      </c>
      <c r="DS413" s="96">
        <f>Miscelaneous!$D$4*Miscelaneous!$D$2^($CI413-1)</f>
        <v>1000</v>
      </c>
      <c r="DT413" s="333">
        <f t="shared" si="579"/>
        <v>1</v>
      </c>
      <c r="DU413" s="81">
        <v>1</v>
      </c>
      <c r="DV413" s="79">
        <f t="shared" si="598"/>
        <v>0</v>
      </c>
      <c r="DW413" s="79">
        <f t="shared" si="599"/>
        <v>0</v>
      </c>
      <c r="DX413" s="79">
        <f t="shared" si="600"/>
        <v>0</v>
      </c>
      <c r="DY413" s="79">
        <v>1</v>
      </c>
      <c r="DZ413" s="79">
        <f t="shared" si="601"/>
        <v>0</v>
      </c>
      <c r="EA413" s="79">
        <f t="shared" si="602"/>
        <v>0</v>
      </c>
      <c r="EB413" s="79">
        <f t="shared" si="603"/>
        <v>0</v>
      </c>
      <c r="EC413" s="79">
        <f t="shared" si="604"/>
        <v>0</v>
      </c>
      <c r="ED413" s="79">
        <v>1</v>
      </c>
      <c r="EE413" s="79">
        <v>1</v>
      </c>
      <c r="EF413" s="79">
        <f t="shared" si="605"/>
        <v>0</v>
      </c>
      <c r="EG413" s="79">
        <v>1</v>
      </c>
      <c r="EH413" s="79">
        <v>1</v>
      </c>
      <c r="EI413" s="79">
        <v>1</v>
      </c>
      <c r="EJ413" s="79">
        <v>1</v>
      </c>
      <c r="EK413" s="79">
        <v>1</v>
      </c>
      <c r="EL413" s="79">
        <v>1</v>
      </c>
      <c r="EM413" s="143">
        <f t="shared" si="606"/>
        <v>0</v>
      </c>
      <c r="EN413" s="143">
        <f t="shared" si="607"/>
        <v>0</v>
      </c>
      <c r="EO413" s="82">
        <f t="shared" si="608"/>
        <v>0</v>
      </c>
    </row>
    <row r="414" spans="1:145" x14ac:dyDescent="0.25">
      <c r="A414">
        <v>400</v>
      </c>
      <c r="B414" s="172" t="e">
        <f t="shared" si="580"/>
        <v>#N/A</v>
      </c>
      <c r="C414" s="121" t="e">
        <f t="shared" si="558"/>
        <v>#N/A</v>
      </c>
      <c r="D414" s="122" t="e">
        <f t="shared" si="559"/>
        <v>#N/A</v>
      </c>
      <c r="E414" s="122" t="e">
        <f t="shared" si="560"/>
        <v>#N/A</v>
      </c>
      <c r="F414" s="176" t="e">
        <f t="shared" si="561"/>
        <v>#N/A</v>
      </c>
      <c r="G414" s="121">
        <f t="shared" si="581"/>
        <v>208</v>
      </c>
      <c r="H414" s="176" t="e">
        <f t="shared" si="582"/>
        <v>#N/A</v>
      </c>
      <c r="I414" s="48">
        <v>1</v>
      </c>
      <c r="J414" s="39"/>
      <c r="K414" s="350">
        <v>1</v>
      </c>
      <c r="L414" s="34" t="e">
        <f t="shared" si="562"/>
        <v>#N/A</v>
      </c>
      <c r="M414" s="38" t="e">
        <f>(HLOOKUP(J414,'Construction Times'!$B$3:$W$34,L414+2,FALSE)*HLOOKUP("hq modifier",'Construction Times'!$W$3:$W$34,BS414+2,FALSE))*(1-$H$9)</f>
        <v>#N/A</v>
      </c>
      <c r="N414" s="443" t="e">
        <f t="shared" si="583"/>
        <v>#N/A</v>
      </c>
      <c r="O414" s="444"/>
      <c r="P414" s="447" t="e">
        <f t="shared" si="584"/>
        <v>#N/A</v>
      </c>
      <c r="Q414" s="448"/>
      <c r="R414" s="103">
        <f t="shared" si="609"/>
        <v>0</v>
      </c>
      <c r="S414" s="104">
        <f t="shared" si="609"/>
        <v>0</v>
      </c>
      <c r="T414" s="104">
        <f t="shared" si="610"/>
        <v>0</v>
      </c>
      <c r="U414" s="104">
        <f t="shared" si="610"/>
        <v>0</v>
      </c>
      <c r="V414" s="104">
        <f t="shared" si="610"/>
        <v>9.9999999999999995E-8</v>
      </c>
      <c r="W414" s="104">
        <f t="shared" si="610"/>
        <v>0</v>
      </c>
      <c r="X414" s="104">
        <f t="shared" si="557"/>
        <v>0</v>
      </c>
      <c r="Y414" s="104">
        <f t="shared" si="557"/>
        <v>9.9999999999999995E-8</v>
      </c>
      <c r="Z414" s="104">
        <f t="shared" si="557"/>
        <v>9.9999999999999995E-8</v>
      </c>
      <c r="AA414" s="105">
        <f t="shared" si="557"/>
        <v>9.9999999999999995E-8</v>
      </c>
      <c r="AB414" s="101" t="e">
        <f>$DT414*HLOOKUP($J414,'Construction Costs (timber)'!$B$1:$V$32,'Construction Planner'!$L414+2,FALSE)</f>
        <v>#N/A</v>
      </c>
      <c r="AC414" s="14" t="e">
        <f>$DT414*HLOOKUP($J414,'Construction Costs (clay)'!$B$1:$V$32,'Construction Planner'!$L414+2,FALSE)</f>
        <v>#N/A</v>
      </c>
      <c r="AD414" s="14" t="e">
        <f>$DT414*HLOOKUP($J414,'Construction Costs (iron)'!$B$1:$V$32,'Construction Planner'!$L414+2,FALSE)</f>
        <v>#N/A</v>
      </c>
      <c r="AE414" s="34" t="e">
        <f t="shared" si="619"/>
        <v>#N/A</v>
      </c>
      <c r="AF414" s="33" t="e">
        <f t="shared" si="563"/>
        <v>#N/A</v>
      </c>
      <c r="AG414" s="14" t="e">
        <f t="shared" si="564"/>
        <v>#N/A</v>
      </c>
      <c r="AH414" s="14" t="e">
        <f t="shared" si="565"/>
        <v>#N/A</v>
      </c>
      <c r="AI414" s="34" t="e">
        <f t="shared" si="620"/>
        <v>#N/A</v>
      </c>
      <c r="AJ414" s="49" t="e">
        <f t="shared" si="585"/>
        <v>#N/A</v>
      </c>
      <c r="AK414" s="49" t="e">
        <f t="shared" si="586"/>
        <v>#N/A</v>
      </c>
      <c r="AL414" s="49" t="e">
        <f t="shared" si="587"/>
        <v>#N/A</v>
      </c>
      <c r="AM414" s="25">
        <f t="shared" si="566"/>
        <v>30</v>
      </c>
      <c r="AN414" s="25">
        <f t="shared" si="567"/>
        <v>30</v>
      </c>
      <c r="AO414" s="25">
        <f t="shared" si="568"/>
        <v>30</v>
      </c>
      <c r="AP414" s="52" t="e">
        <f t="shared" si="588"/>
        <v>#N/A</v>
      </c>
      <c r="AQ414" s="53" t="e">
        <f t="shared" si="588"/>
        <v>#N/A</v>
      </c>
      <c r="AR414" s="54" t="e">
        <f t="shared" si="588"/>
        <v>#N/A</v>
      </c>
      <c r="AS414" s="316">
        <f t="shared" si="621"/>
        <v>0</v>
      </c>
      <c r="AT414" s="106">
        <f>_xlfn.IFNA($M414/VLOOKUP($BT414,'Unit information'!$A$2:$K$29,2,FALSE)*R414,0)*(1+$E$9)</f>
        <v>0</v>
      </c>
      <c r="AU414" s="107">
        <f>_xlfn.IFNA($M414/VLOOKUP($BT414,'Unit information'!$A$2:$K$29,3,FALSE)*S414,0)*(1+$E$9)</f>
        <v>0</v>
      </c>
      <c r="AV414" s="107">
        <f>_xlfn.IFNA($M414/VLOOKUP($BT414,'Unit information'!$A$2:$K$29,4,FALSE)*T414,0)*(1+$E$9)</f>
        <v>0</v>
      </c>
      <c r="AW414" s="107">
        <f>_xlfn.IFNA($M414/VLOOKUP($BT414,'Unit information'!$A$2:$K$29,5,FALSE)*U414,0)*(1+$E$9)</f>
        <v>0</v>
      </c>
      <c r="AX414" s="107">
        <f>_xlfn.IFNA($M414/VLOOKUP($BU414,'Unit information'!$A$2:$K$29,6,FALSE)*V414,0)*(1+$E$9)</f>
        <v>0</v>
      </c>
      <c r="AY414" s="107">
        <f>_xlfn.IFNA($M414/VLOOKUP($BU414,'Unit information'!$A$2:$K$29,7,FALSE)*W414,0)*(1+$E$9)</f>
        <v>0</v>
      </c>
      <c r="AZ414" s="107">
        <f>_xlfn.IFNA($M414/VLOOKUP($BU414,'Unit information'!$A$2:$K$29,8,FALSE)*X414,0)*(1+$E$9)</f>
        <v>0</v>
      </c>
      <c r="BA414" s="107">
        <f>_xlfn.IFNA($M414/VLOOKUP($BU414,'Unit information'!$A$2:$K$29,9,FALSE)*Y414,0)*(1+$E$9)</f>
        <v>0</v>
      </c>
      <c r="BB414" s="107">
        <f>_xlfn.IFNA($M414/VLOOKUP($BV414,'Unit information'!$A$2:$K$29,10,FALSE)*Z414,0)*(1+$E$9)</f>
        <v>0</v>
      </c>
      <c r="BC414" s="108">
        <f>_xlfn.IFNA($M414/VLOOKUP($BV414,'Unit information'!$A$2:$K$29,11,FALSE)*AA414,0)*(1+$E$9)</f>
        <v>0</v>
      </c>
      <c r="BD414" s="106">
        <f t="shared" si="569"/>
        <v>0</v>
      </c>
      <c r="BE414" s="107">
        <f t="shared" si="570"/>
        <v>0</v>
      </c>
      <c r="BF414" s="108">
        <f t="shared" si="571"/>
        <v>0</v>
      </c>
      <c r="BG414" s="25" t="e">
        <f t="shared" si="572"/>
        <v>#N/A</v>
      </c>
      <c r="BH414" s="25" t="e">
        <f t="shared" si="573"/>
        <v>#N/A</v>
      </c>
      <c r="BI414" s="25" t="e">
        <f t="shared" si="574"/>
        <v>#N/A</v>
      </c>
      <c r="BJ414" s="27" t="e">
        <f t="shared" si="575"/>
        <v>#N/A</v>
      </c>
      <c r="BK414" s="18" t="e">
        <f t="shared" si="576"/>
        <v>#N/A</v>
      </c>
      <c r="BL414" s="18" t="e">
        <f t="shared" si="577"/>
        <v>#N/A</v>
      </c>
      <c r="BM414" s="28" t="e">
        <f t="shared" si="622"/>
        <v>#N/A</v>
      </c>
      <c r="BN414" s="33">
        <f>HLOOKUP("maximum population",Miscelaneous!$C$1:$C$33,CH414+3,FALSE)</f>
        <v>240</v>
      </c>
      <c r="BO414" s="14">
        <f t="shared" si="589"/>
        <v>32</v>
      </c>
      <c r="BP414" s="14">
        <f t="shared" si="590"/>
        <v>0</v>
      </c>
      <c r="BQ414" s="14">
        <f t="shared" si="591"/>
        <v>208</v>
      </c>
      <c r="BR414" s="34" t="e">
        <f>HLOOKUP(J414,Villagers!$B$1:$V$33,L414+3,FALSE)-HLOOKUP(J414,Villagers!$B$1:$V$33,L414+2,FALSE)</f>
        <v>#N/A</v>
      </c>
      <c r="BS414" s="49">
        <f t="shared" si="592"/>
        <v>1</v>
      </c>
      <c r="BT414" s="50">
        <f t="shared" si="593"/>
        <v>0</v>
      </c>
      <c r="BU414" s="50">
        <f t="shared" si="594"/>
        <v>0</v>
      </c>
      <c r="BV414" s="50">
        <f t="shared" si="595"/>
        <v>0</v>
      </c>
      <c r="BW414" s="50">
        <f t="shared" si="555"/>
        <v>0</v>
      </c>
      <c r="BX414" s="50">
        <f t="shared" si="556"/>
        <v>0</v>
      </c>
      <c r="BY414" s="50">
        <f t="shared" si="556"/>
        <v>0</v>
      </c>
      <c r="BZ414" s="50">
        <f t="shared" si="530"/>
        <v>0</v>
      </c>
      <c r="CA414" s="50">
        <f t="shared" si="531"/>
        <v>0</v>
      </c>
      <c r="CB414" s="50">
        <f t="shared" si="532"/>
        <v>1</v>
      </c>
      <c r="CC414" s="50">
        <f t="shared" si="533"/>
        <v>0</v>
      </c>
      <c r="CD414" s="50">
        <f t="shared" si="534"/>
        <v>0</v>
      </c>
      <c r="CE414" s="50">
        <f t="shared" si="535"/>
        <v>1</v>
      </c>
      <c r="CF414" s="50">
        <f t="shared" si="536"/>
        <v>1</v>
      </c>
      <c r="CG414" s="50">
        <f t="shared" si="537"/>
        <v>1</v>
      </c>
      <c r="CH414" s="50">
        <f t="shared" si="538"/>
        <v>1</v>
      </c>
      <c r="CI414" s="50">
        <f t="shared" si="539"/>
        <v>1</v>
      </c>
      <c r="CJ414" s="50">
        <f t="shared" si="540"/>
        <v>1</v>
      </c>
      <c r="CK414" s="50">
        <f t="shared" si="540"/>
        <v>0</v>
      </c>
      <c r="CL414" s="50">
        <f t="shared" si="540"/>
        <v>0</v>
      </c>
      <c r="CM414" s="51">
        <f t="shared" si="578"/>
        <v>0</v>
      </c>
      <c r="CN414" s="33">
        <f>ROUND(IF(BS414=0,0,HLOOKUP(BS$14,Villagers!$B$1:$V$33,BS414+3,FALSE)),)</f>
        <v>5</v>
      </c>
      <c r="CO414" s="14">
        <f>ROUND(IF(BT414=0,0,HLOOKUP(BT$14,Villagers!$B$1:$V$33,BT414+3,FALSE)),)</f>
        <v>0</v>
      </c>
      <c r="CP414" s="14">
        <f>ROUND(IF(BU414=0,0,HLOOKUP(BU$14,Villagers!$B$1:$V$33,BU414+3,FALSE)),)</f>
        <v>0</v>
      </c>
      <c r="CQ414" s="14">
        <f>ROUND(IF(BV414=0,0,HLOOKUP(BV$14,Villagers!$B$1:$V$33,BV414+3,FALSE)),)</f>
        <v>0</v>
      </c>
      <c r="CR414" s="14">
        <f>ROUND(IF(BW414=0,0,HLOOKUP(BW$14,Villagers!$B$1:$V$33,BW414+3,FALSE)),)</f>
        <v>0</v>
      </c>
      <c r="CS414" s="14">
        <f>ROUND(IF(BX414=0,0,HLOOKUP(BX$14,Villagers!$B$1:$V$33,BX414+3,FALSE)),)</f>
        <v>0</v>
      </c>
      <c r="CT414" s="14">
        <f>ROUND(IF(BY414=0,0,HLOOKUP(BY$14,Villagers!$B$1:$V$33,BY414+3,FALSE)),)</f>
        <v>0</v>
      </c>
      <c r="CU414" s="14">
        <f>ROUND(IF(BZ414=0,0,HLOOKUP(BZ$14,Villagers!$B$1:$V$33,BZ414+3,FALSE)),)</f>
        <v>0</v>
      </c>
      <c r="CV414" s="14">
        <f>ROUND(IF(CA414=0,0,HLOOKUP(CA$14,Villagers!$B$1:$V$33,CA414+3,FALSE)),)</f>
        <v>0</v>
      </c>
      <c r="CW414" s="14">
        <f>ROUND(IF(CB414=0,0,HLOOKUP(CB$14,Villagers!$B$1:$V$33,CB414+3,FALSE)),)</f>
        <v>0</v>
      </c>
      <c r="CX414" s="14">
        <f>ROUND(IF(CC414=0,0,HLOOKUP(CC$14,Villagers!$B$1:$V$33,CC414+3,FALSE)),)</f>
        <v>0</v>
      </c>
      <c r="CY414" s="14">
        <f>ROUND(IF(CD414=0,0,HLOOKUP(CD$14,Villagers!$B$1:$V$33,CD414+3,FALSE)),)</f>
        <v>0</v>
      </c>
      <c r="CZ414" s="14">
        <f>ROUND(IF(CE414=0,0,HLOOKUP(CE$14,Villagers!$B$1:$V$33,CE414+3,FALSE)),)</f>
        <v>5</v>
      </c>
      <c r="DA414" s="14">
        <f>ROUND(IF(CF414=0,0,HLOOKUP(CF$14,Villagers!$B$1:$V$33,CF414+3,FALSE)),)</f>
        <v>10</v>
      </c>
      <c r="DB414" s="14">
        <f>ROUND(IF(CG414=0,0,HLOOKUP(CG$14,Villagers!$B$1:$V$33,CG414+3,FALSE)),)</f>
        <v>10</v>
      </c>
      <c r="DC414" s="14">
        <f>ROUND(IF(CH414=0,0,HLOOKUP(CH$14,Villagers!$B$1:$V$33,CH414+3,FALSE)),)</f>
        <v>0</v>
      </c>
      <c r="DD414" s="14">
        <f>ROUND(IF(CI414=0,0,HLOOKUP(CI$14,Villagers!$B$1:$V$33,CI414+3,FALSE)),)</f>
        <v>0</v>
      </c>
      <c r="DE414" s="14">
        <f>ROUND(IF(CJ414=0,0,HLOOKUP(CJ$14,Villagers!$B$1:$V$33,CJ414+3,FALSE)),)</f>
        <v>2</v>
      </c>
      <c r="DF414" s="370">
        <f>ROUND(IF(CK414=0,0,HLOOKUP(CK$14,Villagers!$B$1:$V$33,CK414+3,FALSE)),)</f>
        <v>0</v>
      </c>
      <c r="DG414" s="370">
        <f>ROUND(IF(CL414=0,0,HLOOKUP(CL$14,Villagers!$B$1:$V$33,CL414+3,FALSE)),)</f>
        <v>0</v>
      </c>
      <c r="DH414" s="34">
        <f>ROUND(IF(CM414=0,0,HLOOKUP(CM$14,Villagers!$B$1:$V$33,CM414+3,FALSE)),)</f>
        <v>0</v>
      </c>
      <c r="DI414" s="109">
        <f t="shared" si="611"/>
        <v>0</v>
      </c>
      <c r="DJ414" s="50">
        <f t="shared" si="612"/>
        <v>0</v>
      </c>
      <c r="DK414" s="50">
        <f t="shared" si="613"/>
        <v>0</v>
      </c>
      <c r="DL414" s="50">
        <f t="shared" si="614"/>
        <v>0</v>
      </c>
      <c r="DM414" s="50">
        <f t="shared" si="615"/>
        <v>0</v>
      </c>
      <c r="DN414" s="50">
        <f t="shared" si="616"/>
        <v>0</v>
      </c>
      <c r="DO414" s="50">
        <f t="shared" si="617"/>
        <v>0</v>
      </c>
      <c r="DP414" s="50">
        <f t="shared" si="618"/>
        <v>0</v>
      </c>
      <c r="DQ414" s="50">
        <f t="shared" si="596"/>
        <v>0</v>
      </c>
      <c r="DR414" s="50">
        <f t="shared" si="597"/>
        <v>0</v>
      </c>
      <c r="DS414" s="96">
        <f>Miscelaneous!$D$4*Miscelaneous!$D$2^($CI414-1)</f>
        <v>1000</v>
      </c>
      <c r="DT414" s="333">
        <f t="shared" si="579"/>
        <v>1</v>
      </c>
      <c r="DU414" s="81">
        <v>1</v>
      </c>
      <c r="DV414" s="79">
        <f t="shared" si="598"/>
        <v>0</v>
      </c>
      <c r="DW414" s="79">
        <f t="shared" si="599"/>
        <v>0</v>
      </c>
      <c r="DX414" s="79">
        <f t="shared" si="600"/>
        <v>0</v>
      </c>
      <c r="DY414" s="79">
        <v>1</v>
      </c>
      <c r="DZ414" s="79">
        <f t="shared" si="601"/>
        <v>0</v>
      </c>
      <c r="EA414" s="79">
        <f t="shared" si="602"/>
        <v>0</v>
      </c>
      <c r="EB414" s="79">
        <f t="shared" si="603"/>
        <v>0</v>
      </c>
      <c r="EC414" s="79">
        <f t="shared" si="604"/>
        <v>0</v>
      </c>
      <c r="ED414" s="79">
        <v>1</v>
      </c>
      <c r="EE414" s="79">
        <v>1</v>
      </c>
      <c r="EF414" s="79">
        <f t="shared" si="605"/>
        <v>0</v>
      </c>
      <c r="EG414" s="79">
        <v>1</v>
      </c>
      <c r="EH414" s="79">
        <v>1</v>
      </c>
      <c r="EI414" s="79">
        <v>1</v>
      </c>
      <c r="EJ414" s="79">
        <v>1</v>
      </c>
      <c r="EK414" s="79">
        <v>1</v>
      </c>
      <c r="EL414" s="79">
        <v>1</v>
      </c>
      <c r="EM414" s="143">
        <f t="shared" si="606"/>
        <v>0</v>
      </c>
      <c r="EN414" s="143">
        <f t="shared" si="607"/>
        <v>0</v>
      </c>
      <c r="EO414" s="82">
        <f t="shared" si="608"/>
        <v>0</v>
      </c>
    </row>
    <row r="415" spans="1:145" x14ac:dyDescent="0.25">
      <c r="A415">
        <v>401</v>
      </c>
      <c r="B415" s="172" t="e">
        <f t="shared" si="580"/>
        <v>#N/A</v>
      </c>
      <c r="C415" s="121" t="e">
        <f t="shared" si="558"/>
        <v>#N/A</v>
      </c>
      <c r="D415" s="122" t="e">
        <f t="shared" si="559"/>
        <v>#N/A</v>
      </c>
      <c r="E415" s="122" t="e">
        <f t="shared" si="560"/>
        <v>#N/A</v>
      </c>
      <c r="F415" s="176" t="e">
        <f t="shared" si="561"/>
        <v>#N/A</v>
      </c>
      <c r="G415" s="121">
        <f t="shared" si="581"/>
        <v>208</v>
      </c>
      <c r="H415" s="176" t="e">
        <f t="shared" si="582"/>
        <v>#N/A</v>
      </c>
      <c r="I415" s="48">
        <v>1</v>
      </c>
      <c r="J415" s="39"/>
      <c r="K415" s="350">
        <v>1</v>
      </c>
      <c r="L415" s="34" t="e">
        <f t="shared" si="562"/>
        <v>#N/A</v>
      </c>
      <c r="M415" s="38" t="e">
        <f>(HLOOKUP(J415,'Construction Times'!$B$3:$W$34,L415+2,FALSE)*HLOOKUP("hq modifier",'Construction Times'!$W$3:$W$34,BS415+2,FALSE))*(1-$H$9)</f>
        <v>#N/A</v>
      </c>
      <c r="N415" s="443" t="e">
        <f t="shared" si="583"/>
        <v>#N/A</v>
      </c>
      <c r="O415" s="444"/>
      <c r="P415" s="447" t="e">
        <f t="shared" si="584"/>
        <v>#N/A</v>
      </c>
      <c r="Q415" s="448"/>
      <c r="R415" s="103">
        <f t="shared" si="609"/>
        <v>0</v>
      </c>
      <c r="S415" s="104">
        <f t="shared" si="609"/>
        <v>0</v>
      </c>
      <c r="T415" s="104">
        <f t="shared" si="610"/>
        <v>0</v>
      </c>
      <c r="U415" s="104">
        <f t="shared" si="610"/>
        <v>0</v>
      </c>
      <c r="V415" s="104">
        <f t="shared" si="610"/>
        <v>9.9999999999999995E-8</v>
      </c>
      <c r="W415" s="104">
        <f t="shared" si="610"/>
        <v>0</v>
      </c>
      <c r="X415" s="104">
        <f t="shared" si="557"/>
        <v>0</v>
      </c>
      <c r="Y415" s="104">
        <f t="shared" si="557"/>
        <v>9.9999999999999995E-8</v>
      </c>
      <c r="Z415" s="104">
        <f t="shared" si="557"/>
        <v>9.9999999999999995E-8</v>
      </c>
      <c r="AA415" s="105">
        <f t="shared" si="557"/>
        <v>9.9999999999999995E-8</v>
      </c>
      <c r="AB415" s="101" t="e">
        <f>$DT415*HLOOKUP($J415,'Construction Costs (timber)'!$B$1:$V$32,'Construction Planner'!$L415+2,FALSE)</f>
        <v>#N/A</v>
      </c>
      <c r="AC415" s="14" t="e">
        <f>$DT415*HLOOKUP($J415,'Construction Costs (clay)'!$B$1:$V$32,'Construction Planner'!$L415+2,FALSE)</f>
        <v>#N/A</v>
      </c>
      <c r="AD415" s="14" t="e">
        <f>$DT415*HLOOKUP($J415,'Construction Costs (iron)'!$B$1:$V$32,'Construction Planner'!$L415+2,FALSE)</f>
        <v>#N/A</v>
      </c>
      <c r="AE415" s="34" t="e">
        <f t="shared" si="619"/>
        <v>#N/A</v>
      </c>
      <c r="AF415" s="33" t="e">
        <f t="shared" si="563"/>
        <v>#N/A</v>
      </c>
      <c r="AG415" s="14" t="e">
        <f t="shared" si="564"/>
        <v>#N/A</v>
      </c>
      <c r="AH415" s="14" t="e">
        <f t="shared" si="565"/>
        <v>#N/A</v>
      </c>
      <c r="AI415" s="34" t="e">
        <f t="shared" si="620"/>
        <v>#N/A</v>
      </c>
      <c r="AJ415" s="49" t="e">
        <f t="shared" si="585"/>
        <v>#N/A</v>
      </c>
      <c r="AK415" s="49" t="e">
        <f t="shared" si="586"/>
        <v>#N/A</v>
      </c>
      <c r="AL415" s="49" t="e">
        <f t="shared" si="587"/>
        <v>#N/A</v>
      </c>
      <c r="AM415" s="25">
        <f t="shared" si="566"/>
        <v>30</v>
      </c>
      <c r="AN415" s="25">
        <f t="shared" si="567"/>
        <v>30</v>
      </c>
      <c r="AO415" s="25">
        <f t="shared" si="568"/>
        <v>30</v>
      </c>
      <c r="AP415" s="52" t="e">
        <f t="shared" si="588"/>
        <v>#N/A</v>
      </c>
      <c r="AQ415" s="53" t="e">
        <f t="shared" si="588"/>
        <v>#N/A</v>
      </c>
      <c r="AR415" s="54" t="e">
        <f t="shared" si="588"/>
        <v>#N/A</v>
      </c>
      <c r="AS415" s="316">
        <f t="shared" si="621"/>
        <v>0</v>
      </c>
      <c r="AT415" s="106">
        <f>_xlfn.IFNA($M415/VLOOKUP($BT415,'Unit information'!$A$2:$K$29,2,FALSE)*R415,0)*(1+$E$9)</f>
        <v>0</v>
      </c>
      <c r="AU415" s="107">
        <f>_xlfn.IFNA($M415/VLOOKUP($BT415,'Unit information'!$A$2:$K$29,3,FALSE)*S415,0)*(1+$E$9)</f>
        <v>0</v>
      </c>
      <c r="AV415" s="107">
        <f>_xlfn.IFNA($M415/VLOOKUP($BT415,'Unit information'!$A$2:$K$29,4,FALSE)*T415,0)*(1+$E$9)</f>
        <v>0</v>
      </c>
      <c r="AW415" s="107">
        <f>_xlfn.IFNA($M415/VLOOKUP($BT415,'Unit information'!$A$2:$K$29,5,FALSE)*U415,0)*(1+$E$9)</f>
        <v>0</v>
      </c>
      <c r="AX415" s="107">
        <f>_xlfn.IFNA($M415/VLOOKUP($BU415,'Unit information'!$A$2:$K$29,6,FALSE)*V415,0)*(1+$E$9)</f>
        <v>0</v>
      </c>
      <c r="AY415" s="107">
        <f>_xlfn.IFNA($M415/VLOOKUP($BU415,'Unit information'!$A$2:$K$29,7,FALSE)*W415,0)*(1+$E$9)</f>
        <v>0</v>
      </c>
      <c r="AZ415" s="107">
        <f>_xlfn.IFNA($M415/VLOOKUP($BU415,'Unit information'!$A$2:$K$29,8,FALSE)*X415,0)*(1+$E$9)</f>
        <v>0</v>
      </c>
      <c r="BA415" s="107">
        <f>_xlfn.IFNA($M415/VLOOKUP($BU415,'Unit information'!$A$2:$K$29,9,FALSE)*Y415,0)*(1+$E$9)</f>
        <v>0</v>
      </c>
      <c r="BB415" s="107">
        <f>_xlfn.IFNA($M415/VLOOKUP($BV415,'Unit information'!$A$2:$K$29,10,FALSE)*Z415,0)*(1+$E$9)</f>
        <v>0</v>
      </c>
      <c r="BC415" s="108">
        <f>_xlfn.IFNA($M415/VLOOKUP($BV415,'Unit information'!$A$2:$K$29,11,FALSE)*AA415,0)*(1+$E$9)</f>
        <v>0</v>
      </c>
      <c r="BD415" s="106">
        <f t="shared" si="569"/>
        <v>0</v>
      </c>
      <c r="BE415" s="107">
        <f t="shared" si="570"/>
        <v>0</v>
      </c>
      <c r="BF415" s="108">
        <f t="shared" si="571"/>
        <v>0</v>
      </c>
      <c r="BG415" s="25" t="e">
        <f t="shared" si="572"/>
        <v>#N/A</v>
      </c>
      <c r="BH415" s="25" t="e">
        <f t="shared" si="573"/>
        <v>#N/A</v>
      </c>
      <c r="BI415" s="25" t="e">
        <f t="shared" si="574"/>
        <v>#N/A</v>
      </c>
      <c r="BJ415" s="27" t="e">
        <f t="shared" si="575"/>
        <v>#N/A</v>
      </c>
      <c r="BK415" s="18" t="e">
        <f t="shared" si="576"/>
        <v>#N/A</v>
      </c>
      <c r="BL415" s="18" t="e">
        <f t="shared" si="577"/>
        <v>#N/A</v>
      </c>
      <c r="BM415" s="28" t="e">
        <f t="shared" si="622"/>
        <v>#N/A</v>
      </c>
      <c r="BN415" s="33">
        <f>HLOOKUP("maximum population",Miscelaneous!$C$1:$C$33,CH415+3,FALSE)</f>
        <v>240</v>
      </c>
      <c r="BO415" s="14">
        <f t="shared" si="589"/>
        <v>32</v>
      </c>
      <c r="BP415" s="14">
        <f t="shared" si="590"/>
        <v>0</v>
      </c>
      <c r="BQ415" s="14">
        <f t="shared" si="591"/>
        <v>208</v>
      </c>
      <c r="BR415" s="34" t="e">
        <f>HLOOKUP(J415,Villagers!$B$1:$V$33,L415+3,FALSE)-HLOOKUP(J415,Villagers!$B$1:$V$33,L415+2,FALSE)</f>
        <v>#N/A</v>
      </c>
      <c r="BS415" s="49">
        <f t="shared" si="592"/>
        <v>1</v>
      </c>
      <c r="BT415" s="50">
        <f t="shared" si="593"/>
        <v>0</v>
      </c>
      <c r="BU415" s="50">
        <f t="shared" si="594"/>
        <v>0</v>
      </c>
      <c r="BV415" s="50">
        <f t="shared" si="595"/>
        <v>0</v>
      </c>
      <c r="BW415" s="50">
        <f t="shared" si="555"/>
        <v>0</v>
      </c>
      <c r="BX415" s="50">
        <f t="shared" si="556"/>
        <v>0</v>
      </c>
      <c r="BY415" s="50">
        <f t="shared" si="556"/>
        <v>0</v>
      </c>
      <c r="BZ415" s="50">
        <f t="shared" ref="BZ415:BZ479" si="623">IF($J414=BZ$14,$L414,BZ414)</f>
        <v>0</v>
      </c>
      <c r="CA415" s="50">
        <f t="shared" ref="CA415:CA479" si="624">IF($J414=CA$14,$L414,CA414)</f>
        <v>0</v>
      </c>
      <c r="CB415" s="50">
        <f t="shared" ref="CB415:CB479" si="625">IF($J414=CB$14,$L414,CB414)</f>
        <v>1</v>
      </c>
      <c r="CC415" s="50">
        <f t="shared" ref="CC415:CC479" si="626">IF($J414=CC$14,$L414,CC414)</f>
        <v>0</v>
      </c>
      <c r="CD415" s="50">
        <f t="shared" ref="CD415:CD479" si="627">IF($J414=CD$14,$L414,CD414)</f>
        <v>0</v>
      </c>
      <c r="CE415" s="50">
        <f t="shared" ref="CE415:CE479" si="628">IF($J414=CE$14,$L414,CE414)</f>
        <v>1</v>
      </c>
      <c r="CF415" s="50">
        <f t="shared" ref="CF415:CF479" si="629">IF($J414=CF$14,$L414,CF414)</f>
        <v>1</v>
      </c>
      <c r="CG415" s="50">
        <f t="shared" ref="CG415:CG479" si="630">IF($J414=CG$14,$L414,CG414)</f>
        <v>1</v>
      </c>
      <c r="CH415" s="50">
        <f t="shared" ref="CH415:CH479" si="631">IF($J414=CH$14,$L414,CH414)</f>
        <v>1</v>
      </c>
      <c r="CI415" s="50">
        <f t="shared" ref="CI415:CI479" si="632">IF($J414=CI$14,$L414,CI414)</f>
        <v>1</v>
      </c>
      <c r="CJ415" s="50">
        <f t="shared" ref="CJ415:CL479" si="633">IF($J414=CJ$14,$L414,CJ414)</f>
        <v>1</v>
      </c>
      <c r="CK415" s="50">
        <f t="shared" si="633"/>
        <v>0</v>
      </c>
      <c r="CL415" s="50">
        <f t="shared" si="633"/>
        <v>0</v>
      </c>
      <c r="CM415" s="51">
        <f t="shared" ref="CM415:CM478" si="634">IF($J414=CM$14,$L414,CM414)</f>
        <v>0</v>
      </c>
      <c r="CN415" s="33">
        <f>ROUND(IF(BS415=0,0,HLOOKUP(BS$14,Villagers!$B$1:$V$33,BS415+3,FALSE)),)</f>
        <v>5</v>
      </c>
      <c r="CO415" s="14">
        <f>ROUND(IF(BT415=0,0,HLOOKUP(BT$14,Villagers!$B$1:$V$33,BT415+3,FALSE)),)</f>
        <v>0</v>
      </c>
      <c r="CP415" s="14">
        <f>ROUND(IF(BU415=0,0,HLOOKUP(BU$14,Villagers!$B$1:$V$33,BU415+3,FALSE)),)</f>
        <v>0</v>
      </c>
      <c r="CQ415" s="14">
        <f>ROUND(IF(BV415=0,0,HLOOKUP(BV$14,Villagers!$B$1:$V$33,BV415+3,FALSE)),)</f>
        <v>0</v>
      </c>
      <c r="CR415" s="14">
        <f>ROUND(IF(BW415=0,0,HLOOKUP(BW$14,Villagers!$B$1:$V$33,BW415+3,FALSE)),)</f>
        <v>0</v>
      </c>
      <c r="CS415" s="14">
        <f>ROUND(IF(BX415=0,0,HLOOKUP(BX$14,Villagers!$B$1:$V$33,BX415+3,FALSE)),)</f>
        <v>0</v>
      </c>
      <c r="CT415" s="14">
        <f>ROUND(IF(BY415=0,0,HLOOKUP(BY$14,Villagers!$B$1:$V$33,BY415+3,FALSE)),)</f>
        <v>0</v>
      </c>
      <c r="CU415" s="14">
        <f>ROUND(IF(BZ415=0,0,HLOOKUP(BZ$14,Villagers!$B$1:$V$33,BZ415+3,FALSE)),)</f>
        <v>0</v>
      </c>
      <c r="CV415" s="14">
        <f>ROUND(IF(CA415=0,0,HLOOKUP(CA$14,Villagers!$B$1:$V$33,CA415+3,FALSE)),)</f>
        <v>0</v>
      </c>
      <c r="CW415" s="14">
        <f>ROUND(IF(CB415=0,0,HLOOKUP(CB$14,Villagers!$B$1:$V$33,CB415+3,FALSE)),)</f>
        <v>0</v>
      </c>
      <c r="CX415" s="14">
        <f>ROUND(IF(CC415=0,0,HLOOKUP(CC$14,Villagers!$B$1:$V$33,CC415+3,FALSE)),)</f>
        <v>0</v>
      </c>
      <c r="CY415" s="14">
        <f>ROUND(IF(CD415=0,0,HLOOKUP(CD$14,Villagers!$B$1:$V$33,CD415+3,FALSE)),)</f>
        <v>0</v>
      </c>
      <c r="CZ415" s="14">
        <f>ROUND(IF(CE415=0,0,HLOOKUP(CE$14,Villagers!$B$1:$V$33,CE415+3,FALSE)),)</f>
        <v>5</v>
      </c>
      <c r="DA415" s="14">
        <f>ROUND(IF(CF415=0,0,HLOOKUP(CF$14,Villagers!$B$1:$V$33,CF415+3,FALSE)),)</f>
        <v>10</v>
      </c>
      <c r="DB415" s="14">
        <f>ROUND(IF(CG415=0,0,HLOOKUP(CG$14,Villagers!$B$1:$V$33,CG415+3,FALSE)),)</f>
        <v>10</v>
      </c>
      <c r="DC415" s="14">
        <f>ROUND(IF(CH415=0,0,HLOOKUP(CH$14,Villagers!$B$1:$V$33,CH415+3,FALSE)),)</f>
        <v>0</v>
      </c>
      <c r="DD415" s="14">
        <f>ROUND(IF(CI415=0,0,HLOOKUP(CI$14,Villagers!$B$1:$V$33,CI415+3,FALSE)),)</f>
        <v>0</v>
      </c>
      <c r="DE415" s="14">
        <f>ROUND(IF(CJ415=0,0,HLOOKUP(CJ$14,Villagers!$B$1:$V$33,CJ415+3,FALSE)),)</f>
        <v>2</v>
      </c>
      <c r="DF415" s="370">
        <f>ROUND(IF(CK415=0,0,HLOOKUP(CK$14,Villagers!$B$1:$V$33,CK415+3,FALSE)),)</f>
        <v>0</v>
      </c>
      <c r="DG415" s="370">
        <f>ROUND(IF(CL415=0,0,HLOOKUP(CL$14,Villagers!$B$1:$V$33,CL415+3,FALSE)),)</f>
        <v>0</v>
      </c>
      <c r="DH415" s="34">
        <f>ROUND(IF(CM415=0,0,HLOOKUP(CM$14,Villagers!$B$1:$V$33,CM415+3,FALSE)),)</f>
        <v>0</v>
      </c>
      <c r="DI415" s="109">
        <f t="shared" si="611"/>
        <v>0</v>
      </c>
      <c r="DJ415" s="50">
        <f t="shared" si="612"/>
        <v>0</v>
      </c>
      <c r="DK415" s="50">
        <f t="shared" si="613"/>
        <v>0</v>
      </c>
      <c r="DL415" s="50">
        <f t="shared" si="614"/>
        <v>0</v>
      </c>
      <c r="DM415" s="50">
        <f t="shared" si="615"/>
        <v>0</v>
      </c>
      <c r="DN415" s="50">
        <f t="shared" si="616"/>
        <v>0</v>
      </c>
      <c r="DO415" s="50">
        <f t="shared" si="617"/>
        <v>0</v>
      </c>
      <c r="DP415" s="50">
        <f t="shared" si="618"/>
        <v>0</v>
      </c>
      <c r="DQ415" s="50">
        <f t="shared" si="596"/>
        <v>0</v>
      </c>
      <c r="DR415" s="50">
        <f t="shared" si="597"/>
        <v>0</v>
      </c>
      <c r="DS415" s="96">
        <f>Miscelaneous!$D$4*Miscelaneous!$D$2^($CI415-1)</f>
        <v>1000</v>
      </c>
      <c r="DT415" s="333">
        <f t="shared" si="579"/>
        <v>1</v>
      </c>
      <c r="DU415" s="81">
        <v>1</v>
      </c>
      <c r="DV415" s="79">
        <f t="shared" si="598"/>
        <v>0</v>
      </c>
      <c r="DW415" s="79">
        <f t="shared" si="599"/>
        <v>0</v>
      </c>
      <c r="DX415" s="79">
        <f t="shared" si="600"/>
        <v>0</v>
      </c>
      <c r="DY415" s="79">
        <v>1</v>
      </c>
      <c r="DZ415" s="79">
        <f t="shared" si="601"/>
        <v>0</v>
      </c>
      <c r="EA415" s="79">
        <f t="shared" si="602"/>
        <v>0</v>
      </c>
      <c r="EB415" s="79">
        <f t="shared" si="603"/>
        <v>0</v>
      </c>
      <c r="EC415" s="79">
        <f t="shared" si="604"/>
        <v>0</v>
      </c>
      <c r="ED415" s="79">
        <v>1</v>
      </c>
      <c r="EE415" s="79">
        <v>1</v>
      </c>
      <c r="EF415" s="79">
        <f t="shared" si="605"/>
        <v>0</v>
      </c>
      <c r="EG415" s="79">
        <v>1</v>
      </c>
      <c r="EH415" s="79">
        <v>1</v>
      </c>
      <c r="EI415" s="79">
        <v>1</v>
      </c>
      <c r="EJ415" s="79">
        <v>1</v>
      </c>
      <c r="EK415" s="79">
        <v>1</v>
      </c>
      <c r="EL415" s="79">
        <v>1</v>
      </c>
      <c r="EM415" s="143">
        <f t="shared" si="606"/>
        <v>0</v>
      </c>
      <c r="EN415" s="143">
        <f t="shared" si="607"/>
        <v>0</v>
      </c>
      <c r="EO415" s="82">
        <f t="shared" si="608"/>
        <v>0</v>
      </c>
    </row>
    <row r="416" spans="1:145" x14ac:dyDescent="0.25">
      <c r="A416">
        <v>402</v>
      </c>
      <c r="B416" s="172" t="e">
        <f t="shared" si="580"/>
        <v>#N/A</v>
      </c>
      <c r="C416" s="121" t="e">
        <f t="shared" si="558"/>
        <v>#N/A</v>
      </c>
      <c r="D416" s="122" t="e">
        <f t="shared" si="559"/>
        <v>#N/A</v>
      </c>
      <c r="E416" s="122" t="e">
        <f t="shared" si="560"/>
        <v>#N/A</v>
      </c>
      <c r="F416" s="176" t="e">
        <f t="shared" si="561"/>
        <v>#N/A</v>
      </c>
      <c r="G416" s="121">
        <f t="shared" si="581"/>
        <v>208</v>
      </c>
      <c r="H416" s="176" t="e">
        <f t="shared" si="582"/>
        <v>#N/A</v>
      </c>
      <c r="I416" s="48">
        <v>1</v>
      </c>
      <c r="J416" s="39"/>
      <c r="K416" s="350">
        <v>1</v>
      </c>
      <c r="L416" s="34" t="e">
        <f t="shared" si="562"/>
        <v>#N/A</v>
      </c>
      <c r="M416" s="38" t="e">
        <f>(HLOOKUP(J416,'Construction Times'!$B$3:$W$34,L416+2,FALSE)*HLOOKUP("hq modifier",'Construction Times'!$W$3:$W$34,BS416+2,FALSE))*(1-$H$9)</f>
        <v>#N/A</v>
      </c>
      <c r="N416" s="443" t="e">
        <f t="shared" si="583"/>
        <v>#N/A</v>
      </c>
      <c r="O416" s="444"/>
      <c r="P416" s="447" t="e">
        <f t="shared" si="584"/>
        <v>#N/A</v>
      </c>
      <c r="Q416" s="448"/>
      <c r="R416" s="103">
        <f t="shared" si="609"/>
        <v>0</v>
      </c>
      <c r="S416" s="104">
        <f t="shared" si="609"/>
        <v>0</v>
      </c>
      <c r="T416" s="104">
        <f t="shared" si="610"/>
        <v>0</v>
      </c>
      <c r="U416" s="104">
        <f t="shared" si="610"/>
        <v>0</v>
      </c>
      <c r="V416" s="104">
        <f t="shared" si="610"/>
        <v>9.9999999999999995E-8</v>
      </c>
      <c r="W416" s="104">
        <f t="shared" si="610"/>
        <v>0</v>
      </c>
      <c r="X416" s="104">
        <f t="shared" si="557"/>
        <v>0</v>
      </c>
      <c r="Y416" s="104">
        <f t="shared" si="557"/>
        <v>9.9999999999999995E-8</v>
      </c>
      <c r="Z416" s="104">
        <f t="shared" si="557"/>
        <v>9.9999999999999995E-8</v>
      </c>
      <c r="AA416" s="105">
        <f t="shared" si="557"/>
        <v>9.9999999999999995E-8</v>
      </c>
      <c r="AB416" s="101" t="e">
        <f>$DT416*HLOOKUP($J416,'Construction Costs (timber)'!$B$1:$V$32,'Construction Planner'!$L416+2,FALSE)</f>
        <v>#N/A</v>
      </c>
      <c r="AC416" s="14" t="e">
        <f>$DT416*HLOOKUP($J416,'Construction Costs (clay)'!$B$1:$V$32,'Construction Planner'!$L416+2,FALSE)</f>
        <v>#N/A</v>
      </c>
      <c r="AD416" s="14" t="e">
        <f>$DT416*HLOOKUP($J416,'Construction Costs (iron)'!$B$1:$V$32,'Construction Planner'!$L416+2,FALSE)</f>
        <v>#N/A</v>
      </c>
      <c r="AE416" s="34" t="e">
        <f t="shared" si="619"/>
        <v>#N/A</v>
      </c>
      <c r="AF416" s="33" t="e">
        <f t="shared" si="563"/>
        <v>#N/A</v>
      </c>
      <c r="AG416" s="14" t="e">
        <f t="shared" si="564"/>
        <v>#N/A</v>
      </c>
      <c r="AH416" s="14" t="e">
        <f t="shared" si="565"/>
        <v>#N/A</v>
      </c>
      <c r="AI416" s="34" t="e">
        <f t="shared" si="620"/>
        <v>#N/A</v>
      </c>
      <c r="AJ416" s="49" t="e">
        <f t="shared" si="585"/>
        <v>#N/A</v>
      </c>
      <c r="AK416" s="49" t="e">
        <f t="shared" si="586"/>
        <v>#N/A</v>
      </c>
      <c r="AL416" s="49" t="e">
        <f t="shared" si="587"/>
        <v>#N/A</v>
      </c>
      <c r="AM416" s="25">
        <f t="shared" si="566"/>
        <v>30</v>
      </c>
      <c r="AN416" s="25">
        <f t="shared" si="567"/>
        <v>30</v>
      </c>
      <c r="AO416" s="25">
        <f t="shared" si="568"/>
        <v>30</v>
      </c>
      <c r="AP416" s="52" t="e">
        <f t="shared" si="588"/>
        <v>#N/A</v>
      </c>
      <c r="AQ416" s="53" t="e">
        <f t="shared" si="588"/>
        <v>#N/A</v>
      </c>
      <c r="AR416" s="54" t="e">
        <f t="shared" si="588"/>
        <v>#N/A</v>
      </c>
      <c r="AS416" s="316">
        <f t="shared" si="621"/>
        <v>0</v>
      </c>
      <c r="AT416" s="106">
        <f>_xlfn.IFNA($M416/VLOOKUP($BT416,'Unit information'!$A$2:$K$29,2,FALSE)*R416,0)*(1+$E$9)</f>
        <v>0</v>
      </c>
      <c r="AU416" s="107">
        <f>_xlfn.IFNA($M416/VLOOKUP($BT416,'Unit information'!$A$2:$K$29,3,FALSE)*S416,0)*(1+$E$9)</f>
        <v>0</v>
      </c>
      <c r="AV416" s="107">
        <f>_xlfn.IFNA($M416/VLOOKUP($BT416,'Unit information'!$A$2:$K$29,4,FALSE)*T416,0)*(1+$E$9)</f>
        <v>0</v>
      </c>
      <c r="AW416" s="107">
        <f>_xlfn.IFNA($M416/VLOOKUP($BT416,'Unit information'!$A$2:$K$29,5,FALSE)*U416,0)*(1+$E$9)</f>
        <v>0</v>
      </c>
      <c r="AX416" s="107">
        <f>_xlfn.IFNA($M416/VLOOKUP($BU416,'Unit information'!$A$2:$K$29,6,FALSE)*V416,0)*(1+$E$9)</f>
        <v>0</v>
      </c>
      <c r="AY416" s="107">
        <f>_xlfn.IFNA($M416/VLOOKUP($BU416,'Unit information'!$A$2:$K$29,7,FALSE)*W416,0)*(1+$E$9)</f>
        <v>0</v>
      </c>
      <c r="AZ416" s="107">
        <f>_xlfn.IFNA($M416/VLOOKUP($BU416,'Unit information'!$A$2:$K$29,8,FALSE)*X416,0)*(1+$E$9)</f>
        <v>0</v>
      </c>
      <c r="BA416" s="107">
        <f>_xlfn.IFNA($M416/VLOOKUP($BU416,'Unit information'!$A$2:$K$29,9,FALSE)*Y416,0)*(1+$E$9)</f>
        <v>0</v>
      </c>
      <c r="BB416" s="107">
        <f>_xlfn.IFNA($M416/VLOOKUP($BV416,'Unit information'!$A$2:$K$29,10,FALSE)*Z416,0)*(1+$E$9)</f>
        <v>0</v>
      </c>
      <c r="BC416" s="108">
        <f>_xlfn.IFNA($M416/VLOOKUP($BV416,'Unit information'!$A$2:$K$29,11,FALSE)*AA416,0)*(1+$E$9)</f>
        <v>0</v>
      </c>
      <c r="BD416" s="106">
        <f t="shared" si="569"/>
        <v>0</v>
      </c>
      <c r="BE416" s="107">
        <f t="shared" si="570"/>
        <v>0</v>
      </c>
      <c r="BF416" s="108">
        <f t="shared" si="571"/>
        <v>0</v>
      </c>
      <c r="BG416" s="25" t="e">
        <f t="shared" si="572"/>
        <v>#N/A</v>
      </c>
      <c r="BH416" s="25" t="e">
        <f t="shared" si="573"/>
        <v>#N/A</v>
      </c>
      <c r="BI416" s="25" t="e">
        <f t="shared" si="574"/>
        <v>#N/A</v>
      </c>
      <c r="BJ416" s="27" t="e">
        <f t="shared" si="575"/>
        <v>#N/A</v>
      </c>
      <c r="BK416" s="18" t="e">
        <f t="shared" si="576"/>
        <v>#N/A</v>
      </c>
      <c r="BL416" s="18" t="e">
        <f t="shared" si="577"/>
        <v>#N/A</v>
      </c>
      <c r="BM416" s="28" t="e">
        <f t="shared" si="622"/>
        <v>#N/A</v>
      </c>
      <c r="BN416" s="33">
        <f>HLOOKUP("maximum population",Miscelaneous!$C$1:$C$33,CH416+3,FALSE)</f>
        <v>240</v>
      </c>
      <c r="BO416" s="14">
        <f t="shared" si="589"/>
        <v>32</v>
      </c>
      <c r="BP416" s="14">
        <f t="shared" si="590"/>
        <v>0</v>
      </c>
      <c r="BQ416" s="14">
        <f t="shared" si="591"/>
        <v>208</v>
      </c>
      <c r="BR416" s="34" t="e">
        <f>HLOOKUP(J416,Villagers!$B$1:$V$33,L416+3,FALSE)-HLOOKUP(J416,Villagers!$B$1:$V$33,L416+2,FALSE)</f>
        <v>#N/A</v>
      </c>
      <c r="BS416" s="49">
        <f t="shared" si="592"/>
        <v>1</v>
      </c>
      <c r="BT416" s="50">
        <f t="shared" si="593"/>
        <v>0</v>
      </c>
      <c r="BU416" s="50">
        <f t="shared" si="594"/>
        <v>0</v>
      </c>
      <c r="BV416" s="50">
        <f t="shared" si="595"/>
        <v>0</v>
      </c>
      <c r="BW416" s="50">
        <f t="shared" ref="BW416:BY422" si="635">IF($J415=BW$14,$L415,BW415)</f>
        <v>0</v>
      </c>
      <c r="BX416" s="50">
        <f t="shared" si="635"/>
        <v>0</v>
      </c>
      <c r="BY416" s="50">
        <f t="shared" si="635"/>
        <v>0</v>
      </c>
      <c r="BZ416" s="50">
        <f t="shared" si="623"/>
        <v>0</v>
      </c>
      <c r="CA416" s="50">
        <f t="shared" si="624"/>
        <v>0</v>
      </c>
      <c r="CB416" s="50">
        <f t="shared" si="625"/>
        <v>1</v>
      </c>
      <c r="CC416" s="50">
        <f t="shared" si="626"/>
        <v>0</v>
      </c>
      <c r="CD416" s="50">
        <f t="shared" si="627"/>
        <v>0</v>
      </c>
      <c r="CE416" s="50">
        <f t="shared" si="628"/>
        <v>1</v>
      </c>
      <c r="CF416" s="50">
        <f t="shared" si="629"/>
        <v>1</v>
      </c>
      <c r="CG416" s="50">
        <f t="shared" si="630"/>
        <v>1</v>
      </c>
      <c r="CH416" s="50">
        <f t="shared" si="631"/>
        <v>1</v>
      </c>
      <c r="CI416" s="50">
        <f t="shared" si="632"/>
        <v>1</v>
      </c>
      <c r="CJ416" s="50">
        <f t="shared" si="633"/>
        <v>1</v>
      </c>
      <c r="CK416" s="50">
        <f t="shared" si="633"/>
        <v>0</v>
      </c>
      <c r="CL416" s="50">
        <f t="shared" si="633"/>
        <v>0</v>
      </c>
      <c r="CM416" s="51">
        <f t="shared" si="634"/>
        <v>0</v>
      </c>
      <c r="CN416" s="33">
        <f>ROUND(IF(BS416=0,0,HLOOKUP(BS$14,Villagers!$B$1:$V$33,BS416+3,FALSE)),)</f>
        <v>5</v>
      </c>
      <c r="CO416" s="14">
        <f>ROUND(IF(BT416=0,0,HLOOKUP(BT$14,Villagers!$B$1:$V$33,BT416+3,FALSE)),)</f>
        <v>0</v>
      </c>
      <c r="CP416" s="14">
        <f>ROUND(IF(BU416=0,0,HLOOKUP(BU$14,Villagers!$B$1:$V$33,BU416+3,FALSE)),)</f>
        <v>0</v>
      </c>
      <c r="CQ416" s="14">
        <f>ROUND(IF(BV416=0,0,HLOOKUP(BV$14,Villagers!$B$1:$V$33,BV416+3,FALSE)),)</f>
        <v>0</v>
      </c>
      <c r="CR416" s="14">
        <f>ROUND(IF(BW416=0,0,HLOOKUP(BW$14,Villagers!$B$1:$V$33,BW416+3,FALSE)),)</f>
        <v>0</v>
      </c>
      <c r="CS416" s="14">
        <f>ROUND(IF(BX416=0,0,HLOOKUP(BX$14,Villagers!$B$1:$V$33,BX416+3,FALSE)),)</f>
        <v>0</v>
      </c>
      <c r="CT416" s="14">
        <f>ROUND(IF(BY416=0,0,HLOOKUP(BY$14,Villagers!$B$1:$V$33,BY416+3,FALSE)),)</f>
        <v>0</v>
      </c>
      <c r="CU416" s="14">
        <f>ROUND(IF(BZ416=0,0,HLOOKUP(BZ$14,Villagers!$B$1:$V$33,BZ416+3,FALSE)),)</f>
        <v>0</v>
      </c>
      <c r="CV416" s="14">
        <f>ROUND(IF(CA416=0,0,HLOOKUP(CA$14,Villagers!$B$1:$V$33,CA416+3,FALSE)),)</f>
        <v>0</v>
      </c>
      <c r="CW416" s="14">
        <f>ROUND(IF(CB416=0,0,HLOOKUP(CB$14,Villagers!$B$1:$V$33,CB416+3,FALSE)),)</f>
        <v>0</v>
      </c>
      <c r="CX416" s="14">
        <f>ROUND(IF(CC416=0,0,HLOOKUP(CC$14,Villagers!$B$1:$V$33,CC416+3,FALSE)),)</f>
        <v>0</v>
      </c>
      <c r="CY416" s="14">
        <f>ROUND(IF(CD416=0,0,HLOOKUP(CD$14,Villagers!$B$1:$V$33,CD416+3,FALSE)),)</f>
        <v>0</v>
      </c>
      <c r="CZ416" s="14">
        <f>ROUND(IF(CE416=0,0,HLOOKUP(CE$14,Villagers!$B$1:$V$33,CE416+3,FALSE)),)</f>
        <v>5</v>
      </c>
      <c r="DA416" s="14">
        <f>ROUND(IF(CF416=0,0,HLOOKUP(CF$14,Villagers!$B$1:$V$33,CF416+3,FALSE)),)</f>
        <v>10</v>
      </c>
      <c r="DB416" s="14">
        <f>ROUND(IF(CG416=0,0,HLOOKUP(CG$14,Villagers!$B$1:$V$33,CG416+3,FALSE)),)</f>
        <v>10</v>
      </c>
      <c r="DC416" s="14">
        <f>ROUND(IF(CH416=0,0,HLOOKUP(CH$14,Villagers!$B$1:$V$33,CH416+3,FALSE)),)</f>
        <v>0</v>
      </c>
      <c r="DD416" s="14">
        <f>ROUND(IF(CI416=0,0,HLOOKUP(CI$14,Villagers!$B$1:$V$33,CI416+3,FALSE)),)</f>
        <v>0</v>
      </c>
      <c r="DE416" s="14">
        <f>ROUND(IF(CJ416=0,0,HLOOKUP(CJ$14,Villagers!$B$1:$V$33,CJ416+3,FALSE)),)</f>
        <v>2</v>
      </c>
      <c r="DF416" s="370">
        <f>ROUND(IF(CK416=0,0,HLOOKUP(CK$14,Villagers!$B$1:$V$33,CK416+3,FALSE)),)</f>
        <v>0</v>
      </c>
      <c r="DG416" s="370">
        <f>ROUND(IF(CL416=0,0,HLOOKUP(CL$14,Villagers!$B$1:$V$33,CL416+3,FALSE)),)</f>
        <v>0</v>
      </c>
      <c r="DH416" s="34">
        <f>ROUND(IF(CM416=0,0,HLOOKUP(CM$14,Villagers!$B$1:$V$33,CM416+3,FALSE)),)</f>
        <v>0</v>
      </c>
      <c r="DI416" s="109">
        <f t="shared" si="611"/>
        <v>0</v>
      </c>
      <c r="DJ416" s="50">
        <f t="shared" si="612"/>
        <v>0</v>
      </c>
      <c r="DK416" s="50">
        <f t="shared" si="613"/>
        <v>0</v>
      </c>
      <c r="DL416" s="50">
        <f t="shared" si="614"/>
        <v>0</v>
      </c>
      <c r="DM416" s="50">
        <f t="shared" si="615"/>
        <v>0</v>
      </c>
      <c r="DN416" s="50">
        <f t="shared" si="616"/>
        <v>0</v>
      </c>
      <c r="DO416" s="50">
        <f t="shared" si="617"/>
        <v>0</v>
      </c>
      <c r="DP416" s="50">
        <f t="shared" si="618"/>
        <v>0</v>
      </c>
      <c r="DQ416" s="50">
        <f t="shared" si="596"/>
        <v>0</v>
      </c>
      <c r="DR416" s="50">
        <f t="shared" si="597"/>
        <v>0</v>
      </c>
      <c r="DS416" s="96">
        <f>Miscelaneous!$D$4*Miscelaneous!$D$2^($CI416-1)</f>
        <v>1000</v>
      </c>
      <c r="DT416" s="333">
        <f t="shared" si="579"/>
        <v>1</v>
      </c>
      <c r="DU416" s="81">
        <v>1</v>
      </c>
      <c r="DV416" s="79">
        <f t="shared" si="598"/>
        <v>0</v>
      </c>
      <c r="DW416" s="79">
        <f t="shared" si="599"/>
        <v>0</v>
      </c>
      <c r="DX416" s="79">
        <f t="shared" si="600"/>
        <v>0</v>
      </c>
      <c r="DY416" s="79">
        <v>1</v>
      </c>
      <c r="DZ416" s="79">
        <f t="shared" si="601"/>
        <v>0</v>
      </c>
      <c r="EA416" s="79">
        <f t="shared" si="602"/>
        <v>0</v>
      </c>
      <c r="EB416" s="79">
        <f t="shared" si="603"/>
        <v>0</v>
      </c>
      <c r="EC416" s="79">
        <f t="shared" si="604"/>
        <v>0</v>
      </c>
      <c r="ED416" s="79">
        <v>1</v>
      </c>
      <c r="EE416" s="79">
        <v>1</v>
      </c>
      <c r="EF416" s="79">
        <f t="shared" si="605"/>
        <v>0</v>
      </c>
      <c r="EG416" s="79">
        <v>1</v>
      </c>
      <c r="EH416" s="79">
        <v>1</v>
      </c>
      <c r="EI416" s="79">
        <v>1</v>
      </c>
      <c r="EJ416" s="79">
        <v>1</v>
      </c>
      <c r="EK416" s="79">
        <v>1</v>
      </c>
      <c r="EL416" s="79">
        <v>1</v>
      </c>
      <c r="EM416" s="143">
        <f t="shared" si="606"/>
        <v>0</v>
      </c>
      <c r="EN416" s="143">
        <f t="shared" si="607"/>
        <v>0</v>
      </c>
      <c r="EO416" s="82">
        <f t="shared" si="608"/>
        <v>0</v>
      </c>
    </row>
    <row r="417" spans="1:145" x14ac:dyDescent="0.25">
      <c r="A417">
        <v>403</v>
      </c>
      <c r="B417" s="172" t="e">
        <f t="shared" si="580"/>
        <v>#N/A</v>
      </c>
      <c r="C417" s="121" t="e">
        <f t="shared" si="558"/>
        <v>#N/A</v>
      </c>
      <c r="D417" s="122" t="e">
        <f t="shared" si="559"/>
        <v>#N/A</v>
      </c>
      <c r="E417" s="122" t="e">
        <f t="shared" si="560"/>
        <v>#N/A</v>
      </c>
      <c r="F417" s="176" t="e">
        <f t="shared" si="561"/>
        <v>#N/A</v>
      </c>
      <c r="G417" s="121">
        <f t="shared" si="581"/>
        <v>208</v>
      </c>
      <c r="H417" s="176" t="e">
        <f t="shared" si="582"/>
        <v>#N/A</v>
      </c>
      <c r="I417" s="48">
        <v>1</v>
      </c>
      <c r="J417" s="39"/>
      <c r="K417" s="350">
        <v>1</v>
      </c>
      <c r="L417" s="34" t="e">
        <f t="shared" si="562"/>
        <v>#N/A</v>
      </c>
      <c r="M417" s="38" t="e">
        <f>(HLOOKUP(J417,'Construction Times'!$B$3:$W$34,L417+2,FALSE)*HLOOKUP("hq modifier",'Construction Times'!$W$3:$W$34,BS417+2,FALSE))*(1-$H$9)</f>
        <v>#N/A</v>
      </c>
      <c r="N417" s="443" t="e">
        <f t="shared" si="583"/>
        <v>#N/A</v>
      </c>
      <c r="O417" s="444"/>
      <c r="P417" s="447" t="e">
        <f t="shared" si="584"/>
        <v>#N/A</v>
      </c>
      <c r="Q417" s="448"/>
      <c r="R417" s="103">
        <f t="shared" si="609"/>
        <v>0</v>
      </c>
      <c r="S417" s="104">
        <f t="shared" si="609"/>
        <v>0</v>
      </c>
      <c r="T417" s="104">
        <f t="shared" si="610"/>
        <v>0</v>
      </c>
      <c r="U417" s="104">
        <f t="shared" si="610"/>
        <v>0</v>
      </c>
      <c r="V417" s="104">
        <f t="shared" si="610"/>
        <v>9.9999999999999995E-8</v>
      </c>
      <c r="W417" s="104">
        <f t="shared" si="610"/>
        <v>0</v>
      </c>
      <c r="X417" s="104">
        <f t="shared" si="557"/>
        <v>0</v>
      </c>
      <c r="Y417" s="104">
        <f t="shared" si="557"/>
        <v>9.9999999999999995E-8</v>
      </c>
      <c r="Z417" s="104">
        <f t="shared" si="557"/>
        <v>9.9999999999999995E-8</v>
      </c>
      <c r="AA417" s="105">
        <f t="shared" si="557"/>
        <v>9.9999999999999995E-8</v>
      </c>
      <c r="AB417" s="101" t="e">
        <f>$DT417*HLOOKUP($J417,'Construction Costs (timber)'!$B$1:$V$32,'Construction Planner'!$L417+2,FALSE)</f>
        <v>#N/A</v>
      </c>
      <c r="AC417" s="14" t="e">
        <f>$DT417*HLOOKUP($J417,'Construction Costs (clay)'!$B$1:$V$32,'Construction Planner'!$L417+2,FALSE)</f>
        <v>#N/A</v>
      </c>
      <c r="AD417" s="14" t="e">
        <f>$DT417*HLOOKUP($J417,'Construction Costs (iron)'!$B$1:$V$32,'Construction Planner'!$L417+2,FALSE)</f>
        <v>#N/A</v>
      </c>
      <c r="AE417" s="34" t="e">
        <f t="shared" si="619"/>
        <v>#N/A</v>
      </c>
      <c r="AF417" s="33" t="e">
        <f t="shared" si="563"/>
        <v>#N/A</v>
      </c>
      <c r="AG417" s="14" t="e">
        <f t="shared" si="564"/>
        <v>#N/A</v>
      </c>
      <c r="AH417" s="14" t="e">
        <f t="shared" si="565"/>
        <v>#N/A</v>
      </c>
      <c r="AI417" s="34" t="e">
        <f t="shared" si="620"/>
        <v>#N/A</v>
      </c>
      <c r="AJ417" s="49" t="e">
        <f t="shared" si="585"/>
        <v>#N/A</v>
      </c>
      <c r="AK417" s="49" t="e">
        <f t="shared" si="586"/>
        <v>#N/A</v>
      </c>
      <c r="AL417" s="49" t="e">
        <f t="shared" si="587"/>
        <v>#N/A</v>
      </c>
      <c r="AM417" s="25">
        <f t="shared" si="566"/>
        <v>30</v>
      </c>
      <c r="AN417" s="25">
        <f t="shared" si="567"/>
        <v>30</v>
      </c>
      <c r="AO417" s="25">
        <f t="shared" si="568"/>
        <v>30</v>
      </c>
      <c r="AP417" s="52" t="e">
        <f t="shared" si="588"/>
        <v>#N/A</v>
      </c>
      <c r="AQ417" s="53" t="e">
        <f t="shared" si="588"/>
        <v>#N/A</v>
      </c>
      <c r="AR417" s="54" t="e">
        <f t="shared" si="588"/>
        <v>#N/A</v>
      </c>
      <c r="AS417" s="316">
        <f t="shared" si="621"/>
        <v>0</v>
      </c>
      <c r="AT417" s="106">
        <f>_xlfn.IFNA($M417/VLOOKUP($BT417,'Unit information'!$A$2:$K$29,2,FALSE)*R417,0)*(1+$E$9)</f>
        <v>0</v>
      </c>
      <c r="AU417" s="107">
        <f>_xlfn.IFNA($M417/VLOOKUP($BT417,'Unit information'!$A$2:$K$29,3,FALSE)*S417,0)*(1+$E$9)</f>
        <v>0</v>
      </c>
      <c r="AV417" s="107">
        <f>_xlfn.IFNA($M417/VLOOKUP($BT417,'Unit information'!$A$2:$K$29,4,FALSE)*T417,0)*(1+$E$9)</f>
        <v>0</v>
      </c>
      <c r="AW417" s="107">
        <f>_xlfn.IFNA($M417/VLOOKUP($BT417,'Unit information'!$A$2:$K$29,5,FALSE)*U417,0)*(1+$E$9)</f>
        <v>0</v>
      </c>
      <c r="AX417" s="107">
        <f>_xlfn.IFNA($M417/VLOOKUP($BU417,'Unit information'!$A$2:$K$29,6,FALSE)*V417,0)*(1+$E$9)</f>
        <v>0</v>
      </c>
      <c r="AY417" s="107">
        <f>_xlfn.IFNA($M417/VLOOKUP($BU417,'Unit information'!$A$2:$K$29,7,FALSE)*W417,0)*(1+$E$9)</f>
        <v>0</v>
      </c>
      <c r="AZ417" s="107">
        <f>_xlfn.IFNA($M417/VLOOKUP($BU417,'Unit information'!$A$2:$K$29,8,FALSE)*X417,0)*(1+$E$9)</f>
        <v>0</v>
      </c>
      <c r="BA417" s="107">
        <f>_xlfn.IFNA($M417/VLOOKUP($BU417,'Unit information'!$A$2:$K$29,9,FALSE)*Y417,0)*(1+$E$9)</f>
        <v>0</v>
      </c>
      <c r="BB417" s="107">
        <f>_xlfn.IFNA($M417/VLOOKUP($BV417,'Unit information'!$A$2:$K$29,10,FALSE)*Z417,0)*(1+$E$9)</f>
        <v>0</v>
      </c>
      <c r="BC417" s="108">
        <f>_xlfn.IFNA($M417/VLOOKUP($BV417,'Unit information'!$A$2:$K$29,11,FALSE)*AA417,0)*(1+$E$9)</f>
        <v>0</v>
      </c>
      <c r="BD417" s="106">
        <f t="shared" si="569"/>
        <v>0</v>
      </c>
      <c r="BE417" s="107">
        <f t="shared" si="570"/>
        <v>0</v>
      </c>
      <c r="BF417" s="108">
        <f t="shared" si="571"/>
        <v>0</v>
      </c>
      <c r="BG417" s="25" t="e">
        <f t="shared" si="572"/>
        <v>#N/A</v>
      </c>
      <c r="BH417" s="25" t="e">
        <f t="shared" si="573"/>
        <v>#N/A</v>
      </c>
      <c r="BI417" s="25" t="e">
        <f t="shared" si="574"/>
        <v>#N/A</v>
      </c>
      <c r="BJ417" s="27" t="e">
        <f t="shared" si="575"/>
        <v>#N/A</v>
      </c>
      <c r="BK417" s="18" t="e">
        <f t="shared" si="576"/>
        <v>#N/A</v>
      </c>
      <c r="BL417" s="18" t="e">
        <f t="shared" si="577"/>
        <v>#N/A</v>
      </c>
      <c r="BM417" s="28" t="e">
        <f t="shared" si="622"/>
        <v>#N/A</v>
      </c>
      <c r="BN417" s="33">
        <f>HLOOKUP("maximum population",Miscelaneous!$C$1:$C$33,CH417+3,FALSE)</f>
        <v>240</v>
      </c>
      <c r="BO417" s="14">
        <f t="shared" si="589"/>
        <v>32</v>
      </c>
      <c r="BP417" s="14">
        <f t="shared" si="590"/>
        <v>0</v>
      </c>
      <c r="BQ417" s="14">
        <f t="shared" si="591"/>
        <v>208</v>
      </c>
      <c r="BR417" s="34" t="e">
        <f>HLOOKUP(J417,Villagers!$B$1:$V$33,L417+3,FALSE)-HLOOKUP(J417,Villagers!$B$1:$V$33,L417+2,FALSE)</f>
        <v>#N/A</v>
      </c>
      <c r="BS417" s="49">
        <f t="shared" si="592"/>
        <v>1</v>
      </c>
      <c r="BT417" s="50">
        <f t="shared" si="593"/>
        <v>0</v>
      </c>
      <c r="BU417" s="50">
        <f t="shared" si="594"/>
        <v>0</v>
      </c>
      <c r="BV417" s="50">
        <f t="shared" si="595"/>
        <v>0</v>
      </c>
      <c r="BW417" s="50">
        <f t="shared" si="635"/>
        <v>0</v>
      </c>
      <c r="BX417" s="50">
        <f t="shared" si="635"/>
        <v>0</v>
      </c>
      <c r="BY417" s="50">
        <f t="shared" si="635"/>
        <v>0</v>
      </c>
      <c r="BZ417" s="50">
        <f t="shared" si="623"/>
        <v>0</v>
      </c>
      <c r="CA417" s="50">
        <f t="shared" si="624"/>
        <v>0</v>
      </c>
      <c r="CB417" s="50">
        <f t="shared" si="625"/>
        <v>1</v>
      </c>
      <c r="CC417" s="50">
        <f t="shared" si="626"/>
        <v>0</v>
      </c>
      <c r="CD417" s="50">
        <f t="shared" si="627"/>
        <v>0</v>
      </c>
      <c r="CE417" s="50">
        <f t="shared" si="628"/>
        <v>1</v>
      </c>
      <c r="CF417" s="50">
        <f t="shared" si="629"/>
        <v>1</v>
      </c>
      <c r="CG417" s="50">
        <f t="shared" si="630"/>
        <v>1</v>
      </c>
      <c r="CH417" s="50">
        <f t="shared" si="631"/>
        <v>1</v>
      </c>
      <c r="CI417" s="50">
        <f t="shared" si="632"/>
        <v>1</v>
      </c>
      <c r="CJ417" s="50">
        <f t="shared" si="633"/>
        <v>1</v>
      </c>
      <c r="CK417" s="50">
        <f t="shared" si="633"/>
        <v>0</v>
      </c>
      <c r="CL417" s="50">
        <f t="shared" si="633"/>
        <v>0</v>
      </c>
      <c r="CM417" s="51">
        <f t="shared" si="634"/>
        <v>0</v>
      </c>
      <c r="CN417" s="33">
        <f>ROUND(IF(BS417=0,0,HLOOKUP(BS$14,Villagers!$B$1:$V$33,BS417+3,FALSE)),)</f>
        <v>5</v>
      </c>
      <c r="CO417" s="14">
        <f>ROUND(IF(BT417=0,0,HLOOKUP(BT$14,Villagers!$B$1:$V$33,BT417+3,FALSE)),)</f>
        <v>0</v>
      </c>
      <c r="CP417" s="14">
        <f>ROUND(IF(BU417=0,0,HLOOKUP(BU$14,Villagers!$B$1:$V$33,BU417+3,FALSE)),)</f>
        <v>0</v>
      </c>
      <c r="CQ417" s="14">
        <f>ROUND(IF(BV417=0,0,HLOOKUP(BV$14,Villagers!$B$1:$V$33,BV417+3,FALSE)),)</f>
        <v>0</v>
      </c>
      <c r="CR417" s="14">
        <f>ROUND(IF(BW417=0,0,HLOOKUP(BW$14,Villagers!$B$1:$V$33,BW417+3,FALSE)),)</f>
        <v>0</v>
      </c>
      <c r="CS417" s="14">
        <f>ROUND(IF(BX417=0,0,HLOOKUP(BX$14,Villagers!$B$1:$V$33,BX417+3,FALSE)),)</f>
        <v>0</v>
      </c>
      <c r="CT417" s="14">
        <f>ROUND(IF(BY417=0,0,HLOOKUP(BY$14,Villagers!$B$1:$V$33,BY417+3,FALSE)),)</f>
        <v>0</v>
      </c>
      <c r="CU417" s="14">
        <f>ROUND(IF(BZ417=0,0,HLOOKUP(BZ$14,Villagers!$B$1:$V$33,BZ417+3,FALSE)),)</f>
        <v>0</v>
      </c>
      <c r="CV417" s="14">
        <f>ROUND(IF(CA417=0,0,HLOOKUP(CA$14,Villagers!$B$1:$V$33,CA417+3,FALSE)),)</f>
        <v>0</v>
      </c>
      <c r="CW417" s="14">
        <f>ROUND(IF(CB417=0,0,HLOOKUP(CB$14,Villagers!$B$1:$V$33,CB417+3,FALSE)),)</f>
        <v>0</v>
      </c>
      <c r="CX417" s="14">
        <f>ROUND(IF(CC417=0,0,HLOOKUP(CC$14,Villagers!$B$1:$V$33,CC417+3,FALSE)),)</f>
        <v>0</v>
      </c>
      <c r="CY417" s="14">
        <f>ROUND(IF(CD417=0,0,HLOOKUP(CD$14,Villagers!$B$1:$V$33,CD417+3,FALSE)),)</f>
        <v>0</v>
      </c>
      <c r="CZ417" s="14">
        <f>ROUND(IF(CE417=0,0,HLOOKUP(CE$14,Villagers!$B$1:$V$33,CE417+3,FALSE)),)</f>
        <v>5</v>
      </c>
      <c r="DA417" s="14">
        <f>ROUND(IF(CF417=0,0,HLOOKUP(CF$14,Villagers!$B$1:$V$33,CF417+3,FALSE)),)</f>
        <v>10</v>
      </c>
      <c r="DB417" s="14">
        <f>ROUND(IF(CG417=0,0,HLOOKUP(CG$14,Villagers!$B$1:$V$33,CG417+3,FALSE)),)</f>
        <v>10</v>
      </c>
      <c r="DC417" s="14">
        <f>ROUND(IF(CH417=0,0,HLOOKUP(CH$14,Villagers!$B$1:$V$33,CH417+3,FALSE)),)</f>
        <v>0</v>
      </c>
      <c r="DD417" s="14">
        <f>ROUND(IF(CI417=0,0,HLOOKUP(CI$14,Villagers!$B$1:$V$33,CI417+3,FALSE)),)</f>
        <v>0</v>
      </c>
      <c r="DE417" s="14">
        <f>ROUND(IF(CJ417=0,0,HLOOKUP(CJ$14,Villagers!$B$1:$V$33,CJ417+3,FALSE)),)</f>
        <v>2</v>
      </c>
      <c r="DF417" s="370">
        <f>ROUND(IF(CK417=0,0,HLOOKUP(CK$14,Villagers!$B$1:$V$33,CK417+3,FALSE)),)</f>
        <v>0</v>
      </c>
      <c r="DG417" s="370">
        <f>ROUND(IF(CL417=0,0,HLOOKUP(CL$14,Villagers!$B$1:$V$33,CL417+3,FALSE)),)</f>
        <v>0</v>
      </c>
      <c r="DH417" s="34">
        <f>ROUND(IF(CM417=0,0,HLOOKUP(CM$14,Villagers!$B$1:$V$33,CM417+3,FALSE)),)</f>
        <v>0</v>
      </c>
      <c r="DI417" s="109">
        <f t="shared" si="611"/>
        <v>0</v>
      </c>
      <c r="DJ417" s="50">
        <f t="shared" si="612"/>
        <v>0</v>
      </c>
      <c r="DK417" s="50">
        <f t="shared" si="613"/>
        <v>0</v>
      </c>
      <c r="DL417" s="50">
        <f t="shared" si="614"/>
        <v>0</v>
      </c>
      <c r="DM417" s="50">
        <f t="shared" si="615"/>
        <v>0</v>
      </c>
      <c r="DN417" s="50">
        <f t="shared" si="616"/>
        <v>0</v>
      </c>
      <c r="DO417" s="50">
        <f t="shared" si="617"/>
        <v>0</v>
      </c>
      <c r="DP417" s="50">
        <f t="shared" si="618"/>
        <v>0</v>
      </c>
      <c r="DQ417" s="50">
        <f t="shared" si="596"/>
        <v>0</v>
      </c>
      <c r="DR417" s="50">
        <f t="shared" si="597"/>
        <v>0</v>
      </c>
      <c r="DS417" s="96">
        <f>Miscelaneous!$D$4*Miscelaneous!$D$2^($CI417-1)</f>
        <v>1000</v>
      </c>
      <c r="DT417" s="333">
        <f t="shared" si="579"/>
        <v>1</v>
      </c>
      <c r="DU417" s="81">
        <v>1</v>
      </c>
      <c r="DV417" s="79">
        <f t="shared" si="598"/>
        <v>0</v>
      </c>
      <c r="DW417" s="79">
        <f t="shared" si="599"/>
        <v>0</v>
      </c>
      <c r="DX417" s="79">
        <f t="shared" si="600"/>
        <v>0</v>
      </c>
      <c r="DY417" s="79">
        <v>1</v>
      </c>
      <c r="DZ417" s="79">
        <f t="shared" si="601"/>
        <v>0</v>
      </c>
      <c r="EA417" s="79">
        <f t="shared" si="602"/>
        <v>0</v>
      </c>
      <c r="EB417" s="79">
        <f t="shared" si="603"/>
        <v>0</v>
      </c>
      <c r="EC417" s="79">
        <f t="shared" si="604"/>
        <v>0</v>
      </c>
      <c r="ED417" s="79">
        <v>1</v>
      </c>
      <c r="EE417" s="79">
        <v>1</v>
      </c>
      <c r="EF417" s="79">
        <f t="shared" si="605"/>
        <v>0</v>
      </c>
      <c r="EG417" s="79">
        <v>1</v>
      </c>
      <c r="EH417" s="79">
        <v>1</v>
      </c>
      <c r="EI417" s="79">
        <v>1</v>
      </c>
      <c r="EJ417" s="79">
        <v>1</v>
      </c>
      <c r="EK417" s="79">
        <v>1</v>
      </c>
      <c r="EL417" s="79">
        <v>1</v>
      </c>
      <c r="EM417" s="143">
        <f t="shared" si="606"/>
        <v>0</v>
      </c>
      <c r="EN417" s="143">
        <f t="shared" si="607"/>
        <v>0</v>
      </c>
      <c r="EO417" s="82">
        <f t="shared" si="608"/>
        <v>0</v>
      </c>
    </row>
    <row r="418" spans="1:145" x14ac:dyDescent="0.25">
      <c r="A418">
        <v>404</v>
      </c>
      <c r="B418" s="172" t="e">
        <f t="shared" si="580"/>
        <v>#N/A</v>
      </c>
      <c r="C418" s="121" t="e">
        <f t="shared" si="558"/>
        <v>#N/A</v>
      </c>
      <c r="D418" s="122" t="e">
        <f t="shared" si="559"/>
        <v>#N/A</v>
      </c>
      <c r="E418" s="122" t="e">
        <f t="shared" si="560"/>
        <v>#N/A</v>
      </c>
      <c r="F418" s="176" t="e">
        <f t="shared" si="561"/>
        <v>#N/A</v>
      </c>
      <c r="G418" s="121">
        <f t="shared" si="581"/>
        <v>208</v>
      </c>
      <c r="H418" s="176" t="e">
        <f t="shared" si="582"/>
        <v>#N/A</v>
      </c>
      <c r="I418" s="48">
        <v>1</v>
      </c>
      <c r="J418" s="39"/>
      <c r="K418" s="350">
        <v>1</v>
      </c>
      <c r="L418" s="34" t="e">
        <f t="shared" si="562"/>
        <v>#N/A</v>
      </c>
      <c r="M418" s="38" t="e">
        <f>(HLOOKUP(J418,'Construction Times'!$B$3:$W$34,L418+2,FALSE)*HLOOKUP("hq modifier",'Construction Times'!$W$3:$W$34,BS418+2,FALSE))*(1-$H$9)</f>
        <v>#N/A</v>
      </c>
      <c r="N418" s="443" t="e">
        <f t="shared" si="583"/>
        <v>#N/A</v>
      </c>
      <c r="O418" s="444"/>
      <c r="P418" s="447" t="e">
        <f t="shared" si="584"/>
        <v>#N/A</v>
      </c>
      <c r="Q418" s="448"/>
      <c r="R418" s="103">
        <f t="shared" si="609"/>
        <v>0</v>
      </c>
      <c r="S418" s="104">
        <f t="shared" si="609"/>
        <v>0</v>
      </c>
      <c r="T418" s="104">
        <f t="shared" si="610"/>
        <v>0</v>
      </c>
      <c r="U418" s="104">
        <f t="shared" si="610"/>
        <v>0</v>
      </c>
      <c r="V418" s="104">
        <f t="shared" si="610"/>
        <v>9.9999999999999995E-8</v>
      </c>
      <c r="W418" s="104">
        <f t="shared" si="610"/>
        <v>0</v>
      </c>
      <c r="X418" s="104">
        <f t="shared" si="557"/>
        <v>0</v>
      </c>
      <c r="Y418" s="104">
        <f t="shared" si="557"/>
        <v>9.9999999999999995E-8</v>
      </c>
      <c r="Z418" s="104">
        <f t="shared" si="557"/>
        <v>9.9999999999999995E-8</v>
      </c>
      <c r="AA418" s="105">
        <f t="shared" si="557"/>
        <v>9.9999999999999995E-8</v>
      </c>
      <c r="AB418" s="101" t="e">
        <f>$DT418*HLOOKUP($J418,'Construction Costs (timber)'!$B$1:$V$32,'Construction Planner'!$L418+2,FALSE)</f>
        <v>#N/A</v>
      </c>
      <c r="AC418" s="14" t="e">
        <f>$DT418*HLOOKUP($J418,'Construction Costs (clay)'!$B$1:$V$32,'Construction Planner'!$L418+2,FALSE)</f>
        <v>#N/A</v>
      </c>
      <c r="AD418" s="14" t="e">
        <f>$DT418*HLOOKUP($J418,'Construction Costs (iron)'!$B$1:$V$32,'Construction Planner'!$L418+2,FALSE)</f>
        <v>#N/A</v>
      </c>
      <c r="AE418" s="34" t="e">
        <f t="shared" si="619"/>
        <v>#N/A</v>
      </c>
      <c r="AF418" s="33" t="e">
        <f t="shared" si="563"/>
        <v>#N/A</v>
      </c>
      <c r="AG418" s="14" t="e">
        <f t="shared" si="564"/>
        <v>#N/A</v>
      </c>
      <c r="AH418" s="14" t="e">
        <f t="shared" si="565"/>
        <v>#N/A</v>
      </c>
      <c r="AI418" s="34" t="e">
        <f t="shared" si="620"/>
        <v>#N/A</v>
      </c>
      <c r="AJ418" s="49" t="e">
        <f t="shared" si="585"/>
        <v>#N/A</v>
      </c>
      <c r="AK418" s="49" t="e">
        <f t="shared" si="586"/>
        <v>#N/A</v>
      </c>
      <c r="AL418" s="49" t="e">
        <f t="shared" si="587"/>
        <v>#N/A</v>
      </c>
      <c r="AM418" s="25">
        <f t="shared" si="566"/>
        <v>30</v>
      </c>
      <c r="AN418" s="25">
        <f t="shared" si="567"/>
        <v>30</v>
      </c>
      <c r="AO418" s="25">
        <f t="shared" si="568"/>
        <v>30</v>
      </c>
      <c r="AP418" s="52" t="e">
        <f t="shared" si="588"/>
        <v>#N/A</v>
      </c>
      <c r="AQ418" s="53" t="e">
        <f t="shared" si="588"/>
        <v>#N/A</v>
      </c>
      <c r="AR418" s="54" t="e">
        <f t="shared" si="588"/>
        <v>#N/A</v>
      </c>
      <c r="AS418" s="316">
        <f t="shared" si="621"/>
        <v>0</v>
      </c>
      <c r="AT418" s="106">
        <f>_xlfn.IFNA($M418/VLOOKUP($BT418,'Unit information'!$A$2:$K$29,2,FALSE)*R418,0)*(1+$E$9)</f>
        <v>0</v>
      </c>
      <c r="AU418" s="107">
        <f>_xlfn.IFNA($M418/VLOOKUP($BT418,'Unit information'!$A$2:$K$29,3,FALSE)*S418,0)*(1+$E$9)</f>
        <v>0</v>
      </c>
      <c r="AV418" s="107">
        <f>_xlfn.IFNA($M418/VLOOKUP($BT418,'Unit information'!$A$2:$K$29,4,FALSE)*T418,0)*(1+$E$9)</f>
        <v>0</v>
      </c>
      <c r="AW418" s="107">
        <f>_xlfn.IFNA($M418/VLOOKUP($BT418,'Unit information'!$A$2:$K$29,5,FALSE)*U418,0)*(1+$E$9)</f>
        <v>0</v>
      </c>
      <c r="AX418" s="107">
        <f>_xlfn.IFNA($M418/VLOOKUP($BU418,'Unit information'!$A$2:$K$29,6,FALSE)*V418,0)*(1+$E$9)</f>
        <v>0</v>
      </c>
      <c r="AY418" s="107">
        <f>_xlfn.IFNA($M418/VLOOKUP($BU418,'Unit information'!$A$2:$K$29,7,FALSE)*W418,0)*(1+$E$9)</f>
        <v>0</v>
      </c>
      <c r="AZ418" s="107">
        <f>_xlfn.IFNA($M418/VLOOKUP($BU418,'Unit information'!$A$2:$K$29,8,FALSE)*X418,0)*(1+$E$9)</f>
        <v>0</v>
      </c>
      <c r="BA418" s="107">
        <f>_xlfn.IFNA($M418/VLOOKUP($BU418,'Unit information'!$A$2:$K$29,9,FALSE)*Y418,0)*(1+$E$9)</f>
        <v>0</v>
      </c>
      <c r="BB418" s="107">
        <f>_xlfn.IFNA($M418/VLOOKUP($BV418,'Unit information'!$A$2:$K$29,10,FALSE)*Z418,0)*(1+$E$9)</f>
        <v>0</v>
      </c>
      <c r="BC418" s="108">
        <f>_xlfn.IFNA($M418/VLOOKUP($BV418,'Unit information'!$A$2:$K$29,11,FALSE)*AA418,0)*(1+$E$9)</f>
        <v>0</v>
      </c>
      <c r="BD418" s="106">
        <f t="shared" si="569"/>
        <v>0</v>
      </c>
      <c r="BE418" s="107">
        <f t="shared" si="570"/>
        <v>0</v>
      </c>
      <c r="BF418" s="108">
        <f t="shared" si="571"/>
        <v>0</v>
      </c>
      <c r="BG418" s="25" t="e">
        <f t="shared" si="572"/>
        <v>#N/A</v>
      </c>
      <c r="BH418" s="25" t="e">
        <f t="shared" si="573"/>
        <v>#N/A</v>
      </c>
      <c r="BI418" s="25" t="e">
        <f t="shared" si="574"/>
        <v>#N/A</v>
      </c>
      <c r="BJ418" s="27" t="e">
        <f t="shared" si="575"/>
        <v>#N/A</v>
      </c>
      <c r="BK418" s="18" t="e">
        <f t="shared" si="576"/>
        <v>#N/A</v>
      </c>
      <c r="BL418" s="18" t="e">
        <f t="shared" si="577"/>
        <v>#N/A</v>
      </c>
      <c r="BM418" s="28" t="e">
        <f t="shared" si="622"/>
        <v>#N/A</v>
      </c>
      <c r="BN418" s="33">
        <f>HLOOKUP("maximum population",Miscelaneous!$C$1:$C$33,CH418+3,FALSE)</f>
        <v>240</v>
      </c>
      <c r="BO418" s="14">
        <f t="shared" si="589"/>
        <v>32</v>
      </c>
      <c r="BP418" s="14">
        <f t="shared" si="590"/>
        <v>0</v>
      </c>
      <c r="BQ418" s="14">
        <f t="shared" si="591"/>
        <v>208</v>
      </c>
      <c r="BR418" s="34" t="e">
        <f>HLOOKUP(J418,Villagers!$B$1:$V$33,L418+3,FALSE)-HLOOKUP(J418,Villagers!$B$1:$V$33,L418+2,FALSE)</f>
        <v>#N/A</v>
      </c>
      <c r="BS418" s="49">
        <f t="shared" si="592"/>
        <v>1</v>
      </c>
      <c r="BT418" s="50">
        <f t="shared" si="593"/>
        <v>0</v>
      </c>
      <c r="BU418" s="50">
        <f t="shared" si="594"/>
        <v>0</v>
      </c>
      <c r="BV418" s="50">
        <f t="shared" si="595"/>
        <v>0</v>
      </c>
      <c r="BW418" s="50">
        <f t="shared" si="635"/>
        <v>0</v>
      </c>
      <c r="BX418" s="50">
        <f t="shared" si="635"/>
        <v>0</v>
      </c>
      <c r="BY418" s="50">
        <f t="shared" si="635"/>
        <v>0</v>
      </c>
      <c r="BZ418" s="50">
        <f t="shared" si="623"/>
        <v>0</v>
      </c>
      <c r="CA418" s="50">
        <f t="shared" si="624"/>
        <v>0</v>
      </c>
      <c r="CB418" s="50">
        <f t="shared" si="625"/>
        <v>1</v>
      </c>
      <c r="CC418" s="50">
        <f t="shared" si="626"/>
        <v>0</v>
      </c>
      <c r="CD418" s="50">
        <f t="shared" si="627"/>
        <v>0</v>
      </c>
      <c r="CE418" s="50">
        <f t="shared" si="628"/>
        <v>1</v>
      </c>
      <c r="CF418" s="50">
        <f t="shared" si="629"/>
        <v>1</v>
      </c>
      <c r="CG418" s="50">
        <f t="shared" si="630"/>
        <v>1</v>
      </c>
      <c r="CH418" s="50">
        <f t="shared" si="631"/>
        <v>1</v>
      </c>
      <c r="CI418" s="50">
        <f t="shared" si="632"/>
        <v>1</v>
      </c>
      <c r="CJ418" s="50">
        <f t="shared" si="633"/>
        <v>1</v>
      </c>
      <c r="CK418" s="50">
        <f t="shared" si="633"/>
        <v>0</v>
      </c>
      <c r="CL418" s="50">
        <f t="shared" si="633"/>
        <v>0</v>
      </c>
      <c r="CM418" s="51">
        <f t="shared" si="634"/>
        <v>0</v>
      </c>
      <c r="CN418" s="33">
        <f>ROUND(IF(BS418=0,0,HLOOKUP(BS$14,Villagers!$B$1:$V$33,BS418+3,FALSE)),)</f>
        <v>5</v>
      </c>
      <c r="CO418" s="14">
        <f>ROUND(IF(BT418=0,0,HLOOKUP(BT$14,Villagers!$B$1:$V$33,BT418+3,FALSE)),)</f>
        <v>0</v>
      </c>
      <c r="CP418" s="14">
        <f>ROUND(IF(BU418=0,0,HLOOKUP(BU$14,Villagers!$B$1:$V$33,BU418+3,FALSE)),)</f>
        <v>0</v>
      </c>
      <c r="CQ418" s="14">
        <f>ROUND(IF(BV418=0,0,HLOOKUP(BV$14,Villagers!$B$1:$V$33,BV418+3,FALSE)),)</f>
        <v>0</v>
      </c>
      <c r="CR418" s="14">
        <f>ROUND(IF(BW418=0,0,HLOOKUP(BW$14,Villagers!$B$1:$V$33,BW418+3,FALSE)),)</f>
        <v>0</v>
      </c>
      <c r="CS418" s="14">
        <f>ROUND(IF(BX418=0,0,HLOOKUP(BX$14,Villagers!$B$1:$V$33,BX418+3,FALSE)),)</f>
        <v>0</v>
      </c>
      <c r="CT418" s="14">
        <f>ROUND(IF(BY418=0,0,HLOOKUP(BY$14,Villagers!$B$1:$V$33,BY418+3,FALSE)),)</f>
        <v>0</v>
      </c>
      <c r="CU418" s="14">
        <f>ROUND(IF(BZ418=0,0,HLOOKUP(BZ$14,Villagers!$B$1:$V$33,BZ418+3,FALSE)),)</f>
        <v>0</v>
      </c>
      <c r="CV418" s="14">
        <f>ROUND(IF(CA418=0,0,HLOOKUP(CA$14,Villagers!$B$1:$V$33,CA418+3,FALSE)),)</f>
        <v>0</v>
      </c>
      <c r="CW418" s="14">
        <f>ROUND(IF(CB418=0,0,HLOOKUP(CB$14,Villagers!$B$1:$V$33,CB418+3,FALSE)),)</f>
        <v>0</v>
      </c>
      <c r="CX418" s="14">
        <f>ROUND(IF(CC418=0,0,HLOOKUP(CC$14,Villagers!$B$1:$V$33,CC418+3,FALSE)),)</f>
        <v>0</v>
      </c>
      <c r="CY418" s="14">
        <f>ROUND(IF(CD418=0,0,HLOOKUP(CD$14,Villagers!$B$1:$V$33,CD418+3,FALSE)),)</f>
        <v>0</v>
      </c>
      <c r="CZ418" s="14">
        <f>ROUND(IF(CE418=0,0,HLOOKUP(CE$14,Villagers!$B$1:$V$33,CE418+3,FALSE)),)</f>
        <v>5</v>
      </c>
      <c r="DA418" s="14">
        <f>ROUND(IF(CF418=0,0,HLOOKUP(CF$14,Villagers!$B$1:$V$33,CF418+3,FALSE)),)</f>
        <v>10</v>
      </c>
      <c r="DB418" s="14">
        <f>ROUND(IF(CG418=0,0,HLOOKUP(CG$14,Villagers!$B$1:$V$33,CG418+3,FALSE)),)</f>
        <v>10</v>
      </c>
      <c r="DC418" s="14">
        <f>ROUND(IF(CH418=0,0,HLOOKUP(CH$14,Villagers!$B$1:$V$33,CH418+3,FALSE)),)</f>
        <v>0</v>
      </c>
      <c r="DD418" s="14">
        <f>ROUND(IF(CI418=0,0,HLOOKUP(CI$14,Villagers!$B$1:$V$33,CI418+3,FALSE)),)</f>
        <v>0</v>
      </c>
      <c r="DE418" s="14">
        <f>ROUND(IF(CJ418=0,0,HLOOKUP(CJ$14,Villagers!$B$1:$V$33,CJ418+3,FALSE)),)</f>
        <v>2</v>
      </c>
      <c r="DF418" s="370">
        <f>ROUND(IF(CK418=0,0,HLOOKUP(CK$14,Villagers!$B$1:$V$33,CK418+3,FALSE)),)</f>
        <v>0</v>
      </c>
      <c r="DG418" s="370">
        <f>ROUND(IF(CL418=0,0,HLOOKUP(CL$14,Villagers!$B$1:$V$33,CL418+3,FALSE)),)</f>
        <v>0</v>
      </c>
      <c r="DH418" s="34">
        <f>ROUND(IF(CM418=0,0,HLOOKUP(CM$14,Villagers!$B$1:$V$33,CM418+3,FALSE)),)</f>
        <v>0</v>
      </c>
      <c r="DI418" s="109">
        <f t="shared" si="611"/>
        <v>0</v>
      </c>
      <c r="DJ418" s="50">
        <f t="shared" si="612"/>
        <v>0</v>
      </c>
      <c r="DK418" s="50">
        <f t="shared" si="613"/>
        <v>0</v>
      </c>
      <c r="DL418" s="50">
        <f t="shared" si="614"/>
        <v>0</v>
      </c>
      <c r="DM418" s="50">
        <f t="shared" si="615"/>
        <v>0</v>
      </c>
      <c r="DN418" s="50">
        <f t="shared" si="616"/>
        <v>0</v>
      </c>
      <c r="DO418" s="50">
        <f t="shared" si="617"/>
        <v>0</v>
      </c>
      <c r="DP418" s="50">
        <f t="shared" si="618"/>
        <v>0</v>
      </c>
      <c r="DQ418" s="50">
        <f t="shared" si="596"/>
        <v>0</v>
      </c>
      <c r="DR418" s="50">
        <f t="shared" si="597"/>
        <v>0</v>
      </c>
      <c r="DS418" s="96">
        <f>Miscelaneous!$D$4*Miscelaneous!$D$2^($CI418-1)</f>
        <v>1000</v>
      </c>
      <c r="DT418" s="333">
        <f t="shared" si="579"/>
        <v>1</v>
      </c>
      <c r="DU418" s="81">
        <v>1</v>
      </c>
      <c r="DV418" s="79">
        <f t="shared" si="598"/>
        <v>0</v>
      </c>
      <c r="DW418" s="79">
        <f t="shared" si="599"/>
        <v>0</v>
      </c>
      <c r="DX418" s="79">
        <f t="shared" si="600"/>
        <v>0</v>
      </c>
      <c r="DY418" s="79">
        <v>1</v>
      </c>
      <c r="DZ418" s="79">
        <f t="shared" si="601"/>
        <v>0</v>
      </c>
      <c r="EA418" s="79">
        <f t="shared" si="602"/>
        <v>0</v>
      </c>
      <c r="EB418" s="79">
        <f t="shared" si="603"/>
        <v>0</v>
      </c>
      <c r="EC418" s="79">
        <f t="shared" si="604"/>
        <v>0</v>
      </c>
      <c r="ED418" s="79">
        <v>1</v>
      </c>
      <c r="EE418" s="79">
        <v>1</v>
      </c>
      <c r="EF418" s="79">
        <f t="shared" si="605"/>
        <v>0</v>
      </c>
      <c r="EG418" s="79">
        <v>1</v>
      </c>
      <c r="EH418" s="79">
        <v>1</v>
      </c>
      <c r="EI418" s="79">
        <v>1</v>
      </c>
      <c r="EJ418" s="79">
        <v>1</v>
      </c>
      <c r="EK418" s="79">
        <v>1</v>
      </c>
      <c r="EL418" s="79">
        <v>1</v>
      </c>
      <c r="EM418" s="143">
        <f t="shared" si="606"/>
        <v>0</v>
      </c>
      <c r="EN418" s="143">
        <f t="shared" si="607"/>
        <v>0</v>
      </c>
      <c r="EO418" s="82">
        <f t="shared" si="608"/>
        <v>0</v>
      </c>
    </row>
    <row r="419" spans="1:145" x14ac:dyDescent="0.25">
      <c r="A419">
        <v>405</v>
      </c>
      <c r="B419" s="172" t="e">
        <f t="shared" si="580"/>
        <v>#N/A</v>
      </c>
      <c r="C419" s="121" t="e">
        <f t="shared" si="558"/>
        <v>#N/A</v>
      </c>
      <c r="D419" s="122" t="e">
        <f t="shared" si="559"/>
        <v>#N/A</v>
      </c>
      <c r="E419" s="122" t="e">
        <f t="shared" si="560"/>
        <v>#N/A</v>
      </c>
      <c r="F419" s="176" t="e">
        <f t="shared" si="561"/>
        <v>#N/A</v>
      </c>
      <c r="G419" s="121">
        <f t="shared" si="581"/>
        <v>208</v>
      </c>
      <c r="H419" s="176" t="e">
        <f t="shared" si="582"/>
        <v>#N/A</v>
      </c>
      <c r="I419" s="48">
        <v>1</v>
      </c>
      <c r="J419" s="39"/>
      <c r="K419" s="350">
        <v>1</v>
      </c>
      <c r="L419" s="34" t="e">
        <f t="shared" si="562"/>
        <v>#N/A</v>
      </c>
      <c r="M419" s="38" t="e">
        <f>(HLOOKUP(J419,'Construction Times'!$B$3:$W$34,L419+2,FALSE)*HLOOKUP("hq modifier",'Construction Times'!$W$3:$W$34,BS419+2,FALSE))*(1-$H$9)</f>
        <v>#N/A</v>
      </c>
      <c r="N419" s="443" t="e">
        <f t="shared" si="583"/>
        <v>#N/A</v>
      </c>
      <c r="O419" s="444"/>
      <c r="P419" s="447" t="e">
        <f t="shared" si="584"/>
        <v>#N/A</v>
      </c>
      <c r="Q419" s="448"/>
      <c r="R419" s="103">
        <f t="shared" si="609"/>
        <v>0</v>
      </c>
      <c r="S419" s="104">
        <f t="shared" si="609"/>
        <v>0</v>
      </c>
      <c r="T419" s="104">
        <f t="shared" si="610"/>
        <v>0</v>
      </c>
      <c r="U419" s="104">
        <f t="shared" si="610"/>
        <v>0</v>
      </c>
      <c r="V419" s="104">
        <f t="shared" si="610"/>
        <v>9.9999999999999995E-8</v>
      </c>
      <c r="W419" s="104">
        <f t="shared" si="610"/>
        <v>0</v>
      </c>
      <c r="X419" s="104">
        <f t="shared" si="557"/>
        <v>0</v>
      </c>
      <c r="Y419" s="104">
        <f t="shared" si="557"/>
        <v>9.9999999999999995E-8</v>
      </c>
      <c r="Z419" s="104">
        <f t="shared" si="557"/>
        <v>9.9999999999999995E-8</v>
      </c>
      <c r="AA419" s="105">
        <f t="shared" si="557"/>
        <v>9.9999999999999995E-8</v>
      </c>
      <c r="AB419" s="101" t="e">
        <f>$DT419*HLOOKUP($J419,'Construction Costs (timber)'!$B$1:$V$32,'Construction Planner'!$L419+2,FALSE)</f>
        <v>#N/A</v>
      </c>
      <c r="AC419" s="14" t="e">
        <f>$DT419*HLOOKUP($J419,'Construction Costs (clay)'!$B$1:$V$32,'Construction Planner'!$L419+2,FALSE)</f>
        <v>#N/A</v>
      </c>
      <c r="AD419" s="14" t="e">
        <f>$DT419*HLOOKUP($J419,'Construction Costs (iron)'!$B$1:$V$32,'Construction Planner'!$L419+2,FALSE)</f>
        <v>#N/A</v>
      </c>
      <c r="AE419" s="34" t="e">
        <f t="shared" si="619"/>
        <v>#N/A</v>
      </c>
      <c r="AF419" s="33" t="e">
        <f t="shared" si="563"/>
        <v>#N/A</v>
      </c>
      <c r="AG419" s="14" t="e">
        <f t="shared" si="564"/>
        <v>#N/A</v>
      </c>
      <c r="AH419" s="14" t="e">
        <f t="shared" si="565"/>
        <v>#N/A</v>
      </c>
      <c r="AI419" s="34" t="e">
        <f t="shared" si="620"/>
        <v>#N/A</v>
      </c>
      <c r="AJ419" s="49" t="e">
        <f t="shared" si="585"/>
        <v>#N/A</v>
      </c>
      <c r="AK419" s="49" t="e">
        <f t="shared" si="586"/>
        <v>#N/A</v>
      </c>
      <c r="AL419" s="49" t="e">
        <f t="shared" si="587"/>
        <v>#N/A</v>
      </c>
      <c r="AM419" s="25">
        <f t="shared" si="566"/>
        <v>30</v>
      </c>
      <c r="AN419" s="25">
        <f t="shared" si="567"/>
        <v>30</v>
      </c>
      <c r="AO419" s="25">
        <f t="shared" si="568"/>
        <v>30</v>
      </c>
      <c r="AP419" s="52" t="e">
        <f t="shared" si="588"/>
        <v>#N/A</v>
      </c>
      <c r="AQ419" s="53" t="e">
        <f t="shared" si="588"/>
        <v>#N/A</v>
      </c>
      <c r="AR419" s="54" t="e">
        <f t="shared" si="588"/>
        <v>#N/A</v>
      </c>
      <c r="AS419" s="316">
        <f t="shared" si="621"/>
        <v>0</v>
      </c>
      <c r="AT419" s="106">
        <f>_xlfn.IFNA($M419/VLOOKUP($BT419,'Unit information'!$A$2:$K$29,2,FALSE)*R419,0)*(1+$E$9)</f>
        <v>0</v>
      </c>
      <c r="AU419" s="107">
        <f>_xlfn.IFNA($M419/VLOOKUP($BT419,'Unit information'!$A$2:$K$29,3,FALSE)*S419,0)*(1+$E$9)</f>
        <v>0</v>
      </c>
      <c r="AV419" s="107">
        <f>_xlfn.IFNA($M419/VLOOKUP($BT419,'Unit information'!$A$2:$K$29,4,FALSE)*T419,0)*(1+$E$9)</f>
        <v>0</v>
      </c>
      <c r="AW419" s="107">
        <f>_xlfn.IFNA($M419/VLOOKUP($BT419,'Unit information'!$A$2:$K$29,5,FALSE)*U419,0)*(1+$E$9)</f>
        <v>0</v>
      </c>
      <c r="AX419" s="107">
        <f>_xlfn.IFNA($M419/VLOOKUP($BU419,'Unit information'!$A$2:$K$29,6,FALSE)*V419,0)*(1+$E$9)</f>
        <v>0</v>
      </c>
      <c r="AY419" s="107">
        <f>_xlfn.IFNA($M419/VLOOKUP($BU419,'Unit information'!$A$2:$K$29,7,FALSE)*W419,0)*(1+$E$9)</f>
        <v>0</v>
      </c>
      <c r="AZ419" s="107">
        <f>_xlfn.IFNA($M419/VLOOKUP($BU419,'Unit information'!$A$2:$K$29,8,FALSE)*X419,0)*(1+$E$9)</f>
        <v>0</v>
      </c>
      <c r="BA419" s="107">
        <f>_xlfn.IFNA($M419/VLOOKUP($BU419,'Unit information'!$A$2:$K$29,9,FALSE)*Y419,0)*(1+$E$9)</f>
        <v>0</v>
      </c>
      <c r="BB419" s="107">
        <f>_xlfn.IFNA($M419/VLOOKUP($BV419,'Unit information'!$A$2:$K$29,10,FALSE)*Z419,0)*(1+$E$9)</f>
        <v>0</v>
      </c>
      <c r="BC419" s="108">
        <f>_xlfn.IFNA($M419/VLOOKUP($BV419,'Unit information'!$A$2:$K$29,11,FALSE)*AA419,0)*(1+$E$9)</f>
        <v>0</v>
      </c>
      <c r="BD419" s="106">
        <f t="shared" si="569"/>
        <v>0</v>
      </c>
      <c r="BE419" s="107">
        <f t="shared" si="570"/>
        <v>0</v>
      </c>
      <c r="BF419" s="108">
        <f t="shared" si="571"/>
        <v>0</v>
      </c>
      <c r="BG419" s="25" t="e">
        <f t="shared" si="572"/>
        <v>#N/A</v>
      </c>
      <c r="BH419" s="25" t="e">
        <f t="shared" si="573"/>
        <v>#N/A</v>
      </c>
      <c r="BI419" s="25" t="e">
        <f t="shared" si="574"/>
        <v>#N/A</v>
      </c>
      <c r="BJ419" s="27" t="e">
        <f t="shared" si="575"/>
        <v>#N/A</v>
      </c>
      <c r="BK419" s="18" t="e">
        <f t="shared" si="576"/>
        <v>#N/A</v>
      </c>
      <c r="BL419" s="18" t="e">
        <f t="shared" si="577"/>
        <v>#N/A</v>
      </c>
      <c r="BM419" s="28" t="e">
        <f t="shared" si="622"/>
        <v>#N/A</v>
      </c>
      <c r="BN419" s="33">
        <f>HLOOKUP("maximum population",Miscelaneous!$C$1:$C$33,CH419+3,FALSE)</f>
        <v>240</v>
      </c>
      <c r="BO419" s="14">
        <f t="shared" si="589"/>
        <v>32</v>
      </c>
      <c r="BP419" s="14">
        <f t="shared" si="590"/>
        <v>0</v>
      </c>
      <c r="BQ419" s="14">
        <f t="shared" si="591"/>
        <v>208</v>
      </c>
      <c r="BR419" s="34" t="e">
        <f>HLOOKUP(J419,Villagers!$B$1:$V$33,L419+3,FALSE)-HLOOKUP(J419,Villagers!$B$1:$V$33,L419+2,FALSE)</f>
        <v>#N/A</v>
      </c>
      <c r="BS419" s="49">
        <f t="shared" si="592"/>
        <v>1</v>
      </c>
      <c r="BT419" s="50">
        <f t="shared" si="593"/>
        <v>0</v>
      </c>
      <c r="BU419" s="50">
        <f t="shared" si="594"/>
        <v>0</v>
      </c>
      <c r="BV419" s="50">
        <f t="shared" si="595"/>
        <v>0</v>
      </c>
      <c r="BW419" s="50">
        <f t="shared" si="635"/>
        <v>0</v>
      </c>
      <c r="BX419" s="50">
        <f t="shared" si="635"/>
        <v>0</v>
      </c>
      <c r="BY419" s="50">
        <f t="shared" si="635"/>
        <v>0</v>
      </c>
      <c r="BZ419" s="50">
        <f t="shared" si="623"/>
        <v>0</v>
      </c>
      <c r="CA419" s="50">
        <f t="shared" si="624"/>
        <v>0</v>
      </c>
      <c r="CB419" s="50">
        <f t="shared" si="625"/>
        <v>1</v>
      </c>
      <c r="CC419" s="50">
        <f t="shared" si="626"/>
        <v>0</v>
      </c>
      <c r="CD419" s="50">
        <f t="shared" si="627"/>
        <v>0</v>
      </c>
      <c r="CE419" s="50">
        <f t="shared" si="628"/>
        <v>1</v>
      </c>
      <c r="CF419" s="50">
        <f t="shared" si="629"/>
        <v>1</v>
      </c>
      <c r="CG419" s="50">
        <f t="shared" si="630"/>
        <v>1</v>
      </c>
      <c r="CH419" s="50">
        <f t="shared" si="631"/>
        <v>1</v>
      </c>
      <c r="CI419" s="50">
        <f t="shared" si="632"/>
        <v>1</v>
      </c>
      <c r="CJ419" s="50">
        <f t="shared" si="633"/>
        <v>1</v>
      </c>
      <c r="CK419" s="50">
        <f t="shared" si="633"/>
        <v>0</v>
      </c>
      <c r="CL419" s="50">
        <f t="shared" si="633"/>
        <v>0</v>
      </c>
      <c r="CM419" s="51">
        <f t="shared" si="634"/>
        <v>0</v>
      </c>
      <c r="CN419" s="33">
        <f>ROUND(IF(BS419=0,0,HLOOKUP(BS$14,Villagers!$B$1:$V$33,BS419+3,FALSE)),)</f>
        <v>5</v>
      </c>
      <c r="CO419" s="14">
        <f>ROUND(IF(BT419=0,0,HLOOKUP(BT$14,Villagers!$B$1:$V$33,BT419+3,FALSE)),)</f>
        <v>0</v>
      </c>
      <c r="CP419" s="14">
        <f>ROUND(IF(BU419=0,0,HLOOKUP(BU$14,Villagers!$B$1:$V$33,BU419+3,FALSE)),)</f>
        <v>0</v>
      </c>
      <c r="CQ419" s="14">
        <f>ROUND(IF(BV419=0,0,HLOOKUP(BV$14,Villagers!$B$1:$V$33,BV419+3,FALSE)),)</f>
        <v>0</v>
      </c>
      <c r="CR419" s="14">
        <f>ROUND(IF(BW419=0,0,HLOOKUP(BW$14,Villagers!$B$1:$V$33,BW419+3,FALSE)),)</f>
        <v>0</v>
      </c>
      <c r="CS419" s="14">
        <f>ROUND(IF(BX419=0,0,HLOOKUP(BX$14,Villagers!$B$1:$V$33,BX419+3,FALSE)),)</f>
        <v>0</v>
      </c>
      <c r="CT419" s="14">
        <f>ROUND(IF(BY419=0,0,HLOOKUP(BY$14,Villagers!$B$1:$V$33,BY419+3,FALSE)),)</f>
        <v>0</v>
      </c>
      <c r="CU419" s="14">
        <f>ROUND(IF(BZ419=0,0,HLOOKUP(BZ$14,Villagers!$B$1:$V$33,BZ419+3,FALSE)),)</f>
        <v>0</v>
      </c>
      <c r="CV419" s="14">
        <f>ROUND(IF(CA419=0,0,HLOOKUP(CA$14,Villagers!$B$1:$V$33,CA419+3,FALSE)),)</f>
        <v>0</v>
      </c>
      <c r="CW419" s="14">
        <f>ROUND(IF(CB419=0,0,HLOOKUP(CB$14,Villagers!$B$1:$V$33,CB419+3,FALSE)),)</f>
        <v>0</v>
      </c>
      <c r="CX419" s="14">
        <f>ROUND(IF(CC419=0,0,HLOOKUP(CC$14,Villagers!$B$1:$V$33,CC419+3,FALSE)),)</f>
        <v>0</v>
      </c>
      <c r="CY419" s="14">
        <f>ROUND(IF(CD419=0,0,HLOOKUP(CD$14,Villagers!$B$1:$V$33,CD419+3,FALSE)),)</f>
        <v>0</v>
      </c>
      <c r="CZ419" s="14">
        <f>ROUND(IF(CE419=0,0,HLOOKUP(CE$14,Villagers!$B$1:$V$33,CE419+3,FALSE)),)</f>
        <v>5</v>
      </c>
      <c r="DA419" s="14">
        <f>ROUND(IF(CF419=0,0,HLOOKUP(CF$14,Villagers!$B$1:$V$33,CF419+3,FALSE)),)</f>
        <v>10</v>
      </c>
      <c r="DB419" s="14">
        <f>ROUND(IF(CG419=0,0,HLOOKUP(CG$14,Villagers!$B$1:$V$33,CG419+3,FALSE)),)</f>
        <v>10</v>
      </c>
      <c r="DC419" s="14">
        <f>ROUND(IF(CH419=0,0,HLOOKUP(CH$14,Villagers!$B$1:$V$33,CH419+3,FALSE)),)</f>
        <v>0</v>
      </c>
      <c r="DD419" s="14">
        <f>ROUND(IF(CI419=0,0,HLOOKUP(CI$14,Villagers!$B$1:$V$33,CI419+3,FALSE)),)</f>
        <v>0</v>
      </c>
      <c r="DE419" s="14">
        <f>ROUND(IF(CJ419=0,0,HLOOKUP(CJ$14,Villagers!$B$1:$V$33,CJ419+3,FALSE)),)</f>
        <v>2</v>
      </c>
      <c r="DF419" s="370">
        <f>ROUND(IF(CK419=0,0,HLOOKUP(CK$14,Villagers!$B$1:$V$33,CK419+3,FALSE)),)</f>
        <v>0</v>
      </c>
      <c r="DG419" s="370">
        <f>ROUND(IF(CL419=0,0,HLOOKUP(CL$14,Villagers!$B$1:$V$33,CL419+3,FALSE)),)</f>
        <v>0</v>
      </c>
      <c r="DH419" s="34">
        <f>ROUND(IF(CM419=0,0,HLOOKUP(CM$14,Villagers!$B$1:$V$33,CM419+3,FALSE)),)</f>
        <v>0</v>
      </c>
      <c r="DI419" s="109">
        <f t="shared" si="611"/>
        <v>0</v>
      </c>
      <c r="DJ419" s="50">
        <f t="shared" si="612"/>
        <v>0</v>
      </c>
      <c r="DK419" s="50">
        <f t="shared" si="613"/>
        <v>0</v>
      </c>
      <c r="DL419" s="50">
        <f t="shared" si="614"/>
        <v>0</v>
      </c>
      <c r="DM419" s="50">
        <f t="shared" si="615"/>
        <v>0</v>
      </c>
      <c r="DN419" s="50">
        <f t="shared" si="616"/>
        <v>0</v>
      </c>
      <c r="DO419" s="50">
        <f t="shared" si="617"/>
        <v>0</v>
      </c>
      <c r="DP419" s="50">
        <f t="shared" si="618"/>
        <v>0</v>
      </c>
      <c r="DQ419" s="50">
        <f t="shared" si="596"/>
        <v>0</v>
      </c>
      <c r="DR419" s="50">
        <f t="shared" si="597"/>
        <v>0</v>
      </c>
      <c r="DS419" s="96">
        <f>Miscelaneous!$D$4*Miscelaneous!$D$2^($CI419-1)</f>
        <v>1000</v>
      </c>
      <c r="DT419" s="333">
        <f t="shared" si="579"/>
        <v>1</v>
      </c>
      <c r="DU419" s="81">
        <v>1</v>
      </c>
      <c r="DV419" s="79">
        <f t="shared" si="598"/>
        <v>0</v>
      </c>
      <c r="DW419" s="79">
        <f t="shared" si="599"/>
        <v>0</v>
      </c>
      <c r="DX419" s="79">
        <f t="shared" si="600"/>
        <v>0</v>
      </c>
      <c r="DY419" s="79">
        <v>1</v>
      </c>
      <c r="DZ419" s="79">
        <f t="shared" si="601"/>
        <v>0</v>
      </c>
      <c r="EA419" s="79">
        <f t="shared" si="602"/>
        <v>0</v>
      </c>
      <c r="EB419" s="79">
        <f t="shared" si="603"/>
        <v>0</v>
      </c>
      <c r="EC419" s="79">
        <f t="shared" si="604"/>
        <v>0</v>
      </c>
      <c r="ED419" s="79">
        <v>1</v>
      </c>
      <c r="EE419" s="79">
        <v>1</v>
      </c>
      <c r="EF419" s="79">
        <f t="shared" si="605"/>
        <v>0</v>
      </c>
      <c r="EG419" s="79">
        <v>1</v>
      </c>
      <c r="EH419" s="79">
        <v>1</v>
      </c>
      <c r="EI419" s="79">
        <v>1</v>
      </c>
      <c r="EJ419" s="79">
        <v>1</v>
      </c>
      <c r="EK419" s="79">
        <v>1</v>
      </c>
      <c r="EL419" s="79">
        <v>1</v>
      </c>
      <c r="EM419" s="143">
        <f t="shared" si="606"/>
        <v>0</v>
      </c>
      <c r="EN419" s="143">
        <f t="shared" si="607"/>
        <v>0</v>
      </c>
      <c r="EO419" s="82">
        <f t="shared" si="608"/>
        <v>0</v>
      </c>
    </row>
    <row r="420" spans="1:145" x14ac:dyDescent="0.25">
      <c r="A420">
        <v>406</v>
      </c>
      <c r="B420" s="172" t="e">
        <f t="shared" si="580"/>
        <v>#N/A</v>
      </c>
      <c r="C420" s="121" t="e">
        <f t="shared" si="558"/>
        <v>#N/A</v>
      </c>
      <c r="D420" s="122" t="e">
        <f t="shared" si="559"/>
        <v>#N/A</v>
      </c>
      <c r="E420" s="122" t="e">
        <f t="shared" si="560"/>
        <v>#N/A</v>
      </c>
      <c r="F420" s="176" t="e">
        <f t="shared" si="561"/>
        <v>#N/A</v>
      </c>
      <c r="G420" s="121">
        <f t="shared" si="581"/>
        <v>208</v>
      </c>
      <c r="H420" s="176" t="e">
        <f t="shared" si="582"/>
        <v>#N/A</v>
      </c>
      <c r="I420" s="48">
        <v>1</v>
      </c>
      <c r="J420" s="39"/>
      <c r="K420" s="350">
        <v>1</v>
      </c>
      <c r="L420" s="34" t="e">
        <f t="shared" si="562"/>
        <v>#N/A</v>
      </c>
      <c r="M420" s="38" t="e">
        <f>(HLOOKUP(J420,'Construction Times'!$B$3:$W$34,L420+2,FALSE)*HLOOKUP("hq modifier",'Construction Times'!$W$3:$W$34,BS420+2,FALSE))*(1-$H$9)</f>
        <v>#N/A</v>
      </c>
      <c r="N420" s="443" t="e">
        <f t="shared" si="583"/>
        <v>#N/A</v>
      </c>
      <c r="O420" s="444"/>
      <c r="P420" s="447" t="e">
        <f t="shared" si="584"/>
        <v>#N/A</v>
      </c>
      <c r="Q420" s="448"/>
      <c r="R420" s="103">
        <f t="shared" si="609"/>
        <v>0</v>
      </c>
      <c r="S420" s="104">
        <f t="shared" si="609"/>
        <v>0</v>
      </c>
      <c r="T420" s="104">
        <f t="shared" si="610"/>
        <v>0</v>
      </c>
      <c r="U420" s="104">
        <f t="shared" si="610"/>
        <v>0</v>
      </c>
      <c r="V420" s="104">
        <f t="shared" si="610"/>
        <v>9.9999999999999995E-8</v>
      </c>
      <c r="W420" s="104">
        <f t="shared" si="610"/>
        <v>0</v>
      </c>
      <c r="X420" s="104">
        <f t="shared" si="557"/>
        <v>0</v>
      </c>
      <c r="Y420" s="104">
        <f t="shared" si="557"/>
        <v>9.9999999999999995E-8</v>
      </c>
      <c r="Z420" s="104">
        <f t="shared" si="557"/>
        <v>9.9999999999999995E-8</v>
      </c>
      <c r="AA420" s="105">
        <f t="shared" si="557"/>
        <v>9.9999999999999995E-8</v>
      </c>
      <c r="AB420" s="101" t="e">
        <f>$DT420*HLOOKUP($J420,'Construction Costs (timber)'!$B$1:$V$32,'Construction Planner'!$L420+2,FALSE)</f>
        <v>#N/A</v>
      </c>
      <c r="AC420" s="14" t="e">
        <f>$DT420*HLOOKUP($J420,'Construction Costs (clay)'!$B$1:$V$32,'Construction Planner'!$L420+2,FALSE)</f>
        <v>#N/A</v>
      </c>
      <c r="AD420" s="14" t="e">
        <f>$DT420*HLOOKUP($J420,'Construction Costs (iron)'!$B$1:$V$32,'Construction Planner'!$L420+2,FALSE)</f>
        <v>#N/A</v>
      </c>
      <c r="AE420" s="34" t="e">
        <f t="shared" si="619"/>
        <v>#N/A</v>
      </c>
      <c r="AF420" s="33" t="e">
        <f t="shared" si="563"/>
        <v>#N/A</v>
      </c>
      <c r="AG420" s="14" t="e">
        <f t="shared" si="564"/>
        <v>#N/A</v>
      </c>
      <c r="AH420" s="14" t="e">
        <f t="shared" si="565"/>
        <v>#N/A</v>
      </c>
      <c r="AI420" s="34" t="e">
        <f t="shared" si="620"/>
        <v>#N/A</v>
      </c>
      <c r="AJ420" s="49" t="e">
        <f t="shared" si="585"/>
        <v>#N/A</v>
      </c>
      <c r="AK420" s="49" t="e">
        <f t="shared" si="586"/>
        <v>#N/A</v>
      </c>
      <c r="AL420" s="49" t="e">
        <f t="shared" si="587"/>
        <v>#N/A</v>
      </c>
      <c r="AM420" s="25">
        <f t="shared" si="566"/>
        <v>30</v>
      </c>
      <c r="AN420" s="25">
        <f t="shared" si="567"/>
        <v>30</v>
      </c>
      <c r="AO420" s="25">
        <f t="shared" si="568"/>
        <v>30</v>
      </c>
      <c r="AP420" s="52" t="e">
        <f t="shared" si="588"/>
        <v>#N/A</v>
      </c>
      <c r="AQ420" s="53" t="e">
        <f t="shared" si="588"/>
        <v>#N/A</v>
      </c>
      <c r="AR420" s="54" t="e">
        <f t="shared" si="588"/>
        <v>#N/A</v>
      </c>
      <c r="AS420" s="316">
        <f t="shared" ref="AS420:AS435" si="636">AS419</f>
        <v>0</v>
      </c>
      <c r="AT420" s="106">
        <f>_xlfn.IFNA($M420/VLOOKUP($BT420,'Unit information'!$A$2:$K$29,2,FALSE)*R420,0)*(1+$E$9)</f>
        <v>0</v>
      </c>
      <c r="AU420" s="107">
        <f>_xlfn.IFNA($M420/VLOOKUP($BT420,'Unit information'!$A$2:$K$29,3,FALSE)*S420,0)*(1+$E$9)</f>
        <v>0</v>
      </c>
      <c r="AV420" s="107">
        <f>_xlfn.IFNA($M420/VLOOKUP($BT420,'Unit information'!$A$2:$K$29,4,FALSE)*T420,0)*(1+$E$9)</f>
        <v>0</v>
      </c>
      <c r="AW420" s="107">
        <f>_xlfn.IFNA($M420/VLOOKUP($BT420,'Unit information'!$A$2:$K$29,5,FALSE)*U420,0)*(1+$E$9)</f>
        <v>0</v>
      </c>
      <c r="AX420" s="107">
        <f>_xlfn.IFNA($M420/VLOOKUP($BU420,'Unit information'!$A$2:$K$29,6,FALSE)*V420,0)*(1+$E$9)</f>
        <v>0</v>
      </c>
      <c r="AY420" s="107">
        <f>_xlfn.IFNA($M420/VLOOKUP($BU420,'Unit information'!$A$2:$K$29,7,FALSE)*W420,0)*(1+$E$9)</f>
        <v>0</v>
      </c>
      <c r="AZ420" s="107">
        <f>_xlfn.IFNA($M420/VLOOKUP($BU420,'Unit information'!$A$2:$K$29,8,FALSE)*X420,0)*(1+$E$9)</f>
        <v>0</v>
      </c>
      <c r="BA420" s="107">
        <f>_xlfn.IFNA($M420/VLOOKUP($BU420,'Unit information'!$A$2:$K$29,9,FALSE)*Y420,0)*(1+$E$9)</f>
        <v>0</v>
      </c>
      <c r="BB420" s="107">
        <f>_xlfn.IFNA($M420/VLOOKUP($BV420,'Unit information'!$A$2:$K$29,10,FALSE)*Z420,0)*(1+$E$9)</f>
        <v>0</v>
      </c>
      <c r="BC420" s="108">
        <f>_xlfn.IFNA($M420/VLOOKUP($BV420,'Unit information'!$A$2:$K$29,11,FALSE)*AA420,0)*(1+$E$9)</f>
        <v>0</v>
      </c>
      <c r="BD420" s="106">
        <f t="shared" si="569"/>
        <v>0</v>
      </c>
      <c r="BE420" s="107">
        <f t="shared" si="570"/>
        <v>0</v>
      </c>
      <c r="BF420" s="108">
        <f t="shared" si="571"/>
        <v>0</v>
      </c>
      <c r="BG420" s="25" t="e">
        <f t="shared" si="572"/>
        <v>#N/A</v>
      </c>
      <c r="BH420" s="25" t="e">
        <f t="shared" si="573"/>
        <v>#N/A</v>
      </c>
      <c r="BI420" s="25" t="e">
        <f t="shared" si="574"/>
        <v>#N/A</v>
      </c>
      <c r="BJ420" s="27" t="e">
        <f t="shared" si="575"/>
        <v>#N/A</v>
      </c>
      <c r="BK420" s="18" t="e">
        <f t="shared" si="576"/>
        <v>#N/A</v>
      </c>
      <c r="BL420" s="18" t="e">
        <f t="shared" si="577"/>
        <v>#N/A</v>
      </c>
      <c r="BM420" s="28" t="e">
        <f t="shared" si="622"/>
        <v>#N/A</v>
      </c>
      <c r="BN420" s="33">
        <f>HLOOKUP("maximum population",Miscelaneous!$C$1:$C$33,CH420+3,FALSE)</f>
        <v>240</v>
      </c>
      <c r="BO420" s="14">
        <f t="shared" si="589"/>
        <v>32</v>
      </c>
      <c r="BP420" s="14">
        <f t="shared" si="590"/>
        <v>0</v>
      </c>
      <c r="BQ420" s="14">
        <f t="shared" si="591"/>
        <v>208</v>
      </c>
      <c r="BR420" s="34" t="e">
        <f>HLOOKUP(J420,Villagers!$B$1:$V$33,L420+3,FALSE)-HLOOKUP(J420,Villagers!$B$1:$V$33,L420+2,FALSE)</f>
        <v>#N/A</v>
      </c>
      <c r="BS420" s="49">
        <f t="shared" si="592"/>
        <v>1</v>
      </c>
      <c r="BT420" s="50">
        <f t="shared" si="593"/>
        <v>0</v>
      </c>
      <c r="BU420" s="50">
        <f t="shared" si="594"/>
        <v>0</v>
      </c>
      <c r="BV420" s="50">
        <f t="shared" si="595"/>
        <v>0</v>
      </c>
      <c r="BW420" s="50">
        <f t="shared" si="635"/>
        <v>0</v>
      </c>
      <c r="BX420" s="50">
        <f t="shared" si="635"/>
        <v>0</v>
      </c>
      <c r="BY420" s="50">
        <f t="shared" si="635"/>
        <v>0</v>
      </c>
      <c r="BZ420" s="50">
        <f t="shared" si="623"/>
        <v>0</v>
      </c>
      <c r="CA420" s="50">
        <f t="shared" si="624"/>
        <v>0</v>
      </c>
      <c r="CB420" s="50">
        <f t="shared" si="625"/>
        <v>1</v>
      </c>
      <c r="CC420" s="50">
        <f t="shared" si="626"/>
        <v>0</v>
      </c>
      <c r="CD420" s="50">
        <f t="shared" si="627"/>
        <v>0</v>
      </c>
      <c r="CE420" s="50">
        <f t="shared" si="628"/>
        <v>1</v>
      </c>
      <c r="CF420" s="50">
        <f t="shared" si="629"/>
        <v>1</v>
      </c>
      <c r="CG420" s="50">
        <f t="shared" si="630"/>
        <v>1</v>
      </c>
      <c r="CH420" s="50">
        <f t="shared" si="631"/>
        <v>1</v>
      </c>
      <c r="CI420" s="50">
        <f t="shared" si="632"/>
        <v>1</v>
      </c>
      <c r="CJ420" s="50">
        <f t="shared" si="633"/>
        <v>1</v>
      </c>
      <c r="CK420" s="50">
        <f t="shared" si="633"/>
        <v>0</v>
      </c>
      <c r="CL420" s="50">
        <f t="shared" si="633"/>
        <v>0</v>
      </c>
      <c r="CM420" s="51">
        <f t="shared" si="634"/>
        <v>0</v>
      </c>
      <c r="CN420" s="33">
        <f>ROUND(IF(BS420=0,0,HLOOKUP(BS$14,Villagers!$B$1:$V$33,BS420+3,FALSE)),)</f>
        <v>5</v>
      </c>
      <c r="CO420" s="14">
        <f>ROUND(IF(BT420=0,0,HLOOKUP(BT$14,Villagers!$B$1:$V$33,BT420+3,FALSE)),)</f>
        <v>0</v>
      </c>
      <c r="CP420" s="14">
        <f>ROUND(IF(BU420=0,0,HLOOKUP(BU$14,Villagers!$B$1:$V$33,BU420+3,FALSE)),)</f>
        <v>0</v>
      </c>
      <c r="CQ420" s="14">
        <f>ROUND(IF(BV420=0,0,HLOOKUP(BV$14,Villagers!$B$1:$V$33,BV420+3,FALSE)),)</f>
        <v>0</v>
      </c>
      <c r="CR420" s="14">
        <f>ROUND(IF(BW420=0,0,HLOOKUP(BW$14,Villagers!$B$1:$V$33,BW420+3,FALSE)),)</f>
        <v>0</v>
      </c>
      <c r="CS420" s="14">
        <f>ROUND(IF(BX420=0,0,HLOOKUP(BX$14,Villagers!$B$1:$V$33,BX420+3,FALSE)),)</f>
        <v>0</v>
      </c>
      <c r="CT420" s="14">
        <f>ROUND(IF(BY420=0,0,HLOOKUP(BY$14,Villagers!$B$1:$V$33,BY420+3,FALSE)),)</f>
        <v>0</v>
      </c>
      <c r="CU420" s="14">
        <f>ROUND(IF(BZ420=0,0,HLOOKUP(BZ$14,Villagers!$B$1:$V$33,BZ420+3,FALSE)),)</f>
        <v>0</v>
      </c>
      <c r="CV420" s="14">
        <f>ROUND(IF(CA420=0,0,HLOOKUP(CA$14,Villagers!$B$1:$V$33,CA420+3,FALSE)),)</f>
        <v>0</v>
      </c>
      <c r="CW420" s="14">
        <f>ROUND(IF(CB420=0,0,HLOOKUP(CB$14,Villagers!$B$1:$V$33,CB420+3,FALSE)),)</f>
        <v>0</v>
      </c>
      <c r="CX420" s="14">
        <f>ROUND(IF(CC420=0,0,HLOOKUP(CC$14,Villagers!$B$1:$V$33,CC420+3,FALSE)),)</f>
        <v>0</v>
      </c>
      <c r="CY420" s="14">
        <f>ROUND(IF(CD420=0,0,HLOOKUP(CD$14,Villagers!$B$1:$V$33,CD420+3,FALSE)),)</f>
        <v>0</v>
      </c>
      <c r="CZ420" s="14">
        <f>ROUND(IF(CE420=0,0,HLOOKUP(CE$14,Villagers!$B$1:$V$33,CE420+3,FALSE)),)</f>
        <v>5</v>
      </c>
      <c r="DA420" s="14">
        <f>ROUND(IF(CF420=0,0,HLOOKUP(CF$14,Villagers!$B$1:$V$33,CF420+3,FALSE)),)</f>
        <v>10</v>
      </c>
      <c r="DB420" s="14">
        <f>ROUND(IF(CG420=0,0,HLOOKUP(CG$14,Villagers!$B$1:$V$33,CG420+3,FALSE)),)</f>
        <v>10</v>
      </c>
      <c r="DC420" s="14">
        <f>ROUND(IF(CH420=0,0,HLOOKUP(CH$14,Villagers!$B$1:$V$33,CH420+3,FALSE)),)</f>
        <v>0</v>
      </c>
      <c r="DD420" s="14">
        <f>ROUND(IF(CI420=0,0,HLOOKUP(CI$14,Villagers!$B$1:$V$33,CI420+3,FALSE)),)</f>
        <v>0</v>
      </c>
      <c r="DE420" s="14">
        <f>ROUND(IF(CJ420=0,0,HLOOKUP(CJ$14,Villagers!$B$1:$V$33,CJ420+3,FALSE)),)</f>
        <v>2</v>
      </c>
      <c r="DF420" s="370">
        <f>ROUND(IF(CK420=0,0,HLOOKUP(CK$14,Villagers!$B$1:$V$33,CK420+3,FALSE)),)</f>
        <v>0</v>
      </c>
      <c r="DG420" s="370">
        <f>ROUND(IF(CL420=0,0,HLOOKUP(CL$14,Villagers!$B$1:$V$33,CL420+3,FALSE)),)</f>
        <v>0</v>
      </c>
      <c r="DH420" s="34">
        <f>ROUND(IF(CM420=0,0,HLOOKUP(CM$14,Villagers!$B$1:$V$33,CM420+3,FALSE)),)</f>
        <v>0</v>
      </c>
      <c r="DI420" s="109">
        <f t="shared" si="611"/>
        <v>0</v>
      </c>
      <c r="DJ420" s="50">
        <f t="shared" si="612"/>
        <v>0</v>
      </c>
      <c r="DK420" s="50">
        <f t="shared" si="613"/>
        <v>0</v>
      </c>
      <c r="DL420" s="50">
        <f t="shared" si="614"/>
        <v>0</v>
      </c>
      <c r="DM420" s="50">
        <f t="shared" si="615"/>
        <v>0</v>
      </c>
      <c r="DN420" s="50">
        <f t="shared" si="616"/>
        <v>0</v>
      </c>
      <c r="DO420" s="50">
        <f t="shared" si="617"/>
        <v>0</v>
      </c>
      <c r="DP420" s="50">
        <f t="shared" si="618"/>
        <v>0</v>
      </c>
      <c r="DQ420" s="50">
        <f t="shared" si="596"/>
        <v>0</v>
      </c>
      <c r="DR420" s="50">
        <f t="shared" si="597"/>
        <v>0</v>
      </c>
      <c r="DS420" s="96">
        <f>Miscelaneous!$D$4*Miscelaneous!$D$2^($CI420-1)</f>
        <v>1000</v>
      </c>
      <c r="DT420" s="333">
        <f t="shared" si="579"/>
        <v>1</v>
      </c>
      <c r="DU420" s="81">
        <v>1</v>
      </c>
      <c r="DV420" s="79">
        <f t="shared" si="598"/>
        <v>0</v>
      </c>
      <c r="DW420" s="79">
        <f t="shared" si="599"/>
        <v>0</v>
      </c>
      <c r="DX420" s="79">
        <f t="shared" si="600"/>
        <v>0</v>
      </c>
      <c r="DY420" s="79">
        <v>1</v>
      </c>
      <c r="DZ420" s="79">
        <f t="shared" si="601"/>
        <v>0</v>
      </c>
      <c r="EA420" s="79">
        <f t="shared" si="602"/>
        <v>0</v>
      </c>
      <c r="EB420" s="79">
        <f t="shared" si="603"/>
        <v>0</v>
      </c>
      <c r="EC420" s="79">
        <f t="shared" si="604"/>
        <v>0</v>
      </c>
      <c r="ED420" s="79">
        <v>1</v>
      </c>
      <c r="EE420" s="79">
        <v>1</v>
      </c>
      <c r="EF420" s="79">
        <f t="shared" si="605"/>
        <v>0</v>
      </c>
      <c r="EG420" s="79">
        <v>1</v>
      </c>
      <c r="EH420" s="79">
        <v>1</v>
      </c>
      <c r="EI420" s="79">
        <v>1</v>
      </c>
      <c r="EJ420" s="79">
        <v>1</v>
      </c>
      <c r="EK420" s="79">
        <v>1</v>
      </c>
      <c r="EL420" s="79">
        <v>1</v>
      </c>
      <c r="EM420" s="143">
        <f t="shared" si="606"/>
        <v>0</v>
      </c>
      <c r="EN420" s="143">
        <f t="shared" si="607"/>
        <v>0</v>
      </c>
      <c r="EO420" s="82">
        <f t="shared" si="608"/>
        <v>0</v>
      </c>
    </row>
    <row r="421" spans="1:145" x14ac:dyDescent="0.25">
      <c r="A421">
        <v>407</v>
      </c>
      <c r="B421" s="172" t="e">
        <f t="shared" si="580"/>
        <v>#N/A</v>
      </c>
      <c r="C421" s="121" t="e">
        <f t="shared" si="558"/>
        <v>#N/A</v>
      </c>
      <c r="D421" s="122" t="e">
        <f t="shared" si="559"/>
        <v>#N/A</v>
      </c>
      <c r="E421" s="122" t="e">
        <f t="shared" si="560"/>
        <v>#N/A</v>
      </c>
      <c r="F421" s="176" t="e">
        <f t="shared" si="561"/>
        <v>#N/A</v>
      </c>
      <c r="G421" s="121">
        <f t="shared" si="581"/>
        <v>208</v>
      </c>
      <c r="H421" s="176" t="e">
        <f t="shared" si="582"/>
        <v>#N/A</v>
      </c>
      <c r="I421" s="48">
        <v>1</v>
      </c>
      <c r="J421" s="39"/>
      <c r="K421" s="350">
        <v>1</v>
      </c>
      <c r="L421" s="34" t="e">
        <f t="shared" si="562"/>
        <v>#N/A</v>
      </c>
      <c r="M421" s="38" t="e">
        <f>(HLOOKUP(J421,'Construction Times'!$B$3:$W$34,L421+2,FALSE)*HLOOKUP("hq modifier",'Construction Times'!$W$3:$W$34,BS421+2,FALSE))*(1-$H$9)</f>
        <v>#N/A</v>
      </c>
      <c r="N421" s="443" t="e">
        <f t="shared" si="583"/>
        <v>#N/A</v>
      </c>
      <c r="O421" s="444"/>
      <c r="P421" s="447" t="e">
        <f t="shared" si="584"/>
        <v>#N/A</v>
      </c>
      <c r="Q421" s="448"/>
      <c r="R421" s="103">
        <f t="shared" si="609"/>
        <v>0</v>
      </c>
      <c r="S421" s="104">
        <f t="shared" si="609"/>
        <v>0</v>
      </c>
      <c r="T421" s="104">
        <f t="shared" si="610"/>
        <v>0</v>
      </c>
      <c r="U421" s="104">
        <f t="shared" si="610"/>
        <v>0</v>
      </c>
      <c r="V421" s="104">
        <f t="shared" si="610"/>
        <v>9.9999999999999995E-8</v>
      </c>
      <c r="W421" s="104">
        <f t="shared" si="610"/>
        <v>0</v>
      </c>
      <c r="X421" s="104">
        <f t="shared" si="557"/>
        <v>0</v>
      </c>
      <c r="Y421" s="104">
        <f t="shared" si="557"/>
        <v>9.9999999999999995E-8</v>
      </c>
      <c r="Z421" s="104">
        <f t="shared" si="557"/>
        <v>9.9999999999999995E-8</v>
      </c>
      <c r="AA421" s="105">
        <f t="shared" si="557"/>
        <v>9.9999999999999995E-8</v>
      </c>
      <c r="AB421" s="101" t="e">
        <f>$DT421*HLOOKUP($J421,'Construction Costs (timber)'!$B$1:$V$32,'Construction Planner'!$L421+2,FALSE)</f>
        <v>#N/A</v>
      </c>
      <c r="AC421" s="14" t="e">
        <f>$DT421*HLOOKUP($J421,'Construction Costs (clay)'!$B$1:$V$32,'Construction Planner'!$L421+2,FALSE)</f>
        <v>#N/A</v>
      </c>
      <c r="AD421" s="14" t="e">
        <f>$DT421*HLOOKUP($J421,'Construction Costs (iron)'!$B$1:$V$32,'Construction Planner'!$L421+2,FALSE)</f>
        <v>#N/A</v>
      </c>
      <c r="AE421" s="34" t="e">
        <f t="shared" si="619"/>
        <v>#N/A</v>
      </c>
      <c r="AF421" s="33" t="e">
        <f t="shared" si="563"/>
        <v>#N/A</v>
      </c>
      <c r="AG421" s="14" t="e">
        <f t="shared" si="564"/>
        <v>#N/A</v>
      </c>
      <c r="AH421" s="14" t="e">
        <f t="shared" si="565"/>
        <v>#N/A</v>
      </c>
      <c r="AI421" s="34" t="e">
        <f t="shared" si="620"/>
        <v>#N/A</v>
      </c>
      <c r="AJ421" s="49" t="e">
        <f t="shared" si="585"/>
        <v>#N/A</v>
      </c>
      <c r="AK421" s="49" t="e">
        <f t="shared" si="586"/>
        <v>#N/A</v>
      </c>
      <c r="AL421" s="49" t="e">
        <f t="shared" si="587"/>
        <v>#N/A</v>
      </c>
      <c r="AM421" s="25">
        <f t="shared" si="566"/>
        <v>30</v>
      </c>
      <c r="AN421" s="25">
        <f t="shared" si="567"/>
        <v>30</v>
      </c>
      <c r="AO421" s="25">
        <f t="shared" si="568"/>
        <v>30</v>
      </c>
      <c r="AP421" s="52" t="e">
        <f t="shared" si="588"/>
        <v>#N/A</v>
      </c>
      <c r="AQ421" s="53" t="e">
        <f t="shared" si="588"/>
        <v>#N/A</v>
      </c>
      <c r="AR421" s="54" t="e">
        <f t="shared" si="588"/>
        <v>#N/A</v>
      </c>
      <c r="AS421" s="316">
        <f t="shared" si="636"/>
        <v>0</v>
      </c>
      <c r="AT421" s="106">
        <f>_xlfn.IFNA($M421/VLOOKUP($BT421,'Unit information'!$A$2:$K$29,2,FALSE)*R421,0)*(1+$E$9)</f>
        <v>0</v>
      </c>
      <c r="AU421" s="107">
        <f>_xlfn.IFNA($M421/VLOOKUP($BT421,'Unit information'!$A$2:$K$29,3,FALSE)*S421,0)*(1+$E$9)</f>
        <v>0</v>
      </c>
      <c r="AV421" s="107">
        <f>_xlfn.IFNA($M421/VLOOKUP($BT421,'Unit information'!$A$2:$K$29,4,FALSE)*T421,0)*(1+$E$9)</f>
        <v>0</v>
      </c>
      <c r="AW421" s="107">
        <f>_xlfn.IFNA($M421/VLOOKUP($BT421,'Unit information'!$A$2:$K$29,5,FALSE)*U421,0)*(1+$E$9)</f>
        <v>0</v>
      </c>
      <c r="AX421" s="107">
        <f>_xlfn.IFNA($M421/VLOOKUP($BU421,'Unit information'!$A$2:$K$29,6,FALSE)*V421,0)*(1+$E$9)</f>
        <v>0</v>
      </c>
      <c r="AY421" s="107">
        <f>_xlfn.IFNA($M421/VLOOKUP($BU421,'Unit information'!$A$2:$K$29,7,FALSE)*W421,0)*(1+$E$9)</f>
        <v>0</v>
      </c>
      <c r="AZ421" s="107">
        <f>_xlfn.IFNA($M421/VLOOKUP($BU421,'Unit information'!$A$2:$K$29,8,FALSE)*X421,0)*(1+$E$9)</f>
        <v>0</v>
      </c>
      <c r="BA421" s="107">
        <f>_xlfn.IFNA($M421/VLOOKUP($BU421,'Unit information'!$A$2:$K$29,9,FALSE)*Y421,0)*(1+$E$9)</f>
        <v>0</v>
      </c>
      <c r="BB421" s="107">
        <f>_xlfn.IFNA($M421/VLOOKUP($BV421,'Unit information'!$A$2:$K$29,10,FALSE)*Z421,0)*(1+$E$9)</f>
        <v>0</v>
      </c>
      <c r="BC421" s="108">
        <f>_xlfn.IFNA($M421/VLOOKUP($BV421,'Unit information'!$A$2:$K$29,11,FALSE)*AA421,0)*(1+$E$9)</f>
        <v>0</v>
      </c>
      <c r="BD421" s="106">
        <f t="shared" si="569"/>
        <v>0</v>
      </c>
      <c r="BE421" s="107">
        <f t="shared" si="570"/>
        <v>0</v>
      </c>
      <c r="BF421" s="108">
        <f t="shared" si="571"/>
        <v>0</v>
      </c>
      <c r="BG421" s="25" t="e">
        <f t="shared" si="572"/>
        <v>#N/A</v>
      </c>
      <c r="BH421" s="25" t="e">
        <f t="shared" si="573"/>
        <v>#N/A</v>
      </c>
      <c r="BI421" s="25" t="e">
        <f t="shared" si="574"/>
        <v>#N/A</v>
      </c>
      <c r="BJ421" s="27" t="e">
        <f t="shared" si="575"/>
        <v>#N/A</v>
      </c>
      <c r="BK421" s="18" t="e">
        <f t="shared" si="576"/>
        <v>#N/A</v>
      </c>
      <c r="BL421" s="18" t="e">
        <f t="shared" si="577"/>
        <v>#N/A</v>
      </c>
      <c r="BM421" s="28" t="e">
        <f t="shared" si="622"/>
        <v>#N/A</v>
      </c>
      <c r="BN421" s="33">
        <f>HLOOKUP("maximum population",Miscelaneous!$C$1:$C$33,CH421+3,FALSE)</f>
        <v>240</v>
      </c>
      <c r="BO421" s="14">
        <f t="shared" si="589"/>
        <v>32</v>
      </c>
      <c r="BP421" s="14">
        <f t="shared" si="590"/>
        <v>0</v>
      </c>
      <c r="BQ421" s="14">
        <f t="shared" si="591"/>
        <v>208</v>
      </c>
      <c r="BR421" s="34" t="e">
        <f>HLOOKUP(J421,Villagers!$B$1:$V$33,L421+3,FALSE)-HLOOKUP(J421,Villagers!$B$1:$V$33,L421+2,FALSE)</f>
        <v>#N/A</v>
      </c>
      <c r="BS421" s="49">
        <f t="shared" si="592"/>
        <v>1</v>
      </c>
      <c r="BT421" s="50">
        <f t="shared" si="593"/>
        <v>0</v>
      </c>
      <c r="BU421" s="50">
        <f t="shared" si="594"/>
        <v>0</v>
      </c>
      <c r="BV421" s="50">
        <f t="shared" si="595"/>
        <v>0</v>
      </c>
      <c r="BW421" s="50">
        <f t="shared" si="635"/>
        <v>0</v>
      </c>
      <c r="BX421" s="50">
        <f t="shared" si="635"/>
        <v>0</v>
      </c>
      <c r="BY421" s="50">
        <f t="shared" si="635"/>
        <v>0</v>
      </c>
      <c r="BZ421" s="50">
        <f t="shared" si="623"/>
        <v>0</v>
      </c>
      <c r="CA421" s="50">
        <f t="shared" si="624"/>
        <v>0</v>
      </c>
      <c r="CB421" s="50">
        <f t="shared" si="625"/>
        <v>1</v>
      </c>
      <c r="CC421" s="50">
        <f t="shared" si="626"/>
        <v>0</v>
      </c>
      <c r="CD421" s="50">
        <f t="shared" si="627"/>
        <v>0</v>
      </c>
      <c r="CE421" s="50">
        <f t="shared" si="628"/>
        <v>1</v>
      </c>
      <c r="CF421" s="50">
        <f t="shared" si="629"/>
        <v>1</v>
      </c>
      <c r="CG421" s="50">
        <f t="shared" si="630"/>
        <v>1</v>
      </c>
      <c r="CH421" s="50">
        <f t="shared" si="631"/>
        <v>1</v>
      </c>
      <c r="CI421" s="50">
        <f t="shared" si="632"/>
        <v>1</v>
      </c>
      <c r="CJ421" s="50">
        <f t="shared" si="633"/>
        <v>1</v>
      </c>
      <c r="CK421" s="50">
        <f t="shared" si="633"/>
        <v>0</v>
      </c>
      <c r="CL421" s="50">
        <f t="shared" si="633"/>
        <v>0</v>
      </c>
      <c r="CM421" s="51">
        <f t="shared" si="634"/>
        <v>0</v>
      </c>
      <c r="CN421" s="33">
        <f>ROUND(IF(BS421=0,0,HLOOKUP(BS$14,Villagers!$B$1:$V$33,BS421+3,FALSE)),)</f>
        <v>5</v>
      </c>
      <c r="CO421" s="14">
        <f>ROUND(IF(BT421=0,0,HLOOKUP(BT$14,Villagers!$B$1:$V$33,BT421+3,FALSE)),)</f>
        <v>0</v>
      </c>
      <c r="CP421" s="14">
        <f>ROUND(IF(BU421=0,0,HLOOKUP(BU$14,Villagers!$B$1:$V$33,BU421+3,FALSE)),)</f>
        <v>0</v>
      </c>
      <c r="CQ421" s="14">
        <f>ROUND(IF(BV421=0,0,HLOOKUP(BV$14,Villagers!$B$1:$V$33,BV421+3,FALSE)),)</f>
        <v>0</v>
      </c>
      <c r="CR421" s="14">
        <f>ROUND(IF(BW421=0,0,HLOOKUP(BW$14,Villagers!$B$1:$V$33,BW421+3,FALSE)),)</f>
        <v>0</v>
      </c>
      <c r="CS421" s="14">
        <f>ROUND(IF(BX421=0,0,HLOOKUP(BX$14,Villagers!$B$1:$V$33,BX421+3,FALSE)),)</f>
        <v>0</v>
      </c>
      <c r="CT421" s="14">
        <f>ROUND(IF(BY421=0,0,HLOOKUP(BY$14,Villagers!$B$1:$V$33,BY421+3,FALSE)),)</f>
        <v>0</v>
      </c>
      <c r="CU421" s="14">
        <f>ROUND(IF(BZ421=0,0,HLOOKUP(BZ$14,Villagers!$B$1:$V$33,BZ421+3,FALSE)),)</f>
        <v>0</v>
      </c>
      <c r="CV421" s="14">
        <f>ROUND(IF(CA421=0,0,HLOOKUP(CA$14,Villagers!$B$1:$V$33,CA421+3,FALSE)),)</f>
        <v>0</v>
      </c>
      <c r="CW421" s="14">
        <f>ROUND(IF(CB421=0,0,HLOOKUP(CB$14,Villagers!$B$1:$V$33,CB421+3,FALSE)),)</f>
        <v>0</v>
      </c>
      <c r="CX421" s="14">
        <f>ROUND(IF(CC421=0,0,HLOOKUP(CC$14,Villagers!$B$1:$V$33,CC421+3,FALSE)),)</f>
        <v>0</v>
      </c>
      <c r="CY421" s="14">
        <f>ROUND(IF(CD421=0,0,HLOOKUP(CD$14,Villagers!$B$1:$V$33,CD421+3,FALSE)),)</f>
        <v>0</v>
      </c>
      <c r="CZ421" s="14">
        <f>ROUND(IF(CE421=0,0,HLOOKUP(CE$14,Villagers!$B$1:$V$33,CE421+3,FALSE)),)</f>
        <v>5</v>
      </c>
      <c r="DA421" s="14">
        <f>ROUND(IF(CF421=0,0,HLOOKUP(CF$14,Villagers!$B$1:$V$33,CF421+3,FALSE)),)</f>
        <v>10</v>
      </c>
      <c r="DB421" s="14">
        <f>ROUND(IF(CG421=0,0,HLOOKUP(CG$14,Villagers!$B$1:$V$33,CG421+3,FALSE)),)</f>
        <v>10</v>
      </c>
      <c r="DC421" s="14">
        <f>ROUND(IF(CH421=0,0,HLOOKUP(CH$14,Villagers!$B$1:$V$33,CH421+3,FALSE)),)</f>
        <v>0</v>
      </c>
      <c r="DD421" s="14">
        <f>ROUND(IF(CI421=0,0,HLOOKUP(CI$14,Villagers!$B$1:$V$33,CI421+3,FALSE)),)</f>
        <v>0</v>
      </c>
      <c r="DE421" s="14">
        <f>ROUND(IF(CJ421=0,0,HLOOKUP(CJ$14,Villagers!$B$1:$V$33,CJ421+3,FALSE)),)</f>
        <v>2</v>
      </c>
      <c r="DF421" s="370">
        <f>ROUND(IF(CK421=0,0,HLOOKUP(CK$14,Villagers!$B$1:$V$33,CK421+3,FALSE)),)</f>
        <v>0</v>
      </c>
      <c r="DG421" s="370">
        <f>ROUND(IF(CL421=0,0,HLOOKUP(CL$14,Villagers!$B$1:$V$33,CL421+3,FALSE)),)</f>
        <v>0</v>
      </c>
      <c r="DH421" s="34">
        <f>ROUND(IF(CM421=0,0,HLOOKUP(CM$14,Villagers!$B$1:$V$33,CM421+3,FALSE)),)</f>
        <v>0</v>
      </c>
      <c r="DI421" s="109">
        <f t="shared" si="611"/>
        <v>0</v>
      </c>
      <c r="DJ421" s="50">
        <f t="shared" si="612"/>
        <v>0</v>
      </c>
      <c r="DK421" s="50">
        <f t="shared" si="613"/>
        <v>0</v>
      </c>
      <c r="DL421" s="50">
        <f t="shared" si="614"/>
        <v>0</v>
      </c>
      <c r="DM421" s="50">
        <f t="shared" si="615"/>
        <v>0</v>
      </c>
      <c r="DN421" s="50">
        <f t="shared" si="616"/>
        <v>0</v>
      </c>
      <c r="DO421" s="50">
        <f t="shared" si="617"/>
        <v>0</v>
      </c>
      <c r="DP421" s="50">
        <f t="shared" si="618"/>
        <v>0</v>
      </c>
      <c r="DQ421" s="50">
        <f t="shared" si="596"/>
        <v>0</v>
      </c>
      <c r="DR421" s="50">
        <f t="shared" si="597"/>
        <v>0</v>
      </c>
      <c r="DS421" s="96">
        <f>Miscelaneous!$D$4*Miscelaneous!$D$2^($CI421-1)</f>
        <v>1000</v>
      </c>
      <c r="DT421" s="333">
        <f t="shared" si="579"/>
        <v>1</v>
      </c>
      <c r="DU421" s="81">
        <v>1</v>
      </c>
      <c r="DV421" s="79">
        <f t="shared" si="598"/>
        <v>0</v>
      </c>
      <c r="DW421" s="79">
        <f t="shared" si="599"/>
        <v>0</v>
      </c>
      <c r="DX421" s="79">
        <f t="shared" si="600"/>
        <v>0</v>
      </c>
      <c r="DY421" s="79">
        <v>1</v>
      </c>
      <c r="DZ421" s="79">
        <f t="shared" si="601"/>
        <v>0</v>
      </c>
      <c r="EA421" s="79">
        <f t="shared" si="602"/>
        <v>0</v>
      </c>
      <c r="EB421" s="79">
        <f t="shared" si="603"/>
        <v>0</v>
      </c>
      <c r="EC421" s="79">
        <f t="shared" si="604"/>
        <v>0</v>
      </c>
      <c r="ED421" s="79">
        <v>1</v>
      </c>
      <c r="EE421" s="79">
        <v>1</v>
      </c>
      <c r="EF421" s="79">
        <f t="shared" si="605"/>
        <v>0</v>
      </c>
      <c r="EG421" s="79">
        <v>1</v>
      </c>
      <c r="EH421" s="79">
        <v>1</v>
      </c>
      <c r="EI421" s="79">
        <v>1</v>
      </c>
      <c r="EJ421" s="79">
        <v>1</v>
      </c>
      <c r="EK421" s="79">
        <v>1</v>
      </c>
      <c r="EL421" s="79">
        <v>1</v>
      </c>
      <c r="EM421" s="143">
        <f t="shared" si="606"/>
        <v>0</v>
      </c>
      <c r="EN421" s="143">
        <f t="shared" si="607"/>
        <v>0</v>
      </c>
      <c r="EO421" s="82">
        <f t="shared" si="608"/>
        <v>0</v>
      </c>
    </row>
    <row r="422" spans="1:145" x14ac:dyDescent="0.25">
      <c r="A422">
        <v>408</v>
      </c>
      <c r="B422" s="172" t="e">
        <f t="shared" si="580"/>
        <v>#N/A</v>
      </c>
      <c r="C422" s="121" t="e">
        <f t="shared" si="558"/>
        <v>#N/A</v>
      </c>
      <c r="D422" s="122" t="e">
        <f t="shared" si="559"/>
        <v>#N/A</v>
      </c>
      <c r="E422" s="122" t="e">
        <f t="shared" si="560"/>
        <v>#N/A</v>
      </c>
      <c r="F422" s="176" t="e">
        <f t="shared" si="561"/>
        <v>#N/A</v>
      </c>
      <c r="G422" s="121">
        <f t="shared" si="581"/>
        <v>208</v>
      </c>
      <c r="H422" s="176" t="e">
        <f t="shared" si="582"/>
        <v>#N/A</v>
      </c>
      <c r="I422" s="48">
        <v>1</v>
      </c>
      <c r="J422" s="39"/>
      <c r="K422" s="350">
        <v>1</v>
      </c>
      <c r="L422" s="34" t="e">
        <f t="shared" si="562"/>
        <v>#N/A</v>
      </c>
      <c r="M422" s="38" t="e">
        <f>(HLOOKUP(J422,'Construction Times'!$B$3:$W$34,L422+2,FALSE)*HLOOKUP("hq modifier",'Construction Times'!$W$3:$W$34,BS422+2,FALSE))*(1-$H$9)</f>
        <v>#N/A</v>
      </c>
      <c r="N422" s="443" t="e">
        <f t="shared" si="583"/>
        <v>#N/A</v>
      </c>
      <c r="O422" s="444"/>
      <c r="P422" s="447" t="e">
        <f t="shared" si="584"/>
        <v>#N/A</v>
      </c>
      <c r="Q422" s="448"/>
      <c r="R422" s="103">
        <f t="shared" si="609"/>
        <v>0</v>
      </c>
      <c r="S422" s="104">
        <f t="shared" si="609"/>
        <v>0</v>
      </c>
      <c r="T422" s="104">
        <f t="shared" si="610"/>
        <v>0</v>
      </c>
      <c r="U422" s="104">
        <f t="shared" si="610"/>
        <v>0</v>
      </c>
      <c r="V422" s="104">
        <f t="shared" si="610"/>
        <v>9.9999999999999995E-8</v>
      </c>
      <c r="W422" s="104">
        <f t="shared" si="610"/>
        <v>0</v>
      </c>
      <c r="X422" s="104">
        <f t="shared" si="557"/>
        <v>0</v>
      </c>
      <c r="Y422" s="104">
        <f t="shared" si="557"/>
        <v>9.9999999999999995E-8</v>
      </c>
      <c r="Z422" s="104">
        <f t="shared" si="557"/>
        <v>9.9999999999999995E-8</v>
      </c>
      <c r="AA422" s="105">
        <f t="shared" si="557"/>
        <v>9.9999999999999995E-8</v>
      </c>
      <c r="AB422" s="101" t="e">
        <f>$DT422*HLOOKUP($J422,'Construction Costs (timber)'!$B$1:$V$32,'Construction Planner'!$L422+2,FALSE)</f>
        <v>#N/A</v>
      </c>
      <c r="AC422" s="14" t="e">
        <f>$DT422*HLOOKUP($J422,'Construction Costs (clay)'!$B$1:$V$32,'Construction Planner'!$L422+2,FALSE)</f>
        <v>#N/A</v>
      </c>
      <c r="AD422" s="14" t="e">
        <f>$DT422*HLOOKUP($J422,'Construction Costs (iron)'!$B$1:$V$32,'Construction Planner'!$L422+2,FALSE)</f>
        <v>#N/A</v>
      </c>
      <c r="AE422" s="34" t="e">
        <f t="shared" si="619"/>
        <v>#N/A</v>
      </c>
      <c r="AF422" s="33" t="e">
        <f t="shared" si="563"/>
        <v>#N/A</v>
      </c>
      <c r="AG422" s="14" t="e">
        <f t="shared" si="564"/>
        <v>#N/A</v>
      </c>
      <c r="AH422" s="14" t="e">
        <f t="shared" si="565"/>
        <v>#N/A</v>
      </c>
      <c r="AI422" s="34" t="e">
        <f t="shared" si="620"/>
        <v>#N/A</v>
      </c>
      <c r="AJ422" s="49" t="e">
        <f t="shared" si="585"/>
        <v>#N/A</v>
      </c>
      <c r="AK422" s="49" t="e">
        <f t="shared" si="586"/>
        <v>#N/A</v>
      </c>
      <c r="AL422" s="49" t="e">
        <f t="shared" si="587"/>
        <v>#N/A</v>
      </c>
      <c r="AM422" s="25">
        <f t="shared" si="566"/>
        <v>30</v>
      </c>
      <c r="AN422" s="25">
        <f t="shared" si="567"/>
        <v>30</v>
      </c>
      <c r="AO422" s="25">
        <f t="shared" si="568"/>
        <v>30</v>
      </c>
      <c r="AP422" s="52" t="e">
        <f t="shared" si="588"/>
        <v>#N/A</v>
      </c>
      <c r="AQ422" s="53" t="e">
        <f t="shared" si="588"/>
        <v>#N/A</v>
      </c>
      <c r="AR422" s="54" t="e">
        <f t="shared" si="588"/>
        <v>#N/A</v>
      </c>
      <c r="AS422" s="316">
        <f t="shared" si="636"/>
        <v>0</v>
      </c>
      <c r="AT422" s="106">
        <f>_xlfn.IFNA($M422/VLOOKUP($BT422,'Unit information'!$A$2:$K$29,2,FALSE)*R422,0)*(1+$E$9)</f>
        <v>0</v>
      </c>
      <c r="AU422" s="107">
        <f>_xlfn.IFNA($M422/VLOOKUP($BT422,'Unit information'!$A$2:$K$29,3,FALSE)*S422,0)*(1+$E$9)</f>
        <v>0</v>
      </c>
      <c r="AV422" s="107">
        <f>_xlfn.IFNA($M422/VLOOKUP($BT422,'Unit information'!$A$2:$K$29,4,FALSE)*T422,0)*(1+$E$9)</f>
        <v>0</v>
      </c>
      <c r="AW422" s="107">
        <f>_xlfn.IFNA($M422/VLOOKUP($BT422,'Unit information'!$A$2:$K$29,5,FALSE)*U422,0)*(1+$E$9)</f>
        <v>0</v>
      </c>
      <c r="AX422" s="107">
        <f>_xlfn.IFNA($M422/VLOOKUP($BU422,'Unit information'!$A$2:$K$29,6,FALSE)*V422,0)*(1+$E$9)</f>
        <v>0</v>
      </c>
      <c r="AY422" s="107">
        <f>_xlfn.IFNA($M422/VLOOKUP($BU422,'Unit information'!$A$2:$K$29,7,FALSE)*W422,0)*(1+$E$9)</f>
        <v>0</v>
      </c>
      <c r="AZ422" s="107">
        <f>_xlfn.IFNA($M422/VLOOKUP($BU422,'Unit information'!$A$2:$K$29,8,FALSE)*X422,0)*(1+$E$9)</f>
        <v>0</v>
      </c>
      <c r="BA422" s="107">
        <f>_xlfn.IFNA($M422/VLOOKUP($BU422,'Unit information'!$A$2:$K$29,9,FALSE)*Y422,0)*(1+$E$9)</f>
        <v>0</v>
      </c>
      <c r="BB422" s="107">
        <f>_xlfn.IFNA($M422/VLOOKUP($BV422,'Unit information'!$A$2:$K$29,10,FALSE)*Z422,0)*(1+$E$9)</f>
        <v>0</v>
      </c>
      <c r="BC422" s="108">
        <f>_xlfn.IFNA($M422/VLOOKUP($BV422,'Unit information'!$A$2:$K$29,11,FALSE)*AA422,0)*(1+$E$9)</f>
        <v>0</v>
      </c>
      <c r="BD422" s="106">
        <f t="shared" si="569"/>
        <v>0</v>
      </c>
      <c r="BE422" s="107">
        <f t="shared" si="570"/>
        <v>0</v>
      </c>
      <c r="BF422" s="108">
        <f t="shared" si="571"/>
        <v>0</v>
      </c>
      <c r="BG422" s="25" t="e">
        <f t="shared" si="572"/>
        <v>#N/A</v>
      </c>
      <c r="BH422" s="25" t="e">
        <f t="shared" si="573"/>
        <v>#N/A</v>
      </c>
      <c r="BI422" s="25" t="e">
        <f t="shared" si="574"/>
        <v>#N/A</v>
      </c>
      <c r="BJ422" s="27" t="e">
        <f t="shared" si="575"/>
        <v>#N/A</v>
      </c>
      <c r="BK422" s="18" t="e">
        <f t="shared" si="576"/>
        <v>#N/A</v>
      </c>
      <c r="BL422" s="18" t="e">
        <f t="shared" si="577"/>
        <v>#N/A</v>
      </c>
      <c r="BM422" s="28" t="e">
        <f t="shared" si="622"/>
        <v>#N/A</v>
      </c>
      <c r="BN422" s="33">
        <f>HLOOKUP("maximum population",Miscelaneous!$C$1:$C$33,CH422+3,FALSE)</f>
        <v>240</v>
      </c>
      <c r="BO422" s="14">
        <f t="shared" si="589"/>
        <v>32</v>
      </c>
      <c r="BP422" s="14">
        <f t="shared" si="590"/>
        <v>0</v>
      </c>
      <c r="BQ422" s="14">
        <f t="shared" si="591"/>
        <v>208</v>
      </c>
      <c r="BR422" s="34" t="e">
        <f>HLOOKUP(J422,Villagers!$B$1:$V$33,L422+3,FALSE)-HLOOKUP(J422,Villagers!$B$1:$V$33,L422+2,FALSE)</f>
        <v>#N/A</v>
      </c>
      <c r="BS422" s="49">
        <f t="shared" si="592"/>
        <v>1</v>
      </c>
      <c r="BT422" s="50">
        <f t="shared" si="593"/>
        <v>0</v>
      </c>
      <c r="BU422" s="50">
        <f t="shared" si="594"/>
        <v>0</v>
      </c>
      <c r="BV422" s="50">
        <f t="shared" si="595"/>
        <v>0</v>
      </c>
      <c r="BW422" s="50">
        <f t="shared" si="635"/>
        <v>0</v>
      </c>
      <c r="BX422" s="50">
        <f t="shared" si="635"/>
        <v>0</v>
      </c>
      <c r="BY422" s="50">
        <f t="shared" si="635"/>
        <v>0</v>
      </c>
      <c r="BZ422" s="50">
        <f t="shared" si="623"/>
        <v>0</v>
      </c>
      <c r="CA422" s="50">
        <f t="shared" si="624"/>
        <v>0</v>
      </c>
      <c r="CB422" s="50">
        <f t="shared" si="625"/>
        <v>1</v>
      </c>
      <c r="CC422" s="50">
        <f t="shared" si="626"/>
        <v>0</v>
      </c>
      <c r="CD422" s="50">
        <f t="shared" si="627"/>
        <v>0</v>
      </c>
      <c r="CE422" s="50">
        <f t="shared" si="628"/>
        <v>1</v>
      </c>
      <c r="CF422" s="50">
        <f t="shared" si="629"/>
        <v>1</v>
      </c>
      <c r="CG422" s="50">
        <f t="shared" si="630"/>
        <v>1</v>
      </c>
      <c r="CH422" s="50">
        <f t="shared" si="631"/>
        <v>1</v>
      </c>
      <c r="CI422" s="50">
        <f t="shared" si="632"/>
        <v>1</v>
      </c>
      <c r="CJ422" s="50">
        <f t="shared" si="633"/>
        <v>1</v>
      </c>
      <c r="CK422" s="50">
        <f t="shared" si="633"/>
        <v>0</v>
      </c>
      <c r="CL422" s="50">
        <f t="shared" si="633"/>
        <v>0</v>
      </c>
      <c r="CM422" s="51">
        <f t="shared" si="634"/>
        <v>0</v>
      </c>
      <c r="CN422" s="33">
        <f>ROUND(IF(BS422=0,0,HLOOKUP(BS$14,Villagers!$B$1:$V$33,BS422+3,FALSE)),)</f>
        <v>5</v>
      </c>
      <c r="CO422" s="14">
        <f>ROUND(IF(BT422=0,0,HLOOKUP(BT$14,Villagers!$B$1:$V$33,BT422+3,FALSE)),)</f>
        <v>0</v>
      </c>
      <c r="CP422" s="14">
        <f>ROUND(IF(BU422=0,0,HLOOKUP(BU$14,Villagers!$B$1:$V$33,BU422+3,FALSE)),)</f>
        <v>0</v>
      </c>
      <c r="CQ422" s="14">
        <f>ROUND(IF(BV422=0,0,HLOOKUP(BV$14,Villagers!$B$1:$V$33,BV422+3,FALSE)),)</f>
        <v>0</v>
      </c>
      <c r="CR422" s="14">
        <f>ROUND(IF(BW422=0,0,HLOOKUP(BW$14,Villagers!$B$1:$V$33,BW422+3,FALSE)),)</f>
        <v>0</v>
      </c>
      <c r="CS422" s="14">
        <f>ROUND(IF(BX422=0,0,HLOOKUP(BX$14,Villagers!$B$1:$V$33,BX422+3,FALSE)),)</f>
        <v>0</v>
      </c>
      <c r="CT422" s="14">
        <f>ROUND(IF(BY422=0,0,HLOOKUP(BY$14,Villagers!$B$1:$V$33,BY422+3,FALSE)),)</f>
        <v>0</v>
      </c>
      <c r="CU422" s="14">
        <f>ROUND(IF(BZ422=0,0,HLOOKUP(BZ$14,Villagers!$B$1:$V$33,BZ422+3,FALSE)),)</f>
        <v>0</v>
      </c>
      <c r="CV422" s="14">
        <f>ROUND(IF(CA422=0,0,HLOOKUP(CA$14,Villagers!$B$1:$V$33,CA422+3,FALSE)),)</f>
        <v>0</v>
      </c>
      <c r="CW422" s="14">
        <f>ROUND(IF(CB422=0,0,HLOOKUP(CB$14,Villagers!$B$1:$V$33,CB422+3,FALSE)),)</f>
        <v>0</v>
      </c>
      <c r="CX422" s="14">
        <f>ROUND(IF(CC422=0,0,HLOOKUP(CC$14,Villagers!$B$1:$V$33,CC422+3,FALSE)),)</f>
        <v>0</v>
      </c>
      <c r="CY422" s="14">
        <f>ROUND(IF(CD422=0,0,HLOOKUP(CD$14,Villagers!$B$1:$V$33,CD422+3,FALSE)),)</f>
        <v>0</v>
      </c>
      <c r="CZ422" s="14">
        <f>ROUND(IF(CE422=0,0,HLOOKUP(CE$14,Villagers!$B$1:$V$33,CE422+3,FALSE)),)</f>
        <v>5</v>
      </c>
      <c r="DA422" s="14">
        <f>ROUND(IF(CF422=0,0,HLOOKUP(CF$14,Villagers!$B$1:$V$33,CF422+3,FALSE)),)</f>
        <v>10</v>
      </c>
      <c r="DB422" s="14">
        <f>ROUND(IF(CG422=0,0,HLOOKUP(CG$14,Villagers!$B$1:$V$33,CG422+3,FALSE)),)</f>
        <v>10</v>
      </c>
      <c r="DC422" s="14">
        <f>ROUND(IF(CH422=0,0,HLOOKUP(CH$14,Villagers!$B$1:$V$33,CH422+3,FALSE)),)</f>
        <v>0</v>
      </c>
      <c r="DD422" s="14">
        <f>ROUND(IF(CI422=0,0,HLOOKUP(CI$14,Villagers!$B$1:$V$33,CI422+3,FALSE)),)</f>
        <v>0</v>
      </c>
      <c r="DE422" s="14">
        <f>ROUND(IF(CJ422=0,0,HLOOKUP(CJ$14,Villagers!$B$1:$V$33,CJ422+3,FALSE)),)</f>
        <v>2</v>
      </c>
      <c r="DF422" s="370">
        <f>ROUND(IF(CK422=0,0,HLOOKUP(CK$14,Villagers!$B$1:$V$33,CK422+3,FALSE)),)</f>
        <v>0</v>
      </c>
      <c r="DG422" s="370">
        <f>ROUND(IF(CL422=0,0,HLOOKUP(CL$14,Villagers!$B$1:$V$33,CL422+3,FALSE)),)</f>
        <v>0</v>
      </c>
      <c r="DH422" s="34">
        <f>ROUND(IF(CM422=0,0,HLOOKUP(CM$14,Villagers!$B$1:$V$33,CM422+3,FALSE)),)</f>
        <v>0</v>
      </c>
      <c r="DI422" s="109">
        <f t="shared" si="611"/>
        <v>0</v>
      </c>
      <c r="DJ422" s="50">
        <f t="shared" si="612"/>
        <v>0</v>
      </c>
      <c r="DK422" s="50">
        <f t="shared" si="613"/>
        <v>0</v>
      </c>
      <c r="DL422" s="50">
        <f t="shared" si="614"/>
        <v>0</v>
      </c>
      <c r="DM422" s="50">
        <f t="shared" si="615"/>
        <v>0</v>
      </c>
      <c r="DN422" s="50">
        <f t="shared" si="616"/>
        <v>0</v>
      </c>
      <c r="DO422" s="50">
        <f t="shared" si="617"/>
        <v>0</v>
      </c>
      <c r="DP422" s="50">
        <f t="shared" si="618"/>
        <v>0</v>
      </c>
      <c r="DQ422" s="50">
        <f t="shared" si="596"/>
        <v>0</v>
      </c>
      <c r="DR422" s="50">
        <f t="shared" si="597"/>
        <v>0</v>
      </c>
      <c r="DS422" s="96">
        <f>Miscelaneous!$D$4*Miscelaneous!$D$2^($CI422-1)</f>
        <v>1000</v>
      </c>
      <c r="DT422" s="333">
        <f t="shared" si="579"/>
        <v>1</v>
      </c>
      <c r="DU422" s="81">
        <v>1</v>
      </c>
      <c r="DV422" s="79">
        <f t="shared" si="598"/>
        <v>0</v>
      </c>
      <c r="DW422" s="79">
        <f t="shared" si="599"/>
        <v>0</v>
      </c>
      <c r="DX422" s="79">
        <f t="shared" si="600"/>
        <v>0</v>
      </c>
      <c r="DY422" s="79">
        <v>1</v>
      </c>
      <c r="DZ422" s="79">
        <f t="shared" si="601"/>
        <v>0</v>
      </c>
      <c r="EA422" s="79">
        <f t="shared" si="602"/>
        <v>0</v>
      </c>
      <c r="EB422" s="79">
        <f t="shared" si="603"/>
        <v>0</v>
      </c>
      <c r="EC422" s="79">
        <f t="shared" si="604"/>
        <v>0</v>
      </c>
      <c r="ED422" s="79">
        <v>1</v>
      </c>
      <c r="EE422" s="79">
        <v>1</v>
      </c>
      <c r="EF422" s="79">
        <f t="shared" si="605"/>
        <v>0</v>
      </c>
      <c r="EG422" s="79">
        <v>1</v>
      </c>
      <c r="EH422" s="79">
        <v>1</v>
      </c>
      <c r="EI422" s="79">
        <v>1</v>
      </c>
      <c r="EJ422" s="79">
        <v>1</v>
      </c>
      <c r="EK422" s="79">
        <v>1</v>
      </c>
      <c r="EL422" s="79">
        <v>1</v>
      </c>
      <c r="EM422" s="143">
        <f t="shared" si="606"/>
        <v>0</v>
      </c>
      <c r="EN422" s="143">
        <f t="shared" si="607"/>
        <v>0</v>
      </c>
      <c r="EO422" s="82">
        <f t="shared" si="608"/>
        <v>0</v>
      </c>
    </row>
    <row r="423" spans="1:145" x14ac:dyDescent="0.25">
      <c r="A423">
        <v>409</v>
      </c>
      <c r="B423" s="172" t="e">
        <f t="shared" si="580"/>
        <v>#N/A</v>
      </c>
      <c r="C423" s="121" t="e">
        <f t="shared" si="558"/>
        <v>#N/A</v>
      </c>
      <c r="D423" s="122" t="e">
        <f t="shared" si="559"/>
        <v>#N/A</v>
      </c>
      <c r="E423" s="122" t="e">
        <f t="shared" si="560"/>
        <v>#N/A</v>
      </c>
      <c r="F423" s="176" t="e">
        <f t="shared" si="561"/>
        <v>#N/A</v>
      </c>
      <c r="G423" s="121">
        <f t="shared" si="581"/>
        <v>208</v>
      </c>
      <c r="H423" s="176" t="e">
        <f t="shared" si="582"/>
        <v>#N/A</v>
      </c>
      <c r="I423" s="48">
        <v>1</v>
      </c>
      <c r="J423" s="39"/>
      <c r="K423" s="350">
        <v>1</v>
      </c>
      <c r="L423" s="34" t="e">
        <f t="shared" si="562"/>
        <v>#N/A</v>
      </c>
      <c r="M423" s="38" t="e">
        <f>(HLOOKUP(J423,'Construction Times'!$B$3:$W$34,L423+2,FALSE)*HLOOKUP("hq modifier",'Construction Times'!$W$3:$W$34,BS423+2,FALSE))*(1-$H$9)</f>
        <v>#N/A</v>
      </c>
      <c r="N423" s="443" t="e">
        <f t="shared" si="583"/>
        <v>#N/A</v>
      </c>
      <c r="O423" s="444"/>
      <c r="P423" s="447" t="e">
        <f t="shared" si="584"/>
        <v>#N/A</v>
      </c>
      <c r="Q423" s="448"/>
      <c r="R423" s="103">
        <f t="shared" si="609"/>
        <v>0</v>
      </c>
      <c r="S423" s="104">
        <f t="shared" si="609"/>
        <v>0</v>
      </c>
      <c r="T423" s="104">
        <f t="shared" si="610"/>
        <v>0</v>
      </c>
      <c r="U423" s="104">
        <f t="shared" si="610"/>
        <v>0</v>
      </c>
      <c r="V423" s="104">
        <f t="shared" si="610"/>
        <v>9.9999999999999995E-8</v>
      </c>
      <c r="W423" s="104">
        <f t="shared" si="610"/>
        <v>0</v>
      </c>
      <c r="X423" s="104">
        <f t="shared" si="557"/>
        <v>0</v>
      </c>
      <c r="Y423" s="104">
        <f t="shared" si="557"/>
        <v>9.9999999999999995E-8</v>
      </c>
      <c r="Z423" s="104">
        <f t="shared" si="557"/>
        <v>9.9999999999999995E-8</v>
      </c>
      <c r="AA423" s="105">
        <f t="shared" si="557"/>
        <v>9.9999999999999995E-8</v>
      </c>
      <c r="AB423" s="101" t="e">
        <f>$DT423*HLOOKUP($J423,'Construction Costs (timber)'!$B$1:$V$32,'Construction Planner'!$L423+2,FALSE)</f>
        <v>#N/A</v>
      </c>
      <c r="AC423" s="14" t="e">
        <f>$DT423*HLOOKUP($J423,'Construction Costs (clay)'!$B$1:$V$32,'Construction Planner'!$L423+2,FALSE)</f>
        <v>#N/A</v>
      </c>
      <c r="AD423" s="14" t="e">
        <f>$DT423*HLOOKUP($J423,'Construction Costs (iron)'!$B$1:$V$32,'Construction Planner'!$L423+2,FALSE)</f>
        <v>#N/A</v>
      </c>
      <c r="AE423" s="34" t="e">
        <f t="shared" si="619"/>
        <v>#N/A</v>
      </c>
      <c r="AF423" s="33" t="e">
        <f t="shared" si="563"/>
        <v>#N/A</v>
      </c>
      <c r="AG423" s="14" t="e">
        <f t="shared" si="564"/>
        <v>#N/A</v>
      </c>
      <c r="AH423" s="14" t="e">
        <f t="shared" si="565"/>
        <v>#N/A</v>
      </c>
      <c r="AI423" s="34" t="e">
        <f t="shared" si="620"/>
        <v>#N/A</v>
      </c>
      <c r="AJ423" s="49" t="e">
        <f t="shared" si="585"/>
        <v>#N/A</v>
      </c>
      <c r="AK423" s="49" t="e">
        <f t="shared" si="586"/>
        <v>#N/A</v>
      </c>
      <c r="AL423" s="49" t="e">
        <f t="shared" si="587"/>
        <v>#N/A</v>
      </c>
      <c r="AM423" s="25">
        <f t="shared" si="566"/>
        <v>30</v>
      </c>
      <c r="AN423" s="25">
        <f t="shared" si="567"/>
        <v>30</v>
      </c>
      <c r="AO423" s="25">
        <f t="shared" si="568"/>
        <v>30</v>
      </c>
      <c r="AP423" s="52" t="e">
        <f t="shared" si="588"/>
        <v>#N/A</v>
      </c>
      <c r="AQ423" s="53" t="e">
        <f t="shared" si="588"/>
        <v>#N/A</v>
      </c>
      <c r="AR423" s="54" t="e">
        <f t="shared" si="588"/>
        <v>#N/A</v>
      </c>
      <c r="AS423" s="316">
        <f t="shared" si="636"/>
        <v>0</v>
      </c>
      <c r="AT423" s="106">
        <f>_xlfn.IFNA($M423/VLOOKUP($BT423,'Unit information'!$A$2:$K$29,2,FALSE)*R423,0)*(1+$E$9)</f>
        <v>0</v>
      </c>
      <c r="AU423" s="107">
        <f>_xlfn.IFNA($M423/VLOOKUP($BT423,'Unit information'!$A$2:$K$29,3,FALSE)*S423,0)*(1+$E$9)</f>
        <v>0</v>
      </c>
      <c r="AV423" s="107">
        <f>_xlfn.IFNA($M423/VLOOKUP($BT423,'Unit information'!$A$2:$K$29,4,FALSE)*T423,0)*(1+$E$9)</f>
        <v>0</v>
      </c>
      <c r="AW423" s="107">
        <f>_xlfn.IFNA($M423/VLOOKUP($BT423,'Unit information'!$A$2:$K$29,5,FALSE)*U423,0)*(1+$E$9)</f>
        <v>0</v>
      </c>
      <c r="AX423" s="107">
        <f>_xlfn.IFNA($M423/VLOOKUP($BU423,'Unit information'!$A$2:$K$29,6,FALSE)*V423,0)*(1+$E$9)</f>
        <v>0</v>
      </c>
      <c r="AY423" s="107">
        <f>_xlfn.IFNA($M423/VLOOKUP($BU423,'Unit information'!$A$2:$K$29,7,FALSE)*W423,0)*(1+$E$9)</f>
        <v>0</v>
      </c>
      <c r="AZ423" s="107">
        <f>_xlfn.IFNA($M423/VLOOKUP($BU423,'Unit information'!$A$2:$K$29,8,FALSE)*X423,0)*(1+$E$9)</f>
        <v>0</v>
      </c>
      <c r="BA423" s="107">
        <f>_xlfn.IFNA($M423/VLOOKUP($BU423,'Unit information'!$A$2:$K$29,9,FALSE)*Y423,0)*(1+$E$9)</f>
        <v>0</v>
      </c>
      <c r="BB423" s="107">
        <f>_xlfn.IFNA($M423/VLOOKUP($BV423,'Unit information'!$A$2:$K$29,10,FALSE)*Z423,0)*(1+$E$9)</f>
        <v>0</v>
      </c>
      <c r="BC423" s="108">
        <f>_xlfn.IFNA($M423/VLOOKUP($BV423,'Unit information'!$A$2:$K$29,11,FALSE)*AA423,0)*(1+$E$9)</f>
        <v>0</v>
      </c>
      <c r="BD423" s="106">
        <f t="shared" si="569"/>
        <v>0</v>
      </c>
      <c r="BE423" s="107">
        <f t="shared" si="570"/>
        <v>0</v>
      </c>
      <c r="BF423" s="108">
        <f t="shared" si="571"/>
        <v>0</v>
      </c>
      <c r="BG423" s="25" t="e">
        <f t="shared" si="572"/>
        <v>#N/A</v>
      </c>
      <c r="BH423" s="25" t="e">
        <f t="shared" si="573"/>
        <v>#N/A</v>
      </c>
      <c r="BI423" s="25" t="e">
        <f t="shared" si="574"/>
        <v>#N/A</v>
      </c>
      <c r="BJ423" s="27" t="e">
        <f t="shared" si="575"/>
        <v>#N/A</v>
      </c>
      <c r="BK423" s="18" t="e">
        <f t="shared" si="576"/>
        <v>#N/A</v>
      </c>
      <c r="BL423" s="18" t="e">
        <f t="shared" si="577"/>
        <v>#N/A</v>
      </c>
      <c r="BM423" s="28" t="e">
        <f t="shared" si="622"/>
        <v>#N/A</v>
      </c>
      <c r="BN423" s="33">
        <f>HLOOKUP("maximum population",Miscelaneous!$C$1:$C$33,CH423+3,FALSE)</f>
        <v>240</v>
      </c>
      <c r="BO423" s="14">
        <f t="shared" si="589"/>
        <v>32</v>
      </c>
      <c r="BP423" s="14">
        <f t="shared" si="590"/>
        <v>0</v>
      </c>
      <c r="BQ423" s="14">
        <f t="shared" si="591"/>
        <v>208</v>
      </c>
      <c r="BR423" s="34" t="e">
        <f>HLOOKUP(J423,Villagers!$B$1:$V$33,L423+3,FALSE)-HLOOKUP(J423,Villagers!$B$1:$V$33,L423+2,FALSE)</f>
        <v>#N/A</v>
      </c>
      <c r="BS423" s="49">
        <f t="shared" si="592"/>
        <v>1</v>
      </c>
      <c r="BT423" s="50">
        <f t="shared" si="593"/>
        <v>0</v>
      </c>
      <c r="BU423" s="50">
        <f t="shared" si="594"/>
        <v>0</v>
      </c>
      <c r="BV423" s="50">
        <f t="shared" si="595"/>
        <v>0</v>
      </c>
      <c r="BW423" s="50">
        <f>IF($J422=BW$14,$L422,BW422)</f>
        <v>0</v>
      </c>
      <c r="BX423" s="50">
        <f t="shared" ref="BX423:BY431" si="637">IF($J422=BX$14,$L422,BX422)</f>
        <v>0</v>
      </c>
      <c r="BY423" s="50">
        <f t="shared" si="637"/>
        <v>0</v>
      </c>
      <c r="BZ423" s="50">
        <f t="shared" si="623"/>
        <v>0</v>
      </c>
      <c r="CA423" s="50">
        <f t="shared" si="624"/>
        <v>0</v>
      </c>
      <c r="CB423" s="50">
        <f t="shared" si="625"/>
        <v>1</v>
      </c>
      <c r="CC423" s="50">
        <f t="shared" si="626"/>
        <v>0</v>
      </c>
      <c r="CD423" s="50">
        <f t="shared" si="627"/>
        <v>0</v>
      </c>
      <c r="CE423" s="50">
        <f t="shared" si="628"/>
        <v>1</v>
      </c>
      <c r="CF423" s="50">
        <f t="shared" si="629"/>
        <v>1</v>
      </c>
      <c r="CG423" s="50">
        <f t="shared" si="630"/>
        <v>1</v>
      </c>
      <c r="CH423" s="50">
        <f t="shared" si="631"/>
        <v>1</v>
      </c>
      <c r="CI423" s="50">
        <f t="shared" si="632"/>
        <v>1</v>
      </c>
      <c r="CJ423" s="50">
        <f t="shared" si="633"/>
        <v>1</v>
      </c>
      <c r="CK423" s="50">
        <f t="shared" si="633"/>
        <v>0</v>
      </c>
      <c r="CL423" s="50">
        <f t="shared" si="633"/>
        <v>0</v>
      </c>
      <c r="CM423" s="51">
        <f t="shared" si="634"/>
        <v>0</v>
      </c>
      <c r="CN423" s="33">
        <f>ROUND(IF(BS423=0,0,HLOOKUP(BS$14,Villagers!$B$1:$V$33,BS423+3,FALSE)),)</f>
        <v>5</v>
      </c>
      <c r="CO423" s="14">
        <f>ROUND(IF(BT423=0,0,HLOOKUP(BT$14,Villagers!$B$1:$V$33,BT423+3,FALSE)),)</f>
        <v>0</v>
      </c>
      <c r="CP423" s="14">
        <f>ROUND(IF(BU423=0,0,HLOOKUP(BU$14,Villagers!$B$1:$V$33,BU423+3,FALSE)),)</f>
        <v>0</v>
      </c>
      <c r="CQ423" s="14">
        <f>ROUND(IF(BV423=0,0,HLOOKUP(BV$14,Villagers!$B$1:$V$33,BV423+3,FALSE)),)</f>
        <v>0</v>
      </c>
      <c r="CR423" s="14">
        <f>ROUND(IF(BW423=0,0,HLOOKUP(BW$14,Villagers!$B$1:$V$33,BW423+3,FALSE)),)</f>
        <v>0</v>
      </c>
      <c r="CS423" s="14">
        <f>ROUND(IF(BX423=0,0,HLOOKUP(BX$14,Villagers!$B$1:$V$33,BX423+3,FALSE)),)</f>
        <v>0</v>
      </c>
      <c r="CT423" s="14">
        <f>ROUND(IF(BY423=0,0,HLOOKUP(BY$14,Villagers!$B$1:$V$33,BY423+3,FALSE)),)</f>
        <v>0</v>
      </c>
      <c r="CU423" s="14">
        <f>ROUND(IF(BZ423=0,0,HLOOKUP(BZ$14,Villagers!$B$1:$V$33,BZ423+3,FALSE)),)</f>
        <v>0</v>
      </c>
      <c r="CV423" s="14">
        <f>ROUND(IF(CA423=0,0,HLOOKUP(CA$14,Villagers!$B$1:$V$33,CA423+3,FALSE)),)</f>
        <v>0</v>
      </c>
      <c r="CW423" s="14">
        <f>ROUND(IF(CB423=0,0,HLOOKUP(CB$14,Villagers!$B$1:$V$33,CB423+3,FALSE)),)</f>
        <v>0</v>
      </c>
      <c r="CX423" s="14">
        <f>ROUND(IF(CC423=0,0,HLOOKUP(CC$14,Villagers!$B$1:$V$33,CC423+3,FALSE)),)</f>
        <v>0</v>
      </c>
      <c r="CY423" s="14">
        <f>ROUND(IF(CD423=0,0,HLOOKUP(CD$14,Villagers!$B$1:$V$33,CD423+3,FALSE)),)</f>
        <v>0</v>
      </c>
      <c r="CZ423" s="14">
        <f>ROUND(IF(CE423=0,0,HLOOKUP(CE$14,Villagers!$B$1:$V$33,CE423+3,FALSE)),)</f>
        <v>5</v>
      </c>
      <c r="DA423" s="14">
        <f>ROUND(IF(CF423=0,0,HLOOKUP(CF$14,Villagers!$B$1:$V$33,CF423+3,FALSE)),)</f>
        <v>10</v>
      </c>
      <c r="DB423" s="14">
        <f>ROUND(IF(CG423=0,0,HLOOKUP(CG$14,Villagers!$B$1:$V$33,CG423+3,FALSE)),)</f>
        <v>10</v>
      </c>
      <c r="DC423" s="14">
        <f>ROUND(IF(CH423=0,0,HLOOKUP(CH$14,Villagers!$B$1:$V$33,CH423+3,FALSE)),)</f>
        <v>0</v>
      </c>
      <c r="DD423" s="14">
        <f>ROUND(IF(CI423=0,0,HLOOKUP(CI$14,Villagers!$B$1:$V$33,CI423+3,FALSE)),)</f>
        <v>0</v>
      </c>
      <c r="DE423" s="14">
        <f>ROUND(IF(CJ423=0,0,HLOOKUP(CJ$14,Villagers!$B$1:$V$33,CJ423+3,FALSE)),)</f>
        <v>2</v>
      </c>
      <c r="DF423" s="370">
        <f>ROUND(IF(CK423=0,0,HLOOKUP(CK$14,Villagers!$B$1:$V$33,CK423+3,FALSE)),)</f>
        <v>0</v>
      </c>
      <c r="DG423" s="370">
        <f>ROUND(IF(CL423=0,0,HLOOKUP(CL$14,Villagers!$B$1:$V$33,CL423+3,FALSE)),)</f>
        <v>0</v>
      </c>
      <c r="DH423" s="34">
        <f>ROUND(IF(CM423=0,0,HLOOKUP(CM$14,Villagers!$B$1:$V$33,CM423+3,FALSE)),)</f>
        <v>0</v>
      </c>
      <c r="DI423" s="109">
        <f t="shared" si="611"/>
        <v>0</v>
      </c>
      <c r="DJ423" s="50">
        <f t="shared" si="612"/>
        <v>0</v>
      </c>
      <c r="DK423" s="50">
        <f t="shared" si="613"/>
        <v>0</v>
      </c>
      <c r="DL423" s="50">
        <f t="shared" si="614"/>
        <v>0</v>
      </c>
      <c r="DM423" s="50">
        <f t="shared" si="615"/>
        <v>0</v>
      </c>
      <c r="DN423" s="50">
        <f t="shared" si="616"/>
        <v>0</v>
      </c>
      <c r="DO423" s="50">
        <f t="shared" si="617"/>
        <v>0</v>
      </c>
      <c r="DP423" s="50">
        <f t="shared" si="618"/>
        <v>0</v>
      </c>
      <c r="DQ423" s="50">
        <f t="shared" si="596"/>
        <v>0</v>
      </c>
      <c r="DR423" s="50">
        <f t="shared" si="597"/>
        <v>0</v>
      </c>
      <c r="DS423" s="96">
        <f>Miscelaneous!$D$4*Miscelaneous!$D$2^($CI423-1)</f>
        <v>1000</v>
      </c>
      <c r="DT423" s="333">
        <f t="shared" si="579"/>
        <v>1</v>
      </c>
      <c r="DU423" s="81">
        <v>1</v>
      </c>
      <c r="DV423" s="79">
        <f t="shared" si="598"/>
        <v>0</v>
      </c>
      <c r="DW423" s="79">
        <f t="shared" si="599"/>
        <v>0</v>
      </c>
      <c r="DX423" s="79">
        <f t="shared" si="600"/>
        <v>0</v>
      </c>
      <c r="DY423" s="79">
        <v>1</v>
      </c>
      <c r="DZ423" s="79">
        <f t="shared" si="601"/>
        <v>0</v>
      </c>
      <c r="EA423" s="79">
        <f t="shared" si="602"/>
        <v>0</v>
      </c>
      <c r="EB423" s="79">
        <f t="shared" si="603"/>
        <v>0</v>
      </c>
      <c r="EC423" s="79">
        <f t="shared" si="604"/>
        <v>0</v>
      </c>
      <c r="ED423" s="79">
        <v>1</v>
      </c>
      <c r="EE423" s="79">
        <v>1</v>
      </c>
      <c r="EF423" s="79">
        <f t="shared" si="605"/>
        <v>0</v>
      </c>
      <c r="EG423" s="79">
        <v>1</v>
      </c>
      <c r="EH423" s="79">
        <v>1</v>
      </c>
      <c r="EI423" s="79">
        <v>1</v>
      </c>
      <c r="EJ423" s="79">
        <v>1</v>
      </c>
      <c r="EK423" s="79">
        <v>1</v>
      </c>
      <c r="EL423" s="79">
        <v>1</v>
      </c>
      <c r="EM423" s="143">
        <f t="shared" si="606"/>
        <v>0</v>
      </c>
      <c r="EN423" s="143">
        <f t="shared" si="607"/>
        <v>0</v>
      </c>
      <c r="EO423" s="82">
        <f t="shared" si="608"/>
        <v>0</v>
      </c>
    </row>
    <row r="424" spans="1:145" x14ac:dyDescent="0.25">
      <c r="A424">
        <v>410</v>
      </c>
      <c r="B424" s="172" t="e">
        <f t="shared" si="580"/>
        <v>#N/A</v>
      </c>
      <c r="C424" s="121" t="e">
        <f t="shared" si="558"/>
        <v>#N/A</v>
      </c>
      <c r="D424" s="122" t="e">
        <f t="shared" si="559"/>
        <v>#N/A</v>
      </c>
      <c r="E424" s="122" t="e">
        <f t="shared" si="560"/>
        <v>#N/A</v>
      </c>
      <c r="F424" s="176" t="e">
        <f t="shared" si="561"/>
        <v>#N/A</v>
      </c>
      <c r="G424" s="121">
        <f t="shared" si="581"/>
        <v>208</v>
      </c>
      <c r="H424" s="176" t="e">
        <f t="shared" si="582"/>
        <v>#N/A</v>
      </c>
      <c r="I424" s="48">
        <v>1</v>
      </c>
      <c r="J424" s="39"/>
      <c r="K424" s="350">
        <v>1</v>
      </c>
      <c r="L424" s="34" t="e">
        <f t="shared" si="562"/>
        <v>#N/A</v>
      </c>
      <c r="M424" s="38" t="e">
        <f>(HLOOKUP(J424,'Construction Times'!$B$3:$W$34,L424+2,FALSE)*HLOOKUP("hq modifier",'Construction Times'!$W$3:$W$34,BS424+2,FALSE))*(1-$H$9)</f>
        <v>#N/A</v>
      </c>
      <c r="N424" s="443" t="e">
        <f t="shared" si="583"/>
        <v>#N/A</v>
      </c>
      <c r="O424" s="444"/>
      <c r="P424" s="447" t="e">
        <f t="shared" si="584"/>
        <v>#N/A</v>
      </c>
      <c r="Q424" s="448"/>
      <c r="R424" s="103">
        <f t="shared" si="609"/>
        <v>0</v>
      </c>
      <c r="S424" s="104">
        <f t="shared" si="609"/>
        <v>0</v>
      </c>
      <c r="T424" s="104">
        <f t="shared" si="610"/>
        <v>0</v>
      </c>
      <c r="U424" s="104">
        <f t="shared" si="610"/>
        <v>0</v>
      </c>
      <c r="V424" s="104">
        <f t="shared" si="610"/>
        <v>9.9999999999999995E-8</v>
      </c>
      <c r="W424" s="104">
        <f t="shared" si="610"/>
        <v>0</v>
      </c>
      <c r="X424" s="104">
        <f t="shared" si="557"/>
        <v>0</v>
      </c>
      <c r="Y424" s="104">
        <f t="shared" si="557"/>
        <v>9.9999999999999995E-8</v>
      </c>
      <c r="Z424" s="104">
        <f t="shared" si="557"/>
        <v>9.9999999999999995E-8</v>
      </c>
      <c r="AA424" s="105">
        <f t="shared" si="557"/>
        <v>9.9999999999999995E-8</v>
      </c>
      <c r="AB424" s="101" t="e">
        <f>$DT424*HLOOKUP($J424,'Construction Costs (timber)'!$B$1:$V$32,'Construction Planner'!$L424+2,FALSE)</f>
        <v>#N/A</v>
      </c>
      <c r="AC424" s="14" t="e">
        <f>$DT424*HLOOKUP($J424,'Construction Costs (clay)'!$B$1:$V$32,'Construction Planner'!$L424+2,FALSE)</f>
        <v>#N/A</v>
      </c>
      <c r="AD424" s="14" t="e">
        <f>$DT424*HLOOKUP($J424,'Construction Costs (iron)'!$B$1:$V$32,'Construction Planner'!$L424+2,FALSE)</f>
        <v>#N/A</v>
      </c>
      <c r="AE424" s="34" t="e">
        <f t="shared" si="619"/>
        <v>#N/A</v>
      </c>
      <c r="AF424" s="33" t="e">
        <f t="shared" si="563"/>
        <v>#N/A</v>
      </c>
      <c r="AG424" s="14" t="e">
        <f t="shared" si="564"/>
        <v>#N/A</v>
      </c>
      <c r="AH424" s="14" t="e">
        <f t="shared" si="565"/>
        <v>#N/A</v>
      </c>
      <c r="AI424" s="34" t="e">
        <f t="shared" si="620"/>
        <v>#N/A</v>
      </c>
      <c r="AJ424" s="49" t="e">
        <f t="shared" si="585"/>
        <v>#N/A</v>
      </c>
      <c r="AK424" s="49" t="e">
        <f t="shared" si="586"/>
        <v>#N/A</v>
      </c>
      <c r="AL424" s="49" t="e">
        <f t="shared" si="587"/>
        <v>#N/A</v>
      </c>
      <c r="AM424" s="25">
        <f t="shared" si="566"/>
        <v>30</v>
      </c>
      <c r="AN424" s="25">
        <f t="shared" si="567"/>
        <v>30</v>
      </c>
      <c r="AO424" s="25">
        <f t="shared" si="568"/>
        <v>30</v>
      </c>
      <c r="AP424" s="52" t="e">
        <f t="shared" si="588"/>
        <v>#N/A</v>
      </c>
      <c r="AQ424" s="53" t="e">
        <f t="shared" si="588"/>
        <v>#N/A</v>
      </c>
      <c r="AR424" s="54" t="e">
        <f t="shared" si="588"/>
        <v>#N/A</v>
      </c>
      <c r="AS424" s="316">
        <f t="shared" si="636"/>
        <v>0</v>
      </c>
      <c r="AT424" s="106">
        <f>_xlfn.IFNA($M424/VLOOKUP($BT424,'Unit information'!$A$2:$K$29,2,FALSE)*R424,0)*(1+$E$9)</f>
        <v>0</v>
      </c>
      <c r="AU424" s="107">
        <f>_xlfn.IFNA($M424/VLOOKUP($BT424,'Unit information'!$A$2:$K$29,3,FALSE)*S424,0)*(1+$E$9)</f>
        <v>0</v>
      </c>
      <c r="AV424" s="107">
        <f>_xlfn.IFNA($M424/VLOOKUP($BT424,'Unit information'!$A$2:$K$29,4,FALSE)*T424,0)*(1+$E$9)</f>
        <v>0</v>
      </c>
      <c r="AW424" s="107">
        <f>_xlfn.IFNA($M424/VLOOKUP($BT424,'Unit information'!$A$2:$K$29,5,FALSE)*U424,0)*(1+$E$9)</f>
        <v>0</v>
      </c>
      <c r="AX424" s="107">
        <f>_xlfn.IFNA($M424/VLOOKUP($BU424,'Unit information'!$A$2:$K$29,6,FALSE)*V424,0)*(1+$E$9)</f>
        <v>0</v>
      </c>
      <c r="AY424" s="107">
        <f>_xlfn.IFNA($M424/VLOOKUP($BU424,'Unit information'!$A$2:$K$29,7,FALSE)*W424,0)*(1+$E$9)</f>
        <v>0</v>
      </c>
      <c r="AZ424" s="107">
        <f>_xlfn.IFNA($M424/VLOOKUP($BU424,'Unit information'!$A$2:$K$29,8,FALSE)*X424,0)*(1+$E$9)</f>
        <v>0</v>
      </c>
      <c r="BA424" s="107">
        <f>_xlfn.IFNA($M424/VLOOKUP($BU424,'Unit information'!$A$2:$K$29,9,FALSE)*Y424,0)*(1+$E$9)</f>
        <v>0</v>
      </c>
      <c r="BB424" s="107">
        <f>_xlfn.IFNA($M424/VLOOKUP($BV424,'Unit information'!$A$2:$K$29,10,FALSE)*Z424,0)*(1+$E$9)</f>
        <v>0</v>
      </c>
      <c r="BC424" s="108">
        <f>_xlfn.IFNA($M424/VLOOKUP($BV424,'Unit information'!$A$2:$K$29,11,FALSE)*AA424,0)*(1+$E$9)</f>
        <v>0</v>
      </c>
      <c r="BD424" s="106">
        <f t="shared" si="569"/>
        <v>0</v>
      </c>
      <c r="BE424" s="107">
        <f t="shared" si="570"/>
        <v>0</v>
      </c>
      <c r="BF424" s="108">
        <f t="shared" si="571"/>
        <v>0</v>
      </c>
      <c r="BG424" s="25" t="e">
        <f t="shared" si="572"/>
        <v>#N/A</v>
      </c>
      <c r="BH424" s="25" t="e">
        <f t="shared" si="573"/>
        <v>#N/A</v>
      </c>
      <c r="BI424" s="25" t="e">
        <f t="shared" si="574"/>
        <v>#N/A</v>
      </c>
      <c r="BJ424" s="27" t="e">
        <f t="shared" si="575"/>
        <v>#N/A</v>
      </c>
      <c r="BK424" s="18" t="e">
        <f t="shared" si="576"/>
        <v>#N/A</v>
      </c>
      <c r="BL424" s="18" t="e">
        <f t="shared" si="577"/>
        <v>#N/A</v>
      </c>
      <c r="BM424" s="28" t="e">
        <f t="shared" si="622"/>
        <v>#N/A</v>
      </c>
      <c r="BN424" s="33">
        <f>HLOOKUP("maximum population",Miscelaneous!$C$1:$C$33,CH424+3,FALSE)</f>
        <v>240</v>
      </c>
      <c r="BO424" s="14">
        <f t="shared" si="589"/>
        <v>32</v>
      </c>
      <c r="BP424" s="14">
        <f t="shared" si="590"/>
        <v>0</v>
      </c>
      <c r="BQ424" s="14">
        <f t="shared" si="591"/>
        <v>208</v>
      </c>
      <c r="BR424" s="34" t="e">
        <f>HLOOKUP(J424,Villagers!$B$1:$V$33,L424+3,FALSE)-HLOOKUP(J424,Villagers!$B$1:$V$33,L424+2,FALSE)</f>
        <v>#N/A</v>
      </c>
      <c r="BS424" s="49">
        <f t="shared" si="592"/>
        <v>1</v>
      </c>
      <c r="BT424" s="50">
        <f t="shared" si="593"/>
        <v>0</v>
      </c>
      <c r="BU424" s="50">
        <f t="shared" si="594"/>
        <v>0</v>
      </c>
      <c r="BV424" s="50">
        <f t="shared" si="595"/>
        <v>0</v>
      </c>
      <c r="BW424" s="50">
        <f t="shared" ref="BW424:BW431" si="638">IF($J423=BW$14,$L423,BW423)</f>
        <v>0</v>
      </c>
      <c r="BX424" s="50">
        <f t="shared" si="637"/>
        <v>0</v>
      </c>
      <c r="BY424" s="50">
        <f t="shared" si="637"/>
        <v>0</v>
      </c>
      <c r="BZ424" s="50">
        <f t="shared" si="623"/>
        <v>0</v>
      </c>
      <c r="CA424" s="50">
        <f t="shared" si="624"/>
        <v>0</v>
      </c>
      <c r="CB424" s="50">
        <f t="shared" si="625"/>
        <v>1</v>
      </c>
      <c r="CC424" s="50">
        <f t="shared" si="626"/>
        <v>0</v>
      </c>
      <c r="CD424" s="50">
        <f t="shared" si="627"/>
        <v>0</v>
      </c>
      <c r="CE424" s="50">
        <f t="shared" si="628"/>
        <v>1</v>
      </c>
      <c r="CF424" s="50">
        <f t="shared" si="629"/>
        <v>1</v>
      </c>
      <c r="CG424" s="50">
        <f t="shared" si="630"/>
        <v>1</v>
      </c>
      <c r="CH424" s="50">
        <f t="shared" si="631"/>
        <v>1</v>
      </c>
      <c r="CI424" s="50">
        <f t="shared" si="632"/>
        <v>1</v>
      </c>
      <c r="CJ424" s="50">
        <f t="shared" si="633"/>
        <v>1</v>
      </c>
      <c r="CK424" s="50">
        <f t="shared" si="633"/>
        <v>0</v>
      </c>
      <c r="CL424" s="50">
        <f t="shared" si="633"/>
        <v>0</v>
      </c>
      <c r="CM424" s="51">
        <f t="shared" si="634"/>
        <v>0</v>
      </c>
      <c r="CN424" s="33">
        <f>ROUND(IF(BS424=0,0,HLOOKUP(BS$14,Villagers!$B$1:$V$33,BS424+3,FALSE)),)</f>
        <v>5</v>
      </c>
      <c r="CO424" s="14">
        <f>ROUND(IF(BT424=0,0,HLOOKUP(BT$14,Villagers!$B$1:$V$33,BT424+3,FALSE)),)</f>
        <v>0</v>
      </c>
      <c r="CP424" s="14">
        <f>ROUND(IF(BU424=0,0,HLOOKUP(BU$14,Villagers!$B$1:$V$33,BU424+3,FALSE)),)</f>
        <v>0</v>
      </c>
      <c r="CQ424" s="14">
        <f>ROUND(IF(BV424=0,0,HLOOKUP(BV$14,Villagers!$B$1:$V$33,BV424+3,FALSE)),)</f>
        <v>0</v>
      </c>
      <c r="CR424" s="14">
        <f>ROUND(IF(BW424=0,0,HLOOKUP(BW$14,Villagers!$B$1:$V$33,BW424+3,FALSE)),)</f>
        <v>0</v>
      </c>
      <c r="CS424" s="14">
        <f>ROUND(IF(BX424=0,0,HLOOKUP(BX$14,Villagers!$B$1:$V$33,BX424+3,FALSE)),)</f>
        <v>0</v>
      </c>
      <c r="CT424" s="14">
        <f>ROUND(IF(BY424=0,0,HLOOKUP(BY$14,Villagers!$B$1:$V$33,BY424+3,FALSE)),)</f>
        <v>0</v>
      </c>
      <c r="CU424" s="14">
        <f>ROUND(IF(BZ424=0,0,HLOOKUP(BZ$14,Villagers!$B$1:$V$33,BZ424+3,FALSE)),)</f>
        <v>0</v>
      </c>
      <c r="CV424" s="14">
        <f>ROUND(IF(CA424=0,0,HLOOKUP(CA$14,Villagers!$B$1:$V$33,CA424+3,FALSE)),)</f>
        <v>0</v>
      </c>
      <c r="CW424" s="14">
        <f>ROUND(IF(CB424=0,0,HLOOKUP(CB$14,Villagers!$B$1:$V$33,CB424+3,FALSE)),)</f>
        <v>0</v>
      </c>
      <c r="CX424" s="14">
        <f>ROUND(IF(CC424=0,0,HLOOKUP(CC$14,Villagers!$B$1:$V$33,CC424+3,FALSE)),)</f>
        <v>0</v>
      </c>
      <c r="CY424" s="14">
        <f>ROUND(IF(CD424=0,0,HLOOKUP(CD$14,Villagers!$B$1:$V$33,CD424+3,FALSE)),)</f>
        <v>0</v>
      </c>
      <c r="CZ424" s="14">
        <f>ROUND(IF(CE424=0,0,HLOOKUP(CE$14,Villagers!$B$1:$V$33,CE424+3,FALSE)),)</f>
        <v>5</v>
      </c>
      <c r="DA424" s="14">
        <f>ROUND(IF(CF424=0,0,HLOOKUP(CF$14,Villagers!$B$1:$V$33,CF424+3,FALSE)),)</f>
        <v>10</v>
      </c>
      <c r="DB424" s="14">
        <f>ROUND(IF(CG424=0,0,HLOOKUP(CG$14,Villagers!$B$1:$V$33,CG424+3,FALSE)),)</f>
        <v>10</v>
      </c>
      <c r="DC424" s="14">
        <f>ROUND(IF(CH424=0,0,HLOOKUP(CH$14,Villagers!$B$1:$V$33,CH424+3,FALSE)),)</f>
        <v>0</v>
      </c>
      <c r="DD424" s="14">
        <f>ROUND(IF(CI424=0,0,HLOOKUP(CI$14,Villagers!$B$1:$V$33,CI424+3,FALSE)),)</f>
        <v>0</v>
      </c>
      <c r="DE424" s="14">
        <f>ROUND(IF(CJ424=0,0,HLOOKUP(CJ$14,Villagers!$B$1:$V$33,CJ424+3,FALSE)),)</f>
        <v>2</v>
      </c>
      <c r="DF424" s="370">
        <f>ROUND(IF(CK424=0,0,HLOOKUP(CK$14,Villagers!$B$1:$V$33,CK424+3,FALSE)),)</f>
        <v>0</v>
      </c>
      <c r="DG424" s="370">
        <f>ROUND(IF(CL424=0,0,HLOOKUP(CL$14,Villagers!$B$1:$V$33,CL424+3,FALSE)),)</f>
        <v>0</v>
      </c>
      <c r="DH424" s="34">
        <f>ROUND(IF(CM424=0,0,HLOOKUP(CM$14,Villagers!$B$1:$V$33,CM424+3,FALSE)),)</f>
        <v>0</v>
      </c>
      <c r="DI424" s="109">
        <f t="shared" si="611"/>
        <v>0</v>
      </c>
      <c r="DJ424" s="50">
        <f t="shared" si="612"/>
        <v>0</v>
      </c>
      <c r="DK424" s="50">
        <f t="shared" si="613"/>
        <v>0</v>
      </c>
      <c r="DL424" s="50">
        <f t="shared" si="614"/>
        <v>0</v>
      </c>
      <c r="DM424" s="50">
        <f t="shared" si="615"/>
        <v>0</v>
      </c>
      <c r="DN424" s="50">
        <f t="shared" si="616"/>
        <v>0</v>
      </c>
      <c r="DO424" s="50">
        <f t="shared" si="617"/>
        <v>0</v>
      </c>
      <c r="DP424" s="50">
        <f t="shared" si="618"/>
        <v>0</v>
      </c>
      <c r="DQ424" s="50">
        <f t="shared" si="596"/>
        <v>0</v>
      </c>
      <c r="DR424" s="50">
        <f t="shared" si="597"/>
        <v>0</v>
      </c>
      <c r="DS424" s="96">
        <f>Miscelaneous!$D$4*Miscelaneous!$D$2^($CI424-1)</f>
        <v>1000</v>
      </c>
      <c r="DT424" s="333">
        <f t="shared" si="579"/>
        <v>1</v>
      </c>
      <c r="DU424" s="81">
        <v>1</v>
      </c>
      <c r="DV424" s="79">
        <f t="shared" si="598"/>
        <v>0</v>
      </c>
      <c r="DW424" s="79">
        <f t="shared" si="599"/>
        <v>0</v>
      </c>
      <c r="DX424" s="79">
        <f t="shared" si="600"/>
        <v>0</v>
      </c>
      <c r="DY424" s="79">
        <v>1</v>
      </c>
      <c r="DZ424" s="79">
        <f t="shared" si="601"/>
        <v>0</v>
      </c>
      <c r="EA424" s="79">
        <f t="shared" si="602"/>
        <v>0</v>
      </c>
      <c r="EB424" s="79">
        <f t="shared" si="603"/>
        <v>0</v>
      </c>
      <c r="EC424" s="79">
        <f t="shared" si="604"/>
        <v>0</v>
      </c>
      <c r="ED424" s="79">
        <v>1</v>
      </c>
      <c r="EE424" s="79">
        <v>1</v>
      </c>
      <c r="EF424" s="79">
        <f t="shared" si="605"/>
        <v>0</v>
      </c>
      <c r="EG424" s="79">
        <v>1</v>
      </c>
      <c r="EH424" s="79">
        <v>1</v>
      </c>
      <c r="EI424" s="79">
        <v>1</v>
      </c>
      <c r="EJ424" s="79">
        <v>1</v>
      </c>
      <c r="EK424" s="79">
        <v>1</v>
      </c>
      <c r="EL424" s="79">
        <v>1</v>
      </c>
      <c r="EM424" s="143">
        <f t="shared" si="606"/>
        <v>0</v>
      </c>
      <c r="EN424" s="143">
        <f t="shared" si="607"/>
        <v>0</v>
      </c>
      <c r="EO424" s="82">
        <f t="shared" si="608"/>
        <v>0</v>
      </c>
    </row>
    <row r="425" spans="1:145" x14ac:dyDescent="0.25">
      <c r="A425">
        <v>411</v>
      </c>
      <c r="B425" s="172" t="e">
        <f t="shared" si="580"/>
        <v>#N/A</v>
      </c>
      <c r="C425" s="121" t="e">
        <f t="shared" si="558"/>
        <v>#N/A</v>
      </c>
      <c r="D425" s="122" t="e">
        <f t="shared" si="559"/>
        <v>#N/A</v>
      </c>
      <c r="E425" s="122" t="e">
        <f t="shared" si="560"/>
        <v>#N/A</v>
      </c>
      <c r="F425" s="176" t="e">
        <f t="shared" si="561"/>
        <v>#N/A</v>
      </c>
      <c r="G425" s="121">
        <f t="shared" si="581"/>
        <v>208</v>
      </c>
      <c r="H425" s="176" t="e">
        <f t="shared" si="582"/>
        <v>#N/A</v>
      </c>
      <c r="I425" s="48">
        <v>1</v>
      </c>
      <c r="J425" s="39"/>
      <c r="K425" s="350">
        <v>1</v>
      </c>
      <c r="L425" s="34" t="e">
        <f t="shared" si="562"/>
        <v>#N/A</v>
      </c>
      <c r="M425" s="38" t="e">
        <f>(HLOOKUP(J425,'Construction Times'!$B$3:$W$34,L425+2,FALSE)*HLOOKUP("hq modifier",'Construction Times'!$W$3:$W$34,BS425+2,FALSE))*(1-$H$9)</f>
        <v>#N/A</v>
      </c>
      <c r="N425" s="443" t="e">
        <f t="shared" si="583"/>
        <v>#N/A</v>
      </c>
      <c r="O425" s="444"/>
      <c r="P425" s="447" t="e">
        <f t="shared" si="584"/>
        <v>#N/A</v>
      </c>
      <c r="Q425" s="448"/>
      <c r="R425" s="103">
        <f t="shared" si="609"/>
        <v>0</v>
      </c>
      <c r="S425" s="104">
        <f t="shared" si="609"/>
        <v>0</v>
      </c>
      <c r="T425" s="104">
        <f t="shared" si="610"/>
        <v>0</v>
      </c>
      <c r="U425" s="104">
        <f t="shared" si="610"/>
        <v>0</v>
      </c>
      <c r="V425" s="104">
        <f t="shared" si="610"/>
        <v>9.9999999999999995E-8</v>
      </c>
      <c r="W425" s="104">
        <f t="shared" si="610"/>
        <v>0</v>
      </c>
      <c r="X425" s="104">
        <f t="shared" si="557"/>
        <v>0</v>
      </c>
      <c r="Y425" s="104">
        <f t="shared" si="557"/>
        <v>9.9999999999999995E-8</v>
      </c>
      <c r="Z425" s="104">
        <f t="shared" si="557"/>
        <v>9.9999999999999995E-8</v>
      </c>
      <c r="AA425" s="105">
        <f t="shared" si="557"/>
        <v>9.9999999999999995E-8</v>
      </c>
      <c r="AB425" s="101" t="e">
        <f>$DT425*HLOOKUP($J425,'Construction Costs (timber)'!$B$1:$V$32,'Construction Planner'!$L425+2,FALSE)</f>
        <v>#N/A</v>
      </c>
      <c r="AC425" s="14" t="e">
        <f>$DT425*HLOOKUP($J425,'Construction Costs (clay)'!$B$1:$V$32,'Construction Planner'!$L425+2,FALSE)</f>
        <v>#N/A</v>
      </c>
      <c r="AD425" s="14" t="e">
        <f>$DT425*HLOOKUP($J425,'Construction Costs (iron)'!$B$1:$V$32,'Construction Planner'!$L425+2,FALSE)</f>
        <v>#N/A</v>
      </c>
      <c r="AE425" s="34" t="e">
        <f t="shared" si="619"/>
        <v>#N/A</v>
      </c>
      <c r="AF425" s="33" t="e">
        <f t="shared" si="563"/>
        <v>#N/A</v>
      </c>
      <c r="AG425" s="14" t="e">
        <f t="shared" si="564"/>
        <v>#N/A</v>
      </c>
      <c r="AH425" s="14" t="e">
        <f t="shared" si="565"/>
        <v>#N/A</v>
      </c>
      <c r="AI425" s="34" t="e">
        <f t="shared" si="620"/>
        <v>#N/A</v>
      </c>
      <c r="AJ425" s="49" t="e">
        <f t="shared" si="585"/>
        <v>#N/A</v>
      </c>
      <c r="AK425" s="49" t="e">
        <f t="shared" si="586"/>
        <v>#N/A</v>
      </c>
      <c r="AL425" s="49" t="e">
        <f t="shared" si="587"/>
        <v>#N/A</v>
      </c>
      <c r="AM425" s="25">
        <f t="shared" si="566"/>
        <v>30</v>
      </c>
      <c r="AN425" s="25">
        <f t="shared" si="567"/>
        <v>30</v>
      </c>
      <c r="AO425" s="25">
        <f t="shared" si="568"/>
        <v>30</v>
      </c>
      <c r="AP425" s="52" t="e">
        <f t="shared" si="588"/>
        <v>#N/A</v>
      </c>
      <c r="AQ425" s="53" t="e">
        <f t="shared" si="588"/>
        <v>#N/A</v>
      </c>
      <c r="AR425" s="54" t="e">
        <f t="shared" si="588"/>
        <v>#N/A</v>
      </c>
      <c r="AS425" s="316">
        <f t="shared" si="636"/>
        <v>0</v>
      </c>
      <c r="AT425" s="106">
        <f>_xlfn.IFNA($M425/VLOOKUP($BT425,'Unit information'!$A$2:$K$29,2,FALSE)*R425,0)*(1+$E$9)</f>
        <v>0</v>
      </c>
      <c r="AU425" s="107">
        <f>_xlfn.IFNA($M425/VLOOKUP($BT425,'Unit information'!$A$2:$K$29,3,FALSE)*S425,0)*(1+$E$9)</f>
        <v>0</v>
      </c>
      <c r="AV425" s="107">
        <f>_xlfn.IFNA($M425/VLOOKUP($BT425,'Unit information'!$A$2:$K$29,4,FALSE)*T425,0)*(1+$E$9)</f>
        <v>0</v>
      </c>
      <c r="AW425" s="107">
        <f>_xlfn.IFNA($M425/VLOOKUP($BT425,'Unit information'!$A$2:$K$29,5,FALSE)*U425,0)*(1+$E$9)</f>
        <v>0</v>
      </c>
      <c r="AX425" s="107">
        <f>_xlfn.IFNA($M425/VLOOKUP($BU425,'Unit information'!$A$2:$K$29,6,FALSE)*V425,0)*(1+$E$9)</f>
        <v>0</v>
      </c>
      <c r="AY425" s="107">
        <f>_xlfn.IFNA($M425/VLOOKUP($BU425,'Unit information'!$A$2:$K$29,7,FALSE)*W425,0)*(1+$E$9)</f>
        <v>0</v>
      </c>
      <c r="AZ425" s="107">
        <f>_xlfn.IFNA($M425/VLOOKUP($BU425,'Unit information'!$A$2:$K$29,8,FALSE)*X425,0)*(1+$E$9)</f>
        <v>0</v>
      </c>
      <c r="BA425" s="107">
        <f>_xlfn.IFNA($M425/VLOOKUP($BU425,'Unit information'!$A$2:$K$29,9,FALSE)*Y425,0)*(1+$E$9)</f>
        <v>0</v>
      </c>
      <c r="BB425" s="107">
        <f>_xlfn.IFNA($M425/VLOOKUP($BV425,'Unit information'!$A$2:$K$29,10,FALSE)*Z425,0)*(1+$E$9)</f>
        <v>0</v>
      </c>
      <c r="BC425" s="108">
        <f>_xlfn.IFNA($M425/VLOOKUP($BV425,'Unit information'!$A$2:$K$29,11,FALSE)*AA425,0)*(1+$E$9)</f>
        <v>0</v>
      </c>
      <c r="BD425" s="106">
        <f t="shared" si="569"/>
        <v>0</v>
      </c>
      <c r="BE425" s="107">
        <f t="shared" si="570"/>
        <v>0</v>
      </c>
      <c r="BF425" s="108">
        <f t="shared" si="571"/>
        <v>0</v>
      </c>
      <c r="BG425" s="25" t="e">
        <f t="shared" si="572"/>
        <v>#N/A</v>
      </c>
      <c r="BH425" s="25" t="e">
        <f t="shared" si="573"/>
        <v>#N/A</v>
      </c>
      <c r="BI425" s="25" t="e">
        <f t="shared" si="574"/>
        <v>#N/A</v>
      </c>
      <c r="BJ425" s="27" t="e">
        <f t="shared" si="575"/>
        <v>#N/A</v>
      </c>
      <c r="BK425" s="18" t="e">
        <f t="shared" si="576"/>
        <v>#N/A</v>
      </c>
      <c r="BL425" s="18" t="e">
        <f t="shared" si="577"/>
        <v>#N/A</v>
      </c>
      <c r="BM425" s="28" t="e">
        <f t="shared" si="622"/>
        <v>#N/A</v>
      </c>
      <c r="BN425" s="33">
        <f>HLOOKUP("maximum population",Miscelaneous!$C$1:$C$33,CH425+3,FALSE)</f>
        <v>240</v>
      </c>
      <c r="BO425" s="14">
        <f t="shared" si="589"/>
        <v>32</v>
      </c>
      <c r="BP425" s="14">
        <f t="shared" si="590"/>
        <v>0</v>
      </c>
      <c r="BQ425" s="14">
        <f t="shared" si="591"/>
        <v>208</v>
      </c>
      <c r="BR425" s="34" t="e">
        <f>HLOOKUP(J425,Villagers!$B$1:$V$33,L425+3,FALSE)-HLOOKUP(J425,Villagers!$B$1:$V$33,L425+2,FALSE)</f>
        <v>#N/A</v>
      </c>
      <c r="BS425" s="49">
        <f t="shared" si="592"/>
        <v>1</v>
      </c>
      <c r="BT425" s="50">
        <f t="shared" si="593"/>
        <v>0</v>
      </c>
      <c r="BU425" s="50">
        <f t="shared" si="594"/>
        <v>0</v>
      </c>
      <c r="BV425" s="50">
        <f t="shared" si="595"/>
        <v>0</v>
      </c>
      <c r="BW425" s="50">
        <f t="shared" si="638"/>
        <v>0</v>
      </c>
      <c r="BX425" s="50">
        <f t="shared" si="637"/>
        <v>0</v>
      </c>
      <c r="BY425" s="50">
        <f t="shared" si="637"/>
        <v>0</v>
      </c>
      <c r="BZ425" s="50">
        <f t="shared" si="623"/>
        <v>0</v>
      </c>
      <c r="CA425" s="50">
        <f t="shared" si="624"/>
        <v>0</v>
      </c>
      <c r="CB425" s="50">
        <f t="shared" si="625"/>
        <v>1</v>
      </c>
      <c r="CC425" s="50">
        <f t="shared" si="626"/>
        <v>0</v>
      </c>
      <c r="CD425" s="50">
        <f t="shared" si="627"/>
        <v>0</v>
      </c>
      <c r="CE425" s="50">
        <f t="shared" si="628"/>
        <v>1</v>
      </c>
      <c r="CF425" s="50">
        <f t="shared" si="629"/>
        <v>1</v>
      </c>
      <c r="CG425" s="50">
        <f t="shared" si="630"/>
        <v>1</v>
      </c>
      <c r="CH425" s="50">
        <f t="shared" si="631"/>
        <v>1</v>
      </c>
      <c r="CI425" s="50">
        <f t="shared" si="632"/>
        <v>1</v>
      </c>
      <c r="CJ425" s="50">
        <f t="shared" si="633"/>
        <v>1</v>
      </c>
      <c r="CK425" s="50">
        <f t="shared" si="633"/>
        <v>0</v>
      </c>
      <c r="CL425" s="50">
        <f t="shared" si="633"/>
        <v>0</v>
      </c>
      <c r="CM425" s="51">
        <f t="shared" si="634"/>
        <v>0</v>
      </c>
      <c r="CN425" s="33">
        <f>ROUND(IF(BS425=0,0,HLOOKUP(BS$14,Villagers!$B$1:$V$33,BS425+3,FALSE)),)</f>
        <v>5</v>
      </c>
      <c r="CO425" s="14">
        <f>ROUND(IF(BT425=0,0,HLOOKUP(BT$14,Villagers!$B$1:$V$33,BT425+3,FALSE)),)</f>
        <v>0</v>
      </c>
      <c r="CP425" s="14">
        <f>ROUND(IF(BU425=0,0,HLOOKUP(BU$14,Villagers!$B$1:$V$33,BU425+3,FALSE)),)</f>
        <v>0</v>
      </c>
      <c r="CQ425" s="14">
        <f>ROUND(IF(BV425=0,0,HLOOKUP(BV$14,Villagers!$B$1:$V$33,BV425+3,FALSE)),)</f>
        <v>0</v>
      </c>
      <c r="CR425" s="14">
        <f>ROUND(IF(BW425=0,0,HLOOKUP(BW$14,Villagers!$B$1:$V$33,BW425+3,FALSE)),)</f>
        <v>0</v>
      </c>
      <c r="CS425" s="14">
        <f>ROUND(IF(BX425=0,0,HLOOKUP(BX$14,Villagers!$B$1:$V$33,BX425+3,FALSE)),)</f>
        <v>0</v>
      </c>
      <c r="CT425" s="14">
        <f>ROUND(IF(BY425=0,0,HLOOKUP(BY$14,Villagers!$B$1:$V$33,BY425+3,FALSE)),)</f>
        <v>0</v>
      </c>
      <c r="CU425" s="14">
        <f>ROUND(IF(BZ425=0,0,HLOOKUP(BZ$14,Villagers!$B$1:$V$33,BZ425+3,FALSE)),)</f>
        <v>0</v>
      </c>
      <c r="CV425" s="14">
        <f>ROUND(IF(CA425=0,0,HLOOKUP(CA$14,Villagers!$B$1:$V$33,CA425+3,FALSE)),)</f>
        <v>0</v>
      </c>
      <c r="CW425" s="14">
        <f>ROUND(IF(CB425=0,0,HLOOKUP(CB$14,Villagers!$B$1:$V$33,CB425+3,FALSE)),)</f>
        <v>0</v>
      </c>
      <c r="CX425" s="14">
        <f>ROUND(IF(CC425=0,0,HLOOKUP(CC$14,Villagers!$B$1:$V$33,CC425+3,FALSE)),)</f>
        <v>0</v>
      </c>
      <c r="CY425" s="14">
        <f>ROUND(IF(CD425=0,0,HLOOKUP(CD$14,Villagers!$B$1:$V$33,CD425+3,FALSE)),)</f>
        <v>0</v>
      </c>
      <c r="CZ425" s="14">
        <f>ROUND(IF(CE425=0,0,HLOOKUP(CE$14,Villagers!$B$1:$V$33,CE425+3,FALSE)),)</f>
        <v>5</v>
      </c>
      <c r="DA425" s="14">
        <f>ROUND(IF(CF425=0,0,HLOOKUP(CF$14,Villagers!$B$1:$V$33,CF425+3,FALSE)),)</f>
        <v>10</v>
      </c>
      <c r="DB425" s="14">
        <f>ROUND(IF(CG425=0,0,HLOOKUP(CG$14,Villagers!$B$1:$V$33,CG425+3,FALSE)),)</f>
        <v>10</v>
      </c>
      <c r="DC425" s="14">
        <f>ROUND(IF(CH425=0,0,HLOOKUP(CH$14,Villagers!$B$1:$V$33,CH425+3,FALSE)),)</f>
        <v>0</v>
      </c>
      <c r="DD425" s="14">
        <f>ROUND(IF(CI425=0,0,HLOOKUP(CI$14,Villagers!$B$1:$V$33,CI425+3,FALSE)),)</f>
        <v>0</v>
      </c>
      <c r="DE425" s="14">
        <f>ROUND(IF(CJ425=0,0,HLOOKUP(CJ$14,Villagers!$B$1:$V$33,CJ425+3,FALSE)),)</f>
        <v>2</v>
      </c>
      <c r="DF425" s="370">
        <f>ROUND(IF(CK425=0,0,HLOOKUP(CK$14,Villagers!$B$1:$V$33,CK425+3,FALSE)),)</f>
        <v>0</v>
      </c>
      <c r="DG425" s="370">
        <f>ROUND(IF(CL425=0,0,HLOOKUP(CL$14,Villagers!$B$1:$V$33,CL425+3,FALSE)),)</f>
        <v>0</v>
      </c>
      <c r="DH425" s="34">
        <f>ROUND(IF(CM425=0,0,HLOOKUP(CM$14,Villagers!$B$1:$V$33,CM425+3,FALSE)),)</f>
        <v>0</v>
      </c>
      <c r="DI425" s="109">
        <f t="shared" si="611"/>
        <v>0</v>
      </c>
      <c r="DJ425" s="50">
        <f t="shared" si="612"/>
        <v>0</v>
      </c>
      <c r="DK425" s="50">
        <f t="shared" si="613"/>
        <v>0</v>
      </c>
      <c r="DL425" s="50">
        <f t="shared" si="614"/>
        <v>0</v>
      </c>
      <c r="DM425" s="50">
        <f t="shared" si="615"/>
        <v>0</v>
      </c>
      <c r="DN425" s="50">
        <f t="shared" si="616"/>
        <v>0</v>
      </c>
      <c r="DO425" s="50">
        <f t="shared" si="617"/>
        <v>0</v>
      </c>
      <c r="DP425" s="50">
        <f t="shared" si="618"/>
        <v>0</v>
      </c>
      <c r="DQ425" s="50">
        <f t="shared" si="596"/>
        <v>0</v>
      </c>
      <c r="DR425" s="50">
        <f t="shared" si="597"/>
        <v>0</v>
      </c>
      <c r="DS425" s="96">
        <f>Miscelaneous!$D$4*Miscelaneous!$D$2^($CI425-1)</f>
        <v>1000</v>
      </c>
      <c r="DT425" s="333">
        <f t="shared" si="579"/>
        <v>1</v>
      </c>
      <c r="DU425" s="81">
        <v>1</v>
      </c>
      <c r="DV425" s="79">
        <f t="shared" si="598"/>
        <v>0</v>
      </c>
      <c r="DW425" s="79">
        <f t="shared" si="599"/>
        <v>0</v>
      </c>
      <c r="DX425" s="79">
        <f t="shared" si="600"/>
        <v>0</v>
      </c>
      <c r="DY425" s="79">
        <v>1</v>
      </c>
      <c r="DZ425" s="79">
        <f t="shared" si="601"/>
        <v>0</v>
      </c>
      <c r="EA425" s="79">
        <f t="shared" si="602"/>
        <v>0</v>
      </c>
      <c r="EB425" s="79">
        <f t="shared" si="603"/>
        <v>0</v>
      </c>
      <c r="EC425" s="79">
        <f t="shared" si="604"/>
        <v>0</v>
      </c>
      <c r="ED425" s="79">
        <v>1</v>
      </c>
      <c r="EE425" s="79">
        <v>1</v>
      </c>
      <c r="EF425" s="79">
        <f t="shared" si="605"/>
        <v>0</v>
      </c>
      <c r="EG425" s="79">
        <v>1</v>
      </c>
      <c r="EH425" s="79">
        <v>1</v>
      </c>
      <c r="EI425" s="79">
        <v>1</v>
      </c>
      <c r="EJ425" s="79">
        <v>1</v>
      </c>
      <c r="EK425" s="79">
        <v>1</v>
      </c>
      <c r="EL425" s="79">
        <v>1</v>
      </c>
      <c r="EM425" s="143">
        <f t="shared" si="606"/>
        <v>0</v>
      </c>
      <c r="EN425" s="143">
        <f t="shared" si="607"/>
        <v>0</v>
      </c>
      <c r="EO425" s="82">
        <f t="shared" si="608"/>
        <v>0</v>
      </c>
    </row>
    <row r="426" spans="1:145" x14ac:dyDescent="0.25">
      <c r="A426">
        <v>412</v>
      </c>
      <c r="B426" s="172" t="e">
        <f t="shared" si="580"/>
        <v>#N/A</v>
      </c>
      <c r="C426" s="121" t="e">
        <f t="shared" si="558"/>
        <v>#N/A</v>
      </c>
      <c r="D426" s="122" t="e">
        <f t="shared" si="559"/>
        <v>#N/A</v>
      </c>
      <c r="E426" s="122" t="e">
        <f t="shared" si="560"/>
        <v>#N/A</v>
      </c>
      <c r="F426" s="176" t="e">
        <f t="shared" si="561"/>
        <v>#N/A</v>
      </c>
      <c r="G426" s="121">
        <f t="shared" si="581"/>
        <v>208</v>
      </c>
      <c r="H426" s="176" t="e">
        <f t="shared" si="582"/>
        <v>#N/A</v>
      </c>
      <c r="I426" s="48">
        <v>1</v>
      </c>
      <c r="J426" s="39"/>
      <c r="K426" s="350">
        <v>1</v>
      </c>
      <c r="L426" s="34" t="e">
        <f t="shared" si="562"/>
        <v>#N/A</v>
      </c>
      <c r="M426" s="38" t="e">
        <f>(HLOOKUP(J426,'Construction Times'!$B$3:$W$34,L426+2,FALSE)*HLOOKUP("hq modifier",'Construction Times'!$W$3:$W$34,BS426+2,FALSE))*(1-$H$9)</f>
        <v>#N/A</v>
      </c>
      <c r="N426" s="443" t="e">
        <f t="shared" si="583"/>
        <v>#N/A</v>
      </c>
      <c r="O426" s="444"/>
      <c r="P426" s="447" t="e">
        <f t="shared" si="584"/>
        <v>#N/A</v>
      </c>
      <c r="Q426" s="448"/>
      <c r="R426" s="103">
        <f t="shared" si="609"/>
        <v>0</v>
      </c>
      <c r="S426" s="104">
        <f t="shared" si="609"/>
        <v>0</v>
      </c>
      <c r="T426" s="104">
        <f t="shared" si="610"/>
        <v>0</v>
      </c>
      <c r="U426" s="104">
        <f t="shared" si="610"/>
        <v>0</v>
      </c>
      <c r="V426" s="104">
        <f t="shared" si="610"/>
        <v>9.9999999999999995E-8</v>
      </c>
      <c r="W426" s="104">
        <f t="shared" si="610"/>
        <v>0</v>
      </c>
      <c r="X426" s="104">
        <f t="shared" si="557"/>
        <v>0</v>
      </c>
      <c r="Y426" s="104">
        <f t="shared" si="557"/>
        <v>9.9999999999999995E-8</v>
      </c>
      <c r="Z426" s="104">
        <f t="shared" si="557"/>
        <v>9.9999999999999995E-8</v>
      </c>
      <c r="AA426" s="105">
        <f t="shared" si="557"/>
        <v>9.9999999999999995E-8</v>
      </c>
      <c r="AB426" s="101" t="e">
        <f>$DT426*HLOOKUP($J426,'Construction Costs (timber)'!$B$1:$V$32,'Construction Planner'!$L426+2,FALSE)</f>
        <v>#N/A</v>
      </c>
      <c r="AC426" s="14" t="e">
        <f>$DT426*HLOOKUP($J426,'Construction Costs (clay)'!$B$1:$V$32,'Construction Planner'!$L426+2,FALSE)</f>
        <v>#N/A</v>
      </c>
      <c r="AD426" s="14" t="e">
        <f>$DT426*HLOOKUP($J426,'Construction Costs (iron)'!$B$1:$V$32,'Construction Planner'!$L426+2,FALSE)</f>
        <v>#N/A</v>
      </c>
      <c r="AE426" s="34" t="e">
        <f t="shared" si="619"/>
        <v>#N/A</v>
      </c>
      <c r="AF426" s="33" t="e">
        <f t="shared" si="563"/>
        <v>#N/A</v>
      </c>
      <c r="AG426" s="14" t="e">
        <f t="shared" si="564"/>
        <v>#N/A</v>
      </c>
      <c r="AH426" s="14" t="e">
        <f t="shared" si="565"/>
        <v>#N/A</v>
      </c>
      <c r="AI426" s="34" t="e">
        <f t="shared" si="620"/>
        <v>#N/A</v>
      </c>
      <c r="AJ426" s="49" t="e">
        <f t="shared" si="585"/>
        <v>#N/A</v>
      </c>
      <c r="AK426" s="49" t="e">
        <f t="shared" si="586"/>
        <v>#N/A</v>
      </c>
      <c r="AL426" s="49" t="e">
        <f t="shared" si="587"/>
        <v>#N/A</v>
      </c>
      <c r="AM426" s="25">
        <f t="shared" si="566"/>
        <v>30</v>
      </c>
      <c r="AN426" s="25">
        <f t="shared" si="567"/>
        <v>30</v>
      </c>
      <c r="AO426" s="25">
        <f t="shared" si="568"/>
        <v>30</v>
      </c>
      <c r="AP426" s="52" t="e">
        <f t="shared" si="588"/>
        <v>#N/A</v>
      </c>
      <c r="AQ426" s="53" t="e">
        <f t="shared" si="588"/>
        <v>#N/A</v>
      </c>
      <c r="AR426" s="54" t="e">
        <f t="shared" si="588"/>
        <v>#N/A</v>
      </c>
      <c r="AS426" s="316">
        <f t="shared" si="636"/>
        <v>0</v>
      </c>
      <c r="AT426" s="106">
        <f>_xlfn.IFNA($M426/VLOOKUP($BT426,'Unit information'!$A$2:$K$29,2,FALSE)*R426,0)*(1+$E$9)</f>
        <v>0</v>
      </c>
      <c r="AU426" s="107">
        <f>_xlfn.IFNA($M426/VLOOKUP($BT426,'Unit information'!$A$2:$K$29,3,FALSE)*S426,0)*(1+$E$9)</f>
        <v>0</v>
      </c>
      <c r="AV426" s="107">
        <f>_xlfn.IFNA($M426/VLOOKUP($BT426,'Unit information'!$A$2:$K$29,4,FALSE)*T426,0)*(1+$E$9)</f>
        <v>0</v>
      </c>
      <c r="AW426" s="107">
        <f>_xlfn.IFNA($M426/VLOOKUP($BT426,'Unit information'!$A$2:$K$29,5,FALSE)*U426,0)*(1+$E$9)</f>
        <v>0</v>
      </c>
      <c r="AX426" s="107">
        <f>_xlfn.IFNA($M426/VLOOKUP($BU426,'Unit information'!$A$2:$K$29,6,FALSE)*V426,0)*(1+$E$9)</f>
        <v>0</v>
      </c>
      <c r="AY426" s="107">
        <f>_xlfn.IFNA($M426/VLOOKUP($BU426,'Unit information'!$A$2:$K$29,7,FALSE)*W426,0)*(1+$E$9)</f>
        <v>0</v>
      </c>
      <c r="AZ426" s="107">
        <f>_xlfn.IFNA($M426/VLOOKUP($BU426,'Unit information'!$A$2:$K$29,8,FALSE)*X426,0)*(1+$E$9)</f>
        <v>0</v>
      </c>
      <c r="BA426" s="107">
        <f>_xlfn.IFNA($M426/VLOOKUP($BU426,'Unit information'!$A$2:$K$29,9,FALSE)*Y426,0)*(1+$E$9)</f>
        <v>0</v>
      </c>
      <c r="BB426" s="107">
        <f>_xlfn.IFNA($M426/VLOOKUP($BV426,'Unit information'!$A$2:$K$29,10,FALSE)*Z426,0)*(1+$E$9)</f>
        <v>0</v>
      </c>
      <c r="BC426" s="108">
        <f>_xlfn.IFNA($M426/VLOOKUP($BV426,'Unit information'!$A$2:$K$29,11,FALSE)*AA426,0)*(1+$E$9)</f>
        <v>0</v>
      </c>
      <c r="BD426" s="106">
        <f t="shared" si="569"/>
        <v>0</v>
      </c>
      <c r="BE426" s="107">
        <f t="shared" si="570"/>
        <v>0</v>
      </c>
      <c r="BF426" s="108">
        <f t="shared" si="571"/>
        <v>0</v>
      </c>
      <c r="BG426" s="25" t="e">
        <f t="shared" si="572"/>
        <v>#N/A</v>
      </c>
      <c r="BH426" s="25" t="e">
        <f t="shared" si="573"/>
        <v>#N/A</v>
      </c>
      <c r="BI426" s="25" t="e">
        <f t="shared" si="574"/>
        <v>#N/A</v>
      </c>
      <c r="BJ426" s="27" t="e">
        <f t="shared" si="575"/>
        <v>#N/A</v>
      </c>
      <c r="BK426" s="18" t="e">
        <f t="shared" si="576"/>
        <v>#N/A</v>
      </c>
      <c r="BL426" s="18" t="e">
        <f t="shared" si="577"/>
        <v>#N/A</v>
      </c>
      <c r="BM426" s="28" t="e">
        <f t="shared" si="622"/>
        <v>#N/A</v>
      </c>
      <c r="BN426" s="33">
        <f>HLOOKUP("maximum population",Miscelaneous!$C$1:$C$33,CH426+3,FALSE)</f>
        <v>240</v>
      </c>
      <c r="BO426" s="14">
        <f t="shared" si="589"/>
        <v>32</v>
      </c>
      <c r="BP426" s="14">
        <f t="shared" si="590"/>
        <v>0</v>
      </c>
      <c r="BQ426" s="14">
        <f t="shared" si="591"/>
        <v>208</v>
      </c>
      <c r="BR426" s="34" t="e">
        <f>HLOOKUP(J426,Villagers!$B$1:$V$33,L426+3,FALSE)-HLOOKUP(J426,Villagers!$B$1:$V$33,L426+2,FALSE)</f>
        <v>#N/A</v>
      </c>
      <c r="BS426" s="49">
        <f t="shared" si="592"/>
        <v>1</v>
      </c>
      <c r="BT426" s="50">
        <f t="shared" si="593"/>
        <v>0</v>
      </c>
      <c r="BU426" s="50">
        <f t="shared" si="594"/>
        <v>0</v>
      </c>
      <c r="BV426" s="50">
        <f t="shared" si="595"/>
        <v>0</v>
      </c>
      <c r="BW426" s="50">
        <f t="shared" si="638"/>
        <v>0</v>
      </c>
      <c r="BX426" s="50">
        <f t="shared" si="637"/>
        <v>0</v>
      </c>
      <c r="BY426" s="50">
        <f t="shared" si="637"/>
        <v>0</v>
      </c>
      <c r="BZ426" s="50">
        <f t="shared" si="623"/>
        <v>0</v>
      </c>
      <c r="CA426" s="50">
        <f t="shared" si="624"/>
        <v>0</v>
      </c>
      <c r="CB426" s="50">
        <f t="shared" si="625"/>
        <v>1</v>
      </c>
      <c r="CC426" s="50">
        <f t="shared" si="626"/>
        <v>0</v>
      </c>
      <c r="CD426" s="50">
        <f t="shared" si="627"/>
        <v>0</v>
      </c>
      <c r="CE426" s="50">
        <f t="shared" si="628"/>
        <v>1</v>
      </c>
      <c r="CF426" s="50">
        <f t="shared" si="629"/>
        <v>1</v>
      </c>
      <c r="CG426" s="50">
        <f t="shared" si="630"/>
        <v>1</v>
      </c>
      <c r="CH426" s="50">
        <f t="shared" si="631"/>
        <v>1</v>
      </c>
      <c r="CI426" s="50">
        <f t="shared" si="632"/>
        <v>1</v>
      </c>
      <c r="CJ426" s="50">
        <f t="shared" si="633"/>
        <v>1</v>
      </c>
      <c r="CK426" s="50">
        <f t="shared" si="633"/>
        <v>0</v>
      </c>
      <c r="CL426" s="50">
        <f t="shared" si="633"/>
        <v>0</v>
      </c>
      <c r="CM426" s="51">
        <f t="shared" si="634"/>
        <v>0</v>
      </c>
      <c r="CN426" s="33">
        <f>ROUND(IF(BS426=0,0,HLOOKUP(BS$14,Villagers!$B$1:$V$33,BS426+3,FALSE)),)</f>
        <v>5</v>
      </c>
      <c r="CO426" s="14">
        <f>ROUND(IF(BT426=0,0,HLOOKUP(BT$14,Villagers!$B$1:$V$33,BT426+3,FALSE)),)</f>
        <v>0</v>
      </c>
      <c r="CP426" s="14">
        <f>ROUND(IF(BU426=0,0,HLOOKUP(BU$14,Villagers!$B$1:$V$33,BU426+3,FALSE)),)</f>
        <v>0</v>
      </c>
      <c r="CQ426" s="14">
        <f>ROUND(IF(BV426=0,0,HLOOKUP(BV$14,Villagers!$B$1:$V$33,BV426+3,FALSE)),)</f>
        <v>0</v>
      </c>
      <c r="CR426" s="14">
        <f>ROUND(IF(BW426=0,0,HLOOKUP(BW$14,Villagers!$B$1:$V$33,BW426+3,FALSE)),)</f>
        <v>0</v>
      </c>
      <c r="CS426" s="14">
        <f>ROUND(IF(BX426=0,0,HLOOKUP(BX$14,Villagers!$B$1:$V$33,BX426+3,FALSE)),)</f>
        <v>0</v>
      </c>
      <c r="CT426" s="14">
        <f>ROUND(IF(BY426=0,0,HLOOKUP(BY$14,Villagers!$B$1:$V$33,BY426+3,FALSE)),)</f>
        <v>0</v>
      </c>
      <c r="CU426" s="14">
        <f>ROUND(IF(BZ426=0,0,HLOOKUP(BZ$14,Villagers!$B$1:$V$33,BZ426+3,FALSE)),)</f>
        <v>0</v>
      </c>
      <c r="CV426" s="14">
        <f>ROUND(IF(CA426=0,0,HLOOKUP(CA$14,Villagers!$B$1:$V$33,CA426+3,FALSE)),)</f>
        <v>0</v>
      </c>
      <c r="CW426" s="14">
        <f>ROUND(IF(CB426=0,0,HLOOKUP(CB$14,Villagers!$B$1:$V$33,CB426+3,FALSE)),)</f>
        <v>0</v>
      </c>
      <c r="CX426" s="14">
        <f>ROUND(IF(CC426=0,0,HLOOKUP(CC$14,Villagers!$B$1:$V$33,CC426+3,FALSE)),)</f>
        <v>0</v>
      </c>
      <c r="CY426" s="14">
        <f>ROUND(IF(CD426=0,0,HLOOKUP(CD$14,Villagers!$B$1:$V$33,CD426+3,FALSE)),)</f>
        <v>0</v>
      </c>
      <c r="CZ426" s="14">
        <f>ROUND(IF(CE426=0,0,HLOOKUP(CE$14,Villagers!$B$1:$V$33,CE426+3,FALSE)),)</f>
        <v>5</v>
      </c>
      <c r="DA426" s="14">
        <f>ROUND(IF(CF426=0,0,HLOOKUP(CF$14,Villagers!$B$1:$V$33,CF426+3,FALSE)),)</f>
        <v>10</v>
      </c>
      <c r="DB426" s="14">
        <f>ROUND(IF(CG426=0,0,HLOOKUP(CG$14,Villagers!$B$1:$V$33,CG426+3,FALSE)),)</f>
        <v>10</v>
      </c>
      <c r="DC426" s="14">
        <f>ROUND(IF(CH426=0,0,HLOOKUP(CH$14,Villagers!$B$1:$V$33,CH426+3,FALSE)),)</f>
        <v>0</v>
      </c>
      <c r="DD426" s="14">
        <f>ROUND(IF(CI426=0,0,HLOOKUP(CI$14,Villagers!$B$1:$V$33,CI426+3,FALSE)),)</f>
        <v>0</v>
      </c>
      <c r="DE426" s="14">
        <f>ROUND(IF(CJ426=0,0,HLOOKUP(CJ$14,Villagers!$B$1:$V$33,CJ426+3,FALSE)),)</f>
        <v>2</v>
      </c>
      <c r="DF426" s="370">
        <f>ROUND(IF(CK426=0,0,HLOOKUP(CK$14,Villagers!$B$1:$V$33,CK426+3,FALSE)),)</f>
        <v>0</v>
      </c>
      <c r="DG426" s="370">
        <f>ROUND(IF(CL426=0,0,HLOOKUP(CL$14,Villagers!$B$1:$V$33,CL426+3,FALSE)),)</f>
        <v>0</v>
      </c>
      <c r="DH426" s="34">
        <f>ROUND(IF(CM426=0,0,HLOOKUP(CM$14,Villagers!$B$1:$V$33,CM426+3,FALSE)),)</f>
        <v>0</v>
      </c>
      <c r="DI426" s="109">
        <f t="shared" si="611"/>
        <v>0</v>
      </c>
      <c r="DJ426" s="50">
        <f t="shared" si="612"/>
        <v>0</v>
      </c>
      <c r="DK426" s="50">
        <f t="shared" si="613"/>
        <v>0</v>
      </c>
      <c r="DL426" s="50">
        <f t="shared" si="614"/>
        <v>0</v>
      </c>
      <c r="DM426" s="50">
        <f t="shared" si="615"/>
        <v>0</v>
      </c>
      <c r="DN426" s="50">
        <f t="shared" si="616"/>
        <v>0</v>
      </c>
      <c r="DO426" s="50">
        <f t="shared" si="617"/>
        <v>0</v>
      </c>
      <c r="DP426" s="50">
        <f t="shared" si="618"/>
        <v>0</v>
      </c>
      <c r="DQ426" s="50">
        <f t="shared" si="596"/>
        <v>0</v>
      </c>
      <c r="DR426" s="50">
        <f t="shared" si="597"/>
        <v>0</v>
      </c>
      <c r="DS426" s="96">
        <f>Miscelaneous!$D$4*Miscelaneous!$D$2^($CI426-1)</f>
        <v>1000</v>
      </c>
      <c r="DT426" s="333">
        <f t="shared" si="579"/>
        <v>1</v>
      </c>
      <c r="DU426" s="81">
        <v>1</v>
      </c>
      <c r="DV426" s="79">
        <f t="shared" si="598"/>
        <v>0</v>
      </c>
      <c r="DW426" s="79">
        <f t="shared" si="599"/>
        <v>0</v>
      </c>
      <c r="DX426" s="79">
        <f t="shared" si="600"/>
        <v>0</v>
      </c>
      <c r="DY426" s="79">
        <v>1</v>
      </c>
      <c r="DZ426" s="79">
        <f t="shared" si="601"/>
        <v>0</v>
      </c>
      <c r="EA426" s="79">
        <f t="shared" si="602"/>
        <v>0</v>
      </c>
      <c r="EB426" s="79">
        <f t="shared" si="603"/>
        <v>0</v>
      </c>
      <c r="EC426" s="79">
        <f t="shared" si="604"/>
        <v>0</v>
      </c>
      <c r="ED426" s="79">
        <v>1</v>
      </c>
      <c r="EE426" s="79">
        <v>1</v>
      </c>
      <c r="EF426" s="79">
        <f t="shared" si="605"/>
        <v>0</v>
      </c>
      <c r="EG426" s="79">
        <v>1</v>
      </c>
      <c r="EH426" s="79">
        <v>1</v>
      </c>
      <c r="EI426" s="79">
        <v>1</v>
      </c>
      <c r="EJ426" s="79">
        <v>1</v>
      </c>
      <c r="EK426" s="79">
        <v>1</v>
      </c>
      <c r="EL426" s="79">
        <v>1</v>
      </c>
      <c r="EM426" s="143">
        <f t="shared" si="606"/>
        <v>0</v>
      </c>
      <c r="EN426" s="143">
        <f t="shared" si="607"/>
        <v>0</v>
      </c>
      <c r="EO426" s="82">
        <f t="shared" si="608"/>
        <v>0</v>
      </c>
    </row>
    <row r="427" spans="1:145" x14ac:dyDescent="0.25">
      <c r="A427">
        <v>413</v>
      </c>
      <c r="B427" s="172" t="e">
        <f t="shared" si="580"/>
        <v>#N/A</v>
      </c>
      <c r="C427" s="121" t="e">
        <f t="shared" si="558"/>
        <v>#N/A</v>
      </c>
      <c r="D427" s="122" t="e">
        <f t="shared" si="559"/>
        <v>#N/A</v>
      </c>
      <c r="E427" s="122" t="e">
        <f t="shared" si="560"/>
        <v>#N/A</v>
      </c>
      <c r="F427" s="176" t="e">
        <f t="shared" si="561"/>
        <v>#N/A</v>
      </c>
      <c r="G427" s="121">
        <f t="shared" si="581"/>
        <v>208</v>
      </c>
      <c r="H427" s="176" t="e">
        <f t="shared" si="582"/>
        <v>#N/A</v>
      </c>
      <c r="I427" s="48">
        <v>1</v>
      </c>
      <c r="J427" s="39"/>
      <c r="K427" s="350">
        <v>1</v>
      </c>
      <c r="L427" s="34" t="e">
        <f t="shared" si="562"/>
        <v>#N/A</v>
      </c>
      <c r="M427" s="38" t="e">
        <f>(HLOOKUP(J427,'Construction Times'!$B$3:$W$34,L427+2,FALSE)*HLOOKUP("hq modifier",'Construction Times'!$W$3:$W$34,BS427+2,FALSE))*(1-$H$9)</f>
        <v>#N/A</v>
      </c>
      <c r="N427" s="443" t="e">
        <f t="shared" si="583"/>
        <v>#N/A</v>
      </c>
      <c r="O427" s="444"/>
      <c r="P427" s="447" t="e">
        <f t="shared" si="584"/>
        <v>#N/A</v>
      </c>
      <c r="Q427" s="448"/>
      <c r="R427" s="103">
        <f t="shared" si="609"/>
        <v>0</v>
      </c>
      <c r="S427" s="104">
        <f t="shared" si="609"/>
        <v>0</v>
      </c>
      <c r="T427" s="104">
        <f t="shared" si="610"/>
        <v>0</v>
      </c>
      <c r="U427" s="104">
        <f t="shared" si="610"/>
        <v>0</v>
      </c>
      <c r="V427" s="104">
        <f t="shared" si="610"/>
        <v>9.9999999999999995E-8</v>
      </c>
      <c r="W427" s="104">
        <f t="shared" si="610"/>
        <v>0</v>
      </c>
      <c r="X427" s="104">
        <f t="shared" si="557"/>
        <v>0</v>
      </c>
      <c r="Y427" s="104">
        <f t="shared" si="557"/>
        <v>9.9999999999999995E-8</v>
      </c>
      <c r="Z427" s="104">
        <f t="shared" si="557"/>
        <v>9.9999999999999995E-8</v>
      </c>
      <c r="AA427" s="105">
        <f t="shared" si="557"/>
        <v>9.9999999999999995E-8</v>
      </c>
      <c r="AB427" s="101" t="e">
        <f>$DT427*HLOOKUP($J427,'Construction Costs (timber)'!$B$1:$V$32,'Construction Planner'!$L427+2,FALSE)</f>
        <v>#N/A</v>
      </c>
      <c r="AC427" s="14" t="e">
        <f>$DT427*HLOOKUP($J427,'Construction Costs (clay)'!$B$1:$V$32,'Construction Planner'!$L427+2,FALSE)</f>
        <v>#N/A</v>
      </c>
      <c r="AD427" s="14" t="e">
        <f>$DT427*HLOOKUP($J427,'Construction Costs (iron)'!$B$1:$V$32,'Construction Planner'!$L427+2,FALSE)</f>
        <v>#N/A</v>
      </c>
      <c r="AE427" s="34" t="e">
        <f t="shared" si="619"/>
        <v>#N/A</v>
      </c>
      <c r="AF427" s="33" t="e">
        <f t="shared" si="563"/>
        <v>#N/A</v>
      </c>
      <c r="AG427" s="14" t="e">
        <f t="shared" si="564"/>
        <v>#N/A</v>
      </c>
      <c r="AH427" s="14" t="e">
        <f t="shared" si="565"/>
        <v>#N/A</v>
      </c>
      <c r="AI427" s="34" t="e">
        <f t="shared" si="620"/>
        <v>#N/A</v>
      </c>
      <c r="AJ427" s="49" t="e">
        <f t="shared" si="585"/>
        <v>#N/A</v>
      </c>
      <c r="AK427" s="49" t="e">
        <f t="shared" si="586"/>
        <v>#N/A</v>
      </c>
      <c r="AL427" s="49" t="e">
        <f t="shared" si="587"/>
        <v>#N/A</v>
      </c>
      <c r="AM427" s="25">
        <f t="shared" si="566"/>
        <v>30</v>
      </c>
      <c r="AN427" s="25">
        <f t="shared" si="567"/>
        <v>30</v>
      </c>
      <c r="AO427" s="25">
        <f t="shared" si="568"/>
        <v>30</v>
      </c>
      <c r="AP427" s="52" t="e">
        <f t="shared" si="588"/>
        <v>#N/A</v>
      </c>
      <c r="AQ427" s="53" t="e">
        <f t="shared" si="588"/>
        <v>#N/A</v>
      </c>
      <c r="AR427" s="54" t="e">
        <f t="shared" si="588"/>
        <v>#N/A</v>
      </c>
      <c r="AS427" s="316">
        <f t="shared" si="636"/>
        <v>0</v>
      </c>
      <c r="AT427" s="106">
        <f>_xlfn.IFNA($M427/VLOOKUP($BT427,'Unit information'!$A$2:$K$29,2,FALSE)*R427,0)*(1+$E$9)</f>
        <v>0</v>
      </c>
      <c r="AU427" s="107">
        <f>_xlfn.IFNA($M427/VLOOKUP($BT427,'Unit information'!$A$2:$K$29,3,FALSE)*S427,0)*(1+$E$9)</f>
        <v>0</v>
      </c>
      <c r="AV427" s="107">
        <f>_xlfn.IFNA($M427/VLOOKUP($BT427,'Unit information'!$A$2:$K$29,4,FALSE)*T427,0)*(1+$E$9)</f>
        <v>0</v>
      </c>
      <c r="AW427" s="107">
        <f>_xlfn.IFNA($M427/VLOOKUP($BT427,'Unit information'!$A$2:$K$29,5,FALSE)*U427,0)*(1+$E$9)</f>
        <v>0</v>
      </c>
      <c r="AX427" s="107">
        <f>_xlfn.IFNA($M427/VLOOKUP($BU427,'Unit information'!$A$2:$K$29,6,FALSE)*V427,0)*(1+$E$9)</f>
        <v>0</v>
      </c>
      <c r="AY427" s="107">
        <f>_xlfn.IFNA($M427/VLOOKUP($BU427,'Unit information'!$A$2:$K$29,7,FALSE)*W427,0)*(1+$E$9)</f>
        <v>0</v>
      </c>
      <c r="AZ427" s="107">
        <f>_xlfn.IFNA($M427/VLOOKUP($BU427,'Unit information'!$A$2:$K$29,8,FALSE)*X427,0)*(1+$E$9)</f>
        <v>0</v>
      </c>
      <c r="BA427" s="107">
        <f>_xlfn.IFNA($M427/VLOOKUP($BU427,'Unit information'!$A$2:$K$29,9,FALSE)*Y427,0)*(1+$E$9)</f>
        <v>0</v>
      </c>
      <c r="BB427" s="107">
        <f>_xlfn.IFNA($M427/VLOOKUP($BV427,'Unit information'!$A$2:$K$29,10,FALSE)*Z427,0)*(1+$E$9)</f>
        <v>0</v>
      </c>
      <c r="BC427" s="108">
        <f>_xlfn.IFNA($M427/VLOOKUP($BV427,'Unit information'!$A$2:$K$29,11,FALSE)*AA427,0)*(1+$E$9)</f>
        <v>0</v>
      </c>
      <c r="BD427" s="106">
        <f t="shared" si="569"/>
        <v>0</v>
      </c>
      <c r="BE427" s="107">
        <f t="shared" si="570"/>
        <v>0</v>
      </c>
      <c r="BF427" s="108">
        <f t="shared" si="571"/>
        <v>0</v>
      </c>
      <c r="BG427" s="25" t="e">
        <f t="shared" si="572"/>
        <v>#N/A</v>
      </c>
      <c r="BH427" s="25" t="e">
        <f t="shared" si="573"/>
        <v>#N/A</v>
      </c>
      <c r="BI427" s="25" t="e">
        <f t="shared" si="574"/>
        <v>#N/A</v>
      </c>
      <c r="BJ427" s="27" t="e">
        <f t="shared" si="575"/>
        <v>#N/A</v>
      </c>
      <c r="BK427" s="18" t="e">
        <f t="shared" si="576"/>
        <v>#N/A</v>
      </c>
      <c r="BL427" s="18" t="e">
        <f t="shared" si="577"/>
        <v>#N/A</v>
      </c>
      <c r="BM427" s="28" t="e">
        <f t="shared" si="622"/>
        <v>#N/A</v>
      </c>
      <c r="BN427" s="33">
        <f>HLOOKUP("maximum population",Miscelaneous!$C$1:$C$33,CH427+3,FALSE)</f>
        <v>240</v>
      </c>
      <c r="BO427" s="14">
        <f t="shared" si="589"/>
        <v>32</v>
      </c>
      <c r="BP427" s="14">
        <f t="shared" si="590"/>
        <v>0</v>
      </c>
      <c r="BQ427" s="14">
        <f t="shared" si="591"/>
        <v>208</v>
      </c>
      <c r="BR427" s="34" t="e">
        <f>HLOOKUP(J427,Villagers!$B$1:$V$33,L427+3,FALSE)-HLOOKUP(J427,Villagers!$B$1:$V$33,L427+2,FALSE)</f>
        <v>#N/A</v>
      </c>
      <c r="BS427" s="49">
        <f t="shared" si="592"/>
        <v>1</v>
      </c>
      <c r="BT427" s="50">
        <f t="shared" si="593"/>
        <v>0</v>
      </c>
      <c r="BU427" s="50">
        <f t="shared" si="594"/>
        <v>0</v>
      </c>
      <c r="BV427" s="50">
        <f t="shared" si="595"/>
        <v>0</v>
      </c>
      <c r="BW427" s="50">
        <f t="shared" si="638"/>
        <v>0</v>
      </c>
      <c r="BX427" s="50">
        <f t="shared" si="637"/>
        <v>0</v>
      </c>
      <c r="BY427" s="50">
        <f t="shared" si="637"/>
        <v>0</v>
      </c>
      <c r="BZ427" s="50">
        <f t="shared" si="623"/>
        <v>0</v>
      </c>
      <c r="CA427" s="50">
        <f t="shared" si="624"/>
        <v>0</v>
      </c>
      <c r="CB427" s="50">
        <f t="shared" si="625"/>
        <v>1</v>
      </c>
      <c r="CC427" s="50">
        <f t="shared" si="626"/>
        <v>0</v>
      </c>
      <c r="CD427" s="50">
        <f t="shared" si="627"/>
        <v>0</v>
      </c>
      <c r="CE427" s="50">
        <f t="shared" si="628"/>
        <v>1</v>
      </c>
      <c r="CF427" s="50">
        <f t="shared" si="629"/>
        <v>1</v>
      </c>
      <c r="CG427" s="50">
        <f t="shared" si="630"/>
        <v>1</v>
      </c>
      <c r="CH427" s="50">
        <f t="shared" si="631"/>
        <v>1</v>
      </c>
      <c r="CI427" s="50">
        <f t="shared" si="632"/>
        <v>1</v>
      </c>
      <c r="CJ427" s="50">
        <f t="shared" si="633"/>
        <v>1</v>
      </c>
      <c r="CK427" s="50">
        <f t="shared" si="633"/>
        <v>0</v>
      </c>
      <c r="CL427" s="50">
        <f t="shared" si="633"/>
        <v>0</v>
      </c>
      <c r="CM427" s="51">
        <f t="shared" si="634"/>
        <v>0</v>
      </c>
      <c r="CN427" s="33">
        <f>ROUND(IF(BS427=0,0,HLOOKUP(BS$14,Villagers!$B$1:$V$33,BS427+3,FALSE)),)</f>
        <v>5</v>
      </c>
      <c r="CO427" s="14">
        <f>ROUND(IF(BT427=0,0,HLOOKUP(BT$14,Villagers!$B$1:$V$33,BT427+3,FALSE)),)</f>
        <v>0</v>
      </c>
      <c r="CP427" s="14">
        <f>ROUND(IF(BU427=0,0,HLOOKUP(BU$14,Villagers!$B$1:$V$33,BU427+3,FALSE)),)</f>
        <v>0</v>
      </c>
      <c r="CQ427" s="14">
        <f>ROUND(IF(BV427=0,0,HLOOKUP(BV$14,Villagers!$B$1:$V$33,BV427+3,FALSE)),)</f>
        <v>0</v>
      </c>
      <c r="CR427" s="14">
        <f>ROUND(IF(BW427=0,0,HLOOKUP(BW$14,Villagers!$B$1:$V$33,BW427+3,FALSE)),)</f>
        <v>0</v>
      </c>
      <c r="CS427" s="14">
        <f>ROUND(IF(BX427=0,0,HLOOKUP(BX$14,Villagers!$B$1:$V$33,BX427+3,FALSE)),)</f>
        <v>0</v>
      </c>
      <c r="CT427" s="14">
        <f>ROUND(IF(BY427=0,0,HLOOKUP(BY$14,Villagers!$B$1:$V$33,BY427+3,FALSE)),)</f>
        <v>0</v>
      </c>
      <c r="CU427" s="14">
        <f>ROUND(IF(BZ427=0,0,HLOOKUP(BZ$14,Villagers!$B$1:$V$33,BZ427+3,FALSE)),)</f>
        <v>0</v>
      </c>
      <c r="CV427" s="14">
        <f>ROUND(IF(CA427=0,0,HLOOKUP(CA$14,Villagers!$B$1:$V$33,CA427+3,FALSE)),)</f>
        <v>0</v>
      </c>
      <c r="CW427" s="14">
        <f>ROUND(IF(CB427=0,0,HLOOKUP(CB$14,Villagers!$B$1:$V$33,CB427+3,FALSE)),)</f>
        <v>0</v>
      </c>
      <c r="CX427" s="14">
        <f>ROUND(IF(CC427=0,0,HLOOKUP(CC$14,Villagers!$B$1:$V$33,CC427+3,FALSE)),)</f>
        <v>0</v>
      </c>
      <c r="CY427" s="14">
        <f>ROUND(IF(CD427=0,0,HLOOKUP(CD$14,Villagers!$B$1:$V$33,CD427+3,FALSE)),)</f>
        <v>0</v>
      </c>
      <c r="CZ427" s="14">
        <f>ROUND(IF(CE427=0,0,HLOOKUP(CE$14,Villagers!$B$1:$V$33,CE427+3,FALSE)),)</f>
        <v>5</v>
      </c>
      <c r="DA427" s="14">
        <f>ROUND(IF(CF427=0,0,HLOOKUP(CF$14,Villagers!$B$1:$V$33,CF427+3,FALSE)),)</f>
        <v>10</v>
      </c>
      <c r="DB427" s="14">
        <f>ROUND(IF(CG427=0,0,HLOOKUP(CG$14,Villagers!$B$1:$V$33,CG427+3,FALSE)),)</f>
        <v>10</v>
      </c>
      <c r="DC427" s="14">
        <f>ROUND(IF(CH427=0,0,HLOOKUP(CH$14,Villagers!$B$1:$V$33,CH427+3,FALSE)),)</f>
        <v>0</v>
      </c>
      <c r="DD427" s="14">
        <f>ROUND(IF(CI427=0,0,HLOOKUP(CI$14,Villagers!$B$1:$V$33,CI427+3,FALSE)),)</f>
        <v>0</v>
      </c>
      <c r="DE427" s="14">
        <f>ROUND(IF(CJ427=0,0,HLOOKUP(CJ$14,Villagers!$B$1:$V$33,CJ427+3,FALSE)),)</f>
        <v>2</v>
      </c>
      <c r="DF427" s="370">
        <f>ROUND(IF(CK427=0,0,HLOOKUP(CK$14,Villagers!$B$1:$V$33,CK427+3,FALSE)),)</f>
        <v>0</v>
      </c>
      <c r="DG427" s="370">
        <f>ROUND(IF(CL427=0,0,HLOOKUP(CL$14,Villagers!$B$1:$V$33,CL427+3,FALSE)),)</f>
        <v>0</v>
      </c>
      <c r="DH427" s="34">
        <f>ROUND(IF(CM427=0,0,HLOOKUP(CM$14,Villagers!$B$1:$V$33,CM427+3,FALSE)),)</f>
        <v>0</v>
      </c>
      <c r="DI427" s="109">
        <f t="shared" si="611"/>
        <v>0</v>
      </c>
      <c r="DJ427" s="50">
        <f t="shared" si="612"/>
        <v>0</v>
      </c>
      <c r="DK427" s="50">
        <f t="shared" si="613"/>
        <v>0</v>
      </c>
      <c r="DL427" s="50">
        <f t="shared" si="614"/>
        <v>0</v>
      </c>
      <c r="DM427" s="50">
        <f t="shared" si="615"/>
        <v>0</v>
      </c>
      <c r="DN427" s="50">
        <f t="shared" si="616"/>
        <v>0</v>
      </c>
      <c r="DO427" s="50">
        <f t="shared" si="617"/>
        <v>0</v>
      </c>
      <c r="DP427" s="50">
        <f t="shared" si="618"/>
        <v>0</v>
      </c>
      <c r="DQ427" s="50">
        <f t="shared" si="596"/>
        <v>0</v>
      </c>
      <c r="DR427" s="50">
        <f t="shared" si="597"/>
        <v>0</v>
      </c>
      <c r="DS427" s="96">
        <f>Miscelaneous!$D$4*Miscelaneous!$D$2^($CI427-1)</f>
        <v>1000</v>
      </c>
      <c r="DT427" s="333">
        <f t="shared" si="579"/>
        <v>1</v>
      </c>
      <c r="DU427" s="81">
        <v>1</v>
      </c>
      <c r="DV427" s="79">
        <f t="shared" si="598"/>
        <v>0</v>
      </c>
      <c r="DW427" s="79">
        <f t="shared" si="599"/>
        <v>0</v>
      </c>
      <c r="DX427" s="79">
        <f t="shared" si="600"/>
        <v>0</v>
      </c>
      <c r="DY427" s="79">
        <v>1</v>
      </c>
      <c r="DZ427" s="79">
        <f t="shared" si="601"/>
        <v>0</v>
      </c>
      <c r="EA427" s="79">
        <f t="shared" si="602"/>
        <v>0</v>
      </c>
      <c r="EB427" s="79">
        <f t="shared" si="603"/>
        <v>0</v>
      </c>
      <c r="EC427" s="79">
        <f t="shared" si="604"/>
        <v>0</v>
      </c>
      <c r="ED427" s="79">
        <v>1</v>
      </c>
      <c r="EE427" s="79">
        <v>1</v>
      </c>
      <c r="EF427" s="79">
        <f t="shared" si="605"/>
        <v>0</v>
      </c>
      <c r="EG427" s="79">
        <v>1</v>
      </c>
      <c r="EH427" s="79">
        <v>1</v>
      </c>
      <c r="EI427" s="79">
        <v>1</v>
      </c>
      <c r="EJ427" s="79">
        <v>1</v>
      </c>
      <c r="EK427" s="79">
        <v>1</v>
      </c>
      <c r="EL427" s="79">
        <v>1</v>
      </c>
      <c r="EM427" s="143">
        <f t="shared" si="606"/>
        <v>0</v>
      </c>
      <c r="EN427" s="143">
        <f t="shared" si="607"/>
        <v>0</v>
      </c>
      <c r="EO427" s="82">
        <f t="shared" si="608"/>
        <v>0</v>
      </c>
    </row>
    <row r="428" spans="1:145" x14ac:dyDescent="0.25">
      <c r="A428">
        <v>414</v>
      </c>
      <c r="B428" s="172" t="e">
        <f t="shared" si="580"/>
        <v>#N/A</v>
      </c>
      <c r="C428" s="121" t="e">
        <f t="shared" si="558"/>
        <v>#N/A</v>
      </c>
      <c r="D428" s="122" t="e">
        <f t="shared" si="559"/>
        <v>#N/A</v>
      </c>
      <c r="E428" s="122" t="e">
        <f t="shared" si="560"/>
        <v>#N/A</v>
      </c>
      <c r="F428" s="176" t="e">
        <f t="shared" si="561"/>
        <v>#N/A</v>
      </c>
      <c r="G428" s="121">
        <f t="shared" si="581"/>
        <v>208</v>
      </c>
      <c r="H428" s="176" t="e">
        <f t="shared" si="582"/>
        <v>#N/A</v>
      </c>
      <c r="I428" s="48">
        <v>1</v>
      </c>
      <c r="J428" s="39"/>
      <c r="K428" s="350">
        <v>1</v>
      </c>
      <c r="L428" s="34" t="e">
        <f t="shared" si="562"/>
        <v>#N/A</v>
      </c>
      <c r="M428" s="38" t="e">
        <f>(HLOOKUP(J428,'Construction Times'!$B$3:$W$34,L428+2,FALSE)*HLOOKUP("hq modifier",'Construction Times'!$W$3:$W$34,BS428+2,FALSE))*(1-$H$9)</f>
        <v>#N/A</v>
      </c>
      <c r="N428" s="443" t="e">
        <f t="shared" si="583"/>
        <v>#N/A</v>
      </c>
      <c r="O428" s="444"/>
      <c r="P428" s="447" t="e">
        <f t="shared" si="584"/>
        <v>#N/A</v>
      </c>
      <c r="Q428" s="448"/>
      <c r="R428" s="103">
        <f t="shared" si="609"/>
        <v>0</v>
      </c>
      <c r="S428" s="104">
        <f t="shared" si="609"/>
        <v>0</v>
      </c>
      <c r="T428" s="104">
        <f t="shared" si="610"/>
        <v>0</v>
      </c>
      <c r="U428" s="104">
        <f t="shared" si="610"/>
        <v>0</v>
      </c>
      <c r="V428" s="104">
        <f t="shared" si="610"/>
        <v>9.9999999999999995E-8</v>
      </c>
      <c r="W428" s="104">
        <f t="shared" si="610"/>
        <v>0</v>
      </c>
      <c r="X428" s="104">
        <f t="shared" si="557"/>
        <v>0</v>
      </c>
      <c r="Y428" s="104">
        <f t="shared" si="557"/>
        <v>9.9999999999999995E-8</v>
      </c>
      <c r="Z428" s="104">
        <f t="shared" si="557"/>
        <v>9.9999999999999995E-8</v>
      </c>
      <c r="AA428" s="105">
        <f t="shared" si="557"/>
        <v>9.9999999999999995E-8</v>
      </c>
      <c r="AB428" s="101" t="e">
        <f>$DT428*HLOOKUP($J428,'Construction Costs (timber)'!$B$1:$V$32,'Construction Planner'!$L428+2,FALSE)</f>
        <v>#N/A</v>
      </c>
      <c r="AC428" s="14" t="e">
        <f>$DT428*HLOOKUP($J428,'Construction Costs (clay)'!$B$1:$V$32,'Construction Planner'!$L428+2,FALSE)</f>
        <v>#N/A</v>
      </c>
      <c r="AD428" s="14" t="e">
        <f>$DT428*HLOOKUP($J428,'Construction Costs (iron)'!$B$1:$V$32,'Construction Planner'!$L428+2,FALSE)</f>
        <v>#N/A</v>
      </c>
      <c r="AE428" s="34" t="e">
        <f t="shared" si="619"/>
        <v>#N/A</v>
      </c>
      <c r="AF428" s="33" t="e">
        <f t="shared" si="563"/>
        <v>#N/A</v>
      </c>
      <c r="AG428" s="14" t="e">
        <f t="shared" si="564"/>
        <v>#N/A</v>
      </c>
      <c r="AH428" s="14" t="e">
        <f t="shared" si="565"/>
        <v>#N/A</v>
      </c>
      <c r="AI428" s="34" t="e">
        <f t="shared" si="620"/>
        <v>#N/A</v>
      </c>
      <c r="AJ428" s="49" t="e">
        <f t="shared" si="585"/>
        <v>#N/A</v>
      </c>
      <c r="AK428" s="49" t="e">
        <f t="shared" si="586"/>
        <v>#N/A</v>
      </c>
      <c r="AL428" s="49" t="e">
        <f t="shared" si="587"/>
        <v>#N/A</v>
      </c>
      <c r="AM428" s="25">
        <f t="shared" si="566"/>
        <v>30</v>
      </c>
      <c r="AN428" s="25">
        <f t="shared" si="567"/>
        <v>30</v>
      </c>
      <c r="AO428" s="25">
        <f t="shared" si="568"/>
        <v>30</v>
      </c>
      <c r="AP428" s="52" t="e">
        <f t="shared" si="588"/>
        <v>#N/A</v>
      </c>
      <c r="AQ428" s="53" t="e">
        <f t="shared" si="588"/>
        <v>#N/A</v>
      </c>
      <c r="AR428" s="54" t="e">
        <f t="shared" si="588"/>
        <v>#N/A</v>
      </c>
      <c r="AS428" s="316">
        <f t="shared" si="636"/>
        <v>0</v>
      </c>
      <c r="AT428" s="106">
        <f>_xlfn.IFNA($M428/VLOOKUP($BT428,'Unit information'!$A$2:$K$29,2,FALSE)*R428,0)*(1+$E$9)</f>
        <v>0</v>
      </c>
      <c r="AU428" s="107">
        <f>_xlfn.IFNA($M428/VLOOKUP($BT428,'Unit information'!$A$2:$K$29,3,FALSE)*S428,0)*(1+$E$9)</f>
        <v>0</v>
      </c>
      <c r="AV428" s="107">
        <f>_xlfn.IFNA($M428/VLOOKUP($BT428,'Unit information'!$A$2:$K$29,4,FALSE)*T428,0)*(1+$E$9)</f>
        <v>0</v>
      </c>
      <c r="AW428" s="107">
        <f>_xlfn.IFNA($M428/VLOOKUP($BT428,'Unit information'!$A$2:$K$29,5,FALSE)*U428,0)*(1+$E$9)</f>
        <v>0</v>
      </c>
      <c r="AX428" s="107">
        <f>_xlfn.IFNA($M428/VLOOKUP($BU428,'Unit information'!$A$2:$K$29,6,FALSE)*V428,0)*(1+$E$9)</f>
        <v>0</v>
      </c>
      <c r="AY428" s="107">
        <f>_xlfn.IFNA($M428/VLOOKUP($BU428,'Unit information'!$A$2:$K$29,7,FALSE)*W428,0)*(1+$E$9)</f>
        <v>0</v>
      </c>
      <c r="AZ428" s="107">
        <f>_xlfn.IFNA($M428/VLOOKUP($BU428,'Unit information'!$A$2:$K$29,8,FALSE)*X428,0)*(1+$E$9)</f>
        <v>0</v>
      </c>
      <c r="BA428" s="107">
        <f>_xlfn.IFNA($M428/VLOOKUP($BU428,'Unit information'!$A$2:$K$29,9,FALSE)*Y428,0)*(1+$E$9)</f>
        <v>0</v>
      </c>
      <c r="BB428" s="107">
        <f>_xlfn.IFNA($M428/VLOOKUP($BV428,'Unit information'!$A$2:$K$29,10,FALSE)*Z428,0)*(1+$E$9)</f>
        <v>0</v>
      </c>
      <c r="BC428" s="108">
        <f>_xlfn.IFNA($M428/VLOOKUP($BV428,'Unit information'!$A$2:$K$29,11,FALSE)*AA428,0)*(1+$E$9)</f>
        <v>0</v>
      </c>
      <c r="BD428" s="106">
        <f t="shared" si="569"/>
        <v>0</v>
      </c>
      <c r="BE428" s="107">
        <f t="shared" si="570"/>
        <v>0</v>
      </c>
      <c r="BF428" s="108">
        <f t="shared" si="571"/>
        <v>0</v>
      </c>
      <c r="BG428" s="25" t="e">
        <f t="shared" si="572"/>
        <v>#N/A</v>
      </c>
      <c r="BH428" s="25" t="e">
        <f t="shared" si="573"/>
        <v>#N/A</v>
      </c>
      <c r="BI428" s="25" t="e">
        <f t="shared" si="574"/>
        <v>#N/A</v>
      </c>
      <c r="BJ428" s="27" t="e">
        <f t="shared" si="575"/>
        <v>#N/A</v>
      </c>
      <c r="BK428" s="18" t="e">
        <f t="shared" si="576"/>
        <v>#N/A</v>
      </c>
      <c r="BL428" s="18" t="e">
        <f t="shared" si="577"/>
        <v>#N/A</v>
      </c>
      <c r="BM428" s="28" t="e">
        <f t="shared" si="622"/>
        <v>#N/A</v>
      </c>
      <c r="BN428" s="33">
        <f>HLOOKUP("maximum population",Miscelaneous!$C$1:$C$33,CH428+3,FALSE)</f>
        <v>240</v>
      </c>
      <c r="BO428" s="14">
        <f t="shared" si="589"/>
        <v>32</v>
      </c>
      <c r="BP428" s="14">
        <f t="shared" si="590"/>
        <v>0</v>
      </c>
      <c r="BQ428" s="14">
        <f t="shared" si="591"/>
        <v>208</v>
      </c>
      <c r="BR428" s="34" t="e">
        <f>HLOOKUP(J428,Villagers!$B$1:$V$33,L428+3,FALSE)-HLOOKUP(J428,Villagers!$B$1:$V$33,L428+2,FALSE)</f>
        <v>#N/A</v>
      </c>
      <c r="BS428" s="49">
        <f t="shared" si="592"/>
        <v>1</v>
      </c>
      <c r="BT428" s="50">
        <f t="shared" si="593"/>
        <v>0</v>
      </c>
      <c r="BU428" s="50">
        <f t="shared" si="594"/>
        <v>0</v>
      </c>
      <c r="BV428" s="50">
        <f t="shared" si="595"/>
        <v>0</v>
      </c>
      <c r="BW428" s="50">
        <f t="shared" si="638"/>
        <v>0</v>
      </c>
      <c r="BX428" s="50">
        <f t="shared" si="637"/>
        <v>0</v>
      </c>
      <c r="BY428" s="50">
        <f t="shared" si="637"/>
        <v>0</v>
      </c>
      <c r="BZ428" s="50">
        <f t="shared" si="623"/>
        <v>0</v>
      </c>
      <c r="CA428" s="50">
        <f t="shared" si="624"/>
        <v>0</v>
      </c>
      <c r="CB428" s="50">
        <f t="shared" si="625"/>
        <v>1</v>
      </c>
      <c r="CC428" s="50">
        <f t="shared" si="626"/>
        <v>0</v>
      </c>
      <c r="CD428" s="50">
        <f t="shared" si="627"/>
        <v>0</v>
      </c>
      <c r="CE428" s="50">
        <f t="shared" si="628"/>
        <v>1</v>
      </c>
      <c r="CF428" s="50">
        <f t="shared" si="629"/>
        <v>1</v>
      </c>
      <c r="CG428" s="50">
        <f t="shared" si="630"/>
        <v>1</v>
      </c>
      <c r="CH428" s="50">
        <f t="shared" si="631"/>
        <v>1</v>
      </c>
      <c r="CI428" s="50">
        <f t="shared" si="632"/>
        <v>1</v>
      </c>
      <c r="CJ428" s="50">
        <f t="shared" si="633"/>
        <v>1</v>
      </c>
      <c r="CK428" s="50">
        <f t="shared" si="633"/>
        <v>0</v>
      </c>
      <c r="CL428" s="50">
        <f t="shared" si="633"/>
        <v>0</v>
      </c>
      <c r="CM428" s="51">
        <f t="shared" si="634"/>
        <v>0</v>
      </c>
      <c r="CN428" s="33">
        <f>ROUND(IF(BS428=0,0,HLOOKUP(BS$14,Villagers!$B$1:$V$33,BS428+3,FALSE)),)</f>
        <v>5</v>
      </c>
      <c r="CO428" s="14">
        <f>ROUND(IF(BT428=0,0,HLOOKUP(BT$14,Villagers!$B$1:$V$33,BT428+3,FALSE)),)</f>
        <v>0</v>
      </c>
      <c r="CP428" s="14">
        <f>ROUND(IF(BU428=0,0,HLOOKUP(BU$14,Villagers!$B$1:$V$33,BU428+3,FALSE)),)</f>
        <v>0</v>
      </c>
      <c r="CQ428" s="14">
        <f>ROUND(IF(BV428=0,0,HLOOKUP(BV$14,Villagers!$B$1:$V$33,BV428+3,FALSE)),)</f>
        <v>0</v>
      </c>
      <c r="CR428" s="14">
        <f>ROUND(IF(BW428=0,0,HLOOKUP(BW$14,Villagers!$B$1:$V$33,BW428+3,FALSE)),)</f>
        <v>0</v>
      </c>
      <c r="CS428" s="14">
        <f>ROUND(IF(BX428=0,0,HLOOKUP(BX$14,Villagers!$B$1:$V$33,BX428+3,FALSE)),)</f>
        <v>0</v>
      </c>
      <c r="CT428" s="14">
        <f>ROUND(IF(BY428=0,0,HLOOKUP(BY$14,Villagers!$B$1:$V$33,BY428+3,FALSE)),)</f>
        <v>0</v>
      </c>
      <c r="CU428" s="14">
        <f>ROUND(IF(BZ428=0,0,HLOOKUP(BZ$14,Villagers!$B$1:$V$33,BZ428+3,FALSE)),)</f>
        <v>0</v>
      </c>
      <c r="CV428" s="14">
        <f>ROUND(IF(CA428=0,0,HLOOKUP(CA$14,Villagers!$B$1:$V$33,CA428+3,FALSE)),)</f>
        <v>0</v>
      </c>
      <c r="CW428" s="14">
        <f>ROUND(IF(CB428=0,0,HLOOKUP(CB$14,Villagers!$B$1:$V$33,CB428+3,FALSE)),)</f>
        <v>0</v>
      </c>
      <c r="CX428" s="14">
        <f>ROUND(IF(CC428=0,0,HLOOKUP(CC$14,Villagers!$B$1:$V$33,CC428+3,FALSE)),)</f>
        <v>0</v>
      </c>
      <c r="CY428" s="14">
        <f>ROUND(IF(CD428=0,0,HLOOKUP(CD$14,Villagers!$B$1:$V$33,CD428+3,FALSE)),)</f>
        <v>0</v>
      </c>
      <c r="CZ428" s="14">
        <f>ROUND(IF(CE428=0,0,HLOOKUP(CE$14,Villagers!$B$1:$V$33,CE428+3,FALSE)),)</f>
        <v>5</v>
      </c>
      <c r="DA428" s="14">
        <f>ROUND(IF(CF428=0,0,HLOOKUP(CF$14,Villagers!$B$1:$V$33,CF428+3,FALSE)),)</f>
        <v>10</v>
      </c>
      <c r="DB428" s="14">
        <f>ROUND(IF(CG428=0,0,HLOOKUP(CG$14,Villagers!$B$1:$V$33,CG428+3,FALSE)),)</f>
        <v>10</v>
      </c>
      <c r="DC428" s="14">
        <f>ROUND(IF(CH428=0,0,HLOOKUP(CH$14,Villagers!$B$1:$V$33,CH428+3,FALSE)),)</f>
        <v>0</v>
      </c>
      <c r="DD428" s="14">
        <f>ROUND(IF(CI428=0,0,HLOOKUP(CI$14,Villagers!$B$1:$V$33,CI428+3,FALSE)),)</f>
        <v>0</v>
      </c>
      <c r="DE428" s="14">
        <f>ROUND(IF(CJ428=0,0,HLOOKUP(CJ$14,Villagers!$B$1:$V$33,CJ428+3,FALSE)),)</f>
        <v>2</v>
      </c>
      <c r="DF428" s="370">
        <f>ROUND(IF(CK428=0,0,HLOOKUP(CK$14,Villagers!$B$1:$V$33,CK428+3,FALSE)),)</f>
        <v>0</v>
      </c>
      <c r="DG428" s="370">
        <f>ROUND(IF(CL428=0,0,HLOOKUP(CL$14,Villagers!$B$1:$V$33,CL428+3,FALSE)),)</f>
        <v>0</v>
      </c>
      <c r="DH428" s="34">
        <f>ROUND(IF(CM428=0,0,HLOOKUP(CM$14,Villagers!$B$1:$V$33,CM428+3,FALSE)),)</f>
        <v>0</v>
      </c>
      <c r="DI428" s="109">
        <f t="shared" si="611"/>
        <v>0</v>
      </c>
      <c r="DJ428" s="50">
        <f t="shared" si="612"/>
        <v>0</v>
      </c>
      <c r="DK428" s="50">
        <f t="shared" si="613"/>
        <v>0</v>
      </c>
      <c r="DL428" s="50">
        <f t="shared" si="614"/>
        <v>0</v>
      </c>
      <c r="DM428" s="50">
        <f t="shared" si="615"/>
        <v>0</v>
      </c>
      <c r="DN428" s="50">
        <f t="shared" si="616"/>
        <v>0</v>
      </c>
      <c r="DO428" s="50">
        <f t="shared" si="617"/>
        <v>0</v>
      </c>
      <c r="DP428" s="50">
        <f t="shared" si="618"/>
        <v>0</v>
      </c>
      <c r="DQ428" s="50">
        <f t="shared" si="596"/>
        <v>0</v>
      </c>
      <c r="DR428" s="50">
        <f t="shared" si="597"/>
        <v>0</v>
      </c>
      <c r="DS428" s="96">
        <f>Miscelaneous!$D$4*Miscelaneous!$D$2^($CI428-1)</f>
        <v>1000</v>
      </c>
      <c r="DT428" s="333">
        <f t="shared" si="579"/>
        <v>1</v>
      </c>
      <c r="DU428" s="81">
        <v>1</v>
      </c>
      <c r="DV428" s="79">
        <f t="shared" si="598"/>
        <v>0</v>
      </c>
      <c r="DW428" s="79">
        <f t="shared" si="599"/>
        <v>0</v>
      </c>
      <c r="DX428" s="79">
        <f t="shared" si="600"/>
        <v>0</v>
      </c>
      <c r="DY428" s="79">
        <v>1</v>
      </c>
      <c r="DZ428" s="79">
        <f t="shared" si="601"/>
        <v>0</v>
      </c>
      <c r="EA428" s="79">
        <f t="shared" si="602"/>
        <v>0</v>
      </c>
      <c r="EB428" s="79">
        <f t="shared" si="603"/>
        <v>0</v>
      </c>
      <c r="EC428" s="79">
        <f t="shared" si="604"/>
        <v>0</v>
      </c>
      <c r="ED428" s="79">
        <v>1</v>
      </c>
      <c r="EE428" s="79">
        <v>1</v>
      </c>
      <c r="EF428" s="79">
        <f t="shared" si="605"/>
        <v>0</v>
      </c>
      <c r="EG428" s="79">
        <v>1</v>
      </c>
      <c r="EH428" s="79">
        <v>1</v>
      </c>
      <c r="EI428" s="79">
        <v>1</v>
      </c>
      <c r="EJ428" s="79">
        <v>1</v>
      </c>
      <c r="EK428" s="79">
        <v>1</v>
      </c>
      <c r="EL428" s="79">
        <v>1</v>
      </c>
      <c r="EM428" s="143">
        <f t="shared" si="606"/>
        <v>0</v>
      </c>
      <c r="EN428" s="143">
        <f t="shared" si="607"/>
        <v>0</v>
      </c>
      <c r="EO428" s="82">
        <f t="shared" si="608"/>
        <v>0</v>
      </c>
    </row>
    <row r="429" spans="1:145" x14ac:dyDescent="0.25">
      <c r="A429">
        <v>415</v>
      </c>
      <c r="B429" s="172" t="e">
        <f t="shared" si="580"/>
        <v>#N/A</v>
      </c>
      <c r="C429" s="121" t="e">
        <f t="shared" si="558"/>
        <v>#N/A</v>
      </c>
      <c r="D429" s="122" t="e">
        <f t="shared" si="559"/>
        <v>#N/A</v>
      </c>
      <c r="E429" s="122" t="e">
        <f t="shared" si="560"/>
        <v>#N/A</v>
      </c>
      <c r="F429" s="176" t="e">
        <f t="shared" si="561"/>
        <v>#N/A</v>
      </c>
      <c r="G429" s="121">
        <f t="shared" si="581"/>
        <v>208</v>
      </c>
      <c r="H429" s="176" t="e">
        <f t="shared" si="582"/>
        <v>#N/A</v>
      </c>
      <c r="I429" s="48">
        <v>1</v>
      </c>
      <c r="J429" s="39"/>
      <c r="K429" s="350">
        <v>1</v>
      </c>
      <c r="L429" s="34" t="e">
        <f t="shared" si="562"/>
        <v>#N/A</v>
      </c>
      <c r="M429" s="38" t="e">
        <f>(HLOOKUP(J429,'Construction Times'!$B$3:$W$34,L429+2,FALSE)*HLOOKUP("hq modifier",'Construction Times'!$W$3:$W$34,BS429+2,FALSE))*(1-$H$9)</f>
        <v>#N/A</v>
      </c>
      <c r="N429" s="443" t="e">
        <f t="shared" si="583"/>
        <v>#N/A</v>
      </c>
      <c r="O429" s="444"/>
      <c r="P429" s="447" t="e">
        <f t="shared" si="584"/>
        <v>#N/A</v>
      </c>
      <c r="Q429" s="448"/>
      <c r="R429" s="103">
        <f t="shared" si="609"/>
        <v>0</v>
      </c>
      <c r="S429" s="104">
        <f t="shared" si="609"/>
        <v>0</v>
      </c>
      <c r="T429" s="104">
        <f t="shared" si="610"/>
        <v>0</v>
      </c>
      <c r="U429" s="104">
        <f t="shared" si="610"/>
        <v>0</v>
      </c>
      <c r="V429" s="104">
        <f t="shared" si="610"/>
        <v>9.9999999999999995E-8</v>
      </c>
      <c r="W429" s="104">
        <f t="shared" si="610"/>
        <v>0</v>
      </c>
      <c r="X429" s="104">
        <f t="shared" ref="X429:AA460" si="639">X428</f>
        <v>0</v>
      </c>
      <c r="Y429" s="104">
        <f t="shared" si="639"/>
        <v>9.9999999999999995E-8</v>
      </c>
      <c r="Z429" s="104">
        <f t="shared" si="639"/>
        <v>9.9999999999999995E-8</v>
      </c>
      <c r="AA429" s="105">
        <f t="shared" si="639"/>
        <v>9.9999999999999995E-8</v>
      </c>
      <c r="AB429" s="101" t="e">
        <f>$DT429*HLOOKUP($J429,'Construction Costs (timber)'!$B$1:$V$32,'Construction Planner'!$L429+2,FALSE)</f>
        <v>#N/A</v>
      </c>
      <c r="AC429" s="14" t="e">
        <f>$DT429*HLOOKUP($J429,'Construction Costs (clay)'!$B$1:$V$32,'Construction Planner'!$L429+2,FALSE)</f>
        <v>#N/A</v>
      </c>
      <c r="AD429" s="14" t="e">
        <f>$DT429*HLOOKUP($J429,'Construction Costs (iron)'!$B$1:$V$32,'Construction Planner'!$L429+2,FALSE)</f>
        <v>#N/A</v>
      </c>
      <c r="AE429" s="34" t="e">
        <f t="shared" si="619"/>
        <v>#N/A</v>
      </c>
      <c r="AF429" s="33" t="e">
        <f t="shared" si="563"/>
        <v>#N/A</v>
      </c>
      <c r="AG429" s="14" t="e">
        <f t="shared" si="564"/>
        <v>#N/A</v>
      </c>
      <c r="AH429" s="14" t="e">
        <f t="shared" si="565"/>
        <v>#N/A</v>
      </c>
      <c r="AI429" s="34" t="e">
        <f t="shared" si="620"/>
        <v>#N/A</v>
      </c>
      <c r="AJ429" s="49" t="e">
        <f t="shared" si="585"/>
        <v>#N/A</v>
      </c>
      <c r="AK429" s="49" t="e">
        <f t="shared" si="586"/>
        <v>#N/A</v>
      </c>
      <c r="AL429" s="49" t="e">
        <f t="shared" si="587"/>
        <v>#N/A</v>
      </c>
      <c r="AM429" s="25">
        <f t="shared" si="566"/>
        <v>30</v>
      </c>
      <c r="AN429" s="25">
        <f t="shared" si="567"/>
        <v>30</v>
      </c>
      <c r="AO429" s="25">
        <f t="shared" si="568"/>
        <v>30</v>
      </c>
      <c r="AP429" s="52" t="e">
        <f t="shared" si="588"/>
        <v>#N/A</v>
      </c>
      <c r="AQ429" s="53" t="e">
        <f t="shared" si="588"/>
        <v>#N/A</v>
      </c>
      <c r="AR429" s="54" t="e">
        <f t="shared" si="588"/>
        <v>#N/A</v>
      </c>
      <c r="AS429" s="316">
        <f t="shared" si="636"/>
        <v>0</v>
      </c>
      <c r="AT429" s="106">
        <f>_xlfn.IFNA($M429/VLOOKUP($BT429,'Unit information'!$A$2:$K$29,2,FALSE)*R429,0)*(1+$E$9)</f>
        <v>0</v>
      </c>
      <c r="AU429" s="107">
        <f>_xlfn.IFNA($M429/VLOOKUP($BT429,'Unit information'!$A$2:$K$29,3,FALSE)*S429,0)*(1+$E$9)</f>
        <v>0</v>
      </c>
      <c r="AV429" s="107">
        <f>_xlfn.IFNA($M429/VLOOKUP($BT429,'Unit information'!$A$2:$K$29,4,FALSE)*T429,0)*(1+$E$9)</f>
        <v>0</v>
      </c>
      <c r="AW429" s="107">
        <f>_xlfn.IFNA($M429/VLOOKUP($BT429,'Unit information'!$A$2:$K$29,5,FALSE)*U429,0)*(1+$E$9)</f>
        <v>0</v>
      </c>
      <c r="AX429" s="107">
        <f>_xlfn.IFNA($M429/VLOOKUP($BU429,'Unit information'!$A$2:$K$29,6,FALSE)*V429,0)*(1+$E$9)</f>
        <v>0</v>
      </c>
      <c r="AY429" s="107">
        <f>_xlfn.IFNA($M429/VLOOKUP($BU429,'Unit information'!$A$2:$K$29,7,FALSE)*W429,0)*(1+$E$9)</f>
        <v>0</v>
      </c>
      <c r="AZ429" s="107">
        <f>_xlfn.IFNA($M429/VLOOKUP($BU429,'Unit information'!$A$2:$K$29,8,FALSE)*X429,0)*(1+$E$9)</f>
        <v>0</v>
      </c>
      <c r="BA429" s="107">
        <f>_xlfn.IFNA($M429/VLOOKUP($BU429,'Unit information'!$A$2:$K$29,9,FALSE)*Y429,0)*(1+$E$9)</f>
        <v>0</v>
      </c>
      <c r="BB429" s="107">
        <f>_xlfn.IFNA($M429/VLOOKUP($BV429,'Unit information'!$A$2:$K$29,10,FALSE)*Z429,0)*(1+$E$9)</f>
        <v>0</v>
      </c>
      <c r="BC429" s="108">
        <f>_xlfn.IFNA($M429/VLOOKUP($BV429,'Unit information'!$A$2:$K$29,11,FALSE)*AA429,0)*(1+$E$9)</f>
        <v>0</v>
      </c>
      <c r="BD429" s="106">
        <f t="shared" si="569"/>
        <v>0</v>
      </c>
      <c r="BE429" s="107">
        <f t="shared" si="570"/>
        <v>0</v>
      </c>
      <c r="BF429" s="108">
        <f t="shared" si="571"/>
        <v>0</v>
      </c>
      <c r="BG429" s="25" t="e">
        <f t="shared" si="572"/>
        <v>#N/A</v>
      </c>
      <c r="BH429" s="25" t="e">
        <f t="shared" si="573"/>
        <v>#N/A</v>
      </c>
      <c r="BI429" s="25" t="e">
        <f t="shared" si="574"/>
        <v>#N/A</v>
      </c>
      <c r="BJ429" s="27" t="e">
        <f t="shared" si="575"/>
        <v>#N/A</v>
      </c>
      <c r="BK429" s="18" t="e">
        <f t="shared" si="576"/>
        <v>#N/A</v>
      </c>
      <c r="BL429" s="18" t="e">
        <f t="shared" si="577"/>
        <v>#N/A</v>
      </c>
      <c r="BM429" s="28" t="e">
        <f t="shared" si="622"/>
        <v>#N/A</v>
      </c>
      <c r="BN429" s="33">
        <f>HLOOKUP("maximum population",Miscelaneous!$C$1:$C$33,CH429+3,FALSE)</f>
        <v>240</v>
      </c>
      <c r="BO429" s="14">
        <f t="shared" si="589"/>
        <v>32</v>
      </c>
      <c r="BP429" s="14">
        <f t="shared" si="590"/>
        <v>0</v>
      </c>
      <c r="BQ429" s="14">
        <f t="shared" si="591"/>
        <v>208</v>
      </c>
      <c r="BR429" s="34" t="e">
        <f>HLOOKUP(J429,Villagers!$B$1:$V$33,L429+3,FALSE)-HLOOKUP(J429,Villagers!$B$1:$V$33,L429+2,FALSE)</f>
        <v>#N/A</v>
      </c>
      <c r="BS429" s="49">
        <f t="shared" si="592"/>
        <v>1</v>
      </c>
      <c r="BT429" s="50">
        <f t="shared" si="593"/>
        <v>0</v>
      </c>
      <c r="BU429" s="50">
        <f t="shared" si="594"/>
        <v>0</v>
      </c>
      <c r="BV429" s="50">
        <f t="shared" si="595"/>
        <v>0</v>
      </c>
      <c r="BW429" s="50">
        <f t="shared" si="638"/>
        <v>0</v>
      </c>
      <c r="BX429" s="50">
        <f t="shared" si="637"/>
        <v>0</v>
      </c>
      <c r="BY429" s="50">
        <f t="shared" si="637"/>
        <v>0</v>
      </c>
      <c r="BZ429" s="50">
        <f t="shared" si="623"/>
        <v>0</v>
      </c>
      <c r="CA429" s="50">
        <f t="shared" si="624"/>
        <v>0</v>
      </c>
      <c r="CB429" s="50">
        <f t="shared" si="625"/>
        <v>1</v>
      </c>
      <c r="CC429" s="50">
        <f t="shared" si="626"/>
        <v>0</v>
      </c>
      <c r="CD429" s="50">
        <f t="shared" si="627"/>
        <v>0</v>
      </c>
      <c r="CE429" s="50">
        <f t="shared" si="628"/>
        <v>1</v>
      </c>
      <c r="CF429" s="50">
        <f t="shared" si="629"/>
        <v>1</v>
      </c>
      <c r="CG429" s="50">
        <f t="shared" si="630"/>
        <v>1</v>
      </c>
      <c r="CH429" s="50">
        <f t="shared" si="631"/>
        <v>1</v>
      </c>
      <c r="CI429" s="50">
        <f t="shared" si="632"/>
        <v>1</v>
      </c>
      <c r="CJ429" s="50">
        <f t="shared" si="633"/>
        <v>1</v>
      </c>
      <c r="CK429" s="50">
        <f t="shared" si="633"/>
        <v>0</v>
      </c>
      <c r="CL429" s="50">
        <f t="shared" si="633"/>
        <v>0</v>
      </c>
      <c r="CM429" s="51">
        <f t="shared" si="634"/>
        <v>0</v>
      </c>
      <c r="CN429" s="33">
        <f>ROUND(IF(BS429=0,0,HLOOKUP(BS$14,Villagers!$B$1:$V$33,BS429+3,FALSE)),)</f>
        <v>5</v>
      </c>
      <c r="CO429" s="14">
        <f>ROUND(IF(BT429=0,0,HLOOKUP(BT$14,Villagers!$B$1:$V$33,BT429+3,FALSE)),)</f>
        <v>0</v>
      </c>
      <c r="CP429" s="14">
        <f>ROUND(IF(BU429=0,0,HLOOKUP(BU$14,Villagers!$B$1:$V$33,BU429+3,FALSE)),)</f>
        <v>0</v>
      </c>
      <c r="CQ429" s="14">
        <f>ROUND(IF(BV429=0,0,HLOOKUP(BV$14,Villagers!$B$1:$V$33,BV429+3,FALSE)),)</f>
        <v>0</v>
      </c>
      <c r="CR429" s="14">
        <f>ROUND(IF(BW429=0,0,HLOOKUP(BW$14,Villagers!$B$1:$V$33,BW429+3,FALSE)),)</f>
        <v>0</v>
      </c>
      <c r="CS429" s="14">
        <f>ROUND(IF(BX429=0,0,HLOOKUP(BX$14,Villagers!$B$1:$V$33,BX429+3,FALSE)),)</f>
        <v>0</v>
      </c>
      <c r="CT429" s="14">
        <f>ROUND(IF(BY429=0,0,HLOOKUP(BY$14,Villagers!$B$1:$V$33,BY429+3,FALSE)),)</f>
        <v>0</v>
      </c>
      <c r="CU429" s="14">
        <f>ROUND(IF(BZ429=0,0,HLOOKUP(BZ$14,Villagers!$B$1:$V$33,BZ429+3,FALSE)),)</f>
        <v>0</v>
      </c>
      <c r="CV429" s="14">
        <f>ROUND(IF(CA429=0,0,HLOOKUP(CA$14,Villagers!$B$1:$V$33,CA429+3,FALSE)),)</f>
        <v>0</v>
      </c>
      <c r="CW429" s="14">
        <f>ROUND(IF(CB429=0,0,HLOOKUP(CB$14,Villagers!$B$1:$V$33,CB429+3,FALSE)),)</f>
        <v>0</v>
      </c>
      <c r="CX429" s="14">
        <f>ROUND(IF(CC429=0,0,HLOOKUP(CC$14,Villagers!$B$1:$V$33,CC429+3,FALSE)),)</f>
        <v>0</v>
      </c>
      <c r="CY429" s="14">
        <f>ROUND(IF(CD429=0,0,HLOOKUP(CD$14,Villagers!$B$1:$V$33,CD429+3,FALSE)),)</f>
        <v>0</v>
      </c>
      <c r="CZ429" s="14">
        <f>ROUND(IF(CE429=0,0,HLOOKUP(CE$14,Villagers!$B$1:$V$33,CE429+3,FALSE)),)</f>
        <v>5</v>
      </c>
      <c r="DA429" s="14">
        <f>ROUND(IF(CF429=0,0,HLOOKUP(CF$14,Villagers!$B$1:$V$33,CF429+3,FALSE)),)</f>
        <v>10</v>
      </c>
      <c r="DB429" s="14">
        <f>ROUND(IF(CG429=0,0,HLOOKUP(CG$14,Villagers!$B$1:$V$33,CG429+3,FALSE)),)</f>
        <v>10</v>
      </c>
      <c r="DC429" s="14">
        <f>ROUND(IF(CH429=0,0,HLOOKUP(CH$14,Villagers!$B$1:$V$33,CH429+3,FALSE)),)</f>
        <v>0</v>
      </c>
      <c r="DD429" s="14">
        <f>ROUND(IF(CI429=0,0,HLOOKUP(CI$14,Villagers!$B$1:$V$33,CI429+3,FALSE)),)</f>
        <v>0</v>
      </c>
      <c r="DE429" s="14">
        <f>ROUND(IF(CJ429=0,0,HLOOKUP(CJ$14,Villagers!$B$1:$V$33,CJ429+3,FALSE)),)</f>
        <v>2</v>
      </c>
      <c r="DF429" s="370">
        <f>ROUND(IF(CK429=0,0,HLOOKUP(CK$14,Villagers!$B$1:$V$33,CK429+3,FALSE)),)</f>
        <v>0</v>
      </c>
      <c r="DG429" s="370">
        <f>ROUND(IF(CL429=0,0,HLOOKUP(CL$14,Villagers!$B$1:$V$33,CL429+3,FALSE)),)</f>
        <v>0</v>
      </c>
      <c r="DH429" s="34">
        <f>ROUND(IF(CM429=0,0,HLOOKUP(CM$14,Villagers!$B$1:$V$33,CM429+3,FALSE)),)</f>
        <v>0</v>
      </c>
      <c r="DI429" s="109">
        <f t="shared" si="611"/>
        <v>0</v>
      </c>
      <c r="DJ429" s="50">
        <f t="shared" si="612"/>
        <v>0</v>
      </c>
      <c r="DK429" s="50">
        <f t="shared" si="613"/>
        <v>0</v>
      </c>
      <c r="DL429" s="50">
        <f t="shared" si="614"/>
        <v>0</v>
      </c>
      <c r="DM429" s="50">
        <f t="shared" si="615"/>
        <v>0</v>
      </c>
      <c r="DN429" s="50">
        <f t="shared" si="616"/>
        <v>0</v>
      </c>
      <c r="DO429" s="50">
        <f t="shared" si="617"/>
        <v>0</v>
      </c>
      <c r="DP429" s="50">
        <f t="shared" si="618"/>
        <v>0</v>
      </c>
      <c r="DQ429" s="50">
        <f t="shared" si="596"/>
        <v>0</v>
      </c>
      <c r="DR429" s="50">
        <f t="shared" si="597"/>
        <v>0</v>
      </c>
      <c r="DS429" s="96">
        <f>Miscelaneous!$D$4*Miscelaneous!$D$2^($CI429-1)</f>
        <v>1000</v>
      </c>
      <c r="DT429" s="333">
        <f t="shared" si="579"/>
        <v>1</v>
      </c>
      <c r="DU429" s="81">
        <v>1</v>
      </c>
      <c r="DV429" s="79">
        <f t="shared" si="598"/>
        <v>0</v>
      </c>
      <c r="DW429" s="79">
        <f t="shared" si="599"/>
        <v>0</v>
      </c>
      <c r="DX429" s="79">
        <f t="shared" si="600"/>
        <v>0</v>
      </c>
      <c r="DY429" s="79">
        <v>1</v>
      </c>
      <c r="DZ429" s="79">
        <f t="shared" si="601"/>
        <v>0</v>
      </c>
      <c r="EA429" s="79">
        <f t="shared" si="602"/>
        <v>0</v>
      </c>
      <c r="EB429" s="79">
        <f t="shared" si="603"/>
        <v>0</v>
      </c>
      <c r="EC429" s="79">
        <f t="shared" si="604"/>
        <v>0</v>
      </c>
      <c r="ED429" s="79">
        <v>1</v>
      </c>
      <c r="EE429" s="79">
        <v>1</v>
      </c>
      <c r="EF429" s="79">
        <f t="shared" si="605"/>
        <v>0</v>
      </c>
      <c r="EG429" s="79">
        <v>1</v>
      </c>
      <c r="EH429" s="79">
        <v>1</v>
      </c>
      <c r="EI429" s="79">
        <v>1</v>
      </c>
      <c r="EJ429" s="79">
        <v>1</v>
      </c>
      <c r="EK429" s="79">
        <v>1</v>
      </c>
      <c r="EL429" s="79">
        <v>1</v>
      </c>
      <c r="EM429" s="143">
        <f t="shared" si="606"/>
        <v>0</v>
      </c>
      <c r="EN429" s="143">
        <f t="shared" si="607"/>
        <v>0</v>
      </c>
      <c r="EO429" s="82">
        <f t="shared" si="608"/>
        <v>0</v>
      </c>
    </row>
    <row r="430" spans="1:145" x14ac:dyDescent="0.25">
      <c r="A430">
        <v>416</v>
      </c>
      <c r="B430" s="172" t="e">
        <f t="shared" si="580"/>
        <v>#N/A</v>
      </c>
      <c r="C430" s="121" t="e">
        <f t="shared" si="558"/>
        <v>#N/A</v>
      </c>
      <c r="D430" s="122" t="e">
        <f t="shared" si="559"/>
        <v>#N/A</v>
      </c>
      <c r="E430" s="122" t="e">
        <f t="shared" si="560"/>
        <v>#N/A</v>
      </c>
      <c r="F430" s="176" t="e">
        <f t="shared" si="561"/>
        <v>#N/A</v>
      </c>
      <c r="G430" s="121">
        <f t="shared" si="581"/>
        <v>208</v>
      </c>
      <c r="H430" s="176" t="e">
        <f t="shared" si="582"/>
        <v>#N/A</v>
      </c>
      <c r="I430" s="48">
        <v>1</v>
      </c>
      <c r="J430" s="39"/>
      <c r="K430" s="350">
        <v>1</v>
      </c>
      <c r="L430" s="34" t="e">
        <f t="shared" si="562"/>
        <v>#N/A</v>
      </c>
      <c r="M430" s="38" t="e">
        <f>(HLOOKUP(J430,'Construction Times'!$B$3:$W$34,L430+2,FALSE)*HLOOKUP("hq modifier",'Construction Times'!$W$3:$W$34,BS430+2,FALSE))*(1-$H$9)</f>
        <v>#N/A</v>
      </c>
      <c r="N430" s="443" t="e">
        <f t="shared" si="583"/>
        <v>#N/A</v>
      </c>
      <c r="O430" s="444"/>
      <c r="P430" s="447" t="e">
        <f t="shared" si="584"/>
        <v>#N/A</v>
      </c>
      <c r="Q430" s="448"/>
      <c r="R430" s="103">
        <f t="shared" si="609"/>
        <v>0</v>
      </c>
      <c r="S430" s="104">
        <f t="shared" si="609"/>
        <v>0</v>
      </c>
      <c r="T430" s="104">
        <f t="shared" si="610"/>
        <v>0</v>
      </c>
      <c r="U430" s="104">
        <f t="shared" si="610"/>
        <v>0</v>
      </c>
      <c r="V430" s="104">
        <f t="shared" si="610"/>
        <v>9.9999999999999995E-8</v>
      </c>
      <c r="W430" s="104">
        <f t="shared" si="610"/>
        <v>0</v>
      </c>
      <c r="X430" s="104">
        <f t="shared" si="639"/>
        <v>0</v>
      </c>
      <c r="Y430" s="104">
        <f t="shared" si="639"/>
        <v>9.9999999999999995E-8</v>
      </c>
      <c r="Z430" s="104">
        <f t="shared" si="639"/>
        <v>9.9999999999999995E-8</v>
      </c>
      <c r="AA430" s="105">
        <f t="shared" si="639"/>
        <v>9.9999999999999995E-8</v>
      </c>
      <c r="AB430" s="101" t="e">
        <f>$DT430*HLOOKUP($J430,'Construction Costs (timber)'!$B$1:$V$32,'Construction Planner'!$L430+2,FALSE)</f>
        <v>#N/A</v>
      </c>
      <c r="AC430" s="14" t="e">
        <f>$DT430*HLOOKUP($J430,'Construction Costs (clay)'!$B$1:$V$32,'Construction Planner'!$L430+2,FALSE)</f>
        <v>#N/A</v>
      </c>
      <c r="AD430" s="14" t="e">
        <f>$DT430*HLOOKUP($J430,'Construction Costs (iron)'!$B$1:$V$32,'Construction Planner'!$L430+2,FALSE)</f>
        <v>#N/A</v>
      </c>
      <c r="AE430" s="34" t="e">
        <f t="shared" si="619"/>
        <v>#N/A</v>
      </c>
      <c r="AF430" s="33" t="e">
        <f t="shared" si="563"/>
        <v>#N/A</v>
      </c>
      <c r="AG430" s="14" t="e">
        <f t="shared" si="564"/>
        <v>#N/A</v>
      </c>
      <c r="AH430" s="14" t="e">
        <f t="shared" si="565"/>
        <v>#N/A</v>
      </c>
      <c r="AI430" s="34" t="e">
        <f t="shared" si="620"/>
        <v>#N/A</v>
      </c>
      <c r="AJ430" s="49" t="e">
        <f t="shared" si="585"/>
        <v>#N/A</v>
      </c>
      <c r="AK430" s="49" t="e">
        <f t="shared" si="586"/>
        <v>#N/A</v>
      </c>
      <c r="AL430" s="49" t="e">
        <f t="shared" si="587"/>
        <v>#N/A</v>
      </c>
      <c r="AM430" s="25">
        <f t="shared" si="566"/>
        <v>30</v>
      </c>
      <c r="AN430" s="25">
        <f t="shared" si="567"/>
        <v>30</v>
      </c>
      <c r="AO430" s="25">
        <f t="shared" si="568"/>
        <v>30</v>
      </c>
      <c r="AP430" s="52" t="e">
        <f t="shared" si="588"/>
        <v>#N/A</v>
      </c>
      <c r="AQ430" s="53" t="e">
        <f t="shared" si="588"/>
        <v>#N/A</v>
      </c>
      <c r="AR430" s="54" t="e">
        <f t="shared" si="588"/>
        <v>#N/A</v>
      </c>
      <c r="AS430" s="316">
        <f t="shared" si="636"/>
        <v>0</v>
      </c>
      <c r="AT430" s="106">
        <f>_xlfn.IFNA($M430/VLOOKUP($BT430,'Unit information'!$A$2:$K$29,2,FALSE)*R430,0)*(1+$E$9)</f>
        <v>0</v>
      </c>
      <c r="AU430" s="107">
        <f>_xlfn.IFNA($M430/VLOOKUP($BT430,'Unit information'!$A$2:$K$29,3,FALSE)*S430,0)*(1+$E$9)</f>
        <v>0</v>
      </c>
      <c r="AV430" s="107">
        <f>_xlfn.IFNA($M430/VLOOKUP($BT430,'Unit information'!$A$2:$K$29,4,FALSE)*T430,0)*(1+$E$9)</f>
        <v>0</v>
      </c>
      <c r="AW430" s="107">
        <f>_xlfn.IFNA($M430/VLOOKUP($BT430,'Unit information'!$A$2:$K$29,5,FALSE)*U430,0)*(1+$E$9)</f>
        <v>0</v>
      </c>
      <c r="AX430" s="107">
        <f>_xlfn.IFNA($M430/VLOOKUP($BU430,'Unit information'!$A$2:$K$29,6,FALSE)*V430,0)*(1+$E$9)</f>
        <v>0</v>
      </c>
      <c r="AY430" s="107">
        <f>_xlfn.IFNA($M430/VLOOKUP($BU430,'Unit information'!$A$2:$K$29,7,FALSE)*W430,0)*(1+$E$9)</f>
        <v>0</v>
      </c>
      <c r="AZ430" s="107">
        <f>_xlfn.IFNA($M430/VLOOKUP($BU430,'Unit information'!$A$2:$K$29,8,FALSE)*X430,0)*(1+$E$9)</f>
        <v>0</v>
      </c>
      <c r="BA430" s="107">
        <f>_xlfn.IFNA($M430/VLOOKUP($BU430,'Unit information'!$A$2:$K$29,9,FALSE)*Y430,0)*(1+$E$9)</f>
        <v>0</v>
      </c>
      <c r="BB430" s="107">
        <f>_xlfn.IFNA($M430/VLOOKUP($BV430,'Unit information'!$A$2:$K$29,10,FALSE)*Z430,0)*(1+$E$9)</f>
        <v>0</v>
      </c>
      <c r="BC430" s="108">
        <f>_xlfn.IFNA($M430/VLOOKUP($BV430,'Unit information'!$A$2:$K$29,11,FALSE)*AA430,0)*(1+$E$9)</f>
        <v>0</v>
      </c>
      <c r="BD430" s="106">
        <f t="shared" si="569"/>
        <v>0</v>
      </c>
      <c r="BE430" s="107">
        <f t="shared" si="570"/>
        <v>0</v>
      </c>
      <c r="BF430" s="108">
        <f t="shared" si="571"/>
        <v>0</v>
      </c>
      <c r="BG430" s="25" t="e">
        <f t="shared" si="572"/>
        <v>#N/A</v>
      </c>
      <c r="BH430" s="25" t="e">
        <f t="shared" si="573"/>
        <v>#N/A</v>
      </c>
      <c r="BI430" s="25" t="e">
        <f t="shared" si="574"/>
        <v>#N/A</v>
      </c>
      <c r="BJ430" s="27" t="e">
        <f t="shared" si="575"/>
        <v>#N/A</v>
      </c>
      <c r="BK430" s="18" t="e">
        <f t="shared" si="576"/>
        <v>#N/A</v>
      </c>
      <c r="BL430" s="18" t="e">
        <f t="shared" si="577"/>
        <v>#N/A</v>
      </c>
      <c r="BM430" s="28" t="e">
        <f t="shared" si="622"/>
        <v>#N/A</v>
      </c>
      <c r="BN430" s="33">
        <f>HLOOKUP("maximum population",Miscelaneous!$C$1:$C$33,CH430+3,FALSE)</f>
        <v>240</v>
      </c>
      <c r="BO430" s="14">
        <f t="shared" si="589"/>
        <v>32</v>
      </c>
      <c r="BP430" s="14">
        <f t="shared" si="590"/>
        <v>0</v>
      </c>
      <c r="BQ430" s="14">
        <f t="shared" si="591"/>
        <v>208</v>
      </c>
      <c r="BR430" s="34" t="e">
        <f>HLOOKUP(J430,Villagers!$B$1:$V$33,L430+3,FALSE)-HLOOKUP(J430,Villagers!$B$1:$V$33,L430+2,FALSE)</f>
        <v>#N/A</v>
      </c>
      <c r="BS430" s="49">
        <f t="shared" si="592"/>
        <v>1</v>
      </c>
      <c r="BT430" s="50">
        <f t="shared" si="593"/>
        <v>0</v>
      </c>
      <c r="BU430" s="50">
        <f t="shared" si="594"/>
        <v>0</v>
      </c>
      <c r="BV430" s="50">
        <f t="shared" si="595"/>
        <v>0</v>
      </c>
      <c r="BW430" s="50">
        <f t="shared" si="638"/>
        <v>0</v>
      </c>
      <c r="BX430" s="50">
        <f t="shared" si="637"/>
        <v>0</v>
      </c>
      <c r="BY430" s="50">
        <f t="shared" si="637"/>
        <v>0</v>
      </c>
      <c r="BZ430" s="50">
        <f t="shared" si="623"/>
        <v>0</v>
      </c>
      <c r="CA430" s="50">
        <f t="shared" si="624"/>
        <v>0</v>
      </c>
      <c r="CB430" s="50">
        <f t="shared" si="625"/>
        <v>1</v>
      </c>
      <c r="CC430" s="50">
        <f t="shared" si="626"/>
        <v>0</v>
      </c>
      <c r="CD430" s="50">
        <f t="shared" si="627"/>
        <v>0</v>
      </c>
      <c r="CE430" s="50">
        <f t="shared" si="628"/>
        <v>1</v>
      </c>
      <c r="CF430" s="50">
        <f t="shared" si="629"/>
        <v>1</v>
      </c>
      <c r="CG430" s="50">
        <f t="shared" si="630"/>
        <v>1</v>
      </c>
      <c r="CH430" s="50">
        <f t="shared" si="631"/>
        <v>1</v>
      </c>
      <c r="CI430" s="50">
        <f t="shared" si="632"/>
        <v>1</v>
      </c>
      <c r="CJ430" s="50">
        <f t="shared" si="633"/>
        <v>1</v>
      </c>
      <c r="CK430" s="50">
        <f t="shared" si="633"/>
        <v>0</v>
      </c>
      <c r="CL430" s="50">
        <f t="shared" si="633"/>
        <v>0</v>
      </c>
      <c r="CM430" s="51">
        <f t="shared" si="634"/>
        <v>0</v>
      </c>
      <c r="CN430" s="33">
        <f>ROUND(IF(BS430=0,0,HLOOKUP(BS$14,Villagers!$B$1:$V$33,BS430+3,FALSE)),)</f>
        <v>5</v>
      </c>
      <c r="CO430" s="14">
        <f>ROUND(IF(BT430=0,0,HLOOKUP(BT$14,Villagers!$B$1:$V$33,BT430+3,FALSE)),)</f>
        <v>0</v>
      </c>
      <c r="CP430" s="14">
        <f>ROUND(IF(BU430=0,0,HLOOKUP(BU$14,Villagers!$B$1:$V$33,BU430+3,FALSE)),)</f>
        <v>0</v>
      </c>
      <c r="CQ430" s="14">
        <f>ROUND(IF(BV430=0,0,HLOOKUP(BV$14,Villagers!$B$1:$V$33,BV430+3,FALSE)),)</f>
        <v>0</v>
      </c>
      <c r="CR430" s="14">
        <f>ROUND(IF(BW430=0,0,HLOOKUP(BW$14,Villagers!$B$1:$V$33,BW430+3,FALSE)),)</f>
        <v>0</v>
      </c>
      <c r="CS430" s="14">
        <f>ROUND(IF(BX430=0,0,HLOOKUP(BX$14,Villagers!$B$1:$V$33,BX430+3,FALSE)),)</f>
        <v>0</v>
      </c>
      <c r="CT430" s="14">
        <f>ROUND(IF(BY430=0,0,HLOOKUP(BY$14,Villagers!$B$1:$V$33,BY430+3,FALSE)),)</f>
        <v>0</v>
      </c>
      <c r="CU430" s="14">
        <f>ROUND(IF(BZ430=0,0,HLOOKUP(BZ$14,Villagers!$B$1:$V$33,BZ430+3,FALSE)),)</f>
        <v>0</v>
      </c>
      <c r="CV430" s="14">
        <f>ROUND(IF(CA430=0,0,HLOOKUP(CA$14,Villagers!$B$1:$V$33,CA430+3,FALSE)),)</f>
        <v>0</v>
      </c>
      <c r="CW430" s="14">
        <f>ROUND(IF(CB430=0,0,HLOOKUP(CB$14,Villagers!$B$1:$V$33,CB430+3,FALSE)),)</f>
        <v>0</v>
      </c>
      <c r="CX430" s="14">
        <f>ROUND(IF(CC430=0,0,HLOOKUP(CC$14,Villagers!$B$1:$V$33,CC430+3,FALSE)),)</f>
        <v>0</v>
      </c>
      <c r="CY430" s="14">
        <f>ROUND(IF(CD430=0,0,HLOOKUP(CD$14,Villagers!$B$1:$V$33,CD430+3,FALSE)),)</f>
        <v>0</v>
      </c>
      <c r="CZ430" s="14">
        <f>ROUND(IF(CE430=0,0,HLOOKUP(CE$14,Villagers!$B$1:$V$33,CE430+3,FALSE)),)</f>
        <v>5</v>
      </c>
      <c r="DA430" s="14">
        <f>ROUND(IF(CF430=0,0,HLOOKUP(CF$14,Villagers!$B$1:$V$33,CF430+3,FALSE)),)</f>
        <v>10</v>
      </c>
      <c r="DB430" s="14">
        <f>ROUND(IF(CG430=0,0,HLOOKUP(CG$14,Villagers!$B$1:$V$33,CG430+3,FALSE)),)</f>
        <v>10</v>
      </c>
      <c r="DC430" s="14">
        <f>ROUND(IF(CH430=0,0,HLOOKUP(CH$14,Villagers!$B$1:$V$33,CH430+3,FALSE)),)</f>
        <v>0</v>
      </c>
      <c r="DD430" s="14">
        <f>ROUND(IF(CI430=0,0,HLOOKUP(CI$14,Villagers!$B$1:$V$33,CI430+3,FALSE)),)</f>
        <v>0</v>
      </c>
      <c r="DE430" s="14">
        <f>ROUND(IF(CJ430=0,0,HLOOKUP(CJ$14,Villagers!$B$1:$V$33,CJ430+3,FALSE)),)</f>
        <v>2</v>
      </c>
      <c r="DF430" s="370">
        <f>ROUND(IF(CK430=0,0,HLOOKUP(CK$14,Villagers!$B$1:$V$33,CK430+3,FALSE)),)</f>
        <v>0</v>
      </c>
      <c r="DG430" s="370">
        <f>ROUND(IF(CL430=0,0,HLOOKUP(CL$14,Villagers!$B$1:$V$33,CL430+3,FALSE)),)</f>
        <v>0</v>
      </c>
      <c r="DH430" s="34">
        <f>ROUND(IF(CM430=0,0,HLOOKUP(CM$14,Villagers!$B$1:$V$33,CM430+3,FALSE)),)</f>
        <v>0</v>
      </c>
      <c r="DI430" s="109">
        <f t="shared" si="611"/>
        <v>0</v>
      </c>
      <c r="DJ430" s="50">
        <f t="shared" si="612"/>
        <v>0</v>
      </c>
      <c r="DK430" s="50">
        <f t="shared" si="613"/>
        <v>0</v>
      </c>
      <c r="DL430" s="50">
        <f t="shared" si="614"/>
        <v>0</v>
      </c>
      <c r="DM430" s="50">
        <f t="shared" si="615"/>
        <v>0</v>
      </c>
      <c r="DN430" s="50">
        <f t="shared" si="616"/>
        <v>0</v>
      </c>
      <c r="DO430" s="50">
        <f t="shared" si="617"/>
        <v>0</v>
      </c>
      <c r="DP430" s="50">
        <f t="shared" si="618"/>
        <v>0</v>
      </c>
      <c r="DQ430" s="50">
        <f t="shared" si="596"/>
        <v>0</v>
      </c>
      <c r="DR430" s="50">
        <f t="shared" si="597"/>
        <v>0</v>
      </c>
      <c r="DS430" s="96">
        <f>Miscelaneous!$D$4*Miscelaneous!$D$2^($CI430-1)</f>
        <v>1000</v>
      </c>
      <c r="DT430" s="333">
        <f t="shared" si="579"/>
        <v>1</v>
      </c>
      <c r="DU430" s="81">
        <v>1</v>
      </c>
      <c r="DV430" s="79">
        <f t="shared" si="598"/>
        <v>0</v>
      </c>
      <c r="DW430" s="79">
        <f t="shared" si="599"/>
        <v>0</v>
      </c>
      <c r="DX430" s="79">
        <f t="shared" si="600"/>
        <v>0</v>
      </c>
      <c r="DY430" s="79">
        <v>1</v>
      </c>
      <c r="DZ430" s="79">
        <f t="shared" si="601"/>
        <v>0</v>
      </c>
      <c r="EA430" s="79">
        <f t="shared" si="602"/>
        <v>0</v>
      </c>
      <c r="EB430" s="79">
        <f t="shared" si="603"/>
        <v>0</v>
      </c>
      <c r="EC430" s="79">
        <f t="shared" si="604"/>
        <v>0</v>
      </c>
      <c r="ED430" s="79">
        <v>1</v>
      </c>
      <c r="EE430" s="79">
        <v>1</v>
      </c>
      <c r="EF430" s="79">
        <f t="shared" si="605"/>
        <v>0</v>
      </c>
      <c r="EG430" s="79">
        <v>1</v>
      </c>
      <c r="EH430" s="79">
        <v>1</v>
      </c>
      <c r="EI430" s="79">
        <v>1</v>
      </c>
      <c r="EJ430" s="79">
        <v>1</v>
      </c>
      <c r="EK430" s="79">
        <v>1</v>
      </c>
      <c r="EL430" s="79">
        <v>1</v>
      </c>
      <c r="EM430" s="143">
        <f t="shared" si="606"/>
        <v>0</v>
      </c>
      <c r="EN430" s="143">
        <f t="shared" si="607"/>
        <v>0</v>
      </c>
      <c r="EO430" s="82">
        <f t="shared" si="608"/>
        <v>0</v>
      </c>
    </row>
    <row r="431" spans="1:145" x14ac:dyDescent="0.25">
      <c r="A431">
        <v>417</v>
      </c>
      <c r="B431" s="172" t="e">
        <f t="shared" si="580"/>
        <v>#N/A</v>
      </c>
      <c r="C431" s="121" t="e">
        <f t="shared" si="558"/>
        <v>#N/A</v>
      </c>
      <c r="D431" s="122" t="e">
        <f t="shared" si="559"/>
        <v>#N/A</v>
      </c>
      <c r="E431" s="122" t="e">
        <f t="shared" si="560"/>
        <v>#N/A</v>
      </c>
      <c r="F431" s="176" t="e">
        <f t="shared" si="561"/>
        <v>#N/A</v>
      </c>
      <c r="G431" s="121">
        <f t="shared" si="581"/>
        <v>208</v>
      </c>
      <c r="H431" s="176" t="e">
        <f t="shared" si="582"/>
        <v>#N/A</v>
      </c>
      <c r="I431" s="48">
        <v>1</v>
      </c>
      <c r="J431" s="39"/>
      <c r="K431" s="350">
        <v>1</v>
      </c>
      <c r="L431" s="34" t="e">
        <f t="shared" si="562"/>
        <v>#N/A</v>
      </c>
      <c r="M431" s="38" t="e">
        <f>(HLOOKUP(J431,'Construction Times'!$B$3:$W$34,L431+2,FALSE)*HLOOKUP("hq modifier",'Construction Times'!$W$3:$W$34,BS431+2,FALSE))*(1-$H$9)</f>
        <v>#N/A</v>
      </c>
      <c r="N431" s="443" t="e">
        <f t="shared" si="583"/>
        <v>#N/A</v>
      </c>
      <c r="O431" s="444"/>
      <c r="P431" s="447" t="e">
        <f t="shared" si="584"/>
        <v>#N/A</v>
      </c>
      <c r="Q431" s="448"/>
      <c r="R431" s="103">
        <f t="shared" si="609"/>
        <v>0</v>
      </c>
      <c r="S431" s="104">
        <f t="shared" si="609"/>
        <v>0</v>
      </c>
      <c r="T431" s="104">
        <f t="shared" si="610"/>
        <v>0</v>
      </c>
      <c r="U431" s="104">
        <f t="shared" si="610"/>
        <v>0</v>
      </c>
      <c r="V431" s="104">
        <f t="shared" si="610"/>
        <v>9.9999999999999995E-8</v>
      </c>
      <c r="W431" s="104">
        <f t="shared" si="610"/>
        <v>0</v>
      </c>
      <c r="X431" s="104">
        <f t="shared" si="639"/>
        <v>0</v>
      </c>
      <c r="Y431" s="104">
        <f t="shared" si="639"/>
        <v>9.9999999999999995E-8</v>
      </c>
      <c r="Z431" s="104">
        <f t="shared" si="639"/>
        <v>9.9999999999999995E-8</v>
      </c>
      <c r="AA431" s="105">
        <f t="shared" si="639"/>
        <v>9.9999999999999995E-8</v>
      </c>
      <c r="AB431" s="101" t="e">
        <f>$DT431*HLOOKUP($J431,'Construction Costs (timber)'!$B$1:$V$32,'Construction Planner'!$L431+2,FALSE)</f>
        <v>#N/A</v>
      </c>
      <c r="AC431" s="14" t="e">
        <f>$DT431*HLOOKUP($J431,'Construction Costs (clay)'!$B$1:$V$32,'Construction Planner'!$L431+2,FALSE)</f>
        <v>#N/A</v>
      </c>
      <c r="AD431" s="14" t="e">
        <f>$DT431*HLOOKUP($J431,'Construction Costs (iron)'!$B$1:$V$32,'Construction Planner'!$L431+2,FALSE)</f>
        <v>#N/A</v>
      </c>
      <c r="AE431" s="34" t="e">
        <f t="shared" si="619"/>
        <v>#N/A</v>
      </c>
      <c r="AF431" s="33" t="e">
        <f t="shared" si="563"/>
        <v>#N/A</v>
      </c>
      <c r="AG431" s="14" t="e">
        <f t="shared" si="564"/>
        <v>#N/A</v>
      </c>
      <c r="AH431" s="14" t="e">
        <f t="shared" si="565"/>
        <v>#N/A</v>
      </c>
      <c r="AI431" s="34" t="e">
        <f t="shared" si="620"/>
        <v>#N/A</v>
      </c>
      <c r="AJ431" s="49" t="e">
        <f t="shared" si="585"/>
        <v>#N/A</v>
      </c>
      <c r="AK431" s="49" t="e">
        <f t="shared" si="586"/>
        <v>#N/A</v>
      </c>
      <c r="AL431" s="49" t="e">
        <f t="shared" si="587"/>
        <v>#N/A</v>
      </c>
      <c r="AM431" s="25">
        <f t="shared" si="566"/>
        <v>30</v>
      </c>
      <c r="AN431" s="25">
        <f t="shared" si="567"/>
        <v>30</v>
      </c>
      <c r="AO431" s="25">
        <f t="shared" si="568"/>
        <v>30</v>
      </c>
      <c r="AP431" s="52" t="e">
        <f t="shared" si="588"/>
        <v>#N/A</v>
      </c>
      <c r="AQ431" s="53" t="e">
        <f t="shared" si="588"/>
        <v>#N/A</v>
      </c>
      <c r="AR431" s="54" t="e">
        <f t="shared" si="588"/>
        <v>#N/A</v>
      </c>
      <c r="AS431" s="316">
        <f t="shared" si="636"/>
        <v>0</v>
      </c>
      <c r="AT431" s="106">
        <f>_xlfn.IFNA($M431/VLOOKUP($BT431,'Unit information'!$A$2:$K$29,2,FALSE)*R431,0)*(1+$E$9)</f>
        <v>0</v>
      </c>
      <c r="AU431" s="107">
        <f>_xlfn.IFNA($M431/VLOOKUP($BT431,'Unit information'!$A$2:$K$29,3,FALSE)*S431,0)*(1+$E$9)</f>
        <v>0</v>
      </c>
      <c r="AV431" s="107">
        <f>_xlfn.IFNA($M431/VLOOKUP($BT431,'Unit information'!$A$2:$K$29,4,FALSE)*T431,0)*(1+$E$9)</f>
        <v>0</v>
      </c>
      <c r="AW431" s="107">
        <f>_xlfn.IFNA($M431/VLOOKUP($BT431,'Unit information'!$A$2:$K$29,5,FALSE)*U431,0)*(1+$E$9)</f>
        <v>0</v>
      </c>
      <c r="AX431" s="107">
        <f>_xlfn.IFNA($M431/VLOOKUP($BU431,'Unit information'!$A$2:$K$29,6,FALSE)*V431,0)*(1+$E$9)</f>
        <v>0</v>
      </c>
      <c r="AY431" s="107">
        <f>_xlfn.IFNA($M431/VLOOKUP($BU431,'Unit information'!$A$2:$K$29,7,FALSE)*W431,0)*(1+$E$9)</f>
        <v>0</v>
      </c>
      <c r="AZ431" s="107">
        <f>_xlfn.IFNA($M431/VLOOKUP($BU431,'Unit information'!$A$2:$K$29,8,FALSE)*X431,0)*(1+$E$9)</f>
        <v>0</v>
      </c>
      <c r="BA431" s="107">
        <f>_xlfn.IFNA($M431/VLOOKUP($BU431,'Unit information'!$A$2:$K$29,9,FALSE)*Y431,0)*(1+$E$9)</f>
        <v>0</v>
      </c>
      <c r="BB431" s="107">
        <f>_xlfn.IFNA($M431/VLOOKUP($BV431,'Unit information'!$A$2:$K$29,10,FALSE)*Z431,0)*(1+$E$9)</f>
        <v>0</v>
      </c>
      <c r="BC431" s="108">
        <f>_xlfn.IFNA($M431/VLOOKUP($BV431,'Unit information'!$A$2:$K$29,11,FALSE)*AA431,0)*(1+$E$9)</f>
        <v>0</v>
      </c>
      <c r="BD431" s="106">
        <f t="shared" si="569"/>
        <v>0</v>
      </c>
      <c r="BE431" s="107">
        <f t="shared" si="570"/>
        <v>0</v>
      </c>
      <c r="BF431" s="108">
        <f t="shared" si="571"/>
        <v>0</v>
      </c>
      <c r="BG431" s="25" t="e">
        <f t="shared" si="572"/>
        <v>#N/A</v>
      </c>
      <c r="BH431" s="25" t="e">
        <f t="shared" si="573"/>
        <v>#N/A</v>
      </c>
      <c r="BI431" s="25" t="e">
        <f t="shared" si="574"/>
        <v>#N/A</v>
      </c>
      <c r="BJ431" s="27" t="e">
        <f t="shared" si="575"/>
        <v>#N/A</v>
      </c>
      <c r="BK431" s="18" t="e">
        <f t="shared" si="576"/>
        <v>#N/A</v>
      </c>
      <c r="BL431" s="18" t="e">
        <f t="shared" si="577"/>
        <v>#N/A</v>
      </c>
      <c r="BM431" s="28" t="e">
        <f t="shared" si="622"/>
        <v>#N/A</v>
      </c>
      <c r="BN431" s="33">
        <f>HLOOKUP("maximum population",Miscelaneous!$C$1:$C$33,CH431+3,FALSE)</f>
        <v>240</v>
      </c>
      <c r="BO431" s="14">
        <f t="shared" si="589"/>
        <v>32</v>
      </c>
      <c r="BP431" s="14">
        <f t="shared" si="590"/>
        <v>0</v>
      </c>
      <c r="BQ431" s="14">
        <f t="shared" si="591"/>
        <v>208</v>
      </c>
      <c r="BR431" s="34" t="e">
        <f>HLOOKUP(J431,Villagers!$B$1:$V$33,L431+3,FALSE)-HLOOKUP(J431,Villagers!$B$1:$V$33,L431+2,FALSE)</f>
        <v>#N/A</v>
      </c>
      <c r="BS431" s="49">
        <f t="shared" si="592"/>
        <v>1</v>
      </c>
      <c r="BT431" s="50">
        <f t="shared" si="593"/>
        <v>0</v>
      </c>
      <c r="BU431" s="50">
        <f t="shared" si="594"/>
        <v>0</v>
      </c>
      <c r="BV431" s="50">
        <f t="shared" si="595"/>
        <v>0</v>
      </c>
      <c r="BW431" s="50">
        <f t="shared" si="638"/>
        <v>0</v>
      </c>
      <c r="BX431" s="50">
        <f t="shared" si="637"/>
        <v>0</v>
      </c>
      <c r="BY431" s="50">
        <f t="shared" si="637"/>
        <v>0</v>
      </c>
      <c r="BZ431" s="50">
        <f t="shared" si="623"/>
        <v>0</v>
      </c>
      <c r="CA431" s="50">
        <f t="shared" si="624"/>
        <v>0</v>
      </c>
      <c r="CB431" s="50">
        <f t="shared" si="625"/>
        <v>1</v>
      </c>
      <c r="CC431" s="50">
        <f t="shared" si="626"/>
        <v>0</v>
      </c>
      <c r="CD431" s="50">
        <f t="shared" si="627"/>
        <v>0</v>
      </c>
      <c r="CE431" s="50">
        <f t="shared" si="628"/>
        <v>1</v>
      </c>
      <c r="CF431" s="50">
        <f t="shared" si="629"/>
        <v>1</v>
      </c>
      <c r="CG431" s="50">
        <f t="shared" si="630"/>
        <v>1</v>
      </c>
      <c r="CH431" s="50">
        <f t="shared" si="631"/>
        <v>1</v>
      </c>
      <c r="CI431" s="50">
        <f t="shared" si="632"/>
        <v>1</v>
      </c>
      <c r="CJ431" s="50">
        <f t="shared" si="633"/>
        <v>1</v>
      </c>
      <c r="CK431" s="50">
        <f t="shared" si="633"/>
        <v>0</v>
      </c>
      <c r="CL431" s="50">
        <f t="shared" si="633"/>
        <v>0</v>
      </c>
      <c r="CM431" s="51">
        <f t="shared" si="634"/>
        <v>0</v>
      </c>
      <c r="CN431" s="33">
        <f>ROUND(IF(BS431=0,0,HLOOKUP(BS$14,Villagers!$B$1:$V$33,BS431+3,FALSE)),)</f>
        <v>5</v>
      </c>
      <c r="CO431" s="14">
        <f>ROUND(IF(BT431=0,0,HLOOKUP(BT$14,Villagers!$B$1:$V$33,BT431+3,FALSE)),)</f>
        <v>0</v>
      </c>
      <c r="CP431" s="14">
        <f>ROUND(IF(BU431=0,0,HLOOKUP(BU$14,Villagers!$B$1:$V$33,BU431+3,FALSE)),)</f>
        <v>0</v>
      </c>
      <c r="CQ431" s="14">
        <f>ROUND(IF(BV431=0,0,HLOOKUP(BV$14,Villagers!$B$1:$V$33,BV431+3,FALSE)),)</f>
        <v>0</v>
      </c>
      <c r="CR431" s="14">
        <f>ROUND(IF(BW431=0,0,HLOOKUP(BW$14,Villagers!$B$1:$V$33,BW431+3,FALSE)),)</f>
        <v>0</v>
      </c>
      <c r="CS431" s="14">
        <f>ROUND(IF(BX431=0,0,HLOOKUP(BX$14,Villagers!$B$1:$V$33,BX431+3,FALSE)),)</f>
        <v>0</v>
      </c>
      <c r="CT431" s="14">
        <f>ROUND(IF(BY431=0,0,HLOOKUP(BY$14,Villagers!$B$1:$V$33,BY431+3,FALSE)),)</f>
        <v>0</v>
      </c>
      <c r="CU431" s="14">
        <f>ROUND(IF(BZ431=0,0,HLOOKUP(BZ$14,Villagers!$B$1:$V$33,BZ431+3,FALSE)),)</f>
        <v>0</v>
      </c>
      <c r="CV431" s="14">
        <f>ROUND(IF(CA431=0,0,HLOOKUP(CA$14,Villagers!$B$1:$V$33,CA431+3,FALSE)),)</f>
        <v>0</v>
      </c>
      <c r="CW431" s="14">
        <f>ROUND(IF(CB431=0,0,HLOOKUP(CB$14,Villagers!$B$1:$V$33,CB431+3,FALSE)),)</f>
        <v>0</v>
      </c>
      <c r="CX431" s="14">
        <f>ROUND(IF(CC431=0,0,HLOOKUP(CC$14,Villagers!$B$1:$V$33,CC431+3,FALSE)),)</f>
        <v>0</v>
      </c>
      <c r="CY431" s="14">
        <f>ROUND(IF(CD431=0,0,HLOOKUP(CD$14,Villagers!$B$1:$V$33,CD431+3,FALSE)),)</f>
        <v>0</v>
      </c>
      <c r="CZ431" s="14">
        <f>ROUND(IF(CE431=0,0,HLOOKUP(CE$14,Villagers!$B$1:$V$33,CE431+3,FALSE)),)</f>
        <v>5</v>
      </c>
      <c r="DA431" s="14">
        <f>ROUND(IF(CF431=0,0,HLOOKUP(CF$14,Villagers!$B$1:$V$33,CF431+3,FALSE)),)</f>
        <v>10</v>
      </c>
      <c r="DB431" s="14">
        <f>ROUND(IF(CG431=0,0,HLOOKUP(CG$14,Villagers!$B$1:$V$33,CG431+3,FALSE)),)</f>
        <v>10</v>
      </c>
      <c r="DC431" s="14">
        <f>ROUND(IF(CH431=0,0,HLOOKUP(CH$14,Villagers!$B$1:$V$33,CH431+3,FALSE)),)</f>
        <v>0</v>
      </c>
      <c r="DD431" s="14">
        <f>ROUND(IF(CI431=0,0,HLOOKUP(CI$14,Villagers!$B$1:$V$33,CI431+3,FALSE)),)</f>
        <v>0</v>
      </c>
      <c r="DE431" s="14">
        <f>ROUND(IF(CJ431=0,0,HLOOKUP(CJ$14,Villagers!$B$1:$V$33,CJ431+3,FALSE)),)</f>
        <v>2</v>
      </c>
      <c r="DF431" s="370">
        <f>ROUND(IF(CK431=0,0,HLOOKUP(CK$14,Villagers!$B$1:$V$33,CK431+3,FALSE)),)</f>
        <v>0</v>
      </c>
      <c r="DG431" s="370">
        <f>ROUND(IF(CL431=0,0,HLOOKUP(CL$14,Villagers!$B$1:$V$33,CL431+3,FALSE)),)</f>
        <v>0</v>
      </c>
      <c r="DH431" s="34">
        <f>ROUND(IF(CM431=0,0,HLOOKUP(CM$14,Villagers!$B$1:$V$33,CM431+3,FALSE)),)</f>
        <v>0</v>
      </c>
      <c r="DI431" s="109">
        <f t="shared" si="611"/>
        <v>0</v>
      </c>
      <c r="DJ431" s="50">
        <f t="shared" si="612"/>
        <v>0</v>
      </c>
      <c r="DK431" s="50">
        <f t="shared" si="613"/>
        <v>0</v>
      </c>
      <c r="DL431" s="50">
        <f t="shared" si="614"/>
        <v>0</v>
      </c>
      <c r="DM431" s="50">
        <f t="shared" si="615"/>
        <v>0</v>
      </c>
      <c r="DN431" s="50">
        <f t="shared" si="616"/>
        <v>0</v>
      </c>
      <c r="DO431" s="50">
        <f t="shared" si="617"/>
        <v>0</v>
      </c>
      <c r="DP431" s="50">
        <f t="shared" si="618"/>
        <v>0</v>
      </c>
      <c r="DQ431" s="50">
        <f t="shared" si="596"/>
        <v>0</v>
      </c>
      <c r="DR431" s="50">
        <f t="shared" si="597"/>
        <v>0</v>
      </c>
      <c r="DS431" s="96">
        <f>Miscelaneous!$D$4*Miscelaneous!$D$2^($CI431-1)</f>
        <v>1000</v>
      </c>
      <c r="DT431" s="333">
        <f t="shared" si="579"/>
        <v>1</v>
      </c>
      <c r="DU431" s="81">
        <v>1</v>
      </c>
      <c r="DV431" s="79">
        <f t="shared" si="598"/>
        <v>0</v>
      </c>
      <c r="DW431" s="79">
        <f t="shared" si="599"/>
        <v>0</v>
      </c>
      <c r="DX431" s="79">
        <f t="shared" si="600"/>
        <v>0</v>
      </c>
      <c r="DY431" s="79">
        <v>1</v>
      </c>
      <c r="DZ431" s="79">
        <f t="shared" si="601"/>
        <v>0</v>
      </c>
      <c r="EA431" s="79">
        <f t="shared" si="602"/>
        <v>0</v>
      </c>
      <c r="EB431" s="79">
        <f t="shared" si="603"/>
        <v>0</v>
      </c>
      <c r="EC431" s="79">
        <f t="shared" si="604"/>
        <v>0</v>
      </c>
      <c r="ED431" s="79">
        <v>1</v>
      </c>
      <c r="EE431" s="79">
        <v>1</v>
      </c>
      <c r="EF431" s="79">
        <f t="shared" si="605"/>
        <v>0</v>
      </c>
      <c r="EG431" s="79">
        <v>1</v>
      </c>
      <c r="EH431" s="79">
        <v>1</v>
      </c>
      <c r="EI431" s="79">
        <v>1</v>
      </c>
      <c r="EJ431" s="79">
        <v>1</v>
      </c>
      <c r="EK431" s="79">
        <v>1</v>
      </c>
      <c r="EL431" s="79">
        <v>1</v>
      </c>
      <c r="EM431" s="143">
        <f t="shared" si="606"/>
        <v>0</v>
      </c>
      <c r="EN431" s="143">
        <f t="shared" si="607"/>
        <v>0</v>
      </c>
      <c r="EO431" s="82">
        <f t="shared" si="608"/>
        <v>0</v>
      </c>
    </row>
    <row r="432" spans="1:145" x14ac:dyDescent="0.25">
      <c r="A432">
        <v>418</v>
      </c>
      <c r="B432" s="172" t="e">
        <f t="shared" si="580"/>
        <v>#N/A</v>
      </c>
      <c r="C432" s="121" t="e">
        <f t="shared" si="558"/>
        <v>#N/A</v>
      </c>
      <c r="D432" s="122" t="e">
        <f t="shared" si="559"/>
        <v>#N/A</v>
      </c>
      <c r="E432" s="122" t="e">
        <f t="shared" si="560"/>
        <v>#N/A</v>
      </c>
      <c r="F432" s="176" t="e">
        <f t="shared" si="561"/>
        <v>#N/A</v>
      </c>
      <c r="G432" s="121">
        <f t="shared" si="581"/>
        <v>208</v>
      </c>
      <c r="H432" s="176" t="e">
        <f t="shared" si="582"/>
        <v>#N/A</v>
      </c>
      <c r="I432" s="48">
        <v>1</v>
      </c>
      <c r="J432" s="39"/>
      <c r="K432" s="350">
        <v>1</v>
      </c>
      <c r="L432" s="34" t="e">
        <f t="shared" si="562"/>
        <v>#N/A</v>
      </c>
      <c r="M432" s="38" t="e">
        <f>(HLOOKUP(J432,'Construction Times'!$B$3:$W$34,L432+2,FALSE)*HLOOKUP("hq modifier",'Construction Times'!$W$3:$W$34,BS432+2,FALSE))*(1-$H$9)</f>
        <v>#N/A</v>
      </c>
      <c r="N432" s="443" t="e">
        <f t="shared" si="583"/>
        <v>#N/A</v>
      </c>
      <c r="O432" s="444"/>
      <c r="P432" s="447" t="e">
        <f t="shared" si="584"/>
        <v>#N/A</v>
      </c>
      <c r="Q432" s="448"/>
      <c r="R432" s="103">
        <f t="shared" si="609"/>
        <v>0</v>
      </c>
      <c r="S432" s="104">
        <f t="shared" si="609"/>
        <v>0</v>
      </c>
      <c r="T432" s="104">
        <f t="shared" si="610"/>
        <v>0</v>
      </c>
      <c r="U432" s="104">
        <f t="shared" si="610"/>
        <v>0</v>
      </c>
      <c r="V432" s="104">
        <f t="shared" si="610"/>
        <v>9.9999999999999995E-8</v>
      </c>
      <c r="W432" s="104">
        <f t="shared" si="610"/>
        <v>0</v>
      </c>
      <c r="X432" s="104">
        <f t="shared" si="639"/>
        <v>0</v>
      </c>
      <c r="Y432" s="104">
        <f t="shared" si="639"/>
        <v>9.9999999999999995E-8</v>
      </c>
      <c r="Z432" s="104">
        <f t="shared" si="639"/>
        <v>9.9999999999999995E-8</v>
      </c>
      <c r="AA432" s="105">
        <f t="shared" si="639"/>
        <v>9.9999999999999995E-8</v>
      </c>
      <c r="AB432" s="101" t="e">
        <f>$DT432*HLOOKUP($J432,'Construction Costs (timber)'!$B$1:$V$32,'Construction Planner'!$L432+2,FALSE)</f>
        <v>#N/A</v>
      </c>
      <c r="AC432" s="14" t="e">
        <f>$DT432*HLOOKUP($J432,'Construction Costs (clay)'!$B$1:$V$32,'Construction Planner'!$L432+2,FALSE)</f>
        <v>#N/A</v>
      </c>
      <c r="AD432" s="14" t="e">
        <f>$DT432*HLOOKUP($J432,'Construction Costs (iron)'!$B$1:$V$32,'Construction Planner'!$L432+2,FALSE)</f>
        <v>#N/A</v>
      </c>
      <c r="AE432" s="34" t="e">
        <f t="shared" si="619"/>
        <v>#N/A</v>
      </c>
      <c r="AF432" s="33" t="e">
        <f t="shared" si="563"/>
        <v>#N/A</v>
      </c>
      <c r="AG432" s="14" t="e">
        <f t="shared" si="564"/>
        <v>#N/A</v>
      </c>
      <c r="AH432" s="14" t="e">
        <f t="shared" si="565"/>
        <v>#N/A</v>
      </c>
      <c r="AI432" s="34" t="e">
        <f t="shared" si="620"/>
        <v>#N/A</v>
      </c>
      <c r="AJ432" s="49" t="e">
        <f t="shared" si="585"/>
        <v>#N/A</v>
      </c>
      <c r="AK432" s="49" t="e">
        <f t="shared" si="586"/>
        <v>#N/A</v>
      </c>
      <c r="AL432" s="49" t="e">
        <f t="shared" si="587"/>
        <v>#N/A</v>
      </c>
      <c r="AM432" s="25">
        <f t="shared" si="566"/>
        <v>30</v>
      </c>
      <c r="AN432" s="25">
        <f t="shared" si="567"/>
        <v>30</v>
      </c>
      <c r="AO432" s="25">
        <f t="shared" si="568"/>
        <v>30</v>
      </c>
      <c r="AP432" s="52" t="e">
        <f t="shared" ref="AP432:AR463" si="640">($N432-$AK$6+$AK$9+1)*$AK$5/24/3*$AS432</f>
        <v>#N/A</v>
      </c>
      <c r="AQ432" s="53" t="e">
        <f t="shared" si="640"/>
        <v>#N/A</v>
      </c>
      <c r="AR432" s="54" t="e">
        <f t="shared" si="640"/>
        <v>#N/A</v>
      </c>
      <c r="AS432" s="316">
        <f t="shared" si="636"/>
        <v>0</v>
      </c>
      <c r="AT432" s="106">
        <f>_xlfn.IFNA($M432/VLOOKUP($BT432,'Unit information'!$A$2:$K$29,2,FALSE)*R432,0)*(1+$E$9)</f>
        <v>0</v>
      </c>
      <c r="AU432" s="107">
        <f>_xlfn.IFNA($M432/VLOOKUP($BT432,'Unit information'!$A$2:$K$29,3,FALSE)*S432,0)*(1+$E$9)</f>
        <v>0</v>
      </c>
      <c r="AV432" s="107">
        <f>_xlfn.IFNA($M432/VLOOKUP($BT432,'Unit information'!$A$2:$K$29,4,FALSE)*T432,0)*(1+$E$9)</f>
        <v>0</v>
      </c>
      <c r="AW432" s="107">
        <f>_xlfn.IFNA($M432/VLOOKUP($BT432,'Unit information'!$A$2:$K$29,5,FALSE)*U432,0)*(1+$E$9)</f>
        <v>0</v>
      </c>
      <c r="AX432" s="107">
        <f>_xlfn.IFNA($M432/VLOOKUP($BU432,'Unit information'!$A$2:$K$29,6,FALSE)*V432,0)*(1+$E$9)</f>
        <v>0</v>
      </c>
      <c r="AY432" s="107">
        <f>_xlfn.IFNA($M432/VLOOKUP($BU432,'Unit information'!$A$2:$K$29,7,FALSE)*W432,0)*(1+$E$9)</f>
        <v>0</v>
      </c>
      <c r="AZ432" s="107">
        <f>_xlfn.IFNA($M432/VLOOKUP($BU432,'Unit information'!$A$2:$K$29,8,FALSE)*X432,0)*(1+$E$9)</f>
        <v>0</v>
      </c>
      <c r="BA432" s="107">
        <f>_xlfn.IFNA($M432/VLOOKUP($BU432,'Unit information'!$A$2:$K$29,9,FALSE)*Y432,0)*(1+$E$9)</f>
        <v>0</v>
      </c>
      <c r="BB432" s="107">
        <f>_xlfn.IFNA($M432/VLOOKUP($BV432,'Unit information'!$A$2:$K$29,10,FALSE)*Z432,0)*(1+$E$9)</f>
        <v>0</v>
      </c>
      <c r="BC432" s="108">
        <f>_xlfn.IFNA($M432/VLOOKUP($BV432,'Unit information'!$A$2:$K$29,11,FALSE)*AA432,0)*(1+$E$9)</f>
        <v>0</v>
      </c>
      <c r="BD432" s="106">
        <f t="shared" si="569"/>
        <v>0</v>
      </c>
      <c r="BE432" s="107">
        <f t="shared" si="570"/>
        <v>0</v>
      </c>
      <c r="BF432" s="108">
        <f t="shared" si="571"/>
        <v>0</v>
      </c>
      <c r="BG432" s="25" t="e">
        <f t="shared" si="572"/>
        <v>#N/A</v>
      </c>
      <c r="BH432" s="25" t="e">
        <f t="shared" si="573"/>
        <v>#N/A</v>
      </c>
      <c r="BI432" s="25" t="e">
        <f t="shared" si="574"/>
        <v>#N/A</v>
      </c>
      <c r="BJ432" s="27" t="e">
        <f t="shared" si="575"/>
        <v>#N/A</v>
      </c>
      <c r="BK432" s="18" t="e">
        <f t="shared" si="576"/>
        <v>#N/A</v>
      </c>
      <c r="BL432" s="18" t="e">
        <f t="shared" si="577"/>
        <v>#N/A</v>
      </c>
      <c r="BM432" s="28" t="e">
        <f t="shared" si="622"/>
        <v>#N/A</v>
      </c>
      <c r="BN432" s="33">
        <f>HLOOKUP("maximum population",Miscelaneous!$C$1:$C$33,CH432+3,FALSE)</f>
        <v>240</v>
      </c>
      <c r="BO432" s="14">
        <f t="shared" si="589"/>
        <v>32</v>
      </c>
      <c r="BP432" s="14">
        <f t="shared" si="590"/>
        <v>0</v>
      </c>
      <c r="BQ432" s="14">
        <f t="shared" si="591"/>
        <v>208</v>
      </c>
      <c r="BR432" s="34" t="e">
        <f>HLOOKUP(J432,Villagers!$B$1:$V$33,L432+3,FALSE)-HLOOKUP(J432,Villagers!$B$1:$V$33,L432+2,FALSE)</f>
        <v>#N/A</v>
      </c>
      <c r="BS432" s="49">
        <f t="shared" si="592"/>
        <v>1</v>
      </c>
      <c r="BT432" s="50">
        <f t="shared" si="593"/>
        <v>0</v>
      </c>
      <c r="BU432" s="50">
        <f t="shared" si="594"/>
        <v>0</v>
      </c>
      <c r="BV432" s="50">
        <f t="shared" si="595"/>
        <v>0</v>
      </c>
      <c r="BW432" s="50">
        <f t="shared" ref="BW432:BY438" si="641">IF($J431=BW$14,$L431,BW431)</f>
        <v>0</v>
      </c>
      <c r="BX432" s="50">
        <f t="shared" si="641"/>
        <v>0</v>
      </c>
      <c r="BY432" s="50">
        <f t="shared" si="641"/>
        <v>0</v>
      </c>
      <c r="BZ432" s="50">
        <f t="shared" si="623"/>
        <v>0</v>
      </c>
      <c r="CA432" s="50">
        <f t="shared" si="624"/>
        <v>0</v>
      </c>
      <c r="CB432" s="50">
        <f t="shared" si="625"/>
        <v>1</v>
      </c>
      <c r="CC432" s="50">
        <f t="shared" si="626"/>
        <v>0</v>
      </c>
      <c r="CD432" s="50">
        <f t="shared" si="627"/>
        <v>0</v>
      </c>
      <c r="CE432" s="50">
        <f t="shared" si="628"/>
        <v>1</v>
      </c>
      <c r="CF432" s="50">
        <f t="shared" si="629"/>
        <v>1</v>
      </c>
      <c r="CG432" s="50">
        <f t="shared" si="630"/>
        <v>1</v>
      </c>
      <c r="CH432" s="50">
        <f t="shared" si="631"/>
        <v>1</v>
      </c>
      <c r="CI432" s="50">
        <f t="shared" si="632"/>
        <v>1</v>
      </c>
      <c r="CJ432" s="50">
        <f t="shared" si="633"/>
        <v>1</v>
      </c>
      <c r="CK432" s="50">
        <f t="shared" si="633"/>
        <v>0</v>
      </c>
      <c r="CL432" s="50">
        <f t="shared" si="633"/>
        <v>0</v>
      </c>
      <c r="CM432" s="51">
        <f t="shared" si="634"/>
        <v>0</v>
      </c>
      <c r="CN432" s="33">
        <f>ROUND(IF(BS432=0,0,HLOOKUP(BS$14,Villagers!$B$1:$V$33,BS432+3,FALSE)),)</f>
        <v>5</v>
      </c>
      <c r="CO432" s="14">
        <f>ROUND(IF(BT432=0,0,HLOOKUP(BT$14,Villagers!$B$1:$V$33,BT432+3,FALSE)),)</f>
        <v>0</v>
      </c>
      <c r="CP432" s="14">
        <f>ROUND(IF(BU432=0,0,HLOOKUP(BU$14,Villagers!$B$1:$V$33,BU432+3,FALSE)),)</f>
        <v>0</v>
      </c>
      <c r="CQ432" s="14">
        <f>ROUND(IF(BV432=0,0,HLOOKUP(BV$14,Villagers!$B$1:$V$33,BV432+3,FALSE)),)</f>
        <v>0</v>
      </c>
      <c r="CR432" s="14">
        <f>ROUND(IF(BW432=0,0,HLOOKUP(BW$14,Villagers!$B$1:$V$33,BW432+3,FALSE)),)</f>
        <v>0</v>
      </c>
      <c r="CS432" s="14">
        <f>ROUND(IF(BX432=0,0,HLOOKUP(BX$14,Villagers!$B$1:$V$33,BX432+3,FALSE)),)</f>
        <v>0</v>
      </c>
      <c r="CT432" s="14">
        <f>ROUND(IF(BY432=0,0,HLOOKUP(BY$14,Villagers!$B$1:$V$33,BY432+3,FALSE)),)</f>
        <v>0</v>
      </c>
      <c r="CU432" s="14">
        <f>ROUND(IF(BZ432=0,0,HLOOKUP(BZ$14,Villagers!$B$1:$V$33,BZ432+3,FALSE)),)</f>
        <v>0</v>
      </c>
      <c r="CV432" s="14">
        <f>ROUND(IF(CA432=0,0,HLOOKUP(CA$14,Villagers!$B$1:$V$33,CA432+3,FALSE)),)</f>
        <v>0</v>
      </c>
      <c r="CW432" s="14">
        <f>ROUND(IF(CB432=0,0,HLOOKUP(CB$14,Villagers!$B$1:$V$33,CB432+3,FALSE)),)</f>
        <v>0</v>
      </c>
      <c r="CX432" s="14">
        <f>ROUND(IF(CC432=0,0,HLOOKUP(CC$14,Villagers!$B$1:$V$33,CC432+3,FALSE)),)</f>
        <v>0</v>
      </c>
      <c r="CY432" s="14">
        <f>ROUND(IF(CD432=0,0,HLOOKUP(CD$14,Villagers!$B$1:$V$33,CD432+3,FALSE)),)</f>
        <v>0</v>
      </c>
      <c r="CZ432" s="14">
        <f>ROUND(IF(CE432=0,0,HLOOKUP(CE$14,Villagers!$B$1:$V$33,CE432+3,FALSE)),)</f>
        <v>5</v>
      </c>
      <c r="DA432" s="14">
        <f>ROUND(IF(CF432=0,0,HLOOKUP(CF$14,Villagers!$B$1:$V$33,CF432+3,FALSE)),)</f>
        <v>10</v>
      </c>
      <c r="DB432" s="14">
        <f>ROUND(IF(CG432=0,0,HLOOKUP(CG$14,Villagers!$B$1:$V$33,CG432+3,FALSE)),)</f>
        <v>10</v>
      </c>
      <c r="DC432" s="14">
        <f>ROUND(IF(CH432=0,0,HLOOKUP(CH$14,Villagers!$B$1:$V$33,CH432+3,FALSE)),)</f>
        <v>0</v>
      </c>
      <c r="DD432" s="14">
        <f>ROUND(IF(CI432=0,0,HLOOKUP(CI$14,Villagers!$B$1:$V$33,CI432+3,FALSE)),)</f>
        <v>0</v>
      </c>
      <c r="DE432" s="14">
        <f>ROUND(IF(CJ432=0,0,HLOOKUP(CJ$14,Villagers!$B$1:$V$33,CJ432+3,FALSE)),)</f>
        <v>2</v>
      </c>
      <c r="DF432" s="370">
        <f>ROUND(IF(CK432=0,0,HLOOKUP(CK$14,Villagers!$B$1:$V$33,CK432+3,FALSE)),)</f>
        <v>0</v>
      </c>
      <c r="DG432" s="370">
        <f>ROUND(IF(CL432=0,0,HLOOKUP(CL$14,Villagers!$B$1:$V$33,CL432+3,FALSE)),)</f>
        <v>0</v>
      </c>
      <c r="DH432" s="34">
        <f>ROUND(IF(CM432=0,0,HLOOKUP(CM$14,Villagers!$B$1:$V$33,CM432+3,FALSE)),)</f>
        <v>0</v>
      </c>
      <c r="DI432" s="109">
        <f t="shared" si="611"/>
        <v>0</v>
      </c>
      <c r="DJ432" s="50">
        <f t="shared" si="612"/>
        <v>0</v>
      </c>
      <c r="DK432" s="50">
        <f t="shared" si="613"/>
        <v>0</v>
      </c>
      <c r="DL432" s="50">
        <f t="shared" si="614"/>
        <v>0</v>
      </c>
      <c r="DM432" s="50">
        <f t="shared" si="615"/>
        <v>0</v>
      </c>
      <c r="DN432" s="50">
        <f t="shared" si="616"/>
        <v>0</v>
      </c>
      <c r="DO432" s="50">
        <f t="shared" si="617"/>
        <v>0</v>
      </c>
      <c r="DP432" s="50">
        <f t="shared" si="618"/>
        <v>0</v>
      </c>
      <c r="DQ432" s="50">
        <f t="shared" si="596"/>
        <v>0</v>
      </c>
      <c r="DR432" s="50">
        <f t="shared" si="597"/>
        <v>0</v>
      </c>
      <c r="DS432" s="96">
        <f>Miscelaneous!$D$4*Miscelaneous!$D$2^($CI432-1)</f>
        <v>1000</v>
      </c>
      <c r="DT432" s="333">
        <f t="shared" si="579"/>
        <v>1</v>
      </c>
      <c r="DU432" s="81">
        <v>1</v>
      </c>
      <c r="DV432" s="79">
        <f t="shared" si="598"/>
        <v>0</v>
      </c>
      <c r="DW432" s="79">
        <f t="shared" si="599"/>
        <v>0</v>
      </c>
      <c r="DX432" s="79">
        <f t="shared" si="600"/>
        <v>0</v>
      </c>
      <c r="DY432" s="79">
        <v>1</v>
      </c>
      <c r="DZ432" s="79">
        <f t="shared" si="601"/>
        <v>0</v>
      </c>
      <c r="EA432" s="79">
        <f t="shared" si="602"/>
        <v>0</v>
      </c>
      <c r="EB432" s="79">
        <f t="shared" si="603"/>
        <v>0</v>
      </c>
      <c r="EC432" s="79">
        <f t="shared" si="604"/>
        <v>0</v>
      </c>
      <c r="ED432" s="79">
        <v>1</v>
      </c>
      <c r="EE432" s="79">
        <v>1</v>
      </c>
      <c r="EF432" s="79">
        <f t="shared" si="605"/>
        <v>0</v>
      </c>
      <c r="EG432" s="79">
        <v>1</v>
      </c>
      <c r="EH432" s="79">
        <v>1</v>
      </c>
      <c r="EI432" s="79">
        <v>1</v>
      </c>
      <c r="EJ432" s="79">
        <v>1</v>
      </c>
      <c r="EK432" s="79">
        <v>1</v>
      </c>
      <c r="EL432" s="79">
        <v>1</v>
      </c>
      <c r="EM432" s="143">
        <f t="shared" si="606"/>
        <v>0</v>
      </c>
      <c r="EN432" s="143">
        <f t="shared" si="607"/>
        <v>0</v>
      </c>
      <c r="EO432" s="82">
        <f t="shared" si="608"/>
        <v>0</v>
      </c>
    </row>
    <row r="433" spans="1:145" x14ac:dyDescent="0.25">
      <c r="A433">
        <v>419</v>
      </c>
      <c r="B433" s="172" t="e">
        <f t="shared" si="580"/>
        <v>#N/A</v>
      </c>
      <c r="C433" s="121" t="e">
        <f t="shared" si="558"/>
        <v>#N/A</v>
      </c>
      <c r="D433" s="122" t="e">
        <f t="shared" si="559"/>
        <v>#N/A</v>
      </c>
      <c r="E433" s="122" t="e">
        <f t="shared" si="560"/>
        <v>#N/A</v>
      </c>
      <c r="F433" s="176" t="e">
        <f t="shared" si="561"/>
        <v>#N/A</v>
      </c>
      <c r="G433" s="121">
        <f t="shared" si="581"/>
        <v>208</v>
      </c>
      <c r="H433" s="176" t="e">
        <f t="shared" si="582"/>
        <v>#N/A</v>
      </c>
      <c r="I433" s="48">
        <v>1</v>
      </c>
      <c r="J433" s="39"/>
      <c r="K433" s="350">
        <v>1</v>
      </c>
      <c r="L433" s="34" t="e">
        <f t="shared" si="562"/>
        <v>#N/A</v>
      </c>
      <c r="M433" s="38" t="e">
        <f>(HLOOKUP(J433,'Construction Times'!$B$3:$W$34,L433+2,FALSE)*HLOOKUP("hq modifier",'Construction Times'!$W$3:$W$34,BS433+2,FALSE))*(1-$H$9)</f>
        <v>#N/A</v>
      </c>
      <c r="N433" s="443" t="e">
        <f t="shared" si="583"/>
        <v>#N/A</v>
      </c>
      <c r="O433" s="444"/>
      <c r="P433" s="447" t="e">
        <f t="shared" si="584"/>
        <v>#N/A</v>
      </c>
      <c r="Q433" s="448"/>
      <c r="R433" s="103">
        <f t="shared" ref="R433:S464" si="642">R432</f>
        <v>0</v>
      </c>
      <c r="S433" s="104">
        <f t="shared" si="642"/>
        <v>0</v>
      </c>
      <c r="T433" s="104">
        <f t="shared" ref="T433:W464" si="643">T432</f>
        <v>0</v>
      </c>
      <c r="U433" s="104">
        <f t="shared" si="643"/>
        <v>0</v>
      </c>
      <c r="V433" s="104">
        <f t="shared" si="643"/>
        <v>9.9999999999999995E-8</v>
      </c>
      <c r="W433" s="104">
        <f t="shared" si="643"/>
        <v>0</v>
      </c>
      <c r="X433" s="104">
        <f t="shared" si="639"/>
        <v>0</v>
      </c>
      <c r="Y433" s="104">
        <f t="shared" si="639"/>
        <v>9.9999999999999995E-8</v>
      </c>
      <c r="Z433" s="104">
        <f t="shared" si="639"/>
        <v>9.9999999999999995E-8</v>
      </c>
      <c r="AA433" s="105">
        <f t="shared" si="639"/>
        <v>9.9999999999999995E-8</v>
      </c>
      <c r="AB433" s="101" t="e">
        <f>$DT433*HLOOKUP($J433,'Construction Costs (timber)'!$B$1:$V$32,'Construction Planner'!$L433+2,FALSE)</f>
        <v>#N/A</v>
      </c>
      <c r="AC433" s="14" t="e">
        <f>$DT433*HLOOKUP($J433,'Construction Costs (clay)'!$B$1:$V$32,'Construction Planner'!$L433+2,FALSE)</f>
        <v>#N/A</v>
      </c>
      <c r="AD433" s="14" t="e">
        <f>$DT433*HLOOKUP($J433,'Construction Costs (iron)'!$B$1:$V$32,'Construction Planner'!$L433+2,FALSE)</f>
        <v>#N/A</v>
      </c>
      <c r="AE433" s="34" t="e">
        <f t="shared" si="619"/>
        <v>#N/A</v>
      </c>
      <c r="AF433" s="33" t="e">
        <f t="shared" si="563"/>
        <v>#N/A</v>
      </c>
      <c r="AG433" s="14" t="e">
        <f t="shared" si="564"/>
        <v>#N/A</v>
      </c>
      <c r="AH433" s="14" t="e">
        <f t="shared" si="565"/>
        <v>#N/A</v>
      </c>
      <c r="AI433" s="34" t="e">
        <f t="shared" si="620"/>
        <v>#N/A</v>
      </c>
      <c r="AJ433" s="49" t="e">
        <f t="shared" si="585"/>
        <v>#N/A</v>
      </c>
      <c r="AK433" s="49" t="e">
        <f t="shared" si="586"/>
        <v>#N/A</v>
      </c>
      <c r="AL433" s="49" t="e">
        <f t="shared" si="587"/>
        <v>#N/A</v>
      </c>
      <c r="AM433" s="25">
        <f t="shared" si="566"/>
        <v>30</v>
      </c>
      <c r="AN433" s="25">
        <f t="shared" si="567"/>
        <v>30</v>
      </c>
      <c r="AO433" s="25">
        <f t="shared" si="568"/>
        <v>30</v>
      </c>
      <c r="AP433" s="52" t="e">
        <f t="shared" si="640"/>
        <v>#N/A</v>
      </c>
      <c r="AQ433" s="53" t="e">
        <f t="shared" si="640"/>
        <v>#N/A</v>
      </c>
      <c r="AR433" s="54" t="e">
        <f t="shared" si="640"/>
        <v>#N/A</v>
      </c>
      <c r="AS433" s="316">
        <f t="shared" si="636"/>
        <v>0</v>
      </c>
      <c r="AT433" s="106">
        <f>_xlfn.IFNA($M433/VLOOKUP($BT433,'Unit information'!$A$2:$K$29,2,FALSE)*R433,0)*(1+$E$9)</f>
        <v>0</v>
      </c>
      <c r="AU433" s="107">
        <f>_xlfn.IFNA($M433/VLOOKUP($BT433,'Unit information'!$A$2:$K$29,3,FALSE)*S433,0)*(1+$E$9)</f>
        <v>0</v>
      </c>
      <c r="AV433" s="107">
        <f>_xlfn.IFNA($M433/VLOOKUP($BT433,'Unit information'!$A$2:$K$29,4,FALSE)*T433,0)*(1+$E$9)</f>
        <v>0</v>
      </c>
      <c r="AW433" s="107">
        <f>_xlfn.IFNA($M433/VLOOKUP($BT433,'Unit information'!$A$2:$K$29,5,FALSE)*U433,0)*(1+$E$9)</f>
        <v>0</v>
      </c>
      <c r="AX433" s="107">
        <f>_xlfn.IFNA($M433/VLOOKUP($BU433,'Unit information'!$A$2:$K$29,6,FALSE)*V433,0)*(1+$E$9)</f>
        <v>0</v>
      </c>
      <c r="AY433" s="107">
        <f>_xlfn.IFNA($M433/VLOOKUP($BU433,'Unit information'!$A$2:$K$29,7,FALSE)*W433,0)*(1+$E$9)</f>
        <v>0</v>
      </c>
      <c r="AZ433" s="107">
        <f>_xlfn.IFNA($M433/VLOOKUP($BU433,'Unit information'!$A$2:$K$29,8,FALSE)*X433,0)*(1+$E$9)</f>
        <v>0</v>
      </c>
      <c r="BA433" s="107">
        <f>_xlfn.IFNA($M433/VLOOKUP($BU433,'Unit information'!$A$2:$K$29,9,FALSE)*Y433,0)*(1+$E$9)</f>
        <v>0</v>
      </c>
      <c r="BB433" s="107">
        <f>_xlfn.IFNA($M433/VLOOKUP($BV433,'Unit information'!$A$2:$K$29,10,FALSE)*Z433,0)*(1+$E$9)</f>
        <v>0</v>
      </c>
      <c r="BC433" s="108">
        <f>_xlfn.IFNA($M433/VLOOKUP($BV433,'Unit information'!$A$2:$K$29,11,FALSE)*AA433,0)*(1+$E$9)</f>
        <v>0</v>
      </c>
      <c r="BD433" s="106">
        <f t="shared" si="569"/>
        <v>0</v>
      </c>
      <c r="BE433" s="107">
        <f t="shared" si="570"/>
        <v>0</v>
      </c>
      <c r="BF433" s="108">
        <f t="shared" si="571"/>
        <v>0</v>
      </c>
      <c r="BG433" s="25" t="e">
        <f t="shared" si="572"/>
        <v>#N/A</v>
      </c>
      <c r="BH433" s="25" t="e">
        <f t="shared" si="573"/>
        <v>#N/A</v>
      </c>
      <c r="BI433" s="25" t="e">
        <f t="shared" si="574"/>
        <v>#N/A</v>
      </c>
      <c r="BJ433" s="27" t="e">
        <f t="shared" si="575"/>
        <v>#N/A</v>
      </c>
      <c r="BK433" s="18" t="e">
        <f t="shared" si="576"/>
        <v>#N/A</v>
      </c>
      <c r="BL433" s="18" t="e">
        <f t="shared" si="577"/>
        <v>#N/A</v>
      </c>
      <c r="BM433" s="28" t="e">
        <f t="shared" si="622"/>
        <v>#N/A</v>
      </c>
      <c r="BN433" s="33">
        <f>HLOOKUP("maximum population",Miscelaneous!$C$1:$C$33,CH433+3,FALSE)</f>
        <v>240</v>
      </c>
      <c r="BO433" s="14">
        <f t="shared" si="589"/>
        <v>32</v>
      </c>
      <c r="BP433" s="14">
        <f t="shared" si="590"/>
        <v>0</v>
      </c>
      <c r="BQ433" s="14">
        <f t="shared" si="591"/>
        <v>208</v>
      </c>
      <c r="BR433" s="34" t="e">
        <f>HLOOKUP(J433,Villagers!$B$1:$V$33,L433+3,FALSE)-HLOOKUP(J433,Villagers!$B$1:$V$33,L433+2,FALSE)</f>
        <v>#N/A</v>
      </c>
      <c r="BS433" s="49">
        <f t="shared" si="592"/>
        <v>1</v>
      </c>
      <c r="BT433" s="50">
        <f t="shared" si="593"/>
        <v>0</v>
      </c>
      <c r="BU433" s="50">
        <f t="shared" si="594"/>
        <v>0</v>
      </c>
      <c r="BV433" s="50">
        <f t="shared" si="595"/>
        <v>0</v>
      </c>
      <c r="BW433" s="50">
        <f t="shared" si="641"/>
        <v>0</v>
      </c>
      <c r="BX433" s="50">
        <f t="shared" si="641"/>
        <v>0</v>
      </c>
      <c r="BY433" s="50">
        <f t="shared" si="641"/>
        <v>0</v>
      </c>
      <c r="BZ433" s="50">
        <f t="shared" si="623"/>
        <v>0</v>
      </c>
      <c r="CA433" s="50">
        <f t="shared" si="624"/>
        <v>0</v>
      </c>
      <c r="CB433" s="50">
        <f t="shared" si="625"/>
        <v>1</v>
      </c>
      <c r="CC433" s="50">
        <f t="shared" si="626"/>
        <v>0</v>
      </c>
      <c r="CD433" s="50">
        <f t="shared" si="627"/>
        <v>0</v>
      </c>
      <c r="CE433" s="50">
        <f t="shared" si="628"/>
        <v>1</v>
      </c>
      <c r="CF433" s="50">
        <f t="shared" si="629"/>
        <v>1</v>
      </c>
      <c r="CG433" s="50">
        <f t="shared" si="630"/>
        <v>1</v>
      </c>
      <c r="CH433" s="50">
        <f t="shared" si="631"/>
        <v>1</v>
      </c>
      <c r="CI433" s="50">
        <f t="shared" si="632"/>
        <v>1</v>
      </c>
      <c r="CJ433" s="50">
        <f t="shared" si="633"/>
        <v>1</v>
      </c>
      <c r="CK433" s="50">
        <f t="shared" si="633"/>
        <v>0</v>
      </c>
      <c r="CL433" s="50">
        <f t="shared" si="633"/>
        <v>0</v>
      </c>
      <c r="CM433" s="51">
        <f t="shared" si="634"/>
        <v>0</v>
      </c>
      <c r="CN433" s="33">
        <f>ROUND(IF(BS433=0,0,HLOOKUP(BS$14,Villagers!$B$1:$V$33,BS433+3,FALSE)),)</f>
        <v>5</v>
      </c>
      <c r="CO433" s="14">
        <f>ROUND(IF(BT433=0,0,HLOOKUP(BT$14,Villagers!$B$1:$V$33,BT433+3,FALSE)),)</f>
        <v>0</v>
      </c>
      <c r="CP433" s="14">
        <f>ROUND(IF(BU433=0,0,HLOOKUP(BU$14,Villagers!$B$1:$V$33,BU433+3,FALSE)),)</f>
        <v>0</v>
      </c>
      <c r="CQ433" s="14">
        <f>ROUND(IF(BV433=0,0,HLOOKUP(BV$14,Villagers!$B$1:$V$33,BV433+3,FALSE)),)</f>
        <v>0</v>
      </c>
      <c r="CR433" s="14">
        <f>ROUND(IF(BW433=0,0,HLOOKUP(BW$14,Villagers!$B$1:$V$33,BW433+3,FALSE)),)</f>
        <v>0</v>
      </c>
      <c r="CS433" s="14">
        <f>ROUND(IF(BX433=0,0,HLOOKUP(BX$14,Villagers!$B$1:$V$33,BX433+3,FALSE)),)</f>
        <v>0</v>
      </c>
      <c r="CT433" s="14">
        <f>ROUND(IF(BY433=0,0,HLOOKUP(BY$14,Villagers!$B$1:$V$33,BY433+3,FALSE)),)</f>
        <v>0</v>
      </c>
      <c r="CU433" s="14">
        <f>ROUND(IF(BZ433=0,0,HLOOKUP(BZ$14,Villagers!$B$1:$V$33,BZ433+3,FALSE)),)</f>
        <v>0</v>
      </c>
      <c r="CV433" s="14">
        <f>ROUND(IF(CA433=0,0,HLOOKUP(CA$14,Villagers!$B$1:$V$33,CA433+3,FALSE)),)</f>
        <v>0</v>
      </c>
      <c r="CW433" s="14">
        <f>ROUND(IF(CB433=0,0,HLOOKUP(CB$14,Villagers!$B$1:$V$33,CB433+3,FALSE)),)</f>
        <v>0</v>
      </c>
      <c r="CX433" s="14">
        <f>ROUND(IF(CC433=0,0,HLOOKUP(CC$14,Villagers!$B$1:$V$33,CC433+3,FALSE)),)</f>
        <v>0</v>
      </c>
      <c r="CY433" s="14">
        <f>ROUND(IF(CD433=0,0,HLOOKUP(CD$14,Villagers!$B$1:$V$33,CD433+3,FALSE)),)</f>
        <v>0</v>
      </c>
      <c r="CZ433" s="14">
        <f>ROUND(IF(CE433=0,0,HLOOKUP(CE$14,Villagers!$B$1:$V$33,CE433+3,FALSE)),)</f>
        <v>5</v>
      </c>
      <c r="DA433" s="14">
        <f>ROUND(IF(CF433=0,0,HLOOKUP(CF$14,Villagers!$B$1:$V$33,CF433+3,FALSE)),)</f>
        <v>10</v>
      </c>
      <c r="DB433" s="14">
        <f>ROUND(IF(CG433=0,0,HLOOKUP(CG$14,Villagers!$B$1:$V$33,CG433+3,FALSE)),)</f>
        <v>10</v>
      </c>
      <c r="DC433" s="14">
        <f>ROUND(IF(CH433=0,0,HLOOKUP(CH$14,Villagers!$B$1:$V$33,CH433+3,FALSE)),)</f>
        <v>0</v>
      </c>
      <c r="DD433" s="14">
        <f>ROUND(IF(CI433=0,0,HLOOKUP(CI$14,Villagers!$B$1:$V$33,CI433+3,FALSE)),)</f>
        <v>0</v>
      </c>
      <c r="DE433" s="14">
        <f>ROUND(IF(CJ433=0,0,HLOOKUP(CJ$14,Villagers!$B$1:$V$33,CJ433+3,FALSE)),)</f>
        <v>2</v>
      </c>
      <c r="DF433" s="370">
        <f>ROUND(IF(CK433=0,0,HLOOKUP(CK$14,Villagers!$B$1:$V$33,CK433+3,FALSE)),)</f>
        <v>0</v>
      </c>
      <c r="DG433" s="370">
        <f>ROUND(IF(CL433=0,0,HLOOKUP(CL$14,Villagers!$B$1:$V$33,CL433+3,FALSE)),)</f>
        <v>0</v>
      </c>
      <c r="DH433" s="34">
        <f>ROUND(IF(CM433=0,0,HLOOKUP(CM$14,Villagers!$B$1:$V$33,CM433+3,FALSE)),)</f>
        <v>0</v>
      </c>
      <c r="DI433" s="109">
        <f t="shared" si="611"/>
        <v>0</v>
      </c>
      <c r="DJ433" s="50">
        <f t="shared" si="612"/>
        <v>0</v>
      </c>
      <c r="DK433" s="50">
        <f t="shared" si="613"/>
        <v>0</v>
      </c>
      <c r="DL433" s="50">
        <f t="shared" si="614"/>
        <v>0</v>
      </c>
      <c r="DM433" s="50">
        <f t="shared" si="615"/>
        <v>0</v>
      </c>
      <c r="DN433" s="50">
        <f t="shared" si="616"/>
        <v>0</v>
      </c>
      <c r="DO433" s="50">
        <f t="shared" si="617"/>
        <v>0</v>
      </c>
      <c r="DP433" s="50">
        <f t="shared" si="618"/>
        <v>0</v>
      </c>
      <c r="DQ433" s="50">
        <f t="shared" si="596"/>
        <v>0</v>
      </c>
      <c r="DR433" s="50">
        <f t="shared" si="597"/>
        <v>0</v>
      </c>
      <c r="DS433" s="96">
        <f>Miscelaneous!$D$4*Miscelaneous!$D$2^($CI433-1)</f>
        <v>1000</v>
      </c>
      <c r="DT433" s="333">
        <f t="shared" si="579"/>
        <v>1</v>
      </c>
      <c r="DU433" s="81">
        <v>1</v>
      </c>
      <c r="DV433" s="79">
        <f t="shared" si="598"/>
        <v>0</v>
      </c>
      <c r="DW433" s="79">
        <f t="shared" si="599"/>
        <v>0</v>
      </c>
      <c r="DX433" s="79">
        <f t="shared" si="600"/>
        <v>0</v>
      </c>
      <c r="DY433" s="79">
        <v>1</v>
      </c>
      <c r="DZ433" s="79">
        <f t="shared" si="601"/>
        <v>0</v>
      </c>
      <c r="EA433" s="79">
        <f t="shared" si="602"/>
        <v>0</v>
      </c>
      <c r="EB433" s="79">
        <f t="shared" si="603"/>
        <v>0</v>
      </c>
      <c r="EC433" s="79">
        <f t="shared" si="604"/>
        <v>0</v>
      </c>
      <c r="ED433" s="79">
        <v>1</v>
      </c>
      <c r="EE433" s="79">
        <v>1</v>
      </c>
      <c r="EF433" s="79">
        <f t="shared" si="605"/>
        <v>0</v>
      </c>
      <c r="EG433" s="79">
        <v>1</v>
      </c>
      <c r="EH433" s="79">
        <v>1</v>
      </c>
      <c r="EI433" s="79">
        <v>1</v>
      </c>
      <c r="EJ433" s="79">
        <v>1</v>
      </c>
      <c r="EK433" s="79">
        <v>1</v>
      </c>
      <c r="EL433" s="79">
        <v>1</v>
      </c>
      <c r="EM433" s="143">
        <f t="shared" si="606"/>
        <v>0</v>
      </c>
      <c r="EN433" s="143">
        <f t="shared" si="607"/>
        <v>0</v>
      </c>
      <c r="EO433" s="82">
        <f t="shared" si="608"/>
        <v>0</v>
      </c>
    </row>
    <row r="434" spans="1:145" x14ac:dyDescent="0.25">
      <c r="A434">
        <v>420</v>
      </c>
      <c r="B434" s="172" t="e">
        <f t="shared" si="580"/>
        <v>#N/A</v>
      </c>
      <c r="C434" s="121" t="e">
        <f t="shared" si="558"/>
        <v>#N/A</v>
      </c>
      <c r="D434" s="122" t="e">
        <f t="shared" si="559"/>
        <v>#N/A</v>
      </c>
      <c r="E434" s="122" t="e">
        <f t="shared" si="560"/>
        <v>#N/A</v>
      </c>
      <c r="F434" s="176" t="e">
        <f t="shared" si="561"/>
        <v>#N/A</v>
      </c>
      <c r="G434" s="121">
        <f t="shared" si="581"/>
        <v>208</v>
      </c>
      <c r="H434" s="176" t="e">
        <f t="shared" si="582"/>
        <v>#N/A</v>
      </c>
      <c r="I434" s="48">
        <v>1</v>
      </c>
      <c r="J434" s="39"/>
      <c r="K434" s="350">
        <v>1</v>
      </c>
      <c r="L434" s="34" t="e">
        <f t="shared" si="562"/>
        <v>#N/A</v>
      </c>
      <c r="M434" s="38" t="e">
        <f>(HLOOKUP(J434,'Construction Times'!$B$3:$W$34,L434+2,FALSE)*HLOOKUP("hq modifier",'Construction Times'!$W$3:$W$34,BS434+2,FALSE))*(1-$H$9)</f>
        <v>#N/A</v>
      </c>
      <c r="N434" s="443" t="e">
        <f t="shared" si="583"/>
        <v>#N/A</v>
      </c>
      <c r="O434" s="444"/>
      <c r="P434" s="447" t="e">
        <f t="shared" si="584"/>
        <v>#N/A</v>
      </c>
      <c r="Q434" s="448"/>
      <c r="R434" s="103">
        <f t="shared" si="642"/>
        <v>0</v>
      </c>
      <c r="S434" s="104">
        <f t="shared" si="642"/>
        <v>0</v>
      </c>
      <c r="T434" s="104">
        <f t="shared" si="643"/>
        <v>0</v>
      </c>
      <c r="U434" s="104">
        <f t="shared" si="643"/>
        <v>0</v>
      </c>
      <c r="V434" s="104">
        <f t="shared" si="643"/>
        <v>9.9999999999999995E-8</v>
      </c>
      <c r="W434" s="104">
        <f t="shared" si="643"/>
        <v>0</v>
      </c>
      <c r="X434" s="104">
        <f t="shared" si="639"/>
        <v>0</v>
      </c>
      <c r="Y434" s="104">
        <f t="shared" si="639"/>
        <v>9.9999999999999995E-8</v>
      </c>
      <c r="Z434" s="104">
        <f t="shared" si="639"/>
        <v>9.9999999999999995E-8</v>
      </c>
      <c r="AA434" s="105">
        <f t="shared" si="639"/>
        <v>9.9999999999999995E-8</v>
      </c>
      <c r="AB434" s="101" t="e">
        <f>$DT434*HLOOKUP($J434,'Construction Costs (timber)'!$B$1:$V$32,'Construction Planner'!$L434+2,FALSE)</f>
        <v>#N/A</v>
      </c>
      <c r="AC434" s="14" t="e">
        <f>$DT434*HLOOKUP($J434,'Construction Costs (clay)'!$B$1:$V$32,'Construction Planner'!$L434+2,FALSE)</f>
        <v>#N/A</v>
      </c>
      <c r="AD434" s="14" t="e">
        <f>$DT434*HLOOKUP($J434,'Construction Costs (iron)'!$B$1:$V$32,'Construction Planner'!$L434+2,FALSE)</f>
        <v>#N/A</v>
      </c>
      <c r="AE434" s="34" t="e">
        <f t="shared" si="619"/>
        <v>#N/A</v>
      </c>
      <c r="AF434" s="33" t="e">
        <f t="shared" si="563"/>
        <v>#N/A</v>
      </c>
      <c r="AG434" s="14" t="e">
        <f t="shared" si="564"/>
        <v>#N/A</v>
      </c>
      <c r="AH434" s="14" t="e">
        <f t="shared" si="565"/>
        <v>#N/A</v>
      </c>
      <c r="AI434" s="34" t="e">
        <f t="shared" si="620"/>
        <v>#N/A</v>
      </c>
      <c r="AJ434" s="49" t="e">
        <f t="shared" si="585"/>
        <v>#N/A</v>
      </c>
      <c r="AK434" s="49" t="e">
        <f t="shared" si="586"/>
        <v>#N/A</v>
      </c>
      <c r="AL434" s="49" t="e">
        <f t="shared" si="587"/>
        <v>#N/A</v>
      </c>
      <c r="AM434" s="25">
        <f t="shared" si="566"/>
        <v>30</v>
      </c>
      <c r="AN434" s="25">
        <f t="shared" si="567"/>
        <v>30</v>
      </c>
      <c r="AO434" s="25">
        <f t="shared" si="568"/>
        <v>30</v>
      </c>
      <c r="AP434" s="52" t="e">
        <f t="shared" si="640"/>
        <v>#N/A</v>
      </c>
      <c r="AQ434" s="53" t="e">
        <f t="shared" si="640"/>
        <v>#N/A</v>
      </c>
      <c r="AR434" s="54" t="e">
        <f t="shared" si="640"/>
        <v>#N/A</v>
      </c>
      <c r="AS434" s="316">
        <f t="shared" si="636"/>
        <v>0</v>
      </c>
      <c r="AT434" s="106">
        <f>_xlfn.IFNA($M434/VLOOKUP($BT434,'Unit information'!$A$2:$K$29,2,FALSE)*R434,0)*(1+$E$9)</f>
        <v>0</v>
      </c>
      <c r="AU434" s="107">
        <f>_xlfn.IFNA($M434/VLOOKUP($BT434,'Unit information'!$A$2:$K$29,3,FALSE)*S434,0)*(1+$E$9)</f>
        <v>0</v>
      </c>
      <c r="AV434" s="107">
        <f>_xlfn.IFNA($M434/VLOOKUP($BT434,'Unit information'!$A$2:$K$29,4,FALSE)*T434,0)*(1+$E$9)</f>
        <v>0</v>
      </c>
      <c r="AW434" s="107">
        <f>_xlfn.IFNA($M434/VLOOKUP($BT434,'Unit information'!$A$2:$K$29,5,FALSE)*U434,0)*(1+$E$9)</f>
        <v>0</v>
      </c>
      <c r="AX434" s="107">
        <f>_xlfn.IFNA($M434/VLOOKUP($BU434,'Unit information'!$A$2:$K$29,6,FALSE)*V434,0)*(1+$E$9)</f>
        <v>0</v>
      </c>
      <c r="AY434" s="107">
        <f>_xlfn.IFNA($M434/VLOOKUP($BU434,'Unit information'!$A$2:$K$29,7,FALSE)*W434,0)*(1+$E$9)</f>
        <v>0</v>
      </c>
      <c r="AZ434" s="107">
        <f>_xlfn.IFNA($M434/VLOOKUP($BU434,'Unit information'!$A$2:$K$29,8,FALSE)*X434,0)*(1+$E$9)</f>
        <v>0</v>
      </c>
      <c r="BA434" s="107">
        <f>_xlfn.IFNA($M434/VLOOKUP($BU434,'Unit information'!$A$2:$K$29,9,FALSE)*Y434,0)*(1+$E$9)</f>
        <v>0</v>
      </c>
      <c r="BB434" s="107">
        <f>_xlfn.IFNA($M434/VLOOKUP($BV434,'Unit information'!$A$2:$K$29,10,FALSE)*Z434,0)*(1+$E$9)</f>
        <v>0</v>
      </c>
      <c r="BC434" s="108">
        <f>_xlfn.IFNA($M434/VLOOKUP($BV434,'Unit information'!$A$2:$K$29,11,FALSE)*AA434,0)*(1+$E$9)</f>
        <v>0</v>
      </c>
      <c r="BD434" s="106">
        <f t="shared" si="569"/>
        <v>0</v>
      </c>
      <c r="BE434" s="107">
        <f t="shared" si="570"/>
        <v>0</v>
      </c>
      <c r="BF434" s="108">
        <f t="shared" si="571"/>
        <v>0</v>
      </c>
      <c r="BG434" s="25" t="e">
        <f t="shared" si="572"/>
        <v>#N/A</v>
      </c>
      <c r="BH434" s="25" t="e">
        <f t="shared" si="573"/>
        <v>#N/A</v>
      </c>
      <c r="BI434" s="25" t="e">
        <f t="shared" si="574"/>
        <v>#N/A</v>
      </c>
      <c r="BJ434" s="27" t="e">
        <f t="shared" si="575"/>
        <v>#N/A</v>
      </c>
      <c r="BK434" s="18" t="e">
        <f t="shared" si="576"/>
        <v>#N/A</v>
      </c>
      <c r="BL434" s="18" t="e">
        <f t="shared" si="577"/>
        <v>#N/A</v>
      </c>
      <c r="BM434" s="28" t="e">
        <f t="shared" si="622"/>
        <v>#N/A</v>
      </c>
      <c r="BN434" s="33">
        <f>HLOOKUP("maximum population",Miscelaneous!$C$1:$C$33,CH434+3,FALSE)</f>
        <v>240</v>
      </c>
      <c r="BO434" s="14">
        <f t="shared" si="589"/>
        <v>32</v>
      </c>
      <c r="BP434" s="14">
        <f t="shared" si="590"/>
        <v>0</v>
      </c>
      <c r="BQ434" s="14">
        <f t="shared" si="591"/>
        <v>208</v>
      </c>
      <c r="BR434" s="34" t="e">
        <f>HLOOKUP(J434,Villagers!$B$1:$V$33,L434+3,FALSE)-HLOOKUP(J434,Villagers!$B$1:$V$33,L434+2,FALSE)</f>
        <v>#N/A</v>
      </c>
      <c r="BS434" s="49">
        <f t="shared" si="592"/>
        <v>1</v>
      </c>
      <c r="BT434" s="50">
        <f t="shared" si="593"/>
        <v>0</v>
      </c>
      <c r="BU434" s="50">
        <f t="shared" si="594"/>
        <v>0</v>
      </c>
      <c r="BV434" s="50">
        <f t="shared" si="595"/>
        <v>0</v>
      </c>
      <c r="BW434" s="50">
        <f t="shared" si="641"/>
        <v>0</v>
      </c>
      <c r="BX434" s="50">
        <f t="shared" si="641"/>
        <v>0</v>
      </c>
      <c r="BY434" s="50">
        <f t="shared" si="641"/>
        <v>0</v>
      </c>
      <c r="BZ434" s="50">
        <f t="shared" si="623"/>
        <v>0</v>
      </c>
      <c r="CA434" s="50">
        <f t="shared" si="624"/>
        <v>0</v>
      </c>
      <c r="CB434" s="50">
        <f t="shared" si="625"/>
        <v>1</v>
      </c>
      <c r="CC434" s="50">
        <f t="shared" si="626"/>
        <v>0</v>
      </c>
      <c r="CD434" s="50">
        <f t="shared" si="627"/>
        <v>0</v>
      </c>
      <c r="CE434" s="50">
        <f t="shared" si="628"/>
        <v>1</v>
      </c>
      <c r="CF434" s="50">
        <f t="shared" si="629"/>
        <v>1</v>
      </c>
      <c r="CG434" s="50">
        <f t="shared" si="630"/>
        <v>1</v>
      </c>
      <c r="CH434" s="50">
        <f t="shared" si="631"/>
        <v>1</v>
      </c>
      <c r="CI434" s="50">
        <f t="shared" si="632"/>
        <v>1</v>
      </c>
      <c r="CJ434" s="50">
        <f t="shared" si="633"/>
        <v>1</v>
      </c>
      <c r="CK434" s="50">
        <f t="shared" si="633"/>
        <v>0</v>
      </c>
      <c r="CL434" s="50">
        <f t="shared" si="633"/>
        <v>0</v>
      </c>
      <c r="CM434" s="51">
        <f t="shared" si="634"/>
        <v>0</v>
      </c>
      <c r="CN434" s="33">
        <f>ROUND(IF(BS434=0,0,HLOOKUP(BS$14,Villagers!$B$1:$V$33,BS434+3,FALSE)),)</f>
        <v>5</v>
      </c>
      <c r="CO434" s="14">
        <f>ROUND(IF(BT434=0,0,HLOOKUP(BT$14,Villagers!$B$1:$V$33,BT434+3,FALSE)),)</f>
        <v>0</v>
      </c>
      <c r="CP434" s="14">
        <f>ROUND(IF(BU434=0,0,HLOOKUP(BU$14,Villagers!$B$1:$V$33,BU434+3,FALSE)),)</f>
        <v>0</v>
      </c>
      <c r="CQ434" s="14">
        <f>ROUND(IF(BV434=0,0,HLOOKUP(BV$14,Villagers!$B$1:$V$33,BV434+3,FALSE)),)</f>
        <v>0</v>
      </c>
      <c r="CR434" s="14">
        <f>ROUND(IF(BW434=0,0,HLOOKUP(BW$14,Villagers!$B$1:$V$33,BW434+3,FALSE)),)</f>
        <v>0</v>
      </c>
      <c r="CS434" s="14">
        <f>ROUND(IF(BX434=0,0,HLOOKUP(BX$14,Villagers!$B$1:$V$33,BX434+3,FALSE)),)</f>
        <v>0</v>
      </c>
      <c r="CT434" s="14">
        <f>ROUND(IF(BY434=0,0,HLOOKUP(BY$14,Villagers!$B$1:$V$33,BY434+3,FALSE)),)</f>
        <v>0</v>
      </c>
      <c r="CU434" s="14">
        <f>ROUND(IF(BZ434=0,0,HLOOKUP(BZ$14,Villagers!$B$1:$V$33,BZ434+3,FALSE)),)</f>
        <v>0</v>
      </c>
      <c r="CV434" s="14">
        <f>ROUND(IF(CA434=0,0,HLOOKUP(CA$14,Villagers!$B$1:$V$33,CA434+3,FALSE)),)</f>
        <v>0</v>
      </c>
      <c r="CW434" s="14">
        <f>ROUND(IF(CB434=0,0,HLOOKUP(CB$14,Villagers!$B$1:$V$33,CB434+3,FALSE)),)</f>
        <v>0</v>
      </c>
      <c r="CX434" s="14">
        <f>ROUND(IF(CC434=0,0,HLOOKUP(CC$14,Villagers!$B$1:$V$33,CC434+3,FALSE)),)</f>
        <v>0</v>
      </c>
      <c r="CY434" s="14">
        <f>ROUND(IF(CD434=0,0,HLOOKUP(CD$14,Villagers!$B$1:$V$33,CD434+3,FALSE)),)</f>
        <v>0</v>
      </c>
      <c r="CZ434" s="14">
        <f>ROUND(IF(CE434=0,0,HLOOKUP(CE$14,Villagers!$B$1:$V$33,CE434+3,FALSE)),)</f>
        <v>5</v>
      </c>
      <c r="DA434" s="14">
        <f>ROUND(IF(CF434=0,0,HLOOKUP(CF$14,Villagers!$B$1:$V$33,CF434+3,FALSE)),)</f>
        <v>10</v>
      </c>
      <c r="DB434" s="14">
        <f>ROUND(IF(CG434=0,0,HLOOKUP(CG$14,Villagers!$B$1:$V$33,CG434+3,FALSE)),)</f>
        <v>10</v>
      </c>
      <c r="DC434" s="14">
        <f>ROUND(IF(CH434=0,0,HLOOKUP(CH$14,Villagers!$B$1:$V$33,CH434+3,FALSE)),)</f>
        <v>0</v>
      </c>
      <c r="DD434" s="14">
        <f>ROUND(IF(CI434=0,0,HLOOKUP(CI$14,Villagers!$B$1:$V$33,CI434+3,FALSE)),)</f>
        <v>0</v>
      </c>
      <c r="DE434" s="14">
        <f>ROUND(IF(CJ434=0,0,HLOOKUP(CJ$14,Villagers!$B$1:$V$33,CJ434+3,FALSE)),)</f>
        <v>2</v>
      </c>
      <c r="DF434" s="370">
        <f>ROUND(IF(CK434=0,0,HLOOKUP(CK$14,Villagers!$B$1:$V$33,CK434+3,FALSE)),)</f>
        <v>0</v>
      </c>
      <c r="DG434" s="370">
        <f>ROUND(IF(CL434=0,0,HLOOKUP(CL$14,Villagers!$B$1:$V$33,CL434+3,FALSE)),)</f>
        <v>0</v>
      </c>
      <c r="DH434" s="34">
        <f>ROUND(IF(CM434=0,0,HLOOKUP(CM$14,Villagers!$B$1:$V$33,CM434+3,FALSE)),)</f>
        <v>0</v>
      </c>
      <c r="DI434" s="109">
        <f t="shared" si="611"/>
        <v>0</v>
      </c>
      <c r="DJ434" s="50">
        <f t="shared" si="612"/>
        <v>0</v>
      </c>
      <c r="DK434" s="50">
        <f t="shared" si="613"/>
        <v>0</v>
      </c>
      <c r="DL434" s="50">
        <f t="shared" si="614"/>
        <v>0</v>
      </c>
      <c r="DM434" s="50">
        <f t="shared" si="615"/>
        <v>0</v>
      </c>
      <c r="DN434" s="50">
        <f t="shared" si="616"/>
        <v>0</v>
      </c>
      <c r="DO434" s="50">
        <f t="shared" si="617"/>
        <v>0</v>
      </c>
      <c r="DP434" s="50">
        <f t="shared" si="618"/>
        <v>0</v>
      </c>
      <c r="DQ434" s="50">
        <f t="shared" si="596"/>
        <v>0</v>
      </c>
      <c r="DR434" s="50">
        <f t="shared" si="597"/>
        <v>0</v>
      </c>
      <c r="DS434" s="96">
        <f>Miscelaneous!$D$4*Miscelaneous!$D$2^($CI434-1)</f>
        <v>1000</v>
      </c>
      <c r="DT434" s="333">
        <f t="shared" si="579"/>
        <v>1</v>
      </c>
      <c r="DU434" s="81">
        <v>1</v>
      </c>
      <c r="DV434" s="79">
        <f t="shared" si="598"/>
        <v>0</v>
      </c>
      <c r="DW434" s="79">
        <f t="shared" si="599"/>
        <v>0</v>
      </c>
      <c r="DX434" s="79">
        <f t="shared" si="600"/>
        <v>0</v>
      </c>
      <c r="DY434" s="79">
        <v>1</v>
      </c>
      <c r="DZ434" s="79">
        <f t="shared" si="601"/>
        <v>0</v>
      </c>
      <c r="EA434" s="79">
        <f t="shared" si="602"/>
        <v>0</v>
      </c>
      <c r="EB434" s="79">
        <f t="shared" si="603"/>
        <v>0</v>
      </c>
      <c r="EC434" s="79">
        <f t="shared" si="604"/>
        <v>0</v>
      </c>
      <c r="ED434" s="79">
        <v>1</v>
      </c>
      <c r="EE434" s="79">
        <v>1</v>
      </c>
      <c r="EF434" s="79">
        <f t="shared" si="605"/>
        <v>0</v>
      </c>
      <c r="EG434" s="79">
        <v>1</v>
      </c>
      <c r="EH434" s="79">
        <v>1</v>
      </c>
      <c r="EI434" s="79">
        <v>1</v>
      </c>
      <c r="EJ434" s="79">
        <v>1</v>
      </c>
      <c r="EK434" s="79">
        <v>1</v>
      </c>
      <c r="EL434" s="79">
        <v>1</v>
      </c>
      <c r="EM434" s="143">
        <f t="shared" si="606"/>
        <v>0</v>
      </c>
      <c r="EN434" s="143">
        <f t="shared" si="607"/>
        <v>0</v>
      </c>
      <c r="EO434" s="82">
        <f t="shared" si="608"/>
        <v>0</v>
      </c>
    </row>
    <row r="435" spans="1:145" x14ac:dyDescent="0.25">
      <c r="A435">
        <v>421</v>
      </c>
      <c r="B435" s="172" t="e">
        <f t="shared" si="580"/>
        <v>#N/A</v>
      </c>
      <c r="C435" s="121" t="e">
        <f t="shared" si="558"/>
        <v>#N/A</v>
      </c>
      <c r="D435" s="122" t="e">
        <f t="shared" si="559"/>
        <v>#N/A</v>
      </c>
      <c r="E435" s="122" t="e">
        <f t="shared" si="560"/>
        <v>#N/A</v>
      </c>
      <c r="F435" s="176" t="e">
        <f t="shared" si="561"/>
        <v>#N/A</v>
      </c>
      <c r="G435" s="121">
        <f t="shared" si="581"/>
        <v>208</v>
      </c>
      <c r="H435" s="176" t="e">
        <f t="shared" si="582"/>
        <v>#N/A</v>
      </c>
      <c r="I435" s="48">
        <v>1</v>
      </c>
      <c r="J435" s="39"/>
      <c r="K435" s="350">
        <v>1</v>
      </c>
      <c r="L435" s="34" t="e">
        <f t="shared" si="562"/>
        <v>#N/A</v>
      </c>
      <c r="M435" s="38" t="e">
        <f>(HLOOKUP(J435,'Construction Times'!$B$3:$W$34,L435+2,FALSE)*HLOOKUP("hq modifier",'Construction Times'!$W$3:$W$34,BS435+2,FALSE))*(1-$H$9)</f>
        <v>#N/A</v>
      </c>
      <c r="N435" s="443" t="e">
        <f t="shared" si="583"/>
        <v>#N/A</v>
      </c>
      <c r="O435" s="444"/>
      <c r="P435" s="447" t="e">
        <f t="shared" si="584"/>
        <v>#N/A</v>
      </c>
      <c r="Q435" s="448"/>
      <c r="R435" s="103">
        <f t="shared" si="642"/>
        <v>0</v>
      </c>
      <c r="S435" s="104">
        <f t="shared" si="642"/>
        <v>0</v>
      </c>
      <c r="T435" s="104">
        <f t="shared" si="643"/>
        <v>0</v>
      </c>
      <c r="U435" s="104">
        <f t="shared" si="643"/>
        <v>0</v>
      </c>
      <c r="V435" s="104">
        <f t="shared" si="643"/>
        <v>9.9999999999999995E-8</v>
      </c>
      <c r="W435" s="104">
        <f t="shared" si="643"/>
        <v>0</v>
      </c>
      <c r="X435" s="104">
        <f t="shared" si="639"/>
        <v>0</v>
      </c>
      <c r="Y435" s="104">
        <f t="shared" si="639"/>
        <v>9.9999999999999995E-8</v>
      </c>
      <c r="Z435" s="104">
        <f t="shared" si="639"/>
        <v>9.9999999999999995E-8</v>
      </c>
      <c r="AA435" s="105">
        <f t="shared" si="639"/>
        <v>9.9999999999999995E-8</v>
      </c>
      <c r="AB435" s="101" t="e">
        <f>$DT435*HLOOKUP($J435,'Construction Costs (timber)'!$B$1:$V$32,'Construction Planner'!$L435+2,FALSE)</f>
        <v>#N/A</v>
      </c>
      <c r="AC435" s="14" t="e">
        <f>$DT435*HLOOKUP($J435,'Construction Costs (clay)'!$B$1:$V$32,'Construction Planner'!$L435+2,FALSE)</f>
        <v>#N/A</v>
      </c>
      <c r="AD435" s="14" t="e">
        <f>$DT435*HLOOKUP($J435,'Construction Costs (iron)'!$B$1:$V$32,'Construction Planner'!$L435+2,FALSE)</f>
        <v>#N/A</v>
      </c>
      <c r="AE435" s="34" t="e">
        <f t="shared" si="619"/>
        <v>#N/A</v>
      </c>
      <c r="AF435" s="33" t="e">
        <f t="shared" si="563"/>
        <v>#N/A</v>
      </c>
      <c r="AG435" s="14" t="e">
        <f t="shared" si="564"/>
        <v>#N/A</v>
      </c>
      <c r="AH435" s="14" t="e">
        <f t="shared" si="565"/>
        <v>#N/A</v>
      </c>
      <c r="AI435" s="34" t="e">
        <f t="shared" si="620"/>
        <v>#N/A</v>
      </c>
      <c r="AJ435" s="49" t="e">
        <f t="shared" si="585"/>
        <v>#N/A</v>
      </c>
      <c r="AK435" s="49" t="e">
        <f t="shared" si="586"/>
        <v>#N/A</v>
      </c>
      <c r="AL435" s="49" t="e">
        <f t="shared" si="587"/>
        <v>#N/A</v>
      </c>
      <c r="AM435" s="25">
        <f t="shared" si="566"/>
        <v>30</v>
      </c>
      <c r="AN435" s="25">
        <f t="shared" si="567"/>
        <v>30</v>
      </c>
      <c r="AO435" s="25">
        <f t="shared" si="568"/>
        <v>30</v>
      </c>
      <c r="AP435" s="52" t="e">
        <f t="shared" si="640"/>
        <v>#N/A</v>
      </c>
      <c r="AQ435" s="53" t="e">
        <f t="shared" si="640"/>
        <v>#N/A</v>
      </c>
      <c r="AR435" s="54" t="e">
        <f t="shared" si="640"/>
        <v>#N/A</v>
      </c>
      <c r="AS435" s="316">
        <f t="shared" si="636"/>
        <v>0</v>
      </c>
      <c r="AT435" s="106">
        <f>_xlfn.IFNA($M435/VLOOKUP($BT435,'Unit information'!$A$2:$K$29,2,FALSE)*R435,0)*(1+$E$9)</f>
        <v>0</v>
      </c>
      <c r="AU435" s="107">
        <f>_xlfn.IFNA($M435/VLOOKUP($BT435,'Unit information'!$A$2:$K$29,3,FALSE)*S435,0)*(1+$E$9)</f>
        <v>0</v>
      </c>
      <c r="AV435" s="107">
        <f>_xlfn.IFNA($M435/VLOOKUP($BT435,'Unit information'!$A$2:$K$29,4,FALSE)*T435,0)*(1+$E$9)</f>
        <v>0</v>
      </c>
      <c r="AW435" s="107">
        <f>_xlfn.IFNA($M435/VLOOKUP($BT435,'Unit information'!$A$2:$K$29,5,FALSE)*U435,0)*(1+$E$9)</f>
        <v>0</v>
      </c>
      <c r="AX435" s="107">
        <f>_xlfn.IFNA($M435/VLOOKUP($BU435,'Unit information'!$A$2:$K$29,6,FALSE)*V435,0)*(1+$E$9)</f>
        <v>0</v>
      </c>
      <c r="AY435" s="107">
        <f>_xlfn.IFNA($M435/VLOOKUP($BU435,'Unit information'!$A$2:$K$29,7,FALSE)*W435,0)*(1+$E$9)</f>
        <v>0</v>
      </c>
      <c r="AZ435" s="107">
        <f>_xlfn.IFNA($M435/VLOOKUP($BU435,'Unit information'!$A$2:$K$29,8,FALSE)*X435,0)*(1+$E$9)</f>
        <v>0</v>
      </c>
      <c r="BA435" s="107">
        <f>_xlfn.IFNA($M435/VLOOKUP($BU435,'Unit information'!$A$2:$K$29,9,FALSE)*Y435,0)*(1+$E$9)</f>
        <v>0</v>
      </c>
      <c r="BB435" s="107">
        <f>_xlfn.IFNA($M435/VLOOKUP($BV435,'Unit information'!$A$2:$K$29,10,FALSE)*Z435,0)*(1+$E$9)</f>
        <v>0</v>
      </c>
      <c r="BC435" s="108">
        <f>_xlfn.IFNA($M435/VLOOKUP($BV435,'Unit information'!$A$2:$K$29,11,FALSE)*AA435,0)*(1+$E$9)</f>
        <v>0</v>
      </c>
      <c r="BD435" s="106">
        <f t="shared" si="569"/>
        <v>0</v>
      </c>
      <c r="BE435" s="107">
        <f t="shared" si="570"/>
        <v>0</v>
      </c>
      <c r="BF435" s="108">
        <f t="shared" si="571"/>
        <v>0</v>
      </c>
      <c r="BG435" s="25" t="e">
        <f t="shared" si="572"/>
        <v>#N/A</v>
      </c>
      <c r="BH435" s="25" t="e">
        <f t="shared" si="573"/>
        <v>#N/A</v>
      </c>
      <c r="BI435" s="25" t="e">
        <f t="shared" si="574"/>
        <v>#N/A</v>
      </c>
      <c r="BJ435" s="27" t="e">
        <f t="shared" si="575"/>
        <v>#N/A</v>
      </c>
      <c r="BK435" s="18" t="e">
        <f t="shared" si="576"/>
        <v>#N/A</v>
      </c>
      <c r="BL435" s="18" t="e">
        <f t="shared" si="577"/>
        <v>#N/A</v>
      </c>
      <c r="BM435" s="28" t="e">
        <f t="shared" si="622"/>
        <v>#N/A</v>
      </c>
      <c r="BN435" s="33">
        <f>HLOOKUP("maximum population",Miscelaneous!$C$1:$C$33,CH435+3,FALSE)</f>
        <v>240</v>
      </c>
      <c r="BO435" s="14">
        <f t="shared" si="589"/>
        <v>32</v>
      </c>
      <c r="BP435" s="14">
        <f t="shared" si="590"/>
        <v>0</v>
      </c>
      <c r="BQ435" s="14">
        <f t="shared" si="591"/>
        <v>208</v>
      </c>
      <c r="BR435" s="34" t="e">
        <f>HLOOKUP(J435,Villagers!$B$1:$V$33,L435+3,FALSE)-HLOOKUP(J435,Villagers!$B$1:$V$33,L435+2,FALSE)</f>
        <v>#N/A</v>
      </c>
      <c r="BS435" s="49">
        <f t="shared" si="592"/>
        <v>1</v>
      </c>
      <c r="BT435" s="50">
        <f t="shared" si="593"/>
        <v>0</v>
      </c>
      <c r="BU435" s="50">
        <f t="shared" si="594"/>
        <v>0</v>
      </c>
      <c r="BV435" s="50">
        <f t="shared" si="595"/>
        <v>0</v>
      </c>
      <c r="BW435" s="50">
        <f t="shared" si="641"/>
        <v>0</v>
      </c>
      <c r="BX435" s="50">
        <f t="shared" si="641"/>
        <v>0</v>
      </c>
      <c r="BY435" s="50">
        <f t="shared" si="641"/>
        <v>0</v>
      </c>
      <c r="BZ435" s="50">
        <f t="shared" si="623"/>
        <v>0</v>
      </c>
      <c r="CA435" s="50">
        <f t="shared" si="624"/>
        <v>0</v>
      </c>
      <c r="CB435" s="50">
        <f t="shared" si="625"/>
        <v>1</v>
      </c>
      <c r="CC435" s="50">
        <f t="shared" si="626"/>
        <v>0</v>
      </c>
      <c r="CD435" s="50">
        <f t="shared" si="627"/>
        <v>0</v>
      </c>
      <c r="CE435" s="50">
        <f t="shared" si="628"/>
        <v>1</v>
      </c>
      <c r="CF435" s="50">
        <f t="shared" si="629"/>
        <v>1</v>
      </c>
      <c r="CG435" s="50">
        <f t="shared" si="630"/>
        <v>1</v>
      </c>
      <c r="CH435" s="50">
        <f t="shared" si="631"/>
        <v>1</v>
      </c>
      <c r="CI435" s="50">
        <f t="shared" si="632"/>
        <v>1</v>
      </c>
      <c r="CJ435" s="50">
        <f t="shared" si="633"/>
        <v>1</v>
      </c>
      <c r="CK435" s="50">
        <f t="shared" si="633"/>
        <v>0</v>
      </c>
      <c r="CL435" s="50">
        <f t="shared" si="633"/>
        <v>0</v>
      </c>
      <c r="CM435" s="51">
        <f t="shared" si="634"/>
        <v>0</v>
      </c>
      <c r="CN435" s="33">
        <f>ROUND(IF(BS435=0,0,HLOOKUP(BS$14,Villagers!$B$1:$V$33,BS435+3,FALSE)),)</f>
        <v>5</v>
      </c>
      <c r="CO435" s="14">
        <f>ROUND(IF(BT435=0,0,HLOOKUP(BT$14,Villagers!$B$1:$V$33,BT435+3,FALSE)),)</f>
        <v>0</v>
      </c>
      <c r="CP435" s="14">
        <f>ROUND(IF(BU435=0,0,HLOOKUP(BU$14,Villagers!$B$1:$V$33,BU435+3,FALSE)),)</f>
        <v>0</v>
      </c>
      <c r="CQ435" s="14">
        <f>ROUND(IF(BV435=0,0,HLOOKUP(BV$14,Villagers!$B$1:$V$33,BV435+3,FALSE)),)</f>
        <v>0</v>
      </c>
      <c r="CR435" s="14">
        <f>ROUND(IF(BW435=0,0,HLOOKUP(BW$14,Villagers!$B$1:$V$33,BW435+3,FALSE)),)</f>
        <v>0</v>
      </c>
      <c r="CS435" s="14">
        <f>ROUND(IF(BX435=0,0,HLOOKUP(BX$14,Villagers!$B$1:$V$33,BX435+3,FALSE)),)</f>
        <v>0</v>
      </c>
      <c r="CT435" s="14">
        <f>ROUND(IF(BY435=0,0,HLOOKUP(BY$14,Villagers!$B$1:$V$33,BY435+3,FALSE)),)</f>
        <v>0</v>
      </c>
      <c r="CU435" s="14">
        <f>ROUND(IF(BZ435=0,0,HLOOKUP(BZ$14,Villagers!$B$1:$V$33,BZ435+3,FALSE)),)</f>
        <v>0</v>
      </c>
      <c r="CV435" s="14">
        <f>ROUND(IF(CA435=0,0,HLOOKUP(CA$14,Villagers!$B$1:$V$33,CA435+3,FALSE)),)</f>
        <v>0</v>
      </c>
      <c r="CW435" s="14">
        <f>ROUND(IF(CB435=0,0,HLOOKUP(CB$14,Villagers!$B$1:$V$33,CB435+3,FALSE)),)</f>
        <v>0</v>
      </c>
      <c r="CX435" s="14">
        <f>ROUND(IF(CC435=0,0,HLOOKUP(CC$14,Villagers!$B$1:$V$33,CC435+3,FALSE)),)</f>
        <v>0</v>
      </c>
      <c r="CY435" s="14">
        <f>ROUND(IF(CD435=0,0,HLOOKUP(CD$14,Villagers!$B$1:$V$33,CD435+3,FALSE)),)</f>
        <v>0</v>
      </c>
      <c r="CZ435" s="14">
        <f>ROUND(IF(CE435=0,0,HLOOKUP(CE$14,Villagers!$B$1:$V$33,CE435+3,FALSE)),)</f>
        <v>5</v>
      </c>
      <c r="DA435" s="14">
        <f>ROUND(IF(CF435=0,0,HLOOKUP(CF$14,Villagers!$B$1:$V$33,CF435+3,FALSE)),)</f>
        <v>10</v>
      </c>
      <c r="DB435" s="14">
        <f>ROUND(IF(CG435=0,0,HLOOKUP(CG$14,Villagers!$B$1:$V$33,CG435+3,FALSE)),)</f>
        <v>10</v>
      </c>
      <c r="DC435" s="14">
        <f>ROUND(IF(CH435=0,0,HLOOKUP(CH$14,Villagers!$B$1:$V$33,CH435+3,FALSE)),)</f>
        <v>0</v>
      </c>
      <c r="DD435" s="14">
        <f>ROUND(IF(CI435=0,0,HLOOKUP(CI$14,Villagers!$B$1:$V$33,CI435+3,FALSE)),)</f>
        <v>0</v>
      </c>
      <c r="DE435" s="14">
        <f>ROUND(IF(CJ435=0,0,HLOOKUP(CJ$14,Villagers!$B$1:$V$33,CJ435+3,FALSE)),)</f>
        <v>2</v>
      </c>
      <c r="DF435" s="370">
        <f>ROUND(IF(CK435=0,0,HLOOKUP(CK$14,Villagers!$B$1:$V$33,CK435+3,FALSE)),)</f>
        <v>0</v>
      </c>
      <c r="DG435" s="370">
        <f>ROUND(IF(CL435=0,0,HLOOKUP(CL$14,Villagers!$B$1:$V$33,CL435+3,FALSE)),)</f>
        <v>0</v>
      </c>
      <c r="DH435" s="34">
        <f>ROUND(IF(CM435=0,0,HLOOKUP(CM$14,Villagers!$B$1:$V$33,CM435+3,FALSE)),)</f>
        <v>0</v>
      </c>
      <c r="DI435" s="109">
        <f t="shared" si="611"/>
        <v>0</v>
      </c>
      <c r="DJ435" s="50">
        <f t="shared" si="612"/>
        <v>0</v>
      </c>
      <c r="DK435" s="50">
        <f t="shared" si="613"/>
        <v>0</v>
      </c>
      <c r="DL435" s="50">
        <f t="shared" si="614"/>
        <v>0</v>
      </c>
      <c r="DM435" s="50">
        <f t="shared" si="615"/>
        <v>0</v>
      </c>
      <c r="DN435" s="50">
        <f t="shared" si="616"/>
        <v>0</v>
      </c>
      <c r="DO435" s="50">
        <f t="shared" si="617"/>
        <v>0</v>
      </c>
      <c r="DP435" s="50">
        <f t="shared" si="618"/>
        <v>0</v>
      </c>
      <c r="DQ435" s="50">
        <f t="shared" si="596"/>
        <v>0</v>
      </c>
      <c r="DR435" s="50">
        <f t="shared" si="597"/>
        <v>0</v>
      </c>
      <c r="DS435" s="96">
        <f>Miscelaneous!$D$4*Miscelaneous!$D$2^($CI435-1)</f>
        <v>1000</v>
      </c>
      <c r="DT435" s="333">
        <f t="shared" si="579"/>
        <v>1</v>
      </c>
      <c r="DU435" s="81">
        <v>1</v>
      </c>
      <c r="DV435" s="79">
        <f t="shared" si="598"/>
        <v>0</v>
      </c>
      <c r="DW435" s="79">
        <f t="shared" si="599"/>
        <v>0</v>
      </c>
      <c r="DX435" s="79">
        <f t="shared" si="600"/>
        <v>0</v>
      </c>
      <c r="DY435" s="79">
        <v>1</v>
      </c>
      <c r="DZ435" s="79">
        <f t="shared" si="601"/>
        <v>0</v>
      </c>
      <c r="EA435" s="79">
        <f t="shared" si="602"/>
        <v>0</v>
      </c>
      <c r="EB435" s="79">
        <f t="shared" si="603"/>
        <v>0</v>
      </c>
      <c r="EC435" s="79">
        <f t="shared" si="604"/>
        <v>0</v>
      </c>
      <c r="ED435" s="79">
        <v>1</v>
      </c>
      <c r="EE435" s="79">
        <v>1</v>
      </c>
      <c r="EF435" s="79">
        <f t="shared" si="605"/>
        <v>0</v>
      </c>
      <c r="EG435" s="79">
        <v>1</v>
      </c>
      <c r="EH435" s="79">
        <v>1</v>
      </c>
      <c r="EI435" s="79">
        <v>1</v>
      </c>
      <c r="EJ435" s="79">
        <v>1</v>
      </c>
      <c r="EK435" s="79">
        <v>1</v>
      </c>
      <c r="EL435" s="79">
        <v>1</v>
      </c>
      <c r="EM435" s="143">
        <f t="shared" si="606"/>
        <v>0</v>
      </c>
      <c r="EN435" s="143">
        <f t="shared" si="607"/>
        <v>0</v>
      </c>
      <c r="EO435" s="82">
        <f t="shared" si="608"/>
        <v>0</v>
      </c>
    </row>
    <row r="436" spans="1:145" x14ac:dyDescent="0.25">
      <c r="A436">
        <v>422</v>
      </c>
      <c r="B436" s="172" t="e">
        <f t="shared" si="580"/>
        <v>#N/A</v>
      </c>
      <c r="C436" s="121" t="e">
        <f t="shared" si="558"/>
        <v>#N/A</v>
      </c>
      <c r="D436" s="122" t="e">
        <f t="shared" si="559"/>
        <v>#N/A</v>
      </c>
      <c r="E436" s="122" t="e">
        <f t="shared" si="560"/>
        <v>#N/A</v>
      </c>
      <c r="F436" s="176" t="e">
        <f t="shared" si="561"/>
        <v>#N/A</v>
      </c>
      <c r="G436" s="121">
        <f t="shared" si="581"/>
        <v>208</v>
      </c>
      <c r="H436" s="176" t="e">
        <f t="shared" si="582"/>
        <v>#N/A</v>
      </c>
      <c r="I436" s="48">
        <v>1</v>
      </c>
      <c r="J436" s="39"/>
      <c r="K436" s="350">
        <v>1</v>
      </c>
      <c r="L436" s="34" t="e">
        <f t="shared" si="562"/>
        <v>#N/A</v>
      </c>
      <c r="M436" s="38" t="e">
        <f>(HLOOKUP(J436,'Construction Times'!$B$3:$W$34,L436+2,FALSE)*HLOOKUP("hq modifier",'Construction Times'!$W$3:$W$34,BS436+2,FALSE))*(1-$H$9)</f>
        <v>#N/A</v>
      </c>
      <c r="N436" s="443" t="e">
        <f t="shared" si="583"/>
        <v>#N/A</v>
      </c>
      <c r="O436" s="444"/>
      <c r="P436" s="447" t="e">
        <f t="shared" si="584"/>
        <v>#N/A</v>
      </c>
      <c r="Q436" s="448"/>
      <c r="R436" s="103">
        <f t="shared" si="642"/>
        <v>0</v>
      </c>
      <c r="S436" s="104">
        <f t="shared" si="642"/>
        <v>0</v>
      </c>
      <c r="T436" s="104">
        <f t="shared" si="643"/>
        <v>0</v>
      </c>
      <c r="U436" s="104">
        <f t="shared" si="643"/>
        <v>0</v>
      </c>
      <c r="V436" s="104">
        <f t="shared" si="643"/>
        <v>9.9999999999999995E-8</v>
      </c>
      <c r="W436" s="104">
        <f t="shared" si="643"/>
        <v>0</v>
      </c>
      <c r="X436" s="104">
        <f t="shared" si="639"/>
        <v>0</v>
      </c>
      <c r="Y436" s="104">
        <f t="shared" si="639"/>
        <v>9.9999999999999995E-8</v>
      </c>
      <c r="Z436" s="104">
        <f t="shared" si="639"/>
        <v>9.9999999999999995E-8</v>
      </c>
      <c r="AA436" s="105">
        <f t="shared" si="639"/>
        <v>9.9999999999999995E-8</v>
      </c>
      <c r="AB436" s="101" t="e">
        <f>$DT436*HLOOKUP($J436,'Construction Costs (timber)'!$B$1:$V$32,'Construction Planner'!$L436+2,FALSE)</f>
        <v>#N/A</v>
      </c>
      <c r="AC436" s="14" t="e">
        <f>$DT436*HLOOKUP($J436,'Construction Costs (clay)'!$B$1:$V$32,'Construction Planner'!$L436+2,FALSE)</f>
        <v>#N/A</v>
      </c>
      <c r="AD436" s="14" t="e">
        <f>$DT436*HLOOKUP($J436,'Construction Costs (iron)'!$B$1:$V$32,'Construction Planner'!$L436+2,FALSE)</f>
        <v>#N/A</v>
      </c>
      <c r="AE436" s="34" t="e">
        <f t="shared" si="619"/>
        <v>#N/A</v>
      </c>
      <c r="AF436" s="33" t="e">
        <f t="shared" si="563"/>
        <v>#N/A</v>
      </c>
      <c r="AG436" s="14" t="e">
        <f t="shared" si="564"/>
        <v>#N/A</v>
      </c>
      <c r="AH436" s="14" t="e">
        <f t="shared" si="565"/>
        <v>#N/A</v>
      </c>
      <c r="AI436" s="34" t="e">
        <f t="shared" si="620"/>
        <v>#N/A</v>
      </c>
      <c r="AJ436" s="49" t="e">
        <f t="shared" si="585"/>
        <v>#N/A</v>
      </c>
      <c r="AK436" s="49" t="e">
        <f t="shared" si="586"/>
        <v>#N/A</v>
      </c>
      <c r="AL436" s="49" t="e">
        <f t="shared" si="587"/>
        <v>#N/A</v>
      </c>
      <c r="AM436" s="25">
        <f t="shared" si="566"/>
        <v>30</v>
      </c>
      <c r="AN436" s="25">
        <f t="shared" si="567"/>
        <v>30</v>
      </c>
      <c r="AO436" s="25">
        <f t="shared" si="568"/>
        <v>30</v>
      </c>
      <c r="AP436" s="52" t="e">
        <f t="shared" si="640"/>
        <v>#N/A</v>
      </c>
      <c r="AQ436" s="53" t="e">
        <f t="shared" si="640"/>
        <v>#N/A</v>
      </c>
      <c r="AR436" s="54" t="e">
        <f t="shared" si="640"/>
        <v>#N/A</v>
      </c>
      <c r="AS436" s="316">
        <f t="shared" ref="AS436:AS451" si="644">AS435</f>
        <v>0</v>
      </c>
      <c r="AT436" s="106">
        <f>_xlfn.IFNA($M436/VLOOKUP($BT436,'Unit information'!$A$2:$K$29,2,FALSE)*R436,0)*(1+$E$9)</f>
        <v>0</v>
      </c>
      <c r="AU436" s="107">
        <f>_xlfn.IFNA($M436/VLOOKUP($BT436,'Unit information'!$A$2:$K$29,3,FALSE)*S436,0)*(1+$E$9)</f>
        <v>0</v>
      </c>
      <c r="AV436" s="107">
        <f>_xlfn.IFNA($M436/VLOOKUP($BT436,'Unit information'!$A$2:$K$29,4,FALSE)*T436,0)*(1+$E$9)</f>
        <v>0</v>
      </c>
      <c r="AW436" s="107">
        <f>_xlfn.IFNA($M436/VLOOKUP($BT436,'Unit information'!$A$2:$K$29,5,FALSE)*U436,0)*(1+$E$9)</f>
        <v>0</v>
      </c>
      <c r="AX436" s="107">
        <f>_xlfn.IFNA($M436/VLOOKUP($BU436,'Unit information'!$A$2:$K$29,6,FALSE)*V436,0)*(1+$E$9)</f>
        <v>0</v>
      </c>
      <c r="AY436" s="107">
        <f>_xlfn.IFNA($M436/VLOOKUP($BU436,'Unit information'!$A$2:$K$29,7,FALSE)*W436,0)*(1+$E$9)</f>
        <v>0</v>
      </c>
      <c r="AZ436" s="107">
        <f>_xlfn.IFNA($M436/VLOOKUP($BU436,'Unit information'!$A$2:$K$29,8,FALSE)*X436,0)*(1+$E$9)</f>
        <v>0</v>
      </c>
      <c r="BA436" s="107">
        <f>_xlfn.IFNA($M436/VLOOKUP($BU436,'Unit information'!$A$2:$K$29,9,FALSE)*Y436,0)*(1+$E$9)</f>
        <v>0</v>
      </c>
      <c r="BB436" s="107">
        <f>_xlfn.IFNA($M436/VLOOKUP($BV436,'Unit information'!$A$2:$K$29,10,FALSE)*Z436,0)*(1+$E$9)</f>
        <v>0</v>
      </c>
      <c r="BC436" s="108">
        <f>_xlfn.IFNA($M436/VLOOKUP($BV436,'Unit information'!$A$2:$K$29,11,FALSE)*AA436,0)*(1+$E$9)</f>
        <v>0</v>
      </c>
      <c r="BD436" s="106">
        <f t="shared" si="569"/>
        <v>0</v>
      </c>
      <c r="BE436" s="107">
        <f t="shared" si="570"/>
        <v>0</v>
      </c>
      <c r="BF436" s="108">
        <f t="shared" si="571"/>
        <v>0</v>
      </c>
      <c r="BG436" s="25" t="e">
        <f t="shared" si="572"/>
        <v>#N/A</v>
      </c>
      <c r="BH436" s="25" t="e">
        <f t="shared" si="573"/>
        <v>#N/A</v>
      </c>
      <c r="BI436" s="25" t="e">
        <f t="shared" si="574"/>
        <v>#N/A</v>
      </c>
      <c r="BJ436" s="27" t="e">
        <f t="shared" si="575"/>
        <v>#N/A</v>
      </c>
      <c r="BK436" s="18" t="e">
        <f t="shared" si="576"/>
        <v>#N/A</v>
      </c>
      <c r="BL436" s="18" t="e">
        <f t="shared" si="577"/>
        <v>#N/A</v>
      </c>
      <c r="BM436" s="28" t="e">
        <f t="shared" si="622"/>
        <v>#N/A</v>
      </c>
      <c r="BN436" s="33">
        <f>HLOOKUP("maximum population",Miscelaneous!$C$1:$C$33,CH436+3,FALSE)</f>
        <v>240</v>
      </c>
      <c r="BO436" s="14">
        <f t="shared" si="589"/>
        <v>32</v>
      </c>
      <c r="BP436" s="14">
        <f t="shared" si="590"/>
        <v>0</v>
      </c>
      <c r="BQ436" s="14">
        <f t="shared" si="591"/>
        <v>208</v>
      </c>
      <c r="BR436" s="34" t="e">
        <f>HLOOKUP(J436,Villagers!$B$1:$V$33,L436+3,FALSE)-HLOOKUP(J436,Villagers!$B$1:$V$33,L436+2,FALSE)</f>
        <v>#N/A</v>
      </c>
      <c r="BS436" s="49">
        <f t="shared" si="592"/>
        <v>1</v>
      </c>
      <c r="BT436" s="50">
        <f t="shared" si="593"/>
        <v>0</v>
      </c>
      <c r="BU436" s="50">
        <f t="shared" si="594"/>
        <v>0</v>
      </c>
      <c r="BV436" s="50">
        <f t="shared" si="595"/>
        <v>0</v>
      </c>
      <c r="BW436" s="50">
        <f t="shared" si="641"/>
        <v>0</v>
      </c>
      <c r="BX436" s="50">
        <f t="shared" si="641"/>
        <v>0</v>
      </c>
      <c r="BY436" s="50">
        <f t="shared" si="641"/>
        <v>0</v>
      </c>
      <c r="BZ436" s="50">
        <f t="shared" si="623"/>
        <v>0</v>
      </c>
      <c r="CA436" s="50">
        <f t="shared" si="624"/>
        <v>0</v>
      </c>
      <c r="CB436" s="50">
        <f t="shared" si="625"/>
        <v>1</v>
      </c>
      <c r="CC436" s="50">
        <f t="shared" si="626"/>
        <v>0</v>
      </c>
      <c r="CD436" s="50">
        <f t="shared" si="627"/>
        <v>0</v>
      </c>
      <c r="CE436" s="50">
        <f t="shared" si="628"/>
        <v>1</v>
      </c>
      <c r="CF436" s="50">
        <f t="shared" si="629"/>
        <v>1</v>
      </c>
      <c r="CG436" s="50">
        <f t="shared" si="630"/>
        <v>1</v>
      </c>
      <c r="CH436" s="50">
        <f t="shared" si="631"/>
        <v>1</v>
      </c>
      <c r="CI436" s="50">
        <f t="shared" si="632"/>
        <v>1</v>
      </c>
      <c r="CJ436" s="50">
        <f t="shared" si="633"/>
        <v>1</v>
      </c>
      <c r="CK436" s="50">
        <f t="shared" si="633"/>
        <v>0</v>
      </c>
      <c r="CL436" s="50">
        <f t="shared" si="633"/>
        <v>0</v>
      </c>
      <c r="CM436" s="51">
        <f t="shared" si="634"/>
        <v>0</v>
      </c>
      <c r="CN436" s="33">
        <f>ROUND(IF(BS436=0,0,HLOOKUP(BS$14,Villagers!$B$1:$V$33,BS436+3,FALSE)),)</f>
        <v>5</v>
      </c>
      <c r="CO436" s="14">
        <f>ROUND(IF(BT436=0,0,HLOOKUP(BT$14,Villagers!$B$1:$V$33,BT436+3,FALSE)),)</f>
        <v>0</v>
      </c>
      <c r="CP436" s="14">
        <f>ROUND(IF(BU436=0,0,HLOOKUP(BU$14,Villagers!$B$1:$V$33,BU436+3,FALSE)),)</f>
        <v>0</v>
      </c>
      <c r="CQ436" s="14">
        <f>ROUND(IF(BV436=0,0,HLOOKUP(BV$14,Villagers!$B$1:$V$33,BV436+3,FALSE)),)</f>
        <v>0</v>
      </c>
      <c r="CR436" s="14">
        <f>ROUND(IF(BW436=0,0,HLOOKUP(BW$14,Villagers!$B$1:$V$33,BW436+3,FALSE)),)</f>
        <v>0</v>
      </c>
      <c r="CS436" s="14">
        <f>ROUND(IF(BX436=0,0,HLOOKUP(BX$14,Villagers!$B$1:$V$33,BX436+3,FALSE)),)</f>
        <v>0</v>
      </c>
      <c r="CT436" s="14">
        <f>ROUND(IF(BY436=0,0,HLOOKUP(BY$14,Villagers!$B$1:$V$33,BY436+3,FALSE)),)</f>
        <v>0</v>
      </c>
      <c r="CU436" s="14">
        <f>ROUND(IF(BZ436=0,0,HLOOKUP(BZ$14,Villagers!$B$1:$V$33,BZ436+3,FALSE)),)</f>
        <v>0</v>
      </c>
      <c r="CV436" s="14">
        <f>ROUND(IF(CA436=0,0,HLOOKUP(CA$14,Villagers!$B$1:$V$33,CA436+3,FALSE)),)</f>
        <v>0</v>
      </c>
      <c r="CW436" s="14">
        <f>ROUND(IF(CB436=0,0,HLOOKUP(CB$14,Villagers!$B$1:$V$33,CB436+3,FALSE)),)</f>
        <v>0</v>
      </c>
      <c r="CX436" s="14">
        <f>ROUND(IF(CC436=0,0,HLOOKUP(CC$14,Villagers!$B$1:$V$33,CC436+3,FALSE)),)</f>
        <v>0</v>
      </c>
      <c r="CY436" s="14">
        <f>ROUND(IF(CD436=0,0,HLOOKUP(CD$14,Villagers!$B$1:$V$33,CD436+3,FALSE)),)</f>
        <v>0</v>
      </c>
      <c r="CZ436" s="14">
        <f>ROUND(IF(CE436=0,0,HLOOKUP(CE$14,Villagers!$B$1:$V$33,CE436+3,FALSE)),)</f>
        <v>5</v>
      </c>
      <c r="DA436" s="14">
        <f>ROUND(IF(CF436=0,0,HLOOKUP(CF$14,Villagers!$B$1:$V$33,CF436+3,FALSE)),)</f>
        <v>10</v>
      </c>
      <c r="DB436" s="14">
        <f>ROUND(IF(CG436=0,0,HLOOKUP(CG$14,Villagers!$B$1:$V$33,CG436+3,FALSE)),)</f>
        <v>10</v>
      </c>
      <c r="DC436" s="14">
        <f>ROUND(IF(CH436=0,0,HLOOKUP(CH$14,Villagers!$B$1:$V$33,CH436+3,FALSE)),)</f>
        <v>0</v>
      </c>
      <c r="DD436" s="14">
        <f>ROUND(IF(CI436=0,0,HLOOKUP(CI$14,Villagers!$B$1:$V$33,CI436+3,FALSE)),)</f>
        <v>0</v>
      </c>
      <c r="DE436" s="14">
        <f>ROUND(IF(CJ436=0,0,HLOOKUP(CJ$14,Villagers!$B$1:$V$33,CJ436+3,FALSE)),)</f>
        <v>2</v>
      </c>
      <c r="DF436" s="370">
        <f>ROUND(IF(CK436=0,0,HLOOKUP(CK$14,Villagers!$B$1:$V$33,CK436+3,FALSE)),)</f>
        <v>0</v>
      </c>
      <c r="DG436" s="370">
        <f>ROUND(IF(CL436=0,0,HLOOKUP(CL$14,Villagers!$B$1:$V$33,CL436+3,FALSE)),)</f>
        <v>0</v>
      </c>
      <c r="DH436" s="34">
        <f>ROUND(IF(CM436=0,0,HLOOKUP(CM$14,Villagers!$B$1:$V$33,CM436+3,FALSE)),)</f>
        <v>0</v>
      </c>
      <c r="DI436" s="109">
        <f t="shared" si="611"/>
        <v>0</v>
      </c>
      <c r="DJ436" s="50">
        <f t="shared" si="612"/>
        <v>0</v>
      </c>
      <c r="DK436" s="50">
        <f t="shared" si="613"/>
        <v>0</v>
      </c>
      <c r="DL436" s="50">
        <f t="shared" si="614"/>
        <v>0</v>
      </c>
      <c r="DM436" s="50">
        <f t="shared" si="615"/>
        <v>0</v>
      </c>
      <c r="DN436" s="50">
        <f t="shared" si="616"/>
        <v>0</v>
      </c>
      <c r="DO436" s="50">
        <f t="shared" si="617"/>
        <v>0</v>
      </c>
      <c r="DP436" s="50">
        <f t="shared" si="618"/>
        <v>0</v>
      </c>
      <c r="DQ436" s="50">
        <f t="shared" si="596"/>
        <v>0</v>
      </c>
      <c r="DR436" s="50">
        <f t="shared" si="597"/>
        <v>0</v>
      </c>
      <c r="DS436" s="96">
        <f>Miscelaneous!$D$4*Miscelaneous!$D$2^($CI436-1)</f>
        <v>1000</v>
      </c>
      <c r="DT436" s="333">
        <f t="shared" si="579"/>
        <v>1</v>
      </c>
      <c r="DU436" s="81">
        <v>1</v>
      </c>
      <c r="DV436" s="79">
        <f t="shared" si="598"/>
        <v>0</v>
      </c>
      <c r="DW436" s="79">
        <f t="shared" si="599"/>
        <v>0</v>
      </c>
      <c r="DX436" s="79">
        <f t="shared" si="600"/>
        <v>0</v>
      </c>
      <c r="DY436" s="79">
        <v>1</v>
      </c>
      <c r="DZ436" s="79">
        <f t="shared" si="601"/>
        <v>0</v>
      </c>
      <c r="EA436" s="79">
        <f t="shared" si="602"/>
        <v>0</v>
      </c>
      <c r="EB436" s="79">
        <f t="shared" si="603"/>
        <v>0</v>
      </c>
      <c r="EC436" s="79">
        <f t="shared" si="604"/>
        <v>0</v>
      </c>
      <c r="ED436" s="79">
        <v>1</v>
      </c>
      <c r="EE436" s="79">
        <v>1</v>
      </c>
      <c r="EF436" s="79">
        <f t="shared" si="605"/>
        <v>0</v>
      </c>
      <c r="EG436" s="79">
        <v>1</v>
      </c>
      <c r="EH436" s="79">
        <v>1</v>
      </c>
      <c r="EI436" s="79">
        <v>1</v>
      </c>
      <c r="EJ436" s="79">
        <v>1</v>
      </c>
      <c r="EK436" s="79">
        <v>1</v>
      </c>
      <c r="EL436" s="79">
        <v>1</v>
      </c>
      <c r="EM436" s="143">
        <f t="shared" si="606"/>
        <v>0</v>
      </c>
      <c r="EN436" s="143">
        <f t="shared" si="607"/>
        <v>0</v>
      </c>
      <c r="EO436" s="82">
        <f t="shared" si="608"/>
        <v>0</v>
      </c>
    </row>
    <row r="437" spans="1:145" x14ac:dyDescent="0.25">
      <c r="A437">
        <v>423</v>
      </c>
      <c r="B437" s="172" t="e">
        <f t="shared" si="580"/>
        <v>#N/A</v>
      </c>
      <c r="C437" s="121" t="e">
        <f t="shared" si="558"/>
        <v>#N/A</v>
      </c>
      <c r="D437" s="122" t="e">
        <f t="shared" si="559"/>
        <v>#N/A</v>
      </c>
      <c r="E437" s="122" t="e">
        <f t="shared" si="560"/>
        <v>#N/A</v>
      </c>
      <c r="F437" s="176" t="e">
        <f t="shared" si="561"/>
        <v>#N/A</v>
      </c>
      <c r="G437" s="121">
        <f t="shared" si="581"/>
        <v>208</v>
      </c>
      <c r="H437" s="176" t="e">
        <f t="shared" si="582"/>
        <v>#N/A</v>
      </c>
      <c r="I437" s="48">
        <v>1</v>
      </c>
      <c r="J437" s="39"/>
      <c r="K437" s="350">
        <v>1</v>
      </c>
      <c r="L437" s="34" t="e">
        <f t="shared" si="562"/>
        <v>#N/A</v>
      </c>
      <c r="M437" s="38" t="e">
        <f>(HLOOKUP(J437,'Construction Times'!$B$3:$W$34,L437+2,FALSE)*HLOOKUP("hq modifier",'Construction Times'!$W$3:$W$34,BS437+2,FALSE))*(1-$H$9)</f>
        <v>#N/A</v>
      </c>
      <c r="N437" s="443" t="e">
        <f t="shared" si="583"/>
        <v>#N/A</v>
      </c>
      <c r="O437" s="444"/>
      <c r="P437" s="447" t="e">
        <f t="shared" si="584"/>
        <v>#N/A</v>
      </c>
      <c r="Q437" s="448"/>
      <c r="R437" s="103">
        <f t="shared" si="642"/>
        <v>0</v>
      </c>
      <c r="S437" s="104">
        <f t="shared" si="642"/>
        <v>0</v>
      </c>
      <c r="T437" s="104">
        <f t="shared" si="643"/>
        <v>0</v>
      </c>
      <c r="U437" s="104">
        <f t="shared" si="643"/>
        <v>0</v>
      </c>
      <c r="V437" s="104">
        <f t="shared" si="643"/>
        <v>9.9999999999999995E-8</v>
      </c>
      <c r="W437" s="104">
        <f t="shared" si="643"/>
        <v>0</v>
      </c>
      <c r="X437" s="104">
        <f t="shared" si="639"/>
        <v>0</v>
      </c>
      <c r="Y437" s="104">
        <f t="shared" si="639"/>
        <v>9.9999999999999995E-8</v>
      </c>
      <c r="Z437" s="104">
        <f t="shared" si="639"/>
        <v>9.9999999999999995E-8</v>
      </c>
      <c r="AA437" s="105">
        <f t="shared" si="639"/>
        <v>9.9999999999999995E-8</v>
      </c>
      <c r="AB437" s="101" t="e">
        <f>$DT437*HLOOKUP($J437,'Construction Costs (timber)'!$B$1:$V$32,'Construction Planner'!$L437+2,FALSE)</f>
        <v>#N/A</v>
      </c>
      <c r="AC437" s="14" t="e">
        <f>$DT437*HLOOKUP($J437,'Construction Costs (clay)'!$B$1:$V$32,'Construction Planner'!$L437+2,FALSE)</f>
        <v>#N/A</v>
      </c>
      <c r="AD437" s="14" t="e">
        <f>$DT437*HLOOKUP($J437,'Construction Costs (iron)'!$B$1:$V$32,'Construction Planner'!$L437+2,FALSE)</f>
        <v>#N/A</v>
      </c>
      <c r="AE437" s="34" t="e">
        <f t="shared" si="619"/>
        <v>#N/A</v>
      </c>
      <c r="AF437" s="33" t="e">
        <f t="shared" si="563"/>
        <v>#N/A</v>
      </c>
      <c r="AG437" s="14" t="e">
        <f t="shared" si="564"/>
        <v>#N/A</v>
      </c>
      <c r="AH437" s="14" t="e">
        <f t="shared" si="565"/>
        <v>#N/A</v>
      </c>
      <c r="AI437" s="34" t="e">
        <f t="shared" si="620"/>
        <v>#N/A</v>
      </c>
      <c r="AJ437" s="49" t="e">
        <f t="shared" si="585"/>
        <v>#N/A</v>
      </c>
      <c r="AK437" s="49" t="e">
        <f t="shared" si="586"/>
        <v>#N/A</v>
      </c>
      <c r="AL437" s="49" t="e">
        <f t="shared" si="587"/>
        <v>#N/A</v>
      </c>
      <c r="AM437" s="25">
        <f t="shared" si="566"/>
        <v>30</v>
      </c>
      <c r="AN437" s="25">
        <f t="shared" si="567"/>
        <v>30</v>
      </c>
      <c r="AO437" s="25">
        <f t="shared" si="568"/>
        <v>30</v>
      </c>
      <c r="AP437" s="52" t="e">
        <f t="shared" si="640"/>
        <v>#N/A</v>
      </c>
      <c r="AQ437" s="53" t="e">
        <f t="shared" si="640"/>
        <v>#N/A</v>
      </c>
      <c r="AR437" s="54" t="e">
        <f t="shared" si="640"/>
        <v>#N/A</v>
      </c>
      <c r="AS437" s="316">
        <f t="shared" si="644"/>
        <v>0</v>
      </c>
      <c r="AT437" s="106">
        <f>_xlfn.IFNA($M437/VLOOKUP($BT437,'Unit information'!$A$2:$K$29,2,FALSE)*R437,0)*(1+$E$9)</f>
        <v>0</v>
      </c>
      <c r="AU437" s="107">
        <f>_xlfn.IFNA($M437/VLOOKUP($BT437,'Unit information'!$A$2:$K$29,3,FALSE)*S437,0)*(1+$E$9)</f>
        <v>0</v>
      </c>
      <c r="AV437" s="107">
        <f>_xlfn.IFNA($M437/VLOOKUP($BT437,'Unit information'!$A$2:$K$29,4,FALSE)*T437,0)*(1+$E$9)</f>
        <v>0</v>
      </c>
      <c r="AW437" s="107">
        <f>_xlfn.IFNA($M437/VLOOKUP($BT437,'Unit information'!$A$2:$K$29,5,FALSE)*U437,0)*(1+$E$9)</f>
        <v>0</v>
      </c>
      <c r="AX437" s="107">
        <f>_xlfn.IFNA($M437/VLOOKUP($BU437,'Unit information'!$A$2:$K$29,6,FALSE)*V437,0)*(1+$E$9)</f>
        <v>0</v>
      </c>
      <c r="AY437" s="107">
        <f>_xlfn.IFNA($M437/VLOOKUP($BU437,'Unit information'!$A$2:$K$29,7,FALSE)*W437,0)*(1+$E$9)</f>
        <v>0</v>
      </c>
      <c r="AZ437" s="107">
        <f>_xlfn.IFNA($M437/VLOOKUP($BU437,'Unit information'!$A$2:$K$29,8,FALSE)*X437,0)*(1+$E$9)</f>
        <v>0</v>
      </c>
      <c r="BA437" s="107">
        <f>_xlfn.IFNA($M437/VLOOKUP($BU437,'Unit information'!$A$2:$K$29,9,FALSE)*Y437,0)*(1+$E$9)</f>
        <v>0</v>
      </c>
      <c r="BB437" s="107">
        <f>_xlfn.IFNA($M437/VLOOKUP($BV437,'Unit information'!$A$2:$K$29,10,FALSE)*Z437,0)*(1+$E$9)</f>
        <v>0</v>
      </c>
      <c r="BC437" s="108">
        <f>_xlfn.IFNA($M437/VLOOKUP($BV437,'Unit information'!$A$2:$K$29,11,FALSE)*AA437,0)*(1+$E$9)</f>
        <v>0</v>
      </c>
      <c r="BD437" s="106">
        <f t="shared" si="569"/>
        <v>0</v>
      </c>
      <c r="BE437" s="107">
        <f t="shared" si="570"/>
        <v>0</v>
      </c>
      <c r="BF437" s="108">
        <f t="shared" si="571"/>
        <v>0</v>
      </c>
      <c r="BG437" s="25" t="e">
        <f t="shared" si="572"/>
        <v>#N/A</v>
      </c>
      <c r="BH437" s="25" t="e">
        <f t="shared" si="573"/>
        <v>#N/A</v>
      </c>
      <c r="BI437" s="25" t="e">
        <f t="shared" si="574"/>
        <v>#N/A</v>
      </c>
      <c r="BJ437" s="27" t="e">
        <f t="shared" si="575"/>
        <v>#N/A</v>
      </c>
      <c r="BK437" s="18" t="e">
        <f t="shared" si="576"/>
        <v>#N/A</v>
      </c>
      <c r="BL437" s="18" t="e">
        <f t="shared" si="577"/>
        <v>#N/A</v>
      </c>
      <c r="BM437" s="28" t="e">
        <f t="shared" si="622"/>
        <v>#N/A</v>
      </c>
      <c r="BN437" s="33">
        <f>HLOOKUP("maximum population",Miscelaneous!$C$1:$C$33,CH437+3,FALSE)</f>
        <v>240</v>
      </c>
      <c r="BO437" s="14">
        <f t="shared" si="589"/>
        <v>32</v>
      </c>
      <c r="BP437" s="14">
        <f t="shared" si="590"/>
        <v>0</v>
      </c>
      <c r="BQ437" s="14">
        <f t="shared" si="591"/>
        <v>208</v>
      </c>
      <c r="BR437" s="34" t="e">
        <f>HLOOKUP(J437,Villagers!$B$1:$V$33,L437+3,FALSE)-HLOOKUP(J437,Villagers!$B$1:$V$33,L437+2,FALSE)</f>
        <v>#N/A</v>
      </c>
      <c r="BS437" s="49">
        <f t="shared" si="592"/>
        <v>1</v>
      </c>
      <c r="BT437" s="50">
        <f t="shared" si="593"/>
        <v>0</v>
      </c>
      <c r="BU437" s="50">
        <f t="shared" si="594"/>
        <v>0</v>
      </c>
      <c r="BV437" s="50">
        <f t="shared" si="595"/>
        <v>0</v>
      </c>
      <c r="BW437" s="50">
        <f t="shared" si="641"/>
        <v>0</v>
      </c>
      <c r="BX437" s="50">
        <f t="shared" si="641"/>
        <v>0</v>
      </c>
      <c r="BY437" s="50">
        <f t="shared" si="641"/>
        <v>0</v>
      </c>
      <c r="BZ437" s="50">
        <f t="shared" si="623"/>
        <v>0</v>
      </c>
      <c r="CA437" s="50">
        <f t="shared" si="624"/>
        <v>0</v>
      </c>
      <c r="CB437" s="50">
        <f t="shared" si="625"/>
        <v>1</v>
      </c>
      <c r="CC437" s="50">
        <f t="shared" si="626"/>
        <v>0</v>
      </c>
      <c r="CD437" s="50">
        <f t="shared" si="627"/>
        <v>0</v>
      </c>
      <c r="CE437" s="50">
        <f t="shared" si="628"/>
        <v>1</v>
      </c>
      <c r="CF437" s="50">
        <f t="shared" si="629"/>
        <v>1</v>
      </c>
      <c r="CG437" s="50">
        <f t="shared" si="630"/>
        <v>1</v>
      </c>
      <c r="CH437" s="50">
        <f t="shared" si="631"/>
        <v>1</v>
      </c>
      <c r="CI437" s="50">
        <f t="shared" si="632"/>
        <v>1</v>
      </c>
      <c r="CJ437" s="50">
        <f t="shared" si="633"/>
        <v>1</v>
      </c>
      <c r="CK437" s="50">
        <f t="shared" si="633"/>
        <v>0</v>
      </c>
      <c r="CL437" s="50">
        <f t="shared" si="633"/>
        <v>0</v>
      </c>
      <c r="CM437" s="51">
        <f t="shared" si="634"/>
        <v>0</v>
      </c>
      <c r="CN437" s="33">
        <f>ROUND(IF(BS437=0,0,HLOOKUP(BS$14,Villagers!$B$1:$V$33,BS437+3,FALSE)),)</f>
        <v>5</v>
      </c>
      <c r="CO437" s="14">
        <f>ROUND(IF(BT437=0,0,HLOOKUP(BT$14,Villagers!$B$1:$V$33,BT437+3,FALSE)),)</f>
        <v>0</v>
      </c>
      <c r="CP437" s="14">
        <f>ROUND(IF(BU437=0,0,HLOOKUP(BU$14,Villagers!$B$1:$V$33,BU437+3,FALSE)),)</f>
        <v>0</v>
      </c>
      <c r="CQ437" s="14">
        <f>ROUND(IF(BV437=0,0,HLOOKUP(BV$14,Villagers!$B$1:$V$33,BV437+3,FALSE)),)</f>
        <v>0</v>
      </c>
      <c r="CR437" s="14">
        <f>ROUND(IF(BW437=0,0,HLOOKUP(BW$14,Villagers!$B$1:$V$33,BW437+3,FALSE)),)</f>
        <v>0</v>
      </c>
      <c r="CS437" s="14">
        <f>ROUND(IF(BX437=0,0,HLOOKUP(BX$14,Villagers!$B$1:$V$33,BX437+3,FALSE)),)</f>
        <v>0</v>
      </c>
      <c r="CT437" s="14">
        <f>ROUND(IF(BY437=0,0,HLOOKUP(BY$14,Villagers!$B$1:$V$33,BY437+3,FALSE)),)</f>
        <v>0</v>
      </c>
      <c r="CU437" s="14">
        <f>ROUND(IF(BZ437=0,0,HLOOKUP(BZ$14,Villagers!$B$1:$V$33,BZ437+3,FALSE)),)</f>
        <v>0</v>
      </c>
      <c r="CV437" s="14">
        <f>ROUND(IF(CA437=0,0,HLOOKUP(CA$14,Villagers!$B$1:$V$33,CA437+3,FALSE)),)</f>
        <v>0</v>
      </c>
      <c r="CW437" s="14">
        <f>ROUND(IF(CB437=0,0,HLOOKUP(CB$14,Villagers!$B$1:$V$33,CB437+3,FALSE)),)</f>
        <v>0</v>
      </c>
      <c r="CX437" s="14">
        <f>ROUND(IF(CC437=0,0,HLOOKUP(CC$14,Villagers!$B$1:$V$33,CC437+3,FALSE)),)</f>
        <v>0</v>
      </c>
      <c r="CY437" s="14">
        <f>ROUND(IF(CD437=0,0,HLOOKUP(CD$14,Villagers!$B$1:$V$33,CD437+3,FALSE)),)</f>
        <v>0</v>
      </c>
      <c r="CZ437" s="14">
        <f>ROUND(IF(CE437=0,0,HLOOKUP(CE$14,Villagers!$B$1:$V$33,CE437+3,FALSE)),)</f>
        <v>5</v>
      </c>
      <c r="DA437" s="14">
        <f>ROUND(IF(CF437=0,0,HLOOKUP(CF$14,Villagers!$B$1:$V$33,CF437+3,FALSE)),)</f>
        <v>10</v>
      </c>
      <c r="DB437" s="14">
        <f>ROUND(IF(CG437=0,0,HLOOKUP(CG$14,Villagers!$B$1:$V$33,CG437+3,FALSE)),)</f>
        <v>10</v>
      </c>
      <c r="DC437" s="14">
        <f>ROUND(IF(CH437=0,0,HLOOKUP(CH$14,Villagers!$B$1:$V$33,CH437+3,FALSE)),)</f>
        <v>0</v>
      </c>
      <c r="DD437" s="14">
        <f>ROUND(IF(CI437=0,0,HLOOKUP(CI$14,Villagers!$B$1:$V$33,CI437+3,FALSE)),)</f>
        <v>0</v>
      </c>
      <c r="DE437" s="14">
        <f>ROUND(IF(CJ437=0,0,HLOOKUP(CJ$14,Villagers!$B$1:$V$33,CJ437+3,FALSE)),)</f>
        <v>2</v>
      </c>
      <c r="DF437" s="370">
        <f>ROUND(IF(CK437=0,0,HLOOKUP(CK$14,Villagers!$B$1:$V$33,CK437+3,FALSE)),)</f>
        <v>0</v>
      </c>
      <c r="DG437" s="370">
        <f>ROUND(IF(CL437=0,0,HLOOKUP(CL$14,Villagers!$B$1:$V$33,CL437+3,FALSE)),)</f>
        <v>0</v>
      </c>
      <c r="DH437" s="34">
        <f>ROUND(IF(CM437=0,0,HLOOKUP(CM$14,Villagers!$B$1:$V$33,CM437+3,FALSE)),)</f>
        <v>0</v>
      </c>
      <c r="DI437" s="109">
        <f t="shared" si="611"/>
        <v>0</v>
      </c>
      <c r="DJ437" s="50">
        <f t="shared" si="612"/>
        <v>0</v>
      </c>
      <c r="DK437" s="50">
        <f t="shared" si="613"/>
        <v>0</v>
      </c>
      <c r="DL437" s="50">
        <f t="shared" si="614"/>
        <v>0</v>
      </c>
      <c r="DM437" s="50">
        <f t="shared" si="615"/>
        <v>0</v>
      </c>
      <c r="DN437" s="50">
        <f t="shared" si="616"/>
        <v>0</v>
      </c>
      <c r="DO437" s="50">
        <f t="shared" si="617"/>
        <v>0</v>
      </c>
      <c r="DP437" s="50">
        <f t="shared" si="618"/>
        <v>0</v>
      </c>
      <c r="DQ437" s="50">
        <f t="shared" si="596"/>
        <v>0</v>
      </c>
      <c r="DR437" s="50">
        <f t="shared" si="597"/>
        <v>0</v>
      </c>
      <c r="DS437" s="96">
        <f>Miscelaneous!$D$4*Miscelaneous!$D$2^($CI437-1)</f>
        <v>1000</v>
      </c>
      <c r="DT437" s="333">
        <f t="shared" si="579"/>
        <v>1</v>
      </c>
      <c r="DU437" s="81">
        <v>1</v>
      </c>
      <c r="DV437" s="79">
        <f t="shared" si="598"/>
        <v>0</v>
      </c>
      <c r="DW437" s="79">
        <f t="shared" si="599"/>
        <v>0</v>
      </c>
      <c r="DX437" s="79">
        <f t="shared" si="600"/>
        <v>0</v>
      </c>
      <c r="DY437" s="79">
        <v>1</v>
      </c>
      <c r="DZ437" s="79">
        <f t="shared" si="601"/>
        <v>0</v>
      </c>
      <c r="EA437" s="79">
        <f t="shared" si="602"/>
        <v>0</v>
      </c>
      <c r="EB437" s="79">
        <f t="shared" si="603"/>
        <v>0</v>
      </c>
      <c r="EC437" s="79">
        <f t="shared" si="604"/>
        <v>0</v>
      </c>
      <c r="ED437" s="79">
        <v>1</v>
      </c>
      <c r="EE437" s="79">
        <v>1</v>
      </c>
      <c r="EF437" s="79">
        <f t="shared" si="605"/>
        <v>0</v>
      </c>
      <c r="EG437" s="79">
        <v>1</v>
      </c>
      <c r="EH437" s="79">
        <v>1</v>
      </c>
      <c r="EI437" s="79">
        <v>1</v>
      </c>
      <c r="EJ437" s="79">
        <v>1</v>
      </c>
      <c r="EK437" s="79">
        <v>1</v>
      </c>
      <c r="EL437" s="79">
        <v>1</v>
      </c>
      <c r="EM437" s="143">
        <f t="shared" si="606"/>
        <v>0</v>
      </c>
      <c r="EN437" s="143">
        <f t="shared" si="607"/>
        <v>0</v>
      </c>
      <c r="EO437" s="82">
        <f t="shared" si="608"/>
        <v>0</v>
      </c>
    </row>
    <row r="438" spans="1:145" x14ac:dyDescent="0.25">
      <c r="A438">
        <v>424</v>
      </c>
      <c r="B438" s="172" t="e">
        <f t="shared" si="580"/>
        <v>#N/A</v>
      </c>
      <c r="C438" s="121" t="e">
        <f t="shared" si="558"/>
        <v>#N/A</v>
      </c>
      <c r="D438" s="122" t="e">
        <f t="shared" si="559"/>
        <v>#N/A</v>
      </c>
      <c r="E438" s="122" t="e">
        <f t="shared" si="560"/>
        <v>#N/A</v>
      </c>
      <c r="F438" s="176" t="e">
        <f t="shared" si="561"/>
        <v>#N/A</v>
      </c>
      <c r="G438" s="121">
        <f t="shared" si="581"/>
        <v>208</v>
      </c>
      <c r="H438" s="176" t="e">
        <f t="shared" si="582"/>
        <v>#N/A</v>
      </c>
      <c r="I438" s="48">
        <v>1</v>
      </c>
      <c r="J438" s="39"/>
      <c r="K438" s="350">
        <v>1</v>
      </c>
      <c r="L438" s="34" t="e">
        <f t="shared" si="562"/>
        <v>#N/A</v>
      </c>
      <c r="M438" s="38" t="e">
        <f>(HLOOKUP(J438,'Construction Times'!$B$3:$W$34,L438+2,FALSE)*HLOOKUP("hq modifier",'Construction Times'!$W$3:$W$34,BS438+2,FALSE))*(1-$H$9)</f>
        <v>#N/A</v>
      </c>
      <c r="N438" s="443" t="e">
        <f t="shared" si="583"/>
        <v>#N/A</v>
      </c>
      <c r="O438" s="444"/>
      <c r="P438" s="447" t="e">
        <f t="shared" si="584"/>
        <v>#N/A</v>
      </c>
      <c r="Q438" s="448"/>
      <c r="R438" s="103">
        <f t="shared" si="642"/>
        <v>0</v>
      </c>
      <c r="S438" s="104">
        <f t="shared" si="642"/>
        <v>0</v>
      </c>
      <c r="T438" s="104">
        <f t="shared" si="643"/>
        <v>0</v>
      </c>
      <c r="U438" s="104">
        <f t="shared" si="643"/>
        <v>0</v>
      </c>
      <c r="V438" s="104">
        <f t="shared" si="643"/>
        <v>9.9999999999999995E-8</v>
      </c>
      <c r="W438" s="104">
        <f t="shared" si="643"/>
        <v>0</v>
      </c>
      <c r="X438" s="104">
        <f t="shared" si="639"/>
        <v>0</v>
      </c>
      <c r="Y438" s="104">
        <f t="shared" si="639"/>
        <v>9.9999999999999995E-8</v>
      </c>
      <c r="Z438" s="104">
        <f t="shared" si="639"/>
        <v>9.9999999999999995E-8</v>
      </c>
      <c r="AA438" s="105">
        <f t="shared" si="639"/>
        <v>9.9999999999999995E-8</v>
      </c>
      <c r="AB438" s="101" t="e">
        <f>$DT438*HLOOKUP($J438,'Construction Costs (timber)'!$B$1:$V$32,'Construction Planner'!$L438+2,FALSE)</f>
        <v>#N/A</v>
      </c>
      <c r="AC438" s="14" t="e">
        <f>$DT438*HLOOKUP($J438,'Construction Costs (clay)'!$B$1:$V$32,'Construction Planner'!$L438+2,FALSE)</f>
        <v>#N/A</v>
      </c>
      <c r="AD438" s="14" t="e">
        <f>$DT438*HLOOKUP($J438,'Construction Costs (iron)'!$B$1:$V$32,'Construction Planner'!$L438+2,FALSE)</f>
        <v>#N/A</v>
      </c>
      <c r="AE438" s="34" t="e">
        <f t="shared" si="619"/>
        <v>#N/A</v>
      </c>
      <c r="AF438" s="33" t="e">
        <f t="shared" si="563"/>
        <v>#N/A</v>
      </c>
      <c r="AG438" s="14" t="e">
        <f t="shared" si="564"/>
        <v>#N/A</v>
      </c>
      <c r="AH438" s="14" t="e">
        <f t="shared" si="565"/>
        <v>#N/A</v>
      </c>
      <c r="AI438" s="34" t="e">
        <f t="shared" si="620"/>
        <v>#N/A</v>
      </c>
      <c r="AJ438" s="49" t="e">
        <f t="shared" si="585"/>
        <v>#N/A</v>
      </c>
      <c r="AK438" s="49" t="e">
        <f t="shared" si="586"/>
        <v>#N/A</v>
      </c>
      <c r="AL438" s="49" t="e">
        <f t="shared" si="587"/>
        <v>#N/A</v>
      </c>
      <c r="AM438" s="25">
        <f t="shared" si="566"/>
        <v>30</v>
      </c>
      <c r="AN438" s="25">
        <f t="shared" si="567"/>
        <v>30</v>
      </c>
      <c r="AO438" s="25">
        <f t="shared" si="568"/>
        <v>30</v>
      </c>
      <c r="AP438" s="52" t="e">
        <f t="shared" si="640"/>
        <v>#N/A</v>
      </c>
      <c r="AQ438" s="53" t="e">
        <f t="shared" si="640"/>
        <v>#N/A</v>
      </c>
      <c r="AR438" s="54" t="e">
        <f t="shared" si="640"/>
        <v>#N/A</v>
      </c>
      <c r="AS438" s="316">
        <f t="shared" si="644"/>
        <v>0</v>
      </c>
      <c r="AT438" s="106">
        <f>_xlfn.IFNA($M438/VLOOKUP($BT438,'Unit information'!$A$2:$K$29,2,FALSE)*R438,0)*(1+$E$9)</f>
        <v>0</v>
      </c>
      <c r="AU438" s="107">
        <f>_xlfn.IFNA($M438/VLOOKUP($BT438,'Unit information'!$A$2:$K$29,3,FALSE)*S438,0)*(1+$E$9)</f>
        <v>0</v>
      </c>
      <c r="AV438" s="107">
        <f>_xlfn.IFNA($M438/VLOOKUP($BT438,'Unit information'!$A$2:$K$29,4,FALSE)*T438,0)*(1+$E$9)</f>
        <v>0</v>
      </c>
      <c r="AW438" s="107">
        <f>_xlfn.IFNA($M438/VLOOKUP($BT438,'Unit information'!$A$2:$K$29,5,FALSE)*U438,0)*(1+$E$9)</f>
        <v>0</v>
      </c>
      <c r="AX438" s="107">
        <f>_xlfn.IFNA($M438/VLOOKUP($BU438,'Unit information'!$A$2:$K$29,6,FALSE)*V438,0)*(1+$E$9)</f>
        <v>0</v>
      </c>
      <c r="AY438" s="107">
        <f>_xlfn.IFNA($M438/VLOOKUP($BU438,'Unit information'!$A$2:$K$29,7,FALSE)*W438,0)*(1+$E$9)</f>
        <v>0</v>
      </c>
      <c r="AZ438" s="107">
        <f>_xlfn.IFNA($M438/VLOOKUP($BU438,'Unit information'!$A$2:$K$29,8,FALSE)*X438,0)*(1+$E$9)</f>
        <v>0</v>
      </c>
      <c r="BA438" s="107">
        <f>_xlfn.IFNA($M438/VLOOKUP($BU438,'Unit information'!$A$2:$K$29,9,FALSE)*Y438,0)*(1+$E$9)</f>
        <v>0</v>
      </c>
      <c r="BB438" s="107">
        <f>_xlfn.IFNA($M438/VLOOKUP($BV438,'Unit information'!$A$2:$K$29,10,FALSE)*Z438,0)*(1+$E$9)</f>
        <v>0</v>
      </c>
      <c r="BC438" s="108">
        <f>_xlfn.IFNA($M438/VLOOKUP($BV438,'Unit information'!$A$2:$K$29,11,FALSE)*AA438,0)*(1+$E$9)</f>
        <v>0</v>
      </c>
      <c r="BD438" s="106">
        <f t="shared" si="569"/>
        <v>0</v>
      </c>
      <c r="BE438" s="107">
        <f t="shared" si="570"/>
        <v>0</v>
      </c>
      <c r="BF438" s="108">
        <f t="shared" si="571"/>
        <v>0</v>
      </c>
      <c r="BG438" s="25" t="e">
        <f t="shared" si="572"/>
        <v>#N/A</v>
      </c>
      <c r="BH438" s="25" t="e">
        <f t="shared" si="573"/>
        <v>#N/A</v>
      </c>
      <c r="BI438" s="25" t="e">
        <f t="shared" si="574"/>
        <v>#N/A</v>
      </c>
      <c r="BJ438" s="27" t="e">
        <f t="shared" si="575"/>
        <v>#N/A</v>
      </c>
      <c r="BK438" s="18" t="e">
        <f t="shared" si="576"/>
        <v>#N/A</v>
      </c>
      <c r="BL438" s="18" t="e">
        <f t="shared" si="577"/>
        <v>#N/A</v>
      </c>
      <c r="BM438" s="28" t="e">
        <f t="shared" si="622"/>
        <v>#N/A</v>
      </c>
      <c r="BN438" s="33">
        <f>HLOOKUP("maximum population",Miscelaneous!$C$1:$C$33,CH438+3,FALSE)</f>
        <v>240</v>
      </c>
      <c r="BO438" s="14">
        <f t="shared" si="589"/>
        <v>32</v>
      </c>
      <c r="BP438" s="14">
        <f t="shared" si="590"/>
        <v>0</v>
      </c>
      <c r="BQ438" s="14">
        <f t="shared" si="591"/>
        <v>208</v>
      </c>
      <c r="BR438" s="34" t="e">
        <f>HLOOKUP(J438,Villagers!$B$1:$V$33,L438+3,FALSE)-HLOOKUP(J438,Villagers!$B$1:$V$33,L438+2,FALSE)</f>
        <v>#N/A</v>
      </c>
      <c r="BS438" s="49">
        <f t="shared" si="592"/>
        <v>1</v>
      </c>
      <c r="BT438" s="50">
        <f t="shared" si="593"/>
        <v>0</v>
      </c>
      <c r="BU438" s="50">
        <f t="shared" si="594"/>
        <v>0</v>
      </c>
      <c r="BV438" s="50">
        <f t="shared" si="595"/>
        <v>0</v>
      </c>
      <c r="BW438" s="50">
        <f t="shared" si="641"/>
        <v>0</v>
      </c>
      <c r="BX438" s="50">
        <f t="shared" si="641"/>
        <v>0</v>
      </c>
      <c r="BY438" s="50">
        <f t="shared" si="641"/>
        <v>0</v>
      </c>
      <c r="BZ438" s="50">
        <f t="shared" si="623"/>
        <v>0</v>
      </c>
      <c r="CA438" s="50">
        <f t="shared" si="624"/>
        <v>0</v>
      </c>
      <c r="CB438" s="50">
        <f t="shared" si="625"/>
        <v>1</v>
      </c>
      <c r="CC438" s="50">
        <f t="shared" si="626"/>
        <v>0</v>
      </c>
      <c r="CD438" s="50">
        <f t="shared" si="627"/>
        <v>0</v>
      </c>
      <c r="CE438" s="50">
        <f t="shared" si="628"/>
        <v>1</v>
      </c>
      <c r="CF438" s="50">
        <f t="shared" si="629"/>
        <v>1</v>
      </c>
      <c r="CG438" s="50">
        <f t="shared" si="630"/>
        <v>1</v>
      </c>
      <c r="CH438" s="50">
        <f t="shared" si="631"/>
        <v>1</v>
      </c>
      <c r="CI438" s="50">
        <f t="shared" si="632"/>
        <v>1</v>
      </c>
      <c r="CJ438" s="50">
        <f t="shared" si="633"/>
        <v>1</v>
      </c>
      <c r="CK438" s="50">
        <f t="shared" si="633"/>
        <v>0</v>
      </c>
      <c r="CL438" s="50">
        <f t="shared" si="633"/>
        <v>0</v>
      </c>
      <c r="CM438" s="51">
        <f t="shared" si="634"/>
        <v>0</v>
      </c>
      <c r="CN438" s="33">
        <f>ROUND(IF(BS438=0,0,HLOOKUP(BS$14,Villagers!$B$1:$V$33,BS438+3,FALSE)),)</f>
        <v>5</v>
      </c>
      <c r="CO438" s="14">
        <f>ROUND(IF(BT438=0,0,HLOOKUP(BT$14,Villagers!$B$1:$V$33,BT438+3,FALSE)),)</f>
        <v>0</v>
      </c>
      <c r="CP438" s="14">
        <f>ROUND(IF(BU438=0,0,HLOOKUP(BU$14,Villagers!$B$1:$V$33,BU438+3,FALSE)),)</f>
        <v>0</v>
      </c>
      <c r="CQ438" s="14">
        <f>ROUND(IF(BV438=0,0,HLOOKUP(BV$14,Villagers!$B$1:$V$33,BV438+3,FALSE)),)</f>
        <v>0</v>
      </c>
      <c r="CR438" s="14">
        <f>ROUND(IF(BW438=0,0,HLOOKUP(BW$14,Villagers!$B$1:$V$33,BW438+3,FALSE)),)</f>
        <v>0</v>
      </c>
      <c r="CS438" s="14">
        <f>ROUND(IF(BX438=0,0,HLOOKUP(BX$14,Villagers!$B$1:$V$33,BX438+3,FALSE)),)</f>
        <v>0</v>
      </c>
      <c r="CT438" s="14">
        <f>ROUND(IF(BY438=0,0,HLOOKUP(BY$14,Villagers!$B$1:$V$33,BY438+3,FALSE)),)</f>
        <v>0</v>
      </c>
      <c r="CU438" s="14">
        <f>ROUND(IF(BZ438=0,0,HLOOKUP(BZ$14,Villagers!$B$1:$V$33,BZ438+3,FALSE)),)</f>
        <v>0</v>
      </c>
      <c r="CV438" s="14">
        <f>ROUND(IF(CA438=0,0,HLOOKUP(CA$14,Villagers!$B$1:$V$33,CA438+3,FALSE)),)</f>
        <v>0</v>
      </c>
      <c r="CW438" s="14">
        <f>ROUND(IF(CB438=0,0,HLOOKUP(CB$14,Villagers!$B$1:$V$33,CB438+3,FALSE)),)</f>
        <v>0</v>
      </c>
      <c r="CX438" s="14">
        <f>ROUND(IF(CC438=0,0,HLOOKUP(CC$14,Villagers!$B$1:$V$33,CC438+3,FALSE)),)</f>
        <v>0</v>
      </c>
      <c r="CY438" s="14">
        <f>ROUND(IF(CD438=0,0,HLOOKUP(CD$14,Villagers!$B$1:$V$33,CD438+3,FALSE)),)</f>
        <v>0</v>
      </c>
      <c r="CZ438" s="14">
        <f>ROUND(IF(CE438=0,0,HLOOKUP(CE$14,Villagers!$B$1:$V$33,CE438+3,FALSE)),)</f>
        <v>5</v>
      </c>
      <c r="DA438" s="14">
        <f>ROUND(IF(CF438=0,0,HLOOKUP(CF$14,Villagers!$B$1:$V$33,CF438+3,FALSE)),)</f>
        <v>10</v>
      </c>
      <c r="DB438" s="14">
        <f>ROUND(IF(CG438=0,0,HLOOKUP(CG$14,Villagers!$B$1:$V$33,CG438+3,FALSE)),)</f>
        <v>10</v>
      </c>
      <c r="DC438" s="14">
        <f>ROUND(IF(CH438=0,0,HLOOKUP(CH$14,Villagers!$B$1:$V$33,CH438+3,FALSE)),)</f>
        <v>0</v>
      </c>
      <c r="DD438" s="14">
        <f>ROUND(IF(CI438=0,0,HLOOKUP(CI$14,Villagers!$B$1:$V$33,CI438+3,FALSE)),)</f>
        <v>0</v>
      </c>
      <c r="DE438" s="14">
        <f>ROUND(IF(CJ438=0,0,HLOOKUP(CJ$14,Villagers!$B$1:$V$33,CJ438+3,FALSE)),)</f>
        <v>2</v>
      </c>
      <c r="DF438" s="370">
        <f>ROUND(IF(CK438=0,0,HLOOKUP(CK$14,Villagers!$B$1:$V$33,CK438+3,FALSE)),)</f>
        <v>0</v>
      </c>
      <c r="DG438" s="370">
        <f>ROUND(IF(CL438=0,0,HLOOKUP(CL$14,Villagers!$B$1:$V$33,CL438+3,FALSE)),)</f>
        <v>0</v>
      </c>
      <c r="DH438" s="34">
        <f>ROUND(IF(CM438=0,0,HLOOKUP(CM$14,Villagers!$B$1:$V$33,CM438+3,FALSE)),)</f>
        <v>0</v>
      </c>
      <c r="DI438" s="109">
        <f t="shared" si="611"/>
        <v>0</v>
      </c>
      <c r="DJ438" s="50">
        <f t="shared" si="612"/>
        <v>0</v>
      </c>
      <c r="DK438" s="50">
        <f t="shared" si="613"/>
        <v>0</v>
      </c>
      <c r="DL438" s="50">
        <f t="shared" si="614"/>
        <v>0</v>
      </c>
      <c r="DM438" s="50">
        <f t="shared" si="615"/>
        <v>0</v>
      </c>
      <c r="DN438" s="50">
        <f t="shared" si="616"/>
        <v>0</v>
      </c>
      <c r="DO438" s="50">
        <f t="shared" si="617"/>
        <v>0</v>
      </c>
      <c r="DP438" s="50">
        <f t="shared" si="618"/>
        <v>0</v>
      </c>
      <c r="DQ438" s="50">
        <f t="shared" si="596"/>
        <v>0</v>
      </c>
      <c r="DR438" s="50">
        <f t="shared" si="597"/>
        <v>0</v>
      </c>
      <c r="DS438" s="96">
        <f>Miscelaneous!$D$4*Miscelaneous!$D$2^($CI438-1)</f>
        <v>1000</v>
      </c>
      <c r="DT438" s="333">
        <f t="shared" si="579"/>
        <v>1</v>
      </c>
      <c r="DU438" s="81">
        <v>1</v>
      </c>
      <c r="DV438" s="79">
        <f t="shared" si="598"/>
        <v>0</v>
      </c>
      <c r="DW438" s="79">
        <f t="shared" si="599"/>
        <v>0</v>
      </c>
      <c r="DX438" s="79">
        <f t="shared" si="600"/>
        <v>0</v>
      </c>
      <c r="DY438" s="79">
        <v>1</v>
      </c>
      <c r="DZ438" s="79">
        <f t="shared" si="601"/>
        <v>0</v>
      </c>
      <c r="EA438" s="79">
        <f t="shared" si="602"/>
        <v>0</v>
      </c>
      <c r="EB438" s="79">
        <f t="shared" si="603"/>
        <v>0</v>
      </c>
      <c r="EC438" s="79">
        <f t="shared" si="604"/>
        <v>0</v>
      </c>
      <c r="ED438" s="79">
        <v>1</v>
      </c>
      <c r="EE438" s="79">
        <v>1</v>
      </c>
      <c r="EF438" s="79">
        <f t="shared" si="605"/>
        <v>0</v>
      </c>
      <c r="EG438" s="79">
        <v>1</v>
      </c>
      <c r="EH438" s="79">
        <v>1</v>
      </c>
      <c r="EI438" s="79">
        <v>1</v>
      </c>
      <c r="EJ438" s="79">
        <v>1</v>
      </c>
      <c r="EK438" s="79">
        <v>1</v>
      </c>
      <c r="EL438" s="79">
        <v>1</v>
      </c>
      <c r="EM438" s="143">
        <f t="shared" si="606"/>
        <v>0</v>
      </c>
      <c r="EN438" s="143">
        <f t="shared" si="607"/>
        <v>0</v>
      </c>
      <c r="EO438" s="82">
        <f t="shared" si="608"/>
        <v>0</v>
      </c>
    </row>
    <row r="439" spans="1:145" x14ac:dyDescent="0.25">
      <c r="A439">
        <v>425</v>
      </c>
      <c r="B439" s="172" t="e">
        <f t="shared" si="580"/>
        <v>#N/A</v>
      </c>
      <c r="C439" s="121" t="e">
        <f t="shared" si="558"/>
        <v>#N/A</v>
      </c>
      <c r="D439" s="122" t="e">
        <f t="shared" si="559"/>
        <v>#N/A</v>
      </c>
      <c r="E439" s="122" t="e">
        <f t="shared" si="560"/>
        <v>#N/A</v>
      </c>
      <c r="F439" s="176" t="e">
        <f t="shared" si="561"/>
        <v>#N/A</v>
      </c>
      <c r="G439" s="121">
        <f t="shared" si="581"/>
        <v>208</v>
      </c>
      <c r="H439" s="176" t="e">
        <f t="shared" si="582"/>
        <v>#N/A</v>
      </c>
      <c r="I439" s="48">
        <v>1</v>
      </c>
      <c r="J439" s="39"/>
      <c r="K439" s="350">
        <v>1</v>
      </c>
      <c r="L439" s="34" t="e">
        <f t="shared" si="562"/>
        <v>#N/A</v>
      </c>
      <c r="M439" s="38" t="e">
        <f>(HLOOKUP(J439,'Construction Times'!$B$3:$W$34,L439+2,FALSE)*HLOOKUP("hq modifier",'Construction Times'!$W$3:$W$34,BS439+2,FALSE))*(1-$H$9)</f>
        <v>#N/A</v>
      </c>
      <c r="N439" s="443" t="e">
        <f t="shared" si="583"/>
        <v>#N/A</v>
      </c>
      <c r="O439" s="444"/>
      <c r="P439" s="447" t="e">
        <f t="shared" si="584"/>
        <v>#N/A</v>
      </c>
      <c r="Q439" s="448"/>
      <c r="R439" s="103">
        <f t="shared" si="642"/>
        <v>0</v>
      </c>
      <c r="S439" s="104">
        <f t="shared" si="642"/>
        <v>0</v>
      </c>
      <c r="T439" s="104">
        <f t="shared" si="643"/>
        <v>0</v>
      </c>
      <c r="U439" s="104">
        <f t="shared" si="643"/>
        <v>0</v>
      </c>
      <c r="V439" s="104">
        <f t="shared" si="643"/>
        <v>9.9999999999999995E-8</v>
      </c>
      <c r="W439" s="104">
        <f t="shared" si="643"/>
        <v>0</v>
      </c>
      <c r="X439" s="104">
        <f t="shared" si="639"/>
        <v>0</v>
      </c>
      <c r="Y439" s="104">
        <f t="shared" si="639"/>
        <v>9.9999999999999995E-8</v>
      </c>
      <c r="Z439" s="104">
        <f t="shared" si="639"/>
        <v>9.9999999999999995E-8</v>
      </c>
      <c r="AA439" s="105">
        <f t="shared" si="639"/>
        <v>9.9999999999999995E-8</v>
      </c>
      <c r="AB439" s="101" t="e">
        <f>$DT439*HLOOKUP($J439,'Construction Costs (timber)'!$B$1:$V$32,'Construction Planner'!$L439+2,FALSE)</f>
        <v>#N/A</v>
      </c>
      <c r="AC439" s="14" t="e">
        <f>$DT439*HLOOKUP($J439,'Construction Costs (clay)'!$B$1:$V$32,'Construction Planner'!$L439+2,FALSE)</f>
        <v>#N/A</v>
      </c>
      <c r="AD439" s="14" t="e">
        <f>$DT439*HLOOKUP($J439,'Construction Costs (iron)'!$B$1:$V$32,'Construction Planner'!$L439+2,FALSE)</f>
        <v>#N/A</v>
      </c>
      <c r="AE439" s="34" t="e">
        <f t="shared" si="619"/>
        <v>#N/A</v>
      </c>
      <c r="AF439" s="33" t="e">
        <f t="shared" si="563"/>
        <v>#N/A</v>
      </c>
      <c r="AG439" s="14" t="e">
        <f t="shared" si="564"/>
        <v>#N/A</v>
      </c>
      <c r="AH439" s="14" t="e">
        <f t="shared" si="565"/>
        <v>#N/A</v>
      </c>
      <c r="AI439" s="34" t="e">
        <f t="shared" si="620"/>
        <v>#N/A</v>
      </c>
      <c r="AJ439" s="49" t="e">
        <f t="shared" si="585"/>
        <v>#N/A</v>
      </c>
      <c r="AK439" s="49" t="e">
        <f t="shared" si="586"/>
        <v>#N/A</v>
      </c>
      <c r="AL439" s="49" t="e">
        <f t="shared" si="587"/>
        <v>#N/A</v>
      </c>
      <c r="AM439" s="25">
        <f t="shared" si="566"/>
        <v>30</v>
      </c>
      <c r="AN439" s="25">
        <f t="shared" si="567"/>
        <v>30</v>
      </c>
      <c r="AO439" s="25">
        <f t="shared" si="568"/>
        <v>30</v>
      </c>
      <c r="AP439" s="52" t="e">
        <f t="shared" si="640"/>
        <v>#N/A</v>
      </c>
      <c r="AQ439" s="53" t="e">
        <f t="shared" si="640"/>
        <v>#N/A</v>
      </c>
      <c r="AR439" s="54" t="e">
        <f t="shared" si="640"/>
        <v>#N/A</v>
      </c>
      <c r="AS439" s="316">
        <f t="shared" si="644"/>
        <v>0</v>
      </c>
      <c r="AT439" s="106">
        <f>_xlfn.IFNA($M439/VLOOKUP($BT439,'Unit information'!$A$2:$K$29,2,FALSE)*R439,0)*(1+$E$9)</f>
        <v>0</v>
      </c>
      <c r="AU439" s="107">
        <f>_xlfn.IFNA($M439/VLOOKUP($BT439,'Unit information'!$A$2:$K$29,3,FALSE)*S439,0)*(1+$E$9)</f>
        <v>0</v>
      </c>
      <c r="AV439" s="107">
        <f>_xlfn.IFNA($M439/VLOOKUP($BT439,'Unit information'!$A$2:$K$29,4,FALSE)*T439,0)*(1+$E$9)</f>
        <v>0</v>
      </c>
      <c r="AW439" s="107">
        <f>_xlfn.IFNA($M439/VLOOKUP($BT439,'Unit information'!$A$2:$K$29,5,FALSE)*U439,0)*(1+$E$9)</f>
        <v>0</v>
      </c>
      <c r="AX439" s="107">
        <f>_xlfn.IFNA($M439/VLOOKUP($BU439,'Unit information'!$A$2:$K$29,6,FALSE)*V439,0)*(1+$E$9)</f>
        <v>0</v>
      </c>
      <c r="AY439" s="107">
        <f>_xlfn.IFNA($M439/VLOOKUP($BU439,'Unit information'!$A$2:$K$29,7,FALSE)*W439,0)*(1+$E$9)</f>
        <v>0</v>
      </c>
      <c r="AZ439" s="107">
        <f>_xlfn.IFNA($M439/VLOOKUP($BU439,'Unit information'!$A$2:$K$29,8,FALSE)*X439,0)*(1+$E$9)</f>
        <v>0</v>
      </c>
      <c r="BA439" s="107">
        <f>_xlfn.IFNA($M439/VLOOKUP($BU439,'Unit information'!$A$2:$K$29,9,FALSE)*Y439,0)*(1+$E$9)</f>
        <v>0</v>
      </c>
      <c r="BB439" s="107">
        <f>_xlfn.IFNA($M439/VLOOKUP($BV439,'Unit information'!$A$2:$K$29,10,FALSE)*Z439,0)*(1+$E$9)</f>
        <v>0</v>
      </c>
      <c r="BC439" s="108">
        <f>_xlfn.IFNA($M439/VLOOKUP($BV439,'Unit information'!$A$2:$K$29,11,FALSE)*AA439,0)*(1+$E$9)</f>
        <v>0</v>
      </c>
      <c r="BD439" s="106">
        <f t="shared" si="569"/>
        <v>0</v>
      </c>
      <c r="BE439" s="107">
        <f t="shared" si="570"/>
        <v>0</v>
      </c>
      <c r="BF439" s="108">
        <f t="shared" si="571"/>
        <v>0</v>
      </c>
      <c r="BG439" s="25" t="e">
        <f t="shared" si="572"/>
        <v>#N/A</v>
      </c>
      <c r="BH439" s="25" t="e">
        <f t="shared" si="573"/>
        <v>#N/A</v>
      </c>
      <c r="BI439" s="25" t="e">
        <f t="shared" si="574"/>
        <v>#N/A</v>
      </c>
      <c r="BJ439" s="27" t="e">
        <f t="shared" si="575"/>
        <v>#N/A</v>
      </c>
      <c r="BK439" s="18" t="e">
        <f t="shared" si="576"/>
        <v>#N/A</v>
      </c>
      <c r="BL439" s="18" t="e">
        <f t="shared" si="577"/>
        <v>#N/A</v>
      </c>
      <c r="BM439" s="28" t="e">
        <f t="shared" si="622"/>
        <v>#N/A</v>
      </c>
      <c r="BN439" s="33">
        <f>HLOOKUP("maximum population",Miscelaneous!$C$1:$C$33,CH439+3,FALSE)</f>
        <v>240</v>
      </c>
      <c r="BO439" s="14">
        <f t="shared" si="589"/>
        <v>32</v>
      </c>
      <c r="BP439" s="14">
        <f t="shared" si="590"/>
        <v>0</v>
      </c>
      <c r="BQ439" s="14">
        <f t="shared" si="591"/>
        <v>208</v>
      </c>
      <c r="BR439" s="34" t="e">
        <f>HLOOKUP(J439,Villagers!$B$1:$V$33,L439+3,FALSE)-HLOOKUP(J439,Villagers!$B$1:$V$33,L439+2,FALSE)</f>
        <v>#N/A</v>
      </c>
      <c r="BS439" s="49">
        <f t="shared" si="592"/>
        <v>1</v>
      </c>
      <c r="BT439" s="50">
        <f t="shared" si="593"/>
        <v>0</v>
      </c>
      <c r="BU439" s="50">
        <f t="shared" si="594"/>
        <v>0</v>
      </c>
      <c r="BV439" s="50">
        <f t="shared" si="595"/>
        <v>0</v>
      </c>
      <c r="BW439" s="50">
        <f>IF($J438=BW$14,$L438,BW438)</f>
        <v>0</v>
      </c>
      <c r="BX439" s="50">
        <f t="shared" ref="BX439:BY447" si="645">IF($J438=BX$14,$L438,BX438)</f>
        <v>0</v>
      </c>
      <c r="BY439" s="50">
        <f t="shared" si="645"/>
        <v>0</v>
      </c>
      <c r="BZ439" s="50">
        <f t="shared" si="623"/>
        <v>0</v>
      </c>
      <c r="CA439" s="50">
        <f t="shared" si="624"/>
        <v>0</v>
      </c>
      <c r="CB439" s="50">
        <f t="shared" si="625"/>
        <v>1</v>
      </c>
      <c r="CC439" s="50">
        <f t="shared" si="626"/>
        <v>0</v>
      </c>
      <c r="CD439" s="50">
        <f t="shared" si="627"/>
        <v>0</v>
      </c>
      <c r="CE439" s="50">
        <f t="shared" si="628"/>
        <v>1</v>
      </c>
      <c r="CF439" s="50">
        <f t="shared" si="629"/>
        <v>1</v>
      </c>
      <c r="CG439" s="50">
        <f t="shared" si="630"/>
        <v>1</v>
      </c>
      <c r="CH439" s="50">
        <f t="shared" si="631"/>
        <v>1</v>
      </c>
      <c r="CI439" s="50">
        <f t="shared" si="632"/>
        <v>1</v>
      </c>
      <c r="CJ439" s="50">
        <f t="shared" si="633"/>
        <v>1</v>
      </c>
      <c r="CK439" s="50">
        <f t="shared" si="633"/>
        <v>0</v>
      </c>
      <c r="CL439" s="50">
        <f t="shared" si="633"/>
        <v>0</v>
      </c>
      <c r="CM439" s="51">
        <f t="shared" si="634"/>
        <v>0</v>
      </c>
      <c r="CN439" s="33">
        <f>ROUND(IF(BS439=0,0,HLOOKUP(BS$14,Villagers!$B$1:$V$33,BS439+3,FALSE)),)</f>
        <v>5</v>
      </c>
      <c r="CO439" s="14">
        <f>ROUND(IF(BT439=0,0,HLOOKUP(BT$14,Villagers!$B$1:$V$33,BT439+3,FALSE)),)</f>
        <v>0</v>
      </c>
      <c r="CP439" s="14">
        <f>ROUND(IF(BU439=0,0,HLOOKUP(BU$14,Villagers!$B$1:$V$33,BU439+3,FALSE)),)</f>
        <v>0</v>
      </c>
      <c r="CQ439" s="14">
        <f>ROUND(IF(BV439=0,0,HLOOKUP(BV$14,Villagers!$B$1:$V$33,BV439+3,FALSE)),)</f>
        <v>0</v>
      </c>
      <c r="CR439" s="14">
        <f>ROUND(IF(BW439=0,0,HLOOKUP(BW$14,Villagers!$B$1:$V$33,BW439+3,FALSE)),)</f>
        <v>0</v>
      </c>
      <c r="CS439" s="14">
        <f>ROUND(IF(BX439=0,0,HLOOKUP(BX$14,Villagers!$B$1:$V$33,BX439+3,FALSE)),)</f>
        <v>0</v>
      </c>
      <c r="CT439" s="14">
        <f>ROUND(IF(BY439=0,0,HLOOKUP(BY$14,Villagers!$B$1:$V$33,BY439+3,FALSE)),)</f>
        <v>0</v>
      </c>
      <c r="CU439" s="14">
        <f>ROUND(IF(BZ439=0,0,HLOOKUP(BZ$14,Villagers!$B$1:$V$33,BZ439+3,FALSE)),)</f>
        <v>0</v>
      </c>
      <c r="CV439" s="14">
        <f>ROUND(IF(CA439=0,0,HLOOKUP(CA$14,Villagers!$B$1:$V$33,CA439+3,FALSE)),)</f>
        <v>0</v>
      </c>
      <c r="CW439" s="14">
        <f>ROUND(IF(CB439=0,0,HLOOKUP(CB$14,Villagers!$B$1:$V$33,CB439+3,FALSE)),)</f>
        <v>0</v>
      </c>
      <c r="CX439" s="14">
        <f>ROUND(IF(CC439=0,0,HLOOKUP(CC$14,Villagers!$B$1:$V$33,CC439+3,FALSE)),)</f>
        <v>0</v>
      </c>
      <c r="CY439" s="14">
        <f>ROUND(IF(CD439=0,0,HLOOKUP(CD$14,Villagers!$B$1:$V$33,CD439+3,FALSE)),)</f>
        <v>0</v>
      </c>
      <c r="CZ439" s="14">
        <f>ROUND(IF(CE439=0,0,HLOOKUP(CE$14,Villagers!$B$1:$V$33,CE439+3,FALSE)),)</f>
        <v>5</v>
      </c>
      <c r="DA439" s="14">
        <f>ROUND(IF(CF439=0,0,HLOOKUP(CF$14,Villagers!$B$1:$V$33,CF439+3,FALSE)),)</f>
        <v>10</v>
      </c>
      <c r="DB439" s="14">
        <f>ROUND(IF(CG439=0,0,HLOOKUP(CG$14,Villagers!$B$1:$V$33,CG439+3,FALSE)),)</f>
        <v>10</v>
      </c>
      <c r="DC439" s="14">
        <f>ROUND(IF(CH439=0,0,HLOOKUP(CH$14,Villagers!$B$1:$V$33,CH439+3,FALSE)),)</f>
        <v>0</v>
      </c>
      <c r="DD439" s="14">
        <f>ROUND(IF(CI439=0,0,HLOOKUP(CI$14,Villagers!$B$1:$V$33,CI439+3,FALSE)),)</f>
        <v>0</v>
      </c>
      <c r="DE439" s="14">
        <f>ROUND(IF(CJ439=0,0,HLOOKUP(CJ$14,Villagers!$B$1:$V$33,CJ439+3,FALSE)),)</f>
        <v>2</v>
      </c>
      <c r="DF439" s="370">
        <f>ROUND(IF(CK439=0,0,HLOOKUP(CK$14,Villagers!$B$1:$V$33,CK439+3,FALSE)),)</f>
        <v>0</v>
      </c>
      <c r="DG439" s="370">
        <f>ROUND(IF(CL439=0,0,HLOOKUP(CL$14,Villagers!$B$1:$V$33,CL439+3,FALSE)),)</f>
        <v>0</v>
      </c>
      <c r="DH439" s="34">
        <f>ROUND(IF(CM439=0,0,HLOOKUP(CM$14,Villagers!$B$1:$V$33,CM439+3,FALSE)),)</f>
        <v>0</v>
      </c>
      <c r="DI439" s="109">
        <f t="shared" si="611"/>
        <v>0</v>
      </c>
      <c r="DJ439" s="50">
        <f t="shared" si="612"/>
        <v>0</v>
      </c>
      <c r="DK439" s="50">
        <f t="shared" si="613"/>
        <v>0</v>
      </c>
      <c r="DL439" s="50">
        <f t="shared" si="614"/>
        <v>0</v>
      </c>
      <c r="DM439" s="50">
        <f t="shared" si="615"/>
        <v>0</v>
      </c>
      <c r="DN439" s="50">
        <f t="shared" si="616"/>
        <v>0</v>
      </c>
      <c r="DO439" s="50">
        <f t="shared" si="617"/>
        <v>0</v>
      </c>
      <c r="DP439" s="50">
        <f t="shared" si="618"/>
        <v>0</v>
      </c>
      <c r="DQ439" s="50">
        <f t="shared" si="596"/>
        <v>0</v>
      </c>
      <c r="DR439" s="50">
        <f t="shared" si="597"/>
        <v>0</v>
      </c>
      <c r="DS439" s="96">
        <f>Miscelaneous!$D$4*Miscelaneous!$D$2^($CI439-1)</f>
        <v>1000</v>
      </c>
      <c r="DT439" s="333">
        <f t="shared" si="579"/>
        <v>1</v>
      </c>
      <c r="DU439" s="81">
        <v>1</v>
      </c>
      <c r="DV439" s="79">
        <f t="shared" si="598"/>
        <v>0</v>
      </c>
      <c r="DW439" s="79">
        <f t="shared" si="599"/>
        <v>0</v>
      </c>
      <c r="DX439" s="79">
        <f t="shared" si="600"/>
        <v>0</v>
      </c>
      <c r="DY439" s="79">
        <v>1</v>
      </c>
      <c r="DZ439" s="79">
        <f t="shared" si="601"/>
        <v>0</v>
      </c>
      <c r="EA439" s="79">
        <f t="shared" si="602"/>
        <v>0</v>
      </c>
      <c r="EB439" s="79">
        <f t="shared" si="603"/>
        <v>0</v>
      </c>
      <c r="EC439" s="79">
        <f t="shared" si="604"/>
        <v>0</v>
      </c>
      <c r="ED439" s="79">
        <v>1</v>
      </c>
      <c r="EE439" s="79">
        <v>1</v>
      </c>
      <c r="EF439" s="79">
        <f t="shared" si="605"/>
        <v>0</v>
      </c>
      <c r="EG439" s="79">
        <v>1</v>
      </c>
      <c r="EH439" s="79">
        <v>1</v>
      </c>
      <c r="EI439" s="79">
        <v>1</v>
      </c>
      <c r="EJ439" s="79">
        <v>1</v>
      </c>
      <c r="EK439" s="79">
        <v>1</v>
      </c>
      <c r="EL439" s="79">
        <v>1</v>
      </c>
      <c r="EM439" s="143">
        <f t="shared" si="606"/>
        <v>0</v>
      </c>
      <c r="EN439" s="143">
        <f t="shared" si="607"/>
        <v>0</v>
      </c>
      <c r="EO439" s="82">
        <f t="shared" si="608"/>
        <v>0</v>
      </c>
    </row>
    <row r="440" spans="1:145" x14ac:dyDescent="0.25">
      <c r="A440">
        <v>426</v>
      </c>
      <c r="B440" s="172" t="e">
        <f t="shared" si="580"/>
        <v>#N/A</v>
      </c>
      <c r="C440" s="121" t="e">
        <f t="shared" si="558"/>
        <v>#N/A</v>
      </c>
      <c r="D440" s="122" t="e">
        <f t="shared" si="559"/>
        <v>#N/A</v>
      </c>
      <c r="E440" s="122" t="e">
        <f t="shared" si="560"/>
        <v>#N/A</v>
      </c>
      <c r="F440" s="176" t="e">
        <f t="shared" si="561"/>
        <v>#N/A</v>
      </c>
      <c r="G440" s="121">
        <f t="shared" si="581"/>
        <v>208</v>
      </c>
      <c r="H440" s="176" t="e">
        <f t="shared" si="582"/>
        <v>#N/A</v>
      </c>
      <c r="I440" s="48">
        <v>1</v>
      </c>
      <c r="J440" s="39"/>
      <c r="K440" s="350">
        <v>1</v>
      </c>
      <c r="L440" s="34" t="e">
        <f t="shared" si="562"/>
        <v>#N/A</v>
      </c>
      <c r="M440" s="38" t="e">
        <f>(HLOOKUP(J440,'Construction Times'!$B$3:$W$34,L440+2,FALSE)*HLOOKUP("hq modifier",'Construction Times'!$W$3:$W$34,BS440+2,FALSE))*(1-$H$9)</f>
        <v>#N/A</v>
      </c>
      <c r="N440" s="443" t="e">
        <f t="shared" si="583"/>
        <v>#N/A</v>
      </c>
      <c r="O440" s="444"/>
      <c r="P440" s="447" t="e">
        <f t="shared" si="584"/>
        <v>#N/A</v>
      </c>
      <c r="Q440" s="448"/>
      <c r="R440" s="103">
        <f t="shared" si="642"/>
        <v>0</v>
      </c>
      <c r="S440" s="104">
        <f t="shared" si="642"/>
        <v>0</v>
      </c>
      <c r="T440" s="104">
        <f t="shared" si="643"/>
        <v>0</v>
      </c>
      <c r="U440" s="104">
        <f t="shared" si="643"/>
        <v>0</v>
      </c>
      <c r="V440" s="104">
        <f t="shared" si="643"/>
        <v>9.9999999999999995E-8</v>
      </c>
      <c r="W440" s="104">
        <f t="shared" si="643"/>
        <v>0</v>
      </c>
      <c r="X440" s="104">
        <f t="shared" si="639"/>
        <v>0</v>
      </c>
      <c r="Y440" s="104">
        <f t="shared" si="639"/>
        <v>9.9999999999999995E-8</v>
      </c>
      <c r="Z440" s="104">
        <f t="shared" si="639"/>
        <v>9.9999999999999995E-8</v>
      </c>
      <c r="AA440" s="105">
        <f t="shared" si="639"/>
        <v>9.9999999999999995E-8</v>
      </c>
      <c r="AB440" s="101" t="e">
        <f>$DT440*HLOOKUP($J440,'Construction Costs (timber)'!$B$1:$V$32,'Construction Planner'!$L440+2,FALSE)</f>
        <v>#N/A</v>
      </c>
      <c r="AC440" s="14" t="e">
        <f>$DT440*HLOOKUP($J440,'Construction Costs (clay)'!$B$1:$V$32,'Construction Planner'!$L440+2,FALSE)</f>
        <v>#N/A</v>
      </c>
      <c r="AD440" s="14" t="e">
        <f>$DT440*HLOOKUP($J440,'Construction Costs (iron)'!$B$1:$V$32,'Construction Planner'!$L440+2,FALSE)</f>
        <v>#N/A</v>
      </c>
      <c r="AE440" s="34" t="e">
        <f t="shared" si="619"/>
        <v>#N/A</v>
      </c>
      <c r="AF440" s="33" t="e">
        <f t="shared" si="563"/>
        <v>#N/A</v>
      </c>
      <c r="AG440" s="14" t="e">
        <f t="shared" si="564"/>
        <v>#N/A</v>
      </c>
      <c r="AH440" s="14" t="e">
        <f t="shared" si="565"/>
        <v>#N/A</v>
      </c>
      <c r="AI440" s="34" t="e">
        <f t="shared" si="620"/>
        <v>#N/A</v>
      </c>
      <c r="AJ440" s="49" t="e">
        <f t="shared" si="585"/>
        <v>#N/A</v>
      </c>
      <c r="AK440" s="49" t="e">
        <f t="shared" si="586"/>
        <v>#N/A</v>
      </c>
      <c r="AL440" s="49" t="e">
        <f t="shared" si="587"/>
        <v>#N/A</v>
      </c>
      <c r="AM440" s="25">
        <f t="shared" si="566"/>
        <v>30</v>
      </c>
      <c r="AN440" s="25">
        <f t="shared" si="567"/>
        <v>30</v>
      </c>
      <c r="AO440" s="25">
        <f t="shared" si="568"/>
        <v>30</v>
      </c>
      <c r="AP440" s="52" t="e">
        <f t="shared" si="640"/>
        <v>#N/A</v>
      </c>
      <c r="AQ440" s="53" t="e">
        <f t="shared" si="640"/>
        <v>#N/A</v>
      </c>
      <c r="AR440" s="54" t="e">
        <f t="shared" si="640"/>
        <v>#N/A</v>
      </c>
      <c r="AS440" s="316">
        <f t="shared" si="644"/>
        <v>0</v>
      </c>
      <c r="AT440" s="106">
        <f>_xlfn.IFNA($M440/VLOOKUP($BT440,'Unit information'!$A$2:$K$29,2,FALSE)*R440,0)*(1+$E$9)</f>
        <v>0</v>
      </c>
      <c r="AU440" s="107">
        <f>_xlfn.IFNA($M440/VLOOKUP($BT440,'Unit information'!$A$2:$K$29,3,FALSE)*S440,0)*(1+$E$9)</f>
        <v>0</v>
      </c>
      <c r="AV440" s="107">
        <f>_xlfn.IFNA($M440/VLOOKUP($BT440,'Unit information'!$A$2:$K$29,4,FALSE)*T440,0)*(1+$E$9)</f>
        <v>0</v>
      </c>
      <c r="AW440" s="107">
        <f>_xlfn.IFNA($M440/VLOOKUP($BT440,'Unit information'!$A$2:$K$29,5,FALSE)*U440,0)*(1+$E$9)</f>
        <v>0</v>
      </c>
      <c r="AX440" s="107">
        <f>_xlfn.IFNA($M440/VLOOKUP($BU440,'Unit information'!$A$2:$K$29,6,FALSE)*V440,0)*(1+$E$9)</f>
        <v>0</v>
      </c>
      <c r="AY440" s="107">
        <f>_xlfn.IFNA($M440/VLOOKUP($BU440,'Unit information'!$A$2:$K$29,7,FALSE)*W440,0)*(1+$E$9)</f>
        <v>0</v>
      </c>
      <c r="AZ440" s="107">
        <f>_xlfn.IFNA($M440/VLOOKUP($BU440,'Unit information'!$A$2:$K$29,8,FALSE)*X440,0)*(1+$E$9)</f>
        <v>0</v>
      </c>
      <c r="BA440" s="107">
        <f>_xlfn.IFNA($M440/VLOOKUP($BU440,'Unit information'!$A$2:$K$29,9,FALSE)*Y440,0)*(1+$E$9)</f>
        <v>0</v>
      </c>
      <c r="BB440" s="107">
        <f>_xlfn.IFNA($M440/VLOOKUP($BV440,'Unit information'!$A$2:$K$29,10,FALSE)*Z440,0)*(1+$E$9)</f>
        <v>0</v>
      </c>
      <c r="BC440" s="108">
        <f>_xlfn.IFNA($M440/VLOOKUP($BV440,'Unit information'!$A$2:$K$29,11,FALSE)*AA440,0)*(1+$E$9)</f>
        <v>0</v>
      </c>
      <c r="BD440" s="106">
        <f t="shared" si="569"/>
        <v>0</v>
      </c>
      <c r="BE440" s="107">
        <f t="shared" si="570"/>
        <v>0</v>
      </c>
      <c r="BF440" s="108">
        <f t="shared" si="571"/>
        <v>0</v>
      </c>
      <c r="BG440" s="25" t="e">
        <f t="shared" si="572"/>
        <v>#N/A</v>
      </c>
      <c r="BH440" s="25" t="e">
        <f t="shared" si="573"/>
        <v>#N/A</v>
      </c>
      <c r="BI440" s="25" t="e">
        <f t="shared" si="574"/>
        <v>#N/A</v>
      </c>
      <c r="BJ440" s="27" t="e">
        <f t="shared" si="575"/>
        <v>#N/A</v>
      </c>
      <c r="BK440" s="18" t="e">
        <f t="shared" si="576"/>
        <v>#N/A</v>
      </c>
      <c r="BL440" s="18" t="e">
        <f t="shared" si="577"/>
        <v>#N/A</v>
      </c>
      <c r="BM440" s="28" t="e">
        <f t="shared" si="622"/>
        <v>#N/A</v>
      </c>
      <c r="BN440" s="33">
        <f>HLOOKUP("maximum population",Miscelaneous!$C$1:$C$33,CH440+3,FALSE)</f>
        <v>240</v>
      </c>
      <c r="BO440" s="14">
        <f t="shared" si="589"/>
        <v>32</v>
      </c>
      <c r="BP440" s="14">
        <f t="shared" si="590"/>
        <v>0</v>
      </c>
      <c r="BQ440" s="14">
        <f t="shared" si="591"/>
        <v>208</v>
      </c>
      <c r="BR440" s="34" t="e">
        <f>HLOOKUP(J440,Villagers!$B$1:$V$33,L440+3,FALSE)-HLOOKUP(J440,Villagers!$B$1:$V$33,L440+2,FALSE)</f>
        <v>#N/A</v>
      </c>
      <c r="BS440" s="49">
        <f t="shared" si="592"/>
        <v>1</v>
      </c>
      <c r="BT440" s="50">
        <f t="shared" si="593"/>
        <v>0</v>
      </c>
      <c r="BU440" s="50">
        <f t="shared" si="594"/>
        <v>0</v>
      </c>
      <c r="BV440" s="50">
        <f t="shared" si="595"/>
        <v>0</v>
      </c>
      <c r="BW440" s="50">
        <f t="shared" ref="BW440:BW447" si="646">IF($J439=BW$14,$L439,BW439)</f>
        <v>0</v>
      </c>
      <c r="BX440" s="50">
        <f t="shared" si="645"/>
        <v>0</v>
      </c>
      <c r="BY440" s="50">
        <f t="shared" si="645"/>
        <v>0</v>
      </c>
      <c r="BZ440" s="50">
        <f t="shared" si="623"/>
        <v>0</v>
      </c>
      <c r="CA440" s="50">
        <f t="shared" si="624"/>
        <v>0</v>
      </c>
      <c r="CB440" s="50">
        <f t="shared" si="625"/>
        <v>1</v>
      </c>
      <c r="CC440" s="50">
        <f t="shared" si="626"/>
        <v>0</v>
      </c>
      <c r="CD440" s="50">
        <f t="shared" si="627"/>
        <v>0</v>
      </c>
      <c r="CE440" s="50">
        <f t="shared" si="628"/>
        <v>1</v>
      </c>
      <c r="CF440" s="50">
        <f t="shared" si="629"/>
        <v>1</v>
      </c>
      <c r="CG440" s="50">
        <f t="shared" si="630"/>
        <v>1</v>
      </c>
      <c r="CH440" s="50">
        <f t="shared" si="631"/>
        <v>1</v>
      </c>
      <c r="CI440" s="50">
        <f t="shared" si="632"/>
        <v>1</v>
      </c>
      <c r="CJ440" s="50">
        <f t="shared" si="633"/>
        <v>1</v>
      </c>
      <c r="CK440" s="50">
        <f t="shared" si="633"/>
        <v>0</v>
      </c>
      <c r="CL440" s="50">
        <f t="shared" si="633"/>
        <v>0</v>
      </c>
      <c r="CM440" s="51">
        <f t="shared" si="634"/>
        <v>0</v>
      </c>
      <c r="CN440" s="33">
        <f>ROUND(IF(BS440=0,0,HLOOKUP(BS$14,Villagers!$B$1:$V$33,BS440+3,FALSE)),)</f>
        <v>5</v>
      </c>
      <c r="CO440" s="14">
        <f>ROUND(IF(BT440=0,0,HLOOKUP(BT$14,Villagers!$B$1:$V$33,BT440+3,FALSE)),)</f>
        <v>0</v>
      </c>
      <c r="CP440" s="14">
        <f>ROUND(IF(BU440=0,0,HLOOKUP(BU$14,Villagers!$B$1:$V$33,BU440+3,FALSE)),)</f>
        <v>0</v>
      </c>
      <c r="CQ440" s="14">
        <f>ROUND(IF(BV440=0,0,HLOOKUP(BV$14,Villagers!$B$1:$V$33,BV440+3,FALSE)),)</f>
        <v>0</v>
      </c>
      <c r="CR440" s="14">
        <f>ROUND(IF(BW440=0,0,HLOOKUP(BW$14,Villagers!$B$1:$V$33,BW440+3,FALSE)),)</f>
        <v>0</v>
      </c>
      <c r="CS440" s="14">
        <f>ROUND(IF(BX440=0,0,HLOOKUP(BX$14,Villagers!$B$1:$V$33,BX440+3,FALSE)),)</f>
        <v>0</v>
      </c>
      <c r="CT440" s="14">
        <f>ROUND(IF(BY440=0,0,HLOOKUP(BY$14,Villagers!$B$1:$V$33,BY440+3,FALSE)),)</f>
        <v>0</v>
      </c>
      <c r="CU440" s="14">
        <f>ROUND(IF(BZ440=0,0,HLOOKUP(BZ$14,Villagers!$B$1:$V$33,BZ440+3,FALSE)),)</f>
        <v>0</v>
      </c>
      <c r="CV440" s="14">
        <f>ROUND(IF(CA440=0,0,HLOOKUP(CA$14,Villagers!$B$1:$V$33,CA440+3,FALSE)),)</f>
        <v>0</v>
      </c>
      <c r="CW440" s="14">
        <f>ROUND(IF(CB440=0,0,HLOOKUP(CB$14,Villagers!$B$1:$V$33,CB440+3,FALSE)),)</f>
        <v>0</v>
      </c>
      <c r="CX440" s="14">
        <f>ROUND(IF(CC440=0,0,HLOOKUP(CC$14,Villagers!$B$1:$V$33,CC440+3,FALSE)),)</f>
        <v>0</v>
      </c>
      <c r="CY440" s="14">
        <f>ROUND(IF(CD440=0,0,HLOOKUP(CD$14,Villagers!$B$1:$V$33,CD440+3,FALSE)),)</f>
        <v>0</v>
      </c>
      <c r="CZ440" s="14">
        <f>ROUND(IF(CE440=0,0,HLOOKUP(CE$14,Villagers!$B$1:$V$33,CE440+3,FALSE)),)</f>
        <v>5</v>
      </c>
      <c r="DA440" s="14">
        <f>ROUND(IF(CF440=0,0,HLOOKUP(CF$14,Villagers!$B$1:$V$33,CF440+3,FALSE)),)</f>
        <v>10</v>
      </c>
      <c r="DB440" s="14">
        <f>ROUND(IF(CG440=0,0,HLOOKUP(CG$14,Villagers!$B$1:$V$33,CG440+3,FALSE)),)</f>
        <v>10</v>
      </c>
      <c r="DC440" s="14">
        <f>ROUND(IF(CH440=0,0,HLOOKUP(CH$14,Villagers!$B$1:$V$33,CH440+3,FALSE)),)</f>
        <v>0</v>
      </c>
      <c r="DD440" s="14">
        <f>ROUND(IF(CI440=0,0,HLOOKUP(CI$14,Villagers!$B$1:$V$33,CI440+3,FALSE)),)</f>
        <v>0</v>
      </c>
      <c r="DE440" s="14">
        <f>ROUND(IF(CJ440=0,0,HLOOKUP(CJ$14,Villagers!$B$1:$V$33,CJ440+3,FALSE)),)</f>
        <v>2</v>
      </c>
      <c r="DF440" s="370">
        <f>ROUND(IF(CK440=0,0,HLOOKUP(CK$14,Villagers!$B$1:$V$33,CK440+3,FALSE)),)</f>
        <v>0</v>
      </c>
      <c r="DG440" s="370">
        <f>ROUND(IF(CL440=0,0,HLOOKUP(CL$14,Villagers!$B$1:$V$33,CL440+3,FALSE)),)</f>
        <v>0</v>
      </c>
      <c r="DH440" s="34">
        <f>ROUND(IF(CM440=0,0,HLOOKUP(CM$14,Villagers!$B$1:$V$33,CM440+3,FALSE)),)</f>
        <v>0</v>
      </c>
      <c r="DI440" s="109">
        <f t="shared" si="611"/>
        <v>0</v>
      </c>
      <c r="DJ440" s="50">
        <f t="shared" si="612"/>
        <v>0</v>
      </c>
      <c r="DK440" s="50">
        <f t="shared" si="613"/>
        <v>0</v>
      </c>
      <c r="DL440" s="50">
        <f t="shared" si="614"/>
        <v>0</v>
      </c>
      <c r="DM440" s="50">
        <f t="shared" si="615"/>
        <v>0</v>
      </c>
      <c r="DN440" s="50">
        <f t="shared" si="616"/>
        <v>0</v>
      </c>
      <c r="DO440" s="50">
        <f t="shared" si="617"/>
        <v>0</v>
      </c>
      <c r="DP440" s="50">
        <f t="shared" si="618"/>
        <v>0</v>
      </c>
      <c r="DQ440" s="50">
        <f t="shared" si="596"/>
        <v>0</v>
      </c>
      <c r="DR440" s="50">
        <f t="shared" si="597"/>
        <v>0</v>
      </c>
      <c r="DS440" s="96">
        <f>Miscelaneous!$D$4*Miscelaneous!$D$2^($CI440-1)</f>
        <v>1000</v>
      </c>
      <c r="DT440" s="333">
        <f t="shared" si="579"/>
        <v>1</v>
      </c>
      <c r="DU440" s="81">
        <v>1</v>
      </c>
      <c r="DV440" s="79">
        <f t="shared" si="598"/>
        <v>0</v>
      </c>
      <c r="DW440" s="79">
        <f t="shared" si="599"/>
        <v>0</v>
      </c>
      <c r="DX440" s="79">
        <f t="shared" si="600"/>
        <v>0</v>
      </c>
      <c r="DY440" s="79">
        <v>1</v>
      </c>
      <c r="DZ440" s="79">
        <f t="shared" si="601"/>
        <v>0</v>
      </c>
      <c r="EA440" s="79">
        <f t="shared" si="602"/>
        <v>0</v>
      </c>
      <c r="EB440" s="79">
        <f t="shared" si="603"/>
        <v>0</v>
      </c>
      <c r="EC440" s="79">
        <f t="shared" si="604"/>
        <v>0</v>
      </c>
      <c r="ED440" s="79">
        <v>1</v>
      </c>
      <c r="EE440" s="79">
        <v>1</v>
      </c>
      <c r="EF440" s="79">
        <f t="shared" si="605"/>
        <v>0</v>
      </c>
      <c r="EG440" s="79">
        <v>1</v>
      </c>
      <c r="EH440" s="79">
        <v>1</v>
      </c>
      <c r="EI440" s="79">
        <v>1</v>
      </c>
      <c r="EJ440" s="79">
        <v>1</v>
      </c>
      <c r="EK440" s="79">
        <v>1</v>
      </c>
      <c r="EL440" s="79">
        <v>1</v>
      </c>
      <c r="EM440" s="143">
        <f t="shared" si="606"/>
        <v>0</v>
      </c>
      <c r="EN440" s="143">
        <f t="shared" si="607"/>
        <v>0</v>
      </c>
      <c r="EO440" s="82">
        <f t="shared" si="608"/>
        <v>0</v>
      </c>
    </row>
    <row r="441" spans="1:145" x14ac:dyDescent="0.25">
      <c r="A441">
        <v>427</v>
      </c>
      <c r="B441" s="172" t="e">
        <f t="shared" si="580"/>
        <v>#N/A</v>
      </c>
      <c r="C441" s="121" t="e">
        <f t="shared" si="558"/>
        <v>#N/A</v>
      </c>
      <c r="D441" s="122" t="e">
        <f t="shared" si="559"/>
        <v>#N/A</v>
      </c>
      <c r="E441" s="122" t="e">
        <f t="shared" si="560"/>
        <v>#N/A</v>
      </c>
      <c r="F441" s="176" t="e">
        <f t="shared" si="561"/>
        <v>#N/A</v>
      </c>
      <c r="G441" s="121">
        <f t="shared" si="581"/>
        <v>208</v>
      </c>
      <c r="H441" s="176" t="e">
        <f t="shared" si="582"/>
        <v>#N/A</v>
      </c>
      <c r="I441" s="48">
        <v>1</v>
      </c>
      <c r="J441" s="39"/>
      <c r="K441" s="350">
        <v>1</v>
      </c>
      <c r="L441" s="34" t="e">
        <f t="shared" si="562"/>
        <v>#N/A</v>
      </c>
      <c r="M441" s="38" t="e">
        <f>(HLOOKUP(J441,'Construction Times'!$B$3:$W$34,L441+2,FALSE)*HLOOKUP("hq modifier",'Construction Times'!$W$3:$W$34,BS441+2,FALSE))*(1-$H$9)</f>
        <v>#N/A</v>
      </c>
      <c r="N441" s="443" t="e">
        <f t="shared" si="583"/>
        <v>#N/A</v>
      </c>
      <c r="O441" s="444"/>
      <c r="P441" s="447" t="e">
        <f t="shared" si="584"/>
        <v>#N/A</v>
      </c>
      <c r="Q441" s="448"/>
      <c r="R441" s="103">
        <f t="shared" si="642"/>
        <v>0</v>
      </c>
      <c r="S441" s="104">
        <f t="shared" si="642"/>
        <v>0</v>
      </c>
      <c r="T441" s="104">
        <f t="shared" si="643"/>
        <v>0</v>
      </c>
      <c r="U441" s="104">
        <f t="shared" si="643"/>
        <v>0</v>
      </c>
      <c r="V441" s="104">
        <f t="shared" si="643"/>
        <v>9.9999999999999995E-8</v>
      </c>
      <c r="W441" s="104">
        <f t="shared" si="643"/>
        <v>0</v>
      </c>
      <c r="X441" s="104">
        <f t="shared" si="639"/>
        <v>0</v>
      </c>
      <c r="Y441" s="104">
        <f t="shared" si="639"/>
        <v>9.9999999999999995E-8</v>
      </c>
      <c r="Z441" s="104">
        <f t="shared" si="639"/>
        <v>9.9999999999999995E-8</v>
      </c>
      <c r="AA441" s="105">
        <f t="shared" si="639"/>
        <v>9.9999999999999995E-8</v>
      </c>
      <c r="AB441" s="101" t="e">
        <f>$DT441*HLOOKUP($J441,'Construction Costs (timber)'!$B$1:$V$32,'Construction Planner'!$L441+2,FALSE)</f>
        <v>#N/A</v>
      </c>
      <c r="AC441" s="14" t="e">
        <f>$DT441*HLOOKUP($J441,'Construction Costs (clay)'!$B$1:$V$32,'Construction Planner'!$L441+2,FALSE)</f>
        <v>#N/A</v>
      </c>
      <c r="AD441" s="14" t="e">
        <f>$DT441*HLOOKUP($J441,'Construction Costs (iron)'!$B$1:$V$32,'Construction Planner'!$L441+2,FALSE)</f>
        <v>#N/A</v>
      </c>
      <c r="AE441" s="34" t="e">
        <f t="shared" si="619"/>
        <v>#N/A</v>
      </c>
      <c r="AF441" s="33" t="e">
        <f t="shared" si="563"/>
        <v>#N/A</v>
      </c>
      <c r="AG441" s="14" t="e">
        <f t="shared" si="564"/>
        <v>#N/A</v>
      </c>
      <c r="AH441" s="14" t="e">
        <f t="shared" si="565"/>
        <v>#N/A</v>
      </c>
      <c r="AI441" s="34" t="e">
        <f t="shared" si="620"/>
        <v>#N/A</v>
      </c>
      <c r="AJ441" s="49" t="e">
        <f t="shared" si="585"/>
        <v>#N/A</v>
      </c>
      <c r="AK441" s="49" t="e">
        <f t="shared" si="586"/>
        <v>#N/A</v>
      </c>
      <c r="AL441" s="49" t="e">
        <f t="shared" si="587"/>
        <v>#N/A</v>
      </c>
      <c r="AM441" s="25">
        <f t="shared" si="566"/>
        <v>30</v>
      </c>
      <c r="AN441" s="25">
        <f t="shared" si="567"/>
        <v>30</v>
      </c>
      <c r="AO441" s="25">
        <f t="shared" si="568"/>
        <v>30</v>
      </c>
      <c r="AP441" s="52" t="e">
        <f t="shared" si="640"/>
        <v>#N/A</v>
      </c>
      <c r="AQ441" s="53" t="e">
        <f t="shared" si="640"/>
        <v>#N/A</v>
      </c>
      <c r="AR441" s="54" t="e">
        <f t="shared" si="640"/>
        <v>#N/A</v>
      </c>
      <c r="AS441" s="316">
        <f t="shared" si="644"/>
        <v>0</v>
      </c>
      <c r="AT441" s="106">
        <f>_xlfn.IFNA($M441/VLOOKUP($BT441,'Unit information'!$A$2:$K$29,2,FALSE)*R441,0)*(1+$E$9)</f>
        <v>0</v>
      </c>
      <c r="AU441" s="107">
        <f>_xlfn.IFNA($M441/VLOOKUP($BT441,'Unit information'!$A$2:$K$29,3,FALSE)*S441,0)*(1+$E$9)</f>
        <v>0</v>
      </c>
      <c r="AV441" s="107">
        <f>_xlfn.IFNA($M441/VLOOKUP($BT441,'Unit information'!$A$2:$K$29,4,FALSE)*T441,0)*(1+$E$9)</f>
        <v>0</v>
      </c>
      <c r="AW441" s="107">
        <f>_xlfn.IFNA($M441/VLOOKUP($BT441,'Unit information'!$A$2:$K$29,5,FALSE)*U441,0)*(1+$E$9)</f>
        <v>0</v>
      </c>
      <c r="AX441" s="107">
        <f>_xlfn.IFNA($M441/VLOOKUP($BU441,'Unit information'!$A$2:$K$29,6,FALSE)*V441,0)*(1+$E$9)</f>
        <v>0</v>
      </c>
      <c r="AY441" s="107">
        <f>_xlfn.IFNA($M441/VLOOKUP($BU441,'Unit information'!$A$2:$K$29,7,FALSE)*W441,0)*(1+$E$9)</f>
        <v>0</v>
      </c>
      <c r="AZ441" s="107">
        <f>_xlfn.IFNA($M441/VLOOKUP($BU441,'Unit information'!$A$2:$K$29,8,FALSE)*X441,0)*(1+$E$9)</f>
        <v>0</v>
      </c>
      <c r="BA441" s="107">
        <f>_xlfn.IFNA($M441/VLOOKUP($BU441,'Unit information'!$A$2:$K$29,9,FALSE)*Y441,0)*(1+$E$9)</f>
        <v>0</v>
      </c>
      <c r="BB441" s="107">
        <f>_xlfn.IFNA($M441/VLOOKUP($BV441,'Unit information'!$A$2:$K$29,10,FALSE)*Z441,0)*(1+$E$9)</f>
        <v>0</v>
      </c>
      <c r="BC441" s="108">
        <f>_xlfn.IFNA($M441/VLOOKUP($BV441,'Unit information'!$A$2:$K$29,11,FALSE)*AA441,0)*(1+$E$9)</f>
        <v>0</v>
      </c>
      <c r="BD441" s="106">
        <f t="shared" si="569"/>
        <v>0</v>
      </c>
      <c r="BE441" s="107">
        <f t="shared" si="570"/>
        <v>0</v>
      </c>
      <c r="BF441" s="108">
        <f t="shared" si="571"/>
        <v>0</v>
      </c>
      <c r="BG441" s="25" t="e">
        <f t="shared" si="572"/>
        <v>#N/A</v>
      </c>
      <c r="BH441" s="25" t="e">
        <f t="shared" si="573"/>
        <v>#N/A</v>
      </c>
      <c r="BI441" s="25" t="e">
        <f t="shared" si="574"/>
        <v>#N/A</v>
      </c>
      <c r="BJ441" s="27" t="e">
        <f t="shared" si="575"/>
        <v>#N/A</v>
      </c>
      <c r="BK441" s="18" t="e">
        <f t="shared" si="576"/>
        <v>#N/A</v>
      </c>
      <c r="BL441" s="18" t="e">
        <f t="shared" si="577"/>
        <v>#N/A</v>
      </c>
      <c r="BM441" s="28" t="e">
        <f t="shared" si="622"/>
        <v>#N/A</v>
      </c>
      <c r="BN441" s="33">
        <f>HLOOKUP("maximum population",Miscelaneous!$C$1:$C$33,CH441+3,FALSE)</f>
        <v>240</v>
      </c>
      <c r="BO441" s="14">
        <f t="shared" si="589"/>
        <v>32</v>
      </c>
      <c r="BP441" s="14">
        <f t="shared" si="590"/>
        <v>0</v>
      </c>
      <c r="BQ441" s="14">
        <f t="shared" si="591"/>
        <v>208</v>
      </c>
      <c r="BR441" s="34" t="e">
        <f>HLOOKUP(J441,Villagers!$B$1:$V$33,L441+3,FALSE)-HLOOKUP(J441,Villagers!$B$1:$V$33,L441+2,FALSE)</f>
        <v>#N/A</v>
      </c>
      <c r="BS441" s="49">
        <f t="shared" si="592"/>
        <v>1</v>
      </c>
      <c r="BT441" s="50">
        <f t="shared" si="593"/>
        <v>0</v>
      </c>
      <c r="BU441" s="50">
        <f t="shared" si="594"/>
        <v>0</v>
      </c>
      <c r="BV441" s="50">
        <f t="shared" si="595"/>
        <v>0</v>
      </c>
      <c r="BW441" s="50">
        <f t="shared" si="646"/>
        <v>0</v>
      </c>
      <c r="BX441" s="50">
        <f t="shared" si="645"/>
        <v>0</v>
      </c>
      <c r="BY441" s="50">
        <f t="shared" si="645"/>
        <v>0</v>
      </c>
      <c r="BZ441" s="50">
        <f t="shared" si="623"/>
        <v>0</v>
      </c>
      <c r="CA441" s="50">
        <f t="shared" si="624"/>
        <v>0</v>
      </c>
      <c r="CB441" s="50">
        <f t="shared" si="625"/>
        <v>1</v>
      </c>
      <c r="CC441" s="50">
        <f t="shared" si="626"/>
        <v>0</v>
      </c>
      <c r="CD441" s="50">
        <f t="shared" si="627"/>
        <v>0</v>
      </c>
      <c r="CE441" s="50">
        <f t="shared" si="628"/>
        <v>1</v>
      </c>
      <c r="CF441" s="50">
        <f t="shared" si="629"/>
        <v>1</v>
      </c>
      <c r="CG441" s="50">
        <f t="shared" si="630"/>
        <v>1</v>
      </c>
      <c r="CH441" s="50">
        <f t="shared" si="631"/>
        <v>1</v>
      </c>
      <c r="CI441" s="50">
        <f t="shared" si="632"/>
        <v>1</v>
      </c>
      <c r="CJ441" s="50">
        <f t="shared" si="633"/>
        <v>1</v>
      </c>
      <c r="CK441" s="50">
        <f t="shared" si="633"/>
        <v>0</v>
      </c>
      <c r="CL441" s="50">
        <f t="shared" si="633"/>
        <v>0</v>
      </c>
      <c r="CM441" s="51">
        <f t="shared" si="634"/>
        <v>0</v>
      </c>
      <c r="CN441" s="33">
        <f>ROUND(IF(BS441=0,0,HLOOKUP(BS$14,Villagers!$B$1:$V$33,BS441+3,FALSE)),)</f>
        <v>5</v>
      </c>
      <c r="CO441" s="14">
        <f>ROUND(IF(BT441=0,0,HLOOKUP(BT$14,Villagers!$B$1:$V$33,BT441+3,FALSE)),)</f>
        <v>0</v>
      </c>
      <c r="CP441" s="14">
        <f>ROUND(IF(BU441=0,0,HLOOKUP(BU$14,Villagers!$B$1:$V$33,BU441+3,FALSE)),)</f>
        <v>0</v>
      </c>
      <c r="CQ441" s="14">
        <f>ROUND(IF(BV441=0,0,HLOOKUP(BV$14,Villagers!$B$1:$V$33,BV441+3,FALSE)),)</f>
        <v>0</v>
      </c>
      <c r="CR441" s="14">
        <f>ROUND(IF(BW441=0,0,HLOOKUP(BW$14,Villagers!$B$1:$V$33,BW441+3,FALSE)),)</f>
        <v>0</v>
      </c>
      <c r="CS441" s="14">
        <f>ROUND(IF(BX441=0,0,HLOOKUP(BX$14,Villagers!$B$1:$V$33,BX441+3,FALSE)),)</f>
        <v>0</v>
      </c>
      <c r="CT441" s="14">
        <f>ROUND(IF(BY441=0,0,HLOOKUP(BY$14,Villagers!$B$1:$V$33,BY441+3,FALSE)),)</f>
        <v>0</v>
      </c>
      <c r="CU441" s="14">
        <f>ROUND(IF(BZ441=0,0,HLOOKUP(BZ$14,Villagers!$B$1:$V$33,BZ441+3,FALSE)),)</f>
        <v>0</v>
      </c>
      <c r="CV441" s="14">
        <f>ROUND(IF(CA441=0,0,HLOOKUP(CA$14,Villagers!$B$1:$V$33,CA441+3,FALSE)),)</f>
        <v>0</v>
      </c>
      <c r="CW441" s="14">
        <f>ROUND(IF(CB441=0,0,HLOOKUP(CB$14,Villagers!$B$1:$V$33,CB441+3,FALSE)),)</f>
        <v>0</v>
      </c>
      <c r="CX441" s="14">
        <f>ROUND(IF(CC441=0,0,HLOOKUP(CC$14,Villagers!$B$1:$V$33,CC441+3,FALSE)),)</f>
        <v>0</v>
      </c>
      <c r="CY441" s="14">
        <f>ROUND(IF(CD441=0,0,HLOOKUP(CD$14,Villagers!$B$1:$V$33,CD441+3,FALSE)),)</f>
        <v>0</v>
      </c>
      <c r="CZ441" s="14">
        <f>ROUND(IF(CE441=0,0,HLOOKUP(CE$14,Villagers!$B$1:$V$33,CE441+3,FALSE)),)</f>
        <v>5</v>
      </c>
      <c r="DA441" s="14">
        <f>ROUND(IF(CF441=0,0,HLOOKUP(CF$14,Villagers!$B$1:$V$33,CF441+3,FALSE)),)</f>
        <v>10</v>
      </c>
      <c r="DB441" s="14">
        <f>ROUND(IF(CG441=0,0,HLOOKUP(CG$14,Villagers!$B$1:$V$33,CG441+3,FALSE)),)</f>
        <v>10</v>
      </c>
      <c r="DC441" s="14">
        <f>ROUND(IF(CH441=0,0,HLOOKUP(CH$14,Villagers!$B$1:$V$33,CH441+3,FALSE)),)</f>
        <v>0</v>
      </c>
      <c r="DD441" s="14">
        <f>ROUND(IF(CI441=0,0,HLOOKUP(CI$14,Villagers!$B$1:$V$33,CI441+3,FALSE)),)</f>
        <v>0</v>
      </c>
      <c r="DE441" s="14">
        <f>ROUND(IF(CJ441=0,0,HLOOKUP(CJ$14,Villagers!$B$1:$V$33,CJ441+3,FALSE)),)</f>
        <v>2</v>
      </c>
      <c r="DF441" s="370">
        <f>ROUND(IF(CK441=0,0,HLOOKUP(CK$14,Villagers!$B$1:$V$33,CK441+3,FALSE)),)</f>
        <v>0</v>
      </c>
      <c r="DG441" s="370">
        <f>ROUND(IF(CL441=0,0,HLOOKUP(CL$14,Villagers!$B$1:$V$33,CL441+3,FALSE)),)</f>
        <v>0</v>
      </c>
      <c r="DH441" s="34">
        <f>ROUND(IF(CM441=0,0,HLOOKUP(CM$14,Villagers!$B$1:$V$33,CM441+3,FALSE)),)</f>
        <v>0</v>
      </c>
      <c r="DI441" s="109">
        <f t="shared" si="611"/>
        <v>0</v>
      </c>
      <c r="DJ441" s="50">
        <f t="shared" si="612"/>
        <v>0</v>
      </c>
      <c r="DK441" s="50">
        <f t="shared" si="613"/>
        <v>0</v>
      </c>
      <c r="DL441" s="50">
        <f t="shared" si="614"/>
        <v>0</v>
      </c>
      <c r="DM441" s="50">
        <f t="shared" si="615"/>
        <v>0</v>
      </c>
      <c r="DN441" s="50">
        <f t="shared" si="616"/>
        <v>0</v>
      </c>
      <c r="DO441" s="50">
        <f t="shared" si="617"/>
        <v>0</v>
      </c>
      <c r="DP441" s="50">
        <f t="shared" si="618"/>
        <v>0</v>
      </c>
      <c r="DQ441" s="50">
        <f t="shared" si="596"/>
        <v>0</v>
      </c>
      <c r="DR441" s="50">
        <f t="shared" si="597"/>
        <v>0</v>
      </c>
      <c r="DS441" s="96">
        <f>Miscelaneous!$D$4*Miscelaneous!$D$2^($CI441-1)</f>
        <v>1000</v>
      </c>
      <c r="DT441" s="333">
        <f t="shared" si="579"/>
        <v>1</v>
      </c>
      <c r="DU441" s="81">
        <v>1</v>
      </c>
      <c r="DV441" s="79">
        <f t="shared" si="598"/>
        <v>0</v>
      </c>
      <c r="DW441" s="79">
        <f t="shared" si="599"/>
        <v>0</v>
      </c>
      <c r="DX441" s="79">
        <f t="shared" si="600"/>
        <v>0</v>
      </c>
      <c r="DY441" s="79">
        <v>1</v>
      </c>
      <c r="DZ441" s="79">
        <f t="shared" si="601"/>
        <v>0</v>
      </c>
      <c r="EA441" s="79">
        <f t="shared" si="602"/>
        <v>0</v>
      </c>
      <c r="EB441" s="79">
        <f t="shared" si="603"/>
        <v>0</v>
      </c>
      <c r="EC441" s="79">
        <f t="shared" si="604"/>
        <v>0</v>
      </c>
      <c r="ED441" s="79">
        <v>1</v>
      </c>
      <c r="EE441" s="79">
        <v>1</v>
      </c>
      <c r="EF441" s="79">
        <f t="shared" si="605"/>
        <v>0</v>
      </c>
      <c r="EG441" s="79">
        <v>1</v>
      </c>
      <c r="EH441" s="79">
        <v>1</v>
      </c>
      <c r="EI441" s="79">
        <v>1</v>
      </c>
      <c r="EJ441" s="79">
        <v>1</v>
      </c>
      <c r="EK441" s="79">
        <v>1</v>
      </c>
      <c r="EL441" s="79">
        <v>1</v>
      </c>
      <c r="EM441" s="143">
        <f t="shared" si="606"/>
        <v>0</v>
      </c>
      <c r="EN441" s="143">
        <f t="shared" si="607"/>
        <v>0</v>
      </c>
      <c r="EO441" s="82">
        <f t="shared" si="608"/>
        <v>0</v>
      </c>
    </row>
    <row r="442" spans="1:145" x14ac:dyDescent="0.25">
      <c r="A442">
        <v>428</v>
      </c>
      <c r="B442" s="172" t="e">
        <f t="shared" si="580"/>
        <v>#N/A</v>
      </c>
      <c r="C442" s="121" t="e">
        <f t="shared" si="558"/>
        <v>#N/A</v>
      </c>
      <c r="D442" s="122" t="e">
        <f t="shared" si="559"/>
        <v>#N/A</v>
      </c>
      <c r="E442" s="122" t="e">
        <f t="shared" si="560"/>
        <v>#N/A</v>
      </c>
      <c r="F442" s="176" t="e">
        <f t="shared" si="561"/>
        <v>#N/A</v>
      </c>
      <c r="G442" s="121">
        <f t="shared" si="581"/>
        <v>208</v>
      </c>
      <c r="H442" s="176" t="e">
        <f t="shared" si="582"/>
        <v>#N/A</v>
      </c>
      <c r="I442" s="48">
        <v>1</v>
      </c>
      <c r="J442" s="39"/>
      <c r="K442" s="350">
        <v>1</v>
      </c>
      <c r="L442" s="34" t="e">
        <f t="shared" si="562"/>
        <v>#N/A</v>
      </c>
      <c r="M442" s="38" t="e">
        <f>(HLOOKUP(J442,'Construction Times'!$B$3:$W$34,L442+2,FALSE)*HLOOKUP("hq modifier",'Construction Times'!$W$3:$W$34,BS442+2,FALSE))*(1-$H$9)</f>
        <v>#N/A</v>
      </c>
      <c r="N442" s="443" t="e">
        <f t="shared" si="583"/>
        <v>#N/A</v>
      </c>
      <c r="O442" s="444"/>
      <c r="P442" s="447" t="e">
        <f t="shared" si="584"/>
        <v>#N/A</v>
      </c>
      <c r="Q442" s="448"/>
      <c r="R442" s="103">
        <f t="shared" si="642"/>
        <v>0</v>
      </c>
      <c r="S442" s="104">
        <f t="shared" si="642"/>
        <v>0</v>
      </c>
      <c r="T442" s="104">
        <f t="shared" si="643"/>
        <v>0</v>
      </c>
      <c r="U442" s="104">
        <f t="shared" si="643"/>
        <v>0</v>
      </c>
      <c r="V442" s="104">
        <f t="shared" si="643"/>
        <v>9.9999999999999995E-8</v>
      </c>
      <c r="W442" s="104">
        <f t="shared" si="643"/>
        <v>0</v>
      </c>
      <c r="X442" s="104">
        <f t="shared" si="639"/>
        <v>0</v>
      </c>
      <c r="Y442" s="104">
        <f t="shared" si="639"/>
        <v>9.9999999999999995E-8</v>
      </c>
      <c r="Z442" s="104">
        <f t="shared" si="639"/>
        <v>9.9999999999999995E-8</v>
      </c>
      <c r="AA442" s="105">
        <f t="shared" si="639"/>
        <v>9.9999999999999995E-8</v>
      </c>
      <c r="AB442" s="101" t="e">
        <f>$DT442*HLOOKUP($J442,'Construction Costs (timber)'!$B$1:$V$32,'Construction Planner'!$L442+2,FALSE)</f>
        <v>#N/A</v>
      </c>
      <c r="AC442" s="14" t="e">
        <f>$DT442*HLOOKUP($J442,'Construction Costs (clay)'!$B$1:$V$32,'Construction Planner'!$L442+2,FALSE)</f>
        <v>#N/A</v>
      </c>
      <c r="AD442" s="14" t="e">
        <f>$DT442*HLOOKUP($J442,'Construction Costs (iron)'!$B$1:$V$32,'Construction Planner'!$L442+2,FALSE)</f>
        <v>#N/A</v>
      </c>
      <c r="AE442" s="34" t="e">
        <f t="shared" si="619"/>
        <v>#N/A</v>
      </c>
      <c r="AF442" s="33" t="e">
        <f t="shared" si="563"/>
        <v>#N/A</v>
      </c>
      <c r="AG442" s="14" t="e">
        <f t="shared" si="564"/>
        <v>#N/A</v>
      </c>
      <c r="AH442" s="14" t="e">
        <f t="shared" si="565"/>
        <v>#N/A</v>
      </c>
      <c r="AI442" s="34" t="e">
        <f t="shared" si="620"/>
        <v>#N/A</v>
      </c>
      <c r="AJ442" s="49" t="e">
        <f t="shared" si="585"/>
        <v>#N/A</v>
      </c>
      <c r="AK442" s="49" t="e">
        <f t="shared" si="586"/>
        <v>#N/A</v>
      </c>
      <c r="AL442" s="49" t="e">
        <f t="shared" si="587"/>
        <v>#N/A</v>
      </c>
      <c r="AM442" s="25">
        <f t="shared" si="566"/>
        <v>30</v>
      </c>
      <c r="AN442" s="25">
        <f t="shared" si="567"/>
        <v>30</v>
      </c>
      <c r="AO442" s="25">
        <f t="shared" si="568"/>
        <v>30</v>
      </c>
      <c r="AP442" s="52" t="e">
        <f t="shared" si="640"/>
        <v>#N/A</v>
      </c>
      <c r="AQ442" s="53" t="e">
        <f t="shared" si="640"/>
        <v>#N/A</v>
      </c>
      <c r="AR442" s="54" t="e">
        <f t="shared" si="640"/>
        <v>#N/A</v>
      </c>
      <c r="AS442" s="316">
        <f t="shared" si="644"/>
        <v>0</v>
      </c>
      <c r="AT442" s="106">
        <f>_xlfn.IFNA($M442/VLOOKUP($BT442,'Unit information'!$A$2:$K$29,2,FALSE)*R442,0)*(1+$E$9)</f>
        <v>0</v>
      </c>
      <c r="AU442" s="107">
        <f>_xlfn.IFNA($M442/VLOOKUP($BT442,'Unit information'!$A$2:$K$29,3,FALSE)*S442,0)*(1+$E$9)</f>
        <v>0</v>
      </c>
      <c r="AV442" s="107">
        <f>_xlfn.IFNA($M442/VLOOKUP($BT442,'Unit information'!$A$2:$K$29,4,FALSE)*T442,0)*(1+$E$9)</f>
        <v>0</v>
      </c>
      <c r="AW442" s="107">
        <f>_xlfn.IFNA($M442/VLOOKUP($BT442,'Unit information'!$A$2:$K$29,5,FALSE)*U442,0)*(1+$E$9)</f>
        <v>0</v>
      </c>
      <c r="AX442" s="107">
        <f>_xlfn.IFNA($M442/VLOOKUP($BU442,'Unit information'!$A$2:$K$29,6,FALSE)*V442,0)*(1+$E$9)</f>
        <v>0</v>
      </c>
      <c r="AY442" s="107">
        <f>_xlfn.IFNA($M442/VLOOKUP($BU442,'Unit information'!$A$2:$K$29,7,FALSE)*W442,0)*(1+$E$9)</f>
        <v>0</v>
      </c>
      <c r="AZ442" s="107">
        <f>_xlfn.IFNA($M442/VLOOKUP($BU442,'Unit information'!$A$2:$K$29,8,FALSE)*X442,0)*(1+$E$9)</f>
        <v>0</v>
      </c>
      <c r="BA442" s="107">
        <f>_xlfn.IFNA($M442/VLOOKUP($BU442,'Unit information'!$A$2:$K$29,9,FALSE)*Y442,0)*(1+$E$9)</f>
        <v>0</v>
      </c>
      <c r="BB442" s="107">
        <f>_xlfn.IFNA($M442/VLOOKUP($BV442,'Unit information'!$A$2:$K$29,10,FALSE)*Z442,0)*(1+$E$9)</f>
        <v>0</v>
      </c>
      <c r="BC442" s="108">
        <f>_xlfn.IFNA($M442/VLOOKUP($BV442,'Unit information'!$A$2:$K$29,11,FALSE)*AA442,0)*(1+$E$9)</f>
        <v>0</v>
      </c>
      <c r="BD442" s="106">
        <f t="shared" si="569"/>
        <v>0</v>
      </c>
      <c r="BE442" s="107">
        <f t="shared" si="570"/>
        <v>0</v>
      </c>
      <c r="BF442" s="108">
        <f t="shared" si="571"/>
        <v>0</v>
      </c>
      <c r="BG442" s="25" t="e">
        <f t="shared" si="572"/>
        <v>#N/A</v>
      </c>
      <c r="BH442" s="25" t="e">
        <f t="shared" si="573"/>
        <v>#N/A</v>
      </c>
      <c r="BI442" s="25" t="e">
        <f t="shared" si="574"/>
        <v>#N/A</v>
      </c>
      <c r="BJ442" s="27" t="e">
        <f t="shared" si="575"/>
        <v>#N/A</v>
      </c>
      <c r="BK442" s="18" t="e">
        <f t="shared" si="576"/>
        <v>#N/A</v>
      </c>
      <c r="BL442" s="18" t="e">
        <f t="shared" si="577"/>
        <v>#N/A</v>
      </c>
      <c r="BM442" s="28" t="e">
        <f t="shared" si="622"/>
        <v>#N/A</v>
      </c>
      <c r="BN442" s="33">
        <f>HLOOKUP("maximum population",Miscelaneous!$C$1:$C$33,CH442+3,FALSE)</f>
        <v>240</v>
      </c>
      <c r="BO442" s="14">
        <f t="shared" si="589"/>
        <v>32</v>
      </c>
      <c r="BP442" s="14">
        <f t="shared" si="590"/>
        <v>0</v>
      </c>
      <c r="BQ442" s="14">
        <f t="shared" si="591"/>
        <v>208</v>
      </c>
      <c r="BR442" s="34" t="e">
        <f>HLOOKUP(J442,Villagers!$B$1:$V$33,L442+3,FALSE)-HLOOKUP(J442,Villagers!$B$1:$V$33,L442+2,FALSE)</f>
        <v>#N/A</v>
      </c>
      <c r="BS442" s="49">
        <f t="shared" si="592"/>
        <v>1</v>
      </c>
      <c r="BT442" s="50">
        <f t="shared" si="593"/>
        <v>0</v>
      </c>
      <c r="BU442" s="50">
        <f t="shared" si="594"/>
        <v>0</v>
      </c>
      <c r="BV442" s="50">
        <f t="shared" si="595"/>
        <v>0</v>
      </c>
      <c r="BW442" s="50">
        <f t="shared" si="646"/>
        <v>0</v>
      </c>
      <c r="BX442" s="50">
        <f t="shared" si="645"/>
        <v>0</v>
      </c>
      <c r="BY442" s="50">
        <f t="shared" si="645"/>
        <v>0</v>
      </c>
      <c r="BZ442" s="50">
        <f t="shared" si="623"/>
        <v>0</v>
      </c>
      <c r="CA442" s="50">
        <f t="shared" si="624"/>
        <v>0</v>
      </c>
      <c r="CB442" s="50">
        <f t="shared" si="625"/>
        <v>1</v>
      </c>
      <c r="CC442" s="50">
        <f t="shared" si="626"/>
        <v>0</v>
      </c>
      <c r="CD442" s="50">
        <f t="shared" si="627"/>
        <v>0</v>
      </c>
      <c r="CE442" s="50">
        <f t="shared" si="628"/>
        <v>1</v>
      </c>
      <c r="CF442" s="50">
        <f t="shared" si="629"/>
        <v>1</v>
      </c>
      <c r="CG442" s="50">
        <f t="shared" si="630"/>
        <v>1</v>
      </c>
      <c r="CH442" s="50">
        <f t="shared" si="631"/>
        <v>1</v>
      </c>
      <c r="CI442" s="50">
        <f t="shared" si="632"/>
        <v>1</v>
      </c>
      <c r="CJ442" s="50">
        <f t="shared" si="633"/>
        <v>1</v>
      </c>
      <c r="CK442" s="50">
        <f t="shared" si="633"/>
        <v>0</v>
      </c>
      <c r="CL442" s="50">
        <f t="shared" si="633"/>
        <v>0</v>
      </c>
      <c r="CM442" s="51">
        <f t="shared" si="634"/>
        <v>0</v>
      </c>
      <c r="CN442" s="33">
        <f>ROUND(IF(BS442=0,0,HLOOKUP(BS$14,Villagers!$B$1:$V$33,BS442+3,FALSE)),)</f>
        <v>5</v>
      </c>
      <c r="CO442" s="14">
        <f>ROUND(IF(BT442=0,0,HLOOKUP(BT$14,Villagers!$B$1:$V$33,BT442+3,FALSE)),)</f>
        <v>0</v>
      </c>
      <c r="CP442" s="14">
        <f>ROUND(IF(BU442=0,0,HLOOKUP(BU$14,Villagers!$B$1:$V$33,BU442+3,FALSE)),)</f>
        <v>0</v>
      </c>
      <c r="CQ442" s="14">
        <f>ROUND(IF(BV442=0,0,HLOOKUP(BV$14,Villagers!$B$1:$V$33,BV442+3,FALSE)),)</f>
        <v>0</v>
      </c>
      <c r="CR442" s="14">
        <f>ROUND(IF(BW442=0,0,HLOOKUP(BW$14,Villagers!$B$1:$V$33,BW442+3,FALSE)),)</f>
        <v>0</v>
      </c>
      <c r="CS442" s="14">
        <f>ROUND(IF(BX442=0,0,HLOOKUP(BX$14,Villagers!$B$1:$V$33,BX442+3,FALSE)),)</f>
        <v>0</v>
      </c>
      <c r="CT442" s="14">
        <f>ROUND(IF(BY442=0,0,HLOOKUP(BY$14,Villagers!$B$1:$V$33,BY442+3,FALSE)),)</f>
        <v>0</v>
      </c>
      <c r="CU442" s="14">
        <f>ROUND(IF(BZ442=0,0,HLOOKUP(BZ$14,Villagers!$B$1:$V$33,BZ442+3,FALSE)),)</f>
        <v>0</v>
      </c>
      <c r="CV442" s="14">
        <f>ROUND(IF(CA442=0,0,HLOOKUP(CA$14,Villagers!$B$1:$V$33,CA442+3,FALSE)),)</f>
        <v>0</v>
      </c>
      <c r="CW442" s="14">
        <f>ROUND(IF(CB442=0,0,HLOOKUP(CB$14,Villagers!$B$1:$V$33,CB442+3,FALSE)),)</f>
        <v>0</v>
      </c>
      <c r="CX442" s="14">
        <f>ROUND(IF(CC442=0,0,HLOOKUP(CC$14,Villagers!$B$1:$V$33,CC442+3,FALSE)),)</f>
        <v>0</v>
      </c>
      <c r="CY442" s="14">
        <f>ROUND(IF(CD442=0,0,HLOOKUP(CD$14,Villagers!$B$1:$V$33,CD442+3,FALSE)),)</f>
        <v>0</v>
      </c>
      <c r="CZ442" s="14">
        <f>ROUND(IF(CE442=0,0,HLOOKUP(CE$14,Villagers!$B$1:$V$33,CE442+3,FALSE)),)</f>
        <v>5</v>
      </c>
      <c r="DA442" s="14">
        <f>ROUND(IF(CF442=0,0,HLOOKUP(CF$14,Villagers!$B$1:$V$33,CF442+3,FALSE)),)</f>
        <v>10</v>
      </c>
      <c r="DB442" s="14">
        <f>ROUND(IF(CG442=0,0,HLOOKUP(CG$14,Villagers!$B$1:$V$33,CG442+3,FALSE)),)</f>
        <v>10</v>
      </c>
      <c r="DC442" s="14">
        <f>ROUND(IF(CH442=0,0,HLOOKUP(CH$14,Villagers!$B$1:$V$33,CH442+3,FALSE)),)</f>
        <v>0</v>
      </c>
      <c r="DD442" s="14">
        <f>ROUND(IF(CI442=0,0,HLOOKUP(CI$14,Villagers!$B$1:$V$33,CI442+3,FALSE)),)</f>
        <v>0</v>
      </c>
      <c r="DE442" s="14">
        <f>ROUND(IF(CJ442=0,0,HLOOKUP(CJ$14,Villagers!$B$1:$V$33,CJ442+3,FALSE)),)</f>
        <v>2</v>
      </c>
      <c r="DF442" s="370">
        <f>ROUND(IF(CK442=0,0,HLOOKUP(CK$14,Villagers!$B$1:$V$33,CK442+3,FALSE)),)</f>
        <v>0</v>
      </c>
      <c r="DG442" s="370">
        <f>ROUND(IF(CL442=0,0,HLOOKUP(CL$14,Villagers!$B$1:$V$33,CL442+3,FALSE)),)</f>
        <v>0</v>
      </c>
      <c r="DH442" s="34">
        <f>ROUND(IF(CM442=0,0,HLOOKUP(CM$14,Villagers!$B$1:$V$33,CM442+3,FALSE)),)</f>
        <v>0</v>
      </c>
      <c r="DI442" s="109">
        <f t="shared" si="611"/>
        <v>0</v>
      </c>
      <c r="DJ442" s="50">
        <f t="shared" si="612"/>
        <v>0</v>
      </c>
      <c r="DK442" s="50">
        <f t="shared" si="613"/>
        <v>0</v>
      </c>
      <c r="DL442" s="50">
        <f t="shared" si="614"/>
        <v>0</v>
      </c>
      <c r="DM442" s="50">
        <f t="shared" si="615"/>
        <v>0</v>
      </c>
      <c r="DN442" s="50">
        <f t="shared" si="616"/>
        <v>0</v>
      </c>
      <c r="DO442" s="50">
        <f t="shared" si="617"/>
        <v>0</v>
      </c>
      <c r="DP442" s="50">
        <f t="shared" si="618"/>
        <v>0</v>
      </c>
      <c r="DQ442" s="50">
        <f t="shared" si="596"/>
        <v>0</v>
      </c>
      <c r="DR442" s="50">
        <f t="shared" si="597"/>
        <v>0</v>
      </c>
      <c r="DS442" s="96">
        <f>Miscelaneous!$D$4*Miscelaneous!$D$2^($CI442-1)</f>
        <v>1000</v>
      </c>
      <c r="DT442" s="333">
        <f t="shared" si="579"/>
        <v>1</v>
      </c>
      <c r="DU442" s="81">
        <v>1</v>
      </c>
      <c r="DV442" s="79">
        <f t="shared" si="598"/>
        <v>0</v>
      </c>
      <c r="DW442" s="79">
        <f t="shared" si="599"/>
        <v>0</v>
      </c>
      <c r="DX442" s="79">
        <f t="shared" si="600"/>
        <v>0</v>
      </c>
      <c r="DY442" s="79">
        <v>1</v>
      </c>
      <c r="DZ442" s="79">
        <f t="shared" si="601"/>
        <v>0</v>
      </c>
      <c r="EA442" s="79">
        <f t="shared" si="602"/>
        <v>0</v>
      </c>
      <c r="EB442" s="79">
        <f t="shared" si="603"/>
        <v>0</v>
      </c>
      <c r="EC442" s="79">
        <f t="shared" si="604"/>
        <v>0</v>
      </c>
      <c r="ED442" s="79">
        <v>1</v>
      </c>
      <c r="EE442" s="79">
        <v>1</v>
      </c>
      <c r="EF442" s="79">
        <f t="shared" si="605"/>
        <v>0</v>
      </c>
      <c r="EG442" s="79">
        <v>1</v>
      </c>
      <c r="EH442" s="79">
        <v>1</v>
      </c>
      <c r="EI442" s="79">
        <v>1</v>
      </c>
      <c r="EJ442" s="79">
        <v>1</v>
      </c>
      <c r="EK442" s="79">
        <v>1</v>
      </c>
      <c r="EL442" s="79">
        <v>1</v>
      </c>
      <c r="EM442" s="143">
        <f t="shared" si="606"/>
        <v>0</v>
      </c>
      <c r="EN442" s="143">
        <f t="shared" si="607"/>
        <v>0</v>
      </c>
      <c r="EO442" s="82">
        <f t="shared" si="608"/>
        <v>0</v>
      </c>
    </row>
    <row r="443" spans="1:145" x14ac:dyDescent="0.25">
      <c r="A443">
        <v>429</v>
      </c>
      <c r="B443" s="172" t="e">
        <f t="shared" si="580"/>
        <v>#N/A</v>
      </c>
      <c r="C443" s="121" t="e">
        <f t="shared" si="558"/>
        <v>#N/A</v>
      </c>
      <c r="D443" s="122" t="e">
        <f t="shared" si="559"/>
        <v>#N/A</v>
      </c>
      <c r="E443" s="122" t="e">
        <f t="shared" si="560"/>
        <v>#N/A</v>
      </c>
      <c r="F443" s="176" t="e">
        <f t="shared" si="561"/>
        <v>#N/A</v>
      </c>
      <c r="G443" s="121">
        <f t="shared" si="581"/>
        <v>208</v>
      </c>
      <c r="H443" s="176" t="e">
        <f t="shared" si="582"/>
        <v>#N/A</v>
      </c>
      <c r="I443" s="48">
        <v>1</v>
      </c>
      <c r="J443" s="39"/>
      <c r="K443" s="350">
        <v>1</v>
      </c>
      <c r="L443" s="34" t="e">
        <f t="shared" si="562"/>
        <v>#N/A</v>
      </c>
      <c r="M443" s="38" t="e">
        <f>(HLOOKUP(J443,'Construction Times'!$B$3:$W$34,L443+2,FALSE)*HLOOKUP("hq modifier",'Construction Times'!$W$3:$W$34,BS443+2,FALSE))*(1-$H$9)</f>
        <v>#N/A</v>
      </c>
      <c r="N443" s="443" t="e">
        <f t="shared" si="583"/>
        <v>#N/A</v>
      </c>
      <c r="O443" s="444"/>
      <c r="P443" s="447" t="e">
        <f t="shared" si="584"/>
        <v>#N/A</v>
      </c>
      <c r="Q443" s="448"/>
      <c r="R443" s="103">
        <f t="shared" si="642"/>
        <v>0</v>
      </c>
      <c r="S443" s="104">
        <f t="shared" si="642"/>
        <v>0</v>
      </c>
      <c r="T443" s="104">
        <f t="shared" si="643"/>
        <v>0</v>
      </c>
      <c r="U443" s="104">
        <f t="shared" si="643"/>
        <v>0</v>
      </c>
      <c r="V443" s="104">
        <f t="shared" si="643"/>
        <v>9.9999999999999995E-8</v>
      </c>
      <c r="W443" s="104">
        <f t="shared" si="643"/>
        <v>0</v>
      </c>
      <c r="X443" s="104">
        <f t="shared" si="639"/>
        <v>0</v>
      </c>
      <c r="Y443" s="104">
        <f t="shared" si="639"/>
        <v>9.9999999999999995E-8</v>
      </c>
      <c r="Z443" s="104">
        <f t="shared" si="639"/>
        <v>9.9999999999999995E-8</v>
      </c>
      <c r="AA443" s="105">
        <f t="shared" si="639"/>
        <v>9.9999999999999995E-8</v>
      </c>
      <c r="AB443" s="101" t="e">
        <f>$DT443*HLOOKUP($J443,'Construction Costs (timber)'!$B$1:$V$32,'Construction Planner'!$L443+2,FALSE)</f>
        <v>#N/A</v>
      </c>
      <c r="AC443" s="14" t="e">
        <f>$DT443*HLOOKUP($J443,'Construction Costs (clay)'!$B$1:$V$32,'Construction Planner'!$L443+2,FALSE)</f>
        <v>#N/A</v>
      </c>
      <c r="AD443" s="14" t="e">
        <f>$DT443*HLOOKUP($J443,'Construction Costs (iron)'!$B$1:$V$32,'Construction Planner'!$L443+2,FALSE)</f>
        <v>#N/A</v>
      </c>
      <c r="AE443" s="34" t="e">
        <f t="shared" si="619"/>
        <v>#N/A</v>
      </c>
      <c r="AF443" s="33" t="e">
        <f t="shared" si="563"/>
        <v>#N/A</v>
      </c>
      <c r="AG443" s="14" t="e">
        <f t="shared" si="564"/>
        <v>#N/A</v>
      </c>
      <c r="AH443" s="14" t="e">
        <f t="shared" si="565"/>
        <v>#N/A</v>
      </c>
      <c r="AI443" s="34" t="e">
        <f t="shared" si="620"/>
        <v>#N/A</v>
      </c>
      <c r="AJ443" s="49" t="e">
        <f t="shared" si="585"/>
        <v>#N/A</v>
      </c>
      <c r="AK443" s="49" t="e">
        <f t="shared" si="586"/>
        <v>#N/A</v>
      </c>
      <c r="AL443" s="49" t="e">
        <f t="shared" si="587"/>
        <v>#N/A</v>
      </c>
      <c r="AM443" s="25">
        <f t="shared" si="566"/>
        <v>30</v>
      </c>
      <c r="AN443" s="25">
        <f t="shared" si="567"/>
        <v>30</v>
      </c>
      <c r="AO443" s="25">
        <f t="shared" si="568"/>
        <v>30</v>
      </c>
      <c r="AP443" s="52" t="e">
        <f t="shared" si="640"/>
        <v>#N/A</v>
      </c>
      <c r="AQ443" s="53" t="e">
        <f t="shared" si="640"/>
        <v>#N/A</v>
      </c>
      <c r="AR443" s="54" t="e">
        <f t="shared" si="640"/>
        <v>#N/A</v>
      </c>
      <c r="AS443" s="316">
        <f t="shared" si="644"/>
        <v>0</v>
      </c>
      <c r="AT443" s="106">
        <f>_xlfn.IFNA($M443/VLOOKUP($BT443,'Unit information'!$A$2:$K$29,2,FALSE)*R443,0)*(1+$E$9)</f>
        <v>0</v>
      </c>
      <c r="AU443" s="107">
        <f>_xlfn.IFNA($M443/VLOOKUP($BT443,'Unit information'!$A$2:$K$29,3,FALSE)*S443,0)*(1+$E$9)</f>
        <v>0</v>
      </c>
      <c r="AV443" s="107">
        <f>_xlfn.IFNA($M443/VLOOKUP($BT443,'Unit information'!$A$2:$K$29,4,FALSE)*T443,0)*(1+$E$9)</f>
        <v>0</v>
      </c>
      <c r="AW443" s="107">
        <f>_xlfn.IFNA($M443/VLOOKUP($BT443,'Unit information'!$A$2:$K$29,5,FALSE)*U443,0)*(1+$E$9)</f>
        <v>0</v>
      </c>
      <c r="AX443" s="107">
        <f>_xlfn.IFNA($M443/VLOOKUP($BU443,'Unit information'!$A$2:$K$29,6,FALSE)*V443,0)*(1+$E$9)</f>
        <v>0</v>
      </c>
      <c r="AY443" s="107">
        <f>_xlfn.IFNA($M443/VLOOKUP($BU443,'Unit information'!$A$2:$K$29,7,FALSE)*W443,0)*(1+$E$9)</f>
        <v>0</v>
      </c>
      <c r="AZ443" s="107">
        <f>_xlfn.IFNA($M443/VLOOKUP($BU443,'Unit information'!$A$2:$K$29,8,FALSE)*X443,0)*(1+$E$9)</f>
        <v>0</v>
      </c>
      <c r="BA443" s="107">
        <f>_xlfn.IFNA($M443/VLOOKUP($BU443,'Unit information'!$A$2:$K$29,9,FALSE)*Y443,0)*(1+$E$9)</f>
        <v>0</v>
      </c>
      <c r="BB443" s="107">
        <f>_xlfn.IFNA($M443/VLOOKUP($BV443,'Unit information'!$A$2:$K$29,10,FALSE)*Z443,0)*(1+$E$9)</f>
        <v>0</v>
      </c>
      <c r="BC443" s="108">
        <f>_xlfn.IFNA($M443/VLOOKUP($BV443,'Unit information'!$A$2:$K$29,11,FALSE)*AA443,0)*(1+$E$9)</f>
        <v>0</v>
      </c>
      <c r="BD443" s="106">
        <f t="shared" si="569"/>
        <v>0</v>
      </c>
      <c r="BE443" s="107">
        <f t="shared" si="570"/>
        <v>0</v>
      </c>
      <c r="BF443" s="108">
        <f t="shared" si="571"/>
        <v>0</v>
      </c>
      <c r="BG443" s="25" t="e">
        <f t="shared" si="572"/>
        <v>#N/A</v>
      </c>
      <c r="BH443" s="25" t="e">
        <f t="shared" si="573"/>
        <v>#N/A</v>
      </c>
      <c r="BI443" s="25" t="e">
        <f t="shared" si="574"/>
        <v>#N/A</v>
      </c>
      <c r="BJ443" s="27" t="e">
        <f t="shared" si="575"/>
        <v>#N/A</v>
      </c>
      <c r="BK443" s="18" t="e">
        <f t="shared" si="576"/>
        <v>#N/A</v>
      </c>
      <c r="BL443" s="18" t="e">
        <f t="shared" si="577"/>
        <v>#N/A</v>
      </c>
      <c r="BM443" s="28" t="e">
        <f t="shared" si="622"/>
        <v>#N/A</v>
      </c>
      <c r="BN443" s="33">
        <f>HLOOKUP("maximum population",Miscelaneous!$C$1:$C$33,CH443+3,FALSE)</f>
        <v>240</v>
      </c>
      <c r="BO443" s="14">
        <f t="shared" si="589"/>
        <v>32</v>
      </c>
      <c r="BP443" s="14">
        <f t="shared" si="590"/>
        <v>0</v>
      </c>
      <c r="BQ443" s="14">
        <f t="shared" si="591"/>
        <v>208</v>
      </c>
      <c r="BR443" s="34" t="e">
        <f>HLOOKUP(J443,Villagers!$B$1:$V$33,L443+3,FALSE)-HLOOKUP(J443,Villagers!$B$1:$V$33,L443+2,FALSE)</f>
        <v>#N/A</v>
      </c>
      <c r="BS443" s="49">
        <f t="shared" si="592"/>
        <v>1</v>
      </c>
      <c r="BT443" s="50">
        <f t="shared" si="593"/>
        <v>0</v>
      </c>
      <c r="BU443" s="50">
        <f t="shared" si="594"/>
        <v>0</v>
      </c>
      <c r="BV443" s="50">
        <f t="shared" si="595"/>
        <v>0</v>
      </c>
      <c r="BW443" s="50">
        <f t="shared" si="646"/>
        <v>0</v>
      </c>
      <c r="BX443" s="50">
        <f t="shared" si="645"/>
        <v>0</v>
      </c>
      <c r="BY443" s="50">
        <f t="shared" si="645"/>
        <v>0</v>
      </c>
      <c r="BZ443" s="50">
        <f t="shared" si="623"/>
        <v>0</v>
      </c>
      <c r="CA443" s="50">
        <f t="shared" si="624"/>
        <v>0</v>
      </c>
      <c r="CB443" s="50">
        <f t="shared" si="625"/>
        <v>1</v>
      </c>
      <c r="CC443" s="50">
        <f t="shared" si="626"/>
        <v>0</v>
      </c>
      <c r="CD443" s="50">
        <f t="shared" si="627"/>
        <v>0</v>
      </c>
      <c r="CE443" s="50">
        <f t="shared" si="628"/>
        <v>1</v>
      </c>
      <c r="CF443" s="50">
        <f t="shared" si="629"/>
        <v>1</v>
      </c>
      <c r="CG443" s="50">
        <f t="shared" si="630"/>
        <v>1</v>
      </c>
      <c r="CH443" s="50">
        <f t="shared" si="631"/>
        <v>1</v>
      </c>
      <c r="CI443" s="50">
        <f t="shared" si="632"/>
        <v>1</v>
      </c>
      <c r="CJ443" s="50">
        <f t="shared" si="633"/>
        <v>1</v>
      </c>
      <c r="CK443" s="50">
        <f t="shared" si="633"/>
        <v>0</v>
      </c>
      <c r="CL443" s="50">
        <f t="shared" si="633"/>
        <v>0</v>
      </c>
      <c r="CM443" s="51">
        <f t="shared" si="634"/>
        <v>0</v>
      </c>
      <c r="CN443" s="33">
        <f>ROUND(IF(BS443=0,0,HLOOKUP(BS$14,Villagers!$B$1:$V$33,BS443+3,FALSE)),)</f>
        <v>5</v>
      </c>
      <c r="CO443" s="14">
        <f>ROUND(IF(BT443=0,0,HLOOKUP(BT$14,Villagers!$B$1:$V$33,BT443+3,FALSE)),)</f>
        <v>0</v>
      </c>
      <c r="CP443" s="14">
        <f>ROUND(IF(BU443=0,0,HLOOKUP(BU$14,Villagers!$B$1:$V$33,BU443+3,FALSE)),)</f>
        <v>0</v>
      </c>
      <c r="CQ443" s="14">
        <f>ROUND(IF(BV443=0,0,HLOOKUP(BV$14,Villagers!$B$1:$V$33,BV443+3,FALSE)),)</f>
        <v>0</v>
      </c>
      <c r="CR443" s="14">
        <f>ROUND(IF(BW443=0,0,HLOOKUP(BW$14,Villagers!$B$1:$V$33,BW443+3,FALSE)),)</f>
        <v>0</v>
      </c>
      <c r="CS443" s="14">
        <f>ROUND(IF(BX443=0,0,HLOOKUP(BX$14,Villagers!$B$1:$V$33,BX443+3,FALSE)),)</f>
        <v>0</v>
      </c>
      <c r="CT443" s="14">
        <f>ROUND(IF(BY443=0,0,HLOOKUP(BY$14,Villagers!$B$1:$V$33,BY443+3,FALSE)),)</f>
        <v>0</v>
      </c>
      <c r="CU443" s="14">
        <f>ROUND(IF(BZ443=0,0,HLOOKUP(BZ$14,Villagers!$B$1:$V$33,BZ443+3,FALSE)),)</f>
        <v>0</v>
      </c>
      <c r="CV443" s="14">
        <f>ROUND(IF(CA443=0,0,HLOOKUP(CA$14,Villagers!$B$1:$V$33,CA443+3,FALSE)),)</f>
        <v>0</v>
      </c>
      <c r="CW443" s="14">
        <f>ROUND(IF(CB443=0,0,HLOOKUP(CB$14,Villagers!$B$1:$V$33,CB443+3,FALSE)),)</f>
        <v>0</v>
      </c>
      <c r="CX443" s="14">
        <f>ROUND(IF(CC443=0,0,HLOOKUP(CC$14,Villagers!$B$1:$V$33,CC443+3,FALSE)),)</f>
        <v>0</v>
      </c>
      <c r="CY443" s="14">
        <f>ROUND(IF(CD443=0,0,HLOOKUP(CD$14,Villagers!$B$1:$V$33,CD443+3,FALSE)),)</f>
        <v>0</v>
      </c>
      <c r="CZ443" s="14">
        <f>ROUND(IF(CE443=0,0,HLOOKUP(CE$14,Villagers!$B$1:$V$33,CE443+3,FALSE)),)</f>
        <v>5</v>
      </c>
      <c r="DA443" s="14">
        <f>ROUND(IF(CF443=0,0,HLOOKUP(CF$14,Villagers!$B$1:$V$33,CF443+3,FALSE)),)</f>
        <v>10</v>
      </c>
      <c r="DB443" s="14">
        <f>ROUND(IF(CG443=0,0,HLOOKUP(CG$14,Villagers!$B$1:$V$33,CG443+3,FALSE)),)</f>
        <v>10</v>
      </c>
      <c r="DC443" s="14">
        <f>ROUND(IF(CH443=0,0,HLOOKUP(CH$14,Villagers!$B$1:$V$33,CH443+3,FALSE)),)</f>
        <v>0</v>
      </c>
      <c r="DD443" s="14">
        <f>ROUND(IF(CI443=0,0,HLOOKUP(CI$14,Villagers!$B$1:$V$33,CI443+3,FALSE)),)</f>
        <v>0</v>
      </c>
      <c r="DE443" s="14">
        <f>ROUND(IF(CJ443=0,0,HLOOKUP(CJ$14,Villagers!$B$1:$V$33,CJ443+3,FALSE)),)</f>
        <v>2</v>
      </c>
      <c r="DF443" s="370">
        <f>ROUND(IF(CK443=0,0,HLOOKUP(CK$14,Villagers!$B$1:$V$33,CK443+3,FALSE)),)</f>
        <v>0</v>
      </c>
      <c r="DG443" s="370">
        <f>ROUND(IF(CL443=0,0,HLOOKUP(CL$14,Villagers!$B$1:$V$33,CL443+3,FALSE)),)</f>
        <v>0</v>
      </c>
      <c r="DH443" s="34">
        <f>ROUND(IF(CM443=0,0,HLOOKUP(CM$14,Villagers!$B$1:$V$33,CM443+3,FALSE)),)</f>
        <v>0</v>
      </c>
      <c r="DI443" s="109">
        <f t="shared" si="611"/>
        <v>0</v>
      </c>
      <c r="DJ443" s="50">
        <f t="shared" si="612"/>
        <v>0</v>
      </c>
      <c r="DK443" s="50">
        <f t="shared" si="613"/>
        <v>0</v>
      </c>
      <c r="DL443" s="50">
        <f t="shared" si="614"/>
        <v>0</v>
      </c>
      <c r="DM443" s="50">
        <f t="shared" si="615"/>
        <v>0</v>
      </c>
      <c r="DN443" s="50">
        <f t="shared" si="616"/>
        <v>0</v>
      </c>
      <c r="DO443" s="50">
        <f t="shared" si="617"/>
        <v>0</v>
      </c>
      <c r="DP443" s="50">
        <f t="shared" si="618"/>
        <v>0</v>
      </c>
      <c r="DQ443" s="50">
        <f t="shared" si="596"/>
        <v>0</v>
      </c>
      <c r="DR443" s="50">
        <f t="shared" si="597"/>
        <v>0</v>
      </c>
      <c r="DS443" s="96">
        <f>Miscelaneous!$D$4*Miscelaneous!$D$2^($CI443-1)</f>
        <v>1000</v>
      </c>
      <c r="DT443" s="333">
        <f t="shared" si="579"/>
        <v>1</v>
      </c>
      <c r="DU443" s="81">
        <v>1</v>
      </c>
      <c r="DV443" s="79">
        <f t="shared" si="598"/>
        <v>0</v>
      </c>
      <c r="DW443" s="79">
        <f t="shared" si="599"/>
        <v>0</v>
      </c>
      <c r="DX443" s="79">
        <f t="shared" si="600"/>
        <v>0</v>
      </c>
      <c r="DY443" s="79">
        <v>1</v>
      </c>
      <c r="DZ443" s="79">
        <f t="shared" si="601"/>
        <v>0</v>
      </c>
      <c r="EA443" s="79">
        <f t="shared" si="602"/>
        <v>0</v>
      </c>
      <c r="EB443" s="79">
        <f t="shared" si="603"/>
        <v>0</v>
      </c>
      <c r="EC443" s="79">
        <f t="shared" si="604"/>
        <v>0</v>
      </c>
      <c r="ED443" s="79">
        <v>1</v>
      </c>
      <c r="EE443" s="79">
        <v>1</v>
      </c>
      <c r="EF443" s="79">
        <f t="shared" si="605"/>
        <v>0</v>
      </c>
      <c r="EG443" s="79">
        <v>1</v>
      </c>
      <c r="EH443" s="79">
        <v>1</v>
      </c>
      <c r="EI443" s="79">
        <v>1</v>
      </c>
      <c r="EJ443" s="79">
        <v>1</v>
      </c>
      <c r="EK443" s="79">
        <v>1</v>
      </c>
      <c r="EL443" s="79">
        <v>1</v>
      </c>
      <c r="EM443" s="143">
        <f t="shared" si="606"/>
        <v>0</v>
      </c>
      <c r="EN443" s="143">
        <f t="shared" si="607"/>
        <v>0</v>
      </c>
      <c r="EO443" s="82">
        <f t="shared" si="608"/>
        <v>0</v>
      </c>
    </row>
    <row r="444" spans="1:145" x14ac:dyDescent="0.25">
      <c r="A444">
        <v>430</v>
      </c>
      <c r="B444" s="172" t="e">
        <f t="shared" si="580"/>
        <v>#N/A</v>
      </c>
      <c r="C444" s="121" t="e">
        <f t="shared" si="558"/>
        <v>#N/A</v>
      </c>
      <c r="D444" s="122" t="e">
        <f t="shared" si="559"/>
        <v>#N/A</v>
      </c>
      <c r="E444" s="122" t="e">
        <f t="shared" si="560"/>
        <v>#N/A</v>
      </c>
      <c r="F444" s="176" t="e">
        <f t="shared" si="561"/>
        <v>#N/A</v>
      </c>
      <c r="G444" s="121">
        <f t="shared" si="581"/>
        <v>208</v>
      </c>
      <c r="H444" s="176" t="e">
        <f t="shared" si="582"/>
        <v>#N/A</v>
      </c>
      <c r="I444" s="48">
        <v>1</v>
      </c>
      <c r="J444" s="39"/>
      <c r="K444" s="350">
        <v>1</v>
      </c>
      <c r="L444" s="34" t="e">
        <f t="shared" si="562"/>
        <v>#N/A</v>
      </c>
      <c r="M444" s="38" t="e">
        <f>(HLOOKUP(J444,'Construction Times'!$B$3:$W$34,L444+2,FALSE)*HLOOKUP("hq modifier",'Construction Times'!$W$3:$W$34,BS444+2,FALSE))*(1-$H$9)</f>
        <v>#N/A</v>
      </c>
      <c r="N444" s="443" t="e">
        <f t="shared" si="583"/>
        <v>#N/A</v>
      </c>
      <c r="O444" s="444"/>
      <c r="P444" s="447" t="e">
        <f t="shared" si="584"/>
        <v>#N/A</v>
      </c>
      <c r="Q444" s="448"/>
      <c r="R444" s="103">
        <f t="shared" si="642"/>
        <v>0</v>
      </c>
      <c r="S444" s="104">
        <f t="shared" si="642"/>
        <v>0</v>
      </c>
      <c r="T444" s="104">
        <f t="shared" si="643"/>
        <v>0</v>
      </c>
      <c r="U444" s="104">
        <f t="shared" si="643"/>
        <v>0</v>
      </c>
      <c r="V444" s="104">
        <f t="shared" si="643"/>
        <v>9.9999999999999995E-8</v>
      </c>
      <c r="W444" s="104">
        <f t="shared" si="643"/>
        <v>0</v>
      </c>
      <c r="X444" s="104">
        <f t="shared" si="639"/>
        <v>0</v>
      </c>
      <c r="Y444" s="104">
        <f t="shared" si="639"/>
        <v>9.9999999999999995E-8</v>
      </c>
      <c r="Z444" s="104">
        <f t="shared" si="639"/>
        <v>9.9999999999999995E-8</v>
      </c>
      <c r="AA444" s="105">
        <f t="shared" si="639"/>
        <v>9.9999999999999995E-8</v>
      </c>
      <c r="AB444" s="101" t="e">
        <f>$DT444*HLOOKUP($J444,'Construction Costs (timber)'!$B$1:$V$32,'Construction Planner'!$L444+2,FALSE)</f>
        <v>#N/A</v>
      </c>
      <c r="AC444" s="14" t="e">
        <f>$DT444*HLOOKUP($J444,'Construction Costs (clay)'!$B$1:$V$32,'Construction Planner'!$L444+2,FALSE)</f>
        <v>#N/A</v>
      </c>
      <c r="AD444" s="14" t="e">
        <f>$DT444*HLOOKUP($J444,'Construction Costs (iron)'!$B$1:$V$32,'Construction Planner'!$L444+2,FALSE)</f>
        <v>#N/A</v>
      </c>
      <c r="AE444" s="34" t="e">
        <f t="shared" si="619"/>
        <v>#N/A</v>
      </c>
      <c r="AF444" s="33" t="e">
        <f t="shared" si="563"/>
        <v>#N/A</v>
      </c>
      <c r="AG444" s="14" t="e">
        <f t="shared" si="564"/>
        <v>#N/A</v>
      </c>
      <c r="AH444" s="14" t="e">
        <f t="shared" si="565"/>
        <v>#N/A</v>
      </c>
      <c r="AI444" s="34" t="e">
        <f t="shared" si="620"/>
        <v>#N/A</v>
      </c>
      <c r="AJ444" s="49" t="e">
        <f t="shared" si="585"/>
        <v>#N/A</v>
      </c>
      <c r="AK444" s="49" t="e">
        <f t="shared" si="586"/>
        <v>#N/A</v>
      </c>
      <c r="AL444" s="49" t="e">
        <f t="shared" si="587"/>
        <v>#N/A</v>
      </c>
      <c r="AM444" s="25">
        <f t="shared" si="566"/>
        <v>30</v>
      </c>
      <c r="AN444" s="25">
        <f t="shared" si="567"/>
        <v>30</v>
      </c>
      <c r="AO444" s="25">
        <f t="shared" si="568"/>
        <v>30</v>
      </c>
      <c r="AP444" s="52" t="e">
        <f t="shared" si="640"/>
        <v>#N/A</v>
      </c>
      <c r="AQ444" s="53" t="e">
        <f t="shared" si="640"/>
        <v>#N/A</v>
      </c>
      <c r="AR444" s="54" t="e">
        <f t="shared" si="640"/>
        <v>#N/A</v>
      </c>
      <c r="AS444" s="316">
        <f t="shared" si="644"/>
        <v>0</v>
      </c>
      <c r="AT444" s="106">
        <f>_xlfn.IFNA($M444/VLOOKUP($BT444,'Unit information'!$A$2:$K$29,2,FALSE)*R444,0)*(1+$E$9)</f>
        <v>0</v>
      </c>
      <c r="AU444" s="107">
        <f>_xlfn.IFNA($M444/VLOOKUP($BT444,'Unit information'!$A$2:$K$29,3,FALSE)*S444,0)*(1+$E$9)</f>
        <v>0</v>
      </c>
      <c r="AV444" s="107">
        <f>_xlfn.IFNA($M444/VLOOKUP($BT444,'Unit information'!$A$2:$K$29,4,FALSE)*T444,0)*(1+$E$9)</f>
        <v>0</v>
      </c>
      <c r="AW444" s="107">
        <f>_xlfn.IFNA($M444/VLOOKUP($BT444,'Unit information'!$A$2:$K$29,5,FALSE)*U444,0)*(1+$E$9)</f>
        <v>0</v>
      </c>
      <c r="AX444" s="107">
        <f>_xlfn.IFNA($M444/VLOOKUP($BU444,'Unit information'!$A$2:$K$29,6,FALSE)*V444,0)*(1+$E$9)</f>
        <v>0</v>
      </c>
      <c r="AY444" s="107">
        <f>_xlfn.IFNA($M444/VLOOKUP($BU444,'Unit information'!$A$2:$K$29,7,FALSE)*W444,0)*(1+$E$9)</f>
        <v>0</v>
      </c>
      <c r="AZ444" s="107">
        <f>_xlfn.IFNA($M444/VLOOKUP($BU444,'Unit information'!$A$2:$K$29,8,FALSE)*X444,0)*(1+$E$9)</f>
        <v>0</v>
      </c>
      <c r="BA444" s="107">
        <f>_xlfn.IFNA($M444/VLOOKUP($BU444,'Unit information'!$A$2:$K$29,9,FALSE)*Y444,0)*(1+$E$9)</f>
        <v>0</v>
      </c>
      <c r="BB444" s="107">
        <f>_xlfn.IFNA($M444/VLOOKUP($BV444,'Unit information'!$A$2:$K$29,10,FALSE)*Z444,0)*(1+$E$9)</f>
        <v>0</v>
      </c>
      <c r="BC444" s="108">
        <f>_xlfn.IFNA($M444/VLOOKUP($BV444,'Unit information'!$A$2:$K$29,11,FALSE)*AA444,0)*(1+$E$9)</f>
        <v>0</v>
      </c>
      <c r="BD444" s="106">
        <f t="shared" si="569"/>
        <v>0</v>
      </c>
      <c r="BE444" s="107">
        <f t="shared" si="570"/>
        <v>0</v>
      </c>
      <c r="BF444" s="108">
        <f t="shared" si="571"/>
        <v>0</v>
      </c>
      <c r="BG444" s="25" t="e">
        <f t="shared" si="572"/>
        <v>#N/A</v>
      </c>
      <c r="BH444" s="25" t="e">
        <f t="shared" si="573"/>
        <v>#N/A</v>
      </c>
      <c r="BI444" s="25" t="e">
        <f t="shared" si="574"/>
        <v>#N/A</v>
      </c>
      <c r="BJ444" s="27" t="e">
        <f t="shared" si="575"/>
        <v>#N/A</v>
      </c>
      <c r="BK444" s="18" t="e">
        <f t="shared" si="576"/>
        <v>#N/A</v>
      </c>
      <c r="BL444" s="18" t="e">
        <f t="shared" si="577"/>
        <v>#N/A</v>
      </c>
      <c r="BM444" s="28" t="e">
        <f t="shared" si="622"/>
        <v>#N/A</v>
      </c>
      <c r="BN444" s="33">
        <f>HLOOKUP("maximum population",Miscelaneous!$C$1:$C$33,CH444+3,FALSE)</f>
        <v>240</v>
      </c>
      <c r="BO444" s="14">
        <f t="shared" si="589"/>
        <v>32</v>
      </c>
      <c r="BP444" s="14">
        <f t="shared" si="590"/>
        <v>0</v>
      </c>
      <c r="BQ444" s="14">
        <f t="shared" si="591"/>
        <v>208</v>
      </c>
      <c r="BR444" s="34" t="e">
        <f>HLOOKUP(J444,Villagers!$B$1:$V$33,L444+3,FALSE)-HLOOKUP(J444,Villagers!$B$1:$V$33,L444+2,FALSE)</f>
        <v>#N/A</v>
      </c>
      <c r="BS444" s="49">
        <f t="shared" si="592"/>
        <v>1</v>
      </c>
      <c r="BT444" s="50">
        <f t="shared" si="593"/>
        <v>0</v>
      </c>
      <c r="BU444" s="50">
        <f t="shared" si="594"/>
        <v>0</v>
      </c>
      <c r="BV444" s="50">
        <f t="shared" si="595"/>
        <v>0</v>
      </c>
      <c r="BW444" s="50">
        <f t="shared" si="646"/>
        <v>0</v>
      </c>
      <c r="BX444" s="50">
        <f t="shared" si="645"/>
        <v>0</v>
      </c>
      <c r="BY444" s="50">
        <f t="shared" si="645"/>
        <v>0</v>
      </c>
      <c r="BZ444" s="50">
        <f t="shared" si="623"/>
        <v>0</v>
      </c>
      <c r="CA444" s="50">
        <f t="shared" si="624"/>
        <v>0</v>
      </c>
      <c r="CB444" s="50">
        <f t="shared" si="625"/>
        <v>1</v>
      </c>
      <c r="CC444" s="50">
        <f t="shared" si="626"/>
        <v>0</v>
      </c>
      <c r="CD444" s="50">
        <f t="shared" si="627"/>
        <v>0</v>
      </c>
      <c r="CE444" s="50">
        <f t="shared" si="628"/>
        <v>1</v>
      </c>
      <c r="CF444" s="50">
        <f t="shared" si="629"/>
        <v>1</v>
      </c>
      <c r="CG444" s="50">
        <f t="shared" si="630"/>
        <v>1</v>
      </c>
      <c r="CH444" s="50">
        <f t="shared" si="631"/>
        <v>1</v>
      </c>
      <c r="CI444" s="50">
        <f t="shared" si="632"/>
        <v>1</v>
      </c>
      <c r="CJ444" s="50">
        <f t="shared" si="633"/>
        <v>1</v>
      </c>
      <c r="CK444" s="50">
        <f t="shared" si="633"/>
        <v>0</v>
      </c>
      <c r="CL444" s="50">
        <f t="shared" si="633"/>
        <v>0</v>
      </c>
      <c r="CM444" s="51">
        <f t="shared" si="634"/>
        <v>0</v>
      </c>
      <c r="CN444" s="33">
        <f>ROUND(IF(BS444=0,0,HLOOKUP(BS$14,Villagers!$B$1:$V$33,BS444+3,FALSE)),)</f>
        <v>5</v>
      </c>
      <c r="CO444" s="14">
        <f>ROUND(IF(BT444=0,0,HLOOKUP(BT$14,Villagers!$B$1:$V$33,BT444+3,FALSE)),)</f>
        <v>0</v>
      </c>
      <c r="CP444" s="14">
        <f>ROUND(IF(BU444=0,0,HLOOKUP(BU$14,Villagers!$B$1:$V$33,BU444+3,FALSE)),)</f>
        <v>0</v>
      </c>
      <c r="CQ444" s="14">
        <f>ROUND(IF(BV444=0,0,HLOOKUP(BV$14,Villagers!$B$1:$V$33,BV444+3,FALSE)),)</f>
        <v>0</v>
      </c>
      <c r="CR444" s="14">
        <f>ROUND(IF(BW444=0,0,HLOOKUP(BW$14,Villagers!$B$1:$V$33,BW444+3,FALSE)),)</f>
        <v>0</v>
      </c>
      <c r="CS444" s="14">
        <f>ROUND(IF(BX444=0,0,HLOOKUP(BX$14,Villagers!$B$1:$V$33,BX444+3,FALSE)),)</f>
        <v>0</v>
      </c>
      <c r="CT444" s="14">
        <f>ROUND(IF(BY444=0,0,HLOOKUP(BY$14,Villagers!$B$1:$V$33,BY444+3,FALSE)),)</f>
        <v>0</v>
      </c>
      <c r="CU444" s="14">
        <f>ROUND(IF(BZ444=0,0,HLOOKUP(BZ$14,Villagers!$B$1:$V$33,BZ444+3,FALSE)),)</f>
        <v>0</v>
      </c>
      <c r="CV444" s="14">
        <f>ROUND(IF(CA444=0,0,HLOOKUP(CA$14,Villagers!$B$1:$V$33,CA444+3,FALSE)),)</f>
        <v>0</v>
      </c>
      <c r="CW444" s="14">
        <f>ROUND(IF(CB444=0,0,HLOOKUP(CB$14,Villagers!$B$1:$V$33,CB444+3,FALSE)),)</f>
        <v>0</v>
      </c>
      <c r="CX444" s="14">
        <f>ROUND(IF(CC444=0,0,HLOOKUP(CC$14,Villagers!$B$1:$V$33,CC444+3,FALSE)),)</f>
        <v>0</v>
      </c>
      <c r="CY444" s="14">
        <f>ROUND(IF(CD444=0,0,HLOOKUP(CD$14,Villagers!$B$1:$V$33,CD444+3,FALSE)),)</f>
        <v>0</v>
      </c>
      <c r="CZ444" s="14">
        <f>ROUND(IF(CE444=0,0,HLOOKUP(CE$14,Villagers!$B$1:$V$33,CE444+3,FALSE)),)</f>
        <v>5</v>
      </c>
      <c r="DA444" s="14">
        <f>ROUND(IF(CF444=0,0,HLOOKUP(CF$14,Villagers!$B$1:$V$33,CF444+3,FALSE)),)</f>
        <v>10</v>
      </c>
      <c r="DB444" s="14">
        <f>ROUND(IF(CG444=0,0,HLOOKUP(CG$14,Villagers!$B$1:$V$33,CG444+3,FALSE)),)</f>
        <v>10</v>
      </c>
      <c r="DC444" s="14">
        <f>ROUND(IF(CH444=0,0,HLOOKUP(CH$14,Villagers!$B$1:$V$33,CH444+3,FALSE)),)</f>
        <v>0</v>
      </c>
      <c r="DD444" s="14">
        <f>ROUND(IF(CI444=0,0,HLOOKUP(CI$14,Villagers!$B$1:$V$33,CI444+3,FALSE)),)</f>
        <v>0</v>
      </c>
      <c r="DE444" s="14">
        <f>ROUND(IF(CJ444=0,0,HLOOKUP(CJ$14,Villagers!$B$1:$V$33,CJ444+3,FALSE)),)</f>
        <v>2</v>
      </c>
      <c r="DF444" s="370">
        <f>ROUND(IF(CK444=0,0,HLOOKUP(CK$14,Villagers!$B$1:$V$33,CK444+3,FALSE)),)</f>
        <v>0</v>
      </c>
      <c r="DG444" s="370">
        <f>ROUND(IF(CL444=0,0,HLOOKUP(CL$14,Villagers!$B$1:$V$33,CL444+3,FALSE)),)</f>
        <v>0</v>
      </c>
      <c r="DH444" s="34">
        <f>ROUND(IF(CM444=0,0,HLOOKUP(CM$14,Villagers!$B$1:$V$33,CM444+3,FALSE)),)</f>
        <v>0</v>
      </c>
      <c r="DI444" s="109">
        <f t="shared" si="611"/>
        <v>0</v>
      </c>
      <c r="DJ444" s="50">
        <f t="shared" si="612"/>
        <v>0</v>
      </c>
      <c r="DK444" s="50">
        <f t="shared" si="613"/>
        <v>0</v>
      </c>
      <c r="DL444" s="50">
        <f t="shared" si="614"/>
        <v>0</v>
      </c>
      <c r="DM444" s="50">
        <f t="shared" si="615"/>
        <v>0</v>
      </c>
      <c r="DN444" s="50">
        <f t="shared" si="616"/>
        <v>0</v>
      </c>
      <c r="DO444" s="50">
        <f t="shared" si="617"/>
        <v>0</v>
      </c>
      <c r="DP444" s="50">
        <f t="shared" si="618"/>
        <v>0</v>
      </c>
      <c r="DQ444" s="50">
        <f t="shared" si="596"/>
        <v>0</v>
      </c>
      <c r="DR444" s="50">
        <f t="shared" si="597"/>
        <v>0</v>
      </c>
      <c r="DS444" s="96">
        <f>Miscelaneous!$D$4*Miscelaneous!$D$2^($CI444-1)</f>
        <v>1000</v>
      </c>
      <c r="DT444" s="333">
        <f t="shared" si="579"/>
        <v>1</v>
      </c>
      <c r="DU444" s="81">
        <v>1</v>
      </c>
      <c r="DV444" s="79">
        <f t="shared" si="598"/>
        <v>0</v>
      </c>
      <c r="DW444" s="79">
        <f t="shared" si="599"/>
        <v>0</v>
      </c>
      <c r="DX444" s="79">
        <f t="shared" si="600"/>
        <v>0</v>
      </c>
      <c r="DY444" s="79">
        <v>1</v>
      </c>
      <c r="DZ444" s="79">
        <f t="shared" si="601"/>
        <v>0</v>
      </c>
      <c r="EA444" s="79">
        <f t="shared" si="602"/>
        <v>0</v>
      </c>
      <c r="EB444" s="79">
        <f t="shared" si="603"/>
        <v>0</v>
      </c>
      <c r="EC444" s="79">
        <f t="shared" si="604"/>
        <v>0</v>
      </c>
      <c r="ED444" s="79">
        <v>1</v>
      </c>
      <c r="EE444" s="79">
        <v>1</v>
      </c>
      <c r="EF444" s="79">
        <f t="shared" si="605"/>
        <v>0</v>
      </c>
      <c r="EG444" s="79">
        <v>1</v>
      </c>
      <c r="EH444" s="79">
        <v>1</v>
      </c>
      <c r="EI444" s="79">
        <v>1</v>
      </c>
      <c r="EJ444" s="79">
        <v>1</v>
      </c>
      <c r="EK444" s="79">
        <v>1</v>
      </c>
      <c r="EL444" s="79">
        <v>1</v>
      </c>
      <c r="EM444" s="143">
        <f t="shared" si="606"/>
        <v>0</v>
      </c>
      <c r="EN444" s="143">
        <f t="shared" si="607"/>
        <v>0</v>
      </c>
      <c r="EO444" s="82">
        <f t="shared" si="608"/>
        <v>0</v>
      </c>
    </row>
    <row r="445" spans="1:145" x14ac:dyDescent="0.25">
      <c r="A445">
        <v>431</v>
      </c>
      <c r="B445" s="172" t="e">
        <f t="shared" si="580"/>
        <v>#N/A</v>
      </c>
      <c r="C445" s="121" t="e">
        <f t="shared" si="558"/>
        <v>#N/A</v>
      </c>
      <c r="D445" s="122" t="e">
        <f t="shared" si="559"/>
        <v>#N/A</v>
      </c>
      <c r="E445" s="122" t="e">
        <f t="shared" si="560"/>
        <v>#N/A</v>
      </c>
      <c r="F445" s="176" t="e">
        <f t="shared" si="561"/>
        <v>#N/A</v>
      </c>
      <c r="G445" s="121">
        <f t="shared" si="581"/>
        <v>208</v>
      </c>
      <c r="H445" s="176" t="e">
        <f t="shared" si="582"/>
        <v>#N/A</v>
      </c>
      <c r="I445" s="48">
        <v>1</v>
      </c>
      <c r="J445" s="39"/>
      <c r="K445" s="350">
        <v>1</v>
      </c>
      <c r="L445" s="34" t="e">
        <f t="shared" si="562"/>
        <v>#N/A</v>
      </c>
      <c r="M445" s="38" t="e">
        <f>(HLOOKUP(J445,'Construction Times'!$B$3:$W$34,L445+2,FALSE)*HLOOKUP("hq modifier",'Construction Times'!$W$3:$W$34,BS445+2,FALSE))*(1-$H$9)</f>
        <v>#N/A</v>
      </c>
      <c r="N445" s="443" t="e">
        <f t="shared" si="583"/>
        <v>#N/A</v>
      </c>
      <c r="O445" s="444"/>
      <c r="P445" s="447" t="e">
        <f t="shared" si="584"/>
        <v>#N/A</v>
      </c>
      <c r="Q445" s="448"/>
      <c r="R445" s="103">
        <f t="shared" si="642"/>
        <v>0</v>
      </c>
      <c r="S445" s="104">
        <f t="shared" si="642"/>
        <v>0</v>
      </c>
      <c r="T445" s="104">
        <f t="shared" si="643"/>
        <v>0</v>
      </c>
      <c r="U445" s="104">
        <f t="shared" si="643"/>
        <v>0</v>
      </c>
      <c r="V445" s="104">
        <f t="shared" si="643"/>
        <v>9.9999999999999995E-8</v>
      </c>
      <c r="W445" s="104">
        <f t="shared" si="643"/>
        <v>0</v>
      </c>
      <c r="X445" s="104">
        <f t="shared" si="639"/>
        <v>0</v>
      </c>
      <c r="Y445" s="104">
        <f t="shared" si="639"/>
        <v>9.9999999999999995E-8</v>
      </c>
      <c r="Z445" s="104">
        <f t="shared" si="639"/>
        <v>9.9999999999999995E-8</v>
      </c>
      <c r="AA445" s="105">
        <f t="shared" si="639"/>
        <v>9.9999999999999995E-8</v>
      </c>
      <c r="AB445" s="101" t="e">
        <f>$DT445*HLOOKUP($J445,'Construction Costs (timber)'!$B$1:$V$32,'Construction Planner'!$L445+2,FALSE)</f>
        <v>#N/A</v>
      </c>
      <c r="AC445" s="14" t="e">
        <f>$DT445*HLOOKUP($J445,'Construction Costs (clay)'!$B$1:$V$32,'Construction Planner'!$L445+2,FALSE)</f>
        <v>#N/A</v>
      </c>
      <c r="AD445" s="14" t="e">
        <f>$DT445*HLOOKUP($J445,'Construction Costs (iron)'!$B$1:$V$32,'Construction Planner'!$L445+2,FALSE)</f>
        <v>#N/A</v>
      </c>
      <c r="AE445" s="34" t="e">
        <f t="shared" si="619"/>
        <v>#N/A</v>
      </c>
      <c r="AF445" s="33" t="e">
        <f t="shared" si="563"/>
        <v>#N/A</v>
      </c>
      <c r="AG445" s="14" t="e">
        <f t="shared" si="564"/>
        <v>#N/A</v>
      </c>
      <c r="AH445" s="14" t="e">
        <f t="shared" si="565"/>
        <v>#N/A</v>
      </c>
      <c r="AI445" s="34" t="e">
        <f t="shared" si="620"/>
        <v>#N/A</v>
      </c>
      <c r="AJ445" s="49" t="e">
        <f t="shared" si="585"/>
        <v>#N/A</v>
      </c>
      <c r="AK445" s="49" t="e">
        <f t="shared" si="586"/>
        <v>#N/A</v>
      </c>
      <c r="AL445" s="49" t="e">
        <f t="shared" si="587"/>
        <v>#N/A</v>
      </c>
      <c r="AM445" s="25">
        <f t="shared" si="566"/>
        <v>30</v>
      </c>
      <c r="AN445" s="25">
        <f t="shared" si="567"/>
        <v>30</v>
      </c>
      <c r="AO445" s="25">
        <f t="shared" si="568"/>
        <v>30</v>
      </c>
      <c r="AP445" s="52" t="e">
        <f t="shared" si="640"/>
        <v>#N/A</v>
      </c>
      <c r="AQ445" s="53" t="e">
        <f t="shared" si="640"/>
        <v>#N/A</v>
      </c>
      <c r="AR445" s="54" t="e">
        <f t="shared" si="640"/>
        <v>#N/A</v>
      </c>
      <c r="AS445" s="316">
        <f t="shared" si="644"/>
        <v>0</v>
      </c>
      <c r="AT445" s="106">
        <f>_xlfn.IFNA($M445/VLOOKUP($BT445,'Unit information'!$A$2:$K$29,2,FALSE)*R445,0)*(1+$E$9)</f>
        <v>0</v>
      </c>
      <c r="AU445" s="107">
        <f>_xlfn.IFNA($M445/VLOOKUP($BT445,'Unit information'!$A$2:$K$29,3,FALSE)*S445,0)*(1+$E$9)</f>
        <v>0</v>
      </c>
      <c r="AV445" s="107">
        <f>_xlfn.IFNA($M445/VLOOKUP($BT445,'Unit information'!$A$2:$K$29,4,FALSE)*T445,0)*(1+$E$9)</f>
        <v>0</v>
      </c>
      <c r="AW445" s="107">
        <f>_xlfn.IFNA($M445/VLOOKUP($BT445,'Unit information'!$A$2:$K$29,5,FALSE)*U445,0)*(1+$E$9)</f>
        <v>0</v>
      </c>
      <c r="AX445" s="107">
        <f>_xlfn.IFNA($M445/VLOOKUP($BU445,'Unit information'!$A$2:$K$29,6,FALSE)*V445,0)*(1+$E$9)</f>
        <v>0</v>
      </c>
      <c r="AY445" s="107">
        <f>_xlfn.IFNA($M445/VLOOKUP($BU445,'Unit information'!$A$2:$K$29,7,FALSE)*W445,0)*(1+$E$9)</f>
        <v>0</v>
      </c>
      <c r="AZ445" s="107">
        <f>_xlfn.IFNA($M445/VLOOKUP($BU445,'Unit information'!$A$2:$K$29,8,FALSE)*X445,0)*(1+$E$9)</f>
        <v>0</v>
      </c>
      <c r="BA445" s="107">
        <f>_xlfn.IFNA($M445/VLOOKUP($BU445,'Unit information'!$A$2:$K$29,9,FALSE)*Y445,0)*(1+$E$9)</f>
        <v>0</v>
      </c>
      <c r="BB445" s="107">
        <f>_xlfn.IFNA($M445/VLOOKUP($BV445,'Unit information'!$A$2:$K$29,10,FALSE)*Z445,0)*(1+$E$9)</f>
        <v>0</v>
      </c>
      <c r="BC445" s="108">
        <f>_xlfn.IFNA($M445/VLOOKUP($BV445,'Unit information'!$A$2:$K$29,11,FALSE)*AA445,0)*(1+$E$9)</f>
        <v>0</v>
      </c>
      <c r="BD445" s="106">
        <f t="shared" si="569"/>
        <v>0</v>
      </c>
      <c r="BE445" s="107">
        <f t="shared" si="570"/>
        <v>0</v>
      </c>
      <c r="BF445" s="108">
        <f t="shared" si="571"/>
        <v>0</v>
      </c>
      <c r="BG445" s="25" t="e">
        <f t="shared" si="572"/>
        <v>#N/A</v>
      </c>
      <c r="BH445" s="25" t="e">
        <f t="shared" si="573"/>
        <v>#N/A</v>
      </c>
      <c r="BI445" s="25" t="e">
        <f t="shared" si="574"/>
        <v>#N/A</v>
      </c>
      <c r="BJ445" s="27" t="e">
        <f t="shared" si="575"/>
        <v>#N/A</v>
      </c>
      <c r="BK445" s="18" t="e">
        <f t="shared" si="576"/>
        <v>#N/A</v>
      </c>
      <c r="BL445" s="18" t="e">
        <f t="shared" si="577"/>
        <v>#N/A</v>
      </c>
      <c r="BM445" s="28" t="e">
        <f t="shared" si="622"/>
        <v>#N/A</v>
      </c>
      <c r="BN445" s="33">
        <f>HLOOKUP("maximum population",Miscelaneous!$C$1:$C$33,CH445+3,FALSE)</f>
        <v>240</v>
      </c>
      <c r="BO445" s="14">
        <f t="shared" si="589"/>
        <v>32</v>
      </c>
      <c r="BP445" s="14">
        <f t="shared" si="590"/>
        <v>0</v>
      </c>
      <c r="BQ445" s="14">
        <f t="shared" si="591"/>
        <v>208</v>
      </c>
      <c r="BR445" s="34" t="e">
        <f>HLOOKUP(J445,Villagers!$B$1:$V$33,L445+3,FALSE)-HLOOKUP(J445,Villagers!$B$1:$V$33,L445+2,FALSE)</f>
        <v>#N/A</v>
      </c>
      <c r="BS445" s="49">
        <f t="shared" si="592"/>
        <v>1</v>
      </c>
      <c r="BT445" s="50">
        <f t="shared" si="593"/>
        <v>0</v>
      </c>
      <c r="BU445" s="50">
        <f t="shared" si="594"/>
        <v>0</v>
      </c>
      <c r="BV445" s="50">
        <f t="shared" si="595"/>
        <v>0</v>
      </c>
      <c r="BW445" s="50">
        <f t="shared" si="646"/>
        <v>0</v>
      </c>
      <c r="BX445" s="50">
        <f t="shared" si="645"/>
        <v>0</v>
      </c>
      <c r="BY445" s="50">
        <f t="shared" si="645"/>
        <v>0</v>
      </c>
      <c r="BZ445" s="50">
        <f t="shared" si="623"/>
        <v>0</v>
      </c>
      <c r="CA445" s="50">
        <f t="shared" si="624"/>
        <v>0</v>
      </c>
      <c r="CB445" s="50">
        <f t="shared" si="625"/>
        <v>1</v>
      </c>
      <c r="CC445" s="50">
        <f t="shared" si="626"/>
        <v>0</v>
      </c>
      <c r="CD445" s="50">
        <f t="shared" si="627"/>
        <v>0</v>
      </c>
      <c r="CE445" s="50">
        <f t="shared" si="628"/>
        <v>1</v>
      </c>
      <c r="CF445" s="50">
        <f t="shared" si="629"/>
        <v>1</v>
      </c>
      <c r="CG445" s="50">
        <f t="shared" si="630"/>
        <v>1</v>
      </c>
      <c r="CH445" s="50">
        <f t="shared" si="631"/>
        <v>1</v>
      </c>
      <c r="CI445" s="50">
        <f t="shared" si="632"/>
        <v>1</v>
      </c>
      <c r="CJ445" s="50">
        <f t="shared" si="633"/>
        <v>1</v>
      </c>
      <c r="CK445" s="50">
        <f t="shared" si="633"/>
        <v>0</v>
      </c>
      <c r="CL445" s="50">
        <f t="shared" si="633"/>
        <v>0</v>
      </c>
      <c r="CM445" s="51">
        <f t="shared" si="634"/>
        <v>0</v>
      </c>
      <c r="CN445" s="33">
        <f>ROUND(IF(BS445=0,0,HLOOKUP(BS$14,Villagers!$B$1:$V$33,BS445+3,FALSE)),)</f>
        <v>5</v>
      </c>
      <c r="CO445" s="14">
        <f>ROUND(IF(BT445=0,0,HLOOKUP(BT$14,Villagers!$B$1:$V$33,BT445+3,FALSE)),)</f>
        <v>0</v>
      </c>
      <c r="CP445" s="14">
        <f>ROUND(IF(BU445=0,0,HLOOKUP(BU$14,Villagers!$B$1:$V$33,BU445+3,FALSE)),)</f>
        <v>0</v>
      </c>
      <c r="CQ445" s="14">
        <f>ROUND(IF(BV445=0,0,HLOOKUP(BV$14,Villagers!$B$1:$V$33,BV445+3,FALSE)),)</f>
        <v>0</v>
      </c>
      <c r="CR445" s="14">
        <f>ROUND(IF(BW445=0,0,HLOOKUP(BW$14,Villagers!$B$1:$V$33,BW445+3,FALSE)),)</f>
        <v>0</v>
      </c>
      <c r="CS445" s="14">
        <f>ROUND(IF(BX445=0,0,HLOOKUP(BX$14,Villagers!$B$1:$V$33,BX445+3,FALSE)),)</f>
        <v>0</v>
      </c>
      <c r="CT445" s="14">
        <f>ROUND(IF(BY445=0,0,HLOOKUP(BY$14,Villagers!$B$1:$V$33,BY445+3,FALSE)),)</f>
        <v>0</v>
      </c>
      <c r="CU445" s="14">
        <f>ROUND(IF(BZ445=0,0,HLOOKUP(BZ$14,Villagers!$B$1:$V$33,BZ445+3,FALSE)),)</f>
        <v>0</v>
      </c>
      <c r="CV445" s="14">
        <f>ROUND(IF(CA445=0,0,HLOOKUP(CA$14,Villagers!$B$1:$V$33,CA445+3,FALSE)),)</f>
        <v>0</v>
      </c>
      <c r="CW445" s="14">
        <f>ROUND(IF(CB445=0,0,HLOOKUP(CB$14,Villagers!$B$1:$V$33,CB445+3,FALSE)),)</f>
        <v>0</v>
      </c>
      <c r="CX445" s="14">
        <f>ROUND(IF(CC445=0,0,HLOOKUP(CC$14,Villagers!$B$1:$V$33,CC445+3,FALSE)),)</f>
        <v>0</v>
      </c>
      <c r="CY445" s="14">
        <f>ROUND(IF(CD445=0,0,HLOOKUP(CD$14,Villagers!$B$1:$V$33,CD445+3,FALSE)),)</f>
        <v>0</v>
      </c>
      <c r="CZ445" s="14">
        <f>ROUND(IF(CE445=0,0,HLOOKUP(CE$14,Villagers!$B$1:$V$33,CE445+3,FALSE)),)</f>
        <v>5</v>
      </c>
      <c r="DA445" s="14">
        <f>ROUND(IF(CF445=0,0,HLOOKUP(CF$14,Villagers!$B$1:$V$33,CF445+3,FALSE)),)</f>
        <v>10</v>
      </c>
      <c r="DB445" s="14">
        <f>ROUND(IF(CG445=0,0,HLOOKUP(CG$14,Villagers!$B$1:$V$33,CG445+3,FALSE)),)</f>
        <v>10</v>
      </c>
      <c r="DC445" s="14">
        <f>ROUND(IF(CH445=0,0,HLOOKUP(CH$14,Villagers!$B$1:$V$33,CH445+3,FALSE)),)</f>
        <v>0</v>
      </c>
      <c r="DD445" s="14">
        <f>ROUND(IF(CI445=0,0,HLOOKUP(CI$14,Villagers!$B$1:$V$33,CI445+3,FALSE)),)</f>
        <v>0</v>
      </c>
      <c r="DE445" s="14">
        <f>ROUND(IF(CJ445=0,0,HLOOKUP(CJ$14,Villagers!$B$1:$V$33,CJ445+3,FALSE)),)</f>
        <v>2</v>
      </c>
      <c r="DF445" s="370">
        <f>ROUND(IF(CK445=0,0,HLOOKUP(CK$14,Villagers!$B$1:$V$33,CK445+3,FALSE)),)</f>
        <v>0</v>
      </c>
      <c r="DG445" s="370">
        <f>ROUND(IF(CL445=0,0,HLOOKUP(CL$14,Villagers!$B$1:$V$33,CL445+3,FALSE)),)</f>
        <v>0</v>
      </c>
      <c r="DH445" s="34">
        <f>ROUND(IF(CM445=0,0,HLOOKUP(CM$14,Villagers!$B$1:$V$33,CM445+3,FALSE)),)</f>
        <v>0</v>
      </c>
      <c r="DI445" s="109">
        <f t="shared" si="611"/>
        <v>0</v>
      </c>
      <c r="DJ445" s="50">
        <f t="shared" si="612"/>
        <v>0</v>
      </c>
      <c r="DK445" s="50">
        <f t="shared" si="613"/>
        <v>0</v>
      </c>
      <c r="DL445" s="50">
        <f t="shared" si="614"/>
        <v>0</v>
      </c>
      <c r="DM445" s="50">
        <f t="shared" si="615"/>
        <v>0</v>
      </c>
      <c r="DN445" s="50">
        <f t="shared" si="616"/>
        <v>0</v>
      </c>
      <c r="DO445" s="50">
        <f t="shared" si="617"/>
        <v>0</v>
      </c>
      <c r="DP445" s="50">
        <f t="shared" si="618"/>
        <v>0</v>
      </c>
      <c r="DQ445" s="50">
        <f t="shared" si="596"/>
        <v>0</v>
      </c>
      <c r="DR445" s="50">
        <f t="shared" si="597"/>
        <v>0</v>
      </c>
      <c r="DS445" s="96">
        <f>Miscelaneous!$D$4*Miscelaneous!$D$2^($CI445-1)</f>
        <v>1000</v>
      </c>
      <c r="DT445" s="333">
        <f t="shared" si="579"/>
        <v>1</v>
      </c>
      <c r="DU445" s="81">
        <v>1</v>
      </c>
      <c r="DV445" s="79">
        <f t="shared" si="598"/>
        <v>0</v>
      </c>
      <c r="DW445" s="79">
        <f t="shared" si="599"/>
        <v>0</v>
      </c>
      <c r="DX445" s="79">
        <f t="shared" si="600"/>
        <v>0</v>
      </c>
      <c r="DY445" s="79">
        <v>1</v>
      </c>
      <c r="DZ445" s="79">
        <f t="shared" si="601"/>
        <v>0</v>
      </c>
      <c r="EA445" s="79">
        <f t="shared" si="602"/>
        <v>0</v>
      </c>
      <c r="EB445" s="79">
        <f t="shared" si="603"/>
        <v>0</v>
      </c>
      <c r="EC445" s="79">
        <f t="shared" si="604"/>
        <v>0</v>
      </c>
      <c r="ED445" s="79">
        <v>1</v>
      </c>
      <c r="EE445" s="79">
        <v>1</v>
      </c>
      <c r="EF445" s="79">
        <f t="shared" si="605"/>
        <v>0</v>
      </c>
      <c r="EG445" s="79">
        <v>1</v>
      </c>
      <c r="EH445" s="79">
        <v>1</v>
      </c>
      <c r="EI445" s="79">
        <v>1</v>
      </c>
      <c r="EJ445" s="79">
        <v>1</v>
      </c>
      <c r="EK445" s="79">
        <v>1</v>
      </c>
      <c r="EL445" s="79">
        <v>1</v>
      </c>
      <c r="EM445" s="143">
        <f t="shared" si="606"/>
        <v>0</v>
      </c>
      <c r="EN445" s="143">
        <f t="shared" si="607"/>
        <v>0</v>
      </c>
      <c r="EO445" s="82">
        <f t="shared" si="608"/>
        <v>0</v>
      </c>
    </row>
    <row r="446" spans="1:145" x14ac:dyDescent="0.25">
      <c r="A446">
        <v>432</v>
      </c>
      <c r="B446" s="172" t="e">
        <f t="shared" si="580"/>
        <v>#N/A</v>
      </c>
      <c r="C446" s="121" t="e">
        <f t="shared" si="558"/>
        <v>#N/A</v>
      </c>
      <c r="D446" s="122" t="e">
        <f t="shared" si="559"/>
        <v>#N/A</v>
      </c>
      <c r="E446" s="122" t="e">
        <f t="shared" si="560"/>
        <v>#N/A</v>
      </c>
      <c r="F446" s="176" t="e">
        <f t="shared" si="561"/>
        <v>#N/A</v>
      </c>
      <c r="G446" s="121">
        <f t="shared" si="581"/>
        <v>208</v>
      </c>
      <c r="H446" s="176" t="e">
        <f t="shared" si="582"/>
        <v>#N/A</v>
      </c>
      <c r="I446" s="48">
        <v>1</v>
      </c>
      <c r="J446" s="39"/>
      <c r="K446" s="350">
        <v>1</v>
      </c>
      <c r="L446" s="34" t="e">
        <f t="shared" si="562"/>
        <v>#N/A</v>
      </c>
      <c r="M446" s="38" t="e">
        <f>(HLOOKUP(J446,'Construction Times'!$B$3:$W$34,L446+2,FALSE)*HLOOKUP("hq modifier",'Construction Times'!$W$3:$W$34,BS446+2,FALSE))*(1-$H$9)</f>
        <v>#N/A</v>
      </c>
      <c r="N446" s="443" t="e">
        <f t="shared" si="583"/>
        <v>#N/A</v>
      </c>
      <c r="O446" s="444"/>
      <c r="P446" s="447" t="e">
        <f t="shared" si="584"/>
        <v>#N/A</v>
      </c>
      <c r="Q446" s="448"/>
      <c r="R446" s="103">
        <f t="shared" si="642"/>
        <v>0</v>
      </c>
      <c r="S446" s="104">
        <f t="shared" si="642"/>
        <v>0</v>
      </c>
      <c r="T446" s="104">
        <f t="shared" si="643"/>
        <v>0</v>
      </c>
      <c r="U446" s="104">
        <f t="shared" si="643"/>
        <v>0</v>
      </c>
      <c r="V446" s="104">
        <f t="shared" si="643"/>
        <v>9.9999999999999995E-8</v>
      </c>
      <c r="W446" s="104">
        <f t="shared" si="643"/>
        <v>0</v>
      </c>
      <c r="X446" s="104">
        <f t="shared" si="639"/>
        <v>0</v>
      </c>
      <c r="Y446" s="104">
        <f t="shared" si="639"/>
        <v>9.9999999999999995E-8</v>
      </c>
      <c r="Z446" s="104">
        <f t="shared" si="639"/>
        <v>9.9999999999999995E-8</v>
      </c>
      <c r="AA446" s="105">
        <f t="shared" si="639"/>
        <v>9.9999999999999995E-8</v>
      </c>
      <c r="AB446" s="101" t="e">
        <f>$DT446*HLOOKUP($J446,'Construction Costs (timber)'!$B$1:$V$32,'Construction Planner'!$L446+2,FALSE)</f>
        <v>#N/A</v>
      </c>
      <c r="AC446" s="14" t="e">
        <f>$DT446*HLOOKUP($J446,'Construction Costs (clay)'!$B$1:$V$32,'Construction Planner'!$L446+2,FALSE)</f>
        <v>#N/A</v>
      </c>
      <c r="AD446" s="14" t="e">
        <f>$DT446*HLOOKUP($J446,'Construction Costs (iron)'!$B$1:$V$32,'Construction Planner'!$L446+2,FALSE)</f>
        <v>#N/A</v>
      </c>
      <c r="AE446" s="34" t="e">
        <f t="shared" si="619"/>
        <v>#N/A</v>
      </c>
      <c r="AF446" s="33" t="e">
        <f t="shared" si="563"/>
        <v>#N/A</v>
      </c>
      <c r="AG446" s="14" t="e">
        <f t="shared" si="564"/>
        <v>#N/A</v>
      </c>
      <c r="AH446" s="14" t="e">
        <f t="shared" si="565"/>
        <v>#N/A</v>
      </c>
      <c r="AI446" s="34" t="e">
        <f t="shared" si="620"/>
        <v>#N/A</v>
      </c>
      <c r="AJ446" s="49" t="e">
        <f t="shared" si="585"/>
        <v>#N/A</v>
      </c>
      <c r="AK446" s="49" t="e">
        <f t="shared" si="586"/>
        <v>#N/A</v>
      </c>
      <c r="AL446" s="49" t="e">
        <f t="shared" si="587"/>
        <v>#N/A</v>
      </c>
      <c r="AM446" s="25">
        <f t="shared" si="566"/>
        <v>30</v>
      </c>
      <c r="AN446" s="25">
        <f t="shared" si="567"/>
        <v>30</v>
      </c>
      <c r="AO446" s="25">
        <f t="shared" si="568"/>
        <v>30</v>
      </c>
      <c r="AP446" s="52" t="e">
        <f t="shared" si="640"/>
        <v>#N/A</v>
      </c>
      <c r="AQ446" s="53" t="e">
        <f t="shared" si="640"/>
        <v>#N/A</v>
      </c>
      <c r="AR446" s="54" t="e">
        <f t="shared" si="640"/>
        <v>#N/A</v>
      </c>
      <c r="AS446" s="316">
        <f t="shared" si="644"/>
        <v>0</v>
      </c>
      <c r="AT446" s="106">
        <f>_xlfn.IFNA($M446/VLOOKUP($BT446,'Unit information'!$A$2:$K$29,2,FALSE)*R446,0)*(1+$E$9)</f>
        <v>0</v>
      </c>
      <c r="AU446" s="107">
        <f>_xlfn.IFNA($M446/VLOOKUP($BT446,'Unit information'!$A$2:$K$29,3,FALSE)*S446,0)*(1+$E$9)</f>
        <v>0</v>
      </c>
      <c r="AV446" s="107">
        <f>_xlfn.IFNA($M446/VLOOKUP($BT446,'Unit information'!$A$2:$K$29,4,FALSE)*T446,0)*(1+$E$9)</f>
        <v>0</v>
      </c>
      <c r="AW446" s="107">
        <f>_xlfn.IFNA($M446/VLOOKUP($BT446,'Unit information'!$A$2:$K$29,5,FALSE)*U446,0)*(1+$E$9)</f>
        <v>0</v>
      </c>
      <c r="AX446" s="107">
        <f>_xlfn.IFNA($M446/VLOOKUP($BU446,'Unit information'!$A$2:$K$29,6,FALSE)*V446,0)*(1+$E$9)</f>
        <v>0</v>
      </c>
      <c r="AY446" s="107">
        <f>_xlfn.IFNA($M446/VLOOKUP($BU446,'Unit information'!$A$2:$K$29,7,FALSE)*W446,0)*(1+$E$9)</f>
        <v>0</v>
      </c>
      <c r="AZ446" s="107">
        <f>_xlfn.IFNA($M446/VLOOKUP($BU446,'Unit information'!$A$2:$K$29,8,FALSE)*X446,0)*(1+$E$9)</f>
        <v>0</v>
      </c>
      <c r="BA446" s="107">
        <f>_xlfn.IFNA($M446/VLOOKUP($BU446,'Unit information'!$A$2:$K$29,9,FALSE)*Y446,0)*(1+$E$9)</f>
        <v>0</v>
      </c>
      <c r="BB446" s="107">
        <f>_xlfn.IFNA($M446/VLOOKUP($BV446,'Unit information'!$A$2:$K$29,10,FALSE)*Z446,0)*(1+$E$9)</f>
        <v>0</v>
      </c>
      <c r="BC446" s="108">
        <f>_xlfn.IFNA($M446/VLOOKUP($BV446,'Unit information'!$A$2:$K$29,11,FALSE)*AA446,0)*(1+$E$9)</f>
        <v>0</v>
      </c>
      <c r="BD446" s="106">
        <f t="shared" si="569"/>
        <v>0</v>
      </c>
      <c r="BE446" s="107">
        <f t="shared" si="570"/>
        <v>0</v>
      </c>
      <c r="BF446" s="108">
        <f t="shared" si="571"/>
        <v>0</v>
      </c>
      <c r="BG446" s="25" t="e">
        <f t="shared" si="572"/>
        <v>#N/A</v>
      </c>
      <c r="BH446" s="25" t="e">
        <f t="shared" si="573"/>
        <v>#N/A</v>
      </c>
      <c r="BI446" s="25" t="e">
        <f t="shared" si="574"/>
        <v>#N/A</v>
      </c>
      <c r="BJ446" s="27" t="e">
        <f t="shared" si="575"/>
        <v>#N/A</v>
      </c>
      <c r="BK446" s="18" t="e">
        <f t="shared" si="576"/>
        <v>#N/A</v>
      </c>
      <c r="BL446" s="18" t="e">
        <f t="shared" si="577"/>
        <v>#N/A</v>
      </c>
      <c r="BM446" s="28" t="e">
        <f t="shared" si="622"/>
        <v>#N/A</v>
      </c>
      <c r="BN446" s="33">
        <f>HLOOKUP("maximum population",Miscelaneous!$C$1:$C$33,CH446+3,FALSE)</f>
        <v>240</v>
      </c>
      <c r="BO446" s="14">
        <f t="shared" si="589"/>
        <v>32</v>
      </c>
      <c r="BP446" s="14">
        <f t="shared" si="590"/>
        <v>0</v>
      </c>
      <c r="BQ446" s="14">
        <f t="shared" si="591"/>
        <v>208</v>
      </c>
      <c r="BR446" s="34" t="e">
        <f>HLOOKUP(J446,Villagers!$B$1:$V$33,L446+3,FALSE)-HLOOKUP(J446,Villagers!$B$1:$V$33,L446+2,FALSE)</f>
        <v>#N/A</v>
      </c>
      <c r="BS446" s="49">
        <f t="shared" si="592"/>
        <v>1</v>
      </c>
      <c r="BT446" s="50">
        <f t="shared" si="593"/>
        <v>0</v>
      </c>
      <c r="BU446" s="50">
        <f t="shared" si="594"/>
        <v>0</v>
      </c>
      <c r="BV446" s="50">
        <f t="shared" si="595"/>
        <v>0</v>
      </c>
      <c r="BW446" s="50">
        <f t="shared" si="646"/>
        <v>0</v>
      </c>
      <c r="BX446" s="50">
        <f t="shared" si="645"/>
        <v>0</v>
      </c>
      <c r="BY446" s="50">
        <f t="shared" si="645"/>
        <v>0</v>
      </c>
      <c r="BZ446" s="50">
        <f t="shared" si="623"/>
        <v>0</v>
      </c>
      <c r="CA446" s="50">
        <f t="shared" si="624"/>
        <v>0</v>
      </c>
      <c r="CB446" s="50">
        <f t="shared" si="625"/>
        <v>1</v>
      </c>
      <c r="CC446" s="50">
        <f t="shared" si="626"/>
        <v>0</v>
      </c>
      <c r="CD446" s="50">
        <f t="shared" si="627"/>
        <v>0</v>
      </c>
      <c r="CE446" s="50">
        <f t="shared" si="628"/>
        <v>1</v>
      </c>
      <c r="CF446" s="50">
        <f t="shared" si="629"/>
        <v>1</v>
      </c>
      <c r="CG446" s="50">
        <f t="shared" si="630"/>
        <v>1</v>
      </c>
      <c r="CH446" s="50">
        <f t="shared" si="631"/>
        <v>1</v>
      </c>
      <c r="CI446" s="50">
        <f t="shared" si="632"/>
        <v>1</v>
      </c>
      <c r="CJ446" s="50">
        <f t="shared" si="633"/>
        <v>1</v>
      </c>
      <c r="CK446" s="50">
        <f t="shared" si="633"/>
        <v>0</v>
      </c>
      <c r="CL446" s="50">
        <f t="shared" si="633"/>
        <v>0</v>
      </c>
      <c r="CM446" s="51">
        <f t="shared" si="634"/>
        <v>0</v>
      </c>
      <c r="CN446" s="33">
        <f>ROUND(IF(BS446=0,0,HLOOKUP(BS$14,Villagers!$B$1:$V$33,BS446+3,FALSE)),)</f>
        <v>5</v>
      </c>
      <c r="CO446" s="14">
        <f>ROUND(IF(BT446=0,0,HLOOKUP(BT$14,Villagers!$B$1:$V$33,BT446+3,FALSE)),)</f>
        <v>0</v>
      </c>
      <c r="CP446" s="14">
        <f>ROUND(IF(BU446=0,0,HLOOKUP(BU$14,Villagers!$B$1:$V$33,BU446+3,FALSE)),)</f>
        <v>0</v>
      </c>
      <c r="CQ446" s="14">
        <f>ROUND(IF(BV446=0,0,HLOOKUP(BV$14,Villagers!$B$1:$V$33,BV446+3,FALSE)),)</f>
        <v>0</v>
      </c>
      <c r="CR446" s="14">
        <f>ROUND(IF(BW446=0,0,HLOOKUP(BW$14,Villagers!$B$1:$V$33,BW446+3,FALSE)),)</f>
        <v>0</v>
      </c>
      <c r="CS446" s="14">
        <f>ROUND(IF(BX446=0,0,HLOOKUP(BX$14,Villagers!$B$1:$V$33,BX446+3,FALSE)),)</f>
        <v>0</v>
      </c>
      <c r="CT446" s="14">
        <f>ROUND(IF(BY446=0,0,HLOOKUP(BY$14,Villagers!$B$1:$V$33,BY446+3,FALSE)),)</f>
        <v>0</v>
      </c>
      <c r="CU446" s="14">
        <f>ROUND(IF(BZ446=0,0,HLOOKUP(BZ$14,Villagers!$B$1:$V$33,BZ446+3,FALSE)),)</f>
        <v>0</v>
      </c>
      <c r="CV446" s="14">
        <f>ROUND(IF(CA446=0,0,HLOOKUP(CA$14,Villagers!$B$1:$V$33,CA446+3,FALSE)),)</f>
        <v>0</v>
      </c>
      <c r="CW446" s="14">
        <f>ROUND(IF(CB446=0,0,HLOOKUP(CB$14,Villagers!$B$1:$V$33,CB446+3,FALSE)),)</f>
        <v>0</v>
      </c>
      <c r="CX446" s="14">
        <f>ROUND(IF(CC446=0,0,HLOOKUP(CC$14,Villagers!$B$1:$V$33,CC446+3,FALSE)),)</f>
        <v>0</v>
      </c>
      <c r="CY446" s="14">
        <f>ROUND(IF(CD446=0,0,HLOOKUP(CD$14,Villagers!$B$1:$V$33,CD446+3,FALSE)),)</f>
        <v>0</v>
      </c>
      <c r="CZ446" s="14">
        <f>ROUND(IF(CE446=0,0,HLOOKUP(CE$14,Villagers!$B$1:$V$33,CE446+3,FALSE)),)</f>
        <v>5</v>
      </c>
      <c r="DA446" s="14">
        <f>ROUND(IF(CF446=0,0,HLOOKUP(CF$14,Villagers!$B$1:$V$33,CF446+3,FALSE)),)</f>
        <v>10</v>
      </c>
      <c r="DB446" s="14">
        <f>ROUND(IF(CG446=0,0,HLOOKUP(CG$14,Villagers!$B$1:$V$33,CG446+3,FALSE)),)</f>
        <v>10</v>
      </c>
      <c r="DC446" s="14">
        <f>ROUND(IF(CH446=0,0,HLOOKUP(CH$14,Villagers!$B$1:$V$33,CH446+3,FALSE)),)</f>
        <v>0</v>
      </c>
      <c r="DD446" s="14">
        <f>ROUND(IF(CI446=0,0,HLOOKUP(CI$14,Villagers!$B$1:$V$33,CI446+3,FALSE)),)</f>
        <v>0</v>
      </c>
      <c r="DE446" s="14">
        <f>ROUND(IF(CJ446=0,0,HLOOKUP(CJ$14,Villagers!$B$1:$V$33,CJ446+3,FALSE)),)</f>
        <v>2</v>
      </c>
      <c r="DF446" s="370">
        <f>ROUND(IF(CK446=0,0,HLOOKUP(CK$14,Villagers!$B$1:$V$33,CK446+3,FALSE)),)</f>
        <v>0</v>
      </c>
      <c r="DG446" s="370">
        <f>ROUND(IF(CL446=0,0,HLOOKUP(CL$14,Villagers!$B$1:$V$33,CL446+3,FALSE)),)</f>
        <v>0</v>
      </c>
      <c r="DH446" s="34">
        <f>ROUND(IF(CM446=0,0,HLOOKUP(CM$14,Villagers!$B$1:$V$33,CM446+3,FALSE)),)</f>
        <v>0</v>
      </c>
      <c r="DI446" s="109">
        <f t="shared" si="611"/>
        <v>0</v>
      </c>
      <c r="DJ446" s="50">
        <f t="shared" si="612"/>
        <v>0</v>
      </c>
      <c r="DK446" s="50">
        <f t="shared" si="613"/>
        <v>0</v>
      </c>
      <c r="DL446" s="50">
        <f t="shared" si="614"/>
        <v>0</v>
      </c>
      <c r="DM446" s="50">
        <f t="shared" si="615"/>
        <v>0</v>
      </c>
      <c r="DN446" s="50">
        <f t="shared" si="616"/>
        <v>0</v>
      </c>
      <c r="DO446" s="50">
        <f t="shared" si="617"/>
        <v>0</v>
      </c>
      <c r="DP446" s="50">
        <f t="shared" si="618"/>
        <v>0</v>
      </c>
      <c r="DQ446" s="50">
        <f t="shared" si="596"/>
        <v>0</v>
      </c>
      <c r="DR446" s="50">
        <f t="shared" si="597"/>
        <v>0</v>
      </c>
      <c r="DS446" s="96">
        <f>Miscelaneous!$D$4*Miscelaneous!$D$2^($CI446-1)</f>
        <v>1000</v>
      </c>
      <c r="DT446" s="333">
        <f t="shared" si="579"/>
        <v>1</v>
      </c>
      <c r="DU446" s="81">
        <v>1</v>
      </c>
      <c r="DV446" s="79">
        <f t="shared" si="598"/>
        <v>0</v>
      </c>
      <c r="DW446" s="79">
        <f t="shared" si="599"/>
        <v>0</v>
      </c>
      <c r="DX446" s="79">
        <f t="shared" si="600"/>
        <v>0</v>
      </c>
      <c r="DY446" s="79">
        <v>1</v>
      </c>
      <c r="DZ446" s="79">
        <f t="shared" si="601"/>
        <v>0</v>
      </c>
      <c r="EA446" s="79">
        <f t="shared" si="602"/>
        <v>0</v>
      </c>
      <c r="EB446" s="79">
        <f t="shared" si="603"/>
        <v>0</v>
      </c>
      <c r="EC446" s="79">
        <f t="shared" si="604"/>
        <v>0</v>
      </c>
      <c r="ED446" s="79">
        <v>1</v>
      </c>
      <c r="EE446" s="79">
        <v>1</v>
      </c>
      <c r="EF446" s="79">
        <f t="shared" si="605"/>
        <v>0</v>
      </c>
      <c r="EG446" s="79">
        <v>1</v>
      </c>
      <c r="EH446" s="79">
        <v>1</v>
      </c>
      <c r="EI446" s="79">
        <v>1</v>
      </c>
      <c r="EJ446" s="79">
        <v>1</v>
      </c>
      <c r="EK446" s="79">
        <v>1</v>
      </c>
      <c r="EL446" s="79">
        <v>1</v>
      </c>
      <c r="EM446" s="143">
        <f t="shared" si="606"/>
        <v>0</v>
      </c>
      <c r="EN446" s="143">
        <f t="shared" si="607"/>
        <v>0</v>
      </c>
      <c r="EO446" s="82">
        <f t="shared" si="608"/>
        <v>0</v>
      </c>
    </row>
    <row r="447" spans="1:145" x14ac:dyDescent="0.25">
      <c r="A447">
        <v>433</v>
      </c>
      <c r="B447" s="172" t="e">
        <f t="shared" si="580"/>
        <v>#N/A</v>
      </c>
      <c r="C447" s="121" t="e">
        <f t="shared" si="558"/>
        <v>#N/A</v>
      </c>
      <c r="D447" s="122" t="e">
        <f t="shared" si="559"/>
        <v>#N/A</v>
      </c>
      <c r="E447" s="122" t="e">
        <f t="shared" si="560"/>
        <v>#N/A</v>
      </c>
      <c r="F447" s="176" t="e">
        <f t="shared" si="561"/>
        <v>#N/A</v>
      </c>
      <c r="G447" s="121">
        <f t="shared" si="581"/>
        <v>208</v>
      </c>
      <c r="H447" s="176" t="e">
        <f t="shared" si="582"/>
        <v>#N/A</v>
      </c>
      <c r="I447" s="48">
        <v>1</v>
      </c>
      <c r="J447" s="39"/>
      <c r="K447" s="350">
        <v>1</v>
      </c>
      <c r="L447" s="34" t="e">
        <f t="shared" si="562"/>
        <v>#N/A</v>
      </c>
      <c r="M447" s="38" t="e">
        <f>(HLOOKUP(J447,'Construction Times'!$B$3:$W$34,L447+2,FALSE)*HLOOKUP("hq modifier",'Construction Times'!$W$3:$W$34,BS447+2,FALSE))*(1-$H$9)</f>
        <v>#N/A</v>
      </c>
      <c r="N447" s="443" t="e">
        <f t="shared" si="583"/>
        <v>#N/A</v>
      </c>
      <c r="O447" s="444"/>
      <c r="P447" s="447" t="e">
        <f t="shared" si="584"/>
        <v>#N/A</v>
      </c>
      <c r="Q447" s="448"/>
      <c r="R447" s="103">
        <f t="shared" si="642"/>
        <v>0</v>
      </c>
      <c r="S447" s="104">
        <f t="shared" si="642"/>
        <v>0</v>
      </c>
      <c r="T447" s="104">
        <f t="shared" si="643"/>
        <v>0</v>
      </c>
      <c r="U447" s="104">
        <f t="shared" si="643"/>
        <v>0</v>
      </c>
      <c r="V447" s="104">
        <f t="shared" si="643"/>
        <v>9.9999999999999995E-8</v>
      </c>
      <c r="W447" s="104">
        <f t="shared" si="643"/>
        <v>0</v>
      </c>
      <c r="X447" s="104">
        <f t="shared" si="639"/>
        <v>0</v>
      </c>
      <c r="Y447" s="104">
        <f t="shared" si="639"/>
        <v>9.9999999999999995E-8</v>
      </c>
      <c r="Z447" s="104">
        <f t="shared" si="639"/>
        <v>9.9999999999999995E-8</v>
      </c>
      <c r="AA447" s="105">
        <f t="shared" si="639"/>
        <v>9.9999999999999995E-8</v>
      </c>
      <c r="AB447" s="101" t="e">
        <f>$DT447*HLOOKUP($J447,'Construction Costs (timber)'!$B$1:$V$32,'Construction Planner'!$L447+2,FALSE)</f>
        <v>#N/A</v>
      </c>
      <c r="AC447" s="14" t="e">
        <f>$DT447*HLOOKUP($J447,'Construction Costs (clay)'!$B$1:$V$32,'Construction Planner'!$L447+2,FALSE)</f>
        <v>#N/A</v>
      </c>
      <c r="AD447" s="14" t="e">
        <f>$DT447*HLOOKUP($J447,'Construction Costs (iron)'!$B$1:$V$32,'Construction Planner'!$L447+2,FALSE)</f>
        <v>#N/A</v>
      </c>
      <c r="AE447" s="34" t="e">
        <f t="shared" si="619"/>
        <v>#N/A</v>
      </c>
      <c r="AF447" s="33" t="e">
        <f t="shared" si="563"/>
        <v>#N/A</v>
      </c>
      <c r="AG447" s="14" t="e">
        <f t="shared" si="564"/>
        <v>#N/A</v>
      </c>
      <c r="AH447" s="14" t="e">
        <f t="shared" si="565"/>
        <v>#N/A</v>
      </c>
      <c r="AI447" s="34" t="e">
        <f t="shared" si="620"/>
        <v>#N/A</v>
      </c>
      <c r="AJ447" s="49" t="e">
        <f t="shared" si="585"/>
        <v>#N/A</v>
      </c>
      <c r="AK447" s="49" t="e">
        <f t="shared" si="586"/>
        <v>#N/A</v>
      </c>
      <c r="AL447" s="49" t="e">
        <f t="shared" si="587"/>
        <v>#N/A</v>
      </c>
      <c r="AM447" s="25">
        <f t="shared" si="566"/>
        <v>30</v>
      </c>
      <c r="AN447" s="25">
        <f t="shared" si="567"/>
        <v>30</v>
      </c>
      <c r="AO447" s="25">
        <f t="shared" si="568"/>
        <v>30</v>
      </c>
      <c r="AP447" s="52" t="e">
        <f t="shared" si="640"/>
        <v>#N/A</v>
      </c>
      <c r="AQ447" s="53" t="e">
        <f t="shared" si="640"/>
        <v>#N/A</v>
      </c>
      <c r="AR447" s="54" t="e">
        <f t="shared" si="640"/>
        <v>#N/A</v>
      </c>
      <c r="AS447" s="316">
        <f t="shared" si="644"/>
        <v>0</v>
      </c>
      <c r="AT447" s="106">
        <f>_xlfn.IFNA($M447/VLOOKUP($BT447,'Unit information'!$A$2:$K$29,2,FALSE)*R447,0)*(1+$E$9)</f>
        <v>0</v>
      </c>
      <c r="AU447" s="107">
        <f>_xlfn.IFNA($M447/VLOOKUP($BT447,'Unit information'!$A$2:$K$29,3,FALSE)*S447,0)*(1+$E$9)</f>
        <v>0</v>
      </c>
      <c r="AV447" s="107">
        <f>_xlfn.IFNA($M447/VLOOKUP($BT447,'Unit information'!$A$2:$K$29,4,FALSE)*T447,0)*(1+$E$9)</f>
        <v>0</v>
      </c>
      <c r="AW447" s="107">
        <f>_xlfn.IFNA($M447/VLOOKUP($BT447,'Unit information'!$A$2:$K$29,5,FALSE)*U447,0)*(1+$E$9)</f>
        <v>0</v>
      </c>
      <c r="AX447" s="107">
        <f>_xlfn.IFNA($M447/VLOOKUP($BU447,'Unit information'!$A$2:$K$29,6,FALSE)*V447,0)*(1+$E$9)</f>
        <v>0</v>
      </c>
      <c r="AY447" s="107">
        <f>_xlfn.IFNA($M447/VLOOKUP($BU447,'Unit information'!$A$2:$K$29,7,FALSE)*W447,0)*(1+$E$9)</f>
        <v>0</v>
      </c>
      <c r="AZ447" s="107">
        <f>_xlfn.IFNA($M447/VLOOKUP($BU447,'Unit information'!$A$2:$K$29,8,FALSE)*X447,0)*(1+$E$9)</f>
        <v>0</v>
      </c>
      <c r="BA447" s="107">
        <f>_xlfn.IFNA($M447/VLOOKUP($BU447,'Unit information'!$A$2:$K$29,9,FALSE)*Y447,0)*(1+$E$9)</f>
        <v>0</v>
      </c>
      <c r="BB447" s="107">
        <f>_xlfn.IFNA($M447/VLOOKUP($BV447,'Unit information'!$A$2:$K$29,10,FALSE)*Z447,0)*(1+$E$9)</f>
        <v>0</v>
      </c>
      <c r="BC447" s="108">
        <f>_xlfn.IFNA($M447/VLOOKUP($BV447,'Unit information'!$A$2:$K$29,11,FALSE)*AA447,0)*(1+$E$9)</f>
        <v>0</v>
      </c>
      <c r="BD447" s="106">
        <f t="shared" si="569"/>
        <v>0</v>
      </c>
      <c r="BE447" s="107">
        <f t="shared" si="570"/>
        <v>0</v>
      </c>
      <c r="BF447" s="108">
        <f t="shared" si="571"/>
        <v>0</v>
      </c>
      <c r="BG447" s="25" t="e">
        <f t="shared" si="572"/>
        <v>#N/A</v>
      </c>
      <c r="BH447" s="25" t="e">
        <f t="shared" si="573"/>
        <v>#N/A</v>
      </c>
      <c r="BI447" s="25" t="e">
        <f t="shared" si="574"/>
        <v>#N/A</v>
      </c>
      <c r="BJ447" s="27" t="e">
        <f t="shared" si="575"/>
        <v>#N/A</v>
      </c>
      <c r="BK447" s="18" t="e">
        <f t="shared" si="576"/>
        <v>#N/A</v>
      </c>
      <c r="BL447" s="18" t="e">
        <f t="shared" si="577"/>
        <v>#N/A</v>
      </c>
      <c r="BM447" s="28" t="e">
        <f t="shared" si="622"/>
        <v>#N/A</v>
      </c>
      <c r="BN447" s="33">
        <f>HLOOKUP("maximum population",Miscelaneous!$C$1:$C$33,CH447+3,FALSE)</f>
        <v>240</v>
      </c>
      <c r="BO447" s="14">
        <f t="shared" si="589"/>
        <v>32</v>
      </c>
      <c r="BP447" s="14">
        <f t="shared" si="590"/>
        <v>0</v>
      </c>
      <c r="BQ447" s="14">
        <f t="shared" si="591"/>
        <v>208</v>
      </c>
      <c r="BR447" s="34" t="e">
        <f>HLOOKUP(J447,Villagers!$B$1:$V$33,L447+3,FALSE)-HLOOKUP(J447,Villagers!$B$1:$V$33,L447+2,FALSE)</f>
        <v>#N/A</v>
      </c>
      <c r="BS447" s="49">
        <f t="shared" si="592"/>
        <v>1</v>
      </c>
      <c r="BT447" s="50">
        <f t="shared" si="593"/>
        <v>0</v>
      </c>
      <c r="BU447" s="50">
        <f t="shared" si="594"/>
        <v>0</v>
      </c>
      <c r="BV447" s="50">
        <f t="shared" si="595"/>
        <v>0</v>
      </c>
      <c r="BW447" s="50">
        <f t="shared" si="646"/>
        <v>0</v>
      </c>
      <c r="BX447" s="50">
        <f t="shared" si="645"/>
        <v>0</v>
      </c>
      <c r="BY447" s="50">
        <f t="shared" si="645"/>
        <v>0</v>
      </c>
      <c r="BZ447" s="50">
        <f t="shared" si="623"/>
        <v>0</v>
      </c>
      <c r="CA447" s="50">
        <f t="shared" si="624"/>
        <v>0</v>
      </c>
      <c r="CB447" s="50">
        <f t="shared" si="625"/>
        <v>1</v>
      </c>
      <c r="CC447" s="50">
        <f t="shared" si="626"/>
        <v>0</v>
      </c>
      <c r="CD447" s="50">
        <f t="shared" si="627"/>
        <v>0</v>
      </c>
      <c r="CE447" s="50">
        <f t="shared" si="628"/>
        <v>1</v>
      </c>
      <c r="CF447" s="50">
        <f t="shared" si="629"/>
        <v>1</v>
      </c>
      <c r="CG447" s="50">
        <f t="shared" si="630"/>
        <v>1</v>
      </c>
      <c r="CH447" s="50">
        <f t="shared" si="631"/>
        <v>1</v>
      </c>
      <c r="CI447" s="50">
        <f t="shared" si="632"/>
        <v>1</v>
      </c>
      <c r="CJ447" s="50">
        <f t="shared" si="633"/>
        <v>1</v>
      </c>
      <c r="CK447" s="50">
        <f t="shared" si="633"/>
        <v>0</v>
      </c>
      <c r="CL447" s="50">
        <f t="shared" si="633"/>
        <v>0</v>
      </c>
      <c r="CM447" s="51">
        <f t="shared" si="634"/>
        <v>0</v>
      </c>
      <c r="CN447" s="33">
        <f>ROUND(IF(BS447=0,0,HLOOKUP(BS$14,Villagers!$B$1:$V$33,BS447+3,FALSE)),)</f>
        <v>5</v>
      </c>
      <c r="CO447" s="14">
        <f>ROUND(IF(BT447=0,0,HLOOKUP(BT$14,Villagers!$B$1:$V$33,BT447+3,FALSE)),)</f>
        <v>0</v>
      </c>
      <c r="CP447" s="14">
        <f>ROUND(IF(BU447=0,0,HLOOKUP(BU$14,Villagers!$B$1:$V$33,BU447+3,FALSE)),)</f>
        <v>0</v>
      </c>
      <c r="CQ447" s="14">
        <f>ROUND(IF(BV447=0,0,HLOOKUP(BV$14,Villagers!$B$1:$V$33,BV447+3,FALSE)),)</f>
        <v>0</v>
      </c>
      <c r="CR447" s="14">
        <f>ROUND(IF(BW447=0,0,HLOOKUP(BW$14,Villagers!$B$1:$V$33,BW447+3,FALSE)),)</f>
        <v>0</v>
      </c>
      <c r="CS447" s="14">
        <f>ROUND(IF(BX447=0,0,HLOOKUP(BX$14,Villagers!$B$1:$V$33,BX447+3,FALSE)),)</f>
        <v>0</v>
      </c>
      <c r="CT447" s="14">
        <f>ROUND(IF(BY447=0,0,HLOOKUP(BY$14,Villagers!$B$1:$V$33,BY447+3,FALSE)),)</f>
        <v>0</v>
      </c>
      <c r="CU447" s="14">
        <f>ROUND(IF(BZ447=0,0,HLOOKUP(BZ$14,Villagers!$B$1:$V$33,BZ447+3,FALSE)),)</f>
        <v>0</v>
      </c>
      <c r="CV447" s="14">
        <f>ROUND(IF(CA447=0,0,HLOOKUP(CA$14,Villagers!$B$1:$V$33,CA447+3,FALSE)),)</f>
        <v>0</v>
      </c>
      <c r="CW447" s="14">
        <f>ROUND(IF(CB447=0,0,HLOOKUP(CB$14,Villagers!$B$1:$V$33,CB447+3,FALSE)),)</f>
        <v>0</v>
      </c>
      <c r="CX447" s="14">
        <f>ROUND(IF(CC447=0,0,HLOOKUP(CC$14,Villagers!$B$1:$V$33,CC447+3,FALSE)),)</f>
        <v>0</v>
      </c>
      <c r="CY447" s="14">
        <f>ROUND(IF(CD447=0,0,HLOOKUP(CD$14,Villagers!$B$1:$V$33,CD447+3,FALSE)),)</f>
        <v>0</v>
      </c>
      <c r="CZ447" s="14">
        <f>ROUND(IF(CE447=0,0,HLOOKUP(CE$14,Villagers!$B$1:$V$33,CE447+3,FALSE)),)</f>
        <v>5</v>
      </c>
      <c r="DA447" s="14">
        <f>ROUND(IF(CF447=0,0,HLOOKUP(CF$14,Villagers!$B$1:$V$33,CF447+3,FALSE)),)</f>
        <v>10</v>
      </c>
      <c r="DB447" s="14">
        <f>ROUND(IF(CG447=0,0,HLOOKUP(CG$14,Villagers!$B$1:$V$33,CG447+3,FALSE)),)</f>
        <v>10</v>
      </c>
      <c r="DC447" s="14">
        <f>ROUND(IF(CH447=0,0,HLOOKUP(CH$14,Villagers!$B$1:$V$33,CH447+3,FALSE)),)</f>
        <v>0</v>
      </c>
      <c r="DD447" s="14">
        <f>ROUND(IF(CI447=0,0,HLOOKUP(CI$14,Villagers!$B$1:$V$33,CI447+3,FALSE)),)</f>
        <v>0</v>
      </c>
      <c r="DE447" s="14">
        <f>ROUND(IF(CJ447=0,0,HLOOKUP(CJ$14,Villagers!$B$1:$V$33,CJ447+3,FALSE)),)</f>
        <v>2</v>
      </c>
      <c r="DF447" s="370">
        <f>ROUND(IF(CK447=0,0,HLOOKUP(CK$14,Villagers!$B$1:$V$33,CK447+3,FALSE)),)</f>
        <v>0</v>
      </c>
      <c r="DG447" s="370">
        <f>ROUND(IF(CL447=0,0,HLOOKUP(CL$14,Villagers!$B$1:$V$33,CL447+3,FALSE)),)</f>
        <v>0</v>
      </c>
      <c r="DH447" s="34">
        <f>ROUND(IF(CM447=0,0,HLOOKUP(CM$14,Villagers!$B$1:$V$33,CM447+3,FALSE)),)</f>
        <v>0</v>
      </c>
      <c r="DI447" s="109">
        <f t="shared" si="611"/>
        <v>0</v>
      </c>
      <c r="DJ447" s="50">
        <f t="shared" si="612"/>
        <v>0</v>
      </c>
      <c r="DK447" s="50">
        <f t="shared" si="613"/>
        <v>0</v>
      </c>
      <c r="DL447" s="50">
        <f t="shared" si="614"/>
        <v>0</v>
      </c>
      <c r="DM447" s="50">
        <f t="shared" si="615"/>
        <v>0</v>
      </c>
      <c r="DN447" s="50">
        <f t="shared" si="616"/>
        <v>0</v>
      </c>
      <c r="DO447" s="50">
        <f t="shared" si="617"/>
        <v>0</v>
      </c>
      <c r="DP447" s="50">
        <f t="shared" si="618"/>
        <v>0</v>
      </c>
      <c r="DQ447" s="50">
        <f t="shared" si="596"/>
        <v>0</v>
      </c>
      <c r="DR447" s="50">
        <f t="shared" si="597"/>
        <v>0</v>
      </c>
      <c r="DS447" s="96">
        <f>Miscelaneous!$D$4*Miscelaneous!$D$2^($CI447-1)</f>
        <v>1000</v>
      </c>
      <c r="DT447" s="333">
        <f t="shared" si="579"/>
        <v>1</v>
      </c>
      <c r="DU447" s="81">
        <v>1</v>
      </c>
      <c r="DV447" s="79">
        <f t="shared" si="598"/>
        <v>0</v>
      </c>
      <c r="DW447" s="79">
        <f t="shared" si="599"/>
        <v>0</v>
      </c>
      <c r="DX447" s="79">
        <f t="shared" si="600"/>
        <v>0</v>
      </c>
      <c r="DY447" s="79">
        <v>1</v>
      </c>
      <c r="DZ447" s="79">
        <f t="shared" si="601"/>
        <v>0</v>
      </c>
      <c r="EA447" s="79">
        <f t="shared" si="602"/>
        <v>0</v>
      </c>
      <c r="EB447" s="79">
        <f t="shared" si="603"/>
        <v>0</v>
      </c>
      <c r="EC447" s="79">
        <f t="shared" si="604"/>
        <v>0</v>
      </c>
      <c r="ED447" s="79">
        <v>1</v>
      </c>
      <c r="EE447" s="79">
        <v>1</v>
      </c>
      <c r="EF447" s="79">
        <f t="shared" si="605"/>
        <v>0</v>
      </c>
      <c r="EG447" s="79">
        <v>1</v>
      </c>
      <c r="EH447" s="79">
        <v>1</v>
      </c>
      <c r="EI447" s="79">
        <v>1</v>
      </c>
      <c r="EJ447" s="79">
        <v>1</v>
      </c>
      <c r="EK447" s="79">
        <v>1</v>
      </c>
      <c r="EL447" s="79">
        <v>1</v>
      </c>
      <c r="EM447" s="143">
        <f t="shared" si="606"/>
        <v>0</v>
      </c>
      <c r="EN447" s="143">
        <f t="shared" si="607"/>
        <v>0</v>
      </c>
      <c r="EO447" s="82">
        <f t="shared" si="608"/>
        <v>0</v>
      </c>
    </row>
    <row r="448" spans="1:145" x14ac:dyDescent="0.25">
      <c r="A448">
        <v>434</v>
      </c>
      <c r="B448" s="172" t="e">
        <f t="shared" si="580"/>
        <v>#N/A</v>
      </c>
      <c r="C448" s="121" t="e">
        <f t="shared" si="558"/>
        <v>#N/A</v>
      </c>
      <c r="D448" s="122" t="e">
        <f t="shared" si="559"/>
        <v>#N/A</v>
      </c>
      <c r="E448" s="122" t="e">
        <f t="shared" si="560"/>
        <v>#N/A</v>
      </c>
      <c r="F448" s="176" t="e">
        <f t="shared" si="561"/>
        <v>#N/A</v>
      </c>
      <c r="G448" s="121">
        <f t="shared" si="581"/>
        <v>208</v>
      </c>
      <c r="H448" s="176" t="e">
        <f t="shared" si="582"/>
        <v>#N/A</v>
      </c>
      <c r="I448" s="48">
        <v>1</v>
      </c>
      <c r="J448" s="39"/>
      <c r="K448" s="350">
        <v>1</v>
      </c>
      <c r="L448" s="34" t="e">
        <f t="shared" si="562"/>
        <v>#N/A</v>
      </c>
      <c r="M448" s="38" t="e">
        <f>(HLOOKUP(J448,'Construction Times'!$B$3:$W$34,L448+2,FALSE)*HLOOKUP("hq modifier",'Construction Times'!$W$3:$W$34,BS448+2,FALSE))*(1-$H$9)</f>
        <v>#N/A</v>
      </c>
      <c r="N448" s="443" t="e">
        <f t="shared" si="583"/>
        <v>#N/A</v>
      </c>
      <c r="O448" s="444"/>
      <c r="P448" s="447" t="e">
        <f t="shared" si="584"/>
        <v>#N/A</v>
      </c>
      <c r="Q448" s="448"/>
      <c r="R448" s="103">
        <f t="shared" si="642"/>
        <v>0</v>
      </c>
      <c r="S448" s="104">
        <f t="shared" si="642"/>
        <v>0</v>
      </c>
      <c r="T448" s="104">
        <f t="shared" si="643"/>
        <v>0</v>
      </c>
      <c r="U448" s="104">
        <f t="shared" si="643"/>
        <v>0</v>
      </c>
      <c r="V448" s="104">
        <f t="shared" si="643"/>
        <v>9.9999999999999995E-8</v>
      </c>
      <c r="W448" s="104">
        <f t="shared" si="643"/>
        <v>0</v>
      </c>
      <c r="X448" s="104">
        <f t="shared" si="639"/>
        <v>0</v>
      </c>
      <c r="Y448" s="104">
        <f t="shared" si="639"/>
        <v>9.9999999999999995E-8</v>
      </c>
      <c r="Z448" s="104">
        <f t="shared" si="639"/>
        <v>9.9999999999999995E-8</v>
      </c>
      <c r="AA448" s="105">
        <f t="shared" si="639"/>
        <v>9.9999999999999995E-8</v>
      </c>
      <c r="AB448" s="101" t="e">
        <f>$DT448*HLOOKUP($J448,'Construction Costs (timber)'!$B$1:$V$32,'Construction Planner'!$L448+2,FALSE)</f>
        <v>#N/A</v>
      </c>
      <c r="AC448" s="14" t="e">
        <f>$DT448*HLOOKUP($J448,'Construction Costs (clay)'!$B$1:$V$32,'Construction Planner'!$L448+2,FALSE)</f>
        <v>#N/A</v>
      </c>
      <c r="AD448" s="14" t="e">
        <f>$DT448*HLOOKUP($J448,'Construction Costs (iron)'!$B$1:$V$32,'Construction Planner'!$L448+2,FALSE)</f>
        <v>#N/A</v>
      </c>
      <c r="AE448" s="34" t="e">
        <f t="shared" si="619"/>
        <v>#N/A</v>
      </c>
      <c r="AF448" s="33" t="e">
        <f t="shared" si="563"/>
        <v>#N/A</v>
      </c>
      <c r="AG448" s="14" t="e">
        <f t="shared" si="564"/>
        <v>#N/A</v>
      </c>
      <c r="AH448" s="14" t="e">
        <f t="shared" si="565"/>
        <v>#N/A</v>
      </c>
      <c r="AI448" s="34" t="e">
        <f t="shared" si="620"/>
        <v>#N/A</v>
      </c>
      <c r="AJ448" s="49" t="e">
        <f t="shared" si="585"/>
        <v>#N/A</v>
      </c>
      <c r="AK448" s="49" t="e">
        <f t="shared" si="586"/>
        <v>#N/A</v>
      </c>
      <c r="AL448" s="49" t="e">
        <f t="shared" si="587"/>
        <v>#N/A</v>
      </c>
      <c r="AM448" s="25">
        <f t="shared" si="566"/>
        <v>30</v>
      </c>
      <c r="AN448" s="25">
        <f t="shared" si="567"/>
        <v>30</v>
      </c>
      <c r="AO448" s="25">
        <f t="shared" si="568"/>
        <v>30</v>
      </c>
      <c r="AP448" s="52" t="e">
        <f t="shared" si="640"/>
        <v>#N/A</v>
      </c>
      <c r="AQ448" s="53" t="e">
        <f t="shared" si="640"/>
        <v>#N/A</v>
      </c>
      <c r="AR448" s="54" t="e">
        <f t="shared" si="640"/>
        <v>#N/A</v>
      </c>
      <c r="AS448" s="316">
        <f t="shared" si="644"/>
        <v>0</v>
      </c>
      <c r="AT448" s="106">
        <f>_xlfn.IFNA($M448/VLOOKUP($BT448,'Unit information'!$A$2:$K$29,2,FALSE)*R448,0)*(1+$E$9)</f>
        <v>0</v>
      </c>
      <c r="AU448" s="107">
        <f>_xlfn.IFNA($M448/VLOOKUP($BT448,'Unit information'!$A$2:$K$29,3,FALSE)*S448,0)*(1+$E$9)</f>
        <v>0</v>
      </c>
      <c r="AV448" s="107">
        <f>_xlfn.IFNA($M448/VLOOKUP($BT448,'Unit information'!$A$2:$K$29,4,FALSE)*T448,0)*(1+$E$9)</f>
        <v>0</v>
      </c>
      <c r="AW448" s="107">
        <f>_xlfn.IFNA($M448/VLOOKUP($BT448,'Unit information'!$A$2:$K$29,5,FALSE)*U448,0)*(1+$E$9)</f>
        <v>0</v>
      </c>
      <c r="AX448" s="107">
        <f>_xlfn.IFNA($M448/VLOOKUP($BU448,'Unit information'!$A$2:$K$29,6,FALSE)*V448,0)*(1+$E$9)</f>
        <v>0</v>
      </c>
      <c r="AY448" s="107">
        <f>_xlfn.IFNA($M448/VLOOKUP($BU448,'Unit information'!$A$2:$K$29,7,FALSE)*W448,0)*(1+$E$9)</f>
        <v>0</v>
      </c>
      <c r="AZ448" s="107">
        <f>_xlfn.IFNA($M448/VLOOKUP($BU448,'Unit information'!$A$2:$K$29,8,FALSE)*X448,0)*(1+$E$9)</f>
        <v>0</v>
      </c>
      <c r="BA448" s="107">
        <f>_xlfn.IFNA($M448/VLOOKUP($BU448,'Unit information'!$A$2:$K$29,9,FALSE)*Y448,0)*(1+$E$9)</f>
        <v>0</v>
      </c>
      <c r="BB448" s="107">
        <f>_xlfn.IFNA($M448/VLOOKUP($BV448,'Unit information'!$A$2:$K$29,10,FALSE)*Z448,0)*(1+$E$9)</f>
        <v>0</v>
      </c>
      <c r="BC448" s="108">
        <f>_xlfn.IFNA($M448/VLOOKUP($BV448,'Unit information'!$A$2:$K$29,11,FALSE)*AA448,0)*(1+$E$9)</f>
        <v>0</v>
      </c>
      <c r="BD448" s="106">
        <f t="shared" si="569"/>
        <v>0</v>
      </c>
      <c r="BE448" s="107">
        <f t="shared" si="570"/>
        <v>0</v>
      </c>
      <c r="BF448" s="108">
        <f t="shared" si="571"/>
        <v>0</v>
      </c>
      <c r="BG448" s="25" t="e">
        <f t="shared" si="572"/>
        <v>#N/A</v>
      </c>
      <c r="BH448" s="25" t="e">
        <f t="shared" si="573"/>
        <v>#N/A</v>
      </c>
      <c r="BI448" s="25" t="e">
        <f t="shared" si="574"/>
        <v>#N/A</v>
      </c>
      <c r="BJ448" s="27" t="e">
        <f t="shared" si="575"/>
        <v>#N/A</v>
      </c>
      <c r="BK448" s="18" t="e">
        <f t="shared" si="576"/>
        <v>#N/A</v>
      </c>
      <c r="BL448" s="18" t="e">
        <f t="shared" si="577"/>
        <v>#N/A</v>
      </c>
      <c r="BM448" s="28" t="e">
        <f t="shared" si="622"/>
        <v>#N/A</v>
      </c>
      <c r="BN448" s="33">
        <f>HLOOKUP("maximum population",Miscelaneous!$C$1:$C$33,CH448+3,FALSE)</f>
        <v>240</v>
      </c>
      <c r="BO448" s="14">
        <f t="shared" si="589"/>
        <v>32</v>
      </c>
      <c r="BP448" s="14">
        <f t="shared" si="590"/>
        <v>0</v>
      </c>
      <c r="BQ448" s="14">
        <f t="shared" si="591"/>
        <v>208</v>
      </c>
      <c r="BR448" s="34" t="e">
        <f>HLOOKUP(J448,Villagers!$B$1:$V$33,L448+3,FALSE)-HLOOKUP(J448,Villagers!$B$1:$V$33,L448+2,FALSE)</f>
        <v>#N/A</v>
      </c>
      <c r="BS448" s="49">
        <f t="shared" si="592"/>
        <v>1</v>
      </c>
      <c r="BT448" s="50">
        <f t="shared" si="593"/>
        <v>0</v>
      </c>
      <c r="BU448" s="50">
        <f t="shared" si="594"/>
        <v>0</v>
      </c>
      <c r="BV448" s="50">
        <f t="shared" si="595"/>
        <v>0</v>
      </c>
      <c r="BW448" s="50">
        <f t="shared" ref="BW448:BY454" si="647">IF($J447=BW$14,$L447,BW447)</f>
        <v>0</v>
      </c>
      <c r="BX448" s="50">
        <f t="shared" si="647"/>
        <v>0</v>
      </c>
      <c r="BY448" s="50">
        <f t="shared" si="647"/>
        <v>0</v>
      </c>
      <c r="BZ448" s="50">
        <f t="shared" si="623"/>
        <v>0</v>
      </c>
      <c r="CA448" s="50">
        <f t="shared" si="624"/>
        <v>0</v>
      </c>
      <c r="CB448" s="50">
        <f t="shared" si="625"/>
        <v>1</v>
      </c>
      <c r="CC448" s="50">
        <f t="shared" si="626"/>
        <v>0</v>
      </c>
      <c r="CD448" s="50">
        <f t="shared" si="627"/>
        <v>0</v>
      </c>
      <c r="CE448" s="50">
        <f t="shared" si="628"/>
        <v>1</v>
      </c>
      <c r="CF448" s="50">
        <f t="shared" si="629"/>
        <v>1</v>
      </c>
      <c r="CG448" s="50">
        <f t="shared" si="630"/>
        <v>1</v>
      </c>
      <c r="CH448" s="50">
        <f t="shared" si="631"/>
        <v>1</v>
      </c>
      <c r="CI448" s="50">
        <f t="shared" si="632"/>
        <v>1</v>
      </c>
      <c r="CJ448" s="50">
        <f t="shared" si="633"/>
        <v>1</v>
      </c>
      <c r="CK448" s="50">
        <f t="shared" si="633"/>
        <v>0</v>
      </c>
      <c r="CL448" s="50">
        <f t="shared" si="633"/>
        <v>0</v>
      </c>
      <c r="CM448" s="51">
        <f t="shared" si="634"/>
        <v>0</v>
      </c>
      <c r="CN448" s="33">
        <f>ROUND(IF(BS448=0,0,HLOOKUP(BS$14,Villagers!$B$1:$V$33,BS448+3,FALSE)),)</f>
        <v>5</v>
      </c>
      <c r="CO448" s="14">
        <f>ROUND(IF(BT448=0,0,HLOOKUP(BT$14,Villagers!$B$1:$V$33,BT448+3,FALSE)),)</f>
        <v>0</v>
      </c>
      <c r="CP448" s="14">
        <f>ROUND(IF(BU448=0,0,HLOOKUP(BU$14,Villagers!$B$1:$V$33,BU448+3,FALSE)),)</f>
        <v>0</v>
      </c>
      <c r="CQ448" s="14">
        <f>ROUND(IF(BV448=0,0,HLOOKUP(BV$14,Villagers!$B$1:$V$33,BV448+3,FALSE)),)</f>
        <v>0</v>
      </c>
      <c r="CR448" s="14">
        <f>ROUND(IF(BW448=0,0,HLOOKUP(BW$14,Villagers!$B$1:$V$33,BW448+3,FALSE)),)</f>
        <v>0</v>
      </c>
      <c r="CS448" s="14">
        <f>ROUND(IF(BX448=0,0,HLOOKUP(BX$14,Villagers!$B$1:$V$33,BX448+3,FALSE)),)</f>
        <v>0</v>
      </c>
      <c r="CT448" s="14">
        <f>ROUND(IF(BY448=0,0,HLOOKUP(BY$14,Villagers!$B$1:$V$33,BY448+3,FALSE)),)</f>
        <v>0</v>
      </c>
      <c r="CU448" s="14">
        <f>ROUND(IF(BZ448=0,0,HLOOKUP(BZ$14,Villagers!$B$1:$V$33,BZ448+3,FALSE)),)</f>
        <v>0</v>
      </c>
      <c r="CV448" s="14">
        <f>ROUND(IF(CA448=0,0,HLOOKUP(CA$14,Villagers!$B$1:$V$33,CA448+3,FALSE)),)</f>
        <v>0</v>
      </c>
      <c r="CW448" s="14">
        <f>ROUND(IF(CB448=0,0,HLOOKUP(CB$14,Villagers!$B$1:$V$33,CB448+3,FALSE)),)</f>
        <v>0</v>
      </c>
      <c r="CX448" s="14">
        <f>ROUND(IF(CC448=0,0,HLOOKUP(CC$14,Villagers!$B$1:$V$33,CC448+3,FALSE)),)</f>
        <v>0</v>
      </c>
      <c r="CY448" s="14">
        <f>ROUND(IF(CD448=0,0,HLOOKUP(CD$14,Villagers!$B$1:$V$33,CD448+3,FALSE)),)</f>
        <v>0</v>
      </c>
      <c r="CZ448" s="14">
        <f>ROUND(IF(CE448=0,0,HLOOKUP(CE$14,Villagers!$B$1:$V$33,CE448+3,FALSE)),)</f>
        <v>5</v>
      </c>
      <c r="DA448" s="14">
        <f>ROUND(IF(CF448=0,0,HLOOKUP(CF$14,Villagers!$B$1:$V$33,CF448+3,FALSE)),)</f>
        <v>10</v>
      </c>
      <c r="DB448" s="14">
        <f>ROUND(IF(CG448=0,0,HLOOKUP(CG$14,Villagers!$B$1:$V$33,CG448+3,FALSE)),)</f>
        <v>10</v>
      </c>
      <c r="DC448" s="14">
        <f>ROUND(IF(CH448=0,0,HLOOKUP(CH$14,Villagers!$B$1:$V$33,CH448+3,FALSE)),)</f>
        <v>0</v>
      </c>
      <c r="DD448" s="14">
        <f>ROUND(IF(CI448=0,0,HLOOKUP(CI$14,Villagers!$B$1:$V$33,CI448+3,FALSE)),)</f>
        <v>0</v>
      </c>
      <c r="DE448" s="14">
        <f>ROUND(IF(CJ448=0,0,HLOOKUP(CJ$14,Villagers!$B$1:$V$33,CJ448+3,FALSE)),)</f>
        <v>2</v>
      </c>
      <c r="DF448" s="370">
        <f>ROUND(IF(CK448=0,0,HLOOKUP(CK$14,Villagers!$B$1:$V$33,CK448+3,FALSE)),)</f>
        <v>0</v>
      </c>
      <c r="DG448" s="370">
        <f>ROUND(IF(CL448=0,0,HLOOKUP(CL$14,Villagers!$B$1:$V$33,CL448+3,FALSE)),)</f>
        <v>0</v>
      </c>
      <c r="DH448" s="34">
        <f>ROUND(IF(CM448=0,0,HLOOKUP(CM$14,Villagers!$B$1:$V$33,CM448+3,FALSE)),)</f>
        <v>0</v>
      </c>
      <c r="DI448" s="109">
        <f t="shared" si="611"/>
        <v>0</v>
      </c>
      <c r="DJ448" s="50">
        <f t="shared" si="612"/>
        <v>0</v>
      </c>
      <c r="DK448" s="50">
        <f t="shared" si="613"/>
        <v>0</v>
      </c>
      <c r="DL448" s="50">
        <f t="shared" si="614"/>
        <v>0</v>
      </c>
      <c r="DM448" s="50">
        <f t="shared" si="615"/>
        <v>0</v>
      </c>
      <c r="DN448" s="50">
        <f t="shared" si="616"/>
        <v>0</v>
      </c>
      <c r="DO448" s="50">
        <f t="shared" si="617"/>
        <v>0</v>
      </c>
      <c r="DP448" s="50">
        <f t="shared" si="618"/>
        <v>0</v>
      </c>
      <c r="DQ448" s="50">
        <f t="shared" si="596"/>
        <v>0</v>
      </c>
      <c r="DR448" s="50">
        <f t="shared" si="597"/>
        <v>0</v>
      </c>
      <c r="DS448" s="96">
        <f>Miscelaneous!$D$4*Miscelaneous!$D$2^($CI448-1)</f>
        <v>1000</v>
      </c>
      <c r="DT448" s="333">
        <f t="shared" si="579"/>
        <v>1</v>
      </c>
      <c r="DU448" s="81">
        <v>1</v>
      </c>
      <c r="DV448" s="79">
        <f t="shared" si="598"/>
        <v>0</v>
      </c>
      <c r="DW448" s="79">
        <f t="shared" si="599"/>
        <v>0</v>
      </c>
      <c r="DX448" s="79">
        <f t="shared" si="600"/>
        <v>0</v>
      </c>
      <c r="DY448" s="79">
        <v>1</v>
      </c>
      <c r="DZ448" s="79">
        <f t="shared" si="601"/>
        <v>0</v>
      </c>
      <c r="EA448" s="79">
        <f t="shared" si="602"/>
        <v>0</v>
      </c>
      <c r="EB448" s="79">
        <f t="shared" si="603"/>
        <v>0</v>
      </c>
      <c r="EC448" s="79">
        <f t="shared" si="604"/>
        <v>0</v>
      </c>
      <c r="ED448" s="79">
        <v>1</v>
      </c>
      <c r="EE448" s="79">
        <v>1</v>
      </c>
      <c r="EF448" s="79">
        <f t="shared" si="605"/>
        <v>0</v>
      </c>
      <c r="EG448" s="79">
        <v>1</v>
      </c>
      <c r="EH448" s="79">
        <v>1</v>
      </c>
      <c r="EI448" s="79">
        <v>1</v>
      </c>
      <c r="EJ448" s="79">
        <v>1</v>
      </c>
      <c r="EK448" s="79">
        <v>1</v>
      </c>
      <c r="EL448" s="79">
        <v>1</v>
      </c>
      <c r="EM448" s="143">
        <f t="shared" si="606"/>
        <v>0</v>
      </c>
      <c r="EN448" s="143">
        <f t="shared" si="607"/>
        <v>0</v>
      </c>
      <c r="EO448" s="82">
        <f t="shared" si="608"/>
        <v>0</v>
      </c>
    </row>
    <row r="449" spans="1:145" x14ac:dyDescent="0.25">
      <c r="A449">
        <v>435</v>
      </c>
      <c r="B449" s="172" t="e">
        <f t="shared" si="580"/>
        <v>#N/A</v>
      </c>
      <c r="C449" s="121" t="e">
        <f t="shared" si="558"/>
        <v>#N/A</v>
      </c>
      <c r="D449" s="122" t="e">
        <f t="shared" si="559"/>
        <v>#N/A</v>
      </c>
      <c r="E449" s="122" t="e">
        <f t="shared" si="560"/>
        <v>#N/A</v>
      </c>
      <c r="F449" s="176" t="e">
        <f t="shared" si="561"/>
        <v>#N/A</v>
      </c>
      <c r="G449" s="121">
        <f t="shared" si="581"/>
        <v>208</v>
      </c>
      <c r="H449" s="176" t="e">
        <f t="shared" si="582"/>
        <v>#N/A</v>
      </c>
      <c r="I449" s="48">
        <v>1</v>
      </c>
      <c r="J449" s="39"/>
      <c r="K449" s="350">
        <v>1</v>
      </c>
      <c r="L449" s="34" t="e">
        <f t="shared" si="562"/>
        <v>#N/A</v>
      </c>
      <c r="M449" s="38" t="e">
        <f>(HLOOKUP(J449,'Construction Times'!$B$3:$W$34,L449+2,FALSE)*HLOOKUP("hq modifier",'Construction Times'!$W$3:$W$34,BS449+2,FALSE))*(1-$H$9)</f>
        <v>#N/A</v>
      </c>
      <c r="N449" s="443" t="e">
        <f t="shared" si="583"/>
        <v>#N/A</v>
      </c>
      <c r="O449" s="444"/>
      <c r="P449" s="447" t="e">
        <f t="shared" si="584"/>
        <v>#N/A</v>
      </c>
      <c r="Q449" s="448"/>
      <c r="R449" s="103">
        <f t="shared" si="642"/>
        <v>0</v>
      </c>
      <c r="S449" s="104">
        <f t="shared" si="642"/>
        <v>0</v>
      </c>
      <c r="T449" s="104">
        <f t="shared" si="643"/>
        <v>0</v>
      </c>
      <c r="U449" s="104">
        <f t="shared" si="643"/>
        <v>0</v>
      </c>
      <c r="V449" s="104">
        <f t="shared" si="643"/>
        <v>9.9999999999999995E-8</v>
      </c>
      <c r="W449" s="104">
        <f t="shared" si="643"/>
        <v>0</v>
      </c>
      <c r="X449" s="104">
        <f t="shared" si="639"/>
        <v>0</v>
      </c>
      <c r="Y449" s="104">
        <f t="shared" si="639"/>
        <v>9.9999999999999995E-8</v>
      </c>
      <c r="Z449" s="104">
        <f t="shared" si="639"/>
        <v>9.9999999999999995E-8</v>
      </c>
      <c r="AA449" s="105">
        <f t="shared" si="639"/>
        <v>9.9999999999999995E-8</v>
      </c>
      <c r="AB449" s="101" t="e">
        <f>$DT449*HLOOKUP($J449,'Construction Costs (timber)'!$B$1:$V$32,'Construction Planner'!$L449+2,FALSE)</f>
        <v>#N/A</v>
      </c>
      <c r="AC449" s="14" t="e">
        <f>$DT449*HLOOKUP($J449,'Construction Costs (clay)'!$B$1:$V$32,'Construction Planner'!$L449+2,FALSE)</f>
        <v>#N/A</v>
      </c>
      <c r="AD449" s="14" t="e">
        <f>$DT449*HLOOKUP($J449,'Construction Costs (iron)'!$B$1:$V$32,'Construction Planner'!$L449+2,FALSE)</f>
        <v>#N/A</v>
      </c>
      <c r="AE449" s="34" t="e">
        <f t="shared" si="619"/>
        <v>#N/A</v>
      </c>
      <c r="AF449" s="33" t="e">
        <f t="shared" si="563"/>
        <v>#N/A</v>
      </c>
      <c r="AG449" s="14" t="e">
        <f t="shared" si="564"/>
        <v>#N/A</v>
      </c>
      <c r="AH449" s="14" t="e">
        <f t="shared" si="565"/>
        <v>#N/A</v>
      </c>
      <c r="AI449" s="34" t="e">
        <f t="shared" si="620"/>
        <v>#N/A</v>
      </c>
      <c r="AJ449" s="49" t="e">
        <f t="shared" si="585"/>
        <v>#N/A</v>
      </c>
      <c r="AK449" s="49" t="e">
        <f t="shared" si="586"/>
        <v>#N/A</v>
      </c>
      <c r="AL449" s="49" t="e">
        <f t="shared" si="587"/>
        <v>#N/A</v>
      </c>
      <c r="AM449" s="25">
        <f t="shared" si="566"/>
        <v>30</v>
      </c>
      <c r="AN449" s="25">
        <f t="shared" si="567"/>
        <v>30</v>
      </c>
      <c r="AO449" s="25">
        <f t="shared" si="568"/>
        <v>30</v>
      </c>
      <c r="AP449" s="52" t="e">
        <f t="shared" si="640"/>
        <v>#N/A</v>
      </c>
      <c r="AQ449" s="53" t="e">
        <f t="shared" si="640"/>
        <v>#N/A</v>
      </c>
      <c r="AR449" s="54" t="e">
        <f t="shared" si="640"/>
        <v>#N/A</v>
      </c>
      <c r="AS449" s="316">
        <f t="shared" si="644"/>
        <v>0</v>
      </c>
      <c r="AT449" s="106">
        <f>_xlfn.IFNA($M449/VLOOKUP($BT449,'Unit information'!$A$2:$K$29,2,FALSE)*R449,0)*(1+$E$9)</f>
        <v>0</v>
      </c>
      <c r="AU449" s="107">
        <f>_xlfn.IFNA($M449/VLOOKUP($BT449,'Unit information'!$A$2:$K$29,3,FALSE)*S449,0)*(1+$E$9)</f>
        <v>0</v>
      </c>
      <c r="AV449" s="107">
        <f>_xlfn.IFNA($M449/VLOOKUP($BT449,'Unit information'!$A$2:$K$29,4,FALSE)*T449,0)*(1+$E$9)</f>
        <v>0</v>
      </c>
      <c r="AW449" s="107">
        <f>_xlfn.IFNA($M449/VLOOKUP($BT449,'Unit information'!$A$2:$K$29,5,FALSE)*U449,0)*(1+$E$9)</f>
        <v>0</v>
      </c>
      <c r="AX449" s="107">
        <f>_xlfn.IFNA($M449/VLOOKUP($BU449,'Unit information'!$A$2:$K$29,6,FALSE)*V449,0)*(1+$E$9)</f>
        <v>0</v>
      </c>
      <c r="AY449" s="107">
        <f>_xlfn.IFNA($M449/VLOOKUP($BU449,'Unit information'!$A$2:$K$29,7,FALSE)*W449,0)*(1+$E$9)</f>
        <v>0</v>
      </c>
      <c r="AZ449" s="107">
        <f>_xlfn.IFNA($M449/VLOOKUP($BU449,'Unit information'!$A$2:$K$29,8,FALSE)*X449,0)*(1+$E$9)</f>
        <v>0</v>
      </c>
      <c r="BA449" s="107">
        <f>_xlfn.IFNA($M449/VLOOKUP($BU449,'Unit information'!$A$2:$K$29,9,FALSE)*Y449,0)*(1+$E$9)</f>
        <v>0</v>
      </c>
      <c r="BB449" s="107">
        <f>_xlfn.IFNA($M449/VLOOKUP($BV449,'Unit information'!$A$2:$K$29,10,FALSE)*Z449,0)*(1+$E$9)</f>
        <v>0</v>
      </c>
      <c r="BC449" s="108">
        <f>_xlfn.IFNA($M449/VLOOKUP($BV449,'Unit information'!$A$2:$K$29,11,FALSE)*AA449,0)*(1+$E$9)</f>
        <v>0</v>
      </c>
      <c r="BD449" s="106">
        <f t="shared" si="569"/>
        <v>0</v>
      </c>
      <c r="BE449" s="107">
        <f t="shared" si="570"/>
        <v>0</v>
      </c>
      <c r="BF449" s="108">
        <f t="shared" si="571"/>
        <v>0</v>
      </c>
      <c r="BG449" s="25" t="e">
        <f t="shared" si="572"/>
        <v>#N/A</v>
      </c>
      <c r="BH449" s="25" t="e">
        <f t="shared" si="573"/>
        <v>#N/A</v>
      </c>
      <c r="BI449" s="25" t="e">
        <f t="shared" si="574"/>
        <v>#N/A</v>
      </c>
      <c r="BJ449" s="27" t="e">
        <f t="shared" si="575"/>
        <v>#N/A</v>
      </c>
      <c r="BK449" s="18" t="e">
        <f t="shared" si="576"/>
        <v>#N/A</v>
      </c>
      <c r="BL449" s="18" t="e">
        <f t="shared" si="577"/>
        <v>#N/A</v>
      </c>
      <c r="BM449" s="28" t="e">
        <f t="shared" si="622"/>
        <v>#N/A</v>
      </c>
      <c r="BN449" s="33">
        <f>HLOOKUP("maximum population",Miscelaneous!$C$1:$C$33,CH449+3,FALSE)</f>
        <v>240</v>
      </c>
      <c r="BO449" s="14">
        <f t="shared" si="589"/>
        <v>32</v>
      </c>
      <c r="BP449" s="14">
        <f t="shared" si="590"/>
        <v>0</v>
      </c>
      <c r="BQ449" s="14">
        <f t="shared" si="591"/>
        <v>208</v>
      </c>
      <c r="BR449" s="34" t="e">
        <f>HLOOKUP(J449,Villagers!$B$1:$V$33,L449+3,FALSE)-HLOOKUP(J449,Villagers!$B$1:$V$33,L449+2,FALSE)</f>
        <v>#N/A</v>
      </c>
      <c r="BS449" s="49">
        <f t="shared" si="592"/>
        <v>1</v>
      </c>
      <c r="BT449" s="50">
        <f t="shared" si="593"/>
        <v>0</v>
      </c>
      <c r="BU449" s="50">
        <f t="shared" si="594"/>
        <v>0</v>
      </c>
      <c r="BV449" s="50">
        <f t="shared" si="595"/>
        <v>0</v>
      </c>
      <c r="BW449" s="50">
        <f t="shared" si="647"/>
        <v>0</v>
      </c>
      <c r="BX449" s="50">
        <f t="shared" si="647"/>
        <v>0</v>
      </c>
      <c r="BY449" s="50">
        <f t="shared" si="647"/>
        <v>0</v>
      </c>
      <c r="BZ449" s="50">
        <f t="shared" si="623"/>
        <v>0</v>
      </c>
      <c r="CA449" s="50">
        <f t="shared" si="624"/>
        <v>0</v>
      </c>
      <c r="CB449" s="50">
        <f t="shared" si="625"/>
        <v>1</v>
      </c>
      <c r="CC449" s="50">
        <f t="shared" si="626"/>
        <v>0</v>
      </c>
      <c r="CD449" s="50">
        <f t="shared" si="627"/>
        <v>0</v>
      </c>
      <c r="CE449" s="50">
        <f t="shared" si="628"/>
        <v>1</v>
      </c>
      <c r="CF449" s="50">
        <f t="shared" si="629"/>
        <v>1</v>
      </c>
      <c r="CG449" s="50">
        <f t="shared" si="630"/>
        <v>1</v>
      </c>
      <c r="CH449" s="50">
        <f t="shared" si="631"/>
        <v>1</v>
      </c>
      <c r="CI449" s="50">
        <f t="shared" si="632"/>
        <v>1</v>
      </c>
      <c r="CJ449" s="50">
        <f t="shared" si="633"/>
        <v>1</v>
      </c>
      <c r="CK449" s="50">
        <f t="shared" si="633"/>
        <v>0</v>
      </c>
      <c r="CL449" s="50">
        <f t="shared" si="633"/>
        <v>0</v>
      </c>
      <c r="CM449" s="51">
        <f t="shared" si="634"/>
        <v>0</v>
      </c>
      <c r="CN449" s="33">
        <f>ROUND(IF(BS449=0,0,HLOOKUP(BS$14,Villagers!$B$1:$V$33,BS449+3,FALSE)),)</f>
        <v>5</v>
      </c>
      <c r="CO449" s="14">
        <f>ROUND(IF(BT449=0,0,HLOOKUP(BT$14,Villagers!$B$1:$V$33,BT449+3,FALSE)),)</f>
        <v>0</v>
      </c>
      <c r="CP449" s="14">
        <f>ROUND(IF(BU449=0,0,HLOOKUP(BU$14,Villagers!$B$1:$V$33,BU449+3,FALSE)),)</f>
        <v>0</v>
      </c>
      <c r="CQ449" s="14">
        <f>ROUND(IF(BV449=0,0,HLOOKUP(BV$14,Villagers!$B$1:$V$33,BV449+3,FALSE)),)</f>
        <v>0</v>
      </c>
      <c r="CR449" s="14">
        <f>ROUND(IF(BW449=0,0,HLOOKUP(BW$14,Villagers!$B$1:$V$33,BW449+3,FALSE)),)</f>
        <v>0</v>
      </c>
      <c r="CS449" s="14">
        <f>ROUND(IF(BX449=0,0,HLOOKUP(BX$14,Villagers!$B$1:$V$33,BX449+3,FALSE)),)</f>
        <v>0</v>
      </c>
      <c r="CT449" s="14">
        <f>ROUND(IF(BY449=0,0,HLOOKUP(BY$14,Villagers!$B$1:$V$33,BY449+3,FALSE)),)</f>
        <v>0</v>
      </c>
      <c r="CU449" s="14">
        <f>ROUND(IF(BZ449=0,0,HLOOKUP(BZ$14,Villagers!$B$1:$V$33,BZ449+3,FALSE)),)</f>
        <v>0</v>
      </c>
      <c r="CV449" s="14">
        <f>ROUND(IF(CA449=0,0,HLOOKUP(CA$14,Villagers!$B$1:$V$33,CA449+3,FALSE)),)</f>
        <v>0</v>
      </c>
      <c r="CW449" s="14">
        <f>ROUND(IF(CB449=0,0,HLOOKUP(CB$14,Villagers!$B$1:$V$33,CB449+3,FALSE)),)</f>
        <v>0</v>
      </c>
      <c r="CX449" s="14">
        <f>ROUND(IF(CC449=0,0,HLOOKUP(CC$14,Villagers!$B$1:$V$33,CC449+3,FALSE)),)</f>
        <v>0</v>
      </c>
      <c r="CY449" s="14">
        <f>ROUND(IF(CD449=0,0,HLOOKUP(CD$14,Villagers!$B$1:$V$33,CD449+3,FALSE)),)</f>
        <v>0</v>
      </c>
      <c r="CZ449" s="14">
        <f>ROUND(IF(CE449=0,0,HLOOKUP(CE$14,Villagers!$B$1:$V$33,CE449+3,FALSE)),)</f>
        <v>5</v>
      </c>
      <c r="DA449" s="14">
        <f>ROUND(IF(CF449=0,0,HLOOKUP(CF$14,Villagers!$B$1:$V$33,CF449+3,FALSE)),)</f>
        <v>10</v>
      </c>
      <c r="DB449" s="14">
        <f>ROUND(IF(CG449=0,0,HLOOKUP(CG$14,Villagers!$B$1:$V$33,CG449+3,FALSE)),)</f>
        <v>10</v>
      </c>
      <c r="DC449" s="14">
        <f>ROUND(IF(CH449=0,0,HLOOKUP(CH$14,Villagers!$B$1:$V$33,CH449+3,FALSE)),)</f>
        <v>0</v>
      </c>
      <c r="DD449" s="14">
        <f>ROUND(IF(CI449=0,0,HLOOKUP(CI$14,Villagers!$B$1:$V$33,CI449+3,FALSE)),)</f>
        <v>0</v>
      </c>
      <c r="DE449" s="14">
        <f>ROUND(IF(CJ449=0,0,HLOOKUP(CJ$14,Villagers!$B$1:$V$33,CJ449+3,FALSE)),)</f>
        <v>2</v>
      </c>
      <c r="DF449" s="370">
        <f>ROUND(IF(CK449=0,0,HLOOKUP(CK$14,Villagers!$B$1:$V$33,CK449+3,FALSE)),)</f>
        <v>0</v>
      </c>
      <c r="DG449" s="370">
        <f>ROUND(IF(CL449=0,0,HLOOKUP(CL$14,Villagers!$B$1:$V$33,CL449+3,FALSE)),)</f>
        <v>0</v>
      </c>
      <c r="DH449" s="34">
        <f>ROUND(IF(CM449=0,0,HLOOKUP(CM$14,Villagers!$B$1:$V$33,CM449+3,FALSE)),)</f>
        <v>0</v>
      </c>
      <c r="DI449" s="109">
        <f t="shared" si="611"/>
        <v>0</v>
      </c>
      <c r="DJ449" s="50">
        <f t="shared" si="612"/>
        <v>0</v>
      </c>
      <c r="DK449" s="50">
        <f t="shared" si="613"/>
        <v>0</v>
      </c>
      <c r="DL449" s="50">
        <f t="shared" si="614"/>
        <v>0</v>
      </c>
      <c r="DM449" s="50">
        <f t="shared" si="615"/>
        <v>0</v>
      </c>
      <c r="DN449" s="50">
        <f t="shared" si="616"/>
        <v>0</v>
      </c>
      <c r="DO449" s="50">
        <f t="shared" si="617"/>
        <v>0</v>
      </c>
      <c r="DP449" s="50">
        <f t="shared" si="618"/>
        <v>0</v>
      </c>
      <c r="DQ449" s="50">
        <f t="shared" si="596"/>
        <v>0</v>
      </c>
      <c r="DR449" s="50">
        <f t="shared" si="597"/>
        <v>0</v>
      </c>
      <c r="DS449" s="96">
        <f>Miscelaneous!$D$4*Miscelaneous!$D$2^($CI449-1)</f>
        <v>1000</v>
      </c>
      <c r="DT449" s="333">
        <f t="shared" si="579"/>
        <v>1</v>
      </c>
      <c r="DU449" s="81">
        <v>1</v>
      </c>
      <c r="DV449" s="79">
        <f t="shared" si="598"/>
        <v>0</v>
      </c>
      <c r="DW449" s="79">
        <f t="shared" si="599"/>
        <v>0</v>
      </c>
      <c r="DX449" s="79">
        <f t="shared" si="600"/>
        <v>0</v>
      </c>
      <c r="DY449" s="79">
        <v>1</v>
      </c>
      <c r="DZ449" s="79">
        <f t="shared" si="601"/>
        <v>0</v>
      </c>
      <c r="EA449" s="79">
        <f t="shared" si="602"/>
        <v>0</v>
      </c>
      <c r="EB449" s="79">
        <f t="shared" si="603"/>
        <v>0</v>
      </c>
      <c r="EC449" s="79">
        <f t="shared" si="604"/>
        <v>0</v>
      </c>
      <c r="ED449" s="79">
        <v>1</v>
      </c>
      <c r="EE449" s="79">
        <v>1</v>
      </c>
      <c r="EF449" s="79">
        <f t="shared" si="605"/>
        <v>0</v>
      </c>
      <c r="EG449" s="79">
        <v>1</v>
      </c>
      <c r="EH449" s="79">
        <v>1</v>
      </c>
      <c r="EI449" s="79">
        <v>1</v>
      </c>
      <c r="EJ449" s="79">
        <v>1</v>
      </c>
      <c r="EK449" s="79">
        <v>1</v>
      </c>
      <c r="EL449" s="79">
        <v>1</v>
      </c>
      <c r="EM449" s="143">
        <f t="shared" si="606"/>
        <v>0</v>
      </c>
      <c r="EN449" s="143">
        <f t="shared" si="607"/>
        <v>0</v>
      </c>
      <c r="EO449" s="82">
        <f t="shared" si="608"/>
        <v>0</v>
      </c>
    </row>
    <row r="450" spans="1:145" x14ac:dyDescent="0.25">
      <c r="A450">
        <v>436</v>
      </c>
      <c r="B450" s="172" t="e">
        <f t="shared" si="580"/>
        <v>#N/A</v>
      </c>
      <c r="C450" s="121" t="e">
        <f t="shared" si="558"/>
        <v>#N/A</v>
      </c>
      <c r="D450" s="122" t="e">
        <f t="shared" si="559"/>
        <v>#N/A</v>
      </c>
      <c r="E450" s="122" t="e">
        <f t="shared" si="560"/>
        <v>#N/A</v>
      </c>
      <c r="F450" s="176" t="e">
        <f t="shared" si="561"/>
        <v>#N/A</v>
      </c>
      <c r="G450" s="121">
        <f t="shared" si="581"/>
        <v>208</v>
      </c>
      <c r="H450" s="176" t="e">
        <f t="shared" si="582"/>
        <v>#N/A</v>
      </c>
      <c r="I450" s="48">
        <v>1</v>
      </c>
      <c r="J450" s="39"/>
      <c r="K450" s="350">
        <v>1</v>
      </c>
      <c r="L450" s="34" t="e">
        <f t="shared" si="562"/>
        <v>#N/A</v>
      </c>
      <c r="M450" s="38" t="e">
        <f>(HLOOKUP(J450,'Construction Times'!$B$3:$W$34,L450+2,FALSE)*HLOOKUP("hq modifier",'Construction Times'!$W$3:$W$34,BS450+2,FALSE))*(1-$H$9)</f>
        <v>#N/A</v>
      </c>
      <c r="N450" s="443" t="e">
        <f t="shared" si="583"/>
        <v>#N/A</v>
      </c>
      <c r="O450" s="444"/>
      <c r="P450" s="447" t="e">
        <f t="shared" si="584"/>
        <v>#N/A</v>
      </c>
      <c r="Q450" s="448"/>
      <c r="R450" s="103">
        <f t="shared" si="642"/>
        <v>0</v>
      </c>
      <c r="S450" s="104">
        <f t="shared" si="642"/>
        <v>0</v>
      </c>
      <c r="T450" s="104">
        <f t="shared" si="643"/>
        <v>0</v>
      </c>
      <c r="U450" s="104">
        <f t="shared" si="643"/>
        <v>0</v>
      </c>
      <c r="V450" s="104">
        <f t="shared" si="643"/>
        <v>9.9999999999999995E-8</v>
      </c>
      <c r="W450" s="104">
        <f t="shared" si="643"/>
        <v>0</v>
      </c>
      <c r="X450" s="104">
        <f t="shared" si="639"/>
        <v>0</v>
      </c>
      <c r="Y450" s="104">
        <f t="shared" si="639"/>
        <v>9.9999999999999995E-8</v>
      </c>
      <c r="Z450" s="104">
        <f t="shared" si="639"/>
        <v>9.9999999999999995E-8</v>
      </c>
      <c r="AA450" s="105">
        <f t="shared" si="639"/>
        <v>9.9999999999999995E-8</v>
      </c>
      <c r="AB450" s="101" t="e">
        <f>$DT450*HLOOKUP($J450,'Construction Costs (timber)'!$B$1:$V$32,'Construction Planner'!$L450+2,FALSE)</f>
        <v>#N/A</v>
      </c>
      <c r="AC450" s="14" t="e">
        <f>$DT450*HLOOKUP($J450,'Construction Costs (clay)'!$B$1:$V$32,'Construction Planner'!$L450+2,FALSE)</f>
        <v>#N/A</v>
      </c>
      <c r="AD450" s="14" t="e">
        <f>$DT450*HLOOKUP($J450,'Construction Costs (iron)'!$B$1:$V$32,'Construction Planner'!$L450+2,FALSE)</f>
        <v>#N/A</v>
      </c>
      <c r="AE450" s="34" t="e">
        <f t="shared" si="619"/>
        <v>#N/A</v>
      </c>
      <c r="AF450" s="33" t="e">
        <f t="shared" si="563"/>
        <v>#N/A</v>
      </c>
      <c r="AG450" s="14" t="e">
        <f t="shared" si="564"/>
        <v>#N/A</v>
      </c>
      <c r="AH450" s="14" t="e">
        <f t="shared" si="565"/>
        <v>#N/A</v>
      </c>
      <c r="AI450" s="34" t="e">
        <f t="shared" si="620"/>
        <v>#N/A</v>
      </c>
      <c r="AJ450" s="49" t="e">
        <f t="shared" si="585"/>
        <v>#N/A</v>
      </c>
      <c r="AK450" s="49" t="e">
        <f t="shared" si="586"/>
        <v>#N/A</v>
      </c>
      <c r="AL450" s="49" t="e">
        <f t="shared" si="587"/>
        <v>#N/A</v>
      </c>
      <c r="AM450" s="25">
        <f t="shared" si="566"/>
        <v>30</v>
      </c>
      <c r="AN450" s="25">
        <f t="shared" si="567"/>
        <v>30</v>
      </c>
      <c r="AO450" s="25">
        <f t="shared" si="568"/>
        <v>30</v>
      </c>
      <c r="AP450" s="52" t="e">
        <f t="shared" si="640"/>
        <v>#N/A</v>
      </c>
      <c r="AQ450" s="53" t="e">
        <f t="shared" si="640"/>
        <v>#N/A</v>
      </c>
      <c r="AR450" s="54" t="e">
        <f t="shared" si="640"/>
        <v>#N/A</v>
      </c>
      <c r="AS450" s="316">
        <f t="shared" si="644"/>
        <v>0</v>
      </c>
      <c r="AT450" s="106">
        <f>_xlfn.IFNA($M450/VLOOKUP($BT450,'Unit information'!$A$2:$K$29,2,FALSE)*R450,0)*(1+$E$9)</f>
        <v>0</v>
      </c>
      <c r="AU450" s="107">
        <f>_xlfn.IFNA($M450/VLOOKUP($BT450,'Unit information'!$A$2:$K$29,3,FALSE)*S450,0)*(1+$E$9)</f>
        <v>0</v>
      </c>
      <c r="AV450" s="107">
        <f>_xlfn.IFNA($M450/VLOOKUP($BT450,'Unit information'!$A$2:$K$29,4,FALSE)*T450,0)*(1+$E$9)</f>
        <v>0</v>
      </c>
      <c r="AW450" s="107">
        <f>_xlfn.IFNA($M450/VLOOKUP($BT450,'Unit information'!$A$2:$K$29,5,FALSE)*U450,0)*(1+$E$9)</f>
        <v>0</v>
      </c>
      <c r="AX450" s="107">
        <f>_xlfn.IFNA($M450/VLOOKUP($BU450,'Unit information'!$A$2:$K$29,6,FALSE)*V450,0)*(1+$E$9)</f>
        <v>0</v>
      </c>
      <c r="AY450" s="107">
        <f>_xlfn.IFNA($M450/VLOOKUP($BU450,'Unit information'!$A$2:$K$29,7,FALSE)*W450,0)*(1+$E$9)</f>
        <v>0</v>
      </c>
      <c r="AZ450" s="107">
        <f>_xlfn.IFNA($M450/VLOOKUP($BU450,'Unit information'!$A$2:$K$29,8,FALSE)*X450,0)*(1+$E$9)</f>
        <v>0</v>
      </c>
      <c r="BA450" s="107">
        <f>_xlfn.IFNA($M450/VLOOKUP($BU450,'Unit information'!$A$2:$K$29,9,FALSE)*Y450,0)*(1+$E$9)</f>
        <v>0</v>
      </c>
      <c r="BB450" s="107">
        <f>_xlfn.IFNA($M450/VLOOKUP($BV450,'Unit information'!$A$2:$K$29,10,FALSE)*Z450,0)*(1+$E$9)</f>
        <v>0</v>
      </c>
      <c r="BC450" s="108">
        <f>_xlfn.IFNA($M450/VLOOKUP($BV450,'Unit information'!$A$2:$K$29,11,FALSE)*AA450,0)*(1+$E$9)</f>
        <v>0</v>
      </c>
      <c r="BD450" s="106">
        <f t="shared" si="569"/>
        <v>0</v>
      </c>
      <c r="BE450" s="107">
        <f t="shared" si="570"/>
        <v>0</v>
      </c>
      <c r="BF450" s="108">
        <f t="shared" si="571"/>
        <v>0</v>
      </c>
      <c r="BG450" s="25" t="e">
        <f t="shared" si="572"/>
        <v>#N/A</v>
      </c>
      <c r="BH450" s="25" t="e">
        <f t="shared" si="573"/>
        <v>#N/A</v>
      </c>
      <c r="BI450" s="25" t="e">
        <f t="shared" si="574"/>
        <v>#N/A</v>
      </c>
      <c r="BJ450" s="27" t="e">
        <f t="shared" si="575"/>
        <v>#N/A</v>
      </c>
      <c r="BK450" s="18" t="e">
        <f t="shared" si="576"/>
        <v>#N/A</v>
      </c>
      <c r="BL450" s="18" t="e">
        <f t="shared" si="577"/>
        <v>#N/A</v>
      </c>
      <c r="BM450" s="28" t="e">
        <f t="shared" si="622"/>
        <v>#N/A</v>
      </c>
      <c r="BN450" s="33">
        <f>HLOOKUP("maximum population",Miscelaneous!$C$1:$C$33,CH450+3,FALSE)</f>
        <v>240</v>
      </c>
      <c r="BO450" s="14">
        <f t="shared" si="589"/>
        <v>32</v>
      </c>
      <c r="BP450" s="14">
        <f t="shared" si="590"/>
        <v>0</v>
      </c>
      <c r="BQ450" s="14">
        <f t="shared" si="591"/>
        <v>208</v>
      </c>
      <c r="BR450" s="34" t="e">
        <f>HLOOKUP(J450,Villagers!$B$1:$V$33,L450+3,FALSE)-HLOOKUP(J450,Villagers!$B$1:$V$33,L450+2,FALSE)</f>
        <v>#N/A</v>
      </c>
      <c r="BS450" s="49">
        <f t="shared" si="592"/>
        <v>1</v>
      </c>
      <c r="BT450" s="50">
        <f t="shared" si="593"/>
        <v>0</v>
      </c>
      <c r="BU450" s="50">
        <f t="shared" si="594"/>
        <v>0</v>
      </c>
      <c r="BV450" s="50">
        <f t="shared" si="595"/>
        <v>0</v>
      </c>
      <c r="BW450" s="50">
        <f t="shared" si="647"/>
        <v>0</v>
      </c>
      <c r="BX450" s="50">
        <f t="shared" si="647"/>
        <v>0</v>
      </c>
      <c r="BY450" s="50">
        <f t="shared" si="647"/>
        <v>0</v>
      </c>
      <c r="BZ450" s="50">
        <f t="shared" si="623"/>
        <v>0</v>
      </c>
      <c r="CA450" s="50">
        <f t="shared" si="624"/>
        <v>0</v>
      </c>
      <c r="CB450" s="50">
        <f t="shared" si="625"/>
        <v>1</v>
      </c>
      <c r="CC450" s="50">
        <f t="shared" si="626"/>
        <v>0</v>
      </c>
      <c r="CD450" s="50">
        <f t="shared" si="627"/>
        <v>0</v>
      </c>
      <c r="CE450" s="50">
        <f t="shared" si="628"/>
        <v>1</v>
      </c>
      <c r="CF450" s="50">
        <f t="shared" si="629"/>
        <v>1</v>
      </c>
      <c r="CG450" s="50">
        <f t="shared" si="630"/>
        <v>1</v>
      </c>
      <c r="CH450" s="50">
        <f t="shared" si="631"/>
        <v>1</v>
      </c>
      <c r="CI450" s="50">
        <f t="shared" si="632"/>
        <v>1</v>
      </c>
      <c r="CJ450" s="50">
        <f t="shared" si="633"/>
        <v>1</v>
      </c>
      <c r="CK450" s="50">
        <f t="shared" si="633"/>
        <v>0</v>
      </c>
      <c r="CL450" s="50">
        <f t="shared" si="633"/>
        <v>0</v>
      </c>
      <c r="CM450" s="51">
        <f t="shared" si="634"/>
        <v>0</v>
      </c>
      <c r="CN450" s="33">
        <f>ROUND(IF(BS450=0,0,HLOOKUP(BS$14,Villagers!$B$1:$V$33,BS450+3,FALSE)),)</f>
        <v>5</v>
      </c>
      <c r="CO450" s="14">
        <f>ROUND(IF(BT450=0,0,HLOOKUP(BT$14,Villagers!$B$1:$V$33,BT450+3,FALSE)),)</f>
        <v>0</v>
      </c>
      <c r="CP450" s="14">
        <f>ROUND(IF(BU450=0,0,HLOOKUP(BU$14,Villagers!$B$1:$V$33,BU450+3,FALSE)),)</f>
        <v>0</v>
      </c>
      <c r="CQ450" s="14">
        <f>ROUND(IF(BV450=0,0,HLOOKUP(BV$14,Villagers!$B$1:$V$33,BV450+3,FALSE)),)</f>
        <v>0</v>
      </c>
      <c r="CR450" s="14">
        <f>ROUND(IF(BW450=0,0,HLOOKUP(BW$14,Villagers!$B$1:$V$33,BW450+3,FALSE)),)</f>
        <v>0</v>
      </c>
      <c r="CS450" s="14">
        <f>ROUND(IF(BX450=0,0,HLOOKUP(BX$14,Villagers!$B$1:$V$33,BX450+3,FALSE)),)</f>
        <v>0</v>
      </c>
      <c r="CT450" s="14">
        <f>ROUND(IF(BY450=0,0,HLOOKUP(BY$14,Villagers!$B$1:$V$33,BY450+3,FALSE)),)</f>
        <v>0</v>
      </c>
      <c r="CU450" s="14">
        <f>ROUND(IF(BZ450=0,0,HLOOKUP(BZ$14,Villagers!$B$1:$V$33,BZ450+3,FALSE)),)</f>
        <v>0</v>
      </c>
      <c r="CV450" s="14">
        <f>ROUND(IF(CA450=0,0,HLOOKUP(CA$14,Villagers!$B$1:$V$33,CA450+3,FALSE)),)</f>
        <v>0</v>
      </c>
      <c r="CW450" s="14">
        <f>ROUND(IF(CB450=0,0,HLOOKUP(CB$14,Villagers!$B$1:$V$33,CB450+3,FALSE)),)</f>
        <v>0</v>
      </c>
      <c r="CX450" s="14">
        <f>ROUND(IF(CC450=0,0,HLOOKUP(CC$14,Villagers!$B$1:$V$33,CC450+3,FALSE)),)</f>
        <v>0</v>
      </c>
      <c r="CY450" s="14">
        <f>ROUND(IF(CD450=0,0,HLOOKUP(CD$14,Villagers!$B$1:$V$33,CD450+3,FALSE)),)</f>
        <v>0</v>
      </c>
      <c r="CZ450" s="14">
        <f>ROUND(IF(CE450=0,0,HLOOKUP(CE$14,Villagers!$B$1:$V$33,CE450+3,FALSE)),)</f>
        <v>5</v>
      </c>
      <c r="DA450" s="14">
        <f>ROUND(IF(CF450=0,0,HLOOKUP(CF$14,Villagers!$B$1:$V$33,CF450+3,FALSE)),)</f>
        <v>10</v>
      </c>
      <c r="DB450" s="14">
        <f>ROUND(IF(CG450=0,0,HLOOKUP(CG$14,Villagers!$B$1:$V$33,CG450+3,FALSE)),)</f>
        <v>10</v>
      </c>
      <c r="DC450" s="14">
        <f>ROUND(IF(CH450=0,0,HLOOKUP(CH$14,Villagers!$B$1:$V$33,CH450+3,FALSE)),)</f>
        <v>0</v>
      </c>
      <c r="DD450" s="14">
        <f>ROUND(IF(CI450=0,0,HLOOKUP(CI$14,Villagers!$B$1:$V$33,CI450+3,FALSE)),)</f>
        <v>0</v>
      </c>
      <c r="DE450" s="14">
        <f>ROUND(IF(CJ450=0,0,HLOOKUP(CJ$14,Villagers!$B$1:$V$33,CJ450+3,FALSE)),)</f>
        <v>2</v>
      </c>
      <c r="DF450" s="370">
        <f>ROUND(IF(CK450=0,0,HLOOKUP(CK$14,Villagers!$B$1:$V$33,CK450+3,FALSE)),)</f>
        <v>0</v>
      </c>
      <c r="DG450" s="370">
        <f>ROUND(IF(CL450=0,0,HLOOKUP(CL$14,Villagers!$B$1:$V$33,CL450+3,FALSE)),)</f>
        <v>0</v>
      </c>
      <c r="DH450" s="34">
        <f>ROUND(IF(CM450=0,0,HLOOKUP(CM$14,Villagers!$B$1:$V$33,CM450+3,FALSE)),)</f>
        <v>0</v>
      </c>
      <c r="DI450" s="109">
        <f t="shared" si="611"/>
        <v>0</v>
      </c>
      <c r="DJ450" s="50">
        <f t="shared" si="612"/>
        <v>0</v>
      </c>
      <c r="DK450" s="50">
        <f t="shared" si="613"/>
        <v>0</v>
      </c>
      <c r="DL450" s="50">
        <f t="shared" si="614"/>
        <v>0</v>
      </c>
      <c r="DM450" s="50">
        <f t="shared" si="615"/>
        <v>0</v>
      </c>
      <c r="DN450" s="50">
        <f t="shared" si="616"/>
        <v>0</v>
      </c>
      <c r="DO450" s="50">
        <f t="shared" si="617"/>
        <v>0</v>
      </c>
      <c r="DP450" s="50">
        <f t="shared" si="618"/>
        <v>0</v>
      </c>
      <c r="DQ450" s="50">
        <f t="shared" si="596"/>
        <v>0</v>
      </c>
      <c r="DR450" s="50">
        <f t="shared" si="597"/>
        <v>0</v>
      </c>
      <c r="DS450" s="96">
        <f>Miscelaneous!$D$4*Miscelaneous!$D$2^($CI450-1)</f>
        <v>1000</v>
      </c>
      <c r="DT450" s="333">
        <f t="shared" si="579"/>
        <v>1</v>
      </c>
      <c r="DU450" s="81">
        <v>1</v>
      </c>
      <c r="DV450" s="79">
        <f t="shared" si="598"/>
        <v>0</v>
      </c>
      <c r="DW450" s="79">
        <f t="shared" si="599"/>
        <v>0</v>
      </c>
      <c r="DX450" s="79">
        <f t="shared" si="600"/>
        <v>0</v>
      </c>
      <c r="DY450" s="79">
        <v>1</v>
      </c>
      <c r="DZ450" s="79">
        <f t="shared" si="601"/>
        <v>0</v>
      </c>
      <c r="EA450" s="79">
        <f t="shared" si="602"/>
        <v>0</v>
      </c>
      <c r="EB450" s="79">
        <f t="shared" si="603"/>
        <v>0</v>
      </c>
      <c r="EC450" s="79">
        <f t="shared" si="604"/>
        <v>0</v>
      </c>
      <c r="ED450" s="79">
        <v>1</v>
      </c>
      <c r="EE450" s="79">
        <v>1</v>
      </c>
      <c r="EF450" s="79">
        <f t="shared" si="605"/>
        <v>0</v>
      </c>
      <c r="EG450" s="79">
        <v>1</v>
      </c>
      <c r="EH450" s="79">
        <v>1</v>
      </c>
      <c r="EI450" s="79">
        <v>1</v>
      </c>
      <c r="EJ450" s="79">
        <v>1</v>
      </c>
      <c r="EK450" s="79">
        <v>1</v>
      </c>
      <c r="EL450" s="79">
        <v>1</v>
      </c>
      <c r="EM450" s="143">
        <f t="shared" si="606"/>
        <v>0</v>
      </c>
      <c r="EN450" s="143">
        <f t="shared" si="607"/>
        <v>0</v>
      </c>
      <c r="EO450" s="82">
        <f t="shared" si="608"/>
        <v>0</v>
      </c>
    </row>
    <row r="451" spans="1:145" x14ac:dyDescent="0.25">
      <c r="A451">
        <v>437</v>
      </c>
      <c r="B451" s="172" t="e">
        <f t="shared" si="580"/>
        <v>#N/A</v>
      </c>
      <c r="C451" s="121" t="e">
        <f t="shared" si="558"/>
        <v>#N/A</v>
      </c>
      <c r="D451" s="122" t="e">
        <f t="shared" si="559"/>
        <v>#N/A</v>
      </c>
      <c r="E451" s="122" t="e">
        <f t="shared" si="560"/>
        <v>#N/A</v>
      </c>
      <c r="F451" s="176" t="e">
        <f t="shared" si="561"/>
        <v>#N/A</v>
      </c>
      <c r="G451" s="121">
        <f t="shared" si="581"/>
        <v>208</v>
      </c>
      <c r="H451" s="176" t="e">
        <f t="shared" si="582"/>
        <v>#N/A</v>
      </c>
      <c r="I451" s="48">
        <v>1</v>
      </c>
      <c r="J451" s="39"/>
      <c r="K451" s="350">
        <v>1</v>
      </c>
      <c r="L451" s="34" t="e">
        <f t="shared" si="562"/>
        <v>#N/A</v>
      </c>
      <c r="M451" s="38" t="e">
        <f>(HLOOKUP(J451,'Construction Times'!$B$3:$W$34,L451+2,FALSE)*HLOOKUP("hq modifier",'Construction Times'!$W$3:$W$34,BS451+2,FALSE))*(1-$H$9)</f>
        <v>#N/A</v>
      </c>
      <c r="N451" s="443" t="e">
        <f t="shared" si="583"/>
        <v>#N/A</v>
      </c>
      <c r="O451" s="444"/>
      <c r="P451" s="447" t="e">
        <f t="shared" si="584"/>
        <v>#N/A</v>
      </c>
      <c r="Q451" s="448"/>
      <c r="R451" s="103">
        <f t="shared" si="642"/>
        <v>0</v>
      </c>
      <c r="S451" s="104">
        <f t="shared" si="642"/>
        <v>0</v>
      </c>
      <c r="T451" s="104">
        <f t="shared" si="643"/>
        <v>0</v>
      </c>
      <c r="U451" s="104">
        <f t="shared" si="643"/>
        <v>0</v>
      </c>
      <c r="V451" s="104">
        <f t="shared" si="643"/>
        <v>9.9999999999999995E-8</v>
      </c>
      <c r="W451" s="104">
        <f t="shared" si="643"/>
        <v>0</v>
      </c>
      <c r="X451" s="104">
        <f t="shared" si="639"/>
        <v>0</v>
      </c>
      <c r="Y451" s="104">
        <f t="shared" si="639"/>
        <v>9.9999999999999995E-8</v>
      </c>
      <c r="Z451" s="104">
        <f t="shared" si="639"/>
        <v>9.9999999999999995E-8</v>
      </c>
      <c r="AA451" s="105">
        <f t="shared" si="639"/>
        <v>9.9999999999999995E-8</v>
      </c>
      <c r="AB451" s="101" t="e">
        <f>$DT451*HLOOKUP($J451,'Construction Costs (timber)'!$B$1:$V$32,'Construction Planner'!$L451+2,FALSE)</f>
        <v>#N/A</v>
      </c>
      <c r="AC451" s="14" t="e">
        <f>$DT451*HLOOKUP($J451,'Construction Costs (clay)'!$B$1:$V$32,'Construction Planner'!$L451+2,FALSE)</f>
        <v>#N/A</v>
      </c>
      <c r="AD451" s="14" t="e">
        <f>$DT451*HLOOKUP($J451,'Construction Costs (iron)'!$B$1:$V$32,'Construction Planner'!$L451+2,FALSE)</f>
        <v>#N/A</v>
      </c>
      <c r="AE451" s="34" t="e">
        <f t="shared" si="619"/>
        <v>#N/A</v>
      </c>
      <c r="AF451" s="33" t="e">
        <f t="shared" si="563"/>
        <v>#N/A</v>
      </c>
      <c r="AG451" s="14" t="e">
        <f t="shared" si="564"/>
        <v>#N/A</v>
      </c>
      <c r="AH451" s="14" t="e">
        <f t="shared" si="565"/>
        <v>#N/A</v>
      </c>
      <c r="AI451" s="34" t="e">
        <f t="shared" si="620"/>
        <v>#N/A</v>
      </c>
      <c r="AJ451" s="49" t="e">
        <f t="shared" si="585"/>
        <v>#N/A</v>
      </c>
      <c r="AK451" s="49" t="e">
        <f t="shared" si="586"/>
        <v>#N/A</v>
      </c>
      <c r="AL451" s="49" t="e">
        <f t="shared" si="587"/>
        <v>#N/A</v>
      </c>
      <c r="AM451" s="25">
        <f t="shared" si="566"/>
        <v>30</v>
      </c>
      <c r="AN451" s="25">
        <f t="shared" si="567"/>
        <v>30</v>
      </c>
      <c r="AO451" s="25">
        <f t="shared" si="568"/>
        <v>30</v>
      </c>
      <c r="AP451" s="52" t="e">
        <f t="shared" si="640"/>
        <v>#N/A</v>
      </c>
      <c r="AQ451" s="53" t="e">
        <f t="shared" si="640"/>
        <v>#N/A</v>
      </c>
      <c r="AR451" s="54" t="e">
        <f t="shared" si="640"/>
        <v>#N/A</v>
      </c>
      <c r="AS451" s="316">
        <f t="shared" si="644"/>
        <v>0</v>
      </c>
      <c r="AT451" s="106">
        <f>_xlfn.IFNA($M451/VLOOKUP($BT451,'Unit information'!$A$2:$K$29,2,FALSE)*R451,0)*(1+$E$9)</f>
        <v>0</v>
      </c>
      <c r="AU451" s="107">
        <f>_xlfn.IFNA($M451/VLOOKUP($BT451,'Unit information'!$A$2:$K$29,3,FALSE)*S451,0)*(1+$E$9)</f>
        <v>0</v>
      </c>
      <c r="AV451" s="107">
        <f>_xlfn.IFNA($M451/VLOOKUP($BT451,'Unit information'!$A$2:$K$29,4,FALSE)*T451,0)*(1+$E$9)</f>
        <v>0</v>
      </c>
      <c r="AW451" s="107">
        <f>_xlfn.IFNA($M451/VLOOKUP($BT451,'Unit information'!$A$2:$K$29,5,FALSE)*U451,0)*(1+$E$9)</f>
        <v>0</v>
      </c>
      <c r="AX451" s="107">
        <f>_xlfn.IFNA($M451/VLOOKUP($BU451,'Unit information'!$A$2:$K$29,6,FALSE)*V451,0)*(1+$E$9)</f>
        <v>0</v>
      </c>
      <c r="AY451" s="107">
        <f>_xlfn.IFNA($M451/VLOOKUP($BU451,'Unit information'!$A$2:$K$29,7,FALSE)*W451,0)*(1+$E$9)</f>
        <v>0</v>
      </c>
      <c r="AZ451" s="107">
        <f>_xlfn.IFNA($M451/VLOOKUP($BU451,'Unit information'!$A$2:$K$29,8,FALSE)*X451,0)*(1+$E$9)</f>
        <v>0</v>
      </c>
      <c r="BA451" s="107">
        <f>_xlfn.IFNA($M451/VLOOKUP($BU451,'Unit information'!$A$2:$K$29,9,FALSE)*Y451,0)*(1+$E$9)</f>
        <v>0</v>
      </c>
      <c r="BB451" s="107">
        <f>_xlfn.IFNA($M451/VLOOKUP($BV451,'Unit information'!$A$2:$K$29,10,FALSE)*Z451,0)*(1+$E$9)</f>
        <v>0</v>
      </c>
      <c r="BC451" s="108">
        <f>_xlfn.IFNA($M451/VLOOKUP($BV451,'Unit information'!$A$2:$K$29,11,FALSE)*AA451,0)*(1+$E$9)</f>
        <v>0</v>
      </c>
      <c r="BD451" s="106">
        <f t="shared" si="569"/>
        <v>0</v>
      </c>
      <c r="BE451" s="107">
        <f t="shared" si="570"/>
        <v>0</v>
      </c>
      <c r="BF451" s="108">
        <f t="shared" si="571"/>
        <v>0</v>
      </c>
      <c r="BG451" s="25" t="e">
        <f t="shared" si="572"/>
        <v>#N/A</v>
      </c>
      <c r="BH451" s="25" t="e">
        <f t="shared" si="573"/>
        <v>#N/A</v>
      </c>
      <c r="BI451" s="25" t="e">
        <f t="shared" si="574"/>
        <v>#N/A</v>
      </c>
      <c r="BJ451" s="27" t="e">
        <f t="shared" si="575"/>
        <v>#N/A</v>
      </c>
      <c r="BK451" s="18" t="e">
        <f t="shared" si="576"/>
        <v>#N/A</v>
      </c>
      <c r="BL451" s="18" t="e">
        <f t="shared" si="577"/>
        <v>#N/A</v>
      </c>
      <c r="BM451" s="28" t="e">
        <f t="shared" si="622"/>
        <v>#N/A</v>
      </c>
      <c r="BN451" s="33">
        <f>HLOOKUP("maximum population",Miscelaneous!$C$1:$C$33,CH451+3,FALSE)</f>
        <v>240</v>
      </c>
      <c r="BO451" s="14">
        <f t="shared" si="589"/>
        <v>32</v>
      </c>
      <c r="BP451" s="14">
        <f t="shared" si="590"/>
        <v>0</v>
      </c>
      <c r="BQ451" s="14">
        <f t="shared" si="591"/>
        <v>208</v>
      </c>
      <c r="BR451" s="34" t="e">
        <f>HLOOKUP(J451,Villagers!$B$1:$V$33,L451+3,FALSE)-HLOOKUP(J451,Villagers!$B$1:$V$33,L451+2,FALSE)</f>
        <v>#N/A</v>
      </c>
      <c r="BS451" s="49">
        <f t="shared" si="592"/>
        <v>1</v>
      </c>
      <c r="BT451" s="50">
        <f t="shared" si="593"/>
        <v>0</v>
      </c>
      <c r="BU451" s="50">
        <f t="shared" si="594"/>
        <v>0</v>
      </c>
      <c r="BV451" s="50">
        <f t="shared" si="595"/>
        <v>0</v>
      </c>
      <c r="BW451" s="50">
        <f t="shared" si="647"/>
        <v>0</v>
      </c>
      <c r="BX451" s="50">
        <f t="shared" si="647"/>
        <v>0</v>
      </c>
      <c r="BY451" s="50">
        <f t="shared" si="647"/>
        <v>0</v>
      </c>
      <c r="BZ451" s="50">
        <f t="shared" si="623"/>
        <v>0</v>
      </c>
      <c r="CA451" s="50">
        <f t="shared" si="624"/>
        <v>0</v>
      </c>
      <c r="CB451" s="50">
        <f t="shared" si="625"/>
        <v>1</v>
      </c>
      <c r="CC451" s="50">
        <f t="shared" si="626"/>
        <v>0</v>
      </c>
      <c r="CD451" s="50">
        <f t="shared" si="627"/>
        <v>0</v>
      </c>
      <c r="CE451" s="50">
        <f t="shared" si="628"/>
        <v>1</v>
      </c>
      <c r="CF451" s="50">
        <f t="shared" si="629"/>
        <v>1</v>
      </c>
      <c r="CG451" s="50">
        <f t="shared" si="630"/>
        <v>1</v>
      </c>
      <c r="CH451" s="50">
        <f t="shared" si="631"/>
        <v>1</v>
      </c>
      <c r="CI451" s="50">
        <f t="shared" si="632"/>
        <v>1</v>
      </c>
      <c r="CJ451" s="50">
        <f t="shared" si="633"/>
        <v>1</v>
      </c>
      <c r="CK451" s="50">
        <f t="shared" si="633"/>
        <v>0</v>
      </c>
      <c r="CL451" s="50">
        <f t="shared" si="633"/>
        <v>0</v>
      </c>
      <c r="CM451" s="51">
        <f t="shared" si="634"/>
        <v>0</v>
      </c>
      <c r="CN451" s="33">
        <f>ROUND(IF(BS451=0,0,HLOOKUP(BS$14,Villagers!$B$1:$V$33,BS451+3,FALSE)),)</f>
        <v>5</v>
      </c>
      <c r="CO451" s="14">
        <f>ROUND(IF(BT451=0,0,HLOOKUP(BT$14,Villagers!$B$1:$V$33,BT451+3,FALSE)),)</f>
        <v>0</v>
      </c>
      <c r="CP451" s="14">
        <f>ROUND(IF(BU451=0,0,HLOOKUP(BU$14,Villagers!$B$1:$V$33,BU451+3,FALSE)),)</f>
        <v>0</v>
      </c>
      <c r="CQ451" s="14">
        <f>ROUND(IF(BV451=0,0,HLOOKUP(BV$14,Villagers!$B$1:$V$33,BV451+3,FALSE)),)</f>
        <v>0</v>
      </c>
      <c r="CR451" s="14">
        <f>ROUND(IF(BW451=0,0,HLOOKUP(BW$14,Villagers!$B$1:$V$33,BW451+3,FALSE)),)</f>
        <v>0</v>
      </c>
      <c r="CS451" s="14">
        <f>ROUND(IF(BX451=0,0,HLOOKUP(BX$14,Villagers!$B$1:$V$33,BX451+3,FALSE)),)</f>
        <v>0</v>
      </c>
      <c r="CT451" s="14">
        <f>ROUND(IF(BY451=0,0,HLOOKUP(BY$14,Villagers!$B$1:$V$33,BY451+3,FALSE)),)</f>
        <v>0</v>
      </c>
      <c r="CU451" s="14">
        <f>ROUND(IF(BZ451=0,0,HLOOKUP(BZ$14,Villagers!$B$1:$V$33,BZ451+3,FALSE)),)</f>
        <v>0</v>
      </c>
      <c r="CV451" s="14">
        <f>ROUND(IF(CA451=0,0,HLOOKUP(CA$14,Villagers!$B$1:$V$33,CA451+3,FALSE)),)</f>
        <v>0</v>
      </c>
      <c r="CW451" s="14">
        <f>ROUND(IF(CB451=0,0,HLOOKUP(CB$14,Villagers!$B$1:$V$33,CB451+3,FALSE)),)</f>
        <v>0</v>
      </c>
      <c r="CX451" s="14">
        <f>ROUND(IF(CC451=0,0,HLOOKUP(CC$14,Villagers!$B$1:$V$33,CC451+3,FALSE)),)</f>
        <v>0</v>
      </c>
      <c r="CY451" s="14">
        <f>ROUND(IF(CD451=0,0,HLOOKUP(CD$14,Villagers!$B$1:$V$33,CD451+3,FALSE)),)</f>
        <v>0</v>
      </c>
      <c r="CZ451" s="14">
        <f>ROUND(IF(CE451=0,0,HLOOKUP(CE$14,Villagers!$B$1:$V$33,CE451+3,FALSE)),)</f>
        <v>5</v>
      </c>
      <c r="DA451" s="14">
        <f>ROUND(IF(CF451=0,0,HLOOKUP(CF$14,Villagers!$B$1:$V$33,CF451+3,FALSE)),)</f>
        <v>10</v>
      </c>
      <c r="DB451" s="14">
        <f>ROUND(IF(CG451=0,0,HLOOKUP(CG$14,Villagers!$B$1:$V$33,CG451+3,FALSE)),)</f>
        <v>10</v>
      </c>
      <c r="DC451" s="14">
        <f>ROUND(IF(CH451=0,0,HLOOKUP(CH$14,Villagers!$B$1:$V$33,CH451+3,FALSE)),)</f>
        <v>0</v>
      </c>
      <c r="DD451" s="14">
        <f>ROUND(IF(CI451=0,0,HLOOKUP(CI$14,Villagers!$B$1:$V$33,CI451+3,FALSE)),)</f>
        <v>0</v>
      </c>
      <c r="DE451" s="14">
        <f>ROUND(IF(CJ451=0,0,HLOOKUP(CJ$14,Villagers!$B$1:$V$33,CJ451+3,FALSE)),)</f>
        <v>2</v>
      </c>
      <c r="DF451" s="370">
        <f>ROUND(IF(CK451=0,0,HLOOKUP(CK$14,Villagers!$B$1:$V$33,CK451+3,FALSE)),)</f>
        <v>0</v>
      </c>
      <c r="DG451" s="370">
        <f>ROUND(IF(CL451=0,0,HLOOKUP(CL$14,Villagers!$B$1:$V$33,CL451+3,FALSE)),)</f>
        <v>0</v>
      </c>
      <c r="DH451" s="34">
        <f>ROUND(IF(CM451=0,0,HLOOKUP(CM$14,Villagers!$B$1:$V$33,CM451+3,FALSE)),)</f>
        <v>0</v>
      </c>
      <c r="DI451" s="109">
        <f t="shared" si="611"/>
        <v>0</v>
      </c>
      <c r="DJ451" s="50">
        <f t="shared" si="612"/>
        <v>0</v>
      </c>
      <c r="DK451" s="50">
        <f t="shared" si="613"/>
        <v>0</v>
      </c>
      <c r="DL451" s="50">
        <f t="shared" si="614"/>
        <v>0</v>
      </c>
      <c r="DM451" s="50">
        <f t="shared" si="615"/>
        <v>0</v>
      </c>
      <c r="DN451" s="50">
        <f t="shared" si="616"/>
        <v>0</v>
      </c>
      <c r="DO451" s="50">
        <f t="shared" si="617"/>
        <v>0</v>
      </c>
      <c r="DP451" s="50">
        <f t="shared" si="618"/>
        <v>0</v>
      </c>
      <c r="DQ451" s="50">
        <f t="shared" si="596"/>
        <v>0</v>
      </c>
      <c r="DR451" s="50">
        <f t="shared" si="597"/>
        <v>0</v>
      </c>
      <c r="DS451" s="96">
        <f>Miscelaneous!$D$4*Miscelaneous!$D$2^($CI451-1)</f>
        <v>1000</v>
      </c>
      <c r="DT451" s="333">
        <f t="shared" si="579"/>
        <v>1</v>
      </c>
      <c r="DU451" s="81">
        <v>1</v>
      </c>
      <c r="DV451" s="79">
        <f t="shared" si="598"/>
        <v>0</v>
      </c>
      <c r="DW451" s="79">
        <f t="shared" si="599"/>
        <v>0</v>
      </c>
      <c r="DX451" s="79">
        <f t="shared" si="600"/>
        <v>0</v>
      </c>
      <c r="DY451" s="79">
        <v>1</v>
      </c>
      <c r="DZ451" s="79">
        <f t="shared" si="601"/>
        <v>0</v>
      </c>
      <c r="EA451" s="79">
        <f t="shared" si="602"/>
        <v>0</v>
      </c>
      <c r="EB451" s="79">
        <f t="shared" si="603"/>
        <v>0</v>
      </c>
      <c r="EC451" s="79">
        <f t="shared" si="604"/>
        <v>0</v>
      </c>
      <c r="ED451" s="79">
        <v>1</v>
      </c>
      <c r="EE451" s="79">
        <v>1</v>
      </c>
      <c r="EF451" s="79">
        <f t="shared" si="605"/>
        <v>0</v>
      </c>
      <c r="EG451" s="79">
        <v>1</v>
      </c>
      <c r="EH451" s="79">
        <v>1</v>
      </c>
      <c r="EI451" s="79">
        <v>1</v>
      </c>
      <c r="EJ451" s="79">
        <v>1</v>
      </c>
      <c r="EK451" s="79">
        <v>1</v>
      </c>
      <c r="EL451" s="79">
        <v>1</v>
      </c>
      <c r="EM451" s="143">
        <f t="shared" si="606"/>
        <v>0</v>
      </c>
      <c r="EN451" s="143">
        <f t="shared" si="607"/>
        <v>0</v>
      </c>
      <c r="EO451" s="82">
        <f t="shared" si="608"/>
        <v>0</v>
      </c>
    </row>
    <row r="452" spans="1:145" x14ac:dyDescent="0.25">
      <c r="A452">
        <v>438</v>
      </c>
      <c r="B452" s="172" t="e">
        <f t="shared" si="580"/>
        <v>#N/A</v>
      </c>
      <c r="C452" s="121" t="e">
        <f t="shared" si="558"/>
        <v>#N/A</v>
      </c>
      <c r="D452" s="122" t="e">
        <f t="shared" si="559"/>
        <v>#N/A</v>
      </c>
      <c r="E452" s="122" t="e">
        <f t="shared" si="560"/>
        <v>#N/A</v>
      </c>
      <c r="F452" s="176" t="e">
        <f t="shared" si="561"/>
        <v>#N/A</v>
      </c>
      <c r="G452" s="121">
        <f t="shared" si="581"/>
        <v>208</v>
      </c>
      <c r="H452" s="176" t="e">
        <f t="shared" si="582"/>
        <v>#N/A</v>
      </c>
      <c r="I452" s="48">
        <v>1</v>
      </c>
      <c r="J452" s="39"/>
      <c r="K452" s="350">
        <v>1</v>
      </c>
      <c r="L452" s="34" t="e">
        <f t="shared" si="562"/>
        <v>#N/A</v>
      </c>
      <c r="M452" s="38" t="e">
        <f>(HLOOKUP(J452,'Construction Times'!$B$3:$W$34,L452+2,FALSE)*HLOOKUP("hq modifier",'Construction Times'!$W$3:$W$34,BS452+2,FALSE))*(1-$H$9)</f>
        <v>#N/A</v>
      </c>
      <c r="N452" s="443" t="e">
        <f t="shared" si="583"/>
        <v>#N/A</v>
      </c>
      <c r="O452" s="444"/>
      <c r="P452" s="447" t="e">
        <f t="shared" si="584"/>
        <v>#N/A</v>
      </c>
      <c r="Q452" s="448"/>
      <c r="R452" s="103">
        <f t="shared" si="642"/>
        <v>0</v>
      </c>
      <c r="S452" s="104">
        <f t="shared" si="642"/>
        <v>0</v>
      </c>
      <c r="T452" s="104">
        <f t="shared" si="643"/>
        <v>0</v>
      </c>
      <c r="U452" s="104">
        <f t="shared" si="643"/>
        <v>0</v>
      </c>
      <c r="V452" s="104">
        <f t="shared" si="643"/>
        <v>9.9999999999999995E-8</v>
      </c>
      <c r="W452" s="104">
        <f t="shared" si="643"/>
        <v>0</v>
      </c>
      <c r="X452" s="104">
        <f t="shared" si="639"/>
        <v>0</v>
      </c>
      <c r="Y452" s="104">
        <f t="shared" si="639"/>
        <v>9.9999999999999995E-8</v>
      </c>
      <c r="Z452" s="104">
        <f t="shared" si="639"/>
        <v>9.9999999999999995E-8</v>
      </c>
      <c r="AA452" s="105">
        <f t="shared" si="639"/>
        <v>9.9999999999999995E-8</v>
      </c>
      <c r="AB452" s="101" t="e">
        <f>$DT452*HLOOKUP($J452,'Construction Costs (timber)'!$B$1:$V$32,'Construction Planner'!$L452+2,FALSE)</f>
        <v>#N/A</v>
      </c>
      <c r="AC452" s="14" t="e">
        <f>$DT452*HLOOKUP($J452,'Construction Costs (clay)'!$B$1:$V$32,'Construction Planner'!$L452+2,FALSE)</f>
        <v>#N/A</v>
      </c>
      <c r="AD452" s="14" t="e">
        <f>$DT452*HLOOKUP($J452,'Construction Costs (iron)'!$B$1:$V$32,'Construction Planner'!$L452+2,FALSE)</f>
        <v>#N/A</v>
      </c>
      <c r="AE452" s="34" t="e">
        <f t="shared" si="619"/>
        <v>#N/A</v>
      </c>
      <c r="AF452" s="33" t="e">
        <f t="shared" si="563"/>
        <v>#N/A</v>
      </c>
      <c r="AG452" s="14" t="e">
        <f t="shared" si="564"/>
        <v>#N/A</v>
      </c>
      <c r="AH452" s="14" t="e">
        <f t="shared" si="565"/>
        <v>#N/A</v>
      </c>
      <c r="AI452" s="34" t="e">
        <f t="shared" si="620"/>
        <v>#N/A</v>
      </c>
      <c r="AJ452" s="49" t="e">
        <f t="shared" si="585"/>
        <v>#N/A</v>
      </c>
      <c r="AK452" s="49" t="e">
        <f t="shared" si="586"/>
        <v>#N/A</v>
      </c>
      <c r="AL452" s="49" t="e">
        <f t="shared" si="587"/>
        <v>#N/A</v>
      </c>
      <c r="AM452" s="25">
        <f t="shared" si="566"/>
        <v>30</v>
      </c>
      <c r="AN452" s="25">
        <f t="shared" si="567"/>
        <v>30</v>
      </c>
      <c r="AO452" s="25">
        <f t="shared" si="568"/>
        <v>30</v>
      </c>
      <c r="AP452" s="52" t="e">
        <f t="shared" si="640"/>
        <v>#N/A</v>
      </c>
      <c r="AQ452" s="53" t="e">
        <f t="shared" si="640"/>
        <v>#N/A</v>
      </c>
      <c r="AR452" s="54" t="e">
        <f t="shared" si="640"/>
        <v>#N/A</v>
      </c>
      <c r="AS452" s="316">
        <f t="shared" ref="AS452:AS467" si="648">AS451</f>
        <v>0</v>
      </c>
      <c r="AT452" s="106">
        <f>_xlfn.IFNA($M452/VLOOKUP($BT452,'Unit information'!$A$2:$K$29,2,FALSE)*R452,0)*(1+$E$9)</f>
        <v>0</v>
      </c>
      <c r="AU452" s="107">
        <f>_xlfn.IFNA($M452/VLOOKUP($BT452,'Unit information'!$A$2:$K$29,3,FALSE)*S452,0)*(1+$E$9)</f>
        <v>0</v>
      </c>
      <c r="AV452" s="107">
        <f>_xlfn.IFNA($M452/VLOOKUP($BT452,'Unit information'!$A$2:$K$29,4,FALSE)*T452,0)*(1+$E$9)</f>
        <v>0</v>
      </c>
      <c r="AW452" s="107">
        <f>_xlfn.IFNA($M452/VLOOKUP($BT452,'Unit information'!$A$2:$K$29,5,FALSE)*U452,0)*(1+$E$9)</f>
        <v>0</v>
      </c>
      <c r="AX452" s="107">
        <f>_xlfn.IFNA($M452/VLOOKUP($BU452,'Unit information'!$A$2:$K$29,6,FALSE)*V452,0)*(1+$E$9)</f>
        <v>0</v>
      </c>
      <c r="AY452" s="107">
        <f>_xlfn.IFNA($M452/VLOOKUP($BU452,'Unit information'!$A$2:$K$29,7,FALSE)*W452,0)*(1+$E$9)</f>
        <v>0</v>
      </c>
      <c r="AZ452" s="107">
        <f>_xlfn.IFNA($M452/VLOOKUP($BU452,'Unit information'!$A$2:$K$29,8,FALSE)*X452,0)*(1+$E$9)</f>
        <v>0</v>
      </c>
      <c r="BA452" s="107">
        <f>_xlfn.IFNA($M452/VLOOKUP($BU452,'Unit information'!$A$2:$K$29,9,FALSE)*Y452,0)*(1+$E$9)</f>
        <v>0</v>
      </c>
      <c r="BB452" s="107">
        <f>_xlfn.IFNA($M452/VLOOKUP($BV452,'Unit information'!$A$2:$K$29,10,FALSE)*Z452,0)*(1+$E$9)</f>
        <v>0</v>
      </c>
      <c r="BC452" s="108">
        <f>_xlfn.IFNA($M452/VLOOKUP($BV452,'Unit information'!$A$2:$K$29,11,FALSE)*AA452,0)*(1+$E$9)</f>
        <v>0</v>
      </c>
      <c r="BD452" s="106">
        <f t="shared" si="569"/>
        <v>0</v>
      </c>
      <c r="BE452" s="107">
        <f t="shared" si="570"/>
        <v>0</v>
      </c>
      <c r="BF452" s="108">
        <f t="shared" si="571"/>
        <v>0</v>
      </c>
      <c r="BG452" s="25" t="e">
        <f t="shared" si="572"/>
        <v>#N/A</v>
      </c>
      <c r="BH452" s="25" t="e">
        <f t="shared" si="573"/>
        <v>#N/A</v>
      </c>
      <c r="BI452" s="25" t="e">
        <f t="shared" si="574"/>
        <v>#N/A</v>
      </c>
      <c r="BJ452" s="27" t="e">
        <f t="shared" si="575"/>
        <v>#N/A</v>
      </c>
      <c r="BK452" s="18" t="e">
        <f t="shared" si="576"/>
        <v>#N/A</v>
      </c>
      <c r="BL452" s="18" t="e">
        <f t="shared" si="577"/>
        <v>#N/A</v>
      </c>
      <c r="BM452" s="28" t="e">
        <f t="shared" si="622"/>
        <v>#N/A</v>
      </c>
      <c r="BN452" s="33">
        <f>HLOOKUP("maximum population",Miscelaneous!$C$1:$C$33,CH452+3,FALSE)</f>
        <v>240</v>
      </c>
      <c r="BO452" s="14">
        <f t="shared" si="589"/>
        <v>32</v>
      </c>
      <c r="BP452" s="14">
        <f t="shared" si="590"/>
        <v>0</v>
      </c>
      <c r="BQ452" s="14">
        <f t="shared" si="591"/>
        <v>208</v>
      </c>
      <c r="BR452" s="34" t="e">
        <f>HLOOKUP(J452,Villagers!$B$1:$V$33,L452+3,FALSE)-HLOOKUP(J452,Villagers!$B$1:$V$33,L452+2,FALSE)</f>
        <v>#N/A</v>
      </c>
      <c r="BS452" s="49">
        <f t="shared" si="592"/>
        <v>1</v>
      </c>
      <c r="BT452" s="50">
        <f t="shared" si="593"/>
        <v>0</v>
      </c>
      <c r="BU452" s="50">
        <f t="shared" si="594"/>
        <v>0</v>
      </c>
      <c r="BV452" s="50">
        <f t="shared" si="595"/>
        <v>0</v>
      </c>
      <c r="BW452" s="50">
        <f t="shared" si="647"/>
        <v>0</v>
      </c>
      <c r="BX452" s="50">
        <f t="shared" si="647"/>
        <v>0</v>
      </c>
      <c r="BY452" s="50">
        <f t="shared" si="647"/>
        <v>0</v>
      </c>
      <c r="BZ452" s="50">
        <f t="shared" si="623"/>
        <v>0</v>
      </c>
      <c r="CA452" s="50">
        <f t="shared" si="624"/>
        <v>0</v>
      </c>
      <c r="CB452" s="50">
        <f t="shared" si="625"/>
        <v>1</v>
      </c>
      <c r="CC452" s="50">
        <f t="shared" si="626"/>
        <v>0</v>
      </c>
      <c r="CD452" s="50">
        <f t="shared" si="627"/>
        <v>0</v>
      </c>
      <c r="CE452" s="50">
        <f t="shared" si="628"/>
        <v>1</v>
      </c>
      <c r="CF452" s="50">
        <f t="shared" si="629"/>
        <v>1</v>
      </c>
      <c r="CG452" s="50">
        <f t="shared" si="630"/>
        <v>1</v>
      </c>
      <c r="CH452" s="50">
        <f t="shared" si="631"/>
        <v>1</v>
      </c>
      <c r="CI452" s="50">
        <f t="shared" si="632"/>
        <v>1</v>
      </c>
      <c r="CJ452" s="50">
        <f t="shared" si="633"/>
        <v>1</v>
      </c>
      <c r="CK452" s="50">
        <f t="shared" si="633"/>
        <v>0</v>
      </c>
      <c r="CL452" s="50">
        <f t="shared" si="633"/>
        <v>0</v>
      </c>
      <c r="CM452" s="51">
        <f t="shared" si="634"/>
        <v>0</v>
      </c>
      <c r="CN452" s="33">
        <f>ROUND(IF(BS452=0,0,HLOOKUP(BS$14,Villagers!$B$1:$V$33,BS452+3,FALSE)),)</f>
        <v>5</v>
      </c>
      <c r="CO452" s="14">
        <f>ROUND(IF(BT452=0,0,HLOOKUP(BT$14,Villagers!$B$1:$V$33,BT452+3,FALSE)),)</f>
        <v>0</v>
      </c>
      <c r="CP452" s="14">
        <f>ROUND(IF(BU452=0,0,HLOOKUP(BU$14,Villagers!$B$1:$V$33,BU452+3,FALSE)),)</f>
        <v>0</v>
      </c>
      <c r="CQ452" s="14">
        <f>ROUND(IF(BV452=0,0,HLOOKUP(BV$14,Villagers!$B$1:$V$33,BV452+3,FALSE)),)</f>
        <v>0</v>
      </c>
      <c r="CR452" s="14">
        <f>ROUND(IF(BW452=0,0,HLOOKUP(BW$14,Villagers!$B$1:$V$33,BW452+3,FALSE)),)</f>
        <v>0</v>
      </c>
      <c r="CS452" s="14">
        <f>ROUND(IF(BX452=0,0,HLOOKUP(BX$14,Villagers!$B$1:$V$33,BX452+3,FALSE)),)</f>
        <v>0</v>
      </c>
      <c r="CT452" s="14">
        <f>ROUND(IF(BY452=0,0,HLOOKUP(BY$14,Villagers!$B$1:$V$33,BY452+3,FALSE)),)</f>
        <v>0</v>
      </c>
      <c r="CU452" s="14">
        <f>ROUND(IF(BZ452=0,0,HLOOKUP(BZ$14,Villagers!$B$1:$V$33,BZ452+3,FALSE)),)</f>
        <v>0</v>
      </c>
      <c r="CV452" s="14">
        <f>ROUND(IF(CA452=0,0,HLOOKUP(CA$14,Villagers!$B$1:$V$33,CA452+3,FALSE)),)</f>
        <v>0</v>
      </c>
      <c r="CW452" s="14">
        <f>ROUND(IF(CB452=0,0,HLOOKUP(CB$14,Villagers!$B$1:$V$33,CB452+3,FALSE)),)</f>
        <v>0</v>
      </c>
      <c r="CX452" s="14">
        <f>ROUND(IF(CC452=0,0,HLOOKUP(CC$14,Villagers!$B$1:$V$33,CC452+3,FALSE)),)</f>
        <v>0</v>
      </c>
      <c r="CY452" s="14">
        <f>ROUND(IF(CD452=0,0,HLOOKUP(CD$14,Villagers!$B$1:$V$33,CD452+3,FALSE)),)</f>
        <v>0</v>
      </c>
      <c r="CZ452" s="14">
        <f>ROUND(IF(CE452=0,0,HLOOKUP(CE$14,Villagers!$B$1:$V$33,CE452+3,FALSE)),)</f>
        <v>5</v>
      </c>
      <c r="DA452" s="14">
        <f>ROUND(IF(CF452=0,0,HLOOKUP(CF$14,Villagers!$B$1:$V$33,CF452+3,FALSE)),)</f>
        <v>10</v>
      </c>
      <c r="DB452" s="14">
        <f>ROUND(IF(CG452=0,0,HLOOKUP(CG$14,Villagers!$B$1:$V$33,CG452+3,FALSE)),)</f>
        <v>10</v>
      </c>
      <c r="DC452" s="14">
        <f>ROUND(IF(CH452=0,0,HLOOKUP(CH$14,Villagers!$B$1:$V$33,CH452+3,FALSE)),)</f>
        <v>0</v>
      </c>
      <c r="DD452" s="14">
        <f>ROUND(IF(CI452=0,0,HLOOKUP(CI$14,Villagers!$B$1:$V$33,CI452+3,FALSE)),)</f>
        <v>0</v>
      </c>
      <c r="DE452" s="14">
        <f>ROUND(IF(CJ452=0,0,HLOOKUP(CJ$14,Villagers!$B$1:$V$33,CJ452+3,FALSE)),)</f>
        <v>2</v>
      </c>
      <c r="DF452" s="370">
        <f>ROUND(IF(CK452=0,0,HLOOKUP(CK$14,Villagers!$B$1:$V$33,CK452+3,FALSE)),)</f>
        <v>0</v>
      </c>
      <c r="DG452" s="370">
        <f>ROUND(IF(CL452=0,0,HLOOKUP(CL$14,Villagers!$B$1:$V$33,CL452+3,FALSE)),)</f>
        <v>0</v>
      </c>
      <c r="DH452" s="34">
        <f>ROUND(IF(CM452=0,0,HLOOKUP(CM$14,Villagers!$B$1:$V$33,CM452+3,FALSE)),)</f>
        <v>0</v>
      </c>
      <c r="DI452" s="109">
        <f t="shared" si="611"/>
        <v>0</v>
      </c>
      <c r="DJ452" s="50">
        <f t="shared" si="612"/>
        <v>0</v>
      </c>
      <c r="DK452" s="50">
        <f t="shared" si="613"/>
        <v>0</v>
      </c>
      <c r="DL452" s="50">
        <f t="shared" si="614"/>
        <v>0</v>
      </c>
      <c r="DM452" s="50">
        <f t="shared" si="615"/>
        <v>0</v>
      </c>
      <c r="DN452" s="50">
        <f t="shared" si="616"/>
        <v>0</v>
      </c>
      <c r="DO452" s="50">
        <f t="shared" si="617"/>
        <v>0</v>
      </c>
      <c r="DP452" s="50">
        <f t="shared" si="618"/>
        <v>0</v>
      </c>
      <c r="DQ452" s="50">
        <f t="shared" si="596"/>
        <v>0</v>
      </c>
      <c r="DR452" s="50">
        <f t="shared" si="597"/>
        <v>0</v>
      </c>
      <c r="DS452" s="96">
        <f>Miscelaneous!$D$4*Miscelaneous!$D$2^($CI452-1)</f>
        <v>1000</v>
      </c>
      <c r="DT452" s="333">
        <f t="shared" si="579"/>
        <v>1</v>
      </c>
      <c r="DU452" s="81">
        <v>1</v>
      </c>
      <c r="DV452" s="79">
        <f t="shared" si="598"/>
        <v>0</v>
      </c>
      <c r="DW452" s="79">
        <f t="shared" si="599"/>
        <v>0</v>
      </c>
      <c r="DX452" s="79">
        <f t="shared" si="600"/>
        <v>0</v>
      </c>
      <c r="DY452" s="79">
        <v>1</v>
      </c>
      <c r="DZ452" s="79">
        <f t="shared" si="601"/>
        <v>0</v>
      </c>
      <c r="EA452" s="79">
        <f t="shared" si="602"/>
        <v>0</v>
      </c>
      <c r="EB452" s="79">
        <f t="shared" si="603"/>
        <v>0</v>
      </c>
      <c r="EC452" s="79">
        <f t="shared" si="604"/>
        <v>0</v>
      </c>
      <c r="ED452" s="79">
        <v>1</v>
      </c>
      <c r="EE452" s="79">
        <v>1</v>
      </c>
      <c r="EF452" s="79">
        <f t="shared" si="605"/>
        <v>0</v>
      </c>
      <c r="EG452" s="79">
        <v>1</v>
      </c>
      <c r="EH452" s="79">
        <v>1</v>
      </c>
      <c r="EI452" s="79">
        <v>1</v>
      </c>
      <c r="EJ452" s="79">
        <v>1</v>
      </c>
      <c r="EK452" s="79">
        <v>1</v>
      </c>
      <c r="EL452" s="79">
        <v>1</v>
      </c>
      <c r="EM452" s="143">
        <f t="shared" si="606"/>
        <v>0</v>
      </c>
      <c r="EN452" s="143">
        <f t="shared" si="607"/>
        <v>0</v>
      </c>
      <c r="EO452" s="82">
        <f t="shared" si="608"/>
        <v>0</v>
      </c>
    </row>
    <row r="453" spans="1:145" x14ac:dyDescent="0.25">
      <c r="A453">
        <v>439</v>
      </c>
      <c r="B453" s="172" t="e">
        <f t="shared" si="580"/>
        <v>#N/A</v>
      </c>
      <c r="C453" s="121" t="e">
        <f t="shared" si="558"/>
        <v>#N/A</v>
      </c>
      <c r="D453" s="122" t="e">
        <f t="shared" si="559"/>
        <v>#N/A</v>
      </c>
      <c r="E453" s="122" t="e">
        <f t="shared" si="560"/>
        <v>#N/A</v>
      </c>
      <c r="F453" s="176" t="e">
        <f t="shared" si="561"/>
        <v>#N/A</v>
      </c>
      <c r="G453" s="121">
        <f t="shared" si="581"/>
        <v>208</v>
      </c>
      <c r="H453" s="176" t="e">
        <f t="shared" si="582"/>
        <v>#N/A</v>
      </c>
      <c r="I453" s="48">
        <v>1</v>
      </c>
      <c r="J453" s="39"/>
      <c r="K453" s="350">
        <v>1</v>
      </c>
      <c r="L453" s="34" t="e">
        <f t="shared" si="562"/>
        <v>#N/A</v>
      </c>
      <c r="M453" s="38" t="e">
        <f>(HLOOKUP(J453,'Construction Times'!$B$3:$W$34,L453+2,FALSE)*HLOOKUP("hq modifier",'Construction Times'!$W$3:$W$34,BS453+2,FALSE))*(1-$H$9)</f>
        <v>#N/A</v>
      </c>
      <c r="N453" s="443" t="e">
        <f t="shared" si="583"/>
        <v>#N/A</v>
      </c>
      <c r="O453" s="444"/>
      <c r="P453" s="447" t="e">
        <f t="shared" si="584"/>
        <v>#N/A</v>
      </c>
      <c r="Q453" s="448"/>
      <c r="R453" s="103">
        <f t="shared" si="642"/>
        <v>0</v>
      </c>
      <c r="S453" s="104">
        <f t="shared" si="642"/>
        <v>0</v>
      </c>
      <c r="T453" s="104">
        <f t="shared" si="643"/>
        <v>0</v>
      </c>
      <c r="U453" s="104">
        <f t="shared" si="643"/>
        <v>0</v>
      </c>
      <c r="V453" s="104">
        <f t="shared" si="643"/>
        <v>9.9999999999999995E-8</v>
      </c>
      <c r="W453" s="104">
        <f t="shared" si="643"/>
        <v>0</v>
      </c>
      <c r="X453" s="104">
        <f t="shared" si="639"/>
        <v>0</v>
      </c>
      <c r="Y453" s="104">
        <f t="shared" si="639"/>
        <v>9.9999999999999995E-8</v>
      </c>
      <c r="Z453" s="104">
        <f t="shared" si="639"/>
        <v>9.9999999999999995E-8</v>
      </c>
      <c r="AA453" s="105">
        <f t="shared" si="639"/>
        <v>9.9999999999999995E-8</v>
      </c>
      <c r="AB453" s="101" t="e">
        <f>$DT453*HLOOKUP($J453,'Construction Costs (timber)'!$B$1:$V$32,'Construction Planner'!$L453+2,FALSE)</f>
        <v>#N/A</v>
      </c>
      <c r="AC453" s="14" t="e">
        <f>$DT453*HLOOKUP($J453,'Construction Costs (clay)'!$B$1:$V$32,'Construction Planner'!$L453+2,FALSE)</f>
        <v>#N/A</v>
      </c>
      <c r="AD453" s="14" t="e">
        <f>$DT453*HLOOKUP($J453,'Construction Costs (iron)'!$B$1:$V$32,'Construction Planner'!$L453+2,FALSE)</f>
        <v>#N/A</v>
      </c>
      <c r="AE453" s="34" t="e">
        <f t="shared" si="619"/>
        <v>#N/A</v>
      </c>
      <c r="AF453" s="33" t="e">
        <f t="shared" si="563"/>
        <v>#N/A</v>
      </c>
      <c r="AG453" s="14" t="e">
        <f t="shared" si="564"/>
        <v>#N/A</v>
      </c>
      <c r="AH453" s="14" t="e">
        <f t="shared" si="565"/>
        <v>#N/A</v>
      </c>
      <c r="AI453" s="34" t="e">
        <f t="shared" si="620"/>
        <v>#N/A</v>
      </c>
      <c r="AJ453" s="49" t="e">
        <f t="shared" si="585"/>
        <v>#N/A</v>
      </c>
      <c r="AK453" s="49" t="e">
        <f t="shared" si="586"/>
        <v>#N/A</v>
      </c>
      <c r="AL453" s="49" t="e">
        <f t="shared" si="587"/>
        <v>#N/A</v>
      </c>
      <c r="AM453" s="25">
        <f t="shared" si="566"/>
        <v>30</v>
      </c>
      <c r="AN453" s="25">
        <f t="shared" si="567"/>
        <v>30</v>
      </c>
      <c r="AO453" s="25">
        <f t="shared" si="568"/>
        <v>30</v>
      </c>
      <c r="AP453" s="52" t="e">
        <f t="shared" si="640"/>
        <v>#N/A</v>
      </c>
      <c r="AQ453" s="53" t="e">
        <f t="shared" si="640"/>
        <v>#N/A</v>
      </c>
      <c r="AR453" s="54" t="e">
        <f t="shared" si="640"/>
        <v>#N/A</v>
      </c>
      <c r="AS453" s="316">
        <f t="shared" si="648"/>
        <v>0</v>
      </c>
      <c r="AT453" s="106">
        <f>_xlfn.IFNA($M453/VLOOKUP($BT453,'Unit information'!$A$2:$K$29,2,FALSE)*R453,0)*(1+$E$9)</f>
        <v>0</v>
      </c>
      <c r="AU453" s="107">
        <f>_xlfn.IFNA($M453/VLOOKUP($BT453,'Unit information'!$A$2:$K$29,3,FALSE)*S453,0)*(1+$E$9)</f>
        <v>0</v>
      </c>
      <c r="AV453" s="107">
        <f>_xlfn.IFNA($M453/VLOOKUP($BT453,'Unit information'!$A$2:$K$29,4,FALSE)*T453,0)*(1+$E$9)</f>
        <v>0</v>
      </c>
      <c r="AW453" s="107">
        <f>_xlfn.IFNA($M453/VLOOKUP($BT453,'Unit information'!$A$2:$K$29,5,FALSE)*U453,0)*(1+$E$9)</f>
        <v>0</v>
      </c>
      <c r="AX453" s="107">
        <f>_xlfn.IFNA($M453/VLOOKUP($BU453,'Unit information'!$A$2:$K$29,6,FALSE)*V453,0)*(1+$E$9)</f>
        <v>0</v>
      </c>
      <c r="AY453" s="107">
        <f>_xlfn.IFNA($M453/VLOOKUP($BU453,'Unit information'!$A$2:$K$29,7,FALSE)*W453,0)*(1+$E$9)</f>
        <v>0</v>
      </c>
      <c r="AZ453" s="107">
        <f>_xlfn.IFNA($M453/VLOOKUP($BU453,'Unit information'!$A$2:$K$29,8,FALSE)*X453,0)*(1+$E$9)</f>
        <v>0</v>
      </c>
      <c r="BA453" s="107">
        <f>_xlfn.IFNA($M453/VLOOKUP($BU453,'Unit information'!$A$2:$K$29,9,FALSE)*Y453,0)*(1+$E$9)</f>
        <v>0</v>
      </c>
      <c r="BB453" s="107">
        <f>_xlfn.IFNA($M453/VLOOKUP($BV453,'Unit information'!$A$2:$K$29,10,FALSE)*Z453,0)*(1+$E$9)</f>
        <v>0</v>
      </c>
      <c r="BC453" s="108">
        <f>_xlfn.IFNA($M453/VLOOKUP($BV453,'Unit information'!$A$2:$K$29,11,FALSE)*AA453,0)*(1+$E$9)</f>
        <v>0</v>
      </c>
      <c r="BD453" s="106">
        <f t="shared" si="569"/>
        <v>0</v>
      </c>
      <c r="BE453" s="107">
        <f t="shared" si="570"/>
        <v>0</v>
      </c>
      <c r="BF453" s="108">
        <f t="shared" si="571"/>
        <v>0</v>
      </c>
      <c r="BG453" s="25" t="e">
        <f t="shared" si="572"/>
        <v>#N/A</v>
      </c>
      <c r="BH453" s="25" t="e">
        <f t="shared" si="573"/>
        <v>#N/A</v>
      </c>
      <c r="BI453" s="25" t="e">
        <f t="shared" si="574"/>
        <v>#N/A</v>
      </c>
      <c r="BJ453" s="27" t="e">
        <f t="shared" si="575"/>
        <v>#N/A</v>
      </c>
      <c r="BK453" s="18" t="e">
        <f t="shared" si="576"/>
        <v>#N/A</v>
      </c>
      <c r="BL453" s="18" t="e">
        <f t="shared" si="577"/>
        <v>#N/A</v>
      </c>
      <c r="BM453" s="28" t="e">
        <f t="shared" si="622"/>
        <v>#N/A</v>
      </c>
      <c r="BN453" s="33">
        <f>HLOOKUP("maximum population",Miscelaneous!$C$1:$C$33,CH453+3,FALSE)</f>
        <v>240</v>
      </c>
      <c r="BO453" s="14">
        <f t="shared" si="589"/>
        <v>32</v>
      </c>
      <c r="BP453" s="14">
        <f t="shared" si="590"/>
        <v>0</v>
      </c>
      <c r="BQ453" s="14">
        <f t="shared" si="591"/>
        <v>208</v>
      </c>
      <c r="BR453" s="34" t="e">
        <f>HLOOKUP(J453,Villagers!$B$1:$V$33,L453+3,FALSE)-HLOOKUP(J453,Villagers!$B$1:$V$33,L453+2,FALSE)</f>
        <v>#N/A</v>
      </c>
      <c r="BS453" s="49">
        <f t="shared" si="592"/>
        <v>1</v>
      </c>
      <c r="BT453" s="50">
        <f t="shared" si="593"/>
        <v>0</v>
      </c>
      <c r="BU453" s="50">
        <f t="shared" si="594"/>
        <v>0</v>
      </c>
      <c r="BV453" s="50">
        <f t="shared" si="595"/>
        <v>0</v>
      </c>
      <c r="BW453" s="50">
        <f t="shared" si="647"/>
        <v>0</v>
      </c>
      <c r="BX453" s="50">
        <f t="shared" si="647"/>
        <v>0</v>
      </c>
      <c r="BY453" s="50">
        <f t="shared" si="647"/>
        <v>0</v>
      </c>
      <c r="BZ453" s="50">
        <f t="shared" si="623"/>
        <v>0</v>
      </c>
      <c r="CA453" s="50">
        <f t="shared" si="624"/>
        <v>0</v>
      </c>
      <c r="CB453" s="50">
        <f t="shared" si="625"/>
        <v>1</v>
      </c>
      <c r="CC453" s="50">
        <f t="shared" si="626"/>
        <v>0</v>
      </c>
      <c r="CD453" s="50">
        <f t="shared" si="627"/>
        <v>0</v>
      </c>
      <c r="CE453" s="50">
        <f t="shared" si="628"/>
        <v>1</v>
      </c>
      <c r="CF453" s="50">
        <f t="shared" si="629"/>
        <v>1</v>
      </c>
      <c r="CG453" s="50">
        <f t="shared" si="630"/>
        <v>1</v>
      </c>
      <c r="CH453" s="50">
        <f t="shared" si="631"/>
        <v>1</v>
      </c>
      <c r="CI453" s="50">
        <f t="shared" si="632"/>
        <v>1</v>
      </c>
      <c r="CJ453" s="50">
        <f t="shared" si="633"/>
        <v>1</v>
      </c>
      <c r="CK453" s="50">
        <f t="shared" si="633"/>
        <v>0</v>
      </c>
      <c r="CL453" s="50">
        <f t="shared" si="633"/>
        <v>0</v>
      </c>
      <c r="CM453" s="51">
        <f t="shared" si="634"/>
        <v>0</v>
      </c>
      <c r="CN453" s="33">
        <f>ROUND(IF(BS453=0,0,HLOOKUP(BS$14,Villagers!$B$1:$V$33,BS453+3,FALSE)),)</f>
        <v>5</v>
      </c>
      <c r="CO453" s="14">
        <f>ROUND(IF(BT453=0,0,HLOOKUP(BT$14,Villagers!$B$1:$V$33,BT453+3,FALSE)),)</f>
        <v>0</v>
      </c>
      <c r="CP453" s="14">
        <f>ROUND(IF(BU453=0,0,HLOOKUP(BU$14,Villagers!$B$1:$V$33,BU453+3,FALSE)),)</f>
        <v>0</v>
      </c>
      <c r="CQ453" s="14">
        <f>ROUND(IF(BV453=0,0,HLOOKUP(BV$14,Villagers!$B$1:$V$33,BV453+3,FALSE)),)</f>
        <v>0</v>
      </c>
      <c r="CR453" s="14">
        <f>ROUND(IF(BW453=0,0,HLOOKUP(BW$14,Villagers!$B$1:$V$33,BW453+3,FALSE)),)</f>
        <v>0</v>
      </c>
      <c r="CS453" s="14">
        <f>ROUND(IF(BX453=0,0,HLOOKUP(BX$14,Villagers!$B$1:$V$33,BX453+3,FALSE)),)</f>
        <v>0</v>
      </c>
      <c r="CT453" s="14">
        <f>ROUND(IF(BY453=0,0,HLOOKUP(BY$14,Villagers!$B$1:$V$33,BY453+3,FALSE)),)</f>
        <v>0</v>
      </c>
      <c r="CU453" s="14">
        <f>ROUND(IF(BZ453=0,0,HLOOKUP(BZ$14,Villagers!$B$1:$V$33,BZ453+3,FALSE)),)</f>
        <v>0</v>
      </c>
      <c r="CV453" s="14">
        <f>ROUND(IF(CA453=0,0,HLOOKUP(CA$14,Villagers!$B$1:$V$33,CA453+3,FALSE)),)</f>
        <v>0</v>
      </c>
      <c r="CW453" s="14">
        <f>ROUND(IF(CB453=0,0,HLOOKUP(CB$14,Villagers!$B$1:$V$33,CB453+3,FALSE)),)</f>
        <v>0</v>
      </c>
      <c r="CX453" s="14">
        <f>ROUND(IF(CC453=0,0,HLOOKUP(CC$14,Villagers!$B$1:$V$33,CC453+3,FALSE)),)</f>
        <v>0</v>
      </c>
      <c r="CY453" s="14">
        <f>ROUND(IF(CD453=0,0,HLOOKUP(CD$14,Villagers!$B$1:$V$33,CD453+3,FALSE)),)</f>
        <v>0</v>
      </c>
      <c r="CZ453" s="14">
        <f>ROUND(IF(CE453=0,0,HLOOKUP(CE$14,Villagers!$B$1:$V$33,CE453+3,FALSE)),)</f>
        <v>5</v>
      </c>
      <c r="DA453" s="14">
        <f>ROUND(IF(CF453=0,0,HLOOKUP(CF$14,Villagers!$B$1:$V$33,CF453+3,FALSE)),)</f>
        <v>10</v>
      </c>
      <c r="DB453" s="14">
        <f>ROUND(IF(CG453=0,0,HLOOKUP(CG$14,Villagers!$B$1:$V$33,CG453+3,FALSE)),)</f>
        <v>10</v>
      </c>
      <c r="DC453" s="14">
        <f>ROUND(IF(CH453=0,0,HLOOKUP(CH$14,Villagers!$B$1:$V$33,CH453+3,FALSE)),)</f>
        <v>0</v>
      </c>
      <c r="DD453" s="14">
        <f>ROUND(IF(CI453=0,0,HLOOKUP(CI$14,Villagers!$B$1:$V$33,CI453+3,FALSE)),)</f>
        <v>0</v>
      </c>
      <c r="DE453" s="14">
        <f>ROUND(IF(CJ453=0,0,HLOOKUP(CJ$14,Villagers!$B$1:$V$33,CJ453+3,FALSE)),)</f>
        <v>2</v>
      </c>
      <c r="DF453" s="370">
        <f>ROUND(IF(CK453=0,0,HLOOKUP(CK$14,Villagers!$B$1:$V$33,CK453+3,FALSE)),)</f>
        <v>0</v>
      </c>
      <c r="DG453" s="370">
        <f>ROUND(IF(CL453=0,0,HLOOKUP(CL$14,Villagers!$B$1:$V$33,CL453+3,FALSE)),)</f>
        <v>0</v>
      </c>
      <c r="DH453" s="34">
        <f>ROUND(IF(CM453=0,0,HLOOKUP(CM$14,Villagers!$B$1:$V$33,CM453+3,FALSE)),)</f>
        <v>0</v>
      </c>
      <c r="DI453" s="109">
        <f t="shared" si="611"/>
        <v>0</v>
      </c>
      <c r="DJ453" s="50">
        <f t="shared" si="612"/>
        <v>0</v>
      </c>
      <c r="DK453" s="50">
        <f t="shared" si="613"/>
        <v>0</v>
      </c>
      <c r="DL453" s="50">
        <f t="shared" si="614"/>
        <v>0</v>
      </c>
      <c r="DM453" s="50">
        <f t="shared" si="615"/>
        <v>0</v>
      </c>
      <c r="DN453" s="50">
        <f t="shared" si="616"/>
        <v>0</v>
      </c>
      <c r="DO453" s="50">
        <f t="shared" si="617"/>
        <v>0</v>
      </c>
      <c r="DP453" s="50">
        <f t="shared" si="618"/>
        <v>0</v>
      </c>
      <c r="DQ453" s="50">
        <f t="shared" si="596"/>
        <v>0</v>
      </c>
      <c r="DR453" s="50">
        <f t="shared" si="597"/>
        <v>0</v>
      </c>
      <c r="DS453" s="96">
        <f>Miscelaneous!$D$4*Miscelaneous!$D$2^($CI453-1)</f>
        <v>1000</v>
      </c>
      <c r="DT453" s="333">
        <f t="shared" si="579"/>
        <v>1</v>
      </c>
      <c r="DU453" s="81">
        <v>1</v>
      </c>
      <c r="DV453" s="79">
        <f t="shared" si="598"/>
        <v>0</v>
      </c>
      <c r="DW453" s="79">
        <f t="shared" si="599"/>
        <v>0</v>
      </c>
      <c r="DX453" s="79">
        <f t="shared" si="600"/>
        <v>0</v>
      </c>
      <c r="DY453" s="79">
        <v>1</v>
      </c>
      <c r="DZ453" s="79">
        <f t="shared" si="601"/>
        <v>0</v>
      </c>
      <c r="EA453" s="79">
        <f t="shared" si="602"/>
        <v>0</v>
      </c>
      <c r="EB453" s="79">
        <f t="shared" si="603"/>
        <v>0</v>
      </c>
      <c r="EC453" s="79">
        <f t="shared" si="604"/>
        <v>0</v>
      </c>
      <c r="ED453" s="79">
        <v>1</v>
      </c>
      <c r="EE453" s="79">
        <v>1</v>
      </c>
      <c r="EF453" s="79">
        <f t="shared" si="605"/>
        <v>0</v>
      </c>
      <c r="EG453" s="79">
        <v>1</v>
      </c>
      <c r="EH453" s="79">
        <v>1</v>
      </c>
      <c r="EI453" s="79">
        <v>1</v>
      </c>
      <c r="EJ453" s="79">
        <v>1</v>
      </c>
      <c r="EK453" s="79">
        <v>1</v>
      </c>
      <c r="EL453" s="79">
        <v>1</v>
      </c>
      <c r="EM453" s="143">
        <f t="shared" si="606"/>
        <v>0</v>
      </c>
      <c r="EN453" s="143">
        <f t="shared" si="607"/>
        <v>0</v>
      </c>
      <c r="EO453" s="82">
        <f t="shared" si="608"/>
        <v>0</v>
      </c>
    </row>
    <row r="454" spans="1:145" x14ac:dyDescent="0.25">
      <c r="A454">
        <v>440</v>
      </c>
      <c r="B454" s="172" t="e">
        <f t="shared" si="580"/>
        <v>#N/A</v>
      </c>
      <c r="C454" s="121" t="e">
        <f t="shared" si="558"/>
        <v>#N/A</v>
      </c>
      <c r="D454" s="122" t="e">
        <f t="shared" si="559"/>
        <v>#N/A</v>
      </c>
      <c r="E454" s="122" t="e">
        <f t="shared" si="560"/>
        <v>#N/A</v>
      </c>
      <c r="F454" s="176" t="e">
        <f t="shared" si="561"/>
        <v>#N/A</v>
      </c>
      <c r="G454" s="121">
        <f t="shared" si="581"/>
        <v>208</v>
      </c>
      <c r="H454" s="176" t="e">
        <f t="shared" si="582"/>
        <v>#N/A</v>
      </c>
      <c r="I454" s="48">
        <v>1</v>
      </c>
      <c r="J454" s="39"/>
      <c r="K454" s="350">
        <v>1</v>
      </c>
      <c r="L454" s="34" t="e">
        <f t="shared" si="562"/>
        <v>#N/A</v>
      </c>
      <c r="M454" s="38" t="e">
        <f>(HLOOKUP(J454,'Construction Times'!$B$3:$W$34,L454+2,FALSE)*HLOOKUP("hq modifier",'Construction Times'!$W$3:$W$34,BS454+2,FALSE))*(1-$H$9)</f>
        <v>#N/A</v>
      </c>
      <c r="N454" s="443" t="e">
        <f t="shared" si="583"/>
        <v>#N/A</v>
      </c>
      <c r="O454" s="444"/>
      <c r="P454" s="447" t="e">
        <f t="shared" si="584"/>
        <v>#N/A</v>
      </c>
      <c r="Q454" s="448"/>
      <c r="R454" s="103">
        <f t="shared" si="642"/>
        <v>0</v>
      </c>
      <c r="S454" s="104">
        <f t="shared" si="642"/>
        <v>0</v>
      </c>
      <c r="T454" s="104">
        <f t="shared" si="643"/>
        <v>0</v>
      </c>
      <c r="U454" s="104">
        <f t="shared" si="643"/>
        <v>0</v>
      </c>
      <c r="V454" s="104">
        <f t="shared" si="643"/>
        <v>9.9999999999999995E-8</v>
      </c>
      <c r="W454" s="104">
        <f t="shared" si="643"/>
        <v>0</v>
      </c>
      <c r="X454" s="104">
        <f t="shared" si="639"/>
        <v>0</v>
      </c>
      <c r="Y454" s="104">
        <f t="shared" si="639"/>
        <v>9.9999999999999995E-8</v>
      </c>
      <c r="Z454" s="104">
        <f t="shared" si="639"/>
        <v>9.9999999999999995E-8</v>
      </c>
      <c r="AA454" s="105">
        <f t="shared" si="639"/>
        <v>9.9999999999999995E-8</v>
      </c>
      <c r="AB454" s="101" t="e">
        <f>$DT454*HLOOKUP($J454,'Construction Costs (timber)'!$B$1:$V$32,'Construction Planner'!$L454+2,FALSE)</f>
        <v>#N/A</v>
      </c>
      <c r="AC454" s="14" t="e">
        <f>$DT454*HLOOKUP($J454,'Construction Costs (clay)'!$B$1:$V$32,'Construction Planner'!$L454+2,FALSE)</f>
        <v>#N/A</v>
      </c>
      <c r="AD454" s="14" t="e">
        <f>$DT454*HLOOKUP($J454,'Construction Costs (iron)'!$B$1:$V$32,'Construction Planner'!$L454+2,FALSE)</f>
        <v>#N/A</v>
      </c>
      <c r="AE454" s="34" t="e">
        <f t="shared" si="619"/>
        <v>#N/A</v>
      </c>
      <c r="AF454" s="33" t="e">
        <f t="shared" si="563"/>
        <v>#N/A</v>
      </c>
      <c r="AG454" s="14" t="e">
        <f t="shared" si="564"/>
        <v>#N/A</v>
      </c>
      <c r="AH454" s="14" t="e">
        <f t="shared" si="565"/>
        <v>#N/A</v>
      </c>
      <c r="AI454" s="34" t="e">
        <f t="shared" si="620"/>
        <v>#N/A</v>
      </c>
      <c r="AJ454" s="49" t="e">
        <f t="shared" si="585"/>
        <v>#N/A</v>
      </c>
      <c r="AK454" s="49" t="e">
        <f t="shared" si="586"/>
        <v>#N/A</v>
      </c>
      <c r="AL454" s="49" t="e">
        <f t="shared" si="587"/>
        <v>#N/A</v>
      </c>
      <c r="AM454" s="25">
        <f t="shared" si="566"/>
        <v>30</v>
      </c>
      <c r="AN454" s="25">
        <f t="shared" si="567"/>
        <v>30</v>
      </c>
      <c r="AO454" s="25">
        <f t="shared" si="568"/>
        <v>30</v>
      </c>
      <c r="AP454" s="52" t="e">
        <f t="shared" si="640"/>
        <v>#N/A</v>
      </c>
      <c r="AQ454" s="53" t="e">
        <f t="shared" si="640"/>
        <v>#N/A</v>
      </c>
      <c r="AR454" s="54" t="e">
        <f t="shared" si="640"/>
        <v>#N/A</v>
      </c>
      <c r="AS454" s="316">
        <f t="shared" si="648"/>
        <v>0</v>
      </c>
      <c r="AT454" s="106">
        <f>_xlfn.IFNA($M454/VLOOKUP($BT454,'Unit information'!$A$2:$K$29,2,FALSE)*R454,0)*(1+$E$9)</f>
        <v>0</v>
      </c>
      <c r="AU454" s="107">
        <f>_xlfn.IFNA($M454/VLOOKUP($BT454,'Unit information'!$A$2:$K$29,3,FALSE)*S454,0)*(1+$E$9)</f>
        <v>0</v>
      </c>
      <c r="AV454" s="107">
        <f>_xlfn.IFNA($M454/VLOOKUP($BT454,'Unit information'!$A$2:$K$29,4,FALSE)*T454,0)*(1+$E$9)</f>
        <v>0</v>
      </c>
      <c r="AW454" s="107">
        <f>_xlfn.IFNA($M454/VLOOKUP($BT454,'Unit information'!$A$2:$K$29,5,FALSE)*U454,0)*(1+$E$9)</f>
        <v>0</v>
      </c>
      <c r="AX454" s="107">
        <f>_xlfn.IFNA($M454/VLOOKUP($BU454,'Unit information'!$A$2:$K$29,6,FALSE)*V454,0)*(1+$E$9)</f>
        <v>0</v>
      </c>
      <c r="AY454" s="107">
        <f>_xlfn.IFNA($M454/VLOOKUP($BU454,'Unit information'!$A$2:$K$29,7,FALSE)*W454,0)*(1+$E$9)</f>
        <v>0</v>
      </c>
      <c r="AZ454" s="107">
        <f>_xlfn.IFNA($M454/VLOOKUP($BU454,'Unit information'!$A$2:$K$29,8,FALSE)*X454,0)*(1+$E$9)</f>
        <v>0</v>
      </c>
      <c r="BA454" s="107">
        <f>_xlfn.IFNA($M454/VLOOKUP($BU454,'Unit information'!$A$2:$K$29,9,FALSE)*Y454,0)*(1+$E$9)</f>
        <v>0</v>
      </c>
      <c r="BB454" s="107">
        <f>_xlfn.IFNA($M454/VLOOKUP($BV454,'Unit information'!$A$2:$K$29,10,FALSE)*Z454,0)*(1+$E$9)</f>
        <v>0</v>
      </c>
      <c r="BC454" s="108">
        <f>_xlfn.IFNA($M454/VLOOKUP($BV454,'Unit information'!$A$2:$K$29,11,FALSE)*AA454,0)*(1+$E$9)</f>
        <v>0</v>
      </c>
      <c r="BD454" s="106">
        <f t="shared" si="569"/>
        <v>0</v>
      </c>
      <c r="BE454" s="107">
        <f t="shared" si="570"/>
        <v>0</v>
      </c>
      <c r="BF454" s="108">
        <f t="shared" si="571"/>
        <v>0</v>
      </c>
      <c r="BG454" s="25" t="e">
        <f t="shared" si="572"/>
        <v>#N/A</v>
      </c>
      <c r="BH454" s="25" t="e">
        <f t="shared" si="573"/>
        <v>#N/A</v>
      </c>
      <c r="BI454" s="25" t="e">
        <f t="shared" si="574"/>
        <v>#N/A</v>
      </c>
      <c r="BJ454" s="27" t="e">
        <f t="shared" si="575"/>
        <v>#N/A</v>
      </c>
      <c r="BK454" s="18" t="e">
        <f t="shared" si="576"/>
        <v>#N/A</v>
      </c>
      <c r="BL454" s="18" t="e">
        <f t="shared" si="577"/>
        <v>#N/A</v>
      </c>
      <c r="BM454" s="28" t="e">
        <f t="shared" si="622"/>
        <v>#N/A</v>
      </c>
      <c r="BN454" s="33">
        <f>HLOOKUP("maximum population",Miscelaneous!$C$1:$C$33,CH454+3,FALSE)</f>
        <v>240</v>
      </c>
      <c r="BO454" s="14">
        <f t="shared" si="589"/>
        <v>32</v>
      </c>
      <c r="BP454" s="14">
        <f t="shared" si="590"/>
        <v>0</v>
      </c>
      <c r="BQ454" s="14">
        <f t="shared" si="591"/>
        <v>208</v>
      </c>
      <c r="BR454" s="34" t="e">
        <f>HLOOKUP(J454,Villagers!$B$1:$V$33,L454+3,FALSE)-HLOOKUP(J454,Villagers!$B$1:$V$33,L454+2,FALSE)</f>
        <v>#N/A</v>
      </c>
      <c r="BS454" s="49">
        <f t="shared" si="592"/>
        <v>1</v>
      </c>
      <c r="BT454" s="50">
        <f t="shared" si="593"/>
        <v>0</v>
      </c>
      <c r="BU454" s="50">
        <f t="shared" si="594"/>
        <v>0</v>
      </c>
      <c r="BV454" s="50">
        <f t="shared" si="595"/>
        <v>0</v>
      </c>
      <c r="BW454" s="50">
        <f t="shared" si="647"/>
        <v>0</v>
      </c>
      <c r="BX454" s="50">
        <f t="shared" si="647"/>
        <v>0</v>
      </c>
      <c r="BY454" s="50">
        <f t="shared" si="647"/>
        <v>0</v>
      </c>
      <c r="BZ454" s="50">
        <f t="shared" si="623"/>
        <v>0</v>
      </c>
      <c r="CA454" s="50">
        <f t="shared" si="624"/>
        <v>0</v>
      </c>
      <c r="CB454" s="50">
        <f t="shared" si="625"/>
        <v>1</v>
      </c>
      <c r="CC454" s="50">
        <f t="shared" si="626"/>
        <v>0</v>
      </c>
      <c r="CD454" s="50">
        <f t="shared" si="627"/>
        <v>0</v>
      </c>
      <c r="CE454" s="50">
        <f t="shared" si="628"/>
        <v>1</v>
      </c>
      <c r="CF454" s="50">
        <f t="shared" si="629"/>
        <v>1</v>
      </c>
      <c r="CG454" s="50">
        <f t="shared" si="630"/>
        <v>1</v>
      </c>
      <c r="CH454" s="50">
        <f t="shared" si="631"/>
        <v>1</v>
      </c>
      <c r="CI454" s="50">
        <f t="shared" si="632"/>
        <v>1</v>
      </c>
      <c r="CJ454" s="50">
        <f t="shared" si="633"/>
        <v>1</v>
      </c>
      <c r="CK454" s="50">
        <f t="shared" si="633"/>
        <v>0</v>
      </c>
      <c r="CL454" s="50">
        <f t="shared" si="633"/>
        <v>0</v>
      </c>
      <c r="CM454" s="51">
        <f t="shared" si="634"/>
        <v>0</v>
      </c>
      <c r="CN454" s="33">
        <f>ROUND(IF(BS454=0,0,HLOOKUP(BS$14,Villagers!$B$1:$V$33,BS454+3,FALSE)),)</f>
        <v>5</v>
      </c>
      <c r="CO454" s="14">
        <f>ROUND(IF(BT454=0,0,HLOOKUP(BT$14,Villagers!$B$1:$V$33,BT454+3,FALSE)),)</f>
        <v>0</v>
      </c>
      <c r="CP454" s="14">
        <f>ROUND(IF(BU454=0,0,HLOOKUP(BU$14,Villagers!$B$1:$V$33,BU454+3,FALSE)),)</f>
        <v>0</v>
      </c>
      <c r="CQ454" s="14">
        <f>ROUND(IF(BV454=0,0,HLOOKUP(BV$14,Villagers!$B$1:$V$33,BV454+3,FALSE)),)</f>
        <v>0</v>
      </c>
      <c r="CR454" s="14">
        <f>ROUND(IF(BW454=0,0,HLOOKUP(BW$14,Villagers!$B$1:$V$33,BW454+3,FALSE)),)</f>
        <v>0</v>
      </c>
      <c r="CS454" s="14">
        <f>ROUND(IF(BX454=0,0,HLOOKUP(BX$14,Villagers!$B$1:$V$33,BX454+3,FALSE)),)</f>
        <v>0</v>
      </c>
      <c r="CT454" s="14">
        <f>ROUND(IF(BY454=0,0,HLOOKUP(BY$14,Villagers!$B$1:$V$33,BY454+3,FALSE)),)</f>
        <v>0</v>
      </c>
      <c r="CU454" s="14">
        <f>ROUND(IF(BZ454=0,0,HLOOKUP(BZ$14,Villagers!$B$1:$V$33,BZ454+3,FALSE)),)</f>
        <v>0</v>
      </c>
      <c r="CV454" s="14">
        <f>ROUND(IF(CA454=0,0,HLOOKUP(CA$14,Villagers!$B$1:$V$33,CA454+3,FALSE)),)</f>
        <v>0</v>
      </c>
      <c r="CW454" s="14">
        <f>ROUND(IF(CB454=0,0,HLOOKUP(CB$14,Villagers!$B$1:$V$33,CB454+3,FALSE)),)</f>
        <v>0</v>
      </c>
      <c r="CX454" s="14">
        <f>ROUND(IF(CC454=0,0,HLOOKUP(CC$14,Villagers!$B$1:$V$33,CC454+3,FALSE)),)</f>
        <v>0</v>
      </c>
      <c r="CY454" s="14">
        <f>ROUND(IF(CD454=0,0,HLOOKUP(CD$14,Villagers!$B$1:$V$33,CD454+3,FALSE)),)</f>
        <v>0</v>
      </c>
      <c r="CZ454" s="14">
        <f>ROUND(IF(CE454=0,0,HLOOKUP(CE$14,Villagers!$B$1:$V$33,CE454+3,FALSE)),)</f>
        <v>5</v>
      </c>
      <c r="DA454" s="14">
        <f>ROUND(IF(CF454=0,0,HLOOKUP(CF$14,Villagers!$B$1:$V$33,CF454+3,FALSE)),)</f>
        <v>10</v>
      </c>
      <c r="DB454" s="14">
        <f>ROUND(IF(CG454=0,0,HLOOKUP(CG$14,Villagers!$B$1:$V$33,CG454+3,FALSE)),)</f>
        <v>10</v>
      </c>
      <c r="DC454" s="14">
        <f>ROUND(IF(CH454=0,0,HLOOKUP(CH$14,Villagers!$B$1:$V$33,CH454+3,FALSE)),)</f>
        <v>0</v>
      </c>
      <c r="DD454" s="14">
        <f>ROUND(IF(CI454=0,0,HLOOKUP(CI$14,Villagers!$B$1:$V$33,CI454+3,FALSE)),)</f>
        <v>0</v>
      </c>
      <c r="DE454" s="14">
        <f>ROUND(IF(CJ454=0,0,HLOOKUP(CJ$14,Villagers!$B$1:$V$33,CJ454+3,FALSE)),)</f>
        <v>2</v>
      </c>
      <c r="DF454" s="370">
        <f>ROUND(IF(CK454=0,0,HLOOKUP(CK$14,Villagers!$B$1:$V$33,CK454+3,FALSE)),)</f>
        <v>0</v>
      </c>
      <c r="DG454" s="370">
        <f>ROUND(IF(CL454=0,0,HLOOKUP(CL$14,Villagers!$B$1:$V$33,CL454+3,FALSE)),)</f>
        <v>0</v>
      </c>
      <c r="DH454" s="34">
        <f>ROUND(IF(CM454=0,0,HLOOKUP(CM$14,Villagers!$B$1:$V$33,CM454+3,FALSE)),)</f>
        <v>0</v>
      </c>
      <c r="DI454" s="109">
        <f t="shared" si="611"/>
        <v>0</v>
      </c>
      <c r="DJ454" s="50">
        <f t="shared" si="612"/>
        <v>0</v>
      </c>
      <c r="DK454" s="50">
        <f t="shared" si="613"/>
        <v>0</v>
      </c>
      <c r="DL454" s="50">
        <f t="shared" si="614"/>
        <v>0</v>
      </c>
      <c r="DM454" s="50">
        <f t="shared" si="615"/>
        <v>0</v>
      </c>
      <c r="DN454" s="50">
        <f t="shared" si="616"/>
        <v>0</v>
      </c>
      <c r="DO454" s="50">
        <f t="shared" si="617"/>
        <v>0</v>
      </c>
      <c r="DP454" s="50">
        <f t="shared" si="618"/>
        <v>0</v>
      </c>
      <c r="DQ454" s="50">
        <f t="shared" si="596"/>
        <v>0</v>
      </c>
      <c r="DR454" s="50">
        <f t="shared" si="597"/>
        <v>0</v>
      </c>
      <c r="DS454" s="96">
        <f>Miscelaneous!$D$4*Miscelaneous!$D$2^($CI454-1)</f>
        <v>1000</v>
      </c>
      <c r="DT454" s="333">
        <f t="shared" si="579"/>
        <v>1</v>
      </c>
      <c r="DU454" s="81">
        <v>1</v>
      </c>
      <c r="DV454" s="79">
        <f t="shared" si="598"/>
        <v>0</v>
      </c>
      <c r="DW454" s="79">
        <f t="shared" si="599"/>
        <v>0</v>
      </c>
      <c r="DX454" s="79">
        <f t="shared" si="600"/>
        <v>0</v>
      </c>
      <c r="DY454" s="79">
        <v>1</v>
      </c>
      <c r="DZ454" s="79">
        <f t="shared" si="601"/>
        <v>0</v>
      </c>
      <c r="EA454" s="79">
        <f t="shared" si="602"/>
        <v>0</v>
      </c>
      <c r="EB454" s="79">
        <f t="shared" si="603"/>
        <v>0</v>
      </c>
      <c r="EC454" s="79">
        <f t="shared" si="604"/>
        <v>0</v>
      </c>
      <c r="ED454" s="79">
        <v>1</v>
      </c>
      <c r="EE454" s="79">
        <v>1</v>
      </c>
      <c r="EF454" s="79">
        <f t="shared" si="605"/>
        <v>0</v>
      </c>
      <c r="EG454" s="79">
        <v>1</v>
      </c>
      <c r="EH454" s="79">
        <v>1</v>
      </c>
      <c r="EI454" s="79">
        <v>1</v>
      </c>
      <c r="EJ454" s="79">
        <v>1</v>
      </c>
      <c r="EK454" s="79">
        <v>1</v>
      </c>
      <c r="EL454" s="79">
        <v>1</v>
      </c>
      <c r="EM454" s="143">
        <f t="shared" si="606"/>
        <v>0</v>
      </c>
      <c r="EN454" s="143">
        <f t="shared" si="607"/>
        <v>0</v>
      </c>
      <c r="EO454" s="82">
        <f t="shared" si="608"/>
        <v>0</v>
      </c>
    </row>
    <row r="455" spans="1:145" x14ac:dyDescent="0.25">
      <c r="A455">
        <v>441</v>
      </c>
      <c r="B455" s="172" t="e">
        <f t="shared" si="580"/>
        <v>#N/A</v>
      </c>
      <c r="C455" s="121" t="e">
        <f t="shared" si="558"/>
        <v>#N/A</v>
      </c>
      <c r="D455" s="122" t="e">
        <f t="shared" si="559"/>
        <v>#N/A</v>
      </c>
      <c r="E455" s="122" t="e">
        <f t="shared" si="560"/>
        <v>#N/A</v>
      </c>
      <c r="F455" s="176" t="e">
        <f t="shared" si="561"/>
        <v>#N/A</v>
      </c>
      <c r="G455" s="121">
        <f t="shared" si="581"/>
        <v>208</v>
      </c>
      <c r="H455" s="176" t="e">
        <f t="shared" si="582"/>
        <v>#N/A</v>
      </c>
      <c r="I455" s="48">
        <v>1</v>
      </c>
      <c r="J455" s="39"/>
      <c r="K455" s="350">
        <v>1</v>
      </c>
      <c r="L455" s="34" t="e">
        <f t="shared" si="562"/>
        <v>#N/A</v>
      </c>
      <c r="M455" s="38" t="e">
        <f>(HLOOKUP(J455,'Construction Times'!$B$3:$W$34,L455+2,FALSE)*HLOOKUP("hq modifier",'Construction Times'!$W$3:$W$34,BS455+2,FALSE))*(1-$H$9)</f>
        <v>#N/A</v>
      </c>
      <c r="N455" s="443" t="e">
        <f t="shared" si="583"/>
        <v>#N/A</v>
      </c>
      <c r="O455" s="444"/>
      <c r="P455" s="447" t="e">
        <f t="shared" si="584"/>
        <v>#N/A</v>
      </c>
      <c r="Q455" s="448"/>
      <c r="R455" s="103">
        <f t="shared" si="642"/>
        <v>0</v>
      </c>
      <c r="S455" s="104">
        <f t="shared" si="642"/>
        <v>0</v>
      </c>
      <c r="T455" s="104">
        <f t="shared" si="643"/>
        <v>0</v>
      </c>
      <c r="U455" s="104">
        <f t="shared" si="643"/>
        <v>0</v>
      </c>
      <c r="V455" s="104">
        <f t="shared" si="643"/>
        <v>9.9999999999999995E-8</v>
      </c>
      <c r="W455" s="104">
        <f t="shared" si="643"/>
        <v>0</v>
      </c>
      <c r="X455" s="104">
        <f t="shared" si="639"/>
        <v>0</v>
      </c>
      <c r="Y455" s="104">
        <f t="shared" si="639"/>
        <v>9.9999999999999995E-8</v>
      </c>
      <c r="Z455" s="104">
        <f t="shared" si="639"/>
        <v>9.9999999999999995E-8</v>
      </c>
      <c r="AA455" s="105">
        <f t="shared" si="639"/>
        <v>9.9999999999999995E-8</v>
      </c>
      <c r="AB455" s="101" t="e">
        <f>$DT455*HLOOKUP($J455,'Construction Costs (timber)'!$B$1:$V$32,'Construction Planner'!$L455+2,FALSE)</f>
        <v>#N/A</v>
      </c>
      <c r="AC455" s="14" t="e">
        <f>$DT455*HLOOKUP($J455,'Construction Costs (clay)'!$B$1:$V$32,'Construction Planner'!$L455+2,FALSE)</f>
        <v>#N/A</v>
      </c>
      <c r="AD455" s="14" t="e">
        <f>$DT455*HLOOKUP($J455,'Construction Costs (iron)'!$B$1:$V$32,'Construction Planner'!$L455+2,FALSE)</f>
        <v>#N/A</v>
      </c>
      <c r="AE455" s="34" t="e">
        <f t="shared" si="619"/>
        <v>#N/A</v>
      </c>
      <c r="AF455" s="33" t="e">
        <f t="shared" si="563"/>
        <v>#N/A</v>
      </c>
      <c r="AG455" s="14" t="e">
        <f t="shared" si="564"/>
        <v>#N/A</v>
      </c>
      <c r="AH455" s="14" t="e">
        <f t="shared" si="565"/>
        <v>#N/A</v>
      </c>
      <c r="AI455" s="34" t="e">
        <f t="shared" si="620"/>
        <v>#N/A</v>
      </c>
      <c r="AJ455" s="49" t="e">
        <f t="shared" si="585"/>
        <v>#N/A</v>
      </c>
      <c r="AK455" s="49" t="e">
        <f t="shared" si="586"/>
        <v>#N/A</v>
      </c>
      <c r="AL455" s="49" t="e">
        <f t="shared" si="587"/>
        <v>#N/A</v>
      </c>
      <c r="AM455" s="25">
        <f t="shared" si="566"/>
        <v>30</v>
      </c>
      <c r="AN455" s="25">
        <f t="shared" si="567"/>
        <v>30</v>
      </c>
      <c r="AO455" s="25">
        <f t="shared" si="568"/>
        <v>30</v>
      </c>
      <c r="AP455" s="52" t="e">
        <f t="shared" si="640"/>
        <v>#N/A</v>
      </c>
      <c r="AQ455" s="53" t="e">
        <f t="shared" si="640"/>
        <v>#N/A</v>
      </c>
      <c r="AR455" s="54" t="e">
        <f t="shared" si="640"/>
        <v>#N/A</v>
      </c>
      <c r="AS455" s="316">
        <f t="shared" si="648"/>
        <v>0</v>
      </c>
      <c r="AT455" s="106">
        <f>_xlfn.IFNA($M455/VLOOKUP($BT455,'Unit information'!$A$2:$K$29,2,FALSE)*R455,0)*(1+$E$9)</f>
        <v>0</v>
      </c>
      <c r="AU455" s="107">
        <f>_xlfn.IFNA($M455/VLOOKUP($BT455,'Unit information'!$A$2:$K$29,3,FALSE)*S455,0)*(1+$E$9)</f>
        <v>0</v>
      </c>
      <c r="AV455" s="107">
        <f>_xlfn.IFNA($M455/VLOOKUP($BT455,'Unit information'!$A$2:$K$29,4,FALSE)*T455,0)*(1+$E$9)</f>
        <v>0</v>
      </c>
      <c r="AW455" s="107">
        <f>_xlfn.IFNA($M455/VLOOKUP($BT455,'Unit information'!$A$2:$K$29,5,FALSE)*U455,0)*(1+$E$9)</f>
        <v>0</v>
      </c>
      <c r="AX455" s="107">
        <f>_xlfn.IFNA($M455/VLOOKUP($BU455,'Unit information'!$A$2:$K$29,6,FALSE)*V455,0)*(1+$E$9)</f>
        <v>0</v>
      </c>
      <c r="AY455" s="107">
        <f>_xlfn.IFNA($M455/VLOOKUP($BU455,'Unit information'!$A$2:$K$29,7,FALSE)*W455,0)*(1+$E$9)</f>
        <v>0</v>
      </c>
      <c r="AZ455" s="107">
        <f>_xlfn.IFNA($M455/VLOOKUP($BU455,'Unit information'!$A$2:$K$29,8,FALSE)*X455,0)*(1+$E$9)</f>
        <v>0</v>
      </c>
      <c r="BA455" s="107">
        <f>_xlfn.IFNA($M455/VLOOKUP($BU455,'Unit information'!$A$2:$K$29,9,FALSE)*Y455,0)*(1+$E$9)</f>
        <v>0</v>
      </c>
      <c r="BB455" s="107">
        <f>_xlfn.IFNA($M455/VLOOKUP($BV455,'Unit information'!$A$2:$K$29,10,FALSE)*Z455,0)*(1+$E$9)</f>
        <v>0</v>
      </c>
      <c r="BC455" s="108">
        <f>_xlfn.IFNA($M455/VLOOKUP($BV455,'Unit information'!$A$2:$K$29,11,FALSE)*AA455,0)*(1+$E$9)</f>
        <v>0</v>
      </c>
      <c r="BD455" s="106">
        <f t="shared" si="569"/>
        <v>0</v>
      </c>
      <c r="BE455" s="107">
        <f t="shared" si="570"/>
        <v>0</v>
      </c>
      <c r="BF455" s="108">
        <f t="shared" si="571"/>
        <v>0</v>
      </c>
      <c r="BG455" s="25" t="e">
        <f t="shared" si="572"/>
        <v>#N/A</v>
      </c>
      <c r="BH455" s="25" t="e">
        <f t="shared" si="573"/>
        <v>#N/A</v>
      </c>
      <c r="BI455" s="25" t="e">
        <f t="shared" si="574"/>
        <v>#N/A</v>
      </c>
      <c r="BJ455" s="27" t="e">
        <f t="shared" si="575"/>
        <v>#N/A</v>
      </c>
      <c r="BK455" s="18" t="e">
        <f t="shared" si="576"/>
        <v>#N/A</v>
      </c>
      <c r="BL455" s="18" t="e">
        <f t="shared" si="577"/>
        <v>#N/A</v>
      </c>
      <c r="BM455" s="28" t="e">
        <f t="shared" si="622"/>
        <v>#N/A</v>
      </c>
      <c r="BN455" s="33">
        <f>HLOOKUP("maximum population",Miscelaneous!$C$1:$C$33,CH455+3,FALSE)</f>
        <v>240</v>
      </c>
      <c r="BO455" s="14">
        <f t="shared" si="589"/>
        <v>32</v>
      </c>
      <c r="BP455" s="14">
        <f t="shared" si="590"/>
        <v>0</v>
      </c>
      <c r="BQ455" s="14">
        <f t="shared" si="591"/>
        <v>208</v>
      </c>
      <c r="BR455" s="34" t="e">
        <f>HLOOKUP(J455,Villagers!$B$1:$V$33,L455+3,FALSE)-HLOOKUP(J455,Villagers!$B$1:$V$33,L455+2,FALSE)</f>
        <v>#N/A</v>
      </c>
      <c r="BS455" s="49">
        <f t="shared" si="592"/>
        <v>1</v>
      </c>
      <c r="BT455" s="50">
        <f t="shared" si="593"/>
        <v>0</v>
      </c>
      <c r="BU455" s="50">
        <f t="shared" si="594"/>
        <v>0</v>
      </c>
      <c r="BV455" s="50">
        <f t="shared" si="595"/>
        <v>0</v>
      </c>
      <c r="BW455" s="50">
        <f>IF($J454=BW$14,$L454,BW454)</f>
        <v>0</v>
      </c>
      <c r="BX455" s="50">
        <f t="shared" ref="BX455:BY463" si="649">IF($J454=BX$14,$L454,BX454)</f>
        <v>0</v>
      </c>
      <c r="BY455" s="50">
        <f t="shared" si="649"/>
        <v>0</v>
      </c>
      <c r="BZ455" s="50">
        <f t="shared" si="623"/>
        <v>0</v>
      </c>
      <c r="CA455" s="50">
        <f t="shared" si="624"/>
        <v>0</v>
      </c>
      <c r="CB455" s="50">
        <f t="shared" si="625"/>
        <v>1</v>
      </c>
      <c r="CC455" s="50">
        <f t="shared" si="626"/>
        <v>0</v>
      </c>
      <c r="CD455" s="50">
        <f t="shared" si="627"/>
        <v>0</v>
      </c>
      <c r="CE455" s="50">
        <f t="shared" si="628"/>
        <v>1</v>
      </c>
      <c r="CF455" s="50">
        <f t="shared" si="629"/>
        <v>1</v>
      </c>
      <c r="CG455" s="50">
        <f t="shared" si="630"/>
        <v>1</v>
      </c>
      <c r="CH455" s="50">
        <f t="shared" si="631"/>
        <v>1</v>
      </c>
      <c r="CI455" s="50">
        <f t="shared" si="632"/>
        <v>1</v>
      </c>
      <c r="CJ455" s="50">
        <f t="shared" si="633"/>
        <v>1</v>
      </c>
      <c r="CK455" s="50">
        <f t="shared" si="633"/>
        <v>0</v>
      </c>
      <c r="CL455" s="50">
        <f t="shared" si="633"/>
        <v>0</v>
      </c>
      <c r="CM455" s="51">
        <f t="shared" si="634"/>
        <v>0</v>
      </c>
      <c r="CN455" s="33">
        <f>ROUND(IF(BS455=0,0,HLOOKUP(BS$14,Villagers!$B$1:$V$33,BS455+3,FALSE)),)</f>
        <v>5</v>
      </c>
      <c r="CO455" s="14">
        <f>ROUND(IF(BT455=0,0,HLOOKUP(BT$14,Villagers!$B$1:$V$33,BT455+3,FALSE)),)</f>
        <v>0</v>
      </c>
      <c r="CP455" s="14">
        <f>ROUND(IF(BU455=0,0,HLOOKUP(BU$14,Villagers!$B$1:$V$33,BU455+3,FALSE)),)</f>
        <v>0</v>
      </c>
      <c r="CQ455" s="14">
        <f>ROUND(IF(BV455=0,0,HLOOKUP(BV$14,Villagers!$B$1:$V$33,BV455+3,FALSE)),)</f>
        <v>0</v>
      </c>
      <c r="CR455" s="14">
        <f>ROUND(IF(BW455=0,0,HLOOKUP(BW$14,Villagers!$B$1:$V$33,BW455+3,FALSE)),)</f>
        <v>0</v>
      </c>
      <c r="CS455" s="14">
        <f>ROUND(IF(BX455=0,0,HLOOKUP(BX$14,Villagers!$B$1:$V$33,BX455+3,FALSE)),)</f>
        <v>0</v>
      </c>
      <c r="CT455" s="14">
        <f>ROUND(IF(BY455=0,0,HLOOKUP(BY$14,Villagers!$B$1:$V$33,BY455+3,FALSE)),)</f>
        <v>0</v>
      </c>
      <c r="CU455" s="14">
        <f>ROUND(IF(BZ455=0,0,HLOOKUP(BZ$14,Villagers!$B$1:$V$33,BZ455+3,FALSE)),)</f>
        <v>0</v>
      </c>
      <c r="CV455" s="14">
        <f>ROUND(IF(CA455=0,0,HLOOKUP(CA$14,Villagers!$B$1:$V$33,CA455+3,FALSE)),)</f>
        <v>0</v>
      </c>
      <c r="CW455" s="14">
        <f>ROUND(IF(CB455=0,0,HLOOKUP(CB$14,Villagers!$B$1:$V$33,CB455+3,FALSE)),)</f>
        <v>0</v>
      </c>
      <c r="CX455" s="14">
        <f>ROUND(IF(CC455=0,0,HLOOKUP(CC$14,Villagers!$B$1:$V$33,CC455+3,FALSE)),)</f>
        <v>0</v>
      </c>
      <c r="CY455" s="14">
        <f>ROUND(IF(CD455=0,0,HLOOKUP(CD$14,Villagers!$B$1:$V$33,CD455+3,FALSE)),)</f>
        <v>0</v>
      </c>
      <c r="CZ455" s="14">
        <f>ROUND(IF(CE455=0,0,HLOOKUP(CE$14,Villagers!$B$1:$V$33,CE455+3,FALSE)),)</f>
        <v>5</v>
      </c>
      <c r="DA455" s="14">
        <f>ROUND(IF(CF455=0,0,HLOOKUP(CF$14,Villagers!$B$1:$V$33,CF455+3,FALSE)),)</f>
        <v>10</v>
      </c>
      <c r="DB455" s="14">
        <f>ROUND(IF(CG455=0,0,HLOOKUP(CG$14,Villagers!$B$1:$V$33,CG455+3,FALSE)),)</f>
        <v>10</v>
      </c>
      <c r="DC455" s="14">
        <f>ROUND(IF(CH455=0,0,HLOOKUP(CH$14,Villagers!$B$1:$V$33,CH455+3,FALSE)),)</f>
        <v>0</v>
      </c>
      <c r="DD455" s="14">
        <f>ROUND(IF(CI455=0,0,HLOOKUP(CI$14,Villagers!$B$1:$V$33,CI455+3,FALSE)),)</f>
        <v>0</v>
      </c>
      <c r="DE455" s="14">
        <f>ROUND(IF(CJ455=0,0,HLOOKUP(CJ$14,Villagers!$B$1:$V$33,CJ455+3,FALSE)),)</f>
        <v>2</v>
      </c>
      <c r="DF455" s="370">
        <f>ROUND(IF(CK455=0,0,HLOOKUP(CK$14,Villagers!$B$1:$V$33,CK455+3,FALSE)),)</f>
        <v>0</v>
      </c>
      <c r="DG455" s="370">
        <f>ROUND(IF(CL455=0,0,HLOOKUP(CL$14,Villagers!$B$1:$V$33,CL455+3,FALSE)),)</f>
        <v>0</v>
      </c>
      <c r="DH455" s="34">
        <f>ROUND(IF(CM455=0,0,HLOOKUP(CM$14,Villagers!$B$1:$V$33,CM455+3,FALSE)),)</f>
        <v>0</v>
      </c>
      <c r="DI455" s="109">
        <f t="shared" si="611"/>
        <v>0</v>
      </c>
      <c r="DJ455" s="50">
        <f t="shared" si="612"/>
        <v>0</v>
      </c>
      <c r="DK455" s="50">
        <f t="shared" si="613"/>
        <v>0</v>
      </c>
      <c r="DL455" s="50">
        <f t="shared" si="614"/>
        <v>0</v>
      </c>
      <c r="DM455" s="50">
        <f t="shared" si="615"/>
        <v>0</v>
      </c>
      <c r="DN455" s="50">
        <f t="shared" si="616"/>
        <v>0</v>
      </c>
      <c r="DO455" s="50">
        <f t="shared" si="617"/>
        <v>0</v>
      </c>
      <c r="DP455" s="50">
        <f t="shared" si="618"/>
        <v>0</v>
      </c>
      <c r="DQ455" s="50">
        <f t="shared" si="596"/>
        <v>0</v>
      </c>
      <c r="DR455" s="50">
        <f t="shared" si="597"/>
        <v>0</v>
      </c>
      <c r="DS455" s="96">
        <f>Miscelaneous!$D$4*Miscelaneous!$D$2^($CI455-1)</f>
        <v>1000</v>
      </c>
      <c r="DT455" s="333">
        <f t="shared" si="579"/>
        <v>1</v>
      </c>
      <c r="DU455" s="81">
        <v>1</v>
      </c>
      <c r="DV455" s="79">
        <f t="shared" si="598"/>
        <v>0</v>
      </c>
      <c r="DW455" s="79">
        <f t="shared" si="599"/>
        <v>0</v>
      </c>
      <c r="DX455" s="79">
        <f t="shared" si="600"/>
        <v>0</v>
      </c>
      <c r="DY455" s="79">
        <v>1</v>
      </c>
      <c r="DZ455" s="79">
        <f t="shared" si="601"/>
        <v>0</v>
      </c>
      <c r="EA455" s="79">
        <f t="shared" si="602"/>
        <v>0</v>
      </c>
      <c r="EB455" s="79">
        <f t="shared" si="603"/>
        <v>0</v>
      </c>
      <c r="EC455" s="79">
        <f t="shared" si="604"/>
        <v>0</v>
      </c>
      <c r="ED455" s="79">
        <v>1</v>
      </c>
      <c r="EE455" s="79">
        <v>1</v>
      </c>
      <c r="EF455" s="79">
        <f t="shared" si="605"/>
        <v>0</v>
      </c>
      <c r="EG455" s="79">
        <v>1</v>
      </c>
      <c r="EH455" s="79">
        <v>1</v>
      </c>
      <c r="EI455" s="79">
        <v>1</v>
      </c>
      <c r="EJ455" s="79">
        <v>1</v>
      </c>
      <c r="EK455" s="79">
        <v>1</v>
      </c>
      <c r="EL455" s="79">
        <v>1</v>
      </c>
      <c r="EM455" s="143">
        <f t="shared" si="606"/>
        <v>0</v>
      </c>
      <c r="EN455" s="143">
        <f t="shared" si="607"/>
        <v>0</v>
      </c>
      <c r="EO455" s="82">
        <f t="shared" si="608"/>
        <v>0</v>
      </c>
    </row>
    <row r="456" spans="1:145" x14ac:dyDescent="0.25">
      <c r="A456">
        <v>442</v>
      </c>
      <c r="B456" s="172" t="e">
        <f t="shared" si="580"/>
        <v>#N/A</v>
      </c>
      <c r="C456" s="121" t="e">
        <f t="shared" si="558"/>
        <v>#N/A</v>
      </c>
      <c r="D456" s="122" t="e">
        <f t="shared" si="559"/>
        <v>#N/A</v>
      </c>
      <c r="E456" s="122" t="e">
        <f t="shared" si="560"/>
        <v>#N/A</v>
      </c>
      <c r="F456" s="176" t="e">
        <f t="shared" si="561"/>
        <v>#N/A</v>
      </c>
      <c r="G456" s="121">
        <f t="shared" si="581"/>
        <v>208</v>
      </c>
      <c r="H456" s="176" t="e">
        <f t="shared" si="582"/>
        <v>#N/A</v>
      </c>
      <c r="I456" s="48">
        <v>1</v>
      </c>
      <c r="J456" s="39"/>
      <c r="K456" s="350">
        <v>1</v>
      </c>
      <c r="L456" s="34" t="e">
        <f t="shared" si="562"/>
        <v>#N/A</v>
      </c>
      <c r="M456" s="38" t="e">
        <f>(HLOOKUP(J456,'Construction Times'!$B$3:$W$34,L456+2,FALSE)*HLOOKUP("hq modifier",'Construction Times'!$W$3:$W$34,BS456+2,FALSE))*(1-$H$9)</f>
        <v>#N/A</v>
      </c>
      <c r="N456" s="443" t="e">
        <f t="shared" si="583"/>
        <v>#N/A</v>
      </c>
      <c r="O456" s="444"/>
      <c r="P456" s="447" t="e">
        <f t="shared" si="584"/>
        <v>#N/A</v>
      </c>
      <c r="Q456" s="448"/>
      <c r="R456" s="103">
        <f t="shared" si="642"/>
        <v>0</v>
      </c>
      <c r="S456" s="104">
        <f t="shared" si="642"/>
        <v>0</v>
      </c>
      <c r="T456" s="104">
        <f t="shared" si="643"/>
        <v>0</v>
      </c>
      <c r="U456" s="104">
        <f t="shared" si="643"/>
        <v>0</v>
      </c>
      <c r="V456" s="104">
        <f t="shared" si="643"/>
        <v>9.9999999999999995E-8</v>
      </c>
      <c r="W456" s="104">
        <f t="shared" si="643"/>
        <v>0</v>
      </c>
      <c r="X456" s="104">
        <f t="shared" si="639"/>
        <v>0</v>
      </c>
      <c r="Y456" s="104">
        <f t="shared" si="639"/>
        <v>9.9999999999999995E-8</v>
      </c>
      <c r="Z456" s="104">
        <f t="shared" si="639"/>
        <v>9.9999999999999995E-8</v>
      </c>
      <c r="AA456" s="105">
        <f t="shared" si="639"/>
        <v>9.9999999999999995E-8</v>
      </c>
      <c r="AB456" s="101" t="e">
        <f>$DT456*HLOOKUP($J456,'Construction Costs (timber)'!$B$1:$V$32,'Construction Planner'!$L456+2,FALSE)</f>
        <v>#N/A</v>
      </c>
      <c r="AC456" s="14" t="e">
        <f>$DT456*HLOOKUP($J456,'Construction Costs (clay)'!$B$1:$V$32,'Construction Planner'!$L456+2,FALSE)</f>
        <v>#N/A</v>
      </c>
      <c r="AD456" s="14" t="e">
        <f>$DT456*HLOOKUP($J456,'Construction Costs (iron)'!$B$1:$V$32,'Construction Planner'!$L456+2,FALSE)</f>
        <v>#N/A</v>
      </c>
      <c r="AE456" s="34" t="e">
        <f t="shared" si="619"/>
        <v>#N/A</v>
      </c>
      <c r="AF456" s="33" t="e">
        <f t="shared" si="563"/>
        <v>#N/A</v>
      </c>
      <c r="AG456" s="14" t="e">
        <f t="shared" si="564"/>
        <v>#N/A</v>
      </c>
      <c r="AH456" s="14" t="e">
        <f t="shared" si="565"/>
        <v>#N/A</v>
      </c>
      <c r="AI456" s="34" t="e">
        <f t="shared" si="620"/>
        <v>#N/A</v>
      </c>
      <c r="AJ456" s="49" t="e">
        <f t="shared" si="585"/>
        <v>#N/A</v>
      </c>
      <c r="AK456" s="49" t="e">
        <f t="shared" si="586"/>
        <v>#N/A</v>
      </c>
      <c r="AL456" s="49" t="e">
        <f t="shared" si="587"/>
        <v>#N/A</v>
      </c>
      <c r="AM456" s="25">
        <f t="shared" si="566"/>
        <v>30</v>
      </c>
      <c r="AN456" s="25">
        <f t="shared" si="567"/>
        <v>30</v>
      </c>
      <c r="AO456" s="25">
        <f t="shared" si="568"/>
        <v>30</v>
      </c>
      <c r="AP456" s="52" t="e">
        <f t="shared" si="640"/>
        <v>#N/A</v>
      </c>
      <c r="AQ456" s="53" t="e">
        <f t="shared" si="640"/>
        <v>#N/A</v>
      </c>
      <c r="AR456" s="54" t="e">
        <f t="shared" si="640"/>
        <v>#N/A</v>
      </c>
      <c r="AS456" s="316">
        <f t="shared" si="648"/>
        <v>0</v>
      </c>
      <c r="AT456" s="106">
        <f>_xlfn.IFNA($M456/VLOOKUP($BT456,'Unit information'!$A$2:$K$29,2,FALSE)*R456,0)*(1+$E$9)</f>
        <v>0</v>
      </c>
      <c r="AU456" s="107">
        <f>_xlfn.IFNA($M456/VLOOKUP($BT456,'Unit information'!$A$2:$K$29,3,FALSE)*S456,0)*(1+$E$9)</f>
        <v>0</v>
      </c>
      <c r="AV456" s="107">
        <f>_xlfn.IFNA($M456/VLOOKUP($BT456,'Unit information'!$A$2:$K$29,4,FALSE)*T456,0)*(1+$E$9)</f>
        <v>0</v>
      </c>
      <c r="AW456" s="107">
        <f>_xlfn.IFNA($M456/VLOOKUP($BT456,'Unit information'!$A$2:$K$29,5,FALSE)*U456,0)*(1+$E$9)</f>
        <v>0</v>
      </c>
      <c r="AX456" s="107">
        <f>_xlfn.IFNA($M456/VLOOKUP($BU456,'Unit information'!$A$2:$K$29,6,FALSE)*V456,0)*(1+$E$9)</f>
        <v>0</v>
      </c>
      <c r="AY456" s="107">
        <f>_xlfn.IFNA($M456/VLOOKUP($BU456,'Unit information'!$A$2:$K$29,7,FALSE)*W456,0)*(1+$E$9)</f>
        <v>0</v>
      </c>
      <c r="AZ456" s="107">
        <f>_xlfn.IFNA($M456/VLOOKUP($BU456,'Unit information'!$A$2:$K$29,8,FALSE)*X456,0)*(1+$E$9)</f>
        <v>0</v>
      </c>
      <c r="BA456" s="107">
        <f>_xlfn.IFNA($M456/VLOOKUP($BU456,'Unit information'!$A$2:$K$29,9,FALSE)*Y456,0)*(1+$E$9)</f>
        <v>0</v>
      </c>
      <c r="BB456" s="107">
        <f>_xlfn.IFNA($M456/VLOOKUP($BV456,'Unit information'!$A$2:$K$29,10,FALSE)*Z456,0)*(1+$E$9)</f>
        <v>0</v>
      </c>
      <c r="BC456" s="108">
        <f>_xlfn.IFNA($M456/VLOOKUP($BV456,'Unit information'!$A$2:$K$29,11,FALSE)*AA456,0)*(1+$E$9)</f>
        <v>0</v>
      </c>
      <c r="BD456" s="106">
        <f t="shared" si="569"/>
        <v>0</v>
      </c>
      <c r="BE456" s="107">
        <f t="shared" si="570"/>
        <v>0</v>
      </c>
      <c r="BF456" s="108">
        <f t="shared" si="571"/>
        <v>0</v>
      </c>
      <c r="BG456" s="25" t="e">
        <f t="shared" si="572"/>
        <v>#N/A</v>
      </c>
      <c r="BH456" s="25" t="e">
        <f t="shared" si="573"/>
        <v>#N/A</v>
      </c>
      <c r="BI456" s="25" t="e">
        <f t="shared" si="574"/>
        <v>#N/A</v>
      </c>
      <c r="BJ456" s="27" t="e">
        <f t="shared" si="575"/>
        <v>#N/A</v>
      </c>
      <c r="BK456" s="18" t="e">
        <f t="shared" si="576"/>
        <v>#N/A</v>
      </c>
      <c r="BL456" s="18" t="e">
        <f t="shared" si="577"/>
        <v>#N/A</v>
      </c>
      <c r="BM456" s="28" t="e">
        <f t="shared" si="622"/>
        <v>#N/A</v>
      </c>
      <c r="BN456" s="33">
        <f>HLOOKUP("maximum population",Miscelaneous!$C$1:$C$33,CH456+3,FALSE)</f>
        <v>240</v>
      </c>
      <c r="BO456" s="14">
        <f t="shared" si="589"/>
        <v>32</v>
      </c>
      <c r="BP456" s="14">
        <f t="shared" si="590"/>
        <v>0</v>
      </c>
      <c r="BQ456" s="14">
        <f t="shared" si="591"/>
        <v>208</v>
      </c>
      <c r="BR456" s="34" t="e">
        <f>HLOOKUP(J456,Villagers!$B$1:$V$33,L456+3,FALSE)-HLOOKUP(J456,Villagers!$B$1:$V$33,L456+2,FALSE)</f>
        <v>#N/A</v>
      </c>
      <c r="BS456" s="49">
        <f t="shared" si="592"/>
        <v>1</v>
      </c>
      <c r="BT456" s="50">
        <f t="shared" si="593"/>
        <v>0</v>
      </c>
      <c r="BU456" s="50">
        <f t="shared" si="594"/>
        <v>0</v>
      </c>
      <c r="BV456" s="50">
        <f t="shared" si="595"/>
        <v>0</v>
      </c>
      <c r="BW456" s="50">
        <f t="shared" ref="BW456:BW463" si="650">IF($J455=BW$14,$L455,BW455)</f>
        <v>0</v>
      </c>
      <c r="BX456" s="50">
        <f t="shared" si="649"/>
        <v>0</v>
      </c>
      <c r="BY456" s="50">
        <f t="shared" si="649"/>
        <v>0</v>
      </c>
      <c r="BZ456" s="50">
        <f t="shared" si="623"/>
        <v>0</v>
      </c>
      <c r="CA456" s="50">
        <f t="shared" si="624"/>
        <v>0</v>
      </c>
      <c r="CB456" s="50">
        <f t="shared" si="625"/>
        <v>1</v>
      </c>
      <c r="CC456" s="50">
        <f t="shared" si="626"/>
        <v>0</v>
      </c>
      <c r="CD456" s="50">
        <f t="shared" si="627"/>
        <v>0</v>
      </c>
      <c r="CE456" s="50">
        <f t="shared" si="628"/>
        <v>1</v>
      </c>
      <c r="CF456" s="50">
        <f t="shared" si="629"/>
        <v>1</v>
      </c>
      <c r="CG456" s="50">
        <f t="shared" si="630"/>
        <v>1</v>
      </c>
      <c r="CH456" s="50">
        <f t="shared" si="631"/>
        <v>1</v>
      </c>
      <c r="CI456" s="50">
        <f t="shared" si="632"/>
        <v>1</v>
      </c>
      <c r="CJ456" s="50">
        <f t="shared" si="633"/>
        <v>1</v>
      </c>
      <c r="CK456" s="50">
        <f t="shared" si="633"/>
        <v>0</v>
      </c>
      <c r="CL456" s="50">
        <f t="shared" si="633"/>
        <v>0</v>
      </c>
      <c r="CM456" s="51">
        <f t="shared" si="634"/>
        <v>0</v>
      </c>
      <c r="CN456" s="33">
        <f>ROUND(IF(BS456=0,0,HLOOKUP(BS$14,Villagers!$B$1:$V$33,BS456+3,FALSE)),)</f>
        <v>5</v>
      </c>
      <c r="CO456" s="14">
        <f>ROUND(IF(BT456=0,0,HLOOKUP(BT$14,Villagers!$B$1:$V$33,BT456+3,FALSE)),)</f>
        <v>0</v>
      </c>
      <c r="CP456" s="14">
        <f>ROUND(IF(BU456=0,0,HLOOKUP(BU$14,Villagers!$B$1:$V$33,BU456+3,FALSE)),)</f>
        <v>0</v>
      </c>
      <c r="CQ456" s="14">
        <f>ROUND(IF(BV456=0,0,HLOOKUP(BV$14,Villagers!$B$1:$V$33,BV456+3,FALSE)),)</f>
        <v>0</v>
      </c>
      <c r="CR456" s="14">
        <f>ROUND(IF(BW456=0,0,HLOOKUP(BW$14,Villagers!$B$1:$V$33,BW456+3,FALSE)),)</f>
        <v>0</v>
      </c>
      <c r="CS456" s="14">
        <f>ROUND(IF(BX456=0,0,HLOOKUP(BX$14,Villagers!$B$1:$V$33,BX456+3,FALSE)),)</f>
        <v>0</v>
      </c>
      <c r="CT456" s="14">
        <f>ROUND(IF(BY456=0,0,HLOOKUP(BY$14,Villagers!$B$1:$V$33,BY456+3,FALSE)),)</f>
        <v>0</v>
      </c>
      <c r="CU456" s="14">
        <f>ROUND(IF(BZ456=0,0,HLOOKUP(BZ$14,Villagers!$B$1:$V$33,BZ456+3,FALSE)),)</f>
        <v>0</v>
      </c>
      <c r="CV456" s="14">
        <f>ROUND(IF(CA456=0,0,HLOOKUP(CA$14,Villagers!$B$1:$V$33,CA456+3,FALSE)),)</f>
        <v>0</v>
      </c>
      <c r="CW456" s="14">
        <f>ROUND(IF(CB456=0,0,HLOOKUP(CB$14,Villagers!$B$1:$V$33,CB456+3,FALSE)),)</f>
        <v>0</v>
      </c>
      <c r="CX456" s="14">
        <f>ROUND(IF(CC456=0,0,HLOOKUP(CC$14,Villagers!$B$1:$V$33,CC456+3,FALSE)),)</f>
        <v>0</v>
      </c>
      <c r="CY456" s="14">
        <f>ROUND(IF(CD456=0,0,HLOOKUP(CD$14,Villagers!$B$1:$V$33,CD456+3,FALSE)),)</f>
        <v>0</v>
      </c>
      <c r="CZ456" s="14">
        <f>ROUND(IF(CE456=0,0,HLOOKUP(CE$14,Villagers!$B$1:$V$33,CE456+3,FALSE)),)</f>
        <v>5</v>
      </c>
      <c r="DA456" s="14">
        <f>ROUND(IF(CF456=0,0,HLOOKUP(CF$14,Villagers!$B$1:$V$33,CF456+3,FALSE)),)</f>
        <v>10</v>
      </c>
      <c r="DB456" s="14">
        <f>ROUND(IF(CG456=0,0,HLOOKUP(CG$14,Villagers!$B$1:$V$33,CG456+3,FALSE)),)</f>
        <v>10</v>
      </c>
      <c r="DC456" s="14">
        <f>ROUND(IF(CH456=0,0,HLOOKUP(CH$14,Villagers!$B$1:$V$33,CH456+3,FALSE)),)</f>
        <v>0</v>
      </c>
      <c r="DD456" s="14">
        <f>ROUND(IF(CI456=0,0,HLOOKUP(CI$14,Villagers!$B$1:$V$33,CI456+3,FALSE)),)</f>
        <v>0</v>
      </c>
      <c r="DE456" s="14">
        <f>ROUND(IF(CJ456=0,0,HLOOKUP(CJ$14,Villagers!$B$1:$V$33,CJ456+3,FALSE)),)</f>
        <v>2</v>
      </c>
      <c r="DF456" s="370">
        <f>ROUND(IF(CK456=0,0,HLOOKUP(CK$14,Villagers!$B$1:$V$33,CK456+3,FALSE)),)</f>
        <v>0</v>
      </c>
      <c r="DG456" s="370">
        <f>ROUND(IF(CL456=0,0,HLOOKUP(CL$14,Villagers!$B$1:$V$33,CL456+3,FALSE)),)</f>
        <v>0</v>
      </c>
      <c r="DH456" s="34">
        <f>ROUND(IF(CM456=0,0,HLOOKUP(CM$14,Villagers!$B$1:$V$33,CM456+3,FALSE)),)</f>
        <v>0</v>
      </c>
      <c r="DI456" s="109">
        <f t="shared" si="611"/>
        <v>0</v>
      </c>
      <c r="DJ456" s="50">
        <f t="shared" si="612"/>
        <v>0</v>
      </c>
      <c r="DK456" s="50">
        <f t="shared" si="613"/>
        <v>0</v>
      </c>
      <c r="DL456" s="50">
        <f t="shared" si="614"/>
        <v>0</v>
      </c>
      <c r="DM456" s="50">
        <f t="shared" si="615"/>
        <v>0</v>
      </c>
      <c r="DN456" s="50">
        <f t="shared" si="616"/>
        <v>0</v>
      </c>
      <c r="DO456" s="50">
        <f t="shared" si="617"/>
        <v>0</v>
      </c>
      <c r="DP456" s="50">
        <f t="shared" si="618"/>
        <v>0</v>
      </c>
      <c r="DQ456" s="50">
        <f t="shared" si="596"/>
        <v>0</v>
      </c>
      <c r="DR456" s="50">
        <f t="shared" si="597"/>
        <v>0</v>
      </c>
      <c r="DS456" s="96">
        <f>Miscelaneous!$D$4*Miscelaneous!$D$2^($CI456-1)</f>
        <v>1000</v>
      </c>
      <c r="DT456" s="333">
        <f t="shared" si="579"/>
        <v>1</v>
      </c>
      <c r="DU456" s="81">
        <v>1</v>
      </c>
      <c r="DV456" s="79">
        <f t="shared" si="598"/>
        <v>0</v>
      </c>
      <c r="DW456" s="79">
        <f t="shared" si="599"/>
        <v>0</v>
      </c>
      <c r="DX456" s="79">
        <f t="shared" si="600"/>
        <v>0</v>
      </c>
      <c r="DY456" s="79">
        <v>1</v>
      </c>
      <c r="DZ456" s="79">
        <f t="shared" si="601"/>
        <v>0</v>
      </c>
      <c r="EA456" s="79">
        <f t="shared" si="602"/>
        <v>0</v>
      </c>
      <c r="EB456" s="79">
        <f t="shared" si="603"/>
        <v>0</v>
      </c>
      <c r="EC456" s="79">
        <f t="shared" si="604"/>
        <v>0</v>
      </c>
      <c r="ED456" s="79">
        <v>1</v>
      </c>
      <c r="EE456" s="79">
        <v>1</v>
      </c>
      <c r="EF456" s="79">
        <f t="shared" si="605"/>
        <v>0</v>
      </c>
      <c r="EG456" s="79">
        <v>1</v>
      </c>
      <c r="EH456" s="79">
        <v>1</v>
      </c>
      <c r="EI456" s="79">
        <v>1</v>
      </c>
      <c r="EJ456" s="79">
        <v>1</v>
      </c>
      <c r="EK456" s="79">
        <v>1</v>
      </c>
      <c r="EL456" s="79">
        <v>1</v>
      </c>
      <c r="EM456" s="143">
        <f t="shared" si="606"/>
        <v>0</v>
      </c>
      <c r="EN456" s="143">
        <f t="shared" si="607"/>
        <v>0</v>
      </c>
      <c r="EO456" s="82">
        <f t="shared" si="608"/>
        <v>0</v>
      </c>
    </row>
    <row r="457" spans="1:145" x14ac:dyDescent="0.25">
      <c r="A457">
        <v>443</v>
      </c>
      <c r="B457" s="172" t="e">
        <f t="shared" si="580"/>
        <v>#N/A</v>
      </c>
      <c r="C457" s="121" t="e">
        <f t="shared" si="558"/>
        <v>#N/A</v>
      </c>
      <c r="D457" s="122" t="e">
        <f t="shared" si="559"/>
        <v>#N/A</v>
      </c>
      <c r="E457" s="122" t="e">
        <f t="shared" si="560"/>
        <v>#N/A</v>
      </c>
      <c r="F457" s="176" t="e">
        <f t="shared" si="561"/>
        <v>#N/A</v>
      </c>
      <c r="G457" s="121">
        <f t="shared" si="581"/>
        <v>208</v>
      </c>
      <c r="H457" s="176" t="e">
        <f t="shared" si="582"/>
        <v>#N/A</v>
      </c>
      <c r="I457" s="48">
        <v>1</v>
      </c>
      <c r="J457" s="39"/>
      <c r="K457" s="350">
        <v>1</v>
      </c>
      <c r="L457" s="34" t="e">
        <f t="shared" si="562"/>
        <v>#N/A</v>
      </c>
      <c r="M457" s="38" t="e">
        <f>(HLOOKUP(J457,'Construction Times'!$B$3:$W$34,L457+2,FALSE)*HLOOKUP("hq modifier",'Construction Times'!$W$3:$W$34,BS457+2,FALSE))*(1-$H$9)</f>
        <v>#N/A</v>
      </c>
      <c r="N457" s="443" t="e">
        <f t="shared" si="583"/>
        <v>#N/A</v>
      </c>
      <c r="O457" s="444"/>
      <c r="P457" s="447" t="e">
        <f t="shared" si="584"/>
        <v>#N/A</v>
      </c>
      <c r="Q457" s="448"/>
      <c r="R457" s="103">
        <f t="shared" si="642"/>
        <v>0</v>
      </c>
      <c r="S457" s="104">
        <f t="shared" si="642"/>
        <v>0</v>
      </c>
      <c r="T457" s="104">
        <f t="shared" si="643"/>
        <v>0</v>
      </c>
      <c r="U457" s="104">
        <f t="shared" si="643"/>
        <v>0</v>
      </c>
      <c r="V457" s="104">
        <f t="shared" si="643"/>
        <v>9.9999999999999995E-8</v>
      </c>
      <c r="W457" s="104">
        <f t="shared" si="643"/>
        <v>0</v>
      </c>
      <c r="X457" s="104">
        <f t="shared" si="639"/>
        <v>0</v>
      </c>
      <c r="Y457" s="104">
        <f t="shared" si="639"/>
        <v>9.9999999999999995E-8</v>
      </c>
      <c r="Z457" s="104">
        <f t="shared" si="639"/>
        <v>9.9999999999999995E-8</v>
      </c>
      <c r="AA457" s="105">
        <f t="shared" si="639"/>
        <v>9.9999999999999995E-8</v>
      </c>
      <c r="AB457" s="101" t="e">
        <f>$DT457*HLOOKUP($J457,'Construction Costs (timber)'!$B$1:$V$32,'Construction Planner'!$L457+2,FALSE)</f>
        <v>#N/A</v>
      </c>
      <c r="AC457" s="14" t="e">
        <f>$DT457*HLOOKUP($J457,'Construction Costs (clay)'!$B$1:$V$32,'Construction Planner'!$L457+2,FALSE)</f>
        <v>#N/A</v>
      </c>
      <c r="AD457" s="14" t="e">
        <f>$DT457*HLOOKUP($J457,'Construction Costs (iron)'!$B$1:$V$32,'Construction Planner'!$L457+2,FALSE)</f>
        <v>#N/A</v>
      </c>
      <c r="AE457" s="34" t="e">
        <f t="shared" si="619"/>
        <v>#N/A</v>
      </c>
      <c r="AF457" s="33" t="e">
        <f t="shared" si="563"/>
        <v>#N/A</v>
      </c>
      <c r="AG457" s="14" t="e">
        <f t="shared" si="564"/>
        <v>#N/A</v>
      </c>
      <c r="AH457" s="14" t="e">
        <f t="shared" si="565"/>
        <v>#N/A</v>
      </c>
      <c r="AI457" s="34" t="e">
        <f t="shared" si="620"/>
        <v>#N/A</v>
      </c>
      <c r="AJ457" s="49" t="e">
        <f t="shared" si="585"/>
        <v>#N/A</v>
      </c>
      <c r="AK457" s="49" t="e">
        <f t="shared" si="586"/>
        <v>#N/A</v>
      </c>
      <c r="AL457" s="49" t="e">
        <f t="shared" si="587"/>
        <v>#N/A</v>
      </c>
      <c r="AM457" s="25">
        <f t="shared" si="566"/>
        <v>30</v>
      </c>
      <c r="AN457" s="25">
        <f t="shared" si="567"/>
        <v>30</v>
      </c>
      <c r="AO457" s="25">
        <f t="shared" si="568"/>
        <v>30</v>
      </c>
      <c r="AP457" s="52" t="e">
        <f t="shared" si="640"/>
        <v>#N/A</v>
      </c>
      <c r="AQ457" s="53" t="e">
        <f t="shared" si="640"/>
        <v>#N/A</v>
      </c>
      <c r="AR457" s="54" t="e">
        <f t="shared" si="640"/>
        <v>#N/A</v>
      </c>
      <c r="AS457" s="316">
        <f t="shared" si="648"/>
        <v>0</v>
      </c>
      <c r="AT457" s="106">
        <f>_xlfn.IFNA($M457/VLOOKUP($BT457,'Unit information'!$A$2:$K$29,2,FALSE)*R457,0)*(1+$E$9)</f>
        <v>0</v>
      </c>
      <c r="AU457" s="107">
        <f>_xlfn.IFNA($M457/VLOOKUP($BT457,'Unit information'!$A$2:$K$29,3,FALSE)*S457,0)*(1+$E$9)</f>
        <v>0</v>
      </c>
      <c r="AV457" s="107">
        <f>_xlfn.IFNA($M457/VLOOKUP($BT457,'Unit information'!$A$2:$K$29,4,FALSE)*T457,0)*(1+$E$9)</f>
        <v>0</v>
      </c>
      <c r="AW457" s="107">
        <f>_xlfn.IFNA($M457/VLOOKUP($BT457,'Unit information'!$A$2:$K$29,5,FALSE)*U457,0)*(1+$E$9)</f>
        <v>0</v>
      </c>
      <c r="AX457" s="107">
        <f>_xlfn.IFNA($M457/VLOOKUP($BU457,'Unit information'!$A$2:$K$29,6,FALSE)*V457,0)*(1+$E$9)</f>
        <v>0</v>
      </c>
      <c r="AY457" s="107">
        <f>_xlfn.IFNA($M457/VLOOKUP($BU457,'Unit information'!$A$2:$K$29,7,FALSE)*W457,0)*(1+$E$9)</f>
        <v>0</v>
      </c>
      <c r="AZ457" s="107">
        <f>_xlfn.IFNA($M457/VLOOKUP($BU457,'Unit information'!$A$2:$K$29,8,FALSE)*X457,0)*(1+$E$9)</f>
        <v>0</v>
      </c>
      <c r="BA457" s="107">
        <f>_xlfn.IFNA($M457/VLOOKUP($BU457,'Unit information'!$A$2:$K$29,9,FALSE)*Y457,0)*(1+$E$9)</f>
        <v>0</v>
      </c>
      <c r="BB457" s="107">
        <f>_xlfn.IFNA($M457/VLOOKUP($BV457,'Unit information'!$A$2:$K$29,10,FALSE)*Z457,0)*(1+$E$9)</f>
        <v>0</v>
      </c>
      <c r="BC457" s="108">
        <f>_xlfn.IFNA($M457/VLOOKUP($BV457,'Unit information'!$A$2:$K$29,11,FALSE)*AA457,0)*(1+$E$9)</f>
        <v>0</v>
      </c>
      <c r="BD457" s="106">
        <f t="shared" si="569"/>
        <v>0</v>
      </c>
      <c r="BE457" s="107">
        <f t="shared" si="570"/>
        <v>0</v>
      </c>
      <c r="BF457" s="108">
        <f t="shared" si="571"/>
        <v>0</v>
      </c>
      <c r="BG457" s="25" t="e">
        <f t="shared" si="572"/>
        <v>#N/A</v>
      </c>
      <c r="BH457" s="25" t="e">
        <f t="shared" si="573"/>
        <v>#N/A</v>
      </c>
      <c r="BI457" s="25" t="e">
        <f t="shared" si="574"/>
        <v>#N/A</v>
      </c>
      <c r="BJ457" s="27" t="e">
        <f t="shared" si="575"/>
        <v>#N/A</v>
      </c>
      <c r="BK457" s="18" t="e">
        <f t="shared" si="576"/>
        <v>#N/A</v>
      </c>
      <c r="BL457" s="18" t="e">
        <f t="shared" si="577"/>
        <v>#N/A</v>
      </c>
      <c r="BM457" s="28" t="e">
        <f t="shared" si="622"/>
        <v>#N/A</v>
      </c>
      <c r="BN457" s="33">
        <f>HLOOKUP("maximum population",Miscelaneous!$C$1:$C$33,CH457+3,FALSE)</f>
        <v>240</v>
      </c>
      <c r="BO457" s="14">
        <f t="shared" si="589"/>
        <v>32</v>
      </c>
      <c r="BP457" s="14">
        <f t="shared" si="590"/>
        <v>0</v>
      </c>
      <c r="BQ457" s="14">
        <f t="shared" si="591"/>
        <v>208</v>
      </c>
      <c r="BR457" s="34" t="e">
        <f>HLOOKUP(J457,Villagers!$B$1:$V$33,L457+3,FALSE)-HLOOKUP(J457,Villagers!$B$1:$V$33,L457+2,FALSE)</f>
        <v>#N/A</v>
      </c>
      <c r="BS457" s="49">
        <f t="shared" si="592"/>
        <v>1</v>
      </c>
      <c r="BT457" s="50">
        <f t="shared" si="593"/>
        <v>0</v>
      </c>
      <c r="BU457" s="50">
        <f t="shared" si="594"/>
        <v>0</v>
      </c>
      <c r="BV457" s="50">
        <f t="shared" si="595"/>
        <v>0</v>
      </c>
      <c r="BW457" s="50">
        <f t="shared" si="650"/>
        <v>0</v>
      </c>
      <c r="BX457" s="50">
        <f t="shared" si="649"/>
        <v>0</v>
      </c>
      <c r="BY457" s="50">
        <f t="shared" si="649"/>
        <v>0</v>
      </c>
      <c r="BZ457" s="50">
        <f t="shared" si="623"/>
        <v>0</v>
      </c>
      <c r="CA457" s="50">
        <f t="shared" si="624"/>
        <v>0</v>
      </c>
      <c r="CB457" s="50">
        <f t="shared" si="625"/>
        <v>1</v>
      </c>
      <c r="CC457" s="50">
        <f t="shared" si="626"/>
        <v>0</v>
      </c>
      <c r="CD457" s="50">
        <f t="shared" si="627"/>
        <v>0</v>
      </c>
      <c r="CE457" s="50">
        <f t="shared" si="628"/>
        <v>1</v>
      </c>
      <c r="CF457" s="50">
        <f t="shared" si="629"/>
        <v>1</v>
      </c>
      <c r="CG457" s="50">
        <f t="shared" si="630"/>
        <v>1</v>
      </c>
      <c r="CH457" s="50">
        <f t="shared" si="631"/>
        <v>1</v>
      </c>
      <c r="CI457" s="50">
        <f t="shared" si="632"/>
        <v>1</v>
      </c>
      <c r="CJ457" s="50">
        <f t="shared" si="633"/>
        <v>1</v>
      </c>
      <c r="CK457" s="50">
        <f t="shared" si="633"/>
        <v>0</v>
      </c>
      <c r="CL457" s="50">
        <f t="shared" si="633"/>
        <v>0</v>
      </c>
      <c r="CM457" s="51">
        <f t="shared" si="634"/>
        <v>0</v>
      </c>
      <c r="CN457" s="33">
        <f>ROUND(IF(BS457=0,0,HLOOKUP(BS$14,Villagers!$B$1:$V$33,BS457+3,FALSE)),)</f>
        <v>5</v>
      </c>
      <c r="CO457" s="14">
        <f>ROUND(IF(BT457=0,0,HLOOKUP(BT$14,Villagers!$B$1:$V$33,BT457+3,FALSE)),)</f>
        <v>0</v>
      </c>
      <c r="CP457" s="14">
        <f>ROUND(IF(BU457=0,0,HLOOKUP(BU$14,Villagers!$B$1:$V$33,BU457+3,FALSE)),)</f>
        <v>0</v>
      </c>
      <c r="CQ457" s="14">
        <f>ROUND(IF(BV457=0,0,HLOOKUP(BV$14,Villagers!$B$1:$V$33,BV457+3,FALSE)),)</f>
        <v>0</v>
      </c>
      <c r="CR457" s="14">
        <f>ROUND(IF(BW457=0,0,HLOOKUP(BW$14,Villagers!$B$1:$V$33,BW457+3,FALSE)),)</f>
        <v>0</v>
      </c>
      <c r="CS457" s="14">
        <f>ROUND(IF(BX457=0,0,HLOOKUP(BX$14,Villagers!$B$1:$V$33,BX457+3,FALSE)),)</f>
        <v>0</v>
      </c>
      <c r="CT457" s="14">
        <f>ROUND(IF(BY457=0,0,HLOOKUP(BY$14,Villagers!$B$1:$V$33,BY457+3,FALSE)),)</f>
        <v>0</v>
      </c>
      <c r="CU457" s="14">
        <f>ROUND(IF(BZ457=0,0,HLOOKUP(BZ$14,Villagers!$B$1:$V$33,BZ457+3,FALSE)),)</f>
        <v>0</v>
      </c>
      <c r="CV457" s="14">
        <f>ROUND(IF(CA457=0,0,HLOOKUP(CA$14,Villagers!$B$1:$V$33,CA457+3,FALSE)),)</f>
        <v>0</v>
      </c>
      <c r="CW457" s="14">
        <f>ROUND(IF(CB457=0,0,HLOOKUP(CB$14,Villagers!$B$1:$V$33,CB457+3,FALSE)),)</f>
        <v>0</v>
      </c>
      <c r="CX457" s="14">
        <f>ROUND(IF(CC457=0,0,HLOOKUP(CC$14,Villagers!$B$1:$V$33,CC457+3,FALSE)),)</f>
        <v>0</v>
      </c>
      <c r="CY457" s="14">
        <f>ROUND(IF(CD457=0,0,HLOOKUP(CD$14,Villagers!$B$1:$V$33,CD457+3,FALSE)),)</f>
        <v>0</v>
      </c>
      <c r="CZ457" s="14">
        <f>ROUND(IF(CE457=0,0,HLOOKUP(CE$14,Villagers!$B$1:$V$33,CE457+3,FALSE)),)</f>
        <v>5</v>
      </c>
      <c r="DA457" s="14">
        <f>ROUND(IF(CF457=0,0,HLOOKUP(CF$14,Villagers!$B$1:$V$33,CF457+3,FALSE)),)</f>
        <v>10</v>
      </c>
      <c r="DB457" s="14">
        <f>ROUND(IF(CG457=0,0,HLOOKUP(CG$14,Villagers!$B$1:$V$33,CG457+3,FALSE)),)</f>
        <v>10</v>
      </c>
      <c r="DC457" s="14">
        <f>ROUND(IF(CH457=0,0,HLOOKUP(CH$14,Villagers!$B$1:$V$33,CH457+3,FALSE)),)</f>
        <v>0</v>
      </c>
      <c r="DD457" s="14">
        <f>ROUND(IF(CI457=0,0,HLOOKUP(CI$14,Villagers!$B$1:$V$33,CI457+3,FALSE)),)</f>
        <v>0</v>
      </c>
      <c r="DE457" s="14">
        <f>ROUND(IF(CJ457=0,0,HLOOKUP(CJ$14,Villagers!$B$1:$V$33,CJ457+3,FALSE)),)</f>
        <v>2</v>
      </c>
      <c r="DF457" s="370">
        <f>ROUND(IF(CK457=0,0,HLOOKUP(CK$14,Villagers!$B$1:$V$33,CK457+3,FALSE)),)</f>
        <v>0</v>
      </c>
      <c r="DG457" s="370">
        <f>ROUND(IF(CL457=0,0,HLOOKUP(CL$14,Villagers!$B$1:$V$33,CL457+3,FALSE)),)</f>
        <v>0</v>
      </c>
      <c r="DH457" s="34">
        <f>ROUND(IF(CM457=0,0,HLOOKUP(CM$14,Villagers!$B$1:$V$33,CM457+3,FALSE)),)</f>
        <v>0</v>
      </c>
      <c r="DI457" s="109">
        <f t="shared" si="611"/>
        <v>0</v>
      </c>
      <c r="DJ457" s="50">
        <f t="shared" si="612"/>
        <v>0</v>
      </c>
      <c r="DK457" s="50">
        <f t="shared" si="613"/>
        <v>0</v>
      </c>
      <c r="DL457" s="50">
        <f t="shared" si="614"/>
        <v>0</v>
      </c>
      <c r="DM457" s="50">
        <f t="shared" si="615"/>
        <v>0</v>
      </c>
      <c r="DN457" s="50">
        <f t="shared" si="616"/>
        <v>0</v>
      </c>
      <c r="DO457" s="50">
        <f t="shared" si="617"/>
        <v>0</v>
      </c>
      <c r="DP457" s="50">
        <f t="shared" si="618"/>
        <v>0</v>
      </c>
      <c r="DQ457" s="50">
        <f t="shared" si="596"/>
        <v>0</v>
      </c>
      <c r="DR457" s="50">
        <f t="shared" si="597"/>
        <v>0</v>
      </c>
      <c r="DS457" s="96">
        <f>Miscelaneous!$D$4*Miscelaneous!$D$2^($CI457-1)</f>
        <v>1000</v>
      </c>
      <c r="DT457" s="333">
        <f t="shared" si="579"/>
        <v>1</v>
      </c>
      <c r="DU457" s="81">
        <v>1</v>
      </c>
      <c r="DV457" s="79">
        <f t="shared" si="598"/>
        <v>0</v>
      </c>
      <c r="DW457" s="79">
        <f t="shared" si="599"/>
        <v>0</v>
      </c>
      <c r="DX457" s="79">
        <f t="shared" si="600"/>
        <v>0</v>
      </c>
      <c r="DY457" s="79">
        <v>1</v>
      </c>
      <c r="DZ457" s="79">
        <f t="shared" si="601"/>
        <v>0</v>
      </c>
      <c r="EA457" s="79">
        <f t="shared" si="602"/>
        <v>0</v>
      </c>
      <c r="EB457" s="79">
        <f t="shared" si="603"/>
        <v>0</v>
      </c>
      <c r="EC457" s="79">
        <f t="shared" si="604"/>
        <v>0</v>
      </c>
      <c r="ED457" s="79">
        <v>1</v>
      </c>
      <c r="EE457" s="79">
        <v>1</v>
      </c>
      <c r="EF457" s="79">
        <f t="shared" si="605"/>
        <v>0</v>
      </c>
      <c r="EG457" s="79">
        <v>1</v>
      </c>
      <c r="EH457" s="79">
        <v>1</v>
      </c>
      <c r="EI457" s="79">
        <v>1</v>
      </c>
      <c r="EJ457" s="79">
        <v>1</v>
      </c>
      <c r="EK457" s="79">
        <v>1</v>
      </c>
      <c r="EL457" s="79">
        <v>1</v>
      </c>
      <c r="EM457" s="143">
        <f t="shared" si="606"/>
        <v>0</v>
      </c>
      <c r="EN457" s="143">
        <f t="shared" si="607"/>
        <v>0</v>
      </c>
      <c r="EO457" s="82">
        <f t="shared" si="608"/>
        <v>0</v>
      </c>
    </row>
    <row r="458" spans="1:145" x14ac:dyDescent="0.25">
      <c r="A458">
        <v>444</v>
      </c>
      <c r="B458" s="172" t="e">
        <f t="shared" si="580"/>
        <v>#N/A</v>
      </c>
      <c r="C458" s="121" t="e">
        <f t="shared" si="558"/>
        <v>#N/A</v>
      </c>
      <c r="D458" s="122" t="e">
        <f t="shared" si="559"/>
        <v>#N/A</v>
      </c>
      <c r="E458" s="122" t="e">
        <f t="shared" si="560"/>
        <v>#N/A</v>
      </c>
      <c r="F458" s="176" t="e">
        <f t="shared" si="561"/>
        <v>#N/A</v>
      </c>
      <c r="G458" s="121">
        <f t="shared" si="581"/>
        <v>208</v>
      </c>
      <c r="H458" s="176" t="e">
        <f t="shared" si="582"/>
        <v>#N/A</v>
      </c>
      <c r="I458" s="48">
        <v>1</v>
      </c>
      <c r="J458" s="39"/>
      <c r="K458" s="350">
        <v>1</v>
      </c>
      <c r="L458" s="34" t="e">
        <f t="shared" si="562"/>
        <v>#N/A</v>
      </c>
      <c r="M458" s="38" t="e">
        <f>(HLOOKUP(J458,'Construction Times'!$B$3:$W$34,L458+2,FALSE)*HLOOKUP("hq modifier",'Construction Times'!$W$3:$W$34,BS458+2,FALSE))*(1-$H$9)</f>
        <v>#N/A</v>
      </c>
      <c r="N458" s="443" t="e">
        <f t="shared" si="583"/>
        <v>#N/A</v>
      </c>
      <c r="O458" s="444"/>
      <c r="P458" s="447" t="e">
        <f t="shared" si="584"/>
        <v>#N/A</v>
      </c>
      <c r="Q458" s="448"/>
      <c r="R458" s="103">
        <f t="shared" si="642"/>
        <v>0</v>
      </c>
      <c r="S458" s="104">
        <f t="shared" si="642"/>
        <v>0</v>
      </c>
      <c r="T458" s="104">
        <f t="shared" si="643"/>
        <v>0</v>
      </c>
      <c r="U458" s="104">
        <f t="shared" si="643"/>
        <v>0</v>
      </c>
      <c r="V458" s="104">
        <f t="shared" si="643"/>
        <v>9.9999999999999995E-8</v>
      </c>
      <c r="W458" s="104">
        <f t="shared" si="643"/>
        <v>0</v>
      </c>
      <c r="X458" s="104">
        <f t="shared" si="639"/>
        <v>0</v>
      </c>
      <c r="Y458" s="104">
        <f t="shared" si="639"/>
        <v>9.9999999999999995E-8</v>
      </c>
      <c r="Z458" s="104">
        <f t="shared" si="639"/>
        <v>9.9999999999999995E-8</v>
      </c>
      <c r="AA458" s="105">
        <f t="shared" si="639"/>
        <v>9.9999999999999995E-8</v>
      </c>
      <c r="AB458" s="101" t="e">
        <f>$DT458*HLOOKUP($J458,'Construction Costs (timber)'!$B$1:$V$32,'Construction Planner'!$L458+2,FALSE)</f>
        <v>#N/A</v>
      </c>
      <c r="AC458" s="14" t="e">
        <f>$DT458*HLOOKUP($J458,'Construction Costs (clay)'!$B$1:$V$32,'Construction Planner'!$L458+2,FALSE)</f>
        <v>#N/A</v>
      </c>
      <c r="AD458" s="14" t="e">
        <f>$DT458*HLOOKUP($J458,'Construction Costs (iron)'!$B$1:$V$32,'Construction Planner'!$L458+2,FALSE)</f>
        <v>#N/A</v>
      </c>
      <c r="AE458" s="34" t="e">
        <f t="shared" si="619"/>
        <v>#N/A</v>
      </c>
      <c r="AF458" s="33" t="e">
        <f t="shared" si="563"/>
        <v>#N/A</v>
      </c>
      <c r="AG458" s="14" t="e">
        <f t="shared" si="564"/>
        <v>#N/A</v>
      </c>
      <c r="AH458" s="14" t="e">
        <f t="shared" si="565"/>
        <v>#N/A</v>
      </c>
      <c r="AI458" s="34" t="e">
        <f t="shared" si="620"/>
        <v>#N/A</v>
      </c>
      <c r="AJ458" s="49" t="e">
        <f t="shared" si="585"/>
        <v>#N/A</v>
      </c>
      <c r="AK458" s="49" t="e">
        <f t="shared" si="586"/>
        <v>#N/A</v>
      </c>
      <c r="AL458" s="49" t="e">
        <f t="shared" si="587"/>
        <v>#N/A</v>
      </c>
      <c r="AM458" s="25">
        <f t="shared" si="566"/>
        <v>30</v>
      </c>
      <c r="AN458" s="25">
        <f t="shared" si="567"/>
        <v>30</v>
      </c>
      <c r="AO458" s="25">
        <f t="shared" si="568"/>
        <v>30</v>
      </c>
      <c r="AP458" s="52" t="e">
        <f t="shared" si="640"/>
        <v>#N/A</v>
      </c>
      <c r="AQ458" s="53" t="e">
        <f t="shared" si="640"/>
        <v>#N/A</v>
      </c>
      <c r="AR458" s="54" t="e">
        <f t="shared" si="640"/>
        <v>#N/A</v>
      </c>
      <c r="AS458" s="316">
        <f t="shared" si="648"/>
        <v>0</v>
      </c>
      <c r="AT458" s="106">
        <f>_xlfn.IFNA($M458/VLOOKUP($BT458,'Unit information'!$A$2:$K$29,2,FALSE)*R458,0)*(1+$E$9)</f>
        <v>0</v>
      </c>
      <c r="AU458" s="107">
        <f>_xlfn.IFNA($M458/VLOOKUP($BT458,'Unit information'!$A$2:$K$29,3,FALSE)*S458,0)*(1+$E$9)</f>
        <v>0</v>
      </c>
      <c r="AV458" s="107">
        <f>_xlfn.IFNA($M458/VLOOKUP($BT458,'Unit information'!$A$2:$K$29,4,FALSE)*T458,0)*(1+$E$9)</f>
        <v>0</v>
      </c>
      <c r="AW458" s="107">
        <f>_xlfn.IFNA($M458/VLOOKUP($BT458,'Unit information'!$A$2:$K$29,5,FALSE)*U458,0)*(1+$E$9)</f>
        <v>0</v>
      </c>
      <c r="AX458" s="107">
        <f>_xlfn.IFNA($M458/VLOOKUP($BU458,'Unit information'!$A$2:$K$29,6,FALSE)*V458,0)*(1+$E$9)</f>
        <v>0</v>
      </c>
      <c r="AY458" s="107">
        <f>_xlfn.IFNA($M458/VLOOKUP($BU458,'Unit information'!$A$2:$K$29,7,FALSE)*W458,0)*(1+$E$9)</f>
        <v>0</v>
      </c>
      <c r="AZ458" s="107">
        <f>_xlfn.IFNA($M458/VLOOKUP($BU458,'Unit information'!$A$2:$K$29,8,FALSE)*X458,0)*(1+$E$9)</f>
        <v>0</v>
      </c>
      <c r="BA458" s="107">
        <f>_xlfn.IFNA($M458/VLOOKUP($BU458,'Unit information'!$A$2:$K$29,9,FALSE)*Y458,0)*(1+$E$9)</f>
        <v>0</v>
      </c>
      <c r="BB458" s="107">
        <f>_xlfn.IFNA($M458/VLOOKUP($BV458,'Unit information'!$A$2:$K$29,10,FALSE)*Z458,0)*(1+$E$9)</f>
        <v>0</v>
      </c>
      <c r="BC458" s="108">
        <f>_xlfn.IFNA($M458/VLOOKUP($BV458,'Unit information'!$A$2:$K$29,11,FALSE)*AA458,0)*(1+$E$9)</f>
        <v>0</v>
      </c>
      <c r="BD458" s="106">
        <f t="shared" si="569"/>
        <v>0</v>
      </c>
      <c r="BE458" s="107">
        <f t="shared" si="570"/>
        <v>0</v>
      </c>
      <c r="BF458" s="108">
        <f t="shared" si="571"/>
        <v>0</v>
      </c>
      <c r="BG458" s="25" t="e">
        <f t="shared" si="572"/>
        <v>#N/A</v>
      </c>
      <c r="BH458" s="25" t="e">
        <f t="shared" si="573"/>
        <v>#N/A</v>
      </c>
      <c r="BI458" s="25" t="e">
        <f t="shared" si="574"/>
        <v>#N/A</v>
      </c>
      <c r="BJ458" s="27" t="e">
        <f t="shared" si="575"/>
        <v>#N/A</v>
      </c>
      <c r="BK458" s="18" t="e">
        <f t="shared" si="576"/>
        <v>#N/A</v>
      </c>
      <c r="BL458" s="18" t="e">
        <f t="shared" si="577"/>
        <v>#N/A</v>
      </c>
      <c r="BM458" s="28" t="e">
        <f t="shared" si="622"/>
        <v>#N/A</v>
      </c>
      <c r="BN458" s="33">
        <f>HLOOKUP("maximum population",Miscelaneous!$C$1:$C$33,CH458+3,FALSE)</f>
        <v>240</v>
      </c>
      <c r="BO458" s="14">
        <f t="shared" si="589"/>
        <v>32</v>
      </c>
      <c r="BP458" s="14">
        <f t="shared" si="590"/>
        <v>0</v>
      </c>
      <c r="BQ458" s="14">
        <f t="shared" si="591"/>
        <v>208</v>
      </c>
      <c r="BR458" s="34" t="e">
        <f>HLOOKUP(J458,Villagers!$B$1:$V$33,L458+3,FALSE)-HLOOKUP(J458,Villagers!$B$1:$V$33,L458+2,FALSE)</f>
        <v>#N/A</v>
      </c>
      <c r="BS458" s="49">
        <f t="shared" si="592"/>
        <v>1</v>
      </c>
      <c r="BT458" s="50">
        <f t="shared" si="593"/>
        <v>0</v>
      </c>
      <c r="BU458" s="50">
        <f t="shared" si="594"/>
        <v>0</v>
      </c>
      <c r="BV458" s="50">
        <f t="shared" si="595"/>
        <v>0</v>
      </c>
      <c r="BW458" s="50">
        <f t="shared" si="650"/>
        <v>0</v>
      </c>
      <c r="BX458" s="50">
        <f t="shared" si="649"/>
        <v>0</v>
      </c>
      <c r="BY458" s="50">
        <f t="shared" si="649"/>
        <v>0</v>
      </c>
      <c r="BZ458" s="50">
        <f t="shared" si="623"/>
        <v>0</v>
      </c>
      <c r="CA458" s="50">
        <f t="shared" si="624"/>
        <v>0</v>
      </c>
      <c r="CB458" s="50">
        <f t="shared" si="625"/>
        <v>1</v>
      </c>
      <c r="CC458" s="50">
        <f t="shared" si="626"/>
        <v>0</v>
      </c>
      <c r="CD458" s="50">
        <f t="shared" si="627"/>
        <v>0</v>
      </c>
      <c r="CE458" s="50">
        <f t="shared" si="628"/>
        <v>1</v>
      </c>
      <c r="CF458" s="50">
        <f t="shared" si="629"/>
        <v>1</v>
      </c>
      <c r="CG458" s="50">
        <f t="shared" si="630"/>
        <v>1</v>
      </c>
      <c r="CH458" s="50">
        <f t="shared" si="631"/>
        <v>1</v>
      </c>
      <c r="CI458" s="50">
        <f t="shared" si="632"/>
        <v>1</v>
      </c>
      <c r="CJ458" s="50">
        <f t="shared" si="633"/>
        <v>1</v>
      </c>
      <c r="CK458" s="50">
        <f t="shared" si="633"/>
        <v>0</v>
      </c>
      <c r="CL458" s="50">
        <f t="shared" si="633"/>
        <v>0</v>
      </c>
      <c r="CM458" s="51">
        <f t="shared" si="634"/>
        <v>0</v>
      </c>
      <c r="CN458" s="33">
        <f>ROUND(IF(BS458=0,0,HLOOKUP(BS$14,Villagers!$B$1:$V$33,BS458+3,FALSE)),)</f>
        <v>5</v>
      </c>
      <c r="CO458" s="14">
        <f>ROUND(IF(BT458=0,0,HLOOKUP(BT$14,Villagers!$B$1:$V$33,BT458+3,FALSE)),)</f>
        <v>0</v>
      </c>
      <c r="CP458" s="14">
        <f>ROUND(IF(BU458=0,0,HLOOKUP(BU$14,Villagers!$B$1:$V$33,BU458+3,FALSE)),)</f>
        <v>0</v>
      </c>
      <c r="CQ458" s="14">
        <f>ROUND(IF(BV458=0,0,HLOOKUP(BV$14,Villagers!$B$1:$V$33,BV458+3,FALSE)),)</f>
        <v>0</v>
      </c>
      <c r="CR458" s="14">
        <f>ROUND(IF(BW458=0,0,HLOOKUP(BW$14,Villagers!$B$1:$V$33,BW458+3,FALSE)),)</f>
        <v>0</v>
      </c>
      <c r="CS458" s="14">
        <f>ROUND(IF(BX458=0,0,HLOOKUP(BX$14,Villagers!$B$1:$V$33,BX458+3,FALSE)),)</f>
        <v>0</v>
      </c>
      <c r="CT458" s="14">
        <f>ROUND(IF(BY458=0,0,HLOOKUP(BY$14,Villagers!$B$1:$V$33,BY458+3,FALSE)),)</f>
        <v>0</v>
      </c>
      <c r="CU458" s="14">
        <f>ROUND(IF(BZ458=0,0,HLOOKUP(BZ$14,Villagers!$B$1:$V$33,BZ458+3,FALSE)),)</f>
        <v>0</v>
      </c>
      <c r="CV458" s="14">
        <f>ROUND(IF(CA458=0,0,HLOOKUP(CA$14,Villagers!$B$1:$V$33,CA458+3,FALSE)),)</f>
        <v>0</v>
      </c>
      <c r="CW458" s="14">
        <f>ROUND(IF(CB458=0,0,HLOOKUP(CB$14,Villagers!$B$1:$V$33,CB458+3,FALSE)),)</f>
        <v>0</v>
      </c>
      <c r="CX458" s="14">
        <f>ROUND(IF(CC458=0,0,HLOOKUP(CC$14,Villagers!$B$1:$V$33,CC458+3,FALSE)),)</f>
        <v>0</v>
      </c>
      <c r="CY458" s="14">
        <f>ROUND(IF(CD458=0,0,HLOOKUP(CD$14,Villagers!$B$1:$V$33,CD458+3,FALSE)),)</f>
        <v>0</v>
      </c>
      <c r="CZ458" s="14">
        <f>ROUND(IF(CE458=0,0,HLOOKUP(CE$14,Villagers!$B$1:$V$33,CE458+3,FALSE)),)</f>
        <v>5</v>
      </c>
      <c r="DA458" s="14">
        <f>ROUND(IF(CF458=0,0,HLOOKUP(CF$14,Villagers!$B$1:$V$33,CF458+3,FALSE)),)</f>
        <v>10</v>
      </c>
      <c r="DB458" s="14">
        <f>ROUND(IF(CG458=0,0,HLOOKUP(CG$14,Villagers!$B$1:$V$33,CG458+3,FALSE)),)</f>
        <v>10</v>
      </c>
      <c r="DC458" s="14">
        <f>ROUND(IF(CH458=0,0,HLOOKUP(CH$14,Villagers!$B$1:$V$33,CH458+3,FALSE)),)</f>
        <v>0</v>
      </c>
      <c r="DD458" s="14">
        <f>ROUND(IF(CI458=0,0,HLOOKUP(CI$14,Villagers!$B$1:$V$33,CI458+3,FALSE)),)</f>
        <v>0</v>
      </c>
      <c r="DE458" s="14">
        <f>ROUND(IF(CJ458=0,0,HLOOKUP(CJ$14,Villagers!$B$1:$V$33,CJ458+3,FALSE)),)</f>
        <v>2</v>
      </c>
      <c r="DF458" s="370">
        <f>ROUND(IF(CK458=0,0,HLOOKUP(CK$14,Villagers!$B$1:$V$33,CK458+3,FALSE)),)</f>
        <v>0</v>
      </c>
      <c r="DG458" s="370">
        <f>ROUND(IF(CL458=0,0,HLOOKUP(CL$14,Villagers!$B$1:$V$33,CL458+3,FALSE)),)</f>
        <v>0</v>
      </c>
      <c r="DH458" s="34">
        <f>ROUND(IF(CM458=0,0,HLOOKUP(CM$14,Villagers!$B$1:$V$33,CM458+3,FALSE)),)</f>
        <v>0</v>
      </c>
      <c r="DI458" s="109">
        <f t="shared" si="611"/>
        <v>0</v>
      </c>
      <c r="DJ458" s="50">
        <f t="shared" si="612"/>
        <v>0</v>
      </c>
      <c r="DK458" s="50">
        <f t="shared" si="613"/>
        <v>0</v>
      </c>
      <c r="DL458" s="50">
        <f t="shared" si="614"/>
        <v>0</v>
      </c>
      <c r="DM458" s="50">
        <f t="shared" si="615"/>
        <v>0</v>
      </c>
      <c r="DN458" s="50">
        <f t="shared" si="616"/>
        <v>0</v>
      </c>
      <c r="DO458" s="50">
        <f t="shared" si="617"/>
        <v>0</v>
      </c>
      <c r="DP458" s="50">
        <f t="shared" si="618"/>
        <v>0</v>
      </c>
      <c r="DQ458" s="50">
        <f t="shared" si="596"/>
        <v>0</v>
      </c>
      <c r="DR458" s="50">
        <f t="shared" si="597"/>
        <v>0</v>
      </c>
      <c r="DS458" s="96">
        <f>Miscelaneous!$D$4*Miscelaneous!$D$2^($CI458-1)</f>
        <v>1000</v>
      </c>
      <c r="DT458" s="333">
        <f t="shared" si="579"/>
        <v>1</v>
      </c>
      <c r="DU458" s="81">
        <v>1</v>
      </c>
      <c r="DV458" s="79">
        <f t="shared" si="598"/>
        <v>0</v>
      </c>
      <c r="DW458" s="79">
        <f t="shared" si="599"/>
        <v>0</v>
      </c>
      <c r="DX458" s="79">
        <f t="shared" si="600"/>
        <v>0</v>
      </c>
      <c r="DY458" s="79">
        <v>1</v>
      </c>
      <c r="DZ458" s="79">
        <f t="shared" si="601"/>
        <v>0</v>
      </c>
      <c r="EA458" s="79">
        <f t="shared" si="602"/>
        <v>0</v>
      </c>
      <c r="EB458" s="79">
        <f t="shared" si="603"/>
        <v>0</v>
      </c>
      <c r="EC458" s="79">
        <f t="shared" si="604"/>
        <v>0</v>
      </c>
      <c r="ED458" s="79">
        <v>1</v>
      </c>
      <c r="EE458" s="79">
        <v>1</v>
      </c>
      <c r="EF458" s="79">
        <f t="shared" si="605"/>
        <v>0</v>
      </c>
      <c r="EG458" s="79">
        <v>1</v>
      </c>
      <c r="EH458" s="79">
        <v>1</v>
      </c>
      <c r="EI458" s="79">
        <v>1</v>
      </c>
      <c r="EJ458" s="79">
        <v>1</v>
      </c>
      <c r="EK458" s="79">
        <v>1</v>
      </c>
      <c r="EL458" s="79">
        <v>1</v>
      </c>
      <c r="EM458" s="143">
        <f t="shared" si="606"/>
        <v>0</v>
      </c>
      <c r="EN458" s="143">
        <f t="shared" si="607"/>
        <v>0</v>
      </c>
      <c r="EO458" s="82">
        <f t="shared" si="608"/>
        <v>0</v>
      </c>
    </row>
    <row r="459" spans="1:145" x14ac:dyDescent="0.25">
      <c r="A459">
        <v>445</v>
      </c>
      <c r="B459" s="172" t="e">
        <f t="shared" si="580"/>
        <v>#N/A</v>
      </c>
      <c r="C459" s="121" t="e">
        <f t="shared" si="558"/>
        <v>#N/A</v>
      </c>
      <c r="D459" s="122" t="e">
        <f t="shared" si="559"/>
        <v>#N/A</v>
      </c>
      <c r="E459" s="122" t="e">
        <f t="shared" si="560"/>
        <v>#N/A</v>
      </c>
      <c r="F459" s="176" t="e">
        <f t="shared" si="561"/>
        <v>#N/A</v>
      </c>
      <c r="G459" s="121">
        <f t="shared" si="581"/>
        <v>208</v>
      </c>
      <c r="H459" s="176" t="e">
        <f t="shared" si="582"/>
        <v>#N/A</v>
      </c>
      <c r="I459" s="48">
        <v>1</v>
      </c>
      <c r="J459" s="39"/>
      <c r="K459" s="350">
        <v>1</v>
      </c>
      <c r="L459" s="34" t="e">
        <f t="shared" si="562"/>
        <v>#N/A</v>
      </c>
      <c r="M459" s="38" t="e">
        <f>(HLOOKUP(J459,'Construction Times'!$B$3:$W$34,L459+2,FALSE)*HLOOKUP("hq modifier",'Construction Times'!$W$3:$W$34,BS459+2,FALSE))*(1-$H$9)</f>
        <v>#N/A</v>
      </c>
      <c r="N459" s="443" t="e">
        <f t="shared" si="583"/>
        <v>#N/A</v>
      </c>
      <c r="O459" s="444"/>
      <c r="P459" s="447" t="e">
        <f t="shared" si="584"/>
        <v>#N/A</v>
      </c>
      <c r="Q459" s="448"/>
      <c r="R459" s="103">
        <f t="shared" si="642"/>
        <v>0</v>
      </c>
      <c r="S459" s="104">
        <f t="shared" si="642"/>
        <v>0</v>
      </c>
      <c r="T459" s="104">
        <f t="shared" si="643"/>
        <v>0</v>
      </c>
      <c r="U459" s="104">
        <f t="shared" si="643"/>
        <v>0</v>
      </c>
      <c r="V459" s="104">
        <f t="shared" si="643"/>
        <v>9.9999999999999995E-8</v>
      </c>
      <c r="W459" s="104">
        <f t="shared" si="643"/>
        <v>0</v>
      </c>
      <c r="X459" s="104">
        <f t="shared" si="639"/>
        <v>0</v>
      </c>
      <c r="Y459" s="104">
        <f t="shared" si="639"/>
        <v>9.9999999999999995E-8</v>
      </c>
      <c r="Z459" s="104">
        <f t="shared" si="639"/>
        <v>9.9999999999999995E-8</v>
      </c>
      <c r="AA459" s="105">
        <f t="shared" si="639"/>
        <v>9.9999999999999995E-8</v>
      </c>
      <c r="AB459" s="101" t="e">
        <f>$DT459*HLOOKUP($J459,'Construction Costs (timber)'!$B$1:$V$32,'Construction Planner'!$L459+2,FALSE)</f>
        <v>#N/A</v>
      </c>
      <c r="AC459" s="14" t="e">
        <f>$DT459*HLOOKUP($J459,'Construction Costs (clay)'!$B$1:$V$32,'Construction Planner'!$L459+2,FALSE)</f>
        <v>#N/A</v>
      </c>
      <c r="AD459" s="14" t="e">
        <f>$DT459*HLOOKUP($J459,'Construction Costs (iron)'!$B$1:$V$32,'Construction Planner'!$L459+2,FALSE)</f>
        <v>#N/A</v>
      </c>
      <c r="AE459" s="34" t="e">
        <f t="shared" si="619"/>
        <v>#N/A</v>
      </c>
      <c r="AF459" s="33" t="e">
        <f t="shared" si="563"/>
        <v>#N/A</v>
      </c>
      <c r="AG459" s="14" t="e">
        <f t="shared" si="564"/>
        <v>#N/A</v>
      </c>
      <c r="AH459" s="14" t="e">
        <f t="shared" si="565"/>
        <v>#N/A</v>
      </c>
      <c r="AI459" s="34" t="e">
        <f t="shared" si="620"/>
        <v>#N/A</v>
      </c>
      <c r="AJ459" s="49" t="e">
        <f t="shared" si="585"/>
        <v>#N/A</v>
      </c>
      <c r="AK459" s="49" t="e">
        <f t="shared" si="586"/>
        <v>#N/A</v>
      </c>
      <c r="AL459" s="49" t="e">
        <f t="shared" si="587"/>
        <v>#N/A</v>
      </c>
      <c r="AM459" s="25">
        <f t="shared" si="566"/>
        <v>30</v>
      </c>
      <c r="AN459" s="25">
        <f t="shared" si="567"/>
        <v>30</v>
      </c>
      <c r="AO459" s="25">
        <f t="shared" si="568"/>
        <v>30</v>
      </c>
      <c r="AP459" s="52" t="e">
        <f t="shared" si="640"/>
        <v>#N/A</v>
      </c>
      <c r="AQ459" s="53" t="e">
        <f t="shared" si="640"/>
        <v>#N/A</v>
      </c>
      <c r="AR459" s="54" t="e">
        <f t="shared" si="640"/>
        <v>#N/A</v>
      </c>
      <c r="AS459" s="316">
        <f t="shared" si="648"/>
        <v>0</v>
      </c>
      <c r="AT459" s="106">
        <f>_xlfn.IFNA($M459/VLOOKUP($BT459,'Unit information'!$A$2:$K$29,2,FALSE)*R459,0)*(1+$E$9)</f>
        <v>0</v>
      </c>
      <c r="AU459" s="107">
        <f>_xlfn.IFNA($M459/VLOOKUP($BT459,'Unit information'!$A$2:$K$29,3,FALSE)*S459,0)*(1+$E$9)</f>
        <v>0</v>
      </c>
      <c r="AV459" s="107">
        <f>_xlfn.IFNA($M459/VLOOKUP($BT459,'Unit information'!$A$2:$K$29,4,FALSE)*T459,0)*(1+$E$9)</f>
        <v>0</v>
      </c>
      <c r="AW459" s="107">
        <f>_xlfn.IFNA($M459/VLOOKUP($BT459,'Unit information'!$A$2:$K$29,5,FALSE)*U459,0)*(1+$E$9)</f>
        <v>0</v>
      </c>
      <c r="AX459" s="107">
        <f>_xlfn.IFNA($M459/VLOOKUP($BU459,'Unit information'!$A$2:$K$29,6,FALSE)*V459,0)*(1+$E$9)</f>
        <v>0</v>
      </c>
      <c r="AY459" s="107">
        <f>_xlfn.IFNA($M459/VLOOKUP($BU459,'Unit information'!$A$2:$K$29,7,FALSE)*W459,0)*(1+$E$9)</f>
        <v>0</v>
      </c>
      <c r="AZ459" s="107">
        <f>_xlfn.IFNA($M459/VLOOKUP($BU459,'Unit information'!$A$2:$K$29,8,FALSE)*X459,0)*(1+$E$9)</f>
        <v>0</v>
      </c>
      <c r="BA459" s="107">
        <f>_xlfn.IFNA($M459/VLOOKUP($BU459,'Unit information'!$A$2:$K$29,9,FALSE)*Y459,0)*(1+$E$9)</f>
        <v>0</v>
      </c>
      <c r="BB459" s="107">
        <f>_xlfn.IFNA($M459/VLOOKUP($BV459,'Unit information'!$A$2:$K$29,10,FALSE)*Z459,0)*(1+$E$9)</f>
        <v>0</v>
      </c>
      <c r="BC459" s="108">
        <f>_xlfn.IFNA($M459/VLOOKUP($BV459,'Unit information'!$A$2:$K$29,11,FALSE)*AA459,0)*(1+$E$9)</f>
        <v>0</v>
      </c>
      <c r="BD459" s="106">
        <f t="shared" si="569"/>
        <v>0</v>
      </c>
      <c r="BE459" s="107">
        <f t="shared" si="570"/>
        <v>0</v>
      </c>
      <c r="BF459" s="108">
        <f t="shared" si="571"/>
        <v>0</v>
      </c>
      <c r="BG459" s="25" t="e">
        <f t="shared" si="572"/>
        <v>#N/A</v>
      </c>
      <c r="BH459" s="25" t="e">
        <f t="shared" si="573"/>
        <v>#N/A</v>
      </c>
      <c r="BI459" s="25" t="e">
        <f t="shared" si="574"/>
        <v>#N/A</v>
      </c>
      <c r="BJ459" s="27" t="e">
        <f t="shared" si="575"/>
        <v>#N/A</v>
      </c>
      <c r="BK459" s="18" t="e">
        <f t="shared" si="576"/>
        <v>#N/A</v>
      </c>
      <c r="BL459" s="18" t="e">
        <f t="shared" si="577"/>
        <v>#N/A</v>
      </c>
      <c r="BM459" s="28" t="e">
        <f t="shared" si="622"/>
        <v>#N/A</v>
      </c>
      <c r="BN459" s="33">
        <f>HLOOKUP("maximum population",Miscelaneous!$C$1:$C$33,CH459+3,FALSE)</f>
        <v>240</v>
      </c>
      <c r="BO459" s="14">
        <f t="shared" si="589"/>
        <v>32</v>
      </c>
      <c r="BP459" s="14">
        <f t="shared" si="590"/>
        <v>0</v>
      </c>
      <c r="BQ459" s="14">
        <f t="shared" si="591"/>
        <v>208</v>
      </c>
      <c r="BR459" s="34" t="e">
        <f>HLOOKUP(J459,Villagers!$B$1:$V$33,L459+3,FALSE)-HLOOKUP(J459,Villagers!$B$1:$V$33,L459+2,FALSE)</f>
        <v>#N/A</v>
      </c>
      <c r="BS459" s="49">
        <f t="shared" si="592"/>
        <v>1</v>
      </c>
      <c r="BT459" s="50">
        <f t="shared" si="593"/>
        <v>0</v>
      </c>
      <c r="BU459" s="50">
        <f t="shared" si="594"/>
        <v>0</v>
      </c>
      <c r="BV459" s="50">
        <f t="shared" si="595"/>
        <v>0</v>
      </c>
      <c r="BW459" s="50">
        <f t="shared" si="650"/>
        <v>0</v>
      </c>
      <c r="BX459" s="50">
        <f t="shared" si="649"/>
        <v>0</v>
      </c>
      <c r="BY459" s="50">
        <f t="shared" si="649"/>
        <v>0</v>
      </c>
      <c r="BZ459" s="50">
        <f t="shared" si="623"/>
        <v>0</v>
      </c>
      <c r="CA459" s="50">
        <f t="shared" si="624"/>
        <v>0</v>
      </c>
      <c r="CB459" s="50">
        <f t="shared" si="625"/>
        <v>1</v>
      </c>
      <c r="CC459" s="50">
        <f t="shared" si="626"/>
        <v>0</v>
      </c>
      <c r="CD459" s="50">
        <f t="shared" si="627"/>
        <v>0</v>
      </c>
      <c r="CE459" s="50">
        <f t="shared" si="628"/>
        <v>1</v>
      </c>
      <c r="CF459" s="50">
        <f t="shared" si="629"/>
        <v>1</v>
      </c>
      <c r="CG459" s="50">
        <f t="shared" si="630"/>
        <v>1</v>
      </c>
      <c r="CH459" s="50">
        <f t="shared" si="631"/>
        <v>1</v>
      </c>
      <c r="CI459" s="50">
        <f t="shared" si="632"/>
        <v>1</v>
      </c>
      <c r="CJ459" s="50">
        <f t="shared" si="633"/>
        <v>1</v>
      </c>
      <c r="CK459" s="50">
        <f t="shared" si="633"/>
        <v>0</v>
      </c>
      <c r="CL459" s="50">
        <f t="shared" si="633"/>
        <v>0</v>
      </c>
      <c r="CM459" s="51">
        <f t="shared" si="634"/>
        <v>0</v>
      </c>
      <c r="CN459" s="33">
        <f>ROUND(IF(BS459=0,0,HLOOKUP(BS$14,Villagers!$B$1:$V$33,BS459+3,FALSE)),)</f>
        <v>5</v>
      </c>
      <c r="CO459" s="14">
        <f>ROUND(IF(BT459=0,0,HLOOKUP(BT$14,Villagers!$B$1:$V$33,BT459+3,FALSE)),)</f>
        <v>0</v>
      </c>
      <c r="CP459" s="14">
        <f>ROUND(IF(BU459=0,0,HLOOKUP(BU$14,Villagers!$B$1:$V$33,BU459+3,FALSE)),)</f>
        <v>0</v>
      </c>
      <c r="CQ459" s="14">
        <f>ROUND(IF(BV459=0,0,HLOOKUP(BV$14,Villagers!$B$1:$V$33,BV459+3,FALSE)),)</f>
        <v>0</v>
      </c>
      <c r="CR459" s="14">
        <f>ROUND(IF(BW459=0,0,HLOOKUP(BW$14,Villagers!$B$1:$V$33,BW459+3,FALSE)),)</f>
        <v>0</v>
      </c>
      <c r="CS459" s="14">
        <f>ROUND(IF(BX459=0,0,HLOOKUP(BX$14,Villagers!$B$1:$V$33,BX459+3,FALSE)),)</f>
        <v>0</v>
      </c>
      <c r="CT459" s="14">
        <f>ROUND(IF(BY459=0,0,HLOOKUP(BY$14,Villagers!$B$1:$V$33,BY459+3,FALSE)),)</f>
        <v>0</v>
      </c>
      <c r="CU459" s="14">
        <f>ROUND(IF(BZ459=0,0,HLOOKUP(BZ$14,Villagers!$B$1:$V$33,BZ459+3,FALSE)),)</f>
        <v>0</v>
      </c>
      <c r="CV459" s="14">
        <f>ROUND(IF(CA459=0,0,HLOOKUP(CA$14,Villagers!$B$1:$V$33,CA459+3,FALSE)),)</f>
        <v>0</v>
      </c>
      <c r="CW459" s="14">
        <f>ROUND(IF(CB459=0,0,HLOOKUP(CB$14,Villagers!$B$1:$V$33,CB459+3,FALSE)),)</f>
        <v>0</v>
      </c>
      <c r="CX459" s="14">
        <f>ROUND(IF(CC459=0,0,HLOOKUP(CC$14,Villagers!$B$1:$V$33,CC459+3,FALSE)),)</f>
        <v>0</v>
      </c>
      <c r="CY459" s="14">
        <f>ROUND(IF(CD459=0,0,HLOOKUP(CD$14,Villagers!$B$1:$V$33,CD459+3,FALSE)),)</f>
        <v>0</v>
      </c>
      <c r="CZ459" s="14">
        <f>ROUND(IF(CE459=0,0,HLOOKUP(CE$14,Villagers!$B$1:$V$33,CE459+3,FALSE)),)</f>
        <v>5</v>
      </c>
      <c r="DA459" s="14">
        <f>ROUND(IF(CF459=0,0,HLOOKUP(CF$14,Villagers!$B$1:$V$33,CF459+3,FALSE)),)</f>
        <v>10</v>
      </c>
      <c r="DB459" s="14">
        <f>ROUND(IF(CG459=0,0,HLOOKUP(CG$14,Villagers!$B$1:$V$33,CG459+3,FALSE)),)</f>
        <v>10</v>
      </c>
      <c r="DC459" s="14">
        <f>ROUND(IF(CH459=0,0,HLOOKUP(CH$14,Villagers!$B$1:$V$33,CH459+3,FALSE)),)</f>
        <v>0</v>
      </c>
      <c r="DD459" s="14">
        <f>ROUND(IF(CI459=0,0,HLOOKUP(CI$14,Villagers!$B$1:$V$33,CI459+3,FALSE)),)</f>
        <v>0</v>
      </c>
      <c r="DE459" s="14">
        <f>ROUND(IF(CJ459=0,0,HLOOKUP(CJ$14,Villagers!$B$1:$V$33,CJ459+3,FALSE)),)</f>
        <v>2</v>
      </c>
      <c r="DF459" s="370">
        <f>ROUND(IF(CK459=0,0,HLOOKUP(CK$14,Villagers!$B$1:$V$33,CK459+3,FALSE)),)</f>
        <v>0</v>
      </c>
      <c r="DG459" s="370">
        <f>ROUND(IF(CL459=0,0,HLOOKUP(CL$14,Villagers!$B$1:$V$33,CL459+3,FALSE)),)</f>
        <v>0</v>
      </c>
      <c r="DH459" s="34">
        <f>ROUND(IF(CM459=0,0,HLOOKUP(CM$14,Villagers!$B$1:$V$33,CM459+3,FALSE)),)</f>
        <v>0</v>
      </c>
      <c r="DI459" s="109">
        <f t="shared" si="611"/>
        <v>0</v>
      </c>
      <c r="DJ459" s="50">
        <f t="shared" si="612"/>
        <v>0</v>
      </c>
      <c r="DK459" s="50">
        <f t="shared" si="613"/>
        <v>0</v>
      </c>
      <c r="DL459" s="50">
        <f t="shared" si="614"/>
        <v>0</v>
      </c>
      <c r="DM459" s="50">
        <f t="shared" si="615"/>
        <v>0</v>
      </c>
      <c r="DN459" s="50">
        <f t="shared" si="616"/>
        <v>0</v>
      </c>
      <c r="DO459" s="50">
        <f t="shared" si="617"/>
        <v>0</v>
      </c>
      <c r="DP459" s="50">
        <f t="shared" si="618"/>
        <v>0</v>
      </c>
      <c r="DQ459" s="50">
        <f t="shared" si="596"/>
        <v>0</v>
      </c>
      <c r="DR459" s="50">
        <f t="shared" si="597"/>
        <v>0</v>
      </c>
      <c r="DS459" s="96">
        <f>Miscelaneous!$D$4*Miscelaneous!$D$2^($CI459-1)</f>
        <v>1000</v>
      </c>
      <c r="DT459" s="333">
        <f t="shared" si="579"/>
        <v>1</v>
      </c>
      <c r="DU459" s="81">
        <v>1</v>
      </c>
      <c r="DV459" s="79">
        <f t="shared" si="598"/>
        <v>0</v>
      </c>
      <c r="DW459" s="79">
        <f t="shared" si="599"/>
        <v>0</v>
      </c>
      <c r="DX459" s="79">
        <f t="shared" si="600"/>
        <v>0</v>
      </c>
      <c r="DY459" s="79">
        <v>1</v>
      </c>
      <c r="DZ459" s="79">
        <f t="shared" si="601"/>
        <v>0</v>
      </c>
      <c r="EA459" s="79">
        <f t="shared" si="602"/>
        <v>0</v>
      </c>
      <c r="EB459" s="79">
        <f t="shared" si="603"/>
        <v>0</v>
      </c>
      <c r="EC459" s="79">
        <f t="shared" si="604"/>
        <v>0</v>
      </c>
      <c r="ED459" s="79">
        <v>1</v>
      </c>
      <c r="EE459" s="79">
        <v>1</v>
      </c>
      <c r="EF459" s="79">
        <f t="shared" si="605"/>
        <v>0</v>
      </c>
      <c r="EG459" s="79">
        <v>1</v>
      </c>
      <c r="EH459" s="79">
        <v>1</v>
      </c>
      <c r="EI459" s="79">
        <v>1</v>
      </c>
      <c r="EJ459" s="79">
        <v>1</v>
      </c>
      <c r="EK459" s="79">
        <v>1</v>
      </c>
      <c r="EL459" s="79">
        <v>1</v>
      </c>
      <c r="EM459" s="143">
        <f t="shared" si="606"/>
        <v>0</v>
      </c>
      <c r="EN459" s="143">
        <f t="shared" si="607"/>
        <v>0</v>
      </c>
      <c r="EO459" s="82">
        <f t="shared" si="608"/>
        <v>0</v>
      </c>
    </row>
    <row r="460" spans="1:145" x14ac:dyDescent="0.25">
      <c r="A460">
        <v>446</v>
      </c>
      <c r="B460" s="172" t="e">
        <f t="shared" si="580"/>
        <v>#N/A</v>
      </c>
      <c r="C460" s="121" t="e">
        <f t="shared" si="558"/>
        <v>#N/A</v>
      </c>
      <c r="D460" s="122" t="e">
        <f t="shared" si="559"/>
        <v>#N/A</v>
      </c>
      <c r="E460" s="122" t="e">
        <f t="shared" si="560"/>
        <v>#N/A</v>
      </c>
      <c r="F460" s="176" t="e">
        <f t="shared" si="561"/>
        <v>#N/A</v>
      </c>
      <c r="G460" s="121">
        <f t="shared" si="581"/>
        <v>208</v>
      </c>
      <c r="H460" s="176" t="e">
        <f t="shared" si="582"/>
        <v>#N/A</v>
      </c>
      <c r="I460" s="48">
        <v>1</v>
      </c>
      <c r="J460" s="39"/>
      <c r="K460" s="350">
        <v>1</v>
      </c>
      <c r="L460" s="34" t="e">
        <f t="shared" si="562"/>
        <v>#N/A</v>
      </c>
      <c r="M460" s="38" t="e">
        <f>(HLOOKUP(J460,'Construction Times'!$B$3:$W$34,L460+2,FALSE)*HLOOKUP("hq modifier",'Construction Times'!$W$3:$W$34,BS460+2,FALSE))*(1-$H$9)</f>
        <v>#N/A</v>
      </c>
      <c r="N460" s="443" t="e">
        <f t="shared" si="583"/>
        <v>#N/A</v>
      </c>
      <c r="O460" s="444"/>
      <c r="P460" s="447" t="e">
        <f t="shared" si="584"/>
        <v>#N/A</v>
      </c>
      <c r="Q460" s="448"/>
      <c r="R460" s="103">
        <f t="shared" si="642"/>
        <v>0</v>
      </c>
      <c r="S460" s="104">
        <f t="shared" si="642"/>
        <v>0</v>
      </c>
      <c r="T460" s="104">
        <f t="shared" si="643"/>
        <v>0</v>
      </c>
      <c r="U460" s="104">
        <f t="shared" si="643"/>
        <v>0</v>
      </c>
      <c r="V460" s="104">
        <f t="shared" si="643"/>
        <v>9.9999999999999995E-8</v>
      </c>
      <c r="W460" s="104">
        <f t="shared" si="643"/>
        <v>0</v>
      </c>
      <c r="X460" s="104">
        <f t="shared" si="639"/>
        <v>0</v>
      </c>
      <c r="Y460" s="104">
        <f t="shared" si="639"/>
        <v>9.9999999999999995E-8</v>
      </c>
      <c r="Z460" s="104">
        <f t="shared" si="639"/>
        <v>9.9999999999999995E-8</v>
      </c>
      <c r="AA460" s="105">
        <f t="shared" si="639"/>
        <v>9.9999999999999995E-8</v>
      </c>
      <c r="AB460" s="101" t="e">
        <f>$DT460*HLOOKUP($J460,'Construction Costs (timber)'!$B$1:$V$32,'Construction Planner'!$L460+2,FALSE)</f>
        <v>#N/A</v>
      </c>
      <c r="AC460" s="14" t="e">
        <f>$DT460*HLOOKUP($J460,'Construction Costs (clay)'!$B$1:$V$32,'Construction Planner'!$L460+2,FALSE)</f>
        <v>#N/A</v>
      </c>
      <c r="AD460" s="14" t="e">
        <f>$DT460*HLOOKUP($J460,'Construction Costs (iron)'!$B$1:$V$32,'Construction Planner'!$L460+2,FALSE)</f>
        <v>#N/A</v>
      </c>
      <c r="AE460" s="34" t="e">
        <f t="shared" si="619"/>
        <v>#N/A</v>
      </c>
      <c r="AF460" s="33" t="e">
        <f t="shared" si="563"/>
        <v>#N/A</v>
      </c>
      <c r="AG460" s="14" t="e">
        <f t="shared" si="564"/>
        <v>#N/A</v>
      </c>
      <c r="AH460" s="14" t="e">
        <f t="shared" si="565"/>
        <v>#N/A</v>
      </c>
      <c r="AI460" s="34" t="e">
        <f t="shared" si="620"/>
        <v>#N/A</v>
      </c>
      <c r="AJ460" s="49" t="e">
        <f t="shared" si="585"/>
        <v>#N/A</v>
      </c>
      <c r="AK460" s="49" t="e">
        <f t="shared" si="586"/>
        <v>#N/A</v>
      </c>
      <c r="AL460" s="49" t="e">
        <f t="shared" si="587"/>
        <v>#N/A</v>
      </c>
      <c r="AM460" s="25">
        <f t="shared" si="566"/>
        <v>30</v>
      </c>
      <c r="AN460" s="25">
        <f t="shared" si="567"/>
        <v>30</v>
      </c>
      <c r="AO460" s="25">
        <f t="shared" si="568"/>
        <v>30</v>
      </c>
      <c r="AP460" s="52" t="e">
        <f t="shared" si="640"/>
        <v>#N/A</v>
      </c>
      <c r="AQ460" s="53" t="e">
        <f t="shared" si="640"/>
        <v>#N/A</v>
      </c>
      <c r="AR460" s="54" t="e">
        <f t="shared" si="640"/>
        <v>#N/A</v>
      </c>
      <c r="AS460" s="316">
        <f t="shared" si="648"/>
        <v>0</v>
      </c>
      <c r="AT460" s="106">
        <f>_xlfn.IFNA($M460/VLOOKUP($BT460,'Unit information'!$A$2:$K$29,2,FALSE)*R460,0)*(1+$E$9)</f>
        <v>0</v>
      </c>
      <c r="AU460" s="107">
        <f>_xlfn.IFNA($M460/VLOOKUP($BT460,'Unit information'!$A$2:$K$29,3,FALSE)*S460,0)*(1+$E$9)</f>
        <v>0</v>
      </c>
      <c r="AV460" s="107">
        <f>_xlfn.IFNA($M460/VLOOKUP($BT460,'Unit information'!$A$2:$K$29,4,FALSE)*T460,0)*(1+$E$9)</f>
        <v>0</v>
      </c>
      <c r="AW460" s="107">
        <f>_xlfn.IFNA($M460/VLOOKUP($BT460,'Unit information'!$A$2:$K$29,5,FALSE)*U460,0)*(1+$E$9)</f>
        <v>0</v>
      </c>
      <c r="AX460" s="107">
        <f>_xlfn.IFNA($M460/VLOOKUP($BU460,'Unit information'!$A$2:$K$29,6,FALSE)*V460,0)*(1+$E$9)</f>
        <v>0</v>
      </c>
      <c r="AY460" s="107">
        <f>_xlfn.IFNA($M460/VLOOKUP($BU460,'Unit information'!$A$2:$K$29,7,FALSE)*W460,0)*(1+$E$9)</f>
        <v>0</v>
      </c>
      <c r="AZ460" s="107">
        <f>_xlfn.IFNA($M460/VLOOKUP($BU460,'Unit information'!$A$2:$K$29,8,FALSE)*X460,0)*(1+$E$9)</f>
        <v>0</v>
      </c>
      <c r="BA460" s="107">
        <f>_xlfn.IFNA($M460/VLOOKUP($BU460,'Unit information'!$A$2:$K$29,9,FALSE)*Y460,0)*(1+$E$9)</f>
        <v>0</v>
      </c>
      <c r="BB460" s="107">
        <f>_xlfn.IFNA($M460/VLOOKUP($BV460,'Unit information'!$A$2:$K$29,10,FALSE)*Z460,0)*(1+$E$9)</f>
        <v>0</v>
      </c>
      <c r="BC460" s="108">
        <f>_xlfn.IFNA($M460/VLOOKUP($BV460,'Unit information'!$A$2:$K$29,11,FALSE)*AA460,0)*(1+$E$9)</f>
        <v>0</v>
      </c>
      <c r="BD460" s="106">
        <f t="shared" si="569"/>
        <v>0</v>
      </c>
      <c r="BE460" s="107">
        <f t="shared" si="570"/>
        <v>0</v>
      </c>
      <c r="BF460" s="108">
        <f t="shared" si="571"/>
        <v>0</v>
      </c>
      <c r="BG460" s="25" t="e">
        <f t="shared" si="572"/>
        <v>#N/A</v>
      </c>
      <c r="BH460" s="25" t="e">
        <f t="shared" si="573"/>
        <v>#N/A</v>
      </c>
      <c r="BI460" s="25" t="e">
        <f t="shared" si="574"/>
        <v>#N/A</v>
      </c>
      <c r="BJ460" s="27" t="e">
        <f t="shared" si="575"/>
        <v>#N/A</v>
      </c>
      <c r="BK460" s="18" t="e">
        <f t="shared" si="576"/>
        <v>#N/A</v>
      </c>
      <c r="BL460" s="18" t="e">
        <f t="shared" si="577"/>
        <v>#N/A</v>
      </c>
      <c r="BM460" s="28" t="e">
        <f t="shared" si="622"/>
        <v>#N/A</v>
      </c>
      <c r="BN460" s="33">
        <f>HLOOKUP("maximum population",Miscelaneous!$C$1:$C$33,CH460+3,FALSE)</f>
        <v>240</v>
      </c>
      <c r="BO460" s="14">
        <f t="shared" si="589"/>
        <v>32</v>
      </c>
      <c r="BP460" s="14">
        <f t="shared" si="590"/>
        <v>0</v>
      </c>
      <c r="BQ460" s="14">
        <f t="shared" si="591"/>
        <v>208</v>
      </c>
      <c r="BR460" s="34" t="e">
        <f>HLOOKUP(J460,Villagers!$B$1:$V$33,L460+3,FALSE)-HLOOKUP(J460,Villagers!$B$1:$V$33,L460+2,FALSE)</f>
        <v>#N/A</v>
      </c>
      <c r="BS460" s="49">
        <f t="shared" si="592"/>
        <v>1</v>
      </c>
      <c r="BT460" s="50">
        <f t="shared" si="593"/>
        <v>0</v>
      </c>
      <c r="BU460" s="50">
        <f t="shared" si="594"/>
        <v>0</v>
      </c>
      <c r="BV460" s="50">
        <f t="shared" si="595"/>
        <v>0</v>
      </c>
      <c r="BW460" s="50">
        <f t="shared" si="650"/>
        <v>0</v>
      </c>
      <c r="BX460" s="50">
        <f t="shared" si="649"/>
        <v>0</v>
      </c>
      <c r="BY460" s="50">
        <f t="shared" si="649"/>
        <v>0</v>
      </c>
      <c r="BZ460" s="50">
        <f t="shared" si="623"/>
        <v>0</v>
      </c>
      <c r="CA460" s="50">
        <f t="shared" si="624"/>
        <v>0</v>
      </c>
      <c r="CB460" s="50">
        <f t="shared" si="625"/>
        <v>1</v>
      </c>
      <c r="CC460" s="50">
        <f t="shared" si="626"/>
        <v>0</v>
      </c>
      <c r="CD460" s="50">
        <f t="shared" si="627"/>
        <v>0</v>
      </c>
      <c r="CE460" s="50">
        <f t="shared" si="628"/>
        <v>1</v>
      </c>
      <c r="CF460" s="50">
        <f t="shared" si="629"/>
        <v>1</v>
      </c>
      <c r="CG460" s="50">
        <f t="shared" si="630"/>
        <v>1</v>
      </c>
      <c r="CH460" s="50">
        <f t="shared" si="631"/>
        <v>1</v>
      </c>
      <c r="CI460" s="50">
        <f t="shared" si="632"/>
        <v>1</v>
      </c>
      <c r="CJ460" s="50">
        <f t="shared" si="633"/>
        <v>1</v>
      </c>
      <c r="CK460" s="50">
        <f t="shared" si="633"/>
        <v>0</v>
      </c>
      <c r="CL460" s="50">
        <f t="shared" si="633"/>
        <v>0</v>
      </c>
      <c r="CM460" s="51">
        <f t="shared" si="634"/>
        <v>0</v>
      </c>
      <c r="CN460" s="33">
        <f>ROUND(IF(BS460=0,0,HLOOKUP(BS$14,Villagers!$B$1:$V$33,BS460+3,FALSE)),)</f>
        <v>5</v>
      </c>
      <c r="CO460" s="14">
        <f>ROUND(IF(BT460=0,0,HLOOKUP(BT$14,Villagers!$B$1:$V$33,BT460+3,FALSE)),)</f>
        <v>0</v>
      </c>
      <c r="CP460" s="14">
        <f>ROUND(IF(BU460=0,0,HLOOKUP(BU$14,Villagers!$B$1:$V$33,BU460+3,FALSE)),)</f>
        <v>0</v>
      </c>
      <c r="CQ460" s="14">
        <f>ROUND(IF(BV460=0,0,HLOOKUP(BV$14,Villagers!$B$1:$V$33,BV460+3,FALSE)),)</f>
        <v>0</v>
      </c>
      <c r="CR460" s="14">
        <f>ROUND(IF(BW460=0,0,HLOOKUP(BW$14,Villagers!$B$1:$V$33,BW460+3,FALSE)),)</f>
        <v>0</v>
      </c>
      <c r="CS460" s="14">
        <f>ROUND(IF(BX460=0,0,HLOOKUP(BX$14,Villagers!$B$1:$V$33,BX460+3,FALSE)),)</f>
        <v>0</v>
      </c>
      <c r="CT460" s="14">
        <f>ROUND(IF(BY460=0,0,HLOOKUP(BY$14,Villagers!$B$1:$V$33,BY460+3,FALSE)),)</f>
        <v>0</v>
      </c>
      <c r="CU460" s="14">
        <f>ROUND(IF(BZ460=0,0,HLOOKUP(BZ$14,Villagers!$B$1:$V$33,BZ460+3,FALSE)),)</f>
        <v>0</v>
      </c>
      <c r="CV460" s="14">
        <f>ROUND(IF(CA460=0,0,HLOOKUP(CA$14,Villagers!$B$1:$V$33,CA460+3,FALSE)),)</f>
        <v>0</v>
      </c>
      <c r="CW460" s="14">
        <f>ROUND(IF(CB460=0,0,HLOOKUP(CB$14,Villagers!$B$1:$V$33,CB460+3,FALSE)),)</f>
        <v>0</v>
      </c>
      <c r="CX460" s="14">
        <f>ROUND(IF(CC460=0,0,HLOOKUP(CC$14,Villagers!$B$1:$V$33,CC460+3,FALSE)),)</f>
        <v>0</v>
      </c>
      <c r="CY460" s="14">
        <f>ROUND(IF(CD460=0,0,HLOOKUP(CD$14,Villagers!$B$1:$V$33,CD460+3,FALSE)),)</f>
        <v>0</v>
      </c>
      <c r="CZ460" s="14">
        <f>ROUND(IF(CE460=0,0,HLOOKUP(CE$14,Villagers!$B$1:$V$33,CE460+3,FALSE)),)</f>
        <v>5</v>
      </c>
      <c r="DA460" s="14">
        <f>ROUND(IF(CF460=0,0,HLOOKUP(CF$14,Villagers!$B$1:$V$33,CF460+3,FALSE)),)</f>
        <v>10</v>
      </c>
      <c r="DB460" s="14">
        <f>ROUND(IF(CG460=0,0,HLOOKUP(CG$14,Villagers!$B$1:$V$33,CG460+3,FALSE)),)</f>
        <v>10</v>
      </c>
      <c r="DC460" s="14">
        <f>ROUND(IF(CH460=0,0,HLOOKUP(CH$14,Villagers!$B$1:$V$33,CH460+3,FALSE)),)</f>
        <v>0</v>
      </c>
      <c r="DD460" s="14">
        <f>ROUND(IF(CI460=0,0,HLOOKUP(CI$14,Villagers!$B$1:$V$33,CI460+3,FALSE)),)</f>
        <v>0</v>
      </c>
      <c r="DE460" s="14">
        <f>ROUND(IF(CJ460=0,0,HLOOKUP(CJ$14,Villagers!$B$1:$V$33,CJ460+3,FALSE)),)</f>
        <v>2</v>
      </c>
      <c r="DF460" s="370">
        <f>ROUND(IF(CK460=0,0,HLOOKUP(CK$14,Villagers!$B$1:$V$33,CK460+3,FALSE)),)</f>
        <v>0</v>
      </c>
      <c r="DG460" s="370">
        <f>ROUND(IF(CL460=0,0,HLOOKUP(CL$14,Villagers!$B$1:$V$33,CL460+3,FALSE)),)</f>
        <v>0</v>
      </c>
      <c r="DH460" s="34">
        <f>ROUND(IF(CM460=0,0,HLOOKUP(CM$14,Villagers!$B$1:$V$33,CM460+3,FALSE)),)</f>
        <v>0</v>
      </c>
      <c r="DI460" s="109">
        <f t="shared" si="611"/>
        <v>0</v>
      </c>
      <c r="DJ460" s="50">
        <f t="shared" si="612"/>
        <v>0</v>
      </c>
      <c r="DK460" s="50">
        <f t="shared" si="613"/>
        <v>0</v>
      </c>
      <c r="DL460" s="50">
        <f t="shared" si="614"/>
        <v>0</v>
      </c>
      <c r="DM460" s="50">
        <f t="shared" si="615"/>
        <v>0</v>
      </c>
      <c r="DN460" s="50">
        <f t="shared" si="616"/>
        <v>0</v>
      </c>
      <c r="DO460" s="50">
        <f t="shared" si="617"/>
        <v>0</v>
      </c>
      <c r="DP460" s="50">
        <f t="shared" si="618"/>
        <v>0</v>
      </c>
      <c r="DQ460" s="50">
        <f t="shared" si="596"/>
        <v>0</v>
      </c>
      <c r="DR460" s="50">
        <f t="shared" si="597"/>
        <v>0</v>
      </c>
      <c r="DS460" s="96">
        <f>Miscelaneous!$D$4*Miscelaneous!$D$2^($CI460-1)</f>
        <v>1000</v>
      </c>
      <c r="DT460" s="333">
        <f t="shared" si="579"/>
        <v>1</v>
      </c>
      <c r="DU460" s="81">
        <v>1</v>
      </c>
      <c r="DV460" s="79">
        <f t="shared" si="598"/>
        <v>0</v>
      </c>
      <c r="DW460" s="79">
        <f t="shared" si="599"/>
        <v>0</v>
      </c>
      <c r="DX460" s="79">
        <f t="shared" si="600"/>
        <v>0</v>
      </c>
      <c r="DY460" s="79">
        <v>1</v>
      </c>
      <c r="DZ460" s="79">
        <f t="shared" si="601"/>
        <v>0</v>
      </c>
      <c r="EA460" s="79">
        <f t="shared" si="602"/>
        <v>0</v>
      </c>
      <c r="EB460" s="79">
        <f t="shared" si="603"/>
        <v>0</v>
      </c>
      <c r="EC460" s="79">
        <f t="shared" si="604"/>
        <v>0</v>
      </c>
      <c r="ED460" s="79">
        <v>1</v>
      </c>
      <c r="EE460" s="79">
        <v>1</v>
      </c>
      <c r="EF460" s="79">
        <f t="shared" si="605"/>
        <v>0</v>
      </c>
      <c r="EG460" s="79">
        <v>1</v>
      </c>
      <c r="EH460" s="79">
        <v>1</v>
      </c>
      <c r="EI460" s="79">
        <v>1</v>
      </c>
      <c r="EJ460" s="79">
        <v>1</v>
      </c>
      <c r="EK460" s="79">
        <v>1</v>
      </c>
      <c r="EL460" s="79">
        <v>1</v>
      </c>
      <c r="EM460" s="143">
        <f t="shared" si="606"/>
        <v>0</v>
      </c>
      <c r="EN460" s="143">
        <f t="shared" si="607"/>
        <v>0</v>
      </c>
      <c r="EO460" s="82">
        <f t="shared" si="608"/>
        <v>0</v>
      </c>
    </row>
    <row r="461" spans="1:145" x14ac:dyDescent="0.25">
      <c r="A461">
        <v>447</v>
      </c>
      <c r="B461" s="172" t="e">
        <f t="shared" si="580"/>
        <v>#N/A</v>
      </c>
      <c r="C461" s="121" t="e">
        <f t="shared" si="558"/>
        <v>#N/A</v>
      </c>
      <c r="D461" s="122" t="e">
        <f t="shared" si="559"/>
        <v>#N/A</v>
      </c>
      <c r="E461" s="122" t="e">
        <f t="shared" si="560"/>
        <v>#N/A</v>
      </c>
      <c r="F461" s="176" t="e">
        <f t="shared" si="561"/>
        <v>#N/A</v>
      </c>
      <c r="G461" s="121">
        <f t="shared" si="581"/>
        <v>208</v>
      </c>
      <c r="H461" s="176" t="e">
        <f t="shared" si="582"/>
        <v>#N/A</v>
      </c>
      <c r="I461" s="48">
        <v>1</v>
      </c>
      <c r="J461" s="39"/>
      <c r="K461" s="350">
        <v>1</v>
      </c>
      <c r="L461" s="34" t="e">
        <f t="shared" si="562"/>
        <v>#N/A</v>
      </c>
      <c r="M461" s="38" t="e">
        <f>(HLOOKUP(J461,'Construction Times'!$B$3:$W$34,L461+2,FALSE)*HLOOKUP("hq modifier",'Construction Times'!$W$3:$W$34,BS461+2,FALSE))*(1-$H$9)</f>
        <v>#N/A</v>
      </c>
      <c r="N461" s="443" t="e">
        <f t="shared" si="583"/>
        <v>#N/A</v>
      </c>
      <c r="O461" s="444"/>
      <c r="P461" s="447" t="e">
        <f t="shared" si="584"/>
        <v>#N/A</v>
      </c>
      <c r="Q461" s="448"/>
      <c r="R461" s="103">
        <f t="shared" si="642"/>
        <v>0</v>
      </c>
      <c r="S461" s="104">
        <f t="shared" si="642"/>
        <v>0</v>
      </c>
      <c r="T461" s="104">
        <f t="shared" si="643"/>
        <v>0</v>
      </c>
      <c r="U461" s="104">
        <f t="shared" si="643"/>
        <v>0</v>
      </c>
      <c r="V461" s="104">
        <f t="shared" si="643"/>
        <v>9.9999999999999995E-8</v>
      </c>
      <c r="W461" s="104">
        <f t="shared" si="643"/>
        <v>0</v>
      </c>
      <c r="X461" s="104">
        <f t="shared" ref="X461:AA492" si="651">X460</f>
        <v>0</v>
      </c>
      <c r="Y461" s="104">
        <f t="shared" si="651"/>
        <v>9.9999999999999995E-8</v>
      </c>
      <c r="Z461" s="104">
        <f t="shared" si="651"/>
        <v>9.9999999999999995E-8</v>
      </c>
      <c r="AA461" s="105">
        <f t="shared" si="651"/>
        <v>9.9999999999999995E-8</v>
      </c>
      <c r="AB461" s="101" t="e">
        <f>$DT461*HLOOKUP($J461,'Construction Costs (timber)'!$B$1:$V$32,'Construction Planner'!$L461+2,FALSE)</f>
        <v>#N/A</v>
      </c>
      <c r="AC461" s="14" t="e">
        <f>$DT461*HLOOKUP($J461,'Construction Costs (clay)'!$B$1:$V$32,'Construction Planner'!$L461+2,FALSE)</f>
        <v>#N/A</v>
      </c>
      <c r="AD461" s="14" t="e">
        <f>$DT461*HLOOKUP($J461,'Construction Costs (iron)'!$B$1:$V$32,'Construction Planner'!$L461+2,FALSE)</f>
        <v>#N/A</v>
      </c>
      <c r="AE461" s="34" t="e">
        <f t="shared" si="619"/>
        <v>#N/A</v>
      </c>
      <c r="AF461" s="33" t="e">
        <f t="shared" si="563"/>
        <v>#N/A</v>
      </c>
      <c r="AG461" s="14" t="e">
        <f t="shared" si="564"/>
        <v>#N/A</v>
      </c>
      <c r="AH461" s="14" t="e">
        <f t="shared" si="565"/>
        <v>#N/A</v>
      </c>
      <c r="AI461" s="34" t="e">
        <f t="shared" si="620"/>
        <v>#N/A</v>
      </c>
      <c r="AJ461" s="49" t="e">
        <f t="shared" si="585"/>
        <v>#N/A</v>
      </c>
      <c r="AK461" s="49" t="e">
        <f t="shared" si="586"/>
        <v>#N/A</v>
      </c>
      <c r="AL461" s="49" t="e">
        <f t="shared" si="587"/>
        <v>#N/A</v>
      </c>
      <c r="AM461" s="25">
        <f t="shared" si="566"/>
        <v>30</v>
      </c>
      <c r="AN461" s="25">
        <f t="shared" si="567"/>
        <v>30</v>
      </c>
      <c r="AO461" s="25">
        <f t="shared" si="568"/>
        <v>30</v>
      </c>
      <c r="AP461" s="52" t="e">
        <f t="shared" si="640"/>
        <v>#N/A</v>
      </c>
      <c r="AQ461" s="53" t="e">
        <f t="shared" si="640"/>
        <v>#N/A</v>
      </c>
      <c r="AR461" s="54" t="e">
        <f t="shared" si="640"/>
        <v>#N/A</v>
      </c>
      <c r="AS461" s="316">
        <f t="shared" si="648"/>
        <v>0</v>
      </c>
      <c r="AT461" s="106">
        <f>_xlfn.IFNA($M461/VLOOKUP($BT461,'Unit information'!$A$2:$K$29,2,FALSE)*R461,0)*(1+$E$9)</f>
        <v>0</v>
      </c>
      <c r="AU461" s="107">
        <f>_xlfn.IFNA($M461/VLOOKUP($BT461,'Unit information'!$A$2:$K$29,3,FALSE)*S461,0)*(1+$E$9)</f>
        <v>0</v>
      </c>
      <c r="AV461" s="107">
        <f>_xlfn.IFNA($M461/VLOOKUP($BT461,'Unit information'!$A$2:$K$29,4,FALSE)*T461,0)*(1+$E$9)</f>
        <v>0</v>
      </c>
      <c r="AW461" s="107">
        <f>_xlfn.IFNA($M461/VLOOKUP($BT461,'Unit information'!$A$2:$K$29,5,FALSE)*U461,0)*(1+$E$9)</f>
        <v>0</v>
      </c>
      <c r="AX461" s="107">
        <f>_xlfn.IFNA($M461/VLOOKUP($BU461,'Unit information'!$A$2:$K$29,6,FALSE)*V461,0)*(1+$E$9)</f>
        <v>0</v>
      </c>
      <c r="AY461" s="107">
        <f>_xlfn.IFNA($M461/VLOOKUP($BU461,'Unit information'!$A$2:$K$29,7,FALSE)*W461,0)*(1+$E$9)</f>
        <v>0</v>
      </c>
      <c r="AZ461" s="107">
        <f>_xlfn.IFNA($M461/VLOOKUP($BU461,'Unit information'!$A$2:$K$29,8,FALSE)*X461,0)*(1+$E$9)</f>
        <v>0</v>
      </c>
      <c r="BA461" s="107">
        <f>_xlfn.IFNA($M461/VLOOKUP($BU461,'Unit information'!$A$2:$K$29,9,FALSE)*Y461,0)*(1+$E$9)</f>
        <v>0</v>
      </c>
      <c r="BB461" s="107">
        <f>_xlfn.IFNA($M461/VLOOKUP($BV461,'Unit information'!$A$2:$K$29,10,FALSE)*Z461,0)*(1+$E$9)</f>
        <v>0</v>
      </c>
      <c r="BC461" s="108">
        <f>_xlfn.IFNA($M461/VLOOKUP($BV461,'Unit information'!$A$2:$K$29,11,FALSE)*AA461,0)*(1+$E$9)</f>
        <v>0</v>
      </c>
      <c r="BD461" s="106">
        <f t="shared" si="569"/>
        <v>0</v>
      </c>
      <c r="BE461" s="107">
        <f t="shared" si="570"/>
        <v>0</v>
      </c>
      <c r="BF461" s="108">
        <f t="shared" si="571"/>
        <v>0</v>
      </c>
      <c r="BG461" s="25" t="e">
        <f t="shared" si="572"/>
        <v>#N/A</v>
      </c>
      <c r="BH461" s="25" t="e">
        <f t="shared" si="573"/>
        <v>#N/A</v>
      </c>
      <c r="BI461" s="25" t="e">
        <f t="shared" si="574"/>
        <v>#N/A</v>
      </c>
      <c r="BJ461" s="27" t="e">
        <f t="shared" si="575"/>
        <v>#N/A</v>
      </c>
      <c r="BK461" s="18" t="e">
        <f t="shared" si="576"/>
        <v>#N/A</v>
      </c>
      <c r="BL461" s="18" t="e">
        <f t="shared" si="577"/>
        <v>#N/A</v>
      </c>
      <c r="BM461" s="28" t="e">
        <f t="shared" si="622"/>
        <v>#N/A</v>
      </c>
      <c r="BN461" s="33">
        <f>HLOOKUP("maximum population",Miscelaneous!$C$1:$C$33,CH461+3,FALSE)</f>
        <v>240</v>
      </c>
      <c r="BO461" s="14">
        <f t="shared" si="589"/>
        <v>32</v>
      </c>
      <c r="BP461" s="14">
        <f t="shared" si="590"/>
        <v>0</v>
      </c>
      <c r="BQ461" s="14">
        <f t="shared" si="591"/>
        <v>208</v>
      </c>
      <c r="BR461" s="34" t="e">
        <f>HLOOKUP(J461,Villagers!$B$1:$V$33,L461+3,FALSE)-HLOOKUP(J461,Villagers!$B$1:$V$33,L461+2,FALSE)</f>
        <v>#N/A</v>
      </c>
      <c r="BS461" s="49">
        <f t="shared" si="592"/>
        <v>1</v>
      </c>
      <c r="BT461" s="50">
        <f t="shared" si="593"/>
        <v>0</v>
      </c>
      <c r="BU461" s="50">
        <f t="shared" si="594"/>
        <v>0</v>
      </c>
      <c r="BV461" s="50">
        <f t="shared" si="595"/>
        <v>0</v>
      </c>
      <c r="BW461" s="50">
        <f t="shared" si="650"/>
        <v>0</v>
      </c>
      <c r="BX461" s="50">
        <f t="shared" si="649"/>
        <v>0</v>
      </c>
      <c r="BY461" s="50">
        <f t="shared" si="649"/>
        <v>0</v>
      </c>
      <c r="BZ461" s="50">
        <f t="shared" si="623"/>
        <v>0</v>
      </c>
      <c r="CA461" s="50">
        <f t="shared" si="624"/>
        <v>0</v>
      </c>
      <c r="CB461" s="50">
        <f t="shared" si="625"/>
        <v>1</v>
      </c>
      <c r="CC461" s="50">
        <f t="shared" si="626"/>
        <v>0</v>
      </c>
      <c r="CD461" s="50">
        <f t="shared" si="627"/>
        <v>0</v>
      </c>
      <c r="CE461" s="50">
        <f t="shared" si="628"/>
        <v>1</v>
      </c>
      <c r="CF461" s="50">
        <f t="shared" si="629"/>
        <v>1</v>
      </c>
      <c r="CG461" s="50">
        <f t="shared" si="630"/>
        <v>1</v>
      </c>
      <c r="CH461" s="50">
        <f t="shared" si="631"/>
        <v>1</v>
      </c>
      <c r="CI461" s="50">
        <f t="shared" si="632"/>
        <v>1</v>
      </c>
      <c r="CJ461" s="50">
        <f t="shared" si="633"/>
        <v>1</v>
      </c>
      <c r="CK461" s="50">
        <f t="shared" si="633"/>
        <v>0</v>
      </c>
      <c r="CL461" s="50">
        <f t="shared" si="633"/>
        <v>0</v>
      </c>
      <c r="CM461" s="51">
        <f t="shared" si="634"/>
        <v>0</v>
      </c>
      <c r="CN461" s="33">
        <f>ROUND(IF(BS461=0,0,HLOOKUP(BS$14,Villagers!$B$1:$V$33,BS461+3,FALSE)),)</f>
        <v>5</v>
      </c>
      <c r="CO461" s="14">
        <f>ROUND(IF(BT461=0,0,HLOOKUP(BT$14,Villagers!$B$1:$V$33,BT461+3,FALSE)),)</f>
        <v>0</v>
      </c>
      <c r="CP461" s="14">
        <f>ROUND(IF(BU461=0,0,HLOOKUP(BU$14,Villagers!$B$1:$V$33,BU461+3,FALSE)),)</f>
        <v>0</v>
      </c>
      <c r="CQ461" s="14">
        <f>ROUND(IF(BV461=0,0,HLOOKUP(BV$14,Villagers!$B$1:$V$33,BV461+3,FALSE)),)</f>
        <v>0</v>
      </c>
      <c r="CR461" s="14">
        <f>ROUND(IF(BW461=0,0,HLOOKUP(BW$14,Villagers!$B$1:$V$33,BW461+3,FALSE)),)</f>
        <v>0</v>
      </c>
      <c r="CS461" s="14">
        <f>ROUND(IF(BX461=0,0,HLOOKUP(BX$14,Villagers!$B$1:$V$33,BX461+3,FALSE)),)</f>
        <v>0</v>
      </c>
      <c r="CT461" s="14">
        <f>ROUND(IF(BY461=0,0,HLOOKUP(BY$14,Villagers!$B$1:$V$33,BY461+3,FALSE)),)</f>
        <v>0</v>
      </c>
      <c r="CU461" s="14">
        <f>ROUND(IF(BZ461=0,0,HLOOKUP(BZ$14,Villagers!$B$1:$V$33,BZ461+3,FALSE)),)</f>
        <v>0</v>
      </c>
      <c r="CV461" s="14">
        <f>ROUND(IF(CA461=0,0,HLOOKUP(CA$14,Villagers!$B$1:$V$33,CA461+3,FALSE)),)</f>
        <v>0</v>
      </c>
      <c r="CW461" s="14">
        <f>ROUND(IF(CB461=0,0,HLOOKUP(CB$14,Villagers!$B$1:$V$33,CB461+3,FALSE)),)</f>
        <v>0</v>
      </c>
      <c r="CX461" s="14">
        <f>ROUND(IF(CC461=0,0,HLOOKUP(CC$14,Villagers!$B$1:$V$33,CC461+3,FALSE)),)</f>
        <v>0</v>
      </c>
      <c r="CY461" s="14">
        <f>ROUND(IF(CD461=0,0,HLOOKUP(CD$14,Villagers!$B$1:$V$33,CD461+3,FALSE)),)</f>
        <v>0</v>
      </c>
      <c r="CZ461" s="14">
        <f>ROUND(IF(CE461=0,0,HLOOKUP(CE$14,Villagers!$B$1:$V$33,CE461+3,FALSE)),)</f>
        <v>5</v>
      </c>
      <c r="DA461" s="14">
        <f>ROUND(IF(CF461=0,0,HLOOKUP(CF$14,Villagers!$B$1:$V$33,CF461+3,FALSE)),)</f>
        <v>10</v>
      </c>
      <c r="DB461" s="14">
        <f>ROUND(IF(CG461=0,0,HLOOKUP(CG$14,Villagers!$B$1:$V$33,CG461+3,FALSE)),)</f>
        <v>10</v>
      </c>
      <c r="DC461" s="14">
        <f>ROUND(IF(CH461=0,0,HLOOKUP(CH$14,Villagers!$B$1:$V$33,CH461+3,FALSE)),)</f>
        <v>0</v>
      </c>
      <c r="DD461" s="14">
        <f>ROUND(IF(CI461=0,0,HLOOKUP(CI$14,Villagers!$B$1:$V$33,CI461+3,FALSE)),)</f>
        <v>0</v>
      </c>
      <c r="DE461" s="14">
        <f>ROUND(IF(CJ461=0,0,HLOOKUP(CJ$14,Villagers!$B$1:$V$33,CJ461+3,FALSE)),)</f>
        <v>2</v>
      </c>
      <c r="DF461" s="370">
        <f>ROUND(IF(CK461=0,0,HLOOKUP(CK$14,Villagers!$B$1:$V$33,CK461+3,FALSE)),)</f>
        <v>0</v>
      </c>
      <c r="DG461" s="370">
        <f>ROUND(IF(CL461=0,0,HLOOKUP(CL$14,Villagers!$B$1:$V$33,CL461+3,FALSE)),)</f>
        <v>0</v>
      </c>
      <c r="DH461" s="34">
        <f>ROUND(IF(CM461=0,0,HLOOKUP(CM$14,Villagers!$B$1:$V$33,CM461+3,FALSE)),)</f>
        <v>0</v>
      </c>
      <c r="DI461" s="109">
        <f t="shared" si="611"/>
        <v>0</v>
      </c>
      <c r="DJ461" s="50">
        <f t="shared" si="612"/>
        <v>0</v>
      </c>
      <c r="DK461" s="50">
        <f t="shared" si="613"/>
        <v>0</v>
      </c>
      <c r="DL461" s="50">
        <f t="shared" si="614"/>
        <v>0</v>
      </c>
      <c r="DM461" s="50">
        <f t="shared" si="615"/>
        <v>0</v>
      </c>
      <c r="DN461" s="50">
        <f t="shared" si="616"/>
        <v>0</v>
      </c>
      <c r="DO461" s="50">
        <f t="shared" si="617"/>
        <v>0</v>
      </c>
      <c r="DP461" s="50">
        <f t="shared" si="618"/>
        <v>0</v>
      </c>
      <c r="DQ461" s="50">
        <f t="shared" si="596"/>
        <v>0</v>
      </c>
      <c r="DR461" s="50">
        <f t="shared" si="597"/>
        <v>0</v>
      </c>
      <c r="DS461" s="96">
        <f>Miscelaneous!$D$4*Miscelaneous!$D$2^($CI461-1)</f>
        <v>1000</v>
      </c>
      <c r="DT461" s="333">
        <f t="shared" si="579"/>
        <v>1</v>
      </c>
      <c r="DU461" s="81">
        <v>1</v>
      </c>
      <c r="DV461" s="79">
        <f t="shared" si="598"/>
        <v>0</v>
      </c>
      <c r="DW461" s="79">
        <f t="shared" si="599"/>
        <v>0</v>
      </c>
      <c r="DX461" s="79">
        <f t="shared" si="600"/>
        <v>0</v>
      </c>
      <c r="DY461" s="79">
        <v>1</v>
      </c>
      <c r="DZ461" s="79">
        <f t="shared" si="601"/>
        <v>0</v>
      </c>
      <c r="EA461" s="79">
        <f t="shared" si="602"/>
        <v>0</v>
      </c>
      <c r="EB461" s="79">
        <f t="shared" si="603"/>
        <v>0</v>
      </c>
      <c r="EC461" s="79">
        <f t="shared" si="604"/>
        <v>0</v>
      </c>
      <c r="ED461" s="79">
        <v>1</v>
      </c>
      <c r="EE461" s="79">
        <v>1</v>
      </c>
      <c r="EF461" s="79">
        <f t="shared" si="605"/>
        <v>0</v>
      </c>
      <c r="EG461" s="79">
        <v>1</v>
      </c>
      <c r="EH461" s="79">
        <v>1</v>
      </c>
      <c r="EI461" s="79">
        <v>1</v>
      </c>
      <c r="EJ461" s="79">
        <v>1</v>
      </c>
      <c r="EK461" s="79">
        <v>1</v>
      </c>
      <c r="EL461" s="79">
        <v>1</v>
      </c>
      <c r="EM461" s="143">
        <f t="shared" si="606"/>
        <v>0</v>
      </c>
      <c r="EN461" s="143">
        <f t="shared" si="607"/>
        <v>0</v>
      </c>
      <c r="EO461" s="82">
        <f t="shared" si="608"/>
        <v>0</v>
      </c>
    </row>
    <row r="462" spans="1:145" x14ac:dyDescent="0.25">
      <c r="A462">
        <v>448</v>
      </c>
      <c r="B462" s="172" t="e">
        <f t="shared" si="580"/>
        <v>#N/A</v>
      </c>
      <c r="C462" s="121" t="e">
        <f t="shared" si="558"/>
        <v>#N/A</v>
      </c>
      <c r="D462" s="122" t="e">
        <f t="shared" si="559"/>
        <v>#N/A</v>
      </c>
      <c r="E462" s="122" t="e">
        <f t="shared" si="560"/>
        <v>#N/A</v>
      </c>
      <c r="F462" s="176" t="e">
        <f t="shared" si="561"/>
        <v>#N/A</v>
      </c>
      <c r="G462" s="121">
        <f t="shared" si="581"/>
        <v>208</v>
      </c>
      <c r="H462" s="176" t="e">
        <f t="shared" si="582"/>
        <v>#N/A</v>
      </c>
      <c r="I462" s="48">
        <v>1</v>
      </c>
      <c r="J462" s="39"/>
      <c r="K462" s="350">
        <v>1</v>
      </c>
      <c r="L462" s="34" t="e">
        <f t="shared" si="562"/>
        <v>#N/A</v>
      </c>
      <c r="M462" s="38" t="e">
        <f>(HLOOKUP(J462,'Construction Times'!$B$3:$W$34,L462+2,FALSE)*HLOOKUP("hq modifier",'Construction Times'!$W$3:$W$34,BS462+2,FALSE))*(1-$H$9)</f>
        <v>#N/A</v>
      </c>
      <c r="N462" s="443" t="e">
        <f t="shared" si="583"/>
        <v>#N/A</v>
      </c>
      <c r="O462" s="444"/>
      <c r="P462" s="447" t="e">
        <f t="shared" si="584"/>
        <v>#N/A</v>
      </c>
      <c r="Q462" s="448"/>
      <c r="R462" s="103">
        <f t="shared" si="642"/>
        <v>0</v>
      </c>
      <c r="S462" s="104">
        <f t="shared" si="642"/>
        <v>0</v>
      </c>
      <c r="T462" s="104">
        <f t="shared" si="643"/>
        <v>0</v>
      </c>
      <c r="U462" s="104">
        <f t="shared" si="643"/>
        <v>0</v>
      </c>
      <c r="V462" s="104">
        <f t="shared" si="643"/>
        <v>9.9999999999999995E-8</v>
      </c>
      <c r="W462" s="104">
        <f t="shared" si="643"/>
        <v>0</v>
      </c>
      <c r="X462" s="104">
        <f t="shared" si="651"/>
        <v>0</v>
      </c>
      <c r="Y462" s="104">
        <f t="shared" si="651"/>
        <v>9.9999999999999995E-8</v>
      </c>
      <c r="Z462" s="104">
        <f t="shared" si="651"/>
        <v>9.9999999999999995E-8</v>
      </c>
      <c r="AA462" s="105">
        <f t="shared" si="651"/>
        <v>9.9999999999999995E-8</v>
      </c>
      <c r="AB462" s="101" t="e">
        <f>$DT462*HLOOKUP($J462,'Construction Costs (timber)'!$B$1:$V$32,'Construction Planner'!$L462+2,FALSE)</f>
        <v>#N/A</v>
      </c>
      <c r="AC462" s="14" t="e">
        <f>$DT462*HLOOKUP($J462,'Construction Costs (clay)'!$B$1:$V$32,'Construction Planner'!$L462+2,FALSE)</f>
        <v>#N/A</v>
      </c>
      <c r="AD462" s="14" t="e">
        <f>$DT462*HLOOKUP($J462,'Construction Costs (iron)'!$B$1:$V$32,'Construction Planner'!$L462+2,FALSE)</f>
        <v>#N/A</v>
      </c>
      <c r="AE462" s="34" t="e">
        <f t="shared" si="619"/>
        <v>#N/A</v>
      </c>
      <c r="AF462" s="33" t="e">
        <f t="shared" si="563"/>
        <v>#N/A</v>
      </c>
      <c r="AG462" s="14" t="e">
        <f t="shared" si="564"/>
        <v>#N/A</v>
      </c>
      <c r="AH462" s="14" t="e">
        <f t="shared" si="565"/>
        <v>#N/A</v>
      </c>
      <c r="AI462" s="34" t="e">
        <f t="shared" si="620"/>
        <v>#N/A</v>
      </c>
      <c r="AJ462" s="49" t="e">
        <f t="shared" si="585"/>
        <v>#N/A</v>
      </c>
      <c r="AK462" s="49" t="e">
        <f t="shared" si="586"/>
        <v>#N/A</v>
      </c>
      <c r="AL462" s="49" t="e">
        <f t="shared" si="587"/>
        <v>#N/A</v>
      </c>
      <c r="AM462" s="25">
        <f t="shared" si="566"/>
        <v>30</v>
      </c>
      <c r="AN462" s="25">
        <f t="shared" si="567"/>
        <v>30</v>
      </c>
      <c r="AO462" s="25">
        <f t="shared" si="568"/>
        <v>30</v>
      </c>
      <c r="AP462" s="52" t="e">
        <f t="shared" si="640"/>
        <v>#N/A</v>
      </c>
      <c r="AQ462" s="53" t="e">
        <f t="shared" si="640"/>
        <v>#N/A</v>
      </c>
      <c r="AR462" s="54" t="e">
        <f t="shared" si="640"/>
        <v>#N/A</v>
      </c>
      <c r="AS462" s="316">
        <f t="shared" si="648"/>
        <v>0</v>
      </c>
      <c r="AT462" s="106">
        <f>_xlfn.IFNA($M462/VLOOKUP($BT462,'Unit information'!$A$2:$K$29,2,FALSE)*R462,0)*(1+$E$9)</f>
        <v>0</v>
      </c>
      <c r="AU462" s="107">
        <f>_xlfn.IFNA($M462/VLOOKUP($BT462,'Unit information'!$A$2:$K$29,3,FALSE)*S462,0)*(1+$E$9)</f>
        <v>0</v>
      </c>
      <c r="AV462" s="107">
        <f>_xlfn.IFNA($M462/VLOOKUP($BT462,'Unit information'!$A$2:$K$29,4,FALSE)*T462,0)*(1+$E$9)</f>
        <v>0</v>
      </c>
      <c r="AW462" s="107">
        <f>_xlfn.IFNA($M462/VLOOKUP($BT462,'Unit information'!$A$2:$K$29,5,FALSE)*U462,0)*(1+$E$9)</f>
        <v>0</v>
      </c>
      <c r="AX462" s="107">
        <f>_xlfn.IFNA($M462/VLOOKUP($BU462,'Unit information'!$A$2:$K$29,6,FALSE)*V462,0)*(1+$E$9)</f>
        <v>0</v>
      </c>
      <c r="AY462" s="107">
        <f>_xlfn.IFNA($M462/VLOOKUP($BU462,'Unit information'!$A$2:$K$29,7,FALSE)*W462,0)*(1+$E$9)</f>
        <v>0</v>
      </c>
      <c r="AZ462" s="107">
        <f>_xlfn.IFNA($M462/VLOOKUP($BU462,'Unit information'!$A$2:$K$29,8,FALSE)*X462,0)*(1+$E$9)</f>
        <v>0</v>
      </c>
      <c r="BA462" s="107">
        <f>_xlfn.IFNA($M462/VLOOKUP($BU462,'Unit information'!$A$2:$K$29,9,FALSE)*Y462,0)*(1+$E$9)</f>
        <v>0</v>
      </c>
      <c r="BB462" s="107">
        <f>_xlfn.IFNA($M462/VLOOKUP($BV462,'Unit information'!$A$2:$K$29,10,FALSE)*Z462,0)*(1+$E$9)</f>
        <v>0</v>
      </c>
      <c r="BC462" s="108">
        <f>_xlfn.IFNA($M462/VLOOKUP($BV462,'Unit information'!$A$2:$K$29,11,FALSE)*AA462,0)*(1+$E$9)</f>
        <v>0</v>
      </c>
      <c r="BD462" s="106">
        <f t="shared" si="569"/>
        <v>0</v>
      </c>
      <c r="BE462" s="107">
        <f t="shared" si="570"/>
        <v>0</v>
      </c>
      <c r="BF462" s="108">
        <f t="shared" si="571"/>
        <v>0</v>
      </c>
      <c r="BG462" s="25" t="e">
        <f t="shared" si="572"/>
        <v>#N/A</v>
      </c>
      <c r="BH462" s="25" t="e">
        <f t="shared" si="573"/>
        <v>#N/A</v>
      </c>
      <c r="BI462" s="25" t="e">
        <f t="shared" si="574"/>
        <v>#N/A</v>
      </c>
      <c r="BJ462" s="27" t="e">
        <f t="shared" si="575"/>
        <v>#N/A</v>
      </c>
      <c r="BK462" s="18" t="e">
        <f t="shared" si="576"/>
        <v>#N/A</v>
      </c>
      <c r="BL462" s="18" t="e">
        <f t="shared" si="577"/>
        <v>#N/A</v>
      </c>
      <c r="BM462" s="28" t="e">
        <f t="shared" si="622"/>
        <v>#N/A</v>
      </c>
      <c r="BN462" s="33">
        <f>HLOOKUP("maximum population",Miscelaneous!$C$1:$C$33,CH462+3,FALSE)</f>
        <v>240</v>
      </c>
      <c r="BO462" s="14">
        <f t="shared" si="589"/>
        <v>32</v>
      </c>
      <c r="BP462" s="14">
        <f t="shared" si="590"/>
        <v>0</v>
      </c>
      <c r="BQ462" s="14">
        <f t="shared" si="591"/>
        <v>208</v>
      </c>
      <c r="BR462" s="34" t="e">
        <f>HLOOKUP(J462,Villagers!$B$1:$V$33,L462+3,FALSE)-HLOOKUP(J462,Villagers!$B$1:$V$33,L462+2,FALSE)</f>
        <v>#N/A</v>
      </c>
      <c r="BS462" s="49">
        <f t="shared" si="592"/>
        <v>1</v>
      </c>
      <c r="BT462" s="50">
        <f t="shared" si="593"/>
        <v>0</v>
      </c>
      <c r="BU462" s="50">
        <f t="shared" si="594"/>
        <v>0</v>
      </c>
      <c r="BV462" s="50">
        <f t="shared" si="595"/>
        <v>0</v>
      </c>
      <c r="BW462" s="50">
        <f t="shared" si="650"/>
        <v>0</v>
      </c>
      <c r="BX462" s="50">
        <f t="shared" si="649"/>
        <v>0</v>
      </c>
      <c r="BY462" s="50">
        <f t="shared" si="649"/>
        <v>0</v>
      </c>
      <c r="BZ462" s="50">
        <f t="shared" si="623"/>
        <v>0</v>
      </c>
      <c r="CA462" s="50">
        <f t="shared" si="624"/>
        <v>0</v>
      </c>
      <c r="CB462" s="50">
        <f t="shared" si="625"/>
        <v>1</v>
      </c>
      <c r="CC462" s="50">
        <f t="shared" si="626"/>
        <v>0</v>
      </c>
      <c r="CD462" s="50">
        <f t="shared" si="627"/>
        <v>0</v>
      </c>
      <c r="CE462" s="50">
        <f t="shared" si="628"/>
        <v>1</v>
      </c>
      <c r="CF462" s="50">
        <f t="shared" si="629"/>
        <v>1</v>
      </c>
      <c r="CG462" s="50">
        <f t="shared" si="630"/>
        <v>1</v>
      </c>
      <c r="CH462" s="50">
        <f t="shared" si="631"/>
        <v>1</v>
      </c>
      <c r="CI462" s="50">
        <f t="shared" si="632"/>
        <v>1</v>
      </c>
      <c r="CJ462" s="50">
        <f t="shared" si="633"/>
        <v>1</v>
      </c>
      <c r="CK462" s="50">
        <f t="shared" si="633"/>
        <v>0</v>
      </c>
      <c r="CL462" s="50">
        <f t="shared" si="633"/>
        <v>0</v>
      </c>
      <c r="CM462" s="51">
        <f t="shared" si="634"/>
        <v>0</v>
      </c>
      <c r="CN462" s="33">
        <f>ROUND(IF(BS462=0,0,HLOOKUP(BS$14,Villagers!$B$1:$V$33,BS462+3,FALSE)),)</f>
        <v>5</v>
      </c>
      <c r="CO462" s="14">
        <f>ROUND(IF(BT462=0,0,HLOOKUP(BT$14,Villagers!$B$1:$V$33,BT462+3,FALSE)),)</f>
        <v>0</v>
      </c>
      <c r="CP462" s="14">
        <f>ROUND(IF(BU462=0,0,HLOOKUP(BU$14,Villagers!$B$1:$V$33,BU462+3,FALSE)),)</f>
        <v>0</v>
      </c>
      <c r="CQ462" s="14">
        <f>ROUND(IF(BV462=0,0,HLOOKUP(BV$14,Villagers!$B$1:$V$33,BV462+3,FALSE)),)</f>
        <v>0</v>
      </c>
      <c r="CR462" s="14">
        <f>ROUND(IF(BW462=0,0,HLOOKUP(BW$14,Villagers!$B$1:$V$33,BW462+3,FALSE)),)</f>
        <v>0</v>
      </c>
      <c r="CS462" s="14">
        <f>ROUND(IF(BX462=0,0,HLOOKUP(BX$14,Villagers!$B$1:$V$33,BX462+3,FALSE)),)</f>
        <v>0</v>
      </c>
      <c r="CT462" s="14">
        <f>ROUND(IF(BY462=0,0,HLOOKUP(BY$14,Villagers!$B$1:$V$33,BY462+3,FALSE)),)</f>
        <v>0</v>
      </c>
      <c r="CU462" s="14">
        <f>ROUND(IF(BZ462=0,0,HLOOKUP(BZ$14,Villagers!$B$1:$V$33,BZ462+3,FALSE)),)</f>
        <v>0</v>
      </c>
      <c r="CV462" s="14">
        <f>ROUND(IF(CA462=0,0,HLOOKUP(CA$14,Villagers!$B$1:$V$33,CA462+3,FALSE)),)</f>
        <v>0</v>
      </c>
      <c r="CW462" s="14">
        <f>ROUND(IF(CB462=0,0,HLOOKUP(CB$14,Villagers!$B$1:$V$33,CB462+3,FALSE)),)</f>
        <v>0</v>
      </c>
      <c r="CX462" s="14">
        <f>ROUND(IF(CC462=0,0,HLOOKUP(CC$14,Villagers!$B$1:$V$33,CC462+3,FALSE)),)</f>
        <v>0</v>
      </c>
      <c r="CY462" s="14">
        <f>ROUND(IF(CD462=0,0,HLOOKUP(CD$14,Villagers!$B$1:$V$33,CD462+3,FALSE)),)</f>
        <v>0</v>
      </c>
      <c r="CZ462" s="14">
        <f>ROUND(IF(CE462=0,0,HLOOKUP(CE$14,Villagers!$B$1:$V$33,CE462+3,FALSE)),)</f>
        <v>5</v>
      </c>
      <c r="DA462" s="14">
        <f>ROUND(IF(CF462=0,0,HLOOKUP(CF$14,Villagers!$B$1:$V$33,CF462+3,FALSE)),)</f>
        <v>10</v>
      </c>
      <c r="DB462" s="14">
        <f>ROUND(IF(CG462=0,0,HLOOKUP(CG$14,Villagers!$B$1:$V$33,CG462+3,FALSE)),)</f>
        <v>10</v>
      </c>
      <c r="DC462" s="14">
        <f>ROUND(IF(CH462=0,0,HLOOKUP(CH$14,Villagers!$B$1:$V$33,CH462+3,FALSE)),)</f>
        <v>0</v>
      </c>
      <c r="DD462" s="14">
        <f>ROUND(IF(CI462=0,0,HLOOKUP(CI$14,Villagers!$B$1:$V$33,CI462+3,FALSE)),)</f>
        <v>0</v>
      </c>
      <c r="DE462" s="14">
        <f>ROUND(IF(CJ462=0,0,HLOOKUP(CJ$14,Villagers!$B$1:$V$33,CJ462+3,FALSE)),)</f>
        <v>2</v>
      </c>
      <c r="DF462" s="370">
        <f>ROUND(IF(CK462=0,0,HLOOKUP(CK$14,Villagers!$B$1:$V$33,CK462+3,FALSE)),)</f>
        <v>0</v>
      </c>
      <c r="DG462" s="370">
        <f>ROUND(IF(CL462=0,0,HLOOKUP(CL$14,Villagers!$B$1:$V$33,CL462+3,FALSE)),)</f>
        <v>0</v>
      </c>
      <c r="DH462" s="34">
        <f>ROUND(IF(CM462=0,0,HLOOKUP(CM$14,Villagers!$B$1:$V$33,CM462+3,FALSE)),)</f>
        <v>0</v>
      </c>
      <c r="DI462" s="109">
        <f t="shared" si="611"/>
        <v>0</v>
      </c>
      <c r="DJ462" s="50">
        <f t="shared" si="612"/>
        <v>0</v>
      </c>
      <c r="DK462" s="50">
        <f t="shared" si="613"/>
        <v>0</v>
      </c>
      <c r="DL462" s="50">
        <f t="shared" si="614"/>
        <v>0</v>
      </c>
      <c r="DM462" s="50">
        <f t="shared" si="615"/>
        <v>0</v>
      </c>
      <c r="DN462" s="50">
        <f t="shared" si="616"/>
        <v>0</v>
      </c>
      <c r="DO462" s="50">
        <f t="shared" si="617"/>
        <v>0</v>
      </c>
      <c r="DP462" s="50">
        <f t="shared" si="618"/>
        <v>0</v>
      </c>
      <c r="DQ462" s="50">
        <f t="shared" si="596"/>
        <v>0</v>
      </c>
      <c r="DR462" s="50">
        <f t="shared" si="597"/>
        <v>0</v>
      </c>
      <c r="DS462" s="96">
        <f>Miscelaneous!$D$4*Miscelaneous!$D$2^($CI462-1)</f>
        <v>1000</v>
      </c>
      <c r="DT462" s="333">
        <f t="shared" si="579"/>
        <v>1</v>
      </c>
      <c r="DU462" s="81">
        <v>1</v>
      </c>
      <c r="DV462" s="79">
        <f t="shared" si="598"/>
        <v>0</v>
      </c>
      <c r="DW462" s="79">
        <f t="shared" si="599"/>
        <v>0</v>
      </c>
      <c r="DX462" s="79">
        <f t="shared" si="600"/>
        <v>0</v>
      </c>
      <c r="DY462" s="79">
        <v>1</v>
      </c>
      <c r="DZ462" s="79">
        <f t="shared" si="601"/>
        <v>0</v>
      </c>
      <c r="EA462" s="79">
        <f t="shared" si="602"/>
        <v>0</v>
      </c>
      <c r="EB462" s="79">
        <f t="shared" si="603"/>
        <v>0</v>
      </c>
      <c r="EC462" s="79">
        <f t="shared" si="604"/>
        <v>0</v>
      </c>
      <c r="ED462" s="79">
        <v>1</v>
      </c>
      <c r="EE462" s="79">
        <v>1</v>
      </c>
      <c r="EF462" s="79">
        <f t="shared" si="605"/>
        <v>0</v>
      </c>
      <c r="EG462" s="79">
        <v>1</v>
      </c>
      <c r="EH462" s="79">
        <v>1</v>
      </c>
      <c r="EI462" s="79">
        <v>1</v>
      </c>
      <c r="EJ462" s="79">
        <v>1</v>
      </c>
      <c r="EK462" s="79">
        <v>1</v>
      </c>
      <c r="EL462" s="79">
        <v>1</v>
      </c>
      <c r="EM462" s="143">
        <f t="shared" si="606"/>
        <v>0</v>
      </c>
      <c r="EN462" s="143">
        <f t="shared" si="607"/>
        <v>0</v>
      </c>
      <c r="EO462" s="82">
        <f t="shared" si="608"/>
        <v>0</v>
      </c>
    </row>
    <row r="463" spans="1:145" x14ac:dyDescent="0.25">
      <c r="A463">
        <v>449</v>
      </c>
      <c r="B463" s="172" t="e">
        <f t="shared" si="580"/>
        <v>#N/A</v>
      </c>
      <c r="C463" s="121" t="e">
        <f t="shared" ref="C463:C526" si="652">AJ463-SUM(AB463:AB467)</f>
        <v>#N/A</v>
      </c>
      <c r="D463" s="122" t="e">
        <f t="shared" ref="D463:D526" si="653">AK463-SUM(AC463:AC467)</f>
        <v>#N/A</v>
      </c>
      <c r="E463" s="122" t="e">
        <f t="shared" ref="E463:E526" si="654">AL463-SUM(AD463:AD467)</f>
        <v>#N/A</v>
      </c>
      <c r="F463" s="176" t="e">
        <f t="shared" ref="F463:F509" si="655">IF(AND(MAX(C463:E463)&gt;0,DS463-MAX(C463:E463)&lt;DS463),DS463-MAX(C463:E463),DS463)</f>
        <v>#N/A</v>
      </c>
      <c r="G463" s="121">
        <f t="shared" si="581"/>
        <v>208</v>
      </c>
      <c r="H463" s="176" t="e">
        <f t="shared" si="582"/>
        <v>#N/A</v>
      </c>
      <c r="I463" s="48">
        <v>1</v>
      </c>
      <c r="J463" s="39"/>
      <c r="K463" s="350">
        <v>1</v>
      </c>
      <c r="L463" s="34" t="e">
        <f t="shared" ref="L463:L509" si="656">HLOOKUP(J463,$BS$14:$CM$508,A464,FALSE)+K463</f>
        <v>#N/A</v>
      </c>
      <c r="M463" s="38" t="e">
        <f>(HLOOKUP(J463,'Construction Times'!$B$3:$W$34,L463+2,FALSE)*HLOOKUP("hq modifier",'Construction Times'!$W$3:$W$34,BS463+2,FALSE))*(1-$H$9)</f>
        <v>#N/A</v>
      </c>
      <c r="N463" s="443" t="e">
        <f t="shared" si="583"/>
        <v>#N/A</v>
      </c>
      <c r="O463" s="444"/>
      <c r="P463" s="447" t="e">
        <f t="shared" si="584"/>
        <v>#N/A</v>
      </c>
      <c r="Q463" s="448"/>
      <c r="R463" s="103">
        <f t="shared" si="642"/>
        <v>0</v>
      </c>
      <c r="S463" s="104">
        <f t="shared" si="642"/>
        <v>0</v>
      </c>
      <c r="T463" s="104">
        <f t="shared" si="643"/>
        <v>0</v>
      </c>
      <c r="U463" s="104">
        <f t="shared" si="643"/>
        <v>0</v>
      </c>
      <c r="V463" s="104">
        <f t="shared" si="643"/>
        <v>9.9999999999999995E-8</v>
      </c>
      <c r="W463" s="104">
        <f t="shared" si="643"/>
        <v>0</v>
      </c>
      <c r="X463" s="104">
        <f t="shared" si="651"/>
        <v>0</v>
      </c>
      <c r="Y463" s="104">
        <f t="shared" si="651"/>
        <v>9.9999999999999995E-8</v>
      </c>
      <c r="Z463" s="104">
        <f t="shared" si="651"/>
        <v>9.9999999999999995E-8</v>
      </c>
      <c r="AA463" s="105">
        <f t="shared" si="651"/>
        <v>9.9999999999999995E-8</v>
      </c>
      <c r="AB463" s="101" t="e">
        <f>$DT463*HLOOKUP($J463,'Construction Costs (timber)'!$B$1:$V$32,'Construction Planner'!$L463+2,FALSE)</f>
        <v>#N/A</v>
      </c>
      <c r="AC463" s="14" t="e">
        <f>$DT463*HLOOKUP($J463,'Construction Costs (clay)'!$B$1:$V$32,'Construction Planner'!$L463+2,FALSE)</f>
        <v>#N/A</v>
      </c>
      <c r="AD463" s="14" t="e">
        <f>$DT463*HLOOKUP($J463,'Construction Costs (iron)'!$B$1:$V$32,'Construction Planner'!$L463+2,FALSE)</f>
        <v>#N/A</v>
      </c>
      <c r="AE463" s="34" t="e">
        <f t="shared" si="619"/>
        <v>#N/A</v>
      </c>
      <c r="AF463" s="33" t="e">
        <f t="shared" ref="AF463:AF509" si="657">AB463*($AH$3/$M463)</f>
        <v>#N/A</v>
      </c>
      <c r="AG463" s="14" t="e">
        <f t="shared" ref="AG463:AG509" si="658">AC463*($AH$3/$M463)</f>
        <v>#N/A</v>
      </c>
      <c r="AH463" s="14" t="e">
        <f t="shared" ref="AH463:AH509" si="659">AD463*($AH$3/$M463)</f>
        <v>#N/A</v>
      </c>
      <c r="AI463" s="34" t="e">
        <f t="shared" si="620"/>
        <v>#N/A</v>
      </c>
      <c r="AJ463" s="49" t="e">
        <f t="shared" si="585"/>
        <v>#N/A</v>
      </c>
      <c r="AK463" s="49" t="e">
        <f t="shared" si="586"/>
        <v>#N/A</v>
      </c>
      <c r="AL463" s="49" t="e">
        <f t="shared" si="587"/>
        <v>#N/A</v>
      </c>
      <c r="AM463" s="25">
        <f t="shared" ref="AM463:AM509" si="660">IF(CE463 = 0,$E$3*5,$E$3*30*1.163118^(CE463-1))*(1+$B$10)</f>
        <v>30</v>
      </c>
      <c r="AN463" s="25">
        <f t="shared" ref="AN463:AN509" si="661">IF(CF463 = 0,$E$3*5,$E$3*30*1.163118^(CF463-1))*(1+$B$10)</f>
        <v>30</v>
      </c>
      <c r="AO463" s="25">
        <f t="shared" ref="AO463:AO509" si="662">IF(CG463 = 0,$E$3*5,$E$3*30*1.163118^(CG463-1))*(1+$B$10)</f>
        <v>30</v>
      </c>
      <c r="AP463" s="52" t="e">
        <f t="shared" si="640"/>
        <v>#N/A</v>
      </c>
      <c r="AQ463" s="53" t="e">
        <f t="shared" si="640"/>
        <v>#N/A</v>
      </c>
      <c r="AR463" s="54" t="e">
        <f t="shared" si="640"/>
        <v>#N/A</v>
      </c>
      <c r="AS463" s="316">
        <f t="shared" si="648"/>
        <v>0</v>
      </c>
      <c r="AT463" s="106">
        <f>_xlfn.IFNA($M463/VLOOKUP($BT463,'Unit information'!$A$2:$K$29,2,FALSE)*R463,0)*(1+$E$9)</f>
        <v>0</v>
      </c>
      <c r="AU463" s="107">
        <f>_xlfn.IFNA($M463/VLOOKUP($BT463,'Unit information'!$A$2:$K$29,3,FALSE)*S463,0)*(1+$E$9)</f>
        <v>0</v>
      </c>
      <c r="AV463" s="107">
        <f>_xlfn.IFNA($M463/VLOOKUP($BT463,'Unit information'!$A$2:$K$29,4,FALSE)*T463,0)*(1+$E$9)</f>
        <v>0</v>
      </c>
      <c r="AW463" s="107">
        <f>_xlfn.IFNA($M463/VLOOKUP($BT463,'Unit information'!$A$2:$K$29,5,FALSE)*U463,0)*(1+$E$9)</f>
        <v>0</v>
      </c>
      <c r="AX463" s="107">
        <f>_xlfn.IFNA($M463/VLOOKUP($BU463,'Unit information'!$A$2:$K$29,6,FALSE)*V463,0)*(1+$E$9)</f>
        <v>0</v>
      </c>
      <c r="AY463" s="107">
        <f>_xlfn.IFNA($M463/VLOOKUP($BU463,'Unit information'!$A$2:$K$29,7,FALSE)*W463,0)*(1+$E$9)</f>
        <v>0</v>
      </c>
      <c r="AZ463" s="107">
        <f>_xlfn.IFNA($M463/VLOOKUP($BU463,'Unit information'!$A$2:$K$29,8,FALSE)*X463,0)*(1+$E$9)</f>
        <v>0</v>
      </c>
      <c r="BA463" s="107">
        <f>_xlfn.IFNA($M463/VLOOKUP($BU463,'Unit information'!$A$2:$K$29,9,FALSE)*Y463,0)*(1+$E$9)</f>
        <v>0</v>
      </c>
      <c r="BB463" s="107">
        <f>_xlfn.IFNA($M463/VLOOKUP($BV463,'Unit information'!$A$2:$K$29,10,FALSE)*Z463,0)*(1+$E$9)</f>
        <v>0</v>
      </c>
      <c r="BC463" s="108">
        <f>_xlfn.IFNA($M463/VLOOKUP($BV463,'Unit information'!$A$2:$K$29,11,FALSE)*AA463,0)*(1+$E$9)</f>
        <v>0</v>
      </c>
      <c r="BD463" s="106">
        <f t="shared" ref="BD463:BD509" si="663">$AT463*50+$AU463*30+$AV463*60+$AX463*50+$AY463*125+$BA463*200+$BB463*300+$BC463*320</f>
        <v>0</v>
      </c>
      <c r="BE463" s="107">
        <f t="shared" ref="BE463:BE509" si="664">$AT463*30+$AU463*30+$AV463*30+$AX463*50+$AY463*100+$BA463*150+$BB463*200+$BC463*400</f>
        <v>0</v>
      </c>
      <c r="BF463" s="108">
        <f t="shared" ref="BF463:BF509" si="665">$AT463*10+$AU463*70+$AV463*40+$AX463*20+$AY463*250+$BA463*600+$BB463*200+$BC463*100</f>
        <v>0</v>
      </c>
      <c r="BG463" s="25" t="e">
        <f t="shared" ref="BG463:BG509" si="666">AM463+AP463</f>
        <v>#N/A</v>
      </c>
      <c r="BH463" s="25" t="e">
        <f t="shared" ref="BH463:BH509" si="667">AN463+AQ463</f>
        <v>#N/A</v>
      </c>
      <c r="BI463" s="25" t="e">
        <f t="shared" ref="BI463:BI509" si="668">AO463+AR463</f>
        <v>#N/A</v>
      </c>
      <c r="BJ463" s="27" t="e">
        <f t="shared" ref="BJ463:BJ509" si="669">IF(AJ463&gt;AB463,0,(AB463-AJ463)/BG463*$AK$3)</f>
        <v>#N/A</v>
      </c>
      <c r="BK463" s="18" t="e">
        <f t="shared" ref="BK463:BK509" si="670">IF(AK463&gt;AC463,0,(AC463-AK463)/BH463*$AK$3)</f>
        <v>#N/A</v>
      </c>
      <c r="BL463" s="18" t="e">
        <f t="shared" ref="BL463:BL509" si="671">IF(AL463&gt;AD463,0,(AD463-AL463)/BI463*$AK$3)</f>
        <v>#N/A</v>
      </c>
      <c r="BM463" s="28" t="e">
        <f t="shared" si="622"/>
        <v>#N/A</v>
      </c>
      <c r="BN463" s="33">
        <f>HLOOKUP("maximum population",Miscelaneous!$C$1:$C$33,CH463+3,FALSE)</f>
        <v>240</v>
      </c>
      <c r="BO463" s="14">
        <f t="shared" si="589"/>
        <v>32</v>
      </c>
      <c r="BP463" s="14">
        <f t="shared" si="590"/>
        <v>0</v>
      </c>
      <c r="BQ463" s="14">
        <f t="shared" si="591"/>
        <v>208</v>
      </c>
      <c r="BR463" s="34" t="e">
        <f>HLOOKUP(J463,Villagers!$B$1:$V$33,L463+3,FALSE)-HLOOKUP(J463,Villagers!$B$1:$V$33,L463+2,FALSE)</f>
        <v>#N/A</v>
      </c>
      <c r="BS463" s="49">
        <f t="shared" si="592"/>
        <v>1</v>
      </c>
      <c r="BT463" s="50">
        <f t="shared" si="593"/>
        <v>0</v>
      </c>
      <c r="BU463" s="50">
        <f t="shared" si="594"/>
        <v>0</v>
      </c>
      <c r="BV463" s="50">
        <f t="shared" si="595"/>
        <v>0</v>
      </c>
      <c r="BW463" s="50">
        <f t="shared" si="650"/>
        <v>0</v>
      </c>
      <c r="BX463" s="50">
        <f t="shared" si="649"/>
        <v>0</v>
      </c>
      <c r="BY463" s="50">
        <f t="shared" si="649"/>
        <v>0</v>
      </c>
      <c r="BZ463" s="50">
        <f t="shared" si="623"/>
        <v>0</v>
      </c>
      <c r="CA463" s="50">
        <f t="shared" si="624"/>
        <v>0</v>
      </c>
      <c r="CB463" s="50">
        <f t="shared" si="625"/>
        <v>1</v>
      </c>
      <c r="CC463" s="50">
        <f t="shared" si="626"/>
        <v>0</v>
      </c>
      <c r="CD463" s="50">
        <f t="shared" si="627"/>
        <v>0</v>
      </c>
      <c r="CE463" s="50">
        <f t="shared" si="628"/>
        <v>1</v>
      </c>
      <c r="CF463" s="50">
        <f t="shared" si="629"/>
        <v>1</v>
      </c>
      <c r="CG463" s="50">
        <f t="shared" si="630"/>
        <v>1</v>
      </c>
      <c r="CH463" s="50">
        <f t="shared" si="631"/>
        <v>1</v>
      </c>
      <c r="CI463" s="50">
        <f t="shared" si="632"/>
        <v>1</v>
      </c>
      <c r="CJ463" s="50">
        <f t="shared" si="633"/>
        <v>1</v>
      </c>
      <c r="CK463" s="50">
        <f t="shared" si="633"/>
        <v>0</v>
      </c>
      <c r="CL463" s="50">
        <f t="shared" si="633"/>
        <v>0</v>
      </c>
      <c r="CM463" s="51">
        <f t="shared" si="634"/>
        <v>0</v>
      </c>
      <c r="CN463" s="33">
        <f>ROUND(IF(BS463=0,0,HLOOKUP(BS$14,Villagers!$B$1:$V$33,BS463+3,FALSE)),)</f>
        <v>5</v>
      </c>
      <c r="CO463" s="14">
        <f>ROUND(IF(BT463=0,0,HLOOKUP(BT$14,Villagers!$B$1:$V$33,BT463+3,FALSE)),)</f>
        <v>0</v>
      </c>
      <c r="CP463" s="14">
        <f>ROUND(IF(BU463=0,0,HLOOKUP(BU$14,Villagers!$B$1:$V$33,BU463+3,FALSE)),)</f>
        <v>0</v>
      </c>
      <c r="CQ463" s="14">
        <f>ROUND(IF(BV463=0,0,HLOOKUP(BV$14,Villagers!$B$1:$V$33,BV463+3,FALSE)),)</f>
        <v>0</v>
      </c>
      <c r="CR463" s="14">
        <f>ROUND(IF(BW463=0,0,HLOOKUP(BW$14,Villagers!$B$1:$V$33,BW463+3,FALSE)),)</f>
        <v>0</v>
      </c>
      <c r="CS463" s="14">
        <f>ROUND(IF(BX463=0,0,HLOOKUP(BX$14,Villagers!$B$1:$V$33,BX463+3,FALSE)),)</f>
        <v>0</v>
      </c>
      <c r="CT463" s="14">
        <f>ROUND(IF(BY463=0,0,HLOOKUP(BY$14,Villagers!$B$1:$V$33,BY463+3,FALSE)),)</f>
        <v>0</v>
      </c>
      <c r="CU463" s="14">
        <f>ROUND(IF(BZ463=0,0,HLOOKUP(BZ$14,Villagers!$B$1:$V$33,BZ463+3,FALSE)),)</f>
        <v>0</v>
      </c>
      <c r="CV463" s="14">
        <f>ROUND(IF(CA463=0,0,HLOOKUP(CA$14,Villagers!$B$1:$V$33,CA463+3,FALSE)),)</f>
        <v>0</v>
      </c>
      <c r="CW463" s="14">
        <f>ROUND(IF(CB463=0,0,HLOOKUP(CB$14,Villagers!$B$1:$V$33,CB463+3,FALSE)),)</f>
        <v>0</v>
      </c>
      <c r="CX463" s="14">
        <f>ROUND(IF(CC463=0,0,HLOOKUP(CC$14,Villagers!$B$1:$V$33,CC463+3,FALSE)),)</f>
        <v>0</v>
      </c>
      <c r="CY463" s="14">
        <f>ROUND(IF(CD463=0,0,HLOOKUP(CD$14,Villagers!$B$1:$V$33,CD463+3,FALSE)),)</f>
        <v>0</v>
      </c>
      <c r="CZ463" s="14">
        <f>ROUND(IF(CE463=0,0,HLOOKUP(CE$14,Villagers!$B$1:$V$33,CE463+3,FALSE)),)</f>
        <v>5</v>
      </c>
      <c r="DA463" s="14">
        <f>ROUND(IF(CF463=0,0,HLOOKUP(CF$14,Villagers!$B$1:$V$33,CF463+3,FALSE)),)</f>
        <v>10</v>
      </c>
      <c r="DB463" s="14">
        <f>ROUND(IF(CG463=0,0,HLOOKUP(CG$14,Villagers!$B$1:$V$33,CG463+3,FALSE)),)</f>
        <v>10</v>
      </c>
      <c r="DC463" s="14">
        <f>ROUND(IF(CH463=0,0,HLOOKUP(CH$14,Villagers!$B$1:$V$33,CH463+3,FALSE)),)</f>
        <v>0</v>
      </c>
      <c r="DD463" s="14">
        <f>ROUND(IF(CI463=0,0,HLOOKUP(CI$14,Villagers!$B$1:$V$33,CI463+3,FALSE)),)</f>
        <v>0</v>
      </c>
      <c r="DE463" s="14">
        <f>ROUND(IF(CJ463=0,0,HLOOKUP(CJ$14,Villagers!$B$1:$V$33,CJ463+3,FALSE)),)</f>
        <v>2</v>
      </c>
      <c r="DF463" s="370">
        <f>ROUND(IF(CK463=0,0,HLOOKUP(CK$14,Villagers!$B$1:$V$33,CK463+3,FALSE)),)</f>
        <v>0</v>
      </c>
      <c r="DG463" s="370">
        <f>ROUND(IF(CL463=0,0,HLOOKUP(CL$14,Villagers!$B$1:$V$33,CL463+3,FALSE)),)</f>
        <v>0</v>
      </c>
      <c r="DH463" s="34">
        <f>ROUND(IF(CM463=0,0,HLOOKUP(CM$14,Villagers!$B$1:$V$33,CM463+3,FALSE)),)</f>
        <v>0</v>
      </c>
      <c r="DI463" s="109">
        <f t="shared" si="611"/>
        <v>0</v>
      </c>
      <c r="DJ463" s="50">
        <f t="shared" si="612"/>
        <v>0</v>
      </c>
      <c r="DK463" s="50">
        <f t="shared" si="613"/>
        <v>0</v>
      </c>
      <c r="DL463" s="50">
        <f t="shared" si="614"/>
        <v>0</v>
      </c>
      <c r="DM463" s="50">
        <f t="shared" si="615"/>
        <v>0</v>
      </c>
      <c r="DN463" s="50">
        <f t="shared" si="616"/>
        <v>0</v>
      </c>
      <c r="DO463" s="50">
        <f t="shared" si="617"/>
        <v>0</v>
      </c>
      <c r="DP463" s="50">
        <f t="shared" si="618"/>
        <v>0</v>
      </c>
      <c r="DQ463" s="50">
        <f t="shared" si="596"/>
        <v>0</v>
      </c>
      <c r="DR463" s="50">
        <f t="shared" si="597"/>
        <v>0</v>
      </c>
      <c r="DS463" s="96">
        <f>Miscelaneous!$D$4*Miscelaneous!$D$2^($CI463-1)</f>
        <v>1000</v>
      </c>
      <c r="DT463" s="333">
        <f t="shared" ref="DT463:DT509" si="672">IF(I463&lt;3,1,1.125^(I463-3))</f>
        <v>1</v>
      </c>
      <c r="DU463" s="81">
        <v>1</v>
      </c>
      <c r="DV463" s="79">
        <f t="shared" si="598"/>
        <v>0</v>
      </c>
      <c r="DW463" s="79">
        <f t="shared" si="599"/>
        <v>0</v>
      </c>
      <c r="DX463" s="79">
        <f t="shared" si="600"/>
        <v>0</v>
      </c>
      <c r="DY463" s="79">
        <v>1</v>
      </c>
      <c r="DZ463" s="79">
        <f t="shared" si="601"/>
        <v>0</v>
      </c>
      <c r="EA463" s="79">
        <f t="shared" si="602"/>
        <v>0</v>
      </c>
      <c r="EB463" s="79">
        <f t="shared" si="603"/>
        <v>0</v>
      </c>
      <c r="EC463" s="79">
        <f t="shared" si="604"/>
        <v>0</v>
      </c>
      <c r="ED463" s="79">
        <v>1</v>
      </c>
      <c r="EE463" s="79">
        <v>1</v>
      </c>
      <c r="EF463" s="79">
        <f t="shared" si="605"/>
        <v>0</v>
      </c>
      <c r="EG463" s="79">
        <v>1</v>
      </c>
      <c r="EH463" s="79">
        <v>1</v>
      </c>
      <c r="EI463" s="79">
        <v>1</v>
      </c>
      <c r="EJ463" s="79">
        <v>1</v>
      </c>
      <c r="EK463" s="79">
        <v>1</v>
      </c>
      <c r="EL463" s="79">
        <v>1</v>
      </c>
      <c r="EM463" s="143">
        <f t="shared" si="606"/>
        <v>0</v>
      </c>
      <c r="EN463" s="143">
        <f t="shared" si="607"/>
        <v>0</v>
      </c>
      <c r="EO463" s="82">
        <f t="shared" si="608"/>
        <v>0</v>
      </c>
    </row>
    <row r="464" spans="1:145" x14ac:dyDescent="0.25">
      <c r="A464">
        <v>450</v>
      </c>
      <c r="B464" s="172" t="e">
        <f t="shared" ref="B464:B509" si="673">BM464</f>
        <v>#N/A</v>
      </c>
      <c r="C464" s="121" t="e">
        <f t="shared" si="652"/>
        <v>#N/A</v>
      </c>
      <c r="D464" s="122" t="e">
        <f t="shared" si="653"/>
        <v>#N/A</v>
      </c>
      <c r="E464" s="122" t="e">
        <f t="shared" si="654"/>
        <v>#N/A</v>
      </c>
      <c r="F464" s="176" t="e">
        <f t="shared" si="655"/>
        <v>#N/A</v>
      </c>
      <c r="G464" s="121">
        <f t="shared" ref="G464:G509" si="674">BQ464</f>
        <v>208</v>
      </c>
      <c r="H464" s="176" t="e">
        <f t="shared" ref="H464:H509" si="675">BQ464-SUM(BR464:BR468)</f>
        <v>#N/A</v>
      </c>
      <c r="I464" s="48">
        <v>1</v>
      </c>
      <c r="J464" s="39"/>
      <c r="K464" s="350">
        <v>1</v>
      </c>
      <c r="L464" s="34" t="e">
        <f t="shared" si="656"/>
        <v>#N/A</v>
      </c>
      <c r="M464" s="38" t="e">
        <f>(HLOOKUP(J464,'Construction Times'!$B$3:$W$34,L464+2,FALSE)*HLOOKUP("hq modifier",'Construction Times'!$W$3:$W$34,BS464+2,FALSE))*(1-$H$9)</f>
        <v>#N/A</v>
      </c>
      <c r="N464" s="443" t="e">
        <f t="shared" ref="N464:N509" si="676">P463+M463</f>
        <v>#N/A</v>
      </c>
      <c r="O464" s="444"/>
      <c r="P464" s="447" t="e">
        <f t="shared" ref="P464:P509" si="677">IF(MAX(AB464:AD464)&gt;DS464,"Speicher zu klein",IF(HLOOKUP(J464,$DU$14:$EO$509,A464+2,FALSE)=0,"Gebäude Vor. nicht erfüllt",N464+BM464))</f>
        <v>#N/A</v>
      </c>
      <c r="Q464" s="448"/>
      <c r="R464" s="103">
        <f t="shared" si="642"/>
        <v>0</v>
      </c>
      <c r="S464" s="104">
        <f t="shared" si="642"/>
        <v>0</v>
      </c>
      <c r="T464" s="104">
        <f t="shared" si="643"/>
        <v>0</v>
      </c>
      <c r="U464" s="104">
        <f t="shared" si="643"/>
        <v>0</v>
      </c>
      <c r="V464" s="104">
        <f t="shared" si="643"/>
        <v>9.9999999999999995E-8</v>
      </c>
      <c r="W464" s="104">
        <f t="shared" si="643"/>
        <v>0</v>
      </c>
      <c r="X464" s="104">
        <f t="shared" si="651"/>
        <v>0</v>
      </c>
      <c r="Y464" s="104">
        <f t="shared" si="651"/>
        <v>9.9999999999999995E-8</v>
      </c>
      <c r="Z464" s="104">
        <f t="shared" si="651"/>
        <v>9.9999999999999995E-8</v>
      </c>
      <c r="AA464" s="105">
        <f t="shared" si="651"/>
        <v>9.9999999999999995E-8</v>
      </c>
      <c r="AB464" s="101" t="e">
        <f>$DT464*HLOOKUP($J464,'Construction Costs (timber)'!$B$1:$V$32,'Construction Planner'!$L464+2,FALSE)</f>
        <v>#N/A</v>
      </c>
      <c r="AC464" s="14" t="e">
        <f>$DT464*HLOOKUP($J464,'Construction Costs (clay)'!$B$1:$V$32,'Construction Planner'!$L464+2,FALSE)</f>
        <v>#N/A</v>
      </c>
      <c r="AD464" s="14" t="e">
        <f>$DT464*HLOOKUP($J464,'Construction Costs (iron)'!$B$1:$V$32,'Construction Planner'!$L464+2,FALSE)</f>
        <v>#N/A</v>
      </c>
      <c r="AE464" s="34" t="e">
        <f t="shared" si="619"/>
        <v>#N/A</v>
      </c>
      <c r="AF464" s="33" t="e">
        <f t="shared" si="657"/>
        <v>#N/A</v>
      </c>
      <c r="AG464" s="14" t="e">
        <f t="shared" si="658"/>
        <v>#N/A</v>
      </c>
      <c r="AH464" s="14" t="e">
        <f t="shared" si="659"/>
        <v>#N/A</v>
      </c>
      <c r="AI464" s="34" t="e">
        <f t="shared" si="620"/>
        <v>#N/A</v>
      </c>
      <c r="AJ464" s="49" t="e">
        <f t="shared" ref="AJ464:AJ509" si="678">(($N464-$N463)/$AK$3)*BG463+AJ463-AB463-BD463</f>
        <v>#N/A</v>
      </c>
      <c r="AK464" s="49" t="e">
        <f t="shared" ref="AK464:AK509" si="679">(($N464-$N463)/$AK$3)*BH463+AK463-AC463-BE463</f>
        <v>#N/A</v>
      </c>
      <c r="AL464" s="49" t="e">
        <f t="shared" ref="AL464:AL509" si="680">(($N464-$N463)/$AK$3)*BI463+AL463-AD463-BF463</f>
        <v>#N/A</v>
      </c>
      <c r="AM464" s="25">
        <f t="shared" si="660"/>
        <v>30</v>
      </c>
      <c r="AN464" s="25">
        <f t="shared" si="661"/>
        <v>30</v>
      </c>
      <c r="AO464" s="25">
        <f t="shared" si="662"/>
        <v>30</v>
      </c>
      <c r="AP464" s="52" t="e">
        <f t="shared" ref="AP464:AR509" si="681">($N464-$AK$6+$AK$9+1)*$AK$5/24/3*$AS464</f>
        <v>#N/A</v>
      </c>
      <c r="AQ464" s="53" t="e">
        <f t="shared" si="681"/>
        <v>#N/A</v>
      </c>
      <c r="AR464" s="54" t="e">
        <f t="shared" si="681"/>
        <v>#N/A</v>
      </c>
      <c r="AS464" s="316">
        <f t="shared" si="648"/>
        <v>0</v>
      </c>
      <c r="AT464" s="106">
        <f>_xlfn.IFNA($M464/VLOOKUP($BT464,'Unit information'!$A$2:$K$29,2,FALSE)*R464,0)*(1+$E$9)</f>
        <v>0</v>
      </c>
      <c r="AU464" s="107">
        <f>_xlfn.IFNA($M464/VLOOKUP($BT464,'Unit information'!$A$2:$K$29,3,FALSE)*S464,0)*(1+$E$9)</f>
        <v>0</v>
      </c>
      <c r="AV464" s="107">
        <f>_xlfn.IFNA($M464/VLOOKUP($BT464,'Unit information'!$A$2:$K$29,4,FALSE)*T464,0)*(1+$E$9)</f>
        <v>0</v>
      </c>
      <c r="AW464" s="107">
        <f>_xlfn.IFNA($M464/VLOOKUP($BT464,'Unit information'!$A$2:$K$29,5,FALSE)*U464,0)*(1+$E$9)</f>
        <v>0</v>
      </c>
      <c r="AX464" s="107">
        <f>_xlfn.IFNA($M464/VLOOKUP($BU464,'Unit information'!$A$2:$K$29,6,FALSE)*V464,0)*(1+$E$9)</f>
        <v>0</v>
      </c>
      <c r="AY464" s="107">
        <f>_xlfn.IFNA($M464/VLOOKUP($BU464,'Unit information'!$A$2:$K$29,7,FALSE)*W464,0)*(1+$E$9)</f>
        <v>0</v>
      </c>
      <c r="AZ464" s="107">
        <f>_xlfn.IFNA($M464/VLOOKUP($BU464,'Unit information'!$A$2:$K$29,8,FALSE)*X464,0)*(1+$E$9)</f>
        <v>0</v>
      </c>
      <c r="BA464" s="107">
        <f>_xlfn.IFNA($M464/VLOOKUP($BU464,'Unit information'!$A$2:$K$29,9,FALSE)*Y464,0)*(1+$E$9)</f>
        <v>0</v>
      </c>
      <c r="BB464" s="107">
        <f>_xlfn.IFNA($M464/VLOOKUP($BV464,'Unit information'!$A$2:$K$29,10,FALSE)*Z464,0)*(1+$E$9)</f>
        <v>0</v>
      </c>
      <c r="BC464" s="108">
        <f>_xlfn.IFNA($M464/VLOOKUP($BV464,'Unit information'!$A$2:$K$29,11,FALSE)*AA464,0)*(1+$E$9)</f>
        <v>0</v>
      </c>
      <c r="BD464" s="106">
        <f t="shared" si="663"/>
        <v>0</v>
      </c>
      <c r="BE464" s="107">
        <f t="shared" si="664"/>
        <v>0</v>
      </c>
      <c r="BF464" s="108">
        <f t="shared" si="665"/>
        <v>0</v>
      </c>
      <c r="BG464" s="25" t="e">
        <f t="shared" si="666"/>
        <v>#N/A</v>
      </c>
      <c r="BH464" s="25" t="e">
        <f t="shared" si="667"/>
        <v>#N/A</v>
      </c>
      <c r="BI464" s="25" t="e">
        <f t="shared" si="668"/>
        <v>#N/A</v>
      </c>
      <c r="BJ464" s="27" t="e">
        <f t="shared" si="669"/>
        <v>#N/A</v>
      </c>
      <c r="BK464" s="18" t="e">
        <f t="shared" si="670"/>
        <v>#N/A</v>
      </c>
      <c r="BL464" s="18" t="e">
        <f t="shared" si="671"/>
        <v>#N/A</v>
      </c>
      <c r="BM464" s="28" t="e">
        <f t="shared" si="622"/>
        <v>#N/A</v>
      </c>
      <c r="BN464" s="33">
        <f>HLOOKUP("maximum population",Miscelaneous!$C$1:$C$33,CH464+3,FALSE)</f>
        <v>240</v>
      </c>
      <c r="BO464" s="14">
        <f t="shared" ref="BO464:BO509" si="682">SUM(CN465:DH465)</f>
        <v>32</v>
      </c>
      <c r="BP464" s="14">
        <f t="shared" ref="BP464:BP509" si="683">SUM(DI464:DL464)+DM464*2+DN464*4+DO464*5+DP464*6+DQ464*5+DR464*8</f>
        <v>0</v>
      </c>
      <c r="BQ464" s="14">
        <f t="shared" ref="BQ464:BQ509" si="684">BN464-BO464-BP464</f>
        <v>208</v>
      </c>
      <c r="BR464" s="34" t="e">
        <f>HLOOKUP(J464,Villagers!$B$1:$V$33,L464+3,FALSE)-HLOOKUP(J464,Villagers!$B$1:$V$33,L464+2,FALSE)</f>
        <v>#N/A</v>
      </c>
      <c r="BS464" s="49">
        <f t="shared" ref="BS464:BS479" si="685">IF($J463=BS$14,$L463,BS463)</f>
        <v>1</v>
      </c>
      <c r="BT464" s="50">
        <f t="shared" ref="BT464:BT479" si="686">IF($J463=BT$14,$L463,BT463)</f>
        <v>0</v>
      </c>
      <c r="BU464" s="50">
        <f t="shared" ref="BU464:BU479" si="687">IF($J463=BU$14,$L463,BU463)</f>
        <v>0</v>
      </c>
      <c r="BV464" s="50">
        <f t="shared" ref="BV464:BV479" si="688">IF($J463=BV$14,$L463,BV463)</f>
        <v>0</v>
      </c>
      <c r="BW464" s="50">
        <f t="shared" ref="BW464:BY470" si="689">IF($J463=BW$14,$L463,BW463)</f>
        <v>0</v>
      </c>
      <c r="BX464" s="50">
        <f t="shared" si="689"/>
        <v>0</v>
      </c>
      <c r="BY464" s="50">
        <f t="shared" si="689"/>
        <v>0</v>
      </c>
      <c r="BZ464" s="50">
        <f t="shared" si="623"/>
        <v>0</v>
      </c>
      <c r="CA464" s="50">
        <f t="shared" si="624"/>
        <v>0</v>
      </c>
      <c r="CB464" s="50">
        <f t="shared" si="625"/>
        <v>1</v>
      </c>
      <c r="CC464" s="50">
        <f t="shared" si="626"/>
        <v>0</v>
      </c>
      <c r="CD464" s="50">
        <f t="shared" si="627"/>
        <v>0</v>
      </c>
      <c r="CE464" s="50">
        <f t="shared" si="628"/>
        <v>1</v>
      </c>
      <c r="CF464" s="50">
        <f t="shared" si="629"/>
        <v>1</v>
      </c>
      <c r="CG464" s="50">
        <f t="shared" si="630"/>
        <v>1</v>
      </c>
      <c r="CH464" s="50">
        <f t="shared" si="631"/>
        <v>1</v>
      </c>
      <c r="CI464" s="50">
        <f t="shared" si="632"/>
        <v>1</v>
      </c>
      <c r="CJ464" s="50">
        <f t="shared" si="633"/>
        <v>1</v>
      </c>
      <c r="CK464" s="50">
        <f t="shared" si="633"/>
        <v>0</v>
      </c>
      <c r="CL464" s="50">
        <f t="shared" si="633"/>
        <v>0</v>
      </c>
      <c r="CM464" s="51">
        <f t="shared" si="634"/>
        <v>0</v>
      </c>
      <c r="CN464" s="33">
        <f>ROUND(IF(BS464=0,0,HLOOKUP(BS$14,Villagers!$B$1:$V$33,BS464+3,FALSE)),)</f>
        <v>5</v>
      </c>
      <c r="CO464" s="14">
        <f>ROUND(IF(BT464=0,0,HLOOKUP(BT$14,Villagers!$B$1:$V$33,BT464+3,FALSE)),)</f>
        <v>0</v>
      </c>
      <c r="CP464" s="14">
        <f>ROUND(IF(BU464=0,0,HLOOKUP(BU$14,Villagers!$B$1:$V$33,BU464+3,FALSE)),)</f>
        <v>0</v>
      </c>
      <c r="CQ464" s="14">
        <f>ROUND(IF(BV464=0,0,HLOOKUP(BV$14,Villagers!$B$1:$V$33,BV464+3,FALSE)),)</f>
        <v>0</v>
      </c>
      <c r="CR464" s="14">
        <f>ROUND(IF(BW464=0,0,HLOOKUP(BW$14,Villagers!$B$1:$V$33,BW464+3,FALSE)),)</f>
        <v>0</v>
      </c>
      <c r="CS464" s="14">
        <f>ROUND(IF(BX464=0,0,HLOOKUP(BX$14,Villagers!$B$1:$V$33,BX464+3,FALSE)),)</f>
        <v>0</v>
      </c>
      <c r="CT464" s="14">
        <f>ROUND(IF(BY464=0,0,HLOOKUP(BY$14,Villagers!$B$1:$V$33,BY464+3,FALSE)),)</f>
        <v>0</v>
      </c>
      <c r="CU464" s="14">
        <f>ROUND(IF(BZ464=0,0,HLOOKUP(BZ$14,Villagers!$B$1:$V$33,BZ464+3,FALSE)),)</f>
        <v>0</v>
      </c>
      <c r="CV464" s="14">
        <f>ROUND(IF(CA464=0,0,HLOOKUP(CA$14,Villagers!$B$1:$V$33,CA464+3,FALSE)),)</f>
        <v>0</v>
      </c>
      <c r="CW464" s="14">
        <f>ROUND(IF(CB464=0,0,HLOOKUP(CB$14,Villagers!$B$1:$V$33,CB464+3,FALSE)),)</f>
        <v>0</v>
      </c>
      <c r="CX464" s="14">
        <f>ROUND(IF(CC464=0,0,HLOOKUP(CC$14,Villagers!$B$1:$V$33,CC464+3,FALSE)),)</f>
        <v>0</v>
      </c>
      <c r="CY464" s="14">
        <f>ROUND(IF(CD464=0,0,HLOOKUP(CD$14,Villagers!$B$1:$V$33,CD464+3,FALSE)),)</f>
        <v>0</v>
      </c>
      <c r="CZ464" s="14">
        <f>ROUND(IF(CE464=0,0,HLOOKUP(CE$14,Villagers!$B$1:$V$33,CE464+3,FALSE)),)</f>
        <v>5</v>
      </c>
      <c r="DA464" s="14">
        <f>ROUND(IF(CF464=0,0,HLOOKUP(CF$14,Villagers!$B$1:$V$33,CF464+3,FALSE)),)</f>
        <v>10</v>
      </c>
      <c r="DB464" s="14">
        <f>ROUND(IF(CG464=0,0,HLOOKUP(CG$14,Villagers!$B$1:$V$33,CG464+3,FALSE)),)</f>
        <v>10</v>
      </c>
      <c r="DC464" s="14">
        <f>ROUND(IF(CH464=0,0,HLOOKUP(CH$14,Villagers!$B$1:$V$33,CH464+3,FALSE)),)</f>
        <v>0</v>
      </c>
      <c r="DD464" s="14">
        <f>ROUND(IF(CI464=0,0,HLOOKUP(CI$14,Villagers!$B$1:$V$33,CI464+3,FALSE)),)</f>
        <v>0</v>
      </c>
      <c r="DE464" s="14">
        <f>ROUND(IF(CJ464=0,0,HLOOKUP(CJ$14,Villagers!$B$1:$V$33,CJ464+3,FALSE)),)</f>
        <v>2</v>
      </c>
      <c r="DF464" s="370">
        <f>ROUND(IF(CK464=0,0,HLOOKUP(CK$14,Villagers!$B$1:$V$33,CK464+3,FALSE)),)</f>
        <v>0</v>
      </c>
      <c r="DG464" s="370">
        <f>ROUND(IF(CL464=0,0,HLOOKUP(CL$14,Villagers!$B$1:$V$33,CL464+3,FALSE)),)</f>
        <v>0</v>
      </c>
      <c r="DH464" s="34">
        <f>ROUND(IF(CM464=0,0,HLOOKUP(CM$14,Villagers!$B$1:$V$33,CM464+3,FALSE)),)</f>
        <v>0</v>
      </c>
      <c r="DI464" s="109">
        <f t="shared" si="611"/>
        <v>0</v>
      </c>
      <c r="DJ464" s="50">
        <f t="shared" si="612"/>
        <v>0</v>
      </c>
      <c r="DK464" s="50">
        <f t="shared" si="613"/>
        <v>0</v>
      </c>
      <c r="DL464" s="50">
        <f t="shared" si="614"/>
        <v>0</v>
      </c>
      <c r="DM464" s="50">
        <f t="shared" si="615"/>
        <v>0</v>
      </c>
      <c r="DN464" s="50">
        <f t="shared" si="616"/>
        <v>0</v>
      </c>
      <c r="DO464" s="50">
        <f t="shared" si="617"/>
        <v>0</v>
      </c>
      <c r="DP464" s="50">
        <f t="shared" si="618"/>
        <v>0</v>
      </c>
      <c r="DQ464" s="50">
        <f t="shared" ref="DQ464:DQ509" si="690">ROUND(_xlfn.IFNA(DQ463+BB464,DQ463),0)</f>
        <v>0</v>
      </c>
      <c r="DR464" s="50">
        <f t="shared" ref="DR464:DR509" si="691">ROUND(_xlfn.IFNA(DR463+BC464,DR463),0)</f>
        <v>0</v>
      </c>
      <c r="DS464" s="96">
        <f>Miscelaneous!$D$4*Miscelaneous!$D$2^($CI464-1)</f>
        <v>1000</v>
      </c>
      <c r="DT464" s="333">
        <f t="shared" si="672"/>
        <v>1</v>
      </c>
      <c r="DU464" s="81">
        <v>1</v>
      </c>
      <c r="DV464" s="79">
        <f t="shared" ref="DV464:DV509" si="692">IF(BS464&gt;2,1,0)</f>
        <v>0</v>
      </c>
      <c r="DW464" s="79">
        <f t="shared" ref="DW464:DW509" si="693">IF(AND(BS464&gt;9,CA464&gt;4,BT464&gt;4)=TRUE,1,0)</f>
        <v>0</v>
      </c>
      <c r="DX464" s="79">
        <f t="shared" ref="DX464:DX509" si="694">IF(AND(BS464&gt;9,CA464&gt;9)=TRUE,1,0)</f>
        <v>0</v>
      </c>
      <c r="DY464" s="79">
        <v>1</v>
      </c>
      <c r="DZ464" s="79">
        <f t="shared" ref="DZ464:DZ509" si="695">IF(AND(BS464&gt;4,CH464&gt;4),1,0)</f>
        <v>0</v>
      </c>
      <c r="EA464" s="79">
        <f t="shared" ref="EA464:EA509" si="696">IF(AND(BS464&gt;4,CH464&gt;4),1,0)</f>
        <v>0</v>
      </c>
      <c r="EB464" s="79">
        <f t="shared" ref="EB464:EB509" si="697">IF(AND(BS464&gt;19,CA464&gt;19,CD464&gt;9)=TRUE,1,0)</f>
        <v>0</v>
      </c>
      <c r="EC464" s="79">
        <f t="shared" ref="EC464:EC509" si="698">IF(AND(BS464&gt;4,BT464&gt;0)=TRUE,1,0)</f>
        <v>0</v>
      </c>
      <c r="ED464" s="79">
        <v>1</v>
      </c>
      <c r="EE464" s="79">
        <v>1</v>
      </c>
      <c r="EF464" s="79">
        <f t="shared" ref="EF464:EF509" si="699">IF(AND(BS464&gt;2,CI464&gt;1),1,0)</f>
        <v>0</v>
      </c>
      <c r="EG464" s="79">
        <v>1</v>
      </c>
      <c r="EH464" s="79">
        <v>1</v>
      </c>
      <c r="EI464" s="79">
        <v>1</v>
      </c>
      <c r="EJ464" s="79">
        <v>1</v>
      </c>
      <c r="EK464" s="79">
        <v>1</v>
      </c>
      <c r="EL464" s="79">
        <v>1</v>
      </c>
      <c r="EM464" s="143">
        <f t="shared" ref="EM464:EM509" si="700">IF(CL464&gt;0,1,0)</f>
        <v>0</v>
      </c>
      <c r="EN464" s="143">
        <f t="shared" ref="EN464:EN509" si="701">IF(BZ464&gt;0,1,0)</f>
        <v>0</v>
      </c>
      <c r="EO464" s="82">
        <f t="shared" ref="EO464:EO509" si="702">IF(BT464&gt;0,1,0)</f>
        <v>0</v>
      </c>
    </row>
    <row r="465" spans="1:145" x14ac:dyDescent="0.25">
      <c r="A465">
        <v>451</v>
      </c>
      <c r="B465" s="172" t="e">
        <f t="shared" si="673"/>
        <v>#N/A</v>
      </c>
      <c r="C465" s="121" t="e">
        <f t="shared" si="652"/>
        <v>#N/A</v>
      </c>
      <c r="D465" s="122" t="e">
        <f t="shared" si="653"/>
        <v>#N/A</v>
      </c>
      <c r="E465" s="122" t="e">
        <f t="shared" si="654"/>
        <v>#N/A</v>
      </c>
      <c r="F465" s="176" t="e">
        <f t="shared" si="655"/>
        <v>#N/A</v>
      </c>
      <c r="G465" s="121">
        <f t="shared" si="674"/>
        <v>208</v>
      </c>
      <c r="H465" s="176" t="e">
        <f t="shared" si="675"/>
        <v>#N/A</v>
      </c>
      <c r="I465" s="48">
        <v>1</v>
      </c>
      <c r="J465" s="39"/>
      <c r="K465" s="350">
        <v>1</v>
      </c>
      <c r="L465" s="34" t="e">
        <f t="shared" si="656"/>
        <v>#N/A</v>
      </c>
      <c r="M465" s="38" t="e">
        <f>(HLOOKUP(J465,'Construction Times'!$B$3:$W$34,L465+2,FALSE)*HLOOKUP("hq modifier",'Construction Times'!$W$3:$W$34,BS465+2,FALSE))*(1-$H$9)</f>
        <v>#N/A</v>
      </c>
      <c r="N465" s="443" t="e">
        <f t="shared" si="676"/>
        <v>#N/A</v>
      </c>
      <c r="O465" s="444"/>
      <c r="P465" s="447" t="e">
        <f t="shared" si="677"/>
        <v>#N/A</v>
      </c>
      <c r="Q465" s="448"/>
      <c r="R465" s="103">
        <f t="shared" ref="R465:S509" si="703">R464</f>
        <v>0</v>
      </c>
      <c r="S465" s="104">
        <f t="shared" si="703"/>
        <v>0</v>
      </c>
      <c r="T465" s="104">
        <f t="shared" ref="T465:W509" si="704">T464</f>
        <v>0</v>
      </c>
      <c r="U465" s="104">
        <f t="shared" si="704"/>
        <v>0</v>
      </c>
      <c r="V465" s="104">
        <f t="shared" si="704"/>
        <v>9.9999999999999995E-8</v>
      </c>
      <c r="W465" s="104">
        <f t="shared" si="704"/>
        <v>0</v>
      </c>
      <c r="X465" s="104">
        <f t="shared" si="651"/>
        <v>0</v>
      </c>
      <c r="Y465" s="104">
        <f t="shared" si="651"/>
        <v>9.9999999999999995E-8</v>
      </c>
      <c r="Z465" s="104">
        <f t="shared" si="651"/>
        <v>9.9999999999999995E-8</v>
      </c>
      <c r="AA465" s="105">
        <f t="shared" si="651"/>
        <v>9.9999999999999995E-8</v>
      </c>
      <c r="AB465" s="101" t="e">
        <f>$DT465*HLOOKUP($J465,'Construction Costs (timber)'!$B$1:$V$32,'Construction Planner'!$L465+2,FALSE)</f>
        <v>#N/A</v>
      </c>
      <c r="AC465" s="14" t="e">
        <f>$DT465*HLOOKUP($J465,'Construction Costs (clay)'!$B$1:$V$32,'Construction Planner'!$L465+2,FALSE)</f>
        <v>#N/A</v>
      </c>
      <c r="AD465" s="14" t="e">
        <f>$DT465*HLOOKUP($J465,'Construction Costs (iron)'!$B$1:$V$32,'Construction Planner'!$L465+2,FALSE)</f>
        <v>#N/A</v>
      </c>
      <c r="AE465" s="34" t="e">
        <f t="shared" si="619"/>
        <v>#N/A</v>
      </c>
      <c r="AF465" s="33" t="e">
        <f t="shared" si="657"/>
        <v>#N/A</v>
      </c>
      <c r="AG465" s="14" t="e">
        <f t="shared" si="658"/>
        <v>#N/A</v>
      </c>
      <c r="AH465" s="14" t="e">
        <f t="shared" si="659"/>
        <v>#N/A</v>
      </c>
      <c r="AI465" s="34" t="e">
        <f t="shared" si="620"/>
        <v>#N/A</v>
      </c>
      <c r="AJ465" s="49" t="e">
        <f t="shared" si="678"/>
        <v>#N/A</v>
      </c>
      <c r="AK465" s="49" t="e">
        <f t="shared" si="679"/>
        <v>#N/A</v>
      </c>
      <c r="AL465" s="49" t="e">
        <f t="shared" si="680"/>
        <v>#N/A</v>
      </c>
      <c r="AM465" s="25">
        <f t="shared" si="660"/>
        <v>30</v>
      </c>
      <c r="AN465" s="25">
        <f t="shared" si="661"/>
        <v>30</v>
      </c>
      <c r="AO465" s="25">
        <f t="shared" si="662"/>
        <v>30</v>
      </c>
      <c r="AP465" s="52" t="e">
        <f t="shared" si="681"/>
        <v>#N/A</v>
      </c>
      <c r="AQ465" s="53" t="e">
        <f t="shared" si="681"/>
        <v>#N/A</v>
      </c>
      <c r="AR465" s="54" t="e">
        <f t="shared" si="681"/>
        <v>#N/A</v>
      </c>
      <c r="AS465" s="316">
        <f t="shared" si="648"/>
        <v>0</v>
      </c>
      <c r="AT465" s="106">
        <f>_xlfn.IFNA($M465/VLOOKUP($BT465,'Unit information'!$A$2:$K$29,2,FALSE)*R465,0)*(1+$E$9)</f>
        <v>0</v>
      </c>
      <c r="AU465" s="107">
        <f>_xlfn.IFNA($M465/VLOOKUP($BT465,'Unit information'!$A$2:$K$29,3,FALSE)*S465,0)*(1+$E$9)</f>
        <v>0</v>
      </c>
      <c r="AV465" s="107">
        <f>_xlfn.IFNA($M465/VLOOKUP($BT465,'Unit information'!$A$2:$K$29,4,FALSE)*T465,0)*(1+$E$9)</f>
        <v>0</v>
      </c>
      <c r="AW465" s="107">
        <f>_xlfn.IFNA($M465/VLOOKUP($BT465,'Unit information'!$A$2:$K$29,5,FALSE)*U465,0)*(1+$E$9)</f>
        <v>0</v>
      </c>
      <c r="AX465" s="107">
        <f>_xlfn.IFNA($M465/VLOOKUP($BU465,'Unit information'!$A$2:$K$29,6,FALSE)*V465,0)*(1+$E$9)</f>
        <v>0</v>
      </c>
      <c r="AY465" s="107">
        <f>_xlfn.IFNA($M465/VLOOKUP($BU465,'Unit information'!$A$2:$K$29,7,FALSE)*W465,0)*(1+$E$9)</f>
        <v>0</v>
      </c>
      <c r="AZ465" s="107">
        <f>_xlfn.IFNA($M465/VLOOKUP($BU465,'Unit information'!$A$2:$K$29,8,FALSE)*X465,0)*(1+$E$9)</f>
        <v>0</v>
      </c>
      <c r="BA465" s="107">
        <f>_xlfn.IFNA($M465/VLOOKUP($BU465,'Unit information'!$A$2:$K$29,9,FALSE)*Y465,0)*(1+$E$9)</f>
        <v>0</v>
      </c>
      <c r="BB465" s="107">
        <f>_xlfn.IFNA($M465/VLOOKUP($BV465,'Unit information'!$A$2:$K$29,10,FALSE)*Z465,0)*(1+$E$9)</f>
        <v>0</v>
      </c>
      <c r="BC465" s="108">
        <f>_xlfn.IFNA($M465/VLOOKUP($BV465,'Unit information'!$A$2:$K$29,11,FALSE)*AA465,0)*(1+$E$9)</f>
        <v>0</v>
      </c>
      <c r="BD465" s="106">
        <f t="shared" si="663"/>
        <v>0</v>
      </c>
      <c r="BE465" s="107">
        <f t="shared" si="664"/>
        <v>0</v>
      </c>
      <c r="BF465" s="108">
        <f t="shared" si="665"/>
        <v>0</v>
      </c>
      <c r="BG465" s="25" t="e">
        <f t="shared" si="666"/>
        <v>#N/A</v>
      </c>
      <c r="BH465" s="25" t="e">
        <f t="shared" si="667"/>
        <v>#N/A</v>
      </c>
      <c r="BI465" s="25" t="e">
        <f t="shared" si="668"/>
        <v>#N/A</v>
      </c>
      <c r="BJ465" s="27" t="e">
        <f t="shared" si="669"/>
        <v>#N/A</v>
      </c>
      <c r="BK465" s="18" t="e">
        <f t="shared" si="670"/>
        <v>#N/A</v>
      </c>
      <c r="BL465" s="18" t="e">
        <f t="shared" si="671"/>
        <v>#N/A</v>
      </c>
      <c r="BM465" s="28" t="e">
        <f t="shared" si="622"/>
        <v>#N/A</v>
      </c>
      <c r="BN465" s="33">
        <f>HLOOKUP("maximum population",Miscelaneous!$C$1:$C$33,CH465+3,FALSE)</f>
        <v>240</v>
      </c>
      <c r="BO465" s="14">
        <f t="shared" si="682"/>
        <v>32</v>
      </c>
      <c r="BP465" s="14">
        <f t="shared" si="683"/>
        <v>0</v>
      </c>
      <c r="BQ465" s="14">
        <f t="shared" si="684"/>
        <v>208</v>
      </c>
      <c r="BR465" s="34" t="e">
        <f>HLOOKUP(J465,Villagers!$B$1:$V$33,L465+3,FALSE)-HLOOKUP(J465,Villagers!$B$1:$V$33,L465+2,FALSE)</f>
        <v>#N/A</v>
      </c>
      <c r="BS465" s="49">
        <f t="shared" si="685"/>
        <v>1</v>
      </c>
      <c r="BT465" s="50">
        <f t="shared" si="686"/>
        <v>0</v>
      </c>
      <c r="BU465" s="50">
        <f t="shared" si="687"/>
        <v>0</v>
      </c>
      <c r="BV465" s="50">
        <f t="shared" si="688"/>
        <v>0</v>
      </c>
      <c r="BW465" s="50">
        <f t="shared" si="689"/>
        <v>0</v>
      </c>
      <c r="BX465" s="50">
        <f t="shared" si="689"/>
        <v>0</v>
      </c>
      <c r="BY465" s="50">
        <f t="shared" si="689"/>
        <v>0</v>
      </c>
      <c r="BZ465" s="50">
        <f t="shared" si="623"/>
        <v>0</v>
      </c>
      <c r="CA465" s="50">
        <f t="shared" si="624"/>
        <v>0</v>
      </c>
      <c r="CB465" s="50">
        <f t="shared" si="625"/>
        <v>1</v>
      </c>
      <c r="CC465" s="50">
        <f t="shared" si="626"/>
        <v>0</v>
      </c>
      <c r="CD465" s="50">
        <f t="shared" si="627"/>
        <v>0</v>
      </c>
      <c r="CE465" s="50">
        <f t="shared" si="628"/>
        <v>1</v>
      </c>
      <c r="CF465" s="50">
        <f t="shared" si="629"/>
        <v>1</v>
      </c>
      <c r="CG465" s="50">
        <f t="shared" si="630"/>
        <v>1</v>
      </c>
      <c r="CH465" s="50">
        <f t="shared" si="631"/>
        <v>1</v>
      </c>
      <c r="CI465" s="50">
        <f t="shared" si="632"/>
        <v>1</v>
      </c>
      <c r="CJ465" s="50">
        <f t="shared" si="633"/>
        <v>1</v>
      </c>
      <c r="CK465" s="50">
        <f t="shared" si="633"/>
        <v>0</v>
      </c>
      <c r="CL465" s="50">
        <f t="shared" si="633"/>
        <v>0</v>
      </c>
      <c r="CM465" s="51">
        <f t="shared" si="634"/>
        <v>0</v>
      </c>
      <c r="CN465" s="33">
        <f>ROUND(IF(BS465=0,0,HLOOKUP(BS$14,Villagers!$B$1:$V$33,BS465+3,FALSE)),)</f>
        <v>5</v>
      </c>
      <c r="CO465" s="14">
        <f>ROUND(IF(BT465=0,0,HLOOKUP(BT$14,Villagers!$B$1:$V$33,BT465+3,FALSE)),)</f>
        <v>0</v>
      </c>
      <c r="CP465" s="14">
        <f>ROUND(IF(BU465=0,0,HLOOKUP(BU$14,Villagers!$B$1:$V$33,BU465+3,FALSE)),)</f>
        <v>0</v>
      </c>
      <c r="CQ465" s="14">
        <f>ROUND(IF(BV465=0,0,HLOOKUP(BV$14,Villagers!$B$1:$V$33,BV465+3,FALSE)),)</f>
        <v>0</v>
      </c>
      <c r="CR465" s="14">
        <f>ROUND(IF(BW465=0,0,HLOOKUP(BW$14,Villagers!$B$1:$V$33,BW465+3,FALSE)),)</f>
        <v>0</v>
      </c>
      <c r="CS465" s="14">
        <f>ROUND(IF(BX465=0,0,HLOOKUP(BX$14,Villagers!$B$1:$V$33,BX465+3,FALSE)),)</f>
        <v>0</v>
      </c>
      <c r="CT465" s="14">
        <f>ROUND(IF(BY465=0,0,HLOOKUP(BY$14,Villagers!$B$1:$V$33,BY465+3,FALSE)),)</f>
        <v>0</v>
      </c>
      <c r="CU465" s="14">
        <f>ROUND(IF(BZ465=0,0,HLOOKUP(BZ$14,Villagers!$B$1:$V$33,BZ465+3,FALSE)),)</f>
        <v>0</v>
      </c>
      <c r="CV465" s="14">
        <f>ROUND(IF(CA465=0,0,HLOOKUP(CA$14,Villagers!$B$1:$V$33,CA465+3,FALSE)),)</f>
        <v>0</v>
      </c>
      <c r="CW465" s="14">
        <f>ROUND(IF(CB465=0,0,HLOOKUP(CB$14,Villagers!$B$1:$V$33,CB465+3,FALSE)),)</f>
        <v>0</v>
      </c>
      <c r="CX465" s="14">
        <f>ROUND(IF(CC465=0,0,HLOOKUP(CC$14,Villagers!$B$1:$V$33,CC465+3,FALSE)),)</f>
        <v>0</v>
      </c>
      <c r="CY465" s="14">
        <f>ROUND(IF(CD465=0,0,HLOOKUP(CD$14,Villagers!$B$1:$V$33,CD465+3,FALSE)),)</f>
        <v>0</v>
      </c>
      <c r="CZ465" s="14">
        <f>ROUND(IF(CE465=0,0,HLOOKUP(CE$14,Villagers!$B$1:$V$33,CE465+3,FALSE)),)</f>
        <v>5</v>
      </c>
      <c r="DA465" s="14">
        <f>ROUND(IF(CF465=0,0,HLOOKUP(CF$14,Villagers!$B$1:$V$33,CF465+3,FALSE)),)</f>
        <v>10</v>
      </c>
      <c r="DB465" s="14">
        <f>ROUND(IF(CG465=0,0,HLOOKUP(CG$14,Villagers!$B$1:$V$33,CG465+3,FALSE)),)</f>
        <v>10</v>
      </c>
      <c r="DC465" s="14">
        <f>ROUND(IF(CH465=0,0,HLOOKUP(CH$14,Villagers!$B$1:$V$33,CH465+3,FALSE)),)</f>
        <v>0</v>
      </c>
      <c r="DD465" s="14">
        <f>ROUND(IF(CI465=0,0,HLOOKUP(CI$14,Villagers!$B$1:$V$33,CI465+3,FALSE)),)</f>
        <v>0</v>
      </c>
      <c r="DE465" s="14">
        <f>ROUND(IF(CJ465=0,0,HLOOKUP(CJ$14,Villagers!$B$1:$V$33,CJ465+3,FALSE)),)</f>
        <v>2</v>
      </c>
      <c r="DF465" s="370">
        <f>ROUND(IF(CK465=0,0,HLOOKUP(CK$14,Villagers!$B$1:$V$33,CK465+3,FALSE)),)</f>
        <v>0</v>
      </c>
      <c r="DG465" s="370">
        <f>ROUND(IF(CL465=0,0,HLOOKUP(CL$14,Villagers!$B$1:$V$33,CL465+3,FALSE)),)</f>
        <v>0</v>
      </c>
      <c r="DH465" s="34">
        <f>ROUND(IF(CM465=0,0,HLOOKUP(CM$14,Villagers!$B$1:$V$33,CM465+3,FALSE)),)</f>
        <v>0</v>
      </c>
      <c r="DI465" s="109">
        <f t="shared" ref="DI465:DI509" si="705">ROUND(_xlfn.IFNA(DI464+AT465,DI464),0)</f>
        <v>0</v>
      </c>
      <c r="DJ465" s="50">
        <f t="shared" ref="DJ465:DJ509" si="706">ROUND(_xlfn.IFNA(DJ464+AU465,DJ464),0)</f>
        <v>0</v>
      </c>
      <c r="DK465" s="50">
        <f t="shared" ref="DK465:DK509" si="707">ROUND(_xlfn.IFNA(DK464+AV465,DK464),0)</f>
        <v>0</v>
      </c>
      <c r="DL465" s="50">
        <f t="shared" ref="DL465:DL509" si="708">ROUND(_xlfn.IFNA(DL464+AW465,DL464),0)</f>
        <v>0</v>
      </c>
      <c r="DM465" s="50">
        <f t="shared" ref="DM465:DM509" si="709">ROUND(_xlfn.IFNA(DM464+AX465,DM464),0)</f>
        <v>0</v>
      </c>
      <c r="DN465" s="50">
        <f t="shared" ref="DN465:DN509" si="710">ROUND(_xlfn.IFNA(DN464+AY465,DN464),0)</f>
        <v>0</v>
      </c>
      <c r="DO465" s="50">
        <f t="shared" ref="DO465:DO509" si="711">ROUND(_xlfn.IFNA(DO464+AZ465,DO464),0)</f>
        <v>0</v>
      </c>
      <c r="DP465" s="50">
        <f t="shared" ref="DP465:DP509" si="712">ROUND(_xlfn.IFNA(DP464+BA465,DP464),0)</f>
        <v>0</v>
      </c>
      <c r="DQ465" s="50">
        <f t="shared" si="690"/>
        <v>0</v>
      </c>
      <c r="DR465" s="50">
        <f t="shared" si="691"/>
        <v>0</v>
      </c>
      <c r="DS465" s="96">
        <f>Miscelaneous!$D$4*Miscelaneous!$D$2^($CI465-1)</f>
        <v>1000</v>
      </c>
      <c r="DT465" s="333">
        <f t="shared" si="672"/>
        <v>1</v>
      </c>
      <c r="DU465" s="81">
        <v>1</v>
      </c>
      <c r="DV465" s="79">
        <f t="shared" si="692"/>
        <v>0</v>
      </c>
      <c r="DW465" s="79">
        <f t="shared" si="693"/>
        <v>0</v>
      </c>
      <c r="DX465" s="79">
        <f t="shared" si="694"/>
        <v>0</v>
      </c>
      <c r="DY465" s="79">
        <v>1</v>
      </c>
      <c r="DZ465" s="79">
        <f t="shared" si="695"/>
        <v>0</v>
      </c>
      <c r="EA465" s="79">
        <f t="shared" si="696"/>
        <v>0</v>
      </c>
      <c r="EB465" s="79">
        <f t="shared" si="697"/>
        <v>0</v>
      </c>
      <c r="EC465" s="79">
        <f t="shared" si="698"/>
        <v>0</v>
      </c>
      <c r="ED465" s="79">
        <v>1</v>
      </c>
      <c r="EE465" s="79">
        <v>1</v>
      </c>
      <c r="EF465" s="79">
        <f t="shared" si="699"/>
        <v>0</v>
      </c>
      <c r="EG465" s="79">
        <v>1</v>
      </c>
      <c r="EH465" s="79">
        <v>1</v>
      </c>
      <c r="EI465" s="79">
        <v>1</v>
      </c>
      <c r="EJ465" s="79">
        <v>1</v>
      </c>
      <c r="EK465" s="79">
        <v>1</v>
      </c>
      <c r="EL465" s="79">
        <v>1</v>
      </c>
      <c r="EM465" s="143">
        <f t="shared" si="700"/>
        <v>0</v>
      </c>
      <c r="EN465" s="143">
        <f t="shared" si="701"/>
        <v>0</v>
      </c>
      <c r="EO465" s="82">
        <f t="shared" si="702"/>
        <v>0</v>
      </c>
    </row>
    <row r="466" spans="1:145" x14ac:dyDescent="0.25">
      <c r="A466">
        <v>452</v>
      </c>
      <c r="B466" s="172" t="e">
        <f t="shared" si="673"/>
        <v>#N/A</v>
      </c>
      <c r="C466" s="121" t="e">
        <f t="shared" si="652"/>
        <v>#N/A</v>
      </c>
      <c r="D466" s="122" t="e">
        <f t="shared" si="653"/>
        <v>#N/A</v>
      </c>
      <c r="E466" s="122" t="e">
        <f t="shared" si="654"/>
        <v>#N/A</v>
      </c>
      <c r="F466" s="176" t="e">
        <f t="shared" si="655"/>
        <v>#N/A</v>
      </c>
      <c r="G466" s="121">
        <f t="shared" si="674"/>
        <v>208</v>
      </c>
      <c r="H466" s="176" t="e">
        <f t="shared" si="675"/>
        <v>#N/A</v>
      </c>
      <c r="I466" s="48">
        <v>1</v>
      </c>
      <c r="J466" s="39"/>
      <c r="K466" s="350">
        <v>1</v>
      </c>
      <c r="L466" s="34" t="e">
        <f t="shared" si="656"/>
        <v>#N/A</v>
      </c>
      <c r="M466" s="38" t="e">
        <f>(HLOOKUP(J466,'Construction Times'!$B$3:$W$34,L466+2,FALSE)*HLOOKUP("hq modifier",'Construction Times'!$W$3:$W$34,BS466+2,FALSE))*(1-$H$9)</f>
        <v>#N/A</v>
      </c>
      <c r="N466" s="443" t="e">
        <f t="shared" si="676"/>
        <v>#N/A</v>
      </c>
      <c r="O466" s="444"/>
      <c r="P466" s="447" t="e">
        <f t="shared" si="677"/>
        <v>#N/A</v>
      </c>
      <c r="Q466" s="448"/>
      <c r="R466" s="103">
        <f t="shared" si="703"/>
        <v>0</v>
      </c>
      <c r="S466" s="104">
        <f t="shared" si="703"/>
        <v>0</v>
      </c>
      <c r="T466" s="104">
        <f t="shared" si="704"/>
        <v>0</v>
      </c>
      <c r="U466" s="104">
        <f t="shared" si="704"/>
        <v>0</v>
      </c>
      <c r="V466" s="104">
        <f t="shared" si="704"/>
        <v>9.9999999999999995E-8</v>
      </c>
      <c r="W466" s="104">
        <f t="shared" si="704"/>
        <v>0</v>
      </c>
      <c r="X466" s="104">
        <f t="shared" si="651"/>
        <v>0</v>
      </c>
      <c r="Y466" s="104">
        <f t="shared" si="651"/>
        <v>9.9999999999999995E-8</v>
      </c>
      <c r="Z466" s="104">
        <f t="shared" si="651"/>
        <v>9.9999999999999995E-8</v>
      </c>
      <c r="AA466" s="105">
        <f t="shared" si="651"/>
        <v>9.9999999999999995E-8</v>
      </c>
      <c r="AB466" s="101" t="e">
        <f>$DT466*HLOOKUP($J466,'Construction Costs (timber)'!$B$1:$V$32,'Construction Planner'!$L466+2,FALSE)</f>
        <v>#N/A</v>
      </c>
      <c r="AC466" s="14" t="e">
        <f>$DT466*HLOOKUP($J466,'Construction Costs (clay)'!$B$1:$V$32,'Construction Planner'!$L466+2,FALSE)</f>
        <v>#N/A</v>
      </c>
      <c r="AD466" s="14" t="e">
        <f>$DT466*HLOOKUP($J466,'Construction Costs (iron)'!$B$1:$V$32,'Construction Planner'!$L466+2,FALSE)</f>
        <v>#N/A</v>
      </c>
      <c r="AE466" s="34" t="e">
        <f t="shared" si="619"/>
        <v>#N/A</v>
      </c>
      <c r="AF466" s="33" t="e">
        <f t="shared" si="657"/>
        <v>#N/A</v>
      </c>
      <c r="AG466" s="14" t="e">
        <f t="shared" si="658"/>
        <v>#N/A</v>
      </c>
      <c r="AH466" s="14" t="e">
        <f t="shared" si="659"/>
        <v>#N/A</v>
      </c>
      <c r="AI466" s="34" t="e">
        <f t="shared" si="620"/>
        <v>#N/A</v>
      </c>
      <c r="AJ466" s="49" t="e">
        <f t="shared" si="678"/>
        <v>#N/A</v>
      </c>
      <c r="AK466" s="49" t="e">
        <f t="shared" si="679"/>
        <v>#N/A</v>
      </c>
      <c r="AL466" s="49" t="e">
        <f t="shared" si="680"/>
        <v>#N/A</v>
      </c>
      <c r="AM466" s="25">
        <f t="shared" si="660"/>
        <v>30</v>
      </c>
      <c r="AN466" s="25">
        <f t="shared" si="661"/>
        <v>30</v>
      </c>
      <c r="AO466" s="25">
        <f t="shared" si="662"/>
        <v>30</v>
      </c>
      <c r="AP466" s="52" t="e">
        <f t="shared" si="681"/>
        <v>#N/A</v>
      </c>
      <c r="AQ466" s="53" t="e">
        <f t="shared" si="681"/>
        <v>#N/A</v>
      </c>
      <c r="AR466" s="54" t="e">
        <f t="shared" si="681"/>
        <v>#N/A</v>
      </c>
      <c r="AS466" s="316">
        <f t="shared" si="648"/>
        <v>0</v>
      </c>
      <c r="AT466" s="106">
        <f>_xlfn.IFNA($M466/VLOOKUP($BT466,'Unit information'!$A$2:$K$29,2,FALSE)*R466,0)*(1+$E$9)</f>
        <v>0</v>
      </c>
      <c r="AU466" s="107">
        <f>_xlfn.IFNA($M466/VLOOKUP($BT466,'Unit information'!$A$2:$K$29,3,FALSE)*S466,0)*(1+$E$9)</f>
        <v>0</v>
      </c>
      <c r="AV466" s="107">
        <f>_xlfn.IFNA($M466/VLOOKUP($BT466,'Unit information'!$A$2:$K$29,4,FALSE)*T466,0)*(1+$E$9)</f>
        <v>0</v>
      </c>
      <c r="AW466" s="107">
        <f>_xlfn.IFNA($M466/VLOOKUP($BT466,'Unit information'!$A$2:$K$29,5,FALSE)*U466,0)*(1+$E$9)</f>
        <v>0</v>
      </c>
      <c r="AX466" s="107">
        <f>_xlfn.IFNA($M466/VLOOKUP($BU466,'Unit information'!$A$2:$K$29,6,FALSE)*V466,0)*(1+$E$9)</f>
        <v>0</v>
      </c>
      <c r="AY466" s="107">
        <f>_xlfn.IFNA($M466/VLOOKUP($BU466,'Unit information'!$A$2:$K$29,7,FALSE)*W466,0)*(1+$E$9)</f>
        <v>0</v>
      </c>
      <c r="AZ466" s="107">
        <f>_xlfn.IFNA($M466/VLOOKUP($BU466,'Unit information'!$A$2:$K$29,8,FALSE)*X466,0)*(1+$E$9)</f>
        <v>0</v>
      </c>
      <c r="BA466" s="107">
        <f>_xlfn.IFNA($M466/VLOOKUP($BU466,'Unit information'!$A$2:$K$29,9,FALSE)*Y466,0)*(1+$E$9)</f>
        <v>0</v>
      </c>
      <c r="BB466" s="107">
        <f>_xlfn.IFNA($M466/VLOOKUP($BV466,'Unit information'!$A$2:$K$29,10,FALSE)*Z466,0)*(1+$E$9)</f>
        <v>0</v>
      </c>
      <c r="BC466" s="108">
        <f>_xlfn.IFNA($M466/VLOOKUP($BV466,'Unit information'!$A$2:$K$29,11,FALSE)*AA466,0)*(1+$E$9)</f>
        <v>0</v>
      </c>
      <c r="BD466" s="106">
        <f t="shared" si="663"/>
        <v>0</v>
      </c>
      <c r="BE466" s="107">
        <f t="shared" si="664"/>
        <v>0</v>
      </c>
      <c r="BF466" s="108">
        <f t="shared" si="665"/>
        <v>0</v>
      </c>
      <c r="BG466" s="25" t="e">
        <f t="shared" si="666"/>
        <v>#N/A</v>
      </c>
      <c r="BH466" s="25" t="e">
        <f t="shared" si="667"/>
        <v>#N/A</v>
      </c>
      <c r="BI466" s="25" t="e">
        <f t="shared" si="668"/>
        <v>#N/A</v>
      </c>
      <c r="BJ466" s="27" t="e">
        <f t="shared" si="669"/>
        <v>#N/A</v>
      </c>
      <c r="BK466" s="18" t="e">
        <f t="shared" si="670"/>
        <v>#N/A</v>
      </c>
      <c r="BL466" s="18" t="e">
        <f t="shared" si="671"/>
        <v>#N/A</v>
      </c>
      <c r="BM466" s="28" t="e">
        <f t="shared" si="622"/>
        <v>#N/A</v>
      </c>
      <c r="BN466" s="33">
        <f>HLOOKUP("maximum population",Miscelaneous!$C$1:$C$33,CH466+3,FALSE)</f>
        <v>240</v>
      </c>
      <c r="BO466" s="14">
        <f t="shared" si="682"/>
        <v>32</v>
      </c>
      <c r="BP466" s="14">
        <f t="shared" si="683"/>
        <v>0</v>
      </c>
      <c r="BQ466" s="14">
        <f t="shared" si="684"/>
        <v>208</v>
      </c>
      <c r="BR466" s="34" t="e">
        <f>HLOOKUP(J466,Villagers!$B$1:$V$33,L466+3,FALSE)-HLOOKUP(J466,Villagers!$B$1:$V$33,L466+2,FALSE)</f>
        <v>#N/A</v>
      </c>
      <c r="BS466" s="49">
        <f t="shared" si="685"/>
        <v>1</v>
      </c>
      <c r="BT466" s="50">
        <f t="shared" si="686"/>
        <v>0</v>
      </c>
      <c r="BU466" s="50">
        <f t="shared" si="687"/>
        <v>0</v>
      </c>
      <c r="BV466" s="50">
        <f t="shared" si="688"/>
        <v>0</v>
      </c>
      <c r="BW466" s="50">
        <f t="shared" si="689"/>
        <v>0</v>
      </c>
      <c r="BX466" s="50">
        <f t="shared" si="689"/>
        <v>0</v>
      </c>
      <c r="BY466" s="50">
        <f t="shared" si="689"/>
        <v>0</v>
      </c>
      <c r="BZ466" s="50">
        <f t="shared" si="623"/>
        <v>0</v>
      </c>
      <c r="CA466" s="50">
        <f t="shared" si="624"/>
        <v>0</v>
      </c>
      <c r="CB466" s="50">
        <f t="shared" si="625"/>
        <v>1</v>
      </c>
      <c r="CC466" s="50">
        <f t="shared" si="626"/>
        <v>0</v>
      </c>
      <c r="CD466" s="50">
        <f t="shared" si="627"/>
        <v>0</v>
      </c>
      <c r="CE466" s="50">
        <f t="shared" si="628"/>
        <v>1</v>
      </c>
      <c r="CF466" s="50">
        <f t="shared" si="629"/>
        <v>1</v>
      </c>
      <c r="CG466" s="50">
        <f t="shared" si="630"/>
        <v>1</v>
      </c>
      <c r="CH466" s="50">
        <f t="shared" si="631"/>
        <v>1</v>
      </c>
      <c r="CI466" s="50">
        <f t="shared" si="632"/>
        <v>1</v>
      </c>
      <c r="CJ466" s="50">
        <f t="shared" si="633"/>
        <v>1</v>
      </c>
      <c r="CK466" s="50">
        <f t="shared" si="633"/>
        <v>0</v>
      </c>
      <c r="CL466" s="50">
        <f t="shared" si="633"/>
        <v>0</v>
      </c>
      <c r="CM466" s="51">
        <f t="shared" si="634"/>
        <v>0</v>
      </c>
      <c r="CN466" s="33">
        <f>ROUND(IF(BS466=0,0,HLOOKUP(BS$14,Villagers!$B$1:$V$33,BS466+3,FALSE)),)</f>
        <v>5</v>
      </c>
      <c r="CO466" s="14">
        <f>ROUND(IF(BT466=0,0,HLOOKUP(BT$14,Villagers!$B$1:$V$33,BT466+3,FALSE)),)</f>
        <v>0</v>
      </c>
      <c r="CP466" s="14">
        <f>ROUND(IF(BU466=0,0,HLOOKUP(BU$14,Villagers!$B$1:$V$33,BU466+3,FALSE)),)</f>
        <v>0</v>
      </c>
      <c r="CQ466" s="14">
        <f>ROUND(IF(BV466=0,0,HLOOKUP(BV$14,Villagers!$B$1:$V$33,BV466+3,FALSE)),)</f>
        <v>0</v>
      </c>
      <c r="CR466" s="14">
        <f>ROUND(IF(BW466=0,0,HLOOKUP(BW$14,Villagers!$B$1:$V$33,BW466+3,FALSE)),)</f>
        <v>0</v>
      </c>
      <c r="CS466" s="14">
        <f>ROUND(IF(BX466=0,0,HLOOKUP(BX$14,Villagers!$B$1:$V$33,BX466+3,FALSE)),)</f>
        <v>0</v>
      </c>
      <c r="CT466" s="14">
        <f>ROUND(IF(BY466=0,0,HLOOKUP(BY$14,Villagers!$B$1:$V$33,BY466+3,FALSE)),)</f>
        <v>0</v>
      </c>
      <c r="CU466" s="14">
        <f>ROUND(IF(BZ466=0,0,HLOOKUP(BZ$14,Villagers!$B$1:$V$33,BZ466+3,FALSE)),)</f>
        <v>0</v>
      </c>
      <c r="CV466" s="14">
        <f>ROUND(IF(CA466=0,0,HLOOKUP(CA$14,Villagers!$B$1:$V$33,CA466+3,FALSE)),)</f>
        <v>0</v>
      </c>
      <c r="CW466" s="14">
        <f>ROUND(IF(CB466=0,0,HLOOKUP(CB$14,Villagers!$B$1:$V$33,CB466+3,FALSE)),)</f>
        <v>0</v>
      </c>
      <c r="CX466" s="14">
        <f>ROUND(IF(CC466=0,0,HLOOKUP(CC$14,Villagers!$B$1:$V$33,CC466+3,FALSE)),)</f>
        <v>0</v>
      </c>
      <c r="CY466" s="14">
        <f>ROUND(IF(CD466=0,0,HLOOKUP(CD$14,Villagers!$B$1:$V$33,CD466+3,FALSE)),)</f>
        <v>0</v>
      </c>
      <c r="CZ466" s="14">
        <f>ROUND(IF(CE466=0,0,HLOOKUP(CE$14,Villagers!$B$1:$V$33,CE466+3,FALSE)),)</f>
        <v>5</v>
      </c>
      <c r="DA466" s="14">
        <f>ROUND(IF(CF466=0,0,HLOOKUP(CF$14,Villagers!$B$1:$V$33,CF466+3,FALSE)),)</f>
        <v>10</v>
      </c>
      <c r="DB466" s="14">
        <f>ROUND(IF(CG466=0,0,HLOOKUP(CG$14,Villagers!$B$1:$V$33,CG466+3,FALSE)),)</f>
        <v>10</v>
      </c>
      <c r="DC466" s="14">
        <f>ROUND(IF(CH466=0,0,HLOOKUP(CH$14,Villagers!$B$1:$V$33,CH466+3,FALSE)),)</f>
        <v>0</v>
      </c>
      <c r="DD466" s="14">
        <f>ROUND(IF(CI466=0,0,HLOOKUP(CI$14,Villagers!$B$1:$V$33,CI466+3,FALSE)),)</f>
        <v>0</v>
      </c>
      <c r="DE466" s="14">
        <f>ROUND(IF(CJ466=0,0,HLOOKUP(CJ$14,Villagers!$B$1:$V$33,CJ466+3,FALSE)),)</f>
        <v>2</v>
      </c>
      <c r="DF466" s="370">
        <f>ROUND(IF(CK466=0,0,HLOOKUP(CK$14,Villagers!$B$1:$V$33,CK466+3,FALSE)),)</f>
        <v>0</v>
      </c>
      <c r="DG466" s="370">
        <f>ROUND(IF(CL466=0,0,HLOOKUP(CL$14,Villagers!$B$1:$V$33,CL466+3,FALSE)),)</f>
        <v>0</v>
      </c>
      <c r="DH466" s="34">
        <f>ROUND(IF(CM466=0,0,HLOOKUP(CM$14,Villagers!$B$1:$V$33,CM466+3,FALSE)),)</f>
        <v>0</v>
      </c>
      <c r="DI466" s="109">
        <f t="shared" si="705"/>
        <v>0</v>
      </c>
      <c r="DJ466" s="50">
        <f t="shared" si="706"/>
        <v>0</v>
      </c>
      <c r="DK466" s="50">
        <f t="shared" si="707"/>
        <v>0</v>
      </c>
      <c r="DL466" s="50">
        <f t="shared" si="708"/>
        <v>0</v>
      </c>
      <c r="DM466" s="50">
        <f t="shared" si="709"/>
        <v>0</v>
      </c>
      <c r="DN466" s="50">
        <f t="shared" si="710"/>
        <v>0</v>
      </c>
      <c r="DO466" s="50">
        <f t="shared" si="711"/>
        <v>0</v>
      </c>
      <c r="DP466" s="50">
        <f t="shared" si="712"/>
        <v>0</v>
      </c>
      <c r="DQ466" s="50">
        <f t="shared" si="690"/>
        <v>0</v>
      </c>
      <c r="DR466" s="50">
        <f t="shared" si="691"/>
        <v>0</v>
      </c>
      <c r="DS466" s="96">
        <f>Miscelaneous!$D$4*Miscelaneous!$D$2^($CI466-1)</f>
        <v>1000</v>
      </c>
      <c r="DT466" s="333">
        <f t="shared" si="672"/>
        <v>1</v>
      </c>
      <c r="DU466" s="81">
        <v>1</v>
      </c>
      <c r="DV466" s="79">
        <f t="shared" si="692"/>
        <v>0</v>
      </c>
      <c r="DW466" s="79">
        <f t="shared" si="693"/>
        <v>0</v>
      </c>
      <c r="DX466" s="79">
        <f t="shared" si="694"/>
        <v>0</v>
      </c>
      <c r="DY466" s="79">
        <v>1</v>
      </c>
      <c r="DZ466" s="79">
        <f t="shared" si="695"/>
        <v>0</v>
      </c>
      <c r="EA466" s="79">
        <f t="shared" si="696"/>
        <v>0</v>
      </c>
      <c r="EB466" s="79">
        <f t="shared" si="697"/>
        <v>0</v>
      </c>
      <c r="EC466" s="79">
        <f t="shared" si="698"/>
        <v>0</v>
      </c>
      <c r="ED466" s="79">
        <v>1</v>
      </c>
      <c r="EE466" s="79">
        <v>1</v>
      </c>
      <c r="EF466" s="79">
        <f t="shared" si="699"/>
        <v>0</v>
      </c>
      <c r="EG466" s="79">
        <v>1</v>
      </c>
      <c r="EH466" s="79">
        <v>1</v>
      </c>
      <c r="EI466" s="79">
        <v>1</v>
      </c>
      <c r="EJ466" s="79">
        <v>1</v>
      </c>
      <c r="EK466" s="79">
        <v>1</v>
      </c>
      <c r="EL466" s="79">
        <v>1</v>
      </c>
      <c r="EM466" s="143">
        <f t="shared" si="700"/>
        <v>0</v>
      </c>
      <c r="EN466" s="143">
        <f t="shared" si="701"/>
        <v>0</v>
      </c>
      <c r="EO466" s="82">
        <f t="shared" si="702"/>
        <v>0</v>
      </c>
    </row>
    <row r="467" spans="1:145" x14ac:dyDescent="0.25">
      <c r="A467">
        <v>453</v>
      </c>
      <c r="B467" s="172" t="e">
        <f t="shared" si="673"/>
        <v>#N/A</v>
      </c>
      <c r="C467" s="121" t="e">
        <f t="shared" si="652"/>
        <v>#N/A</v>
      </c>
      <c r="D467" s="122" t="e">
        <f t="shared" si="653"/>
        <v>#N/A</v>
      </c>
      <c r="E467" s="122" t="e">
        <f t="shared" si="654"/>
        <v>#N/A</v>
      </c>
      <c r="F467" s="176" t="e">
        <f t="shared" si="655"/>
        <v>#N/A</v>
      </c>
      <c r="G467" s="121">
        <f t="shared" si="674"/>
        <v>208</v>
      </c>
      <c r="H467" s="176" t="e">
        <f t="shared" si="675"/>
        <v>#N/A</v>
      </c>
      <c r="I467" s="48">
        <v>1</v>
      </c>
      <c r="J467" s="39"/>
      <c r="K467" s="350">
        <v>1</v>
      </c>
      <c r="L467" s="34" t="e">
        <f t="shared" si="656"/>
        <v>#N/A</v>
      </c>
      <c r="M467" s="38" t="e">
        <f>(HLOOKUP(J467,'Construction Times'!$B$3:$W$34,L467+2,FALSE)*HLOOKUP("hq modifier",'Construction Times'!$W$3:$W$34,BS467+2,FALSE))*(1-$H$9)</f>
        <v>#N/A</v>
      </c>
      <c r="N467" s="443" t="e">
        <f t="shared" si="676"/>
        <v>#N/A</v>
      </c>
      <c r="O467" s="444"/>
      <c r="P467" s="447" t="e">
        <f t="shared" si="677"/>
        <v>#N/A</v>
      </c>
      <c r="Q467" s="448"/>
      <c r="R467" s="103">
        <f t="shared" si="703"/>
        <v>0</v>
      </c>
      <c r="S467" s="104">
        <f t="shared" si="703"/>
        <v>0</v>
      </c>
      <c r="T467" s="104">
        <f t="shared" si="704"/>
        <v>0</v>
      </c>
      <c r="U467" s="104">
        <f t="shared" si="704"/>
        <v>0</v>
      </c>
      <c r="V467" s="104">
        <f t="shared" si="704"/>
        <v>9.9999999999999995E-8</v>
      </c>
      <c r="W467" s="104">
        <f t="shared" si="704"/>
        <v>0</v>
      </c>
      <c r="X467" s="104">
        <f t="shared" si="651"/>
        <v>0</v>
      </c>
      <c r="Y467" s="104">
        <f t="shared" si="651"/>
        <v>9.9999999999999995E-8</v>
      </c>
      <c r="Z467" s="104">
        <f t="shared" si="651"/>
        <v>9.9999999999999995E-8</v>
      </c>
      <c r="AA467" s="105">
        <f t="shared" si="651"/>
        <v>9.9999999999999995E-8</v>
      </c>
      <c r="AB467" s="101" t="e">
        <f>$DT467*HLOOKUP($J467,'Construction Costs (timber)'!$B$1:$V$32,'Construction Planner'!$L467+2,FALSE)</f>
        <v>#N/A</v>
      </c>
      <c r="AC467" s="14" t="e">
        <f>$DT467*HLOOKUP($J467,'Construction Costs (clay)'!$B$1:$V$32,'Construction Planner'!$L467+2,FALSE)</f>
        <v>#N/A</v>
      </c>
      <c r="AD467" s="14" t="e">
        <f>$DT467*HLOOKUP($J467,'Construction Costs (iron)'!$B$1:$V$32,'Construction Planner'!$L467+2,FALSE)</f>
        <v>#N/A</v>
      </c>
      <c r="AE467" s="34" t="e">
        <f t="shared" si="619"/>
        <v>#N/A</v>
      </c>
      <c r="AF467" s="33" t="e">
        <f t="shared" si="657"/>
        <v>#N/A</v>
      </c>
      <c r="AG467" s="14" t="e">
        <f t="shared" si="658"/>
        <v>#N/A</v>
      </c>
      <c r="AH467" s="14" t="e">
        <f t="shared" si="659"/>
        <v>#N/A</v>
      </c>
      <c r="AI467" s="34" t="e">
        <f t="shared" si="620"/>
        <v>#N/A</v>
      </c>
      <c r="AJ467" s="49" t="e">
        <f t="shared" si="678"/>
        <v>#N/A</v>
      </c>
      <c r="AK467" s="49" t="e">
        <f t="shared" si="679"/>
        <v>#N/A</v>
      </c>
      <c r="AL467" s="49" t="e">
        <f t="shared" si="680"/>
        <v>#N/A</v>
      </c>
      <c r="AM467" s="25">
        <f t="shared" si="660"/>
        <v>30</v>
      </c>
      <c r="AN467" s="25">
        <f t="shared" si="661"/>
        <v>30</v>
      </c>
      <c r="AO467" s="25">
        <f t="shared" si="662"/>
        <v>30</v>
      </c>
      <c r="AP467" s="52" t="e">
        <f t="shared" si="681"/>
        <v>#N/A</v>
      </c>
      <c r="AQ467" s="53" t="e">
        <f t="shared" si="681"/>
        <v>#N/A</v>
      </c>
      <c r="AR467" s="54" t="e">
        <f t="shared" si="681"/>
        <v>#N/A</v>
      </c>
      <c r="AS467" s="316">
        <f t="shared" si="648"/>
        <v>0</v>
      </c>
      <c r="AT467" s="106">
        <f>_xlfn.IFNA($M467/VLOOKUP($BT467,'Unit information'!$A$2:$K$29,2,FALSE)*R467,0)*(1+$E$9)</f>
        <v>0</v>
      </c>
      <c r="AU467" s="107">
        <f>_xlfn.IFNA($M467/VLOOKUP($BT467,'Unit information'!$A$2:$K$29,3,FALSE)*S467,0)*(1+$E$9)</f>
        <v>0</v>
      </c>
      <c r="AV467" s="107">
        <f>_xlfn.IFNA($M467/VLOOKUP($BT467,'Unit information'!$A$2:$K$29,4,FALSE)*T467,0)*(1+$E$9)</f>
        <v>0</v>
      </c>
      <c r="AW467" s="107">
        <f>_xlfn.IFNA($M467/VLOOKUP($BT467,'Unit information'!$A$2:$K$29,5,FALSE)*U467,0)*(1+$E$9)</f>
        <v>0</v>
      </c>
      <c r="AX467" s="107">
        <f>_xlfn.IFNA($M467/VLOOKUP($BU467,'Unit information'!$A$2:$K$29,6,FALSE)*V467,0)*(1+$E$9)</f>
        <v>0</v>
      </c>
      <c r="AY467" s="107">
        <f>_xlfn.IFNA($M467/VLOOKUP($BU467,'Unit information'!$A$2:$K$29,7,FALSE)*W467,0)*(1+$E$9)</f>
        <v>0</v>
      </c>
      <c r="AZ467" s="107">
        <f>_xlfn.IFNA($M467/VLOOKUP($BU467,'Unit information'!$A$2:$K$29,8,FALSE)*X467,0)*(1+$E$9)</f>
        <v>0</v>
      </c>
      <c r="BA467" s="107">
        <f>_xlfn.IFNA($M467/VLOOKUP($BU467,'Unit information'!$A$2:$K$29,9,FALSE)*Y467,0)*(1+$E$9)</f>
        <v>0</v>
      </c>
      <c r="BB467" s="107">
        <f>_xlfn.IFNA($M467/VLOOKUP($BV467,'Unit information'!$A$2:$K$29,10,FALSE)*Z467,0)*(1+$E$9)</f>
        <v>0</v>
      </c>
      <c r="BC467" s="108">
        <f>_xlfn.IFNA($M467/VLOOKUP($BV467,'Unit information'!$A$2:$K$29,11,FALSE)*AA467,0)*(1+$E$9)</f>
        <v>0</v>
      </c>
      <c r="BD467" s="106">
        <f t="shared" si="663"/>
        <v>0</v>
      </c>
      <c r="BE467" s="107">
        <f t="shared" si="664"/>
        <v>0</v>
      </c>
      <c r="BF467" s="108">
        <f t="shared" si="665"/>
        <v>0</v>
      </c>
      <c r="BG467" s="25" t="e">
        <f t="shared" si="666"/>
        <v>#N/A</v>
      </c>
      <c r="BH467" s="25" t="e">
        <f t="shared" si="667"/>
        <v>#N/A</v>
      </c>
      <c r="BI467" s="25" t="e">
        <f t="shared" si="668"/>
        <v>#N/A</v>
      </c>
      <c r="BJ467" s="27" t="e">
        <f t="shared" si="669"/>
        <v>#N/A</v>
      </c>
      <c r="BK467" s="18" t="e">
        <f t="shared" si="670"/>
        <v>#N/A</v>
      </c>
      <c r="BL467" s="18" t="e">
        <f t="shared" si="671"/>
        <v>#N/A</v>
      </c>
      <c r="BM467" s="28" t="e">
        <f t="shared" si="622"/>
        <v>#N/A</v>
      </c>
      <c r="BN467" s="33">
        <f>HLOOKUP("maximum population",Miscelaneous!$C$1:$C$33,CH467+3,FALSE)</f>
        <v>240</v>
      </c>
      <c r="BO467" s="14">
        <f t="shared" si="682"/>
        <v>32</v>
      </c>
      <c r="BP467" s="14">
        <f t="shared" si="683"/>
        <v>0</v>
      </c>
      <c r="BQ467" s="14">
        <f t="shared" si="684"/>
        <v>208</v>
      </c>
      <c r="BR467" s="34" t="e">
        <f>HLOOKUP(J467,Villagers!$B$1:$V$33,L467+3,FALSE)-HLOOKUP(J467,Villagers!$B$1:$V$33,L467+2,FALSE)</f>
        <v>#N/A</v>
      </c>
      <c r="BS467" s="49">
        <f t="shared" si="685"/>
        <v>1</v>
      </c>
      <c r="BT467" s="50">
        <f t="shared" si="686"/>
        <v>0</v>
      </c>
      <c r="BU467" s="50">
        <f t="shared" si="687"/>
        <v>0</v>
      </c>
      <c r="BV467" s="50">
        <f t="shared" si="688"/>
        <v>0</v>
      </c>
      <c r="BW467" s="50">
        <f t="shared" si="689"/>
        <v>0</v>
      </c>
      <c r="BX467" s="50">
        <f t="shared" si="689"/>
        <v>0</v>
      </c>
      <c r="BY467" s="50">
        <f t="shared" si="689"/>
        <v>0</v>
      </c>
      <c r="BZ467" s="50">
        <f t="shared" si="623"/>
        <v>0</v>
      </c>
      <c r="CA467" s="50">
        <f t="shared" si="624"/>
        <v>0</v>
      </c>
      <c r="CB467" s="50">
        <f t="shared" si="625"/>
        <v>1</v>
      </c>
      <c r="CC467" s="50">
        <f t="shared" si="626"/>
        <v>0</v>
      </c>
      <c r="CD467" s="50">
        <f t="shared" si="627"/>
        <v>0</v>
      </c>
      <c r="CE467" s="50">
        <f t="shared" si="628"/>
        <v>1</v>
      </c>
      <c r="CF467" s="50">
        <f t="shared" si="629"/>
        <v>1</v>
      </c>
      <c r="CG467" s="50">
        <f t="shared" si="630"/>
        <v>1</v>
      </c>
      <c r="CH467" s="50">
        <f t="shared" si="631"/>
        <v>1</v>
      </c>
      <c r="CI467" s="50">
        <f t="shared" si="632"/>
        <v>1</v>
      </c>
      <c r="CJ467" s="50">
        <f t="shared" si="633"/>
        <v>1</v>
      </c>
      <c r="CK467" s="50">
        <f t="shared" si="633"/>
        <v>0</v>
      </c>
      <c r="CL467" s="50">
        <f t="shared" si="633"/>
        <v>0</v>
      </c>
      <c r="CM467" s="51">
        <f t="shared" si="634"/>
        <v>0</v>
      </c>
      <c r="CN467" s="33">
        <f>ROUND(IF(BS467=0,0,HLOOKUP(BS$14,Villagers!$B$1:$V$33,BS467+3,FALSE)),)</f>
        <v>5</v>
      </c>
      <c r="CO467" s="14">
        <f>ROUND(IF(BT467=0,0,HLOOKUP(BT$14,Villagers!$B$1:$V$33,BT467+3,FALSE)),)</f>
        <v>0</v>
      </c>
      <c r="CP467" s="14">
        <f>ROUND(IF(BU467=0,0,HLOOKUP(BU$14,Villagers!$B$1:$V$33,BU467+3,FALSE)),)</f>
        <v>0</v>
      </c>
      <c r="CQ467" s="14">
        <f>ROUND(IF(BV467=0,0,HLOOKUP(BV$14,Villagers!$B$1:$V$33,BV467+3,FALSE)),)</f>
        <v>0</v>
      </c>
      <c r="CR467" s="14">
        <f>ROUND(IF(BW467=0,0,HLOOKUP(BW$14,Villagers!$B$1:$V$33,BW467+3,FALSE)),)</f>
        <v>0</v>
      </c>
      <c r="CS467" s="14">
        <f>ROUND(IF(BX467=0,0,HLOOKUP(BX$14,Villagers!$B$1:$V$33,BX467+3,FALSE)),)</f>
        <v>0</v>
      </c>
      <c r="CT467" s="14">
        <f>ROUND(IF(BY467=0,0,HLOOKUP(BY$14,Villagers!$B$1:$V$33,BY467+3,FALSE)),)</f>
        <v>0</v>
      </c>
      <c r="CU467" s="14">
        <f>ROUND(IF(BZ467=0,0,HLOOKUP(BZ$14,Villagers!$B$1:$V$33,BZ467+3,FALSE)),)</f>
        <v>0</v>
      </c>
      <c r="CV467" s="14">
        <f>ROUND(IF(CA467=0,0,HLOOKUP(CA$14,Villagers!$B$1:$V$33,CA467+3,FALSE)),)</f>
        <v>0</v>
      </c>
      <c r="CW467" s="14">
        <f>ROUND(IF(CB467=0,0,HLOOKUP(CB$14,Villagers!$B$1:$V$33,CB467+3,FALSE)),)</f>
        <v>0</v>
      </c>
      <c r="CX467" s="14">
        <f>ROUND(IF(CC467=0,0,HLOOKUP(CC$14,Villagers!$B$1:$V$33,CC467+3,FALSE)),)</f>
        <v>0</v>
      </c>
      <c r="CY467" s="14">
        <f>ROUND(IF(CD467=0,0,HLOOKUP(CD$14,Villagers!$B$1:$V$33,CD467+3,FALSE)),)</f>
        <v>0</v>
      </c>
      <c r="CZ467" s="14">
        <f>ROUND(IF(CE467=0,0,HLOOKUP(CE$14,Villagers!$B$1:$V$33,CE467+3,FALSE)),)</f>
        <v>5</v>
      </c>
      <c r="DA467" s="14">
        <f>ROUND(IF(CF467=0,0,HLOOKUP(CF$14,Villagers!$B$1:$V$33,CF467+3,FALSE)),)</f>
        <v>10</v>
      </c>
      <c r="DB467" s="14">
        <f>ROUND(IF(CG467=0,0,HLOOKUP(CG$14,Villagers!$B$1:$V$33,CG467+3,FALSE)),)</f>
        <v>10</v>
      </c>
      <c r="DC467" s="14">
        <f>ROUND(IF(CH467=0,0,HLOOKUP(CH$14,Villagers!$B$1:$V$33,CH467+3,FALSE)),)</f>
        <v>0</v>
      </c>
      <c r="DD467" s="14">
        <f>ROUND(IF(CI467=0,0,HLOOKUP(CI$14,Villagers!$B$1:$V$33,CI467+3,FALSE)),)</f>
        <v>0</v>
      </c>
      <c r="DE467" s="14">
        <f>ROUND(IF(CJ467=0,0,HLOOKUP(CJ$14,Villagers!$B$1:$V$33,CJ467+3,FALSE)),)</f>
        <v>2</v>
      </c>
      <c r="DF467" s="370">
        <f>ROUND(IF(CK467=0,0,HLOOKUP(CK$14,Villagers!$B$1:$V$33,CK467+3,FALSE)),)</f>
        <v>0</v>
      </c>
      <c r="DG467" s="370">
        <f>ROUND(IF(CL467=0,0,HLOOKUP(CL$14,Villagers!$B$1:$V$33,CL467+3,FALSE)),)</f>
        <v>0</v>
      </c>
      <c r="DH467" s="34">
        <f>ROUND(IF(CM467=0,0,HLOOKUP(CM$14,Villagers!$B$1:$V$33,CM467+3,FALSE)),)</f>
        <v>0</v>
      </c>
      <c r="DI467" s="109">
        <f t="shared" si="705"/>
        <v>0</v>
      </c>
      <c r="DJ467" s="50">
        <f t="shared" si="706"/>
        <v>0</v>
      </c>
      <c r="DK467" s="50">
        <f t="shared" si="707"/>
        <v>0</v>
      </c>
      <c r="DL467" s="50">
        <f t="shared" si="708"/>
        <v>0</v>
      </c>
      <c r="DM467" s="50">
        <f t="shared" si="709"/>
        <v>0</v>
      </c>
      <c r="DN467" s="50">
        <f t="shared" si="710"/>
        <v>0</v>
      </c>
      <c r="DO467" s="50">
        <f t="shared" si="711"/>
        <v>0</v>
      </c>
      <c r="DP467" s="50">
        <f t="shared" si="712"/>
        <v>0</v>
      </c>
      <c r="DQ467" s="50">
        <f t="shared" si="690"/>
        <v>0</v>
      </c>
      <c r="DR467" s="50">
        <f t="shared" si="691"/>
        <v>0</v>
      </c>
      <c r="DS467" s="96">
        <f>Miscelaneous!$D$4*Miscelaneous!$D$2^($CI467-1)</f>
        <v>1000</v>
      </c>
      <c r="DT467" s="333">
        <f t="shared" si="672"/>
        <v>1</v>
      </c>
      <c r="DU467" s="81">
        <v>1</v>
      </c>
      <c r="DV467" s="79">
        <f t="shared" si="692"/>
        <v>0</v>
      </c>
      <c r="DW467" s="79">
        <f t="shared" si="693"/>
        <v>0</v>
      </c>
      <c r="DX467" s="79">
        <f t="shared" si="694"/>
        <v>0</v>
      </c>
      <c r="DY467" s="79">
        <v>1</v>
      </c>
      <c r="DZ467" s="79">
        <f t="shared" si="695"/>
        <v>0</v>
      </c>
      <c r="EA467" s="79">
        <f t="shared" si="696"/>
        <v>0</v>
      </c>
      <c r="EB467" s="79">
        <f t="shared" si="697"/>
        <v>0</v>
      </c>
      <c r="EC467" s="79">
        <f t="shared" si="698"/>
        <v>0</v>
      </c>
      <c r="ED467" s="79">
        <v>1</v>
      </c>
      <c r="EE467" s="79">
        <v>1</v>
      </c>
      <c r="EF467" s="79">
        <f t="shared" si="699"/>
        <v>0</v>
      </c>
      <c r="EG467" s="79">
        <v>1</v>
      </c>
      <c r="EH467" s="79">
        <v>1</v>
      </c>
      <c r="EI467" s="79">
        <v>1</v>
      </c>
      <c r="EJ467" s="79">
        <v>1</v>
      </c>
      <c r="EK467" s="79">
        <v>1</v>
      </c>
      <c r="EL467" s="79">
        <v>1</v>
      </c>
      <c r="EM467" s="143">
        <f t="shared" si="700"/>
        <v>0</v>
      </c>
      <c r="EN467" s="143">
        <f t="shared" si="701"/>
        <v>0</v>
      </c>
      <c r="EO467" s="82">
        <f t="shared" si="702"/>
        <v>0</v>
      </c>
    </row>
    <row r="468" spans="1:145" x14ac:dyDescent="0.25">
      <c r="A468">
        <v>454</v>
      </c>
      <c r="B468" s="172" t="e">
        <f t="shared" si="673"/>
        <v>#N/A</v>
      </c>
      <c r="C468" s="121" t="e">
        <f t="shared" si="652"/>
        <v>#N/A</v>
      </c>
      <c r="D468" s="122" t="e">
        <f t="shared" si="653"/>
        <v>#N/A</v>
      </c>
      <c r="E468" s="122" t="e">
        <f t="shared" si="654"/>
        <v>#N/A</v>
      </c>
      <c r="F468" s="176" t="e">
        <f t="shared" si="655"/>
        <v>#N/A</v>
      </c>
      <c r="G468" s="121">
        <f t="shared" si="674"/>
        <v>208</v>
      </c>
      <c r="H468" s="176" t="e">
        <f t="shared" si="675"/>
        <v>#N/A</v>
      </c>
      <c r="I468" s="48">
        <v>1</v>
      </c>
      <c r="J468" s="39"/>
      <c r="K468" s="350">
        <v>1</v>
      </c>
      <c r="L468" s="34" t="e">
        <f t="shared" si="656"/>
        <v>#N/A</v>
      </c>
      <c r="M468" s="38" t="e">
        <f>(HLOOKUP(J468,'Construction Times'!$B$3:$W$34,L468+2,FALSE)*HLOOKUP("hq modifier",'Construction Times'!$W$3:$W$34,BS468+2,FALSE))*(1-$H$9)</f>
        <v>#N/A</v>
      </c>
      <c r="N468" s="443" t="e">
        <f t="shared" si="676"/>
        <v>#N/A</v>
      </c>
      <c r="O468" s="444"/>
      <c r="P468" s="447" t="e">
        <f t="shared" si="677"/>
        <v>#N/A</v>
      </c>
      <c r="Q468" s="448"/>
      <c r="R468" s="103">
        <f t="shared" si="703"/>
        <v>0</v>
      </c>
      <c r="S468" s="104">
        <f t="shared" si="703"/>
        <v>0</v>
      </c>
      <c r="T468" s="104">
        <f t="shared" si="704"/>
        <v>0</v>
      </c>
      <c r="U468" s="104">
        <f t="shared" si="704"/>
        <v>0</v>
      </c>
      <c r="V468" s="104">
        <f t="shared" si="704"/>
        <v>9.9999999999999995E-8</v>
      </c>
      <c r="W468" s="104">
        <f t="shared" si="704"/>
        <v>0</v>
      </c>
      <c r="X468" s="104">
        <f t="shared" si="651"/>
        <v>0</v>
      </c>
      <c r="Y468" s="104">
        <f t="shared" si="651"/>
        <v>9.9999999999999995E-8</v>
      </c>
      <c r="Z468" s="104">
        <f t="shared" si="651"/>
        <v>9.9999999999999995E-8</v>
      </c>
      <c r="AA468" s="105">
        <f t="shared" si="651"/>
        <v>9.9999999999999995E-8</v>
      </c>
      <c r="AB468" s="101" t="e">
        <f>$DT468*HLOOKUP($J468,'Construction Costs (timber)'!$B$1:$V$32,'Construction Planner'!$L468+2,FALSE)</f>
        <v>#N/A</v>
      </c>
      <c r="AC468" s="14" t="e">
        <f>$DT468*HLOOKUP($J468,'Construction Costs (clay)'!$B$1:$V$32,'Construction Planner'!$L468+2,FALSE)</f>
        <v>#N/A</v>
      </c>
      <c r="AD468" s="14" t="e">
        <f>$DT468*HLOOKUP($J468,'Construction Costs (iron)'!$B$1:$V$32,'Construction Planner'!$L468+2,FALSE)</f>
        <v>#N/A</v>
      </c>
      <c r="AE468" s="34" t="e">
        <f t="shared" ref="AE468:AE509" si="713">SUM(AB468:AD468)</f>
        <v>#N/A</v>
      </c>
      <c r="AF468" s="33" t="e">
        <f t="shared" si="657"/>
        <v>#N/A</v>
      </c>
      <c r="AG468" s="14" t="e">
        <f t="shared" si="658"/>
        <v>#N/A</v>
      </c>
      <c r="AH468" s="14" t="e">
        <f t="shared" si="659"/>
        <v>#N/A</v>
      </c>
      <c r="AI468" s="34" t="e">
        <f t="shared" ref="AI468:AI509" si="714">SUM(AF468:AH468)</f>
        <v>#N/A</v>
      </c>
      <c r="AJ468" s="49" t="e">
        <f t="shared" si="678"/>
        <v>#N/A</v>
      </c>
      <c r="AK468" s="49" t="e">
        <f t="shared" si="679"/>
        <v>#N/A</v>
      </c>
      <c r="AL468" s="49" t="e">
        <f t="shared" si="680"/>
        <v>#N/A</v>
      </c>
      <c r="AM468" s="25">
        <f t="shared" si="660"/>
        <v>30</v>
      </c>
      <c r="AN468" s="25">
        <f t="shared" si="661"/>
        <v>30</v>
      </c>
      <c r="AO468" s="25">
        <f t="shared" si="662"/>
        <v>30</v>
      </c>
      <c r="AP468" s="52" t="e">
        <f t="shared" si="681"/>
        <v>#N/A</v>
      </c>
      <c r="AQ468" s="53" t="e">
        <f t="shared" si="681"/>
        <v>#N/A</v>
      </c>
      <c r="AR468" s="54" t="e">
        <f t="shared" si="681"/>
        <v>#N/A</v>
      </c>
      <c r="AS468" s="316">
        <f t="shared" ref="AS468:AS483" si="715">AS467</f>
        <v>0</v>
      </c>
      <c r="AT468" s="106">
        <f>_xlfn.IFNA($M468/VLOOKUP($BT468,'Unit information'!$A$2:$K$29,2,FALSE)*R468,0)*(1+$E$9)</f>
        <v>0</v>
      </c>
      <c r="AU468" s="107">
        <f>_xlfn.IFNA($M468/VLOOKUP($BT468,'Unit information'!$A$2:$K$29,3,FALSE)*S468,0)*(1+$E$9)</f>
        <v>0</v>
      </c>
      <c r="AV468" s="107">
        <f>_xlfn.IFNA($M468/VLOOKUP($BT468,'Unit information'!$A$2:$K$29,4,FALSE)*T468,0)*(1+$E$9)</f>
        <v>0</v>
      </c>
      <c r="AW468" s="107">
        <f>_xlfn.IFNA($M468/VLOOKUP($BT468,'Unit information'!$A$2:$K$29,5,FALSE)*U468,0)*(1+$E$9)</f>
        <v>0</v>
      </c>
      <c r="AX468" s="107">
        <f>_xlfn.IFNA($M468/VLOOKUP($BU468,'Unit information'!$A$2:$K$29,6,FALSE)*V468,0)*(1+$E$9)</f>
        <v>0</v>
      </c>
      <c r="AY468" s="107">
        <f>_xlfn.IFNA($M468/VLOOKUP($BU468,'Unit information'!$A$2:$K$29,7,FALSE)*W468,0)*(1+$E$9)</f>
        <v>0</v>
      </c>
      <c r="AZ468" s="107">
        <f>_xlfn.IFNA($M468/VLOOKUP($BU468,'Unit information'!$A$2:$K$29,8,FALSE)*X468,0)*(1+$E$9)</f>
        <v>0</v>
      </c>
      <c r="BA468" s="107">
        <f>_xlfn.IFNA($M468/VLOOKUP($BU468,'Unit information'!$A$2:$K$29,9,FALSE)*Y468,0)*(1+$E$9)</f>
        <v>0</v>
      </c>
      <c r="BB468" s="107">
        <f>_xlfn.IFNA($M468/VLOOKUP($BV468,'Unit information'!$A$2:$K$29,10,FALSE)*Z468,0)*(1+$E$9)</f>
        <v>0</v>
      </c>
      <c r="BC468" s="108">
        <f>_xlfn.IFNA($M468/VLOOKUP($BV468,'Unit information'!$A$2:$K$29,11,FALSE)*AA468,0)*(1+$E$9)</f>
        <v>0</v>
      </c>
      <c r="BD468" s="106">
        <f t="shared" si="663"/>
        <v>0</v>
      </c>
      <c r="BE468" s="107">
        <f t="shared" si="664"/>
        <v>0</v>
      </c>
      <c r="BF468" s="108">
        <f t="shared" si="665"/>
        <v>0</v>
      </c>
      <c r="BG468" s="25" t="e">
        <f t="shared" si="666"/>
        <v>#N/A</v>
      </c>
      <c r="BH468" s="25" t="e">
        <f t="shared" si="667"/>
        <v>#N/A</v>
      </c>
      <c r="BI468" s="25" t="e">
        <f t="shared" si="668"/>
        <v>#N/A</v>
      </c>
      <c r="BJ468" s="27" t="e">
        <f t="shared" si="669"/>
        <v>#N/A</v>
      </c>
      <c r="BK468" s="18" t="e">
        <f t="shared" si="670"/>
        <v>#N/A</v>
      </c>
      <c r="BL468" s="18" t="e">
        <f t="shared" si="671"/>
        <v>#N/A</v>
      </c>
      <c r="BM468" s="28" t="e">
        <f t="shared" ref="BM468:BM509" si="716">MAX(BJ468:BL468)</f>
        <v>#N/A</v>
      </c>
      <c r="BN468" s="33">
        <f>HLOOKUP("maximum population",Miscelaneous!$C$1:$C$33,CH468+3,FALSE)</f>
        <v>240</v>
      </c>
      <c r="BO468" s="14">
        <f t="shared" si="682"/>
        <v>32</v>
      </c>
      <c r="BP468" s="14">
        <f t="shared" si="683"/>
        <v>0</v>
      </c>
      <c r="BQ468" s="14">
        <f t="shared" si="684"/>
        <v>208</v>
      </c>
      <c r="BR468" s="34" t="e">
        <f>HLOOKUP(J468,Villagers!$B$1:$V$33,L468+3,FALSE)-HLOOKUP(J468,Villagers!$B$1:$V$33,L468+2,FALSE)</f>
        <v>#N/A</v>
      </c>
      <c r="BS468" s="49">
        <f t="shared" si="685"/>
        <v>1</v>
      </c>
      <c r="BT468" s="50">
        <f t="shared" si="686"/>
        <v>0</v>
      </c>
      <c r="BU468" s="50">
        <f t="shared" si="687"/>
        <v>0</v>
      </c>
      <c r="BV468" s="50">
        <f t="shared" si="688"/>
        <v>0</v>
      </c>
      <c r="BW468" s="50">
        <f t="shared" si="689"/>
        <v>0</v>
      </c>
      <c r="BX468" s="50">
        <f t="shared" si="689"/>
        <v>0</v>
      </c>
      <c r="BY468" s="50">
        <f t="shared" si="689"/>
        <v>0</v>
      </c>
      <c r="BZ468" s="50">
        <f t="shared" si="623"/>
        <v>0</v>
      </c>
      <c r="CA468" s="50">
        <f t="shared" si="624"/>
        <v>0</v>
      </c>
      <c r="CB468" s="50">
        <f t="shared" si="625"/>
        <v>1</v>
      </c>
      <c r="CC468" s="50">
        <f t="shared" si="626"/>
        <v>0</v>
      </c>
      <c r="CD468" s="50">
        <f t="shared" si="627"/>
        <v>0</v>
      </c>
      <c r="CE468" s="50">
        <f t="shared" si="628"/>
        <v>1</v>
      </c>
      <c r="CF468" s="50">
        <f t="shared" si="629"/>
        <v>1</v>
      </c>
      <c r="CG468" s="50">
        <f t="shared" si="630"/>
        <v>1</v>
      </c>
      <c r="CH468" s="50">
        <f t="shared" si="631"/>
        <v>1</v>
      </c>
      <c r="CI468" s="50">
        <f t="shared" si="632"/>
        <v>1</v>
      </c>
      <c r="CJ468" s="50">
        <f t="shared" si="633"/>
        <v>1</v>
      </c>
      <c r="CK468" s="50">
        <f t="shared" si="633"/>
        <v>0</v>
      </c>
      <c r="CL468" s="50">
        <f t="shared" si="633"/>
        <v>0</v>
      </c>
      <c r="CM468" s="51">
        <f t="shared" si="634"/>
        <v>0</v>
      </c>
      <c r="CN468" s="33">
        <f>ROUND(IF(BS468=0,0,HLOOKUP(BS$14,Villagers!$B$1:$V$33,BS468+3,FALSE)),)</f>
        <v>5</v>
      </c>
      <c r="CO468" s="14">
        <f>ROUND(IF(BT468=0,0,HLOOKUP(BT$14,Villagers!$B$1:$V$33,BT468+3,FALSE)),)</f>
        <v>0</v>
      </c>
      <c r="CP468" s="14">
        <f>ROUND(IF(BU468=0,0,HLOOKUP(BU$14,Villagers!$B$1:$V$33,BU468+3,FALSE)),)</f>
        <v>0</v>
      </c>
      <c r="CQ468" s="14">
        <f>ROUND(IF(BV468=0,0,HLOOKUP(BV$14,Villagers!$B$1:$V$33,BV468+3,FALSE)),)</f>
        <v>0</v>
      </c>
      <c r="CR468" s="14">
        <f>ROUND(IF(BW468=0,0,HLOOKUP(BW$14,Villagers!$B$1:$V$33,BW468+3,FALSE)),)</f>
        <v>0</v>
      </c>
      <c r="CS468" s="14">
        <f>ROUND(IF(BX468=0,0,HLOOKUP(BX$14,Villagers!$B$1:$V$33,BX468+3,FALSE)),)</f>
        <v>0</v>
      </c>
      <c r="CT468" s="14">
        <f>ROUND(IF(BY468=0,0,HLOOKUP(BY$14,Villagers!$B$1:$V$33,BY468+3,FALSE)),)</f>
        <v>0</v>
      </c>
      <c r="CU468" s="14">
        <f>ROUND(IF(BZ468=0,0,HLOOKUP(BZ$14,Villagers!$B$1:$V$33,BZ468+3,FALSE)),)</f>
        <v>0</v>
      </c>
      <c r="CV468" s="14">
        <f>ROUND(IF(CA468=0,0,HLOOKUP(CA$14,Villagers!$B$1:$V$33,CA468+3,FALSE)),)</f>
        <v>0</v>
      </c>
      <c r="CW468" s="14">
        <f>ROUND(IF(CB468=0,0,HLOOKUP(CB$14,Villagers!$B$1:$V$33,CB468+3,FALSE)),)</f>
        <v>0</v>
      </c>
      <c r="CX468" s="14">
        <f>ROUND(IF(CC468=0,0,HLOOKUP(CC$14,Villagers!$B$1:$V$33,CC468+3,FALSE)),)</f>
        <v>0</v>
      </c>
      <c r="CY468" s="14">
        <f>ROUND(IF(CD468=0,0,HLOOKUP(CD$14,Villagers!$B$1:$V$33,CD468+3,FALSE)),)</f>
        <v>0</v>
      </c>
      <c r="CZ468" s="14">
        <f>ROUND(IF(CE468=0,0,HLOOKUP(CE$14,Villagers!$B$1:$V$33,CE468+3,FALSE)),)</f>
        <v>5</v>
      </c>
      <c r="DA468" s="14">
        <f>ROUND(IF(CF468=0,0,HLOOKUP(CF$14,Villagers!$B$1:$V$33,CF468+3,FALSE)),)</f>
        <v>10</v>
      </c>
      <c r="DB468" s="14">
        <f>ROUND(IF(CG468=0,0,HLOOKUP(CG$14,Villagers!$B$1:$V$33,CG468+3,FALSE)),)</f>
        <v>10</v>
      </c>
      <c r="DC468" s="14">
        <f>ROUND(IF(CH468=0,0,HLOOKUP(CH$14,Villagers!$B$1:$V$33,CH468+3,FALSE)),)</f>
        <v>0</v>
      </c>
      <c r="DD468" s="14">
        <f>ROUND(IF(CI468=0,0,HLOOKUP(CI$14,Villagers!$B$1:$V$33,CI468+3,FALSE)),)</f>
        <v>0</v>
      </c>
      <c r="DE468" s="14">
        <f>ROUND(IF(CJ468=0,0,HLOOKUP(CJ$14,Villagers!$B$1:$V$33,CJ468+3,FALSE)),)</f>
        <v>2</v>
      </c>
      <c r="DF468" s="370">
        <f>ROUND(IF(CK468=0,0,HLOOKUP(CK$14,Villagers!$B$1:$V$33,CK468+3,FALSE)),)</f>
        <v>0</v>
      </c>
      <c r="DG468" s="370">
        <f>ROUND(IF(CL468=0,0,HLOOKUP(CL$14,Villagers!$B$1:$V$33,CL468+3,FALSE)),)</f>
        <v>0</v>
      </c>
      <c r="DH468" s="34">
        <f>ROUND(IF(CM468=0,0,HLOOKUP(CM$14,Villagers!$B$1:$V$33,CM468+3,FALSE)),)</f>
        <v>0</v>
      </c>
      <c r="DI468" s="109">
        <f t="shared" si="705"/>
        <v>0</v>
      </c>
      <c r="DJ468" s="50">
        <f t="shared" si="706"/>
        <v>0</v>
      </c>
      <c r="DK468" s="50">
        <f t="shared" si="707"/>
        <v>0</v>
      </c>
      <c r="DL468" s="50">
        <f t="shared" si="708"/>
        <v>0</v>
      </c>
      <c r="DM468" s="50">
        <f t="shared" si="709"/>
        <v>0</v>
      </c>
      <c r="DN468" s="50">
        <f t="shared" si="710"/>
        <v>0</v>
      </c>
      <c r="DO468" s="50">
        <f t="shared" si="711"/>
        <v>0</v>
      </c>
      <c r="DP468" s="50">
        <f t="shared" si="712"/>
        <v>0</v>
      </c>
      <c r="DQ468" s="50">
        <f t="shared" si="690"/>
        <v>0</v>
      </c>
      <c r="DR468" s="50">
        <f t="shared" si="691"/>
        <v>0</v>
      </c>
      <c r="DS468" s="96">
        <f>Miscelaneous!$D$4*Miscelaneous!$D$2^($CI468-1)</f>
        <v>1000</v>
      </c>
      <c r="DT468" s="333">
        <f t="shared" si="672"/>
        <v>1</v>
      </c>
      <c r="DU468" s="81">
        <v>1</v>
      </c>
      <c r="DV468" s="79">
        <f t="shared" si="692"/>
        <v>0</v>
      </c>
      <c r="DW468" s="79">
        <f t="shared" si="693"/>
        <v>0</v>
      </c>
      <c r="DX468" s="79">
        <f t="shared" si="694"/>
        <v>0</v>
      </c>
      <c r="DY468" s="79">
        <v>1</v>
      </c>
      <c r="DZ468" s="79">
        <f t="shared" si="695"/>
        <v>0</v>
      </c>
      <c r="EA468" s="79">
        <f t="shared" si="696"/>
        <v>0</v>
      </c>
      <c r="EB468" s="79">
        <f t="shared" si="697"/>
        <v>0</v>
      </c>
      <c r="EC468" s="79">
        <f t="shared" si="698"/>
        <v>0</v>
      </c>
      <c r="ED468" s="79">
        <v>1</v>
      </c>
      <c r="EE468" s="79">
        <v>1</v>
      </c>
      <c r="EF468" s="79">
        <f t="shared" si="699"/>
        <v>0</v>
      </c>
      <c r="EG468" s="79">
        <v>1</v>
      </c>
      <c r="EH468" s="79">
        <v>1</v>
      </c>
      <c r="EI468" s="79">
        <v>1</v>
      </c>
      <c r="EJ468" s="79">
        <v>1</v>
      </c>
      <c r="EK468" s="79">
        <v>1</v>
      </c>
      <c r="EL468" s="79">
        <v>1</v>
      </c>
      <c r="EM468" s="143">
        <f t="shared" si="700"/>
        <v>0</v>
      </c>
      <c r="EN468" s="143">
        <f t="shared" si="701"/>
        <v>0</v>
      </c>
      <c r="EO468" s="82">
        <f t="shared" si="702"/>
        <v>0</v>
      </c>
    </row>
    <row r="469" spans="1:145" x14ac:dyDescent="0.25">
      <c r="A469">
        <v>455</v>
      </c>
      <c r="B469" s="172" t="e">
        <f t="shared" si="673"/>
        <v>#N/A</v>
      </c>
      <c r="C469" s="121" t="e">
        <f t="shared" si="652"/>
        <v>#N/A</v>
      </c>
      <c r="D469" s="122" t="e">
        <f t="shared" si="653"/>
        <v>#N/A</v>
      </c>
      <c r="E469" s="122" t="e">
        <f t="shared" si="654"/>
        <v>#N/A</v>
      </c>
      <c r="F469" s="176" t="e">
        <f t="shared" si="655"/>
        <v>#N/A</v>
      </c>
      <c r="G469" s="121">
        <f t="shared" si="674"/>
        <v>208</v>
      </c>
      <c r="H469" s="176" t="e">
        <f t="shared" si="675"/>
        <v>#N/A</v>
      </c>
      <c r="I469" s="48">
        <v>1</v>
      </c>
      <c r="J469" s="39"/>
      <c r="K469" s="350">
        <v>1</v>
      </c>
      <c r="L469" s="34" t="e">
        <f t="shared" si="656"/>
        <v>#N/A</v>
      </c>
      <c r="M469" s="38" t="e">
        <f>(HLOOKUP(J469,'Construction Times'!$B$3:$W$34,L469+2,FALSE)*HLOOKUP("hq modifier",'Construction Times'!$W$3:$W$34,BS469+2,FALSE))*(1-$H$9)</f>
        <v>#N/A</v>
      </c>
      <c r="N469" s="443" t="e">
        <f t="shared" si="676"/>
        <v>#N/A</v>
      </c>
      <c r="O469" s="444"/>
      <c r="P469" s="447" t="e">
        <f t="shared" si="677"/>
        <v>#N/A</v>
      </c>
      <c r="Q469" s="448"/>
      <c r="R469" s="103">
        <f t="shared" si="703"/>
        <v>0</v>
      </c>
      <c r="S469" s="104">
        <f t="shared" si="703"/>
        <v>0</v>
      </c>
      <c r="T469" s="104">
        <f t="shared" si="704"/>
        <v>0</v>
      </c>
      <c r="U469" s="104">
        <f t="shared" si="704"/>
        <v>0</v>
      </c>
      <c r="V469" s="104">
        <f t="shared" si="704"/>
        <v>9.9999999999999995E-8</v>
      </c>
      <c r="W469" s="104">
        <f t="shared" si="704"/>
        <v>0</v>
      </c>
      <c r="X469" s="104">
        <f t="shared" si="651"/>
        <v>0</v>
      </c>
      <c r="Y469" s="104">
        <f t="shared" si="651"/>
        <v>9.9999999999999995E-8</v>
      </c>
      <c r="Z469" s="104">
        <f t="shared" si="651"/>
        <v>9.9999999999999995E-8</v>
      </c>
      <c r="AA469" s="105">
        <f t="shared" si="651"/>
        <v>9.9999999999999995E-8</v>
      </c>
      <c r="AB469" s="101" t="e">
        <f>$DT469*HLOOKUP($J469,'Construction Costs (timber)'!$B$1:$V$32,'Construction Planner'!$L469+2,FALSE)</f>
        <v>#N/A</v>
      </c>
      <c r="AC469" s="14" t="e">
        <f>$DT469*HLOOKUP($J469,'Construction Costs (clay)'!$B$1:$V$32,'Construction Planner'!$L469+2,FALSE)</f>
        <v>#N/A</v>
      </c>
      <c r="AD469" s="14" t="e">
        <f>$DT469*HLOOKUP($J469,'Construction Costs (iron)'!$B$1:$V$32,'Construction Planner'!$L469+2,FALSE)</f>
        <v>#N/A</v>
      </c>
      <c r="AE469" s="34" t="e">
        <f t="shared" si="713"/>
        <v>#N/A</v>
      </c>
      <c r="AF469" s="33" t="e">
        <f t="shared" si="657"/>
        <v>#N/A</v>
      </c>
      <c r="AG469" s="14" t="e">
        <f t="shared" si="658"/>
        <v>#N/A</v>
      </c>
      <c r="AH469" s="14" t="e">
        <f t="shared" si="659"/>
        <v>#N/A</v>
      </c>
      <c r="AI469" s="34" t="e">
        <f t="shared" si="714"/>
        <v>#N/A</v>
      </c>
      <c r="AJ469" s="49" t="e">
        <f t="shared" si="678"/>
        <v>#N/A</v>
      </c>
      <c r="AK469" s="49" t="e">
        <f t="shared" si="679"/>
        <v>#N/A</v>
      </c>
      <c r="AL469" s="49" t="e">
        <f t="shared" si="680"/>
        <v>#N/A</v>
      </c>
      <c r="AM469" s="25">
        <f t="shared" si="660"/>
        <v>30</v>
      </c>
      <c r="AN469" s="25">
        <f t="shared" si="661"/>
        <v>30</v>
      </c>
      <c r="AO469" s="25">
        <f t="shared" si="662"/>
        <v>30</v>
      </c>
      <c r="AP469" s="52" t="e">
        <f t="shared" si="681"/>
        <v>#N/A</v>
      </c>
      <c r="AQ469" s="53" t="e">
        <f t="shared" si="681"/>
        <v>#N/A</v>
      </c>
      <c r="AR469" s="54" t="e">
        <f t="shared" si="681"/>
        <v>#N/A</v>
      </c>
      <c r="AS469" s="316">
        <f t="shared" si="715"/>
        <v>0</v>
      </c>
      <c r="AT469" s="106">
        <f>_xlfn.IFNA($M469/VLOOKUP($BT469,'Unit information'!$A$2:$K$29,2,FALSE)*R469,0)*(1+$E$9)</f>
        <v>0</v>
      </c>
      <c r="AU469" s="107">
        <f>_xlfn.IFNA($M469/VLOOKUP($BT469,'Unit information'!$A$2:$K$29,3,FALSE)*S469,0)*(1+$E$9)</f>
        <v>0</v>
      </c>
      <c r="AV469" s="107">
        <f>_xlfn.IFNA($M469/VLOOKUP($BT469,'Unit information'!$A$2:$K$29,4,FALSE)*T469,0)*(1+$E$9)</f>
        <v>0</v>
      </c>
      <c r="AW469" s="107">
        <f>_xlfn.IFNA($M469/VLOOKUP($BT469,'Unit information'!$A$2:$K$29,5,FALSE)*U469,0)*(1+$E$9)</f>
        <v>0</v>
      </c>
      <c r="AX469" s="107">
        <f>_xlfn.IFNA($M469/VLOOKUP($BU469,'Unit information'!$A$2:$K$29,6,FALSE)*V469,0)*(1+$E$9)</f>
        <v>0</v>
      </c>
      <c r="AY469" s="107">
        <f>_xlfn.IFNA($M469/VLOOKUP($BU469,'Unit information'!$A$2:$K$29,7,FALSE)*W469,0)*(1+$E$9)</f>
        <v>0</v>
      </c>
      <c r="AZ469" s="107">
        <f>_xlfn.IFNA($M469/VLOOKUP($BU469,'Unit information'!$A$2:$K$29,8,FALSE)*X469,0)*(1+$E$9)</f>
        <v>0</v>
      </c>
      <c r="BA469" s="107">
        <f>_xlfn.IFNA($M469/VLOOKUP($BU469,'Unit information'!$A$2:$K$29,9,FALSE)*Y469,0)*(1+$E$9)</f>
        <v>0</v>
      </c>
      <c r="BB469" s="107">
        <f>_xlfn.IFNA($M469/VLOOKUP($BV469,'Unit information'!$A$2:$K$29,10,FALSE)*Z469,0)*(1+$E$9)</f>
        <v>0</v>
      </c>
      <c r="BC469" s="108">
        <f>_xlfn.IFNA($M469/VLOOKUP($BV469,'Unit information'!$A$2:$K$29,11,FALSE)*AA469,0)*(1+$E$9)</f>
        <v>0</v>
      </c>
      <c r="BD469" s="106">
        <f t="shared" si="663"/>
        <v>0</v>
      </c>
      <c r="BE469" s="107">
        <f t="shared" si="664"/>
        <v>0</v>
      </c>
      <c r="BF469" s="108">
        <f t="shared" si="665"/>
        <v>0</v>
      </c>
      <c r="BG469" s="25" t="e">
        <f t="shared" si="666"/>
        <v>#N/A</v>
      </c>
      <c r="BH469" s="25" t="e">
        <f t="shared" si="667"/>
        <v>#N/A</v>
      </c>
      <c r="BI469" s="25" t="e">
        <f t="shared" si="668"/>
        <v>#N/A</v>
      </c>
      <c r="BJ469" s="27" t="e">
        <f t="shared" si="669"/>
        <v>#N/A</v>
      </c>
      <c r="BK469" s="18" t="e">
        <f t="shared" si="670"/>
        <v>#N/A</v>
      </c>
      <c r="BL469" s="18" t="e">
        <f t="shared" si="671"/>
        <v>#N/A</v>
      </c>
      <c r="BM469" s="28" t="e">
        <f t="shared" si="716"/>
        <v>#N/A</v>
      </c>
      <c r="BN469" s="33">
        <f>HLOOKUP("maximum population",Miscelaneous!$C$1:$C$33,CH469+3,FALSE)</f>
        <v>240</v>
      </c>
      <c r="BO469" s="14">
        <f t="shared" si="682"/>
        <v>32</v>
      </c>
      <c r="BP469" s="14">
        <f t="shared" si="683"/>
        <v>0</v>
      </c>
      <c r="BQ469" s="14">
        <f t="shared" si="684"/>
        <v>208</v>
      </c>
      <c r="BR469" s="34" t="e">
        <f>HLOOKUP(J469,Villagers!$B$1:$V$33,L469+3,FALSE)-HLOOKUP(J469,Villagers!$B$1:$V$33,L469+2,FALSE)</f>
        <v>#N/A</v>
      </c>
      <c r="BS469" s="49">
        <f t="shared" si="685"/>
        <v>1</v>
      </c>
      <c r="BT469" s="50">
        <f t="shared" si="686"/>
        <v>0</v>
      </c>
      <c r="BU469" s="50">
        <f t="shared" si="687"/>
        <v>0</v>
      </c>
      <c r="BV469" s="50">
        <f t="shared" si="688"/>
        <v>0</v>
      </c>
      <c r="BW469" s="50">
        <f t="shared" si="689"/>
        <v>0</v>
      </c>
      <c r="BX469" s="50">
        <f t="shared" si="689"/>
        <v>0</v>
      </c>
      <c r="BY469" s="50">
        <f t="shared" si="689"/>
        <v>0</v>
      </c>
      <c r="BZ469" s="50">
        <f t="shared" si="623"/>
        <v>0</v>
      </c>
      <c r="CA469" s="50">
        <f t="shared" si="624"/>
        <v>0</v>
      </c>
      <c r="CB469" s="50">
        <f t="shared" si="625"/>
        <v>1</v>
      </c>
      <c r="CC469" s="50">
        <f t="shared" si="626"/>
        <v>0</v>
      </c>
      <c r="CD469" s="50">
        <f t="shared" si="627"/>
        <v>0</v>
      </c>
      <c r="CE469" s="50">
        <f t="shared" si="628"/>
        <v>1</v>
      </c>
      <c r="CF469" s="50">
        <f t="shared" si="629"/>
        <v>1</v>
      </c>
      <c r="CG469" s="50">
        <f t="shared" si="630"/>
        <v>1</v>
      </c>
      <c r="CH469" s="50">
        <f t="shared" si="631"/>
        <v>1</v>
      </c>
      <c r="CI469" s="50">
        <f t="shared" si="632"/>
        <v>1</v>
      </c>
      <c r="CJ469" s="50">
        <f t="shared" si="633"/>
        <v>1</v>
      </c>
      <c r="CK469" s="50">
        <f t="shared" si="633"/>
        <v>0</v>
      </c>
      <c r="CL469" s="50">
        <f t="shared" si="633"/>
        <v>0</v>
      </c>
      <c r="CM469" s="51">
        <f t="shared" si="634"/>
        <v>0</v>
      </c>
      <c r="CN469" s="33">
        <f>ROUND(IF(BS469=0,0,HLOOKUP(BS$14,Villagers!$B$1:$V$33,BS469+3,FALSE)),)</f>
        <v>5</v>
      </c>
      <c r="CO469" s="14">
        <f>ROUND(IF(BT469=0,0,HLOOKUP(BT$14,Villagers!$B$1:$V$33,BT469+3,FALSE)),)</f>
        <v>0</v>
      </c>
      <c r="CP469" s="14">
        <f>ROUND(IF(BU469=0,0,HLOOKUP(BU$14,Villagers!$B$1:$V$33,BU469+3,FALSE)),)</f>
        <v>0</v>
      </c>
      <c r="CQ469" s="14">
        <f>ROUND(IF(BV469=0,0,HLOOKUP(BV$14,Villagers!$B$1:$V$33,BV469+3,FALSE)),)</f>
        <v>0</v>
      </c>
      <c r="CR469" s="14">
        <f>ROUND(IF(BW469=0,0,HLOOKUP(BW$14,Villagers!$B$1:$V$33,BW469+3,FALSE)),)</f>
        <v>0</v>
      </c>
      <c r="CS469" s="14">
        <f>ROUND(IF(BX469=0,0,HLOOKUP(BX$14,Villagers!$B$1:$V$33,BX469+3,FALSE)),)</f>
        <v>0</v>
      </c>
      <c r="CT469" s="14">
        <f>ROUND(IF(BY469=0,0,HLOOKUP(BY$14,Villagers!$B$1:$V$33,BY469+3,FALSE)),)</f>
        <v>0</v>
      </c>
      <c r="CU469" s="14">
        <f>ROUND(IF(BZ469=0,0,HLOOKUP(BZ$14,Villagers!$B$1:$V$33,BZ469+3,FALSE)),)</f>
        <v>0</v>
      </c>
      <c r="CV469" s="14">
        <f>ROUND(IF(CA469=0,0,HLOOKUP(CA$14,Villagers!$B$1:$V$33,CA469+3,FALSE)),)</f>
        <v>0</v>
      </c>
      <c r="CW469" s="14">
        <f>ROUND(IF(CB469=0,0,HLOOKUP(CB$14,Villagers!$B$1:$V$33,CB469+3,FALSE)),)</f>
        <v>0</v>
      </c>
      <c r="CX469" s="14">
        <f>ROUND(IF(CC469=0,0,HLOOKUP(CC$14,Villagers!$B$1:$V$33,CC469+3,FALSE)),)</f>
        <v>0</v>
      </c>
      <c r="CY469" s="14">
        <f>ROUND(IF(CD469=0,0,HLOOKUP(CD$14,Villagers!$B$1:$V$33,CD469+3,FALSE)),)</f>
        <v>0</v>
      </c>
      <c r="CZ469" s="14">
        <f>ROUND(IF(CE469=0,0,HLOOKUP(CE$14,Villagers!$B$1:$V$33,CE469+3,FALSE)),)</f>
        <v>5</v>
      </c>
      <c r="DA469" s="14">
        <f>ROUND(IF(CF469=0,0,HLOOKUP(CF$14,Villagers!$B$1:$V$33,CF469+3,FALSE)),)</f>
        <v>10</v>
      </c>
      <c r="DB469" s="14">
        <f>ROUND(IF(CG469=0,0,HLOOKUP(CG$14,Villagers!$B$1:$V$33,CG469+3,FALSE)),)</f>
        <v>10</v>
      </c>
      <c r="DC469" s="14">
        <f>ROUND(IF(CH469=0,0,HLOOKUP(CH$14,Villagers!$B$1:$V$33,CH469+3,FALSE)),)</f>
        <v>0</v>
      </c>
      <c r="DD469" s="14">
        <f>ROUND(IF(CI469=0,0,HLOOKUP(CI$14,Villagers!$B$1:$V$33,CI469+3,FALSE)),)</f>
        <v>0</v>
      </c>
      <c r="DE469" s="14">
        <f>ROUND(IF(CJ469=0,0,HLOOKUP(CJ$14,Villagers!$B$1:$V$33,CJ469+3,FALSE)),)</f>
        <v>2</v>
      </c>
      <c r="DF469" s="370">
        <f>ROUND(IF(CK469=0,0,HLOOKUP(CK$14,Villagers!$B$1:$V$33,CK469+3,FALSE)),)</f>
        <v>0</v>
      </c>
      <c r="DG469" s="370">
        <f>ROUND(IF(CL469=0,0,HLOOKUP(CL$14,Villagers!$B$1:$V$33,CL469+3,FALSE)),)</f>
        <v>0</v>
      </c>
      <c r="DH469" s="34">
        <f>ROUND(IF(CM469=0,0,HLOOKUP(CM$14,Villagers!$B$1:$V$33,CM469+3,FALSE)),)</f>
        <v>0</v>
      </c>
      <c r="DI469" s="109">
        <f t="shared" si="705"/>
        <v>0</v>
      </c>
      <c r="DJ469" s="50">
        <f t="shared" si="706"/>
        <v>0</v>
      </c>
      <c r="DK469" s="50">
        <f t="shared" si="707"/>
        <v>0</v>
      </c>
      <c r="DL469" s="50">
        <f t="shared" si="708"/>
        <v>0</v>
      </c>
      <c r="DM469" s="50">
        <f t="shared" si="709"/>
        <v>0</v>
      </c>
      <c r="DN469" s="50">
        <f t="shared" si="710"/>
        <v>0</v>
      </c>
      <c r="DO469" s="50">
        <f t="shared" si="711"/>
        <v>0</v>
      </c>
      <c r="DP469" s="50">
        <f t="shared" si="712"/>
        <v>0</v>
      </c>
      <c r="DQ469" s="50">
        <f t="shared" si="690"/>
        <v>0</v>
      </c>
      <c r="DR469" s="50">
        <f t="shared" si="691"/>
        <v>0</v>
      </c>
      <c r="DS469" s="96">
        <f>Miscelaneous!$D$4*Miscelaneous!$D$2^($CI469-1)</f>
        <v>1000</v>
      </c>
      <c r="DT469" s="333">
        <f t="shared" si="672"/>
        <v>1</v>
      </c>
      <c r="DU469" s="81">
        <v>1</v>
      </c>
      <c r="DV469" s="79">
        <f t="shared" si="692"/>
        <v>0</v>
      </c>
      <c r="DW469" s="79">
        <f t="shared" si="693"/>
        <v>0</v>
      </c>
      <c r="DX469" s="79">
        <f t="shared" si="694"/>
        <v>0</v>
      </c>
      <c r="DY469" s="79">
        <v>1</v>
      </c>
      <c r="DZ469" s="79">
        <f t="shared" si="695"/>
        <v>0</v>
      </c>
      <c r="EA469" s="79">
        <f t="shared" si="696"/>
        <v>0</v>
      </c>
      <c r="EB469" s="79">
        <f t="shared" si="697"/>
        <v>0</v>
      </c>
      <c r="EC469" s="79">
        <f t="shared" si="698"/>
        <v>0</v>
      </c>
      <c r="ED469" s="79">
        <v>1</v>
      </c>
      <c r="EE469" s="79">
        <v>1</v>
      </c>
      <c r="EF469" s="79">
        <f t="shared" si="699"/>
        <v>0</v>
      </c>
      <c r="EG469" s="79">
        <v>1</v>
      </c>
      <c r="EH469" s="79">
        <v>1</v>
      </c>
      <c r="EI469" s="79">
        <v>1</v>
      </c>
      <c r="EJ469" s="79">
        <v>1</v>
      </c>
      <c r="EK469" s="79">
        <v>1</v>
      </c>
      <c r="EL469" s="79">
        <v>1</v>
      </c>
      <c r="EM469" s="143">
        <f t="shared" si="700"/>
        <v>0</v>
      </c>
      <c r="EN469" s="143">
        <f t="shared" si="701"/>
        <v>0</v>
      </c>
      <c r="EO469" s="82">
        <f t="shared" si="702"/>
        <v>0</v>
      </c>
    </row>
    <row r="470" spans="1:145" x14ac:dyDescent="0.25">
      <c r="A470">
        <v>456</v>
      </c>
      <c r="B470" s="172" t="e">
        <f t="shared" si="673"/>
        <v>#N/A</v>
      </c>
      <c r="C470" s="121" t="e">
        <f t="shared" si="652"/>
        <v>#N/A</v>
      </c>
      <c r="D470" s="122" t="e">
        <f t="shared" si="653"/>
        <v>#N/A</v>
      </c>
      <c r="E470" s="122" t="e">
        <f t="shared" si="654"/>
        <v>#N/A</v>
      </c>
      <c r="F470" s="176" t="e">
        <f t="shared" si="655"/>
        <v>#N/A</v>
      </c>
      <c r="G470" s="121">
        <f t="shared" si="674"/>
        <v>208</v>
      </c>
      <c r="H470" s="176" t="e">
        <f t="shared" si="675"/>
        <v>#N/A</v>
      </c>
      <c r="I470" s="48">
        <v>1</v>
      </c>
      <c r="J470" s="39"/>
      <c r="K470" s="350">
        <v>1</v>
      </c>
      <c r="L470" s="34" t="e">
        <f t="shared" si="656"/>
        <v>#N/A</v>
      </c>
      <c r="M470" s="38" t="e">
        <f>(HLOOKUP(J470,'Construction Times'!$B$3:$W$34,L470+2,FALSE)*HLOOKUP("hq modifier",'Construction Times'!$W$3:$W$34,BS470+2,FALSE))*(1-$H$9)</f>
        <v>#N/A</v>
      </c>
      <c r="N470" s="443" t="e">
        <f t="shared" si="676"/>
        <v>#N/A</v>
      </c>
      <c r="O470" s="444"/>
      <c r="P470" s="447" t="e">
        <f t="shared" si="677"/>
        <v>#N/A</v>
      </c>
      <c r="Q470" s="448"/>
      <c r="R470" s="103">
        <f t="shared" si="703"/>
        <v>0</v>
      </c>
      <c r="S470" s="104">
        <f t="shared" si="703"/>
        <v>0</v>
      </c>
      <c r="T470" s="104">
        <f t="shared" si="704"/>
        <v>0</v>
      </c>
      <c r="U470" s="104">
        <f t="shared" si="704"/>
        <v>0</v>
      </c>
      <c r="V470" s="104">
        <f t="shared" si="704"/>
        <v>9.9999999999999995E-8</v>
      </c>
      <c r="W470" s="104">
        <f t="shared" si="704"/>
        <v>0</v>
      </c>
      <c r="X470" s="104">
        <f t="shared" si="651"/>
        <v>0</v>
      </c>
      <c r="Y470" s="104">
        <f t="shared" si="651"/>
        <v>9.9999999999999995E-8</v>
      </c>
      <c r="Z470" s="104">
        <f t="shared" si="651"/>
        <v>9.9999999999999995E-8</v>
      </c>
      <c r="AA470" s="105">
        <f t="shared" si="651"/>
        <v>9.9999999999999995E-8</v>
      </c>
      <c r="AB470" s="101" t="e">
        <f>$DT470*HLOOKUP($J470,'Construction Costs (timber)'!$B$1:$V$32,'Construction Planner'!$L470+2,FALSE)</f>
        <v>#N/A</v>
      </c>
      <c r="AC470" s="14" t="e">
        <f>$DT470*HLOOKUP($J470,'Construction Costs (clay)'!$B$1:$V$32,'Construction Planner'!$L470+2,FALSE)</f>
        <v>#N/A</v>
      </c>
      <c r="AD470" s="14" t="e">
        <f>$DT470*HLOOKUP($J470,'Construction Costs (iron)'!$B$1:$V$32,'Construction Planner'!$L470+2,FALSE)</f>
        <v>#N/A</v>
      </c>
      <c r="AE470" s="34" t="e">
        <f t="shared" si="713"/>
        <v>#N/A</v>
      </c>
      <c r="AF470" s="33" t="e">
        <f t="shared" si="657"/>
        <v>#N/A</v>
      </c>
      <c r="AG470" s="14" t="e">
        <f t="shared" si="658"/>
        <v>#N/A</v>
      </c>
      <c r="AH470" s="14" t="e">
        <f t="shared" si="659"/>
        <v>#N/A</v>
      </c>
      <c r="AI470" s="34" t="e">
        <f t="shared" si="714"/>
        <v>#N/A</v>
      </c>
      <c r="AJ470" s="49" t="e">
        <f t="shared" si="678"/>
        <v>#N/A</v>
      </c>
      <c r="AK470" s="49" t="e">
        <f t="shared" si="679"/>
        <v>#N/A</v>
      </c>
      <c r="AL470" s="49" t="e">
        <f t="shared" si="680"/>
        <v>#N/A</v>
      </c>
      <c r="AM470" s="25">
        <f t="shared" si="660"/>
        <v>30</v>
      </c>
      <c r="AN470" s="25">
        <f t="shared" si="661"/>
        <v>30</v>
      </c>
      <c r="AO470" s="25">
        <f t="shared" si="662"/>
        <v>30</v>
      </c>
      <c r="AP470" s="52" t="e">
        <f t="shared" si="681"/>
        <v>#N/A</v>
      </c>
      <c r="AQ470" s="53" t="e">
        <f t="shared" si="681"/>
        <v>#N/A</v>
      </c>
      <c r="AR470" s="54" t="e">
        <f t="shared" si="681"/>
        <v>#N/A</v>
      </c>
      <c r="AS470" s="316">
        <f t="shared" si="715"/>
        <v>0</v>
      </c>
      <c r="AT470" s="106">
        <f>_xlfn.IFNA($M470/VLOOKUP($BT470,'Unit information'!$A$2:$K$29,2,FALSE)*R470,0)*(1+$E$9)</f>
        <v>0</v>
      </c>
      <c r="AU470" s="107">
        <f>_xlfn.IFNA($M470/VLOOKUP($BT470,'Unit information'!$A$2:$K$29,3,FALSE)*S470,0)*(1+$E$9)</f>
        <v>0</v>
      </c>
      <c r="AV470" s="107">
        <f>_xlfn.IFNA($M470/VLOOKUP($BT470,'Unit information'!$A$2:$K$29,4,FALSE)*T470,0)*(1+$E$9)</f>
        <v>0</v>
      </c>
      <c r="AW470" s="107">
        <f>_xlfn.IFNA($M470/VLOOKUP($BT470,'Unit information'!$A$2:$K$29,5,FALSE)*U470,0)*(1+$E$9)</f>
        <v>0</v>
      </c>
      <c r="AX470" s="107">
        <f>_xlfn.IFNA($M470/VLOOKUP($BU470,'Unit information'!$A$2:$K$29,6,FALSE)*V470,0)*(1+$E$9)</f>
        <v>0</v>
      </c>
      <c r="AY470" s="107">
        <f>_xlfn.IFNA($M470/VLOOKUP($BU470,'Unit information'!$A$2:$K$29,7,FALSE)*W470,0)*(1+$E$9)</f>
        <v>0</v>
      </c>
      <c r="AZ470" s="107">
        <f>_xlfn.IFNA($M470/VLOOKUP($BU470,'Unit information'!$A$2:$K$29,8,FALSE)*X470,0)*(1+$E$9)</f>
        <v>0</v>
      </c>
      <c r="BA470" s="107">
        <f>_xlfn.IFNA($M470/VLOOKUP($BU470,'Unit information'!$A$2:$K$29,9,FALSE)*Y470,0)*(1+$E$9)</f>
        <v>0</v>
      </c>
      <c r="BB470" s="107">
        <f>_xlfn.IFNA($M470/VLOOKUP($BV470,'Unit information'!$A$2:$K$29,10,FALSE)*Z470,0)*(1+$E$9)</f>
        <v>0</v>
      </c>
      <c r="BC470" s="108">
        <f>_xlfn.IFNA($M470/VLOOKUP($BV470,'Unit information'!$A$2:$K$29,11,FALSE)*AA470,0)*(1+$E$9)</f>
        <v>0</v>
      </c>
      <c r="BD470" s="106">
        <f t="shared" si="663"/>
        <v>0</v>
      </c>
      <c r="BE470" s="107">
        <f t="shared" si="664"/>
        <v>0</v>
      </c>
      <c r="BF470" s="108">
        <f t="shared" si="665"/>
        <v>0</v>
      </c>
      <c r="BG470" s="25" t="e">
        <f t="shared" si="666"/>
        <v>#N/A</v>
      </c>
      <c r="BH470" s="25" t="e">
        <f t="shared" si="667"/>
        <v>#N/A</v>
      </c>
      <c r="BI470" s="25" t="e">
        <f t="shared" si="668"/>
        <v>#N/A</v>
      </c>
      <c r="BJ470" s="27" t="e">
        <f t="shared" si="669"/>
        <v>#N/A</v>
      </c>
      <c r="BK470" s="18" t="e">
        <f t="shared" si="670"/>
        <v>#N/A</v>
      </c>
      <c r="BL470" s="18" t="e">
        <f t="shared" si="671"/>
        <v>#N/A</v>
      </c>
      <c r="BM470" s="28" t="e">
        <f t="shared" si="716"/>
        <v>#N/A</v>
      </c>
      <c r="BN470" s="33">
        <f>HLOOKUP("maximum population",Miscelaneous!$C$1:$C$33,CH470+3,FALSE)</f>
        <v>240</v>
      </c>
      <c r="BO470" s="14">
        <f t="shared" si="682"/>
        <v>32</v>
      </c>
      <c r="BP470" s="14">
        <f t="shared" si="683"/>
        <v>0</v>
      </c>
      <c r="BQ470" s="14">
        <f t="shared" si="684"/>
        <v>208</v>
      </c>
      <c r="BR470" s="34" t="e">
        <f>HLOOKUP(J470,Villagers!$B$1:$V$33,L470+3,FALSE)-HLOOKUP(J470,Villagers!$B$1:$V$33,L470+2,FALSE)</f>
        <v>#N/A</v>
      </c>
      <c r="BS470" s="49">
        <f t="shared" si="685"/>
        <v>1</v>
      </c>
      <c r="BT470" s="50">
        <f t="shared" si="686"/>
        <v>0</v>
      </c>
      <c r="BU470" s="50">
        <f t="shared" si="687"/>
        <v>0</v>
      </c>
      <c r="BV470" s="50">
        <f t="shared" si="688"/>
        <v>0</v>
      </c>
      <c r="BW470" s="50">
        <f t="shared" si="689"/>
        <v>0</v>
      </c>
      <c r="BX470" s="50">
        <f t="shared" si="689"/>
        <v>0</v>
      </c>
      <c r="BY470" s="50">
        <f t="shared" si="689"/>
        <v>0</v>
      </c>
      <c r="BZ470" s="50">
        <f t="shared" si="623"/>
        <v>0</v>
      </c>
      <c r="CA470" s="50">
        <f t="shared" si="624"/>
        <v>0</v>
      </c>
      <c r="CB470" s="50">
        <f t="shared" si="625"/>
        <v>1</v>
      </c>
      <c r="CC470" s="50">
        <f t="shared" si="626"/>
        <v>0</v>
      </c>
      <c r="CD470" s="50">
        <f t="shared" si="627"/>
        <v>0</v>
      </c>
      <c r="CE470" s="50">
        <f t="shared" si="628"/>
        <v>1</v>
      </c>
      <c r="CF470" s="50">
        <f t="shared" si="629"/>
        <v>1</v>
      </c>
      <c r="CG470" s="50">
        <f t="shared" si="630"/>
        <v>1</v>
      </c>
      <c r="CH470" s="50">
        <f t="shared" si="631"/>
        <v>1</v>
      </c>
      <c r="CI470" s="50">
        <f t="shared" si="632"/>
        <v>1</v>
      </c>
      <c r="CJ470" s="50">
        <f t="shared" si="633"/>
        <v>1</v>
      </c>
      <c r="CK470" s="50">
        <f t="shared" si="633"/>
        <v>0</v>
      </c>
      <c r="CL470" s="50">
        <f t="shared" si="633"/>
        <v>0</v>
      </c>
      <c r="CM470" s="51">
        <f t="shared" si="634"/>
        <v>0</v>
      </c>
      <c r="CN470" s="33">
        <f>ROUND(IF(BS470=0,0,HLOOKUP(BS$14,Villagers!$B$1:$V$33,BS470+3,FALSE)),)</f>
        <v>5</v>
      </c>
      <c r="CO470" s="14">
        <f>ROUND(IF(BT470=0,0,HLOOKUP(BT$14,Villagers!$B$1:$V$33,BT470+3,FALSE)),)</f>
        <v>0</v>
      </c>
      <c r="CP470" s="14">
        <f>ROUND(IF(BU470=0,0,HLOOKUP(BU$14,Villagers!$B$1:$V$33,BU470+3,FALSE)),)</f>
        <v>0</v>
      </c>
      <c r="CQ470" s="14">
        <f>ROUND(IF(BV470=0,0,HLOOKUP(BV$14,Villagers!$B$1:$V$33,BV470+3,FALSE)),)</f>
        <v>0</v>
      </c>
      <c r="CR470" s="14">
        <f>ROUND(IF(BW470=0,0,HLOOKUP(BW$14,Villagers!$B$1:$V$33,BW470+3,FALSE)),)</f>
        <v>0</v>
      </c>
      <c r="CS470" s="14">
        <f>ROUND(IF(BX470=0,0,HLOOKUP(BX$14,Villagers!$B$1:$V$33,BX470+3,FALSE)),)</f>
        <v>0</v>
      </c>
      <c r="CT470" s="14">
        <f>ROUND(IF(BY470=0,0,HLOOKUP(BY$14,Villagers!$B$1:$V$33,BY470+3,FALSE)),)</f>
        <v>0</v>
      </c>
      <c r="CU470" s="14">
        <f>ROUND(IF(BZ470=0,0,HLOOKUP(BZ$14,Villagers!$B$1:$V$33,BZ470+3,FALSE)),)</f>
        <v>0</v>
      </c>
      <c r="CV470" s="14">
        <f>ROUND(IF(CA470=0,0,HLOOKUP(CA$14,Villagers!$B$1:$V$33,CA470+3,FALSE)),)</f>
        <v>0</v>
      </c>
      <c r="CW470" s="14">
        <f>ROUND(IF(CB470=0,0,HLOOKUP(CB$14,Villagers!$B$1:$V$33,CB470+3,FALSE)),)</f>
        <v>0</v>
      </c>
      <c r="CX470" s="14">
        <f>ROUND(IF(CC470=0,0,HLOOKUP(CC$14,Villagers!$B$1:$V$33,CC470+3,FALSE)),)</f>
        <v>0</v>
      </c>
      <c r="CY470" s="14">
        <f>ROUND(IF(CD470=0,0,HLOOKUP(CD$14,Villagers!$B$1:$V$33,CD470+3,FALSE)),)</f>
        <v>0</v>
      </c>
      <c r="CZ470" s="14">
        <f>ROUND(IF(CE470=0,0,HLOOKUP(CE$14,Villagers!$B$1:$V$33,CE470+3,FALSE)),)</f>
        <v>5</v>
      </c>
      <c r="DA470" s="14">
        <f>ROUND(IF(CF470=0,0,HLOOKUP(CF$14,Villagers!$B$1:$V$33,CF470+3,FALSE)),)</f>
        <v>10</v>
      </c>
      <c r="DB470" s="14">
        <f>ROUND(IF(CG470=0,0,HLOOKUP(CG$14,Villagers!$B$1:$V$33,CG470+3,FALSE)),)</f>
        <v>10</v>
      </c>
      <c r="DC470" s="14">
        <f>ROUND(IF(CH470=0,0,HLOOKUP(CH$14,Villagers!$B$1:$V$33,CH470+3,FALSE)),)</f>
        <v>0</v>
      </c>
      <c r="DD470" s="14">
        <f>ROUND(IF(CI470=0,0,HLOOKUP(CI$14,Villagers!$B$1:$V$33,CI470+3,FALSE)),)</f>
        <v>0</v>
      </c>
      <c r="DE470" s="14">
        <f>ROUND(IF(CJ470=0,0,HLOOKUP(CJ$14,Villagers!$B$1:$V$33,CJ470+3,FALSE)),)</f>
        <v>2</v>
      </c>
      <c r="DF470" s="370">
        <f>ROUND(IF(CK470=0,0,HLOOKUP(CK$14,Villagers!$B$1:$V$33,CK470+3,FALSE)),)</f>
        <v>0</v>
      </c>
      <c r="DG470" s="370">
        <f>ROUND(IF(CL470=0,0,HLOOKUP(CL$14,Villagers!$B$1:$V$33,CL470+3,FALSE)),)</f>
        <v>0</v>
      </c>
      <c r="DH470" s="34">
        <f>ROUND(IF(CM470=0,0,HLOOKUP(CM$14,Villagers!$B$1:$V$33,CM470+3,FALSE)),)</f>
        <v>0</v>
      </c>
      <c r="DI470" s="109">
        <f t="shared" si="705"/>
        <v>0</v>
      </c>
      <c r="DJ470" s="50">
        <f t="shared" si="706"/>
        <v>0</v>
      </c>
      <c r="DK470" s="50">
        <f t="shared" si="707"/>
        <v>0</v>
      </c>
      <c r="DL470" s="50">
        <f t="shared" si="708"/>
        <v>0</v>
      </c>
      <c r="DM470" s="50">
        <f t="shared" si="709"/>
        <v>0</v>
      </c>
      <c r="DN470" s="50">
        <f t="shared" si="710"/>
        <v>0</v>
      </c>
      <c r="DO470" s="50">
        <f t="shared" si="711"/>
        <v>0</v>
      </c>
      <c r="DP470" s="50">
        <f t="shared" si="712"/>
        <v>0</v>
      </c>
      <c r="DQ470" s="50">
        <f t="shared" si="690"/>
        <v>0</v>
      </c>
      <c r="DR470" s="50">
        <f t="shared" si="691"/>
        <v>0</v>
      </c>
      <c r="DS470" s="96">
        <f>Miscelaneous!$D$4*Miscelaneous!$D$2^($CI470-1)</f>
        <v>1000</v>
      </c>
      <c r="DT470" s="333">
        <f t="shared" si="672"/>
        <v>1</v>
      </c>
      <c r="DU470" s="81">
        <v>1</v>
      </c>
      <c r="DV470" s="79">
        <f t="shared" si="692"/>
        <v>0</v>
      </c>
      <c r="DW470" s="79">
        <f t="shared" si="693"/>
        <v>0</v>
      </c>
      <c r="DX470" s="79">
        <f t="shared" si="694"/>
        <v>0</v>
      </c>
      <c r="DY470" s="79">
        <v>1</v>
      </c>
      <c r="DZ470" s="79">
        <f t="shared" si="695"/>
        <v>0</v>
      </c>
      <c r="EA470" s="79">
        <f t="shared" si="696"/>
        <v>0</v>
      </c>
      <c r="EB470" s="79">
        <f t="shared" si="697"/>
        <v>0</v>
      </c>
      <c r="EC470" s="79">
        <f t="shared" si="698"/>
        <v>0</v>
      </c>
      <c r="ED470" s="79">
        <v>1</v>
      </c>
      <c r="EE470" s="79">
        <v>1</v>
      </c>
      <c r="EF470" s="79">
        <f t="shared" si="699"/>
        <v>0</v>
      </c>
      <c r="EG470" s="79">
        <v>1</v>
      </c>
      <c r="EH470" s="79">
        <v>1</v>
      </c>
      <c r="EI470" s="79">
        <v>1</v>
      </c>
      <c r="EJ470" s="79">
        <v>1</v>
      </c>
      <c r="EK470" s="79">
        <v>1</v>
      </c>
      <c r="EL470" s="79">
        <v>1</v>
      </c>
      <c r="EM470" s="143">
        <f t="shared" si="700"/>
        <v>0</v>
      </c>
      <c r="EN470" s="143">
        <f t="shared" si="701"/>
        <v>0</v>
      </c>
      <c r="EO470" s="82">
        <f t="shared" si="702"/>
        <v>0</v>
      </c>
    </row>
    <row r="471" spans="1:145" x14ac:dyDescent="0.25">
      <c r="A471">
        <v>457</v>
      </c>
      <c r="B471" s="172" t="e">
        <f t="shared" si="673"/>
        <v>#N/A</v>
      </c>
      <c r="C471" s="121" t="e">
        <f t="shared" si="652"/>
        <v>#N/A</v>
      </c>
      <c r="D471" s="122" t="e">
        <f t="shared" si="653"/>
        <v>#N/A</v>
      </c>
      <c r="E471" s="122" t="e">
        <f t="shared" si="654"/>
        <v>#N/A</v>
      </c>
      <c r="F471" s="176" t="e">
        <f t="shared" si="655"/>
        <v>#N/A</v>
      </c>
      <c r="G471" s="121">
        <f t="shared" si="674"/>
        <v>208</v>
      </c>
      <c r="H471" s="176" t="e">
        <f t="shared" si="675"/>
        <v>#N/A</v>
      </c>
      <c r="I471" s="48">
        <v>1</v>
      </c>
      <c r="J471" s="39"/>
      <c r="K471" s="350">
        <v>1</v>
      </c>
      <c r="L471" s="34" t="e">
        <f t="shared" si="656"/>
        <v>#N/A</v>
      </c>
      <c r="M471" s="38" t="e">
        <f>(HLOOKUP(J471,'Construction Times'!$B$3:$W$34,L471+2,FALSE)*HLOOKUP("hq modifier",'Construction Times'!$W$3:$W$34,BS471+2,FALSE))*(1-$H$9)</f>
        <v>#N/A</v>
      </c>
      <c r="N471" s="443" t="e">
        <f t="shared" si="676"/>
        <v>#N/A</v>
      </c>
      <c r="O471" s="444"/>
      <c r="P471" s="447" t="e">
        <f t="shared" si="677"/>
        <v>#N/A</v>
      </c>
      <c r="Q471" s="448"/>
      <c r="R471" s="103">
        <f t="shared" si="703"/>
        <v>0</v>
      </c>
      <c r="S471" s="104">
        <f t="shared" si="703"/>
        <v>0</v>
      </c>
      <c r="T471" s="104">
        <f t="shared" si="704"/>
        <v>0</v>
      </c>
      <c r="U471" s="104">
        <f t="shared" si="704"/>
        <v>0</v>
      </c>
      <c r="V471" s="104">
        <f t="shared" si="704"/>
        <v>9.9999999999999995E-8</v>
      </c>
      <c r="W471" s="104">
        <f t="shared" si="704"/>
        <v>0</v>
      </c>
      <c r="X471" s="104">
        <f t="shared" si="651"/>
        <v>0</v>
      </c>
      <c r="Y471" s="104">
        <f t="shared" si="651"/>
        <v>9.9999999999999995E-8</v>
      </c>
      <c r="Z471" s="104">
        <f t="shared" si="651"/>
        <v>9.9999999999999995E-8</v>
      </c>
      <c r="AA471" s="105">
        <f t="shared" si="651"/>
        <v>9.9999999999999995E-8</v>
      </c>
      <c r="AB471" s="101" t="e">
        <f>$DT471*HLOOKUP($J471,'Construction Costs (timber)'!$B$1:$V$32,'Construction Planner'!$L471+2,FALSE)</f>
        <v>#N/A</v>
      </c>
      <c r="AC471" s="14" t="e">
        <f>$DT471*HLOOKUP($J471,'Construction Costs (clay)'!$B$1:$V$32,'Construction Planner'!$L471+2,FALSE)</f>
        <v>#N/A</v>
      </c>
      <c r="AD471" s="14" t="e">
        <f>$DT471*HLOOKUP($J471,'Construction Costs (iron)'!$B$1:$V$32,'Construction Planner'!$L471+2,FALSE)</f>
        <v>#N/A</v>
      </c>
      <c r="AE471" s="34" t="e">
        <f t="shared" si="713"/>
        <v>#N/A</v>
      </c>
      <c r="AF471" s="33" t="e">
        <f t="shared" si="657"/>
        <v>#N/A</v>
      </c>
      <c r="AG471" s="14" t="e">
        <f t="shared" si="658"/>
        <v>#N/A</v>
      </c>
      <c r="AH471" s="14" t="e">
        <f t="shared" si="659"/>
        <v>#N/A</v>
      </c>
      <c r="AI471" s="34" t="e">
        <f t="shared" si="714"/>
        <v>#N/A</v>
      </c>
      <c r="AJ471" s="49" t="e">
        <f t="shared" si="678"/>
        <v>#N/A</v>
      </c>
      <c r="AK471" s="49" t="e">
        <f t="shared" si="679"/>
        <v>#N/A</v>
      </c>
      <c r="AL471" s="49" t="e">
        <f t="shared" si="680"/>
        <v>#N/A</v>
      </c>
      <c r="AM471" s="25">
        <f t="shared" si="660"/>
        <v>30</v>
      </c>
      <c r="AN471" s="25">
        <f t="shared" si="661"/>
        <v>30</v>
      </c>
      <c r="AO471" s="25">
        <f t="shared" si="662"/>
        <v>30</v>
      </c>
      <c r="AP471" s="52" t="e">
        <f t="shared" si="681"/>
        <v>#N/A</v>
      </c>
      <c r="AQ471" s="53" t="e">
        <f t="shared" si="681"/>
        <v>#N/A</v>
      </c>
      <c r="AR471" s="54" t="e">
        <f t="shared" si="681"/>
        <v>#N/A</v>
      </c>
      <c r="AS471" s="316">
        <f t="shared" si="715"/>
        <v>0</v>
      </c>
      <c r="AT471" s="106">
        <f>_xlfn.IFNA($M471/VLOOKUP($BT471,'Unit information'!$A$2:$K$29,2,FALSE)*R471,0)*(1+$E$9)</f>
        <v>0</v>
      </c>
      <c r="AU471" s="107">
        <f>_xlfn.IFNA($M471/VLOOKUP($BT471,'Unit information'!$A$2:$K$29,3,FALSE)*S471,0)*(1+$E$9)</f>
        <v>0</v>
      </c>
      <c r="AV471" s="107">
        <f>_xlfn.IFNA($M471/VLOOKUP($BT471,'Unit information'!$A$2:$K$29,4,FALSE)*T471,0)*(1+$E$9)</f>
        <v>0</v>
      </c>
      <c r="AW471" s="107">
        <f>_xlfn.IFNA($M471/VLOOKUP($BT471,'Unit information'!$A$2:$K$29,5,FALSE)*U471,0)*(1+$E$9)</f>
        <v>0</v>
      </c>
      <c r="AX471" s="107">
        <f>_xlfn.IFNA($M471/VLOOKUP($BU471,'Unit information'!$A$2:$K$29,6,FALSE)*V471,0)*(1+$E$9)</f>
        <v>0</v>
      </c>
      <c r="AY471" s="107">
        <f>_xlfn.IFNA($M471/VLOOKUP($BU471,'Unit information'!$A$2:$K$29,7,FALSE)*W471,0)*(1+$E$9)</f>
        <v>0</v>
      </c>
      <c r="AZ471" s="107">
        <f>_xlfn.IFNA($M471/VLOOKUP($BU471,'Unit information'!$A$2:$K$29,8,FALSE)*X471,0)*(1+$E$9)</f>
        <v>0</v>
      </c>
      <c r="BA471" s="107">
        <f>_xlfn.IFNA($M471/VLOOKUP($BU471,'Unit information'!$A$2:$K$29,9,FALSE)*Y471,0)*(1+$E$9)</f>
        <v>0</v>
      </c>
      <c r="BB471" s="107">
        <f>_xlfn.IFNA($M471/VLOOKUP($BV471,'Unit information'!$A$2:$K$29,10,FALSE)*Z471,0)*(1+$E$9)</f>
        <v>0</v>
      </c>
      <c r="BC471" s="108">
        <f>_xlfn.IFNA($M471/VLOOKUP($BV471,'Unit information'!$A$2:$K$29,11,FALSE)*AA471,0)*(1+$E$9)</f>
        <v>0</v>
      </c>
      <c r="BD471" s="106">
        <f t="shared" si="663"/>
        <v>0</v>
      </c>
      <c r="BE471" s="107">
        <f t="shared" si="664"/>
        <v>0</v>
      </c>
      <c r="BF471" s="108">
        <f t="shared" si="665"/>
        <v>0</v>
      </c>
      <c r="BG471" s="25" t="e">
        <f t="shared" si="666"/>
        <v>#N/A</v>
      </c>
      <c r="BH471" s="25" t="e">
        <f t="shared" si="667"/>
        <v>#N/A</v>
      </c>
      <c r="BI471" s="25" t="e">
        <f t="shared" si="668"/>
        <v>#N/A</v>
      </c>
      <c r="BJ471" s="27" t="e">
        <f t="shared" si="669"/>
        <v>#N/A</v>
      </c>
      <c r="BK471" s="18" t="e">
        <f t="shared" si="670"/>
        <v>#N/A</v>
      </c>
      <c r="BL471" s="18" t="e">
        <f t="shared" si="671"/>
        <v>#N/A</v>
      </c>
      <c r="BM471" s="28" t="e">
        <f t="shared" si="716"/>
        <v>#N/A</v>
      </c>
      <c r="BN471" s="33">
        <f>HLOOKUP("maximum population",Miscelaneous!$C$1:$C$33,CH471+3,FALSE)</f>
        <v>240</v>
      </c>
      <c r="BO471" s="14">
        <f t="shared" si="682"/>
        <v>32</v>
      </c>
      <c r="BP471" s="14">
        <f t="shared" si="683"/>
        <v>0</v>
      </c>
      <c r="BQ471" s="14">
        <f t="shared" si="684"/>
        <v>208</v>
      </c>
      <c r="BR471" s="34" t="e">
        <f>HLOOKUP(J471,Villagers!$B$1:$V$33,L471+3,FALSE)-HLOOKUP(J471,Villagers!$B$1:$V$33,L471+2,FALSE)</f>
        <v>#N/A</v>
      </c>
      <c r="BS471" s="49">
        <f t="shared" si="685"/>
        <v>1</v>
      </c>
      <c r="BT471" s="50">
        <f t="shared" si="686"/>
        <v>0</v>
      </c>
      <c r="BU471" s="50">
        <f t="shared" si="687"/>
        <v>0</v>
      </c>
      <c r="BV471" s="50">
        <f t="shared" si="688"/>
        <v>0</v>
      </c>
      <c r="BW471" s="50">
        <f t="shared" ref="BW471:BW495" si="717">IF($J470=BW$14,$L470,BW470)</f>
        <v>0</v>
      </c>
      <c r="BX471" s="50">
        <f t="shared" ref="BX471:BY495" si="718">IF($J470=BX$14,$L470,BX470)</f>
        <v>0</v>
      </c>
      <c r="BY471" s="50">
        <f t="shared" si="718"/>
        <v>0</v>
      </c>
      <c r="BZ471" s="50">
        <f t="shared" si="623"/>
        <v>0</v>
      </c>
      <c r="CA471" s="50">
        <f t="shared" si="624"/>
        <v>0</v>
      </c>
      <c r="CB471" s="50">
        <f t="shared" si="625"/>
        <v>1</v>
      </c>
      <c r="CC471" s="50">
        <f t="shared" si="626"/>
        <v>0</v>
      </c>
      <c r="CD471" s="50">
        <f t="shared" si="627"/>
        <v>0</v>
      </c>
      <c r="CE471" s="50">
        <f t="shared" si="628"/>
        <v>1</v>
      </c>
      <c r="CF471" s="50">
        <f t="shared" si="629"/>
        <v>1</v>
      </c>
      <c r="CG471" s="50">
        <f t="shared" si="630"/>
        <v>1</v>
      </c>
      <c r="CH471" s="50">
        <f t="shared" si="631"/>
        <v>1</v>
      </c>
      <c r="CI471" s="50">
        <f t="shared" si="632"/>
        <v>1</v>
      </c>
      <c r="CJ471" s="50">
        <f t="shared" si="633"/>
        <v>1</v>
      </c>
      <c r="CK471" s="50">
        <f t="shared" si="633"/>
        <v>0</v>
      </c>
      <c r="CL471" s="50">
        <f t="shared" si="633"/>
        <v>0</v>
      </c>
      <c r="CM471" s="51">
        <f t="shared" si="634"/>
        <v>0</v>
      </c>
      <c r="CN471" s="33">
        <f>ROUND(IF(BS471=0,0,HLOOKUP(BS$14,Villagers!$B$1:$V$33,BS471+3,FALSE)),)</f>
        <v>5</v>
      </c>
      <c r="CO471" s="14">
        <f>ROUND(IF(BT471=0,0,HLOOKUP(BT$14,Villagers!$B$1:$V$33,BT471+3,FALSE)),)</f>
        <v>0</v>
      </c>
      <c r="CP471" s="14">
        <f>ROUND(IF(BU471=0,0,HLOOKUP(BU$14,Villagers!$B$1:$V$33,BU471+3,FALSE)),)</f>
        <v>0</v>
      </c>
      <c r="CQ471" s="14">
        <f>ROUND(IF(BV471=0,0,HLOOKUP(BV$14,Villagers!$B$1:$V$33,BV471+3,FALSE)),)</f>
        <v>0</v>
      </c>
      <c r="CR471" s="14">
        <f>ROUND(IF(BW471=0,0,HLOOKUP(BW$14,Villagers!$B$1:$V$33,BW471+3,FALSE)),)</f>
        <v>0</v>
      </c>
      <c r="CS471" s="14">
        <f>ROUND(IF(BX471=0,0,HLOOKUP(BX$14,Villagers!$B$1:$V$33,BX471+3,FALSE)),)</f>
        <v>0</v>
      </c>
      <c r="CT471" s="14">
        <f>ROUND(IF(BY471=0,0,HLOOKUP(BY$14,Villagers!$B$1:$V$33,BY471+3,FALSE)),)</f>
        <v>0</v>
      </c>
      <c r="CU471" s="14">
        <f>ROUND(IF(BZ471=0,0,HLOOKUP(BZ$14,Villagers!$B$1:$V$33,BZ471+3,FALSE)),)</f>
        <v>0</v>
      </c>
      <c r="CV471" s="14">
        <f>ROUND(IF(CA471=0,0,HLOOKUP(CA$14,Villagers!$B$1:$V$33,CA471+3,FALSE)),)</f>
        <v>0</v>
      </c>
      <c r="CW471" s="14">
        <f>ROUND(IF(CB471=0,0,HLOOKUP(CB$14,Villagers!$B$1:$V$33,CB471+3,FALSE)),)</f>
        <v>0</v>
      </c>
      <c r="CX471" s="14">
        <f>ROUND(IF(CC471=0,0,HLOOKUP(CC$14,Villagers!$B$1:$V$33,CC471+3,FALSE)),)</f>
        <v>0</v>
      </c>
      <c r="CY471" s="14">
        <f>ROUND(IF(CD471=0,0,HLOOKUP(CD$14,Villagers!$B$1:$V$33,CD471+3,FALSE)),)</f>
        <v>0</v>
      </c>
      <c r="CZ471" s="14">
        <f>ROUND(IF(CE471=0,0,HLOOKUP(CE$14,Villagers!$B$1:$V$33,CE471+3,FALSE)),)</f>
        <v>5</v>
      </c>
      <c r="DA471" s="14">
        <f>ROUND(IF(CF471=0,0,HLOOKUP(CF$14,Villagers!$B$1:$V$33,CF471+3,FALSE)),)</f>
        <v>10</v>
      </c>
      <c r="DB471" s="14">
        <f>ROUND(IF(CG471=0,0,HLOOKUP(CG$14,Villagers!$B$1:$V$33,CG471+3,FALSE)),)</f>
        <v>10</v>
      </c>
      <c r="DC471" s="14">
        <f>ROUND(IF(CH471=0,0,HLOOKUP(CH$14,Villagers!$B$1:$V$33,CH471+3,FALSE)),)</f>
        <v>0</v>
      </c>
      <c r="DD471" s="14">
        <f>ROUND(IF(CI471=0,0,HLOOKUP(CI$14,Villagers!$B$1:$V$33,CI471+3,FALSE)),)</f>
        <v>0</v>
      </c>
      <c r="DE471" s="14">
        <f>ROUND(IF(CJ471=0,0,HLOOKUP(CJ$14,Villagers!$B$1:$V$33,CJ471+3,FALSE)),)</f>
        <v>2</v>
      </c>
      <c r="DF471" s="370">
        <f>ROUND(IF(CK471=0,0,HLOOKUP(CK$14,Villagers!$B$1:$V$33,CK471+3,FALSE)),)</f>
        <v>0</v>
      </c>
      <c r="DG471" s="370">
        <f>ROUND(IF(CL471=0,0,HLOOKUP(CL$14,Villagers!$B$1:$V$33,CL471+3,FALSE)),)</f>
        <v>0</v>
      </c>
      <c r="DH471" s="34">
        <f>ROUND(IF(CM471=0,0,HLOOKUP(CM$14,Villagers!$B$1:$V$33,CM471+3,FALSE)),)</f>
        <v>0</v>
      </c>
      <c r="DI471" s="109">
        <f t="shared" si="705"/>
        <v>0</v>
      </c>
      <c r="DJ471" s="50">
        <f t="shared" si="706"/>
        <v>0</v>
      </c>
      <c r="DK471" s="50">
        <f t="shared" si="707"/>
        <v>0</v>
      </c>
      <c r="DL471" s="50">
        <f t="shared" si="708"/>
        <v>0</v>
      </c>
      <c r="DM471" s="50">
        <f t="shared" si="709"/>
        <v>0</v>
      </c>
      <c r="DN471" s="50">
        <f t="shared" si="710"/>
        <v>0</v>
      </c>
      <c r="DO471" s="50">
        <f t="shared" si="711"/>
        <v>0</v>
      </c>
      <c r="DP471" s="50">
        <f t="shared" si="712"/>
        <v>0</v>
      </c>
      <c r="DQ471" s="50">
        <f t="shared" si="690"/>
        <v>0</v>
      </c>
      <c r="DR471" s="50">
        <f t="shared" si="691"/>
        <v>0</v>
      </c>
      <c r="DS471" s="96">
        <f>Miscelaneous!$D$4*Miscelaneous!$D$2^($CI471-1)</f>
        <v>1000</v>
      </c>
      <c r="DT471" s="333">
        <f t="shared" si="672"/>
        <v>1</v>
      </c>
      <c r="DU471" s="81">
        <v>1</v>
      </c>
      <c r="DV471" s="79">
        <f t="shared" si="692"/>
        <v>0</v>
      </c>
      <c r="DW471" s="79">
        <f t="shared" si="693"/>
        <v>0</v>
      </c>
      <c r="DX471" s="79">
        <f t="shared" si="694"/>
        <v>0</v>
      </c>
      <c r="DY471" s="79">
        <v>1</v>
      </c>
      <c r="DZ471" s="79">
        <f t="shared" si="695"/>
        <v>0</v>
      </c>
      <c r="EA471" s="79">
        <f t="shared" si="696"/>
        <v>0</v>
      </c>
      <c r="EB471" s="79">
        <f t="shared" si="697"/>
        <v>0</v>
      </c>
      <c r="EC471" s="79">
        <f t="shared" si="698"/>
        <v>0</v>
      </c>
      <c r="ED471" s="79">
        <v>1</v>
      </c>
      <c r="EE471" s="79">
        <v>1</v>
      </c>
      <c r="EF471" s="79">
        <f t="shared" si="699"/>
        <v>0</v>
      </c>
      <c r="EG471" s="79">
        <v>1</v>
      </c>
      <c r="EH471" s="79">
        <v>1</v>
      </c>
      <c r="EI471" s="79">
        <v>1</v>
      </c>
      <c r="EJ471" s="79">
        <v>1</v>
      </c>
      <c r="EK471" s="79">
        <v>1</v>
      </c>
      <c r="EL471" s="79">
        <v>1</v>
      </c>
      <c r="EM471" s="143">
        <f t="shared" si="700"/>
        <v>0</v>
      </c>
      <c r="EN471" s="143">
        <f t="shared" si="701"/>
        <v>0</v>
      </c>
      <c r="EO471" s="82">
        <f t="shared" si="702"/>
        <v>0</v>
      </c>
    </row>
    <row r="472" spans="1:145" x14ac:dyDescent="0.25">
      <c r="A472">
        <v>458</v>
      </c>
      <c r="B472" s="172" t="e">
        <f t="shared" si="673"/>
        <v>#N/A</v>
      </c>
      <c r="C472" s="121" t="e">
        <f t="shared" si="652"/>
        <v>#N/A</v>
      </c>
      <c r="D472" s="122" t="e">
        <f t="shared" si="653"/>
        <v>#N/A</v>
      </c>
      <c r="E472" s="122" t="e">
        <f t="shared" si="654"/>
        <v>#N/A</v>
      </c>
      <c r="F472" s="176" t="e">
        <f t="shared" si="655"/>
        <v>#N/A</v>
      </c>
      <c r="G472" s="121">
        <f t="shared" si="674"/>
        <v>208</v>
      </c>
      <c r="H472" s="176" t="e">
        <f t="shared" si="675"/>
        <v>#N/A</v>
      </c>
      <c r="I472" s="48">
        <v>1</v>
      </c>
      <c r="J472" s="39"/>
      <c r="K472" s="350">
        <v>1</v>
      </c>
      <c r="L472" s="34" t="e">
        <f t="shared" si="656"/>
        <v>#N/A</v>
      </c>
      <c r="M472" s="38" t="e">
        <f>(HLOOKUP(J472,'Construction Times'!$B$3:$W$34,L472+2,FALSE)*HLOOKUP("hq modifier",'Construction Times'!$W$3:$W$34,BS472+2,FALSE))*(1-$H$9)</f>
        <v>#N/A</v>
      </c>
      <c r="N472" s="443" t="e">
        <f t="shared" si="676"/>
        <v>#N/A</v>
      </c>
      <c r="O472" s="444"/>
      <c r="P472" s="447" t="e">
        <f t="shared" si="677"/>
        <v>#N/A</v>
      </c>
      <c r="Q472" s="448"/>
      <c r="R472" s="103">
        <f t="shared" si="703"/>
        <v>0</v>
      </c>
      <c r="S472" s="104">
        <f t="shared" si="703"/>
        <v>0</v>
      </c>
      <c r="T472" s="104">
        <f t="shared" si="704"/>
        <v>0</v>
      </c>
      <c r="U472" s="104">
        <f t="shared" si="704"/>
        <v>0</v>
      </c>
      <c r="V472" s="104">
        <f t="shared" si="704"/>
        <v>9.9999999999999995E-8</v>
      </c>
      <c r="W472" s="104">
        <f t="shared" si="704"/>
        <v>0</v>
      </c>
      <c r="X472" s="104">
        <f t="shared" si="651"/>
        <v>0</v>
      </c>
      <c r="Y472" s="104">
        <f t="shared" si="651"/>
        <v>9.9999999999999995E-8</v>
      </c>
      <c r="Z472" s="104">
        <f t="shared" si="651"/>
        <v>9.9999999999999995E-8</v>
      </c>
      <c r="AA472" s="105">
        <f t="shared" si="651"/>
        <v>9.9999999999999995E-8</v>
      </c>
      <c r="AB472" s="101" t="e">
        <f>$DT472*HLOOKUP($J472,'Construction Costs (timber)'!$B$1:$V$32,'Construction Planner'!$L472+2,FALSE)</f>
        <v>#N/A</v>
      </c>
      <c r="AC472" s="14" t="e">
        <f>$DT472*HLOOKUP($J472,'Construction Costs (clay)'!$B$1:$V$32,'Construction Planner'!$L472+2,FALSE)</f>
        <v>#N/A</v>
      </c>
      <c r="AD472" s="14" t="e">
        <f>$DT472*HLOOKUP($J472,'Construction Costs (iron)'!$B$1:$V$32,'Construction Planner'!$L472+2,FALSE)</f>
        <v>#N/A</v>
      </c>
      <c r="AE472" s="34" t="e">
        <f t="shared" si="713"/>
        <v>#N/A</v>
      </c>
      <c r="AF472" s="33" t="e">
        <f t="shared" si="657"/>
        <v>#N/A</v>
      </c>
      <c r="AG472" s="14" t="e">
        <f t="shared" si="658"/>
        <v>#N/A</v>
      </c>
      <c r="AH472" s="14" t="e">
        <f t="shared" si="659"/>
        <v>#N/A</v>
      </c>
      <c r="AI472" s="34" t="e">
        <f t="shared" si="714"/>
        <v>#N/A</v>
      </c>
      <c r="AJ472" s="49" t="e">
        <f t="shared" si="678"/>
        <v>#N/A</v>
      </c>
      <c r="AK472" s="49" t="e">
        <f t="shared" si="679"/>
        <v>#N/A</v>
      </c>
      <c r="AL472" s="49" t="e">
        <f t="shared" si="680"/>
        <v>#N/A</v>
      </c>
      <c r="AM472" s="25">
        <f t="shared" si="660"/>
        <v>30</v>
      </c>
      <c r="AN472" s="25">
        <f t="shared" si="661"/>
        <v>30</v>
      </c>
      <c r="AO472" s="25">
        <f t="shared" si="662"/>
        <v>30</v>
      </c>
      <c r="AP472" s="52" t="e">
        <f t="shared" si="681"/>
        <v>#N/A</v>
      </c>
      <c r="AQ472" s="53" t="e">
        <f t="shared" si="681"/>
        <v>#N/A</v>
      </c>
      <c r="AR472" s="54" t="e">
        <f t="shared" si="681"/>
        <v>#N/A</v>
      </c>
      <c r="AS472" s="316">
        <f t="shared" si="715"/>
        <v>0</v>
      </c>
      <c r="AT472" s="106">
        <f>_xlfn.IFNA($M472/VLOOKUP($BT472,'Unit information'!$A$2:$K$29,2,FALSE)*R472,0)*(1+$E$9)</f>
        <v>0</v>
      </c>
      <c r="AU472" s="107">
        <f>_xlfn.IFNA($M472/VLOOKUP($BT472,'Unit information'!$A$2:$K$29,3,FALSE)*S472,0)*(1+$E$9)</f>
        <v>0</v>
      </c>
      <c r="AV472" s="107">
        <f>_xlfn.IFNA($M472/VLOOKUP($BT472,'Unit information'!$A$2:$K$29,4,FALSE)*T472,0)*(1+$E$9)</f>
        <v>0</v>
      </c>
      <c r="AW472" s="107">
        <f>_xlfn.IFNA($M472/VLOOKUP($BT472,'Unit information'!$A$2:$K$29,5,FALSE)*U472,0)*(1+$E$9)</f>
        <v>0</v>
      </c>
      <c r="AX472" s="107">
        <f>_xlfn.IFNA($M472/VLOOKUP($BU472,'Unit information'!$A$2:$K$29,6,FALSE)*V472,0)*(1+$E$9)</f>
        <v>0</v>
      </c>
      <c r="AY472" s="107">
        <f>_xlfn.IFNA($M472/VLOOKUP($BU472,'Unit information'!$A$2:$K$29,7,FALSE)*W472,0)*(1+$E$9)</f>
        <v>0</v>
      </c>
      <c r="AZ472" s="107">
        <f>_xlfn.IFNA($M472/VLOOKUP($BU472,'Unit information'!$A$2:$K$29,8,FALSE)*X472,0)*(1+$E$9)</f>
        <v>0</v>
      </c>
      <c r="BA472" s="107">
        <f>_xlfn.IFNA($M472/VLOOKUP($BU472,'Unit information'!$A$2:$K$29,9,FALSE)*Y472,0)*(1+$E$9)</f>
        <v>0</v>
      </c>
      <c r="BB472" s="107">
        <f>_xlfn.IFNA($M472/VLOOKUP($BV472,'Unit information'!$A$2:$K$29,10,FALSE)*Z472,0)*(1+$E$9)</f>
        <v>0</v>
      </c>
      <c r="BC472" s="108">
        <f>_xlfn.IFNA($M472/VLOOKUP($BV472,'Unit information'!$A$2:$K$29,11,FALSE)*AA472,0)*(1+$E$9)</f>
        <v>0</v>
      </c>
      <c r="BD472" s="106">
        <f t="shared" si="663"/>
        <v>0</v>
      </c>
      <c r="BE472" s="107">
        <f t="shared" si="664"/>
        <v>0</v>
      </c>
      <c r="BF472" s="108">
        <f t="shared" si="665"/>
        <v>0</v>
      </c>
      <c r="BG472" s="25" t="e">
        <f t="shared" si="666"/>
        <v>#N/A</v>
      </c>
      <c r="BH472" s="25" t="e">
        <f t="shared" si="667"/>
        <v>#N/A</v>
      </c>
      <c r="BI472" s="25" t="e">
        <f t="shared" si="668"/>
        <v>#N/A</v>
      </c>
      <c r="BJ472" s="27" t="e">
        <f t="shared" si="669"/>
        <v>#N/A</v>
      </c>
      <c r="BK472" s="18" t="e">
        <f t="shared" si="670"/>
        <v>#N/A</v>
      </c>
      <c r="BL472" s="18" t="e">
        <f t="shared" si="671"/>
        <v>#N/A</v>
      </c>
      <c r="BM472" s="28" t="e">
        <f t="shared" si="716"/>
        <v>#N/A</v>
      </c>
      <c r="BN472" s="33">
        <f>HLOOKUP("maximum population",Miscelaneous!$C$1:$C$33,CH472+3,FALSE)</f>
        <v>240</v>
      </c>
      <c r="BO472" s="14">
        <f t="shared" si="682"/>
        <v>32</v>
      </c>
      <c r="BP472" s="14">
        <f t="shared" si="683"/>
        <v>0</v>
      </c>
      <c r="BQ472" s="14">
        <f t="shared" si="684"/>
        <v>208</v>
      </c>
      <c r="BR472" s="34" t="e">
        <f>HLOOKUP(J472,Villagers!$B$1:$V$33,L472+3,FALSE)-HLOOKUP(J472,Villagers!$B$1:$V$33,L472+2,FALSE)</f>
        <v>#N/A</v>
      </c>
      <c r="BS472" s="49">
        <f t="shared" si="685"/>
        <v>1</v>
      </c>
      <c r="BT472" s="50">
        <f t="shared" si="686"/>
        <v>0</v>
      </c>
      <c r="BU472" s="50">
        <f t="shared" si="687"/>
        <v>0</v>
      </c>
      <c r="BV472" s="50">
        <f t="shared" si="688"/>
        <v>0</v>
      </c>
      <c r="BW472" s="50">
        <f t="shared" si="717"/>
        <v>0</v>
      </c>
      <c r="BX472" s="50">
        <f t="shared" si="718"/>
        <v>0</v>
      </c>
      <c r="BY472" s="50">
        <f t="shared" si="718"/>
        <v>0</v>
      </c>
      <c r="BZ472" s="50">
        <f t="shared" si="623"/>
        <v>0</v>
      </c>
      <c r="CA472" s="50">
        <f t="shared" si="624"/>
        <v>0</v>
      </c>
      <c r="CB472" s="50">
        <f t="shared" si="625"/>
        <v>1</v>
      </c>
      <c r="CC472" s="50">
        <f t="shared" si="626"/>
        <v>0</v>
      </c>
      <c r="CD472" s="50">
        <f t="shared" si="627"/>
        <v>0</v>
      </c>
      <c r="CE472" s="50">
        <f t="shared" si="628"/>
        <v>1</v>
      </c>
      <c r="CF472" s="50">
        <f t="shared" si="629"/>
        <v>1</v>
      </c>
      <c r="CG472" s="50">
        <f t="shared" si="630"/>
        <v>1</v>
      </c>
      <c r="CH472" s="50">
        <f t="shared" si="631"/>
        <v>1</v>
      </c>
      <c r="CI472" s="50">
        <f t="shared" si="632"/>
        <v>1</v>
      </c>
      <c r="CJ472" s="50">
        <f t="shared" si="633"/>
        <v>1</v>
      </c>
      <c r="CK472" s="50">
        <f t="shared" si="633"/>
        <v>0</v>
      </c>
      <c r="CL472" s="50">
        <f t="shared" si="633"/>
        <v>0</v>
      </c>
      <c r="CM472" s="51">
        <f t="shared" si="634"/>
        <v>0</v>
      </c>
      <c r="CN472" s="33">
        <f>ROUND(IF(BS472=0,0,HLOOKUP(BS$14,Villagers!$B$1:$V$33,BS472+3,FALSE)),)</f>
        <v>5</v>
      </c>
      <c r="CO472" s="14">
        <f>ROUND(IF(BT472=0,0,HLOOKUP(BT$14,Villagers!$B$1:$V$33,BT472+3,FALSE)),)</f>
        <v>0</v>
      </c>
      <c r="CP472" s="14">
        <f>ROUND(IF(BU472=0,0,HLOOKUP(BU$14,Villagers!$B$1:$V$33,BU472+3,FALSE)),)</f>
        <v>0</v>
      </c>
      <c r="CQ472" s="14">
        <f>ROUND(IF(BV472=0,0,HLOOKUP(BV$14,Villagers!$B$1:$V$33,BV472+3,FALSE)),)</f>
        <v>0</v>
      </c>
      <c r="CR472" s="14">
        <f>ROUND(IF(BW472=0,0,HLOOKUP(BW$14,Villagers!$B$1:$V$33,BW472+3,FALSE)),)</f>
        <v>0</v>
      </c>
      <c r="CS472" s="14">
        <f>ROUND(IF(BX472=0,0,HLOOKUP(BX$14,Villagers!$B$1:$V$33,BX472+3,FALSE)),)</f>
        <v>0</v>
      </c>
      <c r="CT472" s="14">
        <f>ROUND(IF(BY472=0,0,HLOOKUP(BY$14,Villagers!$B$1:$V$33,BY472+3,FALSE)),)</f>
        <v>0</v>
      </c>
      <c r="CU472" s="14">
        <f>ROUND(IF(BZ472=0,0,HLOOKUP(BZ$14,Villagers!$B$1:$V$33,BZ472+3,FALSE)),)</f>
        <v>0</v>
      </c>
      <c r="CV472" s="14">
        <f>ROUND(IF(CA472=0,0,HLOOKUP(CA$14,Villagers!$B$1:$V$33,CA472+3,FALSE)),)</f>
        <v>0</v>
      </c>
      <c r="CW472" s="14">
        <f>ROUND(IF(CB472=0,0,HLOOKUP(CB$14,Villagers!$B$1:$V$33,CB472+3,FALSE)),)</f>
        <v>0</v>
      </c>
      <c r="CX472" s="14">
        <f>ROUND(IF(CC472=0,0,HLOOKUP(CC$14,Villagers!$B$1:$V$33,CC472+3,FALSE)),)</f>
        <v>0</v>
      </c>
      <c r="CY472" s="14">
        <f>ROUND(IF(CD472=0,0,HLOOKUP(CD$14,Villagers!$B$1:$V$33,CD472+3,FALSE)),)</f>
        <v>0</v>
      </c>
      <c r="CZ472" s="14">
        <f>ROUND(IF(CE472=0,0,HLOOKUP(CE$14,Villagers!$B$1:$V$33,CE472+3,FALSE)),)</f>
        <v>5</v>
      </c>
      <c r="DA472" s="14">
        <f>ROUND(IF(CF472=0,0,HLOOKUP(CF$14,Villagers!$B$1:$V$33,CF472+3,FALSE)),)</f>
        <v>10</v>
      </c>
      <c r="DB472" s="14">
        <f>ROUND(IF(CG472=0,0,HLOOKUP(CG$14,Villagers!$B$1:$V$33,CG472+3,FALSE)),)</f>
        <v>10</v>
      </c>
      <c r="DC472" s="14">
        <f>ROUND(IF(CH472=0,0,HLOOKUP(CH$14,Villagers!$B$1:$V$33,CH472+3,FALSE)),)</f>
        <v>0</v>
      </c>
      <c r="DD472" s="14">
        <f>ROUND(IF(CI472=0,0,HLOOKUP(CI$14,Villagers!$B$1:$V$33,CI472+3,FALSE)),)</f>
        <v>0</v>
      </c>
      <c r="DE472" s="14">
        <f>ROUND(IF(CJ472=0,0,HLOOKUP(CJ$14,Villagers!$B$1:$V$33,CJ472+3,FALSE)),)</f>
        <v>2</v>
      </c>
      <c r="DF472" s="370">
        <f>ROUND(IF(CK472=0,0,HLOOKUP(CK$14,Villagers!$B$1:$V$33,CK472+3,FALSE)),)</f>
        <v>0</v>
      </c>
      <c r="DG472" s="370">
        <f>ROUND(IF(CL472=0,0,HLOOKUP(CL$14,Villagers!$B$1:$V$33,CL472+3,FALSE)),)</f>
        <v>0</v>
      </c>
      <c r="DH472" s="34">
        <f>ROUND(IF(CM472=0,0,HLOOKUP(CM$14,Villagers!$B$1:$V$33,CM472+3,FALSE)),)</f>
        <v>0</v>
      </c>
      <c r="DI472" s="109">
        <f t="shared" si="705"/>
        <v>0</v>
      </c>
      <c r="DJ472" s="50">
        <f t="shared" si="706"/>
        <v>0</v>
      </c>
      <c r="DK472" s="50">
        <f t="shared" si="707"/>
        <v>0</v>
      </c>
      <c r="DL472" s="50">
        <f t="shared" si="708"/>
        <v>0</v>
      </c>
      <c r="DM472" s="50">
        <f t="shared" si="709"/>
        <v>0</v>
      </c>
      <c r="DN472" s="50">
        <f t="shared" si="710"/>
        <v>0</v>
      </c>
      <c r="DO472" s="50">
        <f t="shared" si="711"/>
        <v>0</v>
      </c>
      <c r="DP472" s="50">
        <f t="shared" si="712"/>
        <v>0</v>
      </c>
      <c r="DQ472" s="50">
        <f t="shared" si="690"/>
        <v>0</v>
      </c>
      <c r="DR472" s="50">
        <f t="shared" si="691"/>
        <v>0</v>
      </c>
      <c r="DS472" s="96">
        <f>Miscelaneous!$D$4*Miscelaneous!$D$2^($CI472-1)</f>
        <v>1000</v>
      </c>
      <c r="DT472" s="333">
        <f t="shared" si="672"/>
        <v>1</v>
      </c>
      <c r="DU472" s="81">
        <v>1</v>
      </c>
      <c r="DV472" s="79">
        <f t="shared" si="692"/>
        <v>0</v>
      </c>
      <c r="DW472" s="79">
        <f t="shared" si="693"/>
        <v>0</v>
      </c>
      <c r="DX472" s="79">
        <f t="shared" si="694"/>
        <v>0</v>
      </c>
      <c r="DY472" s="79">
        <v>1</v>
      </c>
      <c r="DZ472" s="79">
        <f t="shared" si="695"/>
        <v>0</v>
      </c>
      <c r="EA472" s="79">
        <f t="shared" si="696"/>
        <v>0</v>
      </c>
      <c r="EB472" s="79">
        <f t="shared" si="697"/>
        <v>0</v>
      </c>
      <c r="EC472" s="79">
        <f t="shared" si="698"/>
        <v>0</v>
      </c>
      <c r="ED472" s="79">
        <v>1</v>
      </c>
      <c r="EE472" s="79">
        <v>1</v>
      </c>
      <c r="EF472" s="79">
        <f t="shared" si="699"/>
        <v>0</v>
      </c>
      <c r="EG472" s="79">
        <v>1</v>
      </c>
      <c r="EH472" s="79">
        <v>1</v>
      </c>
      <c r="EI472" s="79">
        <v>1</v>
      </c>
      <c r="EJ472" s="79">
        <v>1</v>
      </c>
      <c r="EK472" s="79">
        <v>1</v>
      </c>
      <c r="EL472" s="79">
        <v>1</v>
      </c>
      <c r="EM472" s="143">
        <f t="shared" si="700"/>
        <v>0</v>
      </c>
      <c r="EN472" s="143">
        <f t="shared" si="701"/>
        <v>0</v>
      </c>
      <c r="EO472" s="82">
        <f t="shared" si="702"/>
        <v>0</v>
      </c>
    </row>
    <row r="473" spans="1:145" x14ac:dyDescent="0.25">
      <c r="A473">
        <v>459</v>
      </c>
      <c r="B473" s="172" t="e">
        <f t="shared" si="673"/>
        <v>#N/A</v>
      </c>
      <c r="C473" s="121" t="e">
        <f t="shared" si="652"/>
        <v>#N/A</v>
      </c>
      <c r="D473" s="122" t="e">
        <f t="shared" si="653"/>
        <v>#N/A</v>
      </c>
      <c r="E473" s="122" t="e">
        <f t="shared" si="654"/>
        <v>#N/A</v>
      </c>
      <c r="F473" s="176" t="e">
        <f t="shared" si="655"/>
        <v>#N/A</v>
      </c>
      <c r="G473" s="121">
        <f t="shared" si="674"/>
        <v>208</v>
      </c>
      <c r="H473" s="176" t="e">
        <f t="shared" si="675"/>
        <v>#N/A</v>
      </c>
      <c r="I473" s="48">
        <v>1</v>
      </c>
      <c r="J473" s="39"/>
      <c r="K473" s="350">
        <v>1</v>
      </c>
      <c r="L473" s="34" t="e">
        <f t="shared" si="656"/>
        <v>#N/A</v>
      </c>
      <c r="M473" s="38" t="e">
        <f>(HLOOKUP(J473,'Construction Times'!$B$3:$W$34,L473+2,FALSE)*HLOOKUP("hq modifier",'Construction Times'!$W$3:$W$34,BS473+2,FALSE))*(1-$H$9)</f>
        <v>#N/A</v>
      </c>
      <c r="N473" s="443" t="e">
        <f t="shared" si="676"/>
        <v>#N/A</v>
      </c>
      <c r="O473" s="444"/>
      <c r="P473" s="447" t="e">
        <f t="shared" si="677"/>
        <v>#N/A</v>
      </c>
      <c r="Q473" s="448"/>
      <c r="R473" s="103">
        <f t="shared" si="703"/>
        <v>0</v>
      </c>
      <c r="S473" s="104">
        <f t="shared" si="703"/>
        <v>0</v>
      </c>
      <c r="T473" s="104">
        <f t="shared" si="704"/>
        <v>0</v>
      </c>
      <c r="U473" s="104">
        <f t="shared" si="704"/>
        <v>0</v>
      </c>
      <c r="V473" s="104">
        <f t="shared" si="704"/>
        <v>9.9999999999999995E-8</v>
      </c>
      <c r="W473" s="104">
        <f t="shared" si="704"/>
        <v>0</v>
      </c>
      <c r="X473" s="104">
        <f t="shared" si="651"/>
        <v>0</v>
      </c>
      <c r="Y473" s="104">
        <f t="shared" si="651"/>
        <v>9.9999999999999995E-8</v>
      </c>
      <c r="Z473" s="104">
        <f t="shared" si="651"/>
        <v>9.9999999999999995E-8</v>
      </c>
      <c r="AA473" s="105">
        <f t="shared" si="651"/>
        <v>9.9999999999999995E-8</v>
      </c>
      <c r="AB473" s="101" t="e">
        <f>$DT473*HLOOKUP($J473,'Construction Costs (timber)'!$B$1:$V$32,'Construction Planner'!$L473+2,FALSE)</f>
        <v>#N/A</v>
      </c>
      <c r="AC473" s="14" t="e">
        <f>$DT473*HLOOKUP($J473,'Construction Costs (clay)'!$B$1:$V$32,'Construction Planner'!$L473+2,FALSE)</f>
        <v>#N/A</v>
      </c>
      <c r="AD473" s="14" t="e">
        <f>$DT473*HLOOKUP($J473,'Construction Costs (iron)'!$B$1:$V$32,'Construction Planner'!$L473+2,FALSE)</f>
        <v>#N/A</v>
      </c>
      <c r="AE473" s="34" t="e">
        <f t="shared" si="713"/>
        <v>#N/A</v>
      </c>
      <c r="AF473" s="33" t="e">
        <f t="shared" si="657"/>
        <v>#N/A</v>
      </c>
      <c r="AG473" s="14" t="e">
        <f t="shared" si="658"/>
        <v>#N/A</v>
      </c>
      <c r="AH473" s="14" t="e">
        <f t="shared" si="659"/>
        <v>#N/A</v>
      </c>
      <c r="AI473" s="34" t="e">
        <f t="shared" si="714"/>
        <v>#N/A</v>
      </c>
      <c r="AJ473" s="49" t="e">
        <f t="shared" si="678"/>
        <v>#N/A</v>
      </c>
      <c r="AK473" s="49" t="e">
        <f t="shared" si="679"/>
        <v>#N/A</v>
      </c>
      <c r="AL473" s="49" t="e">
        <f t="shared" si="680"/>
        <v>#N/A</v>
      </c>
      <c r="AM473" s="25">
        <f t="shared" si="660"/>
        <v>30</v>
      </c>
      <c r="AN473" s="25">
        <f t="shared" si="661"/>
        <v>30</v>
      </c>
      <c r="AO473" s="25">
        <f t="shared" si="662"/>
        <v>30</v>
      </c>
      <c r="AP473" s="52" t="e">
        <f t="shared" si="681"/>
        <v>#N/A</v>
      </c>
      <c r="AQ473" s="53" t="e">
        <f t="shared" si="681"/>
        <v>#N/A</v>
      </c>
      <c r="AR473" s="54" t="e">
        <f t="shared" si="681"/>
        <v>#N/A</v>
      </c>
      <c r="AS473" s="316">
        <f t="shared" si="715"/>
        <v>0</v>
      </c>
      <c r="AT473" s="106">
        <f>_xlfn.IFNA($M473/VLOOKUP($BT473,'Unit information'!$A$2:$K$29,2,FALSE)*R473,0)*(1+$E$9)</f>
        <v>0</v>
      </c>
      <c r="AU473" s="107">
        <f>_xlfn.IFNA($M473/VLOOKUP($BT473,'Unit information'!$A$2:$K$29,3,FALSE)*S473,0)*(1+$E$9)</f>
        <v>0</v>
      </c>
      <c r="AV473" s="107">
        <f>_xlfn.IFNA($M473/VLOOKUP($BT473,'Unit information'!$A$2:$K$29,4,FALSE)*T473,0)*(1+$E$9)</f>
        <v>0</v>
      </c>
      <c r="AW473" s="107">
        <f>_xlfn.IFNA($M473/VLOOKUP($BT473,'Unit information'!$A$2:$K$29,5,FALSE)*U473,0)*(1+$E$9)</f>
        <v>0</v>
      </c>
      <c r="AX473" s="107">
        <f>_xlfn.IFNA($M473/VLOOKUP($BU473,'Unit information'!$A$2:$K$29,6,FALSE)*V473,0)*(1+$E$9)</f>
        <v>0</v>
      </c>
      <c r="AY473" s="107">
        <f>_xlfn.IFNA($M473/VLOOKUP($BU473,'Unit information'!$A$2:$K$29,7,FALSE)*W473,0)*(1+$E$9)</f>
        <v>0</v>
      </c>
      <c r="AZ473" s="107">
        <f>_xlfn.IFNA($M473/VLOOKUP($BU473,'Unit information'!$A$2:$K$29,8,FALSE)*X473,0)*(1+$E$9)</f>
        <v>0</v>
      </c>
      <c r="BA473" s="107">
        <f>_xlfn.IFNA($M473/VLOOKUP($BU473,'Unit information'!$A$2:$K$29,9,FALSE)*Y473,0)*(1+$E$9)</f>
        <v>0</v>
      </c>
      <c r="BB473" s="107">
        <f>_xlfn.IFNA($M473/VLOOKUP($BV473,'Unit information'!$A$2:$K$29,10,FALSE)*Z473,0)*(1+$E$9)</f>
        <v>0</v>
      </c>
      <c r="BC473" s="108">
        <f>_xlfn.IFNA($M473/VLOOKUP($BV473,'Unit information'!$A$2:$K$29,11,FALSE)*AA473,0)*(1+$E$9)</f>
        <v>0</v>
      </c>
      <c r="BD473" s="106">
        <f t="shared" si="663"/>
        <v>0</v>
      </c>
      <c r="BE473" s="107">
        <f t="shared" si="664"/>
        <v>0</v>
      </c>
      <c r="BF473" s="108">
        <f t="shared" si="665"/>
        <v>0</v>
      </c>
      <c r="BG473" s="25" t="e">
        <f t="shared" si="666"/>
        <v>#N/A</v>
      </c>
      <c r="BH473" s="25" t="e">
        <f t="shared" si="667"/>
        <v>#N/A</v>
      </c>
      <c r="BI473" s="25" t="e">
        <f t="shared" si="668"/>
        <v>#N/A</v>
      </c>
      <c r="BJ473" s="27" t="e">
        <f t="shared" si="669"/>
        <v>#N/A</v>
      </c>
      <c r="BK473" s="18" t="e">
        <f t="shared" si="670"/>
        <v>#N/A</v>
      </c>
      <c r="BL473" s="18" t="e">
        <f t="shared" si="671"/>
        <v>#N/A</v>
      </c>
      <c r="BM473" s="28" t="e">
        <f t="shared" si="716"/>
        <v>#N/A</v>
      </c>
      <c r="BN473" s="33">
        <f>HLOOKUP("maximum population",Miscelaneous!$C$1:$C$33,CH473+3,FALSE)</f>
        <v>240</v>
      </c>
      <c r="BO473" s="14">
        <f t="shared" si="682"/>
        <v>32</v>
      </c>
      <c r="BP473" s="14">
        <f t="shared" si="683"/>
        <v>0</v>
      </c>
      <c r="BQ473" s="14">
        <f t="shared" si="684"/>
        <v>208</v>
      </c>
      <c r="BR473" s="34" t="e">
        <f>HLOOKUP(J473,Villagers!$B$1:$V$33,L473+3,FALSE)-HLOOKUP(J473,Villagers!$B$1:$V$33,L473+2,FALSE)</f>
        <v>#N/A</v>
      </c>
      <c r="BS473" s="49">
        <f t="shared" si="685"/>
        <v>1</v>
      </c>
      <c r="BT473" s="50">
        <f t="shared" si="686"/>
        <v>0</v>
      </c>
      <c r="BU473" s="50">
        <f t="shared" si="687"/>
        <v>0</v>
      </c>
      <c r="BV473" s="50">
        <f t="shared" si="688"/>
        <v>0</v>
      </c>
      <c r="BW473" s="50">
        <f t="shared" si="717"/>
        <v>0</v>
      </c>
      <c r="BX473" s="50">
        <f t="shared" si="718"/>
        <v>0</v>
      </c>
      <c r="BY473" s="50">
        <f t="shared" si="718"/>
        <v>0</v>
      </c>
      <c r="BZ473" s="50">
        <f t="shared" si="623"/>
        <v>0</v>
      </c>
      <c r="CA473" s="50">
        <f t="shared" si="624"/>
        <v>0</v>
      </c>
      <c r="CB473" s="50">
        <f t="shared" si="625"/>
        <v>1</v>
      </c>
      <c r="CC473" s="50">
        <f t="shared" si="626"/>
        <v>0</v>
      </c>
      <c r="CD473" s="50">
        <f t="shared" si="627"/>
        <v>0</v>
      </c>
      <c r="CE473" s="50">
        <f t="shared" si="628"/>
        <v>1</v>
      </c>
      <c r="CF473" s="50">
        <f t="shared" si="629"/>
        <v>1</v>
      </c>
      <c r="CG473" s="50">
        <f t="shared" si="630"/>
        <v>1</v>
      </c>
      <c r="CH473" s="50">
        <f t="shared" si="631"/>
        <v>1</v>
      </c>
      <c r="CI473" s="50">
        <f t="shared" si="632"/>
        <v>1</v>
      </c>
      <c r="CJ473" s="50">
        <f t="shared" si="633"/>
        <v>1</v>
      </c>
      <c r="CK473" s="50">
        <f t="shared" si="633"/>
        <v>0</v>
      </c>
      <c r="CL473" s="50">
        <f t="shared" si="633"/>
        <v>0</v>
      </c>
      <c r="CM473" s="51">
        <f t="shared" si="634"/>
        <v>0</v>
      </c>
      <c r="CN473" s="33">
        <f>ROUND(IF(BS473=0,0,HLOOKUP(BS$14,Villagers!$B$1:$V$33,BS473+3,FALSE)),)</f>
        <v>5</v>
      </c>
      <c r="CO473" s="14">
        <f>ROUND(IF(BT473=0,0,HLOOKUP(BT$14,Villagers!$B$1:$V$33,BT473+3,FALSE)),)</f>
        <v>0</v>
      </c>
      <c r="CP473" s="14">
        <f>ROUND(IF(BU473=0,0,HLOOKUP(BU$14,Villagers!$B$1:$V$33,BU473+3,FALSE)),)</f>
        <v>0</v>
      </c>
      <c r="CQ473" s="14">
        <f>ROUND(IF(BV473=0,0,HLOOKUP(BV$14,Villagers!$B$1:$V$33,BV473+3,FALSE)),)</f>
        <v>0</v>
      </c>
      <c r="CR473" s="14">
        <f>ROUND(IF(BW473=0,0,HLOOKUP(BW$14,Villagers!$B$1:$V$33,BW473+3,FALSE)),)</f>
        <v>0</v>
      </c>
      <c r="CS473" s="14">
        <f>ROUND(IF(BX473=0,0,HLOOKUP(BX$14,Villagers!$B$1:$V$33,BX473+3,FALSE)),)</f>
        <v>0</v>
      </c>
      <c r="CT473" s="14">
        <f>ROUND(IF(BY473=0,0,HLOOKUP(BY$14,Villagers!$B$1:$V$33,BY473+3,FALSE)),)</f>
        <v>0</v>
      </c>
      <c r="CU473" s="14">
        <f>ROUND(IF(BZ473=0,0,HLOOKUP(BZ$14,Villagers!$B$1:$V$33,BZ473+3,FALSE)),)</f>
        <v>0</v>
      </c>
      <c r="CV473" s="14">
        <f>ROUND(IF(CA473=0,0,HLOOKUP(CA$14,Villagers!$B$1:$V$33,CA473+3,FALSE)),)</f>
        <v>0</v>
      </c>
      <c r="CW473" s="14">
        <f>ROUND(IF(CB473=0,0,HLOOKUP(CB$14,Villagers!$B$1:$V$33,CB473+3,FALSE)),)</f>
        <v>0</v>
      </c>
      <c r="CX473" s="14">
        <f>ROUND(IF(CC473=0,0,HLOOKUP(CC$14,Villagers!$B$1:$V$33,CC473+3,FALSE)),)</f>
        <v>0</v>
      </c>
      <c r="CY473" s="14">
        <f>ROUND(IF(CD473=0,0,HLOOKUP(CD$14,Villagers!$B$1:$V$33,CD473+3,FALSE)),)</f>
        <v>0</v>
      </c>
      <c r="CZ473" s="14">
        <f>ROUND(IF(CE473=0,0,HLOOKUP(CE$14,Villagers!$B$1:$V$33,CE473+3,FALSE)),)</f>
        <v>5</v>
      </c>
      <c r="DA473" s="14">
        <f>ROUND(IF(CF473=0,0,HLOOKUP(CF$14,Villagers!$B$1:$V$33,CF473+3,FALSE)),)</f>
        <v>10</v>
      </c>
      <c r="DB473" s="14">
        <f>ROUND(IF(CG473=0,0,HLOOKUP(CG$14,Villagers!$B$1:$V$33,CG473+3,FALSE)),)</f>
        <v>10</v>
      </c>
      <c r="DC473" s="14">
        <f>ROUND(IF(CH473=0,0,HLOOKUP(CH$14,Villagers!$B$1:$V$33,CH473+3,FALSE)),)</f>
        <v>0</v>
      </c>
      <c r="DD473" s="14">
        <f>ROUND(IF(CI473=0,0,HLOOKUP(CI$14,Villagers!$B$1:$V$33,CI473+3,FALSE)),)</f>
        <v>0</v>
      </c>
      <c r="DE473" s="14">
        <f>ROUND(IF(CJ473=0,0,HLOOKUP(CJ$14,Villagers!$B$1:$V$33,CJ473+3,FALSE)),)</f>
        <v>2</v>
      </c>
      <c r="DF473" s="370">
        <f>ROUND(IF(CK473=0,0,HLOOKUP(CK$14,Villagers!$B$1:$V$33,CK473+3,FALSE)),)</f>
        <v>0</v>
      </c>
      <c r="DG473" s="370">
        <f>ROUND(IF(CL473=0,0,HLOOKUP(CL$14,Villagers!$B$1:$V$33,CL473+3,FALSE)),)</f>
        <v>0</v>
      </c>
      <c r="DH473" s="34">
        <f>ROUND(IF(CM473=0,0,HLOOKUP(CM$14,Villagers!$B$1:$V$33,CM473+3,FALSE)),)</f>
        <v>0</v>
      </c>
      <c r="DI473" s="109">
        <f t="shared" si="705"/>
        <v>0</v>
      </c>
      <c r="DJ473" s="50">
        <f t="shared" si="706"/>
        <v>0</v>
      </c>
      <c r="DK473" s="50">
        <f t="shared" si="707"/>
        <v>0</v>
      </c>
      <c r="DL473" s="50">
        <f t="shared" si="708"/>
        <v>0</v>
      </c>
      <c r="DM473" s="50">
        <f t="shared" si="709"/>
        <v>0</v>
      </c>
      <c r="DN473" s="50">
        <f t="shared" si="710"/>
        <v>0</v>
      </c>
      <c r="DO473" s="50">
        <f t="shared" si="711"/>
        <v>0</v>
      </c>
      <c r="DP473" s="50">
        <f t="shared" si="712"/>
        <v>0</v>
      </c>
      <c r="DQ473" s="50">
        <f t="shared" si="690"/>
        <v>0</v>
      </c>
      <c r="DR473" s="50">
        <f t="shared" si="691"/>
        <v>0</v>
      </c>
      <c r="DS473" s="96">
        <f>Miscelaneous!$D$4*Miscelaneous!$D$2^($CI473-1)</f>
        <v>1000</v>
      </c>
      <c r="DT473" s="333">
        <f t="shared" si="672"/>
        <v>1</v>
      </c>
      <c r="DU473" s="81">
        <v>1</v>
      </c>
      <c r="DV473" s="79">
        <f t="shared" si="692"/>
        <v>0</v>
      </c>
      <c r="DW473" s="79">
        <f t="shared" si="693"/>
        <v>0</v>
      </c>
      <c r="DX473" s="79">
        <f t="shared" si="694"/>
        <v>0</v>
      </c>
      <c r="DY473" s="79">
        <v>1</v>
      </c>
      <c r="DZ473" s="79">
        <f t="shared" si="695"/>
        <v>0</v>
      </c>
      <c r="EA473" s="79">
        <f t="shared" si="696"/>
        <v>0</v>
      </c>
      <c r="EB473" s="79">
        <f t="shared" si="697"/>
        <v>0</v>
      </c>
      <c r="EC473" s="79">
        <f t="shared" si="698"/>
        <v>0</v>
      </c>
      <c r="ED473" s="79">
        <v>1</v>
      </c>
      <c r="EE473" s="79">
        <v>1</v>
      </c>
      <c r="EF473" s="79">
        <f t="shared" si="699"/>
        <v>0</v>
      </c>
      <c r="EG473" s="79">
        <v>1</v>
      </c>
      <c r="EH473" s="79">
        <v>1</v>
      </c>
      <c r="EI473" s="79">
        <v>1</v>
      </c>
      <c r="EJ473" s="79">
        <v>1</v>
      </c>
      <c r="EK473" s="79">
        <v>1</v>
      </c>
      <c r="EL473" s="79">
        <v>1</v>
      </c>
      <c r="EM473" s="143">
        <f t="shared" si="700"/>
        <v>0</v>
      </c>
      <c r="EN473" s="143">
        <f t="shared" si="701"/>
        <v>0</v>
      </c>
      <c r="EO473" s="82">
        <f t="shared" si="702"/>
        <v>0</v>
      </c>
    </row>
    <row r="474" spans="1:145" x14ac:dyDescent="0.25">
      <c r="A474">
        <v>460</v>
      </c>
      <c r="B474" s="172" t="e">
        <f t="shared" si="673"/>
        <v>#N/A</v>
      </c>
      <c r="C474" s="121" t="e">
        <f t="shared" si="652"/>
        <v>#N/A</v>
      </c>
      <c r="D474" s="122" t="e">
        <f t="shared" si="653"/>
        <v>#N/A</v>
      </c>
      <c r="E474" s="122" t="e">
        <f t="shared" si="654"/>
        <v>#N/A</v>
      </c>
      <c r="F474" s="176" t="e">
        <f t="shared" si="655"/>
        <v>#N/A</v>
      </c>
      <c r="G474" s="121">
        <f t="shared" si="674"/>
        <v>208</v>
      </c>
      <c r="H474" s="176" t="e">
        <f t="shared" si="675"/>
        <v>#N/A</v>
      </c>
      <c r="I474" s="48">
        <v>1</v>
      </c>
      <c r="J474" s="39"/>
      <c r="K474" s="350">
        <v>1</v>
      </c>
      <c r="L474" s="34" t="e">
        <f t="shared" si="656"/>
        <v>#N/A</v>
      </c>
      <c r="M474" s="38" t="e">
        <f>(HLOOKUP(J474,'Construction Times'!$B$3:$W$34,L474+2,FALSE)*HLOOKUP("hq modifier",'Construction Times'!$W$3:$W$34,BS474+2,FALSE))*(1-$H$9)</f>
        <v>#N/A</v>
      </c>
      <c r="N474" s="443" t="e">
        <f t="shared" si="676"/>
        <v>#N/A</v>
      </c>
      <c r="O474" s="444"/>
      <c r="P474" s="447" t="e">
        <f t="shared" si="677"/>
        <v>#N/A</v>
      </c>
      <c r="Q474" s="448"/>
      <c r="R474" s="103">
        <f t="shared" si="703"/>
        <v>0</v>
      </c>
      <c r="S474" s="104">
        <f t="shared" si="703"/>
        <v>0</v>
      </c>
      <c r="T474" s="104">
        <f t="shared" si="704"/>
        <v>0</v>
      </c>
      <c r="U474" s="104">
        <f t="shared" si="704"/>
        <v>0</v>
      </c>
      <c r="V474" s="104">
        <f t="shared" si="704"/>
        <v>9.9999999999999995E-8</v>
      </c>
      <c r="W474" s="104">
        <f t="shared" si="704"/>
        <v>0</v>
      </c>
      <c r="X474" s="104">
        <f t="shared" si="651"/>
        <v>0</v>
      </c>
      <c r="Y474" s="104">
        <f t="shared" si="651"/>
        <v>9.9999999999999995E-8</v>
      </c>
      <c r="Z474" s="104">
        <f t="shared" si="651"/>
        <v>9.9999999999999995E-8</v>
      </c>
      <c r="AA474" s="105">
        <f t="shared" si="651"/>
        <v>9.9999999999999995E-8</v>
      </c>
      <c r="AB474" s="101" t="e">
        <f>$DT474*HLOOKUP($J474,'Construction Costs (timber)'!$B$1:$V$32,'Construction Planner'!$L474+2,FALSE)</f>
        <v>#N/A</v>
      </c>
      <c r="AC474" s="14" t="e">
        <f>$DT474*HLOOKUP($J474,'Construction Costs (clay)'!$B$1:$V$32,'Construction Planner'!$L474+2,FALSE)</f>
        <v>#N/A</v>
      </c>
      <c r="AD474" s="14" t="e">
        <f>$DT474*HLOOKUP($J474,'Construction Costs (iron)'!$B$1:$V$32,'Construction Planner'!$L474+2,FALSE)</f>
        <v>#N/A</v>
      </c>
      <c r="AE474" s="34" t="e">
        <f t="shared" si="713"/>
        <v>#N/A</v>
      </c>
      <c r="AF474" s="33" t="e">
        <f t="shared" si="657"/>
        <v>#N/A</v>
      </c>
      <c r="AG474" s="14" t="e">
        <f t="shared" si="658"/>
        <v>#N/A</v>
      </c>
      <c r="AH474" s="14" t="e">
        <f t="shared" si="659"/>
        <v>#N/A</v>
      </c>
      <c r="AI474" s="34" t="e">
        <f t="shared" si="714"/>
        <v>#N/A</v>
      </c>
      <c r="AJ474" s="49" t="e">
        <f t="shared" si="678"/>
        <v>#N/A</v>
      </c>
      <c r="AK474" s="49" t="e">
        <f t="shared" si="679"/>
        <v>#N/A</v>
      </c>
      <c r="AL474" s="49" t="e">
        <f t="shared" si="680"/>
        <v>#N/A</v>
      </c>
      <c r="AM474" s="25">
        <f t="shared" si="660"/>
        <v>30</v>
      </c>
      <c r="AN474" s="25">
        <f t="shared" si="661"/>
        <v>30</v>
      </c>
      <c r="AO474" s="25">
        <f t="shared" si="662"/>
        <v>30</v>
      </c>
      <c r="AP474" s="52" t="e">
        <f t="shared" si="681"/>
        <v>#N/A</v>
      </c>
      <c r="AQ474" s="53" t="e">
        <f t="shared" si="681"/>
        <v>#N/A</v>
      </c>
      <c r="AR474" s="54" t="e">
        <f t="shared" si="681"/>
        <v>#N/A</v>
      </c>
      <c r="AS474" s="316">
        <f t="shared" si="715"/>
        <v>0</v>
      </c>
      <c r="AT474" s="106">
        <f>_xlfn.IFNA($M474/VLOOKUP($BT474,'Unit information'!$A$2:$K$29,2,FALSE)*R474,0)*(1+$E$9)</f>
        <v>0</v>
      </c>
      <c r="AU474" s="107">
        <f>_xlfn.IFNA($M474/VLOOKUP($BT474,'Unit information'!$A$2:$K$29,3,FALSE)*S474,0)*(1+$E$9)</f>
        <v>0</v>
      </c>
      <c r="AV474" s="107">
        <f>_xlfn.IFNA($M474/VLOOKUP($BT474,'Unit information'!$A$2:$K$29,4,FALSE)*T474,0)*(1+$E$9)</f>
        <v>0</v>
      </c>
      <c r="AW474" s="107">
        <f>_xlfn.IFNA($M474/VLOOKUP($BT474,'Unit information'!$A$2:$K$29,5,FALSE)*U474,0)*(1+$E$9)</f>
        <v>0</v>
      </c>
      <c r="AX474" s="107">
        <f>_xlfn.IFNA($M474/VLOOKUP($BU474,'Unit information'!$A$2:$K$29,6,FALSE)*V474,0)*(1+$E$9)</f>
        <v>0</v>
      </c>
      <c r="AY474" s="107">
        <f>_xlfn.IFNA($M474/VLOOKUP($BU474,'Unit information'!$A$2:$K$29,7,FALSE)*W474,0)*(1+$E$9)</f>
        <v>0</v>
      </c>
      <c r="AZ474" s="107">
        <f>_xlfn.IFNA($M474/VLOOKUP($BU474,'Unit information'!$A$2:$K$29,8,FALSE)*X474,0)*(1+$E$9)</f>
        <v>0</v>
      </c>
      <c r="BA474" s="107">
        <f>_xlfn.IFNA($M474/VLOOKUP($BU474,'Unit information'!$A$2:$K$29,9,FALSE)*Y474,0)*(1+$E$9)</f>
        <v>0</v>
      </c>
      <c r="BB474" s="107">
        <f>_xlfn.IFNA($M474/VLOOKUP($BV474,'Unit information'!$A$2:$K$29,10,FALSE)*Z474,0)*(1+$E$9)</f>
        <v>0</v>
      </c>
      <c r="BC474" s="108">
        <f>_xlfn.IFNA($M474/VLOOKUP($BV474,'Unit information'!$A$2:$K$29,11,FALSE)*AA474,0)*(1+$E$9)</f>
        <v>0</v>
      </c>
      <c r="BD474" s="106">
        <f t="shared" si="663"/>
        <v>0</v>
      </c>
      <c r="BE474" s="107">
        <f t="shared" si="664"/>
        <v>0</v>
      </c>
      <c r="BF474" s="108">
        <f t="shared" si="665"/>
        <v>0</v>
      </c>
      <c r="BG474" s="25" t="e">
        <f t="shared" si="666"/>
        <v>#N/A</v>
      </c>
      <c r="BH474" s="25" t="e">
        <f t="shared" si="667"/>
        <v>#N/A</v>
      </c>
      <c r="BI474" s="25" t="e">
        <f t="shared" si="668"/>
        <v>#N/A</v>
      </c>
      <c r="BJ474" s="27" t="e">
        <f t="shared" si="669"/>
        <v>#N/A</v>
      </c>
      <c r="BK474" s="18" t="e">
        <f t="shared" si="670"/>
        <v>#N/A</v>
      </c>
      <c r="BL474" s="18" t="e">
        <f t="shared" si="671"/>
        <v>#N/A</v>
      </c>
      <c r="BM474" s="28" t="e">
        <f t="shared" si="716"/>
        <v>#N/A</v>
      </c>
      <c r="BN474" s="33">
        <f>HLOOKUP("maximum population",Miscelaneous!$C$1:$C$33,CH474+3,FALSE)</f>
        <v>240</v>
      </c>
      <c r="BO474" s="14">
        <f t="shared" si="682"/>
        <v>32</v>
      </c>
      <c r="BP474" s="14">
        <f t="shared" si="683"/>
        <v>0</v>
      </c>
      <c r="BQ474" s="14">
        <f t="shared" si="684"/>
        <v>208</v>
      </c>
      <c r="BR474" s="34" t="e">
        <f>HLOOKUP(J474,Villagers!$B$1:$V$33,L474+3,FALSE)-HLOOKUP(J474,Villagers!$B$1:$V$33,L474+2,FALSE)</f>
        <v>#N/A</v>
      </c>
      <c r="BS474" s="49">
        <f t="shared" si="685"/>
        <v>1</v>
      </c>
      <c r="BT474" s="50">
        <f t="shared" si="686"/>
        <v>0</v>
      </c>
      <c r="BU474" s="50">
        <f t="shared" si="687"/>
        <v>0</v>
      </c>
      <c r="BV474" s="50">
        <f t="shared" si="688"/>
        <v>0</v>
      </c>
      <c r="BW474" s="50">
        <f t="shared" si="717"/>
        <v>0</v>
      </c>
      <c r="BX474" s="50">
        <f t="shared" si="718"/>
        <v>0</v>
      </c>
      <c r="BY474" s="50">
        <f t="shared" si="718"/>
        <v>0</v>
      </c>
      <c r="BZ474" s="50">
        <f t="shared" si="623"/>
        <v>0</v>
      </c>
      <c r="CA474" s="50">
        <f t="shared" si="624"/>
        <v>0</v>
      </c>
      <c r="CB474" s="50">
        <f t="shared" si="625"/>
        <v>1</v>
      </c>
      <c r="CC474" s="50">
        <f t="shared" si="626"/>
        <v>0</v>
      </c>
      <c r="CD474" s="50">
        <f t="shared" si="627"/>
        <v>0</v>
      </c>
      <c r="CE474" s="50">
        <f t="shared" si="628"/>
        <v>1</v>
      </c>
      <c r="CF474" s="50">
        <f t="shared" si="629"/>
        <v>1</v>
      </c>
      <c r="CG474" s="50">
        <f t="shared" si="630"/>
        <v>1</v>
      </c>
      <c r="CH474" s="50">
        <f t="shared" si="631"/>
        <v>1</v>
      </c>
      <c r="CI474" s="50">
        <f t="shared" si="632"/>
        <v>1</v>
      </c>
      <c r="CJ474" s="50">
        <f t="shared" si="633"/>
        <v>1</v>
      </c>
      <c r="CK474" s="50">
        <f t="shared" si="633"/>
        <v>0</v>
      </c>
      <c r="CL474" s="50">
        <f t="shared" si="633"/>
        <v>0</v>
      </c>
      <c r="CM474" s="51">
        <f t="shared" si="634"/>
        <v>0</v>
      </c>
      <c r="CN474" s="33">
        <f>ROUND(IF(BS474=0,0,HLOOKUP(BS$14,Villagers!$B$1:$V$33,BS474+3,FALSE)),)</f>
        <v>5</v>
      </c>
      <c r="CO474" s="14">
        <f>ROUND(IF(BT474=0,0,HLOOKUP(BT$14,Villagers!$B$1:$V$33,BT474+3,FALSE)),)</f>
        <v>0</v>
      </c>
      <c r="CP474" s="14">
        <f>ROUND(IF(BU474=0,0,HLOOKUP(BU$14,Villagers!$B$1:$V$33,BU474+3,FALSE)),)</f>
        <v>0</v>
      </c>
      <c r="CQ474" s="14">
        <f>ROUND(IF(BV474=0,0,HLOOKUP(BV$14,Villagers!$B$1:$V$33,BV474+3,FALSE)),)</f>
        <v>0</v>
      </c>
      <c r="CR474" s="14">
        <f>ROUND(IF(BW474=0,0,HLOOKUP(BW$14,Villagers!$B$1:$V$33,BW474+3,FALSE)),)</f>
        <v>0</v>
      </c>
      <c r="CS474" s="14">
        <f>ROUND(IF(BX474=0,0,HLOOKUP(BX$14,Villagers!$B$1:$V$33,BX474+3,FALSE)),)</f>
        <v>0</v>
      </c>
      <c r="CT474" s="14">
        <f>ROUND(IF(BY474=0,0,HLOOKUP(BY$14,Villagers!$B$1:$V$33,BY474+3,FALSE)),)</f>
        <v>0</v>
      </c>
      <c r="CU474" s="14">
        <f>ROUND(IF(BZ474=0,0,HLOOKUP(BZ$14,Villagers!$B$1:$V$33,BZ474+3,FALSE)),)</f>
        <v>0</v>
      </c>
      <c r="CV474" s="14">
        <f>ROUND(IF(CA474=0,0,HLOOKUP(CA$14,Villagers!$B$1:$V$33,CA474+3,FALSE)),)</f>
        <v>0</v>
      </c>
      <c r="CW474" s="14">
        <f>ROUND(IF(CB474=0,0,HLOOKUP(CB$14,Villagers!$B$1:$V$33,CB474+3,FALSE)),)</f>
        <v>0</v>
      </c>
      <c r="CX474" s="14">
        <f>ROUND(IF(CC474=0,0,HLOOKUP(CC$14,Villagers!$B$1:$V$33,CC474+3,FALSE)),)</f>
        <v>0</v>
      </c>
      <c r="CY474" s="14">
        <f>ROUND(IF(CD474=0,0,HLOOKUP(CD$14,Villagers!$B$1:$V$33,CD474+3,FALSE)),)</f>
        <v>0</v>
      </c>
      <c r="CZ474" s="14">
        <f>ROUND(IF(CE474=0,0,HLOOKUP(CE$14,Villagers!$B$1:$V$33,CE474+3,FALSE)),)</f>
        <v>5</v>
      </c>
      <c r="DA474" s="14">
        <f>ROUND(IF(CF474=0,0,HLOOKUP(CF$14,Villagers!$B$1:$V$33,CF474+3,FALSE)),)</f>
        <v>10</v>
      </c>
      <c r="DB474" s="14">
        <f>ROUND(IF(CG474=0,0,HLOOKUP(CG$14,Villagers!$B$1:$V$33,CG474+3,FALSE)),)</f>
        <v>10</v>
      </c>
      <c r="DC474" s="14">
        <f>ROUND(IF(CH474=0,0,HLOOKUP(CH$14,Villagers!$B$1:$V$33,CH474+3,FALSE)),)</f>
        <v>0</v>
      </c>
      <c r="DD474" s="14">
        <f>ROUND(IF(CI474=0,0,HLOOKUP(CI$14,Villagers!$B$1:$V$33,CI474+3,FALSE)),)</f>
        <v>0</v>
      </c>
      <c r="DE474" s="14">
        <f>ROUND(IF(CJ474=0,0,HLOOKUP(CJ$14,Villagers!$B$1:$V$33,CJ474+3,FALSE)),)</f>
        <v>2</v>
      </c>
      <c r="DF474" s="370">
        <f>ROUND(IF(CK474=0,0,HLOOKUP(CK$14,Villagers!$B$1:$V$33,CK474+3,FALSE)),)</f>
        <v>0</v>
      </c>
      <c r="DG474" s="370">
        <f>ROUND(IF(CL474=0,0,HLOOKUP(CL$14,Villagers!$B$1:$V$33,CL474+3,FALSE)),)</f>
        <v>0</v>
      </c>
      <c r="DH474" s="34">
        <f>ROUND(IF(CM474=0,0,HLOOKUP(CM$14,Villagers!$B$1:$V$33,CM474+3,FALSE)),)</f>
        <v>0</v>
      </c>
      <c r="DI474" s="109">
        <f t="shared" si="705"/>
        <v>0</v>
      </c>
      <c r="DJ474" s="50">
        <f t="shared" si="706"/>
        <v>0</v>
      </c>
      <c r="DK474" s="50">
        <f t="shared" si="707"/>
        <v>0</v>
      </c>
      <c r="DL474" s="50">
        <f t="shared" si="708"/>
        <v>0</v>
      </c>
      <c r="DM474" s="50">
        <f t="shared" si="709"/>
        <v>0</v>
      </c>
      <c r="DN474" s="50">
        <f t="shared" si="710"/>
        <v>0</v>
      </c>
      <c r="DO474" s="50">
        <f t="shared" si="711"/>
        <v>0</v>
      </c>
      <c r="DP474" s="50">
        <f t="shared" si="712"/>
        <v>0</v>
      </c>
      <c r="DQ474" s="50">
        <f t="shared" si="690"/>
        <v>0</v>
      </c>
      <c r="DR474" s="50">
        <f t="shared" si="691"/>
        <v>0</v>
      </c>
      <c r="DS474" s="96">
        <f>Miscelaneous!$D$4*Miscelaneous!$D$2^($CI474-1)</f>
        <v>1000</v>
      </c>
      <c r="DT474" s="333">
        <f t="shared" si="672"/>
        <v>1</v>
      </c>
      <c r="DU474" s="81">
        <v>1</v>
      </c>
      <c r="DV474" s="79">
        <f t="shared" si="692"/>
        <v>0</v>
      </c>
      <c r="DW474" s="79">
        <f t="shared" si="693"/>
        <v>0</v>
      </c>
      <c r="DX474" s="79">
        <f t="shared" si="694"/>
        <v>0</v>
      </c>
      <c r="DY474" s="79">
        <v>1</v>
      </c>
      <c r="DZ474" s="79">
        <f t="shared" si="695"/>
        <v>0</v>
      </c>
      <c r="EA474" s="79">
        <f t="shared" si="696"/>
        <v>0</v>
      </c>
      <c r="EB474" s="79">
        <f t="shared" si="697"/>
        <v>0</v>
      </c>
      <c r="EC474" s="79">
        <f t="shared" si="698"/>
        <v>0</v>
      </c>
      <c r="ED474" s="79">
        <v>1</v>
      </c>
      <c r="EE474" s="79">
        <v>1</v>
      </c>
      <c r="EF474" s="79">
        <f t="shared" si="699"/>
        <v>0</v>
      </c>
      <c r="EG474" s="79">
        <v>1</v>
      </c>
      <c r="EH474" s="79">
        <v>1</v>
      </c>
      <c r="EI474" s="79">
        <v>1</v>
      </c>
      <c r="EJ474" s="79">
        <v>1</v>
      </c>
      <c r="EK474" s="79">
        <v>1</v>
      </c>
      <c r="EL474" s="79">
        <v>1</v>
      </c>
      <c r="EM474" s="143">
        <f t="shared" si="700"/>
        <v>0</v>
      </c>
      <c r="EN474" s="143">
        <f t="shared" si="701"/>
        <v>0</v>
      </c>
      <c r="EO474" s="82">
        <f t="shared" si="702"/>
        <v>0</v>
      </c>
    </row>
    <row r="475" spans="1:145" x14ac:dyDescent="0.25">
      <c r="A475">
        <v>461</v>
      </c>
      <c r="B475" s="172" t="e">
        <f t="shared" si="673"/>
        <v>#N/A</v>
      </c>
      <c r="C475" s="121" t="e">
        <f t="shared" si="652"/>
        <v>#N/A</v>
      </c>
      <c r="D475" s="122" t="e">
        <f t="shared" si="653"/>
        <v>#N/A</v>
      </c>
      <c r="E475" s="122" t="e">
        <f t="shared" si="654"/>
        <v>#N/A</v>
      </c>
      <c r="F475" s="176" t="e">
        <f t="shared" si="655"/>
        <v>#N/A</v>
      </c>
      <c r="G475" s="121">
        <f t="shared" si="674"/>
        <v>208</v>
      </c>
      <c r="H475" s="176" t="e">
        <f t="shared" si="675"/>
        <v>#N/A</v>
      </c>
      <c r="I475" s="48">
        <v>1</v>
      </c>
      <c r="J475" s="39"/>
      <c r="K475" s="350">
        <v>1</v>
      </c>
      <c r="L475" s="34" t="e">
        <f t="shared" si="656"/>
        <v>#N/A</v>
      </c>
      <c r="M475" s="38" t="e">
        <f>(HLOOKUP(J475,'Construction Times'!$B$3:$W$34,L475+2,FALSE)*HLOOKUP("hq modifier",'Construction Times'!$W$3:$W$34,BS475+2,FALSE))*(1-$H$9)</f>
        <v>#N/A</v>
      </c>
      <c r="N475" s="443" t="e">
        <f t="shared" si="676"/>
        <v>#N/A</v>
      </c>
      <c r="O475" s="444"/>
      <c r="P475" s="447" t="e">
        <f t="shared" si="677"/>
        <v>#N/A</v>
      </c>
      <c r="Q475" s="448"/>
      <c r="R475" s="103">
        <f t="shared" si="703"/>
        <v>0</v>
      </c>
      <c r="S475" s="104">
        <f t="shared" si="703"/>
        <v>0</v>
      </c>
      <c r="T475" s="104">
        <f t="shared" si="704"/>
        <v>0</v>
      </c>
      <c r="U475" s="104">
        <f t="shared" si="704"/>
        <v>0</v>
      </c>
      <c r="V475" s="104">
        <f t="shared" si="704"/>
        <v>9.9999999999999995E-8</v>
      </c>
      <c r="W475" s="104">
        <f t="shared" si="704"/>
        <v>0</v>
      </c>
      <c r="X475" s="104">
        <f t="shared" si="651"/>
        <v>0</v>
      </c>
      <c r="Y475" s="104">
        <f t="shared" si="651"/>
        <v>9.9999999999999995E-8</v>
      </c>
      <c r="Z475" s="104">
        <f t="shared" si="651"/>
        <v>9.9999999999999995E-8</v>
      </c>
      <c r="AA475" s="105">
        <f t="shared" si="651"/>
        <v>9.9999999999999995E-8</v>
      </c>
      <c r="AB475" s="101" t="e">
        <f>$DT475*HLOOKUP($J475,'Construction Costs (timber)'!$B$1:$V$32,'Construction Planner'!$L475+2,FALSE)</f>
        <v>#N/A</v>
      </c>
      <c r="AC475" s="14" t="e">
        <f>$DT475*HLOOKUP($J475,'Construction Costs (clay)'!$B$1:$V$32,'Construction Planner'!$L475+2,FALSE)</f>
        <v>#N/A</v>
      </c>
      <c r="AD475" s="14" t="e">
        <f>$DT475*HLOOKUP($J475,'Construction Costs (iron)'!$B$1:$V$32,'Construction Planner'!$L475+2,FALSE)</f>
        <v>#N/A</v>
      </c>
      <c r="AE475" s="34" t="e">
        <f t="shared" si="713"/>
        <v>#N/A</v>
      </c>
      <c r="AF475" s="33" t="e">
        <f t="shared" si="657"/>
        <v>#N/A</v>
      </c>
      <c r="AG475" s="14" t="e">
        <f t="shared" si="658"/>
        <v>#N/A</v>
      </c>
      <c r="AH475" s="14" t="e">
        <f t="shared" si="659"/>
        <v>#N/A</v>
      </c>
      <c r="AI475" s="34" t="e">
        <f t="shared" si="714"/>
        <v>#N/A</v>
      </c>
      <c r="AJ475" s="49" t="e">
        <f t="shared" si="678"/>
        <v>#N/A</v>
      </c>
      <c r="AK475" s="49" t="e">
        <f t="shared" si="679"/>
        <v>#N/A</v>
      </c>
      <c r="AL475" s="49" t="e">
        <f t="shared" si="680"/>
        <v>#N/A</v>
      </c>
      <c r="AM475" s="25">
        <f t="shared" si="660"/>
        <v>30</v>
      </c>
      <c r="AN475" s="25">
        <f t="shared" si="661"/>
        <v>30</v>
      </c>
      <c r="AO475" s="25">
        <f t="shared" si="662"/>
        <v>30</v>
      </c>
      <c r="AP475" s="52" t="e">
        <f t="shared" si="681"/>
        <v>#N/A</v>
      </c>
      <c r="AQ475" s="53" t="e">
        <f t="shared" si="681"/>
        <v>#N/A</v>
      </c>
      <c r="AR475" s="54" t="e">
        <f t="shared" si="681"/>
        <v>#N/A</v>
      </c>
      <c r="AS475" s="316">
        <f t="shared" si="715"/>
        <v>0</v>
      </c>
      <c r="AT475" s="106">
        <f>_xlfn.IFNA($M475/VLOOKUP($BT475,'Unit information'!$A$2:$K$29,2,FALSE)*R475,0)*(1+$E$9)</f>
        <v>0</v>
      </c>
      <c r="AU475" s="107">
        <f>_xlfn.IFNA($M475/VLOOKUP($BT475,'Unit information'!$A$2:$K$29,3,FALSE)*S475,0)*(1+$E$9)</f>
        <v>0</v>
      </c>
      <c r="AV475" s="107">
        <f>_xlfn.IFNA($M475/VLOOKUP($BT475,'Unit information'!$A$2:$K$29,4,FALSE)*T475,0)*(1+$E$9)</f>
        <v>0</v>
      </c>
      <c r="AW475" s="107">
        <f>_xlfn.IFNA($M475/VLOOKUP($BT475,'Unit information'!$A$2:$K$29,5,FALSE)*U475,0)*(1+$E$9)</f>
        <v>0</v>
      </c>
      <c r="AX475" s="107">
        <f>_xlfn.IFNA($M475/VLOOKUP($BU475,'Unit information'!$A$2:$K$29,6,FALSE)*V475,0)*(1+$E$9)</f>
        <v>0</v>
      </c>
      <c r="AY475" s="107">
        <f>_xlfn.IFNA($M475/VLOOKUP($BU475,'Unit information'!$A$2:$K$29,7,FALSE)*W475,0)*(1+$E$9)</f>
        <v>0</v>
      </c>
      <c r="AZ475" s="107">
        <f>_xlfn.IFNA($M475/VLOOKUP($BU475,'Unit information'!$A$2:$K$29,8,FALSE)*X475,0)*(1+$E$9)</f>
        <v>0</v>
      </c>
      <c r="BA475" s="107">
        <f>_xlfn.IFNA($M475/VLOOKUP($BU475,'Unit information'!$A$2:$K$29,9,FALSE)*Y475,0)*(1+$E$9)</f>
        <v>0</v>
      </c>
      <c r="BB475" s="107">
        <f>_xlfn.IFNA($M475/VLOOKUP($BV475,'Unit information'!$A$2:$K$29,10,FALSE)*Z475,0)*(1+$E$9)</f>
        <v>0</v>
      </c>
      <c r="BC475" s="108">
        <f>_xlfn.IFNA($M475/VLOOKUP($BV475,'Unit information'!$A$2:$K$29,11,FALSE)*AA475,0)*(1+$E$9)</f>
        <v>0</v>
      </c>
      <c r="BD475" s="106">
        <f t="shared" si="663"/>
        <v>0</v>
      </c>
      <c r="BE475" s="107">
        <f t="shared" si="664"/>
        <v>0</v>
      </c>
      <c r="BF475" s="108">
        <f t="shared" si="665"/>
        <v>0</v>
      </c>
      <c r="BG475" s="25" t="e">
        <f t="shared" si="666"/>
        <v>#N/A</v>
      </c>
      <c r="BH475" s="25" t="e">
        <f t="shared" si="667"/>
        <v>#N/A</v>
      </c>
      <c r="BI475" s="25" t="e">
        <f t="shared" si="668"/>
        <v>#N/A</v>
      </c>
      <c r="BJ475" s="27" t="e">
        <f t="shared" si="669"/>
        <v>#N/A</v>
      </c>
      <c r="BK475" s="18" t="e">
        <f t="shared" si="670"/>
        <v>#N/A</v>
      </c>
      <c r="BL475" s="18" t="e">
        <f t="shared" si="671"/>
        <v>#N/A</v>
      </c>
      <c r="BM475" s="28" t="e">
        <f t="shared" si="716"/>
        <v>#N/A</v>
      </c>
      <c r="BN475" s="33">
        <f>HLOOKUP("maximum population",Miscelaneous!$C$1:$C$33,CH475+3,FALSE)</f>
        <v>240</v>
      </c>
      <c r="BO475" s="14">
        <f t="shared" si="682"/>
        <v>32</v>
      </c>
      <c r="BP475" s="14">
        <f t="shared" si="683"/>
        <v>0</v>
      </c>
      <c r="BQ475" s="14">
        <f t="shared" si="684"/>
        <v>208</v>
      </c>
      <c r="BR475" s="34" t="e">
        <f>HLOOKUP(J475,Villagers!$B$1:$V$33,L475+3,FALSE)-HLOOKUP(J475,Villagers!$B$1:$V$33,L475+2,FALSE)</f>
        <v>#N/A</v>
      </c>
      <c r="BS475" s="49">
        <f t="shared" si="685"/>
        <v>1</v>
      </c>
      <c r="BT475" s="50">
        <f t="shared" si="686"/>
        <v>0</v>
      </c>
      <c r="BU475" s="50">
        <f t="shared" si="687"/>
        <v>0</v>
      </c>
      <c r="BV475" s="50">
        <f t="shared" si="688"/>
        <v>0</v>
      </c>
      <c r="BW475" s="50">
        <f t="shared" si="717"/>
        <v>0</v>
      </c>
      <c r="BX475" s="50">
        <f t="shared" si="718"/>
        <v>0</v>
      </c>
      <c r="BY475" s="50">
        <f t="shared" si="718"/>
        <v>0</v>
      </c>
      <c r="BZ475" s="50">
        <f t="shared" si="623"/>
        <v>0</v>
      </c>
      <c r="CA475" s="50">
        <f t="shared" si="624"/>
        <v>0</v>
      </c>
      <c r="CB475" s="50">
        <f t="shared" si="625"/>
        <v>1</v>
      </c>
      <c r="CC475" s="50">
        <f t="shared" si="626"/>
        <v>0</v>
      </c>
      <c r="CD475" s="50">
        <f t="shared" si="627"/>
        <v>0</v>
      </c>
      <c r="CE475" s="50">
        <f t="shared" si="628"/>
        <v>1</v>
      </c>
      <c r="CF475" s="50">
        <f t="shared" si="629"/>
        <v>1</v>
      </c>
      <c r="CG475" s="50">
        <f t="shared" si="630"/>
        <v>1</v>
      </c>
      <c r="CH475" s="50">
        <f t="shared" si="631"/>
        <v>1</v>
      </c>
      <c r="CI475" s="50">
        <f t="shared" si="632"/>
        <v>1</v>
      </c>
      <c r="CJ475" s="50">
        <f t="shared" si="633"/>
        <v>1</v>
      </c>
      <c r="CK475" s="50">
        <f t="shared" si="633"/>
        <v>0</v>
      </c>
      <c r="CL475" s="50">
        <f t="shared" si="633"/>
        <v>0</v>
      </c>
      <c r="CM475" s="51">
        <f t="shared" si="634"/>
        <v>0</v>
      </c>
      <c r="CN475" s="33">
        <f>ROUND(IF(BS475=0,0,HLOOKUP(BS$14,Villagers!$B$1:$V$33,BS475+3,FALSE)),)</f>
        <v>5</v>
      </c>
      <c r="CO475" s="14">
        <f>ROUND(IF(BT475=0,0,HLOOKUP(BT$14,Villagers!$B$1:$V$33,BT475+3,FALSE)),)</f>
        <v>0</v>
      </c>
      <c r="CP475" s="14">
        <f>ROUND(IF(BU475=0,0,HLOOKUP(BU$14,Villagers!$B$1:$V$33,BU475+3,FALSE)),)</f>
        <v>0</v>
      </c>
      <c r="CQ475" s="14">
        <f>ROUND(IF(BV475=0,0,HLOOKUP(BV$14,Villagers!$B$1:$V$33,BV475+3,FALSE)),)</f>
        <v>0</v>
      </c>
      <c r="CR475" s="14">
        <f>ROUND(IF(BW475=0,0,HLOOKUP(BW$14,Villagers!$B$1:$V$33,BW475+3,FALSE)),)</f>
        <v>0</v>
      </c>
      <c r="CS475" s="14">
        <f>ROUND(IF(BX475=0,0,HLOOKUP(BX$14,Villagers!$B$1:$V$33,BX475+3,FALSE)),)</f>
        <v>0</v>
      </c>
      <c r="CT475" s="14">
        <f>ROUND(IF(BY475=0,0,HLOOKUP(BY$14,Villagers!$B$1:$V$33,BY475+3,FALSE)),)</f>
        <v>0</v>
      </c>
      <c r="CU475" s="14">
        <f>ROUND(IF(BZ475=0,0,HLOOKUP(BZ$14,Villagers!$B$1:$V$33,BZ475+3,FALSE)),)</f>
        <v>0</v>
      </c>
      <c r="CV475" s="14">
        <f>ROUND(IF(CA475=0,0,HLOOKUP(CA$14,Villagers!$B$1:$V$33,CA475+3,FALSE)),)</f>
        <v>0</v>
      </c>
      <c r="CW475" s="14">
        <f>ROUND(IF(CB475=0,0,HLOOKUP(CB$14,Villagers!$B$1:$V$33,CB475+3,FALSE)),)</f>
        <v>0</v>
      </c>
      <c r="CX475" s="14">
        <f>ROUND(IF(CC475=0,0,HLOOKUP(CC$14,Villagers!$B$1:$V$33,CC475+3,FALSE)),)</f>
        <v>0</v>
      </c>
      <c r="CY475" s="14">
        <f>ROUND(IF(CD475=0,0,HLOOKUP(CD$14,Villagers!$B$1:$V$33,CD475+3,FALSE)),)</f>
        <v>0</v>
      </c>
      <c r="CZ475" s="14">
        <f>ROUND(IF(CE475=0,0,HLOOKUP(CE$14,Villagers!$B$1:$V$33,CE475+3,FALSE)),)</f>
        <v>5</v>
      </c>
      <c r="DA475" s="14">
        <f>ROUND(IF(CF475=0,0,HLOOKUP(CF$14,Villagers!$B$1:$V$33,CF475+3,FALSE)),)</f>
        <v>10</v>
      </c>
      <c r="DB475" s="14">
        <f>ROUND(IF(CG475=0,0,HLOOKUP(CG$14,Villagers!$B$1:$V$33,CG475+3,FALSE)),)</f>
        <v>10</v>
      </c>
      <c r="DC475" s="14">
        <f>ROUND(IF(CH475=0,0,HLOOKUP(CH$14,Villagers!$B$1:$V$33,CH475+3,FALSE)),)</f>
        <v>0</v>
      </c>
      <c r="DD475" s="14">
        <f>ROUND(IF(CI475=0,0,HLOOKUP(CI$14,Villagers!$B$1:$V$33,CI475+3,FALSE)),)</f>
        <v>0</v>
      </c>
      <c r="DE475" s="14">
        <f>ROUND(IF(CJ475=0,0,HLOOKUP(CJ$14,Villagers!$B$1:$V$33,CJ475+3,FALSE)),)</f>
        <v>2</v>
      </c>
      <c r="DF475" s="370">
        <f>ROUND(IF(CK475=0,0,HLOOKUP(CK$14,Villagers!$B$1:$V$33,CK475+3,FALSE)),)</f>
        <v>0</v>
      </c>
      <c r="DG475" s="370">
        <f>ROUND(IF(CL475=0,0,HLOOKUP(CL$14,Villagers!$B$1:$V$33,CL475+3,FALSE)),)</f>
        <v>0</v>
      </c>
      <c r="DH475" s="34">
        <f>ROUND(IF(CM475=0,0,HLOOKUP(CM$14,Villagers!$B$1:$V$33,CM475+3,FALSE)),)</f>
        <v>0</v>
      </c>
      <c r="DI475" s="109">
        <f t="shared" si="705"/>
        <v>0</v>
      </c>
      <c r="DJ475" s="50">
        <f t="shared" si="706"/>
        <v>0</v>
      </c>
      <c r="DK475" s="50">
        <f t="shared" si="707"/>
        <v>0</v>
      </c>
      <c r="DL475" s="50">
        <f t="shared" si="708"/>
        <v>0</v>
      </c>
      <c r="DM475" s="50">
        <f t="shared" si="709"/>
        <v>0</v>
      </c>
      <c r="DN475" s="50">
        <f t="shared" si="710"/>
        <v>0</v>
      </c>
      <c r="DO475" s="50">
        <f t="shared" si="711"/>
        <v>0</v>
      </c>
      <c r="DP475" s="50">
        <f t="shared" si="712"/>
        <v>0</v>
      </c>
      <c r="DQ475" s="50">
        <f t="shared" si="690"/>
        <v>0</v>
      </c>
      <c r="DR475" s="50">
        <f t="shared" si="691"/>
        <v>0</v>
      </c>
      <c r="DS475" s="96">
        <f>Miscelaneous!$D$4*Miscelaneous!$D$2^($CI475-1)</f>
        <v>1000</v>
      </c>
      <c r="DT475" s="333">
        <f t="shared" si="672"/>
        <v>1</v>
      </c>
      <c r="DU475" s="81">
        <v>1</v>
      </c>
      <c r="DV475" s="79">
        <f t="shared" si="692"/>
        <v>0</v>
      </c>
      <c r="DW475" s="79">
        <f t="shared" si="693"/>
        <v>0</v>
      </c>
      <c r="DX475" s="79">
        <f t="shared" si="694"/>
        <v>0</v>
      </c>
      <c r="DY475" s="79">
        <v>1</v>
      </c>
      <c r="DZ475" s="79">
        <f t="shared" si="695"/>
        <v>0</v>
      </c>
      <c r="EA475" s="79">
        <f t="shared" si="696"/>
        <v>0</v>
      </c>
      <c r="EB475" s="79">
        <f t="shared" si="697"/>
        <v>0</v>
      </c>
      <c r="EC475" s="79">
        <f t="shared" si="698"/>
        <v>0</v>
      </c>
      <c r="ED475" s="79">
        <v>1</v>
      </c>
      <c r="EE475" s="79">
        <v>1</v>
      </c>
      <c r="EF475" s="79">
        <f t="shared" si="699"/>
        <v>0</v>
      </c>
      <c r="EG475" s="79">
        <v>1</v>
      </c>
      <c r="EH475" s="79">
        <v>1</v>
      </c>
      <c r="EI475" s="79">
        <v>1</v>
      </c>
      <c r="EJ475" s="79">
        <v>1</v>
      </c>
      <c r="EK475" s="79">
        <v>1</v>
      </c>
      <c r="EL475" s="79">
        <v>1</v>
      </c>
      <c r="EM475" s="143">
        <f t="shared" si="700"/>
        <v>0</v>
      </c>
      <c r="EN475" s="143">
        <f t="shared" si="701"/>
        <v>0</v>
      </c>
      <c r="EO475" s="82">
        <f t="shared" si="702"/>
        <v>0</v>
      </c>
    </row>
    <row r="476" spans="1:145" x14ac:dyDescent="0.25">
      <c r="A476">
        <v>462</v>
      </c>
      <c r="B476" s="172" t="e">
        <f t="shared" si="673"/>
        <v>#N/A</v>
      </c>
      <c r="C476" s="121" t="e">
        <f t="shared" si="652"/>
        <v>#N/A</v>
      </c>
      <c r="D476" s="122" t="e">
        <f t="shared" si="653"/>
        <v>#N/A</v>
      </c>
      <c r="E476" s="122" t="e">
        <f t="shared" si="654"/>
        <v>#N/A</v>
      </c>
      <c r="F476" s="176" t="e">
        <f t="shared" si="655"/>
        <v>#N/A</v>
      </c>
      <c r="G476" s="121">
        <f t="shared" si="674"/>
        <v>208</v>
      </c>
      <c r="H476" s="176" t="e">
        <f t="shared" si="675"/>
        <v>#N/A</v>
      </c>
      <c r="I476" s="48">
        <v>1</v>
      </c>
      <c r="J476" s="39"/>
      <c r="K476" s="350">
        <v>1</v>
      </c>
      <c r="L476" s="34" t="e">
        <f t="shared" si="656"/>
        <v>#N/A</v>
      </c>
      <c r="M476" s="38" t="e">
        <f>(HLOOKUP(J476,'Construction Times'!$B$3:$W$34,L476+2,FALSE)*HLOOKUP("hq modifier",'Construction Times'!$W$3:$W$34,BS476+2,FALSE))*(1-$H$9)</f>
        <v>#N/A</v>
      </c>
      <c r="N476" s="443" t="e">
        <f t="shared" si="676"/>
        <v>#N/A</v>
      </c>
      <c r="O476" s="444"/>
      <c r="P476" s="447" t="e">
        <f t="shared" si="677"/>
        <v>#N/A</v>
      </c>
      <c r="Q476" s="448"/>
      <c r="R476" s="103">
        <f t="shared" si="703"/>
        <v>0</v>
      </c>
      <c r="S476" s="104">
        <f t="shared" si="703"/>
        <v>0</v>
      </c>
      <c r="T476" s="104">
        <f t="shared" si="704"/>
        <v>0</v>
      </c>
      <c r="U476" s="104">
        <f t="shared" si="704"/>
        <v>0</v>
      </c>
      <c r="V476" s="104">
        <f t="shared" si="704"/>
        <v>9.9999999999999995E-8</v>
      </c>
      <c r="W476" s="104">
        <f t="shared" si="704"/>
        <v>0</v>
      </c>
      <c r="X476" s="104">
        <f t="shared" si="651"/>
        <v>0</v>
      </c>
      <c r="Y476" s="104">
        <f t="shared" si="651"/>
        <v>9.9999999999999995E-8</v>
      </c>
      <c r="Z476" s="104">
        <f t="shared" si="651"/>
        <v>9.9999999999999995E-8</v>
      </c>
      <c r="AA476" s="105">
        <f t="shared" si="651"/>
        <v>9.9999999999999995E-8</v>
      </c>
      <c r="AB476" s="101" t="e">
        <f>$DT476*HLOOKUP($J476,'Construction Costs (timber)'!$B$1:$V$32,'Construction Planner'!$L476+2,FALSE)</f>
        <v>#N/A</v>
      </c>
      <c r="AC476" s="14" t="e">
        <f>$DT476*HLOOKUP($J476,'Construction Costs (clay)'!$B$1:$V$32,'Construction Planner'!$L476+2,FALSE)</f>
        <v>#N/A</v>
      </c>
      <c r="AD476" s="14" t="e">
        <f>$DT476*HLOOKUP($J476,'Construction Costs (iron)'!$B$1:$V$32,'Construction Planner'!$L476+2,FALSE)</f>
        <v>#N/A</v>
      </c>
      <c r="AE476" s="34" t="e">
        <f t="shared" si="713"/>
        <v>#N/A</v>
      </c>
      <c r="AF476" s="33" t="e">
        <f t="shared" si="657"/>
        <v>#N/A</v>
      </c>
      <c r="AG476" s="14" t="e">
        <f t="shared" si="658"/>
        <v>#N/A</v>
      </c>
      <c r="AH476" s="14" t="e">
        <f t="shared" si="659"/>
        <v>#N/A</v>
      </c>
      <c r="AI476" s="34" t="e">
        <f t="shared" si="714"/>
        <v>#N/A</v>
      </c>
      <c r="AJ476" s="49" t="e">
        <f t="shared" si="678"/>
        <v>#N/A</v>
      </c>
      <c r="AK476" s="49" t="e">
        <f t="shared" si="679"/>
        <v>#N/A</v>
      </c>
      <c r="AL476" s="49" t="e">
        <f t="shared" si="680"/>
        <v>#N/A</v>
      </c>
      <c r="AM476" s="25">
        <f t="shared" si="660"/>
        <v>30</v>
      </c>
      <c r="AN476" s="25">
        <f t="shared" si="661"/>
        <v>30</v>
      </c>
      <c r="AO476" s="25">
        <f t="shared" si="662"/>
        <v>30</v>
      </c>
      <c r="AP476" s="52" t="e">
        <f t="shared" si="681"/>
        <v>#N/A</v>
      </c>
      <c r="AQ476" s="53" t="e">
        <f t="shared" si="681"/>
        <v>#N/A</v>
      </c>
      <c r="AR476" s="54" t="e">
        <f t="shared" si="681"/>
        <v>#N/A</v>
      </c>
      <c r="AS476" s="316">
        <f t="shared" si="715"/>
        <v>0</v>
      </c>
      <c r="AT476" s="106">
        <f>_xlfn.IFNA($M476/VLOOKUP($BT476,'Unit information'!$A$2:$K$29,2,FALSE)*R476,0)*(1+$E$9)</f>
        <v>0</v>
      </c>
      <c r="AU476" s="107">
        <f>_xlfn.IFNA($M476/VLOOKUP($BT476,'Unit information'!$A$2:$K$29,3,FALSE)*S476,0)*(1+$E$9)</f>
        <v>0</v>
      </c>
      <c r="AV476" s="107">
        <f>_xlfn.IFNA($M476/VLOOKUP($BT476,'Unit information'!$A$2:$K$29,4,FALSE)*T476,0)*(1+$E$9)</f>
        <v>0</v>
      </c>
      <c r="AW476" s="107">
        <f>_xlfn.IFNA($M476/VLOOKUP($BT476,'Unit information'!$A$2:$K$29,5,FALSE)*U476,0)*(1+$E$9)</f>
        <v>0</v>
      </c>
      <c r="AX476" s="107">
        <f>_xlfn.IFNA($M476/VLOOKUP($BU476,'Unit information'!$A$2:$K$29,6,FALSE)*V476,0)*(1+$E$9)</f>
        <v>0</v>
      </c>
      <c r="AY476" s="107">
        <f>_xlfn.IFNA($M476/VLOOKUP($BU476,'Unit information'!$A$2:$K$29,7,FALSE)*W476,0)*(1+$E$9)</f>
        <v>0</v>
      </c>
      <c r="AZ476" s="107">
        <f>_xlfn.IFNA($M476/VLOOKUP($BU476,'Unit information'!$A$2:$K$29,8,FALSE)*X476,0)*(1+$E$9)</f>
        <v>0</v>
      </c>
      <c r="BA476" s="107">
        <f>_xlfn.IFNA($M476/VLOOKUP($BU476,'Unit information'!$A$2:$K$29,9,FALSE)*Y476,0)*(1+$E$9)</f>
        <v>0</v>
      </c>
      <c r="BB476" s="107">
        <f>_xlfn.IFNA($M476/VLOOKUP($BV476,'Unit information'!$A$2:$K$29,10,FALSE)*Z476,0)*(1+$E$9)</f>
        <v>0</v>
      </c>
      <c r="BC476" s="108">
        <f>_xlfn.IFNA($M476/VLOOKUP($BV476,'Unit information'!$A$2:$K$29,11,FALSE)*AA476,0)*(1+$E$9)</f>
        <v>0</v>
      </c>
      <c r="BD476" s="106">
        <f t="shared" si="663"/>
        <v>0</v>
      </c>
      <c r="BE476" s="107">
        <f t="shared" si="664"/>
        <v>0</v>
      </c>
      <c r="BF476" s="108">
        <f t="shared" si="665"/>
        <v>0</v>
      </c>
      <c r="BG476" s="25" t="e">
        <f t="shared" si="666"/>
        <v>#N/A</v>
      </c>
      <c r="BH476" s="25" t="e">
        <f t="shared" si="667"/>
        <v>#N/A</v>
      </c>
      <c r="BI476" s="25" t="e">
        <f t="shared" si="668"/>
        <v>#N/A</v>
      </c>
      <c r="BJ476" s="27" t="e">
        <f t="shared" si="669"/>
        <v>#N/A</v>
      </c>
      <c r="BK476" s="18" t="e">
        <f t="shared" si="670"/>
        <v>#N/A</v>
      </c>
      <c r="BL476" s="18" t="e">
        <f t="shared" si="671"/>
        <v>#N/A</v>
      </c>
      <c r="BM476" s="28" t="e">
        <f t="shared" si="716"/>
        <v>#N/A</v>
      </c>
      <c r="BN476" s="33">
        <f>HLOOKUP("maximum population",Miscelaneous!$C$1:$C$33,CH476+3,FALSE)</f>
        <v>240</v>
      </c>
      <c r="BO476" s="14">
        <f t="shared" si="682"/>
        <v>32</v>
      </c>
      <c r="BP476" s="14">
        <f t="shared" si="683"/>
        <v>0</v>
      </c>
      <c r="BQ476" s="14">
        <f t="shared" si="684"/>
        <v>208</v>
      </c>
      <c r="BR476" s="34" t="e">
        <f>HLOOKUP(J476,Villagers!$B$1:$V$33,L476+3,FALSE)-HLOOKUP(J476,Villagers!$B$1:$V$33,L476+2,FALSE)</f>
        <v>#N/A</v>
      </c>
      <c r="BS476" s="49">
        <f t="shared" si="685"/>
        <v>1</v>
      </c>
      <c r="BT476" s="50">
        <f t="shared" si="686"/>
        <v>0</v>
      </c>
      <c r="BU476" s="50">
        <f t="shared" si="687"/>
        <v>0</v>
      </c>
      <c r="BV476" s="50">
        <f t="shared" si="688"/>
        <v>0</v>
      </c>
      <c r="BW476" s="50">
        <f t="shared" si="717"/>
        <v>0</v>
      </c>
      <c r="BX476" s="50">
        <f t="shared" si="718"/>
        <v>0</v>
      </c>
      <c r="BY476" s="50">
        <f t="shared" si="718"/>
        <v>0</v>
      </c>
      <c r="BZ476" s="50">
        <f t="shared" si="623"/>
        <v>0</v>
      </c>
      <c r="CA476" s="50">
        <f t="shared" si="624"/>
        <v>0</v>
      </c>
      <c r="CB476" s="50">
        <f t="shared" si="625"/>
        <v>1</v>
      </c>
      <c r="CC476" s="50">
        <f t="shared" si="626"/>
        <v>0</v>
      </c>
      <c r="CD476" s="50">
        <f t="shared" si="627"/>
        <v>0</v>
      </c>
      <c r="CE476" s="50">
        <f t="shared" si="628"/>
        <v>1</v>
      </c>
      <c r="CF476" s="50">
        <f t="shared" si="629"/>
        <v>1</v>
      </c>
      <c r="CG476" s="50">
        <f t="shared" si="630"/>
        <v>1</v>
      </c>
      <c r="CH476" s="50">
        <f t="shared" si="631"/>
        <v>1</v>
      </c>
      <c r="CI476" s="50">
        <f t="shared" si="632"/>
        <v>1</v>
      </c>
      <c r="CJ476" s="50">
        <f t="shared" si="633"/>
        <v>1</v>
      </c>
      <c r="CK476" s="50">
        <f t="shared" si="633"/>
        <v>0</v>
      </c>
      <c r="CL476" s="50">
        <f t="shared" si="633"/>
        <v>0</v>
      </c>
      <c r="CM476" s="51">
        <f t="shared" si="634"/>
        <v>0</v>
      </c>
      <c r="CN476" s="33">
        <f>ROUND(IF(BS476=0,0,HLOOKUP(BS$14,Villagers!$B$1:$V$33,BS476+3,FALSE)),)</f>
        <v>5</v>
      </c>
      <c r="CO476" s="14">
        <f>ROUND(IF(BT476=0,0,HLOOKUP(BT$14,Villagers!$B$1:$V$33,BT476+3,FALSE)),)</f>
        <v>0</v>
      </c>
      <c r="CP476" s="14">
        <f>ROUND(IF(BU476=0,0,HLOOKUP(BU$14,Villagers!$B$1:$V$33,BU476+3,FALSE)),)</f>
        <v>0</v>
      </c>
      <c r="CQ476" s="14">
        <f>ROUND(IF(BV476=0,0,HLOOKUP(BV$14,Villagers!$B$1:$V$33,BV476+3,FALSE)),)</f>
        <v>0</v>
      </c>
      <c r="CR476" s="14">
        <f>ROUND(IF(BW476=0,0,HLOOKUP(BW$14,Villagers!$B$1:$V$33,BW476+3,FALSE)),)</f>
        <v>0</v>
      </c>
      <c r="CS476" s="14">
        <f>ROUND(IF(BX476=0,0,HLOOKUP(BX$14,Villagers!$B$1:$V$33,BX476+3,FALSE)),)</f>
        <v>0</v>
      </c>
      <c r="CT476" s="14">
        <f>ROUND(IF(BY476=0,0,HLOOKUP(BY$14,Villagers!$B$1:$V$33,BY476+3,FALSE)),)</f>
        <v>0</v>
      </c>
      <c r="CU476" s="14">
        <f>ROUND(IF(BZ476=0,0,HLOOKUP(BZ$14,Villagers!$B$1:$V$33,BZ476+3,FALSE)),)</f>
        <v>0</v>
      </c>
      <c r="CV476" s="14">
        <f>ROUND(IF(CA476=0,0,HLOOKUP(CA$14,Villagers!$B$1:$V$33,CA476+3,FALSE)),)</f>
        <v>0</v>
      </c>
      <c r="CW476" s="14">
        <f>ROUND(IF(CB476=0,0,HLOOKUP(CB$14,Villagers!$B$1:$V$33,CB476+3,FALSE)),)</f>
        <v>0</v>
      </c>
      <c r="CX476" s="14">
        <f>ROUND(IF(CC476=0,0,HLOOKUP(CC$14,Villagers!$B$1:$V$33,CC476+3,FALSE)),)</f>
        <v>0</v>
      </c>
      <c r="CY476" s="14">
        <f>ROUND(IF(CD476=0,0,HLOOKUP(CD$14,Villagers!$B$1:$V$33,CD476+3,FALSE)),)</f>
        <v>0</v>
      </c>
      <c r="CZ476" s="14">
        <f>ROUND(IF(CE476=0,0,HLOOKUP(CE$14,Villagers!$B$1:$V$33,CE476+3,FALSE)),)</f>
        <v>5</v>
      </c>
      <c r="DA476" s="14">
        <f>ROUND(IF(CF476=0,0,HLOOKUP(CF$14,Villagers!$B$1:$V$33,CF476+3,FALSE)),)</f>
        <v>10</v>
      </c>
      <c r="DB476" s="14">
        <f>ROUND(IF(CG476=0,0,HLOOKUP(CG$14,Villagers!$B$1:$V$33,CG476+3,FALSE)),)</f>
        <v>10</v>
      </c>
      <c r="DC476" s="14">
        <f>ROUND(IF(CH476=0,0,HLOOKUP(CH$14,Villagers!$B$1:$V$33,CH476+3,FALSE)),)</f>
        <v>0</v>
      </c>
      <c r="DD476" s="14">
        <f>ROUND(IF(CI476=0,0,HLOOKUP(CI$14,Villagers!$B$1:$V$33,CI476+3,FALSE)),)</f>
        <v>0</v>
      </c>
      <c r="DE476" s="14">
        <f>ROUND(IF(CJ476=0,0,HLOOKUP(CJ$14,Villagers!$B$1:$V$33,CJ476+3,FALSE)),)</f>
        <v>2</v>
      </c>
      <c r="DF476" s="370">
        <f>ROUND(IF(CK476=0,0,HLOOKUP(CK$14,Villagers!$B$1:$V$33,CK476+3,FALSE)),)</f>
        <v>0</v>
      </c>
      <c r="DG476" s="370">
        <f>ROUND(IF(CL476=0,0,HLOOKUP(CL$14,Villagers!$B$1:$V$33,CL476+3,FALSE)),)</f>
        <v>0</v>
      </c>
      <c r="DH476" s="34">
        <f>ROUND(IF(CM476=0,0,HLOOKUP(CM$14,Villagers!$B$1:$V$33,CM476+3,FALSE)),)</f>
        <v>0</v>
      </c>
      <c r="DI476" s="109">
        <f t="shared" si="705"/>
        <v>0</v>
      </c>
      <c r="DJ476" s="50">
        <f t="shared" si="706"/>
        <v>0</v>
      </c>
      <c r="DK476" s="50">
        <f t="shared" si="707"/>
        <v>0</v>
      </c>
      <c r="DL476" s="50">
        <f t="shared" si="708"/>
        <v>0</v>
      </c>
      <c r="DM476" s="50">
        <f t="shared" si="709"/>
        <v>0</v>
      </c>
      <c r="DN476" s="50">
        <f t="shared" si="710"/>
        <v>0</v>
      </c>
      <c r="DO476" s="50">
        <f t="shared" si="711"/>
        <v>0</v>
      </c>
      <c r="DP476" s="50">
        <f t="shared" si="712"/>
        <v>0</v>
      </c>
      <c r="DQ476" s="50">
        <f t="shared" si="690"/>
        <v>0</v>
      </c>
      <c r="DR476" s="50">
        <f t="shared" si="691"/>
        <v>0</v>
      </c>
      <c r="DS476" s="96">
        <f>Miscelaneous!$D$4*Miscelaneous!$D$2^($CI476-1)</f>
        <v>1000</v>
      </c>
      <c r="DT476" s="333">
        <f t="shared" si="672"/>
        <v>1</v>
      </c>
      <c r="DU476" s="81">
        <v>1</v>
      </c>
      <c r="DV476" s="79">
        <f t="shared" si="692"/>
        <v>0</v>
      </c>
      <c r="DW476" s="79">
        <f t="shared" si="693"/>
        <v>0</v>
      </c>
      <c r="DX476" s="79">
        <f t="shared" si="694"/>
        <v>0</v>
      </c>
      <c r="DY476" s="79">
        <v>1</v>
      </c>
      <c r="DZ476" s="79">
        <f t="shared" si="695"/>
        <v>0</v>
      </c>
      <c r="EA476" s="79">
        <f t="shared" si="696"/>
        <v>0</v>
      </c>
      <c r="EB476" s="79">
        <f t="shared" si="697"/>
        <v>0</v>
      </c>
      <c r="EC476" s="79">
        <f t="shared" si="698"/>
        <v>0</v>
      </c>
      <c r="ED476" s="79">
        <v>1</v>
      </c>
      <c r="EE476" s="79">
        <v>1</v>
      </c>
      <c r="EF476" s="79">
        <f t="shared" si="699"/>
        <v>0</v>
      </c>
      <c r="EG476" s="79">
        <v>1</v>
      </c>
      <c r="EH476" s="79">
        <v>1</v>
      </c>
      <c r="EI476" s="79">
        <v>1</v>
      </c>
      <c r="EJ476" s="79">
        <v>1</v>
      </c>
      <c r="EK476" s="79">
        <v>1</v>
      </c>
      <c r="EL476" s="79">
        <v>1</v>
      </c>
      <c r="EM476" s="143">
        <f t="shared" si="700"/>
        <v>0</v>
      </c>
      <c r="EN476" s="143">
        <f t="shared" si="701"/>
        <v>0</v>
      </c>
      <c r="EO476" s="82">
        <f t="shared" si="702"/>
        <v>0</v>
      </c>
    </row>
    <row r="477" spans="1:145" x14ac:dyDescent="0.25">
      <c r="A477">
        <v>463</v>
      </c>
      <c r="B477" s="172" t="e">
        <f t="shared" si="673"/>
        <v>#N/A</v>
      </c>
      <c r="C477" s="121" t="e">
        <f t="shared" si="652"/>
        <v>#N/A</v>
      </c>
      <c r="D477" s="122" t="e">
        <f t="shared" si="653"/>
        <v>#N/A</v>
      </c>
      <c r="E477" s="122" t="e">
        <f t="shared" si="654"/>
        <v>#N/A</v>
      </c>
      <c r="F477" s="176" t="e">
        <f t="shared" si="655"/>
        <v>#N/A</v>
      </c>
      <c r="G477" s="121">
        <f t="shared" si="674"/>
        <v>208</v>
      </c>
      <c r="H477" s="176" t="e">
        <f t="shared" si="675"/>
        <v>#N/A</v>
      </c>
      <c r="I477" s="48">
        <v>1</v>
      </c>
      <c r="J477" s="39"/>
      <c r="K477" s="350">
        <v>1</v>
      </c>
      <c r="L477" s="34" t="e">
        <f t="shared" si="656"/>
        <v>#N/A</v>
      </c>
      <c r="M477" s="38" t="e">
        <f>(HLOOKUP(J477,'Construction Times'!$B$3:$W$34,L477+2,FALSE)*HLOOKUP("hq modifier",'Construction Times'!$W$3:$W$34,BS477+2,FALSE))*(1-$H$9)</f>
        <v>#N/A</v>
      </c>
      <c r="N477" s="443" t="e">
        <f t="shared" si="676"/>
        <v>#N/A</v>
      </c>
      <c r="O477" s="444"/>
      <c r="P477" s="447" t="e">
        <f t="shared" si="677"/>
        <v>#N/A</v>
      </c>
      <c r="Q477" s="448"/>
      <c r="R477" s="103">
        <f t="shared" si="703"/>
        <v>0</v>
      </c>
      <c r="S477" s="104">
        <f t="shared" si="703"/>
        <v>0</v>
      </c>
      <c r="T477" s="104">
        <f t="shared" si="704"/>
        <v>0</v>
      </c>
      <c r="U477" s="104">
        <f t="shared" si="704"/>
        <v>0</v>
      </c>
      <c r="V477" s="104">
        <f t="shared" si="704"/>
        <v>9.9999999999999995E-8</v>
      </c>
      <c r="W477" s="104">
        <f t="shared" si="704"/>
        <v>0</v>
      </c>
      <c r="X477" s="104">
        <f t="shared" si="651"/>
        <v>0</v>
      </c>
      <c r="Y477" s="104">
        <f t="shared" si="651"/>
        <v>9.9999999999999995E-8</v>
      </c>
      <c r="Z477" s="104">
        <f t="shared" si="651"/>
        <v>9.9999999999999995E-8</v>
      </c>
      <c r="AA477" s="105">
        <f t="shared" si="651"/>
        <v>9.9999999999999995E-8</v>
      </c>
      <c r="AB477" s="101" t="e">
        <f>$DT477*HLOOKUP($J477,'Construction Costs (timber)'!$B$1:$V$32,'Construction Planner'!$L477+2,FALSE)</f>
        <v>#N/A</v>
      </c>
      <c r="AC477" s="14" t="e">
        <f>$DT477*HLOOKUP($J477,'Construction Costs (clay)'!$B$1:$V$32,'Construction Planner'!$L477+2,FALSE)</f>
        <v>#N/A</v>
      </c>
      <c r="AD477" s="14" t="e">
        <f>$DT477*HLOOKUP($J477,'Construction Costs (iron)'!$B$1:$V$32,'Construction Planner'!$L477+2,FALSE)</f>
        <v>#N/A</v>
      </c>
      <c r="AE477" s="34" t="e">
        <f t="shared" si="713"/>
        <v>#N/A</v>
      </c>
      <c r="AF477" s="33" t="e">
        <f t="shared" si="657"/>
        <v>#N/A</v>
      </c>
      <c r="AG477" s="14" t="e">
        <f t="shared" si="658"/>
        <v>#N/A</v>
      </c>
      <c r="AH477" s="14" t="e">
        <f t="shared" si="659"/>
        <v>#N/A</v>
      </c>
      <c r="AI477" s="34" t="e">
        <f t="shared" si="714"/>
        <v>#N/A</v>
      </c>
      <c r="AJ477" s="49" t="e">
        <f t="shared" si="678"/>
        <v>#N/A</v>
      </c>
      <c r="AK477" s="49" t="e">
        <f t="shared" si="679"/>
        <v>#N/A</v>
      </c>
      <c r="AL477" s="49" t="e">
        <f t="shared" si="680"/>
        <v>#N/A</v>
      </c>
      <c r="AM477" s="25">
        <f t="shared" si="660"/>
        <v>30</v>
      </c>
      <c r="AN477" s="25">
        <f t="shared" si="661"/>
        <v>30</v>
      </c>
      <c r="AO477" s="25">
        <f t="shared" si="662"/>
        <v>30</v>
      </c>
      <c r="AP477" s="52" t="e">
        <f t="shared" si="681"/>
        <v>#N/A</v>
      </c>
      <c r="AQ477" s="53" t="e">
        <f t="shared" si="681"/>
        <v>#N/A</v>
      </c>
      <c r="AR477" s="54" t="e">
        <f t="shared" si="681"/>
        <v>#N/A</v>
      </c>
      <c r="AS477" s="316">
        <f t="shared" si="715"/>
        <v>0</v>
      </c>
      <c r="AT477" s="106">
        <f>_xlfn.IFNA($M477/VLOOKUP($BT477,'Unit information'!$A$2:$K$29,2,FALSE)*R477,0)*(1+$E$9)</f>
        <v>0</v>
      </c>
      <c r="AU477" s="107">
        <f>_xlfn.IFNA($M477/VLOOKUP($BT477,'Unit information'!$A$2:$K$29,3,FALSE)*S477,0)*(1+$E$9)</f>
        <v>0</v>
      </c>
      <c r="AV477" s="107">
        <f>_xlfn.IFNA($M477/VLOOKUP($BT477,'Unit information'!$A$2:$K$29,4,FALSE)*T477,0)*(1+$E$9)</f>
        <v>0</v>
      </c>
      <c r="AW477" s="107">
        <f>_xlfn.IFNA($M477/VLOOKUP($BT477,'Unit information'!$A$2:$K$29,5,FALSE)*U477,0)*(1+$E$9)</f>
        <v>0</v>
      </c>
      <c r="AX477" s="107">
        <f>_xlfn.IFNA($M477/VLOOKUP($BU477,'Unit information'!$A$2:$K$29,6,FALSE)*V477,0)*(1+$E$9)</f>
        <v>0</v>
      </c>
      <c r="AY477" s="107">
        <f>_xlfn.IFNA($M477/VLOOKUP($BU477,'Unit information'!$A$2:$K$29,7,FALSE)*W477,0)*(1+$E$9)</f>
        <v>0</v>
      </c>
      <c r="AZ477" s="107">
        <f>_xlfn.IFNA($M477/VLOOKUP($BU477,'Unit information'!$A$2:$K$29,8,FALSE)*X477,0)*(1+$E$9)</f>
        <v>0</v>
      </c>
      <c r="BA477" s="107">
        <f>_xlfn.IFNA($M477/VLOOKUP($BU477,'Unit information'!$A$2:$K$29,9,FALSE)*Y477,0)*(1+$E$9)</f>
        <v>0</v>
      </c>
      <c r="BB477" s="107">
        <f>_xlfn.IFNA($M477/VLOOKUP($BV477,'Unit information'!$A$2:$K$29,10,FALSE)*Z477,0)*(1+$E$9)</f>
        <v>0</v>
      </c>
      <c r="BC477" s="108">
        <f>_xlfn.IFNA($M477/VLOOKUP($BV477,'Unit information'!$A$2:$K$29,11,FALSE)*AA477,0)*(1+$E$9)</f>
        <v>0</v>
      </c>
      <c r="BD477" s="106">
        <f t="shared" si="663"/>
        <v>0</v>
      </c>
      <c r="BE477" s="107">
        <f t="shared" si="664"/>
        <v>0</v>
      </c>
      <c r="BF477" s="108">
        <f t="shared" si="665"/>
        <v>0</v>
      </c>
      <c r="BG477" s="25" t="e">
        <f t="shared" si="666"/>
        <v>#N/A</v>
      </c>
      <c r="BH477" s="25" t="e">
        <f t="shared" si="667"/>
        <v>#N/A</v>
      </c>
      <c r="BI477" s="25" t="e">
        <f t="shared" si="668"/>
        <v>#N/A</v>
      </c>
      <c r="BJ477" s="27" t="e">
        <f t="shared" si="669"/>
        <v>#N/A</v>
      </c>
      <c r="BK477" s="18" t="e">
        <f t="shared" si="670"/>
        <v>#N/A</v>
      </c>
      <c r="BL477" s="18" t="e">
        <f t="shared" si="671"/>
        <v>#N/A</v>
      </c>
      <c r="BM477" s="28" t="e">
        <f t="shared" si="716"/>
        <v>#N/A</v>
      </c>
      <c r="BN477" s="33">
        <f>HLOOKUP("maximum population",Miscelaneous!$C$1:$C$33,CH477+3,FALSE)</f>
        <v>240</v>
      </c>
      <c r="BO477" s="14">
        <f t="shared" si="682"/>
        <v>32</v>
      </c>
      <c r="BP477" s="14">
        <f t="shared" si="683"/>
        <v>0</v>
      </c>
      <c r="BQ477" s="14">
        <f t="shared" si="684"/>
        <v>208</v>
      </c>
      <c r="BR477" s="34" t="e">
        <f>HLOOKUP(J477,Villagers!$B$1:$V$33,L477+3,FALSE)-HLOOKUP(J477,Villagers!$B$1:$V$33,L477+2,FALSE)</f>
        <v>#N/A</v>
      </c>
      <c r="BS477" s="49">
        <f t="shared" si="685"/>
        <v>1</v>
      </c>
      <c r="BT477" s="50">
        <f t="shared" si="686"/>
        <v>0</v>
      </c>
      <c r="BU477" s="50">
        <f t="shared" si="687"/>
        <v>0</v>
      </c>
      <c r="BV477" s="50">
        <f t="shared" si="688"/>
        <v>0</v>
      </c>
      <c r="BW477" s="50">
        <f t="shared" si="717"/>
        <v>0</v>
      </c>
      <c r="BX477" s="50">
        <f t="shared" si="718"/>
        <v>0</v>
      </c>
      <c r="BY477" s="50">
        <f t="shared" si="718"/>
        <v>0</v>
      </c>
      <c r="BZ477" s="50">
        <f t="shared" si="623"/>
        <v>0</v>
      </c>
      <c r="CA477" s="50">
        <f t="shared" si="624"/>
        <v>0</v>
      </c>
      <c r="CB477" s="50">
        <f t="shared" si="625"/>
        <v>1</v>
      </c>
      <c r="CC477" s="50">
        <f t="shared" si="626"/>
        <v>0</v>
      </c>
      <c r="CD477" s="50">
        <f t="shared" si="627"/>
        <v>0</v>
      </c>
      <c r="CE477" s="50">
        <f t="shared" si="628"/>
        <v>1</v>
      </c>
      <c r="CF477" s="50">
        <f t="shared" si="629"/>
        <v>1</v>
      </c>
      <c r="CG477" s="50">
        <f t="shared" si="630"/>
        <v>1</v>
      </c>
      <c r="CH477" s="50">
        <f t="shared" si="631"/>
        <v>1</v>
      </c>
      <c r="CI477" s="50">
        <f t="shared" si="632"/>
        <v>1</v>
      </c>
      <c r="CJ477" s="50">
        <f t="shared" si="633"/>
        <v>1</v>
      </c>
      <c r="CK477" s="50">
        <f t="shared" si="633"/>
        <v>0</v>
      </c>
      <c r="CL477" s="50">
        <f t="shared" si="633"/>
        <v>0</v>
      </c>
      <c r="CM477" s="51">
        <f t="shared" si="634"/>
        <v>0</v>
      </c>
      <c r="CN477" s="33">
        <f>ROUND(IF(BS477=0,0,HLOOKUP(BS$14,Villagers!$B$1:$V$33,BS477+3,FALSE)),)</f>
        <v>5</v>
      </c>
      <c r="CO477" s="14">
        <f>ROUND(IF(BT477=0,0,HLOOKUP(BT$14,Villagers!$B$1:$V$33,BT477+3,FALSE)),)</f>
        <v>0</v>
      </c>
      <c r="CP477" s="14">
        <f>ROUND(IF(BU477=0,0,HLOOKUP(BU$14,Villagers!$B$1:$V$33,BU477+3,FALSE)),)</f>
        <v>0</v>
      </c>
      <c r="CQ477" s="14">
        <f>ROUND(IF(BV477=0,0,HLOOKUP(BV$14,Villagers!$B$1:$V$33,BV477+3,FALSE)),)</f>
        <v>0</v>
      </c>
      <c r="CR477" s="14">
        <f>ROUND(IF(BW477=0,0,HLOOKUP(BW$14,Villagers!$B$1:$V$33,BW477+3,FALSE)),)</f>
        <v>0</v>
      </c>
      <c r="CS477" s="14">
        <f>ROUND(IF(BX477=0,0,HLOOKUP(BX$14,Villagers!$B$1:$V$33,BX477+3,FALSE)),)</f>
        <v>0</v>
      </c>
      <c r="CT477" s="14">
        <f>ROUND(IF(BY477=0,0,HLOOKUP(BY$14,Villagers!$B$1:$V$33,BY477+3,FALSE)),)</f>
        <v>0</v>
      </c>
      <c r="CU477" s="14">
        <f>ROUND(IF(BZ477=0,0,HLOOKUP(BZ$14,Villagers!$B$1:$V$33,BZ477+3,FALSE)),)</f>
        <v>0</v>
      </c>
      <c r="CV477" s="14">
        <f>ROUND(IF(CA477=0,0,HLOOKUP(CA$14,Villagers!$B$1:$V$33,CA477+3,FALSE)),)</f>
        <v>0</v>
      </c>
      <c r="CW477" s="14">
        <f>ROUND(IF(CB477=0,0,HLOOKUP(CB$14,Villagers!$B$1:$V$33,CB477+3,FALSE)),)</f>
        <v>0</v>
      </c>
      <c r="CX477" s="14">
        <f>ROUND(IF(CC477=0,0,HLOOKUP(CC$14,Villagers!$B$1:$V$33,CC477+3,FALSE)),)</f>
        <v>0</v>
      </c>
      <c r="CY477" s="14">
        <f>ROUND(IF(CD477=0,0,HLOOKUP(CD$14,Villagers!$B$1:$V$33,CD477+3,FALSE)),)</f>
        <v>0</v>
      </c>
      <c r="CZ477" s="14">
        <f>ROUND(IF(CE477=0,0,HLOOKUP(CE$14,Villagers!$B$1:$V$33,CE477+3,FALSE)),)</f>
        <v>5</v>
      </c>
      <c r="DA477" s="14">
        <f>ROUND(IF(CF477=0,0,HLOOKUP(CF$14,Villagers!$B$1:$V$33,CF477+3,FALSE)),)</f>
        <v>10</v>
      </c>
      <c r="DB477" s="14">
        <f>ROUND(IF(CG477=0,0,HLOOKUP(CG$14,Villagers!$B$1:$V$33,CG477+3,FALSE)),)</f>
        <v>10</v>
      </c>
      <c r="DC477" s="14">
        <f>ROUND(IF(CH477=0,0,HLOOKUP(CH$14,Villagers!$B$1:$V$33,CH477+3,FALSE)),)</f>
        <v>0</v>
      </c>
      <c r="DD477" s="14">
        <f>ROUND(IF(CI477=0,0,HLOOKUP(CI$14,Villagers!$B$1:$V$33,CI477+3,FALSE)),)</f>
        <v>0</v>
      </c>
      <c r="DE477" s="14">
        <f>ROUND(IF(CJ477=0,0,HLOOKUP(CJ$14,Villagers!$B$1:$V$33,CJ477+3,FALSE)),)</f>
        <v>2</v>
      </c>
      <c r="DF477" s="370">
        <f>ROUND(IF(CK477=0,0,HLOOKUP(CK$14,Villagers!$B$1:$V$33,CK477+3,FALSE)),)</f>
        <v>0</v>
      </c>
      <c r="DG477" s="370">
        <f>ROUND(IF(CL477=0,0,HLOOKUP(CL$14,Villagers!$B$1:$V$33,CL477+3,FALSE)),)</f>
        <v>0</v>
      </c>
      <c r="DH477" s="34">
        <f>ROUND(IF(CM477=0,0,HLOOKUP(CM$14,Villagers!$B$1:$V$33,CM477+3,FALSE)),)</f>
        <v>0</v>
      </c>
      <c r="DI477" s="109">
        <f t="shared" si="705"/>
        <v>0</v>
      </c>
      <c r="DJ477" s="50">
        <f t="shared" si="706"/>
        <v>0</v>
      </c>
      <c r="DK477" s="50">
        <f t="shared" si="707"/>
        <v>0</v>
      </c>
      <c r="DL477" s="50">
        <f t="shared" si="708"/>
        <v>0</v>
      </c>
      <c r="DM477" s="50">
        <f t="shared" si="709"/>
        <v>0</v>
      </c>
      <c r="DN477" s="50">
        <f t="shared" si="710"/>
        <v>0</v>
      </c>
      <c r="DO477" s="50">
        <f t="shared" si="711"/>
        <v>0</v>
      </c>
      <c r="DP477" s="50">
        <f t="shared" si="712"/>
        <v>0</v>
      </c>
      <c r="DQ477" s="50">
        <f t="shared" si="690"/>
        <v>0</v>
      </c>
      <c r="DR477" s="50">
        <f t="shared" si="691"/>
        <v>0</v>
      </c>
      <c r="DS477" s="96">
        <f>Miscelaneous!$D$4*Miscelaneous!$D$2^($CI477-1)</f>
        <v>1000</v>
      </c>
      <c r="DT477" s="333">
        <f t="shared" si="672"/>
        <v>1</v>
      </c>
      <c r="DU477" s="81">
        <v>1</v>
      </c>
      <c r="DV477" s="79">
        <f t="shared" si="692"/>
        <v>0</v>
      </c>
      <c r="DW477" s="79">
        <f t="shared" si="693"/>
        <v>0</v>
      </c>
      <c r="DX477" s="79">
        <f t="shared" si="694"/>
        <v>0</v>
      </c>
      <c r="DY477" s="79">
        <v>1</v>
      </c>
      <c r="DZ477" s="79">
        <f t="shared" si="695"/>
        <v>0</v>
      </c>
      <c r="EA477" s="79">
        <f t="shared" si="696"/>
        <v>0</v>
      </c>
      <c r="EB477" s="79">
        <f t="shared" si="697"/>
        <v>0</v>
      </c>
      <c r="EC477" s="79">
        <f t="shared" si="698"/>
        <v>0</v>
      </c>
      <c r="ED477" s="79">
        <v>1</v>
      </c>
      <c r="EE477" s="79">
        <v>1</v>
      </c>
      <c r="EF477" s="79">
        <f t="shared" si="699"/>
        <v>0</v>
      </c>
      <c r="EG477" s="79">
        <v>1</v>
      </c>
      <c r="EH477" s="79">
        <v>1</v>
      </c>
      <c r="EI477" s="79">
        <v>1</v>
      </c>
      <c r="EJ477" s="79">
        <v>1</v>
      </c>
      <c r="EK477" s="79">
        <v>1</v>
      </c>
      <c r="EL477" s="79">
        <v>1</v>
      </c>
      <c r="EM477" s="143">
        <f t="shared" si="700"/>
        <v>0</v>
      </c>
      <c r="EN477" s="143">
        <f t="shared" si="701"/>
        <v>0</v>
      </c>
      <c r="EO477" s="82">
        <f t="shared" si="702"/>
        <v>0</v>
      </c>
    </row>
    <row r="478" spans="1:145" x14ac:dyDescent="0.25">
      <c r="A478">
        <v>464</v>
      </c>
      <c r="B478" s="172" t="e">
        <f t="shared" si="673"/>
        <v>#N/A</v>
      </c>
      <c r="C478" s="121" t="e">
        <f t="shared" si="652"/>
        <v>#N/A</v>
      </c>
      <c r="D478" s="122" t="e">
        <f t="shared" si="653"/>
        <v>#N/A</v>
      </c>
      <c r="E478" s="122" t="e">
        <f t="shared" si="654"/>
        <v>#N/A</v>
      </c>
      <c r="F478" s="176" t="e">
        <f t="shared" si="655"/>
        <v>#N/A</v>
      </c>
      <c r="G478" s="121">
        <f t="shared" si="674"/>
        <v>208</v>
      </c>
      <c r="H478" s="176" t="e">
        <f t="shared" si="675"/>
        <v>#N/A</v>
      </c>
      <c r="I478" s="48">
        <v>1</v>
      </c>
      <c r="J478" s="39"/>
      <c r="K478" s="350">
        <v>1</v>
      </c>
      <c r="L478" s="34" t="e">
        <f t="shared" si="656"/>
        <v>#N/A</v>
      </c>
      <c r="M478" s="38" t="e">
        <f>(HLOOKUP(J478,'Construction Times'!$B$3:$W$34,L478+2,FALSE)*HLOOKUP("hq modifier",'Construction Times'!$W$3:$W$34,BS478+2,FALSE))*(1-$H$9)</f>
        <v>#N/A</v>
      </c>
      <c r="N478" s="443" t="e">
        <f t="shared" si="676"/>
        <v>#N/A</v>
      </c>
      <c r="O478" s="444"/>
      <c r="P478" s="447" t="e">
        <f t="shared" si="677"/>
        <v>#N/A</v>
      </c>
      <c r="Q478" s="448"/>
      <c r="R478" s="103">
        <f t="shared" si="703"/>
        <v>0</v>
      </c>
      <c r="S478" s="104">
        <f t="shared" si="703"/>
        <v>0</v>
      </c>
      <c r="T478" s="104">
        <f t="shared" si="704"/>
        <v>0</v>
      </c>
      <c r="U478" s="104">
        <f t="shared" si="704"/>
        <v>0</v>
      </c>
      <c r="V478" s="104">
        <f t="shared" si="704"/>
        <v>9.9999999999999995E-8</v>
      </c>
      <c r="W478" s="104">
        <f t="shared" si="704"/>
        <v>0</v>
      </c>
      <c r="X478" s="104">
        <f t="shared" si="651"/>
        <v>0</v>
      </c>
      <c r="Y478" s="104">
        <f t="shared" si="651"/>
        <v>9.9999999999999995E-8</v>
      </c>
      <c r="Z478" s="104">
        <f t="shared" si="651"/>
        <v>9.9999999999999995E-8</v>
      </c>
      <c r="AA478" s="105">
        <f t="shared" si="651"/>
        <v>9.9999999999999995E-8</v>
      </c>
      <c r="AB478" s="101" t="e">
        <f>$DT478*HLOOKUP($J478,'Construction Costs (timber)'!$B$1:$V$32,'Construction Planner'!$L478+2,FALSE)</f>
        <v>#N/A</v>
      </c>
      <c r="AC478" s="14" t="e">
        <f>$DT478*HLOOKUP($J478,'Construction Costs (clay)'!$B$1:$V$32,'Construction Planner'!$L478+2,FALSE)</f>
        <v>#N/A</v>
      </c>
      <c r="AD478" s="14" t="e">
        <f>$DT478*HLOOKUP($J478,'Construction Costs (iron)'!$B$1:$V$32,'Construction Planner'!$L478+2,FALSE)</f>
        <v>#N/A</v>
      </c>
      <c r="AE478" s="34" t="e">
        <f t="shared" si="713"/>
        <v>#N/A</v>
      </c>
      <c r="AF478" s="33" t="e">
        <f t="shared" si="657"/>
        <v>#N/A</v>
      </c>
      <c r="AG478" s="14" t="e">
        <f t="shared" si="658"/>
        <v>#N/A</v>
      </c>
      <c r="AH478" s="14" t="e">
        <f t="shared" si="659"/>
        <v>#N/A</v>
      </c>
      <c r="AI478" s="34" t="e">
        <f t="shared" si="714"/>
        <v>#N/A</v>
      </c>
      <c r="AJ478" s="49" t="e">
        <f t="shared" si="678"/>
        <v>#N/A</v>
      </c>
      <c r="AK478" s="49" t="e">
        <f t="shared" si="679"/>
        <v>#N/A</v>
      </c>
      <c r="AL478" s="49" t="e">
        <f t="shared" si="680"/>
        <v>#N/A</v>
      </c>
      <c r="AM478" s="25">
        <f t="shared" si="660"/>
        <v>30</v>
      </c>
      <c r="AN478" s="25">
        <f t="shared" si="661"/>
        <v>30</v>
      </c>
      <c r="AO478" s="25">
        <f t="shared" si="662"/>
        <v>30</v>
      </c>
      <c r="AP478" s="52" t="e">
        <f t="shared" si="681"/>
        <v>#N/A</v>
      </c>
      <c r="AQ478" s="53" t="e">
        <f t="shared" si="681"/>
        <v>#N/A</v>
      </c>
      <c r="AR478" s="54" t="e">
        <f t="shared" si="681"/>
        <v>#N/A</v>
      </c>
      <c r="AS478" s="316">
        <f t="shared" si="715"/>
        <v>0</v>
      </c>
      <c r="AT478" s="106">
        <f>_xlfn.IFNA($M478/VLOOKUP($BT478,'Unit information'!$A$2:$K$29,2,FALSE)*R478,0)*(1+$E$9)</f>
        <v>0</v>
      </c>
      <c r="AU478" s="107">
        <f>_xlfn.IFNA($M478/VLOOKUP($BT478,'Unit information'!$A$2:$K$29,3,FALSE)*S478,0)*(1+$E$9)</f>
        <v>0</v>
      </c>
      <c r="AV478" s="107">
        <f>_xlfn.IFNA($M478/VLOOKUP($BT478,'Unit information'!$A$2:$K$29,4,FALSE)*T478,0)*(1+$E$9)</f>
        <v>0</v>
      </c>
      <c r="AW478" s="107">
        <f>_xlfn.IFNA($M478/VLOOKUP($BT478,'Unit information'!$A$2:$K$29,5,FALSE)*U478,0)*(1+$E$9)</f>
        <v>0</v>
      </c>
      <c r="AX478" s="107">
        <f>_xlfn.IFNA($M478/VLOOKUP($BU478,'Unit information'!$A$2:$K$29,6,FALSE)*V478,0)*(1+$E$9)</f>
        <v>0</v>
      </c>
      <c r="AY478" s="107">
        <f>_xlfn.IFNA($M478/VLOOKUP($BU478,'Unit information'!$A$2:$K$29,7,FALSE)*W478,0)*(1+$E$9)</f>
        <v>0</v>
      </c>
      <c r="AZ478" s="107">
        <f>_xlfn.IFNA($M478/VLOOKUP($BU478,'Unit information'!$A$2:$K$29,8,FALSE)*X478,0)*(1+$E$9)</f>
        <v>0</v>
      </c>
      <c r="BA478" s="107">
        <f>_xlfn.IFNA($M478/VLOOKUP($BU478,'Unit information'!$A$2:$K$29,9,FALSE)*Y478,0)*(1+$E$9)</f>
        <v>0</v>
      </c>
      <c r="BB478" s="107">
        <f>_xlfn.IFNA($M478/VLOOKUP($BV478,'Unit information'!$A$2:$K$29,10,FALSE)*Z478,0)*(1+$E$9)</f>
        <v>0</v>
      </c>
      <c r="BC478" s="108">
        <f>_xlfn.IFNA($M478/VLOOKUP($BV478,'Unit information'!$A$2:$K$29,11,FALSE)*AA478,0)*(1+$E$9)</f>
        <v>0</v>
      </c>
      <c r="BD478" s="106">
        <f t="shared" si="663"/>
        <v>0</v>
      </c>
      <c r="BE478" s="107">
        <f t="shared" si="664"/>
        <v>0</v>
      </c>
      <c r="BF478" s="108">
        <f t="shared" si="665"/>
        <v>0</v>
      </c>
      <c r="BG478" s="25" t="e">
        <f t="shared" si="666"/>
        <v>#N/A</v>
      </c>
      <c r="BH478" s="25" t="e">
        <f t="shared" si="667"/>
        <v>#N/A</v>
      </c>
      <c r="BI478" s="25" t="e">
        <f t="shared" si="668"/>
        <v>#N/A</v>
      </c>
      <c r="BJ478" s="27" t="e">
        <f t="shared" si="669"/>
        <v>#N/A</v>
      </c>
      <c r="BK478" s="18" t="e">
        <f t="shared" si="670"/>
        <v>#N/A</v>
      </c>
      <c r="BL478" s="18" t="e">
        <f t="shared" si="671"/>
        <v>#N/A</v>
      </c>
      <c r="BM478" s="28" t="e">
        <f t="shared" si="716"/>
        <v>#N/A</v>
      </c>
      <c r="BN478" s="33">
        <f>HLOOKUP("maximum population",Miscelaneous!$C$1:$C$33,CH478+3,FALSE)</f>
        <v>240</v>
      </c>
      <c r="BO478" s="14">
        <f t="shared" si="682"/>
        <v>32</v>
      </c>
      <c r="BP478" s="14">
        <f t="shared" si="683"/>
        <v>0</v>
      </c>
      <c r="BQ478" s="14">
        <f t="shared" si="684"/>
        <v>208</v>
      </c>
      <c r="BR478" s="34" t="e">
        <f>HLOOKUP(J478,Villagers!$B$1:$V$33,L478+3,FALSE)-HLOOKUP(J478,Villagers!$B$1:$V$33,L478+2,FALSE)</f>
        <v>#N/A</v>
      </c>
      <c r="BS478" s="49">
        <f t="shared" si="685"/>
        <v>1</v>
      </c>
      <c r="BT478" s="50">
        <f t="shared" si="686"/>
        <v>0</v>
      </c>
      <c r="BU478" s="50">
        <f t="shared" si="687"/>
        <v>0</v>
      </c>
      <c r="BV478" s="50">
        <f t="shared" si="688"/>
        <v>0</v>
      </c>
      <c r="BW478" s="50">
        <f t="shared" si="717"/>
        <v>0</v>
      </c>
      <c r="BX478" s="50">
        <f t="shared" si="718"/>
        <v>0</v>
      </c>
      <c r="BY478" s="50">
        <f t="shared" si="718"/>
        <v>0</v>
      </c>
      <c r="BZ478" s="50">
        <f t="shared" si="623"/>
        <v>0</v>
      </c>
      <c r="CA478" s="50">
        <f t="shared" si="624"/>
        <v>0</v>
      </c>
      <c r="CB478" s="50">
        <f t="shared" si="625"/>
        <v>1</v>
      </c>
      <c r="CC478" s="50">
        <f t="shared" si="626"/>
        <v>0</v>
      </c>
      <c r="CD478" s="50">
        <f t="shared" si="627"/>
        <v>0</v>
      </c>
      <c r="CE478" s="50">
        <f t="shared" si="628"/>
        <v>1</v>
      </c>
      <c r="CF478" s="50">
        <f t="shared" si="629"/>
        <v>1</v>
      </c>
      <c r="CG478" s="50">
        <f t="shared" si="630"/>
        <v>1</v>
      </c>
      <c r="CH478" s="50">
        <f t="shared" si="631"/>
        <v>1</v>
      </c>
      <c r="CI478" s="50">
        <f t="shared" si="632"/>
        <v>1</v>
      </c>
      <c r="CJ478" s="50">
        <f t="shared" si="633"/>
        <v>1</v>
      </c>
      <c r="CK478" s="50">
        <f t="shared" si="633"/>
        <v>0</v>
      </c>
      <c r="CL478" s="50">
        <f t="shared" si="633"/>
        <v>0</v>
      </c>
      <c r="CM478" s="51">
        <f t="shared" si="634"/>
        <v>0</v>
      </c>
      <c r="CN478" s="33">
        <f>ROUND(IF(BS478=0,0,HLOOKUP(BS$14,Villagers!$B$1:$V$33,BS478+3,FALSE)),)</f>
        <v>5</v>
      </c>
      <c r="CO478" s="14">
        <f>ROUND(IF(BT478=0,0,HLOOKUP(BT$14,Villagers!$B$1:$V$33,BT478+3,FALSE)),)</f>
        <v>0</v>
      </c>
      <c r="CP478" s="14">
        <f>ROUND(IF(BU478=0,0,HLOOKUP(BU$14,Villagers!$B$1:$V$33,BU478+3,FALSE)),)</f>
        <v>0</v>
      </c>
      <c r="CQ478" s="14">
        <f>ROUND(IF(BV478=0,0,HLOOKUP(BV$14,Villagers!$B$1:$V$33,BV478+3,FALSE)),)</f>
        <v>0</v>
      </c>
      <c r="CR478" s="14">
        <f>ROUND(IF(BW478=0,0,HLOOKUP(BW$14,Villagers!$B$1:$V$33,BW478+3,FALSE)),)</f>
        <v>0</v>
      </c>
      <c r="CS478" s="14">
        <f>ROUND(IF(BX478=0,0,HLOOKUP(BX$14,Villagers!$B$1:$V$33,BX478+3,FALSE)),)</f>
        <v>0</v>
      </c>
      <c r="CT478" s="14">
        <f>ROUND(IF(BY478=0,0,HLOOKUP(BY$14,Villagers!$B$1:$V$33,BY478+3,FALSE)),)</f>
        <v>0</v>
      </c>
      <c r="CU478" s="14">
        <f>ROUND(IF(BZ478=0,0,HLOOKUP(BZ$14,Villagers!$B$1:$V$33,BZ478+3,FALSE)),)</f>
        <v>0</v>
      </c>
      <c r="CV478" s="14">
        <f>ROUND(IF(CA478=0,0,HLOOKUP(CA$14,Villagers!$B$1:$V$33,CA478+3,FALSE)),)</f>
        <v>0</v>
      </c>
      <c r="CW478" s="14">
        <f>ROUND(IF(CB478=0,0,HLOOKUP(CB$14,Villagers!$B$1:$V$33,CB478+3,FALSE)),)</f>
        <v>0</v>
      </c>
      <c r="CX478" s="14">
        <f>ROUND(IF(CC478=0,0,HLOOKUP(CC$14,Villagers!$B$1:$V$33,CC478+3,FALSE)),)</f>
        <v>0</v>
      </c>
      <c r="CY478" s="14">
        <f>ROUND(IF(CD478=0,0,HLOOKUP(CD$14,Villagers!$B$1:$V$33,CD478+3,FALSE)),)</f>
        <v>0</v>
      </c>
      <c r="CZ478" s="14">
        <f>ROUND(IF(CE478=0,0,HLOOKUP(CE$14,Villagers!$B$1:$V$33,CE478+3,FALSE)),)</f>
        <v>5</v>
      </c>
      <c r="DA478" s="14">
        <f>ROUND(IF(CF478=0,0,HLOOKUP(CF$14,Villagers!$B$1:$V$33,CF478+3,FALSE)),)</f>
        <v>10</v>
      </c>
      <c r="DB478" s="14">
        <f>ROUND(IF(CG478=0,0,HLOOKUP(CG$14,Villagers!$B$1:$V$33,CG478+3,FALSE)),)</f>
        <v>10</v>
      </c>
      <c r="DC478" s="14">
        <f>ROUND(IF(CH478=0,0,HLOOKUP(CH$14,Villagers!$B$1:$V$33,CH478+3,FALSE)),)</f>
        <v>0</v>
      </c>
      <c r="DD478" s="14">
        <f>ROUND(IF(CI478=0,0,HLOOKUP(CI$14,Villagers!$B$1:$V$33,CI478+3,FALSE)),)</f>
        <v>0</v>
      </c>
      <c r="DE478" s="14">
        <f>ROUND(IF(CJ478=0,0,HLOOKUP(CJ$14,Villagers!$B$1:$V$33,CJ478+3,FALSE)),)</f>
        <v>2</v>
      </c>
      <c r="DF478" s="370">
        <f>ROUND(IF(CK478=0,0,HLOOKUP(CK$14,Villagers!$B$1:$V$33,CK478+3,FALSE)),)</f>
        <v>0</v>
      </c>
      <c r="DG478" s="370">
        <f>ROUND(IF(CL478=0,0,HLOOKUP(CL$14,Villagers!$B$1:$V$33,CL478+3,FALSE)),)</f>
        <v>0</v>
      </c>
      <c r="DH478" s="34">
        <f>ROUND(IF(CM478=0,0,HLOOKUP(CM$14,Villagers!$B$1:$V$33,CM478+3,FALSE)),)</f>
        <v>0</v>
      </c>
      <c r="DI478" s="109">
        <f t="shared" si="705"/>
        <v>0</v>
      </c>
      <c r="DJ478" s="50">
        <f t="shared" si="706"/>
        <v>0</v>
      </c>
      <c r="DK478" s="50">
        <f t="shared" si="707"/>
        <v>0</v>
      </c>
      <c r="DL478" s="50">
        <f t="shared" si="708"/>
        <v>0</v>
      </c>
      <c r="DM478" s="50">
        <f t="shared" si="709"/>
        <v>0</v>
      </c>
      <c r="DN478" s="50">
        <f t="shared" si="710"/>
        <v>0</v>
      </c>
      <c r="DO478" s="50">
        <f t="shared" si="711"/>
        <v>0</v>
      </c>
      <c r="DP478" s="50">
        <f t="shared" si="712"/>
        <v>0</v>
      </c>
      <c r="DQ478" s="50">
        <f t="shared" si="690"/>
        <v>0</v>
      </c>
      <c r="DR478" s="50">
        <f t="shared" si="691"/>
        <v>0</v>
      </c>
      <c r="DS478" s="96">
        <f>Miscelaneous!$D$4*Miscelaneous!$D$2^($CI478-1)</f>
        <v>1000</v>
      </c>
      <c r="DT478" s="333">
        <f t="shared" si="672"/>
        <v>1</v>
      </c>
      <c r="DU478" s="81">
        <v>1</v>
      </c>
      <c r="DV478" s="79">
        <f t="shared" si="692"/>
        <v>0</v>
      </c>
      <c r="DW478" s="79">
        <f t="shared" si="693"/>
        <v>0</v>
      </c>
      <c r="DX478" s="79">
        <f t="shared" si="694"/>
        <v>0</v>
      </c>
      <c r="DY478" s="79">
        <v>1</v>
      </c>
      <c r="DZ478" s="79">
        <f t="shared" si="695"/>
        <v>0</v>
      </c>
      <c r="EA478" s="79">
        <f t="shared" si="696"/>
        <v>0</v>
      </c>
      <c r="EB478" s="79">
        <f t="shared" si="697"/>
        <v>0</v>
      </c>
      <c r="EC478" s="79">
        <f t="shared" si="698"/>
        <v>0</v>
      </c>
      <c r="ED478" s="79">
        <v>1</v>
      </c>
      <c r="EE478" s="79">
        <v>1</v>
      </c>
      <c r="EF478" s="79">
        <f t="shared" si="699"/>
        <v>0</v>
      </c>
      <c r="EG478" s="79">
        <v>1</v>
      </c>
      <c r="EH478" s="79">
        <v>1</v>
      </c>
      <c r="EI478" s="79">
        <v>1</v>
      </c>
      <c r="EJ478" s="79">
        <v>1</v>
      </c>
      <c r="EK478" s="79">
        <v>1</v>
      </c>
      <c r="EL478" s="79">
        <v>1</v>
      </c>
      <c r="EM478" s="143">
        <f t="shared" si="700"/>
        <v>0</v>
      </c>
      <c r="EN478" s="143">
        <f t="shared" si="701"/>
        <v>0</v>
      </c>
      <c r="EO478" s="82">
        <f t="shared" si="702"/>
        <v>0</v>
      </c>
    </row>
    <row r="479" spans="1:145" x14ac:dyDescent="0.25">
      <c r="A479">
        <v>465</v>
      </c>
      <c r="B479" s="172" t="e">
        <f t="shared" si="673"/>
        <v>#N/A</v>
      </c>
      <c r="C479" s="121" t="e">
        <f t="shared" si="652"/>
        <v>#N/A</v>
      </c>
      <c r="D479" s="122" t="e">
        <f t="shared" si="653"/>
        <v>#N/A</v>
      </c>
      <c r="E479" s="122" t="e">
        <f t="shared" si="654"/>
        <v>#N/A</v>
      </c>
      <c r="F479" s="176" t="e">
        <f t="shared" si="655"/>
        <v>#N/A</v>
      </c>
      <c r="G479" s="121">
        <f t="shared" si="674"/>
        <v>208</v>
      </c>
      <c r="H479" s="176" t="e">
        <f t="shared" si="675"/>
        <v>#N/A</v>
      </c>
      <c r="I479" s="48">
        <v>1</v>
      </c>
      <c r="J479" s="39"/>
      <c r="K479" s="350">
        <v>1</v>
      </c>
      <c r="L479" s="34" t="e">
        <f t="shared" si="656"/>
        <v>#N/A</v>
      </c>
      <c r="M479" s="38" t="e">
        <f>(HLOOKUP(J479,'Construction Times'!$B$3:$W$34,L479+2,FALSE)*HLOOKUP("hq modifier",'Construction Times'!$W$3:$W$34,BS479+2,FALSE))*(1-$H$9)</f>
        <v>#N/A</v>
      </c>
      <c r="N479" s="443" t="e">
        <f t="shared" si="676"/>
        <v>#N/A</v>
      </c>
      <c r="O479" s="444"/>
      <c r="P479" s="447" t="e">
        <f t="shared" si="677"/>
        <v>#N/A</v>
      </c>
      <c r="Q479" s="448"/>
      <c r="R479" s="103">
        <f t="shared" si="703"/>
        <v>0</v>
      </c>
      <c r="S479" s="104">
        <f t="shared" si="703"/>
        <v>0</v>
      </c>
      <c r="T479" s="104">
        <f t="shared" si="704"/>
        <v>0</v>
      </c>
      <c r="U479" s="104">
        <f t="shared" si="704"/>
        <v>0</v>
      </c>
      <c r="V479" s="104">
        <f t="shared" si="704"/>
        <v>9.9999999999999995E-8</v>
      </c>
      <c r="W479" s="104">
        <f t="shared" si="704"/>
        <v>0</v>
      </c>
      <c r="X479" s="104">
        <f t="shared" si="651"/>
        <v>0</v>
      </c>
      <c r="Y479" s="104">
        <f t="shared" si="651"/>
        <v>9.9999999999999995E-8</v>
      </c>
      <c r="Z479" s="104">
        <f t="shared" si="651"/>
        <v>9.9999999999999995E-8</v>
      </c>
      <c r="AA479" s="105">
        <f t="shared" si="651"/>
        <v>9.9999999999999995E-8</v>
      </c>
      <c r="AB479" s="101" t="e">
        <f>$DT479*HLOOKUP($J479,'Construction Costs (timber)'!$B$1:$V$32,'Construction Planner'!$L479+2,FALSE)</f>
        <v>#N/A</v>
      </c>
      <c r="AC479" s="14" t="e">
        <f>$DT479*HLOOKUP($J479,'Construction Costs (clay)'!$B$1:$V$32,'Construction Planner'!$L479+2,FALSE)</f>
        <v>#N/A</v>
      </c>
      <c r="AD479" s="14" t="e">
        <f>$DT479*HLOOKUP($J479,'Construction Costs (iron)'!$B$1:$V$32,'Construction Planner'!$L479+2,FALSE)</f>
        <v>#N/A</v>
      </c>
      <c r="AE479" s="34" t="e">
        <f t="shared" si="713"/>
        <v>#N/A</v>
      </c>
      <c r="AF479" s="33" t="e">
        <f t="shared" si="657"/>
        <v>#N/A</v>
      </c>
      <c r="AG479" s="14" t="e">
        <f t="shared" si="658"/>
        <v>#N/A</v>
      </c>
      <c r="AH479" s="14" t="e">
        <f t="shared" si="659"/>
        <v>#N/A</v>
      </c>
      <c r="AI479" s="34" t="e">
        <f t="shared" si="714"/>
        <v>#N/A</v>
      </c>
      <c r="AJ479" s="49" t="e">
        <f t="shared" si="678"/>
        <v>#N/A</v>
      </c>
      <c r="AK479" s="49" t="e">
        <f t="shared" si="679"/>
        <v>#N/A</v>
      </c>
      <c r="AL479" s="49" t="e">
        <f t="shared" si="680"/>
        <v>#N/A</v>
      </c>
      <c r="AM479" s="25">
        <f t="shared" si="660"/>
        <v>30</v>
      </c>
      <c r="AN479" s="25">
        <f t="shared" si="661"/>
        <v>30</v>
      </c>
      <c r="AO479" s="25">
        <f t="shared" si="662"/>
        <v>30</v>
      </c>
      <c r="AP479" s="52" t="e">
        <f t="shared" si="681"/>
        <v>#N/A</v>
      </c>
      <c r="AQ479" s="53" t="e">
        <f t="shared" si="681"/>
        <v>#N/A</v>
      </c>
      <c r="AR479" s="54" t="e">
        <f t="shared" si="681"/>
        <v>#N/A</v>
      </c>
      <c r="AS479" s="316">
        <f t="shared" si="715"/>
        <v>0</v>
      </c>
      <c r="AT479" s="106">
        <f>_xlfn.IFNA($M479/VLOOKUP($BT479,'Unit information'!$A$2:$K$29,2,FALSE)*R479,0)*(1+$E$9)</f>
        <v>0</v>
      </c>
      <c r="AU479" s="107">
        <f>_xlfn.IFNA($M479/VLOOKUP($BT479,'Unit information'!$A$2:$K$29,3,FALSE)*S479,0)*(1+$E$9)</f>
        <v>0</v>
      </c>
      <c r="AV479" s="107">
        <f>_xlfn.IFNA($M479/VLOOKUP($BT479,'Unit information'!$A$2:$K$29,4,FALSE)*T479,0)*(1+$E$9)</f>
        <v>0</v>
      </c>
      <c r="AW479" s="107">
        <f>_xlfn.IFNA($M479/VLOOKUP($BT479,'Unit information'!$A$2:$K$29,5,FALSE)*U479,0)*(1+$E$9)</f>
        <v>0</v>
      </c>
      <c r="AX479" s="107">
        <f>_xlfn.IFNA($M479/VLOOKUP($BU479,'Unit information'!$A$2:$K$29,6,FALSE)*V479,0)*(1+$E$9)</f>
        <v>0</v>
      </c>
      <c r="AY479" s="107">
        <f>_xlfn.IFNA($M479/VLOOKUP($BU479,'Unit information'!$A$2:$K$29,7,FALSE)*W479,0)*(1+$E$9)</f>
        <v>0</v>
      </c>
      <c r="AZ479" s="107">
        <f>_xlfn.IFNA($M479/VLOOKUP($BU479,'Unit information'!$A$2:$K$29,8,FALSE)*X479,0)*(1+$E$9)</f>
        <v>0</v>
      </c>
      <c r="BA479" s="107">
        <f>_xlfn.IFNA($M479/VLOOKUP($BU479,'Unit information'!$A$2:$K$29,9,FALSE)*Y479,0)*(1+$E$9)</f>
        <v>0</v>
      </c>
      <c r="BB479" s="107">
        <f>_xlfn.IFNA($M479/VLOOKUP($BV479,'Unit information'!$A$2:$K$29,10,FALSE)*Z479,0)*(1+$E$9)</f>
        <v>0</v>
      </c>
      <c r="BC479" s="108">
        <f>_xlfn.IFNA($M479/VLOOKUP($BV479,'Unit information'!$A$2:$K$29,11,FALSE)*AA479,0)*(1+$E$9)</f>
        <v>0</v>
      </c>
      <c r="BD479" s="106">
        <f t="shared" si="663"/>
        <v>0</v>
      </c>
      <c r="BE479" s="107">
        <f t="shared" si="664"/>
        <v>0</v>
      </c>
      <c r="BF479" s="108">
        <f t="shared" si="665"/>
        <v>0</v>
      </c>
      <c r="BG479" s="25" t="e">
        <f t="shared" si="666"/>
        <v>#N/A</v>
      </c>
      <c r="BH479" s="25" t="e">
        <f t="shared" si="667"/>
        <v>#N/A</v>
      </c>
      <c r="BI479" s="25" t="e">
        <f t="shared" si="668"/>
        <v>#N/A</v>
      </c>
      <c r="BJ479" s="27" t="e">
        <f t="shared" si="669"/>
        <v>#N/A</v>
      </c>
      <c r="BK479" s="18" t="e">
        <f t="shared" si="670"/>
        <v>#N/A</v>
      </c>
      <c r="BL479" s="18" t="e">
        <f t="shared" si="671"/>
        <v>#N/A</v>
      </c>
      <c r="BM479" s="28" t="e">
        <f t="shared" si="716"/>
        <v>#N/A</v>
      </c>
      <c r="BN479" s="33">
        <f>HLOOKUP("maximum population",Miscelaneous!$C$1:$C$33,CH479+3,FALSE)</f>
        <v>240</v>
      </c>
      <c r="BO479" s="14">
        <f t="shared" si="682"/>
        <v>32</v>
      </c>
      <c r="BP479" s="14">
        <f t="shared" si="683"/>
        <v>0</v>
      </c>
      <c r="BQ479" s="14">
        <f t="shared" si="684"/>
        <v>208</v>
      </c>
      <c r="BR479" s="34" t="e">
        <f>HLOOKUP(J479,Villagers!$B$1:$V$33,L479+3,FALSE)-HLOOKUP(J479,Villagers!$B$1:$V$33,L479+2,FALSE)</f>
        <v>#N/A</v>
      </c>
      <c r="BS479" s="49">
        <f t="shared" si="685"/>
        <v>1</v>
      </c>
      <c r="BT479" s="50">
        <f t="shared" si="686"/>
        <v>0</v>
      </c>
      <c r="BU479" s="50">
        <f t="shared" si="687"/>
        <v>0</v>
      </c>
      <c r="BV479" s="50">
        <f t="shared" si="688"/>
        <v>0</v>
      </c>
      <c r="BW479" s="50">
        <f t="shared" si="717"/>
        <v>0</v>
      </c>
      <c r="BX479" s="50">
        <f t="shared" si="718"/>
        <v>0</v>
      </c>
      <c r="BY479" s="50">
        <f t="shared" si="718"/>
        <v>0</v>
      </c>
      <c r="BZ479" s="50">
        <f t="shared" si="623"/>
        <v>0</v>
      </c>
      <c r="CA479" s="50">
        <f t="shared" si="624"/>
        <v>0</v>
      </c>
      <c r="CB479" s="50">
        <f t="shared" si="625"/>
        <v>1</v>
      </c>
      <c r="CC479" s="50">
        <f t="shared" si="626"/>
        <v>0</v>
      </c>
      <c r="CD479" s="50">
        <f t="shared" si="627"/>
        <v>0</v>
      </c>
      <c r="CE479" s="50">
        <f t="shared" si="628"/>
        <v>1</v>
      </c>
      <c r="CF479" s="50">
        <f t="shared" si="629"/>
        <v>1</v>
      </c>
      <c r="CG479" s="50">
        <f t="shared" si="630"/>
        <v>1</v>
      </c>
      <c r="CH479" s="50">
        <f t="shared" si="631"/>
        <v>1</v>
      </c>
      <c r="CI479" s="50">
        <f t="shared" si="632"/>
        <v>1</v>
      </c>
      <c r="CJ479" s="50">
        <f t="shared" si="633"/>
        <v>1</v>
      </c>
      <c r="CK479" s="50">
        <f t="shared" si="633"/>
        <v>0</v>
      </c>
      <c r="CL479" s="50">
        <f t="shared" si="633"/>
        <v>0</v>
      </c>
      <c r="CM479" s="51">
        <f>IF($J478=CM$14,$L478,CM478)</f>
        <v>0</v>
      </c>
      <c r="CN479" s="33">
        <f>ROUND(IF(BS479=0,0,HLOOKUP(BS$14,Villagers!$B$1:$V$33,BS479+3,FALSE)),)</f>
        <v>5</v>
      </c>
      <c r="CO479" s="14">
        <f>ROUND(IF(BT479=0,0,HLOOKUP(BT$14,Villagers!$B$1:$V$33,BT479+3,FALSE)),)</f>
        <v>0</v>
      </c>
      <c r="CP479" s="14">
        <f>ROUND(IF(BU479=0,0,HLOOKUP(BU$14,Villagers!$B$1:$V$33,BU479+3,FALSE)),)</f>
        <v>0</v>
      </c>
      <c r="CQ479" s="14">
        <f>ROUND(IF(BV479=0,0,HLOOKUP(BV$14,Villagers!$B$1:$V$33,BV479+3,FALSE)),)</f>
        <v>0</v>
      </c>
      <c r="CR479" s="14">
        <f>ROUND(IF(BW479=0,0,HLOOKUP(BW$14,Villagers!$B$1:$V$33,BW479+3,FALSE)),)</f>
        <v>0</v>
      </c>
      <c r="CS479" s="14">
        <f>ROUND(IF(BX479=0,0,HLOOKUP(BX$14,Villagers!$B$1:$V$33,BX479+3,FALSE)),)</f>
        <v>0</v>
      </c>
      <c r="CT479" s="14">
        <f>ROUND(IF(BY479=0,0,HLOOKUP(BY$14,Villagers!$B$1:$V$33,BY479+3,FALSE)),)</f>
        <v>0</v>
      </c>
      <c r="CU479" s="14">
        <f>ROUND(IF(BZ479=0,0,HLOOKUP(BZ$14,Villagers!$B$1:$V$33,BZ479+3,FALSE)),)</f>
        <v>0</v>
      </c>
      <c r="CV479" s="14">
        <f>ROUND(IF(CA479=0,0,HLOOKUP(CA$14,Villagers!$B$1:$V$33,CA479+3,FALSE)),)</f>
        <v>0</v>
      </c>
      <c r="CW479" s="14">
        <f>ROUND(IF(CB479=0,0,HLOOKUP(CB$14,Villagers!$B$1:$V$33,CB479+3,FALSE)),)</f>
        <v>0</v>
      </c>
      <c r="CX479" s="14">
        <f>ROUND(IF(CC479=0,0,HLOOKUP(CC$14,Villagers!$B$1:$V$33,CC479+3,FALSE)),)</f>
        <v>0</v>
      </c>
      <c r="CY479" s="14">
        <f>ROUND(IF(CD479=0,0,HLOOKUP(CD$14,Villagers!$B$1:$V$33,CD479+3,FALSE)),)</f>
        <v>0</v>
      </c>
      <c r="CZ479" s="14">
        <f>ROUND(IF(CE479=0,0,HLOOKUP(CE$14,Villagers!$B$1:$V$33,CE479+3,FALSE)),)</f>
        <v>5</v>
      </c>
      <c r="DA479" s="14">
        <f>ROUND(IF(CF479=0,0,HLOOKUP(CF$14,Villagers!$B$1:$V$33,CF479+3,FALSE)),)</f>
        <v>10</v>
      </c>
      <c r="DB479" s="14">
        <f>ROUND(IF(CG479=0,0,HLOOKUP(CG$14,Villagers!$B$1:$V$33,CG479+3,FALSE)),)</f>
        <v>10</v>
      </c>
      <c r="DC479" s="14">
        <f>ROUND(IF(CH479=0,0,HLOOKUP(CH$14,Villagers!$B$1:$V$33,CH479+3,FALSE)),)</f>
        <v>0</v>
      </c>
      <c r="DD479" s="14">
        <f>ROUND(IF(CI479=0,0,HLOOKUP(CI$14,Villagers!$B$1:$V$33,CI479+3,FALSE)),)</f>
        <v>0</v>
      </c>
      <c r="DE479" s="14">
        <f>ROUND(IF(CJ479=0,0,HLOOKUP(CJ$14,Villagers!$B$1:$V$33,CJ479+3,FALSE)),)</f>
        <v>2</v>
      </c>
      <c r="DF479" s="370">
        <f>ROUND(IF(CK479=0,0,HLOOKUP(CK$14,Villagers!$B$1:$V$33,CK479+3,FALSE)),)</f>
        <v>0</v>
      </c>
      <c r="DG479" s="370">
        <f>ROUND(IF(CL479=0,0,HLOOKUP(CL$14,Villagers!$B$1:$V$33,CL479+3,FALSE)),)</f>
        <v>0</v>
      </c>
      <c r="DH479" s="34">
        <f>ROUND(IF(CM479=0,0,HLOOKUP(CM$14,Villagers!$B$1:$V$33,CM479+3,FALSE)),)</f>
        <v>0</v>
      </c>
      <c r="DI479" s="109">
        <f t="shared" si="705"/>
        <v>0</v>
      </c>
      <c r="DJ479" s="50">
        <f t="shared" si="706"/>
        <v>0</v>
      </c>
      <c r="DK479" s="50">
        <f t="shared" si="707"/>
        <v>0</v>
      </c>
      <c r="DL479" s="50">
        <f t="shared" si="708"/>
        <v>0</v>
      </c>
      <c r="DM479" s="50">
        <f t="shared" si="709"/>
        <v>0</v>
      </c>
      <c r="DN479" s="50">
        <f t="shared" si="710"/>
        <v>0</v>
      </c>
      <c r="DO479" s="50">
        <f t="shared" si="711"/>
        <v>0</v>
      </c>
      <c r="DP479" s="50">
        <f t="shared" si="712"/>
        <v>0</v>
      </c>
      <c r="DQ479" s="50">
        <f t="shared" si="690"/>
        <v>0</v>
      </c>
      <c r="DR479" s="50">
        <f t="shared" si="691"/>
        <v>0</v>
      </c>
      <c r="DS479" s="96">
        <f>Miscelaneous!$D$4*Miscelaneous!$D$2^($CI479-1)</f>
        <v>1000</v>
      </c>
      <c r="DT479" s="333">
        <f t="shared" si="672"/>
        <v>1</v>
      </c>
      <c r="DU479" s="81">
        <v>1</v>
      </c>
      <c r="DV479" s="79">
        <f t="shared" si="692"/>
        <v>0</v>
      </c>
      <c r="DW479" s="79">
        <f t="shared" si="693"/>
        <v>0</v>
      </c>
      <c r="DX479" s="79">
        <f t="shared" si="694"/>
        <v>0</v>
      </c>
      <c r="DY479" s="79">
        <v>1</v>
      </c>
      <c r="DZ479" s="79">
        <f t="shared" si="695"/>
        <v>0</v>
      </c>
      <c r="EA479" s="79">
        <f t="shared" si="696"/>
        <v>0</v>
      </c>
      <c r="EB479" s="79">
        <f t="shared" si="697"/>
        <v>0</v>
      </c>
      <c r="EC479" s="79">
        <f t="shared" si="698"/>
        <v>0</v>
      </c>
      <c r="ED479" s="79">
        <v>1</v>
      </c>
      <c r="EE479" s="79">
        <v>1</v>
      </c>
      <c r="EF479" s="79">
        <f t="shared" si="699"/>
        <v>0</v>
      </c>
      <c r="EG479" s="79">
        <v>1</v>
      </c>
      <c r="EH479" s="79">
        <v>1</v>
      </c>
      <c r="EI479" s="79">
        <v>1</v>
      </c>
      <c r="EJ479" s="79">
        <v>1</v>
      </c>
      <c r="EK479" s="79">
        <v>1</v>
      </c>
      <c r="EL479" s="79">
        <v>1</v>
      </c>
      <c r="EM479" s="143">
        <f t="shared" si="700"/>
        <v>0</v>
      </c>
      <c r="EN479" s="143">
        <f t="shared" si="701"/>
        <v>0</v>
      </c>
      <c r="EO479" s="82">
        <f t="shared" si="702"/>
        <v>0</v>
      </c>
    </row>
    <row r="480" spans="1:145" x14ac:dyDescent="0.25">
      <c r="A480">
        <v>466</v>
      </c>
      <c r="B480" s="172" t="e">
        <f t="shared" si="673"/>
        <v>#N/A</v>
      </c>
      <c r="C480" s="121" t="e">
        <f t="shared" si="652"/>
        <v>#N/A</v>
      </c>
      <c r="D480" s="122" t="e">
        <f t="shared" si="653"/>
        <v>#N/A</v>
      </c>
      <c r="E480" s="122" t="e">
        <f t="shared" si="654"/>
        <v>#N/A</v>
      </c>
      <c r="F480" s="176" t="e">
        <f t="shared" si="655"/>
        <v>#N/A</v>
      </c>
      <c r="G480" s="121">
        <f t="shared" si="674"/>
        <v>208</v>
      </c>
      <c r="H480" s="176" t="e">
        <f t="shared" si="675"/>
        <v>#N/A</v>
      </c>
      <c r="I480" s="48">
        <v>1</v>
      </c>
      <c r="J480" s="39"/>
      <c r="K480" s="350">
        <v>1</v>
      </c>
      <c r="L480" s="34" t="e">
        <f t="shared" si="656"/>
        <v>#N/A</v>
      </c>
      <c r="M480" s="38" t="e">
        <f>(HLOOKUP(J480,'Construction Times'!$B$3:$W$34,L480+2,FALSE)*HLOOKUP("hq modifier",'Construction Times'!$W$3:$W$34,BS480+2,FALSE))*(1-$H$9)</f>
        <v>#N/A</v>
      </c>
      <c r="N480" s="443" t="e">
        <f t="shared" si="676"/>
        <v>#N/A</v>
      </c>
      <c r="O480" s="444"/>
      <c r="P480" s="447" t="e">
        <f t="shared" si="677"/>
        <v>#N/A</v>
      </c>
      <c r="Q480" s="448"/>
      <c r="R480" s="103">
        <f t="shared" si="703"/>
        <v>0</v>
      </c>
      <c r="S480" s="104">
        <f t="shared" si="703"/>
        <v>0</v>
      </c>
      <c r="T480" s="104">
        <f t="shared" si="704"/>
        <v>0</v>
      </c>
      <c r="U480" s="104">
        <f t="shared" si="704"/>
        <v>0</v>
      </c>
      <c r="V480" s="104">
        <f t="shared" si="704"/>
        <v>9.9999999999999995E-8</v>
      </c>
      <c r="W480" s="104">
        <f t="shared" si="704"/>
        <v>0</v>
      </c>
      <c r="X480" s="104">
        <f t="shared" si="651"/>
        <v>0</v>
      </c>
      <c r="Y480" s="104">
        <f t="shared" si="651"/>
        <v>9.9999999999999995E-8</v>
      </c>
      <c r="Z480" s="104">
        <f t="shared" si="651"/>
        <v>9.9999999999999995E-8</v>
      </c>
      <c r="AA480" s="105">
        <f t="shared" si="651"/>
        <v>9.9999999999999995E-8</v>
      </c>
      <c r="AB480" s="101" t="e">
        <f>$DT480*HLOOKUP($J480,'Construction Costs (timber)'!$B$1:$V$32,'Construction Planner'!$L480+2,FALSE)</f>
        <v>#N/A</v>
      </c>
      <c r="AC480" s="14" t="e">
        <f>$DT480*HLOOKUP($J480,'Construction Costs (clay)'!$B$1:$V$32,'Construction Planner'!$L480+2,FALSE)</f>
        <v>#N/A</v>
      </c>
      <c r="AD480" s="14" t="e">
        <f>$DT480*HLOOKUP($J480,'Construction Costs (iron)'!$B$1:$V$32,'Construction Planner'!$L480+2,FALSE)</f>
        <v>#N/A</v>
      </c>
      <c r="AE480" s="34" t="e">
        <f t="shared" si="713"/>
        <v>#N/A</v>
      </c>
      <c r="AF480" s="33" t="e">
        <f t="shared" si="657"/>
        <v>#N/A</v>
      </c>
      <c r="AG480" s="14" t="e">
        <f t="shared" si="658"/>
        <v>#N/A</v>
      </c>
      <c r="AH480" s="14" t="e">
        <f t="shared" si="659"/>
        <v>#N/A</v>
      </c>
      <c r="AI480" s="34" t="e">
        <f t="shared" si="714"/>
        <v>#N/A</v>
      </c>
      <c r="AJ480" s="49" t="e">
        <f t="shared" si="678"/>
        <v>#N/A</v>
      </c>
      <c r="AK480" s="49" t="e">
        <f t="shared" si="679"/>
        <v>#N/A</v>
      </c>
      <c r="AL480" s="49" t="e">
        <f t="shared" si="680"/>
        <v>#N/A</v>
      </c>
      <c r="AM480" s="25">
        <f t="shared" si="660"/>
        <v>30</v>
      </c>
      <c r="AN480" s="25">
        <f t="shared" si="661"/>
        <v>30</v>
      </c>
      <c r="AO480" s="25">
        <f t="shared" si="662"/>
        <v>30</v>
      </c>
      <c r="AP480" s="52" t="e">
        <f t="shared" si="681"/>
        <v>#N/A</v>
      </c>
      <c r="AQ480" s="53" t="e">
        <f t="shared" si="681"/>
        <v>#N/A</v>
      </c>
      <c r="AR480" s="54" t="e">
        <f t="shared" si="681"/>
        <v>#N/A</v>
      </c>
      <c r="AS480" s="316">
        <f t="shared" si="715"/>
        <v>0</v>
      </c>
      <c r="AT480" s="106">
        <f>_xlfn.IFNA($M480/VLOOKUP($BT480,'Unit information'!$A$2:$K$29,2,FALSE)*R480,0)*(1+$E$9)</f>
        <v>0</v>
      </c>
      <c r="AU480" s="107">
        <f>_xlfn.IFNA($M480/VLOOKUP($BT480,'Unit information'!$A$2:$K$29,3,FALSE)*S480,0)*(1+$E$9)</f>
        <v>0</v>
      </c>
      <c r="AV480" s="107">
        <f>_xlfn.IFNA($M480/VLOOKUP($BT480,'Unit information'!$A$2:$K$29,4,FALSE)*T480,0)*(1+$E$9)</f>
        <v>0</v>
      </c>
      <c r="AW480" s="107">
        <f>_xlfn.IFNA($M480/VLOOKUP($BT480,'Unit information'!$A$2:$K$29,5,FALSE)*U480,0)*(1+$E$9)</f>
        <v>0</v>
      </c>
      <c r="AX480" s="107">
        <f>_xlfn.IFNA($M480/VLOOKUP($BU480,'Unit information'!$A$2:$K$29,6,FALSE)*V480,0)*(1+$E$9)</f>
        <v>0</v>
      </c>
      <c r="AY480" s="107">
        <f>_xlfn.IFNA($M480/VLOOKUP($BU480,'Unit information'!$A$2:$K$29,7,FALSE)*W480,0)*(1+$E$9)</f>
        <v>0</v>
      </c>
      <c r="AZ480" s="107">
        <f>_xlfn.IFNA($M480/VLOOKUP($BU480,'Unit information'!$A$2:$K$29,8,FALSE)*X480,0)*(1+$E$9)</f>
        <v>0</v>
      </c>
      <c r="BA480" s="107">
        <f>_xlfn.IFNA($M480/VLOOKUP($BU480,'Unit information'!$A$2:$K$29,9,FALSE)*Y480,0)*(1+$E$9)</f>
        <v>0</v>
      </c>
      <c r="BB480" s="107">
        <f>_xlfn.IFNA($M480/VLOOKUP($BV480,'Unit information'!$A$2:$K$29,10,FALSE)*Z480,0)*(1+$E$9)</f>
        <v>0</v>
      </c>
      <c r="BC480" s="108">
        <f>_xlfn.IFNA($M480/VLOOKUP($BV480,'Unit information'!$A$2:$K$29,11,FALSE)*AA480,0)*(1+$E$9)</f>
        <v>0</v>
      </c>
      <c r="BD480" s="106">
        <f t="shared" si="663"/>
        <v>0</v>
      </c>
      <c r="BE480" s="107">
        <f t="shared" si="664"/>
        <v>0</v>
      </c>
      <c r="BF480" s="108">
        <f t="shared" si="665"/>
        <v>0</v>
      </c>
      <c r="BG480" s="25" t="e">
        <f t="shared" si="666"/>
        <v>#N/A</v>
      </c>
      <c r="BH480" s="25" t="e">
        <f t="shared" si="667"/>
        <v>#N/A</v>
      </c>
      <c r="BI480" s="25" t="e">
        <f t="shared" si="668"/>
        <v>#N/A</v>
      </c>
      <c r="BJ480" s="27" t="e">
        <f t="shared" si="669"/>
        <v>#N/A</v>
      </c>
      <c r="BK480" s="18" t="e">
        <f t="shared" si="670"/>
        <v>#N/A</v>
      </c>
      <c r="BL480" s="18" t="e">
        <f t="shared" si="671"/>
        <v>#N/A</v>
      </c>
      <c r="BM480" s="28" t="e">
        <f t="shared" si="716"/>
        <v>#N/A</v>
      </c>
      <c r="BN480" s="33">
        <f>HLOOKUP("maximum population",Miscelaneous!$C$1:$C$33,CH480+3,FALSE)</f>
        <v>240</v>
      </c>
      <c r="BO480" s="14">
        <f t="shared" si="682"/>
        <v>32</v>
      </c>
      <c r="BP480" s="14">
        <f t="shared" si="683"/>
        <v>0</v>
      </c>
      <c r="BQ480" s="14">
        <f t="shared" si="684"/>
        <v>208</v>
      </c>
      <c r="BR480" s="34" t="e">
        <f>HLOOKUP(J480,Villagers!$B$1:$V$33,L480+3,FALSE)-HLOOKUP(J480,Villagers!$B$1:$V$33,L480+2,FALSE)</f>
        <v>#N/A</v>
      </c>
      <c r="BS480" s="49">
        <f t="shared" ref="BS480:CM495" si="719">IF($J479=BS$14,$L479,BS479)</f>
        <v>1</v>
      </c>
      <c r="BT480" s="50">
        <f t="shared" si="719"/>
        <v>0</v>
      </c>
      <c r="BU480" s="50">
        <f t="shared" si="719"/>
        <v>0</v>
      </c>
      <c r="BV480" s="50">
        <f t="shared" si="719"/>
        <v>0</v>
      </c>
      <c r="BW480" s="50">
        <f t="shared" si="717"/>
        <v>0</v>
      </c>
      <c r="BX480" s="50">
        <f t="shared" si="718"/>
        <v>0</v>
      </c>
      <c r="BY480" s="50">
        <f t="shared" si="718"/>
        <v>0</v>
      </c>
      <c r="BZ480" s="50">
        <f t="shared" si="719"/>
        <v>0</v>
      </c>
      <c r="CA480" s="50">
        <f t="shared" si="719"/>
        <v>0</v>
      </c>
      <c r="CB480" s="50">
        <f t="shared" si="719"/>
        <v>1</v>
      </c>
      <c r="CC480" s="50">
        <f t="shared" si="719"/>
        <v>0</v>
      </c>
      <c r="CD480" s="50">
        <f t="shared" si="719"/>
        <v>0</v>
      </c>
      <c r="CE480" s="50">
        <f t="shared" si="719"/>
        <v>1</v>
      </c>
      <c r="CF480" s="50">
        <f t="shared" si="719"/>
        <v>1</v>
      </c>
      <c r="CG480" s="50">
        <f t="shared" si="719"/>
        <v>1</v>
      </c>
      <c r="CH480" s="50">
        <f t="shared" si="719"/>
        <v>1</v>
      </c>
      <c r="CI480" s="50">
        <f t="shared" si="719"/>
        <v>1</v>
      </c>
      <c r="CJ480" s="50">
        <f t="shared" si="719"/>
        <v>1</v>
      </c>
      <c r="CK480" s="50">
        <f t="shared" ref="CK480:CL495" si="720">IF($J479=CK$14,$L479,CK479)</f>
        <v>0</v>
      </c>
      <c r="CL480" s="50">
        <f t="shared" si="720"/>
        <v>0</v>
      </c>
      <c r="CM480" s="51">
        <f t="shared" si="719"/>
        <v>0</v>
      </c>
      <c r="CN480" s="33">
        <f>ROUND(IF(BS480=0,0,HLOOKUP(BS$14,Villagers!$B$1:$V$33,BS480+3,FALSE)),)</f>
        <v>5</v>
      </c>
      <c r="CO480" s="14">
        <f>ROUND(IF(BT480=0,0,HLOOKUP(BT$14,Villagers!$B$1:$V$33,BT480+3,FALSE)),)</f>
        <v>0</v>
      </c>
      <c r="CP480" s="14">
        <f>ROUND(IF(BU480=0,0,HLOOKUP(BU$14,Villagers!$B$1:$V$33,BU480+3,FALSE)),)</f>
        <v>0</v>
      </c>
      <c r="CQ480" s="14">
        <f>ROUND(IF(BV480=0,0,HLOOKUP(BV$14,Villagers!$B$1:$V$33,BV480+3,FALSE)),)</f>
        <v>0</v>
      </c>
      <c r="CR480" s="14">
        <f>ROUND(IF(BW480=0,0,HLOOKUP(BW$14,Villagers!$B$1:$V$33,BW480+3,FALSE)),)</f>
        <v>0</v>
      </c>
      <c r="CS480" s="14">
        <f>ROUND(IF(BX480=0,0,HLOOKUP(BX$14,Villagers!$B$1:$V$33,BX480+3,FALSE)),)</f>
        <v>0</v>
      </c>
      <c r="CT480" s="14">
        <f>ROUND(IF(BY480=0,0,HLOOKUP(BY$14,Villagers!$B$1:$V$33,BY480+3,FALSE)),)</f>
        <v>0</v>
      </c>
      <c r="CU480" s="14">
        <f>ROUND(IF(BZ480=0,0,HLOOKUP(BZ$14,Villagers!$B$1:$V$33,BZ480+3,FALSE)),)</f>
        <v>0</v>
      </c>
      <c r="CV480" s="14">
        <f>ROUND(IF(CA480=0,0,HLOOKUP(CA$14,Villagers!$B$1:$V$33,CA480+3,FALSE)),)</f>
        <v>0</v>
      </c>
      <c r="CW480" s="14">
        <f>ROUND(IF(CB480=0,0,HLOOKUP(CB$14,Villagers!$B$1:$V$33,CB480+3,FALSE)),)</f>
        <v>0</v>
      </c>
      <c r="CX480" s="14">
        <f>ROUND(IF(CC480=0,0,HLOOKUP(CC$14,Villagers!$B$1:$V$33,CC480+3,FALSE)),)</f>
        <v>0</v>
      </c>
      <c r="CY480" s="14">
        <f>ROUND(IF(CD480=0,0,HLOOKUP(CD$14,Villagers!$B$1:$V$33,CD480+3,FALSE)),)</f>
        <v>0</v>
      </c>
      <c r="CZ480" s="14">
        <f>ROUND(IF(CE480=0,0,HLOOKUP(CE$14,Villagers!$B$1:$V$33,CE480+3,FALSE)),)</f>
        <v>5</v>
      </c>
      <c r="DA480" s="14">
        <f>ROUND(IF(CF480=0,0,HLOOKUP(CF$14,Villagers!$B$1:$V$33,CF480+3,FALSE)),)</f>
        <v>10</v>
      </c>
      <c r="DB480" s="14">
        <f>ROUND(IF(CG480=0,0,HLOOKUP(CG$14,Villagers!$B$1:$V$33,CG480+3,FALSE)),)</f>
        <v>10</v>
      </c>
      <c r="DC480" s="14">
        <f>ROUND(IF(CH480=0,0,HLOOKUP(CH$14,Villagers!$B$1:$V$33,CH480+3,FALSE)),)</f>
        <v>0</v>
      </c>
      <c r="DD480" s="14">
        <f>ROUND(IF(CI480=0,0,HLOOKUP(CI$14,Villagers!$B$1:$V$33,CI480+3,FALSE)),)</f>
        <v>0</v>
      </c>
      <c r="DE480" s="14">
        <f>ROUND(IF(CJ480=0,0,HLOOKUP(CJ$14,Villagers!$B$1:$V$33,CJ480+3,FALSE)),)</f>
        <v>2</v>
      </c>
      <c r="DF480" s="370">
        <f>ROUND(IF(CK480=0,0,HLOOKUP(CK$14,Villagers!$B$1:$V$33,CK480+3,FALSE)),)</f>
        <v>0</v>
      </c>
      <c r="DG480" s="370">
        <f>ROUND(IF(CL480=0,0,HLOOKUP(CL$14,Villagers!$B$1:$V$33,CL480+3,FALSE)),)</f>
        <v>0</v>
      </c>
      <c r="DH480" s="34">
        <f>ROUND(IF(CM480=0,0,HLOOKUP(CM$14,Villagers!$B$1:$V$33,CM480+3,FALSE)),)</f>
        <v>0</v>
      </c>
      <c r="DI480" s="109">
        <f t="shared" si="705"/>
        <v>0</v>
      </c>
      <c r="DJ480" s="50">
        <f t="shared" si="706"/>
        <v>0</v>
      </c>
      <c r="DK480" s="50">
        <f t="shared" si="707"/>
        <v>0</v>
      </c>
      <c r="DL480" s="50">
        <f t="shared" si="708"/>
        <v>0</v>
      </c>
      <c r="DM480" s="50">
        <f t="shared" si="709"/>
        <v>0</v>
      </c>
      <c r="DN480" s="50">
        <f t="shared" si="710"/>
        <v>0</v>
      </c>
      <c r="DO480" s="50">
        <f t="shared" si="711"/>
        <v>0</v>
      </c>
      <c r="DP480" s="50">
        <f t="shared" si="712"/>
        <v>0</v>
      </c>
      <c r="DQ480" s="50">
        <f t="shared" si="690"/>
        <v>0</v>
      </c>
      <c r="DR480" s="50">
        <f t="shared" si="691"/>
        <v>0</v>
      </c>
      <c r="DS480" s="96">
        <f>Miscelaneous!$D$4*Miscelaneous!$D$2^($CI480-1)</f>
        <v>1000</v>
      </c>
      <c r="DT480" s="333">
        <f t="shared" si="672"/>
        <v>1</v>
      </c>
      <c r="DU480" s="81">
        <v>1</v>
      </c>
      <c r="DV480" s="79">
        <f t="shared" si="692"/>
        <v>0</v>
      </c>
      <c r="DW480" s="79">
        <f t="shared" si="693"/>
        <v>0</v>
      </c>
      <c r="DX480" s="79">
        <f t="shared" si="694"/>
        <v>0</v>
      </c>
      <c r="DY480" s="79">
        <v>1</v>
      </c>
      <c r="DZ480" s="79">
        <f t="shared" si="695"/>
        <v>0</v>
      </c>
      <c r="EA480" s="79">
        <f t="shared" si="696"/>
        <v>0</v>
      </c>
      <c r="EB480" s="79">
        <f t="shared" si="697"/>
        <v>0</v>
      </c>
      <c r="EC480" s="79">
        <f t="shared" si="698"/>
        <v>0</v>
      </c>
      <c r="ED480" s="79">
        <v>1</v>
      </c>
      <c r="EE480" s="79">
        <v>1</v>
      </c>
      <c r="EF480" s="79">
        <f t="shared" si="699"/>
        <v>0</v>
      </c>
      <c r="EG480" s="79">
        <v>1</v>
      </c>
      <c r="EH480" s="79">
        <v>1</v>
      </c>
      <c r="EI480" s="79">
        <v>1</v>
      </c>
      <c r="EJ480" s="79">
        <v>1</v>
      </c>
      <c r="EK480" s="79">
        <v>1</v>
      </c>
      <c r="EL480" s="79">
        <v>1</v>
      </c>
      <c r="EM480" s="143">
        <f t="shared" si="700"/>
        <v>0</v>
      </c>
      <c r="EN480" s="143">
        <f t="shared" si="701"/>
        <v>0</v>
      </c>
      <c r="EO480" s="82">
        <f t="shared" si="702"/>
        <v>0</v>
      </c>
    </row>
    <row r="481" spans="1:145" x14ac:dyDescent="0.25">
      <c r="A481">
        <v>467</v>
      </c>
      <c r="B481" s="172" t="e">
        <f t="shared" si="673"/>
        <v>#N/A</v>
      </c>
      <c r="C481" s="121" t="e">
        <f t="shared" si="652"/>
        <v>#N/A</v>
      </c>
      <c r="D481" s="122" t="e">
        <f t="shared" si="653"/>
        <v>#N/A</v>
      </c>
      <c r="E481" s="122" t="e">
        <f t="shared" si="654"/>
        <v>#N/A</v>
      </c>
      <c r="F481" s="176" t="e">
        <f t="shared" si="655"/>
        <v>#N/A</v>
      </c>
      <c r="G481" s="121">
        <f t="shared" si="674"/>
        <v>208</v>
      </c>
      <c r="H481" s="176" t="e">
        <f t="shared" si="675"/>
        <v>#N/A</v>
      </c>
      <c r="I481" s="48">
        <v>1</v>
      </c>
      <c r="J481" s="39"/>
      <c r="K481" s="350">
        <v>1</v>
      </c>
      <c r="L481" s="34" t="e">
        <f t="shared" si="656"/>
        <v>#N/A</v>
      </c>
      <c r="M481" s="38" t="e">
        <f>(HLOOKUP(J481,'Construction Times'!$B$3:$W$34,L481+2,FALSE)*HLOOKUP("hq modifier",'Construction Times'!$W$3:$W$34,BS481+2,FALSE))*(1-$H$9)</f>
        <v>#N/A</v>
      </c>
      <c r="N481" s="443" t="e">
        <f t="shared" si="676"/>
        <v>#N/A</v>
      </c>
      <c r="O481" s="444"/>
      <c r="P481" s="447" t="e">
        <f t="shared" si="677"/>
        <v>#N/A</v>
      </c>
      <c r="Q481" s="448"/>
      <c r="R481" s="103">
        <f t="shared" si="703"/>
        <v>0</v>
      </c>
      <c r="S481" s="104">
        <f t="shared" si="703"/>
        <v>0</v>
      </c>
      <c r="T481" s="104">
        <f t="shared" si="704"/>
        <v>0</v>
      </c>
      <c r="U481" s="104">
        <f t="shared" si="704"/>
        <v>0</v>
      </c>
      <c r="V481" s="104">
        <f t="shared" si="704"/>
        <v>9.9999999999999995E-8</v>
      </c>
      <c r="W481" s="104">
        <f t="shared" si="704"/>
        <v>0</v>
      </c>
      <c r="X481" s="104">
        <f t="shared" si="651"/>
        <v>0</v>
      </c>
      <c r="Y481" s="104">
        <f t="shared" si="651"/>
        <v>9.9999999999999995E-8</v>
      </c>
      <c r="Z481" s="104">
        <f t="shared" si="651"/>
        <v>9.9999999999999995E-8</v>
      </c>
      <c r="AA481" s="105">
        <f t="shared" si="651"/>
        <v>9.9999999999999995E-8</v>
      </c>
      <c r="AB481" s="101" t="e">
        <f>$DT481*HLOOKUP($J481,'Construction Costs (timber)'!$B$1:$V$32,'Construction Planner'!$L481+2,FALSE)</f>
        <v>#N/A</v>
      </c>
      <c r="AC481" s="14" t="e">
        <f>$DT481*HLOOKUP($J481,'Construction Costs (clay)'!$B$1:$V$32,'Construction Planner'!$L481+2,FALSE)</f>
        <v>#N/A</v>
      </c>
      <c r="AD481" s="14" t="e">
        <f>$DT481*HLOOKUP($J481,'Construction Costs (iron)'!$B$1:$V$32,'Construction Planner'!$L481+2,FALSE)</f>
        <v>#N/A</v>
      </c>
      <c r="AE481" s="34" t="e">
        <f t="shared" si="713"/>
        <v>#N/A</v>
      </c>
      <c r="AF481" s="33" t="e">
        <f t="shared" si="657"/>
        <v>#N/A</v>
      </c>
      <c r="AG481" s="14" t="e">
        <f t="shared" si="658"/>
        <v>#N/A</v>
      </c>
      <c r="AH481" s="14" t="e">
        <f t="shared" si="659"/>
        <v>#N/A</v>
      </c>
      <c r="AI481" s="34" t="e">
        <f t="shared" si="714"/>
        <v>#N/A</v>
      </c>
      <c r="AJ481" s="49" t="e">
        <f t="shared" si="678"/>
        <v>#N/A</v>
      </c>
      <c r="AK481" s="49" t="e">
        <f t="shared" si="679"/>
        <v>#N/A</v>
      </c>
      <c r="AL481" s="49" t="e">
        <f t="shared" si="680"/>
        <v>#N/A</v>
      </c>
      <c r="AM481" s="25">
        <f t="shared" si="660"/>
        <v>30</v>
      </c>
      <c r="AN481" s="25">
        <f t="shared" si="661"/>
        <v>30</v>
      </c>
      <c r="AO481" s="25">
        <f t="shared" si="662"/>
        <v>30</v>
      </c>
      <c r="AP481" s="52" t="e">
        <f t="shared" si="681"/>
        <v>#N/A</v>
      </c>
      <c r="AQ481" s="53" t="e">
        <f t="shared" si="681"/>
        <v>#N/A</v>
      </c>
      <c r="AR481" s="54" t="e">
        <f t="shared" si="681"/>
        <v>#N/A</v>
      </c>
      <c r="AS481" s="316">
        <f t="shared" si="715"/>
        <v>0</v>
      </c>
      <c r="AT481" s="106">
        <f>_xlfn.IFNA($M481/VLOOKUP($BT481,'Unit information'!$A$2:$K$29,2,FALSE)*R481,0)*(1+$E$9)</f>
        <v>0</v>
      </c>
      <c r="AU481" s="107">
        <f>_xlfn.IFNA($M481/VLOOKUP($BT481,'Unit information'!$A$2:$K$29,3,FALSE)*S481,0)*(1+$E$9)</f>
        <v>0</v>
      </c>
      <c r="AV481" s="107">
        <f>_xlfn.IFNA($M481/VLOOKUP($BT481,'Unit information'!$A$2:$K$29,4,FALSE)*T481,0)*(1+$E$9)</f>
        <v>0</v>
      </c>
      <c r="AW481" s="107">
        <f>_xlfn.IFNA($M481/VLOOKUP($BT481,'Unit information'!$A$2:$K$29,5,FALSE)*U481,0)*(1+$E$9)</f>
        <v>0</v>
      </c>
      <c r="AX481" s="107">
        <f>_xlfn.IFNA($M481/VLOOKUP($BU481,'Unit information'!$A$2:$K$29,6,FALSE)*V481,0)*(1+$E$9)</f>
        <v>0</v>
      </c>
      <c r="AY481" s="107">
        <f>_xlfn.IFNA($M481/VLOOKUP($BU481,'Unit information'!$A$2:$K$29,7,FALSE)*W481,0)*(1+$E$9)</f>
        <v>0</v>
      </c>
      <c r="AZ481" s="107">
        <f>_xlfn.IFNA($M481/VLOOKUP($BU481,'Unit information'!$A$2:$K$29,8,FALSE)*X481,0)*(1+$E$9)</f>
        <v>0</v>
      </c>
      <c r="BA481" s="107">
        <f>_xlfn.IFNA($M481/VLOOKUP($BU481,'Unit information'!$A$2:$K$29,9,FALSE)*Y481,0)*(1+$E$9)</f>
        <v>0</v>
      </c>
      <c r="BB481" s="107">
        <f>_xlfn.IFNA($M481/VLOOKUP($BV481,'Unit information'!$A$2:$K$29,10,FALSE)*Z481,0)*(1+$E$9)</f>
        <v>0</v>
      </c>
      <c r="BC481" s="108">
        <f>_xlfn.IFNA($M481/VLOOKUP($BV481,'Unit information'!$A$2:$K$29,11,FALSE)*AA481,0)*(1+$E$9)</f>
        <v>0</v>
      </c>
      <c r="BD481" s="106">
        <f t="shared" si="663"/>
        <v>0</v>
      </c>
      <c r="BE481" s="107">
        <f t="shared" si="664"/>
        <v>0</v>
      </c>
      <c r="BF481" s="108">
        <f t="shared" si="665"/>
        <v>0</v>
      </c>
      <c r="BG481" s="25" t="e">
        <f t="shared" si="666"/>
        <v>#N/A</v>
      </c>
      <c r="BH481" s="25" t="e">
        <f t="shared" si="667"/>
        <v>#N/A</v>
      </c>
      <c r="BI481" s="25" t="e">
        <f t="shared" si="668"/>
        <v>#N/A</v>
      </c>
      <c r="BJ481" s="27" t="e">
        <f t="shared" si="669"/>
        <v>#N/A</v>
      </c>
      <c r="BK481" s="18" t="e">
        <f t="shared" si="670"/>
        <v>#N/A</v>
      </c>
      <c r="BL481" s="18" t="e">
        <f t="shared" si="671"/>
        <v>#N/A</v>
      </c>
      <c r="BM481" s="28" t="e">
        <f t="shared" si="716"/>
        <v>#N/A</v>
      </c>
      <c r="BN481" s="33">
        <f>HLOOKUP("maximum population",Miscelaneous!$C$1:$C$33,CH481+3,FALSE)</f>
        <v>240</v>
      </c>
      <c r="BO481" s="14">
        <f t="shared" si="682"/>
        <v>32</v>
      </c>
      <c r="BP481" s="14">
        <f t="shared" si="683"/>
        <v>0</v>
      </c>
      <c r="BQ481" s="14">
        <f t="shared" si="684"/>
        <v>208</v>
      </c>
      <c r="BR481" s="34" t="e">
        <f>HLOOKUP(J481,Villagers!$B$1:$V$33,L481+3,FALSE)-HLOOKUP(J481,Villagers!$B$1:$V$33,L481+2,FALSE)</f>
        <v>#N/A</v>
      </c>
      <c r="BS481" s="49">
        <f t="shared" si="719"/>
        <v>1</v>
      </c>
      <c r="BT481" s="50">
        <f t="shared" si="719"/>
        <v>0</v>
      </c>
      <c r="BU481" s="50">
        <f t="shared" si="719"/>
        <v>0</v>
      </c>
      <c r="BV481" s="50">
        <f t="shared" si="719"/>
        <v>0</v>
      </c>
      <c r="BW481" s="50">
        <f t="shared" si="717"/>
        <v>0</v>
      </c>
      <c r="BX481" s="50">
        <f t="shared" si="718"/>
        <v>0</v>
      </c>
      <c r="BY481" s="50">
        <f t="shared" si="718"/>
        <v>0</v>
      </c>
      <c r="BZ481" s="50">
        <f t="shared" si="719"/>
        <v>0</v>
      </c>
      <c r="CA481" s="50">
        <f t="shared" si="719"/>
        <v>0</v>
      </c>
      <c r="CB481" s="50">
        <f t="shared" si="719"/>
        <v>1</v>
      </c>
      <c r="CC481" s="50">
        <f t="shared" si="719"/>
        <v>0</v>
      </c>
      <c r="CD481" s="50">
        <f t="shared" si="719"/>
        <v>0</v>
      </c>
      <c r="CE481" s="50">
        <f t="shared" si="719"/>
        <v>1</v>
      </c>
      <c r="CF481" s="50">
        <f t="shared" si="719"/>
        <v>1</v>
      </c>
      <c r="CG481" s="50">
        <f t="shared" si="719"/>
        <v>1</v>
      </c>
      <c r="CH481" s="50">
        <f t="shared" si="719"/>
        <v>1</v>
      </c>
      <c r="CI481" s="50">
        <f t="shared" si="719"/>
        <v>1</v>
      </c>
      <c r="CJ481" s="50">
        <f t="shared" si="719"/>
        <v>1</v>
      </c>
      <c r="CK481" s="50">
        <f t="shared" si="720"/>
        <v>0</v>
      </c>
      <c r="CL481" s="50">
        <f t="shared" si="720"/>
        <v>0</v>
      </c>
      <c r="CM481" s="51">
        <f t="shared" si="719"/>
        <v>0</v>
      </c>
      <c r="CN481" s="33">
        <f>ROUND(IF(BS481=0,0,HLOOKUP(BS$14,Villagers!$B$1:$V$33,BS481+3,FALSE)),)</f>
        <v>5</v>
      </c>
      <c r="CO481" s="14">
        <f>ROUND(IF(BT481=0,0,HLOOKUP(BT$14,Villagers!$B$1:$V$33,BT481+3,FALSE)),)</f>
        <v>0</v>
      </c>
      <c r="CP481" s="14">
        <f>ROUND(IF(BU481=0,0,HLOOKUP(BU$14,Villagers!$B$1:$V$33,BU481+3,FALSE)),)</f>
        <v>0</v>
      </c>
      <c r="CQ481" s="14">
        <f>ROUND(IF(BV481=0,0,HLOOKUP(BV$14,Villagers!$B$1:$V$33,BV481+3,FALSE)),)</f>
        <v>0</v>
      </c>
      <c r="CR481" s="14">
        <f>ROUND(IF(BW481=0,0,HLOOKUP(BW$14,Villagers!$B$1:$V$33,BW481+3,FALSE)),)</f>
        <v>0</v>
      </c>
      <c r="CS481" s="14">
        <f>ROUND(IF(BX481=0,0,HLOOKUP(BX$14,Villagers!$B$1:$V$33,BX481+3,FALSE)),)</f>
        <v>0</v>
      </c>
      <c r="CT481" s="14">
        <f>ROUND(IF(BY481=0,0,HLOOKUP(BY$14,Villagers!$B$1:$V$33,BY481+3,FALSE)),)</f>
        <v>0</v>
      </c>
      <c r="CU481" s="14">
        <f>ROUND(IF(BZ481=0,0,HLOOKUP(BZ$14,Villagers!$B$1:$V$33,BZ481+3,FALSE)),)</f>
        <v>0</v>
      </c>
      <c r="CV481" s="14">
        <f>ROUND(IF(CA481=0,0,HLOOKUP(CA$14,Villagers!$B$1:$V$33,CA481+3,FALSE)),)</f>
        <v>0</v>
      </c>
      <c r="CW481" s="14">
        <f>ROUND(IF(CB481=0,0,HLOOKUP(CB$14,Villagers!$B$1:$V$33,CB481+3,FALSE)),)</f>
        <v>0</v>
      </c>
      <c r="CX481" s="14">
        <f>ROUND(IF(CC481=0,0,HLOOKUP(CC$14,Villagers!$B$1:$V$33,CC481+3,FALSE)),)</f>
        <v>0</v>
      </c>
      <c r="CY481" s="14">
        <f>ROUND(IF(CD481=0,0,HLOOKUP(CD$14,Villagers!$B$1:$V$33,CD481+3,FALSE)),)</f>
        <v>0</v>
      </c>
      <c r="CZ481" s="14">
        <f>ROUND(IF(CE481=0,0,HLOOKUP(CE$14,Villagers!$B$1:$V$33,CE481+3,FALSE)),)</f>
        <v>5</v>
      </c>
      <c r="DA481" s="14">
        <f>ROUND(IF(CF481=0,0,HLOOKUP(CF$14,Villagers!$B$1:$V$33,CF481+3,FALSE)),)</f>
        <v>10</v>
      </c>
      <c r="DB481" s="14">
        <f>ROUND(IF(CG481=0,0,HLOOKUP(CG$14,Villagers!$B$1:$V$33,CG481+3,FALSE)),)</f>
        <v>10</v>
      </c>
      <c r="DC481" s="14">
        <f>ROUND(IF(CH481=0,0,HLOOKUP(CH$14,Villagers!$B$1:$V$33,CH481+3,FALSE)),)</f>
        <v>0</v>
      </c>
      <c r="DD481" s="14">
        <f>ROUND(IF(CI481=0,0,HLOOKUP(CI$14,Villagers!$B$1:$V$33,CI481+3,FALSE)),)</f>
        <v>0</v>
      </c>
      <c r="DE481" s="14">
        <f>ROUND(IF(CJ481=0,0,HLOOKUP(CJ$14,Villagers!$B$1:$V$33,CJ481+3,FALSE)),)</f>
        <v>2</v>
      </c>
      <c r="DF481" s="370">
        <f>ROUND(IF(CK481=0,0,HLOOKUP(CK$14,Villagers!$B$1:$V$33,CK481+3,FALSE)),)</f>
        <v>0</v>
      </c>
      <c r="DG481" s="370">
        <f>ROUND(IF(CL481=0,0,HLOOKUP(CL$14,Villagers!$B$1:$V$33,CL481+3,FALSE)),)</f>
        <v>0</v>
      </c>
      <c r="DH481" s="34">
        <f>ROUND(IF(CM481=0,0,HLOOKUP(CM$14,Villagers!$B$1:$V$33,CM481+3,FALSE)),)</f>
        <v>0</v>
      </c>
      <c r="DI481" s="109">
        <f t="shared" si="705"/>
        <v>0</v>
      </c>
      <c r="DJ481" s="50">
        <f t="shared" si="706"/>
        <v>0</v>
      </c>
      <c r="DK481" s="50">
        <f t="shared" si="707"/>
        <v>0</v>
      </c>
      <c r="DL481" s="50">
        <f t="shared" si="708"/>
        <v>0</v>
      </c>
      <c r="DM481" s="50">
        <f t="shared" si="709"/>
        <v>0</v>
      </c>
      <c r="DN481" s="50">
        <f t="shared" si="710"/>
        <v>0</v>
      </c>
      <c r="DO481" s="50">
        <f t="shared" si="711"/>
        <v>0</v>
      </c>
      <c r="DP481" s="50">
        <f t="shared" si="712"/>
        <v>0</v>
      </c>
      <c r="DQ481" s="50">
        <f t="shared" si="690"/>
        <v>0</v>
      </c>
      <c r="DR481" s="50">
        <f t="shared" si="691"/>
        <v>0</v>
      </c>
      <c r="DS481" s="96">
        <f>Miscelaneous!$D$4*Miscelaneous!$D$2^($CI481-1)</f>
        <v>1000</v>
      </c>
      <c r="DT481" s="333">
        <f t="shared" si="672"/>
        <v>1</v>
      </c>
      <c r="DU481" s="81">
        <v>1</v>
      </c>
      <c r="DV481" s="79">
        <f t="shared" si="692"/>
        <v>0</v>
      </c>
      <c r="DW481" s="79">
        <f t="shared" si="693"/>
        <v>0</v>
      </c>
      <c r="DX481" s="79">
        <f t="shared" si="694"/>
        <v>0</v>
      </c>
      <c r="DY481" s="79">
        <v>1</v>
      </c>
      <c r="DZ481" s="79">
        <f t="shared" si="695"/>
        <v>0</v>
      </c>
      <c r="EA481" s="79">
        <f t="shared" si="696"/>
        <v>0</v>
      </c>
      <c r="EB481" s="79">
        <f t="shared" si="697"/>
        <v>0</v>
      </c>
      <c r="EC481" s="79">
        <f t="shared" si="698"/>
        <v>0</v>
      </c>
      <c r="ED481" s="79">
        <v>1</v>
      </c>
      <c r="EE481" s="79">
        <v>1</v>
      </c>
      <c r="EF481" s="79">
        <f t="shared" si="699"/>
        <v>0</v>
      </c>
      <c r="EG481" s="79">
        <v>1</v>
      </c>
      <c r="EH481" s="79">
        <v>1</v>
      </c>
      <c r="EI481" s="79">
        <v>1</v>
      </c>
      <c r="EJ481" s="79">
        <v>1</v>
      </c>
      <c r="EK481" s="79">
        <v>1</v>
      </c>
      <c r="EL481" s="79">
        <v>1</v>
      </c>
      <c r="EM481" s="143">
        <f t="shared" si="700"/>
        <v>0</v>
      </c>
      <c r="EN481" s="143">
        <f t="shared" si="701"/>
        <v>0</v>
      </c>
      <c r="EO481" s="82">
        <f t="shared" si="702"/>
        <v>0</v>
      </c>
    </row>
    <row r="482" spans="1:145" x14ac:dyDescent="0.25">
      <c r="A482">
        <v>468</v>
      </c>
      <c r="B482" s="172" t="e">
        <f t="shared" si="673"/>
        <v>#N/A</v>
      </c>
      <c r="C482" s="121" t="e">
        <f t="shared" si="652"/>
        <v>#N/A</v>
      </c>
      <c r="D482" s="122" t="e">
        <f t="shared" si="653"/>
        <v>#N/A</v>
      </c>
      <c r="E482" s="122" t="e">
        <f t="shared" si="654"/>
        <v>#N/A</v>
      </c>
      <c r="F482" s="176" t="e">
        <f t="shared" si="655"/>
        <v>#N/A</v>
      </c>
      <c r="G482" s="121">
        <f t="shared" si="674"/>
        <v>208</v>
      </c>
      <c r="H482" s="176" t="e">
        <f t="shared" si="675"/>
        <v>#N/A</v>
      </c>
      <c r="I482" s="48">
        <v>1</v>
      </c>
      <c r="J482" s="39"/>
      <c r="K482" s="350">
        <v>1</v>
      </c>
      <c r="L482" s="34" t="e">
        <f t="shared" si="656"/>
        <v>#N/A</v>
      </c>
      <c r="M482" s="38" t="e">
        <f>(HLOOKUP(J482,'Construction Times'!$B$3:$W$34,L482+2,FALSE)*HLOOKUP("hq modifier",'Construction Times'!$W$3:$W$34,BS482+2,FALSE))*(1-$H$9)</f>
        <v>#N/A</v>
      </c>
      <c r="N482" s="443" t="e">
        <f t="shared" si="676"/>
        <v>#N/A</v>
      </c>
      <c r="O482" s="444"/>
      <c r="P482" s="447" t="e">
        <f t="shared" si="677"/>
        <v>#N/A</v>
      </c>
      <c r="Q482" s="448"/>
      <c r="R482" s="103">
        <f t="shared" si="703"/>
        <v>0</v>
      </c>
      <c r="S482" s="104">
        <f t="shared" si="703"/>
        <v>0</v>
      </c>
      <c r="T482" s="104">
        <f t="shared" si="704"/>
        <v>0</v>
      </c>
      <c r="U482" s="104">
        <f t="shared" si="704"/>
        <v>0</v>
      </c>
      <c r="V482" s="104">
        <f t="shared" si="704"/>
        <v>9.9999999999999995E-8</v>
      </c>
      <c r="W482" s="104">
        <f t="shared" si="704"/>
        <v>0</v>
      </c>
      <c r="X482" s="104">
        <f t="shared" si="651"/>
        <v>0</v>
      </c>
      <c r="Y482" s="104">
        <f t="shared" si="651"/>
        <v>9.9999999999999995E-8</v>
      </c>
      <c r="Z482" s="104">
        <f t="shared" si="651"/>
        <v>9.9999999999999995E-8</v>
      </c>
      <c r="AA482" s="105">
        <f t="shared" si="651"/>
        <v>9.9999999999999995E-8</v>
      </c>
      <c r="AB482" s="101" t="e">
        <f>$DT482*HLOOKUP($J482,'Construction Costs (timber)'!$B$1:$V$32,'Construction Planner'!$L482+2,FALSE)</f>
        <v>#N/A</v>
      </c>
      <c r="AC482" s="14" t="e">
        <f>$DT482*HLOOKUP($J482,'Construction Costs (clay)'!$B$1:$V$32,'Construction Planner'!$L482+2,FALSE)</f>
        <v>#N/A</v>
      </c>
      <c r="AD482" s="14" t="e">
        <f>$DT482*HLOOKUP($J482,'Construction Costs (iron)'!$B$1:$V$32,'Construction Planner'!$L482+2,FALSE)</f>
        <v>#N/A</v>
      </c>
      <c r="AE482" s="34" t="e">
        <f t="shared" si="713"/>
        <v>#N/A</v>
      </c>
      <c r="AF482" s="33" t="e">
        <f t="shared" si="657"/>
        <v>#N/A</v>
      </c>
      <c r="AG482" s="14" t="e">
        <f t="shared" si="658"/>
        <v>#N/A</v>
      </c>
      <c r="AH482" s="14" t="e">
        <f t="shared" si="659"/>
        <v>#N/A</v>
      </c>
      <c r="AI482" s="34" t="e">
        <f t="shared" si="714"/>
        <v>#N/A</v>
      </c>
      <c r="AJ482" s="49" t="e">
        <f t="shared" si="678"/>
        <v>#N/A</v>
      </c>
      <c r="AK482" s="49" t="e">
        <f t="shared" si="679"/>
        <v>#N/A</v>
      </c>
      <c r="AL482" s="49" t="e">
        <f t="shared" si="680"/>
        <v>#N/A</v>
      </c>
      <c r="AM482" s="25">
        <f t="shared" si="660"/>
        <v>30</v>
      </c>
      <c r="AN482" s="25">
        <f t="shared" si="661"/>
        <v>30</v>
      </c>
      <c r="AO482" s="25">
        <f t="shared" si="662"/>
        <v>30</v>
      </c>
      <c r="AP482" s="52" t="e">
        <f t="shared" si="681"/>
        <v>#N/A</v>
      </c>
      <c r="AQ482" s="53" t="e">
        <f t="shared" si="681"/>
        <v>#N/A</v>
      </c>
      <c r="AR482" s="54" t="e">
        <f t="shared" si="681"/>
        <v>#N/A</v>
      </c>
      <c r="AS482" s="316">
        <f t="shared" si="715"/>
        <v>0</v>
      </c>
      <c r="AT482" s="106">
        <f>_xlfn.IFNA($M482/VLOOKUP($BT482,'Unit information'!$A$2:$K$29,2,FALSE)*R482,0)*(1+$E$9)</f>
        <v>0</v>
      </c>
      <c r="AU482" s="107">
        <f>_xlfn.IFNA($M482/VLOOKUP($BT482,'Unit information'!$A$2:$K$29,3,FALSE)*S482,0)*(1+$E$9)</f>
        <v>0</v>
      </c>
      <c r="AV482" s="107">
        <f>_xlfn.IFNA($M482/VLOOKUP($BT482,'Unit information'!$A$2:$K$29,4,FALSE)*T482,0)*(1+$E$9)</f>
        <v>0</v>
      </c>
      <c r="AW482" s="107">
        <f>_xlfn.IFNA($M482/VLOOKUP($BT482,'Unit information'!$A$2:$K$29,5,FALSE)*U482,0)*(1+$E$9)</f>
        <v>0</v>
      </c>
      <c r="AX482" s="107">
        <f>_xlfn.IFNA($M482/VLOOKUP($BU482,'Unit information'!$A$2:$K$29,6,FALSE)*V482,0)*(1+$E$9)</f>
        <v>0</v>
      </c>
      <c r="AY482" s="107">
        <f>_xlfn.IFNA($M482/VLOOKUP($BU482,'Unit information'!$A$2:$K$29,7,FALSE)*W482,0)*(1+$E$9)</f>
        <v>0</v>
      </c>
      <c r="AZ482" s="107">
        <f>_xlfn.IFNA($M482/VLOOKUP($BU482,'Unit information'!$A$2:$K$29,8,FALSE)*X482,0)*(1+$E$9)</f>
        <v>0</v>
      </c>
      <c r="BA482" s="107">
        <f>_xlfn.IFNA($M482/VLOOKUP($BU482,'Unit information'!$A$2:$K$29,9,FALSE)*Y482,0)*(1+$E$9)</f>
        <v>0</v>
      </c>
      <c r="BB482" s="107">
        <f>_xlfn.IFNA($M482/VLOOKUP($BV482,'Unit information'!$A$2:$K$29,10,FALSE)*Z482,0)*(1+$E$9)</f>
        <v>0</v>
      </c>
      <c r="BC482" s="108">
        <f>_xlfn.IFNA($M482/VLOOKUP($BV482,'Unit information'!$A$2:$K$29,11,FALSE)*AA482,0)*(1+$E$9)</f>
        <v>0</v>
      </c>
      <c r="BD482" s="106">
        <f t="shared" si="663"/>
        <v>0</v>
      </c>
      <c r="BE482" s="107">
        <f t="shared" si="664"/>
        <v>0</v>
      </c>
      <c r="BF482" s="108">
        <f t="shared" si="665"/>
        <v>0</v>
      </c>
      <c r="BG482" s="25" t="e">
        <f t="shared" si="666"/>
        <v>#N/A</v>
      </c>
      <c r="BH482" s="25" t="e">
        <f t="shared" si="667"/>
        <v>#N/A</v>
      </c>
      <c r="BI482" s="25" t="e">
        <f t="shared" si="668"/>
        <v>#N/A</v>
      </c>
      <c r="BJ482" s="27" t="e">
        <f t="shared" si="669"/>
        <v>#N/A</v>
      </c>
      <c r="BK482" s="18" t="e">
        <f t="shared" si="670"/>
        <v>#N/A</v>
      </c>
      <c r="BL482" s="18" t="e">
        <f t="shared" si="671"/>
        <v>#N/A</v>
      </c>
      <c r="BM482" s="28" t="e">
        <f t="shared" si="716"/>
        <v>#N/A</v>
      </c>
      <c r="BN482" s="33">
        <f>HLOOKUP("maximum population",Miscelaneous!$C$1:$C$33,CH482+3,FALSE)</f>
        <v>240</v>
      </c>
      <c r="BO482" s="14">
        <f t="shared" si="682"/>
        <v>32</v>
      </c>
      <c r="BP482" s="14">
        <f t="shared" si="683"/>
        <v>0</v>
      </c>
      <c r="BQ482" s="14">
        <f t="shared" si="684"/>
        <v>208</v>
      </c>
      <c r="BR482" s="34" t="e">
        <f>HLOOKUP(J482,Villagers!$B$1:$V$33,L482+3,FALSE)-HLOOKUP(J482,Villagers!$B$1:$V$33,L482+2,FALSE)</f>
        <v>#N/A</v>
      </c>
      <c r="BS482" s="49">
        <f t="shared" si="719"/>
        <v>1</v>
      </c>
      <c r="BT482" s="50">
        <f t="shared" si="719"/>
        <v>0</v>
      </c>
      <c r="BU482" s="50">
        <f t="shared" si="719"/>
        <v>0</v>
      </c>
      <c r="BV482" s="50">
        <f t="shared" si="719"/>
        <v>0</v>
      </c>
      <c r="BW482" s="50">
        <f t="shared" si="717"/>
        <v>0</v>
      </c>
      <c r="BX482" s="50">
        <f t="shared" si="718"/>
        <v>0</v>
      </c>
      <c r="BY482" s="50">
        <f t="shared" si="718"/>
        <v>0</v>
      </c>
      <c r="BZ482" s="50">
        <f t="shared" si="719"/>
        <v>0</v>
      </c>
      <c r="CA482" s="50">
        <f t="shared" si="719"/>
        <v>0</v>
      </c>
      <c r="CB482" s="50">
        <f t="shared" si="719"/>
        <v>1</v>
      </c>
      <c r="CC482" s="50">
        <f t="shared" si="719"/>
        <v>0</v>
      </c>
      <c r="CD482" s="50">
        <f t="shared" si="719"/>
        <v>0</v>
      </c>
      <c r="CE482" s="50">
        <f t="shared" si="719"/>
        <v>1</v>
      </c>
      <c r="CF482" s="50">
        <f t="shared" si="719"/>
        <v>1</v>
      </c>
      <c r="CG482" s="50">
        <f t="shared" si="719"/>
        <v>1</v>
      </c>
      <c r="CH482" s="50">
        <f t="shared" si="719"/>
        <v>1</v>
      </c>
      <c r="CI482" s="50">
        <f t="shared" si="719"/>
        <v>1</v>
      </c>
      <c r="CJ482" s="50">
        <f t="shared" si="719"/>
        <v>1</v>
      </c>
      <c r="CK482" s="50">
        <f t="shared" si="720"/>
        <v>0</v>
      </c>
      <c r="CL482" s="50">
        <f t="shared" si="720"/>
        <v>0</v>
      </c>
      <c r="CM482" s="51">
        <f t="shared" si="719"/>
        <v>0</v>
      </c>
      <c r="CN482" s="33">
        <f>ROUND(IF(BS482=0,0,HLOOKUP(BS$14,Villagers!$B$1:$V$33,BS482+3,FALSE)),)</f>
        <v>5</v>
      </c>
      <c r="CO482" s="14">
        <f>ROUND(IF(BT482=0,0,HLOOKUP(BT$14,Villagers!$B$1:$V$33,BT482+3,FALSE)),)</f>
        <v>0</v>
      </c>
      <c r="CP482" s="14">
        <f>ROUND(IF(BU482=0,0,HLOOKUP(BU$14,Villagers!$B$1:$V$33,BU482+3,FALSE)),)</f>
        <v>0</v>
      </c>
      <c r="CQ482" s="14">
        <f>ROUND(IF(BV482=0,0,HLOOKUP(BV$14,Villagers!$B$1:$V$33,BV482+3,FALSE)),)</f>
        <v>0</v>
      </c>
      <c r="CR482" s="14">
        <f>ROUND(IF(BW482=0,0,HLOOKUP(BW$14,Villagers!$B$1:$V$33,BW482+3,FALSE)),)</f>
        <v>0</v>
      </c>
      <c r="CS482" s="14">
        <f>ROUND(IF(BX482=0,0,HLOOKUP(BX$14,Villagers!$B$1:$V$33,BX482+3,FALSE)),)</f>
        <v>0</v>
      </c>
      <c r="CT482" s="14">
        <f>ROUND(IF(BY482=0,0,HLOOKUP(BY$14,Villagers!$B$1:$V$33,BY482+3,FALSE)),)</f>
        <v>0</v>
      </c>
      <c r="CU482" s="14">
        <f>ROUND(IF(BZ482=0,0,HLOOKUP(BZ$14,Villagers!$B$1:$V$33,BZ482+3,FALSE)),)</f>
        <v>0</v>
      </c>
      <c r="CV482" s="14">
        <f>ROUND(IF(CA482=0,0,HLOOKUP(CA$14,Villagers!$B$1:$V$33,CA482+3,FALSE)),)</f>
        <v>0</v>
      </c>
      <c r="CW482" s="14">
        <f>ROUND(IF(CB482=0,0,HLOOKUP(CB$14,Villagers!$B$1:$V$33,CB482+3,FALSE)),)</f>
        <v>0</v>
      </c>
      <c r="CX482" s="14">
        <f>ROUND(IF(CC482=0,0,HLOOKUP(CC$14,Villagers!$B$1:$V$33,CC482+3,FALSE)),)</f>
        <v>0</v>
      </c>
      <c r="CY482" s="14">
        <f>ROUND(IF(CD482=0,0,HLOOKUP(CD$14,Villagers!$B$1:$V$33,CD482+3,FALSE)),)</f>
        <v>0</v>
      </c>
      <c r="CZ482" s="14">
        <f>ROUND(IF(CE482=0,0,HLOOKUP(CE$14,Villagers!$B$1:$V$33,CE482+3,FALSE)),)</f>
        <v>5</v>
      </c>
      <c r="DA482" s="14">
        <f>ROUND(IF(CF482=0,0,HLOOKUP(CF$14,Villagers!$B$1:$V$33,CF482+3,FALSE)),)</f>
        <v>10</v>
      </c>
      <c r="DB482" s="14">
        <f>ROUND(IF(CG482=0,0,HLOOKUP(CG$14,Villagers!$B$1:$V$33,CG482+3,FALSE)),)</f>
        <v>10</v>
      </c>
      <c r="DC482" s="14">
        <f>ROUND(IF(CH482=0,0,HLOOKUP(CH$14,Villagers!$B$1:$V$33,CH482+3,FALSE)),)</f>
        <v>0</v>
      </c>
      <c r="DD482" s="14">
        <f>ROUND(IF(CI482=0,0,HLOOKUP(CI$14,Villagers!$B$1:$V$33,CI482+3,FALSE)),)</f>
        <v>0</v>
      </c>
      <c r="DE482" s="14">
        <f>ROUND(IF(CJ482=0,0,HLOOKUP(CJ$14,Villagers!$B$1:$V$33,CJ482+3,FALSE)),)</f>
        <v>2</v>
      </c>
      <c r="DF482" s="370">
        <f>ROUND(IF(CK482=0,0,HLOOKUP(CK$14,Villagers!$B$1:$V$33,CK482+3,FALSE)),)</f>
        <v>0</v>
      </c>
      <c r="DG482" s="370">
        <f>ROUND(IF(CL482=0,0,HLOOKUP(CL$14,Villagers!$B$1:$V$33,CL482+3,FALSE)),)</f>
        <v>0</v>
      </c>
      <c r="DH482" s="34">
        <f>ROUND(IF(CM482=0,0,HLOOKUP(CM$14,Villagers!$B$1:$V$33,CM482+3,FALSE)),)</f>
        <v>0</v>
      </c>
      <c r="DI482" s="109">
        <f t="shared" si="705"/>
        <v>0</v>
      </c>
      <c r="DJ482" s="50">
        <f t="shared" si="706"/>
        <v>0</v>
      </c>
      <c r="DK482" s="50">
        <f t="shared" si="707"/>
        <v>0</v>
      </c>
      <c r="DL482" s="50">
        <f t="shared" si="708"/>
        <v>0</v>
      </c>
      <c r="DM482" s="50">
        <f t="shared" si="709"/>
        <v>0</v>
      </c>
      <c r="DN482" s="50">
        <f t="shared" si="710"/>
        <v>0</v>
      </c>
      <c r="DO482" s="50">
        <f t="shared" si="711"/>
        <v>0</v>
      </c>
      <c r="DP482" s="50">
        <f t="shared" si="712"/>
        <v>0</v>
      </c>
      <c r="DQ482" s="50">
        <f t="shared" si="690"/>
        <v>0</v>
      </c>
      <c r="DR482" s="50">
        <f t="shared" si="691"/>
        <v>0</v>
      </c>
      <c r="DS482" s="96">
        <f>Miscelaneous!$D$4*Miscelaneous!$D$2^($CI482-1)</f>
        <v>1000</v>
      </c>
      <c r="DT482" s="333">
        <f t="shared" si="672"/>
        <v>1</v>
      </c>
      <c r="DU482" s="81">
        <v>1</v>
      </c>
      <c r="DV482" s="79">
        <f t="shared" si="692"/>
        <v>0</v>
      </c>
      <c r="DW482" s="79">
        <f t="shared" si="693"/>
        <v>0</v>
      </c>
      <c r="DX482" s="79">
        <f t="shared" si="694"/>
        <v>0</v>
      </c>
      <c r="DY482" s="79">
        <v>1</v>
      </c>
      <c r="DZ482" s="79">
        <f t="shared" si="695"/>
        <v>0</v>
      </c>
      <c r="EA482" s="79">
        <f t="shared" si="696"/>
        <v>0</v>
      </c>
      <c r="EB482" s="79">
        <f t="shared" si="697"/>
        <v>0</v>
      </c>
      <c r="EC482" s="79">
        <f t="shared" si="698"/>
        <v>0</v>
      </c>
      <c r="ED482" s="79">
        <v>1</v>
      </c>
      <c r="EE482" s="79">
        <v>1</v>
      </c>
      <c r="EF482" s="79">
        <f t="shared" si="699"/>
        <v>0</v>
      </c>
      <c r="EG482" s="79">
        <v>1</v>
      </c>
      <c r="EH482" s="79">
        <v>1</v>
      </c>
      <c r="EI482" s="79">
        <v>1</v>
      </c>
      <c r="EJ482" s="79">
        <v>1</v>
      </c>
      <c r="EK482" s="79">
        <v>1</v>
      </c>
      <c r="EL482" s="79">
        <v>1</v>
      </c>
      <c r="EM482" s="143">
        <f t="shared" si="700"/>
        <v>0</v>
      </c>
      <c r="EN482" s="143">
        <f t="shared" si="701"/>
        <v>0</v>
      </c>
      <c r="EO482" s="82">
        <f t="shared" si="702"/>
        <v>0</v>
      </c>
    </row>
    <row r="483" spans="1:145" x14ac:dyDescent="0.25">
      <c r="A483">
        <v>469</v>
      </c>
      <c r="B483" s="172" t="e">
        <f t="shared" si="673"/>
        <v>#N/A</v>
      </c>
      <c r="C483" s="121" t="e">
        <f t="shared" si="652"/>
        <v>#N/A</v>
      </c>
      <c r="D483" s="122" t="e">
        <f t="shared" si="653"/>
        <v>#N/A</v>
      </c>
      <c r="E483" s="122" t="e">
        <f t="shared" si="654"/>
        <v>#N/A</v>
      </c>
      <c r="F483" s="176" t="e">
        <f t="shared" si="655"/>
        <v>#N/A</v>
      </c>
      <c r="G483" s="121">
        <f t="shared" si="674"/>
        <v>208</v>
      </c>
      <c r="H483" s="176" t="e">
        <f t="shared" si="675"/>
        <v>#N/A</v>
      </c>
      <c r="I483" s="48">
        <v>1</v>
      </c>
      <c r="J483" s="39"/>
      <c r="K483" s="350">
        <v>1</v>
      </c>
      <c r="L483" s="34" t="e">
        <f t="shared" si="656"/>
        <v>#N/A</v>
      </c>
      <c r="M483" s="38" t="e">
        <f>(HLOOKUP(J483,'Construction Times'!$B$3:$W$34,L483+2,FALSE)*HLOOKUP("hq modifier",'Construction Times'!$W$3:$W$34,BS483+2,FALSE))*(1-$H$9)</f>
        <v>#N/A</v>
      </c>
      <c r="N483" s="443" t="e">
        <f t="shared" si="676"/>
        <v>#N/A</v>
      </c>
      <c r="O483" s="444"/>
      <c r="P483" s="447" t="e">
        <f t="shared" si="677"/>
        <v>#N/A</v>
      </c>
      <c r="Q483" s="448"/>
      <c r="R483" s="103">
        <f t="shared" si="703"/>
        <v>0</v>
      </c>
      <c r="S483" s="104">
        <f t="shared" si="703"/>
        <v>0</v>
      </c>
      <c r="T483" s="104">
        <f t="shared" si="704"/>
        <v>0</v>
      </c>
      <c r="U483" s="104">
        <f t="shared" si="704"/>
        <v>0</v>
      </c>
      <c r="V483" s="104">
        <f t="shared" si="704"/>
        <v>9.9999999999999995E-8</v>
      </c>
      <c r="W483" s="104">
        <f t="shared" si="704"/>
        <v>0</v>
      </c>
      <c r="X483" s="104">
        <f t="shared" si="651"/>
        <v>0</v>
      </c>
      <c r="Y483" s="104">
        <f t="shared" si="651"/>
        <v>9.9999999999999995E-8</v>
      </c>
      <c r="Z483" s="104">
        <f t="shared" si="651"/>
        <v>9.9999999999999995E-8</v>
      </c>
      <c r="AA483" s="105">
        <f t="shared" si="651"/>
        <v>9.9999999999999995E-8</v>
      </c>
      <c r="AB483" s="101" t="e">
        <f>$DT483*HLOOKUP($J483,'Construction Costs (timber)'!$B$1:$V$32,'Construction Planner'!$L483+2,FALSE)</f>
        <v>#N/A</v>
      </c>
      <c r="AC483" s="14" t="e">
        <f>$DT483*HLOOKUP($J483,'Construction Costs (clay)'!$B$1:$V$32,'Construction Planner'!$L483+2,FALSE)</f>
        <v>#N/A</v>
      </c>
      <c r="AD483" s="14" t="e">
        <f>$DT483*HLOOKUP($J483,'Construction Costs (iron)'!$B$1:$V$32,'Construction Planner'!$L483+2,FALSE)</f>
        <v>#N/A</v>
      </c>
      <c r="AE483" s="34" t="e">
        <f t="shared" si="713"/>
        <v>#N/A</v>
      </c>
      <c r="AF483" s="33" t="e">
        <f t="shared" si="657"/>
        <v>#N/A</v>
      </c>
      <c r="AG483" s="14" t="e">
        <f t="shared" si="658"/>
        <v>#N/A</v>
      </c>
      <c r="AH483" s="14" t="e">
        <f t="shared" si="659"/>
        <v>#N/A</v>
      </c>
      <c r="AI483" s="34" t="e">
        <f t="shared" si="714"/>
        <v>#N/A</v>
      </c>
      <c r="AJ483" s="49" t="e">
        <f t="shared" si="678"/>
        <v>#N/A</v>
      </c>
      <c r="AK483" s="49" t="e">
        <f t="shared" si="679"/>
        <v>#N/A</v>
      </c>
      <c r="AL483" s="49" t="e">
        <f t="shared" si="680"/>
        <v>#N/A</v>
      </c>
      <c r="AM483" s="25">
        <f t="shared" si="660"/>
        <v>30</v>
      </c>
      <c r="AN483" s="25">
        <f t="shared" si="661"/>
        <v>30</v>
      </c>
      <c r="AO483" s="25">
        <f t="shared" si="662"/>
        <v>30</v>
      </c>
      <c r="AP483" s="52" t="e">
        <f t="shared" si="681"/>
        <v>#N/A</v>
      </c>
      <c r="AQ483" s="53" t="e">
        <f t="shared" si="681"/>
        <v>#N/A</v>
      </c>
      <c r="AR483" s="54" t="e">
        <f t="shared" si="681"/>
        <v>#N/A</v>
      </c>
      <c r="AS483" s="316">
        <f t="shared" si="715"/>
        <v>0</v>
      </c>
      <c r="AT483" s="106">
        <f>_xlfn.IFNA($M483/VLOOKUP($BT483,'Unit information'!$A$2:$K$29,2,FALSE)*R483,0)*(1+$E$9)</f>
        <v>0</v>
      </c>
      <c r="AU483" s="107">
        <f>_xlfn.IFNA($M483/VLOOKUP($BT483,'Unit information'!$A$2:$K$29,3,FALSE)*S483,0)*(1+$E$9)</f>
        <v>0</v>
      </c>
      <c r="AV483" s="107">
        <f>_xlfn.IFNA($M483/VLOOKUP($BT483,'Unit information'!$A$2:$K$29,4,FALSE)*T483,0)*(1+$E$9)</f>
        <v>0</v>
      </c>
      <c r="AW483" s="107">
        <f>_xlfn.IFNA($M483/VLOOKUP($BT483,'Unit information'!$A$2:$K$29,5,FALSE)*U483,0)*(1+$E$9)</f>
        <v>0</v>
      </c>
      <c r="AX483" s="107">
        <f>_xlfn.IFNA($M483/VLOOKUP($BU483,'Unit information'!$A$2:$K$29,6,FALSE)*V483,0)*(1+$E$9)</f>
        <v>0</v>
      </c>
      <c r="AY483" s="107">
        <f>_xlfn.IFNA($M483/VLOOKUP($BU483,'Unit information'!$A$2:$K$29,7,FALSE)*W483,0)*(1+$E$9)</f>
        <v>0</v>
      </c>
      <c r="AZ483" s="107">
        <f>_xlfn.IFNA($M483/VLOOKUP($BU483,'Unit information'!$A$2:$K$29,8,FALSE)*X483,0)*(1+$E$9)</f>
        <v>0</v>
      </c>
      <c r="BA483" s="107">
        <f>_xlfn.IFNA($M483/VLOOKUP($BU483,'Unit information'!$A$2:$K$29,9,FALSE)*Y483,0)*(1+$E$9)</f>
        <v>0</v>
      </c>
      <c r="BB483" s="107">
        <f>_xlfn.IFNA($M483/VLOOKUP($BV483,'Unit information'!$A$2:$K$29,10,FALSE)*Z483,0)*(1+$E$9)</f>
        <v>0</v>
      </c>
      <c r="BC483" s="108">
        <f>_xlfn.IFNA($M483/VLOOKUP($BV483,'Unit information'!$A$2:$K$29,11,FALSE)*AA483,0)*(1+$E$9)</f>
        <v>0</v>
      </c>
      <c r="BD483" s="106">
        <f t="shared" si="663"/>
        <v>0</v>
      </c>
      <c r="BE483" s="107">
        <f t="shared" si="664"/>
        <v>0</v>
      </c>
      <c r="BF483" s="108">
        <f t="shared" si="665"/>
        <v>0</v>
      </c>
      <c r="BG483" s="25" t="e">
        <f t="shared" si="666"/>
        <v>#N/A</v>
      </c>
      <c r="BH483" s="25" t="e">
        <f t="shared" si="667"/>
        <v>#N/A</v>
      </c>
      <c r="BI483" s="25" t="e">
        <f t="shared" si="668"/>
        <v>#N/A</v>
      </c>
      <c r="BJ483" s="27" t="e">
        <f t="shared" si="669"/>
        <v>#N/A</v>
      </c>
      <c r="BK483" s="18" t="e">
        <f t="shared" si="670"/>
        <v>#N/A</v>
      </c>
      <c r="BL483" s="18" t="e">
        <f t="shared" si="671"/>
        <v>#N/A</v>
      </c>
      <c r="BM483" s="28" t="e">
        <f t="shared" si="716"/>
        <v>#N/A</v>
      </c>
      <c r="BN483" s="33">
        <f>HLOOKUP("maximum population",Miscelaneous!$C$1:$C$33,CH483+3,FALSE)</f>
        <v>240</v>
      </c>
      <c r="BO483" s="14">
        <f t="shared" si="682"/>
        <v>32</v>
      </c>
      <c r="BP483" s="14">
        <f t="shared" si="683"/>
        <v>0</v>
      </c>
      <c r="BQ483" s="14">
        <f t="shared" si="684"/>
        <v>208</v>
      </c>
      <c r="BR483" s="34" t="e">
        <f>HLOOKUP(J483,Villagers!$B$1:$V$33,L483+3,FALSE)-HLOOKUP(J483,Villagers!$B$1:$V$33,L483+2,FALSE)</f>
        <v>#N/A</v>
      </c>
      <c r="BS483" s="49">
        <f t="shared" si="719"/>
        <v>1</v>
      </c>
      <c r="BT483" s="50">
        <f t="shared" si="719"/>
        <v>0</v>
      </c>
      <c r="BU483" s="50">
        <f t="shared" si="719"/>
        <v>0</v>
      </c>
      <c r="BV483" s="50">
        <f t="shared" si="719"/>
        <v>0</v>
      </c>
      <c r="BW483" s="50">
        <f t="shared" si="717"/>
        <v>0</v>
      </c>
      <c r="BX483" s="50">
        <f t="shared" si="718"/>
        <v>0</v>
      </c>
      <c r="BY483" s="50">
        <f t="shared" si="718"/>
        <v>0</v>
      </c>
      <c r="BZ483" s="50">
        <f t="shared" si="719"/>
        <v>0</v>
      </c>
      <c r="CA483" s="50">
        <f t="shared" si="719"/>
        <v>0</v>
      </c>
      <c r="CB483" s="50">
        <f t="shared" si="719"/>
        <v>1</v>
      </c>
      <c r="CC483" s="50">
        <f t="shared" si="719"/>
        <v>0</v>
      </c>
      <c r="CD483" s="50">
        <f t="shared" si="719"/>
        <v>0</v>
      </c>
      <c r="CE483" s="50">
        <f t="shared" si="719"/>
        <v>1</v>
      </c>
      <c r="CF483" s="50">
        <f t="shared" si="719"/>
        <v>1</v>
      </c>
      <c r="CG483" s="50">
        <f t="shared" si="719"/>
        <v>1</v>
      </c>
      <c r="CH483" s="50">
        <f t="shared" si="719"/>
        <v>1</v>
      </c>
      <c r="CI483" s="50">
        <f t="shared" si="719"/>
        <v>1</v>
      </c>
      <c r="CJ483" s="50">
        <f t="shared" si="719"/>
        <v>1</v>
      </c>
      <c r="CK483" s="50">
        <f t="shared" si="720"/>
        <v>0</v>
      </c>
      <c r="CL483" s="50">
        <f t="shared" si="720"/>
        <v>0</v>
      </c>
      <c r="CM483" s="51">
        <f t="shared" si="719"/>
        <v>0</v>
      </c>
      <c r="CN483" s="33">
        <f>ROUND(IF(BS483=0,0,HLOOKUP(BS$14,Villagers!$B$1:$V$33,BS483+3,FALSE)),)</f>
        <v>5</v>
      </c>
      <c r="CO483" s="14">
        <f>ROUND(IF(BT483=0,0,HLOOKUP(BT$14,Villagers!$B$1:$V$33,BT483+3,FALSE)),)</f>
        <v>0</v>
      </c>
      <c r="CP483" s="14">
        <f>ROUND(IF(BU483=0,0,HLOOKUP(BU$14,Villagers!$B$1:$V$33,BU483+3,FALSE)),)</f>
        <v>0</v>
      </c>
      <c r="CQ483" s="14">
        <f>ROUND(IF(BV483=0,0,HLOOKUP(BV$14,Villagers!$B$1:$V$33,BV483+3,FALSE)),)</f>
        <v>0</v>
      </c>
      <c r="CR483" s="14">
        <f>ROUND(IF(BW483=0,0,HLOOKUP(BW$14,Villagers!$B$1:$V$33,BW483+3,FALSE)),)</f>
        <v>0</v>
      </c>
      <c r="CS483" s="14">
        <f>ROUND(IF(BX483=0,0,HLOOKUP(BX$14,Villagers!$B$1:$V$33,BX483+3,FALSE)),)</f>
        <v>0</v>
      </c>
      <c r="CT483" s="14">
        <f>ROUND(IF(BY483=0,0,HLOOKUP(BY$14,Villagers!$B$1:$V$33,BY483+3,FALSE)),)</f>
        <v>0</v>
      </c>
      <c r="CU483" s="14">
        <f>ROUND(IF(BZ483=0,0,HLOOKUP(BZ$14,Villagers!$B$1:$V$33,BZ483+3,FALSE)),)</f>
        <v>0</v>
      </c>
      <c r="CV483" s="14">
        <f>ROUND(IF(CA483=0,0,HLOOKUP(CA$14,Villagers!$B$1:$V$33,CA483+3,FALSE)),)</f>
        <v>0</v>
      </c>
      <c r="CW483" s="14">
        <f>ROUND(IF(CB483=0,0,HLOOKUP(CB$14,Villagers!$B$1:$V$33,CB483+3,FALSE)),)</f>
        <v>0</v>
      </c>
      <c r="CX483" s="14">
        <f>ROUND(IF(CC483=0,0,HLOOKUP(CC$14,Villagers!$B$1:$V$33,CC483+3,FALSE)),)</f>
        <v>0</v>
      </c>
      <c r="CY483" s="14">
        <f>ROUND(IF(CD483=0,0,HLOOKUP(CD$14,Villagers!$B$1:$V$33,CD483+3,FALSE)),)</f>
        <v>0</v>
      </c>
      <c r="CZ483" s="14">
        <f>ROUND(IF(CE483=0,0,HLOOKUP(CE$14,Villagers!$B$1:$V$33,CE483+3,FALSE)),)</f>
        <v>5</v>
      </c>
      <c r="DA483" s="14">
        <f>ROUND(IF(CF483=0,0,HLOOKUP(CF$14,Villagers!$B$1:$V$33,CF483+3,FALSE)),)</f>
        <v>10</v>
      </c>
      <c r="DB483" s="14">
        <f>ROUND(IF(CG483=0,0,HLOOKUP(CG$14,Villagers!$B$1:$V$33,CG483+3,FALSE)),)</f>
        <v>10</v>
      </c>
      <c r="DC483" s="14">
        <f>ROUND(IF(CH483=0,0,HLOOKUP(CH$14,Villagers!$B$1:$V$33,CH483+3,FALSE)),)</f>
        <v>0</v>
      </c>
      <c r="DD483" s="14">
        <f>ROUND(IF(CI483=0,0,HLOOKUP(CI$14,Villagers!$B$1:$V$33,CI483+3,FALSE)),)</f>
        <v>0</v>
      </c>
      <c r="DE483" s="14">
        <f>ROUND(IF(CJ483=0,0,HLOOKUP(CJ$14,Villagers!$B$1:$V$33,CJ483+3,FALSE)),)</f>
        <v>2</v>
      </c>
      <c r="DF483" s="370">
        <f>ROUND(IF(CK483=0,0,HLOOKUP(CK$14,Villagers!$B$1:$V$33,CK483+3,FALSE)),)</f>
        <v>0</v>
      </c>
      <c r="DG483" s="370">
        <f>ROUND(IF(CL483=0,0,HLOOKUP(CL$14,Villagers!$B$1:$V$33,CL483+3,FALSE)),)</f>
        <v>0</v>
      </c>
      <c r="DH483" s="34">
        <f>ROUND(IF(CM483=0,0,HLOOKUP(CM$14,Villagers!$B$1:$V$33,CM483+3,FALSE)),)</f>
        <v>0</v>
      </c>
      <c r="DI483" s="109">
        <f t="shared" si="705"/>
        <v>0</v>
      </c>
      <c r="DJ483" s="50">
        <f t="shared" si="706"/>
        <v>0</v>
      </c>
      <c r="DK483" s="50">
        <f t="shared" si="707"/>
        <v>0</v>
      </c>
      <c r="DL483" s="50">
        <f t="shared" si="708"/>
        <v>0</v>
      </c>
      <c r="DM483" s="50">
        <f t="shared" si="709"/>
        <v>0</v>
      </c>
      <c r="DN483" s="50">
        <f t="shared" si="710"/>
        <v>0</v>
      </c>
      <c r="DO483" s="50">
        <f t="shared" si="711"/>
        <v>0</v>
      </c>
      <c r="DP483" s="50">
        <f t="shared" si="712"/>
        <v>0</v>
      </c>
      <c r="DQ483" s="50">
        <f t="shared" si="690"/>
        <v>0</v>
      </c>
      <c r="DR483" s="50">
        <f t="shared" si="691"/>
        <v>0</v>
      </c>
      <c r="DS483" s="96">
        <f>Miscelaneous!$D$4*Miscelaneous!$D$2^($CI483-1)</f>
        <v>1000</v>
      </c>
      <c r="DT483" s="333">
        <f t="shared" si="672"/>
        <v>1</v>
      </c>
      <c r="DU483" s="81">
        <v>1</v>
      </c>
      <c r="DV483" s="79">
        <f t="shared" si="692"/>
        <v>0</v>
      </c>
      <c r="DW483" s="79">
        <f t="shared" si="693"/>
        <v>0</v>
      </c>
      <c r="DX483" s="79">
        <f t="shared" si="694"/>
        <v>0</v>
      </c>
      <c r="DY483" s="79">
        <v>1</v>
      </c>
      <c r="DZ483" s="79">
        <f t="shared" si="695"/>
        <v>0</v>
      </c>
      <c r="EA483" s="79">
        <f t="shared" si="696"/>
        <v>0</v>
      </c>
      <c r="EB483" s="79">
        <f t="shared" si="697"/>
        <v>0</v>
      </c>
      <c r="EC483" s="79">
        <f t="shared" si="698"/>
        <v>0</v>
      </c>
      <c r="ED483" s="79">
        <v>1</v>
      </c>
      <c r="EE483" s="79">
        <v>1</v>
      </c>
      <c r="EF483" s="79">
        <f t="shared" si="699"/>
        <v>0</v>
      </c>
      <c r="EG483" s="79">
        <v>1</v>
      </c>
      <c r="EH483" s="79">
        <v>1</v>
      </c>
      <c r="EI483" s="79">
        <v>1</v>
      </c>
      <c r="EJ483" s="79">
        <v>1</v>
      </c>
      <c r="EK483" s="79">
        <v>1</v>
      </c>
      <c r="EL483" s="79">
        <v>1</v>
      </c>
      <c r="EM483" s="143">
        <f t="shared" si="700"/>
        <v>0</v>
      </c>
      <c r="EN483" s="143">
        <f t="shared" si="701"/>
        <v>0</v>
      </c>
      <c r="EO483" s="82">
        <f t="shared" si="702"/>
        <v>0</v>
      </c>
    </row>
    <row r="484" spans="1:145" x14ac:dyDescent="0.25">
      <c r="A484">
        <v>470</v>
      </c>
      <c r="B484" s="172" t="e">
        <f t="shared" si="673"/>
        <v>#N/A</v>
      </c>
      <c r="C484" s="121" t="e">
        <f t="shared" si="652"/>
        <v>#N/A</v>
      </c>
      <c r="D484" s="122" t="e">
        <f t="shared" si="653"/>
        <v>#N/A</v>
      </c>
      <c r="E484" s="122" t="e">
        <f t="shared" si="654"/>
        <v>#N/A</v>
      </c>
      <c r="F484" s="176" t="e">
        <f t="shared" si="655"/>
        <v>#N/A</v>
      </c>
      <c r="G484" s="121">
        <f t="shared" si="674"/>
        <v>208</v>
      </c>
      <c r="H484" s="176" t="e">
        <f t="shared" si="675"/>
        <v>#N/A</v>
      </c>
      <c r="I484" s="48">
        <v>1</v>
      </c>
      <c r="J484" s="39"/>
      <c r="K484" s="350">
        <v>1</v>
      </c>
      <c r="L484" s="34" t="e">
        <f t="shared" si="656"/>
        <v>#N/A</v>
      </c>
      <c r="M484" s="38" t="e">
        <f>(HLOOKUP(J484,'Construction Times'!$B$3:$W$34,L484+2,FALSE)*HLOOKUP("hq modifier",'Construction Times'!$W$3:$W$34,BS484+2,FALSE))*(1-$H$9)</f>
        <v>#N/A</v>
      </c>
      <c r="N484" s="443" t="e">
        <f t="shared" si="676"/>
        <v>#N/A</v>
      </c>
      <c r="O484" s="444"/>
      <c r="P484" s="447" t="e">
        <f t="shared" si="677"/>
        <v>#N/A</v>
      </c>
      <c r="Q484" s="448"/>
      <c r="R484" s="103">
        <f t="shared" si="703"/>
        <v>0</v>
      </c>
      <c r="S484" s="104">
        <f t="shared" si="703"/>
        <v>0</v>
      </c>
      <c r="T484" s="104">
        <f t="shared" si="704"/>
        <v>0</v>
      </c>
      <c r="U484" s="104">
        <f t="shared" si="704"/>
        <v>0</v>
      </c>
      <c r="V484" s="104">
        <f t="shared" si="704"/>
        <v>9.9999999999999995E-8</v>
      </c>
      <c r="W484" s="104">
        <f t="shared" si="704"/>
        <v>0</v>
      </c>
      <c r="X484" s="104">
        <f t="shared" si="651"/>
        <v>0</v>
      </c>
      <c r="Y484" s="104">
        <f t="shared" si="651"/>
        <v>9.9999999999999995E-8</v>
      </c>
      <c r="Z484" s="104">
        <f t="shared" si="651"/>
        <v>9.9999999999999995E-8</v>
      </c>
      <c r="AA484" s="105">
        <f t="shared" si="651"/>
        <v>9.9999999999999995E-8</v>
      </c>
      <c r="AB484" s="101" t="e">
        <f>$DT484*HLOOKUP($J484,'Construction Costs (timber)'!$B$1:$V$32,'Construction Planner'!$L484+2,FALSE)</f>
        <v>#N/A</v>
      </c>
      <c r="AC484" s="14" t="e">
        <f>$DT484*HLOOKUP($J484,'Construction Costs (clay)'!$B$1:$V$32,'Construction Planner'!$L484+2,FALSE)</f>
        <v>#N/A</v>
      </c>
      <c r="AD484" s="14" t="e">
        <f>$DT484*HLOOKUP($J484,'Construction Costs (iron)'!$B$1:$V$32,'Construction Planner'!$L484+2,FALSE)</f>
        <v>#N/A</v>
      </c>
      <c r="AE484" s="34" t="e">
        <f t="shared" si="713"/>
        <v>#N/A</v>
      </c>
      <c r="AF484" s="33" t="e">
        <f t="shared" si="657"/>
        <v>#N/A</v>
      </c>
      <c r="AG484" s="14" t="e">
        <f t="shared" si="658"/>
        <v>#N/A</v>
      </c>
      <c r="AH484" s="14" t="e">
        <f t="shared" si="659"/>
        <v>#N/A</v>
      </c>
      <c r="AI484" s="34" t="e">
        <f t="shared" si="714"/>
        <v>#N/A</v>
      </c>
      <c r="AJ484" s="49" t="e">
        <f t="shared" si="678"/>
        <v>#N/A</v>
      </c>
      <c r="AK484" s="49" t="e">
        <f t="shared" si="679"/>
        <v>#N/A</v>
      </c>
      <c r="AL484" s="49" t="e">
        <f t="shared" si="680"/>
        <v>#N/A</v>
      </c>
      <c r="AM484" s="25">
        <f t="shared" si="660"/>
        <v>30</v>
      </c>
      <c r="AN484" s="25">
        <f t="shared" si="661"/>
        <v>30</v>
      </c>
      <c r="AO484" s="25">
        <f t="shared" si="662"/>
        <v>30</v>
      </c>
      <c r="AP484" s="52" t="e">
        <f t="shared" si="681"/>
        <v>#N/A</v>
      </c>
      <c r="AQ484" s="53" t="e">
        <f t="shared" si="681"/>
        <v>#N/A</v>
      </c>
      <c r="AR484" s="54" t="e">
        <f t="shared" si="681"/>
        <v>#N/A</v>
      </c>
      <c r="AS484" s="316">
        <f t="shared" ref="AS484:AS499" si="721">AS483</f>
        <v>0</v>
      </c>
      <c r="AT484" s="106">
        <f>_xlfn.IFNA($M484/VLOOKUP($BT484,'Unit information'!$A$2:$K$29,2,FALSE)*R484,0)*(1+$E$9)</f>
        <v>0</v>
      </c>
      <c r="AU484" s="107">
        <f>_xlfn.IFNA($M484/VLOOKUP($BT484,'Unit information'!$A$2:$K$29,3,FALSE)*S484,0)*(1+$E$9)</f>
        <v>0</v>
      </c>
      <c r="AV484" s="107">
        <f>_xlfn.IFNA($M484/VLOOKUP($BT484,'Unit information'!$A$2:$K$29,4,FALSE)*T484,0)*(1+$E$9)</f>
        <v>0</v>
      </c>
      <c r="AW484" s="107">
        <f>_xlfn.IFNA($M484/VLOOKUP($BT484,'Unit information'!$A$2:$K$29,5,FALSE)*U484,0)*(1+$E$9)</f>
        <v>0</v>
      </c>
      <c r="AX484" s="107">
        <f>_xlfn.IFNA($M484/VLOOKUP($BU484,'Unit information'!$A$2:$K$29,6,FALSE)*V484,0)*(1+$E$9)</f>
        <v>0</v>
      </c>
      <c r="AY484" s="107">
        <f>_xlfn.IFNA($M484/VLOOKUP($BU484,'Unit information'!$A$2:$K$29,7,FALSE)*W484,0)*(1+$E$9)</f>
        <v>0</v>
      </c>
      <c r="AZ484" s="107">
        <f>_xlfn.IFNA($M484/VLOOKUP($BU484,'Unit information'!$A$2:$K$29,8,FALSE)*X484,0)*(1+$E$9)</f>
        <v>0</v>
      </c>
      <c r="BA484" s="107">
        <f>_xlfn.IFNA($M484/VLOOKUP($BU484,'Unit information'!$A$2:$K$29,9,FALSE)*Y484,0)*(1+$E$9)</f>
        <v>0</v>
      </c>
      <c r="BB484" s="107">
        <f>_xlfn.IFNA($M484/VLOOKUP($BV484,'Unit information'!$A$2:$K$29,10,FALSE)*Z484,0)*(1+$E$9)</f>
        <v>0</v>
      </c>
      <c r="BC484" s="108">
        <f>_xlfn.IFNA($M484/VLOOKUP($BV484,'Unit information'!$A$2:$K$29,11,FALSE)*AA484,0)*(1+$E$9)</f>
        <v>0</v>
      </c>
      <c r="BD484" s="106">
        <f t="shared" si="663"/>
        <v>0</v>
      </c>
      <c r="BE484" s="107">
        <f t="shared" si="664"/>
        <v>0</v>
      </c>
      <c r="BF484" s="108">
        <f t="shared" si="665"/>
        <v>0</v>
      </c>
      <c r="BG484" s="25" t="e">
        <f t="shared" si="666"/>
        <v>#N/A</v>
      </c>
      <c r="BH484" s="25" t="e">
        <f t="shared" si="667"/>
        <v>#N/A</v>
      </c>
      <c r="BI484" s="25" t="e">
        <f t="shared" si="668"/>
        <v>#N/A</v>
      </c>
      <c r="BJ484" s="27" t="e">
        <f t="shared" si="669"/>
        <v>#N/A</v>
      </c>
      <c r="BK484" s="18" t="e">
        <f t="shared" si="670"/>
        <v>#N/A</v>
      </c>
      <c r="BL484" s="18" t="e">
        <f t="shared" si="671"/>
        <v>#N/A</v>
      </c>
      <c r="BM484" s="28" t="e">
        <f t="shared" si="716"/>
        <v>#N/A</v>
      </c>
      <c r="BN484" s="33">
        <f>HLOOKUP("maximum population",Miscelaneous!$C$1:$C$33,CH484+3,FALSE)</f>
        <v>240</v>
      </c>
      <c r="BO484" s="14">
        <f t="shared" si="682"/>
        <v>32</v>
      </c>
      <c r="BP484" s="14">
        <f t="shared" si="683"/>
        <v>0</v>
      </c>
      <c r="BQ484" s="14">
        <f t="shared" si="684"/>
        <v>208</v>
      </c>
      <c r="BR484" s="34" t="e">
        <f>HLOOKUP(J484,Villagers!$B$1:$V$33,L484+3,FALSE)-HLOOKUP(J484,Villagers!$B$1:$V$33,L484+2,FALSE)</f>
        <v>#N/A</v>
      </c>
      <c r="BS484" s="49">
        <f t="shared" si="719"/>
        <v>1</v>
      </c>
      <c r="BT484" s="50">
        <f t="shared" si="719"/>
        <v>0</v>
      </c>
      <c r="BU484" s="50">
        <f t="shared" si="719"/>
        <v>0</v>
      </c>
      <c r="BV484" s="50">
        <f t="shared" si="719"/>
        <v>0</v>
      </c>
      <c r="BW484" s="50">
        <f t="shared" si="717"/>
        <v>0</v>
      </c>
      <c r="BX484" s="50">
        <f t="shared" si="718"/>
        <v>0</v>
      </c>
      <c r="BY484" s="50">
        <f t="shared" si="718"/>
        <v>0</v>
      </c>
      <c r="BZ484" s="50">
        <f t="shared" si="719"/>
        <v>0</v>
      </c>
      <c r="CA484" s="50">
        <f t="shared" si="719"/>
        <v>0</v>
      </c>
      <c r="CB484" s="50">
        <f t="shared" si="719"/>
        <v>1</v>
      </c>
      <c r="CC484" s="50">
        <f t="shared" si="719"/>
        <v>0</v>
      </c>
      <c r="CD484" s="50">
        <f t="shared" si="719"/>
        <v>0</v>
      </c>
      <c r="CE484" s="50">
        <f t="shared" si="719"/>
        <v>1</v>
      </c>
      <c r="CF484" s="50">
        <f t="shared" si="719"/>
        <v>1</v>
      </c>
      <c r="CG484" s="50">
        <f t="shared" si="719"/>
        <v>1</v>
      </c>
      <c r="CH484" s="50">
        <f t="shared" si="719"/>
        <v>1</v>
      </c>
      <c r="CI484" s="50">
        <f t="shared" si="719"/>
        <v>1</v>
      </c>
      <c r="CJ484" s="50">
        <f t="shared" si="719"/>
        <v>1</v>
      </c>
      <c r="CK484" s="50">
        <f t="shared" si="720"/>
        <v>0</v>
      </c>
      <c r="CL484" s="50">
        <f t="shared" si="720"/>
        <v>0</v>
      </c>
      <c r="CM484" s="51">
        <f t="shared" si="719"/>
        <v>0</v>
      </c>
      <c r="CN484" s="33">
        <f>ROUND(IF(BS484=0,0,HLOOKUP(BS$14,Villagers!$B$1:$V$33,BS484+3,FALSE)),)</f>
        <v>5</v>
      </c>
      <c r="CO484" s="14">
        <f>ROUND(IF(BT484=0,0,HLOOKUP(BT$14,Villagers!$B$1:$V$33,BT484+3,FALSE)),)</f>
        <v>0</v>
      </c>
      <c r="CP484" s="14">
        <f>ROUND(IF(BU484=0,0,HLOOKUP(BU$14,Villagers!$B$1:$V$33,BU484+3,FALSE)),)</f>
        <v>0</v>
      </c>
      <c r="CQ484" s="14">
        <f>ROUND(IF(BV484=0,0,HLOOKUP(BV$14,Villagers!$B$1:$V$33,BV484+3,FALSE)),)</f>
        <v>0</v>
      </c>
      <c r="CR484" s="14">
        <f>ROUND(IF(BW484=0,0,HLOOKUP(BW$14,Villagers!$B$1:$V$33,BW484+3,FALSE)),)</f>
        <v>0</v>
      </c>
      <c r="CS484" s="14">
        <f>ROUND(IF(BX484=0,0,HLOOKUP(BX$14,Villagers!$B$1:$V$33,BX484+3,FALSE)),)</f>
        <v>0</v>
      </c>
      <c r="CT484" s="14">
        <f>ROUND(IF(BY484=0,0,HLOOKUP(BY$14,Villagers!$B$1:$V$33,BY484+3,FALSE)),)</f>
        <v>0</v>
      </c>
      <c r="CU484" s="14">
        <f>ROUND(IF(BZ484=0,0,HLOOKUP(BZ$14,Villagers!$B$1:$V$33,BZ484+3,FALSE)),)</f>
        <v>0</v>
      </c>
      <c r="CV484" s="14">
        <f>ROUND(IF(CA484=0,0,HLOOKUP(CA$14,Villagers!$B$1:$V$33,CA484+3,FALSE)),)</f>
        <v>0</v>
      </c>
      <c r="CW484" s="14">
        <f>ROUND(IF(CB484=0,0,HLOOKUP(CB$14,Villagers!$B$1:$V$33,CB484+3,FALSE)),)</f>
        <v>0</v>
      </c>
      <c r="CX484" s="14">
        <f>ROUND(IF(CC484=0,0,HLOOKUP(CC$14,Villagers!$B$1:$V$33,CC484+3,FALSE)),)</f>
        <v>0</v>
      </c>
      <c r="CY484" s="14">
        <f>ROUND(IF(CD484=0,0,HLOOKUP(CD$14,Villagers!$B$1:$V$33,CD484+3,FALSE)),)</f>
        <v>0</v>
      </c>
      <c r="CZ484" s="14">
        <f>ROUND(IF(CE484=0,0,HLOOKUP(CE$14,Villagers!$B$1:$V$33,CE484+3,FALSE)),)</f>
        <v>5</v>
      </c>
      <c r="DA484" s="14">
        <f>ROUND(IF(CF484=0,0,HLOOKUP(CF$14,Villagers!$B$1:$V$33,CF484+3,FALSE)),)</f>
        <v>10</v>
      </c>
      <c r="DB484" s="14">
        <f>ROUND(IF(CG484=0,0,HLOOKUP(CG$14,Villagers!$B$1:$V$33,CG484+3,FALSE)),)</f>
        <v>10</v>
      </c>
      <c r="DC484" s="14">
        <f>ROUND(IF(CH484=0,0,HLOOKUP(CH$14,Villagers!$B$1:$V$33,CH484+3,FALSE)),)</f>
        <v>0</v>
      </c>
      <c r="DD484" s="14">
        <f>ROUND(IF(CI484=0,0,HLOOKUP(CI$14,Villagers!$B$1:$V$33,CI484+3,FALSE)),)</f>
        <v>0</v>
      </c>
      <c r="DE484" s="14">
        <f>ROUND(IF(CJ484=0,0,HLOOKUP(CJ$14,Villagers!$B$1:$V$33,CJ484+3,FALSE)),)</f>
        <v>2</v>
      </c>
      <c r="DF484" s="370">
        <f>ROUND(IF(CK484=0,0,HLOOKUP(CK$14,Villagers!$B$1:$V$33,CK484+3,FALSE)),)</f>
        <v>0</v>
      </c>
      <c r="DG484" s="370">
        <f>ROUND(IF(CL484=0,0,HLOOKUP(CL$14,Villagers!$B$1:$V$33,CL484+3,FALSE)),)</f>
        <v>0</v>
      </c>
      <c r="DH484" s="34">
        <f>ROUND(IF(CM484=0,0,HLOOKUP(CM$14,Villagers!$B$1:$V$33,CM484+3,FALSE)),)</f>
        <v>0</v>
      </c>
      <c r="DI484" s="109">
        <f t="shared" si="705"/>
        <v>0</v>
      </c>
      <c r="DJ484" s="50">
        <f t="shared" si="706"/>
        <v>0</v>
      </c>
      <c r="DK484" s="50">
        <f t="shared" si="707"/>
        <v>0</v>
      </c>
      <c r="DL484" s="50">
        <f t="shared" si="708"/>
        <v>0</v>
      </c>
      <c r="DM484" s="50">
        <f t="shared" si="709"/>
        <v>0</v>
      </c>
      <c r="DN484" s="50">
        <f t="shared" si="710"/>
        <v>0</v>
      </c>
      <c r="DO484" s="50">
        <f t="shared" si="711"/>
        <v>0</v>
      </c>
      <c r="DP484" s="50">
        <f t="shared" si="712"/>
        <v>0</v>
      </c>
      <c r="DQ484" s="50">
        <f t="shared" si="690"/>
        <v>0</v>
      </c>
      <c r="DR484" s="50">
        <f t="shared" si="691"/>
        <v>0</v>
      </c>
      <c r="DS484" s="96">
        <f>Miscelaneous!$D$4*Miscelaneous!$D$2^($CI484-1)</f>
        <v>1000</v>
      </c>
      <c r="DT484" s="333">
        <f t="shared" si="672"/>
        <v>1</v>
      </c>
      <c r="DU484" s="81">
        <v>1</v>
      </c>
      <c r="DV484" s="79">
        <f t="shared" si="692"/>
        <v>0</v>
      </c>
      <c r="DW484" s="79">
        <f t="shared" si="693"/>
        <v>0</v>
      </c>
      <c r="DX484" s="79">
        <f t="shared" si="694"/>
        <v>0</v>
      </c>
      <c r="DY484" s="79">
        <v>1</v>
      </c>
      <c r="DZ484" s="79">
        <f t="shared" si="695"/>
        <v>0</v>
      </c>
      <c r="EA484" s="79">
        <f t="shared" si="696"/>
        <v>0</v>
      </c>
      <c r="EB484" s="79">
        <f t="shared" si="697"/>
        <v>0</v>
      </c>
      <c r="EC484" s="79">
        <f t="shared" si="698"/>
        <v>0</v>
      </c>
      <c r="ED484" s="79">
        <v>1</v>
      </c>
      <c r="EE484" s="79">
        <v>1</v>
      </c>
      <c r="EF484" s="79">
        <f t="shared" si="699"/>
        <v>0</v>
      </c>
      <c r="EG484" s="79">
        <v>1</v>
      </c>
      <c r="EH484" s="79">
        <v>1</v>
      </c>
      <c r="EI484" s="79">
        <v>1</v>
      </c>
      <c r="EJ484" s="79">
        <v>1</v>
      </c>
      <c r="EK484" s="79">
        <v>1</v>
      </c>
      <c r="EL484" s="79">
        <v>1</v>
      </c>
      <c r="EM484" s="143">
        <f t="shared" si="700"/>
        <v>0</v>
      </c>
      <c r="EN484" s="143">
        <f t="shared" si="701"/>
        <v>0</v>
      </c>
      <c r="EO484" s="82">
        <f t="shared" si="702"/>
        <v>0</v>
      </c>
    </row>
    <row r="485" spans="1:145" x14ac:dyDescent="0.25">
      <c r="A485">
        <v>471</v>
      </c>
      <c r="B485" s="172" t="e">
        <f t="shared" si="673"/>
        <v>#N/A</v>
      </c>
      <c r="C485" s="121" t="e">
        <f t="shared" si="652"/>
        <v>#N/A</v>
      </c>
      <c r="D485" s="122" t="e">
        <f t="shared" si="653"/>
        <v>#N/A</v>
      </c>
      <c r="E485" s="122" t="e">
        <f t="shared" si="654"/>
        <v>#N/A</v>
      </c>
      <c r="F485" s="176" t="e">
        <f t="shared" si="655"/>
        <v>#N/A</v>
      </c>
      <c r="G485" s="121">
        <f t="shared" si="674"/>
        <v>208</v>
      </c>
      <c r="H485" s="176" t="e">
        <f t="shared" si="675"/>
        <v>#N/A</v>
      </c>
      <c r="I485" s="48">
        <v>1</v>
      </c>
      <c r="J485" s="39"/>
      <c r="K485" s="350">
        <v>1</v>
      </c>
      <c r="L485" s="34" t="e">
        <f t="shared" si="656"/>
        <v>#N/A</v>
      </c>
      <c r="M485" s="38" t="e">
        <f>(HLOOKUP(J485,'Construction Times'!$B$3:$W$34,L485+2,FALSE)*HLOOKUP("hq modifier",'Construction Times'!$W$3:$W$34,BS485+2,FALSE))*(1-$H$9)</f>
        <v>#N/A</v>
      </c>
      <c r="N485" s="443" t="e">
        <f t="shared" si="676"/>
        <v>#N/A</v>
      </c>
      <c r="O485" s="444"/>
      <c r="P485" s="447" t="e">
        <f t="shared" si="677"/>
        <v>#N/A</v>
      </c>
      <c r="Q485" s="448"/>
      <c r="R485" s="103">
        <f t="shared" si="703"/>
        <v>0</v>
      </c>
      <c r="S485" s="104">
        <f t="shared" si="703"/>
        <v>0</v>
      </c>
      <c r="T485" s="104">
        <f t="shared" si="704"/>
        <v>0</v>
      </c>
      <c r="U485" s="104">
        <f t="shared" si="704"/>
        <v>0</v>
      </c>
      <c r="V485" s="104">
        <f t="shared" si="704"/>
        <v>9.9999999999999995E-8</v>
      </c>
      <c r="W485" s="104">
        <f t="shared" si="704"/>
        <v>0</v>
      </c>
      <c r="X485" s="104">
        <f t="shared" si="651"/>
        <v>0</v>
      </c>
      <c r="Y485" s="104">
        <f t="shared" si="651"/>
        <v>9.9999999999999995E-8</v>
      </c>
      <c r="Z485" s="104">
        <f t="shared" si="651"/>
        <v>9.9999999999999995E-8</v>
      </c>
      <c r="AA485" s="105">
        <f t="shared" si="651"/>
        <v>9.9999999999999995E-8</v>
      </c>
      <c r="AB485" s="101" t="e">
        <f>$DT485*HLOOKUP($J485,'Construction Costs (timber)'!$B$1:$V$32,'Construction Planner'!$L485+2,FALSE)</f>
        <v>#N/A</v>
      </c>
      <c r="AC485" s="14" t="e">
        <f>$DT485*HLOOKUP($J485,'Construction Costs (clay)'!$B$1:$V$32,'Construction Planner'!$L485+2,FALSE)</f>
        <v>#N/A</v>
      </c>
      <c r="AD485" s="14" t="e">
        <f>$DT485*HLOOKUP($J485,'Construction Costs (iron)'!$B$1:$V$32,'Construction Planner'!$L485+2,FALSE)</f>
        <v>#N/A</v>
      </c>
      <c r="AE485" s="34" t="e">
        <f t="shared" si="713"/>
        <v>#N/A</v>
      </c>
      <c r="AF485" s="33" t="e">
        <f t="shared" si="657"/>
        <v>#N/A</v>
      </c>
      <c r="AG485" s="14" t="e">
        <f t="shared" si="658"/>
        <v>#N/A</v>
      </c>
      <c r="AH485" s="14" t="e">
        <f t="shared" si="659"/>
        <v>#N/A</v>
      </c>
      <c r="AI485" s="34" t="e">
        <f t="shared" si="714"/>
        <v>#N/A</v>
      </c>
      <c r="AJ485" s="49" t="e">
        <f t="shared" si="678"/>
        <v>#N/A</v>
      </c>
      <c r="AK485" s="49" t="e">
        <f t="shared" si="679"/>
        <v>#N/A</v>
      </c>
      <c r="AL485" s="49" t="e">
        <f t="shared" si="680"/>
        <v>#N/A</v>
      </c>
      <c r="AM485" s="25">
        <f t="shared" si="660"/>
        <v>30</v>
      </c>
      <c r="AN485" s="25">
        <f t="shared" si="661"/>
        <v>30</v>
      </c>
      <c r="AO485" s="25">
        <f t="shared" si="662"/>
        <v>30</v>
      </c>
      <c r="AP485" s="52" t="e">
        <f t="shared" si="681"/>
        <v>#N/A</v>
      </c>
      <c r="AQ485" s="53" t="e">
        <f t="shared" si="681"/>
        <v>#N/A</v>
      </c>
      <c r="AR485" s="54" t="e">
        <f t="shared" si="681"/>
        <v>#N/A</v>
      </c>
      <c r="AS485" s="316">
        <f t="shared" si="721"/>
        <v>0</v>
      </c>
      <c r="AT485" s="106">
        <f>_xlfn.IFNA($M485/VLOOKUP($BT485,'Unit information'!$A$2:$K$29,2,FALSE)*R485,0)*(1+$E$9)</f>
        <v>0</v>
      </c>
      <c r="AU485" s="107">
        <f>_xlfn.IFNA($M485/VLOOKUP($BT485,'Unit information'!$A$2:$K$29,3,FALSE)*S485,0)*(1+$E$9)</f>
        <v>0</v>
      </c>
      <c r="AV485" s="107">
        <f>_xlfn.IFNA($M485/VLOOKUP($BT485,'Unit information'!$A$2:$K$29,4,FALSE)*T485,0)*(1+$E$9)</f>
        <v>0</v>
      </c>
      <c r="AW485" s="107">
        <f>_xlfn.IFNA($M485/VLOOKUP($BT485,'Unit information'!$A$2:$K$29,5,FALSE)*U485,0)*(1+$E$9)</f>
        <v>0</v>
      </c>
      <c r="AX485" s="107">
        <f>_xlfn.IFNA($M485/VLOOKUP($BU485,'Unit information'!$A$2:$K$29,6,FALSE)*V485,0)*(1+$E$9)</f>
        <v>0</v>
      </c>
      <c r="AY485" s="107">
        <f>_xlfn.IFNA($M485/VLOOKUP($BU485,'Unit information'!$A$2:$K$29,7,FALSE)*W485,0)*(1+$E$9)</f>
        <v>0</v>
      </c>
      <c r="AZ485" s="107">
        <f>_xlfn.IFNA($M485/VLOOKUP($BU485,'Unit information'!$A$2:$K$29,8,FALSE)*X485,0)*(1+$E$9)</f>
        <v>0</v>
      </c>
      <c r="BA485" s="107">
        <f>_xlfn.IFNA($M485/VLOOKUP($BU485,'Unit information'!$A$2:$K$29,9,FALSE)*Y485,0)*(1+$E$9)</f>
        <v>0</v>
      </c>
      <c r="BB485" s="107">
        <f>_xlfn.IFNA($M485/VLOOKUP($BV485,'Unit information'!$A$2:$K$29,10,FALSE)*Z485,0)*(1+$E$9)</f>
        <v>0</v>
      </c>
      <c r="BC485" s="108">
        <f>_xlfn.IFNA($M485/VLOOKUP($BV485,'Unit information'!$A$2:$K$29,11,FALSE)*AA485,0)*(1+$E$9)</f>
        <v>0</v>
      </c>
      <c r="BD485" s="106">
        <f t="shared" si="663"/>
        <v>0</v>
      </c>
      <c r="BE485" s="107">
        <f t="shared" si="664"/>
        <v>0</v>
      </c>
      <c r="BF485" s="108">
        <f t="shared" si="665"/>
        <v>0</v>
      </c>
      <c r="BG485" s="25" t="e">
        <f t="shared" si="666"/>
        <v>#N/A</v>
      </c>
      <c r="BH485" s="25" t="e">
        <f t="shared" si="667"/>
        <v>#N/A</v>
      </c>
      <c r="BI485" s="25" t="e">
        <f t="shared" si="668"/>
        <v>#N/A</v>
      </c>
      <c r="BJ485" s="27" t="e">
        <f t="shared" si="669"/>
        <v>#N/A</v>
      </c>
      <c r="BK485" s="18" t="e">
        <f t="shared" si="670"/>
        <v>#N/A</v>
      </c>
      <c r="BL485" s="18" t="e">
        <f t="shared" si="671"/>
        <v>#N/A</v>
      </c>
      <c r="BM485" s="28" t="e">
        <f t="shared" si="716"/>
        <v>#N/A</v>
      </c>
      <c r="BN485" s="33">
        <f>HLOOKUP("maximum population",Miscelaneous!$C$1:$C$33,CH485+3,FALSE)</f>
        <v>240</v>
      </c>
      <c r="BO485" s="14">
        <f t="shared" si="682"/>
        <v>32</v>
      </c>
      <c r="BP485" s="14">
        <f t="shared" si="683"/>
        <v>0</v>
      </c>
      <c r="BQ485" s="14">
        <f t="shared" si="684"/>
        <v>208</v>
      </c>
      <c r="BR485" s="34" t="e">
        <f>HLOOKUP(J485,Villagers!$B$1:$V$33,L485+3,FALSE)-HLOOKUP(J485,Villagers!$B$1:$V$33,L485+2,FALSE)</f>
        <v>#N/A</v>
      </c>
      <c r="BS485" s="49">
        <f t="shared" si="719"/>
        <v>1</v>
      </c>
      <c r="BT485" s="50">
        <f t="shared" si="719"/>
        <v>0</v>
      </c>
      <c r="BU485" s="50">
        <f t="shared" si="719"/>
        <v>0</v>
      </c>
      <c r="BV485" s="50">
        <f t="shared" si="719"/>
        <v>0</v>
      </c>
      <c r="BW485" s="50">
        <f t="shared" si="717"/>
        <v>0</v>
      </c>
      <c r="BX485" s="50">
        <f t="shared" si="718"/>
        <v>0</v>
      </c>
      <c r="BY485" s="50">
        <f t="shared" si="718"/>
        <v>0</v>
      </c>
      <c r="BZ485" s="50">
        <f t="shared" si="719"/>
        <v>0</v>
      </c>
      <c r="CA485" s="50">
        <f t="shared" si="719"/>
        <v>0</v>
      </c>
      <c r="CB485" s="50">
        <f t="shared" si="719"/>
        <v>1</v>
      </c>
      <c r="CC485" s="50">
        <f t="shared" si="719"/>
        <v>0</v>
      </c>
      <c r="CD485" s="50">
        <f t="shared" si="719"/>
        <v>0</v>
      </c>
      <c r="CE485" s="50">
        <f t="shared" si="719"/>
        <v>1</v>
      </c>
      <c r="CF485" s="50">
        <f t="shared" si="719"/>
        <v>1</v>
      </c>
      <c r="CG485" s="50">
        <f t="shared" si="719"/>
        <v>1</v>
      </c>
      <c r="CH485" s="50">
        <f t="shared" si="719"/>
        <v>1</v>
      </c>
      <c r="CI485" s="50">
        <f t="shared" si="719"/>
        <v>1</v>
      </c>
      <c r="CJ485" s="50">
        <f t="shared" si="719"/>
        <v>1</v>
      </c>
      <c r="CK485" s="50">
        <f t="shared" si="720"/>
        <v>0</v>
      </c>
      <c r="CL485" s="50">
        <f t="shared" si="720"/>
        <v>0</v>
      </c>
      <c r="CM485" s="51">
        <f t="shared" si="719"/>
        <v>0</v>
      </c>
      <c r="CN485" s="33">
        <f>ROUND(IF(BS485=0,0,HLOOKUP(BS$14,Villagers!$B$1:$V$33,BS485+3,FALSE)),)</f>
        <v>5</v>
      </c>
      <c r="CO485" s="14">
        <f>ROUND(IF(BT485=0,0,HLOOKUP(BT$14,Villagers!$B$1:$V$33,BT485+3,FALSE)),)</f>
        <v>0</v>
      </c>
      <c r="CP485" s="14">
        <f>ROUND(IF(BU485=0,0,HLOOKUP(BU$14,Villagers!$B$1:$V$33,BU485+3,FALSE)),)</f>
        <v>0</v>
      </c>
      <c r="CQ485" s="14">
        <f>ROUND(IF(BV485=0,0,HLOOKUP(BV$14,Villagers!$B$1:$V$33,BV485+3,FALSE)),)</f>
        <v>0</v>
      </c>
      <c r="CR485" s="14">
        <f>ROUND(IF(BW485=0,0,HLOOKUP(BW$14,Villagers!$B$1:$V$33,BW485+3,FALSE)),)</f>
        <v>0</v>
      </c>
      <c r="CS485" s="14">
        <f>ROUND(IF(BX485=0,0,HLOOKUP(BX$14,Villagers!$B$1:$V$33,BX485+3,FALSE)),)</f>
        <v>0</v>
      </c>
      <c r="CT485" s="14">
        <f>ROUND(IF(BY485=0,0,HLOOKUP(BY$14,Villagers!$B$1:$V$33,BY485+3,FALSE)),)</f>
        <v>0</v>
      </c>
      <c r="CU485" s="14">
        <f>ROUND(IF(BZ485=0,0,HLOOKUP(BZ$14,Villagers!$B$1:$V$33,BZ485+3,FALSE)),)</f>
        <v>0</v>
      </c>
      <c r="CV485" s="14">
        <f>ROUND(IF(CA485=0,0,HLOOKUP(CA$14,Villagers!$B$1:$V$33,CA485+3,FALSE)),)</f>
        <v>0</v>
      </c>
      <c r="CW485" s="14">
        <f>ROUND(IF(CB485=0,0,HLOOKUP(CB$14,Villagers!$B$1:$V$33,CB485+3,FALSE)),)</f>
        <v>0</v>
      </c>
      <c r="CX485" s="14">
        <f>ROUND(IF(CC485=0,0,HLOOKUP(CC$14,Villagers!$B$1:$V$33,CC485+3,FALSE)),)</f>
        <v>0</v>
      </c>
      <c r="CY485" s="14">
        <f>ROUND(IF(CD485=0,0,HLOOKUP(CD$14,Villagers!$B$1:$V$33,CD485+3,FALSE)),)</f>
        <v>0</v>
      </c>
      <c r="CZ485" s="14">
        <f>ROUND(IF(CE485=0,0,HLOOKUP(CE$14,Villagers!$B$1:$V$33,CE485+3,FALSE)),)</f>
        <v>5</v>
      </c>
      <c r="DA485" s="14">
        <f>ROUND(IF(CF485=0,0,HLOOKUP(CF$14,Villagers!$B$1:$V$33,CF485+3,FALSE)),)</f>
        <v>10</v>
      </c>
      <c r="DB485" s="14">
        <f>ROUND(IF(CG485=0,0,HLOOKUP(CG$14,Villagers!$B$1:$V$33,CG485+3,FALSE)),)</f>
        <v>10</v>
      </c>
      <c r="DC485" s="14">
        <f>ROUND(IF(CH485=0,0,HLOOKUP(CH$14,Villagers!$B$1:$V$33,CH485+3,FALSE)),)</f>
        <v>0</v>
      </c>
      <c r="DD485" s="14">
        <f>ROUND(IF(CI485=0,0,HLOOKUP(CI$14,Villagers!$B$1:$V$33,CI485+3,FALSE)),)</f>
        <v>0</v>
      </c>
      <c r="DE485" s="14">
        <f>ROUND(IF(CJ485=0,0,HLOOKUP(CJ$14,Villagers!$B$1:$V$33,CJ485+3,FALSE)),)</f>
        <v>2</v>
      </c>
      <c r="DF485" s="370">
        <f>ROUND(IF(CK485=0,0,HLOOKUP(CK$14,Villagers!$B$1:$V$33,CK485+3,FALSE)),)</f>
        <v>0</v>
      </c>
      <c r="DG485" s="370">
        <f>ROUND(IF(CL485=0,0,HLOOKUP(CL$14,Villagers!$B$1:$V$33,CL485+3,FALSE)),)</f>
        <v>0</v>
      </c>
      <c r="DH485" s="34">
        <f>ROUND(IF(CM485=0,0,HLOOKUP(CM$14,Villagers!$B$1:$V$33,CM485+3,FALSE)),)</f>
        <v>0</v>
      </c>
      <c r="DI485" s="109">
        <f t="shared" si="705"/>
        <v>0</v>
      </c>
      <c r="DJ485" s="50">
        <f t="shared" si="706"/>
        <v>0</v>
      </c>
      <c r="DK485" s="50">
        <f t="shared" si="707"/>
        <v>0</v>
      </c>
      <c r="DL485" s="50">
        <f t="shared" si="708"/>
        <v>0</v>
      </c>
      <c r="DM485" s="50">
        <f t="shared" si="709"/>
        <v>0</v>
      </c>
      <c r="DN485" s="50">
        <f t="shared" si="710"/>
        <v>0</v>
      </c>
      <c r="DO485" s="50">
        <f t="shared" si="711"/>
        <v>0</v>
      </c>
      <c r="DP485" s="50">
        <f t="shared" si="712"/>
        <v>0</v>
      </c>
      <c r="DQ485" s="50">
        <f t="shared" si="690"/>
        <v>0</v>
      </c>
      <c r="DR485" s="50">
        <f t="shared" si="691"/>
        <v>0</v>
      </c>
      <c r="DS485" s="96">
        <f>Miscelaneous!$D$4*Miscelaneous!$D$2^($CI485-1)</f>
        <v>1000</v>
      </c>
      <c r="DT485" s="333">
        <f t="shared" si="672"/>
        <v>1</v>
      </c>
      <c r="DU485" s="81">
        <v>1</v>
      </c>
      <c r="DV485" s="79">
        <f t="shared" si="692"/>
        <v>0</v>
      </c>
      <c r="DW485" s="79">
        <f t="shared" si="693"/>
        <v>0</v>
      </c>
      <c r="DX485" s="79">
        <f t="shared" si="694"/>
        <v>0</v>
      </c>
      <c r="DY485" s="79">
        <v>1</v>
      </c>
      <c r="DZ485" s="79">
        <f t="shared" si="695"/>
        <v>0</v>
      </c>
      <c r="EA485" s="79">
        <f t="shared" si="696"/>
        <v>0</v>
      </c>
      <c r="EB485" s="79">
        <f t="shared" si="697"/>
        <v>0</v>
      </c>
      <c r="EC485" s="79">
        <f t="shared" si="698"/>
        <v>0</v>
      </c>
      <c r="ED485" s="79">
        <v>1</v>
      </c>
      <c r="EE485" s="79">
        <v>1</v>
      </c>
      <c r="EF485" s="79">
        <f t="shared" si="699"/>
        <v>0</v>
      </c>
      <c r="EG485" s="79">
        <v>1</v>
      </c>
      <c r="EH485" s="79">
        <v>1</v>
      </c>
      <c r="EI485" s="79">
        <v>1</v>
      </c>
      <c r="EJ485" s="79">
        <v>1</v>
      </c>
      <c r="EK485" s="79">
        <v>1</v>
      </c>
      <c r="EL485" s="79">
        <v>1</v>
      </c>
      <c r="EM485" s="143">
        <f t="shared" si="700"/>
        <v>0</v>
      </c>
      <c r="EN485" s="143">
        <f t="shared" si="701"/>
        <v>0</v>
      </c>
      <c r="EO485" s="82">
        <f t="shared" si="702"/>
        <v>0</v>
      </c>
    </row>
    <row r="486" spans="1:145" x14ac:dyDescent="0.25">
      <c r="A486">
        <v>472</v>
      </c>
      <c r="B486" s="172" t="e">
        <f t="shared" si="673"/>
        <v>#N/A</v>
      </c>
      <c r="C486" s="121" t="e">
        <f t="shared" si="652"/>
        <v>#N/A</v>
      </c>
      <c r="D486" s="122" t="e">
        <f t="shared" si="653"/>
        <v>#N/A</v>
      </c>
      <c r="E486" s="122" t="e">
        <f t="shared" si="654"/>
        <v>#N/A</v>
      </c>
      <c r="F486" s="176" t="e">
        <f t="shared" si="655"/>
        <v>#N/A</v>
      </c>
      <c r="G486" s="121">
        <f t="shared" si="674"/>
        <v>208</v>
      </c>
      <c r="H486" s="176" t="e">
        <f t="shared" si="675"/>
        <v>#N/A</v>
      </c>
      <c r="I486" s="48">
        <v>1</v>
      </c>
      <c r="J486" s="39"/>
      <c r="K486" s="350">
        <v>1</v>
      </c>
      <c r="L486" s="34" t="e">
        <f t="shared" si="656"/>
        <v>#N/A</v>
      </c>
      <c r="M486" s="38" t="e">
        <f>(HLOOKUP(J486,'Construction Times'!$B$3:$W$34,L486+2,FALSE)*HLOOKUP("hq modifier",'Construction Times'!$W$3:$W$34,BS486+2,FALSE))*(1-$H$9)</f>
        <v>#N/A</v>
      </c>
      <c r="N486" s="443" t="e">
        <f t="shared" si="676"/>
        <v>#N/A</v>
      </c>
      <c r="O486" s="444"/>
      <c r="P486" s="447" t="e">
        <f t="shared" si="677"/>
        <v>#N/A</v>
      </c>
      <c r="Q486" s="448"/>
      <c r="R486" s="103">
        <f t="shared" si="703"/>
        <v>0</v>
      </c>
      <c r="S486" s="104">
        <f t="shared" si="703"/>
        <v>0</v>
      </c>
      <c r="T486" s="104">
        <f t="shared" si="704"/>
        <v>0</v>
      </c>
      <c r="U486" s="104">
        <f t="shared" si="704"/>
        <v>0</v>
      </c>
      <c r="V486" s="104">
        <f t="shared" si="704"/>
        <v>9.9999999999999995E-8</v>
      </c>
      <c r="W486" s="104">
        <f t="shared" si="704"/>
        <v>0</v>
      </c>
      <c r="X486" s="104">
        <f t="shared" si="651"/>
        <v>0</v>
      </c>
      <c r="Y486" s="104">
        <f t="shared" si="651"/>
        <v>9.9999999999999995E-8</v>
      </c>
      <c r="Z486" s="104">
        <f t="shared" si="651"/>
        <v>9.9999999999999995E-8</v>
      </c>
      <c r="AA486" s="105">
        <f t="shared" si="651"/>
        <v>9.9999999999999995E-8</v>
      </c>
      <c r="AB486" s="101" t="e">
        <f>$DT486*HLOOKUP($J486,'Construction Costs (timber)'!$B$1:$V$32,'Construction Planner'!$L486+2,FALSE)</f>
        <v>#N/A</v>
      </c>
      <c r="AC486" s="14" t="e">
        <f>$DT486*HLOOKUP($J486,'Construction Costs (clay)'!$B$1:$V$32,'Construction Planner'!$L486+2,FALSE)</f>
        <v>#N/A</v>
      </c>
      <c r="AD486" s="14" t="e">
        <f>$DT486*HLOOKUP($J486,'Construction Costs (iron)'!$B$1:$V$32,'Construction Planner'!$L486+2,FALSE)</f>
        <v>#N/A</v>
      </c>
      <c r="AE486" s="34" t="e">
        <f t="shared" si="713"/>
        <v>#N/A</v>
      </c>
      <c r="AF486" s="33" t="e">
        <f t="shared" si="657"/>
        <v>#N/A</v>
      </c>
      <c r="AG486" s="14" t="e">
        <f t="shared" si="658"/>
        <v>#N/A</v>
      </c>
      <c r="AH486" s="14" t="e">
        <f t="shared" si="659"/>
        <v>#N/A</v>
      </c>
      <c r="AI486" s="34" t="e">
        <f t="shared" si="714"/>
        <v>#N/A</v>
      </c>
      <c r="AJ486" s="49" t="e">
        <f t="shared" si="678"/>
        <v>#N/A</v>
      </c>
      <c r="AK486" s="49" t="e">
        <f t="shared" si="679"/>
        <v>#N/A</v>
      </c>
      <c r="AL486" s="49" t="e">
        <f t="shared" si="680"/>
        <v>#N/A</v>
      </c>
      <c r="AM486" s="25">
        <f t="shared" si="660"/>
        <v>30</v>
      </c>
      <c r="AN486" s="25">
        <f t="shared" si="661"/>
        <v>30</v>
      </c>
      <c r="AO486" s="25">
        <f t="shared" si="662"/>
        <v>30</v>
      </c>
      <c r="AP486" s="52" t="e">
        <f t="shared" si="681"/>
        <v>#N/A</v>
      </c>
      <c r="AQ486" s="53" t="e">
        <f t="shared" si="681"/>
        <v>#N/A</v>
      </c>
      <c r="AR486" s="54" t="e">
        <f t="shared" si="681"/>
        <v>#N/A</v>
      </c>
      <c r="AS486" s="316">
        <f t="shared" si="721"/>
        <v>0</v>
      </c>
      <c r="AT486" s="106">
        <f>_xlfn.IFNA($M486/VLOOKUP($BT486,'Unit information'!$A$2:$K$29,2,FALSE)*R486,0)*(1+$E$9)</f>
        <v>0</v>
      </c>
      <c r="AU486" s="107">
        <f>_xlfn.IFNA($M486/VLOOKUP($BT486,'Unit information'!$A$2:$K$29,3,FALSE)*S486,0)*(1+$E$9)</f>
        <v>0</v>
      </c>
      <c r="AV486" s="107">
        <f>_xlfn.IFNA($M486/VLOOKUP($BT486,'Unit information'!$A$2:$K$29,4,FALSE)*T486,0)*(1+$E$9)</f>
        <v>0</v>
      </c>
      <c r="AW486" s="107">
        <f>_xlfn.IFNA($M486/VLOOKUP($BT486,'Unit information'!$A$2:$K$29,5,FALSE)*U486,0)*(1+$E$9)</f>
        <v>0</v>
      </c>
      <c r="AX486" s="107">
        <f>_xlfn.IFNA($M486/VLOOKUP($BU486,'Unit information'!$A$2:$K$29,6,FALSE)*V486,0)*(1+$E$9)</f>
        <v>0</v>
      </c>
      <c r="AY486" s="107">
        <f>_xlfn.IFNA($M486/VLOOKUP($BU486,'Unit information'!$A$2:$K$29,7,FALSE)*W486,0)*(1+$E$9)</f>
        <v>0</v>
      </c>
      <c r="AZ486" s="107">
        <f>_xlfn.IFNA($M486/VLOOKUP($BU486,'Unit information'!$A$2:$K$29,8,FALSE)*X486,0)*(1+$E$9)</f>
        <v>0</v>
      </c>
      <c r="BA486" s="107">
        <f>_xlfn.IFNA($M486/VLOOKUP($BU486,'Unit information'!$A$2:$K$29,9,FALSE)*Y486,0)*(1+$E$9)</f>
        <v>0</v>
      </c>
      <c r="BB486" s="107">
        <f>_xlfn.IFNA($M486/VLOOKUP($BV486,'Unit information'!$A$2:$K$29,10,FALSE)*Z486,0)*(1+$E$9)</f>
        <v>0</v>
      </c>
      <c r="BC486" s="108">
        <f>_xlfn.IFNA($M486/VLOOKUP($BV486,'Unit information'!$A$2:$K$29,11,FALSE)*AA486,0)*(1+$E$9)</f>
        <v>0</v>
      </c>
      <c r="BD486" s="106">
        <f t="shared" si="663"/>
        <v>0</v>
      </c>
      <c r="BE486" s="107">
        <f t="shared" si="664"/>
        <v>0</v>
      </c>
      <c r="BF486" s="108">
        <f t="shared" si="665"/>
        <v>0</v>
      </c>
      <c r="BG486" s="25" t="e">
        <f t="shared" si="666"/>
        <v>#N/A</v>
      </c>
      <c r="BH486" s="25" t="e">
        <f t="shared" si="667"/>
        <v>#N/A</v>
      </c>
      <c r="BI486" s="25" t="e">
        <f t="shared" si="668"/>
        <v>#N/A</v>
      </c>
      <c r="BJ486" s="27" t="e">
        <f t="shared" si="669"/>
        <v>#N/A</v>
      </c>
      <c r="BK486" s="18" t="e">
        <f t="shared" si="670"/>
        <v>#N/A</v>
      </c>
      <c r="BL486" s="18" t="e">
        <f t="shared" si="671"/>
        <v>#N/A</v>
      </c>
      <c r="BM486" s="28" t="e">
        <f t="shared" si="716"/>
        <v>#N/A</v>
      </c>
      <c r="BN486" s="33">
        <f>HLOOKUP("maximum population",Miscelaneous!$C$1:$C$33,CH486+3,FALSE)</f>
        <v>240</v>
      </c>
      <c r="BO486" s="14">
        <f t="shared" si="682"/>
        <v>32</v>
      </c>
      <c r="BP486" s="14">
        <f t="shared" si="683"/>
        <v>0</v>
      </c>
      <c r="BQ486" s="14">
        <f t="shared" si="684"/>
        <v>208</v>
      </c>
      <c r="BR486" s="34" t="e">
        <f>HLOOKUP(J486,Villagers!$B$1:$V$33,L486+3,FALSE)-HLOOKUP(J486,Villagers!$B$1:$V$33,L486+2,FALSE)</f>
        <v>#N/A</v>
      </c>
      <c r="BS486" s="49">
        <f t="shared" si="719"/>
        <v>1</v>
      </c>
      <c r="BT486" s="50">
        <f t="shared" si="719"/>
        <v>0</v>
      </c>
      <c r="BU486" s="50">
        <f t="shared" si="719"/>
        <v>0</v>
      </c>
      <c r="BV486" s="50">
        <f t="shared" si="719"/>
        <v>0</v>
      </c>
      <c r="BW486" s="50">
        <f t="shared" si="717"/>
        <v>0</v>
      </c>
      <c r="BX486" s="50">
        <f t="shared" si="718"/>
        <v>0</v>
      </c>
      <c r="BY486" s="50">
        <f t="shared" si="718"/>
        <v>0</v>
      </c>
      <c r="BZ486" s="50">
        <f t="shared" si="719"/>
        <v>0</v>
      </c>
      <c r="CA486" s="50">
        <f t="shared" si="719"/>
        <v>0</v>
      </c>
      <c r="CB486" s="50">
        <f t="shared" si="719"/>
        <v>1</v>
      </c>
      <c r="CC486" s="50">
        <f t="shared" si="719"/>
        <v>0</v>
      </c>
      <c r="CD486" s="50">
        <f t="shared" si="719"/>
        <v>0</v>
      </c>
      <c r="CE486" s="50">
        <f t="shared" si="719"/>
        <v>1</v>
      </c>
      <c r="CF486" s="50">
        <f t="shared" si="719"/>
        <v>1</v>
      </c>
      <c r="CG486" s="50">
        <f t="shared" si="719"/>
        <v>1</v>
      </c>
      <c r="CH486" s="50">
        <f t="shared" si="719"/>
        <v>1</v>
      </c>
      <c r="CI486" s="50">
        <f t="shared" si="719"/>
        <v>1</v>
      </c>
      <c r="CJ486" s="50">
        <f t="shared" si="719"/>
        <v>1</v>
      </c>
      <c r="CK486" s="50">
        <f t="shared" si="720"/>
        <v>0</v>
      </c>
      <c r="CL486" s="50">
        <f t="shared" si="720"/>
        <v>0</v>
      </c>
      <c r="CM486" s="51">
        <f t="shared" si="719"/>
        <v>0</v>
      </c>
      <c r="CN486" s="33">
        <f>ROUND(IF(BS486=0,0,HLOOKUP(BS$14,Villagers!$B$1:$V$33,BS486+3,FALSE)),)</f>
        <v>5</v>
      </c>
      <c r="CO486" s="14">
        <f>ROUND(IF(BT486=0,0,HLOOKUP(BT$14,Villagers!$B$1:$V$33,BT486+3,FALSE)),)</f>
        <v>0</v>
      </c>
      <c r="CP486" s="14">
        <f>ROUND(IF(BU486=0,0,HLOOKUP(BU$14,Villagers!$B$1:$V$33,BU486+3,FALSE)),)</f>
        <v>0</v>
      </c>
      <c r="CQ486" s="14">
        <f>ROUND(IF(BV486=0,0,HLOOKUP(BV$14,Villagers!$B$1:$V$33,BV486+3,FALSE)),)</f>
        <v>0</v>
      </c>
      <c r="CR486" s="14">
        <f>ROUND(IF(BW486=0,0,HLOOKUP(BW$14,Villagers!$B$1:$V$33,BW486+3,FALSE)),)</f>
        <v>0</v>
      </c>
      <c r="CS486" s="14">
        <f>ROUND(IF(BX486=0,0,HLOOKUP(BX$14,Villagers!$B$1:$V$33,BX486+3,FALSE)),)</f>
        <v>0</v>
      </c>
      <c r="CT486" s="14">
        <f>ROUND(IF(BY486=0,0,HLOOKUP(BY$14,Villagers!$B$1:$V$33,BY486+3,FALSE)),)</f>
        <v>0</v>
      </c>
      <c r="CU486" s="14">
        <f>ROUND(IF(BZ486=0,0,HLOOKUP(BZ$14,Villagers!$B$1:$V$33,BZ486+3,FALSE)),)</f>
        <v>0</v>
      </c>
      <c r="CV486" s="14">
        <f>ROUND(IF(CA486=0,0,HLOOKUP(CA$14,Villagers!$B$1:$V$33,CA486+3,FALSE)),)</f>
        <v>0</v>
      </c>
      <c r="CW486" s="14">
        <f>ROUND(IF(CB486=0,0,HLOOKUP(CB$14,Villagers!$B$1:$V$33,CB486+3,FALSE)),)</f>
        <v>0</v>
      </c>
      <c r="CX486" s="14">
        <f>ROUND(IF(CC486=0,0,HLOOKUP(CC$14,Villagers!$B$1:$V$33,CC486+3,FALSE)),)</f>
        <v>0</v>
      </c>
      <c r="CY486" s="14">
        <f>ROUND(IF(CD486=0,0,HLOOKUP(CD$14,Villagers!$B$1:$V$33,CD486+3,FALSE)),)</f>
        <v>0</v>
      </c>
      <c r="CZ486" s="14">
        <f>ROUND(IF(CE486=0,0,HLOOKUP(CE$14,Villagers!$B$1:$V$33,CE486+3,FALSE)),)</f>
        <v>5</v>
      </c>
      <c r="DA486" s="14">
        <f>ROUND(IF(CF486=0,0,HLOOKUP(CF$14,Villagers!$B$1:$V$33,CF486+3,FALSE)),)</f>
        <v>10</v>
      </c>
      <c r="DB486" s="14">
        <f>ROUND(IF(CG486=0,0,HLOOKUP(CG$14,Villagers!$B$1:$V$33,CG486+3,FALSE)),)</f>
        <v>10</v>
      </c>
      <c r="DC486" s="14">
        <f>ROUND(IF(CH486=0,0,HLOOKUP(CH$14,Villagers!$B$1:$V$33,CH486+3,FALSE)),)</f>
        <v>0</v>
      </c>
      <c r="DD486" s="14">
        <f>ROUND(IF(CI486=0,0,HLOOKUP(CI$14,Villagers!$B$1:$V$33,CI486+3,FALSE)),)</f>
        <v>0</v>
      </c>
      <c r="DE486" s="14">
        <f>ROUND(IF(CJ486=0,0,HLOOKUP(CJ$14,Villagers!$B$1:$V$33,CJ486+3,FALSE)),)</f>
        <v>2</v>
      </c>
      <c r="DF486" s="370">
        <f>ROUND(IF(CK486=0,0,HLOOKUP(CK$14,Villagers!$B$1:$V$33,CK486+3,FALSE)),)</f>
        <v>0</v>
      </c>
      <c r="DG486" s="370">
        <f>ROUND(IF(CL486=0,0,HLOOKUP(CL$14,Villagers!$B$1:$V$33,CL486+3,FALSE)),)</f>
        <v>0</v>
      </c>
      <c r="DH486" s="34">
        <f>ROUND(IF(CM486=0,0,HLOOKUP(CM$14,Villagers!$B$1:$V$33,CM486+3,FALSE)),)</f>
        <v>0</v>
      </c>
      <c r="DI486" s="109">
        <f t="shared" si="705"/>
        <v>0</v>
      </c>
      <c r="DJ486" s="50">
        <f t="shared" si="706"/>
        <v>0</v>
      </c>
      <c r="DK486" s="50">
        <f t="shared" si="707"/>
        <v>0</v>
      </c>
      <c r="DL486" s="50">
        <f t="shared" si="708"/>
        <v>0</v>
      </c>
      <c r="DM486" s="50">
        <f t="shared" si="709"/>
        <v>0</v>
      </c>
      <c r="DN486" s="50">
        <f t="shared" si="710"/>
        <v>0</v>
      </c>
      <c r="DO486" s="50">
        <f t="shared" si="711"/>
        <v>0</v>
      </c>
      <c r="DP486" s="50">
        <f t="shared" si="712"/>
        <v>0</v>
      </c>
      <c r="DQ486" s="50">
        <f t="shared" si="690"/>
        <v>0</v>
      </c>
      <c r="DR486" s="50">
        <f t="shared" si="691"/>
        <v>0</v>
      </c>
      <c r="DS486" s="96">
        <f>Miscelaneous!$D$4*Miscelaneous!$D$2^($CI486-1)</f>
        <v>1000</v>
      </c>
      <c r="DT486" s="333">
        <f t="shared" si="672"/>
        <v>1</v>
      </c>
      <c r="DU486" s="81">
        <v>1</v>
      </c>
      <c r="DV486" s="79">
        <f t="shared" si="692"/>
        <v>0</v>
      </c>
      <c r="DW486" s="79">
        <f t="shared" si="693"/>
        <v>0</v>
      </c>
      <c r="DX486" s="79">
        <f t="shared" si="694"/>
        <v>0</v>
      </c>
      <c r="DY486" s="79">
        <v>1</v>
      </c>
      <c r="DZ486" s="79">
        <f t="shared" si="695"/>
        <v>0</v>
      </c>
      <c r="EA486" s="79">
        <f t="shared" si="696"/>
        <v>0</v>
      </c>
      <c r="EB486" s="79">
        <f t="shared" si="697"/>
        <v>0</v>
      </c>
      <c r="EC486" s="79">
        <f t="shared" si="698"/>
        <v>0</v>
      </c>
      <c r="ED486" s="79">
        <v>1</v>
      </c>
      <c r="EE486" s="79">
        <v>1</v>
      </c>
      <c r="EF486" s="79">
        <f t="shared" si="699"/>
        <v>0</v>
      </c>
      <c r="EG486" s="79">
        <v>1</v>
      </c>
      <c r="EH486" s="79">
        <v>1</v>
      </c>
      <c r="EI486" s="79">
        <v>1</v>
      </c>
      <c r="EJ486" s="79">
        <v>1</v>
      </c>
      <c r="EK486" s="79">
        <v>1</v>
      </c>
      <c r="EL486" s="79">
        <v>1</v>
      </c>
      <c r="EM486" s="143">
        <f t="shared" si="700"/>
        <v>0</v>
      </c>
      <c r="EN486" s="143">
        <f t="shared" si="701"/>
        <v>0</v>
      </c>
      <c r="EO486" s="82">
        <f t="shared" si="702"/>
        <v>0</v>
      </c>
    </row>
    <row r="487" spans="1:145" x14ac:dyDescent="0.25">
      <c r="A487">
        <v>473</v>
      </c>
      <c r="B487" s="172" t="e">
        <f t="shared" si="673"/>
        <v>#N/A</v>
      </c>
      <c r="C487" s="121" t="e">
        <f t="shared" si="652"/>
        <v>#N/A</v>
      </c>
      <c r="D487" s="122" t="e">
        <f t="shared" si="653"/>
        <v>#N/A</v>
      </c>
      <c r="E487" s="122" t="e">
        <f t="shared" si="654"/>
        <v>#N/A</v>
      </c>
      <c r="F487" s="176" t="e">
        <f t="shared" si="655"/>
        <v>#N/A</v>
      </c>
      <c r="G487" s="121">
        <f t="shared" si="674"/>
        <v>208</v>
      </c>
      <c r="H487" s="176" t="e">
        <f t="shared" si="675"/>
        <v>#N/A</v>
      </c>
      <c r="I487" s="48">
        <v>1</v>
      </c>
      <c r="J487" s="39"/>
      <c r="K487" s="350">
        <v>1</v>
      </c>
      <c r="L487" s="34" t="e">
        <f t="shared" si="656"/>
        <v>#N/A</v>
      </c>
      <c r="M487" s="38" t="e">
        <f>(HLOOKUP(J487,'Construction Times'!$B$3:$W$34,L487+2,FALSE)*HLOOKUP("hq modifier",'Construction Times'!$W$3:$W$34,BS487+2,FALSE))*(1-$H$9)</f>
        <v>#N/A</v>
      </c>
      <c r="N487" s="443" t="e">
        <f t="shared" si="676"/>
        <v>#N/A</v>
      </c>
      <c r="O487" s="444"/>
      <c r="P487" s="447" t="e">
        <f t="shared" si="677"/>
        <v>#N/A</v>
      </c>
      <c r="Q487" s="448"/>
      <c r="R487" s="103">
        <f t="shared" si="703"/>
        <v>0</v>
      </c>
      <c r="S487" s="104">
        <f t="shared" si="703"/>
        <v>0</v>
      </c>
      <c r="T487" s="104">
        <f t="shared" si="704"/>
        <v>0</v>
      </c>
      <c r="U487" s="104">
        <f t="shared" si="704"/>
        <v>0</v>
      </c>
      <c r="V487" s="104">
        <f t="shared" si="704"/>
        <v>9.9999999999999995E-8</v>
      </c>
      <c r="W487" s="104">
        <f t="shared" si="704"/>
        <v>0</v>
      </c>
      <c r="X487" s="104">
        <f t="shared" si="651"/>
        <v>0</v>
      </c>
      <c r="Y487" s="104">
        <f t="shared" si="651"/>
        <v>9.9999999999999995E-8</v>
      </c>
      <c r="Z487" s="104">
        <f t="shared" si="651"/>
        <v>9.9999999999999995E-8</v>
      </c>
      <c r="AA487" s="105">
        <f t="shared" si="651"/>
        <v>9.9999999999999995E-8</v>
      </c>
      <c r="AB487" s="101" t="e">
        <f>$DT487*HLOOKUP($J487,'Construction Costs (timber)'!$B$1:$V$32,'Construction Planner'!$L487+2,FALSE)</f>
        <v>#N/A</v>
      </c>
      <c r="AC487" s="14" t="e">
        <f>$DT487*HLOOKUP($J487,'Construction Costs (clay)'!$B$1:$V$32,'Construction Planner'!$L487+2,FALSE)</f>
        <v>#N/A</v>
      </c>
      <c r="AD487" s="14" t="e">
        <f>$DT487*HLOOKUP($J487,'Construction Costs (iron)'!$B$1:$V$32,'Construction Planner'!$L487+2,FALSE)</f>
        <v>#N/A</v>
      </c>
      <c r="AE487" s="34" t="e">
        <f t="shared" si="713"/>
        <v>#N/A</v>
      </c>
      <c r="AF487" s="33" t="e">
        <f t="shared" si="657"/>
        <v>#N/A</v>
      </c>
      <c r="AG487" s="14" t="e">
        <f t="shared" si="658"/>
        <v>#N/A</v>
      </c>
      <c r="AH487" s="14" t="e">
        <f t="shared" si="659"/>
        <v>#N/A</v>
      </c>
      <c r="AI487" s="34" t="e">
        <f t="shared" si="714"/>
        <v>#N/A</v>
      </c>
      <c r="AJ487" s="49" t="e">
        <f t="shared" si="678"/>
        <v>#N/A</v>
      </c>
      <c r="AK487" s="49" t="e">
        <f t="shared" si="679"/>
        <v>#N/A</v>
      </c>
      <c r="AL487" s="49" t="e">
        <f t="shared" si="680"/>
        <v>#N/A</v>
      </c>
      <c r="AM487" s="25">
        <f t="shared" si="660"/>
        <v>30</v>
      </c>
      <c r="AN487" s="25">
        <f t="shared" si="661"/>
        <v>30</v>
      </c>
      <c r="AO487" s="25">
        <f t="shared" si="662"/>
        <v>30</v>
      </c>
      <c r="AP487" s="52" t="e">
        <f t="shared" si="681"/>
        <v>#N/A</v>
      </c>
      <c r="AQ487" s="53" t="e">
        <f t="shared" si="681"/>
        <v>#N/A</v>
      </c>
      <c r="AR487" s="54" t="e">
        <f t="shared" si="681"/>
        <v>#N/A</v>
      </c>
      <c r="AS487" s="316">
        <f t="shared" si="721"/>
        <v>0</v>
      </c>
      <c r="AT487" s="106">
        <f>_xlfn.IFNA($M487/VLOOKUP($BT487,'Unit information'!$A$2:$K$29,2,FALSE)*R487,0)*(1+$E$9)</f>
        <v>0</v>
      </c>
      <c r="AU487" s="107">
        <f>_xlfn.IFNA($M487/VLOOKUP($BT487,'Unit information'!$A$2:$K$29,3,FALSE)*S487,0)*(1+$E$9)</f>
        <v>0</v>
      </c>
      <c r="AV487" s="107">
        <f>_xlfn.IFNA($M487/VLOOKUP($BT487,'Unit information'!$A$2:$K$29,4,FALSE)*T487,0)*(1+$E$9)</f>
        <v>0</v>
      </c>
      <c r="AW487" s="107">
        <f>_xlfn.IFNA($M487/VLOOKUP($BT487,'Unit information'!$A$2:$K$29,5,FALSE)*U487,0)*(1+$E$9)</f>
        <v>0</v>
      </c>
      <c r="AX487" s="107">
        <f>_xlfn.IFNA($M487/VLOOKUP($BU487,'Unit information'!$A$2:$K$29,6,FALSE)*V487,0)*(1+$E$9)</f>
        <v>0</v>
      </c>
      <c r="AY487" s="107">
        <f>_xlfn.IFNA($M487/VLOOKUP($BU487,'Unit information'!$A$2:$K$29,7,FALSE)*W487,0)*(1+$E$9)</f>
        <v>0</v>
      </c>
      <c r="AZ487" s="107">
        <f>_xlfn.IFNA($M487/VLOOKUP($BU487,'Unit information'!$A$2:$K$29,8,FALSE)*X487,0)*(1+$E$9)</f>
        <v>0</v>
      </c>
      <c r="BA487" s="107">
        <f>_xlfn.IFNA($M487/VLOOKUP($BU487,'Unit information'!$A$2:$K$29,9,FALSE)*Y487,0)*(1+$E$9)</f>
        <v>0</v>
      </c>
      <c r="BB487" s="107">
        <f>_xlfn.IFNA($M487/VLOOKUP($BV487,'Unit information'!$A$2:$K$29,10,FALSE)*Z487,0)*(1+$E$9)</f>
        <v>0</v>
      </c>
      <c r="BC487" s="108">
        <f>_xlfn.IFNA($M487/VLOOKUP($BV487,'Unit information'!$A$2:$K$29,11,FALSE)*AA487,0)*(1+$E$9)</f>
        <v>0</v>
      </c>
      <c r="BD487" s="106">
        <f t="shared" si="663"/>
        <v>0</v>
      </c>
      <c r="BE487" s="107">
        <f t="shared" si="664"/>
        <v>0</v>
      </c>
      <c r="BF487" s="108">
        <f t="shared" si="665"/>
        <v>0</v>
      </c>
      <c r="BG487" s="25" t="e">
        <f t="shared" si="666"/>
        <v>#N/A</v>
      </c>
      <c r="BH487" s="25" t="e">
        <f t="shared" si="667"/>
        <v>#N/A</v>
      </c>
      <c r="BI487" s="25" t="e">
        <f t="shared" si="668"/>
        <v>#N/A</v>
      </c>
      <c r="BJ487" s="27" t="e">
        <f t="shared" si="669"/>
        <v>#N/A</v>
      </c>
      <c r="BK487" s="18" t="e">
        <f t="shared" si="670"/>
        <v>#N/A</v>
      </c>
      <c r="BL487" s="18" t="e">
        <f t="shared" si="671"/>
        <v>#N/A</v>
      </c>
      <c r="BM487" s="28" t="e">
        <f t="shared" si="716"/>
        <v>#N/A</v>
      </c>
      <c r="BN487" s="33">
        <f>HLOOKUP("maximum population",Miscelaneous!$C$1:$C$33,CH487+3,FALSE)</f>
        <v>240</v>
      </c>
      <c r="BO487" s="14">
        <f t="shared" si="682"/>
        <v>32</v>
      </c>
      <c r="BP487" s="14">
        <f t="shared" si="683"/>
        <v>0</v>
      </c>
      <c r="BQ487" s="14">
        <f t="shared" si="684"/>
        <v>208</v>
      </c>
      <c r="BR487" s="34" t="e">
        <f>HLOOKUP(J487,Villagers!$B$1:$V$33,L487+3,FALSE)-HLOOKUP(J487,Villagers!$B$1:$V$33,L487+2,FALSE)</f>
        <v>#N/A</v>
      </c>
      <c r="BS487" s="49">
        <f t="shared" si="719"/>
        <v>1</v>
      </c>
      <c r="BT487" s="50">
        <f t="shared" si="719"/>
        <v>0</v>
      </c>
      <c r="BU487" s="50">
        <f t="shared" si="719"/>
        <v>0</v>
      </c>
      <c r="BV487" s="50">
        <f t="shared" si="719"/>
        <v>0</v>
      </c>
      <c r="BW487" s="50">
        <f t="shared" si="717"/>
        <v>0</v>
      </c>
      <c r="BX487" s="50">
        <f t="shared" si="718"/>
        <v>0</v>
      </c>
      <c r="BY487" s="50">
        <f t="shared" si="718"/>
        <v>0</v>
      </c>
      <c r="BZ487" s="50">
        <f t="shared" si="719"/>
        <v>0</v>
      </c>
      <c r="CA487" s="50">
        <f t="shared" si="719"/>
        <v>0</v>
      </c>
      <c r="CB487" s="50">
        <f t="shared" si="719"/>
        <v>1</v>
      </c>
      <c r="CC487" s="50">
        <f t="shared" si="719"/>
        <v>0</v>
      </c>
      <c r="CD487" s="50">
        <f t="shared" si="719"/>
        <v>0</v>
      </c>
      <c r="CE487" s="50">
        <f t="shared" si="719"/>
        <v>1</v>
      </c>
      <c r="CF487" s="50">
        <f t="shared" si="719"/>
        <v>1</v>
      </c>
      <c r="CG487" s="50">
        <f t="shared" si="719"/>
        <v>1</v>
      </c>
      <c r="CH487" s="50">
        <f t="shared" si="719"/>
        <v>1</v>
      </c>
      <c r="CI487" s="50">
        <f t="shared" si="719"/>
        <v>1</v>
      </c>
      <c r="CJ487" s="50">
        <f t="shared" si="719"/>
        <v>1</v>
      </c>
      <c r="CK487" s="50">
        <f t="shared" si="720"/>
        <v>0</v>
      </c>
      <c r="CL487" s="50">
        <f t="shared" si="720"/>
        <v>0</v>
      </c>
      <c r="CM487" s="51">
        <f t="shared" si="719"/>
        <v>0</v>
      </c>
      <c r="CN487" s="33">
        <f>ROUND(IF(BS487=0,0,HLOOKUP(BS$14,Villagers!$B$1:$V$33,BS487+3,FALSE)),)</f>
        <v>5</v>
      </c>
      <c r="CO487" s="14">
        <f>ROUND(IF(BT487=0,0,HLOOKUP(BT$14,Villagers!$B$1:$V$33,BT487+3,FALSE)),)</f>
        <v>0</v>
      </c>
      <c r="CP487" s="14">
        <f>ROUND(IF(BU487=0,0,HLOOKUP(BU$14,Villagers!$B$1:$V$33,BU487+3,FALSE)),)</f>
        <v>0</v>
      </c>
      <c r="CQ487" s="14">
        <f>ROUND(IF(BV487=0,0,HLOOKUP(BV$14,Villagers!$B$1:$V$33,BV487+3,FALSE)),)</f>
        <v>0</v>
      </c>
      <c r="CR487" s="14">
        <f>ROUND(IF(BW487=0,0,HLOOKUP(BW$14,Villagers!$B$1:$V$33,BW487+3,FALSE)),)</f>
        <v>0</v>
      </c>
      <c r="CS487" s="14">
        <f>ROUND(IF(BX487=0,0,HLOOKUP(BX$14,Villagers!$B$1:$V$33,BX487+3,FALSE)),)</f>
        <v>0</v>
      </c>
      <c r="CT487" s="14">
        <f>ROUND(IF(BY487=0,0,HLOOKUP(BY$14,Villagers!$B$1:$V$33,BY487+3,FALSE)),)</f>
        <v>0</v>
      </c>
      <c r="CU487" s="14">
        <f>ROUND(IF(BZ487=0,0,HLOOKUP(BZ$14,Villagers!$B$1:$V$33,BZ487+3,FALSE)),)</f>
        <v>0</v>
      </c>
      <c r="CV487" s="14">
        <f>ROUND(IF(CA487=0,0,HLOOKUP(CA$14,Villagers!$B$1:$V$33,CA487+3,FALSE)),)</f>
        <v>0</v>
      </c>
      <c r="CW487" s="14">
        <f>ROUND(IF(CB487=0,0,HLOOKUP(CB$14,Villagers!$B$1:$V$33,CB487+3,FALSE)),)</f>
        <v>0</v>
      </c>
      <c r="CX487" s="14">
        <f>ROUND(IF(CC487=0,0,HLOOKUP(CC$14,Villagers!$B$1:$V$33,CC487+3,FALSE)),)</f>
        <v>0</v>
      </c>
      <c r="CY487" s="14">
        <f>ROUND(IF(CD487=0,0,HLOOKUP(CD$14,Villagers!$B$1:$V$33,CD487+3,FALSE)),)</f>
        <v>0</v>
      </c>
      <c r="CZ487" s="14">
        <f>ROUND(IF(CE487=0,0,HLOOKUP(CE$14,Villagers!$B$1:$V$33,CE487+3,FALSE)),)</f>
        <v>5</v>
      </c>
      <c r="DA487" s="14">
        <f>ROUND(IF(CF487=0,0,HLOOKUP(CF$14,Villagers!$B$1:$V$33,CF487+3,FALSE)),)</f>
        <v>10</v>
      </c>
      <c r="DB487" s="14">
        <f>ROUND(IF(CG487=0,0,HLOOKUP(CG$14,Villagers!$B$1:$V$33,CG487+3,FALSE)),)</f>
        <v>10</v>
      </c>
      <c r="DC487" s="14">
        <f>ROUND(IF(CH487=0,0,HLOOKUP(CH$14,Villagers!$B$1:$V$33,CH487+3,FALSE)),)</f>
        <v>0</v>
      </c>
      <c r="DD487" s="14">
        <f>ROUND(IF(CI487=0,0,HLOOKUP(CI$14,Villagers!$B$1:$V$33,CI487+3,FALSE)),)</f>
        <v>0</v>
      </c>
      <c r="DE487" s="14">
        <f>ROUND(IF(CJ487=0,0,HLOOKUP(CJ$14,Villagers!$B$1:$V$33,CJ487+3,FALSE)),)</f>
        <v>2</v>
      </c>
      <c r="DF487" s="370">
        <f>ROUND(IF(CK487=0,0,HLOOKUP(CK$14,Villagers!$B$1:$V$33,CK487+3,FALSE)),)</f>
        <v>0</v>
      </c>
      <c r="DG487" s="370">
        <f>ROUND(IF(CL487=0,0,HLOOKUP(CL$14,Villagers!$B$1:$V$33,CL487+3,FALSE)),)</f>
        <v>0</v>
      </c>
      <c r="DH487" s="34">
        <f>ROUND(IF(CM487=0,0,HLOOKUP(CM$14,Villagers!$B$1:$V$33,CM487+3,FALSE)),)</f>
        <v>0</v>
      </c>
      <c r="DI487" s="109">
        <f t="shared" si="705"/>
        <v>0</v>
      </c>
      <c r="DJ487" s="50">
        <f t="shared" si="706"/>
        <v>0</v>
      </c>
      <c r="DK487" s="50">
        <f t="shared" si="707"/>
        <v>0</v>
      </c>
      <c r="DL487" s="50">
        <f t="shared" si="708"/>
        <v>0</v>
      </c>
      <c r="DM487" s="50">
        <f t="shared" si="709"/>
        <v>0</v>
      </c>
      <c r="DN487" s="50">
        <f t="shared" si="710"/>
        <v>0</v>
      </c>
      <c r="DO487" s="50">
        <f t="shared" si="711"/>
        <v>0</v>
      </c>
      <c r="DP487" s="50">
        <f t="shared" si="712"/>
        <v>0</v>
      </c>
      <c r="DQ487" s="50">
        <f t="shared" si="690"/>
        <v>0</v>
      </c>
      <c r="DR487" s="50">
        <f t="shared" si="691"/>
        <v>0</v>
      </c>
      <c r="DS487" s="96">
        <f>Miscelaneous!$D$4*Miscelaneous!$D$2^($CI487-1)</f>
        <v>1000</v>
      </c>
      <c r="DT487" s="333">
        <f t="shared" si="672"/>
        <v>1</v>
      </c>
      <c r="DU487" s="81">
        <v>1</v>
      </c>
      <c r="DV487" s="79">
        <f t="shared" si="692"/>
        <v>0</v>
      </c>
      <c r="DW487" s="79">
        <f t="shared" si="693"/>
        <v>0</v>
      </c>
      <c r="DX487" s="79">
        <f t="shared" si="694"/>
        <v>0</v>
      </c>
      <c r="DY487" s="79">
        <v>1</v>
      </c>
      <c r="DZ487" s="79">
        <f t="shared" si="695"/>
        <v>0</v>
      </c>
      <c r="EA487" s="79">
        <f t="shared" si="696"/>
        <v>0</v>
      </c>
      <c r="EB487" s="79">
        <f t="shared" si="697"/>
        <v>0</v>
      </c>
      <c r="EC487" s="79">
        <f t="shared" si="698"/>
        <v>0</v>
      </c>
      <c r="ED487" s="79">
        <v>1</v>
      </c>
      <c r="EE487" s="79">
        <v>1</v>
      </c>
      <c r="EF487" s="79">
        <f t="shared" si="699"/>
        <v>0</v>
      </c>
      <c r="EG487" s="79">
        <v>1</v>
      </c>
      <c r="EH487" s="79">
        <v>1</v>
      </c>
      <c r="EI487" s="79">
        <v>1</v>
      </c>
      <c r="EJ487" s="79">
        <v>1</v>
      </c>
      <c r="EK487" s="79">
        <v>1</v>
      </c>
      <c r="EL487" s="79">
        <v>1</v>
      </c>
      <c r="EM487" s="143">
        <f t="shared" si="700"/>
        <v>0</v>
      </c>
      <c r="EN487" s="143">
        <f t="shared" si="701"/>
        <v>0</v>
      </c>
      <c r="EO487" s="82">
        <f t="shared" si="702"/>
        <v>0</v>
      </c>
    </row>
    <row r="488" spans="1:145" x14ac:dyDescent="0.25">
      <c r="A488">
        <v>474</v>
      </c>
      <c r="B488" s="172" t="e">
        <f t="shared" si="673"/>
        <v>#N/A</v>
      </c>
      <c r="C488" s="121" t="e">
        <f t="shared" si="652"/>
        <v>#N/A</v>
      </c>
      <c r="D488" s="122" t="e">
        <f t="shared" si="653"/>
        <v>#N/A</v>
      </c>
      <c r="E488" s="122" t="e">
        <f t="shared" si="654"/>
        <v>#N/A</v>
      </c>
      <c r="F488" s="176" t="e">
        <f t="shared" si="655"/>
        <v>#N/A</v>
      </c>
      <c r="G488" s="121">
        <f t="shared" si="674"/>
        <v>208</v>
      </c>
      <c r="H488" s="176" t="e">
        <f t="shared" si="675"/>
        <v>#N/A</v>
      </c>
      <c r="I488" s="48">
        <v>1</v>
      </c>
      <c r="J488" s="39"/>
      <c r="K488" s="350">
        <v>1</v>
      </c>
      <c r="L488" s="34" t="e">
        <f t="shared" si="656"/>
        <v>#N/A</v>
      </c>
      <c r="M488" s="38" t="e">
        <f>(HLOOKUP(J488,'Construction Times'!$B$3:$W$34,L488+2,FALSE)*HLOOKUP("hq modifier",'Construction Times'!$W$3:$W$34,BS488+2,FALSE))*(1-$H$9)</f>
        <v>#N/A</v>
      </c>
      <c r="N488" s="443" t="e">
        <f t="shared" si="676"/>
        <v>#N/A</v>
      </c>
      <c r="O488" s="444"/>
      <c r="P488" s="447" t="e">
        <f t="shared" si="677"/>
        <v>#N/A</v>
      </c>
      <c r="Q488" s="448"/>
      <c r="R488" s="103">
        <f t="shared" si="703"/>
        <v>0</v>
      </c>
      <c r="S488" s="104">
        <f t="shared" si="703"/>
        <v>0</v>
      </c>
      <c r="T488" s="104">
        <f t="shared" si="704"/>
        <v>0</v>
      </c>
      <c r="U488" s="104">
        <f t="shared" si="704"/>
        <v>0</v>
      </c>
      <c r="V488" s="104">
        <f t="shared" si="704"/>
        <v>9.9999999999999995E-8</v>
      </c>
      <c r="W488" s="104">
        <f t="shared" si="704"/>
        <v>0</v>
      </c>
      <c r="X488" s="104">
        <f t="shared" si="651"/>
        <v>0</v>
      </c>
      <c r="Y488" s="104">
        <f t="shared" si="651"/>
        <v>9.9999999999999995E-8</v>
      </c>
      <c r="Z488" s="104">
        <f t="shared" si="651"/>
        <v>9.9999999999999995E-8</v>
      </c>
      <c r="AA488" s="105">
        <f t="shared" si="651"/>
        <v>9.9999999999999995E-8</v>
      </c>
      <c r="AB488" s="101" t="e">
        <f>$DT488*HLOOKUP($J488,'Construction Costs (timber)'!$B$1:$V$32,'Construction Planner'!$L488+2,FALSE)</f>
        <v>#N/A</v>
      </c>
      <c r="AC488" s="14" t="e">
        <f>$DT488*HLOOKUP($J488,'Construction Costs (clay)'!$B$1:$V$32,'Construction Planner'!$L488+2,FALSE)</f>
        <v>#N/A</v>
      </c>
      <c r="AD488" s="14" t="e">
        <f>$DT488*HLOOKUP($J488,'Construction Costs (iron)'!$B$1:$V$32,'Construction Planner'!$L488+2,FALSE)</f>
        <v>#N/A</v>
      </c>
      <c r="AE488" s="34" t="e">
        <f t="shared" si="713"/>
        <v>#N/A</v>
      </c>
      <c r="AF488" s="33" t="e">
        <f t="shared" si="657"/>
        <v>#N/A</v>
      </c>
      <c r="AG488" s="14" t="e">
        <f t="shared" si="658"/>
        <v>#N/A</v>
      </c>
      <c r="AH488" s="14" t="e">
        <f t="shared" si="659"/>
        <v>#N/A</v>
      </c>
      <c r="AI488" s="34" t="e">
        <f t="shared" si="714"/>
        <v>#N/A</v>
      </c>
      <c r="AJ488" s="49" t="e">
        <f t="shared" si="678"/>
        <v>#N/A</v>
      </c>
      <c r="AK488" s="49" t="e">
        <f t="shared" si="679"/>
        <v>#N/A</v>
      </c>
      <c r="AL488" s="49" t="e">
        <f t="shared" si="680"/>
        <v>#N/A</v>
      </c>
      <c r="AM488" s="25">
        <f t="shared" si="660"/>
        <v>30</v>
      </c>
      <c r="AN488" s="25">
        <f t="shared" si="661"/>
        <v>30</v>
      </c>
      <c r="AO488" s="25">
        <f t="shared" si="662"/>
        <v>30</v>
      </c>
      <c r="AP488" s="52" t="e">
        <f t="shared" si="681"/>
        <v>#N/A</v>
      </c>
      <c r="AQ488" s="53" t="e">
        <f t="shared" si="681"/>
        <v>#N/A</v>
      </c>
      <c r="AR488" s="54" t="e">
        <f t="shared" si="681"/>
        <v>#N/A</v>
      </c>
      <c r="AS488" s="316">
        <f t="shared" si="721"/>
        <v>0</v>
      </c>
      <c r="AT488" s="106">
        <f>_xlfn.IFNA($M488/VLOOKUP($BT488,'Unit information'!$A$2:$K$29,2,FALSE)*R488,0)*(1+$E$9)</f>
        <v>0</v>
      </c>
      <c r="AU488" s="107">
        <f>_xlfn.IFNA($M488/VLOOKUP($BT488,'Unit information'!$A$2:$K$29,3,FALSE)*S488,0)*(1+$E$9)</f>
        <v>0</v>
      </c>
      <c r="AV488" s="107">
        <f>_xlfn.IFNA($M488/VLOOKUP($BT488,'Unit information'!$A$2:$K$29,4,FALSE)*T488,0)*(1+$E$9)</f>
        <v>0</v>
      </c>
      <c r="AW488" s="107">
        <f>_xlfn.IFNA($M488/VLOOKUP($BT488,'Unit information'!$A$2:$K$29,5,FALSE)*U488,0)*(1+$E$9)</f>
        <v>0</v>
      </c>
      <c r="AX488" s="107">
        <f>_xlfn.IFNA($M488/VLOOKUP($BU488,'Unit information'!$A$2:$K$29,6,FALSE)*V488,0)*(1+$E$9)</f>
        <v>0</v>
      </c>
      <c r="AY488" s="107">
        <f>_xlfn.IFNA($M488/VLOOKUP($BU488,'Unit information'!$A$2:$K$29,7,FALSE)*W488,0)*(1+$E$9)</f>
        <v>0</v>
      </c>
      <c r="AZ488" s="107">
        <f>_xlfn.IFNA($M488/VLOOKUP($BU488,'Unit information'!$A$2:$K$29,8,FALSE)*X488,0)*(1+$E$9)</f>
        <v>0</v>
      </c>
      <c r="BA488" s="107">
        <f>_xlfn.IFNA($M488/VLOOKUP($BU488,'Unit information'!$A$2:$K$29,9,FALSE)*Y488,0)*(1+$E$9)</f>
        <v>0</v>
      </c>
      <c r="BB488" s="107">
        <f>_xlfn.IFNA($M488/VLOOKUP($BV488,'Unit information'!$A$2:$K$29,10,FALSE)*Z488,0)*(1+$E$9)</f>
        <v>0</v>
      </c>
      <c r="BC488" s="108">
        <f>_xlfn.IFNA($M488/VLOOKUP($BV488,'Unit information'!$A$2:$K$29,11,FALSE)*AA488,0)*(1+$E$9)</f>
        <v>0</v>
      </c>
      <c r="BD488" s="106">
        <f t="shared" si="663"/>
        <v>0</v>
      </c>
      <c r="BE488" s="107">
        <f t="shared" si="664"/>
        <v>0</v>
      </c>
      <c r="BF488" s="108">
        <f t="shared" si="665"/>
        <v>0</v>
      </c>
      <c r="BG488" s="25" t="e">
        <f t="shared" si="666"/>
        <v>#N/A</v>
      </c>
      <c r="BH488" s="25" t="e">
        <f t="shared" si="667"/>
        <v>#N/A</v>
      </c>
      <c r="BI488" s="25" t="e">
        <f t="shared" si="668"/>
        <v>#N/A</v>
      </c>
      <c r="BJ488" s="27" t="e">
        <f t="shared" si="669"/>
        <v>#N/A</v>
      </c>
      <c r="BK488" s="18" t="e">
        <f t="shared" si="670"/>
        <v>#N/A</v>
      </c>
      <c r="BL488" s="18" t="e">
        <f t="shared" si="671"/>
        <v>#N/A</v>
      </c>
      <c r="BM488" s="28" t="e">
        <f t="shared" si="716"/>
        <v>#N/A</v>
      </c>
      <c r="BN488" s="33">
        <f>HLOOKUP("maximum population",Miscelaneous!$C$1:$C$33,CH488+3,FALSE)</f>
        <v>240</v>
      </c>
      <c r="BO488" s="14">
        <f t="shared" si="682"/>
        <v>32</v>
      </c>
      <c r="BP488" s="14">
        <f t="shared" si="683"/>
        <v>0</v>
      </c>
      <c r="BQ488" s="14">
        <f t="shared" si="684"/>
        <v>208</v>
      </c>
      <c r="BR488" s="34" t="e">
        <f>HLOOKUP(J488,Villagers!$B$1:$V$33,L488+3,FALSE)-HLOOKUP(J488,Villagers!$B$1:$V$33,L488+2,FALSE)</f>
        <v>#N/A</v>
      </c>
      <c r="BS488" s="49">
        <f t="shared" si="719"/>
        <v>1</v>
      </c>
      <c r="BT488" s="50">
        <f t="shared" si="719"/>
        <v>0</v>
      </c>
      <c r="BU488" s="50">
        <f t="shared" si="719"/>
        <v>0</v>
      </c>
      <c r="BV488" s="50">
        <f t="shared" si="719"/>
        <v>0</v>
      </c>
      <c r="BW488" s="50">
        <f t="shared" si="717"/>
        <v>0</v>
      </c>
      <c r="BX488" s="50">
        <f t="shared" si="718"/>
        <v>0</v>
      </c>
      <c r="BY488" s="50">
        <f t="shared" si="718"/>
        <v>0</v>
      </c>
      <c r="BZ488" s="50">
        <f t="shared" si="719"/>
        <v>0</v>
      </c>
      <c r="CA488" s="50">
        <f t="shared" si="719"/>
        <v>0</v>
      </c>
      <c r="CB488" s="50">
        <f t="shared" si="719"/>
        <v>1</v>
      </c>
      <c r="CC488" s="50">
        <f t="shared" si="719"/>
        <v>0</v>
      </c>
      <c r="CD488" s="50">
        <f t="shared" si="719"/>
        <v>0</v>
      </c>
      <c r="CE488" s="50">
        <f t="shared" si="719"/>
        <v>1</v>
      </c>
      <c r="CF488" s="50">
        <f t="shared" si="719"/>
        <v>1</v>
      </c>
      <c r="CG488" s="50">
        <f t="shared" si="719"/>
        <v>1</v>
      </c>
      <c r="CH488" s="50">
        <f t="shared" si="719"/>
        <v>1</v>
      </c>
      <c r="CI488" s="50">
        <f t="shared" si="719"/>
        <v>1</v>
      </c>
      <c r="CJ488" s="50">
        <f t="shared" si="719"/>
        <v>1</v>
      </c>
      <c r="CK488" s="50">
        <f t="shared" si="720"/>
        <v>0</v>
      </c>
      <c r="CL488" s="50">
        <f t="shared" si="720"/>
        <v>0</v>
      </c>
      <c r="CM488" s="51">
        <f t="shared" si="719"/>
        <v>0</v>
      </c>
      <c r="CN488" s="33">
        <f>ROUND(IF(BS488=0,0,HLOOKUP(BS$14,Villagers!$B$1:$V$33,BS488+3,FALSE)),)</f>
        <v>5</v>
      </c>
      <c r="CO488" s="14">
        <f>ROUND(IF(BT488=0,0,HLOOKUP(BT$14,Villagers!$B$1:$V$33,BT488+3,FALSE)),)</f>
        <v>0</v>
      </c>
      <c r="CP488" s="14">
        <f>ROUND(IF(BU488=0,0,HLOOKUP(BU$14,Villagers!$B$1:$V$33,BU488+3,FALSE)),)</f>
        <v>0</v>
      </c>
      <c r="CQ488" s="14">
        <f>ROUND(IF(BV488=0,0,HLOOKUP(BV$14,Villagers!$B$1:$V$33,BV488+3,FALSE)),)</f>
        <v>0</v>
      </c>
      <c r="CR488" s="14">
        <f>ROUND(IF(BW488=0,0,HLOOKUP(BW$14,Villagers!$B$1:$V$33,BW488+3,FALSE)),)</f>
        <v>0</v>
      </c>
      <c r="CS488" s="14">
        <f>ROUND(IF(BX488=0,0,HLOOKUP(BX$14,Villagers!$B$1:$V$33,BX488+3,FALSE)),)</f>
        <v>0</v>
      </c>
      <c r="CT488" s="14">
        <f>ROUND(IF(BY488=0,0,HLOOKUP(BY$14,Villagers!$B$1:$V$33,BY488+3,FALSE)),)</f>
        <v>0</v>
      </c>
      <c r="CU488" s="14">
        <f>ROUND(IF(BZ488=0,0,HLOOKUP(BZ$14,Villagers!$B$1:$V$33,BZ488+3,FALSE)),)</f>
        <v>0</v>
      </c>
      <c r="CV488" s="14">
        <f>ROUND(IF(CA488=0,0,HLOOKUP(CA$14,Villagers!$B$1:$V$33,CA488+3,FALSE)),)</f>
        <v>0</v>
      </c>
      <c r="CW488" s="14">
        <f>ROUND(IF(CB488=0,0,HLOOKUP(CB$14,Villagers!$B$1:$V$33,CB488+3,FALSE)),)</f>
        <v>0</v>
      </c>
      <c r="CX488" s="14">
        <f>ROUND(IF(CC488=0,0,HLOOKUP(CC$14,Villagers!$B$1:$V$33,CC488+3,FALSE)),)</f>
        <v>0</v>
      </c>
      <c r="CY488" s="14">
        <f>ROUND(IF(CD488=0,0,HLOOKUP(CD$14,Villagers!$B$1:$V$33,CD488+3,FALSE)),)</f>
        <v>0</v>
      </c>
      <c r="CZ488" s="14">
        <f>ROUND(IF(CE488=0,0,HLOOKUP(CE$14,Villagers!$B$1:$V$33,CE488+3,FALSE)),)</f>
        <v>5</v>
      </c>
      <c r="DA488" s="14">
        <f>ROUND(IF(CF488=0,0,HLOOKUP(CF$14,Villagers!$B$1:$V$33,CF488+3,FALSE)),)</f>
        <v>10</v>
      </c>
      <c r="DB488" s="14">
        <f>ROUND(IF(CG488=0,0,HLOOKUP(CG$14,Villagers!$B$1:$V$33,CG488+3,FALSE)),)</f>
        <v>10</v>
      </c>
      <c r="DC488" s="14">
        <f>ROUND(IF(CH488=0,0,HLOOKUP(CH$14,Villagers!$B$1:$V$33,CH488+3,FALSE)),)</f>
        <v>0</v>
      </c>
      <c r="DD488" s="14">
        <f>ROUND(IF(CI488=0,0,HLOOKUP(CI$14,Villagers!$B$1:$V$33,CI488+3,FALSE)),)</f>
        <v>0</v>
      </c>
      <c r="DE488" s="14">
        <f>ROUND(IF(CJ488=0,0,HLOOKUP(CJ$14,Villagers!$B$1:$V$33,CJ488+3,FALSE)),)</f>
        <v>2</v>
      </c>
      <c r="DF488" s="370">
        <f>ROUND(IF(CK488=0,0,HLOOKUP(CK$14,Villagers!$B$1:$V$33,CK488+3,FALSE)),)</f>
        <v>0</v>
      </c>
      <c r="DG488" s="370">
        <f>ROUND(IF(CL488=0,0,HLOOKUP(CL$14,Villagers!$B$1:$V$33,CL488+3,FALSE)),)</f>
        <v>0</v>
      </c>
      <c r="DH488" s="34">
        <f>ROUND(IF(CM488=0,0,HLOOKUP(CM$14,Villagers!$B$1:$V$33,CM488+3,FALSE)),)</f>
        <v>0</v>
      </c>
      <c r="DI488" s="109">
        <f t="shared" si="705"/>
        <v>0</v>
      </c>
      <c r="DJ488" s="50">
        <f t="shared" si="706"/>
        <v>0</v>
      </c>
      <c r="DK488" s="50">
        <f t="shared" si="707"/>
        <v>0</v>
      </c>
      <c r="DL488" s="50">
        <f t="shared" si="708"/>
        <v>0</v>
      </c>
      <c r="DM488" s="50">
        <f t="shared" si="709"/>
        <v>0</v>
      </c>
      <c r="DN488" s="50">
        <f t="shared" si="710"/>
        <v>0</v>
      </c>
      <c r="DO488" s="50">
        <f t="shared" si="711"/>
        <v>0</v>
      </c>
      <c r="DP488" s="50">
        <f t="shared" si="712"/>
        <v>0</v>
      </c>
      <c r="DQ488" s="50">
        <f t="shared" si="690"/>
        <v>0</v>
      </c>
      <c r="DR488" s="50">
        <f t="shared" si="691"/>
        <v>0</v>
      </c>
      <c r="DS488" s="96">
        <f>Miscelaneous!$D$4*Miscelaneous!$D$2^($CI488-1)</f>
        <v>1000</v>
      </c>
      <c r="DT488" s="333">
        <f t="shared" si="672"/>
        <v>1</v>
      </c>
      <c r="DU488" s="81">
        <v>1</v>
      </c>
      <c r="DV488" s="79">
        <f t="shared" si="692"/>
        <v>0</v>
      </c>
      <c r="DW488" s="79">
        <f t="shared" si="693"/>
        <v>0</v>
      </c>
      <c r="DX488" s="79">
        <f t="shared" si="694"/>
        <v>0</v>
      </c>
      <c r="DY488" s="79">
        <v>1</v>
      </c>
      <c r="DZ488" s="79">
        <f t="shared" si="695"/>
        <v>0</v>
      </c>
      <c r="EA488" s="79">
        <f t="shared" si="696"/>
        <v>0</v>
      </c>
      <c r="EB488" s="79">
        <f t="shared" si="697"/>
        <v>0</v>
      </c>
      <c r="EC488" s="79">
        <f t="shared" si="698"/>
        <v>0</v>
      </c>
      <c r="ED488" s="79">
        <v>1</v>
      </c>
      <c r="EE488" s="79">
        <v>1</v>
      </c>
      <c r="EF488" s="79">
        <f t="shared" si="699"/>
        <v>0</v>
      </c>
      <c r="EG488" s="79">
        <v>1</v>
      </c>
      <c r="EH488" s="79">
        <v>1</v>
      </c>
      <c r="EI488" s="79">
        <v>1</v>
      </c>
      <c r="EJ488" s="79">
        <v>1</v>
      </c>
      <c r="EK488" s="79">
        <v>1</v>
      </c>
      <c r="EL488" s="79">
        <v>1</v>
      </c>
      <c r="EM488" s="143">
        <f t="shared" si="700"/>
        <v>0</v>
      </c>
      <c r="EN488" s="143">
        <f t="shared" si="701"/>
        <v>0</v>
      </c>
      <c r="EO488" s="82">
        <f t="shared" si="702"/>
        <v>0</v>
      </c>
    </row>
    <row r="489" spans="1:145" x14ac:dyDescent="0.25">
      <c r="A489">
        <v>475</v>
      </c>
      <c r="B489" s="172" t="e">
        <f t="shared" si="673"/>
        <v>#N/A</v>
      </c>
      <c r="C489" s="121" t="e">
        <f t="shared" si="652"/>
        <v>#N/A</v>
      </c>
      <c r="D489" s="122" t="e">
        <f t="shared" si="653"/>
        <v>#N/A</v>
      </c>
      <c r="E489" s="122" t="e">
        <f t="shared" si="654"/>
        <v>#N/A</v>
      </c>
      <c r="F489" s="176" t="e">
        <f t="shared" si="655"/>
        <v>#N/A</v>
      </c>
      <c r="G489" s="121">
        <f t="shared" si="674"/>
        <v>208</v>
      </c>
      <c r="H489" s="176" t="e">
        <f t="shared" si="675"/>
        <v>#N/A</v>
      </c>
      <c r="I489" s="48">
        <v>1</v>
      </c>
      <c r="J489" s="39"/>
      <c r="K489" s="350">
        <v>1</v>
      </c>
      <c r="L489" s="34" t="e">
        <f t="shared" si="656"/>
        <v>#N/A</v>
      </c>
      <c r="M489" s="38" t="e">
        <f>(HLOOKUP(J489,'Construction Times'!$B$3:$W$34,L489+2,FALSE)*HLOOKUP("hq modifier",'Construction Times'!$W$3:$W$34,BS489+2,FALSE))*(1-$H$9)</f>
        <v>#N/A</v>
      </c>
      <c r="N489" s="443" t="e">
        <f t="shared" si="676"/>
        <v>#N/A</v>
      </c>
      <c r="O489" s="444"/>
      <c r="P489" s="447" t="e">
        <f t="shared" si="677"/>
        <v>#N/A</v>
      </c>
      <c r="Q489" s="448"/>
      <c r="R489" s="103">
        <f t="shared" si="703"/>
        <v>0</v>
      </c>
      <c r="S489" s="104">
        <f t="shared" si="703"/>
        <v>0</v>
      </c>
      <c r="T489" s="104">
        <f t="shared" si="704"/>
        <v>0</v>
      </c>
      <c r="U489" s="104">
        <f t="shared" si="704"/>
        <v>0</v>
      </c>
      <c r="V489" s="104">
        <f t="shared" si="704"/>
        <v>9.9999999999999995E-8</v>
      </c>
      <c r="W489" s="104">
        <f t="shared" si="704"/>
        <v>0</v>
      </c>
      <c r="X489" s="104">
        <f t="shared" si="651"/>
        <v>0</v>
      </c>
      <c r="Y489" s="104">
        <f t="shared" si="651"/>
        <v>9.9999999999999995E-8</v>
      </c>
      <c r="Z489" s="104">
        <f t="shared" si="651"/>
        <v>9.9999999999999995E-8</v>
      </c>
      <c r="AA489" s="105">
        <f t="shared" si="651"/>
        <v>9.9999999999999995E-8</v>
      </c>
      <c r="AB489" s="101" t="e">
        <f>$DT489*HLOOKUP($J489,'Construction Costs (timber)'!$B$1:$V$32,'Construction Planner'!$L489+2,FALSE)</f>
        <v>#N/A</v>
      </c>
      <c r="AC489" s="14" t="e">
        <f>$DT489*HLOOKUP($J489,'Construction Costs (clay)'!$B$1:$V$32,'Construction Planner'!$L489+2,FALSE)</f>
        <v>#N/A</v>
      </c>
      <c r="AD489" s="14" t="e">
        <f>$DT489*HLOOKUP($J489,'Construction Costs (iron)'!$B$1:$V$32,'Construction Planner'!$L489+2,FALSE)</f>
        <v>#N/A</v>
      </c>
      <c r="AE489" s="34" t="e">
        <f t="shared" si="713"/>
        <v>#N/A</v>
      </c>
      <c r="AF489" s="33" t="e">
        <f t="shared" si="657"/>
        <v>#N/A</v>
      </c>
      <c r="AG489" s="14" t="e">
        <f t="shared" si="658"/>
        <v>#N/A</v>
      </c>
      <c r="AH489" s="14" t="e">
        <f t="shared" si="659"/>
        <v>#N/A</v>
      </c>
      <c r="AI489" s="34" t="e">
        <f t="shared" si="714"/>
        <v>#N/A</v>
      </c>
      <c r="AJ489" s="49" t="e">
        <f t="shared" si="678"/>
        <v>#N/A</v>
      </c>
      <c r="AK489" s="49" t="e">
        <f t="shared" si="679"/>
        <v>#N/A</v>
      </c>
      <c r="AL489" s="49" t="e">
        <f t="shared" si="680"/>
        <v>#N/A</v>
      </c>
      <c r="AM489" s="25">
        <f t="shared" si="660"/>
        <v>30</v>
      </c>
      <c r="AN489" s="25">
        <f t="shared" si="661"/>
        <v>30</v>
      </c>
      <c r="AO489" s="25">
        <f t="shared" si="662"/>
        <v>30</v>
      </c>
      <c r="AP489" s="52" t="e">
        <f t="shared" si="681"/>
        <v>#N/A</v>
      </c>
      <c r="AQ489" s="53" t="e">
        <f t="shared" si="681"/>
        <v>#N/A</v>
      </c>
      <c r="AR489" s="54" t="e">
        <f t="shared" si="681"/>
        <v>#N/A</v>
      </c>
      <c r="AS489" s="316">
        <f t="shared" si="721"/>
        <v>0</v>
      </c>
      <c r="AT489" s="106">
        <f>_xlfn.IFNA($M489/VLOOKUP($BT489,'Unit information'!$A$2:$K$29,2,FALSE)*R489,0)*(1+$E$9)</f>
        <v>0</v>
      </c>
      <c r="AU489" s="107">
        <f>_xlfn.IFNA($M489/VLOOKUP($BT489,'Unit information'!$A$2:$K$29,3,FALSE)*S489,0)*(1+$E$9)</f>
        <v>0</v>
      </c>
      <c r="AV489" s="107">
        <f>_xlfn.IFNA($M489/VLOOKUP($BT489,'Unit information'!$A$2:$K$29,4,FALSE)*T489,0)*(1+$E$9)</f>
        <v>0</v>
      </c>
      <c r="AW489" s="107">
        <f>_xlfn.IFNA($M489/VLOOKUP($BT489,'Unit information'!$A$2:$K$29,5,FALSE)*U489,0)*(1+$E$9)</f>
        <v>0</v>
      </c>
      <c r="AX489" s="107">
        <f>_xlfn.IFNA($M489/VLOOKUP($BU489,'Unit information'!$A$2:$K$29,6,FALSE)*V489,0)*(1+$E$9)</f>
        <v>0</v>
      </c>
      <c r="AY489" s="107">
        <f>_xlfn.IFNA($M489/VLOOKUP($BU489,'Unit information'!$A$2:$K$29,7,FALSE)*W489,0)*(1+$E$9)</f>
        <v>0</v>
      </c>
      <c r="AZ489" s="107">
        <f>_xlfn.IFNA($M489/VLOOKUP($BU489,'Unit information'!$A$2:$K$29,8,FALSE)*X489,0)*(1+$E$9)</f>
        <v>0</v>
      </c>
      <c r="BA489" s="107">
        <f>_xlfn.IFNA($M489/VLOOKUP($BU489,'Unit information'!$A$2:$K$29,9,FALSE)*Y489,0)*(1+$E$9)</f>
        <v>0</v>
      </c>
      <c r="BB489" s="107">
        <f>_xlfn.IFNA($M489/VLOOKUP($BV489,'Unit information'!$A$2:$K$29,10,FALSE)*Z489,0)*(1+$E$9)</f>
        <v>0</v>
      </c>
      <c r="BC489" s="108">
        <f>_xlfn.IFNA($M489/VLOOKUP($BV489,'Unit information'!$A$2:$K$29,11,FALSE)*AA489,0)*(1+$E$9)</f>
        <v>0</v>
      </c>
      <c r="BD489" s="106">
        <f t="shared" si="663"/>
        <v>0</v>
      </c>
      <c r="BE489" s="107">
        <f t="shared" si="664"/>
        <v>0</v>
      </c>
      <c r="BF489" s="108">
        <f t="shared" si="665"/>
        <v>0</v>
      </c>
      <c r="BG489" s="25" t="e">
        <f t="shared" si="666"/>
        <v>#N/A</v>
      </c>
      <c r="BH489" s="25" t="e">
        <f t="shared" si="667"/>
        <v>#N/A</v>
      </c>
      <c r="BI489" s="25" t="e">
        <f t="shared" si="668"/>
        <v>#N/A</v>
      </c>
      <c r="BJ489" s="27" t="e">
        <f t="shared" si="669"/>
        <v>#N/A</v>
      </c>
      <c r="BK489" s="18" t="e">
        <f t="shared" si="670"/>
        <v>#N/A</v>
      </c>
      <c r="BL489" s="18" t="e">
        <f t="shared" si="671"/>
        <v>#N/A</v>
      </c>
      <c r="BM489" s="28" t="e">
        <f t="shared" si="716"/>
        <v>#N/A</v>
      </c>
      <c r="BN489" s="33">
        <f>HLOOKUP("maximum population",Miscelaneous!$C$1:$C$33,CH489+3,FALSE)</f>
        <v>240</v>
      </c>
      <c r="BO489" s="14">
        <f t="shared" si="682"/>
        <v>32</v>
      </c>
      <c r="BP489" s="14">
        <f t="shared" si="683"/>
        <v>0</v>
      </c>
      <c r="BQ489" s="14">
        <f t="shared" si="684"/>
        <v>208</v>
      </c>
      <c r="BR489" s="34" t="e">
        <f>HLOOKUP(J489,Villagers!$B$1:$V$33,L489+3,FALSE)-HLOOKUP(J489,Villagers!$B$1:$V$33,L489+2,FALSE)</f>
        <v>#N/A</v>
      </c>
      <c r="BS489" s="49">
        <f t="shared" si="719"/>
        <v>1</v>
      </c>
      <c r="BT489" s="50">
        <f t="shared" si="719"/>
        <v>0</v>
      </c>
      <c r="BU489" s="50">
        <f t="shared" si="719"/>
        <v>0</v>
      </c>
      <c r="BV489" s="50">
        <f t="shared" si="719"/>
        <v>0</v>
      </c>
      <c r="BW489" s="50">
        <f t="shared" si="717"/>
        <v>0</v>
      </c>
      <c r="BX489" s="50">
        <f t="shared" si="718"/>
        <v>0</v>
      </c>
      <c r="BY489" s="50">
        <f t="shared" si="718"/>
        <v>0</v>
      </c>
      <c r="BZ489" s="50">
        <f t="shared" si="719"/>
        <v>0</v>
      </c>
      <c r="CA489" s="50">
        <f t="shared" si="719"/>
        <v>0</v>
      </c>
      <c r="CB489" s="50">
        <f t="shared" si="719"/>
        <v>1</v>
      </c>
      <c r="CC489" s="50">
        <f t="shared" si="719"/>
        <v>0</v>
      </c>
      <c r="CD489" s="50">
        <f t="shared" si="719"/>
        <v>0</v>
      </c>
      <c r="CE489" s="50">
        <f t="shared" si="719"/>
        <v>1</v>
      </c>
      <c r="CF489" s="50">
        <f t="shared" si="719"/>
        <v>1</v>
      </c>
      <c r="CG489" s="50">
        <f t="shared" si="719"/>
        <v>1</v>
      </c>
      <c r="CH489" s="50">
        <f t="shared" si="719"/>
        <v>1</v>
      </c>
      <c r="CI489" s="50">
        <f t="shared" si="719"/>
        <v>1</v>
      </c>
      <c r="CJ489" s="50">
        <f t="shared" si="719"/>
        <v>1</v>
      </c>
      <c r="CK489" s="50">
        <f t="shared" si="720"/>
        <v>0</v>
      </c>
      <c r="CL489" s="50">
        <f t="shared" si="720"/>
        <v>0</v>
      </c>
      <c r="CM489" s="51">
        <f t="shared" si="719"/>
        <v>0</v>
      </c>
      <c r="CN489" s="33">
        <f>ROUND(IF(BS489=0,0,HLOOKUP(BS$14,Villagers!$B$1:$V$33,BS489+3,FALSE)),)</f>
        <v>5</v>
      </c>
      <c r="CO489" s="14">
        <f>ROUND(IF(BT489=0,0,HLOOKUP(BT$14,Villagers!$B$1:$V$33,BT489+3,FALSE)),)</f>
        <v>0</v>
      </c>
      <c r="CP489" s="14">
        <f>ROUND(IF(BU489=0,0,HLOOKUP(BU$14,Villagers!$B$1:$V$33,BU489+3,FALSE)),)</f>
        <v>0</v>
      </c>
      <c r="CQ489" s="14">
        <f>ROUND(IF(BV489=0,0,HLOOKUP(BV$14,Villagers!$B$1:$V$33,BV489+3,FALSE)),)</f>
        <v>0</v>
      </c>
      <c r="CR489" s="14">
        <f>ROUND(IF(BW489=0,0,HLOOKUP(BW$14,Villagers!$B$1:$V$33,BW489+3,FALSE)),)</f>
        <v>0</v>
      </c>
      <c r="CS489" s="14">
        <f>ROUND(IF(BX489=0,0,HLOOKUP(BX$14,Villagers!$B$1:$V$33,BX489+3,FALSE)),)</f>
        <v>0</v>
      </c>
      <c r="CT489" s="14">
        <f>ROUND(IF(BY489=0,0,HLOOKUP(BY$14,Villagers!$B$1:$V$33,BY489+3,FALSE)),)</f>
        <v>0</v>
      </c>
      <c r="CU489" s="14">
        <f>ROUND(IF(BZ489=0,0,HLOOKUP(BZ$14,Villagers!$B$1:$V$33,BZ489+3,FALSE)),)</f>
        <v>0</v>
      </c>
      <c r="CV489" s="14">
        <f>ROUND(IF(CA489=0,0,HLOOKUP(CA$14,Villagers!$B$1:$V$33,CA489+3,FALSE)),)</f>
        <v>0</v>
      </c>
      <c r="CW489" s="14">
        <f>ROUND(IF(CB489=0,0,HLOOKUP(CB$14,Villagers!$B$1:$V$33,CB489+3,FALSE)),)</f>
        <v>0</v>
      </c>
      <c r="CX489" s="14">
        <f>ROUND(IF(CC489=0,0,HLOOKUP(CC$14,Villagers!$B$1:$V$33,CC489+3,FALSE)),)</f>
        <v>0</v>
      </c>
      <c r="CY489" s="14">
        <f>ROUND(IF(CD489=0,0,HLOOKUP(CD$14,Villagers!$B$1:$V$33,CD489+3,FALSE)),)</f>
        <v>0</v>
      </c>
      <c r="CZ489" s="14">
        <f>ROUND(IF(CE489=0,0,HLOOKUP(CE$14,Villagers!$B$1:$V$33,CE489+3,FALSE)),)</f>
        <v>5</v>
      </c>
      <c r="DA489" s="14">
        <f>ROUND(IF(CF489=0,0,HLOOKUP(CF$14,Villagers!$B$1:$V$33,CF489+3,FALSE)),)</f>
        <v>10</v>
      </c>
      <c r="DB489" s="14">
        <f>ROUND(IF(CG489=0,0,HLOOKUP(CG$14,Villagers!$B$1:$V$33,CG489+3,FALSE)),)</f>
        <v>10</v>
      </c>
      <c r="DC489" s="14">
        <f>ROUND(IF(CH489=0,0,HLOOKUP(CH$14,Villagers!$B$1:$V$33,CH489+3,FALSE)),)</f>
        <v>0</v>
      </c>
      <c r="DD489" s="14">
        <f>ROUND(IF(CI489=0,0,HLOOKUP(CI$14,Villagers!$B$1:$V$33,CI489+3,FALSE)),)</f>
        <v>0</v>
      </c>
      <c r="DE489" s="14">
        <f>ROUND(IF(CJ489=0,0,HLOOKUP(CJ$14,Villagers!$B$1:$V$33,CJ489+3,FALSE)),)</f>
        <v>2</v>
      </c>
      <c r="DF489" s="370">
        <f>ROUND(IF(CK489=0,0,HLOOKUP(CK$14,Villagers!$B$1:$V$33,CK489+3,FALSE)),)</f>
        <v>0</v>
      </c>
      <c r="DG489" s="370">
        <f>ROUND(IF(CL489=0,0,HLOOKUP(CL$14,Villagers!$B$1:$V$33,CL489+3,FALSE)),)</f>
        <v>0</v>
      </c>
      <c r="DH489" s="34">
        <f>ROUND(IF(CM489=0,0,HLOOKUP(CM$14,Villagers!$B$1:$V$33,CM489+3,FALSE)),)</f>
        <v>0</v>
      </c>
      <c r="DI489" s="109">
        <f t="shared" si="705"/>
        <v>0</v>
      </c>
      <c r="DJ489" s="50">
        <f t="shared" si="706"/>
        <v>0</v>
      </c>
      <c r="DK489" s="50">
        <f t="shared" si="707"/>
        <v>0</v>
      </c>
      <c r="DL489" s="50">
        <f t="shared" si="708"/>
        <v>0</v>
      </c>
      <c r="DM489" s="50">
        <f t="shared" si="709"/>
        <v>0</v>
      </c>
      <c r="DN489" s="50">
        <f t="shared" si="710"/>
        <v>0</v>
      </c>
      <c r="DO489" s="50">
        <f t="shared" si="711"/>
        <v>0</v>
      </c>
      <c r="DP489" s="50">
        <f t="shared" si="712"/>
        <v>0</v>
      </c>
      <c r="DQ489" s="50">
        <f t="shared" si="690"/>
        <v>0</v>
      </c>
      <c r="DR489" s="50">
        <f t="shared" si="691"/>
        <v>0</v>
      </c>
      <c r="DS489" s="96">
        <f>Miscelaneous!$D$4*Miscelaneous!$D$2^($CI489-1)</f>
        <v>1000</v>
      </c>
      <c r="DT489" s="333">
        <f t="shared" si="672"/>
        <v>1</v>
      </c>
      <c r="DU489" s="81">
        <v>1</v>
      </c>
      <c r="DV489" s="79">
        <f t="shared" si="692"/>
        <v>0</v>
      </c>
      <c r="DW489" s="79">
        <f t="shared" si="693"/>
        <v>0</v>
      </c>
      <c r="DX489" s="79">
        <f t="shared" si="694"/>
        <v>0</v>
      </c>
      <c r="DY489" s="79">
        <v>1</v>
      </c>
      <c r="DZ489" s="79">
        <f t="shared" si="695"/>
        <v>0</v>
      </c>
      <c r="EA489" s="79">
        <f t="shared" si="696"/>
        <v>0</v>
      </c>
      <c r="EB489" s="79">
        <f t="shared" si="697"/>
        <v>0</v>
      </c>
      <c r="EC489" s="79">
        <f t="shared" si="698"/>
        <v>0</v>
      </c>
      <c r="ED489" s="79">
        <v>1</v>
      </c>
      <c r="EE489" s="79">
        <v>1</v>
      </c>
      <c r="EF489" s="79">
        <f t="shared" si="699"/>
        <v>0</v>
      </c>
      <c r="EG489" s="79">
        <v>1</v>
      </c>
      <c r="EH489" s="79">
        <v>1</v>
      </c>
      <c r="EI489" s="79">
        <v>1</v>
      </c>
      <c r="EJ489" s="79">
        <v>1</v>
      </c>
      <c r="EK489" s="79">
        <v>1</v>
      </c>
      <c r="EL489" s="79">
        <v>1</v>
      </c>
      <c r="EM489" s="143">
        <f t="shared" si="700"/>
        <v>0</v>
      </c>
      <c r="EN489" s="143">
        <f t="shared" si="701"/>
        <v>0</v>
      </c>
      <c r="EO489" s="82">
        <f t="shared" si="702"/>
        <v>0</v>
      </c>
    </row>
    <row r="490" spans="1:145" x14ac:dyDescent="0.25">
      <c r="A490">
        <v>476</v>
      </c>
      <c r="B490" s="172" t="e">
        <f t="shared" si="673"/>
        <v>#N/A</v>
      </c>
      <c r="C490" s="121" t="e">
        <f t="shared" si="652"/>
        <v>#N/A</v>
      </c>
      <c r="D490" s="122" t="e">
        <f t="shared" si="653"/>
        <v>#N/A</v>
      </c>
      <c r="E490" s="122" t="e">
        <f t="shared" si="654"/>
        <v>#N/A</v>
      </c>
      <c r="F490" s="176" t="e">
        <f t="shared" si="655"/>
        <v>#N/A</v>
      </c>
      <c r="G490" s="121">
        <f t="shared" si="674"/>
        <v>208</v>
      </c>
      <c r="H490" s="176" t="e">
        <f t="shared" si="675"/>
        <v>#N/A</v>
      </c>
      <c r="I490" s="48">
        <v>1</v>
      </c>
      <c r="J490" s="39"/>
      <c r="K490" s="350">
        <v>1</v>
      </c>
      <c r="L490" s="34" t="e">
        <f t="shared" si="656"/>
        <v>#N/A</v>
      </c>
      <c r="M490" s="38" t="e">
        <f>(HLOOKUP(J490,'Construction Times'!$B$3:$W$34,L490+2,FALSE)*HLOOKUP("hq modifier",'Construction Times'!$W$3:$W$34,BS490+2,FALSE))*(1-$H$9)</f>
        <v>#N/A</v>
      </c>
      <c r="N490" s="443" t="e">
        <f t="shared" si="676"/>
        <v>#N/A</v>
      </c>
      <c r="O490" s="444"/>
      <c r="P490" s="447" t="e">
        <f t="shared" si="677"/>
        <v>#N/A</v>
      </c>
      <c r="Q490" s="448"/>
      <c r="R490" s="103">
        <f t="shared" si="703"/>
        <v>0</v>
      </c>
      <c r="S490" s="104">
        <f t="shared" si="703"/>
        <v>0</v>
      </c>
      <c r="T490" s="104">
        <f t="shared" si="704"/>
        <v>0</v>
      </c>
      <c r="U490" s="104">
        <f t="shared" si="704"/>
        <v>0</v>
      </c>
      <c r="V490" s="104">
        <f t="shared" si="704"/>
        <v>9.9999999999999995E-8</v>
      </c>
      <c r="W490" s="104">
        <f t="shared" si="704"/>
        <v>0</v>
      </c>
      <c r="X490" s="104">
        <f t="shared" si="651"/>
        <v>0</v>
      </c>
      <c r="Y490" s="104">
        <f t="shared" si="651"/>
        <v>9.9999999999999995E-8</v>
      </c>
      <c r="Z490" s="104">
        <f t="shared" si="651"/>
        <v>9.9999999999999995E-8</v>
      </c>
      <c r="AA490" s="105">
        <f t="shared" si="651"/>
        <v>9.9999999999999995E-8</v>
      </c>
      <c r="AB490" s="101" t="e">
        <f>$DT490*HLOOKUP($J490,'Construction Costs (timber)'!$B$1:$V$32,'Construction Planner'!$L490+2,FALSE)</f>
        <v>#N/A</v>
      </c>
      <c r="AC490" s="14" t="e">
        <f>$DT490*HLOOKUP($J490,'Construction Costs (clay)'!$B$1:$V$32,'Construction Planner'!$L490+2,FALSE)</f>
        <v>#N/A</v>
      </c>
      <c r="AD490" s="14" t="e">
        <f>$DT490*HLOOKUP($J490,'Construction Costs (iron)'!$B$1:$V$32,'Construction Planner'!$L490+2,FALSE)</f>
        <v>#N/A</v>
      </c>
      <c r="AE490" s="34" t="e">
        <f t="shared" si="713"/>
        <v>#N/A</v>
      </c>
      <c r="AF490" s="33" t="e">
        <f t="shared" si="657"/>
        <v>#N/A</v>
      </c>
      <c r="AG490" s="14" t="e">
        <f t="shared" si="658"/>
        <v>#N/A</v>
      </c>
      <c r="AH490" s="14" t="e">
        <f t="shared" si="659"/>
        <v>#N/A</v>
      </c>
      <c r="AI490" s="34" t="e">
        <f t="shared" si="714"/>
        <v>#N/A</v>
      </c>
      <c r="AJ490" s="49" t="e">
        <f t="shared" si="678"/>
        <v>#N/A</v>
      </c>
      <c r="AK490" s="49" t="e">
        <f t="shared" si="679"/>
        <v>#N/A</v>
      </c>
      <c r="AL490" s="49" t="e">
        <f t="shared" si="680"/>
        <v>#N/A</v>
      </c>
      <c r="AM490" s="25">
        <f t="shared" si="660"/>
        <v>30</v>
      </c>
      <c r="AN490" s="25">
        <f t="shared" si="661"/>
        <v>30</v>
      </c>
      <c r="AO490" s="25">
        <f t="shared" si="662"/>
        <v>30</v>
      </c>
      <c r="AP490" s="52" t="e">
        <f t="shared" si="681"/>
        <v>#N/A</v>
      </c>
      <c r="AQ490" s="53" t="e">
        <f t="shared" si="681"/>
        <v>#N/A</v>
      </c>
      <c r="AR490" s="54" t="e">
        <f t="shared" si="681"/>
        <v>#N/A</v>
      </c>
      <c r="AS490" s="316">
        <f t="shared" si="721"/>
        <v>0</v>
      </c>
      <c r="AT490" s="106">
        <f>_xlfn.IFNA($M490/VLOOKUP($BT490,'Unit information'!$A$2:$K$29,2,FALSE)*R490,0)*(1+$E$9)</f>
        <v>0</v>
      </c>
      <c r="AU490" s="107">
        <f>_xlfn.IFNA($M490/VLOOKUP($BT490,'Unit information'!$A$2:$K$29,3,FALSE)*S490,0)*(1+$E$9)</f>
        <v>0</v>
      </c>
      <c r="AV490" s="107">
        <f>_xlfn.IFNA($M490/VLOOKUP($BT490,'Unit information'!$A$2:$K$29,4,FALSE)*T490,0)*(1+$E$9)</f>
        <v>0</v>
      </c>
      <c r="AW490" s="107">
        <f>_xlfn.IFNA($M490/VLOOKUP($BT490,'Unit information'!$A$2:$K$29,5,FALSE)*U490,0)*(1+$E$9)</f>
        <v>0</v>
      </c>
      <c r="AX490" s="107">
        <f>_xlfn.IFNA($M490/VLOOKUP($BU490,'Unit information'!$A$2:$K$29,6,FALSE)*V490,0)*(1+$E$9)</f>
        <v>0</v>
      </c>
      <c r="AY490" s="107">
        <f>_xlfn.IFNA($M490/VLOOKUP($BU490,'Unit information'!$A$2:$K$29,7,FALSE)*W490,0)*(1+$E$9)</f>
        <v>0</v>
      </c>
      <c r="AZ490" s="107">
        <f>_xlfn.IFNA($M490/VLOOKUP($BU490,'Unit information'!$A$2:$K$29,8,FALSE)*X490,0)*(1+$E$9)</f>
        <v>0</v>
      </c>
      <c r="BA490" s="107">
        <f>_xlfn.IFNA($M490/VLOOKUP($BU490,'Unit information'!$A$2:$K$29,9,FALSE)*Y490,0)*(1+$E$9)</f>
        <v>0</v>
      </c>
      <c r="BB490" s="107">
        <f>_xlfn.IFNA($M490/VLOOKUP($BV490,'Unit information'!$A$2:$K$29,10,FALSE)*Z490,0)*(1+$E$9)</f>
        <v>0</v>
      </c>
      <c r="BC490" s="108">
        <f>_xlfn.IFNA($M490/VLOOKUP($BV490,'Unit information'!$A$2:$K$29,11,FALSE)*AA490,0)*(1+$E$9)</f>
        <v>0</v>
      </c>
      <c r="BD490" s="106">
        <f t="shared" si="663"/>
        <v>0</v>
      </c>
      <c r="BE490" s="107">
        <f t="shared" si="664"/>
        <v>0</v>
      </c>
      <c r="BF490" s="108">
        <f t="shared" si="665"/>
        <v>0</v>
      </c>
      <c r="BG490" s="25" t="e">
        <f t="shared" si="666"/>
        <v>#N/A</v>
      </c>
      <c r="BH490" s="25" t="e">
        <f t="shared" si="667"/>
        <v>#N/A</v>
      </c>
      <c r="BI490" s="25" t="e">
        <f t="shared" si="668"/>
        <v>#N/A</v>
      </c>
      <c r="BJ490" s="27" t="e">
        <f t="shared" si="669"/>
        <v>#N/A</v>
      </c>
      <c r="BK490" s="18" t="e">
        <f t="shared" si="670"/>
        <v>#N/A</v>
      </c>
      <c r="BL490" s="18" t="e">
        <f t="shared" si="671"/>
        <v>#N/A</v>
      </c>
      <c r="BM490" s="28" t="e">
        <f t="shared" si="716"/>
        <v>#N/A</v>
      </c>
      <c r="BN490" s="33">
        <f>HLOOKUP("maximum population",Miscelaneous!$C$1:$C$33,CH490+3,FALSE)</f>
        <v>240</v>
      </c>
      <c r="BO490" s="14">
        <f t="shared" si="682"/>
        <v>32</v>
      </c>
      <c r="BP490" s="14">
        <f t="shared" si="683"/>
        <v>0</v>
      </c>
      <c r="BQ490" s="14">
        <f t="shared" si="684"/>
        <v>208</v>
      </c>
      <c r="BR490" s="34" t="e">
        <f>HLOOKUP(J490,Villagers!$B$1:$V$33,L490+3,FALSE)-HLOOKUP(J490,Villagers!$B$1:$V$33,L490+2,FALSE)</f>
        <v>#N/A</v>
      </c>
      <c r="BS490" s="49">
        <f t="shared" si="719"/>
        <v>1</v>
      </c>
      <c r="BT490" s="50">
        <f t="shared" si="719"/>
        <v>0</v>
      </c>
      <c r="BU490" s="50">
        <f t="shared" si="719"/>
        <v>0</v>
      </c>
      <c r="BV490" s="50">
        <f t="shared" si="719"/>
        <v>0</v>
      </c>
      <c r="BW490" s="50">
        <f t="shared" si="717"/>
        <v>0</v>
      </c>
      <c r="BX490" s="50">
        <f t="shared" si="718"/>
        <v>0</v>
      </c>
      <c r="BY490" s="50">
        <f t="shared" si="718"/>
        <v>0</v>
      </c>
      <c r="BZ490" s="50">
        <f t="shared" si="719"/>
        <v>0</v>
      </c>
      <c r="CA490" s="50">
        <f t="shared" si="719"/>
        <v>0</v>
      </c>
      <c r="CB490" s="50">
        <f t="shared" si="719"/>
        <v>1</v>
      </c>
      <c r="CC490" s="50">
        <f t="shared" si="719"/>
        <v>0</v>
      </c>
      <c r="CD490" s="50">
        <f t="shared" si="719"/>
        <v>0</v>
      </c>
      <c r="CE490" s="50">
        <f t="shared" si="719"/>
        <v>1</v>
      </c>
      <c r="CF490" s="50">
        <f t="shared" si="719"/>
        <v>1</v>
      </c>
      <c r="CG490" s="50">
        <f t="shared" si="719"/>
        <v>1</v>
      </c>
      <c r="CH490" s="50">
        <f t="shared" si="719"/>
        <v>1</v>
      </c>
      <c r="CI490" s="50">
        <f t="shared" si="719"/>
        <v>1</v>
      </c>
      <c r="CJ490" s="50">
        <f t="shared" si="719"/>
        <v>1</v>
      </c>
      <c r="CK490" s="50">
        <f t="shared" si="720"/>
        <v>0</v>
      </c>
      <c r="CL490" s="50">
        <f t="shared" si="720"/>
        <v>0</v>
      </c>
      <c r="CM490" s="51">
        <f t="shared" si="719"/>
        <v>0</v>
      </c>
      <c r="CN490" s="33">
        <f>ROUND(IF(BS490=0,0,HLOOKUP(BS$14,Villagers!$B$1:$V$33,BS490+3,FALSE)),)</f>
        <v>5</v>
      </c>
      <c r="CO490" s="14">
        <f>ROUND(IF(BT490=0,0,HLOOKUP(BT$14,Villagers!$B$1:$V$33,BT490+3,FALSE)),)</f>
        <v>0</v>
      </c>
      <c r="CP490" s="14">
        <f>ROUND(IF(BU490=0,0,HLOOKUP(BU$14,Villagers!$B$1:$V$33,BU490+3,FALSE)),)</f>
        <v>0</v>
      </c>
      <c r="CQ490" s="14">
        <f>ROUND(IF(BV490=0,0,HLOOKUP(BV$14,Villagers!$B$1:$V$33,BV490+3,FALSE)),)</f>
        <v>0</v>
      </c>
      <c r="CR490" s="14">
        <f>ROUND(IF(BW490=0,0,HLOOKUP(BW$14,Villagers!$B$1:$V$33,BW490+3,FALSE)),)</f>
        <v>0</v>
      </c>
      <c r="CS490" s="14">
        <f>ROUND(IF(BX490=0,0,HLOOKUP(BX$14,Villagers!$B$1:$V$33,BX490+3,FALSE)),)</f>
        <v>0</v>
      </c>
      <c r="CT490" s="14">
        <f>ROUND(IF(BY490=0,0,HLOOKUP(BY$14,Villagers!$B$1:$V$33,BY490+3,FALSE)),)</f>
        <v>0</v>
      </c>
      <c r="CU490" s="14">
        <f>ROUND(IF(BZ490=0,0,HLOOKUP(BZ$14,Villagers!$B$1:$V$33,BZ490+3,FALSE)),)</f>
        <v>0</v>
      </c>
      <c r="CV490" s="14">
        <f>ROUND(IF(CA490=0,0,HLOOKUP(CA$14,Villagers!$B$1:$V$33,CA490+3,FALSE)),)</f>
        <v>0</v>
      </c>
      <c r="CW490" s="14">
        <f>ROUND(IF(CB490=0,0,HLOOKUP(CB$14,Villagers!$B$1:$V$33,CB490+3,FALSE)),)</f>
        <v>0</v>
      </c>
      <c r="CX490" s="14">
        <f>ROUND(IF(CC490=0,0,HLOOKUP(CC$14,Villagers!$B$1:$V$33,CC490+3,FALSE)),)</f>
        <v>0</v>
      </c>
      <c r="CY490" s="14">
        <f>ROUND(IF(CD490=0,0,HLOOKUP(CD$14,Villagers!$B$1:$V$33,CD490+3,FALSE)),)</f>
        <v>0</v>
      </c>
      <c r="CZ490" s="14">
        <f>ROUND(IF(CE490=0,0,HLOOKUP(CE$14,Villagers!$B$1:$V$33,CE490+3,FALSE)),)</f>
        <v>5</v>
      </c>
      <c r="DA490" s="14">
        <f>ROUND(IF(CF490=0,0,HLOOKUP(CF$14,Villagers!$B$1:$V$33,CF490+3,FALSE)),)</f>
        <v>10</v>
      </c>
      <c r="DB490" s="14">
        <f>ROUND(IF(CG490=0,0,HLOOKUP(CG$14,Villagers!$B$1:$V$33,CG490+3,FALSE)),)</f>
        <v>10</v>
      </c>
      <c r="DC490" s="14">
        <f>ROUND(IF(CH490=0,0,HLOOKUP(CH$14,Villagers!$B$1:$V$33,CH490+3,FALSE)),)</f>
        <v>0</v>
      </c>
      <c r="DD490" s="14">
        <f>ROUND(IF(CI490=0,0,HLOOKUP(CI$14,Villagers!$B$1:$V$33,CI490+3,FALSE)),)</f>
        <v>0</v>
      </c>
      <c r="DE490" s="14">
        <f>ROUND(IF(CJ490=0,0,HLOOKUP(CJ$14,Villagers!$B$1:$V$33,CJ490+3,FALSE)),)</f>
        <v>2</v>
      </c>
      <c r="DF490" s="370">
        <f>ROUND(IF(CK490=0,0,HLOOKUP(CK$14,Villagers!$B$1:$V$33,CK490+3,FALSE)),)</f>
        <v>0</v>
      </c>
      <c r="DG490" s="370">
        <f>ROUND(IF(CL490=0,0,HLOOKUP(CL$14,Villagers!$B$1:$V$33,CL490+3,FALSE)),)</f>
        <v>0</v>
      </c>
      <c r="DH490" s="34">
        <f>ROUND(IF(CM490=0,0,HLOOKUP(CM$14,Villagers!$B$1:$V$33,CM490+3,FALSE)),)</f>
        <v>0</v>
      </c>
      <c r="DI490" s="109">
        <f t="shared" si="705"/>
        <v>0</v>
      </c>
      <c r="DJ490" s="50">
        <f t="shared" si="706"/>
        <v>0</v>
      </c>
      <c r="DK490" s="50">
        <f t="shared" si="707"/>
        <v>0</v>
      </c>
      <c r="DL490" s="50">
        <f t="shared" si="708"/>
        <v>0</v>
      </c>
      <c r="DM490" s="50">
        <f t="shared" si="709"/>
        <v>0</v>
      </c>
      <c r="DN490" s="50">
        <f t="shared" si="710"/>
        <v>0</v>
      </c>
      <c r="DO490" s="50">
        <f t="shared" si="711"/>
        <v>0</v>
      </c>
      <c r="DP490" s="50">
        <f t="shared" si="712"/>
        <v>0</v>
      </c>
      <c r="DQ490" s="50">
        <f t="shared" si="690"/>
        <v>0</v>
      </c>
      <c r="DR490" s="50">
        <f t="shared" si="691"/>
        <v>0</v>
      </c>
      <c r="DS490" s="96">
        <f>Miscelaneous!$D$4*Miscelaneous!$D$2^($CI490-1)</f>
        <v>1000</v>
      </c>
      <c r="DT490" s="333">
        <f t="shared" si="672"/>
        <v>1</v>
      </c>
      <c r="DU490" s="81">
        <v>1</v>
      </c>
      <c r="DV490" s="79">
        <f t="shared" si="692"/>
        <v>0</v>
      </c>
      <c r="DW490" s="79">
        <f t="shared" si="693"/>
        <v>0</v>
      </c>
      <c r="DX490" s="79">
        <f t="shared" si="694"/>
        <v>0</v>
      </c>
      <c r="DY490" s="79">
        <v>1</v>
      </c>
      <c r="DZ490" s="79">
        <f t="shared" si="695"/>
        <v>0</v>
      </c>
      <c r="EA490" s="79">
        <f t="shared" si="696"/>
        <v>0</v>
      </c>
      <c r="EB490" s="79">
        <f t="shared" si="697"/>
        <v>0</v>
      </c>
      <c r="EC490" s="79">
        <f t="shared" si="698"/>
        <v>0</v>
      </c>
      <c r="ED490" s="79">
        <v>1</v>
      </c>
      <c r="EE490" s="79">
        <v>1</v>
      </c>
      <c r="EF490" s="79">
        <f t="shared" si="699"/>
        <v>0</v>
      </c>
      <c r="EG490" s="79">
        <v>1</v>
      </c>
      <c r="EH490" s="79">
        <v>1</v>
      </c>
      <c r="EI490" s="79">
        <v>1</v>
      </c>
      <c r="EJ490" s="79">
        <v>1</v>
      </c>
      <c r="EK490" s="79">
        <v>1</v>
      </c>
      <c r="EL490" s="79">
        <v>1</v>
      </c>
      <c r="EM490" s="143">
        <f t="shared" si="700"/>
        <v>0</v>
      </c>
      <c r="EN490" s="143">
        <f t="shared" si="701"/>
        <v>0</v>
      </c>
      <c r="EO490" s="82">
        <f t="shared" si="702"/>
        <v>0</v>
      </c>
    </row>
    <row r="491" spans="1:145" x14ac:dyDescent="0.25">
      <c r="A491">
        <v>477</v>
      </c>
      <c r="B491" s="172" t="e">
        <f t="shared" si="673"/>
        <v>#N/A</v>
      </c>
      <c r="C491" s="121" t="e">
        <f t="shared" si="652"/>
        <v>#N/A</v>
      </c>
      <c r="D491" s="122" t="e">
        <f t="shared" si="653"/>
        <v>#N/A</v>
      </c>
      <c r="E491" s="122" t="e">
        <f t="shared" si="654"/>
        <v>#N/A</v>
      </c>
      <c r="F491" s="176" t="e">
        <f t="shared" si="655"/>
        <v>#N/A</v>
      </c>
      <c r="G491" s="121">
        <f t="shared" si="674"/>
        <v>208</v>
      </c>
      <c r="H491" s="176" t="e">
        <f t="shared" si="675"/>
        <v>#N/A</v>
      </c>
      <c r="I491" s="48">
        <v>1</v>
      </c>
      <c r="J491" s="39"/>
      <c r="K491" s="350">
        <v>1</v>
      </c>
      <c r="L491" s="34" t="e">
        <f t="shared" si="656"/>
        <v>#N/A</v>
      </c>
      <c r="M491" s="38" t="e">
        <f>(HLOOKUP(J491,'Construction Times'!$B$3:$W$34,L491+2,FALSE)*HLOOKUP("hq modifier",'Construction Times'!$W$3:$W$34,BS491+2,FALSE))*(1-$H$9)</f>
        <v>#N/A</v>
      </c>
      <c r="N491" s="443" t="e">
        <f t="shared" si="676"/>
        <v>#N/A</v>
      </c>
      <c r="O491" s="444"/>
      <c r="P491" s="447" t="e">
        <f t="shared" si="677"/>
        <v>#N/A</v>
      </c>
      <c r="Q491" s="448"/>
      <c r="R491" s="103">
        <f t="shared" si="703"/>
        <v>0</v>
      </c>
      <c r="S491" s="104">
        <f t="shared" si="703"/>
        <v>0</v>
      </c>
      <c r="T491" s="104">
        <f t="shared" si="704"/>
        <v>0</v>
      </c>
      <c r="U491" s="104">
        <f t="shared" si="704"/>
        <v>0</v>
      </c>
      <c r="V491" s="104">
        <f t="shared" si="704"/>
        <v>9.9999999999999995E-8</v>
      </c>
      <c r="W491" s="104">
        <f t="shared" si="704"/>
        <v>0</v>
      </c>
      <c r="X491" s="104">
        <f t="shared" si="651"/>
        <v>0</v>
      </c>
      <c r="Y491" s="104">
        <f t="shared" si="651"/>
        <v>9.9999999999999995E-8</v>
      </c>
      <c r="Z491" s="104">
        <f t="shared" si="651"/>
        <v>9.9999999999999995E-8</v>
      </c>
      <c r="AA491" s="105">
        <f t="shared" si="651"/>
        <v>9.9999999999999995E-8</v>
      </c>
      <c r="AB491" s="101" t="e">
        <f>$DT491*HLOOKUP($J491,'Construction Costs (timber)'!$B$1:$V$32,'Construction Planner'!$L491+2,FALSE)</f>
        <v>#N/A</v>
      </c>
      <c r="AC491" s="14" t="e">
        <f>$DT491*HLOOKUP($J491,'Construction Costs (clay)'!$B$1:$V$32,'Construction Planner'!$L491+2,FALSE)</f>
        <v>#N/A</v>
      </c>
      <c r="AD491" s="14" t="e">
        <f>$DT491*HLOOKUP($J491,'Construction Costs (iron)'!$B$1:$V$32,'Construction Planner'!$L491+2,FALSE)</f>
        <v>#N/A</v>
      </c>
      <c r="AE491" s="34" t="e">
        <f t="shared" si="713"/>
        <v>#N/A</v>
      </c>
      <c r="AF491" s="33" t="e">
        <f t="shared" si="657"/>
        <v>#N/A</v>
      </c>
      <c r="AG491" s="14" t="e">
        <f t="shared" si="658"/>
        <v>#N/A</v>
      </c>
      <c r="AH491" s="14" t="e">
        <f t="shared" si="659"/>
        <v>#N/A</v>
      </c>
      <c r="AI491" s="34" t="e">
        <f t="shared" si="714"/>
        <v>#N/A</v>
      </c>
      <c r="AJ491" s="49" t="e">
        <f t="shared" si="678"/>
        <v>#N/A</v>
      </c>
      <c r="AK491" s="49" t="e">
        <f t="shared" si="679"/>
        <v>#N/A</v>
      </c>
      <c r="AL491" s="49" t="e">
        <f t="shared" si="680"/>
        <v>#N/A</v>
      </c>
      <c r="AM491" s="25">
        <f t="shared" si="660"/>
        <v>30</v>
      </c>
      <c r="AN491" s="25">
        <f t="shared" si="661"/>
        <v>30</v>
      </c>
      <c r="AO491" s="25">
        <f t="shared" si="662"/>
        <v>30</v>
      </c>
      <c r="AP491" s="52" t="e">
        <f t="shared" si="681"/>
        <v>#N/A</v>
      </c>
      <c r="AQ491" s="53" t="e">
        <f t="shared" si="681"/>
        <v>#N/A</v>
      </c>
      <c r="AR491" s="54" t="e">
        <f t="shared" si="681"/>
        <v>#N/A</v>
      </c>
      <c r="AS491" s="316">
        <f t="shared" si="721"/>
        <v>0</v>
      </c>
      <c r="AT491" s="106">
        <f>_xlfn.IFNA($M491/VLOOKUP($BT491,'Unit information'!$A$2:$K$29,2,FALSE)*R491,0)*(1+$E$9)</f>
        <v>0</v>
      </c>
      <c r="AU491" s="107">
        <f>_xlfn.IFNA($M491/VLOOKUP($BT491,'Unit information'!$A$2:$K$29,3,FALSE)*S491,0)*(1+$E$9)</f>
        <v>0</v>
      </c>
      <c r="AV491" s="107">
        <f>_xlfn.IFNA($M491/VLOOKUP($BT491,'Unit information'!$A$2:$K$29,4,FALSE)*T491,0)*(1+$E$9)</f>
        <v>0</v>
      </c>
      <c r="AW491" s="107">
        <f>_xlfn.IFNA($M491/VLOOKUP($BT491,'Unit information'!$A$2:$K$29,5,FALSE)*U491,0)*(1+$E$9)</f>
        <v>0</v>
      </c>
      <c r="AX491" s="107">
        <f>_xlfn.IFNA($M491/VLOOKUP($BU491,'Unit information'!$A$2:$K$29,6,FALSE)*V491,0)*(1+$E$9)</f>
        <v>0</v>
      </c>
      <c r="AY491" s="107">
        <f>_xlfn.IFNA($M491/VLOOKUP($BU491,'Unit information'!$A$2:$K$29,7,FALSE)*W491,0)*(1+$E$9)</f>
        <v>0</v>
      </c>
      <c r="AZ491" s="107">
        <f>_xlfn.IFNA($M491/VLOOKUP($BU491,'Unit information'!$A$2:$K$29,8,FALSE)*X491,0)*(1+$E$9)</f>
        <v>0</v>
      </c>
      <c r="BA491" s="107">
        <f>_xlfn.IFNA($M491/VLOOKUP($BU491,'Unit information'!$A$2:$K$29,9,FALSE)*Y491,0)*(1+$E$9)</f>
        <v>0</v>
      </c>
      <c r="BB491" s="107">
        <f>_xlfn.IFNA($M491/VLOOKUP($BV491,'Unit information'!$A$2:$K$29,10,FALSE)*Z491,0)*(1+$E$9)</f>
        <v>0</v>
      </c>
      <c r="BC491" s="108">
        <f>_xlfn.IFNA($M491/VLOOKUP($BV491,'Unit information'!$A$2:$K$29,11,FALSE)*AA491,0)*(1+$E$9)</f>
        <v>0</v>
      </c>
      <c r="BD491" s="106">
        <f t="shared" si="663"/>
        <v>0</v>
      </c>
      <c r="BE491" s="107">
        <f t="shared" si="664"/>
        <v>0</v>
      </c>
      <c r="BF491" s="108">
        <f t="shared" si="665"/>
        <v>0</v>
      </c>
      <c r="BG491" s="25" t="e">
        <f t="shared" si="666"/>
        <v>#N/A</v>
      </c>
      <c r="BH491" s="25" t="e">
        <f t="shared" si="667"/>
        <v>#N/A</v>
      </c>
      <c r="BI491" s="25" t="e">
        <f t="shared" si="668"/>
        <v>#N/A</v>
      </c>
      <c r="BJ491" s="27" t="e">
        <f t="shared" si="669"/>
        <v>#N/A</v>
      </c>
      <c r="BK491" s="18" t="e">
        <f t="shared" si="670"/>
        <v>#N/A</v>
      </c>
      <c r="BL491" s="18" t="e">
        <f t="shared" si="671"/>
        <v>#N/A</v>
      </c>
      <c r="BM491" s="28" t="e">
        <f t="shared" si="716"/>
        <v>#N/A</v>
      </c>
      <c r="BN491" s="33">
        <f>HLOOKUP("maximum population",Miscelaneous!$C$1:$C$33,CH491+3,FALSE)</f>
        <v>240</v>
      </c>
      <c r="BO491" s="14">
        <f t="shared" si="682"/>
        <v>32</v>
      </c>
      <c r="BP491" s="14">
        <f t="shared" si="683"/>
        <v>0</v>
      </c>
      <c r="BQ491" s="14">
        <f t="shared" si="684"/>
        <v>208</v>
      </c>
      <c r="BR491" s="34" t="e">
        <f>HLOOKUP(J491,Villagers!$B$1:$V$33,L491+3,FALSE)-HLOOKUP(J491,Villagers!$B$1:$V$33,L491+2,FALSE)</f>
        <v>#N/A</v>
      </c>
      <c r="BS491" s="49">
        <f t="shared" si="719"/>
        <v>1</v>
      </c>
      <c r="BT491" s="50">
        <f t="shared" si="719"/>
        <v>0</v>
      </c>
      <c r="BU491" s="50">
        <f t="shared" si="719"/>
        <v>0</v>
      </c>
      <c r="BV491" s="50">
        <f t="shared" si="719"/>
        <v>0</v>
      </c>
      <c r="BW491" s="50">
        <f t="shared" si="717"/>
        <v>0</v>
      </c>
      <c r="BX491" s="50">
        <f t="shared" si="718"/>
        <v>0</v>
      </c>
      <c r="BY491" s="50">
        <f t="shared" si="718"/>
        <v>0</v>
      </c>
      <c r="BZ491" s="50">
        <f t="shared" si="719"/>
        <v>0</v>
      </c>
      <c r="CA491" s="50">
        <f t="shared" si="719"/>
        <v>0</v>
      </c>
      <c r="CB491" s="50">
        <f t="shared" si="719"/>
        <v>1</v>
      </c>
      <c r="CC491" s="50">
        <f t="shared" si="719"/>
        <v>0</v>
      </c>
      <c r="CD491" s="50">
        <f t="shared" si="719"/>
        <v>0</v>
      </c>
      <c r="CE491" s="50">
        <f t="shared" si="719"/>
        <v>1</v>
      </c>
      <c r="CF491" s="50">
        <f t="shared" si="719"/>
        <v>1</v>
      </c>
      <c r="CG491" s="50">
        <f t="shared" si="719"/>
        <v>1</v>
      </c>
      <c r="CH491" s="50">
        <f t="shared" si="719"/>
        <v>1</v>
      </c>
      <c r="CI491" s="50">
        <f t="shared" si="719"/>
        <v>1</v>
      </c>
      <c r="CJ491" s="50">
        <f t="shared" si="719"/>
        <v>1</v>
      </c>
      <c r="CK491" s="50">
        <f t="shared" si="720"/>
        <v>0</v>
      </c>
      <c r="CL491" s="50">
        <f t="shared" si="720"/>
        <v>0</v>
      </c>
      <c r="CM491" s="51">
        <f t="shared" si="719"/>
        <v>0</v>
      </c>
      <c r="CN491" s="33">
        <f>ROUND(IF(BS491=0,0,HLOOKUP(BS$14,Villagers!$B$1:$V$33,BS491+3,FALSE)),)</f>
        <v>5</v>
      </c>
      <c r="CO491" s="14">
        <f>ROUND(IF(BT491=0,0,HLOOKUP(BT$14,Villagers!$B$1:$V$33,BT491+3,FALSE)),)</f>
        <v>0</v>
      </c>
      <c r="CP491" s="14">
        <f>ROUND(IF(BU491=0,0,HLOOKUP(BU$14,Villagers!$B$1:$V$33,BU491+3,FALSE)),)</f>
        <v>0</v>
      </c>
      <c r="CQ491" s="14">
        <f>ROUND(IF(BV491=0,0,HLOOKUP(BV$14,Villagers!$B$1:$V$33,BV491+3,FALSE)),)</f>
        <v>0</v>
      </c>
      <c r="CR491" s="14">
        <f>ROUND(IF(BW491=0,0,HLOOKUP(BW$14,Villagers!$B$1:$V$33,BW491+3,FALSE)),)</f>
        <v>0</v>
      </c>
      <c r="CS491" s="14">
        <f>ROUND(IF(BX491=0,0,HLOOKUP(BX$14,Villagers!$B$1:$V$33,BX491+3,FALSE)),)</f>
        <v>0</v>
      </c>
      <c r="CT491" s="14">
        <f>ROUND(IF(BY491=0,0,HLOOKUP(BY$14,Villagers!$B$1:$V$33,BY491+3,FALSE)),)</f>
        <v>0</v>
      </c>
      <c r="CU491" s="14">
        <f>ROUND(IF(BZ491=0,0,HLOOKUP(BZ$14,Villagers!$B$1:$V$33,BZ491+3,FALSE)),)</f>
        <v>0</v>
      </c>
      <c r="CV491" s="14">
        <f>ROUND(IF(CA491=0,0,HLOOKUP(CA$14,Villagers!$B$1:$V$33,CA491+3,FALSE)),)</f>
        <v>0</v>
      </c>
      <c r="CW491" s="14">
        <f>ROUND(IF(CB491=0,0,HLOOKUP(CB$14,Villagers!$B$1:$V$33,CB491+3,FALSE)),)</f>
        <v>0</v>
      </c>
      <c r="CX491" s="14">
        <f>ROUND(IF(CC491=0,0,HLOOKUP(CC$14,Villagers!$B$1:$V$33,CC491+3,FALSE)),)</f>
        <v>0</v>
      </c>
      <c r="CY491" s="14">
        <f>ROUND(IF(CD491=0,0,HLOOKUP(CD$14,Villagers!$B$1:$V$33,CD491+3,FALSE)),)</f>
        <v>0</v>
      </c>
      <c r="CZ491" s="14">
        <f>ROUND(IF(CE491=0,0,HLOOKUP(CE$14,Villagers!$B$1:$V$33,CE491+3,FALSE)),)</f>
        <v>5</v>
      </c>
      <c r="DA491" s="14">
        <f>ROUND(IF(CF491=0,0,HLOOKUP(CF$14,Villagers!$B$1:$V$33,CF491+3,FALSE)),)</f>
        <v>10</v>
      </c>
      <c r="DB491" s="14">
        <f>ROUND(IF(CG491=0,0,HLOOKUP(CG$14,Villagers!$B$1:$V$33,CG491+3,FALSE)),)</f>
        <v>10</v>
      </c>
      <c r="DC491" s="14">
        <f>ROUND(IF(CH491=0,0,HLOOKUP(CH$14,Villagers!$B$1:$V$33,CH491+3,FALSE)),)</f>
        <v>0</v>
      </c>
      <c r="DD491" s="14">
        <f>ROUND(IF(CI491=0,0,HLOOKUP(CI$14,Villagers!$B$1:$V$33,CI491+3,FALSE)),)</f>
        <v>0</v>
      </c>
      <c r="DE491" s="14">
        <f>ROUND(IF(CJ491=0,0,HLOOKUP(CJ$14,Villagers!$B$1:$V$33,CJ491+3,FALSE)),)</f>
        <v>2</v>
      </c>
      <c r="DF491" s="370">
        <f>ROUND(IF(CK491=0,0,HLOOKUP(CK$14,Villagers!$B$1:$V$33,CK491+3,FALSE)),)</f>
        <v>0</v>
      </c>
      <c r="DG491" s="370">
        <f>ROUND(IF(CL491=0,0,HLOOKUP(CL$14,Villagers!$B$1:$V$33,CL491+3,FALSE)),)</f>
        <v>0</v>
      </c>
      <c r="DH491" s="34">
        <f>ROUND(IF(CM491=0,0,HLOOKUP(CM$14,Villagers!$B$1:$V$33,CM491+3,FALSE)),)</f>
        <v>0</v>
      </c>
      <c r="DI491" s="109">
        <f t="shared" si="705"/>
        <v>0</v>
      </c>
      <c r="DJ491" s="50">
        <f t="shared" si="706"/>
        <v>0</v>
      </c>
      <c r="DK491" s="50">
        <f t="shared" si="707"/>
        <v>0</v>
      </c>
      <c r="DL491" s="50">
        <f t="shared" si="708"/>
        <v>0</v>
      </c>
      <c r="DM491" s="50">
        <f t="shared" si="709"/>
        <v>0</v>
      </c>
      <c r="DN491" s="50">
        <f t="shared" si="710"/>
        <v>0</v>
      </c>
      <c r="DO491" s="50">
        <f t="shared" si="711"/>
        <v>0</v>
      </c>
      <c r="DP491" s="50">
        <f t="shared" si="712"/>
        <v>0</v>
      </c>
      <c r="DQ491" s="50">
        <f t="shared" si="690"/>
        <v>0</v>
      </c>
      <c r="DR491" s="50">
        <f t="shared" si="691"/>
        <v>0</v>
      </c>
      <c r="DS491" s="96">
        <f>Miscelaneous!$D$4*Miscelaneous!$D$2^($CI491-1)</f>
        <v>1000</v>
      </c>
      <c r="DT491" s="333">
        <f t="shared" si="672"/>
        <v>1</v>
      </c>
      <c r="DU491" s="81">
        <v>1</v>
      </c>
      <c r="DV491" s="79">
        <f t="shared" si="692"/>
        <v>0</v>
      </c>
      <c r="DW491" s="79">
        <f t="shared" si="693"/>
        <v>0</v>
      </c>
      <c r="DX491" s="79">
        <f t="shared" si="694"/>
        <v>0</v>
      </c>
      <c r="DY491" s="79">
        <v>1</v>
      </c>
      <c r="DZ491" s="79">
        <f t="shared" si="695"/>
        <v>0</v>
      </c>
      <c r="EA491" s="79">
        <f t="shared" si="696"/>
        <v>0</v>
      </c>
      <c r="EB491" s="79">
        <f t="shared" si="697"/>
        <v>0</v>
      </c>
      <c r="EC491" s="79">
        <f t="shared" si="698"/>
        <v>0</v>
      </c>
      <c r="ED491" s="79">
        <v>1</v>
      </c>
      <c r="EE491" s="79">
        <v>1</v>
      </c>
      <c r="EF491" s="79">
        <f t="shared" si="699"/>
        <v>0</v>
      </c>
      <c r="EG491" s="79">
        <v>1</v>
      </c>
      <c r="EH491" s="79">
        <v>1</v>
      </c>
      <c r="EI491" s="79">
        <v>1</v>
      </c>
      <c r="EJ491" s="79">
        <v>1</v>
      </c>
      <c r="EK491" s="79">
        <v>1</v>
      </c>
      <c r="EL491" s="79">
        <v>1</v>
      </c>
      <c r="EM491" s="143">
        <f t="shared" si="700"/>
        <v>0</v>
      </c>
      <c r="EN491" s="143">
        <f t="shared" si="701"/>
        <v>0</v>
      </c>
      <c r="EO491" s="82">
        <f t="shared" si="702"/>
        <v>0</v>
      </c>
    </row>
    <row r="492" spans="1:145" x14ac:dyDescent="0.25">
      <c r="A492">
        <v>478</v>
      </c>
      <c r="B492" s="172" t="e">
        <f t="shared" si="673"/>
        <v>#N/A</v>
      </c>
      <c r="C492" s="121" t="e">
        <f t="shared" si="652"/>
        <v>#N/A</v>
      </c>
      <c r="D492" s="122" t="e">
        <f t="shared" si="653"/>
        <v>#N/A</v>
      </c>
      <c r="E492" s="122" t="e">
        <f t="shared" si="654"/>
        <v>#N/A</v>
      </c>
      <c r="F492" s="176" t="e">
        <f t="shared" si="655"/>
        <v>#N/A</v>
      </c>
      <c r="G492" s="121">
        <f t="shared" si="674"/>
        <v>208</v>
      </c>
      <c r="H492" s="176" t="e">
        <f t="shared" si="675"/>
        <v>#N/A</v>
      </c>
      <c r="I492" s="48">
        <v>1</v>
      </c>
      <c r="J492" s="39"/>
      <c r="K492" s="350">
        <v>1</v>
      </c>
      <c r="L492" s="34" t="e">
        <f t="shared" si="656"/>
        <v>#N/A</v>
      </c>
      <c r="M492" s="38" t="e">
        <f>(HLOOKUP(J492,'Construction Times'!$B$3:$W$34,L492+2,FALSE)*HLOOKUP("hq modifier",'Construction Times'!$W$3:$W$34,BS492+2,FALSE))*(1-$H$9)</f>
        <v>#N/A</v>
      </c>
      <c r="N492" s="443" t="e">
        <f t="shared" si="676"/>
        <v>#N/A</v>
      </c>
      <c r="O492" s="444"/>
      <c r="P492" s="447" t="e">
        <f t="shared" si="677"/>
        <v>#N/A</v>
      </c>
      <c r="Q492" s="448"/>
      <c r="R492" s="103">
        <f t="shared" si="703"/>
        <v>0</v>
      </c>
      <c r="S492" s="104">
        <f t="shared" si="703"/>
        <v>0</v>
      </c>
      <c r="T492" s="104">
        <f t="shared" si="704"/>
        <v>0</v>
      </c>
      <c r="U492" s="104">
        <f t="shared" si="704"/>
        <v>0</v>
      </c>
      <c r="V492" s="104">
        <f t="shared" si="704"/>
        <v>9.9999999999999995E-8</v>
      </c>
      <c r="W492" s="104">
        <f t="shared" si="704"/>
        <v>0</v>
      </c>
      <c r="X492" s="104">
        <f t="shared" si="651"/>
        <v>0</v>
      </c>
      <c r="Y492" s="104">
        <f t="shared" si="651"/>
        <v>9.9999999999999995E-8</v>
      </c>
      <c r="Z492" s="104">
        <f t="shared" si="651"/>
        <v>9.9999999999999995E-8</v>
      </c>
      <c r="AA492" s="105">
        <f t="shared" si="651"/>
        <v>9.9999999999999995E-8</v>
      </c>
      <c r="AB492" s="101" t="e">
        <f>$DT492*HLOOKUP($J492,'Construction Costs (timber)'!$B$1:$V$32,'Construction Planner'!$L492+2,FALSE)</f>
        <v>#N/A</v>
      </c>
      <c r="AC492" s="14" t="e">
        <f>$DT492*HLOOKUP($J492,'Construction Costs (clay)'!$B$1:$V$32,'Construction Planner'!$L492+2,FALSE)</f>
        <v>#N/A</v>
      </c>
      <c r="AD492" s="14" t="e">
        <f>$DT492*HLOOKUP($J492,'Construction Costs (iron)'!$B$1:$V$32,'Construction Planner'!$L492+2,FALSE)</f>
        <v>#N/A</v>
      </c>
      <c r="AE492" s="34" t="e">
        <f t="shared" si="713"/>
        <v>#N/A</v>
      </c>
      <c r="AF492" s="33" t="e">
        <f t="shared" si="657"/>
        <v>#N/A</v>
      </c>
      <c r="AG492" s="14" t="e">
        <f t="shared" si="658"/>
        <v>#N/A</v>
      </c>
      <c r="AH492" s="14" t="e">
        <f t="shared" si="659"/>
        <v>#N/A</v>
      </c>
      <c r="AI492" s="34" t="e">
        <f t="shared" si="714"/>
        <v>#N/A</v>
      </c>
      <c r="AJ492" s="49" t="e">
        <f t="shared" si="678"/>
        <v>#N/A</v>
      </c>
      <c r="AK492" s="49" t="e">
        <f t="shared" si="679"/>
        <v>#N/A</v>
      </c>
      <c r="AL492" s="49" t="e">
        <f t="shared" si="680"/>
        <v>#N/A</v>
      </c>
      <c r="AM492" s="25">
        <f t="shared" si="660"/>
        <v>30</v>
      </c>
      <c r="AN492" s="25">
        <f t="shared" si="661"/>
        <v>30</v>
      </c>
      <c r="AO492" s="25">
        <f t="shared" si="662"/>
        <v>30</v>
      </c>
      <c r="AP492" s="52" t="e">
        <f t="shared" si="681"/>
        <v>#N/A</v>
      </c>
      <c r="AQ492" s="53" t="e">
        <f t="shared" si="681"/>
        <v>#N/A</v>
      </c>
      <c r="AR492" s="54" t="e">
        <f t="shared" si="681"/>
        <v>#N/A</v>
      </c>
      <c r="AS492" s="316">
        <f t="shared" si="721"/>
        <v>0</v>
      </c>
      <c r="AT492" s="106">
        <f>_xlfn.IFNA($M492/VLOOKUP($BT492,'Unit information'!$A$2:$K$29,2,FALSE)*R492,0)*(1+$E$9)</f>
        <v>0</v>
      </c>
      <c r="AU492" s="107">
        <f>_xlfn.IFNA($M492/VLOOKUP($BT492,'Unit information'!$A$2:$K$29,3,FALSE)*S492,0)*(1+$E$9)</f>
        <v>0</v>
      </c>
      <c r="AV492" s="107">
        <f>_xlfn.IFNA($M492/VLOOKUP($BT492,'Unit information'!$A$2:$K$29,4,FALSE)*T492,0)*(1+$E$9)</f>
        <v>0</v>
      </c>
      <c r="AW492" s="107">
        <f>_xlfn.IFNA($M492/VLOOKUP($BT492,'Unit information'!$A$2:$K$29,5,FALSE)*U492,0)*(1+$E$9)</f>
        <v>0</v>
      </c>
      <c r="AX492" s="107">
        <f>_xlfn.IFNA($M492/VLOOKUP($BU492,'Unit information'!$A$2:$K$29,6,FALSE)*V492,0)*(1+$E$9)</f>
        <v>0</v>
      </c>
      <c r="AY492" s="107">
        <f>_xlfn.IFNA($M492/VLOOKUP($BU492,'Unit information'!$A$2:$K$29,7,FALSE)*W492,0)*(1+$E$9)</f>
        <v>0</v>
      </c>
      <c r="AZ492" s="107">
        <f>_xlfn.IFNA($M492/VLOOKUP($BU492,'Unit information'!$A$2:$K$29,8,FALSE)*X492,0)*(1+$E$9)</f>
        <v>0</v>
      </c>
      <c r="BA492" s="107">
        <f>_xlfn.IFNA($M492/VLOOKUP($BU492,'Unit information'!$A$2:$K$29,9,FALSE)*Y492,0)*(1+$E$9)</f>
        <v>0</v>
      </c>
      <c r="BB492" s="107">
        <f>_xlfn.IFNA($M492/VLOOKUP($BV492,'Unit information'!$A$2:$K$29,10,FALSE)*Z492,0)*(1+$E$9)</f>
        <v>0</v>
      </c>
      <c r="BC492" s="108">
        <f>_xlfn.IFNA($M492/VLOOKUP($BV492,'Unit information'!$A$2:$K$29,11,FALSE)*AA492,0)*(1+$E$9)</f>
        <v>0</v>
      </c>
      <c r="BD492" s="106">
        <f t="shared" si="663"/>
        <v>0</v>
      </c>
      <c r="BE492" s="107">
        <f t="shared" si="664"/>
        <v>0</v>
      </c>
      <c r="BF492" s="108">
        <f t="shared" si="665"/>
        <v>0</v>
      </c>
      <c r="BG492" s="25" t="e">
        <f t="shared" si="666"/>
        <v>#N/A</v>
      </c>
      <c r="BH492" s="25" t="e">
        <f t="shared" si="667"/>
        <v>#N/A</v>
      </c>
      <c r="BI492" s="25" t="e">
        <f t="shared" si="668"/>
        <v>#N/A</v>
      </c>
      <c r="BJ492" s="27" t="e">
        <f t="shared" si="669"/>
        <v>#N/A</v>
      </c>
      <c r="BK492" s="18" t="e">
        <f t="shared" si="670"/>
        <v>#N/A</v>
      </c>
      <c r="BL492" s="18" t="e">
        <f t="shared" si="671"/>
        <v>#N/A</v>
      </c>
      <c r="BM492" s="28" t="e">
        <f t="shared" si="716"/>
        <v>#N/A</v>
      </c>
      <c r="BN492" s="33">
        <f>HLOOKUP("maximum population",Miscelaneous!$C$1:$C$33,CH492+3,FALSE)</f>
        <v>240</v>
      </c>
      <c r="BO492" s="14">
        <f t="shared" si="682"/>
        <v>32</v>
      </c>
      <c r="BP492" s="14">
        <f t="shared" si="683"/>
        <v>0</v>
      </c>
      <c r="BQ492" s="14">
        <f t="shared" si="684"/>
        <v>208</v>
      </c>
      <c r="BR492" s="34" t="e">
        <f>HLOOKUP(J492,Villagers!$B$1:$V$33,L492+3,FALSE)-HLOOKUP(J492,Villagers!$B$1:$V$33,L492+2,FALSE)</f>
        <v>#N/A</v>
      </c>
      <c r="BS492" s="49">
        <f t="shared" si="719"/>
        <v>1</v>
      </c>
      <c r="BT492" s="50">
        <f t="shared" si="719"/>
        <v>0</v>
      </c>
      <c r="BU492" s="50">
        <f t="shared" si="719"/>
        <v>0</v>
      </c>
      <c r="BV492" s="50">
        <f t="shared" si="719"/>
        <v>0</v>
      </c>
      <c r="BW492" s="50">
        <f t="shared" si="717"/>
        <v>0</v>
      </c>
      <c r="BX492" s="50">
        <f t="shared" si="718"/>
        <v>0</v>
      </c>
      <c r="BY492" s="50">
        <f t="shared" si="718"/>
        <v>0</v>
      </c>
      <c r="BZ492" s="50">
        <f t="shared" si="719"/>
        <v>0</v>
      </c>
      <c r="CA492" s="50">
        <f t="shared" si="719"/>
        <v>0</v>
      </c>
      <c r="CB492" s="50">
        <f t="shared" si="719"/>
        <v>1</v>
      </c>
      <c r="CC492" s="50">
        <f t="shared" si="719"/>
        <v>0</v>
      </c>
      <c r="CD492" s="50">
        <f t="shared" si="719"/>
        <v>0</v>
      </c>
      <c r="CE492" s="50">
        <f t="shared" si="719"/>
        <v>1</v>
      </c>
      <c r="CF492" s="50">
        <f t="shared" si="719"/>
        <v>1</v>
      </c>
      <c r="CG492" s="50">
        <f t="shared" si="719"/>
        <v>1</v>
      </c>
      <c r="CH492" s="50">
        <f t="shared" si="719"/>
        <v>1</v>
      </c>
      <c r="CI492" s="50">
        <f t="shared" si="719"/>
        <v>1</v>
      </c>
      <c r="CJ492" s="50">
        <f t="shared" si="719"/>
        <v>1</v>
      </c>
      <c r="CK492" s="50">
        <f t="shared" si="720"/>
        <v>0</v>
      </c>
      <c r="CL492" s="50">
        <f t="shared" si="720"/>
        <v>0</v>
      </c>
      <c r="CM492" s="51">
        <f t="shared" si="719"/>
        <v>0</v>
      </c>
      <c r="CN492" s="33">
        <f>ROUND(IF(BS492=0,0,HLOOKUP(BS$14,Villagers!$B$1:$V$33,BS492+3,FALSE)),)</f>
        <v>5</v>
      </c>
      <c r="CO492" s="14">
        <f>ROUND(IF(BT492=0,0,HLOOKUP(BT$14,Villagers!$B$1:$V$33,BT492+3,FALSE)),)</f>
        <v>0</v>
      </c>
      <c r="CP492" s="14">
        <f>ROUND(IF(BU492=0,0,HLOOKUP(BU$14,Villagers!$B$1:$V$33,BU492+3,FALSE)),)</f>
        <v>0</v>
      </c>
      <c r="CQ492" s="14">
        <f>ROUND(IF(BV492=0,0,HLOOKUP(BV$14,Villagers!$B$1:$V$33,BV492+3,FALSE)),)</f>
        <v>0</v>
      </c>
      <c r="CR492" s="14">
        <f>ROUND(IF(BW492=0,0,HLOOKUP(BW$14,Villagers!$B$1:$V$33,BW492+3,FALSE)),)</f>
        <v>0</v>
      </c>
      <c r="CS492" s="14">
        <f>ROUND(IF(BX492=0,0,HLOOKUP(BX$14,Villagers!$B$1:$V$33,BX492+3,FALSE)),)</f>
        <v>0</v>
      </c>
      <c r="CT492" s="14">
        <f>ROUND(IF(BY492=0,0,HLOOKUP(BY$14,Villagers!$B$1:$V$33,BY492+3,FALSE)),)</f>
        <v>0</v>
      </c>
      <c r="CU492" s="14">
        <f>ROUND(IF(BZ492=0,0,HLOOKUP(BZ$14,Villagers!$B$1:$V$33,BZ492+3,FALSE)),)</f>
        <v>0</v>
      </c>
      <c r="CV492" s="14">
        <f>ROUND(IF(CA492=0,0,HLOOKUP(CA$14,Villagers!$B$1:$V$33,CA492+3,FALSE)),)</f>
        <v>0</v>
      </c>
      <c r="CW492" s="14">
        <f>ROUND(IF(CB492=0,0,HLOOKUP(CB$14,Villagers!$B$1:$V$33,CB492+3,FALSE)),)</f>
        <v>0</v>
      </c>
      <c r="CX492" s="14">
        <f>ROUND(IF(CC492=0,0,HLOOKUP(CC$14,Villagers!$B$1:$V$33,CC492+3,FALSE)),)</f>
        <v>0</v>
      </c>
      <c r="CY492" s="14">
        <f>ROUND(IF(CD492=0,0,HLOOKUP(CD$14,Villagers!$B$1:$V$33,CD492+3,FALSE)),)</f>
        <v>0</v>
      </c>
      <c r="CZ492" s="14">
        <f>ROUND(IF(CE492=0,0,HLOOKUP(CE$14,Villagers!$B$1:$V$33,CE492+3,FALSE)),)</f>
        <v>5</v>
      </c>
      <c r="DA492" s="14">
        <f>ROUND(IF(CF492=0,0,HLOOKUP(CF$14,Villagers!$B$1:$V$33,CF492+3,FALSE)),)</f>
        <v>10</v>
      </c>
      <c r="DB492" s="14">
        <f>ROUND(IF(CG492=0,0,HLOOKUP(CG$14,Villagers!$B$1:$V$33,CG492+3,FALSE)),)</f>
        <v>10</v>
      </c>
      <c r="DC492" s="14">
        <f>ROUND(IF(CH492=0,0,HLOOKUP(CH$14,Villagers!$B$1:$V$33,CH492+3,FALSE)),)</f>
        <v>0</v>
      </c>
      <c r="DD492" s="14">
        <f>ROUND(IF(CI492=0,0,HLOOKUP(CI$14,Villagers!$B$1:$V$33,CI492+3,FALSE)),)</f>
        <v>0</v>
      </c>
      <c r="DE492" s="14">
        <f>ROUND(IF(CJ492=0,0,HLOOKUP(CJ$14,Villagers!$B$1:$V$33,CJ492+3,FALSE)),)</f>
        <v>2</v>
      </c>
      <c r="DF492" s="370">
        <f>ROUND(IF(CK492=0,0,HLOOKUP(CK$14,Villagers!$B$1:$V$33,CK492+3,FALSE)),)</f>
        <v>0</v>
      </c>
      <c r="DG492" s="370">
        <f>ROUND(IF(CL492=0,0,HLOOKUP(CL$14,Villagers!$B$1:$V$33,CL492+3,FALSE)),)</f>
        <v>0</v>
      </c>
      <c r="DH492" s="34">
        <f>ROUND(IF(CM492=0,0,HLOOKUP(CM$14,Villagers!$B$1:$V$33,CM492+3,FALSE)),)</f>
        <v>0</v>
      </c>
      <c r="DI492" s="109">
        <f t="shared" si="705"/>
        <v>0</v>
      </c>
      <c r="DJ492" s="50">
        <f t="shared" si="706"/>
        <v>0</v>
      </c>
      <c r="DK492" s="50">
        <f t="shared" si="707"/>
        <v>0</v>
      </c>
      <c r="DL492" s="50">
        <f t="shared" si="708"/>
        <v>0</v>
      </c>
      <c r="DM492" s="50">
        <f t="shared" si="709"/>
        <v>0</v>
      </c>
      <c r="DN492" s="50">
        <f t="shared" si="710"/>
        <v>0</v>
      </c>
      <c r="DO492" s="50">
        <f t="shared" si="711"/>
        <v>0</v>
      </c>
      <c r="DP492" s="50">
        <f t="shared" si="712"/>
        <v>0</v>
      </c>
      <c r="DQ492" s="50">
        <f t="shared" si="690"/>
        <v>0</v>
      </c>
      <c r="DR492" s="50">
        <f t="shared" si="691"/>
        <v>0</v>
      </c>
      <c r="DS492" s="96">
        <f>Miscelaneous!$D$4*Miscelaneous!$D$2^($CI492-1)</f>
        <v>1000</v>
      </c>
      <c r="DT492" s="333">
        <f t="shared" si="672"/>
        <v>1</v>
      </c>
      <c r="DU492" s="81">
        <v>1</v>
      </c>
      <c r="DV492" s="79">
        <f t="shared" si="692"/>
        <v>0</v>
      </c>
      <c r="DW492" s="79">
        <f t="shared" si="693"/>
        <v>0</v>
      </c>
      <c r="DX492" s="79">
        <f t="shared" si="694"/>
        <v>0</v>
      </c>
      <c r="DY492" s="79">
        <v>1</v>
      </c>
      <c r="DZ492" s="79">
        <f t="shared" si="695"/>
        <v>0</v>
      </c>
      <c r="EA492" s="79">
        <f t="shared" si="696"/>
        <v>0</v>
      </c>
      <c r="EB492" s="79">
        <f t="shared" si="697"/>
        <v>0</v>
      </c>
      <c r="EC492" s="79">
        <f t="shared" si="698"/>
        <v>0</v>
      </c>
      <c r="ED492" s="79">
        <v>1</v>
      </c>
      <c r="EE492" s="79">
        <v>1</v>
      </c>
      <c r="EF492" s="79">
        <f t="shared" si="699"/>
        <v>0</v>
      </c>
      <c r="EG492" s="79">
        <v>1</v>
      </c>
      <c r="EH492" s="79">
        <v>1</v>
      </c>
      <c r="EI492" s="79">
        <v>1</v>
      </c>
      <c r="EJ492" s="79">
        <v>1</v>
      </c>
      <c r="EK492" s="79">
        <v>1</v>
      </c>
      <c r="EL492" s="79">
        <v>1</v>
      </c>
      <c r="EM492" s="143">
        <f t="shared" si="700"/>
        <v>0</v>
      </c>
      <c r="EN492" s="143">
        <f t="shared" si="701"/>
        <v>0</v>
      </c>
      <c r="EO492" s="82">
        <f t="shared" si="702"/>
        <v>0</v>
      </c>
    </row>
    <row r="493" spans="1:145" x14ac:dyDescent="0.25">
      <c r="A493">
        <v>479</v>
      </c>
      <c r="B493" s="172" t="e">
        <f t="shared" si="673"/>
        <v>#N/A</v>
      </c>
      <c r="C493" s="121" t="e">
        <f t="shared" si="652"/>
        <v>#N/A</v>
      </c>
      <c r="D493" s="122" t="e">
        <f t="shared" si="653"/>
        <v>#N/A</v>
      </c>
      <c r="E493" s="122" t="e">
        <f t="shared" si="654"/>
        <v>#N/A</v>
      </c>
      <c r="F493" s="176" t="e">
        <f t="shared" si="655"/>
        <v>#N/A</v>
      </c>
      <c r="G493" s="121">
        <f t="shared" si="674"/>
        <v>208</v>
      </c>
      <c r="H493" s="176" t="e">
        <f t="shared" si="675"/>
        <v>#N/A</v>
      </c>
      <c r="I493" s="48">
        <v>1</v>
      </c>
      <c r="J493" s="39"/>
      <c r="K493" s="350">
        <v>1</v>
      </c>
      <c r="L493" s="34" t="e">
        <f t="shared" si="656"/>
        <v>#N/A</v>
      </c>
      <c r="M493" s="38" t="e">
        <f>(HLOOKUP(J493,'Construction Times'!$B$3:$W$34,L493+2,FALSE)*HLOOKUP("hq modifier",'Construction Times'!$W$3:$W$34,BS493+2,FALSE))*(1-$H$9)</f>
        <v>#N/A</v>
      </c>
      <c r="N493" s="443" t="e">
        <f t="shared" si="676"/>
        <v>#N/A</v>
      </c>
      <c r="O493" s="444"/>
      <c r="P493" s="447" t="e">
        <f t="shared" si="677"/>
        <v>#N/A</v>
      </c>
      <c r="Q493" s="448"/>
      <c r="R493" s="103">
        <f t="shared" si="703"/>
        <v>0</v>
      </c>
      <c r="S493" s="104">
        <f t="shared" si="703"/>
        <v>0</v>
      </c>
      <c r="T493" s="104">
        <f t="shared" si="704"/>
        <v>0</v>
      </c>
      <c r="U493" s="104">
        <f t="shared" si="704"/>
        <v>0</v>
      </c>
      <c r="V493" s="104">
        <f t="shared" si="704"/>
        <v>9.9999999999999995E-8</v>
      </c>
      <c r="W493" s="104">
        <f t="shared" si="704"/>
        <v>0</v>
      </c>
      <c r="X493" s="104">
        <f t="shared" ref="X493:AA509" si="722">X492</f>
        <v>0</v>
      </c>
      <c r="Y493" s="104">
        <f t="shared" si="722"/>
        <v>9.9999999999999995E-8</v>
      </c>
      <c r="Z493" s="104">
        <f t="shared" si="722"/>
        <v>9.9999999999999995E-8</v>
      </c>
      <c r="AA493" s="105">
        <f t="shared" si="722"/>
        <v>9.9999999999999995E-8</v>
      </c>
      <c r="AB493" s="101" t="e">
        <f>$DT493*HLOOKUP($J493,'Construction Costs (timber)'!$B$1:$V$32,'Construction Planner'!$L493+2,FALSE)</f>
        <v>#N/A</v>
      </c>
      <c r="AC493" s="14" t="e">
        <f>$DT493*HLOOKUP($J493,'Construction Costs (clay)'!$B$1:$V$32,'Construction Planner'!$L493+2,FALSE)</f>
        <v>#N/A</v>
      </c>
      <c r="AD493" s="14" t="e">
        <f>$DT493*HLOOKUP($J493,'Construction Costs (iron)'!$B$1:$V$32,'Construction Planner'!$L493+2,FALSE)</f>
        <v>#N/A</v>
      </c>
      <c r="AE493" s="34" t="e">
        <f t="shared" si="713"/>
        <v>#N/A</v>
      </c>
      <c r="AF493" s="33" t="e">
        <f t="shared" si="657"/>
        <v>#N/A</v>
      </c>
      <c r="AG493" s="14" t="e">
        <f t="shared" si="658"/>
        <v>#N/A</v>
      </c>
      <c r="AH493" s="14" t="e">
        <f t="shared" si="659"/>
        <v>#N/A</v>
      </c>
      <c r="AI493" s="34" t="e">
        <f t="shared" si="714"/>
        <v>#N/A</v>
      </c>
      <c r="AJ493" s="49" t="e">
        <f t="shared" si="678"/>
        <v>#N/A</v>
      </c>
      <c r="AK493" s="49" t="e">
        <f t="shared" si="679"/>
        <v>#N/A</v>
      </c>
      <c r="AL493" s="49" t="e">
        <f t="shared" si="680"/>
        <v>#N/A</v>
      </c>
      <c r="AM493" s="25">
        <f t="shared" si="660"/>
        <v>30</v>
      </c>
      <c r="AN493" s="25">
        <f t="shared" si="661"/>
        <v>30</v>
      </c>
      <c r="AO493" s="25">
        <f t="shared" si="662"/>
        <v>30</v>
      </c>
      <c r="AP493" s="52" t="e">
        <f t="shared" si="681"/>
        <v>#N/A</v>
      </c>
      <c r="AQ493" s="53" t="e">
        <f t="shared" si="681"/>
        <v>#N/A</v>
      </c>
      <c r="AR493" s="54" t="e">
        <f t="shared" si="681"/>
        <v>#N/A</v>
      </c>
      <c r="AS493" s="316">
        <f t="shared" si="721"/>
        <v>0</v>
      </c>
      <c r="AT493" s="106">
        <f>_xlfn.IFNA($M493/VLOOKUP($BT493,'Unit information'!$A$2:$K$29,2,FALSE)*R493,0)*(1+$E$9)</f>
        <v>0</v>
      </c>
      <c r="AU493" s="107">
        <f>_xlfn.IFNA($M493/VLOOKUP($BT493,'Unit information'!$A$2:$K$29,3,FALSE)*S493,0)*(1+$E$9)</f>
        <v>0</v>
      </c>
      <c r="AV493" s="107">
        <f>_xlfn.IFNA($M493/VLOOKUP($BT493,'Unit information'!$A$2:$K$29,4,FALSE)*T493,0)*(1+$E$9)</f>
        <v>0</v>
      </c>
      <c r="AW493" s="107">
        <f>_xlfn.IFNA($M493/VLOOKUP($BT493,'Unit information'!$A$2:$K$29,5,FALSE)*U493,0)*(1+$E$9)</f>
        <v>0</v>
      </c>
      <c r="AX493" s="107">
        <f>_xlfn.IFNA($M493/VLOOKUP($BU493,'Unit information'!$A$2:$K$29,6,FALSE)*V493,0)*(1+$E$9)</f>
        <v>0</v>
      </c>
      <c r="AY493" s="107">
        <f>_xlfn.IFNA($M493/VLOOKUP($BU493,'Unit information'!$A$2:$K$29,7,FALSE)*W493,0)*(1+$E$9)</f>
        <v>0</v>
      </c>
      <c r="AZ493" s="107">
        <f>_xlfn.IFNA($M493/VLOOKUP($BU493,'Unit information'!$A$2:$K$29,8,FALSE)*X493,0)*(1+$E$9)</f>
        <v>0</v>
      </c>
      <c r="BA493" s="107">
        <f>_xlfn.IFNA($M493/VLOOKUP($BU493,'Unit information'!$A$2:$K$29,9,FALSE)*Y493,0)*(1+$E$9)</f>
        <v>0</v>
      </c>
      <c r="BB493" s="107">
        <f>_xlfn.IFNA($M493/VLOOKUP($BV493,'Unit information'!$A$2:$K$29,10,FALSE)*Z493,0)*(1+$E$9)</f>
        <v>0</v>
      </c>
      <c r="BC493" s="108">
        <f>_xlfn.IFNA($M493/VLOOKUP($BV493,'Unit information'!$A$2:$K$29,11,FALSE)*AA493,0)*(1+$E$9)</f>
        <v>0</v>
      </c>
      <c r="BD493" s="106">
        <f t="shared" si="663"/>
        <v>0</v>
      </c>
      <c r="BE493" s="107">
        <f t="shared" si="664"/>
        <v>0</v>
      </c>
      <c r="BF493" s="108">
        <f t="shared" si="665"/>
        <v>0</v>
      </c>
      <c r="BG493" s="25" t="e">
        <f t="shared" si="666"/>
        <v>#N/A</v>
      </c>
      <c r="BH493" s="25" t="e">
        <f t="shared" si="667"/>
        <v>#N/A</v>
      </c>
      <c r="BI493" s="25" t="e">
        <f t="shared" si="668"/>
        <v>#N/A</v>
      </c>
      <c r="BJ493" s="27" t="e">
        <f t="shared" si="669"/>
        <v>#N/A</v>
      </c>
      <c r="BK493" s="18" t="e">
        <f t="shared" si="670"/>
        <v>#N/A</v>
      </c>
      <c r="BL493" s="18" t="e">
        <f t="shared" si="671"/>
        <v>#N/A</v>
      </c>
      <c r="BM493" s="28" t="e">
        <f t="shared" si="716"/>
        <v>#N/A</v>
      </c>
      <c r="BN493" s="33">
        <f>HLOOKUP("maximum population",Miscelaneous!$C$1:$C$33,CH493+3,FALSE)</f>
        <v>240</v>
      </c>
      <c r="BO493" s="14">
        <f t="shared" si="682"/>
        <v>32</v>
      </c>
      <c r="BP493" s="14">
        <f t="shared" si="683"/>
        <v>0</v>
      </c>
      <c r="BQ493" s="14">
        <f t="shared" si="684"/>
        <v>208</v>
      </c>
      <c r="BR493" s="34" t="e">
        <f>HLOOKUP(J493,Villagers!$B$1:$V$33,L493+3,FALSE)-HLOOKUP(J493,Villagers!$B$1:$V$33,L493+2,FALSE)</f>
        <v>#N/A</v>
      </c>
      <c r="BS493" s="49">
        <f t="shared" si="719"/>
        <v>1</v>
      </c>
      <c r="BT493" s="50">
        <f t="shared" si="719"/>
        <v>0</v>
      </c>
      <c r="BU493" s="50">
        <f t="shared" si="719"/>
        <v>0</v>
      </c>
      <c r="BV493" s="50">
        <f t="shared" si="719"/>
        <v>0</v>
      </c>
      <c r="BW493" s="50">
        <f t="shared" si="717"/>
        <v>0</v>
      </c>
      <c r="BX493" s="50">
        <f t="shared" si="718"/>
        <v>0</v>
      </c>
      <c r="BY493" s="50">
        <f t="shared" si="718"/>
        <v>0</v>
      </c>
      <c r="BZ493" s="50">
        <f t="shared" si="719"/>
        <v>0</v>
      </c>
      <c r="CA493" s="50">
        <f t="shared" si="719"/>
        <v>0</v>
      </c>
      <c r="CB493" s="50">
        <f t="shared" si="719"/>
        <v>1</v>
      </c>
      <c r="CC493" s="50">
        <f t="shared" si="719"/>
        <v>0</v>
      </c>
      <c r="CD493" s="50">
        <f t="shared" si="719"/>
        <v>0</v>
      </c>
      <c r="CE493" s="50">
        <f t="shared" si="719"/>
        <v>1</v>
      </c>
      <c r="CF493" s="50">
        <f t="shared" si="719"/>
        <v>1</v>
      </c>
      <c r="CG493" s="50">
        <f t="shared" si="719"/>
        <v>1</v>
      </c>
      <c r="CH493" s="50">
        <f t="shared" si="719"/>
        <v>1</v>
      </c>
      <c r="CI493" s="50">
        <f t="shared" si="719"/>
        <v>1</v>
      </c>
      <c r="CJ493" s="50">
        <f t="shared" si="719"/>
        <v>1</v>
      </c>
      <c r="CK493" s="50">
        <f t="shared" si="720"/>
        <v>0</v>
      </c>
      <c r="CL493" s="50">
        <f t="shared" si="720"/>
        <v>0</v>
      </c>
      <c r="CM493" s="51">
        <f t="shared" si="719"/>
        <v>0</v>
      </c>
      <c r="CN493" s="33">
        <f>ROUND(IF(BS493=0,0,HLOOKUP(BS$14,Villagers!$B$1:$V$33,BS493+3,FALSE)),)</f>
        <v>5</v>
      </c>
      <c r="CO493" s="14">
        <f>ROUND(IF(BT493=0,0,HLOOKUP(BT$14,Villagers!$B$1:$V$33,BT493+3,FALSE)),)</f>
        <v>0</v>
      </c>
      <c r="CP493" s="14">
        <f>ROUND(IF(BU493=0,0,HLOOKUP(BU$14,Villagers!$B$1:$V$33,BU493+3,FALSE)),)</f>
        <v>0</v>
      </c>
      <c r="CQ493" s="14">
        <f>ROUND(IF(BV493=0,0,HLOOKUP(BV$14,Villagers!$B$1:$V$33,BV493+3,FALSE)),)</f>
        <v>0</v>
      </c>
      <c r="CR493" s="14">
        <f>ROUND(IF(BW493=0,0,HLOOKUP(BW$14,Villagers!$B$1:$V$33,BW493+3,FALSE)),)</f>
        <v>0</v>
      </c>
      <c r="CS493" s="14">
        <f>ROUND(IF(BX493=0,0,HLOOKUP(BX$14,Villagers!$B$1:$V$33,BX493+3,FALSE)),)</f>
        <v>0</v>
      </c>
      <c r="CT493" s="14">
        <f>ROUND(IF(BY493=0,0,HLOOKUP(BY$14,Villagers!$B$1:$V$33,BY493+3,FALSE)),)</f>
        <v>0</v>
      </c>
      <c r="CU493" s="14">
        <f>ROUND(IF(BZ493=0,0,HLOOKUP(BZ$14,Villagers!$B$1:$V$33,BZ493+3,FALSE)),)</f>
        <v>0</v>
      </c>
      <c r="CV493" s="14">
        <f>ROUND(IF(CA493=0,0,HLOOKUP(CA$14,Villagers!$B$1:$V$33,CA493+3,FALSE)),)</f>
        <v>0</v>
      </c>
      <c r="CW493" s="14">
        <f>ROUND(IF(CB493=0,0,HLOOKUP(CB$14,Villagers!$B$1:$V$33,CB493+3,FALSE)),)</f>
        <v>0</v>
      </c>
      <c r="CX493" s="14">
        <f>ROUND(IF(CC493=0,0,HLOOKUP(CC$14,Villagers!$B$1:$V$33,CC493+3,FALSE)),)</f>
        <v>0</v>
      </c>
      <c r="CY493" s="14">
        <f>ROUND(IF(CD493=0,0,HLOOKUP(CD$14,Villagers!$B$1:$V$33,CD493+3,FALSE)),)</f>
        <v>0</v>
      </c>
      <c r="CZ493" s="14">
        <f>ROUND(IF(CE493=0,0,HLOOKUP(CE$14,Villagers!$B$1:$V$33,CE493+3,FALSE)),)</f>
        <v>5</v>
      </c>
      <c r="DA493" s="14">
        <f>ROUND(IF(CF493=0,0,HLOOKUP(CF$14,Villagers!$B$1:$V$33,CF493+3,FALSE)),)</f>
        <v>10</v>
      </c>
      <c r="DB493" s="14">
        <f>ROUND(IF(CG493=0,0,HLOOKUP(CG$14,Villagers!$B$1:$V$33,CG493+3,FALSE)),)</f>
        <v>10</v>
      </c>
      <c r="DC493" s="14">
        <f>ROUND(IF(CH493=0,0,HLOOKUP(CH$14,Villagers!$B$1:$V$33,CH493+3,FALSE)),)</f>
        <v>0</v>
      </c>
      <c r="DD493" s="14">
        <f>ROUND(IF(CI493=0,0,HLOOKUP(CI$14,Villagers!$B$1:$V$33,CI493+3,FALSE)),)</f>
        <v>0</v>
      </c>
      <c r="DE493" s="14">
        <f>ROUND(IF(CJ493=0,0,HLOOKUP(CJ$14,Villagers!$B$1:$V$33,CJ493+3,FALSE)),)</f>
        <v>2</v>
      </c>
      <c r="DF493" s="370">
        <f>ROUND(IF(CK493=0,0,HLOOKUP(CK$14,Villagers!$B$1:$V$33,CK493+3,FALSE)),)</f>
        <v>0</v>
      </c>
      <c r="DG493" s="370">
        <f>ROUND(IF(CL493=0,0,HLOOKUP(CL$14,Villagers!$B$1:$V$33,CL493+3,FALSE)),)</f>
        <v>0</v>
      </c>
      <c r="DH493" s="34">
        <f>ROUND(IF(CM493=0,0,HLOOKUP(CM$14,Villagers!$B$1:$V$33,CM493+3,FALSE)),)</f>
        <v>0</v>
      </c>
      <c r="DI493" s="109">
        <f t="shared" si="705"/>
        <v>0</v>
      </c>
      <c r="DJ493" s="50">
        <f t="shared" si="706"/>
        <v>0</v>
      </c>
      <c r="DK493" s="50">
        <f t="shared" si="707"/>
        <v>0</v>
      </c>
      <c r="DL493" s="50">
        <f t="shared" si="708"/>
        <v>0</v>
      </c>
      <c r="DM493" s="50">
        <f t="shared" si="709"/>
        <v>0</v>
      </c>
      <c r="DN493" s="50">
        <f t="shared" si="710"/>
        <v>0</v>
      </c>
      <c r="DO493" s="50">
        <f t="shared" si="711"/>
        <v>0</v>
      </c>
      <c r="DP493" s="50">
        <f t="shared" si="712"/>
        <v>0</v>
      </c>
      <c r="DQ493" s="50">
        <f t="shared" si="690"/>
        <v>0</v>
      </c>
      <c r="DR493" s="50">
        <f t="shared" si="691"/>
        <v>0</v>
      </c>
      <c r="DS493" s="96">
        <f>Miscelaneous!$D$4*Miscelaneous!$D$2^($CI493-1)</f>
        <v>1000</v>
      </c>
      <c r="DT493" s="333">
        <f t="shared" si="672"/>
        <v>1</v>
      </c>
      <c r="DU493" s="81">
        <v>1</v>
      </c>
      <c r="DV493" s="79">
        <f t="shared" si="692"/>
        <v>0</v>
      </c>
      <c r="DW493" s="79">
        <f t="shared" si="693"/>
        <v>0</v>
      </c>
      <c r="DX493" s="79">
        <f t="shared" si="694"/>
        <v>0</v>
      </c>
      <c r="DY493" s="79">
        <v>1</v>
      </c>
      <c r="DZ493" s="79">
        <f t="shared" si="695"/>
        <v>0</v>
      </c>
      <c r="EA493" s="79">
        <f t="shared" si="696"/>
        <v>0</v>
      </c>
      <c r="EB493" s="79">
        <f t="shared" si="697"/>
        <v>0</v>
      </c>
      <c r="EC493" s="79">
        <f t="shared" si="698"/>
        <v>0</v>
      </c>
      <c r="ED493" s="79">
        <v>1</v>
      </c>
      <c r="EE493" s="79">
        <v>1</v>
      </c>
      <c r="EF493" s="79">
        <f t="shared" si="699"/>
        <v>0</v>
      </c>
      <c r="EG493" s="79">
        <v>1</v>
      </c>
      <c r="EH493" s="79">
        <v>1</v>
      </c>
      <c r="EI493" s="79">
        <v>1</v>
      </c>
      <c r="EJ493" s="79">
        <v>1</v>
      </c>
      <c r="EK493" s="79">
        <v>1</v>
      </c>
      <c r="EL493" s="79">
        <v>1</v>
      </c>
      <c r="EM493" s="143">
        <f t="shared" si="700"/>
        <v>0</v>
      </c>
      <c r="EN493" s="143">
        <f t="shared" si="701"/>
        <v>0</v>
      </c>
      <c r="EO493" s="82">
        <f t="shared" si="702"/>
        <v>0</v>
      </c>
    </row>
    <row r="494" spans="1:145" x14ac:dyDescent="0.25">
      <c r="A494">
        <v>480</v>
      </c>
      <c r="B494" s="172" t="e">
        <f t="shared" si="673"/>
        <v>#N/A</v>
      </c>
      <c r="C494" s="121" t="e">
        <f t="shared" si="652"/>
        <v>#N/A</v>
      </c>
      <c r="D494" s="122" t="e">
        <f t="shared" si="653"/>
        <v>#N/A</v>
      </c>
      <c r="E494" s="122" t="e">
        <f t="shared" si="654"/>
        <v>#N/A</v>
      </c>
      <c r="F494" s="176" t="e">
        <f t="shared" si="655"/>
        <v>#N/A</v>
      </c>
      <c r="G494" s="121">
        <f t="shared" si="674"/>
        <v>208</v>
      </c>
      <c r="H494" s="176" t="e">
        <f t="shared" si="675"/>
        <v>#N/A</v>
      </c>
      <c r="I494" s="48">
        <v>1</v>
      </c>
      <c r="J494" s="39"/>
      <c r="K494" s="350">
        <v>1</v>
      </c>
      <c r="L494" s="34" t="e">
        <f t="shared" si="656"/>
        <v>#N/A</v>
      </c>
      <c r="M494" s="38" t="e">
        <f>(HLOOKUP(J494,'Construction Times'!$B$3:$W$34,L494+2,FALSE)*HLOOKUP("hq modifier",'Construction Times'!$W$3:$W$34,BS494+2,FALSE))*(1-$H$9)</f>
        <v>#N/A</v>
      </c>
      <c r="N494" s="443" t="e">
        <f t="shared" si="676"/>
        <v>#N/A</v>
      </c>
      <c r="O494" s="444"/>
      <c r="P494" s="447" t="e">
        <f t="shared" si="677"/>
        <v>#N/A</v>
      </c>
      <c r="Q494" s="448"/>
      <c r="R494" s="103">
        <f t="shared" si="703"/>
        <v>0</v>
      </c>
      <c r="S494" s="104">
        <f t="shared" si="703"/>
        <v>0</v>
      </c>
      <c r="T494" s="104">
        <f t="shared" si="704"/>
        <v>0</v>
      </c>
      <c r="U494" s="104">
        <f t="shared" si="704"/>
        <v>0</v>
      </c>
      <c r="V494" s="104">
        <f t="shared" si="704"/>
        <v>9.9999999999999995E-8</v>
      </c>
      <c r="W494" s="104">
        <f t="shared" si="704"/>
        <v>0</v>
      </c>
      <c r="X494" s="104">
        <f t="shared" si="722"/>
        <v>0</v>
      </c>
      <c r="Y494" s="104">
        <f t="shared" si="722"/>
        <v>9.9999999999999995E-8</v>
      </c>
      <c r="Z494" s="104">
        <f t="shared" si="722"/>
        <v>9.9999999999999995E-8</v>
      </c>
      <c r="AA494" s="105">
        <f t="shared" si="722"/>
        <v>9.9999999999999995E-8</v>
      </c>
      <c r="AB494" s="101" t="e">
        <f>$DT494*HLOOKUP($J494,'Construction Costs (timber)'!$B$1:$V$32,'Construction Planner'!$L494+2,FALSE)</f>
        <v>#N/A</v>
      </c>
      <c r="AC494" s="14" t="e">
        <f>$DT494*HLOOKUP($J494,'Construction Costs (clay)'!$B$1:$V$32,'Construction Planner'!$L494+2,FALSE)</f>
        <v>#N/A</v>
      </c>
      <c r="AD494" s="14" t="e">
        <f>$DT494*HLOOKUP($J494,'Construction Costs (iron)'!$B$1:$V$32,'Construction Planner'!$L494+2,FALSE)</f>
        <v>#N/A</v>
      </c>
      <c r="AE494" s="34" t="e">
        <f t="shared" si="713"/>
        <v>#N/A</v>
      </c>
      <c r="AF494" s="33" t="e">
        <f t="shared" si="657"/>
        <v>#N/A</v>
      </c>
      <c r="AG494" s="14" t="e">
        <f t="shared" si="658"/>
        <v>#N/A</v>
      </c>
      <c r="AH494" s="14" t="e">
        <f t="shared" si="659"/>
        <v>#N/A</v>
      </c>
      <c r="AI494" s="34" t="e">
        <f t="shared" si="714"/>
        <v>#N/A</v>
      </c>
      <c r="AJ494" s="49" t="e">
        <f t="shared" si="678"/>
        <v>#N/A</v>
      </c>
      <c r="AK494" s="49" t="e">
        <f t="shared" si="679"/>
        <v>#N/A</v>
      </c>
      <c r="AL494" s="49" t="e">
        <f t="shared" si="680"/>
        <v>#N/A</v>
      </c>
      <c r="AM494" s="25">
        <f t="shared" si="660"/>
        <v>30</v>
      </c>
      <c r="AN494" s="25">
        <f t="shared" si="661"/>
        <v>30</v>
      </c>
      <c r="AO494" s="25">
        <f t="shared" si="662"/>
        <v>30</v>
      </c>
      <c r="AP494" s="52" t="e">
        <f t="shared" si="681"/>
        <v>#N/A</v>
      </c>
      <c r="AQ494" s="53" t="e">
        <f t="shared" si="681"/>
        <v>#N/A</v>
      </c>
      <c r="AR494" s="54" t="e">
        <f t="shared" si="681"/>
        <v>#N/A</v>
      </c>
      <c r="AS494" s="316">
        <f t="shared" si="721"/>
        <v>0</v>
      </c>
      <c r="AT494" s="106">
        <f>_xlfn.IFNA($M494/VLOOKUP($BT494,'Unit information'!$A$2:$K$29,2,FALSE)*R494,0)*(1+$E$9)</f>
        <v>0</v>
      </c>
      <c r="AU494" s="107">
        <f>_xlfn.IFNA($M494/VLOOKUP($BT494,'Unit information'!$A$2:$K$29,3,FALSE)*S494,0)*(1+$E$9)</f>
        <v>0</v>
      </c>
      <c r="AV494" s="107">
        <f>_xlfn.IFNA($M494/VLOOKUP($BT494,'Unit information'!$A$2:$K$29,4,FALSE)*T494,0)*(1+$E$9)</f>
        <v>0</v>
      </c>
      <c r="AW494" s="107">
        <f>_xlfn.IFNA($M494/VLOOKUP($BT494,'Unit information'!$A$2:$K$29,5,FALSE)*U494,0)*(1+$E$9)</f>
        <v>0</v>
      </c>
      <c r="AX494" s="107">
        <f>_xlfn.IFNA($M494/VLOOKUP($BU494,'Unit information'!$A$2:$K$29,6,FALSE)*V494,0)*(1+$E$9)</f>
        <v>0</v>
      </c>
      <c r="AY494" s="107">
        <f>_xlfn.IFNA($M494/VLOOKUP($BU494,'Unit information'!$A$2:$K$29,7,FALSE)*W494,0)*(1+$E$9)</f>
        <v>0</v>
      </c>
      <c r="AZ494" s="107">
        <f>_xlfn.IFNA($M494/VLOOKUP($BU494,'Unit information'!$A$2:$K$29,8,FALSE)*X494,0)*(1+$E$9)</f>
        <v>0</v>
      </c>
      <c r="BA494" s="107">
        <f>_xlfn.IFNA($M494/VLOOKUP($BU494,'Unit information'!$A$2:$K$29,9,FALSE)*Y494,0)*(1+$E$9)</f>
        <v>0</v>
      </c>
      <c r="BB494" s="107">
        <f>_xlfn.IFNA($M494/VLOOKUP($BV494,'Unit information'!$A$2:$K$29,10,FALSE)*Z494,0)*(1+$E$9)</f>
        <v>0</v>
      </c>
      <c r="BC494" s="108">
        <f>_xlfn.IFNA($M494/VLOOKUP($BV494,'Unit information'!$A$2:$K$29,11,FALSE)*AA494,0)*(1+$E$9)</f>
        <v>0</v>
      </c>
      <c r="BD494" s="106">
        <f t="shared" si="663"/>
        <v>0</v>
      </c>
      <c r="BE494" s="107">
        <f t="shared" si="664"/>
        <v>0</v>
      </c>
      <c r="BF494" s="108">
        <f t="shared" si="665"/>
        <v>0</v>
      </c>
      <c r="BG494" s="25" t="e">
        <f t="shared" si="666"/>
        <v>#N/A</v>
      </c>
      <c r="BH494" s="25" t="e">
        <f t="shared" si="667"/>
        <v>#N/A</v>
      </c>
      <c r="BI494" s="25" t="e">
        <f t="shared" si="668"/>
        <v>#N/A</v>
      </c>
      <c r="BJ494" s="27" t="e">
        <f t="shared" si="669"/>
        <v>#N/A</v>
      </c>
      <c r="BK494" s="18" t="e">
        <f t="shared" si="670"/>
        <v>#N/A</v>
      </c>
      <c r="BL494" s="18" t="e">
        <f t="shared" si="671"/>
        <v>#N/A</v>
      </c>
      <c r="BM494" s="28" t="e">
        <f t="shared" si="716"/>
        <v>#N/A</v>
      </c>
      <c r="BN494" s="33">
        <f>HLOOKUP("maximum population",Miscelaneous!$C$1:$C$33,CH494+3,FALSE)</f>
        <v>240</v>
      </c>
      <c r="BO494" s="14">
        <f t="shared" si="682"/>
        <v>32</v>
      </c>
      <c r="BP494" s="14">
        <f t="shared" si="683"/>
        <v>0</v>
      </c>
      <c r="BQ494" s="14">
        <f t="shared" si="684"/>
        <v>208</v>
      </c>
      <c r="BR494" s="34" t="e">
        <f>HLOOKUP(J494,Villagers!$B$1:$V$33,L494+3,FALSE)-HLOOKUP(J494,Villagers!$B$1:$V$33,L494+2,FALSE)</f>
        <v>#N/A</v>
      </c>
      <c r="BS494" s="49">
        <f t="shared" si="719"/>
        <v>1</v>
      </c>
      <c r="BT494" s="50">
        <f t="shared" si="719"/>
        <v>0</v>
      </c>
      <c r="BU494" s="50">
        <f t="shared" si="719"/>
        <v>0</v>
      </c>
      <c r="BV494" s="50">
        <f t="shared" si="719"/>
        <v>0</v>
      </c>
      <c r="BW494" s="50">
        <f t="shared" si="717"/>
        <v>0</v>
      </c>
      <c r="BX494" s="50">
        <f t="shared" si="718"/>
        <v>0</v>
      </c>
      <c r="BY494" s="50">
        <f t="shared" si="718"/>
        <v>0</v>
      </c>
      <c r="BZ494" s="50">
        <f t="shared" si="719"/>
        <v>0</v>
      </c>
      <c r="CA494" s="50">
        <f t="shared" si="719"/>
        <v>0</v>
      </c>
      <c r="CB494" s="50">
        <f t="shared" si="719"/>
        <v>1</v>
      </c>
      <c r="CC494" s="50">
        <f t="shared" si="719"/>
        <v>0</v>
      </c>
      <c r="CD494" s="50">
        <f t="shared" si="719"/>
        <v>0</v>
      </c>
      <c r="CE494" s="50">
        <f t="shared" si="719"/>
        <v>1</v>
      </c>
      <c r="CF494" s="50">
        <f t="shared" si="719"/>
        <v>1</v>
      </c>
      <c r="CG494" s="50">
        <f t="shared" si="719"/>
        <v>1</v>
      </c>
      <c r="CH494" s="50">
        <f t="shared" si="719"/>
        <v>1</v>
      </c>
      <c r="CI494" s="50">
        <f t="shared" si="719"/>
        <v>1</v>
      </c>
      <c r="CJ494" s="50">
        <f t="shared" si="719"/>
        <v>1</v>
      </c>
      <c r="CK494" s="50">
        <f t="shared" si="720"/>
        <v>0</v>
      </c>
      <c r="CL494" s="50">
        <f t="shared" si="720"/>
        <v>0</v>
      </c>
      <c r="CM494" s="51">
        <f t="shared" si="719"/>
        <v>0</v>
      </c>
      <c r="CN494" s="33">
        <f>ROUND(IF(BS494=0,0,HLOOKUP(BS$14,Villagers!$B$1:$V$33,BS494+3,FALSE)),)</f>
        <v>5</v>
      </c>
      <c r="CO494" s="14">
        <f>ROUND(IF(BT494=0,0,HLOOKUP(BT$14,Villagers!$B$1:$V$33,BT494+3,FALSE)),)</f>
        <v>0</v>
      </c>
      <c r="CP494" s="14">
        <f>ROUND(IF(BU494=0,0,HLOOKUP(BU$14,Villagers!$B$1:$V$33,BU494+3,FALSE)),)</f>
        <v>0</v>
      </c>
      <c r="CQ494" s="14">
        <f>ROUND(IF(BV494=0,0,HLOOKUP(BV$14,Villagers!$B$1:$V$33,BV494+3,FALSE)),)</f>
        <v>0</v>
      </c>
      <c r="CR494" s="14">
        <f>ROUND(IF(BW494=0,0,HLOOKUP(BW$14,Villagers!$B$1:$V$33,BW494+3,FALSE)),)</f>
        <v>0</v>
      </c>
      <c r="CS494" s="14">
        <f>ROUND(IF(BX494=0,0,HLOOKUP(BX$14,Villagers!$B$1:$V$33,BX494+3,FALSE)),)</f>
        <v>0</v>
      </c>
      <c r="CT494" s="14">
        <f>ROUND(IF(BY494=0,0,HLOOKUP(BY$14,Villagers!$B$1:$V$33,BY494+3,FALSE)),)</f>
        <v>0</v>
      </c>
      <c r="CU494" s="14">
        <f>ROUND(IF(BZ494=0,0,HLOOKUP(BZ$14,Villagers!$B$1:$V$33,BZ494+3,FALSE)),)</f>
        <v>0</v>
      </c>
      <c r="CV494" s="14">
        <f>ROUND(IF(CA494=0,0,HLOOKUP(CA$14,Villagers!$B$1:$V$33,CA494+3,FALSE)),)</f>
        <v>0</v>
      </c>
      <c r="CW494" s="14">
        <f>ROUND(IF(CB494=0,0,HLOOKUP(CB$14,Villagers!$B$1:$V$33,CB494+3,FALSE)),)</f>
        <v>0</v>
      </c>
      <c r="CX494" s="14">
        <f>ROUND(IF(CC494=0,0,HLOOKUP(CC$14,Villagers!$B$1:$V$33,CC494+3,FALSE)),)</f>
        <v>0</v>
      </c>
      <c r="CY494" s="14">
        <f>ROUND(IF(CD494=0,0,HLOOKUP(CD$14,Villagers!$B$1:$V$33,CD494+3,FALSE)),)</f>
        <v>0</v>
      </c>
      <c r="CZ494" s="14">
        <f>ROUND(IF(CE494=0,0,HLOOKUP(CE$14,Villagers!$B$1:$V$33,CE494+3,FALSE)),)</f>
        <v>5</v>
      </c>
      <c r="DA494" s="14">
        <f>ROUND(IF(CF494=0,0,HLOOKUP(CF$14,Villagers!$B$1:$V$33,CF494+3,FALSE)),)</f>
        <v>10</v>
      </c>
      <c r="DB494" s="14">
        <f>ROUND(IF(CG494=0,0,HLOOKUP(CG$14,Villagers!$B$1:$V$33,CG494+3,FALSE)),)</f>
        <v>10</v>
      </c>
      <c r="DC494" s="14">
        <f>ROUND(IF(CH494=0,0,HLOOKUP(CH$14,Villagers!$B$1:$V$33,CH494+3,FALSE)),)</f>
        <v>0</v>
      </c>
      <c r="DD494" s="14">
        <f>ROUND(IF(CI494=0,0,HLOOKUP(CI$14,Villagers!$B$1:$V$33,CI494+3,FALSE)),)</f>
        <v>0</v>
      </c>
      <c r="DE494" s="14">
        <f>ROUND(IF(CJ494=0,0,HLOOKUP(CJ$14,Villagers!$B$1:$V$33,CJ494+3,FALSE)),)</f>
        <v>2</v>
      </c>
      <c r="DF494" s="370">
        <f>ROUND(IF(CK494=0,0,HLOOKUP(CK$14,Villagers!$B$1:$V$33,CK494+3,FALSE)),)</f>
        <v>0</v>
      </c>
      <c r="DG494" s="370">
        <f>ROUND(IF(CL494=0,0,HLOOKUP(CL$14,Villagers!$B$1:$V$33,CL494+3,FALSE)),)</f>
        <v>0</v>
      </c>
      <c r="DH494" s="34">
        <f>ROUND(IF(CM494=0,0,HLOOKUP(CM$14,Villagers!$B$1:$V$33,CM494+3,FALSE)),)</f>
        <v>0</v>
      </c>
      <c r="DI494" s="109">
        <f t="shared" si="705"/>
        <v>0</v>
      </c>
      <c r="DJ494" s="50">
        <f t="shared" si="706"/>
        <v>0</v>
      </c>
      <c r="DK494" s="50">
        <f t="shared" si="707"/>
        <v>0</v>
      </c>
      <c r="DL494" s="50">
        <f t="shared" si="708"/>
        <v>0</v>
      </c>
      <c r="DM494" s="50">
        <f t="shared" si="709"/>
        <v>0</v>
      </c>
      <c r="DN494" s="50">
        <f t="shared" si="710"/>
        <v>0</v>
      </c>
      <c r="DO494" s="50">
        <f t="shared" si="711"/>
        <v>0</v>
      </c>
      <c r="DP494" s="50">
        <f t="shared" si="712"/>
        <v>0</v>
      </c>
      <c r="DQ494" s="50">
        <f t="shared" si="690"/>
        <v>0</v>
      </c>
      <c r="DR494" s="50">
        <f t="shared" si="691"/>
        <v>0</v>
      </c>
      <c r="DS494" s="96">
        <f>Miscelaneous!$D$4*Miscelaneous!$D$2^($CI494-1)</f>
        <v>1000</v>
      </c>
      <c r="DT494" s="333">
        <f t="shared" si="672"/>
        <v>1</v>
      </c>
      <c r="DU494" s="81">
        <v>1</v>
      </c>
      <c r="DV494" s="79">
        <f t="shared" si="692"/>
        <v>0</v>
      </c>
      <c r="DW494" s="79">
        <f t="shared" si="693"/>
        <v>0</v>
      </c>
      <c r="DX494" s="79">
        <f t="shared" si="694"/>
        <v>0</v>
      </c>
      <c r="DY494" s="79">
        <v>1</v>
      </c>
      <c r="DZ494" s="79">
        <f t="shared" si="695"/>
        <v>0</v>
      </c>
      <c r="EA494" s="79">
        <f t="shared" si="696"/>
        <v>0</v>
      </c>
      <c r="EB494" s="79">
        <f t="shared" si="697"/>
        <v>0</v>
      </c>
      <c r="EC494" s="79">
        <f t="shared" si="698"/>
        <v>0</v>
      </c>
      <c r="ED494" s="79">
        <v>1</v>
      </c>
      <c r="EE494" s="79">
        <v>1</v>
      </c>
      <c r="EF494" s="79">
        <f t="shared" si="699"/>
        <v>0</v>
      </c>
      <c r="EG494" s="79">
        <v>1</v>
      </c>
      <c r="EH494" s="79">
        <v>1</v>
      </c>
      <c r="EI494" s="79">
        <v>1</v>
      </c>
      <c r="EJ494" s="79">
        <v>1</v>
      </c>
      <c r="EK494" s="79">
        <v>1</v>
      </c>
      <c r="EL494" s="79">
        <v>1</v>
      </c>
      <c r="EM494" s="143">
        <f t="shared" si="700"/>
        <v>0</v>
      </c>
      <c r="EN494" s="143">
        <f t="shared" si="701"/>
        <v>0</v>
      </c>
      <c r="EO494" s="82">
        <f t="shared" si="702"/>
        <v>0</v>
      </c>
    </row>
    <row r="495" spans="1:145" x14ac:dyDescent="0.25">
      <c r="A495">
        <v>481</v>
      </c>
      <c r="B495" s="172" t="e">
        <f t="shared" si="673"/>
        <v>#N/A</v>
      </c>
      <c r="C495" s="121" t="e">
        <f t="shared" si="652"/>
        <v>#N/A</v>
      </c>
      <c r="D495" s="122" t="e">
        <f t="shared" si="653"/>
        <v>#N/A</v>
      </c>
      <c r="E495" s="122" t="e">
        <f t="shared" si="654"/>
        <v>#N/A</v>
      </c>
      <c r="F495" s="176" t="e">
        <f t="shared" si="655"/>
        <v>#N/A</v>
      </c>
      <c r="G495" s="121">
        <f t="shared" si="674"/>
        <v>208</v>
      </c>
      <c r="H495" s="176" t="e">
        <f t="shared" si="675"/>
        <v>#N/A</v>
      </c>
      <c r="I495" s="48">
        <v>1</v>
      </c>
      <c r="J495" s="39"/>
      <c r="K495" s="350">
        <v>1</v>
      </c>
      <c r="L495" s="34" t="e">
        <f t="shared" si="656"/>
        <v>#N/A</v>
      </c>
      <c r="M495" s="38" t="e">
        <f>(HLOOKUP(J495,'Construction Times'!$B$3:$W$34,L495+2,FALSE)*HLOOKUP("hq modifier",'Construction Times'!$W$3:$W$34,BS495+2,FALSE))*(1-$H$9)</f>
        <v>#N/A</v>
      </c>
      <c r="N495" s="443" t="e">
        <f t="shared" si="676"/>
        <v>#N/A</v>
      </c>
      <c r="O495" s="444"/>
      <c r="P495" s="447" t="e">
        <f t="shared" si="677"/>
        <v>#N/A</v>
      </c>
      <c r="Q495" s="448"/>
      <c r="R495" s="103">
        <f t="shared" si="703"/>
        <v>0</v>
      </c>
      <c r="S495" s="104">
        <f t="shared" si="703"/>
        <v>0</v>
      </c>
      <c r="T495" s="104">
        <f t="shared" si="704"/>
        <v>0</v>
      </c>
      <c r="U495" s="104">
        <f t="shared" si="704"/>
        <v>0</v>
      </c>
      <c r="V495" s="104">
        <f t="shared" si="704"/>
        <v>9.9999999999999995E-8</v>
      </c>
      <c r="W495" s="104">
        <f t="shared" si="704"/>
        <v>0</v>
      </c>
      <c r="X495" s="104">
        <f t="shared" si="722"/>
        <v>0</v>
      </c>
      <c r="Y495" s="104">
        <f t="shared" si="722"/>
        <v>9.9999999999999995E-8</v>
      </c>
      <c r="Z495" s="104">
        <f t="shared" si="722"/>
        <v>9.9999999999999995E-8</v>
      </c>
      <c r="AA495" s="105">
        <f t="shared" si="722"/>
        <v>9.9999999999999995E-8</v>
      </c>
      <c r="AB495" s="101" t="e">
        <f>$DT495*HLOOKUP($J495,'Construction Costs (timber)'!$B$1:$V$32,'Construction Planner'!$L495+2,FALSE)</f>
        <v>#N/A</v>
      </c>
      <c r="AC495" s="14" t="e">
        <f>$DT495*HLOOKUP($J495,'Construction Costs (clay)'!$B$1:$V$32,'Construction Planner'!$L495+2,FALSE)</f>
        <v>#N/A</v>
      </c>
      <c r="AD495" s="14" t="e">
        <f>$DT495*HLOOKUP($J495,'Construction Costs (iron)'!$B$1:$V$32,'Construction Planner'!$L495+2,FALSE)</f>
        <v>#N/A</v>
      </c>
      <c r="AE495" s="34" t="e">
        <f t="shared" si="713"/>
        <v>#N/A</v>
      </c>
      <c r="AF495" s="33" t="e">
        <f t="shared" si="657"/>
        <v>#N/A</v>
      </c>
      <c r="AG495" s="14" t="e">
        <f t="shared" si="658"/>
        <v>#N/A</v>
      </c>
      <c r="AH495" s="14" t="e">
        <f t="shared" si="659"/>
        <v>#N/A</v>
      </c>
      <c r="AI495" s="34" t="e">
        <f t="shared" si="714"/>
        <v>#N/A</v>
      </c>
      <c r="AJ495" s="49" t="e">
        <f t="shared" si="678"/>
        <v>#N/A</v>
      </c>
      <c r="AK495" s="49" t="e">
        <f t="shared" si="679"/>
        <v>#N/A</v>
      </c>
      <c r="AL495" s="49" t="e">
        <f t="shared" si="680"/>
        <v>#N/A</v>
      </c>
      <c r="AM495" s="25">
        <f t="shared" si="660"/>
        <v>30</v>
      </c>
      <c r="AN495" s="25">
        <f t="shared" si="661"/>
        <v>30</v>
      </c>
      <c r="AO495" s="25">
        <f t="shared" si="662"/>
        <v>30</v>
      </c>
      <c r="AP495" s="52" t="e">
        <f t="shared" si="681"/>
        <v>#N/A</v>
      </c>
      <c r="AQ495" s="53" t="e">
        <f t="shared" si="681"/>
        <v>#N/A</v>
      </c>
      <c r="AR495" s="54" t="e">
        <f t="shared" si="681"/>
        <v>#N/A</v>
      </c>
      <c r="AS495" s="316">
        <f t="shared" si="721"/>
        <v>0</v>
      </c>
      <c r="AT495" s="106">
        <f>_xlfn.IFNA($M495/VLOOKUP($BT495,'Unit information'!$A$2:$K$29,2,FALSE)*R495,0)*(1+$E$9)</f>
        <v>0</v>
      </c>
      <c r="AU495" s="107">
        <f>_xlfn.IFNA($M495/VLOOKUP($BT495,'Unit information'!$A$2:$K$29,3,FALSE)*S495,0)*(1+$E$9)</f>
        <v>0</v>
      </c>
      <c r="AV495" s="107">
        <f>_xlfn.IFNA($M495/VLOOKUP($BT495,'Unit information'!$A$2:$K$29,4,FALSE)*T495,0)*(1+$E$9)</f>
        <v>0</v>
      </c>
      <c r="AW495" s="107">
        <f>_xlfn.IFNA($M495/VLOOKUP($BT495,'Unit information'!$A$2:$K$29,5,FALSE)*U495,0)*(1+$E$9)</f>
        <v>0</v>
      </c>
      <c r="AX495" s="107">
        <f>_xlfn.IFNA($M495/VLOOKUP($BU495,'Unit information'!$A$2:$K$29,6,FALSE)*V495,0)*(1+$E$9)</f>
        <v>0</v>
      </c>
      <c r="AY495" s="107">
        <f>_xlfn.IFNA($M495/VLOOKUP($BU495,'Unit information'!$A$2:$K$29,7,FALSE)*W495,0)*(1+$E$9)</f>
        <v>0</v>
      </c>
      <c r="AZ495" s="107">
        <f>_xlfn.IFNA($M495/VLOOKUP($BU495,'Unit information'!$A$2:$K$29,8,FALSE)*X495,0)*(1+$E$9)</f>
        <v>0</v>
      </c>
      <c r="BA495" s="107">
        <f>_xlfn.IFNA($M495/VLOOKUP($BU495,'Unit information'!$A$2:$K$29,9,FALSE)*Y495,0)*(1+$E$9)</f>
        <v>0</v>
      </c>
      <c r="BB495" s="107">
        <f>_xlfn.IFNA($M495/VLOOKUP($BV495,'Unit information'!$A$2:$K$29,10,FALSE)*Z495,0)*(1+$E$9)</f>
        <v>0</v>
      </c>
      <c r="BC495" s="108">
        <f>_xlfn.IFNA($M495/VLOOKUP($BV495,'Unit information'!$A$2:$K$29,11,FALSE)*AA495,0)*(1+$E$9)</f>
        <v>0</v>
      </c>
      <c r="BD495" s="106">
        <f t="shared" si="663"/>
        <v>0</v>
      </c>
      <c r="BE495" s="107">
        <f t="shared" si="664"/>
        <v>0</v>
      </c>
      <c r="BF495" s="108">
        <f t="shared" si="665"/>
        <v>0</v>
      </c>
      <c r="BG495" s="25" t="e">
        <f t="shared" si="666"/>
        <v>#N/A</v>
      </c>
      <c r="BH495" s="25" t="e">
        <f t="shared" si="667"/>
        <v>#N/A</v>
      </c>
      <c r="BI495" s="25" t="e">
        <f t="shared" si="668"/>
        <v>#N/A</v>
      </c>
      <c r="BJ495" s="27" t="e">
        <f t="shared" si="669"/>
        <v>#N/A</v>
      </c>
      <c r="BK495" s="18" t="e">
        <f t="shared" si="670"/>
        <v>#N/A</v>
      </c>
      <c r="BL495" s="18" t="e">
        <f t="shared" si="671"/>
        <v>#N/A</v>
      </c>
      <c r="BM495" s="28" t="e">
        <f t="shared" si="716"/>
        <v>#N/A</v>
      </c>
      <c r="BN495" s="33">
        <f>HLOOKUP("maximum population",Miscelaneous!$C$1:$C$33,CH495+3,FALSE)</f>
        <v>240</v>
      </c>
      <c r="BO495" s="14">
        <f t="shared" si="682"/>
        <v>32</v>
      </c>
      <c r="BP495" s="14">
        <f t="shared" si="683"/>
        <v>0</v>
      </c>
      <c r="BQ495" s="14">
        <f t="shared" si="684"/>
        <v>208</v>
      </c>
      <c r="BR495" s="34" t="e">
        <f>HLOOKUP(J495,Villagers!$B$1:$V$33,L495+3,FALSE)-HLOOKUP(J495,Villagers!$B$1:$V$33,L495+2,FALSE)</f>
        <v>#N/A</v>
      </c>
      <c r="BS495" s="49">
        <f t="shared" si="719"/>
        <v>1</v>
      </c>
      <c r="BT495" s="50">
        <f t="shared" si="719"/>
        <v>0</v>
      </c>
      <c r="BU495" s="50">
        <f t="shared" si="719"/>
        <v>0</v>
      </c>
      <c r="BV495" s="50">
        <f t="shared" si="719"/>
        <v>0</v>
      </c>
      <c r="BW495" s="50">
        <f t="shared" si="717"/>
        <v>0</v>
      </c>
      <c r="BX495" s="50">
        <f t="shared" si="718"/>
        <v>0</v>
      </c>
      <c r="BY495" s="50">
        <f t="shared" si="718"/>
        <v>0</v>
      </c>
      <c r="BZ495" s="50">
        <f t="shared" si="719"/>
        <v>0</v>
      </c>
      <c r="CA495" s="50">
        <f t="shared" si="719"/>
        <v>0</v>
      </c>
      <c r="CB495" s="50">
        <f t="shared" si="719"/>
        <v>1</v>
      </c>
      <c r="CC495" s="50">
        <f t="shared" si="719"/>
        <v>0</v>
      </c>
      <c r="CD495" s="50">
        <f t="shared" si="719"/>
        <v>0</v>
      </c>
      <c r="CE495" s="50">
        <f t="shared" si="719"/>
        <v>1</v>
      </c>
      <c r="CF495" s="50">
        <f t="shared" si="719"/>
        <v>1</v>
      </c>
      <c r="CG495" s="50">
        <f t="shared" si="719"/>
        <v>1</v>
      </c>
      <c r="CH495" s="50">
        <f t="shared" si="719"/>
        <v>1</v>
      </c>
      <c r="CI495" s="50">
        <f t="shared" si="719"/>
        <v>1</v>
      </c>
      <c r="CJ495" s="50">
        <f t="shared" si="719"/>
        <v>1</v>
      </c>
      <c r="CK495" s="50">
        <f t="shared" si="720"/>
        <v>0</v>
      </c>
      <c r="CL495" s="50">
        <f t="shared" si="720"/>
        <v>0</v>
      </c>
      <c r="CM495" s="51">
        <f t="shared" ref="CM495:CM509" si="723">IF($J494=CM$14,$L494,CM494)</f>
        <v>0</v>
      </c>
      <c r="CN495" s="33">
        <f>ROUND(IF(BS495=0,0,HLOOKUP(BS$14,Villagers!$B$1:$V$33,BS495+3,FALSE)),)</f>
        <v>5</v>
      </c>
      <c r="CO495" s="14">
        <f>ROUND(IF(BT495=0,0,HLOOKUP(BT$14,Villagers!$B$1:$V$33,BT495+3,FALSE)),)</f>
        <v>0</v>
      </c>
      <c r="CP495" s="14">
        <f>ROUND(IF(BU495=0,0,HLOOKUP(BU$14,Villagers!$B$1:$V$33,BU495+3,FALSE)),)</f>
        <v>0</v>
      </c>
      <c r="CQ495" s="14">
        <f>ROUND(IF(BV495=0,0,HLOOKUP(BV$14,Villagers!$B$1:$V$33,BV495+3,FALSE)),)</f>
        <v>0</v>
      </c>
      <c r="CR495" s="14">
        <f>ROUND(IF(BW495=0,0,HLOOKUP(BW$14,Villagers!$B$1:$V$33,BW495+3,FALSE)),)</f>
        <v>0</v>
      </c>
      <c r="CS495" s="14">
        <f>ROUND(IF(BX495=0,0,HLOOKUP(BX$14,Villagers!$B$1:$V$33,BX495+3,FALSE)),)</f>
        <v>0</v>
      </c>
      <c r="CT495" s="14">
        <f>ROUND(IF(BY495=0,0,HLOOKUP(BY$14,Villagers!$B$1:$V$33,BY495+3,FALSE)),)</f>
        <v>0</v>
      </c>
      <c r="CU495" s="14">
        <f>ROUND(IF(BZ495=0,0,HLOOKUP(BZ$14,Villagers!$B$1:$V$33,BZ495+3,FALSE)),)</f>
        <v>0</v>
      </c>
      <c r="CV495" s="14">
        <f>ROUND(IF(CA495=0,0,HLOOKUP(CA$14,Villagers!$B$1:$V$33,CA495+3,FALSE)),)</f>
        <v>0</v>
      </c>
      <c r="CW495" s="14">
        <f>ROUND(IF(CB495=0,0,HLOOKUP(CB$14,Villagers!$B$1:$V$33,CB495+3,FALSE)),)</f>
        <v>0</v>
      </c>
      <c r="CX495" s="14">
        <f>ROUND(IF(CC495=0,0,HLOOKUP(CC$14,Villagers!$B$1:$V$33,CC495+3,FALSE)),)</f>
        <v>0</v>
      </c>
      <c r="CY495" s="14">
        <f>ROUND(IF(CD495=0,0,HLOOKUP(CD$14,Villagers!$B$1:$V$33,CD495+3,FALSE)),)</f>
        <v>0</v>
      </c>
      <c r="CZ495" s="14">
        <f>ROUND(IF(CE495=0,0,HLOOKUP(CE$14,Villagers!$B$1:$V$33,CE495+3,FALSE)),)</f>
        <v>5</v>
      </c>
      <c r="DA495" s="14">
        <f>ROUND(IF(CF495=0,0,HLOOKUP(CF$14,Villagers!$B$1:$V$33,CF495+3,FALSE)),)</f>
        <v>10</v>
      </c>
      <c r="DB495" s="14">
        <f>ROUND(IF(CG495=0,0,HLOOKUP(CG$14,Villagers!$B$1:$V$33,CG495+3,FALSE)),)</f>
        <v>10</v>
      </c>
      <c r="DC495" s="14">
        <f>ROUND(IF(CH495=0,0,HLOOKUP(CH$14,Villagers!$B$1:$V$33,CH495+3,FALSE)),)</f>
        <v>0</v>
      </c>
      <c r="DD495" s="14">
        <f>ROUND(IF(CI495=0,0,HLOOKUP(CI$14,Villagers!$B$1:$V$33,CI495+3,FALSE)),)</f>
        <v>0</v>
      </c>
      <c r="DE495" s="14">
        <f>ROUND(IF(CJ495=0,0,HLOOKUP(CJ$14,Villagers!$B$1:$V$33,CJ495+3,FALSE)),)</f>
        <v>2</v>
      </c>
      <c r="DF495" s="370">
        <f>ROUND(IF(CK495=0,0,HLOOKUP(CK$14,Villagers!$B$1:$V$33,CK495+3,FALSE)),)</f>
        <v>0</v>
      </c>
      <c r="DG495" s="370">
        <f>ROUND(IF(CL495=0,0,HLOOKUP(CL$14,Villagers!$B$1:$V$33,CL495+3,FALSE)),)</f>
        <v>0</v>
      </c>
      <c r="DH495" s="34">
        <f>ROUND(IF(CM495=0,0,HLOOKUP(CM$14,Villagers!$B$1:$V$33,CM495+3,FALSE)),)</f>
        <v>0</v>
      </c>
      <c r="DI495" s="109">
        <f t="shared" si="705"/>
        <v>0</v>
      </c>
      <c r="DJ495" s="50">
        <f t="shared" si="706"/>
        <v>0</v>
      </c>
      <c r="DK495" s="50">
        <f t="shared" si="707"/>
        <v>0</v>
      </c>
      <c r="DL495" s="50">
        <f t="shared" si="708"/>
        <v>0</v>
      </c>
      <c r="DM495" s="50">
        <f t="shared" si="709"/>
        <v>0</v>
      </c>
      <c r="DN495" s="50">
        <f t="shared" si="710"/>
        <v>0</v>
      </c>
      <c r="DO495" s="50">
        <f t="shared" si="711"/>
        <v>0</v>
      </c>
      <c r="DP495" s="50">
        <f t="shared" si="712"/>
        <v>0</v>
      </c>
      <c r="DQ495" s="50">
        <f t="shared" si="690"/>
        <v>0</v>
      </c>
      <c r="DR495" s="50">
        <f t="shared" si="691"/>
        <v>0</v>
      </c>
      <c r="DS495" s="96">
        <f>Miscelaneous!$D$4*Miscelaneous!$D$2^($CI495-1)</f>
        <v>1000</v>
      </c>
      <c r="DT495" s="333">
        <f t="shared" si="672"/>
        <v>1</v>
      </c>
      <c r="DU495" s="81">
        <v>1</v>
      </c>
      <c r="DV495" s="79">
        <f t="shared" si="692"/>
        <v>0</v>
      </c>
      <c r="DW495" s="79">
        <f t="shared" si="693"/>
        <v>0</v>
      </c>
      <c r="DX495" s="79">
        <f t="shared" si="694"/>
        <v>0</v>
      </c>
      <c r="DY495" s="79">
        <v>1</v>
      </c>
      <c r="DZ495" s="79">
        <f t="shared" si="695"/>
        <v>0</v>
      </c>
      <c r="EA495" s="79">
        <f t="shared" si="696"/>
        <v>0</v>
      </c>
      <c r="EB495" s="79">
        <f t="shared" si="697"/>
        <v>0</v>
      </c>
      <c r="EC495" s="79">
        <f t="shared" si="698"/>
        <v>0</v>
      </c>
      <c r="ED495" s="79">
        <v>1</v>
      </c>
      <c r="EE495" s="79">
        <v>1</v>
      </c>
      <c r="EF495" s="79">
        <f t="shared" si="699"/>
        <v>0</v>
      </c>
      <c r="EG495" s="79">
        <v>1</v>
      </c>
      <c r="EH495" s="79">
        <v>1</v>
      </c>
      <c r="EI495" s="79">
        <v>1</v>
      </c>
      <c r="EJ495" s="79">
        <v>1</v>
      </c>
      <c r="EK495" s="79">
        <v>1</v>
      </c>
      <c r="EL495" s="79">
        <v>1</v>
      </c>
      <c r="EM495" s="143">
        <f t="shared" si="700"/>
        <v>0</v>
      </c>
      <c r="EN495" s="143">
        <f t="shared" si="701"/>
        <v>0</v>
      </c>
      <c r="EO495" s="82">
        <f t="shared" si="702"/>
        <v>0</v>
      </c>
    </row>
    <row r="496" spans="1:145" x14ac:dyDescent="0.25">
      <c r="A496">
        <v>482</v>
      </c>
      <c r="B496" s="172" t="e">
        <f t="shared" si="673"/>
        <v>#N/A</v>
      </c>
      <c r="C496" s="121" t="e">
        <f t="shared" si="652"/>
        <v>#N/A</v>
      </c>
      <c r="D496" s="122" t="e">
        <f t="shared" si="653"/>
        <v>#N/A</v>
      </c>
      <c r="E496" s="122" t="e">
        <f t="shared" si="654"/>
        <v>#N/A</v>
      </c>
      <c r="F496" s="176" t="e">
        <f t="shared" si="655"/>
        <v>#N/A</v>
      </c>
      <c r="G496" s="121">
        <f t="shared" si="674"/>
        <v>208</v>
      </c>
      <c r="H496" s="176" t="e">
        <f t="shared" si="675"/>
        <v>#N/A</v>
      </c>
      <c r="I496" s="48">
        <v>1</v>
      </c>
      <c r="J496" s="39"/>
      <c r="K496" s="350">
        <v>1</v>
      </c>
      <c r="L496" s="34" t="e">
        <f t="shared" si="656"/>
        <v>#N/A</v>
      </c>
      <c r="M496" s="38" t="e">
        <f>(HLOOKUP(J496,'Construction Times'!$B$3:$W$34,L496+2,FALSE)*HLOOKUP("hq modifier",'Construction Times'!$W$3:$W$34,BS496+2,FALSE))*(1-$H$9)</f>
        <v>#N/A</v>
      </c>
      <c r="N496" s="443" t="e">
        <f t="shared" si="676"/>
        <v>#N/A</v>
      </c>
      <c r="O496" s="444"/>
      <c r="P496" s="447" t="e">
        <f t="shared" si="677"/>
        <v>#N/A</v>
      </c>
      <c r="Q496" s="448"/>
      <c r="R496" s="103">
        <f t="shared" si="703"/>
        <v>0</v>
      </c>
      <c r="S496" s="104">
        <f t="shared" si="703"/>
        <v>0</v>
      </c>
      <c r="T496" s="104">
        <f t="shared" si="704"/>
        <v>0</v>
      </c>
      <c r="U496" s="104">
        <f t="shared" si="704"/>
        <v>0</v>
      </c>
      <c r="V496" s="104">
        <f t="shared" si="704"/>
        <v>9.9999999999999995E-8</v>
      </c>
      <c r="W496" s="104">
        <f t="shared" si="704"/>
        <v>0</v>
      </c>
      <c r="X496" s="104">
        <f t="shared" si="722"/>
        <v>0</v>
      </c>
      <c r="Y496" s="104">
        <f t="shared" si="722"/>
        <v>9.9999999999999995E-8</v>
      </c>
      <c r="Z496" s="104">
        <f t="shared" si="722"/>
        <v>9.9999999999999995E-8</v>
      </c>
      <c r="AA496" s="105">
        <f t="shared" si="722"/>
        <v>9.9999999999999995E-8</v>
      </c>
      <c r="AB496" s="101" t="e">
        <f>$DT496*HLOOKUP($J496,'Construction Costs (timber)'!$B$1:$V$32,'Construction Planner'!$L496+2,FALSE)</f>
        <v>#N/A</v>
      </c>
      <c r="AC496" s="14" t="e">
        <f>$DT496*HLOOKUP($J496,'Construction Costs (clay)'!$B$1:$V$32,'Construction Planner'!$L496+2,FALSE)</f>
        <v>#N/A</v>
      </c>
      <c r="AD496" s="14" t="e">
        <f>$DT496*HLOOKUP($J496,'Construction Costs (iron)'!$B$1:$V$32,'Construction Planner'!$L496+2,FALSE)</f>
        <v>#N/A</v>
      </c>
      <c r="AE496" s="34" t="e">
        <f t="shared" si="713"/>
        <v>#N/A</v>
      </c>
      <c r="AF496" s="33" t="e">
        <f t="shared" si="657"/>
        <v>#N/A</v>
      </c>
      <c r="AG496" s="14" t="e">
        <f t="shared" si="658"/>
        <v>#N/A</v>
      </c>
      <c r="AH496" s="14" t="e">
        <f t="shared" si="659"/>
        <v>#N/A</v>
      </c>
      <c r="AI496" s="34" t="e">
        <f t="shared" si="714"/>
        <v>#N/A</v>
      </c>
      <c r="AJ496" s="49" t="e">
        <f t="shared" si="678"/>
        <v>#N/A</v>
      </c>
      <c r="AK496" s="49" t="e">
        <f t="shared" si="679"/>
        <v>#N/A</v>
      </c>
      <c r="AL496" s="49" t="e">
        <f t="shared" si="680"/>
        <v>#N/A</v>
      </c>
      <c r="AM496" s="25">
        <f t="shared" si="660"/>
        <v>30</v>
      </c>
      <c r="AN496" s="25">
        <f t="shared" si="661"/>
        <v>30</v>
      </c>
      <c r="AO496" s="25">
        <f t="shared" si="662"/>
        <v>30</v>
      </c>
      <c r="AP496" s="52" t="e">
        <f t="shared" si="681"/>
        <v>#N/A</v>
      </c>
      <c r="AQ496" s="53" t="e">
        <f t="shared" si="681"/>
        <v>#N/A</v>
      </c>
      <c r="AR496" s="54" t="e">
        <f t="shared" si="681"/>
        <v>#N/A</v>
      </c>
      <c r="AS496" s="316">
        <f t="shared" si="721"/>
        <v>0</v>
      </c>
      <c r="AT496" s="106">
        <f>_xlfn.IFNA($M496/VLOOKUP($BT496,'Unit information'!$A$2:$K$29,2,FALSE)*R496,0)*(1+$E$9)</f>
        <v>0</v>
      </c>
      <c r="AU496" s="107">
        <f>_xlfn.IFNA($M496/VLOOKUP($BT496,'Unit information'!$A$2:$K$29,3,FALSE)*S496,0)*(1+$E$9)</f>
        <v>0</v>
      </c>
      <c r="AV496" s="107">
        <f>_xlfn.IFNA($M496/VLOOKUP($BT496,'Unit information'!$A$2:$K$29,4,FALSE)*T496,0)*(1+$E$9)</f>
        <v>0</v>
      </c>
      <c r="AW496" s="107">
        <f>_xlfn.IFNA($M496/VLOOKUP($BT496,'Unit information'!$A$2:$K$29,5,FALSE)*U496,0)*(1+$E$9)</f>
        <v>0</v>
      </c>
      <c r="AX496" s="107">
        <f>_xlfn.IFNA($M496/VLOOKUP($BU496,'Unit information'!$A$2:$K$29,6,FALSE)*V496,0)*(1+$E$9)</f>
        <v>0</v>
      </c>
      <c r="AY496" s="107">
        <f>_xlfn.IFNA($M496/VLOOKUP($BU496,'Unit information'!$A$2:$K$29,7,FALSE)*W496,0)*(1+$E$9)</f>
        <v>0</v>
      </c>
      <c r="AZ496" s="107">
        <f>_xlfn.IFNA($M496/VLOOKUP($BU496,'Unit information'!$A$2:$K$29,8,FALSE)*X496,0)*(1+$E$9)</f>
        <v>0</v>
      </c>
      <c r="BA496" s="107">
        <f>_xlfn.IFNA($M496/VLOOKUP($BU496,'Unit information'!$A$2:$K$29,9,FALSE)*Y496,0)*(1+$E$9)</f>
        <v>0</v>
      </c>
      <c r="BB496" s="107">
        <f>_xlfn.IFNA($M496/VLOOKUP($BV496,'Unit information'!$A$2:$K$29,10,FALSE)*Z496,0)*(1+$E$9)</f>
        <v>0</v>
      </c>
      <c r="BC496" s="108">
        <f>_xlfn.IFNA($M496/VLOOKUP($BV496,'Unit information'!$A$2:$K$29,11,FALSE)*AA496,0)*(1+$E$9)</f>
        <v>0</v>
      </c>
      <c r="BD496" s="106">
        <f t="shared" si="663"/>
        <v>0</v>
      </c>
      <c r="BE496" s="107">
        <f t="shared" si="664"/>
        <v>0</v>
      </c>
      <c r="BF496" s="108">
        <f t="shared" si="665"/>
        <v>0</v>
      </c>
      <c r="BG496" s="25" t="e">
        <f t="shared" si="666"/>
        <v>#N/A</v>
      </c>
      <c r="BH496" s="25" t="e">
        <f t="shared" si="667"/>
        <v>#N/A</v>
      </c>
      <c r="BI496" s="25" t="e">
        <f t="shared" si="668"/>
        <v>#N/A</v>
      </c>
      <c r="BJ496" s="27" t="e">
        <f t="shared" si="669"/>
        <v>#N/A</v>
      </c>
      <c r="BK496" s="18" t="e">
        <f t="shared" si="670"/>
        <v>#N/A</v>
      </c>
      <c r="BL496" s="18" t="e">
        <f t="shared" si="671"/>
        <v>#N/A</v>
      </c>
      <c r="BM496" s="28" t="e">
        <f t="shared" si="716"/>
        <v>#N/A</v>
      </c>
      <c r="BN496" s="33">
        <f>HLOOKUP("maximum population",Miscelaneous!$C$1:$C$33,CH496+3,FALSE)</f>
        <v>240</v>
      </c>
      <c r="BO496" s="14">
        <f t="shared" si="682"/>
        <v>32</v>
      </c>
      <c r="BP496" s="14">
        <f t="shared" si="683"/>
        <v>0</v>
      </c>
      <c r="BQ496" s="14">
        <f t="shared" si="684"/>
        <v>208</v>
      </c>
      <c r="BR496" s="34" t="e">
        <f>HLOOKUP(J496,Villagers!$B$1:$V$33,L496+3,FALSE)-HLOOKUP(J496,Villagers!$B$1:$V$33,L496+2,FALSE)</f>
        <v>#N/A</v>
      </c>
      <c r="BS496" s="49">
        <f t="shared" ref="BS496:CJ509" si="724">IF($J495=BS$14,$L495,BS495)</f>
        <v>1</v>
      </c>
      <c r="BT496" s="50">
        <f t="shared" si="724"/>
        <v>0</v>
      </c>
      <c r="BU496" s="50">
        <f t="shared" si="724"/>
        <v>0</v>
      </c>
      <c r="BV496" s="50">
        <f t="shared" si="724"/>
        <v>0</v>
      </c>
      <c r="BW496" s="50">
        <f t="shared" si="724"/>
        <v>0</v>
      </c>
      <c r="BX496" s="50">
        <f t="shared" si="724"/>
        <v>0</v>
      </c>
      <c r="BY496" s="50">
        <f t="shared" si="724"/>
        <v>0</v>
      </c>
      <c r="BZ496" s="50">
        <f t="shared" si="724"/>
        <v>0</v>
      </c>
      <c r="CA496" s="50">
        <f t="shared" si="724"/>
        <v>0</v>
      </c>
      <c r="CB496" s="50">
        <f t="shared" si="724"/>
        <v>1</v>
      </c>
      <c r="CC496" s="50">
        <f t="shared" si="724"/>
        <v>0</v>
      </c>
      <c r="CD496" s="50">
        <f t="shared" si="724"/>
        <v>0</v>
      </c>
      <c r="CE496" s="50">
        <f t="shared" si="724"/>
        <v>1</v>
      </c>
      <c r="CF496" s="50">
        <f t="shared" si="724"/>
        <v>1</v>
      </c>
      <c r="CG496" s="50">
        <f t="shared" si="724"/>
        <v>1</v>
      </c>
      <c r="CH496" s="50">
        <f t="shared" si="724"/>
        <v>1</v>
      </c>
      <c r="CI496" s="50">
        <f t="shared" si="724"/>
        <v>1</v>
      </c>
      <c r="CJ496" s="50">
        <f t="shared" si="724"/>
        <v>1</v>
      </c>
      <c r="CK496" s="50">
        <f t="shared" ref="CK496:CK509" si="725">IF($J495=CK$14,$L495,CK495)</f>
        <v>0</v>
      </c>
      <c r="CL496" s="50">
        <f t="shared" ref="CL496:CL509" si="726">IF($J495=CL$14,$L495,CL495)</f>
        <v>0</v>
      </c>
      <c r="CM496" s="51">
        <f t="shared" si="723"/>
        <v>0</v>
      </c>
      <c r="CN496" s="33">
        <f>ROUND(IF(BS496=0,0,HLOOKUP(BS$14,Villagers!$B$1:$V$33,BS496+3,FALSE)),)</f>
        <v>5</v>
      </c>
      <c r="CO496" s="14">
        <f>ROUND(IF(BT496=0,0,HLOOKUP(BT$14,Villagers!$B$1:$V$33,BT496+3,FALSE)),)</f>
        <v>0</v>
      </c>
      <c r="CP496" s="14">
        <f>ROUND(IF(BU496=0,0,HLOOKUP(BU$14,Villagers!$B$1:$V$33,BU496+3,FALSE)),)</f>
        <v>0</v>
      </c>
      <c r="CQ496" s="14">
        <f>ROUND(IF(BV496=0,0,HLOOKUP(BV$14,Villagers!$B$1:$V$33,BV496+3,FALSE)),)</f>
        <v>0</v>
      </c>
      <c r="CR496" s="14">
        <f>ROUND(IF(BW496=0,0,HLOOKUP(BW$14,Villagers!$B$1:$V$33,BW496+3,FALSE)),)</f>
        <v>0</v>
      </c>
      <c r="CS496" s="14">
        <f>ROUND(IF(BX496=0,0,HLOOKUP(BX$14,Villagers!$B$1:$V$33,BX496+3,FALSE)),)</f>
        <v>0</v>
      </c>
      <c r="CT496" s="14">
        <f>ROUND(IF(BY496=0,0,HLOOKUP(BY$14,Villagers!$B$1:$V$33,BY496+3,FALSE)),)</f>
        <v>0</v>
      </c>
      <c r="CU496" s="14">
        <f>ROUND(IF(BZ496=0,0,HLOOKUP(BZ$14,Villagers!$B$1:$V$33,BZ496+3,FALSE)),)</f>
        <v>0</v>
      </c>
      <c r="CV496" s="14">
        <f>ROUND(IF(CA496=0,0,HLOOKUP(CA$14,Villagers!$B$1:$V$33,CA496+3,FALSE)),)</f>
        <v>0</v>
      </c>
      <c r="CW496" s="14">
        <f>ROUND(IF(CB496=0,0,HLOOKUP(CB$14,Villagers!$B$1:$V$33,CB496+3,FALSE)),)</f>
        <v>0</v>
      </c>
      <c r="CX496" s="14">
        <f>ROUND(IF(CC496=0,0,HLOOKUP(CC$14,Villagers!$B$1:$V$33,CC496+3,FALSE)),)</f>
        <v>0</v>
      </c>
      <c r="CY496" s="14">
        <f>ROUND(IF(CD496=0,0,HLOOKUP(CD$14,Villagers!$B$1:$V$33,CD496+3,FALSE)),)</f>
        <v>0</v>
      </c>
      <c r="CZ496" s="14">
        <f>ROUND(IF(CE496=0,0,HLOOKUP(CE$14,Villagers!$B$1:$V$33,CE496+3,FALSE)),)</f>
        <v>5</v>
      </c>
      <c r="DA496" s="14">
        <f>ROUND(IF(CF496=0,0,HLOOKUP(CF$14,Villagers!$B$1:$V$33,CF496+3,FALSE)),)</f>
        <v>10</v>
      </c>
      <c r="DB496" s="14">
        <f>ROUND(IF(CG496=0,0,HLOOKUP(CG$14,Villagers!$B$1:$V$33,CG496+3,FALSE)),)</f>
        <v>10</v>
      </c>
      <c r="DC496" s="14">
        <f>ROUND(IF(CH496=0,0,HLOOKUP(CH$14,Villagers!$B$1:$V$33,CH496+3,FALSE)),)</f>
        <v>0</v>
      </c>
      <c r="DD496" s="14">
        <f>ROUND(IF(CI496=0,0,HLOOKUP(CI$14,Villagers!$B$1:$V$33,CI496+3,FALSE)),)</f>
        <v>0</v>
      </c>
      <c r="DE496" s="14">
        <f>ROUND(IF(CJ496=0,0,HLOOKUP(CJ$14,Villagers!$B$1:$V$33,CJ496+3,FALSE)),)</f>
        <v>2</v>
      </c>
      <c r="DF496" s="370">
        <f>ROUND(IF(CK496=0,0,HLOOKUP(CK$14,Villagers!$B$1:$V$33,CK496+3,FALSE)),)</f>
        <v>0</v>
      </c>
      <c r="DG496" s="370">
        <f>ROUND(IF(CL496=0,0,HLOOKUP(CL$14,Villagers!$B$1:$V$33,CL496+3,FALSE)),)</f>
        <v>0</v>
      </c>
      <c r="DH496" s="34">
        <f>ROUND(IF(CM496=0,0,HLOOKUP(CM$14,Villagers!$B$1:$V$33,CM496+3,FALSE)),)</f>
        <v>0</v>
      </c>
      <c r="DI496" s="109">
        <f t="shared" si="705"/>
        <v>0</v>
      </c>
      <c r="DJ496" s="50">
        <f t="shared" si="706"/>
        <v>0</v>
      </c>
      <c r="DK496" s="50">
        <f t="shared" si="707"/>
        <v>0</v>
      </c>
      <c r="DL496" s="50">
        <f t="shared" si="708"/>
        <v>0</v>
      </c>
      <c r="DM496" s="50">
        <f t="shared" si="709"/>
        <v>0</v>
      </c>
      <c r="DN496" s="50">
        <f t="shared" si="710"/>
        <v>0</v>
      </c>
      <c r="DO496" s="50">
        <f t="shared" si="711"/>
        <v>0</v>
      </c>
      <c r="DP496" s="50">
        <f t="shared" si="712"/>
        <v>0</v>
      </c>
      <c r="DQ496" s="50">
        <f t="shared" si="690"/>
        <v>0</v>
      </c>
      <c r="DR496" s="50">
        <f t="shared" si="691"/>
        <v>0</v>
      </c>
      <c r="DS496" s="96">
        <f>Miscelaneous!$D$4*Miscelaneous!$D$2^($CI496-1)</f>
        <v>1000</v>
      </c>
      <c r="DT496" s="333">
        <f t="shared" si="672"/>
        <v>1</v>
      </c>
      <c r="DU496" s="81">
        <v>1</v>
      </c>
      <c r="DV496" s="79">
        <f t="shared" si="692"/>
        <v>0</v>
      </c>
      <c r="DW496" s="79">
        <f t="shared" si="693"/>
        <v>0</v>
      </c>
      <c r="DX496" s="79">
        <f t="shared" si="694"/>
        <v>0</v>
      </c>
      <c r="DY496" s="79">
        <v>1</v>
      </c>
      <c r="DZ496" s="79">
        <f t="shared" si="695"/>
        <v>0</v>
      </c>
      <c r="EA496" s="79">
        <f t="shared" si="696"/>
        <v>0</v>
      </c>
      <c r="EB496" s="79">
        <f t="shared" si="697"/>
        <v>0</v>
      </c>
      <c r="EC496" s="79">
        <f t="shared" si="698"/>
        <v>0</v>
      </c>
      <c r="ED496" s="79">
        <v>1</v>
      </c>
      <c r="EE496" s="79">
        <v>1</v>
      </c>
      <c r="EF496" s="79">
        <f t="shared" si="699"/>
        <v>0</v>
      </c>
      <c r="EG496" s="79">
        <v>1</v>
      </c>
      <c r="EH496" s="79">
        <v>1</v>
      </c>
      <c r="EI496" s="79">
        <v>1</v>
      </c>
      <c r="EJ496" s="79">
        <v>1</v>
      </c>
      <c r="EK496" s="79">
        <v>1</v>
      </c>
      <c r="EL496" s="79">
        <v>1</v>
      </c>
      <c r="EM496" s="143">
        <f t="shared" si="700"/>
        <v>0</v>
      </c>
      <c r="EN496" s="143">
        <f t="shared" si="701"/>
        <v>0</v>
      </c>
      <c r="EO496" s="82">
        <f t="shared" si="702"/>
        <v>0</v>
      </c>
    </row>
    <row r="497" spans="1:145" x14ac:dyDescent="0.25">
      <c r="A497">
        <v>483</v>
      </c>
      <c r="B497" s="172" t="e">
        <f t="shared" si="673"/>
        <v>#N/A</v>
      </c>
      <c r="C497" s="121" t="e">
        <f t="shared" si="652"/>
        <v>#N/A</v>
      </c>
      <c r="D497" s="122" t="e">
        <f t="shared" si="653"/>
        <v>#N/A</v>
      </c>
      <c r="E497" s="122" t="e">
        <f t="shared" si="654"/>
        <v>#N/A</v>
      </c>
      <c r="F497" s="176" t="e">
        <f t="shared" si="655"/>
        <v>#N/A</v>
      </c>
      <c r="G497" s="121">
        <f t="shared" si="674"/>
        <v>208</v>
      </c>
      <c r="H497" s="176" t="e">
        <f t="shared" si="675"/>
        <v>#N/A</v>
      </c>
      <c r="I497" s="48">
        <v>1</v>
      </c>
      <c r="J497" s="39"/>
      <c r="K497" s="350">
        <v>1</v>
      </c>
      <c r="L497" s="34" t="e">
        <f t="shared" si="656"/>
        <v>#N/A</v>
      </c>
      <c r="M497" s="38" t="e">
        <f>(HLOOKUP(J497,'Construction Times'!$B$3:$W$34,L497+2,FALSE)*HLOOKUP("hq modifier",'Construction Times'!$W$3:$W$34,BS497+2,FALSE))*(1-$H$9)</f>
        <v>#N/A</v>
      </c>
      <c r="N497" s="443" t="e">
        <f t="shared" si="676"/>
        <v>#N/A</v>
      </c>
      <c r="O497" s="444"/>
      <c r="P497" s="447" t="e">
        <f t="shared" si="677"/>
        <v>#N/A</v>
      </c>
      <c r="Q497" s="448"/>
      <c r="R497" s="103">
        <f t="shared" si="703"/>
        <v>0</v>
      </c>
      <c r="S497" s="104">
        <f t="shared" si="703"/>
        <v>0</v>
      </c>
      <c r="T497" s="104">
        <f t="shared" si="704"/>
        <v>0</v>
      </c>
      <c r="U497" s="104">
        <f t="shared" si="704"/>
        <v>0</v>
      </c>
      <c r="V497" s="104">
        <f t="shared" si="704"/>
        <v>9.9999999999999995E-8</v>
      </c>
      <c r="W497" s="104">
        <f t="shared" si="704"/>
        <v>0</v>
      </c>
      <c r="X497" s="104">
        <f t="shared" si="722"/>
        <v>0</v>
      </c>
      <c r="Y497" s="104">
        <f t="shared" si="722"/>
        <v>9.9999999999999995E-8</v>
      </c>
      <c r="Z497" s="104">
        <f t="shared" si="722"/>
        <v>9.9999999999999995E-8</v>
      </c>
      <c r="AA497" s="105">
        <f t="shared" si="722"/>
        <v>9.9999999999999995E-8</v>
      </c>
      <c r="AB497" s="101" t="e">
        <f>$DT497*HLOOKUP($J497,'Construction Costs (timber)'!$B$1:$V$32,'Construction Planner'!$L497+2,FALSE)</f>
        <v>#N/A</v>
      </c>
      <c r="AC497" s="14" t="e">
        <f>$DT497*HLOOKUP($J497,'Construction Costs (clay)'!$B$1:$V$32,'Construction Planner'!$L497+2,FALSE)</f>
        <v>#N/A</v>
      </c>
      <c r="AD497" s="14" t="e">
        <f>$DT497*HLOOKUP($J497,'Construction Costs (iron)'!$B$1:$V$32,'Construction Planner'!$L497+2,FALSE)</f>
        <v>#N/A</v>
      </c>
      <c r="AE497" s="34" t="e">
        <f t="shared" si="713"/>
        <v>#N/A</v>
      </c>
      <c r="AF497" s="33" t="e">
        <f t="shared" si="657"/>
        <v>#N/A</v>
      </c>
      <c r="AG497" s="14" t="e">
        <f t="shared" si="658"/>
        <v>#N/A</v>
      </c>
      <c r="AH497" s="14" t="e">
        <f t="shared" si="659"/>
        <v>#N/A</v>
      </c>
      <c r="AI497" s="34" t="e">
        <f t="shared" si="714"/>
        <v>#N/A</v>
      </c>
      <c r="AJ497" s="49" t="e">
        <f t="shared" si="678"/>
        <v>#N/A</v>
      </c>
      <c r="AK497" s="49" t="e">
        <f t="shared" si="679"/>
        <v>#N/A</v>
      </c>
      <c r="AL497" s="49" t="e">
        <f t="shared" si="680"/>
        <v>#N/A</v>
      </c>
      <c r="AM497" s="25">
        <f t="shared" si="660"/>
        <v>30</v>
      </c>
      <c r="AN497" s="25">
        <f t="shared" si="661"/>
        <v>30</v>
      </c>
      <c r="AO497" s="25">
        <f t="shared" si="662"/>
        <v>30</v>
      </c>
      <c r="AP497" s="52" t="e">
        <f t="shared" si="681"/>
        <v>#N/A</v>
      </c>
      <c r="AQ497" s="53" t="e">
        <f t="shared" si="681"/>
        <v>#N/A</v>
      </c>
      <c r="AR497" s="54" t="e">
        <f t="shared" si="681"/>
        <v>#N/A</v>
      </c>
      <c r="AS497" s="316">
        <f t="shared" si="721"/>
        <v>0</v>
      </c>
      <c r="AT497" s="106">
        <f>_xlfn.IFNA($M497/VLOOKUP($BT497,'Unit information'!$A$2:$K$29,2,FALSE)*R497,0)*(1+$E$9)</f>
        <v>0</v>
      </c>
      <c r="AU497" s="107">
        <f>_xlfn.IFNA($M497/VLOOKUP($BT497,'Unit information'!$A$2:$K$29,3,FALSE)*S497,0)*(1+$E$9)</f>
        <v>0</v>
      </c>
      <c r="AV497" s="107">
        <f>_xlfn.IFNA($M497/VLOOKUP($BT497,'Unit information'!$A$2:$K$29,4,FALSE)*T497,0)*(1+$E$9)</f>
        <v>0</v>
      </c>
      <c r="AW497" s="107">
        <f>_xlfn.IFNA($M497/VLOOKUP($BT497,'Unit information'!$A$2:$K$29,5,FALSE)*U497,0)*(1+$E$9)</f>
        <v>0</v>
      </c>
      <c r="AX497" s="107">
        <f>_xlfn.IFNA($M497/VLOOKUP($BU497,'Unit information'!$A$2:$K$29,6,FALSE)*V497,0)*(1+$E$9)</f>
        <v>0</v>
      </c>
      <c r="AY497" s="107">
        <f>_xlfn.IFNA($M497/VLOOKUP($BU497,'Unit information'!$A$2:$K$29,7,FALSE)*W497,0)*(1+$E$9)</f>
        <v>0</v>
      </c>
      <c r="AZ497" s="107">
        <f>_xlfn.IFNA($M497/VLOOKUP($BU497,'Unit information'!$A$2:$K$29,8,FALSE)*X497,0)*(1+$E$9)</f>
        <v>0</v>
      </c>
      <c r="BA497" s="107">
        <f>_xlfn.IFNA($M497/VLOOKUP($BU497,'Unit information'!$A$2:$K$29,9,FALSE)*Y497,0)*(1+$E$9)</f>
        <v>0</v>
      </c>
      <c r="BB497" s="107">
        <f>_xlfn.IFNA($M497/VLOOKUP($BV497,'Unit information'!$A$2:$K$29,10,FALSE)*Z497,0)*(1+$E$9)</f>
        <v>0</v>
      </c>
      <c r="BC497" s="108">
        <f>_xlfn.IFNA($M497/VLOOKUP($BV497,'Unit information'!$A$2:$K$29,11,FALSE)*AA497,0)*(1+$E$9)</f>
        <v>0</v>
      </c>
      <c r="BD497" s="106">
        <f t="shared" si="663"/>
        <v>0</v>
      </c>
      <c r="BE497" s="107">
        <f t="shared" si="664"/>
        <v>0</v>
      </c>
      <c r="BF497" s="108">
        <f t="shared" si="665"/>
        <v>0</v>
      </c>
      <c r="BG497" s="25" t="e">
        <f t="shared" si="666"/>
        <v>#N/A</v>
      </c>
      <c r="BH497" s="25" t="e">
        <f t="shared" si="667"/>
        <v>#N/A</v>
      </c>
      <c r="BI497" s="25" t="e">
        <f t="shared" si="668"/>
        <v>#N/A</v>
      </c>
      <c r="BJ497" s="27" t="e">
        <f t="shared" si="669"/>
        <v>#N/A</v>
      </c>
      <c r="BK497" s="18" t="e">
        <f t="shared" si="670"/>
        <v>#N/A</v>
      </c>
      <c r="BL497" s="18" t="e">
        <f t="shared" si="671"/>
        <v>#N/A</v>
      </c>
      <c r="BM497" s="28" t="e">
        <f t="shared" si="716"/>
        <v>#N/A</v>
      </c>
      <c r="BN497" s="33">
        <f>HLOOKUP("maximum population",Miscelaneous!$C$1:$C$33,CH497+3,FALSE)</f>
        <v>240</v>
      </c>
      <c r="BO497" s="14">
        <f t="shared" si="682"/>
        <v>32</v>
      </c>
      <c r="BP497" s="14">
        <f t="shared" si="683"/>
        <v>0</v>
      </c>
      <c r="BQ497" s="14">
        <f t="shared" si="684"/>
        <v>208</v>
      </c>
      <c r="BR497" s="34" t="e">
        <f>HLOOKUP(J497,Villagers!$B$1:$V$33,L497+3,FALSE)-HLOOKUP(J497,Villagers!$B$1:$V$33,L497+2,FALSE)</f>
        <v>#N/A</v>
      </c>
      <c r="BS497" s="49">
        <f t="shared" si="724"/>
        <v>1</v>
      </c>
      <c r="BT497" s="50">
        <f t="shared" si="724"/>
        <v>0</v>
      </c>
      <c r="BU497" s="50">
        <f t="shared" si="724"/>
        <v>0</v>
      </c>
      <c r="BV497" s="50">
        <f t="shared" si="724"/>
        <v>0</v>
      </c>
      <c r="BW497" s="50">
        <f t="shared" si="724"/>
        <v>0</v>
      </c>
      <c r="BX497" s="50">
        <f t="shared" si="724"/>
        <v>0</v>
      </c>
      <c r="BY497" s="50">
        <f t="shared" si="724"/>
        <v>0</v>
      </c>
      <c r="BZ497" s="50">
        <f t="shared" si="724"/>
        <v>0</v>
      </c>
      <c r="CA497" s="50">
        <f t="shared" si="724"/>
        <v>0</v>
      </c>
      <c r="CB497" s="50">
        <f t="shared" si="724"/>
        <v>1</v>
      </c>
      <c r="CC497" s="50">
        <f t="shared" si="724"/>
        <v>0</v>
      </c>
      <c r="CD497" s="50">
        <f t="shared" si="724"/>
        <v>0</v>
      </c>
      <c r="CE497" s="50">
        <f t="shared" si="724"/>
        <v>1</v>
      </c>
      <c r="CF497" s="50">
        <f t="shared" si="724"/>
        <v>1</v>
      </c>
      <c r="CG497" s="50">
        <f t="shared" si="724"/>
        <v>1</v>
      </c>
      <c r="CH497" s="50">
        <f t="shared" si="724"/>
        <v>1</v>
      </c>
      <c r="CI497" s="50">
        <f t="shared" si="724"/>
        <v>1</v>
      </c>
      <c r="CJ497" s="50">
        <f t="shared" si="724"/>
        <v>1</v>
      </c>
      <c r="CK497" s="50">
        <f t="shared" si="725"/>
        <v>0</v>
      </c>
      <c r="CL497" s="50">
        <f t="shared" si="726"/>
        <v>0</v>
      </c>
      <c r="CM497" s="51">
        <f t="shared" si="723"/>
        <v>0</v>
      </c>
      <c r="CN497" s="33">
        <f>ROUND(IF(BS497=0,0,HLOOKUP(BS$14,Villagers!$B$1:$V$33,BS497+3,FALSE)),)</f>
        <v>5</v>
      </c>
      <c r="CO497" s="14">
        <f>ROUND(IF(BT497=0,0,HLOOKUP(BT$14,Villagers!$B$1:$V$33,BT497+3,FALSE)),)</f>
        <v>0</v>
      </c>
      <c r="CP497" s="14">
        <f>ROUND(IF(BU497=0,0,HLOOKUP(BU$14,Villagers!$B$1:$V$33,BU497+3,FALSE)),)</f>
        <v>0</v>
      </c>
      <c r="CQ497" s="14">
        <f>ROUND(IF(BV497=0,0,HLOOKUP(BV$14,Villagers!$B$1:$V$33,BV497+3,FALSE)),)</f>
        <v>0</v>
      </c>
      <c r="CR497" s="14">
        <f>ROUND(IF(BW497=0,0,HLOOKUP(BW$14,Villagers!$B$1:$V$33,BW497+3,FALSE)),)</f>
        <v>0</v>
      </c>
      <c r="CS497" s="14">
        <f>ROUND(IF(BX497=0,0,HLOOKUP(BX$14,Villagers!$B$1:$V$33,BX497+3,FALSE)),)</f>
        <v>0</v>
      </c>
      <c r="CT497" s="14">
        <f>ROUND(IF(BY497=0,0,HLOOKUP(BY$14,Villagers!$B$1:$V$33,BY497+3,FALSE)),)</f>
        <v>0</v>
      </c>
      <c r="CU497" s="14">
        <f>ROUND(IF(BZ497=0,0,HLOOKUP(BZ$14,Villagers!$B$1:$V$33,BZ497+3,FALSE)),)</f>
        <v>0</v>
      </c>
      <c r="CV497" s="14">
        <f>ROUND(IF(CA497=0,0,HLOOKUP(CA$14,Villagers!$B$1:$V$33,CA497+3,FALSE)),)</f>
        <v>0</v>
      </c>
      <c r="CW497" s="14">
        <f>ROUND(IF(CB497=0,0,HLOOKUP(CB$14,Villagers!$B$1:$V$33,CB497+3,FALSE)),)</f>
        <v>0</v>
      </c>
      <c r="CX497" s="14">
        <f>ROUND(IF(CC497=0,0,HLOOKUP(CC$14,Villagers!$B$1:$V$33,CC497+3,FALSE)),)</f>
        <v>0</v>
      </c>
      <c r="CY497" s="14">
        <f>ROUND(IF(CD497=0,0,HLOOKUP(CD$14,Villagers!$B$1:$V$33,CD497+3,FALSE)),)</f>
        <v>0</v>
      </c>
      <c r="CZ497" s="14">
        <f>ROUND(IF(CE497=0,0,HLOOKUP(CE$14,Villagers!$B$1:$V$33,CE497+3,FALSE)),)</f>
        <v>5</v>
      </c>
      <c r="DA497" s="14">
        <f>ROUND(IF(CF497=0,0,HLOOKUP(CF$14,Villagers!$B$1:$V$33,CF497+3,FALSE)),)</f>
        <v>10</v>
      </c>
      <c r="DB497" s="14">
        <f>ROUND(IF(CG497=0,0,HLOOKUP(CG$14,Villagers!$B$1:$V$33,CG497+3,FALSE)),)</f>
        <v>10</v>
      </c>
      <c r="DC497" s="14">
        <f>ROUND(IF(CH497=0,0,HLOOKUP(CH$14,Villagers!$B$1:$V$33,CH497+3,FALSE)),)</f>
        <v>0</v>
      </c>
      <c r="DD497" s="14">
        <f>ROUND(IF(CI497=0,0,HLOOKUP(CI$14,Villagers!$B$1:$V$33,CI497+3,FALSE)),)</f>
        <v>0</v>
      </c>
      <c r="DE497" s="14">
        <f>ROUND(IF(CJ497=0,0,HLOOKUP(CJ$14,Villagers!$B$1:$V$33,CJ497+3,FALSE)),)</f>
        <v>2</v>
      </c>
      <c r="DF497" s="370">
        <f>ROUND(IF(CK497=0,0,HLOOKUP(CK$14,Villagers!$B$1:$V$33,CK497+3,FALSE)),)</f>
        <v>0</v>
      </c>
      <c r="DG497" s="370">
        <f>ROUND(IF(CL497=0,0,HLOOKUP(CL$14,Villagers!$B$1:$V$33,CL497+3,FALSE)),)</f>
        <v>0</v>
      </c>
      <c r="DH497" s="34">
        <f>ROUND(IF(CM497=0,0,HLOOKUP(CM$14,Villagers!$B$1:$V$33,CM497+3,FALSE)),)</f>
        <v>0</v>
      </c>
      <c r="DI497" s="109">
        <f t="shared" si="705"/>
        <v>0</v>
      </c>
      <c r="DJ497" s="50">
        <f t="shared" si="706"/>
        <v>0</v>
      </c>
      <c r="DK497" s="50">
        <f t="shared" si="707"/>
        <v>0</v>
      </c>
      <c r="DL497" s="50">
        <f t="shared" si="708"/>
        <v>0</v>
      </c>
      <c r="DM497" s="50">
        <f t="shared" si="709"/>
        <v>0</v>
      </c>
      <c r="DN497" s="50">
        <f t="shared" si="710"/>
        <v>0</v>
      </c>
      <c r="DO497" s="50">
        <f t="shared" si="711"/>
        <v>0</v>
      </c>
      <c r="DP497" s="50">
        <f t="shared" si="712"/>
        <v>0</v>
      </c>
      <c r="DQ497" s="50">
        <f t="shared" si="690"/>
        <v>0</v>
      </c>
      <c r="DR497" s="50">
        <f t="shared" si="691"/>
        <v>0</v>
      </c>
      <c r="DS497" s="96">
        <f>Miscelaneous!$D$4*Miscelaneous!$D$2^($CI497-1)</f>
        <v>1000</v>
      </c>
      <c r="DT497" s="333">
        <f t="shared" si="672"/>
        <v>1</v>
      </c>
      <c r="DU497" s="81">
        <v>1</v>
      </c>
      <c r="DV497" s="79">
        <f t="shared" si="692"/>
        <v>0</v>
      </c>
      <c r="DW497" s="79">
        <f t="shared" si="693"/>
        <v>0</v>
      </c>
      <c r="DX497" s="79">
        <f t="shared" si="694"/>
        <v>0</v>
      </c>
      <c r="DY497" s="79">
        <v>1</v>
      </c>
      <c r="DZ497" s="79">
        <f t="shared" si="695"/>
        <v>0</v>
      </c>
      <c r="EA497" s="79">
        <f t="shared" si="696"/>
        <v>0</v>
      </c>
      <c r="EB497" s="79">
        <f t="shared" si="697"/>
        <v>0</v>
      </c>
      <c r="EC497" s="79">
        <f t="shared" si="698"/>
        <v>0</v>
      </c>
      <c r="ED497" s="79">
        <v>1</v>
      </c>
      <c r="EE497" s="79">
        <v>1</v>
      </c>
      <c r="EF497" s="79">
        <f t="shared" si="699"/>
        <v>0</v>
      </c>
      <c r="EG497" s="79">
        <v>1</v>
      </c>
      <c r="EH497" s="79">
        <v>1</v>
      </c>
      <c r="EI497" s="79">
        <v>1</v>
      </c>
      <c r="EJ497" s="79">
        <v>1</v>
      </c>
      <c r="EK497" s="79">
        <v>1</v>
      </c>
      <c r="EL497" s="79">
        <v>1</v>
      </c>
      <c r="EM497" s="143">
        <f t="shared" si="700"/>
        <v>0</v>
      </c>
      <c r="EN497" s="143">
        <f t="shared" si="701"/>
        <v>0</v>
      </c>
      <c r="EO497" s="82">
        <f t="shared" si="702"/>
        <v>0</v>
      </c>
    </row>
    <row r="498" spans="1:145" x14ac:dyDescent="0.25">
      <c r="A498">
        <v>484</v>
      </c>
      <c r="B498" s="172" t="e">
        <f t="shared" si="673"/>
        <v>#N/A</v>
      </c>
      <c r="C498" s="121" t="e">
        <f t="shared" si="652"/>
        <v>#N/A</v>
      </c>
      <c r="D498" s="122" t="e">
        <f t="shared" si="653"/>
        <v>#N/A</v>
      </c>
      <c r="E498" s="122" t="e">
        <f t="shared" si="654"/>
        <v>#N/A</v>
      </c>
      <c r="F498" s="176" t="e">
        <f t="shared" si="655"/>
        <v>#N/A</v>
      </c>
      <c r="G498" s="121">
        <f t="shared" si="674"/>
        <v>208</v>
      </c>
      <c r="H498" s="176" t="e">
        <f t="shared" si="675"/>
        <v>#N/A</v>
      </c>
      <c r="I498" s="48">
        <v>1</v>
      </c>
      <c r="J498" s="39"/>
      <c r="K498" s="350">
        <v>1</v>
      </c>
      <c r="L498" s="34" t="e">
        <f t="shared" si="656"/>
        <v>#N/A</v>
      </c>
      <c r="M498" s="38" t="e">
        <f>(HLOOKUP(J498,'Construction Times'!$B$3:$W$34,L498+2,FALSE)*HLOOKUP("hq modifier",'Construction Times'!$W$3:$W$34,BS498+2,FALSE))*(1-$H$9)</f>
        <v>#N/A</v>
      </c>
      <c r="N498" s="443" t="e">
        <f t="shared" si="676"/>
        <v>#N/A</v>
      </c>
      <c r="O498" s="444"/>
      <c r="P498" s="447" t="e">
        <f t="shared" si="677"/>
        <v>#N/A</v>
      </c>
      <c r="Q498" s="448"/>
      <c r="R498" s="103">
        <f t="shared" si="703"/>
        <v>0</v>
      </c>
      <c r="S498" s="104">
        <f t="shared" si="703"/>
        <v>0</v>
      </c>
      <c r="T498" s="104">
        <f t="shared" si="704"/>
        <v>0</v>
      </c>
      <c r="U498" s="104">
        <f t="shared" si="704"/>
        <v>0</v>
      </c>
      <c r="V498" s="104">
        <f t="shared" si="704"/>
        <v>9.9999999999999995E-8</v>
      </c>
      <c r="W498" s="104">
        <f t="shared" si="704"/>
        <v>0</v>
      </c>
      <c r="X498" s="104">
        <f t="shared" si="722"/>
        <v>0</v>
      </c>
      <c r="Y498" s="104">
        <f t="shared" si="722"/>
        <v>9.9999999999999995E-8</v>
      </c>
      <c r="Z498" s="104">
        <f t="shared" si="722"/>
        <v>9.9999999999999995E-8</v>
      </c>
      <c r="AA498" s="105">
        <f t="shared" si="722"/>
        <v>9.9999999999999995E-8</v>
      </c>
      <c r="AB498" s="101" t="e">
        <f>$DT498*HLOOKUP($J498,'Construction Costs (timber)'!$B$1:$V$32,'Construction Planner'!$L498+2,FALSE)</f>
        <v>#N/A</v>
      </c>
      <c r="AC498" s="14" t="e">
        <f>$DT498*HLOOKUP($J498,'Construction Costs (clay)'!$B$1:$V$32,'Construction Planner'!$L498+2,FALSE)</f>
        <v>#N/A</v>
      </c>
      <c r="AD498" s="14" t="e">
        <f>$DT498*HLOOKUP($J498,'Construction Costs (iron)'!$B$1:$V$32,'Construction Planner'!$L498+2,FALSE)</f>
        <v>#N/A</v>
      </c>
      <c r="AE498" s="34" t="e">
        <f t="shared" si="713"/>
        <v>#N/A</v>
      </c>
      <c r="AF498" s="33" t="e">
        <f t="shared" si="657"/>
        <v>#N/A</v>
      </c>
      <c r="AG498" s="14" t="e">
        <f t="shared" si="658"/>
        <v>#N/A</v>
      </c>
      <c r="AH498" s="14" t="e">
        <f t="shared" si="659"/>
        <v>#N/A</v>
      </c>
      <c r="AI498" s="34" t="e">
        <f t="shared" si="714"/>
        <v>#N/A</v>
      </c>
      <c r="AJ498" s="49" t="e">
        <f t="shared" si="678"/>
        <v>#N/A</v>
      </c>
      <c r="AK498" s="49" t="e">
        <f t="shared" si="679"/>
        <v>#N/A</v>
      </c>
      <c r="AL498" s="49" t="e">
        <f t="shared" si="680"/>
        <v>#N/A</v>
      </c>
      <c r="AM498" s="25">
        <f t="shared" si="660"/>
        <v>30</v>
      </c>
      <c r="AN498" s="25">
        <f t="shared" si="661"/>
        <v>30</v>
      </c>
      <c r="AO498" s="25">
        <f t="shared" si="662"/>
        <v>30</v>
      </c>
      <c r="AP498" s="52" t="e">
        <f t="shared" si="681"/>
        <v>#N/A</v>
      </c>
      <c r="AQ498" s="53" t="e">
        <f t="shared" si="681"/>
        <v>#N/A</v>
      </c>
      <c r="AR498" s="54" t="e">
        <f t="shared" si="681"/>
        <v>#N/A</v>
      </c>
      <c r="AS498" s="316">
        <f t="shared" si="721"/>
        <v>0</v>
      </c>
      <c r="AT498" s="106">
        <f>_xlfn.IFNA($M498/VLOOKUP($BT498,'Unit information'!$A$2:$K$29,2,FALSE)*R498,0)*(1+$E$9)</f>
        <v>0</v>
      </c>
      <c r="AU498" s="107">
        <f>_xlfn.IFNA($M498/VLOOKUP($BT498,'Unit information'!$A$2:$K$29,3,FALSE)*S498,0)*(1+$E$9)</f>
        <v>0</v>
      </c>
      <c r="AV498" s="107">
        <f>_xlfn.IFNA($M498/VLOOKUP($BT498,'Unit information'!$A$2:$K$29,4,FALSE)*T498,0)*(1+$E$9)</f>
        <v>0</v>
      </c>
      <c r="AW498" s="107">
        <f>_xlfn.IFNA($M498/VLOOKUP($BT498,'Unit information'!$A$2:$K$29,5,FALSE)*U498,0)*(1+$E$9)</f>
        <v>0</v>
      </c>
      <c r="AX498" s="107">
        <f>_xlfn.IFNA($M498/VLOOKUP($BU498,'Unit information'!$A$2:$K$29,6,FALSE)*V498,0)*(1+$E$9)</f>
        <v>0</v>
      </c>
      <c r="AY498" s="107">
        <f>_xlfn.IFNA($M498/VLOOKUP($BU498,'Unit information'!$A$2:$K$29,7,FALSE)*W498,0)*(1+$E$9)</f>
        <v>0</v>
      </c>
      <c r="AZ498" s="107">
        <f>_xlfn.IFNA($M498/VLOOKUP($BU498,'Unit information'!$A$2:$K$29,8,FALSE)*X498,0)*(1+$E$9)</f>
        <v>0</v>
      </c>
      <c r="BA498" s="107">
        <f>_xlfn.IFNA($M498/VLOOKUP($BU498,'Unit information'!$A$2:$K$29,9,FALSE)*Y498,0)*(1+$E$9)</f>
        <v>0</v>
      </c>
      <c r="BB498" s="107">
        <f>_xlfn.IFNA($M498/VLOOKUP($BV498,'Unit information'!$A$2:$K$29,10,FALSE)*Z498,0)*(1+$E$9)</f>
        <v>0</v>
      </c>
      <c r="BC498" s="108">
        <f>_xlfn.IFNA($M498/VLOOKUP($BV498,'Unit information'!$A$2:$K$29,11,FALSE)*AA498,0)*(1+$E$9)</f>
        <v>0</v>
      </c>
      <c r="BD498" s="106">
        <f t="shared" si="663"/>
        <v>0</v>
      </c>
      <c r="BE498" s="107">
        <f t="shared" si="664"/>
        <v>0</v>
      </c>
      <c r="BF498" s="108">
        <f t="shared" si="665"/>
        <v>0</v>
      </c>
      <c r="BG498" s="25" t="e">
        <f t="shared" si="666"/>
        <v>#N/A</v>
      </c>
      <c r="BH498" s="25" t="e">
        <f t="shared" si="667"/>
        <v>#N/A</v>
      </c>
      <c r="BI498" s="25" t="e">
        <f t="shared" si="668"/>
        <v>#N/A</v>
      </c>
      <c r="BJ498" s="27" t="e">
        <f t="shared" si="669"/>
        <v>#N/A</v>
      </c>
      <c r="BK498" s="18" t="e">
        <f t="shared" si="670"/>
        <v>#N/A</v>
      </c>
      <c r="BL498" s="18" t="e">
        <f t="shared" si="671"/>
        <v>#N/A</v>
      </c>
      <c r="BM498" s="28" t="e">
        <f t="shared" si="716"/>
        <v>#N/A</v>
      </c>
      <c r="BN498" s="33">
        <f>HLOOKUP("maximum population",Miscelaneous!$C$1:$C$33,CH498+3,FALSE)</f>
        <v>240</v>
      </c>
      <c r="BO498" s="14">
        <f t="shared" si="682"/>
        <v>32</v>
      </c>
      <c r="BP498" s="14">
        <f t="shared" si="683"/>
        <v>0</v>
      </c>
      <c r="BQ498" s="14">
        <f t="shared" si="684"/>
        <v>208</v>
      </c>
      <c r="BR498" s="34" t="e">
        <f>HLOOKUP(J498,Villagers!$B$1:$V$33,L498+3,FALSE)-HLOOKUP(J498,Villagers!$B$1:$V$33,L498+2,FALSE)</f>
        <v>#N/A</v>
      </c>
      <c r="BS498" s="49">
        <f t="shared" si="724"/>
        <v>1</v>
      </c>
      <c r="BT498" s="50">
        <f t="shared" si="724"/>
        <v>0</v>
      </c>
      <c r="BU498" s="50">
        <f t="shared" si="724"/>
        <v>0</v>
      </c>
      <c r="BV498" s="50">
        <f t="shared" si="724"/>
        <v>0</v>
      </c>
      <c r="BW498" s="50">
        <f t="shared" si="724"/>
        <v>0</v>
      </c>
      <c r="BX498" s="50">
        <f t="shared" si="724"/>
        <v>0</v>
      </c>
      <c r="BY498" s="50">
        <f t="shared" si="724"/>
        <v>0</v>
      </c>
      <c r="BZ498" s="50">
        <f t="shared" si="724"/>
        <v>0</v>
      </c>
      <c r="CA498" s="50">
        <f t="shared" si="724"/>
        <v>0</v>
      </c>
      <c r="CB498" s="50">
        <f t="shared" si="724"/>
        <v>1</v>
      </c>
      <c r="CC498" s="50">
        <f t="shared" si="724"/>
        <v>0</v>
      </c>
      <c r="CD498" s="50">
        <f t="shared" si="724"/>
        <v>0</v>
      </c>
      <c r="CE498" s="50">
        <f t="shared" si="724"/>
        <v>1</v>
      </c>
      <c r="CF498" s="50">
        <f t="shared" si="724"/>
        <v>1</v>
      </c>
      <c r="CG498" s="50">
        <f t="shared" si="724"/>
        <v>1</v>
      </c>
      <c r="CH498" s="50">
        <f t="shared" si="724"/>
        <v>1</v>
      </c>
      <c r="CI498" s="50">
        <f t="shared" si="724"/>
        <v>1</v>
      </c>
      <c r="CJ498" s="50">
        <f t="shared" si="724"/>
        <v>1</v>
      </c>
      <c r="CK498" s="50">
        <f t="shared" si="725"/>
        <v>0</v>
      </c>
      <c r="CL498" s="50">
        <f t="shared" si="726"/>
        <v>0</v>
      </c>
      <c r="CM498" s="51">
        <f t="shared" si="723"/>
        <v>0</v>
      </c>
      <c r="CN498" s="33">
        <f>ROUND(IF(BS498=0,0,HLOOKUP(BS$14,Villagers!$B$1:$V$33,BS498+3,FALSE)),)</f>
        <v>5</v>
      </c>
      <c r="CO498" s="14">
        <f>ROUND(IF(BT498=0,0,HLOOKUP(BT$14,Villagers!$B$1:$V$33,BT498+3,FALSE)),)</f>
        <v>0</v>
      </c>
      <c r="CP498" s="14">
        <f>ROUND(IF(BU498=0,0,HLOOKUP(BU$14,Villagers!$B$1:$V$33,BU498+3,FALSE)),)</f>
        <v>0</v>
      </c>
      <c r="CQ498" s="14">
        <f>ROUND(IF(BV498=0,0,HLOOKUP(BV$14,Villagers!$B$1:$V$33,BV498+3,FALSE)),)</f>
        <v>0</v>
      </c>
      <c r="CR498" s="14">
        <f>ROUND(IF(BW498=0,0,HLOOKUP(BW$14,Villagers!$B$1:$V$33,BW498+3,FALSE)),)</f>
        <v>0</v>
      </c>
      <c r="CS498" s="14">
        <f>ROUND(IF(BX498=0,0,HLOOKUP(BX$14,Villagers!$B$1:$V$33,BX498+3,FALSE)),)</f>
        <v>0</v>
      </c>
      <c r="CT498" s="14">
        <f>ROUND(IF(BY498=0,0,HLOOKUP(BY$14,Villagers!$B$1:$V$33,BY498+3,FALSE)),)</f>
        <v>0</v>
      </c>
      <c r="CU498" s="14">
        <f>ROUND(IF(BZ498=0,0,HLOOKUP(BZ$14,Villagers!$B$1:$V$33,BZ498+3,FALSE)),)</f>
        <v>0</v>
      </c>
      <c r="CV498" s="14">
        <f>ROUND(IF(CA498=0,0,HLOOKUP(CA$14,Villagers!$B$1:$V$33,CA498+3,FALSE)),)</f>
        <v>0</v>
      </c>
      <c r="CW498" s="14">
        <f>ROUND(IF(CB498=0,0,HLOOKUP(CB$14,Villagers!$B$1:$V$33,CB498+3,FALSE)),)</f>
        <v>0</v>
      </c>
      <c r="CX498" s="14">
        <f>ROUND(IF(CC498=0,0,HLOOKUP(CC$14,Villagers!$B$1:$V$33,CC498+3,FALSE)),)</f>
        <v>0</v>
      </c>
      <c r="CY498" s="14">
        <f>ROUND(IF(CD498=0,0,HLOOKUP(CD$14,Villagers!$B$1:$V$33,CD498+3,FALSE)),)</f>
        <v>0</v>
      </c>
      <c r="CZ498" s="14">
        <f>ROUND(IF(CE498=0,0,HLOOKUP(CE$14,Villagers!$B$1:$V$33,CE498+3,FALSE)),)</f>
        <v>5</v>
      </c>
      <c r="DA498" s="14">
        <f>ROUND(IF(CF498=0,0,HLOOKUP(CF$14,Villagers!$B$1:$V$33,CF498+3,FALSE)),)</f>
        <v>10</v>
      </c>
      <c r="DB498" s="14">
        <f>ROUND(IF(CG498=0,0,HLOOKUP(CG$14,Villagers!$B$1:$V$33,CG498+3,FALSE)),)</f>
        <v>10</v>
      </c>
      <c r="DC498" s="14">
        <f>ROUND(IF(CH498=0,0,HLOOKUP(CH$14,Villagers!$B$1:$V$33,CH498+3,FALSE)),)</f>
        <v>0</v>
      </c>
      <c r="DD498" s="14">
        <f>ROUND(IF(CI498=0,0,HLOOKUP(CI$14,Villagers!$B$1:$V$33,CI498+3,FALSE)),)</f>
        <v>0</v>
      </c>
      <c r="DE498" s="14">
        <f>ROUND(IF(CJ498=0,0,HLOOKUP(CJ$14,Villagers!$B$1:$V$33,CJ498+3,FALSE)),)</f>
        <v>2</v>
      </c>
      <c r="DF498" s="370">
        <f>ROUND(IF(CK498=0,0,HLOOKUP(CK$14,Villagers!$B$1:$V$33,CK498+3,FALSE)),)</f>
        <v>0</v>
      </c>
      <c r="DG498" s="370">
        <f>ROUND(IF(CL498=0,0,HLOOKUP(CL$14,Villagers!$B$1:$V$33,CL498+3,FALSE)),)</f>
        <v>0</v>
      </c>
      <c r="DH498" s="34">
        <f>ROUND(IF(CM498=0,0,HLOOKUP(CM$14,Villagers!$B$1:$V$33,CM498+3,FALSE)),)</f>
        <v>0</v>
      </c>
      <c r="DI498" s="109">
        <f t="shared" si="705"/>
        <v>0</v>
      </c>
      <c r="DJ498" s="50">
        <f t="shared" si="706"/>
        <v>0</v>
      </c>
      <c r="DK498" s="50">
        <f t="shared" si="707"/>
        <v>0</v>
      </c>
      <c r="DL498" s="50">
        <f t="shared" si="708"/>
        <v>0</v>
      </c>
      <c r="DM498" s="50">
        <f t="shared" si="709"/>
        <v>0</v>
      </c>
      <c r="DN498" s="50">
        <f t="shared" si="710"/>
        <v>0</v>
      </c>
      <c r="DO498" s="50">
        <f t="shared" si="711"/>
        <v>0</v>
      </c>
      <c r="DP498" s="50">
        <f t="shared" si="712"/>
        <v>0</v>
      </c>
      <c r="DQ498" s="50">
        <f t="shared" si="690"/>
        <v>0</v>
      </c>
      <c r="DR498" s="50">
        <f t="shared" si="691"/>
        <v>0</v>
      </c>
      <c r="DS498" s="96">
        <f>Miscelaneous!$D$4*Miscelaneous!$D$2^($CI498-1)</f>
        <v>1000</v>
      </c>
      <c r="DT498" s="333">
        <f t="shared" si="672"/>
        <v>1</v>
      </c>
      <c r="DU498" s="81">
        <v>1</v>
      </c>
      <c r="DV498" s="79">
        <f t="shared" si="692"/>
        <v>0</v>
      </c>
      <c r="DW498" s="79">
        <f t="shared" si="693"/>
        <v>0</v>
      </c>
      <c r="DX498" s="79">
        <f t="shared" si="694"/>
        <v>0</v>
      </c>
      <c r="DY498" s="79">
        <v>1</v>
      </c>
      <c r="DZ498" s="79">
        <f t="shared" si="695"/>
        <v>0</v>
      </c>
      <c r="EA498" s="79">
        <f t="shared" si="696"/>
        <v>0</v>
      </c>
      <c r="EB498" s="79">
        <f t="shared" si="697"/>
        <v>0</v>
      </c>
      <c r="EC498" s="79">
        <f t="shared" si="698"/>
        <v>0</v>
      </c>
      <c r="ED498" s="79">
        <v>1</v>
      </c>
      <c r="EE498" s="79">
        <v>1</v>
      </c>
      <c r="EF498" s="79">
        <f t="shared" si="699"/>
        <v>0</v>
      </c>
      <c r="EG498" s="79">
        <v>1</v>
      </c>
      <c r="EH498" s="79">
        <v>1</v>
      </c>
      <c r="EI498" s="79">
        <v>1</v>
      </c>
      <c r="EJ498" s="79">
        <v>1</v>
      </c>
      <c r="EK498" s="79">
        <v>1</v>
      </c>
      <c r="EL498" s="79">
        <v>1</v>
      </c>
      <c r="EM498" s="143">
        <f t="shared" si="700"/>
        <v>0</v>
      </c>
      <c r="EN498" s="143">
        <f t="shared" si="701"/>
        <v>0</v>
      </c>
      <c r="EO498" s="82">
        <f t="shared" si="702"/>
        <v>0</v>
      </c>
    </row>
    <row r="499" spans="1:145" x14ac:dyDescent="0.25">
      <c r="A499">
        <v>485</v>
      </c>
      <c r="B499" s="172" t="e">
        <f t="shared" si="673"/>
        <v>#N/A</v>
      </c>
      <c r="C499" s="121" t="e">
        <f t="shared" si="652"/>
        <v>#N/A</v>
      </c>
      <c r="D499" s="122" t="e">
        <f t="shared" si="653"/>
        <v>#N/A</v>
      </c>
      <c r="E499" s="122" t="e">
        <f t="shared" si="654"/>
        <v>#N/A</v>
      </c>
      <c r="F499" s="176" t="e">
        <f t="shared" si="655"/>
        <v>#N/A</v>
      </c>
      <c r="G499" s="121">
        <f t="shared" si="674"/>
        <v>208</v>
      </c>
      <c r="H499" s="176" t="e">
        <f t="shared" si="675"/>
        <v>#N/A</v>
      </c>
      <c r="I499" s="48">
        <v>1</v>
      </c>
      <c r="J499" s="39"/>
      <c r="K499" s="350">
        <v>1</v>
      </c>
      <c r="L499" s="34" t="e">
        <f t="shared" si="656"/>
        <v>#N/A</v>
      </c>
      <c r="M499" s="38" t="e">
        <f>(HLOOKUP(J499,'Construction Times'!$B$3:$W$34,L499+2,FALSE)*HLOOKUP("hq modifier",'Construction Times'!$W$3:$W$34,BS499+2,FALSE))*(1-$H$9)</f>
        <v>#N/A</v>
      </c>
      <c r="N499" s="443" t="e">
        <f t="shared" si="676"/>
        <v>#N/A</v>
      </c>
      <c r="O499" s="444"/>
      <c r="P499" s="447" t="e">
        <f t="shared" si="677"/>
        <v>#N/A</v>
      </c>
      <c r="Q499" s="448"/>
      <c r="R499" s="103">
        <f t="shared" si="703"/>
        <v>0</v>
      </c>
      <c r="S499" s="104">
        <f t="shared" si="703"/>
        <v>0</v>
      </c>
      <c r="T499" s="104">
        <f t="shared" si="704"/>
        <v>0</v>
      </c>
      <c r="U499" s="104">
        <f t="shared" si="704"/>
        <v>0</v>
      </c>
      <c r="V499" s="104">
        <f t="shared" si="704"/>
        <v>9.9999999999999995E-8</v>
      </c>
      <c r="W499" s="104">
        <f t="shared" si="704"/>
        <v>0</v>
      </c>
      <c r="X499" s="104">
        <f t="shared" si="722"/>
        <v>0</v>
      </c>
      <c r="Y499" s="104">
        <f t="shared" si="722"/>
        <v>9.9999999999999995E-8</v>
      </c>
      <c r="Z499" s="104">
        <f t="shared" si="722"/>
        <v>9.9999999999999995E-8</v>
      </c>
      <c r="AA499" s="105">
        <f t="shared" si="722"/>
        <v>9.9999999999999995E-8</v>
      </c>
      <c r="AB499" s="101" t="e">
        <f>$DT499*HLOOKUP($J499,'Construction Costs (timber)'!$B$1:$V$32,'Construction Planner'!$L499+2,FALSE)</f>
        <v>#N/A</v>
      </c>
      <c r="AC499" s="14" t="e">
        <f>$DT499*HLOOKUP($J499,'Construction Costs (clay)'!$B$1:$V$32,'Construction Planner'!$L499+2,FALSE)</f>
        <v>#N/A</v>
      </c>
      <c r="AD499" s="14" t="e">
        <f>$DT499*HLOOKUP($J499,'Construction Costs (iron)'!$B$1:$V$32,'Construction Planner'!$L499+2,FALSE)</f>
        <v>#N/A</v>
      </c>
      <c r="AE499" s="34" t="e">
        <f t="shared" si="713"/>
        <v>#N/A</v>
      </c>
      <c r="AF499" s="33" t="e">
        <f t="shared" si="657"/>
        <v>#N/A</v>
      </c>
      <c r="AG499" s="14" t="e">
        <f t="shared" si="658"/>
        <v>#N/A</v>
      </c>
      <c r="AH499" s="14" t="e">
        <f t="shared" si="659"/>
        <v>#N/A</v>
      </c>
      <c r="AI499" s="34" t="e">
        <f t="shared" si="714"/>
        <v>#N/A</v>
      </c>
      <c r="AJ499" s="49" t="e">
        <f t="shared" si="678"/>
        <v>#N/A</v>
      </c>
      <c r="AK499" s="49" t="e">
        <f t="shared" si="679"/>
        <v>#N/A</v>
      </c>
      <c r="AL499" s="49" t="e">
        <f t="shared" si="680"/>
        <v>#N/A</v>
      </c>
      <c r="AM499" s="25">
        <f t="shared" si="660"/>
        <v>30</v>
      </c>
      <c r="AN499" s="25">
        <f t="shared" si="661"/>
        <v>30</v>
      </c>
      <c r="AO499" s="25">
        <f t="shared" si="662"/>
        <v>30</v>
      </c>
      <c r="AP499" s="52" t="e">
        <f t="shared" si="681"/>
        <v>#N/A</v>
      </c>
      <c r="AQ499" s="53" t="e">
        <f t="shared" si="681"/>
        <v>#N/A</v>
      </c>
      <c r="AR499" s="54" t="e">
        <f t="shared" si="681"/>
        <v>#N/A</v>
      </c>
      <c r="AS499" s="316">
        <f t="shared" si="721"/>
        <v>0</v>
      </c>
      <c r="AT499" s="106">
        <f>_xlfn.IFNA($M499/VLOOKUP($BT499,'Unit information'!$A$2:$K$29,2,FALSE)*R499,0)*(1+$E$9)</f>
        <v>0</v>
      </c>
      <c r="AU499" s="107">
        <f>_xlfn.IFNA($M499/VLOOKUP($BT499,'Unit information'!$A$2:$K$29,3,FALSE)*S499,0)*(1+$E$9)</f>
        <v>0</v>
      </c>
      <c r="AV499" s="107">
        <f>_xlfn.IFNA($M499/VLOOKUP($BT499,'Unit information'!$A$2:$K$29,4,FALSE)*T499,0)*(1+$E$9)</f>
        <v>0</v>
      </c>
      <c r="AW499" s="107">
        <f>_xlfn.IFNA($M499/VLOOKUP($BT499,'Unit information'!$A$2:$K$29,5,FALSE)*U499,0)*(1+$E$9)</f>
        <v>0</v>
      </c>
      <c r="AX499" s="107">
        <f>_xlfn.IFNA($M499/VLOOKUP($BU499,'Unit information'!$A$2:$K$29,6,FALSE)*V499,0)*(1+$E$9)</f>
        <v>0</v>
      </c>
      <c r="AY499" s="107">
        <f>_xlfn.IFNA($M499/VLOOKUP($BU499,'Unit information'!$A$2:$K$29,7,FALSE)*W499,0)*(1+$E$9)</f>
        <v>0</v>
      </c>
      <c r="AZ499" s="107">
        <f>_xlfn.IFNA($M499/VLOOKUP($BU499,'Unit information'!$A$2:$K$29,8,FALSE)*X499,0)*(1+$E$9)</f>
        <v>0</v>
      </c>
      <c r="BA499" s="107">
        <f>_xlfn.IFNA($M499/VLOOKUP($BU499,'Unit information'!$A$2:$K$29,9,FALSE)*Y499,0)*(1+$E$9)</f>
        <v>0</v>
      </c>
      <c r="BB499" s="107">
        <f>_xlfn.IFNA($M499/VLOOKUP($BV499,'Unit information'!$A$2:$K$29,10,FALSE)*Z499,0)*(1+$E$9)</f>
        <v>0</v>
      </c>
      <c r="BC499" s="108">
        <f>_xlfn.IFNA($M499/VLOOKUP($BV499,'Unit information'!$A$2:$K$29,11,FALSE)*AA499,0)*(1+$E$9)</f>
        <v>0</v>
      </c>
      <c r="BD499" s="106">
        <f t="shared" si="663"/>
        <v>0</v>
      </c>
      <c r="BE499" s="107">
        <f t="shared" si="664"/>
        <v>0</v>
      </c>
      <c r="BF499" s="108">
        <f t="shared" si="665"/>
        <v>0</v>
      </c>
      <c r="BG499" s="25" t="e">
        <f t="shared" si="666"/>
        <v>#N/A</v>
      </c>
      <c r="BH499" s="25" t="e">
        <f t="shared" si="667"/>
        <v>#N/A</v>
      </c>
      <c r="BI499" s="25" t="e">
        <f t="shared" si="668"/>
        <v>#N/A</v>
      </c>
      <c r="BJ499" s="27" t="e">
        <f t="shared" si="669"/>
        <v>#N/A</v>
      </c>
      <c r="BK499" s="18" t="e">
        <f t="shared" si="670"/>
        <v>#N/A</v>
      </c>
      <c r="BL499" s="18" t="e">
        <f t="shared" si="671"/>
        <v>#N/A</v>
      </c>
      <c r="BM499" s="28" t="e">
        <f t="shared" si="716"/>
        <v>#N/A</v>
      </c>
      <c r="BN499" s="33">
        <f>HLOOKUP("maximum population",Miscelaneous!$C$1:$C$33,CH499+3,FALSE)</f>
        <v>240</v>
      </c>
      <c r="BO499" s="14">
        <f t="shared" si="682"/>
        <v>32</v>
      </c>
      <c r="BP499" s="14">
        <f t="shared" si="683"/>
        <v>0</v>
      </c>
      <c r="BQ499" s="14">
        <f t="shared" si="684"/>
        <v>208</v>
      </c>
      <c r="BR499" s="34" t="e">
        <f>HLOOKUP(J499,Villagers!$B$1:$V$33,L499+3,FALSE)-HLOOKUP(J499,Villagers!$B$1:$V$33,L499+2,FALSE)</f>
        <v>#N/A</v>
      </c>
      <c r="BS499" s="49">
        <f t="shared" si="724"/>
        <v>1</v>
      </c>
      <c r="BT499" s="50">
        <f t="shared" si="724"/>
        <v>0</v>
      </c>
      <c r="BU499" s="50">
        <f t="shared" si="724"/>
        <v>0</v>
      </c>
      <c r="BV499" s="50">
        <f t="shared" si="724"/>
        <v>0</v>
      </c>
      <c r="BW499" s="50">
        <f t="shared" si="724"/>
        <v>0</v>
      </c>
      <c r="BX499" s="50">
        <f t="shared" si="724"/>
        <v>0</v>
      </c>
      <c r="BY499" s="50">
        <f t="shared" si="724"/>
        <v>0</v>
      </c>
      <c r="BZ499" s="50">
        <f t="shared" si="724"/>
        <v>0</v>
      </c>
      <c r="CA499" s="50">
        <f t="shared" si="724"/>
        <v>0</v>
      </c>
      <c r="CB499" s="50">
        <f t="shared" si="724"/>
        <v>1</v>
      </c>
      <c r="CC499" s="50">
        <f t="shared" si="724"/>
        <v>0</v>
      </c>
      <c r="CD499" s="50">
        <f t="shared" si="724"/>
        <v>0</v>
      </c>
      <c r="CE499" s="50">
        <f t="shared" si="724"/>
        <v>1</v>
      </c>
      <c r="CF499" s="50">
        <f t="shared" si="724"/>
        <v>1</v>
      </c>
      <c r="CG499" s="50">
        <f t="shared" si="724"/>
        <v>1</v>
      </c>
      <c r="CH499" s="50">
        <f t="shared" si="724"/>
        <v>1</v>
      </c>
      <c r="CI499" s="50">
        <f t="shared" si="724"/>
        <v>1</v>
      </c>
      <c r="CJ499" s="50">
        <f t="shared" si="724"/>
        <v>1</v>
      </c>
      <c r="CK499" s="50">
        <f t="shared" si="725"/>
        <v>0</v>
      </c>
      <c r="CL499" s="50">
        <f t="shared" si="726"/>
        <v>0</v>
      </c>
      <c r="CM499" s="51">
        <f t="shared" si="723"/>
        <v>0</v>
      </c>
      <c r="CN499" s="33">
        <f>ROUND(IF(BS499=0,0,HLOOKUP(BS$14,Villagers!$B$1:$V$33,BS499+3,FALSE)),)</f>
        <v>5</v>
      </c>
      <c r="CO499" s="14">
        <f>ROUND(IF(BT499=0,0,HLOOKUP(BT$14,Villagers!$B$1:$V$33,BT499+3,FALSE)),)</f>
        <v>0</v>
      </c>
      <c r="CP499" s="14">
        <f>ROUND(IF(BU499=0,0,HLOOKUP(BU$14,Villagers!$B$1:$V$33,BU499+3,FALSE)),)</f>
        <v>0</v>
      </c>
      <c r="CQ499" s="14">
        <f>ROUND(IF(BV499=0,0,HLOOKUP(BV$14,Villagers!$B$1:$V$33,BV499+3,FALSE)),)</f>
        <v>0</v>
      </c>
      <c r="CR499" s="14">
        <f>ROUND(IF(BW499=0,0,HLOOKUP(BW$14,Villagers!$B$1:$V$33,BW499+3,FALSE)),)</f>
        <v>0</v>
      </c>
      <c r="CS499" s="14">
        <f>ROUND(IF(BX499=0,0,HLOOKUP(BX$14,Villagers!$B$1:$V$33,BX499+3,FALSE)),)</f>
        <v>0</v>
      </c>
      <c r="CT499" s="14">
        <f>ROUND(IF(BY499=0,0,HLOOKUP(BY$14,Villagers!$B$1:$V$33,BY499+3,FALSE)),)</f>
        <v>0</v>
      </c>
      <c r="CU499" s="14">
        <f>ROUND(IF(BZ499=0,0,HLOOKUP(BZ$14,Villagers!$B$1:$V$33,BZ499+3,FALSE)),)</f>
        <v>0</v>
      </c>
      <c r="CV499" s="14">
        <f>ROUND(IF(CA499=0,0,HLOOKUP(CA$14,Villagers!$B$1:$V$33,CA499+3,FALSE)),)</f>
        <v>0</v>
      </c>
      <c r="CW499" s="14">
        <f>ROUND(IF(CB499=0,0,HLOOKUP(CB$14,Villagers!$B$1:$V$33,CB499+3,FALSE)),)</f>
        <v>0</v>
      </c>
      <c r="CX499" s="14">
        <f>ROUND(IF(CC499=0,0,HLOOKUP(CC$14,Villagers!$B$1:$V$33,CC499+3,FALSE)),)</f>
        <v>0</v>
      </c>
      <c r="CY499" s="14">
        <f>ROUND(IF(CD499=0,0,HLOOKUP(CD$14,Villagers!$B$1:$V$33,CD499+3,FALSE)),)</f>
        <v>0</v>
      </c>
      <c r="CZ499" s="14">
        <f>ROUND(IF(CE499=0,0,HLOOKUP(CE$14,Villagers!$B$1:$V$33,CE499+3,FALSE)),)</f>
        <v>5</v>
      </c>
      <c r="DA499" s="14">
        <f>ROUND(IF(CF499=0,0,HLOOKUP(CF$14,Villagers!$B$1:$V$33,CF499+3,FALSE)),)</f>
        <v>10</v>
      </c>
      <c r="DB499" s="14">
        <f>ROUND(IF(CG499=0,0,HLOOKUP(CG$14,Villagers!$B$1:$V$33,CG499+3,FALSE)),)</f>
        <v>10</v>
      </c>
      <c r="DC499" s="14">
        <f>ROUND(IF(CH499=0,0,HLOOKUP(CH$14,Villagers!$B$1:$V$33,CH499+3,FALSE)),)</f>
        <v>0</v>
      </c>
      <c r="DD499" s="14">
        <f>ROUND(IF(CI499=0,0,HLOOKUP(CI$14,Villagers!$B$1:$V$33,CI499+3,FALSE)),)</f>
        <v>0</v>
      </c>
      <c r="DE499" s="14">
        <f>ROUND(IF(CJ499=0,0,HLOOKUP(CJ$14,Villagers!$B$1:$V$33,CJ499+3,FALSE)),)</f>
        <v>2</v>
      </c>
      <c r="DF499" s="370">
        <f>ROUND(IF(CK499=0,0,HLOOKUP(CK$14,Villagers!$B$1:$V$33,CK499+3,FALSE)),)</f>
        <v>0</v>
      </c>
      <c r="DG499" s="370">
        <f>ROUND(IF(CL499=0,0,HLOOKUP(CL$14,Villagers!$B$1:$V$33,CL499+3,FALSE)),)</f>
        <v>0</v>
      </c>
      <c r="DH499" s="34">
        <f>ROUND(IF(CM499=0,0,HLOOKUP(CM$14,Villagers!$B$1:$V$33,CM499+3,FALSE)),)</f>
        <v>0</v>
      </c>
      <c r="DI499" s="109">
        <f t="shared" si="705"/>
        <v>0</v>
      </c>
      <c r="DJ499" s="50">
        <f t="shared" si="706"/>
        <v>0</v>
      </c>
      <c r="DK499" s="50">
        <f t="shared" si="707"/>
        <v>0</v>
      </c>
      <c r="DL499" s="50">
        <f t="shared" si="708"/>
        <v>0</v>
      </c>
      <c r="DM499" s="50">
        <f t="shared" si="709"/>
        <v>0</v>
      </c>
      <c r="DN499" s="50">
        <f t="shared" si="710"/>
        <v>0</v>
      </c>
      <c r="DO499" s="50">
        <f t="shared" si="711"/>
        <v>0</v>
      </c>
      <c r="DP499" s="50">
        <f t="shared" si="712"/>
        <v>0</v>
      </c>
      <c r="DQ499" s="50">
        <f t="shared" si="690"/>
        <v>0</v>
      </c>
      <c r="DR499" s="50">
        <f t="shared" si="691"/>
        <v>0</v>
      </c>
      <c r="DS499" s="96">
        <f>Miscelaneous!$D$4*Miscelaneous!$D$2^($CI499-1)</f>
        <v>1000</v>
      </c>
      <c r="DT499" s="333">
        <f t="shared" si="672"/>
        <v>1</v>
      </c>
      <c r="DU499" s="81">
        <v>1</v>
      </c>
      <c r="DV499" s="79">
        <f t="shared" si="692"/>
        <v>0</v>
      </c>
      <c r="DW499" s="79">
        <f t="shared" si="693"/>
        <v>0</v>
      </c>
      <c r="DX499" s="79">
        <f t="shared" si="694"/>
        <v>0</v>
      </c>
      <c r="DY499" s="79">
        <v>1</v>
      </c>
      <c r="DZ499" s="79">
        <f t="shared" si="695"/>
        <v>0</v>
      </c>
      <c r="EA499" s="79">
        <f t="shared" si="696"/>
        <v>0</v>
      </c>
      <c r="EB499" s="79">
        <f t="shared" si="697"/>
        <v>0</v>
      </c>
      <c r="EC499" s="79">
        <f t="shared" si="698"/>
        <v>0</v>
      </c>
      <c r="ED499" s="79">
        <v>1</v>
      </c>
      <c r="EE499" s="79">
        <v>1</v>
      </c>
      <c r="EF499" s="79">
        <f t="shared" si="699"/>
        <v>0</v>
      </c>
      <c r="EG499" s="79">
        <v>1</v>
      </c>
      <c r="EH499" s="79">
        <v>1</v>
      </c>
      <c r="EI499" s="79">
        <v>1</v>
      </c>
      <c r="EJ499" s="79">
        <v>1</v>
      </c>
      <c r="EK499" s="79">
        <v>1</v>
      </c>
      <c r="EL499" s="79">
        <v>1</v>
      </c>
      <c r="EM499" s="143">
        <f t="shared" si="700"/>
        <v>0</v>
      </c>
      <c r="EN499" s="143">
        <f t="shared" si="701"/>
        <v>0</v>
      </c>
      <c r="EO499" s="82">
        <f t="shared" si="702"/>
        <v>0</v>
      </c>
    </row>
    <row r="500" spans="1:145" x14ac:dyDescent="0.25">
      <c r="A500">
        <v>486</v>
      </c>
      <c r="B500" s="172" t="e">
        <f t="shared" si="673"/>
        <v>#N/A</v>
      </c>
      <c r="C500" s="121" t="e">
        <f t="shared" si="652"/>
        <v>#N/A</v>
      </c>
      <c r="D500" s="122" t="e">
        <f t="shared" si="653"/>
        <v>#N/A</v>
      </c>
      <c r="E500" s="122" t="e">
        <f t="shared" si="654"/>
        <v>#N/A</v>
      </c>
      <c r="F500" s="176" t="e">
        <f t="shared" si="655"/>
        <v>#N/A</v>
      </c>
      <c r="G500" s="121">
        <f t="shared" si="674"/>
        <v>208</v>
      </c>
      <c r="H500" s="176" t="e">
        <f t="shared" si="675"/>
        <v>#N/A</v>
      </c>
      <c r="I500" s="48">
        <v>1</v>
      </c>
      <c r="J500" s="39"/>
      <c r="K500" s="350">
        <v>1</v>
      </c>
      <c r="L500" s="34" t="e">
        <f t="shared" si="656"/>
        <v>#N/A</v>
      </c>
      <c r="M500" s="38" t="e">
        <f>(HLOOKUP(J500,'Construction Times'!$B$3:$W$34,L500+2,FALSE)*HLOOKUP("hq modifier",'Construction Times'!$W$3:$W$34,BS500+2,FALSE))*(1-$H$9)</f>
        <v>#N/A</v>
      </c>
      <c r="N500" s="443" t="e">
        <f t="shared" si="676"/>
        <v>#N/A</v>
      </c>
      <c r="O500" s="444"/>
      <c r="P500" s="447" t="e">
        <f t="shared" si="677"/>
        <v>#N/A</v>
      </c>
      <c r="Q500" s="448"/>
      <c r="R500" s="103">
        <f t="shared" si="703"/>
        <v>0</v>
      </c>
      <c r="S500" s="104">
        <f t="shared" si="703"/>
        <v>0</v>
      </c>
      <c r="T500" s="104">
        <f t="shared" si="704"/>
        <v>0</v>
      </c>
      <c r="U500" s="104">
        <f t="shared" si="704"/>
        <v>0</v>
      </c>
      <c r="V500" s="104">
        <f t="shared" si="704"/>
        <v>9.9999999999999995E-8</v>
      </c>
      <c r="W500" s="104">
        <f t="shared" si="704"/>
        <v>0</v>
      </c>
      <c r="X500" s="104">
        <f t="shared" si="722"/>
        <v>0</v>
      </c>
      <c r="Y500" s="104">
        <f t="shared" si="722"/>
        <v>9.9999999999999995E-8</v>
      </c>
      <c r="Z500" s="104">
        <f t="shared" si="722"/>
        <v>9.9999999999999995E-8</v>
      </c>
      <c r="AA500" s="105">
        <f t="shared" si="722"/>
        <v>9.9999999999999995E-8</v>
      </c>
      <c r="AB500" s="101" t="e">
        <f>$DT500*HLOOKUP($J500,'Construction Costs (timber)'!$B$1:$V$32,'Construction Planner'!$L500+2,FALSE)</f>
        <v>#N/A</v>
      </c>
      <c r="AC500" s="14" t="e">
        <f>$DT500*HLOOKUP($J500,'Construction Costs (clay)'!$B$1:$V$32,'Construction Planner'!$L500+2,FALSE)</f>
        <v>#N/A</v>
      </c>
      <c r="AD500" s="14" t="e">
        <f>$DT500*HLOOKUP($J500,'Construction Costs (iron)'!$B$1:$V$32,'Construction Planner'!$L500+2,FALSE)</f>
        <v>#N/A</v>
      </c>
      <c r="AE500" s="34" t="e">
        <f t="shared" si="713"/>
        <v>#N/A</v>
      </c>
      <c r="AF500" s="33" t="e">
        <f t="shared" si="657"/>
        <v>#N/A</v>
      </c>
      <c r="AG500" s="14" t="e">
        <f t="shared" si="658"/>
        <v>#N/A</v>
      </c>
      <c r="AH500" s="14" t="e">
        <f t="shared" si="659"/>
        <v>#N/A</v>
      </c>
      <c r="AI500" s="34" t="e">
        <f t="shared" si="714"/>
        <v>#N/A</v>
      </c>
      <c r="AJ500" s="49" t="e">
        <f t="shared" si="678"/>
        <v>#N/A</v>
      </c>
      <c r="AK500" s="49" t="e">
        <f t="shared" si="679"/>
        <v>#N/A</v>
      </c>
      <c r="AL500" s="49" t="e">
        <f t="shared" si="680"/>
        <v>#N/A</v>
      </c>
      <c r="AM500" s="25">
        <f t="shared" si="660"/>
        <v>30</v>
      </c>
      <c r="AN500" s="25">
        <f t="shared" si="661"/>
        <v>30</v>
      </c>
      <c r="AO500" s="25">
        <f t="shared" si="662"/>
        <v>30</v>
      </c>
      <c r="AP500" s="52" t="e">
        <f t="shared" si="681"/>
        <v>#N/A</v>
      </c>
      <c r="AQ500" s="53" t="e">
        <f t="shared" si="681"/>
        <v>#N/A</v>
      </c>
      <c r="AR500" s="54" t="e">
        <f t="shared" si="681"/>
        <v>#N/A</v>
      </c>
      <c r="AS500" s="316">
        <f t="shared" ref="AS500:AS509" si="727">AS499</f>
        <v>0</v>
      </c>
      <c r="AT500" s="106">
        <f>_xlfn.IFNA($M500/VLOOKUP($BT500,'Unit information'!$A$2:$K$29,2,FALSE)*R500,0)*(1+$E$9)</f>
        <v>0</v>
      </c>
      <c r="AU500" s="107">
        <f>_xlfn.IFNA($M500/VLOOKUP($BT500,'Unit information'!$A$2:$K$29,3,FALSE)*S500,0)*(1+$E$9)</f>
        <v>0</v>
      </c>
      <c r="AV500" s="107">
        <f>_xlfn.IFNA($M500/VLOOKUP($BT500,'Unit information'!$A$2:$K$29,4,FALSE)*T500,0)*(1+$E$9)</f>
        <v>0</v>
      </c>
      <c r="AW500" s="107">
        <f>_xlfn.IFNA($M500/VLOOKUP($BT500,'Unit information'!$A$2:$K$29,5,FALSE)*U500,0)*(1+$E$9)</f>
        <v>0</v>
      </c>
      <c r="AX500" s="107">
        <f>_xlfn.IFNA($M500/VLOOKUP($BU500,'Unit information'!$A$2:$K$29,6,FALSE)*V500,0)*(1+$E$9)</f>
        <v>0</v>
      </c>
      <c r="AY500" s="107">
        <f>_xlfn.IFNA($M500/VLOOKUP($BU500,'Unit information'!$A$2:$K$29,7,FALSE)*W500,0)*(1+$E$9)</f>
        <v>0</v>
      </c>
      <c r="AZ500" s="107">
        <f>_xlfn.IFNA($M500/VLOOKUP($BU500,'Unit information'!$A$2:$K$29,8,FALSE)*X500,0)*(1+$E$9)</f>
        <v>0</v>
      </c>
      <c r="BA500" s="107">
        <f>_xlfn.IFNA($M500/VLOOKUP($BU500,'Unit information'!$A$2:$K$29,9,FALSE)*Y500,0)*(1+$E$9)</f>
        <v>0</v>
      </c>
      <c r="BB500" s="107">
        <f>_xlfn.IFNA($M500/VLOOKUP($BV500,'Unit information'!$A$2:$K$29,10,FALSE)*Z500,0)*(1+$E$9)</f>
        <v>0</v>
      </c>
      <c r="BC500" s="108">
        <f>_xlfn.IFNA($M500/VLOOKUP($BV500,'Unit information'!$A$2:$K$29,11,FALSE)*AA500,0)*(1+$E$9)</f>
        <v>0</v>
      </c>
      <c r="BD500" s="106">
        <f t="shared" si="663"/>
        <v>0</v>
      </c>
      <c r="BE500" s="107">
        <f t="shared" si="664"/>
        <v>0</v>
      </c>
      <c r="BF500" s="108">
        <f t="shared" si="665"/>
        <v>0</v>
      </c>
      <c r="BG500" s="25" t="e">
        <f t="shared" si="666"/>
        <v>#N/A</v>
      </c>
      <c r="BH500" s="25" t="e">
        <f t="shared" si="667"/>
        <v>#N/A</v>
      </c>
      <c r="BI500" s="25" t="e">
        <f t="shared" si="668"/>
        <v>#N/A</v>
      </c>
      <c r="BJ500" s="27" t="e">
        <f t="shared" si="669"/>
        <v>#N/A</v>
      </c>
      <c r="BK500" s="18" t="e">
        <f t="shared" si="670"/>
        <v>#N/A</v>
      </c>
      <c r="BL500" s="18" t="e">
        <f t="shared" si="671"/>
        <v>#N/A</v>
      </c>
      <c r="BM500" s="28" t="e">
        <f t="shared" si="716"/>
        <v>#N/A</v>
      </c>
      <c r="BN500" s="33">
        <f>HLOOKUP("maximum population",Miscelaneous!$C$1:$C$33,CH500+3,FALSE)</f>
        <v>240</v>
      </c>
      <c r="BO500" s="14">
        <f t="shared" si="682"/>
        <v>32</v>
      </c>
      <c r="BP500" s="14">
        <f t="shared" si="683"/>
        <v>0</v>
      </c>
      <c r="BQ500" s="14">
        <f t="shared" si="684"/>
        <v>208</v>
      </c>
      <c r="BR500" s="34" t="e">
        <f>HLOOKUP(J500,Villagers!$B$1:$V$33,L500+3,FALSE)-HLOOKUP(J500,Villagers!$B$1:$V$33,L500+2,FALSE)</f>
        <v>#N/A</v>
      </c>
      <c r="BS500" s="49">
        <f t="shared" si="724"/>
        <v>1</v>
      </c>
      <c r="BT500" s="50">
        <f t="shared" si="724"/>
        <v>0</v>
      </c>
      <c r="BU500" s="50">
        <f t="shared" si="724"/>
        <v>0</v>
      </c>
      <c r="BV500" s="50">
        <f t="shared" si="724"/>
        <v>0</v>
      </c>
      <c r="BW500" s="50">
        <f t="shared" si="724"/>
        <v>0</v>
      </c>
      <c r="BX500" s="50">
        <f t="shared" si="724"/>
        <v>0</v>
      </c>
      <c r="BY500" s="50">
        <f t="shared" si="724"/>
        <v>0</v>
      </c>
      <c r="BZ500" s="50">
        <f t="shared" si="724"/>
        <v>0</v>
      </c>
      <c r="CA500" s="50">
        <f t="shared" si="724"/>
        <v>0</v>
      </c>
      <c r="CB500" s="50">
        <f t="shared" si="724"/>
        <v>1</v>
      </c>
      <c r="CC500" s="50">
        <f t="shared" si="724"/>
        <v>0</v>
      </c>
      <c r="CD500" s="50">
        <f t="shared" si="724"/>
        <v>0</v>
      </c>
      <c r="CE500" s="50">
        <f t="shared" si="724"/>
        <v>1</v>
      </c>
      <c r="CF500" s="50">
        <f t="shared" si="724"/>
        <v>1</v>
      </c>
      <c r="CG500" s="50">
        <f t="shared" si="724"/>
        <v>1</v>
      </c>
      <c r="CH500" s="50">
        <f t="shared" si="724"/>
        <v>1</v>
      </c>
      <c r="CI500" s="50">
        <f t="shared" si="724"/>
        <v>1</v>
      </c>
      <c r="CJ500" s="50">
        <f t="shared" si="724"/>
        <v>1</v>
      </c>
      <c r="CK500" s="50">
        <f t="shared" si="725"/>
        <v>0</v>
      </c>
      <c r="CL500" s="50">
        <f t="shared" si="726"/>
        <v>0</v>
      </c>
      <c r="CM500" s="51">
        <f t="shared" si="723"/>
        <v>0</v>
      </c>
      <c r="CN500" s="33">
        <f>ROUND(IF(BS500=0,0,HLOOKUP(BS$14,Villagers!$B$1:$V$33,BS500+3,FALSE)),)</f>
        <v>5</v>
      </c>
      <c r="CO500" s="14">
        <f>ROUND(IF(BT500=0,0,HLOOKUP(BT$14,Villagers!$B$1:$V$33,BT500+3,FALSE)),)</f>
        <v>0</v>
      </c>
      <c r="CP500" s="14">
        <f>ROUND(IF(BU500=0,0,HLOOKUP(BU$14,Villagers!$B$1:$V$33,BU500+3,FALSE)),)</f>
        <v>0</v>
      </c>
      <c r="CQ500" s="14">
        <f>ROUND(IF(BV500=0,0,HLOOKUP(BV$14,Villagers!$B$1:$V$33,BV500+3,FALSE)),)</f>
        <v>0</v>
      </c>
      <c r="CR500" s="14">
        <f>ROUND(IF(BW500=0,0,HLOOKUP(BW$14,Villagers!$B$1:$V$33,BW500+3,FALSE)),)</f>
        <v>0</v>
      </c>
      <c r="CS500" s="14">
        <f>ROUND(IF(BX500=0,0,HLOOKUP(BX$14,Villagers!$B$1:$V$33,BX500+3,FALSE)),)</f>
        <v>0</v>
      </c>
      <c r="CT500" s="14">
        <f>ROUND(IF(BY500=0,0,HLOOKUP(BY$14,Villagers!$B$1:$V$33,BY500+3,FALSE)),)</f>
        <v>0</v>
      </c>
      <c r="CU500" s="14">
        <f>ROUND(IF(BZ500=0,0,HLOOKUP(BZ$14,Villagers!$B$1:$V$33,BZ500+3,FALSE)),)</f>
        <v>0</v>
      </c>
      <c r="CV500" s="14">
        <f>ROUND(IF(CA500=0,0,HLOOKUP(CA$14,Villagers!$B$1:$V$33,CA500+3,FALSE)),)</f>
        <v>0</v>
      </c>
      <c r="CW500" s="14">
        <f>ROUND(IF(CB500=0,0,HLOOKUP(CB$14,Villagers!$B$1:$V$33,CB500+3,FALSE)),)</f>
        <v>0</v>
      </c>
      <c r="CX500" s="14">
        <f>ROUND(IF(CC500=0,0,HLOOKUP(CC$14,Villagers!$B$1:$V$33,CC500+3,FALSE)),)</f>
        <v>0</v>
      </c>
      <c r="CY500" s="14">
        <f>ROUND(IF(CD500=0,0,HLOOKUP(CD$14,Villagers!$B$1:$V$33,CD500+3,FALSE)),)</f>
        <v>0</v>
      </c>
      <c r="CZ500" s="14">
        <f>ROUND(IF(CE500=0,0,HLOOKUP(CE$14,Villagers!$B$1:$V$33,CE500+3,FALSE)),)</f>
        <v>5</v>
      </c>
      <c r="DA500" s="14">
        <f>ROUND(IF(CF500=0,0,HLOOKUP(CF$14,Villagers!$B$1:$V$33,CF500+3,FALSE)),)</f>
        <v>10</v>
      </c>
      <c r="DB500" s="14">
        <f>ROUND(IF(CG500=0,0,HLOOKUP(CG$14,Villagers!$B$1:$V$33,CG500+3,FALSE)),)</f>
        <v>10</v>
      </c>
      <c r="DC500" s="14">
        <f>ROUND(IF(CH500=0,0,HLOOKUP(CH$14,Villagers!$B$1:$V$33,CH500+3,FALSE)),)</f>
        <v>0</v>
      </c>
      <c r="DD500" s="14">
        <f>ROUND(IF(CI500=0,0,HLOOKUP(CI$14,Villagers!$B$1:$V$33,CI500+3,FALSE)),)</f>
        <v>0</v>
      </c>
      <c r="DE500" s="14">
        <f>ROUND(IF(CJ500=0,0,HLOOKUP(CJ$14,Villagers!$B$1:$V$33,CJ500+3,FALSE)),)</f>
        <v>2</v>
      </c>
      <c r="DF500" s="370">
        <f>ROUND(IF(CK500=0,0,HLOOKUP(CK$14,Villagers!$B$1:$V$33,CK500+3,FALSE)),)</f>
        <v>0</v>
      </c>
      <c r="DG500" s="370">
        <f>ROUND(IF(CL500=0,0,HLOOKUP(CL$14,Villagers!$B$1:$V$33,CL500+3,FALSE)),)</f>
        <v>0</v>
      </c>
      <c r="DH500" s="34">
        <f>ROUND(IF(CM500=0,0,HLOOKUP(CM$14,Villagers!$B$1:$V$33,CM500+3,FALSE)),)</f>
        <v>0</v>
      </c>
      <c r="DI500" s="109">
        <f t="shared" si="705"/>
        <v>0</v>
      </c>
      <c r="DJ500" s="50">
        <f t="shared" si="706"/>
        <v>0</v>
      </c>
      <c r="DK500" s="50">
        <f t="shared" si="707"/>
        <v>0</v>
      </c>
      <c r="DL500" s="50">
        <f t="shared" si="708"/>
        <v>0</v>
      </c>
      <c r="DM500" s="50">
        <f t="shared" si="709"/>
        <v>0</v>
      </c>
      <c r="DN500" s="50">
        <f t="shared" si="710"/>
        <v>0</v>
      </c>
      <c r="DO500" s="50">
        <f t="shared" si="711"/>
        <v>0</v>
      </c>
      <c r="DP500" s="50">
        <f t="shared" si="712"/>
        <v>0</v>
      </c>
      <c r="DQ500" s="50">
        <f t="shared" si="690"/>
        <v>0</v>
      </c>
      <c r="DR500" s="50">
        <f t="shared" si="691"/>
        <v>0</v>
      </c>
      <c r="DS500" s="96">
        <f>Miscelaneous!$D$4*Miscelaneous!$D$2^($CI500-1)</f>
        <v>1000</v>
      </c>
      <c r="DT500" s="333">
        <f t="shared" si="672"/>
        <v>1</v>
      </c>
      <c r="DU500" s="81">
        <v>1</v>
      </c>
      <c r="DV500" s="79">
        <f t="shared" si="692"/>
        <v>0</v>
      </c>
      <c r="DW500" s="79">
        <f t="shared" si="693"/>
        <v>0</v>
      </c>
      <c r="DX500" s="79">
        <f t="shared" si="694"/>
        <v>0</v>
      </c>
      <c r="DY500" s="79">
        <v>1</v>
      </c>
      <c r="DZ500" s="79">
        <f t="shared" si="695"/>
        <v>0</v>
      </c>
      <c r="EA500" s="79">
        <f t="shared" si="696"/>
        <v>0</v>
      </c>
      <c r="EB500" s="79">
        <f t="shared" si="697"/>
        <v>0</v>
      </c>
      <c r="EC500" s="79">
        <f t="shared" si="698"/>
        <v>0</v>
      </c>
      <c r="ED500" s="79">
        <v>1</v>
      </c>
      <c r="EE500" s="79">
        <v>1</v>
      </c>
      <c r="EF500" s="79">
        <f t="shared" si="699"/>
        <v>0</v>
      </c>
      <c r="EG500" s="79">
        <v>1</v>
      </c>
      <c r="EH500" s="79">
        <v>1</v>
      </c>
      <c r="EI500" s="79">
        <v>1</v>
      </c>
      <c r="EJ500" s="79">
        <v>1</v>
      </c>
      <c r="EK500" s="79">
        <v>1</v>
      </c>
      <c r="EL500" s="79">
        <v>1</v>
      </c>
      <c r="EM500" s="143">
        <f t="shared" si="700"/>
        <v>0</v>
      </c>
      <c r="EN500" s="143">
        <f t="shared" si="701"/>
        <v>0</v>
      </c>
      <c r="EO500" s="82">
        <f t="shared" si="702"/>
        <v>0</v>
      </c>
    </row>
    <row r="501" spans="1:145" x14ac:dyDescent="0.25">
      <c r="A501">
        <v>487</v>
      </c>
      <c r="B501" s="172" t="e">
        <f t="shared" si="673"/>
        <v>#N/A</v>
      </c>
      <c r="C501" s="121" t="e">
        <f t="shared" si="652"/>
        <v>#N/A</v>
      </c>
      <c r="D501" s="122" t="e">
        <f t="shared" si="653"/>
        <v>#N/A</v>
      </c>
      <c r="E501" s="122" t="e">
        <f t="shared" si="654"/>
        <v>#N/A</v>
      </c>
      <c r="F501" s="176" t="e">
        <f t="shared" si="655"/>
        <v>#N/A</v>
      </c>
      <c r="G501" s="121">
        <f t="shared" si="674"/>
        <v>208</v>
      </c>
      <c r="H501" s="176" t="e">
        <f t="shared" si="675"/>
        <v>#N/A</v>
      </c>
      <c r="I501" s="48">
        <v>1</v>
      </c>
      <c r="J501" s="39"/>
      <c r="K501" s="350">
        <v>1</v>
      </c>
      <c r="L501" s="34" t="e">
        <f t="shared" si="656"/>
        <v>#N/A</v>
      </c>
      <c r="M501" s="38" t="e">
        <f>(HLOOKUP(J501,'Construction Times'!$B$3:$W$34,L501+2,FALSE)*HLOOKUP("hq modifier",'Construction Times'!$W$3:$W$34,BS501+2,FALSE))*(1-$H$9)</f>
        <v>#N/A</v>
      </c>
      <c r="N501" s="443" t="e">
        <f t="shared" si="676"/>
        <v>#N/A</v>
      </c>
      <c r="O501" s="444"/>
      <c r="P501" s="447" t="e">
        <f t="shared" si="677"/>
        <v>#N/A</v>
      </c>
      <c r="Q501" s="448"/>
      <c r="R501" s="103">
        <f t="shared" si="703"/>
        <v>0</v>
      </c>
      <c r="S501" s="104">
        <f t="shared" si="703"/>
        <v>0</v>
      </c>
      <c r="T501" s="104">
        <f t="shared" si="704"/>
        <v>0</v>
      </c>
      <c r="U501" s="104">
        <f t="shared" si="704"/>
        <v>0</v>
      </c>
      <c r="V501" s="104">
        <f t="shared" si="704"/>
        <v>9.9999999999999995E-8</v>
      </c>
      <c r="W501" s="104">
        <f t="shared" si="704"/>
        <v>0</v>
      </c>
      <c r="X501" s="104">
        <f t="shared" si="722"/>
        <v>0</v>
      </c>
      <c r="Y501" s="104">
        <f t="shared" si="722"/>
        <v>9.9999999999999995E-8</v>
      </c>
      <c r="Z501" s="104">
        <f t="shared" si="722"/>
        <v>9.9999999999999995E-8</v>
      </c>
      <c r="AA501" s="105">
        <f t="shared" si="722"/>
        <v>9.9999999999999995E-8</v>
      </c>
      <c r="AB501" s="101" t="e">
        <f>$DT501*HLOOKUP($J501,'Construction Costs (timber)'!$B$1:$V$32,'Construction Planner'!$L501+2,FALSE)</f>
        <v>#N/A</v>
      </c>
      <c r="AC501" s="14" t="e">
        <f>$DT501*HLOOKUP($J501,'Construction Costs (clay)'!$B$1:$V$32,'Construction Planner'!$L501+2,FALSE)</f>
        <v>#N/A</v>
      </c>
      <c r="AD501" s="14" t="e">
        <f>$DT501*HLOOKUP($J501,'Construction Costs (iron)'!$B$1:$V$32,'Construction Planner'!$L501+2,FALSE)</f>
        <v>#N/A</v>
      </c>
      <c r="AE501" s="34" t="e">
        <f t="shared" si="713"/>
        <v>#N/A</v>
      </c>
      <c r="AF501" s="33" t="e">
        <f t="shared" si="657"/>
        <v>#N/A</v>
      </c>
      <c r="AG501" s="14" t="e">
        <f t="shared" si="658"/>
        <v>#N/A</v>
      </c>
      <c r="AH501" s="14" t="e">
        <f t="shared" si="659"/>
        <v>#N/A</v>
      </c>
      <c r="AI501" s="34" t="e">
        <f t="shared" si="714"/>
        <v>#N/A</v>
      </c>
      <c r="AJ501" s="49" t="e">
        <f t="shared" si="678"/>
        <v>#N/A</v>
      </c>
      <c r="AK501" s="49" t="e">
        <f t="shared" si="679"/>
        <v>#N/A</v>
      </c>
      <c r="AL501" s="49" t="e">
        <f t="shared" si="680"/>
        <v>#N/A</v>
      </c>
      <c r="AM501" s="25">
        <f t="shared" si="660"/>
        <v>30</v>
      </c>
      <c r="AN501" s="25">
        <f t="shared" si="661"/>
        <v>30</v>
      </c>
      <c r="AO501" s="25">
        <f t="shared" si="662"/>
        <v>30</v>
      </c>
      <c r="AP501" s="52" t="e">
        <f t="shared" si="681"/>
        <v>#N/A</v>
      </c>
      <c r="AQ501" s="53" t="e">
        <f t="shared" si="681"/>
        <v>#N/A</v>
      </c>
      <c r="AR501" s="54" t="e">
        <f t="shared" si="681"/>
        <v>#N/A</v>
      </c>
      <c r="AS501" s="316">
        <f t="shared" si="727"/>
        <v>0</v>
      </c>
      <c r="AT501" s="106">
        <f>_xlfn.IFNA($M501/VLOOKUP($BT501,'Unit information'!$A$2:$K$29,2,FALSE)*R501,0)*(1+$E$9)</f>
        <v>0</v>
      </c>
      <c r="AU501" s="107">
        <f>_xlfn.IFNA($M501/VLOOKUP($BT501,'Unit information'!$A$2:$K$29,3,FALSE)*S501,0)*(1+$E$9)</f>
        <v>0</v>
      </c>
      <c r="AV501" s="107">
        <f>_xlfn.IFNA($M501/VLOOKUP($BT501,'Unit information'!$A$2:$K$29,4,FALSE)*T501,0)*(1+$E$9)</f>
        <v>0</v>
      </c>
      <c r="AW501" s="107">
        <f>_xlfn.IFNA($M501/VLOOKUP($BT501,'Unit information'!$A$2:$K$29,5,FALSE)*U501,0)*(1+$E$9)</f>
        <v>0</v>
      </c>
      <c r="AX501" s="107">
        <f>_xlfn.IFNA($M501/VLOOKUP($BU501,'Unit information'!$A$2:$K$29,6,FALSE)*V501,0)*(1+$E$9)</f>
        <v>0</v>
      </c>
      <c r="AY501" s="107">
        <f>_xlfn.IFNA($M501/VLOOKUP($BU501,'Unit information'!$A$2:$K$29,7,FALSE)*W501,0)*(1+$E$9)</f>
        <v>0</v>
      </c>
      <c r="AZ501" s="107">
        <f>_xlfn.IFNA($M501/VLOOKUP($BU501,'Unit information'!$A$2:$K$29,8,FALSE)*X501,0)*(1+$E$9)</f>
        <v>0</v>
      </c>
      <c r="BA501" s="107">
        <f>_xlfn.IFNA($M501/VLOOKUP($BU501,'Unit information'!$A$2:$K$29,9,FALSE)*Y501,0)*(1+$E$9)</f>
        <v>0</v>
      </c>
      <c r="BB501" s="107">
        <f>_xlfn.IFNA($M501/VLOOKUP($BV501,'Unit information'!$A$2:$K$29,10,FALSE)*Z501,0)*(1+$E$9)</f>
        <v>0</v>
      </c>
      <c r="BC501" s="108">
        <f>_xlfn.IFNA($M501/VLOOKUP($BV501,'Unit information'!$A$2:$K$29,11,FALSE)*AA501,0)*(1+$E$9)</f>
        <v>0</v>
      </c>
      <c r="BD501" s="106">
        <f t="shared" si="663"/>
        <v>0</v>
      </c>
      <c r="BE501" s="107">
        <f t="shared" si="664"/>
        <v>0</v>
      </c>
      <c r="BF501" s="108">
        <f t="shared" si="665"/>
        <v>0</v>
      </c>
      <c r="BG501" s="25" t="e">
        <f t="shared" si="666"/>
        <v>#N/A</v>
      </c>
      <c r="BH501" s="25" t="e">
        <f t="shared" si="667"/>
        <v>#N/A</v>
      </c>
      <c r="BI501" s="25" t="e">
        <f t="shared" si="668"/>
        <v>#N/A</v>
      </c>
      <c r="BJ501" s="27" t="e">
        <f t="shared" si="669"/>
        <v>#N/A</v>
      </c>
      <c r="BK501" s="18" t="e">
        <f t="shared" si="670"/>
        <v>#N/A</v>
      </c>
      <c r="BL501" s="18" t="e">
        <f t="shared" si="671"/>
        <v>#N/A</v>
      </c>
      <c r="BM501" s="28" t="e">
        <f t="shared" si="716"/>
        <v>#N/A</v>
      </c>
      <c r="BN501" s="33">
        <f>HLOOKUP("maximum population",Miscelaneous!$C$1:$C$33,CH501+3,FALSE)</f>
        <v>240</v>
      </c>
      <c r="BO501" s="14">
        <f t="shared" si="682"/>
        <v>32</v>
      </c>
      <c r="BP501" s="14">
        <f t="shared" si="683"/>
        <v>0</v>
      </c>
      <c r="BQ501" s="14">
        <f t="shared" si="684"/>
        <v>208</v>
      </c>
      <c r="BR501" s="34" t="e">
        <f>HLOOKUP(J501,Villagers!$B$1:$V$33,L501+3,FALSE)-HLOOKUP(J501,Villagers!$B$1:$V$33,L501+2,FALSE)</f>
        <v>#N/A</v>
      </c>
      <c r="BS501" s="49">
        <f t="shared" si="724"/>
        <v>1</v>
      </c>
      <c r="BT501" s="50">
        <f t="shared" si="724"/>
        <v>0</v>
      </c>
      <c r="BU501" s="50">
        <f t="shared" si="724"/>
        <v>0</v>
      </c>
      <c r="BV501" s="50">
        <f t="shared" si="724"/>
        <v>0</v>
      </c>
      <c r="BW501" s="50">
        <f t="shared" si="724"/>
        <v>0</v>
      </c>
      <c r="BX501" s="50">
        <f t="shared" si="724"/>
        <v>0</v>
      </c>
      <c r="BY501" s="50">
        <f t="shared" si="724"/>
        <v>0</v>
      </c>
      <c r="BZ501" s="50">
        <f t="shared" si="724"/>
        <v>0</v>
      </c>
      <c r="CA501" s="50">
        <f t="shared" si="724"/>
        <v>0</v>
      </c>
      <c r="CB501" s="50">
        <f t="shared" si="724"/>
        <v>1</v>
      </c>
      <c r="CC501" s="50">
        <f t="shared" si="724"/>
        <v>0</v>
      </c>
      <c r="CD501" s="50">
        <f t="shared" si="724"/>
        <v>0</v>
      </c>
      <c r="CE501" s="50">
        <f t="shared" si="724"/>
        <v>1</v>
      </c>
      <c r="CF501" s="50">
        <f t="shared" si="724"/>
        <v>1</v>
      </c>
      <c r="CG501" s="50">
        <f t="shared" si="724"/>
        <v>1</v>
      </c>
      <c r="CH501" s="50">
        <f t="shared" si="724"/>
        <v>1</v>
      </c>
      <c r="CI501" s="50">
        <f t="shared" si="724"/>
        <v>1</v>
      </c>
      <c r="CJ501" s="50">
        <f t="shared" si="724"/>
        <v>1</v>
      </c>
      <c r="CK501" s="50">
        <f t="shared" si="725"/>
        <v>0</v>
      </c>
      <c r="CL501" s="50">
        <f t="shared" si="726"/>
        <v>0</v>
      </c>
      <c r="CM501" s="51">
        <f t="shared" si="723"/>
        <v>0</v>
      </c>
      <c r="CN501" s="33">
        <f>ROUND(IF(BS501=0,0,HLOOKUP(BS$14,Villagers!$B$1:$V$33,BS501+3,FALSE)),)</f>
        <v>5</v>
      </c>
      <c r="CO501" s="14">
        <f>ROUND(IF(BT501=0,0,HLOOKUP(BT$14,Villagers!$B$1:$V$33,BT501+3,FALSE)),)</f>
        <v>0</v>
      </c>
      <c r="CP501" s="14">
        <f>ROUND(IF(BU501=0,0,HLOOKUP(BU$14,Villagers!$B$1:$V$33,BU501+3,FALSE)),)</f>
        <v>0</v>
      </c>
      <c r="CQ501" s="14">
        <f>ROUND(IF(BV501=0,0,HLOOKUP(BV$14,Villagers!$B$1:$V$33,BV501+3,FALSE)),)</f>
        <v>0</v>
      </c>
      <c r="CR501" s="14">
        <f>ROUND(IF(BW501=0,0,HLOOKUP(BW$14,Villagers!$B$1:$V$33,BW501+3,FALSE)),)</f>
        <v>0</v>
      </c>
      <c r="CS501" s="14">
        <f>ROUND(IF(BX501=0,0,HLOOKUP(BX$14,Villagers!$B$1:$V$33,BX501+3,FALSE)),)</f>
        <v>0</v>
      </c>
      <c r="CT501" s="14">
        <f>ROUND(IF(BY501=0,0,HLOOKUP(BY$14,Villagers!$B$1:$V$33,BY501+3,FALSE)),)</f>
        <v>0</v>
      </c>
      <c r="CU501" s="14">
        <f>ROUND(IF(BZ501=0,0,HLOOKUP(BZ$14,Villagers!$B$1:$V$33,BZ501+3,FALSE)),)</f>
        <v>0</v>
      </c>
      <c r="CV501" s="14">
        <f>ROUND(IF(CA501=0,0,HLOOKUP(CA$14,Villagers!$B$1:$V$33,CA501+3,FALSE)),)</f>
        <v>0</v>
      </c>
      <c r="CW501" s="14">
        <f>ROUND(IF(CB501=0,0,HLOOKUP(CB$14,Villagers!$B$1:$V$33,CB501+3,FALSE)),)</f>
        <v>0</v>
      </c>
      <c r="CX501" s="14">
        <f>ROUND(IF(CC501=0,0,HLOOKUP(CC$14,Villagers!$B$1:$V$33,CC501+3,FALSE)),)</f>
        <v>0</v>
      </c>
      <c r="CY501" s="14">
        <f>ROUND(IF(CD501=0,0,HLOOKUP(CD$14,Villagers!$B$1:$V$33,CD501+3,FALSE)),)</f>
        <v>0</v>
      </c>
      <c r="CZ501" s="14">
        <f>ROUND(IF(CE501=0,0,HLOOKUP(CE$14,Villagers!$B$1:$V$33,CE501+3,FALSE)),)</f>
        <v>5</v>
      </c>
      <c r="DA501" s="14">
        <f>ROUND(IF(CF501=0,0,HLOOKUP(CF$14,Villagers!$B$1:$V$33,CF501+3,FALSE)),)</f>
        <v>10</v>
      </c>
      <c r="DB501" s="14">
        <f>ROUND(IF(CG501=0,0,HLOOKUP(CG$14,Villagers!$B$1:$V$33,CG501+3,FALSE)),)</f>
        <v>10</v>
      </c>
      <c r="DC501" s="14">
        <f>ROUND(IF(CH501=0,0,HLOOKUP(CH$14,Villagers!$B$1:$V$33,CH501+3,FALSE)),)</f>
        <v>0</v>
      </c>
      <c r="DD501" s="14">
        <f>ROUND(IF(CI501=0,0,HLOOKUP(CI$14,Villagers!$B$1:$V$33,CI501+3,FALSE)),)</f>
        <v>0</v>
      </c>
      <c r="DE501" s="14">
        <f>ROUND(IF(CJ501=0,0,HLOOKUP(CJ$14,Villagers!$B$1:$V$33,CJ501+3,FALSE)),)</f>
        <v>2</v>
      </c>
      <c r="DF501" s="370">
        <f>ROUND(IF(CK501=0,0,HLOOKUP(CK$14,Villagers!$B$1:$V$33,CK501+3,FALSE)),)</f>
        <v>0</v>
      </c>
      <c r="DG501" s="370">
        <f>ROUND(IF(CL501=0,0,HLOOKUP(CL$14,Villagers!$B$1:$V$33,CL501+3,FALSE)),)</f>
        <v>0</v>
      </c>
      <c r="DH501" s="34">
        <f>ROUND(IF(CM501=0,0,HLOOKUP(CM$14,Villagers!$B$1:$V$33,CM501+3,FALSE)),)</f>
        <v>0</v>
      </c>
      <c r="DI501" s="109">
        <f t="shared" si="705"/>
        <v>0</v>
      </c>
      <c r="DJ501" s="50">
        <f t="shared" si="706"/>
        <v>0</v>
      </c>
      <c r="DK501" s="50">
        <f t="shared" si="707"/>
        <v>0</v>
      </c>
      <c r="DL501" s="50">
        <f t="shared" si="708"/>
        <v>0</v>
      </c>
      <c r="DM501" s="50">
        <f t="shared" si="709"/>
        <v>0</v>
      </c>
      <c r="DN501" s="50">
        <f t="shared" si="710"/>
        <v>0</v>
      </c>
      <c r="DO501" s="50">
        <f t="shared" si="711"/>
        <v>0</v>
      </c>
      <c r="DP501" s="50">
        <f t="shared" si="712"/>
        <v>0</v>
      </c>
      <c r="DQ501" s="50">
        <f t="shared" si="690"/>
        <v>0</v>
      </c>
      <c r="DR501" s="50">
        <f t="shared" si="691"/>
        <v>0</v>
      </c>
      <c r="DS501" s="96">
        <f>Miscelaneous!$D$4*Miscelaneous!$D$2^($CI501-1)</f>
        <v>1000</v>
      </c>
      <c r="DT501" s="333">
        <f t="shared" si="672"/>
        <v>1</v>
      </c>
      <c r="DU501" s="81">
        <v>1</v>
      </c>
      <c r="DV501" s="79">
        <f t="shared" si="692"/>
        <v>0</v>
      </c>
      <c r="DW501" s="79">
        <f t="shared" si="693"/>
        <v>0</v>
      </c>
      <c r="DX501" s="79">
        <f t="shared" si="694"/>
        <v>0</v>
      </c>
      <c r="DY501" s="79">
        <v>1</v>
      </c>
      <c r="DZ501" s="79">
        <f t="shared" si="695"/>
        <v>0</v>
      </c>
      <c r="EA501" s="79">
        <f t="shared" si="696"/>
        <v>0</v>
      </c>
      <c r="EB501" s="79">
        <f t="shared" si="697"/>
        <v>0</v>
      </c>
      <c r="EC501" s="79">
        <f t="shared" si="698"/>
        <v>0</v>
      </c>
      <c r="ED501" s="79">
        <v>1</v>
      </c>
      <c r="EE501" s="79">
        <v>1</v>
      </c>
      <c r="EF501" s="79">
        <f t="shared" si="699"/>
        <v>0</v>
      </c>
      <c r="EG501" s="79">
        <v>1</v>
      </c>
      <c r="EH501" s="79">
        <v>1</v>
      </c>
      <c r="EI501" s="79">
        <v>1</v>
      </c>
      <c r="EJ501" s="79">
        <v>1</v>
      </c>
      <c r="EK501" s="79">
        <v>1</v>
      </c>
      <c r="EL501" s="79">
        <v>1</v>
      </c>
      <c r="EM501" s="143">
        <f t="shared" si="700"/>
        <v>0</v>
      </c>
      <c r="EN501" s="143">
        <f t="shared" si="701"/>
        <v>0</v>
      </c>
      <c r="EO501" s="82">
        <f t="shared" si="702"/>
        <v>0</v>
      </c>
    </row>
    <row r="502" spans="1:145" x14ac:dyDescent="0.25">
      <c r="A502">
        <v>488</v>
      </c>
      <c r="B502" s="172" t="e">
        <f t="shared" si="673"/>
        <v>#N/A</v>
      </c>
      <c r="C502" s="121" t="e">
        <f t="shared" si="652"/>
        <v>#N/A</v>
      </c>
      <c r="D502" s="122" t="e">
        <f t="shared" si="653"/>
        <v>#N/A</v>
      </c>
      <c r="E502" s="122" t="e">
        <f t="shared" si="654"/>
        <v>#N/A</v>
      </c>
      <c r="F502" s="176" t="e">
        <f t="shared" si="655"/>
        <v>#N/A</v>
      </c>
      <c r="G502" s="121">
        <f t="shared" si="674"/>
        <v>208</v>
      </c>
      <c r="H502" s="176" t="e">
        <f t="shared" si="675"/>
        <v>#N/A</v>
      </c>
      <c r="I502" s="48">
        <v>1</v>
      </c>
      <c r="J502" s="39"/>
      <c r="K502" s="350">
        <v>1</v>
      </c>
      <c r="L502" s="34" t="e">
        <f t="shared" si="656"/>
        <v>#N/A</v>
      </c>
      <c r="M502" s="38" t="e">
        <f>(HLOOKUP(J502,'Construction Times'!$B$3:$W$34,L502+2,FALSE)*HLOOKUP("hq modifier",'Construction Times'!$W$3:$W$34,BS502+2,FALSE))*(1-$H$9)</f>
        <v>#N/A</v>
      </c>
      <c r="N502" s="443" t="e">
        <f t="shared" si="676"/>
        <v>#N/A</v>
      </c>
      <c r="O502" s="444"/>
      <c r="P502" s="447" t="e">
        <f t="shared" si="677"/>
        <v>#N/A</v>
      </c>
      <c r="Q502" s="448"/>
      <c r="R502" s="103">
        <f t="shared" si="703"/>
        <v>0</v>
      </c>
      <c r="S502" s="104">
        <f t="shared" si="703"/>
        <v>0</v>
      </c>
      <c r="T502" s="104">
        <f t="shared" si="704"/>
        <v>0</v>
      </c>
      <c r="U502" s="104">
        <f t="shared" si="704"/>
        <v>0</v>
      </c>
      <c r="V502" s="104">
        <f t="shared" si="704"/>
        <v>9.9999999999999995E-8</v>
      </c>
      <c r="W502" s="104">
        <f t="shared" si="704"/>
        <v>0</v>
      </c>
      <c r="X502" s="104">
        <f t="shared" si="722"/>
        <v>0</v>
      </c>
      <c r="Y502" s="104">
        <f t="shared" si="722"/>
        <v>9.9999999999999995E-8</v>
      </c>
      <c r="Z502" s="104">
        <f t="shared" si="722"/>
        <v>9.9999999999999995E-8</v>
      </c>
      <c r="AA502" s="105">
        <f t="shared" si="722"/>
        <v>9.9999999999999995E-8</v>
      </c>
      <c r="AB502" s="101" t="e">
        <f>$DT502*HLOOKUP($J502,'Construction Costs (timber)'!$B$1:$V$32,'Construction Planner'!$L502+2,FALSE)</f>
        <v>#N/A</v>
      </c>
      <c r="AC502" s="14" t="e">
        <f>$DT502*HLOOKUP($J502,'Construction Costs (clay)'!$B$1:$V$32,'Construction Planner'!$L502+2,FALSE)</f>
        <v>#N/A</v>
      </c>
      <c r="AD502" s="14" t="e">
        <f>$DT502*HLOOKUP($J502,'Construction Costs (iron)'!$B$1:$V$32,'Construction Planner'!$L502+2,FALSE)</f>
        <v>#N/A</v>
      </c>
      <c r="AE502" s="34" t="e">
        <f t="shared" si="713"/>
        <v>#N/A</v>
      </c>
      <c r="AF502" s="33" t="e">
        <f t="shared" si="657"/>
        <v>#N/A</v>
      </c>
      <c r="AG502" s="14" t="e">
        <f t="shared" si="658"/>
        <v>#N/A</v>
      </c>
      <c r="AH502" s="14" t="e">
        <f t="shared" si="659"/>
        <v>#N/A</v>
      </c>
      <c r="AI502" s="34" t="e">
        <f t="shared" si="714"/>
        <v>#N/A</v>
      </c>
      <c r="AJ502" s="49" t="e">
        <f t="shared" si="678"/>
        <v>#N/A</v>
      </c>
      <c r="AK502" s="49" t="e">
        <f t="shared" si="679"/>
        <v>#N/A</v>
      </c>
      <c r="AL502" s="49" t="e">
        <f t="shared" si="680"/>
        <v>#N/A</v>
      </c>
      <c r="AM502" s="25">
        <f t="shared" si="660"/>
        <v>30</v>
      </c>
      <c r="AN502" s="25">
        <f t="shared" si="661"/>
        <v>30</v>
      </c>
      <c r="AO502" s="25">
        <f t="shared" si="662"/>
        <v>30</v>
      </c>
      <c r="AP502" s="52" t="e">
        <f t="shared" si="681"/>
        <v>#N/A</v>
      </c>
      <c r="AQ502" s="53" t="e">
        <f t="shared" si="681"/>
        <v>#N/A</v>
      </c>
      <c r="AR502" s="54" t="e">
        <f t="shared" si="681"/>
        <v>#N/A</v>
      </c>
      <c r="AS502" s="316">
        <f t="shared" si="727"/>
        <v>0</v>
      </c>
      <c r="AT502" s="106">
        <f>_xlfn.IFNA($M502/VLOOKUP($BT502,'Unit information'!$A$2:$K$29,2,FALSE)*R502,0)*(1+$E$9)</f>
        <v>0</v>
      </c>
      <c r="AU502" s="107">
        <f>_xlfn.IFNA($M502/VLOOKUP($BT502,'Unit information'!$A$2:$K$29,3,FALSE)*S502,0)*(1+$E$9)</f>
        <v>0</v>
      </c>
      <c r="AV502" s="107">
        <f>_xlfn.IFNA($M502/VLOOKUP($BT502,'Unit information'!$A$2:$K$29,4,FALSE)*T502,0)*(1+$E$9)</f>
        <v>0</v>
      </c>
      <c r="AW502" s="107">
        <f>_xlfn.IFNA($M502/VLOOKUP($BT502,'Unit information'!$A$2:$K$29,5,FALSE)*U502,0)*(1+$E$9)</f>
        <v>0</v>
      </c>
      <c r="AX502" s="107">
        <f>_xlfn.IFNA($M502/VLOOKUP($BU502,'Unit information'!$A$2:$K$29,6,FALSE)*V502,0)*(1+$E$9)</f>
        <v>0</v>
      </c>
      <c r="AY502" s="107">
        <f>_xlfn.IFNA($M502/VLOOKUP($BU502,'Unit information'!$A$2:$K$29,7,FALSE)*W502,0)*(1+$E$9)</f>
        <v>0</v>
      </c>
      <c r="AZ502" s="107">
        <f>_xlfn.IFNA($M502/VLOOKUP($BU502,'Unit information'!$A$2:$K$29,8,FALSE)*X502,0)*(1+$E$9)</f>
        <v>0</v>
      </c>
      <c r="BA502" s="107">
        <f>_xlfn.IFNA($M502/VLOOKUP($BU502,'Unit information'!$A$2:$K$29,9,FALSE)*Y502,0)*(1+$E$9)</f>
        <v>0</v>
      </c>
      <c r="BB502" s="107">
        <f>_xlfn.IFNA($M502/VLOOKUP($BV502,'Unit information'!$A$2:$K$29,10,FALSE)*Z502,0)*(1+$E$9)</f>
        <v>0</v>
      </c>
      <c r="BC502" s="108">
        <f>_xlfn.IFNA($M502/VLOOKUP($BV502,'Unit information'!$A$2:$K$29,11,FALSE)*AA502,0)*(1+$E$9)</f>
        <v>0</v>
      </c>
      <c r="BD502" s="106">
        <f t="shared" si="663"/>
        <v>0</v>
      </c>
      <c r="BE502" s="107">
        <f t="shared" si="664"/>
        <v>0</v>
      </c>
      <c r="BF502" s="108">
        <f t="shared" si="665"/>
        <v>0</v>
      </c>
      <c r="BG502" s="25" t="e">
        <f t="shared" si="666"/>
        <v>#N/A</v>
      </c>
      <c r="BH502" s="25" t="e">
        <f t="shared" si="667"/>
        <v>#N/A</v>
      </c>
      <c r="BI502" s="25" t="e">
        <f t="shared" si="668"/>
        <v>#N/A</v>
      </c>
      <c r="BJ502" s="27" t="e">
        <f t="shared" si="669"/>
        <v>#N/A</v>
      </c>
      <c r="BK502" s="18" t="e">
        <f t="shared" si="670"/>
        <v>#N/A</v>
      </c>
      <c r="BL502" s="18" t="e">
        <f t="shared" si="671"/>
        <v>#N/A</v>
      </c>
      <c r="BM502" s="28" t="e">
        <f t="shared" si="716"/>
        <v>#N/A</v>
      </c>
      <c r="BN502" s="33">
        <f>HLOOKUP("maximum population",Miscelaneous!$C$1:$C$33,CH502+3,FALSE)</f>
        <v>240</v>
      </c>
      <c r="BO502" s="14">
        <f t="shared" si="682"/>
        <v>32</v>
      </c>
      <c r="BP502" s="14">
        <f t="shared" si="683"/>
        <v>0</v>
      </c>
      <c r="BQ502" s="14">
        <f t="shared" si="684"/>
        <v>208</v>
      </c>
      <c r="BR502" s="34" t="e">
        <f>HLOOKUP(J502,Villagers!$B$1:$V$33,L502+3,FALSE)-HLOOKUP(J502,Villagers!$B$1:$V$33,L502+2,FALSE)</f>
        <v>#N/A</v>
      </c>
      <c r="BS502" s="49">
        <f t="shared" si="724"/>
        <v>1</v>
      </c>
      <c r="BT502" s="50">
        <f t="shared" si="724"/>
        <v>0</v>
      </c>
      <c r="BU502" s="50">
        <f t="shared" si="724"/>
        <v>0</v>
      </c>
      <c r="BV502" s="50">
        <f t="shared" si="724"/>
        <v>0</v>
      </c>
      <c r="BW502" s="50">
        <f t="shared" si="724"/>
        <v>0</v>
      </c>
      <c r="BX502" s="50">
        <f t="shared" si="724"/>
        <v>0</v>
      </c>
      <c r="BY502" s="50">
        <f t="shared" si="724"/>
        <v>0</v>
      </c>
      <c r="BZ502" s="50">
        <f t="shared" si="724"/>
        <v>0</v>
      </c>
      <c r="CA502" s="50">
        <f t="shared" si="724"/>
        <v>0</v>
      </c>
      <c r="CB502" s="50">
        <f t="shared" si="724"/>
        <v>1</v>
      </c>
      <c r="CC502" s="50">
        <f t="shared" si="724"/>
        <v>0</v>
      </c>
      <c r="CD502" s="50">
        <f t="shared" si="724"/>
        <v>0</v>
      </c>
      <c r="CE502" s="50">
        <f t="shared" si="724"/>
        <v>1</v>
      </c>
      <c r="CF502" s="50">
        <f t="shared" si="724"/>
        <v>1</v>
      </c>
      <c r="CG502" s="50">
        <f t="shared" si="724"/>
        <v>1</v>
      </c>
      <c r="CH502" s="50">
        <f t="shared" si="724"/>
        <v>1</v>
      </c>
      <c r="CI502" s="50">
        <f t="shared" si="724"/>
        <v>1</v>
      </c>
      <c r="CJ502" s="50">
        <f t="shared" si="724"/>
        <v>1</v>
      </c>
      <c r="CK502" s="50">
        <f t="shared" si="725"/>
        <v>0</v>
      </c>
      <c r="CL502" s="50">
        <f t="shared" si="726"/>
        <v>0</v>
      </c>
      <c r="CM502" s="51">
        <f t="shared" si="723"/>
        <v>0</v>
      </c>
      <c r="CN502" s="33">
        <f>ROUND(IF(BS502=0,0,HLOOKUP(BS$14,Villagers!$B$1:$V$33,BS502+3,FALSE)),)</f>
        <v>5</v>
      </c>
      <c r="CO502" s="14">
        <f>ROUND(IF(BT502=0,0,HLOOKUP(BT$14,Villagers!$B$1:$V$33,BT502+3,FALSE)),)</f>
        <v>0</v>
      </c>
      <c r="CP502" s="14">
        <f>ROUND(IF(BU502=0,0,HLOOKUP(BU$14,Villagers!$B$1:$V$33,BU502+3,FALSE)),)</f>
        <v>0</v>
      </c>
      <c r="CQ502" s="14">
        <f>ROUND(IF(BV502=0,0,HLOOKUP(BV$14,Villagers!$B$1:$V$33,BV502+3,FALSE)),)</f>
        <v>0</v>
      </c>
      <c r="CR502" s="14">
        <f>ROUND(IF(BW502=0,0,HLOOKUP(BW$14,Villagers!$B$1:$V$33,BW502+3,FALSE)),)</f>
        <v>0</v>
      </c>
      <c r="CS502" s="14">
        <f>ROUND(IF(BX502=0,0,HLOOKUP(BX$14,Villagers!$B$1:$V$33,BX502+3,FALSE)),)</f>
        <v>0</v>
      </c>
      <c r="CT502" s="14">
        <f>ROUND(IF(BY502=0,0,HLOOKUP(BY$14,Villagers!$B$1:$V$33,BY502+3,FALSE)),)</f>
        <v>0</v>
      </c>
      <c r="CU502" s="14">
        <f>ROUND(IF(BZ502=0,0,HLOOKUP(BZ$14,Villagers!$B$1:$V$33,BZ502+3,FALSE)),)</f>
        <v>0</v>
      </c>
      <c r="CV502" s="14">
        <f>ROUND(IF(CA502=0,0,HLOOKUP(CA$14,Villagers!$B$1:$V$33,CA502+3,FALSE)),)</f>
        <v>0</v>
      </c>
      <c r="CW502" s="14">
        <f>ROUND(IF(CB502=0,0,HLOOKUP(CB$14,Villagers!$B$1:$V$33,CB502+3,FALSE)),)</f>
        <v>0</v>
      </c>
      <c r="CX502" s="14">
        <f>ROUND(IF(CC502=0,0,HLOOKUP(CC$14,Villagers!$B$1:$V$33,CC502+3,FALSE)),)</f>
        <v>0</v>
      </c>
      <c r="CY502" s="14">
        <f>ROUND(IF(CD502=0,0,HLOOKUP(CD$14,Villagers!$B$1:$V$33,CD502+3,FALSE)),)</f>
        <v>0</v>
      </c>
      <c r="CZ502" s="14">
        <f>ROUND(IF(CE502=0,0,HLOOKUP(CE$14,Villagers!$B$1:$V$33,CE502+3,FALSE)),)</f>
        <v>5</v>
      </c>
      <c r="DA502" s="14">
        <f>ROUND(IF(CF502=0,0,HLOOKUP(CF$14,Villagers!$B$1:$V$33,CF502+3,FALSE)),)</f>
        <v>10</v>
      </c>
      <c r="DB502" s="14">
        <f>ROUND(IF(CG502=0,0,HLOOKUP(CG$14,Villagers!$B$1:$V$33,CG502+3,FALSE)),)</f>
        <v>10</v>
      </c>
      <c r="DC502" s="14">
        <f>ROUND(IF(CH502=0,0,HLOOKUP(CH$14,Villagers!$B$1:$V$33,CH502+3,FALSE)),)</f>
        <v>0</v>
      </c>
      <c r="DD502" s="14">
        <f>ROUND(IF(CI502=0,0,HLOOKUP(CI$14,Villagers!$B$1:$V$33,CI502+3,FALSE)),)</f>
        <v>0</v>
      </c>
      <c r="DE502" s="14">
        <f>ROUND(IF(CJ502=0,0,HLOOKUP(CJ$14,Villagers!$B$1:$V$33,CJ502+3,FALSE)),)</f>
        <v>2</v>
      </c>
      <c r="DF502" s="370">
        <f>ROUND(IF(CK502=0,0,HLOOKUP(CK$14,Villagers!$B$1:$V$33,CK502+3,FALSE)),)</f>
        <v>0</v>
      </c>
      <c r="DG502" s="370">
        <f>ROUND(IF(CL502=0,0,HLOOKUP(CL$14,Villagers!$B$1:$V$33,CL502+3,FALSE)),)</f>
        <v>0</v>
      </c>
      <c r="DH502" s="34">
        <f>ROUND(IF(CM502=0,0,HLOOKUP(CM$14,Villagers!$B$1:$V$33,CM502+3,FALSE)),)</f>
        <v>0</v>
      </c>
      <c r="DI502" s="109">
        <f t="shared" si="705"/>
        <v>0</v>
      </c>
      <c r="DJ502" s="50">
        <f t="shared" si="706"/>
        <v>0</v>
      </c>
      <c r="DK502" s="50">
        <f t="shared" si="707"/>
        <v>0</v>
      </c>
      <c r="DL502" s="50">
        <f t="shared" si="708"/>
        <v>0</v>
      </c>
      <c r="DM502" s="50">
        <f t="shared" si="709"/>
        <v>0</v>
      </c>
      <c r="DN502" s="50">
        <f t="shared" si="710"/>
        <v>0</v>
      </c>
      <c r="DO502" s="50">
        <f t="shared" si="711"/>
        <v>0</v>
      </c>
      <c r="DP502" s="50">
        <f t="shared" si="712"/>
        <v>0</v>
      </c>
      <c r="DQ502" s="50">
        <f t="shared" si="690"/>
        <v>0</v>
      </c>
      <c r="DR502" s="50">
        <f t="shared" si="691"/>
        <v>0</v>
      </c>
      <c r="DS502" s="96">
        <f>Miscelaneous!$D$4*Miscelaneous!$D$2^($CI502-1)</f>
        <v>1000</v>
      </c>
      <c r="DT502" s="333">
        <f t="shared" si="672"/>
        <v>1</v>
      </c>
      <c r="DU502" s="81">
        <v>1</v>
      </c>
      <c r="DV502" s="79">
        <f t="shared" si="692"/>
        <v>0</v>
      </c>
      <c r="DW502" s="79">
        <f t="shared" si="693"/>
        <v>0</v>
      </c>
      <c r="DX502" s="79">
        <f t="shared" si="694"/>
        <v>0</v>
      </c>
      <c r="DY502" s="79">
        <v>1</v>
      </c>
      <c r="DZ502" s="79">
        <f t="shared" si="695"/>
        <v>0</v>
      </c>
      <c r="EA502" s="79">
        <f t="shared" si="696"/>
        <v>0</v>
      </c>
      <c r="EB502" s="79">
        <f t="shared" si="697"/>
        <v>0</v>
      </c>
      <c r="EC502" s="79">
        <f t="shared" si="698"/>
        <v>0</v>
      </c>
      <c r="ED502" s="79">
        <v>1</v>
      </c>
      <c r="EE502" s="79">
        <v>1</v>
      </c>
      <c r="EF502" s="79">
        <f t="shared" si="699"/>
        <v>0</v>
      </c>
      <c r="EG502" s="79">
        <v>1</v>
      </c>
      <c r="EH502" s="79">
        <v>1</v>
      </c>
      <c r="EI502" s="79">
        <v>1</v>
      </c>
      <c r="EJ502" s="79">
        <v>1</v>
      </c>
      <c r="EK502" s="79">
        <v>1</v>
      </c>
      <c r="EL502" s="79">
        <v>1</v>
      </c>
      <c r="EM502" s="143">
        <f t="shared" si="700"/>
        <v>0</v>
      </c>
      <c r="EN502" s="143">
        <f t="shared" si="701"/>
        <v>0</v>
      </c>
      <c r="EO502" s="82">
        <f t="shared" si="702"/>
        <v>0</v>
      </c>
    </row>
    <row r="503" spans="1:145" x14ac:dyDescent="0.25">
      <c r="A503">
        <v>489</v>
      </c>
      <c r="B503" s="172" t="e">
        <f t="shared" si="673"/>
        <v>#N/A</v>
      </c>
      <c r="C503" s="121" t="e">
        <f t="shared" si="652"/>
        <v>#N/A</v>
      </c>
      <c r="D503" s="122" t="e">
        <f t="shared" si="653"/>
        <v>#N/A</v>
      </c>
      <c r="E503" s="122" t="e">
        <f t="shared" si="654"/>
        <v>#N/A</v>
      </c>
      <c r="F503" s="176" t="e">
        <f t="shared" si="655"/>
        <v>#N/A</v>
      </c>
      <c r="G503" s="121">
        <f t="shared" si="674"/>
        <v>208</v>
      </c>
      <c r="H503" s="176" t="e">
        <f t="shared" si="675"/>
        <v>#N/A</v>
      </c>
      <c r="I503" s="48">
        <v>1</v>
      </c>
      <c r="J503" s="39"/>
      <c r="K503" s="350">
        <v>1</v>
      </c>
      <c r="L503" s="34" t="e">
        <f t="shared" si="656"/>
        <v>#N/A</v>
      </c>
      <c r="M503" s="38" t="e">
        <f>(HLOOKUP(J503,'Construction Times'!$B$3:$W$34,L503+2,FALSE)*HLOOKUP("hq modifier",'Construction Times'!$W$3:$W$34,BS503+2,FALSE))*(1-$H$9)</f>
        <v>#N/A</v>
      </c>
      <c r="N503" s="443" t="e">
        <f t="shared" si="676"/>
        <v>#N/A</v>
      </c>
      <c r="O503" s="444"/>
      <c r="P503" s="447" t="e">
        <f t="shared" si="677"/>
        <v>#N/A</v>
      </c>
      <c r="Q503" s="448"/>
      <c r="R503" s="103">
        <f t="shared" si="703"/>
        <v>0</v>
      </c>
      <c r="S503" s="104">
        <f t="shared" si="703"/>
        <v>0</v>
      </c>
      <c r="T503" s="104">
        <f t="shared" si="704"/>
        <v>0</v>
      </c>
      <c r="U503" s="104">
        <f t="shared" si="704"/>
        <v>0</v>
      </c>
      <c r="V503" s="104">
        <f t="shared" si="704"/>
        <v>9.9999999999999995E-8</v>
      </c>
      <c r="W503" s="104">
        <f t="shared" si="704"/>
        <v>0</v>
      </c>
      <c r="X503" s="104">
        <f t="shared" si="722"/>
        <v>0</v>
      </c>
      <c r="Y503" s="104">
        <f t="shared" si="722"/>
        <v>9.9999999999999995E-8</v>
      </c>
      <c r="Z503" s="104">
        <f t="shared" si="722"/>
        <v>9.9999999999999995E-8</v>
      </c>
      <c r="AA503" s="105">
        <f t="shared" si="722"/>
        <v>9.9999999999999995E-8</v>
      </c>
      <c r="AB503" s="101" t="e">
        <f>$DT503*HLOOKUP($J503,'Construction Costs (timber)'!$B$1:$V$32,'Construction Planner'!$L503+2,FALSE)</f>
        <v>#N/A</v>
      </c>
      <c r="AC503" s="14" t="e">
        <f>$DT503*HLOOKUP($J503,'Construction Costs (clay)'!$B$1:$V$32,'Construction Planner'!$L503+2,FALSE)</f>
        <v>#N/A</v>
      </c>
      <c r="AD503" s="14" t="e">
        <f>$DT503*HLOOKUP($J503,'Construction Costs (iron)'!$B$1:$V$32,'Construction Planner'!$L503+2,FALSE)</f>
        <v>#N/A</v>
      </c>
      <c r="AE503" s="34" t="e">
        <f t="shared" si="713"/>
        <v>#N/A</v>
      </c>
      <c r="AF503" s="33" t="e">
        <f t="shared" si="657"/>
        <v>#N/A</v>
      </c>
      <c r="AG503" s="14" t="e">
        <f t="shared" si="658"/>
        <v>#N/A</v>
      </c>
      <c r="AH503" s="14" t="e">
        <f t="shared" si="659"/>
        <v>#N/A</v>
      </c>
      <c r="AI503" s="34" t="e">
        <f t="shared" si="714"/>
        <v>#N/A</v>
      </c>
      <c r="AJ503" s="49" t="e">
        <f t="shared" si="678"/>
        <v>#N/A</v>
      </c>
      <c r="AK503" s="49" t="e">
        <f t="shared" si="679"/>
        <v>#N/A</v>
      </c>
      <c r="AL503" s="49" t="e">
        <f t="shared" si="680"/>
        <v>#N/A</v>
      </c>
      <c r="AM503" s="25">
        <f t="shared" si="660"/>
        <v>30</v>
      </c>
      <c r="AN503" s="25">
        <f t="shared" si="661"/>
        <v>30</v>
      </c>
      <c r="AO503" s="25">
        <f t="shared" si="662"/>
        <v>30</v>
      </c>
      <c r="AP503" s="52" t="e">
        <f t="shared" si="681"/>
        <v>#N/A</v>
      </c>
      <c r="AQ503" s="53" t="e">
        <f t="shared" si="681"/>
        <v>#N/A</v>
      </c>
      <c r="AR503" s="54" t="e">
        <f t="shared" si="681"/>
        <v>#N/A</v>
      </c>
      <c r="AS503" s="316">
        <f t="shared" si="727"/>
        <v>0</v>
      </c>
      <c r="AT503" s="106">
        <f>_xlfn.IFNA($M503/VLOOKUP($BT503,'Unit information'!$A$2:$K$29,2,FALSE)*R503,0)*(1+$E$9)</f>
        <v>0</v>
      </c>
      <c r="AU503" s="107">
        <f>_xlfn.IFNA($M503/VLOOKUP($BT503,'Unit information'!$A$2:$K$29,3,FALSE)*S503,0)*(1+$E$9)</f>
        <v>0</v>
      </c>
      <c r="AV503" s="107">
        <f>_xlfn.IFNA($M503/VLOOKUP($BT503,'Unit information'!$A$2:$K$29,4,FALSE)*T503,0)*(1+$E$9)</f>
        <v>0</v>
      </c>
      <c r="AW503" s="107">
        <f>_xlfn.IFNA($M503/VLOOKUP($BT503,'Unit information'!$A$2:$K$29,5,FALSE)*U503,0)*(1+$E$9)</f>
        <v>0</v>
      </c>
      <c r="AX503" s="107">
        <f>_xlfn.IFNA($M503/VLOOKUP($BU503,'Unit information'!$A$2:$K$29,6,FALSE)*V503,0)*(1+$E$9)</f>
        <v>0</v>
      </c>
      <c r="AY503" s="107">
        <f>_xlfn.IFNA($M503/VLOOKUP($BU503,'Unit information'!$A$2:$K$29,7,FALSE)*W503,0)*(1+$E$9)</f>
        <v>0</v>
      </c>
      <c r="AZ503" s="107">
        <f>_xlfn.IFNA($M503/VLOOKUP($BU503,'Unit information'!$A$2:$K$29,8,FALSE)*X503,0)*(1+$E$9)</f>
        <v>0</v>
      </c>
      <c r="BA503" s="107">
        <f>_xlfn.IFNA($M503/VLOOKUP($BU503,'Unit information'!$A$2:$K$29,9,FALSE)*Y503,0)*(1+$E$9)</f>
        <v>0</v>
      </c>
      <c r="BB503" s="107">
        <f>_xlfn.IFNA($M503/VLOOKUP($BV503,'Unit information'!$A$2:$K$29,10,FALSE)*Z503,0)*(1+$E$9)</f>
        <v>0</v>
      </c>
      <c r="BC503" s="108">
        <f>_xlfn.IFNA($M503/VLOOKUP($BV503,'Unit information'!$A$2:$K$29,11,FALSE)*AA503,0)*(1+$E$9)</f>
        <v>0</v>
      </c>
      <c r="BD503" s="106">
        <f t="shared" si="663"/>
        <v>0</v>
      </c>
      <c r="BE503" s="107">
        <f t="shared" si="664"/>
        <v>0</v>
      </c>
      <c r="BF503" s="108">
        <f t="shared" si="665"/>
        <v>0</v>
      </c>
      <c r="BG503" s="25" t="e">
        <f t="shared" si="666"/>
        <v>#N/A</v>
      </c>
      <c r="BH503" s="25" t="e">
        <f t="shared" si="667"/>
        <v>#N/A</v>
      </c>
      <c r="BI503" s="25" t="e">
        <f t="shared" si="668"/>
        <v>#N/A</v>
      </c>
      <c r="BJ503" s="27" t="e">
        <f t="shared" si="669"/>
        <v>#N/A</v>
      </c>
      <c r="BK503" s="18" t="e">
        <f t="shared" si="670"/>
        <v>#N/A</v>
      </c>
      <c r="BL503" s="18" t="e">
        <f t="shared" si="671"/>
        <v>#N/A</v>
      </c>
      <c r="BM503" s="28" t="e">
        <f t="shared" si="716"/>
        <v>#N/A</v>
      </c>
      <c r="BN503" s="33">
        <f>HLOOKUP("maximum population",Miscelaneous!$C$1:$C$33,CH503+3,FALSE)</f>
        <v>240</v>
      </c>
      <c r="BO503" s="14">
        <f t="shared" si="682"/>
        <v>32</v>
      </c>
      <c r="BP503" s="14">
        <f t="shared" si="683"/>
        <v>0</v>
      </c>
      <c r="BQ503" s="14">
        <f t="shared" si="684"/>
        <v>208</v>
      </c>
      <c r="BR503" s="34" t="e">
        <f>HLOOKUP(J503,Villagers!$B$1:$V$33,L503+3,FALSE)-HLOOKUP(J503,Villagers!$B$1:$V$33,L503+2,FALSE)</f>
        <v>#N/A</v>
      </c>
      <c r="BS503" s="49">
        <f t="shared" si="724"/>
        <v>1</v>
      </c>
      <c r="BT503" s="50">
        <f t="shared" si="724"/>
        <v>0</v>
      </c>
      <c r="BU503" s="50">
        <f t="shared" si="724"/>
        <v>0</v>
      </c>
      <c r="BV503" s="50">
        <f t="shared" si="724"/>
        <v>0</v>
      </c>
      <c r="BW503" s="50">
        <f t="shared" si="724"/>
        <v>0</v>
      </c>
      <c r="BX503" s="50">
        <f t="shared" si="724"/>
        <v>0</v>
      </c>
      <c r="BY503" s="50">
        <f t="shared" si="724"/>
        <v>0</v>
      </c>
      <c r="BZ503" s="50">
        <f t="shared" si="724"/>
        <v>0</v>
      </c>
      <c r="CA503" s="50">
        <f t="shared" si="724"/>
        <v>0</v>
      </c>
      <c r="CB503" s="50">
        <f t="shared" si="724"/>
        <v>1</v>
      </c>
      <c r="CC503" s="50">
        <f t="shared" si="724"/>
        <v>0</v>
      </c>
      <c r="CD503" s="50">
        <f t="shared" si="724"/>
        <v>0</v>
      </c>
      <c r="CE503" s="50">
        <f t="shared" si="724"/>
        <v>1</v>
      </c>
      <c r="CF503" s="50">
        <f t="shared" si="724"/>
        <v>1</v>
      </c>
      <c r="CG503" s="50">
        <f t="shared" si="724"/>
        <v>1</v>
      </c>
      <c r="CH503" s="50">
        <f t="shared" si="724"/>
        <v>1</v>
      </c>
      <c r="CI503" s="50">
        <f t="shared" si="724"/>
        <v>1</v>
      </c>
      <c r="CJ503" s="50">
        <f t="shared" si="724"/>
        <v>1</v>
      </c>
      <c r="CK503" s="50">
        <f t="shared" si="725"/>
        <v>0</v>
      </c>
      <c r="CL503" s="50">
        <f t="shared" si="726"/>
        <v>0</v>
      </c>
      <c r="CM503" s="51">
        <f t="shared" si="723"/>
        <v>0</v>
      </c>
      <c r="CN503" s="33">
        <f>ROUND(IF(BS503=0,0,HLOOKUP(BS$14,Villagers!$B$1:$V$33,BS503+3,FALSE)),)</f>
        <v>5</v>
      </c>
      <c r="CO503" s="14">
        <f>ROUND(IF(BT503=0,0,HLOOKUP(BT$14,Villagers!$B$1:$V$33,BT503+3,FALSE)),)</f>
        <v>0</v>
      </c>
      <c r="CP503" s="14">
        <f>ROUND(IF(BU503=0,0,HLOOKUP(BU$14,Villagers!$B$1:$V$33,BU503+3,FALSE)),)</f>
        <v>0</v>
      </c>
      <c r="CQ503" s="14">
        <f>ROUND(IF(BV503=0,0,HLOOKUP(BV$14,Villagers!$B$1:$V$33,BV503+3,FALSE)),)</f>
        <v>0</v>
      </c>
      <c r="CR503" s="14">
        <f>ROUND(IF(BW503=0,0,HLOOKUP(BW$14,Villagers!$B$1:$V$33,BW503+3,FALSE)),)</f>
        <v>0</v>
      </c>
      <c r="CS503" s="14">
        <f>ROUND(IF(BX503=0,0,HLOOKUP(BX$14,Villagers!$B$1:$V$33,BX503+3,FALSE)),)</f>
        <v>0</v>
      </c>
      <c r="CT503" s="14">
        <f>ROUND(IF(BY503=0,0,HLOOKUP(BY$14,Villagers!$B$1:$V$33,BY503+3,FALSE)),)</f>
        <v>0</v>
      </c>
      <c r="CU503" s="14">
        <f>ROUND(IF(BZ503=0,0,HLOOKUP(BZ$14,Villagers!$B$1:$V$33,BZ503+3,FALSE)),)</f>
        <v>0</v>
      </c>
      <c r="CV503" s="14">
        <f>ROUND(IF(CA503=0,0,HLOOKUP(CA$14,Villagers!$B$1:$V$33,CA503+3,FALSE)),)</f>
        <v>0</v>
      </c>
      <c r="CW503" s="14">
        <f>ROUND(IF(CB503=0,0,HLOOKUP(CB$14,Villagers!$B$1:$V$33,CB503+3,FALSE)),)</f>
        <v>0</v>
      </c>
      <c r="CX503" s="14">
        <f>ROUND(IF(CC503=0,0,HLOOKUP(CC$14,Villagers!$B$1:$V$33,CC503+3,FALSE)),)</f>
        <v>0</v>
      </c>
      <c r="CY503" s="14">
        <f>ROUND(IF(CD503=0,0,HLOOKUP(CD$14,Villagers!$B$1:$V$33,CD503+3,FALSE)),)</f>
        <v>0</v>
      </c>
      <c r="CZ503" s="14">
        <f>ROUND(IF(CE503=0,0,HLOOKUP(CE$14,Villagers!$B$1:$V$33,CE503+3,FALSE)),)</f>
        <v>5</v>
      </c>
      <c r="DA503" s="14">
        <f>ROUND(IF(CF503=0,0,HLOOKUP(CF$14,Villagers!$B$1:$V$33,CF503+3,FALSE)),)</f>
        <v>10</v>
      </c>
      <c r="DB503" s="14">
        <f>ROUND(IF(CG503=0,0,HLOOKUP(CG$14,Villagers!$B$1:$V$33,CG503+3,FALSE)),)</f>
        <v>10</v>
      </c>
      <c r="DC503" s="14">
        <f>ROUND(IF(CH503=0,0,HLOOKUP(CH$14,Villagers!$B$1:$V$33,CH503+3,FALSE)),)</f>
        <v>0</v>
      </c>
      <c r="DD503" s="14">
        <f>ROUND(IF(CI503=0,0,HLOOKUP(CI$14,Villagers!$B$1:$V$33,CI503+3,FALSE)),)</f>
        <v>0</v>
      </c>
      <c r="DE503" s="14">
        <f>ROUND(IF(CJ503=0,0,HLOOKUP(CJ$14,Villagers!$B$1:$V$33,CJ503+3,FALSE)),)</f>
        <v>2</v>
      </c>
      <c r="DF503" s="370">
        <f>ROUND(IF(CK503=0,0,HLOOKUP(CK$14,Villagers!$B$1:$V$33,CK503+3,FALSE)),)</f>
        <v>0</v>
      </c>
      <c r="DG503" s="370">
        <f>ROUND(IF(CL503=0,0,HLOOKUP(CL$14,Villagers!$B$1:$V$33,CL503+3,FALSE)),)</f>
        <v>0</v>
      </c>
      <c r="DH503" s="34">
        <f>ROUND(IF(CM503=0,0,HLOOKUP(CM$14,Villagers!$B$1:$V$33,CM503+3,FALSE)),)</f>
        <v>0</v>
      </c>
      <c r="DI503" s="109">
        <f t="shared" si="705"/>
        <v>0</v>
      </c>
      <c r="DJ503" s="50">
        <f t="shared" si="706"/>
        <v>0</v>
      </c>
      <c r="DK503" s="50">
        <f t="shared" si="707"/>
        <v>0</v>
      </c>
      <c r="DL503" s="50">
        <f t="shared" si="708"/>
        <v>0</v>
      </c>
      <c r="DM503" s="50">
        <f t="shared" si="709"/>
        <v>0</v>
      </c>
      <c r="DN503" s="50">
        <f t="shared" si="710"/>
        <v>0</v>
      </c>
      <c r="DO503" s="50">
        <f t="shared" si="711"/>
        <v>0</v>
      </c>
      <c r="DP503" s="50">
        <f t="shared" si="712"/>
        <v>0</v>
      </c>
      <c r="DQ503" s="50">
        <f t="shared" si="690"/>
        <v>0</v>
      </c>
      <c r="DR503" s="50">
        <f t="shared" si="691"/>
        <v>0</v>
      </c>
      <c r="DS503" s="96">
        <f>Miscelaneous!$D$4*Miscelaneous!$D$2^($CI503-1)</f>
        <v>1000</v>
      </c>
      <c r="DT503" s="333">
        <f t="shared" si="672"/>
        <v>1</v>
      </c>
      <c r="DU503" s="81">
        <v>1</v>
      </c>
      <c r="DV503" s="79">
        <f t="shared" si="692"/>
        <v>0</v>
      </c>
      <c r="DW503" s="79">
        <f t="shared" si="693"/>
        <v>0</v>
      </c>
      <c r="DX503" s="79">
        <f t="shared" si="694"/>
        <v>0</v>
      </c>
      <c r="DY503" s="79">
        <v>1</v>
      </c>
      <c r="DZ503" s="79">
        <f t="shared" si="695"/>
        <v>0</v>
      </c>
      <c r="EA503" s="79">
        <f t="shared" si="696"/>
        <v>0</v>
      </c>
      <c r="EB503" s="79">
        <f t="shared" si="697"/>
        <v>0</v>
      </c>
      <c r="EC503" s="79">
        <f t="shared" si="698"/>
        <v>0</v>
      </c>
      <c r="ED503" s="79">
        <v>1</v>
      </c>
      <c r="EE503" s="79">
        <v>1</v>
      </c>
      <c r="EF503" s="79">
        <f t="shared" si="699"/>
        <v>0</v>
      </c>
      <c r="EG503" s="79">
        <v>1</v>
      </c>
      <c r="EH503" s="79">
        <v>1</v>
      </c>
      <c r="EI503" s="79">
        <v>1</v>
      </c>
      <c r="EJ503" s="79">
        <v>1</v>
      </c>
      <c r="EK503" s="79">
        <v>1</v>
      </c>
      <c r="EL503" s="79">
        <v>1</v>
      </c>
      <c r="EM503" s="143">
        <f t="shared" si="700"/>
        <v>0</v>
      </c>
      <c r="EN503" s="143">
        <f t="shared" si="701"/>
        <v>0</v>
      </c>
      <c r="EO503" s="82">
        <f t="shared" si="702"/>
        <v>0</v>
      </c>
    </row>
    <row r="504" spans="1:145" x14ac:dyDescent="0.25">
      <c r="A504">
        <v>490</v>
      </c>
      <c r="B504" s="172" t="e">
        <f t="shared" si="673"/>
        <v>#N/A</v>
      </c>
      <c r="C504" s="121" t="e">
        <f t="shared" si="652"/>
        <v>#N/A</v>
      </c>
      <c r="D504" s="122" t="e">
        <f t="shared" si="653"/>
        <v>#N/A</v>
      </c>
      <c r="E504" s="122" t="e">
        <f t="shared" si="654"/>
        <v>#N/A</v>
      </c>
      <c r="F504" s="176" t="e">
        <f t="shared" si="655"/>
        <v>#N/A</v>
      </c>
      <c r="G504" s="121">
        <f t="shared" si="674"/>
        <v>208</v>
      </c>
      <c r="H504" s="176" t="e">
        <f t="shared" si="675"/>
        <v>#N/A</v>
      </c>
      <c r="I504" s="48">
        <v>1</v>
      </c>
      <c r="J504" s="39"/>
      <c r="K504" s="350">
        <v>1</v>
      </c>
      <c r="L504" s="34" t="e">
        <f t="shared" si="656"/>
        <v>#N/A</v>
      </c>
      <c r="M504" s="38" t="e">
        <f>(HLOOKUP(J504,'Construction Times'!$B$3:$W$34,L504+2,FALSE)*HLOOKUP("hq modifier",'Construction Times'!$W$3:$W$34,BS504+2,FALSE))*(1-$H$9)</f>
        <v>#N/A</v>
      </c>
      <c r="N504" s="443" t="e">
        <f t="shared" si="676"/>
        <v>#N/A</v>
      </c>
      <c r="O504" s="444"/>
      <c r="P504" s="447" t="e">
        <f t="shared" si="677"/>
        <v>#N/A</v>
      </c>
      <c r="Q504" s="448"/>
      <c r="R504" s="103">
        <f t="shared" si="703"/>
        <v>0</v>
      </c>
      <c r="S504" s="104">
        <f t="shared" si="703"/>
        <v>0</v>
      </c>
      <c r="T504" s="104">
        <f t="shared" si="704"/>
        <v>0</v>
      </c>
      <c r="U504" s="104">
        <f t="shared" si="704"/>
        <v>0</v>
      </c>
      <c r="V504" s="104">
        <f t="shared" si="704"/>
        <v>9.9999999999999995E-8</v>
      </c>
      <c r="W504" s="104">
        <f t="shared" si="704"/>
        <v>0</v>
      </c>
      <c r="X504" s="104">
        <f t="shared" si="722"/>
        <v>0</v>
      </c>
      <c r="Y504" s="104">
        <f t="shared" si="722"/>
        <v>9.9999999999999995E-8</v>
      </c>
      <c r="Z504" s="104">
        <f t="shared" si="722"/>
        <v>9.9999999999999995E-8</v>
      </c>
      <c r="AA504" s="105">
        <f t="shared" si="722"/>
        <v>9.9999999999999995E-8</v>
      </c>
      <c r="AB504" s="101" t="e">
        <f>$DT504*HLOOKUP($J504,'Construction Costs (timber)'!$B$1:$V$32,'Construction Planner'!$L504+2,FALSE)</f>
        <v>#N/A</v>
      </c>
      <c r="AC504" s="14" t="e">
        <f>$DT504*HLOOKUP($J504,'Construction Costs (clay)'!$B$1:$V$32,'Construction Planner'!$L504+2,FALSE)</f>
        <v>#N/A</v>
      </c>
      <c r="AD504" s="14" t="e">
        <f>$DT504*HLOOKUP($J504,'Construction Costs (iron)'!$B$1:$V$32,'Construction Planner'!$L504+2,FALSE)</f>
        <v>#N/A</v>
      </c>
      <c r="AE504" s="34" t="e">
        <f t="shared" si="713"/>
        <v>#N/A</v>
      </c>
      <c r="AF504" s="33" t="e">
        <f t="shared" si="657"/>
        <v>#N/A</v>
      </c>
      <c r="AG504" s="14" t="e">
        <f t="shared" si="658"/>
        <v>#N/A</v>
      </c>
      <c r="AH504" s="14" t="e">
        <f t="shared" si="659"/>
        <v>#N/A</v>
      </c>
      <c r="AI504" s="34" t="e">
        <f t="shared" si="714"/>
        <v>#N/A</v>
      </c>
      <c r="AJ504" s="49" t="e">
        <f t="shared" si="678"/>
        <v>#N/A</v>
      </c>
      <c r="AK504" s="49" t="e">
        <f t="shared" si="679"/>
        <v>#N/A</v>
      </c>
      <c r="AL504" s="49" t="e">
        <f t="shared" si="680"/>
        <v>#N/A</v>
      </c>
      <c r="AM504" s="25">
        <f t="shared" si="660"/>
        <v>30</v>
      </c>
      <c r="AN504" s="25">
        <f t="shared" si="661"/>
        <v>30</v>
      </c>
      <c r="AO504" s="25">
        <f t="shared" si="662"/>
        <v>30</v>
      </c>
      <c r="AP504" s="52" t="e">
        <f t="shared" si="681"/>
        <v>#N/A</v>
      </c>
      <c r="AQ504" s="53" t="e">
        <f t="shared" si="681"/>
        <v>#N/A</v>
      </c>
      <c r="AR504" s="54" t="e">
        <f t="shared" si="681"/>
        <v>#N/A</v>
      </c>
      <c r="AS504" s="316">
        <f t="shared" si="727"/>
        <v>0</v>
      </c>
      <c r="AT504" s="106">
        <f>_xlfn.IFNA($M504/VLOOKUP($BT504,'Unit information'!$A$2:$K$29,2,FALSE)*R504,0)*(1+$E$9)</f>
        <v>0</v>
      </c>
      <c r="AU504" s="107">
        <f>_xlfn.IFNA($M504/VLOOKUP($BT504,'Unit information'!$A$2:$K$29,3,FALSE)*S504,0)*(1+$E$9)</f>
        <v>0</v>
      </c>
      <c r="AV504" s="107">
        <f>_xlfn.IFNA($M504/VLOOKUP($BT504,'Unit information'!$A$2:$K$29,4,FALSE)*T504,0)*(1+$E$9)</f>
        <v>0</v>
      </c>
      <c r="AW504" s="107">
        <f>_xlfn.IFNA($M504/VLOOKUP($BT504,'Unit information'!$A$2:$K$29,5,FALSE)*U504,0)*(1+$E$9)</f>
        <v>0</v>
      </c>
      <c r="AX504" s="107">
        <f>_xlfn.IFNA($M504/VLOOKUP($BU504,'Unit information'!$A$2:$K$29,6,FALSE)*V504,0)*(1+$E$9)</f>
        <v>0</v>
      </c>
      <c r="AY504" s="107">
        <f>_xlfn.IFNA($M504/VLOOKUP($BU504,'Unit information'!$A$2:$K$29,7,FALSE)*W504,0)*(1+$E$9)</f>
        <v>0</v>
      </c>
      <c r="AZ504" s="107">
        <f>_xlfn.IFNA($M504/VLOOKUP($BU504,'Unit information'!$A$2:$K$29,8,FALSE)*X504,0)*(1+$E$9)</f>
        <v>0</v>
      </c>
      <c r="BA504" s="107">
        <f>_xlfn.IFNA($M504/VLOOKUP($BU504,'Unit information'!$A$2:$K$29,9,FALSE)*Y504,0)*(1+$E$9)</f>
        <v>0</v>
      </c>
      <c r="BB504" s="107">
        <f>_xlfn.IFNA($M504/VLOOKUP($BV504,'Unit information'!$A$2:$K$29,10,FALSE)*Z504,0)*(1+$E$9)</f>
        <v>0</v>
      </c>
      <c r="BC504" s="108">
        <f>_xlfn.IFNA($M504/VLOOKUP($BV504,'Unit information'!$A$2:$K$29,11,FALSE)*AA504,0)*(1+$E$9)</f>
        <v>0</v>
      </c>
      <c r="BD504" s="106">
        <f t="shared" si="663"/>
        <v>0</v>
      </c>
      <c r="BE504" s="107">
        <f t="shared" si="664"/>
        <v>0</v>
      </c>
      <c r="BF504" s="108">
        <f t="shared" si="665"/>
        <v>0</v>
      </c>
      <c r="BG504" s="25" t="e">
        <f t="shared" si="666"/>
        <v>#N/A</v>
      </c>
      <c r="BH504" s="25" t="e">
        <f t="shared" si="667"/>
        <v>#N/A</v>
      </c>
      <c r="BI504" s="25" t="e">
        <f t="shared" si="668"/>
        <v>#N/A</v>
      </c>
      <c r="BJ504" s="27" t="e">
        <f t="shared" si="669"/>
        <v>#N/A</v>
      </c>
      <c r="BK504" s="18" t="e">
        <f t="shared" si="670"/>
        <v>#N/A</v>
      </c>
      <c r="BL504" s="18" t="e">
        <f t="shared" si="671"/>
        <v>#N/A</v>
      </c>
      <c r="BM504" s="28" t="e">
        <f t="shared" si="716"/>
        <v>#N/A</v>
      </c>
      <c r="BN504" s="33">
        <f>HLOOKUP("maximum population",Miscelaneous!$C$1:$C$33,CH504+3,FALSE)</f>
        <v>240</v>
      </c>
      <c r="BO504" s="14">
        <f t="shared" si="682"/>
        <v>32</v>
      </c>
      <c r="BP504" s="14">
        <f t="shared" si="683"/>
        <v>0</v>
      </c>
      <c r="BQ504" s="14">
        <f t="shared" si="684"/>
        <v>208</v>
      </c>
      <c r="BR504" s="34" t="e">
        <f>HLOOKUP(J504,Villagers!$B$1:$V$33,L504+3,FALSE)-HLOOKUP(J504,Villagers!$B$1:$V$33,L504+2,FALSE)</f>
        <v>#N/A</v>
      </c>
      <c r="BS504" s="49">
        <f t="shared" si="724"/>
        <v>1</v>
      </c>
      <c r="BT504" s="50">
        <f t="shared" si="724"/>
        <v>0</v>
      </c>
      <c r="BU504" s="50">
        <f t="shared" si="724"/>
        <v>0</v>
      </c>
      <c r="BV504" s="50">
        <f t="shared" si="724"/>
        <v>0</v>
      </c>
      <c r="BW504" s="50">
        <f t="shared" si="724"/>
        <v>0</v>
      </c>
      <c r="BX504" s="50">
        <f t="shared" si="724"/>
        <v>0</v>
      </c>
      <c r="BY504" s="50">
        <f t="shared" si="724"/>
        <v>0</v>
      </c>
      <c r="BZ504" s="50">
        <f t="shared" si="724"/>
        <v>0</v>
      </c>
      <c r="CA504" s="50">
        <f t="shared" si="724"/>
        <v>0</v>
      </c>
      <c r="CB504" s="50">
        <f t="shared" si="724"/>
        <v>1</v>
      </c>
      <c r="CC504" s="50">
        <f t="shared" si="724"/>
        <v>0</v>
      </c>
      <c r="CD504" s="50">
        <f t="shared" si="724"/>
        <v>0</v>
      </c>
      <c r="CE504" s="50">
        <f t="shared" si="724"/>
        <v>1</v>
      </c>
      <c r="CF504" s="50">
        <f t="shared" si="724"/>
        <v>1</v>
      </c>
      <c r="CG504" s="50">
        <f t="shared" si="724"/>
        <v>1</v>
      </c>
      <c r="CH504" s="50">
        <f t="shared" si="724"/>
        <v>1</v>
      </c>
      <c r="CI504" s="50">
        <f t="shared" si="724"/>
        <v>1</v>
      </c>
      <c r="CJ504" s="50">
        <f t="shared" si="724"/>
        <v>1</v>
      </c>
      <c r="CK504" s="50">
        <f t="shared" si="725"/>
        <v>0</v>
      </c>
      <c r="CL504" s="50">
        <f t="shared" si="726"/>
        <v>0</v>
      </c>
      <c r="CM504" s="51">
        <f t="shared" si="723"/>
        <v>0</v>
      </c>
      <c r="CN504" s="33">
        <f>ROUND(IF(BS504=0,0,HLOOKUP(BS$14,Villagers!$B$1:$V$33,BS504+3,FALSE)),)</f>
        <v>5</v>
      </c>
      <c r="CO504" s="14">
        <f>ROUND(IF(BT504=0,0,HLOOKUP(BT$14,Villagers!$B$1:$V$33,BT504+3,FALSE)),)</f>
        <v>0</v>
      </c>
      <c r="CP504" s="14">
        <f>ROUND(IF(BU504=0,0,HLOOKUP(BU$14,Villagers!$B$1:$V$33,BU504+3,FALSE)),)</f>
        <v>0</v>
      </c>
      <c r="CQ504" s="14">
        <f>ROUND(IF(BV504=0,0,HLOOKUP(BV$14,Villagers!$B$1:$V$33,BV504+3,FALSE)),)</f>
        <v>0</v>
      </c>
      <c r="CR504" s="14">
        <f>ROUND(IF(BW504=0,0,HLOOKUP(BW$14,Villagers!$B$1:$V$33,BW504+3,FALSE)),)</f>
        <v>0</v>
      </c>
      <c r="CS504" s="14">
        <f>ROUND(IF(BX504=0,0,HLOOKUP(BX$14,Villagers!$B$1:$V$33,BX504+3,FALSE)),)</f>
        <v>0</v>
      </c>
      <c r="CT504" s="14">
        <f>ROUND(IF(BY504=0,0,HLOOKUP(BY$14,Villagers!$B$1:$V$33,BY504+3,FALSE)),)</f>
        <v>0</v>
      </c>
      <c r="CU504" s="14">
        <f>ROUND(IF(BZ504=0,0,HLOOKUP(BZ$14,Villagers!$B$1:$V$33,BZ504+3,FALSE)),)</f>
        <v>0</v>
      </c>
      <c r="CV504" s="14">
        <f>ROUND(IF(CA504=0,0,HLOOKUP(CA$14,Villagers!$B$1:$V$33,CA504+3,FALSE)),)</f>
        <v>0</v>
      </c>
      <c r="CW504" s="14">
        <f>ROUND(IF(CB504=0,0,HLOOKUP(CB$14,Villagers!$B$1:$V$33,CB504+3,FALSE)),)</f>
        <v>0</v>
      </c>
      <c r="CX504" s="14">
        <f>ROUND(IF(CC504=0,0,HLOOKUP(CC$14,Villagers!$B$1:$V$33,CC504+3,FALSE)),)</f>
        <v>0</v>
      </c>
      <c r="CY504" s="14">
        <f>ROUND(IF(CD504=0,0,HLOOKUP(CD$14,Villagers!$B$1:$V$33,CD504+3,FALSE)),)</f>
        <v>0</v>
      </c>
      <c r="CZ504" s="14">
        <f>ROUND(IF(CE504=0,0,HLOOKUP(CE$14,Villagers!$B$1:$V$33,CE504+3,FALSE)),)</f>
        <v>5</v>
      </c>
      <c r="DA504" s="14">
        <f>ROUND(IF(CF504=0,0,HLOOKUP(CF$14,Villagers!$B$1:$V$33,CF504+3,FALSE)),)</f>
        <v>10</v>
      </c>
      <c r="DB504" s="14">
        <f>ROUND(IF(CG504=0,0,HLOOKUP(CG$14,Villagers!$B$1:$V$33,CG504+3,FALSE)),)</f>
        <v>10</v>
      </c>
      <c r="DC504" s="14">
        <f>ROUND(IF(CH504=0,0,HLOOKUP(CH$14,Villagers!$B$1:$V$33,CH504+3,FALSE)),)</f>
        <v>0</v>
      </c>
      <c r="DD504" s="14">
        <f>ROUND(IF(CI504=0,0,HLOOKUP(CI$14,Villagers!$B$1:$V$33,CI504+3,FALSE)),)</f>
        <v>0</v>
      </c>
      <c r="DE504" s="14">
        <f>ROUND(IF(CJ504=0,0,HLOOKUP(CJ$14,Villagers!$B$1:$V$33,CJ504+3,FALSE)),)</f>
        <v>2</v>
      </c>
      <c r="DF504" s="370">
        <f>ROUND(IF(CK504=0,0,HLOOKUP(CK$14,Villagers!$B$1:$V$33,CK504+3,FALSE)),)</f>
        <v>0</v>
      </c>
      <c r="DG504" s="370">
        <f>ROUND(IF(CL504=0,0,HLOOKUP(CL$14,Villagers!$B$1:$V$33,CL504+3,FALSE)),)</f>
        <v>0</v>
      </c>
      <c r="DH504" s="34">
        <f>ROUND(IF(CM504=0,0,HLOOKUP(CM$14,Villagers!$B$1:$V$33,CM504+3,FALSE)),)</f>
        <v>0</v>
      </c>
      <c r="DI504" s="109">
        <f t="shared" si="705"/>
        <v>0</v>
      </c>
      <c r="DJ504" s="50">
        <f t="shared" si="706"/>
        <v>0</v>
      </c>
      <c r="DK504" s="50">
        <f t="shared" si="707"/>
        <v>0</v>
      </c>
      <c r="DL504" s="50">
        <f t="shared" si="708"/>
        <v>0</v>
      </c>
      <c r="DM504" s="50">
        <f t="shared" si="709"/>
        <v>0</v>
      </c>
      <c r="DN504" s="50">
        <f t="shared" si="710"/>
        <v>0</v>
      </c>
      <c r="DO504" s="50">
        <f t="shared" si="711"/>
        <v>0</v>
      </c>
      <c r="DP504" s="50">
        <f t="shared" si="712"/>
        <v>0</v>
      </c>
      <c r="DQ504" s="50">
        <f t="shared" si="690"/>
        <v>0</v>
      </c>
      <c r="DR504" s="50">
        <f t="shared" si="691"/>
        <v>0</v>
      </c>
      <c r="DS504" s="96">
        <f>Miscelaneous!$D$4*Miscelaneous!$D$2^($CI504-1)</f>
        <v>1000</v>
      </c>
      <c r="DT504" s="333">
        <f t="shared" si="672"/>
        <v>1</v>
      </c>
      <c r="DU504" s="81">
        <v>1</v>
      </c>
      <c r="DV504" s="79">
        <f t="shared" si="692"/>
        <v>0</v>
      </c>
      <c r="DW504" s="79">
        <f t="shared" si="693"/>
        <v>0</v>
      </c>
      <c r="DX504" s="79">
        <f t="shared" si="694"/>
        <v>0</v>
      </c>
      <c r="DY504" s="79">
        <v>1</v>
      </c>
      <c r="DZ504" s="79">
        <f t="shared" si="695"/>
        <v>0</v>
      </c>
      <c r="EA504" s="79">
        <f t="shared" si="696"/>
        <v>0</v>
      </c>
      <c r="EB504" s="79">
        <f t="shared" si="697"/>
        <v>0</v>
      </c>
      <c r="EC504" s="79">
        <f t="shared" si="698"/>
        <v>0</v>
      </c>
      <c r="ED504" s="79">
        <v>1</v>
      </c>
      <c r="EE504" s="79">
        <v>1</v>
      </c>
      <c r="EF504" s="79">
        <f t="shared" si="699"/>
        <v>0</v>
      </c>
      <c r="EG504" s="79">
        <v>1</v>
      </c>
      <c r="EH504" s="79">
        <v>1</v>
      </c>
      <c r="EI504" s="79">
        <v>1</v>
      </c>
      <c r="EJ504" s="79">
        <v>1</v>
      </c>
      <c r="EK504" s="79">
        <v>1</v>
      </c>
      <c r="EL504" s="79">
        <v>1</v>
      </c>
      <c r="EM504" s="143">
        <f t="shared" si="700"/>
        <v>0</v>
      </c>
      <c r="EN504" s="143">
        <f t="shared" si="701"/>
        <v>0</v>
      </c>
      <c r="EO504" s="82">
        <f t="shared" si="702"/>
        <v>0</v>
      </c>
    </row>
    <row r="505" spans="1:145" x14ac:dyDescent="0.25">
      <c r="A505">
        <v>491</v>
      </c>
      <c r="B505" s="172" t="e">
        <f t="shared" si="673"/>
        <v>#N/A</v>
      </c>
      <c r="C505" s="121" t="e">
        <f t="shared" si="652"/>
        <v>#N/A</v>
      </c>
      <c r="D505" s="122" t="e">
        <f t="shared" si="653"/>
        <v>#N/A</v>
      </c>
      <c r="E505" s="122" t="e">
        <f t="shared" si="654"/>
        <v>#N/A</v>
      </c>
      <c r="F505" s="176" t="e">
        <f t="shared" si="655"/>
        <v>#N/A</v>
      </c>
      <c r="G505" s="121">
        <f t="shared" si="674"/>
        <v>208</v>
      </c>
      <c r="H505" s="176" t="e">
        <f t="shared" si="675"/>
        <v>#N/A</v>
      </c>
      <c r="I505" s="48">
        <v>1</v>
      </c>
      <c r="J505" s="39"/>
      <c r="K505" s="350">
        <v>1</v>
      </c>
      <c r="L505" s="34" t="e">
        <f t="shared" si="656"/>
        <v>#N/A</v>
      </c>
      <c r="M505" s="38" t="e">
        <f>(HLOOKUP(J505,'Construction Times'!$B$3:$W$34,L505+2,FALSE)*HLOOKUP("hq modifier",'Construction Times'!$W$3:$W$34,BS505+2,FALSE))*(1-$H$9)</f>
        <v>#N/A</v>
      </c>
      <c r="N505" s="443" t="e">
        <f t="shared" si="676"/>
        <v>#N/A</v>
      </c>
      <c r="O505" s="444"/>
      <c r="P505" s="447" t="e">
        <f t="shared" si="677"/>
        <v>#N/A</v>
      </c>
      <c r="Q505" s="448"/>
      <c r="R505" s="103">
        <f t="shared" si="703"/>
        <v>0</v>
      </c>
      <c r="S505" s="104">
        <f t="shared" si="703"/>
        <v>0</v>
      </c>
      <c r="T505" s="104">
        <f t="shared" si="704"/>
        <v>0</v>
      </c>
      <c r="U505" s="104">
        <f t="shared" si="704"/>
        <v>0</v>
      </c>
      <c r="V505" s="104">
        <f t="shared" si="704"/>
        <v>9.9999999999999995E-8</v>
      </c>
      <c r="W505" s="104">
        <f t="shared" si="704"/>
        <v>0</v>
      </c>
      <c r="X505" s="104">
        <f t="shared" si="722"/>
        <v>0</v>
      </c>
      <c r="Y505" s="104">
        <f t="shared" si="722"/>
        <v>9.9999999999999995E-8</v>
      </c>
      <c r="Z505" s="104">
        <f t="shared" si="722"/>
        <v>9.9999999999999995E-8</v>
      </c>
      <c r="AA505" s="105">
        <f t="shared" si="722"/>
        <v>9.9999999999999995E-8</v>
      </c>
      <c r="AB505" s="101" t="e">
        <f>$DT505*HLOOKUP($J505,'Construction Costs (timber)'!$B$1:$V$32,'Construction Planner'!$L505+2,FALSE)</f>
        <v>#N/A</v>
      </c>
      <c r="AC505" s="14" t="e">
        <f>$DT505*HLOOKUP($J505,'Construction Costs (clay)'!$B$1:$V$32,'Construction Planner'!$L505+2,FALSE)</f>
        <v>#N/A</v>
      </c>
      <c r="AD505" s="14" t="e">
        <f>$DT505*HLOOKUP($J505,'Construction Costs (iron)'!$B$1:$V$32,'Construction Planner'!$L505+2,FALSE)</f>
        <v>#N/A</v>
      </c>
      <c r="AE505" s="34" t="e">
        <f t="shared" si="713"/>
        <v>#N/A</v>
      </c>
      <c r="AF505" s="33" t="e">
        <f t="shared" si="657"/>
        <v>#N/A</v>
      </c>
      <c r="AG505" s="14" t="e">
        <f t="shared" si="658"/>
        <v>#N/A</v>
      </c>
      <c r="AH505" s="14" t="e">
        <f t="shared" si="659"/>
        <v>#N/A</v>
      </c>
      <c r="AI505" s="34" t="e">
        <f t="shared" si="714"/>
        <v>#N/A</v>
      </c>
      <c r="AJ505" s="49" t="e">
        <f t="shared" si="678"/>
        <v>#N/A</v>
      </c>
      <c r="AK505" s="49" t="e">
        <f t="shared" si="679"/>
        <v>#N/A</v>
      </c>
      <c r="AL505" s="49" t="e">
        <f t="shared" si="680"/>
        <v>#N/A</v>
      </c>
      <c r="AM505" s="25">
        <f t="shared" si="660"/>
        <v>30</v>
      </c>
      <c r="AN505" s="25">
        <f t="shared" si="661"/>
        <v>30</v>
      </c>
      <c r="AO505" s="25">
        <f t="shared" si="662"/>
        <v>30</v>
      </c>
      <c r="AP505" s="52" t="e">
        <f t="shared" si="681"/>
        <v>#N/A</v>
      </c>
      <c r="AQ505" s="53" t="e">
        <f t="shared" si="681"/>
        <v>#N/A</v>
      </c>
      <c r="AR505" s="54" t="e">
        <f t="shared" si="681"/>
        <v>#N/A</v>
      </c>
      <c r="AS505" s="316">
        <f t="shared" si="727"/>
        <v>0</v>
      </c>
      <c r="AT505" s="106">
        <f>_xlfn.IFNA($M505/VLOOKUP($BT505,'Unit information'!$A$2:$K$29,2,FALSE)*R505,0)*(1+$E$9)</f>
        <v>0</v>
      </c>
      <c r="AU505" s="107">
        <f>_xlfn.IFNA($M505/VLOOKUP($BT505,'Unit information'!$A$2:$K$29,3,FALSE)*S505,0)*(1+$E$9)</f>
        <v>0</v>
      </c>
      <c r="AV505" s="107">
        <f>_xlfn.IFNA($M505/VLOOKUP($BT505,'Unit information'!$A$2:$K$29,4,FALSE)*T505,0)*(1+$E$9)</f>
        <v>0</v>
      </c>
      <c r="AW505" s="107">
        <f>_xlfn.IFNA($M505/VLOOKUP($BT505,'Unit information'!$A$2:$K$29,5,FALSE)*U505,0)*(1+$E$9)</f>
        <v>0</v>
      </c>
      <c r="AX505" s="107">
        <f>_xlfn.IFNA($M505/VLOOKUP($BU505,'Unit information'!$A$2:$K$29,6,FALSE)*V505,0)*(1+$E$9)</f>
        <v>0</v>
      </c>
      <c r="AY505" s="107">
        <f>_xlfn.IFNA($M505/VLOOKUP($BU505,'Unit information'!$A$2:$K$29,7,FALSE)*W505,0)*(1+$E$9)</f>
        <v>0</v>
      </c>
      <c r="AZ505" s="107">
        <f>_xlfn.IFNA($M505/VLOOKUP($BU505,'Unit information'!$A$2:$K$29,8,FALSE)*X505,0)*(1+$E$9)</f>
        <v>0</v>
      </c>
      <c r="BA505" s="107">
        <f>_xlfn.IFNA($M505/VLOOKUP($BU505,'Unit information'!$A$2:$K$29,9,FALSE)*Y505,0)*(1+$E$9)</f>
        <v>0</v>
      </c>
      <c r="BB505" s="107">
        <f>_xlfn.IFNA($M505/VLOOKUP($BV505,'Unit information'!$A$2:$K$29,10,FALSE)*Z505,0)*(1+$E$9)</f>
        <v>0</v>
      </c>
      <c r="BC505" s="108">
        <f>_xlfn.IFNA($M505/VLOOKUP($BV505,'Unit information'!$A$2:$K$29,11,FALSE)*AA505,0)*(1+$E$9)</f>
        <v>0</v>
      </c>
      <c r="BD505" s="106">
        <f t="shared" si="663"/>
        <v>0</v>
      </c>
      <c r="BE505" s="107">
        <f t="shared" si="664"/>
        <v>0</v>
      </c>
      <c r="BF505" s="108">
        <f t="shared" si="665"/>
        <v>0</v>
      </c>
      <c r="BG505" s="25" t="e">
        <f t="shared" si="666"/>
        <v>#N/A</v>
      </c>
      <c r="BH505" s="25" t="e">
        <f t="shared" si="667"/>
        <v>#N/A</v>
      </c>
      <c r="BI505" s="25" t="e">
        <f t="shared" si="668"/>
        <v>#N/A</v>
      </c>
      <c r="BJ505" s="27" t="e">
        <f t="shared" si="669"/>
        <v>#N/A</v>
      </c>
      <c r="BK505" s="18" t="e">
        <f t="shared" si="670"/>
        <v>#N/A</v>
      </c>
      <c r="BL505" s="18" t="e">
        <f t="shared" si="671"/>
        <v>#N/A</v>
      </c>
      <c r="BM505" s="28" t="e">
        <f t="shared" si="716"/>
        <v>#N/A</v>
      </c>
      <c r="BN505" s="33">
        <f>HLOOKUP("maximum population",Miscelaneous!$C$1:$C$33,CH505+3,FALSE)</f>
        <v>240</v>
      </c>
      <c r="BO505" s="14">
        <f t="shared" si="682"/>
        <v>32</v>
      </c>
      <c r="BP505" s="14">
        <f t="shared" si="683"/>
        <v>0</v>
      </c>
      <c r="BQ505" s="14">
        <f t="shared" si="684"/>
        <v>208</v>
      </c>
      <c r="BR505" s="34" t="e">
        <f>HLOOKUP(J505,Villagers!$B$1:$V$33,L505+3,FALSE)-HLOOKUP(J505,Villagers!$B$1:$V$33,L505+2,FALSE)</f>
        <v>#N/A</v>
      </c>
      <c r="BS505" s="49">
        <f t="shared" si="724"/>
        <v>1</v>
      </c>
      <c r="BT505" s="50">
        <f t="shared" si="724"/>
        <v>0</v>
      </c>
      <c r="BU505" s="50">
        <f t="shared" si="724"/>
        <v>0</v>
      </c>
      <c r="BV505" s="50">
        <f t="shared" si="724"/>
        <v>0</v>
      </c>
      <c r="BW505" s="50">
        <f t="shared" si="724"/>
        <v>0</v>
      </c>
      <c r="BX505" s="50">
        <f t="shared" si="724"/>
        <v>0</v>
      </c>
      <c r="BY505" s="50">
        <f t="shared" si="724"/>
        <v>0</v>
      </c>
      <c r="BZ505" s="50">
        <f t="shared" si="724"/>
        <v>0</v>
      </c>
      <c r="CA505" s="50">
        <f t="shared" si="724"/>
        <v>0</v>
      </c>
      <c r="CB505" s="50">
        <f t="shared" si="724"/>
        <v>1</v>
      </c>
      <c r="CC505" s="50">
        <f t="shared" si="724"/>
        <v>0</v>
      </c>
      <c r="CD505" s="50">
        <f t="shared" si="724"/>
        <v>0</v>
      </c>
      <c r="CE505" s="50">
        <f t="shared" si="724"/>
        <v>1</v>
      </c>
      <c r="CF505" s="50">
        <f t="shared" si="724"/>
        <v>1</v>
      </c>
      <c r="CG505" s="50">
        <f t="shared" si="724"/>
        <v>1</v>
      </c>
      <c r="CH505" s="50">
        <f t="shared" si="724"/>
        <v>1</v>
      </c>
      <c r="CI505" s="50">
        <f t="shared" si="724"/>
        <v>1</v>
      </c>
      <c r="CJ505" s="50">
        <f t="shared" si="724"/>
        <v>1</v>
      </c>
      <c r="CK505" s="50">
        <f t="shared" si="725"/>
        <v>0</v>
      </c>
      <c r="CL505" s="50">
        <f t="shared" si="726"/>
        <v>0</v>
      </c>
      <c r="CM505" s="51">
        <f t="shared" si="723"/>
        <v>0</v>
      </c>
      <c r="CN505" s="33">
        <f>ROUND(IF(BS505=0,0,HLOOKUP(BS$14,Villagers!$B$1:$V$33,BS505+3,FALSE)),)</f>
        <v>5</v>
      </c>
      <c r="CO505" s="14">
        <f>ROUND(IF(BT505=0,0,HLOOKUP(BT$14,Villagers!$B$1:$V$33,BT505+3,FALSE)),)</f>
        <v>0</v>
      </c>
      <c r="CP505" s="14">
        <f>ROUND(IF(BU505=0,0,HLOOKUP(BU$14,Villagers!$B$1:$V$33,BU505+3,FALSE)),)</f>
        <v>0</v>
      </c>
      <c r="CQ505" s="14">
        <f>ROUND(IF(BV505=0,0,HLOOKUP(BV$14,Villagers!$B$1:$V$33,BV505+3,FALSE)),)</f>
        <v>0</v>
      </c>
      <c r="CR505" s="14">
        <f>ROUND(IF(BW505=0,0,HLOOKUP(BW$14,Villagers!$B$1:$V$33,BW505+3,FALSE)),)</f>
        <v>0</v>
      </c>
      <c r="CS505" s="14">
        <f>ROUND(IF(BX505=0,0,HLOOKUP(BX$14,Villagers!$B$1:$V$33,BX505+3,FALSE)),)</f>
        <v>0</v>
      </c>
      <c r="CT505" s="14">
        <f>ROUND(IF(BY505=0,0,HLOOKUP(BY$14,Villagers!$B$1:$V$33,BY505+3,FALSE)),)</f>
        <v>0</v>
      </c>
      <c r="CU505" s="14">
        <f>ROUND(IF(BZ505=0,0,HLOOKUP(BZ$14,Villagers!$B$1:$V$33,BZ505+3,FALSE)),)</f>
        <v>0</v>
      </c>
      <c r="CV505" s="14">
        <f>ROUND(IF(CA505=0,0,HLOOKUP(CA$14,Villagers!$B$1:$V$33,CA505+3,FALSE)),)</f>
        <v>0</v>
      </c>
      <c r="CW505" s="14">
        <f>ROUND(IF(CB505=0,0,HLOOKUP(CB$14,Villagers!$B$1:$V$33,CB505+3,FALSE)),)</f>
        <v>0</v>
      </c>
      <c r="CX505" s="14">
        <f>ROUND(IF(CC505=0,0,HLOOKUP(CC$14,Villagers!$B$1:$V$33,CC505+3,FALSE)),)</f>
        <v>0</v>
      </c>
      <c r="CY505" s="14">
        <f>ROUND(IF(CD505=0,0,HLOOKUP(CD$14,Villagers!$B$1:$V$33,CD505+3,FALSE)),)</f>
        <v>0</v>
      </c>
      <c r="CZ505" s="14">
        <f>ROUND(IF(CE505=0,0,HLOOKUP(CE$14,Villagers!$B$1:$V$33,CE505+3,FALSE)),)</f>
        <v>5</v>
      </c>
      <c r="DA505" s="14">
        <f>ROUND(IF(CF505=0,0,HLOOKUP(CF$14,Villagers!$B$1:$V$33,CF505+3,FALSE)),)</f>
        <v>10</v>
      </c>
      <c r="DB505" s="14">
        <f>ROUND(IF(CG505=0,0,HLOOKUP(CG$14,Villagers!$B$1:$V$33,CG505+3,FALSE)),)</f>
        <v>10</v>
      </c>
      <c r="DC505" s="14">
        <f>ROUND(IF(CH505=0,0,HLOOKUP(CH$14,Villagers!$B$1:$V$33,CH505+3,FALSE)),)</f>
        <v>0</v>
      </c>
      <c r="DD505" s="14">
        <f>ROUND(IF(CI505=0,0,HLOOKUP(CI$14,Villagers!$B$1:$V$33,CI505+3,FALSE)),)</f>
        <v>0</v>
      </c>
      <c r="DE505" s="14">
        <f>ROUND(IF(CJ505=0,0,HLOOKUP(CJ$14,Villagers!$B$1:$V$33,CJ505+3,FALSE)),)</f>
        <v>2</v>
      </c>
      <c r="DF505" s="370">
        <f>ROUND(IF(CK505=0,0,HLOOKUP(CK$14,Villagers!$B$1:$V$33,CK505+3,FALSE)),)</f>
        <v>0</v>
      </c>
      <c r="DG505" s="370">
        <f>ROUND(IF(CL505=0,0,HLOOKUP(CL$14,Villagers!$B$1:$V$33,CL505+3,FALSE)),)</f>
        <v>0</v>
      </c>
      <c r="DH505" s="34">
        <f>ROUND(IF(CM505=0,0,HLOOKUP(CM$14,Villagers!$B$1:$V$33,CM505+3,FALSE)),)</f>
        <v>0</v>
      </c>
      <c r="DI505" s="109">
        <f t="shared" si="705"/>
        <v>0</v>
      </c>
      <c r="DJ505" s="50">
        <f t="shared" si="706"/>
        <v>0</v>
      </c>
      <c r="DK505" s="50">
        <f t="shared" si="707"/>
        <v>0</v>
      </c>
      <c r="DL505" s="50">
        <f t="shared" si="708"/>
        <v>0</v>
      </c>
      <c r="DM505" s="50">
        <f t="shared" si="709"/>
        <v>0</v>
      </c>
      <c r="DN505" s="50">
        <f t="shared" si="710"/>
        <v>0</v>
      </c>
      <c r="DO505" s="50">
        <f t="shared" si="711"/>
        <v>0</v>
      </c>
      <c r="DP505" s="50">
        <f t="shared" si="712"/>
        <v>0</v>
      </c>
      <c r="DQ505" s="50">
        <f t="shared" si="690"/>
        <v>0</v>
      </c>
      <c r="DR505" s="50">
        <f t="shared" si="691"/>
        <v>0</v>
      </c>
      <c r="DS505" s="96">
        <f>Miscelaneous!$D$4*Miscelaneous!$D$2^($CI505-1)</f>
        <v>1000</v>
      </c>
      <c r="DT505" s="333">
        <f t="shared" si="672"/>
        <v>1</v>
      </c>
      <c r="DU505" s="81">
        <v>1</v>
      </c>
      <c r="DV505" s="79">
        <f t="shared" si="692"/>
        <v>0</v>
      </c>
      <c r="DW505" s="79">
        <f t="shared" si="693"/>
        <v>0</v>
      </c>
      <c r="DX505" s="79">
        <f t="shared" si="694"/>
        <v>0</v>
      </c>
      <c r="DY505" s="79">
        <v>1</v>
      </c>
      <c r="DZ505" s="79">
        <f t="shared" si="695"/>
        <v>0</v>
      </c>
      <c r="EA505" s="79">
        <f t="shared" si="696"/>
        <v>0</v>
      </c>
      <c r="EB505" s="79">
        <f t="shared" si="697"/>
        <v>0</v>
      </c>
      <c r="EC505" s="79">
        <f t="shared" si="698"/>
        <v>0</v>
      </c>
      <c r="ED505" s="79">
        <v>1</v>
      </c>
      <c r="EE505" s="79">
        <v>1</v>
      </c>
      <c r="EF505" s="79">
        <f t="shared" si="699"/>
        <v>0</v>
      </c>
      <c r="EG505" s="79">
        <v>1</v>
      </c>
      <c r="EH505" s="79">
        <v>1</v>
      </c>
      <c r="EI505" s="79">
        <v>1</v>
      </c>
      <c r="EJ505" s="79">
        <v>1</v>
      </c>
      <c r="EK505" s="79">
        <v>1</v>
      </c>
      <c r="EL505" s="79">
        <v>1</v>
      </c>
      <c r="EM505" s="143">
        <f t="shared" si="700"/>
        <v>0</v>
      </c>
      <c r="EN505" s="143">
        <f t="shared" si="701"/>
        <v>0</v>
      </c>
      <c r="EO505" s="82">
        <f t="shared" si="702"/>
        <v>0</v>
      </c>
    </row>
    <row r="506" spans="1:145" x14ac:dyDescent="0.25">
      <c r="A506">
        <v>492</v>
      </c>
      <c r="B506" s="172" t="e">
        <f t="shared" si="673"/>
        <v>#N/A</v>
      </c>
      <c r="C506" s="121" t="e">
        <f t="shared" si="652"/>
        <v>#N/A</v>
      </c>
      <c r="D506" s="122" t="e">
        <f t="shared" si="653"/>
        <v>#N/A</v>
      </c>
      <c r="E506" s="122" t="e">
        <f t="shared" si="654"/>
        <v>#N/A</v>
      </c>
      <c r="F506" s="176" t="e">
        <f t="shared" si="655"/>
        <v>#N/A</v>
      </c>
      <c r="G506" s="121">
        <f t="shared" si="674"/>
        <v>208</v>
      </c>
      <c r="H506" s="176" t="e">
        <f t="shared" si="675"/>
        <v>#N/A</v>
      </c>
      <c r="I506" s="48">
        <v>1</v>
      </c>
      <c r="J506" s="39"/>
      <c r="K506" s="350">
        <v>1</v>
      </c>
      <c r="L506" s="34" t="e">
        <f t="shared" si="656"/>
        <v>#N/A</v>
      </c>
      <c r="M506" s="38" t="e">
        <f>(HLOOKUP(J506,'Construction Times'!$B$3:$W$34,L506+2,FALSE)*HLOOKUP("hq modifier",'Construction Times'!$W$3:$W$34,BS506+2,FALSE))*(1-$H$9)</f>
        <v>#N/A</v>
      </c>
      <c r="N506" s="443" t="e">
        <f t="shared" si="676"/>
        <v>#N/A</v>
      </c>
      <c r="O506" s="444"/>
      <c r="P506" s="447" t="e">
        <f t="shared" si="677"/>
        <v>#N/A</v>
      </c>
      <c r="Q506" s="448"/>
      <c r="R506" s="103">
        <f t="shared" si="703"/>
        <v>0</v>
      </c>
      <c r="S506" s="104">
        <f t="shared" si="703"/>
        <v>0</v>
      </c>
      <c r="T506" s="104">
        <f t="shared" si="704"/>
        <v>0</v>
      </c>
      <c r="U506" s="104">
        <f t="shared" si="704"/>
        <v>0</v>
      </c>
      <c r="V506" s="104">
        <f t="shared" si="704"/>
        <v>9.9999999999999995E-8</v>
      </c>
      <c r="W506" s="104">
        <f t="shared" si="704"/>
        <v>0</v>
      </c>
      <c r="X506" s="104">
        <f t="shared" si="722"/>
        <v>0</v>
      </c>
      <c r="Y506" s="104">
        <f t="shared" si="722"/>
        <v>9.9999999999999995E-8</v>
      </c>
      <c r="Z506" s="104">
        <f t="shared" si="722"/>
        <v>9.9999999999999995E-8</v>
      </c>
      <c r="AA506" s="105">
        <f t="shared" si="722"/>
        <v>9.9999999999999995E-8</v>
      </c>
      <c r="AB506" s="101" t="e">
        <f>$DT506*HLOOKUP($J506,'Construction Costs (timber)'!$B$1:$V$32,'Construction Planner'!$L506+2,FALSE)</f>
        <v>#N/A</v>
      </c>
      <c r="AC506" s="14" t="e">
        <f>$DT506*HLOOKUP($J506,'Construction Costs (clay)'!$B$1:$V$32,'Construction Planner'!$L506+2,FALSE)</f>
        <v>#N/A</v>
      </c>
      <c r="AD506" s="14" t="e">
        <f>$DT506*HLOOKUP($J506,'Construction Costs (iron)'!$B$1:$V$32,'Construction Planner'!$L506+2,FALSE)</f>
        <v>#N/A</v>
      </c>
      <c r="AE506" s="34" t="e">
        <f t="shared" si="713"/>
        <v>#N/A</v>
      </c>
      <c r="AF506" s="33" t="e">
        <f t="shared" si="657"/>
        <v>#N/A</v>
      </c>
      <c r="AG506" s="14" t="e">
        <f t="shared" si="658"/>
        <v>#N/A</v>
      </c>
      <c r="AH506" s="14" t="e">
        <f t="shared" si="659"/>
        <v>#N/A</v>
      </c>
      <c r="AI506" s="34" t="e">
        <f t="shared" si="714"/>
        <v>#N/A</v>
      </c>
      <c r="AJ506" s="49" t="e">
        <f t="shared" si="678"/>
        <v>#N/A</v>
      </c>
      <c r="AK506" s="49" t="e">
        <f t="shared" si="679"/>
        <v>#N/A</v>
      </c>
      <c r="AL506" s="49" t="e">
        <f t="shared" si="680"/>
        <v>#N/A</v>
      </c>
      <c r="AM506" s="25">
        <f t="shared" si="660"/>
        <v>30</v>
      </c>
      <c r="AN506" s="25">
        <f t="shared" si="661"/>
        <v>30</v>
      </c>
      <c r="AO506" s="25">
        <f t="shared" si="662"/>
        <v>30</v>
      </c>
      <c r="AP506" s="52" t="e">
        <f t="shared" si="681"/>
        <v>#N/A</v>
      </c>
      <c r="AQ506" s="53" t="e">
        <f t="shared" si="681"/>
        <v>#N/A</v>
      </c>
      <c r="AR506" s="54" t="e">
        <f t="shared" si="681"/>
        <v>#N/A</v>
      </c>
      <c r="AS506" s="316">
        <f t="shared" si="727"/>
        <v>0</v>
      </c>
      <c r="AT506" s="106">
        <f>_xlfn.IFNA($M506/VLOOKUP($BT506,'Unit information'!$A$2:$K$29,2,FALSE)*R506,0)*(1+$E$9)</f>
        <v>0</v>
      </c>
      <c r="AU506" s="107">
        <f>_xlfn.IFNA($M506/VLOOKUP($BT506,'Unit information'!$A$2:$K$29,3,FALSE)*S506,0)*(1+$E$9)</f>
        <v>0</v>
      </c>
      <c r="AV506" s="107">
        <f>_xlfn.IFNA($M506/VLOOKUP($BT506,'Unit information'!$A$2:$K$29,4,FALSE)*T506,0)*(1+$E$9)</f>
        <v>0</v>
      </c>
      <c r="AW506" s="107">
        <f>_xlfn.IFNA($M506/VLOOKUP($BT506,'Unit information'!$A$2:$K$29,5,FALSE)*U506,0)*(1+$E$9)</f>
        <v>0</v>
      </c>
      <c r="AX506" s="107">
        <f>_xlfn.IFNA($M506/VLOOKUP($BU506,'Unit information'!$A$2:$K$29,6,FALSE)*V506,0)*(1+$E$9)</f>
        <v>0</v>
      </c>
      <c r="AY506" s="107">
        <f>_xlfn.IFNA($M506/VLOOKUP($BU506,'Unit information'!$A$2:$K$29,7,FALSE)*W506,0)*(1+$E$9)</f>
        <v>0</v>
      </c>
      <c r="AZ506" s="107">
        <f>_xlfn.IFNA($M506/VLOOKUP($BU506,'Unit information'!$A$2:$K$29,8,FALSE)*X506,0)*(1+$E$9)</f>
        <v>0</v>
      </c>
      <c r="BA506" s="107">
        <f>_xlfn.IFNA($M506/VLOOKUP($BU506,'Unit information'!$A$2:$K$29,9,FALSE)*Y506,0)*(1+$E$9)</f>
        <v>0</v>
      </c>
      <c r="BB506" s="107">
        <f>_xlfn.IFNA($M506/VLOOKUP($BV506,'Unit information'!$A$2:$K$29,10,FALSE)*Z506,0)*(1+$E$9)</f>
        <v>0</v>
      </c>
      <c r="BC506" s="108">
        <f>_xlfn.IFNA($M506/VLOOKUP($BV506,'Unit information'!$A$2:$K$29,11,FALSE)*AA506,0)*(1+$E$9)</f>
        <v>0</v>
      </c>
      <c r="BD506" s="106">
        <f t="shared" si="663"/>
        <v>0</v>
      </c>
      <c r="BE506" s="107">
        <f t="shared" si="664"/>
        <v>0</v>
      </c>
      <c r="BF506" s="108">
        <f t="shared" si="665"/>
        <v>0</v>
      </c>
      <c r="BG506" s="25" t="e">
        <f t="shared" si="666"/>
        <v>#N/A</v>
      </c>
      <c r="BH506" s="25" t="e">
        <f t="shared" si="667"/>
        <v>#N/A</v>
      </c>
      <c r="BI506" s="25" t="e">
        <f t="shared" si="668"/>
        <v>#N/A</v>
      </c>
      <c r="BJ506" s="27" t="e">
        <f t="shared" si="669"/>
        <v>#N/A</v>
      </c>
      <c r="BK506" s="18" t="e">
        <f t="shared" si="670"/>
        <v>#N/A</v>
      </c>
      <c r="BL506" s="18" t="e">
        <f t="shared" si="671"/>
        <v>#N/A</v>
      </c>
      <c r="BM506" s="28" t="e">
        <f t="shared" si="716"/>
        <v>#N/A</v>
      </c>
      <c r="BN506" s="33">
        <f>HLOOKUP("maximum population",Miscelaneous!$C$1:$C$33,CH506+3,FALSE)</f>
        <v>240</v>
      </c>
      <c r="BO506" s="14">
        <f t="shared" si="682"/>
        <v>32</v>
      </c>
      <c r="BP506" s="14">
        <f t="shared" si="683"/>
        <v>0</v>
      </c>
      <c r="BQ506" s="14">
        <f t="shared" si="684"/>
        <v>208</v>
      </c>
      <c r="BR506" s="34" t="e">
        <f>HLOOKUP(J506,Villagers!$B$1:$V$33,L506+3,FALSE)-HLOOKUP(J506,Villagers!$B$1:$V$33,L506+2,FALSE)</f>
        <v>#N/A</v>
      </c>
      <c r="BS506" s="49">
        <f t="shared" si="724"/>
        <v>1</v>
      </c>
      <c r="BT506" s="50">
        <f t="shared" si="724"/>
        <v>0</v>
      </c>
      <c r="BU506" s="50">
        <f t="shared" si="724"/>
        <v>0</v>
      </c>
      <c r="BV506" s="50">
        <f t="shared" si="724"/>
        <v>0</v>
      </c>
      <c r="BW506" s="50">
        <f t="shared" si="724"/>
        <v>0</v>
      </c>
      <c r="BX506" s="50">
        <f t="shared" si="724"/>
        <v>0</v>
      </c>
      <c r="BY506" s="50">
        <f t="shared" si="724"/>
        <v>0</v>
      </c>
      <c r="BZ506" s="50">
        <f t="shared" si="724"/>
        <v>0</v>
      </c>
      <c r="CA506" s="50">
        <f t="shared" si="724"/>
        <v>0</v>
      </c>
      <c r="CB506" s="50">
        <f t="shared" si="724"/>
        <v>1</v>
      </c>
      <c r="CC506" s="50">
        <f t="shared" si="724"/>
        <v>0</v>
      </c>
      <c r="CD506" s="50">
        <f t="shared" si="724"/>
        <v>0</v>
      </c>
      <c r="CE506" s="50">
        <f t="shared" si="724"/>
        <v>1</v>
      </c>
      <c r="CF506" s="50">
        <f t="shared" si="724"/>
        <v>1</v>
      </c>
      <c r="CG506" s="50">
        <f t="shared" si="724"/>
        <v>1</v>
      </c>
      <c r="CH506" s="50">
        <f t="shared" si="724"/>
        <v>1</v>
      </c>
      <c r="CI506" s="50">
        <f t="shared" si="724"/>
        <v>1</v>
      </c>
      <c r="CJ506" s="50">
        <f t="shared" si="724"/>
        <v>1</v>
      </c>
      <c r="CK506" s="50">
        <f t="shared" si="725"/>
        <v>0</v>
      </c>
      <c r="CL506" s="50">
        <f t="shared" si="726"/>
        <v>0</v>
      </c>
      <c r="CM506" s="51">
        <f t="shared" si="723"/>
        <v>0</v>
      </c>
      <c r="CN506" s="33">
        <f>ROUND(IF(BS506=0,0,HLOOKUP(BS$14,Villagers!$B$1:$V$33,BS506+3,FALSE)),)</f>
        <v>5</v>
      </c>
      <c r="CO506" s="14">
        <f>ROUND(IF(BT506=0,0,HLOOKUP(BT$14,Villagers!$B$1:$V$33,BT506+3,FALSE)),)</f>
        <v>0</v>
      </c>
      <c r="CP506" s="14">
        <f>ROUND(IF(BU506=0,0,HLOOKUP(BU$14,Villagers!$B$1:$V$33,BU506+3,FALSE)),)</f>
        <v>0</v>
      </c>
      <c r="CQ506" s="14">
        <f>ROUND(IF(BV506=0,0,HLOOKUP(BV$14,Villagers!$B$1:$V$33,BV506+3,FALSE)),)</f>
        <v>0</v>
      </c>
      <c r="CR506" s="14">
        <f>ROUND(IF(BW506=0,0,HLOOKUP(BW$14,Villagers!$B$1:$V$33,BW506+3,FALSE)),)</f>
        <v>0</v>
      </c>
      <c r="CS506" s="14">
        <f>ROUND(IF(BX506=0,0,HLOOKUP(BX$14,Villagers!$B$1:$V$33,BX506+3,FALSE)),)</f>
        <v>0</v>
      </c>
      <c r="CT506" s="14">
        <f>ROUND(IF(BY506=0,0,HLOOKUP(BY$14,Villagers!$B$1:$V$33,BY506+3,FALSE)),)</f>
        <v>0</v>
      </c>
      <c r="CU506" s="14">
        <f>ROUND(IF(BZ506=0,0,HLOOKUP(BZ$14,Villagers!$B$1:$V$33,BZ506+3,FALSE)),)</f>
        <v>0</v>
      </c>
      <c r="CV506" s="14">
        <f>ROUND(IF(CA506=0,0,HLOOKUP(CA$14,Villagers!$B$1:$V$33,CA506+3,FALSE)),)</f>
        <v>0</v>
      </c>
      <c r="CW506" s="14">
        <f>ROUND(IF(CB506=0,0,HLOOKUP(CB$14,Villagers!$B$1:$V$33,CB506+3,FALSE)),)</f>
        <v>0</v>
      </c>
      <c r="CX506" s="14">
        <f>ROUND(IF(CC506=0,0,HLOOKUP(CC$14,Villagers!$B$1:$V$33,CC506+3,FALSE)),)</f>
        <v>0</v>
      </c>
      <c r="CY506" s="14">
        <f>ROUND(IF(CD506=0,0,HLOOKUP(CD$14,Villagers!$B$1:$V$33,CD506+3,FALSE)),)</f>
        <v>0</v>
      </c>
      <c r="CZ506" s="14">
        <f>ROUND(IF(CE506=0,0,HLOOKUP(CE$14,Villagers!$B$1:$V$33,CE506+3,FALSE)),)</f>
        <v>5</v>
      </c>
      <c r="DA506" s="14">
        <f>ROUND(IF(CF506=0,0,HLOOKUP(CF$14,Villagers!$B$1:$V$33,CF506+3,FALSE)),)</f>
        <v>10</v>
      </c>
      <c r="DB506" s="14">
        <f>ROUND(IF(CG506=0,0,HLOOKUP(CG$14,Villagers!$B$1:$V$33,CG506+3,FALSE)),)</f>
        <v>10</v>
      </c>
      <c r="DC506" s="14">
        <f>ROUND(IF(CH506=0,0,HLOOKUP(CH$14,Villagers!$B$1:$V$33,CH506+3,FALSE)),)</f>
        <v>0</v>
      </c>
      <c r="DD506" s="14">
        <f>ROUND(IF(CI506=0,0,HLOOKUP(CI$14,Villagers!$B$1:$V$33,CI506+3,FALSE)),)</f>
        <v>0</v>
      </c>
      <c r="DE506" s="14">
        <f>ROUND(IF(CJ506=0,0,HLOOKUP(CJ$14,Villagers!$B$1:$V$33,CJ506+3,FALSE)),)</f>
        <v>2</v>
      </c>
      <c r="DF506" s="370">
        <f>ROUND(IF(CK506=0,0,HLOOKUP(CK$14,Villagers!$B$1:$V$33,CK506+3,FALSE)),)</f>
        <v>0</v>
      </c>
      <c r="DG506" s="370">
        <f>ROUND(IF(CL506=0,0,HLOOKUP(CL$14,Villagers!$B$1:$V$33,CL506+3,FALSE)),)</f>
        <v>0</v>
      </c>
      <c r="DH506" s="34">
        <f>ROUND(IF(CM506=0,0,HLOOKUP(CM$14,Villagers!$B$1:$V$33,CM506+3,FALSE)),)</f>
        <v>0</v>
      </c>
      <c r="DI506" s="109">
        <f t="shared" si="705"/>
        <v>0</v>
      </c>
      <c r="DJ506" s="50">
        <f t="shared" si="706"/>
        <v>0</v>
      </c>
      <c r="DK506" s="50">
        <f t="shared" si="707"/>
        <v>0</v>
      </c>
      <c r="DL506" s="50">
        <f t="shared" si="708"/>
        <v>0</v>
      </c>
      <c r="DM506" s="50">
        <f t="shared" si="709"/>
        <v>0</v>
      </c>
      <c r="DN506" s="50">
        <f t="shared" si="710"/>
        <v>0</v>
      </c>
      <c r="DO506" s="50">
        <f t="shared" si="711"/>
        <v>0</v>
      </c>
      <c r="DP506" s="50">
        <f t="shared" si="712"/>
        <v>0</v>
      </c>
      <c r="DQ506" s="50">
        <f t="shared" si="690"/>
        <v>0</v>
      </c>
      <c r="DR506" s="50">
        <f t="shared" si="691"/>
        <v>0</v>
      </c>
      <c r="DS506" s="96">
        <f>Miscelaneous!$D$4*Miscelaneous!$D$2^($CI506-1)</f>
        <v>1000</v>
      </c>
      <c r="DT506" s="333">
        <f t="shared" si="672"/>
        <v>1</v>
      </c>
      <c r="DU506" s="81">
        <v>1</v>
      </c>
      <c r="DV506" s="79">
        <f t="shared" si="692"/>
        <v>0</v>
      </c>
      <c r="DW506" s="79">
        <f t="shared" si="693"/>
        <v>0</v>
      </c>
      <c r="DX506" s="79">
        <f t="shared" si="694"/>
        <v>0</v>
      </c>
      <c r="DY506" s="79">
        <v>1</v>
      </c>
      <c r="DZ506" s="79">
        <f t="shared" si="695"/>
        <v>0</v>
      </c>
      <c r="EA506" s="79">
        <f t="shared" si="696"/>
        <v>0</v>
      </c>
      <c r="EB506" s="79">
        <f t="shared" si="697"/>
        <v>0</v>
      </c>
      <c r="EC506" s="79">
        <f t="shared" si="698"/>
        <v>0</v>
      </c>
      <c r="ED506" s="79">
        <v>1</v>
      </c>
      <c r="EE506" s="79">
        <v>1</v>
      </c>
      <c r="EF506" s="79">
        <f t="shared" si="699"/>
        <v>0</v>
      </c>
      <c r="EG506" s="79">
        <v>1</v>
      </c>
      <c r="EH506" s="79">
        <v>1</v>
      </c>
      <c r="EI506" s="79">
        <v>1</v>
      </c>
      <c r="EJ506" s="79">
        <v>1</v>
      </c>
      <c r="EK506" s="79">
        <v>1</v>
      </c>
      <c r="EL506" s="79">
        <v>1</v>
      </c>
      <c r="EM506" s="143">
        <f t="shared" si="700"/>
        <v>0</v>
      </c>
      <c r="EN506" s="143">
        <f t="shared" si="701"/>
        <v>0</v>
      </c>
      <c r="EO506" s="82">
        <f t="shared" si="702"/>
        <v>0</v>
      </c>
    </row>
    <row r="507" spans="1:145" x14ac:dyDescent="0.25">
      <c r="A507">
        <v>493</v>
      </c>
      <c r="B507" s="172" t="e">
        <f t="shared" si="673"/>
        <v>#N/A</v>
      </c>
      <c r="C507" s="121" t="e">
        <f t="shared" si="652"/>
        <v>#N/A</v>
      </c>
      <c r="D507" s="122" t="e">
        <f t="shared" si="653"/>
        <v>#N/A</v>
      </c>
      <c r="E507" s="122" t="e">
        <f t="shared" si="654"/>
        <v>#N/A</v>
      </c>
      <c r="F507" s="176" t="e">
        <f t="shared" si="655"/>
        <v>#N/A</v>
      </c>
      <c r="G507" s="121">
        <f t="shared" si="674"/>
        <v>208</v>
      </c>
      <c r="H507" s="176" t="e">
        <f t="shared" si="675"/>
        <v>#N/A</v>
      </c>
      <c r="I507" s="48">
        <v>1</v>
      </c>
      <c r="J507" s="39"/>
      <c r="K507" s="350">
        <v>1</v>
      </c>
      <c r="L507" s="34" t="e">
        <f t="shared" si="656"/>
        <v>#N/A</v>
      </c>
      <c r="M507" s="38" t="e">
        <f>(HLOOKUP(J507,'Construction Times'!$B$3:$W$34,L507+2,FALSE)*HLOOKUP("hq modifier",'Construction Times'!$W$3:$W$34,BS507+2,FALSE))*(1-$H$9)</f>
        <v>#N/A</v>
      </c>
      <c r="N507" s="443" t="e">
        <f t="shared" si="676"/>
        <v>#N/A</v>
      </c>
      <c r="O507" s="444"/>
      <c r="P507" s="447" t="e">
        <f t="shared" si="677"/>
        <v>#N/A</v>
      </c>
      <c r="Q507" s="448"/>
      <c r="R507" s="103">
        <f t="shared" si="703"/>
        <v>0</v>
      </c>
      <c r="S507" s="104">
        <f t="shared" si="703"/>
        <v>0</v>
      </c>
      <c r="T507" s="104">
        <f t="shared" si="704"/>
        <v>0</v>
      </c>
      <c r="U507" s="104">
        <f t="shared" si="704"/>
        <v>0</v>
      </c>
      <c r="V507" s="104">
        <f t="shared" si="704"/>
        <v>9.9999999999999995E-8</v>
      </c>
      <c r="W507" s="104">
        <f t="shared" si="704"/>
        <v>0</v>
      </c>
      <c r="X507" s="104">
        <f t="shared" si="722"/>
        <v>0</v>
      </c>
      <c r="Y507" s="104">
        <f t="shared" si="722"/>
        <v>9.9999999999999995E-8</v>
      </c>
      <c r="Z507" s="104">
        <f t="shared" si="722"/>
        <v>9.9999999999999995E-8</v>
      </c>
      <c r="AA507" s="105">
        <f t="shared" si="722"/>
        <v>9.9999999999999995E-8</v>
      </c>
      <c r="AB507" s="101" t="e">
        <f>$DT507*HLOOKUP($J507,'Construction Costs (timber)'!$B$1:$V$32,'Construction Planner'!$L507+2,FALSE)</f>
        <v>#N/A</v>
      </c>
      <c r="AC507" s="14" t="e">
        <f>$DT507*HLOOKUP($J507,'Construction Costs (clay)'!$B$1:$V$32,'Construction Planner'!$L507+2,FALSE)</f>
        <v>#N/A</v>
      </c>
      <c r="AD507" s="14" t="e">
        <f>$DT507*HLOOKUP($J507,'Construction Costs (iron)'!$B$1:$V$32,'Construction Planner'!$L507+2,FALSE)</f>
        <v>#N/A</v>
      </c>
      <c r="AE507" s="34" t="e">
        <f t="shared" si="713"/>
        <v>#N/A</v>
      </c>
      <c r="AF507" s="33" t="e">
        <f t="shared" si="657"/>
        <v>#N/A</v>
      </c>
      <c r="AG507" s="14" t="e">
        <f t="shared" si="658"/>
        <v>#N/A</v>
      </c>
      <c r="AH507" s="14" t="e">
        <f t="shared" si="659"/>
        <v>#N/A</v>
      </c>
      <c r="AI507" s="34" t="e">
        <f t="shared" si="714"/>
        <v>#N/A</v>
      </c>
      <c r="AJ507" s="49" t="e">
        <f t="shared" si="678"/>
        <v>#N/A</v>
      </c>
      <c r="AK507" s="49" t="e">
        <f t="shared" si="679"/>
        <v>#N/A</v>
      </c>
      <c r="AL507" s="49" t="e">
        <f t="shared" si="680"/>
        <v>#N/A</v>
      </c>
      <c r="AM507" s="25">
        <f t="shared" si="660"/>
        <v>30</v>
      </c>
      <c r="AN507" s="25">
        <f t="shared" si="661"/>
        <v>30</v>
      </c>
      <c r="AO507" s="25">
        <f t="shared" si="662"/>
        <v>30</v>
      </c>
      <c r="AP507" s="52" t="e">
        <f t="shared" si="681"/>
        <v>#N/A</v>
      </c>
      <c r="AQ507" s="53" t="e">
        <f t="shared" si="681"/>
        <v>#N/A</v>
      </c>
      <c r="AR507" s="54" t="e">
        <f t="shared" si="681"/>
        <v>#N/A</v>
      </c>
      <c r="AS507" s="316">
        <f t="shared" si="727"/>
        <v>0</v>
      </c>
      <c r="AT507" s="106">
        <f>_xlfn.IFNA($M507/VLOOKUP($BT507,'Unit information'!$A$2:$K$29,2,FALSE)*R507,0)*(1+$E$9)</f>
        <v>0</v>
      </c>
      <c r="AU507" s="107">
        <f>_xlfn.IFNA($M507/VLOOKUP($BT507,'Unit information'!$A$2:$K$29,3,FALSE)*S507,0)*(1+$E$9)</f>
        <v>0</v>
      </c>
      <c r="AV507" s="107">
        <f>_xlfn.IFNA($M507/VLOOKUP($BT507,'Unit information'!$A$2:$K$29,4,FALSE)*T507,0)*(1+$E$9)</f>
        <v>0</v>
      </c>
      <c r="AW507" s="107">
        <f>_xlfn.IFNA($M507/VLOOKUP($BT507,'Unit information'!$A$2:$K$29,5,FALSE)*U507,0)*(1+$E$9)</f>
        <v>0</v>
      </c>
      <c r="AX507" s="107">
        <f>_xlfn.IFNA($M507/VLOOKUP($BU507,'Unit information'!$A$2:$K$29,6,FALSE)*V507,0)*(1+$E$9)</f>
        <v>0</v>
      </c>
      <c r="AY507" s="107">
        <f>_xlfn.IFNA($M507/VLOOKUP($BU507,'Unit information'!$A$2:$K$29,7,FALSE)*W507,0)*(1+$E$9)</f>
        <v>0</v>
      </c>
      <c r="AZ507" s="107">
        <f>_xlfn.IFNA($M507/VLOOKUP($BU507,'Unit information'!$A$2:$K$29,8,FALSE)*X507,0)*(1+$E$9)</f>
        <v>0</v>
      </c>
      <c r="BA507" s="107">
        <f>_xlfn.IFNA($M507/VLOOKUP($BU507,'Unit information'!$A$2:$K$29,9,FALSE)*Y507,0)*(1+$E$9)</f>
        <v>0</v>
      </c>
      <c r="BB507" s="107">
        <f>_xlfn.IFNA($M507/VLOOKUP($BV507,'Unit information'!$A$2:$K$29,10,FALSE)*Z507,0)*(1+$E$9)</f>
        <v>0</v>
      </c>
      <c r="BC507" s="108">
        <f>_xlfn.IFNA($M507/VLOOKUP($BV507,'Unit information'!$A$2:$K$29,11,FALSE)*AA507,0)*(1+$E$9)</f>
        <v>0</v>
      </c>
      <c r="BD507" s="106">
        <f t="shared" si="663"/>
        <v>0</v>
      </c>
      <c r="BE507" s="107">
        <f t="shared" si="664"/>
        <v>0</v>
      </c>
      <c r="BF507" s="108">
        <f t="shared" si="665"/>
        <v>0</v>
      </c>
      <c r="BG507" s="25" t="e">
        <f t="shared" si="666"/>
        <v>#N/A</v>
      </c>
      <c r="BH507" s="25" t="e">
        <f t="shared" si="667"/>
        <v>#N/A</v>
      </c>
      <c r="BI507" s="25" t="e">
        <f t="shared" si="668"/>
        <v>#N/A</v>
      </c>
      <c r="BJ507" s="27" t="e">
        <f t="shared" si="669"/>
        <v>#N/A</v>
      </c>
      <c r="BK507" s="18" t="e">
        <f t="shared" si="670"/>
        <v>#N/A</v>
      </c>
      <c r="BL507" s="18" t="e">
        <f t="shared" si="671"/>
        <v>#N/A</v>
      </c>
      <c r="BM507" s="28" t="e">
        <f t="shared" si="716"/>
        <v>#N/A</v>
      </c>
      <c r="BN507" s="33">
        <f>HLOOKUP("maximum population",Miscelaneous!$C$1:$C$33,CH507+3,FALSE)</f>
        <v>240</v>
      </c>
      <c r="BO507" s="14">
        <f t="shared" si="682"/>
        <v>32</v>
      </c>
      <c r="BP507" s="14">
        <f t="shared" si="683"/>
        <v>0</v>
      </c>
      <c r="BQ507" s="14">
        <f t="shared" si="684"/>
        <v>208</v>
      </c>
      <c r="BR507" s="34" t="e">
        <f>HLOOKUP(J507,Villagers!$B$1:$V$33,L507+3,FALSE)-HLOOKUP(J507,Villagers!$B$1:$V$33,L507+2,FALSE)</f>
        <v>#N/A</v>
      </c>
      <c r="BS507" s="49">
        <f t="shared" si="724"/>
        <v>1</v>
      </c>
      <c r="BT507" s="50">
        <f t="shared" si="724"/>
        <v>0</v>
      </c>
      <c r="BU507" s="50">
        <f t="shared" si="724"/>
        <v>0</v>
      </c>
      <c r="BV507" s="50">
        <f t="shared" si="724"/>
        <v>0</v>
      </c>
      <c r="BW507" s="50">
        <f t="shared" si="724"/>
        <v>0</v>
      </c>
      <c r="BX507" s="50">
        <f t="shared" si="724"/>
        <v>0</v>
      </c>
      <c r="BY507" s="50">
        <f t="shared" si="724"/>
        <v>0</v>
      </c>
      <c r="BZ507" s="50">
        <f t="shared" si="724"/>
        <v>0</v>
      </c>
      <c r="CA507" s="50">
        <f t="shared" si="724"/>
        <v>0</v>
      </c>
      <c r="CB507" s="50">
        <f t="shared" si="724"/>
        <v>1</v>
      </c>
      <c r="CC507" s="50">
        <f t="shared" si="724"/>
        <v>0</v>
      </c>
      <c r="CD507" s="50">
        <f t="shared" si="724"/>
        <v>0</v>
      </c>
      <c r="CE507" s="50">
        <f t="shared" si="724"/>
        <v>1</v>
      </c>
      <c r="CF507" s="50">
        <f t="shared" si="724"/>
        <v>1</v>
      </c>
      <c r="CG507" s="50">
        <f t="shared" si="724"/>
        <v>1</v>
      </c>
      <c r="CH507" s="50">
        <f t="shared" si="724"/>
        <v>1</v>
      </c>
      <c r="CI507" s="50">
        <f t="shared" si="724"/>
        <v>1</v>
      </c>
      <c r="CJ507" s="50">
        <f t="shared" si="724"/>
        <v>1</v>
      </c>
      <c r="CK507" s="50">
        <f t="shared" si="725"/>
        <v>0</v>
      </c>
      <c r="CL507" s="50">
        <f t="shared" si="726"/>
        <v>0</v>
      </c>
      <c r="CM507" s="51">
        <f t="shared" si="723"/>
        <v>0</v>
      </c>
      <c r="CN507" s="33">
        <f>ROUND(IF(BS507=0,0,HLOOKUP(BS$14,Villagers!$B$1:$V$33,BS507+3,FALSE)),)</f>
        <v>5</v>
      </c>
      <c r="CO507" s="14">
        <f>ROUND(IF(BT507=0,0,HLOOKUP(BT$14,Villagers!$B$1:$V$33,BT507+3,FALSE)),)</f>
        <v>0</v>
      </c>
      <c r="CP507" s="14">
        <f>ROUND(IF(BU507=0,0,HLOOKUP(BU$14,Villagers!$B$1:$V$33,BU507+3,FALSE)),)</f>
        <v>0</v>
      </c>
      <c r="CQ507" s="14">
        <f>ROUND(IF(BV507=0,0,HLOOKUP(BV$14,Villagers!$B$1:$V$33,BV507+3,FALSE)),)</f>
        <v>0</v>
      </c>
      <c r="CR507" s="14">
        <f>ROUND(IF(BW507=0,0,HLOOKUP(BW$14,Villagers!$B$1:$V$33,BW507+3,FALSE)),)</f>
        <v>0</v>
      </c>
      <c r="CS507" s="14">
        <f>ROUND(IF(BX507=0,0,HLOOKUP(BX$14,Villagers!$B$1:$V$33,BX507+3,FALSE)),)</f>
        <v>0</v>
      </c>
      <c r="CT507" s="14">
        <f>ROUND(IF(BY507=0,0,HLOOKUP(BY$14,Villagers!$B$1:$V$33,BY507+3,FALSE)),)</f>
        <v>0</v>
      </c>
      <c r="CU507" s="14">
        <f>ROUND(IF(BZ507=0,0,HLOOKUP(BZ$14,Villagers!$B$1:$V$33,BZ507+3,FALSE)),)</f>
        <v>0</v>
      </c>
      <c r="CV507" s="14">
        <f>ROUND(IF(CA507=0,0,HLOOKUP(CA$14,Villagers!$B$1:$V$33,CA507+3,FALSE)),)</f>
        <v>0</v>
      </c>
      <c r="CW507" s="14">
        <f>ROUND(IF(CB507=0,0,HLOOKUP(CB$14,Villagers!$B$1:$V$33,CB507+3,FALSE)),)</f>
        <v>0</v>
      </c>
      <c r="CX507" s="14">
        <f>ROUND(IF(CC507=0,0,HLOOKUP(CC$14,Villagers!$B$1:$V$33,CC507+3,FALSE)),)</f>
        <v>0</v>
      </c>
      <c r="CY507" s="14">
        <f>ROUND(IF(CD507=0,0,HLOOKUP(CD$14,Villagers!$B$1:$V$33,CD507+3,FALSE)),)</f>
        <v>0</v>
      </c>
      <c r="CZ507" s="14">
        <f>ROUND(IF(CE507=0,0,HLOOKUP(CE$14,Villagers!$B$1:$V$33,CE507+3,FALSE)),)</f>
        <v>5</v>
      </c>
      <c r="DA507" s="14">
        <f>ROUND(IF(CF507=0,0,HLOOKUP(CF$14,Villagers!$B$1:$V$33,CF507+3,FALSE)),)</f>
        <v>10</v>
      </c>
      <c r="DB507" s="14">
        <f>ROUND(IF(CG507=0,0,HLOOKUP(CG$14,Villagers!$B$1:$V$33,CG507+3,FALSE)),)</f>
        <v>10</v>
      </c>
      <c r="DC507" s="14">
        <f>ROUND(IF(CH507=0,0,HLOOKUP(CH$14,Villagers!$B$1:$V$33,CH507+3,FALSE)),)</f>
        <v>0</v>
      </c>
      <c r="DD507" s="14">
        <f>ROUND(IF(CI507=0,0,HLOOKUP(CI$14,Villagers!$B$1:$V$33,CI507+3,FALSE)),)</f>
        <v>0</v>
      </c>
      <c r="DE507" s="14">
        <f>ROUND(IF(CJ507=0,0,HLOOKUP(CJ$14,Villagers!$B$1:$V$33,CJ507+3,FALSE)),)</f>
        <v>2</v>
      </c>
      <c r="DF507" s="370">
        <f>ROUND(IF(CK507=0,0,HLOOKUP(CK$14,Villagers!$B$1:$V$33,CK507+3,FALSE)),)</f>
        <v>0</v>
      </c>
      <c r="DG507" s="370">
        <f>ROUND(IF(CL507=0,0,HLOOKUP(CL$14,Villagers!$B$1:$V$33,CL507+3,FALSE)),)</f>
        <v>0</v>
      </c>
      <c r="DH507" s="34">
        <f>ROUND(IF(CM507=0,0,HLOOKUP(CM$14,Villagers!$B$1:$V$33,CM507+3,FALSE)),)</f>
        <v>0</v>
      </c>
      <c r="DI507" s="109">
        <f t="shared" si="705"/>
        <v>0</v>
      </c>
      <c r="DJ507" s="50">
        <f t="shared" si="706"/>
        <v>0</v>
      </c>
      <c r="DK507" s="50">
        <f t="shared" si="707"/>
        <v>0</v>
      </c>
      <c r="DL507" s="50">
        <f t="shared" si="708"/>
        <v>0</v>
      </c>
      <c r="DM507" s="50">
        <f t="shared" si="709"/>
        <v>0</v>
      </c>
      <c r="DN507" s="50">
        <f t="shared" si="710"/>
        <v>0</v>
      </c>
      <c r="DO507" s="50">
        <f t="shared" si="711"/>
        <v>0</v>
      </c>
      <c r="DP507" s="50">
        <f t="shared" si="712"/>
        <v>0</v>
      </c>
      <c r="DQ507" s="50">
        <f t="shared" si="690"/>
        <v>0</v>
      </c>
      <c r="DR507" s="50">
        <f t="shared" si="691"/>
        <v>0</v>
      </c>
      <c r="DS507" s="96">
        <f>Miscelaneous!$D$4*Miscelaneous!$D$2^($CI507-1)</f>
        <v>1000</v>
      </c>
      <c r="DT507" s="333">
        <f t="shared" si="672"/>
        <v>1</v>
      </c>
      <c r="DU507" s="81">
        <v>1</v>
      </c>
      <c r="DV507" s="79">
        <f t="shared" si="692"/>
        <v>0</v>
      </c>
      <c r="DW507" s="79">
        <f t="shared" si="693"/>
        <v>0</v>
      </c>
      <c r="DX507" s="79">
        <f t="shared" si="694"/>
        <v>0</v>
      </c>
      <c r="DY507" s="79">
        <v>1</v>
      </c>
      <c r="DZ507" s="79">
        <f t="shared" si="695"/>
        <v>0</v>
      </c>
      <c r="EA507" s="79">
        <f t="shared" si="696"/>
        <v>0</v>
      </c>
      <c r="EB507" s="79">
        <f t="shared" si="697"/>
        <v>0</v>
      </c>
      <c r="EC507" s="79">
        <f t="shared" si="698"/>
        <v>0</v>
      </c>
      <c r="ED507" s="79">
        <v>1</v>
      </c>
      <c r="EE507" s="79">
        <v>1</v>
      </c>
      <c r="EF507" s="79">
        <f t="shared" si="699"/>
        <v>0</v>
      </c>
      <c r="EG507" s="79">
        <v>1</v>
      </c>
      <c r="EH507" s="79">
        <v>1</v>
      </c>
      <c r="EI507" s="79">
        <v>1</v>
      </c>
      <c r="EJ507" s="79">
        <v>1</v>
      </c>
      <c r="EK507" s="79">
        <v>1</v>
      </c>
      <c r="EL507" s="79">
        <v>1</v>
      </c>
      <c r="EM507" s="143">
        <f t="shared" si="700"/>
        <v>0</v>
      </c>
      <c r="EN507" s="143">
        <f t="shared" si="701"/>
        <v>0</v>
      </c>
      <c r="EO507" s="82">
        <f t="shared" si="702"/>
        <v>0</v>
      </c>
    </row>
    <row r="508" spans="1:145" x14ac:dyDescent="0.25">
      <c r="A508">
        <v>494</v>
      </c>
      <c r="B508" s="172" t="e">
        <f t="shared" si="673"/>
        <v>#N/A</v>
      </c>
      <c r="C508" s="121" t="e">
        <f t="shared" si="652"/>
        <v>#N/A</v>
      </c>
      <c r="D508" s="122" t="e">
        <f t="shared" si="653"/>
        <v>#N/A</v>
      </c>
      <c r="E508" s="122" t="e">
        <f t="shared" si="654"/>
        <v>#N/A</v>
      </c>
      <c r="F508" s="176" t="e">
        <f t="shared" si="655"/>
        <v>#N/A</v>
      </c>
      <c r="G508" s="121">
        <f t="shared" si="674"/>
        <v>208</v>
      </c>
      <c r="H508" s="176" t="e">
        <f t="shared" si="675"/>
        <v>#N/A</v>
      </c>
      <c r="I508" s="48">
        <v>1</v>
      </c>
      <c r="J508" s="39"/>
      <c r="K508" s="350">
        <v>1</v>
      </c>
      <c r="L508" s="34" t="e">
        <f t="shared" si="656"/>
        <v>#N/A</v>
      </c>
      <c r="M508" s="38" t="e">
        <f>(HLOOKUP(J508,'Construction Times'!$B$3:$W$34,L508+2,FALSE)*HLOOKUP("hq modifier",'Construction Times'!$W$3:$W$34,BS508+2,FALSE))*(1-$H$9)</f>
        <v>#N/A</v>
      </c>
      <c r="N508" s="443" t="e">
        <f t="shared" si="676"/>
        <v>#N/A</v>
      </c>
      <c r="O508" s="444"/>
      <c r="P508" s="447" t="e">
        <f t="shared" si="677"/>
        <v>#N/A</v>
      </c>
      <c r="Q508" s="448"/>
      <c r="R508" s="103">
        <f t="shared" si="703"/>
        <v>0</v>
      </c>
      <c r="S508" s="104">
        <f t="shared" si="703"/>
        <v>0</v>
      </c>
      <c r="T508" s="104">
        <f t="shared" si="704"/>
        <v>0</v>
      </c>
      <c r="U508" s="104">
        <f t="shared" si="704"/>
        <v>0</v>
      </c>
      <c r="V508" s="104">
        <f t="shared" si="704"/>
        <v>9.9999999999999995E-8</v>
      </c>
      <c r="W508" s="104">
        <f t="shared" si="704"/>
        <v>0</v>
      </c>
      <c r="X508" s="104">
        <f t="shared" si="722"/>
        <v>0</v>
      </c>
      <c r="Y508" s="104">
        <f t="shared" si="722"/>
        <v>9.9999999999999995E-8</v>
      </c>
      <c r="Z508" s="104">
        <f t="shared" si="722"/>
        <v>9.9999999999999995E-8</v>
      </c>
      <c r="AA508" s="105">
        <f t="shared" si="722"/>
        <v>9.9999999999999995E-8</v>
      </c>
      <c r="AB508" s="101" t="e">
        <f>$DT508*HLOOKUP($J508,'Construction Costs (timber)'!$B$1:$V$32,'Construction Planner'!$L508+2,FALSE)</f>
        <v>#N/A</v>
      </c>
      <c r="AC508" s="14" t="e">
        <f>$DT508*HLOOKUP($J508,'Construction Costs (clay)'!$B$1:$V$32,'Construction Planner'!$L508+2,FALSE)</f>
        <v>#N/A</v>
      </c>
      <c r="AD508" s="14" t="e">
        <f>$DT508*HLOOKUP($J508,'Construction Costs (iron)'!$B$1:$V$32,'Construction Planner'!$L508+2,FALSE)</f>
        <v>#N/A</v>
      </c>
      <c r="AE508" s="34" t="e">
        <f t="shared" si="713"/>
        <v>#N/A</v>
      </c>
      <c r="AF508" s="33" t="e">
        <f t="shared" si="657"/>
        <v>#N/A</v>
      </c>
      <c r="AG508" s="14" t="e">
        <f t="shared" si="658"/>
        <v>#N/A</v>
      </c>
      <c r="AH508" s="14" t="e">
        <f t="shared" si="659"/>
        <v>#N/A</v>
      </c>
      <c r="AI508" s="34" t="e">
        <f t="shared" si="714"/>
        <v>#N/A</v>
      </c>
      <c r="AJ508" s="49" t="e">
        <f t="shared" si="678"/>
        <v>#N/A</v>
      </c>
      <c r="AK508" s="49" t="e">
        <f t="shared" si="679"/>
        <v>#N/A</v>
      </c>
      <c r="AL508" s="49" t="e">
        <f t="shared" si="680"/>
        <v>#N/A</v>
      </c>
      <c r="AM508" s="25">
        <f t="shared" si="660"/>
        <v>30</v>
      </c>
      <c r="AN508" s="25">
        <f t="shared" si="661"/>
        <v>30</v>
      </c>
      <c r="AO508" s="25">
        <f t="shared" si="662"/>
        <v>30</v>
      </c>
      <c r="AP508" s="52" t="e">
        <f t="shared" si="681"/>
        <v>#N/A</v>
      </c>
      <c r="AQ508" s="53" t="e">
        <f t="shared" si="681"/>
        <v>#N/A</v>
      </c>
      <c r="AR508" s="54" t="e">
        <f t="shared" si="681"/>
        <v>#N/A</v>
      </c>
      <c r="AS508" s="316">
        <f t="shared" si="727"/>
        <v>0</v>
      </c>
      <c r="AT508" s="106">
        <f>_xlfn.IFNA($M508/VLOOKUP($BT508,'Unit information'!$A$2:$K$29,2,FALSE)*R508,0)*(1+$E$9)</f>
        <v>0</v>
      </c>
      <c r="AU508" s="107">
        <f>_xlfn.IFNA($M508/VLOOKUP($BT508,'Unit information'!$A$2:$K$29,3,FALSE)*S508,0)*(1+$E$9)</f>
        <v>0</v>
      </c>
      <c r="AV508" s="107">
        <f>_xlfn.IFNA($M508/VLOOKUP($BT508,'Unit information'!$A$2:$K$29,4,FALSE)*T508,0)*(1+$E$9)</f>
        <v>0</v>
      </c>
      <c r="AW508" s="107">
        <f>_xlfn.IFNA($M508/VLOOKUP($BT508,'Unit information'!$A$2:$K$29,5,FALSE)*U508,0)*(1+$E$9)</f>
        <v>0</v>
      </c>
      <c r="AX508" s="107">
        <f>_xlfn.IFNA($M508/VLOOKUP($BU508,'Unit information'!$A$2:$K$29,6,FALSE)*V508,0)*(1+$E$9)</f>
        <v>0</v>
      </c>
      <c r="AY508" s="107">
        <f>_xlfn.IFNA($M508/VLOOKUP($BU508,'Unit information'!$A$2:$K$29,7,FALSE)*W508,0)*(1+$E$9)</f>
        <v>0</v>
      </c>
      <c r="AZ508" s="107">
        <f>_xlfn.IFNA($M508/VLOOKUP($BU508,'Unit information'!$A$2:$K$29,8,FALSE)*X508,0)*(1+$E$9)</f>
        <v>0</v>
      </c>
      <c r="BA508" s="107">
        <f>_xlfn.IFNA($M508/VLOOKUP($BU508,'Unit information'!$A$2:$K$29,9,FALSE)*Y508,0)*(1+$E$9)</f>
        <v>0</v>
      </c>
      <c r="BB508" s="107">
        <f>_xlfn.IFNA($M508/VLOOKUP($BV508,'Unit information'!$A$2:$K$29,10,FALSE)*Z508,0)*(1+$E$9)</f>
        <v>0</v>
      </c>
      <c r="BC508" s="108">
        <f>_xlfn.IFNA($M508/VLOOKUP($BV508,'Unit information'!$A$2:$K$29,11,FALSE)*AA508,0)*(1+$E$9)</f>
        <v>0</v>
      </c>
      <c r="BD508" s="106">
        <f t="shared" si="663"/>
        <v>0</v>
      </c>
      <c r="BE508" s="107">
        <f t="shared" si="664"/>
        <v>0</v>
      </c>
      <c r="BF508" s="108">
        <f t="shared" si="665"/>
        <v>0</v>
      </c>
      <c r="BG508" s="25" t="e">
        <f t="shared" si="666"/>
        <v>#N/A</v>
      </c>
      <c r="BH508" s="25" t="e">
        <f t="shared" si="667"/>
        <v>#N/A</v>
      </c>
      <c r="BI508" s="25" t="e">
        <f t="shared" si="668"/>
        <v>#N/A</v>
      </c>
      <c r="BJ508" s="27" t="e">
        <f t="shared" si="669"/>
        <v>#N/A</v>
      </c>
      <c r="BK508" s="18" t="e">
        <f t="shared" si="670"/>
        <v>#N/A</v>
      </c>
      <c r="BL508" s="18" t="e">
        <f t="shared" si="671"/>
        <v>#N/A</v>
      </c>
      <c r="BM508" s="28" t="e">
        <f t="shared" si="716"/>
        <v>#N/A</v>
      </c>
      <c r="BN508" s="33">
        <f>HLOOKUP("maximum population",Miscelaneous!$C$1:$C$33,CH508+3,FALSE)</f>
        <v>240</v>
      </c>
      <c r="BO508" s="14">
        <f t="shared" si="682"/>
        <v>32</v>
      </c>
      <c r="BP508" s="14">
        <f t="shared" si="683"/>
        <v>0</v>
      </c>
      <c r="BQ508" s="14">
        <f t="shared" si="684"/>
        <v>208</v>
      </c>
      <c r="BR508" s="34" t="e">
        <f>HLOOKUP(J508,Villagers!$B$1:$V$33,L508+3,FALSE)-HLOOKUP(J508,Villagers!$B$1:$V$33,L508+2,FALSE)</f>
        <v>#N/A</v>
      </c>
      <c r="BS508" s="49">
        <f t="shared" si="724"/>
        <v>1</v>
      </c>
      <c r="BT508" s="50">
        <f t="shared" si="724"/>
        <v>0</v>
      </c>
      <c r="BU508" s="50">
        <f t="shared" si="724"/>
        <v>0</v>
      </c>
      <c r="BV508" s="50">
        <f t="shared" si="724"/>
        <v>0</v>
      </c>
      <c r="BW508" s="50">
        <f t="shared" si="724"/>
        <v>0</v>
      </c>
      <c r="BX508" s="50">
        <f t="shared" si="724"/>
        <v>0</v>
      </c>
      <c r="BY508" s="50">
        <f t="shared" si="724"/>
        <v>0</v>
      </c>
      <c r="BZ508" s="50">
        <f t="shared" si="724"/>
        <v>0</v>
      </c>
      <c r="CA508" s="50">
        <f t="shared" si="724"/>
        <v>0</v>
      </c>
      <c r="CB508" s="50">
        <f t="shared" si="724"/>
        <v>1</v>
      </c>
      <c r="CC508" s="50">
        <f t="shared" si="724"/>
        <v>0</v>
      </c>
      <c r="CD508" s="50">
        <f t="shared" si="724"/>
        <v>0</v>
      </c>
      <c r="CE508" s="50">
        <f t="shared" si="724"/>
        <v>1</v>
      </c>
      <c r="CF508" s="50">
        <f t="shared" si="724"/>
        <v>1</v>
      </c>
      <c r="CG508" s="50">
        <f t="shared" si="724"/>
        <v>1</v>
      </c>
      <c r="CH508" s="50">
        <f t="shared" si="724"/>
        <v>1</v>
      </c>
      <c r="CI508" s="50">
        <f t="shared" si="724"/>
        <v>1</v>
      </c>
      <c r="CJ508" s="50">
        <f t="shared" si="724"/>
        <v>1</v>
      </c>
      <c r="CK508" s="50">
        <f t="shared" si="725"/>
        <v>0</v>
      </c>
      <c r="CL508" s="50">
        <f t="shared" si="726"/>
        <v>0</v>
      </c>
      <c r="CM508" s="51">
        <f t="shared" si="723"/>
        <v>0</v>
      </c>
      <c r="CN508" s="33">
        <f>ROUND(IF(BS508=0,0,HLOOKUP(BS$14,Villagers!$B$1:$V$33,BS508+3,FALSE)),)</f>
        <v>5</v>
      </c>
      <c r="CO508" s="14">
        <f>ROUND(IF(BT508=0,0,HLOOKUP(BT$14,Villagers!$B$1:$V$33,BT508+3,FALSE)),)</f>
        <v>0</v>
      </c>
      <c r="CP508" s="14">
        <f>ROUND(IF(BU508=0,0,HLOOKUP(BU$14,Villagers!$B$1:$V$33,BU508+3,FALSE)),)</f>
        <v>0</v>
      </c>
      <c r="CQ508" s="14">
        <f>ROUND(IF(BV508=0,0,HLOOKUP(BV$14,Villagers!$B$1:$V$33,BV508+3,FALSE)),)</f>
        <v>0</v>
      </c>
      <c r="CR508" s="14">
        <f>ROUND(IF(BW508=0,0,HLOOKUP(BW$14,Villagers!$B$1:$V$33,BW508+3,FALSE)),)</f>
        <v>0</v>
      </c>
      <c r="CS508" s="14">
        <f>ROUND(IF(BX508=0,0,HLOOKUP(BX$14,Villagers!$B$1:$V$33,BX508+3,FALSE)),)</f>
        <v>0</v>
      </c>
      <c r="CT508" s="14">
        <f>ROUND(IF(BY508=0,0,HLOOKUP(BY$14,Villagers!$B$1:$V$33,BY508+3,FALSE)),)</f>
        <v>0</v>
      </c>
      <c r="CU508" s="14">
        <f>ROUND(IF(BZ508=0,0,HLOOKUP(BZ$14,Villagers!$B$1:$V$33,BZ508+3,FALSE)),)</f>
        <v>0</v>
      </c>
      <c r="CV508" s="14">
        <f>ROUND(IF(CA508=0,0,HLOOKUP(CA$14,Villagers!$B$1:$V$33,CA508+3,FALSE)),)</f>
        <v>0</v>
      </c>
      <c r="CW508" s="14">
        <f>ROUND(IF(CB508=0,0,HLOOKUP(CB$14,Villagers!$B$1:$V$33,CB508+3,FALSE)),)</f>
        <v>0</v>
      </c>
      <c r="CX508" s="14">
        <f>ROUND(IF(CC508=0,0,HLOOKUP(CC$14,Villagers!$B$1:$V$33,CC508+3,FALSE)),)</f>
        <v>0</v>
      </c>
      <c r="CY508" s="14">
        <f>ROUND(IF(CD508=0,0,HLOOKUP(CD$14,Villagers!$B$1:$V$33,CD508+3,FALSE)),)</f>
        <v>0</v>
      </c>
      <c r="CZ508" s="14">
        <f>ROUND(IF(CE508=0,0,HLOOKUP(CE$14,Villagers!$B$1:$V$33,CE508+3,FALSE)),)</f>
        <v>5</v>
      </c>
      <c r="DA508" s="14">
        <f>ROUND(IF(CF508=0,0,HLOOKUP(CF$14,Villagers!$B$1:$V$33,CF508+3,FALSE)),)</f>
        <v>10</v>
      </c>
      <c r="DB508" s="14">
        <f>ROUND(IF(CG508=0,0,HLOOKUP(CG$14,Villagers!$B$1:$V$33,CG508+3,FALSE)),)</f>
        <v>10</v>
      </c>
      <c r="DC508" s="14">
        <f>ROUND(IF(CH508=0,0,HLOOKUP(CH$14,Villagers!$B$1:$V$33,CH508+3,FALSE)),)</f>
        <v>0</v>
      </c>
      <c r="DD508" s="14">
        <f>ROUND(IF(CI508=0,0,HLOOKUP(CI$14,Villagers!$B$1:$V$33,CI508+3,FALSE)),)</f>
        <v>0</v>
      </c>
      <c r="DE508" s="14">
        <f>ROUND(IF(CJ508=0,0,HLOOKUP(CJ$14,Villagers!$B$1:$V$33,CJ508+3,FALSE)),)</f>
        <v>2</v>
      </c>
      <c r="DF508" s="370">
        <f>ROUND(IF(CK508=0,0,HLOOKUP(CK$14,Villagers!$B$1:$V$33,CK508+3,FALSE)),)</f>
        <v>0</v>
      </c>
      <c r="DG508" s="370">
        <f>ROUND(IF(CL508=0,0,HLOOKUP(CL$14,Villagers!$B$1:$V$33,CL508+3,FALSE)),)</f>
        <v>0</v>
      </c>
      <c r="DH508" s="34">
        <f>ROUND(IF(CM508=0,0,HLOOKUP(CM$14,Villagers!$B$1:$V$33,CM508+3,FALSE)),)</f>
        <v>0</v>
      </c>
      <c r="DI508" s="109">
        <f t="shared" si="705"/>
        <v>0</v>
      </c>
      <c r="DJ508" s="50">
        <f t="shared" si="706"/>
        <v>0</v>
      </c>
      <c r="DK508" s="50">
        <f t="shared" si="707"/>
        <v>0</v>
      </c>
      <c r="DL508" s="50">
        <f t="shared" si="708"/>
        <v>0</v>
      </c>
      <c r="DM508" s="50">
        <f t="shared" si="709"/>
        <v>0</v>
      </c>
      <c r="DN508" s="50">
        <f t="shared" si="710"/>
        <v>0</v>
      </c>
      <c r="DO508" s="50">
        <f t="shared" si="711"/>
        <v>0</v>
      </c>
      <c r="DP508" s="50">
        <f t="shared" si="712"/>
        <v>0</v>
      </c>
      <c r="DQ508" s="50">
        <f t="shared" si="690"/>
        <v>0</v>
      </c>
      <c r="DR508" s="50">
        <f t="shared" si="691"/>
        <v>0</v>
      </c>
      <c r="DS508" s="96">
        <f>Miscelaneous!$D$4*Miscelaneous!$D$2^($CI508-1)</f>
        <v>1000</v>
      </c>
      <c r="DT508" s="333">
        <f t="shared" si="672"/>
        <v>1</v>
      </c>
      <c r="DU508" s="81">
        <v>1</v>
      </c>
      <c r="DV508" s="79">
        <f t="shared" si="692"/>
        <v>0</v>
      </c>
      <c r="DW508" s="79">
        <f t="shared" si="693"/>
        <v>0</v>
      </c>
      <c r="DX508" s="79">
        <f t="shared" si="694"/>
        <v>0</v>
      </c>
      <c r="DY508" s="79">
        <v>1</v>
      </c>
      <c r="DZ508" s="79">
        <f t="shared" si="695"/>
        <v>0</v>
      </c>
      <c r="EA508" s="79">
        <f t="shared" si="696"/>
        <v>0</v>
      </c>
      <c r="EB508" s="79">
        <f t="shared" si="697"/>
        <v>0</v>
      </c>
      <c r="EC508" s="79">
        <f t="shared" si="698"/>
        <v>0</v>
      </c>
      <c r="ED508" s="79">
        <v>1</v>
      </c>
      <c r="EE508" s="79">
        <v>1</v>
      </c>
      <c r="EF508" s="79">
        <f t="shared" si="699"/>
        <v>0</v>
      </c>
      <c r="EG508" s="79">
        <v>1</v>
      </c>
      <c r="EH508" s="79">
        <v>1</v>
      </c>
      <c r="EI508" s="79">
        <v>1</v>
      </c>
      <c r="EJ508" s="79">
        <v>1</v>
      </c>
      <c r="EK508" s="79">
        <v>1</v>
      </c>
      <c r="EL508" s="79">
        <v>1</v>
      </c>
      <c r="EM508" s="143">
        <f t="shared" si="700"/>
        <v>0</v>
      </c>
      <c r="EN508" s="143">
        <f t="shared" si="701"/>
        <v>0</v>
      </c>
      <c r="EO508" s="82">
        <f t="shared" si="702"/>
        <v>0</v>
      </c>
    </row>
    <row r="509" spans="1:145" ht="15.75" thickBot="1" x14ac:dyDescent="0.3">
      <c r="A509">
        <v>495</v>
      </c>
      <c r="B509" s="174" t="e">
        <f t="shared" si="673"/>
        <v>#N/A</v>
      </c>
      <c r="C509" s="121" t="e">
        <f t="shared" si="652"/>
        <v>#N/A</v>
      </c>
      <c r="D509" s="122" t="e">
        <f t="shared" si="653"/>
        <v>#N/A</v>
      </c>
      <c r="E509" s="122" t="e">
        <f t="shared" si="654"/>
        <v>#N/A</v>
      </c>
      <c r="F509" s="179" t="e">
        <f t="shared" si="655"/>
        <v>#N/A</v>
      </c>
      <c r="G509" s="177">
        <f t="shared" si="674"/>
        <v>240</v>
      </c>
      <c r="H509" s="176" t="e">
        <f t="shared" si="675"/>
        <v>#N/A</v>
      </c>
      <c r="I509" s="48">
        <v>1</v>
      </c>
      <c r="J509" s="39"/>
      <c r="K509" s="350">
        <v>1</v>
      </c>
      <c r="L509" s="34" t="e">
        <f t="shared" si="656"/>
        <v>#N/A</v>
      </c>
      <c r="M509" s="38" t="e">
        <f>(HLOOKUP(J509,'Construction Times'!$B$3:$W$34,L509+2,FALSE)*HLOOKUP("hq modifier",'Construction Times'!$W$3:$W$34,BS509+2,FALSE))*(1-$H$9)</f>
        <v>#N/A</v>
      </c>
      <c r="N509" s="443" t="e">
        <f t="shared" si="676"/>
        <v>#N/A</v>
      </c>
      <c r="O509" s="444"/>
      <c r="P509" s="447" t="e">
        <f t="shared" si="677"/>
        <v>#N/A</v>
      </c>
      <c r="Q509" s="448"/>
      <c r="R509" s="103">
        <f t="shared" si="703"/>
        <v>0</v>
      </c>
      <c r="S509" s="104">
        <f t="shared" si="703"/>
        <v>0</v>
      </c>
      <c r="T509" s="104">
        <f t="shared" si="704"/>
        <v>0</v>
      </c>
      <c r="U509" s="104">
        <f t="shared" si="704"/>
        <v>0</v>
      </c>
      <c r="V509" s="104">
        <f t="shared" si="704"/>
        <v>9.9999999999999995E-8</v>
      </c>
      <c r="W509" s="104">
        <f t="shared" si="704"/>
        <v>0</v>
      </c>
      <c r="X509" s="104">
        <f t="shared" si="722"/>
        <v>0</v>
      </c>
      <c r="Y509" s="104">
        <f t="shared" si="722"/>
        <v>9.9999999999999995E-8</v>
      </c>
      <c r="Z509" s="104">
        <f t="shared" si="722"/>
        <v>9.9999999999999995E-8</v>
      </c>
      <c r="AA509" s="105">
        <f t="shared" si="722"/>
        <v>9.9999999999999995E-8</v>
      </c>
      <c r="AB509" s="101" t="e">
        <f>$DT509*HLOOKUP($J509,'Construction Costs (timber)'!$B$1:$V$32,'Construction Planner'!$L509+2,FALSE)</f>
        <v>#N/A</v>
      </c>
      <c r="AC509" s="14" t="e">
        <f>$DT509*HLOOKUP($J509,'Construction Costs (clay)'!$B$1:$V$32,'Construction Planner'!$L509+2,FALSE)</f>
        <v>#N/A</v>
      </c>
      <c r="AD509" s="14" t="e">
        <f>$DT509*HLOOKUP($J509,'Construction Costs (iron)'!$B$1:$V$32,'Construction Planner'!$L509+2,FALSE)</f>
        <v>#N/A</v>
      </c>
      <c r="AE509" s="37" t="e">
        <f t="shared" si="713"/>
        <v>#N/A</v>
      </c>
      <c r="AF509" s="35" t="e">
        <f t="shared" si="657"/>
        <v>#N/A</v>
      </c>
      <c r="AG509" s="36" t="e">
        <f t="shared" si="658"/>
        <v>#N/A</v>
      </c>
      <c r="AH509" s="36" t="e">
        <f t="shared" si="659"/>
        <v>#N/A</v>
      </c>
      <c r="AI509" s="37" t="e">
        <f t="shared" si="714"/>
        <v>#N/A</v>
      </c>
      <c r="AJ509" s="49" t="e">
        <f t="shared" si="678"/>
        <v>#N/A</v>
      </c>
      <c r="AK509" s="49" t="e">
        <f t="shared" si="679"/>
        <v>#N/A</v>
      </c>
      <c r="AL509" s="49" t="e">
        <f t="shared" si="680"/>
        <v>#N/A</v>
      </c>
      <c r="AM509" s="25">
        <f t="shared" si="660"/>
        <v>30</v>
      </c>
      <c r="AN509" s="25">
        <f t="shared" si="661"/>
        <v>30</v>
      </c>
      <c r="AO509" s="25">
        <f t="shared" si="662"/>
        <v>30</v>
      </c>
      <c r="AP509" s="52" t="e">
        <f t="shared" si="681"/>
        <v>#N/A</v>
      </c>
      <c r="AQ509" s="53" t="e">
        <f t="shared" si="681"/>
        <v>#N/A</v>
      </c>
      <c r="AR509" s="54" t="e">
        <f t="shared" si="681"/>
        <v>#N/A</v>
      </c>
      <c r="AS509" s="316">
        <f t="shared" si="727"/>
        <v>0</v>
      </c>
      <c r="AT509" s="106">
        <f>_xlfn.IFNA($M509/VLOOKUP($BT509,'Unit information'!$A$2:$K$29,2,FALSE)*R509,0)*(1+$E$9)</f>
        <v>0</v>
      </c>
      <c r="AU509" s="107">
        <f>_xlfn.IFNA($M509/VLOOKUP($BT509,'Unit information'!$A$2:$K$29,3,FALSE)*S509,0)*(1+$E$9)</f>
        <v>0</v>
      </c>
      <c r="AV509" s="107">
        <f>_xlfn.IFNA($M509/VLOOKUP($BT509,'Unit information'!$A$2:$K$29,4,FALSE)*T509,0)*(1+$E$9)</f>
        <v>0</v>
      </c>
      <c r="AW509" s="107">
        <f>_xlfn.IFNA($M509/VLOOKUP($BT509,'Unit information'!$A$2:$K$29,5,FALSE)*U509,0)*(1+$E$9)</f>
        <v>0</v>
      </c>
      <c r="AX509" s="107">
        <f>_xlfn.IFNA($M509/VLOOKUP($BU509,'Unit information'!$A$2:$K$29,6,FALSE)*V509,0)*(1+$E$9)</f>
        <v>0</v>
      </c>
      <c r="AY509" s="107">
        <f>_xlfn.IFNA($M509/VLOOKUP($BU509,'Unit information'!$A$2:$K$29,7,FALSE)*W509,0)*(1+$E$9)</f>
        <v>0</v>
      </c>
      <c r="AZ509" s="107">
        <f>_xlfn.IFNA($M509/VLOOKUP($BU509,'Unit information'!$A$2:$K$29,8,FALSE)*X509,0)*(1+$E$9)</f>
        <v>0</v>
      </c>
      <c r="BA509" s="107">
        <f>_xlfn.IFNA($M509/VLOOKUP($BU509,'Unit information'!$A$2:$K$29,9,FALSE)*Y509,0)*(1+$E$9)</f>
        <v>0</v>
      </c>
      <c r="BB509" s="107">
        <f>_xlfn.IFNA($M509/VLOOKUP($BV509,'Unit information'!$A$2:$K$29,10,FALSE)*Z509,0)*(1+$E$9)</f>
        <v>0</v>
      </c>
      <c r="BC509" s="108">
        <f>_xlfn.IFNA($M509/VLOOKUP($BV509,'Unit information'!$A$2:$K$29,11,FALSE)*AA509,0)*(1+$E$9)</f>
        <v>0</v>
      </c>
      <c r="BD509" s="106">
        <f t="shared" si="663"/>
        <v>0</v>
      </c>
      <c r="BE509" s="107">
        <f t="shared" si="664"/>
        <v>0</v>
      </c>
      <c r="BF509" s="108">
        <f t="shared" si="665"/>
        <v>0</v>
      </c>
      <c r="BG509" s="25" t="e">
        <f t="shared" si="666"/>
        <v>#N/A</v>
      </c>
      <c r="BH509" s="25" t="e">
        <f t="shared" si="667"/>
        <v>#N/A</v>
      </c>
      <c r="BI509" s="25" t="e">
        <f t="shared" si="668"/>
        <v>#N/A</v>
      </c>
      <c r="BJ509" s="29" t="e">
        <f t="shared" si="669"/>
        <v>#N/A</v>
      </c>
      <c r="BK509" s="30" t="e">
        <f t="shared" si="670"/>
        <v>#N/A</v>
      </c>
      <c r="BL509" s="30" t="e">
        <f t="shared" si="671"/>
        <v>#N/A</v>
      </c>
      <c r="BM509" s="31" t="e">
        <f t="shared" si="716"/>
        <v>#N/A</v>
      </c>
      <c r="BN509" s="35">
        <f>HLOOKUP("maximum population",Miscelaneous!$C$1:$C$33,CH509+3,FALSE)</f>
        <v>240</v>
      </c>
      <c r="BO509" s="14">
        <f t="shared" si="682"/>
        <v>0</v>
      </c>
      <c r="BP509" s="14">
        <f t="shared" si="683"/>
        <v>0</v>
      </c>
      <c r="BQ509" s="14">
        <f t="shared" si="684"/>
        <v>240</v>
      </c>
      <c r="BR509" s="34" t="e">
        <f>HLOOKUP(J509,Villagers!$B$1:$V$33,L509+3,FALSE)-HLOOKUP(J509,Villagers!$B$1:$V$33,L509+2,FALSE)</f>
        <v>#N/A</v>
      </c>
      <c r="BS509" s="55">
        <f t="shared" si="724"/>
        <v>1</v>
      </c>
      <c r="BT509" s="56">
        <f t="shared" si="724"/>
        <v>0</v>
      </c>
      <c r="BU509" s="56">
        <f t="shared" si="724"/>
        <v>0</v>
      </c>
      <c r="BV509" s="56">
        <f t="shared" si="724"/>
        <v>0</v>
      </c>
      <c r="BW509" s="50">
        <f t="shared" si="724"/>
        <v>0</v>
      </c>
      <c r="BX509" s="50">
        <f t="shared" si="724"/>
        <v>0</v>
      </c>
      <c r="BY509" s="50">
        <f t="shared" si="724"/>
        <v>0</v>
      </c>
      <c r="BZ509" s="56">
        <f t="shared" si="724"/>
        <v>0</v>
      </c>
      <c r="CA509" s="56">
        <f t="shared" si="724"/>
        <v>0</v>
      </c>
      <c r="CB509" s="56">
        <f t="shared" si="724"/>
        <v>1</v>
      </c>
      <c r="CC509" s="56">
        <f t="shared" si="724"/>
        <v>0</v>
      </c>
      <c r="CD509" s="56">
        <f t="shared" si="724"/>
        <v>0</v>
      </c>
      <c r="CE509" s="56">
        <f t="shared" si="724"/>
        <v>1</v>
      </c>
      <c r="CF509" s="56">
        <f t="shared" si="724"/>
        <v>1</v>
      </c>
      <c r="CG509" s="56">
        <f t="shared" si="724"/>
        <v>1</v>
      </c>
      <c r="CH509" s="56">
        <f t="shared" si="724"/>
        <v>1</v>
      </c>
      <c r="CI509" s="56">
        <f t="shared" si="724"/>
        <v>1</v>
      </c>
      <c r="CJ509" s="56">
        <f t="shared" si="724"/>
        <v>1</v>
      </c>
      <c r="CK509" s="56">
        <f t="shared" si="725"/>
        <v>0</v>
      </c>
      <c r="CL509" s="56">
        <f t="shared" si="726"/>
        <v>0</v>
      </c>
      <c r="CM509" s="57">
        <f t="shared" si="723"/>
        <v>0</v>
      </c>
      <c r="CN509" s="33">
        <f>ROUND(IF(BS509=0,0,HLOOKUP(BS$14,Villagers!$B$1:$V$33,BS509+3,FALSE)),)</f>
        <v>5</v>
      </c>
      <c r="CO509" s="14">
        <f>ROUND(IF(BT509=0,0,HLOOKUP(BT$14,Villagers!$B$1:$V$33,BT509+3,FALSE)),)</f>
        <v>0</v>
      </c>
      <c r="CP509" s="14">
        <f>ROUND(IF(BU509=0,0,HLOOKUP(BU$14,Villagers!$B$1:$V$33,BU509+3,FALSE)),)</f>
        <v>0</v>
      </c>
      <c r="CQ509" s="14">
        <f>ROUND(IF(BV509=0,0,HLOOKUP(BV$14,Villagers!$B$1:$V$33,BV509+3,FALSE)),)</f>
        <v>0</v>
      </c>
      <c r="CR509" s="14">
        <f>ROUND(IF(BW509=0,0,HLOOKUP(BW$14,Villagers!$B$1:$V$33,BW509+3,FALSE)),)</f>
        <v>0</v>
      </c>
      <c r="CS509" s="14">
        <f>ROUND(IF(BX509=0,0,HLOOKUP(BX$14,Villagers!$B$1:$V$33,BX509+3,FALSE)),)</f>
        <v>0</v>
      </c>
      <c r="CT509" s="14">
        <f>ROUND(IF(BY509=0,0,HLOOKUP(BY$14,Villagers!$B$1:$V$33,BY509+3,FALSE)),)</f>
        <v>0</v>
      </c>
      <c r="CU509" s="14">
        <f>ROUND(IF(BZ509=0,0,HLOOKUP(BZ$14,Villagers!$B$1:$V$33,BZ509+3,FALSE)),)</f>
        <v>0</v>
      </c>
      <c r="CV509" s="14">
        <f>ROUND(IF(CA509=0,0,HLOOKUP(CA$14,Villagers!$B$1:$V$33,CA509+3,FALSE)),)</f>
        <v>0</v>
      </c>
      <c r="CW509" s="14">
        <f>ROUND(IF(CB509=0,0,HLOOKUP(CB$14,Villagers!$B$1:$V$33,CB509+3,FALSE)),)</f>
        <v>0</v>
      </c>
      <c r="CX509" s="14">
        <f>ROUND(IF(CC509=0,0,HLOOKUP(CC$14,Villagers!$B$1:$V$33,CC509+3,FALSE)),)</f>
        <v>0</v>
      </c>
      <c r="CY509" s="14">
        <f>ROUND(IF(CD509=0,0,HLOOKUP(CD$14,Villagers!$B$1:$V$33,CD509+3,FALSE)),)</f>
        <v>0</v>
      </c>
      <c r="CZ509" s="14">
        <f>ROUND(IF(CE509=0,0,HLOOKUP(CE$14,Villagers!$B$1:$V$33,CE509+3,FALSE)),)</f>
        <v>5</v>
      </c>
      <c r="DA509" s="14">
        <f>ROUND(IF(CF509=0,0,HLOOKUP(CF$14,Villagers!$B$1:$V$33,CF509+3,FALSE)),)</f>
        <v>10</v>
      </c>
      <c r="DB509" s="14">
        <f>ROUND(IF(CG509=0,0,HLOOKUP(CG$14,Villagers!$B$1:$V$33,CG509+3,FALSE)),)</f>
        <v>10</v>
      </c>
      <c r="DC509" s="14">
        <f>ROUND(IF(CH509=0,0,HLOOKUP(CH$14,Villagers!$B$1:$V$33,CH509+3,FALSE)),)</f>
        <v>0</v>
      </c>
      <c r="DD509" s="14">
        <f>ROUND(IF(CI509=0,0,HLOOKUP(CI$14,Villagers!$B$1:$V$33,CI509+3,FALSE)),)</f>
        <v>0</v>
      </c>
      <c r="DE509" s="14">
        <f>ROUND(IF(CJ509=0,0,HLOOKUP(CJ$14,Villagers!$B$1:$V$33,CJ509+3,FALSE)),)</f>
        <v>2</v>
      </c>
      <c r="DF509" s="370">
        <f>ROUND(IF(CK509=0,0,HLOOKUP(CK$14,Villagers!$B$1:$V$33,CK509+3,FALSE)),)</f>
        <v>0</v>
      </c>
      <c r="DG509" s="370">
        <f>ROUND(IF(CL509=0,0,HLOOKUP(CL$14,Villagers!$B$1:$V$33,CL509+3,FALSE)),)</f>
        <v>0</v>
      </c>
      <c r="DH509" s="34">
        <f>ROUND(IF(CM509=0,0,HLOOKUP(CM$14,Villagers!$B$1:$V$33,CM509+3,FALSE)),)</f>
        <v>0</v>
      </c>
      <c r="DI509" s="109">
        <f t="shared" si="705"/>
        <v>0</v>
      </c>
      <c r="DJ509" s="50">
        <f t="shared" si="706"/>
        <v>0</v>
      </c>
      <c r="DK509" s="50">
        <f t="shared" si="707"/>
        <v>0</v>
      </c>
      <c r="DL509" s="50">
        <f t="shared" si="708"/>
        <v>0</v>
      </c>
      <c r="DM509" s="50">
        <f t="shared" si="709"/>
        <v>0</v>
      </c>
      <c r="DN509" s="50">
        <f t="shared" si="710"/>
        <v>0</v>
      </c>
      <c r="DO509" s="50">
        <f t="shared" si="711"/>
        <v>0</v>
      </c>
      <c r="DP509" s="50">
        <f t="shared" si="712"/>
        <v>0</v>
      </c>
      <c r="DQ509" s="50">
        <f t="shared" si="690"/>
        <v>0</v>
      </c>
      <c r="DR509" s="50">
        <f t="shared" si="691"/>
        <v>0</v>
      </c>
      <c r="DS509" s="98">
        <f>Miscelaneous!$D$4*Miscelaneous!$D$2^($CI509-1)</f>
        <v>1000</v>
      </c>
      <c r="DT509" s="335">
        <f t="shared" si="672"/>
        <v>1</v>
      </c>
      <c r="DU509" s="88">
        <v>1</v>
      </c>
      <c r="DV509" s="93">
        <f t="shared" si="692"/>
        <v>0</v>
      </c>
      <c r="DW509" s="93">
        <f t="shared" si="693"/>
        <v>0</v>
      </c>
      <c r="DX509" s="93">
        <f t="shared" si="694"/>
        <v>0</v>
      </c>
      <c r="DY509" s="93">
        <v>1</v>
      </c>
      <c r="DZ509" s="93">
        <f t="shared" si="695"/>
        <v>0</v>
      </c>
      <c r="EA509" s="93">
        <f t="shared" si="696"/>
        <v>0</v>
      </c>
      <c r="EB509" s="93">
        <f t="shared" si="697"/>
        <v>0</v>
      </c>
      <c r="EC509" s="93">
        <f t="shared" si="698"/>
        <v>0</v>
      </c>
      <c r="ED509" s="93">
        <v>1</v>
      </c>
      <c r="EE509" s="93">
        <v>1</v>
      </c>
      <c r="EF509" s="93">
        <f t="shared" si="699"/>
        <v>0</v>
      </c>
      <c r="EG509" s="93">
        <v>1</v>
      </c>
      <c r="EH509" s="93">
        <v>1</v>
      </c>
      <c r="EI509" s="93">
        <v>1</v>
      </c>
      <c r="EJ509" s="93">
        <v>1</v>
      </c>
      <c r="EK509" s="93">
        <v>1</v>
      </c>
      <c r="EL509" s="93">
        <v>1</v>
      </c>
      <c r="EM509" s="143">
        <f t="shared" si="700"/>
        <v>0</v>
      </c>
      <c r="EN509" s="143">
        <f t="shared" si="701"/>
        <v>0</v>
      </c>
      <c r="EO509" s="89">
        <f t="shared" si="702"/>
        <v>0</v>
      </c>
    </row>
  </sheetData>
  <mergeCells count="1024">
    <mergeCell ref="P485:Q485"/>
    <mergeCell ref="P486:Q486"/>
    <mergeCell ref="P487:Q487"/>
    <mergeCell ref="P488:Q488"/>
    <mergeCell ref="P489:Q489"/>
    <mergeCell ref="P480:Q480"/>
    <mergeCell ref="P481:Q481"/>
    <mergeCell ref="P482:Q482"/>
    <mergeCell ref="P483:Q483"/>
    <mergeCell ref="P484:Q484"/>
    <mergeCell ref="P475:Q475"/>
    <mergeCell ref="P505:Q505"/>
    <mergeCell ref="P506:Q506"/>
    <mergeCell ref="P507:Q507"/>
    <mergeCell ref="P508:Q508"/>
    <mergeCell ref="P509:Q509"/>
    <mergeCell ref="P500:Q500"/>
    <mergeCell ref="P501:Q501"/>
    <mergeCell ref="P502:Q502"/>
    <mergeCell ref="P503:Q503"/>
    <mergeCell ref="P504:Q504"/>
    <mergeCell ref="P495:Q495"/>
    <mergeCell ref="P496:Q496"/>
    <mergeCell ref="P497:Q497"/>
    <mergeCell ref="P498:Q498"/>
    <mergeCell ref="P499:Q499"/>
    <mergeCell ref="P490:Q490"/>
    <mergeCell ref="P491:Q491"/>
    <mergeCell ref="P492:Q492"/>
    <mergeCell ref="P493:Q493"/>
    <mergeCell ref="P494:Q494"/>
    <mergeCell ref="P476:Q476"/>
    <mergeCell ref="P477:Q477"/>
    <mergeCell ref="P478:Q478"/>
    <mergeCell ref="P479:Q479"/>
    <mergeCell ref="P470:Q470"/>
    <mergeCell ref="P471:Q471"/>
    <mergeCell ref="P472:Q472"/>
    <mergeCell ref="P473:Q473"/>
    <mergeCell ref="P474:Q474"/>
    <mergeCell ref="P465:Q465"/>
    <mergeCell ref="P466:Q466"/>
    <mergeCell ref="P467:Q467"/>
    <mergeCell ref="P468:Q468"/>
    <mergeCell ref="P469:Q469"/>
    <mergeCell ref="P460:Q460"/>
    <mergeCell ref="P461:Q461"/>
    <mergeCell ref="P462:Q462"/>
    <mergeCell ref="P463:Q463"/>
    <mergeCell ref="P464:Q464"/>
    <mergeCell ref="P455:Q455"/>
    <mergeCell ref="P456:Q456"/>
    <mergeCell ref="P457:Q457"/>
    <mergeCell ref="P458:Q458"/>
    <mergeCell ref="P459:Q459"/>
    <mergeCell ref="P450:Q450"/>
    <mergeCell ref="P451:Q451"/>
    <mergeCell ref="P452:Q452"/>
    <mergeCell ref="P453:Q453"/>
    <mergeCell ref="P454:Q454"/>
    <mergeCell ref="P445:Q445"/>
    <mergeCell ref="P446:Q446"/>
    <mergeCell ref="P447:Q447"/>
    <mergeCell ref="P448:Q448"/>
    <mergeCell ref="P449:Q449"/>
    <mergeCell ref="P440:Q440"/>
    <mergeCell ref="P441:Q441"/>
    <mergeCell ref="P442:Q442"/>
    <mergeCell ref="P443:Q443"/>
    <mergeCell ref="P444:Q444"/>
    <mergeCell ref="P435:Q435"/>
    <mergeCell ref="P436:Q436"/>
    <mergeCell ref="P437:Q437"/>
    <mergeCell ref="P438:Q438"/>
    <mergeCell ref="P439:Q439"/>
    <mergeCell ref="P430:Q430"/>
    <mergeCell ref="P431:Q431"/>
    <mergeCell ref="P432:Q432"/>
    <mergeCell ref="P433:Q433"/>
    <mergeCell ref="P434:Q434"/>
    <mergeCell ref="P425:Q425"/>
    <mergeCell ref="P426:Q426"/>
    <mergeCell ref="P427:Q427"/>
    <mergeCell ref="P428:Q428"/>
    <mergeCell ref="P429:Q429"/>
    <mergeCell ref="P420:Q420"/>
    <mergeCell ref="P421:Q421"/>
    <mergeCell ref="P422:Q422"/>
    <mergeCell ref="P423:Q423"/>
    <mergeCell ref="P424:Q424"/>
    <mergeCell ref="P415:Q415"/>
    <mergeCell ref="P416:Q416"/>
    <mergeCell ref="P417:Q417"/>
    <mergeCell ref="P418:Q418"/>
    <mergeCell ref="P419:Q419"/>
    <mergeCell ref="P410:Q410"/>
    <mergeCell ref="P411:Q411"/>
    <mergeCell ref="P412:Q412"/>
    <mergeCell ref="P413:Q413"/>
    <mergeCell ref="P414:Q414"/>
    <mergeCell ref="P405:Q405"/>
    <mergeCell ref="P406:Q406"/>
    <mergeCell ref="P407:Q407"/>
    <mergeCell ref="P408:Q408"/>
    <mergeCell ref="P409:Q409"/>
    <mergeCell ref="P400:Q400"/>
    <mergeCell ref="P401:Q401"/>
    <mergeCell ref="P402:Q402"/>
    <mergeCell ref="P403:Q403"/>
    <mergeCell ref="P404:Q404"/>
    <mergeCell ref="P395:Q395"/>
    <mergeCell ref="P396:Q396"/>
    <mergeCell ref="P397:Q397"/>
    <mergeCell ref="P398:Q398"/>
    <mergeCell ref="P399:Q399"/>
    <mergeCell ref="P390:Q390"/>
    <mergeCell ref="P391:Q391"/>
    <mergeCell ref="P392:Q392"/>
    <mergeCell ref="P393:Q393"/>
    <mergeCell ref="P394:Q394"/>
    <mergeCell ref="P385:Q385"/>
    <mergeCell ref="P386:Q386"/>
    <mergeCell ref="P387:Q387"/>
    <mergeCell ref="P388:Q388"/>
    <mergeCell ref="P389:Q389"/>
    <mergeCell ref="P380:Q380"/>
    <mergeCell ref="P381:Q381"/>
    <mergeCell ref="P382:Q382"/>
    <mergeCell ref="P383:Q383"/>
    <mergeCell ref="P384:Q384"/>
    <mergeCell ref="P375:Q375"/>
    <mergeCell ref="P376:Q376"/>
    <mergeCell ref="P377:Q377"/>
    <mergeCell ref="P378:Q378"/>
    <mergeCell ref="P379:Q379"/>
    <mergeCell ref="P370:Q370"/>
    <mergeCell ref="P371:Q371"/>
    <mergeCell ref="P372:Q372"/>
    <mergeCell ref="P373:Q373"/>
    <mergeCell ref="P374:Q374"/>
    <mergeCell ref="P365:Q365"/>
    <mergeCell ref="P366:Q366"/>
    <mergeCell ref="P367:Q367"/>
    <mergeCell ref="P368:Q368"/>
    <mergeCell ref="P369:Q369"/>
    <mergeCell ref="P360:Q360"/>
    <mergeCell ref="P361:Q361"/>
    <mergeCell ref="P362:Q362"/>
    <mergeCell ref="P363:Q363"/>
    <mergeCell ref="P364:Q364"/>
    <mergeCell ref="P355:Q355"/>
    <mergeCell ref="P356:Q356"/>
    <mergeCell ref="P357:Q357"/>
    <mergeCell ref="P358:Q358"/>
    <mergeCell ref="P359:Q359"/>
    <mergeCell ref="P350:Q350"/>
    <mergeCell ref="P351:Q351"/>
    <mergeCell ref="P352:Q352"/>
    <mergeCell ref="P353:Q353"/>
    <mergeCell ref="P354:Q354"/>
    <mergeCell ref="P345:Q345"/>
    <mergeCell ref="P346:Q346"/>
    <mergeCell ref="P347:Q347"/>
    <mergeCell ref="P348:Q348"/>
    <mergeCell ref="P349:Q349"/>
    <mergeCell ref="P340:Q340"/>
    <mergeCell ref="P341:Q341"/>
    <mergeCell ref="P342:Q342"/>
    <mergeCell ref="P343:Q343"/>
    <mergeCell ref="P344:Q344"/>
    <mergeCell ref="P335:Q335"/>
    <mergeCell ref="P336:Q336"/>
    <mergeCell ref="P337:Q337"/>
    <mergeCell ref="P338:Q338"/>
    <mergeCell ref="P339:Q339"/>
    <mergeCell ref="P330:Q330"/>
    <mergeCell ref="P331:Q331"/>
    <mergeCell ref="P332:Q332"/>
    <mergeCell ref="P333:Q333"/>
    <mergeCell ref="P334:Q334"/>
    <mergeCell ref="P325:Q325"/>
    <mergeCell ref="P326:Q326"/>
    <mergeCell ref="P327:Q327"/>
    <mergeCell ref="P328:Q328"/>
    <mergeCell ref="P329:Q329"/>
    <mergeCell ref="P320:Q320"/>
    <mergeCell ref="P321:Q321"/>
    <mergeCell ref="P322:Q322"/>
    <mergeCell ref="P323:Q323"/>
    <mergeCell ref="P324:Q324"/>
    <mergeCell ref="P315:Q315"/>
    <mergeCell ref="P316:Q316"/>
    <mergeCell ref="P317:Q317"/>
    <mergeCell ref="P318:Q318"/>
    <mergeCell ref="P319:Q319"/>
    <mergeCell ref="P310:Q310"/>
    <mergeCell ref="P311:Q311"/>
    <mergeCell ref="P312:Q312"/>
    <mergeCell ref="P313:Q313"/>
    <mergeCell ref="P314:Q314"/>
    <mergeCell ref="P305:Q305"/>
    <mergeCell ref="P306:Q306"/>
    <mergeCell ref="P307:Q307"/>
    <mergeCell ref="P308:Q308"/>
    <mergeCell ref="P309:Q309"/>
    <mergeCell ref="P300:Q300"/>
    <mergeCell ref="P301:Q301"/>
    <mergeCell ref="P302:Q302"/>
    <mergeCell ref="P303:Q303"/>
    <mergeCell ref="P304:Q304"/>
    <mergeCell ref="P295:Q295"/>
    <mergeCell ref="P296:Q296"/>
    <mergeCell ref="P297:Q297"/>
    <mergeCell ref="P298:Q298"/>
    <mergeCell ref="P299:Q299"/>
    <mergeCell ref="P290:Q290"/>
    <mergeCell ref="P291:Q291"/>
    <mergeCell ref="P292:Q292"/>
    <mergeCell ref="P293:Q293"/>
    <mergeCell ref="P294:Q294"/>
    <mergeCell ref="P285:Q285"/>
    <mergeCell ref="P286:Q286"/>
    <mergeCell ref="P287:Q287"/>
    <mergeCell ref="P288:Q288"/>
    <mergeCell ref="P289:Q289"/>
    <mergeCell ref="P280:Q280"/>
    <mergeCell ref="P281:Q281"/>
    <mergeCell ref="P282:Q282"/>
    <mergeCell ref="P283:Q283"/>
    <mergeCell ref="P284:Q284"/>
    <mergeCell ref="P275:Q275"/>
    <mergeCell ref="P276:Q276"/>
    <mergeCell ref="P277:Q277"/>
    <mergeCell ref="P278:Q278"/>
    <mergeCell ref="P279:Q279"/>
    <mergeCell ref="P270:Q270"/>
    <mergeCell ref="P271:Q271"/>
    <mergeCell ref="P272:Q272"/>
    <mergeCell ref="P273:Q273"/>
    <mergeCell ref="P274:Q274"/>
    <mergeCell ref="P265:Q265"/>
    <mergeCell ref="P266:Q266"/>
    <mergeCell ref="P267:Q267"/>
    <mergeCell ref="P268:Q268"/>
    <mergeCell ref="P269:Q269"/>
    <mergeCell ref="P260:Q260"/>
    <mergeCell ref="P261:Q261"/>
    <mergeCell ref="P262:Q262"/>
    <mergeCell ref="P263:Q263"/>
    <mergeCell ref="P264:Q264"/>
    <mergeCell ref="P255:Q255"/>
    <mergeCell ref="P256:Q256"/>
    <mergeCell ref="P257:Q257"/>
    <mergeCell ref="P258:Q258"/>
    <mergeCell ref="P259:Q259"/>
    <mergeCell ref="P250:Q250"/>
    <mergeCell ref="P251:Q251"/>
    <mergeCell ref="P252:Q252"/>
    <mergeCell ref="P253:Q253"/>
    <mergeCell ref="P254:Q254"/>
    <mergeCell ref="P245:Q245"/>
    <mergeCell ref="P246:Q246"/>
    <mergeCell ref="P247:Q247"/>
    <mergeCell ref="P248:Q248"/>
    <mergeCell ref="P249:Q249"/>
    <mergeCell ref="P240:Q240"/>
    <mergeCell ref="P241:Q241"/>
    <mergeCell ref="P242:Q242"/>
    <mergeCell ref="P243:Q243"/>
    <mergeCell ref="P244:Q244"/>
    <mergeCell ref="P235:Q235"/>
    <mergeCell ref="P236:Q236"/>
    <mergeCell ref="P237:Q237"/>
    <mergeCell ref="P238:Q238"/>
    <mergeCell ref="P239:Q239"/>
    <mergeCell ref="P230:Q230"/>
    <mergeCell ref="P231:Q231"/>
    <mergeCell ref="P232:Q232"/>
    <mergeCell ref="P233:Q233"/>
    <mergeCell ref="P234:Q234"/>
    <mergeCell ref="P225:Q225"/>
    <mergeCell ref="P226:Q226"/>
    <mergeCell ref="P227:Q227"/>
    <mergeCell ref="P228:Q228"/>
    <mergeCell ref="P229:Q229"/>
    <mergeCell ref="P220:Q220"/>
    <mergeCell ref="P221:Q221"/>
    <mergeCell ref="P222:Q222"/>
    <mergeCell ref="P223:Q223"/>
    <mergeCell ref="P224:Q224"/>
    <mergeCell ref="P215:Q215"/>
    <mergeCell ref="P216:Q216"/>
    <mergeCell ref="P217:Q217"/>
    <mergeCell ref="P218:Q218"/>
    <mergeCell ref="P219:Q219"/>
    <mergeCell ref="P210:Q210"/>
    <mergeCell ref="P211:Q211"/>
    <mergeCell ref="P212:Q212"/>
    <mergeCell ref="P213:Q213"/>
    <mergeCell ref="P214:Q214"/>
    <mergeCell ref="P205:Q205"/>
    <mergeCell ref="P206:Q206"/>
    <mergeCell ref="P207:Q207"/>
    <mergeCell ref="P208:Q208"/>
    <mergeCell ref="P209:Q209"/>
    <mergeCell ref="P200:Q200"/>
    <mergeCell ref="P201:Q201"/>
    <mergeCell ref="P202:Q202"/>
    <mergeCell ref="P203:Q203"/>
    <mergeCell ref="P204:Q204"/>
    <mergeCell ref="P195:Q195"/>
    <mergeCell ref="P196:Q196"/>
    <mergeCell ref="P197:Q197"/>
    <mergeCell ref="P198:Q198"/>
    <mergeCell ref="P199:Q199"/>
    <mergeCell ref="P190:Q190"/>
    <mergeCell ref="P191:Q191"/>
    <mergeCell ref="P192:Q192"/>
    <mergeCell ref="P193:Q193"/>
    <mergeCell ref="P194:Q194"/>
    <mergeCell ref="P185:Q185"/>
    <mergeCell ref="P186:Q186"/>
    <mergeCell ref="P187:Q187"/>
    <mergeCell ref="P188:Q188"/>
    <mergeCell ref="P189:Q189"/>
    <mergeCell ref="P180:Q180"/>
    <mergeCell ref="P181:Q181"/>
    <mergeCell ref="P182:Q182"/>
    <mergeCell ref="P183:Q183"/>
    <mergeCell ref="P184:Q184"/>
    <mergeCell ref="P175:Q175"/>
    <mergeCell ref="P176:Q176"/>
    <mergeCell ref="P177:Q177"/>
    <mergeCell ref="P178:Q178"/>
    <mergeCell ref="P179:Q179"/>
    <mergeCell ref="P170:Q170"/>
    <mergeCell ref="P171:Q171"/>
    <mergeCell ref="P172:Q172"/>
    <mergeCell ref="P173:Q173"/>
    <mergeCell ref="P174:Q174"/>
    <mergeCell ref="P165:Q165"/>
    <mergeCell ref="P166:Q166"/>
    <mergeCell ref="P167:Q167"/>
    <mergeCell ref="P168:Q168"/>
    <mergeCell ref="P169:Q169"/>
    <mergeCell ref="P160:Q160"/>
    <mergeCell ref="P161:Q161"/>
    <mergeCell ref="P162:Q162"/>
    <mergeCell ref="P163:Q163"/>
    <mergeCell ref="P164:Q164"/>
    <mergeCell ref="P155:Q155"/>
    <mergeCell ref="P156:Q156"/>
    <mergeCell ref="P157:Q157"/>
    <mergeCell ref="P158:Q158"/>
    <mergeCell ref="P159:Q159"/>
    <mergeCell ref="P150:Q150"/>
    <mergeCell ref="P151:Q151"/>
    <mergeCell ref="P152:Q152"/>
    <mergeCell ref="P153:Q153"/>
    <mergeCell ref="P154:Q154"/>
    <mergeCell ref="P145:Q145"/>
    <mergeCell ref="P146:Q146"/>
    <mergeCell ref="P147:Q147"/>
    <mergeCell ref="P148:Q148"/>
    <mergeCell ref="P149:Q149"/>
    <mergeCell ref="P140:Q140"/>
    <mergeCell ref="P141:Q141"/>
    <mergeCell ref="P142:Q142"/>
    <mergeCell ref="P143:Q143"/>
    <mergeCell ref="P144:Q144"/>
    <mergeCell ref="P135:Q135"/>
    <mergeCell ref="P136:Q136"/>
    <mergeCell ref="P137:Q137"/>
    <mergeCell ref="P138:Q138"/>
    <mergeCell ref="P139:Q139"/>
    <mergeCell ref="P130:Q130"/>
    <mergeCell ref="P131:Q131"/>
    <mergeCell ref="P132:Q132"/>
    <mergeCell ref="P133:Q133"/>
    <mergeCell ref="P134:Q134"/>
    <mergeCell ref="P125:Q125"/>
    <mergeCell ref="P126:Q126"/>
    <mergeCell ref="P127:Q127"/>
    <mergeCell ref="P128:Q128"/>
    <mergeCell ref="P129:Q129"/>
    <mergeCell ref="P120:Q120"/>
    <mergeCell ref="P121:Q121"/>
    <mergeCell ref="P122:Q122"/>
    <mergeCell ref="P123:Q123"/>
    <mergeCell ref="P124:Q124"/>
    <mergeCell ref="P115:Q115"/>
    <mergeCell ref="P116:Q116"/>
    <mergeCell ref="P117:Q117"/>
    <mergeCell ref="P118:Q118"/>
    <mergeCell ref="P119:Q119"/>
    <mergeCell ref="P110:Q110"/>
    <mergeCell ref="P111:Q111"/>
    <mergeCell ref="P112:Q112"/>
    <mergeCell ref="P113:Q113"/>
    <mergeCell ref="P114:Q114"/>
    <mergeCell ref="P105:Q105"/>
    <mergeCell ref="P106:Q106"/>
    <mergeCell ref="P107:Q107"/>
    <mergeCell ref="P108:Q108"/>
    <mergeCell ref="P109:Q109"/>
    <mergeCell ref="P100:Q100"/>
    <mergeCell ref="P101:Q101"/>
    <mergeCell ref="P102:Q102"/>
    <mergeCell ref="P103:Q103"/>
    <mergeCell ref="P104:Q104"/>
    <mergeCell ref="P95:Q95"/>
    <mergeCell ref="P96:Q96"/>
    <mergeCell ref="P97:Q97"/>
    <mergeCell ref="P98:Q98"/>
    <mergeCell ref="P99:Q99"/>
    <mergeCell ref="P90:Q90"/>
    <mergeCell ref="P91:Q91"/>
    <mergeCell ref="P92:Q92"/>
    <mergeCell ref="P93:Q93"/>
    <mergeCell ref="P94:Q94"/>
    <mergeCell ref="P85:Q85"/>
    <mergeCell ref="P86:Q86"/>
    <mergeCell ref="P87:Q87"/>
    <mergeCell ref="P88:Q88"/>
    <mergeCell ref="P89:Q89"/>
    <mergeCell ref="P80:Q80"/>
    <mergeCell ref="P81:Q81"/>
    <mergeCell ref="P82:Q82"/>
    <mergeCell ref="P83:Q83"/>
    <mergeCell ref="P84:Q84"/>
    <mergeCell ref="P47:Q47"/>
    <mergeCell ref="P48:Q48"/>
    <mergeCell ref="P49:Q49"/>
    <mergeCell ref="P40:Q40"/>
    <mergeCell ref="P41:Q41"/>
    <mergeCell ref="P42:Q42"/>
    <mergeCell ref="P43:Q43"/>
    <mergeCell ref="P44:Q44"/>
    <mergeCell ref="P75:Q75"/>
    <mergeCell ref="P76:Q76"/>
    <mergeCell ref="P77:Q77"/>
    <mergeCell ref="P78:Q78"/>
    <mergeCell ref="P79:Q79"/>
    <mergeCell ref="P70:Q70"/>
    <mergeCell ref="P71:Q71"/>
    <mergeCell ref="P72:Q72"/>
    <mergeCell ref="P73:Q73"/>
    <mergeCell ref="P74:Q74"/>
    <mergeCell ref="P65:Q65"/>
    <mergeCell ref="P66:Q66"/>
    <mergeCell ref="P67:Q67"/>
    <mergeCell ref="P68:Q68"/>
    <mergeCell ref="P69:Q69"/>
    <mergeCell ref="P60:Q60"/>
    <mergeCell ref="P61:Q61"/>
    <mergeCell ref="P62:Q62"/>
    <mergeCell ref="P63:Q63"/>
    <mergeCell ref="P64:Q64"/>
    <mergeCell ref="N465:O465"/>
    <mergeCell ref="N466:O466"/>
    <mergeCell ref="N467:O467"/>
    <mergeCell ref="N468:O468"/>
    <mergeCell ref="N469:O469"/>
    <mergeCell ref="P35:Q35"/>
    <mergeCell ref="P36:Q36"/>
    <mergeCell ref="P37:Q37"/>
    <mergeCell ref="P38:Q38"/>
    <mergeCell ref="P39:Q39"/>
    <mergeCell ref="P30:Q30"/>
    <mergeCell ref="P31:Q31"/>
    <mergeCell ref="P32:Q32"/>
    <mergeCell ref="P33:Q33"/>
    <mergeCell ref="P34:Q34"/>
    <mergeCell ref="P25:Q25"/>
    <mergeCell ref="P26:Q26"/>
    <mergeCell ref="P27:Q27"/>
    <mergeCell ref="P28:Q28"/>
    <mergeCell ref="P29:Q29"/>
    <mergeCell ref="P55:Q55"/>
    <mergeCell ref="P56:Q56"/>
    <mergeCell ref="P57:Q57"/>
    <mergeCell ref="P58:Q58"/>
    <mergeCell ref="P59:Q59"/>
    <mergeCell ref="P50:Q50"/>
    <mergeCell ref="P51:Q51"/>
    <mergeCell ref="P52:Q52"/>
    <mergeCell ref="P53:Q53"/>
    <mergeCell ref="P54:Q54"/>
    <mergeCell ref="P45:Q45"/>
    <mergeCell ref="P46:Q46"/>
    <mergeCell ref="N485:O485"/>
    <mergeCell ref="N486:O486"/>
    <mergeCell ref="N487:O487"/>
    <mergeCell ref="N488:O488"/>
    <mergeCell ref="N489:O489"/>
    <mergeCell ref="N480:O480"/>
    <mergeCell ref="N481:O481"/>
    <mergeCell ref="N482:O482"/>
    <mergeCell ref="N483:O483"/>
    <mergeCell ref="N484:O484"/>
    <mergeCell ref="N475:O475"/>
    <mergeCell ref="N476:O476"/>
    <mergeCell ref="N477:O477"/>
    <mergeCell ref="N478:O478"/>
    <mergeCell ref="N479:O479"/>
    <mergeCell ref="N470:O470"/>
    <mergeCell ref="N471:O471"/>
    <mergeCell ref="N472:O472"/>
    <mergeCell ref="N473:O473"/>
    <mergeCell ref="N474:O474"/>
    <mergeCell ref="N507:O507"/>
    <mergeCell ref="N508:O508"/>
    <mergeCell ref="N509:O509"/>
    <mergeCell ref="N500:O500"/>
    <mergeCell ref="N501:O501"/>
    <mergeCell ref="N502:O502"/>
    <mergeCell ref="N503:O503"/>
    <mergeCell ref="N504:O504"/>
    <mergeCell ref="N495:O495"/>
    <mergeCell ref="N496:O496"/>
    <mergeCell ref="N497:O497"/>
    <mergeCell ref="N498:O498"/>
    <mergeCell ref="N499:O499"/>
    <mergeCell ref="N490:O490"/>
    <mergeCell ref="N491:O491"/>
    <mergeCell ref="N492:O492"/>
    <mergeCell ref="N493:O493"/>
    <mergeCell ref="N494:O494"/>
    <mergeCell ref="N505:O505"/>
    <mergeCell ref="N506:O506"/>
    <mergeCell ref="N460:O460"/>
    <mergeCell ref="N461:O461"/>
    <mergeCell ref="N462:O462"/>
    <mergeCell ref="N463:O463"/>
    <mergeCell ref="N464:O464"/>
    <mergeCell ref="N455:O455"/>
    <mergeCell ref="N456:O456"/>
    <mergeCell ref="N457:O457"/>
    <mergeCell ref="N458:O458"/>
    <mergeCell ref="N459:O459"/>
    <mergeCell ref="N450:O450"/>
    <mergeCell ref="N451:O451"/>
    <mergeCell ref="N452:O452"/>
    <mergeCell ref="N453:O453"/>
    <mergeCell ref="N454:O454"/>
    <mergeCell ref="N445:O445"/>
    <mergeCell ref="N446:O446"/>
    <mergeCell ref="N447:O447"/>
    <mergeCell ref="N448:O448"/>
    <mergeCell ref="N449:O449"/>
    <mergeCell ref="N440:O440"/>
    <mergeCell ref="N441:O441"/>
    <mergeCell ref="N442:O442"/>
    <mergeCell ref="N443:O443"/>
    <mergeCell ref="N444:O444"/>
    <mergeCell ref="N435:O435"/>
    <mergeCell ref="N436:O436"/>
    <mergeCell ref="N437:O437"/>
    <mergeCell ref="N438:O438"/>
    <mergeCell ref="N439:O439"/>
    <mergeCell ref="N430:O430"/>
    <mergeCell ref="N431:O431"/>
    <mergeCell ref="N432:O432"/>
    <mergeCell ref="N433:O433"/>
    <mergeCell ref="N434:O434"/>
    <mergeCell ref="N425:O425"/>
    <mergeCell ref="N426:O426"/>
    <mergeCell ref="N427:O427"/>
    <mergeCell ref="N428:O428"/>
    <mergeCell ref="N429:O429"/>
    <mergeCell ref="N420:O420"/>
    <mergeCell ref="N421:O421"/>
    <mergeCell ref="N422:O422"/>
    <mergeCell ref="N423:O423"/>
    <mergeCell ref="N424:O424"/>
    <mergeCell ref="N415:O415"/>
    <mergeCell ref="N416:O416"/>
    <mergeCell ref="N417:O417"/>
    <mergeCell ref="N418:O418"/>
    <mergeCell ref="N419:O419"/>
    <mergeCell ref="N410:O410"/>
    <mergeCell ref="N411:O411"/>
    <mergeCell ref="N412:O412"/>
    <mergeCell ref="N413:O413"/>
    <mergeCell ref="N414:O414"/>
    <mergeCell ref="N405:O405"/>
    <mergeCell ref="N406:O406"/>
    <mergeCell ref="N407:O407"/>
    <mergeCell ref="N408:O408"/>
    <mergeCell ref="N409:O409"/>
    <mergeCell ref="N400:O400"/>
    <mergeCell ref="N401:O401"/>
    <mergeCell ref="N402:O402"/>
    <mergeCell ref="N403:O403"/>
    <mergeCell ref="N404:O404"/>
    <mergeCell ref="N395:O395"/>
    <mergeCell ref="N396:O396"/>
    <mergeCell ref="N397:O397"/>
    <mergeCell ref="N398:O398"/>
    <mergeCell ref="N399:O399"/>
    <mergeCell ref="N390:O390"/>
    <mergeCell ref="N391:O391"/>
    <mergeCell ref="N392:O392"/>
    <mergeCell ref="N393:O393"/>
    <mergeCell ref="N394:O394"/>
    <mergeCell ref="N385:O385"/>
    <mergeCell ref="N386:O386"/>
    <mergeCell ref="N387:O387"/>
    <mergeCell ref="N388:O388"/>
    <mergeCell ref="N389:O389"/>
    <mergeCell ref="N380:O380"/>
    <mergeCell ref="N381:O381"/>
    <mergeCell ref="N382:O382"/>
    <mergeCell ref="N383:O383"/>
    <mergeCell ref="N384:O384"/>
    <mergeCell ref="N375:O375"/>
    <mergeCell ref="N376:O376"/>
    <mergeCell ref="N377:O377"/>
    <mergeCell ref="N378:O378"/>
    <mergeCell ref="N379:O379"/>
    <mergeCell ref="N370:O370"/>
    <mergeCell ref="N371:O371"/>
    <mergeCell ref="N372:O372"/>
    <mergeCell ref="N373:O373"/>
    <mergeCell ref="N374:O374"/>
    <mergeCell ref="N365:O365"/>
    <mergeCell ref="N366:O366"/>
    <mergeCell ref="N367:O367"/>
    <mergeCell ref="N368:O368"/>
    <mergeCell ref="N369:O369"/>
    <mergeCell ref="N360:O360"/>
    <mergeCell ref="N361:O361"/>
    <mergeCell ref="N362:O362"/>
    <mergeCell ref="N363:O363"/>
    <mergeCell ref="N364:O364"/>
    <mergeCell ref="N355:O355"/>
    <mergeCell ref="N356:O356"/>
    <mergeCell ref="N357:O357"/>
    <mergeCell ref="N358:O358"/>
    <mergeCell ref="N359:O359"/>
    <mergeCell ref="N350:O350"/>
    <mergeCell ref="N351:O351"/>
    <mergeCell ref="N352:O352"/>
    <mergeCell ref="N353:O353"/>
    <mergeCell ref="N354:O354"/>
    <mergeCell ref="N345:O345"/>
    <mergeCell ref="N346:O346"/>
    <mergeCell ref="N347:O347"/>
    <mergeCell ref="N348:O348"/>
    <mergeCell ref="N349:O349"/>
    <mergeCell ref="N340:O340"/>
    <mergeCell ref="N341:O341"/>
    <mergeCell ref="N342:O342"/>
    <mergeCell ref="N343:O343"/>
    <mergeCell ref="N344:O344"/>
    <mergeCell ref="N335:O335"/>
    <mergeCell ref="N336:O336"/>
    <mergeCell ref="N337:O337"/>
    <mergeCell ref="N338:O338"/>
    <mergeCell ref="N339:O339"/>
    <mergeCell ref="N330:O330"/>
    <mergeCell ref="N331:O331"/>
    <mergeCell ref="N332:O332"/>
    <mergeCell ref="N333:O333"/>
    <mergeCell ref="N334:O334"/>
    <mergeCell ref="N325:O325"/>
    <mergeCell ref="N326:O326"/>
    <mergeCell ref="N327:O327"/>
    <mergeCell ref="N328:O328"/>
    <mergeCell ref="N329:O329"/>
    <mergeCell ref="N320:O320"/>
    <mergeCell ref="N321:O321"/>
    <mergeCell ref="N322:O322"/>
    <mergeCell ref="N323:O323"/>
    <mergeCell ref="N324:O324"/>
    <mergeCell ref="N315:O315"/>
    <mergeCell ref="N316:O316"/>
    <mergeCell ref="N317:O317"/>
    <mergeCell ref="N318:O318"/>
    <mergeCell ref="N319:O319"/>
    <mergeCell ref="N310:O310"/>
    <mergeCell ref="N311:O311"/>
    <mergeCell ref="N312:O312"/>
    <mergeCell ref="N313:O313"/>
    <mergeCell ref="N314:O314"/>
    <mergeCell ref="N305:O305"/>
    <mergeCell ref="N306:O306"/>
    <mergeCell ref="N307:O307"/>
    <mergeCell ref="N308:O308"/>
    <mergeCell ref="N309:O309"/>
    <mergeCell ref="N300:O300"/>
    <mergeCell ref="N301:O301"/>
    <mergeCell ref="N302:O302"/>
    <mergeCell ref="N303:O303"/>
    <mergeCell ref="N304:O304"/>
    <mergeCell ref="N295:O295"/>
    <mergeCell ref="N296:O296"/>
    <mergeCell ref="N297:O297"/>
    <mergeCell ref="N298:O298"/>
    <mergeCell ref="N299:O299"/>
    <mergeCell ref="N290:O290"/>
    <mergeCell ref="N291:O291"/>
    <mergeCell ref="N292:O292"/>
    <mergeCell ref="N293:O293"/>
    <mergeCell ref="N294:O294"/>
    <mergeCell ref="N285:O285"/>
    <mergeCell ref="N286:O286"/>
    <mergeCell ref="N287:O287"/>
    <mergeCell ref="N288:O288"/>
    <mergeCell ref="N289:O289"/>
    <mergeCell ref="N280:O280"/>
    <mergeCell ref="N281:O281"/>
    <mergeCell ref="N282:O282"/>
    <mergeCell ref="N283:O283"/>
    <mergeCell ref="N284:O284"/>
    <mergeCell ref="N275:O275"/>
    <mergeCell ref="N276:O276"/>
    <mergeCell ref="N277:O277"/>
    <mergeCell ref="N278:O278"/>
    <mergeCell ref="N279:O279"/>
    <mergeCell ref="N270:O270"/>
    <mergeCell ref="N271:O271"/>
    <mergeCell ref="N272:O272"/>
    <mergeCell ref="N273:O273"/>
    <mergeCell ref="N274:O274"/>
    <mergeCell ref="N265:O265"/>
    <mergeCell ref="N266:O266"/>
    <mergeCell ref="N267:O267"/>
    <mergeCell ref="N268:O268"/>
    <mergeCell ref="N269:O269"/>
    <mergeCell ref="N260:O260"/>
    <mergeCell ref="N261:O261"/>
    <mergeCell ref="N262:O262"/>
    <mergeCell ref="N263:O263"/>
    <mergeCell ref="N264:O264"/>
    <mergeCell ref="N255:O255"/>
    <mergeCell ref="N256:O256"/>
    <mergeCell ref="N257:O257"/>
    <mergeCell ref="N258:O258"/>
    <mergeCell ref="N259:O259"/>
    <mergeCell ref="N250:O250"/>
    <mergeCell ref="N251:O251"/>
    <mergeCell ref="N252:O252"/>
    <mergeCell ref="N253:O253"/>
    <mergeCell ref="N254:O254"/>
    <mergeCell ref="N245:O245"/>
    <mergeCell ref="N246:O246"/>
    <mergeCell ref="N247:O247"/>
    <mergeCell ref="N248:O248"/>
    <mergeCell ref="N249:O249"/>
    <mergeCell ref="N240:O240"/>
    <mergeCell ref="N241:O241"/>
    <mergeCell ref="N242:O242"/>
    <mergeCell ref="N243:O243"/>
    <mergeCell ref="N244:O244"/>
    <mergeCell ref="N235:O235"/>
    <mergeCell ref="N236:O236"/>
    <mergeCell ref="N237:O237"/>
    <mergeCell ref="N238:O238"/>
    <mergeCell ref="N239:O239"/>
    <mergeCell ref="N230:O230"/>
    <mergeCell ref="N231:O231"/>
    <mergeCell ref="N232:O232"/>
    <mergeCell ref="N233:O233"/>
    <mergeCell ref="N234:O234"/>
    <mergeCell ref="N225:O225"/>
    <mergeCell ref="N226:O226"/>
    <mergeCell ref="N227:O227"/>
    <mergeCell ref="N228:O228"/>
    <mergeCell ref="N229:O229"/>
    <mergeCell ref="N220:O220"/>
    <mergeCell ref="N221:O221"/>
    <mergeCell ref="N222:O222"/>
    <mergeCell ref="N223:O223"/>
    <mergeCell ref="N224:O224"/>
    <mergeCell ref="N215:O215"/>
    <mergeCell ref="N216:O216"/>
    <mergeCell ref="N217:O217"/>
    <mergeCell ref="N218:O218"/>
    <mergeCell ref="N219:O219"/>
    <mergeCell ref="N210:O210"/>
    <mergeCell ref="N211:O211"/>
    <mergeCell ref="N212:O212"/>
    <mergeCell ref="N213:O213"/>
    <mergeCell ref="N214:O214"/>
    <mergeCell ref="N205:O205"/>
    <mergeCell ref="N206:O206"/>
    <mergeCell ref="N207:O207"/>
    <mergeCell ref="N208:O208"/>
    <mergeCell ref="N209:O209"/>
    <mergeCell ref="N200:O200"/>
    <mergeCell ref="N201:O201"/>
    <mergeCell ref="N202:O202"/>
    <mergeCell ref="N203:O203"/>
    <mergeCell ref="N204:O204"/>
    <mergeCell ref="N195:O195"/>
    <mergeCell ref="N196:O196"/>
    <mergeCell ref="N197:O197"/>
    <mergeCell ref="N198:O198"/>
    <mergeCell ref="N199:O199"/>
    <mergeCell ref="N190:O190"/>
    <mergeCell ref="N191:O191"/>
    <mergeCell ref="N192:O192"/>
    <mergeCell ref="N193:O193"/>
    <mergeCell ref="N194:O194"/>
    <mergeCell ref="N185:O185"/>
    <mergeCell ref="N186:O186"/>
    <mergeCell ref="N187:O187"/>
    <mergeCell ref="N188:O188"/>
    <mergeCell ref="N189:O189"/>
    <mergeCell ref="N180:O180"/>
    <mergeCell ref="N181:O181"/>
    <mergeCell ref="N182:O182"/>
    <mergeCell ref="N183:O183"/>
    <mergeCell ref="N184:O184"/>
    <mergeCell ref="N175:O175"/>
    <mergeCell ref="N176:O176"/>
    <mergeCell ref="N177:O177"/>
    <mergeCell ref="N178:O178"/>
    <mergeCell ref="N179:O179"/>
    <mergeCell ref="N170:O170"/>
    <mergeCell ref="N171:O171"/>
    <mergeCell ref="N172:O172"/>
    <mergeCell ref="N173:O173"/>
    <mergeCell ref="N174:O174"/>
    <mergeCell ref="N165:O165"/>
    <mergeCell ref="N166:O166"/>
    <mergeCell ref="N167:O167"/>
    <mergeCell ref="N168:O168"/>
    <mergeCell ref="N169:O169"/>
    <mergeCell ref="N160:O160"/>
    <mergeCell ref="N161:O161"/>
    <mergeCell ref="N162:O162"/>
    <mergeCell ref="N163:O163"/>
    <mergeCell ref="N164:O164"/>
    <mergeCell ref="N155:O155"/>
    <mergeCell ref="N156:O156"/>
    <mergeCell ref="N157:O157"/>
    <mergeCell ref="N158:O158"/>
    <mergeCell ref="N159:O159"/>
    <mergeCell ref="N150:O150"/>
    <mergeCell ref="N151:O151"/>
    <mergeCell ref="N152:O152"/>
    <mergeCell ref="N153:O153"/>
    <mergeCell ref="N154:O154"/>
    <mergeCell ref="N145:O145"/>
    <mergeCell ref="N146:O146"/>
    <mergeCell ref="N147:O147"/>
    <mergeCell ref="N148:O148"/>
    <mergeCell ref="N149:O149"/>
    <mergeCell ref="N140:O140"/>
    <mergeCell ref="N141:O141"/>
    <mergeCell ref="N142:O142"/>
    <mergeCell ref="N143:O143"/>
    <mergeCell ref="N144:O144"/>
    <mergeCell ref="N135:O135"/>
    <mergeCell ref="N136:O136"/>
    <mergeCell ref="N137:O137"/>
    <mergeCell ref="N138:O138"/>
    <mergeCell ref="N139:O139"/>
    <mergeCell ref="N130:O130"/>
    <mergeCell ref="N131:O131"/>
    <mergeCell ref="N132:O132"/>
    <mergeCell ref="N133:O133"/>
    <mergeCell ref="N134:O134"/>
    <mergeCell ref="N125:O125"/>
    <mergeCell ref="N126:O126"/>
    <mergeCell ref="N127:O127"/>
    <mergeCell ref="N128:O128"/>
    <mergeCell ref="N129:O129"/>
    <mergeCell ref="N120:O120"/>
    <mergeCell ref="N121:O121"/>
    <mergeCell ref="N122:O122"/>
    <mergeCell ref="N123:O123"/>
    <mergeCell ref="N124:O124"/>
    <mergeCell ref="N115:O115"/>
    <mergeCell ref="N116:O116"/>
    <mergeCell ref="N117:O117"/>
    <mergeCell ref="N118:O118"/>
    <mergeCell ref="N119:O119"/>
    <mergeCell ref="N110:O110"/>
    <mergeCell ref="N111:O111"/>
    <mergeCell ref="N112:O112"/>
    <mergeCell ref="N113:O113"/>
    <mergeCell ref="N114:O114"/>
    <mergeCell ref="N105:O105"/>
    <mergeCell ref="N106:O106"/>
    <mergeCell ref="N107:O107"/>
    <mergeCell ref="N108:O108"/>
    <mergeCell ref="N109:O109"/>
    <mergeCell ref="N100:O100"/>
    <mergeCell ref="N101:O101"/>
    <mergeCell ref="N102:O102"/>
    <mergeCell ref="N103:O103"/>
    <mergeCell ref="N104:O104"/>
    <mergeCell ref="N95:O95"/>
    <mergeCell ref="N96:O96"/>
    <mergeCell ref="N97:O97"/>
    <mergeCell ref="N98:O98"/>
    <mergeCell ref="N99:O99"/>
    <mergeCell ref="N90:O90"/>
    <mergeCell ref="N91:O91"/>
    <mergeCell ref="N92:O92"/>
    <mergeCell ref="N93:O93"/>
    <mergeCell ref="N94:O94"/>
    <mergeCell ref="N85:O85"/>
    <mergeCell ref="N86:O86"/>
    <mergeCell ref="N87:O87"/>
    <mergeCell ref="N88:O88"/>
    <mergeCell ref="N89:O89"/>
    <mergeCell ref="N80:O80"/>
    <mergeCell ref="N81:O81"/>
    <mergeCell ref="N82:O82"/>
    <mergeCell ref="N83:O83"/>
    <mergeCell ref="N84:O84"/>
    <mergeCell ref="N75:O75"/>
    <mergeCell ref="N76:O76"/>
    <mergeCell ref="N77:O77"/>
    <mergeCell ref="N78:O78"/>
    <mergeCell ref="N79:O79"/>
    <mergeCell ref="N70:O70"/>
    <mergeCell ref="N71:O71"/>
    <mergeCell ref="N72:O72"/>
    <mergeCell ref="N73:O73"/>
    <mergeCell ref="N74:O74"/>
    <mergeCell ref="N65:O65"/>
    <mergeCell ref="N66:O66"/>
    <mergeCell ref="N67:O67"/>
    <mergeCell ref="N68:O68"/>
    <mergeCell ref="N69:O69"/>
    <mergeCell ref="N60:O60"/>
    <mergeCell ref="N61:O61"/>
    <mergeCell ref="N62:O62"/>
    <mergeCell ref="N63:O63"/>
    <mergeCell ref="N64:O64"/>
    <mergeCell ref="N55:O55"/>
    <mergeCell ref="N56:O56"/>
    <mergeCell ref="N57:O57"/>
    <mergeCell ref="N58:O58"/>
    <mergeCell ref="N59:O59"/>
    <mergeCell ref="N50:O50"/>
    <mergeCell ref="N51:O51"/>
    <mergeCell ref="N52:O52"/>
    <mergeCell ref="N53:O53"/>
    <mergeCell ref="N54:O54"/>
    <mergeCell ref="N45:O45"/>
    <mergeCell ref="N46:O46"/>
    <mergeCell ref="N47:O47"/>
    <mergeCell ref="N48:O48"/>
    <mergeCell ref="N49:O49"/>
    <mergeCell ref="N40:O40"/>
    <mergeCell ref="N41:O41"/>
    <mergeCell ref="N42:O42"/>
    <mergeCell ref="N43:O43"/>
    <mergeCell ref="N44:O44"/>
    <mergeCell ref="N35:O35"/>
    <mergeCell ref="N36:O36"/>
    <mergeCell ref="N37:O37"/>
    <mergeCell ref="N38:O38"/>
    <mergeCell ref="N39:O39"/>
    <mergeCell ref="N30:O30"/>
    <mergeCell ref="N31:O31"/>
    <mergeCell ref="N32:O32"/>
    <mergeCell ref="N33:O33"/>
    <mergeCell ref="N34:O34"/>
    <mergeCell ref="N25:O25"/>
    <mergeCell ref="N26:O26"/>
    <mergeCell ref="N27:O27"/>
    <mergeCell ref="N28:O28"/>
    <mergeCell ref="N29:O29"/>
    <mergeCell ref="N20:O20"/>
    <mergeCell ref="N21:O21"/>
    <mergeCell ref="N22:O22"/>
    <mergeCell ref="N23:O23"/>
    <mergeCell ref="N24:O24"/>
    <mergeCell ref="N15:O15"/>
    <mergeCell ref="N16:O16"/>
    <mergeCell ref="N17:O17"/>
    <mergeCell ref="N18:O18"/>
    <mergeCell ref="N19:O19"/>
    <mergeCell ref="M13:Q13"/>
    <mergeCell ref="AC3:AG3"/>
    <mergeCell ref="AF13:AI13"/>
    <mergeCell ref="AB13:AE13"/>
    <mergeCell ref="I13:L13"/>
    <mergeCell ref="P15:Q15"/>
    <mergeCell ref="P16:Q16"/>
    <mergeCell ref="P17:Q17"/>
    <mergeCell ref="P18:Q18"/>
    <mergeCell ref="P19:Q19"/>
    <mergeCell ref="P20:Q20"/>
    <mergeCell ref="P21:Q21"/>
    <mergeCell ref="P22:Q22"/>
    <mergeCell ref="P23:Q23"/>
    <mergeCell ref="P24:Q24"/>
    <mergeCell ref="DU13:EO13"/>
    <mergeCell ref="J5:AD5"/>
    <mergeCell ref="A6:B6"/>
    <mergeCell ref="G6:H6"/>
    <mergeCell ref="BN13:BR13"/>
    <mergeCell ref="C13:F13"/>
    <mergeCell ref="CN13:DH13"/>
    <mergeCell ref="DI13:DR13"/>
    <mergeCell ref="W9:Y9"/>
    <mergeCell ref="N14:O14"/>
    <mergeCell ref="P14:Q14"/>
    <mergeCell ref="J9:S9"/>
    <mergeCell ref="B1:D1"/>
    <mergeCell ref="B2:D2"/>
    <mergeCell ref="B3:D3"/>
    <mergeCell ref="BS13:CM13"/>
    <mergeCell ref="AJ13:AL13"/>
    <mergeCell ref="AM13:AO13"/>
    <mergeCell ref="AP13:AR13"/>
    <mergeCell ref="BG13:BI13"/>
    <mergeCell ref="BJ13:BM13"/>
    <mergeCell ref="R13:AA13"/>
    <mergeCell ref="AT13:BC13"/>
    <mergeCell ref="BD13:BF13"/>
    <mergeCell ref="D6:E6"/>
    <mergeCell ref="J1:Q1"/>
    <mergeCell ref="G1:H1"/>
    <mergeCell ref="G2:H2"/>
    <mergeCell ref="B4:D4"/>
  </mergeCells>
  <conditionalFormatting sqref="F15:F509">
    <cfRule type="expression" dxfId="4" priority="1">
      <formula>$F15&lt;0</formula>
    </cfRule>
  </conditionalFormatting>
  <dataValidations count="3">
    <dataValidation type="list" allowBlank="1" showInputMessage="1" showErrorMessage="1" sqref="J15:J509">
      <formula1>$BS$14:$CM$14</formula1>
    </dataValidation>
    <dataValidation allowBlank="1" showErrorMessage="1" sqref="K15:K509"/>
    <dataValidation type="list" allowBlank="1" showInputMessage="1" showErrorMessage="1" sqref="G2">
      <formula1>"Einlagerung,Goldmünzen"</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1:Q141"/>
  <sheetViews>
    <sheetView topLeftCell="B1" workbookViewId="0">
      <selection activeCell="Q4" sqref="Q4:Q137"/>
    </sheetView>
  </sheetViews>
  <sheetFormatPr baseColWidth="10" defaultRowHeight="15" x14ac:dyDescent="0.25"/>
  <sheetData>
    <row r="1" spans="2:17" x14ac:dyDescent="0.25">
      <c r="B1" s="139" t="s">
        <v>187</v>
      </c>
      <c r="C1" s="4" t="s">
        <v>188</v>
      </c>
      <c r="E1" s="139" t="s">
        <v>373</v>
      </c>
      <c r="F1" s="4" t="s">
        <v>184</v>
      </c>
    </row>
    <row r="2" spans="2:17" x14ac:dyDescent="0.25">
      <c r="P2" t="s">
        <v>389</v>
      </c>
      <c r="Q2" t="s">
        <v>390</v>
      </c>
    </row>
    <row r="3" spans="2:17" x14ac:dyDescent="0.25">
      <c r="G3" t="s">
        <v>336</v>
      </c>
      <c r="P3" s="326">
        <f>LEN(G3)-LEN(SUBSTITUTE(LOWER(G3),"[",))</f>
        <v>1</v>
      </c>
      <c r="Q3">
        <f>P3</f>
        <v>1</v>
      </c>
    </row>
    <row r="4" spans="2:17" x14ac:dyDescent="0.25">
      <c r="B4" t="s">
        <v>337</v>
      </c>
      <c r="C4" t="s">
        <v>226</v>
      </c>
      <c r="D4" t="s">
        <v>338</v>
      </c>
      <c r="E4" t="s">
        <v>339</v>
      </c>
      <c r="F4" t="s">
        <v>340</v>
      </c>
      <c r="G4" t="str">
        <f>CONCATENATE("[**]",B4,"[||]",C4,"[||]",D4,"[||]",E4,"[||]",F4,"[||]",K4,"[||]",L4,"[||]",M4,"[/**]")</f>
        <v>[**]Gebäude[||]Stufe[||]Baubeginn[||]Dauer[||]Ende[||]Äxte[||]Lkav[||]Rammen[/**]</v>
      </c>
      <c r="K4" t="str">
        <f>IF($C$1="Deutsch",IF($F$1="Off","Äxte","Speer"),IF($F$1="Off","Axe","Spear"))</f>
        <v>Äxte</v>
      </c>
      <c r="L4" t="str">
        <f>IF($C$1="Deutsch",IF($F$1="Off","Lkav","Schwert"),IF($F$1="Off","lcav","Sword"))</f>
        <v>Lkav</v>
      </c>
      <c r="M4" t="str">
        <f>IF($C$1="Deutsch",IF($F$1="Off","Rammen","Bogen"),IF($F$1="Off","Ram","Archer"))</f>
        <v>Rammen</v>
      </c>
      <c r="N4" t="s">
        <v>11</v>
      </c>
      <c r="O4" t="s">
        <v>341</v>
      </c>
      <c r="P4" s="326">
        <f t="shared" ref="P4:P67" si="0">LEN(G4)-LEN(SUBSTITUTE(LOWER(G4),"[",))</f>
        <v>9</v>
      </c>
      <c r="Q4">
        <f>P4+Q3</f>
        <v>10</v>
      </c>
    </row>
    <row r="5" spans="2:17" x14ac:dyDescent="0.25">
      <c r="B5" t="str">
        <f>IF($C$1="Deutsch",VLOOKUP('Construction Planner'!J15,$N$4:$O$20,2,FALSE),'Construction Planner'!J15)</f>
        <v>Holzfäller</v>
      </c>
      <c r="C5">
        <f>'Construction Planner'!L15</f>
        <v>1</v>
      </c>
      <c r="D5" s="133" t="str">
        <f>TEXT('Construction Planner'!P15,"TT.MM. hh:mm:ss")</f>
        <v>20.05. 16:31:00</v>
      </c>
      <c r="E5" s="133" t="str">
        <f>TEXT('Construction Planner'!M15,"[h]:mm:ss")</f>
        <v>0:00:07</v>
      </c>
      <c r="F5" s="133" t="str">
        <f>TEXT('Construction Planner'!N16,"TT.MM. hh:mm:ss")</f>
        <v>20.05. 16:31:07</v>
      </c>
      <c r="G5" t="str">
        <f t="shared" ref="G5:G16" si="1">CONCATENATE("[*]",B5,"[|]",C5,"[|]",D5,"[|]",E5,"[|]",F5,"[|]",K5,"[|]",L5,"[|]",M5)</f>
        <v>[*]Holzfäller[|]1[|]20.05. 16:31:00[|]0:00:07[|]20.05. 16:31:07[|]0[|]0[|]0</v>
      </c>
      <c r="K5">
        <f>IF($F$1="Off",'Construction Planner'!DK15,'Construction Planner'!DI16)</f>
        <v>0</v>
      </c>
      <c r="L5">
        <f>IF($F$1="Off",'Construction Planner'!DN15,'Construction Planner'!DJ16)</f>
        <v>0</v>
      </c>
      <c r="M5">
        <f>IF($F$1="Off",'Construction Planner'!DQ15,'Construction Planner'!DL16)</f>
        <v>0</v>
      </c>
      <c r="N5" t="s">
        <v>13</v>
      </c>
      <c r="O5" t="s">
        <v>342</v>
      </c>
      <c r="P5" s="326">
        <f t="shared" si="0"/>
        <v>8</v>
      </c>
      <c r="Q5">
        <f t="shared" ref="Q5:Q68" si="2">P5+Q4</f>
        <v>18</v>
      </c>
    </row>
    <row r="6" spans="2:17" x14ac:dyDescent="0.25">
      <c r="B6" t="str">
        <f>IF($C$1="Deutsch",VLOOKUP('Construction Planner'!J16,$N$4:$O$20,2,FALSE),'Construction Planner'!J16)</f>
        <v>Lehmgrube</v>
      </c>
      <c r="C6">
        <f>'Construction Planner'!L16</f>
        <v>1</v>
      </c>
      <c r="D6" s="133" t="str">
        <f>TEXT('Construction Planner'!P16,"TT.MM. hh:mm:ss")</f>
        <v>20.05. 16:31:07</v>
      </c>
      <c r="E6" s="133" t="str">
        <f>TEXT('Construction Planner'!M16,"[h]:mm:ss")</f>
        <v>0:00:07</v>
      </c>
      <c r="F6" s="133" t="str">
        <f>TEXT('Construction Planner'!N17,"TT.MM. hh:mm:ss")</f>
        <v>20.05. 16:31:14</v>
      </c>
      <c r="G6" t="str">
        <f t="shared" si="1"/>
        <v>[*]Lehmgrube[|]1[|]20.05. 16:31:07[|]0:00:07[|]20.05. 16:31:14[|]0[|]0[|]0</v>
      </c>
      <c r="K6">
        <f>IF($F$1="Off",'Construction Planner'!DK16,'Construction Planner'!DI17)</f>
        <v>0</v>
      </c>
      <c r="L6">
        <f>IF($F$1="Off",'Construction Planner'!DN16,'Construction Planner'!DJ17)</f>
        <v>0</v>
      </c>
      <c r="M6">
        <f>IF($F$1="Off",'Construction Planner'!DQ16,'Construction Planner'!DL17)</f>
        <v>0</v>
      </c>
      <c r="N6" t="s">
        <v>0</v>
      </c>
      <c r="O6" t="s">
        <v>343</v>
      </c>
      <c r="P6" s="326">
        <f t="shared" si="0"/>
        <v>8</v>
      </c>
      <c r="Q6">
        <f t="shared" si="2"/>
        <v>26</v>
      </c>
    </row>
    <row r="7" spans="2:17" x14ac:dyDescent="0.25">
      <c r="B7" t="str">
        <f>IF($C$1="Deutsch",VLOOKUP('Construction Planner'!J17,$N$4:$O$20,2,FALSE),'Construction Planner'!J17)</f>
        <v>Eisenmine</v>
      </c>
      <c r="C7">
        <f>'Construction Planner'!L17</f>
        <v>1</v>
      </c>
      <c r="D7" s="133" t="str">
        <f>TEXT('Construction Planner'!P17,"TT.MM. hh:mm:ss")</f>
        <v>20.05. 16:31:14</v>
      </c>
      <c r="E7" s="133" t="str">
        <f>TEXT('Construction Planner'!M17,"[h]:mm:ss")</f>
        <v>0:00:08</v>
      </c>
      <c r="F7" s="133" t="str">
        <f>TEXT('Construction Planner'!N18,"TT.MM. hh:mm:ss")</f>
        <v>20.05. 16:31:22</v>
      </c>
      <c r="G7" t="str">
        <f t="shared" si="1"/>
        <v>[*]Eisenmine[|]1[|]20.05. 16:31:14[|]0:00:08[|]20.05. 16:31:22[|]0[|]0[|]0</v>
      </c>
      <c r="K7">
        <f>IF($F$1="Off",'Construction Planner'!DK17,'Construction Planner'!DI18)</f>
        <v>0</v>
      </c>
      <c r="L7">
        <f>IF($F$1="Off",'Construction Planner'!DN17,'Construction Planner'!DJ18)</f>
        <v>0</v>
      </c>
      <c r="M7">
        <f>IF($F$1="Off",'Construction Planner'!DQ17,'Construction Planner'!DL18)</f>
        <v>0</v>
      </c>
      <c r="N7" t="s">
        <v>12</v>
      </c>
      <c r="O7" t="s">
        <v>344</v>
      </c>
      <c r="P7" s="326">
        <f t="shared" si="0"/>
        <v>8</v>
      </c>
      <c r="Q7">
        <f t="shared" si="2"/>
        <v>34</v>
      </c>
    </row>
    <row r="8" spans="2:17" x14ac:dyDescent="0.25">
      <c r="B8" t="e">
        <f>IF($C$1="Deutsch",VLOOKUP('Construction Planner'!J18,$N$4:$O$20,2,FALSE),'Construction Planner'!J18)</f>
        <v>#N/A</v>
      </c>
      <c r="C8" t="e">
        <f>'Construction Planner'!L18</f>
        <v>#N/A</v>
      </c>
      <c r="D8" s="133" t="e">
        <f>TEXT('Construction Planner'!P18,"TT.MM. hh:mm:ss")</f>
        <v>#N/A</v>
      </c>
      <c r="E8" s="133" t="e">
        <f>TEXT('Construction Planner'!M18,"[h]:mm:ss")</f>
        <v>#N/A</v>
      </c>
      <c r="F8" s="133" t="e">
        <f>TEXT('Construction Planner'!N19,"TT.MM. hh:mm:ss")</f>
        <v>#N/A</v>
      </c>
      <c r="G8" t="e">
        <f t="shared" si="1"/>
        <v>#N/A</v>
      </c>
      <c r="K8">
        <f>IF($F$1="Off",'Construction Planner'!DK18,'Construction Planner'!DI19)</f>
        <v>0</v>
      </c>
      <c r="L8">
        <f>IF($F$1="Off",'Construction Planner'!DN18,'Construction Planner'!DJ19)</f>
        <v>0</v>
      </c>
      <c r="M8">
        <f>IF($F$1="Off",'Construction Planner'!DQ18,'Construction Planner'!DL19)</f>
        <v>0</v>
      </c>
      <c r="N8" t="s">
        <v>10</v>
      </c>
      <c r="O8" t="s">
        <v>345</v>
      </c>
      <c r="P8" s="326" t="e">
        <f t="shared" si="0"/>
        <v>#N/A</v>
      </c>
      <c r="Q8" t="e">
        <f t="shared" si="2"/>
        <v>#N/A</v>
      </c>
    </row>
    <row r="9" spans="2:17" x14ac:dyDescent="0.25">
      <c r="B9" t="e">
        <f>IF($C$1="Deutsch",VLOOKUP('Construction Planner'!J19,$N$4:$O$20,2,FALSE),'Construction Planner'!J19)</f>
        <v>#N/A</v>
      </c>
      <c r="C9" t="e">
        <f>'Construction Planner'!L19</f>
        <v>#N/A</v>
      </c>
      <c r="D9" s="133" t="e">
        <f>TEXT('Construction Planner'!P19,"TT.MM. hh:mm:ss")</f>
        <v>#N/A</v>
      </c>
      <c r="E9" s="133" t="e">
        <f>TEXT('Construction Planner'!M19,"[h]:mm:ss")</f>
        <v>#N/A</v>
      </c>
      <c r="F9" s="133" t="e">
        <f>TEXT('Construction Planner'!N20,"TT.MM. hh:mm:ss")</f>
        <v>#N/A</v>
      </c>
      <c r="G9" t="e">
        <f t="shared" si="1"/>
        <v>#N/A</v>
      </c>
      <c r="K9">
        <f>IF($F$1="Off",'Construction Planner'!DK19,'Construction Planner'!DI20)</f>
        <v>0</v>
      </c>
      <c r="L9">
        <f>IF($F$1="Off",'Construction Planner'!DN19,'Construction Planner'!DJ20)</f>
        <v>0</v>
      </c>
      <c r="M9">
        <f>IF($F$1="Off",'Construction Planner'!DQ19,'Construction Planner'!DL20)</f>
        <v>0</v>
      </c>
      <c r="N9" t="s">
        <v>9</v>
      </c>
      <c r="O9" t="s">
        <v>346</v>
      </c>
      <c r="P9" s="326" t="e">
        <f t="shared" si="0"/>
        <v>#N/A</v>
      </c>
      <c r="Q9" t="e">
        <f t="shared" si="2"/>
        <v>#N/A</v>
      </c>
    </row>
    <row r="10" spans="2:17" x14ac:dyDescent="0.25">
      <c r="B10" t="e">
        <f>IF($C$1="Deutsch",VLOOKUP('Construction Planner'!J20,$N$4:$O$20,2,FALSE),'Construction Planner'!J20)</f>
        <v>#N/A</v>
      </c>
      <c r="C10" t="e">
        <f>'Construction Planner'!L20</f>
        <v>#N/A</v>
      </c>
      <c r="D10" s="133" t="e">
        <f>TEXT('Construction Planner'!P20,"TT.MM. hh:mm:ss")</f>
        <v>#N/A</v>
      </c>
      <c r="E10" s="133" t="e">
        <f>TEXT('Construction Planner'!M20,"[h]:mm:ss")</f>
        <v>#N/A</v>
      </c>
      <c r="F10" s="133" t="e">
        <f>TEXT('Construction Planner'!N21,"TT.MM. hh:mm:ss")</f>
        <v>#N/A</v>
      </c>
      <c r="G10" t="e">
        <f t="shared" si="1"/>
        <v>#N/A</v>
      </c>
      <c r="K10">
        <f>IF($F$1="Off",'Construction Planner'!DK20,'Construction Planner'!DI21)</f>
        <v>0</v>
      </c>
      <c r="L10">
        <f>IF($F$1="Off",'Construction Planner'!DN20,'Construction Planner'!DJ21)</f>
        <v>0</v>
      </c>
      <c r="M10">
        <f>IF($F$1="Off",'Construction Planner'!DQ20,'Construction Planner'!DL21)</f>
        <v>0</v>
      </c>
      <c r="N10" t="s">
        <v>8</v>
      </c>
      <c r="O10" t="s">
        <v>347</v>
      </c>
      <c r="P10" s="326" t="e">
        <f t="shared" si="0"/>
        <v>#N/A</v>
      </c>
      <c r="Q10" t="e">
        <f t="shared" si="2"/>
        <v>#N/A</v>
      </c>
    </row>
    <row r="11" spans="2:17" x14ac:dyDescent="0.25">
      <c r="B11" t="e">
        <f>IF($C$1="Deutsch",VLOOKUP('Construction Planner'!J21,$N$4:$O$20,2,FALSE),'Construction Planner'!J21)</f>
        <v>#N/A</v>
      </c>
      <c r="C11" t="e">
        <f>'Construction Planner'!L21</f>
        <v>#N/A</v>
      </c>
      <c r="D11" s="133" t="e">
        <f>TEXT('Construction Planner'!P21,"TT.MM. hh:mm:ss")</f>
        <v>#N/A</v>
      </c>
      <c r="E11" s="133" t="e">
        <f>TEXT('Construction Planner'!M21,"[h]:mm:ss")</f>
        <v>#N/A</v>
      </c>
      <c r="F11" s="133" t="e">
        <f>TEXT('Construction Planner'!N22,"TT.MM. hh:mm:ss")</f>
        <v>#N/A</v>
      </c>
      <c r="G11" t="e">
        <f t="shared" si="1"/>
        <v>#N/A</v>
      </c>
      <c r="K11">
        <f>IF($F$1="Off",'Construction Planner'!DK21,'Construction Planner'!DI22)</f>
        <v>0</v>
      </c>
      <c r="L11">
        <f>IF($F$1="Off",'Construction Planner'!DN21,'Construction Planner'!DJ22)</f>
        <v>0</v>
      </c>
      <c r="M11">
        <f>IF($F$1="Off",'Construction Planner'!DQ21,'Construction Planner'!DL22)</f>
        <v>0</v>
      </c>
      <c r="N11" t="s">
        <v>5</v>
      </c>
      <c r="O11" t="s">
        <v>348</v>
      </c>
      <c r="P11" s="326" t="e">
        <f t="shared" si="0"/>
        <v>#N/A</v>
      </c>
      <c r="Q11" t="e">
        <f t="shared" si="2"/>
        <v>#N/A</v>
      </c>
    </row>
    <row r="12" spans="2:17" x14ac:dyDescent="0.25">
      <c r="B12" t="e">
        <f>IF($C$1="Deutsch",VLOOKUP('Construction Planner'!J22,$N$4:$O$20,2,FALSE),'Construction Planner'!J22)</f>
        <v>#N/A</v>
      </c>
      <c r="C12" t="e">
        <f>'Construction Planner'!L22</f>
        <v>#N/A</v>
      </c>
      <c r="D12" s="133" t="e">
        <f>TEXT('Construction Planner'!P22,"TT.MM. hh:mm:ss")</f>
        <v>#N/A</v>
      </c>
      <c r="E12" s="133" t="e">
        <f>TEXT('Construction Planner'!M22,"[h]:mm:ss")</f>
        <v>#N/A</v>
      </c>
      <c r="F12" s="133" t="e">
        <f>TEXT('Construction Planner'!N23,"TT.MM. hh:mm:ss")</f>
        <v>#N/A</v>
      </c>
      <c r="G12" t="e">
        <f t="shared" si="1"/>
        <v>#N/A</v>
      </c>
      <c r="K12">
        <f>IF($F$1="Off",'Construction Planner'!DK22,'Construction Planner'!DI23)</f>
        <v>0</v>
      </c>
      <c r="L12">
        <f>IF($F$1="Off",'Construction Planner'!DN22,'Construction Planner'!DJ23)</f>
        <v>0</v>
      </c>
      <c r="M12">
        <f>IF($F$1="Off",'Construction Planner'!DQ22,'Construction Planner'!DL23)</f>
        <v>0</v>
      </c>
      <c r="N12" t="s">
        <v>1</v>
      </c>
      <c r="O12" t="s">
        <v>168</v>
      </c>
      <c r="P12" s="326" t="e">
        <f t="shared" si="0"/>
        <v>#N/A</v>
      </c>
      <c r="Q12" t="e">
        <f t="shared" si="2"/>
        <v>#N/A</v>
      </c>
    </row>
    <row r="13" spans="2:17" x14ac:dyDescent="0.25">
      <c r="B13" t="e">
        <f>IF($C$1="Deutsch",VLOOKUP('Construction Planner'!J23,$N$4:$O$20,2,FALSE),'Construction Planner'!J23)</f>
        <v>#N/A</v>
      </c>
      <c r="C13" t="e">
        <f>'Construction Planner'!L23</f>
        <v>#N/A</v>
      </c>
      <c r="D13" s="133" t="e">
        <f>TEXT('Construction Planner'!P23,"TT.MM. hh:mm:ss")</f>
        <v>#N/A</v>
      </c>
      <c r="E13" s="133" t="e">
        <f>TEXT('Construction Planner'!M23,"[h]:mm:ss")</f>
        <v>#N/A</v>
      </c>
      <c r="F13" s="133" t="e">
        <f>TEXT('Construction Planner'!N24,"TT.MM. hh:mm:ss")</f>
        <v>#N/A</v>
      </c>
      <c r="G13" t="e">
        <f t="shared" si="1"/>
        <v>#N/A</v>
      </c>
      <c r="K13">
        <f>IF($F$1="Off",'Construction Planner'!DK23,'Construction Planner'!DI24)</f>
        <v>0</v>
      </c>
      <c r="L13">
        <f>IF($F$1="Off",'Construction Planner'!DN23,'Construction Planner'!DJ24)</f>
        <v>0</v>
      </c>
      <c r="M13">
        <f>IF($F$1="Off",'Construction Planner'!DQ23,'Construction Planner'!DL24)</f>
        <v>0</v>
      </c>
      <c r="N13" t="s">
        <v>3</v>
      </c>
      <c r="O13" t="s">
        <v>170</v>
      </c>
      <c r="P13" s="326" t="e">
        <f t="shared" si="0"/>
        <v>#N/A</v>
      </c>
      <c r="Q13" t="e">
        <f t="shared" si="2"/>
        <v>#N/A</v>
      </c>
    </row>
    <row r="14" spans="2:17" x14ac:dyDescent="0.25">
      <c r="B14" t="e">
        <f>IF($C$1="Deutsch",VLOOKUP('Construction Planner'!J24,$N$4:$O$20,2,FALSE),'Construction Planner'!J24)</f>
        <v>#N/A</v>
      </c>
      <c r="C14" t="e">
        <f>'Construction Planner'!L24</f>
        <v>#N/A</v>
      </c>
      <c r="D14" s="133" t="e">
        <f>TEXT('Construction Planner'!P24,"TT.MM. hh:mm:ss")</f>
        <v>#N/A</v>
      </c>
      <c r="E14" s="133" t="e">
        <f>TEXT('Construction Planner'!M24,"[h]:mm:ss")</f>
        <v>#N/A</v>
      </c>
      <c r="F14" s="133" t="e">
        <f>TEXT('Construction Planner'!N25,"TT.MM. hh:mm:ss")</f>
        <v>#N/A</v>
      </c>
      <c r="G14" t="e">
        <f t="shared" si="1"/>
        <v>#N/A</v>
      </c>
      <c r="K14">
        <f>IF($F$1="Off",'Construction Planner'!DK24,'Construction Planner'!DI25)</f>
        <v>0</v>
      </c>
      <c r="L14">
        <f>IF($F$1="Off",'Construction Planner'!DN24,'Construction Planner'!DJ25)</f>
        <v>0</v>
      </c>
      <c r="M14">
        <f>IF($F$1="Off",'Construction Planner'!DQ24,'Construction Planner'!DL25)</f>
        <v>0</v>
      </c>
      <c r="N14" t="s">
        <v>2</v>
      </c>
      <c r="O14" t="s">
        <v>169</v>
      </c>
      <c r="P14" s="326" t="e">
        <f t="shared" si="0"/>
        <v>#N/A</v>
      </c>
      <c r="Q14" t="e">
        <f t="shared" si="2"/>
        <v>#N/A</v>
      </c>
    </row>
    <row r="15" spans="2:17" x14ac:dyDescent="0.25">
      <c r="B15" t="e">
        <f>IF($C$1="Deutsch",VLOOKUP('Construction Planner'!J25,$N$4:$O$20,2,FALSE),'Construction Planner'!J25)</f>
        <v>#N/A</v>
      </c>
      <c r="C15" t="e">
        <f>'Construction Planner'!L25</f>
        <v>#N/A</v>
      </c>
      <c r="D15" s="133" t="e">
        <f>TEXT('Construction Planner'!P25,"TT.MM. hh:mm:ss")</f>
        <v>#N/A</v>
      </c>
      <c r="E15" s="133" t="e">
        <f>TEXT('Construction Planner'!M25,"[h]:mm:ss")</f>
        <v>#N/A</v>
      </c>
      <c r="F15" s="133" t="e">
        <f>TEXT('Construction Planner'!N26,"TT.MM. hh:mm:ss")</f>
        <v>#N/A</v>
      </c>
      <c r="G15" t="e">
        <f t="shared" si="1"/>
        <v>#N/A</v>
      </c>
      <c r="K15">
        <f>IF($F$1="Off",'Construction Planner'!DK25,'Construction Planner'!DI26)</f>
        <v>0</v>
      </c>
      <c r="L15">
        <f>IF($F$1="Off",'Construction Planner'!DN25,'Construction Planner'!DJ26)</f>
        <v>0</v>
      </c>
      <c r="M15">
        <f>IF($F$1="Off",'Construction Planner'!DQ25,'Construction Planner'!DL26)</f>
        <v>0</v>
      </c>
      <c r="N15" t="s">
        <v>142</v>
      </c>
      <c r="O15" t="s">
        <v>349</v>
      </c>
      <c r="P15" s="326" t="e">
        <f t="shared" si="0"/>
        <v>#N/A</v>
      </c>
      <c r="Q15" t="e">
        <f t="shared" si="2"/>
        <v>#N/A</v>
      </c>
    </row>
    <row r="16" spans="2:17" x14ac:dyDescent="0.25">
      <c r="B16" t="e">
        <f>IF($C$1="Deutsch",VLOOKUP('Construction Planner'!J26,$N$4:$O$20,2,FALSE),'Construction Planner'!J26)</f>
        <v>#N/A</v>
      </c>
      <c r="C16" t="e">
        <f>'Construction Planner'!L26</f>
        <v>#N/A</v>
      </c>
      <c r="D16" s="133" t="e">
        <f>TEXT('Construction Planner'!P26,"TT.MM. hh:mm:ss")</f>
        <v>#N/A</v>
      </c>
      <c r="E16" s="133" t="e">
        <f>TEXT('Construction Planner'!M26,"[h]:mm:ss")</f>
        <v>#N/A</v>
      </c>
      <c r="F16" s="133" t="e">
        <f>TEXT('Construction Planner'!N27,"TT.MM. hh:mm:ss")</f>
        <v>#N/A</v>
      </c>
      <c r="G16" t="e">
        <f t="shared" si="1"/>
        <v>#N/A</v>
      </c>
      <c r="K16">
        <f>IF($F$1="Off",'Construction Planner'!DK26,'Construction Planner'!DI27)</f>
        <v>0</v>
      </c>
      <c r="L16">
        <f>IF($F$1="Off",'Construction Planner'!DN26,'Construction Planner'!DJ27)</f>
        <v>0</v>
      </c>
      <c r="M16">
        <f>IF($F$1="Off",'Construction Planner'!DQ26,'Construction Planner'!DL27)</f>
        <v>0</v>
      </c>
      <c r="N16" t="s">
        <v>106</v>
      </c>
      <c r="O16" t="s">
        <v>350</v>
      </c>
      <c r="P16" s="326" t="e">
        <f t="shared" si="0"/>
        <v>#N/A</v>
      </c>
      <c r="Q16" t="e">
        <f t="shared" si="2"/>
        <v>#N/A</v>
      </c>
    </row>
    <row r="17" spans="2:17" x14ac:dyDescent="0.25">
      <c r="B17" t="e">
        <f>IF($C$1="Deutsch",VLOOKUP('Construction Planner'!J27,$N$4:$O$20,2,FALSE),'Construction Planner'!J27)</f>
        <v>#N/A</v>
      </c>
      <c r="C17" t="e">
        <f>'Construction Planner'!L27</f>
        <v>#N/A</v>
      </c>
      <c r="D17" s="133" t="e">
        <f>TEXT('Construction Planner'!P27,"TT.MM. hh:mm:ss")</f>
        <v>#N/A</v>
      </c>
      <c r="E17" s="133" t="e">
        <f>TEXT('Construction Planner'!M27,"[h]:mm:ss")</f>
        <v>#N/A</v>
      </c>
      <c r="F17" s="133" t="e">
        <f>TEXT('Construction Planner'!N28,"TT.MM. hh:mm:ss")</f>
        <v>#N/A</v>
      </c>
      <c r="G17" t="e">
        <f t="shared" ref="G17:G80" si="3">CONCATENATE("[*]",B17,"[|]",C17,"[|]",D17,"[|]",E17,"[|]",F17,"[|]",K17,"[|]",L17,"[|]",M17)</f>
        <v>#N/A</v>
      </c>
      <c r="K17">
        <f>IF($F$1="Off",'Construction Planner'!DK27,'Construction Planner'!DI28)</f>
        <v>0</v>
      </c>
      <c r="L17">
        <f>IF($F$1="Off",'Construction Planner'!DN27,'Construction Planner'!DJ28)</f>
        <v>0</v>
      </c>
      <c r="M17">
        <f>IF($F$1="Off",'Construction Planner'!DQ27,'Construction Planner'!DL28)</f>
        <v>0</v>
      </c>
      <c r="N17" t="s">
        <v>107</v>
      </c>
      <c r="O17" t="s">
        <v>205</v>
      </c>
      <c r="P17" s="326" t="e">
        <f t="shared" si="0"/>
        <v>#N/A</v>
      </c>
      <c r="Q17" t="e">
        <f t="shared" si="2"/>
        <v>#N/A</v>
      </c>
    </row>
    <row r="18" spans="2:17" x14ac:dyDescent="0.25">
      <c r="B18" t="e">
        <f>IF($C$1="Deutsch",VLOOKUP('Construction Planner'!J28,$N$4:$O$20,2,FALSE),'Construction Planner'!J28)</f>
        <v>#N/A</v>
      </c>
      <c r="C18" t="e">
        <f>'Construction Planner'!L28</f>
        <v>#N/A</v>
      </c>
      <c r="D18" s="133" t="e">
        <f>TEXT('Construction Planner'!P28,"TT.MM. hh:mm:ss")</f>
        <v>#N/A</v>
      </c>
      <c r="E18" s="133" t="e">
        <f>TEXT('Construction Planner'!M28,"[h]:mm:ss")</f>
        <v>#N/A</v>
      </c>
      <c r="F18" s="133" t="e">
        <f>TEXT('Construction Planner'!N29,"TT.MM. hh:mm:ss")</f>
        <v>#N/A</v>
      </c>
      <c r="G18" t="e">
        <f t="shared" si="3"/>
        <v>#N/A</v>
      </c>
      <c r="K18">
        <f>IF($F$1="Off",'Construction Planner'!DK28,'Construction Planner'!DI29)</f>
        <v>0</v>
      </c>
      <c r="L18">
        <f>IF($F$1="Off",'Construction Planner'!DN28,'Construction Planner'!DJ29)</f>
        <v>0</v>
      </c>
      <c r="M18">
        <f>IF($F$1="Off",'Construction Planner'!DQ28,'Construction Planner'!DL29)</f>
        <v>0</v>
      </c>
      <c r="N18" t="s">
        <v>64</v>
      </c>
      <c r="O18" t="s">
        <v>352</v>
      </c>
      <c r="P18" s="326" t="e">
        <f t="shared" si="0"/>
        <v>#N/A</v>
      </c>
      <c r="Q18" t="e">
        <f t="shared" si="2"/>
        <v>#N/A</v>
      </c>
    </row>
    <row r="19" spans="2:17" x14ac:dyDescent="0.25">
      <c r="B19" t="e">
        <f>IF($C$1="Deutsch",VLOOKUP('Construction Planner'!J29,$N$4:$O$20,2,FALSE),'Construction Planner'!J29)</f>
        <v>#N/A</v>
      </c>
      <c r="C19" t="e">
        <f>'Construction Planner'!L29</f>
        <v>#N/A</v>
      </c>
      <c r="D19" s="133" t="e">
        <f>TEXT('Construction Planner'!P29,"TT.MM. hh:mm:ss")</f>
        <v>#N/A</v>
      </c>
      <c r="E19" s="133" t="e">
        <f>TEXT('Construction Planner'!M29,"[h]:mm:ss")</f>
        <v>#N/A</v>
      </c>
      <c r="F19" s="133" t="e">
        <f>TEXT('Construction Planner'!N30,"TT.MM. hh:mm:ss")</f>
        <v>#N/A</v>
      </c>
      <c r="G19" t="e">
        <f t="shared" si="3"/>
        <v>#N/A</v>
      </c>
      <c r="K19">
        <f>IF($F$1="Off",'Construction Planner'!DK29,'Construction Planner'!DI30)</f>
        <v>0</v>
      </c>
      <c r="L19">
        <f>IF($F$1="Off",'Construction Planner'!DN29,'Construction Planner'!DJ30)</f>
        <v>0</v>
      </c>
      <c r="M19">
        <f>IF($F$1="Off",'Construction Planner'!DQ29,'Construction Planner'!DL30)</f>
        <v>0</v>
      </c>
      <c r="N19" t="s">
        <v>60</v>
      </c>
      <c r="O19" t="s">
        <v>353</v>
      </c>
      <c r="P19" s="326" t="e">
        <f t="shared" si="0"/>
        <v>#N/A</v>
      </c>
      <c r="Q19" t="e">
        <f t="shared" si="2"/>
        <v>#N/A</v>
      </c>
    </row>
    <row r="20" spans="2:17" x14ac:dyDescent="0.25">
      <c r="B20" t="e">
        <f>IF($C$1="Deutsch",VLOOKUP('Construction Planner'!J30,$N$4:$O$20,2,FALSE),'Construction Planner'!J30)</f>
        <v>#N/A</v>
      </c>
      <c r="C20" t="e">
        <f>'Construction Planner'!L30</f>
        <v>#N/A</v>
      </c>
      <c r="D20" s="133" t="e">
        <f>TEXT('Construction Planner'!P30,"TT.MM. hh:mm:ss")</f>
        <v>#N/A</v>
      </c>
      <c r="E20" s="133" t="e">
        <f>TEXT('Construction Planner'!M30,"[h]:mm:ss")</f>
        <v>#N/A</v>
      </c>
      <c r="F20" s="133" t="e">
        <f>TEXT('Construction Planner'!N31,"TT.MM. hh:mm:ss")</f>
        <v>#N/A</v>
      </c>
      <c r="G20" t="e">
        <f t="shared" si="3"/>
        <v>#N/A</v>
      </c>
      <c r="K20">
        <f>IF($F$1="Off",'Construction Planner'!DK30,'Construction Planner'!DI31)</f>
        <v>0</v>
      </c>
      <c r="L20">
        <f>IF($F$1="Off",'Construction Planner'!DN30,'Construction Planner'!DJ31)</f>
        <v>0</v>
      </c>
      <c r="M20">
        <f>IF($F$1="Off",'Construction Planner'!DQ30,'Construction Planner'!DL31)</f>
        <v>0</v>
      </c>
      <c r="N20" t="s">
        <v>59</v>
      </c>
      <c r="O20" t="s">
        <v>354</v>
      </c>
      <c r="P20" s="326" t="e">
        <f t="shared" si="0"/>
        <v>#N/A</v>
      </c>
      <c r="Q20" t="e">
        <f t="shared" si="2"/>
        <v>#N/A</v>
      </c>
    </row>
    <row r="21" spans="2:17" x14ac:dyDescent="0.25">
      <c r="B21" t="e">
        <f>IF($C$1="Deutsch",VLOOKUP('Construction Planner'!J31,$N$4:$O$20,2,FALSE),'Construction Planner'!J31)</f>
        <v>#N/A</v>
      </c>
      <c r="C21" t="e">
        <f>'Construction Planner'!L31</f>
        <v>#N/A</v>
      </c>
      <c r="D21" s="133" t="e">
        <f>TEXT('Construction Planner'!P31,"TT.MM. hh:mm:ss")</f>
        <v>#N/A</v>
      </c>
      <c r="E21" s="133" t="e">
        <f>TEXT('Construction Planner'!M31,"[h]:mm:ss")</f>
        <v>#N/A</v>
      </c>
      <c r="F21" s="133" t="e">
        <f>TEXT('Construction Planner'!N32,"TT.MM. hh:mm:ss")</f>
        <v>#N/A</v>
      </c>
      <c r="G21" t="e">
        <f t="shared" si="3"/>
        <v>#N/A</v>
      </c>
      <c r="K21">
        <f>IF($F$1="Off",'Construction Planner'!DK31,'Construction Planner'!DI32)</f>
        <v>0</v>
      </c>
      <c r="L21">
        <f>IF($F$1="Off",'Construction Planner'!DN31,'Construction Planner'!DJ32)</f>
        <v>0</v>
      </c>
      <c r="M21">
        <f>IF($F$1="Off",'Construction Planner'!DQ31,'Construction Planner'!DL32)</f>
        <v>0</v>
      </c>
      <c r="P21" s="326" t="e">
        <f t="shared" si="0"/>
        <v>#N/A</v>
      </c>
      <c r="Q21" t="e">
        <f t="shared" si="2"/>
        <v>#N/A</v>
      </c>
    </row>
    <row r="22" spans="2:17" x14ac:dyDescent="0.25">
      <c r="B22" t="e">
        <f>IF($C$1="Deutsch",VLOOKUP('Construction Planner'!J32,$N$4:$O$20,2,FALSE),'Construction Planner'!J32)</f>
        <v>#N/A</v>
      </c>
      <c r="C22" t="e">
        <f>'Construction Planner'!L32</f>
        <v>#N/A</v>
      </c>
      <c r="D22" s="133" t="e">
        <f>TEXT('Construction Planner'!P32,"TT.MM. hh:mm:ss")</f>
        <v>#N/A</v>
      </c>
      <c r="E22" s="133" t="e">
        <f>TEXT('Construction Planner'!M32,"[h]:mm:ss")</f>
        <v>#N/A</v>
      </c>
      <c r="F22" s="133" t="e">
        <f>TEXT('Construction Planner'!N33,"TT.MM. hh:mm:ss")</f>
        <v>#N/A</v>
      </c>
      <c r="G22" t="e">
        <f t="shared" si="3"/>
        <v>#N/A</v>
      </c>
      <c r="K22">
        <f>IF($F$1="Off",'Construction Planner'!DK32,'Construction Planner'!DI33)</f>
        <v>0</v>
      </c>
      <c r="L22">
        <f>IF($F$1="Off",'Construction Planner'!DN32,'Construction Planner'!DJ33)</f>
        <v>0</v>
      </c>
      <c r="M22">
        <f>IF($F$1="Off",'Construction Planner'!DQ32,'Construction Planner'!DL33)</f>
        <v>0</v>
      </c>
      <c r="P22" s="326" t="e">
        <f t="shared" si="0"/>
        <v>#N/A</v>
      </c>
      <c r="Q22" t="e">
        <f t="shared" si="2"/>
        <v>#N/A</v>
      </c>
    </row>
    <row r="23" spans="2:17" x14ac:dyDescent="0.25">
      <c r="B23" t="e">
        <f>IF($C$1="Deutsch",VLOOKUP('Construction Planner'!J33,$N$4:$O$20,2,FALSE),'Construction Planner'!J33)</f>
        <v>#N/A</v>
      </c>
      <c r="C23" t="e">
        <f>'Construction Planner'!L33</f>
        <v>#N/A</v>
      </c>
      <c r="D23" s="133" t="e">
        <f>TEXT('Construction Planner'!P33,"TT.MM. hh:mm:ss")</f>
        <v>#N/A</v>
      </c>
      <c r="E23" s="133" t="e">
        <f>TEXT('Construction Planner'!M33,"[h]:mm:ss")</f>
        <v>#N/A</v>
      </c>
      <c r="F23" s="133" t="e">
        <f>TEXT('Construction Planner'!N34,"TT.MM. hh:mm:ss")</f>
        <v>#N/A</v>
      </c>
      <c r="G23" t="e">
        <f t="shared" si="3"/>
        <v>#N/A</v>
      </c>
      <c r="K23">
        <f>IF($F$1="Off",'Construction Planner'!DK33,'Construction Planner'!DI34)</f>
        <v>0</v>
      </c>
      <c r="L23">
        <f>IF($F$1="Off",'Construction Planner'!DN33,'Construction Planner'!DJ34)</f>
        <v>0</v>
      </c>
      <c r="M23">
        <f>IF($F$1="Off",'Construction Planner'!DQ33,'Construction Planner'!DL34)</f>
        <v>0</v>
      </c>
      <c r="P23" s="326" t="e">
        <f t="shared" si="0"/>
        <v>#N/A</v>
      </c>
      <c r="Q23" t="e">
        <f t="shared" si="2"/>
        <v>#N/A</v>
      </c>
    </row>
    <row r="24" spans="2:17" x14ac:dyDescent="0.25">
      <c r="B24" t="e">
        <f>IF($C$1="Deutsch",VLOOKUP('Construction Planner'!J34,$N$4:$O$20,2,FALSE),'Construction Planner'!J34)</f>
        <v>#N/A</v>
      </c>
      <c r="C24" t="e">
        <f>'Construction Planner'!L34</f>
        <v>#N/A</v>
      </c>
      <c r="D24" s="133" t="e">
        <f>TEXT('Construction Planner'!P34,"TT.MM. hh:mm:ss")</f>
        <v>#N/A</v>
      </c>
      <c r="E24" s="133" t="e">
        <f>TEXT('Construction Planner'!M34,"[h]:mm:ss")</f>
        <v>#N/A</v>
      </c>
      <c r="F24" s="133" t="e">
        <f>TEXT('Construction Planner'!N35,"TT.MM. hh:mm:ss")</f>
        <v>#N/A</v>
      </c>
      <c r="G24" t="e">
        <f t="shared" si="3"/>
        <v>#N/A</v>
      </c>
      <c r="K24">
        <f>IF($F$1="Off",'Construction Planner'!DK34,'Construction Planner'!DI35)</f>
        <v>0</v>
      </c>
      <c r="L24">
        <f>IF($F$1="Off",'Construction Planner'!DN34,'Construction Planner'!DJ35)</f>
        <v>0</v>
      </c>
      <c r="M24">
        <f>IF($F$1="Off",'Construction Planner'!DQ34,'Construction Planner'!DL35)</f>
        <v>0</v>
      </c>
      <c r="P24" s="326" t="e">
        <f t="shared" si="0"/>
        <v>#N/A</v>
      </c>
      <c r="Q24" t="e">
        <f t="shared" si="2"/>
        <v>#N/A</v>
      </c>
    </row>
    <row r="25" spans="2:17" x14ac:dyDescent="0.25">
      <c r="B25" t="e">
        <f>IF($C$1="Deutsch",VLOOKUP('Construction Planner'!J35,$N$4:$O$20,2,FALSE),'Construction Planner'!J35)</f>
        <v>#N/A</v>
      </c>
      <c r="C25" t="e">
        <f>'Construction Planner'!L35</f>
        <v>#N/A</v>
      </c>
      <c r="D25" s="133" t="e">
        <f>TEXT('Construction Planner'!P35,"TT.MM. hh:mm:ss")</f>
        <v>#N/A</v>
      </c>
      <c r="E25" s="133" t="e">
        <f>TEXT('Construction Planner'!M35,"[h]:mm:ss")</f>
        <v>#N/A</v>
      </c>
      <c r="F25" s="133" t="e">
        <f>TEXT('Construction Planner'!N36,"TT.MM. hh:mm:ss")</f>
        <v>#N/A</v>
      </c>
      <c r="G25" t="e">
        <f t="shared" si="3"/>
        <v>#N/A</v>
      </c>
      <c r="K25">
        <f>IF($F$1="Off",'Construction Planner'!DK35,'Construction Planner'!DI36)</f>
        <v>0</v>
      </c>
      <c r="L25">
        <f>IF($F$1="Off",'Construction Planner'!DN35,'Construction Planner'!DJ36)</f>
        <v>0</v>
      </c>
      <c r="M25">
        <f>IF($F$1="Off",'Construction Planner'!DQ35,'Construction Planner'!DL36)</f>
        <v>0</v>
      </c>
      <c r="P25" s="326" t="e">
        <f t="shared" si="0"/>
        <v>#N/A</v>
      </c>
      <c r="Q25" t="e">
        <f t="shared" si="2"/>
        <v>#N/A</v>
      </c>
    </row>
    <row r="26" spans="2:17" x14ac:dyDescent="0.25">
      <c r="B26" t="e">
        <f>IF($C$1="Deutsch",VLOOKUP('Construction Planner'!J36,$N$4:$O$20,2,FALSE),'Construction Planner'!J36)</f>
        <v>#N/A</v>
      </c>
      <c r="C26" t="e">
        <f>'Construction Planner'!L36</f>
        <v>#N/A</v>
      </c>
      <c r="D26" s="133" t="e">
        <f>TEXT('Construction Planner'!P36,"TT.MM. hh:mm:ss")</f>
        <v>#N/A</v>
      </c>
      <c r="E26" s="133" t="e">
        <f>TEXT('Construction Planner'!M36,"[h]:mm:ss")</f>
        <v>#N/A</v>
      </c>
      <c r="F26" s="133" t="e">
        <f>TEXT('Construction Planner'!N37,"TT.MM. hh:mm:ss")</f>
        <v>#N/A</v>
      </c>
      <c r="G26" t="e">
        <f t="shared" si="3"/>
        <v>#N/A</v>
      </c>
      <c r="K26">
        <f>IF($F$1="Off",'Construction Planner'!DK36,'Construction Planner'!DI37)</f>
        <v>0</v>
      </c>
      <c r="L26">
        <f>IF($F$1="Off",'Construction Planner'!DN36,'Construction Planner'!DJ37)</f>
        <v>0</v>
      </c>
      <c r="M26">
        <f>IF($F$1="Off",'Construction Planner'!DQ36,'Construction Planner'!DL37)</f>
        <v>0</v>
      </c>
      <c r="P26" s="326" t="e">
        <f t="shared" si="0"/>
        <v>#N/A</v>
      </c>
      <c r="Q26" t="e">
        <f t="shared" si="2"/>
        <v>#N/A</v>
      </c>
    </row>
    <row r="27" spans="2:17" x14ac:dyDescent="0.25">
      <c r="B27" t="e">
        <f>IF($C$1="Deutsch",VLOOKUP('Construction Planner'!J37,$N$4:$O$20,2,FALSE),'Construction Planner'!J37)</f>
        <v>#N/A</v>
      </c>
      <c r="C27" t="e">
        <f>'Construction Planner'!L37</f>
        <v>#N/A</v>
      </c>
      <c r="D27" s="133" t="e">
        <f>TEXT('Construction Planner'!P37,"TT.MM. hh:mm:ss")</f>
        <v>#N/A</v>
      </c>
      <c r="E27" s="133" t="e">
        <f>TEXT('Construction Planner'!M37,"[h]:mm:ss")</f>
        <v>#N/A</v>
      </c>
      <c r="F27" s="133" t="e">
        <f>TEXT('Construction Planner'!N38,"TT.MM. hh:mm:ss")</f>
        <v>#N/A</v>
      </c>
      <c r="G27" t="e">
        <f t="shared" si="3"/>
        <v>#N/A</v>
      </c>
      <c r="K27">
        <f>IF($F$1="Off",'Construction Planner'!DK37,'Construction Planner'!DI38)</f>
        <v>0</v>
      </c>
      <c r="L27">
        <f>IF($F$1="Off",'Construction Planner'!DN37,'Construction Planner'!DJ38)</f>
        <v>0</v>
      </c>
      <c r="M27">
        <f>IF($F$1="Off",'Construction Planner'!DQ37,'Construction Planner'!DL38)</f>
        <v>0</v>
      </c>
      <c r="P27" s="326" t="e">
        <f t="shared" si="0"/>
        <v>#N/A</v>
      </c>
      <c r="Q27" t="e">
        <f t="shared" si="2"/>
        <v>#N/A</v>
      </c>
    </row>
    <row r="28" spans="2:17" x14ac:dyDescent="0.25">
      <c r="B28" t="e">
        <f>IF($C$1="Deutsch",VLOOKUP('Construction Planner'!J38,$N$4:$O$20,2,FALSE),'Construction Planner'!J38)</f>
        <v>#N/A</v>
      </c>
      <c r="C28" t="e">
        <f>'Construction Planner'!L38</f>
        <v>#N/A</v>
      </c>
      <c r="D28" s="133" t="e">
        <f>TEXT('Construction Planner'!P38,"TT.MM. hh:mm:ss")</f>
        <v>#N/A</v>
      </c>
      <c r="E28" s="133" t="e">
        <f>TEXT('Construction Planner'!M38,"[h]:mm:ss")</f>
        <v>#N/A</v>
      </c>
      <c r="F28" s="133" t="e">
        <f>TEXT('Construction Planner'!N39,"TT.MM. hh:mm:ss")</f>
        <v>#N/A</v>
      </c>
      <c r="G28" t="e">
        <f t="shared" si="3"/>
        <v>#N/A</v>
      </c>
      <c r="K28">
        <f>IF($F$1="Off",'Construction Planner'!DK38,'Construction Planner'!DI39)</f>
        <v>0</v>
      </c>
      <c r="L28">
        <f>IF($F$1="Off",'Construction Planner'!DN38,'Construction Planner'!DJ39)</f>
        <v>0</v>
      </c>
      <c r="M28">
        <f>IF($F$1="Off",'Construction Planner'!DQ38,'Construction Planner'!DL39)</f>
        <v>0</v>
      </c>
      <c r="P28" s="326" t="e">
        <f t="shared" si="0"/>
        <v>#N/A</v>
      </c>
      <c r="Q28" t="e">
        <f t="shared" si="2"/>
        <v>#N/A</v>
      </c>
    </row>
    <row r="29" spans="2:17" x14ac:dyDescent="0.25">
      <c r="B29" t="e">
        <f>IF($C$1="Deutsch",VLOOKUP('Construction Planner'!J39,$N$4:$O$20,2,FALSE),'Construction Planner'!J39)</f>
        <v>#N/A</v>
      </c>
      <c r="C29" t="e">
        <f>'Construction Planner'!L39</f>
        <v>#N/A</v>
      </c>
      <c r="D29" s="133" t="e">
        <f>TEXT('Construction Planner'!P39,"TT.MM. hh:mm:ss")</f>
        <v>#N/A</v>
      </c>
      <c r="E29" s="133" t="e">
        <f>TEXT('Construction Planner'!M39,"[h]:mm:ss")</f>
        <v>#N/A</v>
      </c>
      <c r="F29" s="133" t="e">
        <f>TEXT('Construction Planner'!N40,"TT.MM. hh:mm:ss")</f>
        <v>#N/A</v>
      </c>
      <c r="G29" t="e">
        <f t="shared" si="3"/>
        <v>#N/A</v>
      </c>
      <c r="K29">
        <f>IF($F$1="Off",'Construction Planner'!DK39,'Construction Planner'!DI40)</f>
        <v>0</v>
      </c>
      <c r="L29">
        <f>IF($F$1="Off",'Construction Planner'!DN39,'Construction Planner'!DJ40)</f>
        <v>0</v>
      </c>
      <c r="M29">
        <f>IF($F$1="Off",'Construction Planner'!DQ39,'Construction Planner'!DL40)</f>
        <v>0</v>
      </c>
      <c r="P29" s="326" t="e">
        <f t="shared" si="0"/>
        <v>#N/A</v>
      </c>
      <c r="Q29" t="e">
        <f t="shared" si="2"/>
        <v>#N/A</v>
      </c>
    </row>
    <row r="30" spans="2:17" x14ac:dyDescent="0.25">
      <c r="B30" t="e">
        <f>IF($C$1="Deutsch",VLOOKUP('Construction Planner'!J40,$N$4:$O$20,2,FALSE),'Construction Planner'!J40)</f>
        <v>#N/A</v>
      </c>
      <c r="C30" t="e">
        <f>'Construction Planner'!L40</f>
        <v>#N/A</v>
      </c>
      <c r="D30" s="133" t="e">
        <f>TEXT('Construction Planner'!P40,"TT.MM. hh:mm:ss")</f>
        <v>#N/A</v>
      </c>
      <c r="E30" s="133" t="e">
        <f>TEXT('Construction Planner'!M40,"[h]:mm:ss")</f>
        <v>#N/A</v>
      </c>
      <c r="F30" s="133" t="e">
        <f>TEXT('Construction Planner'!N41,"TT.MM. hh:mm:ss")</f>
        <v>#N/A</v>
      </c>
      <c r="G30" t="e">
        <f t="shared" si="3"/>
        <v>#N/A</v>
      </c>
      <c r="K30">
        <f>IF($F$1="Off",'Construction Planner'!DK40,'Construction Planner'!DI41)</f>
        <v>0</v>
      </c>
      <c r="L30">
        <f>IF($F$1="Off",'Construction Planner'!DN40,'Construction Planner'!DJ41)</f>
        <v>0</v>
      </c>
      <c r="M30">
        <f>IF($F$1="Off",'Construction Planner'!DQ40,'Construction Planner'!DL41)</f>
        <v>0</v>
      </c>
      <c r="P30" s="326" t="e">
        <f t="shared" si="0"/>
        <v>#N/A</v>
      </c>
      <c r="Q30" t="e">
        <f t="shared" si="2"/>
        <v>#N/A</v>
      </c>
    </row>
    <row r="31" spans="2:17" x14ac:dyDescent="0.25">
      <c r="B31" t="e">
        <f>IF($C$1="Deutsch",VLOOKUP('Construction Planner'!J41,$N$4:$O$20,2,FALSE),'Construction Planner'!J41)</f>
        <v>#N/A</v>
      </c>
      <c r="C31" t="e">
        <f>'Construction Planner'!L41</f>
        <v>#N/A</v>
      </c>
      <c r="D31" s="133" t="e">
        <f>TEXT('Construction Planner'!P41,"TT.MM. hh:mm:ss")</f>
        <v>#N/A</v>
      </c>
      <c r="E31" s="133" t="e">
        <f>TEXT('Construction Planner'!M41,"[h]:mm:ss")</f>
        <v>#N/A</v>
      </c>
      <c r="F31" s="133" t="e">
        <f>TEXT('Construction Planner'!N42,"TT.MM. hh:mm:ss")</f>
        <v>#N/A</v>
      </c>
      <c r="G31" t="e">
        <f t="shared" si="3"/>
        <v>#N/A</v>
      </c>
      <c r="K31">
        <f>IF($F$1="Off",'Construction Planner'!DK41,'Construction Planner'!DI42)</f>
        <v>0</v>
      </c>
      <c r="L31">
        <f>IF($F$1="Off",'Construction Planner'!DN41,'Construction Planner'!DJ42)</f>
        <v>0</v>
      </c>
      <c r="M31">
        <f>IF($F$1="Off",'Construction Planner'!DQ41,'Construction Planner'!DL42)</f>
        <v>0</v>
      </c>
      <c r="P31" s="326" t="e">
        <f t="shared" si="0"/>
        <v>#N/A</v>
      </c>
      <c r="Q31" t="e">
        <f t="shared" si="2"/>
        <v>#N/A</v>
      </c>
    </row>
    <row r="32" spans="2:17" x14ac:dyDescent="0.25">
      <c r="B32" t="e">
        <f>IF($C$1="Deutsch",VLOOKUP('Construction Planner'!J42,$N$4:$O$20,2,FALSE),'Construction Planner'!J42)</f>
        <v>#N/A</v>
      </c>
      <c r="C32" t="e">
        <f>'Construction Planner'!L42</f>
        <v>#N/A</v>
      </c>
      <c r="D32" s="133" t="e">
        <f>TEXT('Construction Planner'!P42,"TT.MM. hh:mm:ss")</f>
        <v>#N/A</v>
      </c>
      <c r="E32" s="133" t="e">
        <f>TEXT('Construction Planner'!M42,"[h]:mm:ss")</f>
        <v>#N/A</v>
      </c>
      <c r="F32" s="133" t="e">
        <f>TEXT('Construction Planner'!N43,"TT.MM. hh:mm:ss")</f>
        <v>#N/A</v>
      </c>
      <c r="G32" t="e">
        <f t="shared" si="3"/>
        <v>#N/A</v>
      </c>
      <c r="K32">
        <f>IF($F$1="Off",'Construction Planner'!DK42,'Construction Planner'!DI43)</f>
        <v>0</v>
      </c>
      <c r="L32">
        <f>IF($F$1="Off",'Construction Planner'!DN42,'Construction Planner'!DJ43)</f>
        <v>0</v>
      </c>
      <c r="M32">
        <f>IF($F$1="Off",'Construction Planner'!DQ42,'Construction Planner'!DL43)</f>
        <v>0</v>
      </c>
      <c r="P32" s="326" t="e">
        <f t="shared" si="0"/>
        <v>#N/A</v>
      </c>
      <c r="Q32" t="e">
        <f t="shared" si="2"/>
        <v>#N/A</v>
      </c>
    </row>
    <row r="33" spans="2:17" x14ac:dyDescent="0.25">
      <c r="B33" t="e">
        <f>IF($C$1="Deutsch",VLOOKUP('Construction Planner'!J43,$N$4:$O$20,2,FALSE),'Construction Planner'!J43)</f>
        <v>#N/A</v>
      </c>
      <c r="C33" t="e">
        <f>'Construction Planner'!L43</f>
        <v>#N/A</v>
      </c>
      <c r="D33" s="133" t="e">
        <f>TEXT('Construction Planner'!P43,"TT.MM. hh:mm:ss")</f>
        <v>#N/A</v>
      </c>
      <c r="E33" s="133" t="e">
        <f>TEXT('Construction Planner'!M43,"[h]:mm:ss")</f>
        <v>#N/A</v>
      </c>
      <c r="F33" s="133" t="e">
        <f>TEXT('Construction Planner'!N44,"TT.MM. hh:mm:ss")</f>
        <v>#N/A</v>
      </c>
      <c r="G33" t="e">
        <f t="shared" si="3"/>
        <v>#N/A</v>
      </c>
      <c r="K33">
        <f>IF($F$1="Off",'Construction Planner'!DK43,'Construction Planner'!DI44)</f>
        <v>0</v>
      </c>
      <c r="L33">
        <f>IF($F$1="Off",'Construction Planner'!DN43,'Construction Planner'!DJ44)</f>
        <v>0</v>
      </c>
      <c r="M33">
        <f>IF($F$1="Off",'Construction Planner'!DQ43,'Construction Planner'!DL44)</f>
        <v>0</v>
      </c>
      <c r="P33" s="326" t="e">
        <f t="shared" si="0"/>
        <v>#N/A</v>
      </c>
      <c r="Q33" t="e">
        <f t="shared" si="2"/>
        <v>#N/A</v>
      </c>
    </row>
    <row r="34" spans="2:17" x14ac:dyDescent="0.25">
      <c r="B34" t="e">
        <f>IF($C$1="Deutsch",VLOOKUP('Construction Planner'!J44,$N$4:$O$20,2,FALSE),'Construction Planner'!J44)</f>
        <v>#N/A</v>
      </c>
      <c r="C34" t="e">
        <f>'Construction Planner'!L44</f>
        <v>#N/A</v>
      </c>
      <c r="D34" s="133" t="e">
        <f>TEXT('Construction Planner'!P44,"TT.MM. hh:mm:ss")</f>
        <v>#N/A</v>
      </c>
      <c r="E34" s="133" t="e">
        <f>TEXT('Construction Planner'!M44,"[h]:mm:ss")</f>
        <v>#N/A</v>
      </c>
      <c r="F34" s="133" t="e">
        <f>TEXT('Construction Planner'!N45,"TT.MM. hh:mm:ss")</f>
        <v>#N/A</v>
      </c>
      <c r="G34" t="e">
        <f t="shared" si="3"/>
        <v>#N/A</v>
      </c>
      <c r="K34">
        <f>IF($F$1="Off",'Construction Planner'!DK44,'Construction Planner'!DI45)</f>
        <v>0</v>
      </c>
      <c r="L34">
        <f>IF($F$1="Off",'Construction Planner'!DN44,'Construction Planner'!DJ45)</f>
        <v>0</v>
      </c>
      <c r="M34">
        <f>IF($F$1="Off",'Construction Planner'!DQ44,'Construction Planner'!DL45)</f>
        <v>0</v>
      </c>
      <c r="P34" s="326" t="e">
        <f t="shared" si="0"/>
        <v>#N/A</v>
      </c>
      <c r="Q34" t="e">
        <f t="shared" si="2"/>
        <v>#N/A</v>
      </c>
    </row>
    <row r="35" spans="2:17" x14ac:dyDescent="0.25">
      <c r="B35" t="e">
        <f>IF($C$1="Deutsch",VLOOKUP('Construction Planner'!J45,$N$4:$O$20,2,FALSE),'Construction Planner'!J45)</f>
        <v>#N/A</v>
      </c>
      <c r="C35" t="e">
        <f>'Construction Planner'!L45</f>
        <v>#N/A</v>
      </c>
      <c r="D35" s="133" t="e">
        <f>TEXT('Construction Planner'!P45,"TT.MM. hh:mm:ss")</f>
        <v>#N/A</v>
      </c>
      <c r="E35" s="133" t="e">
        <f>TEXT('Construction Planner'!M45,"[h]:mm:ss")</f>
        <v>#N/A</v>
      </c>
      <c r="F35" s="133" t="e">
        <f>TEXT('Construction Planner'!N46,"TT.MM. hh:mm:ss")</f>
        <v>#N/A</v>
      </c>
      <c r="G35" t="e">
        <f t="shared" si="3"/>
        <v>#N/A</v>
      </c>
      <c r="K35">
        <f>IF($F$1="Off",'Construction Planner'!DK45,'Construction Planner'!DI46)</f>
        <v>0</v>
      </c>
      <c r="L35">
        <f>IF($F$1="Off",'Construction Planner'!DN45,'Construction Planner'!DJ46)</f>
        <v>0</v>
      </c>
      <c r="M35">
        <f>IF($F$1="Off",'Construction Planner'!DQ45,'Construction Planner'!DL46)</f>
        <v>0</v>
      </c>
      <c r="P35" s="326" t="e">
        <f t="shared" si="0"/>
        <v>#N/A</v>
      </c>
      <c r="Q35" t="e">
        <f t="shared" si="2"/>
        <v>#N/A</v>
      </c>
    </row>
    <row r="36" spans="2:17" x14ac:dyDescent="0.25">
      <c r="B36" t="e">
        <f>IF($C$1="Deutsch",VLOOKUP('Construction Planner'!J46,$N$4:$O$20,2,FALSE),'Construction Planner'!J46)</f>
        <v>#N/A</v>
      </c>
      <c r="C36" t="e">
        <f>'Construction Planner'!L46</f>
        <v>#N/A</v>
      </c>
      <c r="D36" s="133" t="e">
        <f>TEXT('Construction Planner'!P46,"TT.MM. hh:mm:ss")</f>
        <v>#N/A</v>
      </c>
      <c r="E36" s="133" t="e">
        <f>TEXT('Construction Planner'!M46,"[h]:mm:ss")</f>
        <v>#N/A</v>
      </c>
      <c r="F36" s="133" t="e">
        <f>TEXT('Construction Planner'!N47,"TT.MM. hh:mm:ss")</f>
        <v>#N/A</v>
      </c>
      <c r="G36" t="e">
        <f t="shared" si="3"/>
        <v>#N/A</v>
      </c>
      <c r="K36">
        <f>IF($F$1="Off",'Construction Planner'!DK46,'Construction Planner'!DI47)</f>
        <v>0</v>
      </c>
      <c r="L36">
        <f>IF($F$1="Off",'Construction Planner'!DN46,'Construction Planner'!DJ47)</f>
        <v>0</v>
      </c>
      <c r="M36">
        <f>IF($F$1="Off",'Construction Planner'!DQ46,'Construction Planner'!DL47)</f>
        <v>0</v>
      </c>
      <c r="P36" s="326" t="e">
        <f t="shared" si="0"/>
        <v>#N/A</v>
      </c>
      <c r="Q36" t="e">
        <f t="shared" si="2"/>
        <v>#N/A</v>
      </c>
    </row>
    <row r="37" spans="2:17" x14ac:dyDescent="0.25">
      <c r="B37" t="e">
        <f>IF($C$1="Deutsch",VLOOKUP('Construction Planner'!J47,$N$4:$O$20,2,FALSE),'Construction Planner'!J47)</f>
        <v>#N/A</v>
      </c>
      <c r="C37" t="e">
        <f>'Construction Planner'!L47</f>
        <v>#N/A</v>
      </c>
      <c r="D37" s="133" t="e">
        <f>TEXT('Construction Planner'!P47,"TT.MM. hh:mm:ss")</f>
        <v>#N/A</v>
      </c>
      <c r="E37" s="133" t="e">
        <f>TEXT('Construction Planner'!M47,"[h]:mm:ss")</f>
        <v>#N/A</v>
      </c>
      <c r="F37" s="133" t="e">
        <f>TEXT('Construction Planner'!N48,"TT.MM. hh:mm:ss")</f>
        <v>#N/A</v>
      </c>
      <c r="G37" t="e">
        <f t="shared" si="3"/>
        <v>#N/A</v>
      </c>
      <c r="K37">
        <f>IF($F$1="Off",'Construction Planner'!DK47,'Construction Planner'!DI48)</f>
        <v>0</v>
      </c>
      <c r="L37">
        <f>IF($F$1="Off",'Construction Planner'!DN47,'Construction Planner'!DJ48)</f>
        <v>0</v>
      </c>
      <c r="M37">
        <f>IF($F$1="Off",'Construction Planner'!DQ47,'Construction Planner'!DL48)</f>
        <v>0</v>
      </c>
      <c r="P37" s="326" t="e">
        <f t="shared" si="0"/>
        <v>#N/A</v>
      </c>
      <c r="Q37" t="e">
        <f t="shared" si="2"/>
        <v>#N/A</v>
      </c>
    </row>
    <row r="38" spans="2:17" x14ac:dyDescent="0.25">
      <c r="B38" t="e">
        <f>IF($C$1="Deutsch",VLOOKUP('Construction Planner'!J48,$N$4:$O$20,2,FALSE),'Construction Planner'!J48)</f>
        <v>#N/A</v>
      </c>
      <c r="C38" t="e">
        <f>'Construction Planner'!L48</f>
        <v>#N/A</v>
      </c>
      <c r="D38" s="133" t="e">
        <f>TEXT('Construction Planner'!P48,"TT.MM. hh:mm:ss")</f>
        <v>#N/A</v>
      </c>
      <c r="E38" s="133" t="e">
        <f>TEXT('Construction Planner'!M48,"[h]:mm:ss")</f>
        <v>#N/A</v>
      </c>
      <c r="F38" s="133" t="e">
        <f>TEXT('Construction Planner'!N49,"TT.MM. hh:mm:ss")</f>
        <v>#N/A</v>
      </c>
      <c r="G38" t="e">
        <f t="shared" si="3"/>
        <v>#N/A</v>
      </c>
      <c r="K38">
        <f>IF($F$1="Off",'Construction Planner'!DK48,'Construction Planner'!DI49)</f>
        <v>0</v>
      </c>
      <c r="L38">
        <f>IF($F$1="Off",'Construction Planner'!DN48,'Construction Planner'!DJ49)</f>
        <v>0</v>
      </c>
      <c r="M38">
        <f>IF($F$1="Off",'Construction Planner'!DQ48,'Construction Planner'!DL49)</f>
        <v>0</v>
      </c>
      <c r="P38" s="326" t="e">
        <f t="shared" si="0"/>
        <v>#N/A</v>
      </c>
      <c r="Q38" t="e">
        <f t="shared" si="2"/>
        <v>#N/A</v>
      </c>
    </row>
    <row r="39" spans="2:17" x14ac:dyDescent="0.25">
      <c r="B39" t="e">
        <f>IF($C$1="Deutsch",VLOOKUP('Construction Planner'!J49,$N$4:$O$20,2,FALSE),'Construction Planner'!J49)</f>
        <v>#N/A</v>
      </c>
      <c r="C39" t="e">
        <f>'Construction Planner'!L49</f>
        <v>#N/A</v>
      </c>
      <c r="D39" s="133" t="e">
        <f>TEXT('Construction Planner'!P49,"TT.MM. hh:mm:ss")</f>
        <v>#N/A</v>
      </c>
      <c r="E39" s="133" t="e">
        <f>TEXT('Construction Planner'!M49,"[h]:mm:ss")</f>
        <v>#N/A</v>
      </c>
      <c r="F39" s="133" t="e">
        <f>TEXT('Construction Planner'!N50,"TT.MM. hh:mm:ss")</f>
        <v>#N/A</v>
      </c>
      <c r="G39" t="e">
        <f t="shared" si="3"/>
        <v>#N/A</v>
      </c>
      <c r="K39">
        <f>IF($F$1="Off",'Construction Planner'!DK49,'Construction Planner'!DI50)</f>
        <v>0</v>
      </c>
      <c r="L39">
        <f>IF($F$1="Off",'Construction Planner'!DN49,'Construction Planner'!DJ50)</f>
        <v>0</v>
      </c>
      <c r="M39">
        <f>IF($F$1="Off",'Construction Planner'!DQ49,'Construction Planner'!DL50)</f>
        <v>0</v>
      </c>
      <c r="P39" s="326" t="e">
        <f t="shared" si="0"/>
        <v>#N/A</v>
      </c>
      <c r="Q39" t="e">
        <f t="shared" si="2"/>
        <v>#N/A</v>
      </c>
    </row>
    <row r="40" spans="2:17" x14ac:dyDescent="0.25">
      <c r="B40" t="e">
        <f>IF($C$1="Deutsch",VLOOKUP('Construction Planner'!J50,$N$4:$O$20,2,FALSE),'Construction Planner'!J50)</f>
        <v>#N/A</v>
      </c>
      <c r="C40" t="e">
        <f>'Construction Planner'!L50</f>
        <v>#N/A</v>
      </c>
      <c r="D40" s="133" t="e">
        <f>TEXT('Construction Planner'!P50,"TT.MM. hh:mm:ss")</f>
        <v>#N/A</v>
      </c>
      <c r="E40" s="133" t="e">
        <f>TEXT('Construction Planner'!M50,"[h]:mm:ss")</f>
        <v>#N/A</v>
      </c>
      <c r="F40" s="133" t="e">
        <f>TEXT('Construction Planner'!N51,"TT.MM. hh:mm:ss")</f>
        <v>#N/A</v>
      </c>
      <c r="G40" t="e">
        <f t="shared" si="3"/>
        <v>#N/A</v>
      </c>
      <c r="K40">
        <f>IF($F$1="Off",'Construction Planner'!DK50,'Construction Planner'!DI51)</f>
        <v>0</v>
      </c>
      <c r="L40">
        <f>IF($F$1="Off",'Construction Planner'!DN50,'Construction Planner'!DJ51)</f>
        <v>0</v>
      </c>
      <c r="M40">
        <f>IF($F$1="Off",'Construction Planner'!DQ50,'Construction Planner'!DL51)</f>
        <v>0</v>
      </c>
      <c r="P40" s="326" t="e">
        <f t="shared" si="0"/>
        <v>#N/A</v>
      </c>
      <c r="Q40" t="e">
        <f t="shared" si="2"/>
        <v>#N/A</v>
      </c>
    </row>
    <row r="41" spans="2:17" x14ac:dyDescent="0.25">
      <c r="B41" t="e">
        <f>IF($C$1="Deutsch",VLOOKUP('Construction Planner'!J51,$N$4:$O$20,2,FALSE),'Construction Planner'!J51)</f>
        <v>#N/A</v>
      </c>
      <c r="C41" t="e">
        <f>'Construction Planner'!L51</f>
        <v>#N/A</v>
      </c>
      <c r="D41" s="133" t="e">
        <f>TEXT('Construction Planner'!P51,"TT.MM. hh:mm:ss")</f>
        <v>#N/A</v>
      </c>
      <c r="E41" s="133" t="e">
        <f>TEXT('Construction Planner'!M51,"[h]:mm:ss")</f>
        <v>#N/A</v>
      </c>
      <c r="F41" s="133" t="e">
        <f>TEXT('Construction Planner'!N52,"TT.MM. hh:mm:ss")</f>
        <v>#N/A</v>
      </c>
      <c r="G41" t="e">
        <f t="shared" si="3"/>
        <v>#N/A</v>
      </c>
      <c r="K41">
        <f>IF($F$1="Off",'Construction Planner'!DK51,'Construction Planner'!DI52)</f>
        <v>0</v>
      </c>
      <c r="L41">
        <f>IF($F$1="Off",'Construction Planner'!DN51,'Construction Planner'!DJ52)</f>
        <v>0</v>
      </c>
      <c r="M41">
        <f>IF($F$1="Off",'Construction Planner'!DQ51,'Construction Planner'!DL52)</f>
        <v>0</v>
      </c>
      <c r="P41" s="326" t="e">
        <f t="shared" si="0"/>
        <v>#N/A</v>
      </c>
      <c r="Q41" t="e">
        <f t="shared" si="2"/>
        <v>#N/A</v>
      </c>
    </row>
    <row r="42" spans="2:17" x14ac:dyDescent="0.25">
      <c r="B42" t="e">
        <f>IF($C$1="Deutsch",VLOOKUP('Construction Planner'!J52,$N$4:$O$20,2,FALSE),'Construction Planner'!J52)</f>
        <v>#N/A</v>
      </c>
      <c r="C42" t="e">
        <f>'Construction Planner'!L52</f>
        <v>#N/A</v>
      </c>
      <c r="D42" s="133" t="e">
        <f>TEXT('Construction Planner'!P52,"TT.MM. hh:mm:ss")</f>
        <v>#N/A</v>
      </c>
      <c r="E42" s="133" t="e">
        <f>TEXT('Construction Planner'!M52,"[h]:mm:ss")</f>
        <v>#N/A</v>
      </c>
      <c r="F42" s="133" t="e">
        <f>TEXT('Construction Planner'!N53,"TT.MM. hh:mm:ss")</f>
        <v>#N/A</v>
      </c>
      <c r="G42" t="e">
        <f t="shared" si="3"/>
        <v>#N/A</v>
      </c>
      <c r="K42">
        <f>IF($F$1="Off",'Construction Planner'!DK52,'Construction Planner'!DI53)</f>
        <v>0</v>
      </c>
      <c r="L42">
        <f>IF($F$1="Off",'Construction Planner'!DN52,'Construction Planner'!DJ53)</f>
        <v>0</v>
      </c>
      <c r="M42">
        <f>IF($F$1="Off",'Construction Planner'!DQ52,'Construction Planner'!DL53)</f>
        <v>0</v>
      </c>
      <c r="P42" s="326" t="e">
        <f t="shared" si="0"/>
        <v>#N/A</v>
      </c>
      <c r="Q42" t="e">
        <f t="shared" si="2"/>
        <v>#N/A</v>
      </c>
    </row>
    <row r="43" spans="2:17" x14ac:dyDescent="0.25">
      <c r="B43" t="e">
        <f>IF($C$1="Deutsch",VLOOKUP('Construction Planner'!J53,$N$4:$O$20,2,FALSE),'Construction Planner'!J53)</f>
        <v>#N/A</v>
      </c>
      <c r="C43" t="e">
        <f>'Construction Planner'!L53</f>
        <v>#N/A</v>
      </c>
      <c r="D43" s="133" t="e">
        <f>TEXT('Construction Planner'!P53,"TT.MM. hh:mm:ss")</f>
        <v>#N/A</v>
      </c>
      <c r="E43" s="133" t="e">
        <f>TEXT('Construction Planner'!M53,"[h]:mm:ss")</f>
        <v>#N/A</v>
      </c>
      <c r="F43" s="133" t="e">
        <f>TEXT('Construction Planner'!N54,"TT.MM. hh:mm:ss")</f>
        <v>#N/A</v>
      </c>
      <c r="G43" t="e">
        <f t="shared" si="3"/>
        <v>#N/A</v>
      </c>
      <c r="K43">
        <f>IF($F$1="Off",'Construction Planner'!DK53,'Construction Planner'!DI54)</f>
        <v>0</v>
      </c>
      <c r="L43">
        <f>IF($F$1="Off",'Construction Planner'!DN53,'Construction Planner'!DJ54)</f>
        <v>0</v>
      </c>
      <c r="M43">
        <f>IF($F$1="Off",'Construction Planner'!DQ53,'Construction Planner'!DL54)</f>
        <v>0</v>
      </c>
      <c r="P43" s="326" t="e">
        <f t="shared" si="0"/>
        <v>#N/A</v>
      </c>
      <c r="Q43" t="e">
        <f t="shared" si="2"/>
        <v>#N/A</v>
      </c>
    </row>
    <row r="44" spans="2:17" x14ac:dyDescent="0.25">
      <c r="B44" t="e">
        <f>IF($C$1="Deutsch",VLOOKUP('Construction Planner'!J54,$N$4:$O$20,2,FALSE),'Construction Planner'!J54)</f>
        <v>#N/A</v>
      </c>
      <c r="C44" t="e">
        <f>'Construction Planner'!L54</f>
        <v>#N/A</v>
      </c>
      <c r="D44" s="133" t="e">
        <f>TEXT('Construction Planner'!P54,"TT.MM. hh:mm:ss")</f>
        <v>#N/A</v>
      </c>
      <c r="E44" s="133" t="e">
        <f>TEXT('Construction Planner'!M54,"[h]:mm:ss")</f>
        <v>#N/A</v>
      </c>
      <c r="F44" s="133" t="e">
        <f>TEXT('Construction Planner'!N55,"TT.MM. hh:mm:ss")</f>
        <v>#N/A</v>
      </c>
      <c r="G44" t="e">
        <f t="shared" si="3"/>
        <v>#N/A</v>
      </c>
      <c r="K44">
        <f>IF($F$1="Off",'Construction Planner'!DK54,'Construction Planner'!DI55)</f>
        <v>0</v>
      </c>
      <c r="L44">
        <f>IF($F$1="Off",'Construction Planner'!DN54,'Construction Planner'!DJ55)</f>
        <v>0</v>
      </c>
      <c r="M44">
        <f>IF($F$1="Off",'Construction Planner'!DQ54,'Construction Planner'!DL55)</f>
        <v>0</v>
      </c>
      <c r="P44" s="326" t="e">
        <f t="shared" si="0"/>
        <v>#N/A</v>
      </c>
      <c r="Q44" t="e">
        <f t="shared" si="2"/>
        <v>#N/A</v>
      </c>
    </row>
    <row r="45" spans="2:17" x14ac:dyDescent="0.25">
      <c r="B45" t="e">
        <f>IF($C$1="Deutsch",VLOOKUP('Construction Planner'!J55,$N$4:$O$20,2,FALSE),'Construction Planner'!J55)</f>
        <v>#N/A</v>
      </c>
      <c r="C45" t="e">
        <f>'Construction Planner'!L55</f>
        <v>#N/A</v>
      </c>
      <c r="D45" s="133" t="e">
        <f>TEXT('Construction Planner'!P55,"TT.MM. hh:mm:ss")</f>
        <v>#N/A</v>
      </c>
      <c r="E45" s="133" t="e">
        <f>TEXT('Construction Planner'!M55,"[h]:mm:ss")</f>
        <v>#N/A</v>
      </c>
      <c r="F45" s="133" t="e">
        <f>TEXT('Construction Planner'!N56,"TT.MM. hh:mm:ss")</f>
        <v>#N/A</v>
      </c>
      <c r="G45" t="e">
        <f t="shared" si="3"/>
        <v>#N/A</v>
      </c>
      <c r="K45">
        <f>IF($F$1="Off",'Construction Planner'!DK55,'Construction Planner'!DI56)</f>
        <v>0</v>
      </c>
      <c r="L45">
        <f>IF($F$1="Off",'Construction Planner'!DN55,'Construction Planner'!DJ56)</f>
        <v>0</v>
      </c>
      <c r="M45">
        <f>IF($F$1="Off",'Construction Planner'!DQ55,'Construction Planner'!DL56)</f>
        <v>0</v>
      </c>
      <c r="P45" s="326" t="e">
        <f t="shared" si="0"/>
        <v>#N/A</v>
      </c>
      <c r="Q45" t="e">
        <f t="shared" si="2"/>
        <v>#N/A</v>
      </c>
    </row>
    <row r="46" spans="2:17" x14ac:dyDescent="0.25">
      <c r="B46" t="e">
        <f>IF($C$1="Deutsch",VLOOKUP('Construction Planner'!J56,$N$4:$O$20,2,FALSE),'Construction Planner'!J56)</f>
        <v>#N/A</v>
      </c>
      <c r="C46" t="e">
        <f>'Construction Planner'!L56</f>
        <v>#N/A</v>
      </c>
      <c r="D46" s="133" t="e">
        <f>TEXT('Construction Planner'!P56,"TT.MM. hh:mm:ss")</f>
        <v>#N/A</v>
      </c>
      <c r="E46" s="133" t="e">
        <f>TEXT('Construction Planner'!M56,"[h]:mm:ss")</f>
        <v>#N/A</v>
      </c>
      <c r="F46" s="133" t="e">
        <f>TEXT('Construction Planner'!N57,"TT.MM. hh:mm:ss")</f>
        <v>#N/A</v>
      </c>
      <c r="G46" t="e">
        <f t="shared" si="3"/>
        <v>#N/A</v>
      </c>
      <c r="K46">
        <f>IF($F$1="Off",'Construction Planner'!DK56,'Construction Planner'!DI57)</f>
        <v>0</v>
      </c>
      <c r="L46">
        <f>IF($F$1="Off",'Construction Planner'!DN56,'Construction Planner'!DJ57)</f>
        <v>0</v>
      </c>
      <c r="M46">
        <f>IF($F$1="Off",'Construction Planner'!DQ56,'Construction Planner'!DL57)</f>
        <v>0</v>
      </c>
      <c r="P46" s="326" t="e">
        <f t="shared" si="0"/>
        <v>#N/A</v>
      </c>
      <c r="Q46" t="e">
        <f t="shared" si="2"/>
        <v>#N/A</v>
      </c>
    </row>
    <row r="47" spans="2:17" x14ac:dyDescent="0.25">
      <c r="B47" t="e">
        <f>IF($C$1="Deutsch",VLOOKUP('Construction Planner'!J57,$N$4:$O$20,2,FALSE),'Construction Planner'!J57)</f>
        <v>#N/A</v>
      </c>
      <c r="C47" t="e">
        <f>'Construction Planner'!L57</f>
        <v>#N/A</v>
      </c>
      <c r="D47" s="133" t="e">
        <f>TEXT('Construction Planner'!P57,"TT.MM. hh:mm:ss")</f>
        <v>#N/A</v>
      </c>
      <c r="E47" s="133" t="e">
        <f>TEXT('Construction Planner'!M57,"[h]:mm:ss")</f>
        <v>#N/A</v>
      </c>
      <c r="F47" s="133" t="e">
        <f>TEXT('Construction Planner'!N58,"TT.MM. hh:mm:ss")</f>
        <v>#N/A</v>
      </c>
      <c r="G47" t="e">
        <f t="shared" si="3"/>
        <v>#N/A</v>
      </c>
      <c r="K47">
        <f>IF($F$1="Off",'Construction Planner'!DK57,'Construction Planner'!DI58)</f>
        <v>0</v>
      </c>
      <c r="L47">
        <f>IF($F$1="Off",'Construction Planner'!DN57,'Construction Planner'!DJ58)</f>
        <v>0</v>
      </c>
      <c r="M47">
        <f>IF($F$1="Off",'Construction Planner'!DQ57,'Construction Planner'!DL58)</f>
        <v>0</v>
      </c>
      <c r="P47" s="326" t="e">
        <f t="shared" si="0"/>
        <v>#N/A</v>
      </c>
      <c r="Q47" t="e">
        <f t="shared" si="2"/>
        <v>#N/A</v>
      </c>
    </row>
    <row r="48" spans="2:17" x14ac:dyDescent="0.25">
      <c r="B48" t="e">
        <f>IF($C$1="Deutsch",VLOOKUP('Construction Planner'!J58,$N$4:$O$20,2,FALSE),'Construction Planner'!J58)</f>
        <v>#N/A</v>
      </c>
      <c r="C48" t="e">
        <f>'Construction Planner'!L58</f>
        <v>#N/A</v>
      </c>
      <c r="D48" s="133" t="e">
        <f>TEXT('Construction Planner'!P58,"TT.MM. hh:mm:ss")</f>
        <v>#N/A</v>
      </c>
      <c r="E48" s="133" t="e">
        <f>TEXT('Construction Planner'!M58,"[h]:mm:ss")</f>
        <v>#N/A</v>
      </c>
      <c r="F48" s="133" t="e">
        <f>TEXT('Construction Planner'!N59,"TT.MM. hh:mm:ss")</f>
        <v>#N/A</v>
      </c>
      <c r="G48" t="e">
        <f t="shared" si="3"/>
        <v>#N/A</v>
      </c>
      <c r="K48">
        <f>IF($F$1="Off",'Construction Planner'!DK58,'Construction Planner'!DI59)</f>
        <v>0</v>
      </c>
      <c r="L48">
        <f>IF($F$1="Off",'Construction Planner'!DN58,'Construction Planner'!DJ59)</f>
        <v>0</v>
      </c>
      <c r="M48">
        <f>IF($F$1="Off",'Construction Planner'!DQ58,'Construction Planner'!DL59)</f>
        <v>0</v>
      </c>
      <c r="P48" s="326" t="e">
        <f t="shared" si="0"/>
        <v>#N/A</v>
      </c>
      <c r="Q48" t="e">
        <f t="shared" si="2"/>
        <v>#N/A</v>
      </c>
    </row>
    <row r="49" spans="2:17" x14ac:dyDescent="0.25">
      <c r="B49" t="e">
        <f>IF($C$1="Deutsch",VLOOKUP('Construction Planner'!J59,$N$4:$O$20,2,FALSE),'Construction Planner'!J59)</f>
        <v>#N/A</v>
      </c>
      <c r="C49" t="e">
        <f>'Construction Planner'!L59</f>
        <v>#N/A</v>
      </c>
      <c r="D49" s="133" t="e">
        <f>TEXT('Construction Planner'!P59,"TT.MM. hh:mm:ss")</f>
        <v>#N/A</v>
      </c>
      <c r="E49" s="133" t="e">
        <f>TEXT('Construction Planner'!M59,"[h]:mm:ss")</f>
        <v>#N/A</v>
      </c>
      <c r="F49" s="133" t="e">
        <f>TEXT('Construction Planner'!N60,"TT.MM. hh:mm:ss")</f>
        <v>#N/A</v>
      </c>
      <c r="G49" t="e">
        <f t="shared" si="3"/>
        <v>#N/A</v>
      </c>
      <c r="K49">
        <f>IF($F$1="Off",'Construction Planner'!DK59,'Construction Planner'!DI60)</f>
        <v>0</v>
      </c>
      <c r="L49">
        <f>IF($F$1="Off",'Construction Planner'!DN59,'Construction Planner'!DJ60)</f>
        <v>0</v>
      </c>
      <c r="M49">
        <f>IF($F$1="Off",'Construction Planner'!DQ59,'Construction Planner'!DL60)</f>
        <v>0</v>
      </c>
      <c r="P49" s="326" t="e">
        <f t="shared" si="0"/>
        <v>#N/A</v>
      </c>
      <c r="Q49" t="e">
        <f t="shared" si="2"/>
        <v>#N/A</v>
      </c>
    </row>
    <row r="50" spans="2:17" x14ac:dyDescent="0.25">
      <c r="B50" t="e">
        <f>IF($C$1="Deutsch",VLOOKUP('Construction Planner'!J60,$N$4:$O$20,2,FALSE),'Construction Planner'!J60)</f>
        <v>#N/A</v>
      </c>
      <c r="C50" t="e">
        <f>'Construction Planner'!L60</f>
        <v>#N/A</v>
      </c>
      <c r="D50" s="133" t="e">
        <f>TEXT('Construction Planner'!P60,"TT.MM. hh:mm:ss")</f>
        <v>#N/A</v>
      </c>
      <c r="E50" s="133" t="e">
        <f>TEXT('Construction Planner'!M60,"[h]:mm:ss")</f>
        <v>#N/A</v>
      </c>
      <c r="F50" s="133" t="e">
        <f>TEXT('Construction Planner'!N61,"TT.MM. hh:mm:ss")</f>
        <v>#N/A</v>
      </c>
      <c r="G50" t="e">
        <f t="shared" si="3"/>
        <v>#N/A</v>
      </c>
      <c r="K50">
        <f>IF($F$1="Off",'Construction Planner'!DK60,'Construction Planner'!DI61)</f>
        <v>0</v>
      </c>
      <c r="L50">
        <f>IF($F$1="Off",'Construction Planner'!DN60,'Construction Planner'!DJ61)</f>
        <v>0</v>
      </c>
      <c r="M50">
        <f>IF($F$1="Off",'Construction Planner'!DQ60,'Construction Planner'!DL61)</f>
        <v>0</v>
      </c>
      <c r="P50" s="326" t="e">
        <f t="shared" si="0"/>
        <v>#N/A</v>
      </c>
      <c r="Q50" t="e">
        <f t="shared" si="2"/>
        <v>#N/A</v>
      </c>
    </row>
    <row r="51" spans="2:17" x14ac:dyDescent="0.25">
      <c r="B51" t="e">
        <f>IF($C$1="Deutsch",VLOOKUP('Construction Planner'!J61,$N$4:$O$20,2,FALSE),'Construction Planner'!J61)</f>
        <v>#N/A</v>
      </c>
      <c r="C51" t="e">
        <f>'Construction Planner'!L61</f>
        <v>#N/A</v>
      </c>
      <c r="D51" s="133" t="e">
        <f>TEXT('Construction Planner'!P61,"TT.MM. hh:mm:ss")</f>
        <v>#N/A</v>
      </c>
      <c r="E51" s="133" t="e">
        <f>TEXT('Construction Planner'!M61,"[h]:mm:ss")</f>
        <v>#N/A</v>
      </c>
      <c r="F51" s="133" t="e">
        <f>TEXT('Construction Planner'!N62,"TT.MM. hh:mm:ss")</f>
        <v>#N/A</v>
      </c>
      <c r="G51" t="e">
        <f t="shared" si="3"/>
        <v>#N/A</v>
      </c>
      <c r="K51">
        <f>IF($F$1="Off",'Construction Planner'!DK61,'Construction Planner'!DI62)</f>
        <v>0</v>
      </c>
      <c r="L51">
        <f>IF($F$1="Off",'Construction Planner'!DN61,'Construction Planner'!DJ62)</f>
        <v>0</v>
      </c>
      <c r="M51">
        <f>IF($F$1="Off",'Construction Planner'!DQ61,'Construction Planner'!DL62)</f>
        <v>0</v>
      </c>
      <c r="P51" s="326" t="e">
        <f t="shared" si="0"/>
        <v>#N/A</v>
      </c>
      <c r="Q51" t="e">
        <f t="shared" si="2"/>
        <v>#N/A</v>
      </c>
    </row>
    <row r="52" spans="2:17" x14ac:dyDescent="0.25">
      <c r="B52" t="e">
        <f>IF($C$1="Deutsch",VLOOKUP('Construction Planner'!J62,$N$4:$O$20,2,FALSE),'Construction Planner'!J62)</f>
        <v>#N/A</v>
      </c>
      <c r="C52" t="e">
        <f>'Construction Planner'!L62</f>
        <v>#N/A</v>
      </c>
      <c r="D52" s="133" t="e">
        <f>TEXT('Construction Planner'!P62,"TT.MM. hh:mm:ss")</f>
        <v>#N/A</v>
      </c>
      <c r="E52" s="133" t="e">
        <f>TEXT('Construction Planner'!M62,"[h]:mm:ss")</f>
        <v>#N/A</v>
      </c>
      <c r="F52" s="133" t="e">
        <f>TEXT('Construction Planner'!N63,"TT.MM. hh:mm:ss")</f>
        <v>#N/A</v>
      </c>
      <c r="G52" t="e">
        <f t="shared" si="3"/>
        <v>#N/A</v>
      </c>
      <c r="K52">
        <f>IF($F$1="Off",'Construction Planner'!DK62,'Construction Planner'!DI63)</f>
        <v>0</v>
      </c>
      <c r="L52">
        <f>IF($F$1="Off",'Construction Planner'!DN62,'Construction Planner'!DJ63)</f>
        <v>0</v>
      </c>
      <c r="M52">
        <f>IF($F$1="Off",'Construction Planner'!DQ62,'Construction Planner'!DL63)</f>
        <v>0</v>
      </c>
      <c r="P52" s="326" t="e">
        <f t="shared" si="0"/>
        <v>#N/A</v>
      </c>
      <c r="Q52" t="e">
        <f t="shared" si="2"/>
        <v>#N/A</v>
      </c>
    </row>
    <row r="53" spans="2:17" x14ac:dyDescent="0.25">
      <c r="B53" t="e">
        <f>IF($C$1="Deutsch",VLOOKUP('Construction Planner'!J63,$N$4:$O$20,2,FALSE),'Construction Planner'!J63)</f>
        <v>#N/A</v>
      </c>
      <c r="C53" t="e">
        <f>'Construction Planner'!L63</f>
        <v>#N/A</v>
      </c>
      <c r="D53" s="133" t="e">
        <f>TEXT('Construction Planner'!P63,"TT.MM. hh:mm:ss")</f>
        <v>#N/A</v>
      </c>
      <c r="E53" s="133" t="e">
        <f>TEXT('Construction Planner'!M63,"[h]:mm:ss")</f>
        <v>#N/A</v>
      </c>
      <c r="F53" s="133" t="e">
        <f>TEXT('Construction Planner'!N64,"TT.MM. hh:mm:ss")</f>
        <v>#N/A</v>
      </c>
      <c r="G53" t="e">
        <f t="shared" si="3"/>
        <v>#N/A</v>
      </c>
      <c r="K53">
        <f>IF($F$1="Off",'Construction Planner'!DK63,'Construction Planner'!DI64)</f>
        <v>0</v>
      </c>
      <c r="L53">
        <f>IF($F$1="Off",'Construction Planner'!DN63,'Construction Planner'!DJ64)</f>
        <v>0</v>
      </c>
      <c r="M53">
        <f>IF($F$1="Off",'Construction Planner'!DQ63,'Construction Planner'!DL64)</f>
        <v>0</v>
      </c>
      <c r="P53" s="326" t="e">
        <f t="shared" si="0"/>
        <v>#N/A</v>
      </c>
      <c r="Q53" t="e">
        <f t="shared" si="2"/>
        <v>#N/A</v>
      </c>
    </row>
    <row r="54" spans="2:17" x14ac:dyDescent="0.25">
      <c r="B54" t="e">
        <f>IF($C$1="Deutsch",VLOOKUP('Construction Planner'!J64,$N$4:$O$20,2,FALSE),'Construction Planner'!J64)</f>
        <v>#N/A</v>
      </c>
      <c r="C54" t="e">
        <f>'Construction Planner'!L64</f>
        <v>#N/A</v>
      </c>
      <c r="D54" s="133" t="e">
        <f>TEXT('Construction Planner'!P64,"TT.MM. hh:mm:ss")</f>
        <v>#N/A</v>
      </c>
      <c r="E54" s="133" t="e">
        <f>TEXT('Construction Planner'!M64,"[h]:mm:ss")</f>
        <v>#N/A</v>
      </c>
      <c r="F54" s="133" t="e">
        <f>TEXT('Construction Planner'!N65,"TT.MM. hh:mm:ss")</f>
        <v>#N/A</v>
      </c>
      <c r="G54" t="e">
        <f t="shared" si="3"/>
        <v>#N/A</v>
      </c>
      <c r="K54">
        <f>IF($F$1="Off",'Construction Planner'!DK64,'Construction Planner'!DI65)</f>
        <v>0</v>
      </c>
      <c r="L54">
        <f>IF($F$1="Off",'Construction Planner'!DN64,'Construction Planner'!DJ65)</f>
        <v>0</v>
      </c>
      <c r="M54">
        <f>IF($F$1="Off",'Construction Planner'!DQ64,'Construction Planner'!DL65)</f>
        <v>0</v>
      </c>
      <c r="P54" s="326" t="e">
        <f t="shared" si="0"/>
        <v>#N/A</v>
      </c>
      <c r="Q54" t="e">
        <f t="shared" si="2"/>
        <v>#N/A</v>
      </c>
    </row>
    <row r="55" spans="2:17" x14ac:dyDescent="0.25">
      <c r="B55" t="e">
        <f>IF($C$1="Deutsch",VLOOKUP('Construction Planner'!J65,$N$4:$O$20,2,FALSE),'Construction Planner'!J65)</f>
        <v>#N/A</v>
      </c>
      <c r="C55" t="e">
        <f>'Construction Planner'!L65</f>
        <v>#N/A</v>
      </c>
      <c r="D55" s="133" t="e">
        <f>TEXT('Construction Planner'!P65,"TT.MM. hh:mm:ss")</f>
        <v>#N/A</v>
      </c>
      <c r="E55" s="133" t="e">
        <f>TEXT('Construction Planner'!M65,"[h]:mm:ss")</f>
        <v>#N/A</v>
      </c>
      <c r="F55" s="133" t="e">
        <f>TEXT('Construction Planner'!N66,"TT.MM. hh:mm:ss")</f>
        <v>#N/A</v>
      </c>
      <c r="G55" t="e">
        <f t="shared" si="3"/>
        <v>#N/A</v>
      </c>
      <c r="K55">
        <f>IF($F$1="Off",'Construction Planner'!DK65,'Construction Planner'!DI66)</f>
        <v>0</v>
      </c>
      <c r="L55">
        <f>IF($F$1="Off",'Construction Planner'!DN65,'Construction Planner'!DJ66)</f>
        <v>0</v>
      </c>
      <c r="M55">
        <f>IF($F$1="Off",'Construction Planner'!DQ65,'Construction Planner'!DL66)</f>
        <v>0</v>
      </c>
      <c r="P55" s="326" t="e">
        <f t="shared" si="0"/>
        <v>#N/A</v>
      </c>
      <c r="Q55" t="e">
        <f t="shared" si="2"/>
        <v>#N/A</v>
      </c>
    </row>
    <row r="56" spans="2:17" x14ac:dyDescent="0.25">
      <c r="B56" t="e">
        <f>IF($C$1="Deutsch",VLOOKUP('Construction Planner'!J66,$N$4:$O$20,2,FALSE),'Construction Planner'!J66)</f>
        <v>#N/A</v>
      </c>
      <c r="C56" t="e">
        <f>'Construction Planner'!L66</f>
        <v>#N/A</v>
      </c>
      <c r="D56" s="133" t="e">
        <f>TEXT('Construction Planner'!P66,"TT.MM. hh:mm:ss")</f>
        <v>#N/A</v>
      </c>
      <c r="E56" s="133" t="e">
        <f>TEXT('Construction Planner'!M66,"[h]:mm:ss")</f>
        <v>#N/A</v>
      </c>
      <c r="F56" s="133" t="e">
        <f>TEXT('Construction Planner'!N67,"TT.MM. hh:mm:ss")</f>
        <v>#N/A</v>
      </c>
      <c r="G56" t="e">
        <f t="shared" si="3"/>
        <v>#N/A</v>
      </c>
      <c r="K56">
        <f>IF($F$1="Off",'Construction Planner'!DK66,'Construction Planner'!DI67)</f>
        <v>0</v>
      </c>
      <c r="L56">
        <f>IF($F$1="Off",'Construction Planner'!DN66,'Construction Planner'!DJ67)</f>
        <v>0</v>
      </c>
      <c r="M56">
        <f>IF($F$1="Off",'Construction Planner'!DQ66,'Construction Planner'!DL67)</f>
        <v>0</v>
      </c>
      <c r="P56" s="326" t="e">
        <f t="shared" si="0"/>
        <v>#N/A</v>
      </c>
      <c r="Q56" t="e">
        <f t="shared" si="2"/>
        <v>#N/A</v>
      </c>
    </row>
    <row r="57" spans="2:17" x14ac:dyDescent="0.25">
      <c r="B57" t="e">
        <f>IF($C$1="Deutsch",VLOOKUP('Construction Planner'!J67,$N$4:$O$20,2,FALSE),'Construction Planner'!J67)</f>
        <v>#N/A</v>
      </c>
      <c r="C57" t="e">
        <f>'Construction Planner'!L67</f>
        <v>#N/A</v>
      </c>
      <c r="D57" s="133" t="e">
        <f>TEXT('Construction Planner'!P67,"TT.MM. hh:mm:ss")</f>
        <v>#N/A</v>
      </c>
      <c r="E57" s="133" t="e">
        <f>TEXT('Construction Planner'!M67,"[h]:mm:ss")</f>
        <v>#N/A</v>
      </c>
      <c r="F57" s="133" t="e">
        <f>TEXT('Construction Planner'!N68,"TT.MM. hh:mm:ss")</f>
        <v>#N/A</v>
      </c>
      <c r="G57" t="e">
        <f t="shared" si="3"/>
        <v>#N/A</v>
      </c>
      <c r="K57">
        <f>IF($F$1="Off",'Construction Planner'!DK67,'Construction Planner'!DI68)</f>
        <v>0</v>
      </c>
      <c r="L57">
        <f>IF($F$1="Off",'Construction Planner'!DN67,'Construction Planner'!DJ68)</f>
        <v>0</v>
      </c>
      <c r="M57">
        <f>IF($F$1="Off",'Construction Planner'!DQ67,'Construction Planner'!DL68)</f>
        <v>0</v>
      </c>
      <c r="P57" s="326" t="e">
        <f t="shared" si="0"/>
        <v>#N/A</v>
      </c>
      <c r="Q57" t="e">
        <f t="shared" si="2"/>
        <v>#N/A</v>
      </c>
    </row>
    <row r="58" spans="2:17" x14ac:dyDescent="0.25">
      <c r="B58" t="e">
        <f>IF($C$1="Deutsch",VLOOKUP('Construction Planner'!J68,$N$4:$O$20,2,FALSE),'Construction Planner'!J68)</f>
        <v>#N/A</v>
      </c>
      <c r="C58" t="e">
        <f>'Construction Planner'!L68</f>
        <v>#N/A</v>
      </c>
      <c r="D58" s="133" t="e">
        <f>TEXT('Construction Planner'!P68,"TT.MM. hh:mm:ss")</f>
        <v>#N/A</v>
      </c>
      <c r="E58" s="133" t="e">
        <f>TEXT('Construction Planner'!M68,"[h]:mm:ss")</f>
        <v>#N/A</v>
      </c>
      <c r="F58" s="133" t="e">
        <f>TEXT('Construction Planner'!N69,"TT.MM. hh:mm:ss")</f>
        <v>#N/A</v>
      </c>
      <c r="G58" t="e">
        <f t="shared" si="3"/>
        <v>#N/A</v>
      </c>
      <c r="K58">
        <f>IF($F$1="Off",'Construction Planner'!DK68,'Construction Planner'!DI69)</f>
        <v>0</v>
      </c>
      <c r="L58">
        <f>IF($F$1="Off",'Construction Planner'!DN68,'Construction Planner'!DJ69)</f>
        <v>0</v>
      </c>
      <c r="M58">
        <f>IF($F$1="Off",'Construction Planner'!DQ68,'Construction Planner'!DL69)</f>
        <v>0</v>
      </c>
      <c r="P58" s="326" t="e">
        <f t="shared" si="0"/>
        <v>#N/A</v>
      </c>
      <c r="Q58" t="e">
        <f t="shared" si="2"/>
        <v>#N/A</v>
      </c>
    </row>
    <row r="59" spans="2:17" x14ac:dyDescent="0.25">
      <c r="B59" t="e">
        <f>IF($C$1="Deutsch",VLOOKUP('Construction Planner'!J69,$N$4:$O$20,2,FALSE),'Construction Planner'!J69)</f>
        <v>#N/A</v>
      </c>
      <c r="C59" t="e">
        <f>'Construction Planner'!L69</f>
        <v>#N/A</v>
      </c>
      <c r="D59" s="133" t="e">
        <f>TEXT('Construction Planner'!P69,"TT.MM. hh:mm:ss")</f>
        <v>#N/A</v>
      </c>
      <c r="E59" s="133" t="e">
        <f>TEXT('Construction Planner'!M69,"[h]:mm:ss")</f>
        <v>#N/A</v>
      </c>
      <c r="F59" s="133" t="e">
        <f>TEXT('Construction Planner'!N70,"TT.MM. hh:mm:ss")</f>
        <v>#N/A</v>
      </c>
      <c r="G59" t="e">
        <f t="shared" si="3"/>
        <v>#N/A</v>
      </c>
      <c r="K59">
        <f>IF($F$1="Off",'Construction Planner'!DK69,'Construction Planner'!DI70)</f>
        <v>0</v>
      </c>
      <c r="L59">
        <f>IF($F$1="Off",'Construction Planner'!DN69,'Construction Planner'!DJ70)</f>
        <v>0</v>
      </c>
      <c r="M59">
        <f>IF($F$1="Off",'Construction Planner'!DQ69,'Construction Planner'!DL70)</f>
        <v>0</v>
      </c>
      <c r="P59" s="326" t="e">
        <f t="shared" si="0"/>
        <v>#N/A</v>
      </c>
      <c r="Q59" t="e">
        <f t="shared" si="2"/>
        <v>#N/A</v>
      </c>
    </row>
    <row r="60" spans="2:17" x14ac:dyDescent="0.25">
      <c r="B60" t="e">
        <f>IF($C$1="Deutsch",VLOOKUP('Construction Planner'!J70,$N$4:$O$20,2,FALSE),'Construction Planner'!J70)</f>
        <v>#N/A</v>
      </c>
      <c r="C60" t="e">
        <f>'Construction Planner'!L70</f>
        <v>#N/A</v>
      </c>
      <c r="D60" s="133" t="e">
        <f>TEXT('Construction Planner'!P70,"TT.MM. hh:mm:ss")</f>
        <v>#N/A</v>
      </c>
      <c r="E60" s="133" t="e">
        <f>TEXT('Construction Planner'!M70,"[h]:mm:ss")</f>
        <v>#N/A</v>
      </c>
      <c r="F60" s="133" t="e">
        <f>TEXT('Construction Planner'!N71,"TT.MM. hh:mm:ss")</f>
        <v>#N/A</v>
      </c>
      <c r="G60" t="e">
        <f t="shared" si="3"/>
        <v>#N/A</v>
      </c>
      <c r="K60">
        <f>IF($F$1="Off",'Construction Planner'!DK70,'Construction Planner'!DI71)</f>
        <v>0</v>
      </c>
      <c r="L60">
        <f>IF($F$1="Off",'Construction Planner'!DN70,'Construction Planner'!DJ71)</f>
        <v>0</v>
      </c>
      <c r="M60">
        <f>IF($F$1="Off",'Construction Planner'!DQ70,'Construction Planner'!DL71)</f>
        <v>0</v>
      </c>
      <c r="P60" s="326" t="e">
        <f t="shared" si="0"/>
        <v>#N/A</v>
      </c>
      <c r="Q60" t="e">
        <f t="shared" si="2"/>
        <v>#N/A</v>
      </c>
    </row>
    <row r="61" spans="2:17" x14ac:dyDescent="0.25">
      <c r="B61" t="e">
        <f>IF($C$1="Deutsch",VLOOKUP('Construction Planner'!J71,$N$4:$O$20,2,FALSE),'Construction Planner'!J71)</f>
        <v>#N/A</v>
      </c>
      <c r="C61" t="e">
        <f>'Construction Planner'!L71</f>
        <v>#N/A</v>
      </c>
      <c r="D61" s="133" t="e">
        <f>TEXT('Construction Planner'!P71,"TT.MM. hh:mm:ss")</f>
        <v>#N/A</v>
      </c>
      <c r="E61" s="133" t="e">
        <f>TEXT('Construction Planner'!M71,"[h]:mm:ss")</f>
        <v>#N/A</v>
      </c>
      <c r="F61" s="133" t="e">
        <f>TEXT('Construction Planner'!N72,"TT.MM. hh:mm:ss")</f>
        <v>#N/A</v>
      </c>
      <c r="G61" t="e">
        <f t="shared" si="3"/>
        <v>#N/A</v>
      </c>
      <c r="K61">
        <f>IF($F$1="Off",'Construction Planner'!DK71,'Construction Planner'!DI72)</f>
        <v>0</v>
      </c>
      <c r="L61">
        <f>IF($F$1="Off",'Construction Planner'!DN71,'Construction Planner'!DJ72)</f>
        <v>0</v>
      </c>
      <c r="M61">
        <f>IF($F$1="Off",'Construction Planner'!DQ71,'Construction Planner'!DL72)</f>
        <v>0</v>
      </c>
      <c r="P61" s="326" t="e">
        <f t="shared" si="0"/>
        <v>#N/A</v>
      </c>
      <c r="Q61" t="e">
        <f t="shared" si="2"/>
        <v>#N/A</v>
      </c>
    </row>
    <row r="62" spans="2:17" x14ac:dyDescent="0.25">
      <c r="B62" t="e">
        <f>IF($C$1="Deutsch",VLOOKUP('Construction Planner'!J72,$N$4:$O$20,2,FALSE),'Construction Planner'!J72)</f>
        <v>#N/A</v>
      </c>
      <c r="C62" t="e">
        <f>'Construction Planner'!L72</f>
        <v>#N/A</v>
      </c>
      <c r="D62" s="133" t="e">
        <f>TEXT('Construction Planner'!P72,"TT.MM. hh:mm:ss")</f>
        <v>#N/A</v>
      </c>
      <c r="E62" s="133" t="e">
        <f>TEXT('Construction Planner'!M72,"[h]:mm:ss")</f>
        <v>#N/A</v>
      </c>
      <c r="F62" s="133" t="e">
        <f>TEXT('Construction Planner'!N73,"TT.MM. hh:mm:ss")</f>
        <v>#N/A</v>
      </c>
      <c r="G62" t="e">
        <f t="shared" si="3"/>
        <v>#N/A</v>
      </c>
      <c r="K62">
        <f>IF($F$1="Off",'Construction Planner'!DK72,'Construction Planner'!DI73)</f>
        <v>0</v>
      </c>
      <c r="L62">
        <f>IF($F$1="Off",'Construction Planner'!DN72,'Construction Planner'!DJ73)</f>
        <v>0</v>
      </c>
      <c r="M62">
        <f>IF($F$1="Off",'Construction Planner'!DQ72,'Construction Planner'!DL73)</f>
        <v>0</v>
      </c>
      <c r="P62" s="326" t="e">
        <f t="shared" si="0"/>
        <v>#N/A</v>
      </c>
      <c r="Q62" t="e">
        <f t="shared" si="2"/>
        <v>#N/A</v>
      </c>
    </row>
    <row r="63" spans="2:17" x14ac:dyDescent="0.25">
      <c r="B63" t="e">
        <f>IF($C$1="Deutsch",VLOOKUP('Construction Planner'!J73,$N$4:$O$20,2,FALSE),'Construction Planner'!J73)</f>
        <v>#N/A</v>
      </c>
      <c r="C63" t="e">
        <f>'Construction Planner'!L73</f>
        <v>#N/A</v>
      </c>
      <c r="D63" s="133" t="e">
        <f>TEXT('Construction Planner'!P73,"TT.MM. hh:mm:ss")</f>
        <v>#N/A</v>
      </c>
      <c r="E63" s="133" t="e">
        <f>TEXT('Construction Planner'!M73,"[h]:mm:ss")</f>
        <v>#N/A</v>
      </c>
      <c r="F63" s="133" t="e">
        <f>TEXT('Construction Planner'!N74,"TT.MM. hh:mm:ss")</f>
        <v>#N/A</v>
      </c>
      <c r="G63" t="e">
        <f t="shared" si="3"/>
        <v>#N/A</v>
      </c>
      <c r="K63">
        <f>IF($F$1="Off",'Construction Planner'!DK73,'Construction Planner'!DI74)</f>
        <v>0</v>
      </c>
      <c r="L63">
        <f>IF($F$1="Off",'Construction Planner'!DN73,'Construction Planner'!DJ74)</f>
        <v>0</v>
      </c>
      <c r="M63">
        <f>IF($F$1="Off",'Construction Planner'!DQ73,'Construction Planner'!DL74)</f>
        <v>0</v>
      </c>
      <c r="P63" s="326" t="e">
        <f t="shared" si="0"/>
        <v>#N/A</v>
      </c>
      <c r="Q63" t="e">
        <f t="shared" si="2"/>
        <v>#N/A</v>
      </c>
    </row>
    <row r="64" spans="2:17" x14ac:dyDescent="0.25">
      <c r="B64" t="e">
        <f>IF($C$1="Deutsch",VLOOKUP('Construction Planner'!J74,$N$4:$O$20,2,FALSE),'Construction Planner'!J74)</f>
        <v>#N/A</v>
      </c>
      <c r="C64" t="e">
        <f>'Construction Planner'!L74</f>
        <v>#N/A</v>
      </c>
      <c r="D64" s="133" t="e">
        <f>TEXT('Construction Planner'!P74,"TT.MM. hh:mm:ss")</f>
        <v>#N/A</v>
      </c>
      <c r="E64" s="133" t="e">
        <f>TEXT('Construction Planner'!M74,"[h]:mm:ss")</f>
        <v>#N/A</v>
      </c>
      <c r="F64" s="133" t="e">
        <f>TEXT('Construction Planner'!N75,"TT.MM. hh:mm:ss")</f>
        <v>#N/A</v>
      </c>
      <c r="G64" t="e">
        <f t="shared" si="3"/>
        <v>#N/A</v>
      </c>
      <c r="K64">
        <f>IF($F$1="Off",'Construction Planner'!DK74,'Construction Planner'!DI75)</f>
        <v>0</v>
      </c>
      <c r="L64">
        <f>IF($F$1="Off",'Construction Planner'!DN74,'Construction Planner'!DJ75)</f>
        <v>0</v>
      </c>
      <c r="M64">
        <f>IF($F$1="Off",'Construction Planner'!DQ74,'Construction Planner'!DL75)</f>
        <v>0</v>
      </c>
      <c r="P64" s="326" t="e">
        <f t="shared" si="0"/>
        <v>#N/A</v>
      </c>
      <c r="Q64" t="e">
        <f t="shared" si="2"/>
        <v>#N/A</v>
      </c>
    </row>
    <row r="65" spans="2:17" x14ac:dyDescent="0.25">
      <c r="B65" t="e">
        <f>IF($C$1="Deutsch",VLOOKUP('Construction Planner'!J75,$N$4:$O$20,2,FALSE),'Construction Planner'!J75)</f>
        <v>#N/A</v>
      </c>
      <c r="C65" t="e">
        <f>'Construction Planner'!L75</f>
        <v>#N/A</v>
      </c>
      <c r="D65" s="133" t="e">
        <f>TEXT('Construction Planner'!P75,"TT.MM. hh:mm:ss")</f>
        <v>#N/A</v>
      </c>
      <c r="E65" s="133" t="e">
        <f>TEXT('Construction Planner'!M75,"[h]:mm:ss")</f>
        <v>#N/A</v>
      </c>
      <c r="F65" s="133" t="e">
        <f>TEXT('Construction Planner'!N76,"TT.MM. hh:mm:ss")</f>
        <v>#N/A</v>
      </c>
      <c r="G65" t="e">
        <f t="shared" si="3"/>
        <v>#N/A</v>
      </c>
      <c r="K65">
        <f>IF($F$1="Off",'Construction Planner'!DK75,'Construction Planner'!DI76)</f>
        <v>0</v>
      </c>
      <c r="L65">
        <f>IF($F$1="Off",'Construction Planner'!DN75,'Construction Planner'!DJ76)</f>
        <v>0</v>
      </c>
      <c r="M65">
        <f>IF($F$1="Off",'Construction Planner'!DQ75,'Construction Planner'!DL76)</f>
        <v>0</v>
      </c>
      <c r="P65" s="326" t="e">
        <f t="shared" si="0"/>
        <v>#N/A</v>
      </c>
      <c r="Q65" t="e">
        <f t="shared" si="2"/>
        <v>#N/A</v>
      </c>
    </row>
    <row r="66" spans="2:17" x14ac:dyDescent="0.25">
      <c r="B66" t="e">
        <f>IF($C$1="Deutsch",VLOOKUP('Construction Planner'!J76,$N$4:$O$20,2,FALSE),'Construction Planner'!J76)</f>
        <v>#N/A</v>
      </c>
      <c r="C66" t="e">
        <f>'Construction Planner'!L76</f>
        <v>#N/A</v>
      </c>
      <c r="D66" s="133" t="e">
        <f>TEXT('Construction Planner'!P76,"TT.MM. hh:mm:ss")</f>
        <v>#N/A</v>
      </c>
      <c r="E66" s="133" t="e">
        <f>TEXT('Construction Planner'!M76,"[h]:mm:ss")</f>
        <v>#N/A</v>
      </c>
      <c r="F66" s="133" t="e">
        <f>TEXT('Construction Planner'!N77,"TT.MM. hh:mm:ss")</f>
        <v>#N/A</v>
      </c>
      <c r="G66" t="e">
        <f t="shared" si="3"/>
        <v>#N/A</v>
      </c>
      <c r="K66">
        <f>IF($F$1="Off",'Construction Planner'!DK76,'Construction Planner'!DI77)</f>
        <v>0</v>
      </c>
      <c r="L66">
        <f>IF($F$1="Off",'Construction Planner'!DN76,'Construction Planner'!DJ77)</f>
        <v>0</v>
      </c>
      <c r="M66">
        <f>IF($F$1="Off",'Construction Planner'!DQ76,'Construction Planner'!DL77)</f>
        <v>0</v>
      </c>
      <c r="P66" s="326" t="e">
        <f t="shared" si="0"/>
        <v>#N/A</v>
      </c>
      <c r="Q66" t="e">
        <f t="shared" si="2"/>
        <v>#N/A</v>
      </c>
    </row>
    <row r="67" spans="2:17" x14ac:dyDescent="0.25">
      <c r="B67" t="e">
        <f>IF($C$1="Deutsch",VLOOKUP('Construction Planner'!J77,$N$4:$O$20,2,FALSE),'Construction Planner'!J77)</f>
        <v>#N/A</v>
      </c>
      <c r="C67" t="e">
        <f>'Construction Planner'!L77</f>
        <v>#N/A</v>
      </c>
      <c r="D67" s="133" t="e">
        <f>TEXT('Construction Planner'!P77,"TT.MM. hh:mm:ss")</f>
        <v>#N/A</v>
      </c>
      <c r="E67" s="133" t="e">
        <f>TEXT('Construction Planner'!M77,"[h]:mm:ss")</f>
        <v>#N/A</v>
      </c>
      <c r="F67" s="133" t="e">
        <f>TEXT('Construction Planner'!N78,"TT.MM. hh:mm:ss")</f>
        <v>#N/A</v>
      </c>
      <c r="G67" t="e">
        <f t="shared" si="3"/>
        <v>#N/A</v>
      </c>
      <c r="K67">
        <f>IF($F$1="Off",'Construction Planner'!DK77,'Construction Planner'!DI78)</f>
        <v>0</v>
      </c>
      <c r="L67">
        <f>IF($F$1="Off",'Construction Planner'!DN77,'Construction Planner'!DJ78)</f>
        <v>0</v>
      </c>
      <c r="M67">
        <f>IF($F$1="Off",'Construction Planner'!DQ77,'Construction Planner'!DL78)</f>
        <v>0</v>
      </c>
      <c r="P67" s="326" t="e">
        <f t="shared" si="0"/>
        <v>#N/A</v>
      </c>
      <c r="Q67" t="e">
        <f t="shared" si="2"/>
        <v>#N/A</v>
      </c>
    </row>
    <row r="68" spans="2:17" x14ac:dyDescent="0.25">
      <c r="B68" t="e">
        <f>IF($C$1="Deutsch",VLOOKUP('Construction Planner'!J78,$N$4:$O$20,2,FALSE),'Construction Planner'!J78)</f>
        <v>#N/A</v>
      </c>
      <c r="C68" t="e">
        <f>'Construction Planner'!L78</f>
        <v>#N/A</v>
      </c>
      <c r="D68" s="133" t="e">
        <f>TEXT('Construction Planner'!P78,"TT.MM. hh:mm:ss")</f>
        <v>#N/A</v>
      </c>
      <c r="E68" s="133" t="e">
        <f>TEXT('Construction Planner'!M78,"[h]:mm:ss")</f>
        <v>#N/A</v>
      </c>
      <c r="F68" s="133" t="e">
        <f>TEXT('Construction Planner'!N79,"TT.MM. hh:mm:ss")</f>
        <v>#N/A</v>
      </c>
      <c r="G68" t="e">
        <f t="shared" si="3"/>
        <v>#N/A</v>
      </c>
      <c r="K68">
        <f>IF($F$1="Off",'Construction Planner'!DK78,'Construction Planner'!DI79)</f>
        <v>0</v>
      </c>
      <c r="L68">
        <f>IF($F$1="Off",'Construction Planner'!DN78,'Construction Planner'!DJ79)</f>
        <v>0</v>
      </c>
      <c r="M68">
        <f>IF($F$1="Off",'Construction Planner'!DQ78,'Construction Planner'!DL79)</f>
        <v>0</v>
      </c>
      <c r="P68" s="326" t="e">
        <f t="shared" ref="P68:P131" si="4">LEN(G68)-LEN(SUBSTITUTE(LOWER(G68),"[",))</f>
        <v>#N/A</v>
      </c>
      <c r="Q68" t="e">
        <f t="shared" si="2"/>
        <v>#N/A</v>
      </c>
    </row>
    <row r="69" spans="2:17" x14ac:dyDescent="0.25">
      <c r="B69" t="e">
        <f>IF($C$1="Deutsch",VLOOKUP('Construction Planner'!J79,$N$4:$O$20,2,FALSE),'Construction Planner'!J79)</f>
        <v>#N/A</v>
      </c>
      <c r="C69" t="e">
        <f>'Construction Planner'!L79</f>
        <v>#N/A</v>
      </c>
      <c r="D69" s="133" t="e">
        <f>TEXT('Construction Planner'!P79,"TT.MM. hh:mm:ss")</f>
        <v>#N/A</v>
      </c>
      <c r="E69" s="133" t="e">
        <f>TEXT('Construction Planner'!M79,"[h]:mm:ss")</f>
        <v>#N/A</v>
      </c>
      <c r="F69" s="133" t="e">
        <f>TEXT('Construction Planner'!N80,"TT.MM. hh:mm:ss")</f>
        <v>#N/A</v>
      </c>
      <c r="G69" t="e">
        <f t="shared" si="3"/>
        <v>#N/A</v>
      </c>
      <c r="K69">
        <f>IF($F$1="Off",'Construction Planner'!DK79,'Construction Planner'!DI80)</f>
        <v>0</v>
      </c>
      <c r="L69">
        <f>IF($F$1="Off",'Construction Planner'!DN79,'Construction Planner'!DJ80)</f>
        <v>0</v>
      </c>
      <c r="M69">
        <f>IF($F$1="Off",'Construction Planner'!DQ79,'Construction Planner'!DL80)</f>
        <v>0</v>
      </c>
      <c r="P69" s="326" t="e">
        <f t="shared" si="4"/>
        <v>#N/A</v>
      </c>
      <c r="Q69" t="e">
        <f t="shared" ref="Q69:Q132" si="5">P69+Q68</f>
        <v>#N/A</v>
      </c>
    </row>
    <row r="70" spans="2:17" x14ac:dyDescent="0.25">
      <c r="B70" t="e">
        <f>IF($C$1="Deutsch",VLOOKUP('Construction Planner'!J80,$N$4:$O$20,2,FALSE),'Construction Planner'!J80)</f>
        <v>#N/A</v>
      </c>
      <c r="C70" t="e">
        <f>'Construction Planner'!L80</f>
        <v>#N/A</v>
      </c>
      <c r="D70" s="133" t="e">
        <f>TEXT('Construction Planner'!P80,"TT.MM. hh:mm:ss")</f>
        <v>#N/A</v>
      </c>
      <c r="E70" s="133" t="e">
        <f>TEXT('Construction Planner'!M80,"[h]:mm:ss")</f>
        <v>#N/A</v>
      </c>
      <c r="F70" s="133" t="e">
        <f>TEXT('Construction Planner'!N81,"TT.MM. hh:mm:ss")</f>
        <v>#N/A</v>
      </c>
      <c r="G70" t="e">
        <f t="shared" si="3"/>
        <v>#N/A</v>
      </c>
      <c r="K70">
        <f>IF($F$1="Off",'Construction Planner'!DK80,'Construction Planner'!DI81)</f>
        <v>0</v>
      </c>
      <c r="L70">
        <f>IF($F$1="Off",'Construction Planner'!DN80,'Construction Planner'!DJ81)</f>
        <v>0</v>
      </c>
      <c r="M70">
        <f>IF($F$1="Off",'Construction Planner'!DQ80,'Construction Planner'!DL81)</f>
        <v>0</v>
      </c>
      <c r="P70" s="326" t="e">
        <f t="shared" si="4"/>
        <v>#N/A</v>
      </c>
      <c r="Q70" t="e">
        <f t="shared" si="5"/>
        <v>#N/A</v>
      </c>
    </row>
    <row r="71" spans="2:17" x14ac:dyDescent="0.25">
      <c r="B71" t="e">
        <f>IF($C$1="Deutsch",VLOOKUP('Construction Planner'!J81,$N$4:$O$20,2,FALSE),'Construction Planner'!J81)</f>
        <v>#N/A</v>
      </c>
      <c r="C71" t="e">
        <f>'Construction Planner'!L81</f>
        <v>#N/A</v>
      </c>
      <c r="D71" s="133" t="e">
        <f>TEXT('Construction Planner'!P81,"TT.MM. hh:mm:ss")</f>
        <v>#N/A</v>
      </c>
      <c r="E71" s="133" t="e">
        <f>TEXT('Construction Planner'!M81,"[h]:mm:ss")</f>
        <v>#N/A</v>
      </c>
      <c r="F71" s="133" t="e">
        <f>TEXT('Construction Planner'!N82,"TT.MM. hh:mm:ss")</f>
        <v>#N/A</v>
      </c>
      <c r="G71" t="e">
        <f t="shared" si="3"/>
        <v>#N/A</v>
      </c>
      <c r="K71">
        <f>IF($F$1="Off",'Construction Planner'!DK81,'Construction Planner'!DI82)</f>
        <v>0</v>
      </c>
      <c r="L71">
        <f>IF($F$1="Off",'Construction Planner'!DN81,'Construction Planner'!DJ82)</f>
        <v>0</v>
      </c>
      <c r="M71">
        <f>IF($F$1="Off",'Construction Planner'!DQ81,'Construction Planner'!DL82)</f>
        <v>0</v>
      </c>
      <c r="P71" s="326" t="e">
        <f t="shared" si="4"/>
        <v>#N/A</v>
      </c>
      <c r="Q71" t="e">
        <f t="shared" si="5"/>
        <v>#N/A</v>
      </c>
    </row>
    <row r="72" spans="2:17" x14ac:dyDescent="0.25">
      <c r="B72" t="e">
        <f>IF($C$1="Deutsch",VLOOKUP('Construction Planner'!J82,$N$4:$O$20,2,FALSE),'Construction Planner'!J82)</f>
        <v>#N/A</v>
      </c>
      <c r="C72" t="e">
        <f>'Construction Planner'!L82</f>
        <v>#N/A</v>
      </c>
      <c r="D72" s="133" t="e">
        <f>TEXT('Construction Planner'!P82,"TT.MM. hh:mm:ss")</f>
        <v>#N/A</v>
      </c>
      <c r="E72" s="133" t="e">
        <f>TEXT('Construction Planner'!M82,"[h]:mm:ss")</f>
        <v>#N/A</v>
      </c>
      <c r="F72" s="133" t="e">
        <f>TEXT('Construction Planner'!N83,"TT.MM. hh:mm:ss")</f>
        <v>#N/A</v>
      </c>
      <c r="G72" t="e">
        <f t="shared" si="3"/>
        <v>#N/A</v>
      </c>
      <c r="K72">
        <f>IF($F$1="Off",'Construction Planner'!DK82,'Construction Planner'!DI83)</f>
        <v>0</v>
      </c>
      <c r="L72">
        <f>IF($F$1="Off",'Construction Planner'!DN82,'Construction Planner'!DJ83)</f>
        <v>0</v>
      </c>
      <c r="M72">
        <f>IF($F$1="Off",'Construction Planner'!DQ82,'Construction Planner'!DL83)</f>
        <v>0</v>
      </c>
      <c r="P72" s="326" t="e">
        <f t="shared" si="4"/>
        <v>#N/A</v>
      </c>
      <c r="Q72" t="e">
        <f t="shared" si="5"/>
        <v>#N/A</v>
      </c>
    </row>
    <row r="73" spans="2:17" x14ac:dyDescent="0.25">
      <c r="B73" t="e">
        <f>IF($C$1="Deutsch",VLOOKUP('Construction Planner'!J83,$N$4:$O$20,2,FALSE),'Construction Planner'!J83)</f>
        <v>#N/A</v>
      </c>
      <c r="C73" t="e">
        <f>'Construction Planner'!L83</f>
        <v>#N/A</v>
      </c>
      <c r="D73" s="133" t="e">
        <f>TEXT('Construction Planner'!P83,"TT.MM. hh:mm:ss")</f>
        <v>#N/A</v>
      </c>
      <c r="E73" s="133" t="e">
        <f>TEXT('Construction Planner'!M83,"[h]:mm:ss")</f>
        <v>#N/A</v>
      </c>
      <c r="F73" s="133" t="e">
        <f>TEXT('Construction Planner'!N84,"TT.MM. hh:mm:ss")</f>
        <v>#N/A</v>
      </c>
      <c r="G73" t="e">
        <f t="shared" si="3"/>
        <v>#N/A</v>
      </c>
      <c r="K73">
        <f>IF($F$1="Off",'Construction Planner'!DK83,'Construction Planner'!DI84)</f>
        <v>0</v>
      </c>
      <c r="L73">
        <f>IF($F$1="Off",'Construction Planner'!DN83,'Construction Planner'!DJ84)</f>
        <v>0</v>
      </c>
      <c r="M73">
        <f>IF($F$1="Off",'Construction Planner'!DQ83,'Construction Planner'!DL84)</f>
        <v>0</v>
      </c>
      <c r="P73" s="326" t="e">
        <f t="shared" si="4"/>
        <v>#N/A</v>
      </c>
      <c r="Q73" t="e">
        <f t="shared" si="5"/>
        <v>#N/A</v>
      </c>
    </row>
    <row r="74" spans="2:17" x14ac:dyDescent="0.25">
      <c r="B74" t="e">
        <f>IF($C$1="Deutsch",VLOOKUP('Construction Planner'!J84,$N$4:$O$20,2,FALSE),'Construction Planner'!J84)</f>
        <v>#N/A</v>
      </c>
      <c r="C74" t="e">
        <f>'Construction Planner'!L84</f>
        <v>#N/A</v>
      </c>
      <c r="D74" s="133" t="e">
        <f>TEXT('Construction Planner'!P84,"TT.MM. hh:mm:ss")</f>
        <v>#N/A</v>
      </c>
      <c r="E74" s="133" t="e">
        <f>TEXT('Construction Planner'!M84,"[h]:mm:ss")</f>
        <v>#N/A</v>
      </c>
      <c r="F74" s="133" t="e">
        <f>TEXT('Construction Planner'!N85,"TT.MM. hh:mm:ss")</f>
        <v>#N/A</v>
      </c>
      <c r="G74" t="e">
        <f t="shared" si="3"/>
        <v>#N/A</v>
      </c>
      <c r="K74">
        <f>IF($F$1="Off",'Construction Planner'!DK84,'Construction Planner'!DI85)</f>
        <v>0</v>
      </c>
      <c r="L74">
        <f>IF($F$1="Off",'Construction Planner'!DN84,'Construction Planner'!DJ85)</f>
        <v>0</v>
      </c>
      <c r="M74">
        <f>IF($F$1="Off",'Construction Planner'!DQ84,'Construction Planner'!DL85)</f>
        <v>0</v>
      </c>
      <c r="P74" s="326" t="e">
        <f t="shared" si="4"/>
        <v>#N/A</v>
      </c>
      <c r="Q74" t="e">
        <f t="shared" si="5"/>
        <v>#N/A</v>
      </c>
    </row>
    <row r="75" spans="2:17" x14ac:dyDescent="0.25">
      <c r="B75" t="e">
        <f>IF($C$1="Deutsch",VLOOKUP('Construction Planner'!J85,$N$4:$O$20,2,FALSE),'Construction Planner'!J85)</f>
        <v>#N/A</v>
      </c>
      <c r="C75" t="e">
        <f>'Construction Planner'!L85</f>
        <v>#N/A</v>
      </c>
      <c r="D75" s="133" t="e">
        <f>TEXT('Construction Planner'!P85,"TT.MM. hh:mm:ss")</f>
        <v>#N/A</v>
      </c>
      <c r="E75" s="133" t="e">
        <f>TEXT('Construction Planner'!M85,"[h]:mm:ss")</f>
        <v>#N/A</v>
      </c>
      <c r="F75" s="133" t="e">
        <f>TEXT('Construction Planner'!N86,"TT.MM. hh:mm:ss")</f>
        <v>#N/A</v>
      </c>
      <c r="G75" t="e">
        <f t="shared" si="3"/>
        <v>#N/A</v>
      </c>
      <c r="K75">
        <f>IF($F$1="Off",'Construction Planner'!DK85,'Construction Planner'!DI86)</f>
        <v>0</v>
      </c>
      <c r="L75">
        <f>IF($F$1="Off",'Construction Planner'!DN85,'Construction Planner'!DJ86)</f>
        <v>0</v>
      </c>
      <c r="M75">
        <f>IF($F$1="Off",'Construction Planner'!DQ85,'Construction Planner'!DL86)</f>
        <v>0</v>
      </c>
      <c r="P75" s="326" t="e">
        <f t="shared" si="4"/>
        <v>#N/A</v>
      </c>
      <c r="Q75" t="e">
        <f t="shared" si="5"/>
        <v>#N/A</v>
      </c>
    </row>
    <row r="76" spans="2:17" x14ac:dyDescent="0.25">
      <c r="B76" t="e">
        <f>IF($C$1="Deutsch",VLOOKUP('Construction Planner'!J86,$N$4:$O$20,2,FALSE),'Construction Planner'!J86)</f>
        <v>#N/A</v>
      </c>
      <c r="C76" t="e">
        <f>'Construction Planner'!L86</f>
        <v>#N/A</v>
      </c>
      <c r="D76" s="133" t="e">
        <f>TEXT('Construction Planner'!P86,"TT.MM. hh:mm:ss")</f>
        <v>#N/A</v>
      </c>
      <c r="E76" s="133" t="e">
        <f>TEXT('Construction Planner'!M86,"[h]:mm:ss")</f>
        <v>#N/A</v>
      </c>
      <c r="F76" s="133" t="e">
        <f>TEXT('Construction Planner'!N87,"TT.MM. hh:mm:ss")</f>
        <v>#N/A</v>
      </c>
      <c r="G76" t="e">
        <f t="shared" si="3"/>
        <v>#N/A</v>
      </c>
      <c r="K76">
        <f>IF($F$1="Off",'Construction Planner'!DK86,'Construction Planner'!DI87)</f>
        <v>0</v>
      </c>
      <c r="L76">
        <f>IF($F$1="Off",'Construction Planner'!DN86,'Construction Planner'!DJ87)</f>
        <v>0</v>
      </c>
      <c r="M76">
        <f>IF($F$1="Off",'Construction Planner'!DQ86,'Construction Planner'!DL87)</f>
        <v>0</v>
      </c>
      <c r="P76" s="326" t="e">
        <f t="shared" si="4"/>
        <v>#N/A</v>
      </c>
      <c r="Q76" t="e">
        <f t="shared" si="5"/>
        <v>#N/A</v>
      </c>
    </row>
    <row r="77" spans="2:17" x14ac:dyDescent="0.25">
      <c r="B77" t="e">
        <f>IF($C$1="Deutsch",VLOOKUP('Construction Planner'!J87,$N$4:$O$20,2,FALSE),'Construction Planner'!J87)</f>
        <v>#N/A</v>
      </c>
      <c r="C77" t="e">
        <f>'Construction Planner'!L87</f>
        <v>#N/A</v>
      </c>
      <c r="D77" s="133" t="e">
        <f>TEXT('Construction Planner'!P87,"TT.MM. hh:mm:ss")</f>
        <v>#N/A</v>
      </c>
      <c r="E77" s="133" t="e">
        <f>TEXT('Construction Planner'!M87,"[h]:mm:ss")</f>
        <v>#N/A</v>
      </c>
      <c r="F77" s="133" t="e">
        <f>TEXT('Construction Planner'!N88,"TT.MM. hh:mm:ss")</f>
        <v>#N/A</v>
      </c>
      <c r="G77" t="e">
        <f t="shared" si="3"/>
        <v>#N/A</v>
      </c>
      <c r="K77">
        <f>IF($F$1="Off",'Construction Planner'!DK87,'Construction Planner'!DI88)</f>
        <v>0</v>
      </c>
      <c r="L77">
        <f>IF($F$1="Off",'Construction Planner'!DN87,'Construction Planner'!DJ88)</f>
        <v>0</v>
      </c>
      <c r="M77">
        <f>IF($F$1="Off",'Construction Planner'!DQ87,'Construction Planner'!DL88)</f>
        <v>0</v>
      </c>
      <c r="P77" s="326" t="e">
        <f t="shared" si="4"/>
        <v>#N/A</v>
      </c>
      <c r="Q77" t="e">
        <f t="shared" si="5"/>
        <v>#N/A</v>
      </c>
    </row>
    <row r="78" spans="2:17" x14ac:dyDescent="0.25">
      <c r="B78" t="e">
        <f>IF($C$1="Deutsch",VLOOKUP('Construction Planner'!J88,$N$4:$O$20,2,FALSE),'Construction Planner'!J88)</f>
        <v>#N/A</v>
      </c>
      <c r="C78" t="e">
        <f>'Construction Planner'!L88</f>
        <v>#N/A</v>
      </c>
      <c r="D78" s="133" t="e">
        <f>TEXT('Construction Planner'!P88,"TT.MM. hh:mm:ss")</f>
        <v>#N/A</v>
      </c>
      <c r="E78" s="133" t="e">
        <f>TEXT('Construction Planner'!M88,"[h]:mm:ss")</f>
        <v>#N/A</v>
      </c>
      <c r="F78" s="133" t="e">
        <f>TEXT('Construction Planner'!N89,"TT.MM. hh:mm:ss")</f>
        <v>#N/A</v>
      </c>
      <c r="G78" t="e">
        <f t="shared" si="3"/>
        <v>#N/A</v>
      </c>
      <c r="K78">
        <f>IF($F$1="Off",'Construction Planner'!DK88,'Construction Planner'!DI89)</f>
        <v>0</v>
      </c>
      <c r="L78">
        <f>IF($F$1="Off",'Construction Planner'!DN88,'Construction Planner'!DJ89)</f>
        <v>0</v>
      </c>
      <c r="M78">
        <f>IF($F$1="Off",'Construction Planner'!DQ88,'Construction Planner'!DL89)</f>
        <v>0</v>
      </c>
      <c r="P78" s="326" t="e">
        <f t="shared" si="4"/>
        <v>#N/A</v>
      </c>
      <c r="Q78" t="e">
        <f t="shared" si="5"/>
        <v>#N/A</v>
      </c>
    </row>
    <row r="79" spans="2:17" x14ac:dyDescent="0.25">
      <c r="B79" t="e">
        <f>IF($C$1="Deutsch",VLOOKUP('Construction Planner'!J89,$N$4:$O$20,2,FALSE),'Construction Planner'!J89)</f>
        <v>#N/A</v>
      </c>
      <c r="C79" t="e">
        <f>'Construction Planner'!L89</f>
        <v>#N/A</v>
      </c>
      <c r="D79" s="133" t="e">
        <f>TEXT('Construction Planner'!P89,"TT.MM. hh:mm:ss")</f>
        <v>#N/A</v>
      </c>
      <c r="E79" s="133" t="e">
        <f>TEXT('Construction Planner'!M89,"[h]:mm:ss")</f>
        <v>#N/A</v>
      </c>
      <c r="F79" s="133" t="e">
        <f>TEXT('Construction Planner'!N90,"TT.MM. hh:mm:ss")</f>
        <v>#N/A</v>
      </c>
      <c r="G79" t="e">
        <f t="shared" si="3"/>
        <v>#N/A</v>
      </c>
      <c r="K79">
        <f>IF($F$1="Off",'Construction Planner'!DK89,'Construction Planner'!DI90)</f>
        <v>0</v>
      </c>
      <c r="L79">
        <f>IF($F$1="Off",'Construction Planner'!DN89,'Construction Planner'!DJ90)</f>
        <v>0</v>
      </c>
      <c r="M79">
        <f>IF($F$1="Off",'Construction Planner'!DQ89,'Construction Planner'!DL90)</f>
        <v>0</v>
      </c>
      <c r="P79" s="326" t="e">
        <f t="shared" si="4"/>
        <v>#N/A</v>
      </c>
      <c r="Q79" t="e">
        <f t="shared" si="5"/>
        <v>#N/A</v>
      </c>
    </row>
    <row r="80" spans="2:17" x14ac:dyDescent="0.25">
      <c r="B80" t="e">
        <f>IF($C$1="Deutsch",VLOOKUP('Construction Planner'!J90,$N$4:$O$20,2,FALSE),'Construction Planner'!J90)</f>
        <v>#N/A</v>
      </c>
      <c r="C80" t="e">
        <f>'Construction Planner'!L90</f>
        <v>#N/A</v>
      </c>
      <c r="D80" s="133" t="e">
        <f>TEXT('Construction Planner'!P90,"TT.MM. hh:mm:ss")</f>
        <v>#N/A</v>
      </c>
      <c r="E80" s="133" t="e">
        <f>TEXT('Construction Planner'!M90,"[h]:mm:ss")</f>
        <v>#N/A</v>
      </c>
      <c r="F80" s="133" t="e">
        <f>TEXT('Construction Planner'!N91,"TT.MM. hh:mm:ss")</f>
        <v>#N/A</v>
      </c>
      <c r="G80" t="e">
        <f t="shared" si="3"/>
        <v>#N/A</v>
      </c>
      <c r="K80">
        <f>IF($F$1="Off",'Construction Planner'!DK90,'Construction Planner'!DI91)</f>
        <v>0</v>
      </c>
      <c r="L80">
        <f>IF($F$1="Off",'Construction Planner'!DN90,'Construction Planner'!DJ91)</f>
        <v>0</v>
      </c>
      <c r="M80">
        <f>IF($F$1="Off",'Construction Planner'!DQ90,'Construction Planner'!DL91)</f>
        <v>0</v>
      </c>
      <c r="P80" s="326" t="e">
        <f t="shared" si="4"/>
        <v>#N/A</v>
      </c>
      <c r="Q80" t="e">
        <f t="shared" si="5"/>
        <v>#N/A</v>
      </c>
    </row>
    <row r="81" spans="2:17" x14ac:dyDescent="0.25">
      <c r="B81" t="e">
        <f>IF($C$1="Deutsch",VLOOKUP('Construction Planner'!J91,$N$4:$O$20,2,FALSE),'Construction Planner'!J91)</f>
        <v>#N/A</v>
      </c>
      <c r="C81" t="e">
        <f>'Construction Planner'!L91</f>
        <v>#N/A</v>
      </c>
      <c r="D81" s="133" t="e">
        <f>TEXT('Construction Planner'!P91,"TT.MM. hh:mm:ss")</f>
        <v>#N/A</v>
      </c>
      <c r="E81" s="133" t="e">
        <f>TEXT('Construction Planner'!M91,"[h]:mm:ss")</f>
        <v>#N/A</v>
      </c>
      <c r="F81" s="133" t="e">
        <f>TEXT('Construction Planner'!N92,"TT.MM. hh:mm:ss")</f>
        <v>#N/A</v>
      </c>
      <c r="G81" t="e">
        <f t="shared" ref="G81:G137" si="6">CONCATENATE("[*]",B81,"[|]",C81,"[|]",D81,"[|]",E81,"[|]",F81,"[|]",K81,"[|]",L81,"[|]",M81)</f>
        <v>#N/A</v>
      </c>
      <c r="K81">
        <f>IF($F$1="Off",'Construction Planner'!DK91,'Construction Planner'!DI92)</f>
        <v>0</v>
      </c>
      <c r="L81">
        <f>IF($F$1="Off",'Construction Planner'!DN91,'Construction Planner'!DJ92)</f>
        <v>0</v>
      </c>
      <c r="M81">
        <f>IF($F$1="Off",'Construction Planner'!DQ91,'Construction Planner'!DL92)</f>
        <v>0</v>
      </c>
      <c r="P81" s="326" t="e">
        <f t="shared" si="4"/>
        <v>#N/A</v>
      </c>
      <c r="Q81" t="e">
        <f t="shared" si="5"/>
        <v>#N/A</v>
      </c>
    </row>
    <row r="82" spans="2:17" x14ac:dyDescent="0.25">
      <c r="B82" t="e">
        <f>IF($C$1="Deutsch",VLOOKUP('Construction Planner'!J92,$N$4:$O$20,2,FALSE),'Construction Planner'!J92)</f>
        <v>#N/A</v>
      </c>
      <c r="C82" t="e">
        <f>'Construction Planner'!L92</f>
        <v>#N/A</v>
      </c>
      <c r="D82" s="133" t="e">
        <f>TEXT('Construction Planner'!P92,"TT.MM. hh:mm:ss")</f>
        <v>#N/A</v>
      </c>
      <c r="E82" s="133" t="e">
        <f>TEXT('Construction Planner'!M92,"[h]:mm:ss")</f>
        <v>#N/A</v>
      </c>
      <c r="F82" s="133" t="e">
        <f>TEXT('Construction Planner'!N93,"TT.MM. hh:mm:ss")</f>
        <v>#N/A</v>
      </c>
      <c r="G82" t="e">
        <f t="shared" si="6"/>
        <v>#N/A</v>
      </c>
      <c r="K82">
        <f>IF($F$1="Off",'Construction Planner'!DK92,'Construction Planner'!DI93)</f>
        <v>0</v>
      </c>
      <c r="L82">
        <f>IF($F$1="Off",'Construction Planner'!DN92,'Construction Planner'!DJ93)</f>
        <v>0</v>
      </c>
      <c r="M82">
        <f>IF($F$1="Off",'Construction Planner'!DQ92,'Construction Planner'!DL93)</f>
        <v>0</v>
      </c>
      <c r="P82" s="326" t="e">
        <f t="shared" si="4"/>
        <v>#N/A</v>
      </c>
      <c r="Q82" t="e">
        <f t="shared" si="5"/>
        <v>#N/A</v>
      </c>
    </row>
    <row r="83" spans="2:17" x14ac:dyDescent="0.25">
      <c r="B83" t="e">
        <f>IF($C$1="Deutsch",VLOOKUP('Construction Planner'!J93,$N$4:$O$20,2,FALSE),'Construction Planner'!J93)</f>
        <v>#N/A</v>
      </c>
      <c r="C83" t="e">
        <f>'Construction Planner'!L93</f>
        <v>#N/A</v>
      </c>
      <c r="D83" s="133" t="e">
        <f>TEXT('Construction Planner'!P93,"TT.MM. hh:mm:ss")</f>
        <v>#N/A</v>
      </c>
      <c r="E83" s="133" t="e">
        <f>TEXT('Construction Planner'!M93,"[h]:mm:ss")</f>
        <v>#N/A</v>
      </c>
      <c r="F83" s="133" t="e">
        <f>TEXT('Construction Planner'!N94,"TT.MM. hh:mm:ss")</f>
        <v>#N/A</v>
      </c>
      <c r="G83" t="e">
        <f t="shared" si="6"/>
        <v>#N/A</v>
      </c>
      <c r="K83">
        <f>IF($F$1="Off",'Construction Planner'!DK93,'Construction Planner'!DI94)</f>
        <v>0</v>
      </c>
      <c r="L83">
        <f>IF($F$1="Off",'Construction Planner'!DN93,'Construction Planner'!DJ94)</f>
        <v>0</v>
      </c>
      <c r="M83">
        <f>IF($F$1="Off",'Construction Planner'!DQ93,'Construction Planner'!DL94)</f>
        <v>0</v>
      </c>
      <c r="P83" s="326" t="e">
        <f t="shared" si="4"/>
        <v>#N/A</v>
      </c>
      <c r="Q83" t="e">
        <f t="shared" si="5"/>
        <v>#N/A</v>
      </c>
    </row>
    <row r="84" spans="2:17" x14ac:dyDescent="0.25">
      <c r="B84" t="e">
        <f>IF($C$1="Deutsch",VLOOKUP('Construction Planner'!J94,$N$4:$O$20,2,FALSE),'Construction Planner'!J94)</f>
        <v>#N/A</v>
      </c>
      <c r="C84" t="e">
        <f>'Construction Planner'!L94</f>
        <v>#N/A</v>
      </c>
      <c r="D84" s="133" t="e">
        <f>TEXT('Construction Planner'!P94,"TT.MM. hh:mm:ss")</f>
        <v>#N/A</v>
      </c>
      <c r="E84" s="133" t="e">
        <f>TEXT('Construction Planner'!M94,"[h]:mm:ss")</f>
        <v>#N/A</v>
      </c>
      <c r="F84" s="133" t="e">
        <f>TEXT('Construction Planner'!N95,"TT.MM. hh:mm:ss")</f>
        <v>#N/A</v>
      </c>
      <c r="G84" t="e">
        <f t="shared" si="6"/>
        <v>#N/A</v>
      </c>
      <c r="K84">
        <f>IF($F$1="Off",'Construction Planner'!DK94,'Construction Planner'!DI95)</f>
        <v>0</v>
      </c>
      <c r="L84">
        <f>IF($F$1="Off",'Construction Planner'!DN94,'Construction Planner'!DJ95)</f>
        <v>0</v>
      </c>
      <c r="M84">
        <f>IF($F$1="Off",'Construction Planner'!DQ94,'Construction Planner'!DL95)</f>
        <v>0</v>
      </c>
      <c r="P84" s="326" t="e">
        <f t="shared" si="4"/>
        <v>#N/A</v>
      </c>
      <c r="Q84" t="e">
        <f t="shared" si="5"/>
        <v>#N/A</v>
      </c>
    </row>
    <row r="85" spans="2:17" x14ac:dyDescent="0.25">
      <c r="B85" t="e">
        <f>IF($C$1="Deutsch",VLOOKUP('Construction Planner'!J95,$N$4:$O$20,2,FALSE),'Construction Planner'!J95)</f>
        <v>#N/A</v>
      </c>
      <c r="C85" t="e">
        <f>'Construction Planner'!L95</f>
        <v>#N/A</v>
      </c>
      <c r="D85" s="133" t="e">
        <f>TEXT('Construction Planner'!P95,"TT.MM. hh:mm:ss")</f>
        <v>#N/A</v>
      </c>
      <c r="E85" s="133" t="e">
        <f>TEXT('Construction Planner'!M95,"[h]:mm:ss")</f>
        <v>#N/A</v>
      </c>
      <c r="F85" s="133" t="e">
        <f>TEXT('Construction Planner'!N96,"TT.MM. hh:mm:ss")</f>
        <v>#N/A</v>
      </c>
      <c r="G85" t="e">
        <f t="shared" si="6"/>
        <v>#N/A</v>
      </c>
      <c r="K85">
        <f>IF($F$1="Off",'Construction Planner'!DK95,'Construction Planner'!DI96)</f>
        <v>0</v>
      </c>
      <c r="L85">
        <f>IF($F$1="Off",'Construction Planner'!DN95,'Construction Planner'!DJ96)</f>
        <v>0</v>
      </c>
      <c r="M85">
        <f>IF($F$1="Off",'Construction Planner'!DQ95,'Construction Planner'!DL96)</f>
        <v>0</v>
      </c>
      <c r="P85" s="326" t="e">
        <f t="shared" si="4"/>
        <v>#N/A</v>
      </c>
      <c r="Q85" t="e">
        <f t="shared" si="5"/>
        <v>#N/A</v>
      </c>
    </row>
    <row r="86" spans="2:17" x14ac:dyDescent="0.25">
      <c r="B86" t="e">
        <f>IF($C$1="Deutsch",VLOOKUP('Construction Planner'!J96,$N$4:$O$20,2,FALSE),'Construction Planner'!J96)</f>
        <v>#N/A</v>
      </c>
      <c r="C86" t="e">
        <f>'Construction Planner'!L96</f>
        <v>#N/A</v>
      </c>
      <c r="D86" s="133" t="e">
        <f>TEXT('Construction Planner'!P96,"TT.MM. hh:mm:ss")</f>
        <v>#N/A</v>
      </c>
      <c r="E86" s="133" t="e">
        <f>TEXT('Construction Planner'!M96,"[h]:mm:ss")</f>
        <v>#N/A</v>
      </c>
      <c r="F86" s="133" t="e">
        <f>TEXT('Construction Planner'!N97,"TT.MM. hh:mm:ss")</f>
        <v>#N/A</v>
      </c>
      <c r="G86" t="e">
        <f t="shared" si="6"/>
        <v>#N/A</v>
      </c>
      <c r="K86">
        <f>IF($F$1="Off",'Construction Planner'!DK96,'Construction Planner'!DI97)</f>
        <v>0</v>
      </c>
      <c r="L86">
        <f>IF($F$1="Off",'Construction Planner'!DN96,'Construction Planner'!DJ97)</f>
        <v>0</v>
      </c>
      <c r="M86">
        <f>IF($F$1="Off",'Construction Planner'!DQ96,'Construction Planner'!DL97)</f>
        <v>0</v>
      </c>
      <c r="P86" s="326" t="e">
        <f t="shared" si="4"/>
        <v>#N/A</v>
      </c>
      <c r="Q86" t="e">
        <f t="shared" si="5"/>
        <v>#N/A</v>
      </c>
    </row>
    <row r="87" spans="2:17" x14ac:dyDescent="0.25">
      <c r="B87" t="e">
        <f>IF($C$1="Deutsch",VLOOKUP('Construction Planner'!J97,$N$4:$O$20,2,FALSE),'Construction Planner'!J97)</f>
        <v>#N/A</v>
      </c>
      <c r="C87" t="e">
        <f>'Construction Planner'!L97</f>
        <v>#N/A</v>
      </c>
      <c r="D87" s="133" t="e">
        <f>TEXT('Construction Planner'!P97,"TT.MM. hh:mm:ss")</f>
        <v>#N/A</v>
      </c>
      <c r="E87" s="133" t="e">
        <f>TEXT('Construction Planner'!M97,"[h]:mm:ss")</f>
        <v>#N/A</v>
      </c>
      <c r="F87" s="133" t="e">
        <f>TEXT('Construction Planner'!N98,"TT.MM. hh:mm:ss")</f>
        <v>#N/A</v>
      </c>
      <c r="G87" t="e">
        <f t="shared" si="6"/>
        <v>#N/A</v>
      </c>
      <c r="K87">
        <f>IF($F$1="Off",'Construction Planner'!DK97,'Construction Planner'!DI98)</f>
        <v>0</v>
      </c>
      <c r="L87">
        <f>IF($F$1="Off",'Construction Planner'!DN97,'Construction Planner'!DJ98)</f>
        <v>0</v>
      </c>
      <c r="M87">
        <f>IF($F$1="Off",'Construction Planner'!DQ97,'Construction Planner'!DL98)</f>
        <v>0</v>
      </c>
      <c r="P87" s="326" t="e">
        <f t="shared" si="4"/>
        <v>#N/A</v>
      </c>
      <c r="Q87" t="e">
        <f t="shared" si="5"/>
        <v>#N/A</v>
      </c>
    </row>
    <row r="88" spans="2:17" x14ac:dyDescent="0.25">
      <c r="B88" t="e">
        <f>IF($C$1="Deutsch",VLOOKUP('Construction Planner'!J98,$N$4:$O$20,2,FALSE),'Construction Planner'!J98)</f>
        <v>#N/A</v>
      </c>
      <c r="C88" t="e">
        <f>'Construction Planner'!L98</f>
        <v>#N/A</v>
      </c>
      <c r="D88" s="133" t="e">
        <f>TEXT('Construction Planner'!P98,"TT.MM. hh:mm:ss")</f>
        <v>#N/A</v>
      </c>
      <c r="E88" s="133" t="e">
        <f>TEXT('Construction Planner'!M98,"[h]:mm:ss")</f>
        <v>#N/A</v>
      </c>
      <c r="F88" s="133" t="e">
        <f>TEXT('Construction Planner'!N99,"TT.MM. hh:mm:ss")</f>
        <v>#N/A</v>
      </c>
      <c r="G88" t="e">
        <f t="shared" si="6"/>
        <v>#N/A</v>
      </c>
      <c r="K88">
        <f>IF($F$1="Off",'Construction Planner'!DK98,'Construction Planner'!DI99)</f>
        <v>0</v>
      </c>
      <c r="L88">
        <f>IF($F$1="Off",'Construction Planner'!DN98,'Construction Planner'!DJ99)</f>
        <v>0</v>
      </c>
      <c r="M88">
        <f>IF($F$1="Off",'Construction Planner'!DQ98,'Construction Planner'!DL99)</f>
        <v>0</v>
      </c>
      <c r="P88" s="326" t="e">
        <f t="shared" si="4"/>
        <v>#N/A</v>
      </c>
      <c r="Q88" t="e">
        <f t="shared" si="5"/>
        <v>#N/A</v>
      </c>
    </row>
    <row r="89" spans="2:17" x14ac:dyDescent="0.25">
      <c r="B89" t="e">
        <f>IF($C$1="Deutsch",VLOOKUP('Construction Planner'!J99,$N$4:$O$20,2,FALSE),'Construction Planner'!J99)</f>
        <v>#N/A</v>
      </c>
      <c r="C89" t="e">
        <f>'Construction Planner'!L99</f>
        <v>#N/A</v>
      </c>
      <c r="D89" s="133" t="e">
        <f>TEXT('Construction Planner'!P99,"TT.MM. hh:mm:ss")</f>
        <v>#N/A</v>
      </c>
      <c r="E89" s="133" t="e">
        <f>TEXT('Construction Planner'!M99,"[h]:mm:ss")</f>
        <v>#N/A</v>
      </c>
      <c r="F89" s="133" t="e">
        <f>TEXT('Construction Planner'!N100,"TT.MM. hh:mm:ss")</f>
        <v>#N/A</v>
      </c>
      <c r="G89" t="e">
        <f t="shared" si="6"/>
        <v>#N/A</v>
      </c>
      <c r="K89">
        <f>IF($F$1="Off",'Construction Planner'!DK99,'Construction Planner'!DI100)</f>
        <v>0</v>
      </c>
      <c r="L89">
        <f>IF($F$1="Off",'Construction Planner'!DN99,'Construction Planner'!DJ100)</f>
        <v>0</v>
      </c>
      <c r="M89">
        <f>IF($F$1="Off",'Construction Planner'!DQ99,'Construction Planner'!DL100)</f>
        <v>0</v>
      </c>
      <c r="P89" s="326" t="e">
        <f t="shared" si="4"/>
        <v>#N/A</v>
      </c>
      <c r="Q89" t="e">
        <f t="shared" si="5"/>
        <v>#N/A</v>
      </c>
    </row>
    <row r="90" spans="2:17" x14ac:dyDescent="0.25">
      <c r="B90" t="e">
        <f>IF($C$1="Deutsch",VLOOKUP('Construction Planner'!J100,$N$4:$O$20,2,FALSE),'Construction Planner'!J100)</f>
        <v>#N/A</v>
      </c>
      <c r="C90" t="e">
        <f>'Construction Planner'!L100</f>
        <v>#N/A</v>
      </c>
      <c r="D90" s="133" t="e">
        <f>TEXT('Construction Planner'!P100,"TT.MM. hh:mm:ss")</f>
        <v>#N/A</v>
      </c>
      <c r="E90" s="133" t="e">
        <f>TEXT('Construction Planner'!M100,"[h]:mm:ss")</f>
        <v>#N/A</v>
      </c>
      <c r="F90" s="133" t="e">
        <f>TEXT('Construction Planner'!N101,"TT.MM. hh:mm:ss")</f>
        <v>#N/A</v>
      </c>
      <c r="G90" t="e">
        <f t="shared" si="6"/>
        <v>#N/A</v>
      </c>
      <c r="K90">
        <f>IF($F$1="Off",'Construction Planner'!DK100,'Construction Planner'!DI101)</f>
        <v>0</v>
      </c>
      <c r="L90">
        <f>IF($F$1="Off",'Construction Planner'!DN100,'Construction Planner'!DJ101)</f>
        <v>0</v>
      </c>
      <c r="M90">
        <f>IF($F$1="Off",'Construction Planner'!DQ100,'Construction Planner'!DL101)</f>
        <v>0</v>
      </c>
      <c r="P90" s="326" t="e">
        <f t="shared" si="4"/>
        <v>#N/A</v>
      </c>
      <c r="Q90" t="e">
        <f t="shared" si="5"/>
        <v>#N/A</v>
      </c>
    </row>
    <row r="91" spans="2:17" x14ac:dyDescent="0.25">
      <c r="B91" t="e">
        <f>IF($C$1="Deutsch",VLOOKUP('Construction Planner'!J101,$N$4:$O$20,2,FALSE),'Construction Planner'!J101)</f>
        <v>#N/A</v>
      </c>
      <c r="C91" t="e">
        <f>'Construction Planner'!L101</f>
        <v>#N/A</v>
      </c>
      <c r="D91" s="133" t="e">
        <f>TEXT('Construction Planner'!P101,"TT.MM. hh:mm:ss")</f>
        <v>#N/A</v>
      </c>
      <c r="E91" s="133" t="e">
        <f>TEXT('Construction Planner'!M101,"[h]:mm:ss")</f>
        <v>#N/A</v>
      </c>
      <c r="F91" s="133" t="e">
        <f>TEXT('Construction Planner'!N102,"TT.MM. hh:mm:ss")</f>
        <v>#N/A</v>
      </c>
      <c r="G91" t="e">
        <f t="shared" si="6"/>
        <v>#N/A</v>
      </c>
      <c r="K91">
        <f>IF($F$1="Off",'Construction Planner'!DK101,'Construction Planner'!DI102)</f>
        <v>0</v>
      </c>
      <c r="L91">
        <f>IF($F$1="Off",'Construction Planner'!DN101,'Construction Planner'!DJ102)</f>
        <v>0</v>
      </c>
      <c r="M91">
        <f>IF($F$1="Off",'Construction Planner'!DQ101,'Construction Planner'!DL102)</f>
        <v>0</v>
      </c>
      <c r="P91" s="326" t="e">
        <f t="shared" si="4"/>
        <v>#N/A</v>
      </c>
      <c r="Q91" t="e">
        <f t="shared" si="5"/>
        <v>#N/A</v>
      </c>
    </row>
    <row r="92" spans="2:17" x14ac:dyDescent="0.25">
      <c r="B92" t="e">
        <f>IF($C$1="Deutsch",VLOOKUP('Construction Planner'!J102,$N$4:$O$20,2,FALSE),'Construction Planner'!J102)</f>
        <v>#N/A</v>
      </c>
      <c r="C92" t="e">
        <f>'Construction Planner'!L102</f>
        <v>#N/A</v>
      </c>
      <c r="D92" s="133" t="e">
        <f>TEXT('Construction Planner'!P102,"TT.MM. hh:mm:ss")</f>
        <v>#N/A</v>
      </c>
      <c r="E92" s="133" t="e">
        <f>TEXT('Construction Planner'!M102,"[h]:mm:ss")</f>
        <v>#N/A</v>
      </c>
      <c r="F92" s="133" t="e">
        <f>TEXT('Construction Planner'!N103,"TT.MM. hh:mm:ss")</f>
        <v>#N/A</v>
      </c>
      <c r="G92" t="e">
        <f t="shared" si="6"/>
        <v>#N/A</v>
      </c>
      <c r="K92">
        <f>IF($F$1="Off",'Construction Planner'!DK102,'Construction Planner'!DI103)</f>
        <v>0</v>
      </c>
      <c r="L92">
        <f>IF($F$1="Off",'Construction Planner'!DN102,'Construction Planner'!DJ103)</f>
        <v>0</v>
      </c>
      <c r="M92">
        <f>IF($F$1="Off",'Construction Planner'!DQ102,'Construction Planner'!DL103)</f>
        <v>0</v>
      </c>
      <c r="P92" s="326" t="e">
        <f t="shared" si="4"/>
        <v>#N/A</v>
      </c>
      <c r="Q92" t="e">
        <f t="shared" si="5"/>
        <v>#N/A</v>
      </c>
    </row>
    <row r="93" spans="2:17" x14ac:dyDescent="0.25">
      <c r="B93" t="e">
        <f>IF($C$1="Deutsch",VLOOKUP('Construction Planner'!J103,$N$4:$O$20,2,FALSE),'Construction Planner'!J103)</f>
        <v>#N/A</v>
      </c>
      <c r="C93" t="e">
        <f>'Construction Planner'!L103</f>
        <v>#N/A</v>
      </c>
      <c r="D93" s="133" t="e">
        <f>TEXT('Construction Planner'!P103,"TT.MM. hh:mm:ss")</f>
        <v>#N/A</v>
      </c>
      <c r="E93" s="133" t="e">
        <f>TEXT('Construction Planner'!M103,"[h]:mm:ss")</f>
        <v>#N/A</v>
      </c>
      <c r="F93" s="133" t="e">
        <f>TEXT('Construction Planner'!N104,"TT.MM. hh:mm:ss")</f>
        <v>#N/A</v>
      </c>
      <c r="G93" t="e">
        <f t="shared" si="6"/>
        <v>#N/A</v>
      </c>
      <c r="K93">
        <f>IF($F$1="Off",'Construction Planner'!DK103,'Construction Planner'!DI104)</f>
        <v>0</v>
      </c>
      <c r="L93">
        <f>IF($F$1="Off",'Construction Planner'!DN103,'Construction Planner'!DJ104)</f>
        <v>0</v>
      </c>
      <c r="M93">
        <f>IF($F$1="Off",'Construction Planner'!DQ103,'Construction Planner'!DL104)</f>
        <v>0</v>
      </c>
      <c r="P93" s="326" t="e">
        <f t="shared" si="4"/>
        <v>#N/A</v>
      </c>
      <c r="Q93" t="e">
        <f t="shared" si="5"/>
        <v>#N/A</v>
      </c>
    </row>
    <row r="94" spans="2:17" x14ac:dyDescent="0.25">
      <c r="B94" t="e">
        <f>IF($C$1="Deutsch",VLOOKUP('Construction Planner'!J104,$N$4:$O$20,2,FALSE),'Construction Planner'!J104)</f>
        <v>#N/A</v>
      </c>
      <c r="C94" t="e">
        <f>'Construction Planner'!L104</f>
        <v>#N/A</v>
      </c>
      <c r="D94" s="133" t="e">
        <f>TEXT('Construction Planner'!P104,"TT.MM. hh:mm:ss")</f>
        <v>#N/A</v>
      </c>
      <c r="E94" s="133" t="e">
        <f>TEXT('Construction Planner'!M104,"[h]:mm:ss")</f>
        <v>#N/A</v>
      </c>
      <c r="F94" s="133" t="e">
        <f>TEXT('Construction Planner'!N105,"TT.MM. hh:mm:ss")</f>
        <v>#N/A</v>
      </c>
      <c r="G94" t="e">
        <f t="shared" si="6"/>
        <v>#N/A</v>
      </c>
      <c r="K94">
        <f>IF($F$1="Off",'Construction Planner'!DK104,'Construction Planner'!DI105)</f>
        <v>0</v>
      </c>
      <c r="L94">
        <f>IF($F$1="Off",'Construction Planner'!DN104,'Construction Planner'!DJ105)</f>
        <v>0</v>
      </c>
      <c r="M94">
        <f>IF($F$1="Off",'Construction Planner'!DQ104,'Construction Planner'!DL105)</f>
        <v>0</v>
      </c>
      <c r="P94" s="326" t="e">
        <f t="shared" si="4"/>
        <v>#N/A</v>
      </c>
      <c r="Q94" t="e">
        <f t="shared" si="5"/>
        <v>#N/A</v>
      </c>
    </row>
    <row r="95" spans="2:17" x14ac:dyDescent="0.25">
      <c r="B95" t="e">
        <f>IF($C$1="Deutsch",VLOOKUP('Construction Planner'!J105,$N$4:$O$20,2,FALSE),'Construction Planner'!J105)</f>
        <v>#N/A</v>
      </c>
      <c r="C95" t="e">
        <f>'Construction Planner'!L105</f>
        <v>#N/A</v>
      </c>
      <c r="D95" s="133" t="e">
        <f>TEXT('Construction Planner'!P105,"TT.MM. hh:mm:ss")</f>
        <v>#N/A</v>
      </c>
      <c r="E95" s="133" t="e">
        <f>TEXT('Construction Planner'!M105,"[h]:mm:ss")</f>
        <v>#N/A</v>
      </c>
      <c r="F95" s="133" t="e">
        <f>TEXT('Construction Planner'!N106,"TT.MM. hh:mm:ss")</f>
        <v>#N/A</v>
      </c>
      <c r="G95" t="e">
        <f t="shared" si="6"/>
        <v>#N/A</v>
      </c>
      <c r="K95">
        <f>IF($F$1="Off",'Construction Planner'!DK105,'Construction Planner'!DI106)</f>
        <v>0</v>
      </c>
      <c r="L95">
        <f>IF($F$1="Off",'Construction Planner'!DN105,'Construction Planner'!DJ106)</f>
        <v>0</v>
      </c>
      <c r="M95">
        <f>IF($F$1="Off",'Construction Planner'!DQ105,'Construction Planner'!DL106)</f>
        <v>0</v>
      </c>
      <c r="P95" s="326" t="e">
        <f t="shared" si="4"/>
        <v>#N/A</v>
      </c>
      <c r="Q95" t="e">
        <f t="shared" si="5"/>
        <v>#N/A</v>
      </c>
    </row>
    <row r="96" spans="2:17" x14ac:dyDescent="0.25">
      <c r="B96" t="e">
        <f>IF($C$1="Deutsch",VLOOKUP('Construction Planner'!J106,$N$4:$O$20,2,FALSE),'Construction Planner'!J106)</f>
        <v>#N/A</v>
      </c>
      <c r="C96" t="e">
        <f>'Construction Planner'!L106</f>
        <v>#N/A</v>
      </c>
      <c r="D96" s="133" t="e">
        <f>TEXT('Construction Planner'!P106,"TT.MM. hh:mm:ss")</f>
        <v>#N/A</v>
      </c>
      <c r="E96" s="133" t="e">
        <f>TEXT('Construction Planner'!M106,"[h]:mm:ss")</f>
        <v>#N/A</v>
      </c>
      <c r="F96" s="133" t="e">
        <f>TEXT('Construction Planner'!N107,"TT.MM. hh:mm:ss")</f>
        <v>#N/A</v>
      </c>
      <c r="G96" t="e">
        <f t="shared" si="6"/>
        <v>#N/A</v>
      </c>
      <c r="K96">
        <f>IF($F$1="Off",'Construction Planner'!DK106,'Construction Planner'!DI107)</f>
        <v>0</v>
      </c>
      <c r="L96">
        <f>IF($F$1="Off",'Construction Planner'!DN106,'Construction Planner'!DJ107)</f>
        <v>0</v>
      </c>
      <c r="M96">
        <f>IF($F$1="Off",'Construction Planner'!DQ106,'Construction Planner'!DL107)</f>
        <v>0</v>
      </c>
      <c r="P96" s="326" t="e">
        <f t="shared" si="4"/>
        <v>#N/A</v>
      </c>
      <c r="Q96" t="e">
        <f t="shared" si="5"/>
        <v>#N/A</v>
      </c>
    </row>
    <row r="97" spans="2:17" x14ac:dyDescent="0.25">
      <c r="B97" t="e">
        <f>IF($C$1="Deutsch",VLOOKUP('Construction Planner'!J107,$N$4:$O$20,2,FALSE),'Construction Planner'!J107)</f>
        <v>#N/A</v>
      </c>
      <c r="C97" t="e">
        <f>'Construction Planner'!L107</f>
        <v>#N/A</v>
      </c>
      <c r="D97" s="133" t="e">
        <f>TEXT('Construction Planner'!P107,"TT.MM. hh:mm:ss")</f>
        <v>#N/A</v>
      </c>
      <c r="E97" s="133" t="e">
        <f>TEXT('Construction Planner'!M107,"[h]:mm:ss")</f>
        <v>#N/A</v>
      </c>
      <c r="F97" s="133" t="e">
        <f>TEXT('Construction Planner'!N108,"TT.MM. hh:mm:ss")</f>
        <v>#N/A</v>
      </c>
      <c r="G97" t="e">
        <f t="shared" si="6"/>
        <v>#N/A</v>
      </c>
      <c r="K97">
        <f>IF($F$1="Off",'Construction Planner'!DK107,'Construction Planner'!DI108)</f>
        <v>0</v>
      </c>
      <c r="L97">
        <f>IF($F$1="Off",'Construction Planner'!DN107,'Construction Planner'!DJ108)</f>
        <v>0</v>
      </c>
      <c r="M97">
        <f>IF($F$1="Off",'Construction Planner'!DQ107,'Construction Planner'!DL108)</f>
        <v>0</v>
      </c>
      <c r="P97" s="326" t="e">
        <f t="shared" si="4"/>
        <v>#N/A</v>
      </c>
      <c r="Q97" t="e">
        <f t="shared" si="5"/>
        <v>#N/A</v>
      </c>
    </row>
    <row r="98" spans="2:17" x14ac:dyDescent="0.25">
      <c r="B98" t="e">
        <f>IF($C$1="Deutsch",VLOOKUP('Construction Planner'!J108,$N$4:$O$20,2,FALSE),'Construction Planner'!J108)</f>
        <v>#N/A</v>
      </c>
      <c r="C98" t="e">
        <f>'Construction Planner'!L108</f>
        <v>#N/A</v>
      </c>
      <c r="D98" s="133" t="e">
        <f>TEXT('Construction Planner'!P108,"TT.MM. hh:mm:ss")</f>
        <v>#N/A</v>
      </c>
      <c r="E98" s="133" t="e">
        <f>TEXT('Construction Planner'!M108,"[h]:mm:ss")</f>
        <v>#N/A</v>
      </c>
      <c r="F98" s="133" t="e">
        <f>TEXT('Construction Planner'!N109,"TT.MM. hh:mm:ss")</f>
        <v>#N/A</v>
      </c>
      <c r="G98" t="e">
        <f t="shared" si="6"/>
        <v>#N/A</v>
      </c>
      <c r="K98">
        <f>IF($F$1="Off",'Construction Planner'!DK108,'Construction Planner'!DI109)</f>
        <v>0</v>
      </c>
      <c r="L98">
        <f>IF($F$1="Off",'Construction Planner'!DN108,'Construction Planner'!DJ109)</f>
        <v>0</v>
      </c>
      <c r="M98">
        <f>IF($F$1="Off",'Construction Planner'!DQ108,'Construction Planner'!DL109)</f>
        <v>0</v>
      </c>
      <c r="P98" s="326" t="e">
        <f t="shared" si="4"/>
        <v>#N/A</v>
      </c>
      <c r="Q98" t="e">
        <f t="shared" si="5"/>
        <v>#N/A</v>
      </c>
    </row>
    <row r="99" spans="2:17" x14ac:dyDescent="0.25">
      <c r="B99" t="e">
        <f>IF($C$1="Deutsch",VLOOKUP('Construction Planner'!J109,$N$4:$O$20,2,FALSE),'Construction Planner'!J109)</f>
        <v>#N/A</v>
      </c>
      <c r="C99" t="e">
        <f>'Construction Planner'!L109</f>
        <v>#N/A</v>
      </c>
      <c r="D99" s="133" t="e">
        <f>TEXT('Construction Planner'!P109,"TT.MM. hh:mm:ss")</f>
        <v>#N/A</v>
      </c>
      <c r="E99" s="133" t="e">
        <f>TEXT('Construction Planner'!M109,"[h]:mm:ss")</f>
        <v>#N/A</v>
      </c>
      <c r="F99" s="133" t="e">
        <f>TEXT('Construction Planner'!N110,"TT.MM. hh:mm:ss")</f>
        <v>#N/A</v>
      </c>
      <c r="G99" t="e">
        <f t="shared" si="6"/>
        <v>#N/A</v>
      </c>
      <c r="K99">
        <f>IF($F$1="Off",'Construction Planner'!DK109,'Construction Planner'!DI110)</f>
        <v>0</v>
      </c>
      <c r="L99">
        <f>IF($F$1="Off",'Construction Planner'!DN109,'Construction Planner'!DJ110)</f>
        <v>0</v>
      </c>
      <c r="M99">
        <f>IF($F$1="Off",'Construction Planner'!DQ109,'Construction Planner'!DL110)</f>
        <v>0</v>
      </c>
      <c r="P99" s="326" t="e">
        <f t="shared" si="4"/>
        <v>#N/A</v>
      </c>
      <c r="Q99" t="e">
        <f t="shared" si="5"/>
        <v>#N/A</v>
      </c>
    </row>
    <row r="100" spans="2:17" x14ac:dyDescent="0.25">
      <c r="B100" t="e">
        <f>IF($C$1="Deutsch",VLOOKUP('Construction Planner'!J110,$N$4:$O$20,2,FALSE),'Construction Planner'!J110)</f>
        <v>#N/A</v>
      </c>
      <c r="C100" t="e">
        <f>'Construction Planner'!L110</f>
        <v>#N/A</v>
      </c>
      <c r="D100" s="133" t="e">
        <f>TEXT('Construction Planner'!P110,"TT.MM. hh:mm:ss")</f>
        <v>#N/A</v>
      </c>
      <c r="E100" s="133" t="e">
        <f>TEXT('Construction Planner'!M110,"[h]:mm:ss")</f>
        <v>#N/A</v>
      </c>
      <c r="F100" s="133" t="e">
        <f>TEXT('Construction Planner'!N111,"TT.MM. hh:mm:ss")</f>
        <v>#N/A</v>
      </c>
      <c r="G100" t="e">
        <f t="shared" si="6"/>
        <v>#N/A</v>
      </c>
      <c r="K100">
        <f>IF($F$1="Off",'Construction Planner'!DK110,'Construction Planner'!DI111)</f>
        <v>0</v>
      </c>
      <c r="L100">
        <f>IF($F$1="Off",'Construction Planner'!DN110,'Construction Planner'!DJ111)</f>
        <v>0</v>
      </c>
      <c r="M100">
        <f>IF($F$1="Off",'Construction Planner'!DQ110,'Construction Planner'!DL111)</f>
        <v>0</v>
      </c>
      <c r="P100" s="326" t="e">
        <f t="shared" si="4"/>
        <v>#N/A</v>
      </c>
      <c r="Q100" t="e">
        <f t="shared" si="5"/>
        <v>#N/A</v>
      </c>
    </row>
    <row r="101" spans="2:17" x14ac:dyDescent="0.25">
      <c r="B101" t="e">
        <f>IF($C$1="Deutsch",VLOOKUP('Construction Planner'!J111,$N$4:$O$20,2,FALSE),'Construction Planner'!J111)</f>
        <v>#N/A</v>
      </c>
      <c r="C101" t="e">
        <f>'Construction Planner'!L111</f>
        <v>#N/A</v>
      </c>
      <c r="D101" s="133" t="e">
        <f>TEXT('Construction Planner'!P111,"TT.MM. hh:mm:ss")</f>
        <v>#N/A</v>
      </c>
      <c r="E101" s="133" t="e">
        <f>TEXT('Construction Planner'!M111,"[h]:mm:ss")</f>
        <v>#N/A</v>
      </c>
      <c r="F101" s="133" t="e">
        <f>TEXT('Construction Planner'!N112,"TT.MM. hh:mm:ss")</f>
        <v>#N/A</v>
      </c>
      <c r="G101" t="e">
        <f t="shared" si="6"/>
        <v>#N/A</v>
      </c>
      <c r="K101">
        <f>IF($F$1="Off",'Construction Planner'!DK111,'Construction Planner'!DI112)</f>
        <v>0</v>
      </c>
      <c r="L101">
        <f>IF($F$1="Off",'Construction Planner'!DN111,'Construction Planner'!DJ112)</f>
        <v>0</v>
      </c>
      <c r="M101">
        <f>IF($F$1="Off",'Construction Planner'!DQ111,'Construction Planner'!DL112)</f>
        <v>0</v>
      </c>
      <c r="P101" s="326" t="e">
        <f t="shared" si="4"/>
        <v>#N/A</v>
      </c>
      <c r="Q101" t="e">
        <f t="shared" si="5"/>
        <v>#N/A</v>
      </c>
    </row>
    <row r="102" spans="2:17" x14ac:dyDescent="0.25">
      <c r="B102" t="e">
        <f>IF($C$1="Deutsch",VLOOKUP('Construction Planner'!J112,$N$4:$O$20,2,FALSE),'Construction Planner'!J112)</f>
        <v>#N/A</v>
      </c>
      <c r="C102" t="e">
        <f>'Construction Planner'!L112</f>
        <v>#N/A</v>
      </c>
      <c r="D102" s="133" t="e">
        <f>TEXT('Construction Planner'!P112,"TT.MM. hh:mm:ss")</f>
        <v>#N/A</v>
      </c>
      <c r="E102" s="133" t="e">
        <f>TEXT('Construction Planner'!M112,"[h]:mm:ss")</f>
        <v>#N/A</v>
      </c>
      <c r="F102" s="133" t="e">
        <f>TEXT('Construction Planner'!N113,"TT.MM. hh:mm:ss")</f>
        <v>#N/A</v>
      </c>
      <c r="G102" t="e">
        <f t="shared" si="6"/>
        <v>#N/A</v>
      </c>
      <c r="K102">
        <f>IF($F$1="Off",'Construction Planner'!DK112,'Construction Planner'!DI113)</f>
        <v>0</v>
      </c>
      <c r="L102">
        <f>IF($F$1="Off",'Construction Planner'!DN112,'Construction Planner'!DJ113)</f>
        <v>0</v>
      </c>
      <c r="M102">
        <f>IF($F$1="Off",'Construction Planner'!DQ112,'Construction Planner'!DL113)</f>
        <v>0</v>
      </c>
      <c r="P102" s="326" t="e">
        <f t="shared" si="4"/>
        <v>#N/A</v>
      </c>
      <c r="Q102" t="e">
        <f t="shared" si="5"/>
        <v>#N/A</v>
      </c>
    </row>
    <row r="103" spans="2:17" x14ac:dyDescent="0.25">
      <c r="B103" t="e">
        <f>IF($C$1="Deutsch",VLOOKUP('Construction Planner'!J113,$N$4:$O$20,2,FALSE),'Construction Planner'!J113)</f>
        <v>#N/A</v>
      </c>
      <c r="C103" t="e">
        <f>'Construction Planner'!L113</f>
        <v>#N/A</v>
      </c>
      <c r="D103" s="133" t="e">
        <f>TEXT('Construction Planner'!P113,"TT.MM. hh:mm:ss")</f>
        <v>#N/A</v>
      </c>
      <c r="E103" s="133" t="e">
        <f>TEXT('Construction Planner'!M113,"[h]:mm:ss")</f>
        <v>#N/A</v>
      </c>
      <c r="F103" s="133" t="e">
        <f>TEXT('Construction Planner'!N114,"TT.MM. hh:mm:ss")</f>
        <v>#N/A</v>
      </c>
      <c r="G103" t="e">
        <f t="shared" si="6"/>
        <v>#N/A</v>
      </c>
      <c r="K103">
        <f>IF($F$1="Off",'Construction Planner'!DK113,'Construction Planner'!DI114)</f>
        <v>0</v>
      </c>
      <c r="L103">
        <f>IF($F$1="Off",'Construction Planner'!DN113,'Construction Planner'!DJ114)</f>
        <v>0</v>
      </c>
      <c r="M103">
        <f>IF($F$1="Off",'Construction Planner'!DQ113,'Construction Planner'!DL114)</f>
        <v>0</v>
      </c>
      <c r="P103" s="326" t="e">
        <f t="shared" si="4"/>
        <v>#N/A</v>
      </c>
      <c r="Q103" t="e">
        <f t="shared" si="5"/>
        <v>#N/A</v>
      </c>
    </row>
    <row r="104" spans="2:17" x14ac:dyDescent="0.25">
      <c r="B104" t="e">
        <f>IF($C$1="Deutsch",VLOOKUP('Construction Planner'!J114,$N$4:$O$20,2,FALSE),'Construction Planner'!J114)</f>
        <v>#N/A</v>
      </c>
      <c r="C104" t="e">
        <f>'Construction Planner'!L114</f>
        <v>#N/A</v>
      </c>
      <c r="D104" s="133" t="e">
        <f>TEXT('Construction Planner'!P114,"TT.MM. hh:mm:ss")</f>
        <v>#N/A</v>
      </c>
      <c r="E104" s="133" t="e">
        <f>TEXT('Construction Planner'!M114,"[h]:mm:ss")</f>
        <v>#N/A</v>
      </c>
      <c r="F104" s="133" t="e">
        <f>TEXT('Construction Planner'!N115,"TT.MM. hh:mm:ss")</f>
        <v>#N/A</v>
      </c>
      <c r="G104" t="e">
        <f t="shared" si="6"/>
        <v>#N/A</v>
      </c>
      <c r="K104">
        <f>IF($F$1="Off",'Construction Planner'!DK114,'Construction Planner'!DI115)</f>
        <v>0</v>
      </c>
      <c r="L104">
        <f>IF($F$1="Off",'Construction Planner'!DN114,'Construction Planner'!DJ115)</f>
        <v>0</v>
      </c>
      <c r="M104">
        <f>IF($F$1="Off",'Construction Planner'!DQ114,'Construction Planner'!DL115)</f>
        <v>0</v>
      </c>
      <c r="P104" s="326" t="e">
        <f t="shared" si="4"/>
        <v>#N/A</v>
      </c>
      <c r="Q104" t="e">
        <f t="shared" si="5"/>
        <v>#N/A</v>
      </c>
    </row>
    <row r="105" spans="2:17" x14ac:dyDescent="0.25">
      <c r="B105" t="e">
        <f>IF($C$1="Deutsch",VLOOKUP('Construction Planner'!J115,$N$4:$O$20,2,FALSE),'Construction Planner'!J115)</f>
        <v>#N/A</v>
      </c>
      <c r="C105" t="e">
        <f>'Construction Planner'!L115</f>
        <v>#N/A</v>
      </c>
      <c r="D105" s="133" t="e">
        <f>TEXT('Construction Planner'!P115,"TT.MM. hh:mm:ss")</f>
        <v>#N/A</v>
      </c>
      <c r="E105" s="133" t="e">
        <f>TEXT('Construction Planner'!M115,"[h]:mm:ss")</f>
        <v>#N/A</v>
      </c>
      <c r="F105" s="133" t="e">
        <f>TEXT('Construction Planner'!N116,"TT.MM. hh:mm:ss")</f>
        <v>#N/A</v>
      </c>
      <c r="G105" t="e">
        <f t="shared" si="6"/>
        <v>#N/A</v>
      </c>
      <c r="K105">
        <f>IF($F$1="Off",'Construction Planner'!DK115,'Construction Planner'!DI116)</f>
        <v>0</v>
      </c>
      <c r="L105">
        <f>IF($F$1="Off",'Construction Planner'!DN115,'Construction Planner'!DJ116)</f>
        <v>0</v>
      </c>
      <c r="M105">
        <f>IF($F$1="Off",'Construction Planner'!DQ115,'Construction Planner'!DL116)</f>
        <v>0</v>
      </c>
      <c r="P105" s="326" t="e">
        <f t="shared" si="4"/>
        <v>#N/A</v>
      </c>
      <c r="Q105" t="e">
        <f t="shared" si="5"/>
        <v>#N/A</v>
      </c>
    </row>
    <row r="106" spans="2:17" x14ac:dyDescent="0.25">
      <c r="B106" t="e">
        <f>IF($C$1="Deutsch",VLOOKUP('Construction Planner'!J116,$N$4:$O$20,2,FALSE),'Construction Planner'!J116)</f>
        <v>#N/A</v>
      </c>
      <c r="C106" t="e">
        <f>'Construction Planner'!L116</f>
        <v>#N/A</v>
      </c>
      <c r="D106" s="133" t="e">
        <f>TEXT('Construction Planner'!P116,"TT.MM. hh:mm:ss")</f>
        <v>#N/A</v>
      </c>
      <c r="E106" s="133" t="e">
        <f>TEXT('Construction Planner'!M116,"[h]:mm:ss")</f>
        <v>#N/A</v>
      </c>
      <c r="F106" s="133" t="e">
        <f>TEXT('Construction Planner'!N117,"TT.MM. hh:mm:ss")</f>
        <v>#N/A</v>
      </c>
      <c r="G106" t="e">
        <f t="shared" si="6"/>
        <v>#N/A</v>
      </c>
      <c r="K106">
        <f>IF($F$1="Off",'Construction Planner'!DK116,'Construction Planner'!DI117)</f>
        <v>0</v>
      </c>
      <c r="L106">
        <f>IF($F$1="Off",'Construction Planner'!DN116,'Construction Planner'!DJ117)</f>
        <v>0</v>
      </c>
      <c r="M106">
        <f>IF($F$1="Off",'Construction Planner'!DQ116,'Construction Planner'!DL117)</f>
        <v>0</v>
      </c>
      <c r="P106" s="326" t="e">
        <f t="shared" si="4"/>
        <v>#N/A</v>
      </c>
      <c r="Q106" t="e">
        <f t="shared" si="5"/>
        <v>#N/A</v>
      </c>
    </row>
    <row r="107" spans="2:17" x14ac:dyDescent="0.25">
      <c r="B107" t="e">
        <f>IF($C$1="Deutsch",VLOOKUP('Construction Planner'!J117,$N$4:$O$20,2,FALSE),'Construction Planner'!J117)</f>
        <v>#N/A</v>
      </c>
      <c r="C107" t="e">
        <f>'Construction Planner'!L117</f>
        <v>#N/A</v>
      </c>
      <c r="D107" s="133" t="e">
        <f>TEXT('Construction Planner'!P117,"TT.MM. hh:mm:ss")</f>
        <v>#N/A</v>
      </c>
      <c r="E107" s="133" t="e">
        <f>TEXT('Construction Planner'!M117,"[h]:mm:ss")</f>
        <v>#N/A</v>
      </c>
      <c r="F107" s="133" t="e">
        <f>TEXT('Construction Planner'!N118,"TT.MM. hh:mm:ss")</f>
        <v>#N/A</v>
      </c>
      <c r="G107" t="e">
        <f t="shared" si="6"/>
        <v>#N/A</v>
      </c>
      <c r="K107">
        <f>IF($F$1="Off",'Construction Planner'!DK117,'Construction Planner'!DI118)</f>
        <v>0</v>
      </c>
      <c r="L107">
        <f>IF($F$1="Off",'Construction Planner'!DN117,'Construction Planner'!DJ118)</f>
        <v>0</v>
      </c>
      <c r="M107">
        <f>IF($F$1="Off",'Construction Planner'!DQ117,'Construction Planner'!DL118)</f>
        <v>0</v>
      </c>
      <c r="P107" s="326" t="e">
        <f t="shared" si="4"/>
        <v>#N/A</v>
      </c>
      <c r="Q107" t="e">
        <f t="shared" si="5"/>
        <v>#N/A</v>
      </c>
    </row>
    <row r="108" spans="2:17" x14ac:dyDescent="0.25">
      <c r="B108" t="e">
        <f>IF($C$1="Deutsch",VLOOKUP('Construction Planner'!J118,$N$4:$O$20,2,FALSE),'Construction Planner'!J118)</f>
        <v>#N/A</v>
      </c>
      <c r="C108" t="e">
        <f>'Construction Planner'!L118</f>
        <v>#N/A</v>
      </c>
      <c r="D108" s="133" t="e">
        <f>TEXT('Construction Planner'!P118,"TT.MM. hh:mm:ss")</f>
        <v>#N/A</v>
      </c>
      <c r="E108" s="133" t="e">
        <f>TEXT('Construction Planner'!M118,"[h]:mm:ss")</f>
        <v>#N/A</v>
      </c>
      <c r="F108" s="133" t="e">
        <f>TEXT('Construction Planner'!N119,"TT.MM. hh:mm:ss")</f>
        <v>#N/A</v>
      </c>
      <c r="G108" t="e">
        <f t="shared" si="6"/>
        <v>#N/A</v>
      </c>
      <c r="K108">
        <f>IF($F$1="Off",'Construction Planner'!DK118,'Construction Planner'!DI119)</f>
        <v>0</v>
      </c>
      <c r="L108">
        <f>IF($F$1="Off",'Construction Planner'!DN118,'Construction Planner'!DJ119)</f>
        <v>0</v>
      </c>
      <c r="M108">
        <f>IF($F$1="Off",'Construction Planner'!DQ118,'Construction Planner'!DL119)</f>
        <v>0</v>
      </c>
      <c r="P108" s="326" t="e">
        <f t="shared" si="4"/>
        <v>#N/A</v>
      </c>
      <c r="Q108" t="e">
        <f t="shared" si="5"/>
        <v>#N/A</v>
      </c>
    </row>
    <row r="109" spans="2:17" x14ac:dyDescent="0.25">
      <c r="B109" t="e">
        <f>IF($C$1="Deutsch",VLOOKUP('Construction Planner'!J119,$N$4:$O$20,2,FALSE),'Construction Planner'!J119)</f>
        <v>#N/A</v>
      </c>
      <c r="C109" t="e">
        <f>'Construction Planner'!L119</f>
        <v>#N/A</v>
      </c>
      <c r="D109" s="133" t="e">
        <f>TEXT('Construction Planner'!P119,"TT.MM. hh:mm:ss")</f>
        <v>#N/A</v>
      </c>
      <c r="E109" s="133" t="e">
        <f>TEXT('Construction Planner'!M119,"[h]:mm:ss")</f>
        <v>#N/A</v>
      </c>
      <c r="F109" s="133" t="e">
        <f>TEXT('Construction Planner'!N120,"TT.MM. hh:mm:ss")</f>
        <v>#N/A</v>
      </c>
      <c r="G109" t="e">
        <f t="shared" si="6"/>
        <v>#N/A</v>
      </c>
      <c r="K109">
        <f>IF($F$1="Off",'Construction Planner'!DK119,'Construction Planner'!DI120)</f>
        <v>0</v>
      </c>
      <c r="L109">
        <f>IF($F$1="Off",'Construction Planner'!DN119,'Construction Planner'!DJ120)</f>
        <v>0</v>
      </c>
      <c r="M109">
        <f>IF($F$1="Off",'Construction Planner'!DQ119,'Construction Planner'!DL120)</f>
        <v>0</v>
      </c>
      <c r="P109" s="326" t="e">
        <f t="shared" si="4"/>
        <v>#N/A</v>
      </c>
      <c r="Q109" t="e">
        <f t="shared" si="5"/>
        <v>#N/A</v>
      </c>
    </row>
    <row r="110" spans="2:17" x14ac:dyDescent="0.25">
      <c r="B110" t="e">
        <f>IF($C$1="Deutsch",VLOOKUP('Construction Planner'!J120,$N$4:$O$20,2,FALSE),'Construction Planner'!J120)</f>
        <v>#N/A</v>
      </c>
      <c r="C110" t="e">
        <f>'Construction Planner'!L120</f>
        <v>#N/A</v>
      </c>
      <c r="D110" s="133" t="e">
        <f>TEXT('Construction Planner'!P120,"TT.MM. hh:mm:ss")</f>
        <v>#N/A</v>
      </c>
      <c r="E110" s="133" t="e">
        <f>TEXT('Construction Planner'!M120,"[h]:mm:ss")</f>
        <v>#N/A</v>
      </c>
      <c r="F110" s="133" t="e">
        <f>TEXT('Construction Planner'!N121,"TT.MM. hh:mm:ss")</f>
        <v>#N/A</v>
      </c>
      <c r="G110" t="e">
        <f t="shared" si="6"/>
        <v>#N/A</v>
      </c>
      <c r="K110">
        <f>IF($F$1="Off",'Construction Planner'!DK120,'Construction Planner'!DI121)</f>
        <v>0</v>
      </c>
      <c r="L110">
        <f>IF($F$1="Off",'Construction Planner'!DN120,'Construction Planner'!DJ121)</f>
        <v>0</v>
      </c>
      <c r="M110">
        <f>IF($F$1="Off",'Construction Planner'!DQ120,'Construction Planner'!DL121)</f>
        <v>0</v>
      </c>
      <c r="P110" s="326" t="e">
        <f t="shared" si="4"/>
        <v>#N/A</v>
      </c>
      <c r="Q110" t="e">
        <f t="shared" si="5"/>
        <v>#N/A</v>
      </c>
    </row>
    <row r="111" spans="2:17" x14ac:dyDescent="0.25">
      <c r="B111" t="e">
        <f>IF($C$1="Deutsch",VLOOKUP('Construction Planner'!J121,$N$4:$O$20,2,FALSE),'Construction Planner'!J121)</f>
        <v>#N/A</v>
      </c>
      <c r="C111" t="e">
        <f>'Construction Planner'!L121</f>
        <v>#N/A</v>
      </c>
      <c r="D111" s="133" t="e">
        <f>TEXT('Construction Planner'!P121,"TT.MM. hh:mm:ss")</f>
        <v>#N/A</v>
      </c>
      <c r="E111" s="133" t="e">
        <f>TEXT('Construction Planner'!M121,"[h]:mm:ss")</f>
        <v>#N/A</v>
      </c>
      <c r="F111" s="133" t="e">
        <f>TEXT('Construction Planner'!N122,"TT.MM. hh:mm:ss")</f>
        <v>#N/A</v>
      </c>
      <c r="G111" t="e">
        <f t="shared" si="6"/>
        <v>#N/A</v>
      </c>
      <c r="K111">
        <f>IF($F$1="Off",'Construction Planner'!DK121,'Construction Planner'!DI122)</f>
        <v>0</v>
      </c>
      <c r="L111">
        <f>IF($F$1="Off",'Construction Planner'!DN121,'Construction Planner'!DJ122)</f>
        <v>0</v>
      </c>
      <c r="M111">
        <f>IF($F$1="Off",'Construction Planner'!DQ121,'Construction Planner'!DL122)</f>
        <v>0</v>
      </c>
      <c r="P111" s="326" t="e">
        <f t="shared" si="4"/>
        <v>#N/A</v>
      </c>
      <c r="Q111" t="e">
        <f t="shared" si="5"/>
        <v>#N/A</v>
      </c>
    </row>
    <row r="112" spans="2:17" x14ac:dyDescent="0.25">
      <c r="B112" t="e">
        <f>IF($C$1="Deutsch",VLOOKUP('Construction Planner'!J122,$N$4:$O$20,2,FALSE),'Construction Planner'!J122)</f>
        <v>#N/A</v>
      </c>
      <c r="C112" t="e">
        <f>'Construction Planner'!L122</f>
        <v>#N/A</v>
      </c>
      <c r="D112" s="133" t="e">
        <f>TEXT('Construction Planner'!P122,"TT.MM. hh:mm:ss")</f>
        <v>#N/A</v>
      </c>
      <c r="E112" s="133" t="e">
        <f>TEXT('Construction Planner'!M122,"[h]:mm:ss")</f>
        <v>#N/A</v>
      </c>
      <c r="F112" s="133" t="e">
        <f>TEXT('Construction Planner'!N123,"TT.MM. hh:mm:ss")</f>
        <v>#N/A</v>
      </c>
      <c r="G112" t="e">
        <f t="shared" si="6"/>
        <v>#N/A</v>
      </c>
      <c r="K112">
        <f>IF($F$1="Off",'Construction Planner'!DK122,'Construction Planner'!DI123)</f>
        <v>0</v>
      </c>
      <c r="L112">
        <f>IF($F$1="Off",'Construction Planner'!DN122,'Construction Planner'!DJ123)</f>
        <v>0</v>
      </c>
      <c r="M112">
        <f>IF($F$1="Off",'Construction Planner'!DQ122,'Construction Planner'!DL123)</f>
        <v>0</v>
      </c>
      <c r="P112" s="326" t="e">
        <f t="shared" si="4"/>
        <v>#N/A</v>
      </c>
      <c r="Q112" t="e">
        <f t="shared" si="5"/>
        <v>#N/A</v>
      </c>
    </row>
    <row r="113" spans="2:17" x14ac:dyDescent="0.25">
      <c r="B113" t="e">
        <f>IF($C$1="Deutsch",VLOOKUP('Construction Planner'!J123,$N$4:$O$20,2,FALSE),'Construction Planner'!J123)</f>
        <v>#N/A</v>
      </c>
      <c r="C113" t="e">
        <f>'Construction Planner'!L123</f>
        <v>#N/A</v>
      </c>
      <c r="D113" s="133" t="e">
        <f>TEXT('Construction Planner'!P123,"TT.MM. hh:mm:ss")</f>
        <v>#N/A</v>
      </c>
      <c r="E113" s="133" t="e">
        <f>TEXT('Construction Planner'!M123,"[h]:mm:ss")</f>
        <v>#N/A</v>
      </c>
      <c r="F113" s="133" t="e">
        <f>TEXT('Construction Planner'!N124,"TT.MM. hh:mm:ss")</f>
        <v>#N/A</v>
      </c>
      <c r="G113" t="e">
        <f t="shared" si="6"/>
        <v>#N/A</v>
      </c>
      <c r="K113">
        <f>IF($F$1="Off",'Construction Planner'!DK123,'Construction Planner'!DI124)</f>
        <v>0</v>
      </c>
      <c r="L113">
        <f>IF($F$1="Off",'Construction Planner'!DN123,'Construction Planner'!DJ124)</f>
        <v>0</v>
      </c>
      <c r="M113">
        <f>IF($F$1="Off",'Construction Planner'!DQ123,'Construction Planner'!DL124)</f>
        <v>0</v>
      </c>
      <c r="P113" s="326" t="e">
        <f t="shared" si="4"/>
        <v>#N/A</v>
      </c>
      <c r="Q113" t="e">
        <f t="shared" si="5"/>
        <v>#N/A</v>
      </c>
    </row>
    <row r="114" spans="2:17" x14ac:dyDescent="0.25">
      <c r="B114" t="e">
        <f>IF($C$1="Deutsch",VLOOKUP('Construction Planner'!J124,$N$4:$O$20,2,FALSE),'Construction Planner'!J124)</f>
        <v>#N/A</v>
      </c>
      <c r="C114" t="e">
        <f>'Construction Planner'!L124</f>
        <v>#N/A</v>
      </c>
      <c r="D114" s="133" t="e">
        <f>TEXT('Construction Planner'!P124,"TT.MM. hh:mm:ss")</f>
        <v>#N/A</v>
      </c>
      <c r="E114" s="133" t="e">
        <f>TEXT('Construction Planner'!M124,"[h]:mm:ss")</f>
        <v>#N/A</v>
      </c>
      <c r="F114" s="133" t="e">
        <f>TEXT('Construction Planner'!N125,"TT.MM. hh:mm:ss")</f>
        <v>#N/A</v>
      </c>
      <c r="G114" t="e">
        <f t="shared" si="6"/>
        <v>#N/A</v>
      </c>
      <c r="K114">
        <f>IF($F$1="Off",'Construction Planner'!DK124,'Construction Planner'!DI125)</f>
        <v>0</v>
      </c>
      <c r="L114">
        <f>IF($F$1="Off",'Construction Planner'!DN124,'Construction Planner'!DJ125)</f>
        <v>0</v>
      </c>
      <c r="M114">
        <f>IF($F$1="Off",'Construction Planner'!DQ124,'Construction Planner'!DL125)</f>
        <v>0</v>
      </c>
      <c r="P114" s="326" t="e">
        <f t="shared" si="4"/>
        <v>#N/A</v>
      </c>
      <c r="Q114" t="e">
        <f t="shared" si="5"/>
        <v>#N/A</v>
      </c>
    </row>
    <row r="115" spans="2:17" x14ac:dyDescent="0.25">
      <c r="B115" t="e">
        <f>IF($C$1="Deutsch",VLOOKUP('Construction Planner'!J125,$N$4:$O$20,2,FALSE),'Construction Planner'!J125)</f>
        <v>#N/A</v>
      </c>
      <c r="C115" t="e">
        <f>'Construction Planner'!L125</f>
        <v>#N/A</v>
      </c>
      <c r="D115" s="133" t="e">
        <f>TEXT('Construction Planner'!P125,"TT.MM. hh:mm:ss")</f>
        <v>#N/A</v>
      </c>
      <c r="E115" s="133" t="e">
        <f>TEXT('Construction Planner'!M125,"[h]:mm:ss")</f>
        <v>#N/A</v>
      </c>
      <c r="F115" s="133" t="e">
        <f>TEXT('Construction Planner'!N126,"TT.MM. hh:mm:ss")</f>
        <v>#N/A</v>
      </c>
      <c r="G115" t="e">
        <f t="shared" si="6"/>
        <v>#N/A</v>
      </c>
      <c r="K115">
        <f>IF($F$1="Off",'Construction Planner'!DK125,'Construction Planner'!DI126)</f>
        <v>0</v>
      </c>
      <c r="L115">
        <f>IF($F$1="Off",'Construction Planner'!DN125,'Construction Planner'!DJ126)</f>
        <v>0</v>
      </c>
      <c r="M115">
        <f>IF($F$1="Off",'Construction Planner'!DQ125,'Construction Planner'!DL126)</f>
        <v>0</v>
      </c>
      <c r="P115" s="326" t="e">
        <f t="shared" si="4"/>
        <v>#N/A</v>
      </c>
      <c r="Q115" t="e">
        <f t="shared" si="5"/>
        <v>#N/A</v>
      </c>
    </row>
    <row r="116" spans="2:17" x14ac:dyDescent="0.25">
      <c r="B116" t="e">
        <f>IF($C$1="Deutsch",VLOOKUP('Construction Planner'!J126,$N$4:$O$20,2,FALSE),'Construction Planner'!J126)</f>
        <v>#N/A</v>
      </c>
      <c r="C116" t="e">
        <f>'Construction Planner'!L126</f>
        <v>#N/A</v>
      </c>
      <c r="D116" s="133" t="e">
        <f>TEXT('Construction Planner'!P126,"TT.MM. hh:mm:ss")</f>
        <v>#N/A</v>
      </c>
      <c r="E116" s="133" t="e">
        <f>TEXT('Construction Planner'!M126,"[h]:mm:ss")</f>
        <v>#N/A</v>
      </c>
      <c r="F116" s="133" t="e">
        <f>TEXT('Construction Planner'!N127,"TT.MM. hh:mm:ss")</f>
        <v>#N/A</v>
      </c>
      <c r="G116" t="e">
        <f t="shared" si="6"/>
        <v>#N/A</v>
      </c>
      <c r="K116">
        <f>IF($F$1="Off",'Construction Planner'!DK126,'Construction Planner'!DI127)</f>
        <v>0</v>
      </c>
      <c r="L116">
        <f>IF($F$1="Off",'Construction Planner'!DN126,'Construction Planner'!DJ127)</f>
        <v>0</v>
      </c>
      <c r="M116">
        <f>IF($F$1="Off",'Construction Planner'!DQ126,'Construction Planner'!DL127)</f>
        <v>0</v>
      </c>
      <c r="P116" s="326" t="e">
        <f t="shared" si="4"/>
        <v>#N/A</v>
      </c>
      <c r="Q116" t="e">
        <f t="shared" si="5"/>
        <v>#N/A</v>
      </c>
    </row>
    <row r="117" spans="2:17" x14ac:dyDescent="0.25">
      <c r="B117" t="e">
        <f>IF($C$1="Deutsch",VLOOKUP('Construction Planner'!J127,$N$4:$O$20,2,FALSE),'Construction Planner'!J127)</f>
        <v>#N/A</v>
      </c>
      <c r="C117" t="e">
        <f>'Construction Planner'!L127</f>
        <v>#N/A</v>
      </c>
      <c r="D117" s="133" t="e">
        <f>TEXT('Construction Planner'!P127,"TT.MM. hh:mm:ss")</f>
        <v>#N/A</v>
      </c>
      <c r="E117" s="133" t="e">
        <f>TEXT('Construction Planner'!M127,"[h]:mm:ss")</f>
        <v>#N/A</v>
      </c>
      <c r="F117" s="133" t="e">
        <f>TEXT('Construction Planner'!N128,"TT.MM. hh:mm:ss")</f>
        <v>#N/A</v>
      </c>
      <c r="G117" t="e">
        <f t="shared" si="6"/>
        <v>#N/A</v>
      </c>
      <c r="K117">
        <f>IF($F$1="Off",'Construction Planner'!DK127,'Construction Planner'!DI128)</f>
        <v>0</v>
      </c>
      <c r="L117">
        <f>IF($F$1="Off",'Construction Planner'!DN127,'Construction Planner'!DJ128)</f>
        <v>0</v>
      </c>
      <c r="M117">
        <f>IF($F$1="Off",'Construction Planner'!DQ127,'Construction Planner'!DL128)</f>
        <v>0</v>
      </c>
      <c r="P117" s="326" t="e">
        <f t="shared" si="4"/>
        <v>#N/A</v>
      </c>
      <c r="Q117" t="e">
        <f t="shared" si="5"/>
        <v>#N/A</v>
      </c>
    </row>
    <row r="118" spans="2:17" x14ac:dyDescent="0.25">
      <c r="B118" t="e">
        <f>IF($C$1="Deutsch",VLOOKUP('Construction Planner'!J128,$N$4:$O$20,2,FALSE),'Construction Planner'!J128)</f>
        <v>#N/A</v>
      </c>
      <c r="C118" t="e">
        <f>'Construction Planner'!L128</f>
        <v>#N/A</v>
      </c>
      <c r="D118" s="133" t="e">
        <f>TEXT('Construction Planner'!P128,"TT.MM. hh:mm:ss")</f>
        <v>#N/A</v>
      </c>
      <c r="E118" s="133" t="e">
        <f>TEXT('Construction Planner'!M128,"[h]:mm:ss")</f>
        <v>#N/A</v>
      </c>
      <c r="F118" s="133" t="e">
        <f>TEXT('Construction Planner'!N129,"TT.MM. hh:mm:ss")</f>
        <v>#N/A</v>
      </c>
      <c r="G118" t="e">
        <f t="shared" si="6"/>
        <v>#N/A</v>
      </c>
      <c r="K118">
        <f>IF($F$1="Off",'Construction Planner'!DK128,'Construction Planner'!DI129)</f>
        <v>0</v>
      </c>
      <c r="L118">
        <f>IF($F$1="Off",'Construction Planner'!DN128,'Construction Planner'!DJ129)</f>
        <v>0</v>
      </c>
      <c r="M118">
        <f>IF($F$1="Off",'Construction Planner'!DQ128,'Construction Planner'!DL129)</f>
        <v>0</v>
      </c>
      <c r="P118" s="326" t="e">
        <f t="shared" si="4"/>
        <v>#N/A</v>
      </c>
      <c r="Q118" t="e">
        <f t="shared" si="5"/>
        <v>#N/A</v>
      </c>
    </row>
    <row r="119" spans="2:17" x14ac:dyDescent="0.25">
      <c r="B119" t="e">
        <f>IF($C$1="Deutsch",VLOOKUP('Construction Planner'!J129,$N$4:$O$20,2,FALSE),'Construction Planner'!J129)</f>
        <v>#N/A</v>
      </c>
      <c r="C119" t="e">
        <f>'Construction Planner'!L129</f>
        <v>#N/A</v>
      </c>
      <c r="D119" s="133" t="e">
        <f>TEXT('Construction Planner'!P129,"TT.MM. hh:mm:ss")</f>
        <v>#N/A</v>
      </c>
      <c r="E119" s="133" t="e">
        <f>TEXT('Construction Planner'!M129,"[h]:mm:ss")</f>
        <v>#N/A</v>
      </c>
      <c r="F119" s="133" t="e">
        <f>TEXT('Construction Planner'!N130,"TT.MM. hh:mm:ss")</f>
        <v>#N/A</v>
      </c>
      <c r="G119" t="e">
        <f t="shared" si="6"/>
        <v>#N/A</v>
      </c>
      <c r="K119">
        <f>IF($F$1="Off",'Construction Planner'!DK129,'Construction Planner'!DI130)</f>
        <v>0</v>
      </c>
      <c r="L119">
        <f>IF($F$1="Off",'Construction Planner'!DN129,'Construction Planner'!DJ130)</f>
        <v>0</v>
      </c>
      <c r="M119">
        <f>IF($F$1="Off",'Construction Planner'!DQ129,'Construction Planner'!DL130)</f>
        <v>0</v>
      </c>
      <c r="P119" s="326" t="e">
        <f t="shared" si="4"/>
        <v>#N/A</v>
      </c>
      <c r="Q119" t="e">
        <f t="shared" si="5"/>
        <v>#N/A</v>
      </c>
    </row>
    <row r="120" spans="2:17" x14ac:dyDescent="0.25">
      <c r="B120" t="e">
        <f>IF($C$1="Deutsch",VLOOKUP('Construction Planner'!J130,$N$4:$O$20,2,FALSE),'Construction Planner'!J130)</f>
        <v>#N/A</v>
      </c>
      <c r="C120" t="e">
        <f>'Construction Planner'!L130</f>
        <v>#N/A</v>
      </c>
      <c r="D120" s="133" t="e">
        <f>TEXT('Construction Planner'!P130,"TT.MM. hh:mm:ss")</f>
        <v>#N/A</v>
      </c>
      <c r="E120" s="133" t="e">
        <f>TEXT('Construction Planner'!M130,"[h]:mm:ss")</f>
        <v>#N/A</v>
      </c>
      <c r="F120" s="133" t="e">
        <f>TEXT('Construction Planner'!N131,"TT.MM. hh:mm:ss")</f>
        <v>#N/A</v>
      </c>
      <c r="G120" t="e">
        <f t="shared" si="6"/>
        <v>#N/A</v>
      </c>
      <c r="K120">
        <f>IF($F$1="Off",'Construction Planner'!DK130,'Construction Planner'!DI131)</f>
        <v>0</v>
      </c>
      <c r="L120">
        <f>IF($F$1="Off",'Construction Planner'!DN130,'Construction Planner'!DJ131)</f>
        <v>0</v>
      </c>
      <c r="M120">
        <f>IF($F$1="Off",'Construction Planner'!DQ130,'Construction Planner'!DL131)</f>
        <v>0</v>
      </c>
      <c r="P120" s="326" t="e">
        <f t="shared" si="4"/>
        <v>#N/A</v>
      </c>
      <c r="Q120" t="e">
        <f t="shared" si="5"/>
        <v>#N/A</v>
      </c>
    </row>
    <row r="121" spans="2:17" x14ac:dyDescent="0.25">
      <c r="B121" t="e">
        <f>IF($C$1="Deutsch",VLOOKUP('Construction Planner'!J131,$N$4:$O$20,2,FALSE),'Construction Planner'!J131)</f>
        <v>#N/A</v>
      </c>
      <c r="C121" t="e">
        <f>'Construction Planner'!L131</f>
        <v>#N/A</v>
      </c>
      <c r="D121" s="133" t="e">
        <f>TEXT('Construction Planner'!P131,"TT.MM. hh:mm:ss")</f>
        <v>#N/A</v>
      </c>
      <c r="E121" s="133" t="e">
        <f>TEXT('Construction Planner'!M131,"[h]:mm:ss")</f>
        <v>#N/A</v>
      </c>
      <c r="F121" s="133" t="e">
        <f>TEXT('Construction Planner'!N132,"TT.MM. hh:mm:ss")</f>
        <v>#N/A</v>
      </c>
      <c r="G121" t="e">
        <f t="shared" si="6"/>
        <v>#N/A</v>
      </c>
      <c r="K121">
        <f>IF($F$1="Off",'Construction Planner'!DK131,'Construction Planner'!DI132)</f>
        <v>0</v>
      </c>
      <c r="L121">
        <f>IF($F$1="Off",'Construction Planner'!DN131,'Construction Planner'!DJ132)</f>
        <v>0</v>
      </c>
      <c r="M121">
        <f>IF($F$1="Off",'Construction Planner'!DQ131,'Construction Planner'!DL132)</f>
        <v>0</v>
      </c>
      <c r="P121" s="326" t="e">
        <f t="shared" si="4"/>
        <v>#N/A</v>
      </c>
      <c r="Q121" t="e">
        <f t="shared" si="5"/>
        <v>#N/A</v>
      </c>
    </row>
    <row r="122" spans="2:17" x14ac:dyDescent="0.25">
      <c r="B122" t="e">
        <f>IF($C$1="Deutsch",VLOOKUP('Construction Planner'!J132,$N$4:$O$20,2,FALSE),'Construction Planner'!J132)</f>
        <v>#N/A</v>
      </c>
      <c r="C122" t="e">
        <f>'Construction Planner'!L132</f>
        <v>#N/A</v>
      </c>
      <c r="D122" s="133" t="e">
        <f>TEXT('Construction Planner'!P132,"TT.MM. hh:mm:ss")</f>
        <v>#N/A</v>
      </c>
      <c r="E122" s="133" t="e">
        <f>TEXT('Construction Planner'!M132,"[h]:mm:ss")</f>
        <v>#N/A</v>
      </c>
      <c r="F122" s="133" t="e">
        <f>TEXT('Construction Planner'!N133,"TT.MM. hh:mm:ss")</f>
        <v>#N/A</v>
      </c>
      <c r="G122" t="e">
        <f t="shared" si="6"/>
        <v>#N/A</v>
      </c>
      <c r="K122">
        <f>IF($F$1="Off",'Construction Planner'!DK132,'Construction Planner'!DI133)</f>
        <v>0</v>
      </c>
      <c r="L122">
        <f>IF($F$1="Off",'Construction Planner'!DN132,'Construction Planner'!DJ133)</f>
        <v>0</v>
      </c>
      <c r="M122">
        <f>IF($F$1="Off",'Construction Planner'!DQ132,'Construction Planner'!DL133)</f>
        <v>0</v>
      </c>
      <c r="P122" s="326" t="e">
        <f t="shared" si="4"/>
        <v>#N/A</v>
      </c>
      <c r="Q122" t="e">
        <f t="shared" si="5"/>
        <v>#N/A</v>
      </c>
    </row>
    <row r="123" spans="2:17" x14ac:dyDescent="0.25">
      <c r="B123" t="e">
        <f>IF($C$1="Deutsch",VLOOKUP('Construction Planner'!J133,$N$4:$O$20,2,FALSE),'Construction Planner'!J133)</f>
        <v>#N/A</v>
      </c>
      <c r="C123" t="e">
        <f>'Construction Planner'!L133</f>
        <v>#N/A</v>
      </c>
      <c r="D123" s="133" t="e">
        <f>TEXT('Construction Planner'!P133,"TT.MM. hh:mm:ss")</f>
        <v>#N/A</v>
      </c>
      <c r="E123" s="133" t="e">
        <f>TEXT('Construction Planner'!M133,"[h]:mm:ss")</f>
        <v>#N/A</v>
      </c>
      <c r="F123" s="133" t="e">
        <f>TEXT('Construction Planner'!N134,"TT.MM. hh:mm:ss")</f>
        <v>#N/A</v>
      </c>
      <c r="G123" t="e">
        <f t="shared" si="6"/>
        <v>#N/A</v>
      </c>
      <c r="K123">
        <f>IF($F$1="Off",'Construction Planner'!DK133,'Construction Planner'!DI134)</f>
        <v>0</v>
      </c>
      <c r="L123">
        <f>IF($F$1="Off",'Construction Planner'!DN133,'Construction Planner'!DJ134)</f>
        <v>0</v>
      </c>
      <c r="M123">
        <f>IF($F$1="Off",'Construction Planner'!DQ133,'Construction Planner'!DL134)</f>
        <v>0</v>
      </c>
      <c r="P123" s="326" t="e">
        <f t="shared" si="4"/>
        <v>#N/A</v>
      </c>
      <c r="Q123" t="e">
        <f t="shared" si="5"/>
        <v>#N/A</v>
      </c>
    </row>
    <row r="124" spans="2:17" x14ac:dyDescent="0.25">
      <c r="B124" t="e">
        <f>IF($C$1="Deutsch",VLOOKUP('Construction Planner'!J134,$N$4:$O$20,2,FALSE),'Construction Planner'!J134)</f>
        <v>#N/A</v>
      </c>
      <c r="C124" t="e">
        <f>'Construction Planner'!L134</f>
        <v>#N/A</v>
      </c>
      <c r="D124" s="133" t="e">
        <f>TEXT('Construction Planner'!P134,"TT.MM. hh:mm:ss")</f>
        <v>#N/A</v>
      </c>
      <c r="E124" s="133" t="e">
        <f>TEXT('Construction Planner'!M134,"[h]:mm:ss")</f>
        <v>#N/A</v>
      </c>
      <c r="F124" s="133" t="e">
        <f>TEXT('Construction Planner'!N135,"TT.MM. hh:mm:ss")</f>
        <v>#N/A</v>
      </c>
      <c r="G124" t="e">
        <f t="shared" si="6"/>
        <v>#N/A</v>
      </c>
      <c r="K124">
        <f>IF($F$1="Off",'Construction Planner'!DK134,'Construction Planner'!DI135)</f>
        <v>0</v>
      </c>
      <c r="L124">
        <f>IF($F$1="Off",'Construction Planner'!DN134,'Construction Planner'!DJ135)</f>
        <v>0</v>
      </c>
      <c r="M124">
        <f>IF($F$1="Off",'Construction Planner'!DQ134,'Construction Planner'!DL135)</f>
        <v>0</v>
      </c>
      <c r="P124" s="326" t="e">
        <f t="shared" si="4"/>
        <v>#N/A</v>
      </c>
      <c r="Q124" t="e">
        <f t="shared" si="5"/>
        <v>#N/A</v>
      </c>
    </row>
    <row r="125" spans="2:17" x14ac:dyDescent="0.25">
      <c r="B125" t="e">
        <f>IF($C$1="Deutsch",VLOOKUP('Construction Planner'!J135,$N$4:$O$20,2,FALSE),'Construction Planner'!J135)</f>
        <v>#N/A</v>
      </c>
      <c r="C125" t="e">
        <f>'Construction Planner'!L135</f>
        <v>#N/A</v>
      </c>
      <c r="D125" s="133" t="e">
        <f>TEXT('Construction Planner'!P135,"TT.MM. hh:mm:ss")</f>
        <v>#N/A</v>
      </c>
      <c r="E125" s="133" t="e">
        <f>TEXT('Construction Planner'!M135,"[h]:mm:ss")</f>
        <v>#N/A</v>
      </c>
      <c r="F125" s="133" t="e">
        <f>TEXT('Construction Planner'!N136,"TT.MM. hh:mm:ss")</f>
        <v>#N/A</v>
      </c>
      <c r="G125" t="e">
        <f t="shared" si="6"/>
        <v>#N/A</v>
      </c>
      <c r="K125">
        <f>IF($F$1="Off",'Construction Planner'!DK135,'Construction Planner'!DI136)</f>
        <v>0</v>
      </c>
      <c r="L125">
        <f>IF($F$1="Off",'Construction Planner'!DN135,'Construction Planner'!DJ136)</f>
        <v>0</v>
      </c>
      <c r="M125">
        <f>IF($F$1="Off",'Construction Planner'!DQ135,'Construction Planner'!DL136)</f>
        <v>0</v>
      </c>
      <c r="P125" s="326" t="e">
        <f t="shared" si="4"/>
        <v>#N/A</v>
      </c>
      <c r="Q125" t="e">
        <f t="shared" si="5"/>
        <v>#N/A</v>
      </c>
    </row>
    <row r="126" spans="2:17" x14ac:dyDescent="0.25">
      <c r="B126" t="e">
        <f>IF($C$1="Deutsch",VLOOKUP('Construction Planner'!J136,$N$4:$O$20,2,FALSE),'Construction Planner'!J136)</f>
        <v>#N/A</v>
      </c>
      <c r="C126" t="e">
        <f>'Construction Planner'!L136</f>
        <v>#N/A</v>
      </c>
      <c r="D126" s="133" t="e">
        <f>TEXT('Construction Planner'!P136,"TT.MM. hh:mm:ss")</f>
        <v>#N/A</v>
      </c>
      <c r="E126" s="133" t="e">
        <f>TEXT('Construction Planner'!M136,"[h]:mm:ss")</f>
        <v>#N/A</v>
      </c>
      <c r="F126" s="133" t="e">
        <f>TEXT('Construction Planner'!N137,"TT.MM. hh:mm:ss")</f>
        <v>#N/A</v>
      </c>
      <c r="G126" t="e">
        <f t="shared" si="6"/>
        <v>#N/A</v>
      </c>
      <c r="K126">
        <f>IF($F$1="Off",'Construction Planner'!DK136,'Construction Planner'!DI137)</f>
        <v>0</v>
      </c>
      <c r="L126">
        <f>IF($F$1="Off",'Construction Planner'!DN136,'Construction Planner'!DJ137)</f>
        <v>0</v>
      </c>
      <c r="M126">
        <f>IF($F$1="Off",'Construction Planner'!DQ136,'Construction Planner'!DL137)</f>
        <v>0</v>
      </c>
      <c r="P126" s="326" t="e">
        <f t="shared" si="4"/>
        <v>#N/A</v>
      </c>
      <c r="Q126" t="e">
        <f t="shared" si="5"/>
        <v>#N/A</v>
      </c>
    </row>
    <row r="127" spans="2:17" x14ac:dyDescent="0.25">
      <c r="B127" t="e">
        <f>IF($C$1="Deutsch",VLOOKUP('Construction Planner'!J137,$N$4:$O$20,2,FALSE),'Construction Planner'!J137)</f>
        <v>#N/A</v>
      </c>
      <c r="C127" t="e">
        <f>'Construction Planner'!L137</f>
        <v>#N/A</v>
      </c>
      <c r="D127" s="133" t="e">
        <f>TEXT('Construction Planner'!P137,"TT.MM. hh:mm:ss")</f>
        <v>#N/A</v>
      </c>
      <c r="E127" s="133" t="e">
        <f>TEXT('Construction Planner'!M137,"[h]:mm:ss")</f>
        <v>#N/A</v>
      </c>
      <c r="F127" s="133" t="e">
        <f>TEXT('Construction Planner'!N138,"TT.MM. hh:mm:ss")</f>
        <v>#N/A</v>
      </c>
      <c r="G127" t="e">
        <f t="shared" si="6"/>
        <v>#N/A</v>
      </c>
      <c r="K127">
        <f>IF($F$1="Off",'Construction Planner'!DK137,'Construction Planner'!DI138)</f>
        <v>0</v>
      </c>
      <c r="L127">
        <f>IF($F$1="Off",'Construction Planner'!DN137,'Construction Planner'!DJ138)</f>
        <v>0</v>
      </c>
      <c r="M127">
        <f>IF($F$1="Off",'Construction Planner'!DQ137,'Construction Planner'!DL138)</f>
        <v>0</v>
      </c>
      <c r="P127" s="326" t="e">
        <f t="shared" si="4"/>
        <v>#N/A</v>
      </c>
      <c r="Q127" t="e">
        <f t="shared" si="5"/>
        <v>#N/A</v>
      </c>
    </row>
    <row r="128" spans="2:17" x14ac:dyDescent="0.25">
      <c r="B128" t="e">
        <f>IF($C$1="Deutsch",VLOOKUP('Construction Planner'!J138,$N$4:$O$20,2,FALSE),'Construction Planner'!J138)</f>
        <v>#N/A</v>
      </c>
      <c r="C128" t="e">
        <f>'Construction Planner'!L138</f>
        <v>#N/A</v>
      </c>
      <c r="D128" s="133" t="e">
        <f>TEXT('Construction Planner'!P138,"TT.MM. hh:mm:ss")</f>
        <v>#N/A</v>
      </c>
      <c r="E128" s="133" t="e">
        <f>TEXT('Construction Planner'!M138,"[h]:mm:ss")</f>
        <v>#N/A</v>
      </c>
      <c r="F128" s="133" t="e">
        <f>TEXT('Construction Planner'!N139,"TT.MM. hh:mm:ss")</f>
        <v>#N/A</v>
      </c>
      <c r="G128" t="e">
        <f t="shared" si="6"/>
        <v>#N/A</v>
      </c>
      <c r="K128">
        <f>IF($F$1="Off",'Construction Planner'!DK138,'Construction Planner'!DI139)</f>
        <v>0</v>
      </c>
      <c r="L128">
        <f>IF($F$1="Off",'Construction Planner'!DN138,'Construction Planner'!DJ139)</f>
        <v>0</v>
      </c>
      <c r="M128">
        <f>IF($F$1="Off",'Construction Planner'!DQ138,'Construction Planner'!DL139)</f>
        <v>0</v>
      </c>
      <c r="P128" s="326" t="e">
        <f t="shared" si="4"/>
        <v>#N/A</v>
      </c>
      <c r="Q128" t="e">
        <f t="shared" si="5"/>
        <v>#N/A</v>
      </c>
    </row>
    <row r="129" spans="2:17" x14ac:dyDescent="0.25">
      <c r="B129" t="e">
        <f>IF($C$1="Deutsch",VLOOKUP('Construction Planner'!J139,$N$4:$O$20,2,FALSE),'Construction Planner'!J139)</f>
        <v>#N/A</v>
      </c>
      <c r="C129" t="e">
        <f>'Construction Planner'!L139</f>
        <v>#N/A</v>
      </c>
      <c r="D129" s="133" t="e">
        <f>TEXT('Construction Planner'!P139,"TT.MM. hh:mm:ss")</f>
        <v>#N/A</v>
      </c>
      <c r="E129" s="133" t="e">
        <f>TEXT('Construction Planner'!M139,"[h]:mm:ss")</f>
        <v>#N/A</v>
      </c>
      <c r="F129" s="133" t="e">
        <f>TEXT('Construction Planner'!N140,"TT.MM. hh:mm:ss")</f>
        <v>#N/A</v>
      </c>
      <c r="G129" t="e">
        <f t="shared" si="6"/>
        <v>#N/A</v>
      </c>
      <c r="K129">
        <f>IF($F$1="Off",'Construction Planner'!DK139,'Construction Planner'!DI140)</f>
        <v>0</v>
      </c>
      <c r="L129">
        <f>IF($F$1="Off",'Construction Planner'!DN139,'Construction Planner'!DJ140)</f>
        <v>0</v>
      </c>
      <c r="M129">
        <f>IF($F$1="Off",'Construction Planner'!DQ139,'Construction Planner'!DL140)</f>
        <v>0</v>
      </c>
      <c r="P129" s="326" t="e">
        <f t="shared" si="4"/>
        <v>#N/A</v>
      </c>
      <c r="Q129" t="e">
        <f t="shared" si="5"/>
        <v>#N/A</v>
      </c>
    </row>
    <row r="130" spans="2:17" x14ac:dyDescent="0.25">
      <c r="B130" t="e">
        <f>IF($C$1="Deutsch",VLOOKUP('Construction Planner'!J140,$N$4:$O$20,2,FALSE),'Construction Planner'!J140)</f>
        <v>#N/A</v>
      </c>
      <c r="C130" t="e">
        <f>'Construction Planner'!L140</f>
        <v>#N/A</v>
      </c>
      <c r="D130" s="133" t="e">
        <f>TEXT('Construction Planner'!P140,"TT.MM. hh:mm:ss")</f>
        <v>#N/A</v>
      </c>
      <c r="E130" s="133" t="e">
        <f>TEXT('Construction Planner'!M140,"[h]:mm:ss")</f>
        <v>#N/A</v>
      </c>
      <c r="F130" s="133" t="e">
        <f>TEXT('Construction Planner'!N141,"TT.MM. hh:mm:ss")</f>
        <v>#N/A</v>
      </c>
      <c r="G130" t="e">
        <f t="shared" si="6"/>
        <v>#N/A</v>
      </c>
      <c r="K130">
        <f>IF($F$1="Off",'Construction Planner'!DK140,'Construction Planner'!DI141)</f>
        <v>0</v>
      </c>
      <c r="L130">
        <f>IF($F$1="Off",'Construction Planner'!DN140,'Construction Planner'!DJ141)</f>
        <v>0</v>
      </c>
      <c r="M130">
        <f>IF($F$1="Off",'Construction Planner'!DQ140,'Construction Planner'!DL141)</f>
        <v>0</v>
      </c>
      <c r="P130" s="326" t="e">
        <f t="shared" si="4"/>
        <v>#N/A</v>
      </c>
      <c r="Q130" t="e">
        <f t="shared" si="5"/>
        <v>#N/A</v>
      </c>
    </row>
    <row r="131" spans="2:17" x14ac:dyDescent="0.25">
      <c r="B131" t="e">
        <f>IF($C$1="Deutsch",VLOOKUP('Construction Planner'!J141,$N$4:$O$20,2,FALSE),'Construction Planner'!J141)</f>
        <v>#N/A</v>
      </c>
      <c r="C131" t="e">
        <f>'Construction Planner'!L141</f>
        <v>#N/A</v>
      </c>
      <c r="D131" s="133" t="e">
        <f>TEXT('Construction Planner'!P141,"TT.MM. hh:mm:ss")</f>
        <v>#N/A</v>
      </c>
      <c r="E131" s="133" t="e">
        <f>TEXT('Construction Planner'!M141,"[h]:mm:ss")</f>
        <v>#N/A</v>
      </c>
      <c r="F131" s="133" t="e">
        <f>TEXT('Construction Planner'!N142,"TT.MM. hh:mm:ss")</f>
        <v>#N/A</v>
      </c>
      <c r="G131" t="e">
        <f t="shared" si="6"/>
        <v>#N/A</v>
      </c>
      <c r="K131">
        <f>IF($F$1="Off",'Construction Planner'!DK141,'Construction Planner'!DI142)</f>
        <v>0</v>
      </c>
      <c r="L131">
        <f>IF($F$1="Off",'Construction Planner'!DN141,'Construction Planner'!DJ142)</f>
        <v>0</v>
      </c>
      <c r="M131">
        <f>IF($F$1="Off",'Construction Planner'!DQ141,'Construction Planner'!DL142)</f>
        <v>0</v>
      </c>
      <c r="P131" s="326" t="e">
        <f t="shared" si="4"/>
        <v>#N/A</v>
      </c>
      <c r="Q131" t="e">
        <f t="shared" si="5"/>
        <v>#N/A</v>
      </c>
    </row>
    <row r="132" spans="2:17" x14ac:dyDescent="0.25">
      <c r="B132" t="e">
        <f>IF($C$1="Deutsch",VLOOKUP('Construction Planner'!J142,$N$4:$O$20,2,FALSE),'Construction Planner'!J142)</f>
        <v>#N/A</v>
      </c>
      <c r="C132" t="e">
        <f>'Construction Planner'!L142</f>
        <v>#N/A</v>
      </c>
      <c r="D132" s="133" t="e">
        <f>TEXT('Construction Planner'!P142,"TT.MM. hh:mm:ss")</f>
        <v>#N/A</v>
      </c>
      <c r="E132" s="133" t="e">
        <f>TEXT('Construction Planner'!M142,"[h]:mm:ss")</f>
        <v>#N/A</v>
      </c>
      <c r="F132" s="133" t="e">
        <f>TEXT('Construction Planner'!N143,"TT.MM. hh:mm:ss")</f>
        <v>#N/A</v>
      </c>
      <c r="G132" t="e">
        <f t="shared" si="6"/>
        <v>#N/A</v>
      </c>
      <c r="K132">
        <f>IF($F$1="Off",'Construction Planner'!DK142,'Construction Planner'!DI143)</f>
        <v>0</v>
      </c>
      <c r="L132">
        <f>IF($F$1="Off",'Construction Planner'!DN142,'Construction Planner'!DJ143)</f>
        <v>0</v>
      </c>
      <c r="M132">
        <f>IF($F$1="Off",'Construction Planner'!DQ142,'Construction Planner'!DL143)</f>
        <v>0</v>
      </c>
      <c r="P132" s="326" t="e">
        <f t="shared" ref="P132:P137" si="7">LEN(G132)-LEN(SUBSTITUTE(LOWER(G132),"[",))</f>
        <v>#N/A</v>
      </c>
      <c r="Q132" t="e">
        <f t="shared" si="5"/>
        <v>#N/A</v>
      </c>
    </row>
    <row r="133" spans="2:17" x14ac:dyDescent="0.25">
      <c r="B133" t="e">
        <f>IF($C$1="Deutsch",VLOOKUP('Construction Planner'!J143,$N$4:$O$20,2,FALSE),'Construction Planner'!J143)</f>
        <v>#N/A</v>
      </c>
      <c r="C133" t="e">
        <f>'Construction Planner'!L143</f>
        <v>#N/A</v>
      </c>
      <c r="D133" s="133" t="e">
        <f>TEXT('Construction Planner'!P143,"TT.MM. hh:mm:ss")</f>
        <v>#N/A</v>
      </c>
      <c r="E133" s="133" t="e">
        <f>TEXT('Construction Planner'!M143,"[h]:mm:ss")</f>
        <v>#N/A</v>
      </c>
      <c r="F133" s="133" t="e">
        <f>TEXT('Construction Planner'!N144,"TT.MM. hh:mm:ss")</f>
        <v>#N/A</v>
      </c>
      <c r="G133" t="e">
        <f t="shared" si="6"/>
        <v>#N/A</v>
      </c>
      <c r="K133">
        <f>IF($F$1="Off",'Construction Planner'!DK143,'Construction Planner'!DI144)</f>
        <v>0</v>
      </c>
      <c r="L133">
        <f>IF($F$1="Off",'Construction Planner'!DN143,'Construction Planner'!DJ144)</f>
        <v>0</v>
      </c>
      <c r="M133">
        <f>IF($F$1="Off",'Construction Planner'!DQ143,'Construction Planner'!DL144)</f>
        <v>0</v>
      </c>
      <c r="P133" s="326" t="e">
        <f t="shared" si="7"/>
        <v>#N/A</v>
      </c>
      <c r="Q133" t="e">
        <f>P133+Q132</f>
        <v>#N/A</v>
      </c>
    </row>
    <row r="134" spans="2:17" x14ac:dyDescent="0.25">
      <c r="B134" t="e">
        <f>IF($C$1="Deutsch",VLOOKUP('Construction Planner'!J144,$N$4:$O$20,2,FALSE),'Construction Planner'!J144)</f>
        <v>#N/A</v>
      </c>
      <c r="C134" t="e">
        <f>'Construction Planner'!L144</f>
        <v>#N/A</v>
      </c>
      <c r="D134" s="133" t="e">
        <f>TEXT('Construction Planner'!P144,"TT.MM. hh:mm:ss")</f>
        <v>#N/A</v>
      </c>
      <c r="E134" s="133" t="e">
        <f>TEXT('Construction Planner'!M144,"[h]:mm:ss")</f>
        <v>#N/A</v>
      </c>
      <c r="F134" s="133" t="e">
        <f>TEXT('Construction Planner'!N145,"TT.MM. hh:mm:ss")</f>
        <v>#N/A</v>
      </c>
      <c r="G134" t="e">
        <f t="shared" si="6"/>
        <v>#N/A</v>
      </c>
      <c r="K134">
        <f>IF($F$1="Off",'Construction Planner'!DK144,'Construction Planner'!DI145)</f>
        <v>0</v>
      </c>
      <c r="L134">
        <f>IF($F$1="Off",'Construction Planner'!DN144,'Construction Planner'!DJ145)</f>
        <v>0</v>
      </c>
      <c r="M134">
        <f>IF($F$1="Off",'Construction Planner'!DQ144,'Construction Planner'!DL145)</f>
        <v>0</v>
      </c>
      <c r="P134" s="326" t="e">
        <f t="shared" si="7"/>
        <v>#N/A</v>
      </c>
      <c r="Q134" t="e">
        <f>P134+Q133</f>
        <v>#N/A</v>
      </c>
    </row>
    <row r="135" spans="2:17" x14ac:dyDescent="0.25">
      <c r="B135" t="e">
        <f>IF($C$1="Deutsch",VLOOKUP('Construction Planner'!J145,$N$4:$O$20,2,FALSE),'Construction Planner'!J145)</f>
        <v>#N/A</v>
      </c>
      <c r="C135" t="e">
        <f>'Construction Planner'!L145</f>
        <v>#N/A</v>
      </c>
      <c r="D135" s="133" t="e">
        <f>TEXT('Construction Planner'!P145,"TT.MM. hh:mm:ss")</f>
        <v>#N/A</v>
      </c>
      <c r="E135" s="133" t="e">
        <f>TEXT('Construction Planner'!M145,"[h]:mm:ss")</f>
        <v>#N/A</v>
      </c>
      <c r="F135" s="133" t="e">
        <f>TEXT('Construction Planner'!N146,"TT.MM. hh:mm:ss")</f>
        <v>#N/A</v>
      </c>
      <c r="G135" t="e">
        <f t="shared" si="6"/>
        <v>#N/A</v>
      </c>
      <c r="K135">
        <f>IF($F$1="Off",'Construction Planner'!DK145,'Construction Planner'!DI146)</f>
        <v>0</v>
      </c>
      <c r="L135">
        <f>IF($F$1="Off",'Construction Planner'!DN145,'Construction Planner'!DJ146)</f>
        <v>0</v>
      </c>
      <c r="M135">
        <f>IF($F$1="Off",'Construction Planner'!DQ145,'Construction Planner'!DL146)</f>
        <v>0</v>
      </c>
      <c r="P135" s="326" t="e">
        <f t="shared" si="7"/>
        <v>#N/A</v>
      </c>
      <c r="Q135" t="e">
        <f>P135+Q134</f>
        <v>#N/A</v>
      </c>
    </row>
    <row r="136" spans="2:17" x14ac:dyDescent="0.25">
      <c r="B136" t="e">
        <f>IF($C$1="Deutsch",VLOOKUP('Construction Planner'!J146,$N$4:$O$20,2,FALSE),'Construction Planner'!J146)</f>
        <v>#N/A</v>
      </c>
      <c r="C136" t="e">
        <f>'Construction Planner'!L146</f>
        <v>#N/A</v>
      </c>
      <c r="D136" s="133" t="e">
        <f>TEXT('Construction Planner'!P146,"TT.MM. hh:mm:ss")</f>
        <v>#N/A</v>
      </c>
      <c r="E136" s="133" t="e">
        <f>TEXT('Construction Planner'!M146,"[h]:mm:ss")</f>
        <v>#N/A</v>
      </c>
      <c r="F136" s="133" t="e">
        <f>TEXT('Construction Planner'!N147,"TT.MM. hh:mm:ss")</f>
        <v>#N/A</v>
      </c>
      <c r="G136" t="e">
        <f t="shared" si="6"/>
        <v>#N/A</v>
      </c>
      <c r="K136">
        <f>IF($F$1="Off",'Construction Planner'!DK146,'Construction Planner'!DI147)</f>
        <v>0</v>
      </c>
      <c r="L136">
        <f>IF($F$1="Off",'Construction Planner'!DN146,'Construction Planner'!DJ147)</f>
        <v>0</v>
      </c>
      <c r="M136">
        <f>IF($F$1="Off",'Construction Planner'!DQ146,'Construction Planner'!DL147)</f>
        <v>0</v>
      </c>
      <c r="P136" s="326" t="e">
        <f t="shared" si="7"/>
        <v>#N/A</v>
      </c>
      <c r="Q136" t="e">
        <f>P136+Q135</f>
        <v>#N/A</v>
      </c>
    </row>
    <row r="137" spans="2:17" x14ac:dyDescent="0.25">
      <c r="B137" t="e">
        <f>IF($C$1="Deutsch",VLOOKUP('Construction Planner'!J147,$N$4:$O$20,2,FALSE),'Construction Planner'!J147)</f>
        <v>#N/A</v>
      </c>
      <c r="C137" t="e">
        <f>'Construction Planner'!L147</f>
        <v>#N/A</v>
      </c>
      <c r="D137" s="133" t="e">
        <f>TEXT('Construction Planner'!P147,"TT.MM. hh:mm:ss")</f>
        <v>#N/A</v>
      </c>
      <c r="E137" s="133" t="e">
        <f>TEXT('Construction Planner'!M147,"[h]:mm:ss")</f>
        <v>#N/A</v>
      </c>
      <c r="F137" s="133" t="e">
        <f>TEXT('Construction Planner'!N148,"TT.MM. hh:mm:ss")</f>
        <v>#N/A</v>
      </c>
      <c r="G137" t="e">
        <f t="shared" si="6"/>
        <v>#N/A</v>
      </c>
      <c r="K137">
        <f>IF($F$1="Off",'Construction Planner'!DK147,'Construction Planner'!DI148)</f>
        <v>0</v>
      </c>
      <c r="L137">
        <f>IF($F$1="Off",'Construction Planner'!DN147,'Construction Planner'!DJ148)</f>
        <v>0</v>
      </c>
      <c r="M137">
        <f>IF($F$1="Off",'Construction Planner'!DQ147,'Construction Planner'!DL148)</f>
        <v>0</v>
      </c>
      <c r="P137" s="326" t="e">
        <f t="shared" si="7"/>
        <v>#N/A</v>
      </c>
      <c r="Q137" t="e">
        <f>P137+Q136</f>
        <v>#N/A</v>
      </c>
    </row>
    <row r="138" spans="2:17" x14ac:dyDescent="0.25">
      <c r="G138" t="s">
        <v>351</v>
      </c>
    </row>
    <row r="141" spans="2:17" x14ac:dyDescent="0.25">
      <c r="G141" s="2"/>
      <c r="H141" s="2"/>
      <c r="I141" s="2"/>
    </row>
  </sheetData>
  <dataValidations count="2">
    <dataValidation type="list" allowBlank="1" showInputMessage="1" showErrorMessage="1" sqref="C1">
      <formula1>"Deutsch,Englisch"</formula1>
    </dataValidation>
    <dataValidation type="list" allowBlank="1" showInputMessage="1" showErrorMessage="1" sqref="F1">
      <formula1>"Off,Deff"</formula1>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N26"/>
  <sheetViews>
    <sheetView workbookViewId="0">
      <selection activeCell="C7" sqref="C7"/>
    </sheetView>
  </sheetViews>
  <sheetFormatPr baseColWidth="10" defaultRowHeight="15" x14ac:dyDescent="0.25"/>
  <cols>
    <col min="1" max="1" width="3.7109375" bestFit="1" customWidth="1"/>
    <col min="2" max="2" width="12.7109375" bestFit="1" customWidth="1"/>
    <col min="3" max="3" width="12" bestFit="1" customWidth="1"/>
    <col min="4" max="4" width="4.85546875" bestFit="1" customWidth="1"/>
    <col min="5" max="5" width="5.85546875" bestFit="1" customWidth="1"/>
    <col min="6" max="6" width="5.7109375" bestFit="1" customWidth="1"/>
    <col min="7" max="7" width="9.7109375" bestFit="1" customWidth="1"/>
    <col min="8" max="8" width="8.140625" bestFit="1" customWidth="1"/>
    <col min="9" max="9" width="7.85546875" customWidth="1"/>
    <col min="10" max="10" width="7.7109375" bestFit="1" customWidth="1"/>
    <col min="11" max="11" width="14.28515625" bestFit="1" customWidth="1"/>
    <col min="12" max="12" width="17.140625" bestFit="1" customWidth="1"/>
    <col min="13" max="13" width="10.140625" bestFit="1" customWidth="1"/>
    <col min="14" max="14" width="165.42578125" bestFit="1" customWidth="1"/>
  </cols>
  <sheetData>
    <row r="1" spans="1:14" ht="15.75" thickBot="1" x14ac:dyDescent="0.3">
      <c r="B1" s="100" t="s">
        <v>66</v>
      </c>
      <c r="C1" s="227">
        <f>'Construction Planner'!E1</f>
        <v>1</v>
      </c>
      <c r="F1" s="422" t="s">
        <v>100</v>
      </c>
      <c r="G1" s="437"/>
      <c r="H1" s="364">
        <v>4.1666666666666664E-2</v>
      </c>
      <c r="K1" s="422" t="s">
        <v>393</v>
      </c>
      <c r="L1" s="437"/>
      <c r="M1" s="342">
        <v>10</v>
      </c>
    </row>
    <row r="2" spans="1:14" ht="15.75" thickBot="1" x14ac:dyDescent="0.3">
      <c r="B2" s="81" t="s">
        <v>148</v>
      </c>
      <c r="C2" s="125">
        <f>'Construction Planner'!E2</f>
        <v>1</v>
      </c>
      <c r="F2" s="422" t="s">
        <v>394</v>
      </c>
      <c r="G2" s="437"/>
      <c r="H2" s="363" t="s">
        <v>395</v>
      </c>
    </row>
    <row r="3" spans="1:14" ht="15.75" thickBot="1" x14ac:dyDescent="0.3">
      <c r="B3" s="88" t="s">
        <v>149</v>
      </c>
      <c r="C3" s="341">
        <f>'Construction Planner'!E3</f>
        <v>1</v>
      </c>
      <c r="F3" s="422" t="s">
        <v>268</v>
      </c>
      <c r="G3" s="437"/>
      <c r="H3" s="365">
        <v>6.9444444444444441E-3</v>
      </c>
      <c r="K3" s="422" t="s">
        <v>397</v>
      </c>
      <c r="L3" s="437"/>
      <c r="M3" s="342">
        <v>2</v>
      </c>
    </row>
    <row r="4" spans="1:14" ht="15.75" thickBot="1" x14ac:dyDescent="0.3"/>
    <row r="5" spans="1:14" ht="15.75" thickBot="1" x14ac:dyDescent="0.3">
      <c r="A5" s="46" t="s">
        <v>391</v>
      </c>
      <c r="B5" s="131" t="s">
        <v>150</v>
      </c>
      <c r="C5" s="360" t="s">
        <v>396</v>
      </c>
      <c r="D5" s="449" t="s">
        <v>374</v>
      </c>
      <c r="E5" s="449"/>
      <c r="F5" s="449"/>
      <c r="G5" s="449" t="s">
        <v>375</v>
      </c>
      <c r="H5" s="449"/>
      <c r="I5" s="449"/>
      <c r="J5" s="449"/>
      <c r="K5" s="449" t="s">
        <v>379</v>
      </c>
      <c r="L5" s="450"/>
      <c r="M5" s="427" t="s">
        <v>382</v>
      </c>
      <c r="N5" s="429"/>
    </row>
    <row r="6" spans="1:14" x14ac:dyDescent="0.25">
      <c r="A6" s="356"/>
      <c r="B6" s="113"/>
      <c r="C6" s="361"/>
      <c r="D6" s="114" t="s">
        <v>151</v>
      </c>
      <c r="E6" s="114" t="s">
        <v>152</v>
      </c>
      <c r="F6" s="114" t="s">
        <v>153</v>
      </c>
      <c r="G6" s="114" t="s">
        <v>151</v>
      </c>
      <c r="H6" s="114" t="s">
        <v>152</v>
      </c>
      <c r="I6" s="114" t="s">
        <v>153</v>
      </c>
      <c r="J6" s="114" t="s">
        <v>154</v>
      </c>
      <c r="K6" s="114" t="s">
        <v>377</v>
      </c>
      <c r="L6" s="318" t="s">
        <v>378</v>
      </c>
      <c r="M6" s="126" t="s">
        <v>381</v>
      </c>
      <c r="N6" s="175" t="s">
        <v>392</v>
      </c>
    </row>
    <row r="7" spans="1:14" x14ac:dyDescent="0.25">
      <c r="A7" s="356">
        <v>1</v>
      </c>
      <c r="B7" s="81" t="s">
        <v>376</v>
      </c>
      <c r="C7" s="362">
        <f>IF(B7&gt;0,SQRT(((LEFT(B7,3)-LEFT($H$2,3))*(LEFT(B7,3)-LEFT($H$2,3)))+((RIGHT(B7,3)-RIGHT($H$2,3))*(RIGHT(B7,3)-RIGHT($H$2,3))))*$H$3,"")</f>
        <v>1.5528249843748539E-2</v>
      </c>
      <c r="D7" s="79">
        <v>7</v>
      </c>
      <c r="E7" s="79">
        <v>7</v>
      </c>
      <c r="F7" s="79">
        <v>6</v>
      </c>
      <c r="G7" s="358">
        <f t="shared" ref="G7:I9" si="0">IF(B7="","",IF(D7 = 0,$C$3*5,$C$3*30*1.163118^(D7-1)))</f>
        <v>74.278635187122333</v>
      </c>
      <c r="H7" s="358">
        <f t="shared" si="0"/>
        <v>74.278635187122333</v>
      </c>
      <c r="I7" s="358">
        <f t="shared" si="0"/>
        <v>63.861650483547102</v>
      </c>
      <c r="J7" s="358">
        <f>IF(B7="","",SUM(G7:I7))</f>
        <v>212.41892085779176</v>
      </c>
      <c r="K7" s="181">
        <f>IF(B7="","",J7/80)</f>
        <v>2.6552365107223972</v>
      </c>
      <c r="L7" s="120">
        <f>IF(B7="","",($M$3*80/J7)*$H$1)</f>
        <v>3.13845237502633E-2</v>
      </c>
      <c r="M7" s="81">
        <v>1</v>
      </c>
      <c r="N7" s="82" t="str">
        <f>IF(B7="","",IF(M7=0,CONCATENATE("javascript: var settings = Array(0, 0, 0, 0, 0, ",IF(ROUNDUP(K7,0)&lt;$M$3,$M$3,ROUNDUP(K7,0)),", 0, 0, 0, 0, 0, 0, ",LEFT(B7,3),", ",RIGHT(B7,3),", 'attack'); $.getScript('https://media.innogamescdn.com/com_DS_DE/scripts/qb_main/scriptgenerator.js'); void(0);"),CONCATENATE("javascript: var settings = Array(0, 0, 0, 0, 0, ",M1,", 0, 0, 0, 0, 0, 0, ",LEFT(B7,3),", ",RIGHT(B7,3),", 'attack'); $.getScript('https://media.innogamescdn.com/com_DS_DE/scripts/qb_main/scriptgenerator.js'); void(0);")))</f>
        <v>javascript: var settings = Array(0, 0, 0, 0, 0, 10, 0, 0, 0, 0, 0, 0, 383, 473, 'attack'); $.getScript('https://media.innogamescdn.com/com_DS_DE/scripts/qb_main/scriptgenerator.js'); void(0);</v>
      </c>
    </row>
    <row r="8" spans="1:14" x14ac:dyDescent="0.25">
      <c r="A8" s="356">
        <v>2</v>
      </c>
      <c r="B8" s="81" t="s">
        <v>380</v>
      </c>
      <c r="C8" s="362">
        <f>IF(B8&gt;0,SQRT(((LEFT(B8,3)-LEFT($H$2,3))*(LEFT(B8,3)-LEFT($H$2,3)))+((RIGHT(B8,3)-RIGHT($H$2,3))*(RIGHT(B8,3)-RIGHT($H$2,3))))*$H$3,"")</f>
        <v>9.820927516479826E-3</v>
      </c>
      <c r="D8" s="79">
        <v>9</v>
      </c>
      <c r="E8" s="79">
        <v>8</v>
      </c>
      <c r="F8" s="79">
        <v>7</v>
      </c>
      <c r="G8" s="358">
        <f t="shared" si="0"/>
        <v>100.48736745910915</v>
      </c>
      <c r="H8" s="358">
        <f t="shared" si="0"/>
        <v>86.394817601575355</v>
      </c>
      <c r="I8" s="358">
        <f t="shared" si="0"/>
        <v>74.278635187122333</v>
      </c>
      <c r="J8" s="358">
        <f>IF(B8="","",SUM(G8:I8))</f>
        <v>261.16082024780684</v>
      </c>
      <c r="K8" s="181">
        <f>IF(B8="","",J8/80)</f>
        <v>3.2645102530975856</v>
      </c>
      <c r="L8" s="120">
        <f>IF(B8="","",($M$3*80/J8)*$H$1)</f>
        <v>2.5527055169840898E-2</v>
      </c>
      <c r="M8" s="81">
        <v>0</v>
      </c>
      <c r="N8" s="82" t="str">
        <f t="shared" ref="N8:N26" si="1">IF(B8="","",IF(M8=0,CONCATENATE("javascript: var settings = Array(0, 0, 0, 0, 0, ",IF(ROUNDUP(K8,0)&lt;$M$3,$M$3,ROUNDUP(K8,0)),", 0, 0, 0, 0, 0, 0, ",LEFT(B8,3),", ",RIGHT(B8,3),", 'attack'); $.getScript('https://media.innogamescdn.com/com_DS_DE/scripts/qb_main/scriptgenerator.js'); void(0);"),CONCATENATE("javascript: var settings = Array(0, 0, 0, 0, 0, ",M2,", 0, 0, 0, 0, 0, 0, ",LEFT(B8,3),", ",RIGHT(B8,3),", 'attack'); $.getScript('https://media.innogamescdn.com/com_DS_DE/scripts/qb_main/scriptgenerator.js'); void(0);")))</f>
        <v>javascript: var settings = Array(0, 0, 0, 0, 0, 4, 0, 0, 0, 0, 0, 0, 381, 474, 'attack'); $.getScript('https://media.innogamescdn.com/com_DS_DE/scripts/qb_main/scriptgenerator.js'); void(0);</v>
      </c>
    </row>
    <row r="9" spans="1:14" x14ac:dyDescent="0.25">
      <c r="A9" s="356">
        <v>3</v>
      </c>
      <c r="B9" s="81"/>
      <c r="C9" s="362" t="str">
        <f>IF(B9&gt;0,SQRT(((LEFT(B9,3)-LEFT($H$2,3))*(LEFT(B9,3)-LEFT($H$2,3)))+((RIGHT(B9,3)-RIGHT($H$2,3))*(RIGHT(B9,3)-RIGHT($H$2,3))))*$H$3,"")</f>
        <v/>
      </c>
      <c r="D9" s="79"/>
      <c r="E9" s="79"/>
      <c r="F9" s="79"/>
      <c r="G9" s="358" t="str">
        <f t="shared" si="0"/>
        <v/>
      </c>
      <c r="H9" s="358" t="str">
        <f t="shared" si="0"/>
        <v/>
      </c>
      <c r="I9" s="358" t="str">
        <f t="shared" si="0"/>
        <v/>
      </c>
      <c r="J9" s="358" t="str">
        <f>IF(B9="","",SUM(G9:I9))</f>
        <v/>
      </c>
      <c r="K9" s="181" t="str">
        <f>IF(B9="","",J9/80)</f>
        <v/>
      </c>
      <c r="L9" s="120" t="str">
        <f>IF(B9="","",($M$3*80/J9)*$H$1)</f>
        <v/>
      </c>
      <c r="M9" s="81"/>
      <c r="N9" s="82" t="str">
        <f t="shared" si="1"/>
        <v/>
      </c>
    </row>
    <row r="10" spans="1:14" x14ac:dyDescent="0.25">
      <c r="A10" s="356">
        <v>4</v>
      </c>
      <c r="B10" s="81"/>
      <c r="C10" s="362" t="str">
        <f t="shared" ref="C10:C26" si="2">IF(B10&gt;0,SQRT(((LEFT(B10,3)-LEFT($H$2,3))*(LEFT(B10,3)-LEFT($H$2,3)))+((RIGHT(B10,3)-RIGHT($H$2,3))*(RIGHT(B10,3)-RIGHT($H$2,3))))*$H$3,"")</f>
        <v/>
      </c>
      <c r="D10" s="79"/>
      <c r="E10" s="79"/>
      <c r="F10" s="79"/>
      <c r="G10" s="358" t="str">
        <f t="shared" ref="G10:G26" si="3">IF(B10="","",IF(D10 = 0,$C$3*5,$C$3*30*1.163118^(D10-1)))</f>
        <v/>
      </c>
      <c r="H10" s="358" t="str">
        <f t="shared" ref="H10:H26" si="4">IF(C10="","",IF(E10 = 0,$C$3*5,$C$3*30*1.163118^(E10-1)))</f>
        <v/>
      </c>
      <c r="I10" s="358" t="str">
        <f t="shared" ref="I10:I26" si="5">IF(D10="","",IF(F10 = 0,$C$3*5,$C$3*30*1.163118^(F10-1)))</f>
        <v/>
      </c>
      <c r="J10" s="358" t="str">
        <f t="shared" ref="J10:J26" si="6">IF(B10="","",SUM(G10:I10))</f>
        <v/>
      </c>
      <c r="K10" s="181" t="str">
        <f t="shared" ref="K10:K26" si="7">IF(B10="","",J10/80)</f>
        <v/>
      </c>
      <c r="L10" s="120" t="str">
        <f t="shared" ref="L10:L26" si="8">IF(B10="","",($M$3*80/J10)*$H$1)</f>
        <v/>
      </c>
      <c r="M10" s="81"/>
      <c r="N10" s="82" t="str">
        <f t="shared" si="1"/>
        <v/>
      </c>
    </row>
    <row r="11" spans="1:14" x14ac:dyDescent="0.25">
      <c r="A11" s="356">
        <v>5</v>
      </c>
      <c r="B11" s="81"/>
      <c r="C11" s="362" t="str">
        <f t="shared" si="2"/>
        <v/>
      </c>
      <c r="D11" s="79"/>
      <c r="E11" s="79"/>
      <c r="F11" s="79"/>
      <c r="G11" s="358" t="str">
        <f t="shared" si="3"/>
        <v/>
      </c>
      <c r="H11" s="358" t="str">
        <f t="shared" si="4"/>
        <v/>
      </c>
      <c r="I11" s="358" t="str">
        <f t="shared" si="5"/>
        <v/>
      </c>
      <c r="J11" s="358" t="str">
        <f t="shared" si="6"/>
        <v/>
      </c>
      <c r="K11" s="181" t="str">
        <f t="shared" si="7"/>
        <v/>
      </c>
      <c r="L11" s="120" t="str">
        <f t="shared" si="8"/>
        <v/>
      </c>
      <c r="M11" s="81"/>
      <c r="N11" s="82" t="str">
        <f t="shared" si="1"/>
        <v/>
      </c>
    </row>
    <row r="12" spans="1:14" x14ac:dyDescent="0.25">
      <c r="A12" s="356">
        <v>6</v>
      </c>
      <c r="B12" s="81"/>
      <c r="C12" s="362" t="str">
        <f t="shared" si="2"/>
        <v/>
      </c>
      <c r="D12" s="79"/>
      <c r="E12" s="79"/>
      <c r="F12" s="79"/>
      <c r="G12" s="358" t="str">
        <f t="shared" si="3"/>
        <v/>
      </c>
      <c r="H12" s="358" t="str">
        <f t="shared" si="4"/>
        <v/>
      </c>
      <c r="I12" s="358" t="str">
        <f t="shared" si="5"/>
        <v/>
      </c>
      <c r="J12" s="358" t="str">
        <f t="shared" si="6"/>
        <v/>
      </c>
      <c r="K12" s="181" t="str">
        <f t="shared" si="7"/>
        <v/>
      </c>
      <c r="L12" s="120" t="str">
        <f t="shared" si="8"/>
        <v/>
      </c>
      <c r="M12" s="81"/>
      <c r="N12" s="82" t="str">
        <f t="shared" si="1"/>
        <v/>
      </c>
    </row>
    <row r="13" spans="1:14" x14ac:dyDescent="0.25">
      <c r="A13" s="356">
        <v>7</v>
      </c>
      <c r="B13" s="81"/>
      <c r="C13" s="362" t="str">
        <f t="shared" si="2"/>
        <v/>
      </c>
      <c r="D13" s="79"/>
      <c r="E13" s="79"/>
      <c r="F13" s="79"/>
      <c r="G13" s="358" t="str">
        <f t="shared" si="3"/>
        <v/>
      </c>
      <c r="H13" s="358" t="str">
        <f t="shared" si="4"/>
        <v/>
      </c>
      <c r="I13" s="358" t="str">
        <f t="shared" si="5"/>
        <v/>
      </c>
      <c r="J13" s="358" t="str">
        <f t="shared" si="6"/>
        <v/>
      </c>
      <c r="K13" s="181" t="str">
        <f t="shared" si="7"/>
        <v/>
      </c>
      <c r="L13" s="120" t="str">
        <f t="shared" si="8"/>
        <v/>
      </c>
      <c r="M13" s="81"/>
      <c r="N13" s="82" t="str">
        <f t="shared" si="1"/>
        <v/>
      </c>
    </row>
    <row r="14" spans="1:14" x14ac:dyDescent="0.25">
      <c r="A14" s="356">
        <v>8</v>
      </c>
      <c r="B14" s="81"/>
      <c r="C14" s="362" t="str">
        <f t="shared" si="2"/>
        <v/>
      </c>
      <c r="D14" s="79"/>
      <c r="E14" s="79"/>
      <c r="F14" s="79"/>
      <c r="G14" s="358" t="str">
        <f t="shared" si="3"/>
        <v/>
      </c>
      <c r="H14" s="358" t="str">
        <f t="shared" si="4"/>
        <v/>
      </c>
      <c r="I14" s="358" t="str">
        <f t="shared" si="5"/>
        <v/>
      </c>
      <c r="J14" s="358" t="str">
        <f t="shared" si="6"/>
        <v/>
      </c>
      <c r="K14" s="181" t="str">
        <f t="shared" si="7"/>
        <v/>
      </c>
      <c r="L14" s="120" t="str">
        <f t="shared" si="8"/>
        <v/>
      </c>
      <c r="M14" s="81"/>
      <c r="N14" s="82" t="str">
        <f t="shared" si="1"/>
        <v/>
      </c>
    </row>
    <row r="15" spans="1:14" x14ac:dyDescent="0.25">
      <c r="A15" s="356">
        <v>9</v>
      </c>
      <c r="B15" s="81"/>
      <c r="C15" s="362" t="str">
        <f t="shared" si="2"/>
        <v/>
      </c>
      <c r="D15" s="79"/>
      <c r="E15" s="79"/>
      <c r="F15" s="79"/>
      <c r="G15" s="358" t="str">
        <f t="shared" si="3"/>
        <v/>
      </c>
      <c r="H15" s="358" t="str">
        <f t="shared" si="4"/>
        <v/>
      </c>
      <c r="I15" s="358" t="str">
        <f t="shared" si="5"/>
        <v/>
      </c>
      <c r="J15" s="358" t="str">
        <f t="shared" si="6"/>
        <v/>
      </c>
      <c r="K15" s="181" t="str">
        <f t="shared" si="7"/>
        <v/>
      </c>
      <c r="L15" s="120" t="str">
        <f t="shared" si="8"/>
        <v/>
      </c>
      <c r="M15" s="81"/>
      <c r="N15" s="82" t="str">
        <f t="shared" si="1"/>
        <v/>
      </c>
    </row>
    <row r="16" spans="1:14" x14ac:dyDescent="0.25">
      <c r="A16" s="356">
        <v>10</v>
      </c>
      <c r="B16" s="81"/>
      <c r="C16" s="362" t="str">
        <f t="shared" si="2"/>
        <v/>
      </c>
      <c r="D16" s="79"/>
      <c r="E16" s="79"/>
      <c r="F16" s="79"/>
      <c r="G16" s="358" t="str">
        <f t="shared" si="3"/>
        <v/>
      </c>
      <c r="H16" s="358" t="str">
        <f t="shared" si="4"/>
        <v/>
      </c>
      <c r="I16" s="358" t="str">
        <f t="shared" si="5"/>
        <v/>
      </c>
      <c r="J16" s="358" t="str">
        <f t="shared" si="6"/>
        <v/>
      </c>
      <c r="K16" s="181" t="str">
        <f t="shared" si="7"/>
        <v/>
      </c>
      <c r="L16" s="120" t="str">
        <f t="shared" si="8"/>
        <v/>
      </c>
      <c r="M16" s="81"/>
      <c r="N16" s="82" t="str">
        <f t="shared" si="1"/>
        <v/>
      </c>
    </row>
    <row r="17" spans="1:14" x14ac:dyDescent="0.25">
      <c r="A17" s="356">
        <v>11</v>
      </c>
      <c r="B17" s="81"/>
      <c r="C17" s="362" t="str">
        <f t="shared" si="2"/>
        <v/>
      </c>
      <c r="D17" s="79"/>
      <c r="E17" s="79"/>
      <c r="F17" s="79"/>
      <c r="G17" s="358" t="str">
        <f t="shared" si="3"/>
        <v/>
      </c>
      <c r="H17" s="358" t="str">
        <f t="shared" si="4"/>
        <v/>
      </c>
      <c r="I17" s="358" t="str">
        <f t="shared" si="5"/>
        <v/>
      </c>
      <c r="J17" s="358" t="str">
        <f t="shared" si="6"/>
        <v/>
      </c>
      <c r="K17" s="181" t="str">
        <f t="shared" si="7"/>
        <v/>
      </c>
      <c r="L17" s="120" t="str">
        <f t="shared" si="8"/>
        <v/>
      </c>
      <c r="M17" s="81"/>
      <c r="N17" s="82" t="str">
        <f t="shared" si="1"/>
        <v/>
      </c>
    </row>
    <row r="18" spans="1:14" x14ac:dyDescent="0.25">
      <c r="A18" s="356">
        <v>12</v>
      </c>
      <c r="B18" s="81"/>
      <c r="C18" s="362" t="str">
        <f t="shared" si="2"/>
        <v/>
      </c>
      <c r="D18" s="79"/>
      <c r="E18" s="79"/>
      <c r="F18" s="79"/>
      <c r="G18" s="358" t="str">
        <f t="shared" si="3"/>
        <v/>
      </c>
      <c r="H18" s="358" t="str">
        <f t="shared" si="4"/>
        <v/>
      </c>
      <c r="I18" s="358" t="str">
        <f t="shared" si="5"/>
        <v/>
      </c>
      <c r="J18" s="358" t="str">
        <f t="shared" si="6"/>
        <v/>
      </c>
      <c r="K18" s="181" t="str">
        <f t="shared" si="7"/>
        <v/>
      </c>
      <c r="L18" s="120" t="str">
        <f t="shared" si="8"/>
        <v/>
      </c>
      <c r="M18" s="81"/>
      <c r="N18" s="82" t="str">
        <f t="shared" si="1"/>
        <v/>
      </c>
    </row>
    <row r="19" spans="1:14" x14ac:dyDescent="0.25">
      <c r="A19" s="356">
        <v>13</v>
      </c>
      <c r="B19" s="81"/>
      <c r="C19" s="362" t="str">
        <f t="shared" si="2"/>
        <v/>
      </c>
      <c r="D19" s="79"/>
      <c r="E19" s="79"/>
      <c r="F19" s="79"/>
      <c r="G19" s="358" t="str">
        <f t="shared" si="3"/>
        <v/>
      </c>
      <c r="H19" s="358" t="str">
        <f t="shared" si="4"/>
        <v/>
      </c>
      <c r="I19" s="358" t="str">
        <f t="shared" si="5"/>
        <v/>
      </c>
      <c r="J19" s="358" t="str">
        <f t="shared" si="6"/>
        <v/>
      </c>
      <c r="K19" s="181" t="str">
        <f t="shared" si="7"/>
        <v/>
      </c>
      <c r="L19" s="120" t="str">
        <f t="shared" si="8"/>
        <v/>
      </c>
      <c r="M19" s="81"/>
      <c r="N19" s="82" t="str">
        <f t="shared" si="1"/>
        <v/>
      </c>
    </row>
    <row r="20" spans="1:14" x14ac:dyDescent="0.25">
      <c r="A20" s="356">
        <v>14</v>
      </c>
      <c r="B20" s="81"/>
      <c r="C20" s="362" t="str">
        <f t="shared" si="2"/>
        <v/>
      </c>
      <c r="D20" s="79"/>
      <c r="E20" s="79"/>
      <c r="F20" s="79"/>
      <c r="G20" s="358" t="str">
        <f t="shared" si="3"/>
        <v/>
      </c>
      <c r="H20" s="358" t="str">
        <f t="shared" si="4"/>
        <v/>
      </c>
      <c r="I20" s="358" t="str">
        <f t="shared" si="5"/>
        <v/>
      </c>
      <c r="J20" s="358" t="str">
        <f t="shared" si="6"/>
        <v/>
      </c>
      <c r="K20" s="181" t="str">
        <f t="shared" si="7"/>
        <v/>
      </c>
      <c r="L20" s="120" t="str">
        <f t="shared" si="8"/>
        <v/>
      </c>
      <c r="M20" s="81"/>
      <c r="N20" s="82" t="str">
        <f t="shared" si="1"/>
        <v/>
      </c>
    </row>
    <row r="21" spans="1:14" x14ac:dyDescent="0.25">
      <c r="A21" s="356">
        <v>15</v>
      </c>
      <c r="B21" s="81"/>
      <c r="C21" s="362" t="str">
        <f t="shared" si="2"/>
        <v/>
      </c>
      <c r="D21" s="79"/>
      <c r="E21" s="79"/>
      <c r="F21" s="79"/>
      <c r="G21" s="358" t="str">
        <f t="shared" si="3"/>
        <v/>
      </c>
      <c r="H21" s="358" t="str">
        <f t="shared" si="4"/>
        <v/>
      </c>
      <c r="I21" s="358" t="str">
        <f t="shared" si="5"/>
        <v/>
      </c>
      <c r="J21" s="358" t="str">
        <f t="shared" si="6"/>
        <v/>
      </c>
      <c r="K21" s="181" t="str">
        <f t="shared" si="7"/>
        <v/>
      </c>
      <c r="L21" s="120" t="str">
        <f t="shared" si="8"/>
        <v/>
      </c>
      <c r="M21" s="81"/>
      <c r="N21" s="82" t="str">
        <f t="shared" si="1"/>
        <v/>
      </c>
    </row>
    <row r="22" spans="1:14" x14ac:dyDescent="0.25">
      <c r="A22" s="356">
        <v>16</v>
      </c>
      <c r="B22" s="81"/>
      <c r="C22" s="362" t="str">
        <f t="shared" si="2"/>
        <v/>
      </c>
      <c r="D22" s="79"/>
      <c r="E22" s="79"/>
      <c r="F22" s="79"/>
      <c r="G22" s="358" t="str">
        <f t="shared" si="3"/>
        <v/>
      </c>
      <c r="H22" s="358" t="str">
        <f t="shared" si="4"/>
        <v/>
      </c>
      <c r="I22" s="358" t="str">
        <f t="shared" si="5"/>
        <v/>
      </c>
      <c r="J22" s="358" t="str">
        <f t="shared" si="6"/>
        <v/>
      </c>
      <c r="K22" s="181" t="str">
        <f t="shared" si="7"/>
        <v/>
      </c>
      <c r="L22" s="120" t="str">
        <f t="shared" si="8"/>
        <v/>
      </c>
      <c r="M22" s="81"/>
      <c r="N22" s="82" t="str">
        <f t="shared" si="1"/>
        <v/>
      </c>
    </row>
    <row r="23" spans="1:14" x14ac:dyDescent="0.25">
      <c r="A23" s="356">
        <v>17</v>
      </c>
      <c r="B23" s="81"/>
      <c r="C23" s="362" t="str">
        <f t="shared" si="2"/>
        <v/>
      </c>
      <c r="D23" s="79"/>
      <c r="E23" s="79"/>
      <c r="F23" s="79"/>
      <c r="G23" s="358" t="str">
        <f t="shared" si="3"/>
        <v/>
      </c>
      <c r="H23" s="358" t="str">
        <f t="shared" si="4"/>
        <v/>
      </c>
      <c r="I23" s="358" t="str">
        <f t="shared" si="5"/>
        <v/>
      </c>
      <c r="J23" s="358" t="str">
        <f t="shared" si="6"/>
        <v/>
      </c>
      <c r="K23" s="181" t="str">
        <f t="shared" si="7"/>
        <v/>
      </c>
      <c r="L23" s="120" t="str">
        <f t="shared" si="8"/>
        <v/>
      </c>
      <c r="M23" s="81"/>
      <c r="N23" s="82" t="str">
        <f t="shared" si="1"/>
        <v/>
      </c>
    </row>
    <row r="24" spans="1:14" x14ac:dyDescent="0.25">
      <c r="A24" s="356">
        <v>18</v>
      </c>
      <c r="B24" s="81"/>
      <c r="C24" s="362" t="str">
        <f t="shared" si="2"/>
        <v/>
      </c>
      <c r="D24" s="79"/>
      <c r="E24" s="79"/>
      <c r="F24" s="79"/>
      <c r="G24" s="358" t="str">
        <f t="shared" si="3"/>
        <v/>
      </c>
      <c r="H24" s="358" t="str">
        <f t="shared" si="4"/>
        <v/>
      </c>
      <c r="I24" s="358" t="str">
        <f t="shared" si="5"/>
        <v/>
      </c>
      <c r="J24" s="358" t="str">
        <f t="shared" si="6"/>
        <v/>
      </c>
      <c r="K24" s="181" t="str">
        <f t="shared" si="7"/>
        <v/>
      </c>
      <c r="L24" s="120" t="str">
        <f t="shared" si="8"/>
        <v/>
      </c>
      <c r="M24" s="81"/>
      <c r="N24" s="82" t="str">
        <f t="shared" si="1"/>
        <v/>
      </c>
    </row>
    <row r="25" spans="1:14" x14ac:dyDescent="0.25">
      <c r="A25" s="356">
        <v>19</v>
      </c>
      <c r="B25" s="81"/>
      <c r="C25" s="362" t="str">
        <f t="shared" si="2"/>
        <v/>
      </c>
      <c r="D25" s="79"/>
      <c r="E25" s="79"/>
      <c r="F25" s="79"/>
      <c r="G25" s="358" t="str">
        <f t="shared" si="3"/>
        <v/>
      </c>
      <c r="H25" s="358" t="str">
        <f t="shared" si="4"/>
        <v/>
      </c>
      <c r="I25" s="358" t="str">
        <f t="shared" si="5"/>
        <v/>
      </c>
      <c r="J25" s="358" t="str">
        <f t="shared" si="6"/>
        <v/>
      </c>
      <c r="K25" s="181" t="str">
        <f t="shared" si="7"/>
        <v/>
      </c>
      <c r="L25" s="120" t="str">
        <f t="shared" si="8"/>
        <v/>
      </c>
      <c r="M25" s="81"/>
      <c r="N25" s="82" t="str">
        <f t="shared" si="1"/>
        <v/>
      </c>
    </row>
    <row r="26" spans="1:14" ht="15.75" thickBot="1" x14ac:dyDescent="0.3">
      <c r="A26" s="357">
        <v>20</v>
      </c>
      <c r="B26" s="88"/>
      <c r="C26" s="366" t="str">
        <f t="shared" si="2"/>
        <v/>
      </c>
      <c r="D26" s="93"/>
      <c r="E26" s="93"/>
      <c r="F26" s="93"/>
      <c r="G26" s="359" t="str">
        <f t="shared" si="3"/>
        <v/>
      </c>
      <c r="H26" s="359" t="str">
        <f t="shared" si="4"/>
        <v/>
      </c>
      <c r="I26" s="359" t="str">
        <f t="shared" si="5"/>
        <v/>
      </c>
      <c r="J26" s="359" t="str">
        <f t="shared" si="6"/>
        <v/>
      </c>
      <c r="K26" s="182" t="str">
        <f t="shared" si="7"/>
        <v/>
      </c>
      <c r="L26" s="123" t="str">
        <f t="shared" si="8"/>
        <v/>
      </c>
      <c r="M26" s="88"/>
      <c r="N26" s="89" t="str">
        <f t="shared" si="1"/>
        <v/>
      </c>
    </row>
  </sheetData>
  <mergeCells count="9">
    <mergeCell ref="D5:F5"/>
    <mergeCell ref="G5:J5"/>
    <mergeCell ref="K5:L5"/>
    <mergeCell ref="M5:N5"/>
    <mergeCell ref="K1:L1"/>
    <mergeCell ref="K3:L3"/>
    <mergeCell ref="F2:G2"/>
    <mergeCell ref="F3:G3"/>
    <mergeCell ref="F1:G1"/>
  </mergeCells>
  <pageMargins left="0.7" right="0.7" top="0.78740157499999996" bottom="0.78740157499999996"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P79"/>
  <sheetViews>
    <sheetView workbookViewId="0">
      <selection activeCell="D2" sqref="D2"/>
    </sheetView>
  </sheetViews>
  <sheetFormatPr baseColWidth="10" defaultRowHeight="15" x14ac:dyDescent="0.25"/>
  <cols>
    <col min="3" max="3" width="17" bestFit="1" customWidth="1"/>
    <col min="4" max="4" width="15.140625" bestFit="1" customWidth="1"/>
    <col min="5" max="16" width="13.140625" bestFit="1" customWidth="1"/>
  </cols>
  <sheetData>
    <row r="1" spans="1:16" x14ac:dyDescent="0.25">
      <c r="C1" s="398" t="s">
        <v>269</v>
      </c>
      <c r="D1" s="394">
        <f>VLOOKUP(C1,Laufzeitrechner!$F$2:$H$13,3,FALSE)</f>
        <v>2.0833333333333332E-2</v>
      </c>
      <c r="G1" s="425" t="s">
        <v>421</v>
      </c>
      <c r="H1" s="430"/>
      <c r="I1" s="227">
        <f>'Construction Planner'!E1</f>
        <v>1</v>
      </c>
    </row>
    <row r="2" spans="1:16" x14ac:dyDescent="0.25">
      <c r="C2" s="81" t="s">
        <v>273</v>
      </c>
      <c r="D2" s="311">
        <v>44001.979166666664</v>
      </c>
      <c r="G2" s="451" t="s">
        <v>420</v>
      </c>
      <c r="H2" s="452"/>
      <c r="I2" s="125">
        <f>'Construction Planner'!E4</f>
        <v>1</v>
      </c>
    </row>
    <row r="3" spans="1:16" ht="15.75" thickBot="1" x14ac:dyDescent="0.3">
      <c r="C3" s="81" t="s">
        <v>517</v>
      </c>
      <c r="D3" s="311">
        <v>44001.333333333336</v>
      </c>
      <c r="G3" s="453" t="s">
        <v>422</v>
      </c>
      <c r="H3" s="454"/>
      <c r="I3" s="373">
        <f>I1*I2</f>
        <v>1</v>
      </c>
    </row>
    <row r="4" spans="1:16" ht="15.75" thickBot="1" x14ac:dyDescent="0.3">
      <c r="C4" s="88" t="s">
        <v>516</v>
      </c>
      <c r="D4" s="395">
        <v>44001.958333333336</v>
      </c>
    </row>
    <row r="5" spans="1:16" x14ac:dyDescent="0.25">
      <c r="C5" s="455" t="s">
        <v>515</v>
      </c>
      <c r="D5" s="455"/>
      <c r="E5" s="455"/>
      <c r="F5" s="455"/>
      <c r="G5" s="455"/>
      <c r="H5" s="455"/>
      <c r="I5" s="455"/>
      <c r="J5" s="455"/>
      <c r="K5" s="455"/>
      <c r="L5" s="455"/>
      <c r="M5" s="455"/>
      <c r="N5" s="455"/>
      <c r="O5" s="455"/>
      <c r="P5" s="455"/>
    </row>
    <row r="6" spans="1:16" x14ac:dyDescent="0.25">
      <c r="A6" t="s">
        <v>290</v>
      </c>
      <c r="B6" t="s">
        <v>261</v>
      </c>
      <c r="C6" t="s">
        <v>430</v>
      </c>
      <c r="D6" t="s">
        <v>431</v>
      </c>
      <c r="E6" t="s">
        <v>432</v>
      </c>
      <c r="F6" t="s">
        <v>433</v>
      </c>
      <c r="G6" t="s">
        <v>434</v>
      </c>
      <c r="H6" t="s">
        <v>435</v>
      </c>
      <c r="I6" t="s">
        <v>436</v>
      </c>
      <c r="J6" t="s">
        <v>437</v>
      </c>
      <c r="K6" t="s">
        <v>438</v>
      </c>
      <c r="L6" t="s">
        <v>439</v>
      </c>
      <c r="M6" t="s">
        <v>440</v>
      </c>
      <c r="N6" t="s">
        <v>441</v>
      </c>
      <c r="O6" t="s">
        <v>442</v>
      </c>
      <c r="P6" t="s">
        <v>443</v>
      </c>
    </row>
    <row r="7" spans="1:16" x14ac:dyDescent="0.25">
      <c r="A7">
        <v>6830</v>
      </c>
      <c r="B7" t="s">
        <v>487</v>
      </c>
      <c r="C7" s="393">
        <f>$D$2-SQRT(((LEFT(C$6,3)-LEFT($B7,3))*(LEFT(C$6,3)-LEFT($B7,3)))+((RIGHT(C$6,3)-RIGHT($B7,3))*(RIGHT(C$6,3)-RIGHT($B7,3))))*$D$1</f>
        <v>44001.609999059445</v>
      </c>
      <c r="D7" s="393">
        <f t="shared" ref="D7:P7" si="0">$D$2-SQRT(((LEFT(D$6,3)-LEFT($B7,3))*(LEFT(D$6,3)-LEFT($B7,3)))+((RIGHT(D$6,3)-RIGHT($B7,3))*(RIGHT(D$6,3)-RIGHT($B7,3))))*$D$1</f>
        <v>44001.589967881409</v>
      </c>
      <c r="E7" s="393">
        <f t="shared" si="0"/>
        <v>44001.576808168415</v>
      </c>
      <c r="F7" s="393">
        <f t="shared" si="0"/>
        <v>44001.529436809476</v>
      </c>
      <c r="G7" s="393">
        <f t="shared" si="0"/>
        <v>44001.463778463461</v>
      </c>
      <c r="H7" s="393">
        <f t="shared" si="0"/>
        <v>44001.458333333328</v>
      </c>
      <c r="I7" s="393">
        <f t="shared" si="0"/>
        <v>44001.432316468818</v>
      </c>
      <c r="J7" s="393">
        <f t="shared" si="0"/>
        <v>44001.352432960142</v>
      </c>
      <c r="K7" s="393">
        <f t="shared" si="0"/>
        <v>44001.372490842557</v>
      </c>
      <c r="L7" s="393">
        <f t="shared" si="0"/>
        <v>44001.386239605381</v>
      </c>
      <c r="M7" s="393">
        <f t="shared" si="0"/>
        <v>44001.379325831294</v>
      </c>
      <c r="N7" s="393">
        <f t="shared" si="0"/>
        <v>44001.359747135524</v>
      </c>
      <c r="O7" s="393">
        <f t="shared" si="0"/>
        <v>44001.428756466099</v>
      </c>
      <c r="P7" s="393">
        <f t="shared" si="0"/>
        <v>44001.528472757229</v>
      </c>
    </row>
    <row r="8" spans="1:16" x14ac:dyDescent="0.25">
      <c r="A8">
        <v>6747</v>
      </c>
      <c r="B8" t="s">
        <v>460</v>
      </c>
      <c r="C8" s="393">
        <f t="shared" ref="C8:P26" si="1">$D$2-SQRT(((LEFT(C$6,3)-LEFT($B8,3))*(LEFT(C$6,3)-LEFT($B8,3)))+((RIGHT(C$6,3)-RIGHT($B8,3))*(RIGHT(C$6,3)-RIGHT($B8,3))))*$D$1</f>
        <v>44001.80737059893</v>
      </c>
      <c r="D8" s="393">
        <f t="shared" si="1"/>
        <v>44001.811202963574</v>
      </c>
      <c r="E8" s="393">
        <f t="shared" si="1"/>
        <v>44001.852442447285</v>
      </c>
      <c r="F8" s="393">
        <f t="shared" si="1"/>
        <v>44001.80737059893</v>
      </c>
      <c r="G8" s="393">
        <f t="shared" si="1"/>
        <v>44001.799951556932</v>
      </c>
      <c r="H8" s="393">
        <f t="shared" si="1"/>
        <v>44001.816453131752</v>
      </c>
      <c r="I8" s="393">
        <f t="shared" si="1"/>
        <v>44001.816453131752</v>
      </c>
      <c r="J8" s="393">
        <f t="shared" si="1"/>
        <v>44001.746242919005</v>
      </c>
      <c r="K8" s="393">
        <f t="shared" si="1"/>
        <v>44001.764674372062</v>
      </c>
      <c r="L8" s="393">
        <f t="shared" si="1"/>
        <v>44001.792827668542</v>
      </c>
      <c r="M8" s="393">
        <f t="shared" si="1"/>
        <v>44001.801166588637</v>
      </c>
      <c r="N8" s="393">
        <f t="shared" si="1"/>
        <v>44001.781524312901</v>
      </c>
      <c r="O8" s="393">
        <f t="shared" si="1"/>
        <v>44001.895833333328</v>
      </c>
      <c r="P8" s="393">
        <f t="shared" si="1"/>
        <v>44001.949703884115</v>
      </c>
    </row>
    <row r="9" spans="1:16" x14ac:dyDescent="0.25">
      <c r="A9">
        <v>5944</v>
      </c>
      <c r="B9" t="s">
        <v>479</v>
      </c>
      <c r="C9" s="393">
        <f t="shared" si="1"/>
        <v>44001.708333333328</v>
      </c>
      <c r="D9" s="393">
        <f t="shared" si="1"/>
        <v>44001.688991910887</v>
      </c>
      <c r="E9" s="393">
        <f t="shared" si="1"/>
        <v>44001.67156618624</v>
      </c>
      <c r="F9" s="393">
        <f t="shared" si="1"/>
        <v>44001.629936362202</v>
      </c>
      <c r="G9" s="393">
        <f t="shared" si="1"/>
        <v>44001.564065440725</v>
      </c>
      <c r="H9" s="393">
        <f t="shared" si="1"/>
        <v>44001.557323818095</v>
      </c>
      <c r="I9" s="393">
        <f t="shared" si="1"/>
        <v>44001.530402932738</v>
      </c>
      <c r="J9" s="393">
        <f t="shared" si="1"/>
        <v>44001.452120389971</v>
      </c>
      <c r="K9" s="393">
        <f t="shared" si="1"/>
        <v>44001.471841847422</v>
      </c>
      <c r="L9" s="393">
        <f t="shared" si="1"/>
        <v>44001.483963986495</v>
      </c>
      <c r="M9" s="393">
        <f t="shared" si="1"/>
        <v>44001.475706417761</v>
      </c>
      <c r="N9" s="393">
        <f t="shared" si="1"/>
        <v>44001.456669324834</v>
      </c>
      <c r="O9" s="393">
        <f t="shared" si="1"/>
        <v>44001.516591597683</v>
      </c>
      <c r="P9" s="393">
        <f t="shared" si="1"/>
        <v>44001.610587374729</v>
      </c>
    </row>
    <row r="10" spans="1:16" x14ac:dyDescent="0.25">
      <c r="A10">
        <v>5926</v>
      </c>
      <c r="B10" t="s">
        <v>446</v>
      </c>
      <c r="C10" s="393">
        <f t="shared" si="1"/>
        <v>44001.741630119766</v>
      </c>
      <c r="D10" s="393">
        <f t="shared" si="1"/>
        <v>44001.757705295568</v>
      </c>
      <c r="E10" s="393">
        <f t="shared" si="1"/>
        <v>44001.782625393076</v>
      </c>
      <c r="F10" s="393">
        <f t="shared" si="1"/>
        <v>44001.799951556932</v>
      </c>
      <c r="G10" s="393">
        <f t="shared" si="1"/>
        <v>44001.847405097491</v>
      </c>
      <c r="H10" s="393">
        <f t="shared" si="1"/>
        <v>44001.866975733181</v>
      </c>
      <c r="I10" s="393">
        <f t="shared" si="1"/>
        <v>44001.893268632797</v>
      </c>
      <c r="J10" s="393">
        <f t="shared" si="1"/>
        <v>44001.875</v>
      </c>
      <c r="K10" s="393">
        <f t="shared" si="1"/>
        <v>44001.885997167599</v>
      </c>
      <c r="L10" s="393">
        <f t="shared" si="1"/>
        <v>44001.913285882074</v>
      </c>
      <c r="M10" s="393">
        <f t="shared" si="1"/>
        <v>44001.932581917135</v>
      </c>
      <c r="N10" s="393">
        <f t="shared" si="1"/>
        <v>44001.920241101565</v>
      </c>
      <c r="O10" s="393">
        <f t="shared" si="1"/>
        <v>44001.913285882074</v>
      </c>
      <c r="P10" s="393">
        <f t="shared" si="1"/>
        <v>44001.8125</v>
      </c>
    </row>
    <row r="11" spans="1:16" x14ac:dyDescent="0.25">
      <c r="A11">
        <v>5655</v>
      </c>
      <c r="B11" t="s">
        <v>395</v>
      </c>
      <c r="C11" s="393">
        <f t="shared" si="1"/>
        <v>44001.746242919005</v>
      </c>
      <c r="D11" s="393">
        <f t="shared" si="1"/>
        <v>44001.736210337709</v>
      </c>
      <c r="E11" s="393">
        <f t="shared" si="1"/>
        <v>44001.699658169477</v>
      </c>
      <c r="F11" s="393">
        <f t="shared" si="1"/>
        <v>44001.698882832352</v>
      </c>
      <c r="G11" s="393">
        <f t="shared" si="1"/>
        <v>44001.640024570916</v>
      </c>
      <c r="H11" s="393">
        <f t="shared" si="1"/>
        <v>44001.625613276068</v>
      </c>
      <c r="I11" s="393">
        <f t="shared" si="1"/>
        <v>44001.596150493519</v>
      </c>
      <c r="J11" s="393">
        <f t="shared" si="1"/>
        <v>44001.53331386335</v>
      </c>
      <c r="K11" s="393">
        <f t="shared" si="1"/>
        <v>44001.549676497329</v>
      </c>
      <c r="L11" s="393">
        <f t="shared" si="1"/>
        <v>44001.551702405653</v>
      </c>
      <c r="M11" s="393">
        <f t="shared" si="1"/>
        <v>44001.537224928419</v>
      </c>
      <c r="N11" s="393">
        <f t="shared" si="1"/>
        <v>44001.522255995842</v>
      </c>
      <c r="O11" s="393">
        <f t="shared" si="1"/>
        <v>44001.539687018543</v>
      </c>
      <c r="P11" s="393">
        <f t="shared" si="1"/>
        <v>44001.603588408805</v>
      </c>
    </row>
    <row r="12" spans="1:16" x14ac:dyDescent="0.25">
      <c r="A12">
        <v>5171</v>
      </c>
      <c r="B12" t="s">
        <v>476</v>
      </c>
      <c r="C12" s="393">
        <f t="shared" si="1"/>
        <v>44001.729166666664</v>
      </c>
      <c r="D12" s="393">
        <f t="shared" si="1"/>
        <v>44001.708333333328</v>
      </c>
      <c r="E12" s="393">
        <f t="shared" si="1"/>
        <v>44001.705146949207</v>
      </c>
      <c r="F12" s="393">
        <f t="shared" si="1"/>
        <v>44001.645833333328</v>
      </c>
      <c r="G12" s="393">
        <f t="shared" si="1"/>
        <v>44001.582785466861</v>
      </c>
      <c r="H12" s="393">
        <f t="shared" si="1"/>
        <v>44001.581146392193</v>
      </c>
      <c r="I12" s="393">
        <f t="shared" si="1"/>
        <v>44001.557838574663</v>
      </c>
      <c r="J12" s="393">
        <f t="shared" si="1"/>
        <v>44001.475275557394</v>
      </c>
      <c r="K12" s="393">
        <f t="shared" si="1"/>
        <v>44001.495941103967</v>
      </c>
      <c r="L12" s="393">
        <f t="shared" si="1"/>
        <v>44001.513319171354</v>
      </c>
      <c r="M12" s="393">
        <f t="shared" si="1"/>
        <v>44001.509145242802</v>
      </c>
      <c r="N12" s="393">
        <f t="shared" si="1"/>
        <v>44001.488808237664</v>
      </c>
      <c r="O12" s="393">
        <f t="shared" si="1"/>
        <v>44001.568797591586</v>
      </c>
      <c r="P12" s="393">
        <f t="shared" si="1"/>
        <v>44001.67156618624</v>
      </c>
    </row>
    <row r="13" spans="1:16" x14ac:dyDescent="0.25">
      <c r="A13">
        <v>5058</v>
      </c>
      <c r="B13" t="s">
        <v>464</v>
      </c>
      <c r="C13" s="393">
        <f t="shared" si="1"/>
        <v>44001.828935363519</v>
      </c>
      <c r="D13" s="393">
        <f t="shared" si="1"/>
        <v>44001.811202963574</v>
      </c>
      <c r="E13" s="393">
        <f t="shared" si="1"/>
        <v>44001.787092823804</v>
      </c>
      <c r="F13" s="393">
        <f t="shared" si="1"/>
        <v>44001.754784799698</v>
      </c>
      <c r="G13" s="393">
        <f t="shared" si="1"/>
        <v>44001.688991910887</v>
      </c>
      <c r="H13" s="393">
        <f t="shared" si="1"/>
        <v>44001.680878727842</v>
      </c>
      <c r="I13" s="393">
        <f t="shared" si="1"/>
        <v>44001.653073419948</v>
      </c>
      <c r="J13" s="393">
        <f t="shared" si="1"/>
        <v>44001.576808168415</v>
      </c>
      <c r="K13" s="393">
        <f t="shared" si="1"/>
        <v>44001.596150493519</v>
      </c>
      <c r="L13" s="393">
        <f t="shared" si="1"/>
        <v>44001.606488670412</v>
      </c>
      <c r="M13" s="393">
        <f t="shared" si="1"/>
        <v>44001.596717505192</v>
      </c>
      <c r="N13" s="393">
        <f t="shared" si="1"/>
        <v>44001.57842949871</v>
      </c>
      <c r="O13" s="393">
        <f t="shared" si="1"/>
        <v>44001.625613276068</v>
      </c>
      <c r="P13" s="393">
        <f t="shared" si="1"/>
        <v>44001.707533233115</v>
      </c>
    </row>
    <row r="14" spans="1:16" x14ac:dyDescent="0.25">
      <c r="A14">
        <v>5050</v>
      </c>
      <c r="B14" t="s">
        <v>456</v>
      </c>
      <c r="C14" s="393">
        <f t="shared" si="1"/>
        <v>44001.920241101565</v>
      </c>
      <c r="D14" s="393">
        <f t="shared" si="1"/>
        <v>44001.932581917135</v>
      </c>
      <c r="E14" s="393">
        <f t="shared" si="1"/>
        <v>44001.893268632797</v>
      </c>
      <c r="F14" s="393">
        <f t="shared" si="1"/>
        <v>44001.920241101565</v>
      </c>
      <c r="G14" s="393">
        <f t="shared" si="1"/>
        <v>44001.85768850219</v>
      </c>
      <c r="H14" s="393">
        <f t="shared" si="1"/>
        <v>44001.845768245053</v>
      </c>
      <c r="I14" s="393">
        <f t="shared" si="1"/>
        <v>44001.816453131752</v>
      </c>
      <c r="J14" s="393">
        <f t="shared" si="1"/>
        <v>44001.746242919005</v>
      </c>
      <c r="K14" s="393">
        <f t="shared" si="1"/>
        <v>44001.764674372062</v>
      </c>
      <c r="L14" s="393">
        <f t="shared" si="1"/>
        <v>44001.770833333328</v>
      </c>
      <c r="M14" s="393">
        <f t="shared" si="1"/>
        <v>44001.757705295568</v>
      </c>
      <c r="N14" s="393">
        <f t="shared" si="1"/>
        <v>44001.741630119766</v>
      </c>
      <c r="O14" s="393">
        <f t="shared" si="1"/>
        <v>44001.754784799698</v>
      </c>
      <c r="P14" s="393">
        <f t="shared" si="1"/>
        <v>44001.790512809617</v>
      </c>
    </row>
    <row r="15" spans="1:16" x14ac:dyDescent="0.25">
      <c r="A15">
        <v>5028</v>
      </c>
      <c r="B15" t="s">
        <v>501</v>
      </c>
      <c r="C15" s="393">
        <f t="shared" si="1"/>
        <v>44001.499547315281</v>
      </c>
      <c r="D15" s="393">
        <f t="shared" si="1"/>
        <v>44001.478732827105</v>
      </c>
      <c r="E15" s="393">
        <f t="shared" si="1"/>
        <v>44001.478732827105</v>
      </c>
      <c r="F15" s="393">
        <f t="shared" si="1"/>
        <v>44001.416280996411</v>
      </c>
      <c r="G15" s="393">
        <f t="shared" si="1"/>
        <v>44001.354166666664</v>
      </c>
      <c r="H15" s="393">
        <f t="shared" si="1"/>
        <v>44001.35381954084</v>
      </c>
      <c r="I15" s="393">
        <f t="shared" si="1"/>
        <v>44001.331990643041</v>
      </c>
      <c r="J15" s="393">
        <f t="shared" si="1"/>
        <v>44001.248810494042</v>
      </c>
      <c r="K15" s="393">
        <f t="shared" si="1"/>
        <v>44001.269608901421</v>
      </c>
      <c r="L15" s="393">
        <f t="shared" si="1"/>
        <v>44001.288831603088</v>
      </c>
      <c r="M15" s="393">
        <f t="shared" si="1"/>
        <v>44001.286634577555</v>
      </c>
      <c r="N15" s="393">
        <f t="shared" si="1"/>
        <v>44001.265948217973</v>
      </c>
      <c r="O15" s="393">
        <f t="shared" si="1"/>
        <v>44001.357648587909</v>
      </c>
      <c r="P15" s="393">
        <f t="shared" si="1"/>
        <v>44001.463778463461</v>
      </c>
    </row>
    <row r="16" spans="1:16" x14ac:dyDescent="0.25">
      <c r="A16">
        <v>4925</v>
      </c>
      <c r="B16" t="s">
        <v>465</v>
      </c>
      <c r="C16" s="393">
        <f t="shared" si="1"/>
        <v>44001.852442447285</v>
      </c>
      <c r="D16" s="393">
        <f t="shared" si="1"/>
        <v>44001.831852753916</v>
      </c>
      <c r="E16" s="393">
        <f t="shared" si="1"/>
        <v>44001.820504726958</v>
      </c>
      <c r="F16" s="393">
        <f t="shared" si="1"/>
        <v>44001.769794257889</v>
      </c>
      <c r="G16" s="393">
        <f t="shared" si="1"/>
        <v>44001.705146949207</v>
      </c>
      <c r="H16" s="393">
        <f t="shared" si="1"/>
        <v>44001.701215331996</v>
      </c>
      <c r="I16" s="393">
        <f t="shared" si="1"/>
        <v>44001.675828754611</v>
      </c>
      <c r="J16" s="393">
        <f t="shared" si="1"/>
        <v>44001.595018980945</v>
      </c>
      <c r="K16" s="393">
        <f t="shared" si="1"/>
        <v>44001.615328141736</v>
      </c>
      <c r="L16" s="393">
        <f t="shared" si="1"/>
        <v>44001.629936362202</v>
      </c>
      <c r="M16" s="393">
        <f t="shared" si="1"/>
        <v>44001.62316651061</v>
      </c>
      <c r="N16" s="393">
        <f t="shared" si="1"/>
        <v>44001.603588408805</v>
      </c>
      <c r="O16" s="393">
        <f t="shared" si="1"/>
        <v>44001.666666666664</v>
      </c>
      <c r="P16" s="393">
        <f t="shared" si="1"/>
        <v>44001.757705295568</v>
      </c>
    </row>
    <row r="17" spans="1:16" x14ac:dyDescent="0.25">
      <c r="A17">
        <v>4795</v>
      </c>
      <c r="B17" t="s">
        <v>499</v>
      </c>
      <c r="C17" s="393">
        <f t="shared" si="1"/>
        <v>44001.643239260484</v>
      </c>
      <c r="D17" s="393">
        <f t="shared" si="1"/>
        <v>44001.622557442315</v>
      </c>
      <c r="E17" s="393">
        <f t="shared" si="1"/>
        <v>44001.615328141736</v>
      </c>
      <c r="F17" s="393">
        <f t="shared" si="1"/>
        <v>44001.560421849121</v>
      </c>
      <c r="G17" s="393">
        <f t="shared" si="1"/>
        <v>44001.495941103967</v>
      </c>
      <c r="H17" s="393">
        <f t="shared" si="1"/>
        <v>44001.492807602917</v>
      </c>
      <c r="I17" s="393">
        <f t="shared" si="1"/>
        <v>44001.468431221991</v>
      </c>
      <c r="J17" s="393">
        <f t="shared" si="1"/>
        <v>44001.386605722779</v>
      </c>
      <c r="K17" s="393">
        <f t="shared" si="1"/>
        <v>44001.407102907593</v>
      </c>
      <c r="L17" s="393">
        <f t="shared" si="1"/>
        <v>44001.423263997327</v>
      </c>
      <c r="M17" s="393">
        <f t="shared" si="1"/>
        <v>44001.418211999255</v>
      </c>
      <c r="N17" s="393">
        <f t="shared" si="1"/>
        <v>44001.398069763287</v>
      </c>
      <c r="O17" s="393">
        <f t="shared" si="1"/>
        <v>44001.475706417761</v>
      </c>
      <c r="P17" s="393">
        <f t="shared" si="1"/>
        <v>44001.57842949871</v>
      </c>
    </row>
    <row r="18" spans="1:16" x14ac:dyDescent="0.25">
      <c r="A18">
        <v>4787</v>
      </c>
      <c r="B18" t="s">
        <v>481</v>
      </c>
      <c r="C18" s="393">
        <f t="shared" si="1"/>
        <v>44001.861315536466</v>
      </c>
      <c r="D18" s="393">
        <f t="shared" si="1"/>
        <v>44001.845768245053</v>
      </c>
      <c r="E18" s="393">
        <f t="shared" si="1"/>
        <v>44001.816453131752</v>
      </c>
      <c r="F18" s="393">
        <f t="shared" si="1"/>
        <v>44001.792827668542</v>
      </c>
      <c r="G18" s="393">
        <f t="shared" si="1"/>
        <v>44001.727436542213</v>
      </c>
      <c r="H18" s="393">
        <f t="shared" si="1"/>
        <v>44001.718125748201</v>
      </c>
      <c r="I18" s="393">
        <f t="shared" si="1"/>
        <v>44001.689740750218</v>
      </c>
      <c r="J18" s="393">
        <f t="shared" si="1"/>
        <v>44001.615328141736</v>
      </c>
      <c r="K18" s="393">
        <f t="shared" si="1"/>
        <v>44001.634313638388</v>
      </c>
      <c r="L18" s="393">
        <f t="shared" si="1"/>
        <v>44001.643239260484</v>
      </c>
      <c r="M18" s="393">
        <f t="shared" si="1"/>
        <v>44001.632430896309</v>
      </c>
      <c r="N18" s="393">
        <f t="shared" si="1"/>
        <v>44001.614732173235</v>
      </c>
      <c r="O18" s="393">
        <f t="shared" si="1"/>
        <v>44001.653739596833</v>
      </c>
      <c r="P18" s="393">
        <f t="shared" si="1"/>
        <v>44001.727436542213</v>
      </c>
    </row>
    <row r="19" spans="1:16" x14ac:dyDescent="0.25">
      <c r="A19">
        <v>4730</v>
      </c>
      <c r="B19" t="s">
        <v>458</v>
      </c>
      <c r="C19" s="393">
        <f t="shared" si="1"/>
        <v>44001.885997167599</v>
      </c>
      <c r="D19" s="393">
        <f t="shared" si="1"/>
        <v>44001.893268632797</v>
      </c>
      <c r="E19" s="393">
        <f t="shared" si="1"/>
        <v>44001.852442447285</v>
      </c>
      <c r="F19" s="393">
        <f t="shared" si="1"/>
        <v>44001.885997167599</v>
      </c>
      <c r="G19" s="393">
        <f t="shared" si="1"/>
        <v>44001.831852753916</v>
      </c>
      <c r="H19" s="393">
        <f t="shared" si="1"/>
        <v>44001.816453131752</v>
      </c>
      <c r="I19" s="393">
        <f t="shared" si="1"/>
        <v>44001.787092823804</v>
      </c>
      <c r="J19" s="393">
        <f t="shared" si="1"/>
        <v>44001.724863424672</v>
      </c>
      <c r="K19" s="393">
        <f t="shared" si="1"/>
        <v>44001.741630119766</v>
      </c>
      <c r="L19" s="393">
        <f t="shared" si="1"/>
        <v>44001.743464406267</v>
      </c>
      <c r="M19" s="393">
        <f t="shared" si="1"/>
        <v>44001.72830011294</v>
      </c>
      <c r="N19" s="393">
        <f t="shared" si="1"/>
        <v>44001.714001623717</v>
      </c>
      <c r="O19" s="393">
        <f t="shared" si="1"/>
        <v>44001.715643528318</v>
      </c>
      <c r="P19" s="393">
        <f t="shared" si="1"/>
        <v>44001.749054978805</v>
      </c>
    </row>
    <row r="20" spans="1:16" x14ac:dyDescent="0.25">
      <c r="A20">
        <v>4707</v>
      </c>
      <c r="B20" t="s">
        <v>450</v>
      </c>
      <c r="C20" s="393">
        <f t="shared" si="1"/>
        <v>44001.852442447285</v>
      </c>
      <c r="D20" s="393">
        <f t="shared" si="1"/>
        <v>44001.872937093467</v>
      </c>
      <c r="E20" s="393">
        <f t="shared" si="1"/>
        <v>44001.872937093467</v>
      </c>
      <c r="F20" s="393">
        <f t="shared" si="1"/>
        <v>44001.932581917135</v>
      </c>
      <c r="G20" s="393">
        <f t="shared" si="1"/>
        <v>44001.958333333328</v>
      </c>
      <c r="H20" s="393">
        <f t="shared" si="1"/>
        <v>44001.949703884115</v>
      </c>
      <c r="I20" s="393">
        <f t="shared" si="1"/>
        <v>44001.920241101565</v>
      </c>
      <c r="J20" s="393">
        <f t="shared" si="1"/>
        <v>44001.847405097491</v>
      </c>
      <c r="K20" s="393">
        <f t="shared" si="1"/>
        <v>44001.866975733181</v>
      </c>
      <c r="L20" s="393">
        <f t="shared" si="1"/>
        <v>44001.875</v>
      </c>
      <c r="M20" s="393">
        <f t="shared" si="1"/>
        <v>44001.861315536466</v>
      </c>
      <c r="N20" s="393">
        <f t="shared" si="1"/>
        <v>44001.845768245053</v>
      </c>
      <c r="O20" s="393">
        <f t="shared" si="1"/>
        <v>44001.833333333328</v>
      </c>
      <c r="P20" s="393">
        <f t="shared" si="1"/>
        <v>44001.816453131752</v>
      </c>
    </row>
    <row r="21" spans="1:16" x14ac:dyDescent="0.25">
      <c r="A21">
        <v>4703</v>
      </c>
      <c r="B21" t="s">
        <v>505</v>
      </c>
      <c r="C21" s="393">
        <f t="shared" si="1"/>
        <v>44001.603588408805</v>
      </c>
      <c r="D21" s="393">
        <f t="shared" si="1"/>
        <v>44001.583881959144</v>
      </c>
      <c r="E21" s="393">
        <f t="shared" si="1"/>
        <v>44001.568797591586</v>
      </c>
      <c r="F21" s="393">
        <f t="shared" si="1"/>
        <v>44001.524159798588</v>
      </c>
      <c r="G21" s="393">
        <f t="shared" si="1"/>
        <v>44001.458333333328</v>
      </c>
      <c r="H21" s="393">
        <f t="shared" si="1"/>
        <v>44001.452120389971</v>
      </c>
      <c r="I21" s="393">
        <f t="shared" si="1"/>
        <v>44001.425611239349</v>
      </c>
      <c r="J21" s="393">
        <f t="shared" si="1"/>
        <v>44001.346573897885</v>
      </c>
      <c r="K21" s="393">
        <f t="shared" si="1"/>
        <v>44001.366439951256</v>
      </c>
      <c r="L21" s="393">
        <f t="shared" si="1"/>
        <v>44001.379325831294</v>
      </c>
      <c r="M21" s="393">
        <f t="shared" si="1"/>
        <v>44001.371775844287</v>
      </c>
      <c r="N21" s="393">
        <f t="shared" si="1"/>
        <v>44001.352432960142</v>
      </c>
      <c r="O21" s="393">
        <f t="shared" si="1"/>
        <v>44001.418211999255</v>
      </c>
      <c r="P21" s="393">
        <f t="shared" si="1"/>
        <v>44001.516591597683</v>
      </c>
    </row>
    <row r="22" spans="1:16" x14ac:dyDescent="0.25">
      <c r="A22">
        <v>4641</v>
      </c>
      <c r="B22" t="s">
        <v>491</v>
      </c>
      <c r="C22" s="393">
        <f t="shared" si="1"/>
        <v>44001.799951556932</v>
      </c>
      <c r="D22" s="393">
        <f t="shared" si="1"/>
        <v>44001.782625393076</v>
      </c>
      <c r="E22" s="393">
        <f t="shared" si="1"/>
        <v>44001.757705295568</v>
      </c>
      <c r="F22" s="393">
        <f t="shared" si="1"/>
        <v>44001.727436542213</v>
      </c>
      <c r="G22" s="393">
        <f t="shared" si="1"/>
        <v>44001.661842787253</v>
      </c>
      <c r="H22" s="393">
        <f t="shared" si="1"/>
        <v>44001.653073419948</v>
      </c>
      <c r="I22" s="393">
        <f t="shared" si="1"/>
        <v>44001.625</v>
      </c>
      <c r="J22" s="393">
        <f t="shared" si="1"/>
        <v>44001.549676497329</v>
      </c>
      <c r="K22" s="393">
        <f t="shared" si="1"/>
        <v>44001.568797591586</v>
      </c>
      <c r="L22" s="393">
        <f t="shared" si="1"/>
        <v>44001.57842949871</v>
      </c>
      <c r="M22" s="393">
        <f t="shared" si="1"/>
        <v>44001.568269105759</v>
      </c>
      <c r="N22" s="393">
        <f t="shared" si="1"/>
        <v>44001.550182077459</v>
      </c>
      <c r="O22" s="393">
        <f t="shared" si="1"/>
        <v>44001.596150493519</v>
      </c>
      <c r="P22" s="393">
        <f t="shared" si="1"/>
        <v>44001.678704060374</v>
      </c>
    </row>
    <row r="23" spans="1:16" x14ac:dyDescent="0.25">
      <c r="A23">
        <v>4506</v>
      </c>
      <c r="B23" t="s">
        <v>471</v>
      </c>
      <c r="C23" s="393">
        <f t="shared" si="1"/>
        <v>44001.845768245053</v>
      </c>
      <c r="D23" s="393">
        <f t="shared" si="1"/>
        <v>44001.831852753916</v>
      </c>
      <c r="E23" s="393">
        <f t="shared" si="1"/>
        <v>44001.799951556932</v>
      </c>
      <c r="F23" s="393">
        <f t="shared" si="1"/>
        <v>44001.782625393076</v>
      </c>
      <c r="G23" s="393">
        <f t="shared" si="1"/>
        <v>44001.718125748201</v>
      </c>
      <c r="H23" s="393">
        <f t="shared" si="1"/>
        <v>44001.707533233115</v>
      </c>
      <c r="I23" s="393">
        <f t="shared" si="1"/>
        <v>44001.678704060374</v>
      </c>
      <c r="J23" s="393">
        <f t="shared" si="1"/>
        <v>44001.606488670412</v>
      </c>
      <c r="K23" s="393">
        <f t="shared" si="1"/>
        <v>44001.625</v>
      </c>
      <c r="L23" s="393">
        <f t="shared" si="1"/>
        <v>44001.632430896309</v>
      </c>
      <c r="M23" s="393">
        <f t="shared" si="1"/>
        <v>44001.620736447207</v>
      </c>
      <c r="N23" s="393">
        <f t="shared" si="1"/>
        <v>44001.603588408805</v>
      </c>
      <c r="O23" s="393">
        <f t="shared" si="1"/>
        <v>44001.637474594441</v>
      </c>
      <c r="P23" s="393">
        <f t="shared" si="1"/>
        <v>44001.708333333328</v>
      </c>
    </row>
    <row r="24" spans="1:16" x14ac:dyDescent="0.25">
      <c r="A24">
        <v>4493</v>
      </c>
      <c r="B24" t="s">
        <v>494</v>
      </c>
      <c r="C24" s="393">
        <f t="shared" si="1"/>
        <v>44001.395461428074</v>
      </c>
      <c r="D24" s="393">
        <f t="shared" si="1"/>
        <v>44001.374640911308</v>
      </c>
      <c r="E24" s="393">
        <f t="shared" si="1"/>
        <v>44001.371775844287</v>
      </c>
      <c r="F24" s="393">
        <f t="shared" si="1"/>
        <v>44001.312174558596</v>
      </c>
      <c r="G24" s="393">
        <f t="shared" si="1"/>
        <v>44001.248810494042</v>
      </c>
      <c r="H24" s="393">
        <f t="shared" si="1"/>
        <v>44001.247326330405</v>
      </c>
      <c r="I24" s="393">
        <f t="shared" si="1"/>
        <v>44001.224551238483</v>
      </c>
      <c r="J24" s="393">
        <f t="shared" si="1"/>
        <v>44001.14167703157</v>
      </c>
      <c r="K24" s="393">
        <f t="shared" si="1"/>
        <v>44001.162404342336</v>
      </c>
      <c r="L24" s="393">
        <f t="shared" si="1"/>
        <v>44001.180676337637</v>
      </c>
      <c r="M24" s="393">
        <f t="shared" si="1"/>
        <v>44001.177692330763</v>
      </c>
      <c r="N24" s="393">
        <f t="shared" si="1"/>
        <v>44001.157107514293</v>
      </c>
      <c r="O24" s="393">
        <f t="shared" si="1"/>
        <v>44001.2464372752</v>
      </c>
      <c r="P24" s="393">
        <f t="shared" si="1"/>
        <v>44001.352432960142</v>
      </c>
    </row>
    <row r="25" spans="1:16" x14ac:dyDescent="0.25">
      <c r="A25">
        <v>4435</v>
      </c>
      <c r="B25" t="s">
        <v>483</v>
      </c>
      <c r="C25" s="393">
        <f t="shared" si="1"/>
        <v>44001.721472565063</v>
      </c>
      <c r="D25" s="393">
        <f t="shared" si="1"/>
        <v>44001.701215331996</v>
      </c>
      <c r="E25" s="393">
        <f t="shared" si="1"/>
        <v>44001.688991910887</v>
      </c>
      <c r="F25" s="393">
        <f t="shared" si="1"/>
        <v>44001.640024570916</v>
      </c>
      <c r="G25" s="393">
        <f t="shared" si="1"/>
        <v>44001.574656503355</v>
      </c>
      <c r="H25" s="393">
        <f t="shared" si="1"/>
        <v>44001.569856610324</v>
      </c>
      <c r="I25" s="393">
        <f t="shared" si="1"/>
        <v>44001.544153895462</v>
      </c>
      <c r="J25" s="393">
        <f t="shared" si="1"/>
        <v>44001.463778463461</v>
      </c>
      <c r="K25" s="393">
        <f t="shared" si="1"/>
        <v>44001.483963986495</v>
      </c>
      <c r="L25" s="393">
        <f t="shared" si="1"/>
        <v>44001.498191817474</v>
      </c>
      <c r="M25" s="393">
        <f t="shared" si="1"/>
        <v>44001.491470837049</v>
      </c>
      <c r="N25" s="393">
        <f t="shared" si="1"/>
        <v>44001.471841847422</v>
      </c>
      <c r="O25" s="393">
        <f t="shared" si="1"/>
        <v>44001.539687018543</v>
      </c>
      <c r="P25" s="393">
        <f t="shared" si="1"/>
        <v>44001.637474594441</v>
      </c>
    </row>
    <row r="26" spans="1:16" x14ac:dyDescent="0.25">
      <c r="A26">
        <v>4419</v>
      </c>
      <c r="B26" t="s">
        <v>493</v>
      </c>
      <c r="C26" s="393">
        <f t="shared" si="1"/>
        <v>44001.541666666664</v>
      </c>
      <c r="D26" s="393">
        <f t="shared" si="1"/>
        <v>44001.520833333328</v>
      </c>
      <c r="E26" s="393">
        <f t="shared" si="1"/>
        <v>44001.518943290946</v>
      </c>
      <c r="F26" s="393">
        <f t="shared" ref="D26:P41" si="2">$D$2-SQRT(((LEFT(F$6,3)-LEFT($B26,3))*(LEFT(F$6,3)-LEFT($B26,3)))+((RIGHT(F$6,3)-RIGHT($B26,3))*(RIGHT(F$6,3)-RIGHT($B26,3))))*$D$1</f>
        <v>44001.458333333328</v>
      </c>
      <c r="G26" s="393">
        <f t="shared" si="2"/>
        <v>44001.395461428074</v>
      </c>
      <c r="H26" s="393">
        <f t="shared" si="2"/>
        <v>44001.394347131347</v>
      </c>
      <c r="I26" s="393">
        <f t="shared" si="2"/>
        <v>44001.371775844287</v>
      </c>
      <c r="J26" s="393">
        <f t="shared" si="2"/>
        <v>44001.288831603088</v>
      </c>
      <c r="K26" s="393">
        <f t="shared" si="2"/>
        <v>44001.309576721666</v>
      </c>
      <c r="L26" s="393">
        <f t="shared" si="2"/>
        <v>44001.327979182992</v>
      </c>
      <c r="M26" s="393">
        <f t="shared" si="2"/>
        <v>44001.324986730491</v>
      </c>
      <c r="N26" s="393">
        <f t="shared" si="2"/>
        <v>44001.304411052472</v>
      </c>
      <c r="O26" s="393">
        <f t="shared" si="2"/>
        <v>44001.392494673317</v>
      </c>
      <c r="P26" s="393">
        <f t="shared" si="2"/>
        <v>44001.498191817474</v>
      </c>
    </row>
    <row r="27" spans="1:16" x14ac:dyDescent="0.25">
      <c r="A27">
        <v>4356</v>
      </c>
      <c r="B27" t="s">
        <v>474</v>
      </c>
      <c r="C27" s="393">
        <f t="shared" ref="C27:P59" si="3">$D$2-SQRT(((LEFT(C$6,3)-LEFT($B27,3))*(LEFT(C$6,3)-LEFT($B27,3)))+((RIGHT(C$6,3)-RIGHT($B27,3))*(RIGHT(C$6,3)-RIGHT($B27,3))))*$D$1</f>
        <v>44001.782625393076</v>
      </c>
      <c r="D27" s="393">
        <f t="shared" si="2"/>
        <v>44001.764674372062</v>
      </c>
      <c r="E27" s="393">
        <f t="shared" si="2"/>
        <v>44001.741630119766</v>
      </c>
      <c r="F27" s="393">
        <f t="shared" si="2"/>
        <v>44001.708333333328</v>
      </c>
      <c r="G27" s="393">
        <f t="shared" si="2"/>
        <v>44001.642593866221</v>
      </c>
      <c r="H27" s="393">
        <f t="shared" si="2"/>
        <v>44001.634313638388</v>
      </c>
      <c r="I27" s="393">
        <f t="shared" si="2"/>
        <v>44001.606488670412</v>
      </c>
      <c r="J27" s="393">
        <f t="shared" si="2"/>
        <v>44001.530402932738</v>
      </c>
      <c r="K27" s="393">
        <f t="shared" si="2"/>
        <v>44001.549676497329</v>
      </c>
      <c r="L27" s="393">
        <f t="shared" si="2"/>
        <v>44001.559903920883</v>
      </c>
      <c r="M27" s="393">
        <f t="shared" si="2"/>
        <v>44001.550182077459</v>
      </c>
      <c r="N27" s="393">
        <f t="shared" si="2"/>
        <v>44001.531856030131</v>
      </c>
      <c r="O27" s="393">
        <f t="shared" si="2"/>
        <v>44001.581146392193</v>
      </c>
      <c r="P27" s="393">
        <f t="shared" si="2"/>
        <v>44001.666666666664</v>
      </c>
    </row>
    <row r="28" spans="1:16" x14ac:dyDescent="0.25">
      <c r="A28">
        <v>4172</v>
      </c>
      <c r="B28" t="s">
        <v>511</v>
      </c>
      <c r="C28" s="393">
        <f t="shared" si="3"/>
        <v>44001.509145242802</v>
      </c>
      <c r="D28" s="393">
        <f t="shared" si="2"/>
        <v>44001.488808237664</v>
      </c>
      <c r="E28" s="393">
        <f t="shared" si="2"/>
        <v>44001.478299363327</v>
      </c>
      <c r="F28" s="393">
        <f t="shared" si="2"/>
        <v>44001.427574904381</v>
      </c>
      <c r="G28" s="393">
        <f t="shared" si="2"/>
        <v>44001.362204462705</v>
      </c>
      <c r="H28" s="393">
        <f t="shared" si="2"/>
        <v>44001.357648587909</v>
      </c>
      <c r="I28" s="393">
        <f t="shared" si="2"/>
        <v>44001.332326054318</v>
      </c>
      <c r="J28" s="393">
        <f t="shared" si="2"/>
        <v>44001.251489616807</v>
      </c>
      <c r="K28" s="393">
        <f t="shared" si="2"/>
        <v>44001.271753048066</v>
      </c>
      <c r="L28" s="393">
        <f t="shared" si="2"/>
        <v>44001.286634577555</v>
      </c>
      <c r="M28" s="393">
        <f t="shared" si="2"/>
        <v>44001.28070605774</v>
      </c>
      <c r="N28" s="393">
        <f t="shared" si="2"/>
        <v>44001.260794181268</v>
      </c>
      <c r="O28" s="393">
        <f t="shared" si="2"/>
        <v>44001.33602712331</v>
      </c>
      <c r="P28" s="393">
        <f t="shared" si="2"/>
        <v>44001.438703259533</v>
      </c>
    </row>
    <row r="29" spans="1:16" x14ac:dyDescent="0.25">
      <c r="A29">
        <v>4097</v>
      </c>
      <c r="B29" t="s">
        <v>452</v>
      </c>
      <c r="C29" s="393">
        <f t="shared" si="3"/>
        <v>44001.85768850219</v>
      </c>
      <c r="D29" s="393">
        <f t="shared" si="2"/>
        <v>44001.875</v>
      </c>
      <c r="E29" s="393">
        <f t="shared" si="2"/>
        <v>44001.893268632797</v>
      </c>
      <c r="F29" s="393">
        <f t="shared" si="2"/>
        <v>44001.913285882074</v>
      </c>
      <c r="G29" s="393">
        <f t="shared" si="2"/>
        <v>44001.920241101565</v>
      </c>
      <c r="H29" s="393">
        <f t="shared" si="2"/>
        <v>44001.932581917135</v>
      </c>
      <c r="I29" s="393">
        <f t="shared" si="2"/>
        <v>44001.916666666664</v>
      </c>
      <c r="J29" s="393">
        <f t="shared" si="2"/>
        <v>44001.833333333328</v>
      </c>
      <c r="K29" s="393">
        <f t="shared" si="2"/>
        <v>44001.854166666664</v>
      </c>
      <c r="L29" s="393">
        <f t="shared" si="2"/>
        <v>44001.872937093467</v>
      </c>
      <c r="M29" s="393">
        <f t="shared" si="2"/>
        <v>44001.866975733181</v>
      </c>
      <c r="N29" s="393">
        <f t="shared" si="2"/>
        <v>44001.847405097491</v>
      </c>
      <c r="O29" s="393">
        <f t="shared" si="2"/>
        <v>44001.872937093467</v>
      </c>
      <c r="P29" s="393">
        <f t="shared" si="2"/>
        <v>44001.861315536466</v>
      </c>
    </row>
    <row r="30" spans="1:16" x14ac:dyDescent="0.25">
      <c r="A30">
        <v>4082</v>
      </c>
      <c r="B30" t="s">
        <v>473</v>
      </c>
      <c r="C30" s="393">
        <f t="shared" si="3"/>
        <v>44001.5625</v>
      </c>
      <c r="D30" s="393">
        <f t="shared" si="2"/>
        <v>44001.541666666664</v>
      </c>
      <c r="E30" s="393">
        <f t="shared" si="2"/>
        <v>44001.539687018543</v>
      </c>
      <c r="F30" s="393">
        <f t="shared" si="2"/>
        <v>44001.479166666664</v>
      </c>
      <c r="G30" s="393">
        <f t="shared" si="2"/>
        <v>44001.416280996411</v>
      </c>
      <c r="H30" s="393">
        <f t="shared" si="2"/>
        <v>44001.415125567888</v>
      </c>
      <c r="I30" s="393">
        <f t="shared" si="2"/>
        <v>44001.392494673317</v>
      </c>
      <c r="J30" s="393">
        <f t="shared" si="2"/>
        <v>44001.309576721666</v>
      </c>
      <c r="K30" s="393">
        <f t="shared" si="2"/>
        <v>44001.330316187399</v>
      </c>
      <c r="L30" s="393">
        <f t="shared" si="2"/>
        <v>44001.348635585397</v>
      </c>
      <c r="M30" s="393">
        <f t="shared" si="2"/>
        <v>44001.345545569755</v>
      </c>
      <c r="N30" s="393">
        <f t="shared" si="2"/>
        <v>44001.324986730491</v>
      </c>
      <c r="O30" s="393">
        <f t="shared" si="2"/>
        <v>44001.412438728803</v>
      </c>
      <c r="P30" s="393">
        <f t="shared" si="2"/>
        <v>44001.518001174554</v>
      </c>
    </row>
    <row r="31" spans="1:16" x14ac:dyDescent="0.25">
      <c r="A31">
        <v>3918</v>
      </c>
      <c r="B31" t="s">
        <v>506</v>
      </c>
      <c r="C31" s="393">
        <f t="shared" si="3"/>
        <v>44001.653739596833</v>
      </c>
      <c r="D31" s="393">
        <f t="shared" si="2"/>
        <v>44001.637474594441</v>
      </c>
      <c r="E31" s="393">
        <f t="shared" si="2"/>
        <v>44001.610587374729</v>
      </c>
      <c r="F31" s="393">
        <f t="shared" si="2"/>
        <v>44001.586084119495</v>
      </c>
      <c r="G31" s="393">
        <f t="shared" si="2"/>
        <v>44001.521781283329</v>
      </c>
      <c r="H31" s="393">
        <f t="shared" si="2"/>
        <v>44001.510995728037</v>
      </c>
      <c r="I31" s="393">
        <f t="shared" si="2"/>
        <v>44001.482214148251</v>
      </c>
      <c r="J31" s="393">
        <f t="shared" si="2"/>
        <v>44001.410527330663</v>
      </c>
      <c r="K31" s="393">
        <f t="shared" si="2"/>
        <v>44001.428756466099</v>
      </c>
      <c r="L31" s="393">
        <f t="shared" si="2"/>
        <v>44001.435899799566</v>
      </c>
      <c r="M31" s="393">
        <f t="shared" si="2"/>
        <v>44001.424436376845</v>
      </c>
      <c r="N31" s="393">
        <f t="shared" si="2"/>
        <v>44001.407102907593</v>
      </c>
      <c r="O31" s="393">
        <f t="shared" si="2"/>
        <v>44001.448836580777</v>
      </c>
      <c r="P31" s="393">
        <f t="shared" si="2"/>
        <v>44001.53331386335</v>
      </c>
    </row>
    <row r="32" spans="1:16" x14ac:dyDescent="0.25">
      <c r="A32">
        <v>3884</v>
      </c>
      <c r="B32" t="s">
        <v>495</v>
      </c>
      <c r="C32" s="393">
        <f t="shared" si="3"/>
        <v>44001.410527330663</v>
      </c>
      <c r="D32" s="393">
        <f t="shared" si="2"/>
        <v>44001.389911015678</v>
      </c>
      <c r="E32" s="393">
        <f t="shared" si="2"/>
        <v>44001.382590789028</v>
      </c>
      <c r="F32" s="393">
        <f t="shared" si="2"/>
        <v>44001.327979182992</v>
      </c>
      <c r="G32" s="393">
        <f t="shared" si="2"/>
        <v>44001.263214988438</v>
      </c>
      <c r="H32" s="393">
        <f t="shared" si="2"/>
        <v>44001.259888479093</v>
      </c>
      <c r="I32" s="393">
        <f t="shared" si="2"/>
        <v>44001.235559654262</v>
      </c>
      <c r="J32" s="393">
        <f t="shared" si="2"/>
        <v>44001.153682801822</v>
      </c>
      <c r="K32" s="393">
        <f t="shared" si="2"/>
        <v>44001.174180038062</v>
      </c>
      <c r="L32" s="393">
        <f t="shared" si="2"/>
        <v>44001.190521115386</v>
      </c>
      <c r="M32" s="393">
        <f t="shared" si="2"/>
        <v>44001.185856968135</v>
      </c>
      <c r="N32" s="393">
        <f t="shared" si="2"/>
        <v>44001.165598992091</v>
      </c>
      <c r="O32" s="393">
        <f t="shared" si="2"/>
        <v>44001.247622922245</v>
      </c>
      <c r="P32" s="393">
        <f t="shared" si="2"/>
        <v>44001.352432960142</v>
      </c>
    </row>
    <row r="33" spans="1:16" x14ac:dyDescent="0.25">
      <c r="A33">
        <v>3793</v>
      </c>
      <c r="B33" t="s">
        <v>508</v>
      </c>
      <c r="C33" s="393">
        <f t="shared" si="3"/>
        <v>44001.828935363519</v>
      </c>
      <c r="D33" s="393">
        <f t="shared" si="2"/>
        <v>44001.816453131752</v>
      </c>
      <c r="E33" s="393">
        <f t="shared" si="2"/>
        <v>44001.782625393076</v>
      </c>
      <c r="F33" s="393">
        <f t="shared" si="2"/>
        <v>44001.770833333328</v>
      </c>
      <c r="G33" s="393">
        <f t="shared" si="2"/>
        <v>44001.707533233115</v>
      </c>
      <c r="H33" s="393">
        <f t="shared" si="2"/>
        <v>44001.69580269773</v>
      </c>
      <c r="I33" s="393">
        <f t="shared" si="2"/>
        <v>44001.666666666664</v>
      </c>
      <c r="J33" s="393">
        <f t="shared" si="2"/>
        <v>44001.596717505192</v>
      </c>
      <c r="K33" s="393">
        <f t="shared" si="2"/>
        <v>44001.614732173235</v>
      </c>
      <c r="L33" s="393">
        <f t="shared" si="2"/>
        <v>44001.620736447207</v>
      </c>
      <c r="M33" s="393">
        <f t="shared" si="2"/>
        <v>44001.608239712194</v>
      </c>
      <c r="N33" s="393">
        <f t="shared" si="2"/>
        <v>44001.591644265878</v>
      </c>
      <c r="O33" s="393">
        <f t="shared" si="2"/>
        <v>44001.620736447207</v>
      </c>
      <c r="P33" s="393">
        <f t="shared" si="2"/>
        <v>44001.688991910887</v>
      </c>
    </row>
    <row r="34" spans="1:16" x14ac:dyDescent="0.25">
      <c r="A34">
        <v>3714</v>
      </c>
      <c r="B34" t="s">
        <v>512</v>
      </c>
      <c r="C34" s="393">
        <f t="shared" si="3"/>
        <v>44001.608239712194</v>
      </c>
      <c r="D34" s="393">
        <f t="shared" si="2"/>
        <v>44001.591644265878</v>
      </c>
      <c r="E34" s="393">
        <f t="shared" si="2"/>
        <v>44001.565636807471</v>
      </c>
      <c r="F34" s="393">
        <f t="shared" si="2"/>
        <v>44001.539687018543</v>
      </c>
      <c r="G34" s="393">
        <f t="shared" si="2"/>
        <v>44001.475275557394</v>
      </c>
      <c r="H34" s="393">
        <f t="shared" si="2"/>
        <v>44001.464621290193</v>
      </c>
      <c r="I34" s="393">
        <f t="shared" si="2"/>
        <v>44001.435899799566</v>
      </c>
      <c r="J34" s="393">
        <f t="shared" si="2"/>
        <v>44001.363965705823</v>
      </c>
      <c r="K34" s="393">
        <f t="shared" si="2"/>
        <v>44001.382227134083</v>
      </c>
      <c r="L34" s="393">
        <f t="shared" si="2"/>
        <v>44001.389542845907</v>
      </c>
      <c r="M34" s="393">
        <f t="shared" si="2"/>
        <v>44001.378241454084</v>
      </c>
      <c r="N34" s="393">
        <f t="shared" si="2"/>
        <v>44001.360799080008</v>
      </c>
      <c r="O34" s="393">
        <f t="shared" si="2"/>
        <v>44001.404453573989</v>
      </c>
      <c r="P34" s="393">
        <f t="shared" si="2"/>
        <v>44001.491026061922</v>
      </c>
    </row>
    <row r="35" spans="1:16" x14ac:dyDescent="0.25">
      <c r="A35">
        <v>3659</v>
      </c>
      <c r="B35" t="s">
        <v>448</v>
      </c>
      <c r="C35" s="393">
        <f t="shared" si="3"/>
        <v>44001.549676497329</v>
      </c>
      <c r="D35" s="393">
        <f t="shared" si="2"/>
        <v>44001.529436809476</v>
      </c>
      <c r="E35" s="393">
        <f t="shared" si="2"/>
        <v>44001.537224928419</v>
      </c>
      <c r="F35" s="393">
        <f t="shared" si="2"/>
        <v>44001.468431221991</v>
      </c>
      <c r="G35" s="393">
        <f t="shared" si="2"/>
        <v>44001.410527330663</v>
      </c>
      <c r="H35" s="393">
        <f t="shared" si="2"/>
        <v>44001.41320509553</v>
      </c>
      <c r="I35" s="393">
        <f t="shared" si="2"/>
        <v>44001.394347131347</v>
      </c>
      <c r="J35" s="393">
        <f t="shared" si="2"/>
        <v>44001.311199185751</v>
      </c>
      <c r="K35" s="393">
        <f t="shared" si="2"/>
        <v>44001.331990643041</v>
      </c>
      <c r="L35" s="393">
        <f t="shared" si="2"/>
        <v>44001.35381954084</v>
      </c>
      <c r="M35" s="393">
        <f t="shared" si="2"/>
        <v>44001.354166666664</v>
      </c>
      <c r="N35" s="393">
        <f t="shared" si="2"/>
        <v>44001.333333333328</v>
      </c>
      <c r="O35" s="393">
        <f t="shared" si="2"/>
        <v>44001.433906152983</v>
      </c>
      <c r="P35" s="393">
        <f t="shared" si="2"/>
        <v>44001.539687018543</v>
      </c>
    </row>
    <row r="36" spans="1:16" x14ac:dyDescent="0.25">
      <c r="A36">
        <v>3605</v>
      </c>
      <c r="B36" t="s">
        <v>459</v>
      </c>
      <c r="C36" s="393">
        <f t="shared" si="3"/>
        <v>44001.827497710641</v>
      </c>
      <c r="D36" s="393">
        <f t="shared" si="2"/>
        <v>44001.847405097491</v>
      </c>
      <c r="E36" s="393">
        <f t="shared" si="2"/>
        <v>44001.828935363519</v>
      </c>
      <c r="F36" s="393">
        <f t="shared" si="2"/>
        <v>44001.904051015095</v>
      </c>
      <c r="G36" s="393">
        <f t="shared" si="2"/>
        <v>44001.916666666664</v>
      </c>
      <c r="H36" s="393">
        <f t="shared" si="2"/>
        <v>44001.895833333328</v>
      </c>
      <c r="I36" s="393">
        <f t="shared" si="2"/>
        <v>44001.872937093467</v>
      </c>
      <c r="J36" s="393">
        <f t="shared" si="2"/>
        <v>44001.831852753916</v>
      </c>
      <c r="K36" s="393">
        <f t="shared" si="2"/>
        <v>44001.845768245053</v>
      </c>
      <c r="L36" s="393">
        <f t="shared" si="2"/>
        <v>44001.83941241807</v>
      </c>
      <c r="M36" s="393">
        <f t="shared" si="2"/>
        <v>44001.820504726958</v>
      </c>
      <c r="N36" s="393">
        <f t="shared" si="2"/>
        <v>44001.811202963574</v>
      </c>
      <c r="O36" s="393">
        <f t="shared" si="2"/>
        <v>44001.769794257889</v>
      </c>
      <c r="P36" s="393">
        <f t="shared" si="2"/>
        <v>44001.75381971195</v>
      </c>
    </row>
    <row r="37" spans="1:16" x14ac:dyDescent="0.25">
      <c r="A37">
        <v>3575</v>
      </c>
      <c r="B37" t="s">
        <v>514</v>
      </c>
      <c r="C37" s="393">
        <f t="shared" si="3"/>
        <v>44001.471841847422</v>
      </c>
      <c r="D37" s="393">
        <f t="shared" si="2"/>
        <v>44001.452120389971</v>
      </c>
      <c r="E37" s="393">
        <f t="shared" si="2"/>
        <v>44001.4375</v>
      </c>
      <c r="F37" s="393">
        <f t="shared" si="2"/>
        <v>44001.392494673317</v>
      </c>
      <c r="G37" s="393">
        <f t="shared" si="2"/>
        <v>44001.326647509857</v>
      </c>
      <c r="H37" s="393">
        <f t="shared" si="2"/>
        <v>44001.320358820798</v>
      </c>
      <c r="I37" s="393">
        <f t="shared" si="2"/>
        <v>44001.293879824858</v>
      </c>
      <c r="J37" s="393">
        <f t="shared" si="2"/>
        <v>44001.214835986335</v>
      </c>
      <c r="K37" s="393">
        <f t="shared" si="2"/>
        <v>44001.234684650612</v>
      </c>
      <c r="L37" s="393">
        <f t="shared" si="2"/>
        <v>44001.247622922245</v>
      </c>
      <c r="M37" s="393">
        <f t="shared" si="2"/>
        <v>44001.240243839544</v>
      </c>
      <c r="N37" s="393">
        <f t="shared" si="2"/>
        <v>44001.220821886534</v>
      </c>
      <c r="O37" s="393">
        <f t="shared" si="2"/>
        <v>44001.289146034927</v>
      </c>
      <c r="P37" s="393">
        <f t="shared" si="2"/>
        <v>44001.389542845907</v>
      </c>
    </row>
    <row r="38" spans="1:16" x14ac:dyDescent="0.25">
      <c r="A38">
        <v>3546</v>
      </c>
      <c r="B38" t="s">
        <v>490</v>
      </c>
      <c r="C38" s="393">
        <f t="shared" si="3"/>
        <v>44001.248810494042</v>
      </c>
      <c r="D38" s="393">
        <f t="shared" si="2"/>
        <v>44001.228010150946</v>
      </c>
      <c r="E38" s="393">
        <f t="shared" si="2"/>
        <v>44001.229166666664</v>
      </c>
      <c r="F38" s="393">
        <f t="shared" si="2"/>
        <v>44001.165598992091</v>
      </c>
      <c r="G38" s="393">
        <f t="shared" si="2"/>
        <v>44001.103918685934</v>
      </c>
      <c r="H38" s="393">
        <f t="shared" si="2"/>
        <v>44001.104166666664</v>
      </c>
      <c r="I38" s="393">
        <f t="shared" si="2"/>
        <v>44001.083091118016</v>
      </c>
      <c r="J38" s="393">
        <f t="shared" si="2"/>
        <v>44000.999778393867</v>
      </c>
      <c r="K38" s="393">
        <f t="shared" si="2"/>
        <v>44001.020606910803</v>
      </c>
      <c r="L38" s="393">
        <f t="shared" si="2"/>
        <v>44001.040741197532</v>
      </c>
      <c r="M38" s="393">
        <f t="shared" si="2"/>
        <v>44001.039585643019</v>
      </c>
      <c r="N38" s="393">
        <f t="shared" si="2"/>
        <v>44001.018797452365</v>
      </c>
      <c r="O38" s="393">
        <f t="shared" si="2"/>
        <v>44001.115902110199</v>
      </c>
      <c r="P38" s="393">
        <f t="shared" si="2"/>
        <v>44001.221967423109</v>
      </c>
    </row>
    <row r="39" spans="1:16" x14ac:dyDescent="0.25">
      <c r="A39">
        <v>3399</v>
      </c>
      <c r="B39" t="s">
        <v>510</v>
      </c>
      <c r="C39" s="393">
        <f t="shared" si="3"/>
        <v>44001.69580269773</v>
      </c>
      <c r="D39" s="393">
        <f t="shared" si="2"/>
        <v>44001.683069366591</v>
      </c>
      <c r="E39" s="393">
        <f t="shared" si="2"/>
        <v>44001.649762743727</v>
      </c>
      <c r="F39" s="393">
        <f t="shared" si="2"/>
        <v>44001.640024570916</v>
      </c>
      <c r="G39" s="393">
        <f t="shared" si="2"/>
        <v>44001.578971401825</v>
      </c>
      <c r="H39" s="393">
        <f t="shared" si="2"/>
        <v>44001.565636807471</v>
      </c>
      <c r="I39" s="393">
        <f t="shared" si="2"/>
        <v>44001.536243924464</v>
      </c>
      <c r="J39" s="393">
        <f t="shared" si="2"/>
        <v>44001.470560182672</v>
      </c>
      <c r="K39" s="393">
        <f t="shared" si="2"/>
        <v>44001.48748234495</v>
      </c>
      <c r="L39" s="393">
        <f t="shared" si="2"/>
        <v>44001.491026061922</v>
      </c>
      <c r="M39" s="393">
        <f t="shared" si="2"/>
        <v>44001.477433559216</v>
      </c>
      <c r="N39" s="393">
        <f t="shared" si="2"/>
        <v>44001.461677402149</v>
      </c>
      <c r="O39" s="393">
        <f t="shared" si="2"/>
        <v>44001.48748234495</v>
      </c>
      <c r="P39" s="393">
        <f t="shared" si="2"/>
        <v>44001.559903920883</v>
      </c>
    </row>
    <row r="40" spans="1:16" x14ac:dyDescent="0.25">
      <c r="A40">
        <v>3280</v>
      </c>
      <c r="B40" t="s">
        <v>469</v>
      </c>
      <c r="C40" s="393">
        <f t="shared" si="3"/>
        <v>44001.736210337709</v>
      </c>
      <c r="D40" s="393">
        <f t="shared" si="2"/>
        <v>44001.718125748201</v>
      </c>
      <c r="E40" s="393">
        <f t="shared" si="2"/>
        <v>44001.69580269773</v>
      </c>
      <c r="F40" s="393">
        <f t="shared" si="2"/>
        <v>44001.661842787253</v>
      </c>
      <c r="G40" s="393">
        <f t="shared" si="2"/>
        <v>44001.596150493519</v>
      </c>
      <c r="H40" s="393">
        <f t="shared" si="2"/>
        <v>44001.587743870245</v>
      </c>
      <c r="I40" s="393">
        <f t="shared" si="2"/>
        <v>44001.559903920883</v>
      </c>
      <c r="J40" s="393">
        <f t="shared" si="2"/>
        <v>44001.483963986495</v>
      </c>
      <c r="K40" s="393">
        <f t="shared" si="2"/>
        <v>44001.503180847547</v>
      </c>
      <c r="L40" s="393">
        <f t="shared" si="2"/>
        <v>44001.513319171354</v>
      </c>
      <c r="M40" s="393">
        <f t="shared" si="2"/>
        <v>44001.503636991227</v>
      </c>
      <c r="N40" s="393">
        <f t="shared" si="2"/>
        <v>44001.485280433699</v>
      </c>
      <c r="O40" s="393">
        <f t="shared" si="2"/>
        <v>44001.536243924464</v>
      </c>
      <c r="P40" s="393">
        <f t="shared" si="2"/>
        <v>44001.624387784039</v>
      </c>
    </row>
    <row r="41" spans="1:16" x14ac:dyDescent="0.25">
      <c r="A41">
        <v>3269</v>
      </c>
      <c r="B41" t="s">
        <v>486</v>
      </c>
      <c r="C41" s="393">
        <f t="shared" si="3"/>
        <v>44001.576808168415</v>
      </c>
      <c r="D41" s="393">
        <f t="shared" si="2"/>
        <v>44001.557323818095</v>
      </c>
      <c r="E41" s="393">
        <f t="shared" si="2"/>
        <v>44001.5411709158</v>
      </c>
      <c r="F41" s="393">
        <f t="shared" si="2"/>
        <v>44001.498191817474</v>
      </c>
      <c r="G41" s="393">
        <f t="shared" si="2"/>
        <v>44001.432316468818</v>
      </c>
      <c r="H41" s="393">
        <f t="shared" si="2"/>
        <v>44001.425611239349</v>
      </c>
      <c r="I41" s="393">
        <f t="shared" si="2"/>
        <v>44001.398817155117</v>
      </c>
      <c r="J41" s="393">
        <f t="shared" si="2"/>
        <v>44001.320358820798</v>
      </c>
      <c r="K41" s="393">
        <f t="shared" si="2"/>
        <v>44001.34008909791</v>
      </c>
      <c r="L41" s="393">
        <f t="shared" si="2"/>
        <v>44001.352432960142</v>
      </c>
      <c r="M41" s="393">
        <f t="shared" si="2"/>
        <v>44001.344518907841</v>
      </c>
      <c r="N41" s="393">
        <f t="shared" si="2"/>
        <v>44001.325318548894</v>
      </c>
      <c r="O41" s="393">
        <f t="shared" si="2"/>
        <v>44001.389542845907</v>
      </c>
      <c r="P41" s="393">
        <f t="shared" si="2"/>
        <v>44001.48748234495</v>
      </c>
    </row>
    <row r="42" spans="1:16" x14ac:dyDescent="0.25">
      <c r="A42">
        <v>3236</v>
      </c>
      <c r="B42" t="s">
        <v>467</v>
      </c>
      <c r="C42" s="393">
        <f t="shared" si="3"/>
        <v>44001.699658169477</v>
      </c>
      <c r="D42" s="393">
        <f t="shared" si="3"/>
        <v>44001.680878727842</v>
      </c>
      <c r="E42" s="393">
        <f t="shared" si="3"/>
        <v>44001.661159634947</v>
      </c>
      <c r="F42" s="393">
        <f t="shared" si="3"/>
        <v>44001.62316651061</v>
      </c>
      <c r="G42" s="393">
        <f t="shared" si="3"/>
        <v>44001.557323818095</v>
      </c>
      <c r="H42" s="393">
        <f t="shared" si="3"/>
        <v>44001.549676497329</v>
      </c>
      <c r="I42" s="393">
        <f t="shared" si="3"/>
        <v>44001.522255995842</v>
      </c>
      <c r="J42" s="393">
        <f t="shared" si="3"/>
        <v>44001.445166432582</v>
      </c>
      <c r="K42" s="393">
        <f t="shared" si="3"/>
        <v>44001.464621290193</v>
      </c>
      <c r="L42" s="393">
        <f t="shared" si="3"/>
        <v>44001.475706417761</v>
      </c>
      <c r="M42" s="393">
        <f t="shared" si="3"/>
        <v>44001.466734421818</v>
      </c>
      <c r="N42" s="393">
        <f t="shared" si="3"/>
        <v>44001.448018800664</v>
      </c>
      <c r="O42" s="393">
        <f t="shared" si="3"/>
        <v>44001.504093572876</v>
      </c>
      <c r="P42" s="393">
        <f t="shared" si="3"/>
        <v>44001.596150493519</v>
      </c>
    </row>
    <row r="43" spans="1:16" x14ac:dyDescent="0.25">
      <c r="A43">
        <v>3150</v>
      </c>
      <c r="B43" t="s">
        <v>513</v>
      </c>
      <c r="C43" s="393">
        <f t="shared" si="3"/>
        <v>44001.787092823804</v>
      </c>
      <c r="D43" s="393">
        <f t="shared" si="3"/>
        <v>44001.772927188817</v>
      </c>
      <c r="E43" s="393">
        <f t="shared" si="3"/>
        <v>44001.741630119766</v>
      </c>
      <c r="F43" s="393">
        <f t="shared" si="3"/>
        <v>44001.724863424672</v>
      </c>
      <c r="G43" s="393">
        <f t="shared" si="3"/>
        <v>44001.661159634947</v>
      </c>
      <c r="H43" s="393">
        <f t="shared" si="3"/>
        <v>44001.649762743727</v>
      </c>
      <c r="I43" s="393">
        <f t="shared" si="3"/>
        <v>44001.620736447207</v>
      </c>
      <c r="J43" s="393">
        <f t="shared" si="3"/>
        <v>44001.550182077459</v>
      </c>
      <c r="K43" s="393">
        <f t="shared" si="3"/>
        <v>44001.568269105759</v>
      </c>
      <c r="L43" s="393">
        <f t="shared" si="3"/>
        <v>44001.574656503355</v>
      </c>
      <c r="M43" s="393">
        <f t="shared" si="3"/>
        <v>44001.5625</v>
      </c>
      <c r="N43" s="393">
        <f t="shared" si="3"/>
        <v>44001.545653082358</v>
      </c>
      <c r="O43" s="393">
        <f t="shared" si="3"/>
        <v>44001.578971401825</v>
      </c>
      <c r="P43" s="393">
        <f t="shared" si="3"/>
        <v>44001.653073419948</v>
      </c>
    </row>
    <row r="44" spans="1:16" x14ac:dyDescent="0.25">
      <c r="A44">
        <v>3003</v>
      </c>
      <c r="B44" t="s">
        <v>451</v>
      </c>
      <c r="C44" s="393">
        <f t="shared" si="3"/>
        <v>44001.872937093467</v>
      </c>
      <c r="D44" s="393">
        <f t="shared" si="3"/>
        <v>44001.893268632797</v>
      </c>
      <c r="E44" s="393">
        <f t="shared" si="3"/>
        <v>44001.875</v>
      </c>
      <c r="F44" s="393">
        <f t="shared" si="3"/>
        <v>44001.949703884115</v>
      </c>
      <c r="G44" s="393">
        <f t="shared" si="3"/>
        <v>44001.920241101565</v>
      </c>
      <c r="H44" s="393">
        <f t="shared" si="3"/>
        <v>44001.904051015095</v>
      </c>
      <c r="I44" s="393">
        <f t="shared" si="3"/>
        <v>44001.875</v>
      </c>
      <c r="J44" s="393">
        <f t="shared" si="3"/>
        <v>44001.811202963574</v>
      </c>
      <c r="K44" s="393">
        <f t="shared" si="3"/>
        <v>44001.828935363519</v>
      </c>
      <c r="L44" s="393">
        <f t="shared" si="3"/>
        <v>44001.831852753916</v>
      </c>
      <c r="M44" s="393">
        <f t="shared" si="3"/>
        <v>44001.816453131752</v>
      </c>
      <c r="N44" s="393">
        <f t="shared" si="3"/>
        <v>44001.802389971366</v>
      </c>
      <c r="O44" s="393">
        <f t="shared" si="3"/>
        <v>44001.790512809617</v>
      </c>
      <c r="P44" s="393">
        <f t="shared" si="3"/>
        <v>44001.792827668542</v>
      </c>
    </row>
    <row r="45" spans="1:16" x14ac:dyDescent="0.25">
      <c r="A45">
        <v>2974</v>
      </c>
      <c r="B45" t="s">
        <v>496</v>
      </c>
      <c r="C45" s="393">
        <f t="shared" si="3"/>
        <v>44001.520833333328</v>
      </c>
      <c r="D45" s="393">
        <f t="shared" si="3"/>
        <v>44001.5</v>
      </c>
      <c r="E45" s="393">
        <f t="shared" si="3"/>
        <v>44001.498191817474</v>
      </c>
      <c r="F45" s="393">
        <f t="shared" si="3"/>
        <v>44001.4375</v>
      </c>
      <c r="G45" s="393">
        <f t="shared" si="3"/>
        <v>44001.374640911308</v>
      </c>
      <c r="H45" s="393">
        <f t="shared" si="3"/>
        <v>44001.37356492276</v>
      </c>
      <c r="I45" s="393">
        <f t="shared" si="3"/>
        <v>44001.351049440345</v>
      </c>
      <c r="J45" s="393">
        <f t="shared" si="3"/>
        <v>44001.268081326416</v>
      </c>
      <c r="K45" s="393">
        <f t="shared" si="3"/>
        <v>44001.288831603088</v>
      </c>
      <c r="L45" s="393">
        <f t="shared" si="3"/>
        <v>44001.307311854303</v>
      </c>
      <c r="M45" s="393">
        <f t="shared" si="3"/>
        <v>44001.304411052472</v>
      </c>
      <c r="N45" s="393">
        <f t="shared" si="3"/>
        <v>44001.283820030483</v>
      </c>
      <c r="O45" s="393">
        <f t="shared" si="3"/>
        <v>44001.372490842557</v>
      </c>
      <c r="P45" s="393">
        <f t="shared" si="3"/>
        <v>44001.478299363327</v>
      </c>
    </row>
    <row r="46" spans="1:16" x14ac:dyDescent="0.25">
      <c r="A46">
        <v>2961</v>
      </c>
      <c r="B46" t="s">
        <v>489</v>
      </c>
      <c r="C46" s="393">
        <f t="shared" si="3"/>
        <v>44001.625</v>
      </c>
      <c r="D46" s="393">
        <f t="shared" si="3"/>
        <v>44001.606488670412</v>
      </c>
      <c r="E46" s="393">
        <f t="shared" si="3"/>
        <v>44001.586084119495</v>
      </c>
      <c r="F46" s="393">
        <f t="shared" si="3"/>
        <v>44001.549676497329</v>
      </c>
      <c r="G46" s="393">
        <f t="shared" si="3"/>
        <v>44001.483963986495</v>
      </c>
      <c r="H46" s="393">
        <f t="shared" si="3"/>
        <v>44001.475706417761</v>
      </c>
      <c r="I46" s="393">
        <f t="shared" si="3"/>
        <v>44001.448018800664</v>
      </c>
      <c r="J46" s="393">
        <f t="shared" si="3"/>
        <v>44001.371775844287</v>
      </c>
      <c r="K46" s="393">
        <f t="shared" si="3"/>
        <v>44001.391016907772</v>
      </c>
      <c r="L46" s="393">
        <f t="shared" si="3"/>
        <v>44001.401440640671</v>
      </c>
      <c r="M46" s="393">
        <f t="shared" si="3"/>
        <v>44001.392124883183</v>
      </c>
      <c r="N46" s="393">
        <f t="shared" si="3"/>
        <v>44001.37356492276</v>
      </c>
      <c r="O46" s="393">
        <f t="shared" si="3"/>
        <v>44001.429150884062</v>
      </c>
      <c r="P46" s="393">
        <f t="shared" si="3"/>
        <v>44001.522255995842</v>
      </c>
    </row>
    <row r="47" spans="1:16" x14ac:dyDescent="0.25">
      <c r="A47">
        <v>2904</v>
      </c>
      <c r="B47" t="s">
        <v>502</v>
      </c>
      <c r="C47" s="393">
        <f t="shared" si="3"/>
        <v>44001.624387784039</v>
      </c>
      <c r="D47" s="393">
        <f t="shared" si="3"/>
        <v>44001.603588408805</v>
      </c>
      <c r="E47" s="393">
        <f t="shared" si="3"/>
        <v>44001.59899400852</v>
      </c>
      <c r="F47" s="393">
        <f t="shared" si="3"/>
        <v>44001.5411709158</v>
      </c>
      <c r="G47" s="393">
        <f t="shared" si="3"/>
        <v>44001.477433559216</v>
      </c>
      <c r="H47" s="393">
        <f t="shared" si="3"/>
        <v>44001.475275557394</v>
      </c>
      <c r="I47" s="393">
        <f t="shared" si="3"/>
        <v>44001.451708795779</v>
      </c>
      <c r="J47" s="393">
        <f t="shared" si="3"/>
        <v>44001.369279951316</v>
      </c>
      <c r="K47" s="393">
        <f t="shared" si="3"/>
        <v>44001.389911015678</v>
      </c>
      <c r="L47" s="393">
        <f t="shared" si="3"/>
        <v>44001.407102907593</v>
      </c>
      <c r="M47" s="393">
        <f t="shared" si="3"/>
        <v>44001.402945138085</v>
      </c>
      <c r="N47" s="393">
        <f t="shared" si="3"/>
        <v>44001.382590789028</v>
      </c>
      <c r="O47" s="393">
        <f t="shared" si="3"/>
        <v>44001.464621290193</v>
      </c>
      <c r="P47" s="393">
        <f t="shared" si="3"/>
        <v>44001.568797591586</v>
      </c>
    </row>
    <row r="48" spans="1:16" x14ac:dyDescent="0.25">
      <c r="A48">
        <v>2901</v>
      </c>
      <c r="B48" t="s">
        <v>468</v>
      </c>
      <c r="C48" s="393">
        <f t="shared" si="3"/>
        <v>44001.916666666664</v>
      </c>
      <c r="D48" s="393">
        <f t="shared" si="3"/>
        <v>44001.895833333328</v>
      </c>
      <c r="E48" s="393">
        <f t="shared" si="3"/>
        <v>44001.885997167599</v>
      </c>
      <c r="F48" s="393">
        <f t="shared" si="3"/>
        <v>44001.833333333328</v>
      </c>
      <c r="G48" s="393">
        <f t="shared" si="3"/>
        <v>44001.769794257889</v>
      </c>
      <c r="H48" s="393">
        <f t="shared" si="3"/>
        <v>44001.766707520263</v>
      </c>
      <c r="I48" s="393">
        <f t="shared" si="3"/>
        <v>44001.741630119766</v>
      </c>
      <c r="J48" s="393">
        <f t="shared" si="3"/>
        <v>44001.660477947065</v>
      </c>
      <c r="K48" s="393">
        <f t="shared" si="3"/>
        <v>44001.680878727842</v>
      </c>
      <c r="L48" s="393">
        <f t="shared" si="3"/>
        <v>44001.69580269773</v>
      </c>
      <c r="M48" s="393">
        <f t="shared" si="3"/>
        <v>44001.688991910887</v>
      </c>
      <c r="N48" s="393">
        <f t="shared" si="3"/>
        <v>44001.669456901094</v>
      </c>
      <c r="O48" s="393">
        <f t="shared" si="3"/>
        <v>44001.72830011294</v>
      </c>
      <c r="P48" s="393">
        <f t="shared" si="3"/>
        <v>44001.811202963574</v>
      </c>
    </row>
    <row r="49" spans="1:16" x14ac:dyDescent="0.25">
      <c r="A49">
        <v>2852</v>
      </c>
      <c r="B49" t="s">
        <v>463</v>
      </c>
      <c r="C49" s="393">
        <f t="shared" si="3"/>
        <v>44001.816453131752</v>
      </c>
      <c r="D49" s="393">
        <f t="shared" si="3"/>
        <v>44001.799951556932</v>
      </c>
      <c r="E49" s="393">
        <f t="shared" si="3"/>
        <v>44001.772927188817</v>
      </c>
      <c r="F49" s="393">
        <f t="shared" si="3"/>
        <v>44001.746242919005</v>
      </c>
      <c r="G49" s="393">
        <f t="shared" si="3"/>
        <v>44001.680878727842</v>
      </c>
      <c r="H49" s="393">
        <f t="shared" si="3"/>
        <v>44001.67156618624</v>
      </c>
      <c r="I49" s="393">
        <f t="shared" si="3"/>
        <v>44001.643239260484</v>
      </c>
      <c r="J49" s="393">
        <f t="shared" si="3"/>
        <v>44001.568797591586</v>
      </c>
      <c r="K49" s="393">
        <f t="shared" si="3"/>
        <v>44001.587743870245</v>
      </c>
      <c r="L49" s="393">
        <f t="shared" si="3"/>
        <v>44001.596717505192</v>
      </c>
      <c r="M49" s="393">
        <f t="shared" si="3"/>
        <v>44001.586084119495</v>
      </c>
      <c r="N49" s="393">
        <f t="shared" si="3"/>
        <v>44001.568269105759</v>
      </c>
      <c r="O49" s="393">
        <f t="shared" si="3"/>
        <v>44001.610587374729</v>
      </c>
      <c r="P49" s="393">
        <f t="shared" si="3"/>
        <v>44001.689740750218</v>
      </c>
    </row>
    <row r="50" spans="1:16" x14ac:dyDescent="0.25">
      <c r="A50">
        <v>2790</v>
      </c>
      <c r="B50" t="s">
        <v>480</v>
      </c>
      <c r="C50" s="393">
        <f t="shared" si="3"/>
        <v>44001.773982129125</v>
      </c>
      <c r="D50" s="393">
        <f t="shared" si="3"/>
        <v>44001.754784799698</v>
      </c>
      <c r="E50" s="393">
        <f t="shared" si="3"/>
        <v>44001.736210337709</v>
      </c>
      <c r="F50" s="393">
        <f t="shared" si="3"/>
        <v>44001.69580269773</v>
      </c>
      <c r="G50" s="393">
        <f t="shared" si="3"/>
        <v>44001.629936362202</v>
      </c>
      <c r="H50" s="393">
        <f t="shared" si="3"/>
        <v>44001.62316651061</v>
      </c>
      <c r="I50" s="393">
        <f t="shared" si="3"/>
        <v>44001.596150493519</v>
      </c>
      <c r="J50" s="393">
        <f t="shared" si="3"/>
        <v>44001.518001174554</v>
      </c>
      <c r="K50" s="393">
        <f t="shared" si="3"/>
        <v>44001.537716247905</v>
      </c>
      <c r="L50" s="393">
        <f t="shared" si="3"/>
        <v>44001.549676497329</v>
      </c>
      <c r="M50" s="393">
        <f t="shared" si="3"/>
        <v>44001.5411709158</v>
      </c>
      <c r="N50" s="393">
        <f t="shared" si="3"/>
        <v>44001.522255995842</v>
      </c>
      <c r="O50" s="393">
        <f t="shared" si="3"/>
        <v>44001.578971401825</v>
      </c>
      <c r="P50" s="393">
        <f t="shared" si="3"/>
        <v>44001.669456901094</v>
      </c>
    </row>
    <row r="51" spans="1:16" x14ac:dyDescent="0.25">
      <c r="A51">
        <v>2420</v>
      </c>
      <c r="B51" t="s">
        <v>449</v>
      </c>
      <c r="C51" s="393">
        <f t="shared" si="3"/>
        <v>44001.521781283329</v>
      </c>
      <c r="D51" s="393">
        <f t="shared" si="3"/>
        <v>44001.510995728037</v>
      </c>
      <c r="E51" s="393">
        <f t="shared" si="3"/>
        <v>44001.475275557394</v>
      </c>
      <c r="F51" s="393">
        <f t="shared" si="3"/>
        <v>44001.474845065124</v>
      </c>
      <c r="G51" s="393">
        <f t="shared" si="3"/>
        <v>44001.41859899804</v>
      </c>
      <c r="H51" s="393">
        <f t="shared" si="3"/>
        <v>44001.402945138085</v>
      </c>
      <c r="I51" s="393">
        <f t="shared" si="3"/>
        <v>44001.37356492276</v>
      </c>
      <c r="J51" s="393">
        <f t="shared" si="3"/>
        <v>44001.316090397377</v>
      </c>
      <c r="K51" s="393">
        <f t="shared" si="3"/>
        <v>44001.330985450579</v>
      </c>
      <c r="L51" s="393">
        <f t="shared" si="3"/>
        <v>44001.330316187399</v>
      </c>
      <c r="M51" s="393">
        <f t="shared" si="3"/>
        <v>44001.314782553367</v>
      </c>
      <c r="N51" s="393">
        <f t="shared" si="3"/>
        <v>44001.30088247516</v>
      </c>
      <c r="O51" s="393">
        <f t="shared" si="3"/>
        <v>44001.314455994434</v>
      </c>
      <c r="P51" s="393">
        <f t="shared" si="3"/>
        <v>44001.382590789028</v>
      </c>
    </row>
    <row r="52" spans="1:16" x14ac:dyDescent="0.25">
      <c r="A52">
        <v>2357</v>
      </c>
      <c r="B52" t="s">
        <v>454</v>
      </c>
      <c r="C52" s="393">
        <f t="shared" si="3"/>
        <v>44001.251489616807</v>
      </c>
      <c r="D52" s="393">
        <f t="shared" si="3"/>
        <v>44001.231194872038</v>
      </c>
      <c r="E52" s="393">
        <f t="shared" si="3"/>
        <v>44001.220821886534</v>
      </c>
      <c r="F52" s="393">
        <f t="shared" si="3"/>
        <v>44001.170146340039</v>
      </c>
      <c r="G52" s="393">
        <f t="shared" si="3"/>
        <v>44001.10466283909</v>
      </c>
      <c r="H52" s="393">
        <f t="shared" si="3"/>
        <v>44001.099960506413</v>
      </c>
      <c r="I52" s="393">
        <f t="shared" si="3"/>
        <v>44001.07465444391</v>
      </c>
      <c r="J52" s="393">
        <f t="shared" si="3"/>
        <v>44000.993813867462</v>
      </c>
      <c r="K52" s="393">
        <f t="shared" si="3"/>
        <v>44001.014063764836</v>
      </c>
      <c r="L52" s="393">
        <f t="shared" si="3"/>
        <v>44001.02902047908</v>
      </c>
      <c r="M52" s="393">
        <f t="shared" si="3"/>
        <v>44001.023327521085</v>
      </c>
      <c r="N52" s="393">
        <f t="shared" si="3"/>
        <v>44001.003330130945</v>
      </c>
      <c r="O52" s="393">
        <f t="shared" si="3"/>
        <v>44001.081639198812</v>
      </c>
      <c r="P52" s="393">
        <f t="shared" si="3"/>
        <v>44001.185856968135</v>
      </c>
    </row>
    <row r="53" spans="1:16" x14ac:dyDescent="0.25">
      <c r="A53">
        <v>2329</v>
      </c>
      <c r="B53" t="s">
        <v>484</v>
      </c>
      <c r="C53" s="393">
        <f t="shared" si="3"/>
        <v>44001.478732827105</v>
      </c>
      <c r="D53" s="393">
        <f t="shared" si="3"/>
        <v>44001.457916833198</v>
      </c>
      <c r="E53" s="393">
        <f t="shared" si="3"/>
        <v>44001.454596737</v>
      </c>
      <c r="F53" s="393">
        <f t="shared" si="3"/>
        <v>44001.395461428074</v>
      </c>
      <c r="G53" s="393">
        <f t="shared" si="3"/>
        <v>44001.331990643041</v>
      </c>
      <c r="H53" s="393">
        <f t="shared" si="3"/>
        <v>44001.330316187399</v>
      </c>
      <c r="I53" s="393">
        <f t="shared" si="3"/>
        <v>44001.307311854303</v>
      </c>
      <c r="J53" s="393">
        <f t="shared" si="3"/>
        <v>44001.224551238483</v>
      </c>
      <c r="K53" s="393">
        <f t="shared" si="3"/>
        <v>44001.245253543588</v>
      </c>
      <c r="L53" s="393">
        <f t="shared" si="3"/>
        <v>44001.263214988438</v>
      </c>
      <c r="M53" s="393">
        <f t="shared" si="3"/>
        <v>44001.259888479093</v>
      </c>
      <c r="N53" s="393">
        <f t="shared" si="3"/>
        <v>44001.239363295637</v>
      </c>
      <c r="O53" s="393">
        <f t="shared" si="3"/>
        <v>44001.326647509857</v>
      </c>
      <c r="P53" s="393">
        <f t="shared" si="3"/>
        <v>44001.432316468818</v>
      </c>
    </row>
    <row r="54" spans="1:16" x14ac:dyDescent="0.25">
      <c r="A54">
        <v>2298</v>
      </c>
      <c r="B54" t="s">
        <v>429</v>
      </c>
      <c r="C54" s="393">
        <f t="shared" si="3"/>
        <v>44001.645833333328</v>
      </c>
      <c r="D54" s="393">
        <f t="shared" si="3"/>
        <v>44001.645182926208</v>
      </c>
      <c r="E54" s="393">
        <f t="shared" si="3"/>
        <v>44001.603588408805</v>
      </c>
      <c r="F54" s="393">
        <f t="shared" si="3"/>
        <v>44001.635574531196</v>
      </c>
      <c r="G54" s="393">
        <f t="shared" si="3"/>
        <v>44001.596150493519</v>
      </c>
      <c r="H54" s="393">
        <f t="shared" si="3"/>
        <v>44001.576808168415</v>
      </c>
      <c r="I54" s="393">
        <f t="shared" si="3"/>
        <v>44001.549676497329</v>
      </c>
      <c r="J54" s="393">
        <f t="shared" si="3"/>
        <v>44001.510995728037</v>
      </c>
      <c r="K54" s="393">
        <f t="shared" si="3"/>
        <v>44001.521781283329</v>
      </c>
      <c r="L54" s="393">
        <f t="shared" si="3"/>
        <v>44001.513319171354</v>
      </c>
      <c r="M54" s="393">
        <f t="shared" si="3"/>
        <v>44001.494595693766</v>
      </c>
      <c r="N54" s="393">
        <f t="shared" si="3"/>
        <v>44001.485280433699</v>
      </c>
      <c r="O54" s="393">
        <f t="shared" si="3"/>
        <v>44001.463778463461</v>
      </c>
      <c r="P54" s="393">
        <f t="shared" si="3"/>
        <v>44001.499547315281</v>
      </c>
    </row>
    <row r="55" spans="1:16" x14ac:dyDescent="0.25">
      <c r="A55">
        <v>2287</v>
      </c>
      <c r="B55" t="s">
        <v>507</v>
      </c>
      <c r="C55" s="393">
        <f t="shared" si="3"/>
        <v>44001.736210337709</v>
      </c>
      <c r="D55" s="393">
        <f t="shared" si="3"/>
        <v>44001.724863424672</v>
      </c>
      <c r="E55" s="393">
        <f t="shared" si="3"/>
        <v>44001.689740750218</v>
      </c>
      <c r="F55" s="393">
        <f t="shared" si="3"/>
        <v>44001.684538841168</v>
      </c>
      <c r="G55" s="393">
        <f t="shared" si="3"/>
        <v>44001.624387784039</v>
      </c>
      <c r="H55" s="393">
        <f t="shared" si="3"/>
        <v>44001.610587374729</v>
      </c>
      <c r="I55" s="393">
        <f t="shared" si="3"/>
        <v>44001.581146392193</v>
      </c>
      <c r="J55" s="393">
        <f t="shared" si="3"/>
        <v>44001.516591597683</v>
      </c>
      <c r="K55" s="393">
        <f t="shared" si="3"/>
        <v>44001.53331386335</v>
      </c>
      <c r="L55" s="393">
        <f t="shared" si="3"/>
        <v>44001.536243924464</v>
      </c>
      <c r="M55" s="393">
        <f t="shared" si="3"/>
        <v>44001.522255995842</v>
      </c>
      <c r="N55" s="393">
        <f t="shared" si="3"/>
        <v>44001.506842331299</v>
      </c>
      <c r="O55" s="393">
        <f t="shared" si="3"/>
        <v>44001.528472757229</v>
      </c>
      <c r="P55" s="393">
        <f t="shared" si="3"/>
        <v>44001.596150493519</v>
      </c>
    </row>
    <row r="56" spans="1:16" x14ac:dyDescent="0.25">
      <c r="A56">
        <v>2225</v>
      </c>
      <c r="B56" t="s">
        <v>477</v>
      </c>
      <c r="C56" s="393">
        <f t="shared" si="3"/>
        <v>44001.655746360491</v>
      </c>
      <c r="D56" s="393">
        <f t="shared" si="3"/>
        <v>44001.635574531196</v>
      </c>
      <c r="E56" s="393">
        <f t="shared" si="3"/>
        <v>44001.62316651061</v>
      </c>
      <c r="F56" s="393">
        <f t="shared" si="3"/>
        <v>44001.574656503355</v>
      </c>
      <c r="G56" s="393">
        <f t="shared" si="3"/>
        <v>44001.509145242802</v>
      </c>
      <c r="H56" s="393">
        <f t="shared" si="3"/>
        <v>44001.504093572876</v>
      </c>
      <c r="I56" s="393">
        <f t="shared" si="3"/>
        <v>44001.478299363327</v>
      </c>
      <c r="J56" s="393">
        <f t="shared" si="3"/>
        <v>44001.398069763287</v>
      </c>
      <c r="K56" s="393">
        <f t="shared" si="3"/>
        <v>44001.418211999255</v>
      </c>
      <c r="L56" s="393">
        <f t="shared" si="3"/>
        <v>44001.432316468818</v>
      </c>
      <c r="M56" s="393">
        <f t="shared" si="3"/>
        <v>44001.425611239349</v>
      </c>
      <c r="N56" s="393">
        <f t="shared" si="3"/>
        <v>44001.405965979488</v>
      </c>
      <c r="O56" s="393">
        <f t="shared" si="3"/>
        <v>44001.475275557394</v>
      </c>
      <c r="P56" s="393">
        <f t="shared" si="3"/>
        <v>44001.574656503355</v>
      </c>
    </row>
    <row r="57" spans="1:16" x14ac:dyDescent="0.25">
      <c r="A57">
        <v>2157</v>
      </c>
      <c r="B57" t="s">
        <v>444</v>
      </c>
      <c r="C57" s="393">
        <f t="shared" si="3"/>
        <v>44001.757705295568</v>
      </c>
      <c r="D57" s="393">
        <f t="shared" si="3"/>
        <v>44001.772927188817</v>
      </c>
      <c r="E57" s="393">
        <f t="shared" si="3"/>
        <v>44001.799951556932</v>
      </c>
      <c r="F57" s="393">
        <f t="shared" si="3"/>
        <v>44001.811202963574</v>
      </c>
      <c r="G57" s="393">
        <f t="shared" si="3"/>
        <v>44001.852442447285</v>
      </c>
      <c r="H57" s="393">
        <f t="shared" si="3"/>
        <v>44001.872937093467</v>
      </c>
      <c r="I57" s="393">
        <f t="shared" si="3"/>
        <v>44001.895833333328</v>
      </c>
      <c r="J57" s="393">
        <f t="shared" si="3"/>
        <v>44001.861315536466</v>
      </c>
      <c r="K57" s="393">
        <f t="shared" si="3"/>
        <v>44001.875</v>
      </c>
      <c r="L57" s="393">
        <f t="shared" si="3"/>
        <v>44001.904051015095</v>
      </c>
      <c r="M57" s="393">
        <f t="shared" si="3"/>
        <v>44001.920241101565</v>
      </c>
      <c r="N57" s="393">
        <f t="shared" si="3"/>
        <v>44001.904051015095</v>
      </c>
      <c r="O57" s="393">
        <f t="shared" si="3"/>
        <v>44001.932581917135</v>
      </c>
      <c r="P57" s="393">
        <f t="shared" si="3"/>
        <v>44001.833333333328</v>
      </c>
    </row>
    <row r="58" spans="1:16" x14ac:dyDescent="0.25">
      <c r="A58">
        <v>2037</v>
      </c>
      <c r="B58" t="s">
        <v>503</v>
      </c>
      <c r="C58" s="393">
        <f t="shared" si="3"/>
        <v>44001.557323818095</v>
      </c>
      <c r="D58" s="393">
        <f t="shared" si="3"/>
        <v>44001.537716247905</v>
      </c>
      <c r="E58" s="393">
        <f t="shared" si="3"/>
        <v>44001.522255995842</v>
      </c>
      <c r="F58" s="393">
        <f t="shared" si="3"/>
        <v>44001.478299363327</v>
      </c>
      <c r="G58" s="393">
        <f t="shared" si="3"/>
        <v>44001.412438728803</v>
      </c>
      <c r="H58" s="393">
        <f t="shared" si="3"/>
        <v>44001.405965979488</v>
      </c>
      <c r="I58" s="393">
        <f t="shared" si="3"/>
        <v>44001.379325831294</v>
      </c>
      <c r="J58" s="393">
        <f t="shared" si="3"/>
        <v>44001.300562605211</v>
      </c>
      <c r="K58" s="393">
        <f t="shared" si="3"/>
        <v>44001.320358820798</v>
      </c>
      <c r="L58" s="393">
        <f t="shared" si="3"/>
        <v>44001.332997399193</v>
      </c>
      <c r="M58" s="393">
        <f t="shared" si="3"/>
        <v>44001.325318548894</v>
      </c>
      <c r="N58" s="393">
        <f t="shared" si="3"/>
        <v>44001.306021065771</v>
      </c>
      <c r="O58" s="393">
        <f t="shared" si="3"/>
        <v>44001.371775844287</v>
      </c>
      <c r="P58" s="393">
        <f t="shared" si="3"/>
        <v>44001.470560182672</v>
      </c>
    </row>
    <row r="59" spans="1:16" x14ac:dyDescent="0.25">
      <c r="A59">
        <v>1965</v>
      </c>
      <c r="B59" t="s">
        <v>455</v>
      </c>
      <c r="C59" s="393">
        <f t="shared" si="3"/>
        <v>44001.346573897885</v>
      </c>
      <c r="D59" s="393">
        <f t="shared" si="3"/>
        <v>44001.326647509857</v>
      </c>
      <c r="E59" s="393">
        <f t="shared" ref="D59:P71" si="4">$D$2-SQRT(((LEFT(E$6,3)-LEFT($B59,3))*(LEFT(E$6,3)-LEFT($B59,3)))+((RIGHT(E$6,3)-RIGHT($B59,3))*(RIGHT(E$6,3)-RIGHT($B59,3))))*$D$1</f>
        <v>44001.313477278803</v>
      </c>
      <c r="F59" s="393">
        <f t="shared" si="4"/>
        <v>44001.266557025978</v>
      </c>
      <c r="G59" s="393">
        <f t="shared" si="4"/>
        <v>44001.200769096155</v>
      </c>
      <c r="H59" s="393">
        <f t="shared" si="4"/>
        <v>44001.194936240638</v>
      </c>
      <c r="I59" s="393">
        <f t="shared" si="4"/>
        <v>44001.168806235881</v>
      </c>
      <c r="J59" s="393">
        <f t="shared" si="4"/>
        <v>44001.089166276528</v>
      </c>
      <c r="K59" s="393">
        <f t="shared" si="4"/>
        <v>44001.109141124252</v>
      </c>
      <c r="L59" s="393">
        <f t="shared" si="4"/>
        <v>44001.122716467034</v>
      </c>
      <c r="M59" s="393">
        <f t="shared" si="4"/>
        <v>44001.115902110199</v>
      </c>
      <c r="N59" s="393">
        <f t="shared" si="4"/>
        <v>44001.096265829146</v>
      </c>
      <c r="O59" s="393">
        <f t="shared" si="4"/>
        <v>44001.168538480902</v>
      </c>
      <c r="P59" s="393">
        <f t="shared" si="4"/>
        <v>44001.270833333328</v>
      </c>
    </row>
    <row r="60" spans="1:16" x14ac:dyDescent="0.25">
      <c r="A60">
        <v>1945</v>
      </c>
      <c r="B60" t="s">
        <v>485</v>
      </c>
      <c r="C60" s="393">
        <f t="shared" ref="C60:C79" si="5">$D$2-SQRT(((LEFT(C$6,3)-LEFT($B60,3))*(LEFT(C$6,3)-LEFT($B60,3)))+((RIGHT(C$6,3)-RIGHT($B60,3))*(RIGHT(C$6,3)-RIGHT($B60,3))))*$D$1</f>
        <v>44001.663901126034</v>
      </c>
      <c r="D60" s="393">
        <f t="shared" si="4"/>
        <v>44001.643239260484</v>
      </c>
      <c r="E60" s="393">
        <f t="shared" si="4"/>
        <v>44001.635574531196</v>
      </c>
      <c r="F60" s="393">
        <f t="shared" si="4"/>
        <v>44001.581146392193</v>
      </c>
      <c r="G60" s="393">
        <f t="shared" si="4"/>
        <v>44001.516591597683</v>
      </c>
      <c r="H60" s="393">
        <f t="shared" si="4"/>
        <v>44001.513319171354</v>
      </c>
      <c r="I60" s="393">
        <f t="shared" si="4"/>
        <v>44001.488808237664</v>
      </c>
      <c r="J60" s="393">
        <f t="shared" si="4"/>
        <v>44001.407102907593</v>
      </c>
      <c r="K60" s="393">
        <f t="shared" si="4"/>
        <v>44001.427574904381</v>
      </c>
      <c r="L60" s="393">
        <f t="shared" si="4"/>
        <v>44001.443543327827</v>
      </c>
      <c r="M60" s="393">
        <f t="shared" si="4"/>
        <v>44001.438301875591</v>
      </c>
      <c r="N60" s="393">
        <f t="shared" si="4"/>
        <v>44001.418211999255</v>
      </c>
      <c r="O60" s="393">
        <f t="shared" si="4"/>
        <v>44001.494595693766</v>
      </c>
      <c r="P60" s="393">
        <f t="shared" si="4"/>
        <v>44001.596717505192</v>
      </c>
    </row>
    <row r="61" spans="1:16" x14ac:dyDescent="0.25">
      <c r="A61">
        <v>1924</v>
      </c>
      <c r="B61" t="s">
        <v>453</v>
      </c>
      <c r="C61" s="393">
        <f t="shared" si="5"/>
        <v>44001.811202963574</v>
      </c>
      <c r="D61" s="393">
        <f t="shared" si="4"/>
        <v>44001.828935363519</v>
      </c>
      <c r="E61" s="393">
        <f t="shared" si="4"/>
        <v>44001.847405097491</v>
      </c>
      <c r="F61" s="393">
        <f t="shared" si="4"/>
        <v>44001.875</v>
      </c>
      <c r="G61" s="393">
        <f t="shared" si="4"/>
        <v>44001.916666666664</v>
      </c>
      <c r="H61" s="393">
        <f t="shared" si="4"/>
        <v>44001.9375</v>
      </c>
      <c r="I61" s="393">
        <f t="shared" si="4"/>
        <v>44001.949703884115</v>
      </c>
      <c r="J61" s="393">
        <f t="shared" si="4"/>
        <v>44001.872937093467</v>
      </c>
      <c r="K61" s="393">
        <f t="shared" si="4"/>
        <v>44001.893268632797</v>
      </c>
      <c r="L61" s="393">
        <f t="shared" si="4"/>
        <v>44001.916666666664</v>
      </c>
      <c r="M61" s="393">
        <f t="shared" si="4"/>
        <v>44001.913285882074</v>
      </c>
      <c r="N61" s="393">
        <f t="shared" si="4"/>
        <v>44001.893268632797</v>
      </c>
      <c r="O61" s="393">
        <f t="shared" si="4"/>
        <v>44001.893268632797</v>
      </c>
      <c r="P61" s="393">
        <f t="shared" si="4"/>
        <v>44001.83941241807</v>
      </c>
    </row>
    <row r="62" spans="1:16" x14ac:dyDescent="0.25">
      <c r="A62">
        <v>1883</v>
      </c>
      <c r="B62" t="s">
        <v>466</v>
      </c>
      <c r="C62" s="393">
        <f t="shared" si="5"/>
        <v>44001.847405097491</v>
      </c>
      <c r="D62" s="393">
        <f t="shared" si="4"/>
        <v>44001.827497710641</v>
      </c>
      <c r="E62" s="393">
        <f t="shared" si="4"/>
        <v>44001.811202963574</v>
      </c>
      <c r="F62" s="393">
        <f t="shared" si="4"/>
        <v>44001.766707520263</v>
      </c>
      <c r="G62" s="393">
        <f t="shared" si="4"/>
        <v>44001.701215331996</v>
      </c>
      <c r="H62" s="393">
        <f t="shared" si="4"/>
        <v>44001.69580269773</v>
      </c>
      <c r="I62" s="393">
        <f t="shared" si="4"/>
        <v>44001.669456901094</v>
      </c>
      <c r="J62" s="393">
        <f t="shared" si="4"/>
        <v>44001.589967881409</v>
      </c>
      <c r="K62" s="393">
        <f t="shared" si="4"/>
        <v>44001.609999059445</v>
      </c>
      <c r="L62" s="393">
        <f t="shared" si="4"/>
        <v>44001.62316651061</v>
      </c>
      <c r="M62" s="393">
        <f t="shared" si="4"/>
        <v>44001.615328141736</v>
      </c>
      <c r="N62" s="393">
        <f t="shared" si="4"/>
        <v>44001.596150493519</v>
      </c>
      <c r="O62" s="393">
        <f t="shared" si="4"/>
        <v>44001.653739596833</v>
      </c>
      <c r="P62" s="393">
        <f t="shared" si="4"/>
        <v>44001.741630119766</v>
      </c>
    </row>
    <row r="63" spans="1:16" x14ac:dyDescent="0.25">
      <c r="A63">
        <v>1840</v>
      </c>
      <c r="B63" t="s">
        <v>461</v>
      </c>
      <c r="C63" s="393">
        <f t="shared" si="5"/>
        <v>44001.811202963574</v>
      </c>
      <c r="D63" s="393">
        <f t="shared" si="4"/>
        <v>44001.792827668542</v>
      </c>
      <c r="E63" s="393">
        <f t="shared" si="4"/>
        <v>44001.770833333328</v>
      </c>
      <c r="F63" s="393">
        <f t="shared" si="4"/>
        <v>44001.73531875186</v>
      </c>
      <c r="G63" s="393">
        <f t="shared" si="4"/>
        <v>44001.669456901094</v>
      </c>
      <c r="H63" s="393">
        <f t="shared" si="4"/>
        <v>44001.661842787253</v>
      </c>
      <c r="I63" s="393">
        <f t="shared" si="4"/>
        <v>44001.634313638388</v>
      </c>
      <c r="J63" s="393">
        <f t="shared" si="4"/>
        <v>44001.557323818095</v>
      </c>
      <c r="K63" s="393">
        <f t="shared" si="4"/>
        <v>44001.576808168415</v>
      </c>
      <c r="L63" s="393">
        <f t="shared" si="4"/>
        <v>44001.587743870245</v>
      </c>
      <c r="M63" s="393">
        <f t="shared" si="4"/>
        <v>44001.57842949871</v>
      </c>
      <c r="N63" s="393">
        <f t="shared" si="4"/>
        <v>44001.559903920883</v>
      </c>
      <c r="O63" s="393">
        <f t="shared" si="4"/>
        <v>44001.610587374729</v>
      </c>
      <c r="P63" s="393">
        <f t="shared" si="4"/>
        <v>44001.69580269773</v>
      </c>
    </row>
    <row r="64" spans="1:16" x14ac:dyDescent="0.25">
      <c r="A64">
        <v>1648</v>
      </c>
      <c r="B64" t="s">
        <v>497</v>
      </c>
      <c r="C64" s="393">
        <f t="shared" si="5"/>
        <v>44001.456669324834</v>
      </c>
      <c r="D64" s="393">
        <f t="shared" si="4"/>
        <v>44001.435899799566</v>
      </c>
      <c r="E64" s="393">
        <f t="shared" si="4"/>
        <v>44001.43112723175</v>
      </c>
      <c r="F64" s="393">
        <f t="shared" si="4"/>
        <v>44001.37356492276</v>
      </c>
      <c r="G64" s="393">
        <f t="shared" si="4"/>
        <v>44001.309576721666</v>
      </c>
      <c r="H64" s="393">
        <f t="shared" si="4"/>
        <v>44001.307311854303</v>
      </c>
      <c r="I64" s="393">
        <f t="shared" si="4"/>
        <v>44001.283820030483</v>
      </c>
      <c r="J64" s="393">
        <f t="shared" si="4"/>
        <v>44001.201326887392</v>
      </c>
      <c r="K64" s="393">
        <f t="shared" si="4"/>
        <v>44001.221967423109</v>
      </c>
      <c r="L64" s="393">
        <f t="shared" si="4"/>
        <v>44001.239363295637</v>
      </c>
      <c r="M64" s="393">
        <f t="shared" si="4"/>
        <v>44001.235559654262</v>
      </c>
      <c r="N64" s="393">
        <f t="shared" si="4"/>
        <v>44001.215119965796</v>
      </c>
      <c r="O64" s="393">
        <f t="shared" si="4"/>
        <v>44001.300562605211</v>
      </c>
      <c r="P64" s="393">
        <f t="shared" si="4"/>
        <v>44001.405965979488</v>
      </c>
    </row>
    <row r="65" spans="1:16" x14ac:dyDescent="0.25">
      <c r="A65">
        <v>1621</v>
      </c>
      <c r="B65" t="s">
        <v>492</v>
      </c>
      <c r="C65" s="393">
        <f t="shared" si="5"/>
        <v>44001.757705295568</v>
      </c>
      <c r="D65" s="393">
        <f t="shared" si="4"/>
        <v>44001.743464406267</v>
      </c>
      <c r="E65" s="393">
        <f t="shared" si="4"/>
        <v>44001.712369823435</v>
      </c>
      <c r="F65" s="393">
        <f t="shared" si="4"/>
        <v>44001.69580269773</v>
      </c>
      <c r="G65" s="393">
        <f t="shared" si="4"/>
        <v>44001.632430896309</v>
      </c>
      <c r="H65" s="393">
        <f t="shared" si="4"/>
        <v>44001.620736447207</v>
      </c>
      <c r="I65" s="393">
        <f t="shared" si="4"/>
        <v>44001.591644265878</v>
      </c>
      <c r="J65" s="393">
        <f t="shared" si="4"/>
        <v>44001.521781283329</v>
      </c>
      <c r="K65" s="393">
        <f t="shared" si="4"/>
        <v>44001.539687018543</v>
      </c>
      <c r="L65" s="393">
        <f t="shared" si="4"/>
        <v>44001.545653082358</v>
      </c>
      <c r="M65" s="393">
        <f t="shared" si="4"/>
        <v>44001.53331386335</v>
      </c>
      <c r="N65" s="393">
        <f t="shared" si="4"/>
        <v>44001.516591597683</v>
      </c>
      <c r="O65" s="393">
        <f t="shared" si="4"/>
        <v>44001.549676497329</v>
      </c>
      <c r="P65" s="393">
        <f t="shared" si="4"/>
        <v>44001.625</v>
      </c>
    </row>
    <row r="66" spans="1:16" x14ac:dyDescent="0.25">
      <c r="A66">
        <v>1529</v>
      </c>
      <c r="B66" t="s">
        <v>482</v>
      </c>
      <c r="C66" s="393">
        <f t="shared" si="5"/>
        <v>44001.83941241807</v>
      </c>
      <c r="D66" s="393">
        <f t="shared" si="4"/>
        <v>44001.828935363519</v>
      </c>
      <c r="E66" s="393">
        <f t="shared" si="4"/>
        <v>44001.792827668542</v>
      </c>
      <c r="F66" s="393">
        <f t="shared" si="4"/>
        <v>44001.787092823804</v>
      </c>
      <c r="G66" s="393">
        <f t="shared" si="4"/>
        <v>44001.724863424672</v>
      </c>
      <c r="H66" s="393">
        <f t="shared" si="4"/>
        <v>44001.712369823435</v>
      </c>
      <c r="I66" s="393">
        <f t="shared" si="4"/>
        <v>44001.683069366591</v>
      </c>
      <c r="J66" s="393">
        <f t="shared" si="4"/>
        <v>44001.614732173235</v>
      </c>
      <c r="K66" s="393">
        <f t="shared" si="4"/>
        <v>44001.632430896309</v>
      </c>
      <c r="L66" s="393">
        <f t="shared" si="4"/>
        <v>44001.637474594441</v>
      </c>
      <c r="M66" s="393">
        <f t="shared" si="4"/>
        <v>44001.624387784039</v>
      </c>
      <c r="N66" s="393">
        <f t="shared" si="4"/>
        <v>44001.608239712194</v>
      </c>
      <c r="O66" s="393">
        <f t="shared" si="4"/>
        <v>44001.632430896309</v>
      </c>
      <c r="P66" s="393">
        <f t="shared" si="4"/>
        <v>44001.69580269773</v>
      </c>
    </row>
    <row r="67" spans="1:16" x14ac:dyDescent="0.25">
      <c r="A67">
        <v>1514</v>
      </c>
      <c r="B67" t="s">
        <v>445</v>
      </c>
      <c r="C67" s="393">
        <f t="shared" si="5"/>
        <v>44001.714001623717</v>
      </c>
      <c r="D67" s="393">
        <f t="shared" si="4"/>
        <v>44001.72830011294</v>
      </c>
      <c r="E67" s="393">
        <f t="shared" si="4"/>
        <v>44001.757705295568</v>
      </c>
      <c r="F67" s="393">
        <f t="shared" si="4"/>
        <v>44001.764674372062</v>
      </c>
      <c r="G67" s="393">
        <f t="shared" si="4"/>
        <v>44001.80737059893</v>
      </c>
      <c r="H67" s="393">
        <f t="shared" si="4"/>
        <v>44001.827497710641</v>
      </c>
      <c r="I67" s="393">
        <f t="shared" si="4"/>
        <v>44001.852442447285</v>
      </c>
      <c r="J67" s="393">
        <f t="shared" si="4"/>
        <v>44001.83941241807</v>
      </c>
      <c r="K67" s="393">
        <f t="shared" si="4"/>
        <v>44001.847405097491</v>
      </c>
      <c r="L67" s="393">
        <f t="shared" si="4"/>
        <v>44001.872937093467</v>
      </c>
      <c r="M67" s="393">
        <f t="shared" si="4"/>
        <v>44001.893268632797</v>
      </c>
      <c r="N67" s="393">
        <f t="shared" si="4"/>
        <v>44001.885997167599</v>
      </c>
      <c r="O67" s="393">
        <f t="shared" si="4"/>
        <v>44001.913285882074</v>
      </c>
      <c r="P67" s="393">
        <f t="shared" si="4"/>
        <v>44001.80737059893</v>
      </c>
    </row>
    <row r="68" spans="1:16" x14ac:dyDescent="0.25">
      <c r="A68">
        <v>1508</v>
      </c>
      <c r="B68" t="s">
        <v>447</v>
      </c>
      <c r="C68" s="393">
        <f t="shared" si="5"/>
        <v>44001.437099507028</v>
      </c>
      <c r="D68" s="393">
        <f t="shared" si="4"/>
        <v>44001.416280996411</v>
      </c>
      <c r="E68" s="393">
        <f t="shared" si="4"/>
        <v>44001.41320509553</v>
      </c>
      <c r="F68" s="393">
        <f t="shared" si="4"/>
        <v>44001.35381954084</v>
      </c>
      <c r="G68" s="393">
        <f t="shared" si="4"/>
        <v>44001.290405197717</v>
      </c>
      <c r="H68" s="393">
        <f t="shared" si="4"/>
        <v>44001.288831603088</v>
      </c>
      <c r="I68" s="393">
        <f t="shared" si="4"/>
        <v>44001.265948217973</v>
      </c>
      <c r="J68" s="393">
        <f t="shared" si="4"/>
        <v>44001.183126117729</v>
      </c>
      <c r="K68" s="393">
        <f t="shared" si="4"/>
        <v>44001.203841913921</v>
      </c>
      <c r="L68" s="393">
        <f t="shared" si="4"/>
        <v>44001.221967423109</v>
      </c>
      <c r="M68" s="393">
        <f t="shared" si="4"/>
        <v>44001.218821350376</v>
      </c>
      <c r="N68" s="393">
        <f t="shared" si="4"/>
        <v>44001.198263966078</v>
      </c>
      <c r="O68" s="393">
        <f t="shared" si="4"/>
        <v>44001.286634577555</v>
      </c>
      <c r="P68" s="393">
        <f t="shared" si="4"/>
        <v>44001.392494673317</v>
      </c>
    </row>
    <row r="69" spans="1:16" x14ac:dyDescent="0.25">
      <c r="A69">
        <v>1436</v>
      </c>
      <c r="B69" t="s">
        <v>470</v>
      </c>
      <c r="C69" s="393">
        <f t="shared" si="5"/>
        <v>44001.724863424672</v>
      </c>
      <c r="D69" s="393">
        <f t="shared" si="4"/>
        <v>44001.707533233115</v>
      </c>
      <c r="E69" s="393">
        <f t="shared" si="4"/>
        <v>44001.683069366591</v>
      </c>
      <c r="F69" s="393">
        <f t="shared" si="4"/>
        <v>44001.653073419948</v>
      </c>
      <c r="G69" s="393">
        <f t="shared" si="4"/>
        <v>44001.587743870245</v>
      </c>
      <c r="H69" s="393">
        <f t="shared" si="4"/>
        <v>44001.57842949871</v>
      </c>
      <c r="I69" s="393">
        <f t="shared" si="4"/>
        <v>44001.550182077459</v>
      </c>
      <c r="J69" s="393">
        <f t="shared" si="4"/>
        <v>44001.475706417761</v>
      </c>
      <c r="K69" s="393">
        <f t="shared" si="4"/>
        <v>44001.494595693766</v>
      </c>
      <c r="L69" s="393">
        <f t="shared" si="4"/>
        <v>44001.503636991227</v>
      </c>
      <c r="M69" s="393">
        <f t="shared" si="4"/>
        <v>44001.493254008761</v>
      </c>
      <c r="N69" s="393">
        <f t="shared" si="4"/>
        <v>44001.475275557394</v>
      </c>
      <c r="O69" s="393">
        <f t="shared" si="4"/>
        <v>44001.522255995842</v>
      </c>
      <c r="P69" s="393">
        <f t="shared" si="4"/>
        <v>44001.608239712194</v>
      </c>
    </row>
    <row r="70" spans="1:16" x14ac:dyDescent="0.25">
      <c r="A70">
        <v>1436</v>
      </c>
      <c r="B70" t="s">
        <v>498</v>
      </c>
      <c r="C70" s="393">
        <f t="shared" si="5"/>
        <v>44001.34008909791</v>
      </c>
      <c r="D70" s="393">
        <f t="shared" si="4"/>
        <v>44001.320358820798</v>
      </c>
      <c r="E70" s="393">
        <f t="shared" si="4"/>
        <v>44001.306021065771</v>
      </c>
      <c r="F70" s="393">
        <f t="shared" si="4"/>
        <v>44001.260794181268</v>
      </c>
      <c r="G70" s="393">
        <f t="shared" si="4"/>
        <v>44001.194936240638</v>
      </c>
      <c r="H70" s="393">
        <f t="shared" si="4"/>
        <v>44001.188597251625</v>
      </c>
      <c r="I70" s="393">
        <f t="shared" si="4"/>
        <v>44001.162138685366</v>
      </c>
      <c r="J70" s="393">
        <f t="shared" si="4"/>
        <v>44001.083091118016</v>
      </c>
      <c r="K70" s="393">
        <f t="shared" si="4"/>
        <v>44001.102927464795</v>
      </c>
      <c r="L70" s="393">
        <f t="shared" si="4"/>
        <v>44001.115902110199</v>
      </c>
      <c r="M70" s="393">
        <f t="shared" si="4"/>
        <v>44001.10864239934</v>
      </c>
      <c r="N70" s="393">
        <f t="shared" si="4"/>
        <v>44001.089166276528</v>
      </c>
      <c r="O70" s="393">
        <f t="shared" si="4"/>
        <v>44001.159222139409</v>
      </c>
      <c r="P70" s="393">
        <f t="shared" si="4"/>
        <v>44001.260794181268</v>
      </c>
    </row>
    <row r="71" spans="1:16" x14ac:dyDescent="0.25">
      <c r="A71">
        <v>1146</v>
      </c>
      <c r="B71" t="s">
        <v>462</v>
      </c>
      <c r="C71" s="393">
        <f t="shared" si="5"/>
        <v>44001.712369823435</v>
      </c>
      <c r="D71" s="393">
        <f t="shared" si="4"/>
        <v>44001.69580269773</v>
      </c>
      <c r="E71" s="393">
        <f t="shared" si="4"/>
        <v>44001.669456901094</v>
      </c>
      <c r="F71" s="393">
        <f t="shared" si="4"/>
        <v>44001.643239260484</v>
      </c>
      <c r="G71" s="393">
        <f t="shared" si="4"/>
        <v>44001.57842949871</v>
      </c>
      <c r="H71" s="393">
        <f t="shared" si="4"/>
        <v>44001.568269105759</v>
      </c>
      <c r="I71" s="393">
        <f t="shared" si="4"/>
        <v>44001.539687018543</v>
      </c>
      <c r="J71" s="393">
        <f t="shared" si="4"/>
        <v>44001.466734421818</v>
      </c>
      <c r="K71" s="393">
        <f t="shared" si="4"/>
        <v>44001.485280433699</v>
      </c>
      <c r="L71" s="393">
        <f t="shared" si="4"/>
        <v>44001.493254008761</v>
      </c>
      <c r="M71" s="393">
        <f t="shared" si="4"/>
        <v>44001.482214148251</v>
      </c>
      <c r="N71" s="393">
        <f t="shared" si="4"/>
        <v>44001.464621290193</v>
      </c>
      <c r="O71" s="393">
        <f t="shared" si="4"/>
        <v>44001.507762145877</v>
      </c>
      <c r="P71" s="393">
        <f t="shared" si="4"/>
        <v>44001.591644265878</v>
      </c>
    </row>
    <row r="72" spans="1:16" x14ac:dyDescent="0.25">
      <c r="A72">
        <v>1084</v>
      </c>
      <c r="B72" t="s">
        <v>509</v>
      </c>
      <c r="C72" s="393">
        <f t="shared" si="5"/>
        <v>44001.707533233115</v>
      </c>
      <c r="D72" s="393">
        <f t="shared" ref="D72:P79" si="6">$D$2-SQRT(((LEFT(D$6,3)-LEFT($B72,3))*(LEFT(D$6,3)-LEFT($B72,3)))+((RIGHT(D$6,3)-RIGHT($B72,3))*(RIGHT(D$6,3)-RIGHT($B72,3))))*$D$1</f>
        <v>44001.69580269773</v>
      </c>
      <c r="E72" s="393">
        <f t="shared" si="6"/>
        <v>44001.661159634947</v>
      </c>
      <c r="F72" s="393">
        <f t="shared" si="6"/>
        <v>44001.655076058618</v>
      </c>
      <c r="G72" s="393">
        <f t="shared" si="6"/>
        <v>44001.595018980945</v>
      </c>
      <c r="H72" s="393">
        <f t="shared" si="6"/>
        <v>44001.581146392193</v>
      </c>
      <c r="I72" s="393">
        <f t="shared" si="6"/>
        <v>44001.551702405653</v>
      </c>
      <c r="J72" s="393">
        <f t="shared" si="6"/>
        <v>44001.48748234495</v>
      </c>
      <c r="K72" s="393">
        <f t="shared" si="6"/>
        <v>44001.504093572876</v>
      </c>
      <c r="L72" s="393">
        <f t="shared" si="6"/>
        <v>44001.506842331299</v>
      </c>
      <c r="M72" s="393">
        <f t="shared" si="6"/>
        <v>44001.492807602917</v>
      </c>
      <c r="N72" s="393">
        <f t="shared" si="6"/>
        <v>44001.477433559216</v>
      </c>
      <c r="O72" s="393">
        <f t="shared" si="6"/>
        <v>44001.499547315281</v>
      </c>
      <c r="P72" s="393">
        <f t="shared" si="6"/>
        <v>44001.568797591586</v>
      </c>
    </row>
    <row r="73" spans="1:16" x14ac:dyDescent="0.25">
      <c r="A73">
        <v>1076</v>
      </c>
      <c r="B73" t="s">
        <v>500</v>
      </c>
      <c r="C73" s="393">
        <f t="shared" si="5"/>
        <v>44001.707533233115</v>
      </c>
      <c r="D73" s="393">
        <f t="shared" si="6"/>
        <v>44001.686756899006</v>
      </c>
      <c r="E73" s="393">
        <f t="shared" si="6"/>
        <v>44001.680878727842</v>
      </c>
      <c r="F73" s="393">
        <f t="shared" si="6"/>
        <v>44001.624387784039</v>
      </c>
      <c r="G73" s="393">
        <f t="shared" si="6"/>
        <v>44001.560421849121</v>
      </c>
      <c r="H73" s="393">
        <f t="shared" si="6"/>
        <v>44001.557838574663</v>
      </c>
      <c r="I73" s="393">
        <f t="shared" si="6"/>
        <v>44001.533800868194</v>
      </c>
      <c r="J73" s="393">
        <f t="shared" si="6"/>
        <v>44001.451708795779</v>
      </c>
      <c r="K73" s="393">
        <f t="shared" si="6"/>
        <v>44001.472269789141</v>
      </c>
      <c r="L73" s="393">
        <f t="shared" si="6"/>
        <v>44001.488808237664</v>
      </c>
      <c r="M73" s="393">
        <f t="shared" si="6"/>
        <v>44001.483963986495</v>
      </c>
      <c r="N73" s="393">
        <f t="shared" si="6"/>
        <v>44001.463778463461</v>
      </c>
      <c r="O73" s="393">
        <f t="shared" si="6"/>
        <v>44001.5411709158</v>
      </c>
      <c r="P73" s="393">
        <f t="shared" si="6"/>
        <v>44001.643239260484</v>
      </c>
    </row>
    <row r="74" spans="1:16" x14ac:dyDescent="0.25">
      <c r="A74">
        <v>1018</v>
      </c>
      <c r="B74" t="s">
        <v>457</v>
      </c>
      <c r="C74" s="393">
        <f t="shared" si="5"/>
        <v>44001.847405097491</v>
      </c>
      <c r="D74" s="393">
        <f t="shared" si="6"/>
        <v>44001.852442447285</v>
      </c>
      <c r="E74" s="393">
        <f t="shared" si="6"/>
        <v>44001.811202963574</v>
      </c>
      <c r="F74" s="393">
        <f t="shared" si="6"/>
        <v>44001.847405097491</v>
      </c>
      <c r="G74" s="393">
        <f t="shared" si="6"/>
        <v>44001.799951556932</v>
      </c>
      <c r="H74" s="393">
        <f t="shared" si="6"/>
        <v>44001.782625393076</v>
      </c>
      <c r="I74" s="393">
        <f t="shared" si="6"/>
        <v>44001.75381971195</v>
      </c>
      <c r="J74" s="393">
        <f t="shared" si="6"/>
        <v>44001.698882832352</v>
      </c>
      <c r="K74" s="393">
        <f t="shared" si="6"/>
        <v>44001.714001623717</v>
      </c>
      <c r="L74" s="393">
        <f t="shared" si="6"/>
        <v>44001.712369823435</v>
      </c>
      <c r="M74" s="393">
        <f t="shared" si="6"/>
        <v>44001.69580269773</v>
      </c>
      <c r="N74" s="393">
        <f t="shared" si="6"/>
        <v>44001.683069366591</v>
      </c>
      <c r="O74" s="393">
        <f t="shared" si="6"/>
        <v>44001.675828754611</v>
      </c>
      <c r="P74" s="393">
        <f t="shared" si="6"/>
        <v>44001.707533233115</v>
      </c>
    </row>
    <row r="75" spans="1:16" x14ac:dyDescent="0.25">
      <c r="A75">
        <v>917</v>
      </c>
      <c r="B75" t="s">
        <v>475</v>
      </c>
      <c r="C75" s="393">
        <f t="shared" si="5"/>
        <v>44001.596717505192</v>
      </c>
      <c r="D75" s="393">
        <f t="shared" si="6"/>
        <v>44001.57842949871</v>
      </c>
      <c r="E75" s="393">
        <f t="shared" si="6"/>
        <v>44001.557323818095</v>
      </c>
      <c r="F75" s="393">
        <f t="shared" si="6"/>
        <v>44001.522255995842</v>
      </c>
      <c r="G75" s="393">
        <f t="shared" si="6"/>
        <v>44001.456669324834</v>
      </c>
      <c r="H75" s="393">
        <f t="shared" si="6"/>
        <v>44001.448018800664</v>
      </c>
      <c r="I75" s="393">
        <f t="shared" si="6"/>
        <v>44001.420149672289</v>
      </c>
      <c r="J75" s="393">
        <f t="shared" si="6"/>
        <v>44001.344518907841</v>
      </c>
      <c r="K75" s="393">
        <f t="shared" si="6"/>
        <v>44001.363613054054</v>
      </c>
      <c r="L75" s="393">
        <f t="shared" si="6"/>
        <v>44001.37356492276</v>
      </c>
      <c r="M75" s="393">
        <f t="shared" si="6"/>
        <v>44001.363965705823</v>
      </c>
      <c r="N75" s="393">
        <f t="shared" si="6"/>
        <v>44001.345545569755</v>
      </c>
      <c r="O75" s="393">
        <f t="shared" si="6"/>
        <v>44001.399940051058</v>
      </c>
      <c r="P75" s="393">
        <f t="shared" si="6"/>
        <v>44001.492807602917</v>
      </c>
    </row>
    <row r="76" spans="1:16" x14ac:dyDescent="0.25">
      <c r="A76">
        <v>713</v>
      </c>
      <c r="B76" t="s">
        <v>472</v>
      </c>
      <c r="C76" s="393">
        <f t="shared" si="5"/>
        <v>44001.904051015095</v>
      </c>
      <c r="D76" s="393">
        <f t="shared" si="6"/>
        <v>44001.890778319015</v>
      </c>
      <c r="E76" s="393">
        <f t="shared" si="6"/>
        <v>44001.85768850219</v>
      </c>
      <c r="F76" s="393">
        <f t="shared" si="6"/>
        <v>44001.83941241807</v>
      </c>
      <c r="G76" s="393">
        <f t="shared" si="6"/>
        <v>44001.773982129125</v>
      </c>
      <c r="H76" s="393">
        <f t="shared" si="6"/>
        <v>44001.764674372062</v>
      </c>
      <c r="I76" s="393">
        <f t="shared" si="6"/>
        <v>44001.736210337709</v>
      </c>
      <c r="J76" s="393">
        <f t="shared" si="6"/>
        <v>44001.661842787253</v>
      </c>
      <c r="K76" s="393">
        <f t="shared" si="6"/>
        <v>44001.680878727842</v>
      </c>
      <c r="L76" s="393">
        <f t="shared" si="6"/>
        <v>44001.689740750218</v>
      </c>
      <c r="M76" s="393">
        <f t="shared" si="6"/>
        <v>44001.678704060374</v>
      </c>
      <c r="N76" s="393">
        <f t="shared" si="6"/>
        <v>44001.661159634947</v>
      </c>
      <c r="O76" s="393">
        <f t="shared" si="6"/>
        <v>44001.69580269773</v>
      </c>
      <c r="P76" s="393">
        <f t="shared" si="6"/>
        <v>44001.761660281059</v>
      </c>
    </row>
    <row r="77" spans="1:16" x14ac:dyDescent="0.25">
      <c r="A77">
        <v>697</v>
      </c>
      <c r="B77" t="s">
        <v>504</v>
      </c>
      <c r="C77" s="393">
        <f t="shared" si="5"/>
        <v>44001.634313638388</v>
      </c>
      <c r="D77" s="393">
        <f t="shared" si="6"/>
        <v>44001.615328141736</v>
      </c>
      <c r="E77" s="393">
        <f t="shared" si="6"/>
        <v>44001.596717505192</v>
      </c>
      <c r="F77" s="393">
        <f t="shared" si="6"/>
        <v>44001.557323818095</v>
      </c>
      <c r="G77" s="393">
        <f t="shared" si="6"/>
        <v>44001.491470837049</v>
      </c>
      <c r="H77" s="393">
        <f t="shared" si="6"/>
        <v>44001.483963986495</v>
      </c>
      <c r="I77" s="393">
        <f t="shared" si="6"/>
        <v>44001.456669324834</v>
      </c>
      <c r="J77" s="393">
        <f t="shared" si="6"/>
        <v>44001.379325831294</v>
      </c>
      <c r="K77" s="393">
        <f t="shared" si="6"/>
        <v>44001.398817155117</v>
      </c>
      <c r="L77" s="393">
        <f t="shared" si="6"/>
        <v>44001.410145821508</v>
      </c>
      <c r="M77" s="393">
        <f t="shared" si="6"/>
        <v>44001.401440640671</v>
      </c>
      <c r="N77" s="393">
        <f t="shared" si="6"/>
        <v>44001.382590789028</v>
      </c>
      <c r="O77" s="393">
        <f t="shared" si="6"/>
        <v>44001.441521337474</v>
      </c>
      <c r="P77" s="393">
        <f t="shared" si="6"/>
        <v>44001.536243924464</v>
      </c>
    </row>
    <row r="78" spans="1:16" x14ac:dyDescent="0.25">
      <c r="A78">
        <v>578</v>
      </c>
      <c r="B78" t="s">
        <v>478</v>
      </c>
      <c r="C78" s="393">
        <f t="shared" si="5"/>
        <v>44001.675828754611</v>
      </c>
      <c r="D78" s="393">
        <f t="shared" si="6"/>
        <v>44001.655746360491</v>
      </c>
      <c r="E78" s="393">
        <f t="shared" si="6"/>
        <v>44001.642593866221</v>
      </c>
      <c r="F78" s="393">
        <f t="shared" si="6"/>
        <v>44001.595018980945</v>
      </c>
      <c r="G78" s="393">
        <f t="shared" si="6"/>
        <v>44001.529436809476</v>
      </c>
      <c r="H78" s="393">
        <f t="shared" si="6"/>
        <v>44001.524159798588</v>
      </c>
      <c r="I78" s="393">
        <f t="shared" si="6"/>
        <v>44001.498191817474</v>
      </c>
      <c r="J78" s="393">
        <f t="shared" si="6"/>
        <v>44001.418211999255</v>
      </c>
      <c r="K78" s="393">
        <f t="shared" si="6"/>
        <v>44001.438301875591</v>
      </c>
      <c r="L78" s="393">
        <f t="shared" si="6"/>
        <v>44001.452120389971</v>
      </c>
      <c r="M78" s="393">
        <f t="shared" si="6"/>
        <v>44001.445166432582</v>
      </c>
      <c r="N78" s="393">
        <f t="shared" si="6"/>
        <v>44001.425611239349</v>
      </c>
      <c r="O78" s="393">
        <f t="shared" si="6"/>
        <v>44001.493254008761</v>
      </c>
      <c r="P78" s="393">
        <f t="shared" si="6"/>
        <v>44001.591644265878</v>
      </c>
    </row>
    <row r="79" spans="1:16" x14ac:dyDescent="0.25">
      <c r="A79">
        <v>176</v>
      </c>
      <c r="B79" t="s">
        <v>488</v>
      </c>
      <c r="C79" s="393">
        <f t="shared" si="5"/>
        <v>43997.995203588827</v>
      </c>
      <c r="D79" s="393">
        <f t="shared" si="6"/>
        <v>43998.007369389474</v>
      </c>
      <c r="E79" s="393">
        <f t="shared" si="6"/>
        <v>43998.041170666162</v>
      </c>
      <c r="F79" s="393">
        <f t="shared" si="6"/>
        <v>43998.043430730257</v>
      </c>
      <c r="G79" s="393">
        <f t="shared" si="6"/>
        <v>43998.096054637921</v>
      </c>
      <c r="H79" s="393">
        <f t="shared" si="6"/>
        <v>43998.113249893118</v>
      </c>
      <c r="I79" s="393">
        <f t="shared" si="6"/>
        <v>43998.142211855593</v>
      </c>
      <c r="J79" s="393">
        <f t="shared" si="6"/>
        <v>43998.188644861482</v>
      </c>
      <c r="K79" s="393">
        <f t="shared" si="6"/>
        <v>43998.177154681034</v>
      </c>
      <c r="L79" s="393">
        <f t="shared" si="6"/>
        <v>43998.182866841686</v>
      </c>
      <c r="M79" s="393">
        <f t="shared" si="6"/>
        <v>43998.200112552207</v>
      </c>
      <c r="N79" s="393">
        <f t="shared" si="6"/>
        <v>43998.211787954468</v>
      </c>
      <c r="O79" s="393">
        <f t="shared" si="6"/>
        <v>43998.203502174008</v>
      </c>
      <c r="P79" s="393">
        <f t="shared" si="6"/>
        <v>43998.125</v>
      </c>
    </row>
  </sheetData>
  <autoFilter ref="A6:P79">
    <sortState ref="A7:P79">
      <sortCondition descending="1" ref="A6:A79"/>
    </sortState>
  </autoFilter>
  <mergeCells count="4">
    <mergeCell ref="G1:H1"/>
    <mergeCell ref="G2:H2"/>
    <mergeCell ref="G3:H3"/>
    <mergeCell ref="C5:P5"/>
  </mergeCells>
  <conditionalFormatting sqref="C7:P79">
    <cfRule type="expression" dxfId="3" priority="1">
      <formula>(OR(C7&lt;$D$3,C7&gt;$D$4))</formula>
    </cfRule>
    <cfRule type="expression" dxfId="2" priority="2">
      <formula>AND(C7&gt;$D$3,C7&lt;$D$4)</formula>
    </cfRule>
  </conditionalFormatting>
  <dataValidations count="1">
    <dataValidation type="list" allowBlank="1" showInputMessage="1" showErrorMessage="1" sqref="A3">
      <formula1>"Laufzeiten,Abschickzeiten"</formula1>
    </dataValidation>
  </dataValidations>
  <pageMargins left="0.7" right="0.7" top="0.78740157499999996" bottom="0.78740157499999996" header="0.3" footer="0.3"/>
  <pageSetup paperSize="9"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Laufzeitrechner!$F$3:$F$13</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P79"/>
  <sheetViews>
    <sheetView workbookViewId="0">
      <selection activeCell="C7" sqref="C7"/>
    </sheetView>
  </sheetViews>
  <sheetFormatPr baseColWidth="10" defaultRowHeight="15" x14ac:dyDescent="0.25"/>
  <cols>
    <col min="2" max="2" width="11.140625" bestFit="1" customWidth="1"/>
    <col min="3" max="16" width="10.28515625" bestFit="1" customWidth="1"/>
  </cols>
  <sheetData>
    <row r="1" spans="1:16" x14ac:dyDescent="0.25">
      <c r="B1" s="456" t="s">
        <v>269</v>
      </c>
      <c r="C1" s="457"/>
      <c r="D1" s="394">
        <f>VLOOKUP(B1,Laufzeitrechner!$F$2:$H$13,3,FALSE)</f>
        <v>2.0833333333333332E-2</v>
      </c>
      <c r="F1" s="425" t="s">
        <v>421</v>
      </c>
      <c r="G1" s="430"/>
      <c r="H1" s="430"/>
      <c r="I1" s="227">
        <f>'Construction Planner'!E1</f>
        <v>1</v>
      </c>
    </row>
    <row r="2" spans="1:16" x14ac:dyDescent="0.25">
      <c r="B2" s="451" t="s">
        <v>522</v>
      </c>
      <c r="C2" s="452"/>
      <c r="D2" s="400">
        <v>0</v>
      </c>
      <c r="F2" s="451" t="s">
        <v>420</v>
      </c>
      <c r="G2" s="452"/>
      <c r="H2" s="452"/>
      <c r="I2" s="125">
        <f>'Construction Planner'!E4</f>
        <v>1</v>
      </c>
    </row>
    <row r="3" spans="1:16" ht="15.75" thickBot="1" x14ac:dyDescent="0.3">
      <c r="B3" s="453" t="s">
        <v>523</v>
      </c>
      <c r="C3" s="454"/>
      <c r="D3" s="401">
        <v>0.83333333333333337</v>
      </c>
      <c r="F3" s="453" t="s">
        <v>422</v>
      </c>
      <c r="G3" s="454"/>
      <c r="H3" s="454"/>
      <c r="I3" s="373">
        <f>I1*I2</f>
        <v>1</v>
      </c>
    </row>
    <row r="5" spans="1:16" x14ac:dyDescent="0.25">
      <c r="C5" s="455" t="s">
        <v>515</v>
      </c>
      <c r="D5" s="455"/>
      <c r="E5" s="455"/>
      <c r="F5" s="455"/>
      <c r="G5" s="455"/>
      <c r="H5" s="455"/>
      <c r="I5" s="455"/>
      <c r="J5" s="455"/>
      <c r="K5" s="455"/>
      <c r="L5" s="455"/>
      <c r="M5" s="455"/>
      <c r="N5" s="455"/>
      <c r="O5" s="455"/>
      <c r="P5" s="455"/>
    </row>
    <row r="6" spans="1:16" x14ac:dyDescent="0.25">
      <c r="A6" t="s">
        <v>290</v>
      </c>
      <c r="B6" t="s">
        <v>261</v>
      </c>
      <c r="C6" t="s">
        <v>430</v>
      </c>
      <c r="D6" t="s">
        <v>431</v>
      </c>
      <c r="E6" t="s">
        <v>432</v>
      </c>
      <c r="F6" t="s">
        <v>433</v>
      </c>
      <c r="G6" t="s">
        <v>434</v>
      </c>
      <c r="H6" t="s">
        <v>435</v>
      </c>
      <c r="I6" t="s">
        <v>436</v>
      </c>
      <c r="J6" t="s">
        <v>437</v>
      </c>
      <c r="K6" t="s">
        <v>438</v>
      </c>
      <c r="L6" t="s">
        <v>439</v>
      </c>
      <c r="M6" t="s">
        <v>440</v>
      </c>
      <c r="N6" t="s">
        <v>441</v>
      </c>
      <c r="O6" t="s">
        <v>442</v>
      </c>
      <c r="P6" t="s">
        <v>443</v>
      </c>
    </row>
    <row r="7" spans="1:16" x14ac:dyDescent="0.25">
      <c r="A7">
        <v>6830</v>
      </c>
      <c r="B7" t="s">
        <v>487</v>
      </c>
      <c r="C7" s="399">
        <f t="shared" ref="C7:C38" si="0">SQRT(((LEFT(C$6,3)-LEFT($B7,3))*(LEFT(C$6,3)-LEFT($B7,3)))+((RIGHT(C$6,3)-RIGHT($B7,3))*(RIGHT(C$6,3)-RIGHT($B7,3))))*$D$1</f>
        <v>0.36916760722227809</v>
      </c>
      <c r="D7" s="399">
        <f t="shared" ref="D7:P7" si="1">SQRT(((LEFT(D$6,3)-LEFT($B7,3))*(LEFT(D$6,3)-LEFT($B7,3)))+((RIGHT(D$6,3)-RIGHT($B7,3))*(RIGHT(D$6,3)-RIGHT($B7,3))))*$D$1</f>
        <v>0.38919878525561258</v>
      </c>
      <c r="E7" s="399">
        <f t="shared" si="1"/>
        <v>0.40235849824641595</v>
      </c>
      <c r="F7" s="399">
        <f t="shared" si="1"/>
        <v>0.44972985718589376</v>
      </c>
      <c r="G7" s="399">
        <f t="shared" si="1"/>
        <v>0.51538820320220746</v>
      </c>
      <c r="H7" s="399">
        <f t="shared" si="1"/>
        <v>0.52083333333333326</v>
      </c>
      <c r="I7" s="399">
        <f t="shared" si="1"/>
        <v>0.54685019785027866</v>
      </c>
      <c r="J7" s="399">
        <f t="shared" si="1"/>
        <v>0.62673370652047178</v>
      </c>
      <c r="K7" s="399">
        <f t="shared" si="1"/>
        <v>0.60667582410670984</v>
      </c>
      <c r="L7" s="399">
        <f t="shared" si="1"/>
        <v>0.59292706128157113</v>
      </c>
      <c r="M7" s="399">
        <f t="shared" si="1"/>
        <v>0.59984083537033195</v>
      </c>
      <c r="N7" s="399">
        <f t="shared" si="1"/>
        <v>0.61941953113827108</v>
      </c>
      <c r="O7" s="399">
        <f t="shared" si="1"/>
        <v>0.55041020056762102</v>
      </c>
      <c r="P7" s="399">
        <f t="shared" si="1"/>
        <v>0.4506939094329987</v>
      </c>
    </row>
    <row r="8" spans="1:16" x14ac:dyDescent="0.25">
      <c r="A8">
        <v>6747</v>
      </c>
      <c r="B8" t="s">
        <v>460</v>
      </c>
      <c r="C8" s="399">
        <f t="shared" si="0"/>
        <v>0.17179606773406919</v>
      </c>
      <c r="D8" s="399">
        <f t="shared" ref="D8:P21" si="2">SQRT(((LEFT(D$6,3)-LEFT($B8,3))*(LEFT(D$6,3)-LEFT($B8,3)))+((RIGHT(D$6,3)-RIGHT($B8,3))*(RIGHT(D$6,3)-RIGHT($B8,3))))*$D$1</f>
        <v>0.16796370308955311</v>
      </c>
      <c r="E8" s="399">
        <f t="shared" si="2"/>
        <v>0.12672421938121289</v>
      </c>
      <c r="F8" s="399">
        <f t="shared" si="2"/>
        <v>0.17179606773406919</v>
      </c>
      <c r="G8" s="399">
        <f t="shared" si="2"/>
        <v>0.17921510973005472</v>
      </c>
      <c r="H8" s="399">
        <f t="shared" si="2"/>
        <v>0.16271353491472196</v>
      </c>
      <c r="I8" s="399">
        <f t="shared" si="2"/>
        <v>0.16271353491472196</v>
      </c>
      <c r="J8" s="399">
        <f t="shared" si="2"/>
        <v>0.23292374765622809</v>
      </c>
      <c r="K8" s="399">
        <f t="shared" si="2"/>
        <v>0.21449229460389585</v>
      </c>
      <c r="L8" s="399">
        <f t="shared" si="2"/>
        <v>0.18633899812498247</v>
      </c>
      <c r="M8" s="399">
        <f t="shared" si="2"/>
        <v>0.17800007802744855</v>
      </c>
      <c r="N8" s="399">
        <f t="shared" si="2"/>
        <v>0.19764235376052369</v>
      </c>
      <c r="O8" s="399">
        <f t="shared" si="2"/>
        <v>8.3333333333333329E-2</v>
      </c>
      <c r="P8" s="399">
        <f t="shared" si="2"/>
        <v>2.946278254943948E-2</v>
      </c>
    </row>
    <row r="9" spans="1:16" x14ac:dyDescent="0.25">
      <c r="A9">
        <v>5944</v>
      </c>
      <c r="B9" t="s">
        <v>479</v>
      </c>
      <c r="C9" s="399">
        <f t="shared" si="0"/>
        <v>0.27083333333333331</v>
      </c>
      <c r="D9" s="399">
        <f t="shared" si="2"/>
        <v>0.29017475577466911</v>
      </c>
      <c r="E9" s="399">
        <f t="shared" si="2"/>
        <v>0.30760048042152915</v>
      </c>
      <c r="F9" s="399">
        <f t="shared" si="2"/>
        <v>0.34923030446333769</v>
      </c>
      <c r="G9" s="399">
        <f t="shared" si="2"/>
        <v>0.41510122594106824</v>
      </c>
      <c r="H9" s="399">
        <f t="shared" si="2"/>
        <v>0.42184284856909554</v>
      </c>
      <c r="I9" s="399">
        <f t="shared" si="2"/>
        <v>0.44876373392787527</v>
      </c>
      <c r="J9" s="399">
        <f t="shared" si="2"/>
        <v>0.52704627669472992</v>
      </c>
      <c r="K9" s="399">
        <f t="shared" si="2"/>
        <v>0.50732481924524664</v>
      </c>
      <c r="L9" s="399">
        <f t="shared" si="2"/>
        <v>0.49520268016686303</v>
      </c>
      <c r="M9" s="399">
        <f t="shared" si="2"/>
        <v>0.50346024889977381</v>
      </c>
      <c r="N9" s="399">
        <f t="shared" si="2"/>
        <v>0.52249734183268548</v>
      </c>
      <c r="O9" s="399">
        <f t="shared" si="2"/>
        <v>0.46257506898280243</v>
      </c>
      <c r="P9" s="399">
        <f t="shared" si="2"/>
        <v>0.36857929193654437</v>
      </c>
    </row>
    <row r="10" spans="1:16" x14ac:dyDescent="0.25">
      <c r="A10">
        <v>5926</v>
      </c>
      <c r="B10" t="s">
        <v>446</v>
      </c>
      <c r="C10" s="399">
        <f t="shared" si="0"/>
        <v>0.23753654689565373</v>
      </c>
      <c r="D10" s="399">
        <f t="shared" si="2"/>
        <v>0.22146137109863853</v>
      </c>
      <c r="E10" s="399">
        <f t="shared" si="2"/>
        <v>0.19654127358451257</v>
      </c>
      <c r="F10" s="399">
        <f t="shared" si="2"/>
        <v>0.17921510973005472</v>
      </c>
      <c r="G10" s="399">
        <f t="shared" si="2"/>
        <v>0.13176156917368248</v>
      </c>
      <c r="H10" s="399">
        <f t="shared" si="2"/>
        <v>0.11219093348196882</v>
      </c>
      <c r="I10" s="399">
        <f t="shared" si="2"/>
        <v>8.5898033867034596E-2</v>
      </c>
      <c r="J10" s="399">
        <f t="shared" si="2"/>
        <v>0.10416666666666666</v>
      </c>
      <c r="K10" s="399">
        <f t="shared" si="2"/>
        <v>9.3169499062491237E-2</v>
      </c>
      <c r="L10" s="399">
        <f t="shared" si="2"/>
        <v>6.588078458684124E-2</v>
      </c>
      <c r="M10" s="399">
        <f t="shared" si="2"/>
        <v>4.6584749531245619E-2</v>
      </c>
      <c r="N10" s="399">
        <f t="shared" si="2"/>
        <v>5.892556509887896E-2</v>
      </c>
      <c r="O10" s="399">
        <f t="shared" si="2"/>
        <v>6.588078458684124E-2</v>
      </c>
      <c r="P10" s="399">
        <f t="shared" si="2"/>
        <v>0.16666666666666666</v>
      </c>
    </row>
    <row r="11" spans="1:16" x14ac:dyDescent="0.25">
      <c r="A11">
        <v>5655</v>
      </c>
      <c r="B11" t="s">
        <v>395</v>
      </c>
      <c r="C11" s="399">
        <f t="shared" si="0"/>
        <v>0.23292374765622809</v>
      </c>
      <c r="D11" s="399">
        <f t="shared" si="2"/>
        <v>0.24295632895188751</v>
      </c>
      <c r="E11" s="399">
        <f t="shared" si="2"/>
        <v>0.27950849718747373</v>
      </c>
      <c r="F11" s="399">
        <f t="shared" si="2"/>
        <v>0.28028383431403558</v>
      </c>
      <c r="G11" s="399">
        <f t="shared" si="2"/>
        <v>0.33914209575207721</v>
      </c>
      <c r="H11" s="399">
        <f t="shared" si="2"/>
        <v>0.35355339059327373</v>
      </c>
      <c r="I11" s="399">
        <f t="shared" si="2"/>
        <v>0.38301617314271319</v>
      </c>
      <c r="J11" s="399">
        <f t="shared" si="2"/>
        <v>0.44585280331318111</v>
      </c>
      <c r="K11" s="399">
        <f t="shared" si="2"/>
        <v>0.42949016933517298</v>
      </c>
      <c r="L11" s="399">
        <f t="shared" si="2"/>
        <v>0.42746426101423318</v>
      </c>
      <c r="M11" s="399">
        <f t="shared" si="2"/>
        <v>0.44194173824159222</v>
      </c>
      <c r="N11" s="399">
        <f t="shared" si="2"/>
        <v>0.45691067082211057</v>
      </c>
      <c r="O11" s="399">
        <f t="shared" si="2"/>
        <v>0.43947964811935392</v>
      </c>
      <c r="P11" s="399">
        <f t="shared" si="2"/>
        <v>0.37557825786083221</v>
      </c>
    </row>
    <row r="12" spans="1:16" x14ac:dyDescent="0.25">
      <c r="A12">
        <v>5171</v>
      </c>
      <c r="B12" t="s">
        <v>476</v>
      </c>
      <c r="C12" s="399">
        <f t="shared" si="0"/>
        <v>0.25</v>
      </c>
      <c r="D12" s="399">
        <f t="shared" si="2"/>
        <v>0.27083333333333331</v>
      </c>
      <c r="E12" s="399">
        <f t="shared" si="2"/>
        <v>0.27401971745762299</v>
      </c>
      <c r="F12" s="399">
        <f t="shared" si="2"/>
        <v>0.33333333333333331</v>
      </c>
      <c r="G12" s="399">
        <f t="shared" si="2"/>
        <v>0.39638119980084263</v>
      </c>
      <c r="H12" s="399">
        <f t="shared" si="2"/>
        <v>0.39802027446964161</v>
      </c>
      <c r="I12" s="399">
        <f t="shared" si="2"/>
        <v>0.42132809200326427</v>
      </c>
      <c r="J12" s="399">
        <f t="shared" si="2"/>
        <v>0.50389110926865932</v>
      </c>
      <c r="K12" s="399">
        <f t="shared" si="2"/>
        <v>0.48322556269763339</v>
      </c>
      <c r="L12" s="399">
        <f t="shared" si="2"/>
        <v>0.46584749531245617</v>
      </c>
      <c r="M12" s="399">
        <f t="shared" si="2"/>
        <v>0.47002142386160323</v>
      </c>
      <c r="N12" s="399">
        <f t="shared" si="2"/>
        <v>0.49035842899749249</v>
      </c>
      <c r="O12" s="399">
        <f t="shared" si="2"/>
        <v>0.41036907507483766</v>
      </c>
      <c r="P12" s="399">
        <f t="shared" si="2"/>
        <v>0.30760048042152915</v>
      </c>
    </row>
    <row r="13" spans="1:16" x14ac:dyDescent="0.25">
      <c r="A13">
        <v>5058</v>
      </c>
      <c r="B13" t="s">
        <v>464</v>
      </c>
      <c r="C13" s="399">
        <f t="shared" si="0"/>
        <v>0.15023130314433286</v>
      </c>
      <c r="D13" s="399">
        <f t="shared" si="2"/>
        <v>0.16796370308955311</v>
      </c>
      <c r="E13" s="399">
        <f t="shared" si="2"/>
        <v>0.19207384286026846</v>
      </c>
      <c r="F13" s="399">
        <f t="shared" si="2"/>
        <v>0.22438186696393764</v>
      </c>
      <c r="G13" s="399">
        <f t="shared" si="2"/>
        <v>0.29017475577466911</v>
      </c>
      <c r="H13" s="399">
        <f t="shared" si="2"/>
        <v>0.29828793881825733</v>
      </c>
      <c r="I13" s="399">
        <f t="shared" si="2"/>
        <v>0.32609324671871931</v>
      </c>
      <c r="J13" s="399">
        <f t="shared" si="2"/>
        <v>0.40235849824641595</v>
      </c>
      <c r="K13" s="399">
        <f t="shared" si="2"/>
        <v>0.38301617314271319</v>
      </c>
      <c r="L13" s="399">
        <f t="shared" si="2"/>
        <v>0.37267799624996495</v>
      </c>
      <c r="M13" s="399">
        <f t="shared" si="2"/>
        <v>0.3824491614726212</v>
      </c>
      <c r="N13" s="399">
        <f t="shared" si="2"/>
        <v>0.40073716795148628</v>
      </c>
      <c r="O13" s="399">
        <f t="shared" si="2"/>
        <v>0.35355339059327373</v>
      </c>
      <c r="P13" s="399">
        <f t="shared" si="2"/>
        <v>0.27163343355011038</v>
      </c>
    </row>
    <row r="14" spans="1:16" x14ac:dyDescent="0.25">
      <c r="A14">
        <v>5050</v>
      </c>
      <c r="B14" t="s">
        <v>456</v>
      </c>
      <c r="C14" s="399">
        <f t="shared" si="0"/>
        <v>5.892556509887896E-2</v>
      </c>
      <c r="D14" s="399">
        <f t="shared" si="2"/>
        <v>4.6584749531245619E-2</v>
      </c>
      <c r="E14" s="399">
        <f t="shared" si="2"/>
        <v>8.5898033867034596E-2</v>
      </c>
      <c r="F14" s="399">
        <f t="shared" si="2"/>
        <v>5.892556509887896E-2</v>
      </c>
      <c r="G14" s="399">
        <f t="shared" si="2"/>
        <v>0.12147816447594376</v>
      </c>
      <c r="H14" s="399">
        <f t="shared" si="2"/>
        <v>0.13339842161318433</v>
      </c>
      <c r="I14" s="399">
        <f t="shared" si="2"/>
        <v>0.16271353491472196</v>
      </c>
      <c r="J14" s="399">
        <f t="shared" si="2"/>
        <v>0.23292374765622809</v>
      </c>
      <c r="K14" s="399">
        <f t="shared" si="2"/>
        <v>0.21449229460389585</v>
      </c>
      <c r="L14" s="399">
        <f t="shared" si="2"/>
        <v>0.20833333333333331</v>
      </c>
      <c r="M14" s="399">
        <f t="shared" si="2"/>
        <v>0.22146137109863853</v>
      </c>
      <c r="N14" s="399">
        <f t="shared" si="2"/>
        <v>0.23753654689565373</v>
      </c>
      <c r="O14" s="399">
        <f t="shared" si="2"/>
        <v>0.22438186696393764</v>
      </c>
      <c r="P14" s="399">
        <f t="shared" si="2"/>
        <v>0.18865385704452953</v>
      </c>
    </row>
    <row r="15" spans="1:16" x14ac:dyDescent="0.25">
      <c r="A15">
        <v>5028</v>
      </c>
      <c r="B15" t="s">
        <v>501</v>
      </c>
      <c r="C15" s="399">
        <f t="shared" si="0"/>
        <v>0.4796193513842224</v>
      </c>
      <c r="D15" s="399">
        <f t="shared" si="2"/>
        <v>0.50043383956101306</v>
      </c>
      <c r="E15" s="399">
        <f t="shared" si="2"/>
        <v>0.50043383956101306</v>
      </c>
      <c r="F15" s="399">
        <f t="shared" si="2"/>
        <v>0.56288567025442893</v>
      </c>
      <c r="G15" s="399">
        <f t="shared" si="2"/>
        <v>0.625</v>
      </c>
      <c r="H15" s="399">
        <f t="shared" si="2"/>
        <v>0.6253471258251514</v>
      </c>
      <c r="I15" s="399">
        <f t="shared" si="2"/>
        <v>0.64717602362537774</v>
      </c>
      <c r="J15" s="399">
        <f t="shared" si="2"/>
        <v>0.73035617262325436</v>
      </c>
      <c r="K15" s="399">
        <f t="shared" si="2"/>
        <v>0.70955776524693337</v>
      </c>
      <c r="L15" s="399">
        <f t="shared" si="2"/>
        <v>0.69033506357420382</v>
      </c>
      <c r="M15" s="399">
        <f t="shared" si="2"/>
        <v>0.69253208910811082</v>
      </c>
      <c r="N15" s="399">
        <f t="shared" si="2"/>
        <v>0.71321844869265372</v>
      </c>
      <c r="O15" s="399">
        <f t="shared" si="2"/>
        <v>0.62151807875734577</v>
      </c>
      <c r="P15" s="399">
        <f t="shared" si="2"/>
        <v>0.51538820320220746</v>
      </c>
    </row>
    <row r="16" spans="1:16" x14ac:dyDescent="0.25">
      <c r="A16">
        <v>4925</v>
      </c>
      <c r="B16" t="s">
        <v>465</v>
      </c>
      <c r="C16" s="399">
        <f t="shared" si="0"/>
        <v>0.12672421938121289</v>
      </c>
      <c r="D16" s="399">
        <f t="shared" si="2"/>
        <v>0.14731391274719741</v>
      </c>
      <c r="E16" s="399">
        <f t="shared" si="2"/>
        <v>0.15866193970549808</v>
      </c>
      <c r="F16" s="399">
        <f t="shared" si="2"/>
        <v>0.20937240877335186</v>
      </c>
      <c r="G16" s="399">
        <f t="shared" si="2"/>
        <v>0.27401971745762299</v>
      </c>
      <c r="H16" s="399">
        <f t="shared" si="2"/>
        <v>0.27795133466929861</v>
      </c>
      <c r="I16" s="399">
        <f t="shared" si="2"/>
        <v>0.30333791205335492</v>
      </c>
      <c r="J16" s="399">
        <f t="shared" si="2"/>
        <v>0.38414768572053692</v>
      </c>
      <c r="K16" s="399">
        <f t="shared" si="2"/>
        <v>0.36383852492860369</v>
      </c>
      <c r="L16" s="399">
        <f t="shared" si="2"/>
        <v>0.34923030446333769</v>
      </c>
      <c r="M16" s="399">
        <f t="shared" si="2"/>
        <v>0.3560001560548971</v>
      </c>
      <c r="N16" s="399">
        <f t="shared" si="2"/>
        <v>0.37557825786083221</v>
      </c>
      <c r="O16" s="399">
        <f t="shared" si="2"/>
        <v>0.3125</v>
      </c>
      <c r="P16" s="399">
        <f t="shared" si="2"/>
        <v>0.22146137109863853</v>
      </c>
    </row>
    <row r="17" spans="1:16" x14ac:dyDescent="0.25">
      <c r="A17">
        <v>4795</v>
      </c>
      <c r="B17" t="s">
        <v>499</v>
      </c>
      <c r="C17" s="399">
        <f t="shared" si="0"/>
        <v>0.33592740617910621</v>
      </c>
      <c r="D17" s="399">
        <f t="shared" si="2"/>
        <v>0.35660922434632686</v>
      </c>
      <c r="E17" s="399">
        <f t="shared" si="2"/>
        <v>0.36383852492860369</v>
      </c>
      <c r="F17" s="399">
        <f t="shared" si="2"/>
        <v>0.41874481754670373</v>
      </c>
      <c r="G17" s="399">
        <f t="shared" si="2"/>
        <v>0.48322556269763339</v>
      </c>
      <c r="H17" s="399">
        <f t="shared" si="2"/>
        <v>0.48635906374703131</v>
      </c>
      <c r="I17" s="399">
        <f t="shared" si="2"/>
        <v>0.51073544467213594</v>
      </c>
      <c r="J17" s="399">
        <f t="shared" si="2"/>
        <v>0.59256094388866209</v>
      </c>
      <c r="K17" s="399">
        <f t="shared" si="2"/>
        <v>0.5720637590727492</v>
      </c>
      <c r="L17" s="399">
        <f t="shared" si="2"/>
        <v>0.55590266933859722</v>
      </c>
      <c r="M17" s="399">
        <f t="shared" si="2"/>
        <v>0.56095466740984412</v>
      </c>
      <c r="N17" s="399">
        <f t="shared" si="2"/>
        <v>0.58109690337422304</v>
      </c>
      <c r="O17" s="399">
        <f t="shared" si="2"/>
        <v>0.50346024889977381</v>
      </c>
      <c r="P17" s="399">
        <f t="shared" si="2"/>
        <v>0.40073716795148628</v>
      </c>
    </row>
    <row r="18" spans="1:16" x14ac:dyDescent="0.25">
      <c r="A18">
        <v>4787</v>
      </c>
      <c r="B18" t="s">
        <v>481</v>
      </c>
      <c r="C18" s="399">
        <f t="shared" si="0"/>
        <v>0.11785113019775792</v>
      </c>
      <c r="D18" s="399">
        <f t="shared" si="2"/>
        <v>0.13339842161318433</v>
      </c>
      <c r="E18" s="399">
        <f t="shared" si="2"/>
        <v>0.16271353491472196</v>
      </c>
      <c r="F18" s="399">
        <f t="shared" si="2"/>
        <v>0.18633899812498247</v>
      </c>
      <c r="G18" s="399">
        <f t="shared" si="2"/>
        <v>0.25173012444988691</v>
      </c>
      <c r="H18" s="399">
        <f t="shared" si="2"/>
        <v>0.26104091846128474</v>
      </c>
      <c r="I18" s="399">
        <f t="shared" si="2"/>
        <v>0.28942591644687088</v>
      </c>
      <c r="J18" s="399">
        <f t="shared" si="2"/>
        <v>0.36383852492860369</v>
      </c>
      <c r="K18" s="399">
        <f t="shared" si="2"/>
        <v>0.34485302827597597</v>
      </c>
      <c r="L18" s="399">
        <f t="shared" si="2"/>
        <v>0.33592740617910621</v>
      </c>
      <c r="M18" s="399">
        <f t="shared" si="2"/>
        <v>0.34673577035610914</v>
      </c>
      <c r="N18" s="399">
        <f t="shared" si="2"/>
        <v>0.36443449342783124</v>
      </c>
      <c r="O18" s="399">
        <f t="shared" si="2"/>
        <v>0.32542706982944392</v>
      </c>
      <c r="P18" s="399">
        <f t="shared" si="2"/>
        <v>0.25173012444988691</v>
      </c>
    </row>
    <row r="19" spans="1:16" x14ac:dyDescent="0.25">
      <c r="A19">
        <v>4730</v>
      </c>
      <c r="B19" t="s">
        <v>458</v>
      </c>
      <c r="C19" s="399">
        <f t="shared" si="0"/>
        <v>9.3169499062491237E-2</v>
      </c>
      <c r="D19" s="399">
        <f t="shared" si="2"/>
        <v>8.5898033867034596E-2</v>
      </c>
      <c r="E19" s="399">
        <f t="shared" si="2"/>
        <v>0.12672421938121289</v>
      </c>
      <c r="F19" s="399">
        <f t="shared" si="2"/>
        <v>9.3169499062491237E-2</v>
      </c>
      <c r="G19" s="399">
        <f t="shared" si="2"/>
        <v>0.14731391274719741</v>
      </c>
      <c r="H19" s="399">
        <f t="shared" si="2"/>
        <v>0.16271353491472196</v>
      </c>
      <c r="I19" s="399">
        <f t="shared" si="2"/>
        <v>0.19207384286026846</v>
      </c>
      <c r="J19" s="399">
        <f t="shared" si="2"/>
        <v>0.25430324199445209</v>
      </c>
      <c r="K19" s="399">
        <f t="shared" si="2"/>
        <v>0.23753654689565373</v>
      </c>
      <c r="L19" s="399">
        <f t="shared" si="2"/>
        <v>0.23570226039551584</v>
      </c>
      <c r="M19" s="399">
        <f t="shared" si="2"/>
        <v>0.25086655372483946</v>
      </c>
      <c r="N19" s="399">
        <f t="shared" si="2"/>
        <v>0.2651650429449553</v>
      </c>
      <c r="O19" s="399">
        <f t="shared" si="2"/>
        <v>0.26352313834736496</v>
      </c>
      <c r="P19" s="399">
        <f t="shared" si="2"/>
        <v>0.23011168785806793</v>
      </c>
    </row>
    <row r="20" spans="1:16" x14ac:dyDescent="0.25">
      <c r="A20">
        <v>4707</v>
      </c>
      <c r="B20" t="s">
        <v>450</v>
      </c>
      <c r="C20" s="399">
        <f t="shared" si="0"/>
        <v>0.12672421938121289</v>
      </c>
      <c r="D20" s="399">
        <f t="shared" si="2"/>
        <v>0.10622957319984967</v>
      </c>
      <c r="E20" s="399">
        <f t="shared" si="2"/>
        <v>0.10622957319984967</v>
      </c>
      <c r="F20" s="399">
        <f t="shared" si="2"/>
        <v>4.6584749531245619E-2</v>
      </c>
      <c r="G20" s="399">
        <f t="shared" si="2"/>
        <v>2.0833333333333332E-2</v>
      </c>
      <c r="H20" s="399">
        <f t="shared" si="2"/>
        <v>2.946278254943948E-2</v>
      </c>
      <c r="I20" s="399">
        <f t="shared" si="2"/>
        <v>5.892556509887896E-2</v>
      </c>
      <c r="J20" s="399">
        <f t="shared" si="2"/>
        <v>0.13176156917368248</v>
      </c>
      <c r="K20" s="399">
        <f t="shared" si="2"/>
        <v>0.11219093348196882</v>
      </c>
      <c r="L20" s="399">
        <f t="shared" si="2"/>
        <v>0.10416666666666666</v>
      </c>
      <c r="M20" s="399">
        <f t="shared" si="2"/>
        <v>0.11785113019775792</v>
      </c>
      <c r="N20" s="399">
        <f t="shared" si="2"/>
        <v>0.13339842161318433</v>
      </c>
      <c r="O20" s="399">
        <f t="shared" si="2"/>
        <v>0.14583333333333331</v>
      </c>
      <c r="P20" s="399">
        <f t="shared" si="2"/>
        <v>0.16271353491472196</v>
      </c>
    </row>
    <row r="21" spans="1:16" x14ac:dyDescent="0.25">
      <c r="A21">
        <v>4703</v>
      </c>
      <c r="B21" t="s">
        <v>505</v>
      </c>
      <c r="C21" s="399">
        <f t="shared" si="0"/>
        <v>0.37557825786083221</v>
      </c>
      <c r="D21" s="399">
        <f t="shared" si="2"/>
        <v>0.39528470752104738</v>
      </c>
      <c r="E21" s="399">
        <f t="shared" si="2"/>
        <v>0.41036907507483766</v>
      </c>
      <c r="F21" s="399">
        <f t="shared" si="2"/>
        <v>0.45500686808003238</v>
      </c>
      <c r="G21" s="399">
        <f t="shared" si="2"/>
        <v>0.52083333333333326</v>
      </c>
      <c r="H21" s="399">
        <f t="shared" si="2"/>
        <v>0.52704627669472992</v>
      </c>
      <c r="I21" s="399">
        <f t="shared" si="2"/>
        <v>0.55355542731610097</v>
      </c>
      <c r="J21" s="399">
        <f t="shared" si="2"/>
        <v>0.63259276877870729</v>
      </c>
      <c r="K21" s="399">
        <f t="shared" si="2"/>
        <v>0.61272671541053092</v>
      </c>
      <c r="L21" s="399">
        <f t="shared" si="2"/>
        <v>0.59984083537033195</v>
      </c>
      <c r="M21" s="399">
        <f t="shared" si="2"/>
        <v>0.60739082237971875</v>
      </c>
      <c r="N21" s="399">
        <f t="shared" si="2"/>
        <v>0.62673370652047178</v>
      </c>
      <c r="O21" s="399">
        <f t="shared" si="2"/>
        <v>0.56095466740984412</v>
      </c>
      <c r="P21" s="399">
        <f t="shared" si="2"/>
        <v>0.46257506898280243</v>
      </c>
    </row>
    <row r="22" spans="1:16" x14ac:dyDescent="0.25">
      <c r="A22">
        <v>4641</v>
      </c>
      <c r="B22" t="s">
        <v>491</v>
      </c>
      <c r="C22" s="399">
        <f t="shared" si="0"/>
        <v>0.17921510973005472</v>
      </c>
      <c r="D22" s="399">
        <f t="shared" ref="D22:L22" si="3">SQRT(((LEFT(D$6,3)-LEFT($B22,3))*(LEFT(D$6,3)-LEFT($B22,3)))+((RIGHT(D$6,3)-RIGHT($B22,3))*(RIGHT(D$6,3)-RIGHT($B22,3))))*$D$1</f>
        <v>0.19654127358451257</v>
      </c>
      <c r="E22" s="399">
        <f t="shared" si="3"/>
        <v>0.22146137109863853</v>
      </c>
      <c r="F22" s="399">
        <f t="shared" si="3"/>
        <v>0.25173012444988691</v>
      </c>
      <c r="G22" s="399">
        <f t="shared" si="3"/>
        <v>0.31732387941099616</v>
      </c>
      <c r="H22" s="399">
        <f t="shared" si="3"/>
        <v>0.32609324671871931</v>
      </c>
      <c r="I22" s="399">
        <f t="shared" si="3"/>
        <v>0.35416666666666663</v>
      </c>
      <c r="J22" s="399">
        <f t="shared" si="3"/>
        <v>0.42949016933517298</v>
      </c>
      <c r="K22" s="399">
        <f t="shared" si="3"/>
        <v>0.41036907507483766</v>
      </c>
      <c r="L22" s="399">
        <f t="shared" si="3"/>
        <v>0.40073716795148628</v>
      </c>
      <c r="M22" s="399">
        <f t="shared" ref="D22:P37" si="4">SQRT(((LEFT(M$6,3)-LEFT($B22,3))*(LEFT(M$6,3)-LEFT($B22,3)))+((RIGHT(M$6,3)-RIGHT($B22,3))*(RIGHT(M$6,3)-RIGHT($B22,3))))*$D$1</f>
        <v>0.41089756090241708</v>
      </c>
      <c r="N22" s="399">
        <f t="shared" si="4"/>
        <v>0.4289845892077917</v>
      </c>
      <c r="O22" s="399">
        <f t="shared" si="4"/>
        <v>0.38301617314271319</v>
      </c>
      <c r="P22" s="399">
        <f t="shared" si="4"/>
        <v>0.30046260628866572</v>
      </c>
    </row>
    <row r="23" spans="1:16" x14ac:dyDescent="0.25">
      <c r="A23">
        <v>4506</v>
      </c>
      <c r="B23" t="s">
        <v>471</v>
      </c>
      <c r="C23" s="399">
        <f t="shared" si="0"/>
        <v>0.13339842161318433</v>
      </c>
      <c r="D23" s="399">
        <f t="shared" si="4"/>
        <v>0.14731391274719741</v>
      </c>
      <c r="E23" s="399">
        <f t="shared" si="4"/>
        <v>0.17921510973005472</v>
      </c>
      <c r="F23" s="399">
        <f t="shared" si="4"/>
        <v>0.19654127358451257</v>
      </c>
      <c r="G23" s="399">
        <f t="shared" si="4"/>
        <v>0.26104091846128474</v>
      </c>
      <c r="H23" s="399">
        <f t="shared" si="4"/>
        <v>0.27163343355011038</v>
      </c>
      <c r="I23" s="399">
        <f t="shared" si="4"/>
        <v>0.30046260628866572</v>
      </c>
      <c r="J23" s="399">
        <f t="shared" si="4"/>
        <v>0.37267799624996495</v>
      </c>
      <c r="K23" s="399">
        <f t="shared" si="4"/>
        <v>0.35416666666666663</v>
      </c>
      <c r="L23" s="399">
        <f t="shared" si="4"/>
        <v>0.34673577035610914</v>
      </c>
      <c r="M23" s="399">
        <f t="shared" si="4"/>
        <v>0.35843021946010944</v>
      </c>
      <c r="N23" s="399">
        <f t="shared" si="4"/>
        <v>0.37557825786083221</v>
      </c>
      <c r="O23" s="399">
        <f t="shared" si="4"/>
        <v>0.34169207222618181</v>
      </c>
      <c r="P23" s="399">
        <f t="shared" si="4"/>
        <v>0.27083333333333331</v>
      </c>
    </row>
    <row r="24" spans="1:16" x14ac:dyDescent="0.25">
      <c r="A24">
        <v>4493</v>
      </c>
      <c r="B24" t="s">
        <v>494</v>
      </c>
      <c r="C24" s="399">
        <f t="shared" si="0"/>
        <v>0.5837052385884125</v>
      </c>
      <c r="D24" s="399">
        <f t="shared" si="4"/>
        <v>0.60452575535612119</v>
      </c>
      <c r="E24" s="399">
        <f t="shared" si="4"/>
        <v>0.60739082237971875</v>
      </c>
      <c r="F24" s="399">
        <f t="shared" si="4"/>
        <v>0.66699210806592168</v>
      </c>
      <c r="G24" s="399">
        <f t="shared" si="4"/>
        <v>0.73035617262325436</v>
      </c>
      <c r="H24" s="399">
        <f t="shared" si="4"/>
        <v>0.73184033626042899</v>
      </c>
      <c r="I24" s="399">
        <f t="shared" si="4"/>
        <v>0.75461542817811811</v>
      </c>
      <c r="J24" s="399">
        <f t="shared" si="4"/>
        <v>0.83748963509340746</v>
      </c>
      <c r="K24" s="399">
        <f t="shared" si="4"/>
        <v>0.81676232432969409</v>
      </c>
      <c r="L24" s="399">
        <f t="shared" si="4"/>
        <v>0.79849032903069994</v>
      </c>
      <c r="M24" s="399">
        <f t="shared" si="4"/>
        <v>0.80147433590297257</v>
      </c>
      <c r="N24" s="399">
        <f t="shared" si="4"/>
        <v>0.82205915237286908</v>
      </c>
      <c r="O24" s="399">
        <f t="shared" si="4"/>
        <v>0.73272939146120719</v>
      </c>
      <c r="P24" s="399">
        <f t="shared" si="4"/>
        <v>0.62673370652047178</v>
      </c>
    </row>
    <row r="25" spans="1:16" x14ac:dyDescent="0.25">
      <c r="A25">
        <v>4435</v>
      </c>
      <c r="B25" t="s">
        <v>483</v>
      </c>
      <c r="C25" s="399">
        <f t="shared" si="0"/>
        <v>0.25769410160110373</v>
      </c>
      <c r="D25" s="399">
        <f t="shared" si="4"/>
        <v>0.27795133466929861</v>
      </c>
      <c r="E25" s="399">
        <f t="shared" si="4"/>
        <v>0.29017475577466911</v>
      </c>
      <c r="F25" s="399">
        <f t="shared" si="4"/>
        <v>0.33914209575207721</v>
      </c>
      <c r="G25" s="399">
        <f t="shared" si="4"/>
        <v>0.40451016331140832</v>
      </c>
      <c r="H25" s="399">
        <f t="shared" si="4"/>
        <v>0.40931005634142703</v>
      </c>
      <c r="I25" s="399">
        <f t="shared" si="4"/>
        <v>0.43501277120460624</v>
      </c>
      <c r="J25" s="399">
        <f t="shared" si="4"/>
        <v>0.51538820320220746</v>
      </c>
      <c r="K25" s="399">
        <f t="shared" si="4"/>
        <v>0.49520268016686303</v>
      </c>
      <c r="L25" s="399">
        <f t="shared" si="4"/>
        <v>0.48097484919229982</v>
      </c>
      <c r="M25" s="399">
        <f t="shared" si="4"/>
        <v>0.4876958296133177</v>
      </c>
      <c r="N25" s="399">
        <f t="shared" si="4"/>
        <v>0.50732481924524664</v>
      </c>
      <c r="O25" s="399">
        <f t="shared" si="4"/>
        <v>0.43947964811935392</v>
      </c>
      <c r="P25" s="399">
        <f t="shared" si="4"/>
        <v>0.34169207222618181</v>
      </c>
    </row>
    <row r="26" spans="1:16" x14ac:dyDescent="0.25">
      <c r="A26">
        <v>4419</v>
      </c>
      <c r="B26" t="s">
        <v>493</v>
      </c>
      <c r="C26" s="399">
        <f t="shared" si="0"/>
        <v>0.4375</v>
      </c>
      <c r="D26" s="399">
        <f t="shared" si="4"/>
        <v>0.45833333333333331</v>
      </c>
      <c r="E26" s="399">
        <f t="shared" si="4"/>
        <v>0.46022337571613586</v>
      </c>
      <c r="F26" s="399">
        <f t="shared" si="4"/>
        <v>0.52083333333333326</v>
      </c>
      <c r="G26" s="399">
        <f t="shared" si="4"/>
        <v>0.5837052385884125</v>
      </c>
      <c r="H26" s="399">
        <f t="shared" si="4"/>
        <v>0.58481953531742492</v>
      </c>
      <c r="I26" s="399">
        <f t="shared" si="4"/>
        <v>0.60739082237971875</v>
      </c>
      <c r="J26" s="399">
        <f t="shared" si="4"/>
        <v>0.69033506357420382</v>
      </c>
      <c r="K26" s="399">
        <f t="shared" si="4"/>
        <v>0.66958994499950819</v>
      </c>
      <c r="L26" s="399">
        <f t="shared" si="4"/>
        <v>0.65118748367032431</v>
      </c>
      <c r="M26" s="399">
        <f t="shared" si="4"/>
        <v>0.65417993617114922</v>
      </c>
      <c r="N26" s="399">
        <f t="shared" si="4"/>
        <v>0.67475561419590191</v>
      </c>
      <c r="O26" s="399">
        <f t="shared" si="4"/>
        <v>0.58667199334703013</v>
      </c>
      <c r="P26" s="399">
        <f t="shared" si="4"/>
        <v>0.48097484919229982</v>
      </c>
    </row>
    <row r="27" spans="1:16" x14ac:dyDescent="0.25">
      <c r="A27">
        <v>4356</v>
      </c>
      <c r="B27" t="s">
        <v>474</v>
      </c>
      <c r="C27" s="399">
        <f t="shared" si="0"/>
        <v>0.19654127358451257</v>
      </c>
      <c r="D27" s="399">
        <f t="shared" si="4"/>
        <v>0.21449229460389585</v>
      </c>
      <c r="E27" s="399">
        <f t="shared" si="4"/>
        <v>0.23753654689565373</v>
      </c>
      <c r="F27" s="399">
        <f t="shared" si="4"/>
        <v>0.27083333333333331</v>
      </c>
      <c r="G27" s="399">
        <f t="shared" si="4"/>
        <v>0.33657280044590643</v>
      </c>
      <c r="H27" s="399">
        <f t="shared" si="4"/>
        <v>0.34485302827597597</v>
      </c>
      <c r="I27" s="399">
        <f t="shared" si="4"/>
        <v>0.37267799624996495</v>
      </c>
      <c r="J27" s="399">
        <f t="shared" si="4"/>
        <v>0.44876373392787527</v>
      </c>
      <c r="K27" s="399">
        <f t="shared" si="4"/>
        <v>0.42949016933517298</v>
      </c>
      <c r="L27" s="399">
        <f t="shared" si="4"/>
        <v>0.41926274578121059</v>
      </c>
      <c r="M27" s="399">
        <f t="shared" si="4"/>
        <v>0.4289845892077917</v>
      </c>
      <c r="N27" s="399">
        <f t="shared" si="4"/>
        <v>0.44731063653299763</v>
      </c>
      <c r="O27" s="399">
        <f t="shared" si="4"/>
        <v>0.39802027446964161</v>
      </c>
      <c r="P27" s="399">
        <f t="shared" si="4"/>
        <v>0.3125</v>
      </c>
    </row>
    <row r="28" spans="1:16" x14ac:dyDescent="0.25">
      <c r="A28">
        <v>4172</v>
      </c>
      <c r="B28" t="s">
        <v>511</v>
      </c>
      <c r="C28" s="399">
        <f t="shared" si="0"/>
        <v>0.47002142386160323</v>
      </c>
      <c r="D28" s="399">
        <f t="shared" si="4"/>
        <v>0.49035842899749249</v>
      </c>
      <c r="E28" s="399">
        <f t="shared" si="4"/>
        <v>0.50086730334047114</v>
      </c>
      <c r="F28" s="399">
        <f t="shared" si="4"/>
        <v>0.55159176228640527</v>
      </c>
      <c r="G28" s="399">
        <f t="shared" si="4"/>
        <v>0.61696220395670198</v>
      </c>
      <c r="H28" s="399">
        <f t="shared" si="4"/>
        <v>0.62151807875734577</v>
      </c>
      <c r="I28" s="399">
        <f t="shared" si="4"/>
        <v>0.64684061234416768</v>
      </c>
      <c r="J28" s="399">
        <f t="shared" si="4"/>
        <v>0.72767704985720738</v>
      </c>
      <c r="K28" s="399">
        <f t="shared" si="4"/>
        <v>0.70741361859790186</v>
      </c>
      <c r="L28" s="399">
        <f t="shared" si="4"/>
        <v>0.69253208910811082</v>
      </c>
      <c r="M28" s="399">
        <f t="shared" si="4"/>
        <v>0.69846060892667539</v>
      </c>
      <c r="N28" s="399">
        <f t="shared" si="4"/>
        <v>0.71837248539861109</v>
      </c>
      <c r="O28" s="399">
        <f t="shared" si="4"/>
        <v>0.64313954335138046</v>
      </c>
      <c r="P28" s="399">
        <f t="shared" si="4"/>
        <v>0.5404634071280352</v>
      </c>
    </row>
    <row r="29" spans="1:16" x14ac:dyDescent="0.25">
      <c r="A29">
        <v>4097</v>
      </c>
      <c r="B29" t="s">
        <v>452</v>
      </c>
      <c r="C29" s="399">
        <f t="shared" si="0"/>
        <v>0.12147816447594376</v>
      </c>
      <c r="D29" s="399">
        <f t="shared" si="4"/>
        <v>0.10416666666666666</v>
      </c>
      <c r="E29" s="399">
        <f t="shared" si="4"/>
        <v>8.5898033867034596E-2</v>
      </c>
      <c r="F29" s="399">
        <f t="shared" si="4"/>
        <v>6.588078458684124E-2</v>
      </c>
      <c r="G29" s="399">
        <f t="shared" si="4"/>
        <v>5.892556509887896E-2</v>
      </c>
      <c r="H29" s="399">
        <f t="shared" si="4"/>
        <v>4.6584749531245619E-2</v>
      </c>
      <c r="I29" s="399">
        <f t="shared" si="4"/>
        <v>6.25E-2</v>
      </c>
      <c r="J29" s="399">
        <f t="shared" si="4"/>
        <v>0.14583333333333331</v>
      </c>
      <c r="K29" s="399">
        <f t="shared" si="4"/>
        <v>0.125</v>
      </c>
      <c r="L29" s="399">
        <f t="shared" si="4"/>
        <v>0.10622957319984967</v>
      </c>
      <c r="M29" s="399">
        <f t="shared" si="4"/>
        <v>0.11219093348196882</v>
      </c>
      <c r="N29" s="399">
        <f t="shared" si="4"/>
        <v>0.13176156917368248</v>
      </c>
      <c r="O29" s="399">
        <f t="shared" si="4"/>
        <v>0.10622957319984967</v>
      </c>
      <c r="P29" s="399">
        <f t="shared" si="4"/>
        <v>0.11785113019775792</v>
      </c>
    </row>
    <row r="30" spans="1:16" x14ac:dyDescent="0.25">
      <c r="A30">
        <v>4082</v>
      </c>
      <c r="B30" t="s">
        <v>473</v>
      </c>
      <c r="C30" s="399">
        <f t="shared" si="0"/>
        <v>0.41666666666666663</v>
      </c>
      <c r="D30" s="399">
        <f t="shared" si="4"/>
        <v>0.4375</v>
      </c>
      <c r="E30" s="399">
        <f t="shared" si="4"/>
        <v>0.43947964811935392</v>
      </c>
      <c r="F30" s="399">
        <f t="shared" si="4"/>
        <v>0.5</v>
      </c>
      <c r="G30" s="399">
        <f t="shared" si="4"/>
        <v>0.56288567025442893</v>
      </c>
      <c r="H30" s="399">
        <f t="shared" si="4"/>
        <v>0.56404109877837016</v>
      </c>
      <c r="I30" s="399">
        <f t="shared" si="4"/>
        <v>0.58667199334703013</v>
      </c>
      <c r="J30" s="399">
        <f t="shared" si="4"/>
        <v>0.66958994499950819</v>
      </c>
      <c r="K30" s="399">
        <f t="shared" si="4"/>
        <v>0.64885047926655981</v>
      </c>
      <c r="L30" s="399">
        <f t="shared" si="4"/>
        <v>0.63053108126756485</v>
      </c>
      <c r="M30" s="399">
        <f t="shared" si="4"/>
        <v>0.6336210969060645</v>
      </c>
      <c r="N30" s="399">
        <f t="shared" si="4"/>
        <v>0.65417993617114922</v>
      </c>
      <c r="O30" s="399">
        <f t="shared" si="4"/>
        <v>0.56672793786397679</v>
      </c>
      <c r="P30" s="399">
        <f t="shared" si="4"/>
        <v>0.4611654921078886</v>
      </c>
    </row>
    <row r="31" spans="1:16" x14ac:dyDescent="0.25">
      <c r="A31">
        <v>3918</v>
      </c>
      <c r="B31" t="s">
        <v>506</v>
      </c>
      <c r="C31" s="399">
        <f t="shared" si="0"/>
        <v>0.32542706982944392</v>
      </c>
      <c r="D31" s="399">
        <f t="shared" si="4"/>
        <v>0.34169207222618181</v>
      </c>
      <c r="E31" s="399">
        <f t="shared" si="4"/>
        <v>0.36857929193654437</v>
      </c>
      <c r="F31" s="399">
        <f t="shared" si="4"/>
        <v>0.39308254716902513</v>
      </c>
      <c r="G31" s="399">
        <f t="shared" si="4"/>
        <v>0.45738538333541978</v>
      </c>
      <c r="H31" s="399">
        <f t="shared" si="4"/>
        <v>0.46817093863008813</v>
      </c>
      <c r="I31" s="399">
        <f t="shared" si="4"/>
        <v>0.49695251841152344</v>
      </c>
      <c r="J31" s="399">
        <f t="shared" si="4"/>
        <v>0.56863933599817418</v>
      </c>
      <c r="K31" s="399">
        <f t="shared" si="4"/>
        <v>0.55041020056762102</v>
      </c>
      <c r="L31" s="399">
        <f t="shared" si="4"/>
        <v>0.54326686710022076</v>
      </c>
      <c r="M31" s="399">
        <f t="shared" si="4"/>
        <v>0.5547302898205978</v>
      </c>
      <c r="N31" s="399">
        <f t="shared" si="4"/>
        <v>0.5720637590727492</v>
      </c>
      <c r="O31" s="399">
        <f t="shared" si="4"/>
        <v>0.5303300858899106</v>
      </c>
      <c r="P31" s="399">
        <f t="shared" si="4"/>
        <v>0.44585280331318111</v>
      </c>
    </row>
    <row r="32" spans="1:16" x14ac:dyDescent="0.25">
      <c r="A32">
        <v>3884</v>
      </c>
      <c r="B32" t="s">
        <v>495</v>
      </c>
      <c r="C32" s="399">
        <f t="shared" si="0"/>
        <v>0.56863933599817418</v>
      </c>
      <c r="D32" s="399">
        <f t="shared" si="4"/>
        <v>0.58925565098878963</v>
      </c>
      <c r="E32" s="399">
        <f t="shared" si="4"/>
        <v>0.59657587763651465</v>
      </c>
      <c r="F32" s="399">
        <f t="shared" si="4"/>
        <v>0.65118748367032431</v>
      </c>
      <c r="G32" s="399">
        <f t="shared" si="4"/>
        <v>0.71595167822664918</v>
      </c>
      <c r="H32" s="399">
        <f t="shared" si="4"/>
        <v>0.71927818756800277</v>
      </c>
      <c r="I32" s="399">
        <f t="shared" si="4"/>
        <v>0.74360701239894778</v>
      </c>
      <c r="J32" s="399">
        <f t="shared" si="4"/>
        <v>0.82548386483995628</v>
      </c>
      <c r="K32" s="399">
        <f t="shared" si="4"/>
        <v>0.80498662859840231</v>
      </c>
      <c r="L32" s="399">
        <f t="shared" si="4"/>
        <v>0.7886455512811541</v>
      </c>
      <c r="M32" s="399">
        <f t="shared" si="4"/>
        <v>0.79330969852749045</v>
      </c>
      <c r="N32" s="399">
        <f t="shared" si="4"/>
        <v>0.81356767457360979</v>
      </c>
      <c r="O32" s="399">
        <f t="shared" si="4"/>
        <v>0.7315437444199766</v>
      </c>
      <c r="P32" s="399">
        <f t="shared" si="4"/>
        <v>0.62673370652047178</v>
      </c>
    </row>
    <row r="33" spans="1:16" x14ac:dyDescent="0.25">
      <c r="A33">
        <v>3793</v>
      </c>
      <c r="B33" t="s">
        <v>508</v>
      </c>
      <c r="C33" s="399">
        <f t="shared" si="0"/>
        <v>0.15023130314433286</v>
      </c>
      <c r="D33" s="399">
        <f t="shared" si="4"/>
        <v>0.16271353491472196</v>
      </c>
      <c r="E33" s="399">
        <f t="shared" si="4"/>
        <v>0.19654127358451257</v>
      </c>
      <c r="F33" s="399">
        <f t="shared" si="4"/>
        <v>0.20833333333333331</v>
      </c>
      <c r="G33" s="399">
        <f t="shared" si="4"/>
        <v>0.27163343355011038</v>
      </c>
      <c r="H33" s="399">
        <f t="shared" si="4"/>
        <v>0.2833639689319884</v>
      </c>
      <c r="I33" s="399">
        <f t="shared" si="4"/>
        <v>0.3125</v>
      </c>
      <c r="J33" s="399">
        <f t="shared" si="4"/>
        <v>0.3824491614726212</v>
      </c>
      <c r="K33" s="399">
        <f t="shared" si="4"/>
        <v>0.36443449342783124</v>
      </c>
      <c r="L33" s="399">
        <f t="shared" si="4"/>
        <v>0.35843021946010944</v>
      </c>
      <c r="M33" s="399">
        <f t="shared" si="4"/>
        <v>0.37092695447426782</v>
      </c>
      <c r="N33" s="399">
        <f t="shared" si="4"/>
        <v>0.38752240078621403</v>
      </c>
      <c r="O33" s="399">
        <f t="shared" si="4"/>
        <v>0.35843021946010944</v>
      </c>
      <c r="P33" s="399">
        <f t="shared" si="4"/>
        <v>0.29017475577466911</v>
      </c>
    </row>
    <row r="34" spans="1:16" x14ac:dyDescent="0.25">
      <c r="A34">
        <v>3714</v>
      </c>
      <c r="B34" t="s">
        <v>512</v>
      </c>
      <c r="C34" s="399">
        <f t="shared" si="0"/>
        <v>0.37092695447426782</v>
      </c>
      <c r="D34" s="399">
        <f t="shared" si="4"/>
        <v>0.38752240078621403</v>
      </c>
      <c r="E34" s="399">
        <f t="shared" si="4"/>
        <v>0.41352985919331681</v>
      </c>
      <c r="F34" s="399">
        <f t="shared" si="4"/>
        <v>0.43947964811935392</v>
      </c>
      <c r="G34" s="399">
        <f t="shared" si="4"/>
        <v>0.50389110926865932</v>
      </c>
      <c r="H34" s="399">
        <f t="shared" si="4"/>
        <v>0.51454537646785281</v>
      </c>
      <c r="I34" s="399">
        <f t="shared" si="4"/>
        <v>0.54326686710022076</v>
      </c>
      <c r="J34" s="399">
        <f t="shared" si="4"/>
        <v>0.61520096084305831</v>
      </c>
      <c r="K34" s="399">
        <f t="shared" si="4"/>
        <v>0.5969395325789334</v>
      </c>
      <c r="L34" s="399">
        <f t="shared" si="4"/>
        <v>0.5896238207535377</v>
      </c>
      <c r="M34" s="399">
        <f t="shared" si="4"/>
        <v>0.60092521257733145</v>
      </c>
      <c r="N34" s="399">
        <f t="shared" si="4"/>
        <v>0.61836758665232616</v>
      </c>
      <c r="O34" s="399">
        <f t="shared" si="4"/>
        <v>0.57471309267223836</v>
      </c>
      <c r="P34" s="399">
        <f t="shared" si="4"/>
        <v>0.48814060474416587</v>
      </c>
    </row>
    <row r="35" spans="1:16" x14ac:dyDescent="0.25">
      <c r="A35">
        <v>3659</v>
      </c>
      <c r="B35" t="s">
        <v>448</v>
      </c>
      <c r="C35" s="399">
        <f t="shared" si="0"/>
        <v>0.42949016933517298</v>
      </c>
      <c r="D35" s="399">
        <f t="shared" si="4"/>
        <v>0.44972985718589376</v>
      </c>
      <c r="E35" s="399">
        <f t="shared" si="4"/>
        <v>0.44194173824159222</v>
      </c>
      <c r="F35" s="399">
        <f t="shared" si="4"/>
        <v>0.51073544467213594</v>
      </c>
      <c r="G35" s="399">
        <f t="shared" si="4"/>
        <v>0.56863933599817418</v>
      </c>
      <c r="H35" s="399">
        <f t="shared" si="4"/>
        <v>0.56596157113358847</v>
      </c>
      <c r="I35" s="399">
        <f t="shared" si="4"/>
        <v>0.58481953531742492</v>
      </c>
      <c r="J35" s="399">
        <f t="shared" si="4"/>
        <v>0.66796748091172486</v>
      </c>
      <c r="K35" s="399">
        <f t="shared" si="4"/>
        <v>0.64717602362537774</v>
      </c>
      <c r="L35" s="399">
        <f t="shared" si="4"/>
        <v>0.6253471258251514</v>
      </c>
      <c r="M35" s="399">
        <f t="shared" si="4"/>
        <v>0.625</v>
      </c>
      <c r="N35" s="399">
        <f t="shared" si="4"/>
        <v>0.64583333333333326</v>
      </c>
      <c r="O35" s="399">
        <f t="shared" si="4"/>
        <v>0.54526051367926665</v>
      </c>
      <c r="P35" s="399">
        <f t="shared" si="4"/>
        <v>0.43947964811935392</v>
      </c>
    </row>
    <row r="36" spans="1:16" x14ac:dyDescent="0.25">
      <c r="A36">
        <v>3605</v>
      </c>
      <c r="B36" t="s">
        <v>459</v>
      </c>
      <c r="C36" s="399">
        <f t="shared" si="0"/>
        <v>0.15166895602667746</v>
      </c>
      <c r="D36" s="399">
        <f t="shared" si="4"/>
        <v>0.13176156917368248</v>
      </c>
      <c r="E36" s="399">
        <f t="shared" si="4"/>
        <v>0.15023130314433286</v>
      </c>
      <c r="F36" s="399">
        <f t="shared" si="4"/>
        <v>7.5115651572166431E-2</v>
      </c>
      <c r="G36" s="399">
        <f t="shared" si="4"/>
        <v>6.25E-2</v>
      </c>
      <c r="H36" s="399">
        <f t="shared" si="4"/>
        <v>8.3333333333333329E-2</v>
      </c>
      <c r="I36" s="399">
        <f t="shared" si="4"/>
        <v>0.10622957319984967</v>
      </c>
      <c r="J36" s="399">
        <f t="shared" si="4"/>
        <v>0.14731391274719741</v>
      </c>
      <c r="K36" s="399">
        <f t="shared" si="4"/>
        <v>0.13339842161318433</v>
      </c>
      <c r="L36" s="399">
        <f t="shared" si="4"/>
        <v>0.13975424859373686</v>
      </c>
      <c r="M36" s="399">
        <f t="shared" si="4"/>
        <v>0.15866193970549808</v>
      </c>
      <c r="N36" s="399">
        <f t="shared" si="4"/>
        <v>0.16796370308955311</v>
      </c>
      <c r="O36" s="399">
        <f t="shared" si="4"/>
        <v>0.20937240877335186</v>
      </c>
      <c r="P36" s="399">
        <f t="shared" si="4"/>
        <v>0.22534695471649935</v>
      </c>
    </row>
    <row r="37" spans="1:16" x14ac:dyDescent="0.25">
      <c r="A37">
        <v>3575</v>
      </c>
      <c r="B37" t="s">
        <v>514</v>
      </c>
      <c r="C37" s="399">
        <f t="shared" si="0"/>
        <v>0.50732481924524664</v>
      </c>
      <c r="D37" s="399">
        <f t="shared" si="4"/>
        <v>0.52704627669472992</v>
      </c>
      <c r="E37" s="399">
        <f t="shared" si="4"/>
        <v>0.54166666666666663</v>
      </c>
      <c r="F37" s="399">
        <f t="shared" si="4"/>
        <v>0.58667199334703013</v>
      </c>
      <c r="G37" s="399">
        <f t="shared" si="4"/>
        <v>0.65251915680690931</v>
      </c>
      <c r="H37" s="399">
        <f t="shared" si="4"/>
        <v>0.65880784586841235</v>
      </c>
      <c r="I37" s="399">
        <f t="shared" si="4"/>
        <v>0.68528684180827182</v>
      </c>
      <c r="J37" s="399">
        <f t="shared" si="4"/>
        <v>0.76433068032683915</v>
      </c>
      <c r="K37" s="399">
        <f t="shared" si="4"/>
        <v>0.74448201605023478</v>
      </c>
      <c r="L37" s="399">
        <f t="shared" si="4"/>
        <v>0.7315437444199766</v>
      </c>
      <c r="M37" s="399">
        <f t="shared" si="4"/>
        <v>0.73892282712367496</v>
      </c>
      <c r="N37" s="399">
        <f t="shared" si="4"/>
        <v>0.75834478013338735</v>
      </c>
      <c r="O37" s="399">
        <f t="shared" si="4"/>
        <v>0.69002063173663308</v>
      </c>
      <c r="P37" s="399">
        <f t="shared" si="4"/>
        <v>0.5896238207535377</v>
      </c>
    </row>
    <row r="38" spans="1:16" x14ac:dyDescent="0.25">
      <c r="A38">
        <v>3546</v>
      </c>
      <c r="B38" t="s">
        <v>490</v>
      </c>
      <c r="C38" s="399">
        <f t="shared" si="0"/>
        <v>0.73035617262325436</v>
      </c>
      <c r="D38" s="399">
        <f t="shared" ref="D38:P53" si="5">SQRT(((LEFT(D$6,3)-LEFT($B38,3))*(LEFT(D$6,3)-LEFT($B38,3)))+((RIGHT(D$6,3)-RIGHT($B38,3))*(RIGHT(D$6,3)-RIGHT($B38,3))))*$D$1</f>
        <v>0.75115651572166442</v>
      </c>
      <c r="E38" s="399">
        <f t="shared" si="5"/>
        <v>0.75</v>
      </c>
      <c r="F38" s="399">
        <f t="shared" si="5"/>
        <v>0.81356767457360979</v>
      </c>
      <c r="G38" s="399">
        <f t="shared" si="5"/>
        <v>0.87524798073333354</v>
      </c>
      <c r="H38" s="399">
        <f t="shared" si="5"/>
        <v>0.875</v>
      </c>
      <c r="I38" s="399">
        <f t="shared" si="5"/>
        <v>0.89607554865027361</v>
      </c>
      <c r="J38" s="399">
        <f t="shared" si="5"/>
        <v>0.97938827279526319</v>
      </c>
      <c r="K38" s="399">
        <f t="shared" si="5"/>
        <v>0.95855975586061171</v>
      </c>
      <c r="L38" s="399">
        <f t="shared" si="5"/>
        <v>0.93842546912960068</v>
      </c>
      <c r="M38" s="399">
        <f t="shared" si="5"/>
        <v>0.93958102364830665</v>
      </c>
      <c r="N38" s="399">
        <f t="shared" si="5"/>
        <v>0.96036921430134248</v>
      </c>
      <c r="O38" s="399">
        <f t="shared" si="5"/>
        <v>0.86326455646252742</v>
      </c>
      <c r="P38" s="399">
        <f t="shared" si="5"/>
        <v>0.75719924355776025</v>
      </c>
    </row>
    <row r="39" spans="1:16" x14ac:dyDescent="0.25">
      <c r="A39">
        <v>3399</v>
      </c>
      <c r="B39" t="s">
        <v>510</v>
      </c>
      <c r="C39" s="399">
        <f t="shared" ref="C39:C71" si="6">SQRT(((LEFT(C$6,3)-LEFT($B39,3))*(LEFT(C$6,3)-LEFT($B39,3)))+((RIGHT(C$6,3)-RIGHT($B39,3))*(RIGHT(C$6,3)-RIGHT($B39,3))))*$D$1</f>
        <v>0.2833639689319884</v>
      </c>
      <c r="D39" s="399">
        <f t="shared" si="5"/>
        <v>0.29609730007399782</v>
      </c>
      <c r="E39" s="399">
        <f t="shared" si="5"/>
        <v>0.32940392293420617</v>
      </c>
      <c r="F39" s="399">
        <f t="shared" si="5"/>
        <v>0.33914209575207721</v>
      </c>
      <c r="G39" s="399">
        <f t="shared" si="5"/>
        <v>0.40019526483955303</v>
      </c>
      <c r="H39" s="399">
        <f t="shared" si="5"/>
        <v>0.41352985919331681</v>
      </c>
      <c r="I39" s="399">
        <f t="shared" si="5"/>
        <v>0.44292274219727706</v>
      </c>
      <c r="J39" s="399">
        <f t="shared" si="5"/>
        <v>0.50860648398890418</v>
      </c>
      <c r="K39" s="399">
        <f t="shared" si="5"/>
        <v>0.49168432171691445</v>
      </c>
      <c r="L39" s="399">
        <f t="shared" si="5"/>
        <v>0.48814060474416587</v>
      </c>
      <c r="M39" s="399">
        <f t="shared" si="5"/>
        <v>0.50173310744967892</v>
      </c>
      <c r="N39" s="399">
        <f t="shared" si="5"/>
        <v>0.51748926451559252</v>
      </c>
      <c r="O39" s="399">
        <f t="shared" si="5"/>
        <v>0.49168432171691445</v>
      </c>
      <c r="P39" s="399">
        <f t="shared" si="5"/>
        <v>0.41926274578121059</v>
      </c>
    </row>
    <row r="40" spans="1:16" x14ac:dyDescent="0.25">
      <c r="A40">
        <v>3280</v>
      </c>
      <c r="B40" t="s">
        <v>469</v>
      </c>
      <c r="C40" s="399">
        <f t="shared" si="6"/>
        <v>0.24295632895188751</v>
      </c>
      <c r="D40" s="399">
        <f t="shared" si="5"/>
        <v>0.26104091846128474</v>
      </c>
      <c r="E40" s="399">
        <f t="shared" si="5"/>
        <v>0.2833639689319884</v>
      </c>
      <c r="F40" s="399">
        <f t="shared" si="5"/>
        <v>0.31732387941099616</v>
      </c>
      <c r="G40" s="399">
        <f t="shared" si="5"/>
        <v>0.38301617314271319</v>
      </c>
      <c r="H40" s="399">
        <f t="shared" si="5"/>
        <v>0.39142279641783195</v>
      </c>
      <c r="I40" s="399">
        <f t="shared" si="5"/>
        <v>0.41926274578121059</v>
      </c>
      <c r="J40" s="399">
        <f t="shared" si="5"/>
        <v>0.49520268016686303</v>
      </c>
      <c r="K40" s="399">
        <f t="shared" si="5"/>
        <v>0.47598581911649429</v>
      </c>
      <c r="L40" s="399">
        <f t="shared" si="5"/>
        <v>0.46584749531245617</v>
      </c>
      <c r="M40" s="399">
        <f t="shared" si="5"/>
        <v>0.47552967543805524</v>
      </c>
      <c r="N40" s="399">
        <f t="shared" si="5"/>
        <v>0.49388623296373735</v>
      </c>
      <c r="O40" s="399">
        <f t="shared" si="5"/>
        <v>0.44292274219727706</v>
      </c>
      <c r="P40" s="399">
        <f t="shared" si="5"/>
        <v>0.35477888262346668</v>
      </c>
    </row>
    <row r="41" spans="1:16" x14ac:dyDescent="0.25">
      <c r="A41">
        <v>3269</v>
      </c>
      <c r="B41" t="s">
        <v>486</v>
      </c>
      <c r="C41" s="399">
        <f t="shared" si="6"/>
        <v>0.40235849824641595</v>
      </c>
      <c r="D41" s="399">
        <f t="shared" si="5"/>
        <v>0.42184284856909554</v>
      </c>
      <c r="E41" s="399">
        <f t="shared" si="5"/>
        <v>0.43799575086726328</v>
      </c>
      <c r="F41" s="399">
        <f t="shared" si="5"/>
        <v>0.48097484919229982</v>
      </c>
      <c r="G41" s="399">
        <f t="shared" si="5"/>
        <v>0.54685019785027866</v>
      </c>
      <c r="H41" s="399">
        <f t="shared" si="5"/>
        <v>0.55355542731610097</v>
      </c>
      <c r="I41" s="399">
        <f t="shared" si="5"/>
        <v>0.58034951154933823</v>
      </c>
      <c r="J41" s="399">
        <f t="shared" si="5"/>
        <v>0.65880784586841235</v>
      </c>
      <c r="K41" s="399">
        <f t="shared" si="5"/>
        <v>0.63907756875741528</v>
      </c>
      <c r="L41" s="399">
        <f t="shared" si="5"/>
        <v>0.62673370652047178</v>
      </c>
      <c r="M41" s="399">
        <f t="shared" si="5"/>
        <v>0.63464775882199231</v>
      </c>
      <c r="N41" s="399">
        <f t="shared" si="5"/>
        <v>0.65384811776980056</v>
      </c>
      <c r="O41" s="399">
        <f t="shared" si="5"/>
        <v>0.5896238207535377</v>
      </c>
      <c r="P41" s="399">
        <f t="shared" si="5"/>
        <v>0.49168432171691445</v>
      </c>
    </row>
    <row r="42" spans="1:16" x14ac:dyDescent="0.25">
      <c r="A42">
        <v>3236</v>
      </c>
      <c r="B42" t="s">
        <v>467</v>
      </c>
      <c r="C42" s="399">
        <f t="shared" si="6"/>
        <v>0.27950849718747373</v>
      </c>
      <c r="D42" s="399">
        <f t="shared" si="5"/>
        <v>0.29828793881825733</v>
      </c>
      <c r="E42" s="399">
        <f t="shared" si="5"/>
        <v>0.31800703171820305</v>
      </c>
      <c r="F42" s="399">
        <f t="shared" si="5"/>
        <v>0.3560001560548971</v>
      </c>
      <c r="G42" s="399">
        <f t="shared" si="5"/>
        <v>0.42184284856909554</v>
      </c>
      <c r="H42" s="399">
        <f t="shared" si="5"/>
        <v>0.42949016933517298</v>
      </c>
      <c r="I42" s="399">
        <f t="shared" si="5"/>
        <v>0.45691067082211057</v>
      </c>
      <c r="J42" s="399">
        <f t="shared" si="5"/>
        <v>0.53400023408234565</v>
      </c>
      <c r="K42" s="399">
        <f t="shared" si="5"/>
        <v>0.51454537646785281</v>
      </c>
      <c r="L42" s="399">
        <f t="shared" si="5"/>
        <v>0.50346024889977381</v>
      </c>
      <c r="M42" s="399">
        <f t="shared" si="5"/>
        <v>0.51243224484370176</v>
      </c>
      <c r="N42" s="399">
        <f t="shared" si="5"/>
        <v>0.53114786599924835</v>
      </c>
      <c r="O42" s="399">
        <f t="shared" si="5"/>
        <v>0.47507309379130747</v>
      </c>
      <c r="P42" s="399">
        <f t="shared" si="5"/>
        <v>0.38301617314271319</v>
      </c>
    </row>
    <row r="43" spans="1:16" x14ac:dyDescent="0.25">
      <c r="A43">
        <v>3150</v>
      </c>
      <c r="B43" t="s">
        <v>513</v>
      </c>
      <c r="C43" s="399">
        <f t="shared" si="6"/>
        <v>0.19207384286026846</v>
      </c>
      <c r="D43" s="399">
        <f t="shared" si="5"/>
        <v>0.20623947784607635</v>
      </c>
      <c r="E43" s="399">
        <f t="shared" si="5"/>
        <v>0.23753654689565373</v>
      </c>
      <c r="F43" s="399">
        <f t="shared" si="5"/>
        <v>0.25430324199445209</v>
      </c>
      <c r="G43" s="399">
        <f t="shared" si="5"/>
        <v>0.31800703171820305</v>
      </c>
      <c r="H43" s="399">
        <f t="shared" si="5"/>
        <v>0.32940392293420617</v>
      </c>
      <c r="I43" s="399">
        <f t="shared" si="5"/>
        <v>0.35843021946010944</v>
      </c>
      <c r="J43" s="399">
        <f t="shared" si="5"/>
        <v>0.4289845892077917</v>
      </c>
      <c r="K43" s="399">
        <f t="shared" si="5"/>
        <v>0.41089756090241708</v>
      </c>
      <c r="L43" s="399">
        <f t="shared" si="5"/>
        <v>0.40451016331140832</v>
      </c>
      <c r="M43" s="399">
        <f t="shared" si="5"/>
        <v>0.41666666666666663</v>
      </c>
      <c r="N43" s="399">
        <f t="shared" si="5"/>
        <v>0.43351358430593356</v>
      </c>
      <c r="O43" s="399">
        <f t="shared" si="5"/>
        <v>0.40019526483955303</v>
      </c>
      <c r="P43" s="399">
        <f t="shared" si="5"/>
        <v>0.32609324671871931</v>
      </c>
    </row>
    <row r="44" spans="1:16" x14ac:dyDescent="0.25">
      <c r="A44">
        <v>3003</v>
      </c>
      <c r="B44" t="s">
        <v>451</v>
      </c>
      <c r="C44" s="399">
        <f t="shared" si="6"/>
        <v>0.10622957319984967</v>
      </c>
      <c r="D44" s="399">
        <f t="shared" si="5"/>
        <v>8.5898033867034596E-2</v>
      </c>
      <c r="E44" s="399">
        <f t="shared" si="5"/>
        <v>0.10416666666666666</v>
      </c>
      <c r="F44" s="399">
        <f t="shared" si="5"/>
        <v>2.946278254943948E-2</v>
      </c>
      <c r="G44" s="399">
        <f t="shared" si="5"/>
        <v>5.892556509887896E-2</v>
      </c>
      <c r="H44" s="399">
        <f t="shared" si="5"/>
        <v>7.5115651572166431E-2</v>
      </c>
      <c r="I44" s="399">
        <f t="shared" si="5"/>
        <v>0.10416666666666666</v>
      </c>
      <c r="J44" s="399">
        <f t="shared" si="5"/>
        <v>0.16796370308955311</v>
      </c>
      <c r="K44" s="399">
        <f t="shared" si="5"/>
        <v>0.15023130314433286</v>
      </c>
      <c r="L44" s="399">
        <f t="shared" si="5"/>
        <v>0.14731391274719741</v>
      </c>
      <c r="M44" s="399">
        <f t="shared" si="5"/>
        <v>0.16271353491472196</v>
      </c>
      <c r="N44" s="399">
        <f t="shared" si="5"/>
        <v>0.17677669529663687</v>
      </c>
      <c r="O44" s="399">
        <f t="shared" si="5"/>
        <v>0.18865385704452953</v>
      </c>
      <c r="P44" s="399">
        <f t="shared" si="5"/>
        <v>0.18633899812498247</v>
      </c>
    </row>
    <row r="45" spans="1:16" x14ac:dyDescent="0.25">
      <c r="A45">
        <v>2974</v>
      </c>
      <c r="B45" t="s">
        <v>496</v>
      </c>
      <c r="C45" s="399">
        <f t="shared" si="6"/>
        <v>0.45833333333333331</v>
      </c>
      <c r="D45" s="399">
        <f t="shared" si="5"/>
        <v>0.47916666666666663</v>
      </c>
      <c r="E45" s="399">
        <f t="shared" si="5"/>
        <v>0.48097484919229982</v>
      </c>
      <c r="F45" s="399">
        <f t="shared" si="5"/>
        <v>0.54166666666666663</v>
      </c>
      <c r="G45" s="399">
        <f t="shared" si="5"/>
        <v>0.60452575535612119</v>
      </c>
      <c r="H45" s="399">
        <f t="shared" si="5"/>
        <v>0.60560174390619304</v>
      </c>
      <c r="I45" s="399">
        <f t="shared" si="5"/>
        <v>0.62811722632005562</v>
      </c>
      <c r="J45" s="399">
        <f t="shared" si="5"/>
        <v>0.71108534024483383</v>
      </c>
      <c r="K45" s="399">
        <f t="shared" si="5"/>
        <v>0.69033506357420382</v>
      </c>
      <c r="L45" s="399">
        <f t="shared" si="5"/>
        <v>0.67185481235821243</v>
      </c>
      <c r="M45" s="399">
        <f t="shared" si="5"/>
        <v>0.67475561419590191</v>
      </c>
      <c r="N45" s="399">
        <f t="shared" si="5"/>
        <v>0.69534663617827652</v>
      </c>
      <c r="O45" s="399">
        <f t="shared" si="5"/>
        <v>0.60667582410670984</v>
      </c>
      <c r="P45" s="399">
        <f t="shared" si="5"/>
        <v>0.50086730334047114</v>
      </c>
    </row>
    <row r="46" spans="1:16" x14ac:dyDescent="0.25">
      <c r="A46">
        <v>2961</v>
      </c>
      <c r="B46" t="s">
        <v>489</v>
      </c>
      <c r="C46" s="399">
        <f t="shared" si="6"/>
        <v>0.35416666666666663</v>
      </c>
      <c r="D46" s="399">
        <f t="shared" si="5"/>
        <v>0.37267799624996495</v>
      </c>
      <c r="E46" s="399">
        <f t="shared" si="5"/>
        <v>0.39308254716902513</v>
      </c>
      <c r="F46" s="399">
        <f t="shared" si="5"/>
        <v>0.42949016933517298</v>
      </c>
      <c r="G46" s="399">
        <f t="shared" si="5"/>
        <v>0.49520268016686303</v>
      </c>
      <c r="H46" s="399">
        <f t="shared" si="5"/>
        <v>0.50346024889977381</v>
      </c>
      <c r="I46" s="399">
        <f t="shared" si="5"/>
        <v>0.53114786599924835</v>
      </c>
      <c r="J46" s="399">
        <f t="shared" si="5"/>
        <v>0.60739082237971875</v>
      </c>
      <c r="K46" s="399">
        <f t="shared" si="5"/>
        <v>0.58814975889554599</v>
      </c>
      <c r="L46" s="399">
        <f t="shared" si="5"/>
        <v>0.57772602599425193</v>
      </c>
      <c r="M46" s="399">
        <f t="shared" si="5"/>
        <v>0.58704178348355707</v>
      </c>
      <c r="N46" s="399">
        <f t="shared" si="5"/>
        <v>0.60560174390619304</v>
      </c>
      <c r="O46" s="399">
        <f t="shared" si="5"/>
        <v>0.55001578260183681</v>
      </c>
      <c r="P46" s="399">
        <f t="shared" si="5"/>
        <v>0.45691067082211057</v>
      </c>
    </row>
    <row r="47" spans="1:16" x14ac:dyDescent="0.25">
      <c r="A47">
        <v>2904</v>
      </c>
      <c r="B47" t="s">
        <v>502</v>
      </c>
      <c r="C47" s="399">
        <f t="shared" si="6"/>
        <v>0.35477888262346668</v>
      </c>
      <c r="D47" s="399">
        <f t="shared" si="5"/>
        <v>0.37557825786083221</v>
      </c>
      <c r="E47" s="399">
        <f t="shared" si="5"/>
        <v>0.38017265814363871</v>
      </c>
      <c r="F47" s="399">
        <f t="shared" si="5"/>
        <v>0.43799575086726328</v>
      </c>
      <c r="G47" s="399">
        <f t="shared" si="5"/>
        <v>0.50173310744967892</v>
      </c>
      <c r="H47" s="399">
        <f t="shared" si="5"/>
        <v>0.50389110926865932</v>
      </c>
      <c r="I47" s="399">
        <f t="shared" si="5"/>
        <v>0.52745787088217344</v>
      </c>
      <c r="J47" s="399">
        <f t="shared" si="5"/>
        <v>0.60988671534601857</v>
      </c>
      <c r="K47" s="399">
        <f t="shared" si="5"/>
        <v>0.58925565098878963</v>
      </c>
      <c r="L47" s="399">
        <f t="shared" si="5"/>
        <v>0.5720637590727492</v>
      </c>
      <c r="M47" s="399">
        <f t="shared" si="5"/>
        <v>0.57622152858080544</v>
      </c>
      <c r="N47" s="399">
        <f t="shared" si="5"/>
        <v>0.59657587763651465</v>
      </c>
      <c r="O47" s="399">
        <f t="shared" si="5"/>
        <v>0.51454537646785281</v>
      </c>
      <c r="P47" s="399">
        <f t="shared" si="5"/>
        <v>0.41036907507483766</v>
      </c>
    </row>
    <row r="48" spans="1:16" x14ac:dyDescent="0.25">
      <c r="A48">
        <v>2901</v>
      </c>
      <c r="B48" t="s">
        <v>468</v>
      </c>
      <c r="C48" s="399">
        <f t="shared" si="6"/>
        <v>6.25E-2</v>
      </c>
      <c r="D48" s="399">
        <f t="shared" si="5"/>
        <v>8.3333333333333329E-2</v>
      </c>
      <c r="E48" s="399">
        <f t="shared" si="5"/>
        <v>9.3169499062491237E-2</v>
      </c>
      <c r="F48" s="399">
        <f t="shared" si="5"/>
        <v>0.14583333333333331</v>
      </c>
      <c r="G48" s="399">
        <f t="shared" si="5"/>
        <v>0.20937240877335186</v>
      </c>
      <c r="H48" s="399">
        <f t="shared" si="5"/>
        <v>0.21245914639969934</v>
      </c>
      <c r="I48" s="399">
        <f t="shared" si="5"/>
        <v>0.23753654689565373</v>
      </c>
      <c r="J48" s="399">
        <f t="shared" si="5"/>
        <v>0.31868871959954903</v>
      </c>
      <c r="K48" s="399">
        <f t="shared" si="5"/>
        <v>0.29828793881825733</v>
      </c>
      <c r="L48" s="399">
        <f t="shared" si="5"/>
        <v>0.2833639689319884</v>
      </c>
      <c r="M48" s="399">
        <f t="shared" si="5"/>
        <v>0.29017475577466911</v>
      </c>
      <c r="N48" s="399">
        <f t="shared" si="5"/>
        <v>0.30970976556913554</v>
      </c>
      <c r="O48" s="399">
        <f t="shared" si="5"/>
        <v>0.25086655372483946</v>
      </c>
      <c r="P48" s="399">
        <f t="shared" si="5"/>
        <v>0.16796370308955311</v>
      </c>
    </row>
    <row r="49" spans="1:16" x14ac:dyDescent="0.25">
      <c r="A49">
        <v>2852</v>
      </c>
      <c r="B49" t="s">
        <v>463</v>
      </c>
      <c r="C49" s="399">
        <f t="shared" si="6"/>
        <v>0.16271353491472196</v>
      </c>
      <c r="D49" s="399">
        <f t="shared" si="5"/>
        <v>0.17921510973005472</v>
      </c>
      <c r="E49" s="399">
        <f t="shared" si="5"/>
        <v>0.20623947784607635</v>
      </c>
      <c r="F49" s="399">
        <f t="shared" si="5"/>
        <v>0.23292374765622809</v>
      </c>
      <c r="G49" s="399">
        <f t="shared" si="5"/>
        <v>0.29828793881825733</v>
      </c>
      <c r="H49" s="399">
        <f t="shared" si="5"/>
        <v>0.30760048042152915</v>
      </c>
      <c r="I49" s="399">
        <f t="shared" si="5"/>
        <v>0.33592740617910621</v>
      </c>
      <c r="J49" s="399">
        <f t="shared" si="5"/>
        <v>0.41036907507483766</v>
      </c>
      <c r="K49" s="399">
        <f t="shared" si="5"/>
        <v>0.39142279641783195</v>
      </c>
      <c r="L49" s="399">
        <f t="shared" si="5"/>
        <v>0.3824491614726212</v>
      </c>
      <c r="M49" s="399">
        <f t="shared" si="5"/>
        <v>0.39308254716902513</v>
      </c>
      <c r="N49" s="399">
        <f t="shared" si="5"/>
        <v>0.41089756090241708</v>
      </c>
      <c r="O49" s="399">
        <f t="shared" si="5"/>
        <v>0.36857929193654437</v>
      </c>
      <c r="P49" s="399">
        <f t="shared" si="5"/>
        <v>0.28942591644687088</v>
      </c>
    </row>
    <row r="50" spans="1:16" x14ac:dyDescent="0.25">
      <c r="A50">
        <v>2790</v>
      </c>
      <c r="B50" t="s">
        <v>480</v>
      </c>
      <c r="C50" s="399">
        <f t="shared" si="6"/>
        <v>0.20518453753741883</v>
      </c>
      <c r="D50" s="399">
        <f t="shared" si="5"/>
        <v>0.22438186696393764</v>
      </c>
      <c r="E50" s="399">
        <f t="shared" si="5"/>
        <v>0.24295632895188751</v>
      </c>
      <c r="F50" s="399">
        <f t="shared" si="5"/>
        <v>0.2833639689319884</v>
      </c>
      <c r="G50" s="399">
        <f t="shared" si="5"/>
        <v>0.34923030446333769</v>
      </c>
      <c r="H50" s="399">
        <f t="shared" si="5"/>
        <v>0.3560001560548971</v>
      </c>
      <c r="I50" s="399">
        <f t="shared" si="5"/>
        <v>0.38301617314271319</v>
      </c>
      <c r="J50" s="399">
        <f t="shared" si="5"/>
        <v>0.4611654921078886</v>
      </c>
      <c r="K50" s="399">
        <f t="shared" si="5"/>
        <v>0.4414504187586894</v>
      </c>
      <c r="L50" s="399">
        <f t="shared" si="5"/>
        <v>0.42949016933517298</v>
      </c>
      <c r="M50" s="399">
        <f t="shared" si="5"/>
        <v>0.43799575086726328</v>
      </c>
      <c r="N50" s="399">
        <f t="shared" si="5"/>
        <v>0.45691067082211057</v>
      </c>
      <c r="O50" s="399">
        <f t="shared" si="5"/>
        <v>0.40019526483955303</v>
      </c>
      <c r="P50" s="399">
        <f t="shared" si="5"/>
        <v>0.30970976556913554</v>
      </c>
    </row>
    <row r="51" spans="1:16" x14ac:dyDescent="0.25">
      <c r="A51">
        <v>2420</v>
      </c>
      <c r="B51" t="s">
        <v>449</v>
      </c>
      <c r="C51" s="399">
        <f t="shared" si="6"/>
        <v>0.45738538333541978</v>
      </c>
      <c r="D51" s="399">
        <f t="shared" si="5"/>
        <v>0.46817093863008813</v>
      </c>
      <c r="E51" s="399">
        <f t="shared" si="5"/>
        <v>0.50389110926865932</v>
      </c>
      <c r="F51" s="399">
        <f t="shared" si="5"/>
        <v>0.50432160153792516</v>
      </c>
      <c r="G51" s="399">
        <f t="shared" si="5"/>
        <v>0.56056766862807117</v>
      </c>
      <c r="H51" s="399">
        <f t="shared" si="5"/>
        <v>0.57622152858080544</v>
      </c>
      <c r="I51" s="399">
        <f t="shared" si="5"/>
        <v>0.60560174390619304</v>
      </c>
      <c r="J51" s="399">
        <f t="shared" si="5"/>
        <v>0.6630762692849812</v>
      </c>
      <c r="K51" s="399">
        <f t="shared" si="5"/>
        <v>0.64818121608766854</v>
      </c>
      <c r="L51" s="399">
        <f t="shared" si="5"/>
        <v>0.64885047926655981</v>
      </c>
      <c r="M51" s="399">
        <f t="shared" si="5"/>
        <v>0.66438411329591562</v>
      </c>
      <c r="N51" s="399">
        <f t="shared" si="5"/>
        <v>0.67828419150415442</v>
      </c>
      <c r="O51" s="399">
        <f t="shared" si="5"/>
        <v>0.66471067223099234</v>
      </c>
      <c r="P51" s="399">
        <f t="shared" si="5"/>
        <v>0.59657587763651465</v>
      </c>
    </row>
    <row r="52" spans="1:16" x14ac:dyDescent="0.25">
      <c r="A52">
        <v>2357</v>
      </c>
      <c r="B52" t="s">
        <v>454</v>
      </c>
      <c r="C52" s="399">
        <f t="shared" si="6"/>
        <v>0.72767704985720738</v>
      </c>
      <c r="D52" s="399">
        <f t="shared" si="5"/>
        <v>0.74797179462567664</v>
      </c>
      <c r="E52" s="399">
        <f t="shared" si="5"/>
        <v>0.75834478013338735</v>
      </c>
      <c r="F52" s="399">
        <f t="shared" si="5"/>
        <v>0.80902032662281664</v>
      </c>
      <c r="G52" s="399">
        <f t="shared" si="5"/>
        <v>0.87450382757563982</v>
      </c>
      <c r="H52" s="399">
        <f t="shared" si="5"/>
        <v>0.8792061602503829</v>
      </c>
      <c r="I52" s="399">
        <f t="shared" si="5"/>
        <v>0.90451222275385046</v>
      </c>
      <c r="J52" s="399">
        <f t="shared" si="5"/>
        <v>0.98535279919878893</v>
      </c>
      <c r="K52" s="399">
        <f t="shared" si="5"/>
        <v>0.96510290182503911</v>
      </c>
      <c r="L52" s="399">
        <f t="shared" si="5"/>
        <v>0.95014618758261493</v>
      </c>
      <c r="M52" s="399">
        <f t="shared" si="5"/>
        <v>0.95583914557953842</v>
      </c>
      <c r="N52" s="399">
        <f t="shared" si="5"/>
        <v>0.97583653571919737</v>
      </c>
      <c r="O52" s="399">
        <f t="shared" si="5"/>
        <v>0.89752746785575055</v>
      </c>
      <c r="P52" s="399">
        <f t="shared" si="5"/>
        <v>0.79330969852749045</v>
      </c>
    </row>
    <row r="53" spans="1:16" x14ac:dyDescent="0.25">
      <c r="A53">
        <v>2329</v>
      </c>
      <c r="B53" t="s">
        <v>484</v>
      </c>
      <c r="C53" s="399">
        <f t="shared" si="6"/>
        <v>0.50043383956101306</v>
      </c>
      <c r="D53" s="399">
        <f t="shared" si="5"/>
        <v>0.52124983346653342</v>
      </c>
      <c r="E53" s="399">
        <f t="shared" si="5"/>
        <v>0.52456992966725713</v>
      </c>
      <c r="F53" s="399">
        <f t="shared" si="5"/>
        <v>0.5837052385884125</v>
      </c>
      <c r="G53" s="399">
        <f t="shared" si="5"/>
        <v>0.64717602362537774</v>
      </c>
      <c r="H53" s="399">
        <f t="shared" si="5"/>
        <v>0.64885047926655981</v>
      </c>
      <c r="I53" s="399">
        <f t="shared" si="5"/>
        <v>0.67185481235821243</v>
      </c>
      <c r="J53" s="399">
        <f t="shared" si="5"/>
        <v>0.75461542817811811</v>
      </c>
      <c r="K53" s="399">
        <f t="shared" si="5"/>
        <v>0.73391312307535561</v>
      </c>
      <c r="L53" s="399">
        <f t="shared" si="5"/>
        <v>0.71595167822664918</v>
      </c>
      <c r="M53" s="399">
        <f t="shared" si="5"/>
        <v>0.71927818756800277</v>
      </c>
      <c r="N53" s="399">
        <f t="shared" si="5"/>
        <v>0.73980337102352922</v>
      </c>
      <c r="O53" s="399">
        <f t="shared" si="5"/>
        <v>0.65251915680690931</v>
      </c>
      <c r="P53" s="399">
        <f t="shared" si="5"/>
        <v>0.54685019785027866</v>
      </c>
    </row>
    <row r="54" spans="1:16" x14ac:dyDescent="0.25">
      <c r="A54">
        <v>2298</v>
      </c>
      <c r="B54" t="s">
        <v>429</v>
      </c>
      <c r="C54" s="399">
        <f t="shared" si="6"/>
        <v>0.33333333333333331</v>
      </c>
      <c r="D54" s="399">
        <f t="shared" ref="D54:P69" si="7">SQRT(((LEFT(D$6,3)-LEFT($B54,3))*(LEFT(D$6,3)-LEFT($B54,3)))+((RIGHT(D$6,3)-RIGHT($B54,3))*(RIGHT(D$6,3)-RIGHT($B54,3))))*$D$1</f>
        <v>0.33398374045586243</v>
      </c>
      <c r="E54" s="399">
        <f t="shared" si="7"/>
        <v>0.37557825786083221</v>
      </c>
      <c r="F54" s="399">
        <f t="shared" si="7"/>
        <v>0.34359213546813838</v>
      </c>
      <c r="G54" s="399">
        <f t="shared" si="7"/>
        <v>0.38301617314271319</v>
      </c>
      <c r="H54" s="399">
        <f t="shared" si="7"/>
        <v>0.40235849824641595</v>
      </c>
      <c r="I54" s="399">
        <f t="shared" si="7"/>
        <v>0.42949016933517298</v>
      </c>
      <c r="J54" s="399">
        <f t="shared" si="7"/>
        <v>0.46817093863008813</v>
      </c>
      <c r="K54" s="399">
        <f t="shared" si="7"/>
        <v>0.45738538333541978</v>
      </c>
      <c r="L54" s="399">
        <f t="shared" si="7"/>
        <v>0.46584749531245617</v>
      </c>
      <c r="M54" s="399">
        <f t="shared" si="7"/>
        <v>0.48457097290054196</v>
      </c>
      <c r="N54" s="399">
        <f t="shared" si="7"/>
        <v>0.49388623296373735</v>
      </c>
      <c r="O54" s="399">
        <f t="shared" si="7"/>
        <v>0.51538820320220746</v>
      </c>
      <c r="P54" s="399">
        <f t="shared" si="7"/>
        <v>0.4796193513842224</v>
      </c>
    </row>
    <row r="55" spans="1:16" x14ac:dyDescent="0.25">
      <c r="A55">
        <v>2287</v>
      </c>
      <c r="B55" t="s">
        <v>507</v>
      </c>
      <c r="C55" s="399">
        <f t="shared" si="6"/>
        <v>0.24295632895188751</v>
      </c>
      <c r="D55" s="399">
        <f t="shared" si="7"/>
        <v>0.25430324199445209</v>
      </c>
      <c r="E55" s="399">
        <f t="shared" si="7"/>
        <v>0.28942591644687088</v>
      </c>
      <c r="F55" s="399">
        <f t="shared" si="7"/>
        <v>0.29462782549439481</v>
      </c>
      <c r="G55" s="399">
        <f t="shared" si="7"/>
        <v>0.35477888262346668</v>
      </c>
      <c r="H55" s="399">
        <f t="shared" si="7"/>
        <v>0.36857929193654437</v>
      </c>
      <c r="I55" s="399">
        <f t="shared" si="7"/>
        <v>0.39802027446964161</v>
      </c>
      <c r="J55" s="399">
        <f t="shared" si="7"/>
        <v>0.46257506898280243</v>
      </c>
      <c r="K55" s="399">
        <f t="shared" si="7"/>
        <v>0.44585280331318111</v>
      </c>
      <c r="L55" s="399">
        <f t="shared" si="7"/>
        <v>0.44292274219727706</v>
      </c>
      <c r="M55" s="399">
        <f t="shared" si="7"/>
        <v>0.45691067082211057</v>
      </c>
      <c r="N55" s="399">
        <f t="shared" si="7"/>
        <v>0.47232433536477642</v>
      </c>
      <c r="O55" s="399">
        <f t="shared" si="7"/>
        <v>0.4506939094329987</v>
      </c>
      <c r="P55" s="399">
        <f t="shared" si="7"/>
        <v>0.38301617314271319</v>
      </c>
    </row>
    <row r="56" spans="1:16" x14ac:dyDescent="0.25">
      <c r="A56">
        <v>2225</v>
      </c>
      <c r="B56" t="s">
        <v>477</v>
      </c>
      <c r="C56" s="399">
        <f t="shared" si="6"/>
        <v>0.32342030617208384</v>
      </c>
      <c r="D56" s="399">
        <f t="shared" si="7"/>
        <v>0.34359213546813838</v>
      </c>
      <c r="E56" s="399">
        <f t="shared" si="7"/>
        <v>0.3560001560548971</v>
      </c>
      <c r="F56" s="399">
        <f t="shared" si="7"/>
        <v>0.40451016331140832</v>
      </c>
      <c r="G56" s="399">
        <f t="shared" si="7"/>
        <v>0.47002142386160323</v>
      </c>
      <c r="H56" s="399">
        <f t="shared" si="7"/>
        <v>0.47507309379130747</v>
      </c>
      <c r="I56" s="399">
        <f t="shared" si="7"/>
        <v>0.50086730334047114</v>
      </c>
      <c r="J56" s="399">
        <f t="shared" si="7"/>
        <v>0.58109690337422304</v>
      </c>
      <c r="K56" s="399">
        <f t="shared" si="7"/>
        <v>0.56095466740984412</v>
      </c>
      <c r="L56" s="399">
        <f t="shared" si="7"/>
        <v>0.54685019785027866</v>
      </c>
      <c r="M56" s="399">
        <f t="shared" si="7"/>
        <v>0.55355542731610097</v>
      </c>
      <c r="N56" s="399">
        <f t="shared" si="7"/>
        <v>0.57320068717490014</v>
      </c>
      <c r="O56" s="399">
        <f t="shared" si="7"/>
        <v>0.50389110926865932</v>
      </c>
      <c r="P56" s="399">
        <f t="shared" si="7"/>
        <v>0.40451016331140832</v>
      </c>
    </row>
    <row r="57" spans="1:16" x14ac:dyDescent="0.25">
      <c r="A57">
        <v>2157</v>
      </c>
      <c r="B57" t="s">
        <v>444</v>
      </c>
      <c r="C57" s="399">
        <f t="shared" si="6"/>
        <v>0.22146137109863853</v>
      </c>
      <c r="D57" s="399">
        <f t="shared" si="7"/>
        <v>0.20623947784607635</v>
      </c>
      <c r="E57" s="399">
        <f t="shared" si="7"/>
        <v>0.17921510973005472</v>
      </c>
      <c r="F57" s="399">
        <f t="shared" si="7"/>
        <v>0.16796370308955311</v>
      </c>
      <c r="G57" s="399">
        <f t="shared" si="7"/>
        <v>0.12672421938121289</v>
      </c>
      <c r="H57" s="399">
        <f t="shared" si="7"/>
        <v>0.10622957319984967</v>
      </c>
      <c r="I57" s="399">
        <f t="shared" si="7"/>
        <v>8.3333333333333329E-2</v>
      </c>
      <c r="J57" s="399">
        <f t="shared" si="7"/>
        <v>0.11785113019775792</v>
      </c>
      <c r="K57" s="399">
        <f t="shared" si="7"/>
        <v>0.10416666666666666</v>
      </c>
      <c r="L57" s="399">
        <f t="shared" si="7"/>
        <v>7.5115651572166431E-2</v>
      </c>
      <c r="M57" s="399">
        <f t="shared" si="7"/>
        <v>5.892556509887896E-2</v>
      </c>
      <c r="N57" s="399">
        <f t="shared" si="7"/>
        <v>7.5115651572166431E-2</v>
      </c>
      <c r="O57" s="399">
        <f t="shared" si="7"/>
        <v>4.6584749531245619E-2</v>
      </c>
      <c r="P57" s="399">
        <f t="shared" si="7"/>
        <v>0.14583333333333331</v>
      </c>
    </row>
    <row r="58" spans="1:16" x14ac:dyDescent="0.25">
      <c r="A58">
        <v>2037</v>
      </c>
      <c r="B58" t="s">
        <v>503</v>
      </c>
      <c r="C58" s="399">
        <f t="shared" si="6"/>
        <v>0.42184284856909554</v>
      </c>
      <c r="D58" s="399">
        <f t="shared" si="7"/>
        <v>0.4414504187586894</v>
      </c>
      <c r="E58" s="399">
        <f t="shared" si="7"/>
        <v>0.45691067082211057</v>
      </c>
      <c r="F58" s="399">
        <f t="shared" si="7"/>
        <v>0.50086730334047114</v>
      </c>
      <c r="G58" s="399">
        <f t="shared" si="7"/>
        <v>0.56672793786397679</v>
      </c>
      <c r="H58" s="399">
        <f t="shared" si="7"/>
        <v>0.57320068717490014</v>
      </c>
      <c r="I58" s="399">
        <f t="shared" si="7"/>
        <v>0.59984083537033195</v>
      </c>
      <c r="J58" s="399">
        <f t="shared" si="7"/>
        <v>0.67860406145426366</v>
      </c>
      <c r="K58" s="399">
        <f t="shared" si="7"/>
        <v>0.65880784586841235</v>
      </c>
      <c r="L58" s="399">
        <f t="shared" si="7"/>
        <v>0.64616926746961756</v>
      </c>
      <c r="M58" s="399">
        <f t="shared" si="7"/>
        <v>0.65384811776980056</v>
      </c>
      <c r="N58" s="399">
        <f t="shared" si="7"/>
        <v>0.67314560089181286</v>
      </c>
      <c r="O58" s="399">
        <f t="shared" si="7"/>
        <v>0.60739082237971875</v>
      </c>
      <c r="P58" s="399">
        <f t="shared" si="7"/>
        <v>0.50860648398890418</v>
      </c>
    </row>
    <row r="59" spans="1:16" x14ac:dyDescent="0.25">
      <c r="A59">
        <v>1965</v>
      </c>
      <c r="B59" t="s">
        <v>455</v>
      </c>
      <c r="C59" s="399">
        <f t="shared" si="6"/>
        <v>0.63259276877870729</v>
      </c>
      <c r="D59" s="399">
        <f t="shared" si="7"/>
        <v>0.65251915680690931</v>
      </c>
      <c r="E59" s="399">
        <f t="shared" si="7"/>
        <v>0.66568938786126908</v>
      </c>
      <c r="F59" s="399">
        <f t="shared" si="7"/>
        <v>0.71260964068696131</v>
      </c>
      <c r="G59" s="399">
        <f t="shared" si="7"/>
        <v>0.77839757051122516</v>
      </c>
      <c r="H59" s="399">
        <f t="shared" si="7"/>
        <v>0.78423042602994619</v>
      </c>
      <c r="I59" s="399">
        <f t="shared" si="7"/>
        <v>0.81036043078236342</v>
      </c>
      <c r="J59" s="399">
        <f t="shared" si="7"/>
        <v>0.89000039013724275</v>
      </c>
      <c r="K59" s="399">
        <f t="shared" si="7"/>
        <v>0.87002554240921248</v>
      </c>
      <c r="L59" s="399">
        <f t="shared" si="7"/>
        <v>0.85645019962893598</v>
      </c>
      <c r="M59" s="399">
        <f t="shared" si="7"/>
        <v>0.86326455646252742</v>
      </c>
      <c r="N59" s="399">
        <f t="shared" si="7"/>
        <v>0.8829008375173788</v>
      </c>
      <c r="O59" s="399">
        <f t="shared" si="7"/>
        <v>0.81062818576432161</v>
      </c>
      <c r="P59" s="399">
        <f t="shared" si="7"/>
        <v>0.70833333333333326</v>
      </c>
    </row>
    <row r="60" spans="1:16" x14ac:dyDescent="0.25">
      <c r="A60">
        <v>1945</v>
      </c>
      <c r="B60" t="s">
        <v>485</v>
      </c>
      <c r="C60" s="399">
        <f t="shared" si="6"/>
        <v>0.31526554063378243</v>
      </c>
      <c r="D60" s="399">
        <f t="shared" si="7"/>
        <v>0.33592740617910621</v>
      </c>
      <c r="E60" s="399">
        <f t="shared" si="7"/>
        <v>0.34359213546813838</v>
      </c>
      <c r="F60" s="399">
        <f t="shared" si="7"/>
        <v>0.39802027446964161</v>
      </c>
      <c r="G60" s="399">
        <f t="shared" si="7"/>
        <v>0.46257506898280243</v>
      </c>
      <c r="H60" s="399">
        <f t="shared" si="7"/>
        <v>0.46584749531245617</v>
      </c>
      <c r="I60" s="399">
        <f t="shared" si="7"/>
        <v>0.49035842899749249</v>
      </c>
      <c r="J60" s="399">
        <f t="shared" si="7"/>
        <v>0.5720637590727492</v>
      </c>
      <c r="K60" s="399">
        <f t="shared" si="7"/>
        <v>0.55159176228640527</v>
      </c>
      <c r="L60" s="399">
        <f t="shared" si="7"/>
        <v>0.53562333884093505</v>
      </c>
      <c r="M60" s="399">
        <f t="shared" si="7"/>
        <v>0.54086479107279872</v>
      </c>
      <c r="N60" s="399">
        <f t="shared" si="7"/>
        <v>0.56095466740984412</v>
      </c>
      <c r="O60" s="399">
        <f t="shared" si="7"/>
        <v>0.48457097290054196</v>
      </c>
      <c r="P60" s="399">
        <f t="shared" si="7"/>
        <v>0.3824491614726212</v>
      </c>
    </row>
    <row r="61" spans="1:16" x14ac:dyDescent="0.25">
      <c r="A61">
        <v>1924</v>
      </c>
      <c r="B61" t="s">
        <v>453</v>
      </c>
      <c r="C61" s="399">
        <f t="shared" si="6"/>
        <v>0.16796370308955311</v>
      </c>
      <c r="D61" s="399">
        <f t="shared" si="7"/>
        <v>0.15023130314433286</v>
      </c>
      <c r="E61" s="399">
        <f t="shared" si="7"/>
        <v>0.13176156917368248</v>
      </c>
      <c r="F61" s="399">
        <f t="shared" si="7"/>
        <v>0.10416666666666666</v>
      </c>
      <c r="G61" s="399">
        <f t="shared" si="7"/>
        <v>6.25E-2</v>
      </c>
      <c r="H61" s="399">
        <f t="shared" si="7"/>
        <v>4.1666666666666664E-2</v>
      </c>
      <c r="I61" s="399">
        <f t="shared" si="7"/>
        <v>2.946278254943948E-2</v>
      </c>
      <c r="J61" s="399">
        <f t="shared" si="7"/>
        <v>0.10622957319984967</v>
      </c>
      <c r="K61" s="399">
        <f t="shared" si="7"/>
        <v>8.5898033867034596E-2</v>
      </c>
      <c r="L61" s="399">
        <f t="shared" si="7"/>
        <v>6.25E-2</v>
      </c>
      <c r="M61" s="399">
        <f t="shared" si="7"/>
        <v>6.588078458684124E-2</v>
      </c>
      <c r="N61" s="399">
        <f t="shared" si="7"/>
        <v>8.5898033867034596E-2</v>
      </c>
      <c r="O61" s="399">
        <f t="shared" si="7"/>
        <v>8.5898033867034596E-2</v>
      </c>
      <c r="P61" s="399">
        <f t="shared" si="7"/>
        <v>0.13975424859373686</v>
      </c>
    </row>
    <row r="62" spans="1:16" x14ac:dyDescent="0.25">
      <c r="A62">
        <v>1883</v>
      </c>
      <c r="B62" t="s">
        <v>466</v>
      </c>
      <c r="C62" s="399">
        <f t="shared" si="6"/>
        <v>0.13176156917368248</v>
      </c>
      <c r="D62" s="399">
        <f t="shared" si="7"/>
        <v>0.15166895602667746</v>
      </c>
      <c r="E62" s="399">
        <f t="shared" si="7"/>
        <v>0.16796370308955311</v>
      </c>
      <c r="F62" s="399">
        <f t="shared" si="7"/>
        <v>0.21245914639969934</v>
      </c>
      <c r="G62" s="399">
        <f t="shared" si="7"/>
        <v>0.27795133466929861</v>
      </c>
      <c r="H62" s="399">
        <f t="shared" si="7"/>
        <v>0.2833639689319884</v>
      </c>
      <c r="I62" s="399">
        <f t="shared" si="7"/>
        <v>0.30970976556913554</v>
      </c>
      <c r="J62" s="399">
        <f t="shared" si="7"/>
        <v>0.38919878525561258</v>
      </c>
      <c r="K62" s="399">
        <f t="shared" si="7"/>
        <v>0.36916760722227809</v>
      </c>
      <c r="L62" s="399">
        <f t="shared" si="7"/>
        <v>0.3560001560548971</v>
      </c>
      <c r="M62" s="399">
        <f t="shared" si="7"/>
        <v>0.36383852492860369</v>
      </c>
      <c r="N62" s="399">
        <f t="shared" si="7"/>
        <v>0.38301617314271319</v>
      </c>
      <c r="O62" s="399">
        <f t="shared" si="7"/>
        <v>0.32542706982944392</v>
      </c>
      <c r="P62" s="399">
        <f t="shared" si="7"/>
        <v>0.23753654689565373</v>
      </c>
    </row>
    <row r="63" spans="1:16" x14ac:dyDescent="0.25">
      <c r="A63">
        <v>1840</v>
      </c>
      <c r="B63" t="s">
        <v>461</v>
      </c>
      <c r="C63" s="399">
        <f t="shared" si="6"/>
        <v>0.16796370308955311</v>
      </c>
      <c r="D63" s="399">
        <f t="shared" si="7"/>
        <v>0.18633899812498247</v>
      </c>
      <c r="E63" s="399">
        <f t="shared" si="7"/>
        <v>0.20833333333333331</v>
      </c>
      <c r="F63" s="399">
        <f t="shared" si="7"/>
        <v>0.24384791480665885</v>
      </c>
      <c r="G63" s="399">
        <f t="shared" si="7"/>
        <v>0.30970976556913554</v>
      </c>
      <c r="H63" s="399">
        <f t="shared" si="7"/>
        <v>0.31732387941099616</v>
      </c>
      <c r="I63" s="399">
        <f t="shared" si="7"/>
        <v>0.34485302827597597</v>
      </c>
      <c r="J63" s="399">
        <f t="shared" si="7"/>
        <v>0.42184284856909554</v>
      </c>
      <c r="K63" s="399">
        <f t="shared" si="7"/>
        <v>0.40235849824641595</v>
      </c>
      <c r="L63" s="399">
        <f t="shared" si="7"/>
        <v>0.39142279641783195</v>
      </c>
      <c r="M63" s="399">
        <f t="shared" si="7"/>
        <v>0.40073716795148628</v>
      </c>
      <c r="N63" s="399">
        <f t="shared" si="7"/>
        <v>0.41926274578121059</v>
      </c>
      <c r="O63" s="399">
        <f t="shared" si="7"/>
        <v>0.36857929193654437</v>
      </c>
      <c r="P63" s="399">
        <f t="shared" si="7"/>
        <v>0.2833639689319884</v>
      </c>
    </row>
    <row r="64" spans="1:16" x14ac:dyDescent="0.25">
      <c r="A64">
        <v>1648</v>
      </c>
      <c r="B64" t="s">
        <v>497</v>
      </c>
      <c r="C64" s="399">
        <f t="shared" si="6"/>
        <v>0.52249734183268548</v>
      </c>
      <c r="D64" s="399">
        <f t="shared" si="7"/>
        <v>0.54326686710022076</v>
      </c>
      <c r="E64" s="399">
        <f t="shared" si="7"/>
        <v>0.54803943491524598</v>
      </c>
      <c r="F64" s="399">
        <f t="shared" si="7"/>
        <v>0.60560174390619304</v>
      </c>
      <c r="G64" s="399">
        <f t="shared" si="7"/>
        <v>0.66958994499950819</v>
      </c>
      <c r="H64" s="399">
        <f t="shared" si="7"/>
        <v>0.67185481235821243</v>
      </c>
      <c r="I64" s="399">
        <f t="shared" si="7"/>
        <v>0.69534663617827652</v>
      </c>
      <c r="J64" s="399">
        <f t="shared" si="7"/>
        <v>0.77783977927476955</v>
      </c>
      <c r="K64" s="399">
        <f t="shared" si="7"/>
        <v>0.75719924355776025</v>
      </c>
      <c r="L64" s="399">
        <f t="shared" si="7"/>
        <v>0.73980337102352922</v>
      </c>
      <c r="M64" s="399">
        <f t="shared" si="7"/>
        <v>0.74360701239894778</v>
      </c>
      <c r="N64" s="399">
        <f t="shared" si="7"/>
        <v>0.7640467008705103</v>
      </c>
      <c r="O64" s="399">
        <f t="shared" si="7"/>
        <v>0.67860406145426366</v>
      </c>
      <c r="P64" s="399">
        <f t="shared" si="7"/>
        <v>0.57320068717490014</v>
      </c>
    </row>
    <row r="65" spans="1:16" x14ac:dyDescent="0.25">
      <c r="A65">
        <v>1621</v>
      </c>
      <c r="B65" t="s">
        <v>492</v>
      </c>
      <c r="C65" s="399">
        <f t="shared" si="6"/>
        <v>0.22146137109863853</v>
      </c>
      <c r="D65" s="399">
        <f t="shared" si="7"/>
        <v>0.23570226039551584</v>
      </c>
      <c r="E65" s="399">
        <f t="shared" si="7"/>
        <v>0.26679684322636865</v>
      </c>
      <c r="F65" s="399">
        <f t="shared" si="7"/>
        <v>0.2833639689319884</v>
      </c>
      <c r="G65" s="399">
        <f t="shared" si="7"/>
        <v>0.34673577035610914</v>
      </c>
      <c r="H65" s="399">
        <f t="shared" si="7"/>
        <v>0.35843021946010944</v>
      </c>
      <c r="I65" s="399">
        <f t="shared" si="7"/>
        <v>0.38752240078621403</v>
      </c>
      <c r="J65" s="399">
        <f t="shared" si="7"/>
        <v>0.45738538333541978</v>
      </c>
      <c r="K65" s="399">
        <f t="shared" si="7"/>
        <v>0.43947964811935392</v>
      </c>
      <c r="L65" s="399">
        <f t="shared" si="7"/>
        <v>0.43351358430593356</v>
      </c>
      <c r="M65" s="399">
        <f t="shared" si="7"/>
        <v>0.44585280331318111</v>
      </c>
      <c r="N65" s="399">
        <f t="shared" si="7"/>
        <v>0.46257506898280243</v>
      </c>
      <c r="O65" s="399">
        <f t="shared" si="7"/>
        <v>0.42949016933517298</v>
      </c>
      <c r="P65" s="399">
        <f t="shared" si="7"/>
        <v>0.35416666666666663</v>
      </c>
    </row>
    <row r="66" spans="1:16" x14ac:dyDescent="0.25">
      <c r="A66">
        <v>1529</v>
      </c>
      <c r="B66" t="s">
        <v>482</v>
      </c>
      <c r="C66" s="399">
        <f t="shared" si="6"/>
        <v>0.13975424859373686</v>
      </c>
      <c r="D66" s="399">
        <f t="shared" si="7"/>
        <v>0.15023130314433286</v>
      </c>
      <c r="E66" s="399">
        <f t="shared" si="7"/>
        <v>0.18633899812498247</v>
      </c>
      <c r="F66" s="399">
        <f t="shared" si="7"/>
        <v>0.19207384286026846</v>
      </c>
      <c r="G66" s="399">
        <f t="shared" si="7"/>
        <v>0.25430324199445209</v>
      </c>
      <c r="H66" s="399">
        <f t="shared" si="7"/>
        <v>0.26679684322636865</v>
      </c>
      <c r="I66" s="399">
        <f t="shared" si="7"/>
        <v>0.29609730007399782</v>
      </c>
      <c r="J66" s="399">
        <f t="shared" si="7"/>
        <v>0.36443449342783124</v>
      </c>
      <c r="K66" s="399">
        <f t="shared" si="7"/>
        <v>0.34673577035610914</v>
      </c>
      <c r="L66" s="399">
        <f t="shared" si="7"/>
        <v>0.34169207222618181</v>
      </c>
      <c r="M66" s="399">
        <f t="shared" si="7"/>
        <v>0.35477888262346668</v>
      </c>
      <c r="N66" s="399">
        <f t="shared" si="7"/>
        <v>0.37092695447426782</v>
      </c>
      <c r="O66" s="399">
        <f t="shared" si="7"/>
        <v>0.34673577035610914</v>
      </c>
      <c r="P66" s="399">
        <f t="shared" si="7"/>
        <v>0.2833639689319884</v>
      </c>
    </row>
    <row r="67" spans="1:16" x14ac:dyDescent="0.25">
      <c r="A67">
        <v>1514</v>
      </c>
      <c r="B67" t="s">
        <v>445</v>
      </c>
      <c r="C67" s="399">
        <f t="shared" si="6"/>
        <v>0.2651650429449553</v>
      </c>
      <c r="D67" s="399">
        <f t="shared" si="7"/>
        <v>0.25086655372483946</v>
      </c>
      <c r="E67" s="399">
        <f t="shared" si="7"/>
        <v>0.22146137109863853</v>
      </c>
      <c r="F67" s="399">
        <f t="shared" si="7"/>
        <v>0.21449229460389585</v>
      </c>
      <c r="G67" s="399">
        <f t="shared" si="7"/>
        <v>0.17179606773406919</v>
      </c>
      <c r="H67" s="399">
        <f t="shared" si="7"/>
        <v>0.15166895602667746</v>
      </c>
      <c r="I67" s="399">
        <f t="shared" si="7"/>
        <v>0.12672421938121289</v>
      </c>
      <c r="J67" s="399">
        <f t="shared" si="7"/>
        <v>0.13975424859373686</v>
      </c>
      <c r="K67" s="399">
        <f t="shared" si="7"/>
        <v>0.13176156917368248</v>
      </c>
      <c r="L67" s="399">
        <f t="shared" si="7"/>
        <v>0.10622957319984967</v>
      </c>
      <c r="M67" s="399">
        <f t="shared" si="7"/>
        <v>8.5898033867034596E-2</v>
      </c>
      <c r="N67" s="399">
        <f t="shared" si="7"/>
        <v>9.3169499062491237E-2</v>
      </c>
      <c r="O67" s="399">
        <f t="shared" si="7"/>
        <v>6.588078458684124E-2</v>
      </c>
      <c r="P67" s="399">
        <f t="shared" si="7"/>
        <v>0.17179606773406919</v>
      </c>
    </row>
    <row r="68" spans="1:16" x14ac:dyDescent="0.25">
      <c r="A68">
        <v>1508</v>
      </c>
      <c r="B68" t="s">
        <v>447</v>
      </c>
      <c r="C68" s="399">
        <f t="shared" si="6"/>
        <v>0.54206715963573693</v>
      </c>
      <c r="D68" s="399">
        <f t="shared" si="7"/>
        <v>0.56288567025442893</v>
      </c>
      <c r="E68" s="399">
        <f t="shared" si="7"/>
        <v>0.56596157113358847</v>
      </c>
      <c r="F68" s="399">
        <f t="shared" si="7"/>
        <v>0.6253471258251514</v>
      </c>
      <c r="G68" s="399">
        <f t="shared" si="7"/>
        <v>0.68876146895068913</v>
      </c>
      <c r="H68" s="399">
        <f t="shared" si="7"/>
        <v>0.69033506357420382</v>
      </c>
      <c r="I68" s="399">
        <f t="shared" si="7"/>
        <v>0.71321844869265372</v>
      </c>
      <c r="J68" s="399">
        <f t="shared" si="7"/>
        <v>0.79604054893928322</v>
      </c>
      <c r="K68" s="399">
        <f t="shared" si="7"/>
        <v>0.7753247527470164</v>
      </c>
      <c r="L68" s="399">
        <f t="shared" si="7"/>
        <v>0.75719924355776025</v>
      </c>
      <c r="M68" s="399">
        <f t="shared" si="7"/>
        <v>0.76034531628727742</v>
      </c>
      <c r="N68" s="399">
        <f t="shared" si="7"/>
        <v>0.7809027005829714</v>
      </c>
      <c r="O68" s="399">
        <f t="shared" si="7"/>
        <v>0.69253208910811082</v>
      </c>
      <c r="P68" s="399">
        <f t="shared" si="7"/>
        <v>0.58667199334703013</v>
      </c>
    </row>
    <row r="69" spans="1:16" x14ac:dyDescent="0.25">
      <c r="A69">
        <v>1436</v>
      </c>
      <c r="B69" t="s">
        <v>470</v>
      </c>
      <c r="C69" s="399">
        <f t="shared" si="6"/>
        <v>0.25430324199445209</v>
      </c>
      <c r="D69" s="399">
        <f t="shared" si="7"/>
        <v>0.27163343355011038</v>
      </c>
      <c r="E69" s="399">
        <f t="shared" si="7"/>
        <v>0.29609730007399782</v>
      </c>
      <c r="F69" s="399">
        <f t="shared" si="7"/>
        <v>0.32609324671871931</v>
      </c>
      <c r="G69" s="399">
        <f t="shared" si="7"/>
        <v>0.39142279641783195</v>
      </c>
      <c r="H69" s="399">
        <f t="shared" si="7"/>
        <v>0.40073716795148628</v>
      </c>
      <c r="I69" s="399">
        <f t="shared" si="7"/>
        <v>0.4289845892077917</v>
      </c>
      <c r="J69" s="399">
        <f t="shared" si="7"/>
        <v>0.50346024889977381</v>
      </c>
      <c r="K69" s="399">
        <f t="shared" si="7"/>
        <v>0.48457097290054196</v>
      </c>
      <c r="L69" s="399">
        <f t="shared" si="7"/>
        <v>0.47552967543805524</v>
      </c>
      <c r="M69" s="399">
        <f t="shared" si="7"/>
        <v>0.48591265790377502</v>
      </c>
      <c r="N69" s="399">
        <f t="shared" si="7"/>
        <v>0.50389110926865932</v>
      </c>
      <c r="O69" s="399">
        <f t="shared" si="7"/>
        <v>0.45691067082211057</v>
      </c>
      <c r="P69" s="399">
        <f t="shared" si="7"/>
        <v>0.37092695447426782</v>
      </c>
    </row>
    <row r="70" spans="1:16" x14ac:dyDescent="0.25">
      <c r="A70">
        <v>1436</v>
      </c>
      <c r="B70" t="s">
        <v>498</v>
      </c>
      <c r="C70" s="399">
        <f t="shared" si="6"/>
        <v>0.63907756875741528</v>
      </c>
      <c r="D70" s="399">
        <f t="shared" ref="D70:P71" si="8">SQRT(((LEFT(D$6,3)-LEFT($B70,3))*(LEFT(D$6,3)-LEFT($B70,3)))+((RIGHT(D$6,3)-RIGHT($B70,3))*(RIGHT(D$6,3)-RIGHT($B70,3))))*$D$1</f>
        <v>0.65880784586841235</v>
      </c>
      <c r="E70" s="399">
        <f t="shared" si="8"/>
        <v>0.67314560089181286</v>
      </c>
      <c r="F70" s="399">
        <f t="shared" si="8"/>
        <v>0.71837248539861109</v>
      </c>
      <c r="G70" s="399">
        <f t="shared" si="8"/>
        <v>0.78423042602994619</v>
      </c>
      <c r="H70" s="399">
        <f t="shared" si="8"/>
        <v>0.79056941504209477</v>
      </c>
      <c r="I70" s="399">
        <f t="shared" si="8"/>
        <v>0.8170279812969824</v>
      </c>
      <c r="J70" s="399">
        <f t="shared" si="8"/>
        <v>0.89607554865027361</v>
      </c>
      <c r="K70" s="399">
        <f t="shared" si="8"/>
        <v>0.87623920186721205</v>
      </c>
      <c r="L70" s="399">
        <f t="shared" si="8"/>
        <v>0.86326455646252742</v>
      </c>
      <c r="M70" s="399">
        <f t="shared" si="8"/>
        <v>0.87052426732400745</v>
      </c>
      <c r="N70" s="399">
        <f t="shared" si="8"/>
        <v>0.89000039013724275</v>
      </c>
      <c r="O70" s="399">
        <f t="shared" si="8"/>
        <v>0.81994452725643452</v>
      </c>
      <c r="P70" s="399">
        <f t="shared" si="8"/>
        <v>0.71837248539861109</v>
      </c>
    </row>
    <row r="71" spans="1:16" x14ac:dyDescent="0.25">
      <c r="A71">
        <v>1146</v>
      </c>
      <c r="B71" t="s">
        <v>462</v>
      </c>
      <c r="C71" s="399">
        <f t="shared" si="6"/>
        <v>0.26679684322636865</v>
      </c>
      <c r="D71" s="399">
        <f t="shared" si="8"/>
        <v>0.2833639689319884</v>
      </c>
      <c r="E71" s="399">
        <f t="shared" si="8"/>
        <v>0.30970976556913554</v>
      </c>
      <c r="F71" s="399">
        <f t="shared" si="8"/>
        <v>0.33592740617910621</v>
      </c>
      <c r="G71" s="399">
        <f t="shared" si="8"/>
        <v>0.40073716795148628</v>
      </c>
      <c r="H71" s="399">
        <f t="shared" si="8"/>
        <v>0.41089756090241708</v>
      </c>
      <c r="I71" s="399">
        <f t="shared" si="8"/>
        <v>0.43947964811935392</v>
      </c>
      <c r="J71" s="399">
        <f t="shared" si="8"/>
        <v>0.51243224484370176</v>
      </c>
      <c r="K71" s="399">
        <f t="shared" si="8"/>
        <v>0.49388623296373735</v>
      </c>
      <c r="L71" s="399">
        <f t="shared" si="8"/>
        <v>0.48591265790377502</v>
      </c>
      <c r="M71" s="399">
        <f t="shared" si="8"/>
        <v>0.49695251841152344</v>
      </c>
      <c r="N71" s="399">
        <f t="shared" si="8"/>
        <v>0.51454537646785281</v>
      </c>
      <c r="O71" s="399">
        <f t="shared" si="8"/>
        <v>0.47140452079103168</v>
      </c>
      <c r="P71" s="399">
        <f t="shared" si="8"/>
        <v>0.38752240078621403</v>
      </c>
    </row>
    <row r="72" spans="1:16" x14ac:dyDescent="0.25">
      <c r="A72">
        <v>1084</v>
      </c>
      <c r="B72" t="s">
        <v>509</v>
      </c>
      <c r="C72" s="399">
        <f t="shared" ref="C72:P79" si="9">SQRT(((LEFT(C$6,3)-LEFT($B72,3))*(LEFT(C$6,3)-LEFT($B72,3)))+((RIGHT(C$6,3)-RIGHT($B72,3))*(RIGHT(C$6,3)-RIGHT($B72,3))))*$D$1</f>
        <v>0.27163343355011038</v>
      </c>
      <c r="D72" s="399">
        <f t="shared" si="9"/>
        <v>0.2833639689319884</v>
      </c>
      <c r="E72" s="399">
        <f t="shared" si="9"/>
        <v>0.31800703171820305</v>
      </c>
      <c r="F72" s="399">
        <f t="shared" si="9"/>
        <v>0.32409060804383427</v>
      </c>
      <c r="G72" s="399">
        <f t="shared" si="9"/>
        <v>0.38414768572053692</v>
      </c>
      <c r="H72" s="399">
        <f t="shared" si="9"/>
        <v>0.39802027446964161</v>
      </c>
      <c r="I72" s="399">
        <f t="shared" si="9"/>
        <v>0.42746426101423318</v>
      </c>
      <c r="J72" s="399">
        <f t="shared" si="9"/>
        <v>0.49168432171691445</v>
      </c>
      <c r="K72" s="399">
        <f t="shared" si="9"/>
        <v>0.47507309379130747</v>
      </c>
      <c r="L72" s="399">
        <f t="shared" si="9"/>
        <v>0.47232433536477642</v>
      </c>
      <c r="M72" s="399">
        <f t="shared" si="9"/>
        <v>0.48635906374703131</v>
      </c>
      <c r="N72" s="399">
        <f t="shared" si="9"/>
        <v>0.50173310744967892</v>
      </c>
      <c r="O72" s="399">
        <f t="shared" si="9"/>
        <v>0.4796193513842224</v>
      </c>
      <c r="P72" s="399">
        <f t="shared" si="9"/>
        <v>0.41036907507483766</v>
      </c>
    </row>
    <row r="73" spans="1:16" x14ac:dyDescent="0.25">
      <c r="A73">
        <v>1076</v>
      </c>
      <c r="B73" t="s">
        <v>500</v>
      </c>
      <c r="C73" s="399">
        <f t="shared" si="9"/>
        <v>0.27163343355011038</v>
      </c>
      <c r="D73" s="399">
        <f t="shared" si="9"/>
        <v>0.29240976765871246</v>
      </c>
      <c r="E73" s="399">
        <f t="shared" si="9"/>
        <v>0.29828793881825733</v>
      </c>
      <c r="F73" s="399">
        <f t="shared" si="9"/>
        <v>0.35477888262346668</v>
      </c>
      <c r="G73" s="399">
        <f t="shared" si="9"/>
        <v>0.41874481754670373</v>
      </c>
      <c r="H73" s="399">
        <f t="shared" si="9"/>
        <v>0.42132809200326427</v>
      </c>
      <c r="I73" s="399">
        <f t="shared" si="9"/>
        <v>0.44536579846733226</v>
      </c>
      <c r="J73" s="399">
        <f t="shared" si="9"/>
        <v>0.52745787088217344</v>
      </c>
      <c r="K73" s="399">
        <f t="shared" si="9"/>
        <v>0.50689687752485157</v>
      </c>
      <c r="L73" s="399">
        <f t="shared" si="9"/>
        <v>0.49035842899749249</v>
      </c>
      <c r="M73" s="399">
        <f t="shared" si="9"/>
        <v>0.49520268016686303</v>
      </c>
      <c r="N73" s="399">
        <f t="shared" si="9"/>
        <v>0.51538820320220746</v>
      </c>
      <c r="O73" s="399">
        <f t="shared" si="9"/>
        <v>0.43799575086726328</v>
      </c>
      <c r="P73" s="399">
        <f t="shared" si="9"/>
        <v>0.33592740617910621</v>
      </c>
    </row>
    <row r="74" spans="1:16" x14ac:dyDescent="0.25">
      <c r="A74">
        <v>1018</v>
      </c>
      <c r="B74" t="s">
        <v>457</v>
      </c>
      <c r="C74" s="399">
        <f t="shared" si="9"/>
        <v>0.13176156917368248</v>
      </c>
      <c r="D74" s="399">
        <f t="shared" si="9"/>
        <v>0.12672421938121289</v>
      </c>
      <c r="E74" s="399">
        <f t="shared" si="9"/>
        <v>0.16796370308955311</v>
      </c>
      <c r="F74" s="399">
        <f t="shared" si="9"/>
        <v>0.13176156917368248</v>
      </c>
      <c r="G74" s="399">
        <f t="shared" si="9"/>
        <v>0.17921510973005472</v>
      </c>
      <c r="H74" s="399">
        <f t="shared" si="9"/>
        <v>0.19654127358451257</v>
      </c>
      <c r="I74" s="399">
        <f t="shared" si="9"/>
        <v>0.22534695471649935</v>
      </c>
      <c r="J74" s="399">
        <f t="shared" si="9"/>
        <v>0.28028383431403558</v>
      </c>
      <c r="K74" s="399">
        <f t="shared" si="9"/>
        <v>0.2651650429449553</v>
      </c>
      <c r="L74" s="399">
        <f t="shared" si="9"/>
        <v>0.26679684322636865</v>
      </c>
      <c r="M74" s="399">
        <f t="shared" si="9"/>
        <v>0.2833639689319884</v>
      </c>
      <c r="N74" s="399">
        <f t="shared" si="9"/>
        <v>0.29609730007399782</v>
      </c>
      <c r="O74" s="399">
        <f t="shared" si="9"/>
        <v>0.30333791205335492</v>
      </c>
      <c r="P74" s="399">
        <f t="shared" si="9"/>
        <v>0.27163343355011038</v>
      </c>
    </row>
    <row r="75" spans="1:16" x14ac:dyDescent="0.25">
      <c r="A75">
        <v>917</v>
      </c>
      <c r="B75" t="s">
        <v>475</v>
      </c>
      <c r="C75" s="399">
        <f t="shared" si="9"/>
        <v>0.3824491614726212</v>
      </c>
      <c r="D75" s="399">
        <f t="shared" si="9"/>
        <v>0.40073716795148628</v>
      </c>
      <c r="E75" s="399">
        <f t="shared" si="9"/>
        <v>0.42184284856909554</v>
      </c>
      <c r="F75" s="399">
        <f t="shared" si="9"/>
        <v>0.45691067082211057</v>
      </c>
      <c r="G75" s="399">
        <f t="shared" si="9"/>
        <v>0.52249734183268548</v>
      </c>
      <c r="H75" s="399">
        <f t="shared" si="9"/>
        <v>0.53114786599924835</v>
      </c>
      <c r="I75" s="399">
        <f t="shared" si="9"/>
        <v>0.55901699437494745</v>
      </c>
      <c r="J75" s="399">
        <f t="shared" si="9"/>
        <v>0.63464775882199231</v>
      </c>
      <c r="K75" s="399">
        <f t="shared" si="9"/>
        <v>0.6155536126122565</v>
      </c>
      <c r="L75" s="399">
        <f t="shared" si="9"/>
        <v>0.60560174390619304</v>
      </c>
      <c r="M75" s="399">
        <f t="shared" si="9"/>
        <v>0.61520096084305831</v>
      </c>
      <c r="N75" s="399">
        <f t="shared" si="9"/>
        <v>0.6336210969060645</v>
      </c>
      <c r="O75" s="399">
        <f t="shared" si="9"/>
        <v>0.57922661560241018</v>
      </c>
      <c r="P75" s="399">
        <f t="shared" si="9"/>
        <v>0.48635906374703131</v>
      </c>
    </row>
    <row r="76" spans="1:16" x14ac:dyDescent="0.25">
      <c r="A76">
        <v>713</v>
      </c>
      <c r="B76" t="s">
        <v>472</v>
      </c>
      <c r="C76" s="399">
        <f t="shared" si="9"/>
        <v>7.5115651572166431E-2</v>
      </c>
      <c r="D76" s="399">
        <f t="shared" si="9"/>
        <v>8.8388347648318433E-2</v>
      </c>
      <c r="E76" s="399">
        <f t="shared" si="9"/>
        <v>0.12147816447594376</v>
      </c>
      <c r="F76" s="399">
        <f t="shared" si="9"/>
        <v>0.13975424859373686</v>
      </c>
      <c r="G76" s="399">
        <f t="shared" si="9"/>
        <v>0.20518453753741883</v>
      </c>
      <c r="H76" s="399">
        <f t="shared" si="9"/>
        <v>0.21449229460389585</v>
      </c>
      <c r="I76" s="399">
        <f t="shared" si="9"/>
        <v>0.24295632895188751</v>
      </c>
      <c r="J76" s="399">
        <f t="shared" si="9"/>
        <v>0.31732387941099616</v>
      </c>
      <c r="K76" s="399">
        <f t="shared" si="9"/>
        <v>0.29828793881825733</v>
      </c>
      <c r="L76" s="399">
        <f t="shared" si="9"/>
        <v>0.28942591644687088</v>
      </c>
      <c r="M76" s="399">
        <f t="shared" si="9"/>
        <v>0.30046260628866572</v>
      </c>
      <c r="N76" s="399">
        <f t="shared" si="9"/>
        <v>0.31800703171820305</v>
      </c>
      <c r="O76" s="399">
        <f t="shared" si="9"/>
        <v>0.2833639689319884</v>
      </c>
      <c r="P76" s="399">
        <f t="shared" si="9"/>
        <v>0.21750638560230312</v>
      </c>
    </row>
    <row r="77" spans="1:16" x14ac:dyDescent="0.25">
      <c r="A77">
        <v>697</v>
      </c>
      <c r="B77" t="s">
        <v>504</v>
      </c>
      <c r="C77" s="399">
        <f t="shared" si="9"/>
        <v>0.34485302827597597</v>
      </c>
      <c r="D77" s="399">
        <f t="shared" si="9"/>
        <v>0.36383852492860369</v>
      </c>
      <c r="E77" s="399">
        <f t="shared" si="9"/>
        <v>0.3824491614726212</v>
      </c>
      <c r="F77" s="399">
        <f t="shared" si="9"/>
        <v>0.42184284856909554</v>
      </c>
      <c r="G77" s="399">
        <f t="shared" si="9"/>
        <v>0.4876958296133177</v>
      </c>
      <c r="H77" s="399">
        <f t="shared" si="9"/>
        <v>0.49520268016686303</v>
      </c>
      <c r="I77" s="399">
        <f t="shared" si="9"/>
        <v>0.52249734183268548</v>
      </c>
      <c r="J77" s="399">
        <f t="shared" si="9"/>
        <v>0.59984083537033195</v>
      </c>
      <c r="K77" s="399">
        <f t="shared" si="9"/>
        <v>0.58034951154933823</v>
      </c>
      <c r="L77" s="399">
        <f t="shared" si="9"/>
        <v>0.56902084515615259</v>
      </c>
      <c r="M77" s="399">
        <f t="shared" si="9"/>
        <v>0.57772602599425193</v>
      </c>
      <c r="N77" s="399">
        <f t="shared" si="9"/>
        <v>0.59657587763651465</v>
      </c>
      <c r="O77" s="399">
        <f t="shared" si="9"/>
        <v>0.53764532919016417</v>
      </c>
      <c r="P77" s="399">
        <f t="shared" si="9"/>
        <v>0.44292274219727706</v>
      </c>
    </row>
    <row r="78" spans="1:16" x14ac:dyDescent="0.25">
      <c r="A78">
        <v>578</v>
      </c>
      <c r="B78" t="s">
        <v>478</v>
      </c>
      <c r="C78" s="399">
        <f t="shared" si="9"/>
        <v>0.30333791205335492</v>
      </c>
      <c r="D78" s="399">
        <f t="shared" si="9"/>
        <v>0.32342030617208384</v>
      </c>
      <c r="E78" s="399">
        <f t="shared" si="9"/>
        <v>0.33657280044590643</v>
      </c>
      <c r="F78" s="399">
        <f t="shared" si="9"/>
        <v>0.38414768572053692</v>
      </c>
      <c r="G78" s="399">
        <f t="shared" si="9"/>
        <v>0.44972985718589376</v>
      </c>
      <c r="H78" s="399">
        <f t="shared" si="9"/>
        <v>0.45500686808003238</v>
      </c>
      <c r="I78" s="399">
        <f t="shared" si="9"/>
        <v>0.48097484919229982</v>
      </c>
      <c r="J78" s="399">
        <f t="shared" si="9"/>
        <v>0.56095466740984412</v>
      </c>
      <c r="K78" s="399">
        <f t="shared" si="9"/>
        <v>0.54086479107279872</v>
      </c>
      <c r="L78" s="399">
        <f t="shared" si="9"/>
        <v>0.52704627669472992</v>
      </c>
      <c r="M78" s="399">
        <f t="shared" si="9"/>
        <v>0.53400023408234565</v>
      </c>
      <c r="N78" s="399">
        <f t="shared" si="9"/>
        <v>0.55355542731610097</v>
      </c>
      <c r="O78" s="399">
        <f t="shared" si="9"/>
        <v>0.48591265790377502</v>
      </c>
      <c r="P78" s="399">
        <f t="shared" si="9"/>
        <v>0.38752240078621403</v>
      </c>
    </row>
    <row r="79" spans="1:16" x14ac:dyDescent="0.25">
      <c r="A79">
        <v>176</v>
      </c>
      <c r="B79" t="s">
        <v>488</v>
      </c>
      <c r="C79" s="399">
        <f t="shared" si="9"/>
        <v>3.9839630778353801</v>
      </c>
      <c r="D79" s="399">
        <f t="shared" si="9"/>
        <v>3.971797277192167</v>
      </c>
      <c r="E79" s="399">
        <f t="shared" si="9"/>
        <v>3.9379960005058408</v>
      </c>
      <c r="F79" s="399">
        <f t="shared" si="9"/>
        <v>3.9357359364051736</v>
      </c>
      <c r="G79" s="399">
        <f t="shared" si="9"/>
        <v>3.8831120287441845</v>
      </c>
      <c r="H79" s="399">
        <f t="shared" si="9"/>
        <v>3.8659167735480287</v>
      </c>
      <c r="I79" s="399">
        <f t="shared" si="9"/>
        <v>3.8369548110737792</v>
      </c>
      <c r="J79" s="399">
        <f t="shared" si="9"/>
        <v>3.7905218051813865</v>
      </c>
      <c r="K79" s="399">
        <f t="shared" si="9"/>
        <v>3.8020119856319345</v>
      </c>
      <c r="L79" s="399">
        <f t="shared" si="9"/>
        <v>3.7962998249757764</v>
      </c>
      <c r="M79" s="399">
        <f t="shared" si="9"/>
        <v>3.7790541144577436</v>
      </c>
      <c r="N79" s="399">
        <f t="shared" si="9"/>
        <v>3.767378712196467</v>
      </c>
      <c r="O79" s="399">
        <f t="shared" si="9"/>
        <v>3.775664492657036</v>
      </c>
      <c r="P79" s="399">
        <f t="shared" si="9"/>
        <v>3.8541666666666665</v>
      </c>
    </row>
  </sheetData>
  <autoFilter ref="A6:P79">
    <sortState ref="A7:P79">
      <sortCondition descending="1" ref="A6:A79"/>
    </sortState>
  </autoFilter>
  <mergeCells count="7">
    <mergeCell ref="C5:P5"/>
    <mergeCell ref="B1:C1"/>
    <mergeCell ref="B2:C2"/>
    <mergeCell ref="B3:C3"/>
    <mergeCell ref="F1:H1"/>
    <mergeCell ref="F2:H2"/>
    <mergeCell ref="F3:H3"/>
  </mergeCells>
  <conditionalFormatting sqref="C7:P79">
    <cfRule type="expression" dxfId="1" priority="3">
      <formula>(OR(C7&lt;$D$2,C7&gt;$D$3))</formula>
    </cfRule>
    <cfRule type="expression" dxfId="0" priority="4">
      <formula>AND(C7&gt;$D$2,C7&lt;$D$3)</formula>
    </cfRule>
  </conditionalFormatting>
  <dataValidations count="1">
    <dataValidation type="list" allowBlank="1" showInputMessage="1" showErrorMessage="1" sqref="A3">
      <formula1>"Laufzeiten,Abschickzeiten"</formula1>
    </dataValidation>
  </dataValidations>
  <pageMargins left="0.7" right="0.7" top="0.78740157499999996" bottom="0.78740157499999996" header="0.3" footer="0.3"/>
  <pageSetup paperSize="9"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Laufzeitrechner!$F$3:$F$13</xm:f>
          </x14:formula1>
          <xm:sqref>B1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dimension ref="A1:AF13"/>
  <sheetViews>
    <sheetView workbookViewId="0">
      <selection activeCell="H17" sqref="H17"/>
    </sheetView>
  </sheetViews>
  <sheetFormatPr baseColWidth="10" defaultRowHeight="15" x14ac:dyDescent="0.25"/>
  <cols>
    <col min="1" max="1" width="3.5703125" bestFit="1" customWidth="1"/>
    <col min="3" max="4" width="13.42578125" bestFit="1" customWidth="1"/>
    <col min="5" max="5" width="7.140625" bestFit="1" customWidth="1"/>
    <col min="6" max="6" width="8" bestFit="1" customWidth="1"/>
    <col min="7" max="7" width="7.28515625" bestFit="1" customWidth="1"/>
    <col min="8" max="8" width="7.140625" bestFit="1" customWidth="1"/>
    <col min="9" max="9" width="7.7109375" bestFit="1" customWidth="1"/>
    <col min="10" max="10" width="14.42578125" bestFit="1" customWidth="1"/>
    <col min="11" max="11" width="7.42578125" bestFit="1" customWidth="1"/>
    <col min="12" max="12" width="8.140625" bestFit="1" customWidth="1"/>
    <col min="13" max="13" width="12" bestFit="1" customWidth="1"/>
    <col min="14" max="14" width="21.5703125" bestFit="1" customWidth="1"/>
    <col min="15" max="15" width="17.85546875" bestFit="1" customWidth="1"/>
    <col min="16" max="16" width="17.85546875" customWidth="1"/>
    <col min="17" max="17" width="17" bestFit="1" customWidth="1"/>
    <col min="18" max="18" width="6.140625" bestFit="1" customWidth="1"/>
    <col min="19" max="19" width="8.140625" bestFit="1" customWidth="1"/>
    <col min="20" max="20" width="4.140625" bestFit="1" customWidth="1"/>
    <col min="21" max="21" width="6.5703125" bestFit="1" customWidth="1"/>
    <col min="22" max="22" width="7.140625" bestFit="1" customWidth="1"/>
    <col min="23" max="23" width="5" bestFit="1" customWidth="1"/>
    <col min="24" max="24" width="8.28515625" bestFit="1" customWidth="1"/>
    <col min="25" max="25" width="6.28515625" bestFit="1" customWidth="1"/>
    <col min="26" max="26" width="7.7109375" bestFit="1" customWidth="1"/>
    <col min="27" max="27" width="8.42578125" bestFit="1" customWidth="1"/>
    <col min="28" max="28" width="7.5703125" bestFit="1" customWidth="1"/>
    <col min="29" max="29" width="5.28515625" bestFit="1" customWidth="1"/>
    <col min="30" max="30" width="10.7109375" customWidth="1"/>
  </cols>
  <sheetData>
    <row r="1" spans="1:32" x14ac:dyDescent="0.25">
      <c r="B1" s="135" t="s">
        <v>30444</v>
      </c>
      <c r="D1" s="425" t="s">
        <v>421</v>
      </c>
      <c r="E1" s="430"/>
      <c r="F1" s="430"/>
      <c r="G1" s="227">
        <f>'Construction Planner'!E1</f>
        <v>1</v>
      </c>
    </row>
    <row r="2" spans="1:32" ht="15.75" thickBot="1" x14ac:dyDescent="0.3">
      <c r="B2" s="207">
        <v>178</v>
      </c>
      <c r="D2" s="451" t="s">
        <v>420</v>
      </c>
      <c r="E2" s="452"/>
      <c r="F2" s="452"/>
      <c r="G2" s="125">
        <f>'Construction Planner'!E4</f>
        <v>1</v>
      </c>
    </row>
    <row r="3" spans="1:32" ht="15.75" thickBot="1" x14ac:dyDescent="0.3">
      <c r="D3" s="453" t="s">
        <v>422</v>
      </c>
      <c r="E3" s="454"/>
      <c r="F3" s="454"/>
      <c r="G3" s="373">
        <f>G1*G2</f>
        <v>1</v>
      </c>
    </row>
    <row r="4" spans="1:32" x14ac:dyDescent="0.25">
      <c r="R4" s="455" t="s">
        <v>37418</v>
      </c>
      <c r="S4" s="455"/>
      <c r="T4" s="455"/>
      <c r="U4" s="455"/>
      <c r="V4" s="455"/>
      <c r="W4" s="455"/>
      <c r="X4" s="455"/>
      <c r="Y4" s="455"/>
      <c r="Z4" s="455"/>
      <c r="AA4" s="455"/>
      <c r="AB4" s="455"/>
      <c r="AC4" s="455"/>
      <c r="AE4" s="455" t="s">
        <v>37417</v>
      </c>
      <c r="AF4" s="455"/>
    </row>
    <row r="5" spans="1:32" ht="15.75" thickBot="1" x14ac:dyDescent="0.3">
      <c r="R5" t="s">
        <v>160</v>
      </c>
      <c r="S5" t="s">
        <v>161</v>
      </c>
      <c r="T5" t="s">
        <v>171</v>
      </c>
      <c r="U5" t="s">
        <v>275</v>
      </c>
      <c r="V5" t="s">
        <v>121</v>
      </c>
      <c r="W5" t="s">
        <v>30458</v>
      </c>
      <c r="X5" t="s">
        <v>425</v>
      </c>
      <c r="Y5" t="s">
        <v>125</v>
      </c>
      <c r="Z5" t="s">
        <v>269</v>
      </c>
      <c r="AA5" t="s">
        <v>204</v>
      </c>
      <c r="AB5" t="s">
        <v>192</v>
      </c>
      <c r="AC5" t="s">
        <v>266</v>
      </c>
      <c r="AE5" s="139"/>
      <c r="AF5" s="62" t="s">
        <v>336</v>
      </c>
    </row>
    <row r="6" spans="1:32" x14ac:dyDescent="0.25">
      <c r="A6" s="90" t="s">
        <v>37420</v>
      </c>
      <c r="B6" s="291" t="s">
        <v>37421</v>
      </c>
      <c r="C6" s="291" t="s">
        <v>526</v>
      </c>
      <c r="D6" s="291" t="s">
        <v>30439</v>
      </c>
      <c r="E6" s="291" t="s">
        <v>30443</v>
      </c>
      <c r="F6" s="291" t="s">
        <v>527</v>
      </c>
      <c r="G6" s="291" t="s">
        <v>30439</v>
      </c>
      <c r="H6" s="291" t="s">
        <v>30443</v>
      </c>
      <c r="I6" s="291" t="s">
        <v>196</v>
      </c>
      <c r="J6" s="291" t="s">
        <v>268</v>
      </c>
      <c r="K6" s="291" t="s">
        <v>264</v>
      </c>
      <c r="L6" s="291" t="s">
        <v>528</v>
      </c>
      <c r="M6" s="291" t="s">
        <v>30440</v>
      </c>
      <c r="N6" s="291" t="s">
        <v>30441</v>
      </c>
      <c r="O6" s="291" t="s">
        <v>30442</v>
      </c>
      <c r="P6" s="291" t="s">
        <v>37425</v>
      </c>
      <c r="Q6" s="291" t="s">
        <v>35903</v>
      </c>
      <c r="R6" s="291" t="s">
        <v>30445</v>
      </c>
      <c r="S6" s="291" t="s">
        <v>30446</v>
      </c>
      <c r="T6" s="291" t="s">
        <v>30447</v>
      </c>
      <c r="U6" s="291" t="s">
        <v>30448</v>
      </c>
      <c r="V6" s="291" t="s">
        <v>30449</v>
      </c>
      <c r="W6" s="291" t="s">
        <v>30450</v>
      </c>
      <c r="X6" s="291" t="s">
        <v>30456</v>
      </c>
      <c r="Y6" s="291" t="s">
        <v>30451</v>
      </c>
      <c r="Z6" s="291" t="s">
        <v>30452</v>
      </c>
      <c r="AA6" s="291" t="s">
        <v>30453</v>
      </c>
      <c r="AB6" s="291" t="s">
        <v>30455</v>
      </c>
      <c r="AC6" s="291" t="s">
        <v>30454</v>
      </c>
      <c r="AD6" s="291" t="s">
        <v>30457</v>
      </c>
      <c r="AE6" s="291" t="s">
        <v>37419</v>
      </c>
      <c r="AF6" s="92" t="str">
        <f>CONCATENATE("[**]",D6,"[||]",A6,"[||]",B6,"[||]",I6,"[||]",C6,"[||]",F6,"[||]","Abschickzeit","[||]","Ankunftszeit","[||]",AD6,"[/**]")</f>
        <v>[**]Spieler[||]Nr[||]Befehlstyp[||]Einheit[||]Herkunftsdorf[||]Zieldorf[||]Abschickzeit[||]Ankunftszeit[||]Link[/**]</v>
      </c>
    </row>
    <row r="7" spans="1:32" x14ac:dyDescent="0.25">
      <c r="A7" s="81">
        <v>1</v>
      </c>
      <c r="B7" s="11" t="s">
        <v>184</v>
      </c>
      <c r="C7" s="11" t="s">
        <v>487</v>
      </c>
      <c r="D7" s="164" t="str">
        <f>VLOOKUP(C7,DSDörfer!$H:$J,3,FALSE)</f>
        <v>Succoso</v>
      </c>
      <c r="E7" s="164">
        <f>VLOOKUP(C7,DSDörfer!$H:$J,2,FALSE)</f>
        <v>14605</v>
      </c>
      <c r="F7" s="11" t="s">
        <v>432</v>
      </c>
      <c r="G7" s="164" t="str">
        <f>VLOOKUP(F7,DSDörfer!$H:$J,3,FALSE)</f>
        <v>RpY93</v>
      </c>
      <c r="H7" s="164">
        <f>VLOOKUP(F7,DSDörfer!$H:$J,2,FALSE)</f>
        <v>10014</v>
      </c>
      <c r="I7" s="407" t="s">
        <v>269</v>
      </c>
      <c r="J7" s="408">
        <f>VLOOKUP(I7,Laufzeitrechner!$F$2:$H$13,3,FALSE)</f>
        <v>2.0833333333333332E-2</v>
      </c>
      <c r="K7" s="409">
        <f>SQRT(((LEFT(F7,3)-LEFT(C7,3))*(LEFT(F7,3)-LEFT(C7,3)))+((RIGHT(F7,3)-RIGHT(C7,3))*(RIGHT(F7,3)-RIGHT(C7,3))))</f>
        <v>19.313207915827967</v>
      </c>
      <c r="L7" s="408">
        <f>K7*J7</f>
        <v>0.40235849824641595</v>
      </c>
      <c r="M7" s="11" t="s">
        <v>273</v>
      </c>
      <c r="N7" s="410">
        <v>44001.999988425923</v>
      </c>
      <c r="O7" s="411">
        <f>IF(M7="","",IF(M7="Abschickzeit",N7+L7,IF(M7="Ankunftszeit",N7-L7,"Fehler")))</f>
        <v>44001.597629927674</v>
      </c>
      <c r="P7" s="412" t="s">
        <v>35904</v>
      </c>
      <c r="Q7" s="412" t="s">
        <v>35904</v>
      </c>
      <c r="R7" s="79">
        <v>0</v>
      </c>
      <c r="S7" s="79">
        <v>0</v>
      </c>
      <c r="T7" s="79">
        <v>0</v>
      </c>
      <c r="U7" s="79">
        <v>0</v>
      </c>
      <c r="V7" s="79">
        <v>10</v>
      </c>
      <c r="W7" s="79">
        <v>0</v>
      </c>
      <c r="X7" s="79">
        <v>0</v>
      </c>
      <c r="Y7" s="79">
        <v>0</v>
      </c>
      <c r="Z7" s="79">
        <v>0</v>
      </c>
      <c r="AA7" s="79">
        <v>10</v>
      </c>
      <c r="AB7" s="79">
        <v>0</v>
      </c>
      <c r="AC7" s="79">
        <v>0</v>
      </c>
      <c r="AD7" s="413" t="str">
        <f>HYPERLINK(CONCATENATE("https://de",$B$2,".die-staemme.de/game.php?",IF(P7="JA",CONCATENATE("t=",VLOOKUP(D7,DSSpieler!$B:$G,6,FALSE),"&amp;"),""),"village=",E7,"&amp;screen=place&amp;mode=command&amp;target=",H7,"&amp;type=0",IF(Q7="JA",CONCATENATE("&amp;",$R$6,"=",R7,"&amp;",$S$6,"=",S7,"&amp;",$T$6,"=",T7,"&amp;",$U$6,"=",U7,"&amp;",$V$6,"=",V7,"&amp;",$W$6,"=",W7,"&amp;",$X$6,"=",X7,"&amp;",$Y$6,"=",Y7,"&amp;",$Z$6,"=",Z7,"&amp;",$AA$6,"=",AA7,"&amp;",$AB$6,"=",AB7,"&amp;",$AC$6,"=",AC7),"")))</f>
        <v>https://de178.die-staemme.de/game.php?village=14605&amp;screen=place&amp;mode=command&amp;target=10014&amp;type=0</v>
      </c>
      <c r="AE7" s="79" t="str">
        <f>CONCATENATE("[b]",B7,"[/b] aus ",C7,"([player]",D7,"[/player]) auf ",F7," mit[b][color=#0eae0e] Abschickzeit ",IF(M7="Abschickzeit",TEXT(N7,"TT.MM:JJ hh:mm:ss"),TEXT(O7,"TT.MM:JJ hh:mm:ss")),"[/color][/b] auf [color=#ff0000]Ankunftszeit [b]",IF(M7="Abschickzeit",TEXT(O7,"TT.MM:JJ hh:mm:ss"),TEXT(N7,"TT.MM:JJ hh:mm:ss,000")),"[/b][/color] ([url=",AD7,"]Versammlungsplatz[/url])")</f>
        <v>[b]Off[/b] aus 387|463([player]Succoso[/player]) auf 394|481 mit[b][color=#0eae0e] Abschickzeit 19.06:20 14:20:35[/color][/b] auf [color=#ff0000]Ankunftszeit [b]19.06:20 23:59:59,000[/b][/color] ([url=https://de178.die-staemme.de/game.php?village=14605&amp;screen=place&amp;mode=command&amp;target=10014&amp;type=0]Versammlungsplatz[/url])</v>
      </c>
      <c r="AF7" s="82" t="str">
        <f>CONCATENATE("[*][player]",D7,"[/player][|]",A7,"[|]",B7,"[|]",I7,"[|] ",C7," [|] ",F7," [|]",IF(M7="Abschickzeit",TEXT(N7,"TT.MM:JJ hh:mm:ss"),TEXT(O7,"TT.MM:JJ hh:mm:ss")),"[|]",IF(M7="Abschickzeit",TEXT(O7,"TT.MM:JJ hh:mm:ss"),TEXT(N7,"TT.MM:JJ hh:mm:ss,000")),"[|]","[url=",AD7,"]Versammlungsplatz[/url]")</f>
        <v>[*][player]Succoso[/player][|]1[|]Off[|]Ramme[|] 387|463 [|] 394|481 [|]19.06:20 14:20:35[|]19.06:20 23:59:59,000[|][url=https://de178.die-staemme.de/game.php?village=14605&amp;screen=place&amp;mode=command&amp;target=10014&amp;type=0]Versammlungsplatz[/url]</v>
      </c>
    </row>
    <row r="8" spans="1:32" x14ac:dyDescent="0.25">
      <c r="A8" s="81">
        <v>1</v>
      </c>
      <c r="B8" s="11" t="s">
        <v>184</v>
      </c>
      <c r="C8" s="11" t="s">
        <v>395</v>
      </c>
      <c r="D8" s="164" t="str">
        <f>VLOOKUP(C8,DSDörfer!$H:$J,3,FALSE)</f>
        <v>MasonGunner</v>
      </c>
      <c r="E8" s="164">
        <f>VLOOKUP(C8,DSDörfer!$H:$J,2,FALSE)</f>
        <v>15982</v>
      </c>
      <c r="F8" s="11" t="s">
        <v>432</v>
      </c>
      <c r="G8" s="164" t="str">
        <f>VLOOKUP(F8,DSDörfer!$H:$J,3,FALSE)</f>
        <v>RpY93</v>
      </c>
      <c r="H8" s="164">
        <f>VLOOKUP(F8,DSDörfer!$H:$J,2,FALSE)</f>
        <v>10014</v>
      </c>
      <c r="I8" s="407" t="s">
        <v>269</v>
      </c>
      <c r="J8" s="408">
        <f>VLOOKUP(I8,Laufzeitrechner!$F$2:$H$13,3,FALSE)</f>
        <v>2.0833333333333332E-2</v>
      </c>
      <c r="K8" s="409">
        <f>SQRT(((LEFT(F8,3)-LEFT(C8,3))*(LEFT(F8,3)-LEFT(C8,3)))+((RIGHT(F8,3)-RIGHT(C8,3))*(RIGHT(F8,3)-RIGHT(C8,3))))</f>
        <v>13.416407864998739</v>
      </c>
      <c r="L8" s="408">
        <f>K8*J8</f>
        <v>0.27950849718747373</v>
      </c>
      <c r="M8" s="11" t="s">
        <v>273</v>
      </c>
      <c r="N8" s="410">
        <v>44001.999988425923</v>
      </c>
      <c r="O8" s="411">
        <f>IF(M8="","",IF(M8="Abschickzeit",N8+L8,IF(M8="Ankunftszeit",N8-L8,"Fehler")))</f>
        <v>44001.720479928736</v>
      </c>
      <c r="P8" s="412" t="s">
        <v>35904</v>
      </c>
      <c r="Q8" s="412" t="s">
        <v>35904</v>
      </c>
      <c r="R8" s="79">
        <v>0</v>
      </c>
      <c r="S8" s="79">
        <v>0</v>
      </c>
      <c r="T8" s="79">
        <v>0</v>
      </c>
      <c r="U8" s="79">
        <v>0</v>
      </c>
      <c r="V8" s="79">
        <v>0</v>
      </c>
      <c r="W8" s="79">
        <v>0</v>
      </c>
      <c r="X8" s="79">
        <v>0</v>
      </c>
      <c r="Y8" s="79">
        <v>0</v>
      </c>
      <c r="Z8" s="79">
        <v>0</v>
      </c>
      <c r="AA8" s="79">
        <v>0</v>
      </c>
      <c r="AB8" s="79">
        <v>0</v>
      </c>
      <c r="AC8" s="79">
        <v>0</v>
      </c>
      <c r="AD8" s="413" t="str">
        <f>HYPERLINK(CONCATENATE("https://de",$B$2,".die-staemme.de/game.php?",IF(P8="JA",CONCATENATE("t=",VLOOKUP(D8,DSSpieler!B:G,6,FALSE),"&amp;"),""),"village=",E8,"&amp;screen=place&amp;mode=command&amp;target=",H8,"&amp;type=0",IF(Q8="JA",CONCATENATE("&amp;",$R$6,"=",R8,"&amp;",$S$6,"=",S8,"&amp;",$T$6,"=",T8,"&amp;",$U$6,"=",U8,"&amp;",$V$6,"=",V8,"&amp;",$W$6,"=",W8,"&amp;",$X$6,"=",X8,"&amp;",$Y$6,"=",Y8,"&amp;",$Z$6,"=",Z8,"&amp;",$AA$6,"=",AA8,"&amp;",$AB$6,"=",AB8,"&amp;",$AC$6,"=",AC8),"")))</f>
        <v>https://de178.die-staemme.de/game.php?village=15982&amp;screen=place&amp;mode=command&amp;target=10014&amp;type=0</v>
      </c>
      <c r="AE8" s="79" t="str">
        <f>CONCATENATE("[b]",B8,"[/b] aus ",C8,"([player]",D8,"[/player]) auf ",F8," mit[b][color=#0eae0e] Abschickzeit ",IF(M8="Abschickzeit",TEXT(N8,"TT.MM:JJ hh:mm:ss"),TEXT(O8,"TT.MM:JJ hh:mm:ss")),"[/color][/b] auf [color=#ff0000]Ankunftszeit [b]",IF(M8="Abschickzeit",TEXT(O8,"TT.MM:JJ hh:mm:ss"),TEXT(N8,"TT.MM:JJ hh:mm:ss,000")),"[/b][/color] ([url=",AD8,"]Versammlungsplatz[/url])")</f>
        <v>[b]Off[/b] aus 382|475([player]MasonGunner[/player]) auf 394|481 mit[b][color=#0eae0e] Abschickzeit 19.06:20 17:17:29[/color][/b] auf [color=#ff0000]Ankunftszeit [b]19.06:20 23:59:59,000[/b][/color] ([url=https://de178.die-staemme.de/game.php?village=15982&amp;screen=place&amp;mode=command&amp;target=10014&amp;type=0]Versammlungsplatz[/url])</v>
      </c>
      <c r="AF8" s="82" t="str">
        <f>CONCATENATE("[*][player]",D8,"[/player][|]",A8,"[|]",B8,"[|]",I8,"[|] ",C8," [|] ",F8," [|]",IF(M8="Abschickzeit",TEXT(N8,"TT.MM:JJ hh:mm:ss"),TEXT(O8,"TT.MM:JJ hh:mm:ss")),"[|]",IF(M8="Abschickzeit",TEXT(O8,"TT.MM:JJ hh:mm:ss"),TEXT(N8,"TT.MM:JJ hh:mm:ss,000")),"[|]","[url=",AD8,"]Versammlungsplatz[/url]")</f>
        <v>[*][player]MasonGunner[/player][|]1[|]Off[|]Ramme[|] 382|475 [|] 394|481 [|]19.06:20 17:17:29[|]19.06:20 23:59:59,000[|][url=https://de178.die-staemme.de/game.php?village=15982&amp;screen=place&amp;mode=command&amp;target=10014&amp;type=0]Versammlungsplatz[/url]</v>
      </c>
    </row>
    <row r="9" spans="1:32" x14ac:dyDescent="0.25">
      <c r="A9" s="81">
        <v>2</v>
      </c>
      <c r="B9" s="11" t="s">
        <v>266</v>
      </c>
      <c r="C9" s="11" t="s">
        <v>448</v>
      </c>
      <c r="D9" s="164" t="str">
        <f>VLOOKUP(C9,DSDörfer!$H:$J,3,FALSE)</f>
        <v>Greidl</v>
      </c>
      <c r="E9" s="164">
        <f>VLOOKUP(C9,DSDörfer!$H:$J,2,FALSE)</f>
        <v>5123</v>
      </c>
      <c r="F9" s="11" t="s">
        <v>19662</v>
      </c>
      <c r="G9" s="164" t="str">
        <f>VLOOKUP(F9,DSDörfer!$H:$J,3,FALSE)</f>
        <v>walker71</v>
      </c>
      <c r="H9" s="164">
        <f>VLOOKUP(F9,DSDörfer!$H:$J,2,FALSE)</f>
        <v>16749</v>
      </c>
      <c r="I9" s="407" t="s">
        <v>266</v>
      </c>
      <c r="J9" s="408">
        <f>VLOOKUP(I9,Laufzeitrechner!$F$2:$H$13,3,FALSE)</f>
        <v>2.4305555555555556E-2</v>
      </c>
      <c r="K9" s="409">
        <f>SQRT(((LEFT(F9,3)-LEFT(C9,3))*(LEFT(F9,3)-LEFT(C9,3)))+((RIGHT(F9,3)-RIGHT(C9,3))*(RIGHT(F9,3)-RIGHT(C9,3))))</f>
        <v>13.601470508735444</v>
      </c>
      <c r="L9" s="408">
        <f>K9*J9</f>
        <v>0.33059129708731982</v>
      </c>
      <c r="M9" s="11" t="s">
        <v>273</v>
      </c>
      <c r="N9" s="410">
        <v>44001.999995370374</v>
      </c>
      <c r="O9" s="411">
        <f>IF(M9="","",IF(M9="Abschickzeit",N9+L9,IF(M9="Ankunftszeit",N9-L9,"Fehler")))</f>
        <v>44001.669404073284</v>
      </c>
      <c r="P9" s="412" t="s">
        <v>35905</v>
      </c>
      <c r="Q9" s="412" t="s">
        <v>35904</v>
      </c>
      <c r="R9" s="79">
        <v>300</v>
      </c>
      <c r="S9" s="79">
        <v>300</v>
      </c>
      <c r="T9" s="79">
        <v>0</v>
      </c>
      <c r="U9" s="79">
        <v>0</v>
      </c>
      <c r="V9" s="79">
        <v>0</v>
      </c>
      <c r="W9" s="79">
        <v>0</v>
      </c>
      <c r="X9" s="79">
        <v>0</v>
      </c>
      <c r="Y9" s="79">
        <v>0</v>
      </c>
      <c r="Z9" s="79">
        <v>0</v>
      </c>
      <c r="AA9" s="79">
        <v>0</v>
      </c>
      <c r="AB9" s="79">
        <v>0</v>
      </c>
      <c r="AC9" s="79">
        <v>1</v>
      </c>
      <c r="AD9" s="413" t="str">
        <f>HYPERLINK(CONCATENATE("https://de",$B$2,".die-staemme.de/game.php?",IF(P9="JA",CONCATENATE("t=",VLOOKUP(D9,DSSpieler!B:G,6,FALSE),"&amp;"),""),"village=",E9,"&amp;screen=place&amp;mode=command&amp;target=",H9,"&amp;type=0",IF(Q9="JA",CONCATENATE("&amp;",$R$6,"=",R9,"&amp;",$S$6,"=",S9,"&amp;",$T$6,"=",T9,"&amp;",$U$6,"=",U9,"&amp;",$V$6,"=",V9,"&amp;",$W$6,"=",W9,"&amp;",$X$6,"=",X9,"&amp;",$Y$6,"=",Y9,"&amp;",$Z$6,"=",Z9,"&amp;",$AA$6,"=",AA9,"&amp;",$AB$6,"=",AB9,"&amp;",$AC$6,"=",AC9),"")))</f>
        <v>https://de178.die-staemme.de/game.php?t=1577197893&amp;village=5123&amp;screen=place&amp;mode=command&amp;target=16749&amp;type=0</v>
      </c>
      <c r="AE9" s="79" t="str">
        <f>CONCATENATE("[b]",B9,"[/b] aus ",C9,"([player]",D9,"[/player]) auf ",F9," mit[b][color=#0eae0e] Abschickzeit ",IF(M9="Abschickzeit",TEXT(N9,"TT.MM:JJ hh:mm:ss"),TEXT(O9,"TT.MM:JJ hh:mm:ss")),"[/color][/b] auf [color=#ff0000]Ankunftszeit [b]",IF(M9="Abschickzeit",TEXT(O9,"TT.MM:JJ hh:mm:ss"),TEXT(N9,"TT.MM:JJ hh:mm:ss,000")),"[/b][/color] ([url=",AD9,"]Versammlungsplatz[/url])")</f>
        <v>[b]AG[/b] aus 397|460([player]Greidl[/player]) auf 393|447 mit[b][color=#0eae0e] Abschickzeit 19.06:20 16:03:57[/color][/b] auf [color=#ff0000]Ankunftszeit [b]19.06:20 23:59:59,600[/b][/color] ([url=https://de178.die-staemme.de/game.php?t=1577197893&amp;village=5123&amp;screen=place&amp;mode=command&amp;target=16749&amp;type=0]Versammlungsplatz[/url])</v>
      </c>
      <c r="AF9" s="82" t="str">
        <f>CONCATENATE("[*][player]",D9,"[/player][|]",A9,"[|]",B9,"[|]",I9,"[|] ",C9," [|] ",F9," [|]",IF(M9="Abschickzeit",TEXT(N9,"TT.MM:JJ hh:mm:ss"),TEXT(O9,"TT.MM:JJ hh:mm:ss")),"[|]",IF(M9="Abschickzeit",TEXT(O9,"TT.MM:JJ hh:mm:ss"),TEXT(N9,"TT.MM:JJ hh:mm:ss,000")),"[|]","[url=",AD9,"]Versammlungsplatz[/url]")</f>
        <v>[*][player]Greidl[/player][|]2[|]AG[|]AG[|] 397|460 [|] 393|447 [|]19.06:20 16:03:57[|]19.06:20 23:59:59,600[|][url=https://de178.die-staemme.de/game.php?t=1577197893&amp;village=5123&amp;screen=place&amp;mode=command&amp;target=16749&amp;type=0]Versammlungsplatz[/url]</v>
      </c>
    </row>
    <row r="10" spans="1:32" x14ac:dyDescent="0.25">
      <c r="A10" s="81">
        <v>1</v>
      </c>
      <c r="B10" s="11" t="s">
        <v>266</v>
      </c>
      <c r="C10" s="11" t="s">
        <v>465</v>
      </c>
      <c r="D10" s="164" t="str">
        <f>VLOOKUP(C10,DSDörfer!$H:$J,3,FALSE)</f>
        <v>Goettlich</v>
      </c>
      <c r="E10" s="164">
        <f>VLOOKUP(C10,DSDörfer!$H:$J,2,FALSE)</f>
        <v>13071</v>
      </c>
      <c r="F10" s="11" t="s">
        <v>432</v>
      </c>
      <c r="G10" s="164" t="str">
        <f>VLOOKUP(F10,DSDörfer!$H:$J,3,FALSE)</f>
        <v>RpY93</v>
      </c>
      <c r="H10" s="164">
        <f>VLOOKUP(F10,DSDörfer!$H:$J,2,FALSE)</f>
        <v>10014</v>
      </c>
      <c r="I10" s="407" t="s">
        <v>266</v>
      </c>
      <c r="J10" s="408">
        <f>VLOOKUP(I10,Laufzeitrechner!$F$2:$H$13,3,FALSE)</f>
        <v>2.4305555555555556E-2</v>
      </c>
      <c r="K10" s="409">
        <f>SQRT(((LEFT(F10,3)-LEFT(C10,3))*(LEFT(F10,3)-LEFT(C10,3)))+((RIGHT(F10,3)-RIGHT(C10,3))*(RIGHT(F10,3)-RIGHT(C10,3))))</f>
        <v>7.6157731058639087</v>
      </c>
      <c r="L10" s="408">
        <f>K10*J10</f>
        <v>0.18510559632308113</v>
      </c>
      <c r="M10" s="11" t="s">
        <v>273</v>
      </c>
      <c r="N10" s="410">
        <v>44001.99999074074</v>
      </c>
      <c r="O10" s="411">
        <f>IF(M10="","",IF(M10="Abschickzeit",N10+L10,IF(M10="Ankunftszeit",N10-L10,"Fehler")))</f>
        <v>44001.81488514442</v>
      </c>
      <c r="P10" s="412" t="s">
        <v>35904</v>
      </c>
      <c r="Q10" s="412" t="s">
        <v>35904</v>
      </c>
      <c r="R10" s="79">
        <v>0</v>
      </c>
      <c r="S10" s="79">
        <v>0</v>
      </c>
      <c r="T10" s="79">
        <v>0</v>
      </c>
      <c r="U10" s="79">
        <v>0</v>
      </c>
      <c r="V10" s="79">
        <v>0</v>
      </c>
      <c r="W10" s="79">
        <v>0</v>
      </c>
      <c r="X10" s="79">
        <v>0</v>
      </c>
      <c r="Y10" s="79">
        <v>0</v>
      </c>
      <c r="Z10" s="79">
        <v>0</v>
      </c>
      <c r="AA10" s="79">
        <v>0</v>
      </c>
      <c r="AB10" s="79">
        <v>0</v>
      </c>
      <c r="AC10" s="79">
        <v>0</v>
      </c>
      <c r="AD10" s="413" t="str">
        <f>HYPERLINK(CONCATENATE("https://de",$B$2,".die-staemme.de/game.php?",IF(P10="JA",CONCATENATE("t=",VLOOKUP(D10,DSSpieler!B:G,6,FALSE),"&amp;"),""),"village=",E10,"&amp;screen=place&amp;mode=command&amp;target=",H10,"&amp;type=0",IF(Q10="JA",CONCATENATE("&amp;",$R$6,"=",R10,"&amp;",$S$6,"=",S10,"&amp;",$T$6,"=",T10,"&amp;",$U$6,"=",U10,"&amp;",$V$6,"=",V10,"&amp;",$W$6,"=",W10,"&amp;",$X$6,"=",X10,"&amp;",$Y$6,"=",Y10,"&amp;",$Z$6,"=",Z10,"&amp;",$AA$6,"=",AA10,"&amp;",$AB$6,"=",AB10,"&amp;",$AC$6,"=",AC10),"")))</f>
        <v>https://de178.die-staemme.de/game.php?village=13071&amp;screen=place&amp;mode=command&amp;target=10014&amp;type=0</v>
      </c>
      <c r="AE10" s="79" t="str">
        <f>CONCATENATE("[b]",B10,"[/b] aus ",C10,"([player]",D10,"[/player]) auf ",F10," mit[b][color=#0eae0e] Abschickzeit ",IF(M10="Abschickzeit",TEXT(N10,"TT.MM:JJ hh:mm:ss"),TEXT(O10,"TT.MM:JJ hh:mm:ss")),"[/color][/b] auf [color=#ff0000]Ankunftszeit [b]",IF(M10="Abschickzeit",TEXT(O10,"TT.MM:JJ hh:mm:ss"),TEXT(N10,"TT.MM:JJ hh:mm:ss,000")),"[/b][/color] ([url=",AD10,"]Versammlungsplatz[/url])")</f>
        <v>[b]AG[/b] aus 391|474([player]Goettlich[/player]) auf 394|481 mit[b][color=#0eae0e] Abschickzeit 19.06:20 19:33:26[/color][/b] auf [color=#ff0000]Ankunftszeit [b]19.06:20 23:59:59,200[/b][/color] ([url=https://de178.die-staemme.de/game.php?village=13071&amp;screen=place&amp;mode=command&amp;target=10014&amp;type=0]Versammlungsplatz[/url])</v>
      </c>
      <c r="AF10" s="82" t="str">
        <f>CONCATENATE("[*][player]",D10,"[/player][|]",A10,"[|]",B10,"[|]",I10,"[|] ",C10," [|] ",F10," [|]",IF(M10="Abschickzeit",TEXT(N10,"TT.MM:JJ hh:mm:ss"),TEXT(O10,"TT.MM:JJ hh:mm:ss")),"[|]",IF(M10="Abschickzeit",TEXT(O10,"TT.MM:JJ hh:mm:ss"),TEXT(N10,"TT.MM:JJ hh:mm:ss,000")),"[|]","[url=",AD10,"]Versammlungsplatz[/url]")</f>
        <v>[*][player]Goettlich[/player][|]1[|]AG[|]AG[|] 391|474 [|] 394|481 [|]19.06:20 19:33:26[|]19.06:20 23:59:59,200[|][url=https://de178.die-staemme.de/game.php?village=13071&amp;screen=place&amp;mode=command&amp;target=10014&amp;type=0]Versammlungsplatz[/url]</v>
      </c>
    </row>
    <row r="11" spans="1:32" ht="15.75" thickBot="1" x14ac:dyDescent="0.3">
      <c r="A11" s="88">
        <v>1</v>
      </c>
      <c r="B11" s="225" t="s">
        <v>266</v>
      </c>
      <c r="C11" s="225" t="s">
        <v>458</v>
      </c>
      <c r="D11" s="258" t="str">
        <f>VLOOKUP(C11,DSDörfer!$H:$J,3,FALSE)</f>
        <v>Mr.Knüppel</v>
      </c>
      <c r="E11" s="258">
        <f>VLOOKUP(C11,DSDörfer!$H:$J,2,FALSE)</f>
        <v>12593</v>
      </c>
      <c r="F11" s="225" t="s">
        <v>432</v>
      </c>
      <c r="G11" s="258" t="str">
        <f>VLOOKUP(F11,DSDörfer!$H:$J,3,FALSE)</f>
        <v>RpY93</v>
      </c>
      <c r="H11" s="258">
        <f>VLOOKUP(F11,DSDörfer!$H:$J,2,FALSE)</f>
        <v>10014</v>
      </c>
      <c r="I11" s="414" t="s">
        <v>266</v>
      </c>
      <c r="J11" s="415">
        <f>VLOOKUP(I11,Laufzeitrechner!$F$2:$H$13,3,FALSE)</f>
        <v>2.4305555555555556E-2</v>
      </c>
      <c r="K11" s="416">
        <f>SQRT(((LEFT(F11,3)-LEFT(C11,3))*(LEFT(F11,3)-LEFT(C11,3)))+((RIGHT(F11,3)-RIGHT(C11,3))*(RIGHT(F11,3)-RIGHT(C11,3))))</f>
        <v>6.0827625302982193</v>
      </c>
      <c r="L11" s="415">
        <f>K11*J11</f>
        <v>0.14784492261141505</v>
      </c>
      <c r="M11" s="225" t="s">
        <v>273</v>
      </c>
      <c r="N11" s="417">
        <v>44001.99999074074</v>
      </c>
      <c r="O11" s="265">
        <f>IF(M11="","",IF(M11="Abschickzeit",N11+L11,IF(M11="Ankunftszeit",N11-L11,"Fehler")))</f>
        <v>44001.852145818128</v>
      </c>
      <c r="P11" s="418" t="s">
        <v>35904</v>
      </c>
      <c r="Q11" s="418" t="s">
        <v>35904</v>
      </c>
      <c r="R11" s="93">
        <v>0</v>
      </c>
      <c r="S11" s="93">
        <v>0</v>
      </c>
      <c r="T11" s="93">
        <v>0</v>
      </c>
      <c r="U11" s="93">
        <v>0</v>
      </c>
      <c r="V11" s="93">
        <v>0</v>
      </c>
      <c r="W11" s="93">
        <v>0</v>
      </c>
      <c r="X11" s="93">
        <v>0</v>
      </c>
      <c r="Y11" s="93">
        <v>0</v>
      </c>
      <c r="Z11" s="93">
        <v>0</v>
      </c>
      <c r="AA11" s="93">
        <v>0</v>
      </c>
      <c r="AB11" s="93">
        <v>0</v>
      </c>
      <c r="AC11" s="93">
        <v>0</v>
      </c>
      <c r="AD11" s="413" t="str">
        <f>HYPERLINK(CONCATENATE("https://de",$B$2,".die-staemme.de/game.php?",IF(P11="JA",CONCATENATE("t=",VLOOKUP(D11,DSSpieler!B:G,6,FALSE),"&amp;"),""),"village=",E11,"&amp;screen=place&amp;mode=command&amp;target=",H11,"&amp;type=0",IF(Q11="JA",CONCATENATE("&amp;",$R$6,"=",R11,"&amp;",$S$6,"=",S11,"&amp;",$T$6,"=",T11,"&amp;",$U$6,"=",U11,"&amp;",$V$6,"=",V11,"&amp;",$W$6,"=",W11,"&amp;",$X$6,"=",X11,"&amp;",$Y$6,"=",Y11,"&amp;",$Z$6,"=",Z11,"&amp;",$AA$6,"=",AA11,"&amp;",$AB$6,"=",AB11,"&amp;",$AC$6,"=",AC11),"")))</f>
        <v>https://de178.die-staemme.de/game.php?village=12593&amp;screen=place&amp;mode=command&amp;target=10014&amp;type=0</v>
      </c>
      <c r="AE11" s="93" t="str">
        <f>CONCATENATE("[b]",B11,"[/b] aus ",C11,"([player]",D11,"[/player]) auf ",F11," mit[b][color=#0eae0e] Abschickzeit ",IF(M11="Abschickzeit",TEXT(N11,"TT.MM:JJ hh:mm:ss"),TEXT(O11,"TT.MM:JJ hh:mm:ss")),"[/color][/b] auf [color=#ff0000]Ankunftszeit [b]",IF(M11="Abschickzeit",TEXT(O11,"TT.MM:JJ hh:mm:ss"),TEXT(N11,"TT.MM:JJ hh:mm:ss,000")),"[/b][/color] ([url=",AD11,"]Versammlungsplatz[/url])")</f>
        <v>[b]AG[/b] aus 388|482([player]Mr.Knüppel[/player]) auf 394|481 mit[b][color=#0eae0e] Abschickzeit 19.06:20 20:27:05[/color][/b] auf [color=#ff0000]Ankunftszeit [b]19.06:20 23:59:59,200[/b][/color] ([url=https://de178.die-staemme.de/game.php?village=12593&amp;screen=place&amp;mode=command&amp;target=10014&amp;type=0]Versammlungsplatz[/url])</v>
      </c>
      <c r="AF11" s="89" t="str">
        <f>CONCATENATE("[*][player]",D11,"[/player][|]",A11,"[|]",B11,"[|]",I11,"[|] ",C11," [|] ",F11," [|]",IF(M11="Abschickzeit",TEXT(N11,"TT.MM:JJ hh:mm:ss"),TEXT(O11,"TT.MM:JJ hh:mm:ss")),"[|]",IF(M11="Abschickzeit",TEXT(O11,"TT.MM:JJ hh:mm:ss"),TEXT(N11,"TT.MM:JJ hh:mm:ss,000")),"[|]","[url=",AD11,"]Versammlungsplatz[/url]")</f>
        <v>[*][player]Mr.Knüppel[/player][|]1[|]AG[|]AG[|] 388|482 [|] 394|481 [|]19.06:20 20:27:05[|]19.06:20 23:59:59,200[|][url=https://de178.die-staemme.de/game.php?village=12593&amp;screen=place&amp;mode=command&amp;target=10014&amp;type=0]Versammlungsplatz[/url]</v>
      </c>
    </row>
    <row r="12" spans="1:32" x14ac:dyDescent="0.25">
      <c r="AD12" s="406"/>
    </row>
    <row r="13" spans="1:32" x14ac:dyDescent="0.25">
      <c r="AD13" s="406"/>
    </row>
  </sheetData>
  <autoFilter ref="A6:Q6"/>
  <mergeCells count="5">
    <mergeCell ref="D1:F1"/>
    <mergeCell ref="D2:F2"/>
    <mergeCell ref="D3:F3"/>
    <mergeCell ref="R4:AC4"/>
    <mergeCell ref="AE4:AF4"/>
  </mergeCells>
  <dataValidations count="3">
    <dataValidation type="list" allowBlank="1" showInputMessage="1" showErrorMessage="1" sqref="M7:M11">
      <formula1>"Abschickzeit,Ankunftszeit"</formula1>
    </dataValidation>
    <dataValidation type="list" allowBlank="1" showInputMessage="1" showErrorMessage="1" sqref="P7:Q11">
      <formula1>"Ja,Nein"</formula1>
    </dataValidation>
    <dataValidation type="list" allowBlank="1" showInputMessage="1" sqref="B7:B11">
      <formula1>"AG,Off,Fake,Deff,Defffake,Katta,Sonstiges"</formula1>
    </dataValidation>
  </dataValidations>
  <pageMargins left="0.7" right="0.7" top="0.78740157499999996" bottom="0.78740157499999996"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pielerUpdate">
                <anchor moveWithCells="1" sizeWithCells="1">
                  <from>
                    <xdr:col>8</xdr:col>
                    <xdr:colOff>66675</xdr:colOff>
                    <xdr:row>0</xdr:row>
                    <xdr:rowOff>95250</xdr:rowOff>
                  </from>
                  <to>
                    <xdr:col>9</xdr:col>
                    <xdr:colOff>781050</xdr:colOff>
                    <xdr:row>2</xdr:row>
                    <xdr:rowOff>190500</xdr:rowOff>
                  </to>
                </anchor>
              </controlPr>
            </control>
          </mc:Choice>
        </mc:AlternateContent>
        <mc:AlternateContent xmlns:mc="http://schemas.openxmlformats.org/markup-compatibility/2006">
          <mc:Choice Requires="x14">
            <control shapeId="1026" r:id="rId5" name="Button 2">
              <controlPr defaultSize="0" print="0" autoFill="0" autoPict="0" macro="[0]!DörferUpdate">
                <anchor moveWithCells="1" sizeWithCells="1">
                  <from>
                    <xdr:col>11</xdr:col>
                    <xdr:colOff>28575</xdr:colOff>
                    <xdr:row>0</xdr:row>
                    <xdr:rowOff>104775</xdr:rowOff>
                  </from>
                  <to>
                    <xdr:col>12</xdr:col>
                    <xdr:colOff>638175</xdr:colOff>
                    <xdr:row>2</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Laufzeitrechner!$F$3:$F$13</xm:f>
          </x14:formula1>
          <xm:sqref>I7:I11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BJ129"/>
  <sheetViews>
    <sheetView workbookViewId="0">
      <selection activeCell="B4" sqref="B4"/>
    </sheetView>
  </sheetViews>
  <sheetFormatPr baseColWidth="10" defaultRowHeight="15" x14ac:dyDescent="0.25"/>
  <cols>
    <col min="1" max="1" width="28.85546875" bestFit="1" customWidth="1"/>
    <col min="2" max="2" width="15.140625" bestFit="1" customWidth="1"/>
    <col min="3" max="3" width="11.140625" bestFit="1" customWidth="1"/>
    <col min="4" max="4" width="13.140625" bestFit="1" customWidth="1"/>
    <col min="5" max="5" width="12.7109375" bestFit="1" customWidth="1"/>
    <col min="6" max="6" width="9.140625" bestFit="1" customWidth="1"/>
    <col min="7" max="7" width="6.5703125" customWidth="1"/>
    <col min="8" max="8" width="11.7109375" customWidth="1"/>
    <col min="9" max="9" width="4.85546875" bestFit="1" customWidth="1"/>
    <col min="10" max="10" width="5.85546875" bestFit="1" customWidth="1"/>
    <col min="11" max="11" width="5.7109375" bestFit="1" customWidth="1"/>
    <col min="12" max="12" width="8.140625" bestFit="1" customWidth="1"/>
    <col min="13" max="13" width="4.85546875" bestFit="1" customWidth="1"/>
    <col min="14" max="14" width="9.7109375" bestFit="1" customWidth="1"/>
    <col min="15" max="15" width="8.7109375" bestFit="1" customWidth="1"/>
    <col min="16" max="18" width="6" bestFit="1" customWidth="1"/>
    <col min="19" max="19" width="12.42578125" bestFit="1" customWidth="1"/>
    <col min="20" max="20" width="11.28515625" bestFit="1" customWidth="1"/>
    <col min="21" max="21" width="8.28515625" bestFit="1" customWidth="1"/>
    <col min="22" max="22" width="11.85546875" bestFit="1" customWidth="1"/>
    <col min="23" max="23" width="11.85546875" customWidth="1"/>
    <col min="24" max="24" width="8.140625" bestFit="1" customWidth="1"/>
    <col min="25" max="25" width="6.140625" bestFit="1" customWidth="1"/>
    <col min="26" max="26" width="8.140625" bestFit="1" customWidth="1"/>
    <col min="27" max="28" width="5.5703125" bestFit="1" customWidth="1"/>
    <col min="29" max="29" width="5.5703125" customWidth="1"/>
    <col min="30" max="30" width="8.85546875" bestFit="1" customWidth="1"/>
    <col min="31" max="33" width="7.42578125" customWidth="1"/>
    <col min="34" max="34" width="6.5703125" bestFit="1" customWidth="1"/>
    <col min="35" max="35" width="9.42578125" bestFit="1" customWidth="1"/>
  </cols>
  <sheetData>
    <row r="1" spans="1:62" ht="15.75" thickBot="1" x14ac:dyDescent="0.3">
      <c r="A1" s="100" t="s">
        <v>66</v>
      </c>
      <c r="B1" s="227">
        <f>'Construction Planner'!E1</f>
        <v>1</v>
      </c>
      <c r="D1" s="161"/>
      <c r="E1" s="162" t="s">
        <v>100</v>
      </c>
      <c r="F1" s="343">
        <v>4.1666666666666664E-2</v>
      </c>
      <c r="H1" s="158"/>
      <c r="I1" s="459" t="s">
        <v>155</v>
      </c>
      <c r="J1" s="459"/>
      <c r="K1" s="459"/>
      <c r="L1" s="430" t="s">
        <v>167</v>
      </c>
      <c r="M1" s="430"/>
      <c r="N1" s="430"/>
      <c r="O1" s="157" t="s">
        <v>183</v>
      </c>
      <c r="P1" s="430" t="s">
        <v>156</v>
      </c>
      <c r="Q1" s="430"/>
      <c r="R1" s="430"/>
      <c r="S1" s="460" t="s">
        <v>157</v>
      </c>
      <c r="T1" s="452"/>
      <c r="U1" s="452"/>
      <c r="V1" s="452"/>
      <c r="W1" s="452"/>
      <c r="X1" s="452"/>
      <c r="Y1" s="452" t="s">
        <v>158</v>
      </c>
      <c r="Z1" s="452"/>
      <c r="AA1" s="452"/>
      <c r="AB1" s="452"/>
      <c r="AC1" s="452"/>
      <c r="AD1" s="452"/>
      <c r="AE1" s="458" t="s">
        <v>159</v>
      </c>
      <c r="AF1" s="458"/>
      <c r="AG1" s="458"/>
      <c r="AI1" t="s">
        <v>184</v>
      </c>
      <c r="AO1" t="s">
        <v>398</v>
      </c>
      <c r="AP1" t="s">
        <v>290</v>
      </c>
    </row>
    <row r="2" spans="1:62" ht="15.75" thickBot="1" x14ac:dyDescent="0.3">
      <c r="A2" s="81" t="s">
        <v>148</v>
      </c>
      <c r="B2" s="125">
        <f>'Construction Planner'!E2</f>
        <v>1</v>
      </c>
      <c r="H2" s="159" t="s">
        <v>150</v>
      </c>
      <c r="I2" s="79" t="s">
        <v>151</v>
      </c>
      <c r="J2" s="79" t="s">
        <v>152</v>
      </c>
      <c r="K2" s="79" t="s">
        <v>153</v>
      </c>
      <c r="L2" s="79" t="s">
        <v>168</v>
      </c>
      <c r="M2" s="79" t="s">
        <v>169</v>
      </c>
      <c r="N2" s="79" t="s">
        <v>170</v>
      </c>
      <c r="O2" s="82"/>
      <c r="P2" s="79" t="s">
        <v>151</v>
      </c>
      <c r="Q2" s="79" t="s">
        <v>152</v>
      </c>
      <c r="R2" s="79" t="s">
        <v>153</v>
      </c>
      <c r="S2" s="165" t="s">
        <v>73</v>
      </c>
      <c r="T2" s="79" t="s">
        <v>74</v>
      </c>
      <c r="U2" s="79" t="s">
        <v>75</v>
      </c>
      <c r="V2" s="79" t="s">
        <v>76</v>
      </c>
      <c r="W2" s="79" t="s">
        <v>77</v>
      </c>
      <c r="X2" s="79" t="s">
        <v>78</v>
      </c>
      <c r="Y2" s="79" t="s">
        <v>160</v>
      </c>
      <c r="Z2" s="79" t="s">
        <v>161</v>
      </c>
      <c r="AA2" s="79" t="s">
        <v>171</v>
      </c>
      <c r="AB2" s="79" t="s">
        <v>122</v>
      </c>
      <c r="AC2" s="79" t="s">
        <v>125</v>
      </c>
      <c r="AD2" s="79" t="s">
        <v>123</v>
      </c>
      <c r="AE2" s="79" t="s">
        <v>151</v>
      </c>
      <c r="AF2" s="79" t="s">
        <v>152</v>
      </c>
      <c r="AG2" s="79" t="s">
        <v>153</v>
      </c>
      <c r="AI2" t="s">
        <v>185</v>
      </c>
      <c r="AL2" t="str">
        <f>LEFT(RIGHT(AO2,13),7)</f>
        <v>522|500</v>
      </c>
      <c r="AN2" s="154"/>
      <c r="AO2" t="s">
        <v>296</v>
      </c>
      <c r="AP2" s="154">
        <v>8998</v>
      </c>
      <c r="AQ2">
        <v>20</v>
      </c>
      <c r="AR2">
        <v>25</v>
      </c>
      <c r="AS2">
        <v>16</v>
      </c>
      <c r="AT2">
        <v>7</v>
      </c>
      <c r="AU2">
        <v>2</v>
      </c>
      <c r="AV2">
        <v>20</v>
      </c>
      <c r="AW2">
        <v>1</v>
      </c>
      <c r="AX2">
        <v>10</v>
      </c>
      <c r="AY2">
        <v>30</v>
      </c>
      <c r="AZ2">
        <v>30</v>
      </c>
      <c r="BA2">
        <v>30</v>
      </c>
      <c r="BB2">
        <v>30</v>
      </c>
      <c r="BC2">
        <v>30</v>
      </c>
      <c r="BD2">
        <v>5</v>
      </c>
      <c r="BE2" t="s">
        <v>300</v>
      </c>
      <c r="BF2">
        <v>1</v>
      </c>
      <c r="BG2" s="154">
        <v>8998</v>
      </c>
      <c r="BH2" t="s">
        <v>301</v>
      </c>
      <c r="BI2" t="s">
        <v>302</v>
      </c>
      <c r="BJ2" t="s">
        <v>303</v>
      </c>
    </row>
    <row r="3" spans="1:62" x14ac:dyDescent="0.25">
      <c r="A3" s="81" t="s">
        <v>149</v>
      </c>
      <c r="B3" s="125">
        <f>'Construction Planner'!E3</f>
        <v>1</v>
      </c>
      <c r="D3" s="100" t="s">
        <v>173</v>
      </c>
      <c r="E3" s="163">
        <f>COUNTA(H:H)-1</f>
        <v>3</v>
      </c>
      <c r="H3" s="228" t="s">
        <v>298</v>
      </c>
      <c r="I3" s="11">
        <v>30</v>
      </c>
      <c r="J3" s="11">
        <v>30</v>
      </c>
      <c r="K3" s="11">
        <v>30</v>
      </c>
      <c r="L3" s="11">
        <v>25</v>
      </c>
      <c r="M3" s="11">
        <v>16</v>
      </c>
      <c r="N3" s="11">
        <v>7</v>
      </c>
      <c r="O3" s="40" t="s">
        <v>185</v>
      </c>
      <c r="P3" s="229">
        <f t="shared" ref="P3:R11" si="0">IF(H3="","",IF(I3 = 0,$B$3*5,$B$3*30*1.163118^(I3-1)))</f>
        <v>2399.9974535898937</v>
      </c>
      <c r="Q3" s="229">
        <f t="shared" si="0"/>
        <v>2399.9974535898937</v>
      </c>
      <c r="R3" s="229">
        <f t="shared" si="0"/>
        <v>2399.9974535898937</v>
      </c>
      <c r="S3" s="230">
        <f>IF($H3="","",HLOOKUP(S$2,'Unit information'!$B$3:$K$29,$L3+2,FALSE))</f>
        <v>1.8371865211979867E-3</v>
      </c>
      <c r="T3" s="231">
        <f>IF($H3="","",HLOOKUP(T$2,'Unit information'!$B$3:$K$29,$L3+2,FALSE))</f>
        <v>2.7100428306398843E-3</v>
      </c>
      <c r="U3" s="231">
        <f>IF($H3="","",HLOOKUP(U$2,'Unit information'!$B$3:$K$29,$L3+2,FALSE))</f>
        <v>2.3767797651862072E-3</v>
      </c>
      <c r="V3" s="231">
        <f>IF($H3="","",HLOOKUP(V$2,'Unit information'!$B$3:$K$29,$M3+2,FALSE))</f>
        <v>5.4697885928286227E-3</v>
      </c>
      <c r="W3" s="231">
        <f>IF($H3="","",HLOOKUP(W$2,'Unit information'!$B$3:$K$29,$M3+2,FALSE))</f>
        <v>1.0939577185657245E-2</v>
      </c>
      <c r="X3" s="231">
        <f>IF($H3="","",HLOOKUP(X$2,'Unit information'!$B$3:$K$29,$N3+2,FALSE))</f>
        <v>2.4642913967405072E-2</v>
      </c>
      <c r="Y3" s="232">
        <f t="shared" ref="Y3:Z5" si="1">IF($H3="","",IF($O3=$AI$1,"0%","50"%))</f>
        <v>0.5</v>
      </c>
      <c r="Z3" s="232">
        <f t="shared" si="1"/>
        <v>0.5</v>
      </c>
      <c r="AA3" s="232">
        <f t="shared" ref="AA3:AB5" si="2">IF($H3="","",IF($O3=$AI$1,"100%","0"%))</f>
        <v>0</v>
      </c>
      <c r="AB3" s="232">
        <f t="shared" si="2"/>
        <v>0</v>
      </c>
      <c r="AC3" s="232">
        <f>IF($H3="","",IF($O3=$AI$3,"100%","0"%))</f>
        <v>0</v>
      </c>
      <c r="AD3" s="232">
        <f>IF($H3="","",IF($O3=$AI$1,"75%","50"%))</f>
        <v>0.5</v>
      </c>
      <c r="AE3" s="229">
        <f>IF($H3="","",($F$1/$S3*$Y3*'Unit information'!$AB$3)+($F$1/$T3*$Z3*'Unit information'!$AB$4)+($F$1/$U3*$AA3*'Unit information'!$AB$5)+($F$1/$V3*$AB3*'Unit information'!$AB$8)+($F$1/$W3*$AC3*'Unit information'!$AB$10)+($F$1/$X3*$AD3*'Unit information'!$AB$11))</f>
        <v>1051.2364178731086</v>
      </c>
      <c r="AF3" s="229">
        <f>IF($H3="","",($F$1/$S3*$Y3*'Unit information'!$AC$3)+($F$1/$T3*$Z3*'Unit information'!$AC$4)+($F$1/$U3*$AA3*'Unit information'!$AC$5)+($F$1/$V3*$AB3*'Unit information'!$AC$8)+($F$1/$W3*$AC3*'Unit information'!$AC$10)+($F$1/$X3*$AD3*'Unit information'!$AC$11))</f>
        <v>739.89948883271245</v>
      </c>
      <c r="AG3" s="229">
        <f>IF($H3="","",($F$1/$S3*$Y3*'Unit information'!$AD$3)+($F$1/$T3*$Z3*'Unit information'!$AD$4)+($F$1/$U3*$AA3*'Unit information'!$AD$5)+($F$1/$V3*$AB3*'Unit information'!$AD$8)+($F$1/$W3*$AC3*'Unit information'!$AD$10)+($F$1/$X3*$AD3*'Unit information'!$AD$11))</f>
        <v>820.60164277418858</v>
      </c>
      <c r="AI3" t="s">
        <v>186</v>
      </c>
      <c r="AL3" t="str">
        <f>LEFT(RIGHT(AO3,13),7)</f>
        <v>521|498</v>
      </c>
      <c r="AN3" s="154"/>
      <c r="AO3" t="s">
        <v>297</v>
      </c>
      <c r="AP3" s="154">
        <v>3322</v>
      </c>
      <c r="AQ3">
        <v>20</v>
      </c>
      <c r="AR3">
        <v>10</v>
      </c>
      <c r="AS3">
        <v>10</v>
      </c>
      <c r="AT3">
        <v>1</v>
      </c>
      <c r="AU3">
        <v>1</v>
      </c>
      <c r="AV3">
        <v>20</v>
      </c>
      <c r="AW3">
        <v>1</v>
      </c>
      <c r="AX3">
        <v>10</v>
      </c>
      <c r="AY3">
        <v>24</v>
      </c>
      <c r="AZ3">
        <v>26</v>
      </c>
      <c r="BA3">
        <v>21</v>
      </c>
      <c r="BB3">
        <v>20</v>
      </c>
      <c r="BC3">
        <v>20</v>
      </c>
      <c r="BD3">
        <v>13</v>
      </c>
      <c r="BE3" t="s">
        <v>304</v>
      </c>
      <c r="BF3">
        <v>1</v>
      </c>
      <c r="BG3" s="154">
        <v>3322</v>
      </c>
      <c r="BH3" t="s">
        <v>305</v>
      </c>
      <c r="BI3" t="s">
        <v>302</v>
      </c>
      <c r="BJ3" t="s">
        <v>303</v>
      </c>
    </row>
    <row r="4" spans="1:62" x14ac:dyDescent="0.25">
      <c r="A4" s="81" t="s">
        <v>387</v>
      </c>
      <c r="B4" s="125" t="str">
        <f>'Construction Planner'!G2</f>
        <v>Goldmünzen</v>
      </c>
      <c r="D4" s="81" t="s">
        <v>172</v>
      </c>
      <c r="E4" s="40">
        <v>0</v>
      </c>
      <c r="H4" s="228" t="s">
        <v>299</v>
      </c>
      <c r="I4" s="11">
        <v>30</v>
      </c>
      <c r="J4" s="11">
        <v>30</v>
      </c>
      <c r="K4" s="11">
        <v>30</v>
      </c>
      <c r="L4" s="11">
        <v>10</v>
      </c>
      <c r="M4" s="11">
        <v>10</v>
      </c>
      <c r="N4" s="11">
        <v>1</v>
      </c>
      <c r="O4" s="40" t="s">
        <v>185</v>
      </c>
      <c r="P4" s="229">
        <f t="shared" si="0"/>
        <v>2399.9974535898937</v>
      </c>
      <c r="Q4" s="229">
        <f t="shared" si="0"/>
        <v>2399.9974535898937</v>
      </c>
      <c r="R4" s="229">
        <f t="shared" si="0"/>
        <v>2399.9974535898937</v>
      </c>
      <c r="S4" s="230">
        <f>IF($H4="","",HLOOKUP(S$2,'Unit information'!$B$3:$K$29,$L4+2,FALSE))</f>
        <v>4.4029244096293546E-3</v>
      </c>
      <c r="T4" s="231">
        <f>IF($H4="","",HLOOKUP(T$2,'Unit information'!$B$3:$K$29,$L4+2,FALSE))</f>
        <v>6.4947753494210923E-3</v>
      </c>
      <c r="U4" s="231">
        <f>IF($H4="","",HLOOKUP(U$2,'Unit information'!$B$3:$K$29,$L4+2,FALSE))</f>
        <v>5.6960910194505648E-3</v>
      </c>
      <c r="V4" s="231">
        <f>IF($H4="","",HLOOKUP(V$2,'Unit information'!$B$3:$K$29,$M4+2,FALSE))</f>
        <v>7.7589996589272556E-3</v>
      </c>
      <c r="W4" s="231">
        <f>IF($H4="","",HLOOKUP(W$2,'Unit information'!$B$3:$K$29,$M4+2,FALSE))</f>
        <v>1.5517999317854511E-2</v>
      </c>
      <c r="X4" s="231">
        <f>IF($H4="","",HLOOKUP(X$2,'Unit information'!$B$3:$K$29,$N4+2,FALSE))</f>
        <v>3.4956444444444443E-2</v>
      </c>
      <c r="Y4" s="232">
        <f t="shared" si="1"/>
        <v>0.5</v>
      </c>
      <c r="Z4" s="232">
        <f t="shared" si="1"/>
        <v>0.5</v>
      </c>
      <c r="AA4" s="232">
        <f t="shared" si="2"/>
        <v>0</v>
      </c>
      <c r="AB4" s="232">
        <f t="shared" si="2"/>
        <v>0</v>
      </c>
      <c r="AC4" s="232">
        <f>IF($H4="","",IF($O4=$AI$3,"100%","0"%))</f>
        <v>0</v>
      </c>
      <c r="AD4" s="232">
        <f t="shared" ref="AD4:AD69" si="3">IF($H4="","",IF($O4=$AI$1,"75%","50"%))</f>
        <v>0.5</v>
      </c>
      <c r="AE4" s="229">
        <f>IF($H4="","",($F$1/$S4*$Y4*'Unit information'!$AB$3)+($F$1/$T4*$Z4*'Unit information'!$AB$4)+($F$1/$U4*$AA4*'Unit information'!$AB$5)+($F$1/$V4*$AB4*'Unit information'!$AB$8)+($F$1/$W4*$AC4*'Unit information'!$AB$10)+($F$1/$X4*$AD4*'Unit information'!$AB$11))</f>
        <v>511.61030434952875</v>
      </c>
      <c r="AF4" s="229">
        <f>IF($H4="","",($F$1/$S4*$Y4*'Unit information'!$AC$3)+($F$1/$T4*$Z4*'Unit information'!$AC$4)+($F$1/$U4*$AA4*'Unit information'!$AC$5)+($F$1/$V4*$AB4*'Unit information'!$AC$8)+($F$1/$W4*$AC4*'Unit information'!$AC$10)+($F$1/$X4*$AD4*'Unit information'!$AC$11))</f>
        <v>357.37825621150654</v>
      </c>
      <c r="AG4" s="229">
        <f>IF($H4="","",($F$1/$S4*$Y4*'Unit information'!$AD$3)+($F$1/$T4*$Z4*'Unit information'!$AD$4)+($F$1/$U4*$AA4*'Unit information'!$AD$5)+($F$1/$V4*$AB4*'Unit information'!$AD$8)+($F$1/$W4*$AC4*'Unit information'!$AD$10)+($F$1/$X4*$AD4*'Unit information'!$AD$11))</f>
        <v>391.05244537738554</v>
      </c>
      <c r="AN4" s="154"/>
      <c r="AP4" s="154"/>
      <c r="BG4" s="154"/>
    </row>
    <row r="5" spans="1:62" ht="15.75" thickBot="1" x14ac:dyDescent="0.3">
      <c r="A5" s="126" t="s">
        <v>163</v>
      </c>
      <c r="B5" s="352">
        <f ca="1">'Construction Planner'!AK5*('Construction Planner'!AK8+E3+1)</f>
        <v>330687.2962963098</v>
      </c>
      <c r="D5" s="88" t="s">
        <v>174</v>
      </c>
      <c r="E5" s="226">
        <v>4</v>
      </c>
      <c r="H5" s="228" t="s">
        <v>291</v>
      </c>
      <c r="I5" s="11">
        <v>30</v>
      </c>
      <c r="J5" s="11">
        <v>30</v>
      </c>
      <c r="K5" s="11">
        <v>30</v>
      </c>
      <c r="L5" s="11">
        <v>25</v>
      </c>
      <c r="M5" s="11">
        <v>20</v>
      </c>
      <c r="N5" s="11">
        <v>5</v>
      </c>
      <c r="O5" s="40" t="s">
        <v>184</v>
      </c>
      <c r="P5" s="229">
        <f t="shared" si="0"/>
        <v>2399.9974535898937</v>
      </c>
      <c r="Q5" s="229">
        <f t="shared" si="0"/>
        <v>2399.9974535898937</v>
      </c>
      <c r="R5" s="229">
        <f t="shared" si="0"/>
        <v>2399.9974535898937</v>
      </c>
      <c r="S5" s="230">
        <f>IF($H5="","",HLOOKUP(S$2,'Unit information'!$B$3:$K$29,$L5+2,FALSE))</f>
        <v>1.8371865211979867E-3</v>
      </c>
      <c r="T5" s="231">
        <f>IF($H5="","",HLOOKUP(T$2,'Unit information'!$B$3:$K$29,$L5+2,FALSE))</f>
        <v>2.7100428306398843E-3</v>
      </c>
      <c r="U5" s="231">
        <f>IF($H5="","",HLOOKUP(U$2,'Unit information'!$B$3:$K$29,$L5+2,FALSE))</f>
        <v>2.3767797651862072E-3</v>
      </c>
      <c r="V5" s="231">
        <f>IF($H5="","",HLOOKUP(V$2,'Unit information'!$B$3:$K$29,$M5+2,FALSE))</f>
        <v>4.3325848836311609E-3</v>
      </c>
      <c r="W5" s="231">
        <f>IF($H5="","",HLOOKUP(W$2,'Unit information'!$B$3:$K$29,$M5+2,FALSE))</f>
        <v>8.6651697672623217E-3</v>
      </c>
      <c r="X5" s="231">
        <f>IF($H5="","",HLOOKUP(X$2,'Unit information'!$B$3:$K$29,$N5+2,FALSE))</f>
        <v>2.7688778133776345E-2</v>
      </c>
      <c r="Y5" s="232" t="str">
        <f t="shared" si="1"/>
        <v>0%</v>
      </c>
      <c r="Z5" s="232" t="str">
        <f t="shared" si="1"/>
        <v>0%</v>
      </c>
      <c r="AA5" s="232" t="str">
        <f t="shared" si="2"/>
        <v>100%</v>
      </c>
      <c r="AB5" s="232" t="str">
        <f t="shared" si="2"/>
        <v>100%</v>
      </c>
      <c r="AC5" s="232">
        <f>IF($H5="","",IF($O5=$AI$3,"100%","0"%))</f>
        <v>0</v>
      </c>
      <c r="AD5" s="232" t="str">
        <f t="shared" si="3"/>
        <v>75%</v>
      </c>
      <c r="AE5" s="229">
        <f>IF($H5="","",($F$1/$S5*$Y5*'Unit information'!$AB$3)+($F$1/$T5*$Z5*'Unit information'!$AB$4)+($F$1/$U5*$AA5*'Unit information'!$AB$5)+($F$1/$V5*$AB5*'Unit information'!$AB$8)+($F$1/$W5*$AC5*'Unit information'!$AB$10)+($F$1/$X5*$AD5*'Unit information'!$AB$11))</f>
        <v>2592.5588833884613</v>
      </c>
      <c r="AF5" s="229">
        <f>IF($H5="","",($F$1/$S5*$Y5*'Unit information'!$AC$3)+($F$1/$T5*$Z5*'Unit information'!$AC$4)+($F$1/$U5*$AA5*'Unit information'!$AC$5)+($F$1/$V5*$AB5*'Unit information'!$AC$8)+($F$1/$W5*$AC5*'Unit information'!$AC$10)+($F$1/$X5*$AD5*'Unit information'!$AC$11))</f>
        <v>1713.3494576451433</v>
      </c>
      <c r="AG5" s="229">
        <f>IF($H5="","",($F$1/$S5*$Y5*'Unit information'!$AD$3)+($F$1/$T5*$Z5*'Unit information'!$AD$4)+($F$1/$U5*$AA5*'Unit information'!$AD$5)+($F$1/$V5*$AB5*'Unit information'!$AD$8)+($F$1/$W5*$AC5*'Unit information'!$AD$10)+($F$1/$X5*$AD5*'Unit information'!$AD$11))</f>
        <v>3331.213532834458</v>
      </c>
      <c r="AN5" s="154"/>
      <c r="AP5" s="154"/>
      <c r="BG5" s="154"/>
    </row>
    <row r="6" spans="1:62" ht="15.75" thickBot="1" x14ac:dyDescent="0.3">
      <c r="A6" s="353" t="s">
        <v>388</v>
      </c>
      <c r="B6" s="354">
        <v>1</v>
      </c>
      <c r="D6" s="12"/>
      <c r="E6" s="13"/>
      <c r="H6" s="228"/>
      <c r="I6" s="11"/>
      <c r="J6" s="11"/>
      <c r="K6" s="11"/>
      <c r="L6" s="11"/>
      <c r="M6" s="11"/>
      <c r="N6" s="11"/>
      <c r="O6" s="40"/>
      <c r="P6" s="229"/>
      <c r="Q6" s="229"/>
      <c r="R6" s="229"/>
      <c r="S6" s="230"/>
      <c r="T6" s="231"/>
      <c r="U6" s="231"/>
      <c r="V6" s="231"/>
      <c r="W6" s="231"/>
      <c r="X6" s="231"/>
      <c r="Y6" s="232"/>
      <c r="Z6" s="232"/>
      <c r="AA6" s="232"/>
      <c r="AB6" s="232"/>
      <c r="AC6" s="232"/>
      <c r="AD6" s="232"/>
      <c r="AE6" s="229"/>
      <c r="AF6" s="229"/>
      <c r="AG6" s="229"/>
      <c r="AN6" s="154"/>
      <c r="AP6" s="154"/>
      <c r="BG6" s="154"/>
    </row>
    <row r="7" spans="1:62" ht="15.75" thickBot="1" x14ac:dyDescent="0.3">
      <c r="A7" s="236" t="s">
        <v>182</v>
      </c>
      <c r="B7" s="237">
        <f ca="1">NOW()</f>
        <v>44000.924285069443</v>
      </c>
      <c r="D7" s="12"/>
      <c r="E7" s="13"/>
      <c r="H7" s="228"/>
      <c r="I7" s="11"/>
      <c r="J7" s="11"/>
      <c r="K7" s="11"/>
      <c r="L7" s="11"/>
      <c r="M7" s="11"/>
      <c r="N7" s="11"/>
      <c r="O7" s="40"/>
      <c r="P7" s="229"/>
      <c r="Q7" s="229"/>
      <c r="R7" s="229"/>
      <c r="S7" s="230"/>
      <c r="T7" s="231"/>
      <c r="U7" s="231"/>
      <c r="V7" s="231"/>
      <c r="W7" s="231"/>
      <c r="X7" s="231"/>
      <c r="Y7" s="232"/>
      <c r="Z7" s="232"/>
      <c r="AA7" s="232"/>
      <c r="AB7" s="232"/>
      <c r="AC7" s="232"/>
      <c r="AD7" s="232"/>
      <c r="AE7" s="229"/>
      <c r="AF7" s="229"/>
      <c r="AG7" s="229"/>
      <c r="AN7" s="154"/>
      <c r="AP7" s="154"/>
      <c r="BG7" s="154"/>
    </row>
    <row r="8" spans="1:62" ht="15.75" thickBot="1" x14ac:dyDescent="0.3">
      <c r="E8" s="153"/>
      <c r="H8" s="228"/>
      <c r="I8" s="11"/>
      <c r="J8" s="11"/>
      <c r="K8" s="11"/>
      <c r="L8" s="11"/>
      <c r="M8" s="11"/>
      <c r="N8" s="11"/>
      <c r="O8" s="40"/>
      <c r="P8" s="229" t="str">
        <f t="shared" si="0"/>
        <v/>
      </c>
      <c r="Q8" s="229" t="str">
        <f t="shared" si="0"/>
        <v/>
      </c>
      <c r="R8" s="229" t="str">
        <f t="shared" si="0"/>
        <v/>
      </c>
      <c r="S8" s="230" t="str">
        <f>IF($H8="","",HLOOKUP(S$2,'Unit information'!$B$3:$K$29,$L8+2,FALSE))</f>
        <v/>
      </c>
      <c r="T8" s="231" t="str">
        <f>IF($H8="","",HLOOKUP(T$2,'Unit information'!$B$3:$K$29,$L8+2,FALSE))</f>
        <v/>
      </c>
      <c r="U8" s="231" t="str">
        <f>IF($H8="","",HLOOKUP(U$2,'Unit information'!$B$3:$K$29,$L8+2,FALSE))</f>
        <v/>
      </c>
      <c r="V8" s="231" t="str">
        <f>IF($H8="","",HLOOKUP(V$2,'Unit information'!$B$3:$K$29,$M8+2,FALSE))</f>
        <v/>
      </c>
      <c r="W8" s="231" t="str">
        <f>IF($H8="","",HLOOKUP(W$2,'Unit information'!$B$3:$K$29,$M8+2,FALSE))</f>
        <v/>
      </c>
      <c r="X8" s="231" t="str">
        <f>IF($H8="","",HLOOKUP(X$2,'Unit information'!$B$3:$K$29,$N8+2,FALSE))</f>
        <v/>
      </c>
      <c r="Y8" s="232" t="str">
        <f>IF($H8="","",IF($O8=$AI$1,"0%","50"%))</f>
        <v/>
      </c>
      <c r="Z8" s="232" t="str">
        <f>IF($H8="","",IF($O8=$AI$1,"0%","50"%))</f>
        <v/>
      </c>
      <c r="AA8" s="232" t="str">
        <f>IF($H8="","",IF($O8=$AI$1,"100%","0"%))</f>
        <v/>
      </c>
      <c r="AB8" s="232" t="str">
        <f>IF($H8="","",IF($O8=$AI$1,"100%","0"%))</f>
        <v/>
      </c>
      <c r="AC8" s="232" t="str">
        <f>IF($H8="","",IF($O8=$AI$3,"100%","0"%))</f>
        <v/>
      </c>
      <c r="AD8" s="232" t="str">
        <f t="shared" si="3"/>
        <v/>
      </c>
      <c r="AE8" s="229" t="str">
        <f>IF($H8="","",($F$1/$S8*$Y8*'Unit information'!$AB$3)+($F$1/$T8*$Z8*'Unit information'!$AB$4)+($F$1/$U8*$AA8*'Unit information'!$AB$5)+($F$1/$V8*$AB8*'Unit information'!$AB$8)+($F$1/$W8*$AC8*'Unit information'!$AB$10)+($F$1/$X8*$AD8*'Unit information'!$AB$11))</f>
        <v/>
      </c>
      <c r="AF8" s="229" t="str">
        <f>IF($H8="","",($F$1/$S8*$Y8*'Unit information'!$AC$3)+($F$1/$T8*$Z8*'Unit information'!$AC$4)+($F$1/$U8*$AA8*'Unit information'!$AC$5)+($F$1/$V8*$AB8*'Unit information'!$AC$8)+($F$1/$W8*$AC8*'Unit information'!$AC$10)+($F$1/$X8*$AD8*'Unit information'!$AC$11))</f>
        <v/>
      </c>
      <c r="AG8" s="229" t="str">
        <f>IF($H8="","",($F$1/$S8*$Y8*'Unit information'!$AD$3)+($F$1/$T8*$Z8*'Unit information'!$AD$4)+($F$1/$U8*$AA8*'Unit information'!$AD$5)+($F$1/$V8*$AB8*'Unit information'!$AD$8)+($F$1/$W8*$AC8*'Unit information'!$AD$10)+($F$1/$X8*$AD8*'Unit information'!$AD$11))</f>
        <v/>
      </c>
      <c r="AN8" s="154"/>
      <c r="AP8" s="154"/>
      <c r="BG8" s="154"/>
    </row>
    <row r="9" spans="1:62" ht="15.75" thickBot="1" x14ac:dyDescent="0.3">
      <c r="B9" s="219" t="s">
        <v>151</v>
      </c>
      <c r="C9" s="220" t="s">
        <v>152</v>
      </c>
      <c r="D9" s="220" t="s">
        <v>153</v>
      </c>
      <c r="E9" s="221" t="s">
        <v>154</v>
      </c>
      <c r="H9" s="228"/>
      <c r="I9" s="11"/>
      <c r="J9" s="11"/>
      <c r="K9" s="11"/>
      <c r="L9" s="11"/>
      <c r="M9" s="11"/>
      <c r="N9" s="11"/>
      <c r="O9" s="40"/>
      <c r="P9" s="229" t="str">
        <f t="shared" si="0"/>
        <v/>
      </c>
      <c r="Q9" s="229" t="str">
        <f t="shared" si="0"/>
        <v/>
      </c>
      <c r="R9" s="229" t="str">
        <f t="shared" si="0"/>
        <v/>
      </c>
      <c r="S9" s="230" t="str">
        <f>IF($H9="","",HLOOKUP(S$2,'Unit information'!$B$3:$K$29,$L9+2,FALSE))</f>
        <v/>
      </c>
      <c r="T9" s="231" t="str">
        <f>IF($H9="","",HLOOKUP(T$2,'Unit information'!$B$3:$K$29,$L9+2,FALSE))</f>
        <v/>
      </c>
      <c r="U9" s="231" t="str">
        <f>IF($H9="","",HLOOKUP(U$2,'Unit information'!$B$3:$K$29,$L9+2,FALSE))</f>
        <v/>
      </c>
      <c r="V9" s="231" t="str">
        <f>IF($H9="","",HLOOKUP(V$2,'Unit information'!$B$3:$K$29,$M9+2,FALSE))</f>
        <v/>
      </c>
      <c r="W9" s="231" t="str">
        <f>IF($H9="","",HLOOKUP(W$2,'Unit information'!$B$3:$K$29,$M9+2,FALSE))</f>
        <v/>
      </c>
      <c r="X9" s="231" t="str">
        <f>IF($H9="","",HLOOKUP(X$2,'Unit information'!$B$3:$K$29,$N9+2,FALSE))</f>
        <v/>
      </c>
      <c r="Y9" s="232" t="str">
        <f t="shared" ref="Y9:Z40" si="4">IF($H9="","",IF($O9=$AI$1,"0%","50"%))</f>
        <v/>
      </c>
      <c r="Z9" s="232" t="str">
        <f t="shared" si="4"/>
        <v/>
      </c>
      <c r="AA9" s="232" t="str">
        <f t="shared" ref="AA9:AB40" si="5">IF($H9="","",IF($O9=$AI$1,"100%","0"%))</f>
        <v/>
      </c>
      <c r="AB9" s="232" t="str">
        <f t="shared" si="5"/>
        <v/>
      </c>
      <c r="AC9" s="232" t="str">
        <f t="shared" ref="AC9:AC72" si="6">IF($H9="","",IF($O9=$AI$3,"100%","0"%))</f>
        <v/>
      </c>
      <c r="AD9" s="232" t="str">
        <f t="shared" si="3"/>
        <v/>
      </c>
      <c r="AE9" s="229" t="str">
        <f>IF($H9="","",($F$1/$S9*$Y9*'Unit information'!$AB$3)+($F$1/$T9*$Z9*'Unit information'!$AB$4)+($F$1/$U9*$AA9*'Unit information'!$AB$5)+($F$1/$V9*$AB9*'Unit information'!$AB$8)+($F$1/$W9*$AC9*'Unit information'!$AB$10)+($F$1/$X9*$AD9*'Unit information'!$AB$11))</f>
        <v/>
      </c>
      <c r="AF9" s="229" t="str">
        <f>IF($H9="","",($F$1/$S9*$Y9*'Unit information'!$AC$3)+($F$1/$T9*$Z9*'Unit information'!$AC$4)+($F$1/$U9*$AA9*'Unit information'!$AC$5)+($F$1/$V9*$AB9*'Unit information'!$AC$8)+($F$1/$W9*$AC9*'Unit information'!$AC$10)+($F$1/$X9*$AD9*'Unit information'!$AC$11))</f>
        <v/>
      </c>
      <c r="AG9" s="229" t="str">
        <f>IF($H9="","",($F$1/$S9*$Y9*'Unit information'!$AD$3)+($F$1/$T9*$Z9*'Unit information'!$AD$4)+($F$1/$U9*$AA9*'Unit information'!$AD$5)+($F$1/$V9*$AB9*'Unit information'!$AD$8)+($F$1/$W9*$AC9*'Unit information'!$AD$10)+($F$1/$X9*$AD9*'Unit information'!$AD$11))</f>
        <v/>
      </c>
      <c r="AN9" s="154"/>
      <c r="AP9" s="154"/>
      <c r="BG9" s="154"/>
    </row>
    <row r="10" spans="1:62" x14ac:dyDescent="0.25">
      <c r="A10" s="233" t="s">
        <v>162</v>
      </c>
      <c r="B10" s="240">
        <f>SUM(P3:P105)</f>
        <v>7199.992360769681</v>
      </c>
      <c r="C10" s="241">
        <f>SUM(Q3:Q105)</f>
        <v>7199.992360769681</v>
      </c>
      <c r="D10" s="241">
        <f>SUM(R3:R105)</f>
        <v>7199.992360769681</v>
      </c>
      <c r="E10" s="242">
        <f>SUM(B10:D10)</f>
        <v>21599.977082309044</v>
      </c>
      <c r="H10" s="228"/>
      <c r="I10" s="11"/>
      <c r="J10" s="11"/>
      <c r="K10" s="11"/>
      <c r="L10" s="11"/>
      <c r="M10" s="11"/>
      <c r="N10" s="11"/>
      <c r="O10" s="40"/>
      <c r="P10" s="229" t="str">
        <f t="shared" si="0"/>
        <v/>
      </c>
      <c r="Q10" s="229" t="str">
        <f t="shared" si="0"/>
        <v/>
      </c>
      <c r="R10" s="229" t="str">
        <f t="shared" si="0"/>
        <v/>
      </c>
      <c r="S10" s="230" t="str">
        <f>IF($H10="","",HLOOKUP(S$2,'Unit information'!$B$3:$K$29,$L10+2,FALSE))</f>
        <v/>
      </c>
      <c r="T10" s="231" t="str">
        <f>IF($H10="","",HLOOKUP(T$2,'Unit information'!$B$3:$K$29,$L10+2,FALSE))</f>
        <v/>
      </c>
      <c r="U10" s="231" t="str">
        <f>IF($H10="","",HLOOKUP(U$2,'Unit information'!$B$3:$K$29,$L10+2,FALSE))</f>
        <v/>
      </c>
      <c r="V10" s="231" t="str">
        <f>IF($H10="","",HLOOKUP(V$2,'Unit information'!$B$3:$K$29,$M10+2,FALSE))</f>
        <v/>
      </c>
      <c r="W10" s="231" t="str">
        <f>IF($H10="","",HLOOKUP(W$2,'Unit information'!$B$3:$K$29,$M10+2,FALSE))</f>
        <v/>
      </c>
      <c r="X10" s="231" t="str">
        <f>IF($H10="","",HLOOKUP(X$2,'Unit information'!$B$3:$K$29,$N10+2,FALSE))</f>
        <v/>
      </c>
      <c r="Y10" s="232" t="str">
        <f t="shared" si="4"/>
        <v/>
      </c>
      <c r="Z10" s="232" t="str">
        <f t="shared" si="4"/>
        <v/>
      </c>
      <c r="AA10" s="232" t="str">
        <f t="shared" si="5"/>
        <v/>
      </c>
      <c r="AB10" s="232" t="str">
        <f t="shared" si="5"/>
        <v/>
      </c>
      <c r="AC10" s="232" t="str">
        <f t="shared" si="6"/>
        <v/>
      </c>
      <c r="AD10" s="232" t="str">
        <f t="shared" si="3"/>
        <v/>
      </c>
      <c r="AE10" s="229" t="str">
        <f>IF($H10="","",($F$1/$S10*$Y10*'Unit information'!$AB$3)+($F$1/$T10*$Z10*'Unit information'!$AB$4)+($F$1/$U10*$AA10*'Unit information'!$AB$5)+($F$1/$V10*$AB10*'Unit information'!$AB$8)+($F$1/$W10*$AC10*'Unit information'!$AB$10)+($F$1/$X10*$AD10*'Unit information'!$AB$11))</f>
        <v/>
      </c>
      <c r="AF10" s="229" t="str">
        <f>IF($H10="","",($F$1/$S10*$Y10*'Unit information'!$AC$3)+($F$1/$T10*$Z10*'Unit information'!$AC$4)+($F$1/$U10*$AA10*'Unit information'!$AC$5)+($F$1/$V10*$AB10*'Unit information'!$AC$8)+($F$1/$W10*$AC10*'Unit information'!$AC$10)+($F$1/$X10*$AD10*'Unit information'!$AC$11))</f>
        <v/>
      </c>
      <c r="AG10" s="229" t="str">
        <f>IF($H10="","",($F$1/$S10*$Y10*'Unit information'!$AD$3)+($F$1/$T10*$Z10*'Unit information'!$AD$4)+($F$1/$U10*$AA10*'Unit information'!$AD$5)+($F$1/$V10*$AB10*'Unit information'!$AD$8)+($F$1/$W10*$AC10*'Unit information'!$AD$10)+($F$1/$X10*$AD10*'Unit information'!$AD$11))</f>
        <v/>
      </c>
      <c r="AN10" s="154"/>
      <c r="AP10" s="154"/>
      <c r="BG10" s="154"/>
    </row>
    <row r="11" spans="1:62" x14ac:dyDescent="0.25">
      <c r="A11" s="234" t="s">
        <v>164</v>
      </c>
      <c r="B11" s="245">
        <f ca="1">($B$5/3/24)*$B$6</f>
        <v>4592.8791152265248</v>
      </c>
      <c r="C11" s="246">
        <f ca="1">($B$5/3/24)*$B$6</f>
        <v>4592.8791152265248</v>
      </c>
      <c r="D11" s="246">
        <f ca="1">($B$5/3/24)*$B$6</f>
        <v>4592.8791152265248</v>
      </c>
      <c r="E11" s="243">
        <f ca="1">$B$5</f>
        <v>330687.2962963098</v>
      </c>
      <c r="H11" s="228"/>
      <c r="I11" s="11"/>
      <c r="J11" s="11"/>
      <c r="K11" s="11"/>
      <c r="L11" s="11"/>
      <c r="M11" s="11"/>
      <c r="N11" s="11"/>
      <c r="O11" s="40"/>
      <c r="P11" s="229" t="str">
        <f t="shared" si="0"/>
        <v/>
      </c>
      <c r="Q11" s="229" t="str">
        <f t="shared" si="0"/>
        <v/>
      </c>
      <c r="R11" s="229" t="str">
        <f t="shared" si="0"/>
        <v/>
      </c>
      <c r="S11" s="230" t="str">
        <f>IF($H11="","",HLOOKUP(S$2,'Unit information'!$B$3:$K$29,$L11+2,FALSE))</f>
        <v/>
      </c>
      <c r="T11" s="231" t="str">
        <f>IF($H11="","",HLOOKUP(T$2,'Unit information'!$B$3:$K$29,$L11+2,FALSE))</f>
        <v/>
      </c>
      <c r="U11" s="231" t="str">
        <f>IF($H11="","",HLOOKUP(U$2,'Unit information'!$B$3:$K$29,$L11+2,FALSE))</f>
        <v/>
      </c>
      <c r="V11" s="231" t="str">
        <f>IF($H11="","",HLOOKUP(V$2,'Unit information'!$B$3:$K$29,$M11+2,FALSE))</f>
        <v/>
      </c>
      <c r="W11" s="231" t="str">
        <f>IF($H11="","",HLOOKUP(W$2,'Unit information'!$B$3:$K$29,$M11+2,FALSE))</f>
        <v/>
      </c>
      <c r="X11" s="231" t="str">
        <f>IF($H11="","",HLOOKUP(X$2,'Unit information'!$B$3:$K$29,$N11+2,FALSE))</f>
        <v/>
      </c>
      <c r="Y11" s="232" t="str">
        <f t="shared" si="4"/>
        <v/>
      </c>
      <c r="Z11" s="232" t="str">
        <f t="shared" si="4"/>
        <v/>
      </c>
      <c r="AA11" s="232" t="str">
        <f t="shared" si="5"/>
        <v/>
      </c>
      <c r="AB11" s="232" t="str">
        <f t="shared" si="5"/>
        <v/>
      </c>
      <c r="AC11" s="232" t="str">
        <f t="shared" si="6"/>
        <v/>
      </c>
      <c r="AD11" s="232" t="str">
        <f t="shared" si="3"/>
        <v/>
      </c>
      <c r="AE11" s="229" t="str">
        <f>IF($H11="","",($F$1/$S11*$Y11*'Unit information'!$AB$3)+($F$1/$T11*$Z11*'Unit information'!$AB$4)+($F$1/$U11*$AA11*'Unit information'!$AB$5)+($F$1/$V11*$AB11*'Unit information'!$AB$8)+($F$1/$W11*$AC11*'Unit information'!$AB$10)+($F$1/$X11*$AD11*'Unit information'!$AB$11))</f>
        <v/>
      </c>
      <c r="AF11" s="229" t="str">
        <f>IF($H11="","",($F$1/$S11*$Y11*'Unit information'!$AC$3)+($F$1/$T11*$Z11*'Unit information'!$AC$4)+($F$1/$U11*$AA11*'Unit information'!$AC$5)+($F$1/$V11*$AB11*'Unit information'!$AC$8)+($F$1/$W11*$AC11*'Unit information'!$AC$10)+($F$1/$X11*$AD11*'Unit information'!$AC$11))</f>
        <v/>
      </c>
      <c r="AG11" s="229" t="str">
        <f>IF($H11="","",($F$1/$S11*$Y11*'Unit information'!$AD$3)+($F$1/$T11*$Z11*'Unit information'!$AD$4)+($F$1/$U11*$AA11*'Unit information'!$AD$5)+($F$1/$V11*$AB11*'Unit information'!$AD$8)+($F$1/$W11*$AC11*'Unit information'!$AD$10)+($F$1/$X11*$AD11*'Unit information'!$AD$11))</f>
        <v/>
      </c>
      <c r="AN11" s="154"/>
      <c r="AP11" s="154"/>
      <c r="BG11" s="154"/>
    </row>
    <row r="12" spans="1:62" x14ac:dyDescent="0.25">
      <c r="A12" s="234" t="s">
        <v>181</v>
      </c>
      <c r="B12" s="245">
        <f ca="1">B11+B10</f>
        <v>11792.871475996206</v>
      </c>
      <c r="C12" s="246">
        <f ca="1">C11+C10</f>
        <v>11792.871475996206</v>
      </c>
      <c r="D12" s="246">
        <f ca="1">D11+D10</f>
        <v>11792.871475996206</v>
      </c>
      <c r="E12" s="243">
        <f ca="1">E11+E10</f>
        <v>352287.27337861882</v>
      </c>
      <c r="H12" s="228"/>
      <c r="I12" s="11"/>
      <c r="J12" s="11"/>
      <c r="K12" s="11"/>
      <c r="L12" s="11"/>
      <c r="M12" s="11"/>
      <c r="N12" s="11"/>
      <c r="O12" s="40"/>
      <c r="P12" s="229" t="str">
        <f t="shared" ref="P12:P75" si="7">IF(H12="","",IF(I12 = 0,$B$3*5,$B$3*30*1.163118^(I12-1)))</f>
        <v/>
      </c>
      <c r="Q12" s="229" t="str">
        <f t="shared" ref="Q12:Q75" si="8">IF(I12="","",IF(J12 = 0,$B$3*5,$B$3*30*1.163118^(J12-1)))</f>
        <v/>
      </c>
      <c r="R12" s="229" t="str">
        <f t="shared" ref="R12:R75" si="9">IF(J12="","",IF(K12 = 0,$B$3*5,$B$3*30*1.163118^(K12-1)))</f>
        <v/>
      </c>
      <c r="S12" s="230" t="str">
        <f>IF($H12="","",HLOOKUP(S$2,'Unit information'!$B$3:$K$29,$L12+2,FALSE))</f>
        <v/>
      </c>
      <c r="T12" s="231" t="str">
        <f>IF($H12="","",HLOOKUP(T$2,'Unit information'!$B$3:$K$29,$L12+2,FALSE))</f>
        <v/>
      </c>
      <c r="U12" s="231" t="str">
        <f>IF($H12="","",HLOOKUP(U$2,'Unit information'!$B$3:$K$29,$L12+2,FALSE))</f>
        <v/>
      </c>
      <c r="V12" s="231" t="str">
        <f>IF($H12="","",HLOOKUP(V$2,'Unit information'!$B$3:$K$29,$M12+2,FALSE))</f>
        <v/>
      </c>
      <c r="W12" s="231" t="str">
        <f>IF($H12="","",HLOOKUP(W$2,'Unit information'!$B$3:$K$29,$M12+2,FALSE))</f>
        <v/>
      </c>
      <c r="X12" s="231" t="str">
        <f>IF($H12="","",HLOOKUP(X$2,'Unit information'!$B$3:$K$29,$N12+2,FALSE))</f>
        <v/>
      </c>
      <c r="Y12" s="232" t="str">
        <f t="shared" si="4"/>
        <v/>
      </c>
      <c r="Z12" s="232" t="str">
        <f t="shared" si="4"/>
        <v/>
      </c>
      <c r="AA12" s="232" t="str">
        <f t="shared" si="5"/>
        <v/>
      </c>
      <c r="AB12" s="232" t="str">
        <f t="shared" si="5"/>
        <v/>
      </c>
      <c r="AC12" s="232" t="str">
        <f t="shared" si="6"/>
        <v/>
      </c>
      <c r="AD12" s="232" t="str">
        <f t="shared" si="3"/>
        <v/>
      </c>
      <c r="AE12" s="229" t="str">
        <f>IF($H12="","",($F$1/$S12*$Y12*'Unit information'!$AB$3)+($F$1/$T12*$Z12*'Unit information'!$AB$4)+($F$1/$U12*$AA12*'Unit information'!$AB$5)+($F$1/$V12*$AB12*'Unit information'!$AB$8)+($F$1/$W12*$AC12*'Unit information'!$AB$10)+($F$1/$X12*$AD12*'Unit information'!$AB$11))</f>
        <v/>
      </c>
      <c r="AF12" s="229" t="str">
        <f>IF($H12="","",($F$1/$S12*$Y12*'Unit information'!$AC$3)+($F$1/$T12*$Z12*'Unit information'!$AC$4)+($F$1/$U12*$AA12*'Unit information'!$AC$5)+($F$1/$V12*$AB12*'Unit information'!$AC$8)+($F$1/$W12*$AC12*'Unit information'!$AC$10)+($F$1/$X12*$AD12*'Unit information'!$AC$11))</f>
        <v/>
      </c>
      <c r="AG12" s="229" t="str">
        <f>IF($H12="","",($F$1/$S12*$Y12*'Unit information'!$AD$3)+($F$1/$T12*$Z12*'Unit information'!$AD$4)+($F$1/$U12*$AA12*'Unit information'!$AD$5)+($F$1/$V12*$AB12*'Unit information'!$AD$8)+($F$1/$W12*$AC12*'Unit information'!$AD$10)+($F$1/$X12*$AD12*'Unit information'!$AD$11))</f>
        <v/>
      </c>
      <c r="AN12" s="154"/>
      <c r="AP12" s="154"/>
      <c r="BG12" s="154"/>
    </row>
    <row r="13" spans="1:62" x14ac:dyDescent="0.25">
      <c r="A13" s="234" t="s">
        <v>177</v>
      </c>
      <c r="B13" s="245">
        <f>AE113</f>
        <v>4155.4056056110985</v>
      </c>
      <c r="C13" s="246">
        <f>AF113</f>
        <v>2810.6272026893621</v>
      </c>
      <c r="D13" s="246">
        <f>AG113</f>
        <v>4542.8676209860323</v>
      </c>
      <c r="E13" s="243">
        <f>SUM(B13:D13)</f>
        <v>11508.900429286492</v>
      </c>
      <c r="H13" s="228"/>
      <c r="I13" s="11"/>
      <c r="J13" s="11"/>
      <c r="K13" s="11"/>
      <c r="L13" s="11"/>
      <c r="M13" s="11"/>
      <c r="N13" s="11"/>
      <c r="O13" s="40"/>
      <c r="P13" s="229" t="str">
        <f t="shared" si="7"/>
        <v/>
      </c>
      <c r="Q13" s="229" t="str">
        <f t="shared" si="8"/>
        <v/>
      </c>
      <c r="R13" s="229" t="str">
        <f t="shared" si="9"/>
        <v/>
      </c>
      <c r="S13" s="230" t="str">
        <f>IF($H13="","",HLOOKUP(S$2,'Unit information'!$B$3:$K$29,$L13+2,FALSE))</f>
        <v/>
      </c>
      <c r="T13" s="231" t="str">
        <f>IF($H13="","",HLOOKUP(T$2,'Unit information'!$B$3:$K$29,$L13+2,FALSE))</f>
        <v/>
      </c>
      <c r="U13" s="231" t="str">
        <f>IF($H13="","",HLOOKUP(U$2,'Unit information'!$B$3:$K$29,$L13+2,FALSE))</f>
        <v/>
      </c>
      <c r="V13" s="231" t="str">
        <f>IF($H13="","",HLOOKUP(V$2,'Unit information'!$B$3:$K$29,$M13+2,FALSE))</f>
        <v/>
      </c>
      <c r="W13" s="231" t="str">
        <f>IF($H13="","",HLOOKUP(W$2,'Unit information'!$B$3:$K$29,$M13+2,FALSE))</f>
        <v/>
      </c>
      <c r="X13" s="231" t="str">
        <f>IF($H13="","",HLOOKUP(X$2,'Unit information'!$B$3:$K$29,$N13+2,FALSE))</f>
        <v/>
      </c>
      <c r="Y13" s="232" t="str">
        <f t="shared" si="4"/>
        <v/>
      </c>
      <c r="Z13" s="232" t="str">
        <f t="shared" si="4"/>
        <v/>
      </c>
      <c r="AA13" s="232" t="str">
        <f t="shared" si="5"/>
        <v/>
      </c>
      <c r="AB13" s="232" t="str">
        <f t="shared" si="5"/>
        <v/>
      </c>
      <c r="AC13" s="232" t="str">
        <f t="shared" si="6"/>
        <v/>
      </c>
      <c r="AD13" s="232" t="str">
        <f t="shared" si="3"/>
        <v/>
      </c>
      <c r="AE13" s="229" t="str">
        <f>IF($H13="","",($F$1/$S13*$Y13*'Unit information'!$AB$3)+($F$1/$T13*$Z13*'Unit information'!$AB$4)+($F$1/$U13*$AA13*'Unit information'!$AB$5)+($F$1/$V13*$AB13*'Unit information'!$AB$8)+($F$1/$W13*$AC13*'Unit information'!$AB$10)+($F$1/$X13*$AD13*'Unit information'!$AB$11))</f>
        <v/>
      </c>
      <c r="AF13" s="229" t="str">
        <f>IF($H13="","",($F$1/$S13*$Y13*'Unit information'!$AC$3)+($F$1/$T13*$Z13*'Unit information'!$AC$4)+($F$1/$U13*$AA13*'Unit information'!$AC$5)+($F$1/$V13*$AB13*'Unit information'!$AC$8)+($F$1/$W13*$AC13*'Unit information'!$AC$10)+($F$1/$X13*$AD13*'Unit information'!$AC$11))</f>
        <v/>
      </c>
      <c r="AG13" s="229" t="str">
        <f>IF($H13="","",($F$1/$S13*$Y13*'Unit information'!$AD$3)+($F$1/$T13*$Z13*'Unit information'!$AD$4)+($F$1/$U13*$AA13*'Unit information'!$AD$5)+($F$1/$V13*$AB13*'Unit information'!$AD$8)+($F$1/$W13*$AC13*'Unit information'!$AD$10)+($F$1/$X13*$AD13*'Unit information'!$AD$11))</f>
        <v/>
      </c>
      <c r="AN13" s="154"/>
      <c r="AP13" s="154"/>
      <c r="BG13" s="154"/>
    </row>
    <row r="14" spans="1:62" x14ac:dyDescent="0.25">
      <c r="A14" s="234" t="s">
        <v>176</v>
      </c>
      <c r="B14" s="238">
        <v>0</v>
      </c>
      <c r="C14" s="239">
        <v>0</v>
      </c>
      <c r="D14" s="239">
        <v>0</v>
      </c>
      <c r="E14" s="243">
        <f>SUM(B14:D14)</f>
        <v>0</v>
      </c>
      <c r="H14" s="228"/>
      <c r="I14" s="11"/>
      <c r="J14" s="11"/>
      <c r="K14" s="11"/>
      <c r="L14" s="11"/>
      <c r="M14" s="11"/>
      <c r="N14" s="11"/>
      <c r="O14" s="40"/>
      <c r="P14" s="229" t="str">
        <f t="shared" si="7"/>
        <v/>
      </c>
      <c r="Q14" s="229" t="str">
        <f t="shared" si="8"/>
        <v/>
      </c>
      <c r="R14" s="229" t="str">
        <f t="shared" si="9"/>
        <v/>
      </c>
      <c r="S14" s="230" t="str">
        <f>IF($H14="","",HLOOKUP(S$2,'Unit information'!$B$3:$K$29,$L14+2,FALSE))</f>
        <v/>
      </c>
      <c r="T14" s="231" t="str">
        <f>IF($H14="","",HLOOKUP(T$2,'Unit information'!$B$3:$K$29,$L14+2,FALSE))</f>
        <v/>
      </c>
      <c r="U14" s="231" t="str">
        <f>IF($H14="","",HLOOKUP(U$2,'Unit information'!$B$3:$K$29,$L14+2,FALSE))</f>
        <v/>
      </c>
      <c r="V14" s="231" t="str">
        <f>IF($H14="","",HLOOKUP(V$2,'Unit information'!$B$3:$K$29,$M14+2,FALSE))</f>
        <v/>
      </c>
      <c r="W14" s="231" t="str">
        <f>IF($H14="","",HLOOKUP(W$2,'Unit information'!$B$3:$K$29,$M14+2,FALSE))</f>
        <v/>
      </c>
      <c r="X14" s="231" t="str">
        <f>IF($H14="","",HLOOKUP(X$2,'Unit information'!$B$3:$K$29,$N14+2,FALSE))</f>
        <v/>
      </c>
      <c r="Y14" s="232" t="str">
        <f t="shared" si="4"/>
        <v/>
      </c>
      <c r="Z14" s="232" t="str">
        <f t="shared" si="4"/>
        <v/>
      </c>
      <c r="AA14" s="232" t="str">
        <f t="shared" si="5"/>
        <v/>
      </c>
      <c r="AB14" s="232" t="str">
        <f t="shared" si="5"/>
        <v/>
      </c>
      <c r="AC14" s="232" t="str">
        <f t="shared" si="6"/>
        <v/>
      </c>
      <c r="AD14" s="232" t="str">
        <f t="shared" si="3"/>
        <v/>
      </c>
      <c r="AE14" s="229" t="str">
        <f>IF($H14="","",($F$1/$S14*$Y14*'Unit information'!$AB$3)+($F$1/$T14*$Z14*'Unit information'!$AB$4)+($F$1/$U14*$AA14*'Unit information'!$AB$5)+($F$1/$V14*$AB14*'Unit information'!$AB$8)+($F$1/$W14*$AC14*'Unit information'!$AB$10)+($F$1/$X14*$AD14*'Unit information'!$AB$11))</f>
        <v/>
      </c>
      <c r="AF14" s="229" t="str">
        <f>IF($H14="","",($F$1/$S14*$Y14*'Unit information'!$AC$3)+($F$1/$T14*$Z14*'Unit information'!$AC$4)+($F$1/$U14*$AA14*'Unit information'!$AC$5)+($F$1/$V14*$AB14*'Unit information'!$AC$8)+($F$1/$W14*$AC14*'Unit information'!$AC$10)+($F$1/$X14*$AD14*'Unit information'!$AC$11))</f>
        <v/>
      </c>
      <c r="AG14" s="229" t="str">
        <f>IF($H14="","",($F$1/$S14*$Y14*'Unit information'!$AD$3)+($F$1/$T14*$Z14*'Unit information'!$AD$4)+($F$1/$U14*$AA14*'Unit information'!$AD$5)+($F$1/$V14*$AB14*'Unit information'!$AD$8)+($F$1/$W14*$AC14*'Unit information'!$AD$10)+($F$1/$X14*$AD14*'Unit information'!$AD$11))</f>
        <v/>
      </c>
      <c r="AN14" s="154"/>
      <c r="AP14" s="154"/>
      <c r="BG14" s="154"/>
    </row>
    <row r="15" spans="1:62" ht="15.75" thickBot="1" x14ac:dyDescent="0.3">
      <c r="A15" s="235" t="s">
        <v>178</v>
      </c>
      <c r="B15" s="247">
        <f ca="1">B12-B13-B14</f>
        <v>7637.4658703851073</v>
      </c>
      <c r="C15" s="248">
        <f ca="1">C12-C13-C14</f>
        <v>8982.2442733068438</v>
      </c>
      <c r="D15" s="248">
        <f ca="1">D12-D13-D14</f>
        <v>7250.0038550101735</v>
      </c>
      <c r="E15" s="244">
        <f ca="1">SUM(B15:D15)</f>
        <v>23869.713998702126</v>
      </c>
      <c r="H15" s="228"/>
      <c r="I15" s="11"/>
      <c r="J15" s="11"/>
      <c r="K15" s="11"/>
      <c r="L15" s="11"/>
      <c r="M15" s="11"/>
      <c r="N15" s="11"/>
      <c r="O15" s="40"/>
      <c r="P15" s="229" t="str">
        <f t="shared" si="7"/>
        <v/>
      </c>
      <c r="Q15" s="229" t="str">
        <f t="shared" si="8"/>
        <v/>
      </c>
      <c r="R15" s="229" t="str">
        <f t="shared" si="9"/>
        <v/>
      </c>
      <c r="S15" s="230" t="str">
        <f>IF($H15="","",HLOOKUP(S$2,'Unit information'!$B$3:$K$29,$L15+2,FALSE))</f>
        <v/>
      </c>
      <c r="T15" s="231" t="str">
        <f>IF($H15="","",HLOOKUP(T$2,'Unit information'!$B$3:$K$29,$L15+2,FALSE))</f>
        <v/>
      </c>
      <c r="U15" s="231" t="str">
        <f>IF($H15="","",HLOOKUP(U$2,'Unit information'!$B$3:$K$29,$L15+2,FALSE))</f>
        <v/>
      </c>
      <c r="V15" s="231" t="str">
        <f>IF($H15="","",HLOOKUP(V$2,'Unit information'!$B$3:$K$29,$M15+2,FALSE))</f>
        <v/>
      </c>
      <c r="W15" s="231" t="str">
        <f>IF($H15="","",HLOOKUP(W$2,'Unit information'!$B$3:$K$29,$M15+2,FALSE))</f>
        <v/>
      </c>
      <c r="X15" s="231" t="str">
        <f>IF($H15="","",HLOOKUP(X$2,'Unit information'!$B$3:$K$29,$N15+2,FALSE))</f>
        <v/>
      </c>
      <c r="Y15" s="232" t="str">
        <f t="shared" si="4"/>
        <v/>
      </c>
      <c r="Z15" s="232" t="str">
        <f t="shared" si="4"/>
        <v/>
      </c>
      <c r="AA15" s="232" t="str">
        <f t="shared" si="5"/>
        <v/>
      </c>
      <c r="AB15" s="232" t="str">
        <f t="shared" si="5"/>
        <v/>
      </c>
      <c r="AC15" s="232" t="str">
        <f t="shared" si="6"/>
        <v/>
      </c>
      <c r="AD15" s="232" t="str">
        <f t="shared" si="3"/>
        <v/>
      </c>
      <c r="AE15" s="229" t="str">
        <f>IF($H15="","",($F$1/$S15*$Y15*'Unit information'!$AB$3)+($F$1/$T15*$Z15*'Unit information'!$AB$4)+($F$1/$U15*$AA15*'Unit information'!$AB$5)+($F$1/$V15*$AB15*'Unit information'!$AB$8)+($F$1/$W15*$AC15*'Unit information'!$AB$10)+($F$1/$X15*$AD15*'Unit information'!$AB$11))</f>
        <v/>
      </c>
      <c r="AF15" s="229" t="str">
        <f>IF($H15="","",($F$1/$S15*$Y15*'Unit information'!$AC$3)+($F$1/$T15*$Z15*'Unit information'!$AC$4)+($F$1/$U15*$AA15*'Unit information'!$AC$5)+($F$1/$V15*$AB15*'Unit information'!$AC$8)+($F$1/$W15*$AC15*'Unit information'!$AC$10)+($F$1/$X15*$AD15*'Unit information'!$AC$11))</f>
        <v/>
      </c>
      <c r="AG15" s="229" t="str">
        <f>IF($H15="","",($F$1/$S15*$Y15*'Unit information'!$AD$3)+($F$1/$T15*$Z15*'Unit information'!$AD$4)+($F$1/$U15*$AA15*'Unit information'!$AD$5)+($F$1/$V15*$AB15*'Unit information'!$AD$8)+($F$1/$W15*$AC15*'Unit information'!$AD$10)+($F$1/$X15*$AD15*'Unit information'!$AD$11))</f>
        <v/>
      </c>
      <c r="AP15" s="154"/>
      <c r="BG15" s="154"/>
    </row>
    <row r="16" spans="1:62" ht="15.75" thickBot="1" x14ac:dyDescent="0.3">
      <c r="E16" s="153"/>
      <c r="H16" s="228"/>
      <c r="I16" s="11"/>
      <c r="J16" s="11"/>
      <c r="K16" s="11"/>
      <c r="L16" s="11"/>
      <c r="M16" s="11"/>
      <c r="N16" s="11"/>
      <c r="O16" s="40"/>
      <c r="P16" s="229" t="str">
        <f t="shared" si="7"/>
        <v/>
      </c>
      <c r="Q16" s="229" t="str">
        <f t="shared" si="8"/>
        <v/>
      </c>
      <c r="R16" s="229" t="str">
        <f t="shared" si="9"/>
        <v/>
      </c>
      <c r="S16" s="230" t="str">
        <f>IF($H16="","",HLOOKUP(S$2,'Unit information'!$B$3:$K$29,$L16+2,FALSE))</f>
        <v/>
      </c>
      <c r="T16" s="231" t="str">
        <f>IF($H16="","",HLOOKUP(T$2,'Unit information'!$B$3:$K$29,$L16+2,FALSE))</f>
        <v/>
      </c>
      <c r="U16" s="231" t="str">
        <f>IF($H16="","",HLOOKUP(U$2,'Unit information'!$B$3:$K$29,$L16+2,FALSE))</f>
        <v/>
      </c>
      <c r="V16" s="231" t="str">
        <f>IF($H16="","",HLOOKUP(V$2,'Unit information'!$B$3:$K$29,$M16+2,FALSE))</f>
        <v/>
      </c>
      <c r="W16" s="231" t="str">
        <f>IF($H16="","",HLOOKUP(W$2,'Unit information'!$B$3:$K$29,$M16+2,FALSE))</f>
        <v/>
      </c>
      <c r="X16" s="231" t="str">
        <f>IF($H16="","",HLOOKUP(X$2,'Unit information'!$B$3:$K$29,$N16+2,FALSE))</f>
        <v/>
      </c>
      <c r="Y16" s="232" t="str">
        <f t="shared" si="4"/>
        <v/>
      </c>
      <c r="Z16" s="232" t="str">
        <f t="shared" si="4"/>
        <v/>
      </c>
      <c r="AA16" s="232" t="str">
        <f t="shared" si="5"/>
        <v/>
      </c>
      <c r="AB16" s="232" t="str">
        <f t="shared" si="5"/>
        <v/>
      </c>
      <c r="AC16" s="232" t="str">
        <f t="shared" si="6"/>
        <v/>
      </c>
      <c r="AD16" s="232" t="str">
        <f t="shared" si="3"/>
        <v/>
      </c>
      <c r="AE16" s="229" t="str">
        <f>IF($H16="","",($F$1/$S16*$Y16*'Unit information'!$AB$3)+($F$1/$T16*$Z16*'Unit information'!$AB$4)+($F$1/$U16*$AA16*'Unit information'!$AB$5)+($F$1/$V16*$AB16*'Unit information'!$AB$8)+($F$1/$W16*$AC16*'Unit information'!$AB$10)+($F$1/$X16*$AD16*'Unit information'!$AB$11))</f>
        <v/>
      </c>
      <c r="AF16" s="229" t="str">
        <f>IF($H16="","",($F$1/$S16*$Y16*'Unit information'!$AC$3)+($F$1/$T16*$Z16*'Unit information'!$AC$4)+($F$1/$U16*$AA16*'Unit information'!$AC$5)+($F$1/$V16*$AB16*'Unit information'!$AC$8)+($F$1/$W16*$AC16*'Unit information'!$AC$10)+($F$1/$X16*$AD16*'Unit information'!$AC$11))</f>
        <v/>
      </c>
      <c r="AG16" s="229" t="str">
        <f>IF($H16="","",($F$1/$S16*$Y16*'Unit information'!$AD$3)+($F$1/$T16*$Z16*'Unit information'!$AD$4)+($F$1/$U16*$AA16*'Unit information'!$AD$5)+($F$1/$V16*$AB16*'Unit information'!$AD$8)+($F$1/$W16*$AC16*'Unit information'!$AD$10)+($F$1/$X16*$AD16*'Unit information'!$AD$11))</f>
        <v/>
      </c>
      <c r="AP16" s="154"/>
      <c r="BG16" s="154"/>
    </row>
    <row r="17" spans="1:59" x14ac:dyDescent="0.25">
      <c r="A17" s="100"/>
      <c r="B17" s="156" t="s">
        <v>151</v>
      </c>
      <c r="C17" s="156" t="s">
        <v>152</v>
      </c>
      <c r="D17" s="156" t="s">
        <v>153</v>
      </c>
      <c r="E17" s="157" t="s">
        <v>154</v>
      </c>
      <c r="H17" s="228"/>
      <c r="I17" s="11"/>
      <c r="J17" s="11"/>
      <c r="K17" s="11"/>
      <c r="L17" s="11"/>
      <c r="M17" s="11"/>
      <c r="N17" s="11"/>
      <c r="O17" s="40"/>
      <c r="P17" s="229" t="str">
        <f t="shared" si="7"/>
        <v/>
      </c>
      <c r="Q17" s="229" t="str">
        <f t="shared" si="8"/>
        <v/>
      </c>
      <c r="R17" s="229" t="str">
        <f t="shared" si="9"/>
        <v/>
      </c>
      <c r="S17" s="230" t="str">
        <f>IF($H17="","",HLOOKUP(S$2,'Unit information'!$B$3:$K$29,$L17+2,FALSE))</f>
        <v/>
      </c>
      <c r="T17" s="231" t="str">
        <f>IF($H17="","",HLOOKUP(T$2,'Unit information'!$B$3:$K$29,$L17+2,FALSE))</f>
        <v/>
      </c>
      <c r="U17" s="231" t="str">
        <f>IF($H17="","",HLOOKUP(U$2,'Unit information'!$B$3:$K$29,$L17+2,FALSE))</f>
        <v/>
      </c>
      <c r="V17" s="231" t="str">
        <f>IF($H17="","",HLOOKUP(V$2,'Unit information'!$B$3:$K$29,$M17+2,FALSE))</f>
        <v/>
      </c>
      <c r="W17" s="231" t="str">
        <f>IF($H17="","",HLOOKUP(W$2,'Unit information'!$B$3:$K$29,$M17+2,FALSE))</f>
        <v/>
      </c>
      <c r="X17" s="231" t="str">
        <f>IF($H17="","",HLOOKUP(X$2,'Unit information'!$B$3:$K$29,$N17+2,FALSE))</f>
        <v/>
      </c>
      <c r="Y17" s="232" t="str">
        <f t="shared" si="4"/>
        <v/>
      </c>
      <c r="Z17" s="232" t="str">
        <f t="shared" si="4"/>
        <v/>
      </c>
      <c r="AA17" s="232" t="str">
        <f t="shared" si="5"/>
        <v/>
      </c>
      <c r="AB17" s="232" t="str">
        <f t="shared" si="5"/>
        <v/>
      </c>
      <c r="AC17" s="232" t="str">
        <f t="shared" si="6"/>
        <v/>
      </c>
      <c r="AD17" s="232" t="str">
        <f t="shared" si="3"/>
        <v/>
      </c>
      <c r="AE17" s="229" t="str">
        <f>IF($H17="","",($F$1/$S17*$Y17*'Unit information'!$AB$3)+($F$1/$T17*$Z17*'Unit information'!$AB$4)+($F$1/$U17*$AA17*'Unit information'!$AB$5)+($F$1/$V17*$AB17*'Unit information'!$AB$8)+($F$1/$W17*$AC17*'Unit information'!$AB$10)+($F$1/$X17*$AD17*'Unit information'!$AB$11))</f>
        <v/>
      </c>
      <c r="AF17" s="229" t="str">
        <f>IF($H17="","",($F$1/$S17*$Y17*'Unit information'!$AC$3)+($F$1/$T17*$Z17*'Unit information'!$AC$4)+($F$1/$U17*$AA17*'Unit information'!$AC$5)+($F$1/$V17*$AB17*'Unit information'!$AC$8)+($F$1/$W17*$AC17*'Unit information'!$AC$10)+($F$1/$X17*$AD17*'Unit information'!$AC$11))</f>
        <v/>
      </c>
      <c r="AG17" s="229" t="str">
        <f>IF($H17="","",($F$1/$S17*$Y17*'Unit information'!$AD$3)+($F$1/$T17*$Z17*'Unit information'!$AD$4)+($F$1/$U17*$AA17*'Unit information'!$AD$5)+($F$1/$V17*$AB17*'Unit information'!$AD$8)+($F$1/$W17*$AC17*'Unit information'!$AD$10)+($F$1/$X17*$AD17*'Unit information'!$AD$11))</f>
        <v/>
      </c>
      <c r="AP17" s="154"/>
      <c r="BG17" s="154"/>
    </row>
    <row r="18" spans="1:59" x14ac:dyDescent="0.25">
      <c r="A18" s="81" t="s">
        <v>180</v>
      </c>
      <c r="B18" s="249">
        <f>VLOOKUP($E$5+$E$3-1,$A$29:$E$128,2,FALSE)-VLOOKUP($E$3-1+$E$4,$A$29:$E$128,2,FALSE)</f>
        <v>1384000</v>
      </c>
      <c r="C18" s="249">
        <f>VLOOKUP($E$5+$E$3-1,$A$29:$E$128,3,FALSE)-VLOOKUP($E$3-1+$E$4,$A$29:$E$128,3,FALSE)</f>
        <v>1640000</v>
      </c>
      <c r="D18" s="249">
        <f>VLOOKUP($E$5+$E$3-1,$A$29:$E$128,4,FALSE)-VLOOKUP($E$3-1+$E$4,$A$29:$E$128,4,FALSE)</f>
        <v>1550000</v>
      </c>
      <c r="E18" s="243">
        <f>VLOOKUP($E$5+$E$3-1,$A$29:$E$128,5,FALSE)-VLOOKUP($E$3-1+$E$4,$A$29:$E$128,5,FALSE)</f>
        <v>4014000</v>
      </c>
      <c r="H18" s="228"/>
      <c r="I18" s="11"/>
      <c r="J18" s="11"/>
      <c r="K18" s="11"/>
      <c r="L18" s="11"/>
      <c r="M18" s="11"/>
      <c r="N18" s="11"/>
      <c r="O18" s="40"/>
      <c r="P18" s="229" t="str">
        <f t="shared" si="7"/>
        <v/>
      </c>
      <c r="Q18" s="229" t="str">
        <f t="shared" si="8"/>
        <v/>
      </c>
      <c r="R18" s="229" t="str">
        <f t="shared" si="9"/>
        <v/>
      </c>
      <c r="S18" s="230" t="str">
        <f>IF($H18="","",HLOOKUP(S$2,'Unit information'!$B$3:$K$29,$L18+2,FALSE))</f>
        <v/>
      </c>
      <c r="T18" s="231" t="str">
        <f>IF($H18="","",HLOOKUP(T$2,'Unit information'!$B$3:$K$29,$L18+2,FALSE))</f>
        <v/>
      </c>
      <c r="U18" s="231" t="str">
        <f>IF($H18="","",HLOOKUP(U$2,'Unit information'!$B$3:$K$29,$L18+2,FALSE))</f>
        <v/>
      </c>
      <c r="V18" s="231" t="str">
        <f>IF($H18="","",HLOOKUP(V$2,'Unit information'!$B$3:$K$29,$M18+2,FALSE))</f>
        <v/>
      </c>
      <c r="W18" s="231" t="str">
        <f>IF($H18="","",HLOOKUP(W$2,'Unit information'!$B$3:$K$29,$M18+2,FALSE))</f>
        <v/>
      </c>
      <c r="X18" s="231" t="str">
        <f>IF($H18="","",HLOOKUP(X$2,'Unit information'!$B$3:$K$29,$N18+2,FALSE))</f>
        <v/>
      </c>
      <c r="Y18" s="232" t="str">
        <f t="shared" si="4"/>
        <v/>
      </c>
      <c r="Z18" s="232" t="str">
        <f t="shared" si="4"/>
        <v/>
      </c>
      <c r="AA18" s="232" t="str">
        <f t="shared" si="5"/>
        <v/>
      </c>
      <c r="AB18" s="232" t="str">
        <f t="shared" si="5"/>
        <v/>
      </c>
      <c r="AC18" s="232" t="str">
        <f t="shared" si="6"/>
        <v/>
      </c>
      <c r="AD18" s="232" t="str">
        <f t="shared" si="3"/>
        <v/>
      </c>
      <c r="AE18" s="229" t="str">
        <f>IF($H18="","",($F$1/$S18*$Y18*'Unit information'!$AB$3)+($F$1/$T18*$Z18*'Unit information'!$AB$4)+($F$1/$U18*$AA18*'Unit information'!$AB$5)+($F$1/$V18*$AB18*'Unit information'!$AB$8)+($F$1/$W18*$AC18*'Unit information'!$AB$10)+($F$1/$X18*$AD18*'Unit information'!$AB$11))</f>
        <v/>
      </c>
      <c r="AF18" s="229" t="str">
        <f>IF($H18="","",($F$1/$S18*$Y18*'Unit information'!$AC$3)+($F$1/$T18*$Z18*'Unit information'!$AC$4)+($F$1/$U18*$AA18*'Unit information'!$AC$5)+($F$1/$V18*$AB18*'Unit information'!$AC$8)+($F$1/$W18*$AC18*'Unit information'!$AC$10)+($F$1/$X18*$AD18*'Unit information'!$AC$11))</f>
        <v/>
      </c>
      <c r="AG18" s="229" t="str">
        <f>IF($H18="","",($F$1/$S18*$Y18*'Unit information'!$AD$3)+($F$1/$T18*$Z18*'Unit information'!$AD$4)+($F$1/$U18*$AA18*'Unit information'!$AD$5)+($F$1/$V18*$AB18*'Unit information'!$AD$8)+($F$1/$W18*$AC18*'Unit information'!$AD$10)+($F$1/$X18*$AD18*'Unit information'!$AD$11))</f>
        <v/>
      </c>
      <c r="AP18" s="154"/>
      <c r="BG18" s="154"/>
    </row>
    <row r="19" spans="1:59" x14ac:dyDescent="0.25">
      <c r="A19" s="81" t="s">
        <v>179</v>
      </c>
      <c r="B19" s="249">
        <v>10000</v>
      </c>
      <c r="C19" s="249">
        <v>15000</v>
      </c>
      <c r="D19" s="249">
        <v>15000</v>
      </c>
      <c r="E19" s="243">
        <f>SUM(B19:D19)</f>
        <v>40000</v>
      </c>
      <c r="H19" s="228"/>
      <c r="I19" s="11"/>
      <c r="J19" s="11"/>
      <c r="K19" s="11"/>
      <c r="L19" s="11"/>
      <c r="M19" s="11"/>
      <c r="N19" s="11"/>
      <c r="O19" s="40"/>
      <c r="P19" s="229" t="str">
        <f t="shared" si="7"/>
        <v/>
      </c>
      <c r="Q19" s="229" t="str">
        <f t="shared" si="8"/>
        <v/>
      </c>
      <c r="R19" s="229" t="str">
        <f t="shared" si="9"/>
        <v/>
      </c>
      <c r="S19" s="230" t="str">
        <f>IF($H19="","",HLOOKUP(S$2,'Unit information'!$B$3:$K$29,$L19+2,FALSE))</f>
        <v/>
      </c>
      <c r="T19" s="231" t="str">
        <f>IF($H19="","",HLOOKUP(T$2,'Unit information'!$B$3:$K$29,$L19+2,FALSE))</f>
        <v/>
      </c>
      <c r="U19" s="231" t="str">
        <f>IF($H19="","",HLOOKUP(U$2,'Unit information'!$B$3:$K$29,$L19+2,FALSE))</f>
        <v/>
      </c>
      <c r="V19" s="231" t="str">
        <f>IF($H19="","",HLOOKUP(V$2,'Unit information'!$B$3:$K$29,$M19+2,FALSE))</f>
        <v/>
      </c>
      <c r="W19" s="231" t="str">
        <f>IF($H19="","",HLOOKUP(W$2,'Unit information'!$B$3:$K$29,$M19+2,FALSE))</f>
        <v/>
      </c>
      <c r="X19" s="231" t="str">
        <f>IF($H19="","",HLOOKUP(X$2,'Unit information'!$B$3:$K$29,$N19+2,FALSE))</f>
        <v/>
      </c>
      <c r="Y19" s="232" t="str">
        <f t="shared" si="4"/>
        <v/>
      </c>
      <c r="Z19" s="232" t="str">
        <f t="shared" si="4"/>
        <v/>
      </c>
      <c r="AA19" s="232" t="str">
        <f t="shared" si="5"/>
        <v/>
      </c>
      <c r="AB19" s="232" t="str">
        <f t="shared" si="5"/>
        <v/>
      </c>
      <c r="AC19" s="232" t="str">
        <f t="shared" si="6"/>
        <v/>
      </c>
      <c r="AD19" s="232" t="str">
        <f t="shared" si="3"/>
        <v/>
      </c>
      <c r="AE19" s="229" t="str">
        <f>IF($H19="","",($F$1/$S19*$Y19*'Unit information'!$AB$3)+($F$1/$T19*$Z19*'Unit information'!$AB$4)+($F$1/$U19*$AA19*'Unit information'!$AB$5)+($F$1/$V19*$AB19*'Unit information'!$AB$8)+($F$1/$W19*$AC19*'Unit information'!$AB$10)+($F$1/$X19*$AD19*'Unit information'!$AB$11))</f>
        <v/>
      </c>
      <c r="AF19" s="229" t="str">
        <f>IF($H19="","",($F$1/$S19*$Y19*'Unit information'!$AC$3)+($F$1/$T19*$Z19*'Unit information'!$AC$4)+($F$1/$U19*$AA19*'Unit information'!$AC$5)+($F$1/$V19*$AB19*'Unit information'!$AC$8)+($F$1/$W19*$AC19*'Unit information'!$AC$10)+($F$1/$X19*$AD19*'Unit information'!$AC$11))</f>
        <v/>
      </c>
      <c r="AG19" s="229" t="str">
        <f>IF($H19="","",($F$1/$S19*$Y19*'Unit information'!$AD$3)+($F$1/$T19*$Z19*'Unit information'!$AD$4)+($F$1/$U19*$AA19*'Unit information'!$AD$5)+($F$1/$V19*$AB19*'Unit information'!$AD$8)+($F$1/$W19*$AC19*'Unit information'!$AD$10)+($F$1/$X19*$AD19*'Unit information'!$AD$11))</f>
        <v/>
      </c>
      <c r="AP19" s="154"/>
      <c r="BG19" s="154"/>
    </row>
    <row r="20" spans="1:59" x14ac:dyDescent="0.25">
      <c r="A20" s="81" t="s">
        <v>175</v>
      </c>
      <c r="B20" s="249">
        <f>B18-B19</f>
        <v>1374000</v>
      </c>
      <c r="C20" s="249">
        <f>C18-C19</f>
        <v>1625000</v>
      </c>
      <c r="D20" s="249">
        <f>D18-D19</f>
        <v>1535000</v>
      </c>
      <c r="E20" s="243">
        <f>SUM(B20:D20)</f>
        <v>4534000</v>
      </c>
      <c r="H20" s="228"/>
      <c r="I20" s="11"/>
      <c r="J20" s="11"/>
      <c r="K20" s="11"/>
      <c r="L20" s="11"/>
      <c r="M20" s="11"/>
      <c r="N20" s="11"/>
      <c r="O20" s="40"/>
      <c r="P20" s="229" t="str">
        <f t="shared" si="7"/>
        <v/>
      </c>
      <c r="Q20" s="229" t="str">
        <f t="shared" si="8"/>
        <v/>
      </c>
      <c r="R20" s="229" t="str">
        <f t="shared" si="9"/>
        <v/>
      </c>
      <c r="S20" s="230" t="str">
        <f>IF($H20="","",HLOOKUP(S$2,'Unit information'!$B$3:$K$29,$L20+2,FALSE))</f>
        <v/>
      </c>
      <c r="T20" s="231" t="str">
        <f>IF($H20="","",HLOOKUP(T$2,'Unit information'!$B$3:$K$29,$L20+2,FALSE))</f>
        <v/>
      </c>
      <c r="U20" s="231" t="str">
        <f>IF($H20="","",HLOOKUP(U$2,'Unit information'!$B$3:$K$29,$L20+2,FALSE))</f>
        <v/>
      </c>
      <c r="V20" s="231" t="str">
        <f>IF($H20="","",HLOOKUP(V$2,'Unit information'!$B$3:$K$29,$M20+2,FALSE))</f>
        <v/>
      </c>
      <c r="W20" s="231" t="str">
        <f>IF($H20="","",HLOOKUP(W$2,'Unit information'!$B$3:$K$29,$M20+2,FALSE))</f>
        <v/>
      </c>
      <c r="X20" s="231" t="str">
        <f>IF($H20="","",HLOOKUP(X$2,'Unit information'!$B$3:$K$29,$N20+2,FALSE))</f>
        <v/>
      </c>
      <c r="Y20" s="232" t="str">
        <f t="shared" si="4"/>
        <v/>
      </c>
      <c r="Z20" s="232" t="str">
        <f t="shared" si="4"/>
        <v/>
      </c>
      <c r="AA20" s="232" t="str">
        <f t="shared" si="5"/>
        <v/>
      </c>
      <c r="AB20" s="232" t="str">
        <f t="shared" si="5"/>
        <v/>
      </c>
      <c r="AC20" s="232" t="str">
        <f t="shared" si="6"/>
        <v/>
      </c>
      <c r="AD20" s="232" t="str">
        <f t="shared" si="3"/>
        <v/>
      </c>
      <c r="AE20" s="229" t="str">
        <f>IF($H20="","",($F$1/$S20*$Y20*'Unit information'!$AB$3)+($F$1/$T20*$Z20*'Unit information'!$AB$4)+($F$1/$U20*$AA20*'Unit information'!$AB$5)+($F$1/$V20*$AB20*'Unit information'!$AB$8)+($F$1/$W20*$AC20*'Unit information'!$AB$10)+($F$1/$X20*$AD20*'Unit information'!$AB$11))</f>
        <v/>
      </c>
      <c r="AF20" s="229" t="str">
        <f>IF($H20="","",($F$1/$S20*$Y20*'Unit information'!$AC$3)+($F$1/$T20*$Z20*'Unit information'!$AC$4)+($F$1/$U20*$AA20*'Unit information'!$AC$5)+($F$1/$V20*$AB20*'Unit information'!$AC$8)+($F$1/$W20*$AC20*'Unit information'!$AC$10)+($F$1/$X20*$AD20*'Unit information'!$AC$11))</f>
        <v/>
      </c>
      <c r="AG20" s="229" t="str">
        <f>IF($H20="","",($F$1/$S20*$Y20*'Unit information'!$AD$3)+($F$1/$T20*$Z20*'Unit information'!$AD$4)+($F$1/$U20*$AA20*'Unit information'!$AD$5)+($F$1/$V20*$AB20*'Unit information'!$AD$8)+($F$1/$W20*$AC20*'Unit information'!$AD$10)+($F$1/$X20*$AD20*'Unit information'!$AD$11))</f>
        <v/>
      </c>
      <c r="AP20" s="154"/>
      <c r="BG20" s="154"/>
    </row>
    <row r="21" spans="1:59" x14ac:dyDescent="0.25">
      <c r="A21" s="81" t="s">
        <v>399</v>
      </c>
      <c r="B21" s="250">
        <f ca="1">B18/B12</f>
        <v>117.35903361764453</v>
      </c>
      <c r="C21" s="250">
        <f ca="1">C18/C12</f>
        <v>139.06706295732445</v>
      </c>
      <c r="D21" s="250">
        <f ca="1">D18/D12</f>
        <v>131.43533389259323</v>
      </c>
      <c r="E21" s="251">
        <f ca="1">E18/E12</f>
        <v>11.394110157609854</v>
      </c>
      <c r="F21" t="s">
        <v>166</v>
      </c>
      <c r="H21" s="228"/>
      <c r="I21" s="11"/>
      <c r="J21" s="11"/>
      <c r="K21" s="11"/>
      <c r="L21" s="11"/>
      <c r="M21" s="11"/>
      <c r="N21" s="11"/>
      <c r="O21" s="40"/>
      <c r="P21" s="229" t="str">
        <f t="shared" si="7"/>
        <v/>
      </c>
      <c r="Q21" s="229" t="str">
        <f t="shared" si="8"/>
        <v/>
      </c>
      <c r="R21" s="229" t="str">
        <f t="shared" si="9"/>
        <v/>
      </c>
      <c r="S21" s="230" t="str">
        <f>IF($H21="","",HLOOKUP(S$2,'Unit information'!$B$3:$K$29,$L21+2,FALSE))</f>
        <v/>
      </c>
      <c r="T21" s="231" t="str">
        <f>IF($H21="","",HLOOKUP(T$2,'Unit information'!$B$3:$K$29,$L21+2,FALSE))</f>
        <v/>
      </c>
      <c r="U21" s="231" t="str">
        <f>IF($H21="","",HLOOKUP(U$2,'Unit information'!$B$3:$K$29,$L21+2,FALSE))</f>
        <v/>
      </c>
      <c r="V21" s="231" t="str">
        <f>IF($H21="","",HLOOKUP(V$2,'Unit information'!$B$3:$K$29,$M21+2,FALSE))</f>
        <v/>
      </c>
      <c r="W21" s="231" t="str">
        <f>IF($H21="","",HLOOKUP(W$2,'Unit information'!$B$3:$K$29,$M21+2,FALSE))</f>
        <v/>
      </c>
      <c r="X21" s="231" t="str">
        <f>IF($H21="","",HLOOKUP(X$2,'Unit information'!$B$3:$K$29,$N21+2,FALSE))</f>
        <v/>
      </c>
      <c r="Y21" s="232" t="str">
        <f t="shared" si="4"/>
        <v/>
      </c>
      <c r="Z21" s="232" t="str">
        <f t="shared" si="4"/>
        <v/>
      </c>
      <c r="AA21" s="232" t="str">
        <f t="shared" si="5"/>
        <v/>
      </c>
      <c r="AB21" s="232" t="str">
        <f t="shared" si="5"/>
        <v/>
      </c>
      <c r="AC21" s="232" t="str">
        <f t="shared" si="6"/>
        <v/>
      </c>
      <c r="AD21" s="232" t="str">
        <f t="shared" si="3"/>
        <v/>
      </c>
      <c r="AE21" s="229" t="str">
        <f>IF($H21="","",($F$1/$S21*$Y21*'Unit information'!$AB$3)+($F$1/$T21*$Z21*'Unit information'!$AB$4)+($F$1/$U21*$AA21*'Unit information'!$AB$5)+($F$1/$V21*$AB21*'Unit information'!$AB$8)+($F$1/$W21*$AC21*'Unit information'!$AB$10)+($F$1/$X21*$AD21*'Unit information'!$AB$11))</f>
        <v/>
      </c>
      <c r="AF21" s="229" t="str">
        <f>IF($H21="","",($F$1/$S21*$Y21*'Unit information'!$AC$3)+($F$1/$T21*$Z21*'Unit information'!$AC$4)+($F$1/$U21*$AA21*'Unit information'!$AC$5)+($F$1/$V21*$AB21*'Unit information'!$AC$8)+($F$1/$W21*$AC21*'Unit information'!$AC$10)+($F$1/$X21*$AD21*'Unit information'!$AC$11))</f>
        <v/>
      </c>
      <c r="AG21" s="229" t="str">
        <f>IF($H21="","",($F$1/$S21*$Y21*'Unit information'!$AD$3)+($F$1/$T21*$Z21*'Unit information'!$AD$4)+($F$1/$U21*$AA21*'Unit information'!$AD$5)+($F$1/$V21*$AB21*'Unit information'!$AD$8)+($F$1/$W21*$AC21*'Unit information'!$AD$10)+($F$1/$X21*$AD21*'Unit information'!$AD$11))</f>
        <v/>
      </c>
      <c r="AP21" s="154"/>
      <c r="BG21" s="154"/>
    </row>
    <row r="22" spans="1:59" x14ac:dyDescent="0.25">
      <c r="A22" s="81" t="s">
        <v>289</v>
      </c>
      <c r="B22" s="252">
        <f ca="1">B20/B12*$F$1+$B$7</f>
        <v>44005.778912724505</v>
      </c>
      <c r="C22" s="252">
        <f ca="1">C20/C12*$F$1+$B$7</f>
        <v>44006.665747907493</v>
      </c>
      <c r="D22" s="252">
        <f ca="1">D20/D12*$F$1+$B$7</f>
        <v>44006.347759196462</v>
      </c>
      <c r="E22" s="253">
        <f ca="1">E20/E12*$F$1+$B$7</f>
        <v>44001.460542496105</v>
      </c>
      <c r="H22" s="228"/>
      <c r="I22" s="11"/>
      <c r="J22" s="11"/>
      <c r="K22" s="11"/>
      <c r="L22" s="11"/>
      <c r="M22" s="11"/>
      <c r="N22" s="11"/>
      <c r="O22" s="40"/>
      <c r="P22" s="229" t="str">
        <f t="shared" si="7"/>
        <v/>
      </c>
      <c r="Q22" s="229" t="str">
        <f t="shared" si="8"/>
        <v/>
      </c>
      <c r="R22" s="229" t="str">
        <f t="shared" si="9"/>
        <v/>
      </c>
      <c r="S22" s="230" t="str">
        <f>IF($H22="","",HLOOKUP(S$2,'Unit information'!$B$3:$K$29,$L22+2,FALSE))</f>
        <v/>
      </c>
      <c r="T22" s="231" t="str">
        <f>IF($H22="","",HLOOKUP(T$2,'Unit information'!$B$3:$K$29,$L22+2,FALSE))</f>
        <v/>
      </c>
      <c r="U22" s="231" t="str">
        <f>IF($H22="","",HLOOKUP(U$2,'Unit information'!$B$3:$K$29,$L22+2,FALSE))</f>
        <v/>
      </c>
      <c r="V22" s="231" t="str">
        <f>IF($H22="","",HLOOKUP(V$2,'Unit information'!$B$3:$K$29,$M22+2,FALSE))</f>
        <v/>
      </c>
      <c r="W22" s="231" t="str">
        <f>IF($H22="","",HLOOKUP(W$2,'Unit information'!$B$3:$K$29,$M22+2,FALSE))</f>
        <v/>
      </c>
      <c r="X22" s="231" t="str">
        <f>IF($H22="","",HLOOKUP(X$2,'Unit information'!$B$3:$K$29,$N22+2,FALSE))</f>
        <v/>
      </c>
      <c r="Y22" s="232" t="str">
        <f t="shared" si="4"/>
        <v/>
      </c>
      <c r="Z22" s="232" t="str">
        <f t="shared" si="4"/>
        <v/>
      </c>
      <c r="AA22" s="232" t="str">
        <f t="shared" si="5"/>
        <v/>
      </c>
      <c r="AB22" s="232" t="str">
        <f t="shared" si="5"/>
        <v/>
      </c>
      <c r="AC22" s="232" t="str">
        <f t="shared" si="6"/>
        <v/>
      </c>
      <c r="AD22" s="232" t="str">
        <f t="shared" si="3"/>
        <v/>
      </c>
      <c r="AE22" s="229" t="str">
        <f>IF($H22="","",($F$1/$S22*$Y22*'Unit information'!$AB$3)+($F$1/$T22*$Z22*'Unit information'!$AB$4)+($F$1/$U22*$AA22*'Unit information'!$AB$5)+($F$1/$V22*$AB22*'Unit information'!$AB$8)+($F$1/$W22*$AC22*'Unit information'!$AB$10)+($F$1/$X22*$AD22*'Unit information'!$AB$11))</f>
        <v/>
      </c>
      <c r="AF22" s="229" t="str">
        <f>IF($H22="","",($F$1/$S22*$Y22*'Unit information'!$AC$3)+($F$1/$T22*$Z22*'Unit information'!$AC$4)+($F$1/$U22*$AA22*'Unit information'!$AC$5)+($F$1/$V22*$AB22*'Unit information'!$AC$8)+($F$1/$W22*$AC22*'Unit information'!$AC$10)+($F$1/$X22*$AD22*'Unit information'!$AC$11))</f>
        <v/>
      </c>
      <c r="AG22" s="229" t="str">
        <f>IF($H22="","",($F$1/$S22*$Y22*'Unit information'!$AD$3)+($F$1/$T22*$Z22*'Unit information'!$AD$4)+($F$1/$U22*$AA22*'Unit information'!$AD$5)+($F$1/$V22*$AB22*'Unit information'!$AD$8)+($F$1/$W22*$AC22*'Unit information'!$AD$10)+($F$1/$X22*$AD22*'Unit information'!$AD$11))</f>
        <v/>
      </c>
      <c r="AP22" s="154"/>
      <c r="BG22" s="154"/>
    </row>
    <row r="23" spans="1:59" x14ac:dyDescent="0.25">
      <c r="A23" s="81" t="s">
        <v>400</v>
      </c>
      <c r="B23" s="250">
        <f ca="1">B18/B15</f>
        <v>181.21193907609751</v>
      </c>
      <c r="C23" s="250">
        <f ca="1">C18/C15</f>
        <v>182.58243152813171</v>
      </c>
      <c r="D23" s="250">
        <f ca="1">D18/D15</f>
        <v>213.79298976908268</v>
      </c>
      <c r="E23" s="251">
        <f ca="1">E18/E15</f>
        <v>168.16288625067961</v>
      </c>
      <c r="F23" t="s">
        <v>166</v>
      </c>
      <c r="H23" s="228"/>
      <c r="I23" s="11"/>
      <c r="J23" s="11"/>
      <c r="K23" s="11"/>
      <c r="L23" s="11"/>
      <c r="M23" s="11"/>
      <c r="N23" s="11"/>
      <c r="O23" s="40"/>
      <c r="P23" s="229" t="str">
        <f t="shared" si="7"/>
        <v/>
      </c>
      <c r="Q23" s="229" t="str">
        <f t="shared" si="8"/>
        <v/>
      </c>
      <c r="R23" s="229" t="str">
        <f t="shared" si="9"/>
        <v/>
      </c>
      <c r="S23" s="230" t="str">
        <f>IF($H23="","",HLOOKUP(S$2,'Unit information'!$B$3:$K$29,$L23+2,FALSE))</f>
        <v/>
      </c>
      <c r="T23" s="231" t="str">
        <f>IF($H23="","",HLOOKUP(T$2,'Unit information'!$B$3:$K$29,$L23+2,FALSE))</f>
        <v/>
      </c>
      <c r="U23" s="231" t="str">
        <f>IF($H23="","",HLOOKUP(U$2,'Unit information'!$B$3:$K$29,$L23+2,FALSE))</f>
        <v/>
      </c>
      <c r="V23" s="231" t="str">
        <f>IF($H23="","",HLOOKUP(V$2,'Unit information'!$B$3:$K$29,$M23+2,FALSE))</f>
        <v/>
      </c>
      <c r="W23" s="231" t="str">
        <f>IF($H23="","",HLOOKUP(W$2,'Unit information'!$B$3:$K$29,$M23+2,FALSE))</f>
        <v/>
      </c>
      <c r="X23" s="231" t="str">
        <f>IF($H23="","",HLOOKUP(X$2,'Unit information'!$B$3:$K$29,$N23+2,FALSE))</f>
        <v/>
      </c>
      <c r="Y23" s="232" t="str">
        <f t="shared" si="4"/>
        <v/>
      </c>
      <c r="Z23" s="232" t="str">
        <f t="shared" si="4"/>
        <v/>
      </c>
      <c r="AA23" s="232" t="str">
        <f t="shared" si="5"/>
        <v/>
      </c>
      <c r="AB23" s="232" t="str">
        <f t="shared" si="5"/>
        <v/>
      </c>
      <c r="AC23" s="232" t="str">
        <f t="shared" si="6"/>
        <v/>
      </c>
      <c r="AD23" s="232" t="str">
        <f t="shared" si="3"/>
        <v/>
      </c>
      <c r="AE23" s="229" t="str">
        <f>IF($H23="","",($F$1/$S23*$Y23*'Unit information'!$AB$3)+($F$1/$T23*$Z23*'Unit information'!$AB$4)+($F$1/$U23*$AA23*'Unit information'!$AB$5)+($F$1/$V23*$AB23*'Unit information'!$AB$8)+($F$1/$W23*$AC23*'Unit information'!$AB$10)+($F$1/$X23*$AD23*'Unit information'!$AB$11))</f>
        <v/>
      </c>
      <c r="AF23" s="229" t="str">
        <f>IF($H23="","",($F$1/$S23*$Y23*'Unit information'!$AC$3)+($F$1/$T23*$Z23*'Unit information'!$AC$4)+($F$1/$U23*$AA23*'Unit information'!$AC$5)+($F$1/$V23*$AB23*'Unit information'!$AC$8)+($F$1/$W23*$AC23*'Unit information'!$AC$10)+($F$1/$X23*$AD23*'Unit information'!$AC$11))</f>
        <v/>
      </c>
      <c r="AG23" s="229" t="str">
        <f>IF($H23="","",($F$1/$S23*$Y23*'Unit information'!$AD$3)+($F$1/$T23*$Z23*'Unit information'!$AD$4)+($F$1/$U23*$AA23*'Unit information'!$AD$5)+($F$1/$V23*$AB23*'Unit information'!$AD$8)+($F$1/$W23*$AC23*'Unit information'!$AD$10)+($F$1/$X23*$AD23*'Unit information'!$AD$11))</f>
        <v/>
      </c>
      <c r="AP23" s="154"/>
      <c r="BG23" s="154"/>
    </row>
    <row r="24" spans="1:59" ht="15.75" thickBot="1" x14ac:dyDescent="0.3">
      <c r="A24" s="88" t="s">
        <v>288</v>
      </c>
      <c r="B24" s="254">
        <f ca="1">B20/B15*$F$1+$B$7</f>
        <v>44008.420226913448</v>
      </c>
      <c r="C24" s="254">
        <f ca="1">C20/C15*$F$1+$B$7</f>
        <v>44008.462304663779</v>
      </c>
      <c r="D24" s="254">
        <f ca="1">D20/D15*$F$1+$B$7</f>
        <v>44009.746119459109</v>
      </c>
      <c r="E24" s="255">
        <f ca="1">E20/E15*$F$1+$B$7</f>
        <v>44008.838777328419</v>
      </c>
      <c r="H24" s="228"/>
      <c r="I24" s="11"/>
      <c r="J24" s="11"/>
      <c r="K24" s="11"/>
      <c r="L24" s="11"/>
      <c r="M24" s="11"/>
      <c r="N24" s="11"/>
      <c r="O24" s="40"/>
      <c r="P24" s="229" t="str">
        <f t="shared" si="7"/>
        <v/>
      </c>
      <c r="Q24" s="229" t="str">
        <f t="shared" si="8"/>
        <v/>
      </c>
      <c r="R24" s="229" t="str">
        <f t="shared" si="9"/>
        <v/>
      </c>
      <c r="S24" s="230" t="str">
        <f>IF($H24="","",HLOOKUP(S$2,'Unit information'!$B$3:$K$29,$L24+2,FALSE))</f>
        <v/>
      </c>
      <c r="T24" s="231" t="str">
        <f>IF($H24="","",HLOOKUP(T$2,'Unit information'!$B$3:$K$29,$L24+2,FALSE))</f>
        <v/>
      </c>
      <c r="U24" s="231" t="str">
        <f>IF($H24="","",HLOOKUP(U$2,'Unit information'!$B$3:$K$29,$L24+2,FALSE))</f>
        <v/>
      </c>
      <c r="V24" s="231" t="str">
        <f>IF($H24="","",HLOOKUP(V$2,'Unit information'!$B$3:$K$29,$M24+2,FALSE))</f>
        <v/>
      </c>
      <c r="W24" s="231" t="str">
        <f>IF($H24="","",HLOOKUP(W$2,'Unit information'!$B$3:$K$29,$M24+2,FALSE))</f>
        <v/>
      </c>
      <c r="X24" s="231" t="str">
        <f>IF($H24="","",HLOOKUP(X$2,'Unit information'!$B$3:$K$29,$N24+2,FALSE))</f>
        <v/>
      </c>
      <c r="Y24" s="232" t="str">
        <f t="shared" si="4"/>
        <v/>
      </c>
      <c r="Z24" s="232" t="str">
        <f t="shared" si="4"/>
        <v/>
      </c>
      <c r="AA24" s="232" t="str">
        <f t="shared" si="5"/>
        <v/>
      </c>
      <c r="AB24" s="232" t="str">
        <f t="shared" si="5"/>
        <v/>
      </c>
      <c r="AC24" s="232" t="str">
        <f t="shared" si="6"/>
        <v/>
      </c>
      <c r="AD24" s="232" t="str">
        <f t="shared" si="3"/>
        <v/>
      </c>
      <c r="AE24" s="229" t="str">
        <f>IF($H24="","",($F$1/$S24*$Y24*'Unit information'!$AB$3)+($F$1/$T24*$Z24*'Unit information'!$AB$4)+($F$1/$U24*$AA24*'Unit information'!$AB$5)+($F$1/$V24*$AB24*'Unit information'!$AB$8)+($F$1/$W24*$AC24*'Unit information'!$AB$10)+($F$1/$X24*$AD24*'Unit information'!$AB$11))</f>
        <v/>
      </c>
      <c r="AF24" s="229" t="str">
        <f>IF($H24="","",($F$1/$S24*$Y24*'Unit information'!$AC$3)+($F$1/$T24*$Z24*'Unit information'!$AC$4)+($F$1/$U24*$AA24*'Unit information'!$AC$5)+($F$1/$V24*$AB24*'Unit information'!$AC$8)+($F$1/$W24*$AC24*'Unit information'!$AC$10)+($F$1/$X24*$AD24*'Unit information'!$AC$11))</f>
        <v/>
      </c>
      <c r="AG24" s="229" t="str">
        <f>IF($H24="","",($F$1/$S24*$Y24*'Unit information'!$AD$3)+($F$1/$T24*$Z24*'Unit information'!$AD$4)+($F$1/$U24*$AA24*'Unit information'!$AD$5)+($F$1/$V24*$AB24*'Unit information'!$AD$8)+($F$1/$W24*$AC24*'Unit information'!$AD$10)+($F$1/$X24*$AD24*'Unit information'!$AD$11))</f>
        <v/>
      </c>
      <c r="AP24" s="154"/>
      <c r="BG24" s="154"/>
    </row>
    <row r="25" spans="1:59" x14ac:dyDescent="0.25">
      <c r="H25" s="228"/>
      <c r="I25" s="11"/>
      <c r="J25" s="11"/>
      <c r="K25" s="11"/>
      <c r="L25" s="11"/>
      <c r="M25" s="11"/>
      <c r="N25" s="11"/>
      <c r="O25" s="40"/>
      <c r="P25" s="229" t="str">
        <f t="shared" si="7"/>
        <v/>
      </c>
      <c r="Q25" s="229" t="str">
        <f t="shared" si="8"/>
        <v/>
      </c>
      <c r="R25" s="229" t="str">
        <f t="shared" si="9"/>
        <v/>
      </c>
      <c r="S25" s="230" t="str">
        <f>IF($H25="","",HLOOKUP(S$2,'Unit information'!$B$3:$K$29,$L25+2,FALSE))</f>
        <v/>
      </c>
      <c r="T25" s="231" t="str">
        <f>IF($H25="","",HLOOKUP(T$2,'Unit information'!$B$3:$K$29,$L25+2,FALSE))</f>
        <v/>
      </c>
      <c r="U25" s="231" t="str">
        <f>IF($H25="","",HLOOKUP(U$2,'Unit information'!$B$3:$K$29,$L25+2,FALSE))</f>
        <v/>
      </c>
      <c r="V25" s="231" t="str">
        <f>IF($H25="","",HLOOKUP(V$2,'Unit information'!$B$3:$K$29,$M25+2,FALSE))</f>
        <v/>
      </c>
      <c r="W25" s="231" t="str">
        <f>IF($H25="","",HLOOKUP(W$2,'Unit information'!$B$3:$K$29,$M25+2,FALSE))</f>
        <v/>
      </c>
      <c r="X25" s="231" t="str">
        <f>IF($H25="","",HLOOKUP(X$2,'Unit information'!$B$3:$K$29,$N25+2,FALSE))</f>
        <v/>
      </c>
      <c r="Y25" s="232" t="str">
        <f t="shared" si="4"/>
        <v/>
      </c>
      <c r="Z25" s="232" t="str">
        <f t="shared" si="4"/>
        <v/>
      </c>
      <c r="AA25" s="232" t="str">
        <f t="shared" si="5"/>
        <v/>
      </c>
      <c r="AB25" s="232" t="str">
        <f t="shared" si="5"/>
        <v/>
      </c>
      <c r="AC25" s="232" t="str">
        <f t="shared" si="6"/>
        <v/>
      </c>
      <c r="AD25" s="232" t="str">
        <f t="shared" si="3"/>
        <v/>
      </c>
      <c r="AE25" s="229" t="str">
        <f>IF($H25="","",($F$1/$S25*$Y25*'Unit information'!$AB$3)+($F$1/$T25*$Z25*'Unit information'!$AB$4)+($F$1/$U25*$AA25*'Unit information'!$AB$5)+($F$1/$V25*$AB25*'Unit information'!$AB$8)+($F$1/$W25*$AC25*'Unit information'!$AB$10)+($F$1/$X25*$AD25*'Unit information'!$AB$11))</f>
        <v/>
      </c>
      <c r="AF25" s="229" t="str">
        <f>IF($H25="","",($F$1/$S25*$Y25*'Unit information'!$AC$3)+($F$1/$T25*$Z25*'Unit information'!$AC$4)+($F$1/$U25*$AA25*'Unit information'!$AC$5)+($F$1/$V25*$AB25*'Unit information'!$AC$8)+($F$1/$W25*$AC25*'Unit information'!$AC$10)+($F$1/$X25*$AD25*'Unit information'!$AC$11))</f>
        <v/>
      </c>
      <c r="AG25" s="229" t="str">
        <f>IF($H25="","",($F$1/$S25*$Y25*'Unit information'!$AD$3)+($F$1/$T25*$Z25*'Unit information'!$AD$4)+($F$1/$U25*$AA25*'Unit information'!$AD$5)+($F$1/$V25*$AB25*'Unit information'!$AD$8)+($F$1/$W25*$AC25*'Unit information'!$AD$10)+($F$1/$X25*$AD25*'Unit information'!$AD$11))</f>
        <v/>
      </c>
      <c r="AP25" s="154"/>
      <c r="BG25" s="154"/>
    </row>
    <row r="26" spans="1:59" x14ac:dyDescent="0.25">
      <c r="H26" s="228"/>
      <c r="I26" s="11"/>
      <c r="J26" s="11"/>
      <c r="K26" s="11"/>
      <c r="L26" s="11"/>
      <c r="M26" s="11"/>
      <c r="N26" s="11"/>
      <c r="O26" s="40"/>
      <c r="P26" s="229" t="str">
        <f t="shared" si="7"/>
        <v/>
      </c>
      <c r="Q26" s="229" t="str">
        <f t="shared" si="8"/>
        <v/>
      </c>
      <c r="R26" s="229" t="str">
        <f t="shared" si="9"/>
        <v/>
      </c>
      <c r="S26" s="230" t="str">
        <f>IF($H26="","",HLOOKUP(S$2,'Unit information'!$B$3:$K$29,$L26+2,FALSE))</f>
        <v/>
      </c>
      <c r="T26" s="231" t="str">
        <f>IF($H26="","",HLOOKUP(T$2,'Unit information'!$B$3:$K$29,$L26+2,FALSE))</f>
        <v/>
      </c>
      <c r="U26" s="231" t="str">
        <f>IF($H26="","",HLOOKUP(U$2,'Unit information'!$B$3:$K$29,$L26+2,FALSE))</f>
        <v/>
      </c>
      <c r="V26" s="231" t="str">
        <f>IF($H26="","",HLOOKUP(V$2,'Unit information'!$B$3:$K$29,$M26+2,FALSE))</f>
        <v/>
      </c>
      <c r="W26" s="231" t="str">
        <f>IF($H26="","",HLOOKUP(W$2,'Unit information'!$B$3:$K$29,$M26+2,FALSE))</f>
        <v/>
      </c>
      <c r="X26" s="231" t="str">
        <f>IF($H26="","",HLOOKUP(X$2,'Unit information'!$B$3:$K$29,$N26+2,FALSE))</f>
        <v/>
      </c>
      <c r="Y26" s="232" t="str">
        <f t="shared" si="4"/>
        <v/>
      </c>
      <c r="Z26" s="232" t="str">
        <f t="shared" si="4"/>
        <v/>
      </c>
      <c r="AA26" s="232" t="str">
        <f t="shared" si="5"/>
        <v/>
      </c>
      <c r="AB26" s="232" t="str">
        <f t="shared" si="5"/>
        <v/>
      </c>
      <c r="AC26" s="232" t="str">
        <f t="shared" si="6"/>
        <v/>
      </c>
      <c r="AD26" s="232" t="str">
        <f t="shared" si="3"/>
        <v/>
      </c>
      <c r="AE26" s="229" t="str">
        <f>IF($H26="","",($F$1/$S26*$Y26*'Unit information'!$AB$3)+($F$1/$T26*$Z26*'Unit information'!$AB$4)+($F$1/$U26*$AA26*'Unit information'!$AB$5)+($F$1/$V26*$AB26*'Unit information'!$AB$8)+($F$1/$W26*$AC26*'Unit information'!$AB$10)+($F$1/$X26*$AD26*'Unit information'!$AB$11))</f>
        <v/>
      </c>
      <c r="AF26" s="229" t="str">
        <f>IF($H26="","",($F$1/$S26*$Y26*'Unit information'!$AC$3)+($F$1/$T26*$Z26*'Unit information'!$AC$4)+($F$1/$U26*$AA26*'Unit information'!$AC$5)+($F$1/$V26*$AB26*'Unit information'!$AC$8)+($F$1/$W26*$AC26*'Unit information'!$AC$10)+($F$1/$X26*$AD26*'Unit information'!$AC$11))</f>
        <v/>
      </c>
      <c r="AG26" s="229" t="str">
        <f>IF($H26="","",($F$1/$S26*$Y26*'Unit information'!$AD$3)+($F$1/$T26*$Z26*'Unit information'!$AD$4)+($F$1/$U26*$AA26*'Unit information'!$AD$5)+($F$1/$V26*$AB26*'Unit information'!$AD$8)+($F$1/$W26*$AC26*'Unit information'!$AD$10)+($F$1/$X26*$AD26*'Unit information'!$AD$11))</f>
        <v/>
      </c>
      <c r="AP26" s="154"/>
      <c r="BG26" s="154"/>
    </row>
    <row r="27" spans="1:59" x14ac:dyDescent="0.25">
      <c r="B27" s="455" t="s">
        <v>384</v>
      </c>
      <c r="C27" s="455"/>
      <c r="D27" s="455"/>
      <c r="E27" s="455"/>
      <c r="G27" s="155"/>
      <c r="H27" s="228"/>
      <c r="I27" s="11"/>
      <c r="J27" s="11"/>
      <c r="K27" s="11"/>
      <c r="L27" s="11"/>
      <c r="M27" s="11"/>
      <c r="N27" s="11"/>
      <c r="O27" s="40"/>
      <c r="P27" s="229" t="str">
        <f t="shared" si="7"/>
        <v/>
      </c>
      <c r="Q27" s="229" t="str">
        <f t="shared" si="8"/>
        <v/>
      </c>
      <c r="R27" s="229" t="str">
        <f t="shared" si="9"/>
        <v/>
      </c>
      <c r="S27" s="230" t="str">
        <f>IF($H27="","",HLOOKUP(S$2,'Unit information'!$B$3:$K$29,$L27+2,FALSE))</f>
        <v/>
      </c>
      <c r="T27" s="231" t="str">
        <f>IF($H27="","",HLOOKUP(T$2,'Unit information'!$B$3:$K$29,$L27+2,FALSE))</f>
        <v/>
      </c>
      <c r="U27" s="231" t="str">
        <f>IF($H27="","",HLOOKUP(U$2,'Unit information'!$B$3:$K$29,$L27+2,FALSE))</f>
        <v/>
      </c>
      <c r="V27" s="231" t="str">
        <f>IF($H27="","",HLOOKUP(V$2,'Unit information'!$B$3:$K$29,$M27+2,FALSE))</f>
        <v/>
      </c>
      <c r="W27" s="231" t="str">
        <f>IF($H27="","",HLOOKUP(W$2,'Unit information'!$B$3:$K$29,$M27+2,FALSE))</f>
        <v/>
      </c>
      <c r="X27" s="231" t="str">
        <f>IF($H27="","",HLOOKUP(X$2,'Unit information'!$B$3:$K$29,$N27+2,FALSE))</f>
        <v/>
      </c>
      <c r="Y27" s="232" t="str">
        <f t="shared" si="4"/>
        <v/>
      </c>
      <c r="Z27" s="232" t="str">
        <f t="shared" si="4"/>
        <v/>
      </c>
      <c r="AA27" s="232" t="str">
        <f t="shared" si="5"/>
        <v/>
      </c>
      <c r="AB27" s="232" t="str">
        <f t="shared" si="5"/>
        <v/>
      </c>
      <c r="AC27" s="232" t="str">
        <f t="shared" si="6"/>
        <v/>
      </c>
      <c r="AD27" s="232" t="str">
        <f t="shared" si="3"/>
        <v/>
      </c>
      <c r="AE27" s="229" t="str">
        <f>IF($H27="","",($F$1/$S27*$Y27*'Unit information'!$AB$3)+($F$1/$T27*$Z27*'Unit information'!$AB$4)+($F$1/$U27*$AA27*'Unit information'!$AB$5)+($F$1/$V27*$AB27*'Unit information'!$AB$8)+($F$1/$W27*$AC27*'Unit information'!$AB$10)+($F$1/$X27*$AD27*'Unit information'!$AB$11))</f>
        <v/>
      </c>
      <c r="AF27" s="229" t="str">
        <f>IF($H27="","",($F$1/$S27*$Y27*'Unit information'!$AC$3)+($F$1/$T27*$Z27*'Unit information'!$AC$4)+($F$1/$U27*$AA27*'Unit information'!$AC$5)+($F$1/$V27*$AB27*'Unit information'!$AC$8)+($F$1/$W27*$AC27*'Unit information'!$AC$10)+($F$1/$X27*$AD27*'Unit information'!$AC$11))</f>
        <v/>
      </c>
      <c r="AG27" s="229" t="str">
        <f>IF($H27="","",($F$1/$S27*$Y27*'Unit information'!$AD$3)+($F$1/$T27*$Z27*'Unit information'!$AD$4)+($F$1/$U27*$AA27*'Unit information'!$AD$5)+($F$1/$V27*$AB27*'Unit information'!$AD$8)+($F$1/$W27*$AC27*'Unit information'!$AD$10)+($F$1/$X27*$AD27*'Unit information'!$AD$11))</f>
        <v/>
      </c>
      <c r="AP27" s="154"/>
      <c r="BG27" s="154"/>
    </row>
    <row r="28" spans="1:59" x14ac:dyDescent="0.25">
      <c r="A28" t="s">
        <v>165</v>
      </c>
      <c r="B28" t="s">
        <v>151</v>
      </c>
      <c r="C28" t="s">
        <v>152</v>
      </c>
      <c r="D28" t="s">
        <v>153</v>
      </c>
      <c r="E28" t="s">
        <v>154</v>
      </c>
      <c r="H28" s="228"/>
      <c r="I28" s="11"/>
      <c r="J28" s="11"/>
      <c r="K28" s="11"/>
      <c r="L28" s="11"/>
      <c r="M28" s="11"/>
      <c r="N28" s="11"/>
      <c r="O28" s="40"/>
      <c r="P28" s="229" t="str">
        <f t="shared" si="7"/>
        <v/>
      </c>
      <c r="Q28" s="229" t="str">
        <f t="shared" si="8"/>
        <v/>
      </c>
      <c r="R28" s="229" t="str">
        <f t="shared" si="9"/>
        <v/>
      </c>
      <c r="S28" s="230" t="str">
        <f>IF($H28="","",HLOOKUP(S$2,'Unit information'!$B$3:$K$29,$L28+2,FALSE))</f>
        <v/>
      </c>
      <c r="T28" s="231" t="str">
        <f>IF($H28="","",HLOOKUP(T$2,'Unit information'!$B$3:$K$29,$L28+2,FALSE))</f>
        <v/>
      </c>
      <c r="U28" s="231" t="str">
        <f>IF($H28="","",HLOOKUP(U$2,'Unit information'!$B$3:$K$29,$L28+2,FALSE))</f>
        <v/>
      </c>
      <c r="V28" s="231" t="str">
        <f>IF($H28="","",HLOOKUP(V$2,'Unit information'!$B$3:$K$29,$M28+2,FALSE))</f>
        <v/>
      </c>
      <c r="W28" s="231" t="str">
        <f>IF($H28="","",HLOOKUP(W$2,'Unit information'!$B$3:$K$29,$M28+2,FALSE))</f>
        <v/>
      </c>
      <c r="X28" s="231" t="str">
        <f>IF($H28="","",HLOOKUP(X$2,'Unit information'!$B$3:$K$29,$N28+2,FALSE))</f>
        <v/>
      </c>
      <c r="Y28" s="232" t="str">
        <f t="shared" si="4"/>
        <v/>
      </c>
      <c r="Z28" s="232" t="str">
        <f t="shared" si="4"/>
        <v/>
      </c>
      <c r="AA28" s="232" t="str">
        <f t="shared" si="5"/>
        <v/>
      </c>
      <c r="AB28" s="232" t="str">
        <f t="shared" si="5"/>
        <v/>
      </c>
      <c r="AC28" s="232" t="str">
        <f t="shared" si="6"/>
        <v/>
      </c>
      <c r="AD28" s="232" t="str">
        <f t="shared" si="3"/>
        <v/>
      </c>
      <c r="AE28" s="229" t="str">
        <f>IF($H28="","",($F$1/$S28*$Y28*'Unit information'!$AB$3)+($F$1/$T28*$Z28*'Unit information'!$AB$4)+($F$1/$U28*$AA28*'Unit information'!$AB$5)+($F$1/$V28*$AB28*'Unit information'!$AB$8)+($F$1/$W28*$AC28*'Unit information'!$AB$10)+($F$1/$X28*$AD28*'Unit information'!$AB$11))</f>
        <v/>
      </c>
      <c r="AF28" s="229" t="str">
        <f>IF($H28="","",($F$1/$S28*$Y28*'Unit information'!$AC$3)+($F$1/$T28*$Z28*'Unit information'!$AC$4)+($F$1/$U28*$AA28*'Unit information'!$AC$5)+($F$1/$V28*$AB28*'Unit information'!$AC$8)+($F$1/$W28*$AC28*'Unit information'!$AC$10)+($F$1/$X28*$AD28*'Unit information'!$AC$11))</f>
        <v/>
      </c>
      <c r="AG28" s="229" t="str">
        <f>IF($H28="","",($F$1/$S28*$Y28*'Unit information'!$AD$3)+($F$1/$T28*$Z28*'Unit information'!$AD$4)+($F$1/$U28*$AA28*'Unit information'!$AD$5)+($F$1/$V28*$AB28*'Unit information'!$AD$8)+($F$1/$W28*$AC28*'Unit information'!$AD$10)+($F$1/$X28*$AD28*'Unit information'!$AD$11))</f>
        <v/>
      </c>
      <c r="AP28" s="154"/>
      <c r="BG28" s="154"/>
    </row>
    <row r="29" spans="1:59" x14ac:dyDescent="0.25">
      <c r="A29">
        <v>1</v>
      </c>
      <c r="B29" s="367">
        <f>IF($B$4="Goldmünzen",28000+40000,28000)</f>
        <v>68000</v>
      </c>
      <c r="C29" s="367">
        <f>IF($B$4="Goldmünzen",30000+50000,30000)</f>
        <v>80000</v>
      </c>
      <c r="D29" s="367">
        <f>IF($B$4="Goldmünzen",25000+50000,25000)</f>
        <v>75000</v>
      </c>
      <c r="E29" s="155">
        <f>SUM(B29:D29)</f>
        <v>223000</v>
      </c>
      <c r="H29" s="228"/>
      <c r="I29" s="11"/>
      <c r="J29" s="11"/>
      <c r="K29" s="11"/>
      <c r="L29" s="11"/>
      <c r="M29" s="11"/>
      <c r="N29" s="11"/>
      <c r="O29" s="40"/>
      <c r="P29" s="229" t="str">
        <f t="shared" si="7"/>
        <v/>
      </c>
      <c r="Q29" s="229" t="str">
        <f t="shared" si="8"/>
        <v/>
      </c>
      <c r="R29" s="229" t="str">
        <f t="shared" si="9"/>
        <v/>
      </c>
      <c r="S29" s="230" t="str">
        <f>IF($H29="","",HLOOKUP(S$2,'Unit information'!$B$3:$K$29,$L29+2,FALSE))</f>
        <v/>
      </c>
      <c r="T29" s="231" t="str">
        <f>IF($H29="","",HLOOKUP(T$2,'Unit information'!$B$3:$K$29,$L29+2,FALSE))</f>
        <v/>
      </c>
      <c r="U29" s="231" t="str">
        <f>IF($H29="","",HLOOKUP(U$2,'Unit information'!$B$3:$K$29,$L29+2,FALSE))</f>
        <v/>
      </c>
      <c r="V29" s="231" t="str">
        <f>IF($H29="","",HLOOKUP(V$2,'Unit information'!$B$3:$K$29,$M29+2,FALSE))</f>
        <v/>
      </c>
      <c r="W29" s="231" t="str">
        <f>IF($H29="","",HLOOKUP(W$2,'Unit information'!$B$3:$K$29,$M29+2,FALSE))</f>
        <v/>
      </c>
      <c r="X29" s="231" t="str">
        <f>IF($H29="","",HLOOKUP(X$2,'Unit information'!$B$3:$K$29,$N29+2,FALSE))</f>
        <v/>
      </c>
      <c r="Y29" s="232" t="str">
        <f t="shared" si="4"/>
        <v/>
      </c>
      <c r="Z29" s="232" t="str">
        <f t="shared" si="4"/>
        <v/>
      </c>
      <c r="AA29" s="232" t="str">
        <f t="shared" si="5"/>
        <v/>
      </c>
      <c r="AB29" s="232" t="str">
        <f t="shared" si="5"/>
        <v/>
      </c>
      <c r="AC29" s="232" t="str">
        <f t="shared" si="6"/>
        <v/>
      </c>
      <c r="AD29" s="232" t="str">
        <f t="shared" si="3"/>
        <v/>
      </c>
      <c r="AE29" s="229" t="str">
        <f>IF($H29="","",($F$1/$S29*$Y29*'Unit information'!$AB$3)+($F$1/$T29*$Z29*'Unit information'!$AB$4)+($F$1/$U29*$AA29*'Unit information'!$AB$5)+($F$1/$V29*$AB29*'Unit information'!$AB$8)+($F$1/$W29*$AC29*'Unit information'!$AB$10)+($F$1/$X29*$AD29*'Unit information'!$AB$11))</f>
        <v/>
      </c>
      <c r="AF29" s="229" t="str">
        <f>IF($H29="","",($F$1/$S29*$Y29*'Unit information'!$AC$3)+($F$1/$T29*$Z29*'Unit information'!$AC$4)+($F$1/$U29*$AA29*'Unit information'!$AC$5)+($F$1/$V29*$AB29*'Unit information'!$AC$8)+($F$1/$W29*$AC29*'Unit information'!$AC$10)+($F$1/$X29*$AD29*'Unit information'!$AC$11))</f>
        <v/>
      </c>
      <c r="AG29" s="229" t="str">
        <f>IF($H29="","",($F$1/$S29*$Y29*'Unit information'!$AD$3)+($F$1/$T29*$Z29*'Unit information'!$AD$4)+($F$1/$U29*$AA29*'Unit information'!$AD$5)+($F$1/$V29*$AB29*'Unit information'!$AD$8)+($F$1/$W29*$AC29*'Unit information'!$AD$10)+($F$1/$X29*$AD29*'Unit information'!$AD$11))</f>
        <v/>
      </c>
      <c r="AP29" s="154"/>
      <c r="BG29" s="154"/>
    </row>
    <row r="30" spans="1:59" x14ac:dyDescent="0.25">
      <c r="A30">
        <v>2</v>
      </c>
      <c r="B30" s="367">
        <f>IF($B$4="Goldmünzen",$A30*B$29+B29+40000,$A30*B$29+B29)</f>
        <v>244000</v>
      </c>
      <c r="C30" s="367">
        <f>IF($B$4="Goldmünzen",$A30*C$29+C29+50000,$A30*C$29+C29)</f>
        <v>290000</v>
      </c>
      <c r="D30" s="367">
        <f>IF($B$4="Goldmünzen",$A30*D$29+D29+50000,$A30*D$29+D29)</f>
        <v>275000</v>
      </c>
      <c r="E30" s="155">
        <f t="shared" ref="E30:E38" si="10">$A30*E$29+E29</f>
        <v>669000</v>
      </c>
      <c r="H30" s="228"/>
      <c r="I30" s="11"/>
      <c r="J30" s="11"/>
      <c r="K30" s="11"/>
      <c r="L30" s="11"/>
      <c r="M30" s="11"/>
      <c r="N30" s="11"/>
      <c r="O30" s="40"/>
      <c r="P30" s="229" t="str">
        <f t="shared" si="7"/>
        <v/>
      </c>
      <c r="Q30" s="229" t="str">
        <f t="shared" si="8"/>
        <v/>
      </c>
      <c r="R30" s="229" t="str">
        <f t="shared" si="9"/>
        <v/>
      </c>
      <c r="S30" s="230" t="str">
        <f>IF($H30="","",HLOOKUP(S$2,'Unit information'!$B$3:$K$29,$L30+2,FALSE))</f>
        <v/>
      </c>
      <c r="T30" s="231" t="str">
        <f>IF($H30="","",HLOOKUP(T$2,'Unit information'!$B$3:$K$29,$L30+2,FALSE))</f>
        <v/>
      </c>
      <c r="U30" s="231" t="str">
        <f>IF($H30="","",HLOOKUP(U$2,'Unit information'!$B$3:$K$29,$L30+2,FALSE))</f>
        <v/>
      </c>
      <c r="V30" s="231" t="str">
        <f>IF($H30="","",HLOOKUP(V$2,'Unit information'!$B$3:$K$29,$M30+2,FALSE))</f>
        <v/>
      </c>
      <c r="W30" s="231" t="str">
        <f>IF($H30="","",HLOOKUP(W$2,'Unit information'!$B$3:$K$29,$M30+2,FALSE))</f>
        <v/>
      </c>
      <c r="X30" s="231" t="str">
        <f>IF($H30="","",HLOOKUP(X$2,'Unit information'!$B$3:$K$29,$N30+2,FALSE))</f>
        <v/>
      </c>
      <c r="Y30" s="232" t="str">
        <f t="shared" si="4"/>
        <v/>
      </c>
      <c r="Z30" s="232" t="str">
        <f t="shared" si="4"/>
        <v/>
      </c>
      <c r="AA30" s="232" t="str">
        <f t="shared" si="5"/>
        <v/>
      </c>
      <c r="AB30" s="232" t="str">
        <f t="shared" si="5"/>
        <v/>
      </c>
      <c r="AC30" s="232" t="str">
        <f t="shared" si="6"/>
        <v/>
      </c>
      <c r="AD30" s="232" t="str">
        <f t="shared" si="3"/>
        <v/>
      </c>
      <c r="AE30" s="229" t="str">
        <f>IF($H30="","",($F$1/$S30*$Y30*'Unit information'!$AB$3)+($F$1/$T30*$Z30*'Unit information'!$AB$4)+($F$1/$U30*$AA30*'Unit information'!$AB$5)+($F$1/$V30*$AB30*'Unit information'!$AB$8)+($F$1/$W30*$AC30*'Unit information'!$AB$10)+($F$1/$X30*$AD30*'Unit information'!$AB$11))</f>
        <v/>
      </c>
      <c r="AF30" s="229" t="str">
        <f>IF($H30="","",($F$1/$S30*$Y30*'Unit information'!$AC$3)+($F$1/$T30*$Z30*'Unit information'!$AC$4)+($F$1/$U30*$AA30*'Unit information'!$AC$5)+($F$1/$V30*$AB30*'Unit information'!$AC$8)+($F$1/$W30*$AC30*'Unit information'!$AC$10)+($F$1/$X30*$AD30*'Unit information'!$AC$11))</f>
        <v/>
      </c>
      <c r="AG30" s="229" t="str">
        <f>IF($H30="","",($F$1/$S30*$Y30*'Unit information'!$AD$3)+($F$1/$T30*$Z30*'Unit information'!$AD$4)+($F$1/$U30*$AA30*'Unit information'!$AD$5)+($F$1/$V30*$AB30*'Unit information'!$AD$8)+($F$1/$W30*$AC30*'Unit information'!$AD$10)+($F$1/$X30*$AD30*'Unit information'!$AD$11))</f>
        <v/>
      </c>
      <c r="AP30" s="154"/>
      <c r="BG30" s="154"/>
    </row>
    <row r="31" spans="1:59" x14ac:dyDescent="0.25">
      <c r="A31">
        <v>3</v>
      </c>
      <c r="B31" s="367">
        <f t="shared" ref="B31:B94" si="11">IF($B$4="Goldmünzen",$A31*B$29+B30+40000,$A31*B$29+B30)</f>
        <v>488000</v>
      </c>
      <c r="C31" s="367">
        <f t="shared" ref="C31:C94" si="12">IF($B$4="Goldmünzen",$A31*C$29+C30+50000,$A31*C$29+C30)</f>
        <v>580000</v>
      </c>
      <c r="D31" s="367">
        <f t="shared" ref="D31:D94" si="13">IF($B$4="Goldmünzen",$A31*D$29+D30+50000,$A31*D$29+D30)</f>
        <v>550000</v>
      </c>
      <c r="E31" s="155">
        <f t="shared" si="10"/>
        <v>1338000</v>
      </c>
      <c r="H31" s="228"/>
      <c r="I31" s="11"/>
      <c r="J31" s="11"/>
      <c r="K31" s="11"/>
      <c r="L31" s="11"/>
      <c r="M31" s="11"/>
      <c r="N31" s="11"/>
      <c r="O31" s="40"/>
      <c r="P31" s="229" t="str">
        <f t="shared" si="7"/>
        <v/>
      </c>
      <c r="Q31" s="229" t="str">
        <f t="shared" si="8"/>
        <v/>
      </c>
      <c r="R31" s="229" t="str">
        <f t="shared" si="9"/>
        <v/>
      </c>
      <c r="S31" s="230" t="str">
        <f>IF($H31="","",HLOOKUP(S$2,'Unit information'!$B$3:$K$29,$L31+2,FALSE))</f>
        <v/>
      </c>
      <c r="T31" s="231" t="str">
        <f>IF($H31="","",HLOOKUP(T$2,'Unit information'!$B$3:$K$29,$L31+2,FALSE))</f>
        <v/>
      </c>
      <c r="U31" s="231" t="str">
        <f>IF($H31="","",HLOOKUP(U$2,'Unit information'!$B$3:$K$29,$L31+2,FALSE))</f>
        <v/>
      </c>
      <c r="V31" s="231" t="str">
        <f>IF($H31="","",HLOOKUP(V$2,'Unit information'!$B$3:$K$29,$M31+2,FALSE))</f>
        <v/>
      </c>
      <c r="W31" s="231" t="str">
        <f>IF($H31="","",HLOOKUP(W$2,'Unit information'!$B$3:$K$29,$M31+2,FALSE))</f>
        <v/>
      </c>
      <c r="X31" s="231" t="str">
        <f>IF($H31="","",HLOOKUP(X$2,'Unit information'!$B$3:$K$29,$N31+2,FALSE))</f>
        <v/>
      </c>
      <c r="Y31" s="232" t="str">
        <f t="shared" si="4"/>
        <v/>
      </c>
      <c r="Z31" s="232" t="str">
        <f t="shared" si="4"/>
        <v/>
      </c>
      <c r="AA31" s="232" t="str">
        <f t="shared" si="5"/>
        <v/>
      </c>
      <c r="AB31" s="232" t="str">
        <f t="shared" si="5"/>
        <v/>
      </c>
      <c r="AC31" s="232" t="str">
        <f t="shared" si="6"/>
        <v/>
      </c>
      <c r="AD31" s="232" t="str">
        <f t="shared" si="3"/>
        <v/>
      </c>
      <c r="AE31" s="229" t="str">
        <f>IF($H31="","",($F$1/$S31*$Y31*'Unit information'!$AB$3)+($F$1/$T31*$Z31*'Unit information'!$AB$4)+($F$1/$U31*$AA31*'Unit information'!$AB$5)+($F$1/$V31*$AB31*'Unit information'!$AB$8)+($F$1/$W31*$AC31*'Unit information'!$AB$10)+($F$1/$X31*$AD31*'Unit information'!$AB$11))</f>
        <v/>
      </c>
      <c r="AF31" s="229" t="str">
        <f>IF($H31="","",($F$1/$S31*$Y31*'Unit information'!$AC$3)+($F$1/$T31*$Z31*'Unit information'!$AC$4)+($F$1/$U31*$AA31*'Unit information'!$AC$5)+($F$1/$V31*$AB31*'Unit information'!$AC$8)+($F$1/$W31*$AC31*'Unit information'!$AC$10)+($F$1/$X31*$AD31*'Unit information'!$AC$11))</f>
        <v/>
      </c>
      <c r="AG31" s="229" t="str">
        <f>IF($H31="","",($F$1/$S31*$Y31*'Unit information'!$AD$3)+($F$1/$T31*$Z31*'Unit information'!$AD$4)+($F$1/$U31*$AA31*'Unit information'!$AD$5)+($F$1/$V31*$AB31*'Unit information'!$AD$8)+($F$1/$W31*$AC31*'Unit information'!$AD$10)+($F$1/$X31*$AD31*'Unit information'!$AD$11))</f>
        <v/>
      </c>
      <c r="AP31" s="154"/>
      <c r="BG31" s="154"/>
    </row>
    <row r="32" spans="1:59" x14ac:dyDescent="0.25">
      <c r="A32" s="62">
        <v>4</v>
      </c>
      <c r="B32" s="367">
        <f t="shared" si="11"/>
        <v>800000</v>
      </c>
      <c r="C32" s="367">
        <f t="shared" si="12"/>
        <v>950000</v>
      </c>
      <c r="D32" s="367">
        <f t="shared" si="13"/>
        <v>900000</v>
      </c>
      <c r="E32" s="155">
        <f t="shared" si="10"/>
        <v>2230000</v>
      </c>
      <c r="H32" s="228"/>
      <c r="I32" s="11"/>
      <c r="J32" s="11"/>
      <c r="K32" s="11"/>
      <c r="L32" s="11"/>
      <c r="M32" s="11"/>
      <c r="N32" s="11"/>
      <c r="O32" s="40"/>
      <c r="P32" s="229" t="str">
        <f t="shared" si="7"/>
        <v/>
      </c>
      <c r="Q32" s="229" t="str">
        <f t="shared" si="8"/>
        <v/>
      </c>
      <c r="R32" s="229" t="str">
        <f t="shared" si="9"/>
        <v/>
      </c>
      <c r="S32" s="230" t="str">
        <f>IF($H32="","",HLOOKUP(S$2,'Unit information'!$B$3:$K$29,$L32+2,FALSE))</f>
        <v/>
      </c>
      <c r="T32" s="231" t="str">
        <f>IF($H32="","",HLOOKUP(T$2,'Unit information'!$B$3:$K$29,$L32+2,FALSE))</f>
        <v/>
      </c>
      <c r="U32" s="231" t="str">
        <f>IF($H32="","",HLOOKUP(U$2,'Unit information'!$B$3:$K$29,$L32+2,FALSE))</f>
        <v/>
      </c>
      <c r="V32" s="231" t="str">
        <f>IF($H32="","",HLOOKUP(V$2,'Unit information'!$B$3:$K$29,$M32+2,FALSE))</f>
        <v/>
      </c>
      <c r="W32" s="231" t="str">
        <f>IF($H32="","",HLOOKUP(W$2,'Unit information'!$B$3:$K$29,$M32+2,FALSE))</f>
        <v/>
      </c>
      <c r="X32" s="231" t="str">
        <f>IF($H32="","",HLOOKUP(X$2,'Unit information'!$B$3:$K$29,$N32+2,FALSE))</f>
        <v/>
      </c>
      <c r="Y32" s="232" t="str">
        <f t="shared" si="4"/>
        <v/>
      </c>
      <c r="Z32" s="232" t="str">
        <f t="shared" si="4"/>
        <v/>
      </c>
      <c r="AA32" s="232" t="str">
        <f t="shared" si="5"/>
        <v/>
      </c>
      <c r="AB32" s="232" t="str">
        <f t="shared" si="5"/>
        <v/>
      </c>
      <c r="AC32" s="232" t="str">
        <f t="shared" si="6"/>
        <v/>
      </c>
      <c r="AD32" s="232" t="str">
        <f t="shared" si="3"/>
        <v/>
      </c>
      <c r="AE32" s="229" t="str">
        <f>IF($H32="","",($F$1/$S32*$Y32*'Unit information'!$AB$3)+($F$1/$T32*$Z32*'Unit information'!$AB$4)+($F$1/$U32*$AA32*'Unit information'!$AB$5)+($F$1/$V32*$AB32*'Unit information'!$AB$8)+($F$1/$W32*$AC32*'Unit information'!$AB$10)+($F$1/$X32*$AD32*'Unit information'!$AB$11))</f>
        <v/>
      </c>
      <c r="AF32" s="229" t="str">
        <f>IF($H32="","",($F$1/$S32*$Y32*'Unit information'!$AC$3)+($F$1/$T32*$Z32*'Unit information'!$AC$4)+($F$1/$U32*$AA32*'Unit information'!$AC$5)+($F$1/$V32*$AB32*'Unit information'!$AC$8)+($F$1/$W32*$AC32*'Unit information'!$AC$10)+($F$1/$X32*$AD32*'Unit information'!$AC$11))</f>
        <v/>
      </c>
      <c r="AG32" s="229" t="str">
        <f>IF($H32="","",($F$1/$S32*$Y32*'Unit information'!$AD$3)+($F$1/$T32*$Z32*'Unit information'!$AD$4)+($F$1/$U32*$AA32*'Unit information'!$AD$5)+($F$1/$V32*$AB32*'Unit information'!$AD$8)+($F$1/$W32*$AC32*'Unit information'!$AD$10)+($F$1/$X32*$AD32*'Unit information'!$AD$11))</f>
        <v/>
      </c>
      <c r="AP32" s="154"/>
      <c r="BG32" s="154"/>
    </row>
    <row r="33" spans="1:59" x14ac:dyDescent="0.25">
      <c r="A33" s="62">
        <v>5</v>
      </c>
      <c r="B33" s="367">
        <f t="shared" si="11"/>
        <v>1180000</v>
      </c>
      <c r="C33" s="367">
        <f t="shared" si="12"/>
        <v>1400000</v>
      </c>
      <c r="D33" s="367">
        <f t="shared" si="13"/>
        <v>1325000</v>
      </c>
      <c r="E33" s="155">
        <f t="shared" si="10"/>
        <v>3345000</v>
      </c>
      <c r="H33" s="228"/>
      <c r="I33" s="11"/>
      <c r="J33" s="11"/>
      <c r="K33" s="11"/>
      <c r="L33" s="11"/>
      <c r="M33" s="11"/>
      <c r="N33" s="11"/>
      <c r="O33" s="40"/>
      <c r="P33" s="229" t="str">
        <f t="shared" si="7"/>
        <v/>
      </c>
      <c r="Q33" s="229" t="str">
        <f t="shared" si="8"/>
        <v/>
      </c>
      <c r="R33" s="229" t="str">
        <f t="shared" si="9"/>
        <v/>
      </c>
      <c r="S33" s="230" t="str">
        <f>IF($H33="","",HLOOKUP(S$2,'Unit information'!$B$3:$K$29,$L33+2,FALSE))</f>
        <v/>
      </c>
      <c r="T33" s="231" t="str">
        <f>IF($H33="","",HLOOKUP(T$2,'Unit information'!$B$3:$K$29,$L33+2,FALSE))</f>
        <v/>
      </c>
      <c r="U33" s="231" t="str">
        <f>IF($H33="","",HLOOKUP(U$2,'Unit information'!$B$3:$K$29,$L33+2,FALSE))</f>
        <v/>
      </c>
      <c r="V33" s="231" t="str">
        <f>IF($H33="","",HLOOKUP(V$2,'Unit information'!$B$3:$K$29,$M33+2,FALSE))</f>
        <v/>
      </c>
      <c r="W33" s="231" t="str">
        <f>IF($H33="","",HLOOKUP(W$2,'Unit information'!$B$3:$K$29,$M33+2,FALSE))</f>
        <v/>
      </c>
      <c r="X33" s="231" t="str">
        <f>IF($H33="","",HLOOKUP(X$2,'Unit information'!$B$3:$K$29,$N33+2,FALSE))</f>
        <v/>
      </c>
      <c r="Y33" s="232" t="str">
        <f t="shared" si="4"/>
        <v/>
      </c>
      <c r="Z33" s="232" t="str">
        <f t="shared" si="4"/>
        <v/>
      </c>
      <c r="AA33" s="232" t="str">
        <f t="shared" si="5"/>
        <v/>
      </c>
      <c r="AB33" s="232" t="str">
        <f t="shared" si="5"/>
        <v/>
      </c>
      <c r="AC33" s="232" t="str">
        <f t="shared" si="6"/>
        <v/>
      </c>
      <c r="AD33" s="232" t="str">
        <f t="shared" si="3"/>
        <v/>
      </c>
      <c r="AE33" s="229" t="str">
        <f>IF($H33="","",($F$1/$S33*$Y33*'Unit information'!$AB$3)+($F$1/$T33*$Z33*'Unit information'!$AB$4)+($F$1/$U33*$AA33*'Unit information'!$AB$5)+($F$1/$V33*$AB33*'Unit information'!$AB$8)+($F$1/$W33*$AC33*'Unit information'!$AB$10)+($F$1/$X33*$AD33*'Unit information'!$AB$11))</f>
        <v/>
      </c>
      <c r="AF33" s="229" t="str">
        <f>IF($H33="","",($F$1/$S33*$Y33*'Unit information'!$AC$3)+($F$1/$T33*$Z33*'Unit information'!$AC$4)+($F$1/$U33*$AA33*'Unit information'!$AC$5)+($F$1/$V33*$AB33*'Unit information'!$AC$8)+($F$1/$W33*$AC33*'Unit information'!$AC$10)+($F$1/$X33*$AD33*'Unit information'!$AC$11))</f>
        <v/>
      </c>
      <c r="AG33" s="229" t="str">
        <f>IF($H33="","",($F$1/$S33*$Y33*'Unit information'!$AD$3)+($F$1/$T33*$Z33*'Unit information'!$AD$4)+($F$1/$U33*$AA33*'Unit information'!$AD$5)+($F$1/$V33*$AB33*'Unit information'!$AD$8)+($F$1/$W33*$AC33*'Unit information'!$AD$10)+($F$1/$X33*$AD33*'Unit information'!$AD$11))</f>
        <v/>
      </c>
      <c r="AP33" s="154"/>
      <c r="BG33" s="154"/>
    </row>
    <row r="34" spans="1:59" x14ac:dyDescent="0.25">
      <c r="A34" s="62">
        <v>6</v>
      </c>
      <c r="B34" s="367">
        <f t="shared" si="11"/>
        <v>1628000</v>
      </c>
      <c r="C34" s="367">
        <f t="shared" si="12"/>
        <v>1930000</v>
      </c>
      <c r="D34" s="367">
        <f t="shared" si="13"/>
        <v>1825000</v>
      </c>
      <c r="E34" s="155">
        <f t="shared" si="10"/>
        <v>4683000</v>
      </c>
      <c r="H34" s="228"/>
      <c r="I34" s="11"/>
      <c r="J34" s="11"/>
      <c r="K34" s="11"/>
      <c r="L34" s="11"/>
      <c r="M34" s="11"/>
      <c r="N34" s="11"/>
      <c r="O34" s="40"/>
      <c r="P34" s="229" t="str">
        <f t="shared" si="7"/>
        <v/>
      </c>
      <c r="Q34" s="229" t="str">
        <f t="shared" si="8"/>
        <v/>
      </c>
      <c r="R34" s="229" t="str">
        <f t="shared" si="9"/>
        <v/>
      </c>
      <c r="S34" s="230" t="str">
        <f>IF($H34="","",HLOOKUP(S$2,'Unit information'!$B$3:$K$29,$L34+2,FALSE))</f>
        <v/>
      </c>
      <c r="T34" s="231" t="str">
        <f>IF($H34="","",HLOOKUP(T$2,'Unit information'!$B$3:$K$29,$L34+2,FALSE))</f>
        <v/>
      </c>
      <c r="U34" s="231" t="str">
        <f>IF($H34="","",HLOOKUP(U$2,'Unit information'!$B$3:$K$29,$L34+2,FALSE))</f>
        <v/>
      </c>
      <c r="V34" s="231" t="str">
        <f>IF($H34="","",HLOOKUP(V$2,'Unit information'!$B$3:$K$29,$M34+2,FALSE))</f>
        <v/>
      </c>
      <c r="W34" s="231" t="str">
        <f>IF($H34="","",HLOOKUP(W$2,'Unit information'!$B$3:$K$29,$M34+2,FALSE))</f>
        <v/>
      </c>
      <c r="X34" s="231" t="str">
        <f>IF($H34="","",HLOOKUP(X$2,'Unit information'!$B$3:$K$29,$N34+2,FALSE))</f>
        <v/>
      </c>
      <c r="Y34" s="232" t="str">
        <f t="shared" si="4"/>
        <v/>
      </c>
      <c r="Z34" s="232" t="str">
        <f t="shared" si="4"/>
        <v/>
      </c>
      <c r="AA34" s="232" t="str">
        <f t="shared" si="5"/>
        <v/>
      </c>
      <c r="AB34" s="232" t="str">
        <f t="shared" si="5"/>
        <v/>
      </c>
      <c r="AC34" s="232" t="str">
        <f t="shared" si="6"/>
        <v/>
      </c>
      <c r="AD34" s="232" t="str">
        <f t="shared" si="3"/>
        <v/>
      </c>
      <c r="AE34" s="229" t="str">
        <f>IF($H34="","",($F$1/$S34*$Y34*'Unit information'!$AB$3)+($F$1/$T34*$Z34*'Unit information'!$AB$4)+($F$1/$U34*$AA34*'Unit information'!$AB$5)+($F$1/$V34*$AB34*'Unit information'!$AB$8)+($F$1/$W34*$AC34*'Unit information'!$AB$10)+($F$1/$X34*$AD34*'Unit information'!$AB$11))</f>
        <v/>
      </c>
      <c r="AF34" s="229" t="str">
        <f>IF($H34="","",($F$1/$S34*$Y34*'Unit information'!$AC$3)+($F$1/$T34*$Z34*'Unit information'!$AC$4)+($F$1/$U34*$AA34*'Unit information'!$AC$5)+($F$1/$V34*$AB34*'Unit information'!$AC$8)+($F$1/$W34*$AC34*'Unit information'!$AC$10)+($F$1/$X34*$AD34*'Unit information'!$AC$11))</f>
        <v/>
      </c>
      <c r="AG34" s="229" t="str">
        <f>IF($H34="","",($F$1/$S34*$Y34*'Unit information'!$AD$3)+($F$1/$T34*$Z34*'Unit information'!$AD$4)+($F$1/$U34*$AA34*'Unit information'!$AD$5)+($F$1/$V34*$AB34*'Unit information'!$AD$8)+($F$1/$W34*$AC34*'Unit information'!$AD$10)+($F$1/$X34*$AD34*'Unit information'!$AD$11))</f>
        <v/>
      </c>
      <c r="AP34" s="154"/>
      <c r="BG34" s="154"/>
    </row>
    <row r="35" spans="1:59" x14ac:dyDescent="0.25">
      <c r="A35" s="62">
        <v>7</v>
      </c>
      <c r="B35" s="367">
        <f t="shared" si="11"/>
        <v>2144000</v>
      </c>
      <c r="C35" s="367">
        <f t="shared" si="12"/>
        <v>2540000</v>
      </c>
      <c r="D35" s="367">
        <f t="shared" si="13"/>
        <v>2400000</v>
      </c>
      <c r="E35" s="155">
        <f t="shared" si="10"/>
        <v>6244000</v>
      </c>
      <c r="H35" s="228"/>
      <c r="I35" s="11"/>
      <c r="J35" s="11"/>
      <c r="K35" s="11"/>
      <c r="L35" s="11"/>
      <c r="M35" s="11"/>
      <c r="N35" s="11"/>
      <c r="O35" s="40"/>
      <c r="P35" s="229" t="str">
        <f t="shared" si="7"/>
        <v/>
      </c>
      <c r="Q35" s="229" t="str">
        <f t="shared" si="8"/>
        <v/>
      </c>
      <c r="R35" s="229" t="str">
        <f t="shared" si="9"/>
        <v/>
      </c>
      <c r="S35" s="230" t="str">
        <f>IF($H35="","",HLOOKUP(S$2,'Unit information'!$B$3:$K$29,$L35+2,FALSE))</f>
        <v/>
      </c>
      <c r="T35" s="231" t="str">
        <f>IF($H35="","",HLOOKUP(T$2,'Unit information'!$B$3:$K$29,$L35+2,FALSE))</f>
        <v/>
      </c>
      <c r="U35" s="231" t="str">
        <f>IF($H35="","",HLOOKUP(U$2,'Unit information'!$B$3:$K$29,$L35+2,FALSE))</f>
        <v/>
      </c>
      <c r="V35" s="231" t="str">
        <f>IF($H35="","",HLOOKUP(V$2,'Unit information'!$B$3:$K$29,$M35+2,FALSE))</f>
        <v/>
      </c>
      <c r="W35" s="231" t="str">
        <f>IF($H35="","",HLOOKUP(W$2,'Unit information'!$B$3:$K$29,$M35+2,FALSE))</f>
        <v/>
      </c>
      <c r="X35" s="231" t="str">
        <f>IF($H35="","",HLOOKUP(X$2,'Unit information'!$B$3:$K$29,$N35+2,FALSE))</f>
        <v/>
      </c>
      <c r="Y35" s="232" t="str">
        <f t="shared" si="4"/>
        <v/>
      </c>
      <c r="Z35" s="232" t="str">
        <f t="shared" si="4"/>
        <v/>
      </c>
      <c r="AA35" s="232" t="str">
        <f t="shared" si="5"/>
        <v/>
      </c>
      <c r="AB35" s="232" t="str">
        <f t="shared" si="5"/>
        <v/>
      </c>
      <c r="AC35" s="232" t="str">
        <f t="shared" si="6"/>
        <v/>
      </c>
      <c r="AD35" s="232" t="str">
        <f t="shared" si="3"/>
        <v/>
      </c>
      <c r="AE35" s="229" t="str">
        <f>IF($H35="","",($F$1/$S35*$Y35*'Unit information'!$AB$3)+($F$1/$T35*$Z35*'Unit information'!$AB$4)+($F$1/$U35*$AA35*'Unit information'!$AB$5)+($F$1/$V35*$AB35*'Unit information'!$AB$8)+($F$1/$W35*$AC35*'Unit information'!$AB$10)+($F$1/$X35*$AD35*'Unit information'!$AB$11))</f>
        <v/>
      </c>
      <c r="AF35" s="229" t="str">
        <f>IF($H35="","",($F$1/$S35*$Y35*'Unit information'!$AC$3)+($F$1/$T35*$Z35*'Unit information'!$AC$4)+($F$1/$U35*$AA35*'Unit information'!$AC$5)+($F$1/$V35*$AB35*'Unit information'!$AC$8)+($F$1/$W35*$AC35*'Unit information'!$AC$10)+($F$1/$X35*$AD35*'Unit information'!$AC$11))</f>
        <v/>
      </c>
      <c r="AG35" s="229" t="str">
        <f>IF($H35="","",($F$1/$S35*$Y35*'Unit information'!$AD$3)+($F$1/$T35*$Z35*'Unit information'!$AD$4)+($F$1/$U35*$AA35*'Unit information'!$AD$5)+($F$1/$V35*$AB35*'Unit information'!$AD$8)+($F$1/$W35*$AC35*'Unit information'!$AD$10)+($F$1/$X35*$AD35*'Unit information'!$AD$11))</f>
        <v/>
      </c>
    </row>
    <row r="36" spans="1:59" x14ac:dyDescent="0.25">
      <c r="A36">
        <v>8</v>
      </c>
      <c r="B36" s="367">
        <f t="shared" si="11"/>
        <v>2728000</v>
      </c>
      <c r="C36" s="367">
        <f t="shared" si="12"/>
        <v>3230000</v>
      </c>
      <c r="D36" s="367">
        <f t="shared" si="13"/>
        <v>3050000</v>
      </c>
      <c r="E36" s="155">
        <f t="shared" si="10"/>
        <v>8028000</v>
      </c>
      <c r="H36" s="228"/>
      <c r="I36" s="11"/>
      <c r="J36" s="11"/>
      <c r="K36" s="11"/>
      <c r="L36" s="11"/>
      <c r="M36" s="11"/>
      <c r="N36" s="11"/>
      <c r="O36" s="40"/>
      <c r="P36" s="229" t="str">
        <f t="shared" si="7"/>
        <v/>
      </c>
      <c r="Q36" s="229" t="str">
        <f t="shared" si="8"/>
        <v/>
      </c>
      <c r="R36" s="229" t="str">
        <f t="shared" si="9"/>
        <v/>
      </c>
      <c r="S36" s="230" t="str">
        <f>IF($H36="","",HLOOKUP(S$2,'Unit information'!$B$3:$K$29,$L36+2,FALSE))</f>
        <v/>
      </c>
      <c r="T36" s="231" t="str">
        <f>IF($H36="","",HLOOKUP(T$2,'Unit information'!$B$3:$K$29,$L36+2,FALSE))</f>
        <v/>
      </c>
      <c r="U36" s="231" t="str">
        <f>IF($H36="","",HLOOKUP(U$2,'Unit information'!$B$3:$K$29,$L36+2,FALSE))</f>
        <v/>
      </c>
      <c r="V36" s="231" t="str">
        <f>IF($H36="","",HLOOKUP(V$2,'Unit information'!$B$3:$K$29,$M36+2,FALSE))</f>
        <v/>
      </c>
      <c r="W36" s="231" t="str">
        <f>IF($H36="","",HLOOKUP(W$2,'Unit information'!$B$3:$K$29,$M36+2,FALSE))</f>
        <v/>
      </c>
      <c r="X36" s="231" t="str">
        <f>IF($H36="","",HLOOKUP(X$2,'Unit information'!$B$3:$K$29,$N36+2,FALSE))</f>
        <v/>
      </c>
      <c r="Y36" s="232" t="str">
        <f t="shared" si="4"/>
        <v/>
      </c>
      <c r="Z36" s="232" t="str">
        <f t="shared" si="4"/>
        <v/>
      </c>
      <c r="AA36" s="232" t="str">
        <f t="shared" si="5"/>
        <v/>
      </c>
      <c r="AB36" s="232" t="str">
        <f t="shared" si="5"/>
        <v/>
      </c>
      <c r="AC36" s="232" t="str">
        <f t="shared" si="6"/>
        <v/>
      </c>
      <c r="AD36" s="232" t="str">
        <f t="shared" si="3"/>
        <v/>
      </c>
      <c r="AE36" s="229" t="str">
        <f>IF($H36="","",($F$1/$S36*$Y36*'Unit information'!$AB$3)+($F$1/$T36*$Z36*'Unit information'!$AB$4)+($F$1/$U36*$AA36*'Unit information'!$AB$5)+($F$1/$V36*$AB36*'Unit information'!$AB$8)+($F$1/$W36*$AC36*'Unit information'!$AB$10)+($F$1/$X36*$AD36*'Unit information'!$AB$11))</f>
        <v/>
      </c>
      <c r="AF36" s="229" t="str">
        <f>IF($H36="","",($F$1/$S36*$Y36*'Unit information'!$AC$3)+($F$1/$T36*$Z36*'Unit information'!$AC$4)+($F$1/$U36*$AA36*'Unit information'!$AC$5)+($F$1/$V36*$AB36*'Unit information'!$AC$8)+($F$1/$W36*$AC36*'Unit information'!$AC$10)+($F$1/$X36*$AD36*'Unit information'!$AC$11))</f>
        <v/>
      </c>
      <c r="AG36" s="229" t="str">
        <f>IF($H36="","",($F$1/$S36*$Y36*'Unit information'!$AD$3)+($F$1/$T36*$Z36*'Unit information'!$AD$4)+($F$1/$U36*$AA36*'Unit information'!$AD$5)+($F$1/$V36*$AB36*'Unit information'!$AD$8)+($F$1/$W36*$AC36*'Unit information'!$AD$10)+($F$1/$X36*$AD36*'Unit information'!$AD$11))</f>
        <v/>
      </c>
    </row>
    <row r="37" spans="1:59" x14ac:dyDescent="0.25">
      <c r="A37">
        <v>9</v>
      </c>
      <c r="B37" s="367">
        <f t="shared" si="11"/>
        <v>3380000</v>
      </c>
      <c r="C37" s="367">
        <f t="shared" si="12"/>
        <v>4000000</v>
      </c>
      <c r="D37" s="367">
        <f t="shared" si="13"/>
        <v>3775000</v>
      </c>
      <c r="E37" s="155">
        <f t="shared" si="10"/>
        <v>10035000</v>
      </c>
      <c r="H37" s="228"/>
      <c r="I37" s="11"/>
      <c r="J37" s="11"/>
      <c r="K37" s="11"/>
      <c r="L37" s="11"/>
      <c r="M37" s="11"/>
      <c r="N37" s="11"/>
      <c r="O37" s="40"/>
      <c r="P37" s="229" t="str">
        <f t="shared" si="7"/>
        <v/>
      </c>
      <c r="Q37" s="229" t="str">
        <f t="shared" si="8"/>
        <v/>
      </c>
      <c r="R37" s="229" t="str">
        <f t="shared" si="9"/>
        <v/>
      </c>
      <c r="S37" s="230" t="str">
        <f>IF($H37="","",HLOOKUP(S$2,'Unit information'!$B$3:$K$29,$L37+2,FALSE))</f>
        <v/>
      </c>
      <c r="T37" s="231" t="str">
        <f>IF($H37="","",HLOOKUP(T$2,'Unit information'!$B$3:$K$29,$L37+2,FALSE))</f>
        <v/>
      </c>
      <c r="U37" s="231" t="str">
        <f>IF($H37="","",HLOOKUP(U$2,'Unit information'!$B$3:$K$29,$L37+2,FALSE))</f>
        <v/>
      </c>
      <c r="V37" s="231" t="str">
        <f>IF($H37="","",HLOOKUP(V$2,'Unit information'!$B$3:$K$29,$M37+2,FALSE))</f>
        <v/>
      </c>
      <c r="W37" s="231" t="str">
        <f>IF($H37="","",HLOOKUP(W$2,'Unit information'!$B$3:$K$29,$M37+2,FALSE))</f>
        <v/>
      </c>
      <c r="X37" s="231" t="str">
        <f>IF($H37="","",HLOOKUP(X$2,'Unit information'!$B$3:$K$29,$N37+2,FALSE))</f>
        <v/>
      </c>
      <c r="Y37" s="232" t="str">
        <f t="shared" si="4"/>
        <v/>
      </c>
      <c r="Z37" s="232" t="str">
        <f t="shared" si="4"/>
        <v/>
      </c>
      <c r="AA37" s="232" t="str">
        <f t="shared" si="5"/>
        <v/>
      </c>
      <c r="AB37" s="232" t="str">
        <f t="shared" si="5"/>
        <v/>
      </c>
      <c r="AC37" s="232" t="str">
        <f t="shared" si="6"/>
        <v/>
      </c>
      <c r="AD37" s="232" t="str">
        <f t="shared" si="3"/>
        <v/>
      </c>
      <c r="AE37" s="229" t="str">
        <f>IF($H37="","",($F$1/$S37*$Y37*'Unit information'!$AB$3)+($F$1/$T37*$Z37*'Unit information'!$AB$4)+($F$1/$U37*$AA37*'Unit information'!$AB$5)+($F$1/$V37*$AB37*'Unit information'!$AB$8)+($F$1/$W37*$AC37*'Unit information'!$AB$10)+($F$1/$X37*$AD37*'Unit information'!$AB$11))</f>
        <v/>
      </c>
      <c r="AF37" s="229" t="str">
        <f>IF($H37="","",($F$1/$S37*$Y37*'Unit information'!$AC$3)+($F$1/$T37*$Z37*'Unit information'!$AC$4)+($F$1/$U37*$AA37*'Unit information'!$AC$5)+($F$1/$V37*$AB37*'Unit information'!$AC$8)+($F$1/$W37*$AC37*'Unit information'!$AC$10)+($F$1/$X37*$AD37*'Unit information'!$AC$11))</f>
        <v/>
      </c>
      <c r="AG37" s="229" t="str">
        <f>IF($H37="","",($F$1/$S37*$Y37*'Unit information'!$AD$3)+($F$1/$T37*$Z37*'Unit information'!$AD$4)+($F$1/$U37*$AA37*'Unit information'!$AD$5)+($F$1/$V37*$AB37*'Unit information'!$AD$8)+($F$1/$W37*$AC37*'Unit information'!$AD$10)+($F$1/$X37*$AD37*'Unit information'!$AD$11))</f>
        <v/>
      </c>
    </row>
    <row r="38" spans="1:59" x14ac:dyDescent="0.25">
      <c r="A38">
        <v>10</v>
      </c>
      <c r="B38" s="367">
        <f t="shared" si="11"/>
        <v>4100000</v>
      </c>
      <c r="C38" s="367">
        <f t="shared" si="12"/>
        <v>4850000</v>
      </c>
      <c r="D38" s="367">
        <f t="shared" si="13"/>
        <v>4575000</v>
      </c>
      <c r="E38" s="155">
        <f t="shared" si="10"/>
        <v>12265000</v>
      </c>
      <c r="H38" s="228"/>
      <c r="I38" s="11"/>
      <c r="J38" s="11"/>
      <c r="K38" s="11"/>
      <c r="L38" s="11"/>
      <c r="M38" s="11"/>
      <c r="N38" s="11"/>
      <c r="O38" s="40"/>
      <c r="P38" s="229" t="str">
        <f t="shared" si="7"/>
        <v/>
      </c>
      <c r="Q38" s="229" t="str">
        <f t="shared" si="8"/>
        <v/>
      </c>
      <c r="R38" s="229" t="str">
        <f t="shared" si="9"/>
        <v/>
      </c>
      <c r="S38" s="230" t="str">
        <f>IF($H38="","",HLOOKUP(S$2,'Unit information'!$B$3:$K$29,$L38+2,FALSE))</f>
        <v/>
      </c>
      <c r="T38" s="231" t="str">
        <f>IF($H38="","",HLOOKUP(T$2,'Unit information'!$B$3:$K$29,$L38+2,FALSE))</f>
        <v/>
      </c>
      <c r="U38" s="231" t="str">
        <f>IF($H38="","",HLOOKUP(U$2,'Unit information'!$B$3:$K$29,$L38+2,FALSE))</f>
        <v/>
      </c>
      <c r="V38" s="231" t="str">
        <f>IF($H38="","",HLOOKUP(V$2,'Unit information'!$B$3:$K$29,$M38+2,FALSE))</f>
        <v/>
      </c>
      <c r="W38" s="231" t="str">
        <f>IF($H38="","",HLOOKUP(W$2,'Unit information'!$B$3:$K$29,$M38+2,FALSE))</f>
        <v/>
      </c>
      <c r="X38" s="231" t="str">
        <f>IF($H38="","",HLOOKUP(X$2,'Unit information'!$B$3:$K$29,$N38+2,FALSE))</f>
        <v/>
      </c>
      <c r="Y38" s="232" t="str">
        <f t="shared" si="4"/>
        <v/>
      </c>
      <c r="Z38" s="232" t="str">
        <f t="shared" si="4"/>
        <v/>
      </c>
      <c r="AA38" s="232" t="str">
        <f t="shared" si="5"/>
        <v/>
      </c>
      <c r="AB38" s="232" t="str">
        <f t="shared" si="5"/>
        <v/>
      </c>
      <c r="AC38" s="232" t="str">
        <f t="shared" si="6"/>
        <v/>
      </c>
      <c r="AD38" s="232" t="str">
        <f t="shared" si="3"/>
        <v/>
      </c>
      <c r="AE38" s="229" t="str">
        <f>IF($H38="","",($F$1/$S38*$Y38*'Unit information'!$AB$3)+($F$1/$T38*$Z38*'Unit information'!$AB$4)+($F$1/$U38*$AA38*'Unit information'!$AB$5)+($F$1/$V38*$AB38*'Unit information'!$AB$8)+($F$1/$W38*$AC38*'Unit information'!$AB$10)+($F$1/$X38*$AD38*'Unit information'!$AB$11))</f>
        <v/>
      </c>
      <c r="AF38" s="229" t="str">
        <f>IF($H38="","",($F$1/$S38*$Y38*'Unit information'!$AC$3)+($F$1/$T38*$Z38*'Unit information'!$AC$4)+($F$1/$U38*$AA38*'Unit information'!$AC$5)+($F$1/$V38*$AB38*'Unit information'!$AC$8)+($F$1/$W38*$AC38*'Unit information'!$AC$10)+($F$1/$X38*$AD38*'Unit information'!$AC$11))</f>
        <v/>
      </c>
      <c r="AG38" s="229" t="str">
        <f>IF($H38="","",($F$1/$S38*$Y38*'Unit information'!$AD$3)+($F$1/$T38*$Z38*'Unit information'!$AD$4)+($F$1/$U38*$AA38*'Unit information'!$AD$5)+($F$1/$V38*$AB38*'Unit information'!$AD$8)+($F$1/$W38*$AC38*'Unit information'!$AD$10)+($F$1/$X38*$AD38*'Unit information'!$AD$11))</f>
        <v/>
      </c>
    </row>
    <row r="39" spans="1:59" x14ac:dyDescent="0.25">
      <c r="A39">
        <v>11</v>
      </c>
      <c r="B39" s="367">
        <f t="shared" si="11"/>
        <v>4888000</v>
      </c>
      <c r="C39" s="367">
        <f t="shared" si="12"/>
        <v>5780000</v>
      </c>
      <c r="D39" s="367">
        <f t="shared" si="13"/>
        <v>5450000</v>
      </c>
      <c r="E39" s="155">
        <f t="shared" ref="E39:E102" si="14">$A39*E$29+E38</f>
        <v>14718000</v>
      </c>
      <c r="H39" s="228"/>
      <c r="I39" s="11"/>
      <c r="J39" s="11"/>
      <c r="K39" s="11"/>
      <c r="L39" s="11"/>
      <c r="M39" s="11"/>
      <c r="N39" s="11"/>
      <c r="O39" s="40"/>
      <c r="P39" s="229" t="str">
        <f t="shared" si="7"/>
        <v/>
      </c>
      <c r="Q39" s="229" t="str">
        <f t="shared" si="8"/>
        <v/>
      </c>
      <c r="R39" s="229" t="str">
        <f t="shared" si="9"/>
        <v/>
      </c>
      <c r="S39" s="230" t="str">
        <f>IF($H39="","",HLOOKUP(S$2,'Unit information'!$B$3:$K$29,$L39+2,FALSE))</f>
        <v/>
      </c>
      <c r="T39" s="231" t="str">
        <f>IF($H39="","",HLOOKUP(T$2,'Unit information'!$B$3:$K$29,$L39+2,FALSE))</f>
        <v/>
      </c>
      <c r="U39" s="231" t="str">
        <f>IF($H39="","",HLOOKUP(U$2,'Unit information'!$B$3:$K$29,$L39+2,FALSE))</f>
        <v/>
      </c>
      <c r="V39" s="231" t="str">
        <f>IF($H39="","",HLOOKUP(V$2,'Unit information'!$B$3:$K$29,$M39+2,FALSE))</f>
        <v/>
      </c>
      <c r="W39" s="231" t="str">
        <f>IF($H39="","",HLOOKUP(W$2,'Unit information'!$B$3:$K$29,$M39+2,FALSE))</f>
        <v/>
      </c>
      <c r="X39" s="231" t="str">
        <f>IF($H39="","",HLOOKUP(X$2,'Unit information'!$B$3:$K$29,$N39+2,FALSE))</f>
        <v/>
      </c>
      <c r="Y39" s="232" t="str">
        <f t="shared" si="4"/>
        <v/>
      </c>
      <c r="Z39" s="232" t="str">
        <f t="shared" si="4"/>
        <v/>
      </c>
      <c r="AA39" s="232" t="str">
        <f t="shared" si="5"/>
        <v/>
      </c>
      <c r="AB39" s="232" t="str">
        <f t="shared" si="5"/>
        <v/>
      </c>
      <c r="AC39" s="232" t="str">
        <f t="shared" si="6"/>
        <v/>
      </c>
      <c r="AD39" s="232" t="str">
        <f t="shared" si="3"/>
        <v/>
      </c>
      <c r="AE39" s="229" t="str">
        <f>IF($H39="","",($F$1/$S39*$Y39*'Unit information'!$AB$3)+($F$1/$T39*$Z39*'Unit information'!$AB$4)+($F$1/$U39*$AA39*'Unit information'!$AB$5)+($F$1/$V39*$AB39*'Unit information'!$AB$8)+($F$1/$W39*$AC39*'Unit information'!$AB$10)+($F$1/$X39*$AD39*'Unit information'!$AB$11))</f>
        <v/>
      </c>
      <c r="AF39" s="229" t="str">
        <f>IF($H39="","",($F$1/$S39*$Y39*'Unit information'!$AC$3)+($F$1/$T39*$Z39*'Unit information'!$AC$4)+($F$1/$U39*$AA39*'Unit information'!$AC$5)+($F$1/$V39*$AB39*'Unit information'!$AC$8)+($F$1/$W39*$AC39*'Unit information'!$AC$10)+($F$1/$X39*$AD39*'Unit information'!$AC$11))</f>
        <v/>
      </c>
      <c r="AG39" s="229" t="str">
        <f>IF($H39="","",($F$1/$S39*$Y39*'Unit information'!$AD$3)+($F$1/$T39*$Z39*'Unit information'!$AD$4)+($F$1/$U39*$AA39*'Unit information'!$AD$5)+($F$1/$V39*$AB39*'Unit information'!$AD$8)+($F$1/$W39*$AC39*'Unit information'!$AD$10)+($F$1/$X39*$AD39*'Unit information'!$AD$11))</f>
        <v/>
      </c>
    </row>
    <row r="40" spans="1:59" x14ac:dyDescent="0.25">
      <c r="A40">
        <v>12</v>
      </c>
      <c r="B40" s="367">
        <f t="shared" si="11"/>
        <v>5744000</v>
      </c>
      <c r="C40" s="367">
        <f t="shared" si="12"/>
        <v>6790000</v>
      </c>
      <c r="D40" s="367">
        <f t="shared" si="13"/>
        <v>6400000</v>
      </c>
      <c r="E40" s="155">
        <f t="shared" si="14"/>
        <v>17394000</v>
      </c>
      <c r="H40" s="228"/>
      <c r="I40" s="11"/>
      <c r="J40" s="11"/>
      <c r="K40" s="11"/>
      <c r="L40" s="11"/>
      <c r="M40" s="11"/>
      <c r="N40" s="11"/>
      <c r="O40" s="40"/>
      <c r="P40" s="229" t="str">
        <f t="shared" si="7"/>
        <v/>
      </c>
      <c r="Q40" s="229" t="str">
        <f t="shared" si="8"/>
        <v/>
      </c>
      <c r="R40" s="229" t="str">
        <f t="shared" si="9"/>
        <v/>
      </c>
      <c r="S40" s="230" t="str">
        <f>IF($H40="","",HLOOKUP(S$2,'Unit information'!$B$3:$K$29,$L40+2,FALSE))</f>
        <v/>
      </c>
      <c r="T40" s="231" t="str">
        <f>IF($H40="","",HLOOKUP(T$2,'Unit information'!$B$3:$K$29,$L40+2,FALSE))</f>
        <v/>
      </c>
      <c r="U40" s="231" t="str">
        <f>IF($H40="","",HLOOKUP(U$2,'Unit information'!$B$3:$K$29,$L40+2,FALSE))</f>
        <v/>
      </c>
      <c r="V40" s="231" t="str">
        <f>IF($H40="","",HLOOKUP(V$2,'Unit information'!$B$3:$K$29,$M40+2,FALSE))</f>
        <v/>
      </c>
      <c r="W40" s="231" t="str">
        <f>IF($H40="","",HLOOKUP(W$2,'Unit information'!$B$3:$K$29,$M40+2,FALSE))</f>
        <v/>
      </c>
      <c r="X40" s="231" t="str">
        <f>IF($H40="","",HLOOKUP(X$2,'Unit information'!$B$3:$K$29,$N40+2,FALSE))</f>
        <v/>
      </c>
      <c r="Y40" s="232" t="str">
        <f t="shared" si="4"/>
        <v/>
      </c>
      <c r="Z40" s="232" t="str">
        <f t="shared" si="4"/>
        <v/>
      </c>
      <c r="AA40" s="232" t="str">
        <f t="shared" si="5"/>
        <v/>
      </c>
      <c r="AB40" s="232" t="str">
        <f t="shared" si="5"/>
        <v/>
      </c>
      <c r="AC40" s="232" t="str">
        <f t="shared" si="6"/>
        <v/>
      </c>
      <c r="AD40" s="232" t="str">
        <f t="shared" si="3"/>
        <v/>
      </c>
      <c r="AE40" s="229" t="str">
        <f>IF($H40="","",($F$1/$S40*$Y40*'Unit information'!$AB$3)+($F$1/$T40*$Z40*'Unit information'!$AB$4)+($F$1/$U40*$AA40*'Unit information'!$AB$5)+($F$1/$V40*$AB40*'Unit information'!$AB$8)+($F$1/$W40*$AC40*'Unit information'!$AB$10)+($F$1/$X40*$AD40*'Unit information'!$AB$11))</f>
        <v/>
      </c>
      <c r="AF40" s="229" t="str">
        <f>IF($H40="","",($F$1/$S40*$Y40*'Unit information'!$AC$3)+($F$1/$T40*$Z40*'Unit information'!$AC$4)+($F$1/$U40*$AA40*'Unit information'!$AC$5)+($F$1/$V40*$AB40*'Unit information'!$AC$8)+($F$1/$W40*$AC40*'Unit information'!$AC$10)+($F$1/$X40*$AD40*'Unit information'!$AC$11))</f>
        <v/>
      </c>
      <c r="AG40" s="229" t="str">
        <f>IF($H40="","",($F$1/$S40*$Y40*'Unit information'!$AD$3)+($F$1/$T40*$Z40*'Unit information'!$AD$4)+($F$1/$U40*$AA40*'Unit information'!$AD$5)+($F$1/$V40*$AB40*'Unit information'!$AD$8)+($F$1/$W40*$AC40*'Unit information'!$AD$10)+($F$1/$X40*$AD40*'Unit information'!$AD$11))</f>
        <v/>
      </c>
    </row>
    <row r="41" spans="1:59" x14ac:dyDescent="0.25">
      <c r="A41">
        <v>13</v>
      </c>
      <c r="B41" s="367">
        <f t="shared" si="11"/>
        <v>6668000</v>
      </c>
      <c r="C41" s="367">
        <f t="shared" si="12"/>
        <v>7880000</v>
      </c>
      <c r="D41" s="367">
        <f t="shared" si="13"/>
        <v>7425000</v>
      </c>
      <c r="E41" s="155">
        <f t="shared" si="14"/>
        <v>20293000</v>
      </c>
      <c r="H41" s="228"/>
      <c r="I41" s="11"/>
      <c r="J41" s="11"/>
      <c r="K41" s="11"/>
      <c r="L41" s="11"/>
      <c r="M41" s="11"/>
      <c r="N41" s="11"/>
      <c r="O41" s="40"/>
      <c r="P41" s="229" t="str">
        <f t="shared" si="7"/>
        <v/>
      </c>
      <c r="Q41" s="229" t="str">
        <f t="shared" si="8"/>
        <v/>
      </c>
      <c r="R41" s="229" t="str">
        <f t="shared" si="9"/>
        <v/>
      </c>
      <c r="S41" s="230" t="str">
        <f>IF($H41="","",HLOOKUP(S$2,'Unit information'!$B$3:$K$29,$L41+2,FALSE))</f>
        <v/>
      </c>
      <c r="T41" s="231" t="str">
        <f>IF($H41="","",HLOOKUP(T$2,'Unit information'!$B$3:$K$29,$L41+2,FALSE))</f>
        <v/>
      </c>
      <c r="U41" s="231" t="str">
        <f>IF($H41="","",HLOOKUP(U$2,'Unit information'!$B$3:$K$29,$L41+2,FALSE))</f>
        <v/>
      </c>
      <c r="V41" s="231" t="str">
        <f>IF($H41="","",HLOOKUP(V$2,'Unit information'!$B$3:$K$29,$M41+2,FALSE))</f>
        <v/>
      </c>
      <c r="W41" s="231" t="str">
        <f>IF($H41="","",HLOOKUP(W$2,'Unit information'!$B$3:$K$29,$M41+2,FALSE))</f>
        <v/>
      </c>
      <c r="X41" s="231" t="str">
        <f>IF($H41="","",HLOOKUP(X$2,'Unit information'!$B$3:$K$29,$N41+2,FALSE))</f>
        <v/>
      </c>
      <c r="Y41" s="232" t="str">
        <f t="shared" ref="Y41:Z104" si="15">IF($H41="","",IF($O41=$AI$1,"0%","50"%))</f>
        <v/>
      </c>
      <c r="Z41" s="232" t="str">
        <f t="shared" si="15"/>
        <v/>
      </c>
      <c r="AA41" s="232" t="str">
        <f t="shared" ref="AA41:AB104" si="16">IF($H41="","",IF($O41=$AI$1,"100%","0"%))</f>
        <v/>
      </c>
      <c r="AB41" s="232" t="str">
        <f t="shared" si="16"/>
        <v/>
      </c>
      <c r="AC41" s="232" t="str">
        <f t="shared" si="6"/>
        <v/>
      </c>
      <c r="AD41" s="232" t="str">
        <f t="shared" si="3"/>
        <v/>
      </c>
      <c r="AE41" s="229" t="str">
        <f>IF($H41="","",($F$1/$S41*$Y41*'Unit information'!$AB$3)+($F$1/$T41*$Z41*'Unit information'!$AB$4)+($F$1/$U41*$AA41*'Unit information'!$AB$5)+($F$1/$V41*$AB41*'Unit information'!$AB$8)+($F$1/$W41*$AC41*'Unit information'!$AB$10)+($F$1/$X41*$AD41*'Unit information'!$AB$11))</f>
        <v/>
      </c>
      <c r="AF41" s="229" t="str">
        <f>IF($H41="","",($F$1/$S41*$Y41*'Unit information'!$AC$3)+($F$1/$T41*$Z41*'Unit information'!$AC$4)+($F$1/$U41*$AA41*'Unit information'!$AC$5)+($F$1/$V41*$AB41*'Unit information'!$AC$8)+($F$1/$W41*$AC41*'Unit information'!$AC$10)+($F$1/$X41*$AD41*'Unit information'!$AC$11))</f>
        <v/>
      </c>
      <c r="AG41" s="229" t="str">
        <f>IF($H41="","",($F$1/$S41*$Y41*'Unit information'!$AD$3)+($F$1/$T41*$Z41*'Unit information'!$AD$4)+($F$1/$U41*$AA41*'Unit information'!$AD$5)+($F$1/$V41*$AB41*'Unit information'!$AD$8)+($F$1/$W41*$AC41*'Unit information'!$AD$10)+($F$1/$X41*$AD41*'Unit information'!$AD$11))</f>
        <v/>
      </c>
    </row>
    <row r="42" spans="1:59" x14ac:dyDescent="0.25">
      <c r="A42">
        <v>14</v>
      </c>
      <c r="B42" s="367">
        <f t="shared" si="11"/>
        <v>7660000</v>
      </c>
      <c r="C42" s="367">
        <f t="shared" si="12"/>
        <v>9050000</v>
      </c>
      <c r="D42" s="367">
        <f t="shared" si="13"/>
        <v>8525000</v>
      </c>
      <c r="E42" s="155">
        <f t="shared" si="14"/>
        <v>23415000</v>
      </c>
      <c r="H42" s="228"/>
      <c r="I42" s="11"/>
      <c r="J42" s="11"/>
      <c r="K42" s="11"/>
      <c r="L42" s="11"/>
      <c r="M42" s="11"/>
      <c r="N42" s="11"/>
      <c r="O42" s="40"/>
      <c r="P42" s="229" t="str">
        <f t="shared" si="7"/>
        <v/>
      </c>
      <c r="Q42" s="229" t="str">
        <f t="shared" si="8"/>
        <v/>
      </c>
      <c r="R42" s="229" t="str">
        <f t="shared" si="9"/>
        <v/>
      </c>
      <c r="S42" s="230" t="str">
        <f>IF($H42="","",HLOOKUP(S$2,'Unit information'!$B$3:$K$29,$L42+2,FALSE))</f>
        <v/>
      </c>
      <c r="T42" s="231" t="str">
        <f>IF($H42="","",HLOOKUP(T$2,'Unit information'!$B$3:$K$29,$L42+2,FALSE))</f>
        <v/>
      </c>
      <c r="U42" s="231" t="str">
        <f>IF($H42="","",HLOOKUP(U$2,'Unit information'!$B$3:$K$29,$L42+2,FALSE))</f>
        <v/>
      </c>
      <c r="V42" s="231" t="str">
        <f>IF($H42="","",HLOOKUP(V$2,'Unit information'!$B$3:$K$29,$M42+2,FALSE))</f>
        <v/>
      </c>
      <c r="W42" s="231" t="str">
        <f>IF($H42="","",HLOOKUP(W$2,'Unit information'!$B$3:$K$29,$M42+2,FALSE))</f>
        <v/>
      </c>
      <c r="X42" s="231" t="str">
        <f>IF($H42="","",HLOOKUP(X$2,'Unit information'!$B$3:$K$29,$N42+2,FALSE))</f>
        <v/>
      </c>
      <c r="Y42" s="232" t="str">
        <f t="shared" si="15"/>
        <v/>
      </c>
      <c r="Z42" s="232" t="str">
        <f t="shared" si="15"/>
        <v/>
      </c>
      <c r="AA42" s="232" t="str">
        <f t="shared" si="16"/>
        <v/>
      </c>
      <c r="AB42" s="232" t="str">
        <f t="shared" si="16"/>
        <v/>
      </c>
      <c r="AC42" s="232" t="str">
        <f t="shared" si="6"/>
        <v/>
      </c>
      <c r="AD42" s="232" t="str">
        <f t="shared" si="3"/>
        <v/>
      </c>
      <c r="AE42" s="229" t="str">
        <f>IF($H42="","",($F$1/$S42*$Y42*'Unit information'!$AB$3)+($F$1/$T42*$Z42*'Unit information'!$AB$4)+($F$1/$U42*$AA42*'Unit information'!$AB$5)+($F$1/$V42*$AB42*'Unit information'!$AB$8)+($F$1/$W42*$AC42*'Unit information'!$AB$10)+($F$1/$X42*$AD42*'Unit information'!$AB$11))</f>
        <v/>
      </c>
      <c r="AF42" s="229" t="str">
        <f>IF($H42="","",($F$1/$S42*$Y42*'Unit information'!$AC$3)+($F$1/$T42*$Z42*'Unit information'!$AC$4)+($F$1/$U42*$AA42*'Unit information'!$AC$5)+($F$1/$V42*$AB42*'Unit information'!$AC$8)+($F$1/$W42*$AC42*'Unit information'!$AC$10)+($F$1/$X42*$AD42*'Unit information'!$AC$11))</f>
        <v/>
      </c>
      <c r="AG42" s="229" t="str">
        <f>IF($H42="","",($F$1/$S42*$Y42*'Unit information'!$AD$3)+($F$1/$T42*$Z42*'Unit information'!$AD$4)+($F$1/$U42*$AA42*'Unit information'!$AD$5)+($F$1/$V42*$AB42*'Unit information'!$AD$8)+($F$1/$W42*$AC42*'Unit information'!$AD$10)+($F$1/$X42*$AD42*'Unit information'!$AD$11))</f>
        <v/>
      </c>
    </row>
    <row r="43" spans="1:59" x14ac:dyDescent="0.25">
      <c r="A43">
        <v>15</v>
      </c>
      <c r="B43" s="367">
        <f t="shared" si="11"/>
        <v>8720000</v>
      </c>
      <c r="C43" s="367">
        <f t="shared" si="12"/>
        <v>10300000</v>
      </c>
      <c r="D43" s="367">
        <f t="shared" si="13"/>
        <v>9700000</v>
      </c>
      <c r="E43" s="155">
        <f t="shared" si="14"/>
        <v>26760000</v>
      </c>
      <c r="H43" s="228"/>
      <c r="I43" s="11"/>
      <c r="J43" s="11"/>
      <c r="K43" s="11"/>
      <c r="L43" s="11"/>
      <c r="M43" s="11"/>
      <c r="N43" s="11"/>
      <c r="O43" s="40"/>
      <c r="P43" s="229" t="str">
        <f t="shared" si="7"/>
        <v/>
      </c>
      <c r="Q43" s="229" t="str">
        <f t="shared" si="8"/>
        <v/>
      </c>
      <c r="R43" s="229" t="str">
        <f t="shared" si="9"/>
        <v/>
      </c>
      <c r="S43" s="230" t="str">
        <f>IF($H43="","",HLOOKUP(S$2,'Unit information'!$B$3:$K$29,$L43+2,FALSE))</f>
        <v/>
      </c>
      <c r="T43" s="231" t="str">
        <f>IF($H43="","",HLOOKUP(T$2,'Unit information'!$B$3:$K$29,$L43+2,FALSE))</f>
        <v/>
      </c>
      <c r="U43" s="231" t="str">
        <f>IF($H43="","",HLOOKUP(U$2,'Unit information'!$B$3:$K$29,$L43+2,FALSE))</f>
        <v/>
      </c>
      <c r="V43" s="231" t="str">
        <f>IF($H43="","",HLOOKUP(V$2,'Unit information'!$B$3:$K$29,$M43+2,FALSE))</f>
        <v/>
      </c>
      <c r="W43" s="231" t="str">
        <f>IF($H43="","",HLOOKUP(W$2,'Unit information'!$B$3:$K$29,$M43+2,FALSE))</f>
        <v/>
      </c>
      <c r="X43" s="231" t="str">
        <f>IF($H43="","",HLOOKUP(X$2,'Unit information'!$B$3:$K$29,$N43+2,FALSE))</f>
        <v/>
      </c>
      <c r="Y43" s="232" t="str">
        <f t="shared" si="15"/>
        <v/>
      </c>
      <c r="Z43" s="232" t="str">
        <f t="shared" si="15"/>
        <v/>
      </c>
      <c r="AA43" s="232" t="str">
        <f t="shared" si="16"/>
        <v/>
      </c>
      <c r="AB43" s="232" t="str">
        <f t="shared" si="16"/>
        <v/>
      </c>
      <c r="AC43" s="232" t="str">
        <f t="shared" si="6"/>
        <v/>
      </c>
      <c r="AD43" s="232" t="str">
        <f t="shared" si="3"/>
        <v/>
      </c>
      <c r="AE43" s="229" t="str">
        <f>IF($H43="","",($F$1/$S43*$Y43*'Unit information'!$AB$3)+($F$1/$T43*$Z43*'Unit information'!$AB$4)+($F$1/$U43*$AA43*'Unit information'!$AB$5)+($F$1/$V43*$AB43*'Unit information'!$AB$8)+($F$1/$W43*$AC43*'Unit information'!$AB$10)+($F$1/$X43*$AD43*'Unit information'!$AB$11))</f>
        <v/>
      </c>
      <c r="AF43" s="229" t="str">
        <f>IF($H43="","",($F$1/$S43*$Y43*'Unit information'!$AC$3)+($F$1/$T43*$Z43*'Unit information'!$AC$4)+($F$1/$U43*$AA43*'Unit information'!$AC$5)+($F$1/$V43*$AB43*'Unit information'!$AC$8)+($F$1/$W43*$AC43*'Unit information'!$AC$10)+($F$1/$X43*$AD43*'Unit information'!$AC$11))</f>
        <v/>
      </c>
      <c r="AG43" s="229" t="str">
        <f>IF($H43="","",($F$1/$S43*$Y43*'Unit information'!$AD$3)+($F$1/$T43*$Z43*'Unit information'!$AD$4)+($F$1/$U43*$AA43*'Unit information'!$AD$5)+($F$1/$V43*$AB43*'Unit information'!$AD$8)+($F$1/$W43*$AC43*'Unit information'!$AD$10)+($F$1/$X43*$AD43*'Unit information'!$AD$11))</f>
        <v/>
      </c>
    </row>
    <row r="44" spans="1:59" x14ac:dyDescent="0.25">
      <c r="A44">
        <v>16</v>
      </c>
      <c r="B44" s="367">
        <f t="shared" si="11"/>
        <v>9848000</v>
      </c>
      <c r="C44" s="367">
        <f t="shared" si="12"/>
        <v>11630000</v>
      </c>
      <c r="D44" s="367">
        <f t="shared" si="13"/>
        <v>10950000</v>
      </c>
      <c r="E44" s="155">
        <f t="shared" si="14"/>
        <v>30328000</v>
      </c>
      <c r="H44" s="228"/>
      <c r="I44" s="11"/>
      <c r="J44" s="11"/>
      <c r="K44" s="11"/>
      <c r="L44" s="11"/>
      <c r="M44" s="11"/>
      <c r="N44" s="11"/>
      <c r="O44" s="40"/>
      <c r="P44" s="229" t="str">
        <f t="shared" si="7"/>
        <v/>
      </c>
      <c r="Q44" s="229" t="str">
        <f t="shared" si="8"/>
        <v/>
      </c>
      <c r="R44" s="229" t="str">
        <f t="shared" si="9"/>
        <v/>
      </c>
      <c r="S44" s="230" t="str">
        <f>IF($H44="","",HLOOKUP(S$2,'Unit information'!$B$3:$K$29,$L44+2,FALSE))</f>
        <v/>
      </c>
      <c r="T44" s="231" t="str">
        <f>IF($H44="","",HLOOKUP(T$2,'Unit information'!$B$3:$K$29,$L44+2,FALSE))</f>
        <v/>
      </c>
      <c r="U44" s="231" t="str">
        <f>IF($H44="","",HLOOKUP(U$2,'Unit information'!$B$3:$K$29,$L44+2,FALSE))</f>
        <v/>
      </c>
      <c r="V44" s="231" t="str">
        <f>IF($H44="","",HLOOKUP(V$2,'Unit information'!$B$3:$K$29,$M44+2,FALSE))</f>
        <v/>
      </c>
      <c r="W44" s="231" t="str">
        <f>IF($H44="","",HLOOKUP(W$2,'Unit information'!$B$3:$K$29,$M44+2,FALSE))</f>
        <v/>
      </c>
      <c r="X44" s="231" t="str">
        <f>IF($H44="","",HLOOKUP(X$2,'Unit information'!$B$3:$K$29,$N44+2,FALSE))</f>
        <v/>
      </c>
      <c r="Y44" s="232" t="str">
        <f t="shared" si="15"/>
        <v/>
      </c>
      <c r="Z44" s="232" t="str">
        <f t="shared" si="15"/>
        <v/>
      </c>
      <c r="AA44" s="232" t="str">
        <f t="shared" si="16"/>
        <v/>
      </c>
      <c r="AB44" s="232" t="str">
        <f t="shared" si="16"/>
        <v/>
      </c>
      <c r="AC44" s="232" t="str">
        <f t="shared" si="6"/>
        <v/>
      </c>
      <c r="AD44" s="232" t="str">
        <f t="shared" si="3"/>
        <v/>
      </c>
      <c r="AE44" s="229" t="str">
        <f>IF($H44="","",($F$1/$S44*$Y44*'Unit information'!$AB$3)+($F$1/$T44*$Z44*'Unit information'!$AB$4)+($F$1/$U44*$AA44*'Unit information'!$AB$5)+($F$1/$V44*$AB44*'Unit information'!$AB$8)+($F$1/$W44*$AC44*'Unit information'!$AB$10)+($F$1/$X44*$AD44*'Unit information'!$AB$11))</f>
        <v/>
      </c>
      <c r="AF44" s="229" t="str">
        <f>IF($H44="","",($F$1/$S44*$Y44*'Unit information'!$AC$3)+($F$1/$T44*$Z44*'Unit information'!$AC$4)+($F$1/$U44*$AA44*'Unit information'!$AC$5)+($F$1/$V44*$AB44*'Unit information'!$AC$8)+($F$1/$W44*$AC44*'Unit information'!$AC$10)+($F$1/$X44*$AD44*'Unit information'!$AC$11))</f>
        <v/>
      </c>
      <c r="AG44" s="229" t="str">
        <f>IF($H44="","",($F$1/$S44*$Y44*'Unit information'!$AD$3)+($F$1/$T44*$Z44*'Unit information'!$AD$4)+($F$1/$U44*$AA44*'Unit information'!$AD$5)+($F$1/$V44*$AB44*'Unit information'!$AD$8)+($F$1/$W44*$AC44*'Unit information'!$AD$10)+($F$1/$X44*$AD44*'Unit information'!$AD$11))</f>
        <v/>
      </c>
    </row>
    <row r="45" spans="1:59" x14ac:dyDescent="0.25">
      <c r="A45">
        <v>17</v>
      </c>
      <c r="B45" s="367">
        <f t="shared" si="11"/>
        <v>11044000</v>
      </c>
      <c r="C45" s="367">
        <f t="shared" si="12"/>
        <v>13040000</v>
      </c>
      <c r="D45" s="367">
        <f t="shared" si="13"/>
        <v>12275000</v>
      </c>
      <c r="E45" s="155">
        <f t="shared" si="14"/>
        <v>34119000</v>
      </c>
      <c r="H45" s="228"/>
      <c r="I45" s="11"/>
      <c r="J45" s="11"/>
      <c r="K45" s="11"/>
      <c r="L45" s="11"/>
      <c r="M45" s="11"/>
      <c r="N45" s="11"/>
      <c r="O45" s="40"/>
      <c r="P45" s="229" t="str">
        <f t="shared" si="7"/>
        <v/>
      </c>
      <c r="Q45" s="229" t="str">
        <f t="shared" si="8"/>
        <v/>
      </c>
      <c r="R45" s="229" t="str">
        <f t="shared" si="9"/>
        <v/>
      </c>
      <c r="S45" s="230" t="str">
        <f>IF($H45="","",HLOOKUP(S$2,'Unit information'!$B$3:$K$29,$L45+2,FALSE))</f>
        <v/>
      </c>
      <c r="T45" s="231" t="str">
        <f>IF($H45="","",HLOOKUP(T$2,'Unit information'!$B$3:$K$29,$L45+2,FALSE))</f>
        <v/>
      </c>
      <c r="U45" s="231" t="str">
        <f>IF($H45="","",HLOOKUP(U$2,'Unit information'!$B$3:$K$29,$L45+2,FALSE))</f>
        <v/>
      </c>
      <c r="V45" s="231" t="str">
        <f>IF($H45="","",HLOOKUP(V$2,'Unit information'!$B$3:$K$29,$M45+2,FALSE))</f>
        <v/>
      </c>
      <c r="W45" s="231" t="str">
        <f>IF($H45="","",HLOOKUP(W$2,'Unit information'!$B$3:$K$29,$M45+2,FALSE))</f>
        <v/>
      </c>
      <c r="X45" s="231" t="str">
        <f>IF($H45="","",HLOOKUP(X$2,'Unit information'!$B$3:$K$29,$N45+2,FALSE))</f>
        <v/>
      </c>
      <c r="Y45" s="232" t="str">
        <f t="shared" si="15"/>
        <v/>
      </c>
      <c r="Z45" s="232" t="str">
        <f t="shared" si="15"/>
        <v/>
      </c>
      <c r="AA45" s="232" t="str">
        <f t="shared" si="16"/>
        <v/>
      </c>
      <c r="AB45" s="232" t="str">
        <f t="shared" si="16"/>
        <v/>
      </c>
      <c r="AC45" s="232" t="str">
        <f t="shared" si="6"/>
        <v/>
      </c>
      <c r="AD45" s="232" t="str">
        <f t="shared" si="3"/>
        <v/>
      </c>
      <c r="AE45" s="229" t="str">
        <f>IF($H45="","",($F$1/$S45*$Y45*'Unit information'!$AB$3)+($F$1/$T45*$Z45*'Unit information'!$AB$4)+($F$1/$U45*$AA45*'Unit information'!$AB$5)+($F$1/$V45*$AB45*'Unit information'!$AB$8)+($F$1/$W45*$AC45*'Unit information'!$AB$10)+($F$1/$X45*$AD45*'Unit information'!$AB$11))</f>
        <v/>
      </c>
      <c r="AF45" s="229" t="str">
        <f>IF($H45="","",($F$1/$S45*$Y45*'Unit information'!$AC$3)+($F$1/$T45*$Z45*'Unit information'!$AC$4)+($F$1/$U45*$AA45*'Unit information'!$AC$5)+($F$1/$V45*$AB45*'Unit information'!$AC$8)+($F$1/$W45*$AC45*'Unit information'!$AC$10)+($F$1/$X45*$AD45*'Unit information'!$AC$11))</f>
        <v/>
      </c>
      <c r="AG45" s="229" t="str">
        <f>IF($H45="","",($F$1/$S45*$Y45*'Unit information'!$AD$3)+($F$1/$T45*$Z45*'Unit information'!$AD$4)+($F$1/$U45*$AA45*'Unit information'!$AD$5)+($F$1/$V45*$AB45*'Unit information'!$AD$8)+($F$1/$W45*$AC45*'Unit information'!$AD$10)+($F$1/$X45*$AD45*'Unit information'!$AD$11))</f>
        <v/>
      </c>
    </row>
    <row r="46" spans="1:59" x14ac:dyDescent="0.25">
      <c r="A46">
        <v>18</v>
      </c>
      <c r="B46" s="367">
        <f t="shared" si="11"/>
        <v>12308000</v>
      </c>
      <c r="C46" s="367">
        <f t="shared" si="12"/>
        <v>14530000</v>
      </c>
      <c r="D46" s="367">
        <f t="shared" si="13"/>
        <v>13675000</v>
      </c>
      <c r="E46" s="155">
        <f t="shared" si="14"/>
        <v>38133000</v>
      </c>
      <c r="H46" s="228"/>
      <c r="I46" s="11"/>
      <c r="J46" s="11"/>
      <c r="K46" s="11"/>
      <c r="L46" s="11"/>
      <c r="M46" s="11"/>
      <c r="N46" s="11"/>
      <c r="O46" s="40"/>
      <c r="P46" s="229" t="str">
        <f t="shared" si="7"/>
        <v/>
      </c>
      <c r="Q46" s="229" t="str">
        <f t="shared" si="8"/>
        <v/>
      </c>
      <c r="R46" s="229" t="str">
        <f t="shared" si="9"/>
        <v/>
      </c>
      <c r="S46" s="230" t="str">
        <f>IF($H46="","",HLOOKUP(S$2,'Unit information'!$B$3:$K$29,$L46+2,FALSE))</f>
        <v/>
      </c>
      <c r="T46" s="231" t="str">
        <f>IF($H46="","",HLOOKUP(T$2,'Unit information'!$B$3:$K$29,$L46+2,FALSE))</f>
        <v/>
      </c>
      <c r="U46" s="231" t="str">
        <f>IF($H46="","",HLOOKUP(U$2,'Unit information'!$B$3:$K$29,$L46+2,FALSE))</f>
        <v/>
      </c>
      <c r="V46" s="231" t="str">
        <f>IF($H46="","",HLOOKUP(V$2,'Unit information'!$B$3:$K$29,$M46+2,FALSE))</f>
        <v/>
      </c>
      <c r="W46" s="231" t="str">
        <f>IF($H46="","",HLOOKUP(W$2,'Unit information'!$B$3:$K$29,$M46+2,FALSE))</f>
        <v/>
      </c>
      <c r="X46" s="231" t="str">
        <f>IF($H46="","",HLOOKUP(X$2,'Unit information'!$B$3:$K$29,$N46+2,FALSE))</f>
        <v/>
      </c>
      <c r="Y46" s="232" t="str">
        <f t="shared" si="15"/>
        <v/>
      </c>
      <c r="Z46" s="232" t="str">
        <f t="shared" si="15"/>
        <v/>
      </c>
      <c r="AA46" s="232" t="str">
        <f t="shared" si="16"/>
        <v/>
      </c>
      <c r="AB46" s="232" t="str">
        <f t="shared" si="16"/>
        <v/>
      </c>
      <c r="AC46" s="232" t="str">
        <f t="shared" si="6"/>
        <v/>
      </c>
      <c r="AD46" s="232" t="str">
        <f t="shared" si="3"/>
        <v/>
      </c>
      <c r="AE46" s="229" t="str">
        <f>IF($H46="","",($F$1/$S46*$Y46*'Unit information'!$AB$3)+($F$1/$T46*$Z46*'Unit information'!$AB$4)+($F$1/$U46*$AA46*'Unit information'!$AB$5)+($F$1/$V46*$AB46*'Unit information'!$AB$8)+($F$1/$W46*$AC46*'Unit information'!$AB$10)+($F$1/$X46*$AD46*'Unit information'!$AB$11))</f>
        <v/>
      </c>
      <c r="AF46" s="229" t="str">
        <f>IF($H46="","",($F$1/$S46*$Y46*'Unit information'!$AC$3)+($F$1/$T46*$Z46*'Unit information'!$AC$4)+($F$1/$U46*$AA46*'Unit information'!$AC$5)+($F$1/$V46*$AB46*'Unit information'!$AC$8)+($F$1/$W46*$AC46*'Unit information'!$AC$10)+($F$1/$X46*$AD46*'Unit information'!$AC$11))</f>
        <v/>
      </c>
      <c r="AG46" s="229" t="str">
        <f>IF($H46="","",($F$1/$S46*$Y46*'Unit information'!$AD$3)+($F$1/$T46*$Z46*'Unit information'!$AD$4)+($F$1/$U46*$AA46*'Unit information'!$AD$5)+($F$1/$V46*$AB46*'Unit information'!$AD$8)+($F$1/$W46*$AC46*'Unit information'!$AD$10)+($F$1/$X46*$AD46*'Unit information'!$AD$11))</f>
        <v/>
      </c>
    </row>
    <row r="47" spans="1:59" x14ac:dyDescent="0.25">
      <c r="A47">
        <v>19</v>
      </c>
      <c r="B47" s="367">
        <f t="shared" si="11"/>
        <v>13640000</v>
      </c>
      <c r="C47" s="367">
        <f t="shared" si="12"/>
        <v>16100000</v>
      </c>
      <c r="D47" s="367">
        <f t="shared" si="13"/>
        <v>15150000</v>
      </c>
      <c r="E47" s="155">
        <f t="shared" si="14"/>
        <v>42370000</v>
      </c>
      <c r="H47" s="228"/>
      <c r="I47" s="11"/>
      <c r="J47" s="11"/>
      <c r="K47" s="11"/>
      <c r="L47" s="11"/>
      <c r="M47" s="11"/>
      <c r="N47" s="11"/>
      <c r="O47" s="40"/>
      <c r="P47" s="229" t="str">
        <f t="shared" si="7"/>
        <v/>
      </c>
      <c r="Q47" s="229" t="str">
        <f t="shared" si="8"/>
        <v/>
      </c>
      <c r="R47" s="229" t="str">
        <f t="shared" si="9"/>
        <v/>
      </c>
      <c r="S47" s="230" t="str">
        <f>IF($H47="","",HLOOKUP(S$2,'Unit information'!$B$3:$K$29,$L47+2,FALSE))</f>
        <v/>
      </c>
      <c r="T47" s="231" t="str">
        <f>IF($H47="","",HLOOKUP(T$2,'Unit information'!$B$3:$K$29,$L47+2,FALSE))</f>
        <v/>
      </c>
      <c r="U47" s="231" t="str">
        <f>IF($H47="","",HLOOKUP(U$2,'Unit information'!$B$3:$K$29,$L47+2,FALSE))</f>
        <v/>
      </c>
      <c r="V47" s="231" t="str">
        <f>IF($H47="","",HLOOKUP(V$2,'Unit information'!$B$3:$K$29,$M47+2,FALSE))</f>
        <v/>
      </c>
      <c r="W47" s="231" t="str">
        <f>IF($H47="","",HLOOKUP(W$2,'Unit information'!$B$3:$K$29,$M47+2,FALSE))</f>
        <v/>
      </c>
      <c r="X47" s="231" t="str">
        <f>IF($H47="","",HLOOKUP(X$2,'Unit information'!$B$3:$K$29,$N47+2,FALSE))</f>
        <v/>
      </c>
      <c r="Y47" s="232" t="str">
        <f t="shared" si="15"/>
        <v/>
      </c>
      <c r="Z47" s="232" t="str">
        <f t="shared" si="15"/>
        <v/>
      </c>
      <c r="AA47" s="232" t="str">
        <f t="shared" si="16"/>
        <v/>
      </c>
      <c r="AB47" s="232" t="str">
        <f t="shared" si="16"/>
        <v/>
      </c>
      <c r="AC47" s="232" t="str">
        <f t="shared" si="6"/>
        <v/>
      </c>
      <c r="AD47" s="232" t="str">
        <f t="shared" si="3"/>
        <v/>
      </c>
      <c r="AE47" s="229" t="str">
        <f>IF($H47="","",($F$1/$S47*$Y47*'Unit information'!$AB$3)+($F$1/$T47*$Z47*'Unit information'!$AB$4)+($F$1/$U47*$AA47*'Unit information'!$AB$5)+($F$1/$V47*$AB47*'Unit information'!$AB$8)+($F$1/$W47*$AC47*'Unit information'!$AB$10)+($F$1/$X47*$AD47*'Unit information'!$AB$11))</f>
        <v/>
      </c>
      <c r="AF47" s="229" t="str">
        <f>IF($H47="","",($F$1/$S47*$Y47*'Unit information'!$AC$3)+($F$1/$T47*$Z47*'Unit information'!$AC$4)+($F$1/$U47*$AA47*'Unit information'!$AC$5)+($F$1/$V47*$AB47*'Unit information'!$AC$8)+($F$1/$W47*$AC47*'Unit information'!$AC$10)+($F$1/$X47*$AD47*'Unit information'!$AC$11))</f>
        <v/>
      </c>
      <c r="AG47" s="229" t="str">
        <f>IF($H47="","",($F$1/$S47*$Y47*'Unit information'!$AD$3)+($F$1/$T47*$Z47*'Unit information'!$AD$4)+($F$1/$U47*$AA47*'Unit information'!$AD$5)+($F$1/$V47*$AB47*'Unit information'!$AD$8)+($F$1/$W47*$AC47*'Unit information'!$AD$10)+($F$1/$X47*$AD47*'Unit information'!$AD$11))</f>
        <v/>
      </c>
    </row>
    <row r="48" spans="1:59" x14ac:dyDescent="0.25">
      <c r="A48">
        <v>20</v>
      </c>
      <c r="B48" s="367">
        <f t="shared" si="11"/>
        <v>15040000</v>
      </c>
      <c r="C48" s="367">
        <f t="shared" si="12"/>
        <v>17750000</v>
      </c>
      <c r="D48" s="367">
        <f t="shared" si="13"/>
        <v>16700000</v>
      </c>
      <c r="E48" s="155">
        <f t="shared" si="14"/>
        <v>46830000</v>
      </c>
      <c r="H48" s="228"/>
      <c r="I48" s="11"/>
      <c r="J48" s="11"/>
      <c r="K48" s="11"/>
      <c r="L48" s="11"/>
      <c r="M48" s="11"/>
      <c r="N48" s="11"/>
      <c r="O48" s="40"/>
      <c r="P48" s="229" t="str">
        <f t="shared" si="7"/>
        <v/>
      </c>
      <c r="Q48" s="229" t="str">
        <f t="shared" si="8"/>
        <v/>
      </c>
      <c r="R48" s="229" t="str">
        <f t="shared" si="9"/>
        <v/>
      </c>
      <c r="S48" s="230" t="str">
        <f>IF($H48="","",HLOOKUP(S$2,'Unit information'!$B$3:$K$29,$L48+2,FALSE))</f>
        <v/>
      </c>
      <c r="T48" s="231" t="str">
        <f>IF($H48="","",HLOOKUP(T$2,'Unit information'!$B$3:$K$29,$L48+2,FALSE))</f>
        <v/>
      </c>
      <c r="U48" s="231" t="str">
        <f>IF($H48="","",HLOOKUP(U$2,'Unit information'!$B$3:$K$29,$L48+2,FALSE))</f>
        <v/>
      </c>
      <c r="V48" s="231" t="str">
        <f>IF($H48="","",HLOOKUP(V$2,'Unit information'!$B$3:$K$29,$M48+2,FALSE))</f>
        <v/>
      </c>
      <c r="W48" s="231" t="str">
        <f>IF($H48="","",HLOOKUP(W$2,'Unit information'!$B$3:$K$29,$M48+2,FALSE))</f>
        <v/>
      </c>
      <c r="X48" s="231" t="str">
        <f>IF($H48="","",HLOOKUP(X$2,'Unit information'!$B$3:$K$29,$N48+2,FALSE))</f>
        <v/>
      </c>
      <c r="Y48" s="232" t="str">
        <f t="shared" si="15"/>
        <v/>
      </c>
      <c r="Z48" s="232" t="str">
        <f t="shared" si="15"/>
        <v/>
      </c>
      <c r="AA48" s="232" t="str">
        <f t="shared" si="16"/>
        <v/>
      </c>
      <c r="AB48" s="232" t="str">
        <f t="shared" si="16"/>
        <v/>
      </c>
      <c r="AC48" s="232" t="str">
        <f t="shared" si="6"/>
        <v/>
      </c>
      <c r="AD48" s="232" t="str">
        <f t="shared" si="3"/>
        <v/>
      </c>
      <c r="AE48" s="229" t="str">
        <f>IF($H48="","",($F$1/$S48*$Y48*'Unit information'!$AB$3)+($F$1/$T48*$Z48*'Unit information'!$AB$4)+($F$1/$U48*$AA48*'Unit information'!$AB$5)+($F$1/$V48*$AB48*'Unit information'!$AB$8)+($F$1/$W48*$AC48*'Unit information'!$AB$10)+($F$1/$X48*$AD48*'Unit information'!$AB$11))</f>
        <v/>
      </c>
      <c r="AF48" s="229" t="str">
        <f>IF($H48="","",($F$1/$S48*$Y48*'Unit information'!$AC$3)+($F$1/$T48*$Z48*'Unit information'!$AC$4)+($F$1/$U48*$AA48*'Unit information'!$AC$5)+($F$1/$V48*$AB48*'Unit information'!$AC$8)+($F$1/$W48*$AC48*'Unit information'!$AC$10)+($F$1/$X48*$AD48*'Unit information'!$AC$11))</f>
        <v/>
      </c>
      <c r="AG48" s="229" t="str">
        <f>IF($H48="","",($F$1/$S48*$Y48*'Unit information'!$AD$3)+($F$1/$T48*$Z48*'Unit information'!$AD$4)+($F$1/$U48*$AA48*'Unit information'!$AD$5)+($F$1/$V48*$AB48*'Unit information'!$AD$8)+($F$1/$W48*$AC48*'Unit information'!$AD$10)+($F$1/$X48*$AD48*'Unit information'!$AD$11))</f>
        <v/>
      </c>
    </row>
    <row r="49" spans="1:33" x14ac:dyDescent="0.25">
      <c r="A49">
        <v>21</v>
      </c>
      <c r="B49" s="367">
        <f t="shared" si="11"/>
        <v>16508000</v>
      </c>
      <c r="C49" s="367">
        <f t="shared" si="12"/>
        <v>19480000</v>
      </c>
      <c r="D49" s="367">
        <f t="shared" si="13"/>
        <v>18325000</v>
      </c>
      <c r="E49" s="155">
        <f t="shared" si="14"/>
        <v>51513000</v>
      </c>
      <c r="H49" s="228"/>
      <c r="I49" s="11"/>
      <c r="J49" s="11"/>
      <c r="K49" s="11"/>
      <c r="L49" s="11"/>
      <c r="M49" s="11"/>
      <c r="N49" s="11"/>
      <c r="O49" s="40"/>
      <c r="P49" s="229" t="str">
        <f t="shared" si="7"/>
        <v/>
      </c>
      <c r="Q49" s="229" t="str">
        <f t="shared" si="8"/>
        <v/>
      </c>
      <c r="R49" s="229" t="str">
        <f t="shared" si="9"/>
        <v/>
      </c>
      <c r="S49" s="230" t="str">
        <f>IF($H49="","",HLOOKUP(S$2,'Unit information'!$B$3:$K$29,$L49+2,FALSE))</f>
        <v/>
      </c>
      <c r="T49" s="231" t="str">
        <f>IF($H49="","",HLOOKUP(T$2,'Unit information'!$B$3:$K$29,$L49+2,FALSE))</f>
        <v/>
      </c>
      <c r="U49" s="231" t="str">
        <f>IF($H49="","",HLOOKUP(U$2,'Unit information'!$B$3:$K$29,$L49+2,FALSE))</f>
        <v/>
      </c>
      <c r="V49" s="231" t="str">
        <f>IF($H49="","",HLOOKUP(V$2,'Unit information'!$B$3:$K$29,$M49+2,FALSE))</f>
        <v/>
      </c>
      <c r="W49" s="231" t="str">
        <f>IF($H49="","",HLOOKUP(W$2,'Unit information'!$B$3:$K$29,$M49+2,FALSE))</f>
        <v/>
      </c>
      <c r="X49" s="231" t="str">
        <f>IF($H49="","",HLOOKUP(X$2,'Unit information'!$B$3:$K$29,$N49+2,FALSE))</f>
        <v/>
      </c>
      <c r="Y49" s="232" t="str">
        <f t="shared" si="15"/>
        <v/>
      </c>
      <c r="Z49" s="232" t="str">
        <f t="shared" si="15"/>
        <v/>
      </c>
      <c r="AA49" s="232" t="str">
        <f t="shared" si="16"/>
        <v/>
      </c>
      <c r="AB49" s="232" t="str">
        <f t="shared" si="16"/>
        <v/>
      </c>
      <c r="AC49" s="232" t="str">
        <f t="shared" si="6"/>
        <v/>
      </c>
      <c r="AD49" s="232" t="str">
        <f t="shared" si="3"/>
        <v/>
      </c>
      <c r="AE49" s="229" t="str">
        <f>IF($H49="","",($F$1/$S49*$Y49*'Unit information'!$AB$3)+($F$1/$T49*$Z49*'Unit information'!$AB$4)+($F$1/$U49*$AA49*'Unit information'!$AB$5)+($F$1/$V49*$AB49*'Unit information'!$AB$8)+($F$1/$W49*$AC49*'Unit information'!$AB$10)+($F$1/$X49*$AD49*'Unit information'!$AB$11))</f>
        <v/>
      </c>
      <c r="AF49" s="229" t="str">
        <f>IF($H49="","",($F$1/$S49*$Y49*'Unit information'!$AC$3)+($F$1/$T49*$Z49*'Unit information'!$AC$4)+($F$1/$U49*$AA49*'Unit information'!$AC$5)+($F$1/$V49*$AB49*'Unit information'!$AC$8)+($F$1/$W49*$AC49*'Unit information'!$AC$10)+($F$1/$X49*$AD49*'Unit information'!$AC$11))</f>
        <v/>
      </c>
      <c r="AG49" s="229" t="str">
        <f>IF($H49="","",($F$1/$S49*$Y49*'Unit information'!$AD$3)+($F$1/$T49*$Z49*'Unit information'!$AD$4)+($F$1/$U49*$AA49*'Unit information'!$AD$5)+($F$1/$V49*$AB49*'Unit information'!$AD$8)+($F$1/$W49*$AC49*'Unit information'!$AD$10)+($F$1/$X49*$AD49*'Unit information'!$AD$11))</f>
        <v/>
      </c>
    </row>
    <row r="50" spans="1:33" x14ac:dyDescent="0.25">
      <c r="A50">
        <v>22</v>
      </c>
      <c r="B50" s="367">
        <f t="shared" si="11"/>
        <v>18044000</v>
      </c>
      <c r="C50" s="367">
        <f t="shared" si="12"/>
        <v>21290000</v>
      </c>
      <c r="D50" s="367">
        <f t="shared" si="13"/>
        <v>20025000</v>
      </c>
      <c r="E50" s="155">
        <f t="shared" si="14"/>
        <v>56419000</v>
      </c>
      <c r="H50" s="228"/>
      <c r="I50" s="11"/>
      <c r="J50" s="11"/>
      <c r="K50" s="11"/>
      <c r="L50" s="11"/>
      <c r="M50" s="11"/>
      <c r="N50" s="11"/>
      <c r="O50" s="40"/>
      <c r="P50" s="229" t="str">
        <f t="shared" si="7"/>
        <v/>
      </c>
      <c r="Q50" s="229" t="str">
        <f t="shared" si="8"/>
        <v/>
      </c>
      <c r="R50" s="229" t="str">
        <f t="shared" si="9"/>
        <v/>
      </c>
      <c r="S50" s="230" t="str">
        <f>IF($H50="","",HLOOKUP(S$2,'Unit information'!$B$3:$K$29,$L50+2,FALSE))</f>
        <v/>
      </c>
      <c r="T50" s="231" t="str">
        <f>IF($H50="","",HLOOKUP(T$2,'Unit information'!$B$3:$K$29,$L50+2,FALSE))</f>
        <v/>
      </c>
      <c r="U50" s="231" t="str">
        <f>IF($H50="","",HLOOKUP(U$2,'Unit information'!$B$3:$K$29,$L50+2,FALSE))</f>
        <v/>
      </c>
      <c r="V50" s="231" t="str">
        <f>IF($H50="","",HLOOKUP(V$2,'Unit information'!$B$3:$K$29,$M50+2,FALSE))</f>
        <v/>
      </c>
      <c r="W50" s="231" t="str">
        <f>IF($H50="","",HLOOKUP(W$2,'Unit information'!$B$3:$K$29,$M50+2,FALSE))</f>
        <v/>
      </c>
      <c r="X50" s="231" t="str">
        <f>IF($H50="","",HLOOKUP(X$2,'Unit information'!$B$3:$K$29,$N50+2,FALSE))</f>
        <v/>
      </c>
      <c r="Y50" s="232" t="str">
        <f t="shared" si="15"/>
        <v/>
      </c>
      <c r="Z50" s="232" t="str">
        <f t="shared" si="15"/>
        <v/>
      </c>
      <c r="AA50" s="232" t="str">
        <f t="shared" si="16"/>
        <v/>
      </c>
      <c r="AB50" s="232" t="str">
        <f t="shared" si="16"/>
        <v/>
      </c>
      <c r="AC50" s="232" t="str">
        <f t="shared" si="6"/>
        <v/>
      </c>
      <c r="AD50" s="232" t="str">
        <f t="shared" si="3"/>
        <v/>
      </c>
      <c r="AE50" s="229" t="str">
        <f>IF($H50="","",($F$1/$S50*$Y50*'Unit information'!$AB$3)+($F$1/$T50*$Z50*'Unit information'!$AB$4)+($F$1/$U50*$AA50*'Unit information'!$AB$5)+($F$1/$V50*$AB50*'Unit information'!$AB$8)+($F$1/$W50*$AC50*'Unit information'!$AB$10)+($F$1/$X50*$AD50*'Unit information'!$AB$11))</f>
        <v/>
      </c>
      <c r="AF50" s="229" t="str">
        <f>IF($H50="","",($F$1/$S50*$Y50*'Unit information'!$AC$3)+($F$1/$T50*$Z50*'Unit information'!$AC$4)+($F$1/$U50*$AA50*'Unit information'!$AC$5)+($F$1/$V50*$AB50*'Unit information'!$AC$8)+($F$1/$W50*$AC50*'Unit information'!$AC$10)+($F$1/$X50*$AD50*'Unit information'!$AC$11))</f>
        <v/>
      </c>
      <c r="AG50" s="229" t="str">
        <f>IF($H50="","",($F$1/$S50*$Y50*'Unit information'!$AD$3)+($F$1/$T50*$Z50*'Unit information'!$AD$4)+($F$1/$U50*$AA50*'Unit information'!$AD$5)+($F$1/$V50*$AB50*'Unit information'!$AD$8)+($F$1/$W50*$AC50*'Unit information'!$AD$10)+($F$1/$X50*$AD50*'Unit information'!$AD$11))</f>
        <v/>
      </c>
    </row>
    <row r="51" spans="1:33" x14ac:dyDescent="0.25">
      <c r="A51">
        <v>23</v>
      </c>
      <c r="B51" s="367">
        <f t="shared" si="11"/>
        <v>19648000</v>
      </c>
      <c r="C51" s="367">
        <f t="shared" si="12"/>
        <v>23180000</v>
      </c>
      <c r="D51" s="367">
        <f t="shared" si="13"/>
        <v>21800000</v>
      </c>
      <c r="E51" s="155">
        <f t="shared" si="14"/>
        <v>61548000</v>
      </c>
      <c r="H51" s="228"/>
      <c r="I51" s="11"/>
      <c r="J51" s="11"/>
      <c r="K51" s="11"/>
      <c r="L51" s="11"/>
      <c r="M51" s="11"/>
      <c r="N51" s="11"/>
      <c r="O51" s="40"/>
      <c r="P51" s="229" t="str">
        <f t="shared" si="7"/>
        <v/>
      </c>
      <c r="Q51" s="229" t="str">
        <f t="shared" si="8"/>
        <v/>
      </c>
      <c r="R51" s="229" t="str">
        <f t="shared" si="9"/>
        <v/>
      </c>
      <c r="S51" s="230" t="str">
        <f>IF($H51="","",HLOOKUP(S$2,'Unit information'!$B$3:$K$29,$L51+2,FALSE))</f>
        <v/>
      </c>
      <c r="T51" s="231" t="str">
        <f>IF($H51="","",HLOOKUP(T$2,'Unit information'!$B$3:$K$29,$L51+2,FALSE))</f>
        <v/>
      </c>
      <c r="U51" s="231" t="str">
        <f>IF($H51="","",HLOOKUP(U$2,'Unit information'!$B$3:$K$29,$L51+2,FALSE))</f>
        <v/>
      </c>
      <c r="V51" s="231" t="str">
        <f>IF($H51="","",HLOOKUP(V$2,'Unit information'!$B$3:$K$29,$M51+2,FALSE))</f>
        <v/>
      </c>
      <c r="W51" s="231" t="str">
        <f>IF($H51="","",HLOOKUP(W$2,'Unit information'!$B$3:$K$29,$M51+2,FALSE))</f>
        <v/>
      </c>
      <c r="X51" s="231" t="str">
        <f>IF($H51="","",HLOOKUP(X$2,'Unit information'!$B$3:$K$29,$N51+2,FALSE))</f>
        <v/>
      </c>
      <c r="Y51" s="232" t="str">
        <f t="shared" si="15"/>
        <v/>
      </c>
      <c r="Z51" s="232" t="str">
        <f t="shared" si="15"/>
        <v/>
      </c>
      <c r="AA51" s="232" t="str">
        <f t="shared" si="16"/>
        <v/>
      </c>
      <c r="AB51" s="232" t="str">
        <f t="shared" si="16"/>
        <v/>
      </c>
      <c r="AC51" s="232" t="str">
        <f t="shared" si="6"/>
        <v/>
      </c>
      <c r="AD51" s="232" t="str">
        <f t="shared" si="3"/>
        <v/>
      </c>
      <c r="AE51" s="229" t="str">
        <f>IF($H51="","",($F$1/$S51*$Y51*'Unit information'!$AB$3)+($F$1/$T51*$Z51*'Unit information'!$AB$4)+($F$1/$U51*$AA51*'Unit information'!$AB$5)+($F$1/$V51*$AB51*'Unit information'!$AB$8)+($F$1/$W51*$AC51*'Unit information'!$AB$10)+($F$1/$X51*$AD51*'Unit information'!$AB$11))</f>
        <v/>
      </c>
      <c r="AF51" s="229" t="str">
        <f>IF($H51="","",($F$1/$S51*$Y51*'Unit information'!$AC$3)+($F$1/$T51*$Z51*'Unit information'!$AC$4)+($F$1/$U51*$AA51*'Unit information'!$AC$5)+($F$1/$V51*$AB51*'Unit information'!$AC$8)+($F$1/$W51*$AC51*'Unit information'!$AC$10)+($F$1/$X51*$AD51*'Unit information'!$AC$11))</f>
        <v/>
      </c>
      <c r="AG51" s="229" t="str">
        <f>IF($H51="","",($F$1/$S51*$Y51*'Unit information'!$AD$3)+($F$1/$T51*$Z51*'Unit information'!$AD$4)+($F$1/$U51*$AA51*'Unit information'!$AD$5)+($F$1/$V51*$AB51*'Unit information'!$AD$8)+($F$1/$W51*$AC51*'Unit information'!$AD$10)+($F$1/$X51*$AD51*'Unit information'!$AD$11))</f>
        <v/>
      </c>
    </row>
    <row r="52" spans="1:33" x14ac:dyDescent="0.25">
      <c r="A52">
        <v>24</v>
      </c>
      <c r="B52" s="367">
        <f t="shared" si="11"/>
        <v>21320000</v>
      </c>
      <c r="C52" s="367">
        <f t="shared" si="12"/>
        <v>25150000</v>
      </c>
      <c r="D52" s="367">
        <f t="shared" si="13"/>
        <v>23650000</v>
      </c>
      <c r="E52" s="155">
        <f t="shared" si="14"/>
        <v>66900000</v>
      </c>
      <c r="H52" s="228"/>
      <c r="I52" s="11"/>
      <c r="J52" s="11"/>
      <c r="K52" s="11"/>
      <c r="L52" s="11"/>
      <c r="M52" s="11"/>
      <c r="N52" s="11"/>
      <c r="O52" s="40"/>
      <c r="P52" s="229" t="str">
        <f t="shared" si="7"/>
        <v/>
      </c>
      <c r="Q52" s="229" t="str">
        <f t="shared" si="8"/>
        <v/>
      </c>
      <c r="R52" s="229" t="str">
        <f t="shared" si="9"/>
        <v/>
      </c>
      <c r="S52" s="230" t="str">
        <f>IF($H52="","",HLOOKUP(S$2,'Unit information'!$B$3:$K$29,$L52+2,FALSE))</f>
        <v/>
      </c>
      <c r="T52" s="231" t="str">
        <f>IF($H52="","",HLOOKUP(T$2,'Unit information'!$B$3:$K$29,$L52+2,FALSE))</f>
        <v/>
      </c>
      <c r="U52" s="231" t="str">
        <f>IF($H52="","",HLOOKUP(U$2,'Unit information'!$B$3:$K$29,$L52+2,FALSE))</f>
        <v/>
      </c>
      <c r="V52" s="231" t="str">
        <f>IF($H52="","",HLOOKUP(V$2,'Unit information'!$B$3:$K$29,$M52+2,FALSE))</f>
        <v/>
      </c>
      <c r="W52" s="231" t="str">
        <f>IF($H52="","",HLOOKUP(W$2,'Unit information'!$B$3:$K$29,$M52+2,FALSE))</f>
        <v/>
      </c>
      <c r="X52" s="231" t="str">
        <f>IF($H52="","",HLOOKUP(X$2,'Unit information'!$B$3:$K$29,$N52+2,FALSE))</f>
        <v/>
      </c>
      <c r="Y52" s="232" t="str">
        <f t="shared" si="15"/>
        <v/>
      </c>
      <c r="Z52" s="232" t="str">
        <f t="shared" si="15"/>
        <v/>
      </c>
      <c r="AA52" s="232" t="str">
        <f t="shared" si="16"/>
        <v/>
      </c>
      <c r="AB52" s="232" t="str">
        <f t="shared" si="16"/>
        <v/>
      </c>
      <c r="AC52" s="232" t="str">
        <f t="shared" si="6"/>
        <v/>
      </c>
      <c r="AD52" s="232" t="str">
        <f t="shared" si="3"/>
        <v/>
      </c>
      <c r="AE52" s="229" t="str">
        <f>IF($H52="","",($F$1/$S52*$Y52*'Unit information'!$AB$3)+($F$1/$T52*$Z52*'Unit information'!$AB$4)+($F$1/$U52*$AA52*'Unit information'!$AB$5)+($F$1/$V52*$AB52*'Unit information'!$AB$8)+($F$1/$W52*$AC52*'Unit information'!$AB$10)+($F$1/$X52*$AD52*'Unit information'!$AB$11))</f>
        <v/>
      </c>
      <c r="AF52" s="229" t="str">
        <f>IF($H52="","",($F$1/$S52*$Y52*'Unit information'!$AC$3)+($F$1/$T52*$Z52*'Unit information'!$AC$4)+($F$1/$U52*$AA52*'Unit information'!$AC$5)+($F$1/$V52*$AB52*'Unit information'!$AC$8)+($F$1/$W52*$AC52*'Unit information'!$AC$10)+($F$1/$X52*$AD52*'Unit information'!$AC$11))</f>
        <v/>
      </c>
      <c r="AG52" s="229" t="str">
        <f>IF($H52="","",($F$1/$S52*$Y52*'Unit information'!$AD$3)+($F$1/$T52*$Z52*'Unit information'!$AD$4)+($F$1/$U52*$AA52*'Unit information'!$AD$5)+($F$1/$V52*$AB52*'Unit information'!$AD$8)+($F$1/$W52*$AC52*'Unit information'!$AD$10)+($F$1/$X52*$AD52*'Unit information'!$AD$11))</f>
        <v/>
      </c>
    </row>
    <row r="53" spans="1:33" x14ac:dyDescent="0.25">
      <c r="A53">
        <v>25</v>
      </c>
      <c r="B53" s="367">
        <f t="shared" si="11"/>
        <v>23060000</v>
      </c>
      <c r="C53" s="367">
        <f t="shared" si="12"/>
        <v>27200000</v>
      </c>
      <c r="D53" s="367">
        <f t="shared" si="13"/>
        <v>25575000</v>
      </c>
      <c r="E53" s="155">
        <f t="shared" si="14"/>
        <v>72475000</v>
      </c>
      <c r="H53" s="228"/>
      <c r="I53" s="11"/>
      <c r="J53" s="11"/>
      <c r="K53" s="11"/>
      <c r="L53" s="11"/>
      <c r="M53" s="11"/>
      <c r="N53" s="11"/>
      <c r="O53" s="40"/>
      <c r="P53" s="229" t="str">
        <f t="shared" si="7"/>
        <v/>
      </c>
      <c r="Q53" s="229" t="str">
        <f t="shared" si="8"/>
        <v/>
      </c>
      <c r="R53" s="229" t="str">
        <f t="shared" si="9"/>
        <v/>
      </c>
      <c r="S53" s="230" t="str">
        <f>IF($H53="","",HLOOKUP(S$2,'Unit information'!$B$3:$K$29,$L53+2,FALSE))</f>
        <v/>
      </c>
      <c r="T53" s="231" t="str">
        <f>IF($H53="","",HLOOKUP(T$2,'Unit information'!$B$3:$K$29,$L53+2,FALSE))</f>
        <v/>
      </c>
      <c r="U53" s="231" t="str">
        <f>IF($H53="","",HLOOKUP(U$2,'Unit information'!$B$3:$K$29,$L53+2,FALSE))</f>
        <v/>
      </c>
      <c r="V53" s="231" t="str">
        <f>IF($H53="","",HLOOKUP(V$2,'Unit information'!$B$3:$K$29,$M53+2,FALSE))</f>
        <v/>
      </c>
      <c r="W53" s="231" t="str">
        <f>IF($H53="","",HLOOKUP(W$2,'Unit information'!$B$3:$K$29,$M53+2,FALSE))</f>
        <v/>
      </c>
      <c r="X53" s="231" t="str">
        <f>IF($H53="","",HLOOKUP(X$2,'Unit information'!$B$3:$K$29,$N53+2,FALSE))</f>
        <v/>
      </c>
      <c r="Y53" s="232" t="str">
        <f t="shared" si="15"/>
        <v/>
      </c>
      <c r="Z53" s="232" t="str">
        <f t="shared" si="15"/>
        <v/>
      </c>
      <c r="AA53" s="232" t="str">
        <f t="shared" si="16"/>
        <v/>
      </c>
      <c r="AB53" s="232" t="str">
        <f t="shared" si="16"/>
        <v/>
      </c>
      <c r="AC53" s="232" t="str">
        <f t="shared" si="6"/>
        <v/>
      </c>
      <c r="AD53" s="232" t="str">
        <f t="shared" si="3"/>
        <v/>
      </c>
      <c r="AE53" s="229" t="str">
        <f>IF($H53="","",($F$1/$S53*$Y53*'Unit information'!$AB$3)+($F$1/$T53*$Z53*'Unit information'!$AB$4)+($F$1/$U53*$AA53*'Unit information'!$AB$5)+($F$1/$V53*$AB53*'Unit information'!$AB$8)+($F$1/$W53*$AC53*'Unit information'!$AB$10)+($F$1/$X53*$AD53*'Unit information'!$AB$11))</f>
        <v/>
      </c>
      <c r="AF53" s="229" t="str">
        <f>IF($H53="","",($F$1/$S53*$Y53*'Unit information'!$AC$3)+($F$1/$T53*$Z53*'Unit information'!$AC$4)+($F$1/$U53*$AA53*'Unit information'!$AC$5)+($F$1/$V53*$AB53*'Unit information'!$AC$8)+($F$1/$W53*$AC53*'Unit information'!$AC$10)+($F$1/$X53*$AD53*'Unit information'!$AC$11))</f>
        <v/>
      </c>
      <c r="AG53" s="229" t="str">
        <f>IF($H53="","",($F$1/$S53*$Y53*'Unit information'!$AD$3)+($F$1/$T53*$Z53*'Unit information'!$AD$4)+($F$1/$U53*$AA53*'Unit information'!$AD$5)+($F$1/$V53*$AB53*'Unit information'!$AD$8)+($F$1/$W53*$AC53*'Unit information'!$AD$10)+($F$1/$X53*$AD53*'Unit information'!$AD$11))</f>
        <v/>
      </c>
    </row>
    <row r="54" spans="1:33" x14ac:dyDescent="0.25">
      <c r="A54">
        <v>26</v>
      </c>
      <c r="B54" s="367">
        <f t="shared" si="11"/>
        <v>24868000</v>
      </c>
      <c r="C54" s="367">
        <f t="shared" si="12"/>
        <v>29330000</v>
      </c>
      <c r="D54" s="367">
        <f t="shared" si="13"/>
        <v>27575000</v>
      </c>
      <c r="E54" s="155">
        <f t="shared" si="14"/>
        <v>78273000</v>
      </c>
      <c r="H54" s="228"/>
      <c r="I54" s="11"/>
      <c r="J54" s="11"/>
      <c r="K54" s="11"/>
      <c r="L54" s="11"/>
      <c r="M54" s="11"/>
      <c r="N54" s="11"/>
      <c r="O54" s="40"/>
      <c r="P54" s="229" t="str">
        <f t="shared" si="7"/>
        <v/>
      </c>
      <c r="Q54" s="229" t="str">
        <f t="shared" si="8"/>
        <v/>
      </c>
      <c r="R54" s="229" t="str">
        <f t="shared" si="9"/>
        <v/>
      </c>
      <c r="S54" s="230" t="str">
        <f>IF($H54="","",HLOOKUP(S$2,'Unit information'!$B$3:$K$29,$L54+2,FALSE))</f>
        <v/>
      </c>
      <c r="T54" s="231" t="str">
        <f>IF($H54="","",HLOOKUP(T$2,'Unit information'!$B$3:$K$29,$L54+2,FALSE))</f>
        <v/>
      </c>
      <c r="U54" s="231" t="str">
        <f>IF($H54="","",HLOOKUP(U$2,'Unit information'!$B$3:$K$29,$L54+2,FALSE))</f>
        <v/>
      </c>
      <c r="V54" s="231" t="str">
        <f>IF($H54="","",HLOOKUP(V$2,'Unit information'!$B$3:$K$29,$M54+2,FALSE))</f>
        <v/>
      </c>
      <c r="W54" s="231" t="str">
        <f>IF($H54="","",HLOOKUP(W$2,'Unit information'!$B$3:$K$29,$M54+2,FALSE))</f>
        <v/>
      </c>
      <c r="X54" s="231" t="str">
        <f>IF($H54="","",HLOOKUP(X$2,'Unit information'!$B$3:$K$29,$N54+2,FALSE))</f>
        <v/>
      </c>
      <c r="Y54" s="232" t="str">
        <f t="shared" si="15"/>
        <v/>
      </c>
      <c r="Z54" s="232" t="str">
        <f t="shared" si="15"/>
        <v/>
      </c>
      <c r="AA54" s="232" t="str">
        <f t="shared" si="16"/>
        <v/>
      </c>
      <c r="AB54" s="232" t="str">
        <f t="shared" si="16"/>
        <v/>
      </c>
      <c r="AC54" s="232" t="str">
        <f t="shared" si="6"/>
        <v/>
      </c>
      <c r="AD54" s="232" t="str">
        <f t="shared" si="3"/>
        <v/>
      </c>
      <c r="AE54" s="229" t="str">
        <f>IF($H54="","",($F$1/$S54*$Y54*'Unit information'!$AB$3)+($F$1/$T54*$Z54*'Unit information'!$AB$4)+($F$1/$U54*$AA54*'Unit information'!$AB$5)+($F$1/$V54*$AB54*'Unit information'!$AB$8)+($F$1/$W54*$AC54*'Unit information'!$AB$10)+($F$1/$X54*$AD54*'Unit information'!$AB$11))</f>
        <v/>
      </c>
      <c r="AF54" s="229" t="str">
        <f>IF($H54="","",($F$1/$S54*$Y54*'Unit information'!$AC$3)+($F$1/$T54*$Z54*'Unit information'!$AC$4)+($F$1/$U54*$AA54*'Unit information'!$AC$5)+($F$1/$V54*$AB54*'Unit information'!$AC$8)+($F$1/$W54*$AC54*'Unit information'!$AC$10)+($F$1/$X54*$AD54*'Unit information'!$AC$11))</f>
        <v/>
      </c>
      <c r="AG54" s="229" t="str">
        <f>IF($H54="","",($F$1/$S54*$Y54*'Unit information'!$AD$3)+($F$1/$T54*$Z54*'Unit information'!$AD$4)+($F$1/$U54*$AA54*'Unit information'!$AD$5)+($F$1/$V54*$AB54*'Unit information'!$AD$8)+($F$1/$W54*$AC54*'Unit information'!$AD$10)+($F$1/$X54*$AD54*'Unit information'!$AD$11))</f>
        <v/>
      </c>
    </row>
    <row r="55" spans="1:33" x14ac:dyDescent="0.25">
      <c r="A55">
        <v>27</v>
      </c>
      <c r="B55" s="367">
        <f t="shared" si="11"/>
        <v>26744000</v>
      </c>
      <c r="C55" s="367">
        <f t="shared" si="12"/>
        <v>31540000</v>
      </c>
      <c r="D55" s="367">
        <f t="shared" si="13"/>
        <v>29650000</v>
      </c>
      <c r="E55" s="155">
        <f t="shared" si="14"/>
        <v>84294000</v>
      </c>
      <c r="H55" s="228"/>
      <c r="I55" s="11"/>
      <c r="J55" s="11"/>
      <c r="K55" s="11"/>
      <c r="L55" s="11"/>
      <c r="M55" s="11"/>
      <c r="N55" s="11"/>
      <c r="O55" s="40"/>
      <c r="P55" s="229" t="str">
        <f t="shared" si="7"/>
        <v/>
      </c>
      <c r="Q55" s="229" t="str">
        <f t="shared" si="8"/>
        <v/>
      </c>
      <c r="R55" s="229" t="str">
        <f t="shared" si="9"/>
        <v/>
      </c>
      <c r="S55" s="230" t="str">
        <f>IF($H55="","",HLOOKUP(S$2,'Unit information'!$B$3:$K$29,$L55+2,FALSE))</f>
        <v/>
      </c>
      <c r="T55" s="231" t="str">
        <f>IF($H55="","",HLOOKUP(T$2,'Unit information'!$B$3:$K$29,$L55+2,FALSE))</f>
        <v/>
      </c>
      <c r="U55" s="231" t="str">
        <f>IF($H55="","",HLOOKUP(U$2,'Unit information'!$B$3:$K$29,$L55+2,FALSE))</f>
        <v/>
      </c>
      <c r="V55" s="231" t="str">
        <f>IF($H55="","",HLOOKUP(V$2,'Unit information'!$B$3:$K$29,$M55+2,FALSE))</f>
        <v/>
      </c>
      <c r="W55" s="231" t="str">
        <f>IF($H55="","",HLOOKUP(W$2,'Unit information'!$B$3:$K$29,$M55+2,FALSE))</f>
        <v/>
      </c>
      <c r="X55" s="231" t="str">
        <f>IF($H55="","",HLOOKUP(X$2,'Unit information'!$B$3:$K$29,$N55+2,FALSE))</f>
        <v/>
      </c>
      <c r="Y55" s="232" t="str">
        <f t="shared" si="15"/>
        <v/>
      </c>
      <c r="Z55" s="232" t="str">
        <f t="shared" si="15"/>
        <v/>
      </c>
      <c r="AA55" s="232" t="str">
        <f t="shared" si="16"/>
        <v/>
      </c>
      <c r="AB55" s="232" t="str">
        <f t="shared" si="16"/>
        <v/>
      </c>
      <c r="AC55" s="232" t="str">
        <f t="shared" si="6"/>
        <v/>
      </c>
      <c r="AD55" s="232" t="str">
        <f t="shared" si="3"/>
        <v/>
      </c>
      <c r="AE55" s="229" t="str">
        <f>IF($H55="","",($F$1/$S55*$Y55*'Unit information'!$AB$3)+($F$1/$T55*$Z55*'Unit information'!$AB$4)+($F$1/$U55*$AA55*'Unit information'!$AB$5)+($F$1/$V55*$AB55*'Unit information'!$AB$8)+($F$1/$W55*$AC55*'Unit information'!$AB$10)+($F$1/$X55*$AD55*'Unit information'!$AB$11))</f>
        <v/>
      </c>
      <c r="AF55" s="229" t="str">
        <f>IF($H55="","",($F$1/$S55*$Y55*'Unit information'!$AC$3)+($F$1/$T55*$Z55*'Unit information'!$AC$4)+($F$1/$U55*$AA55*'Unit information'!$AC$5)+($F$1/$V55*$AB55*'Unit information'!$AC$8)+($F$1/$W55*$AC55*'Unit information'!$AC$10)+($F$1/$X55*$AD55*'Unit information'!$AC$11))</f>
        <v/>
      </c>
      <c r="AG55" s="229" t="str">
        <f>IF($H55="","",($F$1/$S55*$Y55*'Unit information'!$AD$3)+($F$1/$T55*$Z55*'Unit information'!$AD$4)+($F$1/$U55*$AA55*'Unit information'!$AD$5)+($F$1/$V55*$AB55*'Unit information'!$AD$8)+($F$1/$W55*$AC55*'Unit information'!$AD$10)+($F$1/$X55*$AD55*'Unit information'!$AD$11))</f>
        <v/>
      </c>
    </row>
    <row r="56" spans="1:33" x14ac:dyDescent="0.25">
      <c r="A56">
        <v>28</v>
      </c>
      <c r="B56" s="367">
        <f t="shared" si="11"/>
        <v>28688000</v>
      </c>
      <c r="C56" s="367">
        <f t="shared" si="12"/>
        <v>33830000</v>
      </c>
      <c r="D56" s="367">
        <f t="shared" si="13"/>
        <v>31800000</v>
      </c>
      <c r="E56" s="155">
        <f t="shared" si="14"/>
        <v>90538000</v>
      </c>
      <c r="H56" s="228"/>
      <c r="I56" s="11"/>
      <c r="J56" s="11"/>
      <c r="K56" s="11"/>
      <c r="L56" s="11"/>
      <c r="M56" s="11"/>
      <c r="N56" s="11"/>
      <c r="O56" s="40"/>
      <c r="P56" s="229" t="str">
        <f t="shared" si="7"/>
        <v/>
      </c>
      <c r="Q56" s="229" t="str">
        <f t="shared" si="8"/>
        <v/>
      </c>
      <c r="R56" s="229" t="str">
        <f t="shared" si="9"/>
        <v/>
      </c>
      <c r="S56" s="230" t="str">
        <f>IF($H56="","",HLOOKUP(S$2,'Unit information'!$B$3:$K$29,$L56+2,FALSE))</f>
        <v/>
      </c>
      <c r="T56" s="231" t="str">
        <f>IF($H56="","",HLOOKUP(T$2,'Unit information'!$B$3:$K$29,$L56+2,FALSE))</f>
        <v/>
      </c>
      <c r="U56" s="231" t="str">
        <f>IF($H56="","",HLOOKUP(U$2,'Unit information'!$B$3:$K$29,$L56+2,FALSE))</f>
        <v/>
      </c>
      <c r="V56" s="231" t="str">
        <f>IF($H56="","",HLOOKUP(V$2,'Unit information'!$B$3:$K$29,$M56+2,FALSE))</f>
        <v/>
      </c>
      <c r="W56" s="231" t="str">
        <f>IF($H56="","",HLOOKUP(W$2,'Unit information'!$B$3:$K$29,$M56+2,FALSE))</f>
        <v/>
      </c>
      <c r="X56" s="231" t="str">
        <f>IF($H56="","",HLOOKUP(X$2,'Unit information'!$B$3:$K$29,$N56+2,FALSE))</f>
        <v/>
      </c>
      <c r="Y56" s="232" t="str">
        <f t="shared" si="15"/>
        <v/>
      </c>
      <c r="Z56" s="232" t="str">
        <f t="shared" si="15"/>
        <v/>
      </c>
      <c r="AA56" s="232" t="str">
        <f t="shared" si="16"/>
        <v/>
      </c>
      <c r="AB56" s="232" t="str">
        <f t="shared" si="16"/>
        <v/>
      </c>
      <c r="AC56" s="232" t="str">
        <f t="shared" si="6"/>
        <v/>
      </c>
      <c r="AD56" s="232" t="str">
        <f t="shared" si="3"/>
        <v/>
      </c>
      <c r="AE56" s="229" t="str">
        <f>IF($H56="","",($F$1/$S56*$Y56*'Unit information'!$AB$3)+($F$1/$T56*$Z56*'Unit information'!$AB$4)+($F$1/$U56*$AA56*'Unit information'!$AB$5)+($F$1/$V56*$AB56*'Unit information'!$AB$8)+($F$1/$W56*$AC56*'Unit information'!$AB$10)+($F$1/$X56*$AD56*'Unit information'!$AB$11))</f>
        <v/>
      </c>
      <c r="AF56" s="229" t="str">
        <f>IF($H56="","",($F$1/$S56*$Y56*'Unit information'!$AC$3)+($F$1/$T56*$Z56*'Unit information'!$AC$4)+($F$1/$U56*$AA56*'Unit information'!$AC$5)+($F$1/$V56*$AB56*'Unit information'!$AC$8)+($F$1/$W56*$AC56*'Unit information'!$AC$10)+($F$1/$X56*$AD56*'Unit information'!$AC$11))</f>
        <v/>
      </c>
      <c r="AG56" s="229" t="str">
        <f>IF($H56="","",($F$1/$S56*$Y56*'Unit information'!$AD$3)+($F$1/$T56*$Z56*'Unit information'!$AD$4)+($F$1/$U56*$AA56*'Unit information'!$AD$5)+($F$1/$V56*$AB56*'Unit information'!$AD$8)+($F$1/$W56*$AC56*'Unit information'!$AD$10)+($F$1/$X56*$AD56*'Unit information'!$AD$11))</f>
        <v/>
      </c>
    </row>
    <row r="57" spans="1:33" x14ac:dyDescent="0.25">
      <c r="A57">
        <v>29</v>
      </c>
      <c r="B57" s="367">
        <f t="shared" si="11"/>
        <v>30700000</v>
      </c>
      <c r="C57" s="367">
        <f t="shared" si="12"/>
        <v>36200000</v>
      </c>
      <c r="D57" s="367">
        <f t="shared" si="13"/>
        <v>34025000</v>
      </c>
      <c r="E57" s="155">
        <f t="shared" si="14"/>
        <v>97005000</v>
      </c>
      <c r="H57" s="228"/>
      <c r="I57" s="11"/>
      <c r="J57" s="11"/>
      <c r="K57" s="11"/>
      <c r="L57" s="11"/>
      <c r="M57" s="11"/>
      <c r="N57" s="11"/>
      <c r="O57" s="40"/>
      <c r="P57" s="229" t="str">
        <f t="shared" si="7"/>
        <v/>
      </c>
      <c r="Q57" s="229" t="str">
        <f t="shared" si="8"/>
        <v/>
      </c>
      <c r="R57" s="229" t="str">
        <f t="shared" si="9"/>
        <v/>
      </c>
      <c r="S57" s="230" t="str">
        <f>IF($H57="","",HLOOKUP(S$2,'Unit information'!$B$3:$K$29,$L57+2,FALSE))</f>
        <v/>
      </c>
      <c r="T57" s="231" t="str">
        <f>IF($H57="","",HLOOKUP(T$2,'Unit information'!$B$3:$K$29,$L57+2,FALSE))</f>
        <v/>
      </c>
      <c r="U57" s="231" t="str">
        <f>IF($H57="","",HLOOKUP(U$2,'Unit information'!$B$3:$K$29,$L57+2,FALSE))</f>
        <v/>
      </c>
      <c r="V57" s="231" t="str">
        <f>IF($H57="","",HLOOKUP(V$2,'Unit information'!$B$3:$K$29,$M57+2,FALSE))</f>
        <v/>
      </c>
      <c r="W57" s="231" t="str">
        <f>IF($H57="","",HLOOKUP(W$2,'Unit information'!$B$3:$K$29,$M57+2,FALSE))</f>
        <v/>
      </c>
      <c r="X57" s="231" t="str">
        <f>IF($H57="","",HLOOKUP(X$2,'Unit information'!$B$3:$K$29,$N57+2,FALSE))</f>
        <v/>
      </c>
      <c r="Y57" s="232" t="str">
        <f t="shared" si="15"/>
        <v/>
      </c>
      <c r="Z57" s="232" t="str">
        <f t="shared" si="15"/>
        <v/>
      </c>
      <c r="AA57" s="232" t="str">
        <f t="shared" si="16"/>
        <v/>
      </c>
      <c r="AB57" s="232" t="str">
        <f t="shared" si="16"/>
        <v/>
      </c>
      <c r="AC57" s="232" t="str">
        <f t="shared" si="6"/>
        <v/>
      </c>
      <c r="AD57" s="232" t="str">
        <f t="shared" si="3"/>
        <v/>
      </c>
      <c r="AE57" s="229" t="str">
        <f>IF($H57="","",($F$1/$S57*$Y57*'Unit information'!$AB$3)+($F$1/$T57*$Z57*'Unit information'!$AB$4)+($F$1/$U57*$AA57*'Unit information'!$AB$5)+($F$1/$V57*$AB57*'Unit information'!$AB$8)+($F$1/$W57*$AC57*'Unit information'!$AB$10)+($F$1/$X57*$AD57*'Unit information'!$AB$11))</f>
        <v/>
      </c>
      <c r="AF57" s="229" t="str">
        <f>IF($H57="","",($F$1/$S57*$Y57*'Unit information'!$AC$3)+($F$1/$T57*$Z57*'Unit information'!$AC$4)+($F$1/$U57*$AA57*'Unit information'!$AC$5)+($F$1/$V57*$AB57*'Unit information'!$AC$8)+($F$1/$W57*$AC57*'Unit information'!$AC$10)+($F$1/$X57*$AD57*'Unit information'!$AC$11))</f>
        <v/>
      </c>
      <c r="AG57" s="229" t="str">
        <f>IF($H57="","",($F$1/$S57*$Y57*'Unit information'!$AD$3)+($F$1/$T57*$Z57*'Unit information'!$AD$4)+($F$1/$U57*$AA57*'Unit information'!$AD$5)+($F$1/$V57*$AB57*'Unit information'!$AD$8)+($F$1/$W57*$AC57*'Unit information'!$AD$10)+($F$1/$X57*$AD57*'Unit information'!$AD$11))</f>
        <v/>
      </c>
    </row>
    <row r="58" spans="1:33" x14ac:dyDescent="0.25">
      <c r="A58">
        <v>30</v>
      </c>
      <c r="B58" s="367">
        <f t="shared" si="11"/>
        <v>32780000</v>
      </c>
      <c r="C58" s="367">
        <f t="shared" si="12"/>
        <v>38650000</v>
      </c>
      <c r="D58" s="367">
        <f t="shared" si="13"/>
        <v>36325000</v>
      </c>
      <c r="E58" s="155">
        <f t="shared" si="14"/>
        <v>103695000</v>
      </c>
      <c r="H58" s="228"/>
      <c r="I58" s="11"/>
      <c r="J58" s="11"/>
      <c r="K58" s="11"/>
      <c r="L58" s="11"/>
      <c r="M58" s="11"/>
      <c r="N58" s="11"/>
      <c r="O58" s="40"/>
      <c r="P58" s="229" t="str">
        <f t="shared" si="7"/>
        <v/>
      </c>
      <c r="Q58" s="229" t="str">
        <f t="shared" si="8"/>
        <v/>
      </c>
      <c r="R58" s="229" t="str">
        <f t="shared" si="9"/>
        <v/>
      </c>
      <c r="S58" s="230" t="str">
        <f>IF($H58="","",HLOOKUP(S$2,'Unit information'!$B$3:$K$29,$L58+2,FALSE))</f>
        <v/>
      </c>
      <c r="T58" s="231" t="str">
        <f>IF($H58="","",HLOOKUP(T$2,'Unit information'!$B$3:$K$29,$L58+2,FALSE))</f>
        <v/>
      </c>
      <c r="U58" s="231" t="str">
        <f>IF($H58="","",HLOOKUP(U$2,'Unit information'!$B$3:$K$29,$L58+2,FALSE))</f>
        <v/>
      </c>
      <c r="V58" s="231" t="str">
        <f>IF($H58="","",HLOOKUP(V$2,'Unit information'!$B$3:$K$29,$M58+2,FALSE))</f>
        <v/>
      </c>
      <c r="W58" s="231" t="str">
        <f>IF($H58="","",HLOOKUP(W$2,'Unit information'!$B$3:$K$29,$M58+2,FALSE))</f>
        <v/>
      </c>
      <c r="X58" s="231" t="str">
        <f>IF($H58="","",HLOOKUP(X$2,'Unit information'!$B$3:$K$29,$N58+2,FALSE))</f>
        <v/>
      </c>
      <c r="Y58" s="232" t="str">
        <f t="shared" si="15"/>
        <v/>
      </c>
      <c r="Z58" s="232" t="str">
        <f t="shared" si="15"/>
        <v/>
      </c>
      <c r="AA58" s="232" t="str">
        <f t="shared" si="16"/>
        <v/>
      </c>
      <c r="AB58" s="232" t="str">
        <f t="shared" si="16"/>
        <v/>
      </c>
      <c r="AC58" s="232" t="str">
        <f t="shared" si="6"/>
        <v/>
      </c>
      <c r="AD58" s="232" t="str">
        <f t="shared" si="3"/>
        <v/>
      </c>
      <c r="AE58" s="229" t="str">
        <f>IF($H58="","",($F$1/$S58*$Y58*'Unit information'!$AB$3)+($F$1/$T58*$Z58*'Unit information'!$AB$4)+($F$1/$U58*$AA58*'Unit information'!$AB$5)+($F$1/$V58*$AB58*'Unit information'!$AB$8)+($F$1/$W58*$AC58*'Unit information'!$AB$10)+($F$1/$X58*$AD58*'Unit information'!$AB$11))</f>
        <v/>
      </c>
      <c r="AF58" s="229" t="str">
        <f>IF($H58="","",($F$1/$S58*$Y58*'Unit information'!$AC$3)+($F$1/$T58*$Z58*'Unit information'!$AC$4)+($F$1/$U58*$AA58*'Unit information'!$AC$5)+($F$1/$V58*$AB58*'Unit information'!$AC$8)+($F$1/$W58*$AC58*'Unit information'!$AC$10)+($F$1/$X58*$AD58*'Unit information'!$AC$11))</f>
        <v/>
      </c>
      <c r="AG58" s="229" t="str">
        <f>IF($H58="","",($F$1/$S58*$Y58*'Unit information'!$AD$3)+($F$1/$T58*$Z58*'Unit information'!$AD$4)+($F$1/$U58*$AA58*'Unit information'!$AD$5)+($F$1/$V58*$AB58*'Unit information'!$AD$8)+($F$1/$W58*$AC58*'Unit information'!$AD$10)+($F$1/$X58*$AD58*'Unit information'!$AD$11))</f>
        <v/>
      </c>
    </row>
    <row r="59" spans="1:33" x14ac:dyDescent="0.25">
      <c r="A59">
        <v>31</v>
      </c>
      <c r="B59" s="367">
        <f t="shared" si="11"/>
        <v>34928000</v>
      </c>
      <c r="C59" s="367">
        <f t="shared" si="12"/>
        <v>41180000</v>
      </c>
      <c r="D59" s="367">
        <f t="shared" si="13"/>
        <v>38700000</v>
      </c>
      <c r="E59" s="155">
        <f t="shared" si="14"/>
        <v>110608000</v>
      </c>
      <c r="H59" s="228"/>
      <c r="I59" s="11"/>
      <c r="J59" s="11"/>
      <c r="K59" s="11"/>
      <c r="L59" s="11"/>
      <c r="M59" s="11"/>
      <c r="N59" s="11"/>
      <c r="O59" s="40"/>
      <c r="P59" s="229" t="str">
        <f t="shared" si="7"/>
        <v/>
      </c>
      <c r="Q59" s="229" t="str">
        <f t="shared" si="8"/>
        <v/>
      </c>
      <c r="R59" s="229" t="str">
        <f t="shared" si="9"/>
        <v/>
      </c>
      <c r="S59" s="230" t="str">
        <f>IF($H59="","",HLOOKUP(S$2,'Unit information'!$B$3:$K$29,$L59+2,FALSE))</f>
        <v/>
      </c>
      <c r="T59" s="231" t="str">
        <f>IF($H59="","",HLOOKUP(T$2,'Unit information'!$B$3:$K$29,$L59+2,FALSE))</f>
        <v/>
      </c>
      <c r="U59" s="231" t="str">
        <f>IF($H59="","",HLOOKUP(U$2,'Unit information'!$B$3:$K$29,$L59+2,FALSE))</f>
        <v/>
      </c>
      <c r="V59" s="231" t="str">
        <f>IF($H59="","",HLOOKUP(V$2,'Unit information'!$B$3:$K$29,$M59+2,FALSE))</f>
        <v/>
      </c>
      <c r="W59" s="231" t="str">
        <f>IF($H59="","",HLOOKUP(W$2,'Unit information'!$B$3:$K$29,$M59+2,FALSE))</f>
        <v/>
      </c>
      <c r="X59" s="231" t="str">
        <f>IF($H59="","",HLOOKUP(X$2,'Unit information'!$B$3:$K$29,$N59+2,FALSE))</f>
        <v/>
      </c>
      <c r="Y59" s="232" t="str">
        <f t="shared" si="15"/>
        <v/>
      </c>
      <c r="Z59" s="232" t="str">
        <f t="shared" si="15"/>
        <v/>
      </c>
      <c r="AA59" s="232" t="str">
        <f t="shared" si="16"/>
        <v/>
      </c>
      <c r="AB59" s="232" t="str">
        <f t="shared" si="16"/>
        <v/>
      </c>
      <c r="AC59" s="232" t="str">
        <f t="shared" si="6"/>
        <v/>
      </c>
      <c r="AD59" s="232" t="str">
        <f t="shared" si="3"/>
        <v/>
      </c>
      <c r="AE59" s="229" t="str">
        <f>IF($H59="","",($F$1/$S59*$Y59*'Unit information'!$AB$3)+($F$1/$T59*$Z59*'Unit information'!$AB$4)+($F$1/$U59*$AA59*'Unit information'!$AB$5)+($F$1/$V59*$AB59*'Unit information'!$AB$8)+($F$1/$W59*$AC59*'Unit information'!$AB$10)+($F$1/$X59*$AD59*'Unit information'!$AB$11))</f>
        <v/>
      </c>
      <c r="AF59" s="229" t="str">
        <f>IF($H59="","",($F$1/$S59*$Y59*'Unit information'!$AC$3)+($F$1/$T59*$Z59*'Unit information'!$AC$4)+($F$1/$U59*$AA59*'Unit information'!$AC$5)+($F$1/$V59*$AB59*'Unit information'!$AC$8)+($F$1/$W59*$AC59*'Unit information'!$AC$10)+($F$1/$X59*$AD59*'Unit information'!$AC$11))</f>
        <v/>
      </c>
      <c r="AG59" s="229" t="str">
        <f>IF($H59="","",($F$1/$S59*$Y59*'Unit information'!$AD$3)+($F$1/$T59*$Z59*'Unit information'!$AD$4)+($F$1/$U59*$AA59*'Unit information'!$AD$5)+($F$1/$V59*$AB59*'Unit information'!$AD$8)+($F$1/$W59*$AC59*'Unit information'!$AD$10)+($F$1/$X59*$AD59*'Unit information'!$AD$11))</f>
        <v/>
      </c>
    </row>
    <row r="60" spans="1:33" x14ac:dyDescent="0.25">
      <c r="A60">
        <v>32</v>
      </c>
      <c r="B60" s="367">
        <f t="shared" si="11"/>
        <v>37144000</v>
      </c>
      <c r="C60" s="367">
        <f t="shared" si="12"/>
        <v>43790000</v>
      </c>
      <c r="D60" s="367">
        <f t="shared" si="13"/>
        <v>41150000</v>
      </c>
      <c r="E60" s="155">
        <f t="shared" si="14"/>
        <v>117744000</v>
      </c>
      <c r="H60" s="228"/>
      <c r="I60" s="11"/>
      <c r="J60" s="11"/>
      <c r="K60" s="11"/>
      <c r="L60" s="11"/>
      <c r="M60" s="11"/>
      <c r="N60" s="11"/>
      <c r="O60" s="40"/>
      <c r="P60" s="229" t="str">
        <f t="shared" si="7"/>
        <v/>
      </c>
      <c r="Q60" s="229" t="str">
        <f t="shared" si="8"/>
        <v/>
      </c>
      <c r="R60" s="229" t="str">
        <f t="shared" si="9"/>
        <v/>
      </c>
      <c r="S60" s="230" t="str">
        <f>IF($H60="","",HLOOKUP(S$2,'Unit information'!$B$3:$K$29,$L60+2,FALSE))</f>
        <v/>
      </c>
      <c r="T60" s="231" t="str">
        <f>IF($H60="","",HLOOKUP(T$2,'Unit information'!$B$3:$K$29,$L60+2,FALSE))</f>
        <v/>
      </c>
      <c r="U60" s="231" t="str">
        <f>IF($H60="","",HLOOKUP(U$2,'Unit information'!$B$3:$K$29,$L60+2,FALSE))</f>
        <v/>
      </c>
      <c r="V60" s="231" t="str">
        <f>IF($H60="","",HLOOKUP(V$2,'Unit information'!$B$3:$K$29,$M60+2,FALSE))</f>
        <v/>
      </c>
      <c r="W60" s="231" t="str">
        <f>IF($H60="","",HLOOKUP(W$2,'Unit information'!$B$3:$K$29,$M60+2,FALSE))</f>
        <v/>
      </c>
      <c r="X60" s="231" t="str">
        <f>IF($H60="","",HLOOKUP(X$2,'Unit information'!$B$3:$K$29,$N60+2,FALSE))</f>
        <v/>
      </c>
      <c r="Y60" s="232" t="str">
        <f t="shared" si="15"/>
        <v/>
      </c>
      <c r="Z60" s="232" t="str">
        <f t="shared" si="15"/>
        <v/>
      </c>
      <c r="AA60" s="232" t="str">
        <f t="shared" si="16"/>
        <v/>
      </c>
      <c r="AB60" s="232" t="str">
        <f t="shared" si="16"/>
        <v/>
      </c>
      <c r="AC60" s="232" t="str">
        <f t="shared" si="6"/>
        <v/>
      </c>
      <c r="AD60" s="232" t="str">
        <f t="shared" si="3"/>
        <v/>
      </c>
      <c r="AE60" s="229" t="str">
        <f>IF($H60="","",($F$1/$S60*$Y60*'Unit information'!$AB$3)+($F$1/$T60*$Z60*'Unit information'!$AB$4)+($F$1/$U60*$AA60*'Unit information'!$AB$5)+($F$1/$V60*$AB60*'Unit information'!$AB$8)+($F$1/$W60*$AC60*'Unit information'!$AB$10)+($F$1/$X60*$AD60*'Unit information'!$AB$11))</f>
        <v/>
      </c>
      <c r="AF60" s="229" t="str">
        <f>IF($H60="","",($F$1/$S60*$Y60*'Unit information'!$AC$3)+($F$1/$T60*$Z60*'Unit information'!$AC$4)+($F$1/$U60*$AA60*'Unit information'!$AC$5)+($F$1/$V60*$AB60*'Unit information'!$AC$8)+($F$1/$W60*$AC60*'Unit information'!$AC$10)+($F$1/$X60*$AD60*'Unit information'!$AC$11))</f>
        <v/>
      </c>
      <c r="AG60" s="229" t="str">
        <f>IF($H60="","",($F$1/$S60*$Y60*'Unit information'!$AD$3)+($F$1/$T60*$Z60*'Unit information'!$AD$4)+($F$1/$U60*$AA60*'Unit information'!$AD$5)+($F$1/$V60*$AB60*'Unit information'!$AD$8)+($F$1/$W60*$AC60*'Unit information'!$AD$10)+($F$1/$X60*$AD60*'Unit information'!$AD$11))</f>
        <v/>
      </c>
    </row>
    <row r="61" spans="1:33" x14ac:dyDescent="0.25">
      <c r="A61">
        <v>33</v>
      </c>
      <c r="B61" s="367">
        <f t="shared" si="11"/>
        <v>39428000</v>
      </c>
      <c r="C61" s="367">
        <f t="shared" si="12"/>
        <v>46480000</v>
      </c>
      <c r="D61" s="367">
        <f t="shared" si="13"/>
        <v>43675000</v>
      </c>
      <c r="E61" s="155">
        <f t="shared" si="14"/>
        <v>125103000</v>
      </c>
      <c r="H61" s="228"/>
      <c r="I61" s="11"/>
      <c r="J61" s="11"/>
      <c r="K61" s="11"/>
      <c r="L61" s="11"/>
      <c r="M61" s="11"/>
      <c r="N61" s="11"/>
      <c r="O61" s="40"/>
      <c r="P61" s="229" t="str">
        <f t="shared" si="7"/>
        <v/>
      </c>
      <c r="Q61" s="229" t="str">
        <f t="shared" si="8"/>
        <v/>
      </c>
      <c r="R61" s="229" t="str">
        <f t="shared" si="9"/>
        <v/>
      </c>
      <c r="S61" s="230" t="str">
        <f>IF($H61="","",HLOOKUP(S$2,'Unit information'!$B$3:$K$29,$L61+2,FALSE))</f>
        <v/>
      </c>
      <c r="T61" s="231" t="str">
        <f>IF($H61="","",HLOOKUP(T$2,'Unit information'!$B$3:$K$29,$L61+2,FALSE))</f>
        <v/>
      </c>
      <c r="U61" s="231" t="str">
        <f>IF($H61="","",HLOOKUP(U$2,'Unit information'!$B$3:$K$29,$L61+2,FALSE))</f>
        <v/>
      </c>
      <c r="V61" s="231" t="str">
        <f>IF($H61="","",HLOOKUP(V$2,'Unit information'!$B$3:$K$29,$M61+2,FALSE))</f>
        <v/>
      </c>
      <c r="W61" s="231" t="str">
        <f>IF($H61="","",HLOOKUP(W$2,'Unit information'!$B$3:$K$29,$M61+2,FALSE))</f>
        <v/>
      </c>
      <c r="X61" s="231" t="str">
        <f>IF($H61="","",HLOOKUP(X$2,'Unit information'!$B$3:$K$29,$N61+2,FALSE))</f>
        <v/>
      </c>
      <c r="Y61" s="232" t="str">
        <f t="shared" si="15"/>
        <v/>
      </c>
      <c r="Z61" s="232" t="str">
        <f t="shared" si="15"/>
        <v/>
      </c>
      <c r="AA61" s="232" t="str">
        <f t="shared" si="16"/>
        <v/>
      </c>
      <c r="AB61" s="232" t="str">
        <f t="shared" si="16"/>
        <v/>
      </c>
      <c r="AC61" s="232" t="str">
        <f t="shared" si="6"/>
        <v/>
      </c>
      <c r="AD61" s="232" t="str">
        <f t="shared" si="3"/>
        <v/>
      </c>
      <c r="AE61" s="229" t="str">
        <f>IF($H61="","",($F$1/$S61*$Y61*'Unit information'!$AB$3)+($F$1/$T61*$Z61*'Unit information'!$AB$4)+($F$1/$U61*$AA61*'Unit information'!$AB$5)+($F$1/$V61*$AB61*'Unit information'!$AB$8)+($F$1/$W61*$AC61*'Unit information'!$AB$10)+($F$1/$X61*$AD61*'Unit information'!$AB$11))</f>
        <v/>
      </c>
      <c r="AF61" s="229" t="str">
        <f>IF($H61="","",($F$1/$S61*$Y61*'Unit information'!$AC$3)+($F$1/$T61*$Z61*'Unit information'!$AC$4)+($F$1/$U61*$AA61*'Unit information'!$AC$5)+($F$1/$V61*$AB61*'Unit information'!$AC$8)+($F$1/$W61*$AC61*'Unit information'!$AC$10)+($F$1/$X61*$AD61*'Unit information'!$AC$11))</f>
        <v/>
      </c>
      <c r="AG61" s="229" t="str">
        <f>IF($H61="","",($F$1/$S61*$Y61*'Unit information'!$AD$3)+($F$1/$T61*$Z61*'Unit information'!$AD$4)+($F$1/$U61*$AA61*'Unit information'!$AD$5)+($F$1/$V61*$AB61*'Unit information'!$AD$8)+($F$1/$W61*$AC61*'Unit information'!$AD$10)+($F$1/$X61*$AD61*'Unit information'!$AD$11))</f>
        <v/>
      </c>
    </row>
    <row r="62" spans="1:33" x14ac:dyDescent="0.25">
      <c r="A62">
        <v>34</v>
      </c>
      <c r="B62" s="367">
        <f t="shared" si="11"/>
        <v>41780000</v>
      </c>
      <c r="C62" s="367">
        <f t="shared" si="12"/>
        <v>49250000</v>
      </c>
      <c r="D62" s="367">
        <f t="shared" si="13"/>
        <v>46275000</v>
      </c>
      <c r="E62" s="155">
        <f t="shared" si="14"/>
        <v>132685000</v>
      </c>
      <c r="H62" s="228"/>
      <c r="I62" s="11"/>
      <c r="J62" s="11"/>
      <c r="K62" s="11"/>
      <c r="L62" s="11"/>
      <c r="M62" s="11"/>
      <c r="N62" s="11"/>
      <c r="O62" s="40"/>
      <c r="P62" s="229" t="str">
        <f t="shared" si="7"/>
        <v/>
      </c>
      <c r="Q62" s="229" t="str">
        <f t="shared" si="8"/>
        <v/>
      </c>
      <c r="R62" s="229" t="str">
        <f t="shared" si="9"/>
        <v/>
      </c>
      <c r="S62" s="230" t="str">
        <f>IF($H62="","",HLOOKUP(S$2,'Unit information'!$B$3:$K$29,$L62+2,FALSE))</f>
        <v/>
      </c>
      <c r="T62" s="231" t="str">
        <f>IF($H62="","",HLOOKUP(T$2,'Unit information'!$B$3:$K$29,$L62+2,FALSE))</f>
        <v/>
      </c>
      <c r="U62" s="231" t="str">
        <f>IF($H62="","",HLOOKUP(U$2,'Unit information'!$B$3:$K$29,$L62+2,FALSE))</f>
        <v/>
      </c>
      <c r="V62" s="231" t="str">
        <f>IF($H62="","",HLOOKUP(V$2,'Unit information'!$B$3:$K$29,$M62+2,FALSE))</f>
        <v/>
      </c>
      <c r="W62" s="231" t="str">
        <f>IF($H62="","",HLOOKUP(W$2,'Unit information'!$B$3:$K$29,$M62+2,FALSE))</f>
        <v/>
      </c>
      <c r="X62" s="231" t="str">
        <f>IF($H62="","",HLOOKUP(X$2,'Unit information'!$B$3:$K$29,$N62+2,FALSE))</f>
        <v/>
      </c>
      <c r="Y62" s="232" t="str">
        <f t="shared" si="15"/>
        <v/>
      </c>
      <c r="Z62" s="232" t="str">
        <f t="shared" si="15"/>
        <v/>
      </c>
      <c r="AA62" s="232" t="str">
        <f t="shared" si="16"/>
        <v/>
      </c>
      <c r="AB62" s="232" t="str">
        <f t="shared" si="16"/>
        <v/>
      </c>
      <c r="AC62" s="232" t="str">
        <f t="shared" si="6"/>
        <v/>
      </c>
      <c r="AD62" s="232" t="str">
        <f t="shared" si="3"/>
        <v/>
      </c>
      <c r="AE62" s="229" t="str">
        <f>IF($H62="","",($F$1/$S62*$Y62*'Unit information'!$AB$3)+($F$1/$T62*$Z62*'Unit information'!$AB$4)+($F$1/$U62*$AA62*'Unit information'!$AB$5)+($F$1/$V62*$AB62*'Unit information'!$AB$8)+($F$1/$W62*$AC62*'Unit information'!$AB$10)+($F$1/$X62*$AD62*'Unit information'!$AB$11))</f>
        <v/>
      </c>
      <c r="AF62" s="229" t="str">
        <f>IF($H62="","",($F$1/$S62*$Y62*'Unit information'!$AC$3)+($F$1/$T62*$Z62*'Unit information'!$AC$4)+($F$1/$U62*$AA62*'Unit information'!$AC$5)+($F$1/$V62*$AB62*'Unit information'!$AC$8)+($F$1/$W62*$AC62*'Unit information'!$AC$10)+($F$1/$X62*$AD62*'Unit information'!$AC$11))</f>
        <v/>
      </c>
      <c r="AG62" s="229" t="str">
        <f>IF($H62="","",($F$1/$S62*$Y62*'Unit information'!$AD$3)+($F$1/$T62*$Z62*'Unit information'!$AD$4)+($F$1/$U62*$AA62*'Unit information'!$AD$5)+($F$1/$V62*$AB62*'Unit information'!$AD$8)+($F$1/$W62*$AC62*'Unit information'!$AD$10)+($F$1/$X62*$AD62*'Unit information'!$AD$11))</f>
        <v/>
      </c>
    </row>
    <row r="63" spans="1:33" x14ac:dyDescent="0.25">
      <c r="A63">
        <v>35</v>
      </c>
      <c r="B63" s="367">
        <f t="shared" si="11"/>
        <v>44200000</v>
      </c>
      <c r="C63" s="367">
        <f t="shared" si="12"/>
        <v>52100000</v>
      </c>
      <c r="D63" s="367">
        <f t="shared" si="13"/>
        <v>48950000</v>
      </c>
      <c r="E63" s="155">
        <f t="shared" si="14"/>
        <v>140490000</v>
      </c>
      <c r="H63" s="228"/>
      <c r="I63" s="11"/>
      <c r="J63" s="11"/>
      <c r="K63" s="11"/>
      <c r="L63" s="11"/>
      <c r="M63" s="11"/>
      <c r="N63" s="11"/>
      <c r="O63" s="40"/>
      <c r="P63" s="229" t="str">
        <f t="shared" si="7"/>
        <v/>
      </c>
      <c r="Q63" s="229" t="str">
        <f t="shared" si="8"/>
        <v/>
      </c>
      <c r="R63" s="229" t="str">
        <f t="shared" si="9"/>
        <v/>
      </c>
      <c r="S63" s="230" t="str">
        <f>IF($H63="","",HLOOKUP(S$2,'Unit information'!$B$3:$K$29,$L63+2,FALSE))</f>
        <v/>
      </c>
      <c r="T63" s="231" t="str">
        <f>IF($H63="","",HLOOKUP(T$2,'Unit information'!$B$3:$K$29,$L63+2,FALSE))</f>
        <v/>
      </c>
      <c r="U63" s="231" t="str">
        <f>IF($H63="","",HLOOKUP(U$2,'Unit information'!$B$3:$K$29,$L63+2,FALSE))</f>
        <v/>
      </c>
      <c r="V63" s="231" t="str">
        <f>IF($H63="","",HLOOKUP(V$2,'Unit information'!$B$3:$K$29,$M63+2,FALSE))</f>
        <v/>
      </c>
      <c r="W63" s="231" t="str">
        <f>IF($H63="","",HLOOKUP(W$2,'Unit information'!$B$3:$K$29,$M63+2,FALSE))</f>
        <v/>
      </c>
      <c r="X63" s="231" t="str">
        <f>IF($H63="","",HLOOKUP(X$2,'Unit information'!$B$3:$K$29,$N63+2,FALSE))</f>
        <v/>
      </c>
      <c r="Y63" s="232" t="str">
        <f t="shared" si="15"/>
        <v/>
      </c>
      <c r="Z63" s="232" t="str">
        <f t="shared" si="15"/>
        <v/>
      </c>
      <c r="AA63" s="232" t="str">
        <f t="shared" si="16"/>
        <v/>
      </c>
      <c r="AB63" s="232" t="str">
        <f t="shared" si="16"/>
        <v/>
      </c>
      <c r="AC63" s="232" t="str">
        <f t="shared" si="6"/>
        <v/>
      </c>
      <c r="AD63" s="232" t="str">
        <f t="shared" si="3"/>
        <v/>
      </c>
      <c r="AE63" s="229" t="str">
        <f>IF($H63="","",($F$1/$S63*$Y63*'Unit information'!$AB$3)+($F$1/$T63*$Z63*'Unit information'!$AB$4)+($F$1/$U63*$AA63*'Unit information'!$AB$5)+($F$1/$V63*$AB63*'Unit information'!$AB$8)+($F$1/$W63*$AC63*'Unit information'!$AB$10)+($F$1/$X63*$AD63*'Unit information'!$AB$11))</f>
        <v/>
      </c>
      <c r="AF63" s="229" t="str">
        <f>IF($H63="","",($F$1/$S63*$Y63*'Unit information'!$AC$3)+($F$1/$T63*$Z63*'Unit information'!$AC$4)+($F$1/$U63*$AA63*'Unit information'!$AC$5)+($F$1/$V63*$AB63*'Unit information'!$AC$8)+($F$1/$W63*$AC63*'Unit information'!$AC$10)+($F$1/$X63*$AD63*'Unit information'!$AC$11))</f>
        <v/>
      </c>
      <c r="AG63" s="229" t="str">
        <f>IF($H63="","",($F$1/$S63*$Y63*'Unit information'!$AD$3)+($F$1/$T63*$Z63*'Unit information'!$AD$4)+($F$1/$U63*$AA63*'Unit information'!$AD$5)+($F$1/$V63*$AB63*'Unit information'!$AD$8)+($F$1/$W63*$AC63*'Unit information'!$AD$10)+($F$1/$X63*$AD63*'Unit information'!$AD$11))</f>
        <v/>
      </c>
    </row>
    <row r="64" spans="1:33" x14ac:dyDescent="0.25">
      <c r="A64">
        <v>36</v>
      </c>
      <c r="B64" s="367">
        <f t="shared" si="11"/>
        <v>46688000</v>
      </c>
      <c r="C64" s="367">
        <f t="shared" si="12"/>
        <v>55030000</v>
      </c>
      <c r="D64" s="367">
        <f t="shared" si="13"/>
        <v>51700000</v>
      </c>
      <c r="E64" s="155">
        <f t="shared" si="14"/>
        <v>148518000</v>
      </c>
      <c r="H64" s="228"/>
      <c r="I64" s="11"/>
      <c r="J64" s="11"/>
      <c r="K64" s="11"/>
      <c r="L64" s="11"/>
      <c r="M64" s="11"/>
      <c r="N64" s="11"/>
      <c r="O64" s="40"/>
      <c r="P64" s="229" t="str">
        <f t="shared" si="7"/>
        <v/>
      </c>
      <c r="Q64" s="229" t="str">
        <f t="shared" si="8"/>
        <v/>
      </c>
      <c r="R64" s="229" t="str">
        <f t="shared" si="9"/>
        <v/>
      </c>
      <c r="S64" s="230" t="str">
        <f>IF($H64="","",HLOOKUP(S$2,'Unit information'!$B$3:$K$29,$L64+2,FALSE))</f>
        <v/>
      </c>
      <c r="T64" s="231" t="str">
        <f>IF($H64="","",HLOOKUP(T$2,'Unit information'!$B$3:$K$29,$L64+2,FALSE))</f>
        <v/>
      </c>
      <c r="U64" s="231" t="str">
        <f>IF($H64="","",HLOOKUP(U$2,'Unit information'!$B$3:$K$29,$L64+2,FALSE))</f>
        <v/>
      </c>
      <c r="V64" s="231" t="str">
        <f>IF($H64="","",HLOOKUP(V$2,'Unit information'!$B$3:$K$29,$M64+2,FALSE))</f>
        <v/>
      </c>
      <c r="W64" s="231" t="str">
        <f>IF($H64="","",HLOOKUP(W$2,'Unit information'!$B$3:$K$29,$M64+2,FALSE))</f>
        <v/>
      </c>
      <c r="X64" s="231" t="str">
        <f>IF($H64="","",HLOOKUP(X$2,'Unit information'!$B$3:$K$29,$N64+2,FALSE))</f>
        <v/>
      </c>
      <c r="Y64" s="232" t="str">
        <f t="shared" si="15"/>
        <v/>
      </c>
      <c r="Z64" s="232" t="str">
        <f t="shared" si="15"/>
        <v/>
      </c>
      <c r="AA64" s="232" t="str">
        <f t="shared" si="16"/>
        <v/>
      </c>
      <c r="AB64" s="232" t="str">
        <f t="shared" si="16"/>
        <v/>
      </c>
      <c r="AC64" s="232" t="str">
        <f t="shared" si="6"/>
        <v/>
      </c>
      <c r="AD64" s="232" t="str">
        <f t="shared" si="3"/>
        <v/>
      </c>
      <c r="AE64" s="229" t="str">
        <f>IF($H64="","",($F$1/$S64*$Y64*'Unit information'!$AB$3)+($F$1/$T64*$Z64*'Unit information'!$AB$4)+($F$1/$U64*$AA64*'Unit information'!$AB$5)+($F$1/$V64*$AB64*'Unit information'!$AB$8)+($F$1/$W64*$AC64*'Unit information'!$AB$10)+($F$1/$X64*$AD64*'Unit information'!$AB$11))</f>
        <v/>
      </c>
      <c r="AF64" s="229" t="str">
        <f>IF($H64="","",($F$1/$S64*$Y64*'Unit information'!$AC$3)+($F$1/$T64*$Z64*'Unit information'!$AC$4)+($F$1/$U64*$AA64*'Unit information'!$AC$5)+($F$1/$V64*$AB64*'Unit information'!$AC$8)+($F$1/$W64*$AC64*'Unit information'!$AC$10)+($F$1/$X64*$AD64*'Unit information'!$AC$11))</f>
        <v/>
      </c>
      <c r="AG64" s="229" t="str">
        <f>IF($H64="","",($F$1/$S64*$Y64*'Unit information'!$AD$3)+($F$1/$T64*$Z64*'Unit information'!$AD$4)+($F$1/$U64*$AA64*'Unit information'!$AD$5)+($F$1/$V64*$AB64*'Unit information'!$AD$8)+($F$1/$W64*$AC64*'Unit information'!$AD$10)+($F$1/$X64*$AD64*'Unit information'!$AD$11))</f>
        <v/>
      </c>
    </row>
    <row r="65" spans="1:33" x14ac:dyDescent="0.25">
      <c r="A65">
        <v>37</v>
      </c>
      <c r="B65" s="367">
        <f t="shared" si="11"/>
        <v>49244000</v>
      </c>
      <c r="C65" s="367">
        <f t="shared" si="12"/>
        <v>58040000</v>
      </c>
      <c r="D65" s="367">
        <f t="shared" si="13"/>
        <v>54525000</v>
      </c>
      <c r="E65" s="155">
        <f t="shared" si="14"/>
        <v>156769000</v>
      </c>
      <c r="H65" s="228"/>
      <c r="I65" s="11"/>
      <c r="J65" s="11"/>
      <c r="K65" s="11"/>
      <c r="L65" s="11"/>
      <c r="M65" s="11"/>
      <c r="N65" s="11"/>
      <c r="O65" s="40"/>
      <c r="P65" s="229" t="str">
        <f t="shared" si="7"/>
        <v/>
      </c>
      <c r="Q65" s="229" t="str">
        <f t="shared" si="8"/>
        <v/>
      </c>
      <c r="R65" s="229" t="str">
        <f t="shared" si="9"/>
        <v/>
      </c>
      <c r="S65" s="230" t="str">
        <f>IF($H65="","",HLOOKUP(S$2,'Unit information'!$B$3:$K$29,$L65+2,FALSE))</f>
        <v/>
      </c>
      <c r="T65" s="231" t="str">
        <f>IF($H65="","",HLOOKUP(T$2,'Unit information'!$B$3:$K$29,$L65+2,FALSE))</f>
        <v/>
      </c>
      <c r="U65" s="231" t="str">
        <f>IF($H65="","",HLOOKUP(U$2,'Unit information'!$B$3:$K$29,$L65+2,FALSE))</f>
        <v/>
      </c>
      <c r="V65" s="231" t="str">
        <f>IF($H65="","",HLOOKUP(V$2,'Unit information'!$B$3:$K$29,$M65+2,FALSE))</f>
        <v/>
      </c>
      <c r="W65" s="231" t="str">
        <f>IF($H65="","",HLOOKUP(W$2,'Unit information'!$B$3:$K$29,$M65+2,FALSE))</f>
        <v/>
      </c>
      <c r="X65" s="231" t="str">
        <f>IF($H65="","",HLOOKUP(X$2,'Unit information'!$B$3:$K$29,$N65+2,FALSE))</f>
        <v/>
      </c>
      <c r="Y65" s="232" t="str">
        <f t="shared" si="15"/>
        <v/>
      </c>
      <c r="Z65" s="232" t="str">
        <f t="shared" si="15"/>
        <v/>
      </c>
      <c r="AA65" s="232" t="str">
        <f t="shared" si="16"/>
        <v/>
      </c>
      <c r="AB65" s="232" t="str">
        <f t="shared" si="16"/>
        <v/>
      </c>
      <c r="AC65" s="232" t="str">
        <f t="shared" si="6"/>
        <v/>
      </c>
      <c r="AD65" s="232" t="str">
        <f t="shared" si="3"/>
        <v/>
      </c>
      <c r="AE65" s="229" t="str">
        <f>IF($H65="","",($F$1/$S65*$Y65*'Unit information'!$AB$3)+($F$1/$T65*$Z65*'Unit information'!$AB$4)+($F$1/$U65*$AA65*'Unit information'!$AB$5)+($F$1/$V65*$AB65*'Unit information'!$AB$8)+($F$1/$W65*$AC65*'Unit information'!$AB$10)+($F$1/$X65*$AD65*'Unit information'!$AB$11))</f>
        <v/>
      </c>
      <c r="AF65" s="229" t="str">
        <f>IF($H65="","",($F$1/$S65*$Y65*'Unit information'!$AC$3)+($F$1/$T65*$Z65*'Unit information'!$AC$4)+($F$1/$U65*$AA65*'Unit information'!$AC$5)+($F$1/$V65*$AB65*'Unit information'!$AC$8)+($F$1/$W65*$AC65*'Unit information'!$AC$10)+($F$1/$X65*$AD65*'Unit information'!$AC$11))</f>
        <v/>
      </c>
      <c r="AG65" s="229" t="str">
        <f>IF($H65="","",($F$1/$S65*$Y65*'Unit information'!$AD$3)+($F$1/$T65*$Z65*'Unit information'!$AD$4)+($F$1/$U65*$AA65*'Unit information'!$AD$5)+($F$1/$V65*$AB65*'Unit information'!$AD$8)+($F$1/$W65*$AC65*'Unit information'!$AD$10)+($F$1/$X65*$AD65*'Unit information'!$AD$11))</f>
        <v/>
      </c>
    </row>
    <row r="66" spans="1:33" x14ac:dyDescent="0.25">
      <c r="A66">
        <v>38</v>
      </c>
      <c r="B66" s="367">
        <f t="shared" si="11"/>
        <v>51868000</v>
      </c>
      <c r="C66" s="367">
        <f t="shared" si="12"/>
        <v>61130000</v>
      </c>
      <c r="D66" s="367">
        <f t="shared" si="13"/>
        <v>57425000</v>
      </c>
      <c r="E66" s="155">
        <f t="shared" si="14"/>
        <v>165243000</v>
      </c>
      <c r="H66" s="228"/>
      <c r="I66" s="11"/>
      <c r="J66" s="11"/>
      <c r="K66" s="11"/>
      <c r="L66" s="11"/>
      <c r="M66" s="11"/>
      <c r="N66" s="11"/>
      <c r="O66" s="40"/>
      <c r="P66" s="229" t="str">
        <f t="shared" si="7"/>
        <v/>
      </c>
      <c r="Q66" s="229" t="str">
        <f t="shared" si="8"/>
        <v/>
      </c>
      <c r="R66" s="229" t="str">
        <f t="shared" si="9"/>
        <v/>
      </c>
      <c r="S66" s="230" t="str">
        <f>IF($H66="","",HLOOKUP(S$2,'Unit information'!$B$3:$K$29,$L66+2,FALSE))</f>
        <v/>
      </c>
      <c r="T66" s="231" t="str">
        <f>IF($H66="","",HLOOKUP(T$2,'Unit information'!$B$3:$K$29,$L66+2,FALSE))</f>
        <v/>
      </c>
      <c r="U66" s="231" t="str">
        <f>IF($H66="","",HLOOKUP(U$2,'Unit information'!$B$3:$K$29,$L66+2,FALSE))</f>
        <v/>
      </c>
      <c r="V66" s="231" t="str">
        <f>IF($H66="","",HLOOKUP(V$2,'Unit information'!$B$3:$K$29,$M66+2,FALSE))</f>
        <v/>
      </c>
      <c r="W66" s="231" t="str">
        <f>IF($H66="","",HLOOKUP(W$2,'Unit information'!$B$3:$K$29,$M66+2,FALSE))</f>
        <v/>
      </c>
      <c r="X66" s="231" t="str">
        <f>IF($H66="","",HLOOKUP(X$2,'Unit information'!$B$3:$K$29,$N66+2,FALSE))</f>
        <v/>
      </c>
      <c r="Y66" s="232" t="str">
        <f t="shared" si="15"/>
        <v/>
      </c>
      <c r="Z66" s="232" t="str">
        <f t="shared" si="15"/>
        <v/>
      </c>
      <c r="AA66" s="232" t="str">
        <f t="shared" si="16"/>
        <v/>
      </c>
      <c r="AB66" s="232" t="str">
        <f t="shared" si="16"/>
        <v/>
      </c>
      <c r="AC66" s="232" t="str">
        <f t="shared" si="6"/>
        <v/>
      </c>
      <c r="AD66" s="232" t="str">
        <f t="shared" si="3"/>
        <v/>
      </c>
      <c r="AE66" s="229" t="str">
        <f>IF($H66="","",($F$1/$S66*$Y66*'Unit information'!$AB$3)+($F$1/$T66*$Z66*'Unit information'!$AB$4)+($F$1/$U66*$AA66*'Unit information'!$AB$5)+($F$1/$V66*$AB66*'Unit information'!$AB$8)+($F$1/$W66*$AC66*'Unit information'!$AB$10)+($F$1/$X66*$AD66*'Unit information'!$AB$11))</f>
        <v/>
      </c>
      <c r="AF66" s="229" t="str">
        <f>IF($H66="","",($F$1/$S66*$Y66*'Unit information'!$AC$3)+($F$1/$T66*$Z66*'Unit information'!$AC$4)+($F$1/$U66*$AA66*'Unit information'!$AC$5)+($F$1/$V66*$AB66*'Unit information'!$AC$8)+($F$1/$W66*$AC66*'Unit information'!$AC$10)+($F$1/$X66*$AD66*'Unit information'!$AC$11))</f>
        <v/>
      </c>
      <c r="AG66" s="229" t="str">
        <f>IF($H66="","",($F$1/$S66*$Y66*'Unit information'!$AD$3)+($F$1/$T66*$Z66*'Unit information'!$AD$4)+($F$1/$U66*$AA66*'Unit information'!$AD$5)+($F$1/$V66*$AB66*'Unit information'!$AD$8)+($F$1/$W66*$AC66*'Unit information'!$AD$10)+($F$1/$X66*$AD66*'Unit information'!$AD$11))</f>
        <v/>
      </c>
    </row>
    <row r="67" spans="1:33" x14ac:dyDescent="0.25">
      <c r="A67">
        <v>39</v>
      </c>
      <c r="B67" s="367">
        <f t="shared" si="11"/>
        <v>54560000</v>
      </c>
      <c r="C67" s="367">
        <f t="shared" si="12"/>
        <v>64300000</v>
      </c>
      <c r="D67" s="367">
        <f t="shared" si="13"/>
        <v>60400000</v>
      </c>
      <c r="E67" s="155">
        <f t="shared" si="14"/>
        <v>173940000</v>
      </c>
      <c r="H67" s="228"/>
      <c r="I67" s="11"/>
      <c r="J67" s="11"/>
      <c r="K67" s="11"/>
      <c r="L67" s="11"/>
      <c r="M67" s="11"/>
      <c r="N67" s="11"/>
      <c r="O67" s="40"/>
      <c r="P67" s="229" t="str">
        <f t="shared" si="7"/>
        <v/>
      </c>
      <c r="Q67" s="229" t="str">
        <f t="shared" si="8"/>
        <v/>
      </c>
      <c r="R67" s="229" t="str">
        <f t="shared" si="9"/>
        <v/>
      </c>
      <c r="S67" s="230" t="str">
        <f>IF($H67="","",HLOOKUP(S$2,'Unit information'!$B$3:$K$29,$L67+2,FALSE))</f>
        <v/>
      </c>
      <c r="T67" s="231" t="str">
        <f>IF($H67="","",HLOOKUP(T$2,'Unit information'!$B$3:$K$29,$L67+2,FALSE))</f>
        <v/>
      </c>
      <c r="U67" s="231" t="str">
        <f>IF($H67="","",HLOOKUP(U$2,'Unit information'!$B$3:$K$29,$L67+2,FALSE))</f>
        <v/>
      </c>
      <c r="V67" s="231" t="str">
        <f>IF($H67="","",HLOOKUP(V$2,'Unit information'!$B$3:$K$29,$M67+2,FALSE))</f>
        <v/>
      </c>
      <c r="W67" s="231" t="str">
        <f>IF($H67="","",HLOOKUP(W$2,'Unit information'!$B$3:$K$29,$M67+2,FALSE))</f>
        <v/>
      </c>
      <c r="X67" s="231" t="str">
        <f>IF($H67="","",HLOOKUP(X$2,'Unit information'!$B$3:$K$29,$N67+2,FALSE))</f>
        <v/>
      </c>
      <c r="Y67" s="232" t="str">
        <f t="shared" si="15"/>
        <v/>
      </c>
      <c r="Z67" s="232" t="str">
        <f t="shared" si="15"/>
        <v/>
      </c>
      <c r="AA67" s="232" t="str">
        <f t="shared" si="16"/>
        <v/>
      </c>
      <c r="AB67" s="232" t="str">
        <f t="shared" si="16"/>
        <v/>
      </c>
      <c r="AC67" s="232" t="str">
        <f t="shared" si="6"/>
        <v/>
      </c>
      <c r="AD67" s="232" t="str">
        <f t="shared" si="3"/>
        <v/>
      </c>
      <c r="AE67" s="229" t="str">
        <f>IF($H67="","",($F$1/$S67*$Y67*'Unit information'!$AB$3)+($F$1/$T67*$Z67*'Unit information'!$AB$4)+($F$1/$U67*$AA67*'Unit information'!$AB$5)+($F$1/$V67*$AB67*'Unit information'!$AB$8)+($F$1/$W67*$AC67*'Unit information'!$AB$10)+($F$1/$X67*$AD67*'Unit information'!$AB$11))</f>
        <v/>
      </c>
      <c r="AF67" s="229" t="str">
        <f>IF($H67="","",($F$1/$S67*$Y67*'Unit information'!$AC$3)+($F$1/$T67*$Z67*'Unit information'!$AC$4)+($F$1/$U67*$AA67*'Unit information'!$AC$5)+($F$1/$V67*$AB67*'Unit information'!$AC$8)+($F$1/$W67*$AC67*'Unit information'!$AC$10)+($F$1/$X67*$AD67*'Unit information'!$AC$11))</f>
        <v/>
      </c>
      <c r="AG67" s="229" t="str">
        <f>IF($H67="","",($F$1/$S67*$Y67*'Unit information'!$AD$3)+($F$1/$T67*$Z67*'Unit information'!$AD$4)+($F$1/$U67*$AA67*'Unit information'!$AD$5)+($F$1/$V67*$AB67*'Unit information'!$AD$8)+($F$1/$W67*$AC67*'Unit information'!$AD$10)+($F$1/$X67*$AD67*'Unit information'!$AD$11))</f>
        <v/>
      </c>
    </row>
    <row r="68" spans="1:33" x14ac:dyDescent="0.25">
      <c r="A68">
        <v>40</v>
      </c>
      <c r="B68" s="367">
        <f t="shared" si="11"/>
        <v>57320000</v>
      </c>
      <c r="C68" s="367">
        <f t="shared" si="12"/>
        <v>67550000</v>
      </c>
      <c r="D68" s="367">
        <f t="shared" si="13"/>
        <v>63450000</v>
      </c>
      <c r="E68" s="155">
        <f t="shared" si="14"/>
        <v>182860000</v>
      </c>
      <c r="H68" s="228"/>
      <c r="I68" s="11"/>
      <c r="J68" s="11"/>
      <c r="K68" s="11"/>
      <c r="L68" s="11"/>
      <c r="M68" s="11"/>
      <c r="N68" s="11"/>
      <c r="O68" s="40"/>
      <c r="P68" s="229" t="str">
        <f t="shared" si="7"/>
        <v/>
      </c>
      <c r="Q68" s="229" t="str">
        <f t="shared" si="8"/>
        <v/>
      </c>
      <c r="R68" s="229" t="str">
        <f t="shared" si="9"/>
        <v/>
      </c>
      <c r="S68" s="230" t="str">
        <f>IF($H68="","",HLOOKUP(S$2,'Unit information'!$B$3:$K$29,$L68+2,FALSE))</f>
        <v/>
      </c>
      <c r="T68" s="231" t="str">
        <f>IF($H68="","",HLOOKUP(T$2,'Unit information'!$B$3:$K$29,$L68+2,FALSE))</f>
        <v/>
      </c>
      <c r="U68" s="231" t="str">
        <f>IF($H68="","",HLOOKUP(U$2,'Unit information'!$B$3:$K$29,$L68+2,FALSE))</f>
        <v/>
      </c>
      <c r="V68" s="231" t="str">
        <f>IF($H68="","",HLOOKUP(V$2,'Unit information'!$B$3:$K$29,$M68+2,FALSE))</f>
        <v/>
      </c>
      <c r="W68" s="231" t="str">
        <f>IF($H68="","",HLOOKUP(W$2,'Unit information'!$B$3:$K$29,$M68+2,FALSE))</f>
        <v/>
      </c>
      <c r="X68" s="231" t="str">
        <f>IF($H68="","",HLOOKUP(X$2,'Unit information'!$B$3:$K$29,$N68+2,FALSE))</f>
        <v/>
      </c>
      <c r="Y68" s="232" t="str">
        <f t="shared" si="15"/>
        <v/>
      </c>
      <c r="Z68" s="232" t="str">
        <f t="shared" si="15"/>
        <v/>
      </c>
      <c r="AA68" s="232" t="str">
        <f t="shared" si="16"/>
        <v/>
      </c>
      <c r="AB68" s="232" t="str">
        <f t="shared" si="16"/>
        <v/>
      </c>
      <c r="AC68" s="232" t="str">
        <f t="shared" si="6"/>
        <v/>
      </c>
      <c r="AD68" s="232" t="str">
        <f t="shared" si="3"/>
        <v/>
      </c>
      <c r="AE68" s="229" t="str">
        <f>IF($H68="","",($F$1/$S68*$Y68*'Unit information'!$AB$3)+($F$1/$T68*$Z68*'Unit information'!$AB$4)+($F$1/$U68*$AA68*'Unit information'!$AB$5)+($F$1/$V68*$AB68*'Unit information'!$AB$8)+($F$1/$W68*$AC68*'Unit information'!$AB$10)+($F$1/$X68*$AD68*'Unit information'!$AB$11))</f>
        <v/>
      </c>
      <c r="AF68" s="229" t="str">
        <f>IF($H68="","",($F$1/$S68*$Y68*'Unit information'!$AC$3)+($F$1/$T68*$Z68*'Unit information'!$AC$4)+($F$1/$U68*$AA68*'Unit information'!$AC$5)+($F$1/$V68*$AB68*'Unit information'!$AC$8)+($F$1/$W68*$AC68*'Unit information'!$AC$10)+($F$1/$X68*$AD68*'Unit information'!$AC$11))</f>
        <v/>
      </c>
      <c r="AG68" s="229" t="str">
        <f>IF($H68="","",($F$1/$S68*$Y68*'Unit information'!$AD$3)+($F$1/$T68*$Z68*'Unit information'!$AD$4)+($F$1/$U68*$AA68*'Unit information'!$AD$5)+($F$1/$V68*$AB68*'Unit information'!$AD$8)+($F$1/$W68*$AC68*'Unit information'!$AD$10)+($F$1/$X68*$AD68*'Unit information'!$AD$11))</f>
        <v/>
      </c>
    </row>
    <row r="69" spans="1:33" x14ac:dyDescent="0.25">
      <c r="A69">
        <v>41</v>
      </c>
      <c r="B69" s="367">
        <f t="shared" si="11"/>
        <v>60148000</v>
      </c>
      <c r="C69" s="367">
        <f t="shared" si="12"/>
        <v>70880000</v>
      </c>
      <c r="D69" s="367">
        <f t="shared" si="13"/>
        <v>66575000</v>
      </c>
      <c r="E69" s="155">
        <f t="shared" si="14"/>
        <v>192003000</v>
      </c>
      <c r="H69" s="228"/>
      <c r="I69" s="11"/>
      <c r="J69" s="11"/>
      <c r="K69" s="11"/>
      <c r="L69" s="11"/>
      <c r="M69" s="11"/>
      <c r="N69" s="11"/>
      <c r="O69" s="40"/>
      <c r="P69" s="229" t="str">
        <f t="shared" si="7"/>
        <v/>
      </c>
      <c r="Q69" s="229" t="str">
        <f t="shared" si="8"/>
        <v/>
      </c>
      <c r="R69" s="229" t="str">
        <f t="shared" si="9"/>
        <v/>
      </c>
      <c r="S69" s="230" t="str">
        <f>IF($H69="","",HLOOKUP(S$2,'Unit information'!$B$3:$K$29,$L69+2,FALSE))</f>
        <v/>
      </c>
      <c r="T69" s="231" t="str">
        <f>IF($H69="","",HLOOKUP(T$2,'Unit information'!$B$3:$K$29,$L69+2,FALSE))</f>
        <v/>
      </c>
      <c r="U69" s="231" t="str">
        <f>IF($H69="","",HLOOKUP(U$2,'Unit information'!$B$3:$K$29,$L69+2,FALSE))</f>
        <v/>
      </c>
      <c r="V69" s="231" t="str">
        <f>IF($H69="","",HLOOKUP(V$2,'Unit information'!$B$3:$K$29,$M69+2,FALSE))</f>
        <v/>
      </c>
      <c r="W69" s="231" t="str">
        <f>IF($H69="","",HLOOKUP(W$2,'Unit information'!$B$3:$K$29,$M69+2,FALSE))</f>
        <v/>
      </c>
      <c r="X69" s="231" t="str">
        <f>IF($H69="","",HLOOKUP(X$2,'Unit information'!$B$3:$K$29,$N69+2,FALSE))</f>
        <v/>
      </c>
      <c r="Y69" s="232" t="str">
        <f t="shared" si="15"/>
        <v/>
      </c>
      <c r="Z69" s="232" t="str">
        <f t="shared" si="15"/>
        <v/>
      </c>
      <c r="AA69" s="232" t="str">
        <f t="shared" si="16"/>
        <v/>
      </c>
      <c r="AB69" s="232" t="str">
        <f t="shared" si="16"/>
        <v/>
      </c>
      <c r="AC69" s="232" t="str">
        <f t="shared" si="6"/>
        <v/>
      </c>
      <c r="AD69" s="232" t="str">
        <f t="shared" si="3"/>
        <v/>
      </c>
      <c r="AE69" s="229" t="str">
        <f>IF($H69="","",($F$1/$S69*$Y69*'Unit information'!$AB$3)+($F$1/$T69*$Z69*'Unit information'!$AB$4)+($F$1/$U69*$AA69*'Unit information'!$AB$5)+($F$1/$V69*$AB69*'Unit information'!$AB$8)+($F$1/$W69*$AC69*'Unit information'!$AB$10)+($F$1/$X69*$AD69*'Unit information'!$AB$11))</f>
        <v/>
      </c>
      <c r="AF69" s="229" t="str">
        <f>IF($H69="","",($F$1/$S69*$Y69*'Unit information'!$AC$3)+($F$1/$T69*$Z69*'Unit information'!$AC$4)+($F$1/$U69*$AA69*'Unit information'!$AC$5)+($F$1/$V69*$AB69*'Unit information'!$AC$8)+($F$1/$W69*$AC69*'Unit information'!$AC$10)+($F$1/$X69*$AD69*'Unit information'!$AC$11))</f>
        <v/>
      </c>
      <c r="AG69" s="229" t="str">
        <f>IF($H69="","",($F$1/$S69*$Y69*'Unit information'!$AD$3)+($F$1/$T69*$Z69*'Unit information'!$AD$4)+($F$1/$U69*$AA69*'Unit information'!$AD$5)+($F$1/$V69*$AB69*'Unit information'!$AD$8)+($F$1/$W69*$AC69*'Unit information'!$AD$10)+($F$1/$X69*$AD69*'Unit information'!$AD$11))</f>
        <v/>
      </c>
    </row>
    <row r="70" spans="1:33" x14ac:dyDescent="0.25">
      <c r="A70">
        <v>42</v>
      </c>
      <c r="B70" s="367">
        <f t="shared" si="11"/>
        <v>63044000</v>
      </c>
      <c r="C70" s="367">
        <f t="shared" si="12"/>
        <v>74290000</v>
      </c>
      <c r="D70" s="367">
        <f t="shared" si="13"/>
        <v>69775000</v>
      </c>
      <c r="E70" s="155">
        <f t="shared" si="14"/>
        <v>201369000</v>
      </c>
      <c r="H70" s="228"/>
      <c r="I70" s="11"/>
      <c r="J70" s="11"/>
      <c r="K70" s="11"/>
      <c r="L70" s="11"/>
      <c r="M70" s="11"/>
      <c r="N70" s="11"/>
      <c r="O70" s="40"/>
      <c r="P70" s="229" t="str">
        <f t="shared" si="7"/>
        <v/>
      </c>
      <c r="Q70" s="229" t="str">
        <f t="shared" si="8"/>
        <v/>
      </c>
      <c r="R70" s="229" t="str">
        <f t="shared" si="9"/>
        <v/>
      </c>
      <c r="S70" s="230" t="str">
        <f>IF($H70="","",HLOOKUP(S$2,'Unit information'!$B$3:$K$29,$L70+2,FALSE))</f>
        <v/>
      </c>
      <c r="T70" s="231" t="str">
        <f>IF($H70="","",HLOOKUP(T$2,'Unit information'!$B$3:$K$29,$L70+2,FALSE))</f>
        <v/>
      </c>
      <c r="U70" s="231" t="str">
        <f>IF($H70="","",HLOOKUP(U$2,'Unit information'!$B$3:$K$29,$L70+2,FALSE))</f>
        <v/>
      </c>
      <c r="V70" s="231" t="str">
        <f>IF($H70="","",HLOOKUP(V$2,'Unit information'!$B$3:$K$29,$M70+2,FALSE))</f>
        <v/>
      </c>
      <c r="W70" s="231" t="str">
        <f>IF($H70="","",HLOOKUP(W$2,'Unit information'!$B$3:$K$29,$M70+2,FALSE))</f>
        <v/>
      </c>
      <c r="X70" s="231" t="str">
        <f>IF($H70="","",HLOOKUP(X$2,'Unit information'!$B$3:$K$29,$N70+2,FALSE))</f>
        <v/>
      </c>
      <c r="Y70" s="232" t="str">
        <f t="shared" si="15"/>
        <v/>
      </c>
      <c r="Z70" s="232" t="str">
        <f t="shared" si="15"/>
        <v/>
      </c>
      <c r="AA70" s="232" t="str">
        <f t="shared" si="16"/>
        <v/>
      </c>
      <c r="AB70" s="232" t="str">
        <f t="shared" si="16"/>
        <v/>
      </c>
      <c r="AC70" s="232" t="str">
        <f t="shared" si="6"/>
        <v/>
      </c>
      <c r="AD70" s="232" t="str">
        <f t="shared" ref="AD70:AD111" si="17">IF($H70="","",IF($O70=$AI$1,"75%","50"%))</f>
        <v/>
      </c>
      <c r="AE70" s="229" t="str">
        <f>IF($H70="","",($F$1/$S70*$Y70*'Unit information'!$AB$3)+($F$1/$T70*$Z70*'Unit information'!$AB$4)+($F$1/$U70*$AA70*'Unit information'!$AB$5)+($F$1/$V70*$AB70*'Unit information'!$AB$8)+($F$1/$W70*$AC70*'Unit information'!$AB$10)+($F$1/$X70*$AD70*'Unit information'!$AB$11))</f>
        <v/>
      </c>
      <c r="AF70" s="229" t="str">
        <f>IF($H70="","",($F$1/$S70*$Y70*'Unit information'!$AC$3)+($F$1/$T70*$Z70*'Unit information'!$AC$4)+($F$1/$U70*$AA70*'Unit information'!$AC$5)+($F$1/$V70*$AB70*'Unit information'!$AC$8)+($F$1/$W70*$AC70*'Unit information'!$AC$10)+($F$1/$X70*$AD70*'Unit information'!$AC$11))</f>
        <v/>
      </c>
      <c r="AG70" s="229" t="str">
        <f>IF($H70="","",($F$1/$S70*$Y70*'Unit information'!$AD$3)+($F$1/$T70*$Z70*'Unit information'!$AD$4)+($F$1/$U70*$AA70*'Unit information'!$AD$5)+($F$1/$V70*$AB70*'Unit information'!$AD$8)+($F$1/$W70*$AC70*'Unit information'!$AD$10)+($F$1/$X70*$AD70*'Unit information'!$AD$11))</f>
        <v/>
      </c>
    </row>
    <row r="71" spans="1:33" x14ac:dyDescent="0.25">
      <c r="A71">
        <v>43</v>
      </c>
      <c r="B71" s="367">
        <f t="shared" si="11"/>
        <v>66008000</v>
      </c>
      <c r="C71" s="367">
        <f t="shared" si="12"/>
        <v>77780000</v>
      </c>
      <c r="D71" s="367">
        <f t="shared" si="13"/>
        <v>73050000</v>
      </c>
      <c r="E71" s="155">
        <f t="shared" si="14"/>
        <v>210958000</v>
      </c>
      <c r="H71" s="228"/>
      <c r="I71" s="11"/>
      <c r="J71" s="11"/>
      <c r="K71" s="11"/>
      <c r="L71" s="11"/>
      <c r="M71" s="11"/>
      <c r="N71" s="11"/>
      <c r="O71" s="40"/>
      <c r="P71" s="229" t="str">
        <f t="shared" si="7"/>
        <v/>
      </c>
      <c r="Q71" s="229" t="str">
        <f t="shared" si="8"/>
        <v/>
      </c>
      <c r="R71" s="229" t="str">
        <f t="shared" si="9"/>
        <v/>
      </c>
      <c r="S71" s="230" t="str">
        <f>IF($H71="","",HLOOKUP(S$2,'Unit information'!$B$3:$K$29,$L71+2,FALSE))</f>
        <v/>
      </c>
      <c r="T71" s="231" t="str">
        <f>IF($H71="","",HLOOKUP(T$2,'Unit information'!$B$3:$K$29,$L71+2,FALSE))</f>
        <v/>
      </c>
      <c r="U71" s="231" t="str">
        <f>IF($H71="","",HLOOKUP(U$2,'Unit information'!$B$3:$K$29,$L71+2,FALSE))</f>
        <v/>
      </c>
      <c r="V71" s="231" t="str">
        <f>IF($H71="","",HLOOKUP(V$2,'Unit information'!$B$3:$K$29,$M71+2,FALSE))</f>
        <v/>
      </c>
      <c r="W71" s="231" t="str">
        <f>IF($H71="","",HLOOKUP(W$2,'Unit information'!$B$3:$K$29,$M71+2,FALSE))</f>
        <v/>
      </c>
      <c r="X71" s="231" t="str">
        <f>IF($H71="","",HLOOKUP(X$2,'Unit information'!$B$3:$K$29,$N71+2,FALSE))</f>
        <v/>
      </c>
      <c r="Y71" s="232" t="str">
        <f t="shared" si="15"/>
        <v/>
      </c>
      <c r="Z71" s="232" t="str">
        <f t="shared" si="15"/>
        <v/>
      </c>
      <c r="AA71" s="232" t="str">
        <f t="shared" si="16"/>
        <v/>
      </c>
      <c r="AB71" s="232" t="str">
        <f t="shared" si="16"/>
        <v/>
      </c>
      <c r="AC71" s="232" t="str">
        <f t="shared" si="6"/>
        <v/>
      </c>
      <c r="AD71" s="232" t="str">
        <f t="shared" si="17"/>
        <v/>
      </c>
      <c r="AE71" s="229" t="str">
        <f>IF($H71="","",($F$1/$S71*$Y71*'Unit information'!$AB$3)+($F$1/$T71*$Z71*'Unit information'!$AB$4)+($F$1/$U71*$AA71*'Unit information'!$AB$5)+($F$1/$V71*$AB71*'Unit information'!$AB$8)+($F$1/$W71*$AC71*'Unit information'!$AB$10)+($F$1/$X71*$AD71*'Unit information'!$AB$11))</f>
        <v/>
      </c>
      <c r="AF71" s="229" t="str">
        <f>IF($H71="","",($F$1/$S71*$Y71*'Unit information'!$AC$3)+($F$1/$T71*$Z71*'Unit information'!$AC$4)+($F$1/$U71*$AA71*'Unit information'!$AC$5)+($F$1/$V71*$AB71*'Unit information'!$AC$8)+($F$1/$W71*$AC71*'Unit information'!$AC$10)+($F$1/$X71*$AD71*'Unit information'!$AC$11))</f>
        <v/>
      </c>
      <c r="AG71" s="229" t="str">
        <f>IF($H71="","",($F$1/$S71*$Y71*'Unit information'!$AD$3)+($F$1/$T71*$Z71*'Unit information'!$AD$4)+($F$1/$U71*$AA71*'Unit information'!$AD$5)+($F$1/$V71*$AB71*'Unit information'!$AD$8)+($F$1/$W71*$AC71*'Unit information'!$AD$10)+($F$1/$X71*$AD71*'Unit information'!$AD$11))</f>
        <v/>
      </c>
    </row>
    <row r="72" spans="1:33" x14ac:dyDescent="0.25">
      <c r="A72">
        <v>44</v>
      </c>
      <c r="B72" s="367">
        <f t="shared" si="11"/>
        <v>69040000</v>
      </c>
      <c r="C72" s="367">
        <f t="shared" si="12"/>
        <v>81350000</v>
      </c>
      <c r="D72" s="367">
        <f t="shared" si="13"/>
        <v>76400000</v>
      </c>
      <c r="E72" s="155">
        <f t="shared" si="14"/>
        <v>220770000</v>
      </c>
      <c r="H72" s="228"/>
      <c r="I72" s="11"/>
      <c r="J72" s="11"/>
      <c r="K72" s="11"/>
      <c r="L72" s="11"/>
      <c r="M72" s="11"/>
      <c r="N72" s="11"/>
      <c r="O72" s="40"/>
      <c r="P72" s="229" t="str">
        <f t="shared" si="7"/>
        <v/>
      </c>
      <c r="Q72" s="229" t="str">
        <f t="shared" si="8"/>
        <v/>
      </c>
      <c r="R72" s="229" t="str">
        <f t="shared" si="9"/>
        <v/>
      </c>
      <c r="S72" s="230" t="str">
        <f>IF($H72="","",HLOOKUP(S$2,'Unit information'!$B$3:$K$29,$L72+2,FALSE))</f>
        <v/>
      </c>
      <c r="T72" s="231" t="str">
        <f>IF($H72="","",HLOOKUP(T$2,'Unit information'!$B$3:$K$29,$L72+2,FALSE))</f>
        <v/>
      </c>
      <c r="U72" s="231" t="str">
        <f>IF($H72="","",HLOOKUP(U$2,'Unit information'!$B$3:$K$29,$L72+2,FALSE))</f>
        <v/>
      </c>
      <c r="V72" s="231" t="str">
        <f>IF($H72="","",HLOOKUP(V$2,'Unit information'!$B$3:$K$29,$M72+2,FALSE))</f>
        <v/>
      </c>
      <c r="W72" s="231" t="str">
        <f>IF($H72="","",HLOOKUP(W$2,'Unit information'!$B$3:$K$29,$M72+2,FALSE))</f>
        <v/>
      </c>
      <c r="X72" s="231" t="str">
        <f>IF($H72="","",HLOOKUP(X$2,'Unit information'!$B$3:$K$29,$N72+2,FALSE))</f>
        <v/>
      </c>
      <c r="Y72" s="232" t="str">
        <f t="shared" si="15"/>
        <v/>
      </c>
      <c r="Z72" s="232" t="str">
        <f t="shared" si="15"/>
        <v/>
      </c>
      <c r="AA72" s="232" t="str">
        <f t="shared" si="16"/>
        <v/>
      </c>
      <c r="AB72" s="232" t="str">
        <f t="shared" si="16"/>
        <v/>
      </c>
      <c r="AC72" s="232" t="str">
        <f t="shared" si="6"/>
        <v/>
      </c>
      <c r="AD72" s="232" t="str">
        <f t="shared" si="17"/>
        <v/>
      </c>
      <c r="AE72" s="229" t="str">
        <f>IF($H72="","",($F$1/$S72*$Y72*'Unit information'!$AB$3)+($F$1/$T72*$Z72*'Unit information'!$AB$4)+($F$1/$U72*$AA72*'Unit information'!$AB$5)+($F$1/$V72*$AB72*'Unit information'!$AB$8)+($F$1/$W72*$AC72*'Unit information'!$AB$10)+($F$1/$X72*$AD72*'Unit information'!$AB$11))</f>
        <v/>
      </c>
      <c r="AF72" s="229" t="str">
        <f>IF($H72="","",($F$1/$S72*$Y72*'Unit information'!$AC$3)+($F$1/$T72*$Z72*'Unit information'!$AC$4)+($F$1/$U72*$AA72*'Unit information'!$AC$5)+($F$1/$V72*$AB72*'Unit information'!$AC$8)+($F$1/$W72*$AC72*'Unit information'!$AC$10)+($F$1/$X72*$AD72*'Unit information'!$AC$11))</f>
        <v/>
      </c>
      <c r="AG72" s="229" t="str">
        <f>IF($H72="","",($F$1/$S72*$Y72*'Unit information'!$AD$3)+($F$1/$T72*$Z72*'Unit information'!$AD$4)+($F$1/$U72*$AA72*'Unit information'!$AD$5)+($F$1/$V72*$AB72*'Unit information'!$AD$8)+($F$1/$W72*$AC72*'Unit information'!$AD$10)+($F$1/$X72*$AD72*'Unit information'!$AD$11))</f>
        <v/>
      </c>
    </row>
    <row r="73" spans="1:33" x14ac:dyDescent="0.25">
      <c r="A73">
        <v>45</v>
      </c>
      <c r="B73" s="367">
        <f t="shared" si="11"/>
        <v>72140000</v>
      </c>
      <c r="C73" s="367">
        <f t="shared" si="12"/>
        <v>85000000</v>
      </c>
      <c r="D73" s="367">
        <f t="shared" si="13"/>
        <v>79825000</v>
      </c>
      <c r="E73" s="155">
        <f t="shared" si="14"/>
        <v>230805000</v>
      </c>
      <c r="H73" s="228"/>
      <c r="I73" s="11"/>
      <c r="J73" s="11"/>
      <c r="K73" s="11"/>
      <c r="L73" s="11"/>
      <c r="M73" s="11"/>
      <c r="N73" s="11"/>
      <c r="O73" s="40"/>
      <c r="P73" s="229" t="str">
        <f t="shared" si="7"/>
        <v/>
      </c>
      <c r="Q73" s="229" t="str">
        <f t="shared" si="8"/>
        <v/>
      </c>
      <c r="R73" s="229" t="str">
        <f t="shared" si="9"/>
        <v/>
      </c>
      <c r="S73" s="230" t="str">
        <f>IF($H73="","",HLOOKUP(S$2,'Unit information'!$B$3:$K$29,$L73+2,FALSE))</f>
        <v/>
      </c>
      <c r="T73" s="231" t="str">
        <f>IF($H73="","",HLOOKUP(T$2,'Unit information'!$B$3:$K$29,$L73+2,FALSE))</f>
        <v/>
      </c>
      <c r="U73" s="231" t="str">
        <f>IF($H73="","",HLOOKUP(U$2,'Unit information'!$B$3:$K$29,$L73+2,FALSE))</f>
        <v/>
      </c>
      <c r="V73" s="231" t="str">
        <f>IF($H73="","",HLOOKUP(V$2,'Unit information'!$B$3:$K$29,$M73+2,FALSE))</f>
        <v/>
      </c>
      <c r="W73" s="231" t="str">
        <f>IF($H73="","",HLOOKUP(W$2,'Unit information'!$B$3:$K$29,$M73+2,FALSE))</f>
        <v/>
      </c>
      <c r="X73" s="231" t="str">
        <f>IF($H73="","",HLOOKUP(X$2,'Unit information'!$B$3:$K$29,$N73+2,FALSE))</f>
        <v/>
      </c>
      <c r="Y73" s="232" t="str">
        <f t="shared" si="15"/>
        <v/>
      </c>
      <c r="Z73" s="232" t="str">
        <f t="shared" si="15"/>
        <v/>
      </c>
      <c r="AA73" s="232" t="str">
        <f t="shared" si="16"/>
        <v/>
      </c>
      <c r="AB73" s="232" t="str">
        <f t="shared" si="16"/>
        <v/>
      </c>
      <c r="AC73" s="232" t="str">
        <f t="shared" ref="AC73:AC111" si="18">IF($H73="","",IF($O73=$AI$3,"100%","0"%))</f>
        <v/>
      </c>
      <c r="AD73" s="232" t="str">
        <f t="shared" si="17"/>
        <v/>
      </c>
      <c r="AE73" s="229" t="str">
        <f>IF($H73="","",($F$1/$S73*$Y73*'Unit information'!$AB$3)+($F$1/$T73*$Z73*'Unit information'!$AB$4)+($F$1/$U73*$AA73*'Unit information'!$AB$5)+($F$1/$V73*$AB73*'Unit information'!$AB$8)+($F$1/$W73*$AC73*'Unit information'!$AB$10)+($F$1/$X73*$AD73*'Unit information'!$AB$11))</f>
        <v/>
      </c>
      <c r="AF73" s="229" t="str">
        <f>IF($H73="","",($F$1/$S73*$Y73*'Unit information'!$AC$3)+($F$1/$T73*$Z73*'Unit information'!$AC$4)+($F$1/$U73*$AA73*'Unit information'!$AC$5)+($F$1/$V73*$AB73*'Unit information'!$AC$8)+($F$1/$W73*$AC73*'Unit information'!$AC$10)+($F$1/$X73*$AD73*'Unit information'!$AC$11))</f>
        <v/>
      </c>
      <c r="AG73" s="229" t="str">
        <f>IF($H73="","",($F$1/$S73*$Y73*'Unit information'!$AD$3)+($F$1/$T73*$Z73*'Unit information'!$AD$4)+($F$1/$U73*$AA73*'Unit information'!$AD$5)+($F$1/$V73*$AB73*'Unit information'!$AD$8)+($F$1/$W73*$AC73*'Unit information'!$AD$10)+($F$1/$X73*$AD73*'Unit information'!$AD$11))</f>
        <v/>
      </c>
    </row>
    <row r="74" spans="1:33" x14ac:dyDescent="0.25">
      <c r="A74">
        <v>46</v>
      </c>
      <c r="B74" s="367">
        <f t="shared" si="11"/>
        <v>75308000</v>
      </c>
      <c r="C74" s="367">
        <f t="shared" si="12"/>
        <v>88730000</v>
      </c>
      <c r="D74" s="367">
        <f t="shared" si="13"/>
        <v>83325000</v>
      </c>
      <c r="E74" s="155">
        <f t="shared" si="14"/>
        <v>241063000</v>
      </c>
      <c r="H74" s="228"/>
      <c r="I74" s="11"/>
      <c r="J74" s="11"/>
      <c r="K74" s="11"/>
      <c r="L74" s="11"/>
      <c r="M74" s="11"/>
      <c r="N74" s="11"/>
      <c r="O74" s="40"/>
      <c r="P74" s="229" t="str">
        <f t="shared" si="7"/>
        <v/>
      </c>
      <c r="Q74" s="229" t="str">
        <f t="shared" si="8"/>
        <v/>
      </c>
      <c r="R74" s="229" t="str">
        <f t="shared" si="9"/>
        <v/>
      </c>
      <c r="S74" s="230" t="str">
        <f>IF($H74="","",HLOOKUP(S$2,'Unit information'!$B$3:$K$29,$L74+2,FALSE))</f>
        <v/>
      </c>
      <c r="T74" s="231" t="str">
        <f>IF($H74="","",HLOOKUP(T$2,'Unit information'!$B$3:$K$29,$L74+2,FALSE))</f>
        <v/>
      </c>
      <c r="U74" s="231" t="str">
        <f>IF($H74="","",HLOOKUP(U$2,'Unit information'!$B$3:$K$29,$L74+2,FALSE))</f>
        <v/>
      </c>
      <c r="V74" s="231" t="str">
        <f>IF($H74="","",HLOOKUP(V$2,'Unit information'!$B$3:$K$29,$M74+2,FALSE))</f>
        <v/>
      </c>
      <c r="W74" s="231" t="str">
        <f>IF($H74="","",HLOOKUP(W$2,'Unit information'!$B$3:$K$29,$M74+2,FALSE))</f>
        <v/>
      </c>
      <c r="X74" s="231" t="str">
        <f>IF($H74="","",HLOOKUP(X$2,'Unit information'!$B$3:$K$29,$N74+2,FALSE))</f>
        <v/>
      </c>
      <c r="Y74" s="232" t="str">
        <f t="shared" si="15"/>
        <v/>
      </c>
      <c r="Z74" s="232" t="str">
        <f t="shared" si="15"/>
        <v/>
      </c>
      <c r="AA74" s="232" t="str">
        <f t="shared" si="16"/>
        <v/>
      </c>
      <c r="AB74" s="232" t="str">
        <f t="shared" si="16"/>
        <v/>
      </c>
      <c r="AC74" s="232" t="str">
        <f t="shared" si="18"/>
        <v/>
      </c>
      <c r="AD74" s="232" t="str">
        <f t="shared" si="17"/>
        <v/>
      </c>
      <c r="AE74" s="229" t="str">
        <f>IF($H74="","",($F$1/$S74*$Y74*'Unit information'!$AB$3)+($F$1/$T74*$Z74*'Unit information'!$AB$4)+($F$1/$U74*$AA74*'Unit information'!$AB$5)+($F$1/$V74*$AB74*'Unit information'!$AB$8)+($F$1/$W74*$AC74*'Unit information'!$AB$10)+($F$1/$X74*$AD74*'Unit information'!$AB$11))</f>
        <v/>
      </c>
      <c r="AF74" s="229" t="str">
        <f>IF($H74="","",($F$1/$S74*$Y74*'Unit information'!$AC$3)+($F$1/$T74*$Z74*'Unit information'!$AC$4)+($F$1/$U74*$AA74*'Unit information'!$AC$5)+($F$1/$V74*$AB74*'Unit information'!$AC$8)+($F$1/$W74*$AC74*'Unit information'!$AC$10)+($F$1/$X74*$AD74*'Unit information'!$AC$11))</f>
        <v/>
      </c>
      <c r="AG74" s="229" t="str">
        <f>IF($H74="","",($F$1/$S74*$Y74*'Unit information'!$AD$3)+($F$1/$T74*$Z74*'Unit information'!$AD$4)+($F$1/$U74*$AA74*'Unit information'!$AD$5)+($F$1/$V74*$AB74*'Unit information'!$AD$8)+($F$1/$W74*$AC74*'Unit information'!$AD$10)+($F$1/$X74*$AD74*'Unit information'!$AD$11))</f>
        <v/>
      </c>
    </row>
    <row r="75" spans="1:33" x14ac:dyDescent="0.25">
      <c r="A75">
        <v>47</v>
      </c>
      <c r="B75" s="367">
        <f t="shared" si="11"/>
        <v>78544000</v>
      </c>
      <c r="C75" s="367">
        <f t="shared" si="12"/>
        <v>92540000</v>
      </c>
      <c r="D75" s="367">
        <f t="shared" si="13"/>
        <v>86900000</v>
      </c>
      <c r="E75" s="155">
        <f t="shared" si="14"/>
        <v>251544000</v>
      </c>
      <c r="H75" s="228"/>
      <c r="I75" s="11"/>
      <c r="J75" s="11"/>
      <c r="K75" s="11"/>
      <c r="L75" s="11"/>
      <c r="M75" s="11"/>
      <c r="N75" s="11"/>
      <c r="O75" s="40"/>
      <c r="P75" s="229" t="str">
        <f t="shared" si="7"/>
        <v/>
      </c>
      <c r="Q75" s="229" t="str">
        <f t="shared" si="8"/>
        <v/>
      </c>
      <c r="R75" s="229" t="str">
        <f t="shared" si="9"/>
        <v/>
      </c>
      <c r="S75" s="230" t="str">
        <f>IF($H75="","",HLOOKUP(S$2,'Unit information'!$B$3:$K$29,$L75+2,FALSE))</f>
        <v/>
      </c>
      <c r="T75" s="231" t="str">
        <f>IF($H75="","",HLOOKUP(T$2,'Unit information'!$B$3:$K$29,$L75+2,FALSE))</f>
        <v/>
      </c>
      <c r="U75" s="231" t="str">
        <f>IF($H75="","",HLOOKUP(U$2,'Unit information'!$B$3:$K$29,$L75+2,FALSE))</f>
        <v/>
      </c>
      <c r="V75" s="231" t="str">
        <f>IF($H75="","",HLOOKUP(V$2,'Unit information'!$B$3:$K$29,$M75+2,FALSE))</f>
        <v/>
      </c>
      <c r="W75" s="231" t="str">
        <f>IF($H75="","",HLOOKUP(W$2,'Unit information'!$B$3:$K$29,$M75+2,FALSE))</f>
        <v/>
      </c>
      <c r="X75" s="231" t="str">
        <f>IF($H75="","",HLOOKUP(X$2,'Unit information'!$B$3:$K$29,$N75+2,FALSE))</f>
        <v/>
      </c>
      <c r="Y75" s="232" t="str">
        <f t="shared" si="15"/>
        <v/>
      </c>
      <c r="Z75" s="232" t="str">
        <f t="shared" si="15"/>
        <v/>
      </c>
      <c r="AA75" s="232" t="str">
        <f t="shared" si="16"/>
        <v/>
      </c>
      <c r="AB75" s="232" t="str">
        <f t="shared" si="16"/>
        <v/>
      </c>
      <c r="AC75" s="232" t="str">
        <f t="shared" si="18"/>
        <v/>
      </c>
      <c r="AD75" s="232" t="str">
        <f t="shared" si="17"/>
        <v/>
      </c>
      <c r="AE75" s="229" t="str">
        <f>IF($H75="","",($F$1/$S75*$Y75*'Unit information'!$AB$3)+($F$1/$T75*$Z75*'Unit information'!$AB$4)+($F$1/$U75*$AA75*'Unit information'!$AB$5)+($F$1/$V75*$AB75*'Unit information'!$AB$8)+($F$1/$W75*$AC75*'Unit information'!$AB$10)+($F$1/$X75*$AD75*'Unit information'!$AB$11))</f>
        <v/>
      </c>
      <c r="AF75" s="229" t="str">
        <f>IF($H75="","",($F$1/$S75*$Y75*'Unit information'!$AC$3)+($F$1/$T75*$Z75*'Unit information'!$AC$4)+($F$1/$U75*$AA75*'Unit information'!$AC$5)+($F$1/$V75*$AB75*'Unit information'!$AC$8)+($F$1/$W75*$AC75*'Unit information'!$AC$10)+($F$1/$X75*$AD75*'Unit information'!$AC$11))</f>
        <v/>
      </c>
      <c r="AG75" s="229" t="str">
        <f>IF($H75="","",($F$1/$S75*$Y75*'Unit information'!$AD$3)+($F$1/$T75*$Z75*'Unit information'!$AD$4)+($F$1/$U75*$AA75*'Unit information'!$AD$5)+($F$1/$V75*$AB75*'Unit information'!$AD$8)+($F$1/$W75*$AC75*'Unit information'!$AD$10)+($F$1/$X75*$AD75*'Unit information'!$AD$11))</f>
        <v/>
      </c>
    </row>
    <row r="76" spans="1:33" x14ac:dyDescent="0.25">
      <c r="A76">
        <v>48</v>
      </c>
      <c r="B76" s="367">
        <f t="shared" si="11"/>
        <v>81848000</v>
      </c>
      <c r="C76" s="367">
        <f t="shared" si="12"/>
        <v>96430000</v>
      </c>
      <c r="D76" s="367">
        <f t="shared" si="13"/>
        <v>90550000</v>
      </c>
      <c r="E76" s="155">
        <f t="shared" si="14"/>
        <v>262248000</v>
      </c>
      <c r="H76" s="228"/>
      <c r="I76" s="11"/>
      <c r="J76" s="11"/>
      <c r="K76" s="11"/>
      <c r="L76" s="11"/>
      <c r="M76" s="11"/>
      <c r="N76" s="11"/>
      <c r="O76" s="40"/>
      <c r="P76" s="229" t="str">
        <f t="shared" ref="P76:P111" si="19">IF(H76="","",IF(I76 = 0,$B$3*5,$B$3*30*1.163118^(I76-1)))</f>
        <v/>
      </c>
      <c r="Q76" s="229" t="str">
        <f t="shared" ref="Q76:Q111" si="20">IF(I76="","",IF(J76 = 0,$B$3*5,$B$3*30*1.163118^(J76-1)))</f>
        <v/>
      </c>
      <c r="R76" s="229" t="str">
        <f t="shared" ref="R76:R111" si="21">IF(J76="","",IF(K76 = 0,$B$3*5,$B$3*30*1.163118^(K76-1)))</f>
        <v/>
      </c>
      <c r="S76" s="230" t="str">
        <f>IF($H76="","",HLOOKUP(S$2,'Unit information'!$B$3:$K$29,$L76+2,FALSE))</f>
        <v/>
      </c>
      <c r="T76" s="231" t="str">
        <f>IF($H76="","",HLOOKUP(T$2,'Unit information'!$B$3:$K$29,$L76+2,FALSE))</f>
        <v/>
      </c>
      <c r="U76" s="231" t="str">
        <f>IF($H76="","",HLOOKUP(U$2,'Unit information'!$B$3:$K$29,$L76+2,FALSE))</f>
        <v/>
      </c>
      <c r="V76" s="231" t="str">
        <f>IF($H76="","",HLOOKUP(V$2,'Unit information'!$B$3:$K$29,$M76+2,FALSE))</f>
        <v/>
      </c>
      <c r="W76" s="231" t="str">
        <f>IF($H76="","",HLOOKUP(W$2,'Unit information'!$B$3:$K$29,$M76+2,FALSE))</f>
        <v/>
      </c>
      <c r="X76" s="231" t="str">
        <f>IF($H76="","",HLOOKUP(X$2,'Unit information'!$B$3:$K$29,$N76+2,FALSE))</f>
        <v/>
      </c>
      <c r="Y76" s="232" t="str">
        <f t="shared" si="15"/>
        <v/>
      </c>
      <c r="Z76" s="232" t="str">
        <f t="shared" si="15"/>
        <v/>
      </c>
      <c r="AA76" s="232" t="str">
        <f t="shared" si="16"/>
        <v/>
      </c>
      <c r="AB76" s="232" t="str">
        <f t="shared" si="16"/>
        <v/>
      </c>
      <c r="AC76" s="232" t="str">
        <f t="shared" si="18"/>
        <v/>
      </c>
      <c r="AD76" s="232" t="str">
        <f t="shared" si="17"/>
        <v/>
      </c>
      <c r="AE76" s="229" t="str">
        <f>IF($H76="","",($F$1/$S76*$Y76*'Unit information'!$AB$3)+($F$1/$T76*$Z76*'Unit information'!$AB$4)+($F$1/$U76*$AA76*'Unit information'!$AB$5)+($F$1/$V76*$AB76*'Unit information'!$AB$8)+($F$1/$W76*$AC76*'Unit information'!$AB$10)+($F$1/$X76*$AD76*'Unit information'!$AB$11))</f>
        <v/>
      </c>
      <c r="AF76" s="229" t="str">
        <f>IF($H76="","",($F$1/$S76*$Y76*'Unit information'!$AC$3)+($F$1/$T76*$Z76*'Unit information'!$AC$4)+($F$1/$U76*$AA76*'Unit information'!$AC$5)+($F$1/$V76*$AB76*'Unit information'!$AC$8)+($F$1/$W76*$AC76*'Unit information'!$AC$10)+($F$1/$X76*$AD76*'Unit information'!$AC$11))</f>
        <v/>
      </c>
      <c r="AG76" s="229" t="str">
        <f>IF($H76="","",($F$1/$S76*$Y76*'Unit information'!$AD$3)+($F$1/$T76*$Z76*'Unit information'!$AD$4)+($F$1/$U76*$AA76*'Unit information'!$AD$5)+($F$1/$V76*$AB76*'Unit information'!$AD$8)+($F$1/$W76*$AC76*'Unit information'!$AD$10)+($F$1/$X76*$AD76*'Unit information'!$AD$11))</f>
        <v/>
      </c>
    </row>
    <row r="77" spans="1:33" x14ac:dyDescent="0.25">
      <c r="A77">
        <v>49</v>
      </c>
      <c r="B77" s="367">
        <f t="shared" si="11"/>
        <v>85220000</v>
      </c>
      <c r="C77" s="367">
        <f t="shared" si="12"/>
        <v>100400000</v>
      </c>
      <c r="D77" s="367">
        <f t="shared" si="13"/>
        <v>94275000</v>
      </c>
      <c r="E77" s="155">
        <f t="shared" si="14"/>
        <v>273175000</v>
      </c>
      <c r="H77" s="228"/>
      <c r="I77" s="11"/>
      <c r="J77" s="11"/>
      <c r="K77" s="11"/>
      <c r="L77" s="11"/>
      <c r="M77" s="11"/>
      <c r="N77" s="11"/>
      <c r="O77" s="40"/>
      <c r="P77" s="229" t="str">
        <f t="shared" si="19"/>
        <v/>
      </c>
      <c r="Q77" s="229" t="str">
        <f t="shared" si="20"/>
        <v/>
      </c>
      <c r="R77" s="229" t="str">
        <f t="shared" si="21"/>
        <v/>
      </c>
      <c r="S77" s="230" t="str">
        <f>IF($H77="","",HLOOKUP(S$2,'Unit information'!$B$3:$K$29,$L77+2,FALSE))</f>
        <v/>
      </c>
      <c r="T77" s="231" t="str">
        <f>IF($H77="","",HLOOKUP(T$2,'Unit information'!$B$3:$K$29,$L77+2,FALSE))</f>
        <v/>
      </c>
      <c r="U77" s="231" t="str">
        <f>IF($H77="","",HLOOKUP(U$2,'Unit information'!$B$3:$K$29,$L77+2,FALSE))</f>
        <v/>
      </c>
      <c r="V77" s="231" t="str">
        <f>IF($H77="","",HLOOKUP(V$2,'Unit information'!$B$3:$K$29,$M77+2,FALSE))</f>
        <v/>
      </c>
      <c r="W77" s="231" t="str">
        <f>IF($H77="","",HLOOKUP(W$2,'Unit information'!$B$3:$K$29,$M77+2,FALSE))</f>
        <v/>
      </c>
      <c r="X77" s="231" t="str">
        <f>IF($H77="","",HLOOKUP(X$2,'Unit information'!$B$3:$K$29,$N77+2,FALSE))</f>
        <v/>
      </c>
      <c r="Y77" s="232" t="str">
        <f t="shared" si="15"/>
        <v/>
      </c>
      <c r="Z77" s="232" t="str">
        <f t="shared" si="15"/>
        <v/>
      </c>
      <c r="AA77" s="232" t="str">
        <f t="shared" si="16"/>
        <v/>
      </c>
      <c r="AB77" s="232" t="str">
        <f t="shared" si="16"/>
        <v/>
      </c>
      <c r="AC77" s="232" t="str">
        <f t="shared" si="18"/>
        <v/>
      </c>
      <c r="AD77" s="232" t="str">
        <f t="shared" si="17"/>
        <v/>
      </c>
      <c r="AE77" s="229" t="str">
        <f>IF($H77="","",($F$1/$S77*$Y77*'Unit information'!$AB$3)+($F$1/$T77*$Z77*'Unit information'!$AB$4)+($F$1/$U77*$AA77*'Unit information'!$AB$5)+($F$1/$V77*$AB77*'Unit information'!$AB$8)+($F$1/$W77*$AC77*'Unit information'!$AB$10)+($F$1/$X77*$AD77*'Unit information'!$AB$11))</f>
        <v/>
      </c>
      <c r="AF77" s="229" t="str">
        <f>IF($H77="","",($F$1/$S77*$Y77*'Unit information'!$AC$3)+($F$1/$T77*$Z77*'Unit information'!$AC$4)+($F$1/$U77*$AA77*'Unit information'!$AC$5)+($F$1/$V77*$AB77*'Unit information'!$AC$8)+($F$1/$W77*$AC77*'Unit information'!$AC$10)+($F$1/$X77*$AD77*'Unit information'!$AC$11))</f>
        <v/>
      </c>
      <c r="AG77" s="229" t="str">
        <f>IF($H77="","",($F$1/$S77*$Y77*'Unit information'!$AD$3)+($F$1/$T77*$Z77*'Unit information'!$AD$4)+($F$1/$U77*$AA77*'Unit information'!$AD$5)+($F$1/$V77*$AB77*'Unit information'!$AD$8)+($F$1/$W77*$AC77*'Unit information'!$AD$10)+($F$1/$X77*$AD77*'Unit information'!$AD$11))</f>
        <v/>
      </c>
    </row>
    <row r="78" spans="1:33" x14ac:dyDescent="0.25">
      <c r="A78">
        <v>50</v>
      </c>
      <c r="B78" s="367">
        <f t="shared" si="11"/>
        <v>88660000</v>
      </c>
      <c r="C78" s="367">
        <f t="shared" si="12"/>
        <v>104450000</v>
      </c>
      <c r="D78" s="367">
        <f t="shared" si="13"/>
        <v>98075000</v>
      </c>
      <c r="E78" s="155">
        <f t="shared" si="14"/>
        <v>284325000</v>
      </c>
      <c r="H78" s="228"/>
      <c r="I78" s="11"/>
      <c r="J78" s="11"/>
      <c r="K78" s="11"/>
      <c r="L78" s="11"/>
      <c r="M78" s="11"/>
      <c r="N78" s="11"/>
      <c r="O78" s="40"/>
      <c r="P78" s="229" t="str">
        <f t="shared" si="19"/>
        <v/>
      </c>
      <c r="Q78" s="229" t="str">
        <f t="shared" si="20"/>
        <v/>
      </c>
      <c r="R78" s="229" t="str">
        <f t="shared" si="21"/>
        <v/>
      </c>
      <c r="S78" s="230" t="str">
        <f>IF($H78="","",HLOOKUP(S$2,'Unit information'!$B$3:$K$29,$L78+2,FALSE))</f>
        <v/>
      </c>
      <c r="T78" s="231" t="str">
        <f>IF($H78="","",HLOOKUP(T$2,'Unit information'!$B$3:$K$29,$L78+2,FALSE))</f>
        <v/>
      </c>
      <c r="U78" s="231" t="str">
        <f>IF($H78="","",HLOOKUP(U$2,'Unit information'!$B$3:$K$29,$L78+2,FALSE))</f>
        <v/>
      </c>
      <c r="V78" s="231" t="str">
        <f>IF($H78="","",HLOOKUP(V$2,'Unit information'!$B$3:$K$29,$M78+2,FALSE))</f>
        <v/>
      </c>
      <c r="W78" s="231" t="str">
        <f>IF($H78="","",HLOOKUP(W$2,'Unit information'!$B$3:$K$29,$M78+2,FALSE))</f>
        <v/>
      </c>
      <c r="X78" s="231" t="str">
        <f>IF($H78="","",HLOOKUP(X$2,'Unit information'!$B$3:$K$29,$N78+2,FALSE))</f>
        <v/>
      </c>
      <c r="Y78" s="232" t="str">
        <f t="shared" si="15"/>
        <v/>
      </c>
      <c r="Z78" s="232" t="str">
        <f t="shared" si="15"/>
        <v/>
      </c>
      <c r="AA78" s="232" t="str">
        <f t="shared" si="16"/>
        <v/>
      </c>
      <c r="AB78" s="232" t="str">
        <f t="shared" si="16"/>
        <v/>
      </c>
      <c r="AC78" s="232" t="str">
        <f t="shared" si="18"/>
        <v/>
      </c>
      <c r="AD78" s="232" t="str">
        <f t="shared" si="17"/>
        <v/>
      </c>
      <c r="AE78" s="229" t="str">
        <f>IF($H78="","",($F$1/$S78*$Y78*'Unit information'!$AB$3)+($F$1/$T78*$Z78*'Unit information'!$AB$4)+($F$1/$U78*$AA78*'Unit information'!$AB$5)+($F$1/$V78*$AB78*'Unit information'!$AB$8)+($F$1/$W78*$AC78*'Unit information'!$AB$10)+($F$1/$X78*$AD78*'Unit information'!$AB$11))</f>
        <v/>
      </c>
      <c r="AF78" s="229" t="str">
        <f>IF($H78="","",($F$1/$S78*$Y78*'Unit information'!$AC$3)+($F$1/$T78*$Z78*'Unit information'!$AC$4)+($F$1/$U78*$AA78*'Unit information'!$AC$5)+($F$1/$V78*$AB78*'Unit information'!$AC$8)+($F$1/$W78*$AC78*'Unit information'!$AC$10)+($F$1/$X78*$AD78*'Unit information'!$AC$11))</f>
        <v/>
      </c>
      <c r="AG78" s="229" t="str">
        <f>IF($H78="","",($F$1/$S78*$Y78*'Unit information'!$AD$3)+($F$1/$T78*$Z78*'Unit information'!$AD$4)+($F$1/$U78*$AA78*'Unit information'!$AD$5)+($F$1/$V78*$AB78*'Unit information'!$AD$8)+($F$1/$W78*$AC78*'Unit information'!$AD$10)+($F$1/$X78*$AD78*'Unit information'!$AD$11))</f>
        <v/>
      </c>
    </row>
    <row r="79" spans="1:33" x14ac:dyDescent="0.25">
      <c r="A79">
        <v>51</v>
      </c>
      <c r="B79" s="367">
        <f t="shared" si="11"/>
        <v>92168000</v>
      </c>
      <c r="C79" s="367">
        <f t="shared" si="12"/>
        <v>108580000</v>
      </c>
      <c r="D79" s="367">
        <f t="shared" si="13"/>
        <v>101950000</v>
      </c>
      <c r="E79" s="155">
        <f t="shared" si="14"/>
        <v>295698000</v>
      </c>
      <c r="H79" s="228"/>
      <c r="I79" s="11"/>
      <c r="J79" s="11"/>
      <c r="K79" s="11"/>
      <c r="L79" s="11"/>
      <c r="M79" s="11"/>
      <c r="N79" s="11"/>
      <c r="O79" s="40"/>
      <c r="P79" s="229" t="str">
        <f t="shared" si="19"/>
        <v/>
      </c>
      <c r="Q79" s="229" t="str">
        <f t="shared" si="20"/>
        <v/>
      </c>
      <c r="R79" s="229" t="str">
        <f t="shared" si="21"/>
        <v/>
      </c>
      <c r="S79" s="230" t="str">
        <f>IF($H79="","",HLOOKUP(S$2,'Unit information'!$B$3:$K$29,$L79+2,FALSE))</f>
        <v/>
      </c>
      <c r="T79" s="231" t="str">
        <f>IF($H79="","",HLOOKUP(T$2,'Unit information'!$B$3:$K$29,$L79+2,FALSE))</f>
        <v/>
      </c>
      <c r="U79" s="231" t="str">
        <f>IF($H79="","",HLOOKUP(U$2,'Unit information'!$B$3:$K$29,$L79+2,FALSE))</f>
        <v/>
      </c>
      <c r="V79" s="231" t="str">
        <f>IF($H79="","",HLOOKUP(V$2,'Unit information'!$B$3:$K$29,$M79+2,FALSE))</f>
        <v/>
      </c>
      <c r="W79" s="231" t="str">
        <f>IF($H79="","",HLOOKUP(W$2,'Unit information'!$B$3:$K$29,$M79+2,FALSE))</f>
        <v/>
      </c>
      <c r="X79" s="231" t="str">
        <f>IF($H79="","",HLOOKUP(X$2,'Unit information'!$B$3:$K$29,$N79+2,FALSE))</f>
        <v/>
      </c>
      <c r="Y79" s="232" t="str">
        <f t="shared" si="15"/>
        <v/>
      </c>
      <c r="Z79" s="232" t="str">
        <f t="shared" si="15"/>
        <v/>
      </c>
      <c r="AA79" s="232" t="str">
        <f t="shared" si="16"/>
        <v/>
      </c>
      <c r="AB79" s="232" t="str">
        <f t="shared" si="16"/>
        <v/>
      </c>
      <c r="AC79" s="232" t="str">
        <f t="shared" si="18"/>
        <v/>
      </c>
      <c r="AD79" s="232" t="str">
        <f t="shared" si="17"/>
        <v/>
      </c>
      <c r="AE79" s="229" t="str">
        <f>IF($H79="","",($F$1/$S79*$Y79*'Unit information'!$AB$3)+($F$1/$T79*$Z79*'Unit information'!$AB$4)+($F$1/$U79*$AA79*'Unit information'!$AB$5)+($F$1/$V79*$AB79*'Unit information'!$AB$8)+($F$1/$W79*$AC79*'Unit information'!$AB$10)+($F$1/$X79*$AD79*'Unit information'!$AB$11))</f>
        <v/>
      </c>
      <c r="AF79" s="229" t="str">
        <f>IF($H79="","",($F$1/$S79*$Y79*'Unit information'!$AC$3)+($F$1/$T79*$Z79*'Unit information'!$AC$4)+($F$1/$U79*$AA79*'Unit information'!$AC$5)+($F$1/$V79*$AB79*'Unit information'!$AC$8)+($F$1/$W79*$AC79*'Unit information'!$AC$10)+($F$1/$X79*$AD79*'Unit information'!$AC$11))</f>
        <v/>
      </c>
      <c r="AG79" s="229" t="str">
        <f>IF($H79="","",($F$1/$S79*$Y79*'Unit information'!$AD$3)+($F$1/$T79*$Z79*'Unit information'!$AD$4)+($F$1/$U79*$AA79*'Unit information'!$AD$5)+($F$1/$V79*$AB79*'Unit information'!$AD$8)+($F$1/$W79*$AC79*'Unit information'!$AD$10)+($F$1/$X79*$AD79*'Unit information'!$AD$11))</f>
        <v/>
      </c>
    </row>
    <row r="80" spans="1:33" x14ac:dyDescent="0.25">
      <c r="A80">
        <v>52</v>
      </c>
      <c r="B80" s="367">
        <f t="shared" si="11"/>
        <v>95744000</v>
      </c>
      <c r="C80" s="367">
        <f t="shared" si="12"/>
        <v>112790000</v>
      </c>
      <c r="D80" s="367">
        <f t="shared" si="13"/>
        <v>105900000</v>
      </c>
      <c r="E80" s="155">
        <f t="shared" si="14"/>
        <v>307294000</v>
      </c>
      <c r="H80" s="228"/>
      <c r="I80" s="11"/>
      <c r="J80" s="11"/>
      <c r="K80" s="11"/>
      <c r="L80" s="11"/>
      <c r="M80" s="11"/>
      <c r="N80" s="11"/>
      <c r="O80" s="40"/>
      <c r="P80" s="229" t="str">
        <f t="shared" si="19"/>
        <v/>
      </c>
      <c r="Q80" s="229" t="str">
        <f t="shared" si="20"/>
        <v/>
      </c>
      <c r="R80" s="229" t="str">
        <f t="shared" si="21"/>
        <v/>
      </c>
      <c r="S80" s="230" t="str">
        <f>IF($H80="","",HLOOKUP(S$2,'Unit information'!$B$3:$K$29,$L80+2,FALSE))</f>
        <v/>
      </c>
      <c r="T80" s="231" t="str">
        <f>IF($H80="","",HLOOKUP(T$2,'Unit information'!$B$3:$K$29,$L80+2,FALSE))</f>
        <v/>
      </c>
      <c r="U80" s="231" t="str">
        <f>IF($H80="","",HLOOKUP(U$2,'Unit information'!$B$3:$K$29,$L80+2,FALSE))</f>
        <v/>
      </c>
      <c r="V80" s="231" t="str">
        <f>IF($H80="","",HLOOKUP(V$2,'Unit information'!$B$3:$K$29,$M80+2,FALSE))</f>
        <v/>
      </c>
      <c r="W80" s="231" t="str">
        <f>IF($H80="","",HLOOKUP(W$2,'Unit information'!$B$3:$K$29,$M80+2,FALSE))</f>
        <v/>
      </c>
      <c r="X80" s="231" t="str">
        <f>IF($H80="","",HLOOKUP(X$2,'Unit information'!$B$3:$K$29,$N80+2,FALSE))</f>
        <v/>
      </c>
      <c r="Y80" s="232" t="str">
        <f t="shared" si="15"/>
        <v/>
      </c>
      <c r="Z80" s="232" t="str">
        <f t="shared" si="15"/>
        <v/>
      </c>
      <c r="AA80" s="232" t="str">
        <f t="shared" si="16"/>
        <v/>
      </c>
      <c r="AB80" s="232" t="str">
        <f t="shared" si="16"/>
        <v/>
      </c>
      <c r="AC80" s="232" t="str">
        <f t="shared" si="18"/>
        <v/>
      </c>
      <c r="AD80" s="232" t="str">
        <f t="shared" si="17"/>
        <v/>
      </c>
      <c r="AE80" s="229" t="str">
        <f>IF($H80="","",($F$1/$S80*$Y80*'Unit information'!$AB$3)+($F$1/$T80*$Z80*'Unit information'!$AB$4)+($F$1/$U80*$AA80*'Unit information'!$AB$5)+($F$1/$V80*$AB80*'Unit information'!$AB$8)+($F$1/$W80*$AC80*'Unit information'!$AB$10)+($F$1/$X80*$AD80*'Unit information'!$AB$11))</f>
        <v/>
      </c>
      <c r="AF80" s="229" t="str">
        <f>IF($H80="","",($F$1/$S80*$Y80*'Unit information'!$AC$3)+($F$1/$T80*$Z80*'Unit information'!$AC$4)+($F$1/$U80*$AA80*'Unit information'!$AC$5)+($F$1/$V80*$AB80*'Unit information'!$AC$8)+($F$1/$W80*$AC80*'Unit information'!$AC$10)+($F$1/$X80*$AD80*'Unit information'!$AC$11))</f>
        <v/>
      </c>
      <c r="AG80" s="229" t="str">
        <f>IF($H80="","",($F$1/$S80*$Y80*'Unit information'!$AD$3)+($F$1/$T80*$Z80*'Unit information'!$AD$4)+($F$1/$U80*$AA80*'Unit information'!$AD$5)+($F$1/$V80*$AB80*'Unit information'!$AD$8)+($F$1/$W80*$AC80*'Unit information'!$AD$10)+($F$1/$X80*$AD80*'Unit information'!$AD$11))</f>
        <v/>
      </c>
    </row>
    <row r="81" spans="1:33" x14ac:dyDescent="0.25">
      <c r="A81">
        <v>53</v>
      </c>
      <c r="B81" s="367">
        <f t="shared" si="11"/>
        <v>99388000</v>
      </c>
      <c r="C81" s="367">
        <f t="shared" si="12"/>
        <v>117080000</v>
      </c>
      <c r="D81" s="367">
        <f t="shared" si="13"/>
        <v>109925000</v>
      </c>
      <c r="E81" s="155">
        <f t="shared" si="14"/>
        <v>319113000</v>
      </c>
      <c r="H81" s="228"/>
      <c r="I81" s="11"/>
      <c r="J81" s="11"/>
      <c r="K81" s="11"/>
      <c r="L81" s="11"/>
      <c r="M81" s="11"/>
      <c r="N81" s="11"/>
      <c r="O81" s="40"/>
      <c r="P81" s="229" t="str">
        <f t="shared" si="19"/>
        <v/>
      </c>
      <c r="Q81" s="229" t="str">
        <f t="shared" si="20"/>
        <v/>
      </c>
      <c r="R81" s="229" t="str">
        <f t="shared" si="21"/>
        <v/>
      </c>
      <c r="S81" s="230" t="str">
        <f>IF($H81="","",HLOOKUP(S$2,'Unit information'!$B$3:$K$29,$L81+2,FALSE))</f>
        <v/>
      </c>
      <c r="T81" s="231" t="str">
        <f>IF($H81="","",HLOOKUP(T$2,'Unit information'!$B$3:$K$29,$L81+2,FALSE))</f>
        <v/>
      </c>
      <c r="U81" s="231" t="str">
        <f>IF($H81="","",HLOOKUP(U$2,'Unit information'!$B$3:$K$29,$L81+2,FALSE))</f>
        <v/>
      </c>
      <c r="V81" s="231" t="str">
        <f>IF($H81="","",HLOOKUP(V$2,'Unit information'!$B$3:$K$29,$M81+2,FALSE))</f>
        <v/>
      </c>
      <c r="W81" s="231" t="str">
        <f>IF($H81="","",HLOOKUP(W$2,'Unit information'!$B$3:$K$29,$M81+2,FALSE))</f>
        <v/>
      </c>
      <c r="X81" s="231" t="str">
        <f>IF($H81="","",HLOOKUP(X$2,'Unit information'!$B$3:$K$29,$N81+2,FALSE))</f>
        <v/>
      </c>
      <c r="Y81" s="232" t="str">
        <f t="shared" si="15"/>
        <v/>
      </c>
      <c r="Z81" s="232" t="str">
        <f t="shared" si="15"/>
        <v/>
      </c>
      <c r="AA81" s="232" t="str">
        <f t="shared" si="16"/>
        <v/>
      </c>
      <c r="AB81" s="232" t="str">
        <f t="shared" si="16"/>
        <v/>
      </c>
      <c r="AC81" s="232" t="str">
        <f t="shared" si="18"/>
        <v/>
      </c>
      <c r="AD81" s="232" t="str">
        <f t="shared" si="17"/>
        <v/>
      </c>
      <c r="AE81" s="229" t="str">
        <f>IF($H81="","",($F$1/$S81*$Y81*'Unit information'!$AB$3)+($F$1/$T81*$Z81*'Unit information'!$AB$4)+($F$1/$U81*$AA81*'Unit information'!$AB$5)+($F$1/$V81*$AB81*'Unit information'!$AB$8)+($F$1/$W81*$AC81*'Unit information'!$AB$10)+($F$1/$X81*$AD81*'Unit information'!$AB$11))</f>
        <v/>
      </c>
      <c r="AF81" s="229" t="str">
        <f>IF($H81="","",($F$1/$S81*$Y81*'Unit information'!$AC$3)+($F$1/$T81*$Z81*'Unit information'!$AC$4)+($F$1/$U81*$AA81*'Unit information'!$AC$5)+($F$1/$V81*$AB81*'Unit information'!$AC$8)+($F$1/$W81*$AC81*'Unit information'!$AC$10)+($F$1/$X81*$AD81*'Unit information'!$AC$11))</f>
        <v/>
      </c>
      <c r="AG81" s="229" t="str">
        <f>IF($H81="","",($F$1/$S81*$Y81*'Unit information'!$AD$3)+($F$1/$T81*$Z81*'Unit information'!$AD$4)+($F$1/$U81*$AA81*'Unit information'!$AD$5)+($F$1/$V81*$AB81*'Unit information'!$AD$8)+($F$1/$W81*$AC81*'Unit information'!$AD$10)+($F$1/$X81*$AD81*'Unit information'!$AD$11))</f>
        <v/>
      </c>
    </row>
    <row r="82" spans="1:33" x14ac:dyDescent="0.25">
      <c r="A82">
        <v>54</v>
      </c>
      <c r="B82" s="367">
        <f t="shared" si="11"/>
        <v>103100000</v>
      </c>
      <c r="C82" s="367">
        <f t="shared" si="12"/>
        <v>121450000</v>
      </c>
      <c r="D82" s="367">
        <f t="shared" si="13"/>
        <v>114025000</v>
      </c>
      <c r="E82" s="155">
        <f t="shared" si="14"/>
        <v>331155000</v>
      </c>
      <c r="H82" s="228"/>
      <c r="I82" s="11"/>
      <c r="J82" s="11"/>
      <c r="K82" s="11"/>
      <c r="L82" s="11"/>
      <c r="M82" s="11"/>
      <c r="N82" s="11"/>
      <c r="O82" s="40"/>
      <c r="P82" s="229" t="str">
        <f t="shared" si="19"/>
        <v/>
      </c>
      <c r="Q82" s="229" t="str">
        <f t="shared" si="20"/>
        <v/>
      </c>
      <c r="R82" s="229" t="str">
        <f t="shared" si="21"/>
        <v/>
      </c>
      <c r="S82" s="230" t="str">
        <f>IF($H82="","",HLOOKUP(S$2,'Unit information'!$B$3:$K$29,$L82+2,FALSE))</f>
        <v/>
      </c>
      <c r="T82" s="231" t="str">
        <f>IF($H82="","",HLOOKUP(T$2,'Unit information'!$B$3:$K$29,$L82+2,FALSE))</f>
        <v/>
      </c>
      <c r="U82" s="231" t="str">
        <f>IF($H82="","",HLOOKUP(U$2,'Unit information'!$B$3:$K$29,$L82+2,FALSE))</f>
        <v/>
      </c>
      <c r="V82" s="231" t="str">
        <f>IF($H82="","",HLOOKUP(V$2,'Unit information'!$B$3:$K$29,$M82+2,FALSE))</f>
        <v/>
      </c>
      <c r="W82" s="231" t="str">
        <f>IF($H82="","",HLOOKUP(W$2,'Unit information'!$B$3:$K$29,$M82+2,FALSE))</f>
        <v/>
      </c>
      <c r="X82" s="231" t="str">
        <f>IF($H82="","",HLOOKUP(X$2,'Unit information'!$B$3:$K$29,$N82+2,FALSE))</f>
        <v/>
      </c>
      <c r="Y82" s="232" t="str">
        <f t="shared" si="15"/>
        <v/>
      </c>
      <c r="Z82" s="232" t="str">
        <f t="shared" si="15"/>
        <v/>
      </c>
      <c r="AA82" s="232" t="str">
        <f t="shared" si="16"/>
        <v/>
      </c>
      <c r="AB82" s="232" t="str">
        <f t="shared" si="16"/>
        <v/>
      </c>
      <c r="AC82" s="232" t="str">
        <f t="shared" si="18"/>
        <v/>
      </c>
      <c r="AD82" s="232" t="str">
        <f t="shared" si="17"/>
        <v/>
      </c>
      <c r="AE82" s="229" t="str">
        <f>IF($H82="","",($F$1/$S82*$Y82*'Unit information'!$AB$3)+($F$1/$T82*$Z82*'Unit information'!$AB$4)+($F$1/$U82*$AA82*'Unit information'!$AB$5)+($F$1/$V82*$AB82*'Unit information'!$AB$8)+($F$1/$W82*$AC82*'Unit information'!$AB$10)+($F$1/$X82*$AD82*'Unit information'!$AB$11))</f>
        <v/>
      </c>
      <c r="AF82" s="229" t="str">
        <f>IF($H82="","",($F$1/$S82*$Y82*'Unit information'!$AC$3)+($F$1/$T82*$Z82*'Unit information'!$AC$4)+($F$1/$U82*$AA82*'Unit information'!$AC$5)+($F$1/$V82*$AB82*'Unit information'!$AC$8)+($F$1/$W82*$AC82*'Unit information'!$AC$10)+($F$1/$X82*$AD82*'Unit information'!$AC$11))</f>
        <v/>
      </c>
      <c r="AG82" s="229" t="str">
        <f>IF($H82="","",($F$1/$S82*$Y82*'Unit information'!$AD$3)+($F$1/$T82*$Z82*'Unit information'!$AD$4)+($F$1/$U82*$AA82*'Unit information'!$AD$5)+($F$1/$V82*$AB82*'Unit information'!$AD$8)+($F$1/$W82*$AC82*'Unit information'!$AD$10)+($F$1/$X82*$AD82*'Unit information'!$AD$11))</f>
        <v/>
      </c>
    </row>
    <row r="83" spans="1:33" x14ac:dyDescent="0.25">
      <c r="A83">
        <v>55</v>
      </c>
      <c r="B83" s="367">
        <f t="shared" si="11"/>
        <v>106880000</v>
      </c>
      <c r="C83" s="367">
        <f t="shared" si="12"/>
        <v>125900000</v>
      </c>
      <c r="D83" s="367">
        <f t="shared" si="13"/>
        <v>118200000</v>
      </c>
      <c r="E83" s="155">
        <f t="shared" si="14"/>
        <v>343420000</v>
      </c>
      <c r="H83" s="228"/>
      <c r="I83" s="11"/>
      <c r="J83" s="11"/>
      <c r="K83" s="11"/>
      <c r="L83" s="11"/>
      <c r="M83" s="11"/>
      <c r="N83" s="11"/>
      <c r="O83" s="40"/>
      <c r="P83" s="229" t="str">
        <f t="shared" si="19"/>
        <v/>
      </c>
      <c r="Q83" s="229" t="str">
        <f t="shared" si="20"/>
        <v/>
      </c>
      <c r="R83" s="229" t="str">
        <f t="shared" si="21"/>
        <v/>
      </c>
      <c r="S83" s="230" t="str">
        <f>IF($H83="","",HLOOKUP(S$2,'Unit information'!$B$3:$K$29,$L83+2,FALSE))</f>
        <v/>
      </c>
      <c r="T83" s="231" t="str">
        <f>IF($H83="","",HLOOKUP(T$2,'Unit information'!$B$3:$K$29,$L83+2,FALSE))</f>
        <v/>
      </c>
      <c r="U83" s="231" t="str">
        <f>IF($H83="","",HLOOKUP(U$2,'Unit information'!$B$3:$K$29,$L83+2,FALSE))</f>
        <v/>
      </c>
      <c r="V83" s="231" t="str">
        <f>IF($H83="","",HLOOKUP(V$2,'Unit information'!$B$3:$K$29,$M83+2,FALSE))</f>
        <v/>
      </c>
      <c r="W83" s="231" t="str">
        <f>IF($H83="","",HLOOKUP(W$2,'Unit information'!$B$3:$K$29,$M83+2,FALSE))</f>
        <v/>
      </c>
      <c r="X83" s="231" t="str">
        <f>IF($H83="","",HLOOKUP(X$2,'Unit information'!$B$3:$K$29,$N83+2,FALSE))</f>
        <v/>
      </c>
      <c r="Y83" s="232" t="str">
        <f t="shared" si="15"/>
        <v/>
      </c>
      <c r="Z83" s="232" t="str">
        <f t="shared" si="15"/>
        <v/>
      </c>
      <c r="AA83" s="232" t="str">
        <f t="shared" si="16"/>
        <v/>
      </c>
      <c r="AB83" s="232" t="str">
        <f t="shared" si="16"/>
        <v/>
      </c>
      <c r="AC83" s="232" t="str">
        <f t="shared" si="18"/>
        <v/>
      </c>
      <c r="AD83" s="232" t="str">
        <f t="shared" si="17"/>
        <v/>
      </c>
      <c r="AE83" s="229" t="str">
        <f>IF($H83="","",($F$1/$S83*$Y83*'Unit information'!$AB$3)+($F$1/$T83*$Z83*'Unit information'!$AB$4)+($F$1/$U83*$AA83*'Unit information'!$AB$5)+($F$1/$V83*$AB83*'Unit information'!$AB$8)+($F$1/$W83*$AC83*'Unit information'!$AB$10)+($F$1/$X83*$AD83*'Unit information'!$AB$11))</f>
        <v/>
      </c>
      <c r="AF83" s="229" t="str">
        <f>IF($H83="","",($F$1/$S83*$Y83*'Unit information'!$AC$3)+($F$1/$T83*$Z83*'Unit information'!$AC$4)+($F$1/$U83*$AA83*'Unit information'!$AC$5)+($F$1/$V83*$AB83*'Unit information'!$AC$8)+($F$1/$W83*$AC83*'Unit information'!$AC$10)+($F$1/$X83*$AD83*'Unit information'!$AC$11))</f>
        <v/>
      </c>
      <c r="AG83" s="229" t="str">
        <f>IF($H83="","",($F$1/$S83*$Y83*'Unit information'!$AD$3)+($F$1/$T83*$Z83*'Unit information'!$AD$4)+($F$1/$U83*$AA83*'Unit information'!$AD$5)+($F$1/$V83*$AB83*'Unit information'!$AD$8)+($F$1/$W83*$AC83*'Unit information'!$AD$10)+($F$1/$X83*$AD83*'Unit information'!$AD$11))</f>
        <v/>
      </c>
    </row>
    <row r="84" spans="1:33" x14ac:dyDescent="0.25">
      <c r="A84">
        <v>56</v>
      </c>
      <c r="B84" s="367">
        <f t="shared" si="11"/>
        <v>110728000</v>
      </c>
      <c r="C84" s="367">
        <f t="shared" si="12"/>
        <v>130430000</v>
      </c>
      <c r="D84" s="367">
        <f t="shared" si="13"/>
        <v>122450000</v>
      </c>
      <c r="E84" s="155">
        <f t="shared" si="14"/>
        <v>355908000</v>
      </c>
      <c r="H84" s="228"/>
      <c r="I84" s="11"/>
      <c r="J84" s="11"/>
      <c r="K84" s="11"/>
      <c r="L84" s="11"/>
      <c r="M84" s="11"/>
      <c r="N84" s="11"/>
      <c r="O84" s="40"/>
      <c r="P84" s="229" t="str">
        <f t="shared" si="19"/>
        <v/>
      </c>
      <c r="Q84" s="229" t="str">
        <f t="shared" si="20"/>
        <v/>
      </c>
      <c r="R84" s="229" t="str">
        <f t="shared" si="21"/>
        <v/>
      </c>
      <c r="S84" s="230" t="str">
        <f>IF($H84="","",HLOOKUP(S$2,'Unit information'!$B$3:$K$29,$L84+2,FALSE))</f>
        <v/>
      </c>
      <c r="T84" s="231" t="str">
        <f>IF($H84="","",HLOOKUP(T$2,'Unit information'!$B$3:$K$29,$L84+2,FALSE))</f>
        <v/>
      </c>
      <c r="U84" s="231" t="str">
        <f>IF($H84="","",HLOOKUP(U$2,'Unit information'!$B$3:$K$29,$L84+2,FALSE))</f>
        <v/>
      </c>
      <c r="V84" s="231" t="str">
        <f>IF($H84="","",HLOOKUP(V$2,'Unit information'!$B$3:$K$29,$M84+2,FALSE))</f>
        <v/>
      </c>
      <c r="W84" s="231" t="str">
        <f>IF($H84="","",HLOOKUP(W$2,'Unit information'!$B$3:$K$29,$M84+2,FALSE))</f>
        <v/>
      </c>
      <c r="X84" s="231" t="str">
        <f>IF($H84="","",HLOOKUP(X$2,'Unit information'!$B$3:$K$29,$N84+2,FALSE))</f>
        <v/>
      </c>
      <c r="Y84" s="232" t="str">
        <f t="shared" si="15"/>
        <v/>
      </c>
      <c r="Z84" s="232" t="str">
        <f t="shared" si="15"/>
        <v/>
      </c>
      <c r="AA84" s="232" t="str">
        <f t="shared" si="16"/>
        <v/>
      </c>
      <c r="AB84" s="232" t="str">
        <f t="shared" si="16"/>
        <v/>
      </c>
      <c r="AC84" s="232" t="str">
        <f t="shared" si="18"/>
        <v/>
      </c>
      <c r="AD84" s="232" t="str">
        <f t="shared" si="17"/>
        <v/>
      </c>
      <c r="AE84" s="229" t="str">
        <f>IF($H84="","",($F$1/$S84*$Y84*'Unit information'!$AB$3)+($F$1/$T84*$Z84*'Unit information'!$AB$4)+($F$1/$U84*$AA84*'Unit information'!$AB$5)+($F$1/$V84*$AB84*'Unit information'!$AB$8)+($F$1/$W84*$AC84*'Unit information'!$AB$10)+($F$1/$X84*$AD84*'Unit information'!$AB$11))</f>
        <v/>
      </c>
      <c r="AF84" s="229" t="str">
        <f>IF($H84="","",($F$1/$S84*$Y84*'Unit information'!$AC$3)+($F$1/$T84*$Z84*'Unit information'!$AC$4)+($F$1/$U84*$AA84*'Unit information'!$AC$5)+($F$1/$V84*$AB84*'Unit information'!$AC$8)+($F$1/$W84*$AC84*'Unit information'!$AC$10)+($F$1/$X84*$AD84*'Unit information'!$AC$11))</f>
        <v/>
      </c>
      <c r="AG84" s="229" t="str">
        <f>IF($H84="","",($F$1/$S84*$Y84*'Unit information'!$AD$3)+($F$1/$T84*$Z84*'Unit information'!$AD$4)+($F$1/$U84*$AA84*'Unit information'!$AD$5)+($F$1/$V84*$AB84*'Unit information'!$AD$8)+($F$1/$W84*$AC84*'Unit information'!$AD$10)+($F$1/$X84*$AD84*'Unit information'!$AD$11))</f>
        <v/>
      </c>
    </row>
    <row r="85" spans="1:33" x14ac:dyDescent="0.25">
      <c r="A85">
        <v>57</v>
      </c>
      <c r="B85" s="367">
        <f t="shared" si="11"/>
        <v>114644000</v>
      </c>
      <c r="C85" s="367">
        <f t="shared" si="12"/>
        <v>135040000</v>
      </c>
      <c r="D85" s="367">
        <f t="shared" si="13"/>
        <v>126775000</v>
      </c>
      <c r="E85" s="155">
        <f t="shared" si="14"/>
        <v>368619000</v>
      </c>
      <c r="H85" s="228"/>
      <c r="I85" s="11"/>
      <c r="J85" s="11"/>
      <c r="K85" s="11"/>
      <c r="L85" s="11"/>
      <c r="M85" s="11"/>
      <c r="N85" s="11"/>
      <c r="O85" s="40"/>
      <c r="P85" s="229" t="str">
        <f t="shared" si="19"/>
        <v/>
      </c>
      <c r="Q85" s="229" t="str">
        <f t="shared" si="20"/>
        <v/>
      </c>
      <c r="R85" s="229" t="str">
        <f t="shared" si="21"/>
        <v/>
      </c>
      <c r="S85" s="230" t="str">
        <f>IF($H85="","",HLOOKUP(S$2,'Unit information'!$B$3:$K$29,$L85+2,FALSE))</f>
        <v/>
      </c>
      <c r="T85" s="231" t="str">
        <f>IF($H85="","",HLOOKUP(T$2,'Unit information'!$B$3:$K$29,$L85+2,FALSE))</f>
        <v/>
      </c>
      <c r="U85" s="231" t="str">
        <f>IF($H85="","",HLOOKUP(U$2,'Unit information'!$B$3:$K$29,$L85+2,FALSE))</f>
        <v/>
      </c>
      <c r="V85" s="231" t="str">
        <f>IF($H85="","",HLOOKUP(V$2,'Unit information'!$B$3:$K$29,$M85+2,FALSE))</f>
        <v/>
      </c>
      <c r="W85" s="231" t="str">
        <f>IF($H85="","",HLOOKUP(W$2,'Unit information'!$B$3:$K$29,$M85+2,FALSE))</f>
        <v/>
      </c>
      <c r="X85" s="231" t="str">
        <f>IF($H85="","",HLOOKUP(X$2,'Unit information'!$B$3:$K$29,$N85+2,FALSE))</f>
        <v/>
      </c>
      <c r="Y85" s="232" t="str">
        <f t="shared" si="15"/>
        <v/>
      </c>
      <c r="Z85" s="232" t="str">
        <f t="shared" si="15"/>
        <v/>
      </c>
      <c r="AA85" s="232" t="str">
        <f t="shared" si="16"/>
        <v/>
      </c>
      <c r="AB85" s="232" t="str">
        <f t="shared" si="16"/>
        <v/>
      </c>
      <c r="AC85" s="232" t="str">
        <f t="shared" si="18"/>
        <v/>
      </c>
      <c r="AD85" s="232" t="str">
        <f t="shared" si="17"/>
        <v/>
      </c>
      <c r="AE85" s="229" t="str">
        <f>IF($H85="","",($F$1/$S85*$Y85*'Unit information'!$AB$3)+($F$1/$T85*$Z85*'Unit information'!$AB$4)+($F$1/$U85*$AA85*'Unit information'!$AB$5)+($F$1/$V85*$AB85*'Unit information'!$AB$8)+($F$1/$W85*$AC85*'Unit information'!$AB$10)+($F$1/$X85*$AD85*'Unit information'!$AB$11))</f>
        <v/>
      </c>
      <c r="AF85" s="229" t="str">
        <f>IF($H85="","",($F$1/$S85*$Y85*'Unit information'!$AC$3)+($F$1/$T85*$Z85*'Unit information'!$AC$4)+($F$1/$U85*$AA85*'Unit information'!$AC$5)+($F$1/$V85*$AB85*'Unit information'!$AC$8)+($F$1/$W85*$AC85*'Unit information'!$AC$10)+($F$1/$X85*$AD85*'Unit information'!$AC$11))</f>
        <v/>
      </c>
      <c r="AG85" s="229" t="str">
        <f>IF($H85="","",($F$1/$S85*$Y85*'Unit information'!$AD$3)+($F$1/$T85*$Z85*'Unit information'!$AD$4)+($F$1/$U85*$AA85*'Unit information'!$AD$5)+($F$1/$V85*$AB85*'Unit information'!$AD$8)+($F$1/$W85*$AC85*'Unit information'!$AD$10)+($F$1/$X85*$AD85*'Unit information'!$AD$11))</f>
        <v/>
      </c>
    </row>
    <row r="86" spans="1:33" x14ac:dyDescent="0.25">
      <c r="A86">
        <v>58</v>
      </c>
      <c r="B86" s="367">
        <f t="shared" si="11"/>
        <v>118628000</v>
      </c>
      <c r="C86" s="367">
        <f t="shared" si="12"/>
        <v>139730000</v>
      </c>
      <c r="D86" s="367">
        <f t="shared" si="13"/>
        <v>131175000</v>
      </c>
      <c r="E86" s="155">
        <f t="shared" si="14"/>
        <v>381553000</v>
      </c>
      <c r="H86" s="228"/>
      <c r="I86" s="11"/>
      <c r="J86" s="11"/>
      <c r="K86" s="11"/>
      <c r="L86" s="11"/>
      <c r="M86" s="11"/>
      <c r="N86" s="11"/>
      <c r="O86" s="40"/>
      <c r="P86" s="229" t="str">
        <f t="shared" si="19"/>
        <v/>
      </c>
      <c r="Q86" s="229" t="str">
        <f t="shared" si="20"/>
        <v/>
      </c>
      <c r="R86" s="229" t="str">
        <f t="shared" si="21"/>
        <v/>
      </c>
      <c r="S86" s="230" t="str">
        <f>IF($H86="","",HLOOKUP(S$2,'Unit information'!$B$3:$K$29,$L86+2,FALSE))</f>
        <v/>
      </c>
      <c r="T86" s="231" t="str">
        <f>IF($H86="","",HLOOKUP(T$2,'Unit information'!$B$3:$K$29,$L86+2,FALSE))</f>
        <v/>
      </c>
      <c r="U86" s="231" t="str">
        <f>IF($H86="","",HLOOKUP(U$2,'Unit information'!$B$3:$K$29,$L86+2,FALSE))</f>
        <v/>
      </c>
      <c r="V86" s="231" t="str">
        <f>IF($H86="","",HLOOKUP(V$2,'Unit information'!$B$3:$K$29,$M86+2,FALSE))</f>
        <v/>
      </c>
      <c r="W86" s="231" t="str">
        <f>IF($H86="","",HLOOKUP(W$2,'Unit information'!$B$3:$K$29,$M86+2,FALSE))</f>
        <v/>
      </c>
      <c r="X86" s="231" t="str">
        <f>IF($H86="","",HLOOKUP(X$2,'Unit information'!$B$3:$K$29,$N86+2,FALSE))</f>
        <v/>
      </c>
      <c r="Y86" s="232" t="str">
        <f t="shared" si="15"/>
        <v/>
      </c>
      <c r="Z86" s="232" t="str">
        <f t="shared" si="15"/>
        <v/>
      </c>
      <c r="AA86" s="232" t="str">
        <f t="shared" si="16"/>
        <v/>
      </c>
      <c r="AB86" s="232" t="str">
        <f t="shared" si="16"/>
        <v/>
      </c>
      <c r="AC86" s="232" t="str">
        <f t="shared" si="18"/>
        <v/>
      </c>
      <c r="AD86" s="232" t="str">
        <f t="shared" si="17"/>
        <v/>
      </c>
      <c r="AE86" s="229" t="str">
        <f>IF($H86="","",($F$1/$S86*$Y86*'Unit information'!$AB$3)+($F$1/$T86*$Z86*'Unit information'!$AB$4)+($F$1/$U86*$AA86*'Unit information'!$AB$5)+($F$1/$V86*$AB86*'Unit information'!$AB$8)+($F$1/$W86*$AC86*'Unit information'!$AB$10)+($F$1/$X86*$AD86*'Unit information'!$AB$11))</f>
        <v/>
      </c>
      <c r="AF86" s="229" t="str">
        <f>IF($H86="","",($F$1/$S86*$Y86*'Unit information'!$AC$3)+($F$1/$T86*$Z86*'Unit information'!$AC$4)+($F$1/$U86*$AA86*'Unit information'!$AC$5)+($F$1/$V86*$AB86*'Unit information'!$AC$8)+($F$1/$W86*$AC86*'Unit information'!$AC$10)+($F$1/$X86*$AD86*'Unit information'!$AC$11))</f>
        <v/>
      </c>
      <c r="AG86" s="229" t="str">
        <f>IF($H86="","",($F$1/$S86*$Y86*'Unit information'!$AD$3)+($F$1/$T86*$Z86*'Unit information'!$AD$4)+($F$1/$U86*$AA86*'Unit information'!$AD$5)+($F$1/$V86*$AB86*'Unit information'!$AD$8)+($F$1/$W86*$AC86*'Unit information'!$AD$10)+($F$1/$X86*$AD86*'Unit information'!$AD$11))</f>
        <v/>
      </c>
    </row>
    <row r="87" spans="1:33" x14ac:dyDescent="0.25">
      <c r="A87">
        <v>59</v>
      </c>
      <c r="B87" s="367">
        <f t="shared" si="11"/>
        <v>122680000</v>
      </c>
      <c r="C87" s="367">
        <f t="shared" si="12"/>
        <v>144500000</v>
      </c>
      <c r="D87" s="367">
        <f t="shared" si="13"/>
        <v>135650000</v>
      </c>
      <c r="E87" s="155">
        <f t="shared" si="14"/>
        <v>394710000</v>
      </c>
      <c r="H87" s="228"/>
      <c r="I87" s="11"/>
      <c r="J87" s="11"/>
      <c r="K87" s="11"/>
      <c r="L87" s="11"/>
      <c r="M87" s="11"/>
      <c r="N87" s="11"/>
      <c r="O87" s="40"/>
      <c r="P87" s="229" t="str">
        <f t="shared" si="19"/>
        <v/>
      </c>
      <c r="Q87" s="229" t="str">
        <f t="shared" si="20"/>
        <v/>
      </c>
      <c r="R87" s="229" t="str">
        <f t="shared" si="21"/>
        <v/>
      </c>
      <c r="S87" s="230" t="str">
        <f>IF($H87="","",HLOOKUP(S$2,'Unit information'!$B$3:$K$29,$L87+2,FALSE))</f>
        <v/>
      </c>
      <c r="T87" s="231" t="str">
        <f>IF($H87="","",HLOOKUP(T$2,'Unit information'!$B$3:$K$29,$L87+2,FALSE))</f>
        <v/>
      </c>
      <c r="U87" s="231" t="str">
        <f>IF($H87="","",HLOOKUP(U$2,'Unit information'!$B$3:$K$29,$L87+2,FALSE))</f>
        <v/>
      </c>
      <c r="V87" s="231" t="str">
        <f>IF($H87="","",HLOOKUP(V$2,'Unit information'!$B$3:$K$29,$M87+2,FALSE))</f>
        <v/>
      </c>
      <c r="W87" s="231" t="str">
        <f>IF($H87="","",HLOOKUP(W$2,'Unit information'!$B$3:$K$29,$M87+2,FALSE))</f>
        <v/>
      </c>
      <c r="X87" s="231" t="str">
        <f>IF($H87="","",HLOOKUP(X$2,'Unit information'!$B$3:$K$29,$N87+2,FALSE))</f>
        <v/>
      </c>
      <c r="Y87" s="232" t="str">
        <f t="shared" si="15"/>
        <v/>
      </c>
      <c r="Z87" s="232" t="str">
        <f t="shared" si="15"/>
        <v/>
      </c>
      <c r="AA87" s="232" t="str">
        <f t="shared" si="16"/>
        <v/>
      </c>
      <c r="AB87" s="232" t="str">
        <f t="shared" si="16"/>
        <v/>
      </c>
      <c r="AC87" s="232" t="str">
        <f t="shared" si="18"/>
        <v/>
      </c>
      <c r="AD87" s="232" t="str">
        <f t="shared" si="17"/>
        <v/>
      </c>
      <c r="AE87" s="229" t="str">
        <f>IF($H87="","",($F$1/$S87*$Y87*'Unit information'!$AB$3)+($F$1/$T87*$Z87*'Unit information'!$AB$4)+($F$1/$U87*$AA87*'Unit information'!$AB$5)+($F$1/$V87*$AB87*'Unit information'!$AB$8)+($F$1/$W87*$AC87*'Unit information'!$AB$10)+($F$1/$X87*$AD87*'Unit information'!$AB$11))</f>
        <v/>
      </c>
      <c r="AF87" s="229" t="str">
        <f>IF($H87="","",($F$1/$S87*$Y87*'Unit information'!$AC$3)+($F$1/$T87*$Z87*'Unit information'!$AC$4)+($F$1/$U87*$AA87*'Unit information'!$AC$5)+($F$1/$V87*$AB87*'Unit information'!$AC$8)+($F$1/$W87*$AC87*'Unit information'!$AC$10)+($F$1/$X87*$AD87*'Unit information'!$AC$11))</f>
        <v/>
      </c>
      <c r="AG87" s="229" t="str">
        <f>IF($H87="","",($F$1/$S87*$Y87*'Unit information'!$AD$3)+($F$1/$T87*$Z87*'Unit information'!$AD$4)+($F$1/$U87*$AA87*'Unit information'!$AD$5)+($F$1/$V87*$AB87*'Unit information'!$AD$8)+($F$1/$W87*$AC87*'Unit information'!$AD$10)+($F$1/$X87*$AD87*'Unit information'!$AD$11))</f>
        <v/>
      </c>
    </row>
    <row r="88" spans="1:33" x14ac:dyDescent="0.25">
      <c r="A88">
        <v>60</v>
      </c>
      <c r="B88" s="367">
        <f t="shared" si="11"/>
        <v>126800000</v>
      </c>
      <c r="C88" s="367">
        <f t="shared" si="12"/>
        <v>149350000</v>
      </c>
      <c r="D88" s="367">
        <f t="shared" si="13"/>
        <v>140200000</v>
      </c>
      <c r="E88" s="155">
        <f t="shared" si="14"/>
        <v>408090000</v>
      </c>
      <c r="H88" s="228"/>
      <c r="I88" s="11"/>
      <c r="J88" s="11"/>
      <c r="K88" s="11"/>
      <c r="L88" s="11"/>
      <c r="M88" s="11"/>
      <c r="N88" s="11"/>
      <c r="O88" s="40"/>
      <c r="P88" s="229" t="str">
        <f t="shared" si="19"/>
        <v/>
      </c>
      <c r="Q88" s="229" t="str">
        <f t="shared" si="20"/>
        <v/>
      </c>
      <c r="R88" s="229" t="str">
        <f t="shared" si="21"/>
        <v/>
      </c>
      <c r="S88" s="230" t="str">
        <f>IF($H88="","",HLOOKUP(S$2,'Unit information'!$B$3:$K$29,$L88+2,FALSE))</f>
        <v/>
      </c>
      <c r="T88" s="231" t="str">
        <f>IF($H88="","",HLOOKUP(T$2,'Unit information'!$B$3:$K$29,$L88+2,FALSE))</f>
        <v/>
      </c>
      <c r="U88" s="231" t="str">
        <f>IF($H88="","",HLOOKUP(U$2,'Unit information'!$B$3:$K$29,$L88+2,FALSE))</f>
        <v/>
      </c>
      <c r="V88" s="231" t="str">
        <f>IF($H88="","",HLOOKUP(V$2,'Unit information'!$B$3:$K$29,$M88+2,FALSE))</f>
        <v/>
      </c>
      <c r="W88" s="231" t="str">
        <f>IF($H88="","",HLOOKUP(W$2,'Unit information'!$B$3:$K$29,$M88+2,FALSE))</f>
        <v/>
      </c>
      <c r="X88" s="231" t="str">
        <f>IF($H88="","",HLOOKUP(X$2,'Unit information'!$B$3:$K$29,$N88+2,FALSE))</f>
        <v/>
      </c>
      <c r="Y88" s="232" t="str">
        <f t="shared" si="15"/>
        <v/>
      </c>
      <c r="Z88" s="232" t="str">
        <f t="shared" si="15"/>
        <v/>
      </c>
      <c r="AA88" s="232" t="str">
        <f t="shared" si="16"/>
        <v/>
      </c>
      <c r="AB88" s="232" t="str">
        <f t="shared" si="16"/>
        <v/>
      </c>
      <c r="AC88" s="232" t="str">
        <f t="shared" si="18"/>
        <v/>
      </c>
      <c r="AD88" s="232" t="str">
        <f t="shared" si="17"/>
        <v/>
      </c>
      <c r="AE88" s="229" t="str">
        <f>IF($H88="","",($F$1/$S88*$Y88*'Unit information'!$AB$3)+($F$1/$T88*$Z88*'Unit information'!$AB$4)+($F$1/$U88*$AA88*'Unit information'!$AB$5)+($F$1/$V88*$AB88*'Unit information'!$AB$8)+($F$1/$W88*$AC88*'Unit information'!$AB$10)+($F$1/$X88*$AD88*'Unit information'!$AB$11))</f>
        <v/>
      </c>
      <c r="AF88" s="229" t="str">
        <f>IF($H88="","",($F$1/$S88*$Y88*'Unit information'!$AC$3)+($F$1/$T88*$Z88*'Unit information'!$AC$4)+($F$1/$U88*$AA88*'Unit information'!$AC$5)+($F$1/$V88*$AB88*'Unit information'!$AC$8)+($F$1/$W88*$AC88*'Unit information'!$AC$10)+($F$1/$X88*$AD88*'Unit information'!$AC$11))</f>
        <v/>
      </c>
      <c r="AG88" s="229" t="str">
        <f>IF($H88="","",($F$1/$S88*$Y88*'Unit information'!$AD$3)+($F$1/$T88*$Z88*'Unit information'!$AD$4)+($F$1/$U88*$AA88*'Unit information'!$AD$5)+($F$1/$V88*$AB88*'Unit information'!$AD$8)+($F$1/$W88*$AC88*'Unit information'!$AD$10)+($F$1/$X88*$AD88*'Unit information'!$AD$11))</f>
        <v/>
      </c>
    </row>
    <row r="89" spans="1:33" x14ac:dyDescent="0.25">
      <c r="A89">
        <v>61</v>
      </c>
      <c r="B89" s="367">
        <f t="shared" si="11"/>
        <v>130988000</v>
      </c>
      <c r="C89" s="367">
        <f t="shared" si="12"/>
        <v>154280000</v>
      </c>
      <c r="D89" s="367">
        <f t="shared" si="13"/>
        <v>144825000</v>
      </c>
      <c r="E89" s="155">
        <f t="shared" si="14"/>
        <v>421693000</v>
      </c>
      <c r="H89" s="228"/>
      <c r="I89" s="11"/>
      <c r="J89" s="11"/>
      <c r="K89" s="11"/>
      <c r="L89" s="11"/>
      <c r="M89" s="11"/>
      <c r="N89" s="11"/>
      <c r="O89" s="40"/>
      <c r="P89" s="229" t="str">
        <f t="shared" si="19"/>
        <v/>
      </c>
      <c r="Q89" s="229" t="str">
        <f t="shared" si="20"/>
        <v/>
      </c>
      <c r="R89" s="229" t="str">
        <f t="shared" si="21"/>
        <v/>
      </c>
      <c r="S89" s="230" t="str">
        <f>IF($H89="","",HLOOKUP(S$2,'Unit information'!$B$3:$K$29,$L89+2,FALSE))</f>
        <v/>
      </c>
      <c r="T89" s="231" t="str">
        <f>IF($H89="","",HLOOKUP(T$2,'Unit information'!$B$3:$K$29,$L89+2,FALSE))</f>
        <v/>
      </c>
      <c r="U89" s="231" t="str">
        <f>IF($H89="","",HLOOKUP(U$2,'Unit information'!$B$3:$K$29,$L89+2,FALSE))</f>
        <v/>
      </c>
      <c r="V89" s="231" t="str">
        <f>IF($H89="","",HLOOKUP(V$2,'Unit information'!$B$3:$K$29,$M89+2,FALSE))</f>
        <v/>
      </c>
      <c r="W89" s="231" t="str">
        <f>IF($H89="","",HLOOKUP(W$2,'Unit information'!$B$3:$K$29,$M89+2,FALSE))</f>
        <v/>
      </c>
      <c r="X89" s="231" t="str">
        <f>IF($H89="","",HLOOKUP(X$2,'Unit information'!$B$3:$K$29,$N89+2,FALSE))</f>
        <v/>
      </c>
      <c r="Y89" s="232" t="str">
        <f t="shared" si="15"/>
        <v/>
      </c>
      <c r="Z89" s="232" t="str">
        <f t="shared" si="15"/>
        <v/>
      </c>
      <c r="AA89" s="232" t="str">
        <f t="shared" si="16"/>
        <v/>
      </c>
      <c r="AB89" s="232" t="str">
        <f t="shared" si="16"/>
        <v/>
      </c>
      <c r="AC89" s="232" t="str">
        <f t="shared" si="18"/>
        <v/>
      </c>
      <c r="AD89" s="232" t="str">
        <f t="shared" si="17"/>
        <v/>
      </c>
      <c r="AE89" s="229" t="str">
        <f>IF($H89="","",($F$1/$S89*$Y89*'Unit information'!$AB$3)+($F$1/$T89*$Z89*'Unit information'!$AB$4)+($F$1/$U89*$AA89*'Unit information'!$AB$5)+($F$1/$V89*$AB89*'Unit information'!$AB$8)+($F$1/$W89*$AC89*'Unit information'!$AB$10)+($F$1/$X89*$AD89*'Unit information'!$AB$11))</f>
        <v/>
      </c>
      <c r="AF89" s="229" t="str">
        <f>IF($H89="","",($F$1/$S89*$Y89*'Unit information'!$AC$3)+($F$1/$T89*$Z89*'Unit information'!$AC$4)+($F$1/$U89*$AA89*'Unit information'!$AC$5)+($F$1/$V89*$AB89*'Unit information'!$AC$8)+($F$1/$W89*$AC89*'Unit information'!$AC$10)+($F$1/$X89*$AD89*'Unit information'!$AC$11))</f>
        <v/>
      </c>
      <c r="AG89" s="229" t="str">
        <f>IF($H89="","",($F$1/$S89*$Y89*'Unit information'!$AD$3)+($F$1/$T89*$Z89*'Unit information'!$AD$4)+($F$1/$U89*$AA89*'Unit information'!$AD$5)+($F$1/$V89*$AB89*'Unit information'!$AD$8)+($F$1/$W89*$AC89*'Unit information'!$AD$10)+($F$1/$X89*$AD89*'Unit information'!$AD$11))</f>
        <v/>
      </c>
    </row>
    <row r="90" spans="1:33" x14ac:dyDescent="0.25">
      <c r="A90">
        <v>62</v>
      </c>
      <c r="B90" s="367">
        <f t="shared" si="11"/>
        <v>135244000</v>
      </c>
      <c r="C90" s="367">
        <f t="shared" si="12"/>
        <v>159290000</v>
      </c>
      <c r="D90" s="367">
        <f t="shared" si="13"/>
        <v>149525000</v>
      </c>
      <c r="E90" s="155">
        <f t="shared" si="14"/>
        <v>435519000</v>
      </c>
      <c r="H90" s="228"/>
      <c r="I90" s="11"/>
      <c r="J90" s="11"/>
      <c r="K90" s="11"/>
      <c r="L90" s="11"/>
      <c r="M90" s="11"/>
      <c r="N90" s="11"/>
      <c r="O90" s="40"/>
      <c r="P90" s="229" t="str">
        <f t="shared" si="19"/>
        <v/>
      </c>
      <c r="Q90" s="229" t="str">
        <f t="shared" si="20"/>
        <v/>
      </c>
      <c r="R90" s="229" t="str">
        <f t="shared" si="21"/>
        <v/>
      </c>
      <c r="S90" s="230" t="str">
        <f>IF($H90="","",HLOOKUP(S$2,'Unit information'!$B$3:$K$29,$L90+2,FALSE))</f>
        <v/>
      </c>
      <c r="T90" s="231" t="str">
        <f>IF($H90="","",HLOOKUP(T$2,'Unit information'!$B$3:$K$29,$L90+2,FALSE))</f>
        <v/>
      </c>
      <c r="U90" s="231" t="str">
        <f>IF($H90="","",HLOOKUP(U$2,'Unit information'!$B$3:$K$29,$L90+2,FALSE))</f>
        <v/>
      </c>
      <c r="V90" s="231" t="str">
        <f>IF($H90="","",HLOOKUP(V$2,'Unit information'!$B$3:$K$29,$M90+2,FALSE))</f>
        <v/>
      </c>
      <c r="W90" s="231" t="str">
        <f>IF($H90="","",HLOOKUP(W$2,'Unit information'!$B$3:$K$29,$M90+2,FALSE))</f>
        <v/>
      </c>
      <c r="X90" s="231" t="str">
        <f>IF($H90="","",HLOOKUP(X$2,'Unit information'!$B$3:$K$29,$N90+2,FALSE))</f>
        <v/>
      </c>
      <c r="Y90" s="232" t="str">
        <f t="shared" si="15"/>
        <v/>
      </c>
      <c r="Z90" s="232" t="str">
        <f t="shared" si="15"/>
        <v/>
      </c>
      <c r="AA90" s="232" t="str">
        <f t="shared" si="16"/>
        <v/>
      </c>
      <c r="AB90" s="232" t="str">
        <f t="shared" si="16"/>
        <v/>
      </c>
      <c r="AC90" s="232" t="str">
        <f t="shared" si="18"/>
        <v/>
      </c>
      <c r="AD90" s="232" t="str">
        <f t="shared" si="17"/>
        <v/>
      </c>
      <c r="AE90" s="229" t="str">
        <f>IF($H90="","",($F$1/$S90*$Y90*'Unit information'!$AB$3)+($F$1/$T90*$Z90*'Unit information'!$AB$4)+($F$1/$U90*$AA90*'Unit information'!$AB$5)+($F$1/$V90*$AB90*'Unit information'!$AB$8)+($F$1/$W90*$AC90*'Unit information'!$AB$10)+($F$1/$X90*$AD90*'Unit information'!$AB$11))</f>
        <v/>
      </c>
      <c r="AF90" s="229" t="str">
        <f>IF($H90="","",($F$1/$S90*$Y90*'Unit information'!$AC$3)+($F$1/$T90*$Z90*'Unit information'!$AC$4)+($F$1/$U90*$AA90*'Unit information'!$AC$5)+($F$1/$V90*$AB90*'Unit information'!$AC$8)+($F$1/$W90*$AC90*'Unit information'!$AC$10)+($F$1/$X90*$AD90*'Unit information'!$AC$11))</f>
        <v/>
      </c>
      <c r="AG90" s="229" t="str">
        <f>IF($H90="","",($F$1/$S90*$Y90*'Unit information'!$AD$3)+($F$1/$T90*$Z90*'Unit information'!$AD$4)+($F$1/$U90*$AA90*'Unit information'!$AD$5)+($F$1/$V90*$AB90*'Unit information'!$AD$8)+($F$1/$W90*$AC90*'Unit information'!$AD$10)+($F$1/$X90*$AD90*'Unit information'!$AD$11))</f>
        <v/>
      </c>
    </row>
    <row r="91" spans="1:33" x14ac:dyDescent="0.25">
      <c r="A91">
        <v>63</v>
      </c>
      <c r="B91" s="367">
        <f t="shared" si="11"/>
        <v>139568000</v>
      </c>
      <c r="C91" s="367">
        <f t="shared" si="12"/>
        <v>164380000</v>
      </c>
      <c r="D91" s="367">
        <f t="shared" si="13"/>
        <v>154300000</v>
      </c>
      <c r="E91" s="155">
        <f t="shared" si="14"/>
        <v>449568000</v>
      </c>
      <c r="H91" s="228"/>
      <c r="I91" s="11"/>
      <c r="J91" s="11"/>
      <c r="K91" s="11"/>
      <c r="L91" s="11"/>
      <c r="M91" s="11"/>
      <c r="N91" s="11"/>
      <c r="O91" s="40"/>
      <c r="P91" s="229" t="str">
        <f t="shared" si="19"/>
        <v/>
      </c>
      <c r="Q91" s="229" t="str">
        <f t="shared" si="20"/>
        <v/>
      </c>
      <c r="R91" s="229" t="str">
        <f t="shared" si="21"/>
        <v/>
      </c>
      <c r="S91" s="230" t="str">
        <f>IF($H91="","",HLOOKUP(S$2,'Unit information'!$B$3:$K$29,$L91+2,FALSE))</f>
        <v/>
      </c>
      <c r="T91" s="231" t="str">
        <f>IF($H91="","",HLOOKUP(T$2,'Unit information'!$B$3:$K$29,$L91+2,FALSE))</f>
        <v/>
      </c>
      <c r="U91" s="231" t="str">
        <f>IF($H91="","",HLOOKUP(U$2,'Unit information'!$B$3:$K$29,$L91+2,FALSE))</f>
        <v/>
      </c>
      <c r="V91" s="231" t="str">
        <f>IF($H91="","",HLOOKUP(V$2,'Unit information'!$B$3:$K$29,$M91+2,FALSE))</f>
        <v/>
      </c>
      <c r="W91" s="231" t="str">
        <f>IF($H91="","",HLOOKUP(W$2,'Unit information'!$B$3:$K$29,$M91+2,FALSE))</f>
        <v/>
      </c>
      <c r="X91" s="231" t="str">
        <f>IF($H91="","",HLOOKUP(X$2,'Unit information'!$B$3:$K$29,$N91+2,FALSE))</f>
        <v/>
      </c>
      <c r="Y91" s="232" t="str">
        <f t="shared" si="15"/>
        <v/>
      </c>
      <c r="Z91" s="232" t="str">
        <f t="shared" si="15"/>
        <v/>
      </c>
      <c r="AA91" s="232" t="str">
        <f t="shared" si="16"/>
        <v/>
      </c>
      <c r="AB91" s="232" t="str">
        <f t="shared" si="16"/>
        <v/>
      </c>
      <c r="AC91" s="232" t="str">
        <f t="shared" si="18"/>
        <v/>
      </c>
      <c r="AD91" s="232" t="str">
        <f t="shared" si="17"/>
        <v/>
      </c>
      <c r="AE91" s="229" t="str">
        <f>IF($H91="","",($F$1/$S91*$Y91*'Unit information'!$AB$3)+($F$1/$T91*$Z91*'Unit information'!$AB$4)+($F$1/$U91*$AA91*'Unit information'!$AB$5)+($F$1/$V91*$AB91*'Unit information'!$AB$8)+($F$1/$W91*$AC91*'Unit information'!$AB$10)+($F$1/$X91*$AD91*'Unit information'!$AB$11))</f>
        <v/>
      </c>
      <c r="AF91" s="229" t="str">
        <f>IF($H91="","",($F$1/$S91*$Y91*'Unit information'!$AC$3)+($F$1/$T91*$Z91*'Unit information'!$AC$4)+($F$1/$U91*$AA91*'Unit information'!$AC$5)+($F$1/$V91*$AB91*'Unit information'!$AC$8)+($F$1/$W91*$AC91*'Unit information'!$AC$10)+($F$1/$X91*$AD91*'Unit information'!$AC$11))</f>
        <v/>
      </c>
      <c r="AG91" s="229" t="str">
        <f>IF($H91="","",($F$1/$S91*$Y91*'Unit information'!$AD$3)+($F$1/$T91*$Z91*'Unit information'!$AD$4)+($F$1/$U91*$AA91*'Unit information'!$AD$5)+($F$1/$V91*$AB91*'Unit information'!$AD$8)+($F$1/$W91*$AC91*'Unit information'!$AD$10)+($F$1/$X91*$AD91*'Unit information'!$AD$11))</f>
        <v/>
      </c>
    </row>
    <row r="92" spans="1:33" x14ac:dyDescent="0.25">
      <c r="A92">
        <v>64</v>
      </c>
      <c r="B92" s="367">
        <f t="shared" si="11"/>
        <v>143960000</v>
      </c>
      <c r="C92" s="367">
        <f t="shared" si="12"/>
        <v>169550000</v>
      </c>
      <c r="D92" s="367">
        <f t="shared" si="13"/>
        <v>159150000</v>
      </c>
      <c r="E92" s="155">
        <f t="shared" si="14"/>
        <v>463840000</v>
      </c>
      <c r="H92" s="228"/>
      <c r="I92" s="11"/>
      <c r="J92" s="11"/>
      <c r="K92" s="11"/>
      <c r="L92" s="11"/>
      <c r="M92" s="11"/>
      <c r="N92" s="11"/>
      <c r="O92" s="40"/>
      <c r="P92" s="229" t="str">
        <f t="shared" si="19"/>
        <v/>
      </c>
      <c r="Q92" s="229" t="str">
        <f t="shared" si="20"/>
        <v/>
      </c>
      <c r="R92" s="229" t="str">
        <f t="shared" si="21"/>
        <v/>
      </c>
      <c r="S92" s="230" t="str">
        <f>IF($H92="","",HLOOKUP(S$2,'Unit information'!$B$3:$K$29,$L92+2,FALSE))</f>
        <v/>
      </c>
      <c r="T92" s="231" t="str">
        <f>IF($H92="","",HLOOKUP(T$2,'Unit information'!$B$3:$K$29,$L92+2,FALSE))</f>
        <v/>
      </c>
      <c r="U92" s="231" t="str">
        <f>IF($H92="","",HLOOKUP(U$2,'Unit information'!$B$3:$K$29,$L92+2,FALSE))</f>
        <v/>
      </c>
      <c r="V92" s="231" t="str">
        <f>IF($H92="","",HLOOKUP(V$2,'Unit information'!$B$3:$K$29,$M92+2,FALSE))</f>
        <v/>
      </c>
      <c r="W92" s="231" t="str">
        <f>IF($H92="","",HLOOKUP(W$2,'Unit information'!$B$3:$K$29,$M92+2,FALSE))</f>
        <v/>
      </c>
      <c r="X92" s="231" t="str">
        <f>IF($H92="","",HLOOKUP(X$2,'Unit information'!$B$3:$K$29,$N92+2,FALSE))</f>
        <v/>
      </c>
      <c r="Y92" s="232" t="str">
        <f t="shared" si="15"/>
        <v/>
      </c>
      <c r="Z92" s="232" t="str">
        <f t="shared" si="15"/>
        <v/>
      </c>
      <c r="AA92" s="232" t="str">
        <f t="shared" si="16"/>
        <v/>
      </c>
      <c r="AB92" s="232" t="str">
        <f t="shared" si="16"/>
        <v/>
      </c>
      <c r="AC92" s="232" t="str">
        <f t="shared" si="18"/>
        <v/>
      </c>
      <c r="AD92" s="232" t="str">
        <f t="shared" si="17"/>
        <v/>
      </c>
      <c r="AE92" s="229" t="str">
        <f>IF($H92="","",($F$1/$S92*$Y92*'Unit information'!$AB$3)+($F$1/$T92*$Z92*'Unit information'!$AB$4)+($F$1/$U92*$AA92*'Unit information'!$AB$5)+($F$1/$V92*$AB92*'Unit information'!$AB$8)+($F$1/$W92*$AC92*'Unit information'!$AB$10)+($F$1/$X92*$AD92*'Unit information'!$AB$11))</f>
        <v/>
      </c>
      <c r="AF92" s="229" t="str">
        <f>IF($H92="","",($F$1/$S92*$Y92*'Unit information'!$AC$3)+($F$1/$T92*$Z92*'Unit information'!$AC$4)+($F$1/$U92*$AA92*'Unit information'!$AC$5)+($F$1/$V92*$AB92*'Unit information'!$AC$8)+($F$1/$W92*$AC92*'Unit information'!$AC$10)+($F$1/$X92*$AD92*'Unit information'!$AC$11))</f>
        <v/>
      </c>
      <c r="AG92" s="229" t="str">
        <f>IF($H92="","",($F$1/$S92*$Y92*'Unit information'!$AD$3)+($F$1/$T92*$Z92*'Unit information'!$AD$4)+($F$1/$U92*$AA92*'Unit information'!$AD$5)+($F$1/$V92*$AB92*'Unit information'!$AD$8)+($F$1/$W92*$AC92*'Unit information'!$AD$10)+($F$1/$X92*$AD92*'Unit information'!$AD$11))</f>
        <v/>
      </c>
    </row>
    <row r="93" spans="1:33" x14ac:dyDescent="0.25">
      <c r="A93">
        <v>65</v>
      </c>
      <c r="B93" s="367">
        <f t="shared" si="11"/>
        <v>148420000</v>
      </c>
      <c r="C93" s="367">
        <f t="shared" si="12"/>
        <v>174800000</v>
      </c>
      <c r="D93" s="367">
        <f t="shared" si="13"/>
        <v>164075000</v>
      </c>
      <c r="E93" s="155">
        <f t="shared" si="14"/>
        <v>478335000</v>
      </c>
      <c r="H93" s="228"/>
      <c r="I93" s="11"/>
      <c r="J93" s="11"/>
      <c r="K93" s="11"/>
      <c r="L93" s="11"/>
      <c r="M93" s="11"/>
      <c r="N93" s="11"/>
      <c r="O93" s="40"/>
      <c r="P93" s="229" t="str">
        <f t="shared" si="19"/>
        <v/>
      </c>
      <c r="Q93" s="229" t="str">
        <f t="shared" si="20"/>
        <v/>
      </c>
      <c r="R93" s="229" t="str">
        <f t="shared" si="21"/>
        <v/>
      </c>
      <c r="S93" s="230" t="str">
        <f>IF($H93="","",HLOOKUP(S$2,'Unit information'!$B$3:$K$29,$L93+2,FALSE))</f>
        <v/>
      </c>
      <c r="T93" s="231" t="str">
        <f>IF($H93="","",HLOOKUP(T$2,'Unit information'!$B$3:$K$29,$L93+2,FALSE))</f>
        <v/>
      </c>
      <c r="U93" s="231" t="str">
        <f>IF($H93="","",HLOOKUP(U$2,'Unit information'!$B$3:$K$29,$L93+2,FALSE))</f>
        <v/>
      </c>
      <c r="V93" s="231" t="str">
        <f>IF($H93="","",HLOOKUP(V$2,'Unit information'!$B$3:$K$29,$M93+2,FALSE))</f>
        <v/>
      </c>
      <c r="W93" s="231" t="str">
        <f>IF($H93="","",HLOOKUP(W$2,'Unit information'!$B$3:$K$29,$M93+2,FALSE))</f>
        <v/>
      </c>
      <c r="X93" s="231" t="str">
        <f>IF($H93="","",HLOOKUP(X$2,'Unit information'!$B$3:$K$29,$N93+2,FALSE))</f>
        <v/>
      </c>
      <c r="Y93" s="232" t="str">
        <f t="shared" si="15"/>
        <v/>
      </c>
      <c r="Z93" s="232" t="str">
        <f t="shared" si="15"/>
        <v/>
      </c>
      <c r="AA93" s="232" t="str">
        <f t="shared" si="16"/>
        <v/>
      </c>
      <c r="AB93" s="232" t="str">
        <f t="shared" si="16"/>
        <v/>
      </c>
      <c r="AC93" s="232" t="str">
        <f t="shared" si="18"/>
        <v/>
      </c>
      <c r="AD93" s="232" t="str">
        <f t="shared" si="17"/>
        <v/>
      </c>
      <c r="AE93" s="229" t="str">
        <f>IF($H93="","",($F$1/$S93*$Y93*'Unit information'!$AB$3)+($F$1/$T93*$Z93*'Unit information'!$AB$4)+($F$1/$U93*$AA93*'Unit information'!$AB$5)+($F$1/$V93*$AB93*'Unit information'!$AB$8)+($F$1/$W93*$AC93*'Unit information'!$AB$10)+($F$1/$X93*$AD93*'Unit information'!$AB$11))</f>
        <v/>
      </c>
      <c r="AF93" s="229" t="str">
        <f>IF($H93="","",($F$1/$S93*$Y93*'Unit information'!$AC$3)+($F$1/$T93*$Z93*'Unit information'!$AC$4)+($F$1/$U93*$AA93*'Unit information'!$AC$5)+($F$1/$V93*$AB93*'Unit information'!$AC$8)+($F$1/$W93*$AC93*'Unit information'!$AC$10)+($F$1/$X93*$AD93*'Unit information'!$AC$11))</f>
        <v/>
      </c>
      <c r="AG93" s="229" t="str">
        <f>IF($H93="","",($F$1/$S93*$Y93*'Unit information'!$AD$3)+($F$1/$T93*$Z93*'Unit information'!$AD$4)+($F$1/$U93*$AA93*'Unit information'!$AD$5)+($F$1/$V93*$AB93*'Unit information'!$AD$8)+($F$1/$W93*$AC93*'Unit information'!$AD$10)+($F$1/$X93*$AD93*'Unit information'!$AD$11))</f>
        <v/>
      </c>
    </row>
    <row r="94" spans="1:33" x14ac:dyDescent="0.25">
      <c r="A94">
        <v>66</v>
      </c>
      <c r="B94" s="367">
        <f t="shared" si="11"/>
        <v>152948000</v>
      </c>
      <c r="C94" s="367">
        <f t="shared" si="12"/>
        <v>180130000</v>
      </c>
      <c r="D94" s="367">
        <f t="shared" si="13"/>
        <v>169075000</v>
      </c>
      <c r="E94" s="155">
        <f t="shared" si="14"/>
        <v>493053000</v>
      </c>
      <c r="H94" s="228"/>
      <c r="I94" s="11"/>
      <c r="J94" s="11"/>
      <c r="K94" s="11"/>
      <c r="L94" s="11"/>
      <c r="M94" s="11"/>
      <c r="N94" s="11"/>
      <c r="O94" s="40"/>
      <c r="P94" s="229" t="str">
        <f t="shared" si="19"/>
        <v/>
      </c>
      <c r="Q94" s="229" t="str">
        <f t="shared" si="20"/>
        <v/>
      </c>
      <c r="R94" s="229" t="str">
        <f t="shared" si="21"/>
        <v/>
      </c>
      <c r="S94" s="230" t="str">
        <f>IF($H94="","",HLOOKUP(S$2,'Unit information'!$B$3:$K$29,$L94+2,FALSE))</f>
        <v/>
      </c>
      <c r="T94" s="231" t="str">
        <f>IF($H94="","",HLOOKUP(T$2,'Unit information'!$B$3:$K$29,$L94+2,FALSE))</f>
        <v/>
      </c>
      <c r="U94" s="231" t="str">
        <f>IF($H94="","",HLOOKUP(U$2,'Unit information'!$B$3:$K$29,$L94+2,FALSE))</f>
        <v/>
      </c>
      <c r="V94" s="231" t="str">
        <f>IF($H94="","",HLOOKUP(V$2,'Unit information'!$B$3:$K$29,$M94+2,FALSE))</f>
        <v/>
      </c>
      <c r="W94" s="231" t="str">
        <f>IF($H94="","",HLOOKUP(W$2,'Unit information'!$B$3:$K$29,$M94+2,FALSE))</f>
        <v/>
      </c>
      <c r="X94" s="231" t="str">
        <f>IF($H94="","",HLOOKUP(X$2,'Unit information'!$B$3:$K$29,$N94+2,FALSE))</f>
        <v/>
      </c>
      <c r="Y94" s="232" t="str">
        <f t="shared" si="15"/>
        <v/>
      </c>
      <c r="Z94" s="232" t="str">
        <f t="shared" si="15"/>
        <v/>
      </c>
      <c r="AA94" s="232" t="str">
        <f t="shared" si="16"/>
        <v/>
      </c>
      <c r="AB94" s="232" t="str">
        <f t="shared" si="16"/>
        <v/>
      </c>
      <c r="AC94" s="232" t="str">
        <f t="shared" si="18"/>
        <v/>
      </c>
      <c r="AD94" s="232" t="str">
        <f t="shared" si="17"/>
        <v/>
      </c>
      <c r="AE94" s="229" t="str">
        <f>IF($H94="","",($F$1/$S94*$Y94*'Unit information'!$AB$3)+($F$1/$T94*$Z94*'Unit information'!$AB$4)+($F$1/$U94*$AA94*'Unit information'!$AB$5)+($F$1/$V94*$AB94*'Unit information'!$AB$8)+($F$1/$W94*$AC94*'Unit information'!$AB$10)+($F$1/$X94*$AD94*'Unit information'!$AB$11))</f>
        <v/>
      </c>
      <c r="AF94" s="229" t="str">
        <f>IF($H94="","",($F$1/$S94*$Y94*'Unit information'!$AC$3)+($F$1/$T94*$Z94*'Unit information'!$AC$4)+($F$1/$U94*$AA94*'Unit information'!$AC$5)+($F$1/$V94*$AB94*'Unit information'!$AC$8)+($F$1/$W94*$AC94*'Unit information'!$AC$10)+($F$1/$X94*$AD94*'Unit information'!$AC$11))</f>
        <v/>
      </c>
      <c r="AG94" s="229" t="str">
        <f>IF($H94="","",($F$1/$S94*$Y94*'Unit information'!$AD$3)+($F$1/$T94*$Z94*'Unit information'!$AD$4)+($F$1/$U94*$AA94*'Unit information'!$AD$5)+($F$1/$V94*$AB94*'Unit information'!$AD$8)+($F$1/$W94*$AC94*'Unit information'!$AD$10)+($F$1/$X94*$AD94*'Unit information'!$AD$11))</f>
        <v/>
      </c>
    </row>
    <row r="95" spans="1:33" x14ac:dyDescent="0.25">
      <c r="A95">
        <v>67</v>
      </c>
      <c r="B95" s="367">
        <f t="shared" ref="B95:B128" si="22">IF($B$4="Goldmünzen",$A95*B$29+B94+40000,$A95*B$29+B94)</f>
        <v>157544000</v>
      </c>
      <c r="C95" s="367">
        <f t="shared" ref="C95:C128" si="23">IF($B$4="Goldmünzen",$A95*C$29+C94+50000,$A95*C$29+C94)</f>
        <v>185540000</v>
      </c>
      <c r="D95" s="367">
        <f t="shared" ref="D95:D128" si="24">IF($B$4="Goldmünzen",$A95*D$29+D94+50000,$A95*D$29+D94)</f>
        <v>174150000</v>
      </c>
      <c r="E95" s="155">
        <f t="shared" si="14"/>
        <v>507994000</v>
      </c>
      <c r="H95" s="228"/>
      <c r="I95" s="11"/>
      <c r="J95" s="11"/>
      <c r="K95" s="11"/>
      <c r="L95" s="11"/>
      <c r="M95" s="11"/>
      <c r="N95" s="11"/>
      <c r="O95" s="40"/>
      <c r="P95" s="229" t="str">
        <f t="shared" si="19"/>
        <v/>
      </c>
      <c r="Q95" s="229" t="str">
        <f t="shared" si="20"/>
        <v/>
      </c>
      <c r="R95" s="229" t="str">
        <f t="shared" si="21"/>
        <v/>
      </c>
      <c r="S95" s="230" t="str">
        <f>IF($H95="","",HLOOKUP(S$2,'Unit information'!$B$3:$K$29,$L95+2,FALSE))</f>
        <v/>
      </c>
      <c r="T95" s="231" t="str">
        <f>IF($H95="","",HLOOKUP(T$2,'Unit information'!$B$3:$K$29,$L95+2,FALSE))</f>
        <v/>
      </c>
      <c r="U95" s="231" t="str">
        <f>IF($H95="","",HLOOKUP(U$2,'Unit information'!$B$3:$K$29,$L95+2,FALSE))</f>
        <v/>
      </c>
      <c r="V95" s="231" t="str">
        <f>IF($H95="","",HLOOKUP(V$2,'Unit information'!$B$3:$K$29,$M95+2,FALSE))</f>
        <v/>
      </c>
      <c r="W95" s="231" t="str">
        <f>IF($H95="","",HLOOKUP(W$2,'Unit information'!$B$3:$K$29,$M95+2,FALSE))</f>
        <v/>
      </c>
      <c r="X95" s="231" t="str">
        <f>IF($H95="","",HLOOKUP(X$2,'Unit information'!$B$3:$K$29,$N95+2,FALSE))</f>
        <v/>
      </c>
      <c r="Y95" s="232" t="str">
        <f t="shared" si="15"/>
        <v/>
      </c>
      <c r="Z95" s="232" t="str">
        <f t="shared" si="15"/>
        <v/>
      </c>
      <c r="AA95" s="232" t="str">
        <f t="shared" si="16"/>
        <v/>
      </c>
      <c r="AB95" s="232" t="str">
        <f t="shared" si="16"/>
        <v/>
      </c>
      <c r="AC95" s="232" t="str">
        <f t="shared" si="18"/>
        <v/>
      </c>
      <c r="AD95" s="232" t="str">
        <f t="shared" si="17"/>
        <v/>
      </c>
      <c r="AE95" s="229" t="str">
        <f>IF($H95="","",($F$1/$S95*$Y95*'Unit information'!$AB$3)+($F$1/$T95*$Z95*'Unit information'!$AB$4)+($F$1/$U95*$AA95*'Unit information'!$AB$5)+($F$1/$V95*$AB95*'Unit information'!$AB$8)+($F$1/$W95*$AC95*'Unit information'!$AB$10)+($F$1/$X95*$AD95*'Unit information'!$AB$11))</f>
        <v/>
      </c>
      <c r="AF95" s="229" t="str">
        <f>IF($H95="","",($F$1/$S95*$Y95*'Unit information'!$AC$3)+($F$1/$T95*$Z95*'Unit information'!$AC$4)+($F$1/$U95*$AA95*'Unit information'!$AC$5)+($F$1/$V95*$AB95*'Unit information'!$AC$8)+($F$1/$W95*$AC95*'Unit information'!$AC$10)+($F$1/$X95*$AD95*'Unit information'!$AC$11))</f>
        <v/>
      </c>
      <c r="AG95" s="229" t="str">
        <f>IF($H95="","",($F$1/$S95*$Y95*'Unit information'!$AD$3)+($F$1/$T95*$Z95*'Unit information'!$AD$4)+($F$1/$U95*$AA95*'Unit information'!$AD$5)+($F$1/$V95*$AB95*'Unit information'!$AD$8)+($F$1/$W95*$AC95*'Unit information'!$AD$10)+($F$1/$X95*$AD95*'Unit information'!$AD$11))</f>
        <v/>
      </c>
    </row>
    <row r="96" spans="1:33" x14ac:dyDescent="0.25">
      <c r="A96">
        <v>68</v>
      </c>
      <c r="B96" s="367">
        <f t="shared" si="22"/>
        <v>162208000</v>
      </c>
      <c r="C96" s="367">
        <f t="shared" si="23"/>
        <v>191030000</v>
      </c>
      <c r="D96" s="367">
        <f t="shared" si="24"/>
        <v>179300000</v>
      </c>
      <c r="E96" s="155">
        <f t="shared" si="14"/>
        <v>523158000</v>
      </c>
      <c r="H96" s="228"/>
      <c r="I96" s="11"/>
      <c r="J96" s="11"/>
      <c r="K96" s="11"/>
      <c r="L96" s="11"/>
      <c r="M96" s="11"/>
      <c r="N96" s="11"/>
      <c r="O96" s="40"/>
      <c r="P96" s="229" t="str">
        <f t="shared" si="19"/>
        <v/>
      </c>
      <c r="Q96" s="229" t="str">
        <f t="shared" si="20"/>
        <v/>
      </c>
      <c r="R96" s="229" t="str">
        <f t="shared" si="21"/>
        <v/>
      </c>
      <c r="S96" s="230" t="str">
        <f>IF($H96="","",HLOOKUP(S$2,'Unit information'!$B$3:$K$29,$L96+2,FALSE))</f>
        <v/>
      </c>
      <c r="T96" s="231" t="str">
        <f>IF($H96="","",HLOOKUP(T$2,'Unit information'!$B$3:$K$29,$L96+2,FALSE))</f>
        <v/>
      </c>
      <c r="U96" s="231" t="str">
        <f>IF($H96="","",HLOOKUP(U$2,'Unit information'!$B$3:$K$29,$L96+2,FALSE))</f>
        <v/>
      </c>
      <c r="V96" s="231" t="str">
        <f>IF($H96="","",HLOOKUP(V$2,'Unit information'!$B$3:$K$29,$M96+2,FALSE))</f>
        <v/>
      </c>
      <c r="W96" s="231" t="str">
        <f>IF($H96="","",HLOOKUP(W$2,'Unit information'!$B$3:$K$29,$M96+2,FALSE))</f>
        <v/>
      </c>
      <c r="X96" s="231" t="str">
        <f>IF($H96="","",HLOOKUP(X$2,'Unit information'!$B$3:$K$29,$N96+2,FALSE))</f>
        <v/>
      </c>
      <c r="Y96" s="232" t="str">
        <f t="shared" si="15"/>
        <v/>
      </c>
      <c r="Z96" s="232" t="str">
        <f t="shared" si="15"/>
        <v/>
      </c>
      <c r="AA96" s="232" t="str">
        <f t="shared" si="16"/>
        <v/>
      </c>
      <c r="AB96" s="232" t="str">
        <f t="shared" si="16"/>
        <v/>
      </c>
      <c r="AC96" s="232" t="str">
        <f t="shared" si="18"/>
        <v/>
      </c>
      <c r="AD96" s="232" t="str">
        <f t="shared" si="17"/>
        <v/>
      </c>
      <c r="AE96" s="229" t="str">
        <f>IF($H96="","",($F$1/$S96*$Y96*'Unit information'!$AB$3)+($F$1/$T96*$Z96*'Unit information'!$AB$4)+($F$1/$U96*$AA96*'Unit information'!$AB$5)+($F$1/$V96*$AB96*'Unit information'!$AB$8)+($F$1/$W96*$AC96*'Unit information'!$AB$10)+($F$1/$X96*$AD96*'Unit information'!$AB$11))</f>
        <v/>
      </c>
      <c r="AF96" s="229" t="str">
        <f>IF($H96="","",($F$1/$S96*$Y96*'Unit information'!$AC$3)+($F$1/$T96*$Z96*'Unit information'!$AC$4)+($F$1/$U96*$AA96*'Unit information'!$AC$5)+($F$1/$V96*$AB96*'Unit information'!$AC$8)+($F$1/$W96*$AC96*'Unit information'!$AC$10)+($F$1/$X96*$AD96*'Unit information'!$AC$11))</f>
        <v/>
      </c>
      <c r="AG96" s="229" t="str">
        <f>IF($H96="","",($F$1/$S96*$Y96*'Unit information'!$AD$3)+($F$1/$T96*$Z96*'Unit information'!$AD$4)+($F$1/$U96*$AA96*'Unit information'!$AD$5)+($F$1/$V96*$AB96*'Unit information'!$AD$8)+($F$1/$W96*$AC96*'Unit information'!$AD$10)+($F$1/$X96*$AD96*'Unit information'!$AD$11))</f>
        <v/>
      </c>
    </row>
    <row r="97" spans="1:33" x14ac:dyDescent="0.25">
      <c r="A97">
        <v>69</v>
      </c>
      <c r="B97" s="367">
        <f t="shared" si="22"/>
        <v>166940000</v>
      </c>
      <c r="C97" s="367">
        <f t="shared" si="23"/>
        <v>196600000</v>
      </c>
      <c r="D97" s="367">
        <f t="shared" si="24"/>
        <v>184525000</v>
      </c>
      <c r="E97" s="155">
        <f t="shared" si="14"/>
        <v>538545000</v>
      </c>
      <c r="H97" s="228"/>
      <c r="I97" s="11"/>
      <c r="J97" s="11"/>
      <c r="K97" s="11"/>
      <c r="L97" s="11"/>
      <c r="M97" s="11"/>
      <c r="N97" s="11"/>
      <c r="O97" s="40"/>
      <c r="P97" s="229" t="str">
        <f t="shared" si="19"/>
        <v/>
      </c>
      <c r="Q97" s="229" t="str">
        <f t="shared" si="20"/>
        <v/>
      </c>
      <c r="R97" s="229" t="str">
        <f t="shared" si="21"/>
        <v/>
      </c>
      <c r="S97" s="230" t="str">
        <f>IF($H97="","",HLOOKUP(S$2,'Unit information'!$B$3:$K$29,$L97+2,FALSE))</f>
        <v/>
      </c>
      <c r="T97" s="231" t="str">
        <f>IF($H97="","",HLOOKUP(T$2,'Unit information'!$B$3:$K$29,$L97+2,FALSE))</f>
        <v/>
      </c>
      <c r="U97" s="231" t="str">
        <f>IF($H97="","",HLOOKUP(U$2,'Unit information'!$B$3:$K$29,$L97+2,FALSE))</f>
        <v/>
      </c>
      <c r="V97" s="231" t="str">
        <f>IF($H97="","",HLOOKUP(V$2,'Unit information'!$B$3:$K$29,$M97+2,FALSE))</f>
        <v/>
      </c>
      <c r="W97" s="231" t="str">
        <f>IF($H97="","",HLOOKUP(W$2,'Unit information'!$B$3:$K$29,$M97+2,FALSE))</f>
        <v/>
      </c>
      <c r="X97" s="231" t="str">
        <f>IF($H97="","",HLOOKUP(X$2,'Unit information'!$B$3:$K$29,$N97+2,FALSE))</f>
        <v/>
      </c>
      <c r="Y97" s="232" t="str">
        <f t="shared" si="15"/>
        <v/>
      </c>
      <c r="Z97" s="232" t="str">
        <f t="shared" si="15"/>
        <v/>
      </c>
      <c r="AA97" s="232" t="str">
        <f t="shared" si="16"/>
        <v/>
      </c>
      <c r="AB97" s="232" t="str">
        <f t="shared" si="16"/>
        <v/>
      </c>
      <c r="AC97" s="232" t="str">
        <f t="shared" si="18"/>
        <v/>
      </c>
      <c r="AD97" s="232" t="str">
        <f t="shared" si="17"/>
        <v/>
      </c>
      <c r="AE97" s="229" t="str">
        <f>IF($H97="","",($F$1/$S97*$Y97*'Unit information'!$AB$3)+($F$1/$T97*$Z97*'Unit information'!$AB$4)+($F$1/$U97*$AA97*'Unit information'!$AB$5)+($F$1/$V97*$AB97*'Unit information'!$AB$8)+($F$1/$W97*$AC97*'Unit information'!$AB$10)+($F$1/$X97*$AD97*'Unit information'!$AB$11))</f>
        <v/>
      </c>
      <c r="AF97" s="229" t="str">
        <f>IF($H97="","",($F$1/$S97*$Y97*'Unit information'!$AC$3)+($F$1/$T97*$Z97*'Unit information'!$AC$4)+($F$1/$U97*$AA97*'Unit information'!$AC$5)+($F$1/$V97*$AB97*'Unit information'!$AC$8)+($F$1/$W97*$AC97*'Unit information'!$AC$10)+($F$1/$X97*$AD97*'Unit information'!$AC$11))</f>
        <v/>
      </c>
      <c r="AG97" s="229" t="str">
        <f>IF($H97="","",($F$1/$S97*$Y97*'Unit information'!$AD$3)+($F$1/$T97*$Z97*'Unit information'!$AD$4)+($F$1/$U97*$AA97*'Unit information'!$AD$5)+($F$1/$V97*$AB97*'Unit information'!$AD$8)+($F$1/$W97*$AC97*'Unit information'!$AD$10)+($F$1/$X97*$AD97*'Unit information'!$AD$11))</f>
        <v/>
      </c>
    </row>
    <row r="98" spans="1:33" x14ac:dyDescent="0.25">
      <c r="A98">
        <v>70</v>
      </c>
      <c r="B98" s="367">
        <f t="shared" si="22"/>
        <v>171740000</v>
      </c>
      <c r="C98" s="367">
        <f t="shared" si="23"/>
        <v>202250000</v>
      </c>
      <c r="D98" s="367">
        <f t="shared" si="24"/>
        <v>189825000</v>
      </c>
      <c r="E98" s="155">
        <f t="shared" si="14"/>
        <v>554155000</v>
      </c>
      <c r="H98" s="228"/>
      <c r="I98" s="11"/>
      <c r="J98" s="11"/>
      <c r="K98" s="11"/>
      <c r="L98" s="11"/>
      <c r="M98" s="11"/>
      <c r="N98" s="11"/>
      <c r="O98" s="40"/>
      <c r="P98" s="229" t="str">
        <f t="shared" si="19"/>
        <v/>
      </c>
      <c r="Q98" s="229" t="str">
        <f t="shared" si="20"/>
        <v/>
      </c>
      <c r="R98" s="229" t="str">
        <f t="shared" si="21"/>
        <v/>
      </c>
      <c r="S98" s="230" t="str">
        <f>IF($H98="","",HLOOKUP(S$2,'Unit information'!$B$3:$K$29,$L98+2,FALSE))</f>
        <v/>
      </c>
      <c r="T98" s="231" t="str">
        <f>IF($H98="","",HLOOKUP(T$2,'Unit information'!$B$3:$K$29,$L98+2,FALSE))</f>
        <v/>
      </c>
      <c r="U98" s="231" t="str">
        <f>IF($H98="","",HLOOKUP(U$2,'Unit information'!$B$3:$K$29,$L98+2,FALSE))</f>
        <v/>
      </c>
      <c r="V98" s="231" t="str">
        <f>IF($H98="","",HLOOKUP(V$2,'Unit information'!$B$3:$K$29,$M98+2,FALSE))</f>
        <v/>
      </c>
      <c r="W98" s="231" t="str">
        <f>IF($H98="","",HLOOKUP(W$2,'Unit information'!$B$3:$K$29,$M98+2,FALSE))</f>
        <v/>
      </c>
      <c r="X98" s="231" t="str">
        <f>IF($H98="","",HLOOKUP(X$2,'Unit information'!$B$3:$K$29,$N98+2,FALSE))</f>
        <v/>
      </c>
      <c r="Y98" s="232" t="str">
        <f t="shared" si="15"/>
        <v/>
      </c>
      <c r="Z98" s="232" t="str">
        <f t="shared" si="15"/>
        <v/>
      </c>
      <c r="AA98" s="232" t="str">
        <f t="shared" si="16"/>
        <v/>
      </c>
      <c r="AB98" s="232" t="str">
        <f t="shared" si="16"/>
        <v/>
      </c>
      <c r="AC98" s="232" t="str">
        <f t="shared" si="18"/>
        <v/>
      </c>
      <c r="AD98" s="232" t="str">
        <f t="shared" si="17"/>
        <v/>
      </c>
      <c r="AE98" s="229" t="str">
        <f>IF($H98="","",($F$1/$S98*$Y98*'Unit information'!$AB$3)+($F$1/$T98*$Z98*'Unit information'!$AB$4)+($F$1/$U98*$AA98*'Unit information'!$AB$5)+($F$1/$V98*$AB98*'Unit information'!$AB$8)+($F$1/$W98*$AC98*'Unit information'!$AB$10)+($F$1/$X98*$AD98*'Unit information'!$AB$11))</f>
        <v/>
      </c>
      <c r="AF98" s="229" t="str">
        <f>IF($H98="","",($F$1/$S98*$Y98*'Unit information'!$AC$3)+($F$1/$T98*$Z98*'Unit information'!$AC$4)+($F$1/$U98*$AA98*'Unit information'!$AC$5)+($F$1/$V98*$AB98*'Unit information'!$AC$8)+($F$1/$W98*$AC98*'Unit information'!$AC$10)+($F$1/$X98*$AD98*'Unit information'!$AC$11))</f>
        <v/>
      </c>
      <c r="AG98" s="229" t="str">
        <f>IF($H98="","",($F$1/$S98*$Y98*'Unit information'!$AD$3)+($F$1/$T98*$Z98*'Unit information'!$AD$4)+($F$1/$U98*$AA98*'Unit information'!$AD$5)+($F$1/$V98*$AB98*'Unit information'!$AD$8)+($F$1/$W98*$AC98*'Unit information'!$AD$10)+($F$1/$X98*$AD98*'Unit information'!$AD$11))</f>
        <v/>
      </c>
    </row>
    <row r="99" spans="1:33" x14ac:dyDescent="0.25">
      <c r="A99">
        <v>71</v>
      </c>
      <c r="B99" s="367">
        <f t="shared" si="22"/>
        <v>176608000</v>
      </c>
      <c r="C99" s="367">
        <f t="shared" si="23"/>
        <v>207980000</v>
      </c>
      <c r="D99" s="367">
        <f t="shared" si="24"/>
        <v>195200000</v>
      </c>
      <c r="E99" s="155">
        <f t="shared" si="14"/>
        <v>569988000</v>
      </c>
      <c r="H99" s="228"/>
      <c r="I99" s="11"/>
      <c r="J99" s="11"/>
      <c r="K99" s="11"/>
      <c r="L99" s="11"/>
      <c r="M99" s="11"/>
      <c r="N99" s="11"/>
      <c r="O99" s="40"/>
      <c r="P99" s="229" t="str">
        <f t="shared" si="19"/>
        <v/>
      </c>
      <c r="Q99" s="229" t="str">
        <f t="shared" si="20"/>
        <v/>
      </c>
      <c r="R99" s="229" t="str">
        <f t="shared" si="21"/>
        <v/>
      </c>
      <c r="S99" s="230" t="str">
        <f>IF($H99="","",HLOOKUP(S$2,'Unit information'!$B$3:$K$29,$L99+2,FALSE))</f>
        <v/>
      </c>
      <c r="T99" s="231" t="str">
        <f>IF($H99="","",HLOOKUP(T$2,'Unit information'!$B$3:$K$29,$L99+2,FALSE))</f>
        <v/>
      </c>
      <c r="U99" s="231" t="str">
        <f>IF($H99="","",HLOOKUP(U$2,'Unit information'!$B$3:$K$29,$L99+2,FALSE))</f>
        <v/>
      </c>
      <c r="V99" s="231" t="str">
        <f>IF($H99="","",HLOOKUP(V$2,'Unit information'!$B$3:$K$29,$M99+2,FALSE))</f>
        <v/>
      </c>
      <c r="W99" s="231" t="str">
        <f>IF($H99="","",HLOOKUP(W$2,'Unit information'!$B$3:$K$29,$M99+2,FALSE))</f>
        <v/>
      </c>
      <c r="X99" s="231" t="str">
        <f>IF($H99="","",HLOOKUP(X$2,'Unit information'!$B$3:$K$29,$N99+2,FALSE))</f>
        <v/>
      </c>
      <c r="Y99" s="232" t="str">
        <f t="shared" si="15"/>
        <v/>
      </c>
      <c r="Z99" s="232" t="str">
        <f t="shared" si="15"/>
        <v/>
      </c>
      <c r="AA99" s="232" t="str">
        <f t="shared" si="16"/>
        <v/>
      </c>
      <c r="AB99" s="232" t="str">
        <f t="shared" si="16"/>
        <v/>
      </c>
      <c r="AC99" s="232" t="str">
        <f t="shared" si="18"/>
        <v/>
      </c>
      <c r="AD99" s="232" t="str">
        <f t="shared" si="17"/>
        <v/>
      </c>
      <c r="AE99" s="229" t="str">
        <f>IF($H99="","",($F$1/$S99*$Y99*'Unit information'!$AB$3)+($F$1/$T99*$Z99*'Unit information'!$AB$4)+($F$1/$U99*$AA99*'Unit information'!$AB$5)+($F$1/$V99*$AB99*'Unit information'!$AB$8)+($F$1/$W99*$AC99*'Unit information'!$AB$10)+($F$1/$X99*$AD99*'Unit information'!$AB$11))</f>
        <v/>
      </c>
      <c r="AF99" s="229" t="str">
        <f>IF($H99="","",($F$1/$S99*$Y99*'Unit information'!$AC$3)+($F$1/$T99*$Z99*'Unit information'!$AC$4)+($F$1/$U99*$AA99*'Unit information'!$AC$5)+($F$1/$V99*$AB99*'Unit information'!$AC$8)+($F$1/$W99*$AC99*'Unit information'!$AC$10)+($F$1/$X99*$AD99*'Unit information'!$AC$11))</f>
        <v/>
      </c>
      <c r="AG99" s="229" t="str">
        <f>IF($H99="","",($F$1/$S99*$Y99*'Unit information'!$AD$3)+($F$1/$T99*$Z99*'Unit information'!$AD$4)+($F$1/$U99*$AA99*'Unit information'!$AD$5)+($F$1/$V99*$AB99*'Unit information'!$AD$8)+($F$1/$W99*$AC99*'Unit information'!$AD$10)+($F$1/$X99*$AD99*'Unit information'!$AD$11))</f>
        <v/>
      </c>
    </row>
    <row r="100" spans="1:33" x14ac:dyDescent="0.25">
      <c r="A100">
        <v>72</v>
      </c>
      <c r="B100" s="367">
        <f t="shared" si="22"/>
        <v>181544000</v>
      </c>
      <c r="C100" s="367">
        <f t="shared" si="23"/>
        <v>213790000</v>
      </c>
      <c r="D100" s="367">
        <f t="shared" si="24"/>
        <v>200650000</v>
      </c>
      <c r="E100" s="155">
        <f t="shared" si="14"/>
        <v>586044000</v>
      </c>
      <c r="H100" s="228"/>
      <c r="I100" s="11"/>
      <c r="J100" s="11"/>
      <c r="K100" s="11"/>
      <c r="L100" s="11"/>
      <c r="M100" s="11"/>
      <c r="N100" s="11"/>
      <c r="O100" s="40"/>
      <c r="P100" s="229" t="str">
        <f t="shared" si="19"/>
        <v/>
      </c>
      <c r="Q100" s="229" t="str">
        <f t="shared" si="20"/>
        <v/>
      </c>
      <c r="R100" s="229" t="str">
        <f t="shared" si="21"/>
        <v/>
      </c>
      <c r="S100" s="230" t="str">
        <f>IF($H100="","",HLOOKUP(S$2,'Unit information'!$B$3:$K$29,$L100+2,FALSE))</f>
        <v/>
      </c>
      <c r="T100" s="231" t="str">
        <f>IF($H100="","",HLOOKUP(T$2,'Unit information'!$B$3:$K$29,$L100+2,FALSE))</f>
        <v/>
      </c>
      <c r="U100" s="231" t="str">
        <f>IF($H100="","",HLOOKUP(U$2,'Unit information'!$B$3:$K$29,$L100+2,FALSE))</f>
        <v/>
      </c>
      <c r="V100" s="231" t="str">
        <f>IF($H100="","",HLOOKUP(V$2,'Unit information'!$B$3:$K$29,$M100+2,FALSE))</f>
        <v/>
      </c>
      <c r="W100" s="231" t="str">
        <f>IF($H100="","",HLOOKUP(W$2,'Unit information'!$B$3:$K$29,$M100+2,FALSE))</f>
        <v/>
      </c>
      <c r="X100" s="231" t="str">
        <f>IF($H100="","",HLOOKUP(X$2,'Unit information'!$B$3:$K$29,$N100+2,FALSE))</f>
        <v/>
      </c>
      <c r="Y100" s="232" t="str">
        <f t="shared" si="15"/>
        <v/>
      </c>
      <c r="Z100" s="232" t="str">
        <f t="shared" si="15"/>
        <v/>
      </c>
      <c r="AA100" s="232" t="str">
        <f t="shared" si="16"/>
        <v/>
      </c>
      <c r="AB100" s="232" t="str">
        <f t="shared" si="16"/>
        <v/>
      </c>
      <c r="AC100" s="232" t="str">
        <f t="shared" si="18"/>
        <v/>
      </c>
      <c r="AD100" s="232" t="str">
        <f t="shared" si="17"/>
        <v/>
      </c>
      <c r="AE100" s="229" t="str">
        <f>IF($H100="","",($F$1/$S100*$Y100*'Unit information'!$AB$3)+($F$1/$T100*$Z100*'Unit information'!$AB$4)+($F$1/$U100*$AA100*'Unit information'!$AB$5)+($F$1/$V100*$AB100*'Unit information'!$AB$8)+($F$1/$W100*$AC100*'Unit information'!$AB$10)+($F$1/$X100*$AD100*'Unit information'!$AB$11))</f>
        <v/>
      </c>
      <c r="AF100" s="229" t="str">
        <f>IF($H100="","",($F$1/$S100*$Y100*'Unit information'!$AC$3)+($F$1/$T100*$Z100*'Unit information'!$AC$4)+($F$1/$U100*$AA100*'Unit information'!$AC$5)+($F$1/$V100*$AB100*'Unit information'!$AC$8)+($F$1/$W100*$AC100*'Unit information'!$AC$10)+($F$1/$X100*$AD100*'Unit information'!$AC$11))</f>
        <v/>
      </c>
      <c r="AG100" s="229" t="str">
        <f>IF($H100="","",($F$1/$S100*$Y100*'Unit information'!$AD$3)+($F$1/$T100*$Z100*'Unit information'!$AD$4)+($F$1/$U100*$AA100*'Unit information'!$AD$5)+($F$1/$V100*$AB100*'Unit information'!$AD$8)+($F$1/$W100*$AC100*'Unit information'!$AD$10)+($F$1/$X100*$AD100*'Unit information'!$AD$11))</f>
        <v/>
      </c>
    </row>
    <row r="101" spans="1:33" x14ac:dyDescent="0.25">
      <c r="A101">
        <v>73</v>
      </c>
      <c r="B101" s="367">
        <f t="shared" si="22"/>
        <v>186548000</v>
      </c>
      <c r="C101" s="367">
        <f t="shared" si="23"/>
        <v>219680000</v>
      </c>
      <c r="D101" s="367">
        <f t="shared" si="24"/>
        <v>206175000</v>
      </c>
      <c r="E101" s="155">
        <f t="shared" si="14"/>
        <v>602323000</v>
      </c>
      <c r="H101" s="228"/>
      <c r="I101" s="11"/>
      <c r="J101" s="11"/>
      <c r="K101" s="11"/>
      <c r="L101" s="11"/>
      <c r="M101" s="11"/>
      <c r="N101" s="11"/>
      <c r="O101" s="40"/>
      <c r="P101" s="229" t="str">
        <f t="shared" si="19"/>
        <v/>
      </c>
      <c r="Q101" s="229" t="str">
        <f t="shared" si="20"/>
        <v/>
      </c>
      <c r="R101" s="229" t="str">
        <f t="shared" si="21"/>
        <v/>
      </c>
      <c r="S101" s="230" t="str">
        <f>IF($H101="","",HLOOKUP(S$2,'Unit information'!$B$3:$K$29,$L101+2,FALSE))</f>
        <v/>
      </c>
      <c r="T101" s="231" t="str">
        <f>IF($H101="","",HLOOKUP(T$2,'Unit information'!$B$3:$K$29,$L101+2,FALSE))</f>
        <v/>
      </c>
      <c r="U101" s="231" t="str">
        <f>IF($H101="","",HLOOKUP(U$2,'Unit information'!$B$3:$K$29,$L101+2,FALSE))</f>
        <v/>
      </c>
      <c r="V101" s="231" t="str">
        <f>IF($H101="","",HLOOKUP(V$2,'Unit information'!$B$3:$K$29,$M101+2,FALSE))</f>
        <v/>
      </c>
      <c r="W101" s="231" t="str">
        <f>IF($H101="","",HLOOKUP(W$2,'Unit information'!$B$3:$K$29,$M101+2,FALSE))</f>
        <v/>
      </c>
      <c r="X101" s="231" t="str">
        <f>IF($H101="","",HLOOKUP(X$2,'Unit information'!$B$3:$K$29,$N101+2,FALSE))</f>
        <v/>
      </c>
      <c r="Y101" s="232" t="str">
        <f t="shared" si="15"/>
        <v/>
      </c>
      <c r="Z101" s="232" t="str">
        <f t="shared" si="15"/>
        <v/>
      </c>
      <c r="AA101" s="232" t="str">
        <f t="shared" si="16"/>
        <v/>
      </c>
      <c r="AB101" s="232" t="str">
        <f t="shared" si="16"/>
        <v/>
      </c>
      <c r="AC101" s="232" t="str">
        <f t="shared" si="18"/>
        <v/>
      </c>
      <c r="AD101" s="232" t="str">
        <f t="shared" si="17"/>
        <v/>
      </c>
      <c r="AE101" s="229" t="str">
        <f>IF($H101="","",($F$1/$S101*$Y101*'Unit information'!$AB$3)+($F$1/$T101*$Z101*'Unit information'!$AB$4)+($F$1/$U101*$AA101*'Unit information'!$AB$5)+($F$1/$V101*$AB101*'Unit information'!$AB$8)+($F$1/$W101*$AC101*'Unit information'!$AB$10)+($F$1/$X101*$AD101*'Unit information'!$AB$11))</f>
        <v/>
      </c>
      <c r="AF101" s="229" t="str">
        <f>IF($H101="","",($F$1/$S101*$Y101*'Unit information'!$AC$3)+($F$1/$T101*$Z101*'Unit information'!$AC$4)+($F$1/$U101*$AA101*'Unit information'!$AC$5)+($F$1/$V101*$AB101*'Unit information'!$AC$8)+($F$1/$W101*$AC101*'Unit information'!$AC$10)+($F$1/$X101*$AD101*'Unit information'!$AC$11))</f>
        <v/>
      </c>
      <c r="AG101" s="229" t="str">
        <f>IF($H101="","",($F$1/$S101*$Y101*'Unit information'!$AD$3)+($F$1/$T101*$Z101*'Unit information'!$AD$4)+($F$1/$U101*$AA101*'Unit information'!$AD$5)+($F$1/$V101*$AB101*'Unit information'!$AD$8)+($F$1/$W101*$AC101*'Unit information'!$AD$10)+($F$1/$X101*$AD101*'Unit information'!$AD$11))</f>
        <v/>
      </c>
    </row>
    <row r="102" spans="1:33" x14ac:dyDescent="0.25">
      <c r="A102">
        <v>74</v>
      </c>
      <c r="B102" s="367">
        <f t="shared" si="22"/>
        <v>191620000</v>
      </c>
      <c r="C102" s="367">
        <f t="shared" si="23"/>
        <v>225650000</v>
      </c>
      <c r="D102" s="367">
        <f t="shared" si="24"/>
        <v>211775000</v>
      </c>
      <c r="E102" s="155">
        <f t="shared" si="14"/>
        <v>618825000</v>
      </c>
      <c r="H102" s="228"/>
      <c r="I102" s="11"/>
      <c r="J102" s="11"/>
      <c r="K102" s="11"/>
      <c r="L102" s="11"/>
      <c r="M102" s="11"/>
      <c r="N102" s="11"/>
      <c r="O102" s="40"/>
      <c r="P102" s="229" t="str">
        <f t="shared" si="19"/>
        <v/>
      </c>
      <c r="Q102" s="229" t="str">
        <f t="shared" si="20"/>
        <v/>
      </c>
      <c r="R102" s="229" t="str">
        <f t="shared" si="21"/>
        <v/>
      </c>
      <c r="S102" s="230" t="str">
        <f>IF($H102="","",HLOOKUP(S$2,'Unit information'!$B$3:$K$29,$L102+2,FALSE))</f>
        <v/>
      </c>
      <c r="T102" s="231" t="str">
        <f>IF($H102="","",HLOOKUP(T$2,'Unit information'!$B$3:$K$29,$L102+2,FALSE))</f>
        <v/>
      </c>
      <c r="U102" s="231" t="str">
        <f>IF($H102="","",HLOOKUP(U$2,'Unit information'!$B$3:$K$29,$L102+2,FALSE))</f>
        <v/>
      </c>
      <c r="V102" s="231" t="str">
        <f>IF($H102="","",HLOOKUP(V$2,'Unit information'!$B$3:$K$29,$M102+2,FALSE))</f>
        <v/>
      </c>
      <c r="W102" s="231" t="str">
        <f>IF($H102="","",HLOOKUP(W$2,'Unit information'!$B$3:$K$29,$M102+2,FALSE))</f>
        <v/>
      </c>
      <c r="X102" s="231" t="str">
        <f>IF($H102="","",HLOOKUP(X$2,'Unit information'!$B$3:$K$29,$N102+2,FALSE))</f>
        <v/>
      </c>
      <c r="Y102" s="232" t="str">
        <f t="shared" si="15"/>
        <v/>
      </c>
      <c r="Z102" s="232" t="str">
        <f t="shared" si="15"/>
        <v/>
      </c>
      <c r="AA102" s="232" t="str">
        <f t="shared" si="16"/>
        <v/>
      </c>
      <c r="AB102" s="232" t="str">
        <f t="shared" si="16"/>
        <v/>
      </c>
      <c r="AC102" s="232" t="str">
        <f t="shared" si="18"/>
        <v/>
      </c>
      <c r="AD102" s="232" t="str">
        <f t="shared" si="17"/>
        <v/>
      </c>
      <c r="AE102" s="229" t="str">
        <f>IF($H102="","",($F$1/$S102*$Y102*'Unit information'!$AB$3)+($F$1/$T102*$Z102*'Unit information'!$AB$4)+($F$1/$U102*$AA102*'Unit information'!$AB$5)+($F$1/$V102*$AB102*'Unit information'!$AB$8)+($F$1/$W102*$AC102*'Unit information'!$AB$10)+($F$1/$X102*$AD102*'Unit information'!$AB$11))</f>
        <v/>
      </c>
      <c r="AF102" s="229" t="str">
        <f>IF($H102="","",($F$1/$S102*$Y102*'Unit information'!$AC$3)+($F$1/$T102*$Z102*'Unit information'!$AC$4)+($F$1/$U102*$AA102*'Unit information'!$AC$5)+($F$1/$V102*$AB102*'Unit information'!$AC$8)+($F$1/$W102*$AC102*'Unit information'!$AC$10)+($F$1/$X102*$AD102*'Unit information'!$AC$11))</f>
        <v/>
      </c>
      <c r="AG102" s="229" t="str">
        <f>IF($H102="","",($F$1/$S102*$Y102*'Unit information'!$AD$3)+($F$1/$T102*$Z102*'Unit information'!$AD$4)+($F$1/$U102*$AA102*'Unit information'!$AD$5)+($F$1/$V102*$AB102*'Unit information'!$AD$8)+($F$1/$W102*$AC102*'Unit information'!$AD$10)+($F$1/$X102*$AD102*'Unit information'!$AD$11))</f>
        <v/>
      </c>
    </row>
    <row r="103" spans="1:33" x14ac:dyDescent="0.25">
      <c r="A103">
        <v>75</v>
      </c>
      <c r="B103" s="367">
        <f t="shared" si="22"/>
        <v>196760000</v>
      </c>
      <c r="C103" s="367">
        <f t="shared" si="23"/>
        <v>231700000</v>
      </c>
      <c r="D103" s="367">
        <f t="shared" si="24"/>
        <v>217450000</v>
      </c>
      <c r="E103" s="155">
        <f t="shared" ref="E103:E128" si="25">$A103*E$29+E102</f>
        <v>635550000</v>
      </c>
      <c r="H103" s="228"/>
      <c r="I103" s="11"/>
      <c r="J103" s="11"/>
      <c r="K103" s="11"/>
      <c r="L103" s="11"/>
      <c r="M103" s="11"/>
      <c r="N103" s="11"/>
      <c r="O103" s="40"/>
      <c r="P103" s="229" t="str">
        <f t="shared" si="19"/>
        <v/>
      </c>
      <c r="Q103" s="229" t="str">
        <f t="shared" si="20"/>
        <v/>
      </c>
      <c r="R103" s="229" t="str">
        <f t="shared" si="21"/>
        <v/>
      </c>
      <c r="S103" s="230" t="str">
        <f>IF($H103="","",HLOOKUP(S$2,'Unit information'!$B$3:$K$29,$L103+2,FALSE))</f>
        <v/>
      </c>
      <c r="T103" s="231" t="str">
        <f>IF($H103="","",HLOOKUP(T$2,'Unit information'!$B$3:$K$29,$L103+2,FALSE))</f>
        <v/>
      </c>
      <c r="U103" s="231" t="str">
        <f>IF($H103="","",HLOOKUP(U$2,'Unit information'!$B$3:$K$29,$L103+2,FALSE))</f>
        <v/>
      </c>
      <c r="V103" s="231" t="str">
        <f>IF($H103="","",HLOOKUP(V$2,'Unit information'!$B$3:$K$29,$M103+2,FALSE))</f>
        <v/>
      </c>
      <c r="W103" s="231" t="str">
        <f>IF($H103="","",HLOOKUP(W$2,'Unit information'!$B$3:$K$29,$M103+2,FALSE))</f>
        <v/>
      </c>
      <c r="X103" s="231" t="str">
        <f>IF($H103="","",HLOOKUP(X$2,'Unit information'!$B$3:$K$29,$N103+2,FALSE))</f>
        <v/>
      </c>
      <c r="Y103" s="232" t="str">
        <f t="shared" si="15"/>
        <v/>
      </c>
      <c r="Z103" s="232" t="str">
        <f t="shared" si="15"/>
        <v/>
      </c>
      <c r="AA103" s="232" t="str">
        <f t="shared" si="16"/>
        <v/>
      </c>
      <c r="AB103" s="232" t="str">
        <f t="shared" si="16"/>
        <v/>
      </c>
      <c r="AC103" s="232" t="str">
        <f t="shared" si="18"/>
        <v/>
      </c>
      <c r="AD103" s="232" t="str">
        <f t="shared" si="17"/>
        <v/>
      </c>
      <c r="AE103" s="229" t="str">
        <f>IF($H103="","",($F$1/$S103*$Y103*'Unit information'!$AB$3)+($F$1/$T103*$Z103*'Unit information'!$AB$4)+($F$1/$U103*$AA103*'Unit information'!$AB$5)+($F$1/$V103*$AB103*'Unit information'!$AB$8)+($F$1/$W103*$AC103*'Unit information'!$AB$10)+($F$1/$X103*$AD103*'Unit information'!$AB$11))</f>
        <v/>
      </c>
      <c r="AF103" s="229" t="str">
        <f>IF($H103="","",($F$1/$S103*$Y103*'Unit information'!$AC$3)+($F$1/$T103*$Z103*'Unit information'!$AC$4)+($F$1/$U103*$AA103*'Unit information'!$AC$5)+($F$1/$V103*$AB103*'Unit information'!$AC$8)+($F$1/$W103*$AC103*'Unit information'!$AC$10)+($F$1/$X103*$AD103*'Unit information'!$AC$11))</f>
        <v/>
      </c>
      <c r="AG103" s="229" t="str">
        <f>IF($H103="","",($F$1/$S103*$Y103*'Unit information'!$AD$3)+($F$1/$T103*$Z103*'Unit information'!$AD$4)+($F$1/$U103*$AA103*'Unit information'!$AD$5)+($F$1/$V103*$AB103*'Unit information'!$AD$8)+($F$1/$W103*$AC103*'Unit information'!$AD$10)+($F$1/$X103*$AD103*'Unit information'!$AD$11))</f>
        <v/>
      </c>
    </row>
    <row r="104" spans="1:33" x14ac:dyDescent="0.25">
      <c r="A104">
        <v>76</v>
      </c>
      <c r="B104" s="367">
        <f t="shared" si="22"/>
        <v>201968000</v>
      </c>
      <c r="C104" s="367">
        <f t="shared" si="23"/>
        <v>237830000</v>
      </c>
      <c r="D104" s="367">
        <f t="shared" si="24"/>
        <v>223200000</v>
      </c>
      <c r="E104" s="155">
        <f t="shared" si="25"/>
        <v>652498000</v>
      </c>
      <c r="H104" s="228"/>
      <c r="I104" s="11"/>
      <c r="J104" s="11"/>
      <c r="K104" s="11"/>
      <c r="L104" s="11"/>
      <c r="M104" s="11"/>
      <c r="N104" s="11"/>
      <c r="O104" s="40"/>
      <c r="P104" s="229" t="str">
        <f t="shared" si="19"/>
        <v/>
      </c>
      <c r="Q104" s="229" t="str">
        <f t="shared" si="20"/>
        <v/>
      </c>
      <c r="R104" s="229" t="str">
        <f t="shared" si="21"/>
        <v/>
      </c>
      <c r="S104" s="230" t="str">
        <f>IF($H104="","",HLOOKUP(S$2,'Unit information'!$B$3:$K$29,$L104+2,FALSE))</f>
        <v/>
      </c>
      <c r="T104" s="231" t="str">
        <f>IF($H104="","",HLOOKUP(T$2,'Unit information'!$B$3:$K$29,$L104+2,FALSE))</f>
        <v/>
      </c>
      <c r="U104" s="231" t="str">
        <f>IF($H104="","",HLOOKUP(U$2,'Unit information'!$B$3:$K$29,$L104+2,FALSE))</f>
        <v/>
      </c>
      <c r="V104" s="231" t="str">
        <f>IF($H104="","",HLOOKUP(V$2,'Unit information'!$B$3:$K$29,$M104+2,FALSE))</f>
        <v/>
      </c>
      <c r="W104" s="231" t="str">
        <f>IF($H104="","",HLOOKUP(W$2,'Unit information'!$B$3:$K$29,$M104+2,FALSE))</f>
        <v/>
      </c>
      <c r="X104" s="231" t="str">
        <f>IF($H104="","",HLOOKUP(X$2,'Unit information'!$B$3:$K$29,$N104+2,FALSE))</f>
        <v/>
      </c>
      <c r="Y104" s="232" t="str">
        <f t="shared" si="15"/>
        <v/>
      </c>
      <c r="Z104" s="232" t="str">
        <f t="shared" si="15"/>
        <v/>
      </c>
      <c r="AA104" s="232" t="str">
        <f t="shared" si="16"/>
        <v/>
      </c>
      <c r="AB104" s="232" t="str">
        <f t="shared" si="16"/>
        <v/>
      </c>
      <c r="AC104" s="232" t="str">
        <f t="shared" si="18"/>
        <v/>
      </c>
      <c r="AD104" s="232" t="str">
        <f t="shared" si="17"/>
        <v/>
      </c>
      <c r="AE104" s="229" t="str">
        <f>IF($H104="","",($F$1/$S104*$Y104*'Unit information'!$AB$3)+($F$1/$T104*$Z104*'Unit information'!$AB$4)+($F$1/$U104*$AA104*'Unit information'!$AB$5)+($F$1/$V104*$AB104*'Unit information'!$AB$8)+($F$1/$W104*$AC104*'Unit information'!$AB$10)+($F$1/$X104*$AD104*'Unit information'!$AB$11))</f>
        <v/>
      </c>
      <c r="AF104" s="229" t="str">
        <f>IF($H104="","",($F$1/$S104*$Y104*'Unit information'!$AC$3)+($F$1/$T104*$Z104*'Unit information'!$AC$4)+($F$1/$U104*$AA104*'Unit information'!$AC$5)+($F$1/$V104*$AB104*'Unit information'!$AC$8)+($F$1/$W104*$AC104*'Unit information'!$AC$10)+($F$1/$X104*$AD104*'Unit information'!$AC$11))</f>
        <v/>
      </c>
      <c r="AG104" s="229" t="str">
        <f>IF($H104="","",($F$1/$S104*$Y104*'Unit information'!$AD$3)+($F$1/$T104*$Z104*'Unit information'!$AD$4)+($F$1/$U104*$AA104*'Unit information'!$AD$5)+($F$1/$V104*$AB104*'Unit information'!$AD$8)+($F$1/$W104*$AC104*'Unit information'!$AD$10)+($F$1/$X104*$AD104*'Unit information'!$AD$11))</f>
        <v/>
      </c>
    </row>
    <row r="105" spans="1:33" x14ac:dyDescent="0.25">
      <c r="A105">
        <v>77</v>
      </c>
      <c r="B105" s="367">
        <f t="shared" si="22"/>
        <v>207244000</v>
      </c>
      <c r="C105" s="367">
        <f t="shared" si="23"/>
        <v>244040000</v>
      </c>
      <c r="D105" s="367">
        <f t="shared" si="24"/>
        <v>229025000</v>
      </c>
      <c r="E105" s="155">
        <f t="shared" si="25"/>
        <v>669669000</v>
      </c>
      <c r="H105" s="228"/>
      <c r="I105" s="11"/>
      <c r="J105" s="11"/>
      <c r="K105" s="11"/>
      <c r="L105" s="11"/>
      <c r="M105" s="11"/>
      <c r="N105" s="11"/>
      <c r="O105" s="40"/>
      <c r="P105" s="229" t="str">
        <f t="shared" si="19"/>
        <v/>
      </c>
      <c r="Q105" s="229" t="str">
        <f t="shared" si="20"/>
        <v/>
      </c>
      <c r="R105" s="229" t="str">
        <f t="shared" si="21"/>
        <v/>
      </c>
      <c r="S105" s="230" t="str">
        <f>IF($H105="","",HLOOKUP(S$2,'Unit information'!$B$3:$K$29,$L105+2,FALSE))</f>
        <v/>
      </c>
      <c r="T105" s="231" t="str">
        <f>IF($H105="","",HLOOKUP(T$2,'Unit information'!$B$3:$K$29,$L105+2,FALSE))</f>
        <v/>
      </c>
      <c r="U105" s="231" t="str">
        <f>IF($H105="","",HLOOKUP(U$2,'Unit information'!$B$3:$K$29,$L105+2,FALSE))</f>
        <v/>
      </c>
      <c r="V105" s="231" t="str">
        <f>IF($H105="","",HLOOKUP(V$2,'Unit information'!$B$3:$K$29,$M105+2,FALSE))</f>
        <v/>
      </c>
      <c r="W105" s="231" t="str">
        <f>IF($H105="","",HLOOKUP(W$2,'Unit information'!$B$3:$K$29,$M105+2,FALSE))</f>
        <v/>
      </c>
      <c r="X105" s="231" t="str">
        <f>IF($H105="","",HLOOKUP(X$2,'Unit information'!$B$3:$K$29,$N105+2,FALSE))</f>
        <v/>
      </c>
      <c r="Y105" s="232" t="str">
        <f t="shared" ref="Y105:Z111" si="26">IF($H105="","",IF($O105=$AI$1,"0%","50"%))</f>
        <v/>
      </c>
      <c r="Z105" s="232" t="str">
        <f t="shared" si="26"/>
        <v/>
      </c>
      <c r="AA105" s="232" t="str">
        <f t="shared" ref="AA105:AB111" si="27">IF($H105="","",IF($O105=$AI$1,"100%","0"%))</f>
        <v/>
      </c>
      <c r="AB105" s="232" t="str">
        <f t="shared" si="27"/>
        <v/>
      </c>
      <c r="AC105" s="232" t="str">
        <f t="shared" si="18"/>
        <v/>
      </c>
      <c r="AD105" s="232" t="str">
        <f t="shared" si="17"/>
        <v/>
      </c>
      <c r="AE105" s="229" t="str">
        <f>IF($H105="","",($F$1/$S105*$Y105*'Unit information'!$AB$3)+($F$1/$T105*$Z105*'Unit information'!$AB$4)+($F$1/$U105*$AA105*'Unit information'!$AB$5)+($F$1/$V105*$AB105*'Unit information'!$AB$8)+($F$1/$W105*$AC105*'Unit information'!$AB$10)+($F$1/$X105*$AD105*'Unit information'!$AB$11))</f>
        <v/>
      </c>
      <c r="AF105" s="229" t="str">
        <f>IF($H105="","",($F$1/$S105*$Y105*'Unit information'!$AC$3)+($F$1/$T105*$Z105*'Unit information'!$AC$4)+($F$1/$U105*$AA105*'Unit information'!$AC$5)+($F$1/$V105*$AB105*'Unit information'!$AC$8)+($F$1/$W105*$AC105*'Unit information'!$AC$10)+($F$1/$X105*$AD105*'Unit information'!$AC$11))</f>
        <v/>
      </c>
      <c r="AG105" s="229" t="str">
        <f>IF($H105="","",($F$1/$S105*$Y105*'Unit information'!$AD$3)+($F$1/$T105*$Z105*'Unit information'!$AD$4)+($F$1/$U105*$AA105*'Unit information'!$AD$5)+($F$1/$V105*$AB105*'Unit information'!$AD$8)+($F$1/$W105*$AC105*'Unit information'!$AD$10)+($F$1/$X105*$AD105*'Unit information'!$AD$11))</f>
        <v/>
      </c>
    </row>
    <row r="106" spans="1:33" x14ac:dyDescent="0.25">
      <c r="A106">
        <v>78</v>
      </c>
      <c r="B106" s="367">
        <f t="shared" si="22"/>
        <v>212588000</v>
      </c>
      <c r="C106" s="367">
        <f t="shared" si="23"/>
        <v>250330000</v>
      </c>
      <c r="D106" s="367">
        <f t="shared" si="24"/>
        <v>234925000</v>
      </c>
      <c r="E106" s="155">
        <f t="shared" si="25"/>
        <v>687063000</v>
      </c>
      <c r="H106" s="228"/>
      <c r="I106" s="11"/>
      <c r="J106" s="11"/>
      <c r="K106" s="11"/>
      <c r="L106" s="11"/>
      <c r="M106" s="11"/>
      <c r="N106" s="11"/>
      <c r="O106" s="40"/>
      <c r="P106" s="229" t="str">
        <f t="shared" si="19"/>
        <v/>
      </c>
      <c r="Q106" s="229" t="str">
        <f t="shared" si="20"/>
        <v/>
      </c>
      <c r="R106" s="229" t="str">
        <f t="shared" si="21"/>
        <v/>
      </c>
      <c r="S106" s="230" t="str">
        <f>IF($H106="","",HLOOKUP(S$2,'Unit information'!$B$3:$K$29,$L106+2,FALSE))</f>
        <v/>
      </c>
      <c r="T106" s="231" t="str">
        <f>IF($H106="","",HLOOKUP(T$2,'Unit information'!$B$3:$K$29,$L106+2,FALSE))</f>
        <v/>
      </c>
      <c r="U106" s="231" t="str">
        <f>IF($H106="","",HLOOKUP(U$2,'Unit information'!$B$3:$K$29,$L106+2,FALSE))</f>
        <v/>
      </c>
      <c r="V106" s="231" t="str">
        <f>IF($H106="","",HLOOKUP(V$2,'Unit information'!$B$3:$K$29,$M106+2,FALSE))</f>
        <v/>
      </c>
      <c r="W106" s="231" t="str">
        <f>IF($H106="","",HLOOKUP(W$2,'Unit information'!$B$3:$K$29,$M106+2,FALSE))</f>
        <v/>
      </c>
      <c r="X106" s="231" t="str">
        <f>IF($H106="","",HLOOKUP(X$2,'Unit information'!$B$3:$K$29,$N106+2,FALSE))</f>
        <v/>
      </c>
      <c r="Y106" s="232" t="str">
        <f t="shared" si="26"/>
        <v/>
      </c>
      <c r="Z106" s="232" t="str">
        <f t="shared" si="26"/>
        <v/>
      </c>
      <c r="AA106" s="232" t="str">
        <f t="shared" si="27"/>
        <v/>
      </c>
      <c r="AB106" s="232" t="str">
        <f t="shared" si="27"/>
        <v/>
      </c>
      <c r="AC106" s="232" t="str">
        <f t="shared" si="18"/>
        <v/>
      </c>
      <c r="AD106" s="232" t="str">
        <f t="shared" si="17"/>
        <v/>
      </c>
      <c r="AE106" s="229" t="str">
        <f>IF($H106="","",($F$1/$S106*$Y106*'Unit information'!$AB$3)+($F$1/$T106*$Z106*'Unit information'!$AB$4)+($F$1/$U106*$AA106*'Unit information'!$AB$5)+($F$1/$V106*$AB106*'Unit information'!$AB$8)+($F$1/$W106*$AC106*'Unit information'!$AB$10)+($F$1/$X106*$AD106*'Unit information'!$AB$11))</f>
        <v/>
      </c>
      <c r="AF106" s="229" t="str">
        <f>IF($H106="","",($F$1/$S106*$Y106*'Unit information'!$AC$3)+($F$1/$T106*$Z106*'Unit information'!$AC$4)+($F$1/$U106*$AA106*'Unit information'!$AC$5)+($F$1/$V106*$AB106*'Unit information'!$AC$8)+($F$1/$W106*$AC106*'Unit information'!$AC$10)+($F$1/$X106*$AD106*'Unit information'!$AC$11))</f>
        <v/>
      </c>
      <c r="AG106" s="229" t="str">
        <f>IF($H106="","",($F$1/$S106*$Y106*'Unit information'!$AD$3)+($F$1/$T106*$Z106*'Unit information'!$AD$4)+($F$1/$U106*$AA106*'Unit information'!$AD$5)+($F$1/$V106*$AB106*'Unit information'!$AD$8)+($F$1/$W106*$AC106*'Unit information'!$AD$10)+($F$1/$X106*$AD106*'Unit information'!$AD$11))</f>
        <v/>
      </c>
    </row>
    <row r="107" spans="1:33" x14ac:dyDescent="0.25">
      <c r="A107">
        <v>79</v>
      </c>
      <c r="B107" s="367">
        <f t="shared" si="22"/>
        <v>218000000</v>
      </c>
      <c r="C107" s="367">
        <f t="shared" si="23"/>
        <v>256700000</v>
      </c>
      <c r="D107" s="367">
        <f t="shared" si="24"/>
        <v>240900000</v>
      </c>
      <c r="E107" s="155">
        <f t="shared" si="25"/>
        <v>704680000</v>
      </c>
      <c r="H107" s="228"/>
      <c r="I107" s="11"/>
      <c r="J107" s="11"/>
      <c r="K107" s="11"/>
      <c r="L107" s="11"/>
      <c r="M107" s="11"/>
      <c r="N107" s="11"/>
      <c r="O107" s="40"/>
      <c r="P107" s="229" t="str">
        <f t="shared" si="19"/>
        <v/>
      </c>
      <c r="Q107" s="229" t="str">
        <f t="shared" si="20"/>
        <v/>
      </c>
      <c r="R107" s="229" t="str">
        <f t="shared" si="21"/>
        <v/>
      </c>
      <c r="S107" s="230" t="str">
        <f>IF($H107="","",HLOOKUP(S$2,'Unit information'!$B$3:$K$29,$L107+2,FALSE))</f>
        <v/>
      </c>
      <c r="T107" s="231" t="str">
        <f>IF($H107="","",HLOOKUP(T$2,'Unit information'!$B$3:$K$29,$L107+2,FALSE))</f>
        <v/>
      </c>
      <c r="U107" s="231" t="str">
        <f>IF($H107="","",HLOOKUP(U$2,'Unit information'!$B$3:$K$29,$L107+2,FALSE))</f>
        <v/>
      </c>
      <c r="V107" s="231" t="str">
        <f>IF($H107="","",HLOOKUP(V$2,'Unit information'!$B$3:$K$29,$M107+2,FALSE))</f>
        <v/>
      </c>
      <c r="W107" s="231" t="str">
        <f>IF($H107="","",HLOOKUP(W$2,'Unit information'!$B$3:$K$29,$M107+2,FALSE))</f>
        <v/>
      </c>
      <c r="X107" s="231" t="str">
        <f>IF($H107="","",HLOOKUP(X$2,'Unit information'!$B$3:$K$29,$N107+2,FALSE))</f>
        <v/>
      </c>
      <c r="Y107" s="232" t="str">
        <f t="shared" si="26"/>
        <v/>
      </c>
      <c r="Z107" s="232" t="str">
        <f t="shared" si="26"/>
        <v/>
      </c>
      <c r="AA107" s="232" t="str">
        <f t="shared" si="27"/>
        <v/>
      </c>
      <c r="AB107" s="232" t="str">
        <f t="shared" si="27"/>
        <v/>
      </c>
      <c r="AC107" s="232" t="str">
        <f t="shared" si="18"/>
        <v/>
      </c>
      <c r="AD107" s="232" t="str">
        <f t="shared" si="17"/>
        <v/>
      </c>
      <c r="AE107" s="229" t="str">
        <f>IF($H107="","",($F$1/$S107*$Y107*'Unit information'!$AB$3)+($F$1/$T107*$Z107*'Unit information'!$AB$4)+($F$1/$U107*$AA107*'Unit information'!$AB$5)+($F$1/$V107*$AB107*'Unit information'!$AB$8)+($F$1/$W107*$AC107*'Unit information'!$AB$10)+($F$1/$X107*$AD107*'Unit information'!$AB$11))</f>
        <v/>
      </c>
      <c r="AF107" s="229" t="str">
        <f>IF($H107="","",($F$1/$S107*$Y107*'Unit information'!$AC$3)+($F$1/$T107*$Z107*'Unit information'!$AC$4)+($F$1/$U107*$AA107*'Unit information'!$AC$5)+($F$1/$V107*$AB107*'Unit information'!$AC$8)+($F$1/$W107*$AC107*'Unit information'!$AC$10)+($F$1/$X107*$AD107*'Unit information'!$AC$11))</f>
        <v/>
      </c>
      <c r="AG107" s="229" t="str">
        <f>IF($H107="","",($F$1/$S107*$Y107*'Unit information'!$AD$3)+($F$1/$T107*$Z107*'Unit information'!$AD$4)+($F$1/$U107*$AA107*'Unit information'!$AD$5)+($F$1/$V107*$AB107*'Unit information'!$AD$8)+($F$1/$W107*$AC107*'Unit information'!$AD$10)+($F$1/$X107*$AD107*'Unit information'!$AD$11))</f>
        <v/>
      </c>
    </row>
    <row r="108" spans="1:33" x14ac:dyDescent="0.25">
      <c r="A108">
        <v>80</v>
      </c>
      <c r="B108" s="367">
        <f t="shared" si="22"/>
        <v>223480000</v>
      </c>
      <c r="C108" s="367">
        <f t="shared" si="23"/>
        <v>263150000</v>
      </c>
      <c r="D108" s="367">
        <f t="shared" si="24"/>
        <v>246950000</v>
      </c>
      <c r="E108" s="155">
        <f t="shared" si="25"/>
        <v>722520000</v>
      </c>
      <c r="H108" s="228"/>
      <c r="I108" s="11"/>
      <c r="J108" s="11"/>
      <c r="K108" s="11"/>
      <c r="L108" s="11"/>
      <c r="M108" s="11"/>
      <c r="N108" s="11"/>
      <c r="O108" s="40"/>
      <c r="P108" s="229" t="str">
        <f t="shared" si="19"/>
        <v/>
      </c>
      <c r="Q108" s="229" t="str">
        <f t="shared" si="20"/>
        <v/>
      </c>
      <c r="R108" s="229" t="str">
        <f t="shared" si="21"/>
        <v/>
      </c>
      <c r="S108" s="230" t="str">
        <f>IF($H108="","",HLOOKUP(S$2,'Unit information'!$B$3:$K$29,$L108+2,FALSE))</f>
        <v/>
      </c>
      <c r="T108" s="231" t="str">
        <f>IF($H108="","",HLOOKUP(T$2,'Unit information'!$B$3:$K$29,$L108+2,FALSE))</f>
        <v/>
      </c>
      <c r="U108" s="231" t="str">
        <f>IF($H108="","",HLOOKUP(U$2,'Unit information'!$B$3:$K$29,$L108+2,FALSE))</f>
        <v/>
      </c>
      <c r="V108" s="231" t="str">
        <f>IF($H108="","",HLOOKUP(V$2,'Unit information'!$B$3:$K$29,$M108+2,FALSE))</f>
        <v/>
      </c>
      <c r="W108" s="231" t="str">
        <f>IF($H108="","",HLOOKUP(W$2,'Unit information'!$B$3:$K$29,$M108+2,FALSE))</f>
        <v/>
      </c>
      <c r="X108" s="231" t="str">
        <f>IF($H108="","",HLOOKUP(X$2,'Unit information'!$B$3:$K$29,$N108+2,FALSE))</f>
        <v/>
      </c>
      <c r="Y108" s="232" t="str">
        <f t="shared" si="26"/>
        <v/>
      </c>
      <c r="Z108" s="232" t="str">
        <f t="shared" si="26"/>
        <v/>
      </c>
      <c r="AA108" s="232" t="str">
        <f t="shared" si="27"/>
        <v/>
      </c>
      <c r="AB108" s="232" t="str">
        <f t="shared" si="27"/>
        <v/>
      </c>
      <c r="AC108" s="232" t="str">
        <f t="shared" si="18"/>
        <v/>
      </c>
      <c r="AD108" s="232" t="str">
        <f t="shared" si="17"/>
        <v/>
      </c>
      <c r="AE108" s="229" t="str">
        <f>IF($H108="","",($F$1/$S108*$Y108*'Unit information'!$AB$3)+($F$1/$T108*$Z108*'Unit information'!$AB$4)+($F$1/$U108*$AA108*'Unit information'!$AB$5)+($F$1/$V108*$AB108*'Unit information'!$AB$8)+($F$1/$W108*$AC108*'Unit information'!$AB$10)+($F$1/$X108*$AD108*'Unit information'!$AB$11))</f>
        <v/>
      </c>
      <c r="AF108" s="229" t="str">
        <f>IF($H108="","",($F$1/$S108*$Y108*'Unit information'!$AC$3)+($F$1/$T108*$Z108*'Unit information'!$AC$4)+($F$1/$U108*$AA108*'Unit information'!$AC$5)+($F$1/$V108*$AB108*'Unit information'!$AC$8)+($F$1/$W108*$AC108*'Unit information'!$AC$10)+($F$1/$X108*$AD108*'Unit information'!$AC$11))</f>
        <v/>
      </c>
      <c r="AG108" s="229" t="str">
        <f>IF($H108="","",($F$1/$S108*$Y108*'Unit information'!$AD$3)+($F$1/$T108*$Z108*'Unit information'!$AD$4)+($F$1/$U108*$AA108*'Unit information'!$AD$5)+($F$1/$V108*$AB108*'Unit information'!$AD$8)+($F$1/$W108*$AC108*'Unit information'!$AD$10)+($F$1/$X108*$AD108*'Unit information'!$AD$11))</f>
        <v/>
      </c>
    </row>
    <row r="109" spans="1:33" x14ac:dyDescent="0.25">
      <c r="A109">
        <v>81</v>
      </c>
      <c r="B109" s="367">
        <f t="shared" si="22"/>
        <v>229028000</v>
      </c>
      <c r="C109" s="367">
        <f t="shared" si="23"/>
        <v>269680000</v>
      </c>
      <c r="D109" s="367">
        <f t="shared" si="24"/>
        <v>253075000</v>
      </c>
      <c r="E109" s="155">
        <f t="shared" si="25"/>
        <v>740583000</v>
      </c>
      <c r="H109" s="228"/>
      <c r="I109" s="11"/>
      <c r="J109" s="11"/>
      <c r="K109" s="11"/>
      <c r="L109" s="11"/>
      <c r="M109" s="11"/>
      <c r="N109" s="11"/>
      <c r="O109" s="40"/>
      <c r="P109" s="229" t="str">
        <f t="shared" si="19"/>
        <v/>
      </c>
      <c r="Q109" s="229" t="str">
        <f t="shared" si="20"/>
        <v/>
      </c>
      <c r="R109" s="229" t="str">
        <f t="shared" si="21"/>
        <v/>
      </c>
      <c r="S109" s="230" t="str">
        <f>IF($H109="","",HLOOKUP(S$2,'Unit information'!$B$3:$K$29,$L109+2,FALSE))</f>
        <v/>
      </c>
      <c r="T109" s="231" t="str">
        <f>IF($H109="","",HLOOKUP(T$2,'Unit information'!$B$3:$K$29,$L109+2,FALSE))</f>
        <v/>
      </c>
      <c r="U109" s="231" t="str">
        <f>IF($H109="","",HLOOKUP(U$2,'Unit information'!$B$3:$K$29,$L109+2,FALSE))</f>
        <v/>
      </c>
      <c r="V109" s="231" t="str">
        <f>IF($H109="","",HLOOKUP(V$2,'Unit information'!$B$3:$K$29,$M109+2,FALSE))</f>
        <v/>
      </c>
      <c r="W109" s="231" t="str">
        <f>IF($H109="","",HLOOKUP(W$2,'Unit information'!$B$3:$K$29,$M109+2,FALSE))</f>
        <v/>
      </c>
      <c r="X109" s="231" t="str">
        <f>IF($H109="","",HLOOKUP(X$2,'Unit information'!$B$3:$K$29,$N109+2,FALSE))</f>
        <v/>
      </c>
      <c r="Y109" s="232" t="str">
        <f t="shared" si="26"/>
        <v/>
      </c>
      <c r="Z109" s="232" t="str">
        <f t="shared" si="26"/>
        <v/>
      </c>
      <c r="AA109" s="232" t="str">
        <f t="shared" si="27"/>
        <v/>
      </c>
      <c r="AB109" s="232" t="str">
        <f t="shared" si="27"/>
        <v/>
      </c>
      <c r="AC109" s="232" t="str">
        <f t="shared" si="18"/>
        <v/>
      </c>
      <c r="AD109" s="232" t="str">
        <f t="shared" si="17"/>
        <v/>
      </c>
      <c r="AE109" s="229" t="str">
        <f>IF($H109="","",($F$1/$S109*$Y109*'Unit information'!$AB$3)+($F$1/$T109*$Z109*'Unit information'!$AB$4)+($F$1/$U109*$AA109*'Unit information'!$AB$5)+($F$1/$V109*$AB109*'Unit information'!$AB$8)+($F$1/$W109*$AC109*'Unit information'!$AB$10)+($F$1/$X109*$AD109*'Unit information'!$AB$11))</f>
        <v/>
      </c>
      <c r="AF109" s="229" t="str">
        <f>IF($H109="","",($F$1/$S109*$Y109*'Unit information'!$AC$3)+($F$1/$T109*$Z109*'Unit information'!$AC$4)+($F$1/$U109*$AA109*'Unit information'!$AC$5)+($F$1/$V109*$AB109*'Unit information'!$AC$8)+($F$1/$W109*$AC109*'Unit information'!$AC$10)+($F$1/$X109*$AD109*'Unit information'!$AC$11))</f>
        <v/>
      </c>
      <c r="AG109" s="229" t="str">
        <f>IF($H109="","",($F$1/$S109*$Y109*'Unit information'!$AD$3)+($F$1/$T109*$Z109*'Unit information'!$AD$4)+($F$1/$U109*$AA109*'Unit information'!$AD$5)+($F$1/$V109*$AB109*'Unit information'!$AD$8)+($F$1/$W109*$AC109*'Unit information'!$AD$10)+($F$1/$X109*$AD109*'Unit information'!$AD$11))</f>
        <v/>
      </c>
    </row>
    <row r="110" spans="1:33" x14ac:dyDescent="0.25">
      <c r="A110">
        <v>82</v>
      </c>
      <c r="B110" s="367">
        <f t="shared" si="22"/>
        <v>234644000</v>
      </c>
      <c r="C110" s="367">
        <f t="shared" si="23"/>
        <v>276290000</v>
      </c>
      <c r="D110" s="367">
        <f t="shared" si="24"/>
        <v>259275000</v>
      </c>
      <c r="E110" s="155">
        <f t="shared" si="25"/>
        <v>758869000</v>
      </c>
      <c r="H110" s="228"/>
      <c r="I110" s="11"/>
      <c r="J110" s="11"/>
      <c r="K110" s="11"/>
      <c r="L110" s="11"/>
      <c r="M110" s="11"/>
      <c r="N110" s="11"/>
      <c r="O110" s="40"/>
      <c r="P110" s="229" t="str">
        <f t="shared" si="19"/>
        <v/>
      </c>
      <c r="Q110" s="229" t="str">
        <f t="shared" si="20"/>
        <v/>
      </c>
      <c r="R110" s="229" t="str">
        <f t="shared" si="21"/>
        <v/>
      </c>
      <c r="S110" s="230" t="str">
        <f>IF($H110="","",HLOOKUP(S$2,'Unit information'!$B$3:$K$29,$L110+2,FALSE))</f>
        <v/>
      </c>
      <c r="T110" s="231" t="str">
        <f>IF($H110="","",HLOOKUP(T$2,'Unit information'!$B$3:$K$29,$L110+2,FALSE))</f>
        <v/>
      </c>
      <c r="U110" s="231" t="str">
        <f>IF($H110="","",HLOOKUP(U$2,'Unit information'!$B$3:$K$29,$L110+2,FALSE))</f>
        <v/>
      </c>
      <c r="V110" s="231" t="str">
        <f>IF($H110="","",HLOOKUP(V$2,'Unit information'!$B$3:$K$29,$M110+2,FALSE))</f>
        <v/>
      </c>
      <c r="W110" s="231" t="str">
        <f>IF($H110="","",HLOOKUP(W$2,'Unit information'!$B$3:$K$29,$M110+2,FALSE))</f>
        <v/>
      </c>
      <c r="X110" s="231" t="str">
        <f>IF($H110="","",HLOOKUP(X$2,'Unit information'!$B$3:$K$29,$N110+2,FALSE))</f>
        <v/>
      </c>
      <c r="Y110" s="232" t="str">
        <f t="shared" si="26"/>
        <v/>
      </c>
      <c r="Z110" s="232" t="str">
        <f t="shared" si="26"/>
        <v/>
      </c>
      <c r="AA110" s="232" t="str">
        <f t="shared" si="27"/>
        <v/>
      </c>
      <c r="AB110" s="232" t="str">
        <f t="shared" si="27"/>
        <v/>
      </c>
      <c r="AC110" s="232" t="str">
        <f t="shared" si="18"/>
        <v/>
      </c>
      <c r="AD110" s="232" t="str">
        <f t="shared" si="17"/>
        <v/>
      </c>
      <c r="AE110" s="229" t="str">
        <f>IF($H110="","",($F$1/$S110*$Y110*'Unit information'!$AB$3)+($F$1/$T110*$Z110*'Unit information'!$AB$4)+($F$1/$U110*$AA110*'Unit information'!$AB$5)+($F$1/$V110*$AB110*'Unit information'!$AB$8)+($F$1/$W110*$AC110*'Unit information'!$AB$10)+($F$1/$X110*$AD110*'Unit information'!$AB$11))</f>
        <v/>
      </c>
      <c r="AF110" s="229" t="str">
        <f>IF($H110="","",($F$1/$S110*$Y110*'Unit information'!$AC$3)+($F$1/$T110*$Z110*'Unit information'!$AC$4)+($F$1/$U110*$AA110*'Unit information'!$AC$5)+($F$1/$V110*$AB110*'Unit information'!$AC$8)+($F$1/$W110*$AC110*'Unit information'!$AC$10)+($F$1/$X110*$AD110*'Unit information'!$AC$11))</f>
        <v/>
      </c>
      <c r="AG110" s="229" t="str">
        <f>IF($H110="","",($F$1/$S110*$Y110*'Unit information'!$AD$3)+($F$1/$T110*$Z110*'Unit information'!$AD$4)+($F$1/$U110*$AA110*'Unit information'!$AD$5)+($F$1/$V110*$AB110*'Unit information'!$AD$8)+($F$1/$W110*$AC110*'Unit information'!$AD$10)+($F$1/$X110*$AD110*'Unit information'!$AD$11))</f>
        <v/>
      </c>
    </row>
    <row r="111" spans="1:33" x14ac:dyDescent="0.25">
      <c r="A111">
        <v>83</v>
      </c>
      <c r="B111" s="367">
        <f t="shared" si="22"/>
        <v>240328000</v>
      </c>
      <c r="C111" s="367">
        <f t="shared" si="23"/>
        <v>282980000</v>
      </c>
      <c r="D111" s="367">
        <f t="shared" si="24"/>
        <v>265550000</v>
      </c>
      <c r="E111" s="155">
        <f t="shared" si="25"/>
        <v>777378000</v>
      </c>
      <c r="H111" s="228"/>
      <c r="I111" s="11"/>
      <c r="J111" s="11"/>
      <c r="K111" s="11"/>
      <c r="L111" s="11"/>
      <c r="M111" s="11"/>
      <c r="N111" s="11"/>
      <c r="O111" s="40"/>
      <c r="P111" s="229" t="str">
        <f t="shared" si="19"/>
        <v/>
      </c>
      <c r="Q111" s="229" t="str">
        <f t="shared" si="20"/>
        <v/>
      </c>
      <c r="R111" s="229" t="str">
        <f t="shared" si="21"/>
        <v/>
      </c>
      <c r="S111" s="230" t="str">
        <f>IF($H111="","",HLOOKUP(S$2,'Unit information'!$B$3:$K$29,$L111+2,FALSE))</f>
        <v/>
      </c>
      <c r="T111" s="231" t="str">
        <f>IF($H111="","",HLOOKUP(T$2,'Unit information'!$B$3:$K$29,$L111+2,FALSE))</f>
        <v/>
      </c>
      <c r="U111" s="231" t="str">
        <f>IF($H111="","",HLOOKUP(U$2,'Unit information'!$B$3:$K$29,$L111+2,FALSE))</f>
        <v/>
      </c>
      <c r="V111" s="231" t="str">
        <f>IF($H111="","",HLOOKUP(V$2,'Unit information'!$B$3:$K$29,$M111+2,FALSE))</f>
        <v/>
      </c>
      <c r="W111" s="231" t="str">
        <f>IF($H111="","",HLOOKUP(W$2,'Unit information'!$B$3:$K$29,$M111+2,FALSE))</f>
        <v/>
      </c>
      <c r="X111" s="231" t="str">
        <f>IF($H111="","",HLOOKUP(X$2,'Unit information'!$B$3:$K$29,$N111+2,FALSE))</f>
        <v/>
      </c>
      <c r="Y111" s="232" t="str">
        <f t="shared" si="26"/>
        <v/>
      </c>
      <c r="Z111" s="232" t="str">
        <f t="shared" si="26"/>
        <v/>
      </c>
      <c r="AA111" s="232" t="str">
        <f t="shared" si="27"/>
        <v/>
      </c>
      <c r="AB111" s="232" t="str">
        <f t="shared" si="27"/>
        <v/>
      </c>
      <c r="AC111" s="232" t="str">
        <f t="shared" si="18"/>
        <v/>
      </c>
      <c r="AD111" s="232" t="str">
        <f t="shared" si="17"/>
        <v/>
      </c>
      <c r="AE111" s="229" t="str">
        <f>IF($H111="","",($F$1/$S111*$Y111*'Unit information'!$AB$3)+($F$1/$T111*$Z111*'Unit information'!$AB$4)+($F$1/$U111*$AA111*'Unit information'!$AB$5)+($F$1/$V111*$AB111*'Unit information'!$AB$8)+($F$1/$W111*$AC111*'Unit information'!$AB$10)+($F$1/$X111*$AD111*'Unit information'!$AB$11))</f>
        <v/>
      </c>
      <c r="AF111" s="229" t="str">
        <f>IF($H111="","",($F$1/$S111*$Y111*'Unit information'!$AC$3)+($F$1/$T111*$Z111*'Unit information'!$AC$4)+($F$1/$U111*$AA111*'Unit information'!$AC$5)+($F$1/$V111*$AB111*'Unit information'!$AC$8)+($F$1/$W111*$AC111*'Unit information'!$AC$10)+($F$1/$X111*$AD111*'Unit information'!$AC$11))</f>
        <v/>
      </c>
      <c r="AG111" s="229" t="str">
        <f>IF($H111="","",($F$1/$S111*$Y111*'Unit information'!$AD$3)+($F$1/$T111*$Z111*'Unit information'!$AD$4)+($F$1/$U111*$AA111*'Unit information'!$AD$5)+($F$1/$V111*$AB111*'Unit information'!$AD$8)+($F$1/$W111*$AC111*'Unit information'!$AD$10)+($F$1/$X111*$AD111*'Unit information'!$AD$11))</f>
        <v/>
      </c>
    </row>
    <row r="112" spans="1:33" x14ac:dyDescent="0.25">
      <c r="A112">
        <v>84</v>
      </c>
      <c r="B112" s="367">
        <f t="shared" si="22"/>
        <v>246080000</v>
      </c>
      <c r="C112" s="367">
        <f t="shared" si="23"/>
        <v>289750000</v>
      </c>
      <c r="D112" s="367">
        <f t="shared" si="24"/>
        <v>271900000</v>
      </c>
      <c r="E112" s="155">
        <f t="shared" si="25"/>
        <v>796110000</v>
      </c>
    </row>
    <row r="113" spans="1:34" x14ac:dyDescent="0.25">
      <c r="A113">
        <v>85</v>
      </c>
      <c r="B113" s="367">
        <f t="shared" si="22"/>
        <v>251900000</v>
      </c>
      <c r="C113" s="367">
        <f t="shared" si="23"/>
        <v>296600000</v>
      </c>
      <c r="D113" s="367">
        <f t="shared" si="24"/>
        <v>278325000</v>
      </c>
      <c r="E113" s="155">
        <f t="shared" si="25"/>
        <v>815065000</v>
      </c>
      <c r="AE113" s="154">
        <f>SUM(AE3:AE107)</f>
        <v>4155.4056056110985</v>
      </c>
      <c r="AF113" s="154">
        <f>SUM(AF3:AF107)</f>
        <v>2810.6272026893621</v>
      </c>
      <c r="AG113" s="154">
        <f>SUM(AG3:AG107)</f>
        <v>4542.8676209860323</v>
      </c>
      <c r="AH113" s="155">
        <f>SUM(AE113:AG113)</f>
        <v>11508.900429286492</v>
      </c>
    </row>
    <row r="114" spans="1:34" x14ac:dyDescent="0.25">
      <c r="A114">
        <v>86</v>
      </c>
      <c r="B114" s="367">
        <f t="shared" si="22"/>
        <v>257788000</v>
      </c>
      <c r="C114" s="367">
        <f t="shared" si="23"/>
        <v>303530000</v>
      </c>
      <c r="D114" s="367">
        <f t="shared" si="24"/>
        <v>284825000</v>
      </c>
      <c r="E114" s="155">
        <f t="shared" si="25"/>
        <v>834243000</v>
      </c>
    </row>
    <row r="115" spans="1:34" x14ac:dyDescent="0.25">
      <c r="A115">
        <v>87</v>
      </c>
      <c r="B115" s="367">
        <f t="shared" si="22"/>
        <v>263744000</v>
      </c>
      <c r="C115" s="367">
        <f t="shared" si="23"/>
        <v>310540000</v>
      </c>
      <c r="D115" s="367">
        <f t="shared" si="24"/>
        <v>291400000</v>
      </c>
      <c r="E115" s="155">
        <f t="shared" si="25"/>
        <v>853644000</v>
      </c>
    </row>
    <row r="116" spans="1:34" x14ac:dyDescent="0.25">
      <c r="A116">
        <v>88</v>
      </c>
      <c r="B116" s="367">
        <f t="shared" si="22"/>
        <v>269768000</v>
      </c>
      <c r="C116" s="367">
        <f t="shared" si="23"/>
        <v>317630000</v>
      </c>
      <c r="D116" s="367">
        <f t="shared" si="24"/>
        <v>298050000</v>
      </c>
      <c r="E116" s="155">
        <f t="shared" si="25"/>
        <v>873268000</v>
      </c>
    </row>
    <row r="117" spans="1:34" x14ac:dyDescent="0.25">
      <c r="A117">
        <v>89</v>
      </c>
      <c r="B117" s="367">
        <f t="shared" si="22"/>
        <v>275860000</v>
      </c>
      <c r="C117" s="367">
        <f t="shared" si="23"/>
        <v>324800000</v>
      </c>
      <c r="D117" s="367">
        <f t="shared" si="24"/>
        <v>304775000</v>
      </c>
      <c r="E117" s="155">
        <f t="shared" si="25"/>
        <v>893115000</v>
      </c>
    </row>
    <row r="118" spans="1:34" x14ac:dyDescent="0.25">
      <c r="A118">
        <v>90</v>
      </c>
      <c r="B118" s="367">
        <f t="shared" si="22"/>
        <v>282020000</v>
      </c>
      <c r="C118" s="367">
        <f t="shared" si="23"/>
        <v>332050000</v>
      </c>
      <c r="D118" s="367">
        <f t="shared" si="24"/>
        <v>311575000</v>
      </c>
      <c r="E118" s="155">
        <f t="shared" si="25"/>
        <v>913185000</v>
      </c>
    </row>
    <row r="119" spans="1:34" x14ac:dyDescent="0.25">
      <c r="A119">
        <v>91</v>
      </c>
      <c r="B119" s="367">
        <f t="shared" si="22"/>
        <v>288248000</v>
      </c>
      <c r="C119" s="367">
        <f t="shared" si="23"/>
        <v>339380000</v>
      </c>
      <c r="D119" s="367">
        <f t="shared" si="24"/>
        <v>318450000</v>
      </c>
      <c r="E119" s="155">
        <f t="shared" si="25"/>
        <v>933478000</v>
      </c>
    </row>
    <row r="120" spans="1:34" x14ac:dyDescent="0.25">
      <c r="A120">
        <v>92</v>
      </c>
      <c r="B120" s="367">
        <f t="shared" si="22"/>
        <v>294544000</v>
      </c>
      <c r="C120" s="367">
        <f t="shared" si="23"/>
        <v>346790000</v>
      </c>
      <c r="D120" s="367">
        <f t="shared" si="24"/>
        <v>325400000</v>
      </c>
      <c r="E120" s="155">
        <f t="shared" si="25"/>
        <v>953994000</v>
      </c>
    </row>
    <row r="121" spans="1:34" x14ac:dyDescent="0.25">
      <c r="A121">
        <v>93</v>
      </c>
      <c r="B121" s="367">
        <f t="shared" si="22"/>
        <v>300908000</v>
      </c>
      <c r="C121" s="367">
        <f t="shared" si="23"/>
        <v>354280000</v>
      </c>
      <c r="D121" s="367">
        <f t="shared" si="24"/>
        <v>332425000</v>
      </c>
      <c r="E121" s="155">
        <f t="shared" si="25"/>
        <v>974733000</v>
      </c>
    </row>
    <row r="122" spans="1:34" x14ac:dyDescent="0.25">
      <c r="A122">
        <v>94</v>
      </c>
      <c r="B122" s="367">
        <f t="shared" si="22"/>
        <v>307340000</v>
      </c>
      <c r="C122" s="367">
        <f t="shared" si="23"/>
        <v>361850000</v>
      </c>
      <c r="D122" s="367">
        <f t="shared" si="24"/>
        <v>339525000</v>
      </c>
      <c r="E122" s="155">
        <f t="shared" si="25"/>
        <v>995695000</v>
      </c>
    </row>
    <row r="123" spans="1:34" x14ac:dyDescent="0.25">
      <c r="A123">
        <v>95</v>
      </c>
      <c r="B123" s="367">
        <f t="shared" si="22"/>
        <v>313840000</v>
      </c>
      <c r="C123" s="367">
        <f t="shared" si="23"/>
        <v>369500000</v>
      </c>
      <c r="D123" s="367">
        <f t="shared" si="24"/>
        <v>346700000</v>
      </c>
      <c r="E123" s="155">
        <f t="shared" si="25"/>
        <v>1016880000</v>
      </c>
    </row>
    <row r="124" spans="1:34" x14ac:dyDescent="0.25">
      <c r="A124">
        <v>96</v>
      </c>
      <c r="B124" s="367">
        <f t="shared" si="22"/>
        <v>320408000</v>
      </c>
      <c r="C124" s="367">
        <f t="shared" si="23"/>
        <v>377230000</v>
      </c>
      <c r="D124" s="367">
        <f t="shared" si="24"/>
        <v>353950000</v>
      </c>
      <c r="E124" s="155">
        <f t="shared" si="25"/>
        <v>1038288000</v>
      </c>
    </row>
    <row r="125" spans="1:34" x14ac:dyDescent="0.25">
      <c r="A125">
        <v>97</v>
      </c>
      <c r="B125" s="367">
        <f t="shared" si="22"/>
        <v>327044000</v>
      </c>
      <c r="C125" s="367">
        <f t="shared" si="23"/>
        <v>385040000</v>
      </c>
      <c r="D125" s="367">
        <f t="shared" si="24"/>
        <v>361275000</v>
      </c>
      <c r="E125" s="155">
        <f t="shared" si="25"/>
        <v>1059919000</v>
      </c>
    </row>
    <row r="126" spans="1:34" x14ac:dyDescent="0.25">
      <c r="A126">
        <v>98</v>
      </c>
      <c r="B126" s="367">
        <f t="shared" si="22"/>
        <v>333748000</v>
      </c>
      <c r="C126" s="367">
        <f t="shared" si="23"/>
        <v>392930000</v>
      </c>
      <c r="D126" s="367">
        <f t="shared" si="24"/>
        <v>368675000</v>
      </c>
      <c r="E126" s="155">
        <f t="shared" si="25"/>
        <v>1081773000</v>
      </c>
    </row>
    <row r="127" spans="1:34" x14ac:dyDescent="0.25">
      <c r="A127">
        <v>99</v>
      </c>
      <c r="B127" s="367">
        <f t="shared" si="22"/>
        <v>340520000</v>
      </c>
      <c r="C127" s="367">
        <f t="shared" si="23"/>
        <v>400900000</v>
      </c>
      <c r="D127" s="367">
        <f t="shared" si="24"/>
        <v>376150000</v>
      </c>
      <c r="E127" s="155">
        <f t="shared" si="25"/>
        <v>1103850000</v>
      </c>
    </row>
    <row r="128" spans="1:34" x14ac:dyDescent="0.25">
      <c r="A128">
        <v>100</v>
      </c>
      <c r="B128" s="367">
        <f t="shared" si="22"/>
        <v>347360000</v>
      </c>
      <c r="C128" s="367">
        <f t="shared" si="23"/>
        <v>408950000</v>
      </c>
      <c r="D128" s="367">
        <f t="shared" si="24"/>
        <v>383700000</v>
      </c>
      <c r="E128" s="155">
        <f t="shared" si="25"/>
        <v>1126150000</v>
      </c>
    </row>
    <row r="129" spans="5:5" x14ac:dyDescent="0.25">
      <c r="E129" s="153"/>
    </row>
  </sheetData>
  <sortState ref="H3:O11">
    <sortCondition ref="H3"/>
  </sortState>
  <mergeCells count="7">
    <mergeCell ref="AE1:AG1"/>
    <mergeCell ref="L1:N1"/>
    <mergeCell ref="B27:E27"/>
    <mergeCell ref="I1:K1"/>
    <mergeCell ref="P1:R1"/>
    <mergeCell ref="S1:X1"/>
    <mergeCell ref="Y1:AD1"/>
  </mergeCells>
  <dataValidations count="1">
    <dataValidation type="list" allowBlank="1" showInputMessage="1" showErrorMessage="1" sqref="O3:O111">
      <formula1>$AI$1:$AI$3</formula1>
    </dataValidation>
  </dataValidations>
  <pageMargins left="0.7" right="0.7" top="0.78740157499999996" bottom="0.78740157499999996"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dimension ref="A1:O20"/>
  <sheetViews>
    <sheetView workbookViewId="0">
      <selection activeCell="C7" sqref="C7"/>
    </sheetView>
  </sheetViews>
  <sheetFormatPr baseColWidth="10" defaultRowHeight="15" x14ac:dyDescent="0.25"/>
  <cols>
    <col min="1" max="1" width="15.42578125" bestFit="1" customWidth="1"/>
    <col min="2" max="2" width="10.85546875" bestFit="1" customWidth="1"/>
    <col min="3" max="3" width="6" bestFit="1" customWidth="1"/>
    <col min="4" max="4" width="17.140625" bestFit="1" customWidth="1"/>
    <col min="5" max="5" width="8" bestFit="1" customWidth="1"/>
    <col min="6" max="6" width="7" bestFit="1" customWidth="1"/>
    <col min="7" max="7" width="8" bestFit="1" customWidth="1"/>
    <col min="8" max="8" width="9" bestFit="1" customWidth="1"/>
  </cols>
  <sheetData>
    <row r="1" spans="1:15" ht="15.75" thickBot="1" x14ac:dyDescent="0.3">
      <c r="A1" s="90" t="s">
        <v>70</v>
      </c>
      <c r="B1" s="91" t="s">
        <v>72</v>
      </c>
      <c r="C1" s="91" t="s">
        <v>70</v>
      </c>
      <c r="D1" s="256" t="s">
        <v>403</v>
      </c>
      <c r="E1" s="256" t="s">
        <v>83</v>
      </c>
      <c r="F1" s="256" t="s">
        <v>30</v>
      </c>
      <c r="G1" s="256" t="s">
        <v>31</v>
      </c>
      <c r="H1" s="227" t="s">
        <v>49</v>
      </c>
      <c r="J1" s="90" t="s">
        <v>401</v>
      </c>
      <c r="K1" s="291" t="s">
        <v>103</v>
      </c>
      <c r="L1" s="292" t="s">
        <v>402</v>
      </c>
      <c r="N1" s="131" t="s">
        <v>100</v>
      </c>
      <c r="O1" s="343">
        <v>4.1666666666666664E-2</v>
      </c>
    </row>
    <row r="2" spans="1:15" x14ac:dyDescent="0.25">
      <c r="A2" s="33" t="s">
        <v>73</v>
      </c>
      <c r="B2" s="14">
        <f>K2</f>
        <v>3</v>
      </c>
      <c r="C2" s="11">
        <v>1</v>
      </c>
      <c r="D2" s="257">
        <f>HLOOKUP(A2,'Unit information'!$B$3:$K$29,'Recruting planner'!B2+2,FALSE)*C2</f>
        <v>6.6203703703703702E-3</v>
      </c>
      <c r="E2" s="164">
        <f>$C2*'Unit information'!AB3</f>
        <v>50</v>
      </c>
      <c r="F2" s="164">
        <f>$C2*'Unit information'!AC3</f>
        <v>30</v>
      </c>
      <c r="G2" s="164">
        <f>$C2*'Unit information'!AD3</f>
        <v>10</v>
      </c>
      <c r="H2" s="125">
        <f>SUM(E2:G2)</f>
        <v>90</v>
      </c>
      <c r="J2" s="81" t="s">
        <v>67</v>
      </c>
      <c r="K2" s="11">
        <v>3</v>
      </c>
      <c r="L2" s="368">
        <f>SUM(D2:D5)</f>
        <v>1.6342592592592593E-2</v>
      </c>
    </row>
    <row r="3" spans="1:15" x14ac:dyDescent="0.25">
      <c r="A3" s="33" t="s">
        <v>74</v>
      </c>
      <c r="B3" s="14">
        <f>K2</f>
        <v>3</v>
      </c>
      <c r="C3" s="11">
        <v>1</v>
      </c>
      <c r="D3" s="257">
        <f>HLOOKUP(A3,'Unit information'!$B$3:$K$29,'Recruting planner'!B3+2,FALSE)*C3</f>
        <v>9.7222222222222224E-3</v>
      </c>
      <c r="E3" s="164">
        <f>$C3*'Unit information'!AB4</f>
        <v>30</v>
      </c>
      <c r="F3" s="164">
        <f>$C3*'Unit information'!AC4</f>
        <v>30</v>
      </c>
      <c r="G3" s="164">
        <f>$C3*'Unit information'!AD4</f>
        <v>70</v>
      </c>
      <c r="H3" s="125">
        <f t="shared" ref="H3:H11" si="0">SUM(E3:G3)</f>
        <v>130</v>
      </c>
      <c r="J3" s="81" t="s">
        <v>69</v>
      </c>
      <c r="K3" s="11">
        <v>1</v>
      </c>
      <c r="L3" s="368">
        <f>SUM(D6:D9)</f>
        <v>6.5543333333333348E-3</v>
      </c>
    </row>
    <row r="4" spans="1:15" ht="15.75" thickBot="1" x14ac:dyDescent="0.3">
      <c r="A4" s="33" t="s">
        <v>75</v>
      </c>
      <c r="B4" s="14">
        <f>K2</f>
        <v>3</v>
      </c>
      <c r="C4" s="11">
        <v>0</v>
      </c>
      <c r="D4" s="257">
        <f>HLOOKUP(A4,'Unit information'!$B$3:$K$29,'Recruting planner'!B4+2,FALSE)*C4</f>
        <v>0</v>
      </c>
      <c r="E4" s="164">
        <f>$C4*'Unit information'!AB5</f>
        <v>0</v>
      </c>
      <c r="F4" s="164">
        <f>$C4*'Unit information'!AC5</f>
        <v>0</v>
      </c>
      <c r="G4" s="164">
        <f>$C4*'Unit information'!AD5</f>
        <v>0</v>
      </c>
      <c r="H4" s="125">
        <f t="shared" si="0"/>
        <v>0</v>
      </c>
      <c r="J4" s="88" t="s">
        <v>3</v>
      </c>
      <c r="K4" s="225">
        <v>1</v>
      </c>
      <c r="L4" s="369">
        <f>SUM(D10:D11)</f>
        <v>0</v>
      </c>
    </row>
    <row r="5" spans="1:15" x14ac:dyDescent="0.25">
      <c r="A5" s="33" t="s">
        <v>190</v>
      </c>
      <c r="B5" s="14">
        <f>K2</f>
        <v>3</v>
      </c>
      <c r="C5" s="11">
        <v>0</v>
      </c>
      <c r="D5" s="257">
        <f>HLOOKUP(A5,'Unit information'!$B$3:$K$29,'Recruting planner'!B5+2,FALSE)*C5</f>
        <v>0</v>
      </c>
      <c r="E5" s="164">
        <f>$C5*'Unit information'!AB6</f>
        <v>0</v>
      </c>
      <c r="F5" s="164">
        <f>$C5*'Unit information'!AC6</f>
        <v>0</v>
      </c>
      <c r="G5" s="164">
        <f>$C5*'Unit information'!AD6</f>
        <v>0</v>
      </c>
      <c r="H5" s="125">
        <f>SUM(E5:G5)</f>
        <v>0</v>
      </c>
    </row>
    <row r="6" spans="1:15" x14ac:dyDescent="0.25">
      <c r="A6" s="33" t="s">
        <v>71</v>
      </c>
      <c r="B6" s="14">
        <f>K3</f>
        <v>1</v>
      </c>
      <c r="C6" s="11">
        <v>1</v>
      </c>
      <c r="D6" s="257">
        <f>HLOOKUP(A6,'Unit information'!$B$3:$K$29,'Recruting planner'!B6+2,FALSE)*C6</f>
        <v>6.5543333333333348E-3</v>
      </c>
      <c r="E6" s="164">
        <f>$C6*'Unit information'!AB7</f>
        <v>50</v>
      </c>
      <c r="F6" s="164">
        <f>$C6*'Unit information'!AC7</f>
        <v>50</v>
      </c>
      <c r="G6" s="164">
        <f>$C6*'Unit information'!AD7</f>
        <v>20</v>
      </c>
      <c r="H6" s="125">
        <f t="shared" si="0"/>
        <v>120</v>
      </c>
    </row>
    <row r="7" spans="1:15" x14ac:dyDescent="0.25">
      <c r="A7" s="33" t="s">
        <v>76</v>
      </c>
      <c r="B7" s="14">
        <f>K3</f>
        <v>1</v>
      </c>
      <c r="C7" s="11">
        <v>0</v>
      </c>
      <c r="D7" s="257">
        <f>HLOOKUP(A7,'Unit information'!$B$3:$K$29,'Recruting planner'!B7+2,FALSE)*C7</f>
        <v>0</v>
      </c>
      <c r="E7" s="164">
        <f>$C7*'Unit information'!AB8</f>
        <v>0</v>
      </c>
      <c r="F7" s="164">
        <f>$C7*'Unit information'!AC8</f>
        <v>0</v>
      </c>
      <c r="G7" s="164">
        <f>$C7*'Unit information'!AD8</f>
        <v>0</v>
      </c>
      <c r="H7" s="125">
        <f t="shared" si="0"/>
        <v>0</v>
      </c>
    </row>
    <row r="8" spans="1:15" x14ac:dyDescent="0.25">
      <c r="A8" s="33" t="s">
        <v>195</v>
      </c>
      <c r="B8" s="14">
        <f>K3</f>
        <v>1</v>
      </c>
      <c r="C8" s="11">
        <v>0</v>
      </c>
      <c r="D8" s="257">
        <f>HLOOKUP(A8,'Unit information'!$B$3:$K$29,'Recruting planner'!B8+2,FALSE)*C8</f>
        <v>0</v>
      </c>
      <c r="E8" s="164">
        <f>$C8*'Unit information'!AB9</f>
        <v>0</v>
      </c>
      <c r="F8" s="164">
        <f>$C8*'Unit information'!AC9</f>
        <v>0</v>
      </c>
      <c r="G8" s="164">
        <f>$C8*'Unit information'!AD9</f>
        <v>0</v>
      </c>
      <c r="H8" s="125">
        <f>SUM(E8:G8)</f>
        <v>0</v>
      </c>
    </row>
    <row r="9" spans="1:15" x14ac:dyDescent="0.25">
      <c r="A9" s="33" t="s">
        <v>77</v>
      </c>
      <c r="B9" s="14">
        <f>K3</f>
        <v>1</v>
      </c>
      <c r="C9" s="11">
        <v>0</v>
      </c>
      <c r="D9" s="257">
        <f>HLOOKUP(A9,'Unit information'!$B$3:$K$29,'Recruting planner'!B9+2,FALSE)*C9</f>
        <v>0</v>
      </c>
      <c r="E9" s="164">
        <f>$C9*'Unit information'!AB10</f>
        <v>0</v>
      </c>
      <c r="F9" s="164">
        <f>$C9*'Unit information'!AC10</f>
        <v>0</v>
      </c>
      <c r="G9" s="164">
        <f>$C9*'Unit information'!AD10</f>
        <v>0</v>
      </c>
      <c r="H9" s="125">
        <f t="shared" si="0"/>
        <v>0</v>
      </c>
    </row>
    <row r="10" spans="1:15" x14ac:dyDescent="0.25">
      <c r="A10" s="33" t="s">
        <v>78</v>
      </c>
      <c r="B10" s="14">
        <v>15</v>
      </c>
      <c r="C10" s="11">
        <v>0</v>
      </c>
      <c r="D10" s="257">
        <f>HLOOKUP(A10,'Unit information'!$B$3:$K$29,'Recruting planner'!B10+2,FALSE)*C10</f>
        <v>0</v>
      </c>
      <c r="E10" s="164">
        <f>$C10*'Unit information'!AB11</f>
        <v>0</v>
      </c>
      <c r="F10" s="164">
        <f>$C10*'Unit information'!AC11</f>
        <v>0</v>
      </c>
      <c r="G10" s="164">
        <f>$C10*'Unit information'!AD11</f>
        <v>0</v>
      </c>
      <c r="H10" s="125">
        <f t="shared" si="0"/>
        <v>0</v>
      </c>
    </row>
    <row r="11" spans="1:15" x14ac:dyDescent="0.25">
      <c r="A11" s="33" t="s">
        <v>79</v>
      </c>
      <c r="B11" s="14">
        <f>K4</f>
        <v>1</v>
      </c>
      <c r="C11" s="11">
        <v>0</v>
      </c>
      <c r="D11" s="257">
        <f>HLOOKUP(A11,'Unit information'!$B$3:$K$29,'Recruting planner'!B11+2,FALSE)*C11</f>
        <v>0</v>
      </c>
      <c r="E11" s="164">
        <f>$C11*'Unit information'!AB12</f>
        <v>0</v>
      </c>
      <c r="F11" s="164">
        <f>$C11*'Unit information'!AC12</f>
        <v>0</v>
      </c>
      <c r="G11" s="164">
        <f>$C11*'Unit information'!AD12</f>
        <v>0</v>
      </c>
      <c r="H11" s="125">
        <f t="shared" si="0"/>
        <v>0</v>
      </c>
      <c r="L11" s="2"/>
    </row>
    <row r="12" spans="1:15" ht="16.5" thickBot="1" x14ac:dyDescent="0.3">
      <c r="A12" s="88" t="s">
        <v>82</v>
      </c>
      <c r="B12" s="93"/>
      <c r="C12" s="93">
        <f>SUM(C2:C5)+C6*2+C7*4+C8*5+C9*6+C10*5+C11*8</f>
        <v>4</v>
      </c>
      <c r="D12" s="95">
        <f>MAX(SUM(D2:D4),SUM(D6:D9),SUM(D10:D11))</f>
        <v>1.6342592592592593E-2</v>
      </c>
      <c r="E12" s="258">
        <f>SUM(E2:E11)</f>
        <v>130</v>
      </c>
      <c r="F12" s="258">
        <f>SUM(F2:F11)</f>
        <v>110</v>
      </c>
      <c r="G12" s="258">
        <f>SUM(G2:G11)</f>
        <v>100</v>
      </c>
      <c r="H12" s="94">
        <f>SUM(H2:H11)</f>
        <v>340</v>
      </c>
      <c r="L12" s="2"/>
    </row>
    <row r="14" spans="1:15" x14ac:dyDescent="0.25">
      <c r="D14" t="s">
        <v>87</v>
      </c>
      <c r="E14" s="61">
        <f>E12/$D$12*$O$1</f>
        <v>331.44475920679884</v>
      </c>
      <c r="F14" s="61">
        <f>F12/$D$12*$O$1</f>
        <v>280.45325779036824</v>
      </c>
      <c r="G14" s="61">
        <f>G12/$D$12*$O$1</f>
        <v>254.95750708215297</v>
      </c>
      <c r="H14" s="61">
        <f>H12/$D$12*$O$1</f>
        <v>866.85552407932005</v>
      </c>
    </row>
    <row r="20" spans="7:7" x14ac:dyDescent="0.25">
      <c r="G20" s="137"/>
    </row>
  </sheetData>
  <pageMargins left="0.7" right="0.7" top="0.78740157499999996" bottom="0.78740157499999996"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V31"/>
  <sheetViews>
    <sheetView topLeftCell="B1" workbookViewId="0">
      <selection activeCell="I13" sqref="I13"/>
    </sheetView>
  </sheetViews>
  <sheetFormatPr baseColWidth="10" defaultRowHeight="15" x14ac:dyDescent="0.25"/>
  <cols>
    <col min="1" max="1" width="0" hidden="1" customWidth="1"/>
    <col min="2" max="2" width="9.5703125" customWidth="1"/>
    <col min="3" max="3" width="19.28515625" bestFit="1" customWidth="1"/>
    <col min="4" max="4" width="5.7109375" bestFit="1" customWidth="1"/>
    <col min="5" max="5" width="10.140625" bestFit="1" customWidth="1"/>
    <col min="6" max="6" width="9.28515625" bestFit="1" customWidth="1"/>
    <col min="7" max="7" width="7.28515625" bestFit="1" customWidth="1"/>
    <col min="9" max="9" width="20.140625" bestFit="1" customWidth="1"/>
    <col min="10" max="10" width="12.28515625" bestFit="1" customWidth="1"/>
    <col min="12" max="12" width="19.28515625" bestFit="1" customWidth="1"/>
    <col min="13" max="13" width="10" customWidth="1"/>
    <col min="14" max="14" width="8.7109375" bestFit="1" customWidth="1"/>
    <col min="15" max="15" width="10" customWidth="1"/>
    <col min="19" max="19" width="11.5703125" customWidth="1"/>
    <col min="20" max="20" width="15" customWidth="1"/>
  </cols>
  <sheetData>
    <row r="1" spans="1:22" ht="15.75" thickBot="1" x14ac:dyDescent="0.3">
      <c r="A1">
        <v>0</v>
      </c>
    </row>
    <row r="2" spans="1:22" x14ac:dyDescent="0.25">
      <c r="A2">
        <v>1</v>
      </c>
      <c r="C2" s="90" t="s">
        <v>337</v>
      </c>
      <c r="D2" s="291" t="s">
        <v>226</v>
      </c>
      <c r="E2" s="291" t="s">
        <v>408</v>
      </c>
      <c r="F2" s="291" t="s">
        <v>294</v>
      </c>
      <c r="G2" s="292" t="s">
        <v>290</v>
      </c>
      <c r="I2" s="461" t="s">
        <v>404</v>
      </c>
      <c r="J2" s="462"/>
      <c r="L2" s="465" t="s">
        <v>337</v>
      </c>
      <c r="M2" s="463" t="s">
        <v>410</v>
      </c>
      <c r="N2" s="463" t="s">
        <v>411</v>
      </c>
      <c r="O2" s="463" t="s">
        <v>415</v>
      </c>
      <c r="P2" s="463" t="s">
        <v>414</v>
      </c>
      <c r="Q2" s="463" t="s">
        <v>418</v>
      </c>
      <c r="R2" s="463" t="s">
        <v>417</v>
      </c>
      <c r="S2" s="463" t="s">
        <v>416</v>
      </c>
      <c r="T2" s="463" t="s">
        <v>419</v>
      </c>
      <c r="U2" s="463" t="s">
        <v>413</v>
      </c>
      <c r="V2" s="467" t="s">
        <v>412</v>
      </c>
    </row>
    <row r="3" spans="1:22" x14ac:dyDescent="0.25">
      <c r="A3">
        <v>2</v>
      </c>
      <c r="C3" s="293" t="s">
        <v>0</v>
      </c>
      <c r="D3" s="285">
        <v>1</v>
      </c>
      <c r="E3" s="372" t="s">
        <v>409</v>
      </c>
      <c r="F3" s="286">
        <f>IF(D3=0,"0",ROUND(HLOOKUP(C3,Villagers!$B$1:$V$33,'Village Planner'!D3+3,FALSE),0))</f>
        <v>5</v>
      </c>
      <c r="G3" s="287">
        <f>IF(D3=0,"0",ROUND(HLOOKUP(C3,Points!$B$1:$V$32,D3+2,FALSE),0))</f>
        <v>10</v>
      </c>
      <c r="I3" s="81" t="s">
        <v>192</v>
      </c>
      <c r="J3" s="40" t="s">
        <v>407</v>
      </c>
      <c r="L3" s="466"/>
      <c r="M3" s="464"/>
      <c r="N3" s="464"/>
      <c r="O3" s="464"/>
      <c r="P3" s="464"/>
      <c r="Q3" s="464"/>
      <c r="R3" s="464"/>
      <c r="S3" s="464"/>
      <c r="T3" s="464"/>
      <c r="U3" s="464"/>
      <c r="V3" s="468"/>
    </row>
    <row r="4" spans="1:22" x14ac:dyDescent="0.25">
      <c r="A4">
        <v>3</v>
      </c>
      <c r="C4" s="293" t="s">
        <v>1</v>
      </c>
      <c r="D4" s="285">
        <v>0</v>
      </c>
      <c r="E4" s="372" t="s">
        <v>409</v>
      </c>
      <c r="F4" s="286" t="str">
        <f>IF(D4=0,"0",ROUND(HLOOKUP(C4,Villagers!$B$1:$V$33,'Village Planner'!D4+3,FALSE),0))</f>
        <v>0</v>
      </c>
      <c r="G4" s="287" t="str">
        <f>IF(D4=0,"0",ROUND(HLOOKUP(C4,Points!$B$1:$V$32,D4+2,FALSE),0))</f>
        <v>0</v>
      </c>
      <c r="I4" s="81" t="s">
        <v>405</v>
      </c>
      <c r="J4" s="40" t="s">
        <v>406</v>
      </c>
      <c r="L4" s="81" t="s">
        <v>0</v>
      </c>
      <c r="M4" s="79">
        <v>1</v>
      </c>
      <c r="N4" s="79">
        <v>1</v>
      </c>
      <c r="O4" s="79">
        <v>20</v>
      </c>
      <c r="P4" s="79">
        <v>20</v>
      </c>
      <c r="Q4" s="79">
        <v>21</v>
      </c>
      <c r="R4" s="79">
        <v>22</v>
      </c>
      <c r="S4" s="79">
        <v>20</v>
      </c>
      <c r="T4" s="79">
        <v>20</v>
      </c>
      <c r="U4" s="79">
        <v>20</v>
      </c>
      <c r="V4" s="82">
        <v>20</v>
      </c>
    </row>
    <row r="5" spans="1:22" x14ac:dyDescent="0.25">
      <c r="A5">
        <v>4</v>
      </c>
      <c r="C5" s="293" t="s">
        <v>2</v>
      </c>
      <c r="D5" s="285">
        <v>0</v>
      </c>
      <c r="E5" s="372" t="s">
        <v>409</v>
      </c>
      <c r="F5" s="286" t="str">
        <f>IF(D5=0,"0",ROUND(HLOOKUP(C5,Villagers!$B$1:$V$33,'Village Planner'!D5+3,FALSE),0))</f>
        <v>0</v>
      </c>
      <c r="G5" s="287" t="str">
        <f>IF(D5=0,"0",ROUND(HLOOKUP(C5,Points!$B$1:$V$32,D5+2,FALSE),0))</f>
        <v>0</v>
      </c>
      <c r="I5" s="81" t="s">
        <v>352</v>
      </c>
      <c r="J5" s="40" t="s">
        <v>406</v>
      </c>
      <c r="L5" s="81" t="s">
        <v>1</v>
      </c>
      <c r="M5" s="79">
        <v>0</v>
      </c>
      <c r="N5" s="79">
        <v>0</v>
      </c>
      <c r="O5" s="79">
        <v>25</v>
      </c>
      <c r="P5" s="79">
        <v>25</v>
      </c>
      <c r="Q5" s="79">
        <v>25</v>
      </c>
      <c r="R5" s="79">
        <v>25</v>
      </c>
      <c r="S5" s="79">
        <v>25</v>
      </c>
      <c r="T5" s="79">
        <v>22</v>
      </c>
      <c r="U5" s="79">
        <v>25</v>
      </c>
      <c r="V5" s="82">
        <v>25</v>
      </c>
    </row>
    <row r="6" spans="1:22" x14ac:dyDescent="0.25">
      <c r="A6">
        <v>5</v>
      </c>
      <c r="C6" s="293" t="s">
        <v>3</v>
      </c>
      <c r="D6" s="285">
        <v>0</v>
      </c>
      <c r="E6" s="372" t="s">
        <v>409</v>
      </c>
      <c r="F6" s="286" t="str">
        <f>IF(D6=0,"0",ROUND(HLOOKUP(C6,Villagers!$B$1:$V$33,'Village Planner'!D6+3,FALSE),0))</f>
        <v>0</v>
      </c>
      <c r="G6" s="287" t="str">
        <f>IF(D6=0,"0",ROUND(HLOOKUP(C6,Points!$B$1:$V$32,D6+2,FALSE),0))</f>
        <v>0</v>
      </c>
      <c r="I6" s="81" t="s">
        <v>353</v>
      </c>
      <c r="J6" s="40" t="s">
        <v>407</v>
      </c>
      <c r="L6" s="81" t="s">
        <v>2</v>
      </c>
      <c r="M6" s="79">
        <v>0</v>
      </c>
      <c r="N6" s="79">
        <v>0</v>
      </c>
      <c r="O6" s="79">
        <v>20</v>
      </c>
      <c r="P6" s="79">
        <v>20</v>
      </c>
      <c r="Q6" s="79">
        <v>20</v>
      </c>
      <c r="R6" s="79">
        <v>20</v>
      </c>
      <c r="S6" s="79">
        <v>20</v>
      </c>
      <c r="T6" s="79">
        <v>18</v>
      </c>
      <c r="U6" s="79">
        <v>20</v>
      </c>
      <c r="V6" s="82">
        <v>20</v>
      </c>
    </row>
    <row r="7" spans="1:22" ht="15.75" thickBot="1" x14ac:dyDescent="0.3">
      <c r="A7">
        <v>6</v>
      </c>
      <c r="C7" s="293" t="s">
        <v>59</v>
      </c>
      <c r="D7" s="285">
        <v>0</v>
      </c>
      <c r="E7" s="372" t="str">
        <f>IF(AND(J6="inaktiv",D7&gt;0),"Fehler",IF(AND(D7&gt;0,D8&gt;0),"Fehler","Ja"))</f>
        <v>Ja</v>
      </c>
      <c r="F7" s="286" t="str">
        <f>IF(D7=0,"0",ROUND(HLOOKUP(C7,Villagers!$B$1:$V$33,'Village Planner'!D7+3,FALSE),0))</f>
        <v>0</v>
      </c>
      <c r="G7" s="287" t="str">
        <f>IF(D7=0,"0",ROUND(HLOOKUP(C7,Points!$B$1:$V$32,D7+2,FALSE),0))</f>
        <v>0</v>
      </c>
      <c r="I7" s="88" t="s">
        <v>387</v>
      </c>
      <c r="J7" s="341" t="str">
        <f>'Construction Planner'!G2</f>
        <v>Goldmünzen</v>
      </c>
      <c r="L7" s="81" t="s">
        <v>3</v>
      </c>
      <c r="M7" s="79">
        <v>0</v>
      </c>
      <c r="N7" s="79">
        <v>0</v>
      </c>
      <c r="O7" s="79">
        <v>15</v>
      </c>
      <c r="P7" s="79">
        <v>15</v>
      </c>
      <c r="Q7" s="79">
        <v>15</v>
      </c>
      <c r="R7" s="79">
        <v>15</v>
      </c>
      <c r="S7" s="79">
        <v>15</v>
      </c>
      <c r="T7" s="79">
        <v>6</v>
      </c>
      <c r="U7" s="79">
        <v>15</v>
      </c>
      <c r="V7" s="82">
        <v>15</v>
      </c>
    </row>
    <row r="8" spans="1:22" x14ac:dyDescent="0.25">
      <c r="A8">
        <v>7</v>
      </c>
      <c r="C8" s="293" t="s">
        <v>60</v>
      </c>
      <c r="D8" s="285">
        <v>0</v>
      </c>
      <c r="E8" s="372" t="str">
        <f>IF(AND(J5="inaktiv",D7&gt;0),"Fehler",IF(AND(D7&gt;0,D8&gt;0),"Fehler","Ja"))</f>
        <v>Ja</v>
      </c>
      <c r="F8" s="286" t="str">
        <f>IF(D8=0,"0",ROUND(HLOOKUP(C8,Villagers!$B$1:$V$33,'Village Planner'!D8+3,FALSE),0))</f>
        <v>0</v>
      </c>
      <c r="G8" s="287" t="str">
        <f>IF(D8=0,"0",ROUND(HLOOKUP(C8,Points!$B$1:$V$32,D8+2,FALSE),0))</f>
        <v>0</v>
      </c>
      <c r="L8" s="81" t="s">
        <v>59</v>
      </c>
      <c r="M8" s="79">
        <v>0</v>
      </c>
      <c r="N8" s="79">
        <v>0</v>
      </c>
      <c r="O8" s="79">
        <v>0</v>
      </c>
      <c r="P8" s="79">
        <v>0</v>
      </c>
      <c r="Q8" s="79">
        <v>0</v>
      </c>
      <c r="R8" s="79">
        <v>0</v>
      </c>
      <c r="S8" s="79">
        <v>0</v>
      </c>
      <c r="T8" s="79">
        <v>0</v>
      </c>
      <c r="U8" s="79">
        <v>0</v>
      </c>
      <c r="V8" s="82">
        <v>0</v>
      </c>
    </row>
    <row r="9" spans="1:22" x14ac:dyDescent="0.25">
      <c r="A9">
        <v>8</v>
      </c>
      <c r="C9" s="293" t="s">
        <v>4</v>
      </c>
      <c r="D9" s="285">
        <v>0</v>
      </c>
      <c r="E9" s="372" t="str">
        <f>IF(AND(J7="Goldmünzen",D9&gt;1),"Falsch","ja")</f>
        <v>ja</v>
      </c>
      <c r="F9" s="286" t="str">
        <f>IF(D9=0,"0",ROUND(HLOOKUP(C9,Villagers!$B$1:$V$33,'Village Planner'!D9+3,FALSE),0))</f>
        <v>0</v>
      </c>
      <c r="G9" s="287" t="str">
        <f>IF(D9=0,"0",ROUND(HLOOKUP(C9,Points!$B$1:$V$32,D9+2,FALSE),0))</f>
        <v>0</v>
      </c>
      <c r="L9" s="81" t="s">
        <v>60</v>
      </c>
      <c r="M9" s="79">
        <v>0</v>
      </c>
      <c r="N9" s="79">
        <v>0</v>
      </c>
      <c r="O9" s="79">
        <v>0</v>
      </c>
      <c r="P9" s="79">
        <v>0</v>
      </c>
      <c r="Q9" s="79">
        <v>1</v>
      </c>
      <c r="R9" s="79">
        <v>2</v>
      </c>
      <c r="S9" s="79">
        <v>3</v>
      </c>
      <c r="T9" s="79">
        <v>0</v>
      </c>
      <c r="U9" s="79">
        <v>0</v>
      </c>
      <c r="V9" s="82">
        <v>0</v>
      </c>
    </row>
    <row r="10" spans="1:22" x14ac:dyDescent="0.25">
      <c r="A10">
        <v>9</v>
      </c>
      <c r="C10" s="293" t="s">
        <v>5</v>
      </c>
      <c r="D10" s="285">
        <v>0</v>
      </c>
      <c r="E10" s="372" t="s">
        <v>409</v>
      </c>
      <c r="F10" s="286" t="str">
        <f>IF(D10=0,"0",ROUND(HLOOKUP(C10,Villagers!$B$1:$V$33,'Village Planner'!D10+3,FALSE),0))</f>
        <v>0</v>
      </c>
      <c r="G10" s="287" t="str">
        <f>IF(D10=0,"0",ROUND(HLOOKUP(C10,Points!$B$1:$V$32,D10+2,FALSE),0))</f>
        <v>0</v>
      </c>
      <c r="L10" s="81" t="s">
        <v>4</v>
      </c>
      <c r="M10" s="79">
        <v>0</v>
      </c>
      <c r="N10" s="79">
        <v>0</v>
      </c>
      <c r="O10" s="79">
        <v>1</v>
      </c>
      <c r="P10" s="79">
        <v>1</v>
      </c>
      <c r="Q10" s="79">
        <v>1</v>
      </c>
      <c r="R10" s="79">
        <v>1</v>
      </c>
      <c r="S10" s="79">
        <v>1</v>
      </c>
      <c r="T10" s="79">
        <v>20</v>
      </c>
      <c r="U10" s="79">
        <v>1</v>
      </c>
      <c r="V10" s="82">
        <v>1</v>
      </c>
    </row>
    <row r="11" spans="1:22" x14ac:dyDescent="0.25">
      <c r="A11">
        <v>10</v>
      </c>
      <c r="C11" s="293" t="s">
        <v>6</v>
      </c>
      <c r="D11" s="285">
        <v>1</v>
      </c>
      <c r="E11" s="372" t="s">
        <v>409</v>
      </c>
      <c r="F11" s="286">
        <f>IF(D11=0,"0",ROUND(HLOOKUP(C11,Villagers!$B$1:$V$33,'Village Planner'!D11+3,FALSE),0))</f>
        <v>0</v>
      </c>
      <c r="G11" s="287">
        <f>IF(D11=0,"0",ROUND(HLOOKUP(C11,Points!$B$1:$V$32,D11+2,FALSE),0))</f>
        <v>0</v>
      </c>
      <c r="L11" s="81" t="s">
        <v>5</v>
      </c>
      <c r="M11" s="79">
        <v>0</v>
      </c>
      <c r="N11" s="79">
        <v>0</v>
      </c>
      <c r="O11" s="79">
        <v>20</v>
      </c>
      <c r="P11" s="79">
        <v>20</v>
      </c>
      <c r="Q11" s="79">
        <v>20</v>
      </c>
      <c r="R11" s="79">
        <v>20</v>
      </c>
      <c r="S11" s="79">
        <v>20</v>
      </c>
      <c r="T11" s="79">
        <v>1</v>
      </c>
      <c r="U11" s="79">
        <v>20</v>
      </c>
      <c r="V11" s="82">
        <v>20</v>
      </c>
    </row>
    <row r="12" spans="1:22" x14ac:dyDescent="0.25">
      <c r="A12">
        <v>11</v>
      </c>
      <c r="C12" s="293" t="s">
        <v>7</v>
      </c>
      <c r="D12" s="285">
        <v>0</v>
      </c>
      <c r="E12" s="372" t="str">
        <f>IF(AND(J3="inaktiv",D12&gt;0),"Fehler","ja")</f>
        <v>ja</v>
      </c>
      <c r="F12" s="286" t="str">
        <f>IF(D12=0,"0",ROUND(HLOOKUP(C12,Villagers!$B$1:$V$33,'Village Planner'!D12+3,FALSE),0))</f>
        <v>0</v>
      </c>
      <c r="G12" s="287" t="str">
        <f>IF(D12=0,"0",ROUND(HLOOKUP(C12,Points!$B$1:$V$32,D12+2,FALSE),0))</f>
        <v>0</v>
      </c>
      <c r="L12" s="81" t="s">
        <v>6</v>
      </c>
      <c r="M12" s="79">
        <v>1</v>
      </c>
      <c r="N12" s="79">
        <v>1</v>
      </c>
      <c r="O12" s="79">
        <v>1</v>
      </c>
      <c r="P12" s="79">
        <v>1</v>
      </c>
      <c r="Q12" s="79">
        <v>1</v>
      </c>
      <c r="R12" s="79">
        <v>1</v>
      </c>
      <c r="S12" s="79">
        <v>1</v>
      </c>
      <c r="T12" s="79">
        <v>20</v>
      </c>
      <c r="U12" s="79">
        <v>1</v>
      </c>
      <c r="V12" s="82">
        <v>1</v>
      </c>
    </row>
    <row r="13" spans="1:22" x14ac:dyDescent="0.25">
      <c r="A13">
        <v>12</v>
      </c>
      <c r="C13" s="293" t="s">
        <v>8</v>
      </c>
      <c r="D13" s="285">
        <v>0</v>
      </c>
      <c r="E13" s="372" t="s">
        <v>409</v>
      </c>
      <c r="F13" s="286" t="str">
        <f>IF(D13=0,"0",ROUND(HLOOKUP(C13,Villagers!$B$1:$V$33,'Village Planner'!D13+3,FALSE),0))</f>
        <v>0</v>
      </c>
      <c r="G13" s="287" t="str">
        <f>IF(D13=0,"0",ROUND(HLOOKUP(C13,Points!$B$1:$V$32,D13+2,FALSE),0))</f>
        <v>0</v>
      </c>
      <c r="L13" s="81" t="s">
        <v>7</v>
      </c>
      <c r="M13" s="79">
        <v>0</v>
      </c>
      <c r="N13" s="79">
        <v>0</v>
      </c>
      <c r="O13" s="79">
        <v>0</v>
      </c>
      <c r="P13" s="79">
        <v>0</v>
      </c>
      <c r="Q13" s="79">
        <v>0</v>
      </c>
      <c r="R13" s="79">
        <v>0</v>
      </c>
      <c r="S13" s="79">
        <v>0</v>
      </c>
      <c r="T13" s="79">
        <v>1</v>
      </c>
      <c r="U13" s="79">
        <v>1</v>
      </c>
      <c r="V13" s="82">
        <v>1</v>
      </c>
    </row>
    <row r="14" spans="1:22" x14ac:dyDescent="0.25">
      <c r="A14">
        <v>13</v>
      </c>
      <c r="C14" s="293" t="s">
        <v>9</v>
      </c>
      <c r="D14" s="285">
        <v>0</v>
      </c>
      <c r="E14" s="372" t="s">
        <v>409</v>
      </c>
      <c r="F14" s="286" t="str">
        <f>IF(D14=0,"0",ROUND(HLOOKUP(C14,Villagers!$B$1:$V$33,'Village Planner'!D14+3,FALSE),0))</f>
        <v>0</v>
      </c>
      <c r="G14" s="287" t="str">
        <f>IF(D14=0,"0",ROUND(HLOOKUP(C14,Points!$B$1:$V$32,D14+2,FALSE),0))</f>
        <v>0</v>
      </c>
      <c r="L14" s="81" t="s">
        <v>8</v>
      </c>
      <c r="M14" s="79">
        <v>0</v>
      </c>
      <c r="N14" s="79">
        <v>0</v>
      </c>
      <c r="O14" s="79">
        <v>20</v>
      </c>
      <c r="P14" s="79">
        <v>20</v>
      </c>
      <c r="Q14" s="79">
        <v>19</v>
      </c>
      <c r="R14" s="79">
        <v>17</v>
      </c>
      <c r="S14" s="79">
        <v>20</v>
      </c>
      <c r="T14" s="79">
        <v>16</v>
      </c>
      <c r="U14" s="79">
        <v>20</v>
      </c>
      <c r="V14" s="82">
        <v>20</v>
      </c>
    </row>
    <row r="15" spans="1:22" x14ac:dyDescent="0.25">
      <c r="A15">
        <v>14</v>
      </c>
      <c r="C15" s="293" t="s">
        <v>10</v>
      </c>
      <c r="D15" s="285">
        <v>0</v>
      </c>
      <c r="E15" s="372" t="s">
        <v>409</v>
      </c>
      <c r="F15" s="286" t="str">
        <f>IF(D15=0,"0",ROUND(HLOOKUP(C15,Villagers!$B$1:$V$33,'Village Planner'!D15+3,FALSE),0))</f>
        <v>0</v>
      </c>
      <c r="G15" s="287" t="str">
        <f>IF(D15=0,"0",ROUND(HLOOKUP(C15,Points!$B$1:$V$32,D15+2,FALSE),0))</f>
        <v>0</v>
      </c>
      <c r="L15" s="81" t="s">
        <v>9</v>
      </c>
      <c r="M15" s="79">
        <v>0</v>
      </c>
      <c r="N15" s="79">
        <v>0</v>
      </c>
      <c r="O15" s="79">
        <v>30</v>
      </c>
      <c r="P15" s="79">
        <v>30</v>
      </c>
      <c r="Q15" s="79">
        <v>30</v>
      </c>
      <c r="R15" s="79">
        <v>30</v>
      </c>
      <c r="S15" s="79">
        <v>30</v>
      </c>
      <c r="T15" s="79">
        <v>30</v>
      </c>
      <c r="U15" s="79">
        <v>30</v>
      </c>
      <c r="V15" s="82">
        <v>30</v>
      </c>
    </row>
    <row r="16" spans="1:22" x14ac:dyDescent="0.25">
      <c r="A16">
        <v>15</v>
      </c>
      <c r="C16" s="293" t="s">
        <v>11</v>
      </c>
      <c r="D16" s="285">
        <v>0</v>
      </c>
      <c r="E16" s="372" t="s">
        <v>409</v>
      </c>
      <c r="F16" s="286" t="str">
        <f>IF(D16=0,"0",ROUND(HLOOKUP(C16,Villagers!$B$1:$V$33,'Village Planner'!D16+3,FALSE),0))</f>
        <v>0</v>
      </c>
      <c r="G16" s="287" t="str">
        <f>IF(D16=0,"0",ROUND(HLOOKUP(C16,Points!$B$1:$V$32,D16+2,FALSE),0))</f>
        <v>0</v>
      </c>
      <c r="L16" s="81" t="s">
        <v>10</v>
      </c>
      <c r="M16" s="79">
        <v>0</v>
      </c>
      <c r="N16" s="79">
        <v>0</v>
      </c>
      <c r="O16" s="79">
        <v>30</v>
      </c>
      <c r="P16" s="79">
        <v>30</v>
      </c>
      <c r="Q16" s="79">
        <v>30</v>
      </c>
      <c r="R16" s="79">
        <v>30</v>
      </c>
      <c r="S16" s="79">
        <v>30</v>
      </c>
      <c r="T16" s="79">
        <v>30</v>
      </c>
      <c r="U16" s="79">
        <v>30</v>
      </c>
      <c r="V16" s="82">
        <v>30</v>
      </c>
    </row>
    <row r="17" spans="1:22" x14ac:dyDescent="0.25">
      <c r="A17">
        <v>16</v>
      </c>
      <c r="C17" s="293" t="s">
        <v>12</v>
      </c>
      <c r="D17" s="285">
        <v>1</v>
      </c>
      <c r="E17" s="372" t="s">
        <v>409</v>
      </c>
      <c r="F17" s="286">
        <f>IF(D17=0,"0",ROUND(HLOOKUP(C17,Villagers!$B$1:$V$33,'Village Planner'!D17+3,FALSE),0))</f>
        <v>0</v>
      </c>
      <c r="G17" s="287">
        <f>IF(D17=0,"0",ROUND(HLOOKUP(C17,Points!$B$1:$V$32,D17+2,FALSE),0))</f>
        <v>5</v>
      </c>
      <c r="L17" s="81" t="s">
        <v>11</v>
      </c>
      <c r="M17" s="79">
        <v>0</v>
      </c>
      <c r="N17" s="79">
        <v>0</v>
      </c>
      <c r="O17" s="79">
        <v>30</v>
      </c>
      <c r="P17" s="79">
        <v>30</v>
      </c>
      <c r="Q17" s="79">
        <v>30</v>
      </c>
      <c r="R17" s="79">
        <v>30</v>
      </c>
      <c r="S17" s="79">
        <v>30</v>
      </c>
      <c r="T17" s="79">
        <v>30</v>
      </c>
      <c r="U17" s="79">
        <v>30</v>
      </c>
      <c r="V17" s="82">
        <v>30</v>
      </c>
    </row>
    <row r="18" spans="1:22" x14ac:dyDescent="0.25">
      <c r="A18">
        <v>17</v>
      </c>
      <c r="C18" s="293" t="s">
        <v>13</v>
      </c>
      <c r="D18" s="285">
        <v>1</v>
      </c>
      <c r="E18" s="372" t="s">
        <v>409</v>
      </c>
      <c r="F18" s="286">
        <f>IF(D18=0,"0",ROUND(HLOOKUP(C18,Villagers!$B$1:$V$33,'Village Planner'!D18+3,FALSE),0))</f>
        <v>0</v>
      </c>
      <c r="G18" s="287">
        <f>IF(D18=0,"0",ROUND(HLOOKUP(C18,Points!$B$1:$V$32,D18+2,FALSE),0))</f>
        <v>6</v>
      </c>
      <c r="L18" s="81" t="s">
        <v>12</v>
      </c>
      <c r="M18" s="79">
        <v>1</v>
      </c>
      <c r="N18" s="79">
        <v>1</v>
      </c>
      <c r="O18" s="79">
        <v>30</v>
      </c>
      <c r="P18" s="79">
        <v>30</v>
      </c>
      <c r="Q18" s="79">
        <v>30</v>
      </c>
      <c r="R18" s="79">
        <v>30</v>
      </c>
      <c r="S18" s="79">
        <v>30</v>
      </c>
      <c r="T18" s="79">
        <v>30</v>
      </c>
      <c r="U18" s="79">
        <v>30</v>
      </c>
      <c r="V18" s="82">
        <v>30</v>
      </c>
    </row>
    <row r="19" spans="1:22" x14ac:dyDescent="0.25">
      <c r="A19">
        <v>18</v>
      </c>
      <c r="C19" s="293" t="s">
        <v>14</v>
      </c>
      <c r="D19" s="285">
        <v>1</v>
      </c>
      <c r="E19" s="372" t="str">
        <f>IF(AND(J4="inaktiv",D19&gt;0),"Fehler",IF(AND(J4="aktiv",D19=0),"Fehler","ja"))</f>
        <v>ja</v>
      </c>
      <c r="F19" s="286">
        <f>IF(D19=0,"0",ROUND(HLOOKUP(C19,Villagers!$B$1:$V$33,'Village Planner'!D19+3,FALSE),0))</f>
        <v>2</v>
      </c>
      <c r="G19" s="287">
        <f>IF(D19=0,"0",ROUND(HLOOKUP(C19,Points!$B$1:$V$32,D19+2,FALSE),0))</f>
        <v>5</v>
      </c>
      <c r="L19" s="81" t="s">
        <v>13</v>
      </c>
      <c r="M19" s="79">
        <v>1</v>
      </c>
      <c r="N19" s="79">
        <v>1</v>
      </c>
      <c r="O19" s="79">
        <v>30</v>
      </c>
      <c r="P19" s="79">
        <v>30</v>
      </c>
      <c r="Q19" s="79">
        <v>30</v>
      </c>
      <c r="R19" s="79">
        <v>30</v>
      </c>
      <c r="S19" s="79">
        <v>30</v>
      </c>
      <c r="T19" s="79">
        <v>29</v>
      </c>
      <c r="U19" s="79">
        <v>30</v>
      </c>
      <c r="V19" s="82">
        <v>30</v>
      </c>
    </row>
    <row r="20" spans="1:22" x14ac:dyDescent="0.25">
      <c r="A20">
        <v>19</v>
      </c>
      <c r="C20" s="293" t="s">
        <v>15</v>
      </c>
      <c r="D20" s="285">
        <v>0</v>
      </c>
      <c r="E20" s="372" t="s">
        <v>409</v>
      </c>
      <c r="F20" s="286" t="str">
        <f>IF(D20=0,"0",ROUND(HLOOKUP(C20,Villagers!$B$1:$V$33,'Village Planner'!D20+3,FALSE),0))</f>
        <v>0</v>
      </c>
      <c r="G20" s="287" t="str">
        <f>IF(D20=0,"0",ROUND(HLOOKUP(C20,Points!$B$1:$V$32,D20+2,FALSE),0))</f>
        <v>0</v>
      </c>
      <c r="L20" s="81" t="s">
        <v>14</v>
      </c>
      <c r="M20" s="79">
        <v>0</v>
      </c>
      <c r="N20" s="79">
        <v>1</v>
      </c>
      <c r="O20" s="79">
        <v>0</v>
      </c>
      <c r="P20" s="79">
        <v>10</v>
      </c>
      <c r="Q20" s="79">
        <v>1</v>
      </c>
      <c r="R20" s="79">
        <v>3</v>
      </c>
      <c r="S20" s="79">
        <v>6</v>
      </c>
      <c r="T20" s="79">
        <v>10</v>
      </c>
      <c r="U20" s="79">
        <v>3</v>
      </c>
      <c r="V20" s="82">
        <v>3</v>
      </c>
    </row>
    <row r="21" spans="1:22" ht="15.75" thickBot="1" x14ac:dyDescent="0.3">
      <c r="A21">
        <v>20</v>
      </c>
      <c r="C21" s="284" t="s">
        <v>154</v>
      </c>
      <c r="D21" s="288"/>
      <c r="E21" s="288"/>
      <c r="F21" s="289">
        <f>SUM(F3:F20)</f>
        <v>7</v>
      </c>
      <c r="G21" s="290">
        <f>SUM(G3:G20)</f>
        <v>26</v>
      </c>
      <c r="L21" s="88" t="s">
        <v>15</v>
      </c>
      <c r="M21" s="93">
        <v>0</v>
      </c>
      <c r="N21" s="93">
        <v>0</v>
      </c>
      <c r="O21" s="93">
        <v>20</v>
      </c>
      <c r="P21" s="93">
        <v>20</v>
      </c>
      <c r="Q21" s="93">
        <v>20</v>
      </c>
      <c r="R21" s="93">
        <v>20</v>
      </c>
      <c r="S21" s="93">
        <v>20</v>
      </c>
      <c r="T21" s="93">
        <v>20</v>
      </c>
      <c r="U21" s="93">
        <v>20</v>
      </c>
      <c r="V21" s="89">
        <v>20</v>
      </c>
    </row>
    <row r="22" spans="1:22" x14ac:dyDescent="0.25">
      <c r="A22">
        <v>21</v>
      </c>
    </row>
    <row r="23" spans="1:22" x14ac:dyDescent="0.25">
      <c r="A23">
        <v>22</v>
      </c>
      <c r="C23" s="455" t="s">
        <v>22</v>
      </c>
      <c r="D23" s="455"/>
      <c r="E23" s="355"/>
      <c r="F23">
        <f>ROUND(HLOOKUP(C23,Miscelaneous!C:C,3+'Village Planner'!D17,FALSE),0)</f>
        <v>240</v>
      </c>
    </row>
    <row r="24" spans="1:22" x14ac:dyDescent="0.25">
      <c r="A24">
        <v>23</v>
      </c>
      <c r="C24" s="455" t="s">
        <v>295</v>
      </c>
      <c r="D24" s="455"/>
      <c r="E24" s="355"/>
      <c r="F24">
        <f>F23-F21</f>
        <v>233</v>
      </c>
    </row>
    <row r="25" spans="1:22" x14ac:dyDescent="0.25">
      <c r="A25">
        <v>24</v>
      </c>
    </row>
    <row r="26" spans="1:22" x14ac:dyDescent="0.25">
      <c r="A26">
        <v>25</v>
      </c>
    </row>
    <row r="27" spans="1:22" x14ac:dyDescent="0.25">
      <c r="A27">
        <v>26</v>
      </c>
    </row>
    <row r="28" spans="1:22" x14ac:dyDescent="0.25">
      <c r="A28">
        <v>27</v>
      </c>
    </row>
    <row r="29" spans="1:22" x14ac:dyDescent="0.25">
      <c r="A29">
        <v>28</v>
      </c>
    </row>
    <row r="30" spans="1:22" x14ac:dyDescent="0.25">
      <c r="A30">
        <v>29</v>
      </c>
    </row>
    <row r="31" spans="1:22" x14ac:dyDescent="0.25">
      <c r="A31">
        <v>30</v>
      </c>
    </row>
  </sheetData>
  <mergeCells count="14">
    <mergeCell ref="P2:P3"/>
    <mergeCell ref="U2:U3"/>
    <mergeCell ref="V2:V3"/>
    <mergeCell ref="O2:O3"/>
    <mergeCell ref="S2:S3"/>
    <mergeCell ref="R2:R3"/>
    <mergeCell ref="Q2:Q3"/>
    <mergeCell ref="T2:T3"/>
    <mergeCell ref="C24:D24"/>
    <mergeCell ref="C23:D23"/>
    <mergeCell ref="I2:J2"/>
    <mergeCell ref="M2:M3"/>
    <mergeCell ref="N2:N3"/>
    <mergeCell ref="L2:L3"/>
  </mergeCells>
  <dataValidations count="8">
    <dataValidation type="list" allowBlank="1" showInputMessage="1" showErrorMessage="1" sqref="D17:D18 D3">
      <formula1>$A$2:$A$31</formula1>
    </dataValidation>
    <dataValidation type="list" allowBlank="1" showInputMessage="1" showErrorMessage="1" sqref="D19 D4">
      <formula1>$A$1:$A$26</formula1>
    </dataValidation>
    <dataValidation type="list" allowBlank="1" showInputMessage="1" showErrorMessage="1" sqref="D10 D20 D5">
      <formula1>$A$1:$A$21</formula1>
    </dataValidation>
    <dataValidation type="list" allowBlank="1" showInputMessage="1" showErrorMessage="1" sqref="D6">
      <formula1>$A$1:$A$16</formula1>
    </dataValidation>
    <dataValidation type="list" allowBlank="1" showInputMessage="1" showErrorMessage="1" sqref="D11:D12 D7">
      <formula1>$A$1:$A$2</formula1>
    </dataValidation>
    <dataValidation type="list" allowBlank="1" showInputMessage="1" showErrorMessage="1" sqref="D8:D9">
      <formula1>$A$1:$A$4</formula1>
    </dataValidation>
    <dataValidation type="list" allowBlank="1" showInputMessage="1" showErrorMessage="1" sqref="D13:D16">
      <formula1>$A$1:$A$31</formula1>
    </dataValidation>
    <dataValidation type="list" allowBlank="1" showInputMessage="1" showErrorMessage="1" sqref="J3:J6">
      <formula1>"aktiv,inaktiv"</formula1>
    </dataValidation>
  </dataValidations>
  <pageMargins left="0.7" right="0.7" top="0.78740157499999996" bottom="0.78740157499999996"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K14"/>
  <sheetViews>
    <sheetView workbookViewId="0">
      <selection activeCell="J2" sqref="J2:K4"/>
    </sheetView>
  </sheetViews>
  <sheetFormatPr baseColWidth="10" defaultRowHeight="15" x14ac:dyDescent="0.25"/>
  <cols>
    <col min="1" max="1" width="14.42578125" bestFit="1" customWidth="1"/>
    <col min="2" max="3" width="17.85546875" bestFit="1" customWidth="1"/>
    <col min="10" max="10" width="24.28515625" bestFit="1" customWidth="1"/>
  </cols>
  <sheetData>
    <row r="1" spans="1:11" ht="15.75" thickBot="1" x14ac:dyDescent="0.3"/>
    <row r="2" spans="1:11" x14ac:dyDescent="0.25">
      <c r="A2" s="260"/>
      <c r="B2" s="267" t="s">
        <v>256</v>
      </c>
      <c r="C2" s="268" t="s">
        <v>257</v>
      </c>
      <c r="F2" s="100" t="s">
        <v>258</v>
      </c>
      <c r="G2" s="91" t="s">
        <v>259</v>
      </c>
      <c r="H2" s="92" t="s">
        <v>260</v>
      </c>
      <c r="J2" s="100" t="s">
        <v>421</v>
      </c>
      <c r="K2" s="227">
        <f>'Construction Planner'!E1</f>
        <v>1</v>
      </c>
    </row>
    <row r="3" spans="1:11" x14ac:dyDescent="0.25">
      <c r="A3" s="26" t="s">
        <v>261</v>
      </c>
      <c r="B3" s="11">
        <v>382</v>
      </c>
      <c r="C3" s="40">
        <v>475</v>
      </c>
      <c r="F3" s="208" t="s">
        <v>160</v>
      </c>
      <c r="G3" s="160">
        <v>1.2499999999999999E-2</v>
      </c>
      <c r="H3" s="209">
        <f t="shared" ref="H3:H13" si="0">G3/$K$4</f>
        <v>1.2499999999999999E-2</v>
      </c>
      <c r="J3" s="81" t="s">
        <v>420</v>
      </c>
      <c r="K3" s="125">
        <f>'Construction Planner'!E4</f>
        <v>1</v>
      </c>
    </row>
    <row r="4" spans="1:11" ht="15.75" thickBot="1" x14ac:dyDescent="0.3">
      <c r="A4" s="26" t="s">
        <v>262</v>
      </c>
      <c r="B4" s="11">
        <v>382</v>
      </c>
      <c r="C4" s="40">
        <v>471</v>
      </c>
      <c r="F4" s="81" t="s">
        <v>161</v>
      </c>
      <c r="G4" s="160">
        <v>1.5277777777777777E-2</v>
      </c>
      <c r="H4" s="209">
        <f t="shared" si="0"/>
        <v>1.5277777777777777E-2</v>
      </c>
      <c r="J4" s="88" t="s">
        <v>422</v>
      </c>
      <c r="K4" s="373">
        <f>K2*K3</f>
        <v>1</v>
      </c>
    </row>
    <row r="5" spans="1:11" ht="15.75" thickBot="1" x14ac:dyDescent="0.3">
      <c r="A5" s="264" t="s">
        <v>263</v>
      </c>
      <c r="B5" s="269">
        <f>ABS(B4-B3)</f>
        <v>0</v>
      </c>
      <c r="C5" s="270">
        <f>ABS(C4-C3)</f>
        <v>4</v>
      </c>
      <c r="F5" s="81" t="s">
        <v>171</v>
      </c>
      <c r="G5" s="160">
        <v>1.2499999999999999E-2</v>
      </c>
      <c r="H5" s="209">
        <f t="shared" si="0"/>
        <v>1.2499999999999999E-2</v>
      </c>
    </row>
    <row r="6" spans="1:11" x14ac:dyDescent="0.25">
      <c r="C6" t="s">
        <v>264</v>
      </c>
      <c r="D6" s="371">
        <f>SQRT(B5*B5+C5*C5)</f>
        <v>4</v>
      </c>
      <c r="F6" s="81" t="s">
        <v>275</v>
      </c>
      <c r="G6" s="160">
        <v>6.9444444444444441E-3</v>
      </c>
      <c r="H6" s="209">
        <f t="shared" si="0"/>
        <v>6.9444444444444441E-3</v>
      </c>
    </row>
    <row r="7" spans="1:11" ht="15.75" thickBot="1" x14ac:dyDescent="0.3">
      <c r="F7" s="81" t="s">
        <v>121</v>
      </c>
      <c r="G7" s="160">
        <v>6.2499999999999995E-3</v>
      </c>
      <c r="H7" s="209">
        <f t="shared" si="0"/>
        <v>6.2499999999999995E-3</v>
      </c>
    </row>
    <row r="8" spans="1:11" x14ac:dyDescent="0.25">
      <c r="A8" s="260" t="s">
        <v>196</v>
      </c>
      <c r="B8" s="140" t="s">
        <v>265</v>
      </c>
      <c r="F8" s="81" t="s">
        <v>265</v>
      </c>
      <c r="G8" s="160">
        <v>6.9444444444444441E-3</v>
      </c>
      <c r="H8" s="209">
        <f t="shared" si="0"/>
        <v>6.9444444444444441E-3</v>
      </c>
    </row>
    <row r="9" spans="1:11" x14ac:dyDescent="0.25">
      <c r="A9" s="26" t="s">
        <v>268</v>
      </c>
      <c r="B9" s="271">
        <f>VLOOKUP(B8,F3:H13,3,FALSE)</f>
        <v>6.9444444444444441E-3</v>
      </c>
      <c r="F9" s="81" t="s">
        <v>250</v>
      </c>
      <c r="G9" s="160">
        <v>6.9444444444444441E-3</v>
      </c>
      <c r="H9" s="209">
        <f t="shared" si="0"/>
        <v>6.9444444444444441E-3</v>
      </c>
    </row>
    <row r="10" spans="1:11" ht="15.75" thickBot="1" x14ac:dyDescent="0.3">
      <c r="A10" s="264" t="s">
        <v>270</v>
      </c>
      <c r="B10" s="272">
        <f>B9*D6</f>
        <v>2.7777777777777776E-2</v>
      </c>
      <c r="F10" s="81" t="s">
        <v>267</v>
      </c>
      <c r="G10" s="160">
        <v>7.6388888888888886E-3</v>
      </c>
      <c r="H10" s="209">
        <f t="shared" si="0"/>
        <v>7.6388888888888886E-3</v>
      </c>
    </row>
    <row r="11" spans="1:11" ht="15.75" thickBot="1" x14ac:dyDescent="0.3">
      <c r="F11" s="81" t="s">
        <v>269</v>
      </c>
      <c r="G11" s="160">
        <v>2.0833333333333332E-2</v>
      </c>
      <c r="H11" s="209">
        <f t="shared" si="0"/>
        <v>2.0833333333333332E-2</v>
      </c>
    </row>
    <row r="12" spans="1:11" x14ac:dyDescent="0.25">
      <c r="A12" s="260" t="s">
        <v>272</v>
      </c>
      <c r="B12" s="261">
        <v>43947.639097222222</v>
      </c>
      <c r="C12" s="262">
        <f>C13-B10</f>
        <v>43943.972210648142</v>
      </c>
      <c r="F12" s="81" t="s">
        <v>271</v>
      </c>
      <c r="G12" s="160">
        <v>2.0833333333333332E-2</v>
      </c>
      <c r="H12" s="209">
        <f t="shared" si="0"/>
        <v>2.0833333333333332E-2</v>
      </c>
    </row>
    <row r="13" spans="1:11" ht="15.75" thickBot="1" x14ac:dyDescent="0.3">
      <c r="A13" s="26" t="s">
        <v>273</v>
      </c>
      <c r="B13" s="259">
        <f>B12+B10</f>
        <v>43947.666875000003</v>
      </c>
      <c r="C13" s="263">
        <v>43943.999988425923</v>
      </c>
      <c r="F13" s="88" t="s">
        <v>266</v>
      </c>
      <c r="G13" s="210">
        <v>2.4305555555555556E-2</v>
      </c>
      <c r="H13" s="211">
        <f t="shared" si="0"/>
        <v>2.4305555555555556E-2</v>
      </c>
    </row>
    <row r="14" spans="1:11" ht="15.75" thickBot="1" x14ac:dyDescent="0.3">
      <c r="A14" s="264" t="s">
        <v>274</v>
      </c>
      <c r="B14" s="265">
        <f>B13+B10</f>
        <v>43947.694652777784</v>
      </c>
      <c r="C14" s="266">
        <f>C13+B10</f>
        <v>43944.027766203704</v>
      </c>
    </row>
  </sheetData>
  <dataValidations count="1">
    <dataValidation type="list" allowBlank="1" showInputMessage="1" showErrorMessage="1" sqref="B8">
      <formula1>$F$3:$F$13</formula1>
    </dataValidation>
  </dataValidations>
  <pageMargins left="0.7" right="0.7" top="0.78740157499999996" bottom="0.78740157499999996"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2:P11"/>
  <sheetViews>
    <sheetView workbookViewId="0">
      <selection activeCell="L14" sqref="L14"/>
    </sheetView>
  </sheetViews>
  <sheetFormatPr baseColWidth="10" defaultRowHeight="15" x14ac:dyDescent="0.25"/>
  <cols>
    <col min="1" max="1" width="14.28515625" bestFit="1" customWidth="1"/>
    <col min="3" max="3" width="12.42578125" bestFit="1" customWidth="1"/>
    <col min="4" max="4" width="11.28515625" bestFit="1" customWidth="1"/>
    <col min="5" max="5" width="8.28515625" bestFit="1" customWidth="1"/>
    <col min="6" max="6" width="6.85546875" bestFit="1" customWidth="1"/>
    <col min="7" max="7" width="5.85546875" bestFit="1" customWidth="1"/>
    <col min="8" max="8" width="11.85546875" bestFit="1" customWidth="1"/>
    <col min="9" max="9" width="15.42578125" bestFit="1" customWidth="1"/>
    <col min="10" max="10" width="13" bestFit="1" customWidth="1"/>
    <col min="11" max="11" width="4.85546875" bestFit="1" customWidth="1"/>
    <col min="12" max="12" width="8.42578125" bestFit="1" customWidth="1"/>
    <col min="13" max="13" width="7.5703125" bestFit="1" customWidth="1"/>
    <col min="14" max="14" width="6.140625" bestFit="1" customWidth="1"/>
  </cols>
  <sheetData>
    <row r="2" spans="1:16" ht="15.75" thickBot="1" x14ac:dyDescent="0.3"/>
    <row r="3" spans="1:16" x14ac:dyDescent="0.25">
      <c r="C3" s="100" t="s">
        <v>73</v>
      </c>
      <c r="D3" s="91" t="s">
        <v>74</v>
      </c>
      <c r="E3" s="91" t="s">
        <v>75</v>
      </c>
      <c r="F3" s="91" t="s">
        <v>190</v>
      </c>
      <c r="G3" s="91" t="s">
        <v>71</v>
      </c>
      <c r="H3" s="91" t="s">
        <v>76</v>
      </c>
      <c r="I3" s="91" t="s">
        <v>195</v>
      </c>
      <c r="J3" s="91" t="s">
        <v>77</v>
      </c>
      <c r="K3" s="91" t="s">
        <v>78</v>
      </c>
      <c r="L3" s="91" t="s">
        <v>79</v>
      </c>
      <c r="M3" s="91" t="s">
        <v>192</v>
      </c>
      <c r="N3" s="92" t="s">
        <v>276</v>
      </c>
    </row>
    <row r="4" spans="1:16" x14ac:dyDescent="0.25">
      <c r="A4" s="469" t="s">
        <v>237</v>
      </c>
      <c r="B4" s="79" t="s">
        <v>235</v>
      </c>
      <c r="C4" s="81">
        <v>1</v>
      </c>
      <c r="D4" s="79">
        <v>2</v>
      </c>
      <c r="E4" s="79">
        <v>4</v>
      </c>
      <c r="F4" s="79">
        <v>2</v>
      </c>
      <c r="G4" s="79">
        <v>2</v>
      </c>
      <c r="H4" s="79">
        <v>13</v>
      </c>
      <c r="I4" s="79">
        <v>15</v>
      </c>
      <c r="J4" s="79">
        <v>12</v>
      </c>
      <c r="K4" s="79">
        <v>8</v>
      </c>
      <c r="L4" s="79">
        <v>10</v>
      </c>
      <c r="M4" s="79">
        <v>20</v>
      </c>
      <c r="N4" s="82">
        <v>200</v>
      </c>
    </row>
    <row r="5" spans="1:16" ht="15.75" thickBot="1" x14ac:dyDescent="0.3">
      <c r="A5" s="469"/>
      <c r="B5" s="79" t="s">
        <v>239</v>
      </c>
      <c r="C5" s="88">
        <v>4</v>
      </c>
      <c r="D5" s="93">
        <v>5</v>
      </c>
      <c r="E5" s="93">
        <v>1</v>
      </c>
      <c r="F5" s="93">
        <v>5</v>
      </c>
      <c r="G5" s="93">
        <v>1</v>
      </c>
      <c r="H5" s="93">
        <v>5</v>
      </c>
      <c r="I5" s="93">
        <v>6</v>
      </c>
      <c r="J5" s="93">
        <v>23</v>
      </c>
      <c r="K5" s="93">
        <v>4</v>
      </c>
      <c r="L5" s="93">
        <v>12</v>
      </c>
      <c r="M5" s="93">
        <v>40</v>
      </c>
      <c r="N5" s="89">
        <v>200</v>
      </c>
    </row>
    <row r="6" spans="1:16" ht="15.75" thickBot="1" x14ac:dyDescent="0.3"/>
    <row r="7" spans="1:16" x14ac:dyDescent="0.25">
      <c r="A7" s="100"/>
      <c r="B7" s="91"/>
      <c r="C7" s="91" t="s">
        <v>73</v>
      </c>
      <c r="D7" s="91" t="s">
        <v>74</v>
      </c>
      <c r="E7" s="91" t="s">
        <v>75</v>
      </c>
      <c r="F7" s="91" t="s">
        <v>190</v>
      </c>
      <c r="G7" s="91" t="s">
        <v>71</v>
      </c>
      <c r="H7" s="91" t="s">
        <v>76</v>
      </c>
      <c r="I7" s="91" t="s">
        <v>195</v>
      </c>
      <c r="J7" s="91" t="s">
        <v>77</v>
      </c>
      <c r="K7" s="91" t="s">
        <v>78</v>
      </c>
      <c r="L7" s="91" t="s">
        <v>79</v>
      </c>
      <c r="M7" s="91" t="s">
        <v>192</v>
      </c>
      <c r="N7" s="91" t="s">
        <v>276</v>
      </c>
      <c r="O7" s="91"/>
      <c r="P7" s="92"/>
    </row>
    <row r="8" spans="1:16" x14ac:dyDescent="0.25">
      <c r="A8" s="469" t="s">
        <v>237</v>
      </c>
      <c r="B8" s="79" t="s">
        <v>235</v>
      </c>
      <c r="C8" s="11"/>
      <c r="D8" s="11"/>
      <c r="E8" s="11"/>
      <c r="F8" s="11"/>
      <c r="G8" s="11">
        <v>10</v>
      </c>
      <c r="H8" s="11"/>
      <c r="I8" s="11"/>
      <c r="J8" s="11"/>
      <c r="K8" s="11"/>
      <c r="L8" s="11">
        <v>10</v>
      </c>
      <c r="M8" s="11"/>
      <c r="N8" s="11"/>
      <c r="O8" s="79">
        <f>SUM(C8:F8)+G8*2+H8*4+I8*5+J8*6+K8*5+L8*8+M8*10+N8*100</f>
        <v>100</v>
      </c>
      <c r="P8" s="82"/>
    </row>
    <row r="9" spans="1:16" x14ac:dyDescent="0.25">
      <c r="A9" s="469"/>
      <c r="B9" s="79" t="s">
        <v>239</v>
      </c>
      <c r="C9" s="11">
        <v>2000</v>
      </c>
      <c r="D9" s="11">
        <v>2000</v>
      </c>
      <c r="E9" s="11"/>
      <c r="F9" s="11"/>
      <c r="G9" s="11">
        <v>100</v>
      </c>
      <c r="H9" s="11"/>
      <c r="I9" s="11"/>
      <c r="J9" s="11">
        <v>500</v>
      </c>
      <c r="K9" s="11"/>
      <c r="L9" s="11"/>
      <c r="M9" s="11"/>
      <c r="N9" s="11"/>
      <c r="O9" s="79">
        <f>SUM(C9:F9)+G9*2+H9*4+I9*5+J9*6+K9*5+L9*8+M9*10+N9*100</f>
        <v>7200</v>
      </c>
      <c r="P9" s="82"/>
    </row>
    <row r="10" spans="1:16" x14ac:dyDescent="0.25">
      <c r="A10" s="469" t="s">
        <v>279</v>
      </c>
      <c r="B10" s="79" t="s">
        <v>278</v>
      </c>
      <c r="C10" s="79">
        <f>C8*C4</f>
        <v>0</v>
      </c>
      <c r="D10" s="79">
        <f t="shared" ref="D10:N11" si="0">D8*D4</f>
        <v>0</v>
      </c>
      <c r="E10" s="79">
        <f t="shared" si="0"/>
        <v>0</v>
      </c>
      <c r="F10" s="79">
        <f t="shared" si="0"/>
        <v>0</v>
      </c>
      <c r="G10" s="79">
        <f t="shared" si="0"/>
        <v>20</v>
      </c>
      <c r="H10" s="79">
        <f t="shared" si="0"/>
        <v>0</v>
      </c>
      <c r="I10" s="79">
        <f t="shared" si="0"/>
        <v>0</v>
      </c>
      <c r="J10" s="79">
        <f t="shared" si="0"/>
        <v>0</v>
      </c>
      <c r="K10" s="79">
        <f t="shared" si="0"/>
        <v>0</v>
      </c>
      <c r="L10" s="79">
        <f t="shared" si="0"/>
        <v>100</v>
      </c>
      <c r="M10" s="79">
        <f t="shared" si="0"/>
        <v>0</v>
      </c>
      <c r="N10" s="79">
        <f t="shared" si="0"/>
        <v>0</v>
      </c>
      <c r="O10" s="374">
        <f>SUM(C10:N10)</f>
        <v>120</v>
      </c>
      <c r="P10" s="215" t="s">
        <v>278</v>
      </c>
    </row>
    <row r="11" spans="1:16" ht="15.75" thickBot="1" x14ac:dyDescent="0.3">
      <c r="A11" s="470"/>
      <c r="B11" s="93" t="s">
        <v>277</v>
      </c>
      <c r="C11" s="93">
        <f>C9*C5</f>
        <v>8000</v>
      </c>
      <c r="D11" s="93">
        <f t="shared" si="0"/>
        <v>10000</v>
      </c>
      <c r="E11" s="93">
        <f t="shared" si="0"/>
        <v>0</v>
      </c>
      <c r="F11" s="93">
        <f t="shared" si="0"/>
        <v>0</v>
      </c>
      <c r="G11" s="93">
        <f t="shared" si="0"/>
        <v>100</v>
      </c>
      <c r="H11" s="93">
        <f t="shared" si="0"/>
        <v>0</v>
      </c>
      <c r="I11" s="93">
        <f t="shared" si="0"/>
        <v>0</v>
      </c>
      <c r="J11" s="93">
        <f t="shared" si="0"/>
        <v>11500</v>
      </c>
      <c r="K11" s="93">
        <f t="shared" si="0"/>
        <v>0</v>
      </c>
      <c r="L11" s="93">
        <f t="shared" si="0"/>
        <v>0</v>
      </c>
      <c r="M11" s="93">
        <f t="shared" si="0"/>
        <v>0</v>
      </c>
      <c r="N11" s="93">
        <f t="shared" si="0"/>
        <v>0</v>
      </c>
      <c r="O11" s="375">
        <f>SUM(C11:N11)</f>
        <v>29600</v>
      </c>
      <c r="P11" s="192" t="s">
        <v>277</v>
      </c>
    </row>
  </sheetData>
  <mergeCells count="3">
    <mergeCell ref="A8:A9"/>
    <mergeCell ref="A10:A11"/>
    <mergeCell ref="A4:A5"/>
  </mergeCells>
  <pageMargins left="0.7" right="0.7" top="0.78740157499999996" bottom="0.78740157499999996"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AU29"/>
  <sheetViews>
    <sheetView workbookViewId="0">
      <selection activeCell="E6" sqref="E6"/>
    </sheetView>
  </sheetViews>
  <sheetFormatPr baseColWidth="10" defaultRowHeight="15" x14ac:dyDescent="0.25"/>
  <cols>
    <col min="1" max="2" width="6.5703125" bestFit="1" customWidth="1"/>
    <col min="4" max="4" width="12.42578125" bestFit="1" customWidth="1"/>
    <col min="5" max="5" width="11.5703125" bestFit="1" customWidth="1"/>
    <col min="8" max="10" width="6.42578125" customWidth="1"/>
    <col min="11" max="11" width="8.140625" bestFit="1" customWidth="1"/>
    <col min="12" max="14" width="6.42578125" customWidth="1"/>
    <col min="15" max="15" width="8.140625" bestFit="1" customWidth="1"/>
    <col min="16" max="18" width="6.42578125" customWidth="1"/>
    <col min="19" max="19" width="8.140625" bestFit="1" customWidth="1"/>
    <col min="20" max="23" width="8.140625" customWidth="1"/>
    <col min="24" max="26" width="6.42578125" customWidth="1"/>
    <col min="27" max="27" width="8.140625" bestFit="1" customWidth="1"/>
    <col min="28" max="30" width="6.42578125" customWidth="1"/>
    <col min="31" max="31" width="8.140625" bestFit="1" customWidth="1"/>
    <col min="32" max="35" width="8.140625" customWidth="1"/>
    <col min="36" max="38" width="6.42578125" customWidth="1"/>
    <col min="39" max="39" width="8.140625" bestFit="1" customWidth="1"/>
    <col min="40" max="42" width="6.42578125" customWidth="1"/>
    <col min="43" max="43" width="8.140625" bestFit="1" customWidth="1"/>
    <col min="44" max="46" width="6.42578125" customWidth="1"/>
    <col min="47" max="47" width="8.140625" bestFit="1" customWidth="1"/>
  </cols>
  <sheetData>
    <row r="1" spans="1:47" x14ac:dyDescent="0.25">
      <c r="D1" t="s">
        <v>66</v>
      </c>
      <c r="E1" s="4">
        <f>'Construction Planner'!E1</f>
        <v>1</v>
      </c>
      <c r="G1" s="455" t="s">
        <v>99</v>
      </c>
      <c r="H1" s="455"/>
      <c r="I1">
        <v>1.6</v>
      </c>
      <c r="L1" s="455" t="s">
        <v>100</v>
      </c>
      <c r="M1" s="455"/>
      <c r="N1">
        <v>1.75</v>
      </c>
      <c r="R1" s="2"/>
      <c r="S1" s="7"/>
      <c r="T1" s="7"/>
      <c r="U1" s="7"/>
      <c r="V1" s="7"/>
      <c r="W1" s="7"/>
      <c r="AM1" s="77">
        <f>AM5/$AE$5</f>
        <v>1.1084960796641685</v>
      </c>
      <c r="AN1" s="77"/>
      <c r="AO1" s="77"/>
      <c r="AP1" s="77"/>
      <c r="AQ1" s="77">
        <f>AQ5/$AE$5</f>
        <v>0.88895460568121965</v>
      </c>
      <c r="AR1" s="77"/>
      <c r="AS1" s="77"/>
      <c r="AT1" s="77"/>
      <c r="AU1" s="77">
        <f>AU5/$AE$5</f>
        <v>1.1111932571015244</v>
      </c>
    </row>
    <row r="2" spans="1:47" ht="15.75" thickBot="1" x14ac:dyDescent="0.3">
      <c r="A2" t="s">
        <v>102</v>
      </c>
      <c r="AM2" s="137"/>
    </row>
    <row r="3" spans="1:47" ht="15.75" thickBot="1" x14ac:dyDescent="0.3">
      <c r="A3" t="s">
        <v>103</v>
      </c>
      <c r="B3" t="s">
        <v>68</v>
      </c>
      <c r="D3" s="129"/>
      <c r="E3" s="129"/>
      <c r="H3" s="471" t="s">
        <v>73</v>
      </c>
      <c r="I3" s="449"/>
      <c r="J3" s="449"/>
      <c r="K3" s="472"/>
      <c r="L3" s="422" t="s">
        <v>74</v>
      </c>
      <c r="M3" s="423"/>
      <c r="N3" s="423"/>
      <c r="O3" s="424"/>
      <c r="P3" s="422" t="s">
        <v>75</v>
      </c>
      <c r="Q3" s="423"/>
      <c r="R3" s="423"/>
      <c r="S3" s="424"/>
      <c r="T3" s="423" t="s">
        <v>190</v>
      </c>
      <c r="U3" s="423"/>
      <c r="V3" s="423"/>
      <c r="W3" s="423"/>
      <c r="X3" s="423" t="s">
        <v>71</v>
      </c>
      <c r="Y3" s="423"/>
      <c r="Z3" s="423"/>
      <c r="AA3" s="423"/>
      <c r="AB3" s="423" t="s">
        <v>76</v>
      </c>
      <c r="AC3" s="423"/>
      <c r="AD3" s="423"/>
      <c r="AE3" s="423"/>
      <c r="AF3" s="423" t="s">
        <v>195</v>
      </c>
      <c r="AG3" s="423"/>
      <c r="AH3" s="423"/>
      <c r="AI3" s="423"/>
      <c r="AJ3" s="423" t="s">
        <v>77</v>
      </c>
      <c r="AK3" s="423"/>
      <c r="AL3" s="423"/>
      <c r="AM3" s="423"/>
      <c r="AN3" s="423" t="s">
        <v>78</v>
      </c>
      <c r="AO3" s="423"/>
      <c r="AP3" s="423"/>
      <c r="AQ3" s="423"/>
      <c r="AR3" s="423" t="s">
        <v>79</v>
      </c>
      <c r="AS3" s="423"/>
      <c r="AT3" s="423"/>
      <c r="AU3" s="424"/>
    </row>
    <row r="4" spans="1:47" ht="15.75" thickBot="1" x14ac:dyDescent="0.3">
      <c r="A4">
        <v>1</v>
      </c>
      <c r="B4" s="112">
        <f>VLOOKUP(A4,Miscelaneous!A1:E33,5,FALSE)</f>
        <v>90.909090909090907</v>
      </c>
      <c r="D4" s="13"/>
      <c r="E4" s="13"/>
      <c r="G4" t="s">
        <v>97</v>
      </c>
      <c r="H4" s="113" t="s">
        <v>83</v>
      </c>
      <c r="I4" s="114" t="s">
        <v>30</v>
      </c>
      <c r="J4" s="114" t="s">
        <v>31</v>
      </c>
      <c r="K4" s="115" t="s">
        <v>35</v>
      </c>
      <c r="L4" s="113" t="s">
        <v>83</v>
      </c>
      <c r="M4" s="114" t="s">
        <v>30</v>
      </c>
      <c r="N4" s="114" t="s">
        <v>31</v>
      </c>
      <c r="O4" s="115" t="s">
        <v>35</v>
      </c>
      <c r="P4" s="113" t="s">
        <v>83</v>
      </c>
      <c r="Q4" s="114" t="s">
        <v>30</v>
      </c>
      <c r="R4" s="114" t="s">
        <v>31</v>
      </c>
      <c r="S4" s="115" t="s">
        <v>35</v>
      </c>
      <c r="T4" s="113" t="s">
        <v>83</v>
      </c>
      <c r="U4" s="114" t="s">
        <v>30</v>
      </c>
      <c r="V4" s="114" t="s">
        <v>31</v>
      </c>
      <c r="W4" s="115" t="s">
        <v>35</v>
      </c>
      <c r="X4" s="113" t="s">
        <v>83</v>
      </c>
      <c r="Y4" s="114" t="s">
        <v>30</v>
      </c>
      <c r="Z4" s="114" t="s">
        <v>31</v>
      </c>
      <c r="AA4" s="115" t="s">
        <v>35</v>
      </c>
      <c r="AB4" s="113" t="s">
        <v>83</v>
      </c>
      <c r="AC4" s="114" t="s">
        <v>30</v>
      </c>
      <c r="AD4" s="114" t="s">
        <v>31</v>
      </c>
      <c r="AE4" s="115" t="s">
        <v>35</v>
      </c>
      <c r="AF4" s="113" t="s">
        <v>83</v>
      </c>
      <c r="AG4" s="114" t="s">
        <v>30</v>
      </c>
      <c r="AH4" s="114" t="s">
        <v>31</v>
      </c>
      <c r="AI4" s="115" t="s">
        <v>35</v>
      </c>
      <c r="AJ4" s="113" t="s">
        <v>83</v>
      </c>
      <c r="AK4" s="114" t="s">
        <v>30</v>
      </c>
      <c r="AL4" s="114" t="s">
        <v>31</v>
      </c>
      <c r="AM4" s="115" t="s">
        <v>35</v>
      </c>
      <c r="AN4" s="113" t="s">
        <v>83</v>
      </c>
      <c r="AO4" s="114" t="s">
        <v>30</v>
      </c>
      <c r="AP4" s="114" t="s">
        <v>31</v>
      </c>
      <c r="AQ4" s="115" t="s">
        <v>35</v>
      </c>
      <c r="AR4" s="113" t="s">
        <v>83</v>
      </c>
      <c r="AS4" s="114" t="s">
        <v>30</v>
      </c>
      <c r="AT4" s="114" t="s">
        <v>31</v>
      </c>
      <c r="AU4" s="115" t="s">
        <v>35</v>
      </c>
    </row>
    <row r="5" spans="1:47" ht="15.75" thickBot="1" x14ac:dyDescent="0.3">
      <c r="A5">
        <v>2</v>
      </c>
      <c r="B5" s="112">
        <f>VLOOKUP(A5,Miscelaneous!A2:E34,5,FALSE)</f>
        <v>82.644628099173545</v>
      </c>
      <c r="D5" s="131" t="s">
        <v>104</v>
      </c>
      <c r="E5" s="132">
        <v>10</v>
      </c>
      <c r="G5" t="s">
        <v>101</v>
      </c>
      <c r="H5" s="113"/>
      <c r="I5" s="114"/>
      <c r="J5" s="114"/>
      <c r="K5" s="124">
        <v>8.020833333333334E-2</v>
      </c>
      <c r="L5" s="113"/>
      <c r="M5" s="114"/>
      <c r="N5" s="114"/>
      <c r="O5" s="124">
        <v>6.8750000000000006E-2</v>
      </c>
      <c r="P5" s="113"/>
      <c r="Q5" s="114"/>
      <c r="R5" s="114"/>
      <c r="S5" s="124">
        <v>8.015269675925929E-2</v>
      </c>
      <c r="T5" s="212"/>
      <c r="U5" s="212"/>
      <c r="V5" s="212"/>
      <c r="W5" s="212"/>
      <c r="X5" s="113"/>
      <c r="Y5" s="114"/>
      <c r="Z5" s="114"/>
      <c r="AA5" s="124">
        <f>AA6*M1</f>
        <v>0</v>
      </c>
      <c r="AB5" s="113"/>
      <c r="AC5" s="114"/>
      <c r="AD5" s="114"/>
      <c r="AE5" s="124">
        <v>0.10311737638888893</v>
      </c>
      <c r="AF5" s="212"/>
      <c r="AG5" s="212"/>
      <c r="AH5" s="212"/>
      <c r="AI5" s="212"/>
      <c r="AJ5" s="113"/>
      <c r="AK5" s="114"/>
      <c r="AL5" s="114"/>
      <c r="AM5" s="124">
        <v>0.11430520747233788</v>
      </c>
      <c r="AN5" s="113"/>
      <c r="AO5" s="114"/>
      <c r="AP5" s="114"/>
      <c r="AQ5" s="124">
        <v>9.1666666666666674E-2</v>
      </c>
      <c r="AR5" s="113"/>
      <c r="AS5" s="114"/>
      <c r="AT5" s="114"/>
      <c r="AU5" s="124">
        <v>0.11458333333333333</v>
      </c>
    </row>
    <row r="6" spans="1:47" x14ac:dyDescent="0.25">
      <c r="A6">
        <v>3</v>
      </c>
      <c r="B6" s="112">
        <f>VLOOKUP(A6,Miscelaneous!A3:E35,5,FALSE)</f>
        <v>75.131480090157751</v>
      </c>
      <c r="D6" s="13"/>
      <c r="E6" s="130"/>
      <c r="G6">
        <v>1</v>
      </c>
      <c r="H6" s="81">
        <v>256</v>
      </c>
      <c r="I6" s="79">
        <v>224</v>
      </c>
      <c r="J6" s="79">
        <v>296</v>
      </c>
      <c r="K6" s="116"/>
      <c r="L6" s="81">
        <v>360</v>
      </c>
      <c r="M6" s="79">
        <v>320</v>
      </c>
      <c r="N6" s="79">
        <v>312</v>
      </c>
      <c r="O6" s="116">
        <f>O5/$E$1*VLOOKUP($E$5,$A:$B,2,FALSE)/100</f>
        <v>2.6506101148280291E-2</v>
      </c>
      <c r="P6" s="81">
        <v>280</v>
      </c>
      <c r="Q6" s="79">
        <v>336</v>
      </c>
      <c r="R6" s="79">
        <v>328</v>
      </c>
      <c r="S6" s="116">
        <f>S5/$E$1*VLOOKUP($E$5,$A:$B,2,FALSE)/100</f>
        <v>3.0902334365212572E-2</v>
      </c>
      <c r="T6" s="81">
        <v>256</v>
      </c>
      <c r="U6" s="79">
        <v>224</v>
      </c>
      <c r="V6" s="79">
        <v>296</v>
      </c>
      <c r="W6" s="116">
        <f>W5/$E$1*VLOOKUP($E$5,$A:$B,2,FALSE)/100</f>
        <v>0</v>
      </c>
      <c r="X6" s="81">
        <v>224</v>
      </c>
      <c r="Y6" s="79">
        <v>192</v>
      </c>
      <c r="Z6" s="79">
        <v>192</v>
      </c>
      <c r="AA6" s="82"/>
      <c r="AB6" s="81">
        <v>440</v>
      </c>
      <c r="AC6" s="79">
        <v>496</v>
      </c>
      <c r="AD6" s="79">
        <v>416</v>
      </c>
      <c r="AE6" s="116">
        <f>AE5/$E$1*VLOOKUP($E$5,$A:$B,2,FALSE)/100</f>
        <v>3.9756212490315343E-2</v>
      </c>
      <c r="AF6" s="81">
        <v>600</v>
      </c>
      <c r="AG6" s="79">
        <v>496</v>
      </c>
      <c r="AH6" s="79">
        <v>416</v>
      </c>
      <c r="AI6" s="116">
        <f>AI5/$E$1*VLOOKUP($E$5,$A:$B,2,FALSE)/100</f>
        <v>0</v>
      </c>
      <c r="AJ6" s="81">
        <v>600</v>
      </c>
      <c r="AK6" s="79">
        <v>496</v>
      </c>
      <c r="AL6" s="79">
        <v>416</v>
      </c>
      <c r="AM6" s="116">
        <f>AM5/$E$1*VLOOKUP($E$5,$A:$B,2,FALSE)/100</f>
        <v>4.4069605687810209E-2</v>
      </c>
      <c r="AN6" s="81">
        <v>560</v>
      </c>
      <c r="AO6" s="79">
        <v>800</v>
      </c>
      <c r="AP6" s="79">
        <v>192</v>
      </c>
      <c r="AQ6" s="116">
        <f>AQ5/$E$1*VLOOKUP($E$5,$A:$B,2,FALSE)/100</f>
        <v>3.534146819770706E-2</v>
      </c>
      <c r="AR6" s="81">
        <v>640</v>
      </c>
      <c r="AS6" s="79">
        <v>960</v>
      </c>
      <c r="AT6" s="79">
        <v>560</v>
      </c>
      <c r="AU6" s="116">
        <f>AU5/$E$1*VLOOKUP($E$5,$A:$B,2,FALSE)/100</f>
        <v>4.4176835247133811E-2</v>
      </c>
    </row>
    <row r="7" spans="1:47" x14ac:dyDescent="0.25">
      <c r="A7">
        <v>4</v>
      </c>
      <c r="B7" s="112">
        <f>VLOOKUP(A7,Miscelaneous!A4:E36,5,FALSE)</f>
        <v>68.301345536507057</v>
      </c>
      <c r="F7" s="7"/>
      <c r="G7">
        <v>2</v>
      </c>
      <c r="H7" s="121">
        <f t="shared" ref="H7:J15" si="0">H6*$I$1</f>
        <v>409.6</v>
      </c>
      <c r="I7" s="122">
        <f t="shared" si="0"/>
        <v>358.40000000000003</v>
      </c>
      <c r="J7" s="122">
        <f t="shared" si="0"/>
        <v>473.6</v>
      </c>
      <c r="K7" s="116">
        <f>K5/$E$1*VLOOKUP($E$5,$A:$B,2,FALSE)/100</f>
        <v>3.0923784672993674E-2</v>
      </c>
      <c r="L7" s="81">
        <f>L6*$I$1</f>
        <v>576</v>
      </c>
      <c r="M7" s="79">
        <f t="shared" ref="M7:N15" si="1">M6*$I$1</f>
        <v>512</v>
      </c>
      <c r="N7" s="79">
        <f t="shared" si="1"/>
        <v>499.20000000000005</v>
      </c>
      <c r="O7" s="116">
        <f>O6*$N$1</f>
        <v>4.6385677009490513E-2</v>
      </c>
      <c r="P7" s="81">
        <f>P6*$I$1</f>
        <v>448</v>
      </c>
      <c r="Q7" s="79">
        <f t="shared" ref="Q7:R15" si="2">Q6*$I$1</f>
        <v>537.6</v>
      </c>
      <c r="R7" s="79">
        <f t="shared" si="2"/>
        <v>524.80000000000007</v>
      </c>
      <c r="S7" s="116">
        <f>S6*$N$1</f>
        <v>5.4079085139122005E-2</v>
      </c>
      <c r="T7" s="121">
        <f>T6*$I$1</f>
        <v>409.6</v>
      </c>
      <c r="U7" s="122">
        <f>U6*$I$1</f>
        <v>358.40000000000003</v>
      </c>
      <c r="V7" s="122">
        <f>V6*$I$1</f>
        <v>473.6</v>
      </c>
      <c r="W7" s="116">
        <f>W6*$N$1</f>
        <v>0</v>
      </c>
      <c r="X7" s="81"/>
      <c r="Y7" s="79"/>
      <c r="Z7" s="79"/>
      <c r="AA7" s="82"/>
      <c r="AB7" s="81">
        <f>AB6*$I$1</f>
        <v>704</v>
      </c>
      <c r="AC7" s="79">
        <f t="shared" ref="AC7:AD15" si="3">AC6*$I$1</f>
        <v>793.6</v>
      </c>
      <c r="AD7" s="79">
        <f t="shared" si="3"/>
        <v>665.6</v>
      </c>
      <c r="AE7" s="116">
        <f>AE6*$N$1</f>
        <v>6.9573371858051847E-2</v>
      </c>
      <c r="AF7" s="121">
        <f t="shared" ref="AF7:AF15" si="4">AF6*$I$1</f>
        <v>960</v>
      </c>
      <c r="AG7" s="122">
        <f t="shared" ref="AG7:AG15" si="5">AG6*$I$1</f>
        <v>793.6</v>
      </c>
      <c r="AH7" s="122">
        <f t="shared" ref="AH7:AH15" si="6">AH6*$I$1</f>
        <v>665.6</v>
      </c>
      <c r="AI7" s="116">
        <f>AI6*$N$1</f>
        <v>0</v>
      </c>
      <c r="AJ7" s="81">
        <f>AJ6*$I$1</f>
        <v>960</v>
      </c>
      <c r="AK7" s="79">
        <f t="shared" ref="AK7:AL15" si="7">AK6*$I$1</f>
        <v>793.6</v>
      </c>
      <c r="AL7" s="79">
        <f t="shared" si="7"/>
        <v>665.6</v>
      </c>
      <c r="AM7" s="116">
        <f>AM6*$N$1</f>
        <v>7.7121809953667866E-2</v>
      </c>
      <c r="AN7" s="81">
        <f>AN6*$I$1</f>
        <v>896</v>
      </c>
      <c r="AO7" s="79">
        <f t="shared" ref="AO7:AP15" si="8">AO6*$I$1</f>
        <v>1280</v>
      </c>
      <c r="AP7" s="79">
        <f t="shared" si="8"/>
        <v>307.20000000000005</v>
      </c>
      <c r="AQ7" s="116">
        <f>AQ6*$N$1</f>
        <v>6.1847569345987355E-2</v>
      </c>
      <c r="AR7" s="81">
        <f>AR6*$I$1</f>
        <v>1024</v>
      </c>
      <c r="AS7" s="79">
        <f t="shared" ref="AS7:AT15" si="9">AS6*$I$1</f>
        <v>1536</v>
      </c>
      <c r="AT7" s="79">
        <f t="shared" si="9"/>
        <v>896</v>
      </c>
      <c r="AU7" s="116">
        <f>AU6*$N$1</f>
        <v>7.7309461682484176E-2</v>
      </c>
    </row>
    <row r="8" spans="1:47" x14ac:dyDescent="0.25">
      <c r="A8">
        <v>5</v>
      </c>
      <c r="B8" s="112">
        <f>VLOOKUP(A8,Miscelaneous!A5:E37,5,FALSE)</f>
        <v>62.092132305915491</v>
      </c>
      <c r="G8">
        <v>3</v>
      </c>
      <c r="H8" s="121">
        <f t="shared" si="0"/>
        <v>655.36000000000013</v>
      </c>
      <c r="I8" s="122">
        <f t="shared" si="0"/>
        <v>573.44000000000005</v>
      </c>
      <c r="J8" s="122">
        <f t="shared" si="0"/>
        <v>757.7600000000001</v>
      </c>
      <c r="K8" s="116">
        <f t="shared" ref="K8:K15" si="10">K7*$N$1</f>
        <v>5.411662317773893E-2</v>
      </c>
      <c r="L8" s="81">
        <f t="shared" ref="L8:L15" si="11">L7*$I$1</f>
        <v>921.6</v>
      </c>
      <c r="M8" s="79">
        <f t="shared" si="1"/>
        <v>819.2</v>
      </c>
      <c r="N8" s="79">
        <f t="shared" si="1"/>
        <v>798.72000000000014</v>
      </c>
      <c r="O8" s="116">
        <f t="shared" ref="O8:O15" si="12">O7*$N$1</f>
        <v>8.1174934766608392E-2</v>
      </c>
      <c r="P8" s="81">
        <f t="shared" ref="P8:P15" si="13">P7*$I$1</f>
        <v>716.80000000000007</v>
      </c>
      <c r="Q8" s="79">
        <f t="shared" si="2"/>
        <v>860.16000000000008</v>
      </c>
      <c r="R8" s="79">
        <f t="shared" si="2"/>
        <v>839.68000000000018</v>
      </c>
      <c r="S8" s="116">
        <f t="shared" ref="S8:S15" si="14">S7*$N$1</f>
        <v>9.4638398993463504E-2</v>
      </c>
      <c r="T8" s="121">
        <f t="shared" ref="T8:V15" si="15">T7*$I$1</f>
        <v>655.36000000000013</v>
      </c>
      <c r="U8" s="122">
        <f t="shared" si="15"/>
        <v>573.44000000000005</v>
      </c>
      <c r="V8" s="122">
        <f t="shared" si="15"/>
        <v>757.7600000000001</v>
      </c>
      <c r="W8" s="116">
        <f t="shared" ref="W8:W15" si="16">W7*$N$1</f>
        <v>0</v>
      </c>
      <c r="X8" s="81"/>
      <c r="Y8" s="79"/>
      <c r="Z8" s="79"/>
      <c r="AA8" s="82"/>
      <c r="AB8" s="81">
        <f t="shared" ref="AB8:AB15" si="17">AB7*$I$1</f>
        <v>1126.4000000000001</v>
      </c>
      <c r="AC8" s="79">
        <f t="shared" si="3"/>
        <v>1269.7600000000002</v>
      </c>
      <c r="AD8" s="79">
        <f t="shared" si="3"/>
        <v>1064.96</v>
      </c>
      <c r="AE8" s="116">
        <f t="shared" ref="AE8:AE15" si="18">AE7*$N$1</f>
        <v>0.12175340075159073</v>
      </c>
      <c r="AF8" s="121">
        <f t="shared" si="4"/>
        <v>1536</v>
      </c>
      <c r="AG8" s="122">
        <f t="shared" si="5"/>
        <v>1269.7600000000002</v>
      </c>
      <c r="AH8" s="122">
        <f t="shared" si="6"/>
        <v>1064.96</v>
      </c>
      <c r="AI8" s="116">
        <f t="shared" ref="AI8:AI15" si="19">AI7*$N$1</f>
        <v>0</v>
      </c>
      <c r="AJ8" s="81">
        <f t="shared" ref="AJ8:AJ15" si="20">AJ7*$I$1</f>
        <v>1536</v>
      </c>
      <c r="AK8" s="79">
        <f t="shared" si="7"/>
        <v>1269.7600000000002</v>
      </c>
      <c r="AL8" s="79">
        <f t="shared" si="7"/>
        <v>1064.96</v>
      </c>
      <c r="AM8" s="116">
        <f t="shared" ref="AM8:AM15" si="21">AM7*$N$1</f>
        <v>0.13496316741891876</v>
      </c>
      <c r="AN8" s="81">
        <f t="shared" ref="AN8:AN15" si="22">AN7*$I$1</f>
        <v>1433.6000000000001</v>
      </c>
      <c r="AO8" s="79">
        <f t="shared" si="8"/>
        <v>2048</v>
      </c>
      <c r="AP8" s="79">
        <f t="shared" si="8"/>
        <v>491.5200000000001</v>
      </c>
      <c r="AQ8" s="116">
        <f t="shared" ref="AQ8:AQ15" si="23">AQ7*$N$1</f>
        <v>0.10823324635547787</v>
      </c>
      <c r="AR8" s="81">
        <f t="shared" ref="AR8:AR15" si="24">AR7*$I$1</f>
        <v>1638.4</v>
      </c>
      <c r="AS8" s="79">
        <f t="shared" si="9"/>
        <v>2457.6000000000004</v>
      </c>
      <c r="AT8" s="79">
        <f t="shared" si="9"/>
        <v>1433.6000000000001</v>
      </c>
      <c r="AU8" s="116">
        <f t="shared" ref="AU8:AU15" si="25">AU7*$N$1</f>
        <v>0.1352915579443473</v>
      </c>
    </row>
    <row r="9" spans="1:47" x14ac:dyDescent="0.25">
      <c r="A9">
        <v>6</v>
      </c>
      <c r="B9" s="112">
        <f>VLOOKUP(A9,Miscelaneous!A6:E38,5,FALSE)</f>
        <v>56.44739300537772</v>
      </c>
      <c r="G9">
        <v>4</v>
      </c>
      <c r="H9" s="118">
        <f t="shared" si="0"/>
        <v>1048.5760000000002</v>
      </c>
      <c r="I9" s="119">
        <f t="shared" si="0"/>
        <v>917.50400000000013</v>
      </c>
      <c r="J9" s="119">
        <f t="shared" si="0"/>
        <v>1212.4160000000002</v>
      </c>
      <c r="K9" s="116">
        <f t="shared" si="10"/>
        <v>9.4704090561043133E-2</v>
      </c>
      <c r="L9" s="118">
        <f t="shared" si="11"/>
        <v>1474.5600000000002</v>
      </c>
      <c r="M9" s="119">
        <f t="shared" si="1"/>
        <v>1310.7200000000003</v>
      </c>
      <c r="N9" s="119">
        <f t="shared" si="1"/>
        <v>1277.9520000000002</v>
      </c>
      <c r="O9" s="116">
        <f t="shared" si="12"/>
        <v>0.14205613584156468</v>
      </c>
      <c r="P9" s="118">
        <f t="shared" si="13"/>
        <v>1146.8800000000001</v>
      </c>
      <c r="Q9" s="119">
        <f t="shared" si="2"/>
        <v>1376.2560000000003</v>
      </c>
      <c r="R9" s="119">
        <f t="shared" si="2"/>
        <v>1343.4880000000003</v>
      </c>
      <c r="S9" s="116">
        <f t="shared" si="14"/>
        <v>0.16561719823856114</v>
      </c>
      <c r="T9" s="121">
        <f t="shared" si="15"/>
        <v>1048.5760000000002</v>
      </c>
      <c r="U9" s="122">
        <f t="shared" si="15"/>
        <v>917.50400000000013</v>
      </c>
      <c r="V9" s="122">
        <f t="shared" si="15"/>
        <v>1212.4160000000002</v>
      </c>
      <c r="W9" s="116">
        <f t="shared" si="16"/>
        <v>0</v>
      </c>
      <c r="X9" s="81"/>
      <c r="Y9" s="79"/>
      <c r="Z9" s="79"/>
      <c r="AA9" s="82"/>
      <c r="AB9" s="118">
        <f t="shared" si="17"/>
        <v>1802.2400000000002</v>
      </c>
      <c r="AC9" s="119">
        <f t="shared" si="3"/>
        <v>2031.6160000000004</v>
      </c>
      <c r="AD9" s="119">
        <f t="shared" si="3"/>
        <v>1703.9360000000001</v>
      </c>
      <c r="AE9" s="116">
        <f t="shared" si="18"/>
        <v>0.21306845131528379</v>
      </c>
      <c r="AF9" s="121">
        <f t="shared" si="4"/>
        <v>2457.6000000000004</v>
      </c>
      <c r="AG9" s="122">
        <f t="shared" si="5"/>
        <v>2031.6160000000004</v>
      </c>
      <c r="AH9" s="122">
        <f t="shared" si="6"/>
        <v>1703.9360000000001</v>
      </c>
      <c r="AI9" s="116">
        <f t="shared" si="19"/>
        <v>0</v>
      </c>
      <c r="AJ9" s="118">
        <f t="shared" si="20"/>
        <v>2457.6000000000004</v>
      </c>
      <c r="AK9" s="119">
        <f t="shared" si="7"/>
        <v>2031.6160000000004</v>
      </c>
      <c r="AL9" s="119">
        <f t="shared" si="7"/>
        <v>1703.9360000000001</v>
      </c>
      <c r="AM9" s="116">
        <f t="shared" si="21"/>
        <v>0.23618554298310782</v>
      </c>
      <c r="AN9" s="118">
        <f t="shared" si="22"/>
        <v>2293.7600000000002</v>
      </c>
      <c r="AO9" s="119">
        <f t="shared" si="8"/>
        <v>3276.8</v>
      </c>
      <c r="AP9" s="119">
        <f t="shared" si="8"/>
        <v>786.43200000000024</v>
      </c>
      <c r="AQ9" s="116">
        <f t="shared" si="23"/>
        <v>0.18940818112208629</v>
      </c>
      <c r="AR9" s="118">
        <f t="shared" si="24"/>
        <v>2621.4400000000005</v>
      </c>
      <c r="AS9" s="119">
        <f t="shared" si="9"/>
        <v>3932.1600000000008</v>
      </c>
      <c r="AT9" s="119">
        <f t="shared" si="9"/>
        <v>2293.7600000000002</v>
      </c>
      <c r="AU9" s="116">
        <f t="shared" si="25"/>
        <v>0.23676022640260777</v>
      </c>
    </row>
    <row r="10" spans="1:47" x14ac:dyDescent="0.25">
      <c r="A10">
        <v>7</v>
      </c>
      <c r="B10" s="112">
        <f>VLOOKUP(A10,Miscelaneous!A7:E39,5,FALSE)</f>
        <v>51.315811823070646</v>
      </c>
      <c r="G10">
        <v>5</v>
      </c>
      <c r="H10" s="118">
        <f t="shared" si="0"/>
        <v>1677.7216000000005</v>
      </c>
      <c r="I10" s="119">
        <f t="shared" si="0"/>
        <v>1468.0064000000002</v>
      </c>
      <c r="J10" s="119">
        <f t="shared" si="0"/>
        <v>1939.8656000000003</v>
      </c>
      <c r="K10" s="116">
        <f t="shared" si="10"/>
        <v>0.16573215848182549</v>
      </c>
      <c r="L10" s="118">
        <f t="shared" si="11"/>
        <v>2359.2960000000003</v>
      </c>
      <c r="M10" s="119">
        <f t="shared" si="1"/>
        <v>2097.1520000000005</v>
      </c>
      <c r="N10" s="119">
        <f t="shared" si="1"/>
        <v>2044.7232000000004</v>
      </c>
      <c r="O10" s="116">
        <f t="shared" si="12"/>
        <v>0.2485982377227382</v>
      </c>
      <c r="P10" s="118">
        <f t="shared" si="13"/>
        <v>1835.0080000000003</v>
      </c>
      <c r="Q10" s="119">
        <f t="shared" si="2"/>
        <v>2202.0096000000008</v>
      </c>
      <c r="R10" s="119">
        <f t="shared" si="2"/>
        <v>2149.5808000000006</v>
      </c>
      <c r="S10" s="116">
        <f t="shared" si="14"/>
        <v>0.28983009691748196</v>
      </c>
      <c r="T10" s="121">
        <f t="shared" si="15"/>
        <v>1677.7216000000005</v>
      </c>
      <c r="U10" s="122">
        <f t="shared" si="15"/>
        <v>1468.0064000000002</v>
      </c>
      <c r="V10" s="122">
        <f t="shared" si="15"/>
        <v>1939.8656000000003</v>
      </c>
      <c r="W10" s="116">
        <f t="shared" si="16"/>
        <v>0</v>
      </c>
      <c r="X10" s="81"/>
      <c r="Y10" s="79"/>
      <c r="Z10" s="79"/>
      <c r="AA10" s="82"/>
      <c r="AB10" s="118">
        <f t="shared" si="17"/>
        <v>2883.5840000000007</v>
      </c>
      <c r="AC10" s="119">
        <f t="shared" si="3"/>
        <v>3250.5856000000008</v>
      </c>
      <c r="AD10" s="119">
        <f t="shared" si="3"/>
        <v>2726.2976000000003</v>
      </c>
      <c r="AE10" s="116">
        <f t="shared" si="18"/>
        <v>0.37286978980174662</v>
      </c>
      <c r="AF10" s="121">
        <f t="shared" si="4"/>
        <v>3932.1600000000008</v>
      </c>
      <c r="AG10" s="122">
        <f t="shared" si="5"/>
        <v>3250.5856000000008</v>
      </c>
      <c r="AH10" s="122">
        <f t="shared" si="6"/>
        <v>2726.2976000000003</v>
      </c>
      <c r="AI10" s="116">
        <f t="shared" si="19"/>
        <v>0</v>
      </c>
      <c r="AJ10" s="118">
        <f t="shared" si="20"/>
        <v>3932.1600000000008</v>
      </c>
      <c r="AK10" s="119">
        <f t="shared" si="7"/>
        <v>3250.5856000000008</v>
      </c>
      <c r="AL10" s="119">
        <f t="shared" si="7"/>
        <v>2726.2976000000003</v>
      </c>
      <c r="AM10" s="116">
        <f t="shared" si="21"/>
        <v>0.41332470022043866</v>
      </c>
      <c r="AN10" s="118">
        <f t="shared" si="22"/>
        <v>3670.0160000000005</v>
      </c>
      <c r="AO10" s="119">
        <f t="shared" si="8"/>
        <v>5242.880000000001</v>
      </c>
      <c r="AP10" s="119">
        <f t="shared" si="8"/>
        <v>1258.2912000000006</v>
      </c>
      <c r="AQ10" s="116">
        <f t="shared" si="23"/>
        <v>0.33146431696365103</v>
      </c>
      <c r="AR10" s="118">
        <f t="shared" si="24"/>
        <v>4194.304000000001</v>
      </c>
      <c r="AS10" s="119">
        <f t="shared" si="9"/>
        <v>6291.4560000000019</v>
      </c>
      <c r="AT10" s="119">
        <f t="shared" si="9"/>
        <v>3670.0160000000005</v>
      </c>
      <c r="AU10" s="116">
        <f t="shared" si="25"/>
        <v>0.41433039620456358</v>
      </c>
    </row>
    <row r="11" spans="1:47" x14ac:dyDescent="0.25">
      <c r="A11">
        <v>8</v>
      </c>
      <c r="B11" s="112">
        <f>VLOOKUP(A11,Miscelaneous!A8:E40,5,FALSE)</f>
        <v>46.650738020973314</v>
      </c>
      <c r="G11">
        <v>6</v>
      </c>
      <c r="H11" s="118">
        <f t="shared" si="0"/>
        <v>2684.3545600000011</v>
      </c>
      <c r="I11" s="119">
        <f t="shared" si="0"/>
        <v>2348.8102400000002</v>
      </c>
      <c r="J11" s="119">
        <f t="shared" si="0"/>
        <v>3103.7849600000009</v>
      </c>
      <c r="K11" s="116">
        <f t="shared" si="10"/>
        <v>0.29003127734319462</v>
      </c>
      <c r="L11" s="118">
        <f t="shared" si="11"/>
        <v>3774.8736000000008</v>
      </c>
      <c r="M11" s="119">
        <f t="shared" si="1"/>
        <v>3355.4432000000011</v>
      </c>
      <c r="N11" s="119">
        <f t="shared" si="1"/>
        <v>3271.5571200000009</v>
      </c>
      <c r="O11" s="116">
        <f t="shared" si="12"/>
        <v>0.43504691601479184</v>
      </c>
      <c r="P11" s="118">
        <f t="shared" si="13"/>
        <v>2936.0128000000004</v>
      </c>
      <c r="Q11" s="119">
        <f t="shared" si="2"/>
        <v>3523.2153600000015</v>
      </c>
      <c r="R11" s="119">
        <f t="shared" si="2"/>
        <v>3439.3292800000013</v>
      </c>
      <c r="S11" s="116">
        <f t="shared" si="14"/>
        <v>0.50720266960559346</v>
      </c>
      <c r="T11" s="121">
        <f t="shared" si="15"/>
        <v>2684.3545600000011</v>
      </c>
      <c r="U11" s="122">
        <f t="shared" si="15"/>
        <v>2348.8102400000002</v>
      </c>
      <c r="V11" s="122">
        <f t="shared" si="15"/>
        <v>3103.7849600000009</v>
      </c>
      <c r="W11" s="116">
        <f t="shared" si="16"/>
        <v>0</v>
      </c>
      <c r="X11" s="81"/>
      <c r="Y11" s="79"/>
      <c r="Z11" s="79"/>
      <c r="AA11" s="82"/>
      <c r="AB11" s="118">
        <f t="shared" si="17"/>
        <v>4613.7344000000012</v>
      </c>
      <c r="AC11" s="119">
        <f t="shared" si="3"/>
        <v>5200.9369600000018</v>
      </c>
      <c r="AD11" s="119">
        <f t="shared" si="3"/>
        <v>4362.0761600000005</v>
      </c>
      <c r="AE11" s="116">
        <f t="shared" si="18"/>
        <v>0.65252213215305654</v>
      </c>
      <c r="AF11" s="121">
        <f t="shared" si="4"/>
        <v>6291.4560000000019</v>
      </c>
      <c r="AG11" s="122">
        <f t="shared" si="5"/>
        <v>5200.9369600000018</v>
      </c>
      <c r="AH11" s="122">
        <f t="shared" si="6"/>
        <v>4362.0761600000005</v>
      </c>
      <c r="AI11" s="116">
        <f t="shared" si="19"/>
        <v>0</v>
      </c>
      <c r="AJ11" s="118">
        <f t="shared" si="20"/>
        <v>6291.4560000000019</v>
      </c>
      <c r="AK11" s="119">
        <f t="shared" si="7"/>
        <v>5200.9369600000018</v>
      </c>
      <c r="AL11" s="119">
        <f t="shared" si="7"/>
        <v>4362.0761600000005</v>
      </c>
      <c r="AM11" s="116">
        <f t="shared" si="21"/>
        <v>0.72331822538576762</v>
      </c>
      <c r="AN11" s="118">
        <f t="shared" si="22"/>
        <v>5872.0256000000008</v>
      </c>
      <c r="AO11" s="119">
        <f t="shared" si="8"/>
        <v>8388.608000000002</v>
      </c>
      <c r="AP11" s="119">
        <f t="shared" si="8"/>
        <v>2013.265920000001</v>
      </c>
      <c r="AQ11" s="116">
        <f t="shared" si="23"/>
        <v>0.58006255468638934</v>
      </c>
      <c r="AR11" s="118">
        <f t="shared" si="24"/>
        <v>6710.8864000000021</v>
      </c>
      <c r="AS11" s="119">
        <f t="shared" si="9"/>
        <v>10066.329600000005</v>
      </c>
      <c r="AT11" s="119">
        <f t="shared" si="9"/>
        <v>5872.0256000000008</v>
      </c>
      <c r="AU11" s="116">
        <f t="shared" si="25"/>
        <v>0.72507819335798629</v>
      </c>
    </row>
    <row r="12" spans="1:47" x14ac:dyDescent="0.25">
      <c r="A12">
        <v>9</v>
      </c>
      <c r="B12" s="112">
        <f>VLOOKUP(A12,Miscelaneous!A9:E41,5,FALSE)</f>
        <v>42.409761837248467</v>
      </c>
      <c r="G12">
        <v>7</v>
      </c>
      <c r="H12" s="81">
        <f t="shared" si="0"/>
        <v>4294.9672960000016</v>
      </c>
      <c r="I12" s="79">
        <f t="shared" si="0"/>
        <v>3758.0963840000004</v>
      </c>
      <c r="J12" s="79">
        <f t="shared" si="0"/>
        <v>4966.0559360000016</v>
      </c>
      <c r="K12" s="116">
        <f t="shared" si="10"/>
        <v>0.50755473535059059</v>
      </c>
      <c r="L12" s="81">
        <f t="shared" si="11"/>
        <v>6039.7977600000013</v>
      </c>
      <c r="M12" s="79">
        <f t="shared" si="1"/>
        <v>5368.7091200000023</v>
      </c>
      <c r="N12" s="79">
        <f t="shared" si="1"/>
        <v>5234.4913920000017</v>
      </c>
      <c r="O12" s="116">
        <f t="shared" si="12"/>
        <v>0.76133210302588572</v>
      </c>
      <c r="P12" s="81">
        <f t="shared" si="13"/>
        <v>4697.6204800000005</v>
      </c>
      <c r="Q12" s="79">
        <f t="shared" si="2"/>
        <v>5637.1445760000024</v>
      </c>
      <c r="R12" s="79">
        <f t="shared" si="2"/>
        <v>5502.9268480000028</v>
      </c>
      <c r="S12" s="116">
        <f t="shared" si="14"/>
        <v>0.88760467180978853</v>
      </c>
      <c r="T12" s="121">
        <f t="shared" si="15"/>
        <v>4294.9672960000016</v>
      </c>
      <c r="U12" s="122">
        <f t="shared" si="15"/>
        <v>3758.0963840000004</v>
      </c>
      <c r="V12" s="122">
        <f t="shared" si="15"/>
        <v>4966.0559360000016</v>
      </c>
      <c r="W12" s="116">
        <f t="shared" si="16"/>
        <v>0</v>
      </c>
      <c r="X12" s="81"/>
      <c r="Y12" s="79"/>
      <c r="Z12" s="79"/>
      <c r="AA12" s="82"/>
      <c r="AB12" s="81">
        <f t="shared" si="17"/>
        <v>7381.9750400000021</v>
      </c>
      <c r="AC12" s="79">
        <f t="shared" si="3"/>
        <v>8321.499136000004</v>
      </c>
      <c r="AD12" s="79">
        <f t="shared" si="3"/>
        <v>6979.3218560000014</v>
      </c>
      <c r="AE12" s="116">
        <f t="shared" si="18"/>
        <v>1.1419137312678489</v>
      </c>
      <c r="AF12" s="121">
        <f t="shared" si="4"/>
        <v>10066.329600000005</v>
      </c>
      <c r="AG12" s="122">
        <f t="shared" si="5"/>
        <v>8321.499136000004</v>
      </c>
      <c r="AH12" s="122">
        <f t="shared" si="6"/>
        <v>6979.3218560000014</v>
      </c>
      <c r="AI12" s="116">
        <f t="shared" si="19"/>
        <v>0</v>
      </c>
      <c r="AJ12" s="81">
        <f t="shared" si="20"/>
        <v>10066.329600000005</v>
      </c>
      <c r="AK12" s="79">
        <f t="shared" si="7"/>
        <v>8321.499136000004</v>
      </c>
      <c r="AL12" s="79">
        <f t="shared" si="7"/>
        <v>6979.3218560000014</v>
      </c>
      <c r="AM12" s="116">
        <f t="shared" si="21"/>
        <v>1.2658068944250933</v>
      </c>
      <c r="AN12" s="81">
        <f t="shared" si="22"/>
        <v>9395.240960000001</v>
      </c>
      <c r="AO12" s="79">
        <f t="shared" si="8"/>
        <v>13421.772800000004</v>
      </c>
      <c r="AP12" s="79">
        <f t="shared" si="8"/>
        <v>3221.2254720000019</v>
      </c>
      <c r="AQ12" s="116">
        <f t="shared" si="23"/>
        <v>1.0151094707011814</v>
      </c>
      <c r="AR12" s="81">
        <f t="shared" si="24"/>
        <v>10737.418240000005</v>
      </c>
      <c r="AS12" s="79">
        <f t="shared" si="9"/>
        <v>16106.127360000008</v>
      </c>
      <c r="AT12" s="79">
        <f t="shared" si="9"/>
        <v>9395.240960000001</v>
      </c>
      <c r="AU12" s="116">
        <f t="shared" si="25"/>
        <v>1.268886838376476</v>
      </c>
    </row>
    <row r="13" spans="1:47" x14ac:dyDescent="0.25">
      <c r="A13">
        <v>10</v>
      </c>
      <c r="B13" s="112">
        <f>VLOOKUP(A13,Miscelaneous!A10:E42,5,FALSE)</f>
        <v>38.554328942953148</v>
      </c>
      <c r="D13" s="137"/>
      <c r="E13" s="2"/>
      <c r="G13">
        <v>8</v>
      </c>
      <c r="H13" s="81">
        <f t="shared" si="0"/>
        <v>6871.9476736000033</v>
      </c>
      <c r="I13" s="79">
        <f t="shared" si="0"/>
        <v>6012.9542144000006</v>
      </c>
      <c r="J13" s="79">
        <f t="shared" si="0"/>
        <v>7945.6894976000031</v>
      </c>
      <c r="K13" s="116">
        <f t="shared" si="10"/>
        <v>0.88822078686353356</v>
      </c>
      <c r="L13" s="81">
        <f t="shared" si="11"/>
        <v>9663.6764160000021</v>
      </c>
      <c r="M13" s="79">
        <f t="shared" si="1"/>
        <v>8589.9345920000032</v>
      </c>
      <c r="N13" s="79">
        <f t="shared" si="1"/>
        <v>8375.1862272000035</v>
      </c>
      <c r="O13" s="116">
        <f t="shared" si="12"/>
        <v>1.3323311802953</v>
      </c>
      <c r="P13" s="81">
        <f t="shared" si="13"/>
        <v>7516.1927680000008</v>
      </c>
      <c r="Q13" s="79">
        <f t="shared" si="2"/>
        <v>9019.4313216000046</v>
      </c>
      <c r="R13" s="79">
        <f t="shared" si="2"/>
        <v>8804.6829568000048</v>
      </c>
      <c r="S13" s="116">
        <f t="shared" si="14"/>
        <v>1.5533081756671299</v>
      </c>
      <c r="T13" s="121">
        <f t="shared" si="15"/>
        <v>6871.9476736000033</v>
      </c>
      <c r="U13" s="122">
        <f t="shared" si="15"/>
        <v>6012.9542144000006</v>
      </c>
      <c r="V13" s="122">
        <f t="shared" si="15"/>
        <v>7945.6894976000031</v>
      </c>
      <c r="W13" s="116">
        <f t="shared" si="16"/>
        <v>0</v>
      </c>
      <c r="X13" s="81"/>
      <c r="Y13" s="79"/>
      <c r="Z13" s="79"/>
      <c r="AA13" s="82"/>
      <c r="AB13" s="81">
        <f t="shared" si="17"/>
        <v>11811.160064000003</v>
      </c>
      <c r="AC13" s="79">
        <f t="shared" si="3"/>
        <v>13314.398617600007</v>
      </c>
      <c r="AD13" s="79">
        <f t="shared" si="3"/>
        <v>11166.914969600002</v>
      </c>
      <c r="AE13" s="116">
        <f t="shared" si="18"/>
        <v>1.9983490297187356</v>
      </c>
      <c r="AF13" s="121">
        <f t="shared" si="4"/>
        <v>16106.127360000008</v>
      </c>
      <c r="AG13" s="122">
        <f t="shared" si="5"/>
        <v>13314.398617600007</v>
      </c>
      <c r="AH13" s="122">
        <f t="shared" si="6"/>
        <v>11166.914969600002</v>
      </c>
      <c r="AI13" s="116">
        <f t="shared" si="19"/>
        <v>0</v>
      </c>
      <c r="AJ13" s="81">
        <f t="shared" si="20"/>
        <v>16106.127360000008</v>
      </c>
      <c r="AK13" s="79">
        <f t="shared" si="7"/>
        <v>13314.398617600007</v>
      </c>
      <c r="AL13" s="79">
        <f t="shared" si="7"/>
        <v>11166.914969600002</v>
      </c>
      <c r="AM13" s="116">
        <f t="shared" si="21"/>
        <v>2.2151620652439132</v>
      </c>
      <c r="AN13" s="81">
        <f t="shared" si="22"/>
        <v>15032.385536000002</v>
      </c>
      <c r="AO13" s="79">
        <f t="shared" si="8"/>
        <v>21474.836480000009</v>
      </c>
      <c r="AP13" s="79">
        <f t="shared" si="8"/>
        <v>5153.9607552000034</v>
      </c>
      <c r="AQ13" s="116">
        <f t="shared" si="23"/>
        <v>1.7764415737270673</v>
      </c>
      <c r="AR13" s="81">
        <f t="shared" si="24"/>
        <v>17179.869184000006</v>
      </c>
      <c r="AS13" s="79">
        <f t="shared" si="9"/>
        <v>25769.803776000015</v>
      </c>
      <c r="AT13" s="79">
        <f t="shared" si="9"/>
        <v>15032.385536000002</v>
      </c>
      <c r="AU13" s="116">
        <f t="shared" si="25"/>
        <v>2.220551967158833</v>
      </c>
    </row>
    <row r="14" spans="1:47" x14ac:dyDescent="0.25">
      <c r="A14">
        <v>11</v>
      </c>
      <c r="B14" s="112">
        <f>VLOOKUP(A14,Miscelaneous!A11:E43,5,FALSE)</f>
        <v>35.049389948139222</v>
      </c>
      <c r="D14" s="137"/>
      <c r="E14" s="2"/>
      <c r="G14">
        <v>9</v>
      </c>
      <c r="H14" s="81">
        <f t="shared" si="0"/>
        <v>10995.116277760006</v>
      </c>
      <c r="I14" s="79">
        <f t="shared" si="0"/>
        <v>9620.7267430400007</v>
      </c>
      <c r="J14" s="79">
        <f t="shared" si="0"/>
        <v>12713.103196160006</v>
      </c>
      <c r="K14" s="116">
        <f t="shared" si="10"/>
        <v>1.5543863770111837</v>
      </c>
      <c r="L14" s="81">
        <f t="shared" si="11"/>
        <v>15461.882265600005</v>
      </c>
      <c r="M14" s="79">
        <f t="shared" si="1"/>
        <v>13743.895347200007</v>
      </c>
      <c r="N14" s="79">
        <f t="shared" si="1"/>
        <v>13400.297963520006</v>
      </c>
      <c r="O14" s="116">
        <f t="shared" si="12"/>
        <v>2.3315795655167748</v>
      </c>
      <c r="P14" s="81">
        <f t="shared" si="13"/>
        <v>12025.908428800001</v>
      </c>
      <c r="Q14" s="79">
        <f t="shared" si="2"/>
        <v>14431.090114560007</v>
      </c>
      <c r="R14" s="79">
        <f t="shared" si="2"/>
        <v>14087.492730880009</v>
      </c>
      <c r="S14" s="116">
        <f t="shared" si="14"/>
        <v>2.7182893074174772</v>
      </c>
      <c r="T14" s="121">
        <f t="shared" si="15"/>
        <v>10995.116277760006</v>
      </c>
      <c r="U14" s="122">
        <f t="shared" si="15"/>
        <v>9620.7267430400007</v>
      </c>
      <c r="V14" s="122">
        <f t="shared" si="15"/>
        <v>12713.103196160006</v>
      </c>
      <c r="W14" s="116">
        <f t="shared" si="16"/>
        <v>0</v>
      </c>
      <c r="X14" s="81"/>
      <c r="Y14" s="79"/>
      <c r="Z14" s="79"/>
      <c r="AA14" s="82"/>
      <c r="AB14" s="81">
        <f t="shared" si="17"/>
        <v>18897.856102400005</v>
      </c>
      <c r="AC14" s="79">
        <f t="shared" si="3"/>
        <v>21303.037788160014</v>
      </c>
      <c r="AD14" s="79">
        <f t="shared" si="3"/>
        <v>17867.063951360004</v>
      </c>
      <c r="AE14" s="116">
        <f t="shared" si="18"/>
        <v>3.4971108020077875</v>
      </c>
      <c r="AF14" s="121">
        <f t="shared" si="4"/>
        <v>25769.803776000015</v>
      </c>
      <c r="AG14" s="122">
        <f t="shared" si="5"/>
        <v>21303.037788160014</v>
      </c>
      <c r="AH14" s="122">
        <f t="shared" si="6"/>
        <v>17867.063951360004</v>
      </c>
      <c r="AI14" s="116">
        <f t="shared" si="19"/>
        <v>0</v>
      </c>
      <c r="AJ14" s="81">
        <f t="shared" si="20"/>
        <v>25769.803776000015</v>
      </c>
      <c r="AK14" s="79">
        <f t="shared" si="7"/>
        <v>21303.037788160014</v>
      </c>
      <c r="AL14" s="79">
        <f t="shared" si="7"/>
        <v>17867.063951360004</v>
      </c>
      <c r="AM14" s="116">
        <f t="shared" si="21"/>
        <v>3.8765336141768483</v>
      </c>
      <c r="AN14" s="81">
        <f t="shared" si="22"/>
        <v>24051.816857600003</v>
      </c>
      <c r="AO14" s="79">
        <f t="shared" si="8"/>
        <v>34359.738368000013</v>
      </c>
      <c r="AP14" s="79">
        <f t="shared" si="8"/>
        <v>8246.3372083200065</v>
      </c>
      <c r="AQ14" s="116">
        <f t="shared" si="23"/>
        <v>3.1087727540223677</v>
      </c>
      <c r="AR14" s="81">
        <f t="shared" si="24"/>
        <v>27487.790694400013</v>
      </c>
      <c r="AS14" s="79">
        <f t="shared" si="9"/>
        <v>41231.686041600027</v>
      </c>
      <c r="AT14" s="79">
        <f t="shared" si="9"/>
        <v>24051.816857600003</v>
      </c>
      <c r="AU14" s="116">
        <f t="shared" si="25"/>
        <v>3.8859659425279576</v>
      </c>
    </row>
    <row r="15" spans="1:47" ht="15.75" thickBot="1" x14ac:dyDescent="0.3">
      <c r="A15">
        <v>12</v>
      </c>
      <c r="B15" s="112">
        <f>VLOOKUP(A15,Miscelaneous!A12:E44,5,FALSE)</f>
        <v>31.863081771035656</v>
      </c>
      <c r="D15" s="137"/>
      <c r="G15">
        <v>10</v>
      </c>
      <c r="H15" s="88">
        <f t="shared" si="0"/>
        <v>17592.186044416008</v>
      </c>
      <c r="I15" s="93">
        <f t="shared" si="0"/>
        <v>15393.162788864001</v>
      </c>
      <c r="J15" s="93">
        <f t="shared" si="0"/>
        <v>20340.965113856011</v>
      </c>
      <c r="K15" s="117">
        <f t="shared" si="10"/>
        <v>2.7201761597695713</v>
      </c>
      <c r="L15" s="88">
        <f t="shared" si="11"/>
        <v>24739.011624960011</v>
      </c>
      <c r="M15" s="93">
        <f t="shared" si="1"/>
        <v>21990.232555520011</v>
      </c>
      <c r="N15" s="93">
        <f t="shared" si="1"/>
        <v>21440.47674163201</v>
      </c>
      <c r="O15" s="117">
        <f t="shared" si="12"/>
        <v>4.0802642396543556</v>
      </c>
      <c r="P15" s="88">
        <f t="shared" si="13"/>
        <v>19241.453486080001</v>
      </c>
      <c r="Q15" s="93">
        <f t="shared" si="2"/>
        <v>23089.744183296014</v>
      </c>
      <c r="R15" s="93">
        <f t="shared" si="2"/>
        <v>22539.988369408016</v>
      </c>
      <c r="S15" s="117">
        <f t="shared" si="14"/>
        <v>4.7570062879805848</v>
      </c>
      <c r="T15" s="177">
        <f t="shared" si="15"/>
        <v>17592.186044416008</v>
      </c>
      <c r="U15" s="178">
        <f t="shared" si="15"/>
        <v>15393.162788864001</v>
      </c>
      <c r="V15" s="178">
        <f t="shared" si="15"/>
        <v>20340.965113856011</v>
      </c>
      <c r="W15" s="117">
        <f t="shared" si="16"/>
        <v>0</v>
      </c>
      <c r="X15" s="88"/>
      <c r="Y15" s="93"/>
      <c r="Z15" s="93"/>
      <c r="AA15" s="89"/>
      <c r="AB15" s="88">
        <f t="shared" si="17"/>
        <v>30236.569763840009</v>
      </c>
      <c r="AC15" s="93">
        <f t="shared" si="3"/>
        <v>34084.860461056021</v>
      </c>
      <c r="AD15" s="93">
        <f t="shared" si="3"/>
        <v>28587.302322176009</v>
      </c>
      <c r="AE15" s="117">
        <f t="shared" si="18"/>
        <v>6.1199439035136276</v>
      </c>
      <c r="AF15" s="177">
        <f t="shared" si="4"/>
        <v>41231.686041600027</v>
      </c>
      <c r="AG15" s="178">
        <f t="shared" si="5"/>
        <v>34084.860461056021</v>
      </c>
      <c r="AH15" s="178">
        <f t="shared" si="6"/>
        <v>28587.302322176009</v>
      </c>
      <c r="AI15" s="117">
        <f t="shared" si="19"/>
        <v>0</v>
      </c>
      <c r="AJ15" s="88">
        <f t="shared" si="20"/>
        <v>41231.686041600027</v>
      </c>
      <c r="AK15" s="93">
        <f t="shared" si="7"/>
        <v>34084.860461056021</v>
      </c>
      <c r="AL15" s="93">
        <f t="shared" si="7"/>
        <v>28587.302322176009</v>
      </c>
      <c r="AM15" s="117">
        <f t="shared" si="21"/>
        <v>6.783933824809484</v>
      </c>
      <c r="AN15" s="88">
        <f t="shared" si="22"/>
        <v>38482.906972160003</v>
      </c>
      <c r="AO15" s="93">
        <f t="shared" si="8"/>
        <v>54975.581388800027</v>
      </c>
      <c r="AP15" s="93">
        <f t="shared" si="8"/>
        <v>13194.139533312011</v>
      </c>
      <c r="AQ15" s="117">
        <f t="shared" si="23"/>
        <v>5.4403523195391434</v>
      </c>
      <c r="AR15" s="88">
        <f t="shared" si="24"/>
        <v>43980.465111040023</v>
      </c>
      <c r="AS15" s="93">
        <f t="shared" si="9"/>
        <v>65970.697666560052</v>
      </c>
      <c r="AT15" s="93">
        <f t="shared" si="9"/>
        <v>38482.906972160003</v>
      </c>
      <c r="AU15" s="117">
        <f t="shared" si="25"/>
        <v>6.800440399423926</v>
      </c>
    </row>
    <row r="16" spans="1:47" ht="15.75" thickBot="1" x14ac:dyDescent="0.3">
      <c r="A16">
        <v>13</v>
      </c>
      <c r="B16" s="112">
        <f>VLOOKUP(A16,Miscelaneous!A13:E45,5,FALSE)</f>
        <v>28.966437973668778</v>
      </c>
    </row>
    <row r="17" spans="1:47" ht="15.75" thickBot="1" x14ac:dyDescent="0.3">
      <c r="A17">
        <v>14</v>
      </c>
      <c r="B17" s="112">
        <f>VLOOKUP(A17,Miscelaneous!A14:E46,5,FALSE)</f>
        <v>26.333125430607971</v>
      </c>
      <c r="D17" s="111"/>
      <c r="E17" t="s">
        <v>99</v>
      </c>
      <c r="H17" s="471" t="s">
        <v>73</v>
      </c>
      <c r="I17" s="449"/>
      <c r="J17" s="449"/>
      <c r="K17" s="472"/>
      <c r="L17" s="422" t="s">
        <v>74</v>
      </c>
      <c r="M17" s="423"/>
      <c r="N17" s="423"/>
      <c r="O17" s="424"/>
      <c r="P17" s="422" t="s">
        <v>75</v>
      </c>
      <c r="Q17" s="423"/>
      <c r="R17" s="423"/>
      <c r="S17" s="424"/>
      <c r="T17" s="423" t="s">
        <v>190</v>
      </c>
      <c r="U17" s="423"/>
      <c r="V17" s="423"/>
      <c r="W17" s="423"/>
      <c r="X17" s="423" t="s">
        <v>71</v>
      </c>
      <c r="Y17" s="423"/>
      <c r="Z17" s="423"/>
      <c r="AA17" s="423"/>
      <c r="AB17" s="423" t="s">
        <v>76</v>
      </c>
      <c r="AC17" s="423"/>
      <c r="AD17" s="423"/>
      <c r="AE17" s="423"/>
      <c r="AF17" s="423" t="s">
        <v>195</v>
      </c>
      <c r="AG17" s="423"/>
      <c r="AH17" s="423"/>
      <c r="AI17" s="423"/>
      <c r="AJ17" s="423" t="s">
        <v>77</v>
      </c>
      <c r="AK17" s="423"/>
      <c r="AL17" s="423"/>
      <c r="AM17" s="423"/>
      <c r="AN17" s="423" t="s">
        <v>78</v>
      </c>
      <c r="AO17" s="423"/>
      <c r="AP17" s="423"/>
      <c r="AQ17" s="423"/>
      <c r="AR17" s="423" t="s">
        <v>79</v>
      </c>
      <c r="AS17" s="423"/>
      <c r="AT17" s="423"/>
      <c r="AU17" s="424"/>
    </row>
    <row r="18" spans="1:47" x14ac:dyDescent="0.25">
      <c r="A18">
        <v>15</v>
      </c>
      <c r="B18" s="112">
        <f>VLOOKUP(A18,Miscelaneous!A15:E47,5,FALSE)</f>
        <v>23.93920493691634</v>
      </c>
      <c r="D18" s="111"/>
      <c r="E18">
        <v>4</v>
      </c>
      <c r="G18" t="s">
        <v>95</v>
      </c>
      <c r="H18" s="113" t="s">
        <v>83</v>
      </c>
      <c r="I18" s="114" t="s">
        <v>30</v>
      </c>
      <c r="J18" s="114" t="s">
        <v>31</v>
      </c>
      <c r="K18" s="115" t="s">
        <v>35</v>
      </c>
      <c r="L18" s="113" t="s">
        <v>83</v>
      </c>
      <c r="M18" s="114" t="s">
        <v>30</v>
      </c>
      <c r="N18" s="114" t="s">
        <v>31</v>
      </c>
      <c r="O18" s="115" t="s">
        <v>35</v>
      </c>
      <c r="P18" s="113" t="s">
        <v>83</v>
      </c>
      <c r="Q18" s="114" t="s">
        <v>30</v>
      </c>
      <c r="R18" s="114" t="s">
        <v>31</v>
      </c>
      <c r="S18" s="115" t="s">
        <v>35</v>
      </c>
      <c r="T18" s="113" t="s">
        <v>83</v>
      </c>
      <c r="U18" s="114" t="s">
        <v>30</v>
      </c>
      <c r="V18" s="114" t="s">
        <v>31</v>
      </c>
      <c r="W18" s="115" t="s">
        <v>35</v>
      </c>
      <c r="X18" s="113" t="s">
        <v>83</v>
      </c>
      <c r="Y18" s="114" t="s">
        <v>30</v>
      </c>
      <c r="Z18" s="114" t="s">
        <v>31</v>
      </c>
      <c r="AA18" s="115" t="s">
        <v>35</v>
      </c>
      <c r="AB18" s="113" t="s">
        <v>83</v>
      </c>
      <c r="AC18" s="114" t="s">
        <v>30</v>
      </c>
      <c r="AD18" s="114" t="s">
        <v>31</v>
      </c>
      <c r="AE18" s="115" t="s">
        <v>35</v>
      </c>
      <c r="AF18" s="113" t="s">
        <v>83</v>
      </c>
      <c r="AG18" s="114" t="s">
        <v>30</v>
      </c>
      <c r="AH18" s="114" t="s">
        <v>31</v>
      </c>
      <c r="AI18" s="115" t="s">
        <v>35</v>
      </c>
      <c r="AJ18" s="113" t="s">
        <v>83</v>
      </c>
      <c r="AK18" s="114" t="s">
        <v>30</v>
      </c>
      <c r="AL18" s="114" t="s">
        <v>31</v>
      </c>
      <c r="AM18" s="115" t="s">
        <v>35</v>
      </c>
      <c r="AN18" s="113" t="s">
        <v>83</v>
      </c>
      <c r="AO18" s="114" t="s">
        <v>30</v>
      </c>
      <c r="AP18" s="114" t="s">
        <v>31</v>
      </c>
      <c r="AQ18" s="115" t="s">
        <v>35</v>
      </c>
      <c r="AR18" s="113" t="s">
        <v>83</v>
      </c>
      <c r="AS18" s="114" t="s">
        <v>30</v>
      </c>
      <c r="AT18" s="114" t="s">
        <v>31</v>
      </c>
      <c r="AU18" s="115" t="s">
        <v>35</v>
      </c>
    </row>
    <row r="19" spans="1:47" x14ac:dyDescent="0.25">
      <c r="A19">
        <v>16</v>
      </c>
      <c r="B19" s="112">
        <f>VLOOKUP(A19,Miscelaneous!A16:E48,5,FALSE)</f>
        <v>21.762913579014853</v>
      </c>
      <c r="D19" s="111"/>
      <c r="G19">
        <v>1</v>
      </c>
      <c r="H19" s="81"/>
      <c r="I19" s="79"/>
      <c r="J19" s="79"/>
      <c r="K19" s="82"/>
      <c r="L19" s="81"/>
      <c r="M19" s="79"/>
      <c r="N19" s="79"/>
      <c r="O19" s="120"/>
      <c r="P19" s="79">
        <v>700</v>
      </c>
      <c r="Q19" s="79">
        <v>840</v>
      </c>
      <c r="R19" s="79">
        <v>820</v>
      </c>
      <c r="S19" s="116">
        <f>S25</f>
        <v>3.0919322366403067E-2</v>
      </c>
      <c r="T19" s="214">
        <v>640</v>
      </c>
      <c r="U19" s="214">
        <v>560</v>
      </c>
      <c r="V19" s="214">
        <v>740</v>
      </c>
      <c r="W19" s="213">
        <f>W25</f>
        <v>0</v>
      </c>
      <c r="X19" s="81">
        <v>560</v>
      </c>
      <c r="Y19" s="79">
        <v>480</v>
      </c>
      <c r="Z19" s="79">
        <v>480</v>
      </c>
      <c r="AA19" s="116">
        <f>AA25</f>
        <v>1.7670385824748742E-2</v>
      </c>
      <c r="AB19" s="81">
        <v>2200</v>
      </c>
      <c r="AC19" s="79">
        <v>2400</v>
      </c>
      <c r="AD19" s="79">
        <v>2000</v>
      </c>
      <c r="AE19" s="120">
        <f>AE25</f>
        <v>3.3137445726468234E-2</v>
      </c>
      <c r="AF19" s="79">
        <v>3000</v>
      </c>
      <c r="AG19" s="79">
        <v>2400</v>
      </c>
      <c r="AH19" s="79">
        <v>2000</v>
      </c>
      <c r="AI19" s="116">
        <f>AI25</f>
        <v>0</v>
      </c>
      <c r="AJ19" s="81">
        <v>3000</v>
      </c>
      <c r="AK19" s="79">
        <v>2400</v>
      </c>
      <c r="AL19" s="79">
        <v>200</v>
      </c>
      <c r="AM19" s="116">
        <f>AM25</f>
        <v>3.6732728659701494E-2</v>
      </c>
      <c r="AN19" s="81">
        <v>1200</v>
      </c>
      <c r="AO19" s="79">
        <v>1600</v>
      </c>
      <c r="AP19" s="79">
        <v>800</v>
      </c>
      <c r="AQ19" s="116">
        <f>AQ25</f>
        <v>3.5335042476216556E-2</v>
      </c>
      <c r="AR19" s="81">
        <v>1600</v>
      </c>
      <c r="AS19" s="79">
        <v>2000</v>
      </c>
      <c r="AT19" s="79">
        <v>1200</v>
      </c>
      <c r="AU19" s="116">
        <f>AU25</f>
        <v>3.6822106076143633E-2</v>
      </c>
    </row>
    <row r="20" spans="1:47" x14ac:dyDescent="0.25">
      <c r="A20">
        <v>17</v>
      </c>
      <c r="B20" s="112">
        <f>VLOOKUP(A20,Miscelaneous!A17:E49,5,FALSE)</f>
        <v>19.784466890013501</v>
      </c>
      <c r="D20" s="111"/>
      <c r="G20">
        <v>2</v>
      </c>
      <c r="H20" s="81">
        <v>2560</v>
      </c>
      <c r="I20" s="79">
        <v>2240</v>
      </c>
      <c r="J20" s="79">
        <v>2960</v>
      </c>
      <c r="K20" s="116"/>
      <c r="L20" s="81">
        <v>3600</v>
      </c>
      <c r="M20" s="79">
        <v>3200</v>
      </c>
      <c r="N20" s="79">
        <v>3120</v>
      </c>
      <c r="O20" s="116">
        <f>O19*$N$1</f>
        <v>0</v>
      </c>
      <c r="P20" s="81">
        <f t="shared" ref="P20:R21" si="26">P19*$E$18</f>
        <v>2800</v>
      </c>
      <c r="Q20" s="79">
        <f t="shared" si="26"/>
        <v>3360</v>
      </c>
      <c r="R20" s="79">
        <f t="shared" si="26"/>
        <v>3280</v>
      </c>
      <c r="S20" s="116">
        <f>S19*$N$1</f>
        <v>5.4108814141205365E-2</v>
      </c>
      <c r="T20" s="81">
        <f t="shared" ref="T20:V21" si="27">T19*$E$18</f>
        <v>2560</v>
      </c>
      <c r="U20" s="79">
        <f t="shared" si="27"/>
        <v>2240</v>
      </c>
      <c r="V20" s="79">
        <f t="shared" si="27"/>
        <v>2960</v>
      </c>
      <c r="W20" s="116">
        <f>W19*$N$1</f>
        <v>0</v>
      </c>
      <c r="X20" s="81">
        <f t="shared" ref="X20:Z21" si="28">X19*$E$18</f>
        <v>2240</v>
      </c>
      <c r="Y20" s="79">
        <f t="shared" si="28"/>
        <v>1920</v>
      </c>
      <c r="Z20" s="79">
        <f t="shared" si="28"/>
        <v>1920</v>
      </c>
      <c r="AA20" s="116">
        <f>AA19*$N$1</f>
        <v>3.0923175193310299E-2</v>
      </c>
      <c r="AB20" s="81">
        <f t="shared" ref="AB20:AD21" si="29">AB19*$E$18</f>
        <v>8800</v>
      </c>
      <c r="AC20" s="79">
        <f t="shared" si="29"/>
        <v>9600</v>
      </c>
      <c r="AD20" s="79">
        <f t="shared" si="29"/>
        <v>8000</v>
      </c>
      <c r="AE20" s="116">
        <f>AE19*$N$1</f>
        <v>5.799053002131941E-2</v>
      </c>
      <c r="AF20" s="81">
        <f t="shared" ref="AF20:AH21" si="30">AF19*$E$18</f>
        <v>12000</v>
      </c>
      <c r="AG20" s="79">
        <f t="shared" si="30"/>
        <v>9600</v>
      </c>
      <c r="AH20" s="79">
        <f t="shared" si="30"/>
        <v>8000</v>
      </c>
      <c r="AI20" s="116">
        <f>AI19*$N$1</f>
        <v>0</v>
      </c>
      <c r="AJ20" s="81">
        <f t="shared" ref="AJ20:AL21" si="31">AJ19*$E$18</f>
        <v>12000</v>
      </c>
      <c r="AK20" s="79">
        <f t="shared" si="31"/>
        <v>9600</v>
      </c>
      <c r="AL20" s="79">
        <f t="shared" si="31"/>
        <v>800</v>
      </c>
      <c r="AM20" s="116">
        <f>AM19*$N$1</f>
        <v>6.4282275154477611E-2</v>
      </c>
      <c r="AN20" s="81">
        <f t="shared" ref="AN20:AP21" si="32">AN19*$E$18</f>
        <v>4800</v>
      </c>
      <c r="AO20" s="79">
        <f t="shared" si="32"/>
        <v>6400</v>
      </c>
      <c r="AP20" s="79">
        <f t="shared" si="32"/>
        <v>3200</v>
      </c>
      <c r="AQ20" s="116">
        <f>AQ19*$N$1</f>
        <v>6.1836324333378975E-2</v>
      </c>
      <c r="AR20" s="81">
        <f t="shared" ref="AR20:AT21" si="33">AR19*$E$18</f>
        <v>6400</v>
      </c>
      <c r="AS20" s="79">
        <f t="shared" si="33"/>
        <v>8000</v>
      </c>
      <c r="AT20" s="79">
        <f t="shared" si="33"/>
        <v>4800</v>
      </c>
      <c r="AU20" s="116">
        <f>AU19*$N$1</f>
        <v>6.4438685633251364E-2</v>
      </c>
    </row>
    <row r="21" spans="1:47" ht="15.75" thickBot="1" x14ac:dyDescent="0.3">
      <c r="A21">
        <v>18</v>
      </c>
      <c r="B21" s="112">
        <f>VLOOKUP(A21,Miscelaneous!A18:E50,5,FALSE)</f>
        <v>17.985878990921364</v>
      </c>
      <c r="D21" s="111"/>
      <c r="G21">
        <v>3</v>
      </c>
      <c r="H21" s="88">
        <f>H20*$E$18</f>
        <v>10240</v>
      </c>
      <c r="I21" s="93">
        <f>I20*$E$18</f>
        <v>8960</v>
      </c>
      <c r="J21" s="93">
        <f>J20*$E$18</f>
        <v>11840</v>
      </c>
      <c r="K21" s="117"/>
      <c r="L21" s="88">
        <f>L20*$E$18</f>
        <v>14400</v>
      </c>
      <c r="M21" s="93">
        <f>M20*$E$18</f>
        <v>12800</v>
      </c>
      <c r="N21" s="93">
        <f>N20*$E$18</f>
        <v>12480</v>
      </c>
      <c r="O21" s="117">
        <f>O20*$N$1</f>
        <v>0</v>
      </c>
      <c r="P21" s="88">
        <f t="shared" si="26"/>
        <v>11200</v>
      </c>
      <c r="Q21" s="93">
        <f t="shared" si="26"/>
        <v>13440</v>
      </c>
      <c r="R21" s="93">
        <f t="shared" si="26"/>
        <v>13120</v>
      </c>
      <c r="S21" s="117">
        <f>S20*$N$1</f>
        <v>9.4690424747109384E-2</v>
      </c>
      <c r="T21" s="88">
        <f t="shared" si="27"/>
        <v>10240</v>
      </c>
      <c r="U21" s="93">
        <f t="shared" si="27"/>
        <v>8960</v>
      </c>
      <c r="V21" s="93">
        <f t="shared" si="27"/>
        <v>11840</v>
      </c>
      <c r="W21" s="117">
        <f>W20*$N$1</f>
        <v>0</v>
      </c>
      <c r="X21" s="88">
        <f t="shared" si="28"/>
        <v>8960</v>
      </c>
      <c r="Y21" s="93">
        <f t="shared" si="28"/>
        <v>7680</v>
      </c>
      <c r="Z21" s="93">
        <f t="shared" si="28"/>
        <v>7680</v>
      </c>
      <c r="AA21" s="117">
        <f>AA20*$N$1</f>
        <v>5.4115556588293021E-2</v>
      </c>
      <c r="AB21" s="88">
        <f t="shared" si="29"/>
        <v>35200</v>
      </c>
      <c r="AC21" s="93">
        <f t="shared" si="29"/>
        <v>38400</v>
      </c>
      <c r="AD21" s="93">
        <f t="shared" si="29"/>
        <v>32000</v>
      </c>
      <c r="AE21" s="117">
        <f>AE20*$N$1</f>
        <v>0.10148342753730896</v>
      </c>
      <c r="AF21" s="88">
        <f t="shared" si="30"/>
        <v>48000</v>
      </c>
      <c r="AG21" s="93">
        <f t="shared" si="30"/>
        <v>38400</v>
      </c>
      <c r="AH21" s="93">
        <f t="shared" si="30"/>
        <v>32000</v>
      </c>
      <c r="AI21" s="117">
        <f>AI20*$N$1</f>
        <v>0</v>
      </c>
      <c r="AJ21" s="88">
        <f t="shared" si="31"/>
        <v>48000</v>
      </c>
      <c r="AK21" s="93">
        <f t="shared" si="31"/>
        <v>38400</v>
      </c>
      <c r="AL21" s="93">
        <f t="shared" si="31"/>
        <v>3200</v>
      </c>
      <c r="AM21" s="117">
        <f>AM20*$N$1</f>
        <v>0.11249398152033582</v>
      </c>
      <c r="AN21" s="88">
        <f t="shared" si="32"/>
        <v>19200</v>
      </c>
      <c r="AO21" s="93">
        <f t="shared" si="32"/>
        <v>25600</v>
      </c>
      <c r="AP21" s="93">
        <f t="shared" si="32"/>
        <v>12800</v>
      </c>
      <c r="AQ21" s="117">
        <f>AQ20*$N$1</f>
        <v>0.1082135675834132</v>
      </c>
      <c r="AR21" s="88">
        <f t="shared" si="33"/>
        <v>25600</v>
      </c>
      <c r="AS21" s="93">
        <f t="shared" si="33"/>
        <v>32000</v>
      </c>
      <c r="AT21" s="93">
        <f t="shared" si="33"/>
        <v>19200</v>
      </c>
      <c r="AU21" s="117">
        <f>AU20*$N$1</f>
        <v>0.11276769985818988</v>
      </c>
    </row>
    <row r="22" spans="1:47" ht="15.75" thickBot="1" x14ac:dyDescent="0.3">
      <c r="A22">
        <v>19</v>
      </c>
      <c r="B22" s="112">
        <f>VLOOKUP(A22,Miscelaneous!A19:E51,5,FALSE)</f>
        <v>16.350799082655783</v>
      </c>
      <c r="D22" s="111"/>
    </row>
    <row r="23" spans="1:47" ht="15.75" thickBot="1" x14ac:dyDescent="0.3">
      <c r="A23">
        <v>20</v>
      </c>
      <c r="B23" s="112">
        <f>VLOOKUP(A23,Miscelaneous!A20:E52,5,FALSE)</f>
        <v>14.86436280241435</v>
      </c>
      <c r="D23" s="111"/>
      <c r="H23" s="471" t="s">
        <v>73</v>
      </c>
      <c r="I23" s="449"/>
      <c r="J23" s="449"/>
      <c r="K23" s="472"/>
      <c r="L23" s="422" t="s">
        <v>74</v>
      </c>
      <c r="M23" s="423"/>
      <c r="N23" s="423"/>
      <c r="O23" s="423"/>
      <c r="P23" s="422" t="s">
        <v>75</v>
      </c>
      <c r="Q23" s="423"/>
      <c r="R23" s="423"/>
      <c r="S23" s="424"/>
      <c r="T23" s="423" t="s">
        <v>190</v>
      </c>
      <c r="U23" s="423"/>
      <c r="V23" s="423"/>
      <c r="W23" s="423"/>
      <c r="X23" s="423" t="s">
        <v>71</v>
      </c>
      <c r="Y23" s="423"/>
      <c r="Z23" s="423"/>
      <c r="AA23" s="423"/>
      <c r="AB23" s="423" t="s">
        <v>76</v>
      </c>
      <c r="AC23" s="423"/>
      <c r="AD23" s="423"/>
      <c r="AE23" s="423"/>
      <c r="AF23" s="423" t="s">
        <v>195</v>
      </c>
      <c r="AG23" s="423"/>
      <c r="AH23" s="423"/>
      <c r="AI23" s="423"/>
      <c r="AJ23" s="423" t="s">
        <v>77</v>
      </c>
      <c r="AK23" s="423"/>
      <c r="AL23" s="423"/>
      <c r="AM23" s="423"/>
      <c r="AN23" s="423" t="s">
        <v>78</v>
      </c>
      <c r="AO23" s="423"/>
      <c r="AP23" s="423"/>
      <c r="AQ23" s="423"/>
      <c r="AR23" s="423" t="s">
        <v>79</v>
      </c>
      <c r="AS23" s="423"/>
      <c r="AT23" s="423"/>
      <c r="AU23" s="424"/>
    </row>
    <row r="24" spans="1:47" x14ac:dyDescent="0.25">
      <c r="D24" s="111"/>
      <c r="G24" t="s">
        <v>96</v>
      </c>
      <c r="H24" s="113" t="s">
        <v>83</v>
      </c>
      <c r="I24" s="114" t="s">
        <v>30</v>
      </c>
      <c r="J24" s="114" t="s">
        <v>31</v>
      </c>
      <c r="K24" s="115" t="s">
        <v>35</v>
      </c>
      <c r="L24" s="113" t="s">
        <v>83</v>
      </c>
      <c r="M24" s="114" t="s">
        <v>30</v>
      </c>
      <c r="N24" s="114" t="s">
        <v>31</v>
      </c>
      <c r="O24" s="318" t="s">
        <v>35</v>
      </c>
      <c r="P24" s="113" t="s">
        <v>83</v>
      </c>
      <c r="Q24" s="114" t="s">
        <v>30</v>
      </c>
      <c r="R24" s="114" t="s">
        <v>31</v>
      </c>
      <c r="S24" s="115" t="s">
        <v>35</v>
      </c>
      <c r="T24" s="113" t="s">
        <v>83</v>
      </c>
      <c r="U24" s="114" t="s">
        <v>30</v>
      </c>
      <c r="V24" s="114" t="s">
        <v>31</v>
      </c>
      <c r="W24" s="115" t="s">
        <v>35</v>
      </c>
      <c r="X24" s="113" t="s">
        <v>83</v>
      </c>
      <c r="Y24" s="114" t="s">
        <v>30</v>
      </c>
      <c r="Z24" s="114" t="s">
        <v>31</v>
      </c>
      <c r="AA24" s="115" t="s">
        <v>35</v>
      </c>
      <c r="AB24" s="113" t="s">
        <v>83</v>
      </c>
      <c r="AC24" s="114" t="s">
        <v>30</v>
      </c>
      <c r="AD24" s="114" t="s">
        <v>31</v>
      </c>
      <c r="AE24" s="115" t="s">
        <v>35</v>
      </c>
      <c r="AF24" s="113" t="s">
        <v>83</v>
      </c>
      <c r="AG24" s="114" t="s">
        <v>30</v>
      </c>
      <c r="AH24" s="114" t="s">
        <v>31</v>
      </c>
      <c r="AI24" s="115" t="s">
        <v>35</v>
      </c>
      <c r="AJ24" s="113" t="s">
        <v>83</v>
      </c>
      <c r="AK24" s="114" t="s">
        <v>30</v>
      </c>
      <c r="AL24" s="114" t="s">
        <v>31</v>
      </c>
      <c r="AM24" s="115" t="s">
        <v>35</v>
      </c>
      <c r="AN24" s="113" t="s">
        <v>83</v>
      </c>
      <c r="AO24" s="114" t="s">
        <v>30</v>
      </c>
      <c r="AP24" s="114" t="s">
        <v>31</v>
      </c>
      <c r="AQ24" s="115" t="s">
        <v>35</v>
      </c>
      <c r="AR24" s="113" t="s">
        <v>83</v>
      </c>
      <c r="AS24" s="114" t="s">
        <v>30</v>
      </c>
      <c r="AT24" s="114" t="s">
        <v>31</v>
      </c>
      <c r="AU24" s="115" t="s">
        <v>35</v>
      </c>
    </row>
    <row r="25" spans="1:47" ht="15.75" thickBot="1" x14ac:dyDescent="0.3">
      <c r="D25" s="111"/>
      <c r="G25">
        <v>1</v>
      </c>
      <c r="H25" s="88">
        <f>H19</f>
        <v>0</v>
      </c>
      <c r="I25" s="93">
        <f t="shared" ref="I25:AT25" si="34">I19</f>
        <v>0</v>
      </c>
      <c r="J25" s="93">
        <f t="shared" si="34"/>
        <v>0</v>
      </c>
      <c r="K25" s="89">
        <f t="shared" si="34"/>
        <v>0</v>
      </c>
      <c r="L25" s="88">
        <f t="shared" si="34"/>
        <v>0</v>
      </c>
      <c r="M25" s="93">
        <f t="shared" si="34"/>
        <v>0</v>
      </c>
      <c r="N25" s="93">
        <f t="shared" si="34"/>
        <v>0</v>
      </c>
      <c r="O25" s="123">
        <f t="shared" si="34"/>
        <v>0</v>
      </c>
      <c r="P25" s="88">
        <f t="shared" si="34"/>
        <v>700</v>
      </c>
      <c r="Q25" s="93">
        <f t="shared" si="34"/>
        <v>840</v>
      </c>
      <c r="R25" s="93">
        <f t="shared" si="34"/>
        <v>820</v>
      </c>
      <c r="S25" s="117">
        <f>0.0801967592592593/$E$1*VLOOKUP($E$5,$A:$B,2,FALSE)/100</f>
        <v>3.0919322366403067E-2</v>
      </c>
      <c r="T25" s="93">
        <f t="shared" si="34"/>
        <v>640</v>
      </c>
      <c r="U25" s="93">
        <f t="shared" si="34"/>
        <v>560</v>
      </c>
      <c r="V25" s="93">
        <f t="shared" si="34"/>
        <v>740</v>
      </c>
      <c r="W25" s="117"/>
      <c r="X25" s="88">
        <f t="shared" si="34"/>
        <v>560</v>
      </c>
      <c r="Y25" s="93">
        <f t="shared" si="34"/>
        <v>480</v>
      </c>
      <c r="Z25" s="93">
        <f t="shared" si="34"/>
        <v>480</v>
      </c>
      <c r="AA25" s="117">
        <f>0.04583243/$E$1*VLOOKUP($E$5,$A:$B,2,FALSE)/100</f>
        <v>1.7670385824748742E-2</v>
      </c>
      <c r="AB25" s="88">
        <f t="shared" si="34"/>
        <v>2200</v>
      </c>
      <c r="AC25" s="93">
        <f t="shared" si="34"/>
        <v>2400</v>
      </c>
      <c r="AD25" s="93">
        <f t="shared" si="34"/>
        <v>2000</v>
      </c>
      <c r="AE25" s="117">
        <f>0.08595/$E$1*VLOOKUP($E$5,$A:$B,2,FALSE)/100</f>
        <v>3.3137445726468234E-2</v>
      </c>
      <c r="AF25" s="88">
        <f t="shared" si="34"/>
        <v>3000</v>
      </c>
      <c r="AG25" s="93">
        <f t="shared" si="34"/>
        <v>2400</v>
      </c>
      <c r="AH25" s="93">
        <f t="shared" si="34"/>
        <v>2000</v>
      </c>
      <c r="AI25" s="89"/>
      <c r="AJ25" s="88">
        <f t="shared" si="34"/>
        <v>3000</v>
      </c>
      <c r="AK25" s="93">
        <f t="shared" si="34"/>
        <v>2400</v>
      </c>
      <c r="AL25" s="93">
        <f t="shared" si="34"/>
        <v>200</v>
      </c>
      <c r="AM25" s="117">
        <f>0.095275238/$E$1*VLOOKUP($E$5,$A:$B,2,FALSE)/100</f>
        <v>3.6732728659701494E-2</v>
      </c>
      <c r="AN25" s="88">
        <f t="shared" si="34"/>
        <v>1200</v>
      </c>
      <c r="AO25" s="93">
        <f t="shared" si="34"/>
        <v>1600</v>
      </c>
      <c r="AP25" s="93">
        <f t="shared" si="34"/>
        <v>800</v>
      </c>
      <c r="AQ25" s="117">
        <f>0.09165/$E$1*VLOOKUP($E$5,$A:$B,2,FALSE)/100</f>
        <v>3.5335042476216556E-2</v>
      </c>
      <c r="AR25" s="88">
        <f t="shared" si="34"/>
        <v>1600</v>
      </c>
      <c r="AS25" s="93">
        <f t="shared" si="34"/>
        <v>2000</v>
      </c>
      <c r="AT25" s="93">
        <f t="shared" si="34"/>
        <v>1200</v>
      </c>
      <c r="AU25" s="117">
        <f>0.09550706/$E$1*VLOOKUP($E$5,$A:$B,2,FALSE)/100</f>
        <v>3.6822106076143633E-2</v>
      </c>
    </row>
    <row r="26" spans="1:47" x14ac:dyDescent="0.25">
      <c r="D26" s="111"/>
    </row>
    <row r="27" spans="1:47" x14ac:dyDescent="0.25">
      <c r="D27" s="111"/>
      <c r="S27" s="77"/>
      <c r="AA27" s="2"/>
      <c r="AE27" s="7"/>
    </row>
    <row r="28" spans="1:47" x14ac:dyDescent="0.25">
      <c r="D28" s="111"/>
      <c r="AA28" s="77"/>
    </row>
    <row r="29" spans="1:47" x14ac:dyDescent="0.25">
      <c r="D29" s="111"/>
    </row>
  </sheetData>
  <mergeCells count="32">
    <mergeCell ref="X3:AA3"/>
    <mergeCell ref="G1:H1"/>
    <mergeCell ref="L1:M1"/>
    <mergeCell ref="H3:K3"/>
    <mergeCell ref="L3:O3"/>
    <mergeCell ref="P3:S3"/>
    <mergeCell ref="T3:W3"/>
    <mergeCell ref="H23:K23"/>
    <mergeCell ref="L23:O23"/>
    <mergeCell ref="P23:S23"/>
    <mergeCell ref="X23:AA23"/>
    <mergeCell ref="AB23:AE23"/>
    <mergeCell ref="T23:W23"/>
    <mergeCell ref="H17:K17"/>
    <mergeCell ref="L17:O17"/>
    <mergeCell ref="P17:S17"/>
    <mergeCell ref="X17:AA17"/>
    <mergeCell ref="AB17:AE17"/>
    <mergeCell ref="T17:W17"/>
    <mergeCell ref="AF23:AI23"/>
    <mergeCell ref="AB3:AE3"/>
    <mergeCell ref="AJ3:AM3"/>
    <mergeCell ref="AN3:AQ3"/>
    <mergeCell ref="AR3:AU3"/>
    <mergeCell ref="AN17:AQ17"/>
    <mergeCell ref="AR17:AU17"/>
    <mergeCell ref="AF3:AI3"/>
    <mergeCell ref="AF17:AI17"/>
    <mergeCell ref="AJ23:AM23"/>
    <mergeCell ref="AN23:AQ23"/>
    <mergeCell ref="AR23:AU23"/>
    <mergeCell ref="AJ17:AM17"/>
  </mergeCells>
  <pageMargins left="0.7" right="0.7" top="0.78740157499999996" bottom="0.78740157499999996" header="0.3" footer="0.3"/>
  <pageSetup paperSize="9" orientation="portrait" horizontalDpi="0"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'Unit information'!$B$3:$K$3</xm:f>
          </x14:formula1>
          <xm:sqref>D4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dimension ref="A1:Q34"/>
  <sheetViews>
    <sheetView topLeftCell="C1" zoomScaleNormal="100" workbookViewId="0">
      <selection activeCell="Q35" sqref="Q35"/>
    </sheetView>
  </sheetViews>
  <sheetFormatPr baseColWidth="10" defaultRowHeight="15" x14ac:dyDescent="0.25"/>
  <cols>
    <col min="11" max="11" width="16.7109375" bestFit="1" customWidth="1"/>
    <col min="12" max="12" width="7.7109375" bestFit="1" customWidth="1"/>
    <col min="13" max="13" width="13.28515625" bestFit="1" customWidth="1"/>
    <col min="14" max="14" width="19.85546875" bestFit="1" customWidth="1"/>
  </cols>
  <sheetData>
    <row r="1" spans="1:17" x14ac:dyDescent="0.25">
      <c r="B1" s="455" t="s">
        <v>29</v>
      </c>
      <c r="C1" s="455"/>
      <c r="D1" s="455"/>
      <c r="E1" s="455" t="s">
        <v>30</v>
      </c>
      <c r="F1" s="455"/>
      <c r="G1" s="455"/>
      <c r="H1" s="455" t="s">
        <v>31</v>
      </c>
      <c r="I1" s="455"/>
      <c r="J1" s="455"/>
      <c r="K1" t="s">
        <v>423</v>
      </c>
      <c r="L1" s="4">
        <f>'Construction Planner'!E3</f>
        <v>1</v>
      </c>
      <c r="N1" s="2">
        <v>4.1666666666666664E-2</v>
      </c>
    </row>
    <row r="2" spans="1:17" x14ac:dyDescent="0.25">
      <c r="B2" s="1" t="s">
        <v>9</v>
      </c>
      <c r="C2" s="1" t="s">
        <v>10</v>
      </c>
      <c r="D2" s="1" t="s">
        <v>11</v>
      </c>
      <c r="E2" s="1" t="s">
        <v>9</v>
      </c>
      <c r="F2" s="1" t="s">
        <v>10</v>
      </c>
      <c r="G2" s="1" t="s">
        <v>11</v>
      </c>
      <c r="H2" s="1" t="s">
        <v>9</v>
      </c>
      <c r="I2" s="1" t="s">
        <v>10</v>
      </c>
      <c r="J2" s="1" t="s">
        <v>11</v>
      </c>
      <c r="Q2" t="s">
        <v>336</v>
      </c>
    </row>
    <row r="3" spans="1:17" x14ac:dyDescent="0.25">
      <c r="A3" t="s">
        <v>20</v>
      </c>
      <c r="B3" s="1">
        <v>1.25</v>
      </c>
      <c r="C3" s="1">
        <v>1.27</v>
      </c>
      <c r="D3" s="1">
        <v>1.252</v>
      </c>
      <c r="E3" s="1">
        <v>1.2749999999999999</v>
      </c>
      <c r="F3" s="1">
        <v>1.2649999999999999</v>
      </c>
      <c r="G3" s="1">
        <v>1.2749999999999999</v>
      </c>
      <c r="H3" s="1">
        <v>1.2450000000000001</v>
      </c>
      <c r="I3" s="1">
        <v>1.24</v>
      </c>
      <c r="J3" s="1">
        <v>1.24</v>
      </c>
      <c r="K3" s="216" t="s">
        <v>280</v>
      </c>
      <c r="L3" s="79" t="s">
        <v>283</v>
      </c>
      <c r="M3" s="79" t="s">
        <v>281</v>
      </c>
      <c r="N3" s="217" t="s">
        <v>282</v>
      </c>
      <c r="O3" t="s">
        <v>226</v>
      </c>
      <c r="Q3" t="str">
        <f>CONCATENATE("[**]",O3,"[||]",K3,"[||]",L3,"[||]",M3,"[||]",N3,"[/**]",)</f>
        <v>[**]Stufe[||]Minenproduktion[||]Anstieg (mal 3)[||]Kosten Minen[||]Amortisierungsdauer[/**]</v>
      </c>
    </row>
    <row r="4" spans="1:17" x14ac:dyDescent="0.25">
      <c r="A4">
        <v>1</v>
      </c>
      <c r="B4">
        <v>50</v>
      </c>
      <c r="C4">
        <v>65</v>
      </c>
      <c r="D4">
        <v>75</v>
      </c>
      <c r="E4">
        <v>60</v>
      </c>
      <c r="F4">
        <v>50</v>
      </c>
      <c r="G4">
        <v>65</v>
      </c>
      <c r="H4">
        <v>40</v>
      </c>
      <c r="I4">
        <v>40</v>
      </c>
      <c r="J4">
        <v>70</v>
      </c>
      <c r="K4" s="79">
        <f>IF(A4=0,$A$4*5,$L$1*30*1.163118^(A4-1))</f>
        <v>30</v>
      </c>
      <c r="L4" s="79">
        <f>K4-(5*L1)</f>
        <v>25</v>
      </c>
      <c r="M4" s="122">
        <f>SUM(B4:J4)</f>
        <v>515</v>
      </c>
      <c r="N4" s="218">
        <f>(M4/(3*L4))*$N$1</f>
        <v>0.28611111111111109</v>
      </c>
      <c r="O4">
        <f>A4</f>
        <v>1</v>
      </c>
      <c r="Q4" t="str">
        <f>CONCATENATE("[*]",O4,"[|]",ROUND(K4,0),"[|]",ROUND(L4,0),"[|]",ROUND(M4,0),"[|]",TEXT(N4,"[h]:mm:ss"),"h")</f>
        <v>[*]1[|]30[|]25[|]515[|]6:52:00h</v>
      </c>
    </row>
    <row r="5" spans="1:17" x14ac:dyDescent="0.25">
      <c r="A5">
        <v>2</v>
      </c>
      <c r="B5" s="3">
        <f t="shared" ref="B5:D20" si="0">B4*B$3</f>
        <v>62.5</v>
      </c>
      <c r="C5" s="3">
        <f t="shared" si="0"/>
        <v>82.55</v>
      </c>
      <c r="D5" s="3">
        <f t="shared" si="0"/>
        <v>93.9</v>
      </c>
      <c r="E5" s="3">
        <f t="shared" ref="E5:G20" si="1">E4*E$3</f>
        <v>76.5</v>
      </c>
      <c r="F5" s="3">
        <f t="shared" si="1"/>
        <v>63.249999999999993</v>
      </c>
      <c r="G5" s="3">
        <f t="shared" si="1"/>
        <v>82.875</v>
      </c>
      <c r="H5" s="3">
        <f t="shared" ref="H5:J20" si="2">H$3*H4</f>
        <v>49.800000000000004</v>
      </c>
      <c r="I5" s="3">
        <f t="shared" si="2"/>
        <v>49.6</v>
      </c>
      <c r="J5" s="3">
        <f t="shared" si="2"/>
        <v>86.8</v>
      </c>
      <c r="K5" s="122">
        <f t="shared" ref="K5:K33" si="3">IF(A5=0,$A$4*5,$L$1*30*1.163118^(A5-1))</f>
        <v>34.893540000000002</v>
      </c>
      <c r="L5" s="122">
        <f>K5-K4</f>
        <v>4.8935400000000016</v>
      </c>
      <c r="M5" s="122">
        <f t="shared" ref="M5:M33" si="4">SUM(B5:J5)</f>
        <v>647.77499999999998</v>
      </c>
      <c r="N5" s="218">
        <f t="shared" ref="N5:N33" si="5">(M5/(3*L5))*$N$1</f>
        <v>1.8385207845445213</v>
      </c>
      <c r="O5">
        <f t="shared" ref="O5:O33" si="6">A5</f>
        <v>2</v>
      </c>
      <c r="Q5" t="str">
        <f t="shared" ref="Q5:Q33" si="7">CONCATENATE("[*]",O5,"[|]",ROUND(K5,0),"[|]",ROUND(L5,0),"[|]",ROUND(M5,0),"[|]",TEXT(N5,"[h]:mm:ss"),"h")</f>
        <v>[*]2[|]35[|]5[|]648[|]44:07:28h</v>
      </c>
    </row>
    <row r="6" spans="1:17" x14ac:dyDescent="0.25">
      <c r="A6">
        <v>3</v>
      </c>
      <c r="B6" s="3">
        <f t="shared" si="0"/>
        <v>78.125</v>
      </c>
      <c r="C6" s="3">
        <f t="shared" si="0"/>
        <v>104.8385</v>
      </c>
      <c r="D6" s="3">
        <f t="shared" si="0"/>
        <v>117.56280000000001</v>
      </c>
      <c r="E6" s="3">
        <f t="shared" si="1"/>
        <v>97.537499999999994</v>
      </c>
      <c r="F6" s="3">
        <f t="shared" si="1"/>
        <v>80.01124999999999</v>
      </c>
      <c r="G6" s="3">
        <f t="shared" si="1"/>
        <v>105.66562499999999</v>
      </c>
      <c r="H6" s="3">
        <f t="shared" si="2"/>
        <v>62.001000000000012</v>
      </c>
      <c r="I6" s="3">
        <f t="shared" si="2"/>
        <v>61.503999999999998</v>
      </c>
      <c r="J6" s="3">
        <f t="shared" si="2"/>
        <v>107.63199999999999</v>
      </c>
      <c r="K6" s="122">
        <f t="shared" si="3"/>
        <v>40.585304457720007</v>
      </c>
      <c r="L6" s="122">
        <f t="shared" ref="L6:L33" si="8">K6-K5</f>
        <v>5.6917644577200051</v>
      </c>
      <c r="M6" s="122">
        <f t="shared" si="4"/>
        <v>814.87767499999995</v>
      </c>
      <c r="N6" s="218">
        <f t="shared" si="5"/>
        <v>1.9884423486218452</v>
      </c>
      <c r="O6">
        <f t="shared" si="6"/>
        <v>3</v>
      </c>
      <c r="Q6" t="str">
        <f t="shared" si="7"/>
        <v>[*]3[|]41[|]6[|]815[|]47:43:21h</v>
      </c>
    </row>
    <row r="7" spans="1:17" x14ac:dyDescent="0.25">
      <c r="A7">
        <v>4</v>
      </c>
      <c r="B7" s="3">
        <f t="shared" si="0"/>
        <v>97.65625</v>
      </c>
      <c r="C7" s="3">
        <f t="shared" si="0"/>
        <v>133.14489499999999</v>
      </c>
      <c r="D7" s="3">
        <f t="shared" si="0"/>
        <v>147.18862560000002</v>
      </c>
      <c r="E7" s="3">
        <f t="shared" si="1"/>
        <v>124.36031249999998</v>
      </c>
      <c r="F7" s="3">
        <f t="shared" si="1"/>
        <v>101.21423124999998</v>
      </c>
      <c r="G7" s="3">
        <f t="shared" si="1"/>
        <v>134.72367187499998</v>
      </c>
      <c r="H7" s="3">
        <f t="shared" si="2"/>
        <v>77.191245000000023</v>
      </c>
      <c r="I7" s="3">
        <f t="shared" si="2"/>
        <v>76.264960000000002</v>
      </c>
      <c r="J7" s="3">
        <f t="shared" si="2"/>
        <v>133.46367999999998</v>
      </c>
      <c r="K7" s="122">
        <f t="shared" si="3"/>
        <v>47.205498150254385</v>
      </c>
      <c r="L7" s="122">
        <f t="shared" si="8"/>
        <v>6.6201936925343787</v>
      </c>
      <c r="M7" s="122">
        <f t="shared" si="4"/>
        <v>1025.207871225</v>
      </c>
      <c r="N7" s="218">
        <f t="shared" si="5"/>
        <v>2.1508431433835105</v>
      </c>
      <c r="O7">
        <f t="shared" si="6"/>
        <v>4</v>
      </c>
      <c r="Q7" t="str">
        <f t="shared" si="7"/>
        <v>[*]4[|]47[|]7[|]1025[|]51:37:13h</v>
      </c>
    </row>
    <row r="8" spans="1:17" x14ac:dyDescent="0.25">
      <c r="A8">
        <v>5</v>
      </c>
      <c r="B8" s="3">
        <f t="shared" si="0"/>
        <v>122.0703125</v>
      </c>
      <c r="C8" s="3">
        <f t="shared" si="0"/>
        <v>169.09401664999999</v>
      </c>
      <c r="D8" s="3">
        <f t="shared" si="0"/>
        <v>184.28015925120002</v>
      </c>
      <c r="E8" s="3">
        <f t="shared" si="1"/>
        <v>158.55939843749996</v>
      </c>
      <c r="F8" s="3">
        <f t="shared" si="1"/>
        <v>128.03600253124998</v>
      </c>
      <c r="G8" s="3">
        <f t="shared" si="1"/>
        <v>171.77268164062497</v>
      </c>
      <c r="H8" s="3">
        <f t="shared" si="2"/>
        <v>96.103100025000032</v>
      </c>
      <c r="I8" s="3">
        <f t="shared" si="2"/>
        <v>94.568550400000007</v>
      </c>
      <c r="J8" s="3">
        <f t="shared" si="2"/>
        <v>165.49496319999997</v>
      </c>
      <c r="K8" s="122">
        <f t="shared" si="3"/>
        <v>54.905564597527587</v>
      </c>
      <c r="L8" s="122">
        <f t="shared" si="8"/>
        <v>7.7000664472732012</v>
      </c>
      <c r="M8" s="122">
        <f t="shared" si="4"/>
        <v>1289.9791846355749</v>
      </c>
      <c r="N8" s="218">
        <f t="shared" si="5"/>
        <v>2.3267822020844573</v>
      </c>
      <c r="O8">
        <f t="shared" si="6"/>
        <v>5</v>
      </c>
      <c r="Q8" t="str">
        <f t="shared" si="7"/>
        <v>[*]5[|]55[|]8[|]1290[|]55:50:34h</v>
      </c>
    </row>
    <row r="9" spans="1:17" x14ac:dyDescent="0.25">
      <c r="A9">
        <v>6</v>
      </c>
      <c r="B9" s="3">
        <f t="shared" si="0"/>
        <v>152.587890625</v>
      </c>
      <c r="C9" s="3">
        <f t="shared" si="0"/>
        <v>214.74940114549997</v>
      </c>
      <c r="D9" s="3">
        <f t="shared" si="0"/>
        <v>230.71875938250241</v>
      </c>
      <c r="E9" s="3">
        <f t="shared" si="1"/>
        <v>202.16323300781244</v>
      </c>
      <c r="F9" s="3">
        <f t="shared" si="1"/>
        <v>161.9655432020312</v>
      </c>
      <c r="G9" s="3">
        <f t="shared" si="1"/>
        <v>219.01016909179683</v>
      </c>
      <c r="H9" s="3">
        <f t="shared" si="2"/>
        <v>119.64835953112505</v>
      </c>
      <c r="I9" s="3">
        <f t="shared" si="2"/>
        <v>117.26500249600001</v>
      </c>
      <c r="J9" s="3">
        <f t="shared" si="2"/>
        <v>205.21375436799997</v>
      </c>
      <c r="K9" s="122">
        <f t="shared" si="3"/>
        <v>63.861650483547102</v>
      </c>
      <c r="L9" s="122">
        <f t="shared" si="8"/>
        <v>8.9560858860195154</v>
      </c>
      <c r="M9" s="122">
        <f t="shared" si="4"/>
        <v>1623.322112849768</v>
      </c>
      <c r="N9" s="218">
        <f t="shared" si="5"/>
        <v>2.5174100319249271</v>
      </c>
      <c r="O9">
        <f t="shared" si="6"/>
        <v>6</v>
      </c>
      <c r="Q9" t="str">
        <f t="shared" si="7"/>
        <v>[*]6[|]64[|]9[|]1623[|]60:25:04h</v>
      </c>
    </row>
    <row r="10" spans="1:17" x14ac:dyDescent="0.25">
      <c r="A10">
        <v>7</v>
      </c>
      <c r="B10" s="3">
        <f t="shared" si="0"/>
        <v>190.73486328125</v>
      </c>
      <c r="C10" s="3">
        <f t="shared" si="0"/>
        <v>272.73173945478499</v>
      </c>
      <c r="D10" s="3">
        <f t="shared" si="0"/>
        <v>288.85988674689304</v>
      </c>
      <c r="E10" s="3">
        <f t="shared" si="1"/>
        <v>257.75812208496086</v>
      </c>
      <c r="F10" s="3">
        <f t="shared" si="1"/>
        <v>204.88641215056944</v>
      </c>
      <c r="G10" s="3">
        <f t="shared" si="1"/>
        <v>279.23796559204095</v>
      </c>
      <c r="H10" s="3">
        <f t="shared" si="2"/>
        <v>148.96220761625071</v>
      </c>
      <c r="I10" s="3">
        <f t="shared" si="2"/>
        <v>145.40860309504001</v>
      </c>
      <c r="J10" s="3">
        <f t="shared" si="2"/>
        <v>254.46505541631996</v>
      </c>
      <c r="K10" s="122">
        <f t="shared" si="3"/>
        <v>74.278635187122333</v>
      </c>
      <c r="L10" s="122">
        <f t="shared" si="8"/>
        <v>10.416984703575231</v>
      </c>
      <c r="M10" s="122">
        <f t="shared" si="4"/>
        <v>2043.0448554381101</v>
      </c>
      <c r="N10" s="218">
        <f t="shared" si="5"/>
        <v>2.7239766400402918</v>
      </c>
      <c r="O10">
        <f t="shared" si="6"/>
        <v>7</v>
      </c>
      <c r="Q10" t="str">
        <f t="shared" si="7"/>
        <v>[*]7[|]74[|]10[|]2043[|]65:22:32h</v>
      </c>
    </row>
    <row r="11" spans="1:17" x14ac:dyDescent="0.25">
      <c r="A11">
        <v>8</v>
      </c>
      <c r="B11" s="3">
        <f t="shared" si="0"/>
        <v>238.4185791015625</v>
      </c>
      <c r="C11" s="3">
        <f t="shared" si="0"/>
        <v>346.36930910757695</v>
      </c>
      <c r="D11" s="3">
        <f t="shared" si="0"/>
        <v>361.65257820711008</v>
      </c>
      <c r="E11" s="3">
        <f t="shared" si="1"/>
        <v>328.64160565832509</v>
      </c>
      <c r="F11" s="3">
        <f t="shared" si="1"/>
        <v>259.18131137047033</v>
      </c>
      <c r="G11" s="3">
        <f t="shared" si="1"/>
        <v>356.02840612985221</v>
      </c>
      <c r="H11" s="3">
        <f t="shared" si="2"/>
        <v>185.45794848223215</v>
      </c>
      <c r="I11" s="3">
        <f t="shared" si="2"/>
        <v>180.3066678378496</v>
      </c>
      <c r="J11" s="3">
        <f t="shared" si="2"/>
        <v>315.53666871623676</v>
      </c>
      <c r="K11" s="122">
        <f t="shared" si="3"/>
        <v>86.394817601575355</v>
      </c>
      <c r="L11" s="122">
        <f t="shared" si="8"/>
        <v>12.116182414453021</v>
      </c>
      <c r="M11" s="122">
        <f t="shared" si="4"/>
        <v>2571.5930746112153</v>
      </c>
      <c r="N11" s="218">
        <f t="shared" si="5"/>
        <v>2.9478402733608666</v>
      </c>
      <c r="O11">
        <f t="shared" si="6"/>
        <v>8</v>
      </c>
      <c r="Q11" t="str">
        <f t="shared" si="7"/>
        <v>[*]8[|]86[|]12[|]2572[|]70:44:53h</v>
      </c>
    </row>
    <row r="12" spans="1:17" x14ac:dyDescent="0.25">
      <c r="A12">
        <v>9</v>
      </c>
      <c r="B12" s="3">
        <f t="shared" si="0"/>
        <v>298.02322387695312</v>
      </c>
      <c r="C12" s="3">
        <f t="shared" si="0"/>
        <v>439.88902256662271</v>
      </c>
      <c r="D12" s="3">
        <f t="shared" si="0"/>
        <v>452.7890279153018</v>
      </c>
      <c r="E12" s="3">
        <f t="shared" si="1"/>
        <v>419.01804721436446</v>
      </c>
      <c r="F12" s="3">
        <f t="shared" si="1"/>
        <v>327.86435888364491</v>
      </c>
      <c r="G12" s="3">
        <f t="shared" si="1"/>
        <v>453.93621781556152</v>
      </c>
      <c r="H12" s="3">
        <f t="shared" si="2"/>
        <v>230.89514586037905</v>
      </c>
      <c r="I12" s="3">
        <f t="shared" si="2"/>
        <v>223.5802681189335</v>
      </c>
      <c r="J12" s="3">
        <f t="shared" si="2"/>
        <v>391.2654692081336</v>
      </c>
      <c r="K12" s="122">
        <f t="shared" si="3"/>
        <v>100.48736745910915</v>
      </c>
      <c r="L12" s="122">
        <f t="shared" si="8"/>
        <v>14.092549857533797</v>
      </c>
      <c r="M12" s="122">
        <f t="shared" si="4"/>
        <v>3237.260781459895</v>
      </c>
      <c r="N12" s="218">
        <f t="shared" si="5"/>
        <v>3.1904769365792021</v>
      </c>
      <c r="O12">
        <f t="shared" si="6"/>
        <v>9</v>
      </c>
      <c r="Q12" t="str">
        <f t="shared" si="7"/>
        <v>[*]9[|]100[|]14[|]3237[|]76:34:17h</v>
      </c>
    </row>
    <row r="13" spans="1:17" x14ac:dyDescent="0.25">
      <c r="A13">
        <v>10</v>
      </c>
      <c r="B13" s="3">
        <f t="shared" si="0"/>
        <v>372.52902984619141</v>
      </c>
      <c r="C13" s="3">
        <f t="shared" si="0"/>
        <v>558.65905865961088</v>
      </c>
      <c r="D13" s="3">
        <f t="shared" si="0"/>
        <v>566.89186294995784</v>
      </c>
      <c r="E13" s="3">
        <f t="shared" si="1"/>
        <v>534.24801019831466</v>
      </c>
      <c r="F13" s="3">
        <f t="shared" si="1"/>
        <v>414.74841398781081</v>
      </c>
      <c r="G13" s="3">
        <f t="shared" si="1"/>
        <v>578.76867771484092</v>
      </c>
      <c r="H13" s="3">
        <f t="shared" si="2"/>
        <v>287.46445659617194</v>
      </c>
      <c r="I13" s="3">
        <f t="shared" si="2"/>
        <v>277.23953246747755</v>
      </c>
      <c r="J13" s="3">
        <f t="shared" si="2"/>
        <v>485.16918181808563</v>
      </c>
      <c r="K13" s="122">
        <f t="shared" si="3"/>
        <v>116.87866586430414</v>
      </c>
      <c r="L13" s="122">
        <f t="shared" si="8"/>
        <v>16.391298405194988</v>
      </c>
      <c r="M13" s="122">
        <f t="shared" si="4"/>
        <v>4075.718224238462</v>
      </c>
      <c r="N13" s="218">
        <f t="shared" si="5"/>
        <v>3.4534907582993353</v>
      </c>
      <c r="O13">
        <f t="shared" si="6"/>
        <v>10</v>
      </c>
      <c r="Q13" t="str">
        <f t="shared" si="7"/>
        <v>[*]10[|]117[|]16[|]4076[|]82:53:02h</v>
      </c>
    </row>
    <row r="14" spans="1:17" x14ac:dyDescent="0.25">
      <c r="A14">
        <v>11</v>
      </c>
      <c r="B14" s="3">
        <f t="shared" si="0"/>
        <v>465.66128730773926</v>
      </c>
      <c r="C14" s="3">
        <f t="shared" si="0"/>
        <v>709.4970044977058</v>
      </c>
      <c r="D14" s="3">
        <f t="shared" si="0"/>
        <v>709.74861241334725</v>
      </c>
      <c r="E14" s="3">
        <f t="shared" si="1"/>
        <v>681.16621300285112</v>
      </c>
      <c r="F14" s="3">
        <f t="shared" si="1"/>
        <v>524.65674369458065</v>
      </c>
      <c r="G14" s="3">
        <f t="shared" si="1"/>
        <v>737.93006408642214</v>
      </c>
      <c r="H14" s="3">
        <f t="shared" si="2"/>
        <v>357.89324846223411</v>
      </c>
      <c r="I14" s="3">
        <f t="shared" si="2"/>
        <v>343.77702025967216</v>
      </c>
      <c r="J14" s="3">
        <f t="shared" si="2"/>
        <v>601.60978545442617</v>
      </c>
      <c r="K14" s="122">
        <f t="shared" si="3"/>
        <v>135.94368008275771</v>
      </c>
      <c r="L14" s="122">
        <f t="shared" si="8"/>
        <v>19.06501421845357</v>
      </c>
      <c r="M14" s="122">
        <f t="shared" si="4"/>
        <v>5131.9399791789783</v>
      </c>
      <c r="N14" s="218">
        <f t="shared" si="5"/>
        <v>3.7386252818145085</v>
      </c>
      <c r="O14">
        <f t="shared" si="6"/>
        <v>11</v>
      </c>
      <c r="Q14" t="str">
        <f t="shared" si="7"/>
        <v>[*]11[|]136[|]19[|]5132[|]89:43:37h</v>
      </c>
    </row>
    <row r="15" spans="1:17" x14ac:dyDescent="0.25">
      <c r="A15">
        <v>12</v>
      </c>
      <c r="B15" s="3">
        <f t="shared" si="0"/>
        <v>582.07660913467407</v>
      </c>
      <c r="C15" s="3">
        <f t="shared" si="0"/>
        <v>901.06119571208637</v>
      </c>
      <c r="D15" s="3">
        <f t="shared" si="0"/>
        <v>888.60526274151073</v>
      </c>
      <c r="E15" s="3">
        <f t="shared" si="1"/>
        <v>868.48692157863513</v>
      </c>
      <c r="F15" s="3">
        <f t="shared" si="1"/>
        <v>663.69078077364452</v>
      </c>
      <c r="G15" s="3">
        <f t="shared" si="1"/>
        <v>940.86083171018811</v>
      </c>
      <c r="H15" s="3">
        <f t="shared" si="2"/>
        <v>445.57709433548149</v>
      </c>
      <c r="I15" s="3">
        <f t="shared" si="2"/>
        <v>426.28350512199347</v>
      </c>
      <c r="J15" s="3">
        <f t="shared" si="2"/>
        <v>745.99613396348843</v>
      </c>
      <c r="K15" s="122">
        <f t="shared" si="3"/>
        <v>158.11854129049698</v>
      </c>
      <c r="L15" s="122">
        <f t="shared" si="8"/>
        <v>22.174861207739269</v>
      </c>
      <c r="M15" s="122">
        <f t="shared" si="4"/>
        <v>6462.6383350717024</v>
      </c>
      <c r="N15" s="218">
        <f t="shared" si="5"/>
        <v>4.0477757639158494</v>
      </c>
      <c r="O15">
        <f t="shared" si="6"/>
        <v>12</v>
      </c>
      <c r="Q15" t="str">
        <f t="shared" si="7"/>
        <v>[*]12[|]158[|]22[|]6463[|]97:08:48h</v>
      </c>
    </row>
    <row r="16" spans="1:17" x14ac:dyDescent="0.25">
      <c r="A16">
        <v>13</v>
      </c>
      <c r="B16" s="3">
        <f t="shared" si="0"/>
        <v>727.59576141834259</v>
      </c>
      <c r="C16" s="3">
        <f t="shared" si="0"/>
        <v>1144.3477185543497</v>
      </c>
      <c r="D16" s="3">
        <f t="shared" si="0"/>
        <v>1112.5337889523714</v>
      </c>
      <c r="E16" s="3">
        <f t="shared" si="1"/>
        <v>1107.3208250127598</v>
      </c>
      <c r="F16" s="3">
        <f t="shared" si="1"/>
        <v>839.5688376786602</v>
      </c>
      <c r="G16" s="3">
        <f t="shared" si="1"/>
        <v>1199.5975604304897</v>
      </c>
      <c r="H16" s="3">
        <f t="shared" si="2"/>
        <v>554.74348244767452</v>
      </c>
      <c r="I16" s="3">
        <f t="shared" si="2"/>
        <v>528.59154635127186</v>
      </c>
      <c r="J16" s="3">
        <f t="shared" si="2"/>
        <v>925.03520611472561</v>
      </c>
      <c r="K16" s="122">
        <f t="shared" si="3"/>
        <v>183.91052150872031</v>
      </c>
      <c r="L16" s="122">
        <f t="shared" si="8"/>
        <v>25.79198021822333</v>
      </c>
      <c r="M16" s="122">
        <f t="shared" si="4"/>
        <v>8139.3347269606456</v>
      </c>
      <c r="N16" s="218">
        <f t="shared" si="5"/>
        <v>4.3830025727283353</v>
      </c>
      <c r="O16">
        <f t="shared" si="6"/>
        <v>13</v>
      </c>
      <c r="Q16" t="str">
        <f t="shared" si="7"/>
        <v>[*]13[|]184[|]26[|]8139[|]105:11:31h</v>
      </c>
    </row>
    <row r="17" spans="1:17" x14ac:dyDescent="0.25">
      <c r="A17">
        <v>14</v>
      </c>
      <c r="B17" s="3">
        <f t="shared" si="0"/>
        <v>909.49470177292824</v>
      </c>
      <c r="C17" s="3">
        <f t="shared" si="0"/>
        <v>1453.3216025640243</v>
      </c>
      <c r="D17" s="3">
        <f t="shared" si="0"/>
        <v>1392.8923037683689</v>
      </c>
      <c r="E17" s="3">
        <f t="shared" si="1"/>
        <v>1411.8340518912687</v>
      </c>
      <c r="F17" s="3">
        <f t="shared" si="1"/>
        <v>1062.0545796635051</v>
      </c>
      <c r="G17" s="3">
        <f t="shared" si="1"/>
        <v>1529.4868895488742</v>
      </c>
      <c r="H17" s="3">
        <f t="shared" si="2"/>
        <v>690.65563564735487</v>
      </c>
      <c r="I17" s="3">
        <f t="shared" si="2"/>
        <v>655.45351747557709</v>
      </c>
      <c r="J17" s="3">
        <f t="shared" si="2"/>
        <v>1147.0436555822598</v>
      </c>
      <c r="K17" s="122">
        <f t="shared" si="3"/>
        <v>213.90963795617978</v>
      </c>
      <c r="L17" s="122">
        <f t="shared" si="8"/>
        <v>29.999116447459471</v>
      </c>
      <c r="M17" s="122">
        <f t="shared" si="4"/>
        <v>10252.236937914162</v>
      </c>
      <c r="N17" s="218">
        <f t="shared" si="5"/>
        <v>4.7465457838612775</v>
      </c>
      <c r="O17">
        <f t="shared" si="6"/>
        <v>14</v>
      </c>
      <c r="Q17" t="str">
        <f t="shared" si="7"/>
        <v>[*]14[|]214[|]30[|]10252[|]113:55:02h</v>
      </c>
    </row>
    <row r="18" spans="1:17" x14ac:dyDescent="0.25">
      <c r="A18">
        <v>15</v>
      </c>
      <c r="B18" s="3">
        <f t="shared" si="0"/>
        <v>1136.8683772161603</v>
      </c>
      <c r="C18" s="3">
        <f t="shared" si="0"/>
        <v>1845.7184352563108</v>
      </c>
      <c r="D18" s="3">
        <f t="shared" si="0"/>
        <v>1743.9011643179979</v>
      </c>
      <c r="E18" s="3">
        <f t="shared" si="1"/>
        <v>1800.0884161613674</v>
      </c>
      <c r="F18" s="3">
        <f t="shared" si="1"/>
        <v>1343.4990432743339</v>
      </c>
      <c r="G18" s="3">
        <f t="shared" si="1"/>
        <v>1950.0957841748145</v>
      </c>
      <c r="H18" s="3">
        <f t="shared" si="2"/>
        <v>859.86626638095686</v>
      </c>
      <c r="I18" s="3">
        <f t="shared" si="2"/>
        <v>812.76236166971557</v>
      </c>
      <c r="J18" s="3">
        <f t="shared" si="2"/>
        <v>1422.3341329220023</v>
      </c>
      <c r="K18" s="122">
        <f t="shared" si="3"/>
        <v>248.80215028031591</v>
      </c>
      <c r="L18" s="122">
        <f t="shared" si="8"/>
        <v>34.892512324136135</v>
      </c>
      <c r="M18" s="122">
        <f t="shared" si="4"/>
        <v>12915.133981373659</v>
      </c>
      <c r="N18" s="218">
        <f t="shared" si="5"/>
        <v>5.1408410832123401</v>
      </c>
      <c r="O18">
        <f t="shared" si="6"/>
        <v>15</v>
      </c>
      <c r="Q18" t="str">
        <f t="shared" si="7"/>
        <v>[*]15[|]249[|]35[|]12915[|]123:22:49h</v>
      </c>
    </row>
    <row r="19" spans="1:17" x14ac:dyDescent="0.25">
      <c r="A19">
        <v>16</v>
      </c>
      <c r="B19" s="3">
        <f t="shared" si="0"/>
        <v>1421.0854715202004</v>
      </c>
      <c r="C19" s="3">
        <f t="shared" si="0"/>
        <v>2344.062412775515</v>
      </c>
      <c r="D19" s="3">
        <f t="shared" si="0"/>
        <v>2183.3642577261335</v>
      </c>
      <c r="E19" s="3">
        <f t="shared" si="1"/>
        <v>2295.1127306057433</v>
      </c>
      <c r="F19" s="3">
        <f t="shared" si="1"/>
        <v>1699.5262897420323</v>
      </c>
      <c r="G19" s="3">
        <f t="shared" si="1"/>
        <v>2486.3721248228885</v>
      </c>
      <c r="H19" s="3">
        <f t="shared" si="2"/>
        <v>1070.5335016442914</v>
      </c>
      <c r="I19" s="3">
        <f t="shared" si="2"/>
        <v>1007.8253284704473</v>
      </c>
      <c r="J19" s="3">
        <f t="shared" si="2"/>
        <v>1763.6943248232828</v>
      </c>
      <c r="K19" s="122">
        <f t="shared" si="3"/>
        <v>289.38625942974045</v>
      </c>
      <c r="L19" s="122">
        <f t="shared" si="8"/>
        <v>40.584109149424535</v>
      </c>
      <c r="M19" s="122">
        <f t="shared" si="4"/>
        <v>16271.576442130536</v>
      </c>
      <c r="N19" s="218">
        <f t="shared" si="5"/>
        <v>5.5685370946479793</v>
      </c>
      <c r="O19">
        <f t="shared" si="6"/>
        <v>16</v>
      </c>
      <c r="Q19" t="str">
        <f t="shared" si="7"/>
        <v>[*]16[|]289[|]41[|]16272[|]133:38:42h</v>
      </c>
    </row>
    <row r="20" spans="1:17" x14ac:dyDescent="0.25">
      <c r="A20">
        <v>17</v>
      </c>
      <c r="B20" s="3">
        <f t="shared" si="0"/>
        <v>1776.3568394002505</v>
      </c>
      <c r="C20" s="3">
        <f t="shared" si="0"/>
        <v>2976.959264224904</v>
      </c>
      <c r="D20" s="3">
        <f t="shared" si="0"/>
        <v>2733.5720506731191</v>
      </c>
      <c r="E20" s="3">
        <f t="shared" si="1"/>
        <v>2926.2687315223225</v>
      </c>
      <c r="F20" s="3">
        <f t="shared" si="1"/>
        <v>2149.9007565236707</v>
      </c>
      <c r="G20" s="3">
        <f t="shared" si="1"/>
        <v>3170.1244591491827</v>
      </c>
      <c r="H20" s="3">
        <f t="shared" si="2"/>
        <v>1332.8142095471428</v>
      </c>
      <c r="I20" s="3">
        <f t="shared" si="2"/>
        <v>1249.7034073033547</v>
      </c>
      <c r="J20" s="3">
        <f t="shared" si="2"/>
        <v>2186.9809627808709</v>
      </c>
      <c r="K20" s="122">
        <f t="shared" si="3"/>
        <v>336.59036729540099</v>
      </c>
      <c r="L20" s="122">
        <f t="shared" si="8"/>
        <v>47.204107865660546</v>
      </c>
      <c r="M20" s="122">
        <f t="shared" si="4"/>
        <v>20502.680681124821</v>
      </c>
      <c r="N20" s="218">
        <f t="shared" si="5"/>
        <v>6.0325142615747769</v>
      </c>
      <c r="O20">
        <f t="shared" si="6"/>
        <v>17</v>
      </c>
      <c r="Q20" t="str">
        <f t="shared" si="7"/>
        <v>[*]17[|]337[|]47[|]20503[|]144:46:49h</v>
      </c>
    </row>
    <row r="21" spans="1:17" x14ac:dyDescent="0.25">
      <c r="A21">
        <v>18</v>
      </c>
      <c r="B21" s="3">
        <f t="shared" ref="B21:D33" si="9">B20*B$3</f>
        <v>2220.4460492503131</v>
      </c>
      <c r="C21" s="3">
        <f t="shared" si="9"/>
        <v>3780.7382655656284</v>
      </c>
      <c r="D21" s="3">
        <f t="shared" si="9"/>
        <v>3422.432207442745</v>
      </c>
      <c r="E21" s="3">
        <f t="shared" ref="E21:G33" si="10">E20*E$3</f>
        <v>3730.9926326909608</v>
      </c>
      <c r="F21" s="3">
        <f t="shared" si="10"/>
        <v>2719.6244570024433</v>
      </c>
      <c r="G21" s="3">
        <f t="shared" si="10"/>
        <v>4041.9086854152079</v>
      </c>
      <c r="H21" s="3">
        <f t="shared" ref="H21:J33" si="11">H$3*H20</f>
        <v>1659.3536908861929</v>
      </c>
      <c r="I21" s="3">
        <f t="shared" si="11"/>
        <v>1549.6322250561598</v>
      </c>
      <c r="J21" s="3">
        <f t="shared" si="11"/>
        <v>2711.8563938482798</v>
      </c>
      <c r="K21" s="122">
        <f t="shared" si="3"/>
        <v>391.4943148278922</v>
      </c>
      <c r="L21" s="122">
        <f t="shared" si="8"/>
        <v>54.903947532491202</v>
      </c>
      <c r="M21" s="122">
        <f t="shared" si="4"/>
        <v>25836.98460715793</v>
      </c>
      <c r="N21" s="218">
        <f t="shared" si="5"/>
        <v>6.5359054232009379</v>
      </c>
      <c r="O21">
        <f t="shared" si="6"/>
        <v>18</v>
      </c>
      <c r="Q21" t="str">
        <f t="shared" si="7"/>
        <v>[*]18[|]391[|]55[|]25837[|]156:51:42h</v>
      </c>
    </row>
    <row r="22" spans="1:17" x14ac:dyDescent="0.25">
      <c r="A22">
        <v>19</v>
      </c>
      <c r="B22" s="3">
        <f t="shared" si="9"/>
        <v>2775.5575615628914</v>
      </c>
      <c r="C22" s="3">
        <f t="shared" si="9"/>
        <v>4801.5375972683478</v>
      </c>
      <c r="D22" s="3">
        <f t="shared" si="9"/>
        <v>4284.8851237183171</v>
      </c>
      <c r="E22" s="3">
        <f t="shared" si="10"/>
        <v>4757.015606680975</v>
      </c>
      <c r="F22" s="3">
        <f t="shared" si="10"/>
        <v>3440.3249381080905</v>
      </c>
      <c r="G22" s="3">
        <f t="shared" si="10"/>
        <v>5153.43357390439</v>
      </c>
      <c r="H22" s="3">
        <f t="shared" si="11"/>
        <v>2065.8953451533102</v>
      </c>
      <c r="I22" s="3">
        <f t="shared" si="11"/>
        <v>1921.543959069638</v>
      </c>
      <c r="J22" s="3">
        <f t="shared" si="11"/>
        <v>3362.7019283718669</v>
      </c>
      <c r="K22" s="122">
        <f t="shared" si="3"/>
        <v>455.35408447398839</v>
      </c>
      <c r="L22" s="122">
        <f t="shared" si="8"/>
        <v>63.859769646096197</v>
      </c>
      <c r="M22" s="122">
        <f t="shared" si="4"/>
        <v>32562.895633837823</v>
      </c>
      <c r="N22" s="218">
        <f t="shared" si="5"/>
        <v>7.0821182391550614</v>
      </c>
      <c r="O22">
        <f t="shared" si="6"/>
        <v>19</v>
      </c>
      <c r="Q22" t="str">
        <f t="shared" si="7"/>
        <v>[*]19[|]455[|]64[|]32563[|]169:58:15h</v>
      </c>
    </row>
    <row r="23" spans="1:17" x14ac:dyDescent="0.25">
      <c r="A23">
        <v>20</v>
      </c>
      <c r="B23" s="3">
        <f t="shared" si="9"/>
        <v>3469.4469519536142</v>
      </c>
      <c r="C23" s="3">
        <f t="shared" si="9"/>
        <v>6097.9527485308017</v>
      </c>
      <c r="D23" s="3">
        <f t="shared" si="9"/>
        <v>5364.6761748953331</v>
      </c>
      <c r="E23" s="3">
        <f t="shared" si="10"/>
        <v>6065.1948985182426</v>
      </c>
      <c r="F23" s="3">
        <f t="shared" si="10"/>
        <v>4352.0110467067343</v>
      </c>
      <c r="G23" s="3">
        <f t="shared" si="10"/>
        <v>6570.6278067280964</v>
      </c>
      <c r="H23" s="3">
        <f t="shared" si="11"/>
        <v>2572.0397047158713</v>
      </c>
      <c r="I23" s="3">
        <f t="shared" si="11"/>
        <v>2382.7145092463511</v>
      </c>
      <c r="J23" s="3">
        <f t="shared" si="11"/>
        <v>4169.7503911811145</v>
      </c>
      <c r="K23" s="122">
        <f t="shared" si="3"/>
        <v>529.63053202521655</v>
      </c>
      <c r="L23" s="122">
        <f t="shared" si="8"/>
        <v>74.276447551228159</v>
      </c>
      <c r="M23" s="122">
        <f t="shared" si="4"/>
        <v>41044.414232476163</v>
      </c>
      <c r="N23" s="218">
        <f t="shared" si="5"/>
        <v>7.6748596301838781</v>
      </c>
      <c r="O23">
        <f t="shared" si="6"/>
        <v>20</v>
      </c>
      <c r="Q23" t="str">
        <f t="shared" si="7"/>
        <v>[*]20[|]530[|]74[|]41044[|]184:11:48h</v>
      </c>
    </row>
    <row r="24" spans="1:17" x14ac:dyDescent="0.25">
      <c r="A24">
        <v>21</v>
      </c>
      <c r="B24" s="3">
        <f t="shared" si="9"/>
        <v>4336.8086899420177</v>
      </c>
      <c r="C24" s="3">
        <f t="shared" si="9"/>
        <v>7744.3999906341187</v>
      </c>
      <c r="D24" s="3">
        <f t="shared" si="9"/>
        <v>6716.5745709689572</v>
      </c>
      <c r="E24" s="3">
        <f t="shared" si="10"/>
        <v>7733.1234956107592</v>
      </c>
      <c r="F24" s="3">
        <f t="shared" si="10"/>
        <v>5505.2939740840184</v>
      </c>
      <c r="G24" s="3">
        <f t="shared" si="10"/>
        <v>8377.550453578322</v>
      </c>
      <c r="H24" s="3">
        <f t="shared" si="11"/>
        <v>3202.18943237126</v>
      </c>
      <c r="I24" s="3">
        <f t="shared" si="11"/>
        <v>2954.5659914654752</v>
      </c>
      <c r="J24" s="3">
        <f t="shared" si="11"/>
        <v>5170.4904850645817</v>
      </c>
      <c r="K24" s="122">
        <f t="shared" si="3"/>
        <v>616.02280514810582</v>
      </c>
      <c r="L24" s="122">
        <f t="shared" si="8"/>
        <v>86.392273122889264</v>
      </c>
      <c r="M24" s="122">
        <f t="shared" si="4"/>
        <v>51740.997083719514</v>
      </c>
      <c r="N24" s="218">
        <f t="shared" si="5"/>
        <v>8.3181624179964739</v>
      </c>
      <c r="O24">
        <f t="shared" si="6"/>
        <v>21</v>
      </c>
      <c r="Q24" t="str">
        <f t="shared" si="7"/>
        <v>[*]21[|]616[|]86[|]51741[|]199:38:09h</v>
      </c>
    </row>
    <row r="25" spans="1:17" x14ac:dyDescent="0.25">
      <c r="A25">
        <v>22</v>
      </c>
      <c r="B25" s="3">
        <f t="shared" si="9"/>
        <v>5421.0108624275217</v>
      </c>
      <c r="C25" s="3">
        <f t="shared" si="9"/>
        <v>9835.3879881053308</v>
      </c>
      <c r="D25" s="3">
        <f t="shared" si="9"/>
        <v>8409.1513628531338</v>
      </c>
      <c r="E25" s="3">
        <f t="shared" si="10"/>
        <v>9859.7324569037173</v>
      </c>
      <c r="F25" s="3">
        <f t="shared" si="10"/>
        <v>6964.1968772162827</v>
      </c>
      <c r="G25" s="3">
        <f t="shared" si="10"/>
        <v>10681.376828312359</v>
      </c>
      <c r="H25" s="3">
        <f t="shared" si="11"/>
        <v>3986.7258433022189</v>
      </c>
      <c r="I25" s="3">
        <f t="shared" si="11"/>
        <v>3663.6618294171894</v>
      </c>
      <c r="J25" s="3">
        <f t="shared" si="11"/>
        <v>6411.4082014800815</v>
      </c>
      <c r="K25" s="122">
        <f t="shared" si="3"/>
        <v>716.50721307825472</v>
      </c>
      <c r="L25" s="122">
        <f t="shared" si="8"/>
        <v>100.4844079301489</v>
      </c>
      <c r="M25" s="122">
        <f t="shared" si="4"/>
        <v>65232.652250017825</v>
      </c>
      <c r="N25" s="218">
        <f t="shared" si="5"/>
        <v>9.0164143640855379</v>
      </c>
      <c r="O25">
        <f t="shared" si="6"/>
        <v>22</v>
      </c>
      <c r="Q25" t="str">
        <f t="shared" si="7"/>
        <v>[*]22[|]717[|]100[|]65233[|]216:23:38h</v>
      </c>
    </row>
    <row r="26" spans="1:17" x14ac:dyDescent="0.25">
      <c r="A26">
        <v>23</v>
      </c>
      <c r="B26" s="3">
        <f t="shared" si="9"/>
        <v>6776.2635780344026</v>
      </c>
      <c r="C26" s="3">
        <f t="shared" si="9"/>
        <v>12490.942744893769</v>
      </c>
      <c r="D26" s="3">
        <f t="shared" si="9"/>
        <v>10528.257506292124</v>
      </c>
      <c r="E26" s="3">
        <f t="shared" si="10"/>
        <v>12571.158882552239</v>
      </c>
      <c r="F26" s="3">
        <f t="shared" si="10"/>
        <v>8809.7090496785968</v>
      </c>
      <c r="G26" s="3">
        <f t="shared" si="10"/>
        <v>13618.755456098257</v>
      </c>
      <c r="H26" s="3">
        <f t="shared" si="11"/>
        <v>4963.4736749112626</v>
      </c>
      <c r="I26" s="3">
        <f t="shared" si="11"/>
        <v>4542.9406684773148</v>
      </c>
      <c r="J26" s="3">
        <f t="shared" si="11"/>
        <v>7950.1461698353014</v>
      </c>
      <c r="K26" s="122">
        <f t="shared" si="3"/>
        <v>833.38243666115352</v>
      </c>
      <c r="L26" s="122">
        <f t="shared" si="8"/>
        <v>116.8752235828988</v>
      </c>
      <c r="M26" s="122">
        <f t="shared" si="4"/>
        <v>82251.647730773257</v>
      </c>
      <c r="N26" s="218">
        <f t="shared" si="5"/>
        <v>9.774389825662702</v>
      </c>
      <c r="O26">
        <f t="shared" si="6"/>
        <v>23</v>
      </c>
      <c r="Q26" t="str">
        <f t="shared" si="7"/>
        <v>[*]23[|]833[|]117[|]82252[|]234:35:07h</v>
      </c>
    </row>
    <row r="27" spans="1:17" x14ac:dyDescent="0.25">
      <c r="A27">
        <v>24</v>
      </c>
      <c r="B27" s="3">
        <f t="shared" si="9"/>
        <v>8470.3294725430023</v>
      </c>
      <c r="C27" s="3">
        <f t="shared" si="9"/>
        <v>15863.497286015088</v>
      </c>
      <c r="D27" s="3">
        <f t="shared" si="9"/>
        <v>13181.378397877739</v>
      </c>
      <c r="E27" s="3">
        <f t="shared" si="10"/>
        <v>16028.227575254105</v>
      </c>
      <c r="F27" s="3">
        <f t="shared" si="10"/>
        <v>11144.281947843425</v>
      </c>
      <c r="G27" s="3">
        <f t="shared" si="10"/>
        <v>17363.913206525278</v>
      </c>
      <c r="H27" s="3">
        <f t="shared" si="11"/>
        <v>6179.5247252645222</v>
      </c>
      <c r="I27" s="3">
        <f t="shared" si="11"/>
        <v>5633.2464289118707</v>
      </c>
      <c r="J27" s="3">
        <f t="shared" si="11"/>
        <v>9858.1812505957732</v>
      </c>
      <c r="K27" s="122">
        <f t="shared" si="3"/>
        <v>969.32211296444757</v>
      </c>
      <c r="L27" s="122">
        <f t="shared" si="8"/>
        <v>135.93967630329405</v>
      </c>
      <c r="M27" s="122">
        <f t="shared" si="4"/>
        <v>103722.5802908308</v>
      </c>
      <c r="N27" s="218">
        <f t="shared" si="5"/>
        <v>10.597284266839889</v>
      </c>
      <c r="O27">
        <f t="shared" si="6"/>
        <v>24</v>
      </c>
      <c r="Q27" t="str">
        <f t="shared" si="7"/>
        <v>[*]24[|]969[|]136[|]103723[|]254:20:05h</v>
      </c>
    </row>
    <row r="28" spans="1:17" x14ac:dyDescent="0.25">
      <c r="A28">
        <v>25</v>
      </c>
      <c r="B28" s="3">
        <f t="shared" si="9"/>
        <v>10587.911840678753</v>
      </c>
      <c r="C28" s="3">
        <f t="shared" si="9"/>
        <v>20146.641553239162</v>
      </c>
      <c r="D28" s="3">
        <f t="shared" si="9"/>
        <v>16503.085754142929</v>
      </c>
      <c r="E28" s="3">
        <f t="shared" si="10"/>
        <v>20435.990158448982</v>
      </c>
      <c r="F28" s="3">
        <f t="shared" si="10"/>
        <v>14097.516664021932</v>
      </c>
      <c r="G28" s="3">
        <f t="shared" si="10"/>
        <v>22138.989338319727</v>
      </c>
      <c r="H28" s="3">
        <f t="shared" si="11"/>
        <v>7693.5082829543308</v>
      </c>
      <c r="I28" s="3">
        <f t="shared" si="11"/>
        <v>6985.2255718507195</v>
      </c>
      <c r="J28" s="3">
        <f t="shared" si="11"/>
        <v>12224.144750738758</v>
      </c>
      <c r="K28" s="122">
        <f t="shared" si="3"/>
        <v>1127.4359973869825</v>
      </c>
      <c r="L28" s="122">
        <f t="shared" si="8"/>
        <v>158.11388442253497</v>
      </c>
      <c r="M28" s="122">
        <f t="shared" si="4"/>
        <v>130813.0139143953</v>
      </c>
      <c r="N28" s="218">
        <f t="shared" si="5"/>
        <v>11.490751885030337</v>
      </c>
      <c r="O28">
        <f t="shared" si="6"/>
        <v>25</v>
      </c>
      <c r="Q28" t="str">
        <f t="shared" si="7"/>
        <v>[*]25[|]1127[|]158[|]130813[|]275:46:41h</v>
      </c>
    </row>
    <row r="29" spans="1:17" x14ac:dyDescent="0.25">
      <c r="A29">
        <v>26</v>
      </c>
      <c r="B29" s="3">
        <f t="shared" si="9"/>
        <v>13234.889800848441</v>
      </c>
      <c r="C29" s="3">
        <f t="shared" si="9"/>
        <v>25586.234772613738</v>
      </c>
      <c r="D29" s="3">
        <f t="shared" si="9"/>
        <v>20661.863364186946</v>
      </c>
      <c r="E29" s="3">
        <f t="shared" si="10"/>
        <v>26055.887452022449</v>
      </c>
      <c r="F29" s="3">
        <f t="shared" si="10"/>
        <v>17833.358579987744</v>
      </c>
      <c r="G29" s="3">
        <f t="shared" si="10"/>
        <v>28227.211406357648</v>
      </c>
      <c r="H29" s="3">
        <f t="shared" si="11"/>
        <v>9578.4178122781432</v>
      </c>
      <c r="I29" s="3">
        <f t="shared" si="11"/>
        <v>8661.6797090948912</v>
      </c>
      <c r="J29" s="3">
        <f t="shared" si="11"/>
        <v>15157.93949091606</v>
      </c>
      <c r="K29" s="122">
        <f t="shared" si="3"/>
        <v>1311.3411024087525</v>
      </c>
      <c r="L29" s="122">
        <f t="shared" si="8"/>
        <v>183.90510502176994</v>
      </c>
      <c r="M29" s="122">
        <f t="shared" si="4"/>
        <v>164997.48238830606</v>
      </c>
      <c r="N29" s="218">
        <f t="shared" si="5"/>
        <v>12.460946636398756</v>
      </c>
      <c r="O29">
        <f t="shared" si="6"/>
        <v>26</v>
      </c>
      <c r="Q29" t="str">
        <f t="shared" si="7"/>
        <v>[*]26[|]1311[|]184[|]164997[|]299:03:46h</v>
      </c>
    </row>
    <row r="30" spans="1:17" x14ac:dyDescent="0.25">
      <c r="A30">
        <v>27</v>
      </c>
      <c r="B30" s="3">
        <f t="shared" si="9"/>
        <v>16543.612251060553</v>
      </c>
      <c r="C30" s="3">
        <f t="shared" si="9"/>
        <v>32494.518161219446</v>
      </c>
      <c r="D30" s="3">
        <f t="shared" si="9"/>
        <v>25868.652931962057</v>
      </c>
      <c r="E30" s="3">
        <f t="shared" si="10"/>
        <v>33221.256501328622</v>
      </c>
      <c r="F30" s="3">
        <f t="shared" si="10"/>
        <v>22559.198603684494</v>
      </c>
      <c r="G30" s="3">
        <f t="shared" si="10"/>
        <v>35989.694543106001</v>
      </c>
      <c r="H30" s="3">
        <f t="shared" si="11"/>
        <v>11925.130176286289</v>
      </c>
      <c r="I30" s="3">
        <f t="shared" si="11"/>
        <v>10740.482839277665</v>
      </c>
      <c r="J30" s="3">
        <f t="shared" si="11"/>
        <v>18795.844968735913</v>
      </c>
      <c r="K30" s="122">
        <f t="shared" si="3"/>
        <v>1525.2444403514635</v>
      </c>
      <c r="L30" s="122">
        <f t="shared" si="8"/>
        <v>213.903337942711</v>
      </c>
      <c r="M30" s="122">
        <f t="shared" si="4"/>
        <v>208138.39097666103</v>
      </c>
      <c r="N30" s="218">
        <f t="shared" si="5"/>
        <v>13.514566970250808</v>
      </c>
      <c r="O30">
        <f t="shared" si="6"/>
        <v>27</v>
      </c>
      <c r="Q30" t="str">
        <f t="shared" si="7"/>
        <v>[*]27[|]1525[|]214[|]208138[|]324:20:59h</v>
      </c>
    </row>
    <row r="31" spans="1:17" x14ac:dyDescent="0.25">
      <c r="A31">
        <v>28</v>
      </c>
      <c r="B31" s="3">
        <f t="shared" si="9"/>
        <v>20679.51531382569</v>
      </c>
      <c r="C31" s="3">
        <f t="shared" si="9"/>
        <v>41268.038064748696</v>
      </c>
      <c r="D31" s="3">
        <f t="shared" si="9"/>
        <v>32387.553470816496</v>
      </c>
      <c r="E31" s="3">
        <f t="shared" si="10"/>
        <v>42357.102039193989</v>
      </c>
      <c r="F31" s="3">
        <f t="shared" si="10"/>
        <v>28537.386233660884</v>
      </c>
      <c r="G31" s="3">
        <f t="shared" si="10"/>
        <v>45886.860542460148</v>
      </c>
      <c r="H31" s="3">
        <f t="shared" si="11"/>
        <v>14846.787069476431</v>
      </c>
      <c r="I31" s="3">
        <f t="shared" si="11"/>
        <v>13318.198720704306</v>
      </c>
      <c r="J31" s="3">
        <f t="shared" si="11"/>
        <v>23306.847761232533</v>
      </c>
      <c r="K31" s="122">
        <f t="shared" si="3"/>
        <v>1774.0392629727135</v>
      </c>
      <c r="L31" s="122">
        <f t="shared" si="8"/>
        <v>248.79482262124998</v>
      </c>
      <c r="M31" s="122">
        <f t="shared" si="4"/>
        <v>262588.28921611916</v>
      </c>
      <c r="N31" s="218">
        <f t="shared" si="5"/>
        <v>14.658904610720777</v>
      </c>
      <c r="O31">
        <f t="shared" si="6"/>
        <v>28</v>
      </c>
      <c r="Q31" t="str">
        <f t="shared" si="7"/>
        <v>[*]28[|]1774[|]249[|]262588[|]351:48:49h</v>
      </c>
    </row>
    <row r="32" spans="1:17" x14ac:dyDescent="0.25">
      <c r="A32">
        <v>29</v>
      </c>
      <c r="B32" s="3">
        <f t="shared" si="9"/>
        <v>25849.394142282112</v>
      </c>
      <c r="C32" s="3">
        <f t="shared" si="9"/>
        <v>52410.408342230847</v>
      </c>
      <c r="D32" s="3">
        <f t="shared" si="9"/>
        <v>40549.216945462256</v>
      </c>
      <c r="E32" s="3">
        <f t="shared" si="10"/>
        <v>54005.305099972335</v>
      </c>
      <c r="F32" s="3">
        <f t="shared" si="10"/>
        <v>36099.793585581014</v>
      </c>
      <c r="G32" s="3">
        <f t="shared" si="10"/>
        <v>58505.747191636685</v>
      </c>
      <c r="H32" s="3">
        <f t="shared" si="11"/>
        <v>18484.249901498159</v>
      </c>
      <c r="I32" s="3">
        <f t="shared" si="11"/>
        <v>16514.566413673339</v>
      </c>
      <c r="J32" s="3">
        <f t="shared" si="11"/>
        <v>28900.49122392834</v>
      </c>
      <c r="K32" s="122">
        <f t="shared" si="3"/>
        <v>2063.416999470297</v>
      </c>
      <c r="L32" s="122">
        <f t="shared" si="8"/>
        <v>289.37773649758356</v>
      </c>
      <c r="M32" s="122">
        <f t="shared" si="4"/>
        <v>331319.17284626508</v>
      </c>
      <c r="N32" s="218">
        <f t="shared" si="5"/>
        <v>15.901897755215781</v>
      </c>
      <c r="O32">
        <f t="shared" si="6"/>
        <v>29</v>
      </c>
      <c r="Q32" t="str">
        <f t="shared" si="7"/>
        <v>[*]29[|]2063[|]289[|]331319[|]381:38:44h</v>
      </c>
    </row>
    <row r="33" spans="1:17" x14ac:dyDescent="0.25">
      <c r="A33">
        <v>30</v>
      </c>
      <c r="B33" s="3">
        <f t="shared" si="9"/>
        <v>32311.742677852639</v>
      </c>
      <c r="C33" s="3">
        <f t="shared" si="9"/>
        <v>66561.218594633174</v>
      </c>
      <c r="D33" s="3">
        <f t="shared" si="9"/>
        <v>50767.619615718744</v>
      </c>
      <c r="E33" s="3">
        <f t="shared" si="10"/>
        <v>68856.764002464726</v>
      </c>
      <c r="F33" s="3">
        <f t="shared" si="10"/>
        <v>45666.23888575998</v>
      </c>
      <c r="G33" s="3">
        <f t="shared" si="10"/>
        <v>74594.827669336766</v>
      </c>
      <c r="H33" s="3">
        <f t="shared" si="11"/>
        <v>23012.891127365208</v>
      </c>
      <c r="I33" s="3">
        <f t="shared" si="11"/>
        <v>20478.062352954941</v>
      </c>
      <c r="J33" s="3">
        <f t="shared" si="11"/>
        <v>35836.609117671142</v>
      </c>
      <c r="K33" s="122">
        <f t="shared" si="3"/>
        <v>2399.9974535898937</v>
      </c>
      <c r="L33" s="122">
        <f t="shared" si="8"/>
        <v>336.58045411959665</v>
      </c>
      <c r="M33" s="122">
        <f t="shared" si="4"/>
        <v>418085.97404375731</v>
      </c>
      <c r="N33" s="218">
        <f t="shared" si="5"/>
        <v>17.252189093052102</v>
      </c>
      <c r="O33">
        <f t="shared" si="6"/>
        <v>30</v>
      </c>
      <c r="Q33" t="str">
        <f t="shared" si="7"/>
        <v>[*]30[|]2400[|]337[|]418086[|]414:03:09h</v>
      </c>
    </row>
    <row r="34" spans="1:17" x14ac:dyDescent="0.25">
      <c r="M34" s="61"/>
      <c r="Q34" t="s">
        <v>351</v>
      </c>
    </row>
  </sheetData>
  <mergeCells count="3">
    <mergeCell ref="B1:D1"/>
    <mergeCell ref="E1:G1"/>
    <mergeCell ref="H1:J1"/>
  </mergeCells>
  <pageMargins left="0.7" right="0.7" top="0.78740157499999996" bottom="0.78740157499999996"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dimension ref="A1:AM23"/>
  <sheetViews>
    <sheetView zoomScaleNormal="100" workbookViewId="0">
      <selection activeCell="M6" sqref="M6"/>
    </sheetView>
  </sheetViews>
  <sheetFormatPr baseColWidth="10" defaultRowHeight="15" x14ac:dyDescent="0.25"/>
  <cols>
    <col min="1" max="1" width="3.7109375" bestFit="1" customWidth="1"/>
    <col min="2" max="4" width="3.85546875" bestFit="1" customWidth="1"/>
    <col min="5" max="14" width="5" bestFit="1" customWidth="1"/>
    <col min="15" max="15" width="4.5703125" bestFit="1" customWidth="1"/>
    <col min="16" max="22" width="5" bestFit="1" customWidth="1"/>
    <col min="23" max="23" width="5" customWidth="1"/>
    <col min="24" max="24" width="9.5703125" bestFit="1" customWidth="1"/>
    <col min="25" max="25" width="14.42578125" bestFit="1" customWidth="1"/>
    <col min="26" max="26" width="4.85546875" customWidth="1"/>
    <col min="27" max="27" width="30.5703125" bestFit="1" customWidth="1"/>
    <col min="28" max="28" width="15.140625" customWidth="1"/>
    <col min="30" max="30" width="10.5703125" bestFit="1" customWidth="1"/>
    <col min="31" max="31" width="10.85546875" bestFit="1" customWidth="1"/>
    <col min="33" max="33" width="10.140625" bestFit="1" customWidth="1"/>
    <col min="34" max="34" width="10.85546875" bestFit="1" customWidth="1"/>
  </cols>
  <sheetData>
    <row r="1" spans="1:39" ht="15.75" thickBot="1" x14ac:dyDescent="0.3">
      <c r="D1" s="76"/>
      <c r="E1" s="455" t="s">
        <v>136</v>
      </c>
      <c r="F1" s="455"/>
      <c r="G1" s="455"/>
      <c r="H1" s="4">
        <v>1</v>
      </c>
      <c r="J1" s="455" t="s">
        <v>135</v>
      </c>
      <c r="K1" s="455"/>
      <c r="L1" s="455"/>
      <c r="M1" s="455"/>
      <c r="N1" s="455"/>
      <c r="O1" s="376">
        <f>IF(T1=AM3,VLOOKUP(H1,$AD$1:AE11,2,FALSE),IF(T1=AM2,VLOOKUP(H1,$AG$1:$AH$4,2,FALSE),VLOOKUP(H1,$AJ$1:$AK$2,2,FALSE)))</f>
        <v>2</v>
      </c>
      <c r="Q1" s="455" t="s">
        <v>128</v>
      </c>
      <c r="R1" s="455"/>
      <c r="S1" s="455"/>
      <c r="T1" s="478" t="s">
        <v>132</v>
      </c>
      <c r="U1" s="478"/>
      <c r="AD1" t="s">
        <v>129</v>
      </c>
      <c r="AE1" t="s">
        <v>111</v>
      </c>
      <c r="AG1" t="s">
        <v>130</v>
      </c>
      <c r="AH1" t="s">
        <v>111</v>
      </c>
      <c r="AJ1" t="s">
        <v>131</v>
      </c>
      <c r="AK1" t="s">
        <v>111</v>
      </c>
      <c r="AM1" t="s">
        <v>132</v>
      </c>
    </row>
    <row r="2" spans="1:39" ht="21.75" thickBot="1" x14ac:dyDescent="0.4">
      <c r="C2" s="479" t="s">
        <v>113</v>
      </c>
      <c r="D2" s="479"/>
      <c r="E2" s="479"/>
      <c r="F2" s="479"/>
      <c r="G2" s="479"/>
      <c r="H2" s="479"/>
      <c r="I2" s="479"/>
      <c r="J2" s="479"/>
      <c r="K2" s="479"/>
      <c r="L2" s="479"/>
      <c r="M2" s="479"/>
      <c r="N2" s="479"/>
      <c r="O2" s="479"/>
      <c r="P2" s="479"/>
      <c r="Q2" s="479"/>
      <c r="R2" s="479"/>
      <c r="S2" s="479"/>
      <c r="T2" s="479"/>
      <c r="U2" s="479"/>
      <c r="V2" s="479"/>
      <c r="W2" s="136"/>
      <c r="X2" s="476" t="s">
        <v>137</v>
      </c>
      <c r="Y2" s="474" t="s">
        <v>141</v>
      </c>
      <c r="Z2" s="136"/>
      <c r="AA2" s="480" t="s">
        <v>143</v>
      </c>
      <c r="AB2" s="481"/>
      <c r="AD2">
        <v>1</v>
      </c>
      <c r="AE2" s="77">
        <v>2</v>
      </c>
      <c r="AF2">
        <v>2</v>
      </c>
      <c r="AG2">
        <v>1</v>
      </c>
      <c r="AH2">
        <v>2</v>
      </c>
      <c r="AJ2">
        <v>1</v>
      </c>
      <c r="AK2">
        <v>2</v>
      </c>
      <c r="AM2" t="s">
        <v>133</v>
      </c>
    </row>
    <row r="3" spans="1:39" x14ac:dyDescent="0.25">
      <c r="A3" s="473" t="s">
        <v>112</v>
      </c>
      <c r="C3" s="61">
        <v>0.5</v>
      </c>
      <c r="D3" s="61">
        <v>1.5</v>
      </c>
      <c r="E3" s="61">
        <v>2.5</v>
      </c>
      <c r="F3" s="61">
        <v>3.5</v>
      </c>
      <c r="G3" s="61">
        <v>4.5</v>
      </c>
      <c r="H3" s="61">
        <v>5.5</v>
      </c>
      <c r="I3" s="61">
        <v>6.5</v>
      </c>
      <c r="J3" s="61">
        <v>7.5</v>
      </c>
      <c r="K3" s="61">
        <v>8.5</v>
      </c>
      <c r="L3" s="61">
        <v>9.5</v>
      </c>
      <c r="M3" s="61">
        <v>10.5</v>
      </c>
      <c r="N3" s="61">
        <v>11.5</v>
      </c>
      <c r="O3" s="61">
        <v>12.5</v>
      </c>
      <c r="P3" s="61">
        <v>13.5</v>
      </c>
      <c r="Q3" s="61">
        <v>14.5</v>
      </c>
      <c r="R3" s="61">
        <v>15.5</v>
      </c>
      <c r="S3" s="61">
        <v>16.5</v>
      </c>
      <c r="T3" s="61">
        <v>17.5</v>
      </c>
      <c r="U3" s="61">
        <v>18.5</v>
      </c>
      <c r="V3" s="61">
        <v>19.5</v>
      </c>
      <c r="W3" s="61"/>
      <c r="X3" s="477"/>
      <c r="Y3" s="475"/>
      <c r="AA3" s="100" t="s">
        <v>138</v>
      </c>
      <c r="AB3" s="140">
        <v>36</v>
      </c>
      <c r="AD3">
        <v>2</v>
      </c>
      <c r="AE3" s="77">
        <v>2.0922000000000001</v>
      </c>
      <c r="AF3">
        <v>2</v>
      </c>
      <c r="AG3">
        <v>2</v>
      </c>
      <c r="AH3">
        <v>2.5</v>
      </c>
      <c r="AM3" t="s">
        <v>134</v>
      </c>
    </row>
    <row r="4" spans="1:39" x14ac:dyDescent="0.25">
      <c r="A4" s="473"/>
      <c r="B4">
        <v>1</v>
      </c>
      <c r="C4" s="139">
        <f>ROUNDUP((C$3*$AE$14*(($AE$15)^$B4))/$O$1,0)</f>
        <v>3</v>
      </c>
      <c r="X4" s="81">
        <v>1</v>
      </c>
      <c r="Y4" s="82">
        <v>3</v>
      </c>
      <c r="AA4" s="81" t="s">
        <v>139</v>
      </c>
      <c r="AB4" s="141">
        <v>1</v>
      </c>
      <c r="AD4">
        <v>3</v>
      </c>
      <c r="AE4" s="77">
        <v>2.1886504200000001</v>
      </c>
      <c r="AF4">
        <v>2</v>
      </c>
      <c r="AG4">
        <v>3</v>
      </c>
      <c r="AH4">
        <v>3</v>
      </c>
    </row>
    <row r="5" spans="1:39" ht="15.75" thickBot="1" x14ac:dyDescent="0.3">
      <c r="A5" s="473"/>
      <c r="B5">
        <v>2</v>
      </c>
      <c r="C5" s="139">
        <f t="shared" ref="C5:R23" si="0">ROUNDUP((C$3*$AE$14*(($AE$15)^$B5))/$O$1,0)</f>
        <v>3</v>
      </c>
      <c r="D5">
        <f t="shared" si="0"/>
        <v>8</v>
      </c>
      <c r="X5" s="81">
        <v>2</v>
      </c>
      <c r="Y5" s="82">
        <v>3</v>
      </c>
      <c r="AA5" s="88" t="s">
        <v>140</v>
      </c>
      <c r="AB5" s="341">
        <f>AB3+AB4*AB3</f>
        <v>72</v>
      </c>
      <c r="AD5">
        <v>4</v>
      </c>
      <c r="AE5" s="77">
        <v>2.289547204362</v>
      </c>
      <c r="AF5">
        <v>2</v>
      </c>
    </row>
    <row r="6" spans="1:39" ht="15.75" thickBot="1" x14ac:dyDescent="0.3">
      <c r="A6" s="473"/>
      <c r="B6">
        <v>3</v>
      </c>
      <c r="C6">
        <f t="shared" si="0"/>
        <v>3</v>
      </c>
      <c r="D6" s="139">
        <f t="shared" si="0"/>
        <v>8</v>
      </c>
      <c r="E6">
        <f t="shared" si="0"/>
        <v>13</v>
      </c>
      <c r="X6" s="81">
        <v>3</v>
      </c>
      <c r="Y6" s="82">
        <v>8</v>
      </c>
      <c r="AD6">
        <v>5</v>
      </c>
      <c r="AE6" s="77">
        <v>2.3950953304830884</v>
      </c>
      <c r="AF6">
        <v>2</v>
      </c>
    </row>
    <row r="7" spans="1:39" ht="15.75" thickBot="1" x14ac:dyDescent="0.3">
      <c r="A7" s="473"/>
      <c r="B7">
        <v>4</v>
      </c>
      <c r="C7">
        <f t="shared" si="0"/>
        <v>3</v>
      </c>
      <c r="D7" s="139">
        <f t="shared" si="0"/>
        <v>9</v>
      </c>
      <c r="E7">
        <f t="shared" si="0"/>
        <v>15</v>
      </c>
      <c r="F7">
        <f t="shared" si="0"/>
        <v>20</v>
      </c>
      <c r="X7" s="81">
        <v>4</v>
      </c>
      <c r="Y7" s="82">
        <v>9</v>
      </c>
      <c r="AA7" s="422" t="s">
        <v>144</v>
      </c>
      <c r="AB7" s="424"/>
      <c r="AD7">
        <v>6</v>
      </c>
      <c r="AE7" s="77">
        <v>2.5055092252183591</v>
      </c>
      <c r="AF7">
        <v>3</v>
      </c>
    </row>
    <row r="8" spans="1:39" x14ac:dyDescent="0.25">
      <c r="A8" s="473"/>
      <c r="B8">
        <v>5</v>
      </c>
      <c r="C8">
        <f t="shared" si="0"/>
        <v>4</v>
      </c>
      <c r="D8">
        <f t="shared" si="0"/>
        <v>10</v>
      </c>
      <c r="E8" s="139">
        <f t="shared" si="0"/>
        <v>16</v>
      </c>
      <c r="F8">
        <f t="shared" si="0"/>
        <v>22</v>
      </c>
      <c r="G8">
        <f t="shared" si="0"/>
        <v>28</v>
      </c>
      <c r="X8" s="81">
        <v>5</v>
      </c>
      <c r="Y8" s="82">
        <v>16</v>
      </c>
      <c r="AA8" s="100" t="s">
        <v>138</v>
      </c>
      <c r="AB8" s="140">
        <v>600</v>
      </c>
      <c r="AD8">
        <v>7</v>
      </c>
      <c r="AE8" s="77">
        <v>2.6210132005009257</v>
      </c>
      <c r="AF8">
        <v>3</v>
      </c>
    </row>
    <row r="9" spans="1:39" x14ac:dyDescent="0.25">
      <c r="A9" s="473"/>
      <c r="B9">
        <v>6</v>
      </c>
      <c r="C9">
        <f t="shared" si="0"/>
        <v>4</v>
      </c>
      <c r="D9">
        <f t="shared" si="0"/>
        <v>11</v>
      </c>
      <c r="E9" s="139">
        <f t="shared" si="0"/>
        <v>17</v>
      </c>
      <c r="F9">
        <f t="shared" si="0"/>
        <v>24</v>
      </c>
      <c r="G9">
        <f t="shared" si="0"/>
        <v>31</v>
      </c>
      <c r="H9">
        <f t="shared" si="0"/>
        <v>37</v>
      </c>
      <c r="X9" s="81">
        <v>6</v>
      </c>
      <c r="Y9" s="82">
        <v>17</v>
      </c>
      <c r="AA9" s="81" t="s">
        <v>145</v>
      </c>
      <c r="AB9" s="141">
        <v>0.1</v>
      </c>
      <c r="AD9">
        <v>8</v>
      </c>
      <c r="AE9" s="77">
        <v>2.7418419090440183</v>
      </c>
      <c r="AF9">
        <v>3</v>
      </c>
    </row>
    <row r="10" spans="1:39" ht="15.75" thickBot="1" x14ac:dyDescent="0.3">
      <c r="A10" s="473"/>
      <c r="B10">
        <v>7</v>
      </c>
      <c r="C10">
        <f t="shared" si="0"/>
        <v>4</v>
      </c>
      <c r="D10">
        <f t="shared" si="0"/>
        <v>11</v>
      </c>
      <c r="E10">
        <f t="shared" si="0"/>
        <v>19</v>
      </c>
      <c r="F10" s="139">
        <f t="shared" si="0"/>
        <v>26</v>
      </c>
      <c r="G10">
        <f t="shared" si="0"/>
        <v>33</v>
      </c>
      <c r="H10">
        <f t="shared" si="0"/>
        <v>41</v>
      </c>
      <c r="I10">
        <f t="shared" si="0"/>
        <v>48</v>
      </c>
      <c r="X10" s="81">
        <v>7</v>
      </c>
      <c r="Y10" s="82">
        <v>26</v>
      </c>
      <c r="AA10" s="88" t="s">
        <v>140</v>
      </c>
      <c r="AB10" s="341">
        <f>AB9*AB8</f>
        <v>60</v>
      </c>
      <c r="AD10">
        <v>9</v>
      </c>
      <c r="AE10" s="77">
        <v>2.8682408210509478</v>
      </c>
      <c r="AF10">
        <v>3</v>
      </c>
    </row>
    <row r="11" spans="1:39" x14ac:dyDescent="0.25">
      <c r="A11" s="473"/>
      <c r="B11">
        <v>8</v>
      </c>
      <c r="C11">
        <f t="shared" si="0"/>
        <v>4</v>
      </c>
      <c r="D11">
        <f t="shared" si="0"/>
        <v>12</v>
      </c>
      <c r="E11">
        <f t="shared" si="0"/>
        <v>20</v>
      </c>
      <c r="F11" s="139">
        <f t="shared" si="0"/>
        <v>28</v>
      </c>
      <c r="G11">
        <f t="shared" si="0"/>
        <v>36</v>
      </c>
      <c r="H11">
        <f t="shared" si="0"/>
        <v>44</v>
      </c>
      <c r="I11">
        <f t="shared" si="0"/>
        <v>52</v>
      </c>
      <c r="J11">
        <f t="shared" si="0"/>
        <v>60</v>
      </c>
      <c r="X11" s="81">
        <v>8</v>
      </c>
      <c r="Y11" s="82">
        <v>28</v>
      </c>
      <c r="AD11">
        <v>10</v>
      </c>
      <c r="AE11" s="77">
        <v>3.0004667229013964</v>
      </c>
      <c r="AF11">
        <v>3</v>
      </c>
    </row>
    <row r="12" spans="1:39" x14ac:dyDescent="0.25">
      <c r="A12" s="473"/>
      <c r="B12">
        <v>9</v>
      </c>
      <c r="C12">
        <f t="shared" si="0"/>
        <v>5</v>
      </c>
      <c r="D12">
        <f t="shared" si="0"/>
        <v>14</v>
      </c>
      <c r="E12">
        <f t="shared" si="0"/>
        <v>22</v>
      </c>
      <c r="F12">
        <f t="shared" si="0"/>
        <v>31</v>
      </c>
      <c r="G12" s="139">
        <f t="shared" si="0"/>
        <v>40</v>
      </c>
      <c r="H12">
        <f t="shared" si="0"/>
        <v>48</v>
      </c>
      <c r="I12">
        <f t="shared" si="0"/>
        <v>57</v>
      </c>
      <c r="J12">
        <f t="shared" si="0"/>
        <v>66</v>
      </c>
      <c r="K12">
        <f t="shared" si="0"/>
        <v>74</v>
      </c>
      <c r="X12" s="81">
        <v>9</v>
      </c>
      <c r="Y12" s="82">
        <v>40</v>
      </c>
    </row>
    <row r="13" spans="1:39" x14ac:dyDescent="0.25">
      <c r="A13" s="473"/>
      <c r="B13">
        <v>10</v>
      </c>
      <c r="C13">
        <f t="shared" si="0"/>
        <v>5</v>
      </c>
      <c r="D13">
        <f t="shared" si="0"/>
        <v>15</v>
      </c>
      <c r="E13">
        <f t="shared" si="0"/>
        <v>24</v>
      </c>
      <c r="F13">
        <f t="shared" si="0"/>
        <v>34</v>
      </c>
      <c r="G13" s="139">
        <f t="shared" si="0"/>
        <v>43</v>
      </c>
      <c r="H13">
        <f t="shared" si="0"/>
        <v>53</v>
      </c>
      <c r="I13">
        <f t="shared" si="0"/>
        <v>62</v>
      </c>
      <c r="J13">
        <f t="shared" si="0"/>
        <v>72</v>
      </c>
      <c r="K13">
        <f t="shared" si="0"/>
        <v>81</v>
      </c>
      <c r="L13">
        <f t="shared" si="0"/>
        <v>90</v>
      </c>
      <c r="X13" s="81">
        <v>10</v>
      </c>
      <c r="Y13" s="82">
        <v>43</v>
      </c>
    </row>
    <row r="14" spans="1:39" x14ac:dyDescent="0.25">
      <c r="A14" s="473"/>
      <c r="B14">
        <v>11</v>
      </c>
      <c r="C14">
        <f t="shared" si="0"/>
        <v>6</v>
      </c>
      <c r="D14">
        <f t="shared" si="0"/>
        <v>16</v>
      </c>
      <c r="E14">
        <f t="shared" si="0"/>
        <v>26</v>
      </c>
      <c r="F14">
        <f t="shared" si="0"/>
        <v>37</v>
      </c>
      <c r="G14">
        <f t="shared" si="0"/>
        <v>47</v>
      </c>
      <c r="H14" s="139">
        <f t="shared" si="0"/>
        <v>57</v>
      </c>
      <c r="I14">
        <f t="shared" si="0"/>
        <v>68</v>
      </c>
      <c r="J14">
        <f t="shared" si="0"/>
        <v>78</v>
      </c>
      <c r="K14">
        <f t="shared" si="0"/>
        <v>88</v>
      </c>
      <c r="L14">
        <f t="shared" si="0"/>
        <v>99</v>
      </c>
      <c r="M14">
        <f t="shared" si="0"/>
        <v>109</v>
      </c>
      <c r="X14" s="81">
        <v>11</v>
      </c>
      <c r="Y14" s="82">
        <v>57</v>
      </c>
      <c r="AE14" s="77">
        <v>8</v>
      </c>
    </row>
    <row r="15" spans="1:39" x14ac:dyDescent="0.25">
      <c r="A15" s="473"/>
      <c r="B15">
        <v>12</v>
      </c>
      <c r="C15">
        <f t="shared" si="0"/>
        <v>6</v>
      </c>
      <c r="D15">
        <f t="shared" si="0"/>
        <v>17</v>
      </c>
      <c r="E15">
        <f t="shared" si="0"/>
        <v>29</v>
      </c>
      <c r="F15">
        <f t="shared" si="0"/>
        <v>40</v>
      </c>
      <c r="G15">
        <f t="shared" si="0"/>
        <v>51</v>
      </c>
      <c r="H15" s="139">
        <f t="shared" si="0"/>
        <v>62</v>
      </c>
      <c r="I15">
        <f t="shared" si="0"/>
        <v>74</v>
      </c>
      <c r="J15">
        <f t="shared" si="0"/>
        <v>85</v>
      </c>
      <c r="K15">
        <f t="shared" si="0"/>
        <v>96</v>
      </c>
      <c r="L15">
        <f t="shared" si="0"/>
        <v>107</v>
      </c>
      <c r="M15">
        <f t="shared" si="0"/>
        <v>119</v>
      </c>
      <c r="N15">
        <f t="shared" si="0"/>
        <v>130</v>
      </c>
      <c r="X15" s="81">
        <v>12</v>
      </c>
      <c r="Y15" s="82">
        <v>62</v>
      </c>
      <c r="AE15" s="112">
        <v>1.0900000000000001</v>
      </c>
    </row>
    <row r="16" spans="1:39" x14ac:dyDescent="0.25">
      <c r="A16" s="473"/>
      <c r="B16">
        <v>13</v>
      </c>
      <c r="C16">
        <f t="shared" si="0"/>
        <v>7</v>
      </c>
      <c r="D16">
        <f t="shared" si="0"/>
        <v>19</v>
      </c>
      <c r="E16">
        <f t="shared" si="0"/>
        <v>31</v>
      </c>
      <c r="F16">
        <f t="shared" si="0"/>
        <v>43</v>
      </c>
      <c r="G16">
        <f t="shared" si="0"/>
        <v>56</v>
      </c>
      <c r="H16">
        <f t="shared" si="0"/>
        <v>68</v>
      </c>
      <c r="I16" s="139">
        <f t="shared" si="0"/>
        <v>80</v>
      </c>
      <c r="J16">
        <f t="shared" si="0"/>
        <v>92</v>
      </c>
      <c r="K16">
        <f t="shared" si="0"/>
        <v>105</v>
      </c>
      <c r="L16">
        <f t="shared" si="0"/>
        <v>117</v>
      </c>
      <c r="M16">
        <f t="shared" si="0"/>
        <v>129</v>
      </c>
      <c r="N16">
        <f t="shared" si="0"/>
        <v>142</v>
      </c>
      <c r="O16">
        <f t="shared" si="0"/>
        <v>154</v>
      </c>
      <c r="X16" s="81">
        <v>13</v>
      </c>
      <c r="Y16" s="82">
        <v>80</v>
      </c>
    </row>
    <row r="17" spans="1:25" x14ac:dyDescent="0.25">
      <c r="A17" s="473"/>
      <c r="B17">
        <v>14</v>
      </c>
      <c r="C17">
        <f t="shared" si="0"/>
        <v>7</v>
      </c>
      <c r="D17">
        <f t="shared" si="0"/>
        <v>21</v>
      </c>
      <c r="E17">
        <f t="shared" si="0"/>
        <v>34</v>
      </c>
      <c r="F17">
        <f t="shared" si="0"/>
        <v>47</v>
      </c>
      <c r="G17">
        <f t="shared" si="0"/>
        <v>61</v>
      </c>
      <c r="H17">
        <f t="shared" si="0"/>
        <v>74</v>
      </c>
      <c r="I17" s="139">
        <f t="shared" si="0"/>
        <v>87</v>
      </c>
      <c r="J17">
        <f t="shared" si="0"/>
        <v>101</v>
      </c>
      <c r="K17">
        <f t="shared" si="0"/>
        <v>114</v>
      </c>
      <c r="L17">
        <f t="shared" si="0"/>
        <v>127</v>
      </c>
      <c r="M17">
        <f t="shared" si="0"/>
        <v>141</v>
      </c>
      <c r="N17">
        <f t="shared" si="0"/>
        <v>154</v>
      </c>
      <c r="O17">
        <f t="shared" si="0"/>
        <v>168</v>
      </c>
      <c r="P17">
        <f t="shared" si="0"/>
        <v>181</v>
      </c>
      <c r="X17" s="81">
        <v>14</v>
      </c>
      <c r="Y17" s="82">
        <v>87</v>
      </c>
    </row>
    <row r="18" spans="1:25" x14ac:dyDescent="0.25">
      <c r="A18" s="473"/>
      <c r="B18">
        <v>15</v>
      </c>
      <c r="C18">
        <f t="shared" si="0"/>
        <v>8</v>
      </c>
      <c r="D18">
        <f t="shared" si="0"/>
        <v>22</v>
      </c>
      <c r="E18">
        <f t="shared" si="0"/>
        <v>37</v>
      </c>
      <c r="F18">
        <f t="shared" si="0"/>
        <v>51</v>
      </c>
      <c r="G18">
        <f t="shared" si="0"/>
        <v>66</v>
      </c>
      <c r="H18">
        <f t="shared" si="0"/>
        <v>81</v>
      </c>
      <c r="I18">
        <f t="shared" si="0"/>
        <v>95</v>
      </c>
      <c r="J18" s="139">
        <f t="shared" si="0"/>
        <v>110</v>
      </c>
      <c r="K18">
        <f t="shared" si="0"/>
        <v>124</v>
      </c>
      <c r="L18">
        <f t="shared" si="0"/>
        <v>139</v>
      </c>
      <c r="M18">
        <f t="shared" si="0"/>
        <v>153</v>
      </c>
      <c r="N18">
        <f t="shared" si="0"/>
        <v>168</v>
      </c>
      <c r="O18">
        <f t="shared" si="0"/>
        <v>183</v>
      </c>
      <c r="P18">
        <f t="shared" si="0"/>
        <v>197</v>
      </c>
      <c r="Q18">
        <f t="shared" si="0"/>
        <v>212</v>
      </c>
      <c r="X18" s="81">
        <v>15</v>
      </c>
      <c r="Y18" s="82">
        <v>110</v>
      </c>
    </row>
    <row r="19" spans="1:25" x14ac:dyDescent="0.25">
      <c r="A19" s="473"/>
      <c r="B19">
        <v>16</v>
      </c>
      <c r="C19">
        <f t="shared" si="0"/>
        <v>8</v>
      </c>
      <c r="D19">
        <f t="shared" si="0"/>
        <v>24</v>
      </c>
      <c r="E19">
        <f t="shared" si="0"/>
        <v>40</v>
      </c>
      <c r="F19">
        <f t="shared" si="0"/>
        <v>56</v>
      </c>
      <c r="G19">
        <f t="shared" si="0"/>
        <v>72</v>
      </c>
      <c r="H19">
        <f t="shared" si="0"/>
        <v>88</v>
      </c>
      <c r="I19">
        <f t="shared" si="0"/>
        <v>104</v>
      </c>
      <c r="J19" s="139">
        <f t="shared" si="0"/>
        <v>120</v>
      </c>
      <c r="K19">
        <f t="shared" si="0"/>
        <v>135</v>
      </c>
      <c r="L19">
        <f t="shared" si="0"/>
        <v>151</v>
      </c>
      <c r="M19">
        <f t="shared" si="0"/>
        <v>167</v>
      </c>
      <c r="N19">
        <f t="shared" si="0"/>
        <v>183</v>
      </c>
      <c r="O19">
        <f t="shared" si="0"/>
        <v>199</v>
      </c>
      <c r="P19">
        <f t="shared" si="0"/>
        <v>215</v>
      </c>
      <c r="Q19">
        <f t="shared" si="0"/>
        <v>231</v>
      </c>
      <c r="R19">
        <f t="shared" si="0"/>
        <v>247</v>
      </c>
      <c r="X19" s="81">
        <v>16</v>
      </c>
      <c r="Y19" s="82">
        <v>120</v>
      </c>
    </row>
    <row r="20" spans="1:25" x14ac:dyDescent="0.25">
      <c r="A20" s="473"/>
      <c r="B20">
        <v>17</v>
      </c>
      <c r="C20">
        <f t="shared" si="0"/>
        <v>9</v>
      </c>
      <c r="D20">
        <f t="shared" si="0"/>
        <v>26</v>
      </c>
      <c r="E20">
        <f t="shared" si="0"/>
        <v>44</v>
      </c>
      <c r="F20">
        <f t="shared" si="0"/>
        <v>61</v>
      </c>
      <c r="G20">
        <f t="shared" si="0"/>
        <v>78</v>
      </c>
      <c r="H20">
        <f t="shared" si="0"/>
        <v>96</v>
      </c>
      <c r="I20">
        <f t="shared" si="0"/>
        <v>113</v>
      </c>
      <c r="J20">
        <f t="shared" si="0"/>
        <v>130</v>
      </c>
      <c r="K20" s="139">
        <f t="shared" si="0"/>
        <v>148</v>
      </c>
      <c r="L20">
        <f t="shared" si="0"/>
        <v>165</v>
      </c>
      <c r="M20">
        <f t="shared" si="0"/>
        <v>182</v>
      </c>
      <c r="N20">
        <f t="shared" si="0"/>
        <v>200</v>
      </c>
      <c r="O20">
        <f t="shared" si="0"/>
        <v>217</v>
      </c>
      <c r="P20">
        <f t="shared" si="0"/>
        <v>234</v>
      </c>
      <c r="Q20">
        <f t="shared" si="0"/>
        <v>252</v>
      </c>
      <c r="R20">
        <f t="shared" si="0"/>
        <v>269</v>
      </c>
      <c r="S20">
        <f t="shared" ref="S20:V23" si="1">ROUNDUP((S$3*$AE$14*(($AE$15)^$B20))/$O$1,0)</f>
        <v>286</v>
      </c>
      <c r="X20" s="81">
        <v>17</v>
      </c>
      <c r="Y20" s="82">
        <v>148</v>
      </c>
    </row>
    <row r="21" spans="1:25" x14ac:dyDescent="0.25">
      <c r="A21" s="473"/>
      <c r="B21">
        <v>18</v>
      </c>
      <c r="C21">
        <f t="shared" si="0"/>
        <v>10</v>
      </c>
      <c r="D21">
        <f t="shared" si="0"/>
        <v>29</v>
      </c>
      <c r="E21">
        <f t="shared" si="0"/>
        <v>48</v>
      </c>
      <c r="F21">
        <f t="shared" si="0"/>
        <v>67</v>
      </c>
      <c r="G21">
        <f t="shared" si="0"/>
        <v>85</v>
      </c>
      <c r="H21">
        <f t="shared" si="0"/>
        <v>104</v>
      </c>
      <c r="I21">
        <f t="shared" si="0"/>
        <v>123</v>
      </c>
      <c r="J21">
        <f t="shared" si="0"/>
        <v>142</v>
      </c>
      <c r="K21" s="139">
        <f t="shared" si="0"/>
        <v>161</v>
      </c>
      <c r="L21">
        <f t="shared" si="0"/>
        <v>180</v>
      </c>
      <c r="M21">
        <f t="shared" si="0"/>
        <v>199</v>
      </c>
      <c r="N21">
        <f t="shared" si="0"/>
        <v>217</v>
      </c>
      <c r="O21">
        <f t="shared" si="0"/>
        <v>236</v>
      </c>
      <c r="P21">
        <f t="shared" si="0"/>
        <v>255</v>
      </c>
      <c r="Q21">
        <f t="shared" si="0"/>
        <v>274</v>
      </c>
      <c r="R21">
        <f t="shared" si="0"/>
        <v>293</v>
      </c>
      <c r="S21">
        <f t="shared" si="1"/>
        <v>312</v>
      </c>
      <c r="T21">
        <f t="shared" si="1"/>
        <v>331</v>
      </c>
      <c r="X21" s="81">
        <v>18</v>
      </c>
      <c r="Y21" s="82">
        <v>161</v>
      </c>
    </row>
    <row r="22" spans="1:25" x14ac:dyDescent="0.25">
      <c r="A22" s="473"/>
      <c r="B22">
        <v>19</v>
      </c>
      <c r="C22">
        <f t="shared" si="0"/>
        <v>11</v>
      </c>
      <c r="D22">
        <f t="shared" si="0"/>
        <v>31</v>
      </c>
      <c r="E22">
        <f t="shared" si="0"/>
        <v>52</v>
      </c>
      <c r="F22">
        <f t="shared" si="0"/>
        <v>72</v>
      </c>
      <c r="G22">
        <f t="shared" si="0"/>
        <v>93</v>
      </c>
      <c r="H22">
        <f t="shared" si="0"/>
        <v>114</v>
      </c>
      <c r="I22">
        <f t="shared" si="0"/>
        <v>134</v>
      </c>
      <c r="J22">
        <f t="shared" si="0"/>
        <v>155</v>
      </c>
      <c r="K22">
        <f t="shared" si="0"/>
        <v>175</v>
      </c>
      <c r="L22" s="139">
        <f t="shared" si="0"/>
        <v>196</v>
      </c>
      <c r="M22">
        <f t="shared" si="0"/>
        <v>216</v>
      </c>
      <c r="N22">
        <f t="shared" si="0"/>
        <v>237</v>
      </c>
      <c r="O22">
        <f t="shared" si="0"/>
        <v>258</v>
      </c>
      <c r="P22">
        <f t="shared" si="0"/>
        <v>278</v>
      </c>
      <c r="Q22">
        <f t="shared" si="0"/>
        <v>299</v>
      </c>
      <c r="R22">
        <f t="shared" si="0"/>
        <v>319</v>
      </c>
      <c r="S22">
        <f t="shared" si="1"/>
        <v>340</v>
      </c>
      <c r="T22">
        <f t="shared" si="1"/>
        <v>360</v>
      </c>
      <c r="U22">
        <f t="shared" si="1"/>
        <v>381</v>
      </c>
      <c r="X22" s="81">
        <v>19</v>
      </c>
      <c r="Y22" s="82">
        <v>196</v>
      </c>
    </row>
    <row r="23" spans="1:25" ht="15.75" thickBot="1" x14ac:dyDescent="0.3">
      <c r="A23" s="473"/>
      <c r="B23">
        <v>20</v>
      </c>
      <c r="C23">
        <f t="shared" si="0"/>
        <v>12</v>
      </c>
      <c r="D23">
        <f t="shared" si="0"/>
        <v>34</v>
      </c>
      <c r="E23">
        <f t="shared" si="0"/>
        <v>57</v>
      </c>
      <c r="F23">
        <f t="shared" si="0"/>
        <v>79</v>
      </c>
      <c r="G23">
        <f t="shared" si="0"/>
        <v>101</v>
      </c>
      <c r="H23">
        <f t="shared" si="0"/>
        <v>124</v>
      </c>
      <c r="I23">
        <f t="shared" si="0"/>
        <v>146</v>
      </c>
      <c r="J23">
        <f t="shared" si="0"/>
        <v>169</v>
      </c>
      <c r="K23">
        <f t="shared" si="0"/>
        <v>191</v>
      </c>
      <c r="L23" s="139">
        <f t="shared" si="0"/>
        <v>213</v>
      </c>
      <c r="M23">
        <f t="shared" si="0"/>
        <v>236</v>
      </c>
      <c r="N23">
        <f t="shared" si="0"/>
        <v>258</v>
      </c>
      <c r="O23">
        <f t="shared" si="0"/>
        <v>281</v>
      </c>
      <c r="P23">
        <f t="shared" si="0"/>
        <v>303</v>
      </c>
      <c r="Q23">
        <f t="shared" si="0"/>
        <v>326</v>
      </c>
      <c r="R23">
        <f t="shared" si="0"/>
        <v>348</v>
      </c>
      <c r="S23">
        <f t="shared" si="1"/>
        <v>370</v>
      </c>
      <c r="T23">
        <f t="shared" si="1"/>
        <v>393</v>
      </c>
      <c r="U23">
        <f t="shared" si="1"/>
        <v>415</v>
      </c>
      <c r="V23">
        <f t="shared" si="1"/>
        <v>438</v>
      </c>
      <c r="X23" s="88">
        <v>20</v>
      </c>
      <c r="Y23" s="89">
        <v>213</v>
      </c>
    </row>
  </sheetData>
  <mergeCells count="10">
    <mergeCell ref="AA7:AB7"/>
    <mergeCell ref="A3:A23"/>
    <mergeCell ref="Y2:Y3"/>
    <mergeCell ref="X2:X3"/>
    <mergeCell ref="E1:G1"/>
    <mergeCell ref="J1:N1"/>
    <mergeCell ref="T1:U1"/>
    <mergeCell ref="C2:V2"/>
    <mergeCell ref="AA2:AB2"/>
    <mergeCell ref="Q1:S1"/>
  </mergeCells>
  <dataValidations count="1">
    <dataValidation type="list" allowBlank="1" showInputMessage="1" showErrorMessage="1" sqref="T1">
      <formula1>$AM$1:$AM$3</formula1>
    </dataValidation>
  </dataValidations>
  <pageMargins left="0.7" right="0.7" top="0.78740157499999996" bottom="0.78740157499999996"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AR33"/>
  <sheetViews>
    <sheetView zoomScaleNormal="100" workbookViewId="0">
      <selection activeCell="C8" sqref="C8:C13"/>
    </sheetView>
  </sheetViews>
  <sheetFormatPr baseColWidth="10" defaultRowHeight="15" x14ac:dyDescent="0.25"/>
  <cols>
    <col min="1" max="1" width="3.7109375" bestFit="1" customWidth="1"/>
    <col min="2" max="4" width="3" bestFit="1" customWidth="1"/>
    <col min="5" max="19" width="4" bestFit="1" customWidth="1"/>
    <col min="20" max="20" width="4.28515625" customWidth="1"/>
    <col min="21" max="27" width="4" bestFit="1" customWidth="1"/>
    <col min="28" max="32" width="5" bestFit="1" customWidth="1"/>
    <col min="33" max="33" width="6.28515625" customWidth="1"/>
    <col min="34" max="34" width="6.140625" customWidth="1"/>
    <col min="35" max="35" width="10.5703125" bestFit="1" customWidth="1"/>
    <col min="36" max="36" width="10.85546875" bestFit="1" customWidth="1"/>
    <col min="38" max="38" width="10.140625" bestFit="1" customWidth="1"/>
    <col min="39" max="39" width="10.85546875" bestFit="1" customWidth="1"/>
  </cols>
  <sheetData>
    <row r="1" spans="1:44" x14ac:dyDescent="0.25">
      <c r="D1" s="76"/>
      <c r="E1" s="455" t="s">
        <v>114</v>
      </c>
      <c r="F1" s="455"/>
      <c r="G1" s="455"/>
      <c r="H1" s="4">
        <v>1</v>
      </c>
      <c r="L1" s="455" t="s">
        <v>207</v>
      </c>
      <c r="M1" s="455"/>
      <c r="N1" s="455"/>
      <c r="O1" s="455"/>
      <c r="P1" s="455"/>
      <c r="Q1" s="10">
        <f>IF(W1=AR3,VLOOKUP(H1,$AI$1:AJ11,2,FALSE),IF(W1=AR2,VLOOKUP(H1,$AL$1:$AM$4,2,FALSE),VLOOKUP(H1,$AO$1:$AP$2,2,FALSE)))</f>
        <v>100</v>
      </c>
      <c r="T1" t="s">
        <v>128</v>
      </c>
      <c r="W1" s="478" t="s">
        <v>132</v>
      </c>
      <c r="X1" s="478"/>
      <c r="AI1" t="s">
        <v>129</v>
      </c>
      <c r="AJ1" t="s">
        <v>111</v>
      </c>
      <c r="AL1" t="s">
        <v>130</v>
      </c>
      <c r="AM1" t="s">
        <v>111</v>
      </c>
      <c r="AO1" t="s">
        <v>131</v>
      </c>
      <c r="AP1" t="s">
        <v>111</v>
      </c>
      <c r="AR1" t="s">
        <v>132</v>
      </c>
    </row>
    <row r="2" spans="1:44" ht="21" x14ac:dyDescent="0.35">
      <c r="C2" s="479" t="s">
        <v>113</v>
      </c>
      <c r="D2" s="479"/>
      <c r="E2" s="479"/>
      <c r="F2" s="479"/>
      <c r="G2" s="479"/>
      <c r="H2" s="479"/>
      <c r="I2" s="479"/>
      <c r="J2" s="479"/>
      <c r="K2" s="479"/>
      <c r="L2" s="479"/>
      <c r="M2" s="479"/>
      <c r="N2" s="479"/>
      <c r="O2" s="479"/>
      <c r="P2" s="479"/>
      <c r="Q2" s="479"/>
      <c r="R2" s="479"/>
      <c r="S2" s="479"/>
      <c r="T2" s="479"/>
      <c r="U2" s="479"/>
      <c r="V2" s="479"/>
      <c r="W2" s="479"/>
      <c r="X2" s="479"/>
      <c r="Y2" s="479"/>
      <c r="Z2" s="479"/>
      <c r="AA2" s="479"/>
      <c r="AB2" s="479"/>
      <c r="AC2" s="479"/>
      <c r="AD2" s="479"/>
      <c r="AE2" s="479"/>
      <c r="AF2" s="479"/>
      <c r="AG2" s="294"/>
      <c r="AI2">
        <v>1</v>
      </c>
      <c r="AJ2">
        <v>100</v>
      </c>
      <c r="AL2">
        <v>1</v>
      </c>
      <c r="AM2">
        <v>100</v>
      </c>
      <c r="AO2">
        <v>1</v>
      </c>
      <c r="AP2">
        <v>100</v>
      </c>
      <c r="AR2" t="s">
        <v>133</v>
      </c>
    </row>
    <row r="3" spans="1:44" x14ac:dyDescent="0.25">
      <c r="A3" s="473" t="s">
        <v>112</v>
      </c>
      <c r="C3" s="296">
        <v>0.5</v>
      </c>
      <c r="D3" s="296">
        <v>1.5</v>
      </c>
      <c r="E3" s="296">
        <v>2.5</v>
      </c>
      <c r="F3" s="296">
        <v>3.5</v>
      </c>
      <c r="G3" s="296">
        <v>4.5</v>
      </c>
      <c r="H3" s="296">
        <v>5.5</v>
      </c>
      <c r="I3" s="296">
        <v>6.5</v>
      </c>
      <c r="J3" s="296">
        <v>7.5</v>
      </c>
      <c r="K3" s="296">
        <v>8.5</v>
      </c>
      <c r="L3" s="296">
        <v>9.5</v>
      </c>
      <c r="M3" s="296">
        <v>10.5</v>
      </c>
      <c r="N3" s="296">
        <v>11.5</v>
      </c>
      <c r="O3" s="296">
        <v>12.5</v>
      </c>
      <c r="P3" s="296">
        <v>13.5</v>
      </c>
      <c r="Q3" s="296">
        <v>14.5</v>
      </c>
      <c r="R3" s="296">
        <v>15.5</v>
      </c>
      <c r="S3" s="296">
        <v>16.5</v>
      </c>
      <c r="T3" s="296">
        <v>17.5</v>
      </c>
      <c r="U3" s="296">
        <v>18.5</v>
      </c>
      <c r="V3" s="296">
        <v>19.5</v>
      </c>
      <c r="W3" s="296">
        <v>20.5</v>
      </c>
      <c r="X3" s="296">
        <v>21.5</v>
      </c>
      <c r="Y3" s="296">
        <v>22.5</v>
      </c>
      <c r="Z3" s="296">
        <v>23.5</v>
      </c>
      <c r="AA3" s="296">
        <v>24.5</v>
      </c>
      <c r="AB3" s="296">
        <v>25.5</v>
      </c>
      <c r="AC3" s="296">
        <v>26.5</v>
      </c>
      <c r="AD3" s="296">
        <v>27.5</v>
      </c>
      <c r="AE3" s="296">
        <v>28.5</v>
      </c>
      <c r="AF3" s="296">
        <v>29.5</v>
      </c>
      <c r="AG3" s="296"/>
      <c r="AI3">
        <v>2</v>
      </c>
      <c r="AJ3">
        <v>105</v>
      </c>
      <c r="AL3">
        <v>2</v>
      </c>
      <c r="AM3">
        <v>125</v>
      </c>
      <c r="AR3" t="s">
        <v>134</v>
      </c>
    </row>
    <row r="4" spans="1:44" x14ac:dyDescent="0.25">
      <c r="A4" s="473"/>
      <c r="B4" s="139">
        <v>1</v>
      </c>
      <c r="C4">
        <f>ROUNDUP((C$3*300*((1.09)^$B4))/$Q$1,0)</f>
        <v>2</v>
      </c>
      <c r="AI4">
        <v>3</v>
      </c>
      <c r="AJ4">
        <v>109</v>
      </c>
      <c r="AL4">
        <v>3</v>
      </c>
      <c r="AM4">
        <v>140</v>
      </c>
    </row>
    <row r="5" spans="1:44" x14ac:dyDescent="0.25">
      <c r="A5" s="473"/>
      <c r="B5" s="139">
        <v>2</v>
      </c>
      <c r="C5">
        <f t="shared" ref="C5:D33" si="0">ROUNDUP((C$3*300*((1.09)^$B5))/$Q$1,0)</f>
        <v>2</v>
      </c>
      <c r="D5">
        <f t="shared" si="0"/>
        <v>6</v>
      </c>
      <c r="AI5">
        <v>4</v>
      </c>
      <c r="AJ5">
        <v>114</v>
      </c>
    </row>
    <row r="6" spans="1:44" x14ac:dyDescent="0.25">
      <c r="A6" s="473"/>
      <c r="B6" s="139">
        <v>3</v>
      </c>
      <c r="C6">
        <f t="shared" si="0"/>
        <v>2</v>
      </c>
      <c r="D6">
        <f t="shared" ref="D6:L13" si="1">ROUNDUP((D$3*300*((1.09)^$B6))/$Q$1,0)</f>
        <v>6</v>
      </c>
      <c r="E6">
        <f t="shared" si="1"/>
        <v>10</v>
      </c>
      <c r="AI6">
        <v>5</v>
      </c>
      <c r="AJ6">
        <v>120</v>
      </c>
    </row>
    <row r="7" spans="1:44" x14ac:dyDescent="0.25">
      <c r="A7" s="473"/>
      <c r="B7" s="139">
        <v>4</v>
      </c>
      <c r="C7">
        <f t="shared" si="0"/>
        <v>3</v>
      </c>
      <c r="D7">
        <f t="shared" si="1"/>
        <v>7</v>
      </c>
      <c r="E7">
        <f t="shared" si="1"/>
        <v>11</v>
      </c>
      <c r="F7">
        <f t="shared" si="1"/>
        <v>15</v>
      </c>
      <c r="AI7">
        <v>6</v>
      </c>
      <c r="AJ7">
        <v>125</v>
      </c>
    </row>
    <row r="8" spans="1:44" x14ac:dyDescent="0.25">
      <c r="A8" s="473"/>
      <c r="B8" s="139">
        <v>5</v>
      </c>
      <c r="C8">
        <f t="shared" si="0"/>
        <v>3</v>
      </c>
      <c r="D8">
        <f t="shared" si="1"/>
        <v>7</v>
      </c>
      <c r="E8">
        <f t="shared" si="1"/>
        <v>12</v>
      </c>
      <c r="F8">
        <f t="shared" si="1"/>
        <v>17</v>
      </c>
      <c r="G8">
        <f t="shared" si="1"/>
        <v>21</v>
      </c>
      <c r="AI8">
        <v>7</v>
      </c>
      <c r="AJ8">
        <v>131</v>
      </c>
    </row>
    <row r="9" spans="1:44" x14ac:dyDescent="0.25">
      <c r="A9" s="473"/>
      <c r="B9" s="139">
        <v>6</v>
      </c>
      <c r="C9">
        <f t="shared" si="0"/>
        <v>3</v>
      </c>
      <c r="D9">
        <f t="shared" si="1"/>
        <v>8</v>
      </c>
      <c r="E9">
        <f t="shared" si="1"/>
        <v>13</v>
      </c>
      <c r="F9">
        <f t="shared" si="1"/>
        <v>18</v>
      </c>
      <c r="G9">
        <f t="shared" si="1"/>
        <v>23</v>
      </c>
      <c r="H9">
        <f t="shared" si="1"/>
        <v>28</v>
      </c>
      <c r="AI9">
        <v>8</v>
      </c>
      <c r="AJ9">
        <v>137</v>
      </c>
    </row>
    <row r="10" spans="1:44" x14ac:dyDescent="0.25">
      <c r="A10" s="473"/>
      <c r="B10" s="139">
        <v>7</v>
      </c>
      <c r="C10">
        <f t="shared" si="0"/>
        <v>3</v>
      </c>
      <c r="D10">
        <f t="shared" si="1"/>
        <v>9</v>
      </c>
      <c r="E10">
        <f t="shared" si="1"/>
        <v>14</v>
      </c>
      <c r="F10">
        <f t="shared" si="1"/>
        <v>20</v>
      </c>
      <c r="G10">
        <f t="shared" si="1"/>
        <v>25</v>
      </c>
      <c r="H10">
        <f t="shared" si="1"/>
        <v>31</v>
      </c>
      <c r="I10">
        <f t="shared" si="1"/>
        <v>36</v>
      </c>
      <c r="AI10">
        <v>9</v>
      </c>
      <c r="AJ10">
        <v>143</v>
      </c>
    </row>
    <row r="11" spans="1:44" x14ac:dyDescent="0.25">
      <c r="A11" s="473"/>
      <c r="B11" s="139">
        <v>8</v>
      </c>
      <c r="C11">
        <f t="shared" si="0"/>
        <v>3</v>
      </c>
      <c r="D11">
        <f t="shared" si="1"/>
        <v>9</v>
      </c>
      <c r="E11">
        <f t="shared" si="1"/>
        <v>15</v>
      </c>
      <c r="F11">
        <f t="shared" si="1"/>
        <v>21</v>
      </c>
      <c r="G11">
        <f t="shared" si="1"/>
        <v>27</v>
      </c>
      <c r="H11">
        <f t="shared" si="1"/>
        <v>33</v>
      </c>
      <c r="I11">
        <f t="shared" si="1"/>
        <v>39</v>
      </c>
      <c r="J11">
        <f t="shared" si="1"/>
        <v>45</v>
      </c>
      <c r="AI11">
        <v>10</v>
      </c>
      <c r="AJ11">
        <v>150</v>
      </c>
    </row>
    <row r="12" spans="1:44" x14ac:dyDescent="0.25">
      <c r="A12" s="473"/>
      <c r="B12" s="139">
        <v>9</v>
      </c>
      <c r="C12">
        <f t="shared" si="0"/>
        <v>4</v>
      </c>
      <c r="D12">
        <f t="shared" si="1"/>
        <v>10</v>
      </c>
      <c r="E12">
        <f t="shared" si="1"/>
        <v>17</v>
      </c>
      <c r="F12">
        <f t="shared" si="1"/>
        <v>23</v>
      </c>
      <c r="G12">
        <f t="shared" si="1"/>
        <v>30</v>
      </c>
      <c r="H12">
        <f t="shared" si="1"/>
        <v>36</v>
      </c>
      <c r="I12">
        <f t="shared" si="1"/>
        <v>43</v>
      </c>
      <c r="J12">
        <f t="shared" si="1"/>
        <v>49</v>
      </c>
      <c r="K12">
        <f t="shared" si="1"/>
        <v>56</v>
      </c>
    </row>
    <row r="13" spans="1:44" x14ac:dyDescent="0.25">
      <c r="A13" s="473"/>
      <c r="B13" s="139">
        <v>10</v>
      </c>
      <c r="C13">
        <f t="shared" si="0"/>
        <v>4</v>
      </c>
      <c r="D13">
        <f t="shared" si="1"/>
        <v>11</v>
      </c>
      <c r="E13">
        <f t="shared" si="1"/>
        <v>18</v>
      </c>
      <c r="F13">
        <f t="shared" si="1"/>
        <v>25</v>
      </c>
      <c r="G13">
        <f t="shared" si="1"/>
        <v>32</v>
      </c>
      <c r="H13">
        <f t="shared" si="1"/>
        <v>40</v>
      </c>
      <c r="I13">
        <f t="shared" si="1"/>
        <v>47</v>
      </c>
      <c r="J13">
        <f t="shared" si="1"/>
        <v>54</v>
      </c>
      <c r="K13">
        <f t="shared" si="1"/>
        <v>61</v>
      </c>
      <c r="L13">
        <f t="shared" si="1"/>
        <v>68</v>
      </c>
    </row>
    <row r="14" spans="1:44" x14ac:dyDescent="0.25">
      <c r="A14" s="473"/>
      <c r="B14" s="139">
        <v>11</v>
      </c>
      <c r="C14">
        <f t="shared" si="0"/>
        <v>4</v>
      </c>
      <c r="D14">
        <f t="shared" ref="D14:T22" si="2">ROUNDUP((D$3*300*((1.09)^$B14))/$Q$1,0)</f>
        <v>12</v>
      </c>
      <c r="E14">
        <f t="shared" si="2"/>
        <v>20</v>
      </c>
      <c r="F14">
        <f t="shared" si="2"/>
        <v>28</v>
      </c>
      <c r="G14">
        <f t="shared" si="2"/>
        <v>35</v>
      </c>
      <c r="H14">
        <f t="shared" si="2"/>
        <v>43</v>
      </c>
      <c r="I14">
        <f t="shared" si="2"/>
        <v>51</v>
      </c>
      <c r="J14">
        <f t="shared" si="2"/>
        <v>59</v>
      </c>
      <c r="K14">
        <f t="shared" si="2"/>
        <v>66</v>
      </c>
      <c r="L14">
        <f t="shared" si="2"/>
        <v>74</v>
      </c>
      <c r="M14">
        <f t="shared" si="2"/>
        <v>82</v>
      </c>
    </row>
    <row r="15" spans="1:44" x14ac:dyDescent="0.25">
      <c r="A15" s="473"/>
      <c r="B15" s="139">
        <v>12</v>
      </c>
      <c r="C15">
        <f t="shared" si="0"/>
        <v>5</v>
      </c>
      <c r="D15">
        <f t="shared" si="2"/>
        <v>13</v>
      </c>
      <c r="E15">
        <f t="shared" si="2"/>
        <v>22</v>
      </c>
      <c r="F15">
        <f t="shared" si="2"/>
        <v>30</v>
      </c>
      <c r="G15">
        <f t="shared" si="2"/>
        <v>38</v>
      </c>
      <c r="H15">
        <f t="shared" si="2"/>
        <v>47</v>
      </c>
      <c r="I15">
        <f t="shared" si="2"/>
        <v>55</v>
      </c>
      <c r="J15">
        <f t="shared" si="2"/>
        <v>64</v>
      </c>
      <c r="K15">
        <f t="shared" si="2"/>
        <v>72</v>
      </c>
      <c r="L15">
        <f t="shared" si="2"/>
        <v>81</v>
      </c>
      <c r="M15">
        <f t="shared" si="2"/>
        <v>89</v>
      </c>
      <c r="N15">
        <f t="shared" si="2"/>
        <v>98</v>
      </c>
    </row>
    <row r="16" spans="1:44" x14ac:dyDescent="0.25">
      <c r="A16" s="473"/>
      <c r="B16" s="139">
        <v>13</v>
      </c>
      <c r="C16">
        <f t="shared" si="0"/>
        <v>5</v>
      </c>
      <c r="D16">
        <f t="shared" si="2"/>
        <v>14</v>
      </c>
      <c r="E16">
        <f t="shared" si="2"/>
        <v>23</v>
      </c>
      <c r="F16">
        <f t="shared" si="2"/>
        <v>33</v>
      </c>
      <c r="G16">
        <f t="shared" si="2"/>
        <v>42</v>
      </c>
      <c r="H16">
        <f t="shared" si="2"/>
        <v>51</v>
      </c>
      <c r="I16">
        <f t="shared" si="2"/>
        <v>60</v>
      </c>
      <c r="J16">
        <f t="shared" si="2"/>
        <v>69</v>
      </c>
      <c r="K16">
        <f t="shared" si="2"/>
        <v>79</v>
      </c>
      <c r="L16">
        <f t="shared" si="2"/>
        <v>88</v>
      </c>
      <c r="M16">
        <f t="shared" si="2"/>
        <v>97</v>
      </c>
      <c r="N16">
        <f t="shared" si="2"/>
        <v>106</v>
      </c>
      <c r="O16">
        <f t="shared" si="2"/>
        <v>115</v>
      </c>
    </row>
    <row r="17" spans="1:31" x14ac:dyDescent="0.25">
      <c r="A17" s="473"/>
      <c r="B17" s="139">
        <v>14</v>
      </c>
      <c r="C17">
        <f t="shared" si="0"/>
        <v>6</v>
      </c>
      <c r="D17">
        <f t="shared" si="2"/>
        <v>16</v>
      </c>
      <c r="E17">
        <f t="shared" si="2"/>
        <v>26</v>
      </c>
      <c r="F17">
        <f t="shared" si="2"/>
        <v>36</v>
      </c>
      <c r="G17">
        <f t="shared" si="2"/>
        <v>46</v>
      </c>
      <c r="H17">
        <f t="shared" si="2"/>
        <v>56</v>
      </c>
      <c r="I17">
        <f t="shared" si="2"/>
        <v>66</v>
      </c>
      <c r="J17">
        <f t="shared" si="2"/>
        <v>76</v>
      </c>
      <c r="K17">
        <f t="shared" si="2"/>
        <v>86</v>
      </c>
      <c r="L17">
        <f t="shared" si="2"/>
        <v>96</v>
      </c>
      <c r="M17">
        <f t="shared" si="2"/>
        <v>106</v>
      </c>
      <c r="N17">
        <f t="shared" si="2"/>
        <v>116</v>
      </c>
      <c r="O17">
        <f t="shared" si="2"/>
        <v>126</v>
      </c>
      <c r="P17">
        <f t="shared" si="2"/>
        <v>136</v>
      </c>
    </row>
    <row r="18" spans="1:31" x14ac:dyDescent="0.25">
      <c r="A18" s="473"/>
      <c r="B18" s="139">
        <v>15</v>
      </c>
      <c r="C18">
        <f t="shared" si="0"/>
        <v>6</v>
      </c>
      <c r="D18">
        <f t="shared" si="2"/>
        <v>17</v>
      </c>
      <c r="E18">
        <f t="shared" si="2"/>
        <v>28</v>
      </c>
      <c r="F18">
        <f t="shared" si="2"/>
        <v>39</v>
      </c>
      <c r="G18">
        <f t="shared" si="2"/>
        <v>50</v>
      </c>
      <c r="H18">
        <f t="shared" si="2"/>
        <v>61</v>
      </c>
      <c r="I18">
        <f t="shared" si="2"/>
        <v>72</v>
      </c>
      <c r="J18">
        <f t="shared" si="2"/>
        <v>82</v>
      </c>
      <c r="K18">
        <f t="shared" si="2"/>
        <v>93</v>
      </c>
      <c r="L18">
        <f t="shared" si="2"/>
        <v>104</v>
      </c>
      <c r="M18">
        <f t="shared" si="2"/>
        <v>115</v>
      </c>
      <c r="N18">
        <f t="shared" si="2"/>
        <v>126</v>
      </c>
      <c r="O18">
        <f t="shared" si="2"/>
        <v>137</v>
      </c>
      <c r="P18">
        <f t="shared" si="2"/>
        <v>148</v>
      </c>
      <c r="Q18">
        <f t="shared" si="2"/>
        <v>159</v>
      </c>
    </row>
    <row r="19" spans="1:31" x14ac:dyDescent="0.25">
      <c r="A19" s="473"/>
      <c r="B19" s="139">
        <v>16</v>
      </c>
      <c r="C19">
        <f t="shared" si="0"/>
        <v>6</v>
      </c>
      <c r="D19">
        <f t="shared" si="2"/>
        <v>18</v>
      </c>
      <c r="E19">
        <f t="shared" si="2"/>
        <v>30</v>
      </c>
      <c r="F19">
        <f t="shared" si="2"/>
        <v>42</v>
      </c>
      <c r="G19">
        <f t="shared" si="2"/>
        <v>54</v>
      </c>
      <c r="H19">
        <f t="shared" si="2"/>
        <v>66</v>
      </c>
      <c r="I19">
        <f t="shared" si="2"/>
        <v>78</v>
      </c>
      <c r="J19">
        <f t="shared" si="2"/>
        <v>90</v>
      </c>
      <c r="K19">
        <f t="shared" si="2"/>
        <v>102</v>
      </c>
      <c r="L19">
        <f t="shared" si="2"/>
        <v>114</v>
      </c>
      <c r="M19">
        <f t="shared" si="2"/>
        <v>126</v>
      </c>
      <c r="N19">
        <f t="shared" si="2"/>
        <v>137</v>
      </c>
      <c r="O19">
        <f t="shared" si="2"/>
        <v>149</v>
      </c>
      <c r="P19">
        <f t="shared" si="2"/>
        <v>161</v>
      </c>
      <c r="Q19">
        <f t="shared" si="2"/>
        <v>173</v>
      </c>
      <c r="R19">
        <f t="shared" si="2"/>
        <v>185</v>
      </c>
    </row>
    <row r="20" spans="1:31" x14ac:dyDescent="0.25">
      <c r="A20" s="473"/>
      <c r="B20" s="139">
        <v>17</v>
      </c>
      <c r="C20">
        <f t="shared" si="0"/>
        <v>7</v>
      </c>
      <c r="D20">
        <f t="shared" si="2"/>
        <v>20</v>
      </c>
      <c r="E20">
        <f t="shared" si="2"/>
        <v>33</v>
      </c>
      <c r="F20">
        <f t="shared" si="2"/>
        <v>46</v>
      </c>
      <c r="G20">
        <f t="shared" si="2"/>
        <v>59</v>
      </c>
      <c r="H20">
        <f t="shared" si="2"/>
        <v>72</v>
      </c>
      <c r="I20">
        <f t="shared" si="2"/>
        <v>85</v>
      </c>
      <c r="J20">
        <f t="shared" si="2"/>
        <v>98</v>
      </c>
      <c r="K20">
        <f t="shared" si="2"/>
        <v>111</v>
      </c>
      <c r="L20">
        <f t="shared" si="2"/>
        <v>124</v>
      </c>
      <c r="M20">
        <f t="shared" si="2"/>
        <v>137</v>
      </c>
      <c r="N20">
        <f t="shared" si="2"/>
        <v>150</v>
      </c>
      <c r="O20">
        <f t="shared" si="2"/>
        <v>163</v>
      </c>
      <c r="P20">
        <f t="shared" si="2"/>
        <v>176</v>
      </c>
      <c r="Q20">
        <f t="shared" si="2"/>
        <v>189</v>
      </c>
      <c r="R20">
        <f t="shared" si="2"/>
        <v>202</v>
      </c>
      <c r="S20">
        <f t="shared" si="2"/>
        <v>215</v>
      </c>
    </row>
    <row r="21" spans="1:31" x14ac:dyDescent="0.25">
      <c r="A21" s="473"/>
      <c r="B21" s="139">
        <v>18</v>
      </c>
      <c r="C21">
        <f t="shared" si="0"/>
        <v>8</v>
      </c>
      <c r="D21">
        <f t="shared" si="2"/>
        <v>22</v>
      </c>
      <c r="E21">
        <f t="shared" si="2"/>
        <v>36</v>
      </c>
      <c r="F21">
        <f t="shared" si="2"/>
        <v>50</v>
      </c>
      <c r="G21">
        <f t="shared" si="2"/>
        <v>64</v>
      </c>
      <c r="H21">
        <f t="shared" si="2"/>
        <v>78</v>
      </c>
      <c r="I21">
        <f t="shared" si="2"/>
        <v>92</v>
      </c>
      <c r="J21">
        <f t="shared" si="2"/>
        <v>107</v>
      </c>
      <c r="K21">
        <f t="shared" si="2"/>
        <v>121</v>
      </c>
      <c r="L21">
        <f t="shared" si="2"/>
        <v>135</v>
      </c>
      <c r="M21">
        <f t="shared" si="2"/>
        <v>149</v>
      </c>
      <c r="N21">
        <f t="shared" si="2"/>
        <v>163</v>
      </c>
      <c r="O21">
        <f t="shared" si="2"/>
        <v>177</v>
      </c>
      <c r="P21">
        <f t="shared" si="2"/>
        <v>192</v>
      </c>
      <c r="Q21">
        <f t="shared" si="2"/>
        <v>206</v>
      </c>
      <c r="R21">
        <f t="shared" si="2"/>
        <v>220</v>
      </c>
      <c r="S21">
        <f t="shared" si="2"/>
        <v>234</v>
      </c>
      <c r="T21">
        <f t="shared" si="2"/>
        <v>248</v>
      </c>
    </row>
    <row r="22" spans="1:31" x14ac:dyDescent="0.25">
      <c r="A22" s="473"/>
      <c r="B22" s="139">
        <v>19</v>
      </c>
      <c r="C22">
        <f t="shared" si="0"/>
        <v>8</v>
      </c>
      <c r="D22">
        <f t="shared" si="2"/>
        <v>24</v>
      </c>
      <c r="E22">
        <f t="shared" si="2"/>
        <v>39</v>
      </c>
      <c r="F22">
        <f t="shared" si="2"/>
        <v>54</v>
      </c>
      <c r="G22">
        <f t="shared" ref="D22:AC30" si="3">ROUNDUP((G$3*300*((1.09)^$B22))/$Q$1,0)</f>
        <v>70</v>
      </c>
      <c r="H22">
        <f t="shared" si="3"/>
        <v>85</v>
      </c>
      <c r="I22">
        <f t="shared" si="3"/>
        <v>101</v>
      </c>
      <c r="J22">
        <f t="shared" si="3"/>
        <v>116</v>
      </c>
      <c r="K22">
        <f t="shared" si="3"/>
        <v>132</v>
      </c>
      <c r="L22">
        <f t="shared" si="3"/>
        <v>147</v>
      </c>
      <c r="M22">
        <f t="shared" si="3"/>
        <v>162</v>
      </c>
      <c r="N22">
        <f t="shared" si="3"/>
        <v>178</v>
      </c>
      <c r="O22">
        <f t="shared" si="3"/>
        <v>193</v>
      </c>
      <c r="P22">
        <f t="shared" si="3"/>
        <v>209</v>
      </c>
      <c r="Q22">
        <f t="shared" si="3"/>
        <v>224</v>
      </c>
      <c r="R22">
        <f t="shared" si="3"/>
        <v>240</v>
      </c>
      <c r="S22">
        <f t="shared" si="3"/>
        <v>255</v>
      </c>
      <c r="T22">
        <f t="shared" si="3"/>
        <v>270</v>
      </c>
      <c r="U22">
        <f t="shared" si="3"/>
        <v>286</v>
      </c>
    </row>
    <row r="23" spans="1:31" x14ac:dyDescent="0.25">
      <c r="A23" s="473"/>
      <c r="B23" s="139">
        <v>20</v>
      </c>
      <c r="C23">
        <f t="shared" si="0"/>
        <v>9</v>
      </c>
      <c r="D23">
        <f t="shared" si="3"/>
        <v>26</v>
      </c>
      <c r="E23">
        <f t="shared" si="3"/>
        <v>43</v>
      </c>
      <c r="F23">
        <f t="shared" si="3"/>
        <v>59</v>
      </c>
      <c r="G23">
        <f t="shared" si="3"/>
        <v>76</v>
      </c>
      <c r="H23">
        <f t="shared" si="3"/>
        <v>93</v>
      </c>
      <c r="I23">
        <f t="shared" si="3"/>
        <v>110</v>
      </c>
      <c r="J23">
        <f t="shared" si="3"/>
        <v>127</v>
      </c>
      <c r="K23">
        <f t="shared" si="3"/>
        <v>143</v>
      </c>
      <c r="L23">
        <f t="shared" si="3"/>
        <v>160</v>
      </c>
      <c r="M23">
        <f t="shared" si="3"/>
        <v>177</v>
      </c>
      <c r="N23">
        <f t="shared" si="3"/>
        <v>194</v>
      </c>
      <c r="O23">
        <f t="shared" si="3"/>
        <v>211</v>
      </c>
      <c r="P23">
        <f t="shared" si="3"/>
        <v>227</v>
      </c>
      <c r="Q23">
        <f t="shared" si="3"/>
        <v>244</v>
      </c>
      <c r="R23">
        <f t="shared" si="3"/>
        <v>261</v>
      </c>
      <c r="S23">
        <f t="shared" si="3"/>
        <v>278</v>
      </c>
      <c r="T23">
        <f t="shared" si="3"/>
        <v>295</v>
      </c>
      <c r="U23">
        <f t="shared" si="3"/>
        <v>312</v>
      </c>
      <c r="V23">
        <f t="shared" si="3"/>
        <v>328</v>
      </c>
    </row>
    <row r="24" spans="1:31" x14ac:dyDescent="0.25">
      <c r="A24" s="473"/>
      <c r="B24" s="139">
        <v>21</v>
      </c>
      <c r="C24">
        <f t="shared" si="0"/>
        <v>10</v>
      </c>
      <c r="D24">
        <f t="shared" si="3"/>
        <v>28</v>
      </c>
      <c r="E24">
        <f t="shared" si="3"/>
        <v>46</v>
      </c>
      <c r="F24">
        <f t="shared" si="3"/>
        <v>65</v>
      </c>
      <c r="G24">
        <f t="shared" si="3"/>
        <v>83</v>
      </c>
      <c r="H24">
        <f t="shared" si="3"/>
        <v>101</v>
      </c>
      <c r="I24">
        <f t="shared" si="3"/>
        <v>120</v>
      </c>
      <c r="J24">
        <f t="shared" si="3"/>
        <v>138</v>
      </c>
      <c r="K24">
        <f t="shared" si="3"/>
        <v>156</v>
      </c>
      <c r="L24">
        <f t="shared" si="3"/>
        <v>175</v>
      </c>
      <c r="M24">
        <f t="shared" si="3"/>
        <v>193</v>
      </c>
      <c r="N24">
        <f t="shared" si="3"/>
        <v>211</v>
      </c>
      <c r="O24">
        <f t="shared" si="3"/>
        <v>230</v>
      </c>
      <c r="P24">
        <f t="shared" si="3"/>
        <v>248</v>
      </c>
      <c r="Q24">
        <f t="shared" si="3"/>
        <v>266</v>
      </c>
      <c r="R24">
        <f t="shared" si="3"/>
        <v>285</v>
      </c>
      <c r="S24">
        <f t="shared" si="3"/>
        <v>303</v>
      </c>
      <c r="T24">
        <f t="shared" si="3"/>
        <v>321</v>
      </c>
      <c r="U24">
        <f t="shared" si="3"/>
        <v>340</v>
      </c>
      <c r="V24">
        <f t="shared" si="3"/>
        <v>358</v>
      </c>
      <c r="W24">
        <f t="shared" si="3"/>
        <v>376</v>
      </c>
    </row>
    <row r="25" spans="1:31" x14ac:dyDescent="0.25">
      <c r="A25" s="473"/>
      <c r="B25" s="139">
        <v>22</v>
      </c>
      <c r="C25">
        <f t="shared" si="0"/>
        <v>10</v>
      </c>
      <c r="D25">
        <f t="shared" si="3"/>
        <v>30</v>
      </c>
      <c r="E25">
        <f t="shared" si="3"/>
        <v>50</v>
      </c>
      <c r="F25">
        <f t="shared" si="3"/>
        <v>70</v>
      </c>
      <c r="G25">
        <f t="shared" si="3"/>
        <v>90</v>
      </c>
      <c r="H25">
        <f t="shared" si="3"/>
        <v>110</v>
      </c>
      <c r="I25">
        <f t="shared" si="3"/>
        <v>130</v>
      </c>
      <c r="J25">
        <f t="shared" si="3"/>
        <v>150</v>
      </c>
      <c r="K25">
        <f t="shared" si="3"/>
        <v>170</v>
      </c>
      <c r="L25">
        <f t="shared" si="3"/>
        <v>190</v>
      </c>
      <c r="M25">
        <f t="shared" si="3"/>
        <v>210</v>
      </c>
      <c r="N25">
        <f t="shared" si="3"/>
        <v>230</v>
      </c>
      <c r="O25">
        <f t="shared" si="3"/>
        <v>250</v>
      </c>
      <c r="P25">
        <f t="shared" si="3"/>
        <v>270</v>
      </c>
      <c r="Q25">
        <f t="shared" si="3"/>
        <v>290</v>
      </c>
      <c r="R25">
        <f t="shared" si="3"/>
        <v>310</v>
      </c>
      <c r="S25">
        <f t="shared" si="3"/>
        <v>330</v>
      </c>
      <c r="T25">
        <f t="shared" si="3"/>
        <v>350</v>
      </c>
      <c r="U25">
        <f t="shared" si="3"/>
        <v>370</v>
      </c>
      <c r="V25">
        <f t="shared" si="3"/>
        <v>390</v>
      </c>
      <c r="W25">
        <f t="shared" si="3"/>
        <v>410</v>
      </c>
      <c r="X25">
        <f t="shared" si="3"/>
        <v>430</v>
      </c>
    </row>
    <row r="26" spans="1:31" x14ac:dyDescent="0.25">
      <c r="A26" s="473"/>
      <c r="B26" s="139">
        <v>23</v>
      </c>
      <c r="C26">
        <f t="shared" si="0"/>
        <v>11</v>
      </c>
      <c r="D26">
        <f t="shared" si="3"/>
        <v>33</v>
      </c>
      <c r="E26">
        <f t="shared" si="3"/>
        <v>55</v>
      </c>
      <c r="F26">
        <f t="shared" si="3"/>
        <v>77</v>
      </c>
      <c r="G26">
        <f t="shared" si="3"/>
        <v>98</v>
      </c>
      <c r="H26">
        <f t="shared" si="3"/>
        <v>120</v>
      </c>
      <c r="I26">
        <f t="shared" si="3"/>
        <v>142</v>
      </c>
      <c r="J26">
        <f t="shared" si="3"/>
        <v>164</v>
      </c>
      <c r="K26">
        <f t="shared" si="3"/>
        <v>186</v>
      </c>
      <c r="L26">
        <f t="shared" si="3"/>
        <v>207</v>
      </c>
      <c r="M26">
        <f t="shared" si="3"/>
        <v>229</v>
      </c>
      <c r="N26">
        <f t="shared" si="3"/>
        <v>251</v>
      </c>
      <c r="O26">
        <f t="shared" si="3"/>
        <v>273</v>
      </c>
      <c r="P26">
        <f t="shared" si="3"/>
        <v>294</v>
      </c>
      <c r="Q26">
        <f t="shared" si="3"/>
        <v>316</v>
      </c>
      <c r="R26">
        <f t="shared" si="3"/>
        <v>338</v>
      </c>
      <c r="S26">
        <f t="shared" si="3"/>
        <v>360</v>
      </c>
      <c r="T26">
        <f t="shared" si="3"/>
        <v>382</v>
      </c>
      <c r="U26">
        <f t="shared" si="3"/>
        <v>403</v>
      </c>
      <c r="V26">
        <f t="shared" si="3"/>
        <v>425</v>
      </c>
      <c r="W26">
        <f t="shared" si="3"/>
        <v>447</v>
      </c>
      <c r="X26">
        <f t="shared" si="3"/>
        <v>469</v>
      </c>
      <c r="Y26">
        <f t="shared" si="3"/>
        <v>490</v>
      </c>
    </row>
    <row r="27" spans="1:31" x14ac:dyDescent="0.25">
      <c r="A27" s="473"/>
      <c r="B27" s="139">
        <v>24</v>
      </c>
      <c r="C27">
        <f t="shared" si="0"/>
        <v>12</v>
      </c>
      <c r="D27">
        <f t="shared" si="3"/>
        <v>36</v>
      </c>
      <c r="E27">
        <f t="shared" si="3"/>
        <v>60</v>
      </c>
      <c r="F27">
        <f t="shared" si="3"/>
        <v>84</v>
      </c>
      <c r="G27">
        <f t="shared" si="3"/>
        <v>107</v>
      </c>
      <c r="H27">
        <f t="shared" si="3"/>
        <v>131</v>
      </c>
      <c r="I27">
        <f t="shared" si="3"/>
        <v>155</v>
      </c>
      <c r="J27">
        <f t="shared" si="3"/>
        <v>178</v>
      </c>
      <c r="K27">
        <f t="shared" si="3"/>
        <v>202</v>
      </c>
      <c r="L27">
        <f t="shared" si="3"/>
        <v>226</v>
      </c>
      <c r="M27">
        <f t="shared" si="3"/>
        <v>250</v>
      </c>
      <c r="N27">
        <f t="shared" si="3"/>
        <v>273</v>
      </c>
      <c r="O27">
        <f t="shared" si="3"/>
        <v>297</v>
      </c>
      <c r="P27">
        <f t="shared" si="3"/>
        <v>321</v>
      </c>
      <c r="Q27">
        <f t="shared" si="3"/>
        <v>345</v>
      </c>
      <c r="R27">
        <f t="shared" si="3"/>
        <v>368</v>
      </c>
      <c r="S27">
        <f t="shared" si="3"/>
        <v>392</v>
      </c>
      <c r="T27">
        <f t="shared" si="3"/>
        <v>416</v>
      </c>
      <c r="U27">
        <f t="shared" si="3"/>
        <v>440</v>
      </c>
      <c r="V27">
        <f t="shared" si="3"/>
        <v>463</v>
      </c>
      <c r="W27">
        <f t="shared" si="3"/>
        <v>487</v>
      </c>
      <c r="X27">
        <f t="shared" si="3"/>
        <v>511</v>
      </c>
      <c r="Y27">
        <f t="shared" si="3"/>
        <v>534</v>
      </c>
      <c r="Z27">
        <f t="shared" si="3"/>
        <v>558</v>
      </c>
    </row>
    <row r="28" spans="1:31" x14ac:dyDescent="0.25">
      <c r="A28" s="473"/>
      <c r="B28" s="139">
        <v>25</v>
      </c>
      <c r="C28">
        <f t="shared" si="0"/>
        <v>13</v>
      </c>
      <c r="D28">
        <f t="shared" si="3"/>
        <v>39</v>
      </c>
      <c r="E28">
        <f t="shared" si="3"/>
        <v>65</v>
      </c>
      <c r="F28">
        <f t="shared" si="3"/>
        <v>91</v>
      </c>
      <c r="G28">
        <f t="shared" si="3"/>
        <v>117</v>
      </c>
      <c r="H28">
        <f t="shared" si="3"/>
        <v>143</v>
      </c>
      <c r="I28">
        <f t="shared" si="3"/>
        <v>169</v>
      </c>
      <c r="J28">
        <f t="shared" si="3"/>
        <v>195</v>
      </c>
      <c r="K28">
        <f t="shared" si="3"/>
        <v>220</v>
      </c>
      <c r="L28">
        <f t="shared" si="3"/>
        <v>246</v>
      </c>
      <c r="M28">
        <f t="shared" si="3"/>
        <v>272</v>
      </c>
      <c r="N28">
        <f t="shared" si="3"/>
        <v>298</v>
      </c>
      <c r="O28">
        <f t="shared" si="3"/>
        <v>324</v>
      </c>
      <c r="P28">
        <f t="shared" si="3"/>
        <v>350</v>
      </c>
      <c r="Q28">
        <f t="shared" si="3"/>
        <v>376</v>
      </c>
      <c r="R28">
        <f t="shared" si="3"/>
        <v>401</v>
      </c>
      <c r="S28">
        <f t="shared" si="3"/>
        <v>427</v>
      </c>
      <c r="T28">
        <f t="shared" si="3"/>
        <v>453</v>
      </c>
      <c r="U28">
        <f t="shared" si="3"/>
        <v>479</v>
      </c>
      <c r="V28">
        <f t="shared" si="3"/>
        <v>505</v>
      </c>
      <c r="W28">
        <f t="shared" si="3"/>
        <v>531</v>
      </c>
      <c r="X28">
        <f t="shared" si="3"/>
        <v>557</v>
      </c>
      <c r="Y28">
        <f t="shared" si="3"/>
        <v>583</v>
      </c>
      <c r="Z28">
        <f t="shared" si="3"/>
        <v>608</v>
      </c>
      <c r="AA28">
        <f t="shared" si="3"/>
        <v>634</v>
      </c>
    </row>
    <row r="29" spans="1:31" x14ac:dyDescent="0.25">
      <c r="A29" s="473"/>
      <c r="B29" s="139">
        <v>26</v>
      </c>
      <c r="C29">
        <f t="shared" si="0"/>
        <v>15</v>
      </c>
      <c r="D29">
        <f t="shared" si="3"/>
        <v>43</v>
      </c>
      <c r="E29">
        <f t="shared" si="3"/>
        <v>71</v>
      </c>
      <c r="F29">
        <f t="shared" si="3"/>
        <v>99</v>
      </c>
      <c r="G29">
        <f t="shared" si="3"/>
        <v>127</v>
      </c>
      <c r="H29">
        <f t="shared" si="3"/>
        <v>156</v>
      </c>
      <c r="I29">
        <f t="shared" si="3"/>
        <v>184</v>
      </c>
      <c r="J29">
        <f t="shared" si="3"/>
        <v>212</v>
      </c>
      <c r="K29">
        <f t="shared" si="3"/>
        <v>240</v>
      </c>
      <c r="L29">
        <f t="shared" si="3"/>
        <v>268</v>
      </c>
      <c r="M29">
        <f t="shared" si="3"/>
        <v>297</v>
      </c>
      <c r="N29">
        <f t="shared" si="3"/>
        <v>325</v>
      </c>
      <c r="O29">
        <f t="shared" si="3"/>
        <v>353</v>
      </c>
      <c r="P29">
        <f t="shared" si="3"/>
        <v>381</v>
      </c>
      <c r="Q29">
        <f t="shared" si="3"/>
        <v>409</v>
      </c>
      <c r="R29">
        <f t="shared" si="3"/>
        <v>438</v>
      </c>
      <c r="S29">
        <f t="shared" si="3"/>
        <v>466</v>
      </c>
      <c r="T29">
        <f t="shared" si="3"/>
        <v>494</v>
      </c>
      <c r="U29">
        <f t="shared" si="3"/>
        <v>522</v>
      </c>
      <c r="V29">
        <f t="shared" si="3"/>
        <v>550</v>
      </c>
      <c r="W29">
        <f t="shared" si="3"/>
        <v>579</v>
      </c>
      <c r="X29">
        <f t="shared" si="3"/>
        <v>607</v>
      </c>
      <c r="Y29">
        <f t="shared" si="3"/>
        <v>635</v>
      </c>
      <c r="Z29">
        <f t="shared" si="3"/>
        <v>663</v>
      </c>
      <c r="AA29">
        <f t="shared" si="3"/>
        <v>691</v>
      </c>
      <c r="AB29">
        <f t="shared" si="3"/>
        <v>720</v>
      </c>
    </row>
    <row r="30" spans="1:31" x14ac:dyDescent="0.25">
      <c r="A30" s="473"/>
      <c r="B30" s="139">
        <v>27</v>
      </c>
      <c r="C30">
        <f t="shared" si="0"/>
        <v>16</v>
      </c>
      <c r="D30">
        <f t="shared" si="3"/>
        <v>47</v>
      </c>
      <c r="E30">
        <f t="shared" si="3"/>
        <v>77</v>
      </c>
      <c r="F30">
        <f t="shared" si="3"/>
        <v>108</v>
      </c>
      <c r="G30">
        <f t="shared" si="3"/>
        <v>139</v>
      </c>
      <c r="H30">
        <f t="shared" si="3"/>
        <v>170</v>
      </c>
      <c r="I30">
        <f t="shared" si="3"/>
        <v>200</v>
      </c>
      <c r="J30">
        <f t="shared" si="3"/>
        <v>231</v>
      </c>
      <c r="K30">
        <f t="shared" si="3"/>
        <v>262</v>
      </c>
      <c r="L30">
        <f t="shared" si="3"/>
        <v>292</v>
      </c>
      <c r="M30">
        <f t="shared" si="3"/>
        <v>323</v>
      </c>
      <c r="N30">
        <f t="shared" si="3"/>
        <v>354</v>
      </c>
      <c r="O30">
        <f t="shared" si="3"/>
        <v>385</v>
      </c>
      <c r="P30">
        <f t="shared" si="3"/>
        <v>415</v>
      </c>
      <c r="Q30">
        <f t="shared" si="3"/>
        <v>446</v>
      </c>
      <c r="R30">
        <f t="shared" si="3"/>
        <v>477</v>
      </c>
      <c r="S30">
        <f t="shared" si="3"/>
        <v>508</v>
      </c>
      <c r="T30">
        <f t="shared" si="3"/>
        <v>538</v>
      </c>
      <c r="U30">
        <f t="shared" si="3"/>
        <v>569</v>
      </c>
      <c r="V30">
        <f t="shared" si="3"/>
        <v>600</v>
      </c>
      <c r="W30">
        <f t="shared" si="3"/>
        <v>631</v>
      </c>
      <c r="X30">
        <f t="shared" si="3"/>
        <v>661</v>
      </c>
      <c r="Y30">
        <f t="shared" si="3"/>
        <v>692</v>
      </c>
      <c r="Z30">
        <f t="shared" si="3"/>
        <v>723</v>
      </c>
      <c r="AA30">
        <f t="shared" si="3"/>
        <v>754</v>
      </c>
      <c r="AB30">
        <f t="shared" si="3"/>
        <v>784</v>
      </c>
      <c r="AC30">
        <f t="shared" si="3"/>
        <v>815</v>
      </c>
    </row>
    <row r="31" spans="1:31" x14ac:dyDescent="0.25">
      <c r="A31" s="473"/>
      <c r="B31" s="139">
        <v>28</v>
      </c>
      <c r="C31">
        <f t="shared" si="0"/>
        <v>17</v>
      </c>
      <c r="D31">
        <f t="shared" ref="D31:AF33" si="4">ROUNDUP((D$3*300*((1.09)^$B31))/$Q$1,0)</f>
        <v>51</v>
      </c>
      <c r="E31">
        <f t="shared" si="4"/>
        <v>84</v>
      </c>
      <c r="F31">
        <f t="shared" si="4"/>
        <v>118</v>
      </c>
      <c r="G31">
        <f t="shared" si="4"/>
        <v>151</v>
      </c>
      <c r="H31">
        <f t="shared" si="4"/>
        <v>185</v>
      </c>
      <c r="I31">
        <f t="shared" si="4"/>
        <v>218</v>
      </c>
      <c r="J31">
        <f t="shared" si="4"/>
        <v>252</v>
      </c>
      <c r="K31">
        <f t="shared" si="4"/>
        <v>285</v>
      </c>
      <c r="L31">
        <f t="shared" si="4"/>
        <v>319</v>
      </c>
      <c r="M31">
        <f t="shared" si="4"/>
        <v>352</v>
      </c>
      <c r="N31">
        <f t="shared" si="4"/>
        <v>386</v>
      </c>
      <c r="O31">
        <f t="shared" si="4"/>
        <v>419</v>
      </c>
      <c r="P31">
        <f t="shared" si="4"/>
        <v>453</v>
      </c>
      <c r="Q31">
        <f t="shared" si="4"/>
        <v>486</v>
      </c>
      <c r="R31">
        <f t="shared" si="4"/>
        <v>520</v>
      </c>
      <c r="S31">
        <f t="shared" si="4"/>
        <v>553</v>
      </c>
      <c r="T31">
        <f t="shared" si="4"/>
        <v>587</v>
      </c>
      <c r="U31">
        <f t="shared" si="4"/>
        <v>620</v>
      </c>
      <c r="V31">
        <f t="shared" si="4"/>
        <v>654</v>
      </c>
      <c r="W31">
        <f t="shared" si="4"/>
        <v>687</v>
      </c>
      <c r="X31">
        <f t="shared" si="4"/>
        <v>721</v>
      </c>
      <c r="Y31">
        <f t="shared" si="4"/>
        <v>754</v>
      </c>
      <c r="Z31">
        <f t="shared" si="4"/>
        <v>788</v>
      </c>
      <c r="AA31">
        <f t="shared" si="4"/>
        <v>821</v>
      </c>
      <c r="AB31">
        <f t="shared" si="4"/>
        <v>855</v>
      </c>
      <c r="AC31">
        <f t="shared" si="4"/>
        <v>888</v>
      </c>
      <c r="AD31">
        <f t="shared" si="4"/>
        <v>922</v>
      </c>
    </row>
    <row r="32" spans="1:31" x14ac:dyDescent="0.25">
      <c r="A32" s="473"/>
      <c r="B32" s="139">
        <v>29</v>
      </c>
      <c r="C32">
        <f t="shared" si="0"/>
        <v>19</v>
      </c>
      <c r="D32">
        <f t="shared" si="4"/>
        <v>55</v>
      </c>
      <c r="E32">
        <f t="shared" si="4"/>
        <v>92</v>
      </c>
      <c r="F32">
        <f t="shared" si="4"/>
        <v>128</v>
      </c>
      <c r="G32">
        <f t="shared" si="4"/>
        <v>165</v>
      </c>
      <c r="H32">
        <f t="shared" si="4"/>
        <v>201</v>
      </c>
      <c r="I32">
        <f t="shared" si="4"/>
        <v>238</v>
      </c>
      <c r="J32">
        <f t="shared" si="4"/>
        <v>274</v>
      </c>
      <c r="K32">
        <f t="shared" si="4"/>
        <v>311</v>
      </c>
      <c r="L32">
        <f t="shared" si="4"/>
        <v>347</v>
      </c>
      <c r="M32">
        <f t="shared" si="4"/>
        <v>384</v>
      </c>
      <c r="N32">
        <f t="shared" si="4"/>
        <v>420</v>
      </c>
      <c r="O32">
        <f t="shared" si="4"/>
        <v>457</v>
      </c>
      <c r="P32">
        <f t="shared" si="4"/>
        <v>493</v>
      </c>
      <c r="Q32">
        <f t="shared" si="4"/>
        <v>530</v>
      </c>
      <c r="R32">
        <f t="shared" si="4"/>
        <v>567</v>
      </c>
      <c r="S32">
        <f t="shared" si="4"/>
        <v>603</v>
      </c>
      <c r="T32">
        <f t="shared" si="4"/>
        <v>640</v>
      </c>
      <c r="U32">
        <f t="shared" si="4"/>
        <v>676</v>
      </c>
      <c r="V32">
        <f t="shared" si="4"/>
        <v>713</v>
      </c>
      <c r="W32">
        <f t="shared" si="4"/>
        <v>749</v>
      </c>
      <c r="X32">
        <f t="shared" si="4"/>
        <v>786</v>
      </c>
      <c r="Y32">
        <f t="shared" si="4"/>
        <v>822</v>
      </c>
      <c r="Z32">
        <f t="shared" si="4"/>
        <v>859</v>
      </c>
      <c r="AA32">
        <f t="shared" si="4"/>
        <v>895</v>
      </c>
      <c r="AB32">
        <f t="shared" si="4"/>
        <v>932</v>
      </c>
      <c r="AC32">
        <f t="shared" si="4"/>
        <v>968</v>
      </c>
      <c r="AD32">
        <f t="shared" si="4"/>
        <v>1005</v>
      </c>
      <c r="AE32">
        <f t="shared" si="4"/>
        <v>1041</v>
      </c>
    </row>
    <row r="33" spans="1:32" x14ac:dyDescent="0.25">
      <c r="A33" s="473"/>
      <c r="B33" s="139">
        <v>30</v>
      </c>
      <c r="C33">
        <f t="shared" si="0"/>
        <v>20</v>
      </c>
      <c r="D33">
        <f t="shared" si="4"/>
        <v>60</v>
      </c>
      <c r="E33">
        <f t="shared" si="4"/>
        <v>100</v>
      </c>
      <c r="F33">
        <f t="shared" si="4"/>
        <v>140</v>
      </c>
      <c r="G33">
        <f t="shared" si="4"/>
        <v>180</v>
      </c>
      <c r="H33">
        <f t="shared" si="4"/>
        <v>219</v>
      </c>
      <c r="I33">
        <f t="shared" si="4"/>
        <v>259</v>
      </c>
      <c r="J33">
        <f t="shared" si="4"/>
        <v>299</v>
      </c>
      <c r="K33">
        <f t="shared" si="4"/>
        <v>339</v>
      </c>
      <c r="L33">
        <f t="shared" si="4"/>
        <v>379</v>
      </c>
      <c r="M33">
        <f t="shared" si="4"/>
        <v>418</v>
      </c>
      <c r="N33">
        <f t="shared" si="4"/>
        <v>458</v>
      </c>
      <c r="O33">
        <f t="shared" si="4"/>
        <v>498</v>
      </c>
      <c r="P33">
        <f t="shared" si="4"/>
        <v>538</v>
      </c>
      <c r="Q33">
        <f t="shared" si="4"/>
        <v>578</v>
      </c>
      <c r="R33">
        <f t="shared" si="4"/>
        <v>617</v>
      </c>
      <c r="S33">
        <f t="shared" si="4"/>
        <v>657</v>
      </c>
      <c r="T33">
        <f t="shared" si="4"/>
        <v>697</v>
      </c>
      <c r="U33">
        <f t="shared" si="4"/>
        <v>737</v>
      </c>
      <c r="V33">
        <f t="shared" si="4"/>
        <v>777</v>
      </c>
      <c r="W33">
        <f t="shared" si="4"/>
        <v>816</v>
      </c>
      <c r="X33">
        <f t="shared" si="4"/>
        <v>856</v>
      </c>
      <c r="Y33">
        <f t="shared" si="4"/>
        <v>896</v>
      </c>
      <c r="Z33">
        <f t="shared" si="4"/>
        <v>936</v>
      </c>
      <c r="AA33">
        <f t="shared" si="4"/>
        <v>976</v>
      </c>
      <c r="AB33">
        <f t="shared" si="4"/>
        <v>1015</v>
      </c>
      <c r="AC33">
        <f t="shared" si="4"/>
        <v>1055</v>
      </c>
      <c r="AD33">
        <f t="shared" si="4"/>
        <v>1095</v>
      </c>
      <c r="AE33">
        <f t="shared" si="4"/>
        <v>1135</v>
      </c>
      <c r="AF33">
        <f t="shared" si="4"/>
        <v>1175</v>
      </c>
    </row>
  </sheetData>
  <mergeCells count="5">
    <mergeCell ref="A3:A33"/>
    <mergeCell ref="C2:AF2"/>
    <mergeCell ref="L1:P1"/>
    <mergeCell ref="W1:X1"/>
    <mergeCell ref="E1:G1"/>
  </mergeCells>
  <dataValidations count="1">
    <dataValidation type="list" allowBlank="1" showInputMessage="1" showErrorMessage="1" sqref="W1">
      <formula1>$AR$1:$AR$3</formula1>
    </dataValidation>
  </dataValidations>
  <pageMargins left="0.7" right="0.7" top="0.78740157499999996" bottom="0.78740157499999996"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AT33"/>
  <sheetViews>
    <sheetView zoomScaleNormal="100" workbookViewId="0">
      <selection activeCell="AH10" sqref="AH10"/>
    </sheetView>
  </sheetViews>
  <sheetFormatPr baseColWidth="10" defaultRowHeight="15" x14ac:dyDescent="0.25"/>
  <cols>
    <col min="1" max="1" width="3.7109375" bestFit="1" customWidth="1"/>
    <col min="2" max="3" width="3.85546875" bestFit="1" customWidth="1"/>
    <col min="4" max="15" width="4" bestFit="1" customWidth="1"/>
    <col min="16" max="19" width="5" bestFit="1" customWidth="1"/>
    <col min="20" max="20" width="5" customWidth="1"/>
    <col min="21" max="32" width="5" bestFit="1" customWidth="1"/>
    <col min="33" max="33" width="6.28515625" customWidth="1"/>
    <col min="34" max="34" width="22.140625" bestFit="1" customWidth="1"/>
    <col min="35" max="35" width="11.140625" bestFit="1" customWidth="1"/>
    <col min="36" max="36" width="6.140625" customWidth="1"/>
    <col min="37" max="37" width="10.5703125" bestFit="1" customWidth="1"/>
    <col min="38" max="38" width="10.85546875" bestFit="1" customWidth="1"/>
    <col min="40" max="40" width="10.140625" bestFit="1" customWidth="1"/>
    <col min="41" max="41" width="10.85546875" bestFit="1" customWidth="1"/>
  </cols>
  <sheetData>
    <row r="1" spans="1:46" x14ac:dyDescent="0.25">
      <c r="D1" s="76"/>
      <c r="E1" s="455" t="s">
        <v>114</v>
      </c>
      <c r="F1" s="455"/>
      <c r="G1" s="455"/>
      <c r="H1" s="4">
        <v>1</v>
      </c>
      <c r="L1" s="455" t="s">
        <v>207</v>
      </c>
      <c r="M1" s="455"/>
      <c r="N1" s="455"/>
      <c r="O1" s="455"/>
      <c r="P1" s="455"/>
      <c r="Q1" s="10">
        <f>IF(W1=AT3,VLOOKUP(H1,$AK$1:AL11,2,FALSE),IF(W1=AT2,VLOOKUP(H1,$AN$1:$AO$4,2,FALSE),VLOOKUP(H1,$AQ$1:$AR$2,2,FALSE)))</f>
        <v>100</v>
      </c>
      <c r="T1" t="s">
        <v>128</v>
      </c>
      <c r="W1" s="478" t="s">
        <v>132</v>
      </c>
      <c r="X1" s="478"/>
      <c r="AK1" t="s">
        <v>129</v>
      </c>
      <c r="AL1" t="s">
        <v>111</v>
      </c>
      <c r="AN1" t="s">
        <v>130</v>
      </c>
      <c r="AO1" t="s">
        <v>111</v>
      </c>
      <c r="AQ1" t="s">
        <v>131</v>
      </c>
      <c r="AR1" t="s">
        <v>111</v>
      </c>
      <c r="AT1" t="s">
        <v>132</v>
      </c>
    </row>
    <row r="2" spans="1:46" ht="21" x14ac:dyDescent="0.35">
      <c r="C2" s="479" t="s">
        <v>113</v>
      </c>
      <c r="D2" s="479"/>
      <c r="E2" s="479"/>
      <c r="F2" s="479"/>
      <c r="G2" s="479"/>
      <c r="H2" s="479"/>
      <c r="I2" s="479"/>
      <c r="J2" s="479"/>
      <c r="K2" s="479"/>
      <c r="L2" s="479"/>
      <c r="M2" s="479"/>
      <c r="N2" s="479"/>
      <c r="O2" s="479"/>
      <c r="P2" s="479"/>
      <c r="Q2" s="479"/>
      <c r="R2" s="479"/>
      <c r="S2" s="479"/>
      <c r="T2" s="479"/>
      <c r="U2" s="479"/>
      <c r="V2" s="479"/>
      <c r="W2" s="479"/>
      <c r="X2" s="479"/>
      <c r="Y2" s="479"/>
      <c r="Z2" s="479"/>
      <c r="AA2" s="479"/>
      <c r="AB2" s="479"/>
      <c r="AC2" s="479"/>
      <c r="AD2" s="479"/>
      <c r="AE2" s="479"/>
      <c r="AF2" s="479"/>
      <c r="AG2" s="294"/>
      <c r="AH2" s="298"/>
      <c r="AI2" s="298"/>
      <c r="AK2">
        <v>1</v>
      </c>
      <c r="AL2">
        <v>100</v>
      </c>
      <c r="AN2">
        <v>1</v>
      </c>
      <c r="AO2">
        <v>100</v>
      </c>
      <c r="AQ2">
        <v>1</v>
      </c>
      <c r="AR2">
        <v>100</v>
      </c>
      <c r="AT2" t="s">
        <v>133</v>
      </c>
    </row>
    <row r="3" spans="1:46" ht="15.75" thickBot="1" x14ac:dyDescent="0.3">
      <c r="A3" s="473" t="s">
        <v>112</v>
      </c>
      <c r="C3" s="296">
        <v>0.5</v>
      </c>
      <c r="D3" s="296">
        <v>1.5</v>
      </c>
      <c r="E3" s="296">
        <v>2.5</v>
      </c>
      <c r="F3" s="296">
        <v>3.5</v>
      </c>
      <c r="G3" s="296">
        <v>4.5</v>
      </c>
      <c r="H3" s="296">
        <v>5.5</v>
      </c>
      <c r="I3" s="296">
        <v>6.5</v>
      </c>
      <c r="J3" s="296">
        <v>7.5</v>
      </c>
      <c r="K3" s="296">
        <v>8.5</v>
      </c>
      <c r="L3" s="296">
        <v>9.5</v>
      </c>
      <c r="M3" s="296">
        <v>10.5</v>
      </c>
      <c r="N3" s="296">
        <v>11.5</v>
      </c>
      <c r="O3" s="296">
        <v>12.5</v>
      </c>
      <c r="P3" s="296">
        <v>13.5</v>
      </c>
      <c r="Q3" s="296">
        <v>14.5</v>
      </c>
      <c r="R3" s="296">
        <v>15.5</v>
      </c>
      <c r="S3" s="296">
        <v>16.5</v>
      </c>
      <c r="T3" s="296">
        <v>17.5</v>
      </c>
      <c r="U3" s="296">
        <v>18.5</v>
      </c>
      <c r="V3" s="296">
        <v>19.5</v>
      </c>
      <c r="W3" s="296">
        <v>20.5</v>
      </c>
      <c r="X3" s="296">
        <v>21.5</v>
      </c>
      <c r="Y3" s="296">
        <v>22.5</v>
      </c>
      <c r="Z3" s="296">
        <v>23.5</v>
      </c>
      <c r="AA3" s="296">
        <v>24.5</v>
      </c>
      <c r="AB3" s="296">
        <v>25.5</v>
      </c>
      <c r="AC3" s="296">
        <v>26.5</v>
      </c>
      <c r="AD3" s="296">
        <v>27.5</v>
      </c>
      <c r="AE3" s="296">
        <v>28.5</v>
      </c>
      <c r="AF3" s="296">
        <v>29.5</v>
      </c>
      <c r="AG3" s="296"/>
      <c r="AH3" s="13"/>
      <c r="AI3" s="13"/>
      <c r="AK3">
        <v>2</v>
      </c>
      <c r="AL3">
        <v>105</v>
      </c>
      <c r="AN3">
        <v>2</v>
      </c>
      <c r="AO3">
        <v>125</v>
      </c>
      <c r="AT3" t="s">
        <v>134</v>
      </c>
    </row>
    <row r="4" spans="1:46" x14ac:dyDescent="0.25">
      <c r="A4" s="473"/>
      <c r="B4" s="139">
        <v>1</v>
      </c>
      <c r="C4">
        <f t="shared" ref="C4:Q19" si="0">ROUNDUP((C$3*600*((1.09)^$B4))/$Q$1,0)</f>
        <v>4</v>
      </c>
      <c r="AH4" s="100" t="s">
        <v>308</v>
      </c>
      <c r="AI4" s="140">
        <v>105</v>
      </c>
      <c r="AK4">
        <v>3</v>
      </c>
      <c r="AL4">
        <v>109</v>
      </c>
      <c r="AN4">
        <v>3</v>
      </c>
      <c r="AO4">
        <v>140</v>
      </c>
    </row>
    <row r="5" spans="1:46" x14ac:dyDescent="0.25">
      <c r="A5" s="473"/>
      <c r="B5" s="139">
        <v>2</v>
      </c>
      <c r="C5">
        <f t="shared" si="0"/>
        <v>4</v>
      </c>
      <c r="D5">
        <f t="shared" si="0"/>
        <v>11</v>
      </c>
      <c r="AH5" s="81" t="s">
        <v>306</v>
      </c>
      <c r="AI5" s="40" t="s">
        <v>235</v>
      </c>
      <c r="AK5">
        <v>4</v>
      </c>
      <c r="AL5">
        <v>114</v>
      </c>
    </row>
    <row r="6" spans="1:46" x14ac:dyDescent="0.25">
      <c r="A6" s="473"/>
      <c r="B6" s="139">
        <v>3</v>
      </c>
      <c r="C6">
        <f t="shared" si="0"/>
        <v>4</v>
      </c>
      <c r="D6">
        <f t="shared" si="0"/>
        <v>12</v>
      </c>
      <c r="E6">
        <f t="shared" si="0"/>
        <v>20</v>
      </c>
      <c r="AH6" s="81" t="str">
        <f>IF(AI5="Angreifer","Verluste des Angreifers","Verluste des Verteidigers")</f>
        <v>Verluste des Angreifers</v>
      </c>
      <c r="AI6" s="141">
        <v>0.1</v>
      </c>
      <c r="AK6">
        <v>5</v>
      </c>
      <c r="AL6">
        <v>120</v>
      </c>
    </row>
    <row r="7" spans="1:46" ht="15.75" thickBot="1" x14ac:dyDescent="0.3">
      <c r="A7" s="473"/>
      <c r="B7" s="139">
        <v>4</v>
      </c>
      <c r="C7">
        <f t="shared" si="0"/>
        <v>5</v>
      </c>
      <c r="D7">
        <f t="shared" si="0"/>
        <v>13</v>
      </c>
      <c r="E7">
        <f t="shared" si="0"/>
        <v>22</v>
      </c>
      <c r="F7">
        <f t="shared" si="0"/>
        <v>30</v>
      </c>
      <c r="AH7" s="88" t="s">
        <v>307</v>
      </c>
      <c r="AI7" s="341">
        <f>IF(AI5="Angreifer",(AI4)+(AI4*(1-AI6)),AI4*AI6)</f>
        <v>199.5</v>
      </c>
      <c r="AK7">
        <v>6</v>
      </c>
      <c r="AL7">
        <v>125</v>
      </c>
    </row>
    <row r="8" spans="1:46" x14ac:dyDescent="0.25">
      <c r="A8" s="473"/>
      <c r="B8" s="139">
        <v>5</v>
      </c>
      <c r="C8">
        <f t="shared" si="0"/>
        <v>5</v>
      </c>
      <c r="D8">
        <f t="shared" si="0"/>
        <v>14</v>
      </c>
      <c r="E8">
        <f t="shared" si="0"/>
        <v>24</v>
      </c>
      <c r="F8">
        <f t="shared" si="0"/>
        <v>33</v>
      </c>
      <c r="G8">
        <f t="shared" si="0"/>
        <v>42</v>
      </c>
      <c r="AH8" s="13"/>
      <c r="AI8" s="13"/>
      <c r="AK8">
        <v>7</v>
      </c>
      <c r="AL8">
        <v>131</v>
      </c>
    </row>
    <row r="9" spans="1:46" x14ac:dyDescent="0.25">
      <c r="A9" s="473"/>
      <c r="B9" s="139">
        <v>6</v>
      </c>
      <c r="C9">
        <f t="shared" si="0"/>
        <v>6</v>
      </c>
      <c r="D9">
        <f t="shared" si="0"/>
        <v>16</v>
      </c>
      <c r="E9">
        <f t="shared" si="0"/>
        <v>26</v>
      </c>
      <c r="F9">
        <f t="shared" si="0"/>
        <v>36</v>
      </c>
      <c r="G9">
        <f t="shared" si="0"/>
        <v>46</v>
      </c>
      <c r="H9">
        <f t="shared" si="0"/>
        <v>56</v>
      </c>
      <c r="AH9" s="13"/>
      <c r="AI9" s="297"/>
      <c r="AK9">
        <v>8</v>
      </c>
      <c r="AL9">
        <v>137</v>
      </c>
    </row>
    <row r="10" spans="1:46" x14ac:dyDescent="0.25">
      <c r="A10" s="473"/>
      <c r="B10" s="139">
        <v>7</v>
      </c>
      <c r="C10">
        <f t="shared" si="0"/>
        <v>6</v>
      </c>
      <c r="D10">
        <f t="shared" si="0"/>
        <v>17</v>
      </c>
      <c r="E10">
        <f t="shared" si="0"/>
        <v>28</v>
      </c>
      <c r="F10">
        <f t="shared" si="0"/>
        <v>39</v>
      </c>
      <c r="G10">
        <f t="shared" si="0"/>
        <v>50</v>
      </c>
      <c r="H10">
        <f t="shared" si="0"/>
        <v>61</v>
      </c>
      <c r="I10">
        <f t="shared" si="0"/>
        <v>72</v>
      </c>
      <c r="AH10" s="13"/>
      <c r="AI10" s="13"/>
      <c r="AK10">
        <v>9</v>
      </c>
      <c r="AL10">
        <v>143</v>
      </c>
    </row>
    <row r="11" spans="1:46" x14ac:dyDescent="0.25">
      <c r="A11" s="473"/>
      <c r="B11" s="139">
        <v>8</v>
      </c>
      <c r="C11">
        <f t="shared" si="0"/>
        <v>6</v>
      </c>
      <c r="D11">
        <f t="shared" si="0"/>
        <v>18</v>
      </c>
      <c r="E11">
        <f t="shared" si="0"/>
        <v>30</v>
      </c>
      <c r="F11">
        <f t="shared" si="0"/>
        <v>42</v>
      </c>
      <c r="G11">
        <f t="shared" si="0"/>
        <v>54</v>
      </c>
      <c r="H11">
        <f t="shared" si="0"/>
        <v>66</v>
      </c>
      <c r="I11">
        <f t="shared" si="0"/>
        <v>78</v>
      </c>
      <c r="J11">
        <f t="shared" si="0"/>
        <v>90</v>
      </c>
      <c r="AK11">
        <v>10</v>
      </c>
      <c r="AL11">
        <v>150</v>
      </c>
    </row>
    <row r="12" spans="1:46" x14ac:dyDescent="0.25">
      <c r="A12" s="473"/>
      <c r="B12" s="139">
        <v>9</v>
      </c>
      <c r="C12">
        <f t="shared" si="0"/>
        <v>7</v>
      </c>
      <c r="D12">
        <f t="shared" si="0"/>
        <v>20</v>
      </c>
      <c r="E12">
        <f t="shared" si="0"/>
        <v>33</v>
      </c>
      <c r="F12">
        <f t="shared" si="0"/>
        <v>46</v>
      </c>
      <c r="G12">
        <f t="shared" si="0"/>
        <v>59</v>
      </c>
      <c r="H12">
        <f t="shared" si="0"/>
        <v>72</v>
      </c>
      <c r="I12">
        <f t="shared" si="0"/>
        <v>85</v>
      </c>
      <c r="J12">
        <f t="shared" si="0"/>
        <v>98</v>
      </c>
      <c r="K12">
        <f t="shared" si="0"/>
        <v>111</v>
      </c>
    </row>
    <row r="13" spans="1:46" x14ac:dyDescent="0.25">
      <c r="A13" s="473"/>
      <c r="B13" s="139">
        <v>10</v>
      </c>
      <c r="C13">
        <f t="shared" si="0"/>
        <v>8</v>
      </c>
      <c r="D13">
        <f t="shared" si="0"/>
        <v>22</v>
      </c>
      <c r="E13">
        <f t="shared" si="0"/>
        <v>36</v>
      </c>
      <c r="F13">
        <f t="shared" si="0"/>
        <v>50</v>
      </c>
      <c r="G13">
        <f t="shared" si="0"/>
        <v>64</v>
      </c>
      <c r="H13">
        <f t="shared" si="0"/>
        <v>79</v>
      </c>
      <c r="I13">
        <f t="shared" si="0"/>
        <v>93</v>
      </c>
      <c r="J13">
        <f t="shared" si="0"/>
        <v>107</v>
      </c>
      <c r="K13">
        <f t="shared" si="0"/>
        <v>121</v>
      </c>
      <c r="L13">
        <f t="shared" si="0"/>
        <v>135</v>
      </c>
    </row>
    <row r="14" spans="1:46" x14ac:dyDescent="0.25">
      <c r="A14" s="473"/>
      <c r="B14" s="139">
        <v>11</v>
      </c>
      <c r="C14">
        <f t="shared" si="0"/>
        <v>8</v>
      </c>
      <c r="D14">
        <f t="shared" si="0"/>
        <v>24</v>
      </c>
      <c r="E14">
        <f t="shared" si="0"/>
        <v>39</v>
      </c>
      <c r="F14">
        <f t="shared" si="0"/>
        <v>55</v>
      </c>
      <c r="G14">
        <f t="shared" si="0"/>
        <v>70</v>
      </c>
      <c r="H14">
        <f t="shared" si="0"/>
        <v>86</v>
      </c>
      <c r="I14">
        <f t="shared" si="0"/>
        <v>101</v>
      </c>
      <c r="J14">
        <f t="shared" si="0"/>
        <v>117</v>
      </c>
      <c r="K14">
        <f t="shared" si="0"/>
        <v>132</v>
      </c>
      <c r="L14">
        <f t="shared" si="0"/>
        <v>148</v>
      </c>
      <c r="M14">
        <f t="shared" si="0"/>
        <v>163</v>
      </c>
    </row>
    <row r="15" spans="1:46" x14ac:dyDescent="0.25">
      <c r="A15" s="473"/>
      <c r="B15" s="139">
        <v>12</v>
      </c>
      <c r="C15">
        <f t="shared" si="0"/>
        <v>9</v>
      </c>
      <c r="D15">
        <f t="shared" si="0"/>
        <v>26</v>
      </c>
      <c r="E15">
        <f t="shared" si="0"/>
        <v>43</v>
      </c>
      <c r="F15">
        <f t="shared" si="0"/>
        <v>60</v>
      </c>
      <c r="G15">
        <f t="shared" si="0"/>
        <v>76</v>
      </c>
      <c r="H15">
        <f t="shared" si="0"/>
        <v>93</v>
      </c>
      <c r="I15">
        <f t="shared" si="0"/>
        <v>110</v>
      </c>
      <c r="J15">
        <f t="shared" si="0"/>
        <v>127</v>
      </c>
      <c r="K15">
        <f t="shared" si="0"/>
        <v>144</v>
      </c>
      <c r="L15">
        <f t="shared" si="0"/>
        <v>161</v>
      </c>
      <c r="M15">
        <f t="shared" si="0"/>
        <v>178</v>
      </c>
      <c r="N15">
        <f t="shared" si="0"/>
        <v>195</v>
      </c>
    </row>
    <row r="16" spans="1:46" x14ac:dyDescent="0.25">
      <c r="A16" s="473"/>
      <c r="B16" s="139">
        <v>13</v>
      </c>
      <c r="C16">
        <f t="shared" si="0"/>
        <v>10</v>
      </c>
      <c r="D16">
        <f t="shared" si="0"/>
        <v>28</v>
      </c>
      <c r="E16">
        <f t="shared" si="0"/>
        <v>46</v>
      </c>
      <c r="F16">
        <f t="shared" si="0"/>
        <v>65</v>
      </c>
      <c r="G16">
        <f t="shared" si="0"/>
        <v>83</v>
      </c>
      <c r="H16">
        <f t="shared" si="0"/>
        <v>102</v>
      </c>
      <c r="I16">
        <f t="shared" si="0"/>
        <v>120</v>
      </c>
      <c r="J16">
        <f t="shared" si="0"/>
        <v>138</v>
      </c>
      <c r="K16">
        <f t="shared" si="0"/>
        <v>157</v>
      </c>
      <c r="L16">
        <f t="shared" si="0"/>
        <v>175</v>
      </c>
      <c r="M16">
        <f t="shared" si="0"/>
        <v>194</v>
      </c>
      <c r="N16">
        <f t="shared" si="0"/>
        <v>212</v>
      </c>
      <c r="O16">
        <f t="shared" si="0"/>
        <v>230</v>
      </c>
    </row>
    <row r="17" spans="1:31" x14ac:dyDescent="0.25">
      <c r="A17" s="473"/>
      <c r="B17" s="139">
        <v>14</v>
      </c>
      <c r="C17">
        <f t="shared" si="0"/>
        <v>11</v>
      </c>
      <c r="D17">
        <f t="shared" si="0"/>
        <v>31</v>
      </c>
      <c r="E17">
        <f t="shared" si="0"/>
        <v>51</v>
      </c>
      <c r="F17">
        <f t="shared" si="0"/>
        <v>71</v>
      </c>
      <c r="G17">
        <f t="shared" si="0"/>
        <v>91</v>
      </c>
      <c r="H17">
        <f t="shared" si="0"/>
        <v>111</v>
      </c>
      <c r="I17">
        <f t="shared" si="0"/>
        <v>131</v>
      </c>
      <c r="J17">
        <f t="shared" si="0"/>
        <v>151</v>
      </c>
      <c r="K17">
        <f t="shared" si="0"/>
        <v>171</v>
      </c>
      <c r="L17">
        <f t="shared" si="0"/>
        <v>191</v>
      </c>
      <c r="M17">
        <f t="shared" si="0"/>
        <v>211</v>
      </c>
      <c r="N17">
        <f t="shared" si="0"/>
        <v>231</v>
      </c>
      <c r="O17">
        <f t="shared" si="0"/>
        <v>251</v>
      </c>
      <c r="P17">
        <f t="shared" si="0"/>
        <v>271</v>
      </c>
    </row>
    <row r="18" spans="1:31" x14ac:dyDescent="0.25">
      <c r="A18" s="473"/>
      <c r="B18" s="139">
        <v>15</v>
      </c>
      <c r="C18">
        <f t="shared" si="0"/>
        <v>11</v>
      </c>
      <c r="D18">
        <f t="shared" si="0"/>
        <v>33</v>
      </c>
      <c r="E18">
        <f t="shared" si="0"/>
        <v>55</v>
      </c>
      <c r="F18">
        <f t="shared" si="0"/>
        <v>77</v>
      </c>
      <c r="G18">
        <f t="shared" si="0"/>
        <v>99</v>
      </c>
      <c r="H18">
        <f t="shared" si="0"/>
        <v>121</v>
      </c>
      <c r="I18">
        <f t="shared" si="0"/>
        <v>143</v>
      </c>
      <c r="J18">
        <f t="shared" si="0"/>
        <v>164</v>
      </c>
      <c r="K18">
        <f t="shared" si="0"/>
        <v>186</v>
      </c>
      <c r="L18">
        <f t="shared" si="0"/>
        <v>208</v>
      </c>
      <c r="M18">
        <f t="shared" si="0"/>
        <v>230</v>
      </c>
      <c r="N18">
        <f t="shared" si="0"/>
        <v>252</v>
      </c>
      <c r="O18">
        <f t="shared" si="0"/>
        <v>274</v>
      </c>
      <c r="P18">
        <f t="shared" si="0"/>
        <v>296</v>
      </c>
      <c r="Q18">
        <f t="shared" si="0"/>
        <v>317</v>
      </c>
    </row>
    <row r="19" spans="1:31" x14ac:dyDescent="0.25">
      <c r="A19" s="473"/>
      <c r="B19" s="139">
        <v>16</v>
      </c>
      <c r="C19">
        <f t="shared" si="0"/>
        <v>12</v>
      </c>
      <c r="D19">
        <f t="shared" si="0"/>
        <v>36</v>
      </c>
      <c r="E19">
        <f t="shared" si="0"/>
        <v>60</v>
      </c>
      <c r="F19">
        <f t="shared" si="0"/>
        <v>84</v>
      </c>
      <c r="G19">
        <f t="shared" si="0"/>
        <v>108</v>
      </c>
      <c r="H19">
        <f t="shared" si="0"/>
        <v>132</v>
      </c>
      <c r="I19">
        <f t="shared" si="0"/>
        <v>155</v>
      </c>
      <c r="J19">
        <f t="shared" si="0"/>
        <v>179</v>
      </c>
      <c r="K19">
        <f t="shared" si="0"/>
        <v>203</v>
      </c>
      <c r="L19">
        <f t="shared" si="0"/>
        <v>227</v>
      </c>
      <c r="M19">
        <f t="shared" si="0"/>
        <v>251</v>
      </c>
      <c r="N19">
        <f t="shared" si="0"/>
        <v>274</v>
      </c>
      <c r="O19">
        <f t="shared" si="0"/>
        <v>298</v>
      </c>
      <c r="P19">
        <f t="shared" si="0"/>
        <v>322</v>
      </c>
      <c r="Q19">
        <f t="shared" si="0"/>
        <v>346</v>
      </c>
      <c r="R19">
        <f>ROUNDUP((R$3*600*((1.09)^$B19))/$Q$1,0)</f>
        <v>370</v>
      </c>
    </row>
    <row r="20" spans="1:31" x14ac:dyDescent="0.25">
      <c r="A20" s="473"/>
      <c r="B20" s="139">
        <v>17</v>
      </c>
      <c r="C20">
        <f t="shared" ref="C20:R30" si="1">ROUNDUP((C$3*600*((1.09)^$B20))/$Q$1,0)</f>
        <v>13</v>
      </c>
      <c r="D20">
        <f t="shared" si="1"/>
        <v>39</v>
      </c>
      <c r="E20">
        <f t="shared" si="1"/>
        <v>65</v>
      </c>
      <c r="F20">
        <f t="shared" si="1"/>
        <v>91</v>
      </c>
      <c r="G20">
        <f t="shared" si="1"/>
        <v>117</v>
      </c>
      <c r="H20">
        <f t="shared" si="1"/>
        <v>143</v>
      </c>
      <c r="I20">
        <f t="shared" si="1"/>
        <v>169</v>
      </c>
      <c r="J20">
        <f t="shared" si="1"/>
        <v>195</v>
      </c>
      <c r="K20">
        <f t="shared" si="1"/>
        <v>221</v>
      </c>
      <c r="L20">
        <f t="shared" si="1"/>
        <v>247</v>
      </c>
      <c r="M20">
        <f t="shared" si="1"/>
        <v>273</v>
      </c>
      <c r="N20">
        <f t="shared" si="1"/>
        <v>299</v>
      </c>
      <c r="O20">
        <f t="shared" si="1"/>
        <v>325</v>
      </c>
      <c r="P20">
        <f t="shared" si="1"/>
        <v>351</v>
      </c>
      <c r="Q20">
        <f t="shared" si="1"/>
        <v>377</v>
      </c>
      <c r="R20">
        <f t="shared" si="1"/>
        <v>403</v>
      </c>
      <c r="S20">
        <f t="shared" ref="S20:S30" si="2">ROUNDUP((S$3*600*((1.09)^$B20))/$Q$1,0)</f>
        <v>429</v>
      </c>
    </row>
    <row r="21" spans="1:31" x14ac:dyDescent="0.25">
      <c r="A21" s="473"/>
      <c r="B21" s="139">
        <v>18</v>
      </c>
      <c r="C21">
        <f t="shared" si="1"/>
        <v>15</v>
      </c>
      <c r="D21">
        <f t="shared" si="1"/>
        <v>43</v>
      </c>
      <c r="E21">
        <f t="shared" si="1"/>
        <v>71</v>
      </c>
      <c r="F21">
        <f t="shared" si="1"/>
        <v>100</v>
      </c>
      <c r="G21">
        <f t="shared" si="1"/>
        <v>128</v>
      </c>
      <c r="H21">
        <f t="shared" si="1"/>
        <v>156</v>
      </c>
      <c r="I21">
        <f t="shared" si="1"/>
        <v>184</v>
      </c>
      <c r="J21">
        <f t="shared" si="1"/>
        <v>213</v>
      </c>
      <c r="K21">
        <f t="shared" si="1"/>
        <v>241</v>
      </c>
      <c r="L21">
        <f t="shared" si="1"/>
        <v>269</v>
      </c>
      <c r="M21">
        <f t="shared" si="1"/>
        <v>298</v>
      </c>
      <c r="N21">
        <f t="shared" si="1"/>
        <v>326</v>
      </c>
      <c r="O21">
        <f t="shared" si="1"/>
        <v>354</v>
      </c>
      <c r="P21">
        <f t="shared" si="1"/>
        <v>383</v>
      </c>
      <c r="Q21">
        <f t="shared" si="1"/>
        <v>411</v>
      </c>
      <c r="R21">
        <f t="shared" si="1"/>
        <v>439</v>
      </c>
      <c r="S21">
        <f t="shared" si="2"/>
        <v>467</v>
      </c>
      <c r="T21">
        <f t="shared" ref="T21:T30" si="3">ROUNDUP((T$3*600*((1.09)^$B21))/$Q$1,0)</f>
        <v>496</v>
      </c>
    </row>
    <row r="22" spans="1:31" x14ac:dyDescent="0.25">
      <c r="A22" s="473"/>
      <c r="B22" s="139">
        <v>19</v>
      </c>
      <c r="C22">
        <f t="shared" si="1"/>
        <v>16</v>
      </c>
      <c r="D22">
        <f t="shared" si="1"/>
        <v>47</v>
      </c>
      <c r="E22">
        <f t="shared" si="1"/>
        <v>78</v>
      </c>
      <c r="F22">
        <f t="shared" si="1"/>
        <v>108</v>
      </c>
      <c r="G22">
        <f t="shared" si="1"/>
        <v>139</v>
      </c>
      <c r="H22">
        <f t="shared" si="1"/>
        <v>170</v>
      </c>
      <c r="I22">
        <f t="shared" si="1"/>
        <v>201</v>
      </c>
      <c r="J22">
        <f t="shared" si="1"/>
        <v>232</v>
      </c>
      <c r="K22">
        <f t="shared" si="1"/>
        <v>263</v>
      </c>
      <c r="L22">
        <f t="shared" si="1"/>
        <v>294</v>
      </c>
      <c r="M22">
        <f t="shared" si="1"/>
        <v>324</v>
      </c>
      <c r="N22">
        <f t="shared" si="1"/>
        <v>355</v>
      </c>
      <c r="O22">
        <f t="shared" si="1"/>
        <v>386</v>
      </c>
      <c r="P22">
        <f t="shared" si="1"/>
        <v>417</v>
      </c>
      <c r="Q22">
        <f t="shared" si="1"/>
        <v>448</v>
      </c>
      <c r="R22">
        <f t="shared" si="1"/>
        <v>479</v>
      </c>
      <c r="S22">
        <f t="shared" si="2"/>
        <v>510</v>
      </c>
      <c r="T22">
        <f t="shared" si="3"/>
        <v>540</v>
      </c>
      <c r="U22">
        <f t="shared" ref="U22:U30" si="4">ROUNDUP((U$3*600*((1.09)^$B22))/$Q$1,0)</f>
        <v>571</v>
      </c>
    </row>
    <row r="23" spans="1:31" x14ac:dyDescent="0.25">
      <c r="A23" s="473"/>
      <c r="B23" s="139">
        <v>20</v>
      </c>
      <c r="C23">
        <f t="shared" si="1"/>
        <v>17</v>
      </c>
      <c r="D23">
        <f t="shared" si="1"/>
        <v>51</v>
      </c>
      <c r="E23">
        <f t="shared" si="1"/>
        <v>85</v>
      </c>
      <c r="F23">
        <f t="shared" si="1"/>
        <v>118</v>
      </c>
      <c r="G23">
        <f t="shared" si="1"/>
        <v>152</v>
      </c>
      <c r="H23">
        <f t="shared" si="1"/>
        <v>185</v>
      </c>
      <c r="I23">
        <f t="shared" si="1"/>
        <v>219</v>
      </c>
      <c r="J23">
        <f t="shared" si="1"/>
        <v>253</v>
      </c>
      <c r="K23">
        <f t="shared" si="1"/>
        <v>286</v>
      </c>
      <c r="L23">
        <f t="shared" si="1"/>
        <v>320</v>
      </c>
      <c r="M23">
        <f t="shared" si="1"/>
        <v>354</v>
      </c>
      <c r="N23">
        <f t="shared" si="1"/>
        <v>387</v>
      </c>
      <c r="O23">
        <f t="shared" si="1"/>
        <v>421</v>
      </c>
      <c r="P23">
        <f t="shared" si="1"/>
        <v>454</v>
      </c>
      <c r="Q23">
        <f t="shared" si="1"/>
        <v>488</v>
      </c>
      <c r="R23">
        <f t="shared" si="1"/>
        <v>522</v>
      </c>
      <c r="S23">
        <f t="shared" si="2"/>
        <v>555</v>
      </c>
      <c r="T23">
        <f t="shared" si="3"/>
        <v>589</v>
      </c>
      <c r="U23">
        <f t="shared" si="4"/>
        <v>623</v>
      </c>
      <c r="V23">
        <f t="shared" ref="V23:V30" si="5">ROUNDUP((V$3*600*((1.09)^$B23))/$Q$1,0)</f>
        <v>656</v>
      </c>
    </row>
    <row r="24" spans="1:31" x14ac:dyDescent="0.25">
      <c r="A24" s="473"/>
      <c r="B24" s="139">
        <v>21</v>
      </c>
      <c r="C24">
        <f t="shared" si="1"/>
        <v>19</v>
      </c>
      <c r="D24">
        <f t="shared" si="1"/>
        <v>55</v>
      </c>
      <c r="E24">
        <f t="shared" si="1"/>
        <v>92</v>
      </c>
      <c r="F24">
        <f t="shared" si="1"/>
        <v>129</v>
      </c>
      <c r="G24">
        <f t="shared" si="1"/>
        <v>165</v>
      </c>
      <c r="H24">
        <f t="shared" si="1"/>
        <v>202</v>
      </c>
      <c r="I24">
        <f t="shared" si="1"/>
        <v>239</v>
      </c>
      <c r="J24">
        <f t="shared" si="1"/>
        <v>275</v>
      </c>
      <c r="K24">
        <f t="shared" si="1"/>
        <v>312</v>
      </c>
      <c r="L24">
        <f t="shared" si="1"/>
        <v>349</v>
      </c>
      <c r="M24">
        <f t="shared" si="1"/>
        <v>385</v>
      </c>
      <c r="N24">
        <f t="shared" si="1"/>
        <v>422</v>
      </c>
      <c r="O24">
        <f t="shared" si="1"/>
        <v>459</v>
      </c>
      <c r="P24">
        <f t="shared" si="1"/>
        <v>495</v>
      </c>
      <c r="Q24">
        <f t="shared" si="1"/>
        <v>532</v>
      </c>
      <c r="R24">
        <f t="shared" si="1"/>
        <v>569</v>
      </c>
      <c r="S24">
        <f t="shared" si="2"/>
        <v>605</v>
      </c>
      <c r="T24">
        <f t="shared" si="3"/>
        <v>642</v>
      </c>
      <c r="U24">
        <f t="shared" si="4"/>
        <v>679</v>
      </c>
      <c r="V24">
        <f t="shared" si="5"/>
        <v>715</v>
      </c>
      <c r="W24">
        <f t="shared" ref="W24:W30" si="6">ROUNDUP((W$3*600*((1.09)^$B24))/$Q$1,0)</f>
        <v>752</v>
      </c>
    </row>
    <row r="25" spans="1:31" x14ac:dyDescent="0.25">
      <c r="A25" s="473"/>
      <c r="B25" s="139">
        <v>22</v>
      </c>
      <c r="C25">
        <f t="shared" si="1"/>
        <v>20</v>
      </c>
      <c r="D25">
        <f t="shared" si="1"/>
        <v>60</v>
      </c>
      <c r="E25">
        <f t="shared" si="1"/>
        <v>100</v>
      </c>
      <c r="F25">
        <f t="shared" si="1"/>
        <v>140</v>
      </c>
      <c r="G25">
        <f t="shared" si="1"/>
        <v>180</v>
      </c>
      <c r="H25">
        <f t="shared" si="1"/>
        <v>220</v>
      </c>
      <c r="I25">
        <f t="shared" si="1"/>
        <v>260</v>
      </c>
      <c r="J25">
        <f t="shared" si="1"/>
        <v>300</v>
      </c>
      <c r="K25">
        <f t="shared" si="1"/>
        <v>340</v>
      </c>
      <c r="L25">
        <f t="shared" si="1"/>
        <v>380</v>
      </c>
      <c r="M25">
        <f t="shared" si="1"/>
        <v>420</v>
      </c>
      <c r="N25">
        <f t="shared" si="1"/>
        <v>460</v>
      </c>
      <c r="O25">
        <f t="shared" si="1"/>
        <v>500</v>
      </c>
      <c r="P25">
        <f t="shared" si="1"/>
        <v>540</v>
      </c>
      <c r="Q25">
        <f t="shared" si="1"/>
        <v>580</v>
      </c>
      <c r="R25">
        <f t="shared" si="1"/>
        <v>620</v>
      </c>
      <c r="S25">
        <f t="shared" si="2"/>
        <v>660</v>
      </c>
      <c r="T25">
        <f t="shared" si="3"/>
        <v>700</v>
      </c>
      <c r="U25">
        <f t="shared" si="4"/>
        <v>740</v>
      </c>
      <c r="V25">
        <f t="shared" si="5"/>
        <v>780</v>
      </c>
      <c r="W25">
        <f t="shared" si="6"/>
        <v>820</v>
      </c>
      <c r="X25">
        <f t="shared" ref="X25:X30" si="7">ROUNDUP((X$3*600*((1.09)^$B25))/$Q$1,0)</f>
        <v>859</v>
      </c>
    </row>
    <row r="26" spans="1:31" x14ac:dyDescent="0.25">
      <c r="A26" s="473"/>
      <c r="B26" s="139">
        <v>23</v>
      </c>
      <c r="C26">
        <f t="shared" si="1"/>
        <v>22</v>
      </c>
      <c r="D26">
        <f t="shared" si="1"/>
        <v>66</v>
      </c>
      <c r="E26">
        <f t="shared" si="1"/>
        <v>109</v>
      </c>
      <c r="F26">
        <f t="shared" si="1"/>
        <v>153</v>
      </c>
      <c r="G26">
        <f t="shared" si="1"/>
        <v>196</v>
      </c>
      <c r="H26">
        <f t="shared" si="1"/>
        <v>240</v>
      </c>
      <c r="I26">
        <f t="shared" si="1"/>
        <v>284</v>
      </c>
      <c r="J26">
        <f t="shared" si="1"/>
        <v>327</v>
      </c>
      <c r="K26">
        <f t="shared" si="1"/>
        <v>371</v>
      </c>
      <c r="L26">
        <f t="shared" si="1"/>
        <v>414</v>
      </c>
      <c r="M26">
        <f t="shared" si="1"/>
        <v>458</v>
      </c>
      <c r="N26">
        <f t="shared" si="1"/>
        <v>501</v>
      </c>
      <c r="O26">
        <f t="shared" si="1"/>
        <v>545</v>
      </c>
      <c r="P26">
        <f t="shared" si="1"/>
        <v>588</v>
      </c>
      <c r="Q26">
        <f t="shared" si="1"/>
        <v>632</v>
      </c>
      <c r="R26">
        <f t="shared" si="1"/>
        <v>675</v>
      </c>
      <c r="S26">
        <f t="shared" si="2"/>
        <v>719</v>
      </c>
      <c r="T26">
        <f t="shared" si="3"/>
        <v>763</v>
      </c>
      <c r="U26">
        <f t="shared" si="4"/>
        <v>806</v>
      </c>
      <c r="V26">
        <f t="shared" si="5"/>
        <v>850</v>
      </c>
      <c r="W26">
        <f t="shared" si="6"/>
        <v>893</v>
      </c>
      <c r="X26">
        <f t="shared" si="7"/>
        <v>937</v>
      </c>
      <c r="Y26">
        <f>ROUNDUP((Y$3*600*((1.09)^$B26))/$Q$1,0)</f>
        <v>980</v>
      </c>
    </row>
    <row r="27" spans="1:31" x14ac:dyDescent="0.25">
      <c r="A27" s="473"/>
      <c r="B27" s="139">
        <v>24</v>
      </c>
      <c r="C27">
        <f t="shared" si="1"/>
        <v>24</v>
      </c>
      <c r="D27">
        <f t="shared" si="1"/>
        <v>72</v>
      </c>
      <c r="E27">
        <f t="shared" si="1"/>
        <v>119</v>
      </c>
      <c r="F27">
        <f t="shared" si="1"/>
        <v>167</v>
      </c>
      <c r="G27">
        <f t="shared" si="1"/>
        <v>214</v>
      </c>
      <c r="H27">
        <f t="shared" si="1"/>
        <v>262</v>
      </c>
      <c r="I27">
        <f t="shared" si="1"/>
        <v>309</v>
      </c>
      <c r="J27">
        <f t="shared" si="1"/>
        <v>356</v>
      </c>
      <c r="K27">
        <f t="shared" si="1"/>
        <v>404</v>
      </c>
      <c r="L27">
        <f t="shared" si="1"/>
        <v>451</v>
      </c>
      <c r="M27">
        <f t="shared" si="1"/>
        <v>499</v>
      </c>
      <c r="N27">
        <f t="shared" si="1"/>
        <v>546</v>
      </c>
      <c r="O27">
        <f t="shared" si="1"/>
        <v>594</v>
      </c>
      <c r="P27">
        <f t="shared" si="1"/>
        <v>641</v>
      </c>
      <c r="Q27">
        <f t="shared" si="1"/>
        <v>689</v>
      </c>
      <c r="R27">
        <f t="shared" si="1"/>
        <v>736</v>
      </c>
      <c r="S27">
        <f t="shared" si="2"/>
        <v>784</v>
      </c>
      <c r="T27">
        <f t="shared" si="3"/>
        <v>831</v>
      </c>
      <c r="U27">
        <f t="shared" si="4"/>
        <v>879</v>
      </c>
      <c r="V27">
        <f t="shared" si="5"/>
        <v>926</v>
      </c>
      <c r="W27">
        <f t="shared" si="6"/>
        <v>974</v>
      </c>
      <c r="X27">
        <f t="shared" si="7"/>
        <v>1021</v>
      </c>
      <c r="Y27">
        <f>ROUNDUP((Y$3*600*((1.09)^$B27))/$Q$1,0)</f>
        <v>1068</v>
      </c>
      <c r="Z27">
        <f>ROUNDUP((Z$3*600*((1.09)^$B27))/$Q$1,0)</f>
        <v>1116</v>
      </c>
    </row>
    <row r="28" spans="1:31" x14ac:dyDescent="0.25">
      <c r="A28" s="473"/>
      <c r="B28" s="139">
        <v>25</v>
      </c>
      <c r="C28">
        <f t="shared" si="1"/>
        <v>26</v>
      </c>
      <c r="D28">
        <f t="shared" si="1"/>
        <v>78</v>
      </c>
      <c r="E28">
        <f t="shared" si="1"/>
        <v>130</v>
      </c>
      <c r="F28">
        <f t="shared" si="1"/>
        <v>182</v>
      </c>
      <c r="G28">
        <f t="shared" si="1"/>
        <v>233</v>
      </c>
      <c r="H28">
        <f t="shared" si="1"/>
        <v>285</v>
      </c>
      <c r="I28">
        <f t="shared" si="1"/>
        <v>337</v>
      </c>
      <c r="J28">
        <f t="shared" si="1"/>
        <v>389</v>
      </c>
      <c r="K28">
        <f t="shared" si="1"/>
        <v>440</v>
      </c>
      <c r="L28">
        <f t="shared" si="1"/>
        <v>492</v>
      </c>
      <c r="M28">
        <f t="shared" si="1"/>
        <v>544</v>
      </c>
      <c r="N28">
        <f t="shared" si="1"/>
        <v>595</v>
      </c>
      <c r="O28">
        <f t="shared" si="1"/>
        <v>647</v>
      </c>
      <c r="P28">
        <f t="shared" si="1"/>
        <v>699</v>
      </c>
      <c r="Q28">
        <f t="shared" si="1"/>
        <v>751</v>
      </c>
      <c r="R28">
        <f t="shared" si="1"/>
        <v>802</v>
      </c>
      <c r="S28">
        <f t="shared" si="2"/>
        <v>854</v>
      </c>
      <c r="T28">
        <f t="shared" si="3"/>
        <v>906</v>
      </c>
      <c r="U28">
        <f t="shared" si="4"/>
        <v>958</v>
      </c>
      <c r="V28">
        <f t="shared" si="5"/>
        <v>1009</v>
      </c>
      <c r="W28">
        <f t="shared" si="6"/>
        <v>1061</v>
      </c>
      <c r="X28">
        <f t="shared" si="7"/>
        <v>1113</v>
      </c>
      <c r="Y28">
        <f>ROUNDUP((Y$3*600*((1.09)^$B28))/$Q$1,0)</f>
        <v>1165</v>
      </c>
      <c r="Z28">
        <f>ROUNDUP((Z$3*600*((1.09)^$B28))/$Q$1,0)</f>
        <v>1216</v>
      </c>
      <c r="AA28">
        <f>ROUNDUP((AA$3*600*((1.09)^$B28))/$Q$1,0)</f>
        <v>1268</v>
      </c>
    </row>
    <row r="29" spans="1:31" x14ac:dyDescent="0.25">
      <c r="A29" s="473"/>
      <c r="B29" s="139">
        <v>26</v>
      </c>
      <c r="C29">
        <f t="shared" si="1"/>
        <v>29</v>
      </c>
      <c r="D29">
        <f t="shared" si="1"/>
        <v>85</v>
      </c>
      <c r="E29">
        <f t="shared" si="1"/>
        <v>141</v>
      </c>
      <c r="F29">
        <f t="shared" si="1"/>
        <v>198</v>
      </c>
      <c r="G29">
        <f t="shared" si="1"/>
        <v>254</v>
      </c>
      <c r="H29">
        <f t="shared" si="1"/>
        <v>311</v>
      </c>
      <c r="I29">
        <f t="shared" si="1"/>
        <v>367</v>
      </c>
      <c r="J29">
        <f t="shared" si="1"/>
        <v>423</v>
      </c>
      <c r="K29">
        <f t="shared" si="1"/>
        <v>480</v>
      </c>
      <c r="L29">
        <f t="shared" si="1"/>
        <v>536</v>
      </c>
      <c r="M29">
        <f t="shared" si="1"/>
        <v>593</v>
      </c>
      <c r="N29">
        <f t="shared" si="1"/>
        <v>649</v>
      </c>
      <c r="O29">
        <f t="shared" si="1"/>
        <v>705</v>
      </c>
      <c r="P29">
        <f t="shared" si="1"/>
        <v>762</v>
      </c>
      <c r="Q29">
        <f t="shared" si="1"/>
        <v>818</v>
      </c>
      <c r="R29">
        <f t="shared" si="1"/>
        <v>875</v>
      </c>
      <c r="S29">
        <f t="shared" si="2"/>
        <v>931</v>
      </c>
      <c r="T29">
        <f t="shared" si="3"/>
        <v>987</v>
      </c>
      <c r="U29">
        <f t="shared" si="4"/>
        <v>1044</v>
      </c>
      <c r="V29">
        <f t="shared" si="5"/>
        <v>1100</v>
      </c>
      <c r="W29">
        <f t="shared" si="6"/>
        <v>1157</v>
      </c>
      <c r="X29">
        <f t="shared" si="7"/>
        <v>1213</v>
      </c>
      <c r="Y29">
        <f>ROUNDUP((Y$3*600*((1.09)^$B29))/$Q$1,0)</f>
        <v>1269</v>
      </c>
      <c r="Z29">
        <f>ROUNDUP((Z$3*600*((1.09)^$B29))/$Q$1,0)</f>
        <v>1326</v>
      </c>
      <c r="AA29">
        <f>ROUNDUP((AA$3*600*((1.09)^$B29))/$Q$1,0)</f>
        <v>1382</v>
      </c>
      <c r="AB29">
        <f>ROUNDUP((AB$3*600*((1.09)^$B29))/$Q$1,0)</f>
        <v>1439</v>
      </c>
    </row>
    <row r="30" spans="1:31" x14ac:dyDescent="0.25">
      <c r="A30" s="473"/>
      <c r="B30" s="139">
        <v>27</v>
      </c>
      <c r="C30">
        <f t="shared" si="1"/>
        <v>31</v>
      </c>
      <c r="D30">
        <f t="shared" si="1"/>
        <v>93</v>
      </c>
      <c r="E30">
        <f t="shared" si="1"/>
        <v>154</v>
      </c>
      <c r="F30">
        <f t="shared" si="1"/>
        <v>216</v>
      </c>
      <c r="G30">
        <f t="shared" si="1"/>
        <v>277</v>
      </c>
      <c r="H30">
        <f t="shared" si="1"/>
        <v>339</v>
      </c>
      <c r="I30">
        <f t="shared" si="1"/>
        <v>400</v>
      </c>
      <c r="J30">
        <f t="shared" si="1"/>
        <v>462</v>
      </c>
      <c r="K30">
        <f t="shared" si="1"/>
        <v>523</v>
      </c>
      <c r="L30">
        <f t="shared" si="1"/>
        <v>584</v>
      </c>
      <c r="M30">
        <f t="shared" si="1"/>
        <v>646</v>
      </c>
      <c r="N30">
        <f t="shared" si="1"/>
        <v>707</v>
      </c>
      <c r="O30">
        <f t="shared" si="1"/>
        <v>769</v>
      </c>
      <c r="P30">
        <f t="shared" si="1"/>
        <v>830</v>
      </c>
      <c r="Q30">
        <f t="shared" si="1"/>
        <v>892</v>
      </c>
      <c r="R30">
        <f t="shared" si="1"/>
        <v>953</v>
      </c>
      <c r="S30">
        <f t="shared" si="2"/>
        <v>1015</v>
      </c>
      <c r="T30">
        <f t="shared" si="3"/>
        <v>1076</v>
      </c>
      <c r="U30">
        <f t="shared" si="4"/>
        <v>1138</v>
      </c>
      <c r="V30">
        <f t="shared" si="5"/>
        <v>1199</v>
      </c>
      <c r="W30">
        <f t="shared" si="6"/>
        <v>1261</v>
      </c>
      <c r="X30">
        <f t="shared" si="7"/>
        <v>1322</v>
      </c>
      <c r="Y30">
        <f>ROUNDUP((Y$3*600*((1.09)^$B30))/$Q$1,0)</f>
        <v>1384</v>
      </c>
      <c r="Z30">
        <f>ROUNDUP((Z$3*600*((1.09)^$B30))/$Q$1,0)</f>
        <v>1445</v>
      </c>
      <c r="AA30">
        <f>ROUNDUP((AA$3*600*((1.09)^$B30))/$Q$1,0)</f>
        <v>1507</v>
      </c>
      <c r="AB30">
        <f>ROUNDUP((AB$3*600*((1.09)^$B30))/$Q$1,0)</f>
        <v>1568</v>
      </c>
      <c r="AC30">
        <f>ROUNDUP((AC$3*600*((1.09)^$B30))/$Q$1,0)</f>
        <v>1629</v>
      </c>
    </row>
    <row r="31" spans="1:31" x14ac:dyDescent="0.25">
      <c r="A31" s="473"/>
      <c r="B31" s="139">
        <v>28</v>
      </c>
      <c r="C31">
        <f t="shared" ref="C31:AE33" si="8">ROUNDUP((C$3*600*((1.09)^$B31))/$Q$1,0)</f>
        <v>34</v>
      </c>
      <c r="D31">
        <f t="shared" si="8"/>
        <v>101</v>
      </c>
      <c r="E31">
        <f t="shared" si="8"/>
        <v>168</v>
      </c>
      <c r="F31">
        <f t="shared" si="8"/>
        <v>235</v>
      </c>
      <c r="G31">
        <f t="shared" si="8"/>
        <v>302</v>
      </c>
      <c r="H31">
        <f t="shared" si="8"/>
        <v>369</v>
      </c>
      <c r="I31">
        <f t="shared" si="8"/>
        <v>436</v>
      </c>
      <c r="J31">
        <f t="shared" si="8"/>
        <v>503</v>
      </c>
      <c r="K31">
        <f t="shared" si="8"/>
        <v>570</v>
      </c>
      <c r="L31">
        <f t="shared" si="8"/>
        <v>637</v>
      </c>
      <c r="M31">
        <f t="shared" si="8"/>
        <v>704</v>
      </c>
      <c r="N31">
        <f t="shared" si="8"/>
        <v>771</v>
      </c>
      <c r="O31">
        <f t="shared" si="8"/>
        <v>838</v>
      </c>
      <c r="P31">
        <f t="shared" si="8"/>
        <v>905</v>
      </c>
      <c r="Q31">
        <f t="shared" si="8"/>
        <v>972</v>
      </c>
      <c r="R31">
        <f t="shared" si="8"/>
        <v>1039</v>
      </c>
      <c r="S31">
        <f t="shared" si="8"/>
        <v>1106</v>
      </c>
      <c r="T31">
        <f t="shared" si="8"/>
        <v>1173</v>
      </c>
      <c r="U31">
        <f t="shared" si="8"/>
        <v>1240</v>
      </c>
      <c r="V31">
        <f t="shared" si="8"/>
        <v>1307</v>
      </c>
      <c r="W31">
        <f t="shared" si="8"/>
        <v>1374</v>
      </c>
      <c r="X31">
        <f t="shared" si="8"/>
        <v>1441</v>
      </c>
      <c r="Y31">
        <f t="shared" si="8"/>
        <v>1508</v>
      </c>
      <c r="Z31">
        <f t="shared" si="8"/>
        <v>1575</v>
      </c>
      <c r="AA31">
        <f t="shared" si="8"/>
        <v>1642</v>
      </c>
      <c r="AB31">
        <f t="shared" si="8"/>
        <v>1709</v>
      </c>
      <c r="AC31">
        <f t="shared" si="8"/>
        <v>1776</v>
      </c>
      <c r="AD31">
        <f t="shared" si="8"/>
        <v>1843</v>
      </c>
    </row>
    <row r="32" spans="1:31" x14ac:dyDescent="0.25">
      <c r="A32" s="473"/>
      <c r="B32" s="139">
        <v>29</v>
      </c>
      <c r="C32">
        <f t="shared" si="8"/>
        <v>37</v>
      </c>
      <c r="D32">
        <f t="shared" si="8"/>
        <v>110</v>
      </c>
      <c r="E32">
        <f t="shared" si="8"/>
        <v>183</v>
      </c>
      <c r="F32">
        <f t="shared" si="8"/>
        <v>256</v>
      </c>
      <c r="G32">
        <f t="shared" si="8"/>
        <v>329</v>
      </c>
      <c r="H32">
        <f t="shared" si="8"/>
        <v>402</v>
      </c>
      <c r="I32">
        <f t="shared" si="8"/>
        <v>475</v>
      </c>
      <c r="J32">
        <f t="shared" si="8"/>
        <v>548</v>
      </c>
      <c r="K32">
        <f t="shared" si="8"/>
        <v>621</v>
      </c>
      <c r="L32">
        <f t="shared" si="8"/>
        <v>694</v>
      </c>
      <c r="M32">
        <f t="shared" si="8"/>
        <v>767</v>
      </c>
      <c r="N32">
        <f t="shared" si="8"/>
        <v>840</v>
      </c>
      <c r="O32">
        <f t="shared" si="8"/>
        <v>913</v>
      </c>
      <c r="P32">
        <f t="shared" si="8"/>
        <v>986</v>
      </c>
      <c r="Q32">
        <f t="shared" si="8"/>
        <v>1059</v>
      </c>
      <c r="R32">
        <f t="shared" si="8"/>
        <v>1133</v>
      </c>
      <c r="S32">
        <f t="shared" si="8"/>
        <v>1206</v>
      </c>
      <c r="T32">
        <f t="shared" si="8"/>
        <v>1279</v>
      </c>
      <c r="U32">
        <f t="shared" si="8"/>
        <v>1352</v>
      </c>
      <c r="V32">
        <f t="shared" si="8"/>
        <v>1425</v>
      </c>
      <c r="W32">
        <f t="shared" si="8"/>
        <v>1498</v>
      </c>
      <c r="X32">
        <f t="shared" si="8"/>
        <v>1571</v>
      </c>
      <c r="Y32">
        <f t="shared" si="8"/>
        <v>1644</v>
      </c>
      <c r="Z32">
        <f t="shared" si="8"/>
        <v>1717</v>
      </c>
      <c r="AA32">
        <f t="shared" si="8"/>
        <v>1790</v>
      </c>
      <c r="AB32">
        <f t="shared" si="8"/>
        <v>1863</v>
      </c>
      <c r="AC32">
        <f t="shared" si="8"/>
        <v>1936</v>
      </c>
      <c r="AD32">
        <f t="shared" si="8"/>
        <v>2009</v>
      </c>
      <c r="AE32">
        <f t="shared" si="8"/>
        <v>2082</v>
      </c>
    </row>
    <row r="33" spans="1:32" x14ac:dyDescent="0.25">
      <c r="A33" s="473"/>
      <c r="B33" s="139">
        <v>30</v>
      </c>
      <c r="C33">
        <f t="shared" si="8"/>
        <v>40</v>
      </c>
      <c r="D33">
        <f t="shared" si="8"/>
        <v>120</v>
      </c>
      <c r="E33">
        <f t="shared" si="8"/>
        <v>200</v>
      </c>
      <c r="F33">
        <f t="shared" si="8"/>
        <v>279</v>
      </c>
      <c r="G33">
        <f t="shared" si="8"/>
        <v>359</v>
      </c>
      <c r="H33">
        <f t="shared" si="8"/>
        <v>438</v>
      </c>
      <c r="I33">
        <f t="shared" si="8"/>
        <v>518</v>
      </c>
      <c r="J33">
        <f t="shared" si="8"/>
        <v>598</v>
      </c>
      <c r="K33">
        <f t="shared" si="8"/>
        <v>677</v>
      </c>
      <c r="L33">
        <f t="shared" si="8"/>
        <v>757</v>
      </c>
      <c r="M33">
        <f t="shared" si="8"/>
        <v>836</v>
      </c>
      <c r="N33">
        <f t="shared" si="8"/>
        <v>916</v>
      </c>
      <c r="O33">
        <f t="shared" si="8"/>
        <v>996</v>
      </c>
      <c r="P33">
        <f t="shared" si="8"/>
        <v>1075</v>
      </c>
      <c r="Q33">
        <f t="shared" si="8"/>
        <v>1155</v>
      </c>
      <c r="R33">
        <f t="shared" si="8"/>
        <v>1234</v>
      </c>
      <c r="S33">
        <f t="shared" si="8"/>
        <v>1314</v>
      </c>
      <c r="T33">
        <f t="shared" si="8"/>
        <v>1394</v>
      </c>
      <c r="U33">
        <f t="shared" si="8"/>
        <v>1473</v>
      </c>
      <c r="V33">
        <f t="shared" si="8"/>
        <v>1553</v>
      </c>
      <c r="W33">
        <f t="shared" si="8"/>
        <v>1632</v>
      </c>
      <c r="X33">
        <f t="shared" si="8"/>
        <v>1712</v>
      </c>
      <c r="Y33">
        <f t="shared" si="8"/>
        <v>1792</v>
      </c>
      <c r="Z33">
        <f t="shared" si="8"/>
        <v>1871</v>
      </c>
      <c r="AA33">
        <f t="shared" si="8"/>
        <v>1951</v>
      </c>
      <c r="AB33">
        <f t="shared" si="8"/>
        <v>2030</v>
      </c>
      <c r="AC33">
        <f t="shared" si="8"/>
        <v>2110</v>
      </c>
      <c r="AD33">
        <f t="shared" si="8"/>
        <v>2190</v>
      </c>
      <c r="AE33">
        <f t="shared" si="8"/>
        <v>2269</v>
      </c>
      <c r="AF33">
        <f>ROUNDUP((AF$3*600*((1.09)^$B33))/$Q$1,0)</f>
        <v>2349</v>
      </c>
    </row>
  </sheetData>
  <mergeCells count="5">
    <mergeCell ref="E1:G1"/>
    <mergeCell ref="L1:P1"/>
    <mergeCell ref="W1:X1"/>
    <mergeCell ref="C2:AF2"/>
    <mergeCell ref="A3:A33"/>
  </mergeCells>
  <dataValidations count="2">
    <dataValidation type="list" allowBlank="1" showInputMessage="1" showErrorMessage="1" sqref="W1">
      <formula1>$AT$1:$AT$3</formula1>
    </dataValidation>
    <dataValidation type="list" allowBlank="1" showInputMessage="1" showErrorMessage="1" sqref="AI5">
      <formula1>"Angreifer,Verteidiger"</formula1>
    </dataValidation>
  </dataValidations>
  <pageMargins left="0.7" right="0.7" top="0.78740157499999996" bottom="0.78740157499999996"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H20"/>
  <sheetViews>
    <sheetView workbookViewId="0">
      <selection activeCell="G12" sqref="G12"/>
    </sheetView>
  </sheetViews>
  <sheetFormatPr baseColWidth="10" defaultRowHeight="15" x14ac:dyDescent="0.25"/>
  <cols>
    <col min="1" max="1" width="21.42578125" bestFit="1" customWidth="1"/>
    <col min="6" max="6" width="21.42578125" bestFit="1" customWidth="1"/>
    <col min="7" max="7" width="10.42578125" bestFit="1" customWidth="1"/>
  </cols>
  <sheetData>
    <row r="1" spans="1:7" ht="15.75" thickBot="1" x14ac:dyDescent="0.3">
      <c r="A1" s="139" t="s">
        <v>314</v>
      </c>
      <c r="F1" s="139" t="s">
        <v>315</v>
      </c>
    </row>
    <row r="2" spans="1:7" x14ac:dyDescent="0.25">
      <c r="A2" s="100" t="s">
        <v>317</v>
      </c>
      <c r="B2" s="381">
        <v>0.3</v>
      </c>
      <c r="F2" s="100" t="s">
        <v>317</v>
      </c>
      <c r="G2" s="381">
        <v>0.25</v>
      </c>
    </row>
    <row r="3" spans="1:7" x14ac:dyDescent="0.25">
      <c r="A3" s="81" t="s">
        <v>325</v>
      </c>
      <c r="B3" s="382">
        <v>600</v>
      </c>
      <c r="F3" s="81" t="s">
        <v>318</v>
      </c>
      <c r="G3" s="141">
        <v>0.5</v>
      </c>
    </row>
    <row r="4" spans="1:7" ht="15.75" thickBot="1" x14ac:dyDescent="0.3">
      <c r="A4" s="88" t="s">
        <v>326</v>
      </c>
      <c r="B4" s="226">
        <v>4.3</v>
      </c>
      <c r="F4" s="81" t="s">
        <v>319</v>
      </c>
      <c r="G4" s="40">
        <v>125</v>
      </c>
    </row>
    <row r="5" spans="1:7" ht="15.75" thickBot="1" x14ac:dyDescent="0.3">
      <c r="F5" s="81" t="s">
        <v>324</v>
      </c>
      <c r="G5" s="383">
        <f>ROUND(G2+(((1+G9)/G4)*(G3-G2)),2)</f>
        <v>0.27</v>
      </c>
    </row>
    <row r="6" spans="1:7" x14ac:dyDescent="0.25">
      <c r="A6" s="100" t="s">
        <v>320</v>
      </c>
      <c r="B6" s="310">
        <v>52</v>
      </c>
      <c r="F6" s="81" t="s">
        <v>325</v>
      </c>
      <c r="G6" s="382">
        <v>600</v>
      </c>
    </row>
    <row r="7" spans="1:7" ht="15.75" thickBot="1" x14ac:dyDescent="0.3">
      <c r="A7" s="88" t="s">
        <v>321</v>
      </c>
      <c r="B7" s="309">
        <v>500</v>
      </c>
      <c r="F7" s="88" t="s">
        <v>326</v>
      </c>
      <c r="G7" s="341">
        <f>(G9/125)*2+4</f>
        <v>4.16</v>
      </c>
    </row>
    <row r="8" spans="1:7" ht="15.75" thickBot="1" x14ac:dyDescent="0.3">
      <c r="A8" s="260" t="s">
        <v>327</v>
      </c>
      <c r="B8" s="377">
        <f>B7/B4</f>
        <v>116.27906976744187</v>
      </c>
    </row>
    <row r="9" spans="1:7" x14ac:dyDescent="0.25">
      <c r="A9" s="26" t="s">
        <v>328</v>
      </c>
      <c r="B9" s="378">
        <f>B7/B3</f>
        <v>0.83333333333333337</v>
      </c>
      <c r="F9" s="100" t="s">
        <v>316</v>
      </c>
      <c r="G9" s="307">
        <v>10</v>
      </c>
    </row>
    <row r="10" spans="1:7" ht="15.75" thickBot="1" x14ac:dyDescent="0.3">
      <c r="A10" s="26" t="s">
        <v>323</v>
      </c>
      <c r="B10" s="306">
        <f>B7/B6</f>
        <v>9.615384615384615</v>
      </c>
      <c r="F10" s="81" t="s">
        <v>320</v>
      </c>
      <c r="G10" s="308">
        <v>52</v>
      </c>
    </row>
    <row r="11" spans="1:7" ht="15.75" thickBot="1" x14ac:dyDescent="0.3">
      <c r="A11" s="380" t="s">
        <v>322</v>
      </c>
      <c r="B11" s="379">
        <f>IF(B10&gt;600,B4,IF(B10&lt;B2,1,1-((B8-B6)/(B7/3))))</f>
        <v>0.61432558139534876</v>
      </c>
      <c r="F11" s="88" t="s">
        <v>321</v>
      </c>
      <c r="G11" s="309">
        <v>500</v>
      </c>
    </row>
    <row r="12" spans="1:7" x14ac:dyDescent="0.25">
      <c r="F12" s="260" t="s">
        <v>327</v>
      </c>
      <c r="G12" s="377">
        <f>G11/G7</f>
        <v>120.19230769230769</v>
      </c>
    </row>
    <row r="13" spans="1:7" x14ac:dyDescent="0.25">
      <c r="F13" s="26" t="s">
        <v>328</v>
      </c>
      <c r="G13" s="378">
        <f>G11/G6</f>
        <v>0.83333333333333337</v>
      </c>
    </row>
    <row r="14" spans="1:7" ht="15.75" thickBot="1" x14ac:dyDescent="0.3">
      <c r="F14" s="26" t="s">
        <v>323</v>
      </c>
      <c r="G14" s="306">
        <f>G11/G10</f>
        <v>9.615384615384615</v>
      </c>
    </row>
    <row r="15" spans="1:7" ht="15.75" thickBot="1" x14ac:dyDescent="0.3">
      <c r="F15" s="380" t="s">
        <v>322</v>
      </c>
      <c r="G15" s="379">
        <f>IF(G14&gt;600,G5,IF(G14&lt;G7,1,1-((G12-G10)/(G11/3))))</f>
        <v>0.5908461538461538</v>
      </c>
    </row>
    <row r="16" spans="1:7" x14ac:dyDescent="0.25">
      <c r="G16" s="112"/>
    </row>
    <row r="17" spans="7:8" x14ac:dyDescent="0.25">
      <c r="G17" s="305"/>
    </row>
    <row r="18" spans="7:8" x14ac:dyDescent="0.25">
      <c r="G18" s="112"/>
      <c r="H18" s="183"/>
    </row>
    <row r="19" spans="7:8" x14ac:dyDescent="0.25">
      <c r="G19" s="183"/>
    </row>
    <row r="20" spans="7:8" x14ac:dyDescent="0.25">
      <c r="G20" s="61"/>
    </row>
  </sheetData>
  <pageMargins left="0.7" right="0.7" top="0.78740157499999996" bottom="0.78740157499999996"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H32"/>
  <sheetViews>
    <sheetView workbookViewId="0">
      <selection activeCell="C3" sqref="C3"/>
    </sheetView>
  </sheetViews>
  <sheetFormatPr baseColWidth="10" defaultRowHeight="15" x14ac:dyDescent="0.25"/>
  <cols>
    <col min="1" max="1" width="17" bestFit="1" customWidth="1"/>
    <col min="2" max="2" width="13.140625" bestFit="1" customWidth="1"/>
  </cols>
  <sheetData>
    <row r="1" spans="1:8" ht="15.75" thickBot="1" x14ac:dyDescent="0.3">
      <c r="A1" s="380" t="s">
        <v>116</v>
      </c>
      <c r="B1" s="387">
        <v>2000</v>
      </c>
    </row>
    <row r="2" spans="1:8" ht="15.75" thickBot="1" x14ac:dyDescent="0.3">
      <c r="A2" s="100" t="s">
        <v>115</v>
      </c>
      <c r="B2" s="91" t="s">
        <v>127</v>
      </c>
      <c r="C2" s="92" t="s">
        <v>111</v>
      </c>
    </row>
    <row r="3" spans="1:8" ht="15.75" thickBot="1" x14ac:dyDescent="0.3">
      <c r="A3" s="81">
        <v>1</v>
      </c>
      <c r="B3" s="79">
        <f>A3*$B$1</f>
        <v>2000</v>
      </c>
      <c r="C3" s="384">
        <f t="shared" ref="C3:C32" si="0">IF(B3/$F$14&gt;1,1,B3/$F$14)</f>
        <v>2.9411764705882353E-2</v>
      </c>
      <c r="E3" s="427" t="s">
        <v>117</v>
      </c>
      <c r="F3" s="429"/>
    </row>
    <row r="4" spans="1:8" x14ac:dyDescent="0.25">
      <c r="A4" s="81">
        <v>2</v>
      </c>
      <c r="B4" s="79">
        <f t="shared" ref="B4:B32" si="1">A4*$B$1</f>
        <v>4000</v>
      </c>
      <c r="C4" s="384">
        <f t="shared" si="0"/>
        <v>5.8823529411764705E-2</v>
      </c>
      <c r="E4" s="81" t="s">
        <v>118</v>
      </c>
      <c r="F4" s="40">
        <v>34000</v>
      </c>
      <c r="H4" s="135" t="s">
        <v>126</v>
      </c>
    </row>
    <row r="5" spans="1:8" ht="15.75" thickBot="1" x14ac:dyDescent="0.3">
      <c r="A5" s="81">
        <v>3</v>
      </c>
      <c r="B5" s="79">
        <f t="shared" si="1"/>
        <v>6000</v>
      </c>
      <c r="C5" s="384">
        <f t="shared" si="0"/>
        <v>8.8235294117647065E-2</v>
      </c>
      <c r="E5" s="81" t="s">
        <v>119</v>
      </c>
      <c r="F5" s="40">
        <v>34000</v>
      </c>
      <c r="H5" s="386">
        <f>C32</f>
        <v>0.88235294117647056</v>
      </c>
    </row>
    <row r="6" spans="1:8" x14ac:dyDescent="0.25">
      <c r="A6" s="81">
        <v>4</v>
      </c>
      <c r="B6" s="79">
        <f t="shared" si="1"/>
        <v>8000</v>
      </c>
      <c r="C6" s="384">
        <f t="shared" si="0"/>
        <v>0.11764705882352941</v>
      </c>
      <c r="E6" s="81" t="s">
        <v>120</v>
      </c>
      <c r="F6" s="40"/>
    </row>
    <row r="7" spans="1:8" x14ac:dyDescent="0.25">
      <c r="A7" s="81">
        <v>5</v>
      </c>
      <c r="B7" s="79">
        <f t="shared" si="1"/>
        <v>10000</v>
      </c>
      <c r="C7" s="384">
        <f t="shared" si="0"/>
        <v>0.14705882352941177</v>
      </c>
      <c r="E7" s="81" t="s">
        <v>424</v>
      </c>
      <c r="F7" s="40"/>
    </row>
    <row r="8" spans="1:8" x14ac:dyDescent="0.25">
      <c r="A8" s="81">
        <v>6</v>
      </c>
      <c r="B8" s="79">
        <f t="shared" si="1"/>
        <v>12000</v>
      </c>
      <c r="C8" s="384">
        <f t="shared" si="0"/>
        <v>0.17647058823529413</v>
      </c>
      <c r="E8" s="81" t="s">
        <v>121</v>
      </c>
      <c r="F8" s="40"/>
    </row>
    <row r="9" spans="1:8" x14ac:dyDescent="0.25">
      <c r="A9" s="81">
        <v>7</v>
      </c>
      <c r="B9" s="79">
        <f t="shared" si="1"/>
        <v>14000</v>
      </c>
      <c r="C9" s="384">
        <f t="shared" si="0"/>
        <v>0.20588235294117646</v>
      </c>
      <c r="E9" s="81" t="s">
        <v>122</v>
      </c>
      <c r="F9" s="40"/>
    </row>
    <row r="10" spans="1:8" x14ac:dyDescent="0.25">
      <c r="A10" s="81">
        <v>8</v>
      </c>
      <c r="B10" s="79">
        <f t="shared" si="1"/>
        <v>16000</v>
      </c>
      <c r="C10" s="384">
        <f t="shared" si="0"/>
        <v>0.23529411764705882</v>
      </c>
      <c r="E10" s="81" t="s">
        <v>425</v>
      </c>
      <c r="F10" s="40"/>
    </row>
    <row r="11" spans="1:8" x14ac:dyDescent="0.25">
      <c r="A11" s="81">
        <v>9</v>
      </c>
      <c r="B11" s="79">
        <f t="shared" si="1"/>
        <v>18000</v>
      </c>
      <c r="C11" s="384">
        <f t="shared" si="0"/>
        <v>0.26470588235294118</v>
      </c>
      <c r="E11" s="81" t="s">
        <v>125</v>
      </c>
      <c r="F11" s="40"/>
    </row>
    <row r="12" spans="1:8" x14ac:dyDescent="0.25">
      <c r="A12" s="81">
        <v>10</v>
      </c>
      <c r="B12" s="79">
        <f t="shared" si="1"/>
        <v>20000</v>
      </c>
      <c r="C12" s="384">
        <f t="shared" si="0"/>
        <v>0.29411764705882354</v>
      </c>
      <c r="E12" s="81" t="s">
        <v>123</v>
      </c>
      <c r="F12" s="40"/>
    </row>
    <row r="13" spans="1:8" x14ac:dyDescent="0.25">
      <c r="A13" s="81">
        <v>11</v>
      </c>
      <c r="B13" s="79">
        <f t="shared" si="1"/>
        <v>22000</v>
      </c>
      <c r="C13" s="384">
        <f t="shared" si="0"/>
        <v>0.3235294117647059</v>
      </c>
      <c r="E13" s="81" t="s">
        <v>124</v>
      </c>
      <c r="F13" s="40"/>
    </row>
    <row r="14" spans="1:8" ht="15.75" thickBot="1" x14ac:dyDescent="0.3">
      <c r="A14" s="81">
        <v>12</v>
      </c>
      <c r="B14" s="79">
        <f t="shared" si="1"/>
        <v>24000</v>
      </c>
      <c r="C14" s="384">
        <f t="shared" si="0"/>
        <v>0.35294117647058826</v>
      </c>
      <c r="E14" s="88"/>
      <c r="F14" s="89">
        <f>SUM(F4:F7)+F8*2+F9*4+F10*5+F11*6+F12*5+F13*8</f>
        <v>68000</v>
      </c>
    </row>
    <row r="15" spans="1:8" x14ac:dyDescent="0.25">
      <c r="A15" s="81">
        <v>13</v>
      </c>
      <c r="B15" s="79">
        <f t="shared" si="1"/>
        <v>26000</v>
      </c>
      <c r="C15" s="384">
        <f t="shared" si="0"/>
        <v>0.38235294117647056</v>
      </c>
    </row>
    <row r="16" spans="1:8" x14ac:dyDescent="0.25">
      <c r="A16" s="81">
        <v>14</v>
      </c>
      <c r="B16" s="79">
        <f t="shared" si="1"/>
        <v>28000</v>
      </c>
      <c r="C16" s="384">
        <f t="shared" si="0"/>
        <v>0.41176470588235292</v>
      </c>
    </row>
    <row r="17" spans="1:3" x14ac:dyDescent="0.25">
      <c r="A17" s="81">
        <v>15</v>
      </c>
      <c r="B17" s="79">
        <f t="shared" si="1"/>
        <v>30000</v>
      </c>
      <c r="C17" s="384">
        <f t="shared" si="0"/>
        <v>0.44117647058823528</v>
      </c>
    </row>
    <row r="18" spans="1:3" x14ac:dyDescent="0.25">
      <c r="A18" s="81">
        <v>16</v>
      </c>
      <c r="B18" s="79">
        <f t="shared" si="1"/>
        <v>32000</v>
      </c>
      <c r="C18" s="384">
        <f t="shared" si="0"/>
        <v>0.47058823529411764</v>
      </c>
    </row>
    <row r="19" spans="1:3" x14ac:dyDescent="0.25">
      <c r="A19" s="81">
        <v>17</v>
      </c>
      <c r="B19" s="79">
        <f t="shared" si="1"/>
        <v>34000</v>
      </c>
      <c r="C19" s="384">
        <f t="shared" si="0"/>
        <v>0.5</v>
      </c>
    </row>
    <row r="20" spans="1:3" x14ac:dyDescent="0.25">
      <c r="A20" s="81">
        <v>18</v>
      </c>
      <c r="B20" s="79">
        <f t="shared" si="1"/>
        <v>36000</v>
      </c>
      <c r="C20" s="384">
        <f t="shared" si="0"/>
        <v>0.52941176470588236</v>
      </c>
    </row>
    <row r="21" spans="1:3" x14ac:dyDescent="0.25">
      <c r="A21" s="81">
        <v>19</v>
      </c>
      <c r="B21" s="79">
        <f t="shared" si="1"/>
        <v>38000</v>
      </c>
      <c r="C21" s="384">
        <f t="shared" si="0"/>
        <v>0.55882352941176472</v>
      </c>
    </row>
    <row r="22" spans="1:3" x14ac:dyDescent="0.25">
      <c r="A22" s="81">
        <v>20</v>
      </c>
      <c r="B22" s="79">
        <f t="shared" si="1"/>
        <v>40000</v>
      </c>
      <c r="C22" s="384">
        <f t="shared" si="0"/>
        <v>0.58823529411764708</v>
      </c>
    </row>
    <row r="23" spans="1:3" x14ac:dyDescent="0.25">
      <c r="A23" s="81">
        <v>21</v>
      </c>
      <c r="B23" s="79">
        <f t="shared" si="1"/>
        <v>42000</v>
      </c>
      <c r="C23" s="384">
        <f t="shared" si="0"/>
        <v>0.61764705882352944</v>
      </c>
    </row>
    <row r="24" spans="1:3" x14ac:dyDescent="0.25">
      <c r="A24" s="81">
        <v>22</v>
      </c>
      <c r="B24" s="79">
        <f t="shared" si="1"/>
        <v>44000</v>
      </c>
      <c r="C24" s="384">
        <f t="shared" si="0"/>
        <v>0.6470588235294118</v>
      </c>
    </row>
    <row r="25" spans="1:3" x14ac:dyDescent="0.25">
      <c r="A25" s="81">
        <v>23</v>
      </c>
      <c r="B25" s="79">
        <f t="shared" si="1"/>
        <v>46000</v>
      </c>
      <c r="C25" s="384">
        <f t="shared" si="0"/>
        <v>0.67647058823529416</v>
      </c>
    </row>
    <row r="26" spans="1:3" x14ac:dyDescent="0.25">
      <c r="A26" s="81">
        <v>24</v>
      </c>
      <c r="B26" s="79">
        <f t="shared" si="1"/>
        <v>48000</v>
      </c>
      <c r="C26" s="384">
        <f t="shared" si="0"/>
        <v>0.70588235294117652</v>
      </c>
    </row>
    <row r="27" spans="1:3" x14ac:dyDescent="0.25">
      <c r="A27" s="81">
        <v>25</v>
      </c>
      <c r="B27" s="79">
        <f t="shared" si="1"/>
        <v>50000</v>
      </c>
      <c r="C27" s="384">
        <f t="shared" si="0"/>
        <v>0.73529411764705888</v>
      </c>
    </row>
    <row r="28" spans="1:3" x14ac:dyDescent="0.25">
      <c r="A28" s="81">
        <v>26</v>
      </c>
      <c r="B28" s="79">
        <f t="shared" si="1"/>
        <v>52000</v>
      </c>
      <c r="C28" s="384">
        <f t="shared" si="0"/>
        <v>0.76470588235294112</v>
      </c>
    </row>
    <row r="29" spans="1:3" x14ac:dyDescent="0.25">
      <c r="A29" s="81">
        <v>27</v>
      </c>
      <c r="B29" s="79">
        <f t="shared" si="1"/>
        <v>54000</v>
      </c>
      <c r="C29" s="384">
        <f t="shared" si="0"/>
        <v>0.79411764705882348</v>
      </c>
    </row>
    <row r="30" spans="1:3" x14ac:dyDescent="0.25">
      <c r="A30" s="81">
        <v>28</v>
      </c>
      <c r="B30" s="79">
        <f t="shared" si="1"/>
        <v>56000</v>
      </c>
      <c r="C30" s="384">
        <f t="shared" si="0"/>
        <v>0.82352941176470584</v>
      </c>
    </row>
    <row r="31" spans="1:3" x14ac:dyDescent="0.25">
      <c r="A31" s="81">
        <v>29</v>
      </c>
      <c r="B31" s="79">
        <f t="shared" si="1"/>
        <v>58000</v>
      </c>
      <c r="C31" s="384">
        <f t="shared" si="0"/>
        <v>0.8529411764705882</v>
      </c>
    </row>
    <row r="32" spans="1:3" ht="15.75" thickBot="1" x14ac:dyDescent="0.3">
      <c r="A32" s="88">
        <v>30</v>
      </c>
      <c r="B32" s="93">
        <f t="shared" si="1"/>
        <v>60000</v>
      </c>
      <c r="C32" s="385">
        <f t="shared" si="0"/>
        <v>0.88235294117647056</v>
      </c>
    </row>
  </sheetData>
  <mergeCells count="1">
    <mergeCell ref="E3:F3"/>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W23"/>
  <sheetViews>
    <sheetView topLeftCell="B1" workbookViewId="0">
      <selection activeCell="P12" sqref="P12"/>
    </sheetView>
  </sheetViews>
  <sheetFormatPr baseColWidth="10" defaultRowHeight="15" x14ac:dyDescent="0.25"/>
  <cols>
    <col min="1" max="1" width="11.140625" bestFit="1" customWidth="1"/>
    <col min="2" max="2" width="13.42578125" bestFit="1" customWidth="1"/>
    <col min="3" max="3" width="12.42578125" bestFit="1" customWidth="1"/>
    <col min="4" max="4" width="11.28515625" bestFit="1" customWidth="1"/>
    <col min="5" max="5" width="8.28515625" bestFit="1" customWidth="1"/>
    <col min="6" max="6" width="6.85546875" bestFit="1" customWidth="1"/>
    <col min="7" max="7" width="12" bestFit="1" customWidth="1"/>
    <col min="8" max="8" width="9.7109375" customWidth="1"/>
    <col min="9" max="9" width="9.5703125" customWidth="1"/>
    <col min="10" max="10" width="13.140625" bestFit="1" customWidth="1"/>
    <col min="11" max="11" width="8.140625" bestFit="1" customWidth="1"/>
    <col min="12" max="12" width="8.5703125" bestFit="1" customWidth="1"/>
    <col min="13" max="13" width="10.85546875" bestFit="1" customWidth="1"/>
    <col min="14" max="14" width="13.85546875" bestFit="1" customWidth="1"/>
    <col min="15" max="15" width="6.7109375" bestFit="1" customWidth="1"/>
    <col min="16" max="16" width="18.140625" bestFit="1" customWidth="1"/>
    <col min="17" max="17" width="14.5703125" bestFit="1" customWidth="1"/>
  </cols>
  <sheetData>
    <row r="1" spans="1:23" x14ac:dyDescent="0.25">
      <c r="B1" s="76" t="s">
        <v>227</v>
      </c>
      <c r="C1" s="8">
        <f>SUM(G7:J7)/(SUM(K7:O7)+SUM(C7:F7))</f>
        <v>1.6163927088255041</v>
      </c>
      <c r="D1" s="484" t="s">
        <v>241</v>
      </c>
      <c r="E1" s="484"/>
      <c r="F1" s="484"/>
      <c r="G1" s="484"/>
      <c r="H1" s="484"/>
      <c r="I1" s="484"/>
      <c r="J1" s="484"/>
      <c r="K1" s="484"/>
      <c r="L1" s="484"/>
      <c r="M1" s="484"/>
      <c r="N1" s="484"/>
      <c r="V1">
        <v>1.0369999999999999</v>
      </c>
      <c r="W1">
        <v>50</v>
      </c>
    </row>
    <row r="2" spans="1:23" ht="15.75" thickBot="1" x14ac:dyDescent="0.3">
      <c r="U2" t="s">
        <v>226</v>
      </c>
      <c r="V2" t="s">
        <v>228</v>
      </c>
      <c r="W2" t="s">
        <v>229</v>
      </c>
    </row>
    <row r="3" spans="1:23" ht="15.75" thickBot="1" x14ac:dyDescent="0.3">
      <c r="A3" s="131"/>
      <c r="B3" s="184"/>
      <c r="C3" s="184" t="s">
        <v>73</v>
      </c>
      <c r="D3" s="184" t="s">
        <v>74</v>
      </c>
      <c r="E3" s="184" t="s">
        <v>75</v>
      </c>
      <c r="F3" s="184" t="s">
        <v>190</v>
      </c>
      <c r="G3" s="184" t="s">
        <v>71</v>
      </c>
      <c r="H3" s="184" t="s">
        <v>76</v>
      </c>
      <c r="I3" s="184" t="s">
        <v>191</v>
      </c>
      <c r="J3" s="184" t="s">
        <v>77</v>
      </c>
      <c r="K3" s="184" t="s">
        <v>78</v>
      </c>
      <c r="L3" s="184" t="s">
        <v>79</v>
      </c>
      <c r="M3" s="184" t="s">
        <v>192</v>
      </c>
      <c r="N3" s="184" t="s">
        <v>193</v>
      </c>
      <c r="O3" s="185" t="s">
        <v>194</v>
      </c>
      <c r="P3" s="188" t="s">
        <v>154</v>
      </c>
      <c r="Q3" s="189" t="s">
        <v>240</v>
      </c>
      <c r="U3">
        <v>0</v>
      </c>
      <c r="V3" s="183">
        <f>$V$1^U3</f>
        <v>1</v>
      </c>
      <c r="W3">
        <v>40</v>
      </c>
    </row>
    <row r="4" spans="1:23" x14ac:dyDescent="0.25">
      <c r="A4" s="485" t="s">
        <v>219</v>
      </c>
      <c r="B4" s="91" t="s">
        <v>70</v>
      </c>
      <c r="C4" s="193">
        <v>0</v>
      </c>
      <c r="D4" s="193">
        <v>0</v>
      </c>
      <c r="E4" s="193">
        <v>2000</v>
      </c>
      <c r="F4" s="193">
        <v>0</v>
      </c>
      <c r="G4" s="193">
        <v>0</v>
      </c>
      <c r="H4" s="193">
        <v>1000</v>
      </c>
      <c r="I4" s="193">
        <v>0</v>
      </c>
      <c r="J4" s="193">
        <v>0</v>
      </c>
      <c r="K4" s="193">
        <v>213</v>
      </c>
      <c r="L4" s="193">
        <v>0</v>
      </c>
      <c r="M4" s="193">
        <v>0</v>
      </c>
      <c r="N4" s="193">
        <v>0</v>
      </c>
      <c r="O4" s="194">
        <v>0</v>
      </c>
      <c r="P4" s="81">
        <f>SUM(C4:F4)+G4*2+H4*4+I4*5+J4*6+K4*5+L4*8+M4*10+N4*100+O4</f>
        <v>7065</v>
      </c>
      <c r="Q4" s="82"/>
      <c r="S4" s="100" t="s">
        <v>230</v>
      </c>
      <c r="T4" s="388">
        <v>0</v>
      </c>
      <c r="U4">
        <v>1</v>
      </c>
      <c r="V4" s="183">
        <f t="shared" ref="V4:V23" si="0">$V$1^U4</f>
        <v>1.0369999999999999</v>
      </c>
      <c r="W4">
        <f>$W$3+$W$1*U4</f>
        <v>90</v>
      </c>
    </row>
    <row r="5" spans="1:23" ht="15.75" thickBot="1" x14ac:dyDescent="0.3">
      <c r="A5" s="482"/>
      <c r="B5" s="79" t="s">
        <v>221</v>
      </c>
      <c r="C5" s="11">
        <v>1</v>
      </c>
      <c r="D5" s="11">
        <v>1</v>
      </c>
      <c r="E5" s="11">
        <v>1</v>
      </c>
      <c r="F5" s="11">
        <v>1</v>
      </c>
      <c r="G5" s="11">
        <v>1</v>
      </c>
      <c r="H5" s="11">
        <v>1</v>
      </c>
      <c r="I5" s="11">
        <v>1</v>
      </c>
      <c r="J5" s="11">
        <v>1</v>
      </c>
      <c r="K5" s="11">
        <v>1</v>
      </c>
      <c r="L5" s="11">
        <v>1</v>
      </c>
      <c r="M5" s="11">
        <v>1</v>
      </c>
      <c r="N5" s="11">
        <v>1</v>
      </c>
      <c r="O5" s="304">
        <v>1</v>
      </c>
      <c r="P5" s="81"/>
      <c r="Q5" s="82"/>
      <c r="S5" s="88" t="s">
        <v>322</v>
      </c>
      <c r="T5" s="389">
        <v>1</v>
      </c>
      <c r="U5">
        <v>2</v>
      </c>
      <c r="V5" s="183">
        <f t="shared" si="0"/>
        <v>1.0753689999999998</v>
      </c>
      <c r="W5">
        <f t="shared" ref="W5:W23" si="1">$W$3+$W$1*U5</f>
        <v>140</v>
      </c>
    </row>
    <row r="6" spans="1:23" ht="15.75" thickBot="1" x14ac:dyDescent="0.3">
      <c r="A6" s="482"/>
      <c r="B6" s="79" t="s">
        <v>222</v>
      </c>
      <c r="C6" s="181">
        <f>VLOOKUP(C3,'Unit information'!$AA$2:$AH$15,5,FALSE)*'Unit information'!$AE$19^(C5-1)</f>
        <v>10</v>
      </c>
      <c r="D6" s="181">
        <f>VLOOKUP(D3,'Unit information'!$AA$2:$AH$15,5,FALSE)*'Unit information'!$AE$19^(D5-1)</f>
        <v>25</v>
      </c>
      <c r="E6" s="181">
        <f>VLOOKUP(E3,'Unit information'!$AA$2:$AH$15,5,FALSE)*'Unit information'!$AE$19^(E5-1)</f>
        <v>40</v>
      </c>
      <c r="F6" s="181">
        <f>VLOOKUP(F3,'Unit information'!$AA$2:$AH$15,5,FALSE)*'Unit information'!$AE$19^(F5-1)</f>
        <v>15</v>
      </c>
      <c r="G6" s="181">
        <f>VLOOKUP(G3,'Unit information'!$AA$2:$AH$15,5,FALSE)*'Unit information'!$AE$19^(G5-1)</f>
        <v>0</v>
      </c>
      <c r="H6" s="181">
        <f>VLOOKUP(H3,'Unit information'!$AA$2:$AH$15,5,FALSE)*'Unit information'!$AE$19^(H5-1)</f>
        <v>130</v>
      </c>
      <c r="I6" s="181">
        <f>VLOOKUP(I3,'Unit information'!$AA$2:$AH$15,5,FALSE)*'Unit information'!$AE$19^(I5-1)</f>
        <v>120</v>
      </c>
      <c r="J6" s="181">
        <f>VLOOKUP(J3,'Unit information'!$AA$2:$AH$15,5,FALSE)*'Unit information'!$AE$19^(J5-1)</f>
        <v>150</v>
      </c>
      <c r="K6" s="181">
        <f>VLOOKUP(K3,'Unit information'!$AA$2:$AH$15,5,FALSE)*'Unit information'!$AE$19^(K5-1)</f>
        <v>2</v>
      </c>
      <c r="L6" s="181">
        <f>VLOOKUP(L3,'Unit information'!$AA$2:$AH$15,5,FALSE)*'Unit information'!$AE$19^(L5-1)</f>
        <v>100</v>
      </c>
      <c r="M6" s="181">
        <f>VLOOKUP(M3,'Unit information'!$AA$2:$AH$15,5,FALSE)*'Unit information'!$AE$19^(M5-1)</f>
        <v>150</v>
      </c>
      <c r="N6" s="181">
        <f>VLOOKUP(N3,'Unit information'!$AA$2:$AH$15,5,FALSE)*'Unit information'!$AE$19^(N5-1)</f>
        <v>30</v>
      </c>
      <c r="O6" s="186">
        <f>VLOOKUP(O3,'Unit information'!$AA$2:$AH$15,5,FALSE)*'Unit information'!$AE$19^(O5-1)</f>
        <v>0</v>
      </c>
      <c r="P6" s="121"/>
      <c r="Q6" s="176"/>
      <c r="U6">
        <v>3</v>
      </c>
      <c r="V6" s="183">
        <f t="shared" si="0"/>
        <v>1.1151576529999998</v>
      </c>
      <c r="W6">
        <f t="shared" si="1"/>
        <v>190</v>
      </c>
    </row>
    <row r="7" spans="1:23" ht="15.75" thickBot="1" x14ac:dyDescent="0.3">
      <c r="A7" s="483"/>
      <c r="B7" s="93" t="s">
        <v>223</v>
      </c>
      <c r="C7" s="93">
        <f t="shared" ref="C7:O7" si="2">C6*C4</f>
        <v>0</v>
      </c>
      <c r="D7" s="93">
        <f t="shared" si="2"/>
        <v>0</v>
      </c>
      <c r="E7" s="93">
        <f t="shared" si="2"/>
        <v>80000</v>
      </c>
      <c r="F7" s="93">
        <f t="shared" si="2"/>
        <v>0</v>
      </c>
      <c r="G7" s="93">
        <f t="shared" si="2"/>
        <v>0</v>
      </c>
      <c r="H7" s="93">
        <f t="shared" si="2"/>
        <v>130000</v>
      </c>
      <c r="I7" s="93">
        <f t="shared" si="2"/>
        <v>0</v>
      </c>
      <c r="J7" s="93">
        <f t="shared" si="2"/>
        <v>0</v>
      </c>
      <c r="K7" s="93">
        <f t="shared" si="2"/>
        <v>426</v>
      </c>
      <c r="L7" s="93">
        <f t="shared" si="2"/>
        <v>0</v>
      </c>
      <c r="M7" s="93">
        <f t="shared" si="2"/>
        <v>0</v>
      </c>
      <c r="N7" s="93">
        <f t="shared" si="2"/>
        <v>0</v>
      </c>
      <c r="O7" s="145">
        <f t="shared" si="2"/>
        <v>0</v>
      </c>
      <c r="P7" s="121">
        <f>SUM(C7:O7)</f>
        <v>210426</v>
      </c>
      <c r="Q7" s="176">
        <f>P7*(1+T4)*(T5)</f>
        <v>210426</v>
      </c>
      <c r="S7" s="425" t="s">
        <v>231</v>
      </c>
      <c r="T7" s="426"/>
      <c r="U7">
        <v>4</v>
      </c>
      <c r="V7" s="183">
        <f t="shared" si="0"/>
        <v>1.1564184861609996</v>
      </c>
      <c r="W7">
        <f t="shared" si="1"/>
        <v>240</v>
      </c>
    </row>
    <row r="8" spans="1:23" x14ac:dyDescent="0.25">
      <c r="A8" s="485" t="s">
        <v>220</v>
      </c>
      <c r="B8" s="91" t="s">
        <v>70</v>
      </c>
      <c r="C8" s="193">
        <v>2000</v>
      </c>
      <c r="D8" s="193">
        <v>2000</v>
      </c>
      <c r="E8" s="193">
        <v>0</v>
      </c>
      <c r="F8" s="193">
        <v>0</v>
      </c>
      <c r="G8" s="193">
        <v>0</v>
      </c>
      <c r="H8" s="193">
        <v>0</v>
      </c>
      <c r="I8" s="193">
        <v>0</v>
      </c>
      <c r="J8" s="193">
        <v>0</v>
      </c>
      <c r="K8" s="193">
        <v>0</v>
      </c>
      <c r="L8" s="193">
        <v>0</v>
      </c>
      <c r="M8" s="193">
        <v>0</v>
      </c>
      <c r="N8" s="193">
        <v>0</v>
      </c>
      <c r="O8" s="194">
        <v>0</v>
      </c>
      <c r="P8" s="121">
        <f>SUM(C8:F8)+G8*2+H8*4+I8*5+J8*6+K8*5+L8*8+M8*10+N8*100+O8</f>
        <v>4000</v>
      </c>
      <c r="Q8" s="176"/>
      <c r="S8" s="81" t="s">
        <v>232</v>
      </c>
      <c r="T8" s="40">
        <v>20</v>
      </c>
      <c r="U8">
        <v>5</v>
      </c>
      <c r="V8" s="183">
        <f t="shared" si="0"/>
        <v>1.1992059701489566</v>
      </c>
      <c r="W8">
        <f t="shared" si="1"/>
        <v>290</v>
      </c>
    </row>
    <row r="9" spans="1:23" x14ac:dyDescent="0.25">
      <c r="A9" s="482"/>
      <c r="B9" s="79" t="s">
        <v>221</v>
      </c>
      <c r="C9" s="11">
        <v>1</v>
      </c>
      <c r="D9" s="11">
        <v>1</v>
      </c>
      <c r="E9" s="11">
        <v>1</v>
      </c>
      <c r="F9" s="11">
        <v>1</v>
      </c>
      <c r="G9" s="11">
        <v>1</v>
      </c>
      <c r="H9" s="11">
        <v>1</v>
      </c>
      <c r="I9" s="11">
        <v>1</v>
      </c>
      <c r="J9" s="11">
        <v>1</v>
      </c>
      <c r="K9" s="11">
        <v>1</v>
      </c>
      <c r="L9" s="11">
        <v>1</v>
      </c>
      <c r="M9" s="11">
        <v>1</v>
      </c>
      <c r="N9" s="11">
        <v>1</v>
      </c>
      <c r="O9" s="304">
        <v>1</v>
      </c>
      <c r="P9" s="121"/>
      <c r="Q9" s="176"/>
      <c r="S9" s="81" t="s">
        <v>233</v>
      </c>
      <c r="T9" s="82">
        <f>IF(T8-(K4*2/(8*1.09^T8))&lt;T8/2,ROUNDDOWN(T8/2,0),T8-ROUND(K4*2/(8*1.09^T8),0))</f>
        <v>10</v>
      </c>
      <c r="U9">
        <v>6</v>
      </c>
      <c r="V9" s="183">
        <f t="shared" si="0"/>
        <v>1.2435765910444678</v>
      </c>
      <c r="W9">
        <f t="shared" si="1"/>
        <v>340</v>
      </c>
    </row>
    <row r="10" spans="1:23" ht="15.75" thickBot="1" x14ac:dyDescent="0.3">
      <c r="A10" s="482"/>
      <c r="B10" s="79" t="s">
        <v>224</v>
      </c>
      <c r="C10" s="181">
        <f>VLOOKUP(C3,'Unit information'!$AA$2:$AH$15,6,FALSE)*'Unit information'!$AE$19^(C9-1)</f>
        <v>15</v>
      </c>
      <c r="D10" s="181">
        <f>VLOOKUP(D3,'Unit information'!$AA$2:$AH$15,6,FALSE)*'Unit information'!$AE$19^(D9-1)</f>
        <v>50</v>
      </c>
      <c r="E10" s="181">
        <f>VLOOKUP(E3,'Unit information'!$AA$2:$AH$15,6,FALSE)*'Unit information'!$AE$19^(E9-1)</f>
        <v>10</v>
      </c>
      <c r="F10" s="181">
        <f>VLOOKUP(F3,'Unit information'!$AA$2:$AH$15,6,FALSE)*'Unit information'!$AE$19^(F9-1)</f>
        <v>50</v>
      </c>
      <c r="G10" s="181">
        <f>VLOOKUP(G3,'Unit information'!$AA$2:$AH$15,6,FALSE)*'Unit information'!$AE$19^(G9-1)</f>
        <v>2</v>
      </c>
      <c r="H10" s="181">
        <f>VLOOKUP(H3,'Unit information'!$AA$2:$AH$15,6,FALSE)*'Unit information'!$AE$19^(H9-1)</f>
        <v>30</v>
      </c>
      <c r="I10" s="181">
        <f>VLOOKUP(I3,'Unit information'!$AA$2:$AH$15,6,FALSE)*'Unit information'!$AE$19^(I9-1)</f>
        <v>40</v>
      </c>
      <c r="J10" s="181">
        <f>VLOOKUP(J3,'Unit information'!$AA$2:$AH$15,6,FALSE)*'Unit information'!$AE$19^(J9-1)</f>
        <v>200</v>
      </c>
      <c r="K10" s="181">
        <f>VLOOKUP(K3,'Unit information'!$AA$2:$AH$15,6,FALSE)*'Unit information'!$AE$19^(K9-1)</f>
        <v>20</v>
      </c>
      <c r="L10" s="181">
        <f>VLOOKUP(L3,'Unit information'!$AA$2:$AH$15,6,FALSE)*'Unit information'!$AE$19^(L9-1)</f>
        <v>100</v>
      </c>
      <c r="M10" s="181">
        <f>VLOOKUP(M3,'Unit information'!$AA$2:$AH$15,6,FALSE)*'Unit information'!$AE$19^(M9-1)</f>
        <v>250</v>
      </c>
      <c r="N10" s="181">
        <f>VLOOKUP(N3,'Unit information'!$AA$2:$AH$15,6,FALSE)*'Unit information'!$AE$19^(N9-1)</f>
        <v>100</v>
      </c>
      <c r="O10" s="143"/>
      <c r="P10" s="121"/>
      <c r="Q10" s="176"/>
      <c r="S10" s="390" t="s">
        <v>244</v>
      </c>
      <c r="T10" s="391">
        <f>ROUND(IF(K15=K16,Q15/Q12*K4,K15+(K15-K16)),0)</f>
        <v>234</v>
      </c>
      <c r="U10">
        <v>7</v>
      </c>
      <c r="V10" s="183">
        <f t="shared" si="0"/>
        <v>1.2895889249131132</v>
      </c>
      <c r="W10">
        <f t="shared" si="1"/>
        <v>390</v>
      </c>
    </row>
    <row r="11" spans="1:23" ht="15.75" thickBot="1" x14ac:dyDescent="0.3">
      <c r="A11" s="482"/>
      <c r="B11" s="79" t="s">
        <v>225</v>
      </c>
      <c r="C11" s="181">
        <f>VLOOKUP(C3,'Unit information'!$AA$2:$AH$15,7,FALSE)*'Unit information'!$AE$19^(C9-1)</f>
        <v>45</v>
      </c>
      <c r="D11" s="181">
        <f>VLOOKUP(D3,'Unit information'!$AA$2:$AH$15,7,FALSE)*'Unit information'!$AE$19^(D9-1)</f>
        <v>25</v>
      </c>
      <c r="E11" s="181">
        <f>VLOOKUP(E3,'Unit information'!$AA$2:$AH$15,7,FALSE)*'Unit information'!$AE$19^(E9-1)</f>
        <v>5</v>
      </c>
      <c r="F11" s="181">
        <f>VLOOKUP(F3,'Unit information'!$AA$2:$AH$15,7,FALSE)*'Unit information'!$AE$19^(F9-1)</f>
        <v>40</v>
      </c>
      <c r="G11" s="181">
        <f>VLOOKUP(G3,'Unit information'!$AA$2:$AH$15,7,FALSE)*'Unit information'!$AE$19^(G9-1)</f>
        <v>1</v>
      </c>
      <c r="H11" s="181">
        <f>VLOOKUP(H3,'Unit information'!$AA$2:$AH$15,7,FALSE)*'Unit information'!$AE$19^(H9-1)</f>
        <v>40</v>
      </c>
      <c r="I11" s="181">
        <f>VLOOKUP(I3,'Unit information'!$AA$2:$AH$15,7,FALSE)*'Unit information'!$AE$19^(I9-1)</f>
        <v>30</v>
      </c>
      <c r="J11" s="181">
        <f>VLOOKUP(J3,'Unit information'!$AA$2:$AH$15,7,FALSE)*'Unit information'!$AE$19^(J9-1)</f>
        <v>80</v>
      </c>
      <c r="K11" s="181">
        <f>VLOOKUP(K3,'Unit information'!$AA$2:$AH$15,7,FALSE)*'Unit information'!$AE$19^(K9-1)</f>
        <v>50</v>
      </c>
      <c r="L11" s="181">
        <f>VLOOKUP(L3,'Unit information'!$AA$2:$AH$15,7,FALSE)*'Unit information'!$AE$19^(L9-1)</f>
        <v>50</v>
      </c>
      <c r="M11" s="181">
        <f>VLOOKUP(M3,'Unit information'!$AA$2:$AH$15,7,FALSE)*'Unit information'!$AE$19^(M9-1)</f>
        <v>400</v>
      </c>
      <c r="N11" s="181">
        <f>VLOOKUP(N3,'Unit information'!$AA$2:$AH$15,7,FALSE)*'Unit information'!$AE$19^(N9-1)</f>
        <v>50</v>
      </c>
      <c r="O11" s="186">
        <f>VLOOKUP(O3,'Unit information'!$AA$2:$AH$15,7,FALSE)*'Unit information'!$AE$19^(O9-1)</f>
        <v>45</v>
      </c>
      <c r="P11" s="121"/>
      <c r="Q11" s="176"/>
      <c r="S11" s="131" t="s">
        <v>234</v>
      </c>
      <c r="T11" s="392">
        <f>IF(T8-ROUND(T10*K6/(8*1.09^T8),0)&lt;0,"0",T8-ROUND(T10*K6/(8*1.09^T8),0))</f>
        <v>10</v>
      </c>
      <c r="U11">
        <v>8</v>
      </c>
      <c r="V11" s="183">
        <f t="shared" si="0"/>
        <v>1.3373037151348981</v>
      </c>
      <c r="W11">
        <f t="shared" si="1"/>
        <v>440</v>
      </c>
    </row>
    <row r="12" spans="1:23" ht="15.75" thickBot="1" x14ac:dyDescent="0.3">
      <c r="A12" s="483"/>
      <c r="B12" s="93" t="s">
        <v>223</v>
      </c>
      <c r="C12" s="182">
        <f>(C8)*($C$1*$C$11+$C$10)/($C$1+1)</f>
        <v>67067.662741296226</v>
      </c>
      <c r="D12" s="182">
        <f>(D8)*($C$1*$D$11+$D$10)/($C$1+1)</f>
        <v>69110.281048919802</v>
      </c>
      <c r="E12" s="182">
        <f t="shared" ref="E12:O12" si="3">(E8)*($C$1*E11+E10)/($C$1+1)</f>
        <v>0</v>
      </c>
      <c r="F12" s="182">
        <f t="shared" si="3"/>
        <v>0</v>
      </c>
      <c r="G12" s="182">
        <f t="shared" si="3"/>
        <v>0</v>
      </c>
      <c r="H12" s="182">
        <f t="shared" si="3"/>
        <v>0</v>
      </c>
      <c r="I12" s="182">
        <f t="shared" si="3"/>
        <v>0</v>
      </c>
      <c r="J12" s="182">
        <f>(J8)*($C$1*$J$11+$J$10)/($C$1+1)</f>
        <v>0</v>
      </c>
      <c r="K12" s="182">
        <f t="shared" si="3"/>
        <v>0</v>
      </c>
      <c r="L12" s="182">
        <f t="shared" si="3"/>
        <v>0</v>
      </c>
      <c r="M12" s="182">
        <f t="shared" si="3"/>
        <v>0</v>
      </c>
      <c r="N12" s="182">
        <f t="shared" si="3"/>
        <v>0</v>
      </c>
      <c r="O12" s="187">
        <f t="shared" si="3"/>
        <v>0</v>
      </c>
      <c r="P12" s="177">
        <f>SUM(C12:O12)</f>
        <v>136177.94379021603</v>
      </c>
      <c r="Q12" s="179">
        <f>IF(S14="ja",P12*(VLOOKUP(T9,U2:W23,2,FALSE))*2+VLOOKUP(T9,U2:W23,3,FALSE),P12*(VLOOKUP(T9,U2:W23,2,FALSE))+VLOOKUP(T9,U2:W23,3,FALSE))</f>
        <v>196376.81447002912</v>
      </c>
      <c r="U12">
        <v>9</v>
      </c>
      <c r="V12" s="183">
        <f t="shared" si="0"/>
        <v>1.3867839525948893</v>
      </c>
      <c r="W12">
        <f t="shared" si="1"/>
        <v>490</v>
      </c>
    </row>
    <row r="13" spans="1:23" x14ac:dyDescent="0.25">
      <c r="S13" s="135" t="s">
        <v>254</v>
      </c>
      <c r="U13">
        <v>10</v>
      </c>
      <c r="V13" s="183">
        <f t="shared" si="0"/>
        <v>1.4380949588409</v>
      </c>
      <c r="W13">
        <f t="shared" si="1"/>
        <v>540</v>
      </c>
    </row>
    <row r="14" spans="1:23" ht="15.75" thickBot="1" x14ac:dyDescent="0.3">
      <c r="P14" s="61" t="s">
        <v>243</v>
      </c>
      <c r="Q14" s="61">
        <f>IF(S18="ja",Q7/((Q7/Q12)^1.6),Q7/((Q7/Q12)^1.5))</f>
        <v>189707.98727889912</v>
      </c>
      <c r="S14" s="207" t="s">
        <v>255</v>
      </c>
      <c r="U14">
        <v>11</v>
      </c>
      <c r="V14" s="183">
        <f t="shared" si="0"/>
        <v>1.4913044723180133</v>
      </c>
      <c r="W14">
        <f t="shared" si="1"/>
        <v>590</v>
      </c>
    </row>
    <row r="15" spans="1:23" x14ac:dyDescent="0.25">
      <c r="A15" s="485" t="s">
        <v>235</v>
      </c>
      <c r="B15" s="91" t="s">
        <v>236</v>
      </c>
      <c r="C15" s="91">
        <f>C4</f>
        <v>0</v>
      </c>
      <c r="D15" s="91">
        <f t="shared" ref="D15:O15" si="4">D4</f>
        <v>0</v>
      </c>
      <c r="E15" s="91">
        <f t="shared" si="4"/>
        <v>2000</v>
      </c>
      <c r="F15" s="91">
        <f t="shared" si="4"/>
        <v>0</v>
      </c>
      <c r="G15" s="91">
        <f t="shared" si="4"/>
        <v>0</v>
      </c>
      <c r="H15" s="91">
        <f t="shared" si="4"/>
        <v>1000</v>
      </c>
      <c r="I15" s="91">
        <f t="shared" si="4"/>
        <v>0</v>
      </c>
      <c r="J15" s="91">
        <f t="shared" si="4"/>
        <v>0</v>
      </c>
      <c r="K15" s="91">
        <f t="shared" si="4"/>
        <v>213</v>
      </c>
      <c r="L15" s="91">
        <f t="shared" si="4"/>
        <v>0</v>
      </c>
      <c r="M15" s="91">
        <f t="shared" si="4"/>
        <v>0</v>
      </c>
      <c r="N15" s="91">
        <f t="shared" si="4"/>
        <v>0</v>
      </c>
      <c r="O15" s="92">
        <f t="shared" si="4"/>
        <v>0</v>
      </c>
      <c r="P15" s="61" t="s">
        <v>242</v>
      </c>
      <c r="Q15" s="61">
        <f>IF(S18="ja",Q12/((Q12/Q7)^1.6),Q12/((Q12/Q7)^1.5))</f>
        <v>217823.12992926157</v>
      </c>
      <c r="U15">
        <v>12</v>
      </c>
      <c r="V15" s="183">
        <f t="shared" si="0"/>
        <v>1.5464827377937795</v>
      </c>
      <c r="W15">
        <f t="shared" si="1"/>
        <v>640</v>
      </c>
    </row>
    <row r="16" spans="1:23" ht="15.75" thickBot="1" x14ac:dyDescent="0.3">
      <c r="A16" s="482"/>
      <c r="B16" s="79" t="s">
        <v>237</v>
      </c>
      <c r="C16" s="122">
        <f t="shared" ref="C16:O16" si="5">ROUND(IF($Q$14/$Q$7*C15&gt;C15,C15,$Q$14/$Q$7*C15),0)</f>
        <v>0</v>
      </c>
      <c r="D16" s="122">
        <f t="shared" si="5"/>
        <v>0</v>
      </c>
      <c r="E16" s="122">
        <f t="shared" si="5"/>
        <v>1803</v>
      </c>
      <c r="F16" s="122">
        <f t="shared" si="5"/>
        <v>0</v>
      </c>
      <c r="G16" s="122">
        <f t="shared" si="5"/>
        <v>0</v>
      </c>
      <c r="H16" s="122">
        <f t="shared" si="5"/>
        <v>902</v>
      </c>
      <c r="I16" s="122">
        <f t="shared" si="5"/>
        <v>0</v>
      </c>
      <c r="J16" s="122">
        <f t="shared" si="5"/>
        <v>0</v>
      </c>
      <c r="K16" s="122">
        <f t="shared" si="5"/>
        <v>192</v>
      </c>
      <c r="L16" s="122">
        <f t="shared" si="5"/>
        <v>0</v>
      </c>
      <c r="M16" s="122">
        <f t="shared" si="5"/>
        <v>0</v>
      </c>
      <c r="N16" s="122">
        <f t="shared" si="5"/>
        <v>0</v>
      </c>
      <c r="O16" s="176">
        <f t="shared" si="5"/>
        <v>0</v>
      </c>
      <c r="U16">
        <v>13</v>
      </c>
      <c r="V16" s="183">
        <f t="shared" si="0"/>
        <v>1.6037025990921494</v>
      </c>
      <c r="W16">
        <f t="shared" si="1"/>
        <v>690</v>
      </c>
    </row>
    <row r="17" spans="1:23" x14ac:dyDescent="0.25">
      <c r="A17" s="482"/>
      <c r="B17" s="79" t="s">
        <v>238</v>
      </c>
      <c r="C17" s="195">
        <f>C15-C16</f>
        <v>0</v>
      </c>
      <c r="D17" s="195">
        <f t="shared" ref="D17:O17" si="6">D15-D16</f>
        <v>0</v>
      </c>
      <c r="E17" s="195">
        <f t="shared" si="6"/>
        <v>197</v>
      </c>
      <c r="F17" s="195">
        <f t="shared" si="6"/>
        <v>0</v>
      </c>
      <c r="G17" s="195">
        <f t="shared" si="6"/>
        <v>0</v>
      </c>
      <c r="H17" s="195">
        <f t="shared" si="6"/>
        <v>98</v>
      </c>
      <c r="I17" s="195">
        <f t="shared" si="6"/>
        <v>0</v>
      </c>
      <c r="J17" s="195">
        <f t="shared" si="6"/>
        <v>0</v>
      </c>
      <c r="K17" s="195">
        <f t="shared" si="6"/>
        <v>21</v>
      </c>
      <c r="L17" s="195">
        <f t="shared" si="6"/>
        <v>0</v>
      </c>
      <c r="M17" s="195">
        <f t="shared" si="6"/>
        <v>0</v>
      </c>
      <c r="N17" s="195">
        <f t="shared" si="6"/>
        <v>0</v>
      </c>
      <c r="O17" s="196">
        <f t="shared" si="6"/>
        <v>0</v>
      </c>
      <c r="Q17" s="274"/>
      <c r="S17" s="46" t="s">
        <v>313</v>
      </c>
      <c r="U17">
        <v>14</v>
      </c>
      <c r="V17" s="183">
        <f t="shared" si="0"/>
        <v>1.6630395952585586</v>
      </c>
      <c r="W17">
        <f t="shared" si="1"/>
        <v>740</v>
      </c>
    </row>
    <row r="18" spans="1:23" ht="15.75" thickBot="1" x14ac:dyDescent="0.3">
      <c r="A18" s="482" t="s">
        <v>239</v>
      </c>
      <c r="B18" s="79" t="s">
        <v>236</v>
      </c>
      <c r="C18" s="79">
        <f>C8</f>
        <v>2000</v>
      </c>
      <c r="D18" s="79">
        <f t="shared" ref="D18:O18" si="7">D8</f>
        <v>2000</v>
      </c>
      <c r="E18" s="79">
        <f t="shared" si="7"/>
        <v>0</v>
      </c>
      <c r="F18" s="79">
        <f t="shared" si="7"/>
        <v>0</v>
      </c>
      <c r="G18" s="79">
        <f t="shared" si="7"/>
        <v>0</v>
      </c>
      <c r="H18" s="79">
        <f t="shared" si="7"/>
        <v>0</v>
      </c>
      <c r="I18" s="79">
        <f t="shared" si="7"/>
        <v>0</v>
      </c>
      <c r="J18" s="79">
        <f t="shared" si="7"/>
        <v>0</v>
      </c>
      <c r="K18" s="79">
        <f t="shared" si="7"/>
        <v>0</v>
      </c>
      <c r="L18" s="79">
        <f t="shared" si="7"/>
        <v>0</v>
      </c>
      <c r="M18" s="79">
        <f t="shared" si="7"/>
        <v>0</v>
      </c>
      <c r="N18" s="79">
        <f t="shared" si="7"/>
        <v>0</v>
      </c>
      <c r="O18" s="82">
        <f t="shared" si="7"/>
        <v>0</v>
      </c>
      <c r="S18" s="207" t="s">
        <v>255</v>
      </c>
      <c r="U18">
        <v>15</v>
      </c>
      <c r="V18" s="183">
        <f t="shared" si="0"/>
        <v>1.7245720602831254</v>
      </c>
      <c r="W18">
        <f t="shared" si="1"/>
        <v>790</v>
      </c>
    </row>
    <row r="19" spans="1:23" x14ac:dyDescent="0.25">
      <c r="A19" s="482"/>
      <c r="B19" s="79" t="s">
        <v>237</v>
      </c>
      <c r="C19" s="122">
        <f>ROUND(IF($Q$15/$Q$12*C18&gt;C18,C18,$Q$15/$Q$12*C18),0)</f>
        <v>2000</v>
      </c>
      <c r="D19" s="122">
        <f t="shared" ref="D19:O19" si="8">ROUND(IF($Q$15/$Q$12*D18&gt;D18,D18,$Q$15/$Q$12*D18),0)</f>
        <v>2000</v>
      </c>
      <c r="E19" s="122">
        <f t="shared" si="8"/>
        <v>0</v>
      </c>
      <c r="F19" s="122">
        <f t="shared" si="8"/>
        <v>0</v>
      </c>
      <c r="G19" s="122">
        <f t="shared" si="8"/>
        <v>0</v>
      </c>
      <c r="H19" s="122">
        <f t="shared" si="8"/>
        <v>0</v>
      </c>
      <c r="I19" s="122">
        <f t="shared" si="8"/>
        <v>0</v>
      </c>
      <c r="J19" s="122">
        <f t="shared" si="8"/>
        <v>0</v>
      </c>
      <c r="K19" s="122">
        <f t="shared" si="8"/>
        <v>0</v>
      </c>
      <c r="L19" s="122">
        <f t="shared" si="8"/>
        <v>0</v>
      </c>
      <c r="M19" s="122">
        <f t="shared" si="8"/>
        <v>0</v>
      </c>
      <c r="N19" s="122">
        <f t="shared" si="8"/>
        <v>0</v>
      </c>
      <c r="O19" s="176">
        <f t="shared" si="8"/>
        <v>0</v>
      </c>
      <c r="Q19" s="273"/>
      <c r="U19">
        <v>16</v>
      </c>
      <c r="V19" s="183">
        <f t="shared" si="0"/>
        <v>1.7883812265136008</v>
      </c>
      <c r="W19">
        <f t="shared" si="1"/>
        <v>840</v>
      </c>
    </row>
    <row r="20" spans="1:23" ht="15.75" thickBot="1" x14ac:dyDescent="0.3">
      <c r="A20" s="483"/>
      <c r="B20" s="93" t="s">
        <v>238</v>
      </c>
      <c r="C20" s="197">
        <f>C18-C19</f>
        <v>0</v>
      </c>
      <c r="D20" s="197">
        <f t="shared" ref="D20:O20" si="9">D18-D19</f>
        <v>0</v>
      </c>
      <c r="E20" s="197">
        <f t="shared" si="9"/>
        <v>0</v>
      </c>
      <c r="F20" s="197">
        <f t="shared" si="9"/>
        <v>0</v>
      </c>
      <c r="G20" s="197">
        <f t="shared" si="9"/>
        <v>0</v>
      </c>
      <c r="H20" s="197">
        <f t="shared" si="9"/>
        <v>0</v>
      </c>
      <c r="I20" s="197">
        <f t="shared" si="9"/>
        <v>0</v>
      </c>
      <c r="J20" s="197">
        <f t="shared" si="9"/>
        <v>0</v>
      </c>
      <c r="K20" s="197">
        <f t="shared" si="9"/>
        <v>0</v>
      </c>
      <c r="L20" s="197">
        <f t="shared" si="9"/>
        <v>0</v>
      </c>
      <c r="M20" s="197">
        <f t="shared" si="9"/>
        <v>0</v>
      </c>
      <c r="N20" s="197">
        <f t="shared" si="9"/>
        <v>0</v>
      </c>
      <c r="O20" s="198">
        <f t="shared" si="9"/>
        <v>0</v>
      </c>
      <c r="U20">
        <v>17</v>
      </c>
      <c r="V20" s="183">
        <f t="shared" si="0"/>
        <v>1.8545513318946039</v>
      </c>
      <c r="W20">
        <f t="shared" si="1"/>
        <v>890</v>
      </c>
    </row>
    <row r="21" spans="1:23" x14ac:dyDescent="0.25">
      <c r="Q21" s="77"/>
      <c r="U21">
        <v>18</v>
      </c>
      <c r="V21" s="183">
        <f t="shared" si="0"/>
        <v>1.923169731174704</v>
      </c>
      <c r="W21">
        <f t="shared" si="1"/>
        <v>940</v>
      </c>
    </row>
    <row r="22" spans="1:23" x14ac:dyDescent="0.25">
      <c r="Q22" s="77"/>
      <c r="R22" s="153"/>
      <c r="S22" s="153"/>
      <c r="T22" s="153"/>
      <c r="U22">
        <v>19</v>
      </c>
      <c r="V22" s="183">
        <f t="shared" si="0"/>
        <v>1.9943270112281681</v>
      </c>
      <c r="W22">
        <f t="shared" si="1"/>
        <v>990</v>
      </c>
    </row>
    <row r="23" spans="1:23" x14ac:dyDescent="0.25">
      <c r="Q23" s="77"/>
      <c r="U23">
        <v>20</v>
      </c>
      <c r="V23" s="183">
        <f t="shared" si="0"/>
        <v>2.0681171106436098</v>
      </c>
      <c r="W23">
        <f t="shared" si="1"/>
        <v>1040</v>
      </c>
    </row>
  </sheetData>
  <mergeCells count="6">
    <mergeCell ref="A18:A20"/>
    <mergeCell ref="D1:N1"/>
    <mergeCell ref="A4:A7"/>
    <mergeCell ref="S7:T7"/>
    <mergeCell ref="A8:A12"/>
    <mergeCell ref="A15:A17"/>
  </mergeCells>
  <dataValidations count="1">
    <dataValidation type="list" allowBlank="1" showInputMessage="1" showErrorMessage="1" sqref="S14 S18">
      <formula1>"ja,nein"</formula1>
    </dataValidation>
  </dataValidations>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1"/>
  <dimension ref="A1:W58"/>
  <sheetViews>
    <sheetView topLeftCell="A29" workbookViewId="0">
      <selection activeCell="Q31" sqref="Q31"/>
    </sheetView>
  </sheetViews>
  <sheetFormatPr baseColWidth="10" defaultRowHeight="15" x14ac:dyDescent="0.25"/>
  <cols>
    <col min="1" max="1" width="11.140625" bestFit="1" customWidth="1"/>
    <col min="2" max="2" width="13.42578125" bestFit="1" customWidth="1"/>
    <col min="3" max="3" width="12.5703125" bestFit="1" customWidth="1"/>
    <col min="4" max="4" width="12.140625" bestFit="1" customWidth="1"/>
    <col min="5" max="5" width="8.42578125" bestFit="1" customWidth="1"/>
    <col min="6" max="7" width="7.5703125" bestFit="1" customWidth="1"/>
    <col min="8" max="8" width="12" bestFit="1" customWidth="1"/>
    <col min="9" max="9" width="15.28515625" bestFit="1" customWidth="1"/>
    <col min="10" max="10" width="13.140625" bestFit="1" customWidth="1"/>
    <col min="11" max="11" width="7.5703125" bestFit="1" customWidth="1"/>
    <col min="12" max="12" width="8.5703125" bestFit="1" customWidth="1"/>
    <col min="13" max="13" width="7.7109375" bestFit="1" customWidth="1"/>
    <col min="14" max="14" width="10.42578125" bestFit="1" customWidth="1"/>
    <col min="15" max="15" width="7.5703125" bestFit="1" customWidth="1"/>
    <col min="16" max="16" width="18.140625" bestFit="1" customWidth="1"/>
    <col min="17" max="17" width="14.5703125" bestFit="1" customWidth="1"/>
  </cols>
  <sheetData>
    <row r="1" spans="1:23" x14ac:dyDescent="0.25">
      <c r="A1" s="76" t="s">
        <v>245</v>
      </c>
      <c r="B1" s="202">
        <f>(P7-SUM(G7:J7))/P7</f>
        <v>0.30232558139534882</v>
      </c>
      <c r="C1" t="s">
        <v>247</v>
      </c>
      <c r="D1" s="202">
        <f>(SUM(G7:H7)+J7)/P7</f>
        <v>0.50387596899224807</v>
      </c>
      <c r="E1" t="s">
        <v>250</v>
      </c>
      <c r="F1" s="203">
        <f>I7/P7</f>
        <v>0.19379844961240311</v>
      </c>
      <c r="H1" s="484" t="s">
        <v>246</v>
      </c>
      <c r="I1" s="484"/>
      <c r="J1" s="484"/>
      <c r="K1" s="484"/>
      <c r="L1" s="484"/>
      <c r="M1" s="484"/>
      <c r="N1" s="484"/>
      <c r="O1" s="484"/>
      <c r="P1" s="201"/>
      <c r="V1">
        <v>1.0369999999999999</v>
      </c>
      <c r="W1">
        <v>50</v>
      </c>
    </row>
    <row r="2" spans="1:23" ht="15.75" thickBot="1" x14ac:dyDescent="0.3">
      <c r="S2" t="s">
        <v>230</v>
      </c>
      <c r="U2" t="s">
        <v>226</v>
      </c>
      <c r="V2" t="s">
        <v>228</v>
      </c>
      <c r="W2" t="s">
        <v>229</v>
      </c>
    </row>
    <row r="3" spans="1:23" ht="15.75" thickBot="1" x14ac:dyDescent="0.3">
      <c r="A3" s="131"/>
      <c r="B3" s="184"/>
      <c r="C3" s="184" t="s">
        <v>73</v>
      </c>
      <c r="D3" s="184" t="s">
        <v>74</v>
      </c>
      <c r="E3" s="184" t="s">
        <v>75</v>
      </c>
      <c r="F3" s="184" t="s">
        <v>190</v>
      </c>
      <c r="G3" s="184" t="s">
        <v>71</v>
      </c>
      <c r="H3" s="184" t="s">
        <v>76</v>
      </c>
      <c r="I3" s="184" t="s">
        <v>191</v>
      </c>
      <c r="J3" s="184" t="s">
        <v>77</v>
      </c>
      <c r="K3" s="184" t="s">
        <v>78</v>
      </c>
      <c r="L3" s="184" t="s">
        <v>79</v>
      </c>
      <c r="M3" s="184" t="s">
        <v>192</v>
      </c>
      <c r="N3" s="184" t="s">
        <v>193</v>
      </c>
      <c r="O3" s="185" t="s">
        <v>194</v>
      </c>
      <c r="P3" s="188" t="s">
        <v>154</v>
      </c>
      <c r="Q3" s="189" t="s">
        <v>240</v>
      </c>
      <c r="R3" s="13"/>
      <c r="S3" s="134">
        <v>0</v>
      </c>
      <c r="U3">
        <v>0</v>
      </c>
      <c r="V3" s="183">
        <f>$V$1^U3</f>
        <v>1</v>
      </c>
      <c r="W3">
        <v>20</v>
      </c>
    </row>
    <row r="4" spans="1:23" x14ac:dyDescent="0.25">
      <c r="A4" s="485" t="s">
        <v>219</v>
      </c>
      <c r="B4" s="91" t="s">
        <v>70</v>
      </c>
      <c r="C4" s="193">
        <v>0</v>
      </c>
      <c r="D4" s="193">
        <v>0</v>
      </c>
      <c r="E4" s="193">
        <v>1170</v>
      </c>
      <c r="F4" s="193">
        <v>0</v>
      </c>
      <c r="G4" s="193">
        <v>0</v>
      </c>
      <c r="H4" s="193">
        <v>600</v>
      </c>
      <c r="I4" s="193">
        <v>250</v>
      </c>
      <c r="J4" s="193">
        <v>0</v>
      </c>
      <c r="K4" s="193">
        <v>0</v>
      </c>
      <c r="L4" s="193">
        <v>0</v>
      </c>
      <c r="M4" s="193">
        <v>0</v>
      </c>
      <c r="N4" s="193">
        <v>0</v>
      </c>
      <c r="O4" s="194">
        <v>0</v>
      </c>
      <c r="P4" s="81"/>
      <c r="Q4" s="82"/>
      <c r="S4" s="425" t="s">
        <v>231</v>
      </c>
      <c r="T4" s="426"/>
      <c r="U4">
        <v>1</v>
      </c>
      <c r="V4" s="183">
        <f t="shared" ref="V4:V23" si="0">$V$1^U4</f>
        <v>1.0369999999999999</v>
      </c>
      <c r="W4">
        <v>70</v>
      </c>
    </row>
    <row r="5" spans="1:23" x14ac:dyDescent="0.25">
      <c r="A5" s="482"/>
      <c r="B5" s="79" t="s">
        <v>221</v>
      </c>
      <c r="C5" s="79">
        <v>1</v>
      </c>
      <c r="D5" s="79">
        <v>1</v>
      </c>
      <c r="E5" s="79">
        <v>1</v>
      </c>
      <c r="F5" s="79">
        <v>1</v>
      </c>
      <c r="G5" s="79">
        <v>1</v>
      </c>
      <c r="H5" s="79">
        <v>1</v>
      </c>
      <c r="I5" s="79">
        <v>1</v>
      </c>
      <c r="J5" s="79">
        <v>1</v>
      </c>
      <c r="K5" s="79">
        <v>1</v>
      </c>
      <c r="L5" s="79">
        <v>1</v>
      </c>
      <c r="M5" s="79">
        <v>1</v>
      </c>
      <c r="N5" s="79">
        <v>1</v>
      </c>
      <c r="O5" s="143">
        <v>1</v>
      </c>
      <c r="P5" s="81"/>
      <c r="Q5" s="82"/>
      <c r="S5" s="81" t="s">
        <v>232</v>
      </c>
      <c r="T5" s="40">
        <v>0</v>
      </c>
      <c r="U5">
        <v>2</v>
      </c>
      <c r="V5" s="183">
        <f t="shared" si="0"/>
        <v>1.0753689999999998</v>
      </c>
      <c r="W5">
        <v>120</v>
      </c>
    </row>
    <row r="6" spans="1:23" x14ac:dyDescent="0.25">
      <c r="A6" s="482"/>
      <c r="B6" s="79" t="s">
        <v>222</v>
      </c>
      <c r="C6" s="181">
        <f>VLOOKUP(C3,'Unit information'!$AA$2:$AH$15,5,FALSE)*'Unit information'!$AE$19^(C5-1)</f>
        <v>10</v>
      </c>
      <c r="D6" s="181">
        <f>VLOOKUP(D3,'Unit information'!$AA$2:$AH$15,5,FALSE)*'Unit information'!$AE$19^(D5-1)</f>
        <v>25</v>
      </c>
      <c r="E6" s="181">
        <f>VLOOKUP(E3,'Unit information'!$AA$2:$AH$15,5,FALSE)*'Unit information'!$AE$19^(E5-1)</f>
        <v>40</v>
      </c>
      <c r="F6" s="181">
        <f>VLOOKUP(F3,'Unit information'!$AA$2:$AH$15,5,FALSE)*'Unit information'!$AE$19^(F5-1)</f>
        <v>15</v>
      </c>
      <c r="G6" s="181">
        <f>VLOOKUP(G3,'Unit information'!$AA$2:$AH$15,5,FALSE)*'Unit information'!$AE$19^(G5-1)</f>
        <v>0</v>
      </c>
      <c r="H6" s="181">
        <f>VLOOKUP(H3,'Unit information'!$AA$2:$AH$15,5,FALSE)*'Unit information'!$AE$19^(H5-1)</f>
        <v>130</v>
      </c>
      <c r="I6" s="181">
        <f>VLOOKUP(I3,'Unit information'!$AA$2:$AH$15,5,FALSE)*'Unit information'!$AE$19^(I5-1)</f>
        <v>120</v>
      </c>
      <c r="J6" s="181">
        <f>VLOOKUP(J3,'Unit information'!$AA$2:$AH$15,5,FALSE)*'Unit information'!$AE$19^(J5-1)</f>
        <v>150</v>
      </c>
      <c r="K6" s="181">
        <f>VLOOKUP(K3,'Unit information'!$AA$2:$AH$15,5,FALSE)*'Unit information'!$AE$19^(K5-1)</f>
        <v>2</v>
      </c>
      <c r="L6" s="181">
        <f>VLOOKUP(L3,'Unit information'!$AA$2:$AH$15,5,FALSE)*'Unit information'!$AE$19^(L5-1)</f>
        <v>100</v>
      </c>
      <c r="M6" s="181">
        <f>VLOOKUP(M3,'Unit information'!$AA$2:$AH$15,5,FALSE)*'Unit information'!$AE$19^(M5-1)</f>
        <v>150</v>
      </c>
      <c r="N6" s="181">
        <f>VLOOKUP(N3,'Unit information'!$AA$2:$AH$15,5,FALSE)*'Unit information'!$AE$19^(N5-1)</f>
        <v>30</v>
      </c>
      <c r="O6" s="186">
        <f>VLOOKUP(O3,'Unit information'!$AA$2:$AH$15,5,FALSE)*'Unit information'!$AE$19^(O5-1)</f>
        <v>0</v>
      </c>
      <c r="P6" s="81"/>
      <c r="Q6" s="82"/>
      <c r="S6" s="81" t="s">
        <v>233</v>
      </c>
      <c r="T6" s="82">
        <f>IF(T5-(K4*2/(8*1.09^T5))&lt;T5/2,ROUNDDOWN(T5/2,0),T5-ROUND(K4*2/(8*1.09^T5),0))</f>
        <v>0</v>
      </c>
      <c r="U6">
        <v>3</v>
      </c>
      <c r="V6" s="183">
        <f t="shared" si="0"/>
        <v>1.1151576529999998</v>
      </c>
      <c r="W6">
        <v>170</v>
      </c>
    </row>
    <row r="7" spans="1:23" ht="15.75" thickBot="1" x14ac:dyDescent="0.3">
      <c r="A7" s="483"/>
      <c r="B7" s="93" t="s">
        <v>223</v>
      </c>
      <c r="C7" s="93">
        <f t="shared" ref="C7:O7" si="1">C6*C4</f>
        <v>0</v>
      </c>
      <c r="D7" s="93">
        <f t="shared" si="1"/>
        <v>0</v>
      </c>
      <c r="E7" s="93">
        <f t="shared" si="1"/>
        <v>46800</v>
      </c>
      <c r="F7" s="93">
        <f t="shared" si="1"/>
        <v>0</v>
      </c>
      <c r="G7" s="93">
        <f t="shared" si="1"/>
        <v>0</v>
      </c>
      <c r="H7" s="93">
        <f t="shared" si="1"/>
        <v>78000</v>
      </c>
      <c r="I7" s="93">
        <f t="shared" si="1"/>
        <v>30000</v>
      </c>
      <c r="J7" s="93">
        <f t="shared" si="1"/>
        <v>0</v>
      </c>
      <c r="K7" s="93">
        <f t="shared" si="1"/>
        <v>0</v>
      </c>
      <c r="L7" s="93">
        <f t="shared" si="1"/>
        <v>0</v>
      </c>
      <c r="M7" s="93">
        <f t="shared" si="1"/>
        <v>0</v>
      </c>
      <c r="N7" s="93">
        <f t="shared" si="1"/>
        <v>0</v>
      </c>
      <c r="O7" s="145">
        <f t="shared" si="1"/>
        <v>0</v>
      </c>
      <c r="P7" s="81">
        <f>SUM(C7:O7)</f>
        <v>154800</v>
      </c>
      <c r="Q7" s="82">
        <f>P7*(1+S3)</f>
        <v>154800</v>
      </c>
      <c r="S7" s="126" t="s">
        <v>244</v>
      </c>
      <c r="T7" s="191">
        <f>IF(K20=K21,Q7/Q14*K4,K20+(K20-K21))</f>
        <v>0</v>
      </c>
      <c r="U7">
        <v>4</v>
      </c>
      <c r="V7" s="183">
        <f t="shared" si="0"/>
        <v>1.1564184861609996</v>
      </c>
      <c r="W7">
        <v>220</v>
      </c>
    </row>
    <row r="8" spans="1:23" ht="15.75" thickBot="1" x14ac:dyDescent="0.3">
      <c r="A8" s="485" t="s">
        <v>220</v>
      </c>
      <c r="B8" s="91" t="s">
        <v>70</v>
      </c>
      <c r="C8" s="193">
        <v>1000</v>
      </c>
      <c r="D8" s="193">
        <v>1000</v>
      </c>
      <c r="E8" s="193">
        <v>0</v>
      </c>
      <c r="F8" s="193">
        <v>0</v>
      </c>
      <c r="G8" s="193">
        <v>0</v>
      </c>
      <c r="H8" s="193">
        <v>0</v>
      </c>
      <c r="I8" s="193">
        <v>0</v>
      </c>
      <c r="J8" s="193">
        <v>500</v>
      </c>
      <c r="K8" s="193">
        <v>0</v>
      </c>
      <c r="L8" s="193">
        <v>0</v>
      </c>
      <c r="M8" s="193">
        <v>0</v>
      </c>
      <c r="N8" s="193">
        <v>0</v>
      </c>
      <c r="O8" s="194">
        <v>0</v>
      </c>
      <c r="P8" s="81"/>
      <c r="Q8" s="82"/>
      <c r="S8" s="88" t="s">
        <v>234</v>
      </c>
      <c r="T8" s="192">
        <f>IF(T5-ROUND(T7*K6/(8*1.09^T5),0)&lt;0,"0",T5-ROUND(T7*K6/(8*1.09^T5),0))</f>
        <v>0</v>
      </c>
      <c r="U8">
        <v>5</v>
      </c>
      <c r="V8" s="183">
        <f t="shared" si="0"/>
        <v>1.1992059701489566</v>
      </c>
      <c r="W8">
        <v>270</v>
      </c>
    </row>
    <row r="9" spans="1:23" x14ac:dyDescent="0.25">
      <c r="A9" s="482"/>
      <c r="B9" s="79" t="s">
        <v>221</v>
      </c>
      <c r="C9" s="79">
        <v>1</v>
      </c>
      <c r="D9" s="79">
        <v>1</v>
      </c>
      <c r="E9" s="79">
        <v>1</v>
      </c>
      <c r="F9" s="79">
        <v>1</v>
      </c>
      <c r="G9" s="79">
        <v>1</v>
      </c>
      <c r="H9" s="79">
        <v>1</v>
      </c>
      <c r="I9" s="79">
        <v>1</v>
      </c>
      <c r="J9" s="79">
        <v>1</v>
      </c>
      <c r="K9" s="79">
        <v>1</v>
      </c>
      <c r="L9" s="79">
        <v>1</v>
      </c>
      <c r="M9" s="79">
        <v>1</v>
      </c>
      <c r="N9" s="79">
        <v>1</v>
      </c>
      <c r="O9" s="143">
        <v>1</v>
      </c>
      <c r="P9" s="81"/>
      <c r="Q9" s="82"/>
      <c r="U9">
        <v>6</v>
      </c>
      <c r="V9" s="183">
        <f t="shared" si="0"/>
        <v>1.2435765910444678</v>
      </c>
      <c r="W9">
        <v>320</v>
      </c>
    </row>
    <row r="10" spans="1:23" x14ac:dyDescent="0.25">
      <c r="A10" s="482"/>
      <c r="B10" s="79" t="s">
        <v>224</v>
      </c>
      <c r="C10" s="181">
        <f>VLOOKUP(C3,'Unit information'!$AA$2:$AH$15,6,FALSE)*'Unit information'!$AE$19^(C9-1)</f>
        <v>15</v>
      </c>
      <c r="D10" s="181">
        <f>VLOOKUP(D3,'Unit information'!$AA$2:$AH$15,6,FALSE)*'Unit information'!$AE$19^(D9-1)</f>
        <v>50</v>
      </c>
      <c r="E10" s="181">
        <f>VLOOKUP(E3,'Unit information'!$AA$2:$AH$15,6,FALSE)*'Unit information'!$AE$19^(E9-1)</f>
        <v>10</v>
      </c>
      <c r="F10" s="181">
        <f>VLOOKUP(F3,'Unit information'!$AA$2:$AH$15,6,FALSE)*'Unit information'!$AE$19^(F9-1)</f>
        <v>50</v>
      </c>
      <c r="G10" s="181">
        <f>VLOOKUP(G3,'Unit information'!$AA$2:$AH$15,6,FALSE)*'Unit information'!$AE$19^(G9-1)</f>
        <v>2</v>
      </c>
      <c r="H10" s="181">
        <f>VLOOKUP(H3,'Unit information'!$AA$2:$AH$15,6,FALSE)*'Unit information'!$AE$19^(H9-1)</f>
        <v>30</v>
      </c>
      <c r="I10" s="181">
        <f>VLOOKUP(I3,'Unit information'!$AA$2:$AH$15,6,FALSE)*'Unit information'!$AE$19^(I9-1)</f>
        <v>40</v>
      </c>
      <c r="J10" s="181">
        <f>VLOOKUP(J3,'Unit information'!$AA$2:$AH$15,6,FALSE)*'Unit information'!$AE$19^(J9-1)</f>
        <v>200</v>
      </c>
      <c r="K10" s="181">
        <f>VLOOKUP(K3,'Unit information'!$AA$2:$AH$15,6,FALSE)*'Unit information'!$AE$19^(K9-1)</f>
        <v>20</v>
      </c>
      <c r="L10" s="181">
        <f>VLOOKUP(L3,'Unit information'!$AA$2:$AH$15,6,FALSE)*'Unit information'!$AE$19^(L9-1)</f>
        <v>100</v>
      </c>
      <c r="M10" s="181">
        <f>VLOOKUP(M3,'Unit information'!$AA$2:$AH$15,6,FALSE)*'Unit information'!$AE$19^(M9-1)</f>
        <v>250</v>
      </c>
      <c r="N10" s="181">
        <f>VLOOKUP(N3,'Unit information'!$AA$2:$AH$15,6,FALSE)*'Unit information'!$AE$19^(N9-1)</f>
        <v>100</v>
      </c>
      <c r="O10" s="143"/>
      <c r="P10" s="81"/>
      <c r="Q10" s="82"/>
      <c r="U10">
        <v>7</v>
      </c>
      <c r="V10" s="183">
        <f t="shared" si="0"/>
        <v>1.2895889249131132</v>
      </c>
      <c r="W10">
        <v>370</v>
      </c>
    </row>
    <row r="11" spans="1:23" x14ac:dyDescent="0.25">
      <c r="A11" s="482"/>
      <c r="B11" s="79" t="s">
        <v>225</v>
      </c>
      <c r="C11" s="181">
        <f>VLOOKUP(C3,'Unit information'!$AA$2:$AH$15,7,FALSE)*'Unit information'!$AE$19^(C9-1)</f>
        <v>45</v>
      </c>
      <c r="D11" s="181">
        <f>VLOOKUP(D3,'Unit information'!$AA$2:$AH$15,7,FALSE)*'Unit information'!$AE$19^(D9-1)</f>
        <v>25</v>
      </c>
      <c r="E11" s="181">
        <f>VLOOKUP(E3,'Unit information'!$AA$2:$AH$15,7,FALSE)*'Unit information'!$AE$19^(E9-1)</f>
        <v>5</v>
      </c>
      <c r="F11" s="181">
        <f>VLOOKUP(F3,'Unit information'!$AA$2:$AH$15,7,FALSE)*'Unit information'!$AE$19^(F9-1)</f>
        <v>40</v>
      </c>
      <c r="G11" s="181">
        <f>VLOOKUP(G3,'Unit information'!$AA$2:$AH$15,7,FALSE)*'Unit information'!$AE$19^(G9-1)</f>
        <v>1</v>
      </c>
      <c r="H11" s="181">
        <f>VLOOKUP(H3,'Unit information'!$AA$2:$AH$15,7,FALSE)*'Unit information'!$AE$19^(H9-1)</f>
        <v>40</v>
      </c>
      <c r="I11" s="181">
        <f>VLOOKUP(I3,'Unit information'!$AA$2:$AH$15,7,FALSE)*'Unit information'!$AE$19^(I9-1)</f>
        <v>30</v>
      </c>
      <c r="J11" s="181">
        <f>VLOOKUP(J3,'Unit information'!$AA$2:$AH$15,7,FALSE)*'Unit information'!$AE$19^(J9-1)</f>
        <v>80</v>
      </c>
      <c r="K11" s="181">
        <f>VLOOKUP(K3,'Unit information'!$AA$2:$AH$15,7,FALSE)*'Unit information'!$AE$19^(K9-1)</f>
        <v>50</v>
      </c>
      <c r="L11" s="181">
        <f>VLOOKUP(L3,'Unit information'!$AA$2:$AH$15,7,FALSE)*'Unit information'!$AE$19^(L9-1)</f>
        <v>50</v>
      </c>
      <c r="M11" s="181">
        <f>VLOOKUP(M3,'Unit information'!$AA$2:$AH$15,7,FALSE)*'Unit information'!$AE$19^(M9-1)</f>
        <v>400</v>
      </c>
      <c r="N11" s="181">
        <f>VLOOKUP(N3,'Unit information'!$AA$2:$AH$15,7,FALSE)*'Unit information'!$AE$19^(N9-1)</f>
        <v>50</v>
      </c>
      <c r="O11" s="186">
        <f>VLOOKUP(O3,'Unit information'!$AA$2:$AH$15,7,FALSE)*'Unit information'!$AE$19^(O9-1)</f>
        <v>45</v>
      </c>
      <c r="P11" s="81"/>
      <c r="Q11" s="82"/>
      <c r="U11">
        <v>8</v>
      </c>
      <c r="V11" s="183">
        <f t="shared" si="0"/>
        <v>1.3373037151348981</v>
      </c>
      <c r="W11">
        <v>420</v>
      </c>
    </row>
    <row r="12" spans="1:23" x14ac:dyDescent="0.25">
      <c r="A12" s="486"/>
      <c r="B12" s="204" t="s">
        <v>252</v>
      </c>
      <c r="C12" s="181">
        <f>VLOOKUP(C3,'Unit information'!$AA$2:$AH$15,8,FALSE)*'Unit information'!$AE$19^(C9-1)</f>
        <v>20</v>
      </c>
      <c r="D12" s="181">
        <f>VLOOKUP(D3,'Unit information'!$AA$2:$AH$15,8,FALSE)*'Unit information'!$AE$19^(D9-1)</f>
        <v>40</v>
      </c>
      <c r="E12" s="181">
        <f>VLOOKUP(E3,'Unit information'!$AA$2:$AH$15,8,FALSE)*'Unit information'!$AE$19^(E9-1)</f>
        <v>10</v>
      </c>
      <c r="F12" s="181">
        <f>VLOOKUP(F3,'Unit information'!$AA$2:$AH$15,8,FALSE)*'Unit information'!$AE$19^(F9-1)</f>
        <v>5</v>
      </c>
      <c r="G12" s="181">
        <f>VLOOKUP(G3,'Unit information'!$AA$2:$AH$15,8,FALSE)*'Unit information'!$AE$19^(G9-1)</f>
        <v>2</v>
      </c>
      <c r="H12" s="181">
        <f>VLOOKUP(H3,'Unit information'!$AA$2:$AH$15,8,FALSE)*'Unit information'!$AE$19^(H9-1)</f>
        <v>30</v>
      </c>
      <c r="I12" s="181">
        <f>VLOOKUP(I3,'Unit information'!$AA$2:$AH$15,8,FALSE)*'Unit information'!$AE$19^(I9-1)</f>
        <v>50</v>
      </c>
      <c r="J12" s="181">
        <f>VLOOKUP(J3,'Unit information'!$AA$2:$AH$15,8,FALSE)*'Unit information'!$AE$19^(J9-1)</f>
        <v>180</v>
      </c>
      <c r="K12" s="181">
        <f>VLOOKUP(K3,'Unit information'!$AA$2:$AH$15,8,FALSE)*'Unit information'!$AE$19^(K9-1)</f>
        <v>20</v>
      </c>
      <c r="L12" s="181">
        <f>VLOOKUP(L3,'Unit information'!$AA$2:$AH$15,8,FALSE)*'Unit information'!$AE$19^(L9-1)</f>
        <v>100</v>
      </c>
      <c r="M12" s="181">
        <f>VLOOKUP(M3,'Unit information'!$AA$2:$AH$15,8,FALSE)*'Unit information'!$AE$19^(M9-1)</f>
        <v>150</v>
      </c>
      <c r="N12" s="181">
        <f>VLOOKUP(N3,'Unit information'!$AA$2:$AH$15,8,FALSE)*'Unit information'!$AE$19^(N9-1)</f>
        <v>100</v>
      </c>
      <c r="O12" s="181">
        <f>VLOOKUP(O3,'Unit information'!$AA$2:$AH$15,8,FALSE)*'Unit information'!$AE$19^(O9-1)</f>
        <v>25</v>
      </c>
      <c r="P12" s="205"/>
      <c r="Q12" s="206"/>
      <c r="U12">
        <v>9</v>
      </c>
      <c r="V12" s="183">
        <f t="shared" si="0"/>
        <v>1.3867839525948893</v>
      </c>
      <c r="W12">
        <v>470</v>
      </c>
    </row>
    <row r="13" spans="1:23" ht="15.75" thickBot="1" x14ac:dyDescent="0.3">
      <c r="A13" s="483"/>
      <c r="B13" s="93" t="s">
        <v>223</v>
      </c>
      <c r="C13" s="182">
        <f t="shared" ref="C13:O13" si="2">(C8)*($B$1*C11+C10)/($B$1+1)</f>
        <v>21964.28571428571</v>
      </c>
      <c r="D13" s="182">
        <f t="shared" si="2"/>
        <v>44196.428571428572</v>
      </c>
      <c r="E13" s="182">
        <f t="shared" si="2"/>
        <v>0</v>
      </c>
      <c r="F13" s="182">
        <f t="shared" si="2"/>
        <v>0</v>
      </c>
      <c r="G13" s="182">
        <f t="shared" si="2"/>
        <v>0</v>
      </c>
      <c r="H13" s="182">
        <f t="shared" si="2"/>
        <v>0</v>
      </c>
      <c r="I13" s="182">
        <f t="shared" si="2"/>
        <v>0</v>
      </c>
      <c r="J13" s="182">
        <f t="shared" si="2"/>
        <v>86071.428571428565</v>
      </c>
      <c r="K13" s="182">
        <f t="shared" si="2"/>
        <v>0</v>
      </c>
      <c r="L13" s="182">
        <f t="shared" si="2"/>
        <v>0</v>
      </c>
      <c r="M13" s="182">
        <f t="shared" si="2"/>
        <v>0</v>
      </c>
      <c r="N13" s="182">
        <f t="shared" si="2"/>
        <v>0</v>
      </c>
      <c r="O13" s="187">
        <f t="shared" si="2"/>
        <v>0</v>
      </c>
      <c r="P13" s="199">
        <f>SUM(C13:O13)</f>
        <v>152232.14285714284</v>
      </c>
      <c r="Q13" s="200">
        <f>P13*(1+VLOOKUP(T6,U2:W23,2,FALSE))+VLOOKUP(T6,U2:W23,3,FALSE)</f>
        <v>304484.28571428568</v>
      </c>
      <c r="U13">
        <v>10</v>
      </c>
      <c r="V13" s="183">
        <f t="shared" si="0"/>
        <v>1.4380949588409</v>
      </c>
      <c r="W13">
        <v>520</v>
      </c>
    </row>
    <row r="14" spans="1:23" x14ac:dyDescent="0.25">
      <c r="P14" t="s">
        <v>242</v>
      </c>
      <c r="Q14" s="190">
        <f>Q7/SQRT(Q13/Q7)</f>
        <v>110375.83259763692</v>
      </c>
      <c r="U14">
        <v>11</v>
      </c>
      <c r="V14" s="183">
        <f t="shared" si="0"/>
        <v>1.4913044723180133</v>
      </c>
      <c r="W14">
        <v>570</v>
      </c>
    </row>
    <row r="15" spans="1:23" ht="15.75" thickBot="1" x14ac:dyDescent="0.3">
      <c r="B15" t="s">
        <v>248</v>
      </c>
      <c r="Q15" s="77"/>
      <c r="U15">
        <v>12</v>
      </c>
      <c r="V15" s="183">
        <f t="shared" si="0"/>
        <v>1.5464827377937795</v>
      </c>
      <c r="W15">
        <v>620</v>
      </c>
    </row>
    <row r="16" spans="1:23" ht="15.75" thickBot="1" x14ac:dyDescent="0.3">
      <c r="C16" s="184" t="s">
        <v>73</v>
      </c>
      <c r="D16" s="184" t="s">
        <v>74</v>
      </c>
      <c r="E16" s="184" t="s">
        <v>75</v>
      </c>
      <c r="F16" s="184" t="s">
        <v>190</v>
      </c>
      <c r="G16" s="184" t="s">
        <v>71</v>
      </c>
      <c r="H16" s="184" t="s">
        <v>76</v>
      </c>
      <c r="I16" s="184" t="s">
        <v>191</v>
      </c>
      <c r="J16" s="184" t="s">
        <v>77</v>
      </c>
      <c r="K16" s="184" t="s">
        <v>78</v>
      </c>
      <c r="L16" s="184" t="s">
        <v>79</v>
      </c>
      <c r="M16" s="184" t="s">
        <v>192</v>
      </c>
      <c r="N16" s="184" t="s">
        <v>193</v>
      </c>
      <c r="O16" s="185" t="s">
        <v>194</v>
      </c>
      <c r="P16">
        <f>SUM(C7:F7)+SUM(K7:O7)</f>
        <v>46800</v>
      </c>
      <c r="Q16" s="77">
        <f>P16*(1+$S$3)</f>
        <v>46800</v>
      </c>
      <c r="U16">
        <v>13</v>
      </c>
      <c r="V16" s="183">
        <f t="shared" si="0"/>
        <v>1.6037025990921494</v>
      </c>
      <c r="W16">
        <v>670</v>
      </c>
    </row>
    <row r="17" spans="1:23" ht="15.75" thickBot="1" x14ac:dyDescent="0.3">
      <c r="C17" s="77">
        <f t="shared" ref="C17:O17" si="3">C10*$B$1*C8</f>
        <v>4534.8837209302328</v>
      </c>
      <c r="D17" s="77">
        <f t="shared" si="3"/>
        <v>15116.279069767441</v>
      </c>
      <c r="E17" s="77">
        <f t="shared" si="3"/>
        <v>0</v>
      </c>
      <c r="F17" s="77">
        <f t="shared" si="3"/>
        <v>0</v>
      </c>
      <c r="G17" s="77">
        <f t="shared" si="3"/>
        <v>0</v>
      </c>
      <c r="H17" s="77">
        <f t="shared" si="3"/>
        <v>0</v>
      </c>
      <c r="I17" s="77">
        <f t="shared" si="3"/>
        <v>0</v>
      </c>
      <c r="J17" s="77">
        <f t="shared" si="3"/>
        <v>30232.558139534882</v>
      </c>
      <c r="K17" s="77">
        <f t="shared" si="3"/>
        <v>0</v>
      </c>
      <c r="L17" s="77">
        <f t="shared" si="3"/>
        <v>0</v>
      </c>
      <c r="M17" s="77">
        <f t="shared" si="3"/>
        <v>0</v>
      </c>
      <c r="N17" s="77">
        <f t="shared" si="3"/>
        <v>0</v>
      </c>
      <c r="O17" s="77">
        <f t="shared" si="3"/>
        <v>0</v>
      </c>
      <c r="P17" s="199">
        <f>SUM(C17:O17)</f>
        <v>49883.72093023255</v>
      </c>
      <c r="Q17" s="200">
        <f>P17*(VLOOKUP($T$6,$U$2:$W$23,2,FALSE))+VLOOKUP($T$6,$U$2:$W$23,3,FALSE)</f>
        <v>49903.72093023255</v>
      </c>
      <c r="U17">
        <v>14</v>
      </c>
      <c r="V17" s="183">
        <f t="shared" si="0"/>
        <v>1.6630395952585586</v>
      </c>
      <c r="W17">
        <v>720</v>
      </c>
    </row>
    <row r="18" spans="1:23" x14ac:dyDescent="0.25">
      <c r="P18" t="s">
        <v>243</v>
      </c>
      <c r="Q18" s="61">
        <f>Q16/((Q16/Q17)^2.92)</f>
        <v>56451.581611516798</v>
      </c>
      <c r="U18">
        <v>15</v>
      </c>
      <c r="V18" s="183">
        <f t="shared" si="0"/>
        <v>1.7245720602831254</v>
      </c>
      <c r="W18">
        <v>770</v>
      </c>
    </row>
    <row r="19" spans="1:23" ht="15.75" thickBot="1" x14ac:dyDescent="0.3">
      <c r="P19" t="s">
        <v>242</v>
      </c>
      <c r="Q19" s="61">
        <f>Q17/((Q17/Q16)^1.6)</f>
        <v>45031.209059741712</v>
      </c>
      <c r="U19">
        <v>16</v>
      </c>
      <c r="V19" s="183">
        <f t="shared" si="0"/>
        <v>1.7883812265136008</v>
      </c>
      <c r="W19">
        <v>820</v>
      </c>
    </row>
    <row r="20" spans="1:23" x14ac:dyDescent="0.25">
      <c r="A20" s="485" t="s">
        <v>235</v>
      </c>
      <c r="B20" s="91" t="s">
        <v>236</v>
      </c>
      <c r="C20" s="91">
        <f>C4</f>
        <v>0</v>
      </c>
      <c r="D20" s="91">
        <f>D4</f>
        <v>0</v>
      </c>
      <c r="E20" s="91">
        <f>E4</f>
        <v>1170</v>
      </c>
      <c r="F20" s="91">
        <f>F4</f>
        <v>0</v>
      </c>
      <c r="G20" s="91">
        <f>G4</f>
        <v>0</v>
      </c>
      <c r="H20" s="91">
        <v>0</v>
      </c>
      <c r="I20" s="91">
        <v>0</v>
      </c>
      <c r="J20" s="91">
        <v>0</v>
      </c>
      <c r="K20" s="91">
        <f>K4</f>
        <v>0</v>
      </c>
      <c r="L20" s="91">
        <f>L4</f>
        <v>0</v>
      </c>
      <c r="M20" s="91">
        <f>M4</f>
        <v>0</v>
      </c>
      <c r="N20" s="91">
        <f>N4</f>
        <v>0</v>
      </c>
      <c r="O20" s="92">
        <f>O4</f>
        <v>0</v>
      </c>
      <c r="U20">
        <v>17</v>
      </c>
      <c r="V20" s="183">
        <f t="shared" si="0"/>
        <v>1.8545513318946039</v>
      </c>
      <c r="W20">
        <v>870</v>
      </c>
    </row>
    <row r="21" spans="1:23" x14ac:dyDescent="0.25">
      <c r="A21" s="482"/>
      <c r="B21" s="79" t="s">
        <v>237</v>
      </c>
      <c r="C21" s="122">
        <f>IF($Q$18/$Q$17*C20&gt;C20,C20,$Q$18/$Q$17*C20)</f>
        <v>0</v>
      </c>
      <c r="D21" s="122">
        <f t="shared" ref="D21:O21" si="4">IF($Q$18/$Q$17*D20&gt;D20,D20,$Q$18/$Q$17*D20)</f>
        <v>0</v>
      </c>
      <c r="E21" s="122">
        <f t="shared" si="4"/>
        <v>1170</v>
      </c>
      <c r="F21" s="122">
        <f t="shared" si="4"/>
        <v>0</v>
      </c>
      <c r="G21" s="122">
        <f t="shared" si="4"/>
        <v>0</v>
      </c>
      <c r="H21" s="122">
        <f t="shared" si="4"/>
        <v>0</v>
      </c>
      <c r="I21" s="122">
        <f t="shared" si="4"/>
        <v>0</v>
      </c>
      <c r="J21" s="122">
        <f t="shared" si="4"/>
        <v>0</v>
      </c>
      <c r="K21" s="122">
        <f t="shared" si="4"/>
        <v>0</v>
      </c>
      <c r="L21" s="122">
        <f t="shared" si="4"/>
        <v>0</v>
      </c>
      <c r="M21" s="122">
        <f t="shared" si="4"/>
        <v>0</v>
      </c>
      <c r="N21" s="122">
        <f t="shared" si="4"/>
        <v>0</v>
      </c>
      <c r="O21" s="122">
        <f t="shared" si="4"/>
        <v>0</v>
      </c>
      <c r="U21">
        <v>18</v>
      </c>
      <c r="V21" s="183">
        <f t="shared" si="0"/>
        <v>1.923169731174704</v>
      </c>
      <c r="W21">
        <v>920</v>
      </c>
    </row>
    <row r="22" spans="1:23" x14ac:dyDescent="0.25">
      <c r="A22" s="482"/>
      <c r="B22" s="79" t="s">
        <v>238</v>
      </c>
      <c r="C22" s="195">
        <f>C20-C21</f>
        <v>0</v>
      </c>
      <c r="D22" s="195">
        <f t="shared" ref="D22:O22" si="5">D20-D21</f>
        <v>0</v>
      </c>
      <c r="E22" s="195">
        <f t="shared" si="5"/>
        <v>0</v>
      </c>
      <c r="F22" s="195">
        <f t="shared" si="5"/>
        <v>0</v>
      </c>
      <c r="G22" s="195">
        <f t="shared" si="5"/>
        <v>0</v>
      </c>
      <c r="H22" s="195">
        <f t="shared" si="5"/>
        <v>0</v>
      </c>
      <c r="I22" s="195">
        <f t="shared" si="5"/>
        <v>0</v>
      </c>
      <c r="J22" s="195">
        <f t="shared" si="5"/>
        <v>0</v>
      </c>
      <c r="K22" s="195">
        <f t="shared" si="5"/>
        <v>0</v>
      </c>
      <c r="L22" s="195">
        <f t="shared" si="5"/>
        <v>0</v>
      </c>
      <c r="M22" s="195">
        <f t="shared" si="5"/>
        <v>0</v>
      </c>
      <c r="N22" s="195">
        <f t="shared" si="5"/>
        <v>0</v>
      </c>
      <c r="O22" s="196">
        <f t="shared" si="5"/>
        <v>0</v>
      </c>
      <c r="U22">
        <v>19</v>
      </c>
      <c r="V22" s="183">
        <f t="shared" si="0"/>
        <v>1.9943270112281681</v>
      </c>
      <c r="W22">
        <v>970</v>
      </c>
    </row>
    <row r="23" spans="1:23" x14ac:dyDescent="0.25">
      <c r="A23" s="482" t="s">
        <v>239</v>
      </c>
      <c r="B23" s="79" t="s">
        <v>236</v>
      </c>
      <c r="C23" s="122">
        <f>C$8*$B$1</f>
        <v>302.32558139534882</v>
      </c>
      <c r="D23" s="122">
        <f t="shared" ref="D23:O23" si="6">D$8*$B$1</f>
        <v>302.32558139534882</v>
      </c>
      <c r="E23" s="122">
        <f t="shared" si="6"/>
        <v>0</v>
      </c>
      <c r="F23" s="122">
        <f t="shared" si="6"/>
        <v>0</v>
      </c>
      <c r="G23" s="122">
        <f t="shared" si="6"/>
        <v>0</v>
      </c>
      <c r="H23" s="122">
        <f t="shared" si="6"/>
        <v>0</v>
      </c>
      <c r="I23" s="122">
        <f t="shared" si="6"/>
        <v>0</v>
      </c>
      <c r="J23" s="122">
        <f t="shared" si="6"/>
        <v>151.16279069767441</v>
      </c>
      <c r="K23" s="122">
        <f t="shared" si="6"/>
        <v>0</v>
      </c>
      <c r="L23" s="122">
        <f t="shared" si="6"/>
        <v>0</v>
      </c>
      <c r="M23" s="122">
        <f t="shared" si="6"/>
        <v>0</v>
      </c>
      <c r="N23" s="122">
        <f t="shared" si="6"/>
        <v>0</v>
      </c>
      <c r="O23" s="122">
        <f t="shared" si="6"/>
        <v>0</v>
      </c>
      <c r="U23">
        <v>20</v>
      </c>
      <c r="V23" s="183">
        <f t="shared" si="0"/>
        <v>2.0681171106436098</v>
      </c>
      <c r="W23">
        <v>1020</v>
      </c>
    </row>
    <row r="24" spans="1:23" x14ac:dyDescent="0.25">
      <c r="A24" s="482"/>
      <c r="B24" s="79" t="s">
        <v>237</v>
      </c>
      <c r="C24" s="122">
        <f>IF($Q$19/$Q$17*C23&gt;C23,C23,$Q$19/$Q$17*C23)</f>
        <v>272.80704136180475</v>
      </c>
      <c r="D24" s="122">
        <f t="shared" ref="D24:O24" si="7">IF($Q$19/$Q$17*D23&gt;D23,D23,$Q$19/$Q$17*D23)</f>
        <v>272.80704136180475</v>
      </c>
      <c r="E24" s="122">
        <f t="shared" si="7"/>
        <v>0</v>
      </c>
      <c r="F24" s="122">
        <f t="shared" si="7"/>
        <v>0</v>
      </c>
      <c r="G24" s="122">
        <f t="shared" si="7"/>
        <v>0</v>
      </c>
      <c r="H24" s="122">
        <f t="shared" si="7"/>
        <v>0</v>
      </c>
      <c r="I24" s="122">
        <f t="shared" si="7"/>
        <v>0</v>
      </c>
      <c r="J24" s="122">
        <f t="shared" si="7"/>
        <v>136.40352068090237</v>
      </c>
      <c r="K24" s="122">
        <f t="shared" si="7"/>
        <v>0</v>
      </c>
      <c r="L24" s="122">
        <f t="shared" si="7"/>
        <v>0</v>
      </c>
      <c r="M24" s="122">
        <f t="shared" si="7"/>
        <v>0</v>
      </c>
      <c r="N24" s="122">
        <f t="shared" si="7"/>
        <v>0</v>
      </c>
      <c r="O24" s="122">
        <f t="shared" si="7"/>
        <v>0</v>
      </c>
    </row>
    <row r="25" spans="1:23" ht="15.75" thickBot="1" x14ac:dyDescent="0.3">
      <c r="A25" s="483"/>
      <c r="B25" s="93" t="s">
        <v>238</v>
      </c>
      <c r="C25" s="197">
        <f>C23-C24</f>
        <v>29.51854003354407</v>
      </c>
      <c r="D25" s="197">
        <f t="shared" ref="D25:O25" si="8">D23-D24</f>
        <v>29.51854003354407</v>
      </c>
      <c r="E25" s="197">
        <f t="shared" si="8"/>
        <v>0</v>
      </c>
      <c r="F25" s="197">
        <f t="shared" si="8"/>
        <v>0</v>
      </c>
      <c r="G25" s="197">
        <f t="shared" si="8"/>
        <v>0</v>
      </c>
      <c r="H25" s="197">
        <f t="shared" si="8"/>
        <v>0</v>
      </c>
      <c r="I25" s="197">
        <f t="shared" si="8"/>
        <v>0</v>
      </c>
      <c r="J25" s="197">
        <f t="shared" si="8"/>
        <v>14.759270016772035</v>
      </c>
      <c r="K25" s="197">
        <f t="shared" si="8"/>
        <v>0</v>
      </c>
      <c r="L25" s="197">
        <f t="shared" si="8"/>
        <v>0</v>
      </c>
      <c r="M25" s="197">
        <f t="shared" si="8"/>
        <v>0</v>
      </c>
      <c r="N25" s="197">
        <f t="shared" si="8"/>
        <v>0</v>
      </c>
      <c r="O25" s="198">
        <f t="shared" si="8"/>
        <v>0</v>
      </c>
    </row>
    <row r="28" spans="1:23" ht="15.75" thickBot="1" x14ac:dyDescent="0.3">
      <c r="B28" t="s">
        <v>249</v>
      </c>
    </row>
    <row r="29" spans="1:23" ht="15.75" thickBot="1" x14ac:dyDescent="0.3">
      <c r="C29" s="184" t="s">
        <v>73</v>
      </c>
      <c r="D29" s="184" t="s">
        <v>74</v>
      </c>
      <c r="E29" s="184" t="s">
        <v>75</v>
      </c>
      <c r="F29" s="184" t="s">
        <v>190</v>
      </c>
      <c r="G29" s="184" t="s">
        <v>71</v>
      </c>
      <c r="H29" s="184" t="s">
        <v>76</v>
      </c>
      <c r="I29" s="184" t="s">
        <v>191</v>
      </c>
      <c r="J29" s="184" t="s">
        <v>77</v>
      </c>
      <c r="K29" s="184" t="s">
        <v>78</v>
      </c>
      <c r="L29" s="184" t="s">
        <v>79</v>
      </c>
      <c r="M29" s="184" t="s">
        <v>192</v>
      </c>
      <c r="N29" s="184" t="s">
        <v>193</v>
      </c>
      <c r="O29" s="185" t="s">
        <v>194</v>
      </c>
      <c r="P29">
        <f>SUM(G7:J7)-I7</f>
        <v>78000</v>
      </c>
      <c r="Q29" s="77">
        <f>P29*(1+$S$3)</f>
        <v>78000</v>
      </c>
    </row>
    <row r="30" spans="1:23" ht="15.75" thickBot="1" x14ac:dyDescent="0.3">
      <c r="C30" s="190">
        <f t="shared" ref="C30:O30" si="9">C8*C11*$D$1</f>
        <v>22674.418604651164</v>
      </c>
      <c r="D30" s="190">
        <f t="shared" si="9"/>
        <v>12596.899224806202</v>
      </c>
      <c r="E30" s="190">
        <f t="shared" si="9"/>
        <v>0</v>
      </c>
      <c r="F30" s="190">
        <f t="shared" si="9"/>
        <v>0</v>
      </c>
      <c r="G30" s="190">
        <f t="shared" si="9"/>
        <v>0</v>
      </c>
      <c r="H30" s="190">
        <f t="shared" si="9"/>
        <v>0</v>
      </c>
      <c r="I30" s="190">
        <f t="shared" si="9"/>
        <v>0</v>
      </c>
      <c r="J30" s="190">
        <f t="shared" si="9"/>
        <v>20155.038759689924</v>
      </c>
      <c r="K30" s="190">
        <f t="shared" si="9"/>
        <v>0</v>
      </c>
      <c r="L30" s="190">
        <f t="shared" si="9"/>
        <v>0</v>
      </c>
      <c r="M30" s="190">
        <f t="shared" si="9"/>
        <v>0</v>
      </c>
      <c r="N30" s="190">
        <f t="shared" si="9"/>
        <v>0</v>
      </c>
      <c r="O30" s="190">
        <f t="shared" si="9"/>
        <v>0</v>
      </c>
      <c r="P30" s="199">
        <f>SUM(C30:O30)</f>
        <v>55426.35658914729</v>
      </c>
      <c r="Q30" s="200">
        <f>P30*(VLOOKUP($T$6,$U$2:$W$23,2,FALSE))+VLOOKUP($T$6,$U$2:$W$23,3,FALSE)</f>
        <v>55446.35658914729</v>
      </c>
    </row>
    <row r="31" spans="1:23" x14ac:dyDescent="0.25">
      <c r="P31" t="s">
        <v>243</v>
      </c>
      <c r="Q31" s="61">
        <f>Q29/((Q29/Q30)^2.5)</f>
        <v>33230.787264584447</v>
      </c>
    </row>
    <row r="32" spans="1:23" ht="15.75" thickBot="1" x14ac:dyDescent="0.3">
      <c r="P32" t="s">
        <v>242</v>
      </c>
      <c r="Q32" s="61">
        <f>Q30/((Q30/Q29)^1.5)</f>
        <v>92513.560829396796</v>
      </c>
    </row>
    <row r="33" spans="1:17" x14ac:dyDescent="0.25">
      <c r="A33" s="485" t="s">
        <v>235</v>
      </c>
      <c r="B33" s="91" t="s">
        <v>236</v>
      </c>
      <c r="C33" s="91">
        <v>0</v>
      </c>
      <c r="D33" s="91">
        <v>0</v>
      </c>
      <c r="E33" s="91">
        <v>0</v>
      </c>
      <c r="F33" s="91">
        <v>0</v>
      </c>
      <c r="G33" s="91">
        <f>G4</f>
        <v>0</v>
      </c>
      <c r="H33" s="91">
        <f>H4</f>
        <v>600</v>
      </c>
      <c r="I33" s="91">
        <v>0</v>
      </c>
      <c r="J33" s="91">
        <f>J4</f>
        <v>0</v>
      </c>
      <c r="K33" s="91">
        <v>0</v>
      </c>
      <c r="L33" s="91">
        <v>0</v>
      </c>
      <c r="M33" s="91">
        <v>0</v>
      </c>
      <c r="N33" s="91">
        <v>0</v>
      </c>
      <c r="O33" s="92">
        <v>0</v>
      </c>
    </row>
    <row r="34" spans="1:17" x14ac:dyDescent="0.25">
      <c r="A34" s="482"/>
      <c r="B34" s="79" t="s">
        <v>237</v>
      </c>
      <c r="C34" s="122">
        <f>IF($Q$31/$Q$30*C33&gt;C33,C33,$Q$31/$Q$30*C33)</f>
        <v>0</v>
      </c>
      <c r="D34" s="122">
        <f t="shared" ref="D34:O34" si="10">IF($Q$31/$Q$30*D33&gt;D33,D33,$Q$31/$Q$30*D33)</f>
        <v>0</v>
      </c>
      <c r="E34" s="122">
        <f t="shared" si="10"/>
        <v>0</v>
      </c>
      <c r="F34" s="122">
        <f t="shared" si="10"/>
        <v>0</v>
      </c>
      <c r="G34" s="122">
        <f t="shared" si="10"/>
        <v>0</v>
      </c>
      <c r="H34" s="122">
        <f t="shared" si="10"/>
        <v>359.59932419893744</v>
      </c>
      <c r="I34" s="122">
        <f t="shared" si="10"/>
        <v>0</v>
      </c>
      <c r="J34" s="122">
        <f t="shared" si="10"/>
        <v>0</v>
      </c>
      <c r="K34" s="122">
        <f t="shared" si="10"/>
        <v>0</v>
      </c>
      <c r="L34" s="122">
        <f t="shared" si="10"/>
        <v>0</v>
      </c>
      <c r="M34" s="122">
        <f t="shared" si="10"/>
        <v>0</v>
      </c>
      <c r="N34" s="122">
        <f t="shared" si="10"/>
        <v>0</v>
      </c>
      <c r="O34" s="122">
        <f t="shared" si="10"/>
        <v>0</v>
      </c>
    </row>
    <row r="35" spans="1:17" x14ac:dyDescent="0.25">
      <c r="A35" s="482"/>
      <c r="B35" s="79" t="s">
        <v>238</v>
      </c>
      <c r="C35" s="195">
        <f t="shared" ref="C35:O35" si="11">C33-C34</f>
        <v>0</v>
      </c>
      <c r="D35" s="195">
        <f t="shared" si="11"/>
        <v>0</v>
      </c>
      <c r="E35" s="195">
        <f t="shared" si="11"/>
        <v>0</v>
      </c>
      <c r="F35" s="195">
        <f t="shared" si="11"/>
        <v>0</v>
      </c>
      <c r="G35" s="195">
        <f t="shared" si="11"/>
        <v>0</v>
      </c>
      <c r="H35" s="195">
        <f t="shared" si="11"/>
        <v>240.40067580106256</v>
      </c>
      <c r="I35" s="195">
        <f t="shared" si="11"/>
        <v>0</v>
      </c>
      <c r="J35" s="195">
        <f t="shared" si="11"/>
        <v>0</v>
      </c>
      <c r="K35" s="195">
        <f t="shared" si="11"/>
        <v>0</v>
      </c>
      <c r="L35" s="195">
        <f t="shared" si="11"/>
        <v>0</v>
      </c>
      <c r="M35" s="195">
        <f t="shared" si="11"/>
        <v>0</v>
      </c>
      <c r="N35" s="195">
        <f t="shared" si="11"/>
        <v>0</v>
      </c>
      <c r="O35" s="196">
        <f t="shared" si="11"/>
        <v>0</v>
      </c>
    </row>
    <row r="36" spans="1:17" x14ac:dyDescent="0.25">
      <c r="A36" s="482" t="s">
        <v>239</v>
      </c>
      <c r="B36" s="79" t="s">
        <v>236</v>
      </c>
      <c r="C36" s="122">
        <f>C$8*$D$1</f>
        <v>503.87596899224809</v>
      </c>
      <c r="D36" s="122">
        <f t="shared" ref="D36:O36" si="12">D$8*$D$1</f>
        <v>503.87596899224809</v>
      </c>
      <c r="E36" s="122">
        <f t="shared" si="12"/>
        <v>0</v>
      </c>
      <c r="F36" s="122">
        <f t="shared" si="12"/>
        <v>0</v>
      </c>
      <c r="G36" s="122">
        <f t="shared" si="12"/>
        <v>0</v>
      </c>
      <c r="H36" s="122">
        <f t="shared" si="12"/>
        <v>0</v>
      </c>
      <c r="I36" s="122">
        <f t="shared" si="12"/>
        <v>0</v>
      </c>
      <c r="J36" s="122">
        <f t="shared" si="12"/>
        <v>251.93798449612405</v>
      </c>
      <c r="K36" s="122">
        <f t="shared" si="12"/>
        <v>0</v>
      </c>
      <c r="L36" s="122">
        <f t="shared" si="12"/>
        <v>0</v>
      </c>
      <c r="M36" s="122">
        <f t="shared" si="12"/>
        <v>0</v>
      </c>
      <c r="N36" s="122">
        <f t="shared" si="12"/>
        <v>0</v>
      </c>
      <c r="O36" s="122">
        <f t="shared" si="12"/>
        <v>0</v>
      </c>
    </row>
    <row r="37" spans="1:17" x14ac:dyDescent="0.25">
      <c r="A37" s="482"/>
      <c r="B37" s="79" t="s">
        <v>237</v>
      </c>
      <c r="C37" s="122">
        <f>IF($Q$32/$Q$30*C36&gt;C36,C36,$Q$32/$Q$30*C36)</f>
        <v>503.87596899224809</v>
      </c>
      <c r="D37" s="122">
        <f t="shared" ref="D37:O37" si="13">IF($Q$32/$Q$30*D36&gt;D36,D36,$Q$32/$Q$30*D36)</f>
        <v>503.87596899224809</v>
      </c>
      <c r="E37" s="122">
        <f t="shared" si="13"/>
        <v>0</v>
      </c>
      <c r="F37" s="122">
        <f t="shared" si="13"/>
        <v>0</v>
      </c>
      <c r="G37" s="122">
        <f t="shared" si="13"/>
        <v>0</v>
      </c>
      <c r="H37" s="122">
        <f t="shared" si="13"/>
        <v>0</v>
      </c>
      <c r="I37" s="122">
        <f t="shared" si="13"/>
        <v>0</v>
      </c>
      <c r="J37" s="122">
        <f t="shared" si="13"/>
        <v>251.93798449612405</v>
      </c>
      <c r="K37" s="122">
        <f t="shared" si="13"/>
        <v>0</v>
      </c>
      <c r="L37" s="122">
        <f t="shared" si="13"/>
        <v>0</v>
      </c>
      <c r="M37" s="122">
        <f t="shared" si="13"/>
        <v>0</v>
      </c>
      <c r="N37" s="122">
        <f t="shared" si="13"/>
        <v>0</v>
      </c>
      <c r="O37" s="122">
        <f t="shared" si="13"/>
        <v>0</v>
      </c>
    </row>
    <row r="38" spans="1:17" ht="15.75" thickBot="1" x14ac:dyDescent="0.3">
      <c r="A38" s="483"/>
      <c r="B38" s="93" t="s">
        <v>238</v>
      </c>
      <c r="C38" s="197">
        <f t="shared" ref="C38:O38" si="14">C36-C37</f>
        <v>0</v>
      </c>
      <c r="D38" s="197">
        <f t="shared" si="14"/>
        <v>0</v>
      </c>
      <c r="E38" s="197">
        <f t="shared" si="14"/>
        <v>0</v>
      </c>
      <c r="F38" s="197">
        <f t="shared" si="14"/>
        <v>0</v>
      </c>
      <c r="G38" s="197">
        <f t="shared" si="14"/>
        <v>0</v>
      </c>
      <c r="H38" s="197">
        <f t="shared" si="14"/>
        <v>0</v>
      </c>
      <c r="I38" s="197">
        <f t="shared" si="14"/>
        <v>0</v>
      </c>
      <c r="J38" s="197">
        <f t="shared" si="14"/>
        <v>0</v>
      </c>
      <c r="K38" s="197">
        <f t="shared" si="14"/>
        <v>0</v>
      </c>
      <c r="L38" s="197">
        <f t="shared" si="14"/>
        <v>0</v>
      </c>
      <c r="M38" s="197">
        <f t="shared" si="14"/>
        <v>0</v>
      </c>
      <c r="N38" s="197">
        <f t="shared" si="14"/>
        <v>0</v>
      </c>
      <c r="O38" s="198">
        <f t="shared" si="14"/>
        <v>0</v>
      </c>
    </row>
    <row r="40" spans="1:17" ht="15.75" thickBot="1" x14ac:dyDescent="0.3">
      <c r="B40" t="s">
        <v>251</v>
      </c>
    </row>
    <row r="41" spans="1:17" ht="15.75" thickBot="1" x14ac:dyDescent="0.3">
      <c r="C41" s="184" t="s">
        <v>73</v>
      </c>
      <c r="D41" s="184" t="s">
        <v>74</v>
      </c>
      <c r="E41" s="184" t="s">
        <v>75</v>
      </c>
      <c r="F41" s="184" t="s">
        <v>190</v>
      </c>
      <c r="G41" s="184" t="s">
        <v>71</v>
      </c>
      <c r="H41" s="184" t="s">
        <v>76</v>
      </c>
      <c r="I41" s="184" t="s">
        <v>191</v>
      </c>
      <c r="J41" s="184" t="s">
        <v>77</v>
      </c>
      <c r="K41" s="184" t="s">
        <v>78</v>
      </c>
      <c r="L41" s="184" t="s">
        <v>79</v>
      </c>
      <c r="M41" s="184" t="s">
        <v>192</v>
      </c>
      <c r="N41" s="184" t="s">
        <v>193</v>
      </c>
      <c r="O41" s="185" t="s">
        <v>194</v>
      </c>
      <c r="P41">
        <f>I7</f>
        <v>30000</v>
      </c>
      <c r="Q41" s="77">
        <f>P41*(1+$S$3)</f>
        <v>30000</v>
      </c>
    </row>
    <row r="42" spans="1:17" ht="15.75" thickBot="1" x14ac:dyDescent="0.3">
      <c r="C42" s="190">
        <f t="shared" ref="C42:O42" si="15">C12*$F$1*C8</f>
        <v>3875.968992248062</v>
      </c>
      <c r="D42" s="190">
        <f t="shared" si="15"/>
        <v>7751.937984496124</v>
      </c>
      <c r="E42" s="190">
        <f t="shared" si="15"/>
        <v>0</v>
      </c>
      <c r="F42" s="190">
        <f t="shared" si="15"/>
        <v>0</v>
      </c>
      <c r="G42" s="190">
        <f t="shared" si="15"/>
        <v>0</v>
      </c>
      <c r="H42" s="190">
        <f t="shared" si="15"/>
        <v>0</v>
      </c>
      <c r="I42" s="190">
        <f t="shared" si="15"/>
        <v>0</v>
      </c>
      <c r="J42" s="190">
        <f t="shared" si="15"/>
        <v>17441.860465116282</v>
      </c>
      <c r="K42" s="190">
        <f t="shared" si="15"/>
        <v>0</v>
      </c>
      <c r="L42" s="190">
        <f t="shared" si="15"/>
        <v>0</v>
      </c>
      <c r="M42" s="190">
        <f t="shared" si="15"/>
        <v>0</v>
      </c>
      <c r="N42" s="190">
        <f t="shared" si="15"/>
        <v>0</v>
      </c>
      <c r="O42" s="190">
        <f t="shared" si="15"/>
        <v>0</v>
      </c>
      <c r="P42" s="199">
        <f>SUM(C42:O42)</f>
        <v>29069.767441860469</v>
      </c>
      <c r="Q42" s="200">
        <f>P42*(VLOOKUP($T$6,$U$2:$W$23,2,FALSE))+VLOOKUP($T$6,$U$2:$W$23,3,FALSE)</f>
        <v>29089.767441860469</v>
      </c>
    </row>
    <row r="43" spans="1:17" ht="15.75" thickBot="1" x14ac:dyDescent="0.3">
      <c r="P43" t="s">
        <v>243</v>
      </c>
      <c r="Q43" s="61">
        <f>Q41/((Q41/Q42)^2.5)</f>
        <v>27775.938451980652</v>
      </c>
    </row>
    <row r="44" spans="1:17" x14ac:dyDescent="0.25">
      <c r="A44" s="485" t="s">
        <v>235</v>
      </c>
      <c r="B44" s="91" t="s">
        <v>236</v>
      </c>
      <c r="C44" s="91">
        <v>0</v>
      </c>
      <c r="D44" s="91">
        <v>0</v>
      </c>
      <c r="E44" s="91">
        <v>0</v>
      </c>
      <c r="F44" s="91">
        <v>0</v>
      </c>
      <c r="G44" s="91">
        <v>0</v>
      </c>
      <c r="H44" s="91">
        <v>0</v>
      </c>
      <c r="I44" s="91">
        <f>I4</f>
        <v>250</v>
      </c>
      <c r="J44" s="91">
        <v>0</v>
      </c>
      <c r="K44" s="91">
        <v>0</v>
      </c>
      <c r="L44" s="91">
        <v>0</v>
      </c>
      <c r="M44" s="91">
        <v>0</v>
      </c>
      <c r="N44" s="91">
        <v>0</v>
      </c>
      <c r="O44" s="92">
        <v>0</v>
      </c>
      <c r="P44" t="s">
        <v>242</v>
      </c>
      <c r="Q44" s="61">
        <f>Q42/((Q42/Q41)^1.5)</f>
        <v>30465.741824870136</v>
      </c>
    </row>
    <row r="45" spans="1:17" x14ac:dyDescent="0.25">
      <c r="A45" s="482"/>
      <c r="B45" s="79" t="s">
        <v>237</v>
      </c>
      <c r="C45" s="122">
        <f>IF($Q$43/$Q$42*C44&gt;C44,C44,$Q$43/$Q$42*C44)</f>
        <v>0</v>
      </c>
      <c r="D45" s="122">
        <f t="shared" ref="D45:O45" si="16">IF($Q$43/$Q$42*D44&gt;D44,D44,$Q$43/$Q$42*D44)</f>
        <v>0</v>
      </c>
      <c r="E45" s="122">
        <f t="shared" si="16"/>
        <v>0</v>
      </c>
      <c r="F45" s="122">
        <f t="shared" si="16"/>
        <v>0</v>
      </c>
      <c r="G45" s="122">
        <f t="shared" si="16"/>
        <v>0</v>
      </c>
      <c r="H45" s="122">
        <f t="shared" si="16"/>
        <v>0</v>
      </c>
      <c r="I45" s="122">
        <f t="shared" si="16"/>
        <v>238.70883900579759</v>
      </c>
      <c r="J45" s="122">
        <f t="shared" si="16"/>
        <v>0</v>
      </c>
      <c r="K45" s="122">
        <f t="shared" si="16"/>
        <v>0</v>
      </c>
      <c r="L45" s="122">
        <f t="shared" si="16"/>
        <v>0</v>
      </c>
      <c r="M45" s="122">
        <f t="shared" si="16"/>
        <v>0</v>
      </c>
      <c r="N45" s="122">
        <f t="shared" si="16"/>
        <v>0</v>
      </c>
      <c r="O45" s="122">
        <f t="shared" si="16"/>
        <v>0</v>
      </c>
    </row>
    <row r="46" spans="1:17" x14ac:dyDescent="0.25">
      <c r="A46" s="482"/>
      <c r="B46" s="79" t="s">
        <v>238</v>
      </c>
      <c r="C46" s="195">
        <f t="shared" ref="C46:O46" si="17">C44-C45</f>
        <v>0</v>
      </c>
      <c r="D46" s="195">
        <f t="shared" si="17"/>
        <v>0</v>
      </c>
      <c r="E46" s="195">
        <f t="shared" si="17"/>
        <v>0</v>
      </c>
      <c r="F46" s="195">
        <f t="shared" si="17"/>
        <v>0</v>
      </c>
      <c r="G46" s="195">
        <f t="shared" si="17"/>
        <v>0</v>
      </c>
      <c r="H46" s="195">
        <f t="shared" si="17"/>
        <v>0</v>
      </c>
      <c r="I46" s="195">
        <f t="shared" si="17"/>
        <v>11.291160994202414</v>
      </c>
      <c r="J46" s="195">
        <f t="shared" si="17"/>
        <v>0</v>
      </c>
      <c r="K46" s="195">
        <f t="shared" si="17"/>
        <v>0</v>
      </c>
      <c r="L46" s="195">
        <f t="shared" si="17"/>
        <v>0</v>
      </c>
      <c r="M46" s="195">
        <f t="shared" si="17"/>
        <v>0</v>
      </c>
      <c r="N46" s="195">
        <f t="shared" si="17"/>
        <v>0</v>
      </c>
      <c r="O46" s="196">
        <f t="shared" si="17"/>
        <v>0</v>
      </c>
    </row>
    <row r="47" spans="1:17" x14ac:dyDescent="0.25">
      <c r="A47" s="482" t="s">
        <v>239</v>
      </c>
      <c r="B47" s="79" t="s">
        <v>236</v>
      </c>
      <c r="C47" s="122">
        <f>C$8*$F$1</f>
        <v>193.79844961240312</v>
      </c>
      <c r="D47" s="122">
        <f t="shared" ref="D47:O47" si="18">D$8*$F$1</f>
        <v>193.79844961240312</v>
      </c>
      <c r="E47" s="122">
        <f t="shared" si="18"/>
        <v>0</v>
      </c>
      <c r="F47" s="122">
        <f t="shared" si="18"/>
        <v>0</v>
      </c>
      <c r="G47" s="122">
        <f t="shared" si="18"/>
        <v>0</v>
      </c>
      <c r="H47" s="122">
        <f t="shared" si="18"/>
        <v>0</v>
      </c>
      <c r="I47" s="122">
        <f t="shared" si="18"/>
        <v>0</v>
      </c>
      <c r="J47" s="122">
        <f t="shared" si="18"/>
        <v>96.899224806201559</v>
      </c>
      <c r="K47" s="122">
        <f t="shared" si="18"/>
        <v>0</v>
      </c>
      <c r="L47" s="122">
        <f t="shared" si="18"/>
        <v>0</v>
      </c>
      <c r="M47" s="122">
        <f t="shared" si="18"/>
        <v>0</v>
      </c>
      <c r="N47" s="122">
        <f t="shared" si="18"/>
        <v>0</v>
      </c>
      <c r="O47" s="122">
        <f t="shared" si="18"/>
        <v>0</v>
      </c>
    </row>
    <row r="48" spans="1:17" x14ac:dyDescent="0.25">
      <c r="A48" s="482"/>
      <c r="B48" s="79" t="s">
        <v>237</v>
      </c>
      <c r="C48" s="122">
        <f>IF($Q$44/$Q$42*C47&gt;C47,C47,$Q$44/$Q$42*C47)</f>
        <v>193.79844961240312</v>
      </c>
      <c r="D48" s="122">
        <f t="shared" ref="D48:O48" si="19">IF($Q$44/$Q$42*D47&gt;D47,D47,$Q$44/$Q$42*D47)</f>
        <v>193.79844961240312</v>
      </c>
      <c r="E48" s="122">
        <f t="shared" si="19"/>
        <v>0</v>
      </c>
      <c r="F48" s="122">
        <f t="shared" si="19"/>
        <v>0</v>
      </c>
      <c r="G48" s="122">
        <f t="shared" si="19"/>
        <v>0</v>
      </c>
      <c r="H48" s="122">
        <f t="shared" si="19"/>
        <v>0</v>
      </c>
      <c r="I48" s="122">
        <f t="shared" si="19"/>
        <v>0</v>
      </c>
      <c r="J48" s="122">
        <f t="shared" si="19"/>
        <v>96.899224806201559</v>
      </c>
      <c r="K48" s="122">
        <f t="shared" si="19"/>
        <v>0</v>
      </c>
      <c r="L48" s="122">
        <f t="shared" si="19"/>
        <v>0</v>
      </c>
      <c r="M48" s="122">
        <f t="shared" si="19"/>
        <v>0</v>
      </c>
      <c r="N48" s="122">
        <f t="shared" si="19"/>
        <v>0</v>
      </c>
      <c r="O48" s="122">
        <f t="shared" si="19"/>
        <v>0</v>
      </c>
    </row>
    <row r="49" spans="1:15" ht="15.75" thickBot="1" x14ac:dyDescent="0.3">
      <c r="A49" s="483"/>
      <c r="B49" s="93" t="s">
        <v>238</v>
      </c>
      <c r="C49" s="197">
        <f t="shared" ref="C49:O49" si="20">C47-C48</f>
        <v>0</v>
      </c>
      <c r="D49" s="197">
        <f t="shared" si="20"/>
        <v>0</v>
      </c>
      <c r="E49" s="197">
        <f t="shared" si="20"/>
        <v>0</v>
      </c>
      <c r="F49" s="197">
        <f t="shared" si="20"/>
        <v>0</v>
      </c>
      <c r="G49" s="197">
        <f t="shared" si="20"/>
        <v>0</v>
      </c>
      <c r="H49" s="197">
        <f t="shared" si="20"/>
        <v>0</v>
      </c>
      <c r="I49" s="197">
        <f t="shared" si="20"/>
        <v>0</v>
      </c>
      <c r="J49" s="197">
        <f t="shared" si="20"/>
        <v>0</v>
      </c>
      <c r="K49" s="197">
        <f t="shared" si="20"/>
        <v>0</v>
      </c>
      <c r="L49" s="197">
        <f t="shared" si="20"/>
        <v>0</v>
      </c>
      <c r="M49" s="197">
        <f t="shared" si="20"/>
        <v>0</v>
      </c>
      <c r="N49" s="197">
        <f t="shared" si="20"/>
        <v>0</v>
      </c>
      <c r="O49" s="198">
        <f t="shared" si="20"/>
        <v>0</v>
      </c>
    </row>
    <row r="51" spans="1:15" ht="15.75" thickBot="1" x14ac:dyDescent="0.3"/>
    <row r="52" spans="1:15" ht="15.75" thickBot="1" x14ac:dyDescent="0.3">
      <c r="A52" s="422" t="s">
        <v>253</v>
      </c>
      <c r="B52" s="423"/>
      <c r="C52" s="423"/>
      <c r="D52" s="423"/>
      <c r="E52" s="423"/>
      <c r="F52" s="423"/>
      <c r="G52" s="423"/>
      <c r="H52" s="423"/>
      <c r="I52" s="423"/>
      <c r="J52" s="423"/>
      <c r="K52" s="423"/>
      <c r="L52" s="423"/>
      <c r="M52" s="423"/>
      <c r="N52" s="423"/>
      <c r="O52" s="424"/>
    </row>
    <row r="53" spans="1:15" x14ac:dyDescent="0.25">
      <c r="A53" s="485" t="s">
        <v>235</v>
      </c>
      <c r="B53" s="91" t="s">
        <v>236</v>
      </c>
      <c r="C53" s="91">
        <f>C4</f>
        <v>0</v>
      </c>
      <c r="D53" s="91">
        <f t="shared" ref="D53:O53" si="21">D4</f>
        <v>0</v>
      </c>
      <c r="E53" s="91">
        <f t="shared" si="21"/>
        <v>1170</v>
      </c>
      <c r="F53" s="91">
        <f t="shared" si="21"/>
        <v>0</v>
      </c>
      <c r="G53" s="91">
        <f t="shared" si="21"/>
        <v>0</v>
      </c>
      <c r="H53" s="91">
        <f t="shared" si="21"/>
        <v>600</v>
      </c>
      <c r="I53" s="91">
        <f t="shared" si="21"/>
        <v>250</v>
      </c>
      <c r="J53" s="91">
        <f t="shared" si="21"/>
        <v>0</v>
      </c>
      <c r="K53" s="91">
        <f t="shared" si="21"/>
        <v>0</v>
      </c>
      <c r="L53" s="91">
        <f t="shared" si="21"/>
        <v>0</v>
      </c>
      <c r="M53" s="91">
        <f t="shared" si="21"/>
        <v>0</v>
      </c>
      <c r="N53" s="91">
        <f t="shared" si="21"/>
        <v>0</v>
      </c>
      <c r="O53" s="91">
        <f t="shared" si="21"/>
        <v>0</v>
      </c>
    </row>
    <row r="54" spans="1:15" x14ac:dyDescent="0.25">
      <c r="A54" s="482"/>
      <c r="B54" s="79" t="s">
        <v>237</v>
      </c>
      <c r="C54" s="122">
        <f>C21</f>
        <v>0</v>
      </c>
      <c r="D54" s="122">
        <f>D21</f>
        <v>0</v>
      </c>
      <c r="E54" s="122">
        <f>E21</f>
        <v>1170</v>
      </c>
      <c r="F54" s="122">
        <f>F21</f>
        <v>0</v>
      </c>
      <c r="G54" s="122">
        <f>G34</f>
        <v>0</v>
      </c>
      <c r="H54" s="122">
        <f>H34</f>
        <v>359.59932419893744</v>
      </c>
      <c r="I54" s="122">
        <f>I45</f>
        <v>238.70883900579759</v>
      </c>
      <c r="J54" s="122">
        <f>J34</f>
        <v>0</v>
      </c>
      <c r="K54" s="122">
        <f>K21</f>
        <v>0</v>
      </c>
      <c r="L54" s="122">
        <f>L21</f>
        <v>0</v>
      </c>
      <c r="M54" s="122">
        <f>M21</f>
        <v>0</v>
      </c>
      <c r="N54" s="122">
        <f>N21</f>
        <v>0</v>
      </c>
      <c r="O54" s="122">
        <f>O21</f>
        <v>0</v>
      </c>
    </row>
    <row r="55" spans="1:15" x14ac:dyDescent="0.25">
      <c r="A55" s="482"/>
      <c r="B55" s="79" t="s">
        <v>238</v>
      </c>
      <c r="C55" s="195">
        <f t="shared" ref="C55:O55" si="22">C53-C54</f>
        <v>0</v>
      </c>
      <c r="D55" s="195">
        <f t="shared" si="22"/>
        <v>0</v>
      </c>
      <c r="E55" s="195">
        <f t="shared" si="22"/>
        <v>0</v>
      </c>
      <c r="F55" s="195">
        <f t="shared" si="22"/>
        <v>0</v>
      </c>
      <c r="G55" s="195">
        <f t="shared" si="22"/>
        <v>0</v>
      </c>
      <c r="H55" s="195">
        <f t="shared" si="22"/>
        <v>240.40067580106256</v>
      </c>
      <c r="I55" s="195">
        <f t="shared" si="22"/>
        <v>11.291160994202414</v>
      </c>
      <c r="J55" s="195">
        <f t="shared" si="22"/>
        <v>0</v>
      </c>
      <c r="K55" s="195">
        <f t="shared" si="22"/>
        <v>0</v>
      </c>
      <c r="L55" s="195">
        <f t="shared" si="22"/>
        <v>0</v>
      </c>
      <c r="M55" s="195">
        <f t="shared" si="22"/>
        <v>0</v>
      </c>
      <c r="N55" s="195">
        <f t="shared" si="22"/>
        <v>0</v>
      </c>
      <c r="O55" s="196">
        <f t="shared" si="22"/>
        <v>0</v>
      </c>
    </row>
    <row r="56" spans="1:15" x14ac:dyDescent="0.25">
      <c r="A56" s="482" t="s">
        <v>239</v>
      </c>
      <c r="B56" s="79" t="s">
        <v>236</v>
      </c>
      <c r="C56" s="122">
        <f>C8</f>
        <v>1000</v>
      </c>
      <c r="D56" s="122">
        <f t="shared" ref="D56:O56" si="23">D8</f>
        <v>1000</v>
      </c>
      <c r="E56" s="122">
        <f t="shared" si="23"/>
        <v>0</v>
      </c>
      <c r="F56" s="122">
        <f t="shared" si="23"/>
        <v>0</v>
      </c>
      <c r="G56" s="122">
        <f t="shared" si="23"/>
        <v>0</v>
      </c>
      <c r="H56" s="122">
        <f t="shared" si="23"/>
        <v>0</v>
      </c>
      <c r="I56" s="122">
        <f t="shared" si="23"/>
        <v>0</v>
      </c>
      <c r="J56" s="122">
        <f t="shared" si="23"/>
        <v>500</v>
      </c>
      <c r="K56" s="122">
        <f t="shared" si="23"/>
        <v>0</v>
      </c>
      <c r="L56" s="122">
        <f t="shared" si="23"/>
        <v>0</v>
      </c>
      <c r="M56" s="122">
        <f t="shared" si="23"/>
        <v>0</v>
      </c>
      <c r="N56" s="122">
        <f t="shared" si="23"/>
        <v>0</v>
      </c>
      <c r="O56" s="122">
        <f t="shared" si="23"/>
        <v>0</v>
      </c>
    </row>
    <row r="57" spans="1:15" x14ac:dyDescent="0.25">
      <c r="A57" s="482"/>
      <c r="B57" s="79" t="s">
        <v>237</v>
      </c>
      <c r="C57" s="122">
        <f>C48+C37+C24</f>
        <v>970.48145996645599</v>
      </c>
      <c r="D57" s="122">
        <f t="shared" ref="D57:O57" si="24">D48+D37+D24</f>
        <v>970.48145996645599</v>
      </c>
      <c r="E57" s="122">
        <f t="shared" si="24"/>
        <v>0</v>
      </c>
      <c r="F57" s="122">
        <f t="shared" si="24"/>
        <v>0</v>
      </c>
      <c r="G57" s="122">
        <f t="shared" si="24"/>
        <v>0</v>
      </c>
      <c r="H57" s="122">
        <f t="shared" si="24"/>
        <v>0</v>
      </c>
      <c r="I57" s="122">
        <f t="shared" si="24"/>
        <v>0</v>
      </c>
      <c r="J57" s="122">
        <f t="shared" si="24"/>
        <v>485.24072998322799</v>
      </c>
      <c r="K57" s="122">
        <f t="shared" si="24"/>
        <v>0</v>
      </c>
      <c r="L57" s="122">
        <f t="shared" si="24"/>
        <v>0</v>
      </c>
      <c r="M57" s="122">
        <f t="shared" si="24"/>
        <v>0</v>
      </c>
      <c r="N57" s="122">
        <f t="shared" si="24"/>
        <v>0</v>
      </c>
      <c r="O57" s="122">
        <f t="shared" si="24"/>
        <v>0</v>
      </c>
    </row>
    <row r="58" spans="1:15" ht="15.75" thickBot="1" x14ac:dyDescent="0.3">
      <c r="A58" s="483"/>
      <c r="B58" s="93" t="s">
        <v>238</v>
      </c>
      <c r="C58" s="197">
        <f t="shared" ref="C58:O58" si="25">C56-C57</f>
        <v>29.518540033544014</v>
      </c>
      <c r="D58" s="197">
        <f t="shared" si="25"/>
        <v>29.518540033544014</v>
      </c>
      <c r="E58" s="197">
        <f t="shared" si="25"/>
        <v>0</v>
      </c>
      <c r="F58" s="197">
        <f t="shared" si="25"/>
        <v>0</v>
      </c>
      <c r="G58" s="197">
        <f t="shared" si="25"/>
        <v>0</v>
      </c>
      <c r="H58" s="197">
        <f t="shared" si="25"/>
        <v>0</v>
      </c>
      <c r="I58" s="197">
        <f t="shared" si="25"/>
        <v>0</v>
      </c>
      <c r="J58" s="197">
        <f t="shared" si="25"/>
        <v>14.759270016772007</v>
      </c>
      <c r="K58" s="197">
        <f t="shared" si="25"/>
        <v>0</v>
      </c>
      <c r="L58" s="197">
        <f t="shared" si="25"/>
        <v>0</v>
      </c>
      <c r="M58" s="197">
        <f t="shared" si="25"/>
        <v>0</v>
      </c>
      <c r="N58" s="197">
        <f t="shared" si="25"/>
        <v>0</v>
      </c>
      <c r="O58" s="198">
        <f t="shared" si="25"/>
        <v>0</v>
      </c>
    </row>
  </sheetData>
  <mergeCells count="13">
    <mergeCell ref="A44:A46"/>
    <mergeCell ref="A47:A49"/>
    <mergeCell ref="A53:A55"/>
    <mergeCell ref="A56:A58"/>
    <mergeCell ref="A52:O52"/>
    <mergeCell ref="H1:O1"/>
    <mergeCell ref="A33:A35"/>
    <mergeCell ref="A36:A38"/>
    <mergeCell ref="A4:A7"/>
    <mergeCell ref="S4:T4"/>
    <mergeCell ref="A8:A13"/>
    <mergeCell ref="A20:A22"/>
    <mergeCell ref="A23:A2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2"/>
  <dimension ref="A1:AT35"/>
  <sheetViews>
    <sheetView topLeftCell="E1" workbookViewId="0">
      <selection activeCell="U11" sqref="U11"/>
    </sheetView>
  </sheetViews>
  <sheetFormatPr baseColWidth="10" defaultRowHeight="15" x14ac:dyDescent="0.25"/>
  <cols>
    <col min="1" max="1" width="9.140625" customWidth="1"/>
    <col min="2" max="5" width="9.28515625" bestFit="1" customWidth="1"/>
    <col min="6" max="8" width="9.28515625" customWidth="1"/>
    <col min="9" max="9" width="10.140625" bestFit="1" customWidth="1"/>
    <col min="10" max="19" width="9.28515625" bestFit="1" customWidth="1"/>
    <col min="20" max="21" width="9.28515625" customWidth="1"/>
    <col min="22" max="23" width="9.28515625" bestFit="1" customWidth="1"/>
    <col min="24" max="24" width="11.140625" bestFit="1" customWidth="1"/>
    <col min="25" max="25" width="9.140625" customWidth="1"/>
    <col min="26" max="26" width="10.5703125" bestFit="1" customWidth="1"/>
    <col min="27" max="27" width="9.140625" customWidth="1"/>
    <col min="28" max="28" width="9.140625" style="61" customWidth="1"/>
    <col min="29" max="29" width="9.5703125" bestFit="1" customWidth="1"/>
    <col min="30" max="30" width="11.42578125" bestFit="1" customWidth="1"/>
    <col min="31" max="31" width="9.140625" customWidth="1"/>
    <col min="32" max="32" width="11.42578125" bestFit="1" customWidth="1"/>
    <col min="33" max="33" width="9.140625" customWidth="1"/>
    <col min="34" max="34" width="11.42578125" bestFit="1" customWidth="1"/>
    <col min="35" max="259" width="9.140625" customWidth="1"/>
  </cols>
  <sheetData>
    <row r="1" spans="1:46" x14ac:dyDescent="0.25">
      <c r="A1" s="6" t="s">
        <v>16</v>
      </c>
      <c r="B1" s="4">
        <f>'Construction Planner'!E1</f>
        <v>1</v>
      </c>
      <c r="D1" s="6" t="s">
        <v>17</v>
      </c>
      <c r="E1" s="2">
        <v>1.1574074074074073E-5</v>
      </c>
      <c r="F1" s="2"/>
      <c r="G1" s="2"/>
      <c r="H1" s="190"/>
      <c r="I1" s="7">
        <f>I5*4</f>
        <v>1.5648148148148147</v>
      </c>
      <c r="O1" s="6"/>
      <c r="P1" s="127"/>
      <c r="Q1" s="128"/>
      <c r="R1" s="8"/>
      <c r="S1" s="5"/>
      <c r="T1" s="110"/>
      <c r="U1" s="110"/>
      <c r="V1" t="s">
        <v>19</v>
      </c>
      <c r="W1" s="10">
        <v>1.05</v>
      </c>
      <c r="Z1" s="2"/>
    </row>
    <row r="2" spans="1:46" ht="15.75" thickBot="1" x14ac:dyDescent="0.3">
      <c r="W2" s="1"/>
    </row>
    <row r="3" spans="1:46" x14ac:dyDescent="0.25">
      <c r="B3" s="1" t="s">
        <v>0</v>
      </c>
      <c r="C3" s="1" t="s">
        <v>1</v>
      </c>
      <c r="D3" s="1" t="s">
        <v>2</v>
      </c>
      <c r="E3" s="1" t="s">
        <v>3</v>
      </c>
      <c r="F3" s="59" t="s">
        <v>59</v>
      </c>
      <c r="G3" s="59" t="s">
        <v>60</v>
      </c>
      <c r="H3" s="321" t="s">
        <v>64</v>
      </c>
      <c r="I3" s="1" t="s">
        <v>4</v>
      </c>
      <c r="J3" s="1" t="s">
        <v>5</v>
      </c>
      <c r="K3" s="1" t="s">
        <v>6</v>
      </c>
      <c r="L3" s="1" t="s">
        <v>7</v>
      </c>
      <c r="M3" s="1" t="s">
        <v>8</v>
      </c>
      <c r="N3" s="1" t="s">
        <v>9</v>
      </c>
      <c r="O3" s="1" t="s">
        <v>10</v>
      </c>
      <c r="P3" s="1" t="s">
        <v>11</v>
      </c>
      <c r="Q3" s="1" t="s">
        <v>12</v>
      </c>
      <c r="R3" s="1" t="s">
        <v>13</v>
      </c>
      <c r="S3" s="1" t="s">
        <v>14</v>
      </c>
      <c r="T3" s="1" t="s">
        <v>107</v>
      </c>
      <c r="U3" s="1" t="s">
        <v>106</v>
      </c>
      <c r="V3" s="1" t="s">
        <v>15</v>
      </c>
      <c r="W3" s="9" t="s">
        <v>18</v>
      </c>
      <c r="X3" s="76" t="s">
        <v>65</v>
      </c>
      <c r="Z3" s="10"/>
      <c r="AB3" s="281" t="s">
        <v>293</v>
      </c>
      <c r="AC3" s="427">
        <v>15</v>
      </c>
      <c r="AD3" s="429"/>
      <c r="AE3" s="427">
        <v>20</v>
      </c>
      <c r="AF3" s="429"/>
      <c r="AG3" s="427">
        <v>25</v>
      </c>
      <c r="AH3" s="429"/>
      <c r="AI3" s="1"/>
      <c r="AJ3" s="1"/>
      <c r="AK3" s="1"/>
      <c r="AL3" s="1"/>
      <c r="AM3" s="1"/>
      <c r="AN3" s="1"/>
      <c r="AO3" s="1"/>
      <c r="AP3" s="1"/>
      <c r="AQ3" s="1"/>
      <c r="AR3" s="1"/>
      <c r="AS3" s="1"/>
      <c r="AT3" s="1"/>
    </row>
    <row r="4" spans="1:46" x14ac:dyDescent="0.25">
      <c r="A4" t="s">
        <v>58</v>
      </c>
      <c r="B4" s="58">
        <f>900/B1</f>
        <v>900</v>
      </c>
      <c r="C4" s="1">
        <f>1800/B1</f>
        <v>1800</v>
      </c>
      <c r="D4" s="1">
        <f>6000/B1</f>
        <v>6000</v>
      </c>
      <c r="E4" s="1">
        <f>6000/B1</f>
        <v>6000</v>
      </c>
      <c r="F4" s="1">
        <v>900</v>
      </c>
      <c r="G4" s="1">
        <v>20400</v>
      </c>
      <c r="H4" s="1">
        <f>13200/B1</f>
        <v>13200</v>
      </c>
      <c r="I4" s="344">
        <f>33800/B1</f>
        <v>33800</v>
      </c>
      <c r="J4" s="1">
        <f>6000/B1</f>
        <v>6000</v>
      </c>
      <c r="K4" s="1">
        <f>1200/B1</f>
        <v>1200</v>
      </c>
      <c r="L4" s="1">
        <f>1500/B1</f>
        <v>1500</v>
      </c>
      <c r="M4" s="1">
        <f>2700/B1</f>
        <v>2700</v>
      </c>
      <c r="N4" s="1">
        <f>900/B1</f>
        <v>900</v>
      </c>
      <c r="O4" s="1">
        <f>900/B1</f>
        <v>900</v>
      </c>
      <c r="P4" s="1">
        <f>1080/B1</f>
        <v>1080</v>
      </c>
      <c r="Q4" s="1">
        <f>1200/B1</f>
        <v>1200</v>
      </c>
      <c r="R4" s="1">
        <f>1020/B1</f>
        <v>1020</v>
      </c>
      <c r="S4" s="1">
        <f>1800/B1</f>
        <v>1800</v>
      </c>
      <c r="T4" s="1">
        <f>30000/B1</f>
        <v>30000</v>
      </c>
      <c r="U4" s="1">
        <v>0</v>
      </c>
      <c r="V4" s="1">
        <f>3600/B1</f>
        <v>3600</v>
      </c>
      <c r="W4" s="9"/>
      <c r="Y4" s="22"/>
      <c r="Z4" s="10"/>
      <c r="AB4" s="282" t="s">
        <v>231</v>
      </c>
      <c r="AC4" s="81" t="s">
        <v>226</v>
      </c>
      <c r="AD4" s="82" t="s">
        <v>292</v>
      </c>
      <c r="AE4" s="81" t="s">
        <v>226</v>
      </c>
      <c r="AF4" s="82" t="s">
        <v>292</v>
      </c>
      <c r="AG4" s="81" t="s">
        <v>226</v>
      </c>
      <c r="AH4" s="82" t="s">
        <v>292</v>
      </c>
      <c r="AI4" s="2"/>
      <c r="AJ4" s="2"/>
      <c r="AK4" s="2"/>
      <c r="AL4" s="2"/>
      <c r="AM4" s="2"/>
      <c r="AN4" s="2"/>
      <c r="AO4" s="2"/>
      <c r="AP4" s="2"/>
      <c r="AQ4" s="2"/>
      <c r="AR4" s="2"/>
      <c r="AS4" s="2"/>
      <c r="AT4" s="2"/>
    </row>
    <row r="5" spans="1:46" x14ac:dyDescent="0.25">
      <c r="A5">
        <v>1</v>
      </c>
      <c r="B5" s="78">
        <f t="shared" ref="B5:E14" si="0">B$4*$Y5*$E$1</f>
        <v>8.5299394467422388E-5</v>
      </c>
      <c r="C5" s="78">
        <f t="shared" si="0"/>
        <v>1.7059878893484478E-4</v>
      </c>
      <c r="D5" s="78">
        <f t="shared" si="0"/>
        <v>5.686626297828159E-4</v>
      </c>
      <c r="E5" s="78">
        <f t="shared" si="0"/>
        <v>5.686626297828159E-4</v>
      </c>
      <c r="F5" s="78">
        <v>1.0416666666666666E-2</v>
      </c>
      <c r="G5" s="78">
        <v>0.2361111111111111</v>
      </c>
      <c r="H5" s="78">
        <f t="shared" ref="H5:H14" si="1">H$4*$Y5*$E$1</f>
        <v>1.2510577855221949E-3</v>
      </c>
      <c r="I5" s="78">
        <f>I4*E1</f>
        <v>0.39120370370370366</v>
      </c>
      <c r="J5" s="78">
        <f t="shared" ref="J5:S5" si="2">J$4*$Y5*$E$1</f>
        <v>5.686626297828159E-4</v>
      </c>
      <c r="K5" s="78">
        <f t="shared" si="2"/>
        <v>1.1373252595656319E-4</v>
      </c>
      <c r="L5" s="78">
        <f t="shared" si="2"/>
        <v>1.4216565744570398E-4</v>
      </c>
      <c r="M5" s="78">
        <f t="shared" si="2"/>
        <v>2.5589818340226712E-4</v>
      </c>
      <c r="N5" s="78">
        <f t="shared" si="2"/>
        <v>8.5299394467422388E-5</v>
      </c>
      <c r="O5" s="78">
        <f t="shared" si="2"/>
        <v>8.5299394467422388E-5</v>
      </c>
      <c r="P5" s="78">
        <f t="shared" si="2"/>
        <v>1.0235927336090687E-4</v>
      </c>
      <c r="Q5" s="78">
        <f t="shared" si="2"/>
        <v>1.1373252595656319E-4</v>
      </c>
      <c r="R5" s="78">
        <f t="shared" si="2"/>
        <v>9.6672647063078708E-5</v>
      </c>
      <c r="S5" s="78">
        <f t="shared" si="2"/>
        <v>1.7059878893484478E-4</v>
      </c>
      <c r="T5" s="78">
        <f>T4*E1</f>
        <v>0.34722222222222221</v>
      </c>
      <c r="U5" s="78">
        <v>1.1574074074074073E-5</v>
      </c>
      <c r="V5" s="78">
        <v>1.8425678507947363E-3</v>
      </c>
      <c r="W5" s="3">
        <f>$W$1^(-A5)</f>
        <v>0.95238095238095233</v>
      </c>
      <c r="X5" s="112">
        <v>0</v>
      </c>
      <c r="Y5" s="77">
        <v>8.1887418688725497E-3</v>
      </c>
      <c r="Z5" s="133"/>
      <c r="AB5" s="282">
        <v>1</v>
      </c>
      <c r="AC5" s="279">
        <f>V5*$W$24</f>
        <v>6.9444444444444436E-4</v>
      </c>
      <c r="AD5" s="116">
        <f>AC5</f>
        <v>6.9444444444444436E-4</v>
      </c>
      <c r="AE5" s="279">
        <f>V5*$W$24</f>
        <v>6.9444444444444436E-4</v>
      </c>
      <c r="AF5" s="116">
        <f>AE5</f>
        <v>6.9444444444444436E-4</v>
      </c>
      <c r="AG5" s="279">
        <f>V5*$W$24</f>
        <v>6.9444444444444436E-4</v>
      </c>
      <c r="AH5" s="116">
        <f>AG5</f>
        <v>6.9444444444444436E-4</v>
      </c>
      <c r="AT5" s="77"/>
    </row>
    <row r="6" spans="1:46" x14ac:dyDescent="0.25">
      <c r="A6">
        <v>2</v>
      </c>
      <c r="B6" s="78">
        <f t="shared" si="0"/>
        <v>8.5299394467422388E-5</v>
      </c>
      <c r="C6" s="78">
        <f t="shared" si="0"/>
        <v>1.7059878893484478E-4</v>
      </c>
      <c r="D6" s="78">
        <f t="shared" si="0"/>
        <v>5.686626297828159E-4</v>
      </c>
      <c r="E6" s="78">
        <f t="shared" si="0"/>
        <v>5.686626297828159E-4</v>
      </c>
      <c r="F6" s="78"/>
      <c r="G6" s="78">
        <v>0.28333333333333333</v>
      </c>
      <c r="H6" s="78">
        <f t="shared" si="1"/>
        <v>1.2510577855221949E-3</v>
      </c>
      <c r="I6" s="78">
        <f>I5</f>
        <v>0.39120370370370366</v>
      </c>
      <c r="J6" s="78">
        <f t="shared" ref="J6:J14" si="3">J$4*$Y6*$E$1</f>
        <v>5.686626297828159E-4</v>
      </c>
      <c r="K6" s="78"/>
      <c r="L6" s="78"/>
      <c r="M6" s="78">
        <f t="shared" ref="M6:S14" si="4">M$4*$Y6*$E$1</f>
        <v>2.5589818340226712E-4</v>
      </c>
      <c r="N6" s="78">
        <f t="shared" si="4"/>
        <v>8.5299394467422388E-5</v>
      </c>
      <c r="O6" s="78">
        <f t="shared" si="4"/>
        <v>8.5299394467422388E-5</v>
      </c>
      <c r="P6" s="78">
        <f t="shared" si="4"/>
        <v>1.0235927336090687E-4</v>
      </c>
      <c r="Q6" s="78">
        <f t="shared" si="4"/>
        <v>1.1373252595656319E-4</v>
      </c>
      <c r="R6" s="78">
        <f t="shared" si="4"/>
        <v>9.6672647063078708E-5</v>
      </c>
      <c r="S6" s="78">
        <f t="shared" si="4"/>
        <v>1.7059878893484478E-4</v>
      </c>
      <c r="T6" s="78">
        <f>T5</f>
        <v>0.34722222222222221</v>
      </c>
      <c r="U6" s="78">
        <v>1.1574074074074073E-5</v>
      </c>
      <c r="V6" s="78">
        <v>1.8425678507947363E-3</v>
      </c>
      <c r="W6" s="3">
        <f t="shared" ref="W6:W34" si="5">$W$1^(-A6)</f>
        <v>0.90702947845804982</v>
      </c>
      <c r="X6" s="112">
        <v>1</v>
      </c>
      <c r="Y6" s="77">
        <v>8.1887418688725497E-3</v>
      </c>
      <c r="Z6" s="138"/>
      <c r="AB6" s="282">
        <v>2</v>
      </c>
      <c r="AC6" s="279">
        <f>V6*$W$24</f>
        <v>6.9444444444444436E-4</v>
      </c>
      <c r="AD6" s="116">
        <f>AC6+AC5</f>
        <v>1.3888888888888887E-3</v>
      </c>
      <c r="AE6" s="279">
        <f t="shared" ref="AE6:AE24" si="6">V6*$W$24</f>
        <v>6.9444444444444436E-4</v>
      </c>
      <c r="AF6" s="116">
        <f>AE6+AE5</f>
        <v>1.3888888888888887E-3</v>
      </c>
      <c r="AG6" s="279">
        <f>V6*$W$24</f>
        <v>6.9444444444444436E-4</v>
      </c>
      <c r="AH6" s="116">
        <f>AG6+AG5</f>
        <v>1.3888888888888887E-3</v>
      </c>
      <c r="AT6" s="77"/>
    </row>
    <row r="7" spans="1:46" x14ac:dyDescent="0.25">
      <c r="A7">
        <v>3</v>
      </c>
      <c r="B7" s="78">
        <f t="shared" si="0"/>
        <v>1.6875E-3</v>
      </c>
      <c r="C7" s="78">
        <f t="shared" si="0"/>
        <v>3.375E-3</v>
      </c>
      <c r="D7" s="78">
        <f t="shared" si="0"/>
        <v>1.125E-2</v>
      </c>
      <c r="E7" s="78">
        <f t="shared" si="0"/>
        <v>1.125E-2</v>
      </c>
      <c r="F7" s="78"/>
      <c r="G7" s="78">
        <v>0.33999999999999997</v>
      </c>
      <c r="H7" s="78">
        <f t="shared" si="1"/>
        <v>2.4750000000000001E-2</v>
      </c>
      <c r="I7" s="78">
        <v>0.46944444444444439</v>
      </c>
      <c r="J7" s="78">
        <f t="shared" si="3"/>
        <v>1.125E-2</v>
      </c>
      <c r="K7" s="78"/>
      <c r="L7" s="78"/>
      <c r="M7" s="78">
        <f t="shared" si="4"/>
        <v>5.0625000000000002E-3</v>
      </c>
      <c r="N7" s="78">
        <f t="shared" si="4"/>
        <v>1.6875E-3</v>
      </c>
      <c r="O7" s="78">
        <f t="shared" si="4"/>
        <v>1.6875E-3</v>
      </c>
      <c r="P7" s="78">
        <f t="shared" si="4"/>
        <v>2.0249999999999999E-3</v>
      </c>
      <c r="Q7" s="78">
        <f t="shared" si="4"/>
        <v>2.2499999999999998E-3</v>
      </c>
      <c r="R7" s="78">
        <f t="shared" si="4"/>
        <v>1.9124999999999999E-3</v>
      </c>
      <c r="S7" s="78">
        <f t="shared" si="4"/>
        <v>3.375E-3</v>
      </c>
      <c r="T7" s="78">
        <f t="shared" ref="T7:T34" si="7">T6</f>
        <v>0.34722222222222221</v>
      </c>
      <c r="U7" s="78">
        <v>1.1574074074074101E-5</v>
      </c>
      <c r="V7" s="78">
        <v>1.8425678507947363E-3</v>
      </c>
      <c r="W7" s="3">
        <f t="shared" si="5"/>
        <v>0.86383759853147601</v>
      </c>
      <c r="X7" s="112">
        <v>20.360719687500001</v>
      </c>
      <c r="Y7" s="77">
        <v>0.16200000000000001</v>
      </c>
      <c r="Z7" s="138"/>
      <c r="AB7" s="282">
        <v>3</v>
      </c>
      <c r="AC7" s="279">
        <f>V7*$W$24</f>
        <v>6.9444444444444436E-4</v>
      </c>
      <c r="AD7" s="116">
        <f>AC7+AD6</f>
        <v>2.0833333333333329E-3</v>
      </c>
      <c r="AE7" s="279">
        <f t="shared" si="6"/>
        <v>6.9444444444444436E-4</v>
      </c>
      <c r="AF7" s="116">
        <f>AE7+AF6</f>
        <v>2.0833333333333329E-3</v>
      </c>
      <c r="AG7" s="279">
        <f>V7*$W$24</f>
        <v>6.9444444444444436E-4</v>
      </c>
      <c r="AH7" s="116">
        <f>AG7+AH6</f>
        <v>2.0833333333333329E-3</v>
      </c>
      <c r="AT7" s="77"/>
    </row>
    <row r="8" spans="1:46" x14ac:dyDescent="0.25">
      <c r="A8">
        <v>4</v>
      </c>
      <c r="B8" s="78">
        <f t="shared" si="0"/>
        <v>5.2181284976256142E-3</v>
      </c>
      <c r="C8" s="78">
        <f t="shared" si="0"/>
        <v>1.0436256995251228E-2</v>
      </c>
      <c r="D8" s="78">
        <f t="shared" si="0"/>
        <v>3.4787523317504093E-2</v>
      </c>
      <c r="E8" s="78">
        <f t="shared" si="0"/>
        <v>3.4787523317504093E-2</v>
      </c>
      <c r="F8" s="78"/>
      <c r="G8" s="78"/>
      <c r="H8" s="78">
        <f t="shared" si="1"/>
        <v>7.6532551298509013E-2</v>
      </c>
      <c r="I8" s="78"/>
      <c r="J8" s="78">
        <f t="shared" si="3"/>
        <v>3.4787523317504093E-2</v>
      </c>
      <c r="K8" s="78"/>
      <c r="L8" s="78"/>
      <c r="M8" s="78">
        <f t="shared" si="4"/>
        <v>1.5654385492876843E-2</v>
      </c>
      <c r="N8" s="78">
        <f t="shared" si="4"/>
        <v>5.2181284976256142E-3</v>
      </c>
      <c r="O8" s="78">
        <f t="shared" si="4"/>
        <v>5.2181284976256142E-3</v>
      </c>
      <c r="P8" s="78">
        <f t="shared" si="4"/>
        <v>6.2617541971507372E-3</v>
      </c>
      <c r="Q8" s="78">
        <f t="shared" si="4"/>
        <v>6.9575046635008192E-3</v>
      </c>
      <c r="R8" s="78">
        <f t="shared" si="4"/>
        <v>5.9138789639756962E-3</v>
      </c>
      <c r="S8" s="78">
        <f t="shared" si="4"/>
        <v>1.0436256995251228E-2</v>
      </c>
      <c r="T8" s="78">
        <f t="shared" si="7"/>
        <v>0.34722222222222221</v>
      </c>
      <c r="U8" s="78">
        <v>1.1574074074074101E-5</v>
      </c>
      <c r="V8" s="78">
        <f t="shared" ref="V8:V14" si="8">V$4*$Y8*$E$1</f>
        <v>2.0872513990502457E-2</v>
      </c>
      <c r="W8" s="3">
        <f t="shared" si="5"/>
        <v>0.82270247479188197</v>
      </c>
      <c r="X8" s="112">
        <v>3.0962054451184886</v>
      </c>
      <c r="Y8" s="77">
        <v>0.50094033577205899</v>
      </c>
      <c r="Z8" s="138"/>
      <c r="AB8" s="282">
        <v>4</v>
      </c>
      <c r="AC8" s="279">
        <f t="shared" ref="AC8:AC24" si="9">V8*$W$19</f>
        <v>1.0040036109574667E-2</v>
      </c>
      <c r="AD8" s="116">
        <f t="shared" ref="AD8:AD24" si="10">AC8+AD7</f>
        <v>1.2123369442908E-2</v>
      </c>
      <c r="AE8" s="279">
        <f t="shared" si="6"/>
        <v>7.8666310041399408E-3</v>
      </c>
      <c r="AF8" s="116">
        <f t="shared" ref="AF8:AF24" si="11">AE8+AF7</f>
        <v>9.9499643374732737E-3</v>
      </c>
      <c r="AG8" s="279">
        <f t="shared" ref="AG8:AG24" si="12">V8*$W$29</f>
        <v>6.1637112336956918E-3</v>
      </c>
      <c r="AH8" s="116">
        <f t="shared" ref="AH8:AH24" si="13">AG8+AH7</f>
        <v>8.2470445670290247E-3</v>
      </c>
      <c r="AT8" s="77"/>
    </row>
    <row r="9" spans="1:46" x14ac:dyDescent="0.25">
      <c r="A9">
        <v>5</v>
      </c>
      <c r="B9" s="78">
        <f t="shared" si="0"/>
        <v>9.959543168039181E-3</v>
      </c>
      <c r="C9" s="78">
        <f t="shared" si="0"/>
        <v>1.9919086336078362E-2</v>
      </c>
      <c r="D9" s="78">
        <f t="shared" si="0"/>
        <v>6.6396954453594545E-2</v>
      </c>
      <c r="E9" s="78">
        <f t="shared" si="0"/>
        <v>6.6396954453594545E-2</v>
      </c>
      <c r="F9" s="78"/>
      <c r="G9" s="78"/>
      <c r="H9" s="78">
        <f t="shared" si="1"/>
        <v>0.14607329979790798</v>
      </c>
      <c r="I9" s="78"/>
      <c r="J9" s="78">
        <f t="shared" si="3"/>
        <v>6.6396954453594545E-2</v>
      </c>
      <c r="K9" s="78"/>
      <c r="L9" s="78"/>
      <c r="M9" s="78">
        <f t="shared" si="4"/>
        <v>2.987862950411754E-2</v>
      </c>
      <c r="N9" s="78">
        <f t="shared" si="4"/>
        <v>9.959543168039181E-3</v>
      </c>
      <c r="O9" s="78">
        <f t="shared" si="4"/>
        <v>9.959543168039181E-3</v>
      </c>
      <c r="P9" s="78">
        <f t="shared" si="4"/>
        <v>1.1951451801647018E-2</v>
      </c>
      <c r="Q9" s="78">
        <f t="shared" si="4"/>
        <v>1.3279390890718909E-2</v>
      </c>
      <c r="R9" s="78">
        <f t="shared" si="4"/>
        <v>1.1287482257111072E-2</v>
      </c>
      <c r="S9" s="78">
        <f t="shared" si="4"/>
        <v>1.9919086336078362E-2</v>
      </c>
      <c r="T9" s="78">
        <f t="shared" si="7"/>
        <v>0.34722222222222221</v>
      </c>
      <c r="U9" s="78">
        <v>1.1574074074074101E-5</v>
      </c>
      <c r="V9" s="78">
        <f t="shared" si="8"/>
        <v>3.9838172672156724E-2</v>
      </c>
      <c r="W9" s="3">
        <f t="shared" si="5"/>
        <v>0.78352616646845896</v>
      </c>
      <c r="X9" s="112">
        <v>1.9083917705280991</v>
      </c>
      <c r="Y9" s="77">
        <v>0.95611614413176138</v>
      </c>
      <c r="Z9" s="138"/>
      <c r="AB9" s="282">
        <v>5</v>
      </c>
      <c r="AC9" s="279">
        <f t="shared" si="9"/>
        <v>1.916284221200782E-2</v>
      </c>
      <c r="AD9" s="116">
        <f t="shared" si="10"/>
        <v>3.1286211654915824E-2</v>
      </c>
      <c r="AE9" s="279">
        <f t="shared" si="6"/>
        <v>1.5014588297014454E-2</v>
      </c>
      <c r="AF9" s="116">
        <f t="shared" si="11"/>
        <v>2.4964552634487727E-2</v>
      </c>
      <c r="AG9" s="279">
        <f t="shared" si="12"/>
        <v>1.1764322809461922E-2</v>
      </c>
      <c r="AH9" s="116">
        <f t="shared" si="13"/>
        <v>2.0011367376490945E-2</v>
      </c>
      <c r="AT9" s="77"/>
    </row>
    <row r="10" spans="1:46" x14ac:dyDescent="0.25">
      <c r="A10">
        <v>6</v>
      </c>
      <c r="B10" s="7">
        <f t="shared" si="0"/>
        <v>1.5706569007709767E-2</v>
      </c>
      <c r="C10" s="7">
        <f t="shared" si="0"/>
        <v>3.1413138015419534E-2</v>
      </c>
      <c r="D10" s="7">
        <f t="shared" si="0"/>
        <v>0.10471046005139843</v>
      </c>
      <c r="E10" s="7">
        <f t="shared" si="0"/>
        <v>0.10471046005139843</v>
      </c>
      <c r="F10" s="7"/>
      <c r="G10" s="7"/>
      <c r="H10" s="7">
        <f t="shared" si="1"/>
        <v>0.23036301211307658</v>
      </c>
      <c r="I10" s="7"/>
      <c r="J10" s="7">
        <f t="shared" si="3"/>
        <v>0.10471046005139843</v>
      </c>
      <c r="K10" s="7"/>
      <c r="L10" s="7"/>
      <c r="M10" s="7">
        <f t="shared" si="4"/>
        <v>4.7119707023129294E-2</v>
      </c>
      <c r="N10" s="7">
        <f t="shared" si="4"/>
        <v>1.5706569007709767E-2</v>
      </c>
      <c r="O10" s="7">
        <f t="shared" si="4"/>
        <v>1.5706569007709767E-2</v>
      </c>
      <c r="P10" s="7">
        <f t="shared" si="4"/>
        <v>1.8847882809251718E-2</v>
      </c>
      <c r="Q10" s="7">
        <f t="shared" si="4"/>
        <v>2.0942092010279686E-2</v>
      </c>
      <c r="R10" s="7">
        <f t="shared" si="4"/>
        <v>1.7800778208737735E-2</v>
      </c>
      <c r="S10" s="7">
        <f t="shared" si="4"/>
        <v>3.1413138015419534E-2</v>
      </c>
      <c r="T10" s="7">
        <f t="shared" si="7"/>
        <v>0.34722222222222221</v>
      </c>
      <c r="U10" s="7">
        <v>1.1574074074074101E-5</v>
      </c>
      <c r="V10" s="7">
        <f t="shared" si="8"/>
        <v>6.2826276030839068E-2</v>
      </c>
      <c r="W10" s="3">
        <f t="shared" si="5"/>
        <v>0.74621539663662761</v>
      </c>
      <c r="X10" s="112">
        <v>1.5774304831602659</v>
      </c>
      <c r="Y10" s="77">
        <v>1.5078306247401376</v>
      </c>
      <c r="Z10" s="138"/>
      <c r="AB10" s="282">
        <v>6</v>
      </c>
      <c r="AC10" s="279">
        <f t="shared" si="9"/>
        <v>3.0220512980216486E-2</v>
      </c>
      <c r="AD10" s="116">
        <f t="shared" si="10"/>
        <v>6.1506724635132307E-2</v>
      </c>
      <c r="AE10" s="279">
        <f t="shared" si="6"/>
        <v>2.3678562684099329E-2</v>
      </c>
      <c r="AF10" s="116">
        <f t="shared" si="11"/>
        <v>4.864311531858706E-2</v>
      </c>
      <c r="AG10" s="279">
        <f t="shared" si="12"/>
        <v>1.8552773447355453E-2</v>
      </c>
      <c r="AH10" s="116">
        <f t="shared" si="13"/>
        <v>3.8564140823846398E-2</v>
      </c>
      <c r="AT10" s="77"/>
    </row>
    <row r="11" spans="1:46" x14ac:dyDescent="0.25">
      <c r="A11">
        <v>7</v>
      </c>
      <c r="B11" s="7">
        <f t="shared" si="0"/>
        <v>2.2486283918350131E-2</v>
      </c>
      <c r="C11" s="7">
        <f t="shared" si="0"/>
        <v>4.4972567836700263E-2</v>
      </c>
      <c r="D11" s="7">
        <f t="shared" si="0"/>
        <v>0.14990855945566753</v>
      </c>
      <c r="E11" s="7">
        <f t="shared" si="0"/>
        <v>0.14990855945566753</v>
      </c>
      <c r="F11" s="7"/>
      <c r="G11" s="7"/>
      <c r="H11" s="7">
        <f t="shared" si="1"/>
        <v>0.32979883080246863</v>
      </c>
      <c r="I11" s="7"/>
      <c r="J11" s="7">
        <f t="shared" si="3"/>
        <v>0.14990855945566753</v>
      </c>
      <c r="K11" s="7"/>
      <c r="L11" s="7"/>
      <c r="M11" s="7">
        <f t="shared" si="4"/>
        <v>6.7458851755050397E-2</v>
      </c>
      <c r="N11" s="7">
        <f t="shared" si="4"/>
        <v>2.2486283918350131E-2</v>
      </c>
      <c r="O11" s="7">
        <f t="shared" si="4"/>
        <v>2.2486283918350131E-2</v>
      </c>
      <c r="P11" s="7">
        <f t="shared" si="4"/>
        <v>2.6983540702020158E-2</v>
      </c>
      <c r="Q11" s="7">
        <f t="shared" si="4"/>
        <v>2.9981711891133508E-2</v>
      </c>
      <c r="R11" s="7">
        <f t="shared" si="4"/>
        <v>2.5484455107463486E-2</v>
      </c>
      <c r="S11" s="7">
        <f t="shared" si="4"/>
        <v>4.4972567836700263E-2</v>
      </c>
      <c r="T11" s="7">
        <f t="shared" si="7"/>
        <v>0.34722222222222221</v>
      </c>
      <c r="U11" s="7">
        <v>1.1574074074074101E-5</v>
      </c>
      <c r="V11" s="7">
        <f t="shared" si="8"/>
        <v>8.9945135673400525E-2</v>
      </c>
      <c r="W11" s="3">
        <f t="shared" si="5"/>
        <v>0.71068133013012147</v>
      </c>
      <c r="X11" s="112">
        <v>1.4312524375277447</v>
      </c>
      <c r="Y11" s="77">
        <v>2.1586832561616127</v>
      </c>
      <c r="Z11" s="138"/>
      <c r="AB11" s="282">
        <v>7</v>
      </c>
      <c r="AC11" s="279">
        <f t="shared" si="9"/>
        <v>4.3265148149017725E-2</v>
      </c>
      <c r="AD11" s="116">
        <f t="shared" si="10"/>
        <v>0.10477187278415004</v>
      </c>
      <c r="AE11" s="279">
        <f t="shared" si="6"/>
        <v>3.3899375670889804E-2</v>
      </c>
      <c r="AF11" s="116">
        <f t="shared" si="11"/>
        <v>8.2542490989476858E-2</v>
      </c>
      <c r="AG11" s="279">
        <f t="shared" si="12"/>
        <v>2.656104786508643E-2</v>
      </c>
      <c r="AH11" s="116">
        <f t="shared" si="13"/>
        <v>6.5125188688932828E-2</v>
      </c>
      <c r="AT11" s="77"/>
    </row>
    <row r="12" spans="1:46" x14ac:dyDescent="0.25">
      <c r="A12">
        <v>8</v>
      </c>
      <c r="B12" s="7">
        <f t="shared" si="0"/>
        <v>3.0457035121601674E-2</v>
      </c>
      <c r="C12" s="7">
        <f t="shared" si="0"/>
        <v>6.0914070243203347E-2</v>
      </c>
      <c r="D12" s="7">
        <f t="shared" si="0"/>
        <v>0.20304690081067783</v>
      </c>
      <c r="E12" s="7">
        <f t="shared" si="0"/>
        <v>0.20304690081067783</v>
      </c>
      <c r="F12" s="7"/>
      <c r="G12" s="7"/>
      <c r="H12" s="7">
        <f t="shared" si="1"/>
        <v>0.44670318178349122</v>
      </c>
      <c r="I12" s="7"/>
      <c r="J12" s="7">
        <f t="shared" si="3"/>
        <v>0.20304690081067783</v>
      </c>
      <c r="K12" s="7"/>
      <c r="L12" s="7"/>
      <c r="M12" s="7">
        <f t="shared" si="4"/>
        <v>9.1371105364805014E-2</v>
      </c>
      <c r="N12" s="7">
        <f t="shared" si="4"/>
        <v>3.0457035121601674E-2</v>
      </c>
      <c r="O12" s="7">
        <f t="shared" si="4"/>
        <v>3.0457035121601674E-2</v>
      </c>
      <c r="P12" s="7">
        <f t="shared" si="4"/>
        <v>3.6548442145922004E-2</v>
      </c>
      <c r="Q12" s="7">
        <f t="shared" si="4"/>
        <v>4.0609380162135562E-2</v>
      </c>
      <c r="R12" s="7">
        <f t="shared" si="4"/>
        <v>3.4517973137815232E-2</v>
      </c>
      <c r="S12" s="7">
        <f t="shared" si="4"/>
        <v>6.0914070243203347E-2</v>
      </c>
      <c r="T12" s="7">
        <f t="shared" si="7"/>
        <v>0.34722222222222221</v>
      </c>
      <c r="U12" s="7">
        <v>1.1574074074074101E-5</v>
      </c>
      <c r="V12" s="7">
        <f t="shared" si="8"/>
        <v>0.12182814048640669</v>
      </c>
      <c r="W12" s="3">
        <f t="shared" si="5"/>
        <v>0.67683936202868722</v>
      </c>
      <c r="X12" s="112">
        <v>1.3547557656990032</v>
      </c>
      <c r="Y12" s="77">
        <v>2.9238753716737609</v>
      </c>
      <c r="Z12" s="138"/>
      <c r="AB12" s="282">
        <v>8</v>
      </c>
      <c r="AC12" s="279">
        <f t="shared" si="9"/>
        <v>5.860141860259039E-2</v>
      </c>
      <c r="AD12" s="116">
        <f t="shared" si="10"/>
        <v>0.16337329138674042</v>
      </c>
      <c r="AE12" s="279">
        <f t="shared" si="6"/>
        <v>4.5915744867301087E-2</v>
      </c>
      <c r="AF12" s="116">
        <f t="shared" si="11"/>
        <v>0.12845823585677796</v>
      </c>
      <c r="AG12" s="279">
        <f t="shared" si="12"/>
        <v>3.5976187556420243E-2</v>
      </c>
      <c r="AH12" s="116">
        <f t="shared" si="13"/>
        <v>0.10110137624535306</v>
      </c>
      <c r="AT12" s="77"/>
    </row>
    <row r="13" spans="1:46" x14ac:dyDescent="0.25">
      <c r="A13">
        <v>9</v>
      </c>
      <c r="B13" s="7">
        <f t="shared" si="0"/>
        <v>3.9846243338975601E-2</v>
      </c>
      <c r="C13" s="7">
        <f t="shared" si="0"/>
        <v>7.9692486677951202E-2</v>
      </c>
      <c r="D13" s="7">
        <f t="shared" si="0"/>
        <v>0.26564162225983734</v>
      </c>
      <c r="E13" s="7">
        <f t="shared" si="0"/>
        <v>0.26564162225983734</v>
      </c>
      <c r="F13" s="7"/>
      <c r="G13" s="7"/>
      <c r="H13" s="7">
        <f t="shared" si="1"/>
        <v>0.58441156897164215</v>
      </c>
      <c r="I13" s="7"/>
      <c r="J13" s="7">
        <f t="shared" si="3"/>
        <v>0.26564162225983734</v>
      </c>
      <c r="K13" s="7"/>
      <c r="L13" s="7"/>
      <c r="M13" s="7">
        <f t="shared" si="4"/>
        <v>0.1195387300169268</v>
      </c>
      <c r="N13" s="7">
        <f t="shared" si="4"/>
        <v>3.9846243338975601E-2</v>
      </c>
      <c r="O13" s="7">
        <f t="shared" si="4"/>
        <v>3.9846243338975601E-2</v>
      </c>
      <c r="P13" s="7">
        <f t="shared" si="4"/>
        <v>4.7815492006770717E-2</v>
      </c>
      <c r="Q13" s="7">
        <f t="shared" si="4"/>
        <v>5.3128324451967468E-2</v>
      </c>
      <c r="R13" s="7">
        <f t="shared" si="4"/>
        <v>4.5159075784172345E-2</v>
      </c>
      <c r="S13" s="7">
        <f t="shared" si="4"/>
        <v>7.9692486677951202E-2</v>
      </c>
      <c r="T13" s="7">
        <f t="shared" si="7"/>
        <v>0.34722222222222221</v>
      </c>
      <c r="U13" s="7">
        <v>1.1574074074074101E-5</v>
      </c>
      <c r="V13" s="7">
        <f t="shared" si="8"/>
        <v>0.1593849733559024</v>
      </c>
      <c r="W13" s="3">
        <f t="shared" si="5"/>
        <v>0.64460891621779726</v>
      </c>
      <c r="X13" s="112">
        <v>1.3082694934037991</v>
      </c>
      <c r="Y13" s="77">
        <v>3.8252393605416577</v>
      </c>
      <c r="Z13" s="138"/>
      <c r="AB13" s="282">
        <v>9</v>
      </c>
      <c r="AC13" s="279">
        <f t="shared" si="9"/>
        <v>7.6666897362962783E-2</v>
      </c>
      <c r="AD13" s="116">
        <f t="shared" si="10"/>
        <v>0.2400401887497032</v>
      </c>
      <c r="AE13" s="279">
        <f t="shared" si="6"/>
        <v>6.0070520185833039E-2</v>
      </c>
      <c r="AF13" s="116">
        <f t="shared" si="11"/>
        <v>0.18852875604261099</v>
      </c>
      <c r="AG13" s="279">
        <f t="shared" si="12"/>
        <v>4.7066824398971939E-2</v>
      </c>
      <c r="AH13" s="116">
        <f t="shared" si="13"/>
        <v>0.14816820064432501</v>
      </c>
      <c r="AT13" s="77"/>
    </row>
    <row r="14" spans="1:46" x14ac:dyDescent="0.25">
      <c r="A14">
        <v>10</v>
      </c>
      <c r="B14" s="7">
        <f t="shared" si="0"/>
        <v>5.0912499999999999E-2</v>
      </c>
      <c r="C14" s="7">
        <f t="shared" si="0"/>
        <v>0.101825</v>
      </c>
      <c r="D14" s="7">
        <f t="shared" si="0"/>
        <v>0.33941666666666664</v>
      </c>
      <c r="E14" s="7">
        <f t="shared" si="0"/>
        <v>0.33941666666666664</v>
      </c>
      <c r="F14" s="7"/>
      <c r="G14" s="7"/>
      <c r="H14" s="7">
        <f t="shared" si="1"/>
        <v>0.74671666666666658</v>
      </c>
      <c r="I14" s="7"/>
      <c r="J14" s="7">
        <f t="shared" si="3"/>
        <v>0.33941666666666664</v>
      </c>
      <c r="K14" s="7"/>
      <c r="L14" s="7"/>
      <c r="M14" s="7">
        <f t="shared" si="4"/>
        <v>0.1527375</v>
      </c>
      <c r="N14" s="7">
        <f t="shared" si="4"/>
        <v>5.0912499999999999E-2</v>
      </c>
      <c r="O14" s="7">
        <f t="shared" si="4"/>
        <v>5.0912499999999999E-2</v>
      </c>
      <c r="P14" s="7">
        <f t="shared" si="4"/>
        <v>6.1094999999999997E-2</v>
      </c>
      <c r="Q14" s="7">
        <f t="shared" si="4"/>
        <v>6.7883333333333323E-2</v>
      </c>
      <c r="R14" s="7">
        <f t="shared" si="4"/>
        <v>5.7700833333333326E-2</v>
      </c>
      <c r="S14" s="7">
        <f t="shared" si="4"/>
        <v>0.101825</v>
      </c>
      <c r="T14" s="7">
        <f t="shared" si="7"/>
        <v>0.34722222222222221</v>
      </c>
      <c r="U14" s="7">
        <v>1.1574074074074101E-5</v>
      </c>
      <c r="V14" s="7">
        <f t="shared" si="8"/>
        <v>0.20365</v>
      </c>
      <c r="W14" s="3">
        <f t="shared" si="5"/>
        <v>0.61391325354075932</v>
      </c>
      <c r="X14" s="112">
        <v>1.2790197899434781</v>
      </c>
      <c r="Y14" s="77">
        <v>4.8875999999999999</v>
      </c>
      <c r="Z14" s="138"/>
      <c r="AB14" s="282">
        <v>10</v>
      </c>
      <c r="AC14" s="279">
        <f t="shared" si="9"/>
        <v>9.7959132026226081E-2</v>
      </c>
      <c r="AD14" s="116">
        <f t="shared" si="10"/>
        <v>0.33799932077592931</v>
      </c>
      <c r="AE14" s="279">
        <f t="shared" si="6"/>
        <v>7.6753543187086576E-2</v>
      </c>
      <c r="AF14" s="116">
        <f t="shared" si="11"/>
        <v>0.26528229922969759</v>
      </c>
      <c r="AG14" s="279">
        <f t="shared" si="12"/>
        <v>6.013840945624925E-2</v>
      </c>
      <c r="AH14" s="116">
        <f t="shared" si="13"/>
        <v>0.20830661010057427</v>
      </c>
      <c r="AT14" s="77"/>
    </row>
    <row r="15" spans="1:46" x14ac:dyDescent="0.25">
      <c r="A15">
        <v>11</v>
      </c>
      <c r="B15" s="7">
        <f t="shared" ref="B15:B34" si="14">B14*$X15</f>
        <v>6.4089389532789351E-2</v>
      </c>
      <c r="C15" s="7">
        <f t="shared" ref="C15:C29" si="15">C14*$X15</f>
        <v>0.1281787790655787</v>
      </c>
      <c r="D15" s="7">
        <f t="shared" ref="D15:D24" si="16">D14*$X15</f>
        <v>0.4272625968852623</v>
      </c>
      <c r="E15" s="7">
        <f>E14*$X15</f>
        <v>0.4272625968852623</v>
      </c>
      <c r="F15" s="7"/>
      <c r="G15" s="7"/>
      <c r="H15" s="7">
        <f t="shared" ref="H15:H24" si="17">H14*$X15</f>
        <v>0.93997771314757694</v>
      </c>
      <c r="I15" s="7"/>
      <c r="J15" s="7">
        <f t="shared" ref="J15:J24" si="18">J14*$X15</f>
        <v>0.4272625968852623</v>
      </c>
      <c r="K15" s="7"/>
      <c r="L15" s="7"/>
      <c r="M15" s="7">
        <f t="shared" ref="M15:M29" si="19">M14*$X15</f>
        <v>0.19226816859836804</v>
      </c>
      <c r="N15" s="7">
        <f t="shared" ref="N15:N29" si="20">N14*$X15</f>
        <v>6.4089389532789351E-2</v>
      </c>
      <c r="O15" s="7">
        <f t="shared" ref="O15:O29" si="21">O14*$X15</f>
        <v>6.4089389532789351E-2</v>
      </c>
      <c r="P15" s="7">
        <f t="shared" ref="P15:P29" si="22">P14*$X15</f>
        <v>7.6907267439347213E-2</v>
      </c>
      <c r="Q15" s="7">
        <f t="shared" ref="Q15:Q29" si="23">Q14*$X15</f>
        <v>8.5452519377052449E-2</v>
      </c>
      <c r="R15" s="7">
        <f t="shared" ref="R15:R29" si="24">R14*$X15</f>
        <v>7.2634641470494588E-2</v>
      </c>
      <c r="S15" s="7"/>
      <c r="T15" s="7">
        <f t="shared" si="7"/>
        <v>0.34722222222222221</v>
      </c>
      <c r="U15" s="7">
        <v>1.1574074074074101E-5</v>
      </c>
      <c r="V15" s="7">
        <f t="shared" ref="V15:V24" si="25">V14*$X15</f>
        <v>0.2563575581311574</v>
      </c>
      <c r="W15" s="3">
        <f t="shared" si="5"/>
        <v>0.5846792890864374</v>
      </c>
      <c r="X15" s="112">
        <v>1.2588144273565303</v>
      </c>
      <c r="Y15" s="7"/>
      <c r="Z15" s="138"/>
      <c r="AB15" s="282">
        <v>11</v>
      </c>
      <c r="AC15" s="279">
        <f t="shared" si="9"/>
        <v>0.12331236868593654</v>
      </c>
      <c r="AD15" s="116">
        <f t="shared" si="10"/>
        <v>0.46131168946186585</v>
      </c>
      <c r="AE15" s="279">
        <f t="shared" si="6"/>
        <v>9.661846751463711E-2</v>
      </c>
      <c r="AF15" s="116">
        <f t="shared" si="11"/>
        <v>0.36190076674433469</v>
      </c>
      <c r="AG15" s="279">
        <f t="shared" si="12"/>
        <v>7.5703097461800942E-2</v>
      </c>
      <c r="AH15" s="116">
        <f t="shared" si="13"/>
        <v>0.2840097075623752</v>
      </c>
    </row>
    <row r="16" spans="1:46" x14ac:dyDescent="0.25">
      <c r="A16">
        <v>12</v>
      </c>
      <c r="B16" s="7">
        <f t="shared" si="14"/>
        <v>7.9791289968322743E-2</v>
      </c>
      <c r="C16" s="7">
        <f t="shared" si="15"/>
        <v>0.15958257993664549</v>
      </c>
      <c r="D16" s="7">
        <f t="shared" si="16"/>
        <v>0.53194193312215166</v>
      </c>
      <c r="E16" s="7">
        <f>E15*$X16</f>
        <v>0.53194193312215166</v>
      </c>
      <c r="F16" s="7"/>
      <c r="G16" s="7"/>
      <c r="H16" s="7">
        <f t="shared" si="17"/>
        <v>1.1702722528687335</v>
      </c>
      <c r="I16" s="7"/>
      <c r="J16" s="7">
        <f t="shared" si="18"/>
        <v>0.53194193312215166</v>
      </c>
      <c r="K16" s="7"/>
      <c r="L16" s="7"/>
      <c r="M16" s="7">
        <f t="shared" si="19"/>
        <v>0.23937386990496823</v>
      </c>
      <c r="N16" s="7">
        <f t="shared" si="20"/>
        <v>7.9791289968322743E-2</v>
      </c>
      <c r="O16" s="7">
        <f t="shared" si="21"/>
        <v>7.9791289968322743E-2</v>
      </c>
      <c r="P16" s="7">
        <f t="shared" si="22"/>
        <v>9.5749547961987286E-2</v>
      </c>
      <c r="Q16" s="7">
        <f t="shared" si="23"/>
        <v>0.10638838662443031</v>
      </c>
      <c r="R16" s="7">
        <f t="shared" si="24"/>
        <v>9.0430128630765771E-2</v>
      </c>
      <c r="S16" s="7"/>
      <c r="T16" s="7">
        <f t="shared" si="7"/>
        <v>0.34722222222222221</v>
      </c>
      <c r="U16" s="7">
        <v>1.1574074074074101E-5</v>
      </c>
      <c r="V16" s="7">
        <f t="shared" si="25"/>
        <v>0.31916515987329097</v>
      </c>
      <c r="W16" s="3">
        <f t="shared" si="5"/>
        <v>0.5568374181775595</v>
      </c>
      <c r="X16" s="112">
        <v>1.2450000000000001</v>
      </c>
      <c r="Y16" s="7"/>
      <c r="Z16" s="138"/>
      <c r="AB16" s="282">
        <v>12</v>
      </c>
      <c r="AC16" s="279">
        <f t="shared" si="9"/>
        <v>0.15352389901399099</v>
      </c>
      <c r="AD16" s="116">
        <f t="shared" si="10"/>
        <v>0.61483558847585684</v>
      </c>
      <c r="AE16" s="279">
        <f t="shared" si="6"/>
        <v>0.1202899920557232</v>
      </c>
      <c r="AF16" s="116">
        <f t="shared" si="11"/>
        <v>0.48219075880005791</v>
      </c>
      <c r="AG16" s="279">
        <f t="shared" si="12"/>
        <v>9.4250356339942179E-2</v>
      </c>
      <c r="AH16" s="116">
        <f t="shared" si="13"/>
        <v>0.37826006390231737</v>
      </c>
    </row>
    <row r="17" spans="1:34" x14ac:dyDescent="0.25">
      <c r="A17">
        <v>13</v>
      </c>
      <c r="B17" s="7">
        <f t="shared" si="14"/>
        <v>9.8357822793466249E-2</v>
      </c>
      <c r="C17" s="7">
        <f t="shared" si="15"/>
        <v>0.1967156455869325</v>
      </c>
      <c r="D17" s="7">
        <f t="shared" si="16"/>
        <v>0.65571881862310832</v>
      </c>
      <c r="E17" s="7">
        <f>E16*$X17</f>
        <v>0.65571881862310832</v>
      </c>
      <c r="F17" s="7"/>
      <c r="G17" s="7"/>
      <c r="H17" s="7">
        <f t="shared" si="17"/>
        <v>1.4425814009708382</v>
      </c>
      <c r="I17" s="7"/>
      <c r="J17" s="7">
        <f t="shared" si="18"/>
        <v>0.65571881862310832</v>
      </c>
      <c r="K17" s="7"/>
      <c r="L17" s="7"/>
      <c r="M17" s="7">
        <f t="shared" si="19"/>
        <v>0.29507346838039872</v>
      </c>
      <c r="N17" s="7">
        <f t="shared" si="20"/>
        <v>9.8357822793466249E-2</v>
      </c>
      <c r="O17" s="7">
        <f t="shared" si="21"/>
        <v>9.8357822793466249E-2</v>
      </c>
      <c r="P17" s="7">
        <f t="shared" si="22"/>
        <v>0.11802938735215948</v>
      </c>
      <c r="Q17" s="7">
        <f t="shared" si="23"/>
        <v>0.13114376372462164</v>
      </c>
      <c r="R17" s="7">
        <f t="shared" si="24"/>
        <v>0.1114721991659284</v>
      </c>
      <c r="S17" s="7"/>
      <c r="T17" s="7">
        <f t="shared" si="7"/>
        <v>0.34722222222222221</v>
      </c>
      <c r="U17" s="7">
        <v>1.1574074074074101E-5</v>
      </c>
      <c r="V17" s="7">
        <f t="shared" si="25"/>
        <v>0.39343129117386499</v>
      </c>
      <c r="W17" s="3">
        <f t="shared" si="5"/>
        <v>0.53032135064529462</v>
      </c>
      <c r="X17" s="112">
        <v>1.2326887161808568</v>
      </c>
      <c r="Y17" s="7"/>
      <c r="Z17" s="138"/>
      <c r="AB17" s="282">
        <v>13</v>
      </c>
      <c r="AC17" s="279">
        <f t="shared" si="9"/>
        <v>0.18924717797863608</v>
      </c>
      <c r="AD17" s="116">
        <f t="shared" si="10"/>
        <v>0.80408276645449295</v>
      </c>
      <c r="AE17" s="279">
        <f t="shared" si="6"/>
        <v>0.14828011587657491</v>
      </c>
      <c r="AF17" s="116">
        <f t="shared" si="11"/>
        <v>0.63047087467663276</v>
      </c>
      <c r="AG17" s="279">
        <f t="shared" si="12"/>
        <v>0.11618135075627162</v>
      </c>
      <c r="AH17" s="116">
        <f t="shared" si="13"/>
        <v>0.49444141465858898</v>
      </c>
    </row>
    <row r="18" spans="1:34" x14ac:dyDescent="0.25">
      <c r="A18">
        <v>14</v>
      </c>
      <c r="B18" s="7">
        <f t="shared" si="14"/>
        <v>0.12046406774433892</v>
      </c>
      <c r="C18" s="7">
        <f t="shared" si="15"/>
        <v>0.24092813548867784</v>
      </c>
      <c r="D18" s="7">
        <f t="shared" si="16"/>
        <v>0.80309378496225947</v>
      </c>
      <c r="E18" s="7">
        <f>E17*$X18</f>
        <v>0.80309378496225947</v>
      </c>
      <c r="F18" s="7"/>
      <c r="G18" s="7"/>
      <c r="H18" s="7">
        <f t="shared" si="17"/>
        <v>1.7668063269169707</v>
      </c>
      <c r="I18" s="7"/>
      <c r="J18" s="7">
        <f t="shared" si="18"/>
        <v>0.80309378496225947</v>
      </c>
      <c r="K18" s="7"/>
      <c r="L18" s="7"/>
      <c r="M18" s="7">
        <f t="shared" si="19"/>
        <v>0.36139220323301674</v>
      </c>
      <c r="N18" s="7">
        <f t="shared" si="20"/>
        <v>0.12046406774433892</v>
      </c>
      <c r="O18" s="7">
        <f t="shared" si="21"/>
        <v>0.12046406774433892</v>
      </c>
      <c r="P18" s="7">
        <f t="shared" si="22"/>
        <v>0.14455688129320668</v>
      </c>
      <c r="Q18" s="7">
        <f t="shared" si="23"/>
        <v>0.16061875699245184</v>
      </c>
      <c r="R18" s="7">
        <f t="shared" si="24"/>
        <v>0.1365259434435841</v>
      </c>
      <c r="S18" s="7"/>
      <c r="T18" s="7">
        <f t="shared" si="7"/>
        <v>0.34722222222222221</v>
      </c>
      <c r="U18" s="7">
        <v>1.1574074074074101E-5</v>
      </c>
      <c r="V18" s="7">
        <f t="shared" si="25"/>
        <v>0.48185627097735567</v>
      </c>
      <c r="W18" s="3">
        <f t="shared" si="5"/>
        <v>0.50506795299551888</v>
      </c>
      <c r="X18" s="112">
        <v>1.2247532969217081</v>
      </c>
      <c r="Y18" s="7"/>
      <c r="Z18" s="138"/>
      <c r="AB18" s="282">
        <v>14</v>
      </c>
      <c r="AC18" s="279">
        <f t="shared" si="9"/>
        <v>0.23178110516246381</v>
      </c>
      <c r="AD18" s="116">
        <f t="shared" si="10"/>
        <v>1.0358638716169568</v>
      </c>
      <c r="AE18" s="279">
        <f t="shared" si="6"/>
        <v>0.18160656078776805</v>
      </c>
      <c r="AF18" s="116">
        <f t="shared" si="11"/>
        <v>0.81207743546440081</v>
      </c>
      <c r="AG18" s="279">
        <f t="shared" si="12"/>
        <v>0.14229349237956104</v>
      </c>
      <c r="AH18" s="116">
        <f t="shared" si="13"/>
        <v>0.63673490703815006</v>
      </c>
    </row>
    <row r="19" spans="1:34" x14ac:dyDescent="0.25">
      <c r="A19">
        <v>15</v>
      </c>
      <c r="B19" s="7">
        <f t="shared" si="14"/>
        <v>0.146730451960222</v>
      </c>
      <c r="C19" s="7">
        <f t="shared" si="15"/>
        <v>0.29346090392044399</v>
      </c>
      <c r="D19" s="7">
        <f t="shared" si="16"/>
        <v>0.97820301306814661</v>
      </c>
      <c r="E19" s="7">
        <f>E18*$X19</f>
        <v>0.97820301306814661</v>
      </c>
      <c r="F19" s="7"/>
      <c r="G19" s="7"/>
      <c r="H19" s="7">
        <f t="shared" si="17"/>
        <v>2.1520466287499223</v>
      </c>
      <c r="I19" s="7"/>
      <c r="J19" s="7">
        <f t="shared" si="18"/>
        <v>0.97820301306814661</v>
      </c>
      <c r="K19" s="7"/>
      <c r="L19" s="7"/>
      <c r="M19" s="7">
        <f t="shared" si="19"/>
        <v>0.44019135588066594</v>
      </c>
      <c r="N19" s="7">
        <f t="shared" si="20"/>
        <v>0.146730451960222</v>
      </c>
      <c r="O19" s="7">
        <f t="shared" si="21"/>
        <v>0.146730451960222</v>
      </c>
      <c r="P19" s="7">
        <f t="shared" si="22"/>
        <v>0.17607654235226636</v>
      </c>
      <c r="Q19" s="7">
        <f t="shared" si="23"/>
        <v>0.19564060261362926</v>
      </c>
      <c r="R19" s="7">
        <f t="shared" si="24"/>
        <v>0.16629451222158489</v>
      </c>
      <c r="S19" s="7"/>
      <c r="T19" s="7">
        <f t="shared" si="7"/>
        <v>0.34722222222222221</v>
      </c>
      <c r="U19" s="7">
        <v>1.1574074074074101E-5</v>
      </c>
      <c r="V19" s="7">
        <f t="shared" si="25"/>
        <v>0.58692180784088799</v>
      </c>
      <c r="W19" s="3">
        <f t="shared" si="5"/>
        <v>0.48101709809097021</v>
      </c>
      <c r="X19" s="112">
        <v>1.2180433112355815</v>
      </c>
      <c r="Y19" s="7"/>
      <c r="Z19" s="138"/>
      <c r="AB19" s="282">
        <v>15</v>
      </c>
      <c r="AC19" s="279">
        <f t="shared" si="9"/>
        <v>0.28231942481392996</v>
      </c>
      <c r="AD19" s="116">
        <f t="shared" si="10"/>
        <v>1.3181832964308868</v>
      </c>
      <c r="AE19" s="279">
        <f t="shared" si="6"/>
        <v>0.22120465664403891</v>
      </c>
      <c r="AF19" s="116">
        <f t="shared" si="11"/>
        <v>1.0332820921084398</v>
      </c>
      <c r="AG19" s="279">
        <f t="shared" si="12"/>
        <v>0.17331963662527552</v>
      </c>
      <c r="AH19" s="116">
        <f t="shared" si="13"/>
        <v>0.81005454366342555</v>
      </c>
    </row>
    <row r="20" spans="1:34" x14ac:dyDescent="0.25">
      <c r="A20">
        <v>16</v>
      </c>
      <c r="B20" s="7">
        <f t="shared" si="14"/>
        <v>0.17799565486285857</v>
      </c>
      <c r="C20" s="7">
        <f t="shared" si="15"/>
        <v>0.35599130972571713</v>
      </c>
      <c r="D20" s="7">
        <f t="shared" si="16"/>
        <v>1.1866376990857237</v>
      </c>
      <c r="E20" s="7"/>
      <c r="F20" s="7"/>
      <c r="G20" s="7"/>
      <c r="H20" s="7">
        <f t="shared" si="17"/>
        <v>2.6106029379885918</v>
      </c>
      <c r="I20" s="7"/>
      <c r="J20" s="7">
        <f t="shared" si="18"/>
        <v>1.1866376990857237</v>
      </c>
      <c r="K20" s="7"/>
      <c r="L20" s="7"/>
      <c r="M20" s="7">
        <f t="shared" si="19"/>
        <v>0.53398696458857564</v>
      </c>
      <c r="N20" s="7">
        <f t="shared" si="20"/>
        <v>0.17799565486285857</v>
      </c>
      <c r="O20" s="7">
        <f t="shared" si="21"/>
        <v>0.17799565486285857</v>
      </c>
      <c r="P20" s="7">
        <f t="shared" si="22"/>
        <v>0.21359478583543023</v>
      </c>
      <c r="Q20" s="7">
        <f t="shared" si="23"/>
        <v>0.23732753981714466</v>
      </c>
      <c r="R20" s="7">
        <f t="shared" si="24"/>
        <v>0.20172840884457299</v>
      </c>
      <c r="S20" s="7"/>
      <c r="T20" s="7">
        <f t="shared" si="7"/>
        <v>0.34722222222222221</v>
      </c>
      <c r="U20" s="7">
        <v>1.1574074074074101E-5</v>
      </c>
      <c r="V20" s="7">
        <f t="shared" si="25"/>
        <v>0.71198261945143426</v>
      </c>
      <c r="W20" s="3">
        <f t="shared" si="5"/>
        <v>0.45811152199140021</v>
      </c>
      <c r="X20" s="112">
        <v>1.2130791698993229</v>
      </c>
      <c r="Y20" s="7"/>
      <c r="Z20" s="138"/>
      <c r="AB20" s="282">
        <v>16</v>
      </c>
      <c r="AC20" s="279">
        <f t="shared" si="9"/>
        <v>0.34247581349973649</v>
      </c>
      <c r="AD20" s="116">
        <f t="shared" si="10"/>
        <v>1.6606591099306234</v>
      </c>
      <c r="AE20" s="279">
        <f t="shared" si="6"/>
        <v>0.26833876125961542</v>
      </c>
      <c r="AF20" s="116">
        <f t="shared" si="11"/>
        <v>1.3016208533680551</v>
      </c>
      <c r="AG20" s="279">
        <f t="shared" si="12"/>
        <v>0.21025044092464151</v>
      </c>
      <c r="AH20" s="116">
        <f t="shared" si="13"/>
        <v>1.020304984588067</v>
      </c>
    </row>
    <row r="21" spans="1:34" x14ac:dyDescent="0.25">
      <c r="A21">
        <v>17</v>
      </c>
      <c r="B21" s="7">
        <f t="shared" si="14"/>
        <v>0.21514945192467319</v>
      </c>
      <c r="C21" s="7">
        <f t="shared" si="15"/>
        <v>0.43029890384934638</v>
      </c>
      <c r="D21" s="7">
        <f t="shared" si="16"/>
        <v>1.4343296794978211</v>
      </c>
      <c r="E21" s="7"/>
      <c r="F21" s="7"/>
      <c r="G21" s="7"/>
      <c r="H21" s="7">
        <f t="shared" si="17"/>
        <v>3.1555252948952059</v>
      </c>
      <c r="I21" s="7"/>
      <c r="J21" s="7">
        <f t="shared" si="18"/>
        <v>1.4343296794978211</v>
      </c>
      <c r="K21" s="7"/>
      <c r="L21" s="7"/>
      <c r="M21" s="7">
        <f t="shared" si="19"/>
        <v>0.64544835577401949</v>
      </c>
      <c r="N21" s="7">
        <f t="shared" si="20"/>
        <v>0.21514945192467319</v>
      </c>
      <c r="O21" s="7">
        <f t="shared" si="21"/>
        <v>0.21514945192467319</v>
      </c>
      <c r="P21" s="7">
        <f t="shared" si="22"/>
        <v>0.25817934230960776</v>
      </c>
      <c r="Q21" s="7">
        <f t="shared" si="23"/>
        <v>0.28686593589956411</v>
      </c>
      <c r="R21" s="7">
        <f t="shared" si="24"/>
        <v>0.24383604551462953</v>
      </c>
      <c r="S21" s="7"/>
      <c r="T21" s="7">
        <f t="shared" si="7"/>
        <v>0.34722222222222221</v>
      </c>
      <c r="U21" s="7">
        <v>1.1574074074074101E-5</v>
      </c>
      <c r="V21" s="7">
        <f t="shared" si="25"/>
        <v>0.86059780769869276</v>
      </c>
      <c r="W21" s="3">
        <f t="shared" si="5"/>
        <v>0.43629668761085727</v>
      </c>
      <c r="X21" s="112">
        <v>1.2087342923648374</v>
      </c>
      <c r="Y21" s="7"/>
      <c r="Z21" s="138"/>
      <c r="AB21" s="282">
        <v>17</v>
      </c>
      <c r="AC21" s="279">
        <f t="shared" si="9"/>
        <v>0.413962260082676</v>
      </c>
      <c r="AD21" s="116">
        <f t="shared" si="10"/>
        <v>2.0746213700132996</v>
      </c>
      <c r="AE21" s="279">
        <f t="shared" si="6"/>
        <v>0.32435026270519834</v>
      </c>
      <c r="AF21" s="116">
        <f t="shared" si="11"/>
        <v>1.6259711160732535</v>
      </c>
      <c r="AG21" s="279">
        <f t="shared" si="12"/>
        <v>0.25413691793044163</v>
      </c>
      <c r="AH21" s="116">
        <f t="shared" si="13"/>
        <v>1.2744419025185085</v>
      </c>
    </row>
    <row r="22" spans="1:34" x14ac:dyDescent="0.25">
      <c r="A22">
        <v>18</v>
      </c>
      <c r="B22" s="7">
        <f t="shared" si="14"/>
        <v>0.25935934262969196</v>
      </c>
      <c r="C22" s="7">
        <f t="shared" si="15"/>
        <v>0.51871868525938392</v>
      </c>
      <c r="D22" s="7">
        <f t="shared" si="16"/>
        <v>1.7290622841979464</v>
      </c>
      <c r="E22" s="7"/>
      <c r="F22" s="7"/>
      <c r="G22" s="7"/>
      <c r="H22" s="7">
        <f t="shared" si="17"/>
        <v>3.8039370252354812</v>
      </c>
      <c r="I22" s="7"/>
      <c r="J22" s="7">
        <f t="shared" si="18"/>
        <v>1.7290622841979464</v>
      </c>
      <c r="K22" s="7"/>
      <c r="L22" s="7"/>
      <c r="M22" s="7">
        <f t="shared" si="19"/>
        <v>0.77807802788907587</v>
      </c>
      <c r="N22" s="7">
        <f t="shared" si="20"/>
        <v>0.25935934262969196</v>
      </c>
      <c r="O22" s="7">
        <f t="shared" si="21"/>
        <v>0.25935934262969196</v>
      </c>
      <c r="P22" s="7">
        <f t="shared" si="22"/>
        <v>0.31123121115563029</v>
      </c>
      <c r="Q22" s="7">
        <f t="shared" si="23"/>
        <v>0.34581245683958911</v>
      </c>
      <c r="R22" s="7">
        <f t="shared" si="24"/>
        <v>0.29394058831365083</v>
      </c>
      <c r="S22" s="7"/>
      <c r="T22" s="7">
        <f t="shared" si="7"/>
        <v>0.34722222222222221</v>
      </c>
      <c r="U22" s="7">
        <v>1.1574074074074101E-5</v>
      </c>
      <c r="V22" s="7">
        <f t="shared" si="25"/>
        <v>1.0374373705187678</v>
      </c>
      <c r="W22" s="3">
        <f t="shared" si="5"/>
        <v>0.41552065486748313</v>
      </c>
      <c r="X22" s="112">
        <v>1.2054845611249676</v>
      </c>
      <c r="Y22" s="7"/>
      <c r="Z22" s="138"/>
      <c r="AB22" s="282">
        <v>18</v>
      </c>
      <c r="AC22" s="279">
        <f t="shared" si="9"/>
        <v>0.49902511341806433</v>
      </c>
      <c r="AD22" s="116">
        <f t="shared" si="10"/>
        <v>2.5736464834313639</v>
      </c>
      <c r="AE22" s="279">
        <f t="shared" si="6"/>
        <v>0.39099923408794396</v>
      </c>
      <c r="AF22" s="116">
        <f t="shared" si="11"/>
        <v>2.0169703501611975</v>
      </c>
      <c r="AG22" s="279">
        <f t="shared" si="12"/>
        <v>0.3063581309770303</v>
      </c>
      <c r="AH22" s="116">
        <f t="shared" si="13"/>
        <v>1.5808000334955388</v>
      </c>
    </row>
    <row r="23" spans="1:34" x14ac:dyDescent="0.25">
      <c r="A23">
        <v>19</v>
      </c>
      <c r="B23" s="7">
        <f t="shared" si="14"/>
        <v>0.31189595360954719</v>
      </c>
      <c r="C23" s="7">
        <f t="shared" si="15"/>
        <v>0.62379190721909439</v>
      </c>
      <c r="D23" s="7">
        <f t="shared" si="16"/>
        <v>2.0793063573969812</v>
      </c>
      <c r="E23" s="7"/>
      <c r="F23" s="7"/>
      <c r="G23" s="7"/>
      <c r="H23" s="7">
        <f t="shared" si="17"/>
        <v>4.5744739862733574</v>
      </c>
      <c r="I23" s="7"/>
      <c r="J23" s="7">
        <f t="shared" si="18"/>
        <v>2.0793063573969812</v>
      </c>
      <c r="K23" s="7"/>
      <c r="L23" s="7"/>
      <c r="M23" s="7">
        <f t="shared" si="19"/>
        <v>0.93568786082864153</v>
      </c>
      <c r="N23" s="7">
        <f t="shared" si="20"/>
        <v>0.31189595360954719</v>
      </c>
      <c r="O23" s="7">
        <f t="shared" si="21"/>
        <v>0.31189595360954719</v>
      </c>
      <c r="P23" s="7">
        <f t="shared" si="22"/>
        <v>0.37427514433145653</v>
      </c>
      <c r="Q23" s="7">
        <f t="shared" si="23"/>
        <v>0.415861271479396</v>
      </c>
      <c r="R23" s="7">
        <f t="shared" si="24"/>
        <v>0.35348208075748672</v>
      </c>
      <c r="S23" s="7"/>
      <c r="T23" s="7">
        <f t="shared" si="7"/>
        <v>0.34722222222222221</v>
      </c>
      <c r="U23" s="7">
        <v>1.1574074074074101E-5</v>
      </c>
      <c r="V23" s="7">
        <f t="shared" si="25"/>
        <v>1.2475838144381888</v>
      </c>
      <c r="W23" s="3">
        <f t="shared" si="5"/>
        <v>0.39573395701665059</v>
      </c>
      <c r="X23" s="112">
        <v>1.2025630171914259</v>
      </c>
      <c r="Y23" s="7"/>
      <c r="Z23" s="138"/>
      <c r="AB23" s="282">
        <v>19</v>
      </c>
      <c r="AC23" s="279">
        <f t="shared" si="9"/>
        <v>0.60010914604632104</v>
      </c>
      <c r="AD23" s="116">
        <f t="shared" si="10"/>
        <v>3.173755629477685</v>
      </c>
      <c r="AE23" s="279">
        <f t="shared" si="6"/>
        <v>0.47020121866433451</v>
      </c>
      <c r="AF23" s="116">
        <f t="shared" si="11"/>
        <v>2.487171568825532</v>
      </c>
      <c r="AG23" s="279">
        <f t="shared" si="12"/>
        <v>0.36841495832886362</v>
      </c>
      <c r="AH23" s="116">
        <f t="shared" si="13"/>
        <v>1.9492149918244024</v>
      </c>
    </row>
    <row r="24" spans="1:34" ht="15.75" thickBot="1" x14ac:dyDescent="0.3">
      <c r="A24">
        <v>20</v>
      </c>
      <c r="B24" s="7">
        <f t="shared" si="14"/>
        <v>0.37431618327272109</v>
      </c>
      <c r="C24" s="7">
        <f t="shared" si="15"/>
        <v>0.74863236654544218</v>
      </c>
      <c r="D24" s="7">
        <f t="shared" si="16"/>
        <v>2.4954412218181403</v>
      </c>
      <c r="E24" s="7"/>
      <c r="F24" s="7"/>
      <c r="G24" s="7"/>
      <c r="H24" s="7">
        <f t="shared" si="17"/>
        <v>5.4899706879999073</v>
      </c>
      <c r="I24" s="7"/>
      <c r="J24" s="7">
        <f t="shared" si="18"/>
        <v>2.4954412218181403</v>
      </c>
      <c r="K24" s="7"/>
      <c r="L24" s="7"/>
      <c r="M24" s="7">
        <f t="shared" si="19"/>
        <v>1.1229485498181633</v>
      </c>
      <c r="N24" s="7">
        <f t="shared" si="20"/>
        <v>0.37431618327272109</v>
      </c>
      <c r="O24" s="7">
        <f t="shared" si="21"/>
        <v>0.37431618327272109</v>
      </c>
      <c r="P24" s="7">
        <f t="shared" si="22"/>
        <v>0.44917941992726518</v>
      </c>
      <c r="Q24" s="7">
        <f t="shared" si="23"/>
        <v>0.49908824436362781</v>
      </c>
      <c r="R24" s="7">
        <f t="shared" si="24"/>
        <v>0.42422500770908378</v>
      </c>
      <c r="S24" s="7"/>
      <c r="T24" s="7">
        <f t="shared" si="7"/>
        <v>0.34722222222222221</v>
      </c>
      <c r="U24" s="7">
        <v>1.1574074074074101E-5</v>
      </c>
      <c r="V24" s="7">
        <f t="shared" si="25"/>
        <v>1.4972647330908844</v>
      </c>
      <c r="W24" s="3">
        <f t="shared" si="5"/>
        <v>0.37688948287300061</v>
      </c>
      <c r="X24" s="112">
        <v>1.2001315789473685</v>
      </c>
      <c r="Y24" s="7"/>
      <c r="Z24" s="138"/>
      <c r="AB24" s="283">
        <v>20</v>
      </c>
      <c r="AC24" s="280">
        <f t="shared" si="9"/>
        <v>0.7202099369853282</v>
      </c>
      <c r="AD24" s="117">
        <f t="shared" si="10"/>
        <v>3.8939655664630131</v>
      </c>
      <c r="AE24" s="280">
        <f t="shared" si="6"/>
        <v>0.56430333097860474</v>
      </c>
      <c r="AF24" s="117">
        <f t="shared" si="11"/>
        <v>3.0514748998041368</v>
      </c>
      <c r="AG24" s="280">
        <f t="shared" si="12"/>
        <v>0.44214642564704809</v>
      </c>
      <c r="AH24" s="117">
        <f t="shared" si="13"/>
        <v>2.3913614174714506</v>
      </c>
    </row>
    <row r="25" spans="1:34" x14ac:dyDescent="0.25">
      <c r="A25">
        <v>21</v>
      </c>
      <c r="B25" s="7">
        <f t="shared" si="14"/>
        <v>0.44853305660235077</v>
      </c>
      <c r="C25" s="7">
        <f t="shared" si="15"/>
        <v>0.89706611320470153</v>
      </c>
      <c r="D25" s="7"/>
      <c r="E25" s="7"/>
      <c r="F25" s="7"/>
      <c r="G25" s="7"/>
      <c r="H25" s="7"/>
      <c r="I25" s="7"/>
      <c r="J25" s="7"/>
      <c r="K25" s="7"/>
      <c r="L25" s="7"/>
      <c r="M25" s="7">
        <f t="shared" si="19"/>
        <v>1.3455991698070522</v>
      </c>
      <c r="N25" s="7">
        <f t="shared" si="20"/>
        <v>0.44853305660235077</v>
      </c>
      <c r="O25" s="7">
        <f t="shared" si="21"/>
        <v>0.44853305660235077</v>
      </c>
      <c r="P25" s="7">
        <f t="shared" si="22"/>
        <v>0.53823966792282074</v>
      </c>
      <c r="Q25" s="7">
        <f t="shared" si="23"/>
        <v>0.59804407546980065</v>
      </c>
      <c r="R25" s="7">
        <f t="shared" si="24"/>
        <v>0.50833746414933068</v>
      </c>
      <c r="S25" s="7"/>
      <c r="T25" s="7">
        <f t="shared" si="7"/>
        <v>0.34722222222222221</v>
      </c>
      <c r="U25" s="7">
        <v>1.1574074074074101E-5</v>
      </c>
      <c r="V25" s="7"/>
      <c r="W25" s="3">
        <f t="shared" si="5"/>
        <v>0.35894236464095297</v>
      </c>
      <c r="X25" s="112">
        <v>1.1982732156561779</v>
      </c>
      <c r="Y25" s="7"/>
      <c r="Z25" s="138"/>
    </row>
    <row r="26" spans="1:34" x14ac:dyDescent="0.25">
      <c r="A26">
        <v>22</v>
      </c>
      <c r="B26" s="7">
        <f t="shared" si="14"/>
        <v>0.53657867698055306</v>
      </c>
      <c r="C26" s="7">
        <f t="shared" si="15"/>
        <v>1.0731573539611061</v>
      </c>
      <c r="D26" s="7"/>
      <c r="E26" s="7"/>
      <c r="F26" s="7"/>
      <c r="G26" s="7"/>
      <c r="H26" s="7"/>
      <c r="I26" s="7"/>
      <c r="J26" s="7"/>
      <c r="K26" s="7"/>
      <c r="L26" s="7"/>
      <c r="M26" s="7">
        <f t="shared" si="19"/>
        <v>1.6097360309416591</v>
      </c>
      <c r="N26" s="7">
        <f t="shared" si="20"/>
        <v>0.53657867698055306</v>
      </c>
      <c r="O26" s="7">
        <f t="shared" si="21"/>
        <v>0.53657867698055306</v>
      </c>
      <c r="P26" s="7">
        <f t="shared" si="22"/>
        <v>0.64389441237666345</v>
      </c>
      <c r="Q26" s="7">
        <f t="shared" si="23"/>
        <v>0.7154382359740703</v>
      </c>
      <c r="R26" s="7">
        <f t="shared" si="24"/>
        <v>0.60812250057795991</v>
      </c>
      <c r="S26" s="7"/>
      <c r="T26" s="7">
        <f t="shared" si="7"/>
        <v>0.34722222222222221</v>
      </c>
      <c r="U26" s="7">
        <v>1.1574074074074101E-5</v>
      </c>
      <c r="V26" s="7"/>
      <c r="W26" s="3">
        <f t="shared" si="5"/>
        <v>0.3418498710866219</v>
      </c>
      <c r="X26" s="112">
        <v>1.1962968371721587</v>
      </c>
      <c r="Y26" s="7"/>
      <c r="Z26" s="138"/>
    </row>
    <row r="27" spans="1:34" x14ac:dyDescent="0.25">
      <c r="A27">
        <v>23</v>
      </c>
      <c r="B27" s="7">
        <f t="shared" si="14"/>
        <v>0.64116293909787636</v>
      </c>
      <c r="C27" s="7">
        <f t="shared" si="15"/>
        <v>1.2823258781957527</v>
      </c>
      <c r="D27" s="7"/>
      <c r="E27" s="7"/>
      <c r="F27" s="7"/>
      <c r="G27" s="7"/>
      <c r="H27" s="7"/>
      <c r="I27" s="7"/>
      <c r="J27" s="7"/>
      <c r="K27" s="7"/>
      <c r="L27" s="7"/>
      <c r="M27" s="7">
        <f t="shared" si="19"/>
        <v>1.9234888172936289</v>
      </c>
      <c r="N27" s="7">
        <f t="shared" si="20"/>
        <v>0.64116293909787636</v>
      </c>
      <c r="O27" s="7">
        <f t="shared" si="21"/>
        <v>0.64116293909787636</v>
      </c>
      <c r="P27" s="7">
        <f t="shared" si="22"/>
        <v>0.76939552691745128</v>
      </c>
      <c r="Q27" s="7">
        <f t="shared" si="23"/>
        <v>0.85488391879716785</v>
      </c>
      <c r="R27" s="7">
        <f t="shared" si="24"/>
        <v>0.72665133097759294</v>
      </c>
      <c r="S27" s="7"/>
      <c r="T27" s="7">
        <f t="shared" si="7"/>
        <v>0.34722222222222221</v>
      </c>
      <c r="U27" s="7">
        <v>1.1574074074074101E-5</v>
      </c>
      <c r="V27" s="7"/>
      <c r="W27" s="3">
        <f t="shared" si="5"/>
        <v>0.32557130579678267</v>
      </c>
      <c r="X27" s="112">
        <v>1.1949094636146222</v>
      </c>
      <c r="Y27" s="7"/>
      <c r="Z27" s="138"/>
    </row>
    <row r="28" spans="1:34" x14ac:dyDescent="0.25">
      <c r="A28">
        <v>24</v>
      </c>
      <c r="B28" s="7">
        <f t="shared" si="14"/>
        <v>0.76529212993731421</v>
      </c>
      <c r="C28" s="7">
        <f t="shared" si="15"/>
        <v>1.5305842598746284</v>
      </c>
      <c r="D28" s="7"/>
      <c r="E28" s="7"/>
      <c r="F28" s="7"/>
      <c r="G28" s="7"/>
      <c r="H28" s="7"/>
      <c r="I28" s="7"/>
      <c r="J28" s="7"/>
      <c r="K28" s="7"/>
      <c r="L28" s="7"/>
      <c r="M28" s="7">
        <f t="shared" si="19"/>
        <v>2.2958763898119421</v>
      </c>
      <c r="N28" s="7">
        <f t="shared" si="20"/>
        <v>0.76529212993731421</v>
      </c>
      <c r="O28" s="7">
        <f t="shared" si="21"/>
        <v>0.76529212993731421</v>
      </c>
      <c r="P28" s="7">
        <f t="shared" si="22"/>
        <v>0.91835055592477655</v>
      </c>
      <c r="Q28" s="7">
        <f t="shared" si="23"/>
        <v>1.0203895065830848</v>
      </c>
      <c r="R28" s="7">
        <f t="shared" si="24"/>
        <v>0.86733108059562236</v>
      </c>
      <c r="S28" s="7"/>
      <c r="T28" s="7">
        <f t="shared" si="7"/>
        <v>0.34722222222222221</v>
      </c>
      <c r="U28" s="7">
        <v>1.1574074074074101E-5</v>
      </c>
      <c r="V28" s="7"/>
      <c r="W28" s="3">
        <f t="shared" si="5"/>
        <v>0.31006791028265024</v>
      </c>
      <c r="X28" s="112">
        <v>1.1936000714796289</v>
      </c>
      <c r="Y28" s="7"/>
      <c r="Z28" s="138"/>
    </row>
    <row r="29" spans="1:34" x14ac:dyDescent="0.25">
      <c r="A29">
        <v>25</v>
      </c>
      <c r="B29" s="7">
        <f t="shared" si="14"/>
        <v>0.9126358761482084</v>
      </c>
      <c r="C29" s="7">
        <f t="shared" si="15"/>
        <v>1.8252717522964168</v>
      </c>
      <c r="D29" s="7"/>
      <c r="E29" s="7"/>
      <c r="F29" s="7"/>
      <c r="G29" s="7"/>
      <c r="H29" s="7"/>
      <c r="I29" s="7"/>
      <c r="J29" s="7"/>
      <c r="K29" s="7"/>
      <c r="L29" s="7"/>
      <c r="M29" s="7">
        <f t="shared" si="19"/>
        <v>2.7379076284446247</v>
      </c>
      <c r="N29" s="7">
        <f t="shared" si="20"/>
        <v>0.9126358761482084</v>
      </c>
      <c r="O29" s="7">
        <f t="shared" si="21"/>
        <v>0.9126358761482084</v>
      </c>
      <c r="P29" s="7">
        <f t="shared" si="22"/>
        <v>1.0951630513778494</v>
      </c>
      <c r="Q29" s="7">
        <f t="shared" si="23"/>
        <v>1.2168478348642768</v>
      </c>
      <c r="R29" s="7">
        <f t="shared" si="24"/>
        <v>1.0343206596346357</v>
      </c>
      <c r="S29" s="7"/>
      <c r="T29" s="7">
        <f t="shared" si="7"/>
        <v>0.34722222222222221</v>
      </c>
      <c r="U29" s="7">
        <v>1.1574074074074101E-5</v>
      </c>
      <c r="V29" s="7"/>
      <c r="W29" s="3">
        <f t="shared" si="5"/>
        <v>0.29530277169776209</v>
      </c>
      <c r="X29" s="112">
        <v>1.1925326818962103</v>
      </c>
      <c r="Y29" s="7"/>
      <c r="Z29" s="138"/>
    </row>
    <row r="30" spans="1:34" x14ac:dyDescent="0.25">
      <c r="A30">
        <v>26</v>
      </c>
      <c r="B30" s="7">
        <f t="shared" si="14"/>
        <v>1.0875881736058199</v>
      </c>
      <c r="C30" s="7"/>
      <c r="D30" s="7"/>
      <c r="E30" s="7"/>
      <c r="F30" s="7"/>
      <c r="G30" s="7"/>
      <c r="H30" s="7"/>
      <c r="I30" s="7"/>
      <c r="J30" s="7"/>
      <c r="K30" s="7"/>
      <c r="L30" s="7"/>
      <c r="M30" s="7"/>
      <c r="N30" s="7">
        <f>N29*$X30</f>
        <v>1.0875881736058199</v>
      </c>
      <c r="O30" s="7">
        <f>O29*$X30</f>
        <v>1.0875881736058199</v>
      </c>
      <c r="P30" s="7">
        <f>P29*$X30</f>
        <v>1.3051058083269831</v>
      </c>
      <c r="Q30" s="7">
        <f>Q29*$X30</f>
        <v>1.4501175648077587</v>
      </c>
      <c r="R30" s="7">
        <f>R29*$X30</f>
        <v>1.2325999300865953</v>
      </c>
      <c r="S30" s="7"/>
      <c r="T30" s="7">
        <f t="shared" si="7"/>
        <v>0.34722222222222221</v>
      </c>
      <c r="U30" s="7">
        <v>1.1574074074074101E-5</v>
      </c>
      <c r="V30" s="7"/>
      <c r="W30" s="3">
        <f t="shared" si="5"/>
        <v>0.28124073495024959</v>
      </c>
      <c r="X30" s="112">
        <v>1.1917</v>
      </c>
      <c r="Y30" s="7"/>
      <c r="Z30" s="138"/>
    </row>
    <row r="31" spans="1:34" x14ac:dyDescent="0.25">
      <c r="A31">
        <v>27</v>
      </c>
      <c r="B31" s="7">
        <f t="shared" si="14"/>
        <v>1.295208755947171</v>
      </c>
      <c r="C31" s="7"/>
      <c r="D31" s="7"/>
      <c r="E31" s="7"/>
      <c r="F31" s="7"/>
      <c r="G31" s="7"/>
      <c r="H31" s="7"/>
      <c r="I31" s="7"/>
      <c r="J31" s="7"/>
      <c r="K31" s="7"/>
      <c r="L31" s="7"/>
      <c r="M31" s="7"/>
      <c r="N31" s="7">
        <f t="shared" ref="N31:R34" si="26">N30*$X31</f>
        <v>1.295208755947171</v>
      </c>
      <c r="O31" s="7">
        <f t="shared" si="26"/>
        <v>1.295208755947171</v>
      </c>
      <c r="P31" s="7">
        <f t="shared" si="26"/>
        <v>1.5542505071366042</v>
      </c>
      <c r="Q31" s="7">
        <f t="shared" si="26"/>
        <v>1.7269450079295598</v>
      </c>
      <c r="R31" s="7">
        <f t="shared" si="26"/>
        <v>1.4679032567401264</v>
      </c>
      <c r="S31" s="7"/>
      <c r="T31" s="7">
        <f t="shared" si="7"/>
        <v>0.34722222222222221</v>
      </c>
      <c r="U31" s="7">
        <v>1.1574074074074101E-5</v>
      </c>
      <c r="V31" s="7"/>
      <c r="W31" s="3">
        <f t="shared" si="5"/>
        <v>0.2678483190002377</v>
      </c>
      <c r="X31" s="112">
        <v>1.1909000000000001</v>
      </c>
      <c r="Y31" s="7"/>
      <c r="Z31" s="138"/>
    </row>
    <row r="32" spans="1:34" x14ac:dyDescent="0.25">
      <c r="A32">
        <v>28</v>
      </c>
      <c r="B32" s="7">
        <f t="shared" si="14"/>
        <v>1.5401974921345782</v>
      </c>
      <c r="C32" s="7"/>
      <c r="D32" s="7"/>
      <c r="E32" s="7"/>
      <c r="F32" s="7"/>
      <c r="G32" s="7"/>
      <c r="H32" s="7"/>
      <c r="I32" s="7"/>
      <c r="J32" s="7"/>
      <c r="K32" s="7"/>
      <c r="L32" s="7"/>
      <c r="M32" s="7"/>
      <c r="N32" s="7">
        <f t="shared" si="26"/>
        <v>1.5401974921345782</v>
      </c>
      <c r="O32" s="7">
        <f t="shared" si="26"/>
        <v>1.5401974921345782</v>
      </c>
      <c r="P32" s="7">
        <f t="shared" si="26"/>
        <v>1.8482369905614928</v>
      </c>
      <c r="Q32" s="7">
        <f t="shared" si="26"/>
        <v>2.0535966561794359</v>
      </c>
      <c r="R32" s="7">
        <f t="shared" si="26"/>
        <v>1.7455571577525213</v>
      </c>
      <c r="S32" s="7"/>
      <c r="T32" s="7">
        <f t="shared" si="7"/>
        <v>0.34722222222222221</v>
      </c>
      <c r="U32" s="7">
        <v>1.1574074074074101E-5</v>
      </c>
      <c r="V32" s="7"/>
      <c r="W32" s="3">
        <f t="shared" si="5"/>
        <v>0.25509363714308358</v>
      </c>
      <c r="X32" s="112">
        <v>1.1891499999999999</v>
      </c>
      <c r="Y32" s="7"/>
      <c r="Z32" s="138"/>
    </row>
    <row r="33" spans="1:26" x14ac:dyDescent="0.25">
      <c r="A33">
        <v>29</v>
      </c>
      <c r="B33" s="7">
        <f t="shared" si="14"/>
        <v>1.8314451097803164</v>
      </c>
      <c r="C33" s="7"/>
      <c r="D33" s="7"/>
      <c r="E33" s="7"/>
      <c r="F33" s="7"/>
      <c r="G33" s="7"/>
      <c r="H33" s="7"/>
      <c r="I33" s="7"/>
      <c r="J33" s="7"/>
      <c r="K33" s="7"/>
      <c r="L33" s="7"/>
      <c r="M33" s="7"/>
      <c r="N33" s="7">
        <f t="shared" si="26"/>
        <v>1.8314451097803164</v>
      </c>
      <c r="O33" s="7">
        <f t="shared" si="26"/>
        <v>1.8314451097803164</v>
      </c>
      <c r="P33" s="7">
        <f t="shared" si="26"/>
        <v>2.1977341317363783</v>
      </c>
      <c r="Q33" s="7">
        <f t="shared" si="26"/>
        <v>2.4419268130404195</v>
      </c>
      <c r="R33" s="7">
        <f t="shared" si="26"/>
        <v>2.0756377910843575</v>
      </c>
      <c r="S33" s="7"/>
      <c r="T33" s="7">
        <f t="shared" si="7"/>
        <v>0.34722222222222221</v>
      </c>
      <c r="U33" s="7">
        <v>1.1574074074074101E-5</v>
      </c>
      <c r="V33" s="7"/>
      <c r="W33" s="3">
        <f t="shared" si="5"/>
        <v>0.24294632108865097</v>
      </c>
      <c r="X33" s="112">
        <v>1.1890975794552778</v>
      </c>
      <c r="Y33" s="7"/>
      <c r="Z33" s="138"/>
    </row>
    <row r="34" spans="1:26" x14ac:dyDescent="0.25">
      <c r="A34">
        <v>30</v>
      </c>
      <c r="B34" s="7">
        <f t="shared" si="14"/>
        <v>2.1765569536334168</v>
      </c>
      <c r="C34" s="7"/>
      <c r="D34" s="7"/>
      <c r="E34" s="7"/>
      <c r="F34" s="7"/>
      <c r="G34" s="7"/>
      <c r="H34" s="7"/>
      <c r="I34" s="7"/>
      <c r="J34" s="7"/>
      <c r="K34" s="7"/>
      <c r="L34" s="7"/>
      <c r="M34" s="7"/>
      <c r="N34" s="7">
        <f t="shared" si="26"/>
        <v>2.1765569536334168</v>
      </c>
      <c r="O34" s="7">
        <f t="shared" si="26"/>
        <v>2.1765569536334168</v>
      </c>
      <c r="P34" s="7">
        <f t="shared" si="26"/>
        <v>2.6118683443600985</v>
      </c>
      <c r="Q34" s="7">
        <f t="shared" si="26"/>
        <v>2.902075938177886</v>
      </c>
      <c r="R34" s="7">
        <f t="shared" si="26"/>
        <v>2.4667645474512043</v>
      </c>
      <c r="S34" s="7"/>
      <c r="T34" s="7">
        <f t="shared" si="7"/>
        <v>0.34722222222222221</v>
      </c>
      <c r="U34" s="7">
        <v>1.1574074074074101E-5</v>
      </c>
      <c r="V34" s="7"/>
      <c r="W34" s="3">
        <f t="shared" si="5"/>
        <v>0.23137744865585813</v>
      </c>
      <c r="X34" s="112">
        <v>1.188436902645964</v>
      </c>
      <c r="Y34" s="7"/>
      <c r="Z34" s="138"/>
    </row>
    <row r="35" spans="1:26" x14ac:dyDescent="0.25">
      <c r="B35" s="7"/>
      <c r="C35" s="7"/>
      <c r="D35" s="7"/>
      <c r="E35" s="7"/>
      <c r="F35" s="7"/>
      <c r="G35" s="7"/>
      <c r="H35" s="7"/>
      <c r="I35" s="7"/>
      <c r="J35" s="7"/>
      <c r="K35" s="7"/>
      <c r="L35" s="7"/>
      <c r="M35" s="7"/>
      <c r="N35" s="7"/>
      <c r="O35" s="7"/>
      <c r="P35" s="7"/>
      <c r="Q35" s="7"/>
      <c r="R35" s="7"/>
      <c r="S35" s="7"/>
      <c r="T35" s="7"/>
      <c r="U35" s="7"/>
      <c r="V35" s="7"/>
      <c r="X35" s="7"/>
      <c r="Y35" s="7"/>
    </row>
  </sheetData>
  <mergeCells count="3">
    <mergeCell ref="AC3:AD3"/>
    <mergeCell ref="AE3:AF3"/>
    <mergeCell ref="AG3:AH3"/>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3"/>
  <dimension ref="A1:W32"/>
  <sheetViews>
    <sheetView topLeftCell="G1" workbookViewId="0">
      <selection activeCell="T3" sqref="T3"/>
    </sheetView>
  </sheetViews>
  <sheetFormatPr baseColWidth="10" defaultRowHeight="15" x14ac:dyDescent="0.25"/>
  <cols>
    <col min="1" max="259" width="9.140625" customWidth="1"/>
  </cols>
  <sheetData>
    <row r="1" spans="1:23" x14ac:dyDescent="0.25">
      <c r="B1" s="1" t="s">
        <v>0</v>
      </c>
      <c r="C1" s="1" t="s">
        <v>1</v>
      </c>
      <c r="D1" s="1" t="s">
        <v>2</v>
      </c>
      <c r="E1" s="1" t="s">
        <v>3</v>
      </c>
      <c r="F1" s="59" t="s">
        <v>59</v>
      </c>
      <c r="G1" s="59" t="s">
        <v>60</v>
      </c>
      <c r="H1" s="321" t="s">
        <v>64</v>
      </c>
      <c r="I1" s="1" t="s">
        <v>4</v>
      </c>
      <c r="J1" s="1" t="s">
        <v>5</v>
      </c>
      <c r="K1" s="1" t="s">
        <v>6</v>
      </c>
      <c r="L1" s="1" t="s">
        <v>7</v>
      </c>
      <c r="M1" s="1" t="s">
        <v>8</v>
      </c>
      <c r="N1" s="1" t="s">
        <v>9</v>
      </c>
      <c r="O1" s="1" t="s">
        <v>10</v>
      </c>
      <c r="P1" s="1" t="s">
        <v>11</v>
      </c>
      <c r="Q1" s="1" t="s">
        <v>12</v>
      </c>
      <c r="R1" s="1" t="s">
        <v>13</v>
      </c>
      <c r="S1" s="1" t="s">
        <v>14</v>
      </c>
      <c r="T1" s="1" t="s">
        <v>107</v>
      </c>
      <c r="U1" t="str">
        <f>IF('Construction Planner'!$G$2="Goldmünzen","Coin",IF('Construction Planner'!$G$2="Einlagerung","Package","Einstellung wählen"))</f>
        <v>Coin</v>
      </c>
      <c r="V1" s="1" t="s">
        <v>15</v>
      </c>
    </row>
    <row r="2" spans="1:23" x14ac:dyDescent="0.25">
      <c r="A2" s="6" t="s">
        <v>20</v>
      </c>
      <c r="B2" s="1">
        <v>1.26</v>
      </c>
      <c r="C2" s="1">
        <v>1.26</v>
      </c>
      <c r="D2" s="1">
        <v>1.26</v>
      </c>
      <c r="E2" s="1">
        <v>1.26</v>
      </c>
      <c r="F2" s="1">
        <v>1.26</v>
      </c>
      <c r="G2" s="1">
        <v>1.26</v>
      </c>
      <c r="H2" s="1">
        <v>1.17</v>
      </c>
      <c r="I2" s="1">
        <v>2</v>
      </c>
      <c r="J2" s="1">
        <v>1.26</v>
      </c>
      <c r="K2" s="1">
        <v>1.26</v>
      </c>
      <c r="L2" s="1">
        <v>1.26</v>
      </c>
      <c r="M2" s="1">
        <v>1.26</v>
      </c>
      <c r="N2" s="1">
        <v>1.25</v>
      </c>
      <c r="O2" s="1">
        <v>1.27</v>
      </c>
      <c r="P2" s="1">
        <v>1.252</v>
      </c>
      <c r="Q2" s="1">
        <v>1.3</v>
      </c>
      <c r="R2" s="1">
        <v>1.2649999999999999</v>
      </c>
      <c r="S2" s="1">
        <v>1.25</v>
      </c>
      <c r="T2" s="1">
        <v>1</v>
      </c>
      <c r="U2" s="1">
        <v>1</v>
      </c>
      <c r="V2" s="1">
        <v>1.26</v>
      </c>
    </row>
    <row r="3" spans="1:23" x14ac:dyDescent="0.25">
      <c r="A3">
        <v>1</v>
      </c>
      <c r="B3">
        <v>90</v>
      </c>
      <c r="C3">
        <v>200</v>
      </c>
      <c r="D3">
        <v>270</v>
      </c>
      <c r="E3">
        <v>300</v>
      </c>
      <c r="F3">
        <v>160</v>
      </c>
      <c r="G3">
        <v>16000</v>
      </c>
      <c r="H3">
        <v>12000</v>
      </c>
      <c r="I3">
        <v>15000</v>
      </c>
      <c r="J3">
        <v>220</v>
      </c>
      <c r="K3">
        <v>10</v>
      </c>
      <c r="L3">
        <v>220</v>
      </c>
      <c r="M3">
        <v>100</v>
      </c>
      <c r="N3">
        <v>50</v>
      </c>
      <c r="O3">
        <v>65</v>
      </c>
      <c r="P3">
        <v>75</v>
      </c>
      <c r="Q3">
        <v>45</v>
      </c>
      <c r="R3">
        <v>60</v>
      </c>
      <c r="S3">
        <v>50</v>
      </c>
      <c r="T3" t="str">
        <f>IF('Construction Planner'!$G$2="Goldmünzen","40000",IF('Construction Planner'!$G$2="Einlagerung",0,"Einstellung wählen"))</f>
        <v>40000</v>
      </c>
      <c r="U3">
        <v>28000</v>
      </c>
      <c r="V3">
        <v>50</v>
      </c>
      <c r="W3" s="3"/>
    </row>
    <row r="4" spans="1:23" x14ac:dyDescent="0.25">
      <c r="A4">
        <v>2</v>
      </c>
      <c r="B4" s="3">
        <f t="shared" ref="B4:S4" si="0">B3*B$2</f>
        <v>113.4</v>
      </c>
      <c r="C4" s="3">
        <f t="shared" si="0"/>
        <v>252</v>
      </c>
      <c r="D4" s="3">
        <f t="shared" si="0"/>
        <v>340.2</v>
      </c>
      <c r="E4" s="3">
        <f t="shared" si="0"/>
        <v>378</v>
      </c>
      <c r="F4" s="3">
        <f t="shared" si="0"/>
        <v>201.6</v>
      </c>
      <c r="G4" s="3">
        <f t="shared" si="0"/>
        <v>20160</v>
      </c>
      <c r="H4" s="3">
        <f t="shared" si="0"/>
        <v>14040</v>
      </c>
      <c r="I4" s="3">
        <f t="shared" si="0"/>
        <v>30000</v>
      </c>
      <c r="J4" s="3">
        <f t="shared" si="0"/>
        <v>277.2</v>
      </c>
      <c r="K4" s="3">
        <f t="shared" si="0"/>
        <v>12.6</v>
      </c>
      <c r="L4" s="3">
        <f t="shared" si="0"/>
        <v>277.2</v>
      </c>
      <c r="M4" s="3">
        <f t="shared" si="0"/>
        <v>126</v>
      </c>
      <c r="N4" s="3">
        <f t="shared" si="0"/>
        <v>62.5</v>
      </c>
      <c r="O4" s="3">
        <f t="shared" si="0"/>
        <v>82.55</v>
      </c>
      <c r="P4" s="3">
        <f t="shared" si="0"/>
        <v>93.9</v>
      </c>
      <c r="Q4" s="3">
        <f t="shared" si="0"/>
        <v>58.5</v>
      </c>
      <c r="R4" s="3">
        <f t="shared" si="0"/>
        <v>75.899999999999991</v>
      </c>
      <c r="S4" s="3">
        <f t="shared" si="0"/>
        <v>62.5</v>
      </c>
      <c r="T4" t="str">
        <f>IF('Construction Planner'!$G$2="Goldmünzen","40000",IF('Construction Planner'!$G$2="Einlagerung",0,"Einstellung wählen"))</f>
        <v>40000</v>
      </c>
      <c r="U4">
        <v>28000</v>
      </c>
      <c r="V4" s="3">
        <f>V3*V$2</f>
        <v>63</v>
      </c>
      <c r="W4" s="3"/>
    </row>
    <row r="5" spans="1:23" x14ac:dyDescent="0.25">
      <c r="A5">
        <v>3</v>
      </c>
      <c r="B5" s="3">
        <f t="shared" ref="B5:B32" si="1">B4*B$2</f>
        <v>142.88400000000001</v>
      </c>
      <c r="C5" s="3">
        <f t="shared" ref="C5:C32" si="2">C4*C$2</f>
        <v>317.52</v>
      </c>
      <c r="D5" s="3">
        <f t="shared" ref="D5:G6" si="3">D4*D$2</f>
        <v>428.65199999999999</v>
      </c>
      <c r="E5" s="3">
        <f t="shared" si="3"/>
        <v>476.28000000000003</v>
      </c>
      <c r="F5" s="3">
        <f t="shared" si="3"/>
        <v>254.01599999999999</v>
      </c>
      <c r="G5" s="3">
        <f t="shared" si="3"/>
        <v>25401.599999999999</v>
      </c>
      <c r="H5" s="3">
        <f t="shared" ref="H5:H19" si="4">H4*H$2</f>
        <v>16426.8</v>
      </c>
      <c r="I5" s="3">
        <f t="shared" ref="I5:I32" si="5">I4*I$2</f>
        <v>60000</v>
      </c>
      <c r="J5" s="3">
        <f t="shared" ref="J5:J32" si="6">J4*J$2</f>
        <v>349.27199999999999</v>
      </c>
      <c r="K5" s="3">
        <f t="shared" ref="K5:K32" si="7">K4*K$2</f>
        <v>15.875999999999999</v>
      </c>
      <c r="L5" s="3">
        <f t="shared" ref="L5:L32" si="8">L4*L$2</f>
        <v>349.27199999999999</v>
      </c>
      <c r="M5" s="3">
        <f t="shared" ref="M5:M32" si="9">M4*M$2</f>
        <v>158.76</v>
      </c>
      <c r="N5" s="3">
        <f t="shared" ref="N5:N32" si="10">N4*N$2</f>
        <v>78.125</v>
      </c>
      <c r="O5" s="3">
        <f t="shared" ref="O5:O32" si="11">O4*O$2</f>
        <v>104.8385</v>
      </c>
      <c r="P5" s="3">
        <f t="shared" ref="P5:P32" si="12">P4*P$2</f>
        <v>117.56280000000001</v>
      </c>
      <c r="Q5" s="3">
        <f t="shared" ref="Q5:Q32" si="13">Q4*Q$2</f>
        <v>76.05</v>
      </c>
      <c r="R5" s="3">
        <f t="shared" ref="R5:R32" si="14">R4*R$2</f>
        <v>96.013499999999979</v>
      </c>
      <c r="S5" s="3">
        <f t="shared" ref="S5:S32" si="15">S4*S$2</f>
        <v>78.125</v>
      </c>
      <c r="T5" t="str">
        <f>IF('Construction Planner'!$G$2="Goldmünzen","40000",IF('Construction Planner'!$G$2="Einlagerung",0,"Einstellung wählen"))</f>
        <v>40000</v>
      </c>
      <c r="U5">
        <v>28000</v>
      </c>
      <c r="V5" s="3">
        <f t="shared" ref="V5:V32" si="16">V4*V$2</f>
        <v>79.38</v>
      </c>
      <c r="W5" s="3"/>
    </row>
    <row r="6" spans="1:23" x14ac:dyDescent="0.25">
      <c r="A6">
        <v>4</v>
      </c>
      <c r="B6" s="3">
        <f t="shared" si="1"/>
        <v>180.03384000000003</v>
      </c>
      <c r="C6" s="3">
        <f t="shared" si="2"/>
        <v>400.0752</v>
      </c>
      <c r="D6" s="3">
        <f t="shared" si="3"/>
        <v>540.10151999999994</v>
      </c>
      <c r="E6" s="3">
        <f t="shared" si="3"/>
        <v>600.11279999999999</v>
      </c>
      <c r="F6" s="3">
        <f t="shared" si="3"/>
        <v>320.06016</v>
      </c>
      <c r="G6" s="3">
        <f t="shared" si="3"/>
        <v>32006.016</v>
      </c>
      <c r="H6" s="3">
        <f t="shared" si="4"/>
        <v>19219.356</v>
      </c>
      <c r="I6" s="3">
        <f t="shared" si="5"/>
        <v>120000</v>
      </c>
      <c r="J6" s="3">
        <f t="shared" si="6"/>
        <v>440.08271999999999</v>
      </c>
      <c r="K6" s="3">
        <f t="shared" si="7"/>
        <v>20.00376</v>
      </c>
      <c r="L6" s="3">
        <f t="shared" si="8"/>
        <v>440.08271999999999</v>
      </c>
      <c r="M6" s="3">
        <f t="shared" si="9"/>
        <v>200.0376</v>
      </c>
      <c r="N6" s="3">
        <f t="shared" si="10"/>
        <v>97.65625</v>
      </c>
      <c r="O6" s="3">
        <f t="shared" si="11"/>
        <v>133.14489499999999</v>
      </c>
      <c r="P6" s="3">
        <f t="shared" si="12"/>
        <v>147.18862560000002</v>
      </c>
      <c r="Q6" s="3">
        <f t="shared" si="13"/>
        <v>98.864999999999995</v>
      </c>
      <c r="R6" s="3">
        <f t="shared" si="14"/>
        <v>121.45707749999997</v>
      </c>
      <c r="S6" s="3">
        <f t="shared" si="15"/>
        <v>97.65625</v>
      </c>
      <c r="T6" t="str">
        <f>IF('Construction Planner'!$G$2="Goldmünzen","40000",IF('Construction Planner'!$G$2="Einlagerung",0,"Einstellung wählen"))</f>
        <v>40000</v>
      </c>
      <c r="U6">
        <v>28000</v>
      </c>
      <c r="V6" s="3">
        <f t="shared" si="16"/>
        <v>100.0188</v>
      </c>
      <c r="W6" s="3"/>
    </row>
    <row r="7" spans="1:23" x14ac:dyDescent="0.25">
      <c r="A7">
        <v>5</v>
      </c>
      <c r="B7" s="3">
        <f t="shared" si="1"/>
        <v>226.84263840000003</v>
      </c>
      <c r="C7" s="3">
        <f t="shared" si="2"/>
        <v>504.09475199999997</v>
      </c>
      <c r="D7" s="3">
        <f t="shared" ref="D7:D32" si="17">D6*D$2</f>
        <v>680.52791519999994</v>
      </c>
      <c r="E7" s="3">
        <f t="shared" ref="E7:H32" si="18">E6*E$2</f>
        <v>756.14212799999996</v>
      </c>
      <c r="F7" s="3">
        <f t="shared" si="18"/>
        <v>403.27580160000002</v>
      </c>
      <c r="G7" s="3">
        <f t="shared" si="18"/>
        <v>40327.580159999998</v>
      </c>
      <c r="H7" s="3">
        <f t="shared" si="4"/>
        <v>22486.646519999998</v>
      </c>
      <c r="I7" s="3">
        <f t="shared" si="5"/>
        <v>240000</v>
      </c>
      <c r="J7" s="3">
        <f t="shared" si="6"/>
        <v>554.50422719999995</v>
      </c>
      <c r="K7" s="3">
        <f t="shared" si="7"/>
        <v>25.204737600000001</v>
      </c>
      <c r="L7" s="3">
        <f t="shared" si="8"/>
        <v>554.50422719999995</v>
      </c>
      <c r="M7" s="3">
        <f t="shared" si="9"/>
        <v>252.04737599999999</v>
      </c>
      <c r="N7" s="3">
        <f t="shared" si="10"/>
        <v>122.0703125</v>
      </c>
      <c r="O7" s="3">
        <f t="shared" si="11"/>
        <v>169.09401664999999</v>
      </c>
      <c r="P7" s="3">
        <f t="shared" si="12"/>
        <v>184.28015925120002</v>
      </c>
      <c r="Q7" s="3">
        <f t="shared" si="13"/>
        <v>128.52449999999999</v>
      </c>
      <c r="R7" s="3">
        <f t="shared" si="14"/>
        <v>153.64320303749994</v>
      </c>
      <c r="S7" s="3">
        <f t="shared" si="15"/>
        <v>122.0703125</v>
      </c>
      <c r="T7" t="str">
        <f>IF('Construction Planner'!$G$2="Goldmünzen","40000",IF('Construction Planner'!$G$2="Einlagerung",0,"Einstellung wählen"))</f>
        <v>40000</v>
      </c>
      <c r="U7">
        <v>28000</v>
      </c>
      <c r="V7" s="3">
        <f t="shared" si="16"/>
        <v>126.02368799999999</v>
      </c>
      <c r="W7" s="3"/>
    </row>
    <row r="8" spans="1:23" x14ac:dyDescent="0.25">
      <c r="A8">
        <v>6</v>
      </c>
      <c r="B8" s="3">
        <f t="shared" si="1"/>
        <v>285.82172438400005</v>
      </c>
      <c r="C8" s="3">
        <f t="shared" si="2"/>
        <v>635.15938752</v>
      </c>
      <c r="D8" s="3">
        <f t="shared" si="17"/>
        <v>857.46517315199992</v>
      </c>
      <c r="E8" s="3">
        <f t="shared" si="18"/>
        <v>952.73908127999994</v>
      </c>
      <c r="F8" s="3">
        <f t="shared" si="18"/>
        <v>508.12751001600003</v>
      </c>
      <c r="G8" s="3">
        <f t="shared" si="18"/>
        <v>50812.751001599994</v>
      </c>
      <c r="H8" s="3">
        <f t="shared" si="4"/>
        <v>26309.376428399995</v>
      </c>
      <c r="I8" s="3">
        <f t="shared" si="5"/>
        <v>480000</v>
      </c>
      <c r="J8" s="3">
        <f t="shared" si="6"/>
        <v>698.67532627199989</v>
      </c>
      <c r="K8" s="3">
        <f t="shared" si="7"/>
        <v>31.757969376000002</v>
      </c>
      <c r="L8" s="3">
        <f t="shared" si="8"/>
        <v>698.67532627199989</v>
      </c>
      <c r="M8" s="3">
        <f t="shared" si="9"/>
        <v>317.57969376</v>
      </c>
      <c r="N8" s="3">
        <f t="shared" si="10"/>
        <v>152.587890625</v>
      </c>
      <c r="O8" s="3">
        <f t="shared" si="11"/>
        <v>214.74940114549997</v>
      </c>
      <c r="P8" s="3">
        <f t="shared" si="12"/>
        <v>230.71875938250241</v>
      </c>
      <c r="Q8" s="3">
        <f t="shared" si="13"/>
        <v>167.08185</v>
      </c>
      <c r="R8" s="3">
        <f t="shared" si="14"/>
        <v>194.35865184243741</v>
      </c>
      <c r="S8" s="3">
        <f t="shared" si="15"/>
        <v>152.587890625</v>
      </c>
      <c r="T8" t="str">
        <f>IF('Construction Planner'!$G$2="Goldmünzen","40000",IF('Construction Planner'!$G$2="Einlagerung",0,"Einstellung wählen"))</f>
        <v>40000</v>
      </c>
      <c r="U8">
        <v>28000</v>
      </c>
      <c r="V8" s="3">
        <f t="shared" si="16"/>
        <v>158.78984688</v>
      </c>
      <c r="W8" s="3"/>
    </row>
    <row r="9" spans="1:23" x14ac:dyDescent="0.25">
      <c r="A9">
        <v>7</v>
      </c>
      <c r="B9" s="3">
        <f t="shared" si="1"/>
        <v>360.13537272384008</v>
      </c>
      <c r="C9" s="3">
        <f t="shared" si="2"/>
        <v>800.30082827520005</v>
      </c>
      <c r="D9" s="3">
        <f t="shared" si="17"/>
        <v>1080.4061181715199</v>
      </c>
      <c r="E9" s="3">
        <f t="shared" si="18"/>
        <v>1200.4512424128</v>
      </c>
      <c r="F9" s="3">
        <f t="shared" si="18"/>
        <v>640.24066262016004</v>
      </c>
      <c r="G9" s="3">
        <f t="shared" si="18"/>
        <v>64024.066262015993</v>
      </c>
      <c r="H9" s="3">
        <f t="shared" si="4"/>
        <v>30781.970421227994</v>
      </c>
      <c r="I9" s="3">
        <f t="shared" si="5"/>
        <v>960000</v>
      </c>
      <c r="J9" s="3">
        <f t="shared" si="6"/>
        <v>880.33091110271982</v>
      </c>
      <c r="K9" s="3">
        <f t="shared" si="7"/>
        <v>40.015041413760002</v>
      </c>
      <c r="L9" s="3">
        <f t="shared" si="8"/>
        <v>880.33091110271982</v>
      </c>
      <c r="M9" s="3">
        <f t="shared" si="9"/>
        <v>400.15041413760002</v>
      </c>
      <c r="N9" s="3">
        <f t="shared" si="10"/>
        <v>190.73486328125</v>
      </c>
      <c r="O9" s="3">
        <f t="shared" si="11"/>
        <v>272.73173945478499</v>
      </c>
      <c r="P9" s="3">
        <f t="shared" si="12"/>
        <v>288.85988674689304</v>
      </c>
      <c r="Q9" s="3">
        <f t="shared" si="13"/>
        <v>217.20640500000002</v>
      </c>
      <c r="R9" s="3">
        <f t="shared" si="14"/>
        <v>245.8636945806833</v>
      </c>
      <c r="S9" s="3">
        <f t="shared" si="15"/>
        <v>190.73486328125</v>
      </c>
      <c r="T9" t="str">
        <f>IF('Construction Planner'!$G$2="Goldmünzen","40000",IF('Construction Planner'!$G$2="Einlagerung",0,"Einstellung wählen"))</f>
        <v>40000</v>
      </c>
      <c r="U9">
        <v>28000</v>
      </c>
      <c r="V9" s="3">
        <f t="shared" si="16"/>
        <v>200.07520706880001</v>
      </c>
      <c r="W9" s="3"/>
    </row>
    <row r="10" spans="1:23" x14ac:dyDescent="0.25">
      <c r="A10">
        <v>8</v>
      </c>
      <c r="B10" s="3">
        <f t="shared" si="1"/>
        <v>453.77056963203847</v>
      </c>
      <c r="C10" s="3">
        <f t="shared" si="2"/>
        <v>1008.379043626752</v>
      </c>
      <c r="D10" s="3">
        <f t="shared" si="17"/>
        <v>1361.3117088961151</v>
      </c>
      <c r="E10" s="3">
        <f t="shared" si="18"/>
        <v>1512.5685654401279</v>
      </c>
      <c r="F10" s="3">
        <f t="shared" si="18"/>
        <v>806.70323490140163</v>
      </c>
      <c r="G10" s="3">
        <f t="shared" si="18"/>
        <v>80670.323490140145</v>
      </c>
      <c r="H10" s="3">
        <f t="shared" si="4"/>
        <v>36014.90539283675</v>
      </c>
      <c r="I10" s="3">
        <f t="shared" si="5"/>
        <v>1920000</v>
      </c>
      <c r="J10" s="3">
        <f t="shared" si="6"/>
        <v>1109.2169479894269</v>
      </c>
      <c r="K10" s="3">
        <f t="shared" si="7"/>
        <v>50.418952181337602</v>
      </c>
      <c r="L10" s="3">
        <f t="shared" si="8"/>
        <v>1109.2169479894269</v>
      </c>
      <c r="M10" s="3">
        <f t="shared" si="9"/>
        <v>504.18952181337602</v>
      </c>
      <c r="N10" s="3">
        <f t="shared" si="10"/>
        <v>238.4185791015625</v>
      </c>
      <c r="O10" s="3">
        <f t="shared" si="11"/>
        <v>346.36930910757695</v>
      </c>
      <c r="P10" s="3">
        <f t="shared" si="12"/>
        <v>361.65257820711008</v>
      </c>
      <c r="Q10" s="3">
        <f t="shared" si="13"/>
        <v>282.36832650000002</v>
      </c>
      <c r="R10" s="3">
        <f t="shared" si="14"/>
        <v>311.01757364456438</v>
      </c>
      <c r="S10" s="3">
        <f t="shared" si="15"/>
        <v>238.4185791015625</v>
      </c>
      <c r="T10" t="str">
        <f>IF('Construction Planner'!$G$2="Goldmünzen","40000",IF('Construction Planner'!$G$2="Einlagerung",0,"Einstellung wählen"))</f>
        <v>40000</v>
      </c>
      <c r="U10">
        <v>28000</v>
      </c>
      <c r="V10" s="3">
        <f t="shared" si="16"/>
        <v>252.09476090668801</v>
      </c>
      <c r="W10" s="3"/>
    </row>
    <row r="11" spans="1:23" x14ac:dyDescent="0.25">
      <c r="A11">
        <v>9</v>
      </c>
      <c r="B11" s="3">
        <f t="shared" si="1"/>
        <v>571.75091773636848</v>
      </c>
      <c r="C11" s="3">
        <f t="shared" si="2"/>
        <v>1270.5575949697077</v>
      </c>
      <c r="D11" s="3">
        <f t="shared" si="17"/>
        <v>1715.2527532091051</v>
      </c>
      <c r="E11" s="3">
        <f t="shared" si="18"/>
        <v>1905.8363924545613</v>
      </c>
      <c r="F11" s="3">
        <f t="shared" si="18"/>
        <v>1016.446075975766</v>
      </c>
      <c r="G11" s="3">
        <f t="shared" si="18"/>
        <v>101644.60759757659</v>
      </c>
      <c r="H11" s="3">
        <f t="shared" si="4"/>
        <v>42137.439309618996</v>
      </c>
      <c r="I11" s="3">
        <f t="shared" si="5"/>
        <v>3840000</v>
      </c>
      <c r="J11" s="3">
        <f t="shared" si="6"/>
        <v>1397.6133544666779</v>
      </c>
      <c r="K11" s="3">
        <f t="shared" si="7"/>
        <v>63.527879748485375</v>
      </c>
      <c r="L11" s="3">
        <f t="shared" si="8"/>
        <v>1397.6133544666779</v>
      </c>
      <c r="M11" s="3">
        <f t="shared" si="9"/>
        <v>635.27879748485384</v>
      </c>
      <c r="N11" s="3">
        <f t="shared" si="10"/>
        <v>298.02322387695312</v>
      </c>
      <c r="O11" s="3">
        <f t="shared" si="11"/>
        <v>439.88902256662271</v>
      </c>
      <c r="P11" s="3">
        <f t="shared" si="12"/>
        <v>452.7890279153018</v>
      </c>
      <c r="Q11" s="3">
        <f t="shared" si="13"/>
        <v>367.07882445000007</v>
      </c>
      <c r="R11" s="3">
        <f t="shared" si="14"/>
        <v>393.43723066037393</v>
      </c>
      <c r="S11" s="3">
        <f t="shared" si="15"/>
        <v>298.02322387695312</v>
      </c>
      <c r="T11" t="str">
        <f>IF('Construction Planner'!$G$2="Goldmünzen","40000",IF('Construction Planner'!$G$2="Einlagerung",0,"Einstellung wählen"))</f>
        <v>40000</v>
      </c>
      <c r="U11">
        <v>28000</v>
      </c>
      <c r="V11" s="3">
        <f t="shared" si="16"/>
        <v>317.63939874242692</v>
      </c>
      <c r="W11" s="3"/>
    </row>
    <row r="12" spans="1:23" x14ac:dyDescent="0.25">
      <c r="A12">
        <v>10</v>
      </c>
      <c r="B12" s="3">
        <f t="shared" si="1"/>
        <v>720.40615634782432</v>
      </c>
      <c r="C12" s="3">
        <f t="shared" si="2"/>
        <v>1600.9025696618316</v>
      </c>
      <c r="D12" s="3">
        <f t="shared" si="17"/>
        <v>2161.2184690434724</v>
      </c>
      <c r="E12" s="3">
        <f t="shared" si="18"/>
        <v>2401.3538544927474</v>
      </c>
      <c r="F12" s="3">
        <f t="shared" si="18"/>
        <v>1280.7220557294652</v>
      </c>
      <c r="G12" s="3">
        <f t="shared" si="18"/>
        <v>128072.20557294649</v>
      </c>
      <c r="H12" s="3">
        <f t="shared" si="4"/>
        <v>49300.803992254223</v>
      </c>
      <c r="I12" s="3">
        <f t="shared" si="5"/>
        <v>7680000</v>
      </c>
      <c r="J12" s="3">
        <f t="shared" si="6"/>
        <v>1760.9928266280142</v>
      </c>
      <c r="K12" s="3">
        <f t="shared" si="7"/>
        <v>80.045128483091574</v>
      </c>
      <c r="L12" s="3">
        <f t="shared" si="8"/>
        <v>1760.9928266280142</v>
      </c>
      <c r="M12" s="3">
        <f t="shared" si="9"/>
        <v>800.45128483091582</v>
      </c>
      <c r="N12" s="3">
        <f t="shared" si="10"/>
        <v>372.52902984619141</v>
      </c>
      <c r="O12" s="3">
        <f t="shared" si="11"/>
        <v>558.65905865961088</v>
      </c>
      <c r="P12" s="3">
        <f t="shared" si="12"/>
        <v>566.89186294995784</v>
      </c>
      <c r="Q12" s="3">
        <f t="shared" si="13"/>
        <v>477.20247178500011</v>
      </c>
      <c r="R12" s="3">
        <f t="shared" si="14"/>
        <v>497.69809678537297</v>
      </c>
      <c r="S12" s="3">
        <f t="shared" si="15"/>
        <v>372.52902984619141</v>
      </c>
      <c r="T12" t="str">
        <f>IF('Construction Planner'!$G$2="Goldmünzen","40000",IF('Construction Planner'!$G$2="Einlagerung",0,"Einstellung wählen"))</f>
        <v>40000</v>
      </c>
      <c r="U12">
        <v>28000</v>
      </c>
      <c r="V12" s="3">
        <f t="shared" si="16"/>
        <v>400.22564241545791</v>
      </c>
      <c r="W12" s="3"/>
    </row>
    <row r="13" spans="1:23" x14ac:dyDescent="0.25">
      <c r="A13">
        <v>11</v>
      </c>
      <c r="B13" s="3">
        <f t="shared" si="1"/>
        <v>907.71175699825869</v>
      </c>
      <c r="C13" s="3">
        <f t="shared" si="2"/>
        <v>2017.1372377739078</v>
      </c>
      <c r="D13" s="3">
        <f t="shared" si="17"/>
        <v>2723.1352709947751</v>
      </c>
      <c r="E13" s="3">
        <f t="shared" si="18"/>
        <v>3025.7058566608616</v>
      </c>
      <c r="F13" s="3">
        <f t="shared" si="18"/>
        <v>1613.709790219126</v>
      </c>
      <c r="G13" s="3">
        <f t="shared" si="18"/>
        <v>161370.97902191259</v>
      </c>
      <c r="H13" s="3">
        <f t="shared" si="4"/>
        <v>57681.940670937438</v>
      </c>
      <c r="I13" s="3">
        <f t="shared" si="5"/>
        <v>15360000</v>
      </c>
      <c r="J13" s="3">
        <f t="shared" si="6"/>
        <v>2218.850961551298</v>
      </c>
      <c r="K13" s="3">
        <f t="shared" si="7"/>
        <v>100.85686188869538</v>
      </c>
      <c r="L13" s="3">
        <f t="shared" si="8"/>
        <v>2218.850961551298</v>
      </c>
      <c r="M13" s="3">
        <f t="shared" si="9"/>
        <v>1008.5686188869539</v>
      </c>
      <c r="N13" s="3">
        <f t="shared" si="10"/>
        <v>465.66128730773926</v>
      </c>
      <c r="O13" s="3">
        <f t="shared" si="11"/>
        <v>709.4970044977058</v>
      </c>
      <c r="P13" s="3">
        <f t="shared" si="12"/>
        <v>709.74861241334725</v>
      </c>
      <c r="Q13" s="3">
        <f t="shared" si="13"/>
        <v>620.36321332050022</v>
      </c>
      <c r="R13" s="3">
        <f t="shared" si="14"/>
        <v>629.58809243349674</v>
      </c>
      <c r="S13" s="3">
        <f t="shared" si="15"/>
        <v>465.66128730773926</v>
      </c>
      <c r="T13" t="str">
        <f>IF('Construction Planner'!$G$2="Goldmünzen","40000",IF('Construction Planner'!$G$2="Einlagerung",0,"Einstellung wählen"))</f>
        <v>40000</v>
      </c>
      <c r="U13">
        <v>28000</v>
      </c>
      <c r="V13" s="3">
        <f t="shared" si="16"/>
        <v>504.28430944347696</v>
      </c>
      <c r="W13" s="3"/>
    </row>
    <row r="14" spans="1:23" x14ac:dyDescent="0.25">
      <c r="A14">
        <v>12</v>
      </c>
      <c r="B14" s="3">
        <f t="shared" si="1"/>
        <v>1143.716813817806</v>
      </c>
      <c r="C14" s="3">
        <f t="shared" si="2"/>
        <v>2541.5929195951239</v>
      </c>
      <c r="D14" s="3">
        <f t="shared" si="17"/>
        <v>3431.1504414534165</v>
      </c>
      <c r="E14" s="3">
        <f t="shared" si="18"/>
        <v>3812.3893793926859</v>
      </c>
      <c r="F14" s="3">
        <f t="shared" si="18"/>
        <v>2033.2743356760989</v>
      </c>
      <c r="G14" s="3">
        <f t="shared" si="18"/>
        <v>203327.43356760987</v>
      </c>
      <c r="H14" s="3">
        <f t="shared" si="4"/>
        <v>67487.870584996796</v>
      </c>
      <c r="I14" s="3">
        <f t="shared" si="5"/>
        <v>30720000</v>
      </c>
      <c r="J14" s="3">
        <f t="shared" si="6"/>
        <v>2795.7522115546358</v>
      </c>
      <c r="K14" s="3">
        <f t="shared" si="7"/>
        <v>127.07964597975618</v>
      </c>
      <c r="L14" s="3">
        <f t="shared" si="8"/>
        <v>2795.7522115546358</v>
      </c>
      <c r="M14" s="3">
        <f t="shared" si="9"/>
        <v>1270.796459797562</v>
      </c>
      <c r="N14" s="3">
        <f t="shared" si="10"/>
        <v>582.07660913467407</v>
      </c>
      <c r="O14" s="3">
        <f t="shared" si="11"/>
        <v>901.06119571208637</v>
      </c>
      <c r="P14" s="3">
        <f t="shared" si="12"/>
        <v>888.60526274151073</v>
      </c>
      <c r="Q14" s="3">
        <f t="shared" si="13"/>
        <v>806.47217731665035</v>
      </c>
      <c r="R14" s="3">
        <f t="shared" si="14"/>
        <v>796.42893692837333</v>
      </c>
      <c r="S14" s="3">
        <f t="shared" si="15"/>
        <v>582.07660913467407</v>
      </c>
      <c r="T14" t="str">
        <f>IF('Construction Planner'!$G$2="Goldmünzen","40000",IF('Construction Planner'!$G$2="Einlagerung",0,"Einstellung wählen"))</f>
        <v>40000</v>
      </c>
      <c r="U14">
        <v>28000</v>
      </c>
      <c r="V14" s="3">
        <f t="shared" si="16"/>
        <v>635.39822989878098</v>
      </c>
      <c r="W14" s="3"/>
    </row>
    <row r="15" spans="1:23" x14ac:dyDescent="0.25">
      <c r="A15">
        <v>13</v>
      </c>
      <c r="B15" s="3">
        <f t="shared" si="1"/>
        <v>1441.0831854104356</v>
      </c>
      <c r="C15" s="3">
        <f t="shared" si="2"/>
        <v>3202.407078689856</v>
      </c>
      <c r="D15" s="3">
        <f t="shared" si="17"/>
        <v>4323.2495562313052</v>
      </c>
      <c r="E15" s="3">
        <f t="shared" si="18"/>
        <v>4803.6106180347842</v>
      </c>
      <c r="F15" s="3">
        <f t="shared" si="18"/>
        <v>2561.9256629518845</v>
      </c>
      <c r="G15" s="3">
        <f t="shared" si="18"/>
        <v>256192.56629518844</v>
      </c>
      <c r="H15" s="3">
        <f t="shared" si="4"/>
        <v>78960.808584446248</v>
      </c>
      <c r="I15" s="3">
        <f t="shared" si="5"/>
        <v>61440000</v>
      </c>
      <c r="J15" s="3">
        <f t="shared" si="6"/>
        <v>3522.6477865588413</v>
      </c>
      <c r="K15" s="3">
        <f t="shared" si="7"/>
        <v>160.12035393449278</v>
      </c>
      <c r="L15" s="3">
        <f t="shared" si="8"/>
        <v>3522.6477865588413</v>
      </c>
      <c r="M15" s="3">
        <f t="shared" si="9"/>
        <v>1601.203539344928</v>
      </c>
      <c r="N15" s="3">
        <f t="shared" si="10"/>
        <v>727.59576141834259</v>
      </c>
      <c r="O15" s="3">
        <f t="shared" si="11"/>
        <v>1144.3477185543497</v>
      </c>
      <c r="P15" s="3">
        <f t="shared" si="12"/>
        <v>1112.5337889523714</v>
      </c>
      <c r="Q15" s="3">
        <f t="shared" si="13"/>
        <v>1048.4138305116455</v>
      </c>
      <c r="R15" s="3">
        <f t="shared" si="14"/>
        <v>1007.4826052143922</v>
      </c>
      <c r="S15" s="3">
        <f t="shared" si="15"/>
        <v>727.59576141834259</v>
      </c>
      <c r="T15" t="str">
        <f>IF('Construction Planner'!$G$2="Goldmünzen","40000",IF('Construction Planner'!$G$2="Einlagerung",0,"Einstellung wählen"))</f>
        <v>40000</v>
      </c>
      <c r="U15">
        <v>28000</v>
      </c>
      <c r="V15" s="3">
        <f t="shared" si="16"/>
        <v>800.601769672464</v>
      </c>
      <c r="W15" s="3"/>
    </row>
    <row r="16" spans="1:23" x14ac:dyDescent="0.25">
      <c r="A16">
        <v>14</v>
      </c>
      <c r="B16" s="3">
        <f t="shared" si="1"/>
        <v>1815.7648136171488</v>
      </c>
      <c r="C16" s="3">
        <f t="shared" si="2"/>
        <v>4035.0329191492187</v>
      </c>
      <c r="D16" s="3">
        <f t="shared" si="17"/>
        <v>5447.294440851445</v>
      </c>
      <c r="E16" s="3">
        <f t="shared" si="18"/>
        <v>6052.5493787238283</v>
      </c>
      <c r="F16" s="3">
        <f t="shared" si="18"/>
        <v>3228.0263353193745</v>
      </c>
      <c r="G16" s="3">
        <f t="shared" si="18"/>
        <v>322802.63353193743</v>
      </c>
      <c r="H16" s="3">
        <f t="shared" si="4"/>
        <v>92384.146043802102</v>
      </c>
      <c r="I16" s="3">
        <f t="shared" si="5"/>
        <v>122880000</v>
      </c>
      <c r="J16" s="3">
        <f t="shared" si="6"/>
        <v>4438.5362110641399</v>
      </c>
      <c r="K16" s="3">
        <f t="shared" si="7"/>
        <v>201.75164595746091</v>
      </c>
      <c r="L16" s="3">
        <f t="shared" si="8"/>
        <v>4438.5362110641399</v>
      </c>
      <c r="M16" s="3">
        <f t="shared" si="9"/>
        <v>2017.5164595746094</v>
      </c>
      <c r="N16" s="3">
        <f t="shared" si="10"/>
        <v>909.49470177292824</v>
      </c>
      <c r="O16" s="3">
        <f t="shared" si="11"/>
        <v>1453.3216025640243</v>
      </c>
      <c r="P16" s="3">
        <f t="shared" si="12"/>
        <v>1392.8923037683689</v>
      </c>
      <c r="Q16" s="3">
        <f t="shared" si="13"/>
        <v>1362.9379796651392</v>
      </c>
      <c r="R16" s="3">
        <f t="shared" si="14"/>
        <v>1274.465495596206</v>
      </c>
      <c r="S16" s="3">
        <f t="shared" si="15"/>
        <v>909.49470177292824</v>
      </c>
      <c r="T16" t="str">
        <f>IF('Construction Planner'!$G$2="Goldmünzen","40000",IF('Construction Planner'!$G$2="Einlagerung",0,"Einstellung wählen"))</f>
        <v>40000</v>
      </c>
      <c r="U16">
        <v>28000</v>
      </c>
      <c r="V16" s="3">
        <f t="shared" si="16"/>
        <v>1008.7582297873047</v>
      </c>
      <c r="W16" s="3"/>
    </row>
    <row r="17" spans="1:23" x14ac:dyDescent="0.25">
      <c r="A17">
        <v>15</v>
      </c>
      <c r="B17" s="3">
        <f t="shared" si="1"/>
        <v>2287.8636651576076</v>
      </c>
      <c r="C17" s="3">
        <f t="shared" si="2"/>
        <v>5084.1414781280155</v>
      </c>
      <c r="D17" s="3">
        <f t="shared" si="17"/>
        <v>6863.5909954728204</v>
      </c>
      <c r="E17" s="3">
        <f t="shared" si="18"/>
        <v>7626.2122171920237</v>
      </c>
      <c r="F17" s="3">
        <f t="shared" si="18"/>
        <v>4067.313182502412</v>
      </c>
      <c r="G17" s="3">
        <f t="shared" si="18"/>
        <v>406731.31825024117</v>
      </c>
      <c r="H17" s="3">
        <f t="shared" si="4"/>
        <v>108089.45087124845</v>
      </c>
      <c r="I17" s="3">
        <f t="shared" si="5"/>
        <v>245760000</v>
      </c>
      <c r="J17" s="3">
        <f t="shared" si="6"/>
        <v>5592.5556259408168</v>
      </c>
      <c r="K17" s="3">
        <f t="shared" si="7"/>
        <v>254.20707390640075</v>
      </c>
      <c r="L17" s="3">
        <f t="shared" si="8"/>
        <v>5592.5556259408168</v>
      </c>
      <c r="M17" s="3">
        <f t="shared" si="9"/>
        <v>2542.0707390640077</v>
      </c>
      <c r="N17" s="3">
        <f t="shared" si="10"/>
        <v>1136.8683772161603</v>
      </c>
      <c r="O17" s="3">
        <f t="shared" si="11"/>
        <v>1845.7184352563108</v>
      </c>
      <c r="P17" s="3">
        <f t="shared" si="12"/>
        <v>1743.9011643179979</v>
      </c>
      <c r="Q17" s="3">
        <f t="shared" si="13"/>
        <v>1771.819373564681</v>
      </c>
      <c r="R17" s="3">
        <f t="shared" si="14"/>
        <v>1612.1988519292004</v>
      </c>
      <c r="S17" s="3">
        <f t="shared" si="15"/>
        <v>1136.8683772161603</v>
      </c>
      <c r="T17" t="str">
        <f>IF('Construction Planner'!$G$2="Goldmünzen","40000",IF('Construction Planner'!$G$2="Einlagerung",0,"Einstellung wählen"))</f>
        <v>40000</v>
      </c>
      <c r="U17">
        <v>28000</v>
      </c>
      <c r="V17" s="3">
        <f t="shared" si="16"/>
        <v>1271.0353695320039</v>
      </c>
      <c r="W17" s="3"/>
    </row>
    <row r="18" spans="1:23" x14ac:dyDescent="0.25">
      <c r="A18">
        <v>16</v>
      </c>
      <c r="B18" s="3">
        <f t="shared" si="1"/>
        <v>2882.7082180985853</v>
      </c>
      <c r="C18" s="3">
        <f t="shared" si="2"/>
        <v>6406.0182624412992</v>
      </c>
      <c r="D18" s="3">
        <f t="shared" si="17"/>
        <v>8648.1246542957542</v>
      </c>
      <c r="E18" s="3">
        <f t="shared" si="18"/>
        <v>9609.0273936619506</v>
      </c>
      <c r="F18" s="3">
        <f t="shared" si="18"/>
        <v>5124.8146099530395</v>
      </c>
      <c r="G18" s="3">
        <f t="shared" si="18"/>
        <v>512481.46099530387</v>
      </c>
      <c r="H18" s="3">
        <f t="shared" si="4"/>
        <v>126464.65751936068</v>
      </c>
      <c r="I18" s="3">
        <f t="shared" si="5"/>
        <v>491520000</v>
      </c>
      <c r="J18" s="3">
        <f t="shared" si="6"/>
        <v>7046.6200886854294</v>
      </c>
      <c r="K18" s="3">
        <f t="shared" si="7"/>
        <v>320.30091312206497</v>
      </c>
      <c r="L18" s="3">
        <f t="shared" si="8"/>
        <v>7046.6200886854294</v>
      </c>
      <c r="M18" s="3">
        <f t="shared" si="9"/>
        <v>3203.0091312206496</v>
      </c>
      <c r="N18" s="3">
        <f t="shared" si="10"/>
        <v>1421.0854715202004</v>
      </c>
      <c r="O18" s="3">
        <f t="shared" si="11"/>
        <v>2344.062412775515</v>
      </c>
      <c r="P18" s="3">
        <f t="shared" si="12"/>
        <v>2183.3642577261335</v>
      </c>
      <c r="Q18" s="3">
        <f t="shared" si="13"/>
        <v>2303.3651856340853</v>
      </c>
      <c r="R18" s="3">
        <f t="shared" si="14"/>
        <v>2039.4315476904383</v>
      </c>
      <c r="S18" s="3">
        <f t="shared" si="15"/>
        <v>1421.0854715202004</v>
      </c>
      <c r="T18" t="str">
        <f>IF('Construction Planner'!$G$2="Goldmünzen","40000",IF('Construction Planner'!$G$2="Einlagerung",0,"Einstellung wählen"))</f>
        <v>40000</v>
      </c>
      <c r="U18">
        <v>28000</v>
      </c>
      <c r="V18" s="3">
        <f t="shared" si="16"/>
        <v>1601.5045656103248</v>
      </c>
      <c r="W18" s="3"/>
    </row>
    <row r="19" spans="1:23" x14ac:dyDescent="0.25">
      <c r="A19">
        <v>17</v>
      </c>
      <c r="B19" s="3">
        <f t="shared" si="1"/>
        <v>3632.2123548042177</v>
      </c>
      <c r="C19" s="3">
        <f t="shared" si="2"/>
        <v>8071.5830106760368</v>
      </c>
      <c r="D19" s="3">
        <f t="shared" si="17"/>
        <v>10896.637064412651</v>
      </c>
      <c r="E19" s="3">
        <f t="shared" si="18"/>
        <v>12107.374516014057</v>
      </c>
      <c r="F19" s="3">
        <f t="shared" si="18"/>
        <v>6457.2664085408296</v>
      </c>
      <c r="G19" s="3">
        <f t="shared" si="18"/>
        <v>645726.64085408289</v>
      </c>
      <c r="H19" s="3">
        <f t="shared" si="4"/>
        <v>147963.64929765198</v>
      </c>
      <c r="I19" s="3">
        <f t="shared" si="5"/>
        <v>983040000</v>
      </c>
      <c r="J19" s="3">
        <f t="shared" si="6"/>
        <v>8878.7413117436408</v>
      </c>
      <c r="K19" s="3">
        <f t="shared" si="7"/>
        <v>403.57915053380185</v>
      </c>
      <c r="L19" s="3">
        <f t="shared" si="8"/>
        <v>8878.7413117436408</v>
      </c>
      <c r="M19" s="3">
        <f t="shared" si="9"/>
        <v>4035.7915053380184</v>
      </c>
      <c r="N19" s="3">
        <f t="shared" si="10"/>
        <v>1776.3568394002505</v>
      </c>
      <c r="O19" s="3">
        <f t="shared" si="11"/>
        <v>2976.959264224904</v>
      </c>
      <c r="P19" s="3">
        <f t="shared" si="12"/>
        <v>2733.5720506731191</v>
      </c>
      <c r="Q19" s="3">
        <f t="shared" si="13"/>
        <v>2994.3747413243109</v>
      </c>
      <c r="R19" s="3">
        <f t="shared" si="14"/>
        <v>2579.8809078284044</v>
      </c>
      <c r="S19" s="3">
        <f t="shared" si="15"/>
        <v>1776.3568394002505</v>
      </c>
      <c r="T19" t="str">
        <f>IF('Construction Planner'!$G$2="Goldmünzen","40000",IF('Construction Planner'!$G$2="Einlagerung",0,"Einstellung wählen"))</f>
        <v>40000</v>
      </c>
      <c r="U19">
        <v>28000</v>
      </c>
      <c r="V19" s="3">
        <f t="shared" si="16"/>
        <v>2017.8957526690092</v>
      </c>
      <c r="W19" s="3"/>
    </row>
    <row r="20" spans="1:23" x14ac:dyDescent="0.25">
      <c r="A20">
        <v>18</v>
      </c>
      <c r="B20" s="3">
        <f t="shared" si="1"/>
        <v>4576.5875670533142</v>
      </c>
      <c r="C20" s="3">
        <f t="shared" si="2"/>
        <v>10170.194593451806</v>
      </c>
      <c r="D20" s="3">
        <f t="shared" si="17"/>
        <v>13729.76270115994</v>
      </c>
      <c r="E20" s="3">
        <f t="shared" si="18"/>
        <v>15255.291890177712</v>
      </c>
      <c r="F20" s="3">
        <f t="shared" si="18"/>
        <v>8136.155674761445</v>
      </c>
      <c r="G20" s="3">
        <f t="shared" si="18"/>
        <v>813615.56747614441</v>
      </c>
      <c r="H20" s="3">
        <f t="shared" si="18"/>
        <v>173117.46967825282</v>
      </c>
      <c r="I20" s="3">
        <f t="shared" si="5"/>
        <v>1966080000</v>
      </c>
      <c r="J20" s="3">
        <f t="shared" si="6"/>
        <v>11187.214052796988</v>
      </c>
      <c r="K20" s="3">
        <f t="shared" si="7"/>
        <v>508.50972967259031</v>
      </c>
      <c r="L20" s="3">
        <f t="shared" si="8"/>
        <v>11187.214052796988</v>
      </c>
      <c r="M20" s="3">
        <f t="shared" si="9"/>
        <v>5085.0972967259031</v>
      </c>
      <c r="N20" s="3">
        <f t="shared" si="10"/>
        <v>2220.4460492503131</v>
      </c>
      <c r="O20" s="3">
        <f t="shared" si="11"/>
        <v>3780.7382655656284</v>
      </c>
      <c r="P20" s="3">
        <f t="shared" si="12"/>
        <v>3422.432207442745</v>
      </c>
      <c r="Q20" s="3">
        <f t="shared" si="13"/>
        <v>3892.6871637216041</v>
      </c>
      <c r="R20" s="3">
        <f t="shared" si="14"/>
        <v>3263.5493484029312</v>
      </c>
      <c r="S20" s="3">
        <f t="shared" si="15"/>
        <v>2220.4460492503131</v>
      </c>
      <c r="T20" t="str">
        <f>IF('Construction Planner'!$G$2="Goldmünzen","40000",IF('Construction Planner'!$G$2="Einlagerung",0,"Einstellung wählen"))</f>
        <v>40000</v>
      </c>
      <c r="U20">
        <v>28000</v>
      </c>
      <c r="V20" s="3">
        <f t="shared" si="16"/>
        <v>2542.5486483629516</v>
      </c>
      <c r="W20" s="3"/>
    </row>
    <row r="21" spans="1:23" x14ac:dyDescent="0.25">
      <c r="A21">
        <v>19</v>
      </c>
      <c r="B21" s="3">
        <f t="shared" si="1"/>
        <v>5766.5003344871757</v>
      </c>
      <c r="C21" s="3">
        <f t="shared" si="2"/>
        <v>12814.445187749276</v>
      </c>
      <c r="D21" s="3">
        <f t="shared" si="17"/>
        <v>17299.501003461522</v>
      </c>
      <c r="E21" s="3">
        <f t="shared" si="18"/>
        <v>19221.667781623917</v>
      </c>
      <c r="F21" s="3">
        <f t="shared" si="18"/>
        <v>10251.556150199422</v>
      </c>
      <c r="G21" s="3">
        <f t="shared" si="18"/>
        <v>1025155.6150199419</v>
      </c>
      <c r="H21" s="3">
        <f t="shared" si="18"/>
        <v>202547.43952355577</v>
      </c>
      <c r="I21" s="3">
        <f t="shared" si="5"/>
        <v>3932160000</v>
      </c>
      <c r="J21" s="3">
        <f t="shared" si="6"/>
        <v>14095.889706524205</v>
      </c>
      <c r="K21" s="3">
        <f t="shared" si="7"/>
        <v>640.72225938746385</v>
      </c>
      <c r="L21" s="3">
        <f t="shared" si="8"/>
        <v>14095.889706524205</v>
      </c>
      <c r="M21" s="3">
        <f t="shared" si="9"/>
        <v>6407.2225938746378</v>
      </c>
      <c r="N21" s="3">
        <f t="shared" si="10"/>
        <v>2775.5575615628914</v>
      </c>
      <c r="O21" s="3">
        <f t="shared" si="11"/>
        <v>4801.5375972683478</v>
      </c>
      <c r="P21" s="3">
        <f t="shared" si="12"/>
        <v>4284.8851237183171</v>
      </c>
      <c r="Q21" s="3">
        <f t="shared" si="13"/>
        <v>5060.4933128380853</v>
      </c>
      <c r="R21" s="3">
        <f t="shared" si="14"/>
        <v>4128.389925729708</v>
      </c>
      <c r="S21" s="3">
        <f t="shared" si="15"/>
        <v>2775.5575615628914</v>
      </c>
      <c r="T21" t="str">
        <f>IF('Construction Planner'!$G$2="Goldmünzen","40000",IF('Construction Planner'!$G$2="Einlagerung",0,"Einstellung wählen"))</f>
        <v>40000</v>
      </c>
      <c r="U21">
        <v>28000</v>
      </c>
      <c r="V21" s="3">
        <f t="shared" si="16"/>
        <v>3203.6112969373189</v>
      </c>
      <c r="W21" s="3"/>
    </row>
    <row r="22" spans="1:23" x14ac:dyDescent="0.25">
      <c r="A22">
        <v>20</v>
      </c>
      <c r="B22" s="3">
        <f t="shared" si="1"/>
        <v>7265.7904214538412</v>
      </c>
      <c r="C22" s="3">
        <f t="shared" si="2"/>
        <v>16146.200936564088</v>
      </c>
      <c r="D22" s="3">
        <f t="shared" si="17"/>
        <v>21797.371264361518</v>
      </c>
      <c r="E22" s="3">
        <f t="shared" si="18"/>
        <v>24219.301404846137</v>
      </c>
      <c r="F22" s="3">
        <f t="shared" si="18"/>
        <v>12916.960749251271</v>
      </c>
      <c r="G22" s="3">
        <f t="shared" si="18"/>
        <v>1291696.0749251267</v>
      </c>
      <c r="H22" s="3">
        <f t="shared" si="18"/>
        <v>236980.50424256024</v>
      </c>
      <c r="I22" s="3">
        <f t="shared" si="5"/>
        <v>7864320000</v>
      </c>
      <c r="J22" s="3">
        <f t="shared" si="6"/>
        <v>17760.821030220501</v>
      </c>
      <c r="K22" s="3">
        <f t="shared" si="7"/>
        <v>807.31004682820446</v>
      </c>
      <c r="L22" s="3">
        <f t="shared" si="8"/>
        <v>17760.821030220501</v>
      </c>
      <c r="M22" s="3">
        <f t="shared" si="9"/>
        <v>8073.1004682820439</v>
      </c>
      <c r="N22" s="3">
        <f t="shared" si="10"/>
        <v>3469.4469519536142</v>
      </c>
      <c r="O22" s="3">
        <f t="shared" si="11"/>
        <v>6097.9527485308017</v>
      </c>
      <c r="P22" s="3">
        <f t="shared" si="12"/>
        <v>5364.6761748953331</v>
      </c>
      <c r="Q22" s="3">
        <f t="shared" si="13"/>
        <v>6578.6413066895111</v>
      </c>
      <c r="R22" s="3">
        <f t="shared" si="14"/>
        <v>5222.4132560480803</v>
      </c>
      <c r="S22" s="3">
        <f t="shared" si="15"/>
        <v>3469.4469519536142</v>
      </c>
      <c r="T22" t="str">
        <f>IF('Construction Planner'!$G$2="Goldmünzen","40000",IF('Construction Planner'!$G$2="Einlagerung",0,"Einstellung wählen"))</f>
        <v>40000</v>
      </c>
      <c r="U22">
        <v>28000</v>
      </c>
      <c r="V22" s="3">
        <f t="shared" si="16"/>
        <v>4036.550234141022</v>
      </c>
      <c r="W22" s="3"/>
    </row>
    <row r="23" spans="1:23" x14ac:dyDescent="0.25">
      <c r="A23">
        <v>21</v>
      </c>
      <c r="B23" s="3">
        <f t="shared" si="1"/>
        <v>9154.8959310318405</v>
      </c>
      <c r="C23" s="3">
        <f t="shared" si="2"/>
        <v>20344.21318007075</v>
      </c>
      <c r="D23" s="3">
        <f t="shared" si="17"/>
        <v>27464.687793095512</v>
      </c>
      <c r="E23" s="3">
        <f t="shared" si="18"/>
        <v>30516.319770106133</v>
      </c>
      <c r="F23" s="3">
        <f t="shared" si="18"/>
        <v>16275.370544056603</v>
      </c>
      <c r="G23" s="3">
        <f t="shared" si="18"/>
        <v>1627537.0544056597</v>
      </c>
      <c r="H23" s="3">
        <f t="shared" si="18"/>
        <v>277267.18996379548</v>
      </c>
      <c r="I23" s="3">
        <f t="shared" si="5"/>
        <v>15728640000</v>
      </c>
      <c r="J23" s="3">
        <f t="shared" si="6"/>
        <v>22378.63449807783</v>
      </c>
      <c r="K23" s="3">
        <f t="shared" si="7"/>
        <v>1017.2106590035377</v>
      </c>
      <c r="L23" s="3">
        <f t="shared" si="8"/>
        <v>22378.63449807783</v>
      </c>
      <c r="M23" s="3">
        <f t="shared" si="9"/>
        <v>10172.106590035375</v>
      </c>
      <c r="N23" s="3">
        <f t="shared" si="10"/>
        <v>4336.8086899420177</v>
      </c>
      <c r="O23" s="3">
        <f t="shared" si="11"/>
        <v>7744.3999906341187</v>
      </c>
      <c r="P23" s="3">
        <f t="shared" si="12"/>
        <v>6716.5745709689572</v>
      </c>
      <c r="Q23" s="3">
        <f t="shared" si="13"/>
        <v>8552.2336986963655</v>
      </c>
      <c r="R23" s="3">
        <f t="shared" si="14"/>
        <v>6606.3527689008206</v>
      </c>
      <c r="S23" s="3">
        <f t="shared" si="15"/>
        <v>4336.8086899420177</v>
      </c>
      <c r="T23" t="str">
        <f>IF('Construction Planner'!$G$2="Goldmünzen","40000",IF('Construction Planner'!$G$2="Einlagerung",0,"Einstellung wählen"))</f>
        <v>40000</v>
      </c>
      <c r="U23">
        <v>28000</v>
      </c>
      <c r="V23" s="3">
        <f t="shared" si="16"/>
        <v>5086.0532950176876</v>
      </c>
      <c r="W23" s="3"/>
    </row>
    <row r="24" spans="1:23" x14ac:dyDescent="0.25">
      <c r="A24">
        <v>22</v>
      </c>
      <c r="B24" s="3">
        <f t="shared" si="1"/>
        <v>11535.16887310012</v>
      </c>
      <c r="C24" s="3">
        <f t="shared" si="2"/>
        <v>25633.708606889144</v>
      </c>
      <c r="D24" s="3">
        <f t="shared" si="17"/>
        <v>34605.506619300344</v>
      </c>
      <c r="E24" s="3">
        <f t="shared" si="18"/>
        <v>38450.562910333727</v>
      </c>
      <c r="F24" s="3">
        <f t="shared" si="18"/>
        <v>20506.96688551132</v>
      </c>
      <c r="G24" s="3">
        <f t="shared" si="18"/>
        <v>2050696.6885511312</v>
      </c>
      <c r="H24" s="3">
        <f t="shared" si="18"/>
        <v>324402.61225764069</v>
      </c>
      <c r="I24" s="3">
        <f t="shared" si="5"/>
        <v>31457280000</v>
      </c>
      <c r="J24" s="3">
        <f t="shared" si="6"/>
        <v>28197.079467578067</v>
      </c>
      <c r="K24" s="3">
        <f t="shared" si="7"/>
        <v>1281.6854303444575</v>
      </c>
      <c r="L24" s="3">
        <f t="shared" si="8"/>
        <v>28197.079467578067</v>
      </c>
      <c r="M24" s="3">
        <f t="shared" si="9"/>
        <v>12816.854303444572</v>
      </c>
      <c r="N24" s="3">
        <f t="shared" si="10"/>
        <v>5421.0108624275217</v>
      </c>
      <c r="O24" s="3">
        <f t="shared" si="11"/>
        <v>9835.3879881053308</v>
      </c>
      <c r="P24" s="3">
        <f t="shared" si="12"/>
        <v>8409.1513628531338</v>
      </c>
      <c r="Q24" s="3">
        <f t="shared" si="13"/>
        <v>11117.903808305276</v>
      </c>
      <c r="R24" s="3">
        <f t="shared" si="14"/>
        <v>8357.0362526595381</v>
      </c>
      <c r="S24" s="3">
        <f t="shared" si="15"/>
        <v>5421.0108624275217</v>
      </c>
      <c r="T24" t="str">
        <f>IF('Construction Planner'!$G$2="Goldmünzen","40000",IF('Construction Planner'!$G$2="Einlagerung",0,"Einstellung wählen"))</f>
        <v>40000</v>
      </c>
      <c r="U24">
        <v>28000</v>
      </c>
      <c r="V24" s="3">
        <f t="shared" si="16"/>
        <v>6408.427151722286</v>
      </c>
      <c r="W24" s="3"/>
    </row>
    <row r="25" spans="1:23" x14ac:dyDescent="0.25">
      <c r="A25">
        <v>23</v>
      </c>
      <c r="B25" s="3">
        <f t="shared" si="1"/>
        <v>14534.312780106151</v>
      </c>
      <c r="C25" s="3">
        <f t="shared" si="2"/>
        <v>32298.47284468032</v>
      </c>
      <c r="D25" s="3">
        <f t="shared" si="17"/>
        <v>43602.938340318433</v>
      </c>
      <c r="E25" s="3">
        <f t="shared" si="18"/>
        <v>48447.709267020495</v>
      </c>
      <c r="F25" s="3">
        <f t="shared" si="18"/>
        <v>25838.778275744262</v>
      </c>
      <c r="G25" s="3">
        <f t="shared" si="18"/>
        <v>2583877.8275744254</v>
      </c>
      <c r="H25" s="3">
        <f t="shared" si="18"/>
        <v>379551.0563414396</v>
      </c>
      <c r="I25" s="3">
        <f t="shared" si="5"/>
        <v>62914560000</v>
      </c>
      <c r="J25" s="3">
        <f t="shared" si="6"/>
        <v>35528.320129148364</v>
      </c>
      <c r="K25" s="3">
        <f t="shared" si="7"/>
        <v>1614.9236422340164</v>
      </c>
      <c r="L25" s="3">
        <f t="shared" si="8"/>
        <v>35528.320129148364</v>
      </c>
      <c r="M25" s="3">
        <f t="shared" si="9"/>
        <v>16149.23642234016</v>
      </c>
      <c r="N25" s="3">
        <f t="shared" si="10"/>
        <v>6776.2635780344026</v>
      </c>
      <c r="O25" s="3">
        <f t="shared" si="11"/>
        <v>12490.942744893769</v>
      </c>
      <c r="P25" s="3">
        <f t="shared" si="12"/>
        <v>10528.257506292124</v>
      </c>
      <c r="Q25" s="3">
        <f t="shared" si="13"/>
        <v>14453.27495079686</v>
      </c>
      <c r="R25" s="3">
        <f t="shared" si="14"/>
        <v>10571.650859614316</v>
      </c>
      <c r="S25" s="3">
        <f t="shared" si="15"/>
        <v>6776.2635780344026</v>
      </c>
      <c r="T25" t="str">
        <f>IF('Construction Planner'!$G$2="Goldmünzen","40000",IF('Construction Planner'!$G$2="Einlagerung",0,"Einstellung wählen"))</f>
        <v>40000</v>
      </c>
      <c r="U25">
        <v>28000</v>
      </c>
      <c r="V25" s="3">
        <f t="shared" si="16"/>
        <v>8074.61821117008</v>
      </c>
      <c r="W25" s="3"/>
    </row>
    <row r="26" spans="1:23" x14ac:dyDescent="0.25">
      <c r="A26">
        <v>24</v>
      </c>
      <c r="B26" s="3">
        <f t="shared" si="1"/>
        <v>18313.234102933751</v>
      </c>
      <c r="C26" s="3">
        <f t="shared" si="2"/>
        <v>40696.075784297202</v>
      </c>
      <c r="D26" s="3">
        <f t="shared" si="17"/>
        <v>54939.702308801228</v>
      </c>
      <c r="E26" s="3">
        <f t="shared" si="18"/>
        <v>61044.113676445821</v>
      </c>
      <c r="F26" s="3">
        <f t="shared" si="18"/>
        <v>32556.860627437771</v>
      </c>
      <c r="G26" s="3">
        <f t="shared" si="18"/>
        <v>3255686.062743776</v>
      </c>
      <c r="H26" s="3">
        <f t="shared" si="18"/>
        <v>444074.73591948429</v>
      </c>
      <c r="I26" s="3">
        <f t="shared" si="5"/>
        <v>125829120000</v>
      </c>
      <c r="J26" s="3">
        <f t="shared" si="6"/>
        <v>44765.683362726937</v>
      </c>
      <c r="K26" s="3">
        <f t="shared" si="7"/>
        <v>2034.8037892148607</v>
      </c>
      <c r="L26" s="3">
        <f t="shared" si="8"/>
        <v>44765.683362726937</v>
      </c>
      <c r="M26" s="3">
        <f t="shared" si="9"/>
        <v>20348.037892148601</v>
      </c>
      <c r="N26" s="3">
        <f t="shared" si="10"/>
        <v>8470.3294725430023</v>
      </c>
      <c r="O26" s="3">
        <f t="shared" si="11"/>
        <v>15863.497286015088</v>
      </c>
      <c r="P26" s="3">
        <f t="shared" si="12"/>
        <v>13181.378397877739</v>
      </c>
      <c r="Q26" s="3">
        <f t="shared" si="13"/>
        <v>18789.257436035918</v>
      </c>
      <c r="R26" s="3">
        <f t="shared" si="14"/>
        <v>13373.138337412109</v>
      </c>
      <c r="S26" s="3">
        <f t="shared" si="15"/>
        <v>8470.3294725430023</v>
      </c>
      <c r="T26" t="str">
        <f>IF('Construction Planner'!$G$2="Goldmünzen","40000",IF('Construction Planner'!$G$2="Einlagerung",0,"Einstellung wählen"))</f>
        <v>40000</v>
      </c>
      <c r="U26">
        <v>28000</v>
      </c>
      <c r="V26" s="3">
        <f t="shared" si="16"/>
        <v>10174.0189460743</v>
      </c>
      <c r="W26" s="3"/>
    </row>
    <row r="27" spans="1:23" x14ac:dyDescent="0.25">
      <c r="A27">
        <v>25</v>
      </c>
      <c r="B27" s="3">
        <f t="shared" si="1"/>
        <v>23074.674969696527</v>
      </c>
      <c r="C27" s="3">
        <f t="shared" si="2"/>
        <v>51277.055488214472</v>
      </c>
      <c r="D27" s="3">
        <f t="shared" si="17"/>
        <v>69224.024909089552</v>
      </c>
      <c r="E27" s="3">
        <f t="shared" si="18"/>
        <v>76915.583232321733</v>
      </c>
      <c r="F27" s="3">
        <f t="shared" si="18"/>
        <v>41021.644390571593</v>
      </c>
      <c r="G27" s="3">
        <f t="shared" si="18"/>
        <v>4102164.4390571578</v>
      </c>
      <c r="H27" s="3">
        <f t="shared" si="18"/>
        <v>519567.44102579658</v>
      </c>
      <c r="I27" s="3">
        <f t="shared" si="5"/>
        <v>251658240000</v>
      </c>
      <c r="J27" s="3">
        <f t="shared" si="6"/>
        <v>56404.76103703594</v>
      </c>
      <c r="K27" s="3">
        <f t="shared" si="7"/>
        <v>2563.8527744107246</v>
      </c>
      <c r="L27" s="3">
        <f t="shared" si="8"/>
        <v>56404.76103703594</v>
      </c>
      <c r="M27" s="3">
        <f t="shared" si="9"/>
        <v>25638.527744107236</v>
      </c>
      <c r="N27" s="3">
        <f t="shared" si="10"/>
        <v>10587.911840678753</v>
      </c>
      <c r="O27" s="3">
        <f t="shared" si="11"/>
        <v>20146.641553239162</v>
      </c>
      <c r="P27" s="3">
        <f t="shared" si="12"/>
        <v>16503.085754142929</v>
      </c>
      <c r="Q27" s="3">
        <f t="shared" si="13"/>
        <v>24426.034666846695</v>
      </c>
      <c r="R27" s="3">
        <f t="shared" si="14"/>
        <v>16917.019996826315</v>
      </c>
      <c r="S27" s="3">
        <f t="shared" si="15"/>
        <v>10587.911840678753</v>
      </c>
      <c r="T27" t="str">
        <f>IF('Construction Planner'!$G$2="Goldmünzen","40000",IF('Construction Planner'!$G$2="Einlagerung",0,"Einstellung wählen"))</f>
        <v>40000</v>
      </c>
      <c r="U27">
        <v>28000</v>
      </c>
      <c r="V27" s="3">
        <f t="shared" si="16"/>
        <v>12819.263872053618</v>
      </c>
      <c r="W27" s="3"/>
    </row>
    <row r="28" spans="1:23" x14ac:dyDescent="0.25">
      <c r="A28">
        <v>26</v>
      </c>
      <c r="B28" s="3">
        <f t="shared" si="1"/>
        <v>29074.090461817625</v>
      </c>
      <c r="C28" s="3">
        <f t="shared" si="2"/>
        <v>64609.089915150238</v>
      </c>
      <c r="D28" s="3">
        <f t="shared" si="17"/>
        <v>87222.271385452841</v>
      </c>
      <c r="E28" s="3">
        <f t="shared" si="18"/>
        <v>96913.634872725379</v>
      </c>
      <c r="F28" s="3">
        <f t="shared" si="18"/>
        <v>51687.271932120209</v>
      </c>
      <c r="G28" s="3">
        <f t="shared" si="18"/>
        <v>5168727.1932120193</v>
      </c>
      <c r="H28" s="3">
        <f t="shared" si="18"/>
        <v>607893.90600018192</v>
      </c>
      <c r="I28" s="3">
        <f t="shared" si="5"/>
        <v>503316480000</v>
      </c>
      <c r="J28" s="3">
        <f t="shared" si="6"/>
        <v>71069.998906665278</v>
      </c>
      <c r="K28" s="3">
        <f t="shared" si="7"/>
        <v>3230.4544957575131</v>
      </c>
      <c r="L28" s="3">
        <f t="shared" si="8"/>
        <v>71069.998906665278</v>
      </c>
      <c r="M28" s="3">
        <f t="shared" si="9"/>
        <v>32304.544957575119</v>
      </c>
      <c r="N28" s="3">
        <f t="shared" si="10"/>
        <v>13234.889800848441</v>
      </c>
      <c r="O28" s="3">
        <f t="shared" si="11"/>
        <v>25586.234772613738</v>
      </c>
      <c r="P28" s="3">
        <f t="shared" si="12"/>
        <v>20661.863364186946</v>
      </c>
      <c r="Q28" s="3">
        <f t="shared" si="13"/>
        <v>31753.845066900703</v>
      </c>
      <c r="R28" s="3">
        <f t="shared" si="14"/>
        <v>21400.030295985285</v>
      </c>
      <c r="S28" s="3">
        <f t="shared" si="15"/>
        <v>13234.889800848441</v>
      </c>
      <c r="T28" t="str">
        <f>IF('Construction Planner'!$G$2="Goldmünzen","40000",IF('Construction Planner'!$G$2="Einlagerung",0,"Einstellung wählen"))</f>
        <v>40000</v>
      </c>
      <c r="U28">
        <v>28000</v>
      </c>
      <c r="V28" s="3">
        <f t="shared" si="16"/>
        <v>16152.27247878756</v>
      </c>
      <c r="W28" s="3"/>
    </row>
    <row r="29" spans="1:23" x14ac:dyDescent="0.25">
      <c r="A29">
        <v>27</v>
      </c>
      <c r="B29" s="3">
        <f t="shared" si="1"/>
        <v>36633.353981890206</v>
      </c>
      <c r="C29" s="3">
        <f t="shared" si="2"/>
        <v>81407.453293089304</v>
      </c>
      <c r="D29" s="3">
        <f t="shared" si="17"/>
        <v>109900.06194567058</v>
      </c>
      <c r="E29" s="3">
        <f t="shared" si="18"/>
        <v>122111.17993963398</v>
      </c>
      <c r="F29" s="3">
        <f t="shared" si="18"/>
        <v>65125.962634471463</v>
      </c>
      <c r="G29" s="3">
        <f t="shared" si="18"/>
        <v>6512596.2634471441</v>
      </c>
      <c r="H29" s="3">
        <f t="shared" si="18"/>
        <v>711235.87002021284</v>
      </c>
      <c r="I29" s="3">
        <f t="shared" si="5"/>
        <v>1006632960000</v>
      </c>
      <c r="J29" s="3">
        <f t="shared" si="6"/>
        <v>89548.198622398253</v>
      </c>
      <c r="K29" s="3">
        <f t="shared" si="7"/>
        <v>4070.3726646544665</v>
      </c>
      <c r="L29" s="3">
        <f t="shared" si="8"/>
        <v>89548.198622398253</v>
      </c>
      <c r="M29" s="3">
        <f t="shared" si="9"/>
        <v>40703.726646544652</v>
      </c>
      <c r="N29" s="3">
        <f t="shared" si="10"/>
        <v>16543.612251060553</v>
      </c>
      <c r="O29" s="3">
        <f t="shared" si="11"/>
        <v>32494.518161219446</v>
      </c>
      <c r="P29" s="3">
        <f t="shared" si="12"/>
        <v>25868.652931962057</v>
      </c>
      <c r="Q29" s="3">
        <f t="shared" si="13"/>
        <v>41279.998586970913</v>
      </c>
      <c r="R29" s="3">
        <f t="shared" si="14"/>
        <v>27071.038324421384</v>
      </c>
      <c r="S29" s="3">
        <f t="shared" si="15"/>
        <v>16543.612251060553</v>
      </c>
      <c r="T29" t="str">
        <f>IF('Construction Planner'!$G$2="Goldmünzen","40000",IF('Construction Planner'!$G$2="Einlagerung",0,"Einstellung wählen"))</f>
        <v>40000</v>
      </c>
      <c r="U29">
        <v>28000</v>
      </c>
      <c r="V29" s="3">
        <f t="shared" si="16"/>
        <v>20351.863323272326</v>
      </c>
      <c r="W29" s="3"/>
    </row>
    <row r="30" spans="1:23" x14ac:dyDescent="0.25">
      <c r="A30">
        <v>28</v>
      </c>
      <c r="B30" s="3">
        <f t="shared" si="1"/>
        <v>46158.026017181663</v>
      </c>
      <c r="C30" s="3">
        <f t="shared" si="2"/>
        <v>102573.39114929253</v>
      </c>
      <c r="D30" s="3">
        <f t="shared" si="17"/>
        <v>138474.07805154493</v>
      </c>
      <c r="E30" s="3">
        <f t="shared" si="18"/>
        <v>153860.08672393882</v>
      </c>
      <c r="F30" s="3">
        <f t="shared" si="18"/>
        <v>82058.712919434038</v>
      </c>
      <c r="G30" s="3">
        <f t="shared" si="18"/>
        <v>8205871.291943402</v>
      </c>
      <c r="H30" s="3">
        <f t="shared" si="18"/>
        <v>832145.967923649</v>
      </c>
      <c r="I30" s="3">
        <f t="shared" si="5"/>
        <v>2013265920000</v>
      </c>
      <c r="J30" s="3">
        <f t="shared" si="6"/>
        <v>112830.7302642218</v>
      </c>
      <c r="K30" s="3">
        <f t="shared" si="7"/>
        <v>5128.6695574646274</v>
      </c>
      <c r="L30" s="3">
        <f t="shared" si="8"/>
        <v>112830.7302642218</v>
      </c>
      <c r="M30" s="3">
        <f t="shared" si="9"/>
        <v>51286.695574646263</v>
      </c>
      <c r="N30" s="3">
        <f t="shared" si="10"/>
        <v>20679.51531382569</v>
      </c>
      <c r="O30" s="3">
        <f t="shared" si="11"/>
        <v>41268.038064748696</v>
      </c>
      <c r="P30" s="3">
        <f t="shared" si="12"/>
        <v>32387.553470816496</v>
      </c>
      <c r="Q30" s="3">
        <f t="shared" si="13"/>
        <v>53663.998163062191</v>
      </c>
      <c r="R30" s="3">
        <f t="shared" si="14"/>
        <v>34244.863480393047</v>
      </c>
      <c r="S30" s="3">
        <f t="shared" si="15"/>
        <v>20679.51531382569</v>
      </c>
      <c r="T30" t="str">
        <f>IF('Construction Planner'!$G$2="Goldmünzen","40000",IF('Construction Planner'!$G$2="Einlagerung",0,"Einstellung wählen"))</f>
        <v>40000</v>
      </c>
      <c r="U30">
        <v>28000</v>
      </c>
      <c r="V30" s="3">
        <f t="shared" si="16"/>
        <v>25643.347787323131</v>
      </c>
      <c r="W30" s="3"/>
    </row>
    <row r="31" spans="1:23" x14ac:dyDescent="0.25">
      <c r="A31">
        <v>29</v>
      </c>
      <c r="B31" s="3">
        <f t="shared" si="1"/>
        <v>58159.112781648895</v>
      </c>
      <c r="C31" s="3">
        <f t="shared" si="2"/>
        <v>129242.47284810858</v>
      </c>
      <c r="D31" s="3">
        <f t="shared" si="17"/>
        <v>174477.33834494662</v>
      </c>
      <c r="E31" s="3">
        <f t="shared" si="18"/>
        <v>193863.7092721629</v>
      </c>
      <c r="F31" s="3">
        <f t="shared" si="18"/>
        <v>103393.97827848689</v>
      </c>
      <c r="G31" s="3">
        <f t="shared" si="18"/>
        <v>10339397.827848686</v>
      </c>
      <c r="H31" s="3">
        <f t="shared" si="18"/>
        <v>973610.78247066925</v>
      </c>
      <c r="I31" s="3">
        <f t="shared" si="5"/>
        <v>4026531840000</v>
      </c>
      <c r="J31" s="3">
        <f t="shared" si="6"/>
        <v>142166.72013291946</v>
      </c>
      <c r="K31" s="3">
        <f t="shared" si="7"/>
        <v>6462.1236424054305</v>
      </c>
      <c r="L31" s="3">
        <f t="shared" si="8"/>
        <v>142166.72013291946</v>
      </c>
      <c r="M31" s="3">
        <f t="shared" si="9"/>
        <v>64621.236424054288</v>
      </c>
      <c r="N31" s="3">
        <f t="shared" si="10"/>
        <v>25849.394142282112</v>
      </c>
      <c r="O31" s="3">
        <f t="shared" si="11"/>
        <v>52410.408342230847</v>
      </c>
      <c r="P31" s="3">
        <f t="shared" si="12"/>
        <v>40549.216945462256</v>
      </c>
      <c r="Q31" s="3">
        <f t="shared" si="13"/>
        <v>69763.197611980853</v>
      </c>
      <c r="R31" s="3">
        <f t="shared" si="14"/>
        <v>43319.752302697205</v>
      </c>
      <c r="S31" s="3">
        <f t="shared" si="15"/>
        <v>25849.394142282112</v>
      </c>
      <c r="T31" t="str">
        <f>IF('Construction Planner'!$G$2="Goldmünzen","40000",IF('Construction Planner'!$G$2="Einlagerung",0,"Einstellung wählen"))</f>
        <v>40000</v>
      </c>
      <c r="U31">
        <v>28000</v>
      </c>
      <c r="V31" s="3">
        <f t="shared" si="16"/>
        <v>32310.618212027144</v>
      </c>
      <c r="W31" s="3"/>
    </row>
    <row r="32" spans="1:23" x14ac:dyDescent="0.25">
      <c r="A32">
        <v>30</v>
      </c>
      <c r="B32" s="3">
        <f t="shared" si="1"/>
        <v>73280.482104877607</v>
      </c>
      <c r="C32" s="3">
        <f t="shared" si="2"/>
        <v>162845.51578861682</v>
      </c>
      <c r="D32" s="3">
        <f t="shared" si="17"/>
        <v>219841.44631463275</v>
      </c>
      <c r="E32" s="3">
        <f t="shared" si="18"/>
        <v>244268.27368292527</v>
      </c>
      <c r="F32" s="3">
        <f t="shared" si="18"/>
        <v>130276.41263089348</v>
      </c>
      <c r="G32" s="3">
        <f t="shared" si="18"/>
        <v>13027641.263089344</v>
      </c>
      <c r="H32" s="3">
        <f t="shared" si="18"/>
        <v>1139124.6154906829</v>
      </c>
      <c r="I32" s="3">
        <f t="shared" si="5"/>
        <v>8053063680000</v>
      </c>
      <c r="J32" s="3">
        <f t="shared" si="6"/>
        <v>179130.06736747854</v>
      </c>
      <c r="K32" s="3">
        <f t="shared" si="7"/>
        <v>8142.2757894308425</v>
      </c>
      <c r="L32" s="3">
        <f t="shared" si="8"/>
        <v>179130.06736747854</v>
      </c>
      <c r="M32" s="3">
        <f t="shared" si="9"/>
        <v>81422.757894308408</v>
      </c>
      <c r="N32" s="3">
        <f t="shared" si="10"/>
        <v>32311.742677852639</v>
      </c>
      <c r="O32" s="3">
        <f t="shared" si="11"/>
        <v>66561.218594633174</v>
      </c>
      <c r="P32" s="3">
        <f t="shared" si="12"/>
        <v>50767.619615718744</v>
      </c>
      <c r="Q32" s="3">
        <f t="shared" si="13"/>
        <v>90692.156895575114</v>
      </c>
      <c r="R32" s="3">
        <f t="shared" si="14"/>
        <v>54799.486662911957</v>
      </c>
      <c r="S32" s="3">
        <f t="shared" si="15"/>
        <v>32311.742677852639</v>
      </c>
      <c r="T32" t="str">
        <f>IF('Construction Planner'!$G$2="Goldmünzen","40000",IF('Construction Planner'!$G$2="Einlagerung",0,"Einstellung wählen"))</f>
        <v>40000</v>
      </c>
      <c r="U32">
        <v>28000</v>
      </c>
      <c r="V32" s="3">
        <f t="shared" si="16"/>
        <v>40711.378947154204</v>
      </c>
      <c r="W32" s="3"/>
    </row>
  </sheetData>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5"/>
  <dimension ref="A1:V32"/>
  <sheetViews>
    <sheetView topLeftCell="K1" workbookViewId="0">
      <selection activeCell="T1" sqref="T1"/>
    </sheetView>
  </sheetViews>
  <sheetFormatPr baseColWidth="10" defaultRowHeight="15" x14ac:dyDescent="0.25"/>
  <cols>
    <col min="1" max="259" width="9.140625" customWidth="1"/>
  </cols>
  <sheetData>
    <row r="1" spans="1:22" x14ac:dyDescent="0.25">
      <c r="B1" s="1" t="s">
        <v>0</v>
      </c>
      <c r="C1" s="1" t="s">
        <v>1</v>
      </c>
      <c r="D1" s="1" t="s">
        <v>2</v>
      </c>
      <c r="E1" s="1" t="s">
        <v>3</v>
      </c>
      <c r="F1" s="59" t="s">
        <v>59</v>
      </c>
      <c r="G1" s="59" t="s">
        <v>60</v>
      </c>
      <c r="H1" s="321" t="s">
        <v>64</v>
      </c>
      <c r="I1" s="1" t="s">
        <v>4</v>
      </c>
      <c r="J1" s="1" t="s">
        <v>5</v>
      </c>
      <c r="K1" s="1" t="s">
        <v>6</v>
      </c>
      <c r="L1" s="1" t="s">
        <v>7</v>
      </c>
      <c r="M1" s="1" t="s">
        <v>8</v>
      </c>
      <c r="N1" s="1" t="s">
        <v>9</v>
      </c>
      <c r="O1" s="1" t="s">
        <v>10</v>
      </c>
      <c r="P1" s="1" t="s">
        <v>11</v>
      </c>
      <c r="Q1" s="1" t="s">
        <v>12</v>
      </c>
      <c r="R1" s="1" t="s">
        <v>13</v>
      </c>
      <c r="S1" s="1" t="s">
        <v>14</v>
      </c>
      <c r="T1" s="1" t="s">
        <v>107</v>
      </c>
      <c r="U1" t="str">
        <f>IF('Construction Planner'!$G$2="Goldmünzen","Coin",IF('Construction Planner'!$G$2="Einlagerung","Package","Einstellung wählen"))</f>
        <v>Coin</v>
      </c>
      <c r="V1" s="1" t="s">
        <v>15</v>
      </c>
    </row>
    <row r="2" spans="1:22" x14ac:dyDescent="0.25">
      <c r="A2" s="6" t="s">
        <v>20</v>
      </c>
      <c r="B2" s="1">
        <v>1.2749999999999999</v>
      </c>
      <c r="C2" s="1">
        <v>1.28</v>
      </c>
      <c r="D2" s="1">
        <v>1.28</v>
      </c>
      <c r="E2" s="1">
        <v>1.28</v>
      </c>
      <c r="F2" s="1">
        <v>1.28</v>
      </c>
      <c r="G2" s="1">
        <v>1.28</v>
      </c>
      <c r="H2" s="1">
        <v>1.17</v>
      </c>
      <c r="I2" s="1">
        <v>2</v>
      </c>
      <c r="J2" s="1">
        <v>1.2749999999999999</v>
      </c>
      <c r="K2" s="1">
        <v>1.2749999999999999</v>
      </c>
      <c r="L2" s="1">
        <v>1.2749999999999999</v>
      </c>
      <c r="M2" s="1">
        <v>1.2749999999999999</v>
      </c>
      <c r="N2" s="1">
        <v>1.2749999999999999</v>
      </c>
      <c r="O2" s="1">
        <v>1.2649999999999999</v>
      </c>
      <c r="P2" s="1">
        <v>1.2749999999999999</v>
      </c>
      <c r="Q2" s="1">
        <v>1.32</v>
      </c>
      <c r="R2" s="1">
        <v>1.27</v>
      </c>
      <c r="S2" s="1">
        <v>1.25</v>
      </c>
      <c r="T2" s="1">
        <v>1</v>
      </c>
      <c r="U2" s="1">
        <v>1</v>
      </c>
      <c r="V2" s="1">
        <v>1.2749999999999999</v>
      </c>
    </row>
    <row r="3" spans="1:22" x14ac:dyDescent="0.25">
      <c r="A3">
        <v>1</v>
      </c>
      <c r="B3">
        <v>80</v>
      </c>
      <c r="C3">
        <v>170</v>
      </c>
      <c r="D3">
        <v>240</v>
      </c>
      <c r="E3">
        <v>240</v>
      </c>
      <c r="F3">
        <v>200</v>
      </c>
      <c r="G3">
        <v>20000</v>
      </c>
      <c r="H3">
        <v>14000</v>
      </c>
      <c r="I3">
        <v>25000</v>
      </c>
      <c r="J3">
        <v>180</v>
      </c>
      <c r="K3">
        <v>40</v>
      </c>
      <c r="L3">
        <v>220</v>
      </c>
      <c r="M3">
        <v>100</v>
      </c>
      <c r="N3">
        <v>60</v>
      </c>
      <c r="O3">
        <v>50</v>
      </c>
      <c r="P3">
        <v>65</v>
      </c>
      <c r="Q3">
        <v>40</v>
      </c>
      <c r="R3">
        <v>50</v>
      </c>
      <c r="S3">
        <v>60</v>
      </c>
      <c r="T3" t="str">
        <f>IF('Construction Planner'!$G$2="Goldmünzen","50000",IF('Construction Planner'!$G$2="Einlagerung",0,"Einstellung wählen"))</f>
        <v>50000</v>
      </c>
      <c r="U3">
        <v>30000</v>
      </c>
      <c r="V3">
        <v>100</v>
      </c>
    </row>
    <row r="4" spans="1:22" x14ac:dyDescent="0.25">
      <c r="A4">
        <v>2</v>
      </c>
      <c r="B4" s="3">
        <f t="shared" ref="B4:S4" si="0">B3*B$2</f>
        <v>102</v>
      </c>
      <c r="C4" s="3">
        <f t="shared" si="0"/>
        <v>217.6</v>
      </c>
      <c r="D4" s="3">
        <f t="shared" si="0"/>
        <v>307.2</v>
      </c>
      <c r="E4" s="3">
        <f t="shared" si="0"/>
        <v>307.2</v>
      </c>
      <c r="F4" s="3">
        <f t="shared" si="0"/>
        <v>256</v>
      </c>
      <c r="G4" s="3">
        <f t="shared" si="0"/>
        <v>25600</v>
      </c>
      <c r="H4" s="3">
        <f t="shared" si="0"/>
        <v>16379.999999999998</v>
      </c>
      <c r="I4" s="3">
        <f t="shared" si="0"/>
        <v>50000</v>
      </c>
      <c r="J4" s="3">
        <f t="shared" si="0"/>
        <v>229.49999999999997</v>
      </c>
      <c r="K4" s="3">
        <f t="shared" si="0"/>
        <v>51</v>
      </c>
      <c r="L4" s="3">
        <f t="shared" si="0"/>
        <v>280.5</v>
      </c>
      <c r="M4" s="3">
        <f t="shared" si="0"/>
        <v>127.49999999999999</v>
      </c>
      <c r="N4" s="3">
        <f t="shared" si="0"/>
        <v>76.5</v>
      </c>
      <c r="O4" s="3">
        <f t="shared" si="0"/>
        <v>63.249999999999993</v>
      </c>
      <c r="P4" s="3">
        <f t="shared" si="0"/>
        <v>82.875</v>
      </c>
      <c r="Q4" s="3">
        <f t="shared" si="0"/>
        <v>52.800000000000004</v>
      </c>
      <c r="R4" s="3">
        <f t="shared" si="0"/>
        <v>63.5</v>
      </c>
      <c r="S4" s="3">
        <f t="shared" si="0"/>
        <v>75</v>
      </c>
      <c r="T4" t="str">
        <f>IF('Construction Planner'!$G$2="Goldmünzen","50000",IF('Construction Planner'!$G$2="Einlagerung",0,"Einstellung wählen"))</f>
        <v>50000</v>
      </c>
      <c r="U4">
        <v>30000</v>
      </c>
      <c r="V4" s="3">
        <f>V3*V$2</f>
        <v>127.49999999999999</v>
      </c>
    </row>
    <row r="5" spans="1:22" x14ac:dyDescent="0.25">
      <c r="A5">
        <v>3</v>
      </c>
      <c r="B5" s="3">
        <f t="shared" ref="B5:B32" si="1">B4*B$2</f>
        <v>130.04999999999998</v>
      </c>
      <c r="C5" s="3">
        <f t="shared" ref="C5:C32" si="2">C4*C$2</f>
        <v>278.52800000000002</v>
      </c>
      <c r="D5" s="3">
        <f t="shared" ref="D5:H32" si="3">D4*D$2</f>
        <v>393.21600000000001</v>
      </c>
      <c r="E5" s="3">
        <f t="shared" si="3"/>
        <v>393.21600000000001</v>
      </c>
      <c r="F5" s="3">
        <f t="shared" si="3"/>
        <v>327.68</v>
      </c>
      <c r="G5" s="3">
        <f t="shared" si="3"/>
        <v>32768</v>
      </c>
      <c r="H5" s="3">
        <f t="shared" ref="H5:H19" si="4">H4*H$2</f>
        <v>19164.599999999995</v>
      </c>
      <c r="I5" s="3">
        <f t="shared" ref="I5:I32" si="5">I4*I$2</f>
        <v>100000</v>
      </c>
      <c r="J5" s="3">
        <f t="shared" ref="J5:J32" si="6">J4*J$2</f>
        <v>292.61249999999995</v>
      </c>
      <c r="K5" s="3">
        <f t="shared" ref="K5:K32" si="7">K4*K$2</f>
        <v>65.024999999999991</v>
      </c>
      <c r="L5" s="3">
        <f t="shared" ref="L5:L32" si="8">L4*L$2</f>
        <v>357.63749999999999</v>
      </c>
      <c r="M5" s="3">
        <f t="shared" ref="M5:M32" si="9">M4*M$2</f>
        <v>162.56249999999997</v>
      </c>
      <c r="N5" s="3">
        <f t="shared" ref="N5:N32" si="10">N4*N$2</f>
        <v>97.537499999999994</v>
      </c>
      <c r="O5" s="3">
        <f t="shared" ref="O5:O32" si="11">O4*O$2</f>
        <v>80.01124999999999</v>
      </c>
      <c r="P5" s="3">
        <f t="shared" ref="P5:P32" si="12">P4*P$2</f>
        <v>105.66562499999999</v>
      </c>
      <c r="Q5" s="3">
        <f t="shared" ref="Q5:Q32" si="13">Q4*Q$2</f>
        <v>69.696000000000012</v>
      </c>
      <c r="R5" s="3">
        <f t="shared" ref="R5:R32" si="14">R4*R$2</f>
        <v>80.644999999999996</v>
      </c>
      <c r="S5" s="3">
        <f t="shared" ref="S5:S32" si="15">S4*S$2</f>
        <v>93.75</v>
      </c>
      <c r="T5" t="str">
        <f>IF('Construction Planner'!$G$2="Goldmünzen","50000",IF('Construction Planner'!$G$2="Einlagerung",0,"Einstellung wählen"))</f>
        <v>50000</v>
      </c>
      <c r="U5">
        <v>30000</v>
      </c>
      <c r="V5" s="3">
        <f t="shared" ref="V5:V32" si="16">V4*V$2</f>
        <v>162.56249999999997</v>
      </c>
    </row>
    <row r="6" spans="1:22" x14ac:dyDescent="0.25">
      <c r="A6">
        <v>4</v>
      </c>
      <c r="B6" s="3">
        <f t="shared" si="1"/>
        <v>165.81374999999997</v>
      </c>
      <c r="C6" s="3">
        <f t="shared" si="2"/>
        <v>356.51584000000003</v>
      </c>
      <c r="D6" s="3">
        <f t="shared" si="3"/>
        <v>503.31648000000001</v>
      </c>
      <c r="E6" s="3">
        <f t="shared" si="3"/>
        <v>503.31648000000001</v>
      </c>
      <c r="F6" s="3">
        <f t="shared" si="3"/>
        <v>419.43040000000002</v>
      </c>
      <c r="G6" s="3">
        <f t="shared" si="3"/>
        <v>41943.040000000001</v>
      </c>
      <c r="H6" s="3">
        <f t="shared" si="4"/>
        <v>22422.581999999991</v>
      </c>
      <c r="I6" s="3">
        <f t="shared" si="5"/>
        <v>200000</v>
      </c>
      <c r="J6" s="3">
        <f t="shared" si="6"/>
        <v>373.08093749999989</v>
      </c>
      <c r="K6" s="3">
        <f t="shared" si="7"/>
        <v>82.906874999999985</v>
      </c>
      <c r="L6" s="3">
        <f t="shared" si="8"/>
        <v>455.98781249999996</v>
      </c>
      <c r="M6" s="3">
        <f t="shared" si="9"/>
        <v>207.26718749999995</v>
      </c>
      <c r="N6" s="3">
        <f t="shared" si="10"/>
        <v>124.36031249999998</v>
      </c>
      <c r="O6" s="3">
        <f t="shared" si="11"/>
        <v>101.21423124999998</v>
      </c>
      <c r="P6" s="3">
        <f t="shared" si="12"/>
        <v>134.72367187499998</v>
      </c>
      <c r="Q6" s="3">
        <f t="shared" si="13"/>
        <v>91.99872000000002</v>
      </c>
      <c r="R6" s="3">
        <f t="shared" si="14"/>
        <v>102.41915</v>
      </c>
      <c r="S6" s="3">
        <f t="shared" si="15"/>
        <v>117.1875</v>
      </c>
      <c r="T6" t="str">
        <f>IF('Construction Planner'!$G$2="Goldmünzen","50000",IF('Construction Planner'!$G$2="Einlagerung",0,"Einstellung wählen"))</f>
        <v>50000</v>
      </c>
      <c r="U6">
        <v>30000</v>
      </c>
      <c r="V6" s="3">
        <f t="shared" si="16"/>
        <v>207.26718749999995</v>
      </c>
    </row>
    <row r="7" spans="1:22" x14ac:dyDescent="0.25">
      <c r="A7">
        <v>5</v>
      </c>
      <c r="B7" s="3">
        <f t="shared" si="1"/>
        <v>211.41253124999994</v>
      </c>
      <c r="C7" s="3">
        <f t="shared" si="2"/>
        <v>456.34027520000006</v>
      </c>
      <c r="D7" s="3">
        <f t="shared" si="3"/>
        <v>644.24509440000008</v>
      </c>
      <c r="E7" s="3">
        <f t="shared" si="3"/>
        <v>644.24509440000008</v>
      </c>
      <c r="F7" s="3">
        <f t="shared" si="3"/>
        <v>536.87091200000009</v>
      </c>
      <c r="G7" s="3">
        <f t="shared" si="3"/>
        <v>53687.091200000003</v>
      </c>
      <c r="H7" s="3">
        <f t="shared" si="4"/>
        <v>26234.420939999989</v>
      </c>
      <c r="I7" s="3">
        <f t="shared" si="5"/>
        <v>400000</v>
      </c>
      <c r="J7" s="3">
        <f t="shared" si="6"/>
        <v>475.67819531249984</v>
      </c>
      <c r="K7" s="3">
        <f t="shared" si="7"/>
        <v>105.70626562499997</v>
      </c>
      <c r="L7" s="3">
        <f t="shared" si="8"/>
        <v>581.38446093749997</v>
      </c>
      <c r="M7" s="3">
        <f t="shared" si="9"/>
        <v>264.26566406249992</v>
      </c>
      <c r="N7" s="3">
        <f t="shared" si="10"/>
        <v>158.55939843749996</v>
      </c>
      <c r="O7" s="3">
        <f t="shared" si="11"/>
        <v>128.03600253124998</v>
      </c>
      <c r="P7" s="3">
        <f t="shared" si="12"/>
        <v>171.77268164062497</v>
      </c>
      <c r="Q7" s="3">
        <f t="shared" si="13"/>
        <v>121.43831040000003</v>
      </c>
      <c r="R7" s="3">
        <f t="shared" si="14"/>
        <v>130.07232050000002</v>
      </c>
      <c r="S7" s="3">
        <f t="shared" si="15"/>
        <v>146.484375</v>
      </c>
      <c r="T7" t="str">
        <f>IF('Construction Planner'!$G$2="Goldmünzen","50000",IF('Construction Planner'!$G$2="Einlagerung",0,"Einstellung wählen"))</f>
        <v>50000</v>
      </c>
      <c r="U7">
        <v>30000</v>
      </c>
      <c r="V7" s="3">
        <f t="shared" si="16"/>
        <v>264.26566406249992</v>
      </c>
    </row>
    <row r="8" spans="1:22" x14ac:dyDescent="0.25">
      <c r="A8">
        <v>6</v>
      </c>
      <c r="B8" s="3">
        <f t="shared" si="1"/>
        <v>269.55097734374993</v>
      </c>
      <c r="C8" s="3">
        <f t="shared" si="2"/>
        <v>584.11555225600011</v>
      </c>
      <c r="D8" s="3">
        <f t="shared" si="3"/>
        <v>824.63372083200011</v>
      </c>
      <c r="E8" s="3">
        <f t="shared" si="3"/>
        <v>824.63372083200011</v>
      </c>
      <c r="F8" s="3">
        <f t="shared" si="3"/>
        <v>687.19476736000013</v>
      </c>
      <c r="G8" s="3">
        <f t="shared" si="3"/>
        <v>68719.476736000011</v>
      </c>
      <c r="H8" s="3">
        <f t="shared" si="4"/>
        <v>30694.272499799987</v>
      </c>
      <c r="I8" s="3">
        <f t="shared" si="5"/>
        <v>800000</v>
      </c>
      <c r="J8" s="3">
        <f t="shared" si="6"/>
        <v>606.4896990234372</v>
      </c>
      <c r="K8" s="3">
        <f t="shared" si="7"/>
        <v>134.77548867187497</v>
      </c>
      <c r="L8" s="3">
        <f t="shared" si="8"/>
        <v>741.26518769531242</v>
      </c>
      <c r="M8" s="3">
        <f t="shared" si="9"/>
        <v>336.93872167968738</v>
      </c>
      <c r="N8" s="3">
        <f t="shared" si="10"/>
        <v>202.16323300781244</v>
      </c>
      <c r="O8" s="3">
        <f t="shared" si="11"/>
        <v>161.9655432020312</v>
      </c>
      <c r="P8" s="3">
        <f t="shared" si="12"/>
        <v>219.01016909179683</v>
      </c>
      <c r="Q8" s="3">
        <f t="shared" si="13"/>
        <v>160.29856972800005</v>
      </c>
      <c r="R8" s="3">
        <f t="shared" si="14"/>
        <v>165.19184703500002</v>
      </c>
      <c r="S8" s="3">
        <f t="shared" si="15"/>
        <v>183.10546875</v>
      </c>
      <c r="T8" t="str">
        <f>IF('Construction Planner'!$G$2="Goldmünzen","50000",IF('Construction Planner'!$G$2="Einlagerung",0,"Einstellung wählen"))</f>
        <v>50000</v>
      </c>
      <c r="U8">
        <v>30000</v>
      </c>
      <c r="V8" s="3">
        <f t="shared" si="16"/>
        <v>336.93872167968738</v>
      </c>
    </row>
    <row r="9" spans="1:22" x14ac:dyDescent="0.25">
      <c r="A9">
        <v>7</v>
      </c>
      <c r="B9" s="3">
        <f t="shared" si="1"/>
        <v>343.67749611328117</v>
      </c>
      <c r="C9" s="3">
        <f t="shared" si="2"/>
        <v>747.66790688768015</v>
      </c>
      <c r="D9" s="3">
        <f t="shared" si="3"/>
        <v>1055.5311626649602</v>
      </c>
      <c r="E9" s="3">
        <f t="shared" si="3"/>
        <v>1055.5311626649602</v>
      </c>
      <c r="F9" s="3">
        <f t="shared" si="3"/>
        <v>879.60930222080015</v>
      </c>
      <c r="G9" s="3">
        <f t="shared" si="3"/>
        <v>87960.930222080016</v>
      </c>
      <c r="H9" s="3">
        <f t="shared" si="4"/>
        <v>35912.298824765981</v>
      </c>
      <c r="I9" s="3">
        <f t="shared" si="5"/>
        <v>1600000</v>
      </c>
      <c r="J9" s="3">
        <f t="shared" si="6"/>
        <v>773.27436625488235</v>
      </c>
      <c r="K9" s="3">
        <f t="shared" si="7"/>
        <v>171.83874805664058</v>
      </c>
      <c r="L9" s="3">
        <f t="shared" si="8"/>
        <v>945.1131143115233</v>
      </c>
      <c r="M9" s="3">
        <f t="shared" si="9"/>
        <v>429.59687014160136</v>
      </c>
      <c r="N9" s="3">
        <f t="shared" si="10"/>
        <v>257.75812208496086</v>
      </c>
      <c r="O9" s="3">
        <f t="shared" si="11"/>
        <v>204.88641215056944</v>
      </c>
      <c r="P9" s="3">
        <f t="shared" si="12"/>
        <v>279.23796559204095</v>
      </c>
      <c r="Q9" s="3">
        <f t="shared" si="13"/>
        <v>211.59411204096008</v>
      </c>
      <c r="R9" s="3">
        <f t="shared" si="14"/>
        <v>209.79364573445002</v>
      </c>
      <c r="S9" s="3">
        <f t="shared" si="15"/>
        <v>228.8818359375</v>
      </c>
      <c r="T9" t="str">
        <f>IF('Construction Planner'!$G$2="Goldmünzen","50000",IF('Construction Planner'!$G$2="Einlagerung",0,"Einstellung wählen"))</f>
        <v>50000</v>
      </c>
      <c r="U9">
        <v>30000</v>
      </c>
      <c r="V9" s="3">
        <f t="shared" si="16"/>
        <v>429.59687014160136</v>
      </c>
    </row>
    <row r="10" spans="1:22" x14ac:dyDescent="0.25">
      <c r="A10">
        <v>8</v>
      </c>
      <c r="B10" s="3">
        <f t="shared" si="1"/>
        <v>438.18880754443347</v>
      </c>
      <c r="C10" s="3">
        <f t="shared" si="2"/>
        <v>957.01492081623064</v>
      </c>
      <c r="D10" s="3">
        <f t="shared" si="3"/>
        <v>1351.0798882111492</v>
      </c>
      <c r="E10" s="3">
        <f t="shared" si="3"/>
        <v>1351.0798882111492</v>
      </c>
      <c r="F10" s="3">
        <f t="shared" si="3"/>
        <v>1125.8999068426242</v>
      </c>
      <c r="G10" s="3">
        <f t="shared" si="3"/>
        <v>112589.99068426242</v>
      </c>
      <c r="H10" s="3">
        <f t="shared" si="4"/>
        <v>42017.389624976197</v>
      </c>
      <c r="I10" s="3">
        <f t="shared" si="5"/>
        <v>3200000</v>
      </c>
      <c r="J10" s="3">
        <f t="shared" si="6"/>
        <v>985.92481697497487</v>
      </c>
      <c r="K10" s="3">
        <f t="shared" si="7"/>
        <v>219.09440377221674</v>
      </c>
      <c r="L10" s="3">
        <f t="shared" si="8"/>
        <v>1205.0192207471921</v>
      </c>
      <c r="M10" s="3">
        <f t="shared" si="9"/>
        <v>547.73600943054169</v>
      </c>
      <c r="N10" s="3">
        <f t="shared" si="10"/>
        <v>328.64160565832509</v>
      </c>
      <c r="O10" s="3">
        <f t="shared" si="11"/>
        <v>259.18131137047033</v>
      </c>
      <c r="P10" s="3">
        <f t="shared" si="12"/>
        <v>356.02840612985221</v>
      </c>
      <c r="Q10" s="3">
        <f t="shared" si="13"/>
        <v>279.30422789406731</v>
      </c>
      <c r="R10" s="3">
        <f t="shared" si="14"/>
        <v>266.43793008275151</v>
      </c>
      <c r="S10" s="3">
        <f t="shared" si="15"/>
        <v>286.102294921875</v>
      </c>
      <c r="T10" t="str">
        <f>IF('Construction Planner'!$G$2="Goldmünzen","50000",IF('Construction Planner'!$G$2="Einlagerung",0,"Einstellung wählen"))</f>
        <v>50000</v>
      </c>
      <c r="U10">
        <v>30000</v>
      </c>
      <c r="V10" s="3">
        <f t="shared" si="16"/>
        <v>547.73600943054169</v>
      </c>
    </row>
    <row r="11" spans="1:22" x14ac:dyDescent="0.25">
      <c r="A11">
        <v>9</v>
      </c>
      <c r="B11" s="3">
        <f t="shared" si="1"/>
        <v>558.69072961915265</v>
      </c>
      <c r="C11" s="3">
        <f t="shared" si="2"/>
        <v>1224.9790986447751</v>
      </c>
      <c r="D11" s="3">
        <f t="shared" si="3"/>
        <v>1729.3822569102711</v>
      </c>
      <c r="E11" s="3">
        <f t="shared" si="3"/>
        <v>1729.3822569102711</v>
      </c>
      <c r="F11" s="3">
        <f t="shared" si="3"/>
        <v>1441.1518807585589</v>
      </c>
      <c r="G11" s="3">
        <f t="shared" si="3"/>
        <v>144115.1880758559</v>
      </c>
      <c r="H11" s="3">
        <f t="shared" si="4"/>
        <v>49160.345861222144</v>
      </c>
      <c r="I11" s="3">
        <f t="shared" si="5"/>
        <v>6400000</v>
      </c>
      <c r="J11" s="3">
        <f t="shared" si="6"/>
        <v>1257.0541416430929</v>
      </c>
      <c r="K11" s="3">
        <f t="shared" si="7"/>
        <v>279.34536480957632</v>
      </c>
      <c r="L11" s="3">
        <f t="shared" si="8"/>
        <v>1536.3995064526698</v>
      </c>
      <c r="M11" s="3">
        <f t="shared" si="9"/>
        <v>698.36341202394055</v>
      </c>
      <c r="N11" s="3">
        <f t="shared" si="10"/>
        <v>419.01804721436446</v>
      </c>
      <c r="O11" s="3">
        <f t="shared" si="11"/>
        <v>327.86435888364491</v>
      </c>
      <c r="P11" s="3">
        <f t="shared" si="12"/>
        <v>453.93621781556152</v>
      </c>
      <c r="Q11" s="3">
        <f t="shared" si="13"/>
        <v>368.68158082016885</v>
      </c>
      <c r="R11" s="3">
        <f t="shared" si="14"/>
        <v>338.37617120509441</v>
      </c>
      <c r="S11" s="3">
        <f t="shared" si="15"/>
        <v>357.62786865234375</v>
      </c>
      <c r="T11" t="str">
        <f>IF('Construction Planner'!$G$2="Goldmünzen","50000",IF('Construction Planner'!$G$2="Einlagerung",0,"Einstellung wählen"))</f>
        <v>50000</v>
      </c>
      <c r="U11">
        <v>30000</v>
      </c>
      <c r="V11" s="3">
        <f t="shared" si="16"/>
        <v>698.36341202394055</v>
      </c>
    </row>
    <row r="12" spans="1:22" x14ac:dyDescent="0.25">
      <c r="A12">
        <v>10</v>
      </c>
      <c r="B12" s="3">
        <f t="shared" si="1"/>
        <v>712.33068026441958</v>
      </c>
      <c r="C12" s="3">
        <f t="shared" si="2"/>
        <v>1567.9732462653121</v>
      </c>
      <c r="D12" s="3">
        <f t="shared" si="3"/>
        <v>2213.6092888451471</v>
      </c>
      <c r="E12" s="3">
        <f t="shared" si="3"/>
        <v>2213.6092888451471</v>
      </c>
      <c r="F12" s="3">
        <f t="shared" si="3"/>
        <v>1844.6744073709556</v>
      </c>
      <c r="G12" s="3">
        <f t="shared" si="3"/>
        <v>184467.44073709555</v>
      </c>
      <c r="H12" s="3">
        <f t="shared" si="4"/>
        <v>57517.604657629905</v>
      </c>
      <c r="I12" s="3">
        <f t="shared" si="5"/>
        <v>12800000</v>
      </c>
      <c r="J12" s="3">
        <f t="shared" si="6"/>
        <v>1602.7440305949433</v>
      </c>
      <c r="K12" s="3">
        <f t="shared" si="7"/>
        <v>356.16534013220979</v>
      </c>
      <c r="L12" s="3">
        <f t="shared" si="8"/>
        <v>1958.9093707271538</v>
      </c>
      <c r="M12" s="3">
        <f t="shared" si="9"/>
        <v>890.41335033052417</v>
      </c>
      <c r="N12" s="3">
        <f t="shared" si="10"/>
        <v>534.24801019831466</v>
      </c>
      <c r="O12" s="3">
        <f t="shared" si="11"/>
        <v>414.74841398781081</v>
      </c>
      <c r="P12" s="3">
        <f t="shared" si="12"/>
        <v>578.76867771484092</v>
      </c>
      <c r="Q12" s="3">
        <f t="shared" si="13"/>
        <v>486.65968668262292</v>
      </c>
      <c r="R12" s="3">
        <f t="shared" si="14"/>
        <v>429.73773743046991</v>
      </c>
      <c r="S12" s="3">
        <f t="shared" si="15"/>
        <v>447.03483581542969</v>
      </c>
      <c r="T12" t="str">
        <f>IF('Construction Planner'!$G$2="Goldmünzen","50000",IF('Construction Planner'!$G$2="Einlagerung",0,"Einstellung wählen"))</f>
        <v>50000</v>
      </c>
      <c r="U12">
        <v>30000</v>
      </c>
      <c r="V12" s="3">
        <f t="shared" si="16"/>
        <v>890.41335033052417</v>
      </c>
    </row>
    <row r="13" spans="1:22" x14ac:dyDescent="0.25">
      <c r="A13">
        <v>11</v>
      </c>
      <c r="B13" s="3">
        <f t="shared" si="1"/>
        <v>908.22161733713494</v>
      </c>
      <c r="C13" s="3">
        <f t="shared" si="2"/>
        <v>2007.0057552195997</v>
      </c>
      <c r="D13" s="3">
        <f t="shared" si="3"/>
        <v>2833.4198897217884</v>
      </c>
      <c r="E13" s="3">
        <f t="shared" si="3"/>
        <v>2833.4198897217884</v>
      </c>
      <c r="F13" s="3">
        <f t="shared" si="3"/>
        <v>2361.1832414348232</v>
      </c>
      <c r="G13" s="3">
        <f t="shared" si="3"/>
        <v>236118.32414348231</v>
      </c>
      <c r="H13" s="3">
        <f t="shared" si="4"/>
        <v>67295.59744942699</v>
      </c>
      <c r="I13" s="3">
        <f t="shared" si="5"/>
        <v>25600000</v>
      </c>
      <c r="J13" s="3">
        <f t="shared" si="6"/>
        <v>2043.4986390085526</v>
      </c>
      <c r="K13" s="3">
        <f t="shared" si="7"/>
        <v>454.11080866856747</v>
      </c>
      <c r="L13" s="3">
        <f t="shared" si="8"/>
        <v>2497.6094476771209</v>
      </c>
      <c r="M13" s="3">
        <f t="shared" si="9"/>
        <v>1135.2770216714182</v>
      </c>
      <c r="N13" s="3">
        <f t="shared" si="10"/>
        <v>681.16621300285112</v>
      </c>
      <c r="O13" s="3">
        <f t="shared" si="11"/>
        <v>524.65674369458065</v>
      </c>
      <c r="P13" s="3">
        <f t="shared" si="12"/>
        <v>737.93006408642214</v>
      </c>
      <c r="Q13" s="3">
        <f t="shared" si="13"/>
        <v>642.39078642106233</v>
      </c>
      <c r="R13" s="3">
        <f t="shared" si="14"/>
        <v>545.76692653669681</v>
      </c>
      <c r="S13" s="3">
        <f t="shared" si="15"/>
        <v>558.79354476928711</v>
      </c>
      <c r="T13" t="str">
        <f>IF('Construction Planner'!$G$2="Goldmünzen","50000",IF('Construction Planner'!$G$2="Einlagerung",0,"Einstellung wählen"))</f>
        <v>50000</v>
      </c>
      <c r="U13">
        <v>30000</v>
      </c>
      <c r="V13" s="3">
        <f t="shared" si="16"/>
        <v>1135.2770216714182</v>
      </c>
    </row>
    <row r="14" spans="1:22" x14ac:dyDescent="0.25">
      <c r="A14">
        <v>12</v>
      </c>
      <c r="B14" s="3">
        <f t="shared" si="1"/>
        <v>1157.9825621048469</v>
      </c>
      <c r="C14" s="3">
        <f t="shared" si="2"/>
        <v>2568.9673666810877</v>
      </c>
      <c r="D14" s="3">
        <f t="shared" si="3"/>
        <v>3626.7774588438892</v>
      </c>
      <c r="E14" s="3">
        <f t="shared" si="3"/>
        <v>3626.7774588438892</v>
      </c>
      <c r="F14" s="3">
        <f t="shared" si="3"/>
        <v>3022.3145490365737</v>
      </c>
      <c r="G14" s="3">
        <f t="shared" si="3"/>
        <v>302231.45490365737</v>
      </c>
      <c r="H14" s="3">
        <f t="shared" si="4"/>
        <v>78735.849015829575</v>
      </c>
      <c r="I14" s="3">
        <f t="shared" si="5"/>
        <v>51200000</v>
      </c>
      <c r="J14" s="3">
        <f t="shared" si="6"/>
        <v>2605.4607647359044</v>
      </c>
      <c r="K14" s="3">
        <f t="shared" si="7"/>
        <v>578.99128105242346</v>
      </c>
      <c r="L14" s="3">
        <f t="shared" si="8"/>
        <v>3184.4520457883291</v>
      </c>
      <c r="M14" s="3">
        <f t="shared" si="9"/>
        <v>1447.4782026310581</v>
      </c>
      <c r="N14" s="3">
        <f t="shared" si="10"/>
        <v>868.48692157863513</v>
      </c>
      <c r="O14" s="3">
        <f t="shared" si="11"/>
        <v>663.69078077364452</v>
      </c>
      <c r="P14" s="3">
        <f t="shared" si="12"/>
        <v>940.86083171018811</v>
      </c>
      <c r="Q14" s="3">
        <f t="shared" si="13"/>
        <v>847.95583807580226</v>
      </c>
      <c r="R14" s="3">
        <f t="shared" si="14"/>
        <v>693.12399670160494</v>
      </c>
      <c r="S14" s="3">
        <f t="shared" si="15"/>
        <v>698.49193096160889</v>
      </c>
      <c r="T14" t="str">
        <f>IF('Construction Planner'!$G$2="Goldmünzen","50000",IF('Construction Planner'!$G$2="Einlagerung",0,"Einstellung wählen"))</f>
        <v>50000</v>
      </c>
      <c r="U14">
        <v>30000</v>
      </c>
      <c r="V14" s="3">
        <f t="shared" si="16"/>
        <v>1447.4782026310581</v>
      </c>
    </row>
    <row r="15" spans="1:22" x14ac:dyDescent="0.25">
      <c r="A15">
        <v>13</v>
      </c>
      <c r="B15" s="3">
        <f t="shared" si="1"/>
        <v>1476.4277666836797</v>
      </c>
      <c r="C15" s="3">
        <f t="shared" si="2"/>
        <v>3288.2782293517921</v>
      </c>
      <c r="D15" s="3">
        <f t="shared" si="3"/>
        <v>4642.2751473201779</v>
      </c>
      <c r="E15" s="3">
        <f t="shared" si="3"/>
        <v>4642.2751473201779</v>
      </c>
      <c r="F15" s="3">
        <f t="shared" si="3"/>
        <v>3868.5626227668145</v>
      </c>
      <c r="G15" s="3">
        <f t="shared" si="3"/>
        <v>386856.26227668143</v>
      </c>
      <c r="H15" s="3">
        <f t="shared" si="4"/>
        <v>92120.943348520595</v>
      </c>
      <c r="I15" s="3">
        <f t="shared" si="5"/>
        <v>102400000</v>
      </c>
      <c r="J15" s="3">
        <f t="shared" si="6"/>
        <v>3321.9624750382777</v>
      </c>
      <c r="K15" s="3">
        <f t="shared" si="7"/>
        <v>738.21388334183985</v>
      </c>
      <c r="L15" s="3">
        <f t="shared" si="8"/>
        <v>4060.1763583801194</v>
      </c>
      <c r="M15" s="3">
        <f t="shared" si="9"/>
        <v>1845.5347083545989</v>
      </c>
      <c r="N15" s="3">
        <f t="shared" si="10"/>
        <v>1107.3208250127598</v>
      </c>
      <c r="O15" s="3">
        <f t="shared" si="11"/>
        <v>839.5688376786602</v>
      </c>
      <c r="P15" s="3">
        <f t="shared" si="12"/>
        <v>1199.5975604304897</v>
      </c>
      <c r="Q15" s="3">
        <f t="shared" si="13"/>
        <v>1119.3017062600591</v>
      </c>
      <c r="R15" s="3">
        <f t="shared" si="14"/>
        <v>880.26747581103825</v>
      </c>
      <c r="S15" s="3">
        <f t="shared" si="15"/>
        <v>873.11491370201111</v>
      </c>
      <c r="T15" t="str">
        <f>IF('Construction Planner'!$G$2="Goldmünzen","50000",IF('Construction Planner'!$G$2="Einlagerung",0,"Einstellung wählen"))</f>
        <v>50000</v>
      </c>
      <c r="U15">
        <v>30000</v>
      </c>
      <c r="V15" s="3">
        <f t="shared" si="16"/>
        <v>1845.5347083545989</v>
      </c>
    </row>
    <row r="16" spans="1:22" x14ac:dyDescent="0.25">
      <c r="A16">
        <v>14</v>
      </c>
      <c r="B16" s="3">
        <f t="shared" si="1"/>
        <v>1882.4454025216914</v>
      </c>
      <c r="C16" s="3">
        <f t="shared" si="2"/>
        <v>4208.9961335702938</v>
      </c>
      <c r="D16" s="3">
        <f t="shared" si="3"/>
        <v>5942.1121885698276</v>
      </c>
      <c r="E16" s="3">
        <f t="shared" si="3"/>
        <v>5942.1121885698276</v>
      </c>
      <c r="F16" s="3">
        <f t="shared" si="3"/>
        <v>4951.7601571415225</v>
      </c>
      <c r="G16" s="3">
        <f t="shared" si="3"/>
        <v>495176.01571415225</v>
      </c>
      <c r="H16" s="3">
        <f t="shared" si="4"/>
        <v>107781.50371776908</v>
      </c>
      <c r="I16" s="3">
        <f t="shared" si="5"/>
        <v>204800000</v>
      </c>
      <c r="J16" s="3">
        <f t="shared" si="6"/>
        <v>4235.5021556738038</v>
      </c>
      <c r="K16" s="3">
        <f t="shared" si="7"/>
        <v>941.22270126084572</v>
      </c>
      <c r="L16" s="3">
        <f t="shared" si="8"/>
        <v>5176.7248569346521</v>
      </c>
      <c r="M16" s="3">
        <f t="shared" si="9"/>
        <v>2353.0567531521133</v>
      </c>
      <c r="N16" s="3">
        <f t="shared" si="10"/>
        <v>1411.8340518912687</v>
      </c>
      <c r="O16" s="3">
        <f t="shared" si="11"/>
        <v>1062.0545796635051</v>
      </c>
      <c r="P16" s="3">
        <f t="shared" si="12"/>
        <v>1529.4868895488742</v>
      </c>
      <c r="Q16" s="3">
        <f t="shared" si="13"/>
        <v>1477.4782522632781</v>
      </c>
      <c r="R16" s="3">
        <f t="shared" si="14"/>
        <v>1117.9396942800186</v>
      </c>
      <c r="S16" s="3">
        <f t="shared" si="15"/>
        <v>1091.3936421275139</v>
      </c>
      <c r="T16" t="str">
        <f>IF('Construction Planner'!$G$2="Goldmünzen","50000",IF('Construction Planner'!$G$2="Einlagerung",0,"Einstellung wählen"))</f>
        <v>50000</v>
      </c>
      <c r="U16">
        <v>30000</v>
      </c>
      <c r="V16" s="3">
        <f t="shared" si="16"/>
        <v>2353.0567531521133</v>
      </c>
    </row>
    <row r="17" spans="1:22" x14ac:dyDescent="0.25">
      <c r="A17">
        <v>15</v>
      </c>
      <c r="B17" s="3">
        <f t="shared" si="1"/>
        <v>2400.1178882151567</v>
      </c>
      <c r="C17" s="3">
        <f t="shared" si="2"/>
        <v>5387.5150509699761</v>
      </c>
      <c r="D17" s="3">
        <f t="shared" si="3"/>
        <v>7605.9036013693794</v>
      </c>
      <c r="E17" s="3">
        <f t="shared" si="3"/>
        <v>7605.9036013693794</v>
      </c>
      <c r="F17" s="3">
        <f t="shared" si="3"/>
        <v>6338.2530011411491</v>
      </c>
      <c r="G17" s="3">
        <f t="shared" si="3"/>
        <v>633825.30011411489</v>
      </c>
      <c r="H17" s="3">
        <f t="shared" si="4"/>
        <v>126104.35934978983</v>
      </c>
      <c r="I17" s="3">
        <f t="shared" si="5"/>
        <v>409600000</v>
      </c>
      <c r="J17" s="3">
        <f t="shared" si="6"/>
        <v>5400.2652484840992</v>
      </c>
      <c r="K17" s="3">
        <f t="shared" si="7"/>
        <v>1200.0589441075783</v>
      </c>
      <c r="L17" s="3">
        <f t="shared" si="8"/>
        <v>6600.3241925916809</v>
      </c>
      <c r="M17" s="3">
        <f t="shared" si="9"/>
        <v>3000.1473602689443</v>
      </c>
      <c r="N17" s="3">
        <f t="shared" si="10"/>
        <v>1800.0884161613674</v>
      </c>
      <c r="O17" s="3">
        <f t="shared" si="11"/>
        <v>1343.4990432743339</v>
      </c>
      <c r="P17" s="3">
        <f t="shared" si="12"/>
        <v>1950.0957841748145</v>
      </c>
      <c r="Q17" s="3">
        <f t="shared" si="13"/>
        <v>1950.2712929875272</v>
      </c>
      <c r="R17" s="3">
        <f t="shared" si="14"/>
        <v>1419.7834117356235</v>
      </c>
      <c r="S17" s="3">
        <f t="shared" si="15"/>
        <v>1364.2420526593924</v>
      </c>
      <c r="T17" t="str">
        <f>IF('Construction Planner'!$G$2="Goldmünzen","50000",IF('Construction Planner'!$G$2="Einlagerung",0,"Einstellung wählen"))</f>
        <v>50000</v>
      </c>
      <c r="U17">
        <v>30000</v>
      </c>
      <c r="V17" s="3">
        <f t="shared" si="16"/>
        <v>3000.1473602689443</v>
      </c>
    </row>
    <row r="18" spans="1:22" x14ac:dyDescent="0.25">
      <c r="A18">
        <v>16</v>
      </c>
      <c r="B18" s="3">
        <f t="shared" si="1"/>
        <v>3060.1503074743246</v>
      </c>
      <c r="C18" s="3">
        <f t="shared" si="2"/>
        <v>6896.0192652415699</v>
      </c>
      <c r="D18" s="3">
        <f t="shared" si="3"/>
        <v>9735.5566097528063</v>
      </c>
      <c r="E18" s="3">
        <f t="shared" si="3"/>
        <v>9735.5566097528063</v>
      </c>
      <c r="F18" s="3">
        <f t="shared" si="3"/>
        <v>8112.9638414606707</v>
      </c>
      <c r="G18" s="3">
        <f t="shared" si="3"/>
        <v>811296.38414606708</v>
      </c>
      <c r="H18" s="3">
        <f t="shared" si="4"/>
        <v>147542.10043925408</v>
      </c>
      <c r="I18" s="3">
        <f t="shared" si="5"/>
        <v>819200000</v>
      </c>
      <c r="J18" s="3">
        <f t="shared" si="6"/>
        <v>6885.3381918172263</v>
      </c>
      <c r="K18" s="3">
        <f t="shared" si="7"/>
        <v>1530.0751537371623</v>
      </c>
      <c r="L18" s="3">
        <f t="shared" si="8"/>
        <v>8415.4133455543924</v>
      </c>
      <c r="M18" s="3">
        <f t="shared" si="9"/>
        <v>3825.1878843429035</v>
      </c>
      <c r="N18" s="3">
        <f t="shared" si="10"/>
        <v>2295.1127306057433</v>
      </c>
      <c r="O18" s="3">
        <f t="shared" si="11"/>
        <v>1699.5262897420323</v>
      </c>
      <c r="P18" s="3">
        <f t="shared" si="12"/>
        <v>2486.3721248228885</v>
      </c>
      <c r="Q18" s="3">
        <f t="shared" si="13"/>
        <v>2574.3581067435362</v>
      </c>
      <c r="R18" s="3">
        <f t="shared" si="14"/>
        <v>1803.1249329042419</v>
      </c>
      <c r="S18" s="3">
        <f t="shared" si="15"/>
        <v>1705.3025658242404</v>
      </c>
      <c r="T18" t="str">
        <f>IF('Construction Planner'!$G$2="Goldmünzen","50000",IF('Construction Planner'!$G$2="Einlagerung",0,"Einstellung wählen"))</f>
        <v>50000</v>
      </c>
      <c r="U18">
        <v>30000</v>
      </c>
      <c r="V18" s="3">
        <f t="shared" si="16"/>
        <v>3825.1878843429035</v>
      </c>
    </row>
    <row r="19" spans="1:22" x14ac:dyDescent="0.25">
      <c r="A19">
        <v>17</v>
      </c>
      <c r="B19" s="3">
        <f t="shared" si="1"/>
        <v>3901.6916420297634</v>
      </c>
      <c r="C19" s="3">
        <f t="shared" si="2"/>
        <v>8826.9046595092095</v>
      </c>
      <c r="D19" s="3">
        <f t="shared" si="3"/>
        <v>12461.512460483593</v>
      </c>
      <c r="E19" s="3">
        <f t="shared" si="3"/>
        <v>12461.512460483593</v>
      </c>
      <c r="F19" s="3">
        <f t="shared" si="3"/>
        <v>10384.593717069658</v>
      </c>
      <c r="G19" s="3">
        <f t="shared" si="3"/>
        <v>1038459.3717069658</v>
      </c>
      <c r="H19" s="3">
        <f t="shared" si="4"/>
        <v>172624.25751392727</v>
      </c>
      <c r="I19" s="3">
        <f t="shared" si="5"/>
        <v>1638400000</v>
      </c>
      <c r="J19" s="3">
        <f t="shared" si="6"/>
        <v>8778.8061945669633</v>
      </c>
      <c r="K19" s="3">
        <f t="shared" si="7"/>
        <v>1950.8458210148817</v>
      </c>
      <c r="L19" s="3">
        <f t="shared" si="8"/>
        <v>10729.652015581849</v>
      </c>
      <c r="M19" s="3">
        <f t="shared" si="9"/>
        <v>4877.1145525372012</v>
      </c>
      <c r="N19" s="3">
        <f t="shared" si="10"/>
        <v>2926.2687315223225</v>
      </c>
      <c r="O19" s="3">
        <f t="shared" si="11"/>
        <v>2149.9007565236707</v>
      </c>
      <c r="P19" s="3">
        <f t="shared" si="12"/>
        <v>3170.1244591491827</v>
      </c>
      <c r="Q19" s="3">
        <f t="shared" si="13"/>
        <v>3398.1527009014681</v>
      </c>
      <c r="R19" s="3">
        <f t="shared" si="14"/>
        <v>2289.9686647883873</v>
      </c>
      <c r="S19" s="3">
        <f t="shared" si="15"/>
        <v>2131.6282072803006</v>
      </c>
      <c r="T19" t="str">
        <f>IF('Construction Planner'!$G$2="Goldmünzen","50000",IF('Construction Planner'!$G$2="Einlagerung",0,"Einstellung wählen"))</f>
        <v>50000</v>
      </c>
      <c r="U19">
        <v>30000</v>
      </c>
      <c r="V19" s="3">
        <f t="shared" si="16"/>
        <v>4877.1145525372012</v>
      </c>
    </row>
    <row r="20" spans="1:22" x14ac:dyDescent="0.25">
      <c r="A20">
        <v>18</v>
      </c>
      <c r="B20" s="3">
        <f t="shared" si="1"/>
        <v>4974.6568435879481</v>
      </c>
      <c r="C20" s="3">
        <f t="shared" si="2"/>
        <v>11298.437964171788</v>
      </c>
      <c r="D20" s="3">
        <f t="shared" si="3"/>
        <v>15950.735949418999</v>
      </c>
      <c r="E20" s="3">
        <f t="shared" si="3"/>
        <v>15950.735949418999</v>
      </c>
      <c r="F20" s="3">
        <f t="shared" si="3"/>
        <v>13292.279957849163</v>
      </c>
      <c r="G20" s="3">
        <f t="shared" si="3"/>
        <v>1329227.9957849162</v>
      </c>
      <c r="H20" s="3">
        <f t="shared" si="3"/>
        <v>201970.38129129488</v>
      </c>
      <c r="I20" s="3">
        <f t="shared" si="5"/>
        <v>3276800000</v>
      </c>
      <c r="J20" s="3">
        <f t="shared" si="6"/>
        <v>11192.977898072877</v>
      </c>
      <c r="K20" s="3">
        <f t="shared" si="7"/>
        <v>2487.328421793974</v>
      </c>
      <c r="L20" s="3">
        <f t="shared" si="8"/>
        <v>13680.306319866857</v>
      </c>
      <c r="M20" s="3">
        <f t="shared" si="9"/>
        <v>6218.3210544849308</v>
      </c>
      <c r="N20" s="3">
        <f t="shared" si="10"/>
        <v>3730.9926326909608</v>
      </c>
      <c r="O20" s="3">
        <f t="shared" si="11"/>
        <v>2719.6244570024433</v>
      </c>
      <c r="P20" s="3">
        <f t="shared" si="12"/>
        <v>4041.9086854152079</v>
      </c>
      <c r="Q20" s="3">
        <f t="shared" si="13"/>
        <v>4485.5615651899379</v>
      </c>
      <c r="R20" s="3">
        <f t="shared" si="14"/>
        <v>2908.2602042812518</v>
      </c>
      <c r="S20" s="3">
        <f t="shared" si="15"/>
        <v>2664.5352591003757</v>
      </c>
      <c r="T20" t="str">
        <f>IF('Construction Planner'!$G$2="Goldmünzen","50000",IF('Construction Planner'!$G$2="Einlagerung",0,"Einstellung wählen"))</f>
        <v>50000</v>
      </c>
      <c r="U20">
        <v>30000</v>
      </c>
      <c r="V20" s="3">
        <f t="shared" si="16"/>
        <v>6218.3210544849308</v>
      </c>
    </row>
    <row r="21" spans="1:22" x14ac:dyDescent="0.25">
      <c r="A21">
        <v>19</v>
      </c>
      <c r="B21" s="3">
        <f t="shared" si="1"/>
        <v>6342.687475574633</v>
      </c>
      <c r="C21" s="3">
        <f t="shared" si="2"/>
        <v>14462.000594139889</v>
      </c>
      <c r="D21" s="3">
        <f t="shared" si="3"/>
        <v>20416.942015256318</v>
      </c>
      <c r="E21" s="3">
        <f t="shared" si="3"/>
        <v>20416.942015256318</v>
      </c>
      <c r="F21" s="3">
        <f t="shared" si="3"/>
        <v>17014.118346046929</v>
      </c>
      <c r="G21" s="3">
        <f t="shared" si="3"/>
        <v>1701411.8346046929</v>
      </c>
      <c r="H21" s="3">
        <f t="shared" si="3"/>
        <v>236305.34611081498</v>
      </c>
      <c r="I21" s="3">
        <f t="shared" si="5"/>
        <v>6553600000</v>
      </c>
      <c r="J21" s="3">
        <f t="shared" si="6"/>
        <v>14271.046820042917</v>
      </c>
      <c r="K21" s="3">
        <f t="shared" si="7"/>
        <v>3171.3437377873165</v>
      </c>
      <c r="L21" s="3">
        <f t="shared" si="8"/>
        <v>17442.39055783024</v>
      </c>
      <c r="M21" s="3">
        <f t="shared" si="9"/>
        <v>7928.3593444682865</v>
      </c>
      <c r="N21" s="3">
        <f t="shared" si="10"/>
        <v>4757.015606680975</v>
      </c>
      <c r="O21" s="3">
        <f t="shared" si="11"/>
        <v>3440.3249381080905</v>
      </c>
      <c r="P21" s="3">
        <f t="shared" si="12"/>
        <v>5153.43357390439</v>
      </c>
      <c r="Q21" s="3">
        <f t="shared" si="13"/>
        <v>5920.9412660507187</v>
      </c>
      <c r="R21" s="3">
        <f t="shared" si="14"/>
        <v>3693.4904594371901</v>
      </c>
      <c r="S21" s="3">
        <f t="shared" si="15"/>
        <v>3330.6690738754696</v>
      </c>
      <c r="T21" t="str">
        <f>IF('Construction Planner'!$G$2="Goldmünzen","50000",IF('Construction Planner'!$G$2="Einlagerung",0,"Einstellung wählen"))</f>
        <v>50000</v>
      </c>
      <c r="U21">
        <v>30000</v>
      </c>
      <c r="V21" s="3">
        <f t="shared" si="16"/>
        <v>7928.3593444682865</v>
      </c>
    </row>
    <row r="22" spans="1:22" x14ac:dyDescent="0.25">
      <c r="A22">
        <v>20</v>
      </c>
      <c r="B22" s="3">
        <f t="shared" si="1"/>
        <v>8086.9265313576561</v>
      </c>
      <c r="C22" s="3">
        <f t="shared" si="2"/>
        <v>18511.360760499058</v>
      </c>
      <c r="D22" s="3">
        <f t="shared" si="3"/>
        <v>26133.685779528088</v>
      </c>
      <c r="E22" s="3">
        <f t="shared" si="3"/>
        <v>26133.685779528088</v>
      </c>
      <c r="F22" s="3">
        <f t="shared" si="3"/>
        <v>21778.071482940071</v>
      </c>
      <c r="G22" s="3">
        <f t="shared" si="3"/>
        <v>2177807.1482940069</v>
      </c>
      <c r="H22" s="3">
        <f t="shared" si="3"/>
        <v>276477.25494965352</v>
      </c>
      <c r="I22" s="3">
        <f t="shared" si="5"/>
        <v>13107200000</v>
      </c>
      <c r="J22" s="3">
        <f t="shared" si="6"/>
        <v>18195.584695554717</v>
      </c>
      <c r="K22" s="3">
        <f t="shared" si="7"/>
        <v>4043.4632656788281</v>
      </c>
      <c r="L22" s="3">
        <f t="shared" si="8"/>
        <v>22239.047961233555</v>
      </c>
      <c r="M22" s="3">
        <f t="shared" si="9"/>
        <v>10108.658164197064</v>
      </c>
      <c r="N22" s="3">
        <f t="shared" si="10"/>
        <v>6065.1948985182426</v>
      </c>
      <c r="O22" s="3">
        <f t="shared" si="11"/>
        <v>4352.0110467067343</v>
      </c>
      <c r="P22" s="3">
        <f t="shared" si="12"/>
        <v>6570.6278067280964</v>
      </c>
      <c r="Q22" s="3">
        <f t="shared" si="13"/>
        <v>7815.6424711869495</v>
      </c>
      <c r="R22" s="3">
        <f t="shared" si="14"/>
        <v>4690.7328834852315</v>
      </c>
      <c r="S22" s="3">
        <f t="shared" si="15"/>
        <v>4163.336342344337</v>
      </c>
      <c r="T22" t="str">
        <f>IF('Construction Planner'!$G$2="Goldmünzen","50000",IF('Construction Planner'!$G$2="Einlagerung",0,"Einstellung wählen"))</f>
        <v>50000</v>
      </c>
      <c r="U22">
        <v>30000</v>
      </c>
      <c r="V22" s="3">
        <f t="shared" si="16"/>
        <v>10108.658164197064</v>
      </c>
    </row>
    <row r="23" spans="1:22" x14ac:dyDescent="0.25">
      <c r="A23">
        <v>21</v>
      </c>
      <c r="B23" s="3">
        <f t="shared" si="1"/>
        <v>10310.831327481012</v>
      </c>
      <c r="C23" s="3">
        <f t="shared" si="2"/>
        <v>23694.541773438796</v>
      </c>
      <c r="D23" s="3">
        <f t="shared" si="3"/>
        <v>33451.117797795952</v>
      </c>
      <c r="E23" s="3">
        <f t="shared" si="3"/>
        <v>33451.117797795952</v>
      </c>
      <c r="F23" s="3">
        <f t="shared" si="3"/>
        <v>27875.931498163292</v>
      </c>
      <c r="G23" s="3">
        <f t="shared" si="3"/>
        <v>2787593.1498163291</v>
      </c>
      <c r="H23" s="3">
        <f t="shared" si="3"/>
        <v>323478.38829109463</v>
      </c>
      <c r="I23" s="3">
        <f t="shared" si="5"/>
        <v>26214400000</v>
      </c>
      <c r="J23" s="3">
        <f t="shared" si="6"/>
        <v>23199.370486832264</v>
      </c>
      <c r="K23" s="3">
        <f t="shared" si="7"/>
        <v>5155.4156637405058</v>
      </c>
      <c r="L23" s="3">
        <f t="shared" si="8"/>
        <v>28354.786150572781</v>
      </c>
      <c r="M23" s="3">
        <f t="shared" si="9"/>
        <v>12888.539159351256</v>
      </c>
      <c r="N23" s="3">
        <f t="shared" si="10"/>
        <v>7733.1234956107592</v>
      </c>
      <c r="O23" s="3">
        <f t="shared" si="11"/>
        <v>5505.2939740840184</v>
      </c>
      <c r="P23" s="3">
        <f t="shared" si="12"/>
        <v>8377.550453578322</v>
      </c>
      <c r="Q23" s="3">
        <f t="shared" si="13"/>
        <v>10316.648061966775</v>
      </c>
      <c r="R23" s="3">
        <f t="shared" si="14"/>
        <v>5957.2307620262436</v>
      </c>
      <c r="S23" s="3">
        <f t="shared" si="15"/>
        <v>5204.1704279304213</v>
      </c>
      <c r="T23" t="str">
        <f>IF('Construction Planner'!$G$2="Goldmünzen","50000",IF('Construction Planner'!$G$2="Einlagerung",0,"Einstellung wählen"))</f>
        <v>50000</v>
      </c>
      <c r="U23">
        <v>30000</v>
      </c>
      <c r="V23" s="3">
        <f t="shared" si="16"/>
        <v>12888.539159351256</v>
      </c>
    </row>
    <row r="24" spans="1:22" x14ac:dyDescent="0.25">
      <c r="A24">
        <v>22</v>
      </c>
      <c r="B24" s="3">
        <f t="shared" si="1"/>
        <v>13146.30994253829</v>
      </c>
      <c r="C24" s="3">
        <f t="shared" si="2"/>
        <v>30329.013470001661</v>
      </c>
      <c r="D24" s="3">
        <f t="shared" si="3"/>
        <v>42817.430781178817</v>
      </c>
      <c r="E24" s="3">
        <f t="shared" si="3"/>
        <v>42817.430781178817</v>
      </c>
      <c r="F24" s="3">
        <f t="shared" si="3"/>
        <v>35681.192317649016</v>
      </c>
      <c r="G24" s="3">
        <f t="shared" si="3"/>
        <v>3568119.2317649014</v>
      </c>
      <c r="H24" s="3">
        <f t="shared" si="3"/>
        <v>378469.71430058067</v>
      </c>
      <c r="I24" s="3">
        <f t="shared" si="5"/>
        <v>52428800000</v>
      </c>
      <c r="J24" s="3">
        <f t="shared" si="6"/>
        <v>29579.197370711136</v>
      </c>
      <c r="K24" s="3">
        <f t="shared" si="7"/>
        <v>6573.1549712691449</v>
      </c>
      <c r="L24" s="3">
        <f t="shared" si="8"/>
        <v>36152.352341980295</v>
      </c>
      <c r="M24" s="3">
        <f t="shared" si="9"/>
        <v>16432.887428172849</v>
      </c>
      <c r="N24" s="3">
        <f t="shared" si="10"/>
        <v>9859.7324569037173</v>
      </c>
      <c r="O24" s="3">
        <f t="shared" si="11"/>
        <v>6964.1968772162827</v>
      </c>
      <c r="P24" s="3">
        <f t="shared" si="12"/>
        <v>10681.376828312359</v>
      </c>
      <c r="Q24" s="3">
        <f t="shared" si="13"/>
        <v>13617.975441796143</v>
      </c>
      <c r="R24" s="3">
        <f t="shared" si="14"/>
        <v>7565.6830677733296</v>
      </c>
      <c r="S24" s="3">
        <f t="shared" si="15"/>
        <v>6505.2130349130266</v>
      </c>
      <c r="T24" t="str">
        <f>IF('Construction Planner'!$G$2="Goldmünzen","50000",IF('Construction Planner'!$G$2="Einlagerung",0,"Einstellung wählen"))</f>
        <v>50000</v>
      </c>
      <c r="U24">
        <v>30000</v>
      </c>
      <c r="V24" s="3">
        <f t="shared" si="16"/>
        <v>16432.887428172849</v>
      </c>
    </row>
    <row r="25" spans="1:22" x14ac:dyDescent="0.25">
      <c r="A25">
        <v>23</v>
      </c>
      <c r="B25" s="3">
        <f t="shared" si="1"/>
        <v>16761.545176736319</v>
      </c>
      <c r="C25" s="3">
        <f t="shared" si="2"/>
        <v>38821.137241602126</v>
      </c>
      <c r="D25" s="3">
        <f t="shared" si="3"/>
        <v>54806.311399908889</v>
      </c>
      <c r="E25" s="3">
        <f t="shared" si="3"/>
        <v>54806.311399908889</v>
      </c>
      <c r="F25" s="3">
        <f t="shared" si="3"/>
        <v>45671.92616659074</v>
      </c>
      <c r="G25" s="3">
        <f t="shared" si="3"/>
        <v>4567192.6166590741</v>
      </c>
      <c r="H25" s="3">
        <f t="shared" si="3"/>
        <v>442809.56573167938</v>
      </c>
      <c r="I25" s="3">
        <f t="shared" si="5"/>
        <v>104857600000</v>
      </c>
      <c r="J25" s="3">
        <f t="shared" si="6"/>
        <v>37713.476647656695</v>
      </c>
      <c r="K25" s="3">
        <f t="shared" si="7"/>
        <v>8380.7725883681596</v>
      </c>
      <c r="L25" s="3">
        <f t="shared" si="8"/>
        <v>46094.249236024873</v>
      </c>
      <c r="M25" s="3">
        <f t="shared" si="9"/>
        <v>20951.931470920383</v>
      </c>
      <c r="N25" s="3">
        <f t="shared" si="10"/>
        <v>12571.158882552239</v>
      </c>
      <c r="O25" s="3">
        <f t="shared" si="11"/>
        <v>8809.7090496785968</v>
      </c>
      <c r="P25" s="3">
        <f t="shared" si="12"/>
        <v>13618.755456098257</v>
      </c>
      <c r="Q25" s="3">
        <f t="shared" si="13"/>
        <v>17975.727583170908</v>
      </c>
      <c r="R25" s="3">
        <f t="shared" si="14"/>
        <v>9608.4174960721284</v>
      </c>
      <c r="S25" s="3">
        <f t="shared" si="15"/>
        <v>8131.5162936412835</v>
      </c>
      <c r="T25" t="str">
        <f>IF('Construction Planner'!$G$2="Goldmünzen","50000",IF('Construction Planner'!$G$2="Einlagerung",0,"Einstellung wählen"))</f>
        <v>50000</v>
      </c>
      <c r="U25">
        <v>30000</v>
      </c>
      <c r="V25" s="3">
        <f t="shared" si="16"/>
        <v>20951.931470920383</v>
      </c>
    </row>
    <row r="26" spans="1:22" x14ac:dyDescent="0.25">
      <c r="A26">
        <v>24</v>
      </c>
      <c r="B26" s="3">
        <f t="shared" si="1"/>
        <v>21370.970100338807</v>
      </c>
      <c r="C26" s="3">
        <f t="shared" si="2"/>
        <v>49691.055669250723</v>
      </c>
      <c r="D26" s="3">
        <f t="shared" si="3"/>
        <v>70152.078591883386</v>
      </c>
      <c r="E26" s="3">
        <f t="shared" si="3"/>
        <v>70152.078591883386</v>
      </c>
      <c r="F26" s="3">
        <f t="shared" si="3"/>
        <v>58460.06549323615</v>
      </c>
      <c r="G26" s="3">
        <f t="shared" si="3"/>
        <v>5846006.5493236147</v>
      </c>
      <c r="H26" s="3">
        <f t="shared" si="3"/>
        <v>518087.19190606487</v>
      </c>
      <c r="I26" s="3">
        <f t="shared" si="5"/>
        <v>209715200000</v>
      </c>
      <c r="J26" s="3">
        <f t="shared" si="6"/>
        <v>48084.682725762279</v>
      </c>
      <c r="K26" s="3">
        <f t="shared" si="7"/>
        <v>10685.485050169404</v>
      </c>
      <c r="L26" s="3">
        <f t="shared" si="8"/>
        <v>58770.16777593171</v>
      </c>
      <c r="M26" s="3">
        <f t="shared" si="9"/>
        <v>26713.712625423486</v>
      </c>
      <c r="N26" s="3">
        <f t="shared" si="10"/>
        <v>16028.227575254105</v>
      </c>
      <c r="O26" s="3">
        <f t="shared" si="11"/>
        <v>11144.281947843425</v>
      </c>
      <c r="P26" s="3">
        <f t="shared" si="12"/>
        <v>17363.913206525278</v>
      </c>
      <c r="Q26" s="3">
        <f t="shared" si="13"/>
        <v>23727.960409785599</v>
      </c>
      <c r="R26" s="3">
        <f t="shared" si="14"/>
        <v>12202.690220011604</v>
      </c>
      <c r="S26" s="3">
        <f t="shared" si="15"/>
        <v>10164.395367051604</v>
      </c>
      <c r="T26" t="str">
        <f>IF('Construction Planner'!$G$2="Goldmünzen","50000",IF('Construction Planner'!$G$2="Einlagerung",0,"Einstellung wählen"))</f>
        <v>50000</v>
      </c>
      <c r="U26">
        <v>30000</v>
      </c>
      <c r="V26" s="3">
        <f t="shared" si="16"/>
        <v>26713.712625423486</v>
      </c>
    </row>
    <row r="27" spans="1:22" x14ac:dyDescent="0.25">
      <c r="A27">
        <v>25</v>
      </c>
      <c r="B27" s="3">
        <f t="shared" si="1"/>
        <v>27247.986877931977</v>
      </c>
      <c r="C27" s="3">
        <f t="shared" si="2"/>
        <v>63604.551256640931</v>
      </c>
      <c r="D27" s="3">
        <f t="shared" si="3"/>
        <v>89794.660597610738</v>
      </c>
      <c r="E27" s="3">
        <f t="shared" si="3"/>
        <v>89794.660597610738</v>
      </c>
      <c r="F27" s="3">
        <f t="shared" si="3"/>
        <v>74828.883831342275</v>
      </c>
      <c r="G27" s="3">
        <f t="shared" si="3"/>
        <v>7482888.3831342272</v>
      </c>
      <c r="H27" s="3">
        <f t="shared" si="3"/>
        <v>606162.01453009585</v>
      </c>
      <c r="I27" s="3">
        <f t="shared" si="5"/>
        <v>419430400000</v>
      </c>
      <c r="J27" s="3">
        <f t="shared" si="6"/>
        <v>61307.970475346905</v>
      </c>
      <c r="K27" s="3">
        <f t="shared" si="7"/>
        <v>13623.993438965988</v>
      </c>
      <c r="L27" s="3">
        <f t="shared" si="8"/>
        <v>74931.963914312932</v>
      </c>
      <c r="M27" s="3">
        <f t="shared" si="9"/>
        <v>34059.983597414939</v>
      </c>
      <c r="N27" s="3">
        <f t="shared" si="10"/>
        <v>20435.990158448982</v>
      </c>
      <c r="O27" s="3">
        <f t="shared" si="11"/>
        <v>14097.516664021932</v>
      </c>
      <c r="P27" s="3">
        <f t="shared" si="12"/>
        <v>22138.989338319727</v>
      </c>
      <c r="Q27" s="3">
        <f t="shared" si="13"/>
        <v>31320.907740916991</v>
      </c>
      <c r="R27" s="3">
        <f t="shared" si="14"/>
        <v>15497.416579414737</v>
      </c>
      <c r="S27" s="3">
        <f t="shared" si="15"/>
        <v>12705.494208814505</v>
      </c>
      <c r="T27" t="str">
        <f>IF('Construction Planner'!$G$2="Goldmünzen","50000",IF('Construction Planner'!$G$2="Einlagerung",0,"Einstellung wählen"))</f>
        <v>50000</v>
      </c>
      <c r="U27">
        <v>30000</v>
      </c>
      <c r="V27" s="3">
        <f t="shared" si="16"/>
        <v>34059.983597414939</v>
      </c>
    </row>
    <row r="28" spans="1:22" x14ac:dyDescent="0.25">
      <c r="A28">
        <v>26</v>
      </c>
      <c r="B28" s="3">
        <f t="shared" si="1"/>
        <v>34741.183269363268</v>
      </c>
      <c r="C28" s="3">
        <f t="shared" si="2"/>
        <v>81413.825608500396</v>
      </c>
      <c r="D28" s="3">
        <f t="shared" si="3"/>
        <v>114937.16556494175</v>
      </c>
      <c r="E28" s="3">
        <f t="shared" si="3"/>
        <v>114937.16556494175</v>
      </c>
      <c r="F28" s="3">
        <f t="shared" si="3"/>
        <v>95780.971304118109</v>
      </c>
      <c r="G28" s="3">
        <f t="shared" si="3"/>
        <v>9578097.1304118112</v>
      </c>
      <c r="H28" s="3">
        <f t="shared" si="3"/>
        <v>709209.55700021214</v>
      </c>
      <c r="I28" s="3">
        <f t="shared" si="5"/>
        <v>838860800000</v>
      </c>
      <c r="J28" s="3">
        <f t="shared" si="6"/>
        <v>78167.662356067303</v>
      </c>
      <c r="K28" s="3">
        <f t="shared" si="7"/>
        <v>17370.591634681634</v>
      </c>
      <c r="L28" s="3">
        <f t="shared" si="8"/>
        <v>95538.253990748985</v>
      </c>
      <c r="M28" s="3">
        <f t="shared" si="9"/>
        <v>43426.479086704043</v>
      </c>
      <c r="N28" s="3">
        <f t="shared" si="10"/>
        <v>26055.887452022449</v>
      </c>
      <c r="O28" s="3">
        <f t="shared" si="11"/>
        <v>17833.358579987744</v>
      </c>
      <c r="P28" s="3">
        <f t="shared" si="12"/>
        <v>28227.211406357648</v>
      </c>
      <c r="Q28" s="3">
        <f t="shared" si="13"/>
        <v>41343.598218010433</v>
      </c>
      <c r="R28" s="3">
        <f t="shared" si="14"/>
        <v>19681.719055856716</v>
      </c>
      <c r="S28" s="3">
        <f t="shared" si="15"/>
        <v>15881.867761018131</v>
      </c>
      <c r="T28" t="str">
        <f>IF('Construction Planner'!$G$2="Goldmünzen","50000",IF('Construction Planner'!$G$2="Einlagerung",0,"Einstellung wählen"))</f>
        <v>50000</v>
      </c>
      <c r="U28">
        <v>30000</v>
      </c>
      <c r="V28" s="3">
        <f t="shared" si="16"/>
        <v>43426.479086704043</v>
      </c>
    </row>
    <row r="29" spans="1:22" x14ac:dyDescent="0.25">
      <c r="A29">
        <v>27</v>
      </c>
      <c r="B29" s="3">
        <f t="shared" si="1"/>
        <v>44295.00866843816</v>
      </c>
      <c r="C29" s="3">
        <f t="shared" si="2"/>
        <v>104209.69677888051</v>
      </c>
      <c r="D29" s="3">
        <f t="shared" si="3"/>
        <v>147119.57192312545</v>
      </c>
      <c r="E29" s="3">
        <f t="shared" si="3"/>
        <v>147119.57192312545</v>
      </c>
      <c r="F29" s="3">
        <f t="shared" si="3"/>
        <v>122599.64326927118</v>
      </c>
      <c r="G29" s="3">
        <f t="shared" si="3"/>
        <v>12259964.326927118</v>
      </c>
      <c r="H29" s="3">
        <f t="shared" si="3"/>
        <v>829775.1816902482</v>
      </c>
      <c r="I29" s="3">
        <f t="shared" si="5"/>
        <v>1677721600000</v>
      </c>
      <c r="J29" s="3">
        <f t="shared" si="6"/>
        <v>99663.769503985808</v>
      </c>
      <c r="K29" s="3">
        <f t="shared" si="7"/>
        <v>22147.50433421908</v>
      </c>
      <c r="L29" s="3">
        <f t="shared" si="8"/>
        <v>121811.27383820494</v>
      </c>
      <c r="M29" s="3">
        <f t="shared" si="9"/>
        <v>55368.760835547648</v>
      </c>
      <c r="N29" s="3">
        <f t="shared" si="10"/>
        <v>33221.256501328622</v>
      </c>
      <c r="O29" s="3">
        <f t="shared" si="11"/>
        <v>22559.198603684494</v>
      </c>
      <c r="P29" s="3">
        <f t="shared" si="12"/>
        <v>35989.694543106001</v>
      </c>
      <c r="Q29" s="3">
        <f t="shared" si="13"/>
        <v>54573.549647773776</v>
      </c>
      <c r="R29" s="3">
        <f t="shared" si="14"/>
        <v>24995.783200938029</v>
      </c>
      <c r="S29" s="3">
        <f t="shared" si="15"/>
        <v>19852.334701272663</v>
      </c>
      <c r="T29" t="str">
        <f>IF('Construction Planner'!$G$2="Goldmünzen","50000",IF('Construction Planner'!$G$2="Einlagerung",0,"Einstellung wählen"))</f>
        <v>50000</v>
      </c>
      <c r="U29">
        <v>30000</v>
      </c>
      <c r="V29" s="3">
        <f t="shared" si="16"/>
        <v>55368.760835547648</v>
      </c>
    </row>
    <row r="30" spans="1:22" x14ac:dyDescent="0.25">
      <c r="A30">
        <v>28</v>
      </c>
      <c r="B30" s="3">
        <f t="shared" si="1"/>
        <v>56476.136052258647</v>
      </c>
      <c r="C30" s="3">
        <f t="shared" si="2"/>
        <v>133388.41187696706</v>
      </c>
      <c r="D30" s="3">
        <f t="shared" si="3"/>
        <v>188313.05206160058</v>
      </c>
      <c r="E30" s="3">
        <f t="shared" si="3"/>
        <v>188313.05206160058</v>
      </c>
      <c r="F30" s="3">
        <f t="shared" si="3"/>
        <v>156927.54338466711</v>
      </c>
      <c r="G30" s="3">
        <f t="shared" si="3"/>
        <v>15692754.338466711</v>
      </c>
      <c r="H30" s="3">
        <f t="shared" si="3"/>
        <v>970836.96257759037</v>
      </c>
      <c r="I30" s="3">
        <f t="shared" si="5"/>
        <v>3355443200000</v>
      </c>
      <c r="J30" s="3">
        <f t="shared" si="6"/>
        <v>127071.3061175819</v>
      </c>
      <c r="K30" s="3">
        <f t="shared" si="7"/>
        <v>28238.068026129324</v>
      </c>
      <c r="L30" s="3">
        <f t="shared" si="8"/>
        <v>155309.37414371129</v>
      </c>
      <c r="M30" s="3">
        <f t="shared" si="9"/>
        <v>70595.17006532324</v>
      </c>
      <c r="N30" s="3">
        <f t="shared" si="10"/>
        <v>42357.102039193989</v>
      </c>
      <c r="O30" s="3">
        <f t="shared" si="11"/>
        <v>28537.386233660884</v>
      </c>
      <c r="P30" s="3">
        <f t="shared" si="12"/>
        <v>45886.860542460148</v>
      </c>
      <c r="Q30" s="3">
        <f t="shared" si="13"/>
        <v>72037.085535061386</v>
      </c>
      <c r="R30" s="3">
        <f t="shared" si="14"/>
        <v>31744.644665191296</v>
      </c>
      <c r="S30" s="3">
        <f t="shared" si="15"/>
        <v>24815.418376590827</v>
      </c>
      <c r="T30" t="str">
        <f>IF('Construction Planner'!$G$2="Goldmünzen","50000",IF('Construction Planner'!$G$2="Einlagerung",0,"Einstellung wählen"))</f>
        <v>50000</v>
      </c>
      <c r="U30">
        <v>30000</v>
      </c>
      <c r="V30" s="3">
        <f t="shared" si="16"/>
        <v>70595.17006532324</v>
      </c>
    </row>
    <row r="31" spans="1:22" x14ac:dyDescent="0.25">
      <c r="A31">
        <v>29</v>
      </c>
      <c r="B31" s="3">
        <f t="shared" si="1"/>
        <v>72007.073466629765</v>
      </c>
      <c r="C31" s="3">
        <f t="shared" si="2"/>
        <v>170737.16720251783</v>
      </c>
      <c r="D31" s="3">
        <f t="shared" si="3"/>
        <v>241040.70663884876</v>
      </c>
      <c r="E31" s="3">
        <f t="shared" si="3"/>
        <v>241040.70663884876</v>
      </c>
      <c r="F31" s="3">
        <f t="shared" si="3"/>
        <v>200867.25553237391</v>
      </c>
      <c r="G31" s="3">
        <f t="shared" si="3"/>
        <v>20086725.55323739</v>
      </c>
      <c r="H31" s="3">
        <f t="shared" si="3"/>
        <v>1135879.2462157807</v>
      </c>
      <c r="I31" s="3">
        <f t="shared" si="5"/>
        <v>6710886400000</v>
      </c>
      <c r="J31" s="3">
        <f t="shared" si="6"/>
        <v>162015.9152999169</v>
      </c>
      <c r="K31" s="3">
        <f t="shared" si="7"/>
        <v>36003.536733314882</v>
      </c>
      <c r="L31" s="3">
        <f t="shared" si="8"/>
        <v>198019.45203323188</v>
      </c>
      <c r="M31" s="3">
        <f t="shared" si="9"/>
        <v>90008.841833287122</v>
      </c>
      <c r="N31" s="3">
        <f t="shared" si="10"/>
        <v>54005.305099972335</v>
      </c>
      <c r="O31" s="3">
        <f t="shared" si="11"/>
        <v>36099.793585581014</v>
      </c>
      <c r="P31" s="3">
        <f t="shared" si="12"/>
        <v>58505.747191636685</v>
      </c>
      <c r="Q31" s="3">
        <f t="shared" si="13"/>
        <v>95088.952906281032</v>
      </c>
      <c r="R31" s="3">
        <f t="shared" si="14"/>
        <v>40315.698724792943</v>
      </c>
      <c r="S31" s="3">
        <f t="shared" si="15"/>
        <v>31019.272970738533</v>
      </c>
      <c r="T31" t="str">
        <f>IF('Construction Planner'!$G$2="Goldmünzen","50000",IF('Construction Planner'!$G$2="Einlagerung",0,"Einstellung wählen"))</f>
        <v>50000</v>
      </c>
      <c r="U31">
        <v>30000</v>
      </c>
      <c r="V31" s="3">
        <f t="shared" si="16"/>
        <v>90008.841833287122</v>
      </c>
    </row>
    <row r="32" spans="1:22" x14ac:dyDescent="0.25">
      <c r="A32">
        <v>30</v>
      </c>
      <c r="B32" s="3">
        <f t="shared" si="1"/>
        <v>91809.018669952944</v>
      </c>
      <c r="C32" s="3">
        <f t="shared" si="2"/>
        <v>218543.57401922281</v>
      </c>
      <c r="D32" s="3">
        <f t="shared" si="3"/>
        <v>308532.10449772642</v>
      </c>
      <c r="E32" s="3">
        <f t="shared" si="3"/>
        <v>308532.10449772642</v>
      </c>
      <c r="F32" s="3">
        <f t="shared" si="3"/>
        <v>257110.0870814386</v>
      </c>
      <c r="G32" s="3">
        <f t="shared" si="3"/>
        <v>25711008.70814386</v>
      </c>
      <c r="H32" s="3">
        <f t="shared" si="3"/>
        <v>1328978.7180724633</v>
      </c>
      <c r="I32" s="3">
        <f t="shared" si="5"/>
        <v>13421772800000</v>
      </c>
      <c r="J32" s="3">
        <f t="shared" si="6"/>
        <v>206570.29200739405</v>
      </c>
      <c r="K32" s="3">
        <f t="shared" si="7"/>
        <v>45904.509334976472</v>
      </c>
      <c r="L32" s="3">
        <f t="shared" si="8"/>
        <v>252474.80134237063</v>
      </c>
      <c r="M32" s="3">
        <f t="shared" si="9"/>
        <v>114761.27333744107</v>
      </c>
      <c r="N32" s="3">
        <f t="shared" si="10"/>
        <v>68856.764002464726</v>
      </c>
      <c r="O32" s="3">
        <f t="shared" si="11"/>
        <v>45666.23888575998</v>
      </c>
      <c r="P32" s="3">
        <f t="shared" si="12"/>
        <v>74594.827669336766</v>
      </c>
      <c r="Q32" s="3">
        <f t="shared" si="13"/>
        <v>125517.41783629097</v>
      </c>
      <c r="R32" s="3">
        <f t="shared" si="14"/>
        <v>51200.937380487041</v>
      </c>
      <c r="S32" s="3">
        <f t="shared" si="15"/>
        <v>38774.091213423169</v>
      </c>
      <c r="T32" t="str">
        <f>IF('Construction Planner'!$G$2="Goldmünzen","50000",IF('Construction Planner'!$G$2="Einlagerung",0,"Einstellung wählen"))</f>
        <v>50000</v>
      </c>
      <c r="U32">
        <v>30000</v>
      </c>
      <c r="V32" s="3">
        <f t="shared" si="16"/>
        <v>114761.27333744107</v>
      </c>
    </row>
  </sheetData>
  <pageMargins left="0.7" right="0.7" top="0.75" bottom="0.75" header="0.3" footer="0.3"/>
  <pageSetup paperSize="9"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dimension ref="A1:V32"/>
  <sheetViews>
    <sheetView topLeftCell="K1" workbookViewId="0">
      <selection activeCell="T3" sqref="T3:T32"/>
    </sheetView>
  </sheetViews>
  <sheetFormatPr baseColWidth="10" defaultRowHeight="15" x14ac:dyDescent="0.25"/>
  <cols>
    <col min="1" max="259" width="9.140625" customWidth="1"/>
  </cols>
  <sheetData>
    <row r="1" spans="1:22" x14ac:dyDescent="0.25">
      <c r="B1" s="1" t="s">
        <v>0</v>
      </c>
      <c r="C1" s="1" t="s">
        <v>1</v>
      </c>
      <c r="D1" s="1" t="s">
        <v>2</v>
      </c>
      <c r="E1" s="1" t="s">
        <v>3</v>
      </c>
      <c r="F1" s="59" t="s">
        <v>59</v>
      </c>
      <c r="G1" s="59" t="s">
        <v>60</v>
      </c>
      <c r="H1" s="321" t="s">
        <v>64</v>
      </c>
      <c r="I1" s="1" t="s">
        <v>4</v>
      </c>
      <c r="J1" s="1" t="s">
        <v>5</v>
      </c>
      <c r="K1" s="1" t="s">
        <v>6</v>
      </c>
      <c r="L1" s="1" t="s">
        <v>7</v>
      </c>
      <c r="M1" s="1" t="s">
        <v>8</v>
      </c>
      <c r="N1" s="1" t="s">
        <v>9</v>
      </c>
      <c r="O1" s="1" t="s">
        <v>10</v>
      </c>
      <c r="P1" s="1" t="s">
        <v>11</v>
      </c>
      <c r="Q1" s="1" t="s">
        <v>12</v>
      </c>
      <c r="R1" s="1" t="s">
        <v>13</v>
      </c>
      <c r="S1" s="1" t="s">
        <v>14</v>
      </c>
      <c r="T1" s="1" t="s">
        <v>107</v>
      </c>
      <c r="U1" t="str">
        <f>IF('Construction Planner'!$G$2="Goldmünzen","Coin",IF('Construction Planner'!$G$2="Einlagerung","Package","Einstellung wählen"))</f>
        <v>Coin</v>
      </c>
      <c r="V1" s="1" t="s">
        <v>15</v>
      </c>
    </row>
    <row r="2" spans="1:22" x14ac:dyDescent="0.25">
      <c r="A2" s="6" t="s">
        <v>20</v>
      </c>
      <c r="B2" s="1">
        <v>1.26</v>
      </c>
      <c r="C2" s="1">
        <v>1.26</v>
      </c>
      <c r="D2" s="1">
        <v>1.26</v>
      </c>
      <c r="E2" s="1">
        <v>1.26</v>
      </c>
      <c r="F2" s="1">
        <v>1.26</v>
      </c>
      <c r="G2" s="1">
        <v>1.26</v>
      </c>
      <c r="H2" s="322">
        <v>1.18</v>
      </c>
      <c r="I2" s="1">
        <v>2</v>
      </c>
      <c r="J2" s="1">
        <v>1.26</v>
      </c>
      <c r="K2" s="1">
        <v>1.26</v>
      </c>
      <c r="L2" s="1">
        <v>1.26</v>
      </c>
      <c r="M2" s="1">
        <v>1.26</v>
      </c>
      <c r="N2" s="1">
        <v>1.2450000000000001</v>
      </c>
      <c r="O2" s="1">
        <v>1.24</v>
      </c>
      <c r="P2" s="1">
        <v>1.24</v>
      </c>
      <c r="Q2" s="1">
        <v>1.29</v>
      </c>
      <c r="R2" s="1">
        <v>1.2450000000000001</v>
      </c>
      <c r="S2" s="1">
        <v>1.25</v>
      </c>
      <c r="T2" s="1">
        <v>1</v>
      </c>
      <c r="U2" s="1">
        <v>1</v>
      </c>
      <c r="V2" s="1">
        <v>1.26</v>
      </c>
    </row>
    <row r="3" spans="1:22" x14ac:dyDescent="0.25">
      <c r="A3">
        <v>1</v>
      </c>
      <c r="B3">
        <v>70</v>
      </c>
      <c r="C3">
        <v>90</v>
      </c>
      <c r="D3">
        <v>260</v>
      </c>
      <c r="E3">
        <v>260</v>
      </c>
      <c r="F3">
        <v>50</v>
      </c>
      <c r="G3">
        <v>5000</v>
      </c>
      <c r="H3">
        <v>10000</v>
      </c>
      <c r="I3">
        <v>10000</v>
      </c>
      <c r="J3">
        <v>240</v>
      </c>
      <c r="K3">
        <v>30</v>
      </c>
      <c r="L3">
        <v>220</v>
      </c>
      <c r="M3">
        <v>100</v>
      </c>
      <c r="N3">
        <v>40</v>
      </c>
      <c r="O3">
        <v>40</v>
      </c>
      <c r="P3">
        <v>70</v>
      </c>
      <c r="Q3">
        <v>30</v>
      </c>
      <c r="R3">
        <v>40</v>
      </c>
      <c r="S3">
        <v>50</v>
      </c>
      <c r="T3" t="str">
        <f>IF('Construction Planner'!$G$2="Goldmünzen","50000",IF('Construction Planner'!$G$2="Einlagerung",0,"Einstellung wählen"))</f>
        <v>50000</v>
      </c>
      <c r="U3">
        <v>25000</v>
      </c>
      <c r="V3">
        <v>20</v>
      </c>
    </row>
    <row r="4" spans="1:22" x14ac:dyDescent="0.25">
      <c r="A4">
        <v>2</v>
      </c>
      <c r="B4" s="3">
        <f t="shared" ref="B4:S4" si="0">B$2*B3</f>
        <v>88.2</v>
      </c>
      <c r="C4" s="3">
        <f t="shared" si="0"/>
        <v>113.4</v>
      </c>
      <c r="D4" s="3">
        <f t="shared" si="0"/>
        <v>327.60000000000002</v>
      </c>
      <c r="E4" s="3">
        <f t="shared" si="0"/>
        <v>327.60000000000002</v>
      </c>
      <c r="F4" s="3">
        <f t="shared" si="0"/>
        <v>63</v>
      </c>
      <c r="G4" s="3">
        <f t="shared" si="0"/>
        <v>6300</v>
      </c>
      <c r="H4" s="3">
        <f t="shared" si="0"/>
        <v>11800</v>
      </c>
      <c r="I4" s="3">
        <f t="shared" si="0"/>
        <v>20000</v>
      </c>
      <c r="J4" s="3">
        <f t="shared" si="0"/>
        <v>302.39999999999998</v>
      </c>
      <c r="K4" s="3">
        <f t="shared" si="0"/>
        <v>37.799999999999997</v>
      </c>
      <c r="L4" s="3">
        <f t="shared" si="0"/>
        <v>277.2</v>
      </c>
      <c r="M4" s="3">
        <f t="shared" si="0"/>
        <v>126</v>
      </c>
      <c r="N4" s="3">
        <f t="shared" si="0"/>
        <v>49.800000000000004</v>
      </c>
      <c r="O4" s="3">
        <f t="shared" si="0"/>
        <v>49.6</v>
      </c>
      <c r="P4" s="3">
        <f t="shared" si="0"/>
        <v>86.8</v>
      </c>
      <c r="Q4" s="3">
        <f t="shared" si="0"/>
        <v>38.700000000000003</v>
      </c>
      <c r="R4" s="3">
        <f t="shared" si="0"/>
        <v>49.800000000000004</v>
      </c>
      <c r="S4" s="3">
        <f t="shared" si="0"/>
        <v>62.5</v>
      </c>
      <c r="T4" t="str">
        <f>IF('Construction Planner'!$G$2="Goldmünzen","50000",IF('Construction Planner'!$G$2="Einlagerung",0,"Einstellung wählen"))</f>
        <v>50000</v>
      </c>
      <c r="U4">
        <v>25000</v>
      </c>
      <c r="V4" s="3">
        <f>V$2*V3</f>
        <v>25.2</v>
      </c>
    </row>
    <row r="5" spans="1:22" x14ac:dyDescent="0.25">
      <c r="A5">
        <v>3</v>
      </c>
      <c r="B5" s="3">
        <f t="shared" ref="B5:B32" si="1">B$2*B4</f>
        <v>111.13200000000001</v>
      </c>
      <c r="C5" s="3">
        <f t="shared" ref="C5:C32" si="2">C$2*C4</f>
        <v>142.88400000000001</v>
      </c>
      <c r="D5" s="3">
        <f t="shared" ref="D5:D32" si="3">D$2*D4</f>
        <v>412.77600000000001</v>
      </c>
      <c r="E5" s="3">
        <f t="shared" ref="E5:G32" si="4">E$2*E4</f>
        <v>412.77600000000001</v>
      </c>
      <c r="F5" s="3">
        <f t="shared" si="4"/>
        <v>79.38</v>
      </c>
      <c r="G5" s="3">
        <f t="shared" si="4"/>
        <v>7938</v>
      </c>
      <c r="H5" s="3">
        <f t="shared" ref="H5:H19" si="5">H$2*H4</f>
        <v>13924</v>
      </c>
      <c r="I5" s="3">
        <f t="shared" ref="I5:I32" si="6">I$2*I4</f>
        <v>40000</v>
      </c>
      <c r="J5" s="3">
        <f t="shared" ref="J5:J32" si="7">J$2*J4</f>
        <v>381.024</v>
      </c>
      <c r="K5" s="3">
        <f t="shared" ref="K5:K32" si="8">K$2*K4</f>
        <v>47.628</v>
      </c>
      <c r="L5" s="3">
        <f t="shared" ref="L5:L32" si="9">L$2*L4</f>
        <v>349.27199999999999</v>
      </c>
      <c r="M5" s="3">
        <f t="shared" ref="M5:M32" si="10">M$2*M4</f>
        <v>158.76</v>
      </c>
      <c r="N5" s="3">
        <f t="shared" ref="N5:N32" si="11">N$2*N4</f>
        <v>62.001000000000012</v>
      </c>
      <c r="O5" s="3">
        <f t="shared" ref="O5:O32" si="12">O$2*O4</f>
        <v>61.503999999999998</v>
      </c>
      <c r="P5" s="3">
        <f t="shared" ref="P5:P32" si="13">P$2*P4</f>
        <v>107.63199999999999</v>
      </c>
      <c r="Q5" s="3">
        <f t="shared" ref="Q5:Q32" si="14">Q$2*Q4</f>
        <v>49.923000000000002</v>
      </c>
      <c r="R5" s="3">
        <f t="shared" ref="R5:R32" si="15">R$2*R4</f>
        <v>62.001000000000012</v>
      </c>
      <c r="S5" s="3">
        <f t="shared" ref="S5:S32" si="16">S$2*S4</f>
        <v>78.125</v>
      </c>
      <c r="T5" t="str">
        <f>IF('Construction Planner'!$G$2="Goldmünzen","50000",IF('Construction Planner'!$G$2="Einlagerung",0,"Einstellung wählen"))</f>
        <v>50000</v>
      </c>
      <c r="U5">
        <v>25000</v>
      </c>
      <c r="V5" s="3">
        <f t="shared" ref="V5:V32" si="17">V$2*V4</f>
        <v>31.751999999999999</v>
      </c>
    </row>
    <row r="6" spans="1:22" x14ac:dyDescent="0.25">
      <c r="A6">
        <v>4</v>
      </c>
      <c r="B6" s="3">
        <f t="shared" si="1"/>
        <v>140.02632</v>
      </c>
      <c r="C6" s="3">
        <f t="shared" si="2"/>
        <v>180.03384000000003</v>
      </c>
      <c r="D6" s="3">
        <f t="shared" si="3"/>
        <v>520.09775999999999</v>
      </c>
      <c r="E6" s="3">
        <f t="shared" si="4"/>
        <v>520.09775999999999</v>
      </c>
      <c r="F6" s="3">
        <f t="shared" si="4"/>
        <v>100.0188</v>
      </c>
      <c r="G6" s="3">
        <f t="shared" si="4"/>
        <v>10001.879999999999</v>
      </c>
      <c r="H6" s="3">
        <f t="shared" si="5"/>
        <v>16430.32</v>
      </c>
      <c r="I6" s="3">
        <f t="shared" si="6"/>
        <v>80000</v>
      </c>
      <c r="J6" s="3">
        <f t="shared" si="7"/>
        <v>480.09023999999999</v>
      </c>
      <c r="K6" s="3">
        <f t="shared" si="8"/>
        <v>60.011279999999999</v>
      </c>
      <c r="L6" s="3">
        <f t="shared" si="9"/>
        <v>440.08271999999999</v>
      </c>
      <c r="M6" s="3">
        <f t="shared" si="10"/>
        <v>200.0376</v>
      </c>
      <c r="N6" s="3">
        <f t="shared" si="11"/>
        <v>77.191245000000023</v>
      </c>
      <c r="O6" s="3">
        <f t="shared" si="12"/>
        <v>76.264960000000002</v>
      </c>
      <c r="P6" s="3">
        <f t="shared" si="13"/>
        <v>133.46367999999998</v>
      </c>
      <c r="Q6" s="3">
        <f t="shared" si="14"/>
        <v>64.400670000000005</v>
      </c>
      <c r="R6" s="3">
        <f t="shared" si="15"/>
        <v>77.191245000000023</v>
      </c>
      <c r="S6" s="3">
        <f t="shared" si="16"/>
        <v>97.65625</v>
      </c>
      <c r="T6" t="str">
        <f>IF('Construction Planner'!$G$2="Goldmünzen","50000",IF('Construction Planner'!$G$2="Einlagerung",0,"Einstellung wählen"))</f>
        <v>50000</v>
      </c>
      <c r="U6">
        <v>25000</v>
      </c>
      <c r="V6" s="3">
        <f t="shared" si="17"/>
        <v>40.00752</v>
      </c>
    </row>
    <row r="7" spans="1:22" x14ac:dyDescent="0.25">
      <c r="A7">
        <v>5</v>
      </c>
      <c r="B7" s="3">
        <f t="shared" si="1"/>
        <v>176.4331632</v>
      </c>
      <c r="C7" s="3">
        <f t="shared" si="2"/>
        <v>226.84263840000003</v>
      </c>
      <c r="D7" s="3">
        <f t="shared" si="3"/>
        <v>655.32317760000001</v>
      </c>
      <c r="E7" s="3">
        <f t="shared" si="4"/>
        <v>655.32317760000001</v>
      </c>
      <c r="F7" s="3">
        <f t="shared" si="4"/>
        <v>126.02368799999999</v>
      </c>
      <c r="G7" s="3">
        <f t="shared" si="4"/>
        <v>12602.368799999998</v>
      </c>
      <c r="H7" s="3">
        <f t="shared" si="5"/>
        <v>19387.777599999998</v>
      </c>
      <c r="I7" s="3">
        <f t="shared" si="6"/>
        <v>160000</v>
      </c>
      <c r="J7" s="3">
        <f t="shared" si="7"/>
        <v>604.91370240000003</v>
      </c>
      <c r="K7" s="3">
        <f t="shared" si="8"/>
        <v>75.614212800000004</v>
      </c>
      <c r="L7" s="3">
        <f t="shared" si="9"/>
        <v>554.50422719999995</v>
      </c>
      <c r="M7" s="3">
        <f t="shared" si="10"/>
        <v>252.04737599999999</v>
      </c>
      <c r="N7" s="3">
        <f t="shared" si="11"/>
        <v>96.103100025000032</v>
      </c>
      <c r="O7" s="3">
        <f t="shared" si="12"/>
        <v>94.568550400000007</v>
      </c>
      <c r="P7" s="3">
        <f t="shared" si="13"/>
        <v>165.49496319999997</v>
      </c>
      <c r="Q7" s="3">
        <f t="shared" si="14"/>
        <v>83.076864300000011</v>
      </c>
      <c r="R7" s="3">
        <f t="shared" si="15"/>
        <v>96.103100025000032</v>
      </c>
      <c r="S7" s="3">
        <f t="shared" si="16"/>
        <v>122.0703125</v>
      </c>
      <c r="T7" t="str">
        <f>IF('Construction Planner'!$G$2="Goldmünzen","50000",IF('Construction Planner'!$G$2="Einlagerung",0,"Einstellung wählen"))</f>
        <v>50000</v>
      </c>
      <c r="U7">
        <v>25000</v>
      </c>
      <c r="V7" s="3">
        <f t="shared" si="17"/>
        <v>50.409475200000003</v>
      </c>
    </row>
    <row r="8" spans="1:22" x14ac:dyDescent="0.25">
      <c r="A8">
        <v>6</v>
      </c>
      <c r="B8" s="3">
        <f t="shared" si="1"/>
        <v>222.30578563200001</v>
      </c>
      <c r="C8" s="3">
        <f t="shared" si="2"/>
        <v>285.82172438400005</v>
      </c>
      <c r="D8" s="3">
        <f t="shared" si="3"/>
        <v>825.70720377600003</v>
      </c>
      <c r="E8" s="3">
        <f t="shared" si="4"/>
        <v>825.70720377600003</v>
      </c>
      <c r="F8" s="3">
        <f t="shared" si="4"/>
        <v>158.78984688</v>
      </c>
      <c r="G8" s="3">
        <f t="shared" si="4"/>
        <v>15878.984687999999</v>
      </c>
      <c r="H8" s="3">
        <f t="shared" si="5"/>
        <v>22877.577567999997</v>
      </c>
      <c r="I8" s="3">
        <f t="shared" si="6"/>
        <v>320000</v>
      </c>
      <c r="J8" s="3">
        <f t="shared" si="7"/>
        <v>762.19126502400002</v>
      </c>
      <c r="K8" s="3">
        <f t="shared" si="8"/>
        <v>95.273908128000002</v>
      </c>
      <c r="L8" s="3">
        <f t="shared" si="9"/>
        <v>698.67532627199989</v>
      </c>
      <c r="M8" s="3">
        <f t="shared" si="10"/>
        <v>317.57969376</v>
      </c>
      <c r="N8" s="3">
        <f t="shared" si="11"/>
        <v>119.64835953112505</v>
      </c>
      <c r="O8" s="3">
        <f t="shared" si="12"/>
        <v>117.26500249600001</v>
      </c>
      <c r="P8" s="3">
        <f t="shared" si="13"/>
        <v>205.21375436799997</v>
      </c>
      <c r="Q8" s="3">
        <f t="shared" si="14"/>
        <v>107.16915494700002</v>
      </c>
      <c r="R8" s="3">
        <f t="shared" si="15"/>
        <v>119.64835953112505</v>
      </c>
      <c r="S8" s="3">
        <f t="shared" si="16"/>
        <v>152.587890625</v>
      </c>
      <c r="T8" t="str">
        <f>IF('Construction Planner'!$G$2="Goldmünzen","50000",IF('Construction Planner'!$G$2="Einlagerung",0,"Einstellung wählen"))</f>
        <v>50000</v>
      </c>
      <c r="U8">
        <v>25000</v>
      </c>
      <c r="V8" s="3">
        <f t="shared" si="17"/>
        <v>63.515938752000004</v>
      </c>
    </row>
    <row r="9" spans="1:22" x14ac:dyDescent="0.25">
      <c r="A9">
        <v>7</v>
      </c>
      <c r="B9" s="3">
        <f t="shared" si="1"/>
        <v>280.10528989632002</v>
      </c>
      <c r="C9" s="3">
        <f t="shared" si="2"/>
        <v>360.13537272384008</v>
      </c>
      <c r="D9" s="3">
        <f t="shared" si="3"/>
        <v>1040.3910767577599</v>
      </c>
      <c r="E9" s="3">
        <f t="shared" si="4"/>
        <v>1040.3910767577599</v>
      </c>
      <c r="F9" s="3">
        <f t="shared" si="4"/>
        <v>200.07520706880001</v>
      </c>
      <c r="G9" s="3">
        <f t="shared" si="4"/>
        <v>20007.520706879997</v>
      </c>
      <c r="H9" s="3">
        <f t="shared" si="5"/>
        <v>26995.541530239996</v>
      </c>
      <c r="I9" s="3">
        <f t="shared" si="6"/>
        <v>640000</v>
      </c>
      <c r="J9" s="3">
        <f t="shared" si="7"/>
        <v>960.36099393024006</v>
      </c>
      <c r="K9" s="3">
        <f t="shared" si="8"/>
        <v>120.04512424128001</v>
      </c>
      <c r="L9" s="3">
        <f t="shared" si="9"/>
        <v>880.33091110271982</v>
      </c>
      <c r="M9" s="3">
        <f t="shared" si="10"/>
        <v>400.15041413760002</v>
      </c>
      <c r="N9" s="3">
        <f t="shared" si="11"/>
        <v>148.96220761625071</v>
      </c>
      <c r="O9" s="3">
        <f t="shared" si="12"/>
        <v>145.40860309504001</v>
      </c>
      <c r="P9" s="3">
        <f t="shared" si="13"/>
        <v>254.46505541631996</v>
      </c>
      <c r="Q9" s="3">
        <f t="shared" si="14"/>
        <v>138.24820988163003</v>
      </c>
      <c r="R9" s="3">
        <f t="shared" si="15"/>
        <v>148.96220761625071</v>
      </c>
      <c r="S9" s="3">
        <f t="shared" si="16"/>
        <v>190.73486328125</v>
      </c>
      <c r="T9" t="str">
        <f>IF('Construction Planner'!$G$2="Goldmünzen","50000",IF('Construction Planner'!$G$2="Einlagerung",0,"Einstellung wählen"))</f>
        <v>50000</v>
      </c>
      <c r="U9">
        <v>25000</v>
      </c>
      <c r="V9" s="3">
        <f t="shared" si="17"/>
        <v>80.030082827520005</v>
      </c>
    </row>
    <row r="10" spans="1:22" x14ac:dyDescent="0.25">
      <c r="A10">
        <v>8</v>
      </c>
      <c r="B10" s="3">
        <f t="shared" si="1"/>
        <v>352.93266526936321</v>
      </c>
      <c r="C10" s="3">
        <f t="shared" si="2"/>
        <v>453.77056963203847</v>
      </c>
      <c r="D10" s="3">
        <f t="shared" si="3"/>
        <v>1310.8927567147775</v>
      </c>
      <c r="E10" s="3">
        <f t="shared" si="4"/>
        <v>1310.8927567147775</v>
      </c>
      <c r="F10" s="3">
        <f t="shared" si="4"/>
        <v>252.09476090668801</v>
      </c>
      <c r="G10" s="3">
        <f t="shared" si="4"/>
        <v>25209.476090668795</v>
      </c>
      <c r="H10" s="3">
        <f t="shared" si="5"/>
        <v>31854.739005683194</v>
      </c>
      <c r="I10" s="3">
        <f t="shared" si="6"/>
        <v>1280000</v>
      </c>
      <c r="J10" s="3">
        <f t="shared" si="7"/>
        <v>1210.0548523521024</v>
      </c>
      <c r="K10" s="3">
        <f t="shared" si="8"/>
        <v>151.25685654401281</v>
      </c>
      <c r="L10" s="3">
        <f t="shared" si="9"/>
        <v>1109.2169479894269</v>
      </c>
      <c r="M10" s="3">
        <f t="shared" si="10"/>
        <v>504.18952181337602</v>
      </c>
      <c r="N10" s="3">
        <f t="shared" si="11"/>
        <v>185.45794848223215</v>
      </c>
      <c r="O10" s="3">
        <f t="shared" si="12"/>
        <v>180.3066678378496</v>
      </c>
      <c r="P10" s="3">
        <f t="shared" si="13"/>
        <v>315.53666871623676</v>
      </c>
      <c r="Q10" s="3">
        <f t="shared" si="14"/>
        <v>178.34019074730276</v>
      </c>
      <c r="R10" s="3">
        <f t="shared" si="15"/>
        <v>185.45794848223215</v>
      </c>
      <c r="S10" s="3">
        <f t="shared" si="16"/>
        <v>238.4185791015625</v>
      </c>
      <c r="T10" t="str">
        <f>IF('Construction Planner'!$G$2="Goldmünzen","50000",IF('Construction Planner'!$G$2="Einlagerung",0,"Einstellung wählen"))</f>
        <v>50000</v>
      </c>
      <c r="U10">
        <v>25000</v>
      </c>
      <c r="V10" s="3">
        <f t="shared" si="17"/>
        <v>100.8379043626752</v>
      </c>
    </row>
    <row r="11" spans="1:22" x14ac:dyDescent="0.25">
      <c r="A11">
        <v>9</v>
      </c>
      <c r="B11" s="3">
        <f t="shared" si="1"/>
        <v>444.69515823939764</v>
      </c>
      <c r="C11" s="3">
        <f t="shared" si="2"/>
        <v>571.75091773636848</v>
      </c>
      <c r="D11" s="3">
        <f t="shared" si="3"/>
        <v>1651.7248734606196</v>
      </c>
      <c r="E11" s="3">
        <f t="shared" si="4"/>
        <v>1651.7248734606196</v>
      </c>
      <c r="F11" s="3">
        <f t="shared" si="4"/>
        <v>317.63939874242692</v>
      </c>
      <c r="G11" s="3">
        <f t="shared" si="4"/>
        <v>31763.939874242682</v>
      </c>
      <c r="H11" s="3">
        <f t="shared" si="5"/>
        <v>37588.592026706167</v>
      </c>
      <c r="I11" s="3">
        <f t="shared" si="6"/>
        <v>2560000</v>
      </c>
      <c r="J11" s="3">
        <f t="shared" si="7"/>
        <v>1524.6691139636491</v>
      </c>
      <c r="K11" s="3">
        <f t="shared" si="8"/>
        <v>190.58363924545614</v>
      </c>
      <c r="L11" s="3">
        <f t="shared" si="9"/>
        <v>1397.6133544666779</v>
      </c>
      <c r="M11" s="3">
        <f t="shared" si="10"/>
        <v>635.27879748485384</v>
      </c>
      <c r="N11" s="3">
        <f t="shared" si="11"/>
        <v>230.89514586037905</v>
      </c>
      <c r="O11" s="3">
        <f t="shared" si="12"/>
        <v>223.5802681189335</v>
      </c>
      <c r="P11" s="3">
        <f t="shared" si="13"/>
        <v>391.2654692081336</v>
      </c>
      <c r="Q11" s="3">
        <f t="shared" si="14"/>
        <v>230.05884606402057</v>
      </c>
      <c r="R11" s="3">
        <f t="shared" si="15"/>
        <v>230.89514586037905</v>
      </c>
      <c r="S11" s="3">
        <f t="shared" si="16"/>
        <v>298.02322387695312</v>
      </c>
      <c r="T11" t="str">
        <f>IF('Construction Planner'!$G$2="Goldmünzen","50000",IF('Construction Planner'!$G$2="Einlagerung",0,"Einstellung wählen"))</f>
        <v>50000</v>
      </c>
      <c r="U11">
        <v>25000</v>
      </c>
      <c r="V11" s="3">
        <f t="shared" si="17"/>
        <v>127.05575949697075</v>
      </c>
    </row>
    <row r="12" spans="1:22" x14ac:dyDescent="0.25">
      <c r="A12">
        <v>10</v>
      </c>
      <c r="B12" s="3">
        <f t="shared" si="1"/>
        <v>560.31589938164109</v>
      </c>
      <c r="C12" s="3">
        <f t="shared" si="2"/>
        <v>720.40615634782432</v>
      </c>
      <c r="D12" s="3">
        <f t="shared" si="3"/>
        <v>2081.1733405603809</v>
      </c>
      <c r="E12" s="3">
        <f t="shared" si="4"/>
        <v>2081.1733405603809</v>
      </c>
      <c r="F12" s="3">
        <f t="shared" si="4"/>
        <v>400.22564241545791</v>
      </c>
      <c r="G12" s="3">
        <f t="shared" si="4"/>
        <v>40022.564241545777</v>
      </c>
      <c r="H12" s="3">
        <f t="shared" si="5"/>
        <v>44354.538591513272</v>
      </c>
      <c r="I12" s="3">
        <f t="shared" si="6"/>
        <v>5120000</v>
      </c>
      <c r="J12" s="3">
        <f t="shared" si="7"/>
        <v>1921.0830835941979</v>
      </c>
      <c r="K12" s="3">
        <f t="shared" si="8"/>
        <v>240.13538544927474</v>
      </c>
      <c r="L12" s="3">
        <f t="shared" si="9"/>
        <v>1760.9928266280142</v>
      </c>
      <c r="M12" s="3">
        <f t="shared" si="10"/>
        <v>800.45128483091582</v>
      </c>
      <c r="N12" s="3">
        <f t="shared" si="11"/>
        <v>287.46445659617194</v>
      </c>
      <c r="O12" s="3">
        <f t="shared" si="12"/>
        <v>277.23953246747755</v>
      </c>
      <c r="P12" s="3">
        <f t="shared" si="13"/>
        <v>485.16918181808563</v>
      </c>
      <c r="Q12" s="3">
        <f t="shared" si="14"/>
        <v>296.77591142258655</v>
      </c>
      <c r="R12" s="3">
        <f t="shared" si="15"/>
        <v>287.46445659617194</v>
      </c>
      <c r="S12" s="3">
        <f t="shared" si="16"/>
        <v>372.52902984619141</v>
      </c>
      <c r="T12" t="str">
        <f>IF('Construction Planner'!$G$2="Goldmünzen","50000",IF('Construction Planner'!$G$2="Einlagerung",0,"Einstellung wählen"))</f>
        <v>50000</v>
      </c>
      <c r="U12">
        <v>25000</v>
      </c>
      <c r="V12" s="3">
        <f t="shared" si="17"/>
        <v>160.09025696618315</v>
      </c>
    </row>
    <row r="13" spans="1:22" x14ac:dyDescent="0.25">
      <c r="A13">
        <v>11</v>
      </c>
      <c r="B13" s="3">
        <f t="shared" si="1"/>
        <v>705.9980332208678</v>
      </c>
      <c r="C13" s="3">
        <f t="shared" si="2"/>
        <v>907.71175699825869</v>
      </c>
      <c r="D13" s="3">
        <f t="shared" si="3"/>
        <v>2622.2784091060798</v>
      </c>
      <c r="E13" s="3">
        <f t="shared" si="4"/>
        <v>2622.2784091060798</v>
      </c>
      <c r="F13" s="3">
        <f t="shared" ref="F13:G18" si="18">F$2*F12</f>
        <v>504.28430944347696</v>
      </c>
      <c r="G13" s="3">
        <f t="shared" si="18"/>
        <v>50428.430944347681</v>
      </c>
      <c r="H13" s="3">
        <f t="shared" si="5"/>
        <v>52338.355537985655</v>
      </c>
      <c r="I13" s="3">
        <f t="shared" si="6"/>
        <v>10240000</v>
      </c>
      <c r="J13" s="3">
        <f t="shared" si="7"/>
        <v>2420.5646853286894</v>
      </c>
      <c r="K13" s="3">
        <f t="shared" si="8"/>
        <v>302.57058566608617</v>
      </c>
      <c r="L13" s="3">
        <f t="shared" si="9"/>
        <v>2218.850961551298</v>
      </c>
      <c r="M13" s="3">
        <f t="shared" si="10"/>
        <v>1008.5686188869539</v>
      </c>
      <c r="N13" s="3">
        <f t="shared" si="11"/>
        <v>357.89324846223411</v>
      </c>
      <c r="O13" s="3">
        <f t="shared" si="12"/>
        <v>343.77702025967216</v>
      </c>
      <c r="P13" s="3">
        <f t="shared" si="13"/>
        <v>601.60978545442617</v>
      </c>
      <c r="Q13" s="3">
        <f t="shared" si="14"/>
        <v>382.84092573513664</v>
      </c>
      <c r="R13" s="3">
        <f t="shared" si="15"/>
        <v>357.89324846223411</v>
      </c>
      <c r="S13" s="3">
        <f t="shared" si="16"/>
        <v>465.66128730773926</v>
      </c>
      <c r="T13" t="str">
        <f>IF('Construction Planner'!$G$2="Goldmünzen","50000",IF('Construction Planner'!$G$2="Einlagerung",0,"Einstellung wählen"))</f>
        <v>50000</v>
      </c>
      <c r="U13">
        <v>25000</v>
      </c>
      <c r="V13" s="3">
        <f t="shared" si="17"/>
        <v>201.71372377739075</v>
      </c>
    </row>
    <row r="14" spans="1:22" x14ac:dyDescent="0.25">
      <c r="A14">
        <v>12</v>
      </c>
      <c r="B14" s="3">
        <f t="shared" si="1"/>
        <v>889.5575218582934</v>
      </c>
      <c r="C14" s="3">
        <f t="shared" si="2"/>
        <v>1143.716813817806</v>
      </c>
      <c r="D14" s="3">
        <f t="shared" si="3"/>
        <v>3304.0707954736608</v>
      </c>
      <c r="E14" s="3">
        <f t="shared" si="4"/>
        <v>3304.0707954736608</v>
      </c>
      <c r="F14" s="3">
        <f t="shared" si="18"/>
        <v>635.39822989878098</v>
      </c>
      <c r="G14" s="3">
        <f t="shared" si="18"/>
        <v>63539.822989878077</v>
      </c>
      <c r="H14" s="3">
        <f t="shared" si="5"/>
        <v>61759.259534823068</v>
      </c>
      <c r="I14" s="3">
        <f t="shared" si="6"/>
        <v>20480000</v>
      </c>
      <c r="J14" s="3">
        <f t="shared" si="7"/>
        <v>3049.9115035141485</v>
      </c>
      <c r="K14" s="3">
        <f t="shared" si="8"/>
        <v>381.23893793926857</v>
      </c>
      <c r="L14" s="3">
        <f t="shared" si="9"/>
        <v>2795.7522115546358</v>
      </c>
      <c r="M14" s="3">
        <f t="shared" si="10"/>
        <v>1270.796459797562</v>
      </c>
      <c r="N14" s="3">
        <f t="shared" si="11"/>
        <v>445.57709433548149</v>
      </c>
      <c r="O14" s="3">
        <f t="shared" si="12"/>
        <v>426.28350512199347</v>
      </c>
      <c r="P14" s="3">
        <f t="shared" si="13"/>
        <v>745.99613396348843</v>
      </c>
      <c r="Q14" s="3">
        <f t="shared" si="14"/>
        <v>493.86479419832625</v>
      </c>
      <c r="R14" s="3">
        <f t="shared" si="15"/>
        <v>445.57709433548149</v>
      </c>
      <c r="S14" s="3">
        <f t="shared" si="16"/>
        <v>582.07660913467407</v>
      </c>
      <c r="T14" t="str">
        <f>IF('Construction Planner'!$G$2="Goldmünzen","50000",IF('Construction Planner'!$G$2="Einlagerung",0,"Einstellung wählen"))</f>
        <v>50000</v>
      </c>
      <c r="U14">
        <v>25000</v>
      </c>
      <c r="V14" s="3">
        <f t="shared" si="17"/>
        <v>254.15929195951236</v>
      </c>
    </row>
    <row r="15" spans="1:22" x14ac:dyDescent="0.25">
      <c r="A15">
        <v>13</v>
      </c>
      <c r="B15" s="3">
        <f t="shared" si="1"/>
        <v>1120.8424775414496</v>
      </c>
      <c r="C15" s="3">
        <f t="shared" si="2"/>
        <v>1441.0831854104356</v>
      </c>
      <c r="D15" s="3">
        <f t="shared" si="3"/>
        <v>4163.1292022968128</v>
      </c>
      <c r="E15" s="3">
        <f t="shared" si="4"/>
        <v>4163.1292022968128</v>
      </c>
      <c r="F15" s="3">
        <f t="shared" si="18"/>
        <v>800.601769672464</v>
      </c>
      <c r="G15" s="3">
        <f t="shared" si="18"/>
        <v>80060.176967246385</v>
      </c>
      <c r="H15" s="3">
        <f t="shared" si="5"/>
        <v>72875.926251091223</v>
      </c>
      <c r="I15" s="3">
        <f t="shared" si="6"/>
        <v>40960000</v>
      </c>
      <c r="J15" s="3">
        <f t="shared" si="7"/>
        <v>3842.888494427827</v>
      </c>
      <c r="K15" s="3">
        <f t="shared" si="8"/>
        <v>480.36106180347838</v>
      </c>
      <c r="L15" s="3">
        <f t="shared" si="9"/>
        <v>3522.6477865588413</v>
      </c>
      <c r="M15" s="3">
        <f t="shared" si="10"/>
        <v>1601.203539344928</v>
      </c>
      <c r="N15" s="3">
        <f t="shared" si="11"/>
        <v>554.74348244767452</v>
      </c>
      <c r="O15" s="3">
        <f t="shared" si="12"/>
        <v>528.59154635127186</v>
      </c>
      <c r="P15" s="3">
        <f t="shared" si="13"/>
        <v>925.03520611472561</v>
      </c>
      <c r="Q15" s="3">
        <f t="shared" si="14"/>
        <v>637.08558451584088</v>
      </c>
      <c r="R15" s="3">
        <f t="shared" si="15"/>
        <v>554.74348244767452</v>
      </c>
      <c r="S15" s="3">
        <f t="shared" si="16"/>
        <v>727.59576141834259</v>
      </c>
      <c r="T15" t="str">
        <f>IF('Construction Planner'!$G$2="Goldmünzen","50000",IF('Construction Planner'!$G$2="Einlagerung",0,"Einstellung wählen"))</f>
        <v>50000</v>
      </c>
      <c r="U15">
        <v>25000</v>
      </c>
      <c r="V15" s="3">
        <f t="shared" si="17"/>
        <v>320.24070786898557</v>
      </c>
    </row>
    <row r="16" spans="1:22" x14ac:dyDescent="0.25">
      <c r="A16">
        <v>14</v>
      </c>
      <c r="B16" s="3">
        <f t="shared" si="1"/>
        <v>1412.2615217022264</v>
      </c>
      <c r="C16" s="3">
        <f t="shared" si="2"/>
        <v>1815.7648136171488</v>
      </c>
      <c r="D16" s="3">
        <f t="shared" si="3"/>
        <v>5245.5427948939841</v>
      </c>
      <c r="E16" s="3">
        <f t="shared" si="4"/>
        <v>5245.5427948939841</v>
      </c>
      <c r="F16" s="3">
        <f t="shared" si="18"/>
        <v>1008.7582297873047</v>
      </c>
      <c r="G16" s="3">
        <f t="shared" si="18"/>
        <v>100875.82297873044</v>
      </c>
      <c r="H16" s="3">
        <f t="shared" si="5"/>
        <v>85993.592976287633</v>
      </c>
      <c r="I16" s="3">
        <f t="shared" si="6"/>
        <v>81920000</v>
      </c>
      <c r="J16" s="3">
        <f t="shared" si="7"/>
        <v>4842.0395029790625</v>
      </c>
      <c r="K16" s="3">
        <f t="shared" si="8"/>
        <v>605.25493787238281</v>
      </c>
      <c r="L16" s="3">
        <f t="shared" si="9"/>
        <v>4438.5362110641399</v>
      </c>
      <c r="M16" s="3">
        <f t="shared" si="10"/>
        <v>2017.5164595746094</v>
      </c>
      <c r="N16" s="3">
        <f t="shared" si="11"/>
        <v>690.65563564735487</v>
      </c>
      <c r="O16" s="3">
        <f t="shared" si="12"/>
        <v>655.45351747557709</v>
      </c>
      <c r="P16" s="3">
        <f t="shared" si="13"/>
        <v>1147.0436555822598</v>
      </c>
      <c r="Q16" s="3">
        <f t="shared" si="14"/>
        <v>821.84040402543474</v>
      </c>
      <c r="R16" s="3">
        <f t="shared" si="15"/>
        <v>690.65563564735487</v>
      </c>
      <c r="S16" s="3">
        <f t="shared" si="16"/>
        <v>909.49470177292824</v>
      </c>
      <c r="T16" t="str">
        <f>IF('Construction Planner'!$G$2="Goldmünzen","50000",IF('Construction Planner'!$G$2="Einlagerung",0,"Einstellung wählen"))</f>
        <v>50000</v>
      </c>
      <c r="U16">
        <v>25000</v>
      </c>
      <c r="V16" s="3">
        <f t="shared" si="17"/>
        <v>403.50329191492182</v>
      </c>
    </row>
    <row r="17" spans="1:22" x14ac:dyDescent="0.25">
      <c r="A17">
        <v>15</v>
      </c>
      <c r="B17" s="3">
        <f t="shared" si="1"/>
        <v>1779.4495173448054</v>
      </c>
      <c r="C17" s="3">
        <f t="shared" si="2"/>
        <v>2287.8636651576076</v>
      </c>
      <c r="D17" s="3">
        <f t="shared" si="3"/>
        <v>6609.3839215664202</v>
      </c>
      <c r="E17" s="3">
        <f t="shared" si="4"/>
        <v>6609.3839215664202</v>
      </c>
      <c r="F17" s="3">
        <f t="shared" si="18"/>
        <v>1271.0353695320039</v>
      </c>
      <c r="G17" s="3">
        <f t="shared" si="18"/>
        <v>127103.53695320037</v>
      </c>
      <c r="H17" s="3">
        <f t="shared" si="5"/>
        <v>101472.4397120194</v>
      </c>
      <c r="I17" s="3">
        <f t="shared" si="6"/>
        <v>163840000</v>
      </c>
      <c r="J17" s="3">
        <f t="shared" si="7"/>
        <v>6100.9697737536189</v>
      </c>
      <c r="K17" s="3">
        <f t="shared" si="8"/>
        <v>762.62122171920237</v>
      </c>
      <c r="L17" s="3">
        <f t="shared" si="9"/>
        <v>5592.5556259408168</v>
      </c>
      <c r="M17" s="3">
        <f t="shared" si="10"/>
        <v>2542.0707390640077</v>
      </c>
      <c r="N17" s="3">
        <f t="shared" si="11"/>
        <v>859.86626638095686</v>
      </c>
      <c r="O17" s="3">
        <f t="shared" si="12"/>
        <v>812.76236166971557</v>
      </c>
      <c r="P17" s="3">
        <f t="shared" si="13"/>
        <v>1422.3341329220023</v>
      </c>
      <c r="Q17" s="3">
        <f t="shared" si="14"/>
        <v>1060.1741211928108</v>
      </c>
      <c r="R17" s="3">
        <f t="shared" si="15"/>
        <v>859.86626638095686</v>
      </c>
      <c r="S17" s="3">
        <f t="shared" si="16"/>
        <v>1136.8683772161603</v>
      </c>
      <c r="T17" t="str">
        <f>IF('Construction Planner'!$G$2="Goldmünzen","50000",IF('Construction Planner'!$G$2="Einlagerung",0,"Einstellung wählen"))</f>
        <v>50000</v>
      </c>
      <c r="U17">
        <v>25000</v>
      </c>
      <c r="V17" s="3">
        <f t="shared" si="17"/>
        <v>508.4141478128015</v>
      </c>
    </row>
    <row r="18" spans="1:22" x14ac:dyDescent="0.25">
      <c r="A18">
        <v>16</v>
      </c>
      <c r="B18" s="3">
        <f t="shared" si="1"/>
        <v>2242.1063918544546</v>
      </c>
      <c r="C18" s="3">
        <f t="shared" si="2"/>
        <v>2882.7082180985853</v>
      </c>
      <c r="D18" s="3">
        <f t="shared" si="3"/>
        <v>8327.82374117369</v>
      </c>
      <c r="E18" s="3">
        <f t="shared" si="4"/>
        <v>8327.82374117369</v>
      </c>
      <c r="F18" s="3">
        <f t="shared" si="18"/>
        <v>1601.5045656103248</v>
      </c>
      <c r="G18" s="3">
        <f t="shared" si="18"/>
        <v>160150.45656103248</v>
      </c>
      <c r="H18" s="3">
        <f t="shared" si="5"/>
        <v>119737.47886018289</v>
      </c>
      <c r="I18" s="3">
        <f t="shared" si="6"/>
        <v>327680000</v>
      </c>
      <c r="J18" s="3">
        <f t="shared" si="7"/>
        <v>7687.2219149295597</v>
      </c>
      <c r="K18" s="3">
        <f t="shared" si="8"/>
        <v>960.90273936619496</v>
      </c>
      <c r="L18" s="3">
        <f t="shared" si="9"/>
        <v>7046.6200886854294</v>
      </c>
      <c r="M18" s="3">
        <f t="shared" si="10"/>
        <v>3203.0091312206496</v>
      </c>
      <c r="N18" s="3">
        <f t="shared" si="11"/>
        <v>1070.5335016442914</v>
      </c>
      <c r="O18" s="3">
        <f t="shared" si="12"/>
        <v>1007.8253284704473</v>
      </c>
      <c r="P18" s="3">
        <f t="shared" si="13"/>
        <v>1763.6943248232828</v>
      </c>
      <c r="Q18" s="3">
        <f t="shared" si="14"/>
        <v>1367.6246163387261</v>
      </c>
      <c r="R18" s="3">
        <f t="shared" si="15"/>
        <v>1070.5335016442914</v>
      </c>
      <c r="S18" s="3">
        <f t="shared" si="16"/>
        <v>1421.0854715202004</v>
      </c>
      <c r="T18" t="str">
        <f>IF('Construction Planner'!$G$2="Goldmünzen","50000",IF('Construction Planner'!$G$2="Einlagerung",0,"Einstellung wählen"))</f>
        <v>50000</v>
      </c>
      <c r="U18">
        <v>25000</v>
      </c>
      <c r="V18" s="3">
        <f t="shared" si="17"/>
        <v>640.60182624412994</v>
      </c>
    </row>
    <row r="19" spans="1:22" x14ac:dyDescent="0.25">
      <c r="A19">
        <v>17</v>
      </c>
      <c r="B19" s="3">
        <f t="shared" si="1"/>
        <v>2825.0540537366128</v>
      </c>
      <c r="C19" s="3">
        <f t="shared" si="2"/>
        <v>3632.2123548042177</v>
      </c>
      <c r="D19" s="3">
        <f t="shared" si="3"/>
        <v>10493.057913878849</v>
      </c>
      <c r="E19" s="3">
        <f t="shared" si="4"/>
        <v>10493.057913878849</v>
      </c>
      <c r="F19" s="3">
        <f t="shared" si="4"/>
        <v>2017.8957526690092</v>
      </c>
      <c r="G19" s="3">
        <f t="shared" si="4"/>
        <v>201789.57526690094</v>
      </c>
      <c r="H19" s="3">
        <f t="shared" si="5"/>
        <v>141290.22505501579</v>
      </c>
      <c r="I19" s="3">
        <f t="shared" si="6"/>
        <v>655360000</v>
      </c>
      <c r="J19" s="3">
        <f t="shared" si="7"/>
        <v>9685.8996128112449</v>
      </c>
      <c r="K19" s="3">
        <f t="shared" si="8"/>
        <v>1210.7374516014056</v>
      </c>
      <c r="L19" s="3">
        <f t="shared" si="9"/>
        <v>8878.7413117436408</v>
      </c>
      <c r="M19" s="3">
        <f t="shared" si="10"/>
        <v>4035.7915053380184</v>
      </c>
      <c r="N19" s="3">
        <f t="shared" si="11"/>
        <v>1332.8142095471428</v>
      </c>
      <c r="O19" s="3">
        <f t="shared" si="12"/>
        <v>1249.7034073033547</v>
      </c>
      <c r="P19" s="3">
        <f t="shared" si="13"/>
        <v>2186.9809627808709</v>
      </c>
      <c r="Q19" s="3">
        <f t="shared" si="14"/>
        <v>1764.2357550769568</v>
      </c>
      <c r="R19" s="3">
        <f t="shared" si="15"/>
        <v>1332.8142095471428</v>
      </c>
      <c r="S19" s="3">
        <f t="shared" si="16"/>
        <v>1776.3568394002505</v>
      </c>
      <c r="T19" t="str">
        <f>IF('Construction Planner'!$G$2="Goldmünzen","50000",IF('Construction Planner'!$G$2="Einlagerung",0,"Einstellung wählen"))</f>
        <v>50000</v>
      </c>
      <c r="U19">
        <v>25000</v>
      </c>
      <c r="V19" s="3">
        <f t="shared" si="17"/>
        <v>807.1583010676037</v>
      </c>
    </row>
    <row r="20" spans="1:22" x14ac:dyDescent="0.25">
      <c r="A20">
        <v>18</v>
      </c>
      <c r="B20" s="3">
        <f t="shared" si="1"/>
        <v>3559.5681077081322</v>
      </c>
      <c r="C20" s="3">
        <f t="shared" si="2"/>
        <v>4576.5875670533142</v>
      </c>
      <c r="D20" s="3">
        <f t="shared" si="3"/>
        <v>13221.252971487349</v>
      </c>
      <c r="E20" s="3">
        <f t="shared" si="4"/>
        <v>13221.252971487349</v>
      </c>
      <c r="F20" s="3">
        <f t="shared" ref="F20:H32" si="19">F$2*F19</f>
        <v>2542.5486483629516</v>
      </c>
      <c r="G20" s="3">
        <f t="shared" si="19"/>
        <v>254254.86483629519</v>
      </c>
      <c r="H20" s="3">
        <f t="shared" si="19"/>
        <v>166722.46556491862</v>
      </c>
      <c r="I20" s="3">
        <f t="shared" si="6"/>
        <v>1310720000</v>
      </c>
      <c r="J20" s="3">
        <f t="shared" si="7"/>
        <v>12204.233512142169</v>
      </c>
      <c r="K20" s="3">
        <f t="shared" si="8"/>
        <v>1525.5291890177712</v>
      </c>
      <c r="L20" s="3">
        <f t="shared" si="9"/>
        <v>11187.214052796988</v>
      </c>
      <c r="M20" s="3">
        <f t="shared" si="10"/>
        <v>5085.0972967259031</v>
      </c>
      <c r="N20" s="3">
        <f t="shared" si="11"/>
        <v>1659.3536908861929</v>
      </c>
      <c r="O20" s="3">
        <f t="shared" si="12"/>
        <v>1549.6322250561598</v>
      </c>
      <c r="P20" s="3">
        <f t="shared" si="13"/>
        <v>2711.8563938482798</v>
      </c>
      <c r="Q20" s="3">
        <f t="shared" si="14"/>
        <v>2275.8641240492743</v>
      </c>
      <c r="R20" s="3">
        <f t="shared" si="15"/>
        <v>1659.3536908861929</v>
      </c>
      <c r="S20" s="3">
        <f t="shared" si="16"/>
        <v>2220.4460492503131</v>
      </c>
      <c r="T20" t="str">
        <f>IF('Construction Planner'!$G$2="Goldmünzen","50000",IF('Construction Planner'!$G$2="Einlagerung",0,"Einstellung wählen"))</f>
        <v>50000</v>
      </c>
      <c r="U20">
        <v>25000</v>
      </c>
      <c r="V20" s="3">
        <f t="shared" si="17"/>
        <v>1017.0194593451806</v>
      </c>
    </row>
    <row r="21" spans="1:22" x14ac:dyDescent="0.25">
      <c r="A21">
        <v>19</v>
      </c>
      <c r="B21" s="3">
        <f t="shared" si="1"/>
        <v>4485.0558157122468</v>
      </c>
      <c r="C21" s="3">
        <f t="shared" si="2"/>
        <v>5766.5003344871757</v>
      </c>
      <c r="D21" s="3">
        <f t="shared" si="3"/>
        <v>16658.778744074061</v>
      </c>
      <c r="E21" s="3">
        <f t="shared" si="4"/>
        <v>16658.778744074061</v>
      </c>
      <c r="F21" s="3">
        <f t="shared" si="19"/>
        <v>3203.6112969373189</v>
      </c>
      <c r="G21" s="3">
        <f t="shared" si="19"/>
        <v>320361.12969373196</v>
      </c>
      <c r="H21" s="3">
        <f t="shared" si="19"/>
        <v>196732.50936660395</v>
      </c>
      <c r="I21" s="3">
        <f t="shared" si="6"/>
        <v>2621440000</v>
      </c>
      <c r="J21" s="3">
        <f t="shared" si="7"/>
        <v>15377.334225299133</v>
      </c>
      <c r="K21" s="3">
        <f t="shared" si="8"/>
        <v>1922.1667781623917</v>
      </c>
      <c r="L21" s="3">
        <f t="shared" si="9"/>
        <v>14095.889706524205</v>
      </c>
      <c r="M21" s="3">
        <f t="shared" si="10"/>
        <v>6407.2225938746378</v>
      </c>
      <c r="N21" s="3">
        <f t="shared" si="11"/>
        <v>2065.8953451533102</v>
      </c>
      <c r="O21" s="3">
        <f t="shared" si="12"/>
        <v>1921.543959069638</v>
      </c>
      <c r="P21" s="3">
        <f t="shared" si="13"/>
        <v>3362.7019283718669</v>
      </c>
      <c r="Q21" s="3">
        <f t="shared" si="14"/>
        <v>2935.8647200235641</v>
      </c>
      <c r="R21" s="3">
        <f t="shared" si="15"/>
        <v>2065.8953451533102</v>
      </c>
      <c r="S21" s="3">
        <f t="shared" si="16"/>
        <v>2775.5575615628914</v>
      </c>
      <c r="T21" t="str">
        <f>IF('Construction Planner'!$G$2="Goldmünzen","50000",IF('Construction Planner'!$G$2="Einlagerung",0,"Einstellung wählen"))</f>
        <v>50000</v>
      </c>
      <c r="U21">
        <v>25000</v>
      </c>
      <c r="V21" s="3">
        <f t="shared" si="17"/>
        <v>1281.4445187749277</v>
      </c>
    </row>
    <row r="22" spans="1:22" x14ac:dyDescent="0.25">
      <c r="A22">
        <v>20</v>
      </c>
      <c r="B22" s="3">
        <f t="shared" si="1"/>
        <v>5651.1703277974311</v>
      </c>
      <c r="C22" s="3">
        <f t="shared" si="2"/>
        <v>7265.7904214538412</v>
      </c>
      <c r="D22" s="3">
        <f t="shared" si="3"/>
        <v>20990.061217533319</v>
      </c>
      <c r="E22" s="3">
        <f t="shared" si="4"/>
        <v>20990.061217533319</v>
      </c>
      <c r="F22" s="3">
        <f t="shared" si="19"/>
        <v>4036.550234141022</v>
      </c>
      <c r="G22" s="3">
        <f t="shared" si="19"/>
        <v>403655.02341410227</v>
      </c>
      <c r="H22" s="3">
        <f t="shared" si="19"/>
        <v>232144.36105259263</v>
      </c>
      <c r="I22" s="3">
        <f t="shared" si="6"/>
        <v>5242880000</v>
      </c>
      <c r="J22" s="3">
        <f t="shared" si="7"/>
        <v>19375.44112387691</v>
      </c>
      <c r="K22" s="3">
        <f t="shared" si="8"/>
        <v>2421.9301404846137</v>
      </c>
      <c r="L22" s="3">
        <f t="shared" si="9"/>
        <v>17760.821030220501</v>
      </c>
      <c r="M22" s="3">
        <f t="shared" si="10"/>
        <v>8073.1004682820439</v>
      </c>
      <c r="N22" s="3">
        <f t="shared" si="11"/>
        <v>2572.0397047158713</v>
      </c>
      <c r="O22" s="3">
        <f t="shared" si="12"/>
        <v>2382.7145092463511</v>
      </c>
      <c r="P22" s="3">
        <f t="shared" si="13"/>
        <v>4169.7503911811145</v>
      </c>
      <c r="Q22" s="3">
        <f t="shared" si="14"/>
        <v>3787.2654888303978</v>
      </c>
      <c r="R22" s="3">
        <f t="shared" si="15"/>
        <v>2572.0397047158713</v>
      </c>
      <c r="S22" s="3">
        <f t="shared" si="16"/>
        <v>3469.4469519536142</v>
      </c>
      <c r="T22" t="str">
        <f>IF('Construction Planner'!$G$2="Goldmünzen","50000",IF('Construction Planner'!$G$2="Einlagerung",0,"Einstellung wählen"))</f>
        <v>50000</v>
      </c>
      <c r="U22">
        <v>25000</v>
      </c>
      <c r="V22" s="3">
        <f t="shared" si="17"/>
        <v>1614.6200936564089</v>
      </c>
    </row>
    <row r="23" spans="1:22" x14ac:dyDescent="0.25">
      <c r="A23">
        <v>21</v>
      </c>
      <c r="B23" s="3">
        <f t="shared" si="1"/>
        <v>7120.4746130247631</v>
      </c>
      <c r="C23" s="3">
        <f t="shared" si="2"/>
        <v>9154.8959310318405</v>
      </c>
      <c r="D23" s="3">
        <f t="shared" si="3"/>
        <v>26447.477134091983</v>
      </c>
      <c r="E23" s="3">
        <f t="shared" si="4"/>
        <v>26447.477134091983</v>
      </c>
      <c r="F23" s="3">
        <f t="shared" si="19"/>
        <v>5086.0532950176876</v>
      </c>
      <c r="G23" s="3">
        <f t="shared" si="19"/>
        <v>508605.32950176887</v>
      </c>
      <c r="H23" s="3">
        <f t="shared" si="19"/>
        <v>273930.3460420593</v>
      </c>
      <c r="I23" s="3">
        <f t="shared" si="6"/>
        <v>10485760000</v>
      </c>
      <c r="J23" s="3">
        <f t="shared" si="7"/>
        <v>24413.055816084907</v>
      </c>
      <c r="K23" s="3">
        <f t="shared" si="8"/>
        <v>3051.6319770106134</v>
      </c>
      <c r="L23" s="3">
        <f t="shared" si="9"/>
        <v>22378.63449807783</v>
      </c>
      <c r="M23" s="3">
        <f t="shared" si="10"/>
        <v>10172.106590035375</v>
      </c>
      <c r="N23" s="3">
        <f t="shared" si="11"/>
        <v>3202.18943237126</v>
      </c>
      <c r="O23" s="3">
        <f t="shared" si="12"/>
        <v>2954.5659914654752</v>
      </c>
      <c r="P23" s="3">
        <f t="shared" si="13"/>
        <v>5170.4904850645817</v>
      </c>
      <c r="Q23" s="3">
        <f t="shared" si="14"/>
        <v>4885.5724805912132</v>
      </c>
      <c r="R23" s="3">
        <f t="shared" si="15"/>
        <v>3202.18943237126</v>
      </c>
      <c r="S23" s="3">
        <f t="shared" si="16"/>
        <v>4336.8086899420177</v>
      </c>
      <c r="T23" t="str">
        <f>IF('Construction Planner'!$G$2="Goldmünzen","50000",IF('Construction Planner'!$G$2="Einlagerung",0,"Einstellung wählen"))</f>
        <v>50000</v>
      </c>
      <c r="U23">
        <v>25000</v>
      </c>
      <c r="V23" s="3">
        <f t="shared" si="17"/>
        <v>2034.4213180070753</v>
      </c>
    </row>
    <row r="24" spans="1:22" x14ac:dyDescent="0.25">
      <c r="A24">
        <v>22</v>
      </c>
      <c r="B24" s="3">
        <f t="shared" si="1"/>
        <v>8971.7980124112019</v>
      </c>
      <c r="C24" s="3">
        <f t="shared" si="2"/>
        <v>11535.16887310012</v>
      </c>
      <c r="D24" s="3">
        <f t="shared" si="3"/>
        <v>33323.821188955902</v>
      </c>
      <c r="E24" s="3">
        <f t="shared" si="4"/>
        <v>33323.821188955902</v>
      </c>
      <c r="F24" s="3">
        <f t="shared" si="19"/>
        <v>6408.427151722286</v>
      </c>
      <c r="G24" s="3">
        <f t="shared" si="19"/>
        <v>640842.71517222875</v>
      </c>
      <c r="H24" s="3">
        <f t="shared" si="19"/>
        <v>323237.80832962994</v>
      </c>
      <c r="I24" s="3">
        <f t="shared" si="6"/>
        <v>20971520000</v>
      </c>
      <c r="J24" s="3">
        <f t="shared" si="7"/>
        <v>30760.450328266983</v>
      </c>
      <c r="K24" s="3">
        <f t="shared" si="8"/>
        <v>3845.0562910333729</v>
      </c>
      <c r="L24" s="3">
        <f t="shared" si="9"/>
        <v>28197.079467578067</v>
      </c>
      <c r="M24" s="3">
        <f t="shared" si="10"/>
        <v>12816.854303444572</v>
      </c>
      <c r="N24" s="3">
        <f t="shared" si="11"/>
        <v>3986.7258433022189</v>
      </c>
      <c r="O24" s="3">
        <f t="shared" si="12"/>
        <v>3663.6618294171894</v>
      </c>
      <c r="P24" s="3">
        <f t="shared" si="13"/>
        <v>6411.4082014800815</v>
      </c>
      <c r="Q24" s="3">
        <f t="shared" si="14"/>
        <v>6302.3884999626653</v>
      </c>
      <c r="R24" s="3">
        <f t="shared" si="15"/>
        <v>3986.7258433022189</v>
      </c>
      <c r="S24" s="3">
        <f t="shared" si="16"/>
        <v>5421.0108624275217</v>
      </c>
      <c r="T24" t="str">
        <f>IF('Construction Planner'!$G$2="Goldmünzen","50000",IF('Construction Planner'!$G$2="Einlagerung",0,"Einstellung wählen"))</f>
        <v>50000</v>
      </c>
      <c r="U24">
        <v>25000</v>
      </c>
      <c r="V24" s="3">
        <f t="shared" si="17"/>
        <v>2563.3708606889149</v>
      </c>
    </row>
    <row r="25" spans="1:22" x14ac:dyDescent="0.25">
      <c r="A25">
        <v>23</v>
      </c>
      <c r="B25" s="3">
        <f t="shared" si="1"/>
        <v>11304.465495638115</v>
      </c>
      <c r="C25" s="3">
        <f t="shared" si="2"/>
        <v>14534.312780106151</v>
      </c>
      <c r="D25" s="3">
        <f t="shared" si="3"/>
        <v>41988.014698084437</v>
      </c>
      <c r="E25" s="3">
        <f t="shared" si="4"/>
        <v>41988.014698084437</v>
      </c>
      <c r="F25" s="3">
        <f t="shared" si="19"/>
        <v>8074.61821117008</v>
      </c>
      <c r="G25" s="3">
        <f t="shared" si="19"/>
        <v>807461.82111700822</v>
      </c>
      <c r="H25" s="3">
        <f t="shared" si="19"/>
        <v>381420.61382896331</v>
      </c>
      <c r="I25" s="3">
        <f t="shared" si="6"/>
        <v>41943040000</v>
      </c>
      <c r="J25" s="3">
        <f t="shared" si="7"/>
        <v>38758.1674136164</v>
      </c>
      <c r="K25" s="3">
        <f t="shared" si="8"/>
        <v>4844.77092670205</v>
      </c>
      <c r="L25" s="3">
        <f t="shared" si="9"/>
        <v>35528.320129148364</v>
      </c>
      <c r="M25" s="3">
        <f t="shared" si="10"/>
        <v>16149.23642234016</v>
      </c>
      <c r="N25" s="3">
        <f t="shared" si="11"/>
        <v>4963.4736749112626</v>
      </c>
      <c r="O25" s="3">
        <f t="shared" si="12"/>
        <v>4542.9406684773148</v>
      </c>
      <c r="P25" s="3">
        <f t="shared" si="13"/>
        <v>7950.1461698353014</v>
      </c>
      <c r="Q25" s="3">
        <f t="shared" si="14"/>
        <v>8130.0811649518382</v>
      </c>
      <c r="R25" s="3">
        <f t="shared" si="15"/>
        <v>4963.4736749112626</v>
      </c>
      <c r="S25" s="3">
        <f t="shared" si="16"/>
        <v>6776.2635780344026</v>
      </c>
      <c r="T25" t="str">
        <f>IF('Construction Planner'!$G$2="Goldmünzen","50000",IF('Construction Planner'!$G$2="Einlagerung",0,"Einstellung wählen"))</f>
        <v>50000</v>
      </c>
      <c r="U25">
        <v>25000</v>
      </c>
      <c r="V25" s="3">
        <f t="shared" si="17"/>
        <v>3229.8472844680327</v>
      </c>
    </row>
    <row r="26" spans="1:22" x14ac:dyDescent="0.25">
      <c r="A26">
        <v>24</v>
      </c>
      <c r="B26" s="3">
        <f t="shared" si="1"/>
        <v>14243.626524504025</v>
      </c>
      <c r="C26" s="3">
        <f t="shared" si="2"/>
        <v>18313.234102933751</v>
      </c>
      <c r="D26" s="3">
        <f t="shared" si="3"/>
        <v>52904.898519586393</v>
      </c>
      <c r="E26" s="3">
        <f t="shared" si="4"/>
        <v>52904.898519586393</v>
      </c>
      <c r="F26" s="3">
        <f t="shared" si="19"/>
        <v>10174.0189460743</v>
      </c>
      <c r="G26" s="3">
        <f t="shared" si="19"/>
        <v>1017401.8946074303</v>
      </c>
      <c r="H26" s="3">
        <f t="shared" si="19"/>
        <v>450076.32431817666</v>
      </c>
      <c r="I26" s="3">
        <f t="shared" si="6"/>
        <v>83886080000</v>
      </c>
      <c r="J26" s="3">
        <f t="shared" si="7"/>
        <v>48835.290941156665</v>
      </c>
      <c r="K26" s="3">
        <f t="shared" si="8"/>
        <v>6104.4113676445832</v>
      </c>
      <c r="L26" s="3">
        <f t="shared" si="9"/>
        <v>44765.683362726937</v>
      </c>
      <c r="M26" s="3">
        <f t="shared" si="10"/>
        <v>20348.037892148601</v>
      </c>
      <c r="N26" s="3">
        <f t="shared" si="11"/>
        <v>6179.5247252645222</v>
      </c>
      <c r="O26" s="3">
        <f t="shared" si="12"/>
        <v>5633.2464289118707</v>
      </c>
      <c r="P26" s="3">
        <f t="shared" si="13"/>
        <v>9858.1812505957732</v>
      </c>
      <c r="Q26" s="3">
        <f t="shared" si="14"/>
        <v>10487.804702787871</v>
      </c>
      <c r="R26" s="3">
        <f t="shared" si="15"/>
        <v>6179.5247252645222</v>
      </c>
      <c r="S26" s="3">
        <f t="shared" si="16"/>
        <v>8470.3294725430023</v>
      </c>
      <c r="T26" t="str">
        <f>IF('Construction Planner'!$G$2="Goldmünzen","50000",IF('Construction Planner'!$G$2="Einlagerung",0,"Einstellung wählen"))</f>
        <v>50000</v>
      </c>
      <c r="U26">
        <v>25000</v>
      </c>
      <c r="V26" s="3">
        <f t="shared" si="17"/>
        <v>4069.6075784297213</v>
      </c>
    </row>
    <row r="27" spans="1:22" x14ac:dyDescent="0.25">
      <c r="A27">
        <v>25</v>
      </c>
      <c r="B27" s="3">
        <f t="shared" si="1"/>
        <v>17946.96942087507</v>
      </c>
      <c r="C27" s="3">
        <f t="shared" si="2"/>
        <v>23074.674969696527</v>
      </c>
      <c r="D27" s="3">
        <f t="shared" si="3"/>
        <v>66660.172134678854</v>
      </c>
      <c r="E27" s="3">
        <f t="shared" si="4"/>
        <v>66660.172134678854</v>
      </c>
      <c r="F27" s="3">
        <f t="shared" si="19"/>
        <v>12819.263872053618</v>
      </c>
      <c r="G27" s="3">
        <f t="shared" si="19"/>
        <v>1281926.3872053623</v>
      </c>
      <c r="H27" s="3">
        <f t="shared" si="19"/>
        <v>531090.0626954484</v>
      </c>
      <c r="I27" s="3">
        <f t="shared" si="6"/>
        <v>167772160000</v>
      </c>
      <c r="J27" s="3">
        <f t="shared" si="7"/>
        <v>61532.466585857401</v>
      </c>
      <c r="K27" s="3">
        <f t="shared" si="8"/>
        <v>7691.5583232321751</v>
      </c>
      <c r="L27" s="3">
        <f t="shared" si="9"/>
        <v>56404.76103703594</v>
      </c>
      <c r="M27" s="3">
        <f t="shared" si="10"/>
        <v>25638.527744107236</v>
      </c>
      <c r="N27" s="3">
        <f t="shared" si="11"/>
        <v>7693.5082829543308</v>
      </c>
      <c r="O27" s="3">
        <f t="shared" si="12"/>
        <v>6985.2255718507195</v>
      </c>
      <c r="P27" s="3">
        <f t="shared" si="13"/>
        <v>12224.144750738758</v>
      </c>
      <c r="Q27" s="3">
        <f t="shared" si="14"/>
        <v>13529.268066596354</v>
      </c>
      <c r="R27" s="3">
        <f t="shared" si="15"/>
        <v>7693.5082829543308</v>
      </c>
      <c r="S27" s="3">
        <f t="shared" si="16"/>
        <v>10587.911840678753</v>
      </c>
      <c r="T27" t="str">
        <f>IF('Construction Planner'!$G$2="Goldmünzen","50000",IF('Construction Planner'!$G$2="Einlagerung",0,"Einstellung wählen"))</f>
        <v>50000</v>
      </c>
      <c r="U27">
        <v>25000</v>
      </c>
      <c r="V27" s="3">
        <f t="shared" si="17"/>
        <v>5127.7055488214492</v>
      </c>
    </row>
    <row r="28" spans="1:22" x14ac:dyDescent="0.25">
      <c r="A28">
        <v>26</v>
      </c>
      <c r="B28" s="3">
        <f t="shared" si="1"/>
        <v>22613.181470302588</v>
      </c>
      <c r="C28" s="3">
        <f t="shared" si="2"/>
        <v>29074.090461817625</v>
      </c>
      <c r="D28" s="3">
        <f t="shared" si="3"/>
        <v>83991.816889695358</v>
      </c>
      <c r="E28" s="3">
        <f t="shared" si="4"/>
        <v>83991.816889695358</v>
      </c>
      <c r="F28" s="3">
        <f t="shared" si="4"/>
        <v>16152.27247878756</v>
      </c>
      <c r="G28" s="3">
        <f t="shared" si="4"/>
        <v>1615227.2478787566</v>
      </c>
      <c r="H28" s="3">
        <f t="shared" si="19"/>
        <v>626686.27398062905</v>
      </c>
      <c r="I28" s="3">
        <f t="shared" si="6"/>
        <v>335544320000</v>
      </c>
      <c r="J28" s="3">
        <f t="shared" si="7"/>
        <v>77530.907898180332</v>
      </c>
      <c r="K28" s="3">
        <f t="shared" si="8"/>
        <v>9691.3634872725415</v>
      </c>
      <c r="L28" s="3">
        <f t="shared" si="9"/>
        <v>71069.998906665278</v>
      </c>
      <c r="M28" s="3">
        <f t="shared" si="10"/>
        <v>32304.544957575119</v>
      </c>
      <c r="N28" s="3">
        <f t="shared" si="11"/>
        <v>9578.4178122781432</v>
      </c>
      <c r="O28" s="3">
        <f t="shared" si="12"/>
        <v>8661.6797090948912</v>
      </c>
      <c r="P28" s="3">
        <f t="shared" si="13"/>
        <v>15157.93949091606</v>
      </c>
      <c r="Q28" s="3">
        <f t="shared" si="14"/>
        <v>17452.755805909299</v>
      </c>
      <c r="R28" s="3">
        <f t="shared" si="15"/>
        <v>9578.4178122781432</v>
      </c>
      <c r="S28" s="3">
        <f t="shared" si="16"/>
        <v>13234.889800848441</v>
      </c>
      <c r="T28" t="str">
        <f>IF('Construction Planner'!$G$2="Goldmünzen","50000",IF('Construction Planner'!$G$2="Einlagerung",0,"Einstellung wählen"))</f>
        <v>50000</v>
      </c>
      <c r="U28">
        <v>25000</v>
      </c>
      <c r="V28" s="3">
        <f t="shared" si="17"/>
        <v>6460.9089915150262</v>
      </c>
    </row>
    <row r="29" spans="1:22" x14ac:dyDescent="0.25">
      <c r="A29">
        <v>27</v>
      </c>
      <c r="B29" s="3">
        <f t="shared" si="1"/>
        <v>28492.608652581261</v>
      </c>
      <c r="C29" s="3">
        <f t="shared" si="2"/>
        <v>36633.353981890206</v>
      </c>
      <c r="D29" s="3">
        <f t="shared" si="3"/>
        <v>105829.68928101615</v>
      </c>
      <c r="E29" s="3">
        <f t="shared" si="4"/>
        <v>105829.68928101615</v>
      </c>
      <c r="F29" s="3">
        <f t="shared" si="4"/>
        <v>20351.863323272326</v>
      </c>
      <c r="G29" s="3">
        <f t="shared" si="4"/>
        <v>2035186.3323272334</v>
      </c>
      <c r="H29" s="3">
        <f t="shared" si="19"/>
        <v>739489.80329714227</v>
      </c>
      <c r="I29" s="3">
        <f t="shared" si="6"/>
        <v>671088640000</v>
      </c>
      <c r="J29" s="3">
        <f t="shared" si="7"/>
        <v>97688.943951707217</v>
      </c>
      <c r="K29" s="3">
        <f t="shared" si="8"/>
        <v>12211.117993963402</v>
      </c>
      <c r="L29" s="3">
        <f t="shared" si="9"/>
        <v>89548.198622398253</v>
      </c>
      <c r="M29" s="3">
        <f t="shared" si="10"/>
        <v>40703.726646544652</v>
      </c>
      <c r="N29" s="3">
        <f t="shared" si="11"/>
        <v>11925.130176286289</v>
      </c>
      <c r="O29" s="3">
        <f t="shared" si="12"/>
        <v>10740.482839277665</v>
      </c>
      <c r="P29" s="3">
        <f t="shared" si="13"/>
        <v>18795.844968735913</v>
      </c>
      <c r="Q29" s="3">
        <f t="shared" si="14"/>
        <v>22514.054989622997</v>
      </c>
      <c r="R29" s="3">
        <f t="shared" si="15"/>
        <v>11925.130176286289</v>
      </c>
      <c r="S29" s="3">
        <f t="shared" si="16"/>
        <v>16543.612251060553</v>
      </c>
      <c r="T29" t="str">
        <f>IF('Construction Planner'!$G$2="Goldmünzen","50000",IF('Construction Planner'!$G$2="Einlagerung",0,"Einstellung wählen"))</f>
        <v>50000</v>
      </c>
      <c r="U29">
        <v>25000</v>
      </c>
      <c r="V29" s="3">
        <f t="shared" si="17"/>
        <v>8140.7453293089329</v>
      </c>
    </row>
    <row r="30" spans="1:22" x14ac:dyDescent="0.25">
      <c r="A30">
        <v>28</v>
      </c>
      <c r="B30" s="3">
        <f t="shared" si="1"/>
        <v>35900.68690225239</v>
      </c>
      <c r="C30" s="3">
        <f t="shared" si="2"/>
        <v>46158.026017181663</v>
      </c>
      <c r="D30" s="3">
        <f t="shared" si="3"/>
        <v>133345.40849408036</v>
      </c>
      <c r="E30" s="3">
        <f t="shared" si="4"/>
        <v>133345.40849408036</v>
      </c>
      <c r="F30" s="3">
        <f t="shared" si="4"/>
        <v>25643.347787323131</v>
      </c>
      <c r="G30" s="3">
        <f t="shared" si="4"/>
        <v>2564334.7787323142</v>
      </c>
      <c r="H30" s="3">
        <f t="shared" si="19"/>
        <v>872597.9678906278</v>
      </c>
      <c r="I30" s="3">
        <f t="shared" si="6"/>
        <v>1342177280000</v>
      </c>
      <c r="J30" s="3">
        <f t="shared" si="7"/>
        <v>123088.0693791511</v>
      </c>
      <c r="K30" s="3">
        <f t="shared" si="8"/>
        <v>15386.008672393888</v>
      </c>
      <c r="L30" s="3">
        <f t="shared" si="9"/>
        <v>112830.7302642218</v>
      </c>
      <c r="M30" s="3">
        <f t="shared" si="10"/>
        <v>51286.695574646263</v>
      </c>
      <c r="N30" s="3">
        <f t="shared" si="11"/>
        <v>14846.787069476431</v>
      </c>
      <c r="O30" s="3">
        <f t="shared" si="12"/>
        <v>13318.198720704306</v>
      </c>
      <c r="P30" s="3">
        <f t="shared" si="13"/>
        <v>23306.847761232533</v>
      </c>
      <c r="Q30" s="3">
        <f t="shared" si="14"/>
        <v>29043.130936613667</v>
      </c>
      <c r="R30" s="3">
        <f t="shared" si="15"/>
        <v>14846.787069476431</v>
      </c>
      <c r="S30" s="3">
        <f t="shared" si="16"/>
        <v>20679.51531382569</v>
      </c>
      <c r="T30" t="str">
        <f>IF('Construction Planner'!$G$2="Goldmünzen","50000",IF('Construction Planner'!$G$2="Einlagerung",0,"Einstellung wählen"))</f>
        <v>50000</v>
      </c>
      <c r="U30">
        <v>25000</v>
      </c>
      <c r="V30" s="3">
        <f t="shared" si="17"/>
        <v>10257.339114929255</v>
      </c>
    </row>
    <row r="31" spans="1:22" x14ac:dyDescent="0.25">
      <c r="A31">
        <v>29</v>
      </c>
      <c r="B31" s="3">
        <f t="shared" si="1"/>
        <v>45234.865496838014</v>
      </c>
      <c r="C31" s="3">
        <f t="shared" si="2"/>
        <v>58159.112781648895</v>
      </c>
      <c r="D31" s="3">
        <f t="shared" si="3"/>
        <v>168015.21470254124</v>
      </c>
      <c r="E31" s="3">
        <f t="shared" si="4"/>
        <v>168015.21470254124</v>
      </c>
      <c r="F31" s="3">
        <f t="shared" si="4"/>
        <v>32310.618212027144</v>
      </c>
      <c r="G31" s="3">
        <f t="shared" si="4"/>
        <v>3231061.8212027159</v>
      </c>
      <c r="H31" s="3">
        <f t="shared" si="19"/>
        <v>1029665.6021109407</v>
      </c>
      <c r="I31" s="3">
        <f t="shared" si="6"/>
        <v>2684354560000</v>
      </c>
      <c r="J31" s="3">
        <f t="shared" si="7"/>
        <v>155090.9674177304</v>
      </c>
      <c r="K31" s="3">
        <f t="shared" si="8"/>
        <v>19386.3709272163</v>
      </c>
      <c r="L31" s="3">
        <f t="shared" si="9"/>
        <v>142166.72013291946</v>
      </c>
      <c r="M31" s="3">
        <f t="shared" si="10"/>
        <v>64621.236424054288</v>
      </c>
      <c r="N31" s="3">
        <f t="shared" si="11"/>
        <v>18484.249901498159</v>
      </c>
      <c r="O31" s="3">
        <f t="shared" si="12"/>
        <v>16514.566413673339</v>
      </c>
      <c r="P31" s="3">
        <f t="shared" si="13"/>
        <v>28900.49122392834</v>
      </c>
      <c r="Q31" s="3">
        <f t="shared" si="14"/>
        <v>37465.638908231631</v>
      </c>
      <c r="R31" s="3">
        <f t="shared" si="15"/>
        <v>18484.249901498159</v>
      </c>
      <c r="S31" s="3">
        <f t="shared" si="16"/>
        <v>25849.394142282112</v>
      </c>
      <c r="T31" t="str">
        <f>IF('Construction Planner'!$G$2="Goldmünzen","50000",IF('Construction Planner'!$G$2="Einlagerung",0,"Einstellung wählen"))</f>
        <v>50000</v>
      </c>
      <c r="U31">
        <v>25000</v>
      </c>
      <c r="V31" s="3">
        <f t="shared" si="17"/>
        <v>12924.247284810861</v>
      </c>
    </row>
    <row r="32" spans="1:22" x14ac:dyDescent="0.25">
      <c r="A32">
        <v>30</v>
      </c>
      <c r="B32" s="3">
        <f t="shared" si="1"/>
        <v>56995.930526015902</v>
      </c>
      <c r="C32" s="3">
        <f t="shared" si="2"/>
        <v>73280.482104877607</v>
      </c>
      <c r="D32" s="3">
        <f t="shared" si="3"/>
        <v>211699.17052520197</v>
      </c>
      <c r="E32" s="3">
        <f t="shared" si="4"/>
        <v>211699.17052520197</v>
      </c>
      <c r="F32" s="3">
        <f t="shared" si="4"/>
        <v>40711.378947154204</v>
      </c>
      <c r="G32" s="3">
        <f t="shared" si="4"/>
        <v>4071137.8947154218</v>
      </c>
      <c r="H32" s="3">
        <f t="shared" si="19"/>
        <v>1215005.4104909101</v>
      </c>
      <c r="I32" s="3">
        <f t="shared" si="6"/>
        <v>5368709120000</v>
      </c>
      <c r="J32" s="3">
        <f t="shared" si="7"/>
        <v>195414.61894634031</v>
      </c>
      <c r="K32" s="3">
        <f t="shared" si="8"/>
        <v>24426.827368292539</v>
      </c>
      <c r="L32" s="3">
        <f t="shared" si="9"/>
        <v>179130.06736747854</v>
      </c>
      <c r="M32" s="3">
        <f t="shared" si="10"/>
        <v>81422.757894308408</v>
      </c>
      <c r="N32" s="3">
        <f t="shared" si="11"/>
        <v>23012.891127365208</v>
      </c>
      <c r="O32" s="3">
        <f t="shared" si="12"/>
        <v>20478.062352954941</v>
      </c>
      <c r="P32" s="3">
        <f t="shared" si="13"/>
        <v>35836.609117671142</v>
      </c>
      <c r="Q32" s="3">
        <f t="shared" si="14"/>
        <v>48330.674191618804</v>
      </c>
      <c r="R32" s="3">
        <f t="shared" si="15"/>
        <v>23012.891127365208</v>
      </c>
      <c r="S32" s="3">
        <f t="shared" si="16"/>
        <v>32311.742677852639</v>
      </c>
      <c r="T32" t="str">
        <f>IF('Construction Planner'!$G$2="Goldmünzen","50000",IF('Construction Planner'!$G$2="Einlagerung",0,"Einstellung wählen"))</f>
        <v>50000</v>
      </c>
      <c r="U32">
        <v>25000</v>
      </c>
      <c r="V32" s="3">
        <f t="shared" si="17"/>
        <v>16284.551578861685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7"/>
  <dimension ref="A1:X33"/>
  <sheetViews>
    <sheetView workbookViewId="0">
      <selection activeCell="A3" sqref="A3"/>
    </sheetView>
  </sheetViews>
  <sheetFormatPr baseColWidth="10" defaultRowHeight="15" x14ac:dyDescent="0.25"/>
  <cols>
    <col min="1" max="259" width="9.140625" customWidth="1"/>
  </cols>
  <sheetData>
    <row r="1" spans="1:24" x14ac:dyDescent="0.25">
      <c r="B1" s="1" t="s">
        <v>0</v>
      </c>
      <c r="C1" s="1" t="s">
        <v>1</v>
      </c>
      <c r="D1" s="1" t="s">
        <v>2</v>
      </c>
      <c r="E1" s="1" t="s">
        <v>3</v>
      </c>
      <c r="F1" s="75" t="s">
        <v>59</v>
      </c>
      <c r="G1" s="75" t="s">
        <v>60</v>
      </c>
      <c r="H1" s="75" t="s">
        <v>64</v>
      </c>
      <c r="I1" s="1" t="s">
        <v>4</v>
      </c>
      <c r="J1" s="1" t="s">
        <v>5</v>
      </c>
      <c r="K1" s="1" t="s">
        <v>6</v>
      </c>
      <c r="L1" s="1" t="s">
        <v>7</v>
      </c>
      <c r="M1" s="1" t="s">
        <v>8</v>
      </c>
      <c r="N1" s="1" t="s">
        <v>9</v>
      </c>
      <c r="O1" s="1" t="s">
        <v>10</v>
      </c>
      <c r="P1" s="1" t="s">
        <v>11</v>
      </c>
      <c r="Q1" s="1" t="s">
        <v>12</v>
      </c>
      <c r="R1" s="1" t="s">
        <v>13</v>
      </c>
      <c r="S1" s="1" t="s">
        <v>14</v>
      </c>
      <c r="T1" s="1" t="s">
        <v>107</v>
      </c>
      <c r="U1" s="1" t="s">
        <v>106</v>
      </c>
      <c r="V1" s="1" t="s">
        <v>15</v>
      </c>
      <c r="W1" s="1"/>
    </row>
    <row r="2" spans="1:24" x14ac:dyDescent="0.25">
      <c r="A2" s="6" t="s">
        <v>20</v>
      </c>
      <c r="B2">
        <v>1.17</v>
      </c>
      <c r="C2">
        <v>1.17</v>
      </c>
      <c r="D2">
        <v>1.17</v>
      </c>
      <c r="E2">
        <v>1.17</v>
      </c>
      <c r="F2">
        <v>1.55</v>
      </c>
      <c r="G2">
        <v>1.55</v>
      </c>
      <c r="H2">
        <v>1.18</v>
      </c>
      <c r="I2">
        <v>1.17</v>
      </c>
      <c r="J2">
        <v>1.17</v>
      </c>
      <c r="K2">
        <v>1.17</v>
      </c>
      <c r="L2">
        <v>1.17</v>
      </c>
      <c r="M2">
        <v>1.17</v>
      </c>
      <c r="N2" s="1">
        <v>1.155</v>
      </c>
      <c r="O2" s="1">
        <v>1.1399999999999999</v>
      </c>
      <c r="P2">
        <v>1.17</v>
      </c>
      <c r="Q2" s="1">
        <v>1</v>
      </c>
      <c r="R2" s="1">
        <v>1.1499999999999999</v>
      </c>
      <c r="S2">
        <v>1.17</v>
      </c>
      <c r="T2" s="1">
        <v>1</v>
      </c>
      <c r="U2" s="1">
        <v>1</v>
      </c>
      <c r="V2">
        <v>1.17</v>
      </c>
    </row>
    <row r="3" spans="1:24" x14ac:dyDescent="0.25">
      <c r="A3" s="6">
        <v>0</v>
      </c>
      <c r="B3">
        <v>0</v>
      </c>
      <c r="C3">
        <v>0</v>
      </c>
      <c r="D3">
        <v>0</v>
      </c>
      <c r="E3">
        <v>0</v>
      </c>
      <c r="F3">
        <v>0</v>
      </c>
      <c r="G3">
        <v>0</v>
      </c>
      <c r="H3">
        <v>0</v>
      </c>
      <c r="I3">
        <v>0</v>
      </c>
      <c r="J3">
        <v>0</v>
      </c>
      <c r="K3">
        <v>0</v>
      </c>
      <c r="L3">
        <v>0</v>
      </c>
      <c r="M3">
        <v>0</v>
      </c>
      <c r="N3" s="1">
        <v>0</v>
      </c>
      <c r="O3" s="1">
        <v>0</v>
      </c>
      <c r="P3">
        <v>0</v>
      </c>
      <c r="Q3" s="1">
        <v>0</v>
      </c>
      <c r="R3" s="1">
        <v>0</v>
      </c>
      <c r="S3" s="1">
        <v>0</v>
      </c>
      <c r="T3" s="1">
        <v>0</v>
      </c>
      <c r="U3" s="1">
        <v>0</v>
      </c>
      <c r="V3" s="1">
        <v>0</v>
      </c>
      <c r="W3" s="1"/>
      <c r="X3" s="1"/>
    </row>
    <row r="4" spans="1:24" x14ac:dyDescent="0.25">
      <c r="A4">
        <v>1</v>
      </c>
      <c r="B4">
        <v>5</v>
      </c>
      <c r="C4">
        <v>7</v>
      </c>
      <c r="D4">
        <v>8</v>
      </c>
      <c r="E4">
        <v>8</v>
      </c>
      <c r="F4">
        <v>5</v>
      </c>
      <c r="G4">
        <v>5000</v>
      </c>
      <c r="H4">
        <v>500</v>
      </c>
      <c r="I4">
        <v>80</v>
      </c>
      <c r="J4">
        <v>20</v>
      </c>
      <c r="K4">
        <v>0</v>
      </c>
      <c r="L4">
        <v>10</v>
      </c>
      <c r="M4">
        <v>20</v>
      </c>
      <c r="N4">
        <v>5</v>
      </c>
      <c r="O4">
        <v>10</v>
      </c>
      <c r="P4">
        <v>10</v>
      </c>
      <c r="Q4">
        <v>0</v>
      </c>
      <c r="R4">
        <v>0</v>
      </c>
      <c r="S4">
        <v>2</v>
      </c>
      <c r="T4">
        <v>100</v>
      </c>
      <c r="U4">
        <v>0</v>
      </c>
      <c r="V4">
        <v>5</v>
      </c>
    </row>
    <row r="5" spans="1:24" x14ac:dyDescent="0.25">
      <c r="A5">
        <v>2</v>
      </c>
      <c r="B5" s="3">
        <f t="shared" ref="B5:V5" si="0">B$2*B4</f>
        <v>5.85</v>
      </c>
      <c r="C5" s="3">
        <f t="shared" si="0"/>
        <v>8.19</v>
      </c>
      <c r="D5" s="3">
        <f t="shared" si="0"/>
        <v>9.36</v>
      </c>
      <c r="E5" s="3">
        <f t="shared" si="0"/>
        <v>9.36</v>
      </c>
      <c r="F5" s="3">
        <f t="shared" si="0"/>
        <v>7.75</v>
      </c>
      <c r="G5" s="3">
        <f t="shared" si="0"/>
        <v>7750</v>
      </c>
      <c r="H5" s="3">
        <f>H$2*H4</f>
        <v>590</v>
      </c>
      <c r="I5" s="3">
        <f t="shared" si="0"/>
        <v>93.6</v>
      </c>
      <c r="J5" s="3">
        <f t="shared" si="0"/>
        <v>23.4</v>
      </c>
      <c r="K5" s="3">
        <f t="shared" si="0"/>
        <v>0</v>
      </c>
      <c r="L5" s="3">
        <f t="shared" si="0"/>
        <v>11.7</v>
      </c>
      <c r="M5" s="3">
        <f t="shared" si="0"/>
        <v>23.4</v>
      </c>
      <c r="N5" s="3">
        <f t="shared" si="0"/>
        <v>5.7750000000000004</v>
      </c>
      <c r="O5" s="3">
        <f t="shared" si="0"/>
        <v>11.399999999999999</v>
      </c>
      <c r="P5" s="3">
        <f t="shared" si="0"/>
        <v>11.7</v>
      </c>
      <c r="Q5" s="3">
        <f t="shared" si="0"/>
        <v>0</v>
      </c>
      <c r="R5" s="3">
        <f t="shared" si="0"/>
        <v>0</v>
      </c>
      <c r="S5" s="3">
        <f t="shared" si="0"/>
        <v>2.34</v>
      </c>
      <c r="T5" s="3">
        <f>$T$4*A5</f>
        <v>200</v>
      </c>
      <c r="U5">
        <v>0</v>
      </c>
      <c r="V5" s="3">
        <f t="shared" si="0"/>
        <v>5.85</v>
      </c>
    </row>
    <row r="6" spans="1:24" x14ac:dyDescent="0.25">
      <c r="A6">
        <v>3</v>
      </c>
      <c r="B6" s="3">
        <f t="shared" ref="B6:B33" si="1">B$2*B5</f>
        <v>6.8444999999999991</v>
      </c>
      <c r="C6" s="3">
        <f t="shared" ref="C6:C20" si="2">C$2*C5</f>
        <v>9.5822999999999983</v>
      </c>
      <c r="D6" s="3">
        <f t="shared" ref="D6:D20" si="3">D$2*D5</f>
        <v>10.951199999999998</v>
      </c>
      <c r="E6" s="3">
        <f t="shared" ref="E6:E20" si="4">E$2*E5</f>
        <v>10.951199999999998</v>
      </c>
      <c r="F6" s="3">
        <f t="shared" ref="F6:F20" si="5">F$2*F5</f>
        <v>12.012500000000001</v>
      </c>
      <c r="G6" s="3">
        <f t="shared" ref="G6:H20" si="6">G$2*G5</f>
        <v>12012.5</v>
      </c>
      <c r="H6" s="3">
        <f t="shared" si="6"/>
        <v>696.19999999999993</v>
      </c>
      <c r="I6" s="3">
        <f t="shared" ref="I6:I20" si="7">I$2*I5</f>
        <v>109.51199999999999</v>
      </c>
      <c r="J6" s="3">
        <f t="shared" ref="J6:J20" si="8">J$2*J5</f>
        <v>27.377999999999997</v>
      </c>
      <c r="K6" s="3">
        <f t="shared" ref="K6:K20" si="9">K$2*K5</f>
        <v>0</v>
      </c>
      <c r="L6" s="3">
        <f t="shared" ref="L6:L20" si="10">L$2*L5</f>
        <v>13.688999999999998</v>
      </c>
      <c r="M6" s="3">
        <f t="shared" ref="M6:M20" si="11">M$2*M5</f>
        <v>27.377999999999997</v>
      </c>
      <c r="N6" s="3">
        <f t="shared" ref="N6:N20" si="12">N$2*N5</f>
        <v>6.6701250000000005</v>
      </c>
      <c r="O6" s="3">
        <f t="shared" ref="O6:O20" si="13">O$2*O5</f>
        <v>12.995999999999997</v>
      </c>
      <c r="P6" s="3">
        <f t="shared" ref="P6:P20" si="14">P$2*P5</f>
        <v>13.688999999999998</v>
      </c>
      <c r="Q6" s="3">
        <f t="shared" ref="Q6:Q20" si="15">Q$2*Q5</f>
        <v>0</v>
      </c>
      <c r="R6" s="3">
        <f t="shared" ref="R6:R20" si="16">R$2*R5</f>
        <v>0</v>
      </c>
      <c r="S6" s="3">
        <f t="shared" ref="S6:S20" si="17">S$2*S5</f>
        <v>2.7377999999999996</v>
      </c>
      <c r="T6" s="3">
        <f t="shared" ref="T6:T33" si="18">$T$4*A6</f>
        <v>300</v>
      </c>
      <c r="U6">
        <v>0</v>
      </c>
      <c r="V6" s="3">
        <f t="shared" ref="V6:V20" si="19">V$2*V5</f>
        <v>6.8444999999999991</v>
      </c>
    </row>
    <row r="7" spans="1:24" x14ac:dyDescent="0.25">
      <c r="A7">
        <v>4</v>
      </c>
      <c r="B7" s="3">
        <f t="shared" si="1"/>
        <v>8.0080649999999984</v>
      </c>
      <c r="C7" s="3">
        <f t="shared" si="2"/>
        <v>11.211290999999997</v>
      </c>
      <c r="D7" s="3">
        <f t="shared" si="3"/>
        <v>12.812903999999998</v>
      </c>
      <c r="E7" s="3">
        <f t="shared" si="4"/>
        <v>12.812903999999998</v>
      </c>
      <c r="F7" s="3">
        <f t="shared" si="5"/>
        <v>18.619375000000002</v>
      </c>
      <c r="G7" s="3">
        <f t="shared" si="6"/>
        <v>18619.375</v>
      </c>
      <c r="H7" s="3">
        <f t="shared" si="6"/>
        <v>821.51599999999985</v>
      </c>
      <c r="I7" s="3">
        <f t="shared" si="7"/>
        <v>128.12903999999997</v>
      </c>
      <c r="J7" s="3">
        <f t="shared" si="8"/>
        <v>32.032259999999994</v>
      </c>
      <c r="K7" s="3">
        <f t="shared" si="9"/>
        <v>0</v>
      </c>
      <c r="L7" s="3">
        <f t="shared" si="10"/>
        <v>16.016129999999997</v>
      </c>
      <c r="M7" s="3">
        <f t="shared" si="11"/>
        <v>32.032259999999994</v>
      </c>
      <c r="N7" s="3">
        <f t="shared" si="12"/>
        <v>7.7039943750000006</v>
      </c>
      <c r="O7" s="3">
        <f t="shared" si="13"/>
        <v>14.815439999999995</v>
      </c>
      <c r="P7" s="3">
        <f t="shared" si="14"/>
        <v>16.016129999999997</v>
      </c>
      <c r="Q7" s="3">
        <f t="shared" si="15"/>
        <v>0</v>
      </c>
      <c r="R7" s="3">
        <f t="shared" si="16"/>
        <v>0</v>
      </c>
      <c r="S7" s="3">
        <f t="shared" si="17"/>
        <v>3.2032259999999995</v>
      </c>
      <c r="T7" s="3">
        <f t="shared" si="18"/>
        <v>400</v>
      </c>
      <c r="U7">
        <v>0</v>
      </c>
      <c r="V7" s="3">
        <f t="shared" si="19"/>
        <v>8.0080649999999984</v>
      </c>
    </row>
    <row r="8" spans="1:24" x14ac:dyDescent="0.25">
      <c r="A8">
        <v>5</v>
      </c>
      <c r="B8" s="3">
        <f t="shared" si="1"/>
        <v>9.3694360499999974</v>
      </c>
      <c r="C8" s="3">
        <f t="shared" si="2"/>
        <v>13.117210469999996</v>
      </c>
      <c r="D8" s="3">
        <f t="shared" si="3"/>
        <v>14.991097679999996</v>
      </c>
      <c r="E8" s="3">
        <f t="shared" si="4"/>
        <v>14.991097679999996</v>
      </c>
      <c r="F8" s="3">
        <f t="shared" si="5"/>
        <v>28.860031250000002</v>
      </c>
      <c r="G8" s="3">
        <f t="shared" si="6"/>
        <v>28860.03125</v>
      </c>
      <c r="H8" s="3">
        <f t="shared" si="6"/>
        <v>969.38887999999974</v>
      </c>
      <c r="I8" s="3">
        <f t="shared" si="7"/>
        <v>149.91097679999996</v>
      </c>
      <c r="J8" s="3">
        <f t="shared" si="8"/>
        <v>37.477744199999989</v>
      </c>
      <c r="K8" s="3">
        <f t="shared" si="9"/>
        <v>0</v>
      </c>
      <c r="L8" s="3">
        <f t="shared" si="10"/>
        <v>18.738872099999995</v>
      </c>
      <c r="M8" s="3">
        <f t="shared" si="11"/>
        <v>37.477744199999989</v>
      </c>
      <c r="N8" s="3">
        <f t="shared" si="12"/>
        <v>8.8981135031250016</v>
      </c>
      <c r="O8" s="3">
        <f t="shared" si="13"/>
        <v>16.889601599999992</v>
      </c>
      <c r="P8" s="3">
        <f t="shared" si="14"/>
        <v>18.738872099999995</v>
      </c>
      <c r="Q8" s="3">
        <f t="shared" si="15"/>
        <v>0</v>
      </c>
      <c r="R8" s="3">
        <f t="shared" si="16"/>
        <v>0</v>
      </c>
      <c r="S8" s="3">
        <f t="shared" si="17"/>
        <v>3.7477744199999989</v>
      </c>
      <c r="T8" s="3">
        <f t="shared" si="18"/>
        <v>500</v>
      </c>
      <c r="U8">
        <v>0</v>
      </c>
      <c r="V8" s="3">
        <f t="shared" si="19"/>
        <v>9.3694360499999974</v>
      </c>
    </row>
    <row r="9" spans="1:24" x14ac:dyDescent="0.25">
      <c r="A9">
        <v>6</v>
      </c>
      <c r="B9" s="3">
        <f t="shared" si="1"/>
        <v>10.962240178499997</v>
      </c>
      <c r="C9" s="3">
        <f t="shared" si="2"/>
        <v>15.347136249899995</v>
      </c>
      <c r="D9" s="3">
        <f t="shared" si="3"/>
        <v>17.539584285599993</v>
      </c>
      <c r="E9" s="3">
        <f t="shared" si="4"/>
        <v>17.539584285599993</v>
      </c>
      <c r="F9" s="3">
        <f t="shared" si="5"/>
        <v>44.733048437500003</v>
      </c>
      <c r="G9" s="3">
        <f t="shared" si="6"/>
        <v>44733.048437500001</v>
      </c>
      <c r="H9" s="3">
        <f t="shared" si="6"/>
        <v>1143.8788783999996</v>
      </c>
      <c r="I9" s="3">
        <f t="shared" si="7"/>
        <v>175.39584285599994</v>
      </c>
      <c r="J9" s="3">
        <f t="shared" si="8"/>
        <v>43.848960713999986</v>
      </c>
      <c r="K9" s="3">
        <f t="shared" si="9"/>
        <v>0</v>
      </c>
      <c r="L9" s="3">
        <f t="shared" si="10"/>
        <v>21.924480356999993</v>
      </c>
      <c r="M9" s="3">
        <f t="shared" si="11"/>
        <v>43.848960713999986</v>
      </c>
      <c r="N9" s="3">
        <f t="shared" si="12"/>
        <v>10.277321096109377</v>
      </c>
      <c r="O9" s="3">
        <f t="shared" si="13"/>
        <v>19.254145823999988</v>
      </c>
      <c r="P9" s="3">
        <f t="shared" si="14"/>
        <v>21.924480356999993</v>
      </c>
      <c r="Q9" s="3">
        <f t="shared" si="15"/>
        <v>0</v>
      </c>
      <c r="R9" s="3">
        <f t="shared" si="16"/>
        <v>0</v>
      </c>
      <c r="S9" s="3">
        <f t="shared" si="17"/>
        <v>4.3848960713999983</v>
      </c>
      <c r="T9" s="3">
        <f t="shared" si="18"/>
        <v>600</v>
      </c>
      <c r="U9">
        <v>0</v>
      </c>
      <c r="V9" s="3">
        <f t="shared" si="19"/>
        <v>10.962240178499997</v>
      </c>
    </row>
    <row r="10" spans="1:24" x14ac:dyDescent="0.25">
      <c r="A10">
        <v>7</v>
      </c>
      <c r="B10" s="3">
        <f t="shared" si="1"/>
        <v>12.825821008844995</v>
      </c>
      <c r="C10" s="3">
        <f t="shared" si="2"/>
        <v>17.956149412382992</v>
      </c>
      <c r="D10" s="3">
        <f t="shared" si="3"/>
        <v>20.521313614151989</v>
      </c>
      <c r="E10" s="3">
        <f t="shared" si="4"/>
        <v>20.521313614151989</v>
      </c>
      <c r="F10" s="3">
        <f t="shared" si="5"/>
        <v>69.336225078125011</v>
      </c>
      <c r="G10" s="3">
        <f t="shared" si="6"/>
        <v>69336.225078125004</v>
      </c>
      <c r="H10" s="3">
        <f t="shared" si="6"/>
        <v>1349.7770765119994</v>
      </c>
      <c r="I10" s="3">
        <f t="shared" si="7"/>
        <v>205.21313614151993</v>
      </c>
      <c r="J10" s="3">
        <f t="shared" si="8"/>
        <v>51.303284035379981</v>
      </c>
      <c r="K10" s="3">
        <f t="shared" si="9"/>
        <v>0</v>
      </c>
      <c r="L10" s="3">
        <f t="shared" si="10"/>
        <v>25.651642017689991</v>
      </c>
      <c r="M10" s="3">
        <f t="shared" si="11"/>
        <v>51.303284035379981</v>
      </c>
      <c r="N10" s="3">
        <f t="shared" si="12"/>
        <v>11.870305866006332</v>
      </c>
      <c r="O10" s="3">
        <f t="shared" si="13"/>
        <v>21.949726239359983</v>
      </c>
      <c r="P10" s="3">
        <f t="shared" si="14"/>
        <v>25.651642017689991</v>
      </c>
      <c r="Q10" s="3">
        <f t="shared" si="15"/>
        <v>0</v>
      </c>
      <c r="R10" s="3">
        <f t="shared" si="16"/>
        <v>0</v>
      </c>
      <c r="S10" s="3">
        <f t="shared" si="17"/>
        <v>5.1303284035379972</v>
      </c>
      <c r="T10" s="3">
        <f t="shared" si="18"/>
        <v>700</v>
      </c>
      <c r="U10">
        <v>0</v>
      </c>
      <c r="V10" s="3">
        <f t="shared" si="19"/>
        <v>12.825821008844995</v>
      </c>
    </row>
    <row r="11" spans="1:24" x14ac:dyDescent="0.25">
      <c r="A11">
        <v>8</v>
      </c>
      <c r="B11" s="3">
        <f t="shared" si="1"/>
        <v>15.006210580348643</v>
      </c>
      <c r="C11" s="3">
        <f t="shared" si="2"/>
        <v>21.008694812488098</v>
      </c>
      <c r="D11" s="3">
        <f t="shared" si="3"/>
        <v>24.009936928557824</v>
      </c>
      <c r="E11" s="3">
        <f t="shared" si="4"/>
        <v>24.009936928557824</v>
      </c>
      <c r="F11" s="3">
        <f t="shared" si="5"/>
        <v>107.47114887109377</v>
      </c>
      <c r="G11" s="3">
        <f t="shared" si="6"/>
        <v>107471.14887109376</v>
      </c>
      <c r="H11" s="3">
        <f t="shared" si="6"/>
        <v>1592.7369502841593</v>
      </c>
      <c r="I11" s="3">
        <f t="shared" si="7"/>
        <v>240.09936928557829</v>
      </c>
      <c r="J11" s="3">
        <f t="shared" si="8"/>
        <v>60.024842321394573</v>
      </c>
      <c r="K11" s="3">
        <f t="shared" si="9"/>
        <v>0</v>
      </c>
      <c r="L11" s="3">
        <f t="shared" si="10"/>
        <v>30.012421160697286</v>
      </c>
      <c r="M11" s="3">
        <f t="shared" si="11"/>
        <v>60.024842321394573</v>
      </c>
      <c r="N11" s="3">
        <f t="shared" si="12"/>
        <v>13.710203275237314</v>
      </c>
      <c r="O11" s="3">
        <f t="shared" si="13"/>
        <v>25.022687912870378</v>
      </c>
      <c r="P11" s="3">
        <f t="shared" si="14"/>
        <v>30.012421160697286</v>
      </c>
      <c r="Q11" s="3">
        <f t="shared" si="15"/>
        <v>0</v>
      </c>
      <c r="R11" s="3">
        <f t="shared" si="16"/>
        <v>0</v>
      </c>
      <c r="S11" s="3">
        <f t="shared" si="17"/>
        <v>6.002484232139456</v>
      </c>
      <c r="T11" s="3">
        <f t="shared" si="18"/>
        <v>800</v>
      </c>
      <c r="U11">
        <v>0</v>
      </c>
      <c r="V11" s="3">
        <f t="shared" si="19"/>
        <v>15.006210580348643</v>
      </c>
    </row>
    <row r="12" spans="1:24" x14ac:dyDescent="0.25">
      <c r="A12">
        <v>9</v>
      </c>
      <c r="B12" s="3">
        <f t="shared" si="1"/>
        <v>17.55726637900791</v>
      </c>
      <c r="C12" s="3">
        <f t="shared" si="2"/>
        <v>24.580172930611074</v>
      </c>
      <c r="D12" s="3">
        <f t="shared" si="3"/>
        <v>28.091626206412652</v>
      </c>
      <c r="E12" s="3">
        <f t="shared" si="4"/>
        <v>28.091626206412652</v>
      </c>
      <c r="F12" s="3">
        <f t="shared" si="5"/>
        <v>166.58028075019536</v>
      </c>
      <c r="G12" s="3">
        <f t="shared" si="6"/>
        <v>166580.28075019532</v>
      </c>
      <c r="H12" s="3">
        <f t="shared" si="6"/>
        <v>1879.429601335308</v>
      </c>
      <c r="I12" s="3">
        <f t="shared" si="7"/>
        <v>280.91626206412656</v>
      </c>
      <c r="J12" s="3">
        <f t="shared" si="8"/>
        <v>70.229065516031639</v>
      </c>
      <c r="K12" s="3">
        <f t="shared" si="9"/>
        <v>0</v>
      </c>
      <c r="L12" s="3">
        <f t="shared" si="10"/>
        <v>35.11453275801582</v>
      </c>
      <c r="M12" s="3">
        <f t="shared" si="11"/>
        <v>70.229065516031639</v>
      </c>
      <c r="N12" s="3">
        <f t="shared" si="12"/>
        <v>15.835284782899098</v>
      </c>
      <c r="O12" s="3">
        <f t="shared" si="13"/>
        <v>28.525864220672229</v>
      </c>
      <c r="P12" s="3">
        <f t="shared" si="14"/>
        <v>35.11453275801582</v>
      </c>
      <c r="Q12" s="3">
        <f t="shared" si="15"/>
        <v>0</v>
      </c>
      <c r="R12" s="3">
        <f t="shared" si="16"/>
        <v>0</v>
      </c>
      <c r="S12" s="3">
        <f t="shared" si="17"/>
        <v>7.022906551603163</v>
      </c>
      <c r="T12" s="3">
        <f t="shared" si="18"/>
        <v>900</v>
      </c>
      <c r="U12">
        <v>0</v>
      </c>
      <c r="V12" s="3">
        <f t="shared" si="19"/>
        <v>17.55726637900791</v>
      </c>
    </row>
    <row r="13" spans="1:24" x14ac:dyDescent="0.25">
      <c r="A13">
        <v>10</v>
      </c>
      <c r="B13" s="3">
        <f t="shared" si="1"/>
        <v>20.542001663439255</v>
      </c>
      <c r="C13" s="3">
        <f t="shared" si="2"/>
        <v>28.758802328814955</v>
      </c>
      <c r="D13" s="3">
        <f t="shared" si="3"/>
        <v>32.867202661502802</v>
      </c>
      <c r="E13" s="3">
        <f t="shared" si="4"/>
        <v>32.867202661502802</v>
      </c>
      <c r="F13" s="3">
        <f t="shared" si="5"/>
        <v>258.19943516280279</v>
      </c>
      <c r="G13" s="3">
        <f t="shared" si="6"/>
        <v>258199.43516280275</v>
      </c>
      <c r="H13" s="3">
        <f t="shared" si="6"/>
        <v>2217.7269295756632</v>
      </c>
      <c r="I13" s="3">
        <f t="shared" si="7"/>
        <v>328.67202661502807</v>
      </c>
      <c r="J13" s="3">
        <f t="shared" si="8"/>
        <v>82.168006653757018</v>
      </c>
      <c r="K13" s="3">
        <f t="shared" si="9"/>
        <v>0</v>
      </c>
      <c r="L13" s="3">
        <f t="shared" si="10"/>
        <v>41.084003326878509</v>
      </c>
      <c r="M13" s="3">
        <f t="shared" si="11"/>
        <v>82.168006653757018</v>
      </c>
      <c r="N13" s="3">
        <f t="shared" si="12"/>
        <v>18.289753924248458</v>
      </c>
      <c r="O13" s="3">
        <f t="shared" si="13"/>
        <v>32.519485211566341</v>
      </c>
      <c r="P13" s="3">
        <f t="shared" si="14"/>
        <v>41.084003326878509</v>
      </c>
      <c r="Q13" s="3">
        <f t="shared" si="15"/>
        <v>0</v>
      </c>
      <c r="R13" s="3">
        <f t="shared" si="16"/>
        <v>0</v>
      </c>
      <c r="S13" s="3">
        <f t="shared" si="17"/>
        <v>8.2168006653757004</v>
      </c>
      <c r="T13" s="3">
        <f t="shared" si="18"/>
        <v>1000</v>
      </c>
      <c r="U13">
        <v>0</v>
      </c>
      <c r="V13" s="3">
        <f t="shared" si="19"/>
        <v>20.542001663439255</v>
      </c>
    </row>
    <row r="14" spans="1:24" x14ac:dyDescent="0.25">
      <c r="A14">
        <v>11</v>
      </c>
      <c r="B14" s="3">
        <f t="shared" si="1"/>
        <v>24.034141946223926</v>
      </c>
      <c r="C14" s="3">
        <f t="shared" si="2"/>
        <v>33.647798724713496</v>
      </c>
      <c r="D14" s="3">
        <f t="shared" si="3"/>
        <v>38.454627113958274</v>
      </c>
      <c r="E14" s="3">
        <f t="shared" si="4"/>
        <v>38.454627113958274</v>
      </c>
      <c r="F14" s="3">
        <f t="shared" si="5"/>
        <v>400.20912450234431</v>
      </c>
      <c r="G14" s="3">
        <f t="shared" si="6"/>
        <v>400209.12450234429</v>
      </c>
      <c r="H14" s="3">
        <f t="shared" si="6"/>
        <v>2616.9177768992827</v>
      </c>
      <c r="I14" s="3">
        <f t="shared" si="7"/>
        <v>384.54627113958281</v>
      </c>
      <c r="J14" s="3">
        <f t="shared" si="8"/>
        <v>96.136567784895703</v>
      </c>
      <c r="K14" s="3">
        <f t="shared" si="9"/>
        <v>0</v>
      </c>
      <c r="L14" s="3">
        <f t="shared" si="10"/>
        <v>48.068283892447852</v>
      </c>
      <c r="M14" s="3">
        <f t="shared" si="11"/>
        <v>96.136567784895703</v>
      </c>
      <c r="N14" s="3">
        <f t="shared" si="12"/>
        <v>21.12466578250697</v>
      </c>
      <c r="O14" s="3">
        <f t="shared" si="13"/>
        <v>37.072213141185628</v>
      </c>
      <c r="P14" s="3">
        <f t="shared" si="14"/>
        <v>48.068283892447852</v>
      </c>
      <c r="Q14" s="3">
        <f t="shared" si="15"/>
        <v>0</v>
      </c>
      <c r="R14" s="3">
        <f t="shared" si="16"/>
        <v>0</v>
      </c>
      <c r="S14" s="3">
        <f t="shared" si="17"/>
        <v>9.6136567784895686</v>
      </c>
      <c r="T14" s="3">
        <f t="shared" si="18"/>
        <v>1100</v>
      </c>
      <c r="U14">
        <v>0</v>
      </c>
      <c r="V14" s="3">
        <f t="shared" si="19"/>
        <v>24.034141946223926</v>
      </c>
    </row>
    <row r="15" spans="1:24" x14ac:dyDescent="0.25">
      <c r="A15">
        <v>12</v>
      </c>
      <c r="B15" s="3">
        <f t="shared" si="1"/>
        <v>28.119946077081991</v>
      </c>
      <c r="C15" s="3">
        <f t="shared" si="2"/>
        <v>39.367924507914786</v>
      </c>
      <c r="D15" s="3">
        <f t="shared" si="3"/>
        <v>44.99191372333118</v>
      </c>
      <c r="E15" s="3">
        <f t="shared" si="4"/>
        <v>44.99191372333118</v>
      </c>
      <c r="F15" s="3">
        <f t="shared" si="5"/>
        <v>620.32414297863374</v>
      </c>
      <c r="G15" s="3">
        <f t="shared" si="6"/>
        <v>620324.14297863364</v>
      </c>
      <c r="H15" s="3">
        <f t="shared" si="6"/>
        <v>3087.9629767411534</v>
      </c>
      <c r="I15" s="3">
        <f t="shared" si="7"/>
        <v>449.91913723331186</v>
      </c>
      <c r="J15" s="3">
        <f t="shared" si="8"/>
        <v>112.47978430832796</v>
      </c>
      <c r="K15" s="3">
        <f t="shared" si="9"/>
        <v>0</v>
      </c>
      <c r="L15" s="3">
        <f t="shared" si="10"/>
        <v>56.239892154163982</v>
      </c>
      <c r="M15" s="3">
        <f t="shared" si="11"/>
        <v>112.47978430832796</v>
      </c>
      <c r="N15" s="3">
        <f t="shared" si="12"/>
        <v>24.398988978795551</v>
      </c>
      <c r="O15" s="3">
        <f t="shared" si="13"/>
        <v>42.262322980951609</v>
      </c>
      <c r="P15" s="3">
        <f t="shared" si="14"/>
        <v>56.239892154163982</v>
      </c>
      <c r="Q15" s="3">
        <f t="shared" si="15"/>
        <v>0</v>
      </c>
      <c r="R15" s="3">
        <f t="shared" si="16"/>
        <v>0</v>
      </c>
      <c r="S15" s="3">
        <f t="shared" si="17"/>
        <v>11.247978430832795</v>
      </c>
      <c r="T15" s="3">
        <f t="shared" si="18"/>
        <v>1200</v>
      </c>
      <c r="U15">
        <v>0</v>
      </c>
      <c r="V15" s="3">
        <f t="shared" si="19"/>
        <v>28.119946077081991</v>
      </c>
    </row>
    <row r="16" spans="1:24" x14ac:dyDescent="0.25">
      <c r="A16">
        <v>13</v>
      </c>
      <c r="B16" s="3">
        <f t="shared" si="1"/>
        <v>32.900336910185928</v>
      </c>
      <c r="C16" s="3">
        <f t="shared" si="2"/>
        <v>46.060471674260299</v>
      </c>
      <c r="D16" s="3">
        <f t="shared" si="3"/>
        <v>52.640539056297477</v>
      </c>
      <c r="E16" s="3">
        <f t="shared" si="4"/>
        <v>52.640539056297477</v>
      </c>
      <c r="F16" s="3">
        <f t="shared" si="5"/>
        <v>961.50242161688232</v>
      </c>
      <c r="G16" s="3">
        <f t="shared" si="6"/>
        <v>961502.4216168822</v>
      </c>
      <c r="H16" s="3">
        <f t="shared" si="6"/>
        <v>3643.7963125545607</v>
      </c>
      <c r="I16" s="3">
        <f t="shared" si="7"/>
        <v>526.40539056297484</v>
      </c>
      <c r="J16" s="3">
        <f t="shared" si="8"/>
        <v>131.60134764074371</v>
      </c>
      <c r="K16" s="3">
        <f t="shared" si="9"/>
        <v>0</v>
      </c>
      <c r="L16" s="3">
        <f t="shared" si="10"/>
        <v>65.800673820371856</v>
      </c>
      <c r="M16" s="3">
        <f t="shared" si="11"/>
        <v>131.60134764074371</v>
      </c>
      <c r="N16" s="3">
        <f t="shared" si="12"/>
        <v>28.180832270508862</v>
      </c>
      <c r="O16" s="3">
        <f t="shared" si="13"/>
        <v>48.179048198284832</v>
      </c>
      <c r="P16" s="3">
        <f t="shared" si="14"/>
        <v>65.800673820371856</v>
      </c>
      <c r="Q16" s="3">
        <f t="shared" si="15"/>
        <v>0</v>
      </c>
      <c r="R16" s="3">
        <f t="shared" si="16"/>
        <v>0</v>
      </c>
      <c r="S16" s="3">
        <f t="shared" si="17"/>
        <v>13.160134764074369</v>
      </c>
      <c r="T16" s="3">
        <f t="shared" si="18"/>
        <v>1300</v>
      </c>
      <c r="U16">
        <v>0</v>
      </c>
      <c r="V16" s="3">
        <f t="shared" si="19"/>
        <v>32.900336910185928</v>
      </c>
    </row>
    <row r="17" spans="1:22" x14ac:dyDescent="0.25">
      <c r="A17">
        <v>14</v>
      </c>
      <c r="B17" s="3">
        <f t="shared" si="1"/>
        <v>38.493394184917534</v>
      </c>
      <c r="C17" s="3">
        <f t="shared" si="2"/>
        <v>53.890751858884549</v>
      </c>
      <c r="D17" s="3">
        <f t="shared" si="3"/>
        <v>61.589430695868046</v>
      </c>
      <c r="E17" s="3">
        <f t="shared" si="4"/>
        <v>61.589430695868046</v>
      </c>
      <c r="F17" s="3">
        <f t="shared" si="5"/>
        <v>1490.3287535061677</v>
      </c>
      <c r="G17" s="3">
        <f t="shared" si="6"/>
        <v>1490328.7535061676</v>
      </c>
      <c r="H17" s="3">
        <f t="shared" si="6"/>
        <v>4299.6796488143818</v>
      </c>
      <c r="I17" s="3">
        <f t="shared" si="7"/>
        <v>615.89430695868054</v>
      </c>
      <c r="J17" s="3">
        <f t="shared" si="8"/>
        <v>153.97357673967014</v>
      </c>
      <c r="K17" s="3">
        <f t="shared" si="9"/>
        <v>0</v>
      </c>
      <c r="L17" s="3">
        <f t="shared" si="10"/>
        <v>76.986788369835068</v>
      </c>
      <c r="M17" s="3">
        <f t="shared" si="11"/>
        <v>153.97357673967014</v>
      </c>
      <c r="N17" s="3">
        <f t="shared" si="12"/>
        <v>32.548861272437733</v>
      </c>
      <c r="O17" s="3">
        <f t="shared" si="13"/>
        <v>54.924114946044703</v>
      </c>
      <c r="P17" s="3">
        <f t="shared" si="14"/>
        <v>76.986788369835068</v>
      </c>
      <c r="Q17" s="3">
        <f t="shared" si="15"/>
        <v>0</v>
      </c>
      <c r="R17" s="3">
        <f t="shared" si="16"/>
        <v>0</v>
      </c>
      <c r="S17" s="3">
        <f t="shared" si="17"/>
        <v>15.397357673967011</v>
      </c>
      <c r="T17" s="3">
        <f t="shared" si="18"/>
        <v>1400</v>
      </c>
      <c r="U17">
        <v>0</v>
      </c>
      <c r="V17" s="3">
        <f t="shared" si="19"/>
        <v>38.493394184917534</v>
      </c>
    </row>
    <row r="18" spans="1:22" x14ac:dyDescent="0.25">
      <c r="A18">
        <v>15</v>
      </c>
      <c r="B18" s="3">
        <f t="shared" si="1"/>
        <v>45.037271196353515</v>
      </c>
      <c r="C18" s="3">
        <f t="shared" si="2"/>
        <v>63.052179674894916</v>
      </c>
      <c r="D18" s="3">
        <f t="shared" si="3"/>
        <v>72.059633914165616</v>
      </c>
      <c r="E18" s="3">
        <f t="shared" si="4"/>
        <v>72.059633914165616</v>
      </c>
      <c r="F18" s="3">
        <f t="shared" si="5"/>
        <v>2310.00956793456</v>
      </c>
      <c r="G18" s="3">
        <f t="shared" si="6"/>
        <v>2310009.5679345597</v>
      </c>
      <c r="H18" s="3">
        <f t="shared" si="6"/>
        <v>5073.6219856009702</v>
      </c>
      <c r="I18" s="3">
        <f t="shared" si="7"/>
        <v>720.59633914165624</v>
      </c>
      <c r="J18" s="3">
        <f t="shared" si="8"/>
        <v>180.14908478541406</v>
      </c>
      <c r="K18" s="3">
        <f t="shared" si="9"/>
        <v>0</v>
      </c>
      <c r="L18" s="3">
        <f t="shared" si="10"/>
        <v>90.074542392707031</v>
      </c>
      <c r="M18" s="3">
        <f t="shared" si="11"/>
        <v>180.14908478541406</v>
      </c>
      <c r="N18" s="3">
        <f t="shared" si="12"/>
        <v>37.59393476966558</v>
      </c>
      <c r="O18" s="3">
        <f t="shared" si="13"/>
        <v>62.613491038490956</v>
      </c>
      <c r="P18" s="3">
        <f t="shared" si="14"/>
        <v>90.074542392707031</v>
      </c>
      <c r="Q18" s="3">
        <f t="shared" si="15"/>
        <v>0</v>
      </c>
      <c r="R18" s="3">
        <f t="shared" si="16"/>
        <v>0</v>
      </c>
      <c r="S18" s="3">
        <f t="shared" si="17"/>
        <v>18.014908478541404</v>
      </c>
      <c r="T18" s="3">
        <f t="shared" si="18"/>
        <v>1500</v>
      </c>
      <c r="U18">
        <v>0</v>
      </c>
      <c r="V18" s="3">
        <f t="shared" si="19"/>
        <v>45.037271196353515</v>
      </c>
    </row>
    <row r="19" spans="1:22" x14ac:dyDescent="0.25">
      <c r="A19">
        <v>16</v>
      </c>
      <c r="B19" s="3">
        <f t="shared" si="1"/>
        <v>52.693607299733607</v>
      </c>
      <c r="C19" s="3">
        <f t="shared" si="2"/>
        <v>73.771050219627043</v>
      </c>
      <c r="D19" s="3">
        <f t="shared" si="3"/>
        <v>84.309771679573771</v>
      </c>
      <c r="E19" s="3">
        <f t="shared" si="4"/>
        <v>84.309771679573771</v>
      </c>
      <c r="F19" s="3">
        <f t="shared" si="5"/>
        <v>3580.5148302985681</v>
      </c>
      <c r="G19" s="3">
        <f t="shared" si="6"/>
        <v>3580514.8302985677</v>
      </c>
      <c r="H19" s="3">
        <f t="shared" si="6"/>
        <v>5986.8739430091446</v>
      </c>
      <c r="I19" s="3">
        <f t="shared" si="7"/>
        <v>843.09771679573771</v>
      </c>
      <c r="J19" s="3">
        <f t="shared" si="8"/>
        <v>210.77442919893443</v>
      </c>
      <c r="K19" s="3">
        <f t="shared" si="9"/>
        <v>0</v>
      </c>
      <c r="L19" s="3">
        <f t="shared" si="10"/>
        <v>105.38721459946721</v>
      </c>
      <c r="M19" s="3">
        <f t="shared" si="11"/>
        <v>210.77442919893443</v>
      </c>
      <c r="N19" s="3">
        <f t="shared" si="12"/>
        <v>43.420994658963743</v>
      </c>
      <c r="O19" s="3">
        <f t="shared" si="13"/>
        <v>71.379379783879685</v>
      </c>
      <c r="P19" s="3">
        <f t="shared" si="14"/>
        <v>105.38721459946721</v>
      </c>
      <c r="Q19" s="3">
        <f t="shared" si="15"/>
        <v>0</v>
      </c>
      <c r="R19" s="3">
        <f t="shared" si="16"/>
        <v>0</v>
      </c>
      <c r="S19" s="3">
        <f t="shared" si="17"/>
        <v>21.077442919893443</v>
      </c>
      <c r="T19" s="3">
        <f t="shared" si="18"/>
        <v>1600</v>
      </c>
      <c r="U19">
        <v>0</v>
      </c>
      <c r="V19" s="3">
        <f t="shared" si="19"/>
        <v>52.693607299733607</v>
      </c>
    </row>
    <row r="20" spans="1:22" x14ac:dyDescent="0.25">
      <c r="A20">
        <v>17</v>
      </c>
      <c r="B20" s="3">
        <f t="shared" si="1"/>
        <v>61.651520540688317</v>
      </c>
      <c r="C20" s="3">
        <f t="shared" si="2"/>
        <v>86.312128756963631</v>
      </c>
      <c r="D20" s="3">
        <f t="shared" si="3"/>
        <v>98.642432865101313</v>
      </c>
      <c r="E20" s="3">
        <f t="shared" si="4"/>
        <v>98.642432865101313</v>
      </c>
      <c r="F20" s="3">
        <f t="shared" si="5"/>
        <v>5549.7979869627807</v>
      </c>
      <c r="G20" s="3">
        <f t="shared" si="6"/>
        <v>5549797.9869627804</v>
      </c>
      <c r="H20" s="3">
        <f t="shared" si="6"/>
        <v>7064.5112527507899</v>
      </c>
      <c r="I20" s="3">
        <f t="shared" si="7"/>
        <v>986.42432865101307</v>
      </c>
      <c r="J20" s="3">
        <f t="shared" si="8"/>
        <v>246.60608216275327</v>
      </c>
      <c r="K20" s="3">
        <f t="shared" si="9"/>
        <v>0</v>
      </c>
      <c r="L20" s="3">
        <f t="shared" si="10"/>
        <v>123.30304108137663</v>
      </c>
      <c r="M20" s="3">
        <f t="shared" si="11"/>
        <v>246.60608216275327</v>
      </c>
      <c r="N20" s="3">
        <f t="shared" si="12"/>
        <v>50.151248831103125</v>
      </c>
      <c r="O20" s="3">
        <f t="shared" si="13"/>
        <v>81.372492953622839</v>
      </c>
      <c r="P20" s="3">
        <f t="shared" si="14"/>
        <v>123.30304108137663</v>
      </c>
      <c r="Q20" s="3">
        <f t="shared" si="15"/>
        <v>0</v>
      </c>
      <c r="R20" s="3">
        <f t="shared" si="16"/>
        <v>0</v>
      </c>
      <c r="S20" s="3">
        <f t="shared" si="17"/>
        <v>24.660608216275328</v>
      </c>
      <c r="T20" s="3">
        <f t="shared" si="18"/>
        <v>1700</v>
      </c>
      <c r="U20">
        <v>0</v>
      </c>
      <c r="V20" s="3">
        <f t="shared" si="19"/>
        <v>61.651520540688317</v>
      </c>
    </row>
    <row r="21" spans="1:22" x14ac:dyDescent="0.25">
      <c r="A21">
        <v>18</v>
      </c>
      <c r="B21" s="3">
        <f t="shared" si="1"/>
        <v>72.132279032605325</v>
      </c>
      <c r="C21" s="3">
        <f t="shared" ref="C21:C33" si="20">C$2*C20</f>
        <v>100.98519064564744</v>
      </c>
      <c r="D21" s="3">
        <f t="shared" ref="D21:G33" si="21">D$2*D20</f>
        <v>115.41164645216853</v>
      </c>
      <c r="E21" s="3">
        <f t="shared" si="21"/>
        <v>115.41164645216853</v>
      </c>
      <c r="F21" s="3">
        <f t="shared" si="21"/>
        <v>8602.1868797923107</v>
      </c>
      <c r="G21" s="3">
        <f t="shared" si="21"/>
        <v>8602186.8797923103</v>
      </c>
      <c r="H21" s="3">
        <f t="shared" ref="H21:H33" si="22">H$2*H20</f>
        <v>8336.1232782459319</v>
      </c>
      <c r="I21" s="3">
        <f t="shared" ref="I21:I33" si="23">I$2*I20</f>
        <v>1154.1164645216852</v>
      </c>
      <c r="J21" s="3">
        <f t="shared" ref="J21:J33" si="24">J$2*J20</f>
        <v>288.5291161304213</v>
      </c>
      <c r="K21" s="3">
        <f t="shared" ref="K21:K33" si="25">K$2*K20</f>
        <v>0</v>
      </c>
      <c r="L21" s="3">
        <f t="shared" ref="L21:L33" si="26">L$2*L20</f>
        <v>144.26455806521065</v>
      </c>
      <c r="M21" s="3">
        <f t="shared" ref="M21:M33" si="27">M$2*M20</f>
        <v>288.5291161304213</v>
      </c>
      <c r="N21" s="3">
        <f t="shared" ref="N21:N33" si="28">N$2*N20</f>
        <v>57.924692399924112</v>
      </c>
      <c r="O21" s="3">
        <f t="shared" ref="O21:O33" si="29">O$2*O20</f>
        <v>92.764641967130032</v>
      </c>
      <c r="P21" s="3">
        <f t="shared" ref="P21:P33" si="30">P$2*P20</f>
        <v>144.26455806521065</v>
      </c>
      <c r="Q21" s="3">
        <f t="shared" ref="Q21:Q33" si="31">Q$2*Q20</f>
        <v>0</v>
      </c>
      <c r="R21" s="3">
        <f t="shared" ref="R21:R33" si="32">R$2*R20</f>
        <v>0</v>
      </c>
      <c r="S21" s="3">
        <f t="shared" ref="S21:S33" si="33">S$2*S20</f>
        <v>28.852911613042131</v>
      </c>
      <c r="T21" s="3">
        <f t="shared" si="18"/>
        <v>1800</v>
      </c>
      <c r="U21">
        <v>0</v>
      </c>
      <c r="V21" s="3">
        <f t="shared" ref="V21:V33" si="34">V$2*V20</f>
        <v>72.132279032605325</v>
      </c>
    </row>
    <row r="22" spans="1:22" x14ac:dyDescent="0.25">
      <c r="A22">
        <v>19</v>
      </c>
      <c r="B22" s="3">
        <f t="shared" si="1"/>
        <v>84.394766468148219</v>
      </c>
      <c r="C22" s="3">
        <f t="shared" si="20"/>
        <v>118.15267305540749</v>
      </c>
      <c r="D22" s="3">
        <f t="shared" si="21"/>
        <v>135.03162634903717</v>
      </c>
      <c r="E22" s="3">
        <f t="shared" si="21"/>
        <v>135.03162634903717</v>
      </c>
      <c r="F22" s="3">
        <f t="shared" si="21"/>
        <v>13333.389663678083</v>
      </c>
      <c r="G22" s="3">
        <f t="shared" si="21"/>
        <v>13333389.663678082</v>
      </c>
      <c r="H22" s="3">
        <f t="shared" si="22"/>
        <v>9836.6254683301995</v>
      </c>
      <c r="I22" s="3">
        <f t="shared" si="23"/>
        <v>1350.3162634903715</v>
      </c>
      <c r="J22" s="3">
        <f t="shared" si="24"/>
        <v>337.57906587259288</v>
      </c>
      <c r="K22" s="3">
        <f t="shared" si="25"/>
        <v>0</v>
      </c>
      <c r="L22" s="3">
        <f t="shared" si="26"/>
        <v>168.78953293629644</v>
      </c>
      <c r="M22" s="3">
        <f t="shared" si="27"/>
        <v>337.57906587259288</v>
      </c>
      <c r="N22" s="3">
        <f t="shared" si="28"/>
        <v>66.903019721912344</v>
      </c>
      <c r="O22" s="3">
        <f t="shared" si="29"/>
        <v>105.75169184252823</v>
      </c>
      <c r="P22" s="3">
        <f t="shared" si="30"/>
        <v>168.78953293629644</v>
      </c>
      <c r="Q22" s="3">
        <f t="shared" si="31"/>
        <v>0</v>
      </c>
      <c r="R22" s="3">
        <f t="shared" si="32"/>
        <v>0</v>
      </c>
      <c r="S22" s="3">
        <f t="shared" si="33"/>
        <v>33.757906587259292</v>
      </c>
      <c r="T22" s="3">
        <f t="shared" si="18"/>
        <v>1900</v>
      </c>
      <c r="U22">
        <v>0</v>
      </c>
      <c r="V22" s="3">
        <f t="shared" si="34"/>
        <v>84.394766468148219</v>
      </c>
    </row>
    <row r="23" spans="1:22" x14ac:dyDescent="0.25">
      <c r="A23">
        <v>20</v>
      </c>
      <c r="B23" s="3">
        <f t="shared" si="1"/>
        <v>98.741876767733416</v>
      </c>
      <c r="C23" s="3">
        <f t="shared" si="20"/>
        <v>138.23862747482676</v>
      </c>
      <c r="D23" s="3">
        <f t="shared" si="21"/>
        <v>157.98700282837348</v>
      </c>
      <c r="E23" s="3">
        <f t="shared" si="21"/>
        <v>157.98700282837348</v>
      </c>
      <c r="F23" s="3">
        <f t="shared" si="21"/>
        <v>20666.753978701028</v>
      </c>
      <c r="G23" s="3">
        <f t="shared" si="21"/>
        <v>20666753.978701029</v>
      </c>
      <c r="H23" s="3">
        <f t="shared" si="22"/>
        <v>11607.218052629634</v>
      </c>
      <c r="I23" s="3">
        <f t="shared" si="23"/>
        <v>1579.8700282837347</v>
      </c>
      <c r="J23" s="3">
        <f t="shared" si="24"/>
        <v>394.96750707093366</v>
      </c>
      <c r="K23" s="3">
        <f t="shared" si="25"/>
        <v>0</v>
      </c>
      <c r="L23" s="3">
        <f t="shared" si="26"/>
        <v>197.48375353546683</v>
      </c>
      <c r="M23" s="3">
        <f t="shared" si="27"/>
        <v>394.96750707093366</v>
      </c>
      <c r="N23" s="3">
        <f t="shared" si="28"/>
        <v>77.272987778808755</v>
      </c>
      <c r="O23" s="3">
        <f t="shared" si="29"/>
        <v>120.55692870048217</v>
      </c>
      <c r="P23" s="3">
        <f t="shared" si="30"/>
        <v>197.48375353546683</v>
      </c>
      <c r="Q23" s="3">
        <f t="shared" si="31"/>
        <v>0</v>
      </c>
      <c r="R23" s="3">
        <f t="shared" si="32"/>
        <v>0</v>
      </c>
      <c r="S23" s="3">
        <f t="shared" si="33"/>
        <v>39.496750707093369</v>
      </c>
      <c r="T23" s="3">
        <f t="shared" si="18"/>
        <v>2000</v>
      </c>
      <c r="U23">
        <v>0</v>
      </c>
      <c r="V23" s="3">
        <f t="shared" si="34"/>
        <v>98.741876767733416</v>
      </c>
    </row>
    <row r="24" spans="1:22" x14ac:dyDescent="0.25">
      <c r="A24">
        <v>21</v>
      </c>
      <c r="B24" s="3">
        <f t="shared" si="1"/>
        <v>115.52799581824809</v>
      </c>
      <c r="C24" s="3">
        <f t="shared" si="20"/>
        <v>161.73919414554729</v>
      </c>
      <c r="D24" s="3">
        <f t="shared" si="21"/>
        <v>184.84479330919694</v>
      </c>
      <c r="E24" s="3">
        <f t="shared" si="21"/>
        <v>184.84479330919694</v>
      </c>
      <c r="F24" s="3">
        <f t="shared" si="21"/>
        <v>32033.468666986595</v>
      </c>
      <c r="G24" s="3">
        <f t="shared" si="21"/>
        <v>32033468.666986596</v>
      </c>
      <c r="H24" s="3">
        <f t="shared" si="22"/>
        <v>13696.517302102968</v>
      </c>
      <c r="I24" s="3">
        <f t="shared" si="23"/>
        <v>1848.4479330919694</v>
      </c>
      <c r="J24" s="3">
        <f t="shared" si="24"/>
        <v>462.11198327299235</v>
      </c>
      <c r="K24" s="3">
        <f t="shared" si="25"/>
        <v>0</v>
      </c>
      <c r="L24" s="3">
        <f t="shared" si="26"/>
        <v>231.05599163649617</v>
      </c>
      <c r="M24" s="3">
        <f t="shared" si="27"/>
        <v>462.11198327299235</v>
      </c>
      <c r="N24" s="3">
        <f t="shared" si="28"/>
        <v>89.250300884524108</v>
      </c>
      <c r="O24" s="3">
        <f t="shared" si="29"/>
        <v>137.43489871854968</v>
      </c>
      <c r="P24" s="3">
        <f t="shared" si="30"/>
        <v>231.05599163649617</v>
      </c>
      <c r="Q24" s="3">
        <f t="shared" si="31"/>
        <v>0</v>
      </c>
      <c r="R24" s="3">
        <f t="shared" si="32"/>
        <v>0</v>
      </c>
      <c r="S24" s="3">
        <f t="shared" si="33"/>
        <v>46.211198327299236</v>
      </c>
      <c r="T24" s="3">
        <f t="shared" si="18"/>
        <v>2100</v>
      </c>
      <c r="U24">
        <v>0</v>
      </c>
      <c r="V24" s="3">
        <f t="shared" si="34"/>
        <v>115.52799581824809</v>
      </c>
    </row>
    <row r="25" spans="1:22" x14ac:dyDescent="0.25">
      <c r="A25">
        <v>22</v>
      </c>
      <c r="B25" s="3">
        <f t="shared" si="1"/>
        <v>135.16775510735025</v>
      </c>
      <c r="C25" s="3">
        <f t="shared" si="20"/>
        <v>189.23485715029031</v>
      </c>
      <c r="D25" s="3">
        <f t="shared" si="21"/>
        <v>216.2684081717604</v>
      </c>
      <c r="E25" s="3">
        <f t="shared" si="21"/>
        <v>216.2684081717604</v>
      </c>
      <c r="F25" s="3">
        <f t="shared" si="21"/>
        <v>49651.876433829224</v>
      </c>
      <c r="G25" s="3">
        <f t="shared" si="21"/>
        <v>49651876.433829226</v>
      </c>
      <c r="H25" s="3">
        <f t="shared" si="22"/>
        <v>16161.890416481501</v>
      </c>
      <c r="I25" s="3">
        <f t="shared" si="23"/>
        <v>2162.6840817176039</v>
      </c>
      <c r="J25" s="3">
        <f t="shared" si="24"/>
        <v>540.67102042940098</v>
      </c>
      <c r="K25" s="3">
        <f t="shared" si="25"/>
        <v>0</v>
      </c>
      <c r="L25" s="3">
        <f t="shared" si="26"/>
        <v>270.33551021470049</v>
      </c>
      <c r="M25" s="3">
        <f t="shared" si="27"/>
        <v>540.67102042940098</v>
      </c>
      <c r="N25" s="3">
        <f t="shared" si="28"/>
        <v>103.08409752162535</v>
      </c>
      <c r="O25" s="3">
        <f t="shared" si="29"/>
        <v>156.6757845391466</v>
      </c>
      <c r="P25" s="3">
        <f t="shared" si="30"/>
        <v>270.33551021470049</v>
      </c>
      <c r="Q25" s="3">
        <f t="shared" si="31"/>
        <v>0</v>
      </c>
      <c r="R25" s="3">
        <f t="shared" si="32"/>
        <v>0</v>
      </c>
      <c r="S25" s="3">
        <f t="shared" si="33"/>
        <v>54.0671020429401</v>
      </c>
      <c r="T25" s="3">
        <f t="shared" si="18"/>
        <v>2200</v>
      </c>
      <c r="U25">
        <v>0</v>
      </c>
      <c r="V25" s="3">
        <f t="shared" si="34"/>
        <v>135.16775510735025</v>
      </c>
    </row>
    <row r="26" spans="1:22" x14ac:dyDescent="0.25">
      <c r="A26">
        <v>23</v>
      </c>
      <c r="B26" s="3">
        <f t="shared" si="1"/>
        <v>158.14627347559977</v>
      </c>
      <c r="C26" s="3">
        <f t="shared" si="20"/>
        <v>221.40478286583965</v>
      </c>
      <c r="D26" s="3">
        <f t="shared" si="21"/>
        <v>253.03403756095966</v>
      </c>
      <c r="E26" s="3">
        <f t="shared" si="21"/>
        <v>253.03403756095966</v>
      </c>
      <c r="F26" s="3">
        <f t="shared" si="21"/>
        <v>76960.408472435302</v>
      </c>
      <c r="G26" s="3">
        <f t="shared" si="21"/>
        <v>76960408.472435296</v>
      </c>
      <c r="H26" s="3">
        <f t="shared" si="22"/>
        <v>19071.03069144817</v>
      </c>
      <c r="I26" s="3">
        <f t="shared" si="23"/>
        <v>2530.3403756095963</v>
      </c>
      <c r="J26" s="3">
        <f t="shared" si="24"/>
        <v>632.58509390239908</v>
      </c>
      <c r="K26" s="3">
        <f t="shared" si="25"/>
        <v>0</v>
      </c>
      <c r="L26" s="3">
        <f t="shared" si="26"/>
        <v>316.29254695119954</v>
      </c>
      <c r="M26" s="3">
        <f t="shared" si="27"/>
        <v>632.58509390239908</v>
      </c>
      <c r="N26" s="3">
        <f t="shared" si="28"/>
        <v>119.06213263747729</v>
      </c>
      <c r="O26" s="3">
        <f t="shared" si="29"/>
        <v>178.61039437462711</v>
      </c>
      <c r="P26" s="3">
        <f t="shared" si="30"/>
        <v>316.29254695119954</v>
      </c>
      <c r="Q26" s="3">
        <f t="shared" si="31"/>
        <v>0</v>
      </c>
      <c r="R26" s="3">
        <f t="shared" si="32"/>
        <v>0</v>
      </c>
      <c r="S26" s="3">
        <f t="shared" si="33"/>
        <v>63.258509390239915</v>
      </c>
      <c r="T26" s="3">
        <f t="shared" si="18"/>
        <v>2300</v>
      </c>
      <c r="U26">
        <v>0</v>
      </c>
      <c r="V26" s="3">
        <f t="shared" si="34"/>
        <v>158.14627347559977</v>
      </c>
    </row>
    <row r="27" spans="1:22" x14ac:dyDescent="0.25">
      <c r="A27">
        <v>24</v>
      </c>
      <c r="B27" s="3">
        <f t="shared" si="1"/>
        <v>185.03113996645172</v>
      </c>
      <c r="C27" s="3">
        <f t="shared" si="20"/>
        <v>259.04359595303237</v>
      </c>
      <c r="D27" s="3">
        <f t="shared" si="21"/>
        <v>296.04982394632276</v>
      </c>
      <c r="E27" s="3">
        <f t="shared" si="21"/>
        <v>296.04982394632276</v>
      </c>
      <c r="F27" s="3">
        <f t="shared" si="21"/>
        <v>119288.63313227471</v>
      </c>
      <c r="G27" s="3">
        <f t="shared" si="21"/>
        <v>119288633.13227472</v>
      </c>
      <c r="H27" s="3">
        <f t="shared" si="22"/>
        <v>22503.816215908839</v>
      </c>
      <c r="I27" s="3">
        <f t="shared" si="23"/>
        <v>2960.4982394632275</v>
      </c>
      <c r="J27" s="3">
        <f t="shared" si="24"/>
        <v>740.12455986580687</v>
      </c>
      <c r="K27" s="3">
        <f t="shared" si="25"/>
        <v>0</v>
      </c>
      <c r="L27" s="3">
        <f t="shared" si="26"/>
        <v>370.06227993290344</v>
      </c>
      <c r="M27" s="3">
        <f t="shared" si="27"/>
        <v>740.12455986580687</v>
      </c>
      <c r="N27" s="3">
        <f t="shared" si="28"/>
        <v>137.51676319628626</v>
      </c>
      <c r="O27" s="3">
        <f t="shared" si="29"/>
        <v>203.61584958707488</v>
      </c>
      <c r="P27" s="3">
        <f t="shared" si="30"/>
        <v>370.06227993290344</v>
      </c>
      <c r="Q27" s="3">
        <f t="shared" si="31"/>
        <v>0</v>
      </c>
      <c r="R27" s="3">
        <f t="shared" si="32"/>
        <v>0</v>
      </c>
      <c r="S27" s="3">
        <f t="shared" si="33"/>
        <v>74.01245598658069</v>
      </c>
      <c r="T27" s="3">
        <f t="shared" si="18"/>
        <v>2400</v>
      </c>
      <c r="U27">
        <v>0</v>
      </c>
      <c r="V27" s="3">
        <f t="shared" si="34"/>
        <v>185.03113996645172</v>
      </c>
    </row>
    <row r="28" spans="1:22" x14ac:dyDescent="0.25">
      <c r="A28">
        <v>25</v>
      </c>
      <c r="B28" s="3">
        <f t="shared" si="1"/>
        <v>216.4864337607485</v>
      </c>
      <c r="C28" s="3">
        <f t="shared" si="20"/>
        <v>303.08100726504784</v>
      </c>
      <c r="D28" s="3">
        <f t="shared" si="21"/>
        <v>346.37829401719762</v>
      </c>
      <c r="E28" s="3">
        <f t="shared" si="21"/>
        <v>346.37829401719762</v>
      </c>
      <c r="F28" s="3">
        <f t="shared" si="21"/>
        <v>184897.38135502581</v>
      </c>
      <c r="G28" s="3">
        <f t="shared" si="21"/>
        <v>184897381.35502583</v>
      </c>
      <c r="H28" s="3">
        <f t="shared" si="22"/>
        <v>26554.503134772429</v>
      </c>
      <c r="I28" s="3">
        <f t="shared" si="23"/>
        <v>3463.782940171976</v>
      </c>
      <c r="J28" s="3">
        <f t="shared" si="24"/>
        <v>865.94573504299399</v>
      </c>
      <c r="K28" s="3">
        <f t="shared" si="25"/>
        <v>0</v>
      </c>
      <c r="L28" s="3">
        <f t="shared" si="26"/>
        <v>432.97286752149699</v>
      </c>
      <c r="M28" s="3">
        <f t="shared" si="27"/>
        <v>865.94573504299399</v>
      </c>
      <c r="N28" s="3">
        <f t="shared" si="28"/>
        <v>158.83186149171064</v>
      </c>
      <c r="O28" s="3">
        <f t="shared" si="29"/>
        <v>232.12206852926533</v>
      </c>
      <c r="P28" s="3">
        <f t="shared" si="30"/>
        <v>432.97286752149699</v>
      </c>
      <c r="Q28" s="3">
        <f t="shared" si="31"/>
        <v>0</v>
      </c>
      <c r="R28" s="3">
        <f t="shared" si="32"/>
        <v>0</v>
      </c>
      <c r="S28" s="3">
        <f t="shared" si="33"/>
        <v>86.594573504299404</v>
      </c>
      <c r="T28" s="3">
        <f t="shared" si="18"/>
        <v>2500</v>
      </c>
      <c r="U28">
        <v>0</v>
      </c>
      <c r="V28" s="3">
        <f t="shared" si="34"/>
        <v>216.4864337607485</v>
      </c>
    </row>
    <row r="29" spans="1:22" x14ac:dyDescent="0.25">
      <c r="A29">
        <v>26</v>
      </c>
      <c r="B29" s="3">
        <f t="shared" si="1"/>
        <v>253.28912750007572</v>
      </c>
      <c r="C29" s="3">
        <f t="shared" si="20"/>
        <v>354.60477850010597</v>
      </c>
      <c r="D29" s="3">
        <f t="shared" si="21"/>
        <v>405.2626040001212</v>
      </c>
      <c r="E29" s="3">
        <f t="shared" si="21"/>
        <v>405.2626040001212</v>
      </c>
      <c r="F29" s="3">
        <f t="shared" si="21"/>
        <v>286590.94110028999</v>
      </c>
      <c r="G29" s="3">
        <f t="shared" si="21"/>
        <v>286590941.10029006</v>
      </c>
      <c r="H29" s="3">
        <f t="shared" si="22"/>
        <v>31334.313699031463</v>
      </c>
      <c r="I29" s="3">
        <f t="shared" si="23"/>
        <v>4052.6260400012115</v>
      </c>
      <c r="J29" s="3">
        <f t="shared" si="24"/>
        <v>1013.1565100003029</v>
      </c>
      <c r="K29" s="3">
        <f t="shared" si="25"/>
        <v>0</v>
      </c>
      <c r="L29" s="3">
        <f t="shared" si="26"/>
        <v>506.57825500015144</v>
      </c>
      <c r="M29" s="3">
        <f t="shared" si="27"/>
        <v>1013.1565100003029</v>
      </c>
      <c r="N29" s="3">
        <f t="shared" si="28"/>
        <v>183.45080002292579</v>
      </c>
      <c r="O29" s="3">
        <f t="shared" si="29"/>
        <v>264.61915812336247</v>
      </c>
      <c r="P29" s="3">
        <f t="shared" si="30"/>
        <v>506.57825500015144</v>
      </c>
      <c r="Q29" s="3">
        <f t="shared" si="31"/>
        <v>0</v>
      </c>
      <c r="R29" s="3">
        <f t="shared" si="32"/>
        <v>0</v>
      </c>
      <c r="S29" s="3">
        <f t="shared" si="33"/>
        <v>101.3156510000303</v>
      </c>
      <c r="T29" s="3">
        <f t="shared" si="18"/>
        <v>2600</v>
      </c>
      <c r="U29">
        <v>0</v>
      </c>
      <c r="V29" s="3">
        <f t="shared" si="34"/>
        <v>253.28912750007572</v>
      </c>
    </row>
    <row r="30" spans="1:22" x14ac:dyDescent="0.25">
      <c r="A30">
        <v>27</v>
      </c>
      <c r="B30" s="3">
        <f t="shared" si="1"/>
        <v>296.34827917508858</v>
      </c>
      <c r="C30" s="3">
        <f t="shared" si="20"/>
        <v>414.88759084512395</v>
      </c>
      <c r="D30" s="3">
        <f t="shared" si="21"/>
        <v>474.15724668014178</v>
      </c>
      <c r="E30" s="3">
        <f t="shared" si="21"/>
        <v>474.15724668014178</v>
      </c>
      <c r="F30" s="3">
        <f t="shared" si="21"/>
        <v>444215.95870544948</v>
      </c>
      <c r="G30" s="3">
        <f t="shared" si="21"/>
        <v>444215958.70544958</v>
      </c>
      <c r="H30" s="3">
        <f t="shared" si="22"/>
        <v>36974.490164857125</v>
      </c>
      <c r="I30" s="3">
        <f t="shared" si="23"/>
        <v>4741.5724668014172</v>
      </c>
      <c r="J30" s="3">
        <f t="shared" si="24"/>
        <v>1185.3931167003543</v>
      </c>
      <c r="K30" s="3">
        <f t="shared" si="25"/>
        <v>0</v>
      </c>
      <c r="L30" s="3">
        <f t="shared" si="26"/>
        <v>592.69655835017716</v>
      </c>
      <c r="M30" s="3">
        <f t="shared" si="27"/>
        <v>1185.3931167003543</v>
      </c>
      <c r="N30" s="3">
        <f t="shared" si="28"/>
        <v>211.88567402647928</v>
      </c>
      <c r="O30" s="3">
        <f t="shared" si="29"/>
        <v>301.66584026063316</v>
      </c>
      <c r="P30" s="3">
        <f t="shared" si="30"/>
        <v>592.69655835017716</v>
      </c>
      <c r="Q30" s="3">
        <f t="shared" si="31"/>
        <v>0</v>
      </c>
      <c r="R30" s="3">
        <f t="shared" si="32"/>
        <v>0</v>
      </c>
      <c r="S30" s="3">
        <f t="shared" si="33"/>
        <v>118.53931167003545</v>
      </c>
      <c r="T30" s="3">
        <f t="shared" si="18"/>
        <v>2700</v>
      </c>
      <c r="U30">
        <v>0</v>
      </c>
      <c r="V30" s="3">
        <f t="shared" si="34"/>
        <v>296.34827917508858</v>
      </c>
    </row>
    <row r="31" spans="1:22" x14ac:dyDescent="0.25">
      <c r="A31">
        <v>28</v>
      </c>
      <c r="B31" s="3">
        <f t="shared" si="1"/>
        <v>346.72748663485362</v>
      </c>
      <c r="C31" s="3">
        <f t="shared" si="20"/>
        <v>485.41848128879502</v>
      </c>
      <c r="D31" s="3">
        <f t="shared" si="21"/>
        <v>554.76397861576584</v>
      </c>
      <c r="E31" s="3">
        <f t="shared" si="21"/>
        <v>554.76397861576584</v>
      </c>
      <c r="F31" s="3">
        <f t="shared" si="21"/>
        <v>688534.73599344667</v>
      </c>
      <c r="G31" s="3">
        <f t="shared" si="21"/>
        <v>688534735.99344683</v>
      </c>
      <c r="H31" s="3">
        <f t="shared" si="22"/>
        <v>43629.898394531403</v>
      </c>
      <c r="I31" s="3">
        <f t="shared" si="23"/>
        <v>5547.6397861576579</v>
      </c>
      <c r="J31" s="3">
        <f t="shared" si="24"/>
        <v>1386.9099465394145</v>
      </c>
      <c r="K31" s="3">
        <f t="shared" si="25"/>
        <v>0</v>
      </c>
      <c r="L31" s="3">
        <f t="shared" si="26"/>
        <v>693.45497326970724</v>
      </c>
      <c r="M31" s="3">
        <f t="shared" si="27"/>
        <v>1386.9099465394145</v>
      </c>
      <c r="N31" s="3">
        <f t="shared" si="28"/>
        <v>244.72795350058357</v>
      </c>
      <c r="O31" s="3">
        <f t="shared" si="29"/>
        <v>343.89905789712179</v>
      </c>
      <c r="P31" s="3">
        <f t="shared" si="30"/>
        <v>693.45497326970724</v>
      </c>
      <c r="Q31" s="3">
        <f t="shared" si="31"/>
        <v>0</v>
      </c>
      <c r="R31" s="3">
        <f t="shared" si="32"/>
        <v>0</v>
      </c>
      <c r="S31" s="3">
        <f t="shared" si="33"/>
        <v>138.69099465394146</v>
      </c>
      <c r="T31" s="3">
        <f t="shared" si="18"/>
        <v>2800</v>
      </c>
      <c r="U31">
        <v>0</v>
      </c>
      <c r="V31" s="3">
        <f t="shared" si="34"/>
        <v>346.72748663485362</v>
      </c>
    </row>
    <row r="32" spans="1:22" x14ac:dyDescent="0.25">
      <c r="A32">
        <v>29</v>
      </c>
      <c r="B32" s="3">
        <f t="shared" si="1"/>
        <v>405.67115936277872</v>
      </c>
      <c r="C32" s="3">
        <f t="shared" si="20"/>
        <v>567.93962310789016</v>
      </c>
      <c r="D32" s="3">
        <f t="shared" si="21"/>
        <v>649.07385498044596</v>
      </c>
      <c r="E32" s="3">
        <f t="shared" si="21"/>
        <v>649.07385498044596</v>
      </c>
      <c r="F32" s="3">
        <f t="shared" si="21"/>
        <v>1067228.8407898424</v>
      </c>
      <c r="G32" s="3">
        <f t="shared" si="21"/>
        <v>1067228840.7898426</v>
      </c>
      <c r="H32" s="3">
        <f t="shared" si="22"/>
        <v>51483.280105547055</v>
      </c>
      <c r="I32" s="3">
        <f t="shared" si="23"/>
        <v>6490.7385498044596</v>
      </c>
      <c r="J32" s="3">
        <f t="shared" si="24"/>
        <v>1622.6846374511149</v>
      </c>
      <c r="K32" s="3">
        <f t="shared" si="25"/>
        <v>0</v>
      </c>
      <c r="L32" s="3">
        <f t="shared" si="26"/>
        <v>811.34231872555745</v>
      </c>
      <c r="M32" s="3">
        <f t="shared" si="27"/>
        <v>1622.6846374511149</v>
      </c>
      <c r="N32" s="3">
        <f t="shared" si="28"/>
        <v>282.660786293174</v>
      </c>
      <c r="O32" s="3">
        <f t="shared" si="29"/>
        <v>392.0449260027188</v>
      </c>
      <c r="P32" s="3">
        <f t="shared" si="30"/>
        <v>811.34231872555745</v>
      </c>
      <c r="Q32" s="3">
        <f t="shared" si="31"/>
        <v>0</v>
      </c>
      <c r="R32" s="3">
        <f t="shared" si="32"/>
        <v>0</v>
      </c>
      <c r="S32" s="3">
        <f t="shared" si="33"/>
        <v>162.26846374511149</v>
      </c>
      <c r="T32" s="3">
        <f t="shared" si="18"/>
        <v>2900</v>
      </c>
      <c r="U32">
        <v>0</v>
      </c>
      <c r="V32" s="3">
        <f t="shared" si="34"/>
        <v>405.67115936277872</v>
      </c>
    </row>
    <row r="33" spans="1:22" x14ac:dyDescent="0.25">
      <c r="A33">
        <v>30</v>
      </c>
      <c r="B33" s="3">
        <f t="shared" si="1"/>
        <v>474.63525645445105</v>
      </c>
      <c r="C33" s="3">
        <f t="shared" si="20"/>
        <v>664.48935903623146</v>
      </c>
      <c r="D33" s="3">
        <f t="shared" si="21"/>
        <v>759.41641032712175</v>
      </c>
      <c r="E33" s="3">
        <f t="shared" si="21"/>
        <v>759.41641032712175</v>
      </c>
      <c r="F33" s="3">
        <f t="shared" si="21"/>
        <v>1654204.7032242557</v>
      </c>
      <c r="G33" s="3">
        <f t="shared" si="21"/>
        <v>1654204703.224256</v>
      </c>
      <c r="H33" s="3">
        <f t="shared" si="22"/>
        <v>60750.270524545522</v>
      </c>
      <c r="I33" s="3">
        <f t="shared" si="23"/>
        <v>7594.1641032712168</v>
      </c>
      <c r="J33" s="3">
        <f t="shared" si="24"/>
        <v>1898.5410258178042</v>
      </c>
      <c r="K33" s="3">
        <f t="shared" si="25"/>
        <v>0</v>
      </c>
      <c r="L33" s="3">
        <f t="shared" si="26"/>
        <v>949.27051290890211</v>
      </c>
      <c r="M33" s="3">
        <f t="shared" si="27"/>
        <v>1898.5410258178042</v>
      </c>
      <c r="N33" s="3">
        <f t="shared" si="28"/>
        <v>326.473208168616</v>
      </c>
      <c r="O33" s="3">
        <f t="shared" si="29"/>
        <v>446.93121564309939</v>
      </c>
      <c r="P33" s="3">
        <f t="shared" si="30"/>
        <v>949.27051290890211</v>
      </c>
      <c r="Q33" s="3">
        <f t="shared" si="31"/>
        <v>0</v>
      </c>
      <c r="R33" s="3">
        <f t="shared" si="32"/>
        <v>0</v>
      </c>
      <c r="S33" s="3">
        <f t="shared" si="33"/>
        <v>189.85410258178044</v>
      </c>
      <c r="T33" s="3">
        <f t="shared" si="18"/>
        <v>3000</v>
      </c>
      <c r="U33">
        <v>0</v>
      </c>
      <c r="V33" s="3">
        <f t="shared" si="34"/>
        <v>474.63525645445105</v>
      </c>
    </row>
  </sheetData>
  <pageMargins left="0.7" right="0.7" top="0.75" bottom="0.75" header="0.3" footer="0.3"/>
  <pageSetup paperSize="9"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8"/>
  <dimension ref="A1:U73"/>
  <sheetViews>
    <sheetView workbookViewId="0">
      <selection activeCell="G9" sqref="G9"/>
    </sheetView>
  </sheetViews>
  <sheetFormatPr baseColWidth="10" defaultRowHeight="15" x14ac:dyDescent="0.25"/>
  <sheetData>
    <row r="1" spans="1:21" x14ac:dyDescent="0.25">
      <c r="B1" s="1" t="s">
        <v>0</v>
      </c>
      <c r="C1" s="1" t="s">
        <v>1</v>
      </c>
      <c r="D1" s="1" t="s">
        <v>2</v>
      </c>
      <c r="E1" s="1" t="s">
        <v>3</v>
      </c>
      <c r="F1" s="275" t="s">
        <v>59</v>
      </c>
      <c r="G1" s="275" t="s">
        <v>60</v>
      </c>
      <c r="H1" s="275" t="s">
        <v>64</v>
      </c>
      <c r="I1" s="1" t="s">
        <v>4</v>
      </c>
      <c r="J1" s="1" t="s">
        <v>5</v>
      </c>
      <c r="K1" s="1" t="s">
        <v>6</v>
      </c>
      <c r="L1" s="1" t="s">
        <v>7</v>
      </c>
      <c r="M1" s="1" t="s">
        <v>8</v>
      </c>
      <c r="N1" s="1" t="s">
        <v>9</v>
      </c>
      <c r="O1" s="1" t="s">
        <v>10</v>
      </c>
      <c r="P1" s="1" t="s">
        <v>11</v>
      </c>
      <c r="Q1" s="1" t="s">
        <v>12</v>
      </c>
      <c r="R1" s="1" t="s">
        <v>13</v>
      </c>
      <c r="S1" s="1" t="s">
        <v>14</v>
      </c>
      <c r="T1" s="1" t="s">
        <v>15</v>
      </c>
    </row>
    <row r="2" spans="1:21" x14ac:dyDescent="0.25">
      <c r="A2" t="s">
        <v>20</v>
      </c>
      <c r="B2">
        <v>1.2</v>
      </c>
      <c r="C2">
        <v>1.2</v>
      </c>
      <c r="D2">
        <v>1.2</v>
      </c>
      <c r="E2">
        <v>1.2</v>
      </c>
      <c r="F2">
        <v>1.2</v>
      </c>
      <c r="G2">
        <v>1.2</v>
      </c>
      <c r="H2">
        <v>1.2</v>
      </c>
      <c r="I2">
        <v>1.2</v>
      </c>
      <c r="J2">
        <v>1.2</v>
      </c>
      <c r="K2">
        <v>1.2</v>
      </c>
      <c r="L2">
        <v>1.2</v>
      </c>
      <c r="M2">
        <v>1.2</v>
      </c>
      <c r="N2">
        <v>1.2</v>
      </c>
      <c r="O2">
        <v>1.2</v>
      </c>
      <c r="P2">
        <v>1.2</v>
      </c>
      <c r="Q2">
        <v>1.2</v>
      </c>
      <c r="R2">
        <v>1.2</v>
      </c>
      <c r="S2">
        <v>1.2</v>
      </c>
      <c r="T2">
        <v>1.2</v>
      </c>
    </row>
    <row r="3" spans="1:21" x14ac:dyDescent="0.25">
      <c r="A3">
        <v>1</v>
      </c>
      <c r="B3">
        <v>10</v>
      </c>
      <c r="C3">
        <v>16</v>
      </c>
      <c r="D3">
        <v>20</v>
      </c>
      <c r="E3">
        <v>24</v>
      </c>
      <c r="F3">
        <v>10</v>
      </c>
      <c r="G3">
        <v>10</v>
      </c>
      <c r="H3">
        <v>42</v>
      </c>
      <c r="I3">
        <v>512</v>
      </c>
      <c r="J3">
        <v>19</v>
      </c>
      <c r="K3">
        <v>0</v>
      </c>
      <c r="L3">
        <v>24</v>
      </c>
      <c r="M3">
        <v>10</v>
      </c>
      <c r="N3">
        <v>6</v>
      </c>
      <c r="O3">
        <v>6</v>
      </c>
      <c r="P3">
        <v>6</v>
      </c>
      <c r="Q3">
        <v>5</v>
      </c>
      <c r="R3">
        <v>6</v>
      </c>
      <c r="S3">
        <v>5</v>
      </c>
      <c r="T3">
        <v>8</v>
      </c>
    </row>
    <row r="4" spans="1:21" x14ac:dyDescent="0.25">
      <c r="A4">
        <v>2</v>
      </c>
      <c r="B4">
        <v>12</v>
      </c>
      <c r="C4">
        <v>19</v>
      </c>
      <c r="D4">
        <v>24</v>
      </c>
      <c r="E4">
        <v>29</v>
      </c>
      <c r="G4">
        <v>12</v>
      </c>
      <c r="H4">
        <v>50</v>
      </c>
      <c r="I4">
        <v>614</v>
      </c>
      <c r="J4">
        <v>23</v>
      </c>
      <c r="M4">
        <v>12</v>
      </c>
      <c r="N4">
        <v>7</v>
      </c>
      <c r="O4">
        <v>7</v>
      </c>
      <c r="P4">
        <v>7</v>
      </c>
      <c r="Q4">
        <v>6</v>
      </c>
      <c r="R4">
        <v>7</v>
      </c>
      <c r="S4">
        <v>6</v>
      </c>
      <c r="T4">
        <v>10</v>
      </c>
      <c r="U4" s="61"/>
    </row>
    <row r="5" spans="1:21" x14ac:dyDescent="0.25">
      <c r="A5">
        <v>3</v>
      </c>
      <c r="B5">
        <v>14</v>
      </c>
      <c r="C5">
        <v>23</v>
      </c>
      <c r="D5">
        <v>29</v>
      </c>
      <c r="E5">
        <v>35</v>
      </c>
      <c r="G5">
        <v>14</v>
      </c>
      <c r="H5">
        <v>60</v>
      </c>
      <c r="I5">
        <v>737</v>
      </c>
      <c r="J5">
        <v>27</v>
      </c>
      <c r="M5">
        <v>14</v>
      </c>
      <c r="N5">
        <v>9</v>
      </c>
      <c r="O5">
        <v>9</v>
      </c>
      <c r="P5">
        <v>9</v>
      </c>
      <c r="Q5">
        <v>7</v>
      </c>
      <c r="R5">
        <v>9</v>
      </c>
      <c r="S5">
        <v>7</v>
      </c>
      <c r="T5">
        <v>12</v>
      </c>
      <c r="U5" s="61"/>
    </row>
    <row r="6" spans="1:21" x14ac:dyDescent="0.25">
      <c r="A6">
        <v>4</v>
      </c>
      <c r="B6">
        <v>17</v>
      </c>
      <c r="C6">
        <v>28</v>
      </c>
      <c r="D6">
        <v>35</v>
      </c>
      <c r="E6">
        <v>41</v>
      </c>
      <c r="H6">
        <v>73</v>
      </c>
      <c r="J6">
        <v>33</v>
      </c>
      <c r="M6">
        <v>17</v>
      </c>
      <c r="N6">
        <v>10</v>
      </c>
      <c r="O6">
        <v>10</v>
      </c>
      <c r="P6">
        <v>10</v>
      </c>
      <c r="Q6">
        <v>9</v>
      </c>
      <c r="R6">
        <v>10</v>
      </c>
      <c r="S6">
        <v>9</v>
      </c>
      <c r="T6">
        <v>14</v>
      </c>
      <c r="U6" s="61"/>
    </row>
    <row r="7" spans="1:21" x14ac:dyDescent="0.25">
      <c r="A7">
        <v>5</v>
      </c>
      <c r="B7">
        <v>21</v>
      </c>
      <c r="C7">
        <v>33</v>
      </c>
      <c r="D7">
        <v>41</v>
      </c>
      <c r="E7">
        <v>50</v>
      </c>
      <c r="H7">
        <v>87</v>
      </c>
      <c r="J7">
        <v>39</v>
      </c>
      <c r="M7">
        <v>21</v>
      </c>
      <c r="N7">
        <v>12</v>
      </c>
      <c r="O7">
        <v>12</v>
      </c>
      <c r="P7">
        <v>12</v>
      </c>
      <c r="Q7">
        <v>10</v>
      </c>
      <c r="R7">
        <v>12</v>
      </c>
      <c r="S7">
        <v>10</v>
      </c>
      <c r="T7">
        <v>17</v>
      </c>
      <c r="U7" s="61"/>
    </row>
    <row r="8" spans="1:21" x14ac:dyDescent="0.25">
      <c r="A8">
        <v>6</v>
      </c>
      <c r="B8">
        <v>25</v>
      </c>
      <c r="C8">
        <v>40</v>
      </c>
      <c r="D8">
        <v>50</v>
      </c>
      <c r="E8">
        <v>60</v>
      </c>
      <c r="H8">
        <v>105</v>
      </c>
      <c r="J8">
        <v>47</v>
      </c>
      <c r="M8">
        <v>25</v>
      </c>
      <c r="N8">
        <v>15</v>
      </c>
      <c r="O8">
        <v>15</v>
      </c>
      <c r="P8">
        <v>15</v>
      </c>
      <c r="Q8">
        <v>12</v>
      </c>
      <c r="R8">
        <v>15</v>
      </c>
      <c r="S8">
        <v>12</v>
      </c>
      <c r="T8">
        <v>20</v>
      </c>
      <c r="U8" s="61"/>
    </row>
    <row r="9" spans="1:21" x14ac:dyDescent="0.25">
      <c r="A9">
        <v>7</v>
      </c>
      <c r="B9">
        <v>30</v>
      </c>
      <c r="C9">
        <v>48</v>
      </c>
      <c r="D9">
        <v>60</v>
      </c>
      <c r="E9">
        <v>72</v>
      </c>
      <c r="H9">
        <v>125</v>
      </c>
      <c r="J9">
        <v>57</v>
      </c>
      <c r="M9">
        <v>30</v>
      </c>
      <c r="N9">
        <v>18</v>
      </c>
      <c r="O9">
        <v>18</v>
      </c>
      <c r="P9">
        <v>18</v>
      </c>
      <c r="Q9">
        <v>15</v>
      </c>
      <c r="R9">
        <v>18</v>
      </c>
      <c r="S9">
        <v>15</v>
      </c>
      <c r="T9">
        <v>24</v>
      </c>
      <c r="U9" s="61"/>
    </row>
    <row r="10" spans="1:21" x14ac:dyDescent="0.25">
      <c r="A10">
        <v>8</v>
      </c>
      <c r="B10">
        <v>36</v>
      </c>
      <c r="C10">
        <v>57</v>
      </c>
      <c r="D10">
        <v>72</v>
      </c>
      <c r="E10">
        <v>86</v>
      </c>
      <c r="H10">
        <v>150</v>
      </c>
      <c r="J10">
        <v>68</v>
      </c>
      <c r="M10">
        <v>36</v>
      </c>
      <c r="N10">
        <v>21</v>
      </c>
      <c r="O10">
        <v>21</v>
      </c>
      <c r="P10">
        <v>21</v>
      </c>
      <c r="Q10">
        <v>18</v>
      </c>
      <c r="R10">
        <v>21</v>
      </c>
      <c r="S10">
        <v>18</v>
      </c>
      <c r="T10">
        <v>29</v>
      </c>
      <c r="U10" s="61"/>
    </row>
    <row r="11" spans="1:21" x14ac:dyDescent="0.25">
      <c r="A11">
        <v>9</v>
      </c>
      <c r="B11">
        <v>43</v>
      </c>
      <c r="C11">
        <v>69</v>
      </c>
      <c r="D11">
        <v>86</v>
      </c>
      <c r="E11">
        <v>103</v>
      </c>
      <c r="H11">
        <v>181</v>
      </c>
      <c r="J11">
        <v>82</v>
      </c>
      <c r="M11">
        <v>43</v>
      </c>
      <c r="N11">
        <v>26</v>
      </c>
      <c r="O11">
        <v>26</v>
      </c>
      <c r="P11">
        <v>26</v>
      </c>
      <c r="Q11">
        <v>21</v>
      </c>
      <c r="R11">
        <v>26</v>
      </c>
      <c r="S11">
        <v>21</v>
      </c>
      <c r="T11">
        <v>34</v>
      </c>
      <c r="U11" s="61"/>
    </row>
    <row r="12" spans="1:21" x14ac:dyDescent="0.25">
      <c r="A12">
        <v>10</v>
      </c>
      <c r="B12">
        <v>52</v>
      </c>
      <c r="C12">
        <v>83</v>
      </c>
      <c r="D12">
        <v>103</v>
      </c>
      <c r="E12">
        <v>124</v>
      </c>
      <c r="H12">
        <v>217</v>
      </c>
      <c r="J12">
        <v>98</v>
      </c>
      <c r="M12">
        <v>52</v>
      </c>
      <c r="N12">
        <v>31</v>
      </c>
      <c r="O12">
        <v>31</v>
      </c>
      <c r="P12">
        <v>31</v>
      </c>
      <c r="Q12">
        <v>26</v>
      </c>
      <c r="R12">
        <v>31</v>
      </c>
      <c r="S12">
        <v>26</v>
      </c>
      <c r="T12">
        <v>41</v>
      </c>
      <c r="U12" s="61"/>
    </row>
    <row r="13" spans="1:21" x14ac:dyDescent="0.25">
      <c r="A13">
        <v>11</v>
      </c>
      <c r="B13">
        <v>62</v>
      </c>
      <c r="C13">
        <v>99</v>
      </c>
      <c r="D13">
        <v>124</v>
      </c>
      <c r="E13">
        <v>149</v>
      </c>
      <c r="H13">
        <v>260</v>
      </c>
      <c r="J13">
        <v>118</v>
      </c>
      <c r="M13">
        <v>62</v>
      </c>
      <c r="N13">
        <v>37</v>
      </c>
      <c r="O13">
        <v>37</v>
      </c>
      <c r="P13">
        <v>37</v>
      </c>
      <c r="Q13">
        <v>31</v>
      </c>
      <c r="R13">
        <v>37</v>
      </c>
      <c r="T13">
        <v>50</v>
      </c>
      <c r="U13" s="61"/>
    </row>
    <row r="14" spans="1:21" x14ac:dyDescent="0.25">
      <c r="A14">
        <v>12</v>
      </c>
      <c r="B14">
        <v>74</v>
      </c>
      <c r="C14">
        <v>119</v>
      </c>
      <c r="D14">
        <v>149</v>
      </c>
      <c r="E14">
        <v>178</v>
      </c>
      <c r="H14">
        <v>312</v>
      </c>
      <c r="J14">
        <v>141</v>
      </c>
      <c r="M14">
        <v>74</v>
      </c>
      <c r="N14">
        <v>45</v>
      </c>
      <c r="O14">
        <v>45</v>
      </c>
      <c r="P14">
        <v>45</v>
      </c>
      <c r="Q14">
        <v>37</v>
      </c>
      <c r="R14">
        <v>45</v>
      </c>
      <c r="T14">
        <v>59</v>
      </c>
      <c r="U14" s="61"/>
    </row>
    <row r="15" spans="1:21" x14ac:dyDescent="0.25">
      <c r="A15">
        <v>13</v>
      </c>
      <c r="B15">
        <v>89</v>
      </c>
      <c r="C15">
        <v>143</v>
      </c>
      <c r="D15">
        <v>178</v>
      </c>
      <c r="E15">
        <v>214</v>
      </c>
      <c r="H15">
        <v>374</v>
      </c>
      <c r="J15">
        <v>169</v>
      </c>
      <c r="M15">
        <v>89</v>
      </c>
      <c r="N15">
        <v>53</v>
      </c>
      <c r="O15">
        <v>53</v>
      </c>
      <c r="P15">
        <v>53</v>
      </c>
      <c r="Q15">
        <v>45</v>
      </c>
      <c r="R15">
        <v>53</v>
      </c>
      <c r="T15">
        <v>71</v>
      </c>
      <c r="U15" s="61"/>
    </row>
    <row r="16" spans="1:21" x14ac:dyDescent="0.25">
      <c r="A16">
        <v>14</v>
      </c>
      <c r="B16">
        <v>107</v>
      </c>
      <c r="C16">
        <v>171</v>
      </c>
      <c r="D16">
        <v>214</v>
      </c>
      <c r="E16">
        <v>257</v>
      </c>
      <c r="H16">
        <v>449</v>
      </c>
      <c r="J16">
        <v>203</v>
      </c>
      <c r="M16">
        <v>107</v>
      </c>
      <c r="N16">
        <v>64</v>
      </c>
      <c r="O16">
        <v>64</v>
      </c>
      <c r="P16">
        <v>64</v>
      </c>
      <c r="Q16">
        <v>53</v>
      </c>
      <c r="R16">
        <v>64</v>
      </c>
      <c r="T16">
        <v>86</v>
      </c>
      <c r="U16" s="61"/>
    </row>
    <row r="17" spans="1:21" x14ac:dyDescent="0.25">
      <c r="A17">
        <v>15</v>
      </c>
      <c r="B17">
        <v>128</v>
      </c>
      <c r="C17">
        <v>205</v>
      </c>
      <c r="D17">
        <v>257</v>
      </c>
      <c r="E17">
        <v>308</v>
      </c>
      <c r="H17">
        <v>539</v>
      </c>
      <c r="J17">
        <v>244</v>
      </c>
      <c r="M17">
        <v>128</v>
      </c>
      <c r="N17">
        <v>77</v>
      </c>
      <c r="O17">
        <v>77</v>
      </c>
      <c r="P17">
        <v>77</v>
      </c>
      <c r="Q17">
        <v>64</v>
      </c>
      <c r="R17">
        <v>77</v>
      </c>
      <c r="T17">
        <v>103</v>
      </c>
      <c r="U17" s="61"/>
    </row>
    <row r="18" spans="1:21" x14ac:dyDescent="0.25">
      <c r="A18">
        <v>16</v>
      </c>
      <c r="B18">
        <v>154</v>
      </c>
      <c r="C18">
        <v>247</v>
      </c>
      <c r="D18">
        <v>308</v>
      </c>
      <c r="H18">
        <v>647</v>
      </c>
      <c r="J18">
        <v>293</v>
      </c>
      <c r="M18">
        <v>154</v>
      </c>
      <c r="N18">
        <v>92</v>
      </c>
      <c r="O18">
        <v>92</v>
      </c>
      <c r="P18">
        <v>92</v>
      </c>
      <c r="Q18">
        <v>77</v>
      </c>
      <c r="R18">
        <v>92</v>
      </c>
      <c r="T18">
        <v>123</v>
      </c>
      <c r="U18" s="61"/>
    </row>
    <row r="19" spans="1:21" x14ac:dyDescent="0.25">
      <c r="A19">
        <v>17</v>
      </c>
      <c r="B19">
        <v>185</v>
      </c>
      <c r="C19">
        <v>296</v>
      </c>
      <c r="D19">
        <v>370</v>
      </c>
      <c r="H19">
        <v>777</v>
      </c>
      <c r="J19">
        <v>351</v>
      </c>
      <c r="M19">
        <v>185</v>
      </c>
      <c r="N19">
        <v>111</v>
      </c>
      <c r="O19">
        <v>111</v>
      </c>
      <c r="P19">
        <v>111</v>
      </c>
      <c r="Q19">
        <v>92</v>
      </c>
      <c r="R19">
        <v>111</v>
      </c>
      <c r="T19">
        <v>148</v>
      </c>
      <c r="U19" s="61"/>
    </row>
    <row r="20" spans="1:21" x14ac:dyDescent="0.25">
      <c r="A20">
        <v>18</v>
      </c>
      <c r="B20">
        <v>222</v>
      </c>
      <c r="C20">
        <v>355</v>
      </c>
      <c r="D20">
        <v>444</v>
      </c>
      <c r="H20">
        <v>932</v>
      </c>
      <c r="J20">
        <v>422</v>
      </c>
      <c r="M20">
        <v>222</v>
      </c>
      <c r="N20">
        <v>133</v>
      </c>
      <c r="O20">
        <v>133</v>
      </c>
      <c r="P20">
        <v>133</v>
      </c>
      <c r="Q20">
        <v>111</v>
      </c>
      <c r="R20">
        <v>133</v>
      </c>
      <c r="T20">
        <v>177</v>
      </c>
      <c r="U20" s="61"/>
    </row>
    <row r="21" spans="1:21" x14ac:dyDescent="0.25">
      <c r="A21">
        <v>19</v>
      </c>
      <c r="B21">
        <v>266</v>
      </c>
      <c r="C21">
        <v>426</v>
      </c>
      <c r="D21">
        <v>532</v>
      </c>
      <c r="H21" s="154">
        <v>1118</v>
      </c>
      <c r="J21">
        <v>506</v>
      </c>
      <c r="M21">
        <v>266</v>
      </c>
      <c r="N21">
        <v>160</v>
      </c>
      <c r="O21">
        <v>160</v>
      </c>
      <c r="P21">
        <v>160</v>
      </c>
      <c r="Q21">
        <v>133</v>
      </c>
      <c r="R21">
        <v>160</v>
      </c>
      <c r="T21">
        <v>213</v>
      </c>
      <c r="U21" s="61"/>
    </row>
    <row r="22" spans="1:21" x14ac:dyDescent="0.25">
      <c r="A22">
        <v>20</v>
      </c>
      <c r="B22">
        <v>319</v>
      </c>
      <c r="C22">
        <v>511</v>
      </c>
      <c r="D22">
        <v>639</v>
      </c>
      <c r="H22" s="154">
        <v>1342</v>
      </c>
      <c r="J22">
        <v>607</v>
      </c>
      <c r="M22">
        <v>319</v>
      </c>
      <c r="N22">
        <v>192</v>
      </c>
      <c r="O22">
        <v>192</v>
      </c>
      <c r="P22">
        <v>192</v>
      </c>
      <c r="Q22">
        <v>160</v>
      </c>
      <c r="R22">
        <v>192</v>
      </c>
      <c r="T22">
        <v>256</v>
      </c>
      <c r="U22" s="61"/>
    </row>
    <row r="23" spans="1:21" x14ac:dyDescent="0.25">
      <c r="A23">
        <v>21</v>
      </c>
      <c r="B23">
        <v>383</v>
      </c>
      <c r="C23">
        <v>613</v>
      </c>
      <c r="M23">
        <v>383</v>
      </c>
      <c r="N23">
        <v>230</v>
      </c>
      <c r="O23">
        <v>230</v>
      </c>
      <c r="P23">
        <v>230</v>
      </c>
      <c r="Q23">
        <v>192</v>
      </c>
      <c r="R23">
        <v>230</v>
      </c>
    </row>
    <row r="24" spans="1:21" x14ac:dyDescent="0.25">
      <c r="A24">
        <v>22</v>
      </c>
      <c r="B24">
        <v>460</v>
      </c>
      <c r="C24">
        <v>736</v>
      </c>
      <c r="M24">
        <v>460</v>
      </c>
      <c r="N24">
        <v>276</v>
      </c>
      <c r="O24">
        <v>276</v>
      </c>
      <c r="P24">
        <v>276</v>
      </c>
      <c r="Q24">
        <v>230</v>
      </c>
      <c r="R24">
        <v>276</v>
      </c>
    </row>
    <row r="25" spans="1:21" x14ac:dyDescent="0.25">
      <c r="A25">
        <v>23</v>
      </c>
      <c r="B25">
        <v>552</v>
      </c>
      <c r="C25">
        <v>883</v>
      </c>
      <c r="M25">
        <v>552</v>
      </c>
      <c r="N25">
        <v>331</v>
      </c>
      <c r="O25">
        <v>331</v>
      </c>
      <c r="P25">
        <v>331</v>
      </c>
      <c r="Q25">
        <v>276</v>
      </c>
      <c r="R25">
        <v>331</v>
      </c>
    </row>
    <row r="26" spans="1:21" x14ac:dyDescent="0.25">
      <c r="A26">
        <v>24</v>
      </c>
      <c r="B26">
        <v>662</v>
      </c>
      <c r="C26" s="154">
        <v>1060</v>
      </c>
      <c r="M26">
        <v>662</v>
      </c>
      <c r="N26">
        <v>397</v>
      </c>
      <c r="O26">
        <v>397</v>
      </c>
      <c r="P26">
        <v>397</v>
      </c>
      <c r="Q26">
        <v>331</v>
      </c>
      <c r="R26">
        <v>397</v>
      </c>
    </row>
    <row r="27" spans="1:21" x14ac:dyDescent="0.25">
      <c r="A27">
        <v>25</v>
      </c>
      <c r="B27">
        <v>795</v>
      </c>
      <c r="C27" s="154">
        <v>1272</v>
      </c>
      <c r="M27">
        <v>795</v>
      </c>
      <c r="N27">
        <v>477</v>
      </c>
      <c r="O27">
        <v>477</v>
      </c>
      <c r="P27">
        <v>477</v>
      </c>
      <c r="Q27">
        <v>397</v>
      </c>
      <c r="R27">
        <v>477</v>
      </c>
    </row>
    <row r="28" spans="1:21" x14ac:dyDescent="0.25">
      <c r="A28">
        <v>26</v>
      </c>
      <c r="B28">
        <v>954</v>
      </c>
      <c r="M28">
        <v>954</v>
      </c>
      <c r="N28">
        <v>572</v>
      </c>
      <c r="O28">
        <v>572</v>
      </c>
      <c r="P28">
        <v>572</v>
      </c>
      <c r="Q28">
        <v>477</v>
      </c>
      <c r="R28">
        <v>572</v>
      </c>
    </row>
    <row r="29" spans="1:21" x14ac:dyDescent="0.25">
      <c r="A29">
        <v>27</v>
      </c>
      <c r="B29" s="154">
        <v>1145</v>
      </c>
      <c r="M29" s="154">
        <v>1145</v>
      </c>
      <c r="N29">
        <v>687</v>
      </c>
      <c r="O29">
        <v>687</v>
      </c>
      <c r="P29">
        <v>687</v>
      </c>
      <c r="Q29">
        <v>572</v>
      </c>
      <c r="R29">
        <v>687</v>
      </c>
    </row>
    <row r="30" spans="1:21" x14ac:dyDescent="0.25">
      <c r="A30">
        <v>28</v>
      </c>
      <c r="B30" s="154">
        <v>1374</v>
      </c>
      <c r="M30" s="154">
        <v>1374</v>
      </c>
      <c r="N30">
        <v>824</v>
      </c>
      <c r="O30">
        <v>824</v>
      </c>
      <c r="P30">
        <v>824</v>
      </c>
      <c r="Q30">
        <v>687</v>
      </c>
      <c r="R30">
        <v>824</v>
      </c>
    </row>
    <row r="31" spans="1:21" x14ac:dyDescent="0.25">
      <c r="A31">
        <v>29</v>
      </c>
      <c r="B31" s="154">
        <v>1648</v>
      </c>
      <c r="M31" s="154">
        <v>1648</v>
      </c>
      <c r="N31">
        <v>989</v>
      </c>
      <c r="O31">
        <v>989</v>
      </c>
      <c r="P31">
        <v>989</v>
      </c>
      <c r="Q31">
        <v>824</v>
      </c>
      <c r="R31">
        <v>989</v>
      </c>
    </row>
    <row r="32" spans="1:21" x14ac:dyDescent="0.25">
      <c r="A32">
        <v>30</v>
      </c>
      <c r="B32" s="154">
        <v>1978</v>
      </c>
      <c r="M32" s="154">
        <v>1978</v>
      </c>
      <c r="N32" s="154">
        <v>1187</v>
      </c>
      <c r="O32" s="154">
        <v>1187</v>
      </c>
      <c r="P32" s="154">
        <v>1187</v>
      </c>
      <c r="Q32">
        <v>989</v>
      </c>
      <c r="R32" s="154">
        <v>1187</v>
      </c>
    </row>
    <row r="62" spans="9:9" x14ac:dyDescent="0.25">
      <c r="I62" s="154"/>
    </row>
    <row r="63" spans="9:9" x14ac:dyDescent="0.25">
      <c r="I63" s="154"/>
    </row>
    <row r="67" spans="3:18" x14ac:dyDescent="0.25">
      <c r="D67" s="154"/>
    </row>
    <row r="68" spans="3:18" x14ac:dyDescent="0.25">
      <c r="D68" s="154"/>
    </row>
    <row r="70" spans="3:18" x14ac:dyDescent="0.25">
      <c r="C70" s="154"/>
      <c r="M70" s="154"/>
    </row>
    <row r="71" spans="3:18" x14ac:dyDescent="0.25">
      <c r="C71" s="154"/>
      <c r="M71" s="154"/>
    </row>
    <row r="72" spans="3:18" x14ac:dyDescent="0.25">
      <c r="C72" s="154"/>
      <c r="M72" s="154"/>
    </row>
    <row r="73" spans="3:18" x14ac:dyDescent="0.25">
      <c r="C73" s="154"/>
      <c r="M73" s="154"/>
      <c r="N73" s="154"/>
      <c r="O73" s="154"/>
      <c r="P73" s="154"/>
      <c r="R73" s="154"/>
    </row>
  </sheetData>
  <pageMargins left="0.7" right="0.7" top="0.78740157499999996" bottom="0.78740157499999996" header="0.3" footer="0.3"/>
  <pageSetup paperSize="9"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9"/>
  <dimension ref="A1:F33"/>
  <sheetViews>
    <sheetView workbookViewId="0">
      <selection activeCell="F6" sqref="F6"/>
    </sheetView>
  </sheetViews>
  <sheetFormatPr baseColWidth="10" defaultRowHeight="15" x14ac:dyDescent="0.25"/>
  <cols>
    <col min="1" max="1" width="9.140625" customWidth="1"/>
    <col min="2" max="2" width="16.7109375" bestFit="1" customWidth="1"/>
    <col min="3" max="3" width="20.140625" bestFit="1" customWidth="1"/>
    <col min="4" max="4" width="12" bestFit="1" customWidth="1"/>
    <col min="5" max="5" width="13.140625" bestFit="1" customWidth="1"/>
    <col min="6" max="6" width="17.42578125" bestFit="1" customWidth="1"/>
    <col min="7" max="256" width="9.140625" customWidth="1"/>
  </cols>
  <sheetData>
    <row r="1" spans="1:6" x14ac:dyDescent="0.25">
      <c r="B1" t="s">
        <v>23</v>
      </c>
      <c r="C1" t="s">
        <v>22</v>
      </c>
      <c r="D1" t="s">
        <v>21</v>
      </c>
      <c r="E1" t="s">
        <v>98</v>
      </c>
      <c r="F1" t="s">
        <v>428</v>
      </c>
    </row>
    <row r="2" spans="1:6" x14ac:dyDescent="0.25">
      <c r="A2" s="6" t="s">
        <v>20</v>
      </c>
      <c r="B2" s="21">
        <f>1.05</f>
        <v>1.05</v>
      </c>
      <c r="C2">
        <f>117.2103/100</f>
        <v>1.1721030000000001</v>
      </c>
      <c r="D2">
        <f>122.94934/100</f>
        <v>1.2294934</v>
      </c>
      <c r="E2">
        <v>1.1000000000000001</v>
      </c>
      <c r="F2">
        <v>1.145</v>
      </c>
    </row>
    <row r="3" spans="1:6" x14ac:dyDescent="0.25">
      <c r="A3">
        <v>0</v>
      </c>
      <c r="B3" s="9">
        <v>100</v>
      </c>
      <c r="E3">
        <v>100</v>
      </c>
      <c r="F3">
        <v>0</v>
      </c>
    </row>
    <row r="4" spans="1:6" x14ac:dyDescent="0.25">
      <c r="A4">
        <v>1</v>
      </c>
      <c r="B4" s="3">
        <f>$B$3*($B$2^(-A4))</f>
        <v>95.238095238095227</v>
      </c>
      <c r="C4">
        <v>240</v>
      </c>
      <c r="D4">
        <v>1000</v>
      </c>
      <c r="E4" s="112">
        <f>$E$3*($E$2^(-A4))</f>
        <v>90.909090909090907</v>
      </c>
      <c r="F4" s="190">
        <f>$F$2^A4</f>
        <v>1.145</v>
      </c>
    </row>
    <row r="5" spans="1:6" x14ac:dyDescent="0.25">
      <c r="A5">
        <v>2</v>
      </c>
      <c r="B5" s="3">
        <f t="shared" ref="B5:B33" si="0">$B$3*($B$2^(-A5))</f>
        <v>90.702947845804985</v>
      </c>
      <c r="C5">
        <f>C4*C$2</f>
        <v>281.30472000000003</v>
      </c>
      <c r="D5">
        <f>D4*D$2</f>
        <v>1229.4934000000001</v>
      </c>
      <c r="E5" s="112">
        <f t="shared" ref="E5:E23" si="1">$E$3*($E$2^(-A5))</f>
        <v>82.644628099173545</v>
      </c>
      <c r="F5" s="190">
        <f t="shared" ref="F5:F23" si="2">$F$2^A5</f>
        <v>1.3110250000000001</v>
      </c>
    </row>
    <row r="6" spans="1:6" x14ac:dyDescent="0.25">
      <c r="A6">
        <v>3</v>
      </c>
      <c r="B6" s="3">
        <f t="shared" si="0"/>
        <v>86.383759853147595</v>
      </c>
      <c r="C6">
        <f t="shared" ref="C6:C33" si="3">C5*C$2</f>
        <v>329.71810622616005</v>
      </c>
      <c r="D6">
        <f t="shared" ref="D6:D33" si="4">D5*D$2</f>
        <v>1511.65402064356</v>
      </c>
      <c r="E6" s="112">
        <f t="shared" si="1"/>
        <v>75.131480090157751</v>
      </c>
      <c r="F6" s="190">
        <f t="shared" si="2"/>
        <v>1.5011236250000002</v>
      </c>
    </row>
    <row r="7" spans="1:6" x14ac:dyDescent="0.25">
      <c r="A7">
        <v>4</v>
      </c>
      <c r="B7" s="3">
        <f t="shared" si="0"/>
        <v>82.2702474791882</v>
      </c>
      <c r="C7">
        <f t="shared" si="3"/>
        <v>386.46358146200089</v>
      </c>
      <c r="D7">
        <f t="shared" si="4"/>
        <v>1858.5686414647207</v>
      </c>
      <c r="E7" s="112">
        <f t="shared" si="1"/>
        <v>68.301345536507057</v>
      </c>
      <c r="F7" s="190">
        <f t="shared" si="2"/>
        <v>1.7187865506250002</v>
      </c>
    </row>
    <row r="8" spans="1:6" x14ac:dyDescent="0.25">
      <c r="A8">
        <v>5</v>
      </c>
      <c r="B8" s="3">
        <f t="shared" si="0"/>
        <v>78.352616646845902</v>
      </c>
      <c r="C8">
        <f t="shared" si="3"/>
        <v>452.97512322235565</v>
      </c>
      <c r="D8">
        <f t="shared" si="4"/>
        <v>2285.0978781278404</v>
      </c>
      <c r="E8" s="112">
        <f t="shared" si="1"/>
        <v>62.092132305915491</v>
      </c>
      <c r="F8" s="190">
        <f t="shared" si="2"/>
        <v>1.9680106004656253</v>
      </c>
    </row>
    <row r="9" spans="1:6" x14ac:dyDescent="0.25">
      <c r="A9">
        <v>6</v>
      </c>
      <c r="B9" s="3">
        <f t="shared" si="0"/>
        <v>74.621539663662759</v>
      </c>
      <c r="C9">
        <f t="shared" si="3"/>
        <v>530.93350085429279</v>
      </c>
      <c r="D9">
        <f t="shared" si="4"/>
        <v>2809.5127595121839</v>
      </c>
      <c r="E9" s="112">
        <f t="shared" si="1"/>
        <v>56.44739300537772</v>
      </c>
      <c r="F9" s="190">
        <f t="shared" si="2"/>
        <v>2.253372137533141</v>
      </c>
    </row>
    <row r="10" spans="1:6" x14ac:dyDescent="0.25">
      <c r="A10">
        <v>7</v>
      </c>
      <c r="B10" s="3">
        <f t="shared" si="0"/>
        <v>71.068133013012144</v>
      </c>
      <c r="C10">
        <f t="shared" si="3"/>
        <v>622.30874915181926</v>
      </c>
      <c r="D10">
        <f t="shared" si="4"/>
        <v>3454.2773950360174</v>
      </c>
      <c r="E10" s="112">
        <f t="shared" si="1"/>
        <v>51.315811823070646</v>
      </c>
      <c r="F10" s="190">
        <f t="shared" si="2"/>
        <v>2.5801110974754464</v>
      </c>
    </row>
    <row r="11" spans="1:6" x14ac:dyDescent="0.25">
      <c r="A11">
        <v>8</v>
      </c>
      <c r="B11" s="3">
        <f t="shared" si="0"/>
        <v>67.683936202868722</v>
      </c>
      <c r="C11">
        <f t="shared" si="3"/>
        <v>729.4099518070949</v>
      </c>
      <c r="D11">
        <f t="shared" si="4"/>
        <v>4247.0112589659757</v>
      </c>
      <c r="E11" s="112">
        <f t="shared" si="1"/>
        <v>46.650738020973314</v>
      </c>
      <c r="F11" s="190">
        <f t="shared" si="2"/>
        <v>2.9542272066093864</v>
      </c>
    </row>
    <row r="12" spans="1:6" x14ac:dyDescent="0.25">
      <c r="A12">
        <v>9</v>
      </c>
      <c r="B12" s="3">
        <f t="shared" si="0"/>
        <v>64.460891621779723</v>
      </c>
      <c r="C12">
        <f t="shared" si="3"/>
        <v>854.94359274295141</v>
      </c>
      <c r="D12">
        <f t="shared" si="4"/>
        <v>5221.6723126243578</v>
      </c>
      <c r="E12" s="112">
        <f t="shared" si="1"/>
        <v>42.409761837248467</v>
      </c>
      <c r="F12" s="190">
        <f t="shared" si="2"/>
        <v>3.3825901515677477</v>
      </c>
    </row>
    <row r="13" spans="1:6" x14ac:dyDescent="0.25">
      <c r="A13">
        <v>10</v>
      </c>
      <c r="B13" s="3">
        <f t="shared" si="0"/>
        <v>61.391325354075931</v>
      </c>
      <c r="C13">
        <f t="shared" si="3"/>
        <v>1002.0819498847917</v>
      </c>
      <c r="D13">
        <f t="shared" si="4"/>
        <v>6420.0116453343844</v>
      </c>
      <c r="E13" s="112">
        <f t="shared" si="1"/>
        <v>38.554328942953148</v>
      </c>
      <c r="F13" s="190">
        <f t="shared" si="2"/>
        <v>3.8730657235450709</v>
      </c>
    </row>
    <row r="14" spans="1:6" x14ac:dyDescent="0.25">
      <c r="A14">
        <v>11</v>
      </c>
      <c r="B14" s="3">
        <f t="shared" si="0"/>
        <v>58.467928908643742</v>
      </c>
      <c r="C14">
        <f t="shared" si="3"/>
        <v>1174.5432597058141</v>
      </c>
      <c r="D14">
        <f t="shared" si="4"/>
        <v>7893.3619458617659</v>
      </c>
      <c r="E14" s="112">
        <f t="shared" si="1"/>
        <v>35.049389948139222</v>
      </c>
      <c r="F14" s="190">
        <f t="shared" si="2"/>
        <v>4.4346602534591071</v>
      </c>
    </row>
    <row r="15" spans="1:6" x14ac:dyDescent="0.25">
      <c r="A15">
        <v>12</v>
      </c>
      <c r="B15" s="3">
        <f t="shared" si="0"/>
        <v>55.683741817755951</v>
      </c>
      <c r="C15">
        <f t="shared" si="3"/>
        <v>1376.685678330964</v>
      </c>
      <c r="D15">
        <f t="shared" si="4"/>
        <v>9704.8364162481976</v>
      </c>
      <c r="E15" s="112">
        <f t="shared" si="1"/>
        <v>31.863081771035656</v>
      </c>
      <c r="F15" s="190">
        <f t="shared" si="2"/>
        <v>5.0776859902106768</v>
      </c>
    </row>
    <row r="16" spans="1:6" x14ac:dyDescent="0.25">
      <c r="A16">
        <v>13</v>
      </c>
      <c r="B16" s="3">
        <f t="shared" si="0"/>
        <v>53.032135064529463</v>
      </c>
      <c r="C16">
        <f t="shared" si="3"/>
        <v>1613.6174136287582</v>
      </c>
      <c r="D16">
        <f t="shared" si="4"/>
        <v>11932.032321856812</v>
      </c>
      <c r="E16" s="112">
        <f t="shared" si="1"/>
        <v>28.966437973668778</v>
      </c>
      <c r="F16" s="190">
        <f t="shared" si="2"/>
        <v>5.8139504587912256</v>
      </c>
    </row>
    <row r="17" spans="1:6" x14ac:dyDescent="0.25">
      <c r="A17">
        <v>14</v>
      </c>
      <c r="B17" s="3">
        <f t="shared" si="0"/>
        <v>50.506795299551889</v>
      </c>
      <c r="C17">
        <f t="shared" si="3"/>
        <v>1891.3258113665086</v>
      </c>
      <c r="D17">
        <f t="shared" si="4"/>
        <v>14670.354988309626</v>
      </c>
      <c r="E17" s="112">
        <f t="shared" si="1"/>
        <v>26.333125430607971</v>
      </c>
      <c r="F17" s="190">
        <f t="shared" si="2"/>
        <v>6.656973275315953</v>
      </c>
    </row>
    <row r="18" spans="1:6" x14ac:dyDescent="0.25">
      <c r="A18">
        <v>15</v>
      </c>
      <c r="B18" s="3">
        <f t="shared" si="0"/>
        <v>48.101709809097024</v>
      </c>
      <c r="C18">
        <f t="shared" si="3"/>
        <v>2216.8286574801191</v>
      </c>
      <c r="D18">
        <f t="shared" si="4"/>
        <v>18037.104633783762</v>
      </c>
      <c r="E18" s="112">
        <f t="shared" si="1"/>
        <v>23.93920493691634</v>
      </c>
      <c r="F18" s="190">
        <f t="shared" si="2"/>
        <v>7.6222344002367661</v>
      </c>
    </row>
    <row r="19" spans="1:6" x14ac:dyDescent="0.25">
      <c r="A19">
        <v>16</v>
      </c>
      <c r="B19" s="3">
        <f t="shared" si="0"/>
        <v>45.811152199140018</v>
      </c>
      <c r="C19">
        <f t="shared" si="3"/>
        <v>2598.3515199184203</v>
      </c>
      <c r="D19">
        <f t="shared" si="4"/>
        <v>22176.501102346552</v>
      </c>
      <c r="E19" s="112">
        <f t="shared" si="1"/>
        <v>21.762913579014853</v>
      </c>
      <c r="F19" s="190">
        <f t="shared" si="2"/>
        <v>8.7274583882710992</v>
      </c>
    </row>
    <row r="20" spans="1:6" x14ac:dyDescent="0.25">
      <c r="A20">
        <v>17</v>
      </c>
      <c r="B20" s="3">
        <f t="shared" si="0"/>
        <v>43.629668761085725</v>
      </c>
      <c r="C20">
        <f t="shared" si="3"/>
        <v>3045.5356115509403</v>
      </c>
      <c r="D20">
        <f t="shared" si="4"/>
        <v>27265.861740427808</v>
      </c>
      <c r="E20" s="112">
        <f t="shared" si="1"/>
        <v>19.784466890013501</v>
      </c>
      <c r="F20" s="190">
        <f t="shared" si="2"/>
        <v>9.9929398545704089</v>
      </c>
    </row>
    <row r="21" spans="1:6" x14ac:dyDescent="0.25">
      <c r="A21">
        <v>18</v>
      </c>
      <c r="B21" s="3">
        <f t="shared" si="0"/>
        <v>41.552065486748312</v>
      </c>
      <c r="C21">
        <f t="shared" si="3"/>
        <v>3569.6814269056922</v>
      </c>
      <c r="D21">
        <f t="shared" si="4"/>
        <v>33523.197055168501</v>
      </c>
      <c r="E21" s="112">
        <f t="shared" si="1"/>
        <v>17.985878990921364</v>
      </c>
      <c r="F21" s="190">
        <f t="shared" si="2"/>
        <v>11.441916133483119</v>
      </c>
    </row>
    <row r="22" spans="1:6" x14ac:dyDescent="0.25">
      <c r="A22">
        <v>19</v>
      </c>
      <c r="B22" s="3">
        <f t="shared" si="0"/>
        <v>39.573395701665056</v>
      </c>
      <c r="C22">
        <f t="shared" si="3"/>
        <v>4184.0343095204425</v>
      </c>
      <c r="D22">
        <f t="shared" si="4"/>
        <v>41216.549526229108</v>
      </c>
      <c r="E22" s="112">
        <f t="shared" si="1"/>
        <v>16.350799082655783</v>
      </c>
      <c r="F22" s="190">
        <f t="shared" si="2"/>
        <v>13.100993972838172</v>
      </c>
    </row>
    <row r="23" spans="1:6" x14ac:dyDescent="0.25">
      <c r="A23">
        <v>20</v>
      </c>
      <c r="B23" s="3">
        <f t="shared" si="0"/>
        <v>37.688948287300065</v>
      </c>
      <c r="C23">
        <f t="shared" si="3"/>
        <v>4904.11916629184</v>
      </c>
      <c r="D23">
        <f t="shared" si="4"/>
        <v>50675.47561327181</v>
      </c>
      <c r="E23" s="112">
        <f t="shared" si="1"/>
        <v>14.86436280241435</v>
      </c>
      <c r="F23" s="190">
        <f t="shared" si="2"/>
        <v>15.000638098899707</v>
      </c>
    </row>
    <row r="24" spans="1:6" x14ac:dyDescent="0.25">
      <c r="A24">
        <v>21</v>
      </c>
      <c r="B24" s="3">
        <f t="shared" si="0"/>
        <v>35.8942364640953</v>
      </c>
      <c r="C24">
        <f t="shared" si="3"/>
        <v>5748.1327871681651</v>
      </c>
      <c r="D24">
        <f t="shared" si="4"/>
        <v>62305.162808378642</v>
      </c>
      <c r="E24" s="112"/>
      <c r="F24" s="190"/>
    </row>
    <row r="25" spans="1:6" x14ac:dyDescent="0.25">
      <c r="A25">
        <v>22</v>
      </c>
      <c r="B25" s="3">
        <f t="shared" si="0"/>
        <v>34.184987108662192</v>
      </c>
      <c r="C25">
        <f t="shared" si="3"/>
        <v>6737.4036842381684</v>
      </c>
      <c r="D25">
        <f t="shared" si="4"/>
        <v>76603.786458827002</v>
      </c>
      <c r="E25" s="112"/>
      <c r="F25" s="190"/>
    </row>
    <row r="26" spans="1:6" x14ac:dyDescent="0.25">
      <c r="A26">
        <v>23</v>
      </c>
      <c r="B26" s="3">
        <f t="shared" si="0"/>
        <v>32.557130579678265</v>
      </c>
      <c r="C26">
        <f t="shared" si="3"/>
        <v>7896.9310705066109</v>
      </c>
      <c r="D26">
        <f t="shared" si="4"/>
        <v>94183.84986613717</v>
      </c>
      <c r="E26" s="112"/>
      <c r="F26" s="190"/>
    </row>
    <row r="27" spans="1:6" x14ac:dyDescent="0.25">
      <c r="A27">
        <v>24</v>
      </c>
      <c r="B27" s="3">
        <f t="shared" si="0"/>
        <v>31.006791028265024</v>
      </c>
      <c r="C27">
        <f t="shared" si="3"/>
        <v>9256.0165985340118</v>
      </c>
      <c r="D27">
        <f t="shared" si="4"/>
        <v>115798.42179700654</v>
      </c>
      <c r="E27" s="112"/>
      <c r="F27" s="190"/>
    </row>
    <row r="28" spans="1:6" x14ac:dyDescent="0.25">
      <c r="A28">
        <v>25</v>
      </c>
      <c r="B28" s="3">
        <f t="shared" si="0"/>
        <v>29.530277169776209</v>
      </c>
      <c r="C28">
        <f t="shared" si="3"/>
        <v>10849.004823191512</v>
      </c>
      <c r="D28">
        <f t="shared" si="4"/>
        <v>142373.39532983568</v>
      </c>
      <c r="E28" s="112"/>
      <c r="F28" s="190"/>
    </row>
    <row r="29" spans="1:6" x14ac:dyDescent="0.25">
      <c r="A29">
        <v>26</v>
      </c>
      <c r="B29" s="3">
        <f t="shared" si="0"/>
        <v>28.124073495024959</v>
      </c>
      <c r="C29">
        <f t="shared" si="3"/>
        <v>12716.151100277242</v>
      </c>
      <c r="D29">
        <f t="shared" si="4"/>
        <v>175047.14989362378</v>
      </c>
      <c r="E29" s="112"/>
      <c r="F29" s="190"/>
    </row>
    <row r="30" spans="1:6" x14ac:dyDescent="0.25">
      <c r="A30">
        <v>27</v>
      </c>
      <c r="B30" s="3">
        <f t="shared" si="0"/>
        <v>26.784831900023772</v>
      </c>
      <c r="C30">
        <f t="shared" si="3"/>
        <v>14904.638853088258</v>
      </c>
      <c r="D30">
        <f t="shared" si="4"/>
        <v>215219.31548302114</v>
      </c>
      <c r="E30" s="112"/>
      <c r="F30" s="190"/>
    </row>
    <row r="31" spans="1:6" x14ac:dyDescent="0.25">
      <c r="A31">
        <v>28</v>
      </c>
      <c r="B31" s="3">
        <f t="shared" si="0"/>
        <v>25.509363714308357</v>
      </c>
      <c r="C31">
        <f t="shared" si="3"/>
        <v>17469.771913621309</v>
      </c>
      <c r="D31">
        <f t="shared" si="4"/>
        <v>264610.72793889232</v>
      </c>
      <c r="E31" s="112"/>
      <c r="F31" s="190"/>
    </row>
    <row r="32" spans="1:6" x14ac:dyDescent="0.25">
      <c r="A32">
        <v>29</v>
      </c>
      <c r="B32" s="3">
        <f t="shared" si="0"/>
        <v>24.294632108865098</v>
      </c>
      <c r="C32">
        <f t="shared" si="3"/>
        <v>20476.372069271278</v>
      </c>
      <c r="D32">
        <f t="shared" si="4"/>
        <v>325337.14357006369</v>
      </c>
      <c r="E32" s="112"/>
      <c r="F32" s="190"/>
    </row>
    <row r="33" spans="1:6" x14ac:dyDescent="0.25">
      <c r="A33">
        <v>30</v>
      </c>
      <c r="B33" s="3">
        <f t="shared" si="0"/>
        <v>23.137744865585812</v>
      </c>
      <c r="C33">
        <f t="shared" si="3"/>
        <v>24000.417131509075</v>
      </c>
      <c r="D33">
        <f t="shared" si="4"/>
        <v>399999.87079424574</v>
      </c>
      <c r="E33" s="112"/>
      <c r="F33" s="190"/>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0"/>
  <dimension ref="A1:CJ37"/>
  <sheetViews>
    <sheetView workbookViewId="0">
      <selection activeCell="U1" sqref="U1"/>
    </sheetView>
  </sheetViews>
  <sheetFormatPr baseColWidth="10" defaultRowHeight="15" x14ac:dyDescent="0.25"/>
  <cols>
    <col min="27" max="27" width="15.140625" bestFit="1" customWidth="1"/>
    <col min="31" max="31" width="12.140625" bestFit="1" customWidth="1"/>
    <col min="32" max="33" width="14.140625" bestFit="1" customWidth="1"/>
    <col min="34" max="34" width="18.85546875" bestFit="1" customWidth="1"/>
    <col min="37" max="48" width="7.140625" customWidth="1"/>
    <col min="49" max="87" width="9.7109375" customWidth="1"/>
  </cols>
  <sheetData>
    <row r="1" spans="1:88" ht="15.75" thickBot="1" x14ac:dyDescent="0.3">
      <c r="A1" t="s">
        <v>66</v>
      </c>
      <c r="B1" s="4">
        <f>'Construction Planner'!E1</f>
        <v>1</v>
      </c>
      <c r="N1" t="s">
        <v>81</v>
      </c>
      <c r="W1" s="133"/>
      <c r="X1" s="133"/>
    </row>
    <row r="2" spans="1:88" x14ac:dyDescent="0.25">
      <c r="B2" s="425" t="s">
        <v>67</v>
      </c>
      <c r="C2" s="430"/>
      <c r="D2" s="430"/>
      <c r="E2" s="426"/>
      <c r="F2" s="425" t="s">
        <v>69</v>
      </c>
      <c r="G2" s="430"/>
      <c r="H2" s="487"/>
      <c r="I2" s="426"/>
      <c r="J2" s="425" t="s">
        <v>80</v>
      </c>
      <c r="K2" s="426"/>
      <c r="L2" s="135" t="s">
        <v>142</v>
      </c>
      <c r="O2" s="425" t="s">
        <v>67</v>
      </c>
      <c r="P2" s="430"/>
      <c r="Q2" s="430"/>
      <c r="R2" s="426"/>
      <c r="S2" s="427" t="s">
        <v>69</v>
      </c>
      <c r="T2" s="428"/>
      <c r="U2" s="428"/>
      <c r="V2" s="429"/>
      <c r="W2" s="427" t="s">
        <v>80</v>
      </c>
      <c r="X2" s="428"/>
      <c r="Y2" s="135" t="s">
        <v>142</v>
      </c>
      <c r="AB2" t="s">
        <v>84</v>
      </c>
      <c r="AC2" t="s">
        <v>85</v>
      </c>
      <c r="AD2" t="s">
        <v>86</v>
      </c>
      <c r="AE2" t="s">
        <v>209</v>
      </c>
      <c r="AF2" t="s">
        <v>210</v>
      </c>
      <c r="AG2" t="s">
        <v>211</v>
      </c>
      <c r="AH2" t="s">
        <v>212</v>
      </c>
      <c r="AK2" s="488" t="s">
        <v>73</v>
      </c>
      <c r="AL2" s="489"/>
      <c r="AM2" s="489"/>
      <c r="AN2" s="460"/>
      <c r="AO2" s="488" t="s">
        <v>74</v>
      </c>
      <c r="AP2" s="489"/>
      <c r="AQ2" s="489"/>
      <c r="AR2" s="460"/>
      <c r="AS2" s="488" t="s">
        <v>75</v>
      </c>
      <c r="AT2" s="489"/>
      <c r="AU2" s="489"/>
      <c r="AV2" s="460"/>
      <c r="AW2" s="488" t="s">
        <v>190</v>
      </c>
      <c r="AX2" s="489"/>
      <c r="AY2" s="489"/>
      <c r="AZ2" s="460"/>
      <c r="BA2" s="488" t="s">
        <v>71</v>
      </c>
      <c r="BB2" s="489"/>
      <c r="BC2" s="489"/>
      <c r="BD2" s="460"/>
      <c r="BE2" s="488" t="s">
        <v>76</v>
      </c>
      <c r="BF2" s="489"/>
      <c r="BG2" s="489"/>
      <c r="BH2" s="460"/>
      <c r="BI2" s="488" t="s">
        <v>191</v>
      </c>
      <c r="BJ2" s="489"/>
      <c r="BK2" s="489"/>
      <c r="BL2" s="460"/>
      <c r="BM2" s="488" t="s">
        <v>77</v>
      </c>
      <c r="BN2" s="489"/>
      <c r="BO2" s="489"/>
      <c r="BP2" s="460"/>
      <c r="BQ2" s="488" t="s">
        <v>78</v>
      </c>
      <c r="BR2" s="489"/>
      <c r="BS2" s="489"/>
      <c r="BT2" s="460"/>
      <c r="BU2" s="488" t="s">
        <v>79</v>
      </c>
      <c r="BV2" s="489"/>
      <c r="BW2" s="489"/>
      <c r="BX2" s="460"/>
      <c r="BY2" s="488" t="s">
        <v>192</v>
      </c>
      <c r="BZ2" s="489"/>
      <c r="CA2" s="489"/>
      <c r="CB2" s="460"/>
      <c r="CC2" s="488" t="s">
        <v>193</v>
      </c>
      <c r="CD2" s="489"/>
      <c r="CE2" s="489"/>
      <c r="CF2" s="460"/>
      <c r="CG2" s="490" t="s">
        <v>194</v>
      </c>
      <c r="CH2" s="431"/>
      <c r="CI2" s="431"/>
      <c r="CJ2" s="431"/>
    </row>
    <row r="3" spans="1:88" x14ac:dyDescent="0.25">
      <c r="B3" s="81" t="s">
        <v>73</v>
      </c>
      <c r="C3" s="79" t="s">
        <v>74</v>
      </c>
      <c r="D3" s="79" t="s">
        <v>75</v>
      </c>
      <c r="E3" s="82" t="s">
        <v>190</v>
      </c>
      <c r="F3" s="81" t="s">
        <v>71</v>
      </c>
      <c r="G3" s="79" t="s">
        <v>76</v>
      </c>
      <c r="H3" s="143" t="s">
        <v>191</v>
      </c>
      <c r="I3" s="82" t="s">
        <v>77</v>
      </c>
      <c r="J3" s="81" t="s">
        <v>78</v>
      </c>
      <c r="K3" s="82" t="s">
        <v>79</v>
      </c>
      <c r="L3" s="146" t="s">
        <v>193</v>
      </c>
      <c r="O3" s="81" t="s">
        <v>73</v>
      </c>
      <c r="P3" s="79" t="s">
        <v>74</v>
      </c>
      <c r="Q3" s="79" t="s">
        <v>75</v>
      </c>
      <c r="R3" s="82" t="s">
        <v>190</v>
      </c>
      <c r="S3" s="81" t="s">
        <v>71</v>
      </c>
      <c r="T3" s="79" t="s">
        <v>76</v>
      </c>
      <c r="U3" s="143" t="s">
        <v>195</v>
      </c>
      <c r="V3" s="82" t="s">
        <v>77</v>
      </c>
      <c r="W3" s="81" t="s">
        <v>78</v>
      </c>
      <c r="X3" s="143" t="s">
        <v>79</v>
      </c>
      <c r="Y3" s="146" t="s">
        <v>193</v>
      </c>
      <c r="AA3" t="s">
        <v>73</v>
      </c>
      <c r="AB3">
        <v>50</v>
      </c>
      <c r="AC3">
        <v>30</v>
      </c>
      <c r="AD3">
        <v>10</v>
      </c>
      <c r="AE3">
        <v>10</v>
      </c>
      <c r="AF3">
        <v>15</v>
      </c>
      <c r="AG3">
        <v>45</v>
      </c>
      <c r="AH3">
        <v>20</v>
      </c>
      <c r="AJ3" t="s">
        <v>216</v>
      </c>
      <c r="AK3" s="79" t="s">
        <v>213</v>
      </c>
      <c r="AL3" s="79" t="s">
        <v>214</v>
      </c>
      <c r="AM3" s="79" t="s">
        <v>215</v>
      </c>
      <c r="AN3" s="79" t="s">
        <v>217</v>
      </c>
      <c r="AO3" s="79" t="s">
        <v>213</v>
      </c>
      <c r="AP3" s="79" t="s">
        <v>214</v>
      </c>
      <c r="AQ3" s="79" t="s">
        <v>215</v>
      </c>
      <c r="AR3" s="79" t="s">
        <v>217</v>
      </c>
      <c r="AS3" s="79" t="s">
        <v>213</v>
      </c>
      <c r="AT3" s="79" t="s">
        <v>214</v>
      </c>
      <c r="AU3" s="79" t="s">
        <v>215</v>
      </c>
      <c r="AV3" s="79" t="s">
        <v>217</v>
      </c>
      <c r="AW3" s="79" t="s">
        <v>213</v>
      </c>
      <c r="AX3" s="79" t="s">
        <v>214</v>
      </c>
      <c r="AY3" s="79" t="s">
        <v>215</v>
      </c>
      <c r="AZ3" s="79" t="s">
        <v>217</v>
      </c>
      <c r="BA3" s="79" t="s">
        <v>213</v>
      </c>
      <c r="BB3" s="79" t="s">
        <v>214</v>
      </c>
      <c r="BC3" s="79" t="s">
        <v>215</v>
      </c>
      <c r="BD3" s="79" t="s">
        <v>217</v>
      </c>
      <c r="BE3" s="79" t="s">
        <v>213</v>
      </c>
      <c r="BF3" s="79" t="s">
        <v>214</v>
      </c>
      <c r="BG3" s="79" t="s">
        <v>215</v>
      </c>
      <c r="BH3" s="79" t="s">
        <v>217</v>
      </c>
      <c r="BI3" s="79" t="s">
        <v>213</v>
      </c>
      <c r="BJ3" s="79" t="s">
        <v>214</v>
      </c>
      <c r="BK3" s="79" t="s">
        <v>215</v>
      </c>
      <c r="BL3" s="79" t="s">
        <v>217</v>
      </c>
      <c r="BM3" s="79" t="s">
        <v>213</v>
      </c>
      <c r="BN3" s="79" t="s">
        <v>214</v>
      </c>
      <c r="BO3" s="79" t="s">
        <v>215</v>
      </c>
      <c r="BP3" s="79" t="s">
        <v>217</v>
      </c>
      <c r="BQ3" s="79" t="s">
        <v>213</v>
      </c>
      <c r="BR3" s="79" t="s">
        <v>214</v>
      </c>
      <c r="BS3" s="79" t="s">
        <v>215</v>
      </c>
      <c r="BT3" s="79" t="s">
        <v>217</v>
      </c>
      <c r="BU3" s="79" t="s">
        <v>213</v>
      </c>
      <c r="BV3" s="79" t="s">
        <v>214</v>
      </c>
      <c r="BW3" s="79" t="s">
        <v>215</v>
      </c>
      <c r="BX3" s="79" t="s">
        <v>217</v>
      </c>
      <c r="BY3" s="79" t="s">
        <v>213</v>
      </c>
      <c r="BZ3" s="79" t="s">
        <v>214</v>
      </c>
      <c r="CA3" s="79" t="s">
        <v>215</v>
      </c>
      <c r="CB3" s="79" t="s">
        <v>217</v>
      </c>
      <c r="CC3" s="79" t="s">
        <v>213</v>
      </c>
      <c r="CD3" s="79" t="s">
        <v>214</v>
      </c>
      <c r="CE3" s="79" t="s">
        <v>215</v>
      </c>
      <c r="CF3" s="79" t="s">
        <v>217</v>
      </c>
      <c r="CG3" s="79" t="s">
        <v>213</v>
      </c>
      <c r="CH3" s="79" t="s">
        <v>214</v>
      </c>
      <c r="CI3" s="79" t="s">
        <v>215</v>
      </c>
      <c r="CJ3" s="79" t="s">
        <v>217</v>
      </c>
    </row>
    <row r="4" spans="1:88" x14ac:dyDescent="0.25">
      <c r="A4" t="s">
        <v>68</v>
      </c>
      <c r="B4" s="83"/>
      <c r="C4" s="80"/>
      <c r="D4" s="80"/>
      <c r="E4" s="84"/>
      <c r="F4" s="83"/>
      <c r="G4" s="80"/>
      <c r="H4" s="144"/>
      <c r="I4" s="84"/>
      <c r="J4" s="83"/>
      <c r="K4" s="84"/>
      <c r="L4" s="147"/>
      <c r="N4" t="s">
        <v>68</v>
      </c>
      <c r="O4" s="83"/>
      <c r="P4" s="80"/>
      <c r="Q4" s="80"/>
      <c r="R4" s="84"/>
      <c r="S4" s="81"/>
      <c r="T4" s="79"/>
      <c r="U4" s="143"/>
      <c r="V4" s="82"/>
      <c r="W4" s="81"/>
      <c r="X4" s="143"/>
      <c r="Y4" s="147"/>
      <c r="AA4" t="s">
        <v>74</v>
      </c>
      <c r="AB4">
        <v>30</v>
      </c>
      <c r="AC4">
        <v>30</v>
      </c>
      <c r="AD4">
        <v>70</v>
      </c>
      <c r="AE4">
        <v>25</v>
      </c>
      <c r="AF4">
        <v>50</v>
      </c>
      <c r="AG4">
        <v>25</v>
      </c>
      <c r="AH4">
        <v>40</v>
      </c>
      <c r="AJ4">
        <v>1</v>
      </c>
      <c r="AK4" s="79">
        <f>VLOOKUP(AK2,$AA$2:$AH$15,5,FALSE)</f>
        <v>10</v>
      </c>
      <c r="AL4" s="79">
        <f>VLOOKUP(AK2,$AA$2:$AH$15,6,FALSE)</f>
        <v>15</v>
      </c>
      <c r="AM4" s="79">
        <f>VLOOKUP(AK2,$AA$2:$AH$15,7,FALSE)</f>
        <v>45</v>
      </c>
      <c r="AN4" s="79">
        <f>VLOOKUP(AK2,$AA$2:$AH$15,8,FALSE)</f>
        <v>20</v>
      </c>
      <c r="AO4" s="79">
        <f>VLOOKUP(AO2,$AA$2:$AH$15,5,FALSE)</f>
        <v>25</v>
      </c>
      <c r="AP4" s="79">
        <f>VLOOKUP(AO2,$AA$2:$AH$15,6,FALSE)</f>
        <v>50</v>
      </c>
      <c r="AQ4" s="79">
        <f>VLOOKUP(AO2,$AA$2:$AH$15,7,FALSE)</f>
        <v>25</v>
      </c>
      <c r="AR4" s="79">
        <f>VLOOKUP(AO2,$AA$2:$AH$15,8,FALSE)</f>
        <v>40</v>
      </c>
      <c r="AS4" s="79">
        <f>VLOOKUP(AS2,$AA$2:$AH$15,5,FALSE)</f>
        <v>40</v>
      </c>
      <c r="AT4" s="79">
        <f>VLOOKUP(AS2,$AA$2:$AH$15,6,FALSE)</f>
        <v>10</v>
      </c>
      <c r="AU4" s="79">
        <f>VLOOKUP(AS2,$AA$2:$AH$15,7,FALSE)</f>
        <v>5</v>
      </c>
      <c r="AV4" s="79">
        <f>VLOOKUP(AS2,$AA$2:$AH$15,8,FALSE)</f>
        <v>10</v>
      </c>
      <c r="AW4" s="79">
        <f>VLOOKUP(AW2,$AA$2:$AH$15,5,FALSE)</f>
        <v>15</v>
      </c>
      <c r="AX4" s="79">
        <f>VLOOKUP(AW2,$AA$2:$AH$15,6,FALSE)</f>
        <v>50</v>
      </c>
      <c r="AY4" s="79">
        <f>VLOOKUP(AW2,$AA$2:$AH$15,7,FALSE)</f>
        <v>40</v>
      </c>
      <c r="AZ4" s="79">
        <f>VLOOKUP(AW2,$AA$2:$AH$15,8,FALSE)</f>
        <v>5</v>
      </c>
      <c r="BA4" s="79">
        <f>VLOOKUP(BA2,$AA$2:$AH$15,5,FALSE)</f>
        <v>0</v>
      </c>
      <c r="BB4" s="79">
        <f>VLOOKUP(BA2,$AA$2:$AH$15,6,FALSE)</f>
        <v>2</v>
      </c>
      <c r="BC4" s="79">
        <f>VLOOKUP(BA2,$AA$2:$AH$15,7,FALSE)</f>
        <v>1</v>
      </c>
      <c r="BD4" s="79">
        <f>VLOOKUP(BA2,$AA$2:$AH$15,8,FALSE)</f>
        <v>2</v>
      </c>
      <c r="BE4" s="79">
        <f>VLOOKUP(BE2,$AA$2:$AH$15,5,FALSE)</f>
        <v>130</v>
      </c>
      <c r="BF4" s="79">
        <f>VLOOKUP(BE2,$AA$2:$AH$15,6,FALSE)</f>
        <v>30</v>
      </c>
      <c r="BG4" s="79">
        <f>VLOOKUP(BE2,$AA$2:$AH$15,7,FALSE)</f>
        <v>40</v>
      </c>
      <c r="BH4" s="79">
        <f>VLOOKUP(BE2,$AA$2:$AH$15,8,FALSE)</f>
        <v>30</v>
      </c>
      <c r="BI4" s="79">
        <f>VLOOKUP(BI2,$AA$2:$AH$15,5,FALSE)</f>
        <v>120</v>
      </c>
      <c r="BJ4" s="79">
        <f>VLOOKUP(BI2,$AA$2:$AH$15,6,FALSE)</f>
        <v>40</v>
      </c>
      <c r="BK4" s="79">
        <f>VLOOKUP(BI2,$AA$2:$AH$15,7,FALSE)</f>
        <v>30</v>
      </c>
      <c r="BL4" s="79">
        <f>VLOOKUP(BI2,$AA$2:$AH$15,8,FALSE)</f>
        <v>50</v>
      </c>
      <c r="BM4" s="79">
        <f>VLOOKUP(BM2,$AA$2:$AH$15,5,FALSE)</f>
        <v>150</v>
      </c>
      <c r="BN4" s="79">
        <f>VLOOKUP(BM2,$AA$2:$AH$15,6,FALSE)</f>
        <v>200</v>
      </c>
      <c r="BO4" s="79">
        <f>VLOOKUP(BM2,$AA$2:$AH$15,7,FALSE)</f>
        <v>80</v>
      </c>
      <c r="BP4" s="79">
        <f>VLOOKUP(BM2,$AA$2:$AH$15,8,FALSE)</f>
        <v>180</v>
      </c>
      <c r="BQ4" s="79">
        <f>VLOOKUP(BQ2,$AA$2:$AH$15,5,FALSE)</f>
        <v>2</v>
      </c>
      <c r="BR4" s="79">
        <f>VLOOKUP(BQ2,$AA$2:$AH$15,6,FALSE)</f>
        <v>20</v>
      </c>
      <c r="BS4" s="79">
        <f>VLOOKUP(BQ2,$AA$2:$AH$15,7,FALSE)</f>
        <v>50</v>
      </c>
      <c r="BT4" s="79">
        <f>VLOOKUP(BQ2,$AA$2:$AH$15,8,FALSE)</f>
        <v>20</v>
      </c>
      <c r="BU4" s="79">
        <f>VLOOKUP(BU2,$AA$2:$AH$15,5,FALSE)</f>
        <v>100</v>
      </c>
      <c r="BV4" s="79">
        <f>VLOOKUP(BU2,$AA$2:$AH$15,6,FALSE)</f>
        <v>100</v>
      </c>
      <c r="BW4" s="79">
        <f>VLOOKUP(BU2,$AA$2:$AH$15,7,FALSE)</f>
        <v>50</v>
      </c>
      <c r="BX4" s="79">
        <f>VLOOKUP(BU2,$AA$2:$AH$15,8,FALSE)</f>
        <v>100</v>
      </c>
      <c r="BY4" s="79">
        <f>VLOOKUP(BY2,$AA$2:$AH$15,5,FALSE)</f>
        <v>150</v>
      </c>
      <c r="BZ4" s="79">
        <f>VLOOKUP(BY2,$AA$2:$AH$15,6,FALSE)</f>
        <v>250</v>
      </c>
      <c r="CA4" s="79">
        <f>VLOOKUP(BY2,$AA$2:$AH$15,7,FALSE)</f>
        <v>400</v>
      </c>
      <c r="CB4" s="79">
        <f>VLOOKUP(BY2,$AA$2:$AH$15,8,FALSE)</f>
        <v>150</v>
      </c>
      <c r="CC4" s="79">
        <f>VLOOKUP(CC2,$AA$2:$AH$15,5,FALSE)</f>
        <v>30</v>
      </c>
      <c r="CD4" s="79">
        <f>VLOOKUP(CC2,$AA$2:$AH$15,6,FALSE)</f>
        <v>100</v>
      </c>
      <c r="CE4" s="79">
        <f>VLOOKUP(CC2,$AA$2:$AH$15,7,FALSE)</f>
        <v>50</v>
      </c>
      <c r="CF4" s="79">
        <f>VLOOKUP(CC2,$AA$2:$AH$15,8,FALSE)</f>
        <v>100</v>
      </c>
      <c r="CG4" s="79">
        <f>VLOOKUP(CG2,$AA$2:$AH$15,5,FALSE)</f>
        <v>0</v>
      </c>
      <c r="CH4" s="79">
        <f>VLOOKUP(CG2,$AA$2:$AH$15,6,FALSE)</f>
        <v>15</v>
      </c>
      <c r="CI4" s="79">
        <f>VLOOKUP(CG2,$AA$2:$AH$15,7,FALSE)</f>
        <v>45</v>
      </c>
      <c r="CJ4" s="79">
        <f>VLOOKUP(CG2,$AA$2:$AH$15,8,FALSE)</f>
        <v>25</v>
      </c>
    </row>
    <row r="5" spans="1:88" x14ac:dyDescent="0.25">
      <c r="A5">
        <v>1</v>
      </c>
      <c r="B5" s="83">
        <f>O5/$B$1</f>
        <v>7.8703703703703713E-3</v>
      </c>
      <c r="C5" s="80">
        <f>P5/$B$1</f>
        <v>1.1574074074074075E-2</v>
      </c>
      <c r="D5" s="80">
        <f>Q5/$B$1</f>
        <v>1.0185185185185184E-2</v>
      </c>
      <c r="E5" s="80">
        <f t="shared" ref="E5:E28" si="0">R5/$B$1</f>
        <v>1.3121547448551894E-2</v>
      </c>
      <c r="F5" s="83">
        <f t="shared" ref="F5:L6" si="1">S5/$B$1</f>
        <v>6.5543333333333348E-3</v>
      </c>
      <c r="G5" s="80">
        <f t="shared" si="1"/>
        <v>1.310866666666667E-2</v>
      </c>
      <c r="H5" s="80">
        <f t="shared" si="1"/>
        <v>1.968040416867161E-2</v>
      </c>
      <c r="I5" s="84">
        <f t="shared" si="1"/>
        <v>2.6217333333333339E-2</v>
      </c>
      <c r="J5" s="83">
        <f t="shared" si="1"/>
        <v>3.4956444444444443E-2</v>
      </c>
      <c r="K5" s="84">
        <f t="shared" si="1"/>
        <v>5.2434666666666671E-2</v>
      </c>
      <c r="L5" s="84">
        <f t="shared" si="1"/>
        <v>0.1310277777777778</v>
      </c>
      <c r="N5">
        <v>1</v>
      </c>
      <c r="O5" s="83">
        <v>7.8703703703703713E-3</v>
      </c>
      <c r="P5" s="80">
        <v>1.1574074074074075E-2</v>
      </c>
      <c r="Q5" s="80">
        <v>1.0185185185185184E-2</v>
      </c>
      <c r="R5" s="84">
        <f t="shared" ref="R5:R27" si="2">R6*1.06</f>
        <v>1.3121547448551894E-2</v>
      </c>
      <c r="S5" s="83">
        <f t="shared" ref="S5:V6" si="3">S6*1.06</f>
        <v>6.5543333333333348E-3</v>
      </c>
      <c r="T5" s="80">
        <f t="shared" si="3"/>
        <v>1.310866666666667E-2</v>
      </c>
      <c r="U5" s="144">
        <f t="shared" si="3"/>
        <v>1.968040416867161E-2</v>
      </c>
      <c r="V5" s="84">
        <f t="shared" si="3"/>
        <v>2.6217333333333339E-2</v>
      </c>
      <c r="W5" s="83">
        <v>3.4956444444444443E-2</v>
      </c>
      <c r="X5" s="144">
        <v>5.2434666666666671E-2</v>
      </c>
      <c r="Y5" s="148">
        <v>0.1310277777777778</v>
      </c>
      <c r="AA5" t="s">
        <v>75</v>
      </c>
      <c r="AB5">
        <v>60</v>
      </c>
      <c r="AC5">
        <v>30</v>
      </c>
      <c r="AD5">
        <v>40</v>
      </c>
      <c r="AE5">
        <v>40</v>
      </c>
      <c r="AF5">
        <v>10</v>
      </c>
      <c r="AG5">
        <v>5</v>
      </c>
      <c r="AH5">
        <v>10</v>
      </c>
      <c r="AJ5">
        <v>2</v>
      </c>
      <c r="AK5" s="181">
        <f t="shared" ref="AK5:AK13" si="4">1.04608*AK4</f>
        <v>10.460799999999999</v>
      </c>
      <c r="AL5" s="181">
        <f t="shared" ref="AL5:AL13" si="5">1.04608*AL4</f>
        <v>15.691199999999998</v>
      </c>
      <c r="AM5" s="181">
        <f t="shared" ref="AM5:AN13" si="6">1.04608*AM4</f>
        <v>47.073599999999999</v>
      </c>
      <c r="AN5" s="181">
        <f t="shared" si="6"/>
        <v>20.921599999999998</v>
      </c>
      <c r="AO5" s="181">
        <f t="shared" ref="AO5:AO13" si="7">1.04608*AO4</f>
        <v>26.151999999999997</v>
      </c>
      <c r="AP5" s="181">
        <f t="shared" ref="AP5:AP13" si="8">1.04608*AP4</f>
        <v>52.303999999999995</v>
      </c>
      <c r="AQ5" s="181">
        <f t="shared" ref="AQ5:AQ13" si="9">1.04608*AQ4</f>
        <v>26.151999999999997</v>
      </c>
      <c r="AR5" s="181">
        <f t="shared" ref="AR5:AR13" si="10">1.04608*AR4</f>
        <v>41.843199999999996</v>
      </c>
      <c r="AS5" s="181">
        <f t="shared" ref="AS5:AS13" si="11">1.04608*AS4</f>
        <v>41.843199999999996</v>
      </c>
      <c r="AT5" s="181">
        <f t="shared" ref="AT5:AT13" si="12">1.04608*AT4</f>
        <v>10.460799999999999</v>
      </c>
      <c r="AU5" s="181">
        <f t="shared" ref="AU5:AU13" si="13">1.04608*AU4</f>
        <v>5.2303999999999995</v>
      </c>
      <c r="AV5" s="181">
        <f t="shared" ref="AV5:AV13" si="14">1.04608*AV4</f>
        <v>10.460799999999999</v>
      </c>
      <c r="AW5" s="181">
        <f t="shared" ref="AW5:AW13" si="15">1.04608*AW4</f>
        <v>15.691199999999998</v>
      </c>
      <c r="AX5" s="181">
        <f t="shared" ref="AX5:AX13" si="16">1.04608*AX4</f>
        <v>52.303999999999995</v>
      </c>
      <c r="AY5" s="181">
        <f t="shared" ref="AY5:AY13" si="17">1.04608*AY4</f>
        <v>41.843199999999996</v>
      </c>
      <c r="AZ5" s="181">
        <f t="shared" ref="AZ5:AZ13" si="18">1.04608*AZ4</f>
        <v>5.2303999999999995</v>
      </c>
      <c r="BA5" s="181">
        <f t="shared" ref="BA5:BA13" si="19">1.04608*BA4</f>
        <v>0</v>
      </c>
      <c r="BB5" s="181">
        <f t="shared" ref="BB5:BB13" si="20">1.04608*BB4</f>
        <v>2.0921599999999998</v>
      </c>
      <c r="BC5" s="181">
        <f t="shared" ref="BC5:BC13" si="21">1.04608*BC4</f>
        <v>1.0460799999999999</v>
      </c>
      <c r="BD5" s="181">
        <f t="shared" ref="BD5:BD13" si="22">1.04608*BD4</f>
        <v>2.0921599999999998</v>
      </c>
      <c r="BE5" s="181">
        <f t="shared" ref="BE5:BE13" si="23">1.04608*BE4</f>
        <v>135.99039999999999</v>
      </c>
      <c r="BF5" s="181">
        <f t="shared" ref="BF5:BF13" si="24">1.04608*BF4</f>
        <v>31.382399999999997</v>
      </c>
      <c r="BG5" s="181">
        <f t="shared" ref="BG5:BG13" si="25">1.04608*BG4</f>
        <v>41.843199999999996</v>
      </c>
      <c r="BH5" s="181">
        <f t="shared" ref="BH5:BH13" si="26">1.04608*BH4</f>
        <v>31.382399999999997</v>
      </c>
      <c r="BI5" s="181">
        <f t="shared" ref="BI5:BI13" si="27">1.04608*BI4</f>
        <v>125.52959999999999</v>
      </c>
      <c r="BJ5" s="181">
        <f t="shared" ref="BJ5:BJ13" si="28">1.04608*BJ4</f>
        <v>41.843199999999996</v>
      </c>
      <c r="BK5" s="181">
        <f t="shared" ref="BK5:BK13" si="29">1.04608*BK4</f>
        <v>31.382399999999997</v>
      </c>
      <c r="BL5" s="181">
        <f t="shared" ref="BL5:BL13" si="30">1.04608*BL4</f>
        <v>52.303999999999995</v>
      </c>
      <c r="BM5" s="181">
        <f t="shared" ref="BM5:BM13" si="31">1.04608*BM4</f>
        <v>156.91199999999998</v>
      </c>
      <c r="BN5" s="181">
        <f t="shared" ref="BN5:BN13" si="32">1.04608*BN4</f>
        <v>209.21599999999998</v>
      </c>
      <c r="BO5" s="181">
        <f t="shared" ref="BO5:BO13" si="33">1.04608*BO4</f>
        <v>83.686399999999992</v>
      </c>
      <c r="BP5" s="181">
        <f t="shared" ref="BP5:BP13" si="34">1.04608*BP4</f>
        <v>188.2944</v>
      </c>
      <c r="BQ5" s="181">
        <f t="shared" ref="BQ5:BQ13" si="35">1.04608*BQ4</f>
        <v>2.0921599999999998</v>
      </c>
      <c r="BR5" s="181">
        <f t="shared" ref="BR5:BR13" si="36">1.04608*BR4</f>
        <v>20.921599999999998</v>
      </c>
      <c r="BS5" s="181">
        <f t="shared" ref="BS5:BS13" si="37">1.04608*BS4</f>
        <v>52.303999999999995</v>
      </c>
      <c r="BT5" s="181">
        <f t="shared" ref="BT5:BT13" si="38">1.04608*BT4</f>
        <v>20.921599999999998</v>
      </c>
      <c r="BU5" s="181">
        <f t="shared" ref="BU5:BU13" si="39">1.04608*BU4</f>
        <v>104.60799999999999</v>
      </c>
      <c r="BV5" s="181">
        <f t="shared" ref="BV5:BV13" si="40">1.04608*BV4</f>
        <v>104.60799999999999</v>
      </c>
      <c r="BW5" s="181">
        <f t="shared" ref="BW5:BW13" si="41">1.04608*BW4</f>
        <v>52.303999999999995</v>
      </c>
      <c r="BX5" s="181">
        <f t="shared" ref="BX5:BX13" si="42">1.04608*BX4</f>
        <v>104.60799999999999</v>
      </c>
      <c r="BY5" s="181"/>
      <c r="BZ5" s="181"/>
      <c r="CA5" s="181"/>
      <c r="CB5" s="181"/>
      <c r="CC5" s="181"/>
      <c r="CD5" s="181"/>
      <c r="CE5" s="181"/>
      <c r="CF5" s="181"/>
      <c r="CG5" s="181"/>
      <c r="CH5" s="181"/>
      <c r="CI5" s="181"/>
      <c r="CJ5" s="181"/>
    </row>
    <row r="6" spans="1:88" x14ac:dyDescent="0.25">
      <c r="A6">
        <v>2</v>
      </c>
      <c r="B6" s="83">
        <f t="shared" ref="B6:B29" si="43">O6/$B$1</f>
        <v>7.0271164021164026E-3</v>
      </c>
      <c r="C6" s="80">
        <f t="shared" ref="C6:C20" si="44">P6/$B$1</f>
        <v>1.0324074074074074E-2</v>
      </c>
      <c r="D6" s="80">
        <f t="shared" ref="D6:D20" si="45">Q6/$B$1</f>
        <v>9.0740740740740729E-3</v>
      </c>
      <c r="E6" s="80">
        <f t="shared" si="0"/>
        <v>1.2378818347690466E-2</v>
      </c>
      <c r="F6" s="83">
        <f t="shared" si="1"/>
        <v>6.1833333333333341E-3</v>
      </c>
      <c r="G6" s="80">
        <f t="shared" si="1"/>
        <v>1.2366666666666668E-2</v>
      </c>
      <c r="H6" s="80">
        <f t="shared" si="1"/>
        <v>1.8566419027048687E-2</v>
      </c>
      <c r="I6" s="84">
        <f t="shared" si="1"/>
        <v>2.4733333333333336E-2</v>
      </c>
      <c r="J6" s="83">
        <f t="shared" si="1"/>
        <v>3.2977777777777773E-2</v>
      </c>
      <c r="K6" s="84">
        <f t="shared" si="1"/>
        <v>4.9466666666666666E-2</v>
      </c>
      <c r="L6" s="84">
        <f t="shared" si="1"/>
        <v>0.12361111111111112</v>
      </c>
      <c r="N6">
        <v>2</v>
      </c>
      <c r="O6" s="83">
        <v>7.0271164021164026E-3</v>
      </c>
      <c r="P6" s="80">
        <v>1.0324074074074074E-2</v>
      </c>
      <c r="Q6" s="80">
        <v>9.0740740740740729E-3</v>
      </c>
      <c r="R6" s="84">
        <f t="shared" si="2"/>
        <v>1.2378818347690466E-2</v>
      </c>
      <c r="S6" s="83">
        <f t="shared" si="3"/>
        <v>6.1833333333333341E-3</v>
      </c>
      <c r="T6" s="80">
        <f t="shared" si="3"/>
        <v>1.2366666666666668E-2</v>
      </c>
      <c r="U6" s="144">
        <f t="shared" si="3"/>
        <v>1.8566419027048687E-2</v>
      </c>
      <c r="V6" s="84">
        <f t="shared" si="3"/>
        <v>2.4733333333333336E-2</v>
      </c>
      <c r="W6" s="83">
        <v>3.2977777777777773E-2</v>
      </c>
      <c r="X6" s="144">
        <v>4.9466666666666666E-2</v>
      </c>
      <c r="Y6" s="148">
        <v>0.12361111111111112</v>
      </c>
      <c r="AA6" t="s">
        <v>190</v>
      </c>
      <c r="AB6">
        <v>100</v>
      </c>
      <c r="AC6">
        <v>30</v>
      </c>
      <c r="AD6">
        <v>60</v>
      </c>
      <c r="AE6">
        <v>15</v>
      </c>
      <c r="AF6">
        <v>50</v>
      </c>
      <c r="AG6">
        <v>40</v>
      </c>
      <c r="AH6">
        <v>5</v>
      </c>
      <c r="AJ6">
        <v>3</v>
      </c>
      <c r="AK6" s="181">
        <f t="shared" si="4"/>
        <v>10.942833663999998</v>
      </c>
      <c r="AL6" s="181">
        <f t="shared" si="5"/>
        <v>16.414250495999998</v>
      </c>
      <c r="AM6" s="181">
        <f t="shared" si="6"/>
        <v>49.242751487999996</v>
      </c>
      <c r="AN6" s="181">
        <f t="shared" si="6"/>
        <v>21.885667327999997</v>
      </c>
      <c r="AO6" s="181">
        <f t="shared" si="7"/>
        <v>27.357084159999996</v>
      </c>
      <c r="AP6" s="181">
        <f t="shared" si="8"/>
        <v>54.714168319999992</v>
      </c>
      <c r="AQ6" s="181">
        <f t="shared" si="9"/>
        <v>27.357084159999996</v>
      </c>
      <c r="AR6" s="181">
        <f t="shared" si="10"/>
        <v>43.771334655999993</v>
      </c>
      <c r="AS6" s="181">
        <f t="shared" si="11"/>
        <v>43.771334655999993</v>
      </c>
      <c r="AT6" s="181">
        <f t="shared" si="12"/>
        <v>10.942833663999998</v>
      </c>
      <c r="AU6" s="181">
        <f t="shared" si="13"/>
        <v>5.4714168319999992</v>
      </c>
      <c r="AV6" s="181">
        <f t="shared" si="14"/>
        <v>10.942833663999998</v>
      </c>
      <c r="AW6" s="181">
        <f t="shared" si="15"/>
        <v>16.414250495999998</v>
      </c>
      <c r="AX6" s="181">
        <f t="shared" si="16"/>
        <v>54.714168319999992</v>
      </c>
      <c r="AY6" s="181">
        <f t="shared" si="17"/>
        <v>43.771334655999993</v>
      </c>
      <c r="AZ6" s="181">
        <f t="shared" si="18"/>
        <v>5.4714168319999992</v>
      </c>
      <c r="BA6" s="181">
        <f t="shared" si="19"/>
        <v>0</v>
      </c>
      <c r="BB6" s="181">
        <f t="shared" si="20"/>
        <v>2.1885667327999996</v>
      </c>
      <c r="BC6" s="181">
        <f t="shared" si="21"/>
        <v>1.0942833663999998</v>
      </c>
      <c r="BD6" s="181">
        <f t="shared" si="22"/>
        <v>2.1885667327999996</v>
      </c>
      <c r="BE6" s="181">
        <f t="shared" si="23"/>
        <v>142.25683763199999</v>
      </c>
      <c r="BF6" s="181">
        <f t="shared" si="24"/>
        <v>32.828500991999995</v>
      </c>
      <c r="BG6" s="181">
        <f t="shared" si="25"/>
        <v>43.771334655999993</v>
      </c>
      <c r="BH6" s="181">
        <f t="shared" si="26"/>
        <v>32.828500991999995</v>
      </c>
      <c r="BI6" s="181">
        <f t="shared" si="27"/>
        <v>131.31400396799998</v>
      </c>
      <c r="BJ6" s="181">
        <f t="shared" si="28"/>
        <v>43.771334655999993</v>
      </c>
      <c r="BK6" s="181">
        <f t="shared" si="29"/>
        <v>32.828500991999995</v>
      </c>
      <c r="BL6" s="181">
        <f t="shared" si="30"/>
        <v>54.714168319999992</v>
      </c>
      <c r="BM6" s="181">
        <f t="shared" si="31"/>
        <v>164.14250495999997</v>
      </c>
      <c r="BN6" s="181">
        <f t="shared" si="32"/>
        <v>218.85667327999997</v>
      </c>
      <c r="BO6" s="181">
        <f t="shared" si="33"/>
        <v>87.542669311999987</v>
      </c>
      <c r="BP6" s="181">
        <f t="shared" si="34"/>
        <v>196.97100595199998</v>
      </c>
      <c r="BQ6" s="181">
        <f t="shared" si="35"/>
        <v>2.1885667327999996</v>
      </c>
      <c r="BR6" s="181">
        <f t="shared" si="36"/>
        <v>21.885667327999997</v>
      </c>
      <c r="BS6" s="181">
        <f t="shared" si="37"/>
        <v>54.714168319999992</v>
      </c>
      <c r="BT6" s="181">
        <f t="shared" si="38"/>
        <v>21.885667327999997</v>
      </c>
      <c r="BU6" s="181">
        <f t="shared" si="39"/>
        <v>109.42833663999998</v>
      </c>
      <c r="BV6" s="181">
        <f t="shared" si="40"/>
        <v>109.42833663999998</v>
      </c>
      <c r="BW6" s="181">
        <f t="shared" si="41"/>
        <v>54.714168319999992</v>
      </c>
      <c r="BX6" s="181">
        <f t="shared" si="42"/>
        <v>109.42833663999998</v>
      </c>
      <c r="BY6" s="181"/>
      <c r="BZ6" s="181"/>
      <c r="CA6" s="181"/>
      <c r="CB6" s="181"/>
      <c r="CC6" s="181"/>
      <c r="CD6" s="181"/>
      <c r="CE6" s="181"/>
      <c r="CF6" s="181"/>
      <c r="CG6" s="181"/>
      <c r="CH6" s="181"/>
      <c r="CI6" s="181"/>
      <c r="CJ6" s="181"/>
    </row>
    <row r="7" spans="1:88" x14ac:dyDescent="0.25">
      <c r="A7">
        <v>3</v>
      </c>
      <c r="B7" s="83">
        <f t="shared" si="43"/>
        <v>6.6203703703703702E-3</v>
      </c>
      <c r="C7" s="80">
        <f t="shared" si="44"/>
        <v>9.7222222222222224E-3</v>
      </c>
      <c r="D7" s="80">
        <f t="shared" si="45"/>
        <v>8.564814814814815E-3</v>
      </c>
      <c r="E7" s="80">
        <f t="shared" si="0"/>
        <v>1.1678130516689119E-2</v>
      </c>
      <c r="F7" s="83">
        <f t="shared" ref="F7:F20" si="46">S7/$B$1</f>
        <v>5.8333333333333336E-3</v>
      </c>
      <c r="G7" s="80">
        <f t="shared" ref="G7:G20" si="47">T7/$B$1</f>
        <v>1.1666666666666667E-2</v>
      </c>
      <c r="H7" s="80">
        <f t="shared" ref="H7:H20" si="48">U7/$B$1</f>
        <v>1.7515489648159136E-2</v>
      </c>
      <c r="I7" s="84">
        <f t="shared" ref="I7:L20" si="49">V7/$B$1</f>
        <v>2.3333333333333334E-2</v>
      </c>
      <c r="J7" s="83">
        <f t="shared" si="49"/>
        <v>3.1111111111111103E-2</v>
      </c>
      <c r="K7" s="84">
        <f t="shared" si="49"/>
        <v>4.6666666666666662E-2</v>
      </c>
      <c r="L7" s="84">
        <f t="shared" si="49"/>
        <v>0.11661425576519915</v>
      </c>
      <c r="N7">
        <v>3</v>
      </c>
      <c r="O7" s="83">
        <v>6.6203703703703702E-3</v>
      </c>
      <c r="P7" s="80">
        <v>9.7222222222222224E-3</v>
      </c>
      <c r="Q7" s="80">
        <v>8.564814814814815E-3</v>
      </c>
      <c r="R7" s="84">
        <f t="shared" si="2"/>
        <v>1.1678130516689119E-2</v>
      </c>
      <c r="S7" s="83">
        <v>5.8333333333333336E-3</v>
      </c>
      <c r="T7" s="80">
        <v>1.1666666666666667E-2</v>
      </c>
      <c r="U7" s="144">
        <f t="shared" ref="U7:U23" si="50">U8*1.06</f>
        <v>1.7515489648159136E-2</v>
      </c>
      <c r="V7" s="84">
        <v>2.3333333333333334E-2</v>
      </c>
      <c r="W7" s="83">
        <v>3.1111111111111103E-2</v>
      </c>
      <c r="X7" s="144">
        <v>4.6666666666666662E-2</v>
      </c>
      <c r="Y7" s="148">
        <v>0.11661425576519915</v>
      </c>
      <c r="AA7" t="s">
        <v>71</v>
      </c>
      <c r="AB7">
        <v>50</v>
      </c>
      <c r="AC7">
        <v>50</v>
      </c>
      <c r="AD7">
        <v>20</v>
      </c>
      <c r="AE7">
        <v>0</v>
      </c>
      <c r="AF7">
        <v>2</v>
      </c>
      <c r="AG7">
        <v>1</v>
      </c>
      <c r="AH7">
        <v>2</v>
      </c>
      <c r="AJ7">
        <v>4</v>
      </c>
      <c r="AK7" s="181">
        <f t="shared" si="4"/>
        <v>11.447079439237116</v>
      </c>
      <c r="AL7" s="181">
        <f t="shared" si="5"/>
        <v>17.170619158855676</v>
      </c>
      <c r="AM7" s="181">
        <f t="shared" si="6"/>
        <v>51.51185747656703</v>
      </c>
      <c r="AN7" s="181">
        <f t="shared" si="6"/>
        <v>22.894158878474233</v>
      </c>
      <c r="AO7" s="181">
        <f t="shared" si="7"/>
        <v>28.617698598092794</v>
      </c>
      <c r="AP7" s="181">
        <f t="shared" si="8"/>
        <v>57.235397196185588</v>
      </c>
      <c r="AQ7" s="181">
        <f t="shared" si="9"/>
        <v>28.617698598092794</v>
      </c>
      <c r="AR7" s="181">
        <f t="shared" si="10"/>
        <v>45.788317756948466</v>
      </c>
      <c r="AS7" s="181">
        <f t="shared" si="11"/>
        <v>45.788317756948466</v>
      </c>
      <c r="AT7" s="181">
        <f t="shared" si="12"/>
        <v>11.447079439237116</v>
      </c>
      <c r="AU7" s="181">
        <f t="shared" si="13"/>
        <v>5.7235397196185582</v>
      </c>
      <c r="AV7" s="181">
        <f t="shared" si="14"/>
        <v>11.447079439237116</v>
      </c>
      <c r="AW7" s="181">
        <f t="shared" si="15"/>
        <v>17.170619158855676</v>
      </c>
      <c r="AX7" s="181">
        <f t="shared" si="16"/>
        <v>57.235397196185588</v>
      </c>
      <c r="AY7" s="181">
        <f t="shared" si="17"/>
        <v>45.788317756948466</v>
      </c>
      <c r="AZ7" s="181">
        <f t="shared" si="18"/>
        <v>5.7235397196185582</v>
      </c>
      <c r="BA7" s="181">
        <f t="shared" si="19"/>
        <v>0</v>
      </c>
      <c r="BB7" s="181">
        <f t="shared" si="20"/>
        <v>2.2894158878474236</v>
      </c>
      <c r="BC7" s="181">
        <f t="shared" si="21"/>
        <v>1.1447079439237118</v>
      </c>
      <c r="BD7" s="181">
        <f t="shared" si="22"/>
        <v>2.2894158878474236</v>
      </c>
      <c r="BE7" s="181">
        <f t="shared" si="23"/>
        <v>148.81203271008252</v>
      </c>
      <c r="BF7" s="181">
        <f t="shared" si="24"/>
        <v>34.341238317711351</v>
      </c>
      <c r="BG7" s="181">
        <f t="shared" si="25"/>
        <v>45.788317756948466</v>
      </c>
      <c r="BH7" s="181">
        <f t="shared" si="26"/>
        <v>34.341238317711351</v>
      </c>
      <c r="BI7" s="181">
        <f t="shared" si="27"/>
        <v>137.3649532708454</v>
      </c>
      <c r="BJ7" s="181">
        <f t="shared" si="28"/>
        <v>45.788317756948466</v>
      </c>
      <c r="BK7" s="181">
        <f t="shared" si="29"/>
        <v>34.341238317711351</v>
      </c>
      <c r="BL7" s="181">
        <f t="shared" si="30"/>
        <v>57.235397196185588</v>
      </c>
      <c r="BM7" s="181">
        <f t="shared" si="31"/>
        <v>171.70619158855675</v>
      </c>
      <c r="BN7" s="181">
        <f t="shared" si="32"/>
        <v>228.94158878474235</v>
      </c>
      <c r="BO7" s="181">
        <f t="shared" si="33"/>
        <v>91.576635513896932</v>
      </c>
      <c r="BP7" s="181">
        <f t="shared" si="34"/>
        <v>206.04742990626812</v>
      </c>
      <c r="BQ7" s="181">
        <f t="shared" si="35"/>
        <v>2.2894158878474236</v>
      </c>
      <c r="BR7" s="181">
        <f t="shared" si="36"/>
        <v>22.894158878474233</v>
      </c>
      <c r="BS7" s="181">
        <f t="shared" si="37"/>
        <v>57.235397196185588</v>
      </c>
      <c r="BT7" s="181">
        <f t="shared" si="38"/>
        <v>22.894158878474233</v>
      </c>
      <c r="BU7" s="181">
        <f t="shared" si="39"/>
        <v>114.47079439237118</v>
      </c>
      <c r="BV7" s="181">
        <f t="shared" si="40"/>
        <v>114.47079439237118</v>
      </c>
      <c r="BW7" s="181">
        <f t="shared" si="41"/>
        <v>57.235397196185588</v>
      </c>
      <c r="BX7" s="181">
        <f t="shared" si="42"/>
        <v>114.47079439237118</v>
      </c>
      <c r="BY7" s="181"/>
      <c r="BZ7" s="181"/>
      <c r="CA7" s="181"/>
      <c r="CB7" s="181"/>
      <c r="CC7" s="181"/>
      <c r="CD7" s="181"/>
      <c r="CE7" s="181"/>
      <c r="CF7" s="181"/>
      <c r="CG7" s="181"/>
      <c r="CH7" s="181"/>
      <c r="CI7" s="181"/>
      <c r="CJ7" s="181"/>
    </row>
    <row r="8" spans="1:88" x14ac:dyDescent="0.25">
      <c r="A8">
        <v>4</v>
      </c>
      <c r="B8" s="83">
        <f t="shared" si="43"/>
        <v>6.2456324248777078E-3</v>
      </c>
      <c r="C8" s="80">
        <f t="shared" si="44"/>
        <v>9.2129629629629627E-3</v>
      </c>
      <c r="D8" s="80">
        <f t="shared" si="45"/>
        <v>8.0800139762403911E-3</v>
      </c>
      <c r="E8" s="80">
        <f t="shared" si="0"/>
        <v>1.101710426102747E-2</v>
      </c>
      <c r="F8" s="83">
        <f t="shared" si="46"/>
        <v>5.50314465408805E-3</v>
      </c>
      <c r="G8" s="80">
        <f t="shared" si="47"/>
        <v>1.10062893081761E-2</v>
      </c>
      <c r="H8" s="80">
        <f t="shared" si="48"/>
        <v>1.6524046837885976E-2</v>
      </c>
      <c r="I8" s="84">
        <f t="shared" si="49"/>
        <v>2.20125786163522E-2</v>
      </c>
      <c r="J8" s="83">
        <f t="shared" si="49"/>
        <v>2.9350104821802926E-2</v>
      </c>
      <c r="K8" s="84">
        <f t="shared" si="49"/>
        <v>4.4025157232704393E-2</v>
      </c>
      <c r="L8" s="147"/>
      <c r="N8">
        <v>4</v>
      </c>
      <c r="O8" s="83">
        <v>6.2456324248777078E-3</v>
      </c>
      <c r="P8" s="80">
        <v>9.2129629629629627E-3</v>
      </c>
      <c r="Q8" s="80">
        <v>8.0800139762403911E-3</v>
      </c>
      <c r="R8" s="84">
        <f t="shared" si="2"/>
        <v>1.101710426102747E-2</v>
      </c>
      <c r="S8" s="83">
        <v>5.50314465408805E-3</v>
      </c>
      <c r="T8" s="80">
        <v>1.10062893081761E-2</v>
      </c>
      <c r="U8" s="144">
        <f t="shared" si="50"/>
        <v>1.6524046837885976E-2</v>
      </c>
      <c r="V8" s="84">
        <v>2.20125786163522E-2</v>
      </c>
      <c r="W8" s="83">
        <v>2.9350104821802926E-2</v>
      </c>
      <c r="X8" s="144">
        <v>4.4025157232704393E-2</v>
      </c>
      <c r="Y8" s="147"/>
      <c r="AA8" t="s">
        <v>76</v>
      </c>
      <c r="AB8">
        <v>125</v>
      </c>
      <c r="AC8">
        <v>100</v>
      </c>
      <c r="AD8">
        <v>250</v>
      </c>
      <c r="AE8">
        <v>130</v>
      </c>
      <c r="AF8">
        <v>30</v>
      </c>
      <c r="AG8">
        <v>40</v>
      </c>
      <c r="AH8">
        <v>30</v>
      </c>
      <c r="AJ8">
        <v>5</v>
      </c>
      <c r="AK8" s="181">
        <f t="shared" si="4"/>
        <v>11.974560859797162</v>
      </c>
      <c r="AL8" s="181">
        <f t="shared" si="5"/>
        <v>17.961841289695744</v>
      </c>
      <c r="AM8" s="181">
        <f t="shared" si="6"/>
        <v>53.885523869087237</v>
      </c>
      <c r="AN8" s="181">
        <f t="shared" si="6"/>
        <v>23.949121719594324</v>
      </c>
      <c r="AO8" s="181">
        <f t="shared" si="7"/>
        <v>29.936402149492906</v>
      </c>
      <c r="AP8" s="181">
        <f t="shared" si="8"/>
        <v>59.872804298985812</v>
      </c>
      <c r="AQ8" s="181">
        <f t="shared" si="9"/>
        <v>29.936402149492906</v>
      </c>
      <c r="AR8" s="181">
        <f t="shared" si="10"/>
        <v>47.898243439188647</v>
      </c>
      <c r="AS8" s="181">
        <f t="shared" si="11"/>
        <v>47.898243439188647</v>
      </c>
      <c r="AT8" s="181">
        <f t="shared" si="12"/>
        <v>11.974560859797162</v>
      </c>
      <c r="AU8" s="181">
        <f t="shared" si="13"/>
        <v>5.9872804298985809</v>
      </c>
      <c r="AV8" s="181">
        <f t="shared" si="14"/>
        <v>11.974560859797162</v>
      </c>
      <c r="AW8" s="181">
        <f t="shared" si="15"/>
        <v>17.961841289695744</v>
      </c>
      <c r="AX8" s="181">
        <f t="shared" si="16"/>
        <v>59.872804298985812</v>
      </c>
      <c r="AY8" s="181">
        <f t="shared" si="17"/>
        <v>47.898243439188647</v>
      </c>
      <c r="AZ8" s="181">
        <f t="shared" si="18"/>
        <v>5.9872804298985809</v>
      </c>
      <c r="BA8" s="181">
        <f t="shared" si="19"/>
        <v>0</v>
      </c>
      <c r="BB8" s="181">
        <f t="shared" si="20"/>
        <v>2.3949121719594326</v>
      </c>
      <c r="BC8" s="181">
        <f t="shared" si="21"/>
        <v>1.1974560859797163</v>
      </c>
      <c r="BD8" s="181">
        <f t="shared" si="22"/>
        <v>2.3949121719594326</v>
      </c>
      <c r="BE8" s="181">
        <f t="shared" si="23"/>
        <v>155.66929117736311</v>
      </c>
      <c r="BF8" s="181">
        <f t="shared" si="24"/>
        <v>35.923682579391489</v>
      </c>
      <c r="BG8" s="181">
        <f t="shared" si="25"/>
        <v>47.898243439188647</v>
      </c>
      <c r="BH8" s="181">
        <f t="shared" si="26"/>
        <v>35.923682579391489</v>
      </c>
      <c r="BI8" s="181">
        <f t="shared" si="27"/>
        <v>143.69473031756596</v>
      </c>
      <c r="BJ8" s="181">
        <f t="shared" si="28"/>
        <v>47.898243439188647</v>
      </c>
      <c r="BK8" s="181">
        <f t="shared" si="29"/>
        <v>35.923682579391489</v>
      </c>
      <c r="BL8" s="181">
        <f t="shared" si="30"/>
        <v>59.872804298985812</v>
      </c>
      <c r="BM8" s="181">
        <f t="shared" si="31"/>
        <v>179.61841289695744</v>
      </c>
      <c r="BN8" s="181">
        <f t="shared" si="32"/>
        <v>239.49121719594325</v>
      </c>
      <c r="BO8" s="181">
        <f t="shared" si="33"/>
        <v>95.796486878377294</v>
      </c>
      <c r="BP8" s="181">
        <f t="shared" si="34"/>
        <v>215.54209547634895</v>
      </c>
      <c r="BQ8" s="181">
        <f t="shared" si="35"/>
        <v>2.3949121719594326</v>
      </c>
      <c r="BR8" s="181">
        <f t="shared" si="36"/>
        <v>23.949121719594324</v>
      </c>
      <c r="BS8" s="181">
        <f t="shared" si="37"/>
        <v>59.872804298985812</v>
      </c>
      <c r="BT8" s="181">
        <f t="shared" si="38"/>
        <v>23.949121719594324</v>
      </c>
      <c r="BU8" s="181">
        <f t="shared" si="39"/>
        <v>119.74560859797162</v>
      </c>
      <c r="BV8" s="181">
        <f t="shared" si="40"/>
        <v>119.74560859797162</v>
      </c>
      <c r="BW8" s="181">
        <f t="shared" si="41"/>
        <v>59.872804298985812</v>
      </c>
      <c r="BX8" s="181">
        <f t="shared" si="42"/>
        <v>119.74560859797162</v>
      </c>
      <c r="BY8" s="181"/>
      <c r="BZ8" s="181"/>
      <c r="CA8" s="181"/>
      <c r="CB8" s="181"/>
      <c r="CC8" s="181"/>
      <c r="CD8" s="181"/>
      <c r="CE8" s="181"/>
      <c r="CF8" s="181"/>
      <c r="CG8" s="181"/>
      <c r="CH8" s="181"/>
      <c r="CI8" s="181"/>
      <c r="CJ8" s="181"/>
    </row>
    <row r="9" spans="1:88" x14ac:dyDescent="0.25">
      <c r="A9">
        <v>5</v>
      </c>
      <c r="B9" s="83">
        <f t="shared" si="43"/>
        <v>5.8921060612053848E-3</v>
      </c>
      <c r="C9" s="80">
        <f t="shared" si="44"/>
        <v>8.6914744933612852E-3</v>
      </c>
      <c r="D9" s="80">
        <f t="shared" si="45"/>
        <v>7.6226546945664065E-3</v>
      </c>
      <c r="E9" s="80">
        <f t="shared" si="0"/>
        <v>1.0393494585874971E-2</v>
      </c>
      <c r="F9" s="83">
        <f t="shared" si="46"/>
        <v>5.1916459000830653E-3</v>
      </c>
      <c r="G9" s="80">
        <f t="shared" si="47"/>
        <v>1.0383291800166131E-2</v>
      </c>
      <c r="H9" s="80">
        <f t="shared" si="48"/>
        <v>1.5588723431967903E-2</v>
      </c>
      <c r="I9" s="84">
        <f t="shared" si="49"/>
        <v>2.0766583600332261E-2</v>
      </c>
      <c r="J9" s="83">
        <f t="shared" si="49"/>
        <v>2.7688778133776345E-2</v>
      </c>
      <c r="K9" s="84">
        <f t="shared" si="49"/>
        <v>4.1533167200664523E-2</v>
      </c>
      <c r="L9" s="147"/>
      <c r="N9">
        <v>5</v>
      </c>
      <c r="O9" s="83">
        <v>5.8921060612053848E-3</v>
      </c>
      <c r="P9" s="80">
        <v>8.6914744933612852E-3</v>
      </c>
      <c r="Q9" s="80">
        <v>7.6226546945664065E-3</v>
      </c>
      <c r="R9" s="84">
        <f t="shared" si="2"/>
        <v>1.0393494585874971E-2</v>
      </c>
      <c r="S9" s="83">
        <v>5.1916459000830653E-3</v>
      </c>
      <c r="T9" s="80">
        <v>1.0383291800166131E-2</v>
      </c>
      <c r="U9" s="144">
        <f t="shared" si="50"/>
        <v>1.5588723431967903E-2</v>
      </c>
      <c r="V9" s="84">
        <v>2.0766583600332261E-2</v>
      </c>
      <c r="W9" s="83">
        <v>2.7688778133776345E-2</v>
      </c>
      <c r="X9" s="144">
        <v>4.1533167200664523E-2</v>
      </c>
      <c r="Y9" s="147"/>
      <c r="AA9" t="s">
        <v>191</v>
      </c>
      <c r="AB9">
        <v>250</v>
      </c>
      <c r="AC9">
        <v>100</v>
      </c>
      <c r="AD9">
        <v>150</v>
      </c>
      <c r="AE9">
        <v>120</v>
      </c>
      <c r="AF9">
        <v>40</v>
      </c>
      <c r="AG9">
        <v>30</v>
      </c>
      <c r="AH9">
        <v>50</v>
      </c>
      <c r="AJ9">
        <v>6</v>
      </c>
      <c r="AK9" s="181">
        <f t="shared" si="4"/>
        <v>12.526348624216613</v>
      </c>
      <c r="AL9" s="181">
        <f t="shared" si="5"/>
        <v>18.789522936324921</v>
      </c>
      <c r="AM9" s="181">
        <f t="shared" si="6"/>
        <v>56.368568808974771</v>
      </c>
      <c r="AN9" s="181">
        <f t="shared" si="6"/>
        <v>25.052697248433226</v>
      </c>
      <c r="AO9" s="181">
        <f t="shared" si="7"/>
        <v>31.315871560541538</v>
      </c>
      <c r="AP9" s="181">
        <f t="shared" si="8"/>
        <v>62.631743121083076</v>
      </c>
      <c r="AQ9" s="181">
        <f t="shared" si="9"/>
        <v>31.315871560541538</v>
      </c>
      <c r="AR9" s="181">
        <f t="shared" si="10"/>
        <v>50.105394496866452</v>
      </c>
      <c r="AS9" s="181">
        <f t="shared" si="11"/>
        <v>50.105394496866452</v>
      </c>
      <c r="AT9" s="181">
        <f t="shared" si="12"/>
        <v>12.526348624216613</v>
      </c>
      <c r="AU9" s="181">
        <f t="shared" si="13"/>
        <v>6.2631743121083066</v>
      </c>
      <c r="AV9" s="181">
        <f t="shared" si="14"/>
        <v>12.526348624216613</v>
      </c>
      <c r="AW9" s="181">
        <f t="shared" si="15"/>
        <v>18.789522936324921</v>
      </c>
      <c r="AX9" s="181">
        <f t="shared" si="16"/>
        <v>62.631743121083076</v>
      </c>
      <c r="AY9" s="181">
        <f t="shared" si="17"/>
        <v>50.105394496866452</v>
      </c>
      <c r="AZ9" s="181">
        <f t="shared" si="18"/>
        <v>6.2631743121083066</v>
      </c>
      <c r="BA9" s="181">
        <f t="shared" si="19"/>
        <v>0</v>
      </c>
      <c r="BB9" s="181">
        <f t="shared" si="20"/>
        <v>2.5052697248433229</v>
      </c>
      <c r="BC9" s="181">
        <f t="shared" si="21"/>
        <v>1.2526348624216614</v>
      </c>
      <c r="BD9" s="181">
        <f t="shared" si="22"/>
        <v>2.5052697248433229</v>
      </c>
      <c r="BE9" s="181">
        <f t="shared" si="23"/>
        <v>162.84253211481598</v>
      </c>
      <c r="BF9" s="181">
        <f t="shared" si="24"/>
        <v>37.579045872649843</v>
      </c>
      <c r="BG9" s="181">
        <f t="shared" si="25"/>
        <v>50.105394496866452</v>
      </c>
      <c r="BH9" s="181">
        <f t="shared" si="26"/>
        <v>37.579045872649843</v>
      </c>
      <c r="BI9" s="181">
        <f t="shared" si="27"/>
        <v>150.31618349059937</v>
      </c>
      <c r="BJ9" s="181">
        <f t="shared" si="28"/>
        <v>50.105394496866452</v>
      </c>
      <c r="BK9" s="181">
        <f t="shared" si="29"/>
        <v>37.579045872649843</v>
      </c>
      <c r="BL9" s="181">
        <f t="shared" si="30"/>
        <v>62.631743121083076</v>
      </c>
      <c r="BM9" s="181">
        <f t="shared" si="31"/>
        <v>187.89522936324923</v>
      </c>
      <c r="BN9" s="181">
        <f t="shared" si="32"/>
        <v>250.5269724843323</v>
      </c>
      <c r="BO9" s="181">
        <f t="shared" si="33"/>
        <v>100.2107889937329</v>
      </c>
      <c r="BP9" s="181">
        <f t="shared" si="34"/>
        <v>225.47427523589909</v>
      </c>
      <c r="BQ9" s="181">
        <f t="shared" si="35"/>
        <v>2.5052697248433229</v>
      </c>
      <c r="BR9" s="181">
        <f t="shared" si="36"/>
        <v>25.052697248433226</v>
      </c>
      <c r="BS9" s="181">
        <f t="shared" si="37"/>
        <v>62.631743121083076</v>
      </c>
      <c r="BT9" s="181">
        <f t="shared" si="38"/>
        <v>25.052697248433226</v>
      </c>
      <c r="BU9" s="181">
        <f t="shared" si="39"/>
        <v>125.26348624216615</v>
      </c>
      <c r="BV9" s="181">
        <f t="shared" si="40"/>
        <v>125.26348624216615</v>
      </c>
      <c r="BW9" s="181">
        <f t="shared" si="41"/>
        <v>62.631743121083076</v>
      </c>
      <c r="BX9" s="181">
        <f t="shared" si="42"/>
        <v>125.26348624216615</v>
      </c>
      <c r="BY9" s="181"/>
      <c r="BZ9" s="181"/>
      <c r="CA9" s="181"/>
      <c r="CB9" s="181"/>
      <c r="CC9" s="181"/>
      <c r="CD9" s="181"/>
      <c r="CE9" s="181"/>
      <c r="CF9" s="181"/>
      <c r="CG9" s="181"/>
      <c r="CH9" s="181"/>
      <c r="CI9" s="181"/>
      <c r="CJ9" s="181"/>
    </row>
    <row r="10" spans="1:88" x14ac:dyDescent="0.25">
      <c r="A10">
        <v>6</v>
      </c>
      <c r="B10" s="83">
        <f t="shared" si="43"/>
        <v>5.5585906237786645E-3</v>
      </c>
      <c r="C10" s="80">
        <f t="shared" si="44"/>
        <v>8.1995042390200796E-3</v>
      </c>
      <c r="D10" s="80">
        <f t="shared" si="45"/>
        <v>7.1911836741192512E-3</v>
      </c>
      <c r="E10" s="80">
        <f t="shared" si="0"/>
        <v>9.805183571580162E-3</v>
      </c>
      <c r="F10" s="83">
        <f t="shared" si="46"/>
        <v>4.8977791510217599E-3</v>
      </c>
      <c r="G10" s="80">
        <f t="shared" si="47"/>
        <v>9.7955583020435198E-3</v>
      </c>
      <c r="H10" s="80">
        <f t="shared" si="48"/>
        <v>1.4706342860347077E-2</v>
      </c>
      <c r="I10" s="84">
        <f t="shared" si="49"/>
        <v>1.959111660408704E-2</v>
      </c>
      <c r="J10" s="83">
        <f t="shared" si="49"/>
        <v>2.6121488805449379E-2</v>
      </c>
      <c r="K10" s="84">
        <f t="shared" si="49"/>
        <v>3.9182233208174079E-2</v>
      </c>
      <c r="L10" s="147"/>
      <c r="N10">
        <v>6</v>
      </c>
      <c r="O10" s="83">
        <v>5.5585906237786645E-3</v>
      </c>
      <c r="P10" s="80">
        <v>8.1995042390200796E-3</v>
      </c>
      <c r="Q10" s="80">
        <v>7.1911836741192512E-3</v>
      </c>
      <c r="R10" s="84">
        <f t="shared" si="2"/>
        <v>9.805183571580162E-3</v>
      </c>
      <c r="S10" s="83">
        <v>4.8977791510217599E-3</v>
      </c>
      <c r="T10" s="80">
        <v>9.7955583020435198E-3</v>
      </c>
      <c r="U10" s="144">
        <f t="shared" si="50"/>
        <v>1.4706342860347077E-2</v>
      </c>
      <c r="V10" s="84">
        <v>1.959111660408704E-2</v>
      </c>
      <c r="W10" s="83">
        <v>2.6121488805449379E-2</v>
      </c>
      <c r="X10" s="144">
        <v>3.9182233208174079E-2</v>
      </c>
      <c r="Y10" s="147"/>
      <c r="AA10" t="s">
        <v>77</v>
      </c>
      <c r="AB10">
        <v>200</v>
      </c>
      <c r="AC10">
        <v>150</v>
      </c>
      <c r="AD10">
        <v>600</v>
      </c>
      <c r="AE10">
        <v>150</v>
      </c>
      <c r="AF10">
        <v>200</v>
      </c>
      <c r="AG10">
        <v>80</v>
      </c>
      <c r="AH10">
        <v>180</v>
      </c>
      <c r="AJ10">
        <v>7</v>
      </c>
      <c r="AK10" s="181">
        <f t="shared" si="4"/>
        <v>13.103562768820513</v>
      </c>
      <c r="AL10" s="181">
        <f t="shared" si="5"/>
        <v>19.655344153230772</v>
      </c>
      <c r="AM10" s="181">
        <f t="shared" si="6"/>
        <v>58.966032459692322</v>
      </c>
      <c r="AN10" s="181">
        <f t="shared" si="6"/>
        <v>26.207125537641026</v>
      </c>
      <c r="AO10" s="181">
        <f t="shared" si="7"/>
        <v>32.758906922051288</v>
      </c>
      <c r="AP10" s="181">
        <f t="shared" si="8"/>
        <v>65.517813844102577</v>
      </c>
      <c r="AQ10" s="181">
        <f t="shared" si="9"/>
        <v>32.758906922051288</v>
      </c>
      <c r="AR10" s="181">
        <f t="shared" si="10"/>
        <v>52.414251075282053</v>
      </c>
      <c r="AS10" s="181">
        <f t="shared" si="11"/>
        <v>52.414251075282053</v>
      </c>
      <c r="AT10" s="181">
        <f t="shared" si="12"/>
        <v>13.103562768820513</v>
      </c>
      <c r="AU10" s="181">
        <f t="shared" si="13"/>
        <v>6.5517813844102566</v>
      </c>
      <c r="AV10" s="181">
        <f t="shared" si="14"/>
        <v>13.103562768820513</v>
      </c>
      <c r="AW10" s="181">
        <f t="shared" si="15"/>
        <v>19.655344153230772</v>
      </c>
      <c r="AX10" s="181">
        <f t="shared" si="16"/>
        <v>65.517813844102577</v>
      </c>
      <c r="AY10" s="181">
        <f t="shared" si="17"/>
        <v>52.414251075282053</v>
      </c>
      <c r="AZ10" s="181">
        <f t="shared" si="18"/>
        <v>6.5517813844102566</v>
      </c>
      <c r="BA10" s="181">
        <f t="shared" si="19"/>
        <v>0</v>
      </c>
      <c r="BB10" s="181">
        <f t="shared" si="20"/>
        <v>2.6207125537641032</v>
      </c>
      <c r="BC10" s="181">
        <f t="shared" si="21"/>
        <v>1.3103562768820516</v>
      </c>
      <c r="BD10" s="181">
        <f t="shared" si="22"/>
        <v>2.6207125537641032</v>
      </c>
      <c r="BE10" s="181">
        <f t="shared" si="23"/>
        <v>170.3463159946667</v>
      </c>
      <c r="BF10" s="181">
        <f t="shared" si="24"/>
        <v>39.310688306461543</v>
      </c>
      <c r="BG10" s="181">
        <f t="shared" si="25"/>
        <v>52.414251075282053</v>
      </c>
      <c r="BH10" s="181">
        <f t="shared" si="26"/>
        <v>39.310688306461543</v>
      </c>
      <c r="BI10" s="181">
        <f t="shared" si="27"/>
        <v>157.24275322584617</v>
      </c>
      <c r="BJ10" s="181">
        <f t="shared" si="28"/>
        <v>52.414251075282053</v>
      </c>
      <c r="BK10" s="181">
        <f t="shared" si="29"/>
        <v>39.310688306461543</v>
      </c>
      <c r="BL10" s="181">
        <f t="shared" si="30"/>
        <v>65.517813844102577</v>
      </c>
      <c r="BM10" s="181">
        <f t="shared" si="31"/>
        <v>196.55344153230774</v>
      </c>
      <c r="BN10" s="181">
        <f t="shared" si="32"/>
        <v>262.07125537641031</v>
      </c>
      <c r="BO10" s="181">
        <f t="shared" si="33"/>
        <v>104.82850215056411</v>
      </c>
      <c r="BP10" s="181">
        <f t="shared" si="34"/>
        <v>235.86412983876929</v>
      </c>
      <c r="BQ10" s="181">
        <f t="shared" si="35"/>
        <v>2.6207125537641032</v>
      </c>
      <c r="BR10" s="181">
        <f t="shared" si="36"/>
        <v>26.207125537641026</v>
      </c>
      <c r="BS10" s="181">
        <f t="shared" si="37"/>
        <v>65.517813844102577</v>
      </c>
      <c r="BT10" s="181">
        <f t="shared" si="38"/>
        <v>26.207125537641026</v>
      </c>
      <c r="BU10" s="181">
        <f t="shared" si="39"/>
        <v>131.03562768820515</v>
      </c>
      <c r="BV10" s="181">
        <f t="shared" si="40"/>
        <v>131.03562768820515</v>
      </c>
      <c r="BW10" s="181">
        <f t="shared" si="41"/>
        <v>65.517813844102577</v>
      </c>
      <c r="BX10" s="181">
        <f t="shared" si="42"/>
        <v>131.03562768820515</v>
      </c>
      <c r="BY10" s="181"/>
      <c r="BZ10" s="181"/>
      <c r="CA10" s="181"/>
      <c r="CB10" s="181"/>
      <c r="CC10" s="181"/>
      <c r="CD10" s="181"/>
      <c r="CE10" s="181"/>
      <c r="CF10" s="181"/>
      <c r="CG10" s="181"/>
      <c r="CH10" s="181"/>
      <c r="CI10" s="181"/>
      <c r="CJ10" s="181"/>
    </row>
    <row r="11" spans="1:88" x14ac:dyDescent="0.25">
      <c r="A11">
        <v>7</v>
      </c>
      <c r="B11" s="83">
        <f t="shared" si="43"/>
        <v>5.2439534186591169E-3</v>
      </c>
      <c r="C11" s="80">
        <f t="shared" si="44"/>
        <v>7.7353813575661125E-3</v>
      </c>
      <c r="D11" s="80">
        <f t="shared" si="45"/>
        <v>6.784135541621935E-3</v>
      </c>
      <c r="E11" s="80">
        <f t="shared" si="0"/>
        <v>9.2501731807360012E-3</v>
      </c>
      <c r="F11" s="83">
        <f t="shared" si="46"/>
        <v>4.6205463688884525E-3</v>
      </c>
      <c r="G11" s="80">
        <f t="shared" si="47"/>
        <v>9.2410927377769049E-3</v>
      </c>
      <c r="H11" s="80">
        <f t="shared" si="48"/>
        <v>1.3873908358817997E-2</v>
      </c>
      <c r="I11" s="84">
        <f t="shared" si="49"/>
        <v>1.848218547555381E-2</v>
      </c>
      <c r="J11" s="83">
        <f t="shared" si="49"/>
        <v>2.4642913967405072E-2</v>
      </c>
      <c r="K11" s="84">
        <f t="shared" si="49"/>
        <v>3.696437095110762E-2</v>
      </c>
      <c r="L11" s="147"/>
      <c r="N11">
        <v>7</v>
      </c>
      <c r="O11" s="83">
        <v>5.2439534186591169E-3</v>
      </c>
      <c r="P11" s="80">
        <v>7.7353813575661125E-3</v>
      </c>
      <c r="Q11" s="80">
        <v>6.784135541621935E-3</v>
      </c>
      <c r="R11" s="84">
        <f t="shared" si="2"/>
        <v>9.2501731807360012E-3</v>
      </c>
      <c r="S11" s="83">
        <v>4.6205463688884525E-3</v>
      </c>
      <c r="T11" s="80">
        <v>9.2410927377769049E-3</v>
      </c>
      <c r="U11" s="144">
        <f t="shared" si="50"/>
        <v>1.3873908358817997E-2</v>
      </c>
      <c r="V11" s="84">
        <v>1.848218547555381E-2</v>
      </c>
      <c r="W11" s="83">
        <v>2.4642913967405072E-2</v>
      </c>
      <c r="X11" s="144">
        <v>3.696437095110762E-2</v>
      </c>
      <c r="Y11" s="147"/>
      <c r="AA11" t="s">
        <v>78</v>
      </c>
      <c r="AB11">
        <v>300</v>
      </c>
      <c r="AC11">
        <v>200</v>
      </c>
      <c r="AD11">
        <v>200</v>
      </c>
      <c r="AE11">
        <v>2</v>
      </c>
      <c r="AF11">
        <v>20</v>
      </c>
      <c r="AG11">
        <v>50</v>
      </c>
      <c r="AH11">
        <v>20</v>
      </c>
      <c r="AJ11">
        <v>8</v>
      </c>
      <c r="AK11" s="181">
        <f t="shared" si="4"/>
        <v>13.70737494120776</v>
      </c>
      <c r="AL11" s="181">
        <f t="shared" si="5"/>
        <v>20.561062411811644</v>
      </c>
      <c r="AM11" s="181">
        <f t="shared" si="6"/>
        <v>61.683187235434936</v>
      </c>
      <c r="AN11" s="181">
        <f t="shared" si="6"/>
        <v>27.414749882415521</v>
      </c>
      <c r="AO11" s="181">
        <f t="shared" si="7"/>
        <v>34.268437353019408</v>
      </c>
      <c r="AP11" s="181">
        <f t="shared" si="8"/>
        <v>68.536874706038816</v>
      </c>
      <c r="AQ11" s="181">
        <f t="shared" si="9"/>
        <v>34.268437353019408</v>
      </c>
      <c r="AR11" s="181">
        <f t="shared" si="10"/>
        <v>54.829499764831041</v>
      </c>
      <c r="AS11" s="181">
        <f t="shared" si="11"/>
        <v>54.829499764831041</v>
      </c>
      <c r="AT11" s="181">
        <f t="shared" si="12"/>
        <v>13.70737494120776</v>
      </c>
      <c r="AU11" s="181">
        <f t="shared" si="13"/>
        <v>6.8536874706038802</v>
      </c>
      <c r="AV11" s="181">
        <f t="shared" si="14"/>
        <v>13.70737494120776</v>
      </c>
      <c r="AW11" s="181">
        <f t="shared" si="15"/>
        <v>20.561062411811644</v>
      </c>
      <c r="AX11" s="181">
        <f t="shared" si="16"/>
        <v>68.536874706038816</v>
      </c>
      <c r="AY11" s="181">
        <f t="shared" si="17"/>
        <v>54.829499764831041</v>
      </c>
      <c r="AZ11" s="181">
        <f t="shared" si="18"/>
        <v>6.8536874706038802</v>
      </c>
      <c r="BA11" s="181">
        <f t="shared" si="19"/>
        <v>0</v>
      </c>
      <c r="BB11" s="181">
        <f t="shared" si="20"/>
        <v>2.7414749882415528</v>
      </c>
      <c r="BC11" s="181">
        <f t="shared" si="21"/>
        <v>1.3707374941207764</v>
      </c>
      <c r="BD11" s="181">
        <f t="shared" si="22"/>
        <v>2.7414749882415528</v>
      </c>
      <c r="BE11" s="181">
        <f t="shared" si="23"/>
        <v>178.19587423570093</v>
      </c>
      <c r="BF11" s="181">
        <f t="shared" si="24"/>
        <v>41.122124823623288</v>
      </c>
      <c r="BG11" s="181">
        <f t="shared" si="25"/>
        <v>54.829499764831041</v>
      </c>
      <c r="BH11" s="181">
        <f t="shared" si="26"/>
        <v>41.122124823623288</v>
      </c>
      <c r="BI11" s="181">
        <f t="shared" si="27"/>
        <v>164.48849929449315</v>
      </c>
      <c r="BJ11" s="181">
        <f t="shared" si="28"/>
        <v>54.829499764831041</v>
      </c>
      <c r="BK11" s="181">
        <f t="shared" si="29"/>
        <v>41.122124823623288</v>
      </c>
      <c r="BL11" s="181">
        <f t="shared" si="30"/>
        <v>68.536874706038816</v>
      </c>
      <c r="BM11" s="181">
        <f t="shared" si="31"/>
        <v>205.61062411811648</v>
      </c>
      <c r="BN11" s="181">
        <f t="shared" si="32"/>
        <v>274.14749882415526</v>
      </c>
      <c r="BO11" s="181">
        <f t="shared" si="33"/>
        <v>109.65899952966208</v>
      </c>
      <c r="BP11" s="181">
        <f t="shared" si="34"/>
        <v>246.73274894173974</v>
      </c>
      <c r="BQ11" s="181">
        <f t="shared" si="35"/>
        <v>2.7414749882415528</v>
      </c>
      <c r="BR11" s="181">
        <f t="shared" si="36"/>
        <v>27.414749882415521</v>
      </c>
      <c r="BS11" s="181">
        <f t="shared" si="37"/>
        <v>68.536874706038816</v>
      </c>
      <c r="BT11" s="181">
        <f t="shared" si="38"/>
        <v>27.414749882415521</v>
      </c>
      <c r="BU11" s="181">
        <f t="shared" si="39"/>
        <v>137.07374941207763</v>
      </c>
      <c r="BV11" s="181">
        <f t="shared" si="40"/>
        <v>137.07374941207763</v>
      </c>
      <c r="BW11" s="181">
        <f t="shared" si="41"/>
        <v>68.536874706038816</v>
      </c>
      <c r="BX11" s="181">
        <f t="shared" si="42"/>
        <v>137.07374941207763</v>
      </c>
      <c r="BY11" s="181"/>
      <c r="BZ11" s="181"/>
      <c r="CA11" s="181"/>
      <c r="CB11" s="181"/>
      <c r="CC11" s="181"/>
      <c r="CD11" s="181"/>
      <c r="CE11" s="181"/>
      <c r="CF11" s="181"/>
      <c r="CG11" s="181"/>
      <c r="CH11" s="181"/>
      <c r="CI11" s="181"/>
      <c r="CJ11" s="181"/>
    </row>
    <row r="12" spans="1:88" x14ac:dyDescent="0.25">
      <c r="A12">
        <v>8</v>
      </c>
      <c r="B12" s="83">
        <f t="shared" si="43"/>
        <v>4.9471258666595437E-3</v>
      </c>
      <c r="C12" s="80">
        <f t="shared" si="44"/>
        <v>7.2975295826095401E-3</v>
      </c>
      <c r="D12" s="80">
        <f t="shared" si="45"/>
        <v>6.4001278694546552E-3</v>
      </c>
      <c r="E12" s="80">
        <f t="shared" si="0"/>
        <v>8.7265784723924537E-3</v>
      </c>
      <c r="F12" s="83">
        <f t="shared" si="46"/>
        <v>4.3590060083853327E-3</v>
      </c>
      <c r="G12" s="80">
        <f t="shared" si="47"/>
        <v>8.7180120167706654E-3</v>
      </c>
      <c r="H12" s="80">
        <f t="shared" si="48"/>
        <v>1.3088592791337733E-2</v>
      </c>
      <c r="I12" s="84">
        <f t="shared" si="49"/>
        <v>1.7436024033541331E-2</v>
      </c>
      <c r="J12" s="83">
        <f t="shared" si="49"/>
        <v>2.3248032044721763E-2</v>
      </c>
      <c r="K12" s="84">
        <f t="shared" si="49"/>
        <v>3.4872048067082662E-2</v>
      </c>
      <c r="L12" s="147"/>
      <c r="N12">
        <v>8</v>
      </c>
      <c r="O12" s="83">
        <v>4.9471258666595437E-3</v>
      </c>
      <c r="P12" s="80">
        <v>7.2975295826095401E-3</v>
      </c>
      <c r="Q12" s="80">
        <v>6.4001278694546552E-3</v>
      </c>
      <c r="R12" s="84">
        <f t="shared" si="2"/>
        <v>8.7265784723924537E-3</v>
      </c>
      <c r="S12" s="83">
        <v>4.3590060083853327E-3</v>
      </c>
      <c r="T12" s="80">
        <v>8.7180120167706654E-3</v>
      </c>
      <c r="U12" s="144">
        <f t="shared" si="50"/>
        <v>1.3088592791337733E-2</v>
      </c>
      <c r="V12" s="84">
        <v>1.7436024033541331E-2</v>
      </c>
      <c r="W12" s="83">
        <v>2.3248032044721763E-2</v>
      </c>
      <c r="X12" s="144">
        <v>3.4872048067082662E-2</v>
      </c>
      <c r="Y12" s="147"/>
      <c r="AA12" t="s">
        <v>79</v>
      </c>
      <c r="AB12">
        <v>320</v>
      </c>
      <c r="AC12">
        <v>400</v>
      </c>
      <c r="AD12">
        <v>100</v>
      </c>
      <c r="AE12">
        <v>100</v>
      </c>
      <c r="AF12">
        <v>100</v>
      </c>
      <c r="AG12">
        <v>50</v>
      </c>
      <c r="AH12">
        <v>100</v>
      </c>
      <c r="AJ12">
        <v>9</v>
      </c>
      <c r="AK12" s="181">
        <f t="shared" si="4"/>
        <v>14.339010778498613</v>
      </c>
      <c r="AL12" s="181">
        <f t="shared" si="5"/>
        <v>21.508516167747924</v>
      </c>
      <c r="AM12" s="181">
        <f t="shared" si="6"/>
        <v>64.525548503243769</v>
      </c>
      <c r="AN12" s="181">
        <f t="shared" si="6"/>
        <v>28.678021556997226</v>
      </c>
      <c r="AO12" s="181">
        <f t="shared" si="7"/>
        <v>35.847526946246539</v>
      </c>
      <c r="AP12" s="181">
        <f t="shared" si="8"/>
        <v>71.695053892493078</v>
      </c>
      <c r="AQ12" s="181">
        <f t="shared" si="9"/>
        <v>35.847526946246539</v>
      </c>
      <c r="AR12" s="181">
        <f t="shared" si="10"/>
        <v>57.356043113994453</v>
      </c>
      <c r="AS12" s="181">
        <f t="shared" si="11"/>
        <v>57.356043113994453</v>
      </c>
      <c r="AT12" s="181">
        <f t="shared" si="12"/>
        <v>14.339010778498613</v>
      </c>
      <c r="AU12" s="181">
        <f t="shared" si="13"/>
        <v>7.1695053892493066</v>
      </c>
      <c r="AV12" s="181">
        <f t="shared" si="14"/>
        <v>14.339010778498613</v>
      </c>
      <c r="AW12" s="181">
        <f t="shared" si="15"/>
        <v>21.508516167747924</v>
      </c>
      <c r="AX12" s="181">
        <f t="shared" si="16"/>
        <v>71.695053892493078</v>
      </c>
      <c r="AY12" s="181">
        <f t="shared" si="17"/>
        <v>57.356043113994453</v>
      </c>
      <c r="AZ12" s="181">
        <f t="shared" si="18"/>
        <v>7.1695053892493066</v>
      </c>
      <c r="BA12" s="181">
        <f t="shared" si="19"/>
        <v>0</v>
      </c>
      <c r="BB12" s="181">
        <f t="shared" si="20"/>
        <v>2.8678021556997231</v>
      </c>
      <c r="BC12" s="181">
        <f t="shared" si="21"/>
        <v>1.4339010778498615</v>
      </c>
      <c r="BD12" s="181">
        <f t="shared" si="22"/>
        <v>2.8678021556997231</v>
      </c>
      <c r="BE12" s="181">
        <f t="shared" si="23"/>
        <v>186.40714012048201</v>
      </c>
      <c r="BF12" s="181">
        <f t="shared" si="24"/>
        <v>43.017032335495848</v>
      </c>
      <c r="BG12" s="181">
        <f t="shared" si="25"/>
        <v>57.356043113994453</v>
      </c>
      <c r="BH12" s="181">
        <f t="shared" si="26"/>
        <v>43.017032335495848</v>
      </c>
      <c r="BI12" s="181">
        <f t="shared" si="27"/>
        <v>172.06812934198339</v>
      </c>
      <c r="BJ12" s="181">
        <f t="shared" si="28"/>
        <v>57.356043113994453</v>
      </c>
      <c r="BK12" s="181">
        <f t="shared" si="29"/>
        <v>43.017032335495848</v>
      </c>
      <c r="BL12" s="181">
        <f t="shared" si="30"/>
        <v>71.695053892493078</v>
      </c>
      <c r="BM12" s="181">
        <f t="shared" si="31"/>
        <v>215.08516167747925</v>
      </c>
      <c r="BN12" s="181">
        <f t="shared" si="32"/>
        <v>286.78021556997231</v>
      </c>
      <c r="BO12" s="181">
        <f t="shared" si="33"/>
        <v>114.71208622798891</v>
      </c>
      <c r="BP12" s="181">
        <f t="shared" si="34"/>
        <v>258.10219401297508</v>
      </c>
      <c r="BQ12" s="181">
        <f t="shared" si="35"/>
        <v>2.8678021556997231</v>
      </c>
      <c r="BR12" s="181">
        <f t="shared" si="36"/>
        <v>28.678021556997226</v>
      </c>
      <c r="BS12" s="181">
        <f t="shared" si="37"/>
        <v>71.695053892493078</v>
      </c>
      <c r="BT12" s="181">
        <f t="shared" si="38"/>
        <v>28.678021556997226</v>
      </c>
      <c r="BU12" s="181">
        <f t="shared" si="39"/>
        <v>143.39010778498616</v>
      </c>
      <c r="BV12" s="181">
        <f t="shared" si="40"/>
        <v>143.39010778498616</v>
      </c>
      <c r="BW12" s="181">
        <f t="shared" si="41"/>
        <v>71.695053892493078</v>
      </c>
      <c r="BX12" s="181">
        <f t="shared" si="42"/>
        <v>143.39010778498616</v>
      </c>
      <c r="BY12" s="181"/>
      <c r="BZ12" s="181"/>
      <c r="CA12" s="181"/>
      <c r="CB12" s="181"/>
      <c r="CC12" s="181"/>
      <c r="CD12" s="181"/>
      <c r="CE12" s="181"/>
      <c r="CF12" s="181"/>
      <c r="CG12" s="181"/>
      <c r="CH12" s="181"/>
      <c r="CI12" s="181"/>
      <c r="CJ12" s="181"/>
    </row>
    <row r="13" spans="1:88" x14ac:dyDescent="0.25">
      <c r="A13">
        <v>9</v>
      </c>
      <c r="B13" s="83">
        <f t="shared" si="43"/>
        <v>4.6670998742071165E-3</v>
      </c>
      <c r="C13" s="80">
        <f t="shared" si="44"/>
        <v>6.8844618703863582E-3</v>
      </c>
      <c r="D13" s="80">
        <f t="shared" si="45"/>
        <v>6.037856480617599E-3</v>
      </c>
      <c r="E13" s="80">
        <f t="shared" si="0"/>
        <v>8.2326212003702385E-3</v>
      </c>
      <c r="F13" s="83">
        <f t="shared" si="46"/>
        <v>4.1122698192314457E-3</v>
      </c>
      <c r="G13" s="80">
        <f t="shared" si="47"/>
        <v>8.2245396384628914E-3</v>
      </c>
      <c r="H13" s="80">
        <f t="shared" si="48"/>
        <v>1.2347729048431823E-2</v>
      </c>
      <c r="I13" s="84">
        <f t="shared" si="49"/>
        <v>1.6449079276925783E-2</v>
      </c>
      <c r="J13" s="83">
        <f t="shared" si="49"/>
        <v>2.1932105702567699E-2</v>
      </c>
      <c r="K13" s="84">
        <f t="shared" si="49"/>
        <v>3.2898158553851566E-2</v>
      </c>
      <c r="L13" s="147"/>
      <c r="N13">
        <v>9</v>
      </c>
      <c r="O13" s="83">
        <v>4.6670998742071165E-3</v>
      </c>
      <c r="P13" s="80">
        <v>6.8844618703863582E-3</v>
      </c>
      <c r="Q13" s="80">
        <v>6.037856480617599E-3</v>
      </c>
      <c r="R13" s="84">
        <f t="shared" si="2"/>
        <v>8.2326212003702385E-3</v>
      </c>
      <c r="S13" s="83">
        <v>4.1122698192314457E-3</v>
      </c>
      <c r="T13" s="80">
        <v>8.2245396384628914E-3</v>
      </c>
      <c r="U13" s="144">
        <f t="shared" si="50"/>
        <v>1.2347729048431823E-2</v>
      </c>
      <c r="V13" s="84">
        <v>1.6449079276925783E-2</v>
      </c>
      <c r="W13" s="83">
        <v>2.1932105702567699E-2</v>
      </c>
      <c r="X13" s="144">
        <v>3.2898158553851566E-2</v>
      </c>
      <c r="Y13" s="147"/>
      <c r="AA13" t="s">
        <v>192</v>
      </c>
      <c r="AB13">
        <v>20</v>
      </c>
      <c r="AC13">
        <v>20</v>
      </c>
      <c r="AD13">
        <v>40</v>
      </c>
      <c r="AE13">
        <v>150</v>
      </c>
      <c r="AF13">
        <v>250</v>
      </c>
      <c r="AG13">
        <v>400</v>
      </c>
      <c r="AH13">
        <v>150</v>
      </c>
      <c r="AJ13">
        <v>10</v>
      </c>
      <c r="AK13" s="181">
        <f t="shared" si="4"/>
        <v>14.999752395171829</v>
      </c>
      <c r="AL13" s="181">
        <f t="shared" si="5"/>
        <v>22.499628592757745</v>
      </c>
      <c r="AM13" s="181">
        <f t="shared" si="6"/>
        <v>67.498885778273234</v>
      </c>
      <c r="AN13" s="181">
        <f t="shared" si="6"/>
        <v>29.999504790343657</v>
      </c>
      <c r="AO13" s="181">
        <f t="shared" si="7"/>
        <v>37.499380987929577</v>
      </c>
      <c r="AP13" s="181">
        <f t="shared" si="8"/>
        <v>74.998761975859153</v>
      </c>
      <c r="AQ13" s="181">
        <f t="shared" si="9"/>
        <v>37.499380987929577</v>
      </c>
      <c r="AR13" s="181">
        <f t="shared" si="10"/>
        <v>59.999009580687314</v>
      </c>
      <c r="AS13" s="181">
        <f t="shared" si="11"/>
        <v>59.999009580687314</v>
      </c>
      <c r="AT13" s="181">
        <f t="shared" si="12"/>
        <v>14.999752395171829</v>
      </c>
      <c r="AU13" s="181">
        <f t="shared" si="13"/>
        <v>7.4998761975859143</v>
      </c>
      <c r="AV13" s="181">
        <f t="shared" si="14"/>
        <v>14.999752395171829</v>
      </c>
      <c r="AW13" s="181">
        <f t="shared" si="15"/>
        <v>22.499628592757745</v>
      </c>
      <c r="AX13" s="181">
        <f t="shared" si="16"/>
        <v>74.998761975859153</v>
      </c>
      <c r="AY13" s="181">
        <f t="shared" si="17"/>
        <v>59.999009580687314</v>
      </c>
      <c r="AZ13" s="181">
        <f t="shared" si="18"/>
        <v>7.4998761975859143</v>
      </c>
      <c r="BA13" s="181">
        <f t="shared" si="19"/>
        <v>0</v>
      </c>
      <c r="BB13" s="181">
        <f t="shared" si="20"/>
        <v>2.9999504790343661</v>
      </c>
      <c r="BC13" s="181">
        <f t="shared" si="21"/>
        <v>1.499975239517183</v>
      </c>
      <c r="BD13" s="181">
        <f t="shared" si="22"/>
        <v>2.9999504790343661</v>
      </c>
      <c r="BE13" s="181">
        <f t="shared" si="23"/>
        <v>194.9967811372338</v>
      </c>
      <c r="BF13" s="181">
        <f t="shared" si="24"/>
        <v>44.999257185515489</v>
      </c>
      <c r="BG13" s="181">
        <f t="shared" si="25"/>
        <v>59.999009580687314</v>
      </c>
      <c r="BH13" s="181">
        <f t="shared" si="26"/>
        <v>44.999257185515489</v>
      </c>
      <c r="BI13" s="181">
        <f t="shared" si="27"/>
        <v>179.99702874206196</v>
      </c>
      <c r="BJ13" s="181">
        <f t="shared" si="28"/>
        <v>59.999009580687314</v>
      </c>
      <c r="BK13" s="181">
        <f t="shared" si="29"/>
        <v>44.999257185515489</v>
      </c>
      <c r="BL13" s="181">
        <f t="shared" si="30"/>
        <v>74.998761975859153</v>
      </c>
      <c r="BM13" s="181">
        <f t="shared" si="31"/>
        <v>224.99628592757747</v>
      </c>
      <c r="BN13" s="181">
        <f t="shared" si="32"/>
        <v>299.99504790343661</v>
      </c>
      <c r="BO13" s="181">
        <f t="shared" si="33"/>
        <v>119.99801916137463</v>
      </c>
      <c r="BP13" s="181">
        <f t="shared" si="34"/>
        <v>269.99554311309294</v>
      </c>
      <c r="BQ13" s="181">
        <f t="shared" si="35"/>
        <v>2.9999504790343661</v>
      </c>
      <c r="BR13" s="181">
        <f t="shared" si="36"/>
        <v>29.999504790343657</v>
      </c>
      <c r="BS13" s="181">
        <f t="shared" si="37"/>
        <v>74.998761975859153</v>
      </c>
      <c r="BT13" s="181">
        <f t="shared" si="38"/>
        <v>29.999504790343657</v>
      </c>
      <c r="BU13" s="181">
        <f t="shared" si="39"/>
        <v>149.99752395171831</v>
      </c>
      <c r="BV13" s="181">
        <f t="shared" si="40"/>
        <v>149.99752395171831</v>
      </c>
      <c r="BW13" s="181">
        <f t="shared" si="41"/>
        <v>74.998761975859153</v>
      </c>
      <c r="BX13" s="181">
        <f t="shared" si="42"/>
        <v>149.99752395171831</v>
      </c>
      <c r="BY13" s="181"/>
      <c r="BZ13" s="181"/>
      <c r="CA13" s="181"/>
      <c r="CB13" s="181"/>
      <c r="CC13" s="181"/>
      <c r="CD13" s="181"/>
      <c r="CE13" s="181"/>
      <c r="CF13" s="181"/>
      <c r="CG13" s="181"/>
      <c r="CH13" s="181"/>
      <c r="CI13" s="181"/>
      <c r="CJ13" s="181"/>
    </row>
    <row r="14" spans="1:88" x14ac:dyDescent="0.25">
      <c r="A14">
        <v>10</v>
      </c>
      <c r="B14" s="83">
        <f t="shared" si="43"/>
        <v>4.4029244096293546E-3</v>
      </c>
      <c r="C14" s="80">
        <f t="shared" si="44"/>
        <v>6.4947753494210923E-3</v>
      </c>
      <c r="D14" s="80">
        <f t="shared" si="45"/>
        <v>5.6960910194505648E-3</v>
      </c>
      <c r="E14" s="80">
        <f t="shared" si="0"/>
        <v>7.7666237739341861E-3</v>
      </c>
      <c r="F14" s="83">
        <f t="shared" si="46"/>
        <v>3.8794998294636278E-3</v>
      </c>
      <c r="G14" s="80">
        <f t="shared" si="47"/>
        <v>7.7589996589272556E-3</v>
      </c>
      <c r="H14" s="80">
        <f t="shared" si="48"/>
        <v>1.1648800989086624E-2</v>
      </c>
      <c r="I14" s="84">
        <f t="shared" si="49"/>
        <v>1.5517999317854511E-2</v>
      </c>
      <c r="J14" s="83">
        <f t="shared" si="49"/>
        <v>2.0690665757139338E-2</v>
      </c>
      <c r="K14" s="84">
        <f t="shared" si="49"/>
        <v>3.1035998635709022E-2</v>
      </c>
      <c r="L14" s="147"/>
      <c r="N14">
        <v>10</v>
      </c>
      <c r="O14" s="83">
        <v>4.4029244096293546E-3</v>
      </c>
      <c r="P14" s="80">
        <v>6.4947753494210923E-3</v>
      </c>
      <c r="Q14" s="80">
        <v>5.6960910194505648E-3</v>
      </c>
      <c r="R14" s="84">
        <f t="shared" si="2"/>
        <v>7.7666237739341861E-3</v>
      </c>
      <c r="S14" s="83">
        <v>3.8794998294636278E-3</v>
      </c>
      <c r="T14" s="80">
        <v>7.7589996589272556E-3</v>
      </c>
      <c r="U14" s="144">
        <f t="shared" si="50"/>
        <v>1.1648800989086624E-2</v>
      </c>
      <c r="V14" s="84">
        <v>1.5517999317854511E-2</v>
      </c>
      <c r="W14" s="83">
        <v>2.0690665757139338E-2</v>
      </c>
      <c r="X14" s="144">
        <v>3.1035998635709022E-2</v>
      </c>
      <c r="Y14" s="147"/>
      <c r="AA14" t="s">
        <v>193</v>
      </c>
      <c r="AB14">
        <v>40000</v>
      </c>
      <c r="AC14">
        <v>50000</v>
      </c>
      <c r="AD14">
        <v>50000</v>
      </c>
      <c r="AE14">
        <v>30</v>
      </c>
      <c r="AF14">
        <v>100</v>
      </c>
      <c r="AG14">
        <v>50</v>
      </c>
      <c r="AH14">
        <v>100</v>
      </c>
    </row>
    <row r="15" spans="1:88" x14ac:dyDescent="0.25">
      <c r="A15">
        <v>11</v>
      </c>
      <c r="B15" s="83">
        <f t="shared" si="43"/>
        <v>4.1537022732352404E-3</v>
      </c>
      <c r="C15" s="80">
        <f t="shared" si="44"/>
        <v>6.1271465560576339E-3</v>
      </c>
      <c r="D15" s="80">
        <f t="shared" si="45"/>
        <v>5.3736707730665705E-3</v>
      </c>
      <c r="E15" s="80">
        <f t="shared" si="0"/>
        <v>7.3270035603152693E-3</v>
      </c>
      <c r="F15" s="83">
        <f t="shared" si="46"/>
        <v>3.6599054994939885E-3</v>
      </c>
      <c r="G15" s="80">
        <f t="shared" si="47"/>
        <v>7.3198109989879769E-3</v>
      </c>
      <c r="H15" s="80">
        <f t="shared" si="48"/>
        <v>1.098943489536474E-2</v>
      </c>
      <c r="I15" s="84">
        <f t="shared" si="49"/>
        <v>1.4639621997975954E-2</v>
      </c>
      <c r="J15" s="83">
        <f t="shared" si="49"/>
        <v>1.951949599730126E-2</v>
      </c>
      <c r="K15" s="84">
        <f t="shared" si="49"/>
        <v>2.9279243995951908E-2</v>
      </c>
      <c r="L15" s="147"/>
      <c r="N15">
        <v>11</v>
      </c>
      <c r="O15" s="83">
        <v>4.1537022732352404E-3</v>
      </c>
      <c r="P15" s="80">
        <v>6.1271465560576339E-3</v>
      </c>
      <c r="Q15" s="80">
        <v>5.3736707730665705E-3</v>
      </c>
      <c r="R15" s="84">
        <f t="shared" si="2"/>
        <v>7.3270035603152693E-3</v>
      </c>
      <c r="S15" s="83">
        <f t="shared" ref="S15:V23" si="51">S14/1.06</f>
        <v>3.6599054994939885E-3</v>
      </c>
      <c r="T15" s="80">
        <f t="shared" si="51"/>
        <v>7.3198109989879769E-3</v>
      </c>
      <c r="U15" s="144">
        <f t="shared" si="50"/>
        <v>1.098943489536474E-2</v>
      </c>
      <c r="V15" s="84">
        <f t="shared" si="51"/>
        <v>1.4639621997975954E-2</v>
      </c>
      <c r="W15" s="83">
        <v>1.951949599730126E-2</v>
      </c>
      <c r="X15" s="144">
        <v>2.9279243995951908E-2</v>
      </c>
      <c r="Y15" s="147"/>
      <c r="AA15" t="s">
        <v>194</v>
      </c>
      <c r="AB15">
        <v>0</v>
      </c>
      <c r="AC15">
        <v>0</v>
      </c>
      <c r="AD15">
        <v>0</v>
      </c>
      <c r="AE15">
        <v>0</v>
      </c>
      <c r="AF15">
        <v>15</v>
      </c>
      <c r="AG15">
        <v>45</v>
      </c>
      <c r="AH15">
        <v>25</v>
      </c>
      <c r="AI15" s="154"/>
      <c r="AJ15" s="154"/>
    </row>
    <row r="16" spans="1:88" x14ac:dyDescent="0.25">
      <c r="A16">
        <v>12</v>
      </c>
      <c r="B16" s="83">
        <f t="shared" si="43"/>
        <v>3.918587050221925E-3</v>
      </c>
      <c r="C16" s="80">
        <f t="shared" si="44"/>
        <v>5.780326939677013E-3</v>
      </c>
      <c r="D16" s="80">
        <f t="shared" si="45"/>
        <v>5.0695007293080855E-3</v>
      </c>
      <c r="E16" s="80">
        <f t="shared" si="0"/>
        <v>6.9122675097313862E-3</v>
      </c>
      <c r="F16" s="83">
        <f t="shared" si="46"/>
        <v>3.4527410372584793E-3</v>
      </c>
      <c r="G16" s="80">
        <f t="shared" si="47"/>
        <v>6.9054820745169587E-3</v>
      </c>
      <c r="H16" s="80">
        <f t="shared" si="48"/>
        <v>1.0367391410721452E-2</v>
      </c>
      <c r="I16" s="84">
        <f t="shared" si="49"/>
        <v>1.3810964149033917E-2</v>
      </c>
      <c r="J16" s="83">
        <f t="shared" si="49"/>
        <v>1.8414618865378547E-2</v>
      </c>
      <c r="K16" s="84">
        <f t="shared" si="49"/>
        <v>2.7621928298067835E-2</v>
      </c>
      <c r="L16" s="147"/>
      <c r="N16">
        <v>12</v>
      </c>
      <c r="O16" s="83">
        <v>3.918587050221925E-3</v>
      </c>
      <c r="P16" s="80">
        <v>5.780326939677013E-3</v>
      </c>
      <c r="Q16" s="80">
        <v>5.0695007293080855E-3</v>
      </c>
      <c r="R16" s="84">
        <f t="shared" si="2"/>
        <v>6.9122675097313862E-3</v>
      </c>
      <c r="S16" s="83">
        <f t="shared" si="51"/>
        <v>3.4527410372584793E-3</v>
      </c>
      <c r="T16" s="80">
        <f t="shared" si="51"/>
        <v>6.9054820745169587E-3</v>
      </c>
      <c r="U16" s="144">
        <f t="shared" si="50"/>
        <v>1.0367391410721452E-2</v>
      </c>
      <c r="V16" s="84">
        <f t="shared" si="51"/>
        <v>1.3810964149033917E-2</v>
      </c>
      <c r="W16" s="83">
        <v>1.8414618865378547E-2</v>
      </c>
      <c r="X16" s="144">
        <v>2.7621928298067835E-2</v>
      </c>
      <c r="Y16" s="147"/>
      <c r="Z16" s="142"/>
      <c r="AA16" s="2"/>
      <c r="AC16" s="2"/>
    </row>
    <row r="17" spans="1:31" x14ac:dyDescent="0.25">
      <c r="A17">
        <v>13</v>
      </c>
      <c r="B17" s="83">
        <f t="shared" si="43"/>
        <v>3.6967802360584195E-3</v>
      </c>
      <c r="C17" s="80">
        <f t="shared" si="44"/>
        <v>5.4531386223368042E-3</v>
      </c>
      <c r="D17" s="80">
        <f t="shared" si="45"/>
        <v>4.7825478578378162E-3</v>
      </c>
      <c r="E17" s="80">
        <f t="shared" si="0"/>
        <v>6.521007084652251E-3</v>
      </c>
      <c r="F17" s="83">
        <f t="shared" si="46"/>
        <v>3.2573028653381879E-3</v>
      </c>
      <c r="G17" s="80">
        <f t="shared" si="47"/>
        <v>6.5146057306763759E-3</v>
      </c>
      <c r="H17" s="80">
        <f t="shared" si="48"/>
        <v>9.7805579346428792E-3</v>
      </c>
      <c r="I17" s="84">
        <f t="shared" si="49"/>
        <v>1.3029211461352752E-2</v>
      </c>
      <c r="J17" s="83">
        <f t="shared" si="49"/>
        <v>1.7372281948470326E-2</v>
      </c>
      <c r="K17" s="84">
        <f t="shared" si="49"/>
        <v>2.6058422922705504E-2</v>
      </c>
      <c r="L17" s="147"/>
      <c r="N17">
        <v>13</v>
      </c>
      <c r="O17" s="83">
        <v>3.6967802360584195E-3</v>
      </c>
      <c r="P17" s="80">
        <v>5.4531386223368042E-3</v>
      </c>
      <c r="Q17" s="80">
        <v>4.7825478578378162E-3</v>
      </c>
      <c r="R17" s="84">
        <f t="shared" si="2"/>
        <v>6.521007084652251E-3</v>
      </c>
      <c r="S17" s="83">
        <f t="shared" si="51"/>
        <v>3.2573028653381879E-3</v>
      </c>
      <c r="T17" s="80">
        <f t="shared" si="51"/>
        <v>6.5146057306763759E-3</v>
      </c>
      <c r="U17" s="144">
        <f t="shared" si="50"/>
        <v>9.7805579346428792E-3</v>
      </c>
      <c r="V17" s="84">
        <f t="shared" si="51"/>
        <v>1.3029211461352752E-2</v>
      </c>
      <c r="W17" s="83">
        <v>1.7372281948470326E-2</v>
      </c>
      <c r="X17" s="144">
        <v>2.6058422922705504E-2</v>
      </c>
      <c r="Y17" s="147"/>
      <c r="Z17" s="142"/>
      <c r="AA17" s="2"/>
      <c r="AC17" s="2"/>
    </row>
    <row r="18" spans="1:31" x14ac:dyDescent="0.25">
      <c r="A18">
        <v>14</v>
      </c>
      <c r="B18" s="83">
        <f t="shared" si="43"/>
        <v>3.4875285245834146E-3</v>
      </c>
      <c r="C18" s="80">
        <f t="shared" si="44"/>
        <v>5.144470398430947E-3</v>
      </c>
      <c r="D18" s="80">
        <f t="shared" si="45"/>
        <v>4.511837601733789E-3</v>
      </c>
      <c r="E18" s="80">
        <f t="shared" si="0"/>
        <v>6.1518934760870286E-3</v>
      </c>
      <c r="F18" s="83">
        <f t="shared" si="46"/>
        <v>3.0729272314511205E-3</v>
      </c>
      <c r="G18" s="80">
        <f t="shared" si="47"/>
        <v>6.1458544629022409E-3</v>
      </c>
      <c r="H18" s="80">
        <f t="shared" si="48"/>
        <v>9.2269414477763011E-3</v>
      </c>
      <c r="I18" s="84">
        <f t="shared" si="49"/>
        <v>1.2291708925804482E-2</v>
      </c>
      <c r="J18" s="83">
        <f t="shared" si="49"/>
        <v>1.6388945234405969E-2</v>
      </c>
      <c r="K18" s="84">
        <f t="shared" si="49"/>
        <v>2.4583417851608964E-2</v>
      </c>
      <c r="L18" s="147"/>
      <c r="N18">
        <v>14</v>
      </c>
      <c r="O18" s="83">
        <v>3.4875285245834146E-3</v>
      </c>
      <c r="P18" s="80">
        <v>5.144470398430947E-3</v>
      </c>
      <c r="Q18" s="80">
        <v>4.511837601733789E-3</v>
      </c>
      <c r="R18" s="84">
        <f t="shared" si="2"/>
        <v>6.1518934760870286E-3</v>
      </c>
      <c r="S18" s="83">
        <f t="shared" si="51"/>
        <v>3.0729272314511205E-3</v>
      </c>
      <c r="T18" s="80">
        <f t="shared" si="51"/>
        <v>6.1458544629022409E-3</v>
      </c>
      <c r="U18" s="144">
        <f t="shared" si="50"/>
        <v>9.2269414477763011E-3</v>
      </c>
      <c r="V18" s="84">
        <f t="shared" si="51"/>
        <v>1.2291708925804482E-2</v>
      </c>
      <c r="W18" s="83">
        <v>1.6388945234405969E-2</v>
      </c>
      <c r="X18" s="144">
        <v>2.4583417851608964E-2</v>
      </c>
      <c r="Y18" s="147"/>
      <c r="Z18" s="142"/>
      <c r="AA18" s="2"/>
      <c r="AE18" t="s">
        <v>218</v>
      </c>
    </row>
    <row r="19" spans="1:31" x14ac:dyDescent="0.25">
      <c r="A19">
        <v>15</v>
      </c>
      <c r="B19" s="83">
        <f t="shared" si="43"/>
        <v>3.2901212496069948E-3</v>
      </c>
      <c r="C19" s="80">
        <f t="shared" si="44"/>
        <v>4.8532739607839125E-3</v>
      </c>
      <c r="D19" s="80">
        <f t="shared" si="45"/>
        <v>4.2564505676733859E-3</v>
      </c>
      <c r="E19" s="80">
        <f t="shared" si="0"/>
        <v>5.8036730906481397E-3</v>
      </c>
      <c r="F19" s="83">
        <f t="shared" si="46"/>
        <v>2.8989879541991702E-3</v>
      </c>
      <c r="G19" s="80">
        <f t="shared" si="47"/>
        <v>5.7979759083983404E-3</v>
      </c>
      <c r="H19" s="80">
        <f t="shared" si="48"/>
        <v>8.7046617431851894E-3</v>
      </c>
      <c r="I19" s="84">
        <f t="shared" si="49"/>
        <v>1.1595951816796681E-2</v>
      </c>
      <c r="J19" s="83">
        <f t="shared" si="49"/>
        <v>1.5461269089062235E-2</v>
      </c>
      <c r="K19" s="84">
        <f t="shared" si="49"/>
        <v>2.3191903633593362E-2</v>
      </c>
      <c r="L19" s="147"/>
      <c r="N19">
        <v>15</v>
      </c>
      <c r="O19" s="83">
        <v>3.2901212496069948E-3</v>
      </c>
      <c r="P19" s="80">
        <v>4.8532739607839125E-3</v>
      </c>
      <c r="Q19" s="80">
        <v>4.2564505676733859E-3</v>
      </c>
      <c r="R19" s="84">
        <f t="shared" si="2"/>
        <v>5.8036730906481397E-3</v>
      </c>
      <c r="S19" s="83">
        <f t="shared" si="51"/>
        <v>2.8989879541991702E-3</v>
      </c>
      <c r="T19" s="80">
        <f t="shared" si="51"/>
        <v>5.7979759083983404E-3</v>
      </c>
      <c r="U19" s="144">
        <f t="shared" si="50"/>
        <v>8.7046617431851894E-3</v>
      </c>
      <c r="V19" s="84">
        <f t="shared" si="51"/>
        <v>1.1595951816796681E-2</v>
      </c>
      <c r="W19" s="83">
        <v>1.5461269089062235E-2</v>
      </c>
      <c r="X19" s="144">
        <v>2.3191903633593362E-2</v>
      </c>
      <c r="Y19" s="147"/>
      <c r="AE19">
        <v>1.0460799999999999</v>
      </c>
    </row>
    <row r="20" spans="1:31" x14ac:dyDescent="0.25">
      <c r="A20">
        <v>16</v>
      </c>
      <c r="B20" s="83">
        <f t="shared" si="43"/>
        <v>3.1038879713273532E-3</v>
      </c>
      <c r="C20" s="80">
        <f t="shared" si="44"/>
        <v>4.5785603403621818E-3</v>
      </c>
      <c r="D20" s="80">
        <f t="shared" si="45"/>
        <v>4.0155194034654585E-3</v>
      </c>
      <c r="E20" s="80">
        <f t="shared" si="0"/>
        <v>5.4751632930642828E-3</v>
      </c>
      <c r="F20" s="83">
        <f t="shared" si="46"/>
        <v>2.7348942964143114E-3</v>
      </c>
      <c r="G20" s="80">
        <f t="shared" si="47"/>
        <v>5.4697885928286227E-3</v>
      </c>
      <c r="H20" s="80">
        <f t="shared" si="48"/>
        <v>8.2119450407407441E-3</v>
      </c>
      <c r="I20" s="84">
        <f t="shared" si="49"/>
        <v>1.0939577185657245E-2</v>
      </c>
      <c r="J20" s="81"/>
      <c r="K20" s="82"/>
      <c r="L20" s="147"/>
      <c r="N20">
        <v>16</v>
      </c>
      <c r="O20" s="83">
        <v>3.1038879713273532E-3</v>
      </c>
      <c r="P20" s="80">
        <v>4.5785603403621818E-3</v>
      </c>
      <c r="Q20" s="80">
        <v>4.0155194034654585E-3</v>
      </c>
      <c r="R20" s="84">
        <f t="shared" si="2"/>
        <v>5.4751632930642828E-3</v>
      </c>
      <c r="S20" s="83">
        <f t="shared" si="51"/>
        <v>2.7348942964143114E-3</v>
      </c>
      <c r="T20" s="80">
        <f t="shared" si="51"/>
        <v>5.4697885928286227E-3</v>
      </c>
      <c r="U20" s="144">
        <f t="shared" si="50"/>
        <v>8.2119450407407441E-3</v>
      </c>
      <c r="V20" s="84">
        <f t="shared" si="51"/>
        <v>1.0939577185657245E-2</v>
      </c>
      <c r="W20" s="81"/>
      <c r="X20" s="143"/>
      <c r="Y20" s="147"/>
    </row>
    <row r="21" spans="1:31" x14ac:dyDescent="0.25">
      <c r="A21">
        <v>17</v>
      </c>
      <c r="B21" s="83">
        <f t="shared" si="43"/>
        <v>2.9281961993654275E-3</v>
      </c>
      <c r="C21" s="80">
        <f t="shared" ref="C21:C29" si="52">P21/$B$1</f>
        <v>4.3193965475114924E-3</v>
      </c>
      <c r="D21" s="80">
        <f t="shared" ref="D21:D29" si="53">Q21/$B$1</f>
        <v>3.788225852325904E-3</v>
      </c>
      <c r="E21" s="80">
        <f t="shared" si="0"/>
        <v>5.1652483896832855E-3</v>
      </c>
      <c r="F21" s="83">
        <f>S21/$B$1</f>
        <v>2.5800889588814256E-3</v>
      </c>
      <c r="G21" s="80">
        <f t="shared" ref="G21:H24" si="54">T21/$B$1</f>
        <v>5.1601779177628511E-3</v>
      </c>
      <c r="H21" s="80">
        <f t="shared" si="54"/>
        <v>7.747117962962965E-3</v>
      </c>
      <c r="I21" s="84">
        <f>V21/$B$1</f>
        <v>1.0320355835525702E-2</v>
      </c>
      <c r="J21" s="81"/>
      <c r="K21" s="82"/>
      <c r="L21" s="147"/>
      <c r="N21">
        <v>17</v>
      </c>
      <c r="O21" s="83">
        <v>2.9281961993654275E-3</v>
      </c>
      <c r="P21" s="80">
        <v>4.3193965475114924E-3</v>
      </c>
      <c r="Q21" s="80">
        <v>3.788225852325904E-3</v>
      </c>
      <c r="R21" s="84">
        <f t="shared" si="2"/>
        <v>5.1652483896832855E-3</v>
      </c>
      <c r="S21" s="83">
        <f t="shared" si="51"/>
        <v>2.5800889588814256E-3</v>
      </c>
      <c r="T21" s="80">
        <f t="shared" si="51"/>
        <v>5.1601779177628511E-3</v>
      </c>
      <c r="U21" s="144">
        <f t="shared" si="50"/>
        <v>7.747117962962965E-3</v>
      </c>
      <c r="V21" s="84">
        <f t="shared" si="51"/>
        <v>1.0320355835525702E-2</v>
      </c>
      <c r="W21" s="81"/>
      <c r="X21" s="143"/>
      <c r="Y21" s="147"/>
    </row>
    <row r="22" spans="1:31" x14ac:dyDescent="0.25">
      <c r="A22">
        <v>18</v>
      </c>
      <c r="B22" s="83">
        <f t="shared" si="43"/>
        <v>2.7624492446843654E-3</v>
      </c>
      <c r="C22" s="80">
        <f t="shared" si="52"/>
        <v>4.0749024033127287E-3</v>
      </c>
      <c r="D22" s="80">
        <f t="shared" si="53"/>
        <v>3.5737979738923622E-3</v>
      </c>
      <c r="E22" s="80">
        <f t="shared" si="0"/>
        <v>4.8728758393238539E-3</v>
      </c>
      <c r="F22" s="83">
        <f>S22/$B$1</f>
        <v>2.4340461876239863E-3</v>
      </c>
      <c r="G22" s="80">
        <f>T22/$B$1</f>
        <v>4.8680923752479725E-3</v>
      </c>
      <c r="H22" s="80">
        <f>U22/$B$1</f>
        <v>7.3086018518518535E-3</v>
      </c>
      <c r="I22" s="84">
        <f>V22/$B$1</f>
        <v>9.7361847504959451E-3</v>
      </c>
      <c r="J22" s="81"/>
      <c r="K22" s="82"/>
      <c r="L22" s="147"/>
      <c r="N22">
        <v>18</v>
      </c>
      <c r="O22" s="83">
        <v>2.7624492446843654E-3</v>
      </c>
      <c r="P22" s="80">
        <v>4.0749024033127287E-3</v>
      </c>
      <c r="Q22" s="80">
        <v>3.5737979738923622E-3</v>
      </c>
      <c r="R22" s="84">
        <f t="shared" si="2"/>
        <v>4.8728758393238539E-3</v>
      </c>
      <c r="S22" s="83">
        <f t="shared" si="51"/>
        <v>2.4340461876239863E-3</v>
      </c>
      <c r="T22" s="80">
        <f t="shared" si="51"/>
        <v>4.8680923752479725E-3</v>
      </c>
      <c r="U22" s="144">
        <f t="shared" si="50"/>
        <v>7.3086018518518535E-3</v>
      </c>
      <c r="V22" s="84">
        <f t="shared" si="51"/>
        <v>9.7361847504959451E-3</v>
      </c>
      <c r="W22" s="81"/>
      <c r="X22" s="143"/>
      <c r="Y22" s="147"/>
    </row>
    <row r="23" spans="1:31" x14ac:dyDescent="0.25">
      <c r="A23">
        <v>19</v>
      </c>
      <c r="B23" s="83">
        <f t="shared" si="43"/>
        <v>2.6060841930984576E-3</v>
      </c>
      <c r="C23" s="80">
        <f t="shared" si="52"/>
        <v>3.8442475502950268E-3</v>
      </c>
      <c r="D23" s="80">
        <f t="shared" si="53"/>
        <v>3.3715075225399641E-3</v>
      </c>
      <c r="E23" s="80">
        <f t="shared" si="0"/>
        <v>4.5970526786074089E-3</v>
      </c>
      <c r="F23" s="83">
        <f>S23/$B$1</f>
        <v>2.2962699883245152E-3</v>
      </c>
      <c r="G23" s="80">
        <f t="shared" si="54"/>
        <v>4.5925399766490304E-3</v>
      </c>
      <c r="H23" s="80">
        <f t="shared" si="54"/>
        <v>6.8949074074074086E-3</v>
      </c>
      <c r="I23" s="84">
        <f>V23/$B$1</f>
        <v>9.1850799532980608E-3</v>
      </c>
      <c r="J23" s="81"/>
      <c r="K23" s="82"/>
      <c r="L23" s="147"/>
      <c r="N23">
        <v>19</v>
      </c>
      <c r="O23" s="83">
        <v>2.6060841930984576E-3</v>
      </c>
      <c r="P23" s="80">
        <v>3.8442475502950268E-3</v>
      </c>
      <c r="Q23" s="80">
        <v>3.3715075225399641E-3</v>
      </c>
      <c r="R23" s="84">
        <f t="shared" si="2"/>
        <v>4.5970526786074089E-3</v>
      </c>
      <c r="S23" s="83">
        <f t="shared" si="51"/>
        <v>2.2962699883245152E-3</v>
      </c>
      <c r="T23" s="80">
        <f t="shared" si="51"/>
        <v>4.5925399766490304E-3</v>
      </c>
      <c r="U23" s="144">
        <f t="shared" si="50"/>
        <v>6.8949074074074086E-3</v>
      </c>
      <c r="V23" s="84">
        <f t="shared" si="51"/>
        <v>9.1850799532980608E-3</v>
      </c>
      <c r="W23" s="81"/>
      <c r="X23" s="143"/>
      <c r="Y23" s="147"/>
    </row>
    <row r="24" spans="1:31" x14ac:dyDescent="0.25">
      <c r="A24">
        <v>20</v>
      </c>
      <c r="B24" s="83">
        <f t="shared" si="43"/>
        <v>2.4585699934891107E-3</v>
      </c>
      <c r="C24" s="80">
        <f t="shared" si="52"/>
        <v>3.6266486323537988E-3</v>
      </c>
      <c r="D24" s="80">
        <f t="shared" si="53"/>
        <v>3.1806674740943058E-3</v>
      </c>
      <c r="E24" s="80">
        <f t="shared" si="0"/>
        <v>4.3368421496296312E-3</v>
      </c>
      <c r="F24" s="83">
        <f>S24/$B$1</f>
        <v>2.1662924418155804E-3</v>
      </c>
      <c r="G24" s="80">
        <f t="shared" si="54"/>
        <v>4.3325848836311609E-3</v>
      </c>
      <c r="H24" s="80">
        <f t="shared" si="54"/>
        <v>6.5046296296296302E-3</v>
      </c>
      <c r="I24" s="84">
        <f>V24/$B$1</f>
        <v>8.6651697672623217E-3</v>
      </c>
      <c r="J24" s="81"/>
      <c r="K24" s="82"/>
      <c r="L24" s="147"/>
      <c r="N24">
        <v>20</v>
      </c>
      <c r="O24" s="83">
        <v>2.4585699934891107E-3</v>
      </c>
      <c r="P24" s="80">
        <v>3.6266486323537988E-3</v>
      </c>
      <c r="Q24" s="80">
        <v>3.1806674740943058E-3</v>
      </c>
      <c r="R24" s="84">
        <f t="shared" si="2"/>
        <v>4.3368421496296312E-3</v>
      </c>
      <c r="S24" s="83">
        <f>S23/1.06</f>
        <v>2.1662924418155804E-3</v>
      </c>
      <c r="T24" s="80">
        <f>T23/1.06</f>
        <v>4.3325848836311609E-3</v>
      </c>
      <c r="U24" s="144">
        <v>6.5046296296296302E-3</v>
      </c>
      <c r="V24" s="84">
        <f>V23/1.06</f>
        <v>8.6651697672623217E-3</v>
      </c>
      <c r="W24" s="81"/>
      <c r="X24" s="143"/>
      <c r="Y24" s="147"/>
    </row>
    <row r="25" spans="1:31" x14ac:dyDescent="0.25">
      <c r="A25">
        <v>21</v>
      </c>
      <c r="B25" s="83">
        <f t="shared" si="43"/>
        <v>2.31940565423501E-3</v>
      </c>
      <c r="C25" s="80">
        <f t="shared" si="52"/>
        <v>3.4213666342960366E-3</v>
      </c>
      <c r="D25" s="80">
        <f t="shared" si="53"/>
        <v>3.0006296925417977E-3</v>
      </c>
      <c r="E25" s="80">
        <f t="shared" si="0"/>
        <v>4.0913605185185194E-3</v>
      </c>
      <c r="F25" s="83"/>
      <c r="G25" s="80"/>
      <c r="H25" s="144"/>
      <c r="I25" s="84"/>
      <c r="J25" s="81"/>
      <c r="K25" s="82"/>
      <c r="L25" s="147"/>
      <c r="N25">
        <v>21</v>
      </c>
      <c r="O25" s="83">
        <v>2.31940565423501E-3</v>
      </c>
      <c r="P25" s="80">
        <v>3.4213666342960366E-3</v>
      </c>
      <c r="Q25" s="80">
        <v>3.0006296925417977E-3</v>
      </c>
      <c r="R25" s="84">
        <f t="shared" si="2"/>
        <v>4.0913605185185194E-3</v>
      </c>
      <c r="S25" s="83"/>
      <c r="T25" s="80"/>
      <c r="U25" s="144"/>
      <c r="V25" s="84"/>
      <c r="W25" s="81"/>
      <c r="X25" s="143"/>
      <c r="Y25" s="147"/>
    </row>
    <row r="26" spans="1:31" x14ac:dyDescent="0.25">
      <c r="A26">
        <v>22</v>
      </c>
      <c r="B26" s="83">
        <f t="shared" si="43"/>
        <v>2.1881185417311415E-3</v>
      </c>
      <c r="C26" s="80">
        <f t="shared" si="52"/>
        <v>3.227704371977393E-3</v>
      </c>
      <c r="D26" s="80">
        <f t="shared" si="53"/>
        <v>2.8307827288130165E-3</v>
      </c>
      <c r="E26" s="80">
        <f t="shared" si="0"/>
        <v>3.8597740740740744E-3</v>
      </c>
      <c r="F26" s="83"/>
      <c r="G26" s="80"/>
      <c r="H26" s="144"/>
      <c r="I26" s="84"/>
      <c r="J26" s="81"/>
      <c r="K26" s="82"/>
      <c r="L26" s="147"/>
      <c r="N26">
        <v>22</v>
      </c>
      <c r="O26" s="83">
        <v>2.1881185417311415E-3</v>
      </c>
      <c r="P26" s="80">
        <v>3.227704371977393E-3</v>
      </c>
      <c r="Q26" s="80">
        <v>2.8307827288130165E-3</v>
      </c>
      <c r="R26" s="84">
        <f t="shared" si="2"/>
        <v>3.8597740740740744E-3</v>
      </c>
      <c r="S26" s="83"/>
      <c r="T26" s="80"/>
      <c r="U26" s="144"/>
      <c r="V26" s="84"/>
      <c r="W26" s="81"/>
      <c r="X26" s="143"/>
      <c r="Y26" s="147"/>
    </row>
    <row r="27" spans="1:31" x14ac:dyDescent="0.25">
      <c r="A27">
        <v>23</v>
      </c>
      <c r="B27" s="83">
        <f t="shared" si="43"/>
        <v>2.064262775218058E-3</v>
      </c>
      <c r="C27" s="80">
        <f t="shared" si="52"/>
        <v>3.0450041245069742E-3</v>
      </c>
      <c r="D27" s="80">
        <f t="shared" si="53"/>
        <v>2.6705497441632227E-3</v>
      </c>
      <c r="E27" s="80">
        <f t="shared" si="0"/>
        <v>3.6412962962962966E-3</v>
      </c>
      <c r="F27" s="83"/>
      <c r="G27" s="80"/>
      <c r="H27" s="144"/>
      <c r="I27" s="84"/>
      <c r="J27" s="81"/>
      <c r="K27" s="82"/>
      <c r="L27" s="147"/>
      <c r="N27">
        <v>23</v>
      </c>
      <c r="O27" s="83">
        <v>2.064262775218058E-3</v>
      </c>
      <c r="P27" s="80">
        <v>3.0450041245069742E-3</v>
      </c>
      <c r="Q27" s="80">
        <v>2.6705497441632227E-3</v>
      </c>
      <c r="R27" s="84">
        <f t="shared" si="2"/>
        <v>3.6412962962962966E-3</v>
      </c>
      <c r="S27" s="83"/>
      <c r="T27" s="80"/>
      <c r="U27" s="144"/>
      <c r="V27" s="84"/>
      <c r="W27" s="81"/>
      <c r="X27" s="143"/>
      <c r="Y27" s="147"/>
    </row>
    <row r="28" spans="1:31" x14ac:dyDescent="0.25">
      <c r="A28">
        <v>24</v>
      </c>
      <c r="B28" s="83">
        <f t="shared" si="43"/>
        <v>1.947417712469866E-3</v>
      </c>
      <c r="C28" s="80">
        <f t="shared" si="52"/>
        <v>2.8726454004782773E-3</v>
      </c>
      <c r="D28" s="80">
        <f t="shared" si="53"/>
        <v>2.5193865510973797E-3</v>
      </c>
      <c r="E28" s="80">
        <f t="shared" si="0"/>
        <v>3.4351851851851852E-3</v>
      </c>
      <c r="F28" s="83"/>
      <c r="G28" s="80"/>
      <c r="H28" s="144"/>
      <c r="I28" s="84"/>
      <c r="J28" s="81"/>
      <c r="K28" s="82"/>
      <c r="L28" s="147"/>
      <c r="N28">
        <v>24</v>
      </c>
      <c r="O28" s="83">
        <v>1.947417712469866E-3</v>
      </c>
      <c r="P28" s="80">
        <v>2.8726454004782773E-3</v>
      </c>
      <c r="Q28" s="80">
        <v>2.5193865510973797E-3</v>
      </c>
      <c r="R28" s="84">
        <f>R29*1.06</f>
        <v>3.4351851851851852E-3</v>
      </c>
      <c r="S28" s="83"/>
      <c r="T28" s="80"/>
      <c r="U28" s="144"/>
      <c r="V28" s="84"/>
      <c r="W28" s="81"/>
      <c r="X28" s="143"/>
      <c r="Y28" s="147"/>
    </row>
    <row r="29" spans="1:31" ht="15.75" thickBot="1" x14ac:dyDescent="0.3">
      <c r="A29">
        <v>25</v>
      </c>
      <c r="B29" s="85">
        <f t="shared" si="43"/>
        <v>1.8371865211979867E-3</v>
      </c>
      <c r="C29" s="86">
        <f t="shared" si="52"/>
        <v>2.7100428306398843E-3</v>
      </c>
      <c r="D29" s="86">
        <f t="shared" si="53"/>
        <v>2.3767797651862072E-3</v>
      </c>
      <c r="E29" s="86">
        <f>R29/$B$1</f>
        <v>3.2407407407407406E-3</v>
      </c>
      <c r="F29" s="85"/>
      <c r="G29" s="86"/>
      <c r="H29" s="168"/>
      <c r="I29" s="87"/>
      <c r="J29" s="88"/>
      <c r="K29" s="89"/>
      <c r="L29" s="149"/>
      <c r="N29">
        <v>25</v>
      </c>
      <c r="O29" s="85">
        <v>1.8371865211979867E-3</v>
      </c>
      <c r="P29" s="86">
        <v>2.7100428306398843E-3</v>
      </c>
      <c r="Q29" s="86">
        <v>2.3767797651862072E-3</v>
      </c>
      <c r="R29" s="87">
        <v>3.2407407407407406E-3</v>
      </c>
      <c r="S29" s="85"/>
      <c r="T29" s="86"/>
      <c r="U29" s="168"/>
      <c r="V29" s="87"/>
      <c r="W29" s="88"/>
      <c r="X29" s="145"/>
      <c r="Y29" s="149"/>
    </row>
    <row r="32" spans="1:31" x14ac:dyDescent="0.25">
      <c r="P32" s="133"/>
    </row>
    <row r="33" spans="16:21" x14ac:dyDescent="0.25">
      <c r="P33" s="133"/>
    </row>
    <row r="34" spans="16:21" x14ac:dyDescent="0.25">
      <c r="P34" s="133"/>
    </row>
    <row r="35" spans="16:21" x14ac:dyDescent="0.25">
      <c r="P35" s="133"/>
    </row>
    <row r="36" spans="16:21" x14ac:dyDescent="0.25">
      <c r="U36" s="2"/>
    </row>
    <row r="37" spans="16:21" x14ac:dyDescent="0.25">
      <c r="U37" s="2"/>
    </row>
  </sheetData>
  <mergeCells count="19">
    <mergeCell ref="AK2:AN2"/>
    <mergeCell ref="CC2:CF2"/>
    <mergeCell ref="CG2:CJ2"/>
    <mergeCell ref="BY2:CB2"/>
    <mergeCell ref="BU2:BX2"/>
    <mergeCell ref="BQ2:BT2"/>
    <mergeCell ref="BM2:BP2"/>
    <mergeCell ref="BI2:BL2"/>
    <mergeCell ref="BE2:BH2"/>
    <mergeCell ref="BA2:BD2"/>
    <mergeCell ref="AW2:AZ2"/>
    <mergeCell ref="AS2:AV2"/>
    <mergeCell ref="AO2:AR2"/>
    <mergeCell ref="W2:X2"/>
    <mergeCell ref="J2:K2"/>
    <mergeCell ref="F2:I2"/>
    <mergeCell ref="S2:V2"/>
    <mergeCell ref="B2:E2"/>
    <mergeCell ref="O2:R2"/>
  </mergeCells>
  <pageMargins left="0.7" right="0.7" top="0.78740157499999996" bottom="0.78740157499999996" header="0.3" footer="0.3"/>
  <pageSetup paperSize="9"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1"/>
  <dimension ref="A1:B16"/>
  <sheetViews>
    <sheetView workbookViewId="0">
      <selection activeCell="D7" sqref="D7"/>
    </sheetView>
  </sheetViews>
  <sheetFormatPr baseColWidth="10" defaultRowHeight="15" x14ac:dyDescent="0.25"/>
  <cols>
    <col min="1" max="1" width="23.140625" bestFit="1" customWidth="1"/>
    <col min="2" max="2" width="15.140625" bestFit="1" customWidth="1"/>
  </cols>
  <sheetData>
    <row r="1" spans="1:2" x14ac:dyDescent="0.25">
      <c r="A1" s="488" t="s">
        <v>187</v>
      </c>
      <c r="B1" s="460"/>
    </row>
    <row r="2" spans="1:2" x14ac:dyDescent="0.25">
      <c r="A2" s="169" t="s">
        <v>188</v>
      </c>
      <c r="B2" s="169" t="s">
        <v>189</v>
      </c>
    </row>
    <row r="3" spans="1:2" x14ac:dyDescent="0.25">
      <c r="A3" s="79" t="s">
        <v>196</v>
      </c>
      <c r="B3" s="79" t="s">
        <v>70</v>
      </c>
    </row>
    <row r="4" spans="1:2" x14ac:dyDescent="0.25">
      <c r="A4" s="79" t="s">
        <v>197</v>
      </c>
      <c r="B4" s="79" t="s">
        <v>73</v>
      </c>
    </row>
    <row r="5" spans="1:2" x14ac:dyDescent="0.25">
      <c r="A5" s="79" t="s">
        <v>198</v>
      </c>
      <c r="B5" s="79" t="s">
        <v>74</v>
      </c>
    </row>
    <row r="6" spans="1:2" x14ac:dyDescent="0.25">
      <c r="A6" s="79" t="s">
        <v>199</v>
      </c>
      <c r="B6" s="79" t="s">
        <v>75</v>
      </c>
    </row>
    <row r="7" spans="1:2" x14ac:dyDescent="0.25">
      <c r="A7" s="79" t="s">
        <v>200</v>
      </c>
      <c r="B7" s="79" t="s">
        <v>190</v>
      </c>
    </row>
    <row r="8" spans="1:2" x14ac:dyDescent="0.25">
      <c r="A8" s="79" t="s">
        <v>121</v>
      </c>
      <c r="B8" s="79" t="s">
        <v>71</v>
      </c>
    </row>
    <row r="9" spans="1:2" x14ac:dyDescent="0.25">
      <c r="A9" s="79" t="s">
        <v>201</v>
      </c>
      <c r="B9" s="79" t="s">
        <v>76</v>
      </c>
    </row>
    <row r="10" spans="1:2" x14ac:dyDescent="0.25">
      <c r="A10" s="79" t="s">
        <v>202</v>
      </c>
      <c r="B10" s="79" t="s">
        <v>191</v>
      </c>
    </row>
    <row r="11" spans="1:2" x14ac:dyDescent="0.25">
      <c r="A11" s="79" t="s">
        <v>203</v>
      </c>
      <c r="B11" s="79" t="s">
        <v>77</v>
      </c>
    </row>
    <row r="12" spans="1:2" x14ac:dyDescent="0.25">
      <c r="A12" s="79" t="s">
        <v>105</v>
      </c>
      <c r="B12" s="79" t="s">
        <v>78</v>
      </c>
    </row>
    <row r="13" spans="1:2" x14ac:dyDescent="0.25">
      <c r="A13" s="79" t="s">
        <v>204</v>
      </c>
      <c r="B13" s="79" t="s">
        <v>79</v>
      </c>
    </row>
    <row r="14" spans="1:2" x14ac:dyDescent="0.25">
      <c r="A14" s="79" t="s">
        <v>192</v>
      </c>
      <c r="B14" s="79" t="s">
        <v>192</v>
      </c>
    </row>
    <row r="15" spans="1:2" x14ac:dyDescent="0.25">
      <c r="A15" s="79" t="s">
        <v>205</v>
      </c>
      <c r="B15" s="79" t="s">
        <v>193</v>
      </c>
    </row>
    <row r="16" spans="1:2" x14ac:dyDescent="0.25">
      <c r="A16" s="79" t="s">
        <v>206</v>
      </c>
      <c r="B16" s="79" t="s">
        <v>194</v>
      </c>
    </row>
  </sheetData>
  <mergeCells count="1">
    <mergeCell ref="A1:B1"/>
  </mergeCells>
  <pageMargins left="0.7" right="0.7" top="0.78740157499999996" bottom="0.78740157499999996" header="0.3" footer="0.3"/>
  <pageSetup paperSize="9"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2"/>
  <dimension ref="A1:J18877"/>
  <sheetViews>
    <sheetView workbookViewId="0">
      <selection activeCell="J1" sqref="J1"/>
    </sheetView>
  </sheetViews>
  <sheetFormatPr baseColWidth="10" defaultRowHeight="15" x14ac:dyDescent="0.25"/>
  <cols>
    <col min="1" max="1" width="81.140625" bestFit="1" customWidth="1"/>
  </cols>
  <sheetData>
    <row r="1" spans="1:10" x14ac:dyDescent="0.25">
      <c r="A1">
        <v>1</v>
      </c>
      <c r="B1" t="s">
        <v>530</v>
      </c>
      <c r="C1">
        <v>458</v>
      </c>
      <c r="D1">
        <v>480</v>
      </c>
      <c r="E1">
        <v>10199776</v>
      </c>
      <c r="F1">
        <v>3563</v>
      </c>
      <c r="G1">
        <v>0</v>
      </c>
      <c r="H1" t="s">
        <v>4928</v>
      </c>
      <c r="I1">
        <v>1</v>
      </c>
      <c r="J1" t="str">
        <f>VLOOKUP(E1,DSSpieler!A:B,2,FALSE)</f>
        <v>Saftsack27</v>
      </c>
    </row>
    <row r="2" spans="1:10" x14ac:dyDescent="0.25">
      <c r="A2">
        <v>2</v>
      </c>
      <c r="B2" t="s">
        <v>30500</v>
      </c>
      <c r="C2">
        <v>449</v>
      </c>
      <c r="D2">
        <v>590</v>
      </c>
      <c r="E2">
        <v>1378053</v>
      </c>
      <c r="F2">
        <v>4935</v>
      </c>
      <c r="G2">
        <v>0</v>
      </c>
      <c r="H2" t="s">
        <v>4929</v>
      </c>
      <c r="I2">
        <v>2</v>
      </c>
      <c r="J2" t="str">
        <f>VLOOKUP(E2,DSSpieler!A:B,2,FALSE)</f>
        <v>Fremdius</v>
      </c>
    </row>
    <row r="3" spans="1:10" x14ac:dyDescent="0.25">
      <c r="A3">
        <v>3</v>
      </c>
      <c r="B3" t="s">
        <v>531</v>
      </c>
      <c r="C3">
        <v>479</v>
      </c>
      <c r="D3">
        <v>471</v>
      </c>
      <c r="E3">
        <v>0</v>
      </c>
      <c r="F3">
        <v>267</v>
      </c>
      <c r="G3">
        <v>0</v>
      </c>
      <c r="H3" t="s">
        <v>4930</v>
      </c>
      <c r="I3">
        <v>3</v>
      </c>
      <c r="J3" t="e">
        <f>VLOOKUP(E3,DSSpieler!A:B,2,FALSE)</f>
        <v>#N/A</v>
      </c>
    </row>
    <row r="4" spans="1:10" x14ac:dyDescent="0.25">
      <c r="A4">
        <v>4</v>
      </c>
      <c r="B4" t="s">
        <v>30501</v>
      </c>
      <c r="C4">
        <v>458</v>
      </c>
      <c r="D4">
        <v>592</v>
      </c>
      <c r="E4">
        <v>9607209</v>
      </c>
      <c r="F4">
        <v>5278</v>
      </c>
      <c r="G4">
        <v>0</v>
      </c>
      <c r="H4" t="s">
        <v>4931</v>
      </c>
      <c r="I4">
        <v>4</v>
      </c>
      <c r="J4" t="str">
        <f>VLOOKUP(E4,DSSpieler!A:B,2,FALSE)</f>
        <v>Dregonheart</v>
      </c>
    </row>
    <row r="5" spans="1:10" x14ac:dyDescent="0.25">
      <c r="A5">
        <v>5</v>
      </c>
      <c r="B5">
        <v>3</v>
      </c>
      <c r="C5">
        <v>479</v>
      </c>
      <c r="D5">
        <v>478</v>
      </c>
      <c r="E5">
        <v>7824484</v>
      </c>
      <c r="F5">
        <v>4567</v>
      </c>
      <c r="G5">
        <v>0</v>
      </c>
      <c r="H5" t="s">
        <v>4932</v>
      </c>
      <c r="I5">
        <v>5</v>
      </c>
      <c r="J5" t="str">
        <f>VLOOKUP(E5,DSSpieler!A:B,2,FALSE)</f>
        <v>Oli der kriegsgott</v>
      </c>
    </row>
    <row r="6" spans="1:10" x14ac:dyDescent="0.25">
      <c r="A6">
        <v>6</v>
      </c>
      <c r="B6" t="s">
        <v>30501</v>
      </c>
      <c r="C6">
        <v>451</v>
      </c>
      <c r="D6">
        <v>598</v>
      </c>
      <c r="E6">
        <v>9607209</v>
      </c>
      <c r="F6">
        <v>4464</v>
      </c>
      <c r="G6">
        <v>0</v>
      </c>
      <c r="H6" t="s">
        <v>4933</v>
      </c>
      <c r="I6">
        <v>6</v>
      </c>
      <c r="J6" t="str">
        <f>VLOOKUP(E6,DSSpieler!A:B,2,FALSE)</f>
        <v>Dregonheart</v>
      </c>
    </row>
    <row r="7" spans="1:10" x14ac:dyDescent="0.25">
      <c r="A7">
        <v>7</v>
      </c>
      <c r="B7" t="s">
        <v>531</v>
      </c>
      <c r="C7">
        <v>488</v>
      </c>
      <c r="D7">
        <v>482</v>
      </c>
      <c r="E7">
        <v>0</v>
      </c>
      <c r="F7">
        <v>379</v>
      </c>
      <c r="G7">
        <v>0</v>
      </c>
      <c r="H7" t="s">
        <v>4934</v>
      </c>
      <c r="I7">
        <v>7</v>
      </c>
      <c r="J7" t="e">
        <f>VLOOKUP(E7,DSSpieler!A:B,2,FALSE)</f>
        <v>#N/A</v>
      </c>
    </row>
    <row r="8" spans="1:10" x14ac:dyDescent="0.25">
      <c r="A8">
        <v>8</v>
      </c>
      <c r="B8" t="s">
        <v>531</v>
      </c>
      <c r="C8">
        <v>476</v>
      </c>
      <c r="D8">
        <v>474</v>
      </c>
      <c r="E8">
        <v>0</v>
      </c>
      <c r="F8">
        <v>235</v>
      </c>
      <c r="G8">
        <v>0</v>
      </c>
      <c r="H8" t="s">
        <v>4935</v>
      </c>
      <c r="I8">
        <v>8</v>
      </c>
      <c r="J8" t="e">
        <f>VLOOKUP(E8,DSSpieler!A:B,2,FALSE)</f>
        <v>#N/A</v>
      </c>
    </row>
    <row r="9" spans="1:10" x14ac:dyDescent="0.25">
      <c r="A9">
        <v>9</v>
      </c>
      <c r="B9" t="s">
        <v>30502</v>
      </c>
      <c r="C9">
        <v>477</v>
      </c>
      <c r="D9">
        <v>478</v>
      </c>
      <c r="E9">
        <v>1576627034</v>
      </c>
      <c r="F9">
        <v>195</v>
      </c>
      <c r="G9">
        <v>0</v>
      </c>
      <c r="H9" t="s">
        <v>4936</v>
      </c>
      <c r="I9">
        <v>9</v>
      </c>
      <c r="J9" t="str">
        <f>VLOOKUP(E9,DSSpieler!A:B,2,FALSE)</f>
        <v>Fitz-Gervais</v>
      </c>
    </row>
    <row r="10" spans="1:10" x14ac:dyDescent="0.25">
      <c r="A10">
        <v>10</v>
      </c>
      <c r="B10" t="s">
        <v>531</v>
      </c>
      <c r="C10">
        <v>463</v>
      </c>
      <c r="D10">
        <v>541</v>
      </c>
      <c r="E10">
        <v>0</v>
      </c>
      <c r="F10">
        <v>398</v>
      </c>
      <c r="G10">
        <v>0</v>
      </c>
      <c r="H10" t="s">
        <v>4937</v>
      </c>
      <c r="I10">
        <v>10</v>
      </c>
      <c r="J10" t="e">
        <f>VLOOKUP(E10,DSSpieler!A:B,2,FALSE)</f>
        <v>#N/A</v>
      </c>
    </row>
    <row r="11" spans="1:10" x14ac:dyDescent="0.25">
      <c r="A11">
        <v>11</v>
      </c>
      <c r="B11" t="s">
        <v>531</v>
      </c>
      <c r="C11">
        <v>472</v>
      </c>
      <c r="D11">
        <v>478</v>
      </c>
      <c r="E11">
        <v>0</v>
      </c>
      <c r="F11">
        <v>167</v>
      </c>
      <c r="G11">
        <v>0</v>
      </c>
      <c r="H11" t="s">
        <v>4938</v>
      </c>
      <c r="I11">
        <v>11</v>
      </c>
      <c r="J11" t="e">
        <f>VLOOKUP(E11,DSSpieler!A:B,2,FALSE)</f>
        <v>#N/A</v>
      </c>
    </row>
    <row r="12" spans="1:10" x14ac:dyDescent="0.25">
      <c r="A12">
        <v>13</v>
      </c>
      <c r="B12" t="s">
        <v>531</v>
      </c>
      <c r="C12">
        <v>493</v>
      </c>
      <c r="D12">
        <v>483</v>
      </c>
      <c r="E12">
        <v>0</v>
      </c>
      <c r="F12">
        <v>158</v>
      </c>
      <c r="G12">
        <v>0</v>
      </c>
      <c r="H12" t="s">
        <v>4939</v>
      </c>
      <c r="I12">
        <v>13</v>
      </c>
      <c r="J12" t="e">
        <f>VLOOKUP(E12,DSSpieler!A:B,2,FALSE)</f>
        <v>#N/A</v>
      </c>
    </row>
    <row r="13" spans="1:10" x14ac:dyDescent="0.25">
      <c r="A13">
        <v>14</v>
      </c>
      <c r="B13" t="s">
        <v>532</v>
      </c>
      <c r="C13">
        <v>566</v>
      </c>
      <c r="D13">
        <v>469</v>
      </c>
      <c r="E13">
        <v>1577197682</v>
      </c>
      <c r="F13">
        <v>3872</v>
      </c>
      <c r="G13">
        <v>0</v>
      </c>
      <c r="H13" t="s">
        <v>4940</v>
      </c>
      <c r="I13">
        <v>14</v>
      </c>
      <c r="J13" t="str">
        <f>VLOOKUP(E13,DSSpieler!A:B,2,FALSE)</f>
        <v>Kelar</v>
      </c>
    </row>
    <row r="14" spans="1:10" x14ac:dyDescent="0.25">
      <c r="A14">
        <v>15</v>
      </c>
      <c r="B14" t="s">
        <v>531</v>
      </c>
      <c r="C14">
        <v>531</v>
      </c>
      <c r="D14">
        <v>521</v>
      </c>
      <c r="E14">
        <v>0</v>
      </c>
      <c r="F14">
        <v>386</v>
      </c>
      <c r="G14">
        <v>0</v>
      </c>
      <c r="H14" t="s">
        <v>4941</v>
      </c>
      <c r="I14">
        <v>15</v>
      </c>
      <c r="J14" t="e">
        <f>VLOOKUP(E14,DSSpieler!A:B,2,FALSE)</f>
        <v>#N/A</v>
      </c>
    </row>
    <row r="15" spans="1:10" x14ac:dyDescent="0.25">
      <c r="A15">
        <v>16</v>
      </c>
      <c r="B15" t="s">
        <v>531</v>
      </c>
      <c r="C15">
        <v>561</v>
      </c>
      <c r="D15">
        <v>464</v>
      </c>
      <c r="E15">
        <v>1577197002</v>
      </c>
      <c r="F15">
        <v>2101</v>
      </c>
      <c r="G15">
        <v>0</v>
      </c>
      <c r="H15" t="s">
        <v>4942</v>
      </c>
      <c r="I15">
        <v>16</v>
      </c>
      <c r="J15" t="str">
        <f>VLOOKUP(E15,DSSpieler!A:B,2,FALSE)</f>
        <v>Squatusalem</v>
      </c>
    </row>
    <row r="16" spans="1:10" x14ac:dyDescent="0.25">
      <c r="A16">
        <v>17</v>
      </c>
      <c r="B16" t="s">
        <v>531</v>
      </c>
      <c r="C16">
        <v>572</v>
      </c>
      <c r="D16">
        <v>467</v>
      </c>
      <c r="E16">
        <v>0</v>
      </c>
      <c r="F16">
        <v>714</v>
      </c>
      <c r="G16">
        <v>0</v>
      </c>
      <c r="H16" t="s">
        <v>4943</v>
      </c>
      <c r="I16">
        <v>17</v>
      </c>
      <c r="J16" t="e">
        <f>VLOOKUP(E16,DSSpieler!A:B,2,FALSE)</f>
        <v>#N/A</v>
      </c>
    </row>
    <row r="17" spans="1:10" x14ac:dyDescent="0.25">
      <c r="A17">
        <v>18</v>
      </c>
      <c r="B17" t="s">
        <v>531</v>
      </c>
      <c r="C17">
        <v>574</v>
      </c>
      <c r="D17">
        <v>463</v>
      </c>
      <c r="E17">
        <v>0</v>
      </c>
      <c r="F17">
        <v>761</v>
      </c>
      <c r="G17">
        <v>0</v>
      </c>
      <c r="H17" t="s">
        <v>4944</v>
      </c>
      <c r="I17">
        <v>18</v>
      </c>
      <c r="J17" t="e">
        <f>VLOOKUP(E17,DSSpieler!A:B,2,FALSE)</f>
        <v>#N/A</v>
      </c>
    </row>
    <row r="18" spans="1:10" x14ac:dyDescent="0.25">
      <c r="A18">
        <v>19</v>
      </c>
      <c r="B18" t="s">
        <v>531</v>
      </c>
      <c r="C18">
        <v>569</v>
      </c>
      <c r="D18">
        <v>466</v>
      </c>
      <c r="E18">
        <v>1577197002</v>
      </c>
      <c r="F18">
        <v>1934</v>
      </c>
      <c r="G18">
        <v>0</v>
      </c>
      <c r="H18" t="s">
        <v>4945</v>
      </c>
      <c r="I18">
        <v>19</v>
      </c>
      <c r="J18" t="str">
        <f>VLOOKUP(E18,DSSpieler!A:B,2,FALSE)</f>
        <v>Squatusalem</v>
      </c>
    </row>
    <row r="19" spans="1:10" x14ac:dyDescent="0.25">
      <c r="A19">
        <v>20</v>
      </c>
      <c r="B19" t="s">
        <v>30503</v>
      </c>
      <c r="C19">
        <v>572</v>
      </c>
      <c r="D19">
        <v>473</v>
      </c>
      <c r="E19">
        <v>1577197915</v>
      </c>
      <c r="F19">
        <v>160</v>
      </c>
      <c r="G19">
        <v>0</v>
      </c>
      <c r="H19" t="s">
        <v>4946</v>
      </c>
      <c r="I19">
        <v>20</v>
      </c>
      <c r="J19" t="str">
        <f>VLOOKUP(E19,DSSpieler!A:B,2,FALSE)</f>
        <v>NightWolf1708</v>
      </c>
    </row>
    <row r="20" spans="1:10" x14ac:dyDescent="0.25">
      <c r="A20">
        <v>21</v>
      </c>
      <c r="B20" t="s">
        <v>30504</v>
      </c>
      <c r="C20">
        <v>454</v>
      </c>
      <c r="D20">
        <v>505</v>
      </c>
      <c r="E20">
        <v>9122692</v>
      </c>
      <c r="F20">
        <v>981</v>
      </c>
      <c r="G20">
        <v>0</v>
      </c>
      <c r="H20" t="s">
        <v>4947</v>
      </c>
      <c r="I20">
        <v>21</v>
      </c>
      <c r="J20" t="str">
        <f>VLOOKUP(E20,DSSpieler!A:B,2,FALSE)</f>
        <v>Wiesel 1</v>
      </c>
    </row>
    <row r="21" spans="1:10" x14ac:dyDescent="0.25">
      <c r="A21">
        <v>22</v>
      </c>
      <c r="B21" t="s">
        <v>533</v>
      </c>
      <c r="C21">
        <v>458</v>
      </c>
      <c r="D21">
        <v>495</v>
      </c>
      <c r="E21">
        <v>9689513</v>
      </c>
      <c r="F21">
        <v>833</v>
      </c>
      <c r="G21">
        <v>0</v>
      </c>
      <c r="H21" t="s">
        <v>4948</v>
      </c>
      <c r="I21">
        <v>22</v>
      </c>
      <c r="J21" t="str">
        <f>VLOOKUP(E21,DSSpieler!A:B,2,FALSE)</f>
        <v>Kroko.-</v>
      </c>
    </row>
    <row r="22" spans="1:10" x14ac:dyDescent="0.25">
      <c r="A22">
        <v>23</v>
      </c>
      <c r="B22" t="s">
        <v>534</v>
      </c>
      <c r="C22">
        <v>602</v>
      </c>
      <c r="D22">
        <v>481</v>
      </c>
      <c r="E22">
        <v>1194094</v>
      </c>
      <c r="F22">
        <v>7154</v>
      </c>
      <c r="G22">
        <v>0</v>
      </c>
      <c r="H22" t="s">
        <v>4949</v>
      </c>
      <c r="I22">
        <v>23</v>
      </c>
      <c r="J22" t="str">
        <f>VLOOKUP(E22,DSSpieler!A:B,2,FALSE)</f>
        <v>Krababel</v>
      </c>
    </row>
    <row r="23" spans="1:10" x14ac:dyDescent="0.25">
      <c r="A23">
        <v>24</v>
      </c>
      <c r="B23" t="s">
        <v>30505</v>
      </c>
      <c r="C23">
        <v>602</v>
      </c>
      <c r="D23">
        <v>474</v>
      </c>
      <c r="E23">
        <v>1575991722</v>
      </c>
      <c r="F23">
        <v>5898</v>
      </c>
      <c r="G23">
        <v>0</v>
      </c>
      <c r="H23" t="s">
        <v>4950</v>
      </c>
      <c r="I23">
        <v>24</v>
      </c>
      <c r="J23" t="str">
        <f>VLOOKUP(E23,DSSpieler!A:B,2,FALSE)</f>
        <v>-Fabi*</v>
      </c>
    </row>
    <row r="24" spans="1:10" x14ac:dyDescent="0.25">
      <c r="A24">
        <v>25</v>
      </c>
      <c r="B24" t="s">
        <v>30506</v>
      </c>
      <c r="C24">
        <v>600</v>
      </c>
      <c r="D24">
        <v>478</v>
      </c>
      <c r="E24">
        <v>1577178468</v>
      </c>
      <c r="F24">
        <v>6366</v>
      </c>
      <c r="G24">
        <v>0</v>
      </c>
      <c r="H24" t="s">
        <v>4951</v>
      </c>
      <c r="I24">
        <v>25</v>
      </c>
      <c r="J24" t="str">
        <f>VLOOKUP(E24,DSSpieler!A:B,2,FALSE)</f>
        <v>Popolius Maier</v>
      </c>
    </row>
    <row r="25" spans="1:10" x14ac:dyDescent="0.25">
      <c r="A25">
        <v>26</v>
      </c>
      <c r="B25" t="s">
        <v>30507</v>
      </c>
      <c r="C25">
        <v>605</v>
      </c>
      <c r="D25">
        <v>480</v>
      </c>
      <c r="E25">
        <v>1577186212</v>
      </c>
      <c r="F25">
        <v>7092</v>
      </c>
      <c r="G25">
        <v>0</v>
      </c>
      <c r="H25" t="s">
        <v>4952</v>
      </c>
      <c r="I25">
        <v>26</v>
      </c>
      <c r="J25" t="str">
        <f>VLOOKUP(E25,DSSpieler!A:B,2,FALSE)</f>
        <v>HateMyName</v>
      </c>
    </row>
    <row r="26" spans="1:10" x14ac:dyDescent="0.25">
      <c r="A26">
        <v>27</v>
      </c>
      <c r="B26">
        <v>3</v>
      </c>
      <c r="C26">
        <v>604</v>
      </c>
      <c r="D26">
        <v>471</v>
      </c>
      <c r="E26">
        <v>1577197662</v>
      </c>
      <c r="F26">
        <v>6578</v>
      </c>
      <c r="G26">
        <v>0</v>
      </c>
      <c r="H26" t="s">
        <v>4953</v>
      </c>
      <c r="I26">
        <v>27</v>
      </c>
      <c r="J26" t="str">
        <f>VLOOKUP(E26,DSSpieler!A:B,2,FALSE)</f>
        <v>Topfengolatschen</v>
      </c>
    </row>
    <row r="27" spans="1:10" x14ac:dyDescent="0.25">
      <c r="A27">
        <v>28</v>
      </c>
      <c r="B27" t="s">
        <v>531</v>
      </c>
      <c r="C27">
        <v>451</v>
      </c>
      <c r="D27">
        <v>458</v>
      </c>
      <c r="E27">
        <v>0</v>
      </c>
      <c r="F27">
        <v>288</v>
      </c>
      <c r="G27">
        <v>0</v>
      </c>
      <c r="H27" t="s">
        <v>4954</v>
      </c>
      <c r="I27">
        <v>28</v>
      </c>
      <c r="J27" t="e">
        <f>VLOOKUP(E27,DSSpieler!A:B,2,FALSE)</f>
        <v>#N/A</v>
      </c>
    </row>
    <row r="28" spans="1:10" x14ac:dyDescent="0.25">
      <c r="A28">
        <v>29</v>
      </c>
      <c r="B28">
        <v>4</v>
      </c>
      <c r="C28">
        <v>541</v>
      </c>
      <c r="D28">
        <v>508</v>
      </c>
      <c r="E28">
        <v>9862117</v>
      </c>
      <c r="F28">
        <v>3347</v>
      </c>
      <c r="G28">
        <v>0</v>
      </c>
      <c r="H28" t="s">
        <v>4955</v>
      </c>
      <c r="I28">
        <v>29</v>
      </c>
      <c r="J28" t="str">
        <f>VLOOKUP(E28,DSSpieler!A:B,2,FALSE)</f>
        <v>michi1887</v>
      </c>
    </row>
    <row r="29" spans="1:10" x14ac:dyDescent="0.25">
      <c r="A29">
        <v>30</v>
      </c>
      <c r="B29">
        <v>4</v>
      </c>
      <c r="C29">
        <v>540</v>
      </c>
      <c r="D29">
        <v>511</v>
      </c>
      <c r="E29">
        <v>1577070621</v>
      </c>
      <c r="F29">
        <v>3531</v>
      </c>
      <c r="G29">
        <v>0</v>
      </c>
      <c r="H29" t="s">
        <v>4956</v>
      </c>
      <c r="I29">
        <v>30</v>
      </c>
      <c r="J29" t="str">
        <f>VLOOKUP(E29,DSSpieler!A:B,2,FALSE)</f>
        <v>mulan1982</v>
      </c>
    </row>
    <row r="30" spans="1:10" x14ac:dyDescent="0.25">
      <c r="A30">
        <v>31</v>
      </c>
      <c r="B30" t="s">
        <v>531</v>
      </c>
      <c r="C30">
        <v>539</v>
      </c>
      <c r="D30">
        <v>515</v>
      </c>
      <c r="E30">
        <v>0</v>
      </c>
      <c r="F30">
        <v>986</v>
      </c>
      <c r="G30">
        <v>0</v>
      </c>
      <c r="H30" t="s">
        <v>4957</v>
      </c>
      <c r="I30">
        <v>31</v>
      </c>
      <c r="J30" t="e">
        <f>VLOOKUP(E30,DSSpieler!A:B,2,FALSE)</f>
        <v>#N/A</v>
      </c>
    </row>
    <row r="31" spans="1:10" x14ac:dyDescent="0.25">
      <c r="A31">
        <v>32</v>
      </c>
      <c r="B31" t="s">
        <v>30473</v>
      </c>
      <c r="C31">
        <v>534</v>
      </c>
      <c r="D31">
        <v>506</v>
      </c>
      <c r="E31">
        <v>1577047575</v>
      </c>
      <c r="F31">
        <v>5211</v>
      </c>
      <c r="G31">
        <v>0</v>
      </c>
      <c r="H31" t="s">
        <v>4958</v>
      </c>
      <c r="I31">
        <v>32</v>
      </c>
      <c r="J31" t="str">
        <f>VLOOKUP(E31,DSSpieler!A:B,2,FALSE)</f>
        <v>Damian Toerring</v>
      </c>
    </row>
    <row r="32" spans="1:10" x14ac:dyDescent="0.25">
      <c r="A32">
        <v>33</v>
      </c>
      <c r="B32" t="s">
        <v>30508</v>
      </c>
      <c r="C32">
        <v>550</v>
      </c>
      <c r="D32">
        <v>505</v>
      </c>
      <c r="E32">
        <v>1576887762</v>
      </c>
      <c r="F32">
        <v>5013</v>
      </c>
      <c r="G32">
        <v>0</v>
      </c>
      <c r="H32" t="s">
        <v>4959</v>
      </c>
      <c r="I32">
        <v>33</v>
      </c>
      <c r="J32" t="str">
        <f>VLOOKUP(E32,DSSpieler!A:B,2,FALSE)</f>
        <v>Viren</v>
      </c>
    </row>
    <row r="33" spans="1:10" x14ac:dyDescent="0.25">
      <c r="A33">
        <v>34</v>
      </c>
      <c r="B33" t="s">
        <v>531</v>
      </c>
      <c r="C33">
        <v>539</v>
      </c>
      <c r="D33">
        <v>505</v>
      </c>
      <c r="E33">
        <v>0</v>
      </c>
      <c r="F33">
        <v>319</v>
      </c>
      <c r="G33">
        <v>0</v>
      </c>
      <c r="H33" t="s">
        <v>4960</v>
      </c>
      <c r="I33">
        <v>34</v>
      </c>
      <c r="J33" t="e">
        <f>VLOOKUP(E33,DSSpieler!A:B,2,FALSE)</f>
        <v>#N/A</v>
      </c>
    </row>
    <row r="34" spans="1:10" x14ac:dyDescent="0.25">
      <c r="A34">
        <v>36</v>
      </c>
      <c r="B34" t="s">
        <v>30509</v>
      </c>
      <c r="C34">
        <v>546</v>
      </c>
      <c r="D34">
        <v>500</v>
      </c>
      <c r="E34">
        <v>1577197318</v>
      </c>
      <c r="F34">
        <v>5715</v>
      </c>
      <c r="G34">
        <v>0</v>
      </c>
      <c r="H34" t="s">
        <v>4961</v>
      </c>
      <c r="I34">
        <v>36</v>
      </c>
      <c r="J34" t="str">
        <f>VLOOKUP(E34,DSSpieler!A:B,2,FALSE)</f>
        <v>Doodlemonster</v>
      </c>
    </row>
    <row r="35" spans="1:10" x14ac:dyDescent="0.25">
      <c r="A35">
        <v>37</v>
      </c>
      <c r="B35" t="s">
        <v>531</v>
      </c>
      <c r="C35">
        <v>553</v>
      </c>
      <c r="D35">
        <v>469</v>
      </c>
      <c r="E35">
        <v>0</v>
      </c>
      <c r="F35">
        <v>325</v>
      </c>
      <c r="G35">
        <v>0</v>
      </c>
      <c r="H35" t="s">
        <v>4962</v>
      </c>
      <c r="I35">
        <v>37</v>
      </c>
      <c r="J35" t="e">
        <f>VLOOKUP(E35,DSSpieler!A:B,2,FALSE)</f>
        <v>#N/A</v>
      </c>
    </row>
    <row r="36" spans="1:10" x14ac:dyDescent="0.25">
      <c r="A36">
        <v>38</v>
      </c>
      <c r="B36" t="s">
        <v>535</v>
      </c>
      <c r="C36">
        <v>544</v>
      </c>
      <c r="D36">
        <v>506</v>
      </c>
      <c r="E36">
        <v>1577175309</v>
      </c>
      <c r="F36">
        <v>4453</v>
      </c>
      <c r="G36">
        <v>0</v>
      </c>
      <c r="H36" t="s">
        <v>4963</v>
      </c>
      <c r="I36">
        <v>38</v>
      </c>
      <c r="J36" t="str">
        <f>VLOOKUP(E36,DSSpieler!A:B,2,FALSE)</f>
        <v>Ferran</v>
      </c>
    </row>
    <row r="37" spans="1:10" x14ac:dyDescent="0.25">
      <c r="A37">
        <v>39</v>
      </c>
      <c r="B37" t="s">
        <v>536</v>
      </c>
      <c r="C37">
        <v>539</v>
      </c>
      <c r="D37">
        <v>507</v>
      </c>
      <c r="E37">
        <v>1576639107</v>
      </c>
      <c r="F37">
        <v>3376</v>
      </c>
      <c r="G37">
        <v>0</v>
      </c>
      <c r="H37" t="s">
        <v>4964</v>
      </c>
      <c r="I37">
        <v>39</v>
      </c>
      <c r="J37" t="str">
        <f>VLOOKUP(E37,DSSpieler!A:B,2,FALSE)</f>
        <v>JonnyAlpha</v>
      </c>
    </row>
    <row r="38" spans="1:10" x14ac:dyDescent="0.25">
      <c r="A38">
        <v>40</v>
      </c>
      <c r="B38" t="s">
        <v>531</v>
      </c>
      <c r="C38">
        <v>495</v>
      </c>
      <c r="D38">
        <v>575</v>
      </c>
      <c r="E38">
        <v>0</v>
      </c>
      <c r="F38">
        <v>526</v>
      </c>
      <c r="G38">
        <v>0</v>
      </c>
      <c r="H38" t="s">
        <v>4965</v>
      </c>
      <c r="I38">
        <v>40</v>
      </c>
      <c r="J38" t="e">
        <f>VLOOKUP(E38,DSSpieler!A:B,2,FALSE)</f>
        <v>#N/A</v>
      </c>
    </row>
    <row r="39" spans="1:10" x14ac:dyDescent="0.25">
      <c r="A39">
        <v>41</v>
      </c>
      <c r="B39" t="s">
        <v>30510</v>
      </c>
      <c r="C39">
        <v>484</v>
      </c>
      <c r="D39">
        <v>475</v>
      </c>
      <c r="E39">
        <v>1577197270</v>
      </c>
      <c r="F39">
        <v>5070</v>
      </c>
      <c r="G39">
        <v>0</v>
      </c>
      <c r="H39" t="s">
        <v>4966</v>
      </c>
      <c r="I39">
        <v>41</v>
      </c>
      <c r="J39" t="str">
        <f>VLOOKUP(E39,DSSpieler!A:B,2,FALSE)</f>
        <v>sanchezz.</v>
      </c>
    </row>
    <row r="40" spans="1:10" x14ac:dyDescent="0.25">
      <c r="A40">
        <v>42</v>
      </c>
      <c r="B40" t="s">
        <v>30511</v>
      </c>
      <c r="C40">
        <v>540</v>
      </c>
      <c r="D40">
        <v>505</v>
      </c>
      <c r="E40">
        <v>10244114</v>
      </c>
      <c r="F40">
        <v>3033</v>
      </c>
      <c r="G40">
        <v>0</v>
      </c>
      <c r="H40" t="s">
        <v>4967</v>
      </c>
      <c r="I40">
        <v>42</v>
      </c>
      <c r="J40" t="str">
        <f>VLOOKUP(E40,DSSpieler!A:B,2,FALSE)</f>
        <v>stammph</v>
      </c>
    </row>
    <row r="41" spans="1:10" x14ac:dyDescent="0.25">
      <c r="A41">
        <v>43</v>
      </c>
      <c r="B41">
        <v>303</v>
      </c>
      <c r="C41">
        <v>533</v>
      </c>
      <c r="D41">
        <v>507</v>
      </c>
      <c r="E41">
        <v>1577172449</v>
      </c>
      <c r="F41">
        <v>5164</v>
      </c>
      <c r="G41">
        <v>0</v>
      </c>
      <c r="H41" t="s">
        <v>4968</v>
      </c>
      <c r="I41">
        <v>43</v>
      </c>
      <c r="J41" t="str">
        <f>VLOOKUP(E41,DSSpieler!A:B,2,FALSE)</f>
        <v>maximus1234</v>
      </c>
    </row>
    <row r="42" spans="1:10" x14ac:dyDescent="0.25">
      <c r="A42">
        <v>44</v>
      </c>
      <c r="B42" t="e">
        <f>-3-+Marcel+Thorin+Lord</f>
        <v>#NAME?</v>
      </c>
      <c r="C42">
        <v>531</v>
      </c>
      <c r="D42">
        <v>506</v>
      </c>
      <c r="E42">
        <v>3289095</v>
      </c>
      <c r="F42">
        <v>4519</v>
      </c>
      <c r="G42">
        <v>0</v>
      </c>
      <c r="H42" t="s">
        <v>4969</v>
      </c>
      <c r="I42">
        <v>44</v>
      </c>
      <c r="J42" t="str">
        <f>VLOOKUP(E42,DSSpieler!A:B,2,FALSE)</f>
        <v>john1988</v>
      </c>
    </row>
    <row r="43" spans="1:10" x14ac:dyDescent="0.25">
      <c r="A43">
        <v>45</v>
      </c>
      <c r="B43" t="s">
        <v>30512</v>
      </c>
      <c r="C43">
        <v>482</v>
      </c>
      <c r="D43">
        <v>477</v>
      </c>
      <c r="E43">
        <v>1577197270</v>
      </c>
      <c r="F43">
        <v>5468</v>
      </c>
      <c r="G43">
        <v>0</v>
      </c>
      <c r="H43" t="s">
        <v>4970</v>
      </c>
      <c r="I43">
        <v>45</v>
      </c>
      <c r="J43" t="str">
        <f>VLOOKUP(E43,DSSpieler!A:B,2,FALSE)</f>
        <v>sanchezz.</v>
      </c>
    </row>
    <row r="44" spans="1:10" x14ac:dyDescent="0.25">
      <c r="A44">
        <v>46</v>
      </c>
      <c r="B44" t="s">
        <v>537</v>
      </c>
      <c r="C44">
        <v>529</v>
      </c>
      <c r="D44">
        <v>512</v>
      </c>
      <c r="E44">
        <v>1577175309</v>
      </c>
      <c r="F44">
        <v>4132</v>
      </c>
      <c r="G44">
        <v>0</v>
      </c>
      <c r="H44" t="s">
        <v>4971</v>
      </c>
      <c r="I44">
        <v>46</v>
      </c>
      <c r="J44" t="str">
        <f>VLOOKUP(E44,DSSpieler!A:B,2,FALSE)</f>
        <v>Ferran</v>
      </c>
    </row>
    <row r="45" spans="1:10" x14ac:dyDescent="0.25">
      <c r="A45">
        <v>47</v>
      </c>
      <c r="B45">
        <v>304</v>
      </c>
      <c r="C45">
        <v>529</v>
      </c>
      <c r="D45">
        <v>513</v>
      </c>
      <c r="E45">
        <v>1577172449</v>
      </c>
      <c r="F45">
        <v>4417</v>
      </c>
      <c r="G45">
        <v>0</v>
      </c>
      <c r="H45" t="s">
        <v>4972</v>
      </c>
      <c r="I45">
        <v>47</v>
      </c>
      <c r="J45" t="str">
        <f>VLOOKUP(E45,DSSpieler!A:B,2,FALSE)</f>
        <v>maximus1234</v>
      </c>
    </row>
    <row r="46" spans="1:10" x14ac:dyDescent="0.25">
      <c r="A46">
        <v>48</v>
      </c>
      <c r="B46">
        <v>4</v>
      </c>
      <c r="C46">
        <v>538</v>
      </c>
      <c r="D46">
        <v>507</v>
      </c>
      <c r="E46">
        <v>1577175720</v>
      </c>
      <c r="F46">
        <v>4533</v>
      </c>
      <c r="G46">
        <v>0</v>
      </c>
      <c r="H46" t="s">
        <v>4973</v>
      </c>
      <c r="I46">
        <v>48</v>
      </c>
      <c r="J46" t="str">
        <f>VLOOKUP(E46,DSSpieler!A:B,2,FALSE)</f>
        <v>Domi-92</v>
      </c>
    </row>
    <row r="47" spans="1:10" x14ac:dyDescent="0.25">
      <c r="A47">
        <v>49</v>
      </c>
      <c r="B47" t="s">
        <v>30513</v>
      </c>
      <c r="C47">
        <v>548</v>
      </c>
      <c r="D47">
        <v>500</v>
      </c>
      <c r="E47">
        <v>1577198031</v>
      </c>
      <c r="F47">
        <v>6437</v>
      </c>
      <c r="G47">
        <v>0</v>
      </c>
      <c r="H47" t="s">
        <v>4974</v>
      </c>
      <c r="I47">
        <v>49</v>
      </c>
      <c r="J47" t="str">
        <f>VLOOKUP(E47,DSSpieler!A:B,2,FALSE)</f>
        <v>Doodlebrot</v>
      </c>
    </row>
    <row r="48" spans="1:10" x14ac:dyDescent="0.25">
      <c r="A48">
        <v>50</v>
      </c>
      <c r="B48">
        <v>7</v>
      </c>
      <c r="C48">
        <v>530</v>
      </c>
      <c r="D48">
        <v>509</v>
      </c>
      <c r="E48">
        <v>1577070621</v>
      </c>
      <c r="F48">
        <v>6679</v>
      </c>
      <c r="G48">
        <v>0</v>
      </c>
      <c r="H48" t="s">
        <v>4975</v>
      </c>
      <c r="I48">
        <v>50</v>
      </c>
      <c r="J48" t="str">
        <f>VLOOKUP(E48,DSSpieler!A:B,2,FALSE)</f>
        <v>mulan1982</v>
      </c>
    </row>
    <row r="49" spans="1:10" x14ac:dyDescent="0.25">
      <c r="A49">
        <v>51</v>
      </c>
      <c r="B49" t="s">
        <v>30514</v>
      </c>
      <c r="C49">
        <v>532</v>
      </c>
      <c r="D49">
        <v>509</v>
      </c>
      <c r="E49">
        <v>1577168204</v>
      </c>
      <c r="F49">
        <v>5130</v>
      </c>
      <c r="G49">
        <v>0</v>
      </c>
      <c r="H49" t="s">
        <v>4976</v>
      </c>
      <c r="I49">
        <v>51</v>
      </c>
      <c r="J49" t="str">
        <f>VLOOKUP(E49,DSSpieler!A:B,2,FALSE)</f>
        <v>Argeast</v>
      </c>
    </row>
    <row r="50" spans="1:10" x14ac:dyDescent="0.25">
      <c r="A50">
        <v>52</v>
      </c>
      <c r="B50" t="s">
        <v>538</v>
      </c>
      <c r="C50">
        <v>493</v>
      </c>
      <c r="D50">
        <v>475</v>
      </c>
      <c r="E50">
        <v>1577176436</v>
      </c>
      <c r="F50">
        <v>3745</v>
      </c>
      <c r="G50">
        <v>0</v>
      </c>
      <c r="H50" t="s">
        <v>4977</v>
      </c>
      <c r="I50">
        <v>52</v>
      </c>
      <c r="J50" t="str">
        <f>VLOOKUP(E50,DSSpieler!A:B,2,FALSE)</f>
        <v>monadieschöne</v>
      </c>
    </row>
    <row r="51" spans="1:10" x14ac:dyDescent="0.25">
      <c r="A51">
        <v>53</v>
      </c>
      <c r="B51" t="s">
        <v>30515</v>
      </c>
      <c r="C51">
        <v>610</v>
      </c>
      <c r="D51">
        <v>480</v>
      </c>
      <c r="E51">
        <v>9736677</v>
      </c>
      <c r="F51">
        <v>3796</v>
      </c>
      <c r="G51">
        <v>0</v>
      </c>
      <c r="H51" t="s">
        <v>4978</v>
      </c>
      <c r="I51">
        <v>53</v>
      </c>
      <c r="J51" t="str">
        <f>VLOOKUP(E51,DSSpieler!A:B,2,FALSE)</f>
        <v>Querschläger1903</v>
      </c>
    </row>
    <row r="52" spans="1:10" x14ac:dyDescent="0.25">
      <c r="A52">
        <v>54</v>
      </c>
      <c r="B52" t="s">
        <v>30516</v>
      </c>
      <c r="C52">
        <v>607</v>
      </c>
      <c r="D52">
        <v>481</v>
      </c>
      <c r="E52">
        <v>1577195852</v>
      </c>
      <c r="F52">
        <v>3382</v>
      </c>
      <c r="G52">
        <v>0</v>
      </c>
      <c r="H52" t="s">
        <v>4979</v>
      </c>
      <c r="I52">
        <v>54</v>
      </c>
      <c r="J52" t="str">
        <f>VLOOKUP(E52,DSSpieler!A:B,2,FALSE)</f>
        <v>Cookie1204</v>
      </c>
    </row>
    <row r="53" spans="1:10" x14ac:dyDescent="0.25">
      <c r="A53">
        <v>55</v>
      </c>
      <c r="B53" t="s">
        <v>539</v>
      </c>
      <c r="C53">
        <v>610</v>
      </c>
      <c r="D53">
        <v>483</v>
      </c>
      <c r="E53">
        <v>1577197528</v>
      </c>
      <c r="F53">
        <v>5899</v>
      </c>
      <c r="G53">
        <v>0</v>
      </c>
      <c r="H53" t="s">
        <v>4980</v>
      </c>
      <c r="I53">
        <v>55</v>
      </c>
      <c r="J53" t="str">
        <f>VLOOKUP(E53,DSSpieler!A:B,2,FALSE)</f>
        <v>Schwarzwälderkirschtorte</v>
      </c>
    </row>
    <row r="54" spans="1:10" x14ac:dyDescent="0.25">
      <c r="A54">
        <v>56</v>
      </c>
      <c r="B54" t="s">
        <v>531</v>
      </c>
      <c r="C54">
        <v>453</v>
      </c>
      <c r="D54">
        <v>448</v>
      </c>
      <c r="E54">
        <v>0</v>
      </c>
      <c r="F54">
        <v>288</v>
      </c>
      <c r="G54">
        <v>0</v>
      </c>
      <c r="H54" t="s">
        <v>4981</v>
      </c>
      <c r="I54">
        <v>56</v>
      </c>
      <c r="J54" t="e">
        <f>VLOOKUP(E54,DSSpieler!A:B,2,FALSE)</f>
        <v>#N/A</v>
      </c>
    </row>
    <row r="55" spans="1:10" x14ac:dyDescent="0.25">
      <c r="A55">
        <v>57</v>
      </c>
      <c r="B55" t="s">
        <v>531</v>
      </c>
      <c r="C55">
        <v>489</v>
      </c>
      <c r="D55">
        <v>465</v>
      </c>
      <c r="E55">
        <v>0</v>
      </c>
      <c r="F55">
        <v>292</v>
      </c>
      <c r="G55">
        <v>0</v>
      </c>
      <c r="H55" t="s">
        <v>4982</v>
      </c>
      <c r="I55">
        <v>57</v>
      </c>
      <c r="J55" t="e">
        <f>VLOOKUP(E55,DSSpieler!A:B,2,FALSE)</f>
        <v>#N/A</v>
      </c>
    </row>
    <row r="56" spans="1:10" x14ac:dyDescent="0.25">
      <c r="A56">
        <v>58</v>
      </c>
      <c r="B56" t="s">
        <v>540</v>
      </c>
      <c r="C56">
        <v>603</v>
      </c>
      <c r="D56">
        <v>477</v>
      </c>
      <c r="E56">
        <v>1576218773</v>
      </c>
      <c r="F56">
        <v>4756</v>
      </c>
      <c r="G56">
        <v>0</v>
      </c>
      <c r="H56" t="s">
        <v>4983</v>
      </c>
      <c r="I56">
        <v>58</v>
      </c>
      <c r="J56" t="str">
        <f>VLOOKUP(E56,DSSpieler!A:B,2,FALSE)</f>
        <v>Putinsrechtehand</v>
      </c>
    </row>
    <row r="57" spans="1:10" x14ac:dyDescent="0.25">
      <c r="A57">
        <v>59</v>
      </c>
      <c r="B57" t="s">
        <v>541</v>
      </c>
      <c r="C57">
        <v>606</v>
      </c>
      <c r="D57">
        <v>481</v>
      </c>
      <c r="E57">
        <v>1577174797</v>
      </c>
      <c r="F57">
        <v>2346</v>
      </c>
      <c r="G57">
        <v>0</v>
      </c>
      <c r="H57" t="s">
        <v>4984</v>
      </c>
      <c r="I57">
        <v>59</v>
      </c>
      <c r="J57" t="str">
        <f>VLOOKUP(E57,DSSpieler!A:B,2,FALSE)</f>
        <v>Master-Matze</v>
      </c>
    </row>
    <row r="58" spans="1:10" x14ac:dyDescent="0.25">
      <c r="A58">
        <v>60</v>
      </c>
      <c r="B58" t="s">
        <v>30517</v>
      </c>
      <c r="C58">
        <v>603</v>
      </c>
      <c r="D58">
        <v>487</v>
      </c>
      <c r="E58">
        <v>9814361</v>
      </c>
      <c r="F58">
        <v>2739</v>
      </c>
      <c r="G58">
        <v>0</v>
      </c>
      <c r="H58" t="s">
        <v>4985</v>
      </c>
      <c r="I58">
        <v>60</v>
      </c>
      <c r="J58" t="str">
        <f>VLOOKUP(E58,DSSpieler!A:B,2,FALSE)</f>
        <v>Ursl</v>
      </c>
    </row>
    <row r="59" spans="1:10" x14ac:dyDescent="0.25">
      <c r="A59">
        <v>61</v>
      </c>
      <c r="B59" t="s">
        <v>531</v>
      </c>
      <c r="C59">
        <v>543</v>
      </c>
      <c r="D59">
        <v>568</v>
      </c>
      <c r="E59">
        <v>0</v>
      </c>
      <c r="F59">
        <v>316</v>
      </c>
      <c r="G59">
        <v>0</v>
      </c>
      <c r="H59" t="s">
        <v>4986</v>
      </c>
      <c r="I59">
        <v>61</v>
      </c>
      <c r="J59" t="e">
        <f>VLOOKUP(E59,DSSpieler!A:B,2,FALSE)</f>
        <v>#N/A</v>
      </c>
    </row>
    <row r="60" spans="1:10" x14ac:dyDescent="0.25">
      <c r="A60">
        <v>62</v>
      </c>
      <c r="B60" t="s">
        <v>30518</v>
      </c>
      <c r="C60">
        <v>494</v>
      </c>
      <c r="D60">
        <v>469</v>
      </c>
      <c r="E60">
        <v>1576437451</v>
      </c>
      <c r="F60">
        <v>2410</v>
      </c>
      <c r="G60">
        <v>0</v>
      </c>
      <c r="H60" t="s">
        <v>4987</v>
      </c>
      <c r="I60">
        <v>62</v>
      </c>
      <c r="J60" t="str">
        <f>VLOOKUP(E60,DSSpieler!A:B,2,FALSE)</f>
        <v>lulatsch7</v>
      </c>
    </row>
    <row r="61" spans="1:10" x14ac:dyDescent="0.25">
      <c r="A61">
        <v>63</v>
      </c>
      <c r="B61" t="s">
        <v>30515</v>
      </c>
      <c r="C61">
        <v>609</v>
      </c>
      <c r="D61">
        <v>474</v>
      </c>
      <c r="E61">
        <v>9736677</v>
      </c>
      <c r="F61">
        <v>5234</v>
      </c>
      <c r="G61">
        <v>0</v>
      </c>
      <c r="H61" t="s">
        <v>4988</v>
      </c>
      <c r="I61">
        <v>63</v>
      </c>
      <c r="J61" t="str">
        <f>VLOOKUP(E61,DSSpieler!A:B,2,FALSE)</f>
        <v>Querschläger1903</v>
      </c>
    </row>
    <row r="62" spans="1:10" x14ac:dyDescent="0.25">
      <c r="A62">
        <v>65</v>
      </c>
      <c r="B62" t="s">
        <v>30519</v>
      </c>
      <c r="C62">
        <v>606</v>
      </c>
      <c r="D62">
        <v>482</v>
      </c>
      <c r="E62">
        <v>1577186212</v>
      </c>
      <c r="F62">
        <v>5112</v>
      </c>
      <c r="G62">
        <v>0</v>
      </c>
      <c r="H62" t="s">
        <v>4989</v>
      </c>
      <c r="I62">
        <v>65</v>
      </c>
      <c r="J62" t="str">
        <f>VLOOKUP(E62,DSSpieler!A:B,2,FALSE)</f>
        <v>HateMyName</v>
      </c>
    </row>
    <row r="63" spans="1:10" x14ac:dyDescent="0.25">
      <c r="A63">
        <v>66</v>
      </c>
      <c r="B63" t="s">
        <v>30520</v>
      </c>
      <c r="C63">
        <v>605</v>
      </c>
      <c r="D63">
        <v>476</v>
      </c>
      <c r="E63">
        <v>1577186991</v>
      </c>
      <c r="F63">
        <v>1306</v>
      </c>
      <c r="G63">
        <v>0</v>
      </c>
      <c r="H63" t="s">
        <v>4990</v>
      </c>
      <c r="I63">
        <v>66</v>
      </c>
      <c r="J63" t="str">
        <f>VLOOKUP(E63,DSSpieler!A:B,2,FALSE)</f>
        <v>Relocked</v>
      </c>
    </row>
    <row r="64" spans="1:10" x14ac:dyDescent="0.25">
      <c r="A64">
        <v>67</v>
      </c>
      <c r="B64" t="s">
        <v>30515</v>
      </c>
      <c r="C64">
        <v>609</v>
      </c>
      <c r="D64">
        <v>484</v>
      </c>
      <c r="E64">
        <v>9736677</v>
      </c>
      <c r="F64">
        <v>6557</v>
      </c>
      <c r="G64">
        <v>0</v>
      </c>
      <c r="H64" t="s">
        <v>4991</v>
      </c>
      <c r="I64">
        <v>67</v>
      </c>
      <c r="J64" t="str">
        <f>VLOOKUP(E64,DSSpieler!A:B,2,FALSE)</f>
        <v>Querschläger1903</v>
      </c>
    </row>
    <row r="65" spans="1:10" x14ac:dyDescent="0.25">
      <c r="A65">
        <v>68</v>
      </c>
      <c r="B65" t="s">
        <v>30521</v>
      </c>
      <c r="C65">
        <v>602</v>
      </c>
      <c r="D65">
        <v>487</v>
      </c>
      <c r="E65">
        <v>9814361</v>
      </c>
      <c r="F65">
        <v>5321</v>
      </c>
      <c r="G65">
        <v>0</v>
      </c>
      <c r="H65" t="s">
        <v>4992</v>
      </c>
      <c r="I65">
        <v>68</v>
      </c>
      <c r="J65" t="str">
        <f>VLOOKUP(E65,DSSpieler!A:B,2,FALSE)</f>
        <v>Ursl</v>
      </c>
    </row>
    <row r="66" spans="1:10" x14ac:dyDescent="0.25">
      <c r="A66">
        <v>69</v>
      </c>
      <c r="B66" t="s">
        <v>30522</v>
      </c>
      <c r="C66">
        <v>604</v>
      </c>
      <c r="D66">
        <v>481</v>
      </c>
      <c r="E66">
        <v>1194094</v>
      </c>
      <c r="F66">
        <v>4345</v>
      </c>
      <c r="G66">
        <v>0</v>
      </c>
      <c r="H66" t="s">
        <v>4993</v>
      </c>
      <c r="I66">
        <v>69</v>
      </c>
      <c r="J66" t="str">
        <f>VLOOKUP(E66,DSSpieler!A:B,2,FALSE)</f>
        <v>Krababel</v>
      </c>
    </row>
    <row r="67" spans="1:10" x14ac:dyDescent="0.25">
      <c r="A67">
        <v>70</v>
      </c>
      <c r="B67" t="s">
        <v>542</v>
      </c>
      <c r="C67">
        <v>602</v>
      </c>
      <c r="D67">
        <v>484</v>
      </c>
      <c r="E67">
        <v>1576703645</v>
      </c>
      <c r="F67">
        <v>4726</v>
      </c>
      <c r="G67">
        <v>0</v>
      </c>
      <c r="H67" t="s">
        <v>4994</v>
      </c>
      <c r="I67">
        <v>70</v>
      </c>
      <c r="J67" t="str">
        <f>VLOOKUP(E67,DSSpieler!A:B,2,FALSE)</f>
        <v>VoraXx</v>
      </c>
    </row>
    <row r="68" spans="1:10" x14ac:dyDescent="0.25">
      <c r="A68">
        <v>71</v>
      </c>
      <c r="B68" t="s">
        <v>30523</v>
      </c>
      <c r="C68">
        <v>465</v>
      </c>
      <c r="D68">
        <v>516</v>
      </c>
      <c r="E68">
        <v>824769</v>
      </c>
      <c r="F68">
        <v>7543</v>
      </c>
      <c r="G68">
        <v>0</v>
      </c>
      <c r="H68" t="s">
        <v>4995</v>
      </c>
      <c r="I68">
        <v>71</v>
      </c>
      <c r="J68" t="str">
        <f>VLOOKUP(E68,DSSpieler!A:B,2,FALSE)</f>
        <v>3PAR</v>
      </c>
    </row>
    <row r="69" spans="1:10" x14ac:dyDescent="0.25">
      <c r="A69">
        <v>73</v>
      </c>
      <c r="B69" t="s">
        <v>30524</v>
      </c>
      <c r="C69">
        <v>470</v>
      </c>
      <c r="D69">
        <v>520</v>
      </c>
      <c r="E69">
        <v>7657059</v>
      </c>
      <c r="F69">
        <v>7663</v>
      </c>
      <c r="G69">
        <v>0</v>
      </c>
      <c r="H69" t="s">
        <v>4996</v>
      </c>
      <c r="I69">
        <v>73</v>
      </c>
      <c r="J69" t="str">
        <f>VLOOKUP(E69,DSSpieler!A:B,2,FALSE)</f>
        <v>Buhrdur</v>
      </c>
    </row>
    <row r="70" spans="1:10" x14ac:dyDescent="0.25">
      <c r="A70">
        <v>74</v>
      </c>
      <c r="B70" t="s">
        <v>531</v>
      </c>
      <c r="C70">
        <v>465</v>
      </c>
      <c r="D70">
        <v>430</v>
      </c>
      <c r="E70">
        <v>0</v>
      </c>
      <c r="F70">
        <v>292</v>
      </c>
      <c r="G70">
        <v>0</v>
      </c>
      <c r="H70" t="s">
        <v>4997</v>
      </c>
      <c r="I70">
        <v>74</v>
      </c>
      <c r="J70" t="e">
        <f>VLOOKUP(E70,DSSpieler!A:B,2,FALSE)</f>
        <v>#N/A</v>
      </c>
    </row>
    <row r="71" spans="1:10" x14ac:dyDescent="0.25">
      <c r="A71">
        <v>78</v>
      </c>
      <c r="B71" t="s">
        <v>543</v>
      </c>
      <c r="C71">
        <v>463</v>
      </c>
      <c r="D71">
        <v>517</v>
      </c>
      <c r="E71">
        <v>9531614</v>
      </c>
      <c r="F71">
        <v>5005</v>
      </c>
      <c r="G71">
        <v>0</v>
      </c>
      <c r="H71" t="s">
        <v>4998</v>
      </c>
      <c r="I71">
        <v>78</v>
      </c>
      <c r="J71" t="str">
        <f>VLOOKUP(E71,DSSpieler!A:B,2,FALSE)</f>
        <v>Crxi Lol</v>
      </c>
    </row>
    <row r="72" spans="1:10" x14ac:dyDescent="0.25">
      <c r="A72">
        <v>79</v>
      </c>
      <c r="B72" t="s">
        <v>30525</v>
      </c>
      <c r="C72">
        <v>460</v>
      </c>
      <c r="D72">
        <v>515</v>
      </c>
      <c r="E72">
        <v>8198259</v>
      </c>
      <c r="F72">
        <v>6816</v>
      </c>
      <c r="G72">
        <v>0</v>
      </c>
      <c r="H72" t="s">
        <v>4999</v>
      </c>
      <c r="I72">
        <v>79</v>
      </c>
      <c r="J72" t="str">
        <f>VLOOKUP(E72,DSSpieler!A:B,2,FALSE)</f>
        <v>Tiger1896</v>
      </c>
    </row>
    <row r="73" spans="1:10" x14ac:dyDescent="0.25">
      <c r="A73">
        <v>80</v>
      </c>
      <c r="B73" t="s">
        <v>30526</v>
      </c>
      <c r="C73">
        <v>462</v>
      </c>
      <c r="D73">
        <v>522</v>
      </c>
      <c r="E73">
        <v>8875414</v>
      </c>
      <c r="F73">
        <v>8029</v>
      </c>
      <c r="G73">
        <v>0</v>
      </c>
      <c r="H73" t="s">
        <v>5000</v>
      </c>
      <c r="I73">
        <v>80</v>
      </c>
      <c r="J73" t="str">
        <f>VLOOKUP(E73,DSSpieler!A:B,2,FALSE)</f>
        <v>Hammer auf Fresse</v>
      </c>
    </row>
    <row r="74" spans="1:10" x14ac:dyDescent="0.25">
      <c r="A74">
        <v>81</v>
      </c>
      <c r="B74" t="s">
        <v>30527</v>
      </c>
      <c r="C74">
        <v>422</v>
      </c>
      <c r="D74">
        <v>527</v>
      </c>
      <c r="E74">
        <v>9790630</v>
      </c>
      <c r="F74">
        <v>6107</v>
      </c>
      <c r="G74">
        <v>0</v>
      </c>
      <c r="H74" t="s">
        <v>5001</v>
      </c>
      <c r="I74">
        <v>81</v>
      </c>
      <c r="J74" t="str">
        <f>VLOOKUP(E74,DSSpieler!A:B,2,FALSE)</f>
        <v>l22lBandito</v>
      </c>
    </row>
    <row r="75" spans="1:10" x14ac:dyDescent="0.25">
      <c r="A75">
        <v>85</v>
      </c>
      <c r="B75" t="s">
        <v>30528</v>
      </c>
      <c r="C75">
        <v>453</v>
      </c>
      <c r="D75">
        <v>530</v>
      </c>
      <c r="E75">
        <v>1577150489</v>
      </c>
      <c r="F75">
        <v>2368</v>
      </c>
      <c r="G75">
        <v>0</v>
      </c>
      <c r="H75" t="s">
        <v>5002</v>
      </c>
      <c r="I75">
        <v>85</v>
      </c>
      <c r="J75" t="str">
        <f>VLOOKUP(E75,DSSpieler!A:B,2,FALSE)</f>
        <v>2LowNico</v>
      </c>
    </row>
    <row r="76" spans="1:10" x14ac:dyDescent="0.25">
      <c r="A76">
        <v>87</v>
      </c>
      <c r="B76" t="s">
        <v>30529</v>
      </c>
      <c r="C76">
        <v>454</v>
      </c>
      <c r="D76">
        <v>519</v>
      </c>
      <c r="E76">
        <v>1577135728</v>
      </c>
      <c r="F76">
        <v>1151</v>
      </c>
      <c r="G76">
        <v>0</v>
      </c>
      <c r="H76" t="s">
        <v>5003</v>
      </c>
      <c r="I76">
        <v>87</v>
      </c>
      <c r="J76" t="str">
        <f>VLOOKUP(E76,DSSpieler!A:B,2,FALSE)</f>
        <v>Nilser</v>
      </c>
    </row>
    <row r="77" spans="1:10" x14ac:dyDescent="0.25">
      <c r="A77">
        <v>88</v>
      </c>
      <c r="B77" t="s">
        <v>30530</v>
      </c>
      <c r="C77">
        <v>484</v>
      </c>
      <c r="D77">
        <v>513</v>
      </c>
      <c r="E77">
        <v>1576570181</v>
      </c>
      <c r="F77">
        <v>5143</v>
      </c>
      <c r="G77">
        <v>0</v>
      </c>
      <c r="H77" t="s">
        <v>5004</v>
      </c>
      <c r="I77">
        <v>88</v>
      </c>
      <c r="J77" t="str">
        <f>VLOOKUP(E77,DSSpieler!A:B,2,FALSE)</f>
        <v>T y F e a T</v>
      </c>
    </row>
    <row r="78" spans="1:10" x14ac:dyDescent="0.25">
      <c r="A78">
        <v>89</v>
      </c>
      <c r="B78" t="s">
        <v>531</v>
      </c>
      <c r="C78">
        <v>481</v>
      </c>
      <c r="D78">
        <v>521</v>
      </c>
      <c r="E78">
        <v>0</v>
      </c>
      <c r="F78">
        <v>161</v>
      </c>
      <c r="G78">
        <v>0</v>
      </c>
      <c r="H78" t="s">
        <v>5005</v>
      </c>
      <c r="I78">
        <v>89</v>
      </c>
      <c r="J78" t="e">
        <f>VLOOKUP(E78,DSSpieler!A:B,2,FALSE)</f>
        <v>#N/A</v>
      </c>
    </row>
    <row r="79" spans="1:10" x14ac:dyDescent="0.25">
      <c r="A79">
        <v>91</v>
      </c>
      <c r="B79" t="s">
        <v>30531</v>
      </c>
      <c r="C79">
        <v>454</v>
      </c>
      <c r="D79">
        <v>509</v>
      </c>
      <c r="E79">
        <v>8663413</v>
      </c>
      <c r="F79">
        <v>6091</v>
      </c>
      <c r="G79">
        <v>0</v>
      </c>
      <c r="H79" t="s">
        <v>5006</v>
      </c>
      <c r="I79">
        <v>91</v>
      </c>
      <c r="J79" t="str">
        <f>VLOOKUP(E79,DSSpieler!A:B,2,FALSE)</f>
        <v>SquoX</v>
      </c>
    </row>
    <row r="80" spans="1:10" x14ac:dyDescent="0.25">
      <c r="A80">
        <v>92</v>
      </c>
      <c r="B80" t="s">
        <v>30532</v>
      </c>
      <c r="C80">
        <v>460</v>
      </c>
      <c r="D80">
        <v>520</v>
      </c>
      <c r="E80">
        <v>1576704931</v>
      </c>
      <c r="F80">
        <v>5929</v>
      </c>
      <c r="G80">
        <v>0</v>
      </c>
      <c r="H80" t="s">
        <v>5007</v>
      </c>
      <c r="I80">
        <v>92</v>
      </c>
      <c r="J80" t="str">
        <f>VLOOKUP(E80,DSSpieler!A:B,2,FALSE)</f>
        <v>Phyton1</v>
      </c>
    </row>
    <row r="81" spans="1:10" x14ac:dyDescent="0.25">
      <c r="A81">
        <v>94</v>
      </c>
      <c r="B81" t="s">
        <v>30533</v>
      </c>
      <c r="C81">
        <v>443</v>
      </c>
      <c r="D81">
        <v>515</v>
      </c>
      <c r="E81">
        <v>9488089</v>
      </c>
      <c r="F81">
        <v>3571</v>
      </c>
      <c r="G81">
        <v>0</v>
      </c>
      <c r="H81" t="s">
        <v>5008</v>
      </c>
      <c r="I81">
        <v>94</v>
      </c>
      <c r="J81" t="str">
        <f>VLOOKUP(E81,DSSpieler!A:B,2,FALSE)</f>
        <v>RealLegolas</v>
      </c>
    </row>
    <row r="82" spans="1:10" x14ac:dyDescent="0.25">
      <c r="A82">
        <v>95</v>
      </c>
      <c r="B82" t="s">
        <v>531</v>
      </c>
      <c r="C82">
        <v>542</v>
      </c>
      <c r="D82">
        <v>464</v>
      </c>
      <c r="E82">
        <v>0</v>
      </c>
      <c r="F82">
        <v>223</v>
      </c>
      <c r="G82">
        <v>0</v>
      </c>
      <c r="H82" t="s">
        <v>5009</v>
      </c>
      <c r="I82">
        <v>95</v>
      </c>
      <c r="J82" t="e">
        <f>VLOOKUP(E82,DSSpieler!A:B,2,FALSE)</f>
        <v>#N/A</v>
      </c>
    </row>
    <row r="83" spans="1:10" x14ac:dyDescent="0.25">
      <c r="A83">
        <v>98</v>
      </c>
      <c r="B83" t="s">
        <v>30534</v>
      </c>
      <c r="C83">
        <v>453</v>
      </c>
      <c r="D83">
        <v>523</v>
      </c>
      <c r="E83">
        <v>1576870227</v>
      </c>
      <c r="F83">
        <v>7643</v>
      </c>
      <c r="G83">
        <v>0</v>
      </c>
      <c r="H83" t="s">
        <v>5010</v>
      </c>
      <c r="I83">
        <v>98</v>
      </c>
      <c r="J83" t="str">
        <f>VLOOKUP(E83,DSSpieler!A:B,2,FALSE)</f>
        <v>GREEN.POWER</v>
      </c>
    </row>
    <row r="84" spans="1:10" x14ac:dyDescent="0.25">
      <c r="A84">
        <v>102</v>
      </c>
      <c r="B84" t="s">
        <v>544</v>
      </c>
      <c r="C84">
        <v>467</v>
      </c>
      <c r="D84">
        <v>529</v>
      </c>
      <c r="E84">
        <v>1576956636</v>
      </c>
      <c r="F84">
        <v>5573</v>
      </c>
      <c r="G84">
        <v>0</v>
      </c>
      <c r="H84" t="s">
        <v>5011</v>
      </c>
      <c r="I84">
        <v>102</v>
      </c>
      <c r="J84" t="str">
        <f>VLOOKUP(E84,DSSpieler!A:B,2,FALSE)</f>
        <v>SaMcRo RedwoodOriginal</v>
      </c>
    </row>
    <row r="85" spans="1:10" x14ac:dyDescent="0.25">
      <c r="A85">
        <v>103</v>
      </c>
      <c r="B85" t="s">
        <v>30535</v>
      </c>
      <c r="C85">
        <v>422</v>
      </c>
      <c r="D85">
        <v>518</v>
      </c>
      <c r="E85">
        <v>1576968765</v>
      </c>
      <c r="F85">
        <v>8376</v>
      </c>
      <c r="G85">
        <v>0</v>
      </c>
      <c r="H85" t="s">
        <v>5012</v>
      </c>
      <c r="I85">
        <v>103</v>
      </c>
      <c r="J85" t="str">
        <f>VLOOKUP(E85,DSSpieler!A:B,2,FALSE)</f>
        <v>NoFarmShit</v>
      </c>
    </row>
    <row r="86" spans="1:10" x14ac:dyDescent="0.25">
      <c r="A86">
        <v>104</v>
      </c>
      <c r="B86" t="s">
        <v>531</v>
      </c>
      <c r="C86">
        <v>559</v>
      </c>
      <c r="D86">
        <v>555</v>
      </c>
      <c r="E86">
        <v>0</v>
      </c>
      <c r="F86">
        <v>408</v>
      </c>
      <c r="G86">
        <v>0</v>
      </c>
      <c r="H86" t="s">
        <v>5013</v>
      </c>
      <c r="I86">
        <v>104</v>
      </c>
      <c r="J86" t="e">
        <f>VLOOKUP(E86,DSSpieler!A:B,2,FALSE)</f>
        <v>#N/A</v>
      </c>
    </row>
    <row r="87" spans="1:10" x14ac:dyDescent="0.25">
      <c r="A87">
        <v>106</v>
      </c>
      <c r="B87" t="s">
        <v>531</v>
      </c>
      <c r="C87">
        <v>480</v>
      </c>
      <c r="D87">
        <v>463</v>
      </c>
      <c r="E87">
        <v>0</v>
      </c>
      <c r="F87">
        <v>330</v>
      </c>
      <c r="G87">
        <v>0</v>
      </c>
      <c r="H87" t="s">
        <v>5014</v>
      </c>
      <c r="I87">
        <v>106</v>
      </c>
      <c r="J87" t="e">
        <f>VLOOKUP(E87,DSSpieler!A:B,2,FALSE)</f>
        <v>#N/A</v>
      </c>
    </row>
    <row r="88" spans="1:10" x14ac:dyDescent="0.25">
      <c r="A88">
        <v>108</v>
      </c>
      <c r="B88" t="s">
        <v>30536</v>
      </c>
      <c r="C88">
        <v>450</v>
      </c>
      <c r="D88">
        <v>510</v>
      </c>
      <c r="E88">
        <v>1577181189</v>
      </c>
      <c r="F88">
        <v>4665</v>
      </c>
      <c r="G88">
        <v>0</v>
      </c>
      <c r="H88" t="s">
        <v>5015</v>
      </c>
      <c r="I88">
        <v>108</v>
      </c>
      <c r="J88" t="str">
        <f>VLOOKUP(E88,DSSpieler!A:B,2,FALSE)</f>
        <v>FicoMico</v>
      </c>
    </row>
    <row r="89" spans="1:10" x14ac:dyDescent="0.25">
      <c r="A89">
        <v>109</v>
      </c>
      <c r="B89" t="s">
        <v>30537</v>
      </c>
      <c r="C89">
        <v>473</v>
      </c>
      <c r="D89">
        <v>507</v>
      </c>
      <c r="E89">
        <v>1577114708</v>
      </c>
      <c r="F89">
        <v>4777</v>
      </c>
      <c r="G89">
        <v>0</v>
      </c>
      <c r="H89" t="s">
        <v>5016</v>
      </c>
      <c r="I89">
        <v>109</v>
      </c>
      <c r="J89" t="str">
        <f>VLOOKUP(E89,DSSpieler!A:B,2,FALSE)</f>
        <v>TomHardy</v>
      </c>
    </row>
    <row r="90" spans="1:10" x14ac:dyDescent="0.25">
      <c r="A90">
        <v>110</v>
      </c>
      <c r="B90" t="s">
        <v>30538</v>
      </c>
      <c r="C90">
        <v>462</v>
      </c>
      <c r="D90">
        <v>510</v>
      </c>
      <c r="E90">
        <v>9917381</v>
      </c>
      <c r="F90">
        <v>4312</v>
      </c>
      <c r="G90">
        <v>0</v>
      </c>
      <c r="H90" t="s">
        <v>5017</v>
      </c>
      <c r="I90">
        <v>110</v>
      </c>
      <c r="J90" t="str">
        <f>VLOOKUP(E90,DSSpieler!A:B,2,FALSE)</f>
        <v>-DRHDT-</v>
      </c>
    </row>
    <row r="91" spans="1:10" x14ac:dyDescent="0.25">
      <c r="A91">
        <v>111</v>
      </c>
      <c r="B91" t="s">
        <v>30525</v>
      </c>
      <c r="C91">
        <v>463</v>
      </c>
      <c r="D91">
        <v>508</v>
      </c>
      <c r="E91">
        <v>8198259</v>
      </c>
      <c r="F91">
        <v>3568</v>
      </c>
      <c r="G91">
        <v>0</v>
      </c>
      <c r="H91" t="s">
        <v>5018</v>
      </c>
      <c r="I91">
        <v>111</v>
      </c>
      <c r="J91" t="str">
        <f>VLOOKUP(E91,DSSpieler!A:B,2,FALSE)</f>
        <v>Tiger1896</v>
      </c>
    </row>
    <row r="92" spans="1:10" x14ac:dyDescent="0.25">
      <c r="A92">
        <v>112</v>
      </c>
      <c r="B92" t="s">
        <v>531</v>
      </c>
      <c r="C92">
        <v>477</v>
      </c>
      <c r="D92">
        <v>473</v>
      </c>
      <c r="E92">
        <v>0</v>
      </c>
      <c r="F92">
        <v>562</v>
      </c>
      <c r="G92">
        <v>0</v>
      </c>
      <c r="H92" t="s">
        <v>5019</v>
      </c>
      <c r="I92">
        <v>112</v>
      </c>
      <c r="J92" t="e">
        <f>VLOOKUP(E92,DSSpieler!A:B,2,FALSE)</f>
        <v>#N/A</v>
      </c>
    </row>
    <row r="93" spans="1:10" x14ac:dyDescent="0.25">
      <c r="A93">
        <v>114</v>
      </c>
      <c r="B93" t="s">
        <v>30539</v>
      </c>
      <c r="C93">
        <v>458</v>
      </c>
      <c r="D93">
        <v>510</v>
      </c>
      <c r="E93">
        <v>1577037347</v>
      </c>
      <c r="F93">
        <v>493</v>
      </c>
      <c r="G93">
        <v>0</v>
      </c>
      <c r="H93" t="s">
        <v>5020</v>
      </c>
      <c r="I93">
        <v>114</v>
      </c>
      <c r="J93" t="str">
        <f>VLOOKUP(E93,DSSpieler!A:B,2,FALSE)</f>
        <v>macan96</v>
      </c>
    </row>
    <row r="94" spans="1:10" x14ac:dyDescent="0.25">
      <c r="A94">
        <v>115</v>
      </c>
      <c r="B94" t="s">
        <v>531</v>
      </c>
      <c r="C94">
        <v>451</v>
      </c>
      <c r="D94">
        <v>513</v>
      </c>
      <c r="E94">
        <v>0</v>
      </c>
      <c r="F94">
        <v>283</v>
      </c>
      <c r="G94">
        <v>0</v>
      </c>
      <c r="H94" t="s">
        <v>5021</v>
      </c>
      <c r="I94">
        <v>115</v>
      </c>
      <c r="J94" t="e">
        <f>VLOOKUP(E94,DSSpieler!A:B,2,FALSE)</f>
        <v>#N/A</v>
      </c>
    </row>
    <row r="95" spans="1:10" x14ac:dyDescent="0.25">
      <c r="A95">
        <v>118</v>
      </c>
      <c r="B95" t="s">
        <v>30540</v>
      </c>
      <c r="C95">
        <v>451</v>
      </c>
      <c r="D95">
        <v>526</v>
      </c>
      <c r="E95">
        <v>1577181005</v>
      </c>
      <c r="F95">
        <v>6537</v>
      </c>
      <c r="G95">
        <v>0</v>
      </c>
      <c r="H95" t="s">
        <v>5022</v>
      </c>
      <c r="I95">
        <v>118</v>
      </c>
      <c r="J95" t="str">
        <f>VLOOKUP(E95,DSSpieler!A:B,2,FALSE)</f>
        <v>Borchi</v>
      </c>
    </row>
    <row r="96" spans="1:10" x14ac:dyDescent="0.25">
      <c r="A96">
        <v>121</v>
      </c>
      <c r="B96">
        <v>2</v>
      </c>
      <c r="C96">
        <v>434</v>
      </c>
      <c r="D96">
        <v>514</v>
      </c>
      <c r="E96">
        <v>1577176944</v>
      </c>
      <c r="F96">
        <v>2476</v>
      </c>
      <c r="G96">
        <v>0</v>
      </c>
      <c r="H96" t="s">
        <v>5023</v>
      </c>
      <c r="I96">
        <v>121</v>
      </c>
      <c r="J96" t="str">
        <f>VLOOKUP(E96,DSSpieler!A:B,2,FALSE)</f>
        <v>Jassen</v>
      </c>
    </row>
    <row r="97" spans="1:10" x14ac:dyDescent="0.25">
      <c r="A97">
        <v>124</v>
      </c>
      <c r="B97" t="s">
        <v>545</v>
      </c>
      <c r="C97">
        <v>470</v>
      </c>
      <c r="D97">
        <v>546</v>
      </c>
      <c r="E97">
        <v>1577188737</v>
      </c>
      <c r="F97">
        <v>6332</v>
      </c>
      <c r="G97">
        <v>0</v>
      </c>
      <c r="H97" t="s">
        <v>5024</v>
      </c>
      <c r="I97">
        <v>124</v>
      </c>
      <c r="J97" t="str">
        <f>VLOOKUP(E97,DSSpieler!A:B,2,FALSE)</f>
        <v>Ron1604</v>
      </c>
    </row>
    <row r="98" spans="1:10" x14ac:dyDescent="0.25">
      <c r="A98">
        <v>126</v>
      </c>
      <c r="B98" t="s">
        <v>546</v>
      </c>
      <c r="C98">
        <v>488</v>
      </c>
      <c r="D98">
        <v>470</v>
      </c>
      <c r="E98">
        <v>1577157846</v>
      </c>
      <c r="F98">
        <v>823</v>
      </c>
      <c r="G98">
        <v>0</v>
      </c>
      <c r="H98" t="s">
        <v>5025</v>
      </c>
      <c r="I98">
        <v>126</v>
      </c>
      <c r="J98" t="str">
        <f>VLOOKUP(E98,DSSpieler!A:B,2,FALSE)</f>
        <v>RuShApFeL</v>
      </c>
    </row>
    <row r="99" spans="1:10" x14ac:dyDescent="0.25">
      <c r="A99">
        <v>127</v>
      </c>
      <c r="B99" t="s">
        <v>547</v>
      </c>
      <c r="C99">
        <v>541</v>
      </c>
      <c r="D99">
        <v>488</v>
      </c>
      <c r="E99">
        <v>8235607</v>
      </c>
      <c r="F99">
        <v>3426</v>
      </c>
      <c r="G99">
        <v>0</v>
      </c>
      <c r="H99" t="s">
        <v>5026</v>
      </c>
      <c r="I99">
        <v>127</v>
      </c>
      <c r="J99" t="str">
        <f>VLOOKUP(E99,DSSpieler!A:B,2,FALSE)</f>
        <v>TRIFFI31</v>
      </c>
    </row>
    <row r="100" spans="1:10" x14ac:dyDescent="0.25">
      <c r="A100">
        <v>128</v>
      </c>
      <c r="B100" t="s">
        <v>531</v>
      </c>
      <c r="C100">
        <v>548</v>
      </c>
      <c r="D100">
        <v>549</v>
      </c>
      <c r="E100">
        <v>0</v>
      </c>
      <c r="F100">
        <v>537</v>
      </c>
      <c r="G100">
        <v>0</v>
      </c>
      <c r="H100" t="s">
        <v>5027</v>
      </c>
      <c r="I100">
        <v>128</v>
      </c>
      <c r="J100" t="e">
        <f>VLOOKUP(E100,DSSpieler!A:B,2,FALSE)</f>
        <v>#N/A</v>
      </c>
    </row>
    <row r="101" spans="1:10" x14ac:dyDescent="0.25">
      <c r="A101">
        <v>129</v>
      </c>
      <c r="B101" t="s">
        <v>30541</v>
      </c>
      <c r="C101">
        <v>537</v>
      </c>
      <c r="D101">
        <v>488</v>
      </c>
      <c r="E101">
        <v>1577167569</v>
      </c>
      <c r="F101">
        <v>5896</v>
      </c>
      <c r="G101">
        <v>0</v>
      </c>
      <c r="H101" t="s">
        <v>5028</v>
      </c>
      <c r="I101">
        <v>129</v>
      </c>
      <c r="J101" t="str">
        <f>VLOOKUP(E101,DSSpieler!A:B,2,FALSE)</f>
        <v>Rave2DaGrave</v>
      </c>
    </row>
    <row r="102" spans="1:10" x14ac:dyDescent="0.25">
      <c r="A102">
        <v>130</v>
      </c>
      <c r="B102" t="s">
        <v>531</v>
      </c>
      <c r="C102">
        <v>475</v>
      </c>
      <c r="D102">
        <v>430</v>
      </c>
      <c r="E102">
        <v>0</v>
      </c>
      <c r="F102">
        <v>392</v>
      </c>
      <c r="G102">
        <v>0</v>
      </c>
      <c r="H102" t="s">
        <v>5029</v>
      </c>
      <c r="I102">
        <v>130</v>
      </c>
      <c r="J102" t="e">
        <f>VLOOKUP(E102,DSSpieler!A:B,2,FALSE)</f>
        <v>#N/A</v>
      </c>
    </row>
    <row r="103" spans="1:10" x14ac:dyDescent="0.25">
      <c r="A103">
        <v>131</v>
      </c>
      <c r="B103" t="s">
        <v>30542</v>
      </c>
      <c r="C103">
        <v>544</v>
      </c>
      <c r="D103">
        <v>489</v>
      </c>
      <c r="E103">
        <v>1577181899</v>
      </c>
      <c r="F103">
        <v>4790</v>
      </c>
      <c r="G103">
        <v>0</v>
      </c>
      <c r="H103" t="s">
        <v>5030</v>
      </c>
      <c r="I103">
        <v>131</v>
      </c>
      <c r="J103" t="str">
        <f>VLOOKUP(E103,DSSpieler!A:B,2,FALSE)</f>
        <v>colona</v>
      </c>
    </row>
    <row r="104" spans="1:10" x14ac:dyDescent="0.25">
      <c r="A104">
        <v>132</v>
      </c>
      <c r="B104" t="s">
        <v>531</v>
      </c>
      <c r="C104">
        <v>547</v>
      </c>
      <c r="D104">
        <v>482</v>
      </c>
      <c r="E104">
        <v>0</v>
      </c>
      <c r="F104">
        <v>569</v>
      </c>
      <c r="G104">
        <v>0</v>
      </c>
      <c r="H104" t="s">
        <v>5031</v>
      </c>
      <c r="I104">
        <v>132</v>
      </c>
      <c r="J104" t="e">
        <f>VLOOKUP(E104,DSSpieler!A:B,2,FALSE)</f>
        <v>#N/A</v>
      </c>
    </row>
    <row r="105" spans="1:10" x14ac:dyDescent="0.25">
      <c r="A105">
        <v>133</v>
      </c>
      <c r="B105" t="s">
        <v>30543</v>
      </c>
      <c r="C105">
        <v>532</v>
      </c>
      <c r="D105">
        <v>495</v>
      </c>
      <c r="E105">
        <v>8212814</v>
      </c>
      <c r="F105">
        <v>4570</v>
      </c>
      <c r="G105">
        <v>0</v>
      </c>
      <c r="H105" t="s">
        <v>5032</v>
      </c>
      <c r="I105">
        <v>133</v>
      </c>
      <c r="J105" t="str">
        <f>VLOOKUP(E105,DSSpieler!A:B,2,FALSE)</f>
        <v>mc43</v>
      </c>
    </row>
    <row r="106" spans="1:10" x14ac:dyDescent="0.25">
      <c r="A106">
        <v>134</v>
      </c>
      <c r="B106" t="s">
        <v>30544</v>
      </c>
      <c r="C106">
        <v>530</v>
      </c>
      <c r="D106">
        <v>489</v>
      </c>
      <c r="E106">
        <v>1577072307</v>
      </c>
      <c r="F106">
        <v>6030</v>
      </c>
      <c r="G106">
        <v>0</v>
      </c>
      <c r="H106" t="s">
        <v>5033</v>
      </c>
      <c r="I106">
        <v>134</v>
      </c>
      <c r="J106" t="str">
        <f>VLOOKUP(E106,DSSpieler!A:B,2,FALSE)</f>
        <v>Schwertfisch</v>
      </c>
    </row>
    <row r="107" spans="1:10" x14ac:dyDescent="0.25">
      <c r="A107">
        <v>135</v>
      </c>
      <c r="B107" t="s">
        <v>548</v>
      </c>
      <c r="C107">
        <v>537</v>
      </c>
      <c r="D107">
        <v>496</v>
      </c>
      <c r="E107">
        <v>10244114</v>
      </c>
      <c r="F107">
        <v>4048</v>
      </c>
      <c r="G107">
        <v>0</v>
      </c>
      <c r="H107" t="s">
        <v>5034</v>
      </c>
      <c r="I107">
        <v>135</v>
      </c>
      <c r="J107" t="str">
        <f>VLOOKUP(E107,DSSpieler!A:B,2,FALSE)</f>
        <v>stammph</v>
      </c>
    </row>
    <row r="108" spans="1:10" x14ac:dyDescent="0.25">
      <c r="A108">
        <v>137</v>
      </c>
      <c r="B108" t="s">
        <v>30545</v>
      </c>
      <c r="C108">
        <v>499</v>
      </c>
      <c r="D108">
        <v>546</v>
      </c>
      <c r="E108">
        <v>2372597</v>
      </c>
      <c r="F108">
        <v>6490</v>
      </c>
      <c r="G108">
        <v>0</v>
      </c>
      <c r="H108" t="s">
        <v>5035</v>
      </c>
      <c r="I108">
        <v>137</v>
      </c>
      <c r="J108" t="str">
        <f>VLOOKUP(E108,DSSpieler!A:B,2,FALSE)</f>
        <v>Frohlix</v>
      </c>
    </row>
    <row r="109" spans="1:10" x14ac:dyDescent="0.25">
      <c r="A109">
        <v>138</v>
      </c>
      <c r="B109" t="s">
        <v>531</v>
      </c>
      <c r="C109">
        <v>533</v>
      </c>
      <c r="D109">
        <v>537</v>
      </c>
      <c r="E109">
        <v>0</v>
      </c>
      <c r="F109">
        <v>372</v>
      </c>
      <c r="G109">
        <v>0</v>
      </c>
      <c r="H109" t="s">
        <v>5036</v>
      </c>
      <c r="I109">
        <v>138</v>
      </c>
      <c r="J109" t="e">
        <f>VLOOKUP(E109,DSSpieler!A:B,2,FALSE)</f>
        <v>#N/A</v>
      </c>
    </row>
    <row r="110" spans="1:10" x14ac:dyDescent="0.25">
      <c r="A110">
        <v>142</v>
      </c>
      <c r="B110" t="s">
        <v>30546</v>
      </c>
      <c r="C110">
        <v>481</v>
      </c>
      <c r="D110">
        <v>520</v>
      </c>
      <c r="E110">
        <v>1577101723</v>
      </c>
      <c r="F110">
        <v>4469</v>
      </c>
      <c r="G110">
        <v>0</v>
      </c>
      <c r="H110" t="s">
        <v>5037</v>
      </c>
      <c r="I110">
        <v>142</v>
      </c>
      <c r="J110" t="str">
        <f>VLOOKUP(E110,DSSpieler!A:B,2,FALSE)</f>
        <v>Pistol D</v>
      </c>
    </row>
    <row r="111" spans="1:10" x14ac:dyDescent="0.25">
      <c r="A111">
        <v>143</v>
      </c>
      <c r="B111" t="s">
        <v>30547</v>
      </c>
      <c r="C111">
        <v>463</v>
      </c>
      <c r="D111">
        <v>524</v>
      </c>
      <c r="E111">
        <v>7657059</v>
      </c>
      <c r="F111">
        <v>6729</v>
      </c>
      <c r="G111">
        <v>0</v>
      </c>
      <c r="H111" t="s">
        <v>5038</v>
      </c>
      <c r="I111">
        <v>143</v>
      </c>
      <c r="J111" t="str">
        <f>VLOOKUP(E111,DSSpieler!A:B,2,FALSE)</f>
        <v>Buhrdur</v>
      </c>
    </row>
    <row r="112" spans="1:10" x14ac:dyDescent="0.25">
      <c r="A112">
        <v>144</v>
      </c>
      <c r="B112" t="s">
        <v>531</v>
      </c>
      <c r="C112">
        <v>489</v>
      </c>
      <c r="D112">
        <v>528</v>
      </c>
      <c r="E112">
        <v>0</v>
      </c>
      <c r="F112">
        <v>232</v>
      </c>
      <c r="G112">
        <v>0</v>
      </c>
      <c r="H112" t="s">
        <v>5039</v>
      </c>
      <c r="I112">
        <v>144</v>
      </c>
      <c r="J112" t="e">
        <f>VLOOKUP(E112,DSSpieler!A:B,2,FALSE)</f>
        <v>#N/A</v>
      </c>
    </row>
    <row r="113" spans="1:10" x14ac:dyDescent="0.25">
      <c r="A113">
        <v>145</v>
      </c>
      <c r="B113" t="s">
        <v>531</v>
      </c>
      <c r="C113">
        <v>481</v>
      </c>
      <c r="D113">
        <v>535</v>
      </c>
      <c r="E113">
        <v>0</v>
      </c>
      <c r="F113">
        <v>369</v>
      </c>
      <c r="G113">
        <v>0</v>
      </c>
      <c r="H113" t="s">
        <v>5040</v>
      </c>
      <c r="I113">
        <v>145</v>
      </c>
      <c r="J113" t="e">
        <f>VLOOKUP(E113,DSSpieler!A:B,2,FALSE)</f>
        <v>#N/A</v>
      </c>
    </row>
    <row r="114" spans="1:10" x14ac:dyDescent="0.25">
      <c r="A114">
        <v>146</v>
      </c>
      <c r="B114" t="s">
        <v>30548</v>
      </c>
      <c r="C114">
        <v>497</v>
      </c>
      <c r="D114">
        <v>507</v>
      </c>
      <c r="E114">
        <v>1576940166</v>
      </c>
      <c r="F114">
        <v>7004</v>
      </c>
      <c r="G114">
        <v>0</v>
      </c>
      <c r="H114" t="s">
        <v>5041</v>
      </c>
      <c r="I114">
        <v>146</v>
      </c>
      <c r="J114" t="str">
        <f>VLOOKUP(E114,DSSpieler!A:B,2,FALSE)</f>
        <v>TimJJ</v>
      </c>
    </row>
    <row r="115" spans="1:10" x14ac:dyDescent="0.25">
      <c r="A115">
        <v>147</v>
      </c>
      <c r="B115" t="s">
        <v>30549</v>
      </c>
      <c r="C115">
        <v>495</v>
      </c>
      <c r="D115">
        <v>511</v>
      </c>
      <c r="E115">
        <v>1576940166</v>
      </c>
      <c r="F115">
        <v>5252</v>
      </c>
      <c r="G115">
        <v>0</v>
      </c>
      <c r="H115" t="s">
        <v>5042</v>
      </c>
      <c r="I115">
        <v>147</v>
      </c>
      <c r="J115" t="str">
        <f>VLOOKUP(E115,DSSpieler!A:B,2,FALSE)</f>
        <v>TimJJ</v>
      </c>
    </row>
    <row r="116" spans="1:10" x14ac:dyDescent="0.25">
      <c r="A116">
        <v>148</v>
      </c>
      <c r="B116" t="s">
        <v>30550</v>
      </c>
      <c r="C116">
        <v>496</v>
      </c>
      <c r="D116">
        <v>508</v>
      </c>
      <c r="E116">
        <v>1577184436</v>
      </c>
      <c r="F116">
        <v>601</v>
      </c>
      <c r="G116">
        <v>0</v>
      </c>
      <c r="H116" t="s">
        <v>5043</v>
      </c>
      <c r="I116">
        <v>148</v>
      </c>
      <c r="J116" t="str">
        <f>VLOOKUP(E116,DSSpieler!A:B,2,FALSE)</f>
        <v>jaaaan3</v>
      </c>
    </row>
    <row r="117" spans="1:10" x14ac:dyDescent="0.25">
      <c r="A117">
        <v>149</v>
      </c>
      <c r="B117" t="s">
        <v>30551</v>
      </c>
      <c r="C117">
        <v>499</v>
      </c>
      <c r="D117">
        <v>509</v>
      </c>
      <c r="E117">
        <v>1577195483</v>
      </c>
      <c r="F117">
        <v>7875</v>
      </c>
      <c r="G117">
        <v>0</v>
      </c>
      <c r="H117" t="s">
        <v>5044</v>
      </c>
      <c r="I117">
        <v>149</v>
      </c>
      <c r="J117" t="str">
        <f>VLOOKUP(E117,DSSpieler!A:B,2,FALSE)</f>
        <v>Streak94</v>
      </c>
    </row>
    <row r="118" spans="1:10" x14ac:dyDescent="0.25">
      <c r="A118">
        <v>150</v>
      </c>
      <c r="B118" t="s">
        <v>531</v>
      </c>
      <c r="C118">
        <v>482</v>
      </c>
      <c r="D118">
        <v>544</v>
      </c>
      <c r="E118">
        <v>0</v>
      </c>
      <c r="F118">
        <v>310</v>
      </c>
      <c r="G118">
        <v>0</v>
      </c>
      <c r="H118" t="s">
        <v>5045</v>
      </c>
      <c r="I118">
        <v>150</v>
      </c>
      <c r="J118" t="e">
        <f>VLOOKUP(E118,DSSpieler!A:B,2,FALSE)</f>
        <v>#N/A</v>
      </c>
    </row>
    <row r="119" spans="1:10" x14ac:dyDescent="0.25">
      <c r="A119">
        <v>153</v>
      </c>
      <c r="B119" t="s">
        <v>531</v>
      </c>
      <c r="C119">
        <v>493</v>
      </c>
      <c r="D119">
        <v>528</v>
      </c>
      <c r="E119">
        <v>0</v>
      </c>
      <c r="F119">
        <v>203</v>
      </c>
      <c r="G119">
        <v>0</v>
      </c>
      <c r="H119" t="s">
        <v>5046</v>
      </c>
      <c r="I119">
        <v>153</v>
      </c>
      <c r="J119" t="e">
        <f>VLOOKUP(E119,DSSpieler!A:B,2,FALSE)</f>
        <v>#N/A</v>
      </c>
    </row>
    <row r="120" spans="1:10" x14ac:dyDescent="0.25">
      <c r="A120">
        <v>154</v>
      </c>
      <c r="B120" t="s">
        <v>549</v>
      </c>
      <c r="C120">
        <v>428</v>
      </c>
      <c r="D120">
        <v>516</v>
      </c>
      <c r="E120">
        <v>1577180831</v>
      </c>
      <c r="F120">
        <v>1650</v>
      </c>
      <c r="G120">
        <v>0</v>
      </c>
      <c r="H120" t="s">
        <v>5047</v>
      </c>
      <c r="I120">
        <v>154</v>
      </c>
      <c r="J120" t="str">
        <f>VLOOKUP(E120,DSSpieler!A:B,2,FALSE)</f>
        <v>Andi17</v>
      </c>
    </row>
    <row r="121" spans="1:10" x14ac:dyDescent="0.25">
      <c r="A121">
        <v>156</v>
      </c>
      <c r="B121" t="s">
        <v>30552</v>
      </c>
      <c r="C121">
        <v>460</v>
      </c>
      <c r="D121">
        <v>545</v>
      </c>
      <c r="E121">
        <v>8942925</v>
      </c>
      <c r="F121">
        <v>5258</v>
      </c>
      <c r="G121">
        <v>0</v>
      </c>
      <c r="H121" t="s">
        <v>5048</v>
      </c>
      <c r="I121">
        <v>156</v>
      </c>
      <c r="J121" t="str">
        <f>VLOOKUP(E121,DSSpieler!A:B,2,FALSE)</f>
        <v>Amaterzu</v>
      </c>
    </row>
    <row r="122" spans="1:10" x14ac:dyDescent="0.25">
      <c r="A122">
        <v>157</v>
      </c>
      <c r="B122" t="s">
        <v>30553</v>
      </c>
      <c r="C122">
        <v>429</v>
      </c>
      <c r="D122">
        <v>520</v>
      </c>
      <c r="E122">
        <v>1576992293</v>
      </c>
      <c r="F122">
        <v>7866</v>
      </c>
      <c r="G122">
        <v>0</v>
      </c>
      <c r="H122" t="s">
        <v>5049</v>
      </c>
      <c r="I122">
        <v>157</v>
      </c>
      <c r="J122" t="str">
        <f>VLOOKUP(E122,DSSpieler!A:B,2,FALSE)</f>
        <v>funit</v>
      </c>
    </row>
    <row r="123" spans="1:10" x14ac:dyDescent="0.25">
      <c r="A123">
        <v>158</v>
      </c>
      <c r="B123" t="s">
        <v>30554</v>
      </c>
      <c r="C123">
        <v>410</v>
      </c>
      <c r="D123">
        <v>527</v>
      </c>
      <c r="E123">
        <v>1577195923</v>
      </c>
      <c r="F123">
        <v>5474</v>
      </c>
      <c r="G123">
        <v>0</v>
      </c>
      <c r="H123" t="s">
        <v>5050</v>
      </c>
      <c r="I123">
        <v>158</v>
      </c>
      <c r="J123" t="str">
        <f>VLOOKUP(E123,DSSpieler!A:B,2,FALSE)</f>
        <v>Juligon93</v>
      </c>
    </row>
    <row r="124" spans="1:10" x14ac:dyDescent="0.25">
      <c r="A124">
        <v>160</v>
      </c>
      <c r="B124" t="s">
        <v>550</v>
      </c>
      <c r="C124">
        <v>418</v>
      </c>
      <c r="D124">
        <v>529</v>
      </c>
      <c r="E124">
        <v>1577162296</v>
      </c>
      <c r="F124">
        <v>4312</v>
      </c>
      <c r="G124">
        <v>0</v>
      </c>
      <c r="H124" t="s">
        <v>5051</v>
      </c>
      <c r="I124">
        <v>160</v>
      </c>
      <c r="J124" t="str">
        <f>VLOOKUP(E124,DSSpieler!A:B,2,FALSE)</f>
        <v>Tausspaul</v>
      </c>
    </row>
    <row r="125" spans="1:10" x14ac:dyDescent="0.25">
      <c r="A125">
        <v>162</v>
      </c>
      <c r="B125" t="s">
        <v>30555</v>
      </c>
      <c r="C125">
        <v>445</v>
      </c>
      <c r="D125">
        <v>415</v>
      </c>
      <c r="E125">
        <v>1576765186</v>
      </c>
      <c r="F125">
        <v>6447</v>
      </c>
      <c r="G125">
        <v>0</v>
      </c>
      <c r="H125" t="s">
        <v>5052</v>
      </c>
      <c r="I125">
        <v>162</v>
      </c>
      <c r="J125" t="str">
        <f>VLOOKUP(E125,DSSpieler!A:B,2,FALSE)</f>
        <v>ffcbr</v>
      </c>
    </row>
    <row r="126" spans="1:10" x14ac:dyDescent="0.25">
      <c r="A126">
        <v>163</v>
      </c>
      <c r="B126" t="s">
        <v>551</v>
      </c>
      <c r="C126">
        <v>439</v>
      </c>
      <c r="D126">
        <v>413</v>
      </c>
      <c r="E126">
        <v>1577010530</v>
      </c>
      <c r="F126">
        <v>4239</v>
      </c>
      <c r="G126">
        <v>0</v>
      </c>
      <c r="H126" t="s">
        <v>5053</v>
      </c>
      <c r="I126">
        <v>163</v>
      </c>
      <c r="J126" t="str">
        <f>VLOOKUP(E126,DSSpieler!A:B,2,FALSE)</f>
        <v>Ser Wackersburger</v>
      </c>
    </row>
    <row r="127" spans="1:10" x14ac:dyDescent="0.25">
      <c r="A127">
        <v>164</v>
      </c>
      <c r="B127" t="s">
        <v>531</v>
      </c>
      <c r="C127">
        <v>544</v>
      </c>
      <c r="D127">
        <v>484</v>
      </c>
      <c r="E127">
        <v>0</v>
      </c>
      <c r="F127">
        <v>541</v>
      </c>
      <c r="G127">
        <v>0</v>
      </c>
      <c r="H127" t="s">
        <v>5054</v>
      </c>
      <c r="I127">
        <v>164</v>
      </c>
      <c r="J127" t="e">
        <f>VLOOKUP(E127,DSSpieler!A:B,2,FALSE)</f>
        <v>#N/A</v>
      </c>
    </row>
    <row r="128" spans="1:10" x14ac:dyDescent="0.25">
      <c r="A128">
        <v>165</v>
      </c>
      <c r="B128" t="s">
        <v>30556</v>
      </c>
      <c r="C128">
        <v>435</v>
      </c>
      <c r="D128">
        <v>410</v>
      </c>
      <c r="E128">
        <v>1577179752</v>
      </c>
      <c r="F128">
        <v>4497</v>
      </c>
      <c r="G128">
        <v>0</v>
      </c>
      <c r="H128" t="s">
        <v>5055</v>
      </c>
      <c r="I128">
        <v>165</v>
      </c>
      <c r="J128" t="str">
        <f>VLOOKUP(E128,DSSpieler!A:B,2,FALSE)</f>
        <v>thoja137</v>
      </c>
    </row>
    <row r="129" spans="1:10" x14ac:dyDescent="0.25">
      <c r="A129">
        <v>166</v>
      </c>
      <c r="B129" t="s">
        <v>30557</v>
      </c>
      <c r="C129">
        <v>535</v>
      </c>
      <c r="D129">
        <v>492</v>
      </c>
      <c r="E129">
        <v>3387377</v>
      </c>
      <c r="F129">
        <v>3043</v>
      </c>
      <c r="G129">
        <v>0</v>
      </c>
      <c r="H129" t="s">
        <v>5056</v>
      </c>
      <c r="I129">
        <v>166</v>
      </c>
      <c r="J129" t="str">
        <f>VLOOKUP(E129,DSSpieler!A:B,2,FALSE)</f>
        <v>gery40</v>
      </c>
    </row>
    <row r="130" spans="1:10" x14ac:dyDescent="0.25">
      <c r="A130">
        <v>167</v>
      </c>
      <c r="B130" t="s">
        <v>552</v>
      </c>
      <c r="C130">
        <v>441</v>
      </c>
      <c r="D130">
        <v>410</v>
      </c>
      <c r="E130">
        <v>10115858</v>
      </c>
      <c r="F130">
        <v>3406</v>
      </c>
      <c r="G130">
        <v>0</v>
      </c>
      <c r="H130" t="s">
        <v>5057</v>
      </c>
      <c r="I130">
        <v>167</v>
      </c>
      <c r="J130" t="str">
        <f>VLOOKUP(E130,DSSpieler!A:B,2,FALSE)</f>
        <v>MacParker</v>
      </c>
    </row>
    <row r="131" spans="1:10" x14ac:dyDescent="0.25">
      <c r="A131">
        <v>168</v>
      </c>
      <c r="B131">
        <v>3</v>
      </c>
      <c r="C131">
        <v>524</v>
      </c>
      <c r="D131">
        <v>488</v>
      </c>
      <c r="E131">
        <v>2651379</v>
      </c>
      <c r="F131">
        <v>4862</v>
      </c>
      <c r="G131">
        <v>0</v>
      </c>
      <c r="H131" t="s">
        <v>5058</v>
      </c>
      <c r="I131">
        <v>168</v>
      </c>
      <c r="J131" t="str">
        <f>VLOOKUP(E131,DSSpieler!A:B,2,FALSE)</f>
        <v>Gernschi</v>
      </c>
    </row>
    <row r="132" spans="1:10" x14ac:dyDescent="0.25">
      <c r="A132">
        <v>169</v>
      </c>
      <c r="B132" t="s">
        <v>531</v>
      </c>
      <c r="C132">
        <v>448</v>
      </c>
      <c r="D132">
        <v>410</v>
      </c>
      <c r="E132">
        <v>0</v>
      </c>
      <c r="F132">
        <v>620</v>
      </c>
      <c r="G132">
        <v>0</v>
      </c>
      <c r="H132" t="s">
        <v>5059</v>
      </c>
      <c r="I132">
        <v>169</v>
      </c>
      <c r="J132" t="e">
        <f>VLOOKUP(E132,DSSpieler!A:B,2,FALSE)</f>
        <v>#N/A</v>
      </c>
    </row>
    <row r="133" spans="1:10" x14ac:dyDescent="0.25">
      <c r="A133">
        <v>170</v>
      </c>
      <c r="B133" t="s">
        <v>553</v>
      </c>
      <c r="C133">
        <v>438</v>
      </c>
      <c r="D133">
        <v>411</v>
      </c>
      <c r="E133">
        <v>1576765182</v>
      </c>
      <c r="F133">
        <v>7224</v>
      </c>
      <c r="G133">
        <v>0</v>
      </c>
      <c r="H133" t="s">
        <v>5060</v>
      </c>
      <c r="I133">
        <v>170</v>
      </c>
      <c r="J133" t="str">
        <f>VLOOKUP(E133,DSSpieler!A:B,2,FALSE)</f>
        <v>Trassi</v>
      </c>
    </row>
    <row r="134" spans="1:10" x14ac:dyDescent="0.25">
      <c r="A134">
        <v>174</v>
      </c>
      <c r="B134" t="s">
        <v>531</v>
      </c>
      <c r="C134">
        <v>519</v>
      </c>
      <c r="D134">
        <v>537</v>
      </c>
      <c r="E134">
        <v>0</v>
      </c>
      <c r="F134">
        <v>333</v>
      </c>
      <c r="G134">
        <v>0</v>
      </c>
      <c r="H134" t="s">
        <v>5061</v>
      </c>
      <c r="I134">
        <v>174</v>
      </c>
      <c r="J134" t="e">
        <f>VLOOKUP(E134,DSSpieler!A:B,2,FALSE)</f>
        <v>#N/A</v>
      </c>
    </row>
    <row r="135" spans="1:10" x14ac:dyDescent="0.25">
      <c r="A135">
        <v>176</v>
      </c>
      <c r="B135" t="s">
        <v>531</v>
      </c>
      <c r="C135">
        <v>540</v>
      </c>
      <c r="D135">
        <v>569</v>
      </c>
      <c r="E135">
        <v>0</v>
      </c>
      <c r="F135">
        <v>453</v>
      </c>
      <c r="G135">
        <v>0</v>
      </c>
      <c r="H135" t="s">
        <v>5062</v>
      </c>
      <c r="I135">
        <v>176</v>
      </c>
      <c r="J135" t="e">
        <f>VLOOKUP(E135,DSSpieler!A:B,2,FALSE)</f>
        <v>#N/A</v>
      </c>
    </row>
    <row r="136" spans="1:10" x14ac:dyDescent="0.25">
      <c r="A136">
        <v>178</v>
      </c>
      <c r="B136" t="s">
        <v>531</v>
      </c>
      <c r="C136">
        <v>433</v>
      </c>
      <c r="D136">
        <v>530</v>
      </c>
      <c r="E136">
        <v>0</v>
      </c>
      <c r="F136">
        <v>306</v>
      </c>
      <c r="G136">
        <v>0</v>
      </c>
      <c r="H136" t="s">
        <v>5063</v>
      </c>
      <c r="I136">
        <v>178</v>
      </c>
      <c r="J136" t="e">
        <f>VLOOKUP(E136,DSSpieler!A:B,2,FALSE)</f>
        <v>#N/A</v>
      </c>
    </row>
    <row r="137" spans="1:10" x14ac:dyDescent="0.25">
      <c r="A137">
        <v>180</v>
      </c>
      <c r="B137" t="s">
        <v>30558</v>
      </c>
      <c r="C137">
        <v>462</v>
      </c>
      <c r="D137">
        <v>538</v>
      </c>
      <c r="E137">
        <v>8198979</v>
      </c>
      <c r="F137">
        <v>4253</v>
      </c>
      <c r="G137">
        <v>0</v>
      </c>
      <c r="H137" t="s">
        <v>5064</v>
      </c>
      <c r="I137">
        <v>180</v>
      </c>
      <c r="J137" t="str">
        <f>VLOOKUP(E137,DSSpieler!A:B,2,FALSE)</f>
        <v>Feel my Hardstyle Spirit</v>
      </c>
    </row>
    <row r="138" spans="1:10" x14ac:dyDescent="0.25">
      <c r="A138">
        <v>182</v>
      </c>
      <c r="B138" t="s">
        <v>554</v>
      </c>
      <c r="C138">
        <v>447</v>
      </c>
      <c r="D138">
        <v>543</v>
      </c>
      <c r="E138">
        <v>2204623</v>
      </c>
      <c r="F138">
        <v>4934</v>
      </c>
      <c r="G138">
        <v>0</v>
      </c>
      <c r="H138" t="s">
        <v>5065</v>
      </c>
      <c r="I138">
        <v>182</v>
      </c>
      <c r="J138" t="str">
        <f>VLOOKUP(E138,DSSpieler!A:B,2,FALSE)</f>
        <v>h0ly jesiz</v>
      </c>
    </row>
    <row r="139" spans="1:10" x14ac:dyDescent="0.25">
      <c r="A139">
        <v>183</v>
      </c>
      <c r="B139" t="s">
        <v>555</v>
      </c>
      <c r="C139">
        <v>445</v>
      </c>
      <c r="D139">
        <v>543</v>
      </c>
      <c r="E139">
        <v>1577175781</v>
      </c>
      <c r="F139">
        <v>5564</v>
      </c>
      <c r="G139">
        <v>0</v>
      </c>
      <c r="H139" t="s">
        <v>5066</v>
      </c>
      <c r="I139">
        <v>183</v>
      </c>
      <c r="J139" t="str">
        <f>VLOOKUP(E139,DSSpieler!A:B,2,FALSE)</f>
        <v>Hopfenreiter</v>
      </c>
    </row>
    <row r="140" spans="1:10" x14ac:dyDescent="0.25">
      <c r="A140">
        <v>186</v>
      </c>
      <c r="B140" t="s">
        <v>30559</v>
      </c>
      <c r="C140">
        <v>454</v>
      </c>
      <c r="D140">
        <v>541</v>
      </c>
      <c r="E140">
        <v>1576822927</v>
      </c>
      <c r="F140">
        <v>5230</v>
      </c>
      <c r="G140">
        <v>0</v>
      </c>
      <c r="H140" t="s">
        <v>5067</v>
      </c>
      <c r="I140">
        <v>186</v>
      </c>
      <c r="J140" t="str">
        <f>VLOOKUP(E140,DSSpieler!A:B,2,FALSE)</f>
        <v>PokeTrainer</v>
      </c>
    </row>
    <row r="141" spans="1:10" x14ac:dyDescent="0.25">
      <c r="A141">
        <v>187</v>
      </c>
      <c r="B141" t="s">
        <v>531</v>
      </c>
      <c r="C141">
        <v>483</v>
      </c>
      <c r="D141">
        <v>489</v>
      </c>
      <c r="E141">
        <v>0</v>
      </c>
      <c r="F141">
        <v>434</v>
      </c>
      <c r="G141">
        <v>0</v>
      </c>
      <c r="H141" t="s">
        <v>5068</v>
      </c>
      <c r="I141">
        <v>187</v>
      </c>
      <c r="J141" t="e">
        <f>VLOOKUP(E141,DSSpieler!A:B,2,FALSE)</f>
        <v>#N/A</v>
      </c>
    </row>
    <row r="142" spans="1:10" x14ac:dyDescent="0.25">
      <c r="A142">
        <v>188</v>
      </c>
      <c r="B142" t="s">
        <v>30560</v>
      </c>
      <c r="C142">
        <v>446</v>
      </c>
      <c r="D142">
        <v>555</v>
      </c>
      <c r="E142">
        <v>1577190314</v>
      </c>
      <c r="F142">
        <v>3938</v>
      </c>
      <c r="G142">
        <v>0</v>
      </c>
      <c r="H142" t="s">
        <v>5069</v>
      </c>
      <c r="I142">
        <v>188</v>
      </c>
      <c r="J142" t="str">
        <f>VLOOKUP(E142,DSSpieler!A:B,2,FALSE)</f>
        <v>Flocki1108</v>
      </c>
    </row>
    <row r="143" spans="1:10" x14ac:dyDescent="0.25">
      <c r="A143">
        <v>191</v>
      </c>
      <c r="B143" t="s">
        <v>556</v>
      </c>
      <c r="C143">
        <v>522</v>
      </c>
      <c r="D143">
        <v>473</v>
      </c>
      <c r="E143">
        <v>7943688</v>
      </c>
      <c r="F143">
        <v>6686</v>
      </c>
      <c r="G143">
        <v>0</v>
      </c>
      <c r="H143" t="s">
        <v>5070</v>
      </c>
      <c r="I143">
        <v>191</v>
      </c>
      <c r="J143" t="str">
        <f>VLOOKUP(E143,DSSpieler!A:B,2,FALSE)</f>
        <v>Löschzwerg10</v>
      </c>
    </row>
    <row r="144" spans="1:10" x14ac:dyDescent="0.25">
      <c r="A144">
        <v>192</v>
      </c>
      <c r="B144" t="s">
        <v>557</v>
      </c>
      <c r="C144">
        <v>518</v>
      </c>
      <c r="D144">
        <v>466</v>
      </c>
      <c r="E144">
        <v>1577163005</v>
      </c>
      <c r="F144">
        <v>5179</v>
      </c>
      <c r="G144">
        <v>0</v>
      </c>
      <c r="H144" t="s">
        <v>5071</v>
      </c>
      <c r="I144">
        <v>192</v>
      </c>
      <c r="J144" t="str">
        <f>VLOOKUP(E144,DSSpieler!A:B,2,FALSE)</f>
        <v>KINGJURI</v>
      </c>
    </row>
    <row r="145" spans="1:10" x14ac:dyDescent="0.25">
      <c r="A145">
        <v>193</v>
      </c>
      <c r="B145" t="s">
        <v>558</v>
      </c>
      <c r="C145">
        <v>525</v>
      </c>
      <c r="D145">
        <v>469</v>
      </c>
      <c r="E145">
        <v>8077830</v>
      </c>
      <c r="F145">
        <v>6559</v>
      </c>
      <c r="G145">
        <v>0</v>
      </c>
      <c r="H145" t="s">
        <v>5072</v>
      </c>
      <c r="I145">
        <v>193</v>
      </c>
      <c r="J145" t="str">
        <f>VLOOKUP(E145,DSSpieler!A:B,2,FALSE)</f>
        <v>Venamor</v>
      </c>
    </row>
    <row r="146" spans="1:10" x14ac:dyDescent="0.25">
      <c r="A146">
        <v>194</v>
      </c>
      <c r="B146" t="s">
        <v>556</v>
      </c>
      <c r="C146">
        <v>528</v>
      </c>
      <c r="D146">
        <v>459</v>
      </c>
      <c r="E146">
        <v>1576693113</v>
      </c>
      <c r="F146">
        <v>4454</v>
      </c>
      <c r="G146">
        <v>0</v>
      </c>
      <c r="H146" t="s">
        <v>5073</v>
      </c>
      <c r="I146">
        <v>194</v>
      </c>
      <c r="J146" t="str">
        <f>VLOOKUP(E146,DSSpieler!A:B,2,FALSE)</f>
        <v>Lorn John snow</v>
      </c>
    </row>
    <row r="147" spans="1:10" x14ac:dyDescent="0.25">
      <c r="A147">
        <v>195</v>
      </c>
      <c r="B147" t="s">
        <v>531</v>
      </c>
      <c r="C147">
        <v>537</v>
      </c>
      <c r="D147">
        <v>495</v>
      </c>
      <c r="E147">
        <v>0</v>
      </c>
      <c r="F147">
        <v>387</v>
      </c>
      <c r="G147">
        <v>0</v>
      </c>
      <c r="H147" t="s">
        <v>5074</v>
      </c>
      <c r="I147">
        <v>195</v>
      </c>
      <c r="J147" t="e">
        <f>VLOOKUP(E147,DSSpieler!A:B,2,FALSE)</f>
        <v>#N/A</v>
      </c>
    </row>
    <row r="148" spans="1:10" x14ac:dyDescent="0.25">
      <c r="A148">
        <v>196</v>
      </c>
      <c r="B148" t="s">
        <v>559</v>
      </c>
      <c r="C148">
        <v>520</v>
      </c>
      <c r="D148">
        <v>465</v>
      </c>
      <c r="E148">
        <v>1577163005</v>
      </c>
      <c r="F148">
        <v>5839</v>
      </c>
      <c r="G148">
        <v>0</v>
      </c>
      <c r="H148" t="s">
        <v>5075</v>
      </c>
      <c r="I148">
        <v>196</v>
      </c>
      <c r="J148" t="str">
        <f>VLOOKUP(E148,DSSpieler!A:B,2,FALSE)</f>
        <v>KINGJURI</v>
      </c>
    </row>
    <row r="149" spans="1:10" x14ac:dyDescent="0.25">
      <c r="A149">
        <v>197</v>
      </c>
      <c r="B149" t="s">
        <v>30561</v>
      </c>
      <c r="C149">
        <v>524</v>
      </c>
      <c r="D149">
        <v>475</v>
      </c>
      <c r="E149">
        <v>9522244</v>
      </c>
      <c r="F149">
        <v>6231</v>
      </c>
      <c r="G149">
        <v>0</v>
      </c>
      <c r="H149" t="s">
        <v>5076</v>
      </c>
      <c r="I149">
        <v>197</v>
      </c>
      <c r="J149" t="str">
        <f>VLOOKUP(E149,DSSpieler!A:B,2,FALSE)</f>
        <v>Masch112</v>
      </c>
    </row>
    <row r="150" spans="1:10" x14ac:dyDescent="0.25">
      <c r="A150">
        <v>198</v>
      </c>
      <c r="B150" t="s">
        <v>560</v>
      </c>
      <c r="C150">
        <v>515</v>
      </c>
      <c r="D150">
        <v>469</v>
      </c>
      <c r="E150">
        <v>10125062</v>
      </c>
      <c r="F150">
        <v>4500</v>
      </c>
      <c r="G150">
        <v>0</v>
      </c>
      <c r="H150" t="s">
        <v>5077</v>
      </c>
      <c r="I150">
        <v>198</v>
      </c>
      <c r="J150" t="str">
        <f>VLOOKUP(E150,DSSpieler!A:B,2,FALSE)</f>
        <v>Tavas</v>
      </c>
    </row>
    <row r="151" spans="1:10" x14ac:dyDescent="0.25">
      <c r="A151">
        <v>199</v>
      </c>
      <c r="B151" t="s">
        <v>561</v>
      </c>
      <c r="C151">
        <v>529</v>
      </c>
      <c r="D151">
        <v>460</v>
      </c>
      <c r="E151">
        <v>10125255</v>
      </c>
      <c r="F151">
        <v>5102</v>
      </c>
      <c r="G151">
        <v>0</v>
      </c>
      <c r="H151" t="s">
        <v>5078</v>
      </c>
      <c r="I151">
        <v>199</v>
      </c>
      <c r="J151" t="e">
        <f>VLOOKUP(E151,DSSpieler!A:B,2,FALSE)</f>
        <v>#NAME?</v>
      </c>
    </row>
    <row r="152" spans="1:10" x14ac:dyDescent="0.25">
      <c r="A152">
        <v>200</v>
      </c>
      <c r="B152" t="s">
        <v>30562</v>
      </c>
      <c r="C152">
        <v>511</v>
      </c>
      <c r="D152">
        <v>456</v>
      </c>
      <c r="E152">
        <v>10240669</v>
      </c>
      <c r="F152">
        <v>5614</v>
      </c>
      <c r="G152">
        <v>0</v>
      </c>
      <c r="H152" t="s">
        <v>5079</v>
      </c>
      <c r="I152">
        <v>200</v>
      </c>
      <c r="J152" t="str">
        <f>VLOOKUP(E152,DSSpieler!A:B,2,FALSE)</f>
        <v>MrInvisibleHD</v>
      </c>
    </row>
    <row r="153" spans="1:10" x14ac:dyDescent="0.25">
      <c r="A153">
        <v>201</v>
      </c>
      <c r="B153">
        <v>1</v>
      </c>
      <c r="C153">
        <v>508</v>
      </c>
      <c r="D153">
        <v>475</v>
      </c>
      <c r="E153">
        <v>1575990002</v>
      </c>
      <c r="F153">
        <v>5867</v>
      </c>
      <c r="G153">
        <v>0</v>
      </c>
      <c r="H153" t="s">
        <v>5080</v>
      </c>
      <c r="I153">
        <v>201</v>
      </c>
      <c r="J153" t="str">
        <f>VLOOKUP(E153,DSSpieler!A:B,2,FALSE)</f>
        <v>YV35L4N6H4RD</v>
      </c>
    </row>
    <row r="154" spans="1:10" x14ac:dyDescent="0.25">
      <c r="A154">
        <v>202</v>
      </c>
      <c r="B154" t="s">
        <v>556</v>
      </c>
      <c r="C154">
        <v>523</v>
      </c>
      <c r="D154">
        <v>458</v>
      </c>
      <c r="E154">
        <v>1576151021</v>
      </c>
      <c r="F154">
        <v>6265</v>
      </c>
      <c r="G154">
        <v>0</v>
      </c>
      <c r="H154" t="s">
        <v>5081</v>
      </c>
      <c r="I154">
        <v>202</v>
      </c>
      <c r="J154" t="str">
        <f>VLOOKUP(E154,DSSpieler!A:B,2,FALSE)</f>
        <v>Chewbacci</v>
      </c>
    </row>
    <row r="155" spans="1:10" x14ac:dyDescent="0.25">
      <c r="A155">
        <v>203</v>
      </c>
      <c r="B155" t="s">
        <v>531</v>
      </c>
      <c r="C155">
        <v>435</v>
      </c>
      <c r="D155">
        <v>536</v>
      </c>
      <c r="E155">
        <v>0</v>
      </c>
      <c r="F155">
        <v>336</v>
      </c>
      <c r="G155">
        <v>0</v>
      </c>
      <c r="H155" t="s">
        <v>5082</v>
      </c>
      <c r="I155">
        <v>203</v>
      </c>
      <c r="J155" t="e">
        <f>VLOOKUP(E155,DSSpieler!A:B,2,FALSE)</f>
        <v>#N/A</v>
      </c>
    </row>
    <row r="156" spans="1:10" x14ac:dyDescent="0.25">
      <c r="A156">
        <v>204</v>
      </c>
      <c r="B156" t="s">
        <v>30563</v>
      </c>
      <c r="C156">
        <v>512</v>
      </c>
      <c r="D156">
        <v>466</v>
      </c>
      <c r="E156">
        <v>1576471055</v>
      </c>
      <c r="F156">
        <v>6107</v>
      </c>
      <c r="G156">
        <v>0</v>
      </c>
      <c r="H156" t="s">
        <v>5083</v>
      </c>
      <c r="I156">
        <v>204</v>
      </c>
      <c r="J156" t="str">
        <f>VLOOKUP(E156,DSSpieler!A:B,2,FALSE)</f>
        <v>Wonderboy-</v>
      </c>
    </row>
    <row r="157" spans="1:10" x14ac:dyDescent="0.25">
      <c r="A157">
        <v>205</v>
      </c>
      <c r="B157" t="s">
        <v>556</v>
      </c>
      <c r="C157">
        <v>518</v>
      </c>
      <c r="D157">
        <v>476</v>
      </c>
      <c r="E157">
        <v>1577168732</v>
      </c>
      <c r="F157">
        <v>7119</v>
      </c>
      <c r="G157">
        <v>0</v>
      </c>
      <c r="H157" t="s">
        <v>5084</v>
      </c>
      <c r="I157">
        <v>205</v>
      </c>
      <c r="J157" t="str">
        <f>VLOOKUP(E157,DSSpieler!A:B,2,FALSE)</f>
        <v>gcz025</v>
      </c>
    </row>
    <row r="158" spans="1:10" x14ac:dyDescent="0.25">
      <c r="A158">
        <v>206</v>
      </c>
      <c r="B158" t="s">
        <v>556</v>
      </c>
      <c r="C158">
        <v>518</v>
      </c>
      <c r="D158">
        <v>461</v>
      </c>
      <c r="E158">
        <v>1576847641</v>
      </c>
      <c r="F158">
        <v>5362</v>
      </c>
      <c r="G158">
        <v>0</v>
      </c>
      <c r="H158" t="s">
        <v>5085</v>
      </c>
      <c r="I158">
        <v>206</v>
      </c>
      <c r="J158" t="str">
        <f>VLOOKUP(E158,DSSpieler!A:B,2,FALSE)</f>
        <v>gocaman28</v>
      </c>
    </row>
    <row r="159" spans="1:10" x14ac:dyDescent="0.25">
      <c r="A159">
        <v>207</v>
      </c>
      <c r="B159" t="s">
        <v>531</v>
      </c>
      <c r="C159">
        <v>519</v>
      </c>
      <c r="D159">
        <v>471</v>
      </c>
      <c r="E159">
        <v>0</v>
      </c>
      <c r="F159">
        <v>447</v>
      </c>
      <c r="G159">
        <v>0</v>
      </c>
      <c r="H159" t="s">
        <v>5086</v>
      </c>
      <c r="I159">
        <v>207</v>
      </c>
      <c r="J159" t="e">
        <f>VLOOKUP(E159,DSSpieler!A:B,2,FALSE)</f>
        <v>#N/A</v>
      </c>
    </row>
    <row r="160" spans="1:10" x14ac:dyDescent="0.25">
      <c r="A160">
        <v>208</v>
      </c>
      <c r="B160" t="s">
        <v>562</v>
      </c>
      <c r="C160">
        <v>501</v>
      </c>
      <c r="D160">
        <v>531</v>
      </c>
      <c r="E160">
        <v>1577184411</v>
      </c>
      <c r="F160">
        <v>843</v>
      </c>
      <c r="G160">
        <v>0</v>
      </c>
      <c r="H160" t="s">
        <v>5087</v>
      </c>
      <c r="I160">
        <v>208</v>
      </c>
      <c r="J160" t="str">
        <f>VLOOKUP(E160,DSSpieler!A:B,2,FALSE)</f>
        <v>Meister Klaus</v>
      </c>
    </row>
    <row r="161" spans="1:10" x14ac:dyDescent="0.25">
      <c r="A161">
        <v>209</v>
      </c>
      <c r="B161" t="s">
        <v>556</v>
      </c>
      <c r="C161">
        <v>521</v>
      </c>
      <c r="D161">
        <v>480</v>
      </c>
      <c r="E161">
        <v>1577168732</v>
      </c>
      <c r="F161">
        <v>6111</v>
      </c>
      <c r="G161">
        <v>0</v>
      </c>
      <c r="H161" t="s">
        <v>5088</v>
      </c>
      <c r="I161">
        <v>209</v>
      </c>
      <c r="J161" t="str">
        <f>VLOOKUP(E161,DSSpieler!A:B,2,FALSE)</f>
        <v>gcz025</v>
      </c>
    </row>
    <row r="162" spans="1:10" x14ac:dyDescent="0.25">
      <c r="A162">
        <v>210</v>
      </c>
      <c r="B162" t="s">
        <v>30564</v>
      </c>
      <c r="C162">
        <v>515</v>
      </c>
      <c r="D162">
        <v>472</v>
      </c>
      <c r="E162">
        <v>1577174875</v>
      </c>
      <c r="F162">
        <v>7280</v>
      </c>
      <c r="G162">
        <v>0</v>
      </c>
      <c r="H162" t="s">
        <v>5089</v>
      </c>
      <c r="I162">
        <v>210</v>
      </c>
      <c r="J162" t="str">
        <f>VLOOKUP(E162,DSSpieler!A:B,2,FALSE)</f>
        <v>Der mit das Gerät</v>
      </c>
    </row>
    <row r="163" spans="1:10" x14ac:dyDescent="0.25">
      <c r="A163">
        <v>211</v>
      </c>
      <c r="B163" t="s">
        <v>30565</v>
      </c>
      <c r="C163">
        <v>505</v>
      </c>
      <c r="D163">
        <v>484</v>
      </c>
      <c r="E163">
        <v>1577176626</v>
      </c>
      <c r="F163">
        <v>6070</v>
      </c>
      <c r="G163">
        <v>0</v>
      </c>
      <c r="H163" t="s">
        <v>5090</v>
      </c>
      <c r="I163">
        <v>211</v>
      </c>
      <c r="J163" t="str">
        <f>VLOOKUP(E163,DSSpieler!A:B,2,FALSE)</f>
        <v>PlayOneMaurice</v>
      </c>
    </row>
    <row r="164" spans="1:10" x14ac:dyDescent="0.25">
      <c r="A164">
        <v>212</v>
      </c>
      <c r="B164" t="s">
        <v>563</v>
      </c>
      <c r="C164">
        <v>519</v>
      </c>
      <c r="D164">
        <v>458</v>
      </c>
      <c r="E164">
        <v>1577180924</v>
      </c>
      <c r="F164">
        <v>7190</v>
      </c>
      <c r="G164">
        <v>0</v>
      </c>
      <c r="H164" t="s">
        <v>5091</v>
      </c>
      <c r="I164">
        <v>212</v>
      </c>
      <c r="J164" t="str">
        <f>VLOOKUP(E164,DSSpieler!A:B,2,FALSE)</f>
        <v>La84</v>
      </c>
    </row>
    <row r="165" spans="1:10" x14ac:dyDescent="0.25">
      <c r="A165">
        <v>213</v>
      </c>
      <c r="B165" t="s">
        <v>556</v>
      </c>
      <c r="C165">
        <v>511</v>
      </c>
      <c r="D165">
        <v>470</v>
      </c>
      <c r="E165">
        <v>1784298</v>
      </c>
      <c r="F165">
        <v>1627</v>
      </c>
      <c r="G165">
        <v>0</v>
      </c>
      <c r="H165" t="s">
        <v>5092</v>
      </c>
      <c r="I165">
        <v>213</v>
      </c>
      <c r="J165" t="str">
        <f>VLOOKUP(E165,DSSpieler!A:B,2,FALSE)</f>
        <v>T-Cup</v>
      </c>
    </row>
    <row r="166" spans="1:10" x14ac:dyDescent="0.25">
      <c r="A166">
        <v>214</v>
      </c>
      <c r="B166" t="s">
        <v>531</v>
      </c>
      <c r="C166">
        <v>462</v>
      </c>
      <c r="D166">
        <v>551</v>
      </c>
      <c r="E166">
        <v>0</v>
      </c>
      <c r="F166">
        <v>302</v>
      </c>
      <c r="G166">
        <v>0</v>
      </c>
      <c r="H166" t="s">
        <v>5093</v>
      </c>
      <c r="I166">
        <v>214</v>
      </c>
      <c r="J166" t="e">
        <f>VLOOKUP(E166,DSSpieler!A:B,2,FALSE)</f>
        <v>#N/A</v>
      </c>
    </row>
    <row r="167" spans="1:10" x14ac:dyDescent="0.25">
      <c r="A167">
        <v>215</v>
      </c>
      <c r="B167">
        <v>1</v>
      </c>
      <c r="C167">
        <v>524</v>
      </c>
      <c r="D167">
        <v>466</v>
      </c>
      <c r="E167">
        <v>1577190147</v>
      </c>
      <c r="F167">
        <v>6688</v>
      </c>
      <c r="G167">
        <v>0</v>
      </c>
      <c r="H167" t="s">
        <v>5094</v>
      </c>
      <c r="I167">
        <v>215</v>
      </c>
      <c r="J167" t="str">
        <f>VLOOKUP(E167,DSSpieler!A:B,2,FALSE)</f>
        <v>Konpai</v>
      </c>
    </row>
    <row r="168" spans="1:10" x14ac:dyDescent="0.25">
      <c r="A168">
        <v>216</v>
      </c>
      <c r="B168" t="s">
        <v>30566</v>
      </c>
      <c r="C168">
        <v>516</v>
      </c>
      <c r="D168">
        <v>468</v>
      </c>
      <c r="E168">
        <v>261877</v>
      </c>
      <c r="F168">
        <v>2454</v>
      </c>
      <c r="G168">
        <v>0</v>
      </c>
      <c r="H168" t="s">
        <v>5095</v>
      </c>
      <c r="I168">
        <v>216</v>
      </c>
      <c r="J168" t="str">
        <f>VLOOKUP(E168,DSSpieler!A:B,2,FALSE)</f>
        <v>Tante Nein-Nein</v>
      </c>
    </row>
    <row r="169" spans="1:10" x14ac:dyDescent="0.25">
      <c r="A169">
        <v>217</v>
      </c>
      <c r="B169" t="s">
        <v>556</v>
      </c>
      <c r="C169">
        <v>510</v>
      </c>
      <c r="D169">
        <v>477</v>
      </c>
      <c r="E169">
        <v>1577190516</v>
      </c>
      <c r="F169">
        <v>6442</v>
      </c>
      <c r="G169">
        <v>0</v>
      </c>
      <c r="H169" t="s">
        <v>5096</v>
      </c>
      <c r="I169">
        <v>217</v>
      </c>
      <c r="J169" t="str">
        <f>VLOOKUP(E169,DSSpieler!A:B,2,FALSE)</f>
        <v>-CHUI-</v>
      </c>
    </row>
    <row r="170" spans="1:10" x14ac:dyDescent="0.25">
      <c r="A170">
        <v>218</v>
      </c>
      <c r="B170" t="s">
        <v>564</v>
      </c>
      <c r="C170">
        <v>523</v>
      </c>
      <c r="D170">
        <v>455</v>
      </c>
      <c r="E170">
        <v>1577190895</v>
      </c>
      <c r="F170">
        <v>6563</v>
      </c>
      <c r="G170">
        <v>0</v>
      </c>
      <c r="H170" t="s">
        <v>5097</v>
      </c>
      <c r="I170">
        <v>218</v>
      </c>
      <c r="J170" t="str">
        <f>VLOOKUP(E170,DSSpieler!A:B,2,FALSE)</f>
        <v>Knorktoffel</v>
      </c>
    </row>
    <row r="171" spans="1:10" x14ac:dyDescent="0.25">
      <c r="A171">
        <v>219</v>
      </c>
      <c r="B171">
        <v>1</v>
      </c>
      <c r="C171">
        <v>515</v>
      </c>
      <c r="D171">
        <v>468</v>
      </c>
      <c r="E171">
        <v>1577191080</v>
      </c>
      <c r="F171">
        <v>6189</v>
      </c>
      <c r="G171">
        <v>0</v>
      </c>
      <c r="H171" t="s">
        <v>5098</v>
      </c>
      <c r="I171">
        <v>219</v>
      </c>
      <c r="J171" t="str">
        <f>VLOOKUP(E171,DSSpieler!A:B,2,FALSE)</f>
        <v>NeoNapat</v>
      </c>
    </row>
    <row r="172" spans="1:10" x14ac:dyDescent="0.25">
      <c r="A172">
        <v>220</v>
      </c>
      <c r="B172" t="s">
        <v>531</v>
      </c>
      <c r="C172">
        <v>488</v>
      </c>
      <c r="D172">
        <v>424</v>
      </c>
      <c r="E172">
        <v>0</v>
      </c>
      <c r="F172">
        <v>298</v>
      </c>
      <c r="G172">
        <v>0</v>
      </c>
      <c r="H172" t="s">
        <v>5099</v>
      </c>
      <c r="I172">
        <v>220</v>
      </c>
      <c r="J172" t="e">
        <f>VLOOKUP(E172,DSSpieler!A:B,2,FALSE)</f>
        <v>#N/A</v>
      </c>
    </row>
    <row r="173" spans="1:10" x14ac:dyDescent="0.25">
      <c r="A173">
        <v>221</v>
      </c>
      <c r="B173" t="s">
        <v>556</v>
      </c>
      <c r="C173">
        <v>532</v>
      </c>
      <c r="D173">
        <v>457</v>
      </c>
      <c r="E173">
        <v>1576151021</v>
      </c>
      <c r="F173">
        <v>4525</v>
      </c>
      <c r="G173">
        <v>0</v>
      </c>
      <c r="H173" t="s">
        <v>5100</v>
      </c>
      <c r="I173">
        <v>221</v>
      </c>
      <c r="J173" t="str">
        <f>VLOOKUP(E173,DSSpieler!A:B,2,FALSE)</f>
        <v>Chewbacci</v>
      </c>
    </row>
    <row r="174" spans="1:10" x14ac:dyDescent="0.25">
      <c r="A174">
        <v>222</v>
      </c>
      <c r="B174" t="s">
        <v>30567</v>
      </c>
      <c r="C174">
        <v>465</v>
      </c>
      <c r="D174">
        <v>599</v>
      </c>
      <c r="E174">
        <v>1576976198</v>
      </c>
      <c r="F174">
        <v>2013</v>
      </c>
      <c r="G174">
        <v>0</v>
      </c>
      <c r="H174" t="s">
        <v>5101</v>
      </c>
      <c r="I174">
        <v>222</v>
      </c>
      <c r="J174" t="str">
        <f>VLOOKUP(E174,DSSpieler!A:B,2,FALSE)</f>
        <v>Lyrion Tennister</v>
      </c>
    </row>
    <row r="175" spans="1:10" x14ac:dyDescent="0.25">
      <c r="A175">
        <v>223</v>
      </c>
      <c r="B175" t="s">
        <v>30568</v>
      </c>
      <c r="C175">
        <v>490</v>
      </c>
      <c r="D175">
        <v>594</v>
      </c>
      <c r="E175">
        <v>2641220</v>
      </c>
      <c r="F175">
        <v>7358</v>
      </c>
      <c r="G175">
        <v>0</v>
      </c>
      <c r="H175" t="s">
        <v>5102</v>
      </c>
      <c r="I175">
        <v>223</v>
      </c>
      <c r="J175" t="str">
        <f>VLOOKUP(E175,DSSpieler!A:B,2,FALSE)</f>
        <v>Plug in Baby</v>
      </c>
    </row>
    <row r="176" spans="1:10" x14ac:dyDescent="0.25">
      <c r="A176">
        <v>224</v>
      </c>
      <c r="B176" t="s">
        <v>531</v>
      </c>
      <c r="C176">
        <v>496</v>
      </c>
      <c r="D176">
        <v>533</v>
      </c>
      <c r="E176">
        <v>0</v>
      </c>
      <c r="F176">
        <v>324</v>
      </c>
      <c r="G176">
        <v>0</v>
      </c>
      <c r="H176" t="s">
        <v>5103</v>
      </c>
      <c r="I176">
        <v>224</v>
      </c>
      <c r="J176" t="e">
        <f>VLOOKUP(E176,DSSpieler!A:B,2,FALSE)</f>
        <v>#N/A</v>
      </c>
    </row>
    <row r="177" spans="1:10" x14ac:dyDescent="0.25">
      <c r="A177">
        <v>225</v>
      </c>
      <c r="B177" t="s">
        <v>30569</v>
      </c>
      <c r="C177">
        <v>491</v>
      </c>
      <c r="D177">
        <v>598</v>
      </c>
      <c r="E177">
        <v>7598773</v>
      </c>
      <c r="F177">
        <v>6327</v>
      </c>
      <c r="G177">
        <v>0</v>
      </c>
      <c r="H177" t="s">
        <v>5104</v>
      </c>
      <c r="I177">
        <v>225</v>
      </c>
      <c r="J177" t="str">
        <f>VLOOKUP(E177,DSSpieler!A:B,2,FALSE)</f>
        <v>Epyx OnE</v>
      </c>
    </row>
    <row r="178" spans="1:10" x14ac:dyDescent="0.25">
      <c r="A178">
        <v>226</v>
      </c>
      <c r="B178" t="s">
        <v>30570</v>
      </c>
      <c r="C178">
        <v>488</v>
      </c>
      <c r="D178">
        <v>534</v>
      </c>
      <c r="E178">
        <v>1577086320</v>
      </c>
      <c r="F178">
        <v>4154</v>
      </c>
      <c r="G178">
        <v>0</v>
      </c>
      <c r="H178" t="s">
        <v>5105</v>
      </c>
      <c r="I178">
        <v>226</v>
      </c>
      <c r="J178" t="str">
        <f>VLOOKUP(E178,DSSpieler!A:B,2,FALSE)</f>
        <v>joker6666</v>
      </c>
    </row>
    <row r="179" spans="1:10" x14ac:dyDescent="0.25">
      <c r="A179">
        <v>227</v>
      </c>
      <c r="B179" t="s">
        <v>531</v>
      </c>
      <c r="C179">
        <v>422</v>
      </c>
      <c r="D179">
        <v>478</v>
      </c>
      <c r="E179">
        <v>9050389</v>
      </c>
      <c r="F179">
        <v>811</v>
      </c>
      <c r="G179">
        <v>0</v>
      </c>
      <c r="H179" t="s">
        <v>5106</v>
      </c>
      <c r="I179">
        <v>227</v>
      </c>
      <c r="J179" t="str">
        <f>VLOOKUP(E179,DSSpieler!A:B,2,FALSE)</f>
        <v>easywin</v>
      </c>
    </row>
    <row r="180" spans="1:10" x14ac:dyDescent="0.25">
      <c r="A180">
        <v>228</v>
      </c>
      <c r="B180">
        <v>4</v>
      </c>
      <c r="C180">
        <v>485</v>
      </c>
      <c r="D180">
        <v>542</v>
      </c>
      <c r="E180">
        <v>1577154689</v>
      </c>
      <c r="F180">
        <v>4108</v>
      </c>
      <c r="G180">
        <v>0</v>
      </c>
      <c r="H180" t="s">
        <v>5107</v>
      </c>
      <c r="I180">
        <v>228</v>
      </c>
      <c r="J180" t="str">
        <f>VLOOKUP(E180,DSSpieler!A:B,2,FALSE)</f>
        <v>butzi 1</v>
      </c>
    </row>
    <row r="181" spans="1:10" x14ac:dyDescent="0.25">
      <c r="A181">
        <v>229</v>
      </c>
      <c r="B181" t="s">
        <v>30571</v>
      </c>
      <c r="C181">
        <v>493</v>
      </c>
      <c r="D181">
        <v>601</v>
      </c>
      <c r="E181">
        <v>9569148</v>
      </c>
      <c r="F181">
        <v>7214</v>
      </c>
      <c r="G181">
        <v>0</v>
      </c>
      <c r="H181" t="s">
        <v>5108</v>
      </c>
      <c r="I181">
        <v>229</v>
      </c>
      <c r="J181" t="str">
        <f>VLOOKUP(E181,DSSpieler!A:B,2,FALSE)</f>
        <v>079*</v>
      </c>
    </row>
    <row r="182" spans="1:10" x14ac:dyDescent="0.25">
      <c r="A182">
        <v>230</v>
      </c>
      <c r="B182">
        <v>1</v>
      </c>
      <c r="C182">
        <v>475</v>
      </c>
      <c r="D182">
        <v>593</v>
      </c>
      <c r="E182">
        <v>8392517</v>
      </c>
      <c r="F182">
        <v>3954</v>
      </c>
      <c r="G182">
        <v>0</v>
      </c>
      <c r="H182" t="s">
        <v>5109</v>
      </c>
      <c r="I182">
        <v>230</v>
      </c>
      <c r="J182" t="str">
        <f>VLOOKUP(E182,DSSpieler!A:B,2,FALSE)</f>
        <v>JayX</v>
      </c>
    </row>
    <row r="183" spans="1:10" x14ac:dyDescent="0.25">
      <c r="A183">
        <v>232</v>
      </c>
      <c r="B183" t="s">
        <v>30572</v>
      </c>
      <c r="C183">
        <v>487</v>
      </c>
      <c r="D183">
        <v>525</v>
      </c>
      <c r="E183">
        <v>9053512</v>
      </c>
      <c r="F183">
        <v>293</v>
      </c>
      <c r="G183">
        <v>0</v>
      </c>
      <c r="H183" t="s">
        <v>5110</v>
      </c>
      <c r="I183">
        <v>232</v>
      </c>
      <c r="J183" t="str">
        <f>VLOOKUP(E183,DSSpieler!A:B,2,FALSE)</f>
        <v>heiron1</v>
      </c>
    </row>
    <row r="184" spans="1:10" x14ac:dyDescent="0.25">
      <c r="A184">
        <v>233</v>
      </c>
      <c r="B184" t="s">
        <v>531</v>
      </c>
      <c r="C184">
        <v>540</v>
      </c>
      <c r="D184">
        <v>559</v>
      </c>
      <c r="E184">
        <v>0</v>
      </c>
      <c r="F184">
        <v>426</v>
      </c>
      <c r="G184">
        <v>0</v>
      </c>
      <c r="H184" t="s">
        <v>5111</v>
      </c>
      <c r="I184">
        <v>233</v>
      </c>
      <c r="J184" t="e">
        <f>VLOOKUP(E184,DSSpieler!A:B,2,FALSE)</f>
        <v>#N/A</v>
      </c>
    </row>
    <row r="185" spans="1:10" x14ac:dyDescent="0.25">
      <c r="A185">
        <v>234</v>
      </c>
      <c r="B185" t="s">
        <v>30573</v>
      </c>
      <c r="C185">
        <v>468</v>
      </c>
      <c r="D185">
        <v>599</v>
      </c>
      <c r="E185">
        <v>9449355</v>
      </c>
      <c r="F185">
        <v>4751</v>
      </c>
      <c r="G185">
        <v>0</v>
      </c>
      <c r="H185" t="s">
        <v>5112</v>
      </c>
      <c r="I185">
        <v>234</v>
      </c>
      <c r="J185" t="str">
        <f>VLOOKUP(E185,DSSpieler!A:B,2,FALSE)</f>
        <v>PapageiKatze941</v>
      </c>
    </row>
    <row r="186" spans="1:10" x14ac:dyDescent="0.25">
      <c r="A186">
        <v>235</v>
      </c>
      <c r="B186" t="s">
        <v>30574</v>
      </c>
      <c r="C186">
        <v>476</v>
      </c>
      <c r="D186">
        <v>594</v>
      </c>
      <c r="E186">
        <v>3362710</v>
      </c>
      <c r="F186">
        <v>5339</v>
      </c>
      <c r="G186">
        <v>0</v>
      </c>
      <c r="H186" t="s">
        <v>5113</v>
      </c>
      <c r="I186">
        <v>235</v>
      </c>
      <c r="J186" t="str">
        <f>VLOOKUP(E186,DSSpieler!A:B,2,FALSE)</f>
        <v>..Headbaenger..</v>
      </c>
    </row>
    <row r="187" spans="1:10" x14ac:dyDescent="0.25">
      <c r="A187">
        <v>236</v>
      </c>
      <c r="B187" t="s">
        <v>531</v>
      </c>
      <c r="C187">
        <v>514</v>
      </c>
      <c r="D187">
        <v>536</v>
      </c>
      <c r="E187">
        <v>0</v>
      </c>
      <c r="F187">
        <v>325</v>
      </c>
      <c r="G187">
        <v>0</v>
      </c>
      <c r="H187" t="s">
        <v>5114</v>
      </c>
      <c r="I187">
        <v>236</v>
      </c>
      <c r="J187" t="e">
        <f>VLOOKUP(E187,DSSpieler!A:B,2,FALSE)</f>
        <v>#N/A</v>
      </c>
    </row>
    <row r="188" spans="1:10" x14ac:dyDescent="0.25">
      <c r="A188">
        <v>239</v>
      </c>
      <c r="B188" t="s">
        <v>30575</v>
      </c>
      <c r="C188">
        <v>486</v>
      </c>
      <c r="D188">
        <v>592</v>
      </c>
      <c r="E188">
        <v>1576361409</v>
      </c>
      <c r="F188">
        <v>6907</v>
      </c>
      <c r="G188">
        <v>0</v>
      </c>
      <c r="H188" t="s">
        <v>5115</v>
      </c>
      <c r="I188">
        <v>239</v>
      </c>
      <c r="J188" t="str">
        <f>VLOOKUP(E188,DSSpieler!A:B,2,FALSE)</f>
        <v>Draric</v>
      </c>
    </row>
    <row r="189" spans="1:10" x14ac:dyDescent="0.25">
      <c r="A189">
        <v>240</v>
      </c>
      <c r="B189" t="s">
        <v>531</v>
      </c>
      <c r="C189">
        <v>479</v>
      </c>
      <c r="D189">
        <v>454</v>
      </c>
      <c r="E189">
        <v>0</v>
      </c>
      <c r="F189">
        <v>282</v>
      </c>
      <c r="G189">
        <v>0</v>
      </c>
      <c r="H189" t="s">
        <v>5116</v>
      </c>
      <c r="I189">
        <v>240</v>
      </c>
      <c r="J189" t="e">
        <f>VLOOKUP(E189,DSSpieler!A:B,2,FALSE)</f>
        <v>#N/A</v>
      </c>
    </row>
    <row r="190" spans="1:10" x14ac:dyDescent="0.25">
      <c r="A190">
        <v>241</v>
      </c>
      <c r="B190" t="s">
        <v>30576</v>
      </c>
      <c r="C190">
        <v>485</v>
      </c>
      <c r="D190">
        <v>599</v>
      </c>
      <c r="E190">
        <v>1576361409</v>
      </c>
      <c r="F190">
        <v>7491</v>
      </c>
      <c r="G190">
        <v>0</v>
      </c>
      <c r="H190" t="s">
        <v>5117</v>
      </c>
      <c r="I190">
        <v>241</v>
      </c>
      <c r="J190" t="str">
        <f>VLOOKUP(E190,DSSpieler!A:B,2,FALSE)</f>
        <v>Draric</v>
      </c>
    </row>
    <row r="191" spans="1:10" x14ac:dyDescent="0.25">
      <c r="A191">
        <v>242</v>
      </c>
      <c r="B191" t="s">
        <v>30577</v>
      </c>
      <c r="C191">
        <v>484</v>
      </c>
      <c r="D191">
        <v>597</v>
      </c>
      <c r="E191">
        <v>1577188163</v>
      </c>
      <c r="F191">
        <v>8112</v>
      </c>
      <c r="G191">
        <v>0</v>
      </c>
      <c r="H191" t="s">
        <v>5118</v>
      </c>
      <c r="I191">
        <v>242</v>
      </c>
      <c r="J191" t="str">
        <f>VLOOKUP(E191,DSSpieler!A:B,2,FALSE)</f>
        <v>Fynnus Maximuhsus</v>
      </c>
    </row>
    <row r="192" spans="1:10" x14ac:dyDescent="0.25">
      <c r="A192">
        <v>246</v>
      </c>
      <c r="B192" t="s">
        <v>531</v>
      </c>
      <c r="C192">
        <v>461</v>
      </c>
      <c r="D192">
        <v>537</v>
      </c>
      <c r="E192">
        <v>0</v>
      </c>
      <c r="F192">
        <v>524</v>
      </c>
      <c r="G192">
        <v>0</v>
      </c>
      <c r="H192" t="s">
        <v>5119</v>
      </c>
      <c r="I192">
        <v>246</v>
      </c>
      <c r="J192" t="e">
        <f>VLOOKUP(E192,DSSpieler!A:B,2,FALSE)</f>
        <v>#N/A</v>
      </c>
    </row>
    <row r="193" spans="1:10" x14ac:dyDescent="0.25">
      <c r="A193">
        <v>247</v>
      </c>
      <c r="B193" t="s">
        <v>30578</v>
      </c>
      <c r="C193">
        <v>464</v>
      </c>
      <c r="D193">
        <v>599</v>
      </c>
      <c r="E193">
        <v>1576976198</v>
      </c>
      <c r="F193">
        <v>8050</v>
      </c>
      <c r="G193">
        <v>0</v>
      </c>
      <c r="H193" t="s">
        <v>5120</v>
      </c>
      <c r="I193">
        <v>247</v>
      </c>
      <c r="J193" t="str">
        <f>VLOOKUP(E193,DSSpieler!A:B,2,FALSE)</f>
        <v>Lyrion Tennister</v>
      </c>
    </row>
    <row r="194" spans="1:10" x14ac:dyDescent="0.25">
      <c r="A194">
        <v>248</v>
      </c>
      <c r="B194" t="s">
        <v>30579</v>
      </c>
      <c r="C194">
        <v>491</v>
      </c>
      <c r="D194">
        <v>606</v>
      </c>
      <c r="E194">
        <v>1577168872</v>
      </c>
      <c r="F194">
        <v>6522</v>
      </c>
      <c r="G194">
        <v>0</v>
      </c>
      <c r="H194" t="s">
        <v>5121</v>
      </c>
      <c r="I194">
        <v>248</v>
      </c>
      <c r="J194" t="str">
        <f>VLOOKUP(E194,DSSpieler!A:B,2,FALSE)</f>
        <v>Garten1210</v>
      </c>
    </row>
    <row r="195" spans="1:10" x14ac:dyDescent="0.25">
      <c r="A195">
        <v>249</v>
      </c>
      <c r="B195" t="s">
        <v>531</v>
      </c>
      <c r="C195">
        <v>425</v>
      </c>
      <c r="D195">
        <v>510</v>
      </c>
      <c r="E195">
        <v>0</v>
      </c>
      <c r="F195">
        <v>357</v>
      </c>
      <c r="G195">
        <v>0</v>
      </c>
      <c r="H195" t="s">
        <v>5122</v>
      </c>
      <c r="I195">
        <v>249</v>
      </c>
      <c r="J195" t="e">
        <f>VLOOKUP(E195,DSSpieler!A:B,2,FALSE)</f>
        <v>#N/A</v>
      </c>
    </row>
    <row r="196" spans="1:10" x14ac:dyDescent="0.25">
      <c r="A196">
        <v>250</v>
      </c>
      <c r="B196" t="s">
        <v>30580</v>
      </c>
      <c r="C196">
        <v>490</v>
      </c>
      <c r="D196">
        <v>602</v>
      </c>
      <c r="E196">
        <v>1577168872</v>
      </c>
      <c r="F196">
        <v>7762</v>
      </c>
      <c r="G196">
        <v>0</v>
      </c>
      <c r="H196" t="s">
        <v>5123</v>
      </c>
      <c r="I196">
        <v>250</v>
      </c>
      <c r="J196" t="str">
        <f>VLOOKUP(E196,DSSpieler!A:B,2,FALSE)</f>
        <v>Garten1210</v>
      </c>
    </row>
    <row r="197" spans="1:10" x14ac:dyDescent="0.25">
      <c r="A197">
        <v>251</v>
      </c>
      <c r="B197" t="s">
        <v>565</v>
      </c>
      <c r="C197">
        <v>482</v>
      </c>
      <c r="D197">
        <v>604</v>
      </c>
      <c r="E197">
        <v>1577168705</v>
      </c>
      <c r="F197">
        <v>6533</v>
      </c>
      <c r="G197">
        <v>0</v>
      </c>
      <c r="H197" t="s">
        <v>5124</v>
      </c>
      <c r="I197">
        <v>251</v>
      </c>
      <c r="J197" t="str">
        <f>VLOOKUP(E197,DSSpieler!A:B,2,FALSE)</f>
        <v>amonidas</v>
      </c>
    </row>
    <row r="198" spans="1:10" x14ac:dyDescent="0.25">
      <c r="A198">
        <v>252</v>
      </c>
      <c r="B198" t="s">
        <v>30581</v>
      </c>
      <c r="C198">
        <v>488</v>
      </c>
      <c r="D198">
        <v>591</v>
      </c>
      <c r="E198">
        <v>2641220</v>
      </c>
      <c r="F198">
        <v>6500</v>
      </c>
      <c r="G198">
        <v>0</v>
      </c>
      <c r="H198" t="s">
        <v>5125</v>
      </c>
      <c r="I198">
        <v>252</v>
      </c>
      <c r="J198" t="str">
        <f>VLOOKUP(E198,DSSpieler!A:B,2,FALSE)</f>
        <v>Plug in Baby</v>
      </c>
    </row>
    <row r="199" spans="1:10" x14ac:dyDescent="0.25">
      <c r="A199">
        <v>253</v>
      </c>
      <c r="B199" t="s">
        <v>566</v>
      </c>
      <c r="C199">
        <v>500</v>
      </c>
      <c r="D199">
        <v>524</v>
      </c>
      <c r="E199">
        <v>1577197114</v>
      </c>
      <c r="F199">
        <v>1620</v>
      </c>
      <c r="G199">
        <v>0</v>
      </c>
      <c r="H199" t="s">
        <v>5126</v>
      </c>
      <c r="I199">
        <v>253</v>
      </c>
      <c r="J199" t="str">
        <f>VLOOKUP(E199,DSSpieler!A:B,2,FALSE)</f>
        <v>Dorfältester</v>
      </c>
    </row>
    <row r="200" spans="1:10" x14ac:dyDescent="0.25">
      <c r="A200">
        <v>254</v>
      </c>
      <c r="B200" t="s">
        <v>567</v>
      </c>
      <c r="C200">
        <v>493</v>
      </c>
      <c r="D200">
        <v>598</v>
      </c>
      <c r="E200">
        <v>1577168872</v>
      </c>
      <c r="F200">
        <v>7900</v>
      </c>
      <c r="G200">
        <v>0</v>
      </c>
      <c r="H200" t="s">
        <v>5127</v>
      </c>
      <c r="I200">
        <v>254</v>
      </c>
      <c r="J200" t="str">
        <f>VLOOKUP(E200,DSSpieler!A:B,2,FALSE)</f>
        <v>Garten1210</v>
      </c>
    </row>
    <row r="201" spans="1:10" x14ac:dyDescent="0.25">
      <c r="A201">
        <v>255</v>
      </c>
      <c r="B201" t="s">
        <v>30582</v>
      </c>
      <c r="C201">
        <v>473</v>
      </c>
      <c r="D201">
        <v>601</v>
      </c>
      <c r="E201">
        <v>1577174726</v>
      </c>
      <c r="F201">
        <v>6998</v>
      </c>
      <c r="G201">
        <v>0</v>
      </c>
      <c r="H201" t="s">
        <v>5128</v>
      </c>
      <c r="I201">
        <v>255</v>
      </c>
      <c r="J201" t="str">
        <f>VLOOKUP(E201,DSSpieler!A:B,2,FALSE)</f>
        <v>Nevada.vP</v>
      </c>
    </row>
    <row r="202" spans="1:10" x14ac:dyDescent="0.25">
      <c r="A202">
        <v>258</v>
      </c>
      <c r="B202" t="s">
        <v>30583</v>
      </c>
      <c r="C202">
        <v>488</v>
      </c>
      <c r="D202">
        <v>527</v>
      </c>
      <c r="E202">
        <v>1577091154</v>
      </c>
      <c r="F202">
        <v>26</v>
      </c>
      <c r="G202">
        <v>0</v>
      </c>
      <c r="H202" t="s">
        <v>5129</v>
      </c>
      <c r="I202">
        <v>258</v>
      </c>
      <c r="J202" t="str">
        <f>VLOOKUP(E202,DSSpieler!A:B,2,FALSE)</f>
        <v>WhyAlwaysMe</v>
      </c>
    </row>
    <row r="203" spans="1:10" x14ac:dyDescent="0.25">
      <c r="A203">
        <v>259</v>
      </c>
      <c r="B203" t="s">
        <v>30574</v>
      </c>
      <c r="C203">
        <v>486</v>
      </c>
      <c r="D203">
        <v>602</v>
      </c>
      <c r="E203">
        <v>3362710</v>
      </c>
      <c r="F203">
        <v>8045</v>
      </c>
      <c r="G203">
        <v>0</v>
      </c>
      <c r="H203" t="s">
        <v>5130</v>
      </c>
      <c r="I203">
        <v>259</v>
      </c>
      <c r="J203" t="str">
        <f>VLOOKUP(E203,DSSpieler!A:B,2,FALSE)</f>
        <v>..Headbaenger..</v>
      </c>
    </row>
    <row r="204" spans="1:10" x14ac:dyDescent="0.25">
      <c r="A204">
        <v>261</v>
      </c>
      <c r="B204" t="s">
        <v>568</v>
      </c>
      <c r="C204">
        <v>490</v>
      </c>
      <c r="D204">
        <v>596</v>
      </c>
      <c r="E204">
        <v>7598773</v>
      </c>
      <c r="F204">
        <v>5596</v>
      </c>
      <c r="G204">
        <v>0</v>
      </c>
      <c r="H204" t="s">
        <v>5131</v>
      </c>
      <c r="I204">
        <v>261</v>
      </c>
      <c r="J204" t="str">
        <f>VLOOKUP(E204,DSSpieler!A:B,2,FALSE)</f>
        <v>Epyx OnE</v>
      </c>
    </row>
    <row r="205" spans="1:10" x14ac:dyDescent="0.25">
      <c r="A205">
        <v>262</v>
      </c>
      <c r="B205" t="s">
        <v>531</v>
      </c>
      <c r="C205">
        <v>470</v>
      </c>
      <c r="D205">
        <v>474</v>
      </c>
      <c r="E205">
        <v>0</v>
      </c>
      <c r="F205">
        <v>362</v>
      </c>
      <c r="G205">
        <v>0</v>
      </c>
      <c r="H205" t="s">
        <v>5132</v>
      </c>
      <c r="I205">
        <v>262</v>
      </c>
      <c r="J205" t="e">
        <f>VLOOKUP(E205,DSSpieler!A:B,2,FALSE)</f>
        <v>#N/A</v>
      </c>
    </row>
    <row r="206" spans="1:10" x14ac:dyDescent="0.25">
      <c r="A206">
        <v>263</v>
      </c>
      <c r="B206" t="s">
        <v>30584</v>
      </c>
      <c r="C206">
        <v>468</v>
      </c>
      <c r="D206">
        <v>603</v>
      </c>
      <c r="E206">
        <v>1577180419</v>
      </c>
      <c r="F206">
        <v>7117</v>
      </c>
      <c r="G206">
        <v>0</v>
      </c>
      <c r="H206" t="s">
        <v>5133</v>
      </c>
      <c r="I206">
        <v>263</v>
      </c>
      <c r="J206" t="str">
        <f>VLOOKUP(E206,DSSpieler!A:B,2,FALSE)</f>
        <v>Dr.NOo</v>
      </c>
    </row>
    <row r="207" spans="1:10" x14ac:dyDescent="0.25">
      <c r="A207">
        <v>264</v>
      </c>
      <c r="B207" t="s">
        <v>30585</v>
      </c>
      <c r="C207">
        <v>477</v>
      </c>
      <c r="D207">
        <v>520</v>
      </c>
      <c r="E207">
        <v>1577181538</v>
      </c>
      <c r="F207">
        <v>210</v>
      </c>
      <c r="G207">
        <v>0</v>
      </c>
      <c r="H207" t="s">
        <v>5134</v>
      </c>
      <c r="I207">
        <v>264</v>
      </c>
      <c r="J207" t="str">
        <f>VLOOKUP(E207,DSSpieler!A:B,2,FALSE)</f>
        <v>AbfahrtOpferbaum</v>
      </c>
    </row>
    <row r="208" spans="1:10" x14ac:dyDescent="0.25">
      <c r="A208">
        <v>266</v>
      </c>
      <c r="B208" t="s">
        <v>569</v>
      </c>
      <c r="C208">
        <v>502</v>
      </c>
      <c r="D208">
        <v>506</v>
      </c>
      <c r="E208">
        <v>1577167029</v>
      </c>
      <c r="F208">
        <v>3729</v>
      </c>
      <c r="G208">
        <v>0</v>
      </c>
      <c r="H208" t="s">
        <v>5135</v>
      </c>
      <c r="I208">
        <v>266</v>
      </c>
      <c r="J208" t="str">
        <f>VLOOKUP(E208,DSSpieler!A:B,2,FALSE)</f>
        <v>Rauchi0077</v>
      </c>
    </row>
    <row r="209" spans="1:10" x14ac:dyDescent="0.25">
      <c r="A209">
        <v>267</v>
      </c>
      <c r="B209" t="s">
        <v>531</v>
      </c>
      <c r="C209">
        <v>499</v>
      </c>
      <c r="D209">
        <v>514</v>
      </c>
      <c r="E209">
        <v>0</v>
      </c>
      <c r="F209">
        <v>327</v>
      </c>
      <c r="G209">
        <v>0</v>
      </c>
      <c r="H209" t="s">
        <v>5136</v>
      </c>
      <c r="I209">
        <v>267</v>
      </c>
      <c r="J209" t="e">
        <f>VLOOKUP(E209,DSSpieler!A:B,2,FALSE)</f>
        <v>#N/A</v>
      </c>
    </row>
    <row r="210" spans="1:10" x14ac:dyDescent="0.25">
      <c r="A210">
        <v>268</v>
      </c>
      <c r="B210" t="s">
        <v>30586</v>
      </c>
      <c r="C210">
        <v>518</v>
      </c>
      <c r="D210">
        <v>393</v>
      </c>
      <c r="E210">
        <v>203673</v>
      </c>
      <c r="F210">
        <v>5666</v>
      </c>
      <c r="G210">
        <v>0</v>
      </c>
      <c r="H210" t="s">
        <v>5137</v>
      </c>
      <c r="I210">
        <v>268</v>
      </c>
      <c r="J210" t="str">
        <f>VLOOKUP(E210,DSSpieler!A:B,2,FALSE)</f>
        <v>Spieler XXX</v>
      </c>
    </row>
    <row r="211" spans="1:10" x14ac:dyDescent="0.25">
      <c r="A211">
        <v>269</v>
      </c>
      <c r="B211" t="s">
        <v>531</v>
      </c>
      <c r="C211">
        <v>484</v>
      </c>
      <c r="D211">
        <v>504</v>
      </c>
      <c r="E211">
        <v>0</v>
      </c>
      <c r="F211">
        <v>355</v>
      </c>
      <c r="G211">
        <v>0</v>
      </c>
      <c r="H211" t="s">
        <v>5138</v>
      </c>
      <c r="I211">
        <v>269</v>
      </c>
      <c r="J211" t="e">
        <f>VLOOKUP(E211,DSSpieler!A:B,2,FALSE)</f>
        <v>#N/A</v>
      </c>
    </row>
    <row r="212" spans="1:10" x14ac:dyDescent="0.25">
      <c r="A212">
        <v>270</v>
      </c>
      <c r="B212" t="s">
        <v>30587</v>
      </c>
      <c r="C212">
        <v>507</v>
      </c>
      <c r="D212">
        <v>403</v>
      </c>
      <c r="E212">
        <v>9490221</v>
      </c>
      <c r="F212">
        <v>7118</v>
      </c>
      <c r="G212">
        <v>0</v>
      </c>
      <c r="H212" t="s">
        <v>5139</v>
      </c>
      <c r="I212">
        <v>270</v>
      </c>
      <c r="J212" t="str">
        <f>VLOOKUP(E212,DSSpieler!A:B,2,FALSE)</f>
        <v>und alle so yeeow</v>
      </c>
    </row>
    <row r="213" spans="1:10" x14ac:dyDescent="0.25">
      <c r="A213">
        <v>271</v>
      </c>
      <c r="B213" t="s">
        <v>30588</v>
      </c>
      <c r="C213">
        <v>503</v>
      </c>
      <c r="D213">
        <v>392</v>
      </c>
      <c r="E213">
        <v>2910580</v>
      </c>
      <c r="F213">
        <v>6170</v>
      </c>
      <c r="G213">
        <v>0</v>
      </c>
      <c r="H213" t="s">
        <v>5140</v>
      </c>
      <c r="I213">
        <v>271</v>
      </c>
      <c r="J213" t="str">
        <f>VLOOKUP(E213,DSSpieler!A:B,2,FALSE)</f>
        <v>Desiel</v>
      </c>
    </row>
    <row r="214" spans="1:10" x14ac:dyDescent="0.25">
      <c r="A214">
        <v>273</v>
      </c>
      <c r="B214" t="s">
        <v>531</v>
      </c>
      <c r="C214">
        <v>503</v>
      </c>
      <c r="D214">
        <v>397</v>
      </c>
      <c r="E214">
        <v>0</v>
      </c>
      <c r="F214">
        <v>623</v>
      </c>
      <c r="G214">
        <v>0</v>
      </c>
      <c r="H214" t="s">
        <v>5141</v>
      </c>
      <c r="I214">
        <v>273</v>
      </c>
      <c r="J214" t="e">
        <f>VLOOKUP(E214,DSSpieler!A:B,2,FALSE)</f>
        <v>#N/A</v>
      </c>
    </row>
    <row r="215" spans="1:10" x14ac:dyDescent="0.25">
      <c r="A215">
        <v>274</v>
      </c>
      <c r="B215">
        <v>5</v>
      </c>
      <c r="C215">
        <v>507</v>
      </c>
      <c r="D215">
        <v>389</v>
      </c>
      <c r="E215">
        <v>9797650</v>
      </c>
      <c r="F215">
        <v>6516</v>
      </c>
      <c r="G215">
        <v>0</v>
      </c>
      <c r="H215" t="s">
        <v>5142</v>
      </c>
      <c r="I215">
        <v>274</v>
      </c>
      <c r="J215" t="str">
        <f>VLOOKUP(E215,DSSpieler!A:B,2,FALSE)</f>
        <v>robinhood-007</v>
      </c>
    </row>
    <row r="216" spans="1:10" x14ac:dyDescent="0.25">
      <c r="A216">
        <v>275</v>
      </c>
      <c r="B216" t="s">
        <v>30589</v>
      </c>
      <c r="C216">
        <v>516</v>
      </c>
      <c r="D216">
        <v>401</v>
      </c>
      <c r="E216">
        <v>7654698</v>
      </c>
      <c r="F216">
        <v>5280</v>
      </c>
      <c r="G216">
        <v>0</v>
      </c>
      <c r="H216" t="s">
        <v>5143</v>
      </c>
      <c r="I216">
        <v>275</v>
      </c>
      <c r="J216" t="str">
        <f>VLOOKUP(E216,DSSpieler!A:B,2,FALSE)</f>
        <v>Vinfox2</v>
      </c>
    </row>
    <row r="217" spans="1:10" x14ac:dyDescent="0.25">
      <c r="A217">
        <v>276</v>
      </c>
      <c r="B217" t="s">
        <v>570</v>
      </c>
      <c r="C217">
        <v>520</v>
      </c>
      <c r="D217">
        <v>390</v>
      </c>
      <c r="E217">
        <v>1577094527</v>
      </c>
      <c r="F217">
        <v>4729</v>
      </c>
      <c r="G217">
        <v>0</v>
      </c>
      <c r="H217" t="s">
        <v>5144</v>
      </c>
      <c r="I217">
        <v>276</v>
      </c>
      <c r="J217" t="str">
        <f>VLOOKUP(E217,DSSpieler!A:B,2,FALSE)</f>
        <v>Albozz</v>
      </c>
    </row>
    <row r="218" spans="1:10" x14ac:dyDescent="0.25">
      <c r="A218">
        <v>277</v>
      </c>
      <c r="B218" t="s">
        <v>30590</v>
      </c>
      <c r="C218">
        <v>514</v>
      </c>
      <c r="D218">
        <v>397</v>
      </c>
      <c r="E218">
        <v>9238203</v>
      </c>
      <c r="F218">
        <v>6999</v>
      </c>
      <c r="G218">
        <v>0</v>
      </c>
      <c r="H218" t="s">
        <v>5145</v>
      </c>
      <c r="I218">
        <v>277</v>
      </c>
      <c r="J218" t="str">
        <f>VLOOKUP(E218,DSSpieler!A:B,2,FALSE)</f>
        <v>bob107</v>
      </c>
    </row>
    <row r="219" spans="1:10" x14ac:dyDescent="0.25">
      <c r="A219">
        <v>278</v>
      </c>
      <c r="B219" t="s">
        <v>30591</v>
      </c>
      <c r="C219">
        <v>508</v>
      </c>
      <c r="D219">
        <v>392</v>
      </c>
      <c r="E219">
        <v>9756356</v>
      </c>
      <c r="F219">
        <v>7784</v>
      </c>
      <c r="G219">
        <v>0</v>
      </c>
      <c r="H219" t="s">
        <v>5146</v>
      </c>
      <c r="I219">
        <v>278</v>
      </c>
      <c r="J219" t="str">
        <f>VLOOKUP(E219,DSSpieler!A:B,2,FALSE)</f>
        <v>wiwiwi3</v>
      </c>
    </row>
    <row r="220" spans="1:10" x14ac:dyDescent="0.25">
      <c r="A220">
        <v>279</v>
      </c>
      <c r="B220" t="s">
        <v>571</v>
      </c>
      <c r="C220">
        <v>508</v>
      </c>
      <c r="D220">
        <v>410</v>
      </c>
      <c r="E220">
        <v>256479</v>
      </c>
      <c r="F220">
        <v>5593</v>
      </c>
      <c r="G220">
        <v>0</v>
      </c>
      <c r="H220" t="s">
        <v>5147</v>
      </c>
      <c r="I220">
        <v>279</v>
      </c>
      <c r="J220" t="str">
        <f>VLOOKUP(E220,DSSpieler!A:B,2,FALSE)</f>
        <v>sdhfsod</v>
      </c>
    </row>
    <row r="221" spans="1:10" x14ac:dyDescent="0.25">
      <c r="A221">
        <v>280</v>
      </c>
      <c r="B221" t="s">
        <v>30592</v>
      </c>
      <c r="C221">
        <v>490</v>
      </c>
      <c r="D221">
        <v>512</v>
      </c>
      <c r="E221">
        <v>1577182414</v>
      </c>
      <c r="F221">
        <v>2577</v>
      </c>
      <c r="G221">
        <v>0</v>
      </c>
      <c r="H221" t="s">
        <v>5148</v>
      </c>
      <c r="I221">
        <v>280</v>
      </c>
      <c r="J221" t="str">
        <f>VLOOKUP(E221,DSSpieler!A:B,2,FALSE)</f>
        <v>BigG96</v>
      </c>
    </row>
    <row r="222" spans="1:10" x14ac:dyDescent="0.25">
      <c r="A222">
        <v>281</v>
      </c>
      <c r="B222" t="s">
        <v>30593</v>
      </c>
      <c r="C222">
        <v>521</v>
      </c>
      <c r="D222">
        <v>400</v>
      </c>
      <c r="E222">
        <v>10025388</v>
      </c>
      <c r="F222">
        <v>6373</v>
      </c>
      <c r="G222">
        <v>0</v>
      </c>
      <c r="H222" t="s">
        <v>5149</v>
      </c>
      <c r="I222">
        <v>281</v>
      </c>
      <c r="J222" t="str">
        <f>VLOOKUP(E222,DSSpieler!A:B,2,FALSE)</f>
        <v>Templaarr</v>
      </c>
    </row>
    <row r="223" spans="1:10" x14ac:dyDescent="0.25">
      <c r="A223">
        <v>282</v>
      </c>
      <c r="B223" t="s">
        <v>30594</v>
      </c>
      <c r="C223">
        <v>489</v>
      </c>
      <c r="D223">
        <v>523</v>
      </c>
      <c r="E223">
        <v>2495798</v>
      </c>
      <c r="F223">
        <v>488</v>
      </c>
      <c r="G223">
        <v>0</v>
      </c>
      <c r="H223" t="s">
        <v>5150</v>
      </c>
      <c r="I223">
        <v>282</v>
      </c>
      <c r="J223" t="str">
        <f>VLOOKUP(E223,DSSpieler!A:B,2,FALSE)</f>
        <v>slater107</v>
      </c>
    </row>
    <row r="224" spans="1:10" x14ac:dyDescent="0.25">
      <c r="A224">
        <v>283</v>
      </c>
      <c r="B224" t="s">
        <v>30595</v>
      </c>
      <c r="C224">
        <v>490</v>
      </c>
      <c r="D224">
        <v>519</v>
      </c>
      <c r="E224">
        <v>1577182414</v>
      </c>
      <c r="F224">
        <v>4068</v>
      </c>
      <c r="G224">
        <v>0</v>
      </c>
      <c r="H224" t="s">
        <v>5151</v>
      </c>
      <c r="I224">
        <v>283</v>
      </c>
      <c r="J224" t="str">
        <f>VLOOKUP(E224,DSSpieler!A:B,2,FALSE)</f>
        <v>BigG96</v>
      </c>
    </row>
    <row r="225" spans="1:10" x14ac:dyDescent="0.25">
      <c r="A225">
        <v>284</v>
      </c>
      <c r="B225" t="s">
        <v>30596</v>
      </c>
      <c r="C225">
        <v>505</v>
      </c>
      <c r="D225">
        <v>397</v>
      </c>
      <c r="E225">
        <v>1576186677</v>
      </c>
      <c r="F225">
        <v>5289</v>
      </c>
      <c r="G225">
        <v>0</v>
      </c>
      <c r="H225" t="s">
        <v>5152</v>
      </c>
      <c r="I225">
        <v>284</v>
      </c>
      <c r="J225" t="str">
        <f>VLOOKUP(E225,DSSpieler!A:B,2,FALSE)</f>
        <v>kingdonaldi</v>
      </c>
    </row>
    <row r="226" spans="1:10" x14ac:dyDescent="0.25">
      <c r="A226">
        <v>285</v>
      </c>
      <c r="B226" t="s">
        <v>572</v>
      </c>
      <c r="C226">
        <v>505</v>
      </c>
      <c r="D226">
        <v>405</v>
      </c>
      <c r="E226">
        <v>1577185803</v>
      </c>
      <c r="F226">
        <v>5092</v>
      </c>
      <c r="G226">
        <v>0</v>
      </c>
      <c r="H226" t="s">
        <v>5153</v>
      </c>
      <c r="I226">
        <v>285</v>
      </c>
      <c r="J226" t="str">
        <f>VLOOKUP(E226,DSSpieler!A:B,2,FALSE)</f>
        <v>Crysis.PEX</v>
      </c>
    </row>
    <row r="227" spans="1:10" x14ac:dyDescent="0.25">
      <c r="A227">
        <v>286</v>
      </c>
      <c r="B227" t="s">
        <v>30597</v>
      </c>
      <c r="C227">
        <v>507</v>
      </c>
      <c r="D227">
        <v>398</v>
      </c>
      <c r="E227">
        <v>8191213</v>
      </c>
      <c r="F227">
        <v>7076</v>
      </c>
      <c r="G227">
        <v>0</v>
      </c>
      <c r="H227" t="s">
        <v>5154</v>
      </c>
      <c r="I227">
        <v>286</v>
      </c>
      <c r="J227" t="str">
        <f>VLOOKUP(E227,DSSpieler!A:B,2,FALSE)</f>
        <v>Meriva</v>
      </c>
    </row>
    <row r="228" spans="1:10" x14ac:dyDescent="0.25">
      <c r="A228">
        <v>287</v>
      </c>
      <c r="B228" t="s">
        <v>30598</v>
      </c>
      <c r="C228">
        <v>505</v>
      </c>
      <c r="D228">
        <v>390</v>
      </c>
      <c r="E228">
        <v>1577196536</v>
      </c>
      <c r="F228">
        <v>5754</v>
      </c>
      <c r="G228">
        <v>0</v>
      </c>
      <c r="H228" t="s">
        <v>5155</v>
      </c>
      <c r="I228">
        <v>287</v>
      </c>
      <c r="J228" t="str">
        <f>VLOOKUP(E228,DSSpieler!A:B,2,FALSE)</f>
        <v>TrQ Deqoutee</v>
      </c>
    </row>
    <row r="229" spans="1:10" x14ac:dyDescent="0.25">
      <c r="A229">
        <v>288</v>
      </c>
      <c r="B229" t="s">
        <v>30599</v>
      </c>
      <c r="C229">
        <v>495</v>
      </c>
      <c r="D229">
        <v>392</v>
      </c>
      <c r="E229">
        <v>1577162365</v>
      </c>
      <c r="F229">
        <v>4681</v>
      </c>
      <c r="G229">
        <v>0</v>
      </c>
      <c r="H229" t="s">
        <v>5156</v>
      </c>
      <c r="I229">
        <v>288</v>
      </c>
      <c r="J229" t="str">
        <f>VLOOKUP(E229,DSSpieler!A:B,2,FALSE)</f>
        <v>snakem</v>
      </c>
    </row>
    <row r="230" spans="1:10" x14ac:dyDescent="0.25">
      <c r="A230">
        <v>289</v>
      </c>
      <c r="B230" t="s">
        <v>573</v>
      </c>
      <c r="C230">
        <v>505</v>
      </c>
      <c r="D230">
        <v>393</v>
      </c>
      <c r="E230">
        <v>1576974363</v>
      </c>
      <c r="F230">
        <v>4977</v>
      </c>
      <c r="G230">
        <v>0</v>
      </c>
      <c r="H230" t="s">
        <v>5157</v>
      </c>
      <c r="I230">
        <v>289</v>
      </c>
      <c r="J230" t="str">
        <f>VLOOKUP(E230,DSSpieler!A:B,2,FALSE)</f>
        <v>bernii2806</v>
      </c>
    </row>
    <row r="231" spans="1:10" x14ac:dyDescent="0.25">
      <c r="A231">
        <v>290</v>
      </c>
      <c r="B231" t="s">
        <v>574</v>
      </c>
      <c r="C231">
        <v>512</v>
      </c>
      <c r="D231">
        <v>390</v>
      </c>
      <c r="E231">
        <v>1577062800</v>
      </c>
      <c r="F231">
        <v>7207</v>
      </c>
      <c r="G231">
        <v>0</v>
      </c>
      <c r="H231" t="s">
        <v>5158</v>
      </c>
      <c r="I231">
        <v>290</v>
      </c>
      <c r="J231" t="str">
        <f>VLOOKUP(E231,DSSpieler!A:B,2,FALSE)</f>
        <v>Jorlen</v>
      </c>
    </row>
    <row r="232" spans="1:10" x14ac:dyDescent="0.25">
      <c r="A232">
        <v>291</v>
      </c>
      <c r="B232" t="s">
        <v>575</v>
      </c>
      <c r="C232">
        <v>514</v>
      </c>
      <c r="D232">
        <v>393</v>
      </c>
      <c r="E232">
        <v>1577094527</v>
      </c>
      <c r="F232">
        <v>6011</v>
      </c>
      <c r="G232">
        <v>0</v>
      </c>
      <c r="H232" t="s">
        <v>5159</v>
      </c>
      <c r="I232">
        <v>291</v>
      </c>
      <c r="J232" t="str">
        <f>VLOOKUP(E232,DSSpieler!A:B,2,FALSE)</f>
        <v>Albozz</v>
      </c>
    </row>
    <row r="233" spans="1:10" x14ac:dyDescent="0.25">
      <c r="A233">
        <v>292</v>
      </c>
      <c r="B233" t="s">
        <v>30600</v>
      </c>
      <c r="C233">
        <v>515</v>
      </c>
      <c r="D233">
        <v>394</v>
      </c>
      <c r="E233">
        <v>1577134032</v>
      </c>
      <c r="F233">
        <v>5374</v>
      </c>
      <c r="G233">
        <v>0</v>
      </c>
      <c r="H233" t="s">
        <v>5160</v>
      </c>
      <c r="I233">
        <v>292</v>
      </c>
      <c r="J233" t="str">
        <f>VLOOKUP(E233,DSSpieler!A:B,2,FALSE)</f>
        <v>Chroneston</v>
      </c>
    </row>
    <row r="234" spans="1:10" x14ac:dyDescent="0.25">
      <c r="A234">
        <v>293</v>
      </c>
      <c r="B234" t="s">
        <v>531</v>
      </c>
      <c r="C234">
        <v>506</v>
      </c>
      <c r="D234">
        <v>394</v>
      </c>
      <c r="E234">
        <v>0</v>
      </c>
      <c r="F234">
        <v>950</v>
      </c>
      <c r="G234">
        <v>0</v>
      </c>
      <c r="H234" t="s">
        <v>5161</v>
      </c>
      <c r="I234">
        <v>293</v>
      </c>
      <c r="J234" t="e">
        <f>VLOOKUP(E234,DSSpieler!A:B,2,FALSE)</f>
        <v>#N/A</v>
      </c>
    </row>
    <row r="235" spans="1:10" x14ac:dyDescent="0.25">
      <c r="A235">
        <v>294</v>
      </c>
      <c r="B235" t="s">
        <v>30601</v>
      </c>
      <c r="C235">
        <v>479</v>
      </c>
      <c r="D235">
        <v>518</v>
      </c>
      <c r="E235">
        <v>1576950873</v>
      </c>
      <c r="F235">
        <v>3810</v>
      </c>
      <c r="G235">
        <v>0</v>
      </c>
      <c r="H235" t="s">
        <v>5162</v>
      </c>
      <c r="I235">
        <v>294</v>
      </c>
      <c r="J235" t="str">
        <f>VLOOKUP(E235,DSSpieler!A:B,2,FALSE)</f>
        <v>Rotzen bald dein Dorf</v>
      </c>
    </row>
    <row r="236" spans="1:10" x14ac:dyDescent="0.25">
      <c r="A236">
        <v>295</v>
      </c>
      <c r="B236" t="s">
        <v>30602</v>
      </c>
      <c r="C236">
        <v>513</v>
      </c>
      <c r="D236">
        <v>390</v>
      </c>
      <c r="E236">
        <v>1577139181</v>
      </c>
      <c r="F236">
        <v>7788</v>
      </c>
      <c r="G236">
        <v>0</v>
      </c>
      <c r="H236" t="s">
        <v>5163</v>
      </c>
      <c r="I236">
        <v>295</v>
      </c>
      <c r="J236" t="str">
        <f>VLOOKUP(E236,DSSpieler!A:B,2,FALSE)</f>
        <v>Sniper-Soldier</v>
      </c>
    </row>
    <row r="237" spans="1:10" x14ac:dyDescent="0.25">
      <c r="A237">
        <v>296</v>
      </c>
      <c r="B237" t="s">
        <v>30603</v>
      </c>
      <c r="C237">
        <v>509</v>
      </c>
      <c r="D237">
        <v>394</v>
      </c>
      <c r="E237">
        <v>1577018397</v>
      </c>
      <c r="F237">
        <v>4593</v>
      </c>
      <c r="G237">
        <v>0</v>
      </c>
      <c r="H237" t="s">
        <v>5164</v>
      </c>
      <c r="I237">
        <v>296</v>
      </c>
      <c r="J237" t="str">
        <f>VLOOKUP(E237,DSSpieler!A:B,2,FALSE)</f>
        <v>Royale22000</v>
      </c>
    </row>
    <row r="238" spans="1:10" x14ac:dyDescent="0.25">
      <c r="A238">
        <v>297</v>
      </c>
      <c r="B238" t="s">
        <v>531</v>
      </c>
      <c r="C238">
        <v>541</v>
      </c>
      <c r="D238">
        <v>443</v>
      </c>
      <c r="E238">
        <v>0</v>
      </c>
      <c r="F238">
        <v>292</v>
      </c>
      <c r="G238">
        <v>0</v>
      </c>
      <c r="H238" t="s">
        <v>5165</v>
      </c>
      <c r="I238">
        <v>297</v>
      </c>
      <c r="J238" t="e">
        <f>VLOOKUP(E238,DSSpieler!A:B,2,FALSE)</f>
        <v>#N/A</v>
      </c>
    </row>
    <row r="239" spans="1:10" x14ac:dyDescent="0.25">
      <c r="A239">
        <v>298</v>
      </c>
      <c r="B239" t="s">
        <v>30604</v>
      </c>
      <c r="C239">
        <v>497</v>
      </c>
      <c r="D239">
        <v>391</v>
      </c>
      <c r="E239">
        <v>1577162365</v>
      </c>
      <c r="F239">
        <v>7020</v>
      </c>
      <c r="G239">
        <v>0</v>
      </c>
      <c r="H239" t="s">
        <v>5166</v>
      </c>
      <c r="I239">
        <v>298</v>
      </c>
      <c r="J239" t="str">
        <f>VLOOKUP(E239,DSSpieler!A:B,2,FALSE)</f>
        <v>snakem</v>
      </c>
    </row>
    <row r="240" spans="1:10" x14ac:dyDescent="0.25">
      <c r="A240">
        <v>299</v>
      </c>
      <c r="B240" t="s">
        <v>30605</v>
      </c>
      <c r="C240">
        <v>516</v>
      </c>
      <c r="D240">
        <v>390</v>
      </c>
      <c r="E240">
        <v>1577167211</v>
      </c>
      <c r="F240">
        <v>5817</v>
      </c>
      <c r="G240">
        <v>0</v>
      </c>
      <c r="H240" t="s">
        <v>5167</v>
      </c>
      <c r="I240">
        <v>299</v>
      </c>
      <c r="J240" t="str">
        <f>VLOOKUP(E240,DSSpieler!A:B,2,FALSE)</f>
        <v>Litke der große</v>
      </c>
    </row>
    <row r="241" spans="1:10" x14ac:dyDescent="0.25">
      <c r="A241">
        <v>300</v>
      </c>
      <c r="B241" t="s">
        <v>576</v>
      </c>
      <c r="C241">
        <v>519</v>
      </c>
      <c r="D241">
        <v>394</v>
      </c>
      <c r="E241">
        <v>1577167605</v>
      </c>
      <c r="F241">
        <v>5540</v>
      </c>
      <c r="G241">
        <v>0</v>
      </c>
      <c r="H241" t="s">
        <v>5168</v>
      </c>
      <c r="I241">
        <v>300</v>
      </c>
      <c r="J241" t="str">
        <f>VLOOKUP(E241,DSSpieler!A:B,2,FALSE)</f>
        <v>Rambo1289</v>
      </c>
    </row>
    <row r="242" spans="1:10" x14ac:dyDescent="0.25">
      <c r="A242">
        <v>301</v>
      </c>
      <c r="B242" t="s">
        <v>577</v>
      </c>
      <c r="C242">
        <v>510</v>
      </c>
      <c r="D242">
        <v>396</v>
      </c>
      <c r="E242">
        <v>1577168464</v>
      </c>
      <c r="F242">
        <v>6399</v>
      </c>
      <c r="G242">
        <v>0</v>
      </c>
      <c r="H242" t="s">
        <v>5169</v>
      </c>
      <c r="I242">
        <v>301</v>
      </c>
      <c r="J242" t="str">
        <f>VLOOKUP(E242,DSSpieler!A:B,2,FALSE)</f>
        <v>Salapura85</v>
      </c>
    </row>
    <row r="243" spans="1:10" x14ac:dyDescent="0.25">
      <c r="A243">
        <v>302</v>
      </c>
      <c r="B243" t="s">
        <v>30606</v>
      </c>
      <c r="C243">
        <v>508</v>
      </c>
      <c r="D243">
        <v>400</v>
      </c>
      <c r="E243">
        <v>1577194987</v>
      </c>
      <c r="F243">
        <v>7548</v>
      </c>
      <c r="G243">
        <v>0</v>
      </c>
      <c r="H243" t="s">
        <v>5170</v>
      </c>
      <c r="I243">
        <v>302</v>
      </c>
      <c r="J243" t="str">
        <f>VLOOKUP(E243,DSSpieler!A:B,2,FALSE)</f>
        <v>Monkey-D.-Ruffy</v>
      </c>
    </row>
    <row r="244" spans="1:10" x14ac:dyDescent="0.25">
      <c r="A244">
        <v>303</v>
      </c>
      <c r="B244" t="s">
        <v>30607</v>
      </c>
      <c r="C244">
        <v>512</v>
      </c>
      <c r="D244">
        <v>391</v>
      </c>
      <c r="E244">
        <v>1577171788</v>
      </c>
      <c r="F244">
        <v>6907</v>
      </c>
      <c r="G244">
        <v>0</v>
      </c>
      <c r="H244" t="s">
        <v>5171</v>
      </c>
      <c r="I244">
        <v>303</v>
      </c>
      <c r="J244" t="str">
        <f>VLOOKUP(E244,DSSpieler!A:B,2,FALSE)</f>
        <v>DrugsAreBad</v>
      </c>
    </row>
    <row r="245" spans="1:10" x14ac:dyDescent="0.25">
      <c r="A245">
        <v>304</v>
      </c>
      <c r="B245" t="s">
        <v>578</v>
      </c>
      <c r="C245">
        <v>513</v>
      </c>
      <c r="D245">
        <v>389</v>
      </c>
      <c r="E245">
        <v>1577172437</v>
      </c>
      <c r="F245">
        <v>7021</v>
      </c>
      <c r="G245">
        <v>0</v>
      </c>
      <c r="H245" t="s">
        <v>5172</v>
      </c>
      <c r="I245">
        <v>304</v>
      </c>
      <c r="J245" t="str">
        <f>VLOOKUP(E245,DSSpieler!A:B,2,FALSE)</f>
        <v>legolaslu</v>
      </c>
    </row>
    <row r="246" spans="1:10" x14ac:dyDescent="0.25">
      <c r="A246">
        <v>305</v>
      </c>
      <c r="B246" t="s">
        <v>579</v>
      </c>
      <c r="C246">
        <v>509</v>
      </c>
      <c r="D246">
        <v>393</v>
      </c>
      <c r="E246">
        <v>1577174273</v>
      </c>
      <c r="F246">
        <v>4755</v>
      </c>
      <c r="G246">
        <v>0</v>
      </c>
      <c r="H246" t="s">
        <v>5173</v>
      </c>
      <c r="I246">
        <v>305</v>
      </c>
      <c r="J246" t="str">
        <f>VLOOKUP(E246,DSSpieler!A:B,2,FALSE)</f>
        <v>tom777</v>
      </c>
    </row>
    <row r="247" spans="1:10" x14ac:dyDescent="0.25">
      <c r="A247">
        <v>306</v>
      </c>
      <c r="B247" t="s">
        <v>580</v>
      </c>
      <c r="C247">
        <v>511</v>
      </c>
      <c r="D247">
        <v>404</v>
      </c>
      <c r="E247">
        <v>257652</v>
      </c>
      <c r="F247">
        <v>4973</v>
      </c>
      <c r="G247">
        <v>0</v>
      </c>
      <c r="H247" t="s">
        <v>5174</v>
      </c>
      <c r="I247">
        <v>306</v>
      </c>
      <c r="J247" t="str">
        <f>VLOOKUP(E247,DSSpieler!A:B,2,FALSE)</f>
        <v>mpeG</v>
      </c>
    </row>
    <row r="248" spans="1:10" x14ac:dyDescent="0.25">
      <c r="A248">
        <v>307</v>
      </c>
      <c r="B248" t="s">
        <v>30608</v>
      </c>
      <c r="C248">
        <v>512</v>
      </c>
      <c r="D248">
        <v>393</v>
      </c>
      <c r="E248">
        <v>1577139181</v>
      </c>
      <c r="F248">
        <v>7358</v>
      </c>
      <c r="G248">
        <v>0</v>
      </c>
      <c r="H248" t="s">
        <v>5175</v>
      </c>
      <c r="I248">
        <v>307</v>
      </c>
      <c r="J248" t="str">
        <f>VLOOKUP(E248,DSSpieler!A:B,2,FALSE)</f>
        <v>Sniper-Soldier</v>
      </c>
    </row>
    <row r="249" spans="1:10" x14ac:dyDescent="0.25">
      <c r="A249">
        <v>308</v>
      </c>
      <c r="B249" t="e">
        <f>-1-+DaPidropolis</f>
        <v>#NAME?</v>
      </c>
      <c r="C249">
        <v>517</v>
      </c>
      <c r="D249">
        <v>395</v>
      </c>
      <c r="E249">
        <v>1577189209</v>
      </c>
      <c r="F249">
        <v>5553</v>
      </c>
      <c r="G249">
        <v>0</v>
      </c>
      <c r="H249" t="s">
        <v>5176</v>
      </c>
      <c r="I249">
        <v>308</v>
      </c>
      <c r="J249" t="str">
        <f>VLOOKUP(E249,DSSpieler!A:B,2,FALSE)</f>
        <v>DaPidi</v>
      </c>
    </row>
    <row r="250" spans="1:10" x14ac:dyDescent="0.25">
      <c r="A250">
        <v>309</v>
      </c>
      <c r="B250" t="s">
        <v>581</v>
      </c>
      <c r="C250">
        <v>513</v>
      </c>
      <c r="D250">
        <v>402</v>
      </c>
      <c r="E250">
        <v>1577192211</v>
      </c>
      <c r="F250">
        <v>7450</v>
      </c>
      <c r="G250">
        <v>0</v>
      </c>
      <c r="H250" t="s">
        <v>5177</v>
      </c>
      <c r="I250">
        <v>309</v>
      </c>
      <c r="J250" t="str">
        <f>VLOOKUP(E250,DSSpieler!A:B,2,FALSE)</f>
        <v>xsavic</v>
      </c>
    </row>
    <row r="251" spans="1:10" x14ac:dyDescent="0.25">
      <c r="A251">
        <v>310</v>
      </c>
      <c r="B251" t="s">
        <v>531</v>
      </c>
      <c r="C251">
        <v>524</v>
      </c>
      <c r="D251">
        <v>428</v>
      </c>
      <c r="E251">
        <v>0</v>
      </c>
      <c r="F251">
        <v>325</v>
      </c>
      <c r="G251">
        <v>0</v>
      </c>
      <c r="H251" t="s">
        <v>5178</v>
      </c>
      <c r="I251">
        <v>310</v>
      </c>
      <c r="J251" t="e">
        <f>VLOOKUP(E251,DSSpieler!A:B,2,FALSE)</f>
        <v>#N/A</v>
      </c>
    </row>
    <row r="252" spans="1:10" x14ac:dyDescent="0.25">
      <c r="A252">
        <v>311</v>
      </c>
      <c r="B252" t="s">
        <v>30609</v>
      </c>
      <c r="C252">
        <v>512</v>
      </c>
      <c r="D252">
        <v>396</v>
      </c>
      <c r="E252">
        <v>1577194987</v>
      </c>
      <c r="F252">
        <v>8398</v>
      </c>
      <c r="G252">
        <v>0</v>
      </c>
      <c r="H252" t="s">
        <v>5179</v>
      </c>
      <c r="I252">
        <v>311</v>
      </c>
      <c r="J252" t="str">
        <f>VLOOKUP(E252,DSSpieler!A:B,2,FALSE)</f>
        <v>Monkey-D.-Ruffy</v>
      </c>
    </row>
    <row r="253" spans="1:10" x14ac:dyDescent="0.25">
      <c r="A253">
        <v>312</v>
      </c>
      <c r="B253" t="s">
        <v>30610</v>
      </c>
      <c r="C253">
        <v>511</v>
      </c>
      <c r="D253">
        <v>394</v>
      </c>
      <c r="E253">
        <v>1577195319</v>
      </c>
      <c r="F253">
        <v>7546</v>
      </c>
      <c r="G253">
        <v>0</v>
      </c>
      <c r="H253" t="s">
        <v>5180</v>
      </c>
      <c r="I253">
        <v>312</v>
      </c>
      <c r="J253" t="str">
        <f>VLOOKUP(E253,DSSpieler!A:B,2,FALSE)</f>
        <v>killjumper</v>
      </c>
    </row>
    <row r="254" spans="1:10" x14ac:dyDescent="0.25">
      <c r="A254">
        <v>313</v>
      </c>
      <c r="B254" t="s">
        <v>582</v>
      </c>
      <c r="C254">
        <v>508</v>
      </c>
      <c r="D254">
        <v>389</v>
      </c>
      <c r="E254">
        <v>1577195488</v>
      </c>
      <c r="F254">
        <v>6215</v>
      </c>
      <c r="G254">
        <v>0</v>
      </c>
      <c r="H254" t="s">
        <v>5181</v>
      </c>
      <c r="I254">
        <v>313</v>
      </c>
      <c r="J254" t="str">
        <f>VLOOKUP(E254,DSSpieler!A:B,2,FALSE)</f>
        <v>Ittai</v>
      </c>
    </row>
    <row r="255" spans="1:10" x14ac:dyDescent="0.25">
      <c r="A255">
        <v>314</v>
      </c>
      <c r="B255" t="s">
        <v>531</v>
      </c>
      <c r="C255">
        <v>454</v>
      </c>
      <c r="D255">
        <v>472</v>
      </c>
      <c r="E255">
        <v>0</v>
      </c>
      <c r="F255">
        <v>370</v>
      </c>
      <c r="G255">
        <v>0</v>
      </c>
      <c r="H255" t="s">
        <v>5182</v>
      </c>
      <c r="I255">
        <v>314</v>
      </c>
      <c r="J255" t="e">
        <f>VLOOKUP(E255,DSSpieler!A:B,2,FALSE)</f>
        <v>#N/A</v>
      </c>
    </row>
    <row r="256" spans="1:10" x14ac:dyDescent="0.25">
      <c r="A256">
        <v>315</v>
      </c>
      <c r="B256" t="s">
        <v>30611</v>
      </c>
      <c r="C256">
        <v>456</v>
      </c>
      <c r="D256">
        <v>580</v>
      </c>
      <c r="E256">
        <v>9460687</v>
      </c>
      <c r="F256">
        <v>6844</v>
      </c>
      <c r="G256">
        <v>0</v>
      </c>
      <c r="H256" t="s">
        <v>5183</v>
      </c>
      <c r="I256">
        <v>315</v>
      </c>
      <c r="J256" t="str">
        <f>VLOOKUP(E256,DSSpieler!A:B,2,FALSE)</f>
        <v>MunichCowboy</v>
      </c>
    </row>
    <row r="257" spans="1:10" x14ac:dyDescent="0.25">
      <c r="A257">
        <v>316</v>
      </c>
      <c r="B257" t="s">
        <v>30612</v>
      </c>
      <c r="C257">
        <v>534</v>
      </c>
      <c r="D257">
        <v>398</v>
      </c>
      <c r="E257">
        <v>9570059</v>
      </c>
      <c r="F257">
        <v>4795</v>
      </c>
      <c r="G257">
        <v>0</v>
      </c>
      <c r="H257" t="s">
        <v>5184</v>
      </c>
      <c r="I257">
        <v>316</v>
      </c>
      <c r="J257" t="str">
        <f>VLOOKUP(E257,DSSpieler!A:B,2,FALSE)</f>
        <v>KillWatti</v>
      </c>
    </row>
    <row r="258" spans="1:10" x14ac:dyDescent="0.25">
      <c r="A258">
        <v>317</v>
      </c>
      <c r="B258" t="s">
        <v>30613</v>
      </c>
      <c r="C258">
        <v>532</v>
      </c>
      <c r="D258">
        <v>415</v>
      </c>
      <c r="E258">
        <v>9616994</v>
      </c>
      <c r="F258">
        <v>6386</v>
      </c>
      <c r="G258">
        <v>0</v>
      </c>
      <c r="H258" t="s">
        <v>5185</v>
      </c>
      <c r="I258">
        <v>317</v>
      </c>
      <c r="J258" t="str">
        <f>VLOOKUP(E258,DSSpieler!A:B,2,FALSE)</f>
        <v>Boss Nike von Burgwalde</v>
      </c>
    </row>
    <row r="259" spans="1:10" x14ac:dyDescent="0.25">
      <c r="A259">
        <v>318</v>
      </c>
      <c r="B259" t="s">
        <v>30614</v>
      </c>
      <c r="C259">
        <v>533</v>
      </c>
      <c r="D259">
        <v>403</v>
      </c>
      <c r="E259">
        <v>1577035634</v>
      </c>
      <c r="F259">
        <v>6029</v>
      </c>
      <c r="G259">
        <v>0</v>
      </c>
      <c r="H259" t="s">
        <v>5186</v>
      </c>
      <c r="I259">
        <v>318</v>
      </c>
      <c r="J259" t="str">
        <f>VLOOKUP(E259,DSSpieler!A:B,2,FALSE)</f>
        <v>my1234</v>
      </c>
    </row>
    <row r="260" spans="1:10" x14ac:dyDescent="0.25">
      <c r="A260">
        <v>319</v>
      </c>
      <c r="B260">
        <v>2</v>
      </c>
      <c r="C260">
        <v>473</v>
      </c>
      <c r="D260">
        <v>589</v>
      </c>
      <c r="E260">
        <v>8392517</v>
      </c>
      <c r="F260">
        <v>5548</v>
      </c>
      <c r="G260">
        <v>0</v>
      </c>
      <c r="H260" t="s">
        <v>5187</v>
      </c>
      <c r="I260">
        <v>319</v>
      </c>
      <c r="J260" t="str">
        <f>VLOOKUP(E260,DSSpieler!A:B,2,FALSE)</f>
        <v>JayX</v>
      </c>
    </row>
    <row r="261" spans="1:10" x14ac:dyDescent="0.25">
      <c r="A261">
        <v>320</v>
      </c>
      <c r="B261" t="s">
        <v>30615</v>
      </c>
      <c r="C261">
        <v>557</v>
      </c>
      <c r="D261">
        <v>410</v>
      </c>
      <c r="E261">
        <v>8505169</v>
      </c>
      <c r="F261">
        <v>5838</v>
      </c>
      <c r="G261">
        <v>0</v>
      </c>
      <c r="H261" t="s">
        <v>5188</v>
      </c>
      <c r="I261">
        <v>320</v>
      </c>
      <c r="J261" t="str">
        <f>VLOOKUP(E261,DSSpieler!A:B,2,FALSE)</f>
        <v>Platinum74</v>
      </c>
    </row>
    <row r="262" spans="1:10" x14ac:dyDescent="0.25">
      <c r="A262">
        <v>321</v>
      </c>
      <c r="B262" t="s">
        <v>30616</v>
      </c>
      <c r="C262">
        <v>523</v>
      </c>
      <c r="D262">
        <v>401</v>
      </c>
      <c r="E262">
        <v>1577156051</v>
      </c>
      <c r="F262">
        <v>4857</v>
      </c>
      <c r="G262">
        <v>0</v>
      </c>
      <c r="H262" t="s">
        <v>5189</v>
      </c>
      <c r="I262">
        <v>321</v>
      </c>
      <c r="J262" t="str">
        <f>VLOOKUP(E262,DSSpieler!A:B,2,FALSE)</f>
        <v>schmausi</v>
      </c>
    </row>
    <row r="263" spans="1:10" x14ac:dyDescent="0.25">
      <c r="A263">
        <v>322</v>
      </c>
      <c r="B263" t="s">
        <v>531</v>
      </c>
      <c r="C263">
        <v>564</v>
      </c>
      <c r="D263">
        <v>498</v>
      </c>
      <c r="E263">
        <v>0</v>
      </c>
      <c r="F263">
        <v>328</v>
      </c>
      <c r="G263">
        <v>0</v>
      </c>
      <c r="H263" t="s">
        <v>5190</v>
      </c>
      <c r="I263">
        <v>322</v>
      </c>
      <c r="J263" t="e">
        <f>VLOOKUP(E263,DSSpieler!A:B,2,FALSE)</f>
        <v>#N/A</v>
      </c>
    </row>
    <row r="264" spans="1:10" x14ac:dyDescent="0.25">
      <c r="A264">
        <v>323</v>
      </c>
      <c r="B264" t="s">
        <v>30617</v>
      </c>
      <c r="C264">
        <v>533</v>
      </c>
      <c r="D264">
        <v>408</v>
      </c>
      <c r="E264">
        <v>9043799</v>
      </c>
      <c r="F264">
        <v>5681</v>
      </c>
      <c r="G264">
        <v>0</v>
      </c>
      <c r="H264" t="s">
        <v>5191</v>
      </c>
      <c r="I264">
        <v>323</v>
      </c>
      <c r="J264" t="str">
        <f>VLOOKUP(E264,DSSpieler!A:B,2,FALSE)</f>
        <v>ISSC</v>
      </c>
    </row>
    <row r="265" spans="1:10" x14ac:dyDescent="0.25">
      <c r="A265">
        <v>324</v>
      </c>
      <c r="B265" t="s">
        <v>583</v>
      </c>
      <c r="C265">
        <v>528</v>
      </c>
      <c r="D265">
        <v>415</v>
      </c>
      <c r="E265">
        <v>1577051452</v>
      </c>
      <c r="F265">
        <v>5123</v>
      </c>
      <c r="G265">
        <v>0</v>
      </c>
      <c r="H265" t="s">
        <v>5192</v>
      </c>
      <c r="I265">
        <v>324</v>
      </c>
      <c r="J265" t="str">
        <f>VLOOKUP(E265,DSSpieler!A:B,2,FALSE)</f>
        <v>krie</v>
      </c>
    </row>
    <row r="266" spans="1:10" x14ac:dyDescent="0.25">
      <c r="A266">
        <v>325</v>
      </c>
      <c r="B266" t="s">
        <v>30618</v>
      </c>
      <c r="C266">
        <v>532</v>
      </c>
      <c r="D266">
        <v>417</v>
      </c>
      <c r="E266">
        <v>9616994</v>
      </c>
      <c r="F266">
        <v>5759</v>
      </c>
      <c r="G266">
        <v>0</v>
      </c>
      <c r="H266" t="s">
        <v>5193</v>
      </c>
      <c r="I266">
        <v>325</v>
      </c>
      <c r="J266" t="str">
        <f>VLOOKUP(E266,DSSpieler!A:B,2,FALSE)</f>
        <v>Boss Nike von Burgwalde</v>
      </c>
    </row>
    <row r="267" spans="1:10" x14ac:dyDescent="0.25">
      <c r="A267">
        <v>326</v>
      </c>
      <c r="B267" t="s">
        <v>584</v>
      </c>
      <c r="C267">
        <v>527</v>
      </c>
      <c r="D267">
        <v>408</v>
      </c>
      <c r="E267">
        <v>1577148073</v>
      </c>
      <c r="F267">
        <v>6189</v>
      </c>
      <c r="G267">
        <v>0</v>
      </c>
      <c r="H267" t="s">
        <v>5194</v>
      </c>
      <c r="I267">
        <v>326</v>
      </c>
      <c r="J267" t="str">
        <f>VLOOKUP(E267,DSSpieler!A:B,2,FALSE)</f>
        <v>Karlsen</v>
      </c>
    </row>
    <row r="268" spans="1:10" x14ac:dyDescent="0.25">
      <c r="A268">
        <v>327</v>
      </c>
      <c r="B268" t="s">
        <v>585</v>
      </c>
      <c r="C268">
        <v>546</v>
      </c>
      <c r="D268">
        <v>416</v>
      </c>
      <c r="E268">
        <v>1577160510</v>
      </c>
      <c r="F268">
        <v>6164</v>
      </c>
      <c r="G268">
        <v>0</v>
      </c>
      <c r="H268" t="s">
        <v>5195</v>
      </c>
      <c r="I268">
        <v>327</v>
      </c>
      <c r="J268" t="str">
        <f>VLOOKUP(E268,DSSpieler!A:B,2,FALSE)</f>
        <v>PrinceLahey</v>
      </c>
    </row>
    <row r="269" spans="1:10" x14ac:dyDescent="0.25">
      <c r="A269">
        <v>328</v>
      </c>
      <c r="B269" t="s">
        <v>30619</v>
      </c>
      <c r="C269">
        <v>536</v>
      </c>
      <c r="D269">
        <v>412</v>
      </c>
      <c r="E269">
        <v>9043799</v>
      </c>
      <c r="F269">
        <v>5094</v>
      </c>
      <c r="G269">
        <v>0</v>
      </c>
      <c r="H269" t="s">
        <v>5196</v>
      </c>
      <c r="I269">
        <v>328</v>
      </c>
      <c r="J269" t="str">
        <f>VLOOKUP(E269,DSSpieler!A:B,2,FALSE)</f>
        <v>ISSC</v>
      </c>
    </row>
    <row r="270" spans="1:10" x14ac:dyDescent="0.25">
      <c r="A270">
        <v>329</v>
      </c>
      <c r="B270" t="s">
        <v>531</v>
      </c>
      <c r="C270">
        <v>527</v>
      </c>
      <c r="D270">
        <v>508</v>
      </c>
      <c r="E270">
        <v>0</v>
      </c>
      <c r="F270">
        <v>224</v>
      </c>
      <c r="G270">
        <v>0</v>
      </c>
      <c r="H270" t="s">
        <v>5197</v>
      </c>
      <c r="I270">
        <v>329</v>
      </c>
      <c r="J270" t="e">
        <f>VLOOKUP(E270,DSSpieler!A:B,2,FALSE)</f>
        <v>#N/A</v>
      </c>
    </row>
    <row r="271" spans="1:10" x14ac:dyDescent="0.25">
      <c r="A271">
        <v>330</v>
      </c>
      <c r="B271" t="s">
        <v>35818</v>
      </c>
      <c r="C271">
        <v>504</v>
      </c>
      <c r="D271">
        <v>511</v>
      </c>
      <c r="E271">
        <v>1577198083</v>
      </c>
      <c r="F271">
        <v>1274</v>
      </c>
      <c r="G271">
        <v>0</v>
      </c>
      <c r="H271" t="s">
        <v>5198</v>
      </c>
      <c r="I271">
        <v>330</v>
      </c>
      <c r="J271" t="str">
        <f>VLOOKUP(E271,DSSpieler!A:B,2,FALSE)</f>
        <v>10Noah10</v>
      </c>
    </row>
    <row r="272" spans="1:10" x14ac:dyDescent="0.25">
      <c r="A272">
        <v>331</v>
      </c>
      <c r="B272" t="s">
        <v>586</v>
      </c>
      <c r="C272">
        <v>500</v>
      </c>
      <c r="D272">
        <v>521</v>
      </c>
      <c r="E272">
        <v>273584</v>
      </c>
      <c r="F272">
        <v>2185</v>
      </c>
      <c r="G272">
        <v>0</v>
      </c>
      <c r="H272" t="s">
        <v>5199</v>
      </c>
      <c r="I272">
        <v>331</v>
      </c>
      <c r="J272" t="str">
        <f>VLOOKUP(E272,DSSpieler!A:B,2,FALSE)</f>
        <v>bastianot</v>
      </c>
    </row>
    <row r="273" spans="1:10" x14ac:dyDescent="0.25">
      <c r="A273">
        <v>332</v>
      </c>
      <c r="B273" t="s">
        <v>30620</v>
      </c>
      <c r="C273">
        <v>511</v>
      </c>
      <c r="D273">
        <v>517</v>
      </c>
      <c r="E273">
        <v>1577171246</v>
      </c>
      <c r="F273">
        <v>5151</v>
      </c>
      <c r="G273">
        <v>0</v>
      </c>
      <c r="H273" t="s">
        <v>5200</v>
      </c>
      <c r="I273">
        <v>332</v>
      </c>
      <c r="J273" t="str">
        <f>VLOOKUP(E273,DSSpieler!A:B,2,FALSE)</f>
        <v>BigBadWolf</v>
      </c>
    </row>
    <row r="274" spans="1:10" x14ac:dyDescent="0.25">
      <c r="A274">
        <v>333</v>
      </c>
      <c r="B274" t="s">
        <v>30621</v>
      </c>
      <c r="C274">
        <v>502</v>
      </c>
      <c r="D274">
        <v>512</v>
      </c>
      <c r="E274">
        <v>7972143</v>
      </c>
      <c r="F274">
        <v>3287</v>
      </c>
      <c r="G274">
        <v>0</v>
      </c>
      <c r="H274" t="s">
        <v>5201</v>
      </c>
      <c r="I274">
        <v>333</v>
      </c>
      <c r="J274" t="str">
        <f>VLOOKUP(E274,DSSpieler!A:B,2,FALSE)</f>
        <v>Sir Joiner</v>
      </c>
    </row>
    <row r="275" spans="1:10" x14ac:dyDescent="0.25">
      <c r="A275">
        <v>334</v>
      </c>
      <c r="B275" t="s">
        <v>30622</v>
      </c>
      <c r="C275">
        <v>506</v>
      </c>
      <c r="D275">
        <v>526</v>
      </c>
      <c r="E275">
        <v>1577192797</v>
      </c>
      <c r="F275">
        <v>4977</v>
      </c>
      <c r="G275">
        <v>0</v>
      </c>
      <c r="H275" t="s">
        <v>5202</v>
      </c>
      <c r="I275">
        <v>334</v>
      </c>
      <c r="J275" t="str">
        <f>VLOOKUP(E275,DSSpieler!A:B,2,FALSE)</f>
        <v>Screaper90</v>
      </c>
    </row>
    <row r="276" spans="1:10" x14ac:dyDescent="0.25">
      <c r="A276">
        <v>335</v>
      </c>
      <c r="B276" t="s">
        <v>587</v>
      </c>
      <c r="C276">
        <v>505</v>
      </c>
      <c r="D276">
        <v>501</v>
      </c>
      <c r="E276">
        <v>1577184269</v>
      </c>
      <c r="F276">
        <v>3319</v>
      </c>
      <c r="G276">
        <v>0</v>
      </c>
      <c r="H276" t="s">
        <v>5203</v>
      </c>
      <c r="I276">
        <v>335</v>
      </c>
      <c r="J276" t="str">
        <f>VLOOKUP(E276,DSSpieler!A:B,2,FALSE)</f>
        <v>JuckiJucki</v>
      </c>
    </row>
    <row r="277" spans="1:10" x14ac:dyDescent="0.25">
      <c r="A277">
        <v>336</v>
      </c>
      <c r="B277" t="s">
        <v>30623</v>
      </c>
      <c r="C277">
        <v>498</v>
      </c>
      <c r="D277">
        <v>521</v>
      </c>
      <c r="E277">
        <v>273584</v>
      </c>
      <c r="F277">
        <v>2778</v>
      </c>
      <c r="G277">
        <v>0</v>
      </c>
      <c r="H277" t="s">
        <v>5204</v>
      </c>
      <c r="I277">
        <v>336</v>
      </c>
      <c r="J277" t="str">
        <f>VLOOKUP(E277,DSSpieler!A:B,2,FALSE)</f>
        <v>bastianot</v>
      </c>
    </row>
    <row r="278" spans="1:10" x14ac:dyDescent="0.25">
      <c r="A278">
        <v>337</v>
      </c>
      <c r="B278" t="s">
        <v>531</v>
      </c>
      <c r="C278">
        <v>530</v>
      </c>
      <c r="D278">
        <v>548</v>
      </c>
      <c r="E278">
        <v>0</v>
      </c>
      <c r="F278">
        <v>332</v>
      </c>
      <c r="G278">
        <v>0</v>
      </c>
      <c r="H278" t="s">
        <v>5205</v>
      </c>
      <c r="I278">
        <v>337</v>
      </c>
      <c r="J278" t="e">
        <f>VLOOKUP(E278,DSSpieler!A:B,2,FALSE)</f>
        <v>#N/A</v>
      </c>
    </row>
    <row r="279" spans="1:10" x14ac:dyDescent="0.25">
      <c r="A279">
        <v>338</v>
      </c>
      <c r="B279" t="s">
        <v>30624</v>
      </c>
      <c r="C279">
        <v>419</v>
      </c>
      <c r="D279">
        <v>531</v>
      </c>
      <c r="E279">
        <v>1577180543</v>
      </c>
      <c r="F279">
        <v>4532</v>
      </c>
      <c r="G279">
        <v>0</v>
      </c>
      <c r="H279" t="s">
        <v>5206</v>
      </c>
      <c r="I279">
        <v>338</v>
      </c>
      <c r="J279" t="str">
        <f>VLOOKUP(E279,DSSpieler!A:B,2,FALSE)</f>
        <v>Stay at Home</v>
      </c>
    </row>
    <row r="280" spans="1:10" x14ac:dyDescent="0.25">
      <c r="A280">
        <v>339</v>
      </c>
      <c r="B280" t="s">
        <v>531</v>
      </c>
      <c r="C280">
        <v>538</v>
      </c>
      <c r="D280">
        <v>444</v>
      </c>
      <c r="E280">
        <v>0</v>
      </c>
      <c r="F280">
        <v>267</v>
      </c>
      <c r="G280">
        <v>0</v>
      </c>
      <c r="H280" t="s">
        <v>5207</v>
      </c>
      <c r="I280">
        <v>339</v>
      </c>
      <c r="J280" t="e">
        <f>VLOOKUP(E280,DSSpieler!A:B,2,FALSE)</f>
        <v>#N/A</v>
      </c>
    </row>
    <row r="281" spans="1:10" x14ac:dyDescent="0.25">
      <c r="A281">
        <v>340</v>
      </c>
      <c r="B281" t="s">
        <v>531</v>
      </c>
      <c r="C281">
        <v>518</v>
      </c>
      <c r="D281">
        <v>506</v>
      </c>
      <c r="E281">
        <v>0</v>
      </c>
      <c r="F281">
        <v>610</v>
      </c>
      <c r="G281">
        <v>0</v>
      </c>
      <c r="H281" t="s">
        <v>5208</v>
      </c>
      <c r="I281">
        <v>340</v>
      </c>
      <c r="J281" t="e">
        <f>VLOOKUP(E281,DSSpieler!A:B,2,FALSE)</f>
        <v>#N/A</v>
      </c>
    </row>
    <row r="282" spans="1:10" x14ac:dyDescent="0.25">
      <c r="A282">
        <v>341</v>
      </c>
      <c r="B282" t="s">
        <v>30625</v>
      </c>
      <c r="C282">
        <v>504</v>
      </c>
      <c r="D282">
        <v>520</v>
      </c>
      <c r="E282">
        <v>1230608</v>
      </c>
      <c r="F282">
        <v>433</v>
      </c>
      <c r="G282">
        <v>0</v>
      </c>
      <c r="H282" t="s">
        <v>5209</v>
      </c>
      <c r="I282">
        <v>341</v>
      </c>
      <c r="J282" t="str">
        <f>VLOOKUP(E282,DSSpieler!A:B,2,FALSE)</f>
        <v>jomag</v>
      </c>
    </row>
    <row r="283" spans="1:10" x14ac:dyDescent="0.25">
      <c r="A283">
        <v>342</v>
      </c>
      <c r="B283" t="s">
        <v>588</v>
      </c>
      <c r="C283">
        <v>493</v>
      </c>
      <c r="D283">
        <v>507</v>
      </c>
      <c r="E283">
        <v>1576860928</v>
      </c>
      <c r="F283">
        <v>2741</v>
      </c>
      <c r="G283">
        <v>0</v>
      </c>
      <c r="H283" t="s">
        <v>5210</v>
      </c>
      <c r="I283">
        <v>342</v>
      </c>
      <c r="J283" t="str">
        <f>VLOOKUP(E283,DSSpieler!A:B,2,FALSE)</f>
        <v>Widi61</v>
      </c>
    </row>
    <row r="284" spans="1:10" x14ac:dyDescent="0.25">
      <c r="A284">
        <v>343</v>
      </c>
      <c r="B284" t="s">
        <v>30626</v>
      </c>
      <c r="C284">
        <v>508</v>
      </c>
      <c r="D284">
        <v>506</v>
      </c>
      <c r="E284">
        <v>96551</v>
      </c>
      <c r="F284">
        <v>1374</v>
      </c>
      <c r="G284">
        <v>0</v>
      </c>
      <c r="H284" t="s">
        <v>5211</v>
      </c>
      <c r="I284">
        <v>343</v>
      </c>
      <c r="J284" t="str">
        <f>VLOOKUP(E284,DSSpieler!A:B,2,FALSE)</f>
        <v>Lord Bergi</v>
      </c>
    </row>
    <row r="285" spans="1:10" x14ac:dyDescent="0.25">
      <c r="A285">
        <v>344</v>
      </c>
      <c r="B285" t="s">
        <v>30627</v>
      </c>
      <c r="C285">
        <v>513</v>
      </c>
      <c r="D285">
        <v>527</v>
      </c>
      <c r="E285">
        <v>1577049253</v>
      </c>
      <c r="F285">
        <v>4406</v>
      </c>
      <c r="G285">
        <v>0</v>
      </c>
      <c r="H285" t="s">
        <v>5212</v>
      </c>
      <c r="I285">
        <v>344</v>
      </c>
      <c r="J285" t="str">
        <f>VLOOKUP(E285,DSSpieler!A:B,2,FALSE)</f>
        <v>freshfield</v>
      </c>
    </row>
    <row r="286" spans="1:10" x14ac:dyDescent="0.25">
      <c r="A286">
        <v>345</v>
      </c>
      <c r="B286" t="s">
        <v>30628</v>
      </c>
      <c r="C286">
        <v>510</v>
      </c>
      <c r="D286">
        <v>514</v>
      </c>
      <c r="E286">
        <v>1577171246</v>
      </c>
      <c r="F286">
        <v>8376</v>
      </c>
      <c r="G286">
        <v>0</v>
      </c>
      <c r="H286" t="s">
        <v>5213</v>
      </c>
      <c r="I286">
        <v>345</v>
      </c>
      <c r="J286" t="str">
        <f>VLOOKUP(E286,DSSpieler!A:B,2,FALSE)</f>
        <v>BigBadWolf</v>
      </c>
    </row>
    <row r="287" spans="1:10" x14ac:dyDescent="0.25">
      <c r="A287">
        <v>346</v>
      </c>
      <c r="B287" t="s">
        <v>30629</v>
      </c>
      <c r="C287">
        <v>503</v>
      </c>
      <c r="D287">
        <v>515</v>
      </c>
      <c r="E287">
        <v>1230608</v>
      </c>
      <c r="F287">
        <v>5593</v>
      </c>
      <c r="G287">
        <v>0</v>
      </c>
      <c r="H287" t="s">
        <v>5214</v>
      </c>
      <c r="I287">
        <v>346</v>
      </c>
      <c r="J287" t="str">
        <f>VLOOKUP(E287,DSSpieler!A:B,2,FALSE)</f>
        <v>jomag</v>
      </c>
    </row>
    <row r="288" spans="1:10" x14ac:dyDescent="0.25">
      <c r="A288">
        <v>347</v>
      </c>
      <c r="B288" t="s">
        <v>589</v>
      </c>
      <c r="C288">
        <v>513</v>
      </c>
      <c r="D288">
        <v>530</v>
      </c>
      <c r="E288">
        <v>1577197050</v>
      </c>
      <c r="F288">
        <v>4247</v>
      </c>
      <c r="G288">
        <v>0</v>
      </c>
      <c r="H288" t="s">
        <v>5215</v>
      </c>
      <c r="I288">
        <v>347</v>
      </c>
      <c r="J288" t="str">
        <f>VLOOKUP(E288,DSSpieler!A:B,2,FALSE)</f>
        <v>wrzlprzl</v>
      </c>
    </row>
    <row r="289" spans="1:10" x14ac:dyDescent="0.25">
      <c r="A289">
        <v>348</v>
      </c>
      <c r="B289" t="s">
        <v>531</v>
      </c>
      <c r="C289">
        <v>520</v>
      </c>
      <c r="D289">
        <v>498</v>
      </c>
      <c r="E289">
        <v>0</v>
      </c>
      <c r="F289">
        <v>301</v>
      </c>
      <c r="G289">
        <v>0</v>
      </c>
      <c r="H289" t="s">
        <v>5216</v>
      </c>
      <c r="I289">
        <v>348</v>
      </c>
      <c r="J289" t="e">
        <f>VLOOKUP(E289,DSSpieler!A:B,2,FALSE)</f>
        <v>#N/A</v>
      </c>
    </row>
    <row r="290" spans="1:10" x14ac:dyDescent="0.25">
      <c r="A290">
        <v>349</v>
      </c>
      <c r="B290" t="s">
        <v>590</v>
      </c>
      <c r="C290">
        <v>509</v>
      </c>
      <c r="D290">
        <v>526</v>
      </c>
      <c r="E290">
        <v>1577192755</v>
      </c>
      <c r="F290">
        <v>5231</v>
      </c>
      <c r="G290">
        <v>0</v>
      </c>
      <c r="H290" t="s">
        <v>5217</v>
      </c>
      <c r="I290">
        <v>349</v>
      </c>
      <c r="J290" t="str">
        <f>VLOOKUP(E290,DSSpieler!A:B,2,FALSE)</f>
        <v>laura1504</v>
      </c>
    </row>
    <row r="291" spans="1:10" x14ac:dyDescent="0.25">
      <c r="A291">
        <v>350</v>
      </c>
      <c r="B291" t="s">
        <v>30630</v>
      </c>
      <c r="C291">
        <v>485</v>
      </c>
      <c r="D291">
        <v>510</v>
      </c>
      <c r="E291">
        <v>1577197165</v>
      </c>
      <c r="F291">
        <v>1822</v>
      </c>
      <c r="G291">
        <v>0</v>
      </c>
      <c r="H291" t="s">
        <v>5218</v>
      </c>
      <c r="I291">
        <v>350</v>
      </c>
      <c r="J291" t="str">
        <f>VLOOKUP(E291,DSSpieler!A:B,2,FALSE)</f>
        <v>Eneee</v>
      </c>
    </row>
    <row r="292" spans="1:10" x14ac:dyDescent="0.25">
      <c r="A292">
        <v>351</v>
      </c>
      <c r="B292" t="s">
        <v>30631</v>
      </c>
      <c r="C292">
        <v>500</v>
      </c>
      <c r="D292">
        <v>520</v>
      </c>
      <c r="E292">
        <v>1577114174</v>
      </c>
      <c r="F292">
        <v>1810</v>
      </c>
      <c r="G292">
        <v>0</v>
      </c>
      <c r="H292" t="s">
        <v>5219</v>
      </c>
      <c r="I292">
        <v>351</v>
      </c>
      <c r="J292" t="str">
        <f>VLOOKUP(E292,DSSpieler!A:B,2,FALSE)</f>
        <v>Smitty Werben</v>
      </c>
    </row>
    <row r="293" spans="1:10" x14ac:dyDescent="0.25">
      <c r="A293">
        <v>352</v>
      </c>
      <c r="B293" t="s">
        <v>591</v>
      </c>
      <c r="C293">
        <v>516</v>
      </c>
      <c r="D293">
        <v>522</v>
      </c>
      <c r="E293">
        <v>1577184058</v>
      </c>
      <c r="F293">
        <v>4602</v>
      </c>
      <c r="G293">
        <v>0</v>
      </c>
      <c r="H293" t="s">
        <v>5220</v>
      </c>
      <c r="I293">
        <v>352</v>
      </c>
      <c r="J293" t="str">
        <f>VLOOKUP(E293,DSSpieler!A:B,2,FALSE)</f>
        <v>Cpt-Mike</v>
      </c>
    </row>
    <row r="294" spans="1:10" x14ac:dyDescent="0.25">
      <c r="A294">
        <v>353</v>
      </c>
      <c r="B294" t="s">
        <v>592</v>
      </c>
      <c r="C294">
        <v>509</v>
      </c>
      <c r="D294">
        <v>509</v>
      </c>
      <c r="E294">
        <v>1577131143</v>
      </c>
      <c r="F294">
        <v>2198</v>
      </c>
      <c r="G294">
        <v>0</v>
      </c>
      <c r="H294" t="s">
        <v>5221</v>
      </c>
      <c r="I294">
        <v>353</v>
      </c>
      <c r="J294" t="str">
        <f>VLOOKUP(E294,DSSpieler!A:B,2,FALSE)</f>
        <v>Timgl97</v>
      </c>
    </row>
    <row r="295" spans="1:10" x14ac:dyDescent="0.25">
      <c r="A295">
        <v>354</v>
      </c>
      <c r="B295" t="s">
        <v>30632</v>
      </c>
      <c r="C295">
        <v>507</v>
      </c>
      <c r="D295">
        <v>514</v>
      </c>
      <c r="E295">
        <v>1577004966</v>
      </c>
      <c r="F295">
        <v>3181</v>
      </c>
      <c r="G295">
        <v>0</v>
      </c>
      <c r="H295" t="s">
        <v>5222</v>
      </c>
      <c r="I295">
        <v>354</v>
      </c>
      <c r="J295" t="str">
        <f>VLOOKUP(E295,DSSpieler!A:B,2,FALSE)</f>
        <v>Heartstyler</v>
      </c>
    </row>
    <row r="296" spans="1:10" x14ac:dyDescent="0.25">
      <c r="A296">
        <v>355</v>
      </c>
      <c r="B296" t="s">
        <v>30633</v>
      </c>
      <c r="C296">
        <v>502</v>
      </c>
      <c r="D296">
        <v>497</v>
      </c>
      <c r="E296">
        <v>1576459834</v>
      </c>
      <c r="F296">
        <v>3090</v>
      </c>
      <c r="G296">
        <v>0</v>
      </c>
      <c r="H296" t="s">
        <v>5223</v>
      </c>
      <c r="I296">
        <v>355</v>
      </c>
      <c r="J296" t="str">
        <f>VLOOKUP(E296,DSSpieler!A:B,2,FALSE)</f>
        <v>coolermanyes</v>
      </c>
    </row>
    <row r="297" spans="1:10" x14ac:dyDescent="0.25">
      <c r="A297">
        <v>356</v>
      </c>
      <c r="B297" t="s">
        <v>30634</v>
      </c>
      <c r="C297">
        <v>488</v>
      </c>
      <c r="D297">
        <v>508</v>
      </c>
      <c r="E297">
        <v>1577187154</v>
      </c>
      <c r="F297">
        <v>3704</v>
      </c>
      <c r="G297">
        <v>0</v>
      </c>
      <c r="H297" t="s">
        <v>5224</v>
      </c>
      <c r="I297">
        <v>356</v>
      </c>
      <c r="J297" t="str">
        <f>VLOOKUP(E297,DSSpieler!A:B,2,FALSE)</f>
        <v>TheBiteStorm</v>
      </c>
    </row>
    <row r="298" spans="1:10" x14ac:dyDescent="0.25">
      <c r="A298">
        <v>357</v>
      </c>
      <c r="B298" t="s">
        <v>30635</v>
      </c>
      <c r="C298">
        <v>513</v>
      </c>
      <c r="D298">
        <v>497</v>
      </c>
      <c r="E298">
        <v>2709160</v>
      </c>
      <c r="F298">
        <v>2997</v>
      </c>
      <c r="G298">
        <v>0</v>
      </c>
      <c r="H298" t="s">
        <v>5225</v>
      </c>
      <c r="I298">
        <v>357</v>
      </c>
      <c r="J298" t="str">
        <f>VLOOKUP(E298,DSSpieler!A:B,2,FALSE)</f>
        <v>karl der klein</v>
      </c>
    </row>
    <row r="299" spans="1:10" x14ac:dyDescent="0.25">
      <c r="A299">
        <v>358</v>
      </c>
      <c r="B299" t="s">
        <v>30636</v>
      </c>
      <c r="C299">
        <v>502</v>
      </c>
      <c r="D299">
        <v>508</v>
      </c>
      <c r="E299">
        <v>1577181833</v>
      </c>
      <c r="F299">
        <v>3529</v>
      </c>
      <c r="G299">
        <v>0</v>
      </c>
      <c r="H299" t="s">
        <v>5226</v>
      </c>
      <c r="I299">
        <v>358</v>
      </c>
      <c r="J299">
        <f>VLOOKUP(E299,DSSpieler!A:B,2,FALSE)</f>
        <v>43839</v>
      </c>
    </row>
    <row r="300" spans="1:10" x14ac:dyDescent="0.25">
      <c r="A300">
        <v>359</v>
      </c>
      <c r="B300" t="s">
        <v>30637</v>
      </c>
      <c r="C300">
        <v>478</v>
      </c>
      <c r="D300">
        <v>469</v>
      </c>
      <c r="E300">
        <v>1577164355</v>
      </c>
      <c r="F300">
        <v>4743</v>
      </c>
      <c r="G300">
        <v>0</v>
      </c>
      <c r="H300" t="s">
        <v>5227</v>
      </c>
      <c r="I300">
        <v>359</v>
      </c>
      <c r="J300" t="str">
        <f>VLOOKUP(E300,DSSpieler!A:B,2,FALSE)</f>
        <v>saynotoslow</v>
      </c>
    </row>
    <row r="301" spans="1:10" x14ac:dyDescent="0.25">
      <c r="A301">
        <v>360</v>
      </c>
      <c r="B301">
        <v>5</v>
      </c>
      <c r="C301">
        <v>476</v>
      </c>
      <c r="D301">
        <v>475</v>
      </c>
      <c r="E301">
        <v>7824484</v>
      </c>
      <c r="F301">
        <v>1239</v>
      </c>
      <c r="G301">
        <v>0</v>
      </c>
      <c r="H301" t="s">
        <v>5228</v>
      </c>
      <c r="I301">
        <v>360</v>
      </c>
      <c r="J301" t="str">
        <f>VLOOKUP(E301,DSSpieler!A:B,2,FALSE)</f>
        <v>Oli der kriegsgott</v>
      </c>
    </row>
    <row r="302" spans="1:10" x14ac:dyDescent="0.25">
      <c r="A302">
        <v>361</v>
      </c>
      <c r="B302" t="s">
        <v>30638</v>
      </c>
      <c r="C302">
        <v>471</v>
      </c>
      <c r="D302">
        <v>463</v>
      </c>
      <c r="E302">
        <v>1576674038</v>
      </c>
      <c r="F302">
        <v>4368</v>
      </c>
      <c r="G302">
        <v>0</v>
      </c>
      <c r="H302" t="s">
        <v>5229</v>
      </c>
      <c r="I302">
        <v>361</v>
      </c>
      <c r="J302" t="str">
        <f>VLOOKUP(E302,DSSpieler!A:B,2,FALSE)</f>
        <v>Maxmaier</v>
      </c>
    </row>
    <row r="303" spans="1:10" x14ac:dyDescent="0.25">
      <c r="A303">
        <v>362</v>
      </c>
      <c r="B303" t="s">
        <v>30639</v>
      </c>
      <c r="C303">
        <v>476</v>
      </c>
      <c r="D303">
        <v>470</v>
      </c>
      <c r="E303">
        <v>1577164355</v>
      </c>
      <c r="F303">
        <v>4625</v>
      </c>
      <c r="G303">
        <v>0</v>
      </c>
      <c r="H303" t="s">
        <v>5230</v>
      </c>
      <c r="I303">
        <v>362</v>
      </c>
      <c r="J303" t="str">
        <f>VLOOKUP(E303,DSSpieler!A:B,2,FALSE)</f>
        <v>saynotoslow</v>
      </c>
    </row>
    <row r="304" spans="1:10" x14ac:dyDescent="0.25">
      <c r="A304">
        <v>363</v>
      </c>
      <c r="B304" t="s">
        <v>531</v>
      </c>
      <c r="C304">
        <v>478</v>
      </c>
      <c r="D304">
        <v>464</v>
      </c>
      <c r="E304">
        <v>0</v>
      </c>
      <c r="F304">
        <v>232</v>
      </c>
      <c r="G304">
        <v>0</v>
      </c>
      <c r="H304" t="s">
        <v>5231</v>
      </c>
      <c r="I304">
        <v>363</v>
      </c>
      <c r="J304" t="e">
        <f>VLOOKUP(E304,DSSpieler!A:B,2,FALSE)</f>
        <v>#N/A</v>
      </c>
    </row>
    <row r="305" spans="1:10" x14ac:dyDescent="0.25">
      <c r="A305">
        <v>364</v>
      </c>
      <c r="B305" t="s">
        <v>531</v>
      </c>
      <c r="C305">
        <v>555</v>
      </c>
      <c r="D305">
        <v>501</v>
      </c>
      <c r="E305">
        <v>0</v>
      </c>
      <c r="F305">
        <v>384</v>
      </c>
      <c r="G305">
        <v>0</v>
      </c>
      <c r="H305" t="s">
        <v>5232</v>
      </c>
      <c r="I305">
        <v>364</v>
      </c>
      <c r="J305" t="e">
        <f>VLOOKUP(E305,DSSpieler!A:B,2,FALSE)</f>
        <v>#N/A</v>
      </c>
    </row>
    <row r="306" spans="1:10" x14ac:dyDescent="0.25">
      <c r="A306">
        <v>365</v>
      </c>
      <c r="B306" t="s">
        <v>30640</v>
      </c>
      <c r="C306">
        <v>398</v>
      </c>
      <c r="D306">
        <v>540</v>
      </c>
      <c r="E306">
        <v>1576477994</v>
      </c>
      <c r="F306">
        <v>5074</v>
      </c>
      <c r="G306">
        <v>0</v>
      </c>
      <c r="H306" t="s">
        <v>5233</v>
      </c>
      <c r="I306">
        <v>365</v>
      </c>
      <c r="J306" t="str">
        <f>VLOOKUP(E306,DSSpieler!A:B,2,FALSE)</f>
        <v>diegosam1000</v>
      </c>
    </row>
    <row r="307" spans="1:10" x14ac:dyDescent="0.25">
      <c r="A307">
        <v>366</v>
      </c>
      <c r="B307">
        <v>1</v>
      </c>
      <c r="C307">
        <v>480</v>
      </c>
      <c r="D307">
        <v>479</v>
      </c>
      <c r="E307">
        <v>7824484</v>
      </c>
      <c r="F307">
        <v>6114</v>
      </c>
      <c r="G307">
        <v>0</v>
      </c>
      <c r="H307" t="s">
        <v>5234</v>
      </c>
      <c r="I307">
        <v>366</v>
      </c>
      <c r="J307" t="str">
        <f>VLOOKUP(E307,DSSpieler!A:B,2,FALSE)</f>
        <v>Oli der kriegsgott</v>
      </c>
    </row>
    <row r="308" spans="1:10" x14ac:dyDescent="0.25">
      <c r="A308">
        <v>367</v>
      </c>
      <c r="B308" t="s">
        <v>531</v>
      </c>
      <c r="C308">
        <v>450</v>
      </c>
      <c r="D308">
        <v>524</v>
      </c>
      <c r="E308">
        <v>0</v>
      </c>
      <c r="F308">
        <v>319</v>
      </c>
      <c r="G308">
        <v>0</v>
      </c>
      <c r="H308" t="s">
        <v>5235</v>
      </c>
      <c r="I308">
        <v>367</v>
      </c>
      <c r="J308" t="e">
        <f>VLOOKUP(E308,DSSpieler!A:B,2,FALSE)</f>
        <v>#N/A</v>
      </c>
    </row>
    <row r="309" spans="1:10" x14ac:dyDescent="0.25">
      <c r="A309">
        <v>368</v>
      </c>
      <c r="B309" t="s">
        <v>30641</v>
      </c>
      <c r="C309">
        <v>491</v>
      </c>
      <c r="D309">
        <v>471</v>
      </c>
      <c r="E309">
        <v>8247237</v>
      </c>
      <c r="F309">
        <v>4585</v>
      </c>
      <c r="G309">
        <v>0</v>
      </c>
      <c r="H309" t="s">
        <v>5236</v>
      </c>
      <c r="I309">
        <v>368</v>
      </c>
      <c r="J309" t="str">
        <f>VLOOKUP(E309,DSSpieler!A:B,2,FALSE)</f>
        <v>kokojo3</v>
      </c>
    </row>
    <row r="310" spans="1:10" x14ac:dyDescent="0.25">
      <c r="A310">
        <v>369</v>
      </c>
      <c r="B310" t="s">
        <v>30642</v>
      </c>
      <c r="C310">
        <v>481</v>
      </c>
      <c r="D310">
        <v>464</v>
      </c>
      <c r="E310">
        <v>8370474</v>
      </c>
      <c r="F310">
        <v>5636</v>
      </c>
      <c r="G310">
        <v>0</v>
      </c>
      <c r="H310" t="s">
        <v>5237</v>
      </c>
      <c r="I310">
        <v>369</v>
      </c>
      <c r="J310" t="str">
        <f>VLOOKUP(E310,DSSpieler!A:B,2,FALSE)</f>
        <v>Del Piero 1996</v>
      </c>
    </row>
    <row r="311" spans="1:10" x14ac:dyDescent="0.25">
      <c r="A311">
        <v>370</v>
      </c>
      <c r="B311" t="s">
        <v>593</v>
      </c>
      <c r="C311">
        <v>484</v>
      </c>
      <c r="D311">
        <v>476</v>
      </c>
      <c r="E311">
        <v>1577164260</v>
      </c>
      <c r="F311">
        <v>1647</v>
      </c>
      <c r="G311">
        <v>0</v>
      </c>
      <c r="H311" t="s">
        <v>5238</v>
      </c>
      <c r="I311">
        <v>370</v>
      </c>
      <c r="J311" t="str">
        <f>VLOOKUP(E311,DSSpieler!A:B,2,FALSE)</f>
        <v>raugh-raugh</v>
      </c>
    </row>
    <row r="312" spans="1:10" x14ac:dyDescent="0.25">
      <c r="A312">
        <v>371</v>
      </c>
      <c r="B312">
        <v>2</v>
      </c>
      <c r="C312">
        <v>479</v>
      </c>
      <c r="D312">
        <v>479</v>
      </c>
      <c r="E312">
        <v>7824484</v>
      </c>
      <c r="F312">
        <v>4176</v>
      </c>
      <c r="G312">
        <v>0</v>
      </c>
      <c r="H312" t="s">
        <v>5239</v>
      </c>
      <c r="I312">
        <v>371</v>
      </c>
      <c r="J312" t="str">
        <f>VLOOKUP(E312,DSSpieler!A:B,2,FALSE)</f>
        <v>Oli der kriegsgott</v>
      </c>
    </row>
    <row r="313" spans="1:10" x14ac:dyDescent="0.25">
      <c r="A313">
        <v>372</v>
      </c>
      <c r="B313" t="s">
        <v>30643</v>
      </c>
      <c r="C313">
        <v>483</v>
      </c>
      <c r="D313">
        <v>467</v>
      </c>
      <c r="E313">
        <v>9146835</v>
      </c>
      <c r="F313">
        <v>968</v>
      </c>
      <c r="G313">
        <v>0</v>
      </c>
      <c r="H313" t="s">
        <v>5240</v>
      </c>
      <c r="I313">
        <v>372</v>
      </c>
      <c r="J313" t="str">
        <f>VLOOKUP(E313,DSSpieler!A:B,2,FALSE)</f>
        <v>Angelo.99</v>
      </c>
    </row>
    <row r="314" spans="1:10" x14ac:dyDescent="0.25">
      <c r="A314">
        <v>373</v>
      </c>
      <c r="B314">
        <v>2</v>
      </c>
      <c r="C314">
        <v>478</v>
      </c>
      <c r="D314">
        <v>457</v>
      </c>
      <c r="E314">
        <v>1576178066</v>
      </c>
      <c r="F314">
        <v>4428</v>
      </c>
      <c r="G314">
        <v>0</v>
      </c>
      <c r="H314" t="s">
        <v>5241</v>
      </c>
      <c r="I314">
        <v>373</v>
      </c>
      <c r="J314" t="str">
        <f>VLOOKUP(E314,DSSpieler!A:B,2,FALSE)</f>
        <v>skaliii</v>
      </c>
    </row>
    <row r="315" spans="1:10" x14ac:dyDescent="0.25">
      <c r="A315">
        <v>374</v>
      </c>
      <c r="B315" t="s">
        <v>531</v>
      </c>
      <c r="C315">
        <v>523</v>
      </c>
      <c r="D315">
        <v>460</v>
      </c>
      <c r="E315">
        <v>0</v>
      </c>
      <c r="F315">
        <v>430</v>
      </c>
      <c r="G315">
        <v>0</v>
      </c>
      <c r="H315" t="s">
        <v>5242</v>
      </c>
      <c r="I315">
        <v>374</v>
      </c>
      <c r="J315" t="e">
        <f>VLOOKUP(E315,DSSpieler!A:B,2,FALSE)</f>
        <v>#N/A</v>
      </c>
    </row>
    <row r="316" spans="1:10" x14ac:dyDescent="0.25">
      <c r="A316">
        <v>375</v>
      </c>
      <c r="B316" t="s">
        <v>150</v>
      </c>
      <c r="C316">
        <v>459</v>
      </c>
      <c r="D316">
        <v>462</v>
      </c>
      <c r="E316">
        <v>10084420</v>
      </c>
      <c r="F316">
        <v>6293</v>
      </c>
      <c r="G316">
        <v>0</v>
      </c>
      <c r="H316" t="s">
        <v>5243</v>
      </c>
      <c r="I316">
        <v>375</v>
      </c>
      <c r="J316" t="str">
        <f>VLOOKUP(E316,DSSpieler!A:B,2,FALSE)</f>
        <v>Dörfersammler</v>
      </c>
    </row>
    <row r="317" spans="1:10" x14ac:dyDescent="0.25">
      <c r="A317">
        <v>376</v>
      </c>
      <c r="B317" t="s">
        <v>30622</v>
      </c>
      <c r="C317">
        <v>472</v>
      </c>
      <c r="D317">
        <v>476</v>
      </c>
      <c r="E317">
        <v>1577195270</v>
      </c>
      <c r="F317">
        <v>5147</v>
      </c>
      <c r="G317">
        <v>0</v>
      </c>
      <c r="H317" t="s">
        <v>5244</v>
      </c>
      <c r="I317">
        <v>376</v>
      </c>
      <c r="J317" t="str">
        <f>VLOOKUP(E317,DSSpieler!A:B,2,FALSE)</f>
        <v>Farazzuu</v>
      </c>
    </row>
    <row r="318" spans="1:10" x14ac:dyDescent="0.25">
      <c r="A318">
        <v>377</v>
      </c>
      <c r="B318" t="s">
        <v>594</v>
      </c>
      <c r="C318">
        <v>484</v>
      </c>
      <c r="D318">
        <v>479</v>
      </c>
      <c r="E318">
        <v>1577164260</v>
      </c>
      <c r="F318">
        <v>4454</v>
      </c>
      <c r="G318">
        <v>0</v>
      </c>
      <c r="H318" t="s">
        <v>5245</v>
      </c>
      <c r="I318">
        <v>377</v>
      </c>
      <c r="J318" t="str">
        <f>VLOOKUP(E318,DSSpieler!A:B,2,FALSE)</f>
        <v>raugh-raugh</v>
      </c>
    </row>
    <row r="319" spans="1:10" x14ac:dyDescent="0.25">
      <c r="A319">
        <v>378</v>
      </c>
      <c r="B319" t="s">
        <v>595</v>
      </c>
      <c r="C319">
        <v>488</v>
      </c>
      <c r="D319">
        <v>480</v>
      </c>
      <c r="E319">
        <v>1577164260</v>
      </c>
      <c r="F319">
        <v>4773</v>
      </c>
      <c r="G319">
        <v>0</v>
      </c>
      <c r="H319" t="s">
        <v>5246</v>
      </c>
      <c r="I319">
        <v>378</v>
      </c>
      <c r="J319" t="str">
        <f>VLOOKUP(E319,DSSpieler!A:B,2,FALSE)</f>
        <v>raugh-raugh</v>
      </c>
    </row>
    <row r="320" spans="1:10" x14ac:dyDescent="0.25">
      <c r="A320">
        <v>379</v>
      </c>
      <c r="B320" t="s">
        <v>531</v>
      </c>
      <c r="C320">
        <v>476</v>
      </c>
      <c r="D320">
        <v>477</v>
      </c>
      <c r="E320">
        <v>0</v>
      </c>
      <c r="F320">
        <v>329</v>
      </c>
      <c r="G320">
        <v>0</v>
      </c>
      <c r="H320" t="s">
        <v>5247</v>
      </c>
      <c r="I320">
        <v>379</v>
      </c>
      <c r="J320" t="e">
        <f>VLOOKUP(E320,DSSpieler!A:B,2,FALSE)</f>
        <v>#N/A</v>
      </c>
    </row>
    <row r="321" spans="1:10" x14ac:dyDescent="0.25">
      <c r="A321">
        <v>380</v>
      </c>
      <c r="B321">
        <v>7</v>
      </c>
      <c r="C321">
        <v>477</v>
      </c>
      <c r="D321">
        <v>585</v>
      </c>
      <c r="E321">
        <v>9173861</v>
      </c>
      <c r="F321">
        <v>2494</v>
      </c>
      <c r="G321">
        <v>0</v>
      </c>
      <c r="H321" t="s">
        <v>5248</v>
      </c>
      <c r="I321">
        <v>380</v>
      </c>
      <c r="J321" t="str">
        <f>VLOOKUP(E321,DSSpieler!A:B,2,FALSE)</f>
        <v>dieweltmacht</v>
      </c>
    </row>
    <row r="322" spans="1:10" x14ac:dyDescent="0.25">
      <c r="A322">
        <v>381</v>
      </c>
      <c r="B322" t="s">
        <v>531</v>
      </c>
      <c r="C322">
        <v>537</v>
      </c>
      <c r="D322">
        <v>542</v>
      </c>
      <c r="E322">
        <v>0</v>
      </c>
      <c r="F322">
        <v>325</v>
      </c>
      <c r="G322">
        <v>0</v>
      </c>
      <c r="H322" t="s">
        <v>5249</v>
      </c>
      <c r="I322">
        <v>381</v>
      </c>
      <c r="J322" t="e">
        <f>VLOOKUP(E322,DSSpieler!A:B,2,FALSE)</f>
        <v>#N/A</v>
      </c>
    </row>
    <row r="323" spans="1:10" x14ac:dyDescent="0.25">
      <c r="A323">
        <v>382</v>
      </c>
      <c r="B323" t="s">
        <v>30644</v>
      </c>
      <c r="C323">
        <v>478</v>
      </c>
      <c r="D323">
        <v>477</v>
      </c>
      <c r="E323">
        <v>1577127397</v>
      </c>
      <c r="F323">
        <v>4693</v>
      </c>
      <c r="G323">
        <v>0</v>
      </c>
      <c r="H323" t="s">
        <v>5250</v>
      </c>
      <c r="I323">
        <v>382</v>
      </c>
      <c r="J323" t="str">
        <f>VLOOKUP(E323,DSSpieler!A:B,2,FALSE)</f>
        <v>soeren-fried</v>
      </c>
    </row>
    <row r="324" spans="1:10" x14ac:dyDescent="0.25">
      <c r="A324">
        <v>383</v>
      </c>
      <c r="B324" t="s">
        <v>30645</v>
      </c>
      <c r="C324">
        <v>470</v>
      </c>
      <c r="D324">
        <v>480</v>
      </c>
      <c r="E324">
        <v>10042452</v>
      </c>
      <c r="F324">
        <v>2822</v>
      </c>
      <c r="G324">
        <v>0</v>
      </c>
      <c r="H324" t="s">
        <v>5251</v>
      </c>
      <c r="I324">
        <v>383</v>
      </c>
      <c r="J324" t="str">
        <f>VLOOKUP(E324,DSSpieler!A:B,2,FALSE)</f>
        <v>lord-hazelnut</v>
      </c>
    </row>
    <row r="325" spans="1:10" x14ac:dyDescent="0.25">
      <c r="A325">
        <v>384</v>
      </c>
      <c r="B325" t="s">
        <v>546</v>
      </c>
      <c r="C325">
        <v>502</v>
      </c>
      <c r="D325">
        <v>454</v>
      </c>
      <c r="E325">
        <v>1576881890</v>
      </c>
      <c r="F325">
        <v>3756</v>
      </c>
      <c r="G325">
        <v>0</v>
      </c>
      <c r="H325" t="s">
        <v>5252</v>
      </c>
      <c r="I325">
        <v>384</v>
      </c>
      <c r="J325" t="str">
        <f>VLOOKUP(E325,DSSpieler!A:B,2,FALSE)</f>
        <v>Pigles</v>
      </c>
    </row>
    <row r="326" spans="1:10" x14ac:dyDescent="0.25">
      <c r="A326">
        <v>385</v>
      </c>
      <c r="B326" t="s">
        <v>30646</v>
      </c>
      <c r="C326">
        <v>474</v>
      </c>
      <c r="D326">
        <v>480</v>
      </c>
      <c r="E326">
        <v>1577145770</v>
      </c>
      <c r="F326">
        <v>1725</v>
      </c>
      <c r="G326">
        <v>0</v>
      </c>
      <c r="H326" t="s">
        <v>5253</v>
      </c>
      <c r="I326">
        <v>385</v>
      </c>
      <c r="J326" t="str">
        <f>VLOOKUP(E326,DSSpieler!A:B,2,FALSE)</f>
        <v>PeaceIsTheWay</v>
      </c>
    </row>
    <row r="327" spans="1:10" x14ac:dyDescent="0.25">
      <c r="A327">
        <v>386</v>
      </c>
      <c r="B327" t="s">
        <v>30647</v>
      </c>
      <c r="C327">
        <v>482</v>
      </c>
      <c r="D327">
        <v>473</v>
      </c>
      <c r="E327">
        <v>1577186679</v>
      </c>
      <c r="F327">
        <v>6608</v>
      </c>
      <c r="G327">
        <v>0</v>
      </c>
      <c r="H327" t="s">
        <v>5254</v>
      </c>
      <c r="I327">
        <v>386</v>
      </c>
      <c r="J327" t="str">
        <f>VLOOKUP(E327,DSSpieler!A:B,2,FALSE)</f>
        <v>H8erboy</v>
      </c>
    </row>
    <row r="328" spans="1:10" x14ac:dyDescent="0.25">
      <c r="A328">
        <v>387</v>
      </c>
      <c r="B328">
        <v>3</v>
      </c>
      <c r="C328">
        <v>462</v>
      </c>
      <c r="D328">
        <v>477</v>
      </c>
      <c r="E328">
        <v>1577197025</v>
      </c>
      <c r="F328">
        <v>1491</v>
      </c>
      <c r="G328">
        <v>0</v>
      </c>
      <c r="H328" t="s">
        <v>5255</v>
      </c>
      <c r="I328">
        <v>387</v>
      </c>
      <c r="J328" t="str">
        <f>VLOOKUP(E328,DSSpieler!A:B,2,FALSE)</f>
        <v>baumeister39</v>
      </c>
    </row>
    <row r="329" spans="1:10" x14ac:dyDescent="0.25">
      <c r="A329">
        <v>388</v>
      </c>
      <c r="B329" t="s">
        <v>150</v>
      </c>
      <c r="C329">
        <v>481</v>
      </c>
      <c r="D329">
        <v>490</v>
      </c>
      <c r="E329">
        <v>1576472084</v>
      </c>
      <c r="F329">
        <v>2405</v>
      </c>
      <c r="G329">
        <v>0</v>
      </c>
      <c r="H329" t="s">
        <v>5256</v>
      </c>
      <c r="I329">
        <v>388</v>
      </c>
      <c r="J329" t="str">
        <f>VLOOKUP(E329,DSSpieler!A:B,2,FALSE)</f>
        <v>War2014</v>
      </c>
    </row>
    <row r="330" spans="1:10" x14ac:dyDescent="0.25">
      <c r="A330">
        <v>389</v>
      </c>
      <c r="B330" t="s">
        <v>596</v>
      </c>
      <c r="C330">
        <v>483</v>
      </c>
      <c r="D330">
        <v>453</v>
      </c>
      <c r="E330">
        <v>1577185691</v>
      </c>
      <c r="F330">
        <v>1068</v>
      </c>
      <c r="G330">
        <v>0</v>
      </c>
      <c r="H330" t="s">
        <v>5257</v>
      </c>
      <c r="I330">
        <v>389</v>
      </c>
      <c r="J330" t="str">
        <f>VLOOKUP(E330,DSSpieler!A:B,2,FALSE)</f>
        <v>nepf1997</v>
      </c>
    </row>
    <row r="331" spans="1:10" x14ac:dyDescent="0.25">
      <c r="A331">
        <v>390</v>
      </c>
      <c r="B331" t="s">
        <v>597</v>
      </c>
      <c r="C331">
        <v>480</v>
      </c>
      <c r="D331">
        <v>492</v>
      </c>
      <c r="E331">
        <v>1577046410</v>
      </c>
      <c r="F331">
        <v>3520</v>
      </c>
      <c r="G331">
        <v>0</v>
      </c>
      <c r="H331" t="s">
        <v>5258</v>
      </c>
      <c r="I331">
        <v>390</v>
      </c>
      <c r="J331" t="str">
        <f>VLOOKUP(E331,DSSpieler!A:B,2,FALSE)</f>
        <v>Zangi1988</v>
      </c>
    </row>
    <row r="332" spans="1:10" x14ac:dyDescent="0.25">
      <c r="A332">
        <v>391</v>
      </c>
      <c r="B332" t="s">
        <v>30648</v>
      </c>
      <c r="C332">
        <v>457</v>
      </c>
      <c r="D332">
        <v>464</v>
      </c>
      <c r="E332">
        <v>1577187756</v>
      </c>
      <c r="F332">
        <v>5407</v>
      </c>
      <c r="G332">
        <v>0</v>
      </c>
      <c r="H332" t="s">
        <v>5259</v>
      </c>
      <c r="I332">
        <v>391</v>
      </c>
      <c r="J332" t="str">
        <f>VLOOKUP(E332,DSSpieler!A:B,2,FALSE)</f>
        <v>xmagical5</v>
      </c>
    </row>
    <row r="333" spans="1:10" x14ac:dyDescent="0.25">
      <c r="A333">
        <v>392</v>
      </c>
      <c r="B333" t="s">
        <v>531</v>
      </c>
      <c r="C333">
        <v>553</v>
      </c>
      <c r="D333">
        <v>497</v>
      </c>
      <c r="E333">
        <v>0</v>
      </c>
      <c r="F333">
        <v>378</v>
      </c>
      <c r="G333">
        <v>0</v>
      </c>
      <c r="H333" t="s">
        <v>5260</v>
      </c>
      <c r="I333">
        <v>392</v>
      </c>
      <c r="J333" t="e">
        <f>VLOOKUP(E333,DSSpieler!A:B,2,FALSE)</f>
        <v>#N/A</v>
      </c>
    </row>
    <row r="334" spans="1:10" x14ac:dyDescent="0.25">
      <c r="A334">
        <v>393</v>
      </c>
      <c r="B334" t="s">
        <v>30648</v>
      </c>
      <c r="C334">
        <v>456</v>
      </c>
      <c r="D334">
        <v>466</v>
      </c>
      <c r="E334">
        <v>1577187756</v>
      </c>
      <c r="F334">
        <v>5914</v>
      </c>
      <c r="G334">
        <v>0</v>
      </c>
      <c r="H334" t="s">
        <v>5261</v>
      </c>
      <c r="I334">
        <v>393</v>
      </c>
      <c r="J334" t="str">
        <f>VLOOKUP(E334,DSSpieler!A:B,2,FALSE)</f>
        <v>xmagical5</v>
      </c>
    </row>
    <row r="335" spans="1:10" x14ac:dyDescent="0.25">
      <c r="A335">
        <v>394</v>
      </c>
      <c r="B335" t="s">
        <v>30649</v>
      </c>
      <c r="C335">
        <v>474</v>
      </c>
      <c r="D335">
        <v>476</v>
      </c>
      <c r="E335">
        <v>1577195270</v>
      </c>
      <c r="F335">
        <v>5436</v>
      </c>
      <c r="G335">
        <v>0</v>
      </c>
      <c r="H335" t="s">
        <v>5262</v>
      </c>
      <c r="I335">
        <v>394</v>
      </c>
      <c r="J335" t="str">
        <f>VLOOKUP(E335,DSSpieler!A:B,2,FALSE)</f>
        <v>Farazzuu</v>
      </c>
    </row>
    <row r="336" spans="1:10" x14ac:dyDescent="0.25">
      <c r="A336">
        <v>395</v>
      </c>
      <c r="B336" t="s">
        <v>598</v>
      </c>
      <c r="C336">
        <v>479</v>
      </c>
      <c r="D336">
        <v>483</v>
      </c>
      <c r="E336">
        <v>1577075768</v>
      </c>
      <c r="F336">
        <v>5093</v>
      </c>
      <c r="G336">
        <v>0</v>
      </c>
      <c r="H336" t="s">
        <v>5263</v>
      </c>
      <c r="I336">
        <v>395</v>
      </c>
      <c r="J336" t="str">
        <f>VLOOKUP(E336,DSSpieler!A:B,2,FALSE)</f>
        <v>Janischare28</v>
      </c>
    </row>
    <row r="337" spans="1:10" x14ac:dyDescent="0.25">
      <c r="A337">
        <v>396</v>
      </c>
      <c r="B337" t="s">
        <v>30650</v>
      </c>
      <c r="C337">
        <v>480</v>
      </c>
      <c r="D337">
        <v>490</v>
      </c>
      <c r="E337">
        <v>1577075103</v>
      </c>
      <c r="F337">
        <v>4894</v>
      </c>
      <c r="G337">
        <v>0</v>
      </c>
      <c r="H337" t="s">
        <v>5264</v>
      </c>
      <c r="I337">
        <v>396</v>
      </c>
      <c r="J337" t="str">
        <f>VLOOKUP(E337,DSSpieler!A:B,2,FALSE)</f>
        <v>TopalOsman</v>
      </c>
    </row>
    <row r="338" spans="1:10" x14ac:dyDescent="0.25">
      <c r="A338">
        <v>397</v>
      </c>
      <c r="B338" t="s">
        <v>30651</v>
      </c>
      <c r="C338">
        <v>467</v>
      </c>
      <c r="D338">
        <v>472</v>
      </c>
      <c r="E338">
        <v>1577186290</v>
      </c>
      <c r="F338">
        <v>4362</v>
      </c>
      <c r="G338">
        <v>0</v>
      </c>
      <c r="H338" t="s">
        <v>5265</v>
      </c>
      <c r="I338">
        <v>397</v>
      </c>
      <c r="J338" t="str">
        <f>VLOOKUP(E338,DSSpieler!A:B,2,FALSE)</f>
        <v>WhyIsThisNull</v>
      </c>
    </row>
    <row r="339" spans="1:10" x14ac:dyDescent="0.25">
      <c r="A339">
        <v>398</v>
      </c>
      <c r="B339" t="s">
        <v>599</v>
      </c>
      <c r="C339">
        <v>479</v>
      </c>
      <c r="D339">
        <v>448</v>
      </c>
      <c r="E339">
        <v>1576851644</v>
      </c>
      <c r="F339">
        <v>6033</v>
      </c>
      <c r="G339">
        <v>0</v>
      </c>
      <c r="H339" t="s">
        <v>5266</v>
      </c>
      <c r="I339">
        <v>398</v>
      </c>
      <c r="J339" t="str">
        <f>VLOOKUP(E339,DSSpieler!A:B,2,FALSE)</f>
        <v>VamosJoe</v>
      </c>
    </row>
    <row r="340" spans="1:10" x14ac:dyDescent="0.25">
      <c r="A340">
        <v>399</v>
      </c>
      <c r="B340" t="s">
        <v>30652</v>
      </c>
      <c r="C340">
        <v>479</v>
      </c>
      <c r="D340">
        <v>500</v>
      </c>
      <c r="E340">
        <v>1577197836</v>
      </c>
      <c r="F340">
        <v>1471</v>
      </c>
      <c r="G340">
        <v>0</v>
      </c>
      <c r="H340" t="s">
        <v>5267</v>
      </c>
      <c r="I340">
        <v>399</v>
      </c>
      <c r="J340" t="str">
        <f>VLOOKUP(E340,DSSpieler!A:B,2,FALSE)</f>
        <v>xray66629</v>
      </c>
    </row>
    <row r="341" spans="1:10" x14ac:dyDescent="0.25">
      <c r="A341">
        <v>400</v>
      </c>
      <c r="B341" t="s">
        <v>600</v>
      </c>
      <c r="C341">
        <v>477</v>
      </c>
      <c r="D341">
        <v>454</v>
      </c>
      <c r="E341">
        <v>9535697</v>
      </c>
      <c r="F341">
        <v>6053</v>
      </c>
      <c r="G341">
        <v>0</v>
      </c>
      <c r="H341" t="s">
        <v>5268</v>
      </c>
      <c r="I341">
        <v>400</v>
      </c>
      <c r="J341" t="str">
        <f>VLOOKUP(E341,DSSpieler!A:B,2,FALSE)</f>
        <v>DaveRida</v>
      </c>
    </row>
    <row r="342" spans="1:10" x14ac:dyDescent="0.25">
      <c r="A342">
        <v>401</v>
      </c>
      <c r="B342" t="s">
        <v>30653</v>
      </c>
      <c r="C342">
        <v>460</v>
      </c>
      <c r="D342">
        <v>461</v>
      </c>
      <c r="E342">
        <v>7728544</v>
      </c>
      <c r="F342">
        <v>3744</v>
      </c>
      <c r="G342">
        <v>0</v>
      </c>
      <c r="H342" t="s">
        <v>5269</v>
      </c>
      <c r="I342">
        <v>401</v>
      </c>
      <c r="J342" t="str">
        <f>VLOOKUP(E342,DSSpieler!A:B,2,FALSE)</f>
        <v>Krypto666</v>
      </c>
    </row>
    <row r="343" spans="1:10" x14ac:dyDescent="0.25">
      <c r="A343">
        <v>402</v>
      </c>
      <c r="B343" t="s">
        <v>30654</v>
      </c>
      <c r="C343">
        <v>473</v>
      </c>
      <c r="D343">
        <v>413</v>
      </c>
      <c r="E343">
        <v>1576992332</v>
      </c>
      <c r="F343">
        <v>6138</v>
      </c>
      <c r="G343">
        <v>0</v>
      </c>
      <c r="H343" t="s">
        <v>5270</v>
      </c>
      <c r="I343">
        <v>402</v>
      </c>
      <c r="J343" t="str">
        <f>VLOOKUP(E343,DSSpieler!A:B,2,FALSE)</f>
        <v>Byakko1996</v>
      </c>
    </row>
    <row r="344" spans="1:10" x14ac:dyDescent="0.25">
      <c r="A344">
        <v>403</v>
      </c>
      <c r="B344" t="s">
        <v>30655</v>
      </c>
      <c r="C344">
        <v>489</v>
      </c>
      <c r="D344">
        <v>478</v>
      </c>
      <c r="E344">
        <v>1577062531</v>
      </c>
      <c r="F344">
        <v>3291</v>
      </c>
      <c r="G344">
        <v>0</v>
      </c>
      <c r="H344" t="s">
        <v>5271</v>
      </c>
      <c r="I344">
        <v>403</v>
      </c>
      <c r="J344" t="str">
        <f>VLOOKUP(E344,DSSpieler!A:B,2,FALSE)</f>
        <v>Xiretsa</v>
      </c>
    </row>
    <row r="345" spans="1:10" x14ac:dyDescent="0.25">
      <c r="A345">
        <v>404</v>
      </c>
      <c r="B345" t="s">
        <v>30656</v>
      </c>
      <c r="C345">
        <v>463</v>
      </c>
      <c r="D345">
        <v>477</v>
      </c>
      <c r="E345">
        <v>1577118249</v>
      </c>
      <c r="F345">
        <v>5175</v>
      </c>
      <c r="G345">
        <v>0</v>
      </c>
      <c r="H345" t="s">
        <v>5272</v>
      </c>
      <c r="I345">
        <v>404</v>
      </c>
      <c r="J345" t="str">
        <f>VLOOKUP(E345,DSSpieler!A:B,2,FALSE)</f>
        <v>baba hood</v>
      </c>
    </row>
    <row r="346" spans="1:10" x14ac:dyDescent="0.25">
      <c r="A346">
        <v>405</v>
      </c>
      <c r="B346" t="s">
        <v>30657</v>
      </c>
      <c r="C346">
        <v>473</v>
      </c>
      <c r="D346">
        <v>491</v>
      </c>
      <c r="E346">
        <v>845508</v>
      </c>
      <c r="F346">
        <v>2027</v>
      </c>
      <c r="G346">
        <v>0</v>
      </c>
      <c r="H346" t="s">
        <v>5273</v>
      </c>
      <c r="I346">
        <v>405</v>
      </c>
      <c r="J346" t="str">
        <f>VLOOKUP(E346,DSSpieler!A:B,2,FALSE)</f>
        <v>Lovag</v>
      </c>
    </row>
    <row r="347" spans="1:10" x14ac:dyDescent="0.25">
      <c r="A347">
        <v>406</v>
      </c>
      <c r="B347" t="s">
        <v>30658</v>
      </c>
      <c r="C347">
        <v>461</v>
      </c>
      <c r="D347">
        <v>458</v>
      </c>
      <c r="E347">
        <v>7728544</v>
      </c>
      <c r="F347">
        <v>4054</v>
      </c>
      <c r="G347">
        <v>0</v>
      </c>
      <c r="H347" t="s">
        <v>5274</v>
      </c>
      <c r="I347">
        <v>406</v>
      </c>
      <c r="J347" t="str">
        <f>VLOOKUP(E347,DSSpieler!A:B,2,FALSE)</f>
        <v>Krypto666</v>
      </c>
    </row>
    <row r="348" spans="1:10" x14ac:dyDescent="0.25">
      <c r="A348">
        <v>407</v>
      </c>
      <c r="B348" t="s">
        <v>30659</v>
      </c>
      <c r="C348">
        <v>495</v>
      </c>
      <c r="D348">
        <v>456</v>
      </c>
      <c r="E348">
        <v>1577198478</v>
      </c>
      <c r="F348">
        <v>4401</v>
      </c>
      <c r="G348">
        <v>0</v>
      </c>
      <c r="H348" t="s">
        <v>5275</v>
      </c>
      <c r="I348">
        <v>407</v>
      </c>
      <c r="J348" t="str">
        <f>VLOOKUP(E348,DSSpieler!A:B,2,FALSE)</f>
        <v>Ghosper</v>
      </c>
    </row>
    <row r="349" spans="1:10" x14ac:dyDescent="0.25">
      <c r="A349">
        <v>408</v>
      </c>
      <c r="B349" t="s">
        <v>531</v>
      </c>
      <c r="C349">
        <v>504</v>
      </c>
      <c r="D349">
        <v>561</v>
      </c>
      <c r="E349">
        <v>0</v>
      </c>
      <c r="F349">
        <v>394</v>
      </c>
      <c r="G349">
        <v>0</v>
      </c>
      <c r="H349" t="s">
        <v>5276</v>
      </c>
      <c r="I349">
        <v>408</v>
      </c>
      <c r="J349" t="e">
        <f>VLOOKUP(E349,DSSpieler!A:B,2,FALSE)</f>
        <v>#N/A</v>
      </c>
    </row>
    <row r="350" spans="1:10" x14ac:dyDescent="0.25">
      <c r="A350">
        <v>409</v>
      </c>
      <c r="B350" t="s">
        <v>30660</v>
      </c>
      <c r="C350">
        <v>475</v>
      </c>
      <c r="D350">
        <v>458</v>
      </c>
      <c r="E350">
        <v>1577171236</v>
      </c>
      <c r="F350">
        <v>5729</v>
      </c>
      <c r="G350">
        <v>0</v>
      </c>
      <c r="H350" t="s">
        <v>5277</v>
      </c>
      <c r="I350">
        <v>409</v>
      </c>
      <c r="J350" t="str">
        <f>VLOOKUP(E350,DSSpieler!A:B,2,FALSE)</f>
        <v>taladion</v>
      </c>
    </row>
    <row r="351" spans="1:10" x14ac:dyDescent="0.25">
      <c r="A351">
        <v>410</v>
      </c>
      <c r="B351" t="s">
        <v>601</v>
      </c>
      <c r="C351">
        <v>486</v>
      </c>
      <c r="D351">
        <v>470</v>
      </c>
      <c r="E351">
        <v>3020711</v>
      </c>
      <c r="F351">
        <v>2251</v>
      </c>
      <c r="G351">
        <v>0</v>
      </c>
      <c r="H351" t="s">
        <v>5278</v>
      </c>
      <c r="I351">
        <v>410</v>
      </c>
      <c r="J351" t="e">
        <f>VLOOKUP(E351,DSSpieler!A:B,2,FALSE)</f>
        <v>#NAME?</v>
      </c>
    </row>
    <row r="352" spans="1:10" x14ac:dyDescent="0.25">
      <c r="A352">
        <v>411</v>
      </c>
      <c r="B352" t="s">
        <v>531</v>
      </c>
      <c r="C352">
        <v>485</v>
      </c>
      <c r="D352">
        <v>564</v>
      </c>
      <c r="E352">
        <v>0</v>
      </c>
      <c r="F352">
        <v>358</v>
      </c>
      <c r="G352">
        <v>0</v>
      </c>
      <c r="H352" t="s">
        <v>5279</v>
      </c>
      <c r="I352">
        <v>411</v>
      </c>
      <c r="J352" t="e">
        <f>VLOOKUP(E352,DSSpieler!A:B,2,FALSE)</f>
        <v>#N/A</v>
      </c>
    </row>
    <row r="353" spans="1:10" x14ac:dyDescent="0.25">
      <c r="A353">
        <v>413</v>
      </c>
      <c r="B353" t="s">
        <v>531</v>
      </c>
      <c r="C353">
        <v>504</v>
      </c>
      <c r="D353">
        <v>443</v>
      </c>
      <c r="E353">
        <v>0</v>
      </c>
      <c r="F353">
        <v>409</v>
      </c>
      <c r="G353">
        <v>0</v>
      </c>
      <c r="H353" t="s">
        <v>5280</v>
      </c>
      <c r="I353">
        <v>413</v>
      </c>
      <c r="J353" t="e">
        <f>VLOOKUP(E353,DSSpieler!A:B,2,FALSE)</f>
        <v>#N/A</v>
      </c>
    </row>
    <row r="354" spans="1:10" x14ac:dyDescent="0.25">
      <c r="A354">
        <v>414</v>
      </c>
      <c r="B354" t="s">
        <v>780</v>
      </c>
      <c r="C354">
        <v>579</v>
      </c>
      <c r="D354">
        <v>556</v>
      </c>
      <c r="E354">
        <v>1577196659</v>
      </c>
      <c r="F354">
        <v>1593</v>
      </c>
      <c r="G354">
        <v>0</v>
      </c>
      <c r="H354" t="s">
        <v>5281</v>
      </c>
      <c r="I354">
        <v>414</v>
      </c>
      <c r="J354" t="str">
        <f>VLOOKUP(E354,DSSpieler!A:B,2,FALSE)</f>
        <v>gwendoline</v>
      </c>
    </row>
    <row r="355" spans="1:10" x14ac:dyDescent="0.25">
      <c r="A355">
        <v>415</v>
      </c>
      <c r="B355" t="s">
        <v>602</v>
      </c>
      <c r="C355">
        <v>452</v>
      </c>
      <c r="D355">
        <v>596</v>
      </c>
      <c r="E355">
        <v>1576337345</v>
      </c>
      <c r="F355">
        <v>1724</v>
      </c>
      <c r="G355">
        <v>0</v>
      </c>
      <c r="H355" t="s">
        <v>5282</v>
      </c>
      <c r="I355">
        <v>415</v>
      </c>
      <c r="J355" t="str">
        <f>VLOOKUP(E355,DSSpieler!A:B,2,FALSE)</f>
        <v>Hakuna-Matada</v>
      </c>
    </row>
    <row r="356" spans="1:10" x14ac:dyDescent="0.25">
      <c r="A356">
        <v>416</v>
      </c>
      <c r="B356" t="s">
        <v>531</v>
      </c>
      <c r="C356">
        <v>421</v>
      </c>
      <c r="D356">
        <v>521</v>
      </c>
      <c r="E356">
        <v>0</v>
      </c>
      <c r="F356">
        <v>449</v>
      </c>
      <c r="G356">
        <v>0</v>
      </c>
      <c r="H356" t="s">
        <v>5283</v>
      </c>
      <c r="I356">
        <v>416</v>
      </c>
      <c r="J356" t="e">
        <f>VLOOKUP(E356,DSSpieler!A:B,2,FALSE)</f>
        <v>#N/A</v>
      </c>
    </row>
    <row r="357" spans="1:10" x14ac:dyDescent="0.25">
      <c r="A357">
        <v>417</v>
      </c>
      <c r="B357">
        <v>1</v>
      </c>
      <c r="C357">
        <v>440</v>
      </c>
      <c r="D357">
        <v>592</v>
      </c>
      <c r="E357">
        <v>9678265</v>
      </c>
      <c r="F357">
        <v>4005</v>
      </c>
      <c r="G357">
        <v>0</v>
      </c>
      <c r="H357" t="s">
        <v>5284</v>
      </c>
      <c r="I357">
        <v>417</v>
      </c>
      <c r="J357" t="str">
        <f>VLOOKUP(E357,DSSpieler!A:B,2,FALSE)</f>
        <v>Tomawhok</v>
      </c>
    </row>
    <row r="358" spans="1:10" x14ac:dyDescent="0.25">
      <c r="A358">
        <v>418</v>
      </c>
      <c r="B358" t="s">
        <v>531</v>
      </c>
      <c r="C358">
        <v>473</v>
      </c>
      <c r="D358">
        <v>468</v>
      </c>
      <c r="E358">
        <v>0</v>
      </c>
      <c r="F358">
        <v>217</v>
      </c>
      <c r="G358">
        <v>0</v>
      </c>
      <c r="H358" t="s">
        <v>5285</v>
      </c>
      <c r="I358">
        <v>418</v>
      </c>
      <c r="J358" t="e">
        <f>VLOOKUP(E358,DSSpieler!A:B,2,FALSE)</f>
        <v>#N/A</v>
      </c>
    </row>
    <row r="359" spans="1:10" x14ac:dyDescent="0.25">
      <c r="A359">
        <v>419</v>
      </c>
      <c r="B359" t="s">
        <v>603</v>
      </c>
      <c r="C359">
        <v>476</v>
      </c>
      <c r="D359">
        <v>487</v>
      </c>
      <c r="E359">
        <v>1577046410</v>
      </c>
      <c r="F359">
        <v>3628</v>
      </c>
      <c r="G359">
        <v>0</v>
      </c>
      <c r="H359" t="s">
        <v>5286</v>
      </c>
      <c r="I359">
        <v>419</v>
      </c>
      <c r="J359" t="str">
        <f>VLOOKUP(E359,DSSpieler!A:B,2,FALSE)</f>
        <v>Zangi1988</v>
      </c>
    </row>
    <row r="360" spans="1:10" x14ac:dyDescent="0.25">
      <c r="A360">
        <v>420</v>
      </c>
      <c r="B360">
        <v>1</v>
      </c>
      <c r="C360">
        <v>447</v>
      </c>
      <c r="D360">
        <v>591</v>
      </c>
      <c r="E360">
        <v>1133428</v>
      </c>
      <c r="F360">
        <v>7956</v>
      </c>
      <c r="G360">
        <v>0</v>
      </c>
      <c r="H360" t="s">
        <v>5287</v>
      </c>
      <c r="I360">
        <v>420</v>
      </c>
      <c r="J360" t="str">
        <f>VLOOKUP(E360,DSSpieler!A:B,2,FALSE)</f>
        <v>Söni</v>
      </c>
    </row>
    <row r="361" spans="1:10" x14ac:dyDescent="0.25">
      <c r="A361">
        <v>421</v>
      </c>
      <c r="B361" t="s">
        <v>30662</v>
      </c>
      <c r="C361">
        <v>488</v>
      </c>
      <c r="D361">
        <v>404</v>
      </c>
      <c r="E361">
        <v>1577195778</v>
      </c>
      <c r="F361">
        <v>4800</v>
      </c>
      <c r="G361">
        <v>0</v>
      </c>
      <c r="H361" t="s">
        <v>5288</v>
      </c>
      <c r="I361">
        <v>421</v>
      </c>
      <c r="J361" t="str">
        <f>VLOOKUP(E361,DSSpieler!A:B,2,FALSE)</f>
        <v>Overdose704</v>
      </c>
    </row>
    <row r="362" spans="1:10" x14ac:dyDescent="0.25">
      <c r="A362">
        <v>422</v>
      </c>
      <c r="B362" t="s">
        <v>30663</v>
      </c>
      <c r="C362">
        <v>497</v>
      </c>
      <c r="D362">
        <v>473</v>
      </c>
      <c r="E362">
        <v>1577197765</v>
      </c>
      <c r="F362">
        <v>521</v>
      </c>
      <c r="G362">
        <v>0</v>
      </c>
      <c r="H362" t="s">
        <v>5289</v>
      </c>
      <c r="I362">
        <v>422</v>
      </c>
      <c r="J362" t="str">
        <f>VLOOKUP(E362,DSSpieler!A:B,2,FALSE)</f>
        <v>Lord Sprantie</v>
      </c>
    </row>
    <row r="363" spans="1:10" x14ac:dyDescent="0.25">
      <c r="A363">
        <v>423</v>
      </c>
      <c r="B363" t="s">
        <v>30664</v>
      </c>
      <c r="C363">
        <v>482</v>
      </c>
      <c r="D363">
        <v>471</v>
      </c>
      <c r="E363">
        <v>1577064044</v>
      </c>
      <c r="F363">
        <v>1204</v>
      </c>
      <c r="G363">
        <v>0</v>
      </c>
      <c r="H363" t="s">
        <v>5290</v>
      </c>
      <c r="I363">
        <v>423</v>
      </c>
      <c r="J363" t="str">
        <f>VLOOKUP(E363,DSSpieler!A:B,2,FALSE)</f>
        <v>Lord Veralus</v>
      </c>
    </row>
    <row r="364" spans="1:10" x14ac:dyDescent="0.25">
      <c r="A364">
        <v>424</v>
      </c>
      <c r="B364" t="s">
        <v>604</v>
      </c>
      <c r="C364">
        <v>486</v>
      </c>
      <c r="D364">
        <v>451</v>
      </c>
      <c r="E364">
        <v>1577192116</v>
      </c>
      <c r="F364">
        <v>3657</v>
      </c>
      <c r="G364">
        <v>0</v>
      </c>
      <c r="H364" t="s">
        <v>5291</v>
      </c>
      <c r="I364">
        <v>424</v>
      </c>
      <c r="J364" t="str">
        <f>VLOOKUP(E364,DSSpieler!A:B,2,FALSE)</f>
        <v>Thorair</v>
      </c>
    </row>
    <row r="365" spans="1:10" x14ac:dyDescent="0.25">
      <c r="A365">
        <v>425</v>
      </c>
      <c r="B365">
        <v>3</v>
      </c>
      <c r="C365">
        <v>467</v>
      </c>
      <c r="D365">
        <v>458</v>
      </c>
      <c r="E365">
        <v>1577145074</v>
      </c>
      <c r="F365">
        <v>5238</v>
      </c>
      <c r="G365">
        <v>0</v>
      </c>
      <c r="H365" t="s">
        <v>5292</v>
      </c>
      <c r="I365">
        <v>425</v>
      </c>
      <c r="J365" t="str">
        <f>VLOOKUP(E365,DSSpieler!A:B,2,FALSE)</f>
        <v>ichbinsnur</v>
      </c>
    </row>
    <row r="366" spans="1:10" x14ac:dyDescent="0.25">
      <c r="A366">
        <v>426</v>
      </c>
      <c r="B366">
        <v>1</v>
      </c>
      <c r="C366">
        <v>495</v>
      </c>
      <c r="D366">
        <v>491</v>
      </c>
      <c r="E366">
        <v>333547</v>
      </c>
      <c r="F366">
        <v>4247</v>
      </c>
      <c r="G366">
        <v>0</v>
      </c>
      <c r="H366" t="s">
        <v>5293</v>
      </c>
      <c r="I366">
        <v>426</v>
      </c>
      <c r="J366" t="str">
        <f>VLOOKUP(E366,DSSpieler!A:B,2,FALSE)</f>
        <v>K.G.S</v>
      </c>
    </row>
    <row r="367" spans="1:10" x14ac:dyDescent="0.25">
      <c r="A367">
        <v>427</v>
      </c>
      <c r="B367" t="s">
        <v>531</v>
      </c>
      <c r="C367">
        <v>531</v>
      </c>
      <c r="D367">
        <v>483</v>
      </c>
      <c r="E367">
        <v>0</v>
      </c>
      <c r="F367">
        <v>485</v>
      </c>
      <c r="G367">
        <v>0</v>
      </c>
      <c r="H367" t="s">
        <v>5294</v>
      </c>
      <c r="I367">
        <v>427</v>
      </c>
      <c r="J367" t="e">
        <f>VLOOKUP(E367,DSSpieler!A:B,2,FALSE)</f>
        <v>#N/A</v>
      </c>
    </row>
    <row r="368" spans="1:10" x14ac:dyDescent="0.25">
      <c r="A368">
        <v>428</v>
      </c>
      <c r="B368" t="e">
        <f>-2-+Belgisches+village</f>
        <v>#NAME?</v>
      </c>
      <c r="C368">
        <v>493</v>
      </c>
      <c r="D368">
        <v>496</v>
      </c>
      <c r="E368">
        <v>1577195481</v>
      </c>
      <c r="F368">
        <v>4563</v>
      </c>
      <c r="G368">
        <v>0</v>
      </c>
      <c r="H368" t="s">
        <v>5295</v>
      </c>
      <c r="I368">
        <v>428</v>
      </c>
      <c r="J368" t="str">
        <f>VLOOKUP(E368,DSSpieler!A:B,2,FALSE)</f>
        <v>alex27</v>
      </c>
    </row>
    <row r="369" spans="1:10" x14ac:dyDescent="0.25">
      <c r="A369">
        <v>429</v>
      </c>
      <c r="B369" t="s">
        <v>30665</v>
      </c>
      <c r="C369">
        <v>501</v>
      </c>
      <c r="D369">
        <v>496</v>
      </c>
      <c r="E369">
        <v>1577193754</v>
      </c>
      <c r="F369">
        <v>1117</v>
      </c>
      <c r="G369">
        <v>0</v>
      </c>
      <c r="H369" t="s">
        <v>5296</v>
      </c>
      <c r="I369">
        <v>429</v>
      </c>
      <c r="J369" t="str">
        <f>VLOOKUP(E369,DSSpieler!A:B,2,FALSE)</f>
        <v>Mischamalist</v>
      </c>
    </row>
    <row r="370" spans="1:10" x14ac:dyDescent="0.25">
      <c r="A370">
        <v>430</v>
      </c>
      <c r="B370" t="s">
        <v>30666</v>
      </c>
      <c r="C370">
        <v>497</v>
      </c>
      <c r="D370">
        <v>490</v>
      </c>
      <c r="E370">
        <v>1576492004</v>
      </c>
      <c r="F370">
        <v>5054</v>
      </c>
      <c r="G370">
        <v>0</v>
      </c>
      <c r="H370" t="s">
        <v>5297</v>
      </c>
      <c r="I370">
        <v>430</v>
      </c>
      <c r="J370" t="str">
        <f>VLOOKUP(E370,DSSpieler!A:B,2,FALSE)</f>
        <v>Bready96</v>
      </c>
    </row>
    <row r="371" spans="1:10" x14ac:dyDescent="0.25">
      <c r="A371">
        <v>431</v>
      </c>
      <c r="B371">
        <v>2</v>
      </c>
      <c r="C371">
        <v>495</v>
      </c>
      <c r="D371">
        <v>494</v>
      </c>
      <c r="E371">
        <v>333547</v>
      </c>
      <c r="F371">
        <v>2829</v>
      </c>
      <c r="G371">
        <v>0</v>
      </c>
      <c r="H371" t="s">
        <v>5298</v>
      </c>
      <c r="I371">
        <v>431</v>
      </c>
      <c r="J371" t="str">
        <f>VLOOKUP(E371,DSSpieler!A:B,2,FALSE)</f>
        <v>K.G.S</v>
      </c>
    </row>
    <row r="372" spans="1:10" x14ac:dyDescent="0.25">
      <c r="A372">
        <v>432</v>
      </c>
      <c r="B372">
        <v>3</v>
      </c>
      <c r="C372">
        <v>499</v>
      </c>
      <c r="D372">
        <v>492</v>
      </c>
      <c r="E372">
        <v>333547</v>
      </c>
      <c r="F372">
        <v>4165</v>
      </c>
      <c r="G372">
        <v>0</v>
      </c>
      <c r="H372" t="s">
        <v>5299</v>
      </c>
      <c r="I372">
        <v>432</v>
      </c>
      <c r="J372" t="str">
        <f>VLOOKUP(E372,DSSpieler!A:B,2,FALSE)</f>
        <v>K.G.S</v>
      </c>
    </row>
    <row r="373" spans="1:10" x14ac:dyDescent="0.25">
      <c r="A373">
        <v>433</v>
      </c>
      <c r="B373" t="s">
        <v>30667</v>
      </c>
      <c r="C373">
        <v>501</v>
      </c>
      <c r="D373">
        <v>486</v>
      </c>
      <c r="E373">
        <v>1577194075</v>
      </c>
      <c r="F373">
        <v>3604</v>
      </c>
      <c r="G373">
        <v>0</v>
      </c>
      <c r="H373" t="s">
        <v>5300</v>
      </c>
      <c r="I373">
        <v>433</v>
      </c>
      <c r="J373" t="str">
        <f>VLOOKUP(E373,DSSpieler!A:B,2,FALSE)</f>
        <v>TEET</v>
      </c>
    </row>
    <row r="374" spans="1:10" x14ac:dyDescent="0.25">
      <c r="A374">
        <v>434</v>
      </c>
      <c r="B374" t="s">
        <v>605</v>
      </c>
      <c r="C374">
        <v>498</v>
      </c>
      <c r="D374">
        <v>495</v>
      </c>
      <c r="E374">
        <v>1576891726</v>
      </c>
      <c r="F374">
        <v>4624</v>
      </c>
      <c r="G374">
        <v>0</v>
      </c>
      <c r="H374" t="s">
        <v>5301</v>
      </c>
      <c r="I374">
        <v>434</v>
      </c>
      <c r="J374" t="str">
        <f>VLOOKUP(E374,DSSpieler!A:B,2,FALSE)</f>
        <v>ultma189</v>
      </c>
    </row>
    <row r="375" spans="1:10" x14ac:dyDescent="0.25">
      <c r="A375">
        <v>435</v>
      </c>
      <c r="B375" t="s">
        <v>30668</v>
      </c>
      <c r="C375">
        <v>490</v>
      </c>
      <c r="D375">
        <v>494</v>
      </c>
      <c r="E375">
        <v>1577197045</v>
      </c>
      <c r="F375">
        <v>6410</v>
      </c>
      <c r="G375">
        <v>0</v>
      </c>
      <c r="H375" t="s">
        <v>5302</v>
      </c>
      <c r="I375">
        <v>435</v>
      </c>
      <c r="J375" t="str">
        <f>VLOOKUP(E375,DSSpieler!A:B,2,FALSE)</f>
        <v>Horst2000</v>
      </c>
    </row>
    <row r="376" spans="1:10" x14ac:dyDescent="0.25">
      <c r="A376">
        <v>436</v>
      </c>
      <c r="B376" t="s">
        <v>30669</v>
      </c>
      <c r="C376">
        <v>521</v>
      </c>
      <c r="D376">
        <v>548</v>
      </c>
      <c r="E376">
        <v>1577198800</v>
      </c>
      <c r="F376">
        <v>4567</v>
      </c>
      <c r="G376">
        <v>0</v>
      </c>
      <c r="H376" t="s">
        <v>5303</v>
      </c>
      <c r="I376">
        <v>436</v>
      </c>
      <c r="J376" t="str">
        <f>VLOOKUP(E376,DSSpieler!A:B,2,FALSE)</f>
        <v>Ulbanizer1412</v>
      </c>
    </row>
    <row r="377" spans="1:10" x14ac:dyDescent="0.25">
      <c r="A377">
        <v>437</v>
      </c>
      <c r="B377">
        <v>178</v>
      </c>
      <c r="C377">
        <v>519</v>
      </c>
      <c r="D377">
        <v>543</v>
      </c>
      <c r="E377">
        <v>9978884</v>
      </c>
      <c r="F377">
        <v>6751</v>
      </c>
      <c r="G377">
        <v>0</v>
      </c>
      <c r="H377" t="s">
        <v>5304</v>
      </c>
      <c r="I377">
        <v>437</v>
      </c>
      <c r="J377" t="str">
        <f>VLOOKUP(E377,DSSpieler!A:B,2,FALSE)</f>
        <v>nexuspremium</v>
      </c>
    </row>
    <row r="378" spans="1:10" x14ac:dyDescent="0.25">
      <c r="A378">
        <v>438</v>
      </c>
      <c r="B378" t="s">
        <v>531</v>
      </c>
      <c r="C378">
        <v>516</v>
      </c>
      <c r="D378">
        <v>551</v>
      </c>
      <c r="E378">
        <v>0</v>
      </c>
      <c r="F378">
        <v>38</v>
      </c>
      <c r="G378">
        <v>0</v>
      </c>
      <c r="H378" t="s">
        <v>5305</v>
      </c>
      <c r="I378">
        <v>438</v>
      </c>
      <c r="J378" t="e">
        <f>VLOOKUP(E378,DSSpieler!A:B,2,FALSE)</f>
        <v>#N/A</v>
      </c>
    </row>
    <row r="379" spans="1:10" x14ac:dyDescent="0.25">
      <c r="A379">
        <v>439</v>
      </c>
      <c r="B379" t="s">
        <v>606</v>
      </c>
      <c r="C379">
        <v>467</v>
      </c>
      <c r="D379">
        <v>404</v>
      </c>
      <c r="E379">
        <v>8153826</v>
      </c>
      <c r="F379">
        <v>3603</v>
      </c>
      <c r="G379">
        <v>0</v>
      </c>
      <c r="H379" t="s">
        <v>5306</v>
      </c>
      <c r="I379">
        <v>439</v>
      </c>
      <c r="J379" t="str">
        <f>VLOOKUP(E379,DSSpieler!A:B,2,FALSE)</f>
        <v>--BARROW--</v>
      </c>
    </row>
    <row r="380" spans="1:10" x14ac:dyDescent="0.25">
      <c r="A380">
        <v>440</v>
      </c>
      <c r="B380" t="s">
        <v>607</v>
      </c>
      <c r="C380">
        <v>473</v>
      </c>
      <c r="D380">
        <v>410</v>
      </c>
      <c r="E380">
        <v>1577192836</v>
      </c>
      <c r="F380">
        <v>3257</v>
      </c>
      <c r="G380">
        <v>0</v>
      </c>
      <c r="H380" t="s">
        <v>5307</v>
      </c>
      <c r="I380">
        <v>440</v>
      </c>
      <c r="J380" t="str">
        <f>VLOOKUP(E380,DSSpieler!A:B,2,FALSE)</f>
        <v>njeri</v>
      </c>
    </row>
    <row r="381" spans="1:10" x14ac:dyDescent="0.25">
      <c r="A381">
        <v>441</v>
      </c>
      <c r="B381" t="s">
        <v>30670</v>
      </c>
      <c r="C381">
        <v>475</v>
      </c>
      <c r="D381">
        <v>408</v>
      </c>
      <c r="E381">
        <v>7615580</v>
      </c>
      <c r="F381">
        <v>2082</v>
      </c>
      <c r="G381">
        <v>0</v>
      </c>
      <c r="H381" t="s">
        <v>5308</v>
      </c>
      <c r="I381">
        <v>441</v>
      </c>
      <c r="J381" t="str">
        <f>VLOOKUP(E381,DSSpieler!A:B,2,FALSE)</f>
        <v>König Pilsener</v>
      </c>
    </row>
    <row r="382" spans="1:10" x14ac:dyDescent="0.25">
      <c r="A382">
        <v>442</v>
      </c>
      <c r="B382" t="s">
        <v>608</v>
      </c>
      <c r="C382">
        <v>586</v>
      </c>
      <c r="D382">
        <v>462</v>
      </c>
      <c r="E382">
        <v>1576961556</v>
      </c>
      <c r="F382">
        <v>3173</v>
      </c>
      <c r="G382">
        <v>0</v>
      </c>
      <c r="H382" t="s">
        <v>5309</v>
      </c>
      <c r="I382">
        <v>442</v>
      </c>
      <c r="J382" t="str">
        <f>VLOOKUP(E382,DSSpieler!A:B,2,FALSE)</f>
        <v>TraderJoey2</v>
      </c>
    </row>
    <row r="383" spans="1:10" x14ac:dyDescent="0.25">
      <c r="A383">
        <v>443</v>
      </c>
      <c r="B383" t="s">
        <v>30671</v>
      </c>
      <c r="C383">
        <v>596</v>
      </c>
      <c r="D383">
        <v>466</v>
      </c>
      <c r="E383">
        <v>1577176958</v>
      </c>
      <c r="F383">
        <v>4481</v>
      </c>
      <c r="G383">
        <v>0</v>
      </c>
      <c r="H383" t="s">
        <v>5310</v>
      </c>
      <c r="I383">
        <v>443</v>
      </c>
      <c r="J383" t="str">
        <f>VLOOKUP(E383,DSSpieler!A:B,2,FALSE)</f>
        <v>MultiCore</v>
      </c>
    </row>
    <row r="384" spans="1:10" x14ac:dyDescent="0.25">
      <c r="A384">
        <v>444</v>
      </c>
      <c r="B384">
        <v>3</v>
      </c>
      <c r="C384">
        <v>592</v>
      </c>
      <c r="D384">
        <v>458</v>
      </c>
      <c r="E384">
        <v>9788379</v>
      </c>
      <c r="F384">
        <v>1462</v>
      </c>
      <c r="G384">
        <v>0</v>
      </c>
      <c r="H384" t="s">
        <v>5311</v>
      </c>
      <c r="I384">
        <v>444</v>
      </c>
      <c r="J384" t="str">
        <f>VLOOKUP(E384,DSSpieler!A:B,2,FALSE)</f>
        <v>Saveworld</v>
      </c>
    </row>
    <row r="385" spans="1:10" x14ac:dyDescent="0.25">
      <c r="A385">
        <v>445</v>
      </c>
      <c r="B385" t="s">
        <v>30672</v>
      </c>
      <c r="C385">
        <v>599</v>
      </c>
      <c r="D385">
        <v>472</v>
      </c>
      <c r="E385">
        <v>1577196521</v>
      </c>
      <c r="F385">
        <v>5747</v>
      </c>
      <c r="G385">
        <v>0</v>
      </c>
      <c r="H385" t="s">
        <v>5312</v>
      </c>
      <c r="I385">
        <v>445</v>
      </c>
      <c r="J385" t="str">
        <f>VLOOKUP(E385,DSSpieler!A:B,2,FALSE)</f>
        <v>Donauwelle</v>
      </c>
    </row>
    <row r="386" spans="1:10" x14ac:dyDescent="0.25">
      <c r="A386">
        <v>446</v>
      </c>
      <c r="B386" t="s">
        <v>609</v>
      </c>
      <c r="C386">
        <v>594</v>
      </c>
      <c r="D386">
        <v>467</v>
      </c>
      <c r="E386">
        <v>1576945801</v>
      </c>
      <c r="F386">
        <v>6145</v>
      </c>
      <c r="G386">
        <v>0</v>
      </c>
      <c r="H386" t="s">
        <v>5313</v>
      </c>
      <c r="I386">
        <v>446</v>
      </c>
      <c r="J386" t="str">
        <f>VLOOKUP(E386,DSSpieler!A:B,2,FALSE)</f>
        <v>NoNameFree</v>
      </c>
    </row>
    <row r="387" spans="1:10" x14ac:dyDescent="0.25">
      <c r="A387">
        <v>447</v>
      </c>
      <c r="B387" t="s">
        <v>610</v>
      </c>
      <c r="C387">
        <v>597</v>
      </c>
      <c r="D387">
        <v>460</v>
      </c>
      <c r="E387">
        <v>1577141115</v>
      </c>
      <c r="F387">
        <v>5107</v>
      </c>
      <c r="G387">
        <v>0</v>
      </c>
      <c r="H387" t="s">
        <v>5314</v>
      </c>
      <c r="I387">
        <v>447</v>
      </c>
      <c r="J387" t="str">
        <f>VLOOKUP(E387,DSSpieler!A:B,2,FALSE)</f>
        <v>MJ267-</v>
      </c>
    </row>
    <row r="388" spans="1:10" x14ac:dyDescent="0.25">
      <c r="A388">
        <v>448</v>
      </c>
      <c r="B388" t="s">
        <v>30673</v>
      </c>
      <c r="C388">
        <v>590</v>
      </c>
      <c r="D388">
        <v>476</v>
      </c>
      <c r="E388">
        <v>1577197941</v>
      </c>
      <c r="F388">
        <v>4828</v>
      </c>
      <c r="G388">
        <v>0</v>
      </c>
      <c r="H388" t="s">
        <v>5315</v>
      </c>
      <c r="I388">
        <v>448</v>
      </c>
      <c r="J388" t="str">
        <f>VLOOKUP(E388,DSSpieler!A:B,2,FALSE)</f>
        <v>Copter</v>
      </c>
    </row>
    <row r="389" spans="1:10" x14ac:dyDescent="0.25">
      <c r="A389">
        <v>449</v>
      </c>
      <c r="B389" t="s">
        <v>540</v>
      </c>
      <c r="C389">
        <v>599</v>
      </c>
      <c r="D389">
        <v>473</v>
      </c>
      <c r="E389">
        <v>1576218773</v>
      </c>
      <c r="F389">
        <v>4849</v>
      </c>
      <c r="G389">
        <v>0</v>
      </c>
      <c r="H389" t="s">
        <v>5316</v>
      </c>
      <c r="I389">
        <v>449</v>
      </c>
      <c r="J389" t="str">
        <f>VLOOKUP(E389,DSSpieler!A:B,2,FALSE)</f>
        <v>Putinsrechtehand</v>
      </c>
    </row>
    <row r="390" spans="1:10" x14ac:dyDescent="0.25">
      <c r="A390">
        <v>450</v>
      </c>
      <c r="B390">
        <v>3</v>
      </c>
      <c r="C390">
        <v>596</v>
      </c>
      <c r="D390">
        <v>457</v>
      </c>
      <c r="E390">
        <v>1576089212</v>
      </c>
      <c r="F390">
        <v>5354</v>
      </c>
      <c r="G390">
        <v>0</v>
      </c>
      <c r="H390" t="s">
        <v>5317</v>
      </c>
      <c r="I390">
        <v>450</v>
      </c>
      <c r="J390" t="str">
        <f>VLOOKUP(E390,DSSpieler!A:B,2,FALSE)</f>
        <v>mamba1993</v>
      </c>
    </row>
    <row r="391" spans="1:10" x14ac:dyDescent="0.25">
      <c r="A391">
        <v>451</v>
      </c>
      <c r="B391" t="s">
        <v>540</v>
      </c>
      <c r="C391">
        <v>593</v>
      </c>
      <c r="D391">
        <v>467</v>
      </c>
      <c r="E391">
        <v>1576218773</v>
      </c>
      <c r="F391">
        <v>3595</v>
      </c>
      <c r="G391">
        <v>0</v>
      </c>
      <c r="H391" t="s">
        <v>5318</v>
      </c>
      <c r="I391">
        <v>451</v>
      </c>
      <c r="J391" t="str">
        <f>VLOOKUP(E391,DSSpieler!A:B,2,FALSE)</f>
        <v>Putinsrechtehand</v>
      </c>
    </row>
    <row r="392" spans="1:10" x14ac:dyDescent="0.25">
      <c r="A392">
        <v>452</v>
      </c>
      <c r="B392" t="s">
        <v>30674</v>
      </c>
      <c r="C392">
        <v>589</v>
      </c>
      <c r="D392">
        <v>473</v>
      </c>
      <c r="E392">
        <v>378401</v>
      </c>
      <c r="F392">
        <v>3639</v>
      </c>
      <c r="G392">
        <v>0</v>
      </c>
      <c r="H392" t="s">
        <v>5319</v>
      </c>
      <c r="I392">
        <v>452</v>
      </c>
      <c r="J392" t="str">
        <f>VLOOKUP(E392,DSSpieler!A:B,2,FALSE)</f>
        <v>DerChucky</v>
      </c>
    </row>
    <row r="393" spans="1:10" x14ac:dyDescent="0.25">
      <c r="A393">
        <v>453</v>
      </c>
      <c r="B393" t="s">
        <v>531</v>
      </c>
      <c r="C393">
        <v>511</v>
      </c>
      <c r="D393">
        <v>440</v>
      </c>
      <c r="E393">
        <v>0</v>
      </c>
      <c r="F393">
        <v>359</v>
      </c>
      <c r="G393">
        <v>0</v>
      </c>
      <c r="H393" t="s">
        <v>5320</v>
      </c>
      <c r="I393">
        <v>453</v>
      </c>
      <c r="J393" t="e">
        <f>VLOOKUP(E393,DSSpieler!A:B,2,FALSE)</f>
        <v>#N/A</v>
      </c>
    </row>
    <row r="394" spans="1:10" x14ac:dyDescent="0.25">
      <c r="A394">
        <v>454</v>
      </c>
      <c r="B394" t="s">
        <v>30675</v>
      </c>
      <c r="C394">
        <v>595</v>
      </c>
      <c r="D394">
        <v>474</v>
      </c>
      <c r="E394">
        <v>1576945801</v>
      </c>
      <c r="F394">
        <v>4028</v>
      </c>
      <c r="G394">
        <v>0</v>
      </c>
      <c r="H394" t="s">
        <v>5321</v>
      </c>
      <c r="I394">
        <v>454</v>
      </c>
      <c r="J394" t="str">
        <f>VLOOKUP(E394,DSSpieler!A:B,2,FALSE)</f>
        <v>NoNameFree</v>
      </c>
    </row>
    <row r="395" spans="1:10" x14ac:dyDescent="0.25">
      <c r="A395">
        <v>455</v>
      </c>
      <c r="B395" t="s">
        <v>531</v>
      </c>
      <c r="C395">
        <v>427</v>
      </c>
      <c r="D395">
        <v>517</v>
      </c>
      <c r="E395">
        <v>0</v>
      </c>
      <c r="F395">
        <v>271</v>
      </c>
      <c r="G395">
        <v>0</v>
      </c>
      <c r="H395" t="s">
        <v>5322</v>
      </c>
      <c r="I395">
        <v>455</v>
      </c>
      <c r="J395" t="e">
        <f>VLOOKUP(E395,DSSpieler!A:B,2,FALSE)</f>
        <v>#N/A</v>
      </c>
    </row>
    <row r="396" spans="1:10" x14ac:dyDescent="0.25">
      <c r="A396">
        <v>456</v>
      </c>
      <c r="B396" t="s">
        <v>30676</v>
      </c>
      <c r="C396">
        <v>587</v>
      </c>
      <c r="D396">
        <v>473</v>
      </c>
      <c r="E396">
        <v>378401</v>
      </c>
      <c r="F396">
        <v>5712</v>
      </c>
      <c r="G396">
        <v>0</v>
      </c>
      <c r="H396" t="s">
        <v>5323</v>
      </c>
      <c r="I396">
        <v>456</v>
      </c>
      <c r="J396" t="str">
        <f>VLOOKUP(E396,DSSpieler!A:B,2,FALSE)</f>
        <v>DerChucky</v>
      </c>
    </row>
    <row r="397" spans="1:10" x14ac:dyDescent="0.25">
      <c r="A397">
        <v>457</v>
      </c>
      <c r="B397" t="s">
        <v>30677</v>
      </c>
      <c r="C397">
        <v>585</v>
      </c>
      <c r="D397">
        <v>480</v>
      </c>
      <c r="E397">
        <v>1576958059</v>
      </c>
      <c r="F397">
        <v>7715</v>
      </c>
      <c r="G397">
        <v>0</v>
      </c>
      <c r="H397" t="s">
        <v>5324</v>
      </c>
      <c r="I397">
        <v>457</v>
      </c>
      <c r="J397" t="str">
        <f>VLOOKUP(E397,DSSpieler!A:B,2,FALSE)</f>
        <v>Test0817</v>
      </c>
    </row>
    <row r="398" spans="1:10" x14ac:dyDescent="0.25">
      <c r="A398">
        <v>458</v>
      </c>
      <c r="B398" t="s">
        <v>30678</v>
      </c>
      <c r="C398">
        <v>595</v>
      </c>
      <c r="D398">
        <v>473</v>
      </c>
      <c r="E398">
        <v>1576945801</v>
      </c>
      <c r="F398">
        <v>4612</v>
      </c>
      <c r="G398">
        <v>0</v>
      </c>
      <c r="H398" t="s">
        <v>5325</v>
      </c>
      <c r="I398">
        <v>458</v>
      </c>
      <c r="J398" t="str">
        <f>VLOOKUP(E398,DSSpieler!A:B,2,FALSE)</f>
        <v>NoNameFree</v>
      </c>
    </row>
    <row r="399" spans="1:10" x14ac:dyDescent="0.25">
      <c r="A399">
        <v>459</v>
      </c>
      <c r="B399" t="s">
        <v>30671</v>
      </c>
      <c r="C399">
        <v>603</v>
      </c>
      <c r="D399">
        <v>465</v>
      </c>
      <c r="E399">
        <v>1577176958</v>
      </c>
      <c r="F399">
        <v>5792</v>
      </c>
      <c r="G399">
        <v>0</v>
      </c>
      <c r="H399" t="s">
        <v>5326</v>
      </c>
      <c r="I399">
        <v>459</v>
      </c>
      <c r="J399" t="str">
        <f>VLOOKUP(E399,DSSpieler!A:B,2,FALSE)</f>
        <v>MultiCore</v>
      </c>
    </row>
    <row r="400" spans="1:10" x14ac:dyDescent="0.25">
      <c r="A400">
        <v>460</v>
      </c>
      <c r="B400" t="s">
        <v>30679</v>
      </c>
      <c r="C400">
        <v>505</v>
      </c>
      <c r="D400">
        <v>474</v>
      </c>
      <c r="E400">
        <v>1577195715</v>
      </c>
      <c r="F400">
        <v>259</v>
      </c>
      <c r="G400">
        <v>0</v>
      </c>
      <c r="H400" t="s">
        <v>5327</v>
      </c>
      <c r="I400">
        <v>460</v>
      </c>
      <c r="J400" t="str">
        <f>VLOOKUP(E400,DSSpieler!A:B,2,FALSE)</f>
        <v>Königin Stecken</v>
      </c>
    </row>
    <row r="401" spans="1:10" x14ac:dyDescent="0.25">
      <c r="A401">
        <v>461</v>
      </c>
      <c r="B401" t="s">
        <v>30680</v>
      </c>
      <c r="C401">
        <v>596</v>
      </c>
      <c r="D401">
        <v>470</v>
      </c>
      <c r="E401">
        <v>1575891872</v>
      </c>
      <c r="F401">
        <v>4428</v>
      </c>
      <c r="G401">
        <v>0</v>
      </c>
      <c r="H401" t="s">
        <v>5328</v>
      </c>
      <c r="I401">
        <v>461</v>
      </c>
      <c r="J401" t="str">
        <f>VLOOKUP(E401,DSSpieler!A:B,2,FALSE)</f>
        <v>Angsthasen 2.0</v>
      </c>
    </row>
    <row r="402" spans="1:10" x14ac:dyDescent="0.25">
      <c r="A402">
        <v>462</v>
      </c>
      <c r="B402" t="s">
        <v>611</v>
      </c>
      <c r="C402">
        <v>594</v>
      </c>
      <c r="D402">
        <v>474</v>
      </c>
      <c r="E402">
        <v>1577173034</v>
      </c>
      <c r="F402">
        <v>3345</v>
      </c>
      <c r="G402">
        <v>0</v>
      </c>
      <c r="H402" t="s">
        <v>5329</v>
      </c>
      <c r="I402">
        <v>462</v>
      </c>
      <c r="J402" t="str">
        <f>VLOOKUP(E402,DSSpieler!A:B,2,FALSE)</f>
        <v>LORD R3BORN</v>
      </c>
    </row>
    <row r="403" spans="1:10" x14ac:dyDescent="0.25">
      <c r="A403">
        <v>463</v>
      </c>
      <c r="B403" t="s">
        <v>531</v>
      </c>
      <c r="C403">
        <v>476</v>
      </c>
      <c r="D403">
        <v>458</v>
      </c>
      <c r="E403">
        <v>0</v>
      </c>
      <c r="F403">
        <v>256</v>
      </c>
      <c r="G403">
        <v>0</v>
      </c>
      <c r="H403" t="s">
        <v>5330</v>
      </c>
      <c r="I403">
        <v>463</v>
      </c>
      <c r="J403" t="e">
        <f>VLOOKUP(E403,DSSpieler!A:B,2,FALSE)</f>
        <v>#N/A</v>
      </c>
    </row>
    <row r="404" spans="1:10" x14ac:dyDescent="0.25">
      <c r="A404">
        <v>464</v>
      </c>
      <c r="B404" t="s">
        <v>30681</v>
      </c>
      <c r="C404">
        <v>604</v>
      </c>
      <c r="D404">
        <v>475</v>
      </c>
      <c r="E404">
        <v>1577014421</v>
      </c>
      <c r="F404">
        <v>5139</v>
      </c>
      <c r="G404">
        <v>0</v>
      </c>
      <c r="H404" t="s">
        <v>5331</v>
      </c>
      <c r="I404">
        <v>464</v>
      </c>
      <c r="J404" t="str">
        <f>VLOOKUP(E404,DSSpieler!A:B,2,FALSE)</f>
        <v>RealBigT</v>
      </c>
    </row>
    <row r="405" spans="1:10" x14ac:dyDescent="0.25">
      <c r="A405">
        <v>465</v>
      </c>
      <c r="B405" t="s">
        <v>531</v>
      </c>
      <c r="C405">
        <v>526</v>
      </c>
      <c r="D405">
        <v>552</v>
      </c>
      <c r="E405">
        <v>0</v>
      </c>
      <c r="F405">
        <v>419</v>
      </c>
      <c r="G405">
        <v>0</v>
      </c>
      <c r="H405" t="s">
        <v>5332</v>
      </c>
      <c r="I405">
        <v>465</v>
      </c>
      <c r="J405" t="e">
        <f>VLOOKUP(E405,DSSpieler!A:B,2,FALSE)</f>
        <v>#N/A</v>
      </c>
    </row>
    <row r="406" spans="1:10" x14ac:dyDescent="0.25">
      <c r="A406">
        <v>466</v>
      </c>
      <c r="B406" t="s">
        <v>30682</v>
      </c>
      <c r="C406">
        <v>597</v>
      </c>
      <c r="D406">
        <v>461</v>
      </c>
      <c r="E406">
        <v>1577188672</v>
      </c>
      <c r="F406">
        <v>5228</v>
      </c>
      <c r="G406">
        <v>0</v>
      </c>
      <c r="H406" t="s">
        <v>5333</v>
      </c>
      <c r="I406">
        <v>466</v>
      </c>
      <c r="J406" t="str">
        <f>VLOOKUP(E406,DSSpieler!A:B,2,FALSE)</f>
        <v>Der Haie</v>
      </c>
    </row>
    <row r="407" spans="1:10" x14ac:dyDescent="0.25">
      <c r="A407">
        <v>467</v>
      </c>
      <c r="B407" t="s">
        <v>30683</v>
      </c>
      <c r="C407">
        <v>594</v>
      </c>
      <c r="D407">
        <v>451</v>
      </c>
      <c r="E407">
        <v>1575891872</v>
      </c>
      <c r="F407">
        <v>4908</v>
      </c>
      <c r="G407">
        <v>0</v>
      </c>
      <c r="H407" t="s">
        <v>5334</v>
      </c>
      <c r="I407">
        <v>467</v>
      </c>
      <c r="J407" t="str">
        <f>VLOOKUP(E407,DSSpieler!A:B,2,FALSE)</f>
        <v>Angsthasen 2.0</v>
      </c>
    </row>
    <row r="408" spans="1:10" x14ac:dyDescent="0.25">
      <c r="A408">
        <v>468</v>
      </c>
      <c r="B408" t="s">
        <v>30684</v>
      </c>
      <c r="C408">
        <v>594</v>
      </c>
      <c r="D408">
        <v>476</v>
      </c>
      <c r="E408">
        <v>1191670</v>
      </c>
      <c r="F408">
        <v>4947</v>
      </c>
      <c r="G408">
        <v>0</v>
      </c>
      <c r="H408" t="s">
        <v>5335</v>
      </c>
      <c r="I408">
        <v>468</v>
      </c>
      <c r="J408" t="str">
        <f>VLOOKUP(E408,DSSpieler!A:B,2,FALSE)</f>
        <v>Kazuto Kirigaya</v>
      </c>
    </row>
    <row r="409" spans="1:10" x14ac:dyDescent="0.25">
      <c r="A409">
        <v>469</v>
      </c>
      <c r="B409" t="s">
        <v>30685</v>
      </c>
      <c r="C409">
        <v>594</v>
      </c>
      <c r="D409">
        <v>459</v>
      </c>
      <c r="E409">
        <v>9266958</v>
      </c>
      <c r="F409">
        <v>4126</v>
      </c>
      <c r="G409">
        <v>0</v>
      </c>
      <c r="H409" t="s">
        <v>5336</v>
      </c>
      <c r="I409">
        <v>469</v>
      </c>
      <c r="J409" t="str">
        <f>VLOOKUP(E409,DSSpieler!A:B,2,FALSE)</f>
        <v>stampede.</v>
      </c>
    </row>
    <row r="410" spans="1:10" x14ac:dyDescent="0.25">
      <c r="A410">
        <v>470</v>
      </c>
      <c r="B410" t="s">
        <v>612</v>
      </c>
      <c r="C410">
        <v>567</v>
      </c>
      <c r="D410">
        <v>418</v>
      </c>
      <c r="E410">
        <v>1576555364</v>
      </c>
      <c r="F410">
        <v>6095</v>
      </c>
      <c r="G410">
        <v>0</v>
      </c>
      <c r="H410" t="s">
        <v>5337</v>
      </c>
      <c r="I410">
        <v>470</v>
      </c>
      <c r="J410" t="str">
        <f>VLOOKUP(E410,DSSpieler!A:B,2,FALSE)</f>
        <v>König BraverFan</v>
      </c>
    </row>
    <row r="411" spans="1:10" x14ac:dyDescent="0.25">
      <c r="A411">
        <v>471</v>
      </c>
      <c r="B411" t="s">
        <v>30686</v>
      </c>
      <c r="C411">
        <v>560</v>
      </c>
      <c r="D411">
        <v>418</v>
      </c>
      <c r="E411">
        <v>1577091354</v>
      </c>
      <c r="F411">
        <v>5674</v>
      </c>
      <c r="G411">
        <v>0</v>
      </c>
      <c r="H411" t="s">
        <v>5338</v>
      </c>
      <c r="I411">
        <v>471</v>
      </c>
      <c r="J411" t="str">
        <f>VLOOKUP(E411,DSSpieler!A:B,2,FALSE)</f>
        <v>LilaLauneBär</v>
      </c>
    </row>
    <row r="412" spans="1:10" x14ac:dyDescent="0.25">
      <c r="A412">
        <v>472</v>
      </c>
      <c r="B412" t="s">
        <v>613</v>
      </c>
      <c r="C412">
        <v>598</v>
      </c>
      <c r="D412">
        <v>458</v>
      </c>
      <c r="E412">
        <v>1577064793</v>
      </c>
      <c r="F412">
        <v>4688</v>
      </c>
      <c r="G412">
        <v>0</v>
      </c>
      <c r="H412" t="s">
        <v>5339</v>
      </c>
      <c r="I412">
        <v>472</v>
      </c>
      <c r="J412" t="str">
        <f>VLOOKUP(E412,DSSpieler!A:B,2,FALSE)</f>
        <v>Thekingisback93</v>
      </c>
    </row>
    <row r="413" spans="1:10" x14ac:dyDescent="0.25">
      <c r="A413">
        <v>473</v>
      </c>
      <c r="B413" t="s">
        <v>614</v>
      </c>
      <c r="C413">
        <v>589</v>
      </c>
      <c r="D413">
        <v>461</v>
      </c>
      <c r="E413">
        <v>1577131370</v>
      </c>
      <c r="F413">
        <v>7216</v>
      </c>
      <c r="G413">
        <v>0</v>
      </c>
      <c r="H413" t="s">
        <v>5340</v>
      </c>
      <c r="I413">
        <v>473</v>
      </c>
      <c r="J413" t="str">
        <f>VLOOKUP(E413,DSSpieler!A:B,2,FALSE)</f>
        <v>FlodoBeutlin</v>
      </c>
    </row>
    <row r="414" spans="1:10" x14ac:dyDescent="0.25">
      <c r="A414">
        <v>474</v>
      </c>
      <c r="B414" t="s">
        <v>30687</v>
      </c>
      <c r="C414">
        <v>600</v>
      </c>
      <c r="D414">
        <v>464</v>
      </c>
      <c r="E414">
        <v>1576306956</v>
      </c>
      <c r="F414">
        <v>6072</v>
      </c>
      <c r="G414">
        <v>0</v>
      </c>
      <c r="H414" t="s">
        <v>5341</v>
      </c>
      <c r="I414">
        <v>474</v>
      </c>
      <c r="J414" t="str">
        <f>VLOOKUP(E414,DSSpieler!A:B,2,FALSE)</f>
        <v>Bratze82</v>
      </c>
    </row>
    <row r="415" spans="1:10" x14ac:dyDescent="0.25">
      <c r="A415">
        <v>475</v>
      </c>
      <c r="B415" t="s">
        <v>546</v>
      </c>
      <c r="C415">
        <v>490</v>
      </c>
      <c r="D415">
        <v>472</v>
      </c>
      <c r="E415">
        <v>1577157846</v>
      </c>
      <c r="F415">
        <v>4826</v>
      </c>
      <c r="G415">
        <v>0</v>
      </c>
      <c r="H415" t="s">
        <v>5342</v>
      </c>
      <c r="I415">
        <v>475</v>
      </c>
      <c r="J415" t="str">
        <f>VLOOKUP(E415,DSSpieler!A:B,2,FALSE)</f>
        <v>RuShApFeL</v>
      </c>
    </row>
    <row r="416" spans="1:10" x14ac:dyDescent="0.25">
      <c r="A416">
        <v>476</v>
      </c>
      <c r="B416" t="s">
        <v>30688</v>
      </c>
      <c r="C416">
        <v>479</v>
      </c>
      <c r="D416">
        <v>451</v>
      </c>
      <c r="E416">
        <v>1577164124</v>
      </c>
      <c r="F416">
        <v>3165</v>
      </c>
      <c r="G416">
        <v>0</v>
      </c>
      <c r="H416" t="s">
        <v>5343</v>
      </c>
      <c r="I416">
        <v>476</v>
      </c>
      <c r="J416" t="str">
        <f>VLOOKUP(E416,DSSpieler!A:B,2,FALSE)</f>
        <v>Killstealer</v>
      </c>
    </row>
    <row r="417" spans="1:10" x14ac:dyDescent="0.25">
      <c r="A417">
        <v>477</v>
      </c>
      <c r="B417" t="s">
        <v>531</v>
      </c>
      <c r="C417">
        <v>548</v>
      </c>
      <c r="D417">
        <v>528</v>
      </c>
      <c r="E417">
        <v>0</v>
      </c>
      <c r="F417">
        <v>324</v>
      </c>
      <c r="G417">
        <v>0</v>
      </c>
      <c r="H417" t="s">
        <v>5344</v>
      </c>
      <c r="I417">
        <v>477</v>
      </c>
      <c r="J417" t="e">
        <f>VLOOKUP(E417,DSSpieler!A:B,2,FALSE)</f>
        <v>#N/A</v>
      </c>
    </row>
    <row r="418" spans="1:10" x14ac:dyDescent="0.25">
      <c r="A418">
        <v>478</v>
      </c>
      <c r="B418" t="e">
        <f>-4-+Hiroshima</f>
        <v>#NAME?</v>
      </c>
      <c r="C418">
        <v>599</v>
      </c>
      <c r="D418">
        <v>454</v>
      </c>
      <c r="E418">
        <v>1577195851</v>
      </c>
      <c r="F418">
        <v>4847</v>
      </c>
      <c r="G418">
        <v>0</v>
      </c>
      <c r="H418" t="s">
        <v>5345</v>
      </c>
      <c r="I418">
        <v>478</v>
      </c>
      <c r="J418" t="str">
        <f>VLOOKUP(E418,DSSpieler!A:B,2,FALSE)</f>
        <v>Vermicelles</v>
      </c>
    </row>
    <row r="419" spans="1:10" x14ac:dyDescent="0.25">
      <c r="A419">
        <v>479</v>
      </c>
      <c r="B419" t="s">
        <v>30689</v>
      </c>
      <c r="C419">
        <v>592</v>
      </c>
      <c r="D419">
        <v>471</v>
      </c>
      <c r="E419">
        <v>1575891872</v>
      </c>
      <c r="F419">
        <v>3600</v>
      </c>
      <c r="G419">
        <v>0</v>
      </c>
      <c r="H419" t="s">
        <v>5346</v>
      </c>
      <c r="I419">
        <v>479</v>
      </c>
      <c r="J419" t="str">
        <f>VLOOKUP(E419,DSSpieler!A:B,2,FALSE)</f>
        <v>Angsthasen 2.0</v>
      </c>
    </row>
    <row r="420" spans="1:10" x14ac:dyDescent="0.25">
      <c r="A420">
        <v>480</v>
      </c>
      <c r="B420" t="s">
        <v>615</v>
      </c>
      <c r="C420">
        <v>579</v>
      </c>
      <c r="D420">
        <v>459</v>
      </c>
      <c r="E420">
        <v>1577195174</v>
      </c>
      <c r="F420">
        <v>5380</v>
      </c>
      <c r="G420">
        <v>0</v>
      </c>
      <c r="H420" t="s">
        <v>5347</v>
      </c>
      <c r="I420">
        <v>480</v>
      </c>
      <c r="J420" t="str">
        <f>VLOOKUP(E420,DSSpieler!A:B,2,FALSE)</f>
        <v>EmuSaFaRi</v>
      </c>
    </row>
    <row r="421" spans="1:10" x14ac:dyDescent="0.25">
      <c r="A421">
        <v>481</v>
      </c>
      <c r="B421" t="s">
        <v>30690</v>
      </c>
      <c r="C421">
        <v>578</v>
      </c>
      <c r="D421">
        <v>477</v>
      </c>
      <c r="E421">
        <v>1547790</v>
      </c>
      <c r="F421">
        <v>6321</v>
      </c>
      <c r="G421">
        <v>0</v>
      </c>
      <c r="H421" t="s">
        <v>5348</v>
      </c>
      <c r="I421">
        <v>481</v>
      </c>
      <c r="J421" t="str">
        <f>VLOOKUP(E421,DSSpieler!A:B,2,FALSE)</f>
        <v>aphox</v>
      </c>
    </row>
    <row r="422" spans="1:10" x14ac:dyDescent="0.25">
      <c r="A422">
        <v>482</v>
      </c>
      <c r="B422" t="s">
        <v>616</v>
      </c>
      <c r="C422">
        <v>464</v>
      </c>
      <c r="D422">
        <v>500</v>
      </c>
      <c r="E422">
        <v>1577175435</v>
      </c>
      <c r="F422">
        <v>4731</v>
      </c>
      <c r="G422">
        <v>0</v>
      </c>
      <c r="H422" t="s">
        <v>5349</v>
      </c>
      <c r="I422">
        <v>482</v>
      </c>
      <c r="J422" t="str">
        <f>VLOOKUP(E422,DSSpieler!A:B,2,FALSE)</f>
        <v>Sleeker</v>
      </c>
    </row>
    <row r="423" spans="1:10" x14ac:dyDescent="0.25">
      <c r="A423">
        <v>483</v>
      </c>
      <c r="B423" t="s">
        <v>30691</v>
      </c>
      <c r="C423">
        <v>466</v>
      </c>
      <c r="D423">
        <v>496</v>
      </c>
      <c r="E423">
        <v>1442482</v>
      </c>
      <c r="F423">
        <v>5108</v>
      </c>
      <c r="G423">
        <v>0</v>
      </c>
      <c r="H423" t="s">
        <v>5350</v>
      </c>
      <c r="I423">
        <v>483</v>
      </c>
      <c r="J423" t="str">
        <f>VLOOKUP(E423,DSSpieler!A:B,2,FALSE)</f>
        <v>ThanaTos3k</v>
      </c>
    </row>
    <row r="424" spans="1:10" x14ac:dyDescent="0.25">
      <c r="A424">
        <v>484</v>
      </c>
      <c r="B424" t="s">
        <v>617</v>
      </c>
      <c r="C424">
        <v>492</v>
      </c>
      <c r="D424">
        <v>534</v>
      </c>
      <c r="E424">
        <v>1576491348</v>
      </c>
      <c r="F424">
        <v>474</v>
      </c>
      <c r="G424">
        <v>0</v>
      </c>
      <c r="H424" t="s">
        <v>5351</v>
      </c>
      <c r="I424">
        <v>484</v>
      </c>
      <c r="J424" t="str">
        <f>VLOOKUP(E424,DSSpieler!A:B,2,FALSE)</f>
        <v>pannza1899</v>
      </c>
    </row>
    <row r="425" spans="1:10" x14ac:dyDescent="0.25">
      <c r="A425">
        <v>485</v>
      </c>
      <c r="B425" t="s">
        <v>618</v>
      </c>
      <c r="C425">
        <v>460</v>
      </c>
      <c r="D425">
        <v>497</v>
      </c>
      <c r="E425">
        <v>1576793918</v>
      </c>
      <c r="F425">
        <v>5070</v>
      </c>
      <c r="G425">
        <v>0</v>
      </c>
      <c r="H425" t="s">
        <v>5352</v>
      </c>
      <c r="I425">
        <v>485</v>
      </c>
      <c r="J425" t="str">
        <f>VLOOKUP(E425,DSSpieler!A:B,2,FALSE)</f>
        <v>Piri7</v>
      </c>
    </row>
    <row r="426" spans="1:10" x14ac:dyDescent="0.25">
      <c r="A426">
        <v>486</v>
      </c>
      <c r="B426" t="s">
        <v>30692</v>
      </c>
      <c r="C426">
        <v>474</v>
      </c>
      <c r="D426">
        <v>494</v>
      </c>
      <c r="E426">
        <v>9823227</v>
      </c>
      <c r="F426">
        <v>2426</v>
      </c>
      <c r="G426">
        <v>0</v>
      </c>
      <c r="H426" t="s">
        <v>5353</v>
      </c>
      <c r="I426">
        <v>486</v>
      </c>
      <c r="J426" t="str">
        <f>VLOOKUP(E426,DSSpieler!A:B,2,FALSE)</f>
        <v>Rainerzufall123</v>
      </c>
    </row>
    <row r="427" spans="1:10" x14ac:dyDescent="0.25">
      <c r="A427">
        <v>487</v>
      </c>
      <c r="B427" t="s">
        <v>30693</v>
      </c>
      <c r="C427">
        <v>463</v>
      </c>
      <c r="D427">
        <v>496</v>
      </c>
      <c r="E427">
        <v>1575894737</v>
      </c>
      <c r="F427">
        <v>6703</v>
      </c>
      <c r="G427">
        <v>0</v>
      </c>
      <c r="H427" t="s">
        <v>5354</v>
      </c>
      <c r="I427">
        <v>487</v>
      </c>
      <c r="J427" t="str">
        <f>VLOOKUP(E427,DSSpieler!A:B,2,FALSE)</f>
        <v>fabian991112</v>
      </c>
    </row>
    <row r="428" spans="1:10" x14ac:dyDescent="0.25">
      <c r="A428">
        <v>488</v>
      </c>
      <c r="B428" t="s">
        <v>30694</v>
      </c>
      <c r="C428">
        <v>536</v>
      </c>
      <c r="D428">
        <v>527</v>
      </c>
      <c r="E428">
        <v>9609333</v>
      </c>
      <c r="F428">
        <v>3161</v>
      </c>
      <c r="G428">
        <v>0</v>
      </c>
      <c r="H428" t="s">
        <v>5355</v>
      </c>
      <c r="I428">
        <v>488</v>
      </c>
      <c r="J428" t="str">
        <f>VLOOKUP(E428,DSSpieler!A:B,2,FALSE)</f>
        <v>hyhi20</v>
      </c>
    </row>
    <row r="429" spans="1:10" x14ac:dyDescent="0.25">
      <c r="A429">
        <v>489</v>
      </c>
      <c r="B429" t="s">
        <v>30695</v>
      </c>
      <c r="C429">
        <v>515</v>
      </c>
      <c r="D429">
        <v>527</v>
      </c>
      <c r="E429">
        <v>1577049253</v>
      </c>
      <c r="F429">
        <v>5928</v>
      </c>
      <c r="G429">
        <v>0</v>
      </c>
      <c r="H429" t="s">
        <v>5356</v>
      </c>
      <c r="I429">
        <v>489</v>
      </c>
      <c r="J429" t="str">
        <f>VLOOKUP(E429,DSSpieler!A:B,2,FALSE)</f>
        <v>freshfield</v>
      </c>
    </row>
    <row r="430" spans="1:10" x14ac:dyDescent="0.25">
      <c r="A430">
        <v>490</v>
      </c>
      <c r="B430" t="s">
        <v>30696</v>
      </c>
      <c r="C430">
        <v>519</v>
      </c>
      <c r="D430">
        <v>517</v>
      </c>
      <c r="E430">
        <v>1576023473</v>
      </c>
      <c r="F430">
        <v>3417</v>
      </c>
      <c r="G430">
        <v>0</v>
      </c>
      <c r="H430" t="s">
        <v>5357</v>
      </c>
      <c r="I430">
        <v>490</v>
      </c>
      <c r="J430" t="str">
        <f>VLOOKUP(E430,DSSpieler!A:B,2,FALSE)</f>
        <v>sluik10</v>
      </c>
    </row>
    <row r="431" spans="1:10" x14ac:dyDescent="0.25">
      <c r="A431">
        <v>491</v>
      </c>
      <c r="B431" t="s">
        <v>619</v>
      </c>
      <c r="C431">
        <v>518</v>
      </c>
      <c r="D431">
        <v>530</v>
      </c>
      <c r="E431">
        <v>1577138038</v>
      </c>
      <c r="F431">
        <v>5403</v>
      </c>
      <c r="G431">
        <v>0</v>
      </c>
      <c r="H431" t="s">
        <v>5358</v>
      </c>
      <c r="I431">
        <v>491</v>
      </c>
      <c r="J431" t="str">
        <f>VLOOKUP(E431,DSSpieler!A:B,2,FALSE)</f>
        <v>XxXSquadXxX</v>
      </c>
    </row>
    <row r="432" spans="1:10" x14ac:dyDescent="0.25">
      <c r="A432">
        <v>492</v>
      </c>
      <c r="B432" t="s">
        <v>30697</v>
      </c>
      <c r="C432">
        <v>517</v>
      </c>
      <c r="D432">
        <v>526</v>
      </c>
      <c r="E432">
        <v>1576707194</v>
      </c>
      <c r="F432">
        <v>2773</v>
      </c>
      <c r="G432">
        <v>0</v>
      </c>
      <c r="H432" t="s">
        <v>5359</v>
      </c>
      <c r="I432">
        <v>492</v>
      </c>
      <c r="J432" t="str">
        <f>VLOOKUP(E432,DSSpieler!A:B,2,FALSE)</f>
        <v>Sorpmeister</v>
      </c>
    </row>
    <row r="433" spans="1:10" x14ac:dyDescent="0.25">
      <c r="A433">
        <v>493</v>
      </c>
      <c r="B433" t="s">
        <v>30698</v>
      </c>
      <c r="C433">
        <v>513</v>
      </c>
      <c r="D433">
        <v>516</v>
      </c>
      <c r="E433">
        <v>8011870</v>
      </c>
      <c r="F433">
        <v>5094</v>
      </c>
      <c r="G433">
        <v>0</v>
      </c>
      <c r="H433" t="s">
        <v>5360</v>
      </c>
      <c r="I433">
        <v>493</v>
      </c>
      <c r="J433" t="str">
        <f>VLOOKUP(E433,DSSpieler!A:B,2,FALSE)</f>
        <v>Kulle.jr</v>
      </c>
    </row>
    <row r="434" spans="1:10" x14ac:dyDescent="0.25">
      <c r="A434">
        <v>495</v>
      </c>
      <c r="B434">
        <v>5</v>
      </c>
      <c r="C434">
        <v>517</v>
      </c>
      <c r="D434">
        <v>524</v>
      </c>
      <c r="E434">
        <v>10153328</v>
      </c>
      <c r="F434">
        <v>4227</v>
      </c>
      <c r="G434">
        <v>0</v>
      </c>
      <c r="H434" t="s">
        <v>5361</v>
      </c>
      <c r="I434">
        <v>495</v>
      </c>
      <c r="J434" t="str">
        <f>VLOOKUP(E434,DSSpieler!A:B,2,FALSE)</f>
        <v>ChePrinzessin</v>
      </c>
    </row>
    <row r="435" spans="1:10" x14ac:dyDescent="0.25">
      <c r="A435">
        <v>496</v>
      </c>
      <c r="B435" t="s">
        <v>531</v>
      </c>
      <c r="C435">
        <v>490</v>
      </c>
      <c r="D435">
        <v>578</v>
      </c>
      <c r="E435">
        <v>0</v>
      </c>
      <c r="F435">
        <v>317</v>
      </c>
      <c r="G435">
        <v>0</v>
      </c>
      <c r="H435" t="s">
        <v>5362</v>
      </c>
      <c r="I435">
        <v>496</v>
      </c>
      <c r="J435" t="e">
        <f>VLOOKUP(E435,DSSpieler!A:B,2,FALSE)</f>
        <v>#N/A</v>
      </c>
    </row>
    <row r="436" spans="1:10" x14ac:dyDescent="0.25">
      <c r="A436">
        <v>497</v>
      </c>
      <c r="B436" t="s">
        <v>30699</v>
      </c>
      <c r="C436">
        <v>509</v>
      </c>
      <c r="D436">
        <v>519</v>
      </c>
      <c r="E436">
        <v>1576546523</v>
      </c>
      <c r="F436">
        <v>376</v>
      </c>
      <c r="G436">
        <v>0</v>
      </c>
      <c r="H436" t="s">
        <v>5363</v>
      </c>
      <c r="I436">
        <v>497</v>
      </c>
      <c r="J436" t="str">
        <f>VLOOKUP(E436,DSSpieler!A:B,2,FALSE)</f>
        <v>dieselopfer</v>
      </c>
    </row>
    <row r="437" spans="1:10" x14ac:dyDescent="0.25">
      <c r="A437">
        <v>498</v>
      </c>
      <c r="B437" t="s">
        <v>620</v>
      </c>
      <c r="C437">
        <v>500</v>
      </c>
      <c r="D437">
        <v>532</v>
      </c>
      <c r="E437">
        <v>1577192340</v>
      </c>
      <c r="F437">
        <v>4942</v>
      </c>
      <c r="G437">
        <v>0</v>
      </c>
      <c r="H437" t="s">
        <v>5364</v>
      </c>
      <c r="I437">
        <v>498</v>
      </c>
      <c r="J437" t="str">
        <f>VLOOKUP(E437,DSSpieler!A:B,2,FALSE)</f>
        <v>Halbe1008</v>
      </c>
    </row>
    <row r="438" spans="1:10" x14ac:dyDescent="0.25">
      <c r="A438">
        <v>499</v>
      </c>
      <c r="B438" t="s">
        <v>531</v>
      </c>
      <c r="C438">
        <v>515</v>
      </c>
      <c r="D438">
        <v>516</v>
      </c>
      <c r="E438">
        <v>0</v>
      </c>
      <c r="F438">
        <v>199</v>
      </c>
      <c r="G438">
        <v>0</v>
      </c>
      <c r="H438" t="s">
        <v>5365</v>
      </c>
      <c r="I438">
        <v>499</v>
      </c>
      <c r="J438" t="e">
        <f>VLOOKUP(E438,DSSpieler!A:B,2,FALSE)</f>
        <v>#N/A</v>
      </c>
    </row>
    <row r="439" spans="1:10" x14ac:dyDescent="0.25">
      <c r="A439">
        <v>500</v>
      </c>
      <c r="B439" t="s">
        <v>30700</v>
      </c>
      <c r="C439">
        <v>476</v>
      </c>
      <c r="D439">
        <v>527</v>
      </c>
      <c r="E439">
        <v>1577027712</v>
      </c>
      <c r="F439">
        <v>4143</v>
      </c>
      <c r="G439">
        <v>0</v>
      </c>
      <c r="H439" t="s">
        <v>5366</v>
      </c>
      <c r="I439">
        <v>500</v>
      </c>
      <c r="J439" t="str">
        <f>VLOOKUP(E439,DSSpieler!A:B,2,FALSE)</f>
        <v>Pancake-l3unny</v>
      </c>
    </row>
    <row r="440" spans="1:10" x14ac:dyDescent="0.25">
      <c r="A440">
        <v>501</v>
      </c>
      <c r="B440" t="s">
        <v>30701</v>
      </c>
      <c r="C440">
        <v>426</v>
      </c>
      <c r="D440">
        <v>416</v>
      </c>
      <c r="E440">
        <v>7806902</v>
      </c>
      <c r="F440">
        <v>8066</v>
      </c>
      <c r="G440">
        <v>0</v>
      </c>
      <c r="H440" t="s">
        <v>5367</v>
      </c>
      <c r="I440">
        <v>501</v>
      </c>
      <c r="J440" t="str">
        <f>VLOOKUP(E440,DSSpieler!A:B,2,FALSE)</f>
        <v>Aiyomayo</v>
      </c>
    </row>
    <row r="441" spans="1:10" x14ac:dyDescent="0.25">
      <c r="A441">
        <v>502</v>
      </c>
      <c r="B441" t="s">
        <v>30702</v>
      </c>
      <c r="C441">
        <v>485</v>
      </c>
      <c r="D441">
        <v>535</v>
      </c>
      <c r="E441">
        <v>1576996984</v>
      </c>
      <c r="F441">
        <v>3991</v>
      </c>
      <c r="G441">
        <v>0</v>
      </c>
      <c r="H441" t="s">
        <v>5368</v>
      </c>
      <c r="I441">
        <v>502</v>
      </c>
      <c r="J441" t="str">
        <f>VLOOKUP(E441,DSSpieler!A:B,2,FALSE)</f>
        <v>Gallone</v>
      </c>
    </row>
    <row r="442" spans="1:10" x14ac:dyDescent="0.25">
      <c r="A442">
        <v>504</v>
      </c>
      <c r="B442" t="s">
        <v>30703</v>
      </c>
      <c r="C442">
        <v>478</v>
      </c>
      <c r="D442">
        <v>542</v>
      </c>
      <c r="E442">
        <v>1577178261</v>
      </c>
      <c r="F442">
        <v>4029</v>
      </c>
      <c r="G442">
        <v>0</v>
      </c>
      <c r="H442" t="s">
        <v>5369</v>
      </c>
      <c r="I442">
        <v>504</v>
      </c>
      <c r="J442" t="str">
        <f>VLOOKUP(E442,DSSpieler!A:B,2,FALSE)</f>
        <v>MikeLitoris</v>
      </c>
    </row>
    <row r="443" spans="1:10" x14ac:dyDescent="0.25">
      <c r="A443">
        <v>505</v>
      </c>
      <c r="B443" t="s">
        <v>30704</v>
      </c>
      <c r="C443">
        <v>430</v>
      </c>
      <c r="D443">
        <v>414</v>
      </c>
      <c r="E443">
        <v>1576681265</v>
      </c>
      <c r="F443">
        <v>6388</v>
      </c>
      <c r="G443">
        <v>0</v>
      </c>
      <c r="H443" t="s">
        <v>5370</v>
      </c>
      <c r="I443">
        <v>505</v>
      </c>
      <c r="J443" t="str">
        <f>VLOOKUP(E443,DSSpieler!A:B,2,FALSE)</f>
        <v>TouchedByAPriest</v>
      </c>
    </row>
    <row r="444" spans="1:10" x14ac:dyDescent="0.25">
      <c r="A444">
        <v>506</v>
      </c>
      <c r="B444" t="s">
        <v>30705</v>
      </c>
      <c r="C444">
        <v>439</v>
      </c>
      <c r="D444">
        <v>415</v>
      </c>
      <c r="E444">
        <v>1577190002</v>
      </c>
      <c r="F444">
        <v>6596</v>
      </c>
      <c r="G444">
        <v>0</v>
      </c>
      <c r="H444" t="s">
        <v>5371</v>
      </c>
      <c r="I444">
        <v>506</v>
      </c>
      <c r="J444" t="str">
        <f>VLOOKUP(E444,DSSpieler!A:B,2,FALSE)</f>
        <v>FürstVelten</v>
      </c>
    </row>
    <row r="445" spans="1:10" x14ac:dyDescent="0.25">
      <c r="A445">
        <v>507</v>
      </c>
      <c r="B445" t="s">
        <v>30706</v>
      </c>
      <c r="C445">
        <v>484</v>
      </c>
      <c r="D445">
        <v>536</v>
      </c>
      <c r="E445">
        <v>1577086320</v>
      </c>
      <c r="F445">
        <v>5723</v>
      </c>
      <c r="G445">
        <v>0</v>
      </c>
      <c r="H445" t="s">
        <v>5372</v>
      </c>
      <c r="I445">
        <v>507</v>
      </c>
      <c r="J445" t="str">
        <f>VLOOKUP(E445,DSSpieler!A:B,2,FALSE)</f>
        <v>joker6666</v>
      </c>
    </row>
    <row r="446" spans="1:10" x14ac:dyDescent="0.25">
      <c r="A446">
        <v>509</v>
      </c>
      <c r="B446">
        <v>1</v>
      </c>
      <c r="C446">
        <v>476</v>
      </c>
      <c r="D446">
        <v>535</v>
      </c>
      <c r="E446">
        <v>8049397</v>
      </c>
      <c r="F446">
        <v>3033</v>
      </c>
      <c r="G446">
        <v>0</v>
      </c>
      <c r="H446" t="s">
        <v>5373</v>
      </c>
      <c r="I446">
        <v>509</v>
      </c>
      <c r="J446" t="str">
        <f>VLOOKUP(E446,DSSpieler!A:B,2,FALSE)</f>
        <v>Wasserhund</v>
      </c>
    </row>
    <row r="447" spans="1:10" x14ac:dyDescent="0.25">
      <c r="A447">
        <v>510</v>
      </c>
      <c r="B447" t="s">
        <v>30707</v>
      </c>
      <c r="C447">
        <v>482</v>
      </c>
      <c r="D447">
        <v>529</v>
      </c>
      <c r="E447">
        <v>1577086320</v>
      </c>
      <c r="F447">
        <v>4844</v>
      </c>
      <c r="G447">
        <v>0</v>
      </c>
      <c r="H447" t="s">
        <v>5374</v>
      </c>
      <c r="I447">
        <v>510</v>
      </c>
      <c r="J447" t="str">
        <f>VLOOKUP(E447,DSSpieler!A:B,2,FALSE)</f>
        <v>joker6666</v>
      </c>
    </row>
    <row r="448" spans="1:10" x14ac:dyDescent="0.25">
      <c r="A448">
        <v>512</v>
      </c>
      <c r="B448" t="s">
        <v>30708</v>
      </c>
      <c r="C448">
        <v>482</v>
      </c>
      <c r="D448">
        <v>539</v>
      </c>
      <c r="E448">
        <v>1577178111</v>
      </c>
      <c r="F448">
        <v>5675</v>
      </c>
      <c r="G448">
        <v>0</v>
      </c>
      <c r="H448" t="s">
        <v>5375</v>
      </c>
      <c r="I448">
        <v>512</v>
      </c>
      <c r="J448" t="str">
        <f>VLOOKUP(E448,DSSpieler!A:B,2,FALSE)</f>
        <v>DoMii</v>
      </c>
    </row>
    <row r="449" spans="1:10" x14ac:dyDescent="0.25">
      <c r="A449">
        <v>513</v>
      </c>
      <c r="B449" t="s">
        <v>30709</v>
      </c>
      <c r="C449">
        <v>475</v>
      </c>
      <c r="D449">
        <v>549</v>
      </c>
      <c r="E449">
        <v>1577178111</v>
      </c>
      <c r="F449">
        <v>5097</v>
      </c>
      <c r="G449">
        <v>0</v>
      </c>
      <c r="H449" t="s">
        <v>5376</v>
      </c>
      <c r="I449">
        <v>513</v>
      </c>
      <c r="J449" t="str">
        <f>VLOOKUP(E449,DSSpieler!A:B,2,FALSE)</f>
        <v>DoMii</v>
      </c>
    </row>
    <row r="450" spans="1:10" x14ac:dyDescent="0.25">
      <c r="A450">
        <v>514</v>
      </c>
      <c r="B450" t="s">
        <v>30710</v>
      </c>
      <c r="C450">
        <v>500</v>
      </c>
      <c r="D450">
        <v>429</v>
      </c>
      <c r="E450">
        <v>1577123713</v>
      </c>
      <c r="F450">
        <v>934</v>
      </c>
      <c r="G450">
        <v>0</v>
      </c>
      <c r="H450" t="s">
        <v>5377</v>
      </c>
      <c r="I450">
        <v>514</v>
      </c>
      <c r="J450" t="str">
        <f>VLOOKUP(E450,DSSpieler!A:B,2,FALSE)</f>
        <v>Spukulus</v>
      </c>
    </row>
    <row r="451" spans="1:10" x14ac:dyDescent="0.25">
      <c r="A451">
        <v>515</v>
      </c>
      <c r="B451" t="s">
        <v>30711</v>
      </c>
      <c r="C451">
        <v>475</v>
      </c>
      <c r="D451">
        <v>544</v>
      </c>
      <c r="E451">
        <v>1577191193</v>
      </c>
      <c r="F451">
        <v>4663</v>
      </c>
      <c r="G451">
        <v>0</v>
      </c>
      <c r="H451" t="s">
        <v>5378</v>
      </c>
      <c r="I451">
        <v>515</v>
      </c>
      <c r="J451" t="str">
        <f>VLOOKUP(E451,DSSpieler!A:B,2,FALSE)</f>
        <v>Azubie</v>
      </c>
    </row>
    <row r="452" spans="1:10" x14ac:dyDescent="0.25">
      <c r="A452">
        <v>516</v>
      </c>
      <c r="B452" t="s">
        <v>30712</v>
      </c>
      <c r="C452">
        <v>479</v>
      </c>
      <c r="D452">
        <v>541</v>
      </c>
      <c r="E452">
        <v>1577178261</v>
      </c>
      <c r="F452">
        <v>5085</v>
      </c>
      <c r="G452">
        <v>0</v>
      </c>
      <c r="H452" t="s">
        <v>5379</v>
      </c>
      <c r="I452">
        <v>516</v>
      </c>
      <c r="J452" t="str">
        <f>VLOOKUP(E452,DSSpieler!A:B,2,FALSE)</f>
        <v>MikeLitoris</v>
      </c>
    </row>
    <row r="453" spans="1:10" x14ac:dyDescent="0.25">
      <c r="A453">
        <v>517</v>
      </c>
      <c r="B453" t="s">
        <v>30713</v>
      </c>
      <c r="C453">
        <v>422</v>
      </c>
      <c r="D453">
        <v>418</v>
      </c>
      <c r="E453">
        <v>1577182519</v>
      </c>
      <c r="F453">
        <v>6383</v>
      </c>
      <c r="G453">
        <v>0</v>
      </c>
      <c r="H453" t="s">
        <v>5380</v>
      </c>
      <c r="I453">
        <v>517</v>
      </c>
      <c r="J453" t="str">
        <f>VLOOKUP(E453,DSSpieler!A:B,2,FALSE)</f>
        <v>G1ov4nni</v>
      </c>
    </row>
    <row r="454" spans="1:10" x14ac:dyDescent="0.25">
      <c r="A454">
        <v>518</v>
      </c>
      <c r="B454" t="s">
        <v>30714</v>
      </c>
      <c r="C454">
        <v>447</v>
      </c>
      <c r="D454">
        <v>412</v>
      </c>
      <c r="E454">
        <v>1577189458</v>
      </c>
      <c r="F454">
        <v>5369</v>
      </c>
      <c r="G454">
        <v>0</v>
      </c>
      <c r="H454" t="s">
        <v>5381</v>
      </c>
      <c r="I454">
        <v>518</v>
      </c>
      <c r="J454" t="str">
        <f>VLOOKUP(E454,DSSpieler!A:B,2,FALSE)</f>
        <v>Maxof94</v>
      </c>
    </row>
    <row r="455" spans="1:10" x14ac:dyDescent="0.25">
      <c r="A455">
        <v>519</v>
      </c>
      <c r="B455" t="s">
        <v>621</v>
      </c>
      <c r="C455">
        <v>431</v>
      </c>
      <c r="D455">
        <v>416</v>
      </c>
      <c r="E455">
        <v>7806902</v>
      </c>
      <c r="F455">
        <v>6295</v>
      </c>
      <c r="G455">
        <v>0</v>
      </c>
      <c r="H455" t="s">
        <v>5382</v>
      </c>
      <c r="I455">
        <v>519</v>
      </c>
      <c r="J455" t="str">
        <f>VLOOKUP(E455,DSSpieler!A:B,2,FALSE)</f>
        <v>Aiyomayo</v>
      </c>
    </row>
    <row r="456" spans="1:10" x14ac:dyDescent="0.25">
      <c r="A456">
        <v>521</v>
      </c>
      <c r="B456" t="s">
        <v>30715</v>
      </c>
      <c r="C456">
        <v>489</v>
      </c>
      <c r="D456">
        <v>542</v>
      </c>
      <c r="E456">
        <v>1576996984</v>
      </c>
      <c r="F456">
        <v>6624</v>
      </c>
      <c r="G456">
        <v>0</v>
      </c>
      <c r="H456" t="s">
        <v>5383</v>
      </c>
      <c r="I456">
        <v>521</v>
      </c>
      <c r="J456" t="str">
        <f>VLOOKUP(E456,DSSpieler!A:B,2,FALSE)</f>
        <v>Gallone</v>
      </c>
    </row>
    <row r="457" spans="1:10" x14ac:dyDescent="0.25">
      <c r="A457">
        <v>522</v>
      </c>
      <c r="B457" t="s">
        <v>531</v>
      </c>
      <c r="C457">
        <v>516</v>
      </c>
      <c r="D457">
        <v>481</v>
      </c>
      <c r="E457">
        <v>0</v>
      </c>
      <c r="F457">
        <v>326</v>
      </c>
      <c r="G457">
        <v>0</v>
      </c>
      <c r="H457" t="s">
        <v>5384</v>
      </c>
      <c r="I457">
        <v>522</v>
      </c>
      <c r="J457" t="e">
        <f>VLOOKUP(E457,DSSpieler!A:B,2,FALSE)</f>
        <v>#N/A</v>
      </c>
    </row>
    <row r="458" spans="1:10" x14ac:dyDescent="0.25">
      <c r="A458">
        <v>523</v>
      </c>
      <c r="B458" t="s">
        <v>622</v>
      </c>
      <c r="C458">
        <v>471</v>
      </c>
      <c r="D458">
        <v>502</v>
      </c>
      <c r="E458">
        <v>1576358853</v>
      </c>
      <c r="F458">
        <v>1264</v>
      </c>
      <c r="G458">
        <v>0</v>
      </c>
      <c r="H458" t="s">
        <v>5385</v>
      </c>
      <c r="I458">
        <v>523</v>
      </c>
      <c r="J458" t="str">
        <f>VLOOKUP(E458,DSSpieler!A:B,2,FALSE)</f>
        <v>Hallanes</v>
      </c>
    </row>
    <row r="459" spans="1:10" x14ac:dyDescent="0.25">
      <c r="A459">
        <v>524</v>
      </c>
      <c r="B459" t="s">
        <v>30716</v>
      </c>
      <c r="C459">
        <v>458</v>
      </c>
      <c r="D459">
        <v>459</v>
      </c>
      <c r="E459">
        <v>7728544</v>
      </c>
      <c r="F459">
        <v>6655</v>
      </c>
      <c r="G459">
        <v>0</v>
      </c>
      <c r="H459" t="s">
        <v>5386</v>
      </c>
      <c r="I459">
        <v>524</v>
      </c>
      <c r="J459" t="str">
        <f>VLOOKUP(E459,DSSpieler!A:B,2,FALSE)</f>
        <v>Krypto666</v>
      </c>
    </row>
    <row r="460" spans="1:10" x14ac:dyDescent="0.25">
      <c r="A460">
        <v>525</v>
      </c>
      <c r="B460" t="s">
        <v>30717</v>
      </c>
      <c r="C460">
        <v>478</v>
      </c>
      <c r="D460">
        <v>449</v>
      </c>
      <c r="E460">
        <v>1576867448</v>
      </c>
      <c r="F460">
        <v>5570</v>
      </c>
      <c r="G460">
        <v>0</v>
      </c>
      <c r="H460" t="s">
        <v>5387</v>
      </c>
      <c r="I460">
        <v>525</v>
      </c>
      <c r="J460" t="str">
        <f>VLOOKUP(E460,DSSpieler!A:B,2,FALSE)</f>
        <v>ondyyy</v>
      </c>
    </row>
    <row r="461" spans="1:10" x14ac:dyDescent="0.25">
      <c r="A461">
        <v>526</v>
      </c>
      <c r="B461" t="s">
        <v>30718</v>
      </c>
      <c r="C461">
        <v>480</v>
      </c>
      <c r="D461">
        <v>445</v>
      </c>
      <c r="E461">
        <v>1576867448</v>
      </c>
      <c r="F461">
        <v>6749</v>
      </c>
      <c r="G461">
        <v>0</v>
      </c>
      <c r="H461" t="s">
        <v>5388</v>
      </c>
      <c r="I461">
        <v>526</v>
      </c>
      <c r="J461" t="str">
        <f>VLOOKUP(E461,DSSpieler!A:B,2,FALSE)</f>
        <v>ondyyy</v>
      </c>
    </row>
    <row r="462" spans="1:10" x14ac:dyDescent="0.25">
      <c r="A462">
        <v>527</v>
      </c>
      <c r="B462" t="s">
        <v>531</v>
      </c>
      <c r="C462">
        <v>473</v>
      </c>
      <c r="D462">
        <v>460</v>
      </c>
      <c r="E462">
        <v>0</v>
      </c>
      <c r="F462">
        <v>576</v>
      </c>
      <c r="G462">
        <v>0</v>
      </c>
      <c r="H462" t="s">
        <v>5389</v>
      </c>
      <c r="I462">
        <v>527</v>
      </c>
      <c r="J462" t="e">
        <f>VLOOKUP(E462,DSSpieler!A:B,2,FALSE)</f>
        <v>#N/A</v>
      </c>
    </row>
    <row r="463" spans="1:10" x14ac:dyDescent="0.25">
      <c r="A463">
        <v>528</v>
      </c>
      <c r="B463">
        <v>3</v>
      </c>
      <c r="C463">
        <v>472</v>
      </c>
      <c r="D463">
        <v>450</v>
      </c>
      <c r="E463">
        <v>1576658335</v>
      </c>
      <c r="F463">
        <v>5461</v>
      </c>
      <c r="G463">
        <v>0</v>
      </c>
      <c r="H463" t="s">
        <v>5390</v>
      </c>
      <c r="I463">
        <v>528</v>
      </c>
      <c r="J463" t="str">
        <f>VLOOKUP(E463,DSSpieler!A:B,2,FALSE)</f>
        <v>jinro727</v>
      </c>
    </row>
    <row r="464" spans="1:10" x14ac:dyDescent="0.25">
      <c r="A464">
        <v>529</v>
      </c>
      <c r="B464" t="s">
        <v>531</v>
      </c>
      <c r="C464">
        <v>534</v>
      </c>
      <c r="D464">
        <v>518</v>
      </c>
      <c r="E464">
        <v>0</v>
      </c>
      <c r="F464">
        <v>550</v>
      </c>
      <c r="G464">
        <v>0</v>
      </c>
      <c r="H464" t="s">
        <v>5391</v>
      </c>
      <c r="I464">
        <v>529</v>
      </c>
      <c r="J464" t="e">
        <f>VLOOKUP(E464,DSSpieler!A:B,2,FALSE)</f>
        <v>#N/A</v>
      </c>
    </row>
    <row r="465" spans="1:10" x14ac:dyDescent="0.25">
      <c r="A465">
        <v>530</v>
      </c>
      <c r="B465">
        <v>1</v>
      </c>
      <c r="C465">
        <v>471</v>
      </c>
      <c r="D465">
        <v>457</v>
      </c>
      <c r="E465">
        <v>1576658335</v>
      </c>
      <c r="F465">
        <v>5940</v>
      </c>
      <c r="G465">
        <v>0</v>
      </c>
      <c r="H465" t="s">
        <v>5392</v>
      </c>
      <c r="I465">
        <v>530</v>
      </c>
      <c r="J465" t="str">
        <f>VLOOKUP(E465,DSSpieler!A:B,2,FALSE)</f>
        <v>jinro727</v>
      </c>
    </row>
    <row r="466" spans="1:10" x14ac:dyDescent="0.25">
      <c r="A466">
        <v>531</v>
      </c>
      <c r="B466" t="s">
        <v>30719</v>
      </c>
      <c r="C466">
        <v>465</v>
      </c>
      <c r="D466">
        <v>457</v>
      </c>
      <c r="E466">
        <v>1576767086</v>
      </c>
      <c r="F466">
        <v>5496</v>
      </c>
      <c r="G466">
        <v>0</v>
      </c>
      <c r="H466" t="s">
        <v>5393</v>
      </c>
      <c r="I466">
        <v>531</v>
      </c>
      <c r="J466" t="str">
        <f>VLOOKUP(E466,DSSpieler!A:B,2,FALSE)</f>
        <v>feuerflo-mgn</v>
      </c>
    </row>
    <row r="467" spans="1:10" x14ac:dyDescent="0.25">
      <c r="A467">
        <v>532</v>
      </c>
      <c r="B467" t="s">
        <v>623</v>
      </c>
      <c r="C467">
        <v>475</v>
      </c>
      <c r="D467">
        <v>449</v>
      </c>
      <c r="E467">
        <v>1576833254</v>
      </c>
      <c r="F467">
        <v>7210</v>
      </c>
      <c r="G467">
        <v>0</v>
      </c>
      <c r="H467" t="s">
        <v>5394</v>
      </c>
      <c r="I467">
        <v>532</v>
      </c>
      <c r="J467" t="str">
        <f>VLOOKUP(E467,DSSpieler!A:B,2,FALSE)</f>
        <v>Nutzi21</v>
      </c>
    </row>
    <row r="468" spans="1:10" x14ac:dyDescent="0.25">
      <c r="A468">
        <v>533</v>
      </c>
      <c r="B468" t="s">
        <v>624</v>
      </c>
      <c r="C468">
        <v>469</v>
      </c>
      <c r="D468">
        <v>448</v>
      </c>
      <c r="E468">
        <v>1577157405</v>
      </c>
      <c r="F468">
        <v>6274</v>
      </c>
      <c r="G468">
        <v>0</v>
      </c>
      <c r="H468" t="s">
        <v>5395</v>
      </c>
      <c r="I468">
        <v>533</v>
      </c>
      <c r="J468" t="str">
        <f>VLOOKUP(E468,DSSpieler!A:B,2,FALSE)</f>
        <v>dadalu199</v>
      </c>
    </row>
    <row r="469" spans="1:10" x14ac:dyDescent="0.25">
      <c r="A469">
        <v>534</v>
      </c>
      <c r="B469" t="s">
        <v>531</v>
      </c>
      <c r="C469">
        <v>460</v>
      </c>
      <c r="D469">
        <v>470</v>
      </c>
      <c r="E469">
        <v>0</v>
      </c>
      <c r="F469">
        <v>275</v>
      </c>
      <c r="G469">
        <v>0</v>
      </c>
      <c r="H469" t="s">
        <v>5396</v>
      </c>
      <c r="I469">
        <v>534</v>
      </c>
      <c r="J469" t="e">
        <f>VLOOKUP(E469,DSSpieler!A:B,2,FALSE)</f>
        <v>#N/A</v>
      </c>
    </row>
    <row r="470" spans="1:10" x14ac:dyDescent="0.25">
      <c r="A470">
        <v>535</v>
      </c>
      <c r="B470" t="s">
        <v>30720</v>
      </c>
      <c r="C470">
        <v>490</v>
      </c>
      <c r="D470">
        <v>471</v>
      </c>
      <c r="E470">
        <v>8247237</v>
      </c>
      <c r="F470">
        <v>490</v>
      </c>
      <c r="G470">
        <v>0</v>
      </c>
      <c r="H470" t="s">
        <v>5397</v>
      </c>
      <c r="I470">
        <v>535</v>
      </c>
      <c r="J470" t="str">
        <f>VLOOKUP(E470,DSSpieler!A:B,2,FALSE)</f>
        <v>kokojo3</v>
      </c>
    </row>
    <row r="471" spans="1:10" x14ac:dyDescent="0.25">
      <c r="A471">
        <v>536</v>
      </c>
      <c r="B471" t="s">
        <v>625</v>
      </c>
      <c r="C471">
        <v>464</v>
      </c>
      <c r="D471">
        <v>446</v>
      </c>
      <c r="E471">
        <v>1577157405</v>
      </c>
      <c r="F471">
        <v>6627</v>
      </c>
      <c r="G471">
        <v>0</v>
      </c>
      <c r="H471" t="s">
        <v>5398</v>
      </c>
      <c r="I471">
        <v>536</v>
      </c>
      <c r="J471" t="str">
        <f>VLOOKUP(E471,DSSpieler!A:B,2,FALSE)</f>
        <v>dadalu199</v>
      </c>
    </row>
    <row r="472" spans="1:10" x14ac:dyDescent="0.25">
      <c r="A472">
        <v>537</v>
      </c>
      <c r="B472" t="s">
        <v>531</v>
      </c>
      <c r="C472">
        <v>503</v>
      </c>
      <c r="D472">
        <v>446</v>
      </c>
      <c r="E472">
        <v>0</v>
      </c>
      <c r="F472">
        <v>427</v>
      </c>
      <c r="G472">
        <v>0</v>
      </c>
      <c r="H472" t="s">
        <v>5399</v>
      </c>
      <c r="I472">
        <v>537</v>
      </c>
      <c r="J472" t="e">
        <f>VLOOKUP(E472,DSSpieler!A:B,2,FALSE)</f>
        <v>#N/A</v>
      </c>
    </row>
    <row r="473" spans="1:10" x14ac:dyDescent="0.25">
      <c r="A473">
        <v>538</v>
      </c>
      <c r="B473" t="s">
        <v>30721</v>
      </c>
      <c r="C473">
        <v>525</v>
      </c>
      <c r="D473">
        <v>398</v>
      </c>
      <c r="E473">
        <v>1577170384</v>
      </c>
      <c r="F473">
        <v>6350</v>
      </c>
      <c r="G473">
        <v>0</v>
      </c>
      <c r="H473" t="s">
        <v>5400</v>
      </c>
      <c r="I473">
        <v>538</v>
      </c>
      <c r="J473" t="str">
        <f>VLOOKUP(E473,DSSpieler!A:B,2,FALSE)</f>
        <v>Pazzo</v>
      </c>
    </row>
    <row r="474" spans="1:10" x14ac:dyDescent="0.25">
      <c r="A474">
        <v>539</v>
      </c>
      <c r="B474" t="s">
        <v>30722</v>
      </c>
      <c r="C474">
        <v>521</v>
      </c>
      <c r="D474">
        <v>399</v>
      </c>
      <c r="E474">
        <v>373867</v>
      </c>
      <c r="F474">
        <v>5663</v>
      </c>
      <c r="G474">
        <v>0</v>
      </c>
      <c r="H474" t="s">
        <v>5401</v>
      </c>
      <c r="I474">
        <v>539</v>
      </c>
      <c r="J474" t="str">
        <f>VLOOKUP(E474,DSSpieler!A:B,2,FALSE)</f>
        <v>Broiler22</v>
      </c>
    </row>
    <row r="475" spans="1:10" x14ac:dyDescent="0.25">
      <c r="A475">
        <v>540</v>
      </c>
      <c r="B475" t="s">
        <v>30723</v>
      </c>
      <c r="C475">
        <v>520</v>
      </c>
      <c r="D475">
        <v>411</v>
      </c>
      <c r="E475">
        <v>2951338</v>
      </c>
      <c r="F475">
        <v>4958</v>
      </c>
      <c r="G475">
        <v>0</v>
      </c>
      <c r="H475" t="s">
        <v>5402</v>
      </c>
      <c r="I475">
        <v>540</v>
      </c>
      <c r="J475" t="str">
        <f>VLOOKUP(E475,DSSpieler!A:B,2,FALSE)</f>
        <v>kerls</v>
      </c>
    </row>
    <row r="476" spans="1:10" x14ac:dyDescent="0.25">
      <c r="A476">
        <v>541</v>
      </c>
      <c r="B476" t="s">
        <v>626</v>
      </c>
      <c r="C476">
        <v>522</v>
      </c>
      <c r="D476">
        <v>402</v>
      </c>
      <c r="E476">
        <v>1577069277</v>
      </c>
      <c r="F476">
        <v>4021</v>
      </c>
      <c r="G476">
        <v>0</v>
      </c>
      <c r="H476" t="s">
        <v>5403</v>
      </c>
      <c r="I476">
        <v>541</v>
      </c>
      <c r="J476" t="str">
        <f>VLOOKUP(E476,DSSpieler!A:B,2,FALSE)</f>
        <v>Bauer sucht Sau</v>
      </c>
    </row>
    <row r="477" spans="1:10" x14ac:dyDescent="0.25">
      <c r="A477">
        <v>542</v>
      </c>
      <c r="B477" t="s">
        <v>30724</v>
      </c>
      <c r="C477">
        <v>517</v>
      </c>
      <c r="D477">
        <v>399</v>
      </c>
      <c r="E477">
        <v>8350550</v>
      </c>
      <c r="F477">
        <v>6837</v>
      </c>
      <c r="G477">
        <v>0</v>
      </c>
      <c r="H477" t="s">
        <v>5404</v>
      </c>
      <c r="I477">
        <v>542</v>
      </c>
      <c r="J477" t="str">
        <f>VLOOKUP(E477,DSSpieler!A:B,2,FALSE)</f>
        <v>sethti</v>
      </c>
    </row>
    <row r="478" spans="1:10" x14ac:dyDescent="0.25">
      <c r="A478">
        <v>543</v>
      </c>
      <c r="B478" t="s">
        <v>531</v>
      </c>
      <c r="C478">
        <v>471</v>
      </c>
      <c r="D478">
        <v>436</v>
      </c>
      <c r="E478">
        <v>0</v>
      </c>
      <c r="F478">
        <v>382</v>
      </c>
      <c r="G478">
        <v>0</v>
      </c>
      <c r="H478" t="s">
        <v>5405</v>
      </c>
      <c r="I478">
        <v>543</v>
      </c>
      <c r="J478" t="e">
        <f>VLOOKUP(E478,DSSpieler!A:B,2,FALSE)</f>
        <v>#N/A</v>
      </c>
    </row>
    <row r="479" spans="1:10" x14ac:dyDescent="0.25">
      <c r="A479">
        <v>544</v>
      </c>
      <c r="B479" t="s">
        <v>30725</v>
      </c>
      <c r="C479">
        <v>526</v>
      </c>
      <c r="D479">
        <v>407</v>
      </c>
      <c r="E479">
        <v>9710676</v>
      </c>
      <c r="F479">
        <v>4626</v>
      </c>
      <c r="G479">
        <v>0</v>
      </c>
      <c r="H479" t="s">
        <v>5406</v>
      </c>
      <c r="I479">
        <v>544</v>
      </c>
      <c r="J479" t="str">
        <f>VLOOKUP(E479,DSSpieler!A:B,2,FALSE)</f>
        <v>BigL1</v>
      </c>
    </row>
    <row r="480" spans="1:10" x14ac:dyDescent="0.25">
      <c r="A480">
        <v>545</v>
      </c>
      <c r="B480">
        <v>2</v>
      </c>
      <c r="C480">
        <v>485</v>
      </c>
      <c r="D480">
        <v>609</v>
      </c>
      <c r="E480">
        <v>9173861</v>
      </c>
      <c r="F480">
        <v>5828</v>
      </c>
      <c r="G480">
        <v>0</v>
      </c>
      <c r="H480" t="s">
        <v>5407</v>
      </c>
      <c r="I480">
        <v>545</v>
      </c>
      <c r="J480" t="str">
        <f>VLOOKUP(E480,DSSpieler!A:B,2,FALSE)</f>
        <v>dieweltmacht</v>
      </c>
    </row>
    <row r="481" spans="1:10" x14ac:dyDescent="0.25">
      <c r="A481">
        <v>546</v>
      </c>
      <c r="B481" t="s">
        <v>531</v>
      </c>
      <c r="C481">
        <v>495</v>
      </c>
      <c r="D481">
        <v>525</v>
      </c>
      <c r="E481">
        <v>0</v>
      </c>
      <c r="F481">
        <v>266</v>
      </c>
      <c r="G481">
        <v>0</v>
      </c>
      <c r="H481" t="s">
        <v>5408</v>
      </c>
      <c r="I481">
        <v>546</v>
      </c>
      <c r="J481" t="e">
        <f>VLOOKUP(E481,DSSpieler!A:B,2,FALSE)</f>
        <v>#N/A</v>
      </c>
    </row>
    <row r="482" spans="1:10" x14ac:dyDescent="0.25">
      <c r="A482">
        <v>547</v>
      </c>
      <c r="B482">
        <v>1</v>
      </c>
      <c r="C482">
        <v>520</v>
      </c>
      <c r="D482">
        <v>408</v>
      </c>
      <c r="E482">
        <v>1577174074</v>
      </c>
      <c r="F482">
        <v>6930</v>
      </c>
      <c r="G482">
        <v>0</v>
      </c>
      <c r="H482" t="s">
        <v>5409</v>
      </c>
      <c r="I482">
        <v>547</v>
      </c>
      <c r="J482" t="str">
        <f>VLOOKUP(E482,DSSpieler!A:B,2,FALSE)</f>
        <v>Jens123</v>
      </c>
    </row>
    <row r="483" spans="1:10" x14ac:dyDescent="0.25">
      <c r="A483">
        <v>548</v>
      </c>
      <c r="B483">
        <v>3</v>
      </c>
      <c r="C483">
        <v>524</v>
      </c>
      <c r="D483">
        <v>404</v>
      </c>
      <c r="E483">
        <v>1577172721</v>
      </c>
      <c r="F483">
        <v>4700</v>
      </c>
      <c r="G483">
        <v>0</v>
      </c>
      <c r="H483" t="s">
        <v>5410</v>
      </c>
      <c r="I483">
        <v>548</v>
      </c>
      <c r="J483" t="str">
        <f>VLOOKUP(E483,DSSpieler!A:B,2,FALSE)</f>
        <v>traineee</v>
      </c>
    </row>
    <row r="484" spans="1:10" x14ac:dyDescent="0.25">
      <c r="A484">
        <v>549</v>
      </c>
      <c r="B484" t="s">
        <v>30726</v>
      </c>
      <c r="C484">
        <v>529</v>
      </c>
      <c r="D484">
        <v>410</v>
      </c>
      <c r="E484">
        <v>1576698432</v>
      </c>
      <c r="F484">
        <v>6160</v>
      </c>
      <c r="G484">
        <v>0</v>
      </c>
      <c r="H484" t="s">
        <v>5411</v>
      </c>
      <c r="I484">
        <v>549</v>
      </c>
      <c r="J484" t="str">
        <f>VLOOKUP(E484,DSSpieler!A:B,2,FALSE)</f>
        <v>Einmal mit Profis</v>
      </c>
    </row>
    <row r="485" spans="1:10" x14ac:dyDescent="0.25">
      <c r="A485">
        <v>550</v>
      </c>
      <c r="B485" t="s">
        <v>30727</v>
      </c>
      <c r="C485">
        <v>529</v>
      </c>
      <c r="D485">
        <v>407</v>
      </c>
      <c r="E485">
        <v>1576617784</v>
      </c>
      <c r="F485">
        <v>6197</v>
      </c>
      <c r="G485">
        <v>0</v>
      </c>
      <c r="H485" t="s">
        <v>5412</v>
      </c>
      <c r="I485">
        <v>550</v>
      </c>
      <c r="J485" t="str">
        <f>VLOOKUP(E485,DSSpieler!A:B,2,FALSE)</f>
        <v>Hauptschulniveau Yoo</v>
      </c>
    </row>
    <row r="486" spans="1:10" x14ac:dyDescent="0.25">
      <c r="A486">
        <v>551</v>
      </c>
      <c r="B486" t="s">
        <v>531</v>
      </c>
      <c r="C486">
        <v>479</v>
      </c>
      <c r="D486">
        <v>568</v>
      </c>
      <c r="E486">
        <v>0</v>
      </c>
      <c r="F486">
        <v>376</v>
      </c>
      <c r="G486">
        <v>0</v>
      </c>
      <c r="H486" t="s">
        <v>5413</v>
      </c>
      <c r="I486">
        <v>551</v>
      </c>
      <c r="J486" t="e">
        <f>VLOOKUP(E486,DSSpieler!A:B,2,FALSE)</f>
        <v>#N/A</v>
      </c>
    </row>
    <row r="487" spans="1:10" x14ac:dyDescent="0.25">
      <c r="A487">
        <v>552</v>
      </c>
      <c r="B487" t="s">
        <v>30728</v>
      </c>
      <c r="C487">
        <v>523</v>
      </c>
      <c r="D487">
        <v>406</v>
      </c>
      <c r="E487">
        <v>1577069626</v>
      </c>
      <c r="F487">
        <v>5089</v>
      </c>
      <c r="G487">
        <v>0</v>
      </c>
      <c r="H487" t="s">
        <v>5414</v>
      </c>
      <c r="I487">
        <v>552</v>
      </c>
      <c r="J487" t="str">
        <f>VLOOKUP(E487,DSSpieler!A:B,2,FALSE)</f>
        <v>stripThies</v>
      </c>
    </row>
    <row r="488" spans="1:10" x14ac:dyDescent="0.25">
      <c r="A488">
        <v>553</v>
      </c>
      <c r="B488" t="s">
        <v>627</v>
      </c>
      <c r="C488">
        <v>528</v>
      </c>
      <c r="D488">
        <v>397</v>
      </c>
      <c r="E488">
        <v>1577167763</v>
      </c>
      <c r="F488">
        <v>3146</v>
      </c>
      <c r="G488">
        <v>0</v>
      </c>
      <c r="H488" t="s">
        <v>5415</v>
      </c>
      <c r="I488">
        <v>553</v>
      </c>
      <c r="J488" t="str">
        <f>VLOOKUP(E488,DSSpieler!A:B,2,FALSE)</f>
        <v>Jane2604</v>
      </c>
    </row>
    <row r="489" spans="1:10" x14ac:dyDescent="0.25">
      <c r="A489">
        <v>554</v>
      </c>
      <c r="B489" t="s">
        <v>531</v>
      </c>
      <c r="C489">
        <v>498</v>
      </c>
      <c r="D489">
        <v>516</v>
      </c>
      <c r="E489">
        <v>1576663664</v>
      </c>
      <c r="F489">
        <v>1755</v>
      </c>
      <c r="G489">
        <v>0</v>
      </c>
      <c r="H489" t="s">
        <v>5416</v>
      </c>
      <c r="I489">
        <v>554</v>
      </c>
      <c r="J489" t="str">
        <f>VLOOKUP(E489,DSSpieler!A:B,2,FALSE)</f>
        <v>gyoparlol</v>
      </c>
    </row>
    <row r="490" spans="1:10" x14ac:dyDescent="0.25">
      <c r="A490">
        <v>555</v>
      </c>
      <c r="B490" t="s">
        <v>30729</v>
      </c>
      <c r="C490">
        <v>532</v>
      </c>
      <c r="D490">
        <v>402</v>
      </c>
      <c r="E490">
        <v>1576760309</v>
      </c>
      <c r="F490">
        <v>5159</v>
      </c>
      <c r="G490">
        <v>0</v>
      </c>
      <c r="H490" t="s">
        <v>5417</v>
      </c>
      <c r="I490">
        <v>555</v>
      </c>
      <c r="J490" t="str">
        <f>VLOOKUP(E490,DSSpieler!A:B,2,FALSE)</f>
        <v>SchlingelUrs</v>
      </c>
    </row>
    <row r="491" spans="1:10" x14ac:dyDescent="0.25">
      <c r="A491">
        <v>556</v>
      </c>
      <c r="B491" t="s">
        <v>30730</v>
      </c>
      <c r="C491">
        <v>517</v>
      </c>
      <c r="D491">
        <v>401</v>
      </c>
      <c r="E491">
        <v>1577169844</v>
      </c>
      <c r="F491">
        <v>5801</v>
      </c>
      <c r="G491">
        <v>0</v>
      </c>
      <c r="H491" t="s">
        <v>5418</v>
      </c>
      <c r="I491">
        <v>556</v>
      </c>
      <c r="J491" t="str">
        <f>VLOOKUP(E491,DSSpieler!A:B,2,FALSE)</f>
        <v>knight0014</v>
      </c>
    </row>
    <row r="492" spans="1:10" x14ac:dyDescent="0.25">
      <c r="A492">
        <v>557</v>
      </c>
      <c r="B492" t="s">
        <v>628</v>
      </c>
      <c r="C492">
        <v>519</v>
      </c>
      <c r="D492">
        <v>409</v>
      </c>
      <c r="E492">
        <v>1576684223</v>
      </c>
      <c r="F492">
        <v>5598</v>
      </c>
      <c r="G492">
        <v>0</v>
      </c>
      <c r="H492" t="s">
        <v>5419</v>
      </c>
      <c r="I492">
        <v>557</v>
      </c>
      <c r="J492" t="str">
        <f>VLOOKUP(E492,DSSpieler!A:B,2,FALSE)</f>
        <v>Angel27</v>
      </c>
    </row>
    <row r="493" spans="1:10" x14ac:dyDescent="0.25">
      <c r="A493">
        <v>558</v>
      </c>
      <c r="B493" t="s">
        <v>30731</v>
      </c>
      <c r="C493">
        <v>513</v>
      </c>
      <c r="D493">
        <v>416</v>
      </c>
      <c r="E493">
        <v>1577180967</v>
      </c>
      <c r="F493">
        <v>5000</v>
      </c>
      <c r="G493">
        <v>0</v>
      </c>
      <c r="H493" t="s">
        <v>5420</v>
      </c>
      <c r="I493">
        <v>558</v>
      </c>
      <c r="J493" t="str">
        <f>VLOOKUP(E493,DSSpieler!A:B,2,FALSE)</f>
        <v>Maxe95</v>
      </c>
    </row>
    <row r="494" spans="1:10" x14ac:dyDescent="0.25">
      <c r="A494">
        <v>559</v>
      </c>
      <c r="B494" t="s">
        <v>30732</v>
      </c>
      <c r="C494">
        <v>417</v>
      </c>
      <c r="D494">
        <v>467</v>
      </c>
      <c r="E494">
        <v>1576220948</v>
      </c>
      <c r="F494">
        <v>4811</v>
      </c>
      <c r="G494">
        <v>0</v>
      </c>
      <c r="H494" t="s">
        <v>5421</v>
      </c>
      <c r="I494">
        <v>559</v>
      </c>
      <c r="J494" t="str">
        <f>VLOOKUP(E494,DSSpieler!A:B,2,FALSE)</f>
        <v>BoostedBonobos</v>
      </c>
    </row>
    <row r="495" spans="1:10" x14ac:dyDescent="0.25">
      <c r="A495">
        <v>560</v>
      </c>
      <c r="B495" t="s">
        <v>30733</v>
      </c>
      <c r="C495">
        <v>409</v>
      </c>
      <c r="D495">
        <v>460</v>
      </c>
      <c r="E495">
        <v>374429</v>
      </c>
      <c r="F495">
        <v>5050</v>
      </c>
      <c r="G495">
        <v>0</v>
      </c>
      <c r="H495" t="s">
        <v>5422</v>
      </c>
      <c r="I495">
        <v>560</v>
      </c>
      <c r="J495" t="str">
        <f>VLOOKUP(E495,DSSpieler!A:B,2,FALSE)</f>
        <v>socca</v>
      </c>
    </row>
    <row r="496" spans="1:10" x14ac:dyDescent="0.25">
      <c r="A496">
        <v>561</v>
      </c>
      <c r="B496" t="s">
        <v>629</v>
      </c>
      <c r="C496">
        <v>397</v>
      </c>
      <c r="D496">
        <v>481</v>
      </c>
      <c r="E496">
        <v>1577169553</v>
      </c>
      <c r="F496">
        <v>6575</v>
      </c>
      <c r="G496">
        <v>0</v>
      </c>
      <c r="H496" t="s">
        <v>5423</v>
      </c>
      <c r="I496">
        <v>561</v>
      </c>
      <c r="J496" t="str">
        <f>VLOOKUP(E496,DSSpieler!A:B,2,FALSE)</f>
        <v>Paulipaul</v>
      </c>
    </row>
    <row r="497" spans="1:10" x14ac:dyDescent="0.25">
      <c r="A497">
        <v>562</v>
      </c>
      <c r="B497" t="s">
        <v>630</v>
      </c>
      <c r="C497">
        <v>415</v>
      </c>
      <c r="D497">
        <v>474</v>
      </c>
      <c r="E497">
        <v>2857572</v>
      </c>
      <c r="F497">
        <v>6632</v>
      </c>
      <c r="G497">
        <v>0</v>
      </c>
      <c r="H497" t="s">
        <v>5424</v>
      </c>
      <c r="I497">
        <v>562</v>
      </c>
      <c r="J497" t="str">
        <f>VLOOKUP(E497,DSSpieler!A:B,2,FALSE)</f>
        <v>MIBs</v>
      </c>
    </row>
    <row r="498" spans="1:10" x14ac:dyDescent="0.25">
      <c r="A498">
        <v>563</v>
      </c>
      <c r="B498" t="s">
        <v>531</v>
      </c>
      <c r="C498">
        <v>548</v>
      </c>
      <c r="D498">
        <v>448</v>
      </c>
      <c r="E498">
        <v>0</v>
      </c>
      <c r="F498">
        <v>475</v>
      </c>
      <c r="G498">
        <v>0</v>
      </c>
      <c r="H498" t="s">
        <v>5425</v>
      </c>
      <c r="I498">
        <v>563</v>
      </c>
      <c r="J498" t="e">
        <f>VLOOKUP(E498,DSSpieler!A:B,2,FALSE)</f>
        <v>#N/A</v>
      </c>
    </row>
    <row r="499" spans="1:10" x14ac:dyDescent="0.25">
      <c r="A499">
        <v>564</v>
      </c>
      <c r="B499" t="s">
        <v>30734</v>
      </c>
      <c r="C499">
        <v>421</v>
      </c>
      <c r="D499">
        <v>465</v>
      </c>
      <c r="E499">
        <v>2861117</v>
      </c>
      <c r="F499">
        <v>5913</v>
      </c>
      <c r="G499">
        <v>0</v>
      </c>
      <c r="H499" t="s">
        <v>5426</v>
      </c>
      <c r="I499">
        <v>564</v>
      </c>
      <c r="J499" t="str">
        <f>VLOOKUP(E499,DSSpieler!A:B,2,FALSE)</f>
        <v>Peter1955</v>
      </c>
    </row>
    <row r="500" spans="1:10" x14ac:dyDescent="0.25">
      <c r="A500">
        <v>565</v>
      </c>
      <c r="B500" t="s">
        <v>631</v>
      </c>
      <c r="C500">
        <v>416</v>
      </c>
      <c r="D500">
        <v>457</v>
      </c>
      <c r="E500">
        <v>7932390</v>
      </c>
      <c r="F500">
        <v>7789</v>
      </c>
      <c r="G500">
        <v>0</v>
      </c>
      <c r="H500" t="s">
        <v>5427</v>
      </c>
      <c r="I500">
        <v>565</v>
      </c>
      <c r="J500" t="str">
        <f>VLOOKUP(E500,DSSpieler!A:B,2,FALSE)</f>
        <v>DerCemo47</v>
      </c>
    </row>
    <row r="501" spans="1:10" x14ac:dyDescent="0.25">
      <c r="A501">
        <v>566</v>
      </c>
      <c r="B501" t="s">
        <v>632</v>
      </c>
      <c r="C501">
        <v>408</v>
      </c>
      <c r="D501">
        <v>459</v>
      </c>
      <c r="E501">
        <v>8728413</v>
      </c>
      <c r="F501">
        <v>8203</v>
      </c>
      <c r="G501">
        <v>0</v>
      </c>
      <c r="H501" t="s">
        <v>5428</v>
      </c>
      <c r="I501">
        <v>566</v>
      </c>
      <c r="J501" t="str">
        <f>VLOOKUP(E501,DSSpieler!A:B,2,FALSE)</f>
        <v>Danielreifegerst</v>
      </c>
    </row>
    <row r="502" spans="1:10" x14ac:dyDescent="0.25">
      <c r="A502">
        <v>567</v>
      </c>
      <c r="B502" t="s">
        <v>633</v>
      </c>
      <c r="C502">
        <v>413</v>
      </c>
      <c r="D502">
        <v>450</v>
      </c>
      <c r="E502">
        <v>3032774</v>
      </c>
      <c r="F502">
        <v>6358</v>
      </c>
      <c r="G502">
        <v>0</v>
      </c>
      <c r="H502" t="s">
        <v>5429</v>
      </c>
      <c r="I502">
        <v>567</v>
      </c>
      <c r="J502" t="str">
        <f>VLOOKUP(E502,DSSpieler!A:B,2,FALSE)</f>
        <v>.Baby Bugs</v>
      </c>
    </row>
    <row r="503" spans="1:10" x14ac:dyDescent="0.25">
      <c r="A503">
        <v>568</v>
      </c>
      <c r="B503" t="s">
        <v>30735</v>
      </c>
      <c r="C503">
        <v>405</v>
      </c>
      <c r="D503">
        <v>451</v>
      </c>
      <c r="E503">
        <v>1577140251</v>
      </c>
      <c r="F503">
        <v>6673</v>
      </c>
      <c r="G503">
        <v>0</v>
      </c>
      <c r="H503" t="s">
        <v>5430</v>
      </c>
      <c r="I503">
        <v>568</v>
      </c>
      <c r="J503" t="str">
        <f>VLOOKUP(E503,DSSpieler!A:B,2,FALSE)</f>
        <v>Dohan</v>
      </c>
    </row>
    <row r="504" spans="1:10" x14ac:dyDescent="0.25">
      <c r="A504">
        <v>569</v>
      </c>
      <c r="B504">
        <v>9</v>
      </c>
      <c r="C504">
        <v>414</v>
      </c>
      <c r="D504">
        <v>453</v>
      </c>
      <c r="E504">
        <v>1576879408</v>
      </c>
      <c r="F504">
        <v>5948</v>
      </c>
      <c r="G504">
        <v>0</v>
      </c>
      <c r="H504" t="s">
        <v>5431</v>
      </c>
      <c r="I504">
        <v>569</v>
      </c>
      <c r="J504" t="str">
        <f>VLOOKUP(E504,DSSpieler!A:B,2,FALSE)</f>
        <v>chris3009</v>
      </c>
    </row>
    <row r="505" spans="1:10" x14ac:dyDescent="0.25">
      <c r="A505">
        <v>570</v>
      </c>
      <c r="B505">
        <v>2</v>
      </c>
      <c r="C505">
        <v>409</v>
      </c>
      <c r="D505">
        <v>452</v>
      </c>
      <c r="E505">
        <v>1577175245</v>
      </c>
      <c r="F505">
        <v>3223</v>
      </c>
      <c r="G505">
        <v>0</v>
      </c>
      <c r="H505" t="s">
        <v>5432</v>
      </c>
      <c r="I505">
        <v>570</v>
      </c>
      <c r="J505" t="str">
        <f>VLOOKUP(E505,DSSpieler!A:B,2,FALSE)</f>
        <v>CoconutBong</v>
      </c>
    </row>
    <row r="506" spans="1:10" x14ac:dyDescent="0.25">
      <c r="A506">
        <v>571</v>
      </c>
      <c r="B506" t="s">
        <v>634</v>
      </c>
      <c r="C506">
        <v>416</v>
      </c>
      <c r="D506">
        <v>460</v>
      </c>
      <c r="E506">
        <v>9380929</v>
      </c>
      <c r="F506">
        <v>6518</v>
      </c>
      <c r="G506">
        <v>0</v>
      </c>
      <c r="H506" t="s">
        <v>5433</v>
      </c>
      <c r="I506">
        <v>571</v>
      </c>
      <c r="J506" t="str">
        <f>VLOOKUP(E506,DSSpieler!A:B,2,FALSE)</f>
        <v>sieger42</v>
      </c>
    </row>
    <row r="507" spans="1:10" x14ac:dyDescent="0.25">
      <c r="A507">
        <v>572</v>
      </c>
      <c r="B507" t="s">
        <v>635</v>
      </c>
      <c r="C507">
        <v>412</v>
      </c>
      <c r="D507">
        <v>452</v>
      </c>
      <c r="E507">
        <v>1576125906</v>
      </c>
      <c r="F507">
        <v>6042</v>
      </c>
      <c r="G507">
        <v>0</v>
      </c>
      <c r="H507" t="s">
        <v>5434</v>
      </c>
      <c r="I507">
        <v>572</v>
      </c>
      <c r="J507" t="str">
        <f>VLOOKUP(E507,DSSpieler!A:B,2,FALSE)</f>
        <v>Tinca12</v>
      </c>
    </row>
    <row r="508" spans="1:10" x14ac:dyDescent="0.25">
      <c r="A508">
        <v>573</v>
      </c>
      <c r="B508" t="s">
        <v>30736</v>
      </c>
      <c r="C508">
        <v>404</v>
      </c>
      <c r="D508">
        <v>467</v>
      </c>
      <c r="E508">
        <v>9925917</v>
      </c>
      <c r="F508">
        <v>8755</v>
      </c>
      <c r="G508">
        <v>0</v>
      </c>
      <c r="H508" t="s">
        <v>5435</v>
      </c>
      <c r="I508">
        <v>573</v>
      </c>
      <c r="J508" t="str">
        <f>VLOOKUP(E508,DSSpieler!A:B,2,FALSE)</f>
        <v>WATB Faker</v>
      </c>
    </row>
    <row r="509" spans="1:10" x14ac:dyDescent="0.25">
      <c r="A509">
        <v>574</v>
      </c>
      <c r="B509" t="s">
        <v>30737</v>
      </c>
      <c r="C509">
        <v>406</v>
      </c>
      <c r="D509">
        <v>454</v>
      </c>
      <c r="E509">
        <v>9980505</v>
      </c>
      <c r="F509">
        <v>3977</v>
      </c>
      <c r="G509">
        <v>0</v>
      </c>
      <c r="H509" t="s">
        <v>5436</v>
      </c>
      <c r="I509">
        <v>574</v>
      </c>
      <c r="J509" t="str">
        <f>VLOOKUP(E509,DSSpieler!A:B,2,FALSE)</f>
        <v>joesef</v>
      </c>
    </row>
    <row r="510" spans="1:10" x14ac:dyDescent="0.25">
      <c r="A510">
        <v>575</v>
      </c>
      <c r="B510" t="s">
        <v>30738</v>
      </c>
      <c r="C510">
        <v>404</v>
      </c>
      <c r="D510">
        <v>469</v>
      </c>
      <c r="E510">
        <v>10043883</v>
      </c>
      <c r="F510">
        <v>4958</v>
      </c>
      <c r="G510">
        <v>0</v>
      </c>
      <c r="H510" t="s">
        <v>5437</v>
      </c>
      <c r="I510">
        <v>575</v>
      </c>
      <c r="J510" t="str">
        <f>VLOOKUP(E510,DSSpieler!A:B,2,FALSE)</f>
        <v>smotteri</v>
      </c>
    </row>
    <row r="511" spans="1:10" x14ac:dyDescent="0.25">
      <c r="A511">
        <v>576</v>
      </c>
      <c r="B511" t="s">
        <v>30739</v>
      </c>
      <c r="C511">
        <v>495</v>
      </c>
      <c r="D511">
        <v>544</v>
      </c>
      <c r="E511">
        <v>2372597</v>
      </c>
      <c r="F511">
        <v>2193</v>
      </c>
      <c r="G511">
        <v>0</v>
      </c>
      <c r="H511" t="s">
        <v>5438</v>
      </c>
      <c r="I511">
        <v>576</v>
      </c>
      <c r="J511" t="str">
        <f>VLOOKUP(E511,DSSpieler!A:B,2,FALSE)</f>
        <v>Frohlix</v>
      </c>
    </row>
    <row r="512" spans="1:10" x14ac:dyDescent="0.25">
      <c r="A512">
        <v>577</v>
      </c>
      <c r="B512" t="s">
        <v>636</v>
      </c>
      <c r="C512">
        <v>400</v>
      </c>
      <c r="D512">
        <v>487</v>
      </c>
      <c r="E512">
        <v>10214231</v>
      </c>
      <c r="F512">
        <v>6076</v>
      </c>
      <c r="G512">
        <v>0</v>
      </c>
      <c r="H512" t="s">
        <v>5439</v>
      </c>
      <c r="I512">
        <v>577</v>
      </c>
      <c r="J512" t="str">
        <f>VLOOKUP(E512,DSSpieler!A:B,2,FALSE)</f>
        <v>Weizen19</v>
      </c>
    </row>
    <row r="513" spans="1:10" x14ac:dyDescent="0.25">
      <c r="A513">
        <v>578</v>
      </c>
      <c r="B513" t="s">
        <v>630</v>
      </c>
      <c r="C513">
        <v>410</v>
      </c>
      <c r="D513">
        <v>467</v>
      </c>
      <c r="E513">
        <v>1576594574</v>
      </c>
      <c r="F513">
        <v>5671</v>
      </c>
      <c r="G513">
        <v>0</v>
      </c>
      <c r="H513" t="s">
        <v>5440</v>
      </c>
      <c r="I513">
        <v>578</v>
      </c>
      <c r="J513" t="str">
        <f>VLOOKUP(E513,DSSpieler!A:B,2,FALSE)</f>
        <v>FogDog</v>
      </c>
    </row>
    <row r="514" spans="1:10" x14ac:dyDescent="0.25">
      <c r="A514">
        <v>579</v>
      </c>
      <c r="B514" t="s">
        <v>30740</v>
      </c>
      <c r="C514">
        <v>413</v>
      </c>
      <c r="D514">
        <v>447</v>
      </c>
      <c r="E514">
        <v>1576742327</v>
      </c>
      <c r="F514">
        <v>5554</v>
      </c>
      <c r="G514">
        <v>0</v>
      </c>
      <c r="H514" t="s">
        <v>5441</v>
      </c>
      <c r="I514">
        <v>579</v>
      </c>
      <c r="J514" t="str">
        <f>VLOOKUP(E514,DSSpieler!A:B,2,FALSE)</f>
        <v>IchigoKorusaki</v>
      </c>
    </row>
    <row r="515" spans="1:10" x14ac:dyDescent="0.25">
      <c r="A515">
        <v>580</v>
      </c>
      <c r="B515" t="s">
        <v>30741</v>
      </c>
      <c r="C515">
        <v>416</v>
      </c>
      <c r="D515">
        <v>445</v>
      </c>
      <c r="E515">
        <v>1576879408</v>
      </c>
      <c r="F515">
        <v>5007</v>
      </c>
      <c r="G515">
        <v>0</v>
      </c>
      <c r="H515" t="s">
        <v>5442</v>
      </c>
      <c r="I515">
        <v>580</v>
      </c>
      <c r="J515" t="str">
        <f>VLOOKUP(E515,DSSpieler!A:B,2,FALSE)</f>
        <v>chris3009</v>
      </c>
    </row>
    <row r="516" spans="1:10" x14ac:dyDescent="0.25">
      <c r="A516">
        <v>581</v>
      </c>
      <c r="B516" t="s">
        <v>30742</v>
      </c>
      <c r="C516">
        <v>416</v>
      </c>
      <c r="D516">
        <v>454</v>
      </c>
      <c r="E516">
        <v>1576703166</v>
      </c>
      <c r="F516">
        <v>5779</v>
      </c>
      <c r="G516">
        <v>0</v>
      </c>
      <c r="H516" t="s">
        <v>5443</v>
      </c>
      <c r="I516">
        <v>581</v>
      </c>
      <c r="J516" t="str">
        <f>VLOOKUP(E516,DSSpieler!A:B,2,FALSE)</f>
        <v>Brettvormkopp</v>
      </c>
    </row>
    <row r="517" spans="1:10" x14ac:dyDescent="0.25">
      <c r="A517">
        <v>582</v>
      </c>
      <c r="B517">
        <v>1</v>
      </c>
      <c r="C517">
        <v>423</v>
      </c>
      <c r="D517">
        <v>456</v>
      </c>
      <c r="E517">
        <v>1577004821</v>
      </c>
      <c r="F517">
        <v>5455</v>
      </c>
      <c r="G517">
        <v>0</v>
      </c>
      <c r="H517" t="s">
        <v>5444</v>
      </c>
      <c r="I517">
        <v>582</v>
      </c>
      <c r="J517" t="str">
        <f>VLOOKUP(E517,DSSpieler!A:B,2,FALSE)</f>
        <v>Bastel20</v>
      </c>
    </row>
    <row r="518" spans="1:10" x14ac:dyDescent="0.25">
      <c r="A518">
        <v>583</v>
      </c>
      <c r="B518" t="s">
        <v>30743</v>
      </c>
      <c r="C518">
        <v>420</v>
      </c>
      <c r="D518">
        <v>471</v>
      </c>
      <c r="E518">
        <v>1577008722</v>
      </c>
      <c r="F518">
        <v>5044</v>
      </c>
      <c r="G518">
        <v>0</v>
      </c>
      <c r="H518" t="s">
        <v>5445</v>
      </c>
      <c r="I518">
        <v>583</v>
      </c>
      <c r="J518" t="str">
        <f>VLOOKUP(E518,DSSpieler!A:B,2,FALSE)</f>
        <v>sascha911</v>
      </c>
    </row>
    <row r="519" spans="1:10" x14ac:dyDescent="0.25">
      <c r="A519">
        <v>584</v>
      </c>
      <c r="B519" t="s">
        <v>30744</v>
      </c>
      <c r="C519">
        <v>417</v>
      </c>
      <c r="D519">
        <v>450</v>
      </c>
      <c r="E519">
        <v>1576879408</v>
      </c>
      <c r="F519">
        <v>5418</v>
      </c>
      <c r="G519">
        <v>0</v>
      </c>
      <c r="H519" t="s">
        <v>5446</v>
      </c>
      <c r="I519">
        <v>584</v>
      </c>
      <c r="J519" t="str">
        <f>VLOOKUP(E519,DSSpieler!A:B,2,FALSE)</f>
        <v>chris3009</v>
      </c>
    </row>
    <row r="520" spans="1:10" x14ac:dyDescent="0.25">
      <c r="A520">
        <v>585</v>
      </c>
      <c r="B520" t="s">
        <v>30745</v>
      </c>
      <c r="C520">
        <v>412</v>
      </c>
      <c r="D520">
        <v>451</v>
      </c>
      <c r="E520">
        <v>1577091188</v>
      </c>
      <c r="F520">
        <v>6034</v>
      </c>
      <c r="G520">
        <v>0</v>
      </c>
      <c r="H520" t="s">
        <v>5447</v>
      </c>
      <c r="I520">
        <v>585</v>
      </c>
      <c r="J520" t="str">
        <f>VLOOKUP(E520,DSSpieler!A:B,2,FALSE)</f>
        <v>Tidus</v>
      </c>
    </row>
    <row r="521" spans="1:10" x14ac:dyDescent="0.25">
      <c r="A521">
        <v>586</v>
      </c>
      <c r="B521" t="s">
        <v>30746</v>
      </c>
      <c r="C521">
        <v>493</v>
      </c>
      <c r="D521">
        <v>464</v>
      </c>
      <c r="E521">
        <v>9590681</v>
      </c>
      <c r="F521">
        <v>6212</v>
      </c>
      <c r="G521">
        <v>0</v>
      </c>
      <c r="H521" t="s">
        <v>5448</v>
      </c>
      <c r="I521">
        <v>586</v>
      </c>
      <c r="J521" t="str">
        <f>VLOOKUP(E521,DSSpieler!A:B,2,FALSE)</f>
        <v>HSVSuchti</v>
      </c>
    </row>
    <row r="522" spans="1:10" x14ac:dyDescent="0.25">
      <c r="A522">
        <v>587</v>
      </c>
      <c r="B522" t="s">
        <v>637</v>
      </c>
      <c r="C522">
        <v>410</v>
      </c>
      <c r="D522">
        <v>444</v>
      </c>
      <c r="E522">
        <v>3032774</v>
      </c>
      <c r="F522">
        <v>7146</v>
      </c>
      <c r="G522">
        <v>0</v>
      </c>
      <c r="H522" t="s">
        <v>5449</v>
      </c>
      <c r="I522">
        <v>587</v>
      </c>
      <c r="J522" t="str">
        <f>VLOOKUP(E522,DSSpieler!A:B,2,FALSE)</f>
        <v>.Baby Bugs</v>
      </c>
    </row>
    <row r="523" spans="1:10" x14ac:dyDescent="0.25">
      <c r="A523">
        <v>588</v>
      </c>
      <c r="B523" t="s">
        <v>531</v>
      </c>
      <c r="C523">
        <v>481</v>
      </c>
      <c r="D523">
        <v>544</v>
      </c>
      <c r="E523">
        <v>1576925641</v>
      </c>
      <c r="F523">
        <v>400</v>
      </c>
      <c r="G523">
        <v>0</v>
      </c>
      <c r="H523" t="s">
        <v>5450</v>
      </c>
      <c r="I523">
        <v>588</v>
      </c>
      <c r="J523" t="str">
        <f>VLOOKUP(E523,DSSpieler!A:B,2,FALSE)</f>
        <v>John Shelby</v>
      </c>
    </row>
    <row r="524" spans="1:10" x14ac:dyDescent="0.25">
      <c r="A524">
        <v>589</v>
      </c>
      <c r="B524" t="s">
        <v>30747</v>
      </c>
      <c r="C524">
        <v>411</v>
      </c>
      <c r="D524">
        <v>462</v>
      </c>
      <c r="E524">
        <v>1577107174</v>
      </c>
      <c r="F524">
        <v>7033</v>
      </c>
      <c r="G524">
        <v>0</v>
      </c>
      <c r="H524" t="s">
        <v>5451</v>
      </c>
      <c r="I524">
        <v>589</v>
      </c>
      <c r="J524" t="str">
        <f>VLOOKUP(E524,DSSpieler!A:B,2,FALSE)</f>
        <v>Tischhax</v>
      </c>
    </row>
    <row r="525" spans="1:10" x14ac:dyDescent="0.25">
      <c r="A525">
        <v>590</v>
      </c>
      <c r="B525">
        <v>1</v>
      </c>
      <c r="C525">
        <v>416</v>
      </c>
      <c r="D525">
        <v>464</v>
      </c>
      <c r="E525">
        <v>1577112399</v>
      </c>
      <c r="F525">
        <v>5700</v>
      </c>
      <c r="G525">
        <v>0</v>
      </c>
      <c r="H525" t="s">
        <v>5452</v>
      </c>
      <c r="I525">
        <v>590</v>
      </c>
      <c r="J525" t="str">
        <f>VLOOKUP(E525,DSSpieler!A:B,2,FALSE)</f>
        <v>Biduu</v>
      </c>
    </row>
    <row r="526" spans="1:10" x14ac:dyDescent="0.25">
      <c r="A526">
        <v>591</v>
      </c>
      <c r="B526" t="s">
        <v>30748</v>
      </c>
      <c r="C526">
        <v>416</v>
      </c>
      <c r="D526">
        <v>463</v>
      </c>
      <c r="E526">
        <v>1577120304</v>
      </c>
      <c r="F526">
        <v>4664</v>
      </c>
      <c r="G526">
        <v>0</v>
      </c>
      <c r="H526" t="s">
        <v>5453</v>
      </c>
      <c r="I526">
        <v>591</v>
      </c>
      <c r="J526" t="str">
        <f>VLOOKUP(E526,DSSpieler!A:B,2,FALSE)</f>
        <v>Zoapy</v>
      </c>
    </row>
    <row r="527" spans="1:10" x14ac:dyDescent="0.25">
      <c r="A527">
        <v>592</v>
      </c>
      <c r="B527" t="s">
        <v>30749</v>
      </c>
      <c r="C527">
        <v>405</v>
      </c>
      <c r="D527">
        <v>476</v>
      </c>
      <c r="E527">
        <v>1577127393</v>
      </c>
      <c r="F527">
        <v>7280</v>
      </c>
      <c r="G527">
        <v>0</v>
      </c>
      <c r="H527" t="s">
        <v>5454</v>
      </c>
      <c r="I527">
        <v>592</v>
      </c>
      <c r="J527" t="str">
        <f>VLOOKUP(E527,DSSpieler!A:B,2,FALSE)</f>
        <v>Sk0rpi</v>
      </c>
    </row>
    <row r="528" spans="1:10" x14ac:dyDescent="0.25">
      <c r="A528">
        <v>594</v>
      </c>
      <c r="B528" t="s">
        <v>30750</v>
      </c>
      <c r="C528">
        <v>412</v>
      </c>
      <c r="D528">
        <v>464</v>
      </c>
      <c r="E528">
        <v>1577166960</v>
      </c>
      <c r="F528">
        <v>4001</v>
      </c>
      <c r="G528">
        <v>0</v>
      </c>
      <c r="H528" t="s">
        <v>5455</v>
      </c>
      <c r="I528">
        <v>594</v>
      </c>
      <c r="J528" t="str">
        <f>VLOOKUP(E528,DSSpieler!A:B,2,FALSE)</f>
        <v>Lord Steinhose</v>
      </c>
    </row>
    <row r="529" spans="1:10" x14ac:dyDescent="0.25">
      <c r="A529">
        <v>595</v>
      </c>
      <c r="B529" t="s">
        <v>531</v>
      </c>
      <c r="C529">
        <v>573</v>
      </c>
      <c r="D529">
        <v>524</v>
      </c>
      <c r="E529">
        <v>0</v>
      </c>
      <c r="F529">
        <v>427</v>
      </c>
      <c r="G529">
        <v>0</v>
      </c>
      <c r="H529" t="s">
        <v>5456</v>
      </c>
      <c r="I529">
        <v>595</v>
      </c>
      <c r="J529" t="e">
        <f>VLOOKUP(E529,DSSpieler!A:B,2,FALSE)</f>
        <v>#N/A</v>
      </c>
    </row>
    <row r="530" spans="1:10" x14ac:dyDescent="0.25">
      <c r="A530">
        <v>596</v>
      </c>
      <c r="B530" t="s">
        <v>30751</v>
      </c>
      <c r="C530">
        <v>425</v>
      </c>
      <c r="D530">
        <v>462</v>
      </c>
      <c r="E530">
        <v>1576502624</v>
      </c>
      <c r="F530">
        <v>4646</v>
      </c>
      <c r="G530">
        <v>0</v>
      </c>
      <c r="H530" t="s">
        <v>5457</v>
      </c>
      <c r="I530">
        <v>596</v>
      </c>
      <c r="J530" t="str">
        <f>VLOOKUP(E530,DSSpieler!A:B,2,FALSE)</f>
        <v>MJ.White</v>
      </c>
    </row>
    <row r="531" spans="1:10" x14ac:dyDescent="0.25">
      <c r="A531">
        <v>597</v>
      </c>
      <c r="B531" t="s">
        <v>30752</v>
      </c>
      <c r="C531">
        <v>412</v>
      </c>
      <c r="D531">
        <v>460</v>
      </c>
      <c r="E531">
        <v>1577146568</v>
      </c>
      <c r="F531">
        <v>6252</v>
      </c>
      <c r="G531">
        <v>0</v>
      </c>
      <c r="H531" t="s">
        <v>5458</v>
      </c>
      <c r="I531">
        <v>597</v>
      </c>
      <c r="J531" t="str">
        <f>VLOOKUP(E531,DSSpieler!A:B,2,FALSE)</f>
        <v>THEGOO</v>
      </c>
    </row>
    <row r="532" spans="1:10" x14ac:dyDescent="0.25">
      <c r="A532">
        <v>598</v>
      </c>
      <c r="B532" t="s">
        <v>638</v>
      </c>
      <c r="C532">
        <v>409</v>
      </c>
      <c r="D532">
        <v>454</v>
      </c>
      <c r="E532">
        <v>1576703166</v>
      </c>
      <c r="F532">
        <v>7226</v>
      </c>
      <c r="G532">
        <v>0</v>
      </c>
      <c r="H532" t="s">
        <v>5459</v>
      </c>
      <c r="I532">
        <v>598</v>
      </c>
      <c r="J532" t="str">
        <f>VLOOKUP(E532,DSSpieler!A:B,2,FALSE)</f>
        <v>Brettvormkopp</v>
      </c>
    </row>
    <row r="533" spans="1:10" x14ac:dyDescent="0.25">
      <c r="A533">
        <v>599</v>
      </c>
      <c r="B533" t="s">
        <v>639</v>
      </c>
      <c r="C533">
        <v>411</v>
      </c>
      <c r="D533">
        <v>465</v>
      </c>
      <c r="E533">
        <v>1577157501</v>
      </c>
      <c r="F533">
        <v>4646</v>
      </c>
      <c r="G533">
        <v>0</v>
      </c>
      <c r="H533" t="s">
        <v>5460</v>
      </c>
      <c r="I533">
        <v>599</v>
      </c>
      <c r="J533" t="str">
        <f>VLOOKUP(E533,DSSpieler!A:B,2,FALSE)</f>
        <v>BlackEspadaz</v>
      </c>
    </row>
    <row r="534" spans="1:10" x14ac:dyDescent="0.25">
      <c r="A534">
        <v>600</v>
      </c>
      <c r="B534" t="s">
        <v>640</v>
      </c>
      <c r="C534">
        <v>396</v>
      </c>
      <c r="D534">
        <v>477</v>
      </c>
      <c r="E534">
        <v>1577161211</v>
      </c>
      <c r="F534">
        <v>4655</v>
      </c>
      <c r="G534">
        <v>0</v>
      </c>
      <c r="H534" t="s">
        <v>5461</v>
      </c>
      <c r="I534">
        <v>600</v>
      </c>
      <c r="J534" t="str">
        <f>VLOOKUP(E534,DSSpieler!A:B,2,FALSE)</f>
        <v>KidCudi</v>
      </c>
    </row>
    <row r="535" spans="1:10" x14ac:dyDescent="0.25">
      <c r="A535">
        <v>601</v>
      </c>
      <c r="B535" t="s">
        <v>641</v>
      </c>
      <c r="C535">
        <v>406</v>
      </c>
      <c r="D535">
        <v>452</v>
      </c>
      <c r="E535">
        <v>8874977</v>
      </c>
      <c r="F535">
        <v>2680</v>
      </c>
      <c r="G535">
        <v>0</v>
      </c>
      <c r="H535" t="s">
        <v>5462</v>
      </c>
      <c r="I535">
        <v>601</v>
      </c>
      <c r="J535" t="str">
        <f>VLOOKUP(E535,DSSpieler!A:B,2,FALSE)</f>
        <v>hamburg23</v>
      </c>
    </row>
    <row r="536" spans="1:10" x14ac:dyDescent="0.25">
      <c r="A536">
        <v>602</v>
      </c>
      <c r="B536" t="s">
        <v>601</v>
      </c>
      <c r="C536">
        <v>416</v>
      </c>
      <c r="D536">
        <v>459</v>
      </c>
      <c r="E536">
        <v>9380929</v>
      </c>
      <c r="F536">
        <v>3874</v>
      </c>
      <c r="G536">
        <v>0</v>
      </c>
      <c r="H536" t="s">
        <v>5463</v>
      </c>
      <c r="I536">
        <v>602</v>
      </c>
      <c r="J536" t="str">
        <f>VLOOKUP(E536,DSSpieler!A:B,2,FALSE)</f>
        <v>sieger42</v>
      </c>
    </row>
    <row r="537" spans="1:10" x14ac:dyDescent="0.25">
      <c r="A537">
        <v>604</v>
      </c>
      <c r="B537" t="s">
        <v>642</v>
      </c>
      <c r="C537">
        <v>422</v>
      </c>
      <c r="D537">
        <v>460</v>
      </c>
      <c r="E537">
        <v>1577166769</v>
      </c>
      <c r="F537">
        <v>5747</v>
      </c>
      <c r="G537">
        <v>0</v>
      </c>
      <c r="H537" t="s">
        <v>5464</v>
      </c>
      <c r="I537">
        <v>604</v>
      </c>
      <c r="J537" t="str">
        <f>VLOOKUP(E537,DSSpieler!A:B,2,FALSE)</f>
        <v>Simsala7</v>
      </c>
    </row>
    <row r="538" spans="1:10" x14ac:dyDescent="0.25">
      <c r="A538">
        <v>605</v>
      </c>
      <c r="B538" t="s">
        <v>30753</v>
      </c>
      <c r="C538">
        <v>405</v>
      </c>
      <c r="D538">
        <v>455</v>
      </c>
      <c r="E538">
        <v>10233928</v>
      </c>
      <c r="F538">
        <v>4769</v>
      </c>
      <c r="G538">
        <v>0</v>
      </c>
      <c r="H538" t="s">
        <v>5465</v>
      </c>
      <c r="I538">
        <v>605</v>
      </c>
      <c r="J538" t="str">
        <f>VLOOKUP(E538,DSSpieler!A:B,2,FALSE)</f>
        <v>Tesserac</v>
      </c>
    </row>
    <row r="539" spans="1:10" x14ac:dyDescent="0.25">
      <c r="A539">
        <v>606</v>
      </c>
      <c r="B539" t="s">
        <v>30754</v>
      </c>
      <c r="C539">
        <v>410</v>
      </c>
      <c r="D539">
        <v>462</v>
      </c>
      <c r="E539">
        <v>1577166960</v>
      </c>
      <c r="F539">
        <v>6577</v>
      </c>
      <c r="G539">
        <v>0</v>
      </c>
      <c r="H539" t="s">
        <v>5466</v>
      </c>
      <c r="I539">
        <v>606</v>
      </c>
      <c r="J539" t="str">
        <f>VLOOKUP(E539,DSSpieler!A:B,2,FALSE)</f>
        <v>Lord Steinhose</v>
      </c>
    </row>
    <row r="540" spans="1:10" x14ac:dyDescent="0.25">
      <c r="A540">
        <v>607</v>
      </c>
      <c r="B540" t="s">
        <v>30755</v>
      </c>
      <c r="C540">
        <v>403</v>
      </c>
      <c r="D540">
        <v>468</v>
      </c>
      <c r="E540">
        <v>1577171045</v>
      </c>
      <c r="F540">
        <v>8679</v>
      </c>
      <c r="G540">
        <v>0</v>
      </c>
      <c r="H540" t="s">
        <v>5467</v>
      </c>
      <c r="I540">
        <v>607</v>
      </c>
      <c r="J540" t="str">
        <f>VLOOKUP(E540,DSSpieler!A:B,2,FALSE)</f>
        <v>swani</v>
      </c>
    </row>
    <row r="541" spans="1:10" x14ac:dyDescent="0.25">
      <c r="A541">
        <v>608</v>
      </c>
      <c r="B541" t="s">
        <v>643</v>
      </c>
      <c r="C541">
        <v>417</v>
      </c>
      <c r="D541">
        <v>469</v>
      </c>
      <c r="E541">
        <v>1576649724</v>
      </c>
      <c r="F541">
        <v>4639</v>
      </c>
      <c r="G541">
        <v>0</v>
      </c>
      <c r="H541" t="s">
        <v>5468</v>
      </c>
      <c r="I541">
        <v>608</v>
      </c>
      <c r="J541" t="str">
        <f>VLOOKUP(E541,DSSpieler!A:B,2,FALSE)</f>
        <v>Celo</v>
      </c>
    </row>
    <row r="542" spans="1:10" x14ac:dyDescent="0.25">
      <c r="A542">
        <v>609</v>
      </c>
      <c r="B542">
        <v>912</v>
      </c>
      <c r="C542">
        <v>423</v>
      </c>
      <c r="D542">
        <v>465</v>
      </c>
      <c r="E542">
        <v>1577008722</v>
      </c>
      <c r="F542">
        <v>5110</v>
      </c>
      <c r="G542">
        <v>0</v>
      </c>
      <c r="H542" t="s">
        <v>5469</v>
      </c>
      <c r="I542">
        <v>609</v>
      </c>
      <c r="J542" t="str">
        <f>VLOOKUP(E542,DSSpieler!A:B,2,FALSE)</f>
        <v>sascha911</v>
      </c>
    </row>
    <row r="543" spans="1:10" x14ac:dyDescent="0.25">
      <c r="A543">
        <v>610</v>
      </c>
      <c r="B543">
        <v>1</v>
      </c>
      <c r="C543">
        <v>409</v>
      </c>
      <c r="D543">
        <v>449</v>
      </c>
      <c r="E543">
        <v>1577175245</v>
      </c>
      <c r="F543">
        <v>5388</v>
      </c>
      <c r="G543">
        <v>0</v>
      </c>
      <c r="H543" t="s">
        <v>5470</v>
      </c>
      <c r="I543">
        <v>610</v>
      </c>
      <c r="J543" t="str">
        <f>VLOOKUP(E543,DSSpieler!A:B,2,FALSE)</f>
        <v>CoconutBong</v>
      </c>
    </row>
    <row r="544" spans="1:10" x14ac:dyDescent="0.25">
      <c r="A544">
        <v>611</v>
      </c>
      <c r="B544" t="s">
        <v>30756</v>
      </c>
      <c r="C544">
        <v>412</v>
      </c>
      <c r="D544">
        <v>458</v>
      </c>
      <c r="E544">
        <v>2856268</v>
      </c>
      <c r="F544">
        <v>5464</v>
      </c>
      <c r="G544">
        <v>0</v>
      </c>
      <c r="H544" t="s">
        <v>5471</v>
      </c>
      <c r="I544">
        <v>611</v>
      </c>
      <c r="J544" t="str">
        <f>VLOOKUP(E544,DSSpieler!A:B,2,FALSE)</f>
        <v>tillus95</v>
      </c>
    </row>
    <row r="545" spans="1:10" x14ac:dyDescent="0.25">
      <c r="A545">
        <v>612</v>
      </c>
      <c r="B545" t="s">
        <v>644</v>
      </c>
      <c r="C545">
        <v>393</v>
      </c>
      <c r="D545">
        <v>488</v>
      </c>
      <c r="E545">
        <v>1577180112</v>
      </c>
      <c r="F545">
        <v>5325</v>
      </c>
      <c r="G545">
        <v>0</v>
      </c>
      <c r="H545" t="s">
        <v>5472</v>
      </c>
      <c r="I545">
        <v>612</v>
      </c>
      <c r="J545" t="str">
        <f>VLOOKUP(E545,DSSpieler!A:B,2,FALSE)</f>
        <v>Gambrinus24</v>
      </c>
    </row>
    <row r="546" spans="1:10" x14ac:dyDescent="0.25">
      <c r="A546">
        <v>614</v>
      </c>
      <c r="B546" t="s">
        <v>645</v>
      </c>
      <c r="C546">
        <v>578</v>
      </c>
      <c r="D546">
        <v>427</v>
      </c>
      <c r="E546">
        <v>1576405643</v>
      </c>
      <c r="F546">
        <v>7192</v>
      </c>
      <c r="G546">
        <v>0</v>
      </c>
      <c r="H546" t="s">
        <v>5473</v>
      </c>
      <c r="I546">
        <v>614</v>
      </c>
      <c r="J546" t="str">
        <f>VLOOKUP(E546,DSSpieler!A:B,2,FALSE)</f>
        <v>Kuyo04</v>
      </c>
    </row>
    <row r="547" spans="1:10" x14ac:dyDescent="0.25">
      <c r="A547">
        <v>615</v>
      </c>
      <c r="B547" t="s">
        <v>646</v>
      </c>
      <c r="C547">
        <v>578</v>
      </c>
      <c r="D547">
        <v>419</v>
      </c>
      <c r="E547">
        <v>2227197</v>
      </c>
      <c r="F547">
        <v>6755</v>
      </c>
      <c r="G547">
        <v>0</v>
      </c>
      <c r="H547" t="s">
        <v>5474</v>
      </c>
      <c r="I547">
        <v>615</v>
      </c>
      <c r="J547" t="str">
        <f>VLOOKUP(E547,DSSpieler!A:B,2,FALSE)</f>
        <v>Flölly</v>
      </c>
    </row>
    <row r="548" spans="1:10" x14ac:dyDescent="0.25">
      <c r="A548">
        <v>616</v>
      </c>
      <c r="B548" t="s">
        <v>531</v>
      </c>
      <c r="C548">
        <v>448</v>
      </c>
      <c r="D548">
        <v>481</v>
      </c>
      <c r="E548">
        <v>0</v>
      </c>
      <c r="F548">
        <v>537</v>
      </c>
      <c r="G548">
        <v>0</v>
      </c>
      <c r="H548" t="s">
        <v>5475</v>
      </c>
      <c r="I548">
        <v>616</v>
      </c>
      <c r="J548" t="e">
        <f>VLOOKUP(E548,DSSpieler!A:B,2,FALSE)</f>
        <v>#N/A</v>
      </c>
    </row>
    <row r="549" spans="1:10" x14ac:dyDescent="0.25">
      <c r="A549">
        <v>617</v>
      </c>
      <c r="B549" t="s">
        <v>30757</v>
      </c>
      <c r="C549">
        <v>570</v>
      </c>
      <c r="D549">
        <v>424</v>
      </c>
      <c r="E549">
        <v>9021953</v>
      </c>
      <c r="F549">
        <v>7022</v>
      </c>
      <c r="G549">
        <v>0</v>
      </c>
      <c r="H549" t="s">
        <v>5476</v>
      </c>
      <c r="I549">
        <v>617</v>
      </c>
      <c r="J549" t="str">
        <f>VLOOKUP(E549,DSSpieler!A:B,2,FALSE)</f>
        <v>Monne-81</v>
      </c>
    </row>
    <row r="550" spans="1:10" x14ac:dyDescent="0.25">
      <c r="A550">
        <v>618</v>
      </c>
      <c r="B550" t="s">
        <v>30758</v>
      </c>
      <c r="C550">
        <v>574</v>
      </c>
      <c r="D550">
        <v>429</v>
      </c>
      <c r="E550">
        <v>1577031827</v>
      </c>
      <c r="F550">
        <v>4170</v>
      </c>
      <c r="G550">
        <v>0</v>
      </c>
      <c r="H550" t="s">
        <v>5477</v>
      </c>
      <c r="I550">
        <v>618</v>
      </c>
      <c r="J550" t="str">
        <f>VLOOKUP(E550,DSSpieler!A:B,2,FALSE)</f>
        <v>CheFlamous</v>
      </c>
    </row>
    <row r="551" spans="1:10" x14ac:dyDescent="0.25">
      <c r="A551">
        <v>619</v>
      </c>
      <c r="B551" t="s">
        <v>30759</v>
      </c>
      <c r="C551">
        <v>573</v>
      </c>
      <c r="D551">
        <v>420</v>
      </c>
      <c r="E551">
        <v>1576007470</v>
      </c>
      <c r="F551">
        <v>6626</v>
      </c>
      <c r="G551">
        <v>0</v>
      </c>
      <c r="H551" t="s">
        <v>5478</v>
      </c>
      <c r="I551">
        <v>619</v>
      </c>
      <c r="J551" t="str">
        <f>VLOOKUP(E551,DSSpieler!A:B,2,FALSE)</f>
        <v>König BlackAngel1994</v>
      </c>
    </row>
    <row r="552" spans="1:10" x14ac:dyDescent="0.25">
      <c r="A552">
        <v>620</v>
      </c>
      <c r="B552" t="s">
        <v>647</v>
      </c>
      <c r="C552">
        <v>575</v>
      </c>
      <c r="D552">
        <v>425</v>
      </c>
      <c r="E552">
        <v>1576405643</v>
      </c>
      <c r="F552">
        <v>6679</v>
      </c>
      <c r="G552">
        <v>0</v>
      </c>
      <c r="H552" t="s">
        <v>5479</v>
      </c>
      <c r="I552">
        <v>620</v>
      </c>
      <c r="J552" t="str">
        <f>VLOOKUP(E552,DSSpieler!A:B,2,FALSE)</f>
        <v>Kuyo04</v>
      </c>
    </row>
    <row r="553" spans="1:10" x14ac:dyDescent="0.25">
      <c r="A553">
        <v>622</v>
      </c>
      <c r="B553" t="s">
        <v>531</v>
      </c>
      <c r="C553">
        <v>470</v>
      </c>
      <c r="D553">
        <v>538</v>
      </c>
      <c r="E553">
        <v>0</v>
      </c>
      <c r="F553">
        <v>313</v>
      </c>
      <c r="G553">
        <v>0</v>
      </c>
      <c r="H553" t="s">
        <v>5480</v>
      </c>
      <c r="I553">
        <v>622</v>
      </c>
      <c r="J553" t="e">
        <f>VLOOKUP(E553,DSSpieler!A:B,2,FALSE)</f>
        <v>#N/A</v>
      </c>
    </row>
    <row r="554" spans="1:10" x14ac:dyDescent="0.25">
      <c r="A554">
        <v>623</v>
      </c>
      <c r="B554" t="s">
        <v>30760</v>
      </c>
      <c r="C554">
        <v>576</v>
      </c>
      <c r="D554">
        <v>424</v>
      </c>
      <c r="E554">
        <v>1576909094</v>
      </c>
      <c r="F554">
        <v>3767</v>
      </c>
      <c r="G554">
        <v>0</v>
      </c>
      <c r="H554" t="s">
        <v>5481</v>
      </c>
      <c r="I554">
        <v>623</v>
      </c>
      <c r="J554" t="str">
        <f>VLOOKUP(E554,DSSpieler!A:B,2,FALSE)</f>
        <v>DrMinzlauer</v>
      </c>
    </row>
    <row r="555" spans="1:10" x14ac:dyDescent="0.25">
      <c r="A555">
        <v>624</v>
      </c>
      <c r="B555" t="s">
        <v>648</v>
      </c>
      <c r="C555">
        <v>576</v>
      </c>
      <c r="D555">
        <v>423</v>
      </c>
      <c r="E555">
        <v>1576405643</v>
      </c>
      <c r="F555">
        <v>4996</v>
      </c>
      <c r="G555">
        <v>0</v>
      </c>
      <c r="H555" t="s">
        <v>5482</v>
      </c>
      <c r="I555">
        <v>624</v>
      </c>
      <c r="J555" t="str">
        <f>VLOOKUP(E555,DSSpieler!A:B,2,FALSE)</f>
        <v>Kuyo04</v>
      </c>
    </row>
    <row r="556" spans="1:10" x14ac:dyDescent="0.25">
      <c r="A556">
        <v>625</v>
      </c>
      <c r="B556" t="s">
        <v>30761</v>
      </c>
      <c r="C556">
        <v>571</v>
      </c>
      <c r="D556">
        <v>427</v>
      </c>
      <c r="E556">
        <v>1577169933</v>
      </c>
      <c r="F556">
        <v>7270</v>
      </c>
      <c r="G556">
        <v>0</v>
      </c>
      <c r="H556" t="s">
        <v>5483</v>
      </c>
      <c r="I556">
        <v>625</v>
      </c>
      <c r="J556" t="str">
        <f>VLOOKUP(E556,DSSpieler!A:B,2,FALSE)</f>
        <v>Kuruk</v>
      </c>
    </row>
    <row r="557" spans="1:10" x14ac:dyDescent="0.25">
      <c r="A557">
        <v>626</v>
      </c>
      <c r="B557" t="s">
        <v>531</v>
      </c>
      <c r="C557">
        <v>478</v>
      </c>
      <c r="D557">
        <v>511</v>
      </c>
      <c r="E557">
        <v>0</v>
      </c>
      <c r="F557">
        <v>359</v>
      </c>
      <c r="G557">
        <v>0</v>
      </c>
      <c r="H557" t="s">
        <v>5484</v>
      </c>
      <c r="I557">
        <v>626</v>
      </c>
      <c r="J557" t="e">
        <f>VLOOKUP(E557,DSSpieler!A:B,2,FALSE)</f>
        <v>#N/A</v>
      </c>
    </row>
    <row r="558" spans="1:10" x14ac:dyDescent="0.25">
      <c r="A558">
        <v>627</v>
      </c>
      <c r="B558" t="s">
        <v>30762</v>
      </c>
      <c r="C558">
        <v>573</v>
      </c>
      <c r="D558">
        <v>428</v>
      </c>
      <c r="E558">
        <v>1577031827</v>
      </c>
      <c r="F558">
        <v>6721</v>
      </c>
      <c r="G558">
        <v>0</v>
      </c>
      <c r="H558" t="s">
        <v>5485</v>
      </c>
      <c r="I558">
        <v>627</v>
      </c>
      <c r="J558" t="str">
        <f>VLOOKUP(E558,DSSpieler!A:B,2,FALSE)</f>
        <v>CheFlamous</v>
      </c>
    </row>
    <row r="559" spans="1:10" x14ac:dyDescent="0.25">
      <c r="A559">
        <v>628</v>
      </c>
      <c r="B559" t="s">
        <v>30763</v>
      </c>
      <c r="C559">
        <v>573</v>
      </c>
      <c r="D559">
        <v>426</v>
      </c>
      <c r="E559">
        <v>1577169933</v>
      </c>
      <c r="F559">
        <v>6509</v>
      </c>
      <c r="G559">
        <v>0</v>
      </c>
      <c r="H559" t="s">
        <v>5486</v>
      </c>
      <c r="I559">
        <v>628</v>
      </c>
      <c r="J559" t="str">
        <f>VLOOKUP(E559,DSSpieler!A:B,2,FALSE)</f>
        <v>Kuruk</v>
      </c>
    </row>
    <row r="560" spans="1:10" x14ac:dyDescent="0.25">
      <c r="A560">
        <v>629</v>
      </c>
      <c r="B560" t="s">
        <v>30764</v>
      </c>
      <c r="C560">
        <v>577</v>
      </c>
      <c r="D560">
        <v>422</v>
      </c>
      <c r="E560">
        <v>1577173984</v>
      </c>
      <c r="F560">
        <v>6824</v>
      </c>
      <c r="G560">
        <v>0</v>
      </c>
      <c r="H560" t="s">
        <v>5487</v>
      </c>
      <c r="I560">
        <v>629</v>
      </c>
      <c r="J560" t="str">
        <f>VLOOKUP(E560,DSSpieler!A:B,2,FALSE)</f>
        <v>EisJ3aer4</v>
      </c>
    </row>
    <row r="561" spans="1:10" x14ac:dyDescent="0.25">
      <c r="A561">
        <v>630</v>
      </c>
      <c r="B561" t="s">
        <v>30765</v>
      </c>
      <c r="C561">
        <v>571</v>
      </c>
      <c r="D561">
        <v>415</v>
      </c>
      <c r="E561">
        <v>1577155229</v>
      </c>
      <c r="F561">
        <v>5902</v>
      </c>
      <c r="G561">
        <v>0</v>
      </c>
      <c r="H561" t="s">
        <v>5488</v>
      </c>
      <c r="I561">
        <v>630</v>
      </c>
      <c r="J561" t="str">
        <f>VLOOKUP(E561,DSSpieler!A:B,2,FALSE)</f>
        <v>AffeMitWaffe</v>
      </c>
    </row>
    <row r="562" spans="1:10" x14ac:dyDescent="0.25">
      <c r="A562">
        <v>631</v>
      </c>
      <c r="B562" t="s">
        <v>649</v>
      </c>
      <c r="C562">
        <v>575</v>
      </c>
      <c r="D562">
        <v>429</v>
      </c>
      <c r="E562">
        <v>1576405643</v>
      </c>
      <c r="F562">
        <v>7290</v>
      </c>
      <c r="G562">
        <v>0</v>
      </c>
      <c r="H562" t="s">
        <v>5489</v>
      </c>
      <c r="I562">
        <v>631</v>
      </c>
      <c r="J562" t="str">
        <f>VLOOKUP(E562,DSSpieler!A:B,2,FALSE)</f>
        <v>Kuyo04</v>
      </c>
    </row>
    <row r="563" spans="1:10" x14ac:dyDescent="0.25">
      <c r="A563">
        <v>632</v>
      </c>
      <c r="B563">
        <v>2</v>
      </c>
      <c r="C563">
        <v>571</v>
      </c>
      <c r="D563">
        <v>419</v>
      </c>
      <c r="E563">
        <v>1576099065</v>
      </c>
      <c r="F563">
        <v>4837</v>
      </c>
      <c r="G563">
        <v>0</v>
      </c>
      <c r="H563" t="s">
        <v>5490</v>
      </c>
      <c r="I563">
        <v>632</v>
      </c>
      <c r="J563" t="str">
        <f>VLOOKUP(E563,DSSpieler!A:B,2,FALSE)</f>
        <v>finale15</v>
      </c>
    </row>
    <row r="564" spans="1:10" x14ac:dyDescent="0.25">
      <c r="A564">
        <v>634</v>
      </c>
      <c r="B564" t="s">
        <v>30766</v>
      </c>
      <c r="C564">
        <v>579</v>
      </c>
      <c r="D564">
        <v>432</v>
      </c>
      <c r="E564">
        <v>1577143706</v>
      </c>
      <c r="F564">
        <v>2747</v>
      </c>
      <c r="G564">
        <v>0</v>
      </c>
      <c r="H564" t="s">
        <v>5491</v>
      </c>
      <c r="I564">
        <v>634</v>
      </c>
      <c r="J564" t="str">
        <f>VLOOKUP(E564,DSSpieler!A:B,2,FALSE)</f>
        <v>Leinad1998</v>
      </c>
    </row>
    <row r="565" spans="1:10" x14ac:dyDescent="0.25">
      <c r="A565">
        <v>635</v>
      </c>
      <c r="B565" t="e">
        <f>-4-+Lindemann</f>
        <v>#NAME?</v>
      </c>
      <c r="C565">
        <v>573</v>
      </c>
      <c r="D565">
        <v>433</v>
      </c>
      <c r="E565">
        <v>142049</v>
      </c>
      <c r="F565">
        <v>5266</v>
      </c>
      <c r="G565">
        <v>0</v>
      </c>
      <c r="H565" t="s">
        <v>5492</v>
      </c>
      <c r="I565">
        <v>635</v>
      </c>
      <c r="J565" t="str">
        <f>VLOOKUP(E565,DSSpieler!A:B,2,FALSE)</f>
        <v>theillnes</v>
      </c>
    </row>
    <row r="566" spans="1:10" x14ac:dyDescent="0.25">
      <c r="A566">
        <v>637</v>
      </c>
      <c r="B566">
        <v>4</v>
      </c>
      <c r="C566">
        <v>567</v>
      </c>
      <c r="D566">
        <v>444</v>
      </c>
      <c r="E566">
        <v>1577197919</v>
      </c>
      <c r="F566">
        <v>3546</v>
      </c>
      <c r="G566">
        <v>0</v>
      </c>
      <c r="H566" t="s">
        <v>5493</v>
      </c>
      <c r="I566">
        <v>637</v>
      </c>
      <c r="J566" t="str">
        <f>VLOOKUP(E566,DSSpieler!A:B,2,FALSE)</f>
        <v>3RorR1</v>
      </c>
    </row>
    <row r="567" spans="1:10" x14ac:dyDescent="0.25">
      <c r="A567">
        <v>638</v>
      </c>
      <c r="B567" t="s">
        <v>30767</v>
      </c>
      <c r="C567">
        <v>562</v>
      </c>
      <c r="D567">
        <v>424</v>
      </c>
      <c r="E567">
        <v>1162784</v>
      </c>
      <c r="F567">
        <v>6953</v>
      </c>
      <c r="G567">
        <v>0</v>
      </c>
      <c r="H567" t="s">
        <v>5494</v>
      </c>
      <c r="I567">
        <v>638</v>
      </c>
      <c r="J567" t="str">
        <f>VLOOKUP(E567,DSSpieler!A:B,2,FALSE)</f>
        <v>cVraCer</v>
      </c>
    </row>
    <row r="568" spans="1:10" x14ac:dyDescent="0.25">
      <c r="A568">
        <v>639</v>
      </c>
      <c r="B568" t="s">
        <v>30768</v>
      </c>
      <c r="C568">
        <v>558</v>
      </c>
      <c r="D568">
        <v>439</v>
      </c>
      <c r="E568">
        <v>7746251</v>
      </c>
      <c r="F568">
        <v>4517</v>
      </c>
      <c r="G568">
        <v>0</v>
      </c>
      <c r="H568" t="s">
        <v>5495</v>
      </c>
      <c r="I568">
        <v>639</v>
      </c>
      <c r="J568" t="str">
        <f>VLOOKUP(E568,DSSpieler!A:B,2,FALSE)</f>
        <v>sweetsun83</v>
      </c>
    </row>
    <row r="569" spans="1:10" x14ac:dyDescent="0.25">
      <c r="A569">
        <v>640</v>
      </c>
      <c r="B569" t="s">
        <v>30769</v>
      </c>
      <c r="C569">
        <v>564</v>
      </c>
      <c r="D569">
        <v>434</v>
      </c>
      <c r="E569">
        <v>7746251</v>
      </c>
      <c r="F569">
        <v>6496</v>
      </c>
      <c r="G569">
        <v>0</v>
      </c>
      <c r="H569" t="s">
        <v>5496</v>
      </c>
      <c r="I569">
        <v>640</v>
      </c>
      <c r="J569" t="str">
        <f>VLOOKUP(E569,DSSpieler!A:B,2,FALSE)</f>
        <v>sweetsun83</v>
      </c>
    </row>
    <row r="570" spans="1:10" x14ac:dyDescent="0.25">
      <c r="A570">
        <v>641</v>
      </c>
      <c r="B570" t="s">
        <v>30770</v>
      </c>
      <c r="C570">
        <v>565</v>
      </c>
      <c r="D570">
        <v>421</v>
      </c>
      <c r="E570">
        <v>8271506</v>
      </c>
      <c r="F570">
        <v>8248</v>
      </c>
      <c r="G570">
        <v>0</v>
      </c>
      <c r="H570" t="s">
        <v>5497</v>
      </c>
      <c r="I570">
        <v>641</v>
      </c>
      <c r="J570" t="str">
        <f>VLOOKUP(E570,DSSpieler!A:B,2,FALSE)</f>
        <v>Falko der Gladiator</v>
      </c>
    </row>
    <row r="571" spans="1:10" x14ac:dyDescent="0.25">
      <c r="A571">
        <v>642</v>
      </c>
      <c r="B571" t="s">
        <v>650</v>
      </c>
      <c r="C571">
        <v>573</v>
      </c>
      <c r="D571">
        <v>425</v>
      </c>
      <c r="E571">
        <v>1577002284</v>
      </c>
      <c r="F571">
        <v>3189</v>
      </c>
      <c r="G571">
        <v>0</v>
      </c>
      <c r="H571" t="s">
        <v>5498</v>
      </c>
      <c r="I571">
        <v>642</v>
      </c>
      <c r="J571" t="str">
        <f>VLOOKUP(E571,DSSpieler!A:B,2,FALSE)</f>
        <v>Lord Andy444</v>
      </c>
    </row>
    <row r="572" spans="1:10" x14ac:dyDescent="0.25">
      <c r="A572">
        <v>643</v>
      </c>
      <c r="B572" t="s">
        <v>651</v>
      </c>
      <c r="C572">
        <v>581</v>
      </c>
      <c r="D572">
        <v>429</v>
      </c>
      <c r="E572">
        <v>1577019379</v>
      </c>
      <c r="F572">
        <v>4751</v>
      </c>
      <c r="G572">
        <v>0</v>
      </c>
      <c r="H572" t="s">
        <v>5499</v>
      </c>
      <c r="I572">
        <v>643</v>
      </c>
      <c r="J572" t="str">
        <f>VLOOKUP(E572,DSSpieler!A:B,2,FALSE)</f>
        <v>I Xailu I</v>
      </c>
    </row>
    <row r="573" spans="1:10" x14ac:dyDescent="0.25">
      <c r="A573">
        <v>646</v>
      </c>
      <c r="B573" t="s">
        <v>652</v>
      </c>
      <c r="C573">
        <v>576</v>
      </c>
      <c r="D573">
        <v>430</v>
      </c>
      <c r="E573">
        <v>1576405643</v>
      </c>
      <c r="F573">
        <v>5800</v>
      </c>
      <c r="G573">
        <v>0</v>
      </c>
      <c r="H573" t="s">
        <v>5500</v>
      </c>
      <c r="I573">
        <v>646</v>
      </c>
      <c r="J573" t="str">
        <f>VLOOKUP(E573,DSSpieler!A:B,2,FALSE)</f>
        <v>Kuyo04</v>
      </c>
    </row>
    <row r="574" spans="1:10" x14ac:dyDescent="0.25">
      <c r="A574">
        <v>647</v>
      </c>
      <c r="B574" t="s">
        <v>531</v>
      </c>
      <c r="C574">
        <v>509</v>
      </c>
      <c r="D574">
        <v>439</v>
      </c>
      <c r="E574">
        <v>0</v>
      </c>
      <c r="F574">
        <v>346</v>
      </c>
      <c r="G574">
        <v>0</v>
      </c>
      <c r="H574" t="s">
        <v>5501</v>
      </c>
      <c r="I574">
        <v>647</v>
      </c>
      <c r="J574" t="e">
        <f>VLOOKUP(E574,DSSpieler!A:B,2,FALSE)</f>
        <v>#N/A</v>
      </c>
    </row>
    <row r="575" spans="1:10" x14ac:dyDescent="0.25">
      <c r="A575">
        <v>648</v>
      </c>
      <c r="B575" t="s">
        <v>30771</v>
      </c>
      <c r="C575">
        <v>570</v>
      </c>
      <c r="D575">
        <v>430</v>
      </c>
      <c r="E575">
        <v>1576711830</v>
      </c>
      <c r="F575">
        <v>6452</v>
      </c>
      <c r="G575">
        <v>0</v>
      </c>
      <c r="H575" t="s">
        <v>5502</v>
      </c>
      <c r="I575">
        <v>648</v>
      </c>
      <c r="J575" t="str">
        <f>VLOOKUP(E575,DSSpieler!A:B,2,FALSE)</f>
        <v>Genetix</v>
      </c>
    </row>
    <row r="576" spans="1:10" x14ac:dyDescent="0.25">
      <c r="A576">
        <v>649</v>
      </c>
      <c r="B576" t="s">
        <v>30772</v>
      </c>
      <c r="C576">
        <v>557</v>
      </c>
      <c r="D576">
        <v>430</v>
      </c>
      <c r="E576">
        <v>1576794370</v>
      </c>
      <c r="F576">
        <v>7393</v>
      </c>
      <c r="G576">
        <v>0</v>
      </c>
      <c r="H576" t="s">
        <v>5503</v>
      </c>
      <c r="I576">
        <v>649</v>
      </c>
      <c r="J576" t="str">
        <f>VLOOKUP(E576,DSSpieler!A:B,2,FALSE)</f>
        <v>Siedler11</v>
      </c>
    </row>
    <row r="577" spans="1:10" x14ac:dyDescent="0.25">
      <c r="A577">
        <v>650</v>
      </c>
      <c r="B577" t="s">
        <v>531</v>
      </c>
      <c r="C577">
        <v>493</v>
      </c>
      <c r="D577">
        <v>447</v>
      </c>
      <c r="E577">
        <v>0</v>
      </c>
      <c r="F577">
        <v>159</v>
      </c>
      <c r="G577">
        <v>0</v>
      </c>
      <c r="H577" t="s">
        <v>5504</v>
      </c>
      <c r="I577">
        <v>650</v>
      </c>
      <c r="J577" t="e">
        <f>VLOOKUP(E577,DSSpieler!A:B,2,FALSE)</f>
        <v>#N/A</v>
      </c>
    </row>
    <row r="578" spans="1:10" x14ac:dyDescent="0.25">
      <c r="A578">
        <v>651</v>
      </c>
      <c r="B578" t="s">
        <v>653</v>
      </c>
      <c r="C578">
        <v>579</v>
      </c>
      <c r="D578">
        <v>428</v>
      </c>
      <c r="E578">
        <v>1577019379</v>
      </c>
      <c r="F578">
        <v>6295</v>
      </c>
      <c r="G578">
        <v>0</v>
      </c>
      <c r="H578" t="s">
        <v>5505</v>
      </c>
      <c r="I578">
        <v>651</v>
      </c>
      <c r="J578" t="str">
        <f>VLOOKUP(E578,DSSpieler!A:B,2,FALSE)</f>
        <v>I Xailu I</v>
      </c>
    </row>
    <row r="579" spans="1:10" x14ac:dyDescent="0.25">
      <c r="A579">
        <v>652</v>
      </c>
      <c r="B579" t="s">
        <v>531</v>
      </c>
      <c r="C579">
        <v>547</v>
      </c>
      <c r="D579">
        <v>536</v>
      </c>
      <c r="E579">
        <v>0</v>
      </c>
      <c r="F579">
        <v>594</v>
      </c>
      <c r="G579">
        <v>0</v>
      </c>
      <c r="H579" t="s">
        <v>5506</v>
      </c>
      <c r="I579">
        <v>652</v>
      </c>
      <c r="J579" t="e">
        <f>VLOOKUP(E579,DSSpieler!A:B,2,FALSE)</f>
        <v>#N/A</v>
      </c>
    </row>
    <row r="580" spans="1:10" x14ac:dyDescent="0.25">
      <c r="A580">
        <v>653</v>
      </c>
      <c r="B580" t="s">
        <v>654</v>
      </c>
      <c r="C580">
        <v>566</v>
      </c>
      <c r="D580">
        <v>418</v>
      </c>
      <c r="E580">
        <v>1576998192</v>
      </c>
      <c r="F580">
        <v>7589</v>
      </c>
      <c r="G580">
        <v>0</v>
      </c>
      <c r="H580" t="s">
        <v>5507</v>
      </c>
      <c r="I580">
        <v>653</v>
      </c>
      <c r="J580" t="str">
        <f>VLOOKUP(E580,DSSpieler!A:B,2,FALSE)</f>
        <v>Kastalistein</v>
      </c>
    </row>
    <row r="581" spans="1:10" x14ac:dyDescent="0.25">
      <c r="A581">
        <v>654</v>
      </c>
      <c r="B581" t="s">
        <v>30773</v>
      </c>
      <c r="C581">
        <v>580</v>
      </c>
      <c r="D581">
        <v>437</v>
      </c>
      <c r="E581">
        <v>1577093821</v>
      </c>
      <c r="F581">
        <v>6051</v>
      </c>
      <c r="G581">
        <v>0</v>
      </c>
      <c r="H581" t="s">
        <v>5508</v>
      </c>
      <c r="I581">
        <v>654</v>
      </c>
      <c r="J581" t="str">
        <f>VLOOKUP(E581,DSSpieler!A:B,2,FALSE)</f>
        <v>HaYzEnx</v>
      </c>
    </row>
    <row r="582" spans="1:10" x14ac:dyDescent="0.25">
      <c r="A582">
        <v>655</v>
      </c>
      <c r="B582" t="s">
        <v>655</v>
      </c>
      <c r="C582">
        <v>577</v>
      </c>
      <c r="D582">
        <v>424</v>
      </c>
      <c r="E582">
        <v>1577139128</v>
      </c>
      <c r="F582">
        <v>6468</v>
      </c>
      <c r="G582">
        <v>0</v>
      </c>
      <c r="H582" t="s">
        <v>5509</v>
      </c>
      <c r="I582">
        <v>655</v>
      </c>
      <c r="J582" t="str">
        <f>VLOOKUP(E582,DSSpieler!A:B,2,FALSE)</f>
        <v>Devilbeatz</v>
      </c>
    </row>
    <row r="583" spans="1:10" x14ac:dyDescent="0.25">
      <c r="A583">
        <v>656</v>
      </c>
      <c r="B583" t="s">
        <v>531</v>
      </c>
      <c r="C583">
        <v>521</v>
      </c>
      <c r="D583">
        <v>468</v>
      </c>
      <c r="E583">
        <v>0</v>
      </c>
      <c r="F583">
        <v>272</v>
      </c>
      <c r="G583">
        <v>0</v>
      </c>
      <c r="H583" t="s">
        <v>5510</v>
      </c>
      <c r="I583">
        <v>656</v>
      </c>
      <c r="J583" t="e">
        <f>VLOOKUP(E583,DSSpieler!A:B,2,FALSE)</f>
        <v>#N/A</v>
      </c>
    </row>
    <row r="584" spans="1:10" x14ac:dyDescent="0.25">
      <c r="A584">
        <v>657</v>
      </c>
      <c r="B584" t="s">
        <v>656</v>
      </c>
      <c r="C584">
        <v>562</v>
      </c>
      <c r="D584">
        <v>421</v>
      </c>
      <c r="E584">
        <v>1577199868</v>
      </c>
      <c r="F584">
        <v>2609</v>
      </c>
      <c r="G584">
        <v>0</v>
      </c>
      <c r="H584" t="s">
        <v>5511</v>
      </c>
      <c r="I584">
        <v>657</v>
      </c>
      <c r="J584" t="str">
        <f>VLOOKUP(E584,DSSpieler!A:B,2,FALSE)</f>
        <v>Hugo-XXX</v>
      </c>
    </row>
    <row r="585" spans="1:10" x14ac:dyDescent="0.25">
      <c r="A585">
        <v>660</v>
      </c>
      <c r="B585" t="s">
        <v>657</v>
      </c>
      <c r="C585">
        <v>479</v>
      </c>
      <c r="D585">
        <v>475</v>
      </c>
      <c r="E585">
        <v>475867</v>
      </c>
      <c r="F585">
        <v>6325</v>
      </c>
      <c r="G585">
        <v>0</v>
      </c>
      <c r="H585" t="s">
        <v>5512</v>
      </c>
      <c r="I585">
        <v>660</v>
      </c>
      <c r="J585" t="str">
        <f>VLOOKUP(E585,DSSpieler!A:B,2,FALSE)</f>
        <v>Livonia</v>
      </c>
    </row>
    <row r="586" spans="1:10" x14ac:dyDescent="0.25">
      <c r="A586">
        <v>661</v>
      </c>
      <c r="B586" t="s">
        <v>531</v>
      </c>
      <c r="C586">
        <v>457</v>
      </c>
      <c r="D586">
        <v>553</v>
      </c>
      <c r="E586">
        <v>0</v>
      </c>
      <c r="F586">
        <v>347</v>
      </c>
      <c r="G586">
        <v>0</v>
      </c>
      <c r="H586" t="s">
        <v>5513</v>
      </c>
      <c r="I586">
        <v>661</v>
      </c>
      <c r="J586" t="e">
        <f>VLOOKUP(E586,DSSpieler!A:B,2,FALSE)</f>
        <v>#N/A</v>
      </c>
    </row>
    <row r="587" spans="1:10" x14ac:dyDescent="0.25">
      <c r="A587">
        <v>662</v>
      </c>
      <c r="B587" t="s">
        <v>150</v>
      </c>
      <c r="C587">
        <v>479</v>
      </c>
      <c r="D587">
        <v>485</v>
      </c>
      <c r="E587">
        <v>1576472084</v>
      </c>
      <c r="F587">
        <v>2467</v>
      </c>
      <c r="G587">
        <v>0</v>
      </c>
      <c r="H587" t="s">
        <v>5514</v>
      </c>
      <c r="I587">
        <v>662</v>
      </c>
      <c r="J587" t="str">
        <f>VLOOKUP(E587,DSSpieler!A:B,2,FALSE)</f>
        <v>War2014</v>
      </c>
    </row>
    <row r="588" spans="1:10" x14ac:dyDescent="0.25">
      <c r="A588">
        <v>663</v>
      </c>
      <c r="B588" t="s">
        <v>658</v>
      </c>
      <c r="C588">
        <v>477</v>
      </c>
      <c r="D588">
        <v>490</v>
      </c>
      <c r="E588">
        <v>1577075103</v>
      </c>
      <c r="F588">
        <v>4076</v>
      </c>
      <c r="G588">
        <v>0</v>
      </c>
      <c r="H588" t="s">
        <v>5515</v>
      </c>
      <c r="I588">
        <v>663</v>
      </c>
      <c r="J588" t="str">
        <f>VLOOKUP(E588,DSSpieler!A:B,2,FALSE)</f>
        <v>TopalOsman</v>
      </c>
    </row>
    <row r="589" spans="1:10" x14ac:dyDescent="0.25">
      <c r="A589">
        <v>664</v>
      </c>
      <c r="B589" t="s">
        <v>659</v>
      </c>
      <c r="C589">
        <v>485</v>
      </c>
      <c r="D589">
        <v>477</v>
      </c>
      <c r="E589">
        <v>1577164260</v>
      </c>
      <c r="F589">
        <v>6811</v>
      </c>
      <c r="G589">
        <v>0</v>
      </c>
      <c r="H589" t="s">
        <v>5516</v>
      </c>
      <c r="I589">
        <v>664</v>
      </c>
      <c r="J589" t="str">
        <f>VLOOKUP(E589,DSSpieler!A:B,2,FALSE)</f>
        <v>raugh-raugh</v>
      </c>
    </row>
    <row r="590" spans="1:10" x14ac:dyDescent="0.25">
      <c r="A590">
        <v>665</v>
      </c>
      <c r="B590" t="s">
        <v>30774</v>
      </c>
      <c r="C590">
        <v>475</v>
      </c>
      <c r="D590">
        <v>474</v>
      </c>
      <c r="E590">
        <v>1577127397</v>
      </c>
      <c r="F590">
        <v>5014</v>
      </c>
      <c r="G590">
        <v>0</v>
      </c>
      <c r="H590" t="s">
        <v>5517</v>
      </c>
      <c r="I590">
        <v>665</v>
      </c>
      <c r="J590" t="str">
        <f>VLOOKUP(E590,DSSpieler!A:B,2,FALSE)</f>
        <v>soeren-fried</v>
      </c>
    </row>
    <row r="591" spans="1:10" x14ac:dyDescent="0.25">
      <c r="A591">
        <v>666</v>
      </c>
      <c r="B591" t="s">
        <v>531</v>
      </c>
      <c r="C591">
        <v>474</v>
      </c>
      <c r="D591">
        <v>475</v>
      </c>
      <c r="E591">
        <v>0</v>
      </c>
      <c r="F591">
        <v>226</v>
      </c>
      <c r="G591">
        <v>0</v>
      </c>
      <c r="H591" t="s">
        <v>5518</v>
      </c>
      <c r="I591">
        <v>666</v>
      </c>
      <c r="J591" t="e">
        <f>VLOOKUP(E591,DSSpieler!A:B,2,FALSE)</f>
        <v>#N/A</v>
      </c>
    </row>
    <row r="592" spans="1:10" x14ac:dyDescent="0.25">
      <c r="A592">
        <v>667</v>
      </c>
      <c r="B592" t="s">
        <v>660</v>
      </c>
      <c r="C592">
        <v>519</v>
      </c>
      <c r="D592">
        <v>393</v>
      </c>
      <c r="E592">
        <v>1576664405</v>
      </c>
      <c r="F592">
        <v>5398</v>
      </c>
      <c r="G592">
        <v>0</v>
      </c>
      <c r="H592" t="s">
        <v>5519</v>
      </c>
      <c r="I592">
        <v>667</v>
      </c>
      <c r="J592" t="str">
        <f>VLOOKUP(E592,DSSpieler!A:B,2,FALSE)</f>
        <v>Aklat</v>
      </c>
    </row>
    <row r="593" spans="1:10" x14ac:dyDescent="0.25">
      <c r="A593">
        <v>668</v>
      </c>
      <c r="B593" t="s">
        <v>661</v>
      </c>
      <c r="C593">
        <v>526</v>
      </c>
      <c r="D593">
        <v>399</v>
      </c>
      <c r="E593">
        <v>343945</v>
      </c>
      <c r="F593">
        <v>4935</v>
      </c>
      <c r="G593">
        <v>0</v>
      </c>
      <c r="H593" t="s">
        <v>5520</v>
      </c>
      <c r="I593">
        <v>668</v>
      </c>
      <c r="J593" t="str">
        <f>VLOOKUP(E593,DSSpieler!A:B,2,FALSE)</f>
        <v>Schwager</v>
      </c>
    </row>
    <row r="594" spans="1:10" x14ac:dyDescent="0.25">
      <c r="A594">
        <v>669</v>
      </c>
      <c r="B594" t="s">
        <v>30775</v>
      </c>
      <c r="C594">
        <v>495</v>
      </c>
      <c r="D594">
        <v>507</v>
      </c>
      <c r="E594">
        <v>1577184436</v>
      </c>
      <c r="F594">
        <v>1115</v>
      </c>
      <c r="G594">
        <v>0</v>
      </c>
      <c r="H594" t="s">
        <v>5521</v>
      </c>
      <c r="I594">
        <v>669</v>
      </c>
      <c r="J594" t="str">
        <f>VLOOKUP(E594,DSSpieler!A:B,2,FALSE)</f>
        <v>jaaaan3</v>
      </c>
    </row>
    <row r="595" spans="1:10" x14ac:dyDescent="0.25">
      <c r="A595">
        <v>670</v>
      </c>
      <c r="B595" t="s">
        <v>30776</v>
      </c>
      <c r="C595">
        <v>526</v>
      </c>
      <c r="D595">
        <v>409</v>
      </c>
      <c r="E595">
        <v>10289373</v>
      </c>
      <c r="F595">
        <v>4562</v>
      </c>
      <c r="G595">
        <v>0</v>
      </c>
      <c r="H595" t="s">
        <v>5522</v>
      </c>
      <c r="I595">
        <v>670</v>
      </c>
      <c r="J595" t="str">
        <f>VLOOKUP(E595,DSSpieler!A:B,2,FALSE)</f>
        <v>Rocki Fight?</v>
      </c>
    </row>
    <row r="596" spans="1:10" x14ac:dyDescent="0.25">
      <c r="A596">
        <v>671</v>
      </c>
      <c r="B596" t="s">
        <v>30777</v>
      </c>
      <c r="C596">
        <v>529</v>
      </c>
      <c r="D596">
        <v>426</v>
      </c>
      <c r="E596">
        <v>7653905</v>
      </c>
      <c r="F596">
        <v>6802</v>
      </c>
      <c r="G596">
        <v>0</v>
      </c>
      <c r="H596" t="s">
        <v>5523</v>
      </c>
      <c r="I596">
        <v>671</v>
      </c>
      <c r="J596" t="str">
        <f>VLOOKUP(E596,DSSpieler!A:B,2,FALSE)</f>
        <v>Us934</v>
      </c>
    </row>
    <row r="597" spans="1:10" x14ac:dyDescent="0.25">
      <c r="A597">
        <v>672</v>
      </c>
      <c r="B597" t="s">
        <v>30778</v>
      </c>
      <c r="C597">
        <v>542</v>
      </c>
      <c r="D597">
        <v>407</v>
      </c>
      <c r="E597">
        <v>8076591</v>
      </c>
      <c r="F597">
        <v>6428</v>
      </c>
      <c r="G597">
        <v>0</v>
      </c>
      <c r="H597" t="s">
        <v>5524</v>
      </c>
      <c r="I597">
        <v>672</v>
      </c>
      <c r="J597" t="str">
        <f>VLOOKUP(E597,DSSpieler!A:B,2,FALSE)</f>
        <v>Hinsel</v>
      </c>
    </row>
    <row r="598" spans="1:10" x14ac:dyDescent="0.25">
      <c r="A598">
        <v>673</v>
      </c>
      <c r="B598" t="s">
        <v>30779</v>
      </c>
      <c r="C598">
        <v>527</v>
      </c>
      <c r="D598">
        <v>498</v>
      </c>
      <c r="E598">
        <v>1909473</v>
      </c>
      <c r="F598">
        <v>4024</v>
      </c>
      <c r="G598">
        <v>0</v>
      </c>
      <c r="H598" t="s">
        <v>5525</v>
      </c>
      <c r="I598">
        <v>673</v>
      </c>
      <c r="J598" t="str">
        <f>VLOOKUP(E598,DSSpieler!A:B,2,FALSE)</f>
        <v>Quadratlatschen</v>
      </c>
    </row>
    <row r="599" spans="1:10" x14ac:dyDescent="0.25">
      <c r="A599">
        <v>674</v>
      </c>
      <c r="B599" t="s">
        <v>30780</v>
      </c>
      <c r="C599">
        <v>542</v>
      </c>
      <c r="D599">
        <v>403</v>
      </c>
      <c r="E599">
        <v>8669149</v>
      </c>
      <c r="F599">
        <v>5691</v>
      </c>
      <c r="G599">
        <v>0</v>
      </c>
      <c r="H599" t="s">
        <v>5526</v>
      </c>
      <c r="I599">
        <v>674</v>
      </c>
      <c r="J599" t="str">
        <f>VLOOKUP(E599,DSSpieler!A:B,2,FALSE)</f>
        <v>Giulia09</v>
      </c>
    </row>
    <row r="600" spans="1:10" x14ac:dyDescent="0.25">
      <c r="A600">
        <v>675</v>
      </c>
      <c r="B600" t="s">
        <v>662</v>
      </c>
      <c r="C600">
        <v>555</v>
      </c>
      <c r="D600">
        <v>411</v>
      </c>
      <c r="E600">
        <v>9259027</v>
      </c>
      <c r="F600">
        <v>6458</v>
      </c>
      <c r="G600">
        <v>0</v>
      </c>
      <c r="H600" t="s">
        <v>5527</v>
      </c>
      <c r="I600">
        <v>675</v>
      </c>
      <c r="J600" t="str">
        <f>VLOOKUP(E600,DSSpieler!A:B,2,FALSE)</f>
        <v>Stahl669</v>
      </c>
    </row>
    <row r="601" spans="1:10" x14ac:dyDescent="0.25">
      <c r="A601">
        <v>677</v>
      </c>
      <c r="B601" t="s">
        <v>30781</v>
      </c>
      <c r="C601">
        <v>527</v>
      </c>
      <c r="D601">
        <v>405</v>
      </c>
      <c r="E601">
        <v>1576760309</v>
      </c>
      <c r="F601">
        <v>5302</v>
      </c>
      <c r="G601">
        <v>0</v>
      </c>
      <c r="H601" t="s">
        <v>5528</v>
      </c>
      <c r="I601">
        <v>677</v>
      </c>
      <c r="J601" t="str">
        <f>VLOOKUP(E601,DSSpieler!A:B,2,FALSE)</f>
        <v>SchlingelUrs</v>
      </c>
    </row>
    <row r="602" spans="1:10" x14ac:dyDescent="0.25">
      <c r="A602">
        <v>678</v>
      </c>
      <c r="B602" t="s">
        <v>30782</v>
      </c>
      <c r="C602">
        <v>553</v>
      </c>
      <c r="D602">
        <v>422</v>
      </c>
      <c r="E602">
        <v>9422279</v>
      </c>
      <c r="F602">
        <v>5820</v>
      </c>
      <c r="G602">
        <v>0</v>
      </c>
      <c r="H602" t="s">
        <v>5529</v>
      </c>
      <c r="I602">
        <v>678</v>
      </c>
      <c r="J602" t="str">
        <f>VLOOKUP(E602,DSSpieler!A:B,2,FALSE)</f>
        <v>Castro</v>
      </c>
    </row>
    <row r="603" spans="1:10" x14ac:dyDescent="0.25">
      <c r="A603">
        <v>680</v>
      </c>
      <c r="B603" t="s">
        <v>30783</v>
      </c>
      <c r="C603">
        <v>554</v>
      </c>
      <c r="D603">
        <v>414</v>
      </c>
      <c r="E603">
        <v>9422279</v>
      </c>
      <c r="F603">
        <v>5816</v>
      </c>
      <c r="G603">
        <v>0</v>
      </c>
      <c r="H603" t="s">
        <v>5530</v>
      </c>
      <c r="I603">
        <v>680</v>
      </c>
      <c r="J603" t="str">
        <f>VLOOKUP(E603,DSSpieler!A:B,2,FALSE)</f>
        <v>Castro</v>
      </c>
    </row>
    <row r="604" spans="1:10" x14ac:dyDescent="0.25">
      <c r="A604">
        <v>681</v>
      </c>
      <c r="B604" t="s">
        <v>663</v>
      </c>
      <c r="C604">
        <v>529</v>
      </c>
      <c r="D604">
        <v>408</v>
      </c>
      <c r="E604">
        <v>9979692</v>
      </c>
      <c r="F604">
        <v>6198</v>
      </c>
      <c r="G604">
        <v>0</v>
      </c>
      <c r="H604" t="s">
        <v>5531</v>
      </c>
      <c r="I604">
        <v>681</v>
      </c>
      <c r="J604" t="str">
        <f>VLOOKUP(E604,DSSpieler!A:B,2,FALSE)</f>
        <v>WennaMorloch</v>
      </c>
    </row>
    <row r="605" spans="1:10" x14ac:dyDescent="0.25">
      <c r="A605">
        <v>682</v>
      </c>
      <c r="B605" t="s">
        <v>531</v>
      </c>
      <c r="C605">
        <v>475</v>
      </c>
      <c r="D605">
        <v>471</v>
      </c>
      <c r="E605">
        <v>0</v>
      </c>
      <c r="F605">
        <v>470</v>
      </c>
      <c r="G605">
        <v>0</v>
      </c>
      <c r="H605" t="s">
        <v>5532</v>
      </c>
      <c r="I605">
        <v>682</v>
      </c>
      <c r="J605" t="e">
        <f>VLOOKUP(E605,DSSpieler!A:B,2,FALSE)</f>
        <v>#N/A</v>
      </c>
    </row>
    <row r="606" spans="1:10" x14ac:dyDescent="0.25">
      <c r="A606">
        <v>683</v>
      </c>
      <c r="B606" t="s">
        <v>30784</v>
      </c>
      <c r="C606">
        <v>538</v>
      </c>
      <c r="D606">
        <v>423</v>
      </c>
      <c r="E606">
        <v>9616994</v>
      </c>
      <c r="F606">
        <v>1902</v>
      </c>
      <c r="G606">
        <v>0</v>
      </c>
      <c r="H606" t="s">
        <v>5533</v>
      </c>
      <c r="I606">
        <v>683</v>
      </c>
      <c r="J606" t="str">
        <f>VLOOKUP(E606,DSSpieler!A:B,2,FALSE)</f>
        <v>Boss Nike von Burgwalde</v>
      </c>
    </row>
    <row r="607" spans="1:10" x14ac:dyDescent="0.25">
      <c r="A607">
        <v>684</v>
      </c>
      <c r="B607" t="s">
        <v>664</v>
      </c>
      <c r="C607">
        <v>521</v>
      </c>
      <c r="D607">
        <v>511</v>
      </c>
      <c r="E607">
        <v>1577185779</v>
      </c>
      <c r="F607">
        <v>5028</v>
      </c>
      <c r="G607">
        <v>0</v>
      </c>
      <c r="H607" t="s">
        <v>5534</v>
      </c>
      <c r="I607">
        <v>684</v>
      </c>
      <c r="J607" t="str">
        <f>VLOOKUP(E607,DSSpieler!A:B,2,FALSE)</f>
        <v>PenguBoy</v>
      </c>
    </row>
    <row r="608" spans="1:10" x14ac:dyDescent="0.25">
      <c r="A608">
        <v>685</v>
      </c>
      <c r="B608">
        <v>1</v>
      </c>
      <c r="C608">
        <v>587</v>
      </c>
      <c r="D608">
        <v>454</v>
      </c>
      <c r="E608">
        <v>9788379</v>
      </c>
      <c r="F608">
        <v>5323</v>
      </c>
      <c r="G608">
        <v>0</v>
      </c>
      <c r="H608" t="s">
        <v>5535</v>
      </c>
      <c r="I608">
        <v>685</v>
      </c>
      <c r="J608" t="str">
        <f>VLOOKUP(E608,DSSpieler!A:B,2,FALSE)</f>
        <v>Saveworld</v>
      </c>
    </row>
    <row r="609" spans="1:10" x14ac:dyDescent="0.25">
      <c r="A609">
        <v>686</v>
      </c>
      <c r="B609" t="s">
        <v>665</v>
      </c>
      <c r="C609">
        <v>533</v>
      </c>
      <c r="D609">
        <v>410</v>
      </c>
      <c r="E609">
        <v>9979692</v>
      </c>
      <c r="F609">
        <v>5008</v>
      </c>
      <c r="G609">
        <v>0</v>
      </c>
      <c r="H609" t="s">
        <v>5536</v>
      </c>
      <c r="I609">
        <v>686</v>
      </c>
      <c r="J609" t="str">
        <f>VLOOKUP(E609,DSSpieler!A:B,2,FALSE)</f>
        <v>WennaMorloch</v>
      </c>
    </row>
    <row r="610" spans="1:10" x14ac:dyDescent="0.25">
      <c r="A610">
        <v>687</v>
      </c>
      <c r="B610" t="s">
        <v>30785</v>
      </c>
      <c r="C610">
        <v>532</v>
      </c>
      <c r="D610">
        <v>406</v>
      </c>
      <c r="E610">
        <v>10289373</v>
      </c>
      <c r="F610">
        <v>5181</v>
      </c>
      <c r="G610">
        <v>0</v>
      </c>
      <c r="H610" t="s">
        <v>5537</v>
      </c>
      <c r="I610">
        <v>687</v>
      </c>
      <c r="J610" t="str">
        <f>VLOOKUP(E610,DSSpieler!A:B,2,FALSE)</f>
        <v>Rocki Fight?</v>
      </c>
    </row>
    <row r="611" spans="1:10" x14ac:dyDescent="0.25">
      <c r="A611">
        <v>688</v>
      </c>
      <c r="B611" t="s">
        <v>531</v>
      </c>
      <c r="C611">
        <v>537</v>
      </c>
      <c r="D611">
        <v>461</v>
      </c>
      <c r="E611">
        <v>0</v>
      </c>
      <c r="F611">
        <v>250</v>
      </c>
      <c r="G611">
        <v>0</v>
      </c>
      <c r="H611" t="s">
        <v>5538</v>
      </c>
      <c r="I611">
        <v>688</v>
      </c>
      <c r="J611" t="e">
        <f>VLOOKUP(E611,DSSpieler!A:B,2,FALSE)</f>
        <v>#N/A</v>
      </c>
    </row>
    <row r="612" spans="1:10" x14ac:dyDescent="0.25">
      <c r="A612">
        <v>689</v>
      </c>
      <c r="B612" t="s">
        <v>30786</v>
      </c>
      <c r="C612">
        <v>536</v>
      </c>
      <c r="D612">
        <v>418</v>
      </c>
      <c r="E612">
        <v>1575970561</v>
      </c>
      <c r="F612">
        <v>7105</v>
      </c>
      <c r="G612">
        <v>0</v>
      </c>
      <c r="H612" t="s">
        <v>5539</v>
      </c>
      <c r="I612">
        <v>689</v>
      </c>
      <c r="J612" t="str">
        <f>VLOOKUP(E612,DSSpieler!A:B,2,FALSE)</f>
        <v>asvsta</v>
      </c>
    </row>
    <row r="613" spans="1:10" x14ac:dyDescent="0.25">
      <c r="A613">
        <v>690</v>
      </c>
      <c r="B613" t="s">
        <v>531</v>
      </c>
      <c r="C613">
        <v>450</v>
      </c>
      <c r="D613">
        <v>538</v>
      </c>
      <c r="E613">
        <v>0</v>
      </c>
      <c r="F613">
        <v>538</v>
      </c>
      <c r="G613">
        <v>0</v>
      </c>
      <c r="H613" t="s">
        <v>5540</v>
      </c>
      <c r="I613">
        <v>690</v>
      </c>
      <c r="J613" t="e">
        <f>VLOOKUP(E613,DSSpieler!A:B,2,FALSE)</f>
        <v>#N/A</v>
      </c>
    </row>
    <row r="614" spans="1:10" x14ac:dyDescent="0.25">
      <c r="A614">
        <v>691</v>
      </c>
      <c r="B614" t="s">
        <v>30787</v>
      </c>
      <c r="C614">
        <v>542</v>
      </c>
      <c r="D614">
        <v>402</v>
      </c>
      <c r="E614">
        <v>1576662569</v>
      </c>
      <c r="F614">
        <v>4800</v>
      </c>
      <c r="G614">
        <v>0</v>
      </c>
      <c r="H614" t="s">
        <v>5541</v>
      </c>
      <c r="I614">
        <v>691</v>
      </c>
      <c r="J614" t="str">
        <f>VLOOKUP(E614,DSSpieler!A:B,2,FALSE)</f>
        <v>anolisl</v>
      </c>
    </row>
    <row r="615" spans="1:10" x14ac:dyDescent="0.25">
      <c r="A615">
        <v>692</v>
      </c>
      <c r="B615">
        <v>2</v>
      </c>
      <c r="C615">
        <v>485</v>
      </c>
      <c r="D615">
        <v>536</v>
      </c>
      <c r="E615">
        <v>1577194369</v>
      </c>
      <c r="F615">
        <v>745</v>
      </c>
      <c r="G615">
        <v>0</v>
      </c>
      <c r="H615" t="s">
        <v>5542</v>
      </c>
      <c r="I615">
        <v>692</v>
      </c>
      <c r="J615" t="str">
        <f>VLOOKUP(E615,DSSpieler!A:B,2,FALSE)</f>
        <v>Charly2407</v>
      </c>
    </row>
    <row r="616" spans="1:10" x14ac:dyDescent="0.25">
      <c r="A616">
        <v>693</v>
      </c>
      <c r="B616" t="s">
        <v>30788</v>
      </c>
      <c r="C616">
        <v>532</v>
      </c>
      <c r="D616">
        <v>411</v>
      </c>
      <c r="E616">
        <v>1576039632</v>
      </c>
      <c r="F616">
        <v>7254</v>
      </c>
      <c r="G616">
        <v>0</v>
      </c>
      <c r="H616" t="s">
        <v>5543</v>
      </c>
      <c r="I616">
        <v>693</v>
      </c>
      <c r="J616" t="str">
        <f>VLOOKUP(E616,DSSpieler!A:B,2,FALSE)</f>
        <v>PaulPdG</v>
      </c>
    </row>
    <row r="617" spans="1:10" x14ac:dyDescent="0.25">
      <c r="A617">
        <v>694</v>
      </c>
      <c r="B617" t="s">
        <v>30789</v>
      </c>
      <c r="C617">
        <v>544</v>
      </c>
      <c r="D617">
        <v>421</v>
      </c>
      <c r="E617">
        <v>1576197248</v>
      </c>
      <c r="F617">
        <v>7885</v>
      </c>
      <c r="G617">
        <v>0</v>
      </c>
      <c r="H617" t="s">
        <v>5544</v>
      </c>
      <c r="I617">
        <v>694</v>
      </c>
      <c r="J617" t="str">
        <f>VLOOKUP(E617,DSSpieler!A:B,2,FALSE)</f>
        <v>BlackDestroyers</v>
      </c>
    </row>
    <row r="618" spans="1:10" x14ac:dyDescent="0.25">
      <c r="A618">
        <v>695</v>
      </c>
      <c r="B618" t="s">
        <v>30790</v>
      </c>
      <c r="C618">
        <v>547</v>
      </c>
      <c r="D618">
        <v>415</v>
      </c>
      <c r="E618">
        <v>2004534</v>
      </c>
      <c r="F618">
        <v>6496</v>
      </c>
      <c r="G618">
        <v>0</v>
      </c>
      <c r="H618" t="s">
        <v>5545</v>
      </c>
      <c r="I618">
        <v>695</v>
      </c>
      <c r="J618" t="str">
        <f>VLOOKUP(E618,DSSpieler!A:B,2,FALSE)</f>
        <v>RockyRock</v>
      </c>
    </row>
    <row r="619" spans="1:10" x14ac:dyDescent="0.25">
      <c r="A619">
        <v>696</v>
      </c>
      <c r="B619" t="s">
        <v>531</v>
      </c>
      <c r="C619">
        <v>530</v>
      </c>
      <c r="D619">
        <v>483</v>
      </c>
      <c r="E619">
        <v>0</v>
      </c>
      <c r="F619">
        <v>259</v>
      </c>
      <c r="G619">
        <v>0</v>
      </c>
      <c r="H619" t="s">
        <v>5546</v>
      </c>
      <c r="I619">
        <v>696</v>
      </c>
      <c r="J619" t="e">
        <f>VLOOKUP(E619,DSSpieler!A:B,2,FALSE)</f>
        <v>#N/A</v>
      </c>
    </row>
    <row r="620" spans="1:10" x14ac:dyDescent="0.25">
      <c r="A620">
        <v>697</v>
      </c>
      <c r="B620" t="s">
        <v>30472</v>
      </c>
      <c r="C620">
        <v>531</v>
      </c>
      <c r="D620">
        <v>399</v>
      </c>
      <c r="E620">
        <v>1576198931</v>
      </c>
      <c r="F620">
        <v>6320</v>
      </c>
      <c r="G620">
        <v>0</v>
      </c>
      <c r="H620" t="s">
        <v>5547</v>
      </c>
      <c r="I620">
        <v>697</v>
      </c>
      <c r="J620" t="str">
        <f>VLOOKUP(E620,DSSpieler!A:B,2,FALSE)</f>
        <v>Blue Haze</v>
      </c>
    </row>
    <row r="621" spans="1:10" x14ac:dyDescent="0.25">
      <c r="A621">
        <v>698</v>
      </c>
      <c r="B621" t="s">
        <v>30791</v>
      </c>
      <c r="C621">
        <v>546</v>
      </c>
      <c r="D621">
        <v>415</v>
      </c>
      <c r="E621">
        <v>1576654615</v>
      </c>
      <c r="F621">
        <v>6670</v>
      </c>
      <c r="G621">
        <v>0</v>
      </c>
      <c r="H621" t="s">
        <v>5548</v>
      </c>
      <c r="I621">
        <v>698</v>
      </c>
      <c r="J621" t="str">
        <f>VLOOKUP(E621,DSSpieler!A:B,2,FALSE)</f>
        <v>bimmeldings</v>
      </c>
    </row>
    <row r="622" spans="1:10" x14ac:dyDescent="0.25">
      <c r="A622">
        <v>699</v>
      </c>
      <c r="B622" t="s">
        <v>666</v>
      </c>
      <c r="C622">
        <v>528</v>
      </c>
      <c r="D622">
        <v>405</v>
      </c>
      <c r="E622">
        <v>1576741449</v>
      </c>
      <c r="F622">
        <v>6365</v>
      </c>
      <c r="G622">
        <v>0</v>
      </c>
      <c r="H622" t="s">
        <v>5549</v>
      </c>
      <c r="I622">
        <v>699</v>
      </c>
      <c r="J622" t="str">
        <f>VLOOKUP(E622,DSSpieler!A:B,2,FALSE)</f>
        <v>Boris-with-skill</v>
      </c>
    </row>
    <row r="623" spans="1:10" x14ac:dyDescent="0.25">
      <c r="A623">
        <v>700</v>
      </c>
      <c r="B623" t="s">
        <v>30792</v>
      </c>
      <c r="C623">
        <v>530</v>
      </c>
      <c r="D623">
        <v>405</v>
      </c>
      <c r="E623">
        <v>1576760309</v>
      </c>
      <c r="F623">
        <v>7080</v>
      </c>
      <c r="G623">
        <v>0</v>
      </c>
      <c r="H623" t="s">
        <v>5550</v>
      </c>
      <c r="I623">
        <v>700</v>
      </c>
      <c r="J623" t="str">
        <f>VLOOKUP(E623,DSSpieler!A:B,2,FALSE)</f>
        <v>SchlingelUrs</v>
      </c>
    </row>
    <row r="624" spans="1:10" x14ac:dyDescent="0.25">
      <c r="A624">
        <v>701</v>
      </c>
      <c r="B624" t="s">
        <v>30793</v>
      </c>
      <c r="C624">
        <v>549</v>
      </c>
      <c r="D624">
        <v>423</v>
      </c>
      <c r="E624">
        <v>2004534</v>
      </c>
      <c r="F624">
        <v>5745</v>
      </c>
      <c r="G624">
        <v>0</v>
      </c>
      <c r="H624" t="s">
        <v>5551</v>
      </c>
      <c r="I624">
        <v>701</v>
      </c>
      <c r="J624" t="str">
        <f>VLOOKUP(E624,DSSpieler!A:B,2,FALSE)</f>
        <v>RockyRock</v>
      </c>
    </row>
    <row r="625" spans="1:10" x14ac:dyDescent="0.25">
      <c r="A625">
        <v>702</v>
      </c>
      <c r="B625" t="s">
        <v>531</v>
      </c>
      <c r="C625">
        <v>546</v>
      </c>
      <c r="D625">
        <v>447</v>
      </c>
      <c r="E625">
        <v>0</v>
      </c>
      <c r="F625">
        <v>308</v>
      </c>
      <c r="G625">
        <v>0</v>
      </c>
      <c r="H625" t="s">
        <v>5552</v>
      </c>
      <c r="I625">
        <v>702</v>
      </c>
      <c r="J625" t="e">
        <f>VLOOKUP(E625,DSSpieler!A:B,2,FALSE)</f>
        <v>#N/A</v>
      </c>
    </row>
    <row r="626" spans="1:10" x14ac:dyDescent="0.25">
      <c r="A626">
        <v>704</v>
      </c>
      <c r="B626" t="s">
        <v>30794</v>
      </c>
      <c r="C626">
        <v>542</v>
      </c>
      <c r="D626">
        <v>425</v>
      </c>
      <c r="E626">
        <v>1576938611</v>
      </c>
      <c r="F626">
        <v>6744</v>
      </c>
      <c r="G626">
        <v>0</v>
      </c>
      <c r="H626" t="s">
        <v>5553</v>
      </c>
      <c r="I626">
        <v>704</v>
      </c>
      <c r="J626" t="str">
        <f>VLOOKUP(E626,DSSpieler!A:B,2,FALSE)</f>
        <v>Veldor</v>
      </c>
    </row>
    <row r="627" spans="1:10" x14ac:dyDescent="0.25">
      <c r="A627">
        <v>705</v>
      </c>
      <c r="B627" t="s">
        <v>531</v>
      </c>
      <c r="C627">
        <v>541</v>
      </c>
      <c r="D627">
        <v>422</v>
      </c>
      <c r="E627">
        <v>0</v>
      </c>
      <c r="F627">
        <v>443</v>
      </c>
      <c r="G627">
        <v>0</v>
      </c>
      <c r="H627" t="s">
        <v>5554</v>
      </c>
      <c r="I627">
        <v>705</v>
      </c>
      <c r="J627" t="e">
        <f>VLOOKUP(E627,DSSpieler!A:B,2,FALSE)</f>
        <v>#N/A</v>
      </c>
    </row>
    <row r="628" spans="1:10" x14ac:dyDescent="0.25">
      <c r="A628">
        <v>706</v>
      </c>
      <c r="B628" t="s">
        <v>531</v>
      </c>
      <c r="C628">
        <v>479</v>
      </c>
      <c r="D628">
        <v>513</v>
      </c>
      <c r="E628">
        <v>0</v>
      </c>
      <c r="F628">
        <v>443</v>
      </c>
      <c r="G628">
        <v>0</v>
      </c>
      <c r="H628" t="s">
        <v>5555</v>
      </c>
      <c r="I628">
        <v>706</v>
      </c>
      <c r="J628" t="e">
        <f>VLOOKUP(E628,DSSpieler!A:B,2,FALSE)</f>
        <v>#N/A</v>
      </c>
    </row>
    <row r="629" spans="1:10" x14ac:dyDescent="0.25">
      <c r="A629">
        <v>707</v>
      </c>
      <c r="B629" t="s">
        <v>667</v>
      </c>
      <c r="C629">
        <v>529</v>
      </c>
      <c r="D629">
        <v>395</v>
      </c>
      <c r="E629">
        <v>1577096644</v>
      </c>
      <c r="F629">
        <v>7022</v>
      </c>
      <c r="G629">
        <v>0</v>
      </c>
      <c r="H629" t="s">
        <v>5556</v>
      </c>
      <c r="I629">
        <v>707</v>
      </c>
      <c r="J629" t="str">
        <f>VLOOKUP(E629,DSSpieler!A:B,2,FALSE)</f>
        <v>Gunti</v>
      </c>
    </row>
    <row r="630" spans="1:10" x14ac:dyDescent="0.25">
      <c r="A630">
        <v>708</v>
      </c>
      <c r="B630" t="s">
        <v>30795</v>
      </c>
      <c r="C630">
        <v>536</v>
      </c>
      <c r="D630">
        <v>409</v>
      </c>
      <c r="E630">
        <v>1577112562</v>
      </c>
      <c r="F630">
        <v>5822</v>
      </c>
      <c r="G630">
        <v>0</v>
      </c>
      <c r="H630" t="s">
        <v>5557</v>
      </c>
      <c r="I630">
        <v>708</v>
      </c>
      <c r="J630" t="str">
        <f>VLOOKUP(E630,DSSpieler!A:B,2,FALSE)</f>
        <v>Franzi2112</v>
      </c>
    </row>
    <row r="631" spans="1:10" x14ac:dyDescent="0.25">
      <c r="A631">
        <v>709</v>
      </c>
      <c r="B631" t="s">
        <v>30796</v>
      </c>
      <c r="C631">
        <v>525</v>
      </c>
      <c r="D631">
        <v>409</v>
      </c>
      <c r="E631">
        <v>1577131626</v>
      </c>
      <c r="F631">
        <v>5035</v>
      </c>
      <c r="G631">
        <v>0</v>
      </c>
      <c r="H631" t="s">
        <v>5558</v>
      </c>
      <c r="I631">
        <v>709</v>
      </c>
      <c r="J631" t="str">
        <f>VLOOKUP(E631,DSSpieler!A:B,2,FALSE)</f>
        <v>sins</v>
      </c>
    </row>
    <row r="632" spans="1:10" x14ac:dyDescent="0.25">
      <c r="A632">
        <v>710</v>
      </c>
      <c r="B632" t="s">
        <v>30797</v>
      </c>
      <c r="C632">
        <v>530</v>
      </c>
      <c r="D632">
        <v>397</v>
      </c>
      <c r="E632">
        <v>1577155634</v>
      </c>
      <c r="F632">
        <v>6544</v>
      </c>
      <c r="G632">
        <v>0</v>
      </c>
      <c r="H632" t="s">
        <v>5559</v>
      </c>
      <c r="I632">
        <v>710</v>
      </c>
      <c r="J632" t="str">
        <f>VLOOKUP(E632,DSSpieler!A:B,2,FALSE)</f>
        <v>Jeff3191</v>
      </c>
    </row>
    <row r="633" spans="1:10" x14ac:dyDescent="0.25">
      <c r="A633">
        <v>711</v>
      </c>
      <c r="B633" t="s">
        <v>30798</v>
      </c>
      <c r="C633">
        <v>541</v>
      </c>
      <c r="D633">
        <v>407</v>
      </c>
      <c r="E633">
        <v>1577173457</v>
      </c>
      <c r="F633">
        <v>4319</v>
      </c>
      <c r="G633">
        <v>0</v>
      </c>
      <c r="H633" t="s">
        <v>5560</v>
      </c>
      <c r="I633">
        <v>711</v>
      </c>
      <c r="J633" t="str">
        <f>VLOOKUP(E633,DSSpieler!A:B,2,FALSE)</f>
        <v>Blacki029ost</v>
      </c>
    </row>
    <row r="634" spans="1:10" x14ac:dyDescent="0.25">
      <c r="A634">
        <v>712</v>
      </c>
      <c r="B634" t="s">
        <v>531</v>
      </c>
      <c r="C634">
        <v>532</v>
      </c>
      <c r="D634">
        <v>481</v>
      </c>
      <c r="E634">
        <v>0</v>
      </c>
      <c r="F634">
        <v>184</v>
      </c>
      <c r="G634">
        <v>0</v>
      </c>
      <c r="H634" t="s">
        <v>5561</v>
      </c>
      <c r="I634">
        <v>712</v>
      </c>
      <c r="J634" t="e">
        <f>VLOOKUP(E634,DSSpieler!A:B,2,FALSE)</f>
        <v>#N/A</v>
      </c>
    </row>
    <row r="635" spans="1:10" x14ac:dyDescent="0.25">
      <c r="A635">
        <v>713</v>
      </c>
      <c r="B635">
        <v>1</v>
      </c>
      <c r="C635">
        <v>527</v>
      </c>
      <c r="D635">
        <v>413</v>
      </c>
      <c r="E635">
        <v>1577171560</v>
      </c>
      <c r="F635">
        <v>6181</v>
      </c>
      <c r="G635">
        <v>0</v>
      </c>
      <c r="H635" t="s">
        <v>5562</v>
      </c>
      <c r="I635">
        <v>713</v>
      </c>
      <c r="J635" t="str">
        <f>VLOOKUP(E635,DSSpieler!A:B,2,FALSE)</f>
        <v>Tomla</v>
      </c>
    </row>
    <row r="636" spans="1:10" x14ac:dyDescent="0.25">
      <c r="A636">
        <v>714</v>
      </c>
      <c r="B636" t="s">
        <v>30799</v>
      </c>
      <c r="C636">
        <v>554</v>
      </c>
      <c r="D636">
        <v>411</v>
      </c>
      <c r="E636">
        <v>1577171923</v>
      </c>
      <c r="F636">
        <v>6313</v>
      </c>
      <c r="G636">
        <v>0</v>
      </c>
      <c r="H636" t="s">
        <v>5563</v>
      </c>
      <c r="I636">
        <v>714</v>
      </c>
      <c r="J636" t="str">
        <f>VLOOKUP(E636,DSSpieler!A:B,2,FALSE)</f>
        <v>ShadowDragon</v>
      </c>
    </row>
    <row r="637" spans="1:10" x14ac:dyDescent="0.25">
      <c r="A637">
        <v>715</v>
      </c>
      <c r="B637" t="s">
        <v>30800</v>
      </c>
      <c r="C637">
        <v>536</v>
      </c>
      <c r="D637">
        <v>403</v>
      </c>
      <c r="E637">
        <v>1577173067</v>
      </c>
      <c r="F637">
        <v>6342</v>
      </c>
      <c r="G637">
        <v>0</v>
      </c>
      <c r="H637" t="s">
        <v>5564</v>
      </c>
      <c r="I637">
        <v>715</v>
      </c>
      <c r="J637" t="str">
        <f>VLOOKUP(E637,DSSpieler!A:B,2,FALSE)</f>
        <v>SylarX</v>
      </c>
    </row>
    <row r="638" spans="1:10" x14ac:dyDescent="0.25">
      <c r="A638">
        <v>716</v>
      </c>
      <c r="B638" t="s">
        <v>531</v>
      </c>
      <c r="C638">
        <v>528</v>
      </c>
      <c r="D638">
        <v>480</v>
      </c>
      <c r="E638">
        <v>0</v>
      </c>
      <c r="F638">
        <v>268</v>
      </c>
      <c r="G638">
        <v>0</v>
      </c>
      <c r="H638" t="s">
        <v>5565</v>
      </c>
      <c r="I638">
        <v>716</v>
      </c>
      <c r="J638" t="e">
        <f>VLOOKUP(E638,DSSpieler!A:B,2,FALSE)</f>
        <v>#N/A</v>
      </c>
    </row>
    <row r="639" spans="1:10" x14ac:dyDescent="0.25">
      <c r="A639">
        <v>717</v>
      </c>
      <c r="B639" t="s">
        <v>30801</v>
      </c>
      <c r="C639">
        <v>541</v>
      </c>
      <c r="D639">
        <v>408</v>
      </c>
      <c r="E639">
        <v>1577173457</v>
      </c>
      <c r="F639">
        <v>5288</v>
      </c>
      <c r="G639">
        <v>0</v>
      </c>
      <c r="H639" t="s">
        <v>5566</v>
      </c>
      <c r="I639">
        <v>717</v>
      </c>
      <c r="J639" t="str">
        <f>VLOOKUP(E639,DSSpieler!A:B,2,FALSE)</f>
        <v>Blacki029ost</v>
      </c>
    </row>
    <row r="640" spans="1:10" x14ac:dyDescent="0.25">
      <c r="A640">
        <v>718</v>
      </c>
      <c r="B640" t="s">
        <v>531</v>
      </c>
      <c r="C640">
        <v>543</v>
      </c>
      <c r="D640">
        <v>403</v>
      </c>
      <c r="E640">
        <v>0</v>
      </c>
      <c r="F640">
        <v>869</v>
      </c>
      <c r="G640">
        <v>0</v>
      </c>
      <c r="H640" t="s">
        <v>5567</v>
      </c>
      <c r="I640">
        <v>718</v>
      </c>
      <c r="J640" t="e">
        <f>VLOOKUP(E640,DSSpieler!A:B,2,FALSE)</f>
        <v>#N/A</v>
      </c>
    </row>
    <row r="641" spans="1:10" x14ac:dyDescent="0.25">
      <c r="A641">
        <v>719</v>
      </c>
      <c r="B641" t="s">
        <v>30802</v>
      </c>
      <c r="C641">
        <v>543</v>
      </c>
      <c r="D641">
        <v>413</v>
      </c>
      <c r="E641">
        <v>7960757</v>
      </c>
      <c r="F641">
        <v>5319</v>
      </c>
      <c r="G641">
        <v>0</v>
      </c>
      <c r="H641" t="s">
        <v>5568</v>
      </c>
      <c r="I641">
        <v>719</v>
      </c>
      <c r="J641" t="str">
        <f>VLOOKUP(E641,DSSpieler!A:B,2,FALSE)</f>
        <v>Tilltanungman</v>
      </c>
    </row>
    <row r="642" spans="1:10" x14ac:dyDescent="0.25">
      <c r="A642">
        <v>720</v>
      </c>
      <c r="B642" t="s">
        <v>531</v>
      </c>
      <c r="C642">
        <v>555</v>
      </c>
      <c r="D642">
        <v>491</v>
      </c>
      <c r="E642">
        <v>0</v>
      </c>
      <c r="F642">
        <v>434</v>
      </c>
      <c r="G642">
        <v>0</v>
      </c>
      <c r="H642" t="s">
        <v>5569</v>
      </c>
      <c r="I642">
        <v>720</v>
      </c>
      <c r="J642" t="e">
        <f>VLOOKUP(E642,DSSpieler!A:B,2,FALSE)</f>
        <v>#N/A</v>
      </c>
    </row>
    <row r="643" spans="1:10" x14ac:dyDescent="0.25">
      <c r="A643">
        <v>721</v>
      </c>
      <c r="B643" t="s">
        <v>668</v>
      </c>
      <c r="C643">
        <v>542</v>
      </c>
      <c r="D643">
        <v>412</v>
      </c>
      <c r="E643">
        <v>1576402199</v>
      </c>
      <c r="F643">
        <v>6970</v>
      </c>
      <c r="G643">
        <v>0</v>
      </c>
      <c r="H643" t="s">
        <v>5570</v>
      </c>
      <c r="I643">
        <v>721</v>
      </c>
      <c r="J643" t="str">
        <f>VLOOKUP(E643,DSSpieler!A:B,2,FALSE)</f>
        <v>zInvalid</v>
      </c>
    </row>
    <row r="644" spans="1:10" x14ac:dyDescent="0.25">
      <c r="A644">
        <v>722</v>
      </c>
      <c r="B644" t="s">
        <v>30803</v>
      </c>
      <c r="C644">
        <v>544</v>
      </c>
      <c r="D644">
        <v>407</v>
      </c>
      <c r="E644">
        <v>1576402199</v>
      </c>
      <c r="F644">
        <v>5865</v>
      </c>
      <c r="G644">
        <v>0</v>
      </c>
      <c r="H644" t="s">
        <v>5571</v>
      </c>
      <c r="I644">
        <v>722</v>
      </c>
      <c r="J644" t="str">
        <f>VLOOKUP(E644,DSSpieler!A:B,2,FALSE)</f>
        <v>zInvalid</v>
      </c>
    </row>
    <row r="645" spans="1:10" x14ac:dyDescent="0.25">
      <c r="A645">
        <v>723</v>
      </c>
      <c r="B645" t="s">
        <v>30804</v>
      </c>
      <c r="C645">
        <v>540</v>
      </c>
      <c r="D645">
        <v>414</v>
      </c>
      <c r="E645">
        <v>1577177484</v>
      </c>
      <c r="F645">
        <v>7042</v>
      </c>
      <c r="G645">
        <v>0</v>
      </c>
      <c r="H645" t="s">
        <v>5572</v>
      </c>
      <c r="I645">
        <v>723</v>
      </c>
      <c r="J645" t="str">
        <f>VLOOKUP(E645,DSSpieler!A:B,2,FALSE)</f>
        <v>sims12354</v>
      </c>
    </row>
    <row r="646" spans="1:10" x14ac:dyDescent="0.25">
      <c r="A646">
        <v>724</v>
      </c>
      <c r="B646" t="s">
        <v>669</v>
      </c>
      <c r="C646">
        <v>544</v>
      </c>
      <c r="D646">
        <v>410</v>
      </c>
      <c r="E646">
        <v>1577177490</v>
      </c>
      <c r="F646">
        <v>5435</v>
      </c>
      <c r="G646">
        <v>0</v>
      </c>
      <c r="H646" t="s">
        <v>5573</v>
      </c>
      <c r="I646">
        <v>724</v>
      </c>
      <c r="J646" t="str">
        <f>VLOOKUP(E646,DSSpieler!A:B,2,FALSE)</f>
        <v>König Storch</v>
      </c>
    </row>
    <row r="647" spans="1:10" x14ac:dyDescent="0.25">
      <c r="A647">
        <v>725</v>
      </c>
      <c r="B647" t="s">
        <v>30805</v>
      </c>
      <c r="C647">
        <v>522</v>
      </c>
      <c r="D647">
        <v>399</v>
      </c>
      <c r="E647">
        <v>1577177947</v>
      </c>
      <c r="F647">
        <v>7607</v>
      </c>
      <c r="G647">
        <v>0</v>
      </c>
      <c r="H647" t="s">
        <v>5574</v>
      </c>
      <c r="I647">
        <v>725</v>
      </c>
      <c r="J647" t="str">
        <f>VLOOKUP(E647,DSSpieler!A:B,2,FALSE)</f>
        <v>Sven-104</v>
      </c>
    </row>
    <row r="648" spans="1:10" x14ac:dyDescent="0.25">
      <c r="A648">
        <v>726</v>
      </c>
      <c r="B648" t="s">
        <v>30806</v>
      </c>
      <c r="C648">
        <v>552</v>
      </c>
      <c r="D648">
        <v>416</v>
      </c>
      <c r="E648">
        <v>1576938611</v>
      </c>
      <c r="F648">
        <v>6701</v>
      </c>
      <c r="G648">
        <v>0</v>
      </c>
      <c r="H648" t="s">
        <v>5575</v>
      </c>
      <c r="I648">
        <v>726</v>
      </c>
      <c r="J648" t="str">
        <f>VLOOKUP(E648,DSSpieler!A:B,2,FALSE)</f>
        <v>Veldor</v>
      </c>
    </row>
    <row r="649" spans="1:10" x14ac:dyDescent="0.25">
      <c r="A649">
        <v>727</v>
      </c>
      <c r="B649" t="s">
        <v>30807</v>
      </c>
      <c r="C649">
        <v>532</v>
      </c>
      <c r="D649">
        <v>407</v>
      </c>
      <c r="E649">
        <v>1577178516</v>
      </c>
      <c r="F649">
        <v>6403</v>
      </c>
      <c r="G649">
        <v>0</v>
      </c>
      <c r="H649" t="s">
        <v>5576</v>
      </c>
      <c r="I649">
        <v>727</v>
      </c>
      <c r="J649" t="str">
        <f>VLOOKUP(E649,DSSpieler!A:B,2,FALSE)</f>
        <v>Maxi0109</v>
      </c>
    </row>
    <row r="650" spans="1:10" x14ac:dyDescent="0.25">
      <c r="A650">
        <v>728</v>
      </c>
      <c r="B650" t="s">
        <v>30808</v>
      </c>
      <c r="C650">
        <v>537</v>
      </c>
      <c r="D650">
        <v>427</v>
      </c>
      <c r="E650">
        <v>1576197248</v>
      </c>
      <c r="F650">
        <v>5928</v>
      </c>
      <c r="G650">
        <v>0</v>
      </c>
      <c r="H650" t="s">
        <v>5577</v>
      </c>
      <c r="I650">
        <v>728</v>
      </c>
      <c r="J650" t="str">
        <f>VLOOKUP(E650,DSSpieler!A:B,2,FALSE)</f>
        <v>BlackDestroyers</v>
      </c>
    </row>
    <row r="651" spans="1:10" x14ac:dyDescent="0.25">
      <c r="A651">
        <v>729</v>
      </c>
      <c r="B651" t="s">
        <v>30809</v>
      </c>
      <c r="C651">
        <v>541</v>
      </c>
      <c r="D651">
        <v>415</v>
      </c>
      <c r="E651">
        <v>1577177484</v>
      </c>
      <c r="F651">
        <v>6373</v>
      </c>
      <c r="G651">
        <v>0</v>
      </c>
      <c r="H651" t="s">
        <v>5578</v>
      </c>
      <c r="I651">
        <v>729</v>
      </c>
      <c r="J651" t="str">
        <f>VLOOKUP(E651,DSSpieler!A:B,2,FALSE)</f>
        <v>sims12354</v>
      </c>
    </row>
    <row r="652" spans="1:10" x14ac:dyDescent="0.25">
      <c r="A652">
        <v>730</v>
      </c>
      <c r="B652" t="s">
        <v>531</v>
      </c>
      <c r="C652">
        <v>468</v>
      </c>
      <c r="D652">
        <v>431</v>
      </c>
      <c r="E652">
        <v>0</v>
      </c>
      <c r="F652">
        <v>464</v>
      </c>
      <c r="G652">
        <v>0</v>
      </c>
      <c r="H652" t="s">
        <v>5579</v>
      </c>
      <c r="I652">
        <v>730</v>
      </c>
      <c r="J652" t="e">
        <f>VLOOKUP(E652,DSSpieler!A:B,2,FALSE)</f>
        <v>#N/A</v>
      </c>
    </row>
    <row r="653" spans="1:10" x14ac:dyDescent="0.25">
      <c r="A653">
        <v>731</v>
      </c>
      <c r="B653" t="s">
        <v>30810</v>
      </c>
      <c r="C653">
        <v>544</v>
      </c>
      <c r="D653">
        <v>412</v>
      </c>
      <c r="E653">
        <v>1576190508</v>
      </c>
      <c r="F653">
        <v>2460</v>
      </c>
      <c r="G653">
        <v>0</v>
      </c>
      <c r="H653" t="s">
        <v>5580</v>
      </c>
      <c r="I653">
        <v>731</v>
      </c>
      <c r="J653" t="str">
        <f>VLOOKUP(E653,DSSpieler!A:B,2,FALSE)</f>
        <v>DrMurke</v>
      </c>
    </row>
    <row r="654" spans="1:10" x14ac:dyDescent="0.25">
      <c r="A654">
        <v>732</v>
      </c>
      <c r="B654" t="s">
        <v>30811</v>
      </c>
      <c r="C654">
        <v>446</v>
      </c>
      <c r="D654">
        <v>456</v>
      </c>
      <c r="E654">
        <v>1852630</v>
      </c>
      <c r="F654">
        <v>4711</v>
      </c>
      <c r="G654">
        <v>0</v>
      </c>
      <c r="H654" t="s">
        <v>5581</v>
      </c>
      <c r="I654">
        <v>732</v>
      </c>
      <c r="J654" t="str">
        <f>VLOOKUP(E654,DSSpieler!A:B,2,FALSE)</f>
        <v>playboii aus wersten</v>
      </c>
    </row>
    <row r="655" spans="1:10" x14ac:dyDescent="0.25">
      <c r="A655">
        <v>733</v>
      </c>
      <c r="B655" t="s">
        <v>30812</v>
      </c>
      <c r="C655">
        <v>441</v>
      </c>
      <c r="D655">
        <v>461</v>
      </c>
      <c r="E655">
        <v>8459448</v>
      </c>
      <c r="F655">
        <v>3366</v>
      </c>
      <c r="G655">
        <v>0</v>
      </c>
      <c r="H655" t="s">
        <v>5582</v>
      </c>
      <c r="I655">
        <v>733</v>
      </c>
      <c r="J655" t="str">
        <f>VLOOKUP(E655,DSSpieler!A:B,2,FALSE)</f>
        <v>DarkDarco</v>
      </c>
    </row>
    <row r="656" spans="1:10" x14ac:dyDescent="0.25">
      <c r="A656">
        <v>734</v>
      </c>
      <c r="B656" t="s">
        <v>531</v>
      </c>
      <c r="C656">
        <v>478</v>
      </c>
      <c r="D656">
        <v>576</v>
      </c>
      <c r="E656">
        <v>0</v>
      </c>
      <c r="F656">
        <v>293</v>
      </c>
      <c r="G656">
        <v>0</v>
      </c>
      <c r="H656" t="s">
        <v>5583</v>
      </c>
      <c r="I656">
        <v>734</v>
      </c>
      <c r="J656" t="e">
        <f>VLOOKUP(E656,DSSpieler!A:B,2,FALSE)</f>
        <v>#N/A</v>
      </c>
    </row>
    <row r="657" spans="1:10" x14ac:dyDescent="0.25">
      <c r="A657">
        <v>735</v>
      </c>
      <c r="B657" t="s">
        <v>30813</v>
      </c>
      <c r="C657">
        <v>442</v>
      </c>
      <c r="D657">
        <v>457</v>
      </c>
      <c r="E657">
        <v>9607859</v>
      </c>
      <c r="F657">
        <v>4470</v>
      </c>
      <c r="G657">
        <v>0</v>
      </c>
      <c r="H657" t="s">
        <v>5584</v>
      </c>
      <c r="I657">
        <v>735</v>
      </c>
      <c r="J657" t="str">
        <f>VLOOKUP(E657,DSSpieler!A:B,2,FALSE)</f>
        <v>Silicon</v>
      </c>
    </row>
    <row r="658" spans="1:10" x14ac:dyDescent="0.25">
      <c r="A658">
        <v>736</v>
      </c>
      <c r="B658" t="s">
        <v>531</v>
      </c>
      <c r="C658">
        <v>539</v>
      </c>
      <c r="D658">
        <v>473</v>
      </c>
      <c r="E658">
        <v>0</v>
      </c>
      <c r="F658">
        <v>347</v>
      </c>
      <c r="G658">
        <v>0</v>
      </c>
      <c r="H658" t="s">
        <v>5585</v>
      </c>
      <c r="I658">
        <v>736</v>
      </c>
      <c r="J658" t="e">
        <f>VLOOKUP(E658,DSSpieler!A:B,2,FALSE)</f>
        <v>#N/A</v>
      </c>
    </row>
    <row r="659" spans="1:10" x14ac:dyDescent="0.25">
      <c r="A659">
        <v>737</v>
      </c>
      <c r="B659" t="s">
        <v>670</v>
      </c>
      <c r="C659">
        <v>438</v>
      </c>
      <c r="D659">
        <v>449</v>
      </c>
      <c r="E659">
        <v>3225442</v>
      </c>
      <c r="F659">
        <v>6131</v>
      </c>
      <c r="G659">
        <v>0</v>
      </c>
      <c r="H659" t="s">
        <v>5586</v>
      </c>
      <c r="I659">
        <v>737</v>
      </c>
      <c r="J659" t="str">
        <f>VLOOKUP(E659,DSSpieler!A:B,2,FALSE)</f>
        <v>Halsbandleguan</v>
      </c>
    </row>
    <row r="660" spans="1:10" x14ac:dyDescent="0.25">
      <c r="A660">
        <v>738</v>
      </c>
      <c r="B660" t="s">
        <v>30814</v>
      </c>
      <c r="C660">
        <v>445</v>
      </c>
      <c r="D660">
        <v>453</v>
      </c>
      <c r="E660">
        <v>1577165248</v>
      </c>
      <c r="F660">
        <v>5297</v>
      </c>
      <c r="G660">
        <v>0</v>
      </c>
      <c r="H660" t="s">
        <v>5587</v>
      </c>
      <c r="I660">
        <v>738</v>
      </c>
      <c r="J660" t="str">
        <f>VLOOKUP(E660,DSSpieler!A:B,2,FALSE)</f>
        <v>AlfDerVierzweinullste</v>
      </c>
    </row>
    <row r="661" spans="1:10" x14ac:dyDescent="0.25">
      <c r="A661">
        <v>739</v>
      </c>
      <c r="B661">
        <v>2</v>
      </c>
      <c r="C661">
        <v>444</v>
      </c>
      <c r="D661">
        <v>454</v>
      </c>
      <c r="E661">
        <v>1576730474</v>
      </c>
      <c r="F661">
        <v>7551</v>
      </c>
      <c r="G661">
        <v>0</v>
      </c>
      <c r="H661" t="s">
        <v>5588</v>
      </c>
      <c r="I661">
        <v>739</v>
      </c>
      <c r="J661" t="str">
        <f>VLOOKUP(E661,DSSpieler!A:B,2,FALSE)</f>
        <v>Cookilie</v>
      </c>
    </row>
    <row r="662" spans="1:10" x14ac:dyDescent="0.25">
      <c r="A662">
        <v>740</v>
      </c>
      <c r="B662" t="s">
        <v>671</v>
      </c>
      <c r="C662">
        <v>450</v>
      </c>
      <c r="D662">
        <v>453</v>
      </c>
      <c r="E662">
        <v>1577165097</v>
      </c>
      <c r="F662">
        <v>7264</v>
      </c>
      <c r="G662">
        <v>0</v>
      </c>
      <c r="H662" t="s">
        <v>5589</v>
      </c>
      <c r="I662">
        <v>740</v>
      </c>
      <c r="J662" t="str">
        <f>VLOOKUP(E662,DSSpieler!A:B,2,FALSE)</f>
        <v>Nikey20</v>
      </c>
    </row>
    <row r="663" spans="1:10" x14ac:dyDescent="0.25">
      <c r="A663">
        <v>741</v>
      </c>
      <c r="B663" t="s">
        <v>30815</v>
      </c>
      <c r="C663">
        <v>444</v>
      </c>
      <c r="D663">
        <v>446</v>
      </c>
      <c r="E663">
        <v>1577175475</v>
      </c>
      <c r="F663">
        <v>6154</v>
      </c>
      <c r="G663">
        <v>0</v>
      </c>
      <c r="H663" t="s">
        <v>5590</v>
      </c>
      <c r="I663">
        <v>741</v>
      </c>
      <c r="J663" t="str">
        <f>VLOOKUP(E663,DSSpieler!A:B,2,FALSE)</f>
        <v>MikuChan</v>
      </c>
    </row>
    <row r="664" spans="1:10" x14ac:dyDescent="0.25">
      <c r="A664">
        <v>742</v>
      </c>
      <c r="B664" t="s">
        <v>672</v>
      </c>
      <c r="C664">
        <v>597</v>
      </c>
      <c r="D664">
        <v>527</v>
      </c>
      <c r="E664">
        <v>1577117790</v>
      </c>
      <c r="F664">
        <v>1734</v>
      </c>
      <c r="G664">
        <v>0</v>
      </c>
      <c r="H664" t="s">
        <v>5591</v>
      </c>
      <c r="I664">
        <v>742</v>
      </c>
      <c r="J664" t="str">
        <f>VLOOKUP(E664,DSSpieler!A:B,2,FALSE)</f>
        <v>philandfred</v>
      </c>
    </row>
    <row r="665" spans="1:10" x14ac:dyDescent="0.25">
      <c r="A665">
        <v>743</v>
      </c>
      <c r="B665" t="s">
        <v>531</v>
      </c>
      <c r="C665">
        <v>545</v>
      </c>
      <c r="D665">
        <v>509</v>
      </c>
      <c r="E665">
        <v>0</v>
      </c>
      <c r="F665">
        <v>246</v>
      </c>
      <c r="G665">
        <v>0</v>
      </c>
      <c r="H665" t="s">
        <v>5592</v>
      </c>
      <c r="I665">
        <v>743</v>
      </c>
      <c r="J665" t="e">
        <f>VLOOKUP(E665,DSSpieler!A:B,2,FALSE)</f>
        <v>#N/A</v>
      </c>
    </row>
    <row r="666" spans="1:10" x14ac:dyDescent="0.25">
      <c r="A666">
        <v>744</v>
      </c>
      <c r="B666" t="s">
        <v>30816</v>
      </c>
      <c r="C666">
        <v>584</v>
      </c>
      <c r="D666">
        <v>522</v>
      </c>
      <c r="E666">
        <v>1576770406</v>
      </c>
      <c r="F666">
        <v>5034</v>
      </c>
      <c r="G666">
        <v>0</v>
      </c>
      <c r="H666" t="s">
        <v>5593</v>
      </c>
      <c r="I666">
        <v>744</v>
      </c>
      <c r="J666" t="str">
        <f>VLOOKUP(E666,DSSpieler!A:B,2,FALSE)</f>
        <v>boxbox</v>
      </c>
    </row>
    <row r="667" spans="1:10" x14ac:dyDescent="0.25">
      <c r="A667">
        <v>745</v>
      </c>
      <c r="B667" t="s">
        <v>531</v>
      </c>
      <c r="C667">
        <v>482</v>
      </c>
      <c r="D667">
        <v>504</v>
      </c>
      <c r="E667">
        <v>0</v>
      </c>
      <c r="F667">
        <v>191</v>
      </c>
      <c r="G667">
        <v>0</v>
      </c>
      <c r="H667" t="s">
        <v>5594</v>
      </c>
      <c r="I667">
        <v>745</v>
      </c>
      <c r="J667" t="e">
        <f>VLOOKUP(E667,DSSpieler!A:B,2,FALSE)</f>
        <v>#N/A</v>
      </c>
    </row>
    <row r="668" spans="1:10" x14ac:dyDescent="0.25">
      <c r="A668">
        <v>746</v>
      </c>
      <c r="B668" t="s">
        <v>673</v>
      </c>
      <c r="C668">
        <v>582</v>
      </c>
      <c r="D668">
        <v>531</v>
      </c>
      <c r="E668">
        <v>1577112350</v>
      </c>
      <c r="F668">
        <v>5598</v>
      </c>
      <c r="G668">
        <v>0</v>
      </c>
      <c r="H668" t="s">
        <v>5595</v>
      </c>
      <c r="I668">
        <v>746</v>
      </c>
      <c r="J668" t="str">
        <f>VLOOKUP(E668,DSSpieler!A:B,2,FALSE)</f>
        <v>AtesKangal</v>
      </c>
    </row>
    <row r="669" spans="1:10" x14ac:dyDescent="0.25">
      <c r="A669">
        <v>747</v>
      </c>
      <c r="B669" t="s">
        <v>30817</v>
      </c>
      <c r="C669">
        <v>587</v>
      </c>
      <c r="D669">
        <v>519</v>
      </c>
      <c r="E669">
        <v>1577170716</v>
      </c>
      <c r="F669">
        <v>4841</v>
      </c>
      <c r="G669">
        <v>0</v>
      </c>
      <c r="H669" t="s">
        <v>5596</v>
      </c>
      <c r="I669">
        <v>747</v>
      </c>
      <c r="J669" t="str">
        <f>VLOOKUP(E669,DSSpieler!A:B,2,FALSE)</f>
        <v>Perser-Krieger</v>
      </c>
    </row>
    <row r="670" spans="1:10" x14ac:dyDescent="0.25">
      <c r="A670">
        <v>748</v>
      </c>
      <c r="B670" t="s">
        <v>674</v>
      </c>
      <c r="C670">
        <v>589</v>
      </c>
      <c r="D670">
        <v>528</v>
      </c>
      <c r="E670">
        <v>1577185084</v>
      </c>
      <c r="F670">
        <v>4742</v>
      </c>
      <c r="G670">
        <v>0</v>
      </c>
      <c r="H670" t="s">
        <v>5597</v>
      </c>
      <c r="I670">
        <v>748</v>
      </c>
      <c r="J670" t="str">
        <f>VLOOKUP(E670,DSSpieler!A:B,2,FALSE)</f>
        <v>xXxFragezeichenxXx</v>
      </c>
    </row>
    <row r="671" spans="1:10" x14ac:dyDescent="0.25">
      <c r="A671">
        <v>749</v>
      </c>
      <c r="B671" t="s">
        <v>30818</v>
      </c>
      <c r="C671">
        <v>499</v>
      </c>
      <c r="D671">
        <v>497</v>
      </c>
      <c r="E671">
        <v>8192149</v>
      </c>
      <c r="F671">
        <v>4676</v>
      </c>
      <c r="G671">
        <v>0</v>
      </c>
      <c r="H671" t="s">
        <v>5598</v>
      </c>
      <c r="I671">
        <v>749</v>
      </c>
      <c r="J671" t="str">
        <f>VLOOKUP(E671,DSSpieler!A:B,2,FALSE)</f>
        <v>blue phantasie</v>
      </c>
    </row>
    <row r="672" spans="1:10" x14ac:dyDescent="0.25">
      <c r="A672">
        <v>750</v>
      </c>
      <c r="B672" t="s">
        <v>675</v>
      </c>
      <c r="C672">
        <v>599</v>
      </c>
      <c r="D672">
        <v>526</v>
      </c>
      <c r="E672">
        <v>1577188239</v>
      </c>
      <c r="F672">
        <v>5763</v>
      </c>
      <c r="G672">
        <v>0</v>
      </c>
      <c r="H672" t="s">
        <v>5599</v>
      </c>
      <c r="I672">
        <v>750</v>
      </c>
      <c r="J672" t="str">
        <f>VLOOKUP(E672,DSSpieler!A:B,2,FALSE)</f>
        <v>Kämpferlicht</v>
      </c>
    </row>
    <row r="673" spans="1:10" x14ac:dyDescent="0.25">
      <c r="A673">
        <v>751</v>
      </c>
      <c r="B673" t="s">
        <v>30819</v>
      </c>
      <c r="C673">
        <v>582</v>
      </c>
      <c r="D673">
        <v>523</v>
      </c>
      <c r="E673">
        <v>1577195500</v>
      </c>
      <c r="F673">
        <v>5032</v>
      </c>
      <c r="G673">
        <v>0</v>
      </c>
      <c r="H673" t="s">
        <v>5600</v>
      </c>
      <c r="I673">
        <v>751</v>
      </c>
      <c r="J673" t="str">
        <f>VLOOKUP(E673,DSSpieler!A:B,2,FALSE)</f>
        <v>PuzzIes</v>
      </c>
    </row>
    <row r="674" spans="1:10" x14ac:dyDescent="0.25">
      <c r="A674">
        <v>752</v>
      </c>
      <c r="B674" t="s">
        <v>673</v>
      </c>
      <c r="C674">
        <v>586</v>
      </c>
      <c r="D674">
        <v>528</v>
      </c>
      <c r="E674">
        <v>1577112350</v>
      </c>
      <c r="F674">
        <v>4885</v>
      </c>
      <c r="G674">
        <v>0</v>
      </c>
      <c r="H674" t="s">
        <v>5601</v>
      </c>
      <c r="I674">
        <v>752</v>
      </c>
      <c r="J674" t="str">
        <f>VLOOKUP(E674,DSSpieler!A:B,2,FALSE)</f>
        <v>AtesKangal</v>
      </c>
    </row>
    <row r="675" spans="1:10" x14ac:dyDescent="0.25">
      <c r="A675">
        <v>753</v>
      </c>
      <c r="B675" t="s">
        <v>673</v>
      </c>
      <c r="C675">
        <v>591</v>
      </c>
      <c r="D675">
        <v>527</v>
      </c>
      <c r="E675">
        <v>1577112350</v>
      </c>
      <c r="F675">
        <v>4699</v>
      </c>
      <c r="G675">
        <v>0</v>
      </c>
      <c r="H675" t="s">
        <v>5602</v>
      </c>
      <c r="I675">
        <v>753</v>
      </c>
      <c r="J675" t="str">
        <f>VLOOKUP(E675,DSSpieler!A:B,2,FALSE)</f>
        <v>AtesKangal</v>
      </c>
    </row>
    <row r="676" spans="1:10" x14ac:dyDescent="0.25">
      <c r="A676">
        <v>754</v>
      </c>
      <c r="B676" t="s">
        <v>30820</v>
      </c>
      <c r="C676">
        <v>581</v>
      </c>
      <c r="D676">
        <v>539</v>
      </c>
      <c r="E676">
        <v>1577178554</v>
      </c>
      <c r="F676">
        <v>4647</v>
      </c>
      <c r="G676">
        <v>0</v>
      </c>
      <c r="H676" t="s">
        <v>5603</v>
      </c>
      <c r="I676">
        <v>754</v>
      </c>
      <c r="J676" t="str">
        <f>VLOOKUP(E676,DSSpieler!A:B,2,FALSE)</f>
        <v>Nicer Dude</v>
      </c>
    </row>
    <row r="677" spans="1:10" x14ac:dyDescent="0.25">
      <c r="A677">
        <v>755</v>
      </c>
      <c r="B677" t="s">
        <v>531</v>
      </c>
      <c r="C677">
        <v>471</v>
      </c>
      <c r="D677">
        <v>504</v>
      </c>
      <c r="E677">
        <v>0</v>
      </c>
      <c r="F677">
        <v>293</v>
      </c>
      <c r="G677">
        <v>0</v>
      </c>
      <c r="H677" t="s">
        <v>5604</v>
      </c>
      <c r="I677">
        <v>755</v>
      </c>
      <c r="J677" t="e">
        <f>VLOOKUP(E677,DSSpieler!A:B,2,FALSE)</f>
        <v>#N/A</v>
      </c>
    </row>
    <row r="678" spans="1:10" x14ac:dyDescent="0.25">
      <c r="A678">
        <v>756</v>
      </c>
      <c r="B678" t="s">
        <v>30820</v>
      </c>
      <c r="C678">
        <v>576</v>
      </c>
      <c r="D678">
        <v>543</v>
      </c>
      <c r="E678">
        <v>1577178554</v>
      </c>
      <c r="F678">
        <v>5325</v>
      </c>
      <c r="G678">
        <v>0</v>
      </c>
      <c r="H678" t="s">
        <v>5605</v>
      </c>
      <c r="I678">
        <v>756</v>
      </c>
      <c r="J678" t="str">
        <f>VLOOKUP(E678,DSSpieler!A:B,2,FALSE)</f>
        <v>Nicer Dude</v>
      </c>
    </row>
    <row r="679" spans="1:10" x14ac:dyDescent="0.25">
      <c r="A679">
        <v>757</v>
      </c>
      <c r="B679" t="s">
        <v>531</v>
      </c>
      <c r="C679">
        <v>487</v>
      </c>
      <c r="D679">
        <v>497</v>
      </c>
      <c r="E679">
        <v>0</v>
      </c>
      <c r="F679">
        <v>76</v>
      </c>
      <c r="G679">
        <v>0</v>
      </c>
      <c r="H679" t="s">
        <v>5606</v>
      </c>
      <c r="I679">
        <v>757</v>
      </c>
      <c r="J679" t="e">
        <f>VLOOKUP(E679,DSSpieler!A:B,2,FALSE)</f>
        <v>#N/A</v>
      </c>
    </row>
    <row r="680" spans="1:10" x14ac:dyDescent="0.25">
      <c r="A680">
        <v>758</v>
      </c>
      <c r="B680" t="s">
        <v>30821</v>
      </c>
      <c r="C680">
        <v>598</v>
      </c>
      <c r="D680">
        <v>529</v>
      </c>
      <c r="E680">
        <v>8785138</v>
      </c>
      <c r="F680">
        <v>4278</v>
      </c>
      <c r="G680">
        <v>0</v>
      </c>
      <c r="H680" t="s">
        <v>5607</v>
      </c>
      <c r="I680">
        <v>758</v>
      </c>
      <c r="J680" t="str">
        <f>VLOOKUP(E680,DSSpieler!A:B,2,FALSE)</f>
        <v>Coer de Lion II</v>
      </c>
    </row>
    <row r="681" spans="1:10" x14ac:dyDescent="0.25">
      <c r="A681">
        <v>759</v>
      </c>
      <c r="B681" t="s">
        <v>531</v>
      </c>
      <c r="C681">
        <v>446</v>
      </c>
      <c r="D681">
        <v>585</v>
      </c>
      <c r="E681">
        <v>0</v>
      </c>
      <c r="F681">
        <v>333</v>
      </c>
      <c r="G681">
        <v>0</v>
      </c>
      <c r="H681" t="s">
        <v>5608</v>
      </c>
      <c r="I681">
        <v>759</v>
      </c>
      <c r="J681" t="e">
        <f>VLOOKUP(E681,DSSpieler!A:B,2,FALSE)</f>
        <v>#N/A</v>
      </c>
    </row>
    <row r="682" spans="1:10" x14ac:dyDescent="0.25">
      <c r="A682">
        <v>760</v>
      </c>
      <c r="B682" t="s">
        <v>531</v>
      </c>
      <c r="C682">
        <v>488</v>
      </c>
      <c r="D682">
        <v>533</v>
      </c>
      <c r="E682">
        <v>0</v>
      </c>
      <c r="F682">
        <v>258</v>
      </c>
      <c r="G682">
        <v>0</v>
      </c>
      <c r="H682" t="s">
        <v>5609</v>
      </c>
      <c r="I682">
        <v>760</v>
      </c>
      <c r="J682" t="e">
        <f>VLOOKUP(E682,DSSpieler!A:B,2,FALSE)</f>
        <v>#N/A</v>
      </c>
    </row>
    <row r="683" spans="1:10" x14ac:dyDescent="0.25">
      <c r="A683">
        <v>762</v>
      </c>
      <c r="B683" t="s">
        <v>531</v>
      </c>
      <c r="C683">
        <v>542</v>
      </c>
      <c r="D683">
        <v>521</v>
      </c>
      <c r="E683">
        <v>0</v>
      </c>
      <c r="F683">
        <v>379</v>
      </c>
      <c r="G683">
        <v>0</v>
      </c>
      <c r="H683" t="s">
        <v>5610</v>
      </c>
      <c r="I683">
        <v>762</v>
      </c>
      <c r="J683" t="e">
        <f>VLOOKUP(E683,DSSpieler!A:B,2,FALSE)</f>
        <v>#N/A</v>
      </c>
    </row>
    <row r="684" spans="1:10" x14ac:dyDescent="0.25">
      <c r="A684">
        <v>763</v>
      </c>
      <c r="B684" t="s">
        <v>531</v>
      </c>
      <c r="C684">
        <v>501</v>
      </c>
      <c r="D684">
        <v>534</v>
      </c>
      <c r="E684">
        <v>0</v>
      </c>
      <c r="F684">
        <v>242</v>
      </c>
      <c r="G684">
        <v>0</v>
      </c>
      <c r="H684" t="s">
        <v>5611</v>
      </c>
      <c r="I684">
        <v>763</v>
      </c>
      <c r="J684" t="e">
        <f>VLOOKUP(E684,DSSpieler!A:B,2,FALSE)</f>
        <v>#N/A</v>
      </c>
    </row>
    <row r="685" spans="1:10" x14ac:dyDescent="0.25">
      <c r="A685">
        <v>764</v>
      </c>
      <c r="B685" t="s">
        <v>676</v>
      </c>
      <c r="C685">
        <v>542</v>
      </c>
      <c r="D685">
        <v>500</v>
      </c>
      <c r="E685">
        <v>8874324</v>
      </c>
      <c r="F685">
        <v>6360</v>
      </c>
      <c r="G685">
        <v>0</v>
      </c>
      <c r="H685" t="s">
        <v>5612</v>
      </c>
      <c r="I685">
        <v>764</v>
      </c>
      <c r="J685" t="str">
        <f>VLOOKUP(E685,DSSpieler!A:B,2,FALSE)</f>
        <v>big steeve</v>
      </c>
    </row>
    <row r="686" spans="1:10" x14ac:dyDescent="0.25">
      <c r="A686">
        <v>765</v>
      </c>
      <c r="B686" t="s">
        <v>30822</v>
      </c>
      <c r="C686">
        <v>544</v>
      </c>
      <c r="D686">
        <v>496</v>
      </c>
      <c r="E686">
        <v>1945041</v>
      </c>
      <c r="F686">
        <v>4981</v>
      </c>
      <c r="G686">
        <v>0</v>
      </c>
      <c r="H686" t="s">
        <v>5613</v>
      </c>
      <c r="I686">
        <v>765</v>
      </c>
      <c r="J686" t="str">
        <f>VLOOKUP(E686,DSSpieler!A:B,2,FALSE)</f>
        <v>BMW1200GS</v>
      </c>
    </row>
    <row r="687" spans="1:10" x14ac:dyDescent="0.25">
      <c r="A687">
        <v>766</v>
      </c>
      <c r="B687">
        <v>1</v>
      </c>
      <c r="C687">
        <v>551</v>
      </c>
      <c r="D687">
        <v>507</v>
      </c>
      <c r="E687">
        <v>3241642</v>
      </c>
      <c r="F687">
        <v>6245</v>
      </c>
      <c r="G687">
        <v>0</v>
      </c>
      <c r="H687" t="s">
        <v>5614</v>
      </c>
      <c r="I687">
        <v>766</v>
      </c>
      <c r="J687" t="str">
        <f>VLOOKUP(E687,DSSpieler!A:B,2,FALSE)</f>
        <v>ZeraMorpheus</v>
      </c>
    </row>
    <row r="688" spans="1:10" x14ac:dyDescent="0.25">
      <c r="A688">
        <v>767</v>
      </c>
      <c r="B688" t="s">
        <v>677</v>
      </c>
      <c r="C688">
        <v>550</v>
      </c>
      <c r="D688">
        <v>510</v>
      </c>
      <c r="E688">
        <v>514223</v>
      </c>
      <c r="F688">
        <v>7480</v>
      </c>
      <c r="G688">
        <v>0</v>
      </c>
      <c r="H688" t="s">
        <v>5615</v>
      </c>
      <c r="I688">
        <v>767</v>
      </c>
      <c r="J688" t="str">
        <f>VLOOKUP(E688,DSSpieler!A:B,2,FALSE)</f>
        <v>monno</v>
      </c>
    </row>
    <row r="689" spans="1:10" x14ac:dyDescent="0.25">
      <c r="A689">
        <v>768</v>
      </c>
      <c r="B689" t="e">
        <f>-1-+john1988s+Dorf</f>
        <v>#NAME?</v>
      </c>
      <c r="C689">
        <v>534</v>
      </c>
      <c r="D689">
        <v>505</v>
      </c>
      <c r="E689">
        <v>3289095</v>
      </c>
      <c r="F689">
        <v>6984</v>
      </c>
      <c r="G689">
        <v>0</v>
      </c>
      <c r="H689" t="s">
        <v>5616</v>
      </c>
      <c r="I689">
        <v>768</v>
      </c>
      <c r="J689" t="str">
        <f>VLOOKUP(E689,DSSpieler!A:B,2,FALSE)</f>
        <v>john1988</v>
      </c>
    </row>
    <row r="690" spans="1:10" x14ac:dyDescent="0.25">
      <c r="A690">
        <v>769</v>
      </c>
      <c r="B690">
        <v>5</v>
      </c>
      <c r="C690">
        <v>540</v>
      </c>
      <c r="D690">
        <v>487</v>
      </c>
      <c r="E690">
        <v>1577178830</v>
      </c>
      <c r="F690">
        <v>3661</v>
      </c>
      <c r="G690">
        <v>0</v>
      </c>
      <c r="H690" t="s">
        <v>5617</v>
      </c>
      <c r="I690">
        <v>769</v>
      </c>
      <c r="J690" t="str">
        <f>VLOOKUP(E690,DSSpieler!A:B,2,FALSE)</f>
        <v>jokra</v>
      </c>
    </row>
    <row r="691" spans="1:10" x14ac:dyDescent="0.25">
      <c r="A691">
        <v>770</v>
      </c>
      <c r="B691" t="s">
        <v>30823</v>
      </c>
      <c r="C691">
        <v>553</v>
      </c>
      <c r="D691">
        <v>502</v>
      </c>
      <c r="E691">
        <v>8874324</v>
      </c>
      <c r="F691">
        <v>4568</v>
      </c>
      <c r="G691">
        <v>0</v>
      </c>
      <c r="H691" t="s">
        <v>5618</v>
      </c>
      <c r="I691">
        <v>770</v>
      </c>
      <c r="J691" t="str">
        <f>VLOOKUP(E691,DSSpieler!A:B,2,FALSE)</f>
        <v>big steeve</v>
      </c>
    </row>
    <row r="692" spans="1:10" x14ac:dyDescent="0.25">
      <c r="A692">
        <v>771</v>
      </c>
      <c r="B692" t="s">
        <v>678</v>
      </c>
      <c r="C692">
        <v>547</v>
      </c>
      <c r="D692">
        <v>498</v>
      </c>
      <c r="E692">
        <v>9511193</v>
      </c>
      <c r="F692">
        <v>5683</v>
      </c>
      <c r="G692">
        <v>0</v>
      </c>
      <c r="H692" t="s">
        <v>5619</v>
      </c>
      <c r="I692">
        <v>771</v>
      </c>
      <c r="J692" t="str">
        <f>VLOOKUP(E692,DSSpieler!A:B,2,FALSE)</f>
        <v>Spencer99</v>
      </c>
    </row>
    <row r="693" spans="1:10" x14ac:dyDescent="0.25">
      <c r="A693">
        <v>772</v>
      </c>
      <c r="B693" t="s">
        <v>30511</v>
      </c>
      <c r="C693">
        <v>542</v>
      </c>
      <c r="D693">
        <v>504</v>
      </c>
      <c r="E693">
        <v>10244114</v>
      </c>
      <c r="F693">
        <v>7598</v>
      </c>
      <c r="G693">
        <v>0</v>
      </c>
      <c r="H693" t="s">
        <v>5620</v>
      </c>
      <c r="I693">
        <v>772</v>
      </c>
      <c r="J693" t="str">
        <f>VLOOKUP(E693,DSSpieler!A:B,2,FALSE)</f>
        <v>stammph</v>
      </c>
    </row>
    <row r="694" spans="1:10" x14ac:dyDescent="0.25">
      <c r="A694">
        <v>773</v>
      </c>
      <c r="B694" t="s">
        <v>531</v>
      </c>
      <c r="C694">
        <v>529</v>
      </c>
      <c r="D694">
        <v>498</v>
      </c>
      <c r="E694">
        <v>0</v>
      </c>
      <c r="F694">
        <v>340</v>
      </c>
      <c r="G694">
        <v>0</v>
      </c>
      <c r="H694" t="s">
        <v>5621</v>
      </c>
      <c r="I694">
        <v>773</v>
      </c>
      <c r="J694" t="e">
        <f>VLOOKUP(E694,DSSpieler!A:B,2,FALSE)</f>
        <v>#N/A</v>
      </c>
    </row>
    <row r="695" spans="1:10" x14ac:dyDescent="0.25">
      <c r="A695">
        <v>774</v>
      </c>
      <c r="B695" t="s">
        <v>30824</v>
      </c>
      <c r="C695">
        <v>542</v>
      </c>
      <c r="D695">
        <v>494</v>
      </c>
      <c r="E695">
        <v>1576072374</v>
      </c>
      <c r="F695">
        <v>6611</v>
      </c>
      <c r="G695">
        <v>0</v>
      </c>
      <c r="H695" t="s">
        <v>5622</v>
      </c>
      <c r="I695">
        <v>774</v>
      </c>
      <c r="J695" t="str">
        <f>VLOOKUP(E695,DSSpieler!A:B,2,FALSE)</f>
        <v>Oma Wetterwachs</v>
      </c>
    </row>
    <row r="696" spans="1:10" x14ac:dyDescent="0.25">
      <c r="A696">
        <v>775</v>
      </c>
      <c r="B696">
        <v>1</v>
      </c>
      <c r="C696">
        <v>543</v>
      </c>
      <c r="D696">
        <v>502</v>
      </c>
      <c r="E696">
        <v>9862117</v>
      </c>
      <c r="F696">
        <v>4365</v>
      </c>
      <c r="G696">
        <v>0</v>
      </c>
      <c r="H696" t="s">
        <v>5623</v>
      </c>
      <c r="I696">
        <v>775</v>
      </c>
      <c r="J696" t="str">
        <f>VLOOKUP(E696,DSSpieler!A:B,2,FALSE)</f>
        <v>michi1887</v>
      </c>
    </row>
    <row r="697" spans="1:10" x14ac:dyDescent="0.25">
      <c r="A697">
        <v>776</v>
      </c>
      <c r="B697" t="s">
        <v>30823</v>
      </c>
      <c r="C697">
        <v>554</v>
      </c>
      <c r="D697">
        <v>505</v>
      </c>
      <c r="E697">
        <v>1577134982</v>
      </c>
      <c r="F697">
        <v>5264</v>
      </c>
      <c r="G697">
        <v>0</v>
      </c>
      <c r="H697" t="s">
        <v>5624</v>
      </c>
      <c r="I697">
        <v>776</v>
      </c>
      <c r="J697" t="str">
        <f>VLOOKUP(E697,DSSpieler!A:B,2,FALSE)</f>
        <v>Karnage Tyrant</v>
      </c>
    </row>
    <row r="698" spans="1:10" x14ac:dyDescent="0.25">
      <c r="A698">
        <v>777</v>
      </c>
      <c r="B698" t="s">
        <v>30825</v>
      </c>
      <c r="C698">
        <v>539</v>
      </c>
      <c r="D698">
        <v>503</v>
      </c>
      <c r="E698">
        <v>1576639107</v>
      </c>
      <c r="F698">
        <v>4959</v>
      </c>
      <c r="G698">
        <v>0</v>
      </c>
      <c r="H698" t="s">
        <v>5625</v>
      </c>
      <c r="I698">
        <v>777</v>
      </c>
      <c r="J698" t="str">
        <f>VLOOKUP(E698,DSSpieler!A:B,2,FALSE)</f>
        <v>JonnyAlpha</v>
      </c>
    </row>
    <row r="699" spans="1:10" x14ac:dyDescent="0.25">
      <c r="A699">
        <v>778</v>
      </c>
      <c r="B699" t="s">
        <v>679</v>
      </c>
      <c r="C699">
        <v>545</v>
      </c>
      <c r="D699">
        <v>506</v>
      </c>
      <c r="E699">
        <v>1576887762</v>
      </c>
      <c r="F699">
        <v>5686</v>
      </c>
      <c r="G699">
        <v>0</v>
      </c>
      <c r="H699" t="s">
        <v>5626</v>
      </c>
      <c r="I699">
        <v>778</v>
      </c>
      <c r="J699" t="str">
        <f>VLOOKUP(E699,DSSpieler!A:B,2,FALSE)</f>
        <v>Viren</v>
      </c>
    </row>
    <row r="700" spans="1:10" x14ac:dyDescent="0.25">
      <c r="A700">
        <v>779</v>
      </c>
      <c r="B700">
        <v>1</v>
      </c>
      <c r="C700">
        <v>540</v>
      </c>
      <c r="D700">
        <v>500</v>
      </c>
      <c r="E700">
        <v>1576911285</v>
      </c>
      <c r="F700">
        <v>5275</v>
      </c>
      <c r="G700">
        <v>0</v>
      </c>
      <c r="H700" t="s">
        <v>5627</v>
      </c>
      <c r="I700">
        <v>779</v>
      </c>
      <c r="J700" t="str">
        <f>VLOOKUP(E700,DSSpieler!A:B,2,FALSE)</f>
        <v>SirAdel</v>
      </c>
    </row>
    <row r="701" spans="1:10" x14ac:dyDescent="0.25">
      <c r="A701">
        <v>780</v>
      </c>
      <c r="B701" t="s">
        <v>531</v>
      </c>
      <c r="C701">
        <v>498</v>
      </c>
      <c r="D701">
        <v>424</v>
      </c>
      <c r="E701">
        <v>0</v>
      </c>
      <c r="F701">
        <v>474</v>
      </c>
      <c r="G701">
        <v>0</v>
      </c>
      <c r="H701" t="s">
        <v>5628</v>
      </c>
      <c r="I701">
        <v>780</v>
      </c>
      <c r="J701" t="e">
        <f>VLOOKUP(E701,DSSpieler!A:B,2,FALSE)</f>
        <v>#N/A</v>
      </c>
    </row>
    <row r="702" spans="1:10" x14ac:dyDescent="0.25">
      <c r="A702">
        <v>781</v>
      </c>
      <c r="B702" t="s">
        <v>30826</v>
      </c>
      <c r="C702">
        <v>539</v>
      </c>
      <c r="D702">
        <v>513</v>
      </c>
      <c r="E702">
        <v>1576969514</v>
      </c>
      <c r="F702">
        <v>7748</v>
      </c>
      <c r="G702">
        <v>0</v>
      </c>
      <c r="H702" t="s">
        <v>5629</v>
      </c>
      <c r="I702">
        <v>781</v>
      </c>
      <c r="J702" t="str">
        <f>VLOOKUP(E702,DSSpieler!A:B,2,FALSE)</f>
        <v>MB333</v>
      </c>
    </row>
    <row r="703" spans="1:10" x14ac:dyDescent="0.25">
      <c r="A703">
        <v>782</v>
      </c>
      <c r="B703" t="s">
        <v>531</v>
      </c>
      <c r="C703">
        <v>533</v>
      </c>
      <c r="D703">
        <v>543</v>
      </c>
      <c r="E703">
        <v>0</v>
      </c>
      <c r="F703">
        <v>346</v>
      </c>
      <c r="G703">
        <v>0</v>
      </c>
      <c r="H703" t="s">
        <v>5630</v>
      </c>
      <c r="I703">
        <v>782</v>
      </c>
      <c r="J703" t="e">
        <f>VLOOKUP(E703,DSSpieler!A:B,2,FALSE)</f>
        <v>#N/A</v>
      </c>
    </row>
    <row r="704" spans="1:10" x14ac:dyDescent="0.25">
      <c r="A704">
        <v>783</v>
      </c>
      <c r="B704" t="s">
        <v>30827</v>
      </c>
      <c r="C704">
        <v>558</v>
      </c>
      <c r="D704">
        <v>510</v>
      </c>
      <c r="E704">
        <v>1577016441</v>
      </c>
      <c r="F704">
        <v>3554</v>
      </c>
      <c r="G704">
        <v>0</v>
      </c>
      <c r="H704" t="s">
        <v>5631</v>
      </c>
      <c r="I704">
        <v>783</v>
      </c>
      <c r="J704" t="str">
        <f>VLOOKUP(E704,DSSpieler!A:B,2,FALSE)</f>
        <v>buBbelsss</v>
      </c>
    </row>
    <row r="705" spans="1:10" x14ac:dyDescent="0.25">
      <c r="A705">
        <v>784</v>
      </c>
      <c r="B705" t="s">
        <v>680</v>
      </c>
      <c r="C705">
        <v>535</v>
      </c>
      <c r="D705">
        <v>505</v>
      </c>
      <c r="E705">
        <v>1577047575</v>
      </c>
      <c r="F705">
        <v>6849</v>
      </c>
      <c r="G705">
        <v>0</v>
      </c>
      <c r="H705" t="s">
        <v>5632</v>
      </c>
      <c r="I705">
        <v>784</v>
      </c>
      <c r="J705" t="str">
        <f>VLOOKUP(E705,DSSpieler!A:B,2,FALSE)</f>
        <v>Damian Toerring</v>
      </c>
    </row>
    <row r="706" spans="1:10" x14ac:dyDescent="0.25">
      <c r="A706">
        <v>785</v>
      </c>
      <c r="B706" t="e">
        <f>-2-+Leipzig</f>
        <v>#NAME?</v>
      </c>
      <c r="C706">
        <v>397</v>
      </c>
      <c r="D706">
        <v>535</v>
      </c>
      <c r="E706">
        <v>1576694124</v>
      </c>
      <c r="F706">
        <v>4385</v>
      </c>
      <c r="G706">
        <v>0</v>
      </c>
      <c r="H706" t="s">
        <v>5633</v>
      </c>
      <c r="I706">
        <v>785</v>
      </c>
      <c r="J706" t="str">
        <f>VLOOKUP(E706,DSSpieler!A:B,2,FALSE)</f>
        <v>Trinfect</v>
      </c>
    </row>
    <row r="707" spans="1:10" x14ac:dyDescent="0.25">
      <c r="A707">
        <v>786</v>
      </c>
      <c r="B707" t="s">
        <v>30828</v>
      </c>
      <c r="C707">
        <v>542</v>
      </c>
      <c r="D707">
        <v>495</v>
      </c>
      <c r="E707">
        <v>1577167569</v>
      </c>
      <c r="F707">
        <v>6681</v>
      </c>
      <c r="G707">
        <v>0</v>
      </c>
      <c r="H707" t="s">
        <v>5634</v>
      </c>
      <c r="I707">
        <v>786</v>
      </c>
      <c r="J707" t="str">
        <f>VLOOKUP(E707,DSSpieler!A:B,2,FALSE)</f>
        <v>Rave2DaGrave</v>
      </c>
    </row>
    <row r="708" spans="1:10" x14ac:dyDescent="0.25">
      <c r="A708">
        <v>787</v>
      </c>
      <c r="B708" t="s">
        <v>30829</v>
      </c>
      <c r="C708">
        <v>538</v>
      </c>
      <c r="D708">
        <v>510</v>
      </c>
      <c r="E708">
        <v>1577168204</v>
      </c>
      <c r="F708">
        <v>5743</v>
      </c>
      <c r="G708">
        <v>0</v>
      </c>
      <c r="H708" t="s">
        <v>5635</v>
      </c>
      <c r="I708">
        <v>787</v>
      </c>
      <c r="J708" t="str">
        <f>VLOOKUP(E708,DSSpieler!A:B,2,FALSE)</f>
        <v>Argeast</v>
      </c>
    </row>
    <row r="709" spans="1:10" x14ac:dyDescent="0.25">
      <c r="A709">
        <v>788</v>
      </c>
      <c r="B709" t="s">
        <v>30830</v>
      </c>
      <c r="C709">
        <v>550</v>
      </c>
      <c r="D709">
        <v>507</v>
      </c>
      <c r="E709">
        <v>1577168758</v>
      </c>
      <c r="F709">
        <v>5238</v>
      </c>
      <c r="G709">
        <v>0</v>
      </c>
      <c r="H709" t="s">
        <v>5636</v>
      </c>
      <c r="I709">
        <v>788</v>
      </c>
      <c r="J709" t="str">
        <f>VLOOKUP(E709,DSSpieler!A:B,2,FALSE)</f>
        <v>DunklerRitter</v>
      </c>
    </row>
    <row r="710" spans="1:10" x14ac:dyDescent="0.25">
      <c r="A710">
        <v>789</v>
      </c>
      <c r="B710" t="s">
        <v>30831</v>
      </c>
      <c r="C710">
        <v>528</v>
      </c>
      <c r="D710">
        <v>507</v>
      </c>
      <c r="E710">
        <v>1577169631</v>
      </c>
      <c r="F710">
        <v>4340</v>
      </c>
      <c r="G710">
        <v>0</v>
      </c>
      <c r="H710" t="s">
        <v>5637</v>
      </c>
      <c r="I710">
        <v>789</v>
      </c>
      <c r="J710" t="str">
        <f>VLOOKUP(E710,DSSpieler!A:B,2,FALSE)</f>
        <v>fabiosi</v>
      </c>
    </row>
    <row r="711" spans="1:10" x14ac:dyDescent="0.25">
      <c r="A711">
        <v>790</v>
      </c>
      <c r="B711">
        <v>300</v>
      </c>
      <c r="C711">
        <v>543</v>
      </c>
      <c r="D711">
        <v>509</v>
      </c>
      <c r="E711">
        <v>1577172449</v>
      </c>
      <c r="F711">
        <v>6214</v>
      </c>
      <c r="G711">
        <v>0</v>
      </c>
      <c r="H711" t="s">
        <v>5638</v>
      </c>
      <c r="I711">
        <v>790</v>
      </c>
      <c r="J711" t="str">
        <f>VLOOKUP(E711,DSSpieler!A:B,2,FALSE)</f>
        <v>maximus1234</v>
      </c>
    </row>
    <row r="712" spans="1:10" x14ac:dyDescent="0.25">
      <c r="A712">
        <v>791</v>
      </c>
      <c r="B712" t="s">
        <v>681</v>
      </c>
      <c r="C712">
        <v>548</v>
      </c>
      <c r="D712">
        <v>515</v>
      </c>
      <c r="E712">
        <v>1577175309</v>
      </c>
      <c r="F712">
        <v>5388</v>
      </c>
      <c r="G712">
        <v>0</v>
      </c>
      <c r="H712" t="s">
        <v>5639</v>
      </c>
      <c r="I712">
        <v>791</v>
      </c>
      <c r="J712" t="str">
        <f>VLOOKUP(E712,DSSpieler!A:B,2,FALSE)</f>
        <v>Ferran</v>
      </c>
    </row>
    <row r="713" spans="1:10" x14ac:dyDescent="0.25">
      <c r="A713">
        <v>792</v>
      </c>
      <c r="B713" t="s">
        <v>30832</v>
      </c>
      <c r="C713">
        <v>536</v>
      </c>
      <c r="D713">
        <v>510</v>
      </c>
      <c r="E713">
        <v>1577197558</v>
      </c>
      <c r="F713">
        <v>6678</v>
      </c>
      <c r="G713">
        <v>0</v>
      </c>
      <c r="H713" t="s">
        <v>5640</v>
      </c>
      <c r="I713">
        <v>792</v>
      </c>
      <c r="J713" t="str">
        <f>VLOOKUP(E713,DSSpieler!A:B,2,FALSE)</f>
        <v>Streier04</v>
      </c>
    </row>
    <row r="714" spans="1:10" x14ac:dyDescent="0.25">
      <c r="A714">
        <v>793</v>
      </c>
      <c r="B714" s="111">
        <v>2300.0100000000002</v>
      </c>
      <c r="C714">
        <v>408</v>
      </c>
      <c r="D714">
        <v>564</v>
      </c>
      <c r="E714">
        <v>1576626300</v>
      </c>
      <c r="F714">
        <v>6731</v>
      </c>
      <c r="G714">
        <v>0</v>
      </c>
      <c r="H714" t="s">
        <v>5641</v>
      </c>
      <c r="I714">
        <v>793</v>
      </c>
      <c r="J714" t="str">
        <f>VLOOKUP(E714,DSSpieler!A:B,2,FALSE)</f>
        <v>Collin Jennings</v>
      </c>
    </row>
    <row r="715" spans="1:10" x14ac:dyDescent="0.25">
      <c r="A715">
        <v>794</v>
      </c>
      <c r="B715" t="s">
        <v>30833</v>
      </c>
      <c r="C715">
        <v>410</v>
      </c>
      <c r="D715">
        <v>561</v>
      </c>
      <c r="E715">
        <v>1577187434</v>
      </c>
      <c r="F715">
        <v>4594</v>
      </c>
      <c r="G715">
        <v>0</v>
      </c>
      <c r="H715" t="s">
        <v>5642</v>
      </c>
      <c r="I715">
        <v>794</v>
      </c>
      <c r="J715" t="str">
        <f>VLOOKUP(E715,DSSpieler!A:B,2,FALSE)</f>
        <v>EyeSpy</v>
      </c>
    </row>
    <row r="716" spans="1:10" x14ac:dyDescent="0.25">
      <c r="A716">
        <v>795</v>
      </c>
      <c r="B716">
        <v>3</v>
      </c>
      <c r="C716">
        <v>525</v>
      </c>
      <c r="D716">
        <v>466</v>
      </c>
      <c r="E716">
        <v>1577190147</v>
      </c>
      <c r="F716">
        <v>5178</v>
      </c>
      <c r="G716">
        <v>0</v>
      </c>
      <c r="H716" t="s">
        <v>5643</v>
      </c>
      <c r="I716">
        <v>795</v>
      </c>
      <c r="J716" t="str">
        <f>VLOOKUP(E716,DSSpieler!A:B,2,FALSE)</f>
        <v>Konpai</v>
      </c>
    </row>
    <row r="717" spans="1:10" x14ac:dyDescent="0.25">
      <c r="A717">
        <v>796</v>
      </c>
      <c r="B717" t="s">
        <v>558</v>
      </c>
      <c r="C717">
        <v>524</v>
      </c>
      <c r="D717">
        <v>468</v>
      </c>
      <c r="E717">
        <v>8077830</v>
      </c>
      <c r="F717">
        <v>4710</v>
      </c>
      <c r="G717">
        <v>0</v>
      </c>
      <c r="H717" t="s">
        <v>5644</v>
      </c>
      <c r="I717">
        <v>796</v>
      </c>
      <c r="J717" t="str">
        <f>VLOOKUP(E717,DSSpieler!A:B,2,FALSE)</f>
        <v>Venamor</v>
      </c>
    </row>
    <row r="718" spans="1:10" x14ac:dyDescent="0.25">
      <c r="A718">
        <v>797</v>
      </c>
      <c r="B718" t="s">
        <v>30834</v>
      </c>
      <c r="C718">
        <v>532</v>
      </c>
      <c r="D718">
        <v>472</v>
      </c>
      <c r="E718">
        <v>1577187225</v>
      </c>
      <c r="F718">
        <v>6020</v>
      </c>
      <c r="G718">
        <v>0</v>
      </c>
      <c r="H718" t="s">
        <v>5645</v>
      </c>
      <c r="I718">
        <v>797</v>
      </c>
      <c r="J718" t="str">
        <f>VLOOKUP(E718,DSSpieler!A:B,2,FALSE)</f>
        <v>haciiosman</v>
      </c>
    </row>
    <row r="719" spans="1:10" x14ac:dyDescent="0.25">
      <c r="A719">
        <v>798</v>
      </c>
      <c r="B719" t="s">
        <v>30835</v>
      </c>
      <c r="C719">
        <v>494</v>
      </c>
      <c r="D719">
        <v>412</v>
      </c>
      <c r="E719">
        <v>1230832</v>
      </c>
      <c r="F719">
        <v>6291</v>
      </c>
      <c r="G719">
        <v>0</v>
      </c>
      <c r="H719" t="s">
        <v>5646</v>
      </c>
      <c r="I719">
        <v>798</v>
      </c>
      <c r="J719" t="str">
        <f>VLOOKUP(E719,DSSpieler!A:B,2,FALSE)</f>
        <v>Dkmonkey</v>
      </c>
    </row>
    <row r="720" spans="1:10" x14ac:dyDescent="0.25">
      <c r="A720">
        <v>799</v>
      </c>
      <c r="B720" t="s">
        <v>682</v>
      </c>
      <c r="C720">
        <v>485</v>
      </c>
      <c r="D720">
        <v>412</v>
      </c>
      <c r="E720">
        <v>2642692</v>
      </c>
      <c r="F720">
        <v>6399</v>
      </c>
      <c r="G720">
        <v>0</v>
      </c>
      <c r="H720" t="s">
        <v>5647</v>
      </c>
      <c r="I720">
        <v>799</v>
      </c>
      <c r="J720" t="str">
        <f>VLOOKUP(E720,DSSpieler!A:B,2,FALSE)</f>
        <v>Amydala32</v>
      </c>
    </row>
    <row r="721" spans="1:10" x14ac:dyDescent="0.25">
      <c r="A721">
        <v>800</v>
      </c>
      <c r="B721" t="s">
        <v>30836</v>
      </c>
      <c r="C721">
        <v>482</v>
      </c>
      <c r="D721">
        <v>404</v>
      </c>
      <c r="E721">
        <v>9186675</v>
      </c>
      <c r="F721">
        <v>4400</v>
      </c>
      <c r="G721">
        <v>0</v>
      </c>
      <c r="H721" t="s">
        <v>5648</v>
      </c>
      <c r="I721">
        <v>800</v>
      </c>
      <c r="J721" t="str">
        <f>VLOOKUP(E721,DSSpieler!A:B,2,FALSE)</f>
        <v>Peganx</v>
      </c>
    </row>
    <row r="722" spans="1:10" x14ac:dyDescent="0.25">
      <c r="A722">
        <v>801</v>
      </c>
      <c r="B722" t="s">
        <v>30837</v>
      </c>
      <c r="C722">
        <v>484</v>
      </c>
      <c r="D722">
        <v>413</v>
      </c>
      <c r="E722">
        <v>9476482</v>
      </c>
      <c r="F722">
        <v>6356</v>
      </c>
      <c r="G722">
        <v>0</v>
      </c>
      <c r="H722" t="s">
        <v>5649</v>
      </c>
      <c r="I722">
        <v>801</v>
      </c>
      <c r="J722" t="str">
        <f>VLOOKUP(E722,DSSpieler!A:B,2,FALSE)</f>
        <v>MRDriver</v>
      </c>
    </row>
    <row r="723" spans="1:10" x14ac:dyDescent="0.25">
      <c r="A723">
        <v>802</v>
      </c>
      <c r="B723" t="s">
        <v>30838</v>
      </c>
      <c r="C723">
        <v>492</v>
      </c>
      <c r="D723">
        <v>412</v>
      </c>
      <c r="E723">
        <v>9634511</v>
      </c>
      <c r="F723">
        <v>3135</v>
      </c>
      <c r="G723">
        <v>0</v>
      </c>
      <c r="H723" t="s">
        <v>5650</v>
      </c>
      <c r="I723">
        <v>802</v>
      </c>
      <c r="J723" t="str">
        <f>VLOOKUP(E723,DSSpieler!A:B,2,FALSE)</f>
        <v>Pejot88</v>
      </c>
    </row>
    <row r="724" spans="1:10" x14ac:dyDescent="0.25">
      <c r="A724">
        <v>803</v>
      </c>
      <c r="B724" t="s">
        <v>30839</v>
      </c>
      <c r="C724">
        <v>474</v>
      </c>
      <c r="D724">
        <v>401</v>
      </c>
      <c r="E724">
        <v>1576437729</v>
      </c>
      <c r="F724">
        <v>5834</v>
      </c>
      <c r="G724">
        <v>0</v>
      </c>
      <c r="H724" t="s">
        <v>5651</v>
      </c>
      <c r="I724">
        <v>803</v>
      </c>
      <c r="J724" t="str">
        <f>VLOOKUP(E724,DSSpieler!A:B,2,FALSE)</f>
        <v>chris347</v>
      </c>
    </row>
    <row r="725" spans="1:10" x14ac:dyDescent="0.25">
      <c r="A725">
        <v>804</v>
      </c>
      <c r="B725" t="s">
        <v>531</v>
      </c>
      <c r="C725">
        <v>428</v>
      </c>
      <c r="D725">
        <v>476</v>
      </c>
      <c r="E725">
        <v>0</v>
      </c>
      <c r="F725">
        <v>315</v>
      </c>
      <c r="G725">
        <v>0</v>
      </c>
      <c r="H725" t="s">
        <v>5652</v>
      </c>
      <c r="I725">
        <v>804</v>
      </c>
      <c r="J725" t="e">
        <f>VLOOKUP(E725,DSSpieler!A:B,2,FALSE)</f>
        <v>#N/A</v>
      </c>
    </row>
    <row r="726" spans="1:10" x14ac:dyDescent="0.25">
      <c r="A726">
        <v>805</v>
      </c>
      <c r="B726" t="s">
        <v>30840</v>
      </c>
      <c r="C726">
        <v>485</v>
      </c>
      <c r="D726">
        <v>411</v>
      </c>
      <c r="E726">
        <v>1576460108</v>
      </c>
      <c r="F726">
        <v>5640</v>
      </c>
      <c r="G726">
        <v>0</v>
      </c>
      <c r="H726" t="s">
        <v>5653</v>
      </c>
      <c r="I726">
        <v>805</v>
      </c>
      <c r="J726" t="str">
        <f>VLOOKUP(E726,DSSpieler!A:B,2,FALSE)</f>
        <v>Chamandra</v>
      </c>
    </row>
    <row r="727" spans="1:10" x14ac:dyDescent="0.25">
      <c r="A727">
        <v>806</v>
      </c>
      <c r="B727" t="s">
        <v>30841</v>
      </c>
      <c r="C727">
        <v>483</v>
      </c>
      <c r="D727">
        <v>410</v>
      </c>
      <c r="E727">
        <v>1576583632</v>
      </c>
      <c r="F727">
        <v>6884</v>
      </c>
      <c r="G727">
        <v>0</v>
      </c>
      <c r="H727" t="s">
        <v>5654</v>
      </c>
      <c r="I727">
        <v>806</v>
      </c>
      <c r="J727" t="str">
        <f>VLOOKUP(E727,DSSpieler!A:B,2,FALSE)</f>
        <v>Sunber</v>
      </c>
    </row>
    <row r="728" spans="1:10" x14ac:dyDescent="0.25">
      <c r="A728">
        <v>807</v>
      </c>
      <c r="B728" t="s">
        <v>30842</v>
      </c>
      <c r="C728">
        <v>479</v>
      </c>
      <c r="D728">
        <v>402</v>
      </c>
      <c r="E728">
        <v>1576764568</v>
      </c>
      <c r="F728">
        <v>5356</v>
      </c>
      <c r="G728">
        <v>0</v>
      </c>
      <c r="H728" t="s">
        <v>5655</v>
      </c>
      <c r="I728">
        <v>807</v>
      </c>
      <c r="J728" t="str">
        <f>VLOOKUP(E728,DSSpieler!A:B,2,FALSE)</f>
        <v>TimoM1</v>
      </c>
    </row>
    <row r="729" spans="1:10" x14ac:dyDescent="0.25">
      <c r="A729">
        <v>808</v>
      </c>
      <c r="B729" t="s">
        <v>683</v>
      </c>
      <c r="C729">
        <v>486</v>
      </c>
      <c r="D729">
        <v>403</v>
      </c>
      <c r="E729">
        <v>1577091894</v>
      </c>
      <c r="F729">
        <v>4911</v>
      </c>
      <c r="G729">
        <v>0</v>
      </c>
      <c r="H729" t="s">
        <v>5656</v>
      </c>
      <c r="I729">
        <v>808</v>
      </c>
      <c r="J729" t="str">
        <f>VLOOKUP(E729,DSSpieler!A:B,2,FALSE)</f>
        <v>Nord3n88</v>
      </c>
    </row>
    <row r="730" spans="1:10" x14ac:dyDescent="0.25">
      <c r="A730">
        <v>809</v>
      </c>
      <c r="B730" t="s">
        <v>30843</v>
      </c>
      <c r="C730">
        <v>489</v>
      </c>
      <c r="D730">
        <v>402</v>
      </c>
      <c r="E730">
        <v>1577195778</v>
      </c>
      <c r="F730">
        <v>3627</v>
      </c>
      <c r="G730">
        <v>0</v>
      </c>
      <c r="H730" t="s">
        <v>5657</v>
      </c>
      <c r="I730">
        <v>809</v>
      </c>
      <c r="J730" t="str">
        <f>VLOOKUP(E730,DSSpieler!A:B,2,FALSE)</f>
        <v>Overdose704</v>
      </c>
    </row>
    <row r="731" spans="1:10" x14ac:dyDescent="0.25">
      <c r="A731">
        <v>810</v>
      </c>
      <c r="B731" t="s">
        <v>30844</v>
      </c>
      <c r="C731">
        <v>481</v>
      </c>
      <c r="D731">
        <v>404</v>
      </c>
      <c r="E731">
        <v>1576926973</v>
      </c>
      <c r="F731">
        <v>5716</v>
      </c>
      <c r="G731">
        <v>0</v>
      </c>
      <c r="H731" t="s">
        <v>5658</v>
      </c>
      <c r="I731">
        <v>810</v>
      </c>
      <c r="J731" t="str">
        <f>VLOOKUP(E731,DSSpieler!A:B,2,FALSE)</f>
        <v>König lippenfred1</v>
      </c>
    </row>
    <row r="732" spans="1:10" x14ac:dyDescent="0.25">
      <c r="A732">
        <v>811</v>
      </c>
      <c r="B732" t="s">
        <v>684</v>
      </c>
      <c r="C732">
        <v>491</v>
      </c>
      <c r="D732">
        <v>402</v>
      </c>
      <c r="E732">
        <v>10257301</v>
      </c>
      <c r="F732">
        <v>4577</v>
      </c>
      <c r="G732">
        <v>0</v>
      </c>
      <c r="H732" t="s">
        <v>5659</v>
      </c>
      <c r="I732">
        <v>811</v>
      </c>
      <c r="J732" t="str">
        <f>VLOOKUP(E732,DSSpieler!A:B,2,FALSE)</f>
        <v>marceltressl</v>
      </c>
    </row>
    <row r="733" spans="1:10" x14ac:dyDescent="0.25">
      <c r="A733">
        <v>812</v>
      </c>
      <c r="B733" t="s">
        <v>685</v>
      </c>
      <c r="C733">
        <v>482</v>
      </c>
      <c r="D733">
        <v>407</v>
      </c>
      <c r="E733">
        <v>1577091894</v>
      </c>
      <c r="F733">
        <v>5495</v>
      </c>
      <c r="G733">
        <v>0</v>
      </c>
      <c r="H733" t="s">
        <v>5660</v>
      </c>
      <c r="I733">
        <v>812</v>
      </c>
      <c r="J733" t="str">
        <f>VLOOKUP(E733,DSSpieler!A:B,2,FALSE)</f>
        <v>Nord3n88</v>
      </c>
    </row>
    <row r="734" spans="1:10" x14ac:dyDescent="0.25">
      <c r="A734">
        <v>813</v>
      </c>
      <c r="B734" t="s">
        <v>531</v>
      </c>
      <c r="C734">
        <v>436</v>
      </c>
      <c r="D734">
        <v>500</v>
      </c>
      <c r="E734">
        <v>0</v>
      </c>
      <c r="F734">
        <v>343</v>
      </c>
      <c r="G734">
        <v>0</v>
      </c>
      <c r="H734" t="s">
        <v>5661</v>
      </c>
      <c r="I734">
        <v>813</v>
      </c>
      <c r="J734" t="e">
        <f>VLOOKUP(E734,DSSpieler!A:B,2,FALSE)</f>
        <v>#N/A</v>
      </c>
    </row>
    <row r="735" spans="1:10" x14ac:dyDescent="0.25">
      <c r="A735">
        <v>814</v>
      </c>
      <c r="B735" t="s">
        <v>531</v>
      </c>
      <c r="C735">
        <v>501</v>
      </c>
      <c r="D735">
        <v>467</v>
      </c>
      <c r="E735">
        <v>0</v>
      </c>
      <c r="F735">
        <v>414</v>
      </c>
      <c r="G735">
        <v>0</v>
      </c>
      <c r="H735" t="s">
        <v>5662</v>
      </c>
      <c r="I735">
        <v>814</v>
      </c>
      <c r="J735" t="e">
        <f>VLOOKUP(E735,DSSpieler!A:B,2,FALSE)</f>
        <v>#N/A</v>
      </c>
    </row>
    <row r="736" spans="1:10" x14ac:dyDescent="0.25">
      <c r="A736">
        <v>815</v>
      </c>
      <c r="B736" t="s">
        <v>30845</v>
      </c>
      <c r="C736">
        <v>493</v>
      </c>
      <c r="D736">
        <v>411</v>
      </c>
      <c r="E736">
        <v>1577102485</v>
      </c>
      <c r="F736">
        <v>7041</v>
      </c>
      <c r="G736">
        <v>0</v>
      </c>
      <c r="H736" t="s">
        <v>5663</v>
      </c>
      <c r="I736">
        <v>815</v>
      </c>
      <c r="J736" t="str">
        <f>VLOOKUP(E736,DSSpieler!A:B,2,FALSE)</f>
        <v>sirisambuca</v>
      </c>
    </row>
    <row r="737" spans="1:10" x14ac:dyDescent="0.25">
      <c r="A737">
        <v>816</v>
      </c>
      <c r="B737" t="s">
        <v>30846</v>
      </c>
      <c r="C737">
        <v>486</v>
      </c>
      <c r="D737">
        <v>414</v>
      </c>
      <c r="E737">
        <v>1577104598</v>
      </c>
      <c r="F737">
        <v>7263</v>
      </c>
      <c r="G737">
        <v>0</v>
      </c>
      <c r="H737" t="s">
        <v>5664</v>
      </c>
      <c r="I737">
        <v>816</v>
      </c>
      <c r="J737" t="str">
        <f>VLOOKUP(E737,DSSpieler!A:B,2,FALSE)</f>
        <v>boehmi</v>
      </c>
    </row>
    <row r="738" spans="1:10" x14ac:dyDescent="0.25">
      <c r="A738">
        <v>817</v>
      </c>
      <c r="B738" t="s">
        <v>30847</v>
      </c>
      <c r="C738">
        <v>485</v>
      </c>
      <c r="D738">
        <v>414</v>
      </c>
      <c r="E738">
        <v>1577122669</v>
      </c>
      <c r="F738">
        <v>4736</v>
      </c>
      <c r="G738">
        <v>0</v>
      </c>
      <c r="H738" t="s">
        <v>5665</v>
      </c>
      <c r="I738">
        <v>817</v>
      </c>
      <c r="J738" t="str">
        <f>VLOOKUP(E738,DSSpieler!A:B,2,FALSE)</f>
        <v>Mieschekasche</v>
      </c>
    </row>
    <row r="739" spans="1:10" x14ac:dyDescent="0.25">
      <c r="A739">
        <v>818</v>
      </c>
      <c r="B739" t="s">
        <v>30848</v>
      </c>
      <c r="C739">
        <v>585</v>
      </c>
      <c r="D739">
        <v>558</v>
      </c>
      <c r="E739">
        <v>1577198547</v>
      </c>
      <c r="F739">
        <v>3351</v>
      </c>
      <c r="G739">
        <v>0</v>
      </c>
      <c r="H739" t="s">
        <v>5666</v>
      </c>
      <c r="I739">
        <v>818</v>
      </c>
      <c r="J739" t="str">
        <f>VLOOKUP(E739,DSSpieler!A:B,2,FALSE)</f>
        <v>blackout.</v>
      </c>
    </row>
    <row r="740" spans="1:10" x14ac:dyDescent="0.25">
      <c r="A740">
        <v>819</v>
      </c>
      <c r="B740" t="s">
        <v>531</v>
      </c>
      <c r="C740">
        <v>488</v>
      </c>
      <c r="D740">
        <v>478</v>
      </c>
      <c r="E740">
        <v>0</v>
      </c>
      <c r="F740">
        <v>293</v>
      </c>
      <c r="G740">
        <v>0</v>
      </c>
      <c r="H740" t="s">
        <v>5667</v>
      </c>
      <c r="I740">
        <v>819</v>
      </c>
      <c r="J740" t="e">
        <f>VLOOKUP(E740,DSSpieler!A:B,2,FALSE)</f>
        <v>#N/A</v>
      </c>
    </row>
    <row r="741" spans="1:10" x14ac:dyDescent="0.25">
      <c r="A741">
        <v>820</v>
      </c>
      <c r="B741" t="s">
        <v>686</v>
      </c>
      <c r="C741">
        <v>470</v>
      </c>
      <c r="D741">
        <v>500</v>
      </c>
      <c r="E741">
        <v>1577141690</v>
      </c>
      <c r="F741">
        <v>1386</v>
      </c>
      <c r="G741">
        <v>0</v>
      </c>
      <c r="H741" t="s">
        <v>5668</v>
      </c>
      <c r="I741">
        <v>820</v>
      </c>
      <c r="J741" t="str">
        <f>VLOOKUP(E741,DSSpieler!A:B,2,FALSE)</f>
        <v>Loka1s</v>
      </c>
    </row>
    <row r="742" spans="1:10" x14ac:dyDescent="0.25">
      <c r="A742">
        <v>821</v>
      </c>
      <c r="B742" t="s">
        <v>30849</v>
      </c>
      <c r="C742">
        <v>473</v>
      </c>
      <c r="D742">
        <v>505</v>
      </c>
      <c r="E742">
        <v>1577183431</v>
      </c>
      <c r="F742">
        <v>3482</v>
      </c>
      <c r="G742">
        <v>0</v>
      </c>
      <c r="H742" t="s">
        <v>5669</v>
      </c>
      <c r="I742">
        <v>821</v>
      </c>
      <c r="J742" t="str">
        <f>VLOOKUP(E742,DSSpieler!A:B,2,FALSE)</f>
        <v>senn1d</v>
      </c>
    </row>
    <row r="743" spans="1:10" x14ac:dyDescent="0.25">
      <c r="A743">
        <v>822</v>
      </c>
      <c r="B743" t="s">
        <v>687</v>
      </c>
      <c r="C743">
        <v>477</v>
      </c>
      <c r="D743">
        <v>498</v>
      </c>
      <c r="E743">
        <v>1577195342</v>
      </c>
      <c r="F743">
        <v>1970</v>
      </c>
      <c r="G743">
        <v>0</v>
      </c>
      <c r="H743" t="s">
        <v>5670</v>
      </c>
      <c r="I743">
        <v>822</v>
      </c>
      <c r="J743" t="str">
        <f>VLOOKUP(E743,DSSpieler!A:B,2,FALSE)</f>
        <v>NoobHunter</v>
      </c>
    </row>
    <row r="744" spans="1:10" x14ac:dyDescent="0.25">
      <c r="A744">
        <v>823</v>
      </c>
      <c r="B744" t="s">
        <v>30850</v>
      </c>
      <c r="C744">
        <v>471</v>
      </c>
      <c r="D744">
        <v>511</v>
      </c>
      <c r="E744">
        <v>7657059</v>
      </c>
      <c r="F744">
        <v>5426</v>
      </c>
      <c r="G744">
        <v>0</v>
      </c>
      <c r="H744" t="s">
        <v>5671</v>
      </c>
      <c r="I744">
        <v>823</v>
      </c>
      <c r="J744" t="str">
        <f>VLOOKUP(E744,DSSpieler!A:B,2,FALSE)</f>
        <v>Buhrdur</v>
      </c>
    </row>
    <row r="745" spans="1:10" x14ac:dyDescent="0.25">
      <c r="A745">
        <v>824</v>
      </c>
      <c r="B745">
        <v>3</v>
      </c>
      <c r="C745">
        <v>468</v>
      </c>
      <c r="D745">
        <v>520</v>
      </c>
      <c r="E745">
        <v>2135947</v>
      </c>
      <c r="F745">
        <v>3475</v>
      </c>
      <c r="G745">
        <v>0</v>
      </c>
      <c r="H745" t="s">
        <v>5672</v>
      </c>
      <c r="I745">
        <v>824</v>
      </c>
      <c r="J745" t="str">
        <f>VLOOKUP(E745,DSSpieler!A:B,2,FALSE)</f>
        <v>Tankred Antiochensis</v>
      </c>
    </row>
    <row r="746" spans="1:10" x14ac:dyDescent="0.25">
      <c r="A746">
        <v>825</v>
      </c>
      <c r="B746" t="s">
        <v>30851</v>
      </c>
      <c r="C746">
        <v>477</v>
      </c>
      <c r="D746">
        <v>516</v>
      </c>
      <c r="E746">
        <v>1576476295</v>
      </c>
      <c r="F746">
        <v>38</v>
      </c>
      <c r="G746">
        <v>0</v>
      </c>
      <c r="H746" t="s">
        <v>5673</v>
      </c>
      <c r="I746">
        <v>825</v>
      </c>
      <c r="J746" t="str">
        <f>VLOOKUP(E746,DSSpieler!A:B,2,FALSE)</f>
        <v>Grawp</v>
      </c>
    </row>
    <row r="747" spans="1:10" x14ac:dyDescent="0.25">
      <c r="A747">
        <v>826</v>
      </c>
      <c r="B747" t="s">
        <v>688</v>
      </c>
      <c r="C747">
        <v>458</v>
      </c>
      <c r="D747">
        <v>491</v>
      </c>
      <c r="E747">
        <v>9883742</v>
      </c>
      <c r="F747">
        <v>5626</v>
      </c>
      <c r="G747">
        <v>0</v>
      </c>
      <c r="H747" t="s">
        <v>5674</v>
      </c>
      <c r="I747">
        <v>826</v>
      </c>
      <c r="J747" t="str">
        <f>VLOOKUP(E747,DSSpieler!A:B,2,FALSE)</f>
        <v>luchse</v>
      </c>
    </row>
    <row r="748" spans="1:10" x14ac:dyDescent="0.25">
      <c r="A748">
        <v>827</v>
      </c>
      <c r="B748" t="s">
        <v>531</v>
      </c>
      <c r="C748">
        <v>517</v>
      </c>
      <c r="D748">
        <v>567</v>
      </c>
      <c r="E748">
        <v>0</v>
      </c>
      <c r="F748">
        <v>460</v>
      </c>
      <c r="G748">
        <v>0</v>
      </c>
      <c r="H748" t="s">
        <v>5675</v>
      </c>
      <c r="I748">
        <v>827</v>
      </c>
      <c r="J748" t="e">
        <f>VLOOKUP(E748,DSSpieler!A:B,2,FALSE)</f>
        <v>#N/A</v>
      </c>
    </row>
    <row r="749" spans="1:10" x14ac:dyDescent="0.25">
      <c r="A749">
        <v>828</v>
      </c>
      <c r="B749" t="s">
        <v>667</v>
      </c>
      <c r="C749">
        <v>469</v>
      </c>
      <c r="D749">
        <v>501</v>
      </c>
      <c r="E749">
        <v>8189827</v>
      </c>
      <c r="F749">
        <v>3580</v>
      </c>
      <c r="G749">
        <v>0</v>
      </c>
      <c r="H749" t="s">
        <v>5676</v>
      </c>
      <c r="I749">
        <v>828</v>
      </c>
      <c r="J749" t="str">
        <f>VLOOKUP(E749,DSSpieler!A:B,2,FALSE)</f>
        <v>Tribal@wall</v>
      </c>
    </row>
    <row r="750" spans="1:10" x14ac:dyDescent="0.25">
      <c r="A750">
        <v>829</v>
      </c>
      <c r="B750" t="s">
        <v>531</v>
      </c>
      <c r="C750">
        <v>514</v>
      </c>
      <c r="D750">
        <v>578</v>
      </c>
      <c r="E750">
        <v>0</v>
      </c>
      <c r="F750">
        <v>373</v>
      </c>
      <c r="G750">
        <v>0</v>
      </c>
      <c r="H750" t="s">
        <v>5677</v>
      </c>
      <c r="I750">
        <v>829</v>
      </c>
      <c r="J750" t="e">
        <f>VLOOKUP(E750,DSSpieler!A:B,2,FALSE)</f>
        <v>#N/A</v>
      </c>
    </row>
    <row r="751" spans="1:10" x14ac:dyDescent="0.25">
      <c r="A751">
        <v>830</v>
      </c>
      <c r="B751" t="s">
        <v>30852</v>
      </c>
      <c r="C751">
        <v>464</v>
      </c>
      <c r="D751">
        <v>510</v>
      </c>
      <c r="E751">
        <v>8110776</v>
      </c>
      <c r="F751">
        <v>1371</v>
      </c>
      <c r="G751">
        <v>0</v>
      </c>
      <c r="H751" t="s">
        <v>5678</v>
      </c>
      <c r="I751">
        <v>830</v>
      </c>
      <c r="J751" t="str">
        <f>VLOOKUP(E751,DSSpieler!A:B,2,FALSE)</f>
        <v>Xului</v>
      </c>
    </row>
    <row r="752" spans="1:10" x14ac:dyDescent="0.25">
      <c r="A752">
        <v>831</v>
      </c>
      <c r="B752" t="s">
        <v>689</v>
      </c>
      <c r="C752">
        <v>451</v>
      </c>
      <c r="D752">
        <v>499</v>
      </c>
      <c r="E752">
        <v>1576949780</v>
      </c>
      <c r="F752">
        <v>3089</v>
      </c>
      <c r="G752">
        <v>0</v>
      </c>
      <c r="H752" t="s">
        <v>5679</v>
      </c>
      <c r="I752">
        <v>831</v>
      </c>
      <c r="J752" t="str">
        <f>VLOOKUP(E752,DSSpieler!A:B,2,FALSE)</f>
        <v>Felix1310</v>
      </c>
    </row>
    <row r="753" spans="1:10" x14ac:dyDescent="0.25">
      <c r="A753">
        <v>832</v>
      </c>
      <c r="B753" t="s">
        <v>690</v>
      </c>
      <c r="C753">
        <v>467</v>
      </c>
      <c r="D753">
        <v>505</v>
      </c>
      <c r="E753">
        <v>1576358853</v>
      </c>
      <c r="F753">
        <v>697</v>
      </c>
      <c r="G753">
        <v>0</v>
      </c>
      <c r="H753" t="s">
        <v>5680</v>
      </c>
      <c r="I753">
        <v>832</v>
      </c>
      <c r="J753" t="str">
        <f>VLOOKUP(E753,DSSpieler!A:B,2,FALSE)</f>
        <v>Hallanes</v>
      </c>
    </row>
    <row r="754" spans="1:10" x14ac:dyDescent="0.25">
      <c r="A754">
        <v>833</v>
      </c>
      <c r="B754" t="s">
        <v>30853</v>
      </c>
      <c r="C754">
        <v>498</v>
      </c>
      <c r="D754">
        <v>479</v>
      </c>
      <c r="E754">
        <v>9170540</v>
      </c>
      <c r="F754">
        <v>1902</v>
      </c>
      <c r="G754">
        <v>0</v>
      </c>
      <c r="H754" t="s">
        <v>5681</v>
      </c>
      <c r="I754">
        <v>833</v>
      </c>
      <c r="J754" t="str">
        <f>VLOOKUP(E754,DSSpieler!A:B,2,FALSE)</f>
        <v>Mausebär69</v>
      </c>
    </row>
    <row r="755" spans="1:10" x14ac:dyDescent="0.25">
      <c r="A755">
        <v>834</v>
      </c>
      <c r="B755" t="s">
        <v>531</v>
      </c>
      <c r="C755">
        <v>503</v>
      </c>
      <c r="D755">
        <v>529</v>
      </c>
      <c r="E755">
        <v>0</v>
      </c>
      <c r="F755">
        <v>392</v>
      </c>
      <c r="G755">
        <v>0</v>
      </c>
      <c r="H755" t="s">
        <v>5682</v>
      </c>
      <c r="I755">
        <v>834</v>
      </c>
      <c r="J755" t="e">
        <f>VLOOKUP(E755,DSSpieler!A:B,2,FALSE)</f>
        <v>#N/A</v>
      </c>
    </row>
    <row r="756" spans="1:10" x14ac:dyDescent="0.25">
      <c r="A756">
        <v>835</v>
      </c>
      <c r="B756" t="s">
        <v>30854</v>
      </c>
      <c r="C756">
        <v>501</v>
      </c>
      <c r="D756">
        <v>472</v>
      </c>
      <c r="E756">
        <v>9883802</v>
      </c>
      <c r="F756">
        <v>2005</v>
      </c>
      <c r="G756">
        <v>0</v>
      </c>
      <c r="H756" t="s">
        <v>5683</v>
      </c>
      <c r="I756">
        <v>835</v>
      </c>
      <c r="J756" t="str">
        <f>VLOOKUP(E756,DSSpieler!A:B,2,FALSE)</f>
        <v>PandoMeteoraX</v>
      </c>
    </row>
    <row r="757" spans="1:10" x14ac:dyDescent="0.25">
      <c r="A757">
        <v>836</v>
      </c>
      <c r="B757" t="s">
        <v>546</v>
      </c>
      <c r="C757">
        <v>503</v>
      </c>
      <c r="D757">
        <v>466</v>
      </c>
      <c r="E757">
        <v>1577101513</v>
      </c>
      <c r="F757">
        <v>3261</v>
      </c>
      <c r="G757">
        <v>0</v>
      </c>
      <c r="H757" t="s">
        <v>5684</v>
      </c>
      <c r="I757">
        <v>836</v>
      </c>
      <c r="J757" t="str">
        <f>VLOOKUP(E757,DSSpieler!A:B,2,FALSE)</f>
        <v>Christen</v>
      </c>
    </row>
    <row r="758" spans="1:10" x14ac:dyDescent="0.25">
      <c r="A758">
        <v>837</v>
      </c>
      <c r="B758" t="s">
        <v>691</v>
      </c>
      <c r="C758">
        <v>516</v>
      </c>
      <c r="D758">
        <v>458</v>
      </c>
      <c r="E758">
        <v>1577180924</v>
      </c>
      <c r="F758">
        <v>1953</v>
      </c>
      <c r="G758">
        <v>0</v>
      </c>
      <c r="H758" t="s">
        <v>5685</v>
      </c>
      <c r="I758">
        <v>837</v>
      </c>
      <c r="J758" t="str">
        <f>VLOOKUP(E758,DSSpieler!A:B,2,FALSE)</f>
        <v>La84</v>
      </c>
    </row>
    <row r="759" spans="1:10" x14ac:dyDescent="0.25">
      <c r="A759">
        <v>838</v>
      </c>
      <c r="B759" t="s">
        <v>556</v>
      </c>
      <c r="C759">
        <v>515</v>
      </c>
      <c r="D759">
        <v>460</v>
      </c>
      <c r="E759">
        <v>1576847641</v>
      </c>
      <c r="F759">
        <v>6376</v>
      </c>
      <c r="G759">
        <v>0</v>
      </c>
      <c r="H759" t="s">
        <v>5686</v>
      </c>
      <c r="I759">
        <v>838</v>
      </c>
      <c r="J759" t="str">
        <f>VLOOKUP(E759,DSSpieler!A:B,2,FALSE)</f>
        <v>gocaman28</v>
      </c>
    </row>
    <row r="760" spans="1:10" x14ac:dyDescent="0.25">
      <c r="A760">
        <v>839</v>
      </c>
      <c r="B760" t="s">
        <v>556</v>
      </c>
      <c r="C760">
        <v>512</v>
      </c>
      <c r="D760">
        <v>468</v>
      </c>
      <c r="E760">
        <v>1784298</v>
      </c>
      <c r="F760">
        <v>2306</v>
      </c>
      <c r="G760">
        <v>0</v>
      </c>
      <c r="H760" t="s">
        <v>5687</v>
      </c>
      <c r="I760">
        <v>839</v>
      </c>
      <c r="J760" t="str">
        <f>VLOOKUP(E760,DSSpieler!A:B,2,FALSE)</f>
        <v>T-Cup</v>
      </c>
    </row>
    <row r="761" spans="1:10" x14ac:dyDescent="0.25">
      <c r="A761">
        <v>840</v>
      </c>
      <c r="B761" t="s">
        <v>30855</v>
      </c>
      <c r="C761">
        <v>521</v>
      </c>
      <c r="D761">
        <v>465</v>
      </c>
      <c r="E761">
        <v>1410071</v>
      </c>
      <c r="F761">
        <v>293</v>
      </c>
      <c r="G761">
        <v>0</v>
      </c>
      <c r="H761" t="s">
        <v>5688</v>
      </c>
      <c r="I761">
        <v>840</v>
      </c>
      <c r="J761" t="str">
        <f>VLOOKUP(E761,DSSpieler!A:B,2,FALSE)</f>
        <v>djka</v>
      </c>
    </row>
    <row r="762" spans="1:10" x14ac:dyDescent="0.25">
      <c r="A762">
        <v>841</v>
      </c>
      <c r="B762" t="s">
        <v>531</v>
      </c>
      <c r="C762">
        <v>560</v>
      </c>
      <c r="D762">
        <v>530</v>
      </c>
      <c r="E762">
        <v>0</v>
      </c>
      <c r="F762">
        <v>483</v>
      </c>
      <c r="G762">
        <v>0</v>
      </c>
      <c r="H762" t="s">
        <v>5689</v>
      </c>
      <c r="I762">
        <v>841</v>
      </c>
      <c r="J762" t="e">
        <f>VLOOKUP(E762,DSSpieler!A:B,2,FALSE)</f>
        <v>#N/A</v>
      </c>
    </row>
    <row r="763" spans="1:10" x14ac:dyDescent="0.25">
      <c r="A763">
        <v>842</v>
      </c>
      <c r="B763" t="s">
        <v>30856</v>
      </c>
      <c r="C763">
        <v>509</v>
      </c>
      <c r="D763">
        <v>463</v>
      </c>
      <c r="E763">
        <v>1577047378</v>
      </c>
      <c r="F763">
        <v>2561</v>
      </c>
      <c r="G763">
        <v>0</v>
      </c>
      <c r="H763" t="s">
        <v>5690</v>
      </c>
      <c r="I763">
        <v>842</v>
      </c>
      <c r="J763" t="str">
        <f>VLOOKUP(E763,DSSpieler!A:B,2,FALSE)</f>
        <v>jones24</v>
      </c>
    </row>
    <row r="764" spans="1:10" x14ac:dyDescent="0.25">
      <c r="A764">
        <v>843</v>
      </c>
      <c r="B764" t="s">
        <v>692</v>
      </c>
      <c r="C764">
        <v>509</v>
      </c>
      <c r="D764">
        <v>452</v>
      </c>
      <c r="E764">
        <v>9834011</v>
      </c>
      <c r="F764">
        <v>2359</v>
      </c>
      <c r="G764">
        <v>0</v>
      </c>
      <c r="H764" t="s">
        <v>5691</v>
      </c>
      <c r="I764">
        <v>843</v>
      </c>
      <c r="J764" t="str">
        <f>VLOOKUP(E764,DSSpieler!A:B,2,FALSE)</f>
        <v>Lady whitecat</v>
      </c>
    </row>
    <row r="765" spans="1:10" x14ac:dyDescent="0.25">
      <c r="A765">
        <v>844</v>
      </c>
      <c r="B765" t="s">
        <v>531</v>
      </c>
      <c r="C765">
        <v>518</v>
      </c>
      <c r="D765">
        <v>457</v>
      </c>
      <c r="E765">
        <v>0</v>
      </c>
      <c r="F765">
        <v>151</v>
      </c>
      <c r="G765">
        <v>0</v>
      </c>
      <c r="H765" t="s">
        <v>5692</v>
      </c>
      <c r="I765">
        <v>844</v>
      </c>
      <c r="J765" t="e">
        <f>VLOOKUP(E765,DSSpieler!A:B,2,FALSE)</f>
        <v>#N/A</v>
      </c>
    </row>
    <row r="766" spans="1:10" x14ac:dyDescent="0.25">
      <c r="A766">
        <v>845</v>
      </c>
      <c r="B766">
        <v>3</v>
      </c>
      <c r="C766">
        <v>518</v>
      </c>
      <c r="D766">
        <v>469</v>
      </c>
      <c r="E766">
        <v>1577191080</v>
      </c>
      <c r="F766">
        <v>5323</v>
      </c>
      <c r="G766">
        <v>0</v>
      </c>
      <c r="H766" t="s">
        <v>5693</v>
      </c>
      <c r="I766">
        <v>845</v>
      </c>
      <c r="J766" t="str">
        <f>VLOOKUP(E766,DSSpieler!A:B,2,FALSE)</f>
        <v>NeoNapat</v>
      </c>
    </row>
    <row r="767" spans="1:10" x14ac:dyDescent="0.25">
      <c r="A767">
        <v>846</v>
      </c>
      <c r="B767" t="s">
        <v>32125</v>
      </c>
      <c r="C767">
        <v>410</v>
      </c>
      <c r="D767">
        <v>546</v>
      </c>
      <c r="E767">
        <v>1577183380</v>
      </c>
      <c r="F767">
        <v>4411</v>
      </c>
      <c r="G767">
        <v>0</v>
      </c>
      <c r="H767" t="s">
        <v>5694</v>
      </c>
      <c r="I767">
        <v>846</v>
      </c>
      <c r="J767" t="str">
        <f>VLOOKUP(E767,DSSpieler!A:B,2,FALSE)</f>
        <v>AntikerPro</v>
      </c>
    </row>
    <row r="768" spans="1:10" x14ac:dyDescent="0.25">
      <c r="A768">
        <v>847</v>
      </c>
      <c r="B768" t="s">
        <v>693</v>
      </c>
      <c r="C768">
        <v>401</v>
      </c>
      <c r="D768">
        <v>541</v>
      </c>
      <c r="E768">
        <v>8833591</v>
      </c>
      <c r="F768">
        <v>4307</v>
      </c>
      <c r="G768">
        <v>0</v>
      </c>
      <c r="H768" t="s">
        <v>5695</v>
      </c>
      <c r="I768">
        <v>847</v>
      </c>
      <c r="J768" t="str">
        <f>VLOOKUP(E768,DSSpieler!A:B,2,FALSE)</f>
        <v>Slytherin1997</v>
      </c>
    </row>
    <row r="769" spans="1:10" x14ac:dyDescent="0.25">
      <c r="A769">
        <v>848</v>
      </c>
      <c r="B769" t="s">
        <v>694</v>
      </c>
      <c r="C769">
        <v>483</v>
      </c>
      <c r="D769">
        <v>606</v>
      </c>
      <c r="E769">
        <v>1577168705</v>
      </c>
      <c r="F769">
        <v>2415</v>
      </c>
      <c r="G769">
        <v>0</v>
      </c>
      <c r="H769" t="s">
        <v>5696</v>
      </c>
      <c r="I769">
        <v>848</v>
      </c>
      <c r="J769" t="str">
        <f>VLOOKUP(E769,DSSpieler!A:B,2,FALSE)</f>
        <v>amonidas</v>
      </c>
    </row>
    <row r="770" spans="1:10" x14ac:dyDescent="0.25">
      <c r="A770">
        <v>849</v>
      </c>
      <c r="B770" t="s">
        <v>531</v>
      </c>
      <c r="C770">
        <v>471</v>
      </c>
      <c r="D770">
        <v>506</v>
      </c>
      <c r="E770">
        <v>0</v>
      </c>
      <c r="F770">
        <v>309</v>
      </c>
      <c r="G770">
        <v>0</v>
      </c>
      <c r="H770" t="s">
        <v>5697</v>
      </c>
      <c r="I770">
        <v>849</v>
      </c>
      <c r="J770" t="e">
        <f>VLOOKUP(E770,DSSpieler!A:B,2,FALSE)</f>
        <v>#N/A</v>
      </c>
    </row>
    <row r="771" spans="1:10" x14ac:dyDescent="0.25">
      <c r="A771">
        <v>850</v>
      </c>
      <c r="B771" t="s">
        <v>695</v>
      </c>
      <c r="C771">
        <v>407</v>
      </c>
      <c r="D771">
        <v>540</v>
      </c>
      <c r="E771">
        <v>1577184870</v>
      </c>
      <c r="F771">
        <v>4614</v>
      </c>
      <c r="G771">
        <v>0</v>
      </c>
      <c r="H771" t="s">
        <v>5698</v>
      </c>
      <c r="I771">
        <v>850</v>
      </c>
      <c r="J771" t="str">
        <f>VLOOKUP(E771,DSSpieler!A:B,2,FALSE)</f>
        <v>Toschie</v>
      </c>
    </row>
    <row r="772" spans="1:10" x14ac:dyDescent="0.25">
      <c r="A772">
        <v>857</v>
      </c>
      <c r="B772" t="s">
        <v>30858</v>
      </c>
      <c r="C772">
        <v>498</v>
      </c>
      <c r="D772">
        <v>387</v>
      </c>
      <c r="E772">
        <v>1576384260</v>
      </c>
      <c r="F772">
        <v>6337</v>
      </c>
      <c r="G772">
        <v>0</v>
      </c>
      <c r="H772" t="s">
        <v>5699</v>
      </c>
      <c r="I772">
        <v>857</v>
      </c>
      <c r="J772" t="str">
        <f>VLOOKUP(E772,DSSpieler!A:B,2,FALSE)</f>
        <v>Asgardinger</v>
      </c>
    </row>
    <row r="773" spans="1:10" x14ac:dyDescent="0.25">
      <c r="A773">
        <v>858</v>
      </c>
      <c r="B773" t="s">
        <v>531</v>
      </c>
      <c r="C773">
        <v>473</v>
      </c>
      <c r="D773">
        <v>521</v>
      </c>
      <c r="E773">
        <v>0</v>
      </c>
      <c r="F773">
        <v>430</v>
      </c>
      <c r="G773">
        <v>0</v>
      </c>
      <c r="H773" t="s">
        <v>5700</v>
      </c>
      <c r="I773">
        <v>858</v>
      </c>
      <c r="J773" t="e">
        <f>VLOOKUP(E773,DSSpieler!A:B,2,FALSE)</f>
        <v>#N/A</v>
      </c>
    </row>
    <row r="774" spans="1:10" x14ac:dyDescent="0.25">
      <c r="A774">
        <v>861</v>
      </c>
      <c r="B774" t="s">
        <v>531</v>
      </c>
      <c r="C774">
        <v>518</v>
      </c>
      <c r="D774">
        <v>566</v>
      </c>
      <c r="E774">
        <v>0</v>
      </c>
      <c r="F774">
        <v>397</v>
      </c>
      <c r="G774">
        <v>0</v>
      </c>
      <c r="H774" t="s">
        <v>5701</v>
      </c>
      <c r="I774">
        <v>861</v>
      </c>
      <c r="J774" t="e">
        <f>VLOOKUP(E774,DSSpieler!A:B,2,FALSE)</f>
        <v>#N/A</v>
      </c>
    </row>
    <row r="775" spans="1:10" x14ac:dyDescent="0.25">
      <c r="A775">
        <v>865</v>
      </c>
      <c r="B775" t="s">
        <v>531</v>
      </c>
      <c r="C775">
        <v>573</v>
      </c>
      <c r="D775">
        <v>477</v>
      </c>
      <c r="E775">
        <v>0</v>
      </c>
      <c r="F775">
        <v>517</v>
      </c>
      <c r="G775">
        <v>0</v>
      </c>
      <c r="H775" t="s">
        <v>5702</v>
      </c>
      <c r="I775">
        <v>865</v>
      </c>
      <c r="J775" t="e">
        <f>VLOOKUP(E775,DSSpieler!A:B,2,FALSE)</f>
        <v>#N/A</v>
      </c>
    </row>
    <row r="776" spans="1:10" x14ac:dyDescent="0.25">
      <c r="A776">
        <v>867</v>
      </c>
      <c r="B776" t="s">
        <v>696</v>
      </c>
      <c r="C776">
        <v>554</v>
      </c>
      <c r="D776">
        <v>541</v>
      </c>
      <c r="E776">
        <v>1577187587</v>
      </c>
      <c r="F776">
        <v>510</v>
      </c>
      <c r="G776">
        <v>0</v>
      </c>
      <c r="H776" t="s">
        <v>5703</v>
      </c>
      <c r="I776">
        <v>867</v>
      </c>
      <c r="J776" t="str">
        <f>VLOOKUP(E776,DSSpieler!A:B,2,FALSE)</f>
        <v>Moarhaus</v>
      </c>
    </row>
    <row r="777" spans="1:10" x14ac:dyDescent="0.25">
      <c r="A777">
        <v>871</v>
      </c>
      <c r="B777" t="s">
        <v>531</v>
      </c>
      <c r="C777">
        <v>430</v>
      </c>
      <c r="D777">
        <v>499</v>
      </c>
      <c r="E777">
        <v>0</v>
      </c>
      <c r="F777">
        <v>335</v>
      </c>
      <c r="G777">
        <v>0</v>
      </c>
      <c r="H777" t="s">
        <v>5704</v>
      </c>
      <c r="I777">
        <v>871</v>
      </c>
      <c r="J777" t="e">
        <f>VLOOKUP(E777,DSSpieler!A:B,2,FALSE)</f>
        <v>#N/A</v>
      </c>
    </row>
    <row r="778" spans="1:10" x14ac:dyDescent="0.25">
      <c r="A778">
        <v>876</v>
      </c>
      <c r="B778" t="s">
        <v>531</v>
      </c>
      <c r="C778">
        <v>524</v>
      </c>
      <c r="D778">
        <v>568</v>
      </c>
      <c r="E778">
        <v>0</v>
      </c>
      <c r="F778">
        <v>281</v>
      </c>
      <c r="G778">
        <v>0</v>
      </c>
      <c r="H778" t="s">
        <v>5705</v>
      </c>
      <c r="I778">
        <v>876</v>
      </c>
      <c r="J778" t="e">
        <f>VLOOKUP(E778,DSSpieler!A:B,2,FALSE)</f>
        <v>#N/A</v>
      </c>
    </row>
    <row r="779" spans="1:10" x14ac:dyDescent="0.25">
      <c r="A779">
        <v>877</v>
      </c>
      <c r="B779" t="s">
        <v>30859</v>
      </c>
      <c r="C779">
        <v>504</v>
      </c>
      <c r="D779">
        <v>519</v>
      </c>
      <c r="E779">
        <v>1230608</v>
      </c>
      <c r="F779">
        <v>7408</v>
      </c>
      <c r="G779">
        <v>0</v>
      </c>
      <c r="H779" t="s">
        <v>5706</v>
      </c>
      <c r="I779">
        <v>877</v>
      </c>
      <c r="J779" t="str">
        <f>VLOOKUP(E779,DSSpieler!A:B,2,FALSE)</f>
        <v>jomag</v>
      </c>
    </row>
    <row r="780" spans="1:10" x14ac:dyDescent="0.25">
      <c r="A780">
        <v>878</v>
      </c>
      <c r="B780" t="s">
        <v>697</v>
      </c>
      <c r="C780">
        <v>506</v>
      </c>
      <c r="D780">
        <v>514</v>
      </c>
      <c r="E780">
        <v>1577159174</v>
      </c>
      <c r="F780">
        <v>4413</v>
      </c>
      <c r="G780">
        <v>0</v>
      </c>
      <c r="H780" t="s">
        <v>5707</v>
      </c>
      <c r="I780">
        <v>878</v>
      </c>
      <c r="J780" t="str">
        <f>VLOOKUP(E780,DSSpieler!A:B,2,FALSE)</f>
        <v>Freiherr von Licht</v>
      </c>
    </row>
    <row r="781" spans="1:10" x14ac:dyDescent="0.25">
      <c r="A781">
        <v>879</v>
      </c>
      <c r="B781" t="s">
        <v>531</v>
      </c>
      <c r="C781">
        <v>459</v>
      </c>
      <c r="D781">
        <v>484</v>
      </c>
      <c r="E781">
        <v>0</v>
      </c>
      <c r="F781">
        <v>328</v>
      </c>
      <c r="G781">
        <v>0</v>
      </c>
      <c r="H781" t="s">
        <v>5708</v>
      </c>
      <c r="I781">
        <v>879</v>
      </c>
      <c r="J781" t="e">
        <f>VLOOKUP(E781,DSSpieler!A:B,2,FALSE)</f>
        <v>#N/A</v>
      </c>
    </row>
    <row r="782" spans="1:10" x14ac:dyDescent="0.25">
      <c r="A782">
        <v>880</v>
      </c>
      <c r="B782" t="s">
        <v>30860</v>
      </c>
      <c r="C782">
        <v>499</v>
      </c>
      <c r="D782">
        <v>515</v>
      </c>
      <c r="E782">
        <v>1577171743</v>
      </c>
      <c r="F782">
        <v>6680</v>
      </c>
      <c r="G782">
        <v>0</v>
      </c>
      <c r="H782" t="s">
        <v>5709</v>
      </c>
      <c r="I782">
        <v>880</v>
      </c>
      <c r="J782" t="str">
        <f>VLOOKUP(E782,DSSpieler!A:B,2,FALSE)</f>
        <v>Karabat</v>
      </c>
    </row>
    <row r="783" spans="1:10" x14ac:dyDescent="0.25">
      <c r="A783">
        <v>883</v>
      </c>
      <c r="B783" t="s">
        <v>30861</v>
      </c>
      <c r="C783">
        <v>494</v>
      </c>
      <c r="D783">
        <v>517</v>
      </c>
      <c r="E783">
        <v>1577195588</v>
      </c>
      <c r="F783">
        <v>6191</v>
      </c>
      <c r="G783">
        <v>0</v>
      </c>
      <c r="H783" t="s">
        <v>5710</v>
      </c>
      <c r="I783">
        <v>883</v>
      </c>
      <c r="J783" t="str">
        <f>VLOOKUP(E783,DSSpieler!A:B,2,FALSE)</f>
        <v>Quastenflosser</v>
      </c>
    </row>
    <row r="784" spans="1:10" x14ac:dyDescent="0.25">
      <c r="A784">
        <v>884</v>
      </c>
      <c r="B784" t="s">
        <v>30862</v>
      </c>
      <c r="C784">
        <v>514</v>
      </c>
      <c r="D784">
        <v>502</v>
      </c>
      <c r="E784">
        <v>1909473</v>
      </c>
      <c r="F784">
        <v>4803</v>
      </c>
      <c r="G784">
        <v>0</v>
      </c>
      <c r="H784" t="s">
        <v>5711</v>
      </c>
      <c r="I784">
        <v>884</v>
      </c>
      <c r="J784" t="str">
        <f>VLOOKUP(E784,DSSpieler!A:B,2,FALSE)</f>
        <v>Quadratlatschen</v>
      </c>
    </row>
    <row r="785" spans="1:10" x14ac:dyDescent="0.25">
      <c r="A785">
        <v>885</v>
      </c>
      <c r="B785" t="s">
        <v>698</v>
      </c>
      <c r="C785">
        <v>495</v>
      </c>
      <c r="D785">
        <v>508</v>
      </c>
      <c r="E785">
        <v>1577003629</v>
      </c>
      <c r="F785">
        <v>2120</v>
      </c>
      <c r="G785">
        <v>0</v>
      </c>
      <c r="H785" t="s">
        <v>5712</v>
      </c>
      <c r="I785">
        <v>885</v>
      </c>
      <c r="J785" t="str">
        <f>VLOOKUP(E785,DSSpieler!A:B,2,FALSE)</f>
        <v>KingJango</v>
      </c>
    </row>
    <row r="786" spans="1:10" x14ac:dyDescent="0.25">
      <c r="A786">
        <v>892</v>
      </c>
      <c r="B786" t="s">
        <v>30863</v>
      </c>
      <c r="C786">
        <v>493</v>
      </c>
      <c r="D786">
        <v>534</v>
      </c>
      <c r="E786">
        <v>1577197753</v>
      </c>
      <c r="F786">
        <v>1558</v>
      </c>
      <c r="G786">
        <v>0</v>
      </c>
      <c r="H786" t="s">
        <v>5713</v>
      </c>
      <c r="I786">
        <v>892</v>
      </c>
      <c r="J786" t="str">
        <f>VLOOKUP(E786,DSSpieler!A:B,2,FALSE)</f>
        <v>Dakurlzz</v>
      </c>
    </row>
    <row r="787" spans="1:10" x14ac:dyDescent="0.25">
      <c r="A787">
        <v>894</v>
      </c>
      <c r="B787" t="s">
        <v>531</v>
      </c>
      <c r="C787">
        <v>533</v>
      </c>
      <c r="D787">
        <v>572</v>
      </c>
      <c r="E787">
        <v>0</v>
      </c>
      <c r="F787">
        <v>433</v>
      </c>
      <c r="G787">
        <v>0</v>
      </c>
      <c r="H787" t="s">
        <v>5714</v>
      </c>
      <c r="I787">
        <v>894</v>
      </c>
      <c r="J787" t="e">
        <f>VLOOKUP(E787,DSSpieler!A:B,2,FALSE)</f>
        <v>#N/A</v>
      </c>
    </row>
    <row r="788" spans="1:10" x14ac:dyDescent="0.25">
      <c r="A788">
        <v>896</v>
      </c>
      <c r="B788" t="s">
        <v>30864</v>
      </c>
      <c r="C788">
        <v>502</v>
      </c>
      <c r="D788">
        <v>515</v>
      </c>
      <c r="E788">
        <v>1577197886</v>
      </c>
      <c r="F788">
        <v>2532</v>
      </c>
      <c r="G788">
        <v>0</v>
      </c>
      <c r="H788" t="s">
        <v>5715</v>
      </c>
      <c r="I788">
        <v>896</v>
      </c>
      <c r="J788" t="str">
        <f>VLOOKUP(E788,DSSpieler!A:B,2,FALSE)</f>
        <v>Wolfgang85</v>
      </c>
    </row>
    <row r="789" spans="1:10" x14ac:dyDescent="0.25">
      <c r="A789">
        <v>898</v>
      </c>
      <c r="B789" t="s">
        <v>531</v>
      </c>
      <c r="C789">
        <v>468</v>
      </c>
      <c r="D789">
        <v>462</v>
      </c>
      <c r="E789">
        <v>0</v>
      </c>
      <c r="F789">
        <v>355</v>
      </c>
      <c r="G789">
        <v>0</v>
      </c>
      <c r="H789" t="s">
        <v>5716</v>
      </c>
      <c r="I789">
        <v>898</v>
      </c>
      <c r="J789" t="e">
        <f>VLOOKUP(E789,DSSpieler!A:B,2,FALSE)</f>
        <v>#N/A</v>
      </c>
    </row>
    <row r="790" spans="1:10" x14ac:dyDescent="0.25">
      <c r="A790">
        <v>899</v>
      </c>
      <c r="B790" t="s">
        <v>531</v>
      </c>
      <c r="C790">
        <v>566</v>
      </c>
      <c r="D790">
        <v>544</v>
      </c>
      <c r="E790">
        <v>0</v>
      </c>
      <c r="F790">
        <v>504</v>
      </c>
      <c r="G790">
        <v>0</v>
      </c>
      <c r="H790" t="s">
        <v>5717</v>
      </c>
      <c r="I790">
        <v>899</v>
      </c>
      <c r="J790" t="e">
        <f>VLOOKUP(E790,DSSpieler!A:B,2,FALSE)</f>
        <v>#N/A</v>
      </c>
    </row>
    <row r="791" spans="1:10" x14ac:dyDescent="0.25">
      <c r="A791">
        <v>900</v>
      </c>
      <c r="B791" t="s">
        <v>30865</v>
      </c>
      <c r="C791">
        <v>559</v>
      </c>
      <c r="D791">
        <v>538</v>
      </c>
      <c r="E791">
        <v>8449541</v>
      </c>
      <c r="F791">
        <v>1532</v>
      </c>
      <c r="G791">
        <v>0</v>
      </c>
      <c r="H791" t="s">
        <v>5718</v>
      </c>
      <c r="I791">
        <v>900</v>
      </c>
      <c r="J791" t="str">
        <f>VLOOKUP(E791,DSSpieler!A:B,2,FALSE)</f>
        <v>Svan I</v>
      </c>
    </row>
    <row r="792" spans="1:10" x14ac:dyDescent="0.25">
      <c r="A792">
        <v>904</v>
      </c>
      <c r="B792" t="s">
        <v>30866</v>
      </c>
      <c r="C792">
        <v>462</v>
      </c>
      <c r="D792">
        <v>480</v>
      </c>
      <c r="E792">
        <v>1576589979</v>
      </c>
      <c r="F792">
        <v>1770</v>
      </c>
      <c r="G792">
        <v>0</v>
      </c>
      <c r="H792" t="s">
        <v>5719</v>
      </c>
      <c r="I792">
        <v>904</v>
      </c>
      <c r="J792" t="str">
        <f>VLOOKUP(E792,DSSpieler!A:B,2,FALSE)</f>
        <v>thermos007</v>
      </c>
    </row>
    <row r="793" spans="1:10" x14ac:dyDescent="0.25">
      <c r="A793">
        <v>906</v>
      </c>
      <c r="B793" t="s">
        <v>699</v>
      </c>
      <c r="C793">
        <v>552</v>
      </c>
      <c r="D793">
        <v>566</v>
      </c>
      <c r="E793">
        <v>1577102404</v>
      </c>
      <c r="F793">
        <v>5199</v>
      </c>
      <c r="G793">
        <v>0</v>
      </c>
      <c r="H793" t="s">
        <v>5720</v>
      </c>
      <c r="I793">
        <v>906</v>
      </c>
      <c r="J793" t="str">
        <f>VLOOKUP(E793,DSSpieler!A:B,2,FALSE)</f>
        <v>Urangutan</v>
      </c>
    </row>
    <row r="794" spans="1:10" x14ac:dyDescent="0.25">
      <c r="A794">
        <v>907</v>
      </c>
      <c r="B794" t="s">
        <v>531</v>
      </c>
      <c r="C794">
        <v>494</v>
      </c>
      <c r="D794">
        <v>489</v>
      </c>
      <c r="E794">
        <v>0</v>
      </c>
      <c r="F794">
        <v>280</v>
      </c>
      <c r="G794">
        <v>0</v>
      </c>
      <c r="H794" t="s">
        <v>5721</v>
      </c>
      <c r="I794">
        <v>907</v>
      </c>
      <c r="J794" t="e">
        <f>VLOOKUP(E794,DSSpieler!A:B,2,FALSE)</f>
        <v>#N/A</v>
      </c>
    </row>
    <row r="795" spans="1:10" x14ac:dyDescent="0.25">
      <c r="A795">
        <v>908</v>
      </c>
      <c r="B795" t="s">
        <v>531</v>
      </c>
      <c r="C795">
        <v>507</v>
      </c>
      <c r="D795">
        <v>499</v>
      </c>
      <c r="E795">
        <v>0</v>
      </c>
      <c r="F795">
        <v>268</v>
      </c>
      <c r="G795">
        <v>0</v>
      </c>
      <c r="H795" t="s">
        <v>5722</v>
      </c>
      <c r="I795">
        <v>908</v>
      </c>
      <c r="J795" t="e">
        <f>VLOOKUP(E795,DSSpieler!A:B,2,FALSE)</f>
        <v>#N/A</v>
      </c>
    </row>
    <row r="796" spans="1:10" x14ac:dyDescent="0.25">
      <c r="A796">
        <v>910</v>
      </c>
      <c r="B796" t="s">
        <v>531</v>
      </c>
      <c r="C796">
        <v>542</v>
      </c>
      <c r="D796">
        <v>519</v>
      </c>
      <c r="E796">
        <v>0</v>
      </c>
      <c r="F796">
        <v>408</v>
      </c>
      <c r="G796">
        <v>0</v>
      </c>
      <c r="H796" t="s">
        <v>5723</v>
      </c>
      <c r="I796">
        <v>910</v>
      </c>
      <c r="J796" t="e">
        <f>VLOOKUP(E796,DSSpieler!A:B,2,FALSE)</f>
        <v>#N/A</v>
      </c>
    </row>
    <row r="797" spans="1:10" x14ac:dyDescent="0.25">
      <c r="A797">
        <v>911</v>
      </c>
      <c r="B797" t="s">
        <v>546</v>
      </c>
      <c r="C797">
        <v>516</v>
      </c>
      <c r="D797">
        <v>442</v>
      </c>
      <c r="E797">
        <v>700859</v>
      </c>
      <c r="F797">
        <v>4565</v>
      </c>
      <c r="G797">
        <v>0</v>
      </c>
      <c r="H797" t="s">
        <v>5724</v>
      </c>
      <c r="I797">
        <v>911</v>
      </c>
      <c r="J797" t="str">
        <f>VLOOKUP(E797,DSSpieler!A:B,2,FALSE)</f>
        <v>Bond120294</v>
      </c>
    </row>
    <row r="798" spans="1:10" x14ac:dyDescent="0.25">
      <c r="A798">
        <v>912</v>
      </c>
      <c r="B798" t="s">
        <v>546</v>
      </c>
      <c r="C798">
        <v>507</v>
      </c>
      <c r="D798">
        <v>454</v>
      </c>
      <c r="E798">
        <v>890198</v>
      </c>
      <c r="F798">
        <v>7618</v>
      </c>
      <c r="G798">
        <v>0</v>
      </c>
      <c r="H798" t="s">
        <v>5725</v>
      </c>
      <c r="I798">
        <v>912</v>
      </c>
      <c r="J798" t="str">
        <f>VLOOKUP(E798,DSSpieler!A:B,2,FALSE)</f>
        <v>superkrauss</v>
      </c>
    </row>
    <row r="799" spans="1:10" x14ac:dyDescent="0.25">
      <c r="A799">
        <v>913</v>
      </c>
      <c r="B799" t="s">
        <v>700</v>
      </c>
      <c r="C799">
        <v>497</v>
      </c>
      <c r="D799">
        <v>453</v>
      </c>
      <c r="E799">
        <v>2046772</v>
      </c>
      <c r="F799">
        <v>5189</v>
      </c>
      <c r="G799">
        <v>0</v>
      </c>
      <c r="H799" t="s">
        <v>5726</v>
      </c>
      <c r="I799">
        <v>913</v>
      </c>
      <c r="J799" t="str">
        <f>VLOOKUP(E799,DSSpieler!A:B,2,FALSE)</f>
        <v>kartoffelmaster</v>
      </c>
    </row>
    <row r="800" spans="1:10" x14ac:dyDescent="0.25">
      <c r="A800">
        <v>914</v>
      </c>
      <c r="B800" t="s">
        <v>546</v>
      </c>
      <c r="C800">
        <v>509</v>
      </c>
      <c r="D800">
        <v>457</v>
      </c>
      <c r="E800">
        <v>2182209</v>
      </c>
      <c r="F800">
        <v>6407</v>
      </c>
      <c r="G800">
        <v>0</v>
      </c>
      <c r="H800" t="s">
        <v>5727</v>
      </c>
      <c r="I800">
        <v>914</v>
      </c>
      <c r="J800" t="str">
        <f>VLOOKUP(E800,DSSpieler!A:B,2,FALSE)</f>
        <v>zurük</v>
      </c>
    </row>
    <row r="801" spans="1:10" x14ac:dyDescent="0.25">
      <c r="A801">
        <v>915</v>
      </c>
      <c r="B801" t="s">
        <v>30867</v>
      </c>
      <c r="C801">
        <v>504</v>
      </c>
      <c r="D801">
        <v>452</v>
      </c>
      <c r="E801">
        <v>2959742</v>
      </c>
      <c r="F801">
        <v>4641</v>
      </c>
      <c r="G801">
        <v>0</v>
      </c>
      <c r="H801" t="s">
        <v>5728</v>
      </c>
      <c r="I801">
        <v>915</v>
      </c>
      <c r="J801" t="str">
        <f>VLOOKUP(E801,DSSpieler!A:B,2,FALSE)</f>
        <v>EDI-95</v>
      </c>
    </row>
    <row r="802" spans="1:10" x14ac:dyDescent="0.25">
      <c r="A802">
        <v>916</v>
      </c>
      <c r="B802" t="s">
        <v>531</v>
      </c>
      <c r="C802">
        <v>446</v>
      </c>
      <c r="D802">
        <v>466</v>
      </c>
      <c r="E802">
        <v>0</v>
      </c>
      <c r="F802">
        <v>450</v>
      </c>
      <c r="G802">
        <v>0</v>
      </c>
      <c r="H802" t="s">
        <v>5729</v>
      </c>
      <c r="I802">
        <v>916</v>
      </c>
      <c r="J802" t="e">
        <f>VLOOKUP(E802,DSSpieler!A:B,2,FALSE)</f>
        <v>#N/A</v>
      </c>
    </row>
    <row r="803" spans="1:10" x14ac:dyDescent="0.25">
      <c r="A803">
        <v>917</v>
      </c>
      <c r="B803" t="s">
        <v>546</v>
      </c>
      <c r="C803">
        <v>500</v>
      </c>
      <c r="D803">
        <v>459</v>
      </c>
      <c r="E803">
        <v>10241896</v>
      </c>
      <c r="F803">
        <v>3339</v>
      </c>
      <c r="G803">
        <v>0</v>
      </c>
      <c r="H803" t="s">
        <v>5730</v>
      </c>
      <c r="I803">
        <v>917</v>
      </c>
      <c r="J803" t="str">
        <f>VLOOKUP(E803,DSSpieler!A:B,2,FALSE)</f>
        <v>oSiegi</v>
      </c>
    </row>
    <row r="804" spans="1:10" x14ac:dyDescent="0.25">
      <c r="A804">
        <v>918</v>
      </c>
      <c r="B804" t="s">
        <v>546</v>
      </c>
      <c r="C804">
        <v>511</v>
      </c>
      <c r="D804">
        <v>450</v>
      </c>
      <c r="E804">
        <v>8677854</v>
      </c>
      <c r="F804">
        <v>7291</v>
      </c>
      <c r="G804">
        <v>0</v>
      </c>
      <c r="H804" t="s">
        <v>5731</v>
      </c>
      <c r="I804">
        <v>918</v>
      </c>
      <c r="J804" t="str">
        <f>VLOOKUP(E804,DSSpieler!A:B,2,FALSE)</f>
        <v>mayladynrw</v>
      </c>
    </row>
    <row r="805" spans="1:10" x14ac:dyDescent="0.25">
      <c r="A805">
        <v>919</v>
      </c>
      <c r="B805" t="s">
        <v>30867</v>
      </c>
      <c r="C805">
        <v>512</v>
      </c>
      <c r="D805">
        <v>448</v>
      </c>
      <c r="E805">
        <v>2959742</v>
      </c>
      <c r="F805">
        <v>3254</v>
      </c>
      <c r="G805">
        <v>0</v>
      </c>
      <c r="H805" t="s">
        <v>5732</v>
      </c>
      <c r="I805">
        <v>919</v>
      </c>
      <c r="J805" t="str">
        <f>VLOOKUP(E805,DSSpieler!A:B,2,FALSE)</f>
        <v>EDI-95</v>
      </c>
    </row>
    <row r="806" spans="1:10" x14ac:dyDescent="0.25">
      <c r="A806">
        <v>920</v>
      </c>
      <c r="B806" t="s">
        <v>701</v>
      </c>
      <c r="C806">
        <v>505</v>
      </c>
      <c r="D806">
        <v>445</v>
      </c>
      <c r="E806">
        <v>8546334</v>
      </c>
      <c r="F806">
        <v>3634</v>
      </c>
      <c r="G806">
        <v>0</v>
      </c>
      <c r="H806" t="s">
        <v>5733</v>
      </c>
      <c r="I806">
        <v>920</v>
      </c>
      <c r="J806" t="str">
        <f>VLOOKUP(E806,DSSpieler!A:B,2,FALSE)</f>
        <v>mina153</v>
      </c>
    </row>
    <row r="807" spans="1:10" x14ac:dyDescent="0.25">
      <c r="A807">
        <v>921</v>
      </c>
      <c r="B807" t="s">
        <v>30868</v>
      </c>
      <c r="C807">
        <v>457</v>
      </c>
      <c r="D807">
        <v>494</v>
      </c>
      <c r="E807">
        <v>1577021657</v>
      </c>
      <c r="F807">
        <v>527</v>
      </c>
      <c r="G807">
        <v>0</v>
      </c>
      <c r="H807" t="s">
        <v>5734</v>
      </c>
      <c r="I807">
        <v>921</v>
      </c>
      <c r="J807" t="str">
        <f>VLOOKUP(E807,DSSpieler!A:B,2,FALSE)</f>
        <v>mahoni92</v>
      </c>
    </row>
    <row r="808" spans="1:10" x14ac:dyDescent="0.25">
      <c r="A808">
        <v>922</v>
      </c>
      <c r="B808" t="s">
        <v>702</v>
      </c>
      <c r="C808">
        <v>495</v>
      </c>
      <c r="D808">
        <v>448</v>
      </c>
      <c r="E808">
        <v>1576778462</v>
      </c>
      <c r="F808">
        <v>5850</v>
      </c>
      <c r="G808">
        <v>0</v>
      </c>
      <c r="H808" t="s">
        <v>5735</v>
      </c>
      <c r="I808">
        <v>922</v>
      </c>
      <c r="J808" t="str">
        <f>VLOOKUP(E808,DSSpieler!A:B,2,FALSE)</f>
        <v>PinkPumpkin</v>
      </c>
    </row>
    <row r="809" spans="1:10" x14ac:dyDescent="0.25">
      <c r="A809">
        <v>923</v>
      </c>
      <c r="B809" t="s">
        <v>30869</v>
      </c>
      <c r="C809">
        <v>502</v>
      </c>
      <c r="D809">
        <v>474</v>
      </c>
      <c r="E809">
        <v>9883802</v>
      </c>
      <c r="F809">
        <v>4881</v>
      </c>
      <c r="G809">
        <v>0</v>
      </c>
      <c r="H809" t="s">
        <v>5736</v>
      </c>
      <c r="I809">
        <v>923</v>
      </c>
      <c r="J809" t="str">
        <f>VLOOKUP(E809,DSSpieler!A:B,2,FALSE)</f>
        <v>PandoMeteoraX</v>
      </c>
    </row>
    <row r="810" spans="1:10" x14ac:dyDescent="0.25">
      <c r="A810">
        <v>924</v>
      </c>
      <c r="B810" t="s">
        <v>703</v>
      </c>
      <c r="C810">
        <v>505</v>
      </c>
      <c r="D810">
        <v>441</v>
      </c>
      <c r="E810">
        <v>9978194</v>
      </c>
      <c r="F810">
        <v>4971</v>
      </c>
      <c r="G810">
        <v>0</v>
      </c>
      <c r="H810" t="s">
        <v>5737</v>
      </c>
      <c r="I810">
        <v>924</v>
      </c>
      <c r="J810" t="str">
        <f>VLOOKUP(E810,DSSpieler!A:B,2,FALSE)</f>
        <v>Lady Finn</v>
      </c>
    </row>
    <row r="811" spans="1:10" x14ac:dyDescent="0.25">
      <c r="A811">
        <v>925</v>
      </c>
      <c r="B811" t="s">
        <v>531</v>
      </c>
      <c r="C811">
        <v>510</v>
      </c>
      <c r="D811">
        <v>462</v>
      </c>
      <c r="E811">
        <v>0</v>
      </c>
      <c r="F811">
        <v>248</v>
      </c>
      <c r="G811">
        <v>0</v>
      </c>
      <c r="H811" t="s">
        <v>5738</v>
      </c>
      <c r="I811">
        <v>925</v>
      </c>
      <c r="J811" t="e">
        <f>VLOOKUP(E811,DSSpieler!A:B,2,FALSE)</f>
        <v>#N/A</v>
      </c>
    </row>
    <row r="812" spans="1:10" x14ac:dyDescent="0.25">
      <c r="A812">
        <v>926</v>
      </c>
      <c r="B812" t="s">
        <v>546</v>
      </c>
      <c r="C812">
        <v>496</v>
      </c>
      <c r="D812">
        <v>470</v>
      </c>
      <c r="E812">
        <v>10264083</v>
      </c>
      <c r="F812">
        <v>8317</v>
      </c>
      <c r="G812">
        <v>0</v>
      </c>
      <c r="H812" t="s">
        <v>5739</v>
      </c>
      <c r="I812">
        <v>926</v>
      </c>
      <c r="J812" t="str">
        <f>VLOOKUP(E812,DSSpieler!A:B,2,FALSE)</f>
        <v>Bill Gates</v>
      </c>
    </row>
    <row r="813" spans="1:10" x14ac:dyDescent="0.25">
      <c r="A813">
        <v>927</v>
      </c>
      <c r="B813" t="s">
        <v>531</v>
      </c>
      <c r="C813">
        <v>457</v>
      </c>
      <c r="D813">
        <v>541</v>
      </c>
      <c r="E813">
        <v>0</v>
      </c>
      <c r="F813">
        <v>293</v>
      </c>
      <c r="G813">
        <v>0</v>
      </c>
      <c r="H813" t="s">
        <v>5740</v>
      </c>
      <c r="I813">
        <v>927</v>
      </c>
      <c r="J813" t="e">
        <f>VLOOKUP(E813,DSSpieler!A:B,2,FALSE)</f>
        <v>#N/A</v>
      </c>
    </row>
    <row r="814" spans="1:10" x14ac:dyDescent="0.25">
      <c r="A814">
        <v>928</v>
      </c>
      <c r="B814" t="s">
        <v>531</v>
      </c>
      <c r="C814">
        <v>493</v>
      </c>
      <c r="D814">
        <v>478</v>
      </c>
      <c r="E814">
        <v>0</v>
      </c>
      <c r="F814">
        <v>341</v>
      </c>
      <c r="G814">
        <v>0</v>
      </c>
      <c r="H814" t="s">
        <v>5741</v>
      </c>
      <c r="I814">
        <v>928</v>
      </c>
      <c r="J814" t="e">
        <f>VLOOKUP(E814,DSSpieler!A:B,2,FALSE)</f>
        <v>#N/A</v>
      </c>
    </row>
    <row r="815" spans="1:10" x14ac:dyDescent="0.25">
      <c r="A815">
        <v>929</v>
      </c>
      <c r="B815" t="s">
        <v>546</v>
      </c>
      <c r="C815">
        <v>499</v>
      </c>
      <c r="D815">
        <v>472</v>
      </c>
      <c r="E815">
        <v>1576317017</v>
      </c>
      <c r="F815">
        <v>5472</v>
      </c>
      <c r="G815">
        <v>0</v>
      </c>
      <c r="H815" t="s">
        <v>5742</v>
      </c>
      <c r="I815">
        <v>929</v>
      </c>
      <c r="J815" t="str">
        <f>VLOOKUP(E815,DSSpieler!A:B,2,FALSE)</f>
        <v>König xBeggax</v>
      </c>
    </row>
    <row r="816" spans="1:10" x14ac:dyDescent="0.25">
      <c r="A816">
        <v>930</v>
      </c>
      <c r="B816" t="s">
        <v>30870</v>
      </c>
      <c r="C816">
        <v>404</v>
      </c>
      <c r="D816">
        <v>506</v>
      </c>
      <c r="E816">
        <v>1577179388</v>
      </c>
      <c r="F816">
        <v>4876</v>
      </c>
      <c r="G816">
        <v>0</v>
      </c>
      <c r="H816" t="s">
        <v>5743</v>
      </c>
      <c r="I816">
        <v>930</v>
      </c>
      <c r="J816" t="str">
        <f>VLOOKUP(E816,DSSpieler!A:B,2,FALSE)</f>
        <v>Rücken</v>
      </c>
    </row>
    <row r="817" spans="1:10" x14ac:dyDescent="0.25">
      <c r="A817">
        <v>931</v>
      </c>
      <c r="B817" t="s">
        <v>531</v>
      </c>
      <c r="C817">
        <v>494</v>
      </c>
      <c r="D817">
        <v>460</v>
      </c>
      <c r="E817">
        <v>0</v>
      </c>
      <c r="F817">
        <v>216</v>
      </c>
      <c r="G817">
        <v>0</v>
      </c>
      <c r="H817" t="s">
        <v>5744</v>
      </c>
      <c r="I817">
        <v>931</v>
      </c>
      <c r="J817" t="e">
        <f>VLOOKUP(E817,DSSpieler!A:B,2,FALSE)</f>
        <v>#N/A</v>
      </c>
    </row>
    <row r="818" spans="1:10" x14ac:dyDescent="0.25">
      <c r="A818">
        <v>932</v>
      </c>
      <c r="B818" t="s">
        <v>531</v>
      </c>
      <c r="C818">
        <v>443</v>
      </c>
      <c r="D818">
        <v>539</v>
      </c>
      <c r="E818">
        <v>0</v>
      </c>
      <c r="F818">
        <v>291</v>
      </c>
      <c r="G818">
        <v>0</v>
      </c>
      <c r="H818" t="s">
        <v>5745</v>
      </c>
      <c r="I818">
        <v>932</v>
      </c>
      <c r="J818" t="e">
        <f>VLOOKUP(E818,DSSpieler!A:B,2,FALSE)</f>
        <v>#N/A</v>
      </c>
    </row>
    <row r="819" spans="1:10" x14ac:dyDescent="0.25">
      <c r="A819">
        <v>933</v>
      </c>
      <c r="B819" t="s">
        <v>30871</v>
      </c>
      <c r="C819">
        <v>501</v>
      </c>
      <c r="D819">
        <v>452</v>
      </c>
      <c r="E819">
        <v>1576479132</v>
      </c>
      <c r="F819">
        <v>4417</v>
      </c>
      <c r="G819">
        <v>0</v>
      </c>
      <c r="H819" t="s">
        <v>5746</v>
      </c>
      <c r="I819">
        <v>933</v>
      </c>
      <c r="J819" t="str">
        <f>VLOOKUP(E819,DSSpieler!A:B,2,FALSE)</f>
        <v>Dray-of-Gelp</v>
      </c>
    </row>
    <row r="820" spans="1:10" x14ac:dyDescent="0.25">
      <c r="A820">
        <v>934</v>
      </c>
      <c r="B820" t="s">
        <v>30872</v>
      </c>
      <c r="C820">
        <v>500</v>
      </c>
      <c r="D820">
        <v>461</v>
      </c>
      <c r="E820">
        <v>1576690243</v>
      </c>
      <c r="F820">
        <v>4444</v>
      </c>
      <c r="G820">
        <v>0</v>
      </c>
      <c r="H820" t="s">
        <v>5747</v>
      </c>
      <c r="I820">
        <v>934</v>
      </c>
      <c r="J820" t="str">
        <f>VLOOKUP(E820,DSSpieler!A:B,2,FALSE)</f>
        <v>Faja</v>
      </c>
    </row>
    <row r="821" spans="1:10" x14ac:dyDescent="0.25">
      <c r="A821">
        <v>935</v>
      </c>
      <c r="B821" t="s">
        <v>30873</v>
      </c>
      <c r="C821">
        <v>508</v>
      </c>
      <c r="D821">
        <v>444</v>
      </c>
      <c r="E821">
        <v>3376139</v>
      </c>
      <c r="F821">
        <v>6521</v>
      </c>
      <c r="G821">
        <v>0</v>
      </c>
      <c r="H821" t="s">
        <v>5748</v>
      </c>
      <c r="I821">
        <v>935</v>
      </c>
      <c r="J821" t="str">
        <f>VLOOKUP(E821,DSSpieler!A:B,2,FALSE)</f>
        <v>ufoman444</v>
      </c>
    </row>
    <row r="822" spans="1:10" x14ac:dyDescent="0.25">
      <c r="A822">
        <v>936</v>
      </c>
      <c r="B822" t="s">
        <v>667</v>
      </c>
      <c r="C822">
        <v>496</v>
      </c>
      <c r="D822">
        <v>455</v>
      </c>
      <c r="E822">
        <v>1576764081</v>
      </c>
      <c r="F822">
        <v>4132</v>
      </c>
      <c r="G822">
        <v>0</v>
      </c>
      <c r="H822" t="s">
        <v>5749</v>
      </c>
      <c r="I822">
        <v>936</v>
      </c>
      <c r="J822" t="str">
        <f>VLOOKUP(E822,DSSpieler!A:B,2,FALSE)</f>
        <v>Cedric89</v>
      </c>
    </row>
    <row r="823" spans="1:10" x14ac:dyDescent="0.25">
      <c r="A823">
        <v>937</v>
      </c>
      <c r="B823" t="s">
        <v>531</v>
      </c>
      <c r="C823">
        <v>519</v>
      </c>
      <c r="D823">
        <v>449</v>
      </c>
      <c r="E823">
        <v>0</v>
      </c>
      <c r="F823">
        <v>272</v>
      </c>
      <c r="G823">
        <v>0</v>
      </c>
      <c r="H823" t="s">
        <v>5750</v>
      </c>
      <c r="I823">
        <v>937</v>
      </c>
      <c r="J823" t="e">
        <f>VLOOKUP(E823,DSSpieler!A:B,2,FALSE)</f>
        <v>#N/A</v>
      </c>
    </row>
    <row r="824" spans="1:10" x14ac:dyDescent="0.25">
      <c r="A824">
        <v>938</v>
      </c>
      <c r="B824" t="s">
        <v>546</v>
      </c>
      <c r="C824">
        <v>508</v>
      </c>
      <c r="D824">
        <v>470</v>
      </c>
      <c r="E824">
        <v>1576920052</v>
      </c>
      <c r="F824">
        <v>4698</v>
      </c>
      <c r="G824">
        <v>0</v>
      </c>
      <c r="H824" t="s">
        <v>5751</v>
      </c>
      <c r="I824">
        <v>938</v>
      </c>
      <c r="J824" t="str">
        <f>VLOOKUP(E824,DSSpieler!A:B,2,FALSE)</f>
        <v>Exodos93</v>
      </c>
    </row>
    <row r="825" spans="1:10" x14ac:dyDescent="0.25">
      <c r="A825">
        <v>939</v>
      </c>
      <c r="B825" t="s">
        <v>30874</v>
      </c>
      <c r="C825">
        <v>518</v>
      </c>
      <c r="D825">
        <v>542</v>
      </c>
      <c r="E825">
        <v>1577175889</v>
      </c>
      <c r="F825">
        <v>728</v>
      </c>
      <c r="G825">
        <v>0</v>
      </c>
      <c r="H825" t="s">
        <v>5752</v>
      </c>
      <c r="I825">
        <v>939</v>
      </c>
      <c r="J825" t="str">
        <f>VLOOKUP(E825,DSSpieler!A:B,2,FALSE)</f>
        <v>Donut</v>
      </c>
    </row>
    <row r="826" spans="1:10" x14ac:dyDescent="0.25">
      <c r="A826">
        <v>940</v>
      </c>
      <c r="B826" t="s">
        <v>30875</v>
      </c>
      <c r="C826">
        <v>515</v>
      </c>
      <c r="D826">
        <v>445</v>
      </c>
      <c r="E826">
        <v>1576962937</v>
      </c>
      <c r="F826">
        <v>6575</v>
      </c>
      <c r="G826">
        <v>0</v>
      </c>
      <c r="H826" t="s">
        <v>5753</v>
      </c>
      <c r="I826">
        <v>940</v>
      </c>
      <c r="J826" t="str">
        <f>VLOOKUP(E826,DSSpieler!A:B,2,FALSE)</f>
        <v>huberm88</v>
      </c>
    </row>
    <row r="827" spans="1:10" x14ac:dyDescent="0.25">
      <c r="A827">
        <v>941</v>
      </c>
      <c r="B827" t="s">
        <v>546</v>
      </c>
      <c r="C827">
        <v>513</v>
      </c>
      <c r="D827">
        <v>441</v>
      </c>
      <c r="E827">
        <v>1577195524</v>
      </c>
      <c r="F827">
        <v>4913</v>
      </c>
      <c r="G827">
        <v>0</v>
      </c>
      <c r="H827" t="s">
        <v>5754</v>
      </c>
      <c r="I827">
        <v>941</v>
      </c>
      <c r="J827" t="str">
        <f>VLOOKUP(E827,DSSpieler!A:B,2,FALSE)</f>
        <v>grimreaper89</v>
      </c>
    </row>
    <row r="828" spans="1:10" x14ac:dyDescent="0.25">
      <c r="A828">
        <v>942</v>
      </c>
      <c r="B828" t="s">
        <v>30876</v>
      </c>
      <c r="C828">
        <v>502</v>
      </c>
      <c r="D828">
        <v>457</v>
      </c>
      <c r="E828">
        <v>1577197148</v>
      </c>
      <c r="F828">
        <v>4193</v>
      </c>
      <c r="G828">
        <v>0</v>
      </c>
      <c r="H828" t="s">
        <v>5755</v>
      </c>
      <c r="I828">
        <v>942</v>
      </c>
      <c r="J828" t="str">
        <f>VLOOKUP(E828,DSSpieler!A:B,2,FALSE)</f>
        <v>feednaz</v>
      </c>
    </row>
    <row r="829" spans="1:10" x14ac:dyDescent="0.25">
      <c r="A829">
        <v>943</v>
      </c>
      <c r="B829" t="s">
        <v>704</v>
      </c>
      <c r="C829">
        <v>501</v>
      </c>
      <c r="D829">
        <v>462</v>
      </c>
      <c r="E829">
        <v>1577197148</v>
      </c>
      <c r="F829">
        <v>5162</v>
      </c>
      <c r="G829">
        <v>0</v>
      </c>
      <c r="H829" t="s">
        <v>5756</v>
      </c>
      <c r="I829">
        <v>943</v>
      </c>
      <c r="J829" t="str">
        <f>VLOOKUP(E829,DSSpieler!A:B,2,FALSE)</f>
        <v>feednaz</v>
      </c>
    </row>
    <row r="830" spans="1:10" x14ac:dyDescent="0.25">
      <c r="A830">
        <v>944</v>
      </c>
      <c r="B830" t="s">
        <v>546</v>
      </c>
      <c r="C830">
        <v>506</v>
      </c>
      <c r="D830">
        <v>468</v>
      </c>
      <c r="E830">
        <v>1577197597</v>
      </c>
      <c r="F830">
        <v>6266</v>
      </c>
      <c r="G830">
        <v>0</v>
      </c>
      <c r="H830" t="s">
        <v>5757</v>
      </c>
      <c r="I830">
        <v>944</v>
      </c>
      <c r="J830" t="str">
        <f>VLOOKUP(E830,DSSpieler!A:B,2,FALSE)</f>
        <v>Jimi30</v>
      </c>
    </row>
    <row r="831" spans="1:10" x14ac:dyDescent="0.25">
      <c r="A831">
        <v>945</v>
      </c>
      <c r="B831" t="s">
        <v>531</v>
      </c>
      <c r="C831">
        <v>447</v>
      </c>
      <c r="D831">
        <v>422</v>
      </c>
      <c r="E831">
        <v>0</v>
      </c>
      <c r="F831">
        <v>477</v>
      </c>
      <c r="G831">
        <v>0</v>
      </c>
      <c r="H831" t="s">
        <v>5758</v>
      </c>
      <c r="I831">
        <v>945</v>
      </c>
      <c r="J831" t="e">
        <f>VLOOKUP(E831,DSSpieler!A:B,2,FALSE)</f>
        <v>#N/A</v>
      </c>
    </row>
    <row r="832" spans="1:10" x14ac:dyDescent="0.25">
      <c r="A832">
        <v>946</v>
      </c>
      <c r="B832" t="s">
        <v>30877</v>
      </c>
      <c r="C832">
        <v>435</v>
      </c>
      <c r="D832">
        <v>427</v>
      </c>
      <c r="E832">
        <v>1576973298</v>
      </c>
      <c r="F832">
        <v>7566</v>
      </c>
      <c r="G832">
        <v>0</v>
      </c>
      <c r="H832" t="s">
        <v>5759</v>
      </c>
      <c r="I832">
        <v>946</v>
      </c>
      <c r="J832" t="str">
        <f>VLOOKUP(E832,DSSpieler!A:B,2,FALSE)</f>
        <v>pickman969</v>
      </c>
    </row>
    <row r="833" spans="1:10" x14ac:dyDescent="0.25">
      <c r="A833">
        <v>947</v>
      </c>
      <c r="B833" t="s">
        <v>30878</v>
      </c>
      <c r="C833">
        <v>436</v>
      </c>
      <c r="D833">
        <v>428</v>
      </c>
      <c r="E833">
        <v>1577177525</v>
      </c>
      <c r="F833">
        <v>7009</v>
      </c>
      <c r="G833">
        <v>0</v>
      </c>
      <c r="H833" t="s">
        <v>5760</v>
      </c>
      <c r="I833">
        <v>947</v>
      </c>
      <c r="J833" t="str">
        <f>VLOOKUP(E833,DSSpieler!A:B,2,FALSE)</f>
        <v>Nightmarry</v>
      </c>
    </row>
    <row r="834" spans="1:10" x14ac:dyDescent="0.25">
      <c r="A834">
        <v>948</v>
      </c>
      <c r="B834" t="s">
        <v>30879</v>
      </c>
      <c r="C834">
        <v>439</v>
      </c>
      <c r="D834">
        <v>426</v>
      </c>
      <c r="E834">
        <v>1577192950</v>
      </c>
      <c r="F834">
        <v>6682</v>
      </c>
      <c r="G834">
        <v>0</v>
      </c>
      <c r="H834" t="s">
        <v>5761</v>
      </c>
      <c r="I834">
        <v>948</v>
      </c>
      <c r="J834" t="str">
        <f>VLOOKUP(E834,DSSpieler!A:B,2,FALSE)</f>
        <v>Dr4m4</v>
      </c>
    </row>
    <row r="835" spans="1:10" x14ac:dyDescent="0.25">
      <c r="A835">
        <v>949</v>
      </c>
      <c r="B835" t="s">
        <v>30880</v>
      </c>
      <c r="C835">
        <v>437</v>
      </c>
      <c r="D835">
        <v>432</v>
      </c>
      <c r="E835">
        <v>1577181643</v>
      </c>
      <c r="F835">
        <v>4229</v>
      </c>
      <c r="G835">
        <v>0</v>
      </c>
      <c r="H835" t="s">
        <v>5762</v>
      </c>
      <c r="I835">
        <v>949</v>
      </c>
      <c r="J835" t="str">
        <f>VLOOKUP(E835,DSSpieler!A:B,2,FALSE)</f>
        <v>MadMaxx</v>
      </c>
    </row>
    <row r="836" spans="1:10" x14ac:dyDescent="0.25">
      <c r="A836">
        <v>950</v>
      </c>
      <c r="B836" t="s">
        <v>531</v>
      </c>
      <c r="C836">
        <v>527</v>
      </c>
      <c r="D836">
        <v>571</v>
      </c>
      <c r="E836">
        <v>0</v>
      </c>
      <c r="F836">
        <v>353</v>
      </c>
      <c r="G836">
        <v>0</v>
      </c>
      <c r="H836" t="s">
        <v>5763</v>
      </c>
      <c r="I836">
        <v>950</v>
      </c>
      <c r="J836" t="e">
        <f>VLOOKUP(E836,DSSpieler!A:B,2,FALSE)</f>
        <v>#N/A</v>
      </c>
    </row>
    <row r="837" spans="1:10" x14ac:dyDescent="0.25">
      <c r="A837">
        <v>951</v>
      </c>
      <c r="B837" t="s">
        <v>30881</v>
      </c>
      <c r="C837">
        <v>521</v>
      </c>
      <c r="D837">
        <v>524</v>
      </c>
      <c r="E837">
        <v>1213503</v>
      </c>
      <c r="F837">
        <v>4029</v>
      </c>
      <c r="G837">
        <v>0</v>
      </c>
      <c r="H837" t="s">
        <v>5764</v>
      </c>
      <c r="I837">
        <v>951</v>
      </c>
      <c r="J837" t="str">
        <f>VLOOKUP(E837,DSSpieler!A:B,2,FALSE)</f>
        <v>Lord Reagon</v>
      </c>
    </row>
    <row r="838" spans="1:10" x14ac:dyDescent="0.25">
      <c r="A838">
        <v>952</v>
      </c>
      <c r="B838" t="s">
        <v>705</v>
      </c>
      <c r="C838">
        <v>520</v>
      </c>
      <c r="D838">
        <v>526</v>
      </c>
      <c r="E838">
        <v>1577138038</v>
      </c>
      <c r="F838">
        <v>5484</v>
      </c>
      <c r="G838">
        <v>0</v>
      </c>
      <c r="H838" t="s">
        <v>5765</v>
      </c>
      <c r="I838">
        <v>952</v>
      </c>
      <c r="J838" t="str">
        <f>VLOOKUP(E838,DSSpieler!A:B,2,FALSE)</f>
        <v>XxXSquadXxX</v>
      </c>
    </row>
    <row r="839" spans="1:10" x14ac:dyDescent="0.25">
      <c r="A839">
        <v>954</v>
      </c>
      <c r="B839" t="s">
        <v>30882</v>
      </c>
      <c r="C839">
        <v>605</v>
      </c>
      <c r="D839">
        <v>475</v>
      </c>
      <c r="E839">
        <v>72835</v>
      </c>
      <c r="F839">
        <v>4937</v>
      </c>
      <c r="G839">
        <v>0</v>
      </c>
      <c r="H839" t="s">
        <v>5766</v>
      </c>
      <c r="I839">
        <v>954</v>
      </c>
      <c r="J839" t="str">
        <f>VLOOKUP(E839,DSSpieler!A:B,2,FALSE)</f>
        <v>kasperkarl</v>
      </c>
    </row>
    <row r="840" spans="1:10" x14ac:dyDescent="0.25">
      <c r="A840">
        <v>955</v>
      </c>
      <c r="B840">
        <v>4</v>
      </c>
      <c r="C840">
        <v>511</v>
      </c>
      <c r="D840">
        <v>531</v>
      </c>
      <c r="E840">
        <v>1575880662</v>
      </c>
      <c r="F840">
        <v>2376</v>
      </c>
      <c r="G840">
        <v>0</v>
      </c>
      <c r="H840" t="s">
        <v>5767</v>
      </c>
      <c r="I840">
        <v>955</v>
      </c>
      <c r="J840" t="str">
        <f>VLOOKUP(E840,DSSpieler!A:B,2,FALSE)</f>
        <v>Nosferas</v>
      </c>
    </row>
    <row r="841" spans="1:10" x14ac:dyDescent="0.25">
      <c r="A841">
        <v>956</v>
      </c>
      <c r="B841" t="s">
        <v>30883</v>
      </c>
      <c r="C841">
        <v>518</v>
      </c>
      <c r="D841">
        <v>513</v>
      </c>
      <c r="E841">
        <v>1577138889</v>
      </c>
      <c r="F841">
        <v>3542</v>
      </c>
      <c r="G841">
        <v>0</v>
      </c>
      <c r="H841" t="s">
        <v>5768</v>
      </c>
      <c r="I841">
        <v>956</v>
      </c>
      <c r="J841" t="str">
        <f>VLOOKUP(E841,DSSpieler!A:B,2,FALSE)</f>
        <v>XrelentlessX</v>
      </c>
    </row>
    <row r="842" spans="1:10" x14ac:dyDescent="0.25">
      <c r="A842">
        <v>957</v>
      </c>
      <c r="B842" t="s">
        <v>706</v>
      </c>
      <c r="C842">
        <v>513</v>
      </c>
      <c r="D842">
        <v>517</v>
      </c>
      <c r="E842">
        <v>8945393</v>
      </c>
      <c r="F842">
        <v>3457</v>
      </c>
      <c r="G842">
        <v>0</v>
      </c>
      <c r="H842" t="s">
        <v>5769</v>
      </c>
      <c r="I842">
        <v>957</v>
      </c>
      <c r="J842" t="str">
        <f>VLOOKUP(E842,DSSpieler!A:B,2,FALSE)</f>
        <v>Maus-15</v>
      </c>
    </row>
    <row r="843" spans="1:10" x14ac:dyDescent="0.25">
      <c r="A843">
        <v>958</v>
      </c>
      <c r="B843" t="s">
        <v>531</v>
      </c>
      <c r="C843">
        <v>514</v>
      </c>
      <c r="D843">
        <v>534</v>
      </c>
      <c r="E843">
        <v>0</v>
      </c>
      <c r="F843">
        <v>410</v>
      </c>
      <c r="G843">
        <v>0</v>
      </c>
      <c r="H843" t="s">
        <v>5770</v>
      </c>
      <c r="I843">
        <v>958</v>
      </c>
      <c r="J843" t="e">
        <f>VLOOKUP(E843,DSSpieler!A:B,2,FALSE)</f>
        <v>#N/A</v>
      </c>
    </row>
    <row r="844" spans="1:10" x14ac:dyDescent="0.25">
      <c r="A844">
        <v>959</v>
      </c>
      <c r="B844">
        <v>4</v>
      </c>
      <c r="C844">
        <v>513</v>
      </c>
      <c r="D844">
        <v>528</v>
      </c>
      <c r="E844">
        <v>10153328</v>
      </c>
      <c r="F844">
        <v>5123</v>
      </c>
      <c r="G844">
        <v>0</v>
      </c>
      <c r="H844" t="s">
        <v>5771</v>
      </c>
      <c r="I844">
        <v>959</v>
      </c>
      <c r="J844" t="str">
        <f>VLOOKUP(E844,DSSpieler!A:B,2,FALSE)</f>
        <v>ChePrinzessin</v>
      </c>
    </row>
    <row r="845" spans="1:10" x14ac:dyDescent="0.25">
      <c r="A845">
        <v>960</v>
      </c>
      <c r="B845">
        <v>1</v>
      </c>
      <c r="C845">
        <v>523</v>
      </c>
      <c r="D845">
        <v>536</v>
      </c>
      <c r="E845">
        <v>9853358</v>
      </c>
      <c r="F845">
        <v>5214</v>
      </c>
      <c r="G845">
        <v>0</v>
      </c>
      <c r="H845" t="s">
        <v>5772</v>
      </c>
      <c r="I845">
        <v>960</v>
      </c>
      <c r="J845" t="str">
        <f>VLOOKUP(E845,DSSpieler!A:B,2,FALSE)</f>
        <v>carineloveya</v>
      </c>
    </row>
    <row r="846" spans="1:10" x14ac:dyDescent="0.25">
      <c r="A846">
        <v>961</v>
      </c>
      <c r="B846" t="s">
        <v>531</v>
      </c>
      <c r="C846">
        <v>468</v>
      </c>
      <c r="D846">
        <v>544</v>
      </c>
      <c r="E846">
        <v>0</v>
      </c>
      <c r="F846">
        <v>406</v>
      </c>
      <c r="G846">
        <v>0</v>
      </c>
      <c r="H846" t="s">
        <v>5773</v>
      </c>
      <c r="I846">
        <v>961</v>
      </c>
      <c r="J846" t="e">
        <f>VLOOKUP(E846,DSSpieler!A:B,2,FALSE)</f>
        <v>#N/A</v>
      </c>
    </row>
    <row r="847" spans="1:10" x14ac:dyDescent="0.25">
      <c r="A847">
        <v>962</v>
      </c>
      <c r="B847" t="s">
        <v>30884</v>
      </c>
      <c r="C847">
        <v>504</v>
      </c>
      <c r="D847">
        <v>521</v>
      </c>
      <c r="E847">
        <v>9887827</v>
      </c>
      <c r="F847">
        <v>7051</v>
      </c>
      <c r="G847">
        <v>0</v>
      </c>
      <c r="H847" t="s">
        <v>5774</v>
      </c>
      <c r="I847">
        <v>962</v>
      </c>
      <c r="J847" t="str">
        <f>VLOOKUP(E847,DSSpieler!A:B,2,FALSE)</f>
        <v>SonGekko</v>
      </c>
    </row>
    <row r="848" spans="1:10" x14ac:dyDescent="0.25">
      <c r="A848">
        <v>963</v>
      </c>
      <c r="B848" t="s">
        <v>531</v>
      </c>
      <c r="C848">
        <v>523</v>
      </c>
      <c r="D848">
        <v>569</v>
      </c>
      <c r="E848">
        <v>0</v>
      </c>
      <c r="F848">
        <v>434</v>
      </c>
      <c r="G848">
        <v>0</v>
      </c>
      <c r="H848" t="s">
        <v>5775</v>
      </c>
      <c r="I848">
        <v>963</v>
      </c>
      <c r="J848" t="e">
        <f>VLOOKUP(E848,DSSpieler!A:B,2,FALSE)</f>
        <v>#N/A</v>
      </c>
    </row>
    <row r="849" spans="1:10" x14ac:dyDescent="0.25">
      <c r="A849">
        <v>964</v>
      </c>
      <c r="B849" t="s">
        <v>30885</v>
      </c>
      <c r="C849">
        <v>516</v>
      </c>
      <c r="D849">
        <v>532</v>
      </c>
      <c r="E849">
        <v>9923874</v>
      </c>
      <c r="F849">
        <v>5520</v>
      </c>
      <c r="G849">
        <v>0</v>
      </c>
      <c r="H849" t="s">
        <v>5776</v>
      </c>
      <c r="I849">
        <v>964</v>
      </c>
      <c r="J849" t="str">
        <f>VLOOKUP(E849,DSSpieler!A:B,2,FALSE)</f>
        <v>Cr1meZ</v>
      </c>
    </row>
    <row r="850" spans="1:10" x14ac:dyDescent="0.25">
      <c r="A850">
        <v>965</v>
      </c>
      <c r="B850" t="s">
        <v>30886</v>
      </c>
      <c r="C850">
        <v>531</v>
      </c>
      <c r="D850">
        <v>536</v>
      </c>
      <c r="E850">
        <v>1577077214</v>
      </c>
      <c r="F850">
        <v>4227</v>
      </c>
      <c r="G850">
        <v>0</v>
      </c>
      <c r="H850" t="s">
        <v>5777</v>
      </c>
      <c r="I850">
        <v>965</v>
      </c>
      <c r="J850" t="str">
        <f>VLOOKUP(E850,DSSpieler!A:B,2,FALSE)</f>
        <v>JoEck55</v>
      </c>
    </row>
    <row r="851" spans="1:10" x14ac:dyDescent="0.25">
      <c r="A851">
        <v>966</v>
      </c>
      <c r="B851" t="s">
        <v>30887</v>
      </c>
      <c r="C851">
        <v>506</v>
      </c>
      <c r="D851">
        <v>529</v>
      </c>
      <c r="E851">
        <v>1577192797</v>
      </c>
      <c r="F851">
        <v>6638</v>
      </c>
      <c r="G851">
        <v>0</v>
      </c>
      <c r="H851" t="s">
        <v>5778</v>
      </c>
      <c r="I851">
        <v>966</v>
      </c>
      <c r="J851" t="str">
        <f>VLOOKUP(E851,DSSpieler!A:B,2,FALSE)</f>
        <v>Screaper90</v>
      </c>
    </row>
    <row r="852" spans="1:10" x14ac:dyDescent="0.25">
      <c r="A852">
        <v>967</v>
      </c>
      <c r="B852" t="s">
        <v>30888</v>
      </c>
      <c r="C852">
        <v>521</v>
      </c>
      <c r="D852">
        <v>540</v>
      </c>
      <c r="E852">
        <v>10158455</v>
      </c>
      <c r="F852">
        <v>5904</v>
      </c>
      <c r="G852">
        <v>0</v>
      </c>
      <c r="H852" t="s">
        <v>5779</v>
      </c>
      <c r="I852">
        <v>967</v>
      </c>
      <c r="J852" t="str">
        <f>VLOOKUP(E852,DSSpieler!A:B,2,FALSE)</f>
        <v>xJeeff</v>
      </c>
    </row>
    <row r="853" spans="1:10" x14ac:dyDescent="0.25">
      <c r="A853">
        <v>968</v>
      </c>
      <c r="B853" t="s">
        <v>30889</v>
      </c>
      <c r="C853">
        <v>530</v>
      </c>
      <c r="D853">
        <v>528</v>
      </c>
      <c r="E853">
        <v>1577197246</v>
      </c>
      <c r="F853">
        <v>4429</v>
      </c>
      <c r="G853">
        <v>0</v>
      </c>
      <c r="H853" t="s">
        <v>5780</v>
      </c>
      <c r="I853">
        <v>968</v>
      </c>
      <c r="J853" t="str">
        <f>VLOOKUP(E853,DSSpieler!A:B,2,FALSE)</f>
        <v>JoeFromSchool</v>
      </c>
    </row>
    <row r="854" spans="1:10" x14ac:dyDescent="0.25">
      <c r="A854">
        <v>969</v>
      </c>
      <c r="B854" t="s">
        <v>30890</v>
      </c>
      <c r="C854">
        <v>516</v>
      </c>
      <c r="D854">
        <v>530</v>
      </c>
      <c r="E854">
        <v>8806700</v>
      </c>
      <c r="F854">
        <v>4518</v>
      </c>
      <c r="G854">
        <v>0</v>
      </c>
      <c r="H854" t="s">
        <v>5781</v>
      </c>
      <c r="I854">
        <v>969</v>
      </c>
      <c r="J854" t="str">
        <f>VLOOKUP(E854,DSSpieler!A:B,2,FALSE)</f>
        <v>Eworks</v>
      </c>
    </row>
    <row r="855" spans="1:10" x14ac:dyDescent="0.25">
      <c r="A855">
        <v>970</v>
      </c>
      <c r="B855">
        <v>4</v>
      </c>
      <c r="C855">
        <v>517</v>
      </c>
      <c r="D855">
        <v>527</v>
      </c>
      <c r="E855">
        <v>689047</v>
      </c>
      <c r="F855">
        <v>4350</v>
      </c>
      <c r="G855">
        <v>0</v>
      </c>
      <c r="H855" t="s">
        <v>5782</v>
      </c>
      <c r="I855">
        <v>970</v>
      </c>
      <c r="J855" t="str">
        <f>VLOOKUP(E855,DSSpieler!A:B,2,FALSE)</f>
        <v>king of gilching</v>
      </c>
    </row>
    <row r="856" spans="1:10" x14ac:dyDescent="0.25">
      <c r="A856">
        <v>971</v>
      </c>
      <c r="B856" t="s">
        <v>30891</v>
      </c>
      <c r="C856">
        <v>513</v>
      </c>
      <c r="D856">
        <v>533</v>
      </c>
      <c r="E856">
        <v>1577049253</v>
      </c>
      <c r="F856">
        <v>5679</v>
      </c>
      <c r="G856">
        <v>0</v>
      </c>
      <c r="H856" t="s">
        <v>5783</v>
      </c>
      <c r="I856">
        <v>971</v>
      </c>
      <c r="J856" t="str">
        <f>VLOOKUP(E856,DSSpieler!A:B,2,FALSE)</f>
        <v>freshfield</v>
      </c>
    </row>
    <row r="857" spans="1:10" x14ac:dyDescent="0.25">
      <c r="A857">
        <v>972</v>
      </c>
      <c r="B857" t="s">
        <v>707</v>
      </c>
      <c r="C857">
        <v>524</v>
      </c>
      <c r="D857">
        <v>523</v>
      </c>
      <c r="E857">
        <v>1577138038</v>
      </c>
      <c r="F857">
        <v>5827</v>
      </c>
      <c r="G857">
        <v>0</v>
      </c>
      <c r="H857" t="s">
        <v>5784</v>
      </c>
      <c r="I857">
        <v>972</v>
      </c>
      <c r="J857" t="str">
        <f>VLOOKUP(E857,DSSpieler!A:B,2,FALSE)</f>
        <v>XxXSquadXxX</v>
      </c>
    </row>
    <row r="858" spans="1:10" x14ac:dyDescent="0.25">
      <c r="A858">
        <v>973</v>
      </c>
      <c r="B858" t="s">
        <v>531</v>
      </c>
      <c r="C858">
        <v>523</v>
      </c>
      <c r="D858">
        <v>512</v>
      </c>
      <c r="E858">
        <v>0</v>
      </c>
      <c r="F858">
        <v>849</v>
      </c>
      <c r="G858">
        <v>0</v>
      </c>
      <c r="H858" t="s">
        <v>5785</v>
      </c>
      <c r="I858">
        <v>973</v>
      </c>
      <c r="J858" t="e">
        <f>VLOOKUP(E858,DSSpieler!A:B,2,FALSE)</f>
        <v>#N/A</v>
      </c>
    </row>
    <row r="859" spans="1:10" x14ac:dyDescent="0.25">
      <c r="A859">
        <v>974</v>
      </c>
      <c r="B859" t="s">
        <v>30892</v>
      </c>
      <c r="C859">
        <v>517</v>
      </c>
      <c r="D859">
        <v>522</v>
      </c>
      <c r="E859">
        <v>1576707194</v>
      </c>
      <c r="F859">
        <v>2320</v>
      </c>
      <c r="G859">
        <v>0</v>
      </c>
      <c r="H859" t="s">
        <v>5786</v>
      </c>
      <c r="I859">
        <v>974</v>
      </c>
      <c r="J859" t="str">
        <f>VLOOKUP(E859,DSSpieler!A:B,2,FALSE)</f>
        <v>Sorpmeister</v>
      </c>
    </row>
    <row r="860" spans="1:10" x14ac:dyDescent="0.25">
      <c r="A860">
        <v>975</v>
      </c>
      <c r="B860" t="s">
        <v>30893</v>
      </c>
      <c r="C860">
        <v>515</v>
      </c>
      <c r="D860">
        <v>550</v>
      </c>
      <c r="E860">
        <v>1577175352</v>
      </c>
      <c r="F860">
        <v>4813</v>
      </c>
      <c r="G860">
        <v>0</v>
      </c>
      <c r="H860" t="s">
        <v>5787</v>
      </c>
      <c r="I860">
        <v>975</v>
      </c>
      <c r="J860" t="str">
        <f>VLOOKUP(E860,DSSpieler!A:B,2,FALSE)</f>
        <v>L4nz3l0b3r</v>
      </c>
    </row>
    <row r="861" spans="1:10" x14ac:dyDescent="0.25">
      <c r="A861">
        <v>976</v>
      </c>
      <c r="B861" t="s">
        <v>30894</v>
      </c>
      <c r="C861">
        <v>526</v>
      </c>
      <c r="D861">
        <v>538</v>
      </c>
      <c r="E861">
        <v>1577197187</v>
      </c>
      <c r="F861">
        <v>4997</v>
      </c>
      <c r="G861">
        <v>0</v>
      </c>
      <c r="H861" t="s">
        <v>5788</v>
      </c>
      <c r="I861">
        <v>976</v>
      </c>
      <c r="J861" t="str">
        <f>VLOOKUP(E861,DSSpieler!A:B,2,FALSE)</f>
        <v>Murasaki-kun</v>
      </c>
    </row>
    <row r="862" spans="1:10" x14ac:dyDescent="0.25">
      <c r="A862">
        <v>977</v>
      </c>
      <c r="B862" t="s">
        <v>30895</v>
      </c>
      <c r="C862">
        <v>519</v>
      </c>
      <c r="D862">
        <v>531</v>
      </c>
      <c r="E862">
        <v>10158455</v>
      </c>
      <c r="F862">
        <v>4869</v>
      </c>
      <c r="G862">
        <v>0</v>
      </c>
      <c r="H862" t="s">
        <v>5789</v>
      </c>
      <c r="I862">
        <v>977</v>
      </c>
      <c r="J862" t="str">
        <f>VLOOKUP(E862,DSSpieler!A:B,2,FALSE)</f>
        <v>xJeeff</v>
      </c>
    </row>
    <row r="863" spans="1:10" x14ac:dyDescent="0.25">
      <c r="A863">
        <v>978</v>
      </c>
      <c r="B863" t="s">
        <v>30896</v>
      </c>
      <c r="C863">
        <v>513</v>
      </c>
      <c r="D863">
        <v>544</v>
      </c>
      <c r="E863">
        <v>1577197361</v>
      </c>
      <c r="F863">
        <v>5098</v>
      </c>
      <c r="G863">
        <v>0</v>
      </c>
      <c r="H863" t="s">
        <v>5790</v>
      </c>
      <c r="I863">
        <v>978</v>
      </c>
      <c r="J863" t="str">
        <f>VLOOKUP(E863,DSSpieler!A:B,2,FALSE)</f>
        <v>Magic Ulban</v>
      </c>
    </row>
    <row r="864" spans="1:10" x14ac:dyDescent="0.25">
      <c r="A864">
        <v>979</v>
      </c>
      <c r="B864" t="s">
        <v>30897</v>
      </c>
      <c r="C864">
        <v>524</v>
      </c>
      <c r="D864">
        <v>527</v>
      </c>
      <c r="E864">
        <v>1577182690</v>
      </c>
      <c r="F864">
        <v>7613</v>
      </c>
      <c r="G864">
        <v>0</v>
      </c>
      <c r="H864" t="s">
        <v>5791</v>
      </c>
      <c r="I864">
        <v>979</v>
      </c>
      <c r="J864" t="str">
        <f>VLOOKUP(E864,DSSpieler!A:B,2,FALSE)</f>
        <v>xRayQore</v>
      </c>
    </row>
    <row r="865" spans="1:10" x14ac:dyDescent="0.25">
      <c r="A865">
        <v>980</v>
      </c>
      <c r="B865" t="s">
        <v>708</v>
      </c>
      <c r="C865">
        <v>507</v>
      </c>
      <c r="D865">
        <v>531</v>
      </c>
      <c r="E865">
        <v>1577194216</v>
      </c>
      <c r="F865">
        <v>3220</v>
      </c>
      <c r="G865">
        <v>0</v>
      </c>
      <c r="H865" t="s">
        <v>5792</v>
      </c>
      <c r="I865">
        <v>980</v>
      </c>
      <c r="J865" t="str">
        <f>VLOOKUP(E865,DSSpieler!A:B,2,FALSE)</f>
        <v>EarlyEva for real</v>
      </c>
    </row>
    <row r="866" spans="1:10" x14ac:dyDescent="0.25">
      <c r="A866">
        <v>981</v>
      </c>
      <c r="B866" t="s">
        <v>30898</v>
      </c>
      <c r="C866">
        <v>507</v>
      </c>
      <c r="D866">
        <v>540</v>
      </c>
      <c r="E866">
        <v>1577191925</v>
      </c>
      <c r="F866">
        <v>4501</v>
      </c>
      <c r="G866">
        <v>0</v>
      </c>
      <c r="H866" t="s">
        <v>5793</v>
      </c>
      <c r="I866">
        <v>981</v>
      </c>
      <c r="J866" t="str">
        <f>VLOOKUP(E866,DSSpieler!A:B,2,FALSE)</f>
        <v>Schreck</v>
      </c>
    </row>
    <row r="867" spans="1:10" x14ac:dyDescent="0.25">
      <c r="A867">
        <v>982</v>
      </c>
      <c r="B867">
        <v>7</v>
      </c>
      <c r="C867">
        <v>517</v>
      </c>
      <c r="D867">
        <v>523</v>
      </c>
      <c r="E867">
        <v>10153328</v>
      </c>
      <c r="F867">
        <v>4780</v>
      </c>
      <c r="G867">
        <v>0</v>
      </c>
      <c r="H867" t="s">
        <v>5794</v>
      </c>
      <c r="I867">
        <v>982</v>
      </c>
      <c r="J867" t="str">
        <f>VLOOKUP(E867,DSSpieler!A:B,2,FALSE)</f>
        <v>ChePrinzessin</v>
      </c>
    </row>
    <row r="868" spans="1:10" x14ac:dyDescent="0.25">
      <c r="A868">
        <v>983</v>
      </c>
      <c r="B868" t="s">
        <v>531</v>
      </c>
      <c r="C868">
        <v>458</v>
      </c>
      <c r="D868">
        <v>551</v>
      </c>
      <c r="E868">
        <v>0</v>
      </c>
      <c r="F868">
        <v>445</v>
      </c>
      <c r="G868">
        <v>0</v>
      </c>
      <c r="H868" t="s">
        <v>5795</v>
      </c>
      <c r="I868">
        <v>983</v>
      </c>
      <c r="J868" t="e">
        <f>VLOOKUP(E868,DSSpieler!A:B,2,FALSE)</f>
        <v>#N/A</v>
      </c>
    </row>
    <row r="869" spans="1:10" x14ac:dyDescent="0.25">
      <c r="A869">
        <v>984</v>
      </c>
      <c r="B869">
        <v>2</v>
      </c>
      <c r="C869">
        <v>514</v>
      </c>
      <c r="D869">
        <v>535</v>
      </c>
      <c r="E869">
        <v>1575880662</v>
      </c>
      <c r="F869">
        <v>7948</v>
      </c>
      <c r="G869">
        <v>0</v>
      </c>
      <c r="H869" t="s">
        <v>5796</v>
      </c>
      <c r="I869">
        <v>984</v>
      </c>
      <c r="J869" t="str">
        <f>VLOOKUP(E869,DSSpieler!A:B,2,FALSE)</f>
        <v>Nosferas</v>
      </c>
    </row>
    <row r="870" spans="1:10" x14ac:dyDescent="0.25">
      <c r="A870">
        <v>985</v>
      </c>
      <c r="B870">
        <v>2</v>
      </c>
      <c r="C870">
        <v>519</v>
      </c>
      <c r="D870">
        <v>521</v>
      </c>
      <c r="E870">
        <v>10153328</v>
      </c>
      <c r="F870">
        <v>5510</v>
      </c>
      <c r="G870">
        <v>0</v>
      </c>
      <c r="H870" t="s">
        <v>5797</v>
      </c>
      <c r="I870">
        <v>985</v>
      </c>
      <c r="J870" t="str">
        <f>VLOOKUP(E870,DSSpieler!A:B,2,FALSE)</f>
        <v>ChePrinzessin</v>
      </c>
    </row>
    <row r="871" spans="1:10" x14ac:dyDescent="0.25">
      <c r="A871">
        <v>986</v>
      </c>
      <c r="B871" t="s">
        <v>30899</v>
      </c>
      <c r="C871">
        <v>509</v>
      </c>
      <c r="D871">
        <v>528</v>
      </c>
      <c r="E871">
        <v>1577197050</v>
      </c>
      <c r="F871">
        <v>4965</v>
      </c>
      <c r="G871">
        <v>0</v>
      </c>
      <c r="H871" t="s">
        <v>5798</v>
      </c>
      <c r="I871">
        <v>986</v>
      </c>
      <c r="J871" t="str">
        <f>VLOOKUP(E871,DSSpieler!A:B,2,FALSE)</f>
        <v>wrzlprzl</v>
      </c>
    </row>
    <row r="872" spans="1:10" x14ac:dyDescent="0.25">
      <c r="A872">
        <v>987</v>
      </c>
      <c r="B872" t="s">
        <v>30900</v>
      </c>
      <c r="C872">
        <v>520</v>
      </c>
      <c r="D872">
        <v>536</v>
      </c>
      <c r="E872">
        <v>9923874</v>
      </c>
      <c r="F872">
        <v>5117</v>
      </c>
      <c r="G872">
        <v>0</v>
      </c>
      <c r="H872" t="s">
        <v>5799</v>
      </c>
      <c r="I872">
        <v>987</v>
      </c>
      <c r="J872" t="str">
        <f>VLOOKUP(E872,DSSpieler!A:B,2,FALSE)</f>
        <v>Cr1meZ</v>
      </c>
    </row>
    <row r="873" spans="1:10" x14ac:dyDescent="0.25">
      <c r="A873">
        <v>989</v>
      </c>
      <c r="B873" t="s">
        <v>30901</v>
      </c>
      <c r="C873">
        <v>477</v>
      </c>
      <c r="D873">
        <v>508</v>
      </c>
      <c r="E873">
        <v>2726958</v>
      </c>
      <c r="F873">
        <v>4214</v>
      </c>
      <c r="G873">
        <v>0</v>
      </c>
      <c r="H873" t="s">
        <v>5800</v>
      </c>
      <c r="I873">
        <v>989</v>
      </c>
      <c r="J873" t="str">
        <f>VLOOKUP(E873,DSSpieler!A:B,2,FALSE)</f>
        <v>R4zZ0R</v>
      </c>
    </row>
    <row r="874" spans="1:10" x14ac:dyDescent="0.25">
      <c r="A874">
        <v>990</v>
      </c>
      <c r="B874" t="s">
        <v>30902</v>
      </c>
      <c r="C874">
        <v>476</v>
      </c>
      <c r="D874">
        <v>512</v>
      </c>
      <c r="E874">
        <v>1576046022</v>
      </c>
      <c r="F874">
        <v>3336</v>
      </c>
      <c r="G874">
        <v>0</v>
      </c>
      <c r="H874" t="s">
        <v>5801</v>
      </c>
      <c r="I874">
        <v>990</v>
      </c>
      <c r="J874" t="str">
        <f>VLOOKUP(E874,DSSpieler!A:B,2,FALSE)</f>
        <v>schnitteNr.1</v>
      </c>
    </row>
    <row r="875" spans="1:10" x14ac:dyDescent="0.25">
      <c r="A875">
        <v>991</v>
      </c>
      <c r="B875" t="s">
        <v>531</v>
      </c>
      <c r="C875">
        <v>474</v>
      </c>
      <c r="D875">
        <v>506</v>
      </c>
      <c r="E875">
        <v>0</v>
      </c>
      <c r="F875">
        <v>160</v>
      </c>
      <c r="G875">
        <v>0</v>
      </c>
      <c r="H875" t="s">
        <v>5802</v>
      </c>
      <c r="I875">
        <v>991</v>
      </c>
      <c r="J875" t="e">
        <f>VLOOKUP(E875,DSSpieler!A:B,2,FALSE)</f>
        <v>#N/A</v>
      </c>
    </row>
    <row r="876" spans="1:10" x14ac:dyDescent="0.25">
      <c r="A876">
        <v>992</v>
      </c>
      <c r="B876" t="s">
        <v>30903</v>
      </c>
      <c r="C876">
        <v>473</v>
      </c>
      <c r="D876">
        <v>510</v>
      </c>
      <c r="E876">
        <v>1577114708</v>
      </c>
      <c r="F876">
        <v>3083</v>
      </c>
      <c r="G876">
        <v>0</v>
      </c>
      <c r="H876" t="s">
        <v>5803</v>
      </c>
      <c r="I876">
        <v>992</v>
      </c>
      <c r="J876" t="str">
        <f>VLOOKUP(E876,DSSpieler!A:B,2,FALSE)</f>
        <v>TomHardy</v>
      </c>
    </row>
    <row r="877" spans="1:10" x14ac:dyDescent="0.25">
      <c r="A877">
        <v>993</v>
      </c>
      <c r="B877" t="s">
        <v>30904</v>
      </c>
      <c r="C877">
        <v>476</v>
      </c>
      <c r="D877">
        <v>500</v>
      </c>
      <c r="E877">
        <v>1946985</v>
      </c>
      <c r="F877">
        <v>3684</v>
      </c>
      <c r="G877">
        <v>0</v>
      </c>
      <c r="H877" t="s">
        <v>5804</v>
      </c>
      <c r="I877">
        <v>993</v>
      </c>
      <c r="J877" t="str">
        <f>VLOOKUP(E877,DSSpieler!A:B,2,FALSE)</f>
        <v>StarPointer.1.</v>
      </c>
    </row>
    <row r="878" spans="1:10" x14ac:dyDescent="0.25">
      <c r="A878">
        <v>994</v>
      </c>
      <c r="B878" t="s">
        <v>30905</v>
      </c>
      <c r="C878">
        <v>466</v>
      </c>
      <c r="D878">
        <v>506</v>
      </c>
      <c r="E878">
        <v>1577183431</v>
      </c>
      <c r="F878">
        <v>5081</v>
      </c>
      <c r="G878">
        <v>0</v>
      </c>
      <c r="H878" t="s">
        <v>5805</v>
      </c>
      <c r="I878">
        <v>994</v>
      </c>
      <c r="J878" t="str">
        <f>VLOOKUP(E878,DSSpieler!A:B,2,FALSE)</f>
        <v>senn1d</v>
      </c>
    </row>
    <row r="879" spans="1:10" x14ac:dyDescent="0.25">
      <c r="A879">
        <v>995</v>
      </c>
      <c r="B879" t="s">
        <v>30906</v>
      </c>
      <c r="C879">
        <v>480</v>
      </c>
      <c r="D879">
        <v>503</v>
      </c>
      <c r="E879">
        <v>1577183431</v>
      </c>
      <c r="F879">
        <v>5237</v>
      </c>
      <c r="G879">
        <v>0</v>
      </c>
      <c r="H879" t="s">
        <v>5806</v>
      </c>
      <c r="I879">
        <v>995</v>
      </c>
      <c r="J879" t="str">
        <f>VLOOKUP(E879,DSSpieler!A:B,2,FALSE)</f>
        <v>senn1d</v>
      </c>
    </row>
    <row r="880" spans="1:10" x14ac:dyDescent="0.25">
      <c r="A880">
        <v>996</v>
      </c>
      <c r="B880" t="s">
        <v>30907</v>
      </c>
      <c r="C880">
        <v>490</v>
      </c>
      <c r="D880">
        <v>524</v>
      </c>
      <c r="E880">
        <v>2495798</v>
      </c>
      <c r="F880">
        <v>483</v>
      </c>
      <c r="G880">
        <v>0</v>
      </c>
      <c r="H880" t="s">
        <v>5807</v>
      </c>
      <c r="I880">
        <v>996</v>
      </c>
      <c r="J880" t="str">
        <f>VLOOKUP(E880,DSSpieler!A:B,2,FALSE)</f>
        <v>slater107</v>
      </c>
    </row>
    <row r="881" spans="1:10" x14ac:dyDescent="0.25">
      <c r="A881">
        <v>997</v>
      </c>
      <c r="B881" t="s">
        <v>30908</v>
      </c>
      <c r="C881">
        <v>466</v>
      </c>
      <c r="D881">
        <v>512</v>
      </c>
      <c r="E881">
        <v>9917381</v>
      </c>
      <c r="F881">
        <v>3057</v>
      </c>
      <c r="G881">
        <v>0</v>
      </c>
      <c r="H881" t="s">
        <v>5808</v>
      </c>
      <c r="I881">
        <v>997</v>
      </c>
      <c r="J881" t="str">
        <f>VLOOKUP(E881,DSSpieler!A:B,2,FALSE)</f>
        <v>-DRHDT-</v>
      </c>
    </row>
    <row r="882" spans="1:10" x14ac:dyDescent="0.25">
      <c r="A882">
        <v>998</v>
      </c>
      <c r="B882" t="s">
        <v>709</v>
      </c>
      <c r="C882">
        <v>477</v>
      </c>
      <c r="D882">
        <v>494</v>
      </c>
      <c r="E882">
        <v>1577195342</v>
      </c>
      <c r="F882">
        <v>5728</v>
      </c>
      <c r="G882">
        <v>0</v>
      </c>
      <c r="H882" t="s">
        <v>5809</v>
      </c>
      <c r="I882">
        <v>998</v>
      </c>
      <c r="J882" t="str">
        <f>VLOOKUP(E882,DSSpieler!A:B,2,FALSE)</f>
        <v>NoobHunter</v>
      </c>
    </row>
    <row r="883" spans="1:10" x14ac:dyDescent="0.25">
      <c r="A883">
        <v>999</v>
      </c>
      <c r="B883" t="s">
        <v>710</v>
      </c>
      <c r="C883">
        <v>580</v>
      </c>
      <c r="D883">
        <v>436</v>
      </c>
      <c r="E883">
        <v>1576947159</v>
      </c>
      <c r="F883">
        <v>4266</v>
      </c>
      <c r="G883">
        <v>0</v>
      </c>
      <c r="H883" t="s">
        <v>5810</v>
      </c>
      <c r="I883">
        <v>999</v>
      </c>
      <c r="J883" t="str">
        <f>VLOOKUP(E883,DSSpieler!A:B,2,FALSE)</f>
        <v>TodescooI</v>
      </c>
    </row>
    <row r="884" spans="1:10" x14ac:dyDescent="0.25">
      <c r="A884">
        <v>1000</v>
      </c>
      <c r="B884" t="s">
        <v>710</v>
      </c>
      <c r="C884">
        <v>583</v>
      </c>
      <c r="D884">
        <v>445</v>
      </c>
      <c r="E884">
        <v>1576947159</v>
      </c>
      <c r="F884">
        <v>4435</v>
      </c>
      <c r="G884">
        <v>0</v>
      </c>
      <c r="H884" t="s">
        <v>5811</v>
      </c>
      <c r="I884">
        <v>1000</v>
      </c>
      <c r="J884" t="str">
        <f>VLOOKUP(E884,DSSpieler!A:B,2,FALSE)</f>
        <v>TodescooI</v>
      </c>
    </row>
    <row r="885" spans="1:10" x14ac:dyDescent="0.25">
      <c r="A885">
        <v>1001</v>
      </c>
      <c r="B885" t="s">
        <v>30909</v>
      </c>
      <c r="C885">
        <v>595</v>
      </c>
      <c r="D885">
        <v>447</v>
      </c>
      <c r="E885">
        <v>1577185656</v>
      </c>
      <c r="F885">
        <v>5860</v>
      </c>
      <c r="G885">
        <v>0</v>
      </c>
      <c r="H885" t="s">
        <v>5812</v>
      </c>
      <c r="I885">
        <v>1001</v>
      </c>
      <c r="J885" t="str">
        <f>VLOOKUP(E885,DSSpieler!A:B,2,FALSE)</f>
        <v>.Skyliner.</v>
      </c>
    </row>
    <row r="886" spans="1:10" x14ac:dyDescent="0.25">
      <c r="A886">
        <v>1002</v>
      </c>
      <c r="B886" t="s">
        <v>30910</v>
      </c>
      <c r="C886">
        <v>581</v>
      </c>
      <c r="D886">
        <v>427</v>
      </c>
      <c r="E886">
        <v>1577176252</v>
      </c>
      <c r="F886">
        <v>5518</v>
      </c>
      <c r="G886">
        <v>0</v>
      </c>
      <c r="H886" t="s">
        <v>5813</v>
      </c>
      <c r="I886">
        <v>1002</v>
      </c>
      <c r="J886" t="str">
        <f>VLOOKUP(E886,DSSpieler!A:B,2,FALSE)</f>
        <v>Spidlex</v>
      </c>
    </row>
    <row r="887" spans="1:10" x14ac:dyDescent="0.25">
      <c r="A887">
        <v>1003</v>
      </c>
      <c r="B887" t="s">
        <v>30911</v>
      </c>
      <c r="C887">
        <v>581</v>
      </c>
      <c r="D887">
        <v>433</v>
      </c>
      <c r="E887">
        <v>9643030</v>
      </c>
      <c r="F887">
        <v>6922</v>
      </c>
      <c r="G887">
        <v>0</v>
      </c>
      <c r="H887" t="s">
        <v>5814</v>
      </c>
      <c r="I887">
        <v>1003</v>
      </c>
      <c r="J887" t="str">
        <f>VLOOKUP(E887,DSSpieler!A:B,2,FALSE)</f>
        <v>*DoctorWeed*</v>
      </c>
    </row>
    <row r="888" spans="1:10" x14ac:dyDescent="0.25">
      <c r="A888">
        <v>1004</v>
      </c>
      <c r="B888" t="s">
        <v>30912</v>
      </c>
      <c r="C888">
        <v>573</v>
      </c>
      <c r="D888">
        <v>421</v>
      </c>
      <c r="E888">
        <v>1576007470</v>
      </c>
      <c r="F888">
        <v>3914</v>
      </c>
      <c r="G888">
        <v>0</v>
      </c>
      <c r="H888" t="s">
        <v>5815</v>
      </c>
      <c r="I888">
        <v>1004</v>
      </c>
      <c r="J888" t="str">
        <f>VLOOKUP(E888,DSSpieler!A:B,2,FALSE)</f>
        <v>König BlackAngel1994</v>
      </c>
    </row>
    <row r="889" spans="1:10" x14ac:dyDescent="0.25">
      <c r="A889">
        <v>1005</v>
      </c>
      <c r="B889" t="s">
        <v>711</v>
      </c>
      <c r="C889">
        <v>582</v>
      </c>
      <c r="D889">
        <v>432</v>
      </c>
      <c r="E889">
        <v>1576974490</v>
      </c>
      <c r="F889">
        <v>5414</v>
      </c>
      <c r="G889">
        <v>0</v>
      </c>
      <c r="H889" t="s">
        <v>5816</v>
      </c>
      <c r="I889">
        <v>1005</v>
      </c>
      <c r="J889" t="str">
        <f>VLOOKUP(E889,DSSpieler!A:B,2,FALSE)</f>
        <v>Bodinator88</v>
      </c>
    </row>
    <row r="890" spans="1:10" x14ac:dyDescent="0.25">
      <c r="A890">
        <v>1006</v>
      </c>
      <c r="B890">
        <v>2</v>
      </c>
      <c r="C890">
        <v>583</v>
      </c>
      <c r="D890">
        <v>437</v>
      </c>
      <c r="E890">
        <v>319909</v>
      </c>
      <c r="F890">
        <v>5449</v>
      </c>
      <c r="G890">
        <v>0</v>
      </c>
      <c r="H890" t="s">
        <v>5817</v>
      </c>
      <c r="I890">
        <v>1006</v>
      </c>
      <c r="J890" t="str">
        <f>VLOOKUP(E890,DSSpieler!A:B,2,FALSE)</f>
        <v>Der Held schlecht hin</v>
      </c>
    </row>
    <row r="891" spans="1:10" x14ac:dyDescent="0.25">
      <c r="A891">
        <v>1007</v>
      </c>
      <c r="B891" t="s">
        <v>30913</v>
      </c>
      <c r="C891">
        <v>584</v>
      </c>
      <c r="D891">
        <v>433</v>
      </c>
      <c r="E891">
        <v>1576758865</v>
      </c>
      <c r="F891">
        <v>6318</v>
      </c>
      <c r="G891">
        <v>0</v>
      </c>
      <c r="H891" t="s">
        <v>5818</v>
      </c>
      <c r="I891">
        <v>1007</v>
      </c>
      <c r="J891" t="str">
        <f>VLOOKUP(E891,DSSpieler!A:B,2,FALSE)</f>
        <v>ToMe104</v>
      </c>
    </row>
    <row r="892" spans="1:10" x14ac:dyDescent="0.25">
      <c r="A892">
        <v>1008</v>
      </c>
      <c r="B892" t="s">
        <v>531</v>
      </c>
      <c r="C892">
        <v>471</v>
      </c>
      <c r="D892">
        <v>526</v>
      </c>
      <c r="E892">
        <v>0</v>
      </c>
      <c r="F892">
        <v>329</v>
      </c>
      <c r="G892">
        <v>0</v>
      </c>
      <c r="H892" t="s">
        <v>5819</v>
      </c>
      <c r="I892">
        <v>1008</v>
      </c>
      <c r="J892" t="e">
        <f>VLOOKUP(E892,DSSpieler!A:B,2,FALSE)</f>
        <v>#N/A</v>
      </c>
    </row>
    <row r="893" spans="1:10" x14ac:dyDescent="0.25">
      <c r="A893">
        <v>1009</v>
      </c>
      <c r="B893" t="s">
        <v>30914</v>
      </c>
      <c r="C893">
        <v>588</v>
      </c>
      <c r="D893">
        <v>436</v>
      </c>
      <c r="E893">
        <v>1577060953</v>
      </c>
      <c r="F893">
        <v>5995</v>
      </c>
      <c r="G893">
        <v>0</v>
      </c>
      <c r="H893" t="s">
        <v>5820</v>
      </c>
      <c r="I893">
        <v>1009</v>
      </c>
      <c r="J893" t="str">
        <f>VLOOKUP(E893,DSSpieler!A:B,2,FALSE)</f>
        <v>EasySnacks</v>
      </c>
    </row>
    <row r="894" spans="1:10" x14ac:dyDescent="0.25">
      <c r="A894">
        <v>1010</v>
      </c>
      <c r="B894" t="s">
        <v>30915</v>
      </c>
      <c r="C894">
        <v>577</v>
      </c>
      <c r="D894">
        <v>448</v>
      </c>
      <c r="E894">
        <v>9764098</v>
      </c>
      <c r="F894">
        <v>5337</v>
      </c>
      <c r="G894">
        <v>0</v>
      </c>
      <c r="H894" t="s">
        <v>5821</v>
      </c>
      <c r="I894">
        <v>1010</v>
      </c>
      <c r="J894" t="str">
        <f>VLOOKUP(E894,DSSpieler!A:B,2,FALSE)</f>
        <v>lichtstrahl1408</v>
      </c>
    </row>
    <row r="895" spans="1:10" x14ac:dyDescent="0.25">
      <c r="A895">
        <v>1011</v>
      </c>
      <c r="B895">
        <v>3</v>
      </c>
      <c r="C895">
        <v>585</v>
      </c>
      <c r="D895">
        <v>437</v>
      </c>
      <c r="E895">
        <v>319909</v>
      </c>
      <c r="F895">
        <v>5751</v>
      </c>
      <c r="G895">
        <v>0</v>
      </c>
      <c r="H895" t="s">
        <v>5822</v>
      </c>
      <c r="I895">
        <v>1011</v>
      </c>
      <c r="J895" t="str">
        <f>VLOOKUP(E895,DSSpieler!A:B,2,FALSE)</f>
        <v>Der Held schlecht hin</v>
      </c>
    </row>
    <row r="896" spans="1:10" x14ac:dyDescent="0.25">
      <c r="A896">
        <v>1012</v>
      </c>
      <c r="B896" t="s">
        <v>712</v>
      </c>
      <c r="C896">
        <v>581</v>
      </c>
      <c r="D896">
        <v>430</v>
      </c>
      <c r="E896">
        <v>1577019379</v>
      </c>
      <c r="F896">
        <v>6427</v>
      </c>
      <c r="G896">
        <v>0</v>
      </c>
      <c r="H896" t="s">
        <v>5823</v>
      </c>
      <c r="I896">
        <v>1012</v>
      </c>
      <c r="J896" t="str">
        <f>VLOOKUP(E896,DSSpieler!A:B,2,FALSE)</f>
        <v>I Xailu I</v>
      </c>
    </row>
    <row r="897" spans="1:10" x14ac:dyDescent="0.25">
      <c r="A897">
        <v>1013</v>
      </c>
      <c r="B897" t="s">
        <v>531</v>
      </c>
      <c r="C897">
        <v>519</v>
      </c>
      <c r="D897">
        <v>426</v>
      </c>
      <c r="E897">
        <v>0</v>
      </c>
      <c r="F897">
        <v>402</v>
      </c>
      <c r="G897">
        <v>0</v>
      </c>
      <c r="H897" t="s">
        <v>5824</v>
      </c>
      <c r="I897">
        <v>1013</v>
      </c>
      <c r="J897" t="e">
        <f>VLOOKUP(E897,DSSpieler!A:B,2,FALSE)</f>
        <v>#N/A</v>
      </c>
    </row>
    <row r="898" spans="1:10" x14ac:dyDescent="0.25">
      <c r="A898">
        <v>1014</v>
      </c>
      <c r="B898" t="s">
        <v>710</v>
      </c>
      <c r="C898">
        <v>580</v>
      </c>
      <c r="D898">
        <v>438</v>
      </c>
      <c r="E898">
        <v>1576947159</v>
      </c>
      <c r="F898">
        <v>5317</v>
      </c>
      <c r="G898">
        <v>0</v>
      </c>
      <c r="H898" t="s">
        <v>5825</v>
      </c>
      <c r="I898">
        <v>1014</v>
      </c>
      <c r="J898" t="str">
        <f>VLOOKUP(E898,DSSpieler!A:B,2,FALSE)</f>
        <v>TodescooI</v>
      </c>
    </row>
    <row r="899" spans="1:10" x14ac:dyDescent="0.25">
      <c r="A899">
        <v>1015</v>
      </c>
      <c r="B899" t="s">
        <v>710</v>
      </c>
      <c r="C899">
        <v>588</v>
      </c>
      <c r="D899">
        <v>438</v>
      </c>
      <c r="E899">
        <v>1576947159</v>
      </c>
      <c r="F899">
        <v>5278</v>
      </c>
      <c r="G899">
        <v>0</v>
      </c>
      <c r="H899" t="s">
        <v>5826</v>
      </c>
      <c r="I899">
        <v>1015</v>
      </c>
      <c r="J899" t="str">
        <f>VLOOKUP(E899,DSSpieler!A:B,2,FALSE)</f>
        <v>TodescooI</v>
      </c>
    </row>
    <row r="900" spans="1:10" x14ac:dyDescent="0.25">
      <c r="A900">
        <v>1016</v>
      </c>
      <c r="B900" t="s">
        <v>713</v>
      </c>
      <c r="C900">
        <v>584</v>
      </c>
      <c r="D900">
        <v>449</v>
      </c>
      <c r="E900">
        <v>1577197749</v>
      </c>
      <c r="F900">
        <v>6177</v>
      </c>
      <c r="G900">
        <v>0</v>
      </c>
      <c r="H900" t="s">
        <v>5827</v>
      </c>
      <c r="I900">
        <v>1016</v>
      </c>
      <c r="J900" t="str">
        <f>VLOOKUP(E900,DSSpieler!A:B,2,FALSE)</f>
        <v>Yondu</v>
      </c>
    </row>
    <row r="901" spans="1:10" x14ac:dyDescent="0.25">
      <c r="A901">
        <v>1017</v>
      </c>
      <c r="B901" t="s">
        <v>714</v>
      </c>
      <c r="C901">
        <v>593</v>
      </c>
      <c r="D901">
        <v>447</v>
      </c>
      <c r="E901">
        <v>8374321</v>
      </c>
      <c r="F901">
        <v>5059</v>
      </c>
      <c r="G901">
        <v>0</v>
      </c>
      <c r="H901" t="s">
        <v>5828</v>
      </c>
      <c r="I901">
        <v>1017</v>
      </c>
      <c r="J901" t="str">
        <f>VLOOKUP(E901,DSSpieler!A:B,2,FALSE)</f>
        <v>WindLegioner</v>
      </c>
    </row>
    <row r="902" spans="1:10" x14ac:dyDescent="0.25">
      <c r="A902">
        <v>1018</v>
      </c>
      <c r="B902" t="s">
        <v>30916</v>
      </c>
      <c r="C902">
        <v>600</v>
      </c>
      <c r="D902">
        <v>451</v>
      </c>
      <c r="E902">
        <v>1577182339</v>
      </c>
      <c r="F902">
        <v>6294</v>
      </c>
      <c r="G902">
        <v>0</v>
      </c>
      <c r="H902" t="s">
        <v>5829</v>
      </c>
      <c r="I902">
        <v>1018</v>
      </c>
      <c r="J902" t="str">
        <f>VLOOKUP(E902,DSSpieler!A:B,2,FALSE)</f>
        <v>OG BananaJoe</v>
      </c>
    </row>
    <row r="903" spans="1:10" x14ac:dyDescent="0.25">
      <c r="A903">
        <v>1019</v>
      </c>
      <c r="B903" t="s">
        <v>531</v>
      </c>
      <c r="C903">
        <v>478</v>
      </c>
      <c r="D903">
        <v>564</v>
      </c>
      <c r="E903">
        <v>0</v>
      </c>
      <c r="F903">
        <v>349</v>
      </c>
      <c r="G903">
        <v>0</v>
      </c>
      <c r="H903" t="s">
        <v>5830</v>
      </c>
      <c r="I903">
        <v>1019</v>
      </c>
      <c r="J903" t="e">
        <f>VLOOKUP(E903,DSSpieler!A:B,2,FALSE)</f>
        <v>#N/A</v>
      </c>
    </row>
    <row r="904" spans="1:10" x14ac:dyDescent="0.25">
      <c r="A904">
        <v>1020</v>
      </c>
      <c r="B904" t="s">
        <v>715</v>
      </c>
      <c r="C904">
        <v>513</v>
      </c>
      <c r="D904">
        <v>522</v>
      </c>
      <c r="E904">
        <v>1577184058</v>
      </c>
      <c r="F904">
        <v>967</v>
      </c>
      <c r="G904">
        <v>0</v>
      </c>
      <c r="H904" t="s">
        <v>5831</v>
      </c>
      <c r="I904">
        <v>1020</v>
      </c>
      <c r="J904" t="str">
        <f>VLOOKUP(E904,DSSpieler!A:B,2,FALSE)</f>
        <v>Cpt-Mike</v>
      </c>
    </row>
    <row r="905" spans="1:10" x14ac:dyDescent="0.25">
      <c r="A905">
        <v>1021</v>
      </c>
      <c r="B905" t="s">
        <v>30917</v>
      </c>
      <c r="C905">
        <v>524</v>
      </c>
      <c r="D905">
        <v>519</v>
      </c>
      <c r="E905">
        <v>1577196134</v>
      </c>
      <c r="F905">
        <v>5385</v>
      </c>
      <c r="G905">
        <v>0</v>
      </c>
      <c r="H905" t="s">
        <v>5832</v>
      </c>
      <c r="I905">
        <v>1021</v>
      </c>
      <c r="J905" t="str">
        <f>VLOOKUP(E905,DSSpieler!A:B,2,FALSE)</f>
        <v>Grössenwahnsinnig</v>
      </c>
    </row>
    <row r="906" spans="1:10" x14ac:dyDescent="0.25">
      <c r="A906">
        <v>1022</v>
      </c>
      <c r="B906" t="s">
        <v>710</v>
      </c>
      <c r="C906">
        <v>585</v>
      </c>
      <c r="D906">
        <v>443</v>
      </c>
      <c r="E906">
        <v>1576947159</v>
      </c>
      <c r="F906">
        <v>4250</v>
      </c>
      <c r="G906">
        <v>0</v>
      </c>
      <c r="H906" t="s">
        <v>5833</v>
      </c>
      <c r="I906">
        <v>1022</v>
      </c>
      <c r="J906" t="str">
        <f>VLOOKUP(E906,DSSpieler!A:B,2,FALSE)</f>
        <v>TodescooI</v>
      </c>
    </row>
    <row r="907" spans="1:10" x14ac:dyDescent="0.25">
      <c r="A907">
        <v>1023</v>
      </c>
      <c r="B907">
        <v>2</v>
      </c>
      <c r="C907">
        <v>581</v>
      </c>
      <c r="D907">
        <v>442</v>
      </c>
      <c r="E907">
        <v>3363691</v>
      </c>
      <c r="F907">
        <v>5927</v>
      </c>
      <c r="G907">
        <v>0</v>
      </c>
      <c r="H907" t="s">
        <v>5834</v>
      </c>
      <c r="I907">
        <v>1023</v>
      </c>
      <c r="J907" t="str">
        <f>VLOOKUP(E907,DSSpieler!A:B,2,FALSE)</f>
        <v>LOK3</v>
      </c>
    </row>
    <row r="908" spans="1:10" x14ac:dyDescent="0.25">
      <c r="A908">
        <v>1024</v>
      </c>
      <c r="B908" t="s">
        <v>710</v>
      </c>
      <c r="C908">
        <v>582</v>
      </c>
      <c r="D908">
        <v>438</v>
      </c>
      <c r="E908">
        <v>1576947159</v>
      </c>
      <c r="F908">
        <v>4204</v>
      </c>
      <c r="G908">
        <v>0</v>
      </c>
      <c r="H908" t="s">
        <v>5835</v>
      </c>
      <c r="I908">
        <v>1024</v>
      </c>
      <c r="J908" t="str">
        <f>VLOOKUP(E908,DSSpieler!A:B,2,FALSE)</f>
        <v>TodescooI</v>
      </c>
    </row>
    <row r="909" spans="1:10" x14ac:dyDescent="0.25">
      <c r="A909">
        <v>1025</v>
      </c>
      <c r="B909" t="s">
        <v>710</v>
      </c>
      <c r="C909">
        <v>586</v>
      </c>
      <c r="D909">
        <v>441</v>
      </c>
      <c r="E909">
        <v>1576947159</v>
      </c>
      <c r="F909">
        <v>5200</v>
      </c>
      <c r="G909">
        <v>0</v>
      </c>
      <c r="H909" t="s">
        <v>5836</v>
      </c>
      <c r="I909">
        <v>1025</v>
      </c>
      <c r="J909" t="str">
        <f>VLOOKUP(E909,DSSpieler!A:B,2,FALSE)</f>
        <v>TodescooI</v>
      </c>
    </row>
    <row r="910" spans="1:10" x14ac:dyDescent="0.25">
      <c r="A910">
        <v>1026</v>
      </c>
      <c r="B910" t="s">
        <v>30918</v>
      </c>
      <c r="C910">
        <v>580</v>
      </c>
      <c r="D910">
        <v>424</v>
      </c>
      <c r="E910">
        <v>1577176252</v>
      </c>
      <c r="F910">
        <v>5255</v>
      </c>
      <c r="G910">
        <v>0</v>
      </c>
      <c r="H910" t="s">
        <v>5837</v>
      </c>
      <c r="I910">
        <v>1026</v>
      </c>
      <c r="J910" t="str">
        <f>VLOOKUP(E910,DSSpieler!A:B,2,FALSE)</f>
        <v>Spidlex</v>
      </c>
    </row>
    <row r="911" spans="1:10" x14ac:dyDescent="0.25">
      <c r="A911">
        <v>1027</v>
      </c>
      <c r="B911" t="s">
        <v>531</v>
      </c>
      <c r="C911">
        <v>522</v>
      </c>
      <c r="D911">
        <v>521</v>
      </c>
      <c r="E911">
        <v>0</v>
      </c>
      <c r="F911">
        <v>443</v>
      </c>
      <c r="G911">
        <v>0</v>
      </c>
      <c r="H911" t="s">
        <v>5838</v>
      </c>
      <c r="I911">
        <v>1027</v>
      </c>
      <c r="J911" t="e">
        <f>VLOOKUP(E911,DSSpieler!A:B,2,FALSE)</f>
        <v>#N/A</v>
      </c>
    </row>
    <row r="912" spans="1:10" x14ac:dyDescent="0.25">
      <c r="A912">
        <v>1028</v>
      </c>
      <c r="B912" t="s">
        <v>716</v>
      </c>
      <c r="C912">
        <v>572</v>
      </c>
      <c r="D912">
        <v>417</v>
      </c>
      <c r="E912">
        <v>1289804</v>
      </c>
      <c r="F912">
        <v>5309</v>
      </c>
      <c r="G912">
        <v>0</v>
      </c>
      <c r="H912" t="s">
        <v>5839</v>
      </c>
      <c r="I912">
        <v>1028</v>
      </c>
      <c r="J912" t="str">
        <f>VLOOKUP(E912,DSSpieler!A:B,2,FALSE)</f>
        <v>cenko94</v>
      </c>
    </row>
    <row r="913" spans="1:10" x14ac:dyDescent="0.25">
      <c r="A913">
        <v>1029</v>
      </c>
      <c r="B913" t="s">
        <v>717</v>
      </c>
      <c r="C913">
        <v>568</v>
      </c>
      <c r="D913">
        <v>421</v>
      </c>
      <c r="E913">
        <v>1368482</v>
      </c>
      <c r="F913">
        <v>5381</v>
      </c>
      <c r="G913">
        <v>0</v>
      </c>
      <c r="H913" t="s">
        <v>5840</v>
      </c>
      <c r="I913">
        <v>1029</v>
      </c>
      <c r="J913" t="str">
        <f>VLOOKUP(E913,DSSpieler!A:B,2,FALSE)</f>
        <v>Jtaily</v>
      </c>
    </row>
    <row r="914" spans="1:10" x14ac:dyDescent="0.25">
      <c r="A914">
        <v>1030</v>
      </c>
      <c r="B914" t="s">
        <v>30919</v>
      </c>
      <c r="C914">
        <v>562</v>
      </c>
      <c r="D914">
        <v>415</v>
      </c>
      <c r="E914">
        <v>2692887</v>
      </c>
      <c r="F914">
        <v>5955</v>
      </c>
      <c r="G914">
        <v>0</v>
      </c>
      <c r="H914" t="s">
        <v>5841</v>
      </c>
      <c r="I914">
        <v>1030</v>
      </c>
      <c r="J914" t="str">
        <f>VLOOKUP(E914,DSSpieler!A:B,2,FALSE)</f>
        <v>DerStaubtöter</v>
      </c>
    </row>
    <row r="915" spans="1:10" x14ac:dyDescent="0.25">
      <c r="A915">
        <v>1031</v>
      </c>
      <c r="B915">
        <v>3</v>
      </c>
      <c r="C915">
        <v>564</v>
      </c>
      <c r="D915">
        <v>418</v>
      </c>
      <c r="E915">
        <v>1576099065</v>
      </c>
      <c r="F915">
        <v>4116</v>
      </c>
      <c r="G915">
        <v>0</v>
      </c>
      <c r="H915" t="s">
        <v>5842</v>
      </c>
      <c r="I915">
        <v>1031</v>
      </c>
      <c r="J915" t="str">
        <f>VLOOKUP(E915,DSSpieler!A:B,2,FALSE)</f>
        <v>finale15</v>
      </c>
    </row>
    <row r="916" spans="1:10" x14ac:dyDescent="0.25">
      <c r="A916">
        <v>1032</v>
      </c>
      <c r="B916" t="s">
        <v>30920</v>
      </c>
      <c r="C916">
        <v>557</v>
      </c>
      <c r="D916">
        <v>414</v>
      </c>
      <c r="E916">
        <v>1576499941</v>
      </c>
      <c r="F916">
        <v>4217</v>
      </c>
      <c r="G916">
        <v>0</v>
      </c>
      <c r="H916" t="s">
        <v>5843</v>
      </c>
      <c r="I916">
        <v>1032</v>
      </c>
      <c r="J916" t="str">
        <f>VLOOKUP(E916,DSSpieler!A:B,2,FALSE)</f>
        <v>KaliTan</v>
      </c>
    </row>
    <row r="917" spans="1:10" x14ac:dyDescent="0.25">
      <c r="A917">
        <v>1034</v>
      </c>
      <c r="B917" t="s">
        <v>30921</v>
      </c>
      <c r="C917">
        <v>555</v>
      </c>
      <c r="D917">
        <v>419</v>
      </c>
      <c r="E917">
        <v>1576829331</v>
      </c>
      <c r="F917">
        <v>5261</v>
      </c>
      <c r="G917">
        <v>0</v>
      </c>
      <c r="H917" t="s">
        <v>5844</v>
      </c>
      <c r="I917">
        <v>1034</v>
      </c>
      <c r="J917" t="str">
        <f>VLOOKUP(E917,DSSpieler!A:B,2,FALSE)</f>
        <v>DunMaster</v>
      </c>
    </row>
    <row r="918" spans="1:10" x14ac:dyDescent="0.25">
      <c r="A918">
        <v>1035</v>
      </c>
      <c r="B918" t="s">
        <v>30922</v>
      </c>
      <c r="C918">
        <v>554</v>
      </c>
      <c r="D918">
        <v>403</v>
      </c>
      <c r="E918">
        <v>9621199</v>
      </c>
      <c r="F918">
        <v>6959</v>
      </c>
      <c r="G918">
        <v>0</v>
      </c>
      <c r="H918" t="s">
        <v>5845</v>
      </c>
      <c r="I918">
        <v>1035</v>
      </c>
      <c r="J918" t="str">
        <f>VLOOKUP(E918,DSSpieler!A:B,2,FALSE)</f>
        <v>ImSryBut</v>
      </c>
    </row>
    <row r="919" spans="1:10" x14ac:dyDescent="0.25">
      <c r="A919">
        <v>1036</v>
      </c>
      <c r="B919">
        <v>1</v>
      </c>
      <c r="C919">
        <v>572</v>
      </c>
      <c r="D919">
        <v>418</v>
      </c>
      <c r="E919">
        <v>1576099065</v>
      </c>
      <c r="F919">
        <v>5868</v>
      </c>
      <c r="G919">
        <v>0</v>
      </c>
      <c r="H919" t="s">
        <v>5846</v>
      </c>
      <c r="I919">
        <v>1036</v>
      </c>
      <c r="J919" t="str">
        <f>VLOOKUP(E919,DSSpieler!A:B,2,FALSE)</f>
        <v>finale15</v>
      </c>
    </row>
    <row r="920" spans="1:10" x14ac:dyDescent="0.25">
      <c r="A920">
        <v>1037</v>
      </c>
      <c r="B920" t="s">
        <v>30923</v>
      </c>
      <c r="C920">
        <v>552</v>
      </c>
      <c r="D920">
        <v>405</v>
      </c>
      <c r="E920">
        <v>1576188624</v>
      </c>
      <c r="F920">
        <v>5878</v>
      </c>
      <c r="G920">
        <v>0</v>
      </c>
      <c r="H920" t="s">
        <v>5847</v>
      </c>
      <c r="I920">
        <v>1037</v>
      </c>
      <c r="J920" t="str">
        <f>VLOOKUP(E920,DSSpieler!A:B,2,FALSE)</f>
        <v>kartoffelklaus1</v>
      </c>
    </row>
    <row r="921" spans="1:10" x14ac:dyDescent="0.25">
      <c r="A921">
        <v>1038</v>
      </c>
      <c r="B921" t="s">
        <v>30924</v>
      </c>
      <c r="C921">
        <v>549</v>
      </c>
      <c r="D921">
        <v>397</v>
      </c>
      <c r="E921">
        <v>1576189514</v>
      </c>
      <c r="F921">
        <v>7591</v>
      </c>
      <c r="G921">
        <v>0</v>
      </c>
      <c r="H921" t="s">
        <v>5848</v>
      </c>
      <c r="I921">
        <v>1038</v>
      </c>
      <c r="J921" t="str">
        <f>VLOOKUP(E921,DSSpieler!A:B,2,FALSE)</f>
        <v>Skellofraktur</v>
      </c>
    </row>
    <row r="922" spans="1:10" x14ac:dyDescent="0.25">
      <c r="A922">
        <v>1039</v>
      </c>
      <c r="B922" t="s">
        <v>531</v>
      </c>
      <c r="C922">
        <v>499</v>
      </c>
      <c r="D922">
        <v>477</v>
      </c>
      <c r="E922">
        <v>0</v>
      </c>
      <c r="F922">
        <v>394</v>
      </c>
      <c r="G922">
        <v>0</v>
      </c>
      <c r="H922" t="s">
        <v>5849</v>
      </c>
      <c r="I922">
        <v>1039</v>
      </c>
      <c r="J922" t="e">
        <f>VLOOKUP(E922,DSSpieler!A:B,2,FALSE)</f>
        <v>#N/A</v>
      </c>
    </row>
    <row r="923" spans="1:10" x14ac:dyDescent="0.25">
      <c r="A923">
        <v>1040</v>
      </c>
      <c r="B923" t="s">
        <v>30925</v>
      </c>
      <c r="C923">
        <v>553</v>
      </c>
      <c r="D923">
        <v>401</v>
      </c>
      <c r="E923">
        <v>9621199</v>
      </c>
      <c r="F923">
        <v>7182</v>
      </c>
      <c r="G923">
        <v>0</v>
      </c>
      <c r="H923" t="s">
        <v>5850</v>
      </c>
      <c r="I923">
        <v>1040</v>
      </c>
      <c r="J923" t="str">
        <f>VLOOKUP(E923,DSSpieler!A:B,2,FALSE)</f>
        <v>ImSryBut</v>
      </c>
    </row>
    <row r="924" spans="1:10" x14ac:dyDescent="0.25">
      <c r="A924">
        <v>1041</v>
      </c>
      <c r="B924" t="s">
        <v>718</v>
      </c>
      <c r="C924">
        <v>546</v>
      </c>
      <c r="D924">
        <v>406</v>
      </c>
      <c r="E924">
        <v>1576829331</v>
      </c>
      <c r="F924">
        <v>4831</v>
      </c>
      <c r="G924">
        <v>0</v>
      </c>
      <c r="H924" t="s">
        <v>5851</v>
      </c>
      <c r="I924">
        <v>1041</v>
      </c>
      <c r="J924" t="str">
        <f>VLOOKUP(E924,DSSpieler!A:B,2,FALSE)</f>
        <v>DunMaster</v>
      </c>
    </row>
    <row r="925" spans="1:10" x14ac:dyDescent="0.25">
      <c r="A925">
        <v>1042</v>
      </c>
      <c r="B925" t="s">
        <v>30926</v>
      </c>
      <c r="C925">
        <v>566</v>
      </c>
      <c r="D925">
        <v>413</v>
      </c>
      <c r="E925">
        <v>1576499941</v>
      </c>
      <c r="F925">
        <v>5400</v>
      </c>
      <c r="G925">
        <v>0</v>
      </c>
      <c r="H925" t="s">
        <v>5852</v>
      </c>
      <c r="I925">
        <v>1042</v>
      </c>
      <c r="J925" t="str">
        <f>VLOOKUP(E925,DSSpieler!A:B,2,FALSE)</f>
        <v>KaliTan</v>
      </c>
    </row>
    <row r="926" spans="1:10" x14ac:dyDescent="0.25">
      <c r="A926">
        <v>1043</v>
      </c>
      <c r="B926" t="s">
        <v>30927</v>
      </c>
      <c r="C926">
        <v>556</v>
      </c>
      <c r="D926">
        <v>402</v>
      </c>
      <c r="E926">
        <v>1576500302</v>
      </c>
      <c r="F926">
        <v>7836</v>
      </c>
      <c r="G926">
        <v>0</v>
      </c>
      <c r="H926" t="s">
        <v>5853</v>
      </c>
      <c r="I926">
        <v>1043</v>
      </c>
      <c r="J926" t="str">
        <f>VLOOKUP(E926,DSSpieler!A:B,2,FALSE)</f>
        <v>Calypso1919</v>
      </c>
    </row>
    <row r="927" spans="1:10" x14ac:dyDescent="0.25">
      <c r="A927">
        <v>1044</v>
      </c>
      <c r="B927" t="s">
        <v>30928</v>
      </c>
      <c r="C927">
        <v>554</v>
      </c>
      <c r="D927">
        <v>404</v>
      </c>
      <c r="E927">
        <v>1576188624</v>
      </c>
      <c r="F927">
        <v>5419</v>
      </c>
      <c r="G927">
        <v>0</v>
      </c>
      <c r="H927" t="s">
        <v>5854</v>
      </c>
      <c r="I927">
        <v>1044</v>
      </c>
      <c r="J927" t="str">
        <f>VLOOKUP(E927,DSSpieler!A:B,2,FALSE)</f>
        <v>kartoffelklaus1</v>
      </c>
    </row>
    <row r="928" spans="1:10" x14ac:dyDescent="0.25">
      <c r="A928">
        <v>1045</v>
      </c>
      <c r="B928" t="s">
        <v>719</v>
      </c>
      <c r="C928">
        <v>572</v>
      </c>
      <c r="D928">
        <v>412</v>
      </c>
      <c r="E928">
        <v>1576614137</v>
      </c>
      <c r="F928">
        <v>4696</v>
      </c>
      <c r="G928">
        <v>0</v>
      </c>
      <c r="H928" t="s">
        <v>5855</v>
      </c>
      <c r="I928">
        <v>1045</v>
      </c>
      <c r="J928" t="str">
        <f>VLOOKUP(E928,DSSpieler!A:B,2,FALSE)</f>
        <v>Haze Slayer</v>
      </c>
    </row>
    <row r="929" spans="1:10" x14ac:dyDescent="0.25">
      <c r="A929">
        <v>1046</v>
      </c>
      <c r="B929" t="s">
        <v>720</v>
      </c>
      <c r="C929">
        <v>549</v>
      </c>
      <c r="D929">
        <v>512</v>
      </c>
      <c r="E929">
        <v>1576633726</v>
      </c>
      <c r="F929">
        <v>7763</v>
      </c>
      <c r="G929">
        <v>0</v>
      </c>
      <c r="H929" t="s">
        <v>5856</v>
      </c>
      <c r="I929">
        <v>1046</v>
      </c>
      <c r="J929" t="str">
        <f>VLOOKUP(E929,DSSpieler!A:B,2,FALSE)</f>
        <v>lord-blacky1</v>
      </c>
    </row>
    <row r="930" spans="1:10" x14ac:dyDescent="0.25">
      <c r="A930">
        <v>1047</v>
      </c>
      <c r="B930" t="s">
        <v>721</v>
      </c>
      <c r="C930">
        <v>545</v>
      </c>
      <c r="D930">
        <v>415</v>
      </c>
      <c r="E930">
        <v>1576829331</v>
      </c>
      <c r="F930">
        <v>5102</v>
      </c>
      <c r="G930">
        <v>0</v>
      </c>
      <c r="H930" t="s">
        <v>5857</v>
      </c>
      <c r="I930">
        <v>1047</v>
      </c>
      <c r="J930" t="str">
        <f>VLOOKUP(E930,DSSpieler!A:B,2,FALSE)</f>
        <v>DunMaster</v>
      </c>
    </row>
    <row r="931" spans="1:10" x14ac:dyDescent="0.25">
      <c r="A931">
        <v>1048</v>
      </c>
      <c r="B931" t="s">
        <v>30929</v>
      </c>
      <c r="C931">
        <v>490</v>
      </c>
      <c r="D931">
        <v>539</v>
      </c>
      <c r="E931">
        <v>1577183933</v>
      </c>
      <c r="F931">
        <v>335</v>
      </c>
      <c r="G931">
        <v>0</v>
      </c>
      <c r="H931" t="s">
        <v>5858</v>
      </c>
      <c r="I931">
        <v>1048</v>
      </c>
      <c r="J931" t="str">
        <f>VLOOKUP(E931,DSSpieler!A:B,2,FALSE)</f>
        <v>TreqsiiiV</v>
      </c>
    </row>
    <row r="932" spans="1:10" x14ac:dyDescent="0.25">
      <c r="A932">
        <v>1049</v>
      </c>
      <c r="B932">
        <v>1</v>
      </c>
      <c r="C932">
        <v>544</v>
      </c>
      <c r="D932">
        <v>516</v>
      </c>
      <c r="E932">
        <v>1577070621</v>
      </c>
      <c r="F932">
        <v>5577</v>
      </c>
      <c r="G932">
        <v>0</v>
      </c>
      <c r="H932" t="s">
        <v>5859</v>
      </c>
      <c r="I932">
        <v>1049</v>
      </c>
      <c r="J932" t="str">
        <f>VLOOKUP(E932,DSSpieler!A:B,2,FALSE)</f>
        <v>mulan1982</v>
      </c>
    </row>
    <row r="933" spans="1:10" x14ac:dyDescent="0.25">
      <c r="A933">
        <v>1050</v>
      </c>
      <c r="B933" t="s">
        <v>722</v>
      </c>
      <c r="C933">
        <v>548</v>
      </c>
      <c r="D933">
        <v>396</v>
      </c>
      <c r="E933">
        <v>1577150723</v>
      </c>
      <c r="F933">
        <v>6310</v>
      </c>
      <c r="G933">
        <v>0</v>
      </c>
      <c r="H933" t="s">
        <v>5860</v>
      </c>
      <c r="I933">
        <v>1050</v>
      </c>
      <c r="J933" t="str">
        <f>VLOOKUP(E933,DSSpieler!A:B,2,FALSE)</f>
        <v>XXDarkNightXX</v>
      </c>
    </row>
    <row r="934" spans="1:10" x14ac:dyDescent="0.25">
      <c r="A934">
        <v>1051</v>
      </c>
      <c r="B934" t="s">
        <v>30930</v>
      </c>
      <c r="C934">
        <v>567</v>
      </c>
      <c r="D934">
        <v>414</v>
      </c>
      <c r="E934">
        <v>2692887</v>
      </c>
      <c r="F934">
        <v>6710</v>
      </c>
      <c r="G934">
        <v>0</v>
      </c>
      <c r="H934" t="s">
        <v>5861</v>
      </c>
      <c r="I934">
        <v>1051</v>
      </c>
      <c r="J934" t="str">
        <f>VLOOKUP(E934,DSSpieler!A:B,2,FALSE)</f>
        <v>DerStaubtöter</v>
      </c>
    </row>
    <row r="935" spans="1:10" x14ac:dyDescent="0.25">
      <c r="A935">
        <v>1052</v>
      </c>
      <c r="B935" t="s">
        <v>531</v>
      </c>
      <c r="C935">
        <v>558</v>
      </c>
      <c r="D935">
        <v>547</v>
      </c>
      <c r="E935">
        <v>0</v>
      </c>
      <c r="F935">
        <v>346</v>
      </c>
      <c r="G935">
        <v>0</v>
      </c>
      <c r="H935" t="s">
        <v>5862</v>
      </c>
      <c r="I935">
        <v>1052</v>
      </c>
      <c r="J935" t="e">
        <f>VLOOKUP(E935,DSSpieler!A:B,2,FALSE)</f>
        <v>#N/A</v>
      </c>
    </row>
    <row r="936" spans="1:10" x14ac:dyDescent="0.25">
      <c r="A936">
        <v>1053</v>
      </c>
      <c r="B936">
        <v>1902</v>
      </c>
      <c r="C936">
        <v>562</v>
      </c>
      <c r="D936">
        <v>407</v>
      </c>
      <c r="E936">
        <v>1577184564</v>
      </c>
      <c r="F936">
        <v>6811</v>
      </c>
      <c r="G936">
        <v>0</v>
      </c>
      <c r="H936" t="s">
        <v>5863</v>
      </c>
      <c r="I936">
        <v>1053</v>
      </c>
      <c r="J936" t="str">
        <f>VLOOKUP(E936,DSSpieler!A:B,2,FALSE)</f>
        <v>Raztur</v>
      </c>
    </row>
    <row r="937" spans="1:10" x14ac:dyDescent="0.25">
      <c r="A937">
        <v>1055</v>
      </c>
      <c r="B937" t="s">
        <v>531</v>
      </c>
      <c r="C937">
        <v>515</v>
      </c>
      <c r="D937">
        <v>508</v>
      </c>
      <c r="E937">
        <v>0</v>
      </c>
      <c r="F937">
        <v>344</v>
      </c>
      <c r="G937">
        <v>0</v>
      </c>
      <c r="H937" t="s">
        <v>5864</v>
      </c>
      <c r="I937">
        <v>1055</v>
      </c>
      <c r="J937" t="e">
        <f>VLOOKUP(E937,DSSpieler!A:B,2,FALSE)</f>
        <v>#N/A</v>
      </c>
    </row>
    <row r="938" spans="1:10" x14ac:dyDescent="0.25">
      <c r="A938">
        <v>1056</v>
      </c>
      <c r="B938" t="s">
        <v>723</v>
      </c>
      <c r="C938">
        <v>448</v>
      </c>
      <c r="D938">
        <v>451</v>
      </c>
      <c r="E938">
        <v>1577165097</v>
      </c>
      <c r="F938">
        <v>784</v>
      </c>
      <c r="G938">
        <v>0</v>
      </c>
      <c r="H938" t="s">
        <v>5865</v>
      </c>
      <c r="I938">
        <v>1056</v>
      </c>
      <c r="J938" t="str">
        <f>VLOOKUP(E938,DSSpieler!A:B,2,FALSE)</f>
        <v>Nikey20</v>
      </c>
    </row>
    <row r="939" spans="1:10" x14ac:dyDescent="0.25">
      <c r="A939">
        <v>1057</v>
      </c>
      <c r="B939" t="s">
        <v>30931</v>
      </c>
      <c r="C939">
        <v>533</v>
      </c>
      <c r="D939">
        <v>513</v>
      </c>
      <c r="E939">
        <v>1271966</v>
      </c>
      <c r="F939">
        <v>1973</v>
      </c>
      <c r="G939">
        <v>0</v>
      </c>
      <c r="H939" t="s">
        <v>5866</v>
      </c>
      <c r="I939">
        <v>1057</v>
      </c>
      <c r="J939" t="str">
        <f>VLOOKUP(E939,DSSpieler!A:B,2,FALSE)</f>
        <v>-Kaan-</v>
      </c>
    </row>
    <row r="940" spans="1:10" x14ac:dyDescent="0.25">
      <c r="A940">
        <v>1058</v>
      </c>
      <c r="B940" t="s">
        <v>531</v>
      </c>
      <c r="C940">
        <v>536</v>
      </c>
      <c r="D940">
        <v>504</v>
      </c>
      <c r="E940">
        <v>0</v>
      </c>
      <c r="F940">
        <v>540</v>
      </c>
      <c r="G940">
        <v>0</v>
      </c>
      <c r="H940" t="s">
        <v>5867</v>
      </c>
      <c r="I940">
        <v>1058</v>
      </c>
      <c r="J940" t="e">
        <f>VLOOKUP(E940,DSSpieler!A:B,2,FALSE)</f>
        <v>#N/A</v>
      </c>
    </row>
    <row r="941" spans="1:10" x14ac:dyDescent="0.25">
      <c r="A941">
        <v>1059</v>
      </c>
      <c r="B941" t="s">
        <v>531</v>
      </c>
      <c r="C941">
        <v>539</v>
      </c>
      <c r="D941">
        <v>518</v>
      </c>
      <c r="E941">
        <v>0</v>
      </c>
      <c r="F941">
        <v>609</v>
      </c>
      <c r="G941">
        <v>0</v>
      </c>
      <c r="H941" t="s">
        <v>5868</v>
      </c>
      <c r="I941">
        <v>1059</v>
      </c>
      <c r="J941" t="e">
        <f>VLOOKUP(E941,DSSpieler!A:B,2,FALSE)</f>
        <v>#N/A</v>
      </c>
    </row>
    <row r="942" spans="1:10" x14ac:dyDescent="0.25">
      <c r="A942">
        <v>1061</v>
      </c>
      <c r="B942" t="s">
        <v>531</v>
      </c>
      <c r="C942">
        <v>532</v>
      </c>
      <c r="D942">
        <v>507</v>
      </c>
      <c r="E942">
        <v>7801744</v>
      </c>
      <c r="F942">
        <v>358</v>
      </c>
      <c r="G942">
        <v>0</v>
      </c>
      <c r="H942" t="s">
        <v>5869</v>
      </c>
      <c r="I942">
        <v>1061</v>
      </c>
      <c r="J942" t="str">
        <f>VLOOKUP(E942,DSSpieler!A:B,2,FALSE)</f>
        <v>jens76</v>
      </c>
    </row>
    <row r="943" spans="1:10" x14ac:dyDescent="0.25">
      <c r="A943">
        <v>1062</v>
      </c>
      <c r="B943" t="s">
        <v>531</v>
      </c>
      <c r="C943">
        <v>544</v>
      </c>
      <c r="D943">
        <v>515</v>
      </c>
      <c r="E943">
        <v>0</v>
      </c>
      <c r="F943">
        <v>694</v>
      </c>
      <c r="G943">
        <v>0</v>
      </c>
      <c r="H943" t="s">
        <v>5870</v>
      </c>
      <c r="I943">
        <v>1062</v>
      </c>
      <c r="J943" t="e">
        <f>VLOOKUP(E943,DSSpieler!A:B,2,FALSE)</f>
        <v>#N/A</v>
      </c>
    </row>
    <row r="944" spans="1:10" x14ac:dyDescent="0.25">
      <c r="A944">
        <v>1063</v>
      </c>
      <c r="B944" t="s">
        <v>30932</v>
      </c>
      <c r="C944">
        <v>540</v>
      </c>
      <c r="D944">
        <v>501</v>
      </c>
      <c r="E944">
        <v>1577128997</v>
      </c>
      <c r="F944">
        <v>1197</v>
      </c>
      <c r="G944">
        <v>0</v>
      </c>
      <c r="H944" t="s">
        <v>5871</v>
      </c>
      <c r="I944">
        <v>1063</v>
      </c>
      <c r="J944" t="str">
        <f>VLOOKUP(E944,DSSpieler!A:B,2,FALSE)</f>
        <v>Xadertim</v>
      </c>
    </row>
    <row r="945" spans="1:10" x14ac:dyDescent="0.25">
      <c r="A945">
        <v>1064</v>
      </c>
      <c r="B945" t="s">
        <v>531</v>
      </c>
      <c r="C945">
        <v>536</v>
      </c>
      <c r="D945">
        <v>517</v>
      </c>
      <c r="E945">
        <v>0</v>
      </c>
      <c r="F945">
        <v>399</v>
      </c>
      <c r="G945">
        <v>0</v>
      </c>
      <c r="H945" t="s">
        <v>5872</v>
      </c>
      <c r="I945">
        <v>1064</v>
      </c>
      <c r="J945" t="e">
        <f>VLOOKUP(E945,DSSpieler!A:B,2,FALSE)</f>
        <v>#N/A</v>
      </c>
    </row>
    <row r="946" spans="1:10" x14ac:dyDescent="0.25">
      <c r="A946">
        <v>1065</v>
      </c>
      <c r="B946" t="s">
        <v>30933</v>
      </c>
      <c r="C946">
        <v>538</v>
      </c>
      <c r="D946">
        <v>511</v>
      </c>
      <c r="E946">
        <v>1577184925</v>
      </c>
      <c r="F946">
        <v>956</v>
      </c>
      <c r="G946">
        <v>0</v>
      </c>
      <c r="H946" t="s">
        <v>5873</v>
      </c>
      <c r="I946">
        <v>1065</v>
      </c>
      <c r="J946" t="str">
        <f>VLOOKUP(E946,DSSpieler!A:B,2,FALSE)</f>
        <v>.Brian</v>
      </c>
    </row>
    <row r="947" spans="1:10" x14ac:dyDescent="0.25">
      <c r="A947">
        <v>1066</v>
      </c>
      <c r="B947" t="s">
        <v>531</v>
      </c>
      <c r="C947">
        <v>541</v>
      </c>
      <c r="D947">
        <v>503</v>
      </c>
      <c r="E947">
        <v>0</v>
      </c>
      <c r="F947">
        <v>260</v>
      </c>
      <c r="G947">
        <v>0</v>
      </c>
      <c r="H947" t="s">
        <v>5874</v>
      </c>
      <c r="I947">
        <v>1066</v>
      </c>
      <c r="J947" t="e">
        <f>VLOOKUP(E947,DSSpieler!A:B,2,FALSE)</f>
        <v>#N/A</v>
      </c>
    </row>
    <row r="948" spans="1:10" x14ac:dyDescent="0.25">
      <c r="A948">
        <v>1067</v>
      </c>
      <c r="B948" t="s">
        <v>531</v>
      </c>
      <c r="C948">
        <v>533</v>
      </c>
      <c r="D948">
        <v>506</v>
      </c>
      <c r="E948">
        <v>0</v>
      </c>
      <c r="F948">
        <v>223</v>
      </c>
      <c r="G948">
        <v>0</v>
      </c>
      <c r="H948" t="s">
        <v>5875</v>
      </c>
      <c r="I948">
        <v>1067</v>
      </c>
      <c r="J948" t="e">
        <f>VLOOKUP(E948,DSSpieler!A:B,2,FALSE)</f>
        <v>#N/A</v>
      </c>
    </row>
    <row r="949" spans="1:10" x14ac:dyDescent="0.25">
      <c r="A949">
        <v>1068</v>
      </c>
      <c r="B949">
        <v>2</v>
      </c>
      <c r="C949">
        <v>542</v>
      </c>
      <c r="D949">
        <v>509</v>
      </c>
      <c r="E949">
        <v>1577175720</v>
      </c>
      <c r="F949">
        <v>5102</v>
      </c>
      <c r="G949">
        <v>0</v>
      </c>
      <c r="H949" t="s">
        <v>5876</v>
      </c>
      <c r="I949">
        <v>1068</v>
      </c>
      <c r="J949" t="str">
        <f>VLOOKUP(E949,DSSpieler!A:B,2,FALSE)</f>
        <v>Domi-92</v>
      </c>
    </row>
    <row r="950" spans="1:10" x14ac:dyDescent="0.25">
      <c r="A950">
        <v>1069</v>
      </c>
      <c r="B950" t="s">
        <v>724</v>
      </c>
      <c r="C950">
        <v>537</v>
      </c>
      <c r="D950">
        <v>503</v>
      </c>
      <c r="E950">
        <v>1577047575</v>
      </c>
      <c r="F950">
        <v>3376</v>
      </c>
      <c r="G950">
        <v>0</v>
      </c>
      <c r="H950" t="s">
        <v>5877</v>
      </c>
      <c r="I950">
        <v>1069</v>
      </c>
      <c r="J950" t="str">
        <f>VLOOKUP(E950,DSSpieler!A:B,2,FALSE)</f>
        <v>Damian Toerring</v>
      </c>
    </row>
    <row r="951" spans="1:10" x14ac:dyDescent="0.25">
      <c r="A951">
        <v>1070</v>
      </c>
      <c r="B951" t="s">
        <v>30934</v>
      </c>
      <c r="C951">
        <v>553</v>
      </c>
      <c r="D951">
        <v>514</v>
      </c>
      <c r="E951">
        <v>1577196954</v>
      </c>
      <c r="F951">
        <v>2681</v>
      </c>
      <c r="G951">
        <v>0</v>
      </c>
      <c r="H951" t="s">
        <v>5878</v>
      </c>
      <c r="I951">
        <v>1070</v>
      </c>
      <c r="J951" t="str">
        <f>VLOOKUP(E951,DSSpieler!A:B,2,FALSE)</f>
        <v>SirLanzeloterus</v>
      </c>
    </row>
    <row r="952" spans="1:10" x14ac:dyDescent="0.25">
      <c r="A952">
        <v>1071</v>
      </c>
      <c r="B952" t="s">
        <v>531</v>
      </c>
      <c r="C952">
        <v>457</v>
      </c>
      <c r="D952">
        <v>524</v>
      </c>
      <c r="E952">
        <v>0</v>
      </c>
      <c r="F952">
        <v>266</v>
      </c>
      <c r="G952">
        <v>0</v>
      </c>
      <c r="H952" t="s">
        <v>5879</v>
      </c>
      <c r="I952">
        <v>1071</v>
      </c>
      <c r="J952" t="e">
        <f>VLOOKUP(E952,DSSpieler!A:B,2,FALSE)</f>
        <v>#N/A</v>
      </c>
    </row>
    <row r="953" spans="1:10" x14ac:dyDescent="0.25">
      <c r="A953">
        <v>1072</v>
      </c>
      <c r="B953">
        <v>3</v>
      </c>
      <c r="C953">
        <v>545</v>
      </c>
      <c r="D953">
        <v>500</v>
      </c>
      <c r="E953">
        <v>9862117</v>
      </c>
      <c r="F953">
        <v>2324</v>
      </c>
      <c r="G953">
        <v>0</v>
      </c>
      <c r="H953" t="s">
        <v>5880</v>
      </c>
      <c r="I953">
        <v>1072</v>
      </c>
      <c r="J953" t="str">
        <f>VLOOKUP(E953,DSSpieler!A:B,2,FALSE)</f>
        <v>michi1887</v>
      </c>
    </row>
    <row r="954" spans="1:10" x14ac:dyDescent="0.25">
      <c r="A954">
        <v>1073</v>
      </c>
      <c r="B954" t="s">
        <v>30935</v>
      </c>
      <c r="C954">
        <v>541</v>
      </c>
      <c r="D954">
        <v>514</v>
      </c>
      <c r="E954">
        <v>8723730</v>
      </c>
      <c r="F954">
        <v>955</v>
      </c>
      <c r="G954">
        <v>0</v>
      </c>
      <c r="H954" t="s">
        <v>5881</v>
      </c>
      <c r="I954">
        <v>1073</v>
      </c>
      <c r="J954" t="str">
        <f>VLOOKUP(E954,DSSpieler!A:B,2,FALSE)</f>
        <v>Baint</v>
      </c>
    </row>
    <row r="955" spans="1:10" x14ac:dyDescent="0.25">
      <c r="A955">
        <v>1074</v>
      </c>
      <c r="B955" t="s">
        <v>531</v>
      </c>
      <c r="C955">
        <v>544</v>
      </c>
      <c r="D955">
        <v>521</v>
      </c>
      <c r="E955">
        <v>0</v>
      </c>
      <c r="F955">
        <v>882</v>
      </c>
      <c r="G955">
        <v>0</v>
      </c>
      <c r="H955" t="s">
        <v>5882</v>
      </c>
      <c r="I955">
        <v>1074</v>
      </c>
      <c r="J955" t="e">
        <f>VLOOKUP(E955,DSSpieler!A:B,2,FALSE)</f>
        <v>#N/A</v>
      </c>
    </row>
    <row r="956" spans="1:10" x14ac:dyDescent="0.25">
      <c r="A956">
        <v>1075</v>
      </c>
      <c r="B956" t="s">
        <v>30936</v>
      </c>
      <c r="C956">
        <v>528</v>
      </c>
      <c r="D956">
        <v>508</v>
      </c>
      <c r="E956">
        <v>1577185779</v>
      </c>
      <c r="F956">
        <v>6502</v>
      </c>
      <c r="G956">
        <v>0</v>
      </c>
      <c r="H956" t="s">
        <v>5883</v>
      </c>
      <c r="I956">
        <v>1075</v>
      </c>
      <c r="J956" t="str">
        <f>VLOOKUP(E956,DSSpieler!A:B,2,FALSE)</f>
        <v>PenguBoy</v>
      </c>
    </row>
    <row r="957" spans="1:10" x14ac:dyDescent="0.25">
      <c r="A957">
        <v>1076</v>
      </c>
      <c r="B957" t="s">
        <v>531</v>
      </c>
      <c r="C957">
        <v>539</v>
      </c>
      <c r="D957">
        <v>567</v>
      </c>
      <c r="E957">
        <v>0</v>
      </c>
      <c r="F957">
        <v>380</v>
      </c>
      <c r="G957">
        <v>0</v>
      </c>
      <c r="H957" t="s">
        <v>5884</v>
      </c>
      <c r="I957">
        <v>1076</v>
      </c>
      <c r="J957" t="e">
        <f>VLOOKUP(E957,DSSpieler!A:B,2,FALSE)</f>
        <v>#N/A</v>
      </c>
    </row>
    <row r="958" spans="1:10" x14ac:dyDescent="0.25">
      <c r="A958">
        <v>1077</v>
      </c>
      <c r="B958" t="s">
        <v>531</v>
      </c>
      <c r="C958">
        <v>543</v>
      </c>
      <c r="D958">
        <v>505</v>
      </c>
      <c r="E958">
        <v>0</v>
      </c>
      <c r="F958">
        <v>992</v>
      </c>
      <c r="G958">
        <v>0</v>
      </c>
      <c r="H958" t="s">
        <v>5885</v>
      </c>
      <c r="I958">
        <v>1077</v>
      </c>
      <c r="J958" t="e">
        <f>VLOOKUP(E958,DSSpieler!A:B,2,FALSE)</f>
        <v>#N/A</v>
      </c>
    </row>
    <row r="959" spans="1:10" x14ac:dyDescent="0.25">
      <c r="A959">
        <v>1078</v>
      </c>
      <c r="B959" t="s">
        <v>30937</v>
      </c>
      <c r="C959">
        <v>528</v>
      </c>
      <c r="D959">
        <v>504</v>
      </c>
      <c r="E959">
        <v>8370596</v>
      </c>
      <c r="F959">
        <v>6206</v>
      </c>
      <c r="G959">
        <v>0</v>
      </c>
      <c r="H959" t="s">
        <v>5886</v>
      </c>
      <c r="I959">
        <v>1078</v>
      </c>
      <c r="J959" t="str">
        <f>VLOOKUP(E959,DSSpieler!A:B,2,FALSE)</f>
        <v>aL3xEy</v>
      </c>
    </row>
    <row r="960" spans="1:10" x14ac:dyDescent="0.25">
      <c r="A960">
        <v>1079</v>
      </c>
      <c r="B960" t="s">
        <v>531</v>
      </c>
      <c r="C960">
        <v>505</v>
      </c>
      <c r="D960">
        <v>443</v>
      </c>
      <c r="E960">
        <v>0</v>
      </c>
      <c r="F960">
        <v>321</v>
      </c>
      <c r="G960">
        <v>0</v>
      </c>
      <c r="H960" t="s">
        <v>5887</v>
      </c>
      <c r="I960">
        <v>1079</v>
      </c>
      <c r="J960" t="e">
        <f>VLOOKUP(E960,DSSpieler!A:B,2,FALSE)</f>
        <v>#N/A</v>
      </c>
    </row>
    <row r="961" spans="1:10" x14ac:dyDescent="0.25">
      <c r="A961">
        <v>1080</v>
      </c>
      <c r="B961" t="s">
        <v>30938</v>
      </c>
      <c r="C961">
        <v>526</v>
      </c>
      <c r="D961">
        <v>512</v>
      </c>
      <c r="E961">
        <v>1577198119</v>
      </c>
      <c r="F961">
        <v>1858</v>
      </c>
      <c r="G961">
        <v>0</v>
      </c>
      <c r="H961" t="s">
        <v>5888</v>
      </c>
      <c r="I961">
        <v>1080</v>
      </c>
      <c r="J961" t="str">
        <f>VLOOKUP(E961,DSSpieler!A:B,2,FALSE)</f>
        <v>Roja</v>
      </c>
    </row>
    <row r="962" spans="1:10" x14ac:dyDescent="0.25">
      <c r="A962">
        <v>1081</v>
      </c>
      <c r="B962" t="s">
        <v>531</v>
      </c>
      <c r="C962">
        <v>530</v>
      </c>
      <c r="D962">
        <v>526</v>
      </c>
      <c r="E962">
        <v>0</v>
      </c>
      <c r="F962">
        <v>223</v>
      </c>
      <c r="G962">
        <v>0</v>
      </c>
      <c r="H962" t="s">
        <v>5889</v>
      </c>
      <c r="I962">
        <v>1081</v>
      </c>
      <c r="J962" t="e">
        <f>VLOOKUP(E962,DSSpieler!A:B,2,FALSE)</f>
        <v>#N/A</v>
      </c>
    </row>
    <row r="963" spans="1:10" x14ac:dyDescent="0.25">
      <c r="A963">
        <v>1082</v>
      </c>
      <c r="B963">
        <v>2</v>
      </c>
      <c r="C963">
        <v>541</v>
      </c>
      <c r="D963">
        <v>518</v>
      </c>
      <c r="E963">
        <v>1577070621</v>
      </c>
      <c r="F963">
        <v>3099</v>
      </c>
      <c r="G963">
        <v>0</v>
      </c>
      <c r="H963" t="s">
        <v>5890</v>
      </c>
      <c r="I963">
        <v>1082</v>
      </c>
      <c r="J963" t="str">
        <f>VLOOKUP(E963,DSSpieler!A:B,2,FALSE)</f>
        <v>mulan1982</v>
      </c>
    </row>
    <row r="964" spans="1:10" x14ac:dyDescent="0.25">
      <c r="A964">
        <v>1083</v>
      </c>
      <c r="B964" t="s">
        <v>531</v>
      </c>
      <c r="C964">
        <v>537</v>
      </c>
      <c r="D964">
        <v>434</v>
      </c>
      <c r="E964">
        <v>0</v>
      </c>
      <c r="F964">
        <v>367</v>
      </c>
      <c r="G964">
        <v>0</v>
      </c>
      <c r="H964" t="s">
        <v>5891</v>
      </c>
      <c r="I964">
        <v>1083</v>
      </c>
      <c r="J964" t="e">
        <f>VLOOKUP(E964,DSSpieler!A:B,2,FALSE)</f>
        <v>#N/A</v>
      </c>
    </row>
    <row r="965" spans="1:10" x14ac:dyDescent="0.25">
      <c r="A965">
        <v>1084</v>
      </c>
      <c r="B965" t="e">
        <f>-4-+Domske1</f>
        <v>#NAME?</v>
      </c>
      <c r="C965">
        <v>533</v>
      </c>
      <c r="D965">
        <v>505</v>
      </c>
      <c r="E965">
        <v>3289095</v>
      </c>
      <c r="F965">
        <v>1918</v>
      </c>
      <c r="G965">
        <v>0</v>
      </c>
      <c r="H965" t="s">
        <v>5892</v>
      </c>
      <c r="I965">
        <v>1084</v>
      </c>
      <c r="J965" t="str">
        <f>VLOOKUP(E965,DSSpieler!A:B,2,FALSE)</f>
        <v>john1988</v>
      </c>
    </row>
    <row r="966" spans="1:10" x14ac:dyDescent="0.25">
      <c r="A966">
        <v>1085</v>
      </c>
      <c r="B966" t="s">
        <v>531</v>
      </c>
      <c r="C966">
        <v>504</v>
      </c>
      <c r="D966">
        <v>550</v>
      </c>
      <c r="E966">
        <v>0</v>
      </c>
      <c r="F966">
        <v>339</v>
      </c>
      <c r="G966">
        <v>0</v>
      </c>
      <c r="H966" t="s">
        <v>5893</v>
      </c>
      <c r="I966">
        <v>1085</v>
      </c>
      <c r="J966" t="e">
        <f>VLOOKUP(E966,DSSpieler!A:B,2,FALSE)</f>
        <v>#N/A</v>
      </c>
    </row>
    <row r="967" spans="1:10" x14ac:dyDescent="0.25">
      <c r="A967">
        <v>1086</v>
      </c>
      <c r="B967" t="s">
        <v>30939</v>
      </c>
      <c r="C967">
        <v>483</v>
      </c>
      <c r="D967">
        <v>465</v>
      </c>
      <c r="E967">
        <v>9714561</v>
      </c>
      <c r="F967">
        <v>5901</v>
      </c>
      <c r="G967">
        <v>0</v>
      </c>
      <c r="H967" t="s">
        <v>5894</v>
      </c>
      <c r="I967">
        <v>1086</v>
      </c>
      <c r="J967" t="str">
        <f>VLOOKUP(E967,DSSpieler!A:B,2,FALSE)</f>
        <v>Flipsi777</v>
      </c>
    </row>
    <row r="968" spans="1:10" x14ac:dyDescent="0.25">
      <c r="A968">
        <v>1087</v>
      </c>
      <c r="B968" t="s">
        <v>30940</v>
      </c>
      <c r="C968">
        <v>484</v>
      </c>
      <c r="D968">
        <v>463</v>
      </c>
      <c r="E968">
        <v>1577194539</v>
      </c>
      <c r="F968">
        <v>7190</v>
      </c>
      <c r="G968">
        <v>0</v>
      </c>
      <c r="H968" t="s">
        <v>5895</v>
      </c>
      <c r="I968">
        <v>1087</v>
      </c>
      <c r="J968" t="str">
        <f>VLOOKUP(E968,DSSpieler!A:B,2,FALSE)</f>
        <v>DayWalk3r</v>
      </c>
    </row>
    <row r="969" spans="1:10" x14ac:dyDescent="0.25">
      <c r="A969">
        <v>1088</v>
      </c>
      <c r="B969" t="s">
        <v>531</v>
      </c>
      <c r="C969">
        <v>477</v>
      </c>
      <c r="D969">
        <v>460</v>
      </c>
      <c r="E969">
        <v>0</v>
      </c>
      <c r="F969">
        <v>470</v>
      </c>
      <c r="G969">
        <v>0</v>
      </c>
      <c r="H969" t="s">
        <v>5896</v>
      </c>
      <c r="I969">
        <v>1088</v>
      </c>
      <c r="J969" t="e">
        <f>VLOOKUP(E969,DSSpieler!A:B,2,FALSE)</f>
        <v>#N/A</v>
      </c>
    </row>
    <row r="970" spans="1:10" x14ac:dyDescent="0.25">
      <c r="A970">
        <v>1089</v>
      </c>
      <c r="B970" t="s">
        <v>531</v>
      </c>
      <c r="C970">
        <v>522</v>
      </c>
      <c r="D970">
        <v>438</v>
      </c>
      <c r="E970">
        <v>0</v>
      </c>
      <c r="F970">
        <v>535</v>
      </c>
      <c r="G970">
        <v>0</v>
      </c>
      <c r="H970" t="s">
        <v>5897</v>
      </c>
      <c r="I970">
        <v>1089</v>
      </c>
      <c r="J970" t="e">
        <f>VLOOKUP(E970,DSSpieler!A:B,2,FALSE)</f>
        <v>#N/A</v>
      </c>
    </row>
    <row r="971" spans="1:10" x14ac:dyDescent="0.25">
      <c r="A971">
        <v>1090</v>
      </c>
      <c r="B971" t="s">
        <v>30941</v>
      </c>
      <c r="C971">
        <v>493</v>
      </c>
      <c r="D971">
        <v>459</v>
      </c>
      <c r="E971">
        <v>1577194575</v>
      </c>
      <c r="F971">
        <v>6833</v>
      </c>
      <c r="G971">
        <v>0</v>
      </c>
      <c r="H971" t="s">
        <v>5898</v>
      </c>
      <c r="I971">
        <v>1090</v>
      </c>
      <c r="J971" t="str">
        <f>VLOOKUP(E971,DSSpieler!A:B,2,FALSE)</f>
        <v>Lugge738</v>
      </c>
    </row>
    <row r="972" spans="1:10" x14ac:dyDescent="0.25">
      <c r="A972">
        <v>1091</v>
      </c>
      <c r="B972" t="s">
        <v>30942</v>
      </c>
      <c r="C972">
        <v>481</v>
      </c>
      <c r="D972">
        <v>451</v>
      </c>
      <c r="E972">
        <v>1577194539</v>
      </c>
      <c r="F972">
        <v>6080</v>
      </c>
      <c r="G972">
        <v>0</v>
      </c>
      <c r="H972" t="s">
        <v>5899</v>
      </c>
      <c r="I972">
        <v>1091</v>
      </c>
      <c r="J972" t="str">
        <f>VLOOKUP(E972,DSSpieler!A:B,2,FALSE)</f>
        <v>DayWalk3r</v>
      </c>
    </row>
    <row r="973" spans="1:10" x14ac:dyDescent="0.25">
      <c r="A973">
        <v>1092</v>
      </c>
      <c r="B973" t="s">
        <v>725</v>
      </c>
      <c r="C973">
        <v>481</v>
      </c>
      <c r="D973">
        <v>463</v>
      </c>
      <c r="E973">
        <v>1577194599</v>
      </c>
      <c r="F973">
        <v>5695</v>
      </c>
      <c r="G973">
        <v>0</v>
      </c>
      <c r="H973" t="s">
        <v>5900</v>
      </c>
      <c r="I973">
        <v>1092</v>
      </c>
      <c r="J973" t="str">
        <f>VLOOKUP(E973,DSSpieler!A:B,2,FALSE)</f>
        <v>robin2909</v>
      </c>
    </row>
    <row r="974" spans="1:10" x14ac:dyDescent="0.25">
      <c r="A974">
        <v>1093</v>
      </c>
      <c r="B974" t="s">
        <v>531</v>
      </c>
      <c r="C974">
        <v>486</v>
      </c>
      <c r="D974">
        <v>434</v>
      </c>
      <c r="E974">
        <v>0</v>
      </c>
      <c r="F974">
        <v>552</v>
      </c>
      <c r="G974">
        <v>0</v>
      </c>
      <c r="H974" t="s">
        <v>5901</v>
      </c>
      <c r="I974">
        <v>1093</v>
      </c>
      <c r="J974" t="e">
        <f>VLOOKUP(E974,DSSpieler!A:B,2,FALSE)</f>
        <v>#N/A</v>
      </c>
    </row>
    <row r="975" spans="1:10" x14ac:dyDescent="0.25">
      <c r="A975">
        <v>1094</v>
      </c>
      <c r="B975" t="s">
        <v>30943</v>
      </c>
      <c r="C975">
        <v>587</v>
      </c>
      <c r="D975">
        <v>566</v>
      </c>
      <c r="E975">
        <v>9846715</v>
      </c>
      <c r="F975">
        <v>5670</v>
      </c>
      <c r="G975">
        <v>0</v>
      </c>
      <c r="H975" t="s">
        <v>5902</v>
      </c>
      <c r="I975">
        <v>1094</v>
      </c>
      <c r="J975" t="str">
        <f>VLOOKUP(E975,DSSpieler!A:B,2,FALSE)</f>
        <v>Cheese03</v>
      </c>
    </row>
    <row r="976" spans="1:10" x14ac:dyDescent="0.25">
      <c r="A976">
        <v>1095</v>
      </c>
      <c r="B976" t="s">
        <v>726</v>
      </c>
      <c r="C976">
        <v>591</v>
      </c>
      <c r="D976">
        <v>569</v>
      </c>
      <c r="E976">
        <v>1576814505</v>
      </c>
      <c r="F976">
        <v>7165</v>
      </c>
      <c r="G976">
        <v>0</v>
      </c>
      <c r="H976" t="s">
        <v>5903</v>
      </c>
      <c r="I976">
        <v>1095</v>
      </c>
      <c r="J976" t="str">
        <f>VLOOKUP(E976,DSSpieler!A:B,2,FALSE)</f>
        <v>LeonxD</v>
      </c>
    </row>
    <row r="977" spans="1:10" x14ac:dyDescent="0.25">
      <c r="A977">
        <v>1096</v>
      </c>
      <c r="B977" t="s">
        <v>30944</v>
      </c>
      <c r="C977">
        <v>582</v>
      </c>
      <c r="D977">
        <v>573</v>
      </c>
      <c r="E977">
        <v>1577143632</v>
      </c>
      <c r="F977">
        <v>5281</v>
      </c>
      <c r="G977">
        <v>0</v>
      </c>
      <c r="H977" t="s">
        <v>5904</v>
      </c>
      <c r="I977">
        <v>1096</v>
      </c>
      <c r="J977" t="str">
        <f>VLOOKUP(E977,DSSpieler!A:B,2,FALSE)</f>
        <v>Bl00Dy</v>
      </c>
    </row>
    <row r="978" spans="1:10" x14ac:dyDescent="0.25">
      <c r="A978">
        <v>1097</v>
      </c>
      <c r="B978" t="s">
        <v>30945</v>
      </c>
      <c r="C978">
        <v>592</v>
      </c>
      <c r="D978">
        <v>452</v>
      </c>
      <c r="E978">
        <v>1575891872</v>
      </c>
      <c r="F978">
        <v>4890</v>
      </c>
      <c r="G978">
        <v>0</v>
      </c>
      <c r="H978" t="s">
        <v>5905</v>
      </c>
      <c r="I978">
        <v>1097</v>
      </c>
      <c r="J978" t="str">
        <f>VLOOKUP(E978,DSSpieler!A:B,2,FALSE)</f>
        <v>Angsthasen 2.0</v>
      </c>
    </row>
    <row r="979" spans="1:10" x14ac:dyDescent="0.25">
      <c r="A979">
        <v>1098</v>
      </c>
      <c r="B979" t="s">
        <v>30946</v>
      </c>
      <c r="C979">
        <v>573</v>
      </c>
      <c r="D979">
        <v>449</v>
      </c>
      <c r="E979">
        <v>1509395</v>
      </c>
      <c r="F979">
        <v>7748</v>
      </c>
      <c r="G979">
        <v>0</v>
      </c>
      <c r="H979" t="s">
        <v>5906</v>
      </c>
      <c r="I979">
        <v>1098</v>
      </c>
      <c r="J979" t="str">
        <f>VLOOKUP(E979,DSSpieler!A:B,2,FALSE)</f>
        <v>hoyohoyo</v>
      </c>
    </row>
    <row r="980" spans="1:10" x14ac:dyDescent="0.25">
      <c r="A980">
        <v>1099</v>
      </c>
      <c r="B980" t="s">
        <v>687</v>
      </c>
      <c r="C980">
        <v>577</v>
      </c>
      <c r="D980">
        <v>441</v>
      </c>
      <c r="E980">
        <v>2828023</v>
      </c>
      <c r="F980">
        <v>6868</v>
      </c>
      <c r="G980">
        <v>0</v>
      </c>
      <c r="H980" t="s">
        <v>5907</v>
      </c>
      <c r="I980">
        <v>1099</v>
      </c>
      <c r="J980" t="str">
        <f>VLOOKUP(E980,DSSpieler!A:B,2,FALSE)</f>
        <v>zwingherr</v>
      </c>
    </row>
    <row r="981" spans="1:10" x14ac:dyDescent="0.25">
      <c r="A981">
        <v>1100</v>
      </c>
      <c r="B981" t="s">
        <v>727</v>
      </c>
      <c r="C981">
        <v>581</v>
      </c>
      <c r="D981">
        <v>438</v>
      </c>
      <c r="E981">
        <v>8227144</v>
      </c>
      <c r="F981">
        <v>6513</v>
      </c>
      <c r="G981">
        <v>0</v>
      </c>
      <c r="H981" t="s">
        <v>5908</v>
      </c>
      <c r="I981">
        <v>1100</v>
      </c>
      <c r="J981" t="str">
        <f>VLOOKUP(E981,DSSpieler!A:B,2,FALSE)</f>
        <v>Lutz1970</v>
      </c>
    </row>
    <row r="982" spans="1:10" x14ac:dyDescent="0.25">
      <c r="A982">
        <v>1101</v>
      </c>
      <c r="B982">
        <v>4</v>
      </c>
      <c r="C982">
        <v>584</v>
      </c>
      <c r="D982">
        <v>444</v>
      </c>
      <c r="E982">
        <v>3363691</v>
      </c>
      <c r="F982">
        <v>6192</v>
      </c>
      <c r="G982">
        <v>0</v>
      </c>
      <c r="H982" t="s">
        <v>5909</v>
      </c>
      <c r="I982">
        <v>1101</v>
      </c>
      <c r="J982" t="str">
        <f>VLOOKUP(E982,DSSpieler!A:B,2,FALSE)</f>
        <v>LOK3</v>
      </c>
    </row>
    <row r="983" spans="1:10" x14ac:dyDescent="0.25">
      <c r="A983">
        <v>1102</v>
      </c>
      <c r="B983" t="s">
        <v>30947</v>
      </c>
      <c r="C983">
        <v>583</v>
      </c>
      <c r="D983">
        <v>443</v>
      </c>
      <c r="E983">
        <v>1577010127</v>
      </c>
      <c r="F983">
        <v>6060</v>
      </c>
      <c r="G983">
        <v>0</v>
      </c>
      <c r="H983" t="s">
        <v>5910</v>
      </c>
      <c r="I983">
        <v>1102</v>
      </c>
      <c r="J983" t="str">
        <f>VLOOKUP(E983,DSSpieler!A:B,2,FALSE)</f>
        <v>FinallyDark</v>
      </c>
    </row>
    <row r="984" spans="1:10" x14ac:dyDescent="0.25">
      <c r="A984">
        <v>1103</v>
      </c>
      <c r="B984" t="s">
        <v>30948</v>
      </c>
      <c r="C984">
        <v>589</v>
      </c>
      <c r="D984">
        <v>453</v>
      </c>
      <c r="E984">
        <v>8857214</v>
      </c>
      <c r="F984">
        <v>6385</v>
      </c>
      <c r="G984">
        <v>0</v>
      </c>
      <c r="H984" t="s">
        <v>5911</v>
      </c>
      <c r="I984">
        <v>1103</v>
      </c>
      <c r="J984" t="str">
        <f>VLOOKUP(E984,DSSpieler!A:B,2,FALSE)</f>
        <v>TheHardyBoy94</v>
      </c>
    </row>
    <row r="985" spans="1:10" x14ac:dyDescent="0.25">
      <c r="A985">
        <v>1104</v>
      </c>
      <c r="B985" t="s">
        <v>30949</v>
      </c>
      <c r="C985">
        <v>587</v>
      </c>
      <c r="D985">
        <v>433</v>
      </c>
      <c r="E985">
        <v>1577116127</v>
      </c>
      <c r="F985">
        <v>5671</v>
      </c>
      <c r="G985">
        <v>0</v>
      </c>
      <c r="H985" t="s">
        <v>5912</v>
      </c>
      <c r="I985">
        <v>1104</v>
      </c>
      <c r="J985" t="str">
        <f>VLOOKUP(E985,DSSpieler!A:B,2,FALSE)</f>
        <v>awruK</v>
      </c>
    </row>
    <row r="986" spans="1:10" x14ac:dyDescent="0.25">
      <c r="A986">
        <v>1105</v>
      </c>
      <c r="B986">
        <v>1904</v>
      </c>
      <c r="C986">
        <v>591</v>
      </c>
      <c r="D986">
        <v>441</v>
      </c>
      <c r="E986">
        <v>1576728689</v>
      </c>
      <c r="F986">
        <v>5172</v>
      </c>
      <c r="G986">
        <v>0</v>
      </c>
      <c r="H986" t="s">
        <v>5913</v>
      </c>
      <c r="I986">
        <v>1105</v>
      </c>
      <c r="J986" t="str">
        <f>VLOOKUP(E986,DSSpieler!A:B,2,FALSE)</f>
        <v>KingKlooz</v>
      </c>
    </row>
    <row r="987" spans="1:10" x14ac:dyDescent="0.25">
      <c r="A987">
        <v>1106</v>
      </c>
      <c r="B987" t="s">
        <v>728</v>
      </c>
      <c r="C987">
        <v>577</v>
      </c>
      <c r="D987">
        <v>452</v>
      </c>
      <c r="E987">
        <v>1577121578</v>
      </c>
      <c r="F987">
        <v>5660</v>
      </c>
      <c r="G987">
        <v>0</v>
      </c>
      <c r="H987" t="s">
        <v>5914</v>
      </c>
      <c r="I987">
        <v>1106</v>
      </c>
      <c r="J987" t="str">
        <f>VLOOKUP(E987,DSSpieler!A:B,2,FALSE)</f>
        <v>PARAsympathikus</v>
      </c>
    </row>
    <row r="988" spans="1:10" x14ac:dyDescent="0.25">
      <c r="A988">
        <v>1107</v>
      </c>
      <c r="B988" t="s">
        <v>30950</v>
      </c>
      <c r="C988">
        <v>596</v>
      </c>
      <c r="D988">
        <v>451</v>
      </c>
      <c r="E988">
        <v>1577182339</v>
      </c>
      <c r="F988">
        <v>5435</v>
      </c>
      <c r="G988">
        <v>0</v>
      </c>
      <c r="H988" t="s">
        <v>5915</v>
      </c>
      <c r="I988">
        <v>1107</v>
      </c>
      <c r="J988" t="str">
        <f>VLOOKUP(E988,DSSpieler!A:B,2,FALSE)</f>
        <v>OG BananaJoe</v>
      </c>
    </row>
    <row r="989" spans="1:10" x14ac:dyDescent="0.25">
      <c r="A989">
        <v>1108</v>
      </c>
      <c r="B989" t="s">
        <v>30915</v>
      </c>
      <c r="C989">
        <v>578</v>
      </c>
      <c r="D989">
        <v>448</v>
      </c>
      <c r="E989">
        <v>9764098</v>
      </c>
      <c r="F989">
        <v>5380</v>
      </c>
      <c r="G989">
        <v>0</v>
      </c>
      <c r="H989" t="s">
        <v>5916</v>
      </c>
      <c r="I989">
        <v>1108</v>
      </c>
      <c r="J989" t="str">
        <f>VLOOKUP(E989,DSSpieler!A:B,2,FALSE)</f>
        <v>lichtstrahl1408</v>
      </c>
    </row>
    <row r="990" spans="1:10" x14ac:dyDescent="0.25">
      <c r="A990">
        <v>1109</v>
      </c>
      <c r="B990" t="s">
        <v>30951</v>
      </c>
      <c r="C990">
        <v>592</v>
      </c>
      <c r="D990">
        <v>434</v>
      </c>
      <c r="E990">
        <v>10086232</v>
      </c>
      <c r="F990">
        <v>6143</v>
      </c>
      <c r="G990">
        <v>0</v>
      </c>
      <c r="H990" t="s">
        <v>5917</v>
      </c>
      <c r="I990">
        <v>1109</v>
      </c>
      <c r="J990" t="str">
        <f>VLOOKUP(E990,DSSpieler!A:B,2,FALSE)</f>
        <v>Stucki99</v>
      </c>
    </row>
    <row r="991" spans="1:10" x14ac:dyDescent="0.25">
      <c r="A991">
        <v>1110</v>
      </c>
      <c r="B991" t="s">
        <v>729</v>
      </c>
      <c r="C991">
        <v>563</v>
      </c>
      <c r="D991">
        <v>413</v>
      </c>
      <c r="E991">
        <v>10028664</v>
      </c>
      <c r="F991">
        <v>1807</v>
      </c>
      <c r="G991">
        <v>0</v>
      </c>
      <c r="H991" t="s">
        <v>5918</v>
      </c>
      <c r="I991">
        <v>1110</v>
      </c>
      <c r="J991" t="str">
        <f>VLOOKUP(E991,DSSpieler!A:B,2,FALSE)</f>
        <v>Waldinator3005</v>
      </c>
    </row>
    <row r="992" spans="1:10" x14ac:dyDescent="0.25">
      <c r="A992">
        <v>1111</v>
      </c>
      <c r="B992" t="s">
        <v>531</v>
      </c>
      <c r="C992">
        <v>481</v>
      </c>
      <c r="D992">
        <v>533</v>
      </c>
      <c r="E992">
        <v>0</v>
      </c>
      <c r="F992">
        <v>301</v>
      </c>
      <c r="G992">
        <v>0</v>
      </c>
      <c r="H992" t="s">
        <v>5919</v>
      </c>
      <c r="I992">
        <v>1111</v>
      </c>
      <c r="J992" t="e">
        <f>VLOOKUP(E992,DSSpieler!A:B,2,FALSE)</f>
        <v>#N/A</v>
      </c>
    </row>
    <row r="993" spans="1:10" x14ac:dyDescent="0.25">
      <c r="A993">
        <v>1112</v>
      </c>
      <c r="B993" t="s">
        <v>730</v>
      </c>
      <c r="C993">
        <v>583</v>
      </c>
      <c r="D993">
        <v>453</v>
      </c>
      <c r="E993">
        <v>1509395</v>
      </c>
      <c r="F993">
        <v>8093</v>
      </c>
      <c r="G993">
        <v>0</v>
      </c>
      <c r="H993" t="s">
        <v>5920</v>
      </c>
      <c r="I993">
        <v>1112</v>
      </c>
      <c r="J993" t="str">
        <f>VLOOKUP(E993,DSSpieler!A:B,2,FALSE)</f>
        <v>hoyohoyo</v>
      </c>
    </row>
    <row r="994" spans="1:10" x14ac:dyDescent="0.25">
      <c r="A994">
        <v>1113</v>
      </c>
      <c r="B994" t="s">
        <v>30952</v>
      </c>
      <c r="C994">
        <v>585</v>
      </c>
      <c r="D994">
        <v>441</v>
      </c>
      <c r="E994">
        <v>10086232</v>
      </c>
      <c r="F994">
        <v>6433</v>
      </c>
      <c r="G994">
        <v>0</v>
      </c>
      <c r="H994" t="s">
        <v>5921</v>
      </c>
      <c r="I994">
        <v>1113</v>
      </c>
      <c r="J994" t="str">
        <f>VLOOKUP(E994,DSSpieler!A:B,2,FALSE)</f>
        <v>Stucki99</v>
      </c>
    </row>
    <row r="995" spans="1:10" x14ac:dyDescent="0.25">
      <c r="A995">
        <v>1114</v>
      </c>
      <c r="B995" t="s">
        <v>30953</v>
      </c>
      <c r="C995">
        <v>583</v>
      </c>
      <c r="D995">
        <v>447</v>
      </c>
      <c r="E995">
        <v>1576282380</v>
      </c>
      <c r="F995">
        <v>6741</v>
      </c>
      <c r="G995">
        <v>0</v>
      </c>
      <c r="H995" t="s">
        <v>5922</v>
      </c>
      <c r="I995">
        <v>1114</v>
      </c>
      <c r="J995" t="str">
        <f>VLOOKUP(E995,DSSpieler!A:B,2,FALSE)</f>
        <v>d empire</v>
      </c>
    </row>
    <row r="996" spans="1:10" x14ac:dyDescent="0.25">
      <c r="A996">
        <v>1115</v>
      </c>
      <c r="B996" t="s">
        <v>531</v>
      </c>
      <c r="C996">
        <v>523</v>
      </c>
      <c r="D996">
        <v>431</v>
      </c>
      <c r="E996">
        <v>0</v>
      </c>
      <c r="F996">
        <v>467</v>
      </c>
      <c r="G996">
        <v>0</v>
      </c>
      <c r="H996" t="s">
        <v>5923</v>
      </c>
      <c r="I996">
        <v>1115</v>
      </c>
      <c r="J996" t="e">
        <f>VLOOKUP(E996,DSSpieler!A:B,2,FALSE)</f>
        <v>#N/A</v>
      </c>
    </row>
    <row r="997" spans="1:10" x14ac:dyDescent="0.25">
      <c r="A997">
        <v>1116</v>
      </c>
      <c r="B997" t="s">
        <v>30954</v>
      </c>
      <c r="C997">
        <v>591</v>
      </c>
      <c r="D997">
        <v>449</v>
      </c>
      <c r="E997">
        <v>1576983306</v>
      </c>
      <c r="F997">
        <v>6213</v>
      </c>
      <c r="G997">
        <v>0</v>
      </c>
      <c r="H997" t="s">
        <v>5924</v>
      </c>
      <c r="I997">
        <v>1116</v>
      </c>
      <c r="J997" t="str">
        <f>VLOOKUP(E997,DSSpieler!A:B,2,FALSE)</f>
        <v>papa5</v>
      </c>
    </row>
    <row r="998" spans="1:10" x14ac:dyDescent="0.25">
      <c r="A998">
        <v>1117</v>
      </c>
      <c r="B998" t="s">
        <v>30947</v>
      </c>
      <c r="C998">
        <v>585</v>
      </c>
      <c r="D998">
        <v>440</v>
      </c>
      <c r="E998">
        <v>1577010127</v>
      </c>
      <c r="F998">
        <v>5923</v>
      </c>
      <c r="G998">
        <v>0</v>
      </c>
      <c r="H998" t="s">
        <v>5925</v>
      </c>
      <c r="I998">
        <v>1117</v>
      </c>
      <c r="J998" t="str">
        <f>VLOOKUP(E998,DSSpieler!A:B,2,FALSE)</f>
        <v>FinallyDark</v>
      </c>
    </row>
    <row r="999" spans="1:10" x14ac:dyDescent="0.25">
      <c r="A999">
        <v>1118</v>
      </c>
      <c r="B999" t="s">
        <v>30955</v>
      </c>
      <c r="C999">
        <v>580</v>
      </c>
      <c r="D999">
        <v>447</v>
      </c>
      <c r="E999">
        <v>1577085984</v>
      </c>
      <c r="F999">
        <v>6892</v>
      </c>
      <c r="G999">
        <v>0</v>
      </c>
      <c r="H999" t="s">
        <v>5926</v>
      </c>
      <c r="I999">
        <v>1118</v>
      </c>
      <c r="J999" t="str">
        <f>VLOOKUP(E999,DSSpieler!A:B,2,FALSE)</f>
        <v>Aust3r</v>
      </c>
    </row>
    <row r="1000" spans="1:10" x14ac:dyDescent="0.25">
      <c r="A1000">
        <v>1119</v>
      </c>
      <c r="B1000" t="s">
        <v>531</v>
      </c>
      <c r="C1000">
        <v>499</v>
      </c>
      <c r="D1000">
        <v>448</v>
      </c>
      <c r="E1000">
        <v>0</v>
      </c>
      <c r="F1000">
        <v>373</v>
      </c>
      <c r="G1000">
        <v>0</v>
      </c>
      <c r="H1000" t="s">
        <v>5927</v>
      </c>
      <c r="I1000">
        <v>1119</v>
      </c>
      <c r="J1000" t="e">
        <f>VLOOKUP(E1000,DSSpieler!A:B,2,FALSE)</f>
        <v>#N/A</v>
      </c>
    </row>
    <row r="1001" spans="1:10" x14ac:dyDescent="0.25">
      <c r="A1001">
        <v>1120</v>
      </c>
      <c r="B1001" t="s">
        <v>731</v>
      </c>
      <c r="C1001">
        <v>587</v>
      </c>
      <c r="D1001">
        <v>438</v>
      </c>
      <c r="E1001">
        <v>1577116127</v>
      </c>
      <c r="F1001">
        <v>6606</v>
      </c>
      <c r="G1001">
        <v>0</v>
      </c>
      <c r="H1001" t="s">
        <v>5928</v>
      </c>
      <c r="I1001">
        <v>1120</v>
      </c>
      <c r="J1001" t="str">
        <f>VLOOKUP(E1001,DSSpieler!A:B,2,FALSE)</f>
        <v>awruK</v>
      </c>
    </row>
    <row r="1002" spans="1:10" x14ac:dyDescent="0.25">
      <c r="A1002">
        <v>1121</v>
      </c>
      <c r="B1002" t="s">
        <v>30956</v>
      </c>
      <c r="C1002">
        <v>584</v>
      </c>
      <c r="D1002">
        <v>441</v>
      </c>
      <c r="E1002">
        <v>1577162901</v>
      </c>
      <c r="F1002">
        <v>6633</v>
      </c>
      <c r="G1002">
        <v>0</v>
      </c>
      <c r="H1002" t="s">
        <v>5929</v>
      </c>
      <c r="I1002">
        <v>1121</v>
      </c>
      <c r="J1002" t="str">
        <f>VLOOKUP(E1002,DSSpieler!A:B,2,FALSE)</f>
        <v>fourth try</v>
      </c>
    </row>
    <row r="1003" spans="1:10" x14ac:dyDescent="0.25">
      <c r="A1003">
        <v>1122</v>
      </c>
      <c r="B1003" t="s">
        <v>30957</v>
      </c>
      <c r="C1003">
        <v>579</v>
      </c>
      <c r="D1003">
        <v>451</v>
      </c>
      <c r="E1003">
        <v>1577172923</v>
      </c>
      <c r="F1003">
        <v>6586</v>
      </c>
      <c r="G1003">
        <v>0</v>
      </c>
      <c r="H1003" t="s">
        <v>5930</v>
      </c>
      <c r="I1003">
        <v>1122</v>
      </c>
      <c r="J1003" t="str">
        <f>VLOOKUP(E1003,DSSpieler!A:B,2,FALSE)</f>
        <v>Kemperatze</v>
      </c>
    </row>
    <row r="1004" spans="1:10" x14ac:dyDescent="0.25">
      <c r="A1004">
        <v>1123</v>
      </c>
      <c r="B1004" t="s">
        <v>713</v>
      </c>
      <c r="C1004">
        <v>583</v>
      </c>
      <c r="D1004">
        <v>457</v>
      </c>
      <c r="E1004">
        <v>1577197749</v>
      </c>
      <c r="F1004">
        <v>6150</v>
      </c>
      <c r="G1004">
        <v>0</v>
      </c>
      <c r="H1004" t="s">
        <v>5931</v>
      </c>
      <c r="I1004">
        <v>1123</v>
      </c>
      <c r="J1004" t="str">
        <f>VLOOKUP(E1004,DSSpieler!A:B,2,FALSE)</f>
        <v>Yondu</v>
      </c>
    </row>
    <row r="1005" spans="1:10" x14ac:dyDescent="0.25">
      <c r="A1005">
        <v>1124</v>
      </c>
      <c r="B1005" t="s">
        <v>30958</v>
      </c>
      <c r="C1005">
        <v>587</v>
      </c>
      <c r="D1005">
        <v>448</v>
      </c>
      <c r="E1005">
        <v>1577175214</v>
      </c>
      <c r="F1005">
        <v>5544</v>
      </c>
      <c r="G1005">
        <v>0</v>
      </c>
      <c r="H1005" t="s">
        <v>5932</v>
      </c>
      <c r="I1005">
        <v>1124</v>
      </c>
      <c r="J1005" t="str">
        <f>VLOOKUP(E1005,DSSpieler!A:B,2,FALSE)</f>
        <v>Ref422</v>
      </c>
    </row>
    <row r="1006" spans="1:10" x14ac:dyDescent="0.25">
      <c r="A1006">
        <v>1125</v>
      </c>
      <c r="B1006" t="s">
        <v>30959</v>
      </c>
      <c r="C1006">
        <v>589</v>
      </c>
      <c r="D1006">
        <v>444</v>
      </c>
      <c r="E1006">
        <v>1577175214</v>
      </c>
      <c r="F1006">
        <v>6015</v>
      </c>
      <c r="G1006">
        <v>0</v>
      </c>
      <c r="H1006" t="s">
        <v>5933</v>
      </c>
      <c r="I1006">
        <v>1125</v>
      </c>
      <c r="J1006" t="str">
        <f>VLOOKUP(E1006,DSSpieler!A:B,2,FALSE)</f>
        <v>Ref422</v>
      </c>
    </row>
    <row r="1007" spans="1:10" x14ac:dyDescent="0.25">
      <c r="A1007">
        <v>1126</v>
      </c>
      <c r="B1007" t="s">
        <v>732</v>
      </c>
      <c r="C1007">
        <v>599</v>
      </c>
      <c r="D1007">
        <v>455</v>
      </c>
      <c r="E1007">
        <v>1577064793</v>
      </c>
      <c r="F1007">
        <v>4896</v>
      </c>
      <c r="G1007">
        <v>0</v>
      </c>
      <c r="H1007" t="s">
        <v>5934</v>
      </c>
      <c r="I1007">
        <v>1126</v>
      </c>
      <c r="J1007" t="str">
        <f>VLOOKUP(E1007,DSSpieler!A:B,2,FALSE)</f>
        <v>Thekingisback93</v>
      </c>
    </row>
    <row r="1008" spans="1:10" x14ac:dyDescent="0.25">
      <c r="A1008">
        <v>1127</v>
      </c>
      <c r="B1008" t="s">
        <v>531</v>
      </c>
      <c r="C1008">
        <v>512</v>
      </c>
      <c r="D1008">
        <v>467</v>
      </c>
      <c r="E1008">
        <v>0</v>
      </c>
      <c r="F1008">
        <v>334</v>
      </c>
      <c r="G1008">
        <v>0</v>
      </c>
      <c r="H1008" t="s">
        <v>5935</v>
      </c>
      <c r="I1008">
        <v>1127</v>
      </c>
      <c r="J1008" t="e">
        <f>VLOOKUP(E1008,DSSpieler!A:B,2,FALSE)</f>
        <v>#N/A</v>
      </c>
    </row>
    <row r="1009" spans="1:10" x14ac:dyDescent="0.25">
      <c r="A1009">
        <v>1128</v>
      </c>
      <c r="B1009" t="s">
        <v>30960</v>
      </c>
      <c r="C1009">
        <v>423</v>
      </c>
      <c r="D1009">
        <v>505</v>
      </c>
      <c r="E1009">
        <v>1324412</v>
      </c>
      <c r="F1009">
        <v>2967</v>
      </c>
      <c r="G1009">
        <v>0</v>
      </c>
      <c r="H1009" t="s">
        <v>5936</v>
      </c>
      <c r="I1009">
        <v>1128</v>
      </c>
      <c r="J1009" t="str">
        <f>VLOOKUP(E1009,DSSpieler!A:B,2,FALSE)</f>
        <v>Chico99</v>
      </c>
    </row>
    <row r="1010" spans="1:10" x14ac:dyDescent="0.25">
      <c r="A1010">
        <v>1129</v>
      </c>
      <c r="B1010" t="s">
        <v>531</v>
      </c>
      <c r="C1010">
        <v>526</v>
      </c>
      <c r="D1010">
        <v>561</v>
      </c>
      <c r="E1010">
        <v>0</v>
      </c>
      <c r="F1010">
        <v>318</v>
      </c>
      <c r="G1010">
        <v>0</v>
      </c>
      <c r="H1010" t="s">
        <v>5937</v>
      </c>
      <c r="I1010">
        <v>1129</v>
      </c>
      <c r="J1010" t="e">
        <f>VLOOKUP(E1010,DSSpieler!A:B,2,FALSE)</f>
        <v>#N/A</v>
      </c>
    </row>
    <row r="1011" spans="1:10" x14ac:dyDescent="0.25">
      <c r="A1011">
        <v>1130</v>
      </c>
      <c r="B1011" t="s">
        <v>30692</v>
      </c>
      <c r="C1011">
        <v>471</v>
      </c>
      <c r="D1011">
        <v>497</v>
      </c>
      <c r="E1011">
        <v>9823227</v>
      </c>
      <c r="F1011">
        <v>2868</v>
      </c>
      <c r="G1011">
        <v>0</v>
      </c>
      <c r="H1011" t="s">
        <v>5938</v>
      </c>
      <c r="I1011">
        <v>1130</v>
      </c>
      <c r="J1011" t="str">
        <f>VLOOKUP(E1011,DSSpieler!A:B,2,FALSE)</f>
        <v>Rainerzufall123</v>
      </c>
    </row>
    <row r="1012" spans="1:10" x14ac:dyDescent="0.25">
      <c r="A1012">
        <v>1132</v>
      </c>
      <c r="B1012" t="s">
        <v>733</v>
      </c>
      <c r="C1012">
        <v>468</v>
      </c>
      <c r="D1012">
        <v>517</v>
      </c>
      <c r="E1012">
        <v>1577175305</v>
      </c>
      <c r="F1012">
        <v>4355</v>
      </c>
      <c r="G1012">
        <v>0</v>
      </c>
      <c r="H1012" t="s">
        <v>5939</v>
      </c>
      <c r="I1012">
        <v>1132</v>
      </c>
      <c r="J1012" t="str">
        <f>VLOOKUP(E1012,DSSpieler!A:B,2,FALSE)</f>
        <v>thedfh</v>
      </c>
    </row>
    <row r="1013" spans="1:10" x14ac:dyDescent="0.25">
      <c r="A1013">
        <v>1133</v>
      </c>
      <c r="B1013" t="s">
        <v>734</v>
      </c>
      <c r="C1013">
        <v>589</v>
      </c>
      <c r="D1013">
        <v>482</v>
      </c>
      <c r="E1013">
        <v>9638311</v>
      </c>
      <c r="F1013">
        <v>4644</v>
      </c>
      <c r="G1013">
        <v>0</v>
      </c>
      <c r="H1013" t="s">
        <v>5940</v>
      </c>
      <c r="I1013">
        <v>1133</v>
      </c>
      <c r="J1013" t="str">
        <f>VLOOKUP(E1013,DSSpieler!A:B,2,FALSE)</f>
        <v>Vodka</v>
      </c>
    </row>
    <row r="1014" spans="1:10" x14ac:dyDescent="0.25">
      <c r="A1014">
        <v>1134</v>
      </c>
      <c r="B1014" t="s">
        <v>556</v>
      </c>
      <c r="C1014">
        <v>515</v>
      </c>
      <c r="D1014">
        <v>478</v>
      </c>
      <c r="E1014">
        <v>1577184672</v>
      </c>
      <c r="F1014">
        <v>4132</v>
      </c>
      <c r="G1014">
        <v>0</v>
      </c>
      <c r="H1014" t="s">
        <v>5941</v>
      </c>
      <c r="I1014">
        <v>1134</v>
      </c>
      <c r="J1014" t="str">
        <f>VLOOKUP(E1014,DSSpieler!A:B,2,FALSE)</f>
        <v>maxidiekleine</v>
      </c>
    </row>
    <row r="1015" spans="1:10" x14ac:dyDescent="0.25">
      <c r="A1015">
        <v>1135</v>
      </c>
      <c r="B1015" t="s">
        <v>531</v>
      </c>
      <c r="C1015">
        <v>525</v>
      </c>
      <c r="D1015">
        <v>468</v>
      </c>
      <c r="E1015">
        <v>0</v>
      </c>
      <c r="F1015">
        <v>104</v>
      </c>
      <c r="G1015">
        <v>0</v>
      </c>
      <c r="H1015" t="s">
        <v>5942</v>
      </c>
      <c r="I1015">
        <v>1135</v>
      </c>
      <c r="J1015" t="e">
        <f>VLOOKUP(E1015,DSSpieler!A:B,2,FALSE)</f>
        <v>#N/A</v>
      </c>
    </row>
    <row r="1016" spans="1:10" x14ac:dyDescent="0.25">
      <c r="A1016">
        <v>1136</v>
      </c>
      <c r="B1016" t="s">
        <v>30961</v>
      </c>
      <c r="C1016">
        <v>470</v>
      </c>
      <c r="D1016">
        <v>488</v>
      </c>
      <c r="E1016">
        <v>1576914417</v>
      </c>
      <c r="F1016">
        <v>4120</v>
      </c>
      <c r="G1016">
        <v>0</v>
      </c>
      <c r="H1016" t="s">
        <v>5943</v>
      </c>
      <c r="I1016">
        <v>1136</v>
      </c>
      <c r="J1016" t="str">
        <f>VLOOKUP(E1016,DSSpieler!A:B,2,FALSE)</f>
        <v>Bonemonkey</v>
      </c>
    </row>
    <row r="1017" spans="1:10" x14ac:dyDescent="0.25">
      <c r="A1017">
        <v>1137</v>
      </c>
      <c r="B1017" t="s">
        <v>30962</v>
      </c>
      <c r="C1017">
        <v>463</v>
      </c>
      <c r="D1017">
        <v>499</v>
      </c>
      <c r="E1017">
        <v>1577197191</v>
      </c>
      <c r="F1017">
        <v>5389</v>
      </c>
      <c r="G1017">
        <v>0</v>
      </c>
      <c r="H1017" t="s">
        <v>5944</v>
      </c>
      <c r="I1017">
        <v>1137</v>
      </c>
      <c r="J1017" t="str">
        <f>VLOOKUP(E1017,DSSpieler!A:B,2,FALSE)</f>
        <v>SeppGustl</v>
      </c>
    </row>
    <row r="1018" spans="1:10" x14ac:dyDescent="0.25">
      <c r="A1018">
        <v>1138</v>
      </c>
      <c r="B1018" t="s">
        <v>531</v>
      </c>
      <c r="C1018">
        <v>477</v>
      </c>
      <c r="D1018">
        <v>464</v>
      </c>
      <c r="E1018">
        <v>0</v>
      </c>
      <c r="F1018">
        <v>305</v>
      </c>
      <c r="G1018">
        <v>0</v>
      </c>
      <c r="H1018" t="s">
        <v>5945</v>
      </c>
      <c r="I1018">
        <v>1138</v>
      </c>
      <c r="J1018" t="e">
        <f>VLOOKUP(E1018,DSSpieler!A:B,2,FALSE)</f>
        <v>#N/A</v>
      </c>
    </row>
    <row r="1019" spans="1:10" x14ac:dyDescent="0.25">
      <c r="A1019">
        <v>1139</v>
      </c>
      <c r="B1019" t="e">
        <f>-1-+Graveyard</f>
        <v>#NAME?</v>
      </c>
      <c r="C1019">
        <v>498</v>
      </c>
      <c r="D1019">
        <v>504</v>
      </c>
      <c r="E1019">
        <v>1577192207</v>
      </c>
      <c r="F1019">
        <v>5530</v>
      </c>
      <c r="G1019">
        <v>0</v>
      </c>
      <c r="H1019" t="s">
        <v>5946</v>
      </c>
      <c r="I1019">
        <v>1139</v>
      </c>
      <c r="J1019" t="str">
        <f>VLOOKUP(E1019,DSSpieler!A:B,2,FALSE)</f>
        <v>Placebokordel</v>
      </c>
    </row>
    <row r="1020" spans="1:10" x14ac:dyDescent="0.25">
      <c r="A1020">
        <v>1140</v>
      </c>
      <c r="B1020" t="s">
        <v>531</v>
      </c>
      <c r="C1020">
        <v>469</v>
      </c>
      <c r="D1020">
        <v>491</v>
      </c>
      <c r="E1020">
        <v>0</v>
      </c>
      <c r="F1020">
        <v>498</v>
      </c>
      <c r="G1020">
        <v>0</v>
      </c>
      <c r="H1020" t="s">
        <v>5947</v>
      </c>
      <c r="I1020">
        <v>1140</v>
      </c>
      <c r="J1020" t="e">
        <f>VLOOKUP(E1020,DSSpieler!A:B,2,FALSE)</f>
        <v>#N/A</v>
      </c>
    </row>
    <row r="1021" spans="1:10" x14ac:dyDescent="0.25">
      <c r="A1021">
        <v>1141</v>
      </c>
      <c r="B1021" t="s">
        <v>30963</v>
      </c>
      <c r="C1021">
        <v>495</v>
      </c>
      <c r="D1021">
        <v>513</v>
      </c>
      <c r="E1021">
        <v>1577192250</v>
      </c>
      <c r="F1021">
        <v>5635</v>
      </c>
      <c r="G1021">
        <v>0</v>
      </c>
      <c r="H1021" t="s">
        <v>5948</v>
      </c>
      <c r="I1021">
        <v>1141</v>
      </c>
      <c r="J1021" t="str">
        <f>VLOOKUP(E1021,DSSpieler!A:B,2,FALSE)</f>
        <v>Chrizzz.de</v>
      </c>
    </row>
    <row r="1022" spans="1:10" x14ac:dyDescent="0.25">
      <c r="A1022">
        <v>1142</v>
      </c>
      <c r="B1022" s="111">
        <v>230.02</v>
      </c>
      <c r="C1022">
        <v>494</v>
      </c>
      <c r="D1022">
        <v>515</v>
      </c>
      <c r="E1022">
        <v>1577196283</v>
      </c>
      <c r="F1022">
        <v>6514</v>
      </c>
      <c r="G1022">
        <v>0</v>
      </c>
      <c r="H1022" t="s">
        <v>5949</v>
      </c>
      <c r="I1022">
        <v>1142</v>
      </c>
      <c r="J1022" t="str">
        <f>VLOOKUP(E1022,DSSpieler!A:B,2,FALSE)</f>
        <v>SupremooZ</v>
      </c>
    </row>
    <row r="1023" spans="1:10" x14ac:dyDescent="0.25">
      <c r="A1023">
        <v>1143</v>
      </c>
      <c r="B1023" t="s">
        <v>30964</v>
      </c>
      <c r="C1023">
        <v>500</v>
      </c>
      <c r="D1023">
        <v>505</v>
      </c>
      <c r="E1023">
        <v>1577192291</v>
      </c>
      <c r="F1023">
        <v>6513</v>
      </c>
      <c r="G1023">
        <v>0</v>
      </c>
      <c r="H1023" t="s">
        <v>5950</v>
      </c>
      <c r="I1023">
        <v>1143</v>
      </c>
      <c r="J1023" t="str">
        <f>VLOOKUP(E1023,DSSpieler!A:B,2,FALSE)</f>
        <v>Lemmis</v>
      </c>
    </row>
    <row r="1024" spans="1:10" x14ac:dyDescent="0.25">
      <c r="A1024">
        <v>1144</v>
      </c>
      <c r="B1024" t="s">
        <v>735</v>
      </c>
      <c r="C1024">
        <v>500</v>
      </c>
      <c r="D1024">
        <v>503</v>
      </c>
      <c r="E1024">
        <v>1577196405</v>
      </c>
      <c r="F1024">
        <v>5533</v>
      </c>
      <c r="G1024">
        <v>0</v>
      </c>
      <c r="H1024" t="s">
        <v>5951</v>
      </c>
      <c r="I1024">
        <v>1144</v>
      </c>
      <c r="J1024" t="str">
        <f>VLOOKUP(E1024,DSSpieler!A:B,2,FALSE)</f>
        <v>pYrat</v>
      </c>
    </row>
    <row r="1025" spans="1:10" x14ac:dyDescent="0.25">
      <c r="A1025">
        <v>1145</v>
      </c>
      <c r="B1025" t="s">
        <v>30965</v>
      </c>
      <c r="C1025">
        <v>557</v>
      </c>
      <c r="D1025">
        <v>538</v>
      </c>
      <c r="E1025">
        <v>8337313</v>
      </c>
      <c r="F1025">
        <v>5206</v>
      </c>
      <c r="G1025">
        <v>0</v>
      </c>
      <c r="H1025" t="s">
        <v>5952</v>
      </c>
      <c r="I1025">
        <v>1145</v>
      </c>
      <c r="J1025" t="str">
        <f>VLOOKUP(E1025,DSSpieler!A:B,2,FALSE)</f>
        <v>JonesnBones</v>
      </c>
    </row>
    <row r="1026" spans="1:10" x14ac:dyDescent="0.25">
      <c r="A1026">
        <v>1146</v>
      </c>
      <c r="B1026" t="s">
        <v>30966</v>
      </c>
      <c r="C1026">
        <v>561</v>
      </c>
      <c r="D1026">
        <v>534</v>
      </c>
      <c r="E1026">
        <v>9643314</v>
      </c>
      <c r="F1026">
        <v>5785</v>
      </c>
      <c r="G1026">
        <v>0</v>
      </c>
      <c r="H1026" t="s">
        <v>5953</v>
      </c>
      <c r="I1026">
        <v>1146</v>
      </c>
      <c r="J1026" t="str">
        <f>VLOOKUP(E1026,DSSpieler!A:B,2,FALSE)</f>
        <v>.Gulaschkanonier.</v>
      </c>
    </row>
    <row r="1027" spans="1:10" x14ac:dyDescent="0.25">
      <c r="A1027">
        <v>1147</v>
      </c>
      <c r="B1027" t="s">
        <v>30967</v>
      </c>
      <c r="C1027">
        <v>566</v>
      </c>
      <c r="D1027">
        <v>534</v>
      </c>
      <c r="E1027">
        <v>1577193234</v>
      </c>
      <c r="F1027">
        <v>5901</v>
      </c>
      <c r="G1027">
        <v>0</v>
      </c>
      <c r="H1027" t="s">
        <v>5954</v>
      </c>
      <c r="I1027">
        <v>1147</v>
      </c>
      <c r="J1027" t="str">
        <f>VLOOKUP(E1027,DSSpieler!A:B,2,FALSE)</f>
        <v>Gergl15</v>
      </c>
    </row>
    <row r="1028" spans="1:10" x14ac:dyDescent="0.25">
      <c r="A1028">
        <v>1150</v>
      </c>
      <c r="B1028" t="s">
        <v>35819</v>
      </c>
      <c r="C1028">
        <v>574</v>
      </c>
      <c r="D1028">
        <v>545</v>
      </c>
      <c r="E1028">
        <v>3335085</v>
      </c>
      <c r="F1028">
        <v>8215</v>
      </c>
      <c r="G1028">
        <v>0</v>
      </c>
      <c r="H1028" t="s">
        <v>5955</v>
      </c>
      <c r="I1028">
        <v>1150</v>
      </c>
      <c r="J1028" t="str">
        <f>VLOOKUP(E1028,DSSpieler!A:B,2,FALSE)</f>
        <v>morbidus cantus</v>
      </c>
    </row>
    <row r="1029" spans="1:10" x14ac:dyDescent="0.25">
      <c r="A1029">
        <v>1153</v>
      </c>
      <c r="B1029" t="s">
        <v>531</v>
      </c>
      <c r="C1029">
        <v>424</v>
      </c>
      <c r="D1029">
        <v>474</v>
      </c>
      <c r="E1029">
        <v>0</v>
      </c>
      <c r="F1029">
        <v>367</v>
      </c>
      <c r="G1029">
        <v>0</v>
      </c>
      <c r="H1029" t="s">
        <v>5956</v>
      </c>
      <c r="I1029">
        <v>1153</v>
      </c>
      <c r="J1029" t="e">
        <f>VLOOKUP(E1029,DSSpieler!A:B,2,FALSE)</f>
        <v>#N/A</v>
      </c>
    </row>
    <row r="1030" spans="1:10" x14ac:dyDescent="0.25">
      <c r="A1030">
        <v>1156</v>
      </c>
      <c r="B1030" t="s">
        <v>736</v>
      </c>
      <c r="C1030">
        <v>527</v>
      </c>
      <c r="D1030">
        <v>586</v>
      </c>
      <c r="E1030">
        <v>1445693</v>
      </c>
      <c r="F1030">
        <v>5359</v>
      </c>
      <c r="G1030">
        <v>0</v>
      </c>
      <c r="H1030" t="s">
        <v>5957</v>
      </c>
      <c r="I1030">
        <v>1156</v>
      </c>
      <c r="J1030" t="str">
        <f>VLOOKUP(E1030,DSSpieler!A:B,2,FALSE)</f>
        <v>master jpm</v>
      </c>
    </row>
    <row r="1031" spans="1:10" x14ac:dyDescent="0.25">
      <c r="A1031">
        <v>1158</v>
      </c>
      <c r="B1031" t="s">
        <v>30591</v>
      </c>
      <c r="C1031">
        <v>526</v>
      </c>
      <c r="D1031">
        <v>581</v>
      </c>
      <c r="E1031">
        <v>1577163137</v>
      </c>
      <c r="F1031">
        <v>6590</v>
      </c>
      <c r="G1031">
        <v>0</v>
      </c>
      <c r="H1031" t="s">
        <v>5958</v>
      </c>
      <c r="I1031">
        <v>1158</v>
      </c>
      <c r="J1031" t="str">
        <f>VLOOKUP(E1031,DSSpieler!A:B,2,FALSE)</f>
        <v>Lord Herkulles4444</v>
      </c>
    </row>
    <row r="1032" spans="1:10" x14ac:dyDescent="0.25">
      <c r="A1032">
        <v>1159</v>
      </c>
      <c r="B1032" t="s">
        <v>30968</v>
      </c>
      <c r="C1032">
        <v>519</v>
      </c>
      <c r="D1032">
        <v>586</v>
      </c>
      <c r="E1032">
        <v>7727491</v>
      </c>
      <c r="F1032">
        <v>4715</v>
      </c>
      <c r="G1032">
        <v>0</v>
      </c>
      <c r="H1032" t="s">
        <v>5959</v>
      </c>
      <c r="I1032">
        <v>1159</v>
      </c>
      <c r="J1032" t="str">
        <f>VLOOKUP(E1032,DSSpieler!A:B,2,FALSE)</f>
        <v>diego-94</v>
      </c>
    </row>
    <row r="1033" spans="1:10" x14ac:dyDescent="0.25">
      <c r="A1033">
        <v>1160</v>
      </c>
      <c r="B1033" t="s">
        <v>30969</v>
      </c>
      <c r="C1033">
        <v>555</v>
      </c>
      <c r="D1033">
        <v>585</v>
      </c>
      <c r="E1033">
        <v>1327189</v>
      </c>
      <c r="F1033">
        <v>6057</v>
      </c>
      <c r="G1033">
        <v>0</v>
      </c>
      <c r="H1033" t="s">
        <v>5960</v>
      </c>
      <c r="I1033">
        <v>1160</v>
      </c>
      <c r="J1033" t="str">
        <f>VLOOKUP(E1033,DSSpieler!A:B,2,FALSE)</f>
        <v>DerBoeseBub</v>
      </c>
    </row>
    <row r="1034" spans="1:10" x14ac:dyDescent="0.25">
      <c r="A1034">
        <v>1161</v>
      </c>
      <c r="B1034" t="s">
        <v>531</v>
      </c>
      <c r="C1034">
        <v>478</v>
      </c>
      <c r="D1034">
        <v>458</v>
      </c>
      <c r="E1034">
        <v>0</v>
      </c>
      <c r="F1034">
        <v>1057</v>
      </c>
      <c r="G1034">
        <v>0</v>
      </c>
      <c r="H1034" t="s">
        <v>5961</v>
      </c>
      <c r="I1034">
        <v>1161</v>
      </c>
      <c r="J1034" t="e">
        <f>VLOOKUP(E1034,DSSpieler!A:B,2,FALSE)</f>
        <v>#N/A</v>
      </c>
    </row>
    <row r="1035" spans="1:10" x14ac:dyDescent="0.25">
      <c r="A1035">
        <v>1162</v>
      </c>
      <c r="B1035" t="s">
        <v>531</v>
      </c>
      <c r="C1035">
        <v>497</v>
      </c>
      <c r="D1035">
        <v>502</v>
      </c>
      <c r="E1035">
        <v>0</v>
      </c>
      <c r="F1035">
        <v>407</v>
      </c>
      <c r="G1035">
        <v>0</v>
      </c>
      <c r="H1035" t="s">
        <v>5962</v>
      </c>
      <c r="I1035">
        <v>1162</v>
      </c>
      <c r="J1035" t="e">
        <f>VLOOKUP(E1035,DSSpieler!A:B,2,FALSE)</f>
        <v>#N/A</v>
      </c>
    </row>
    <row r="1036" spans="1:10" x14ac:dyDescent="0.25">
      <c r="A1036">
        <v>1163</v>
      </c>
      <c r="B1036" t="s">
        <v>737</v>
      </c>
      <c r="C1036">
        <v>480</v>
      </c>
      <c r="D1036">
        <v>452</v>
      </c>
      <c r="E1036">
        <v>1576851644</v>
      </c>
      <c r="F1036">
        <v>2954</v>
      </c>
      <c r="G1036">
        <v>0</v>
      </c>
      <c r="H1036" t="s">
        <v>5963</v>
      </c>
      <c r="I1036">
        <v>1163</v>
      </c>
      <c r="J1036" t="str">
        <f>VLOOKUP(E1036,DSSpieler!A:B,2,FALSE)</f>
        <v>VamosJoe</v>
      </c>
    </row>
    <row r="1037" spans="1:10" x14ac:dyDescent="0.25">
      <c r="A1037">
        <v>1164</v>
      </c>
      <c r="B1037" t="s">
        <v>30970</v>
      </c>
      <c r="C1037">
        <v>476</v>
      </c>
      <c r="D1037">
        <v>456</v>
      </c>
      <c r="E1037">
        <v>1576656557</v>
      </c>
      <c r="F1037">
        <v>3444</v>
      </c>
      <c r="G1037">
        <v>0</v>
      </c>
      <c r="H1037" t="s">
        <v>5964</v>
      </c>
      <c r="I1037">
        <v>1164</v>
      </c>
      <c r="J1037" t="str">
        <f>VLOOKUP(E1037,DSSpieler!A:B,2,FALSE)</f>
        <v>AnPa1995</v>
      </c>
    </row>
    <row r="1038" spans="1:10" x14ac:dyDescent="0.25">
      <c r="A1038">
        <v>1165</v>
      </c>
      <c r="B1038" t="s">
        <v>30971</v>
      </c>
      <c r="C1038">
        <v>478</v>
      </c>
      <c r="D1038">
        <v>456</v>
      </c>
      <c r="E1038">
        <v>1577182859</v>
      </c>
      <c r="F1038">
        <v>2518</v>
      </c>
      <c r="G1038">
        <v>0</v>
      </c>
      <c r="H1038" t="s">
        <v>5965</v>
      </c>
      <c r="I1038">
        <v>1165</v>
      </c>
      <c r="J1038" t="str">
        <f>VLOOKUP(E1038,DSSpieler!A:B,2,FALSE)</f>
        <v>cn96</v>
      </c>
    </row>
    <row r="1039" spans="1:10" x14ac:dyDescent="0.25">
      <c r="A1039">
        <v>1166</v>
      </c>
      <c r="B1039" t="s">
        <v>30972</v>
      </c>
      <c r="C1039">
        <v>484</v>
      </c>
      <c r="D1039">
        <v>462</v>
      </c>
      <c r="E1039">
        <v>1577194539</v>
      </c>
      <c r="F1039">
        <v>3562</v>
      </c>
      <c r="G1039">
        <v>0</v>
      </c>
      <c r="H1039" t="s">
        <v>5966</v>
      </c>
      <c r="I1039">
        <v>1166</v>
      </c>
      <c r="J1039" t="str">
        <f>VLOOKUP(E1039,DSSpieler!A:B,2,FALSE)</f>
        <v>DayWalk3r</v>
      </c>
    </row>
    <row r="1040" spans="1:10" x14ac:dyDescent="0.25">
      <c r="A1040">
        <v>1167</v>
      </c>
      <c r="B1040" t="s">
        <v>531</v>
      </c>
      <c r="C1040">
        <v>488</v>
      </c>
      <c r="D1040">
        <v>449</v>
      </c>
      <c r="E1040">
        <v>0</v>
      </c>
      <c r="F1040">
        <v>206</v>
      </c>
      <c r="G1040">
        <v>0</v>
      </c>
      <c r="H1040" t="s">
        <v>5967</v>
      </c>
      <c r="I1040">
        <v>1167</v>
      </c>
      <c r="J1040" t="e">
        <f>VLOOKUP(E1040,DSSpieler!A:B,2,FALSE)</f>
        <v>#N/A</v>
      </c>
    </row>
    <row r="1041" spans="1:10" x14ac:dyDescent="0.25">
      <c r="A1041">
        <v>1168</v>
      </c>
      <c r="B1041" t="s">
        <v>30973</v>
      </c>
      <c r="C1041">
        <v>480</v>
      </c>
      <c r="D1041">
        <v>457</v>
      </c>
      <c r="E1041">
        <v>1577181069</v>
      </c>
      <c r="F1041">
        <v>983</v>
      </c>
      <c r="G1041">
        <v>0</v>
      </c>
      <c r="H1041" t="s">
        <v>5968</v>
      </c>
      <c r="I1041">
        <v>1168</v>
      </c>
      <c r="J1041" t="str">
        <f>VLOOKUP(E1041,DSSpieler!A:B,2,FALSE)</f>
        <v>Pante09</v>
      </c>
    </row>
    <row r="1042" spans="1:10" x14ac:dyDescent="0.25">
      <c r="A1042">
        <v>1169</v>
      </c>
      <c r="B1042" t="s">
        <v>738</v>
      </c>
      <c r="C1042">
        <v>477</v>
      </c>
      <c r="D1042">
        <v>451</v>
      </c>
      <c r="E1042">
        <v>1576255757</v>
      </c>
      <c r="F1042">
        <v>5158</v>
      </c>
      <c r="G1042">
        <v>0</v>
      </c>
      <c r="H1042" t="s">
        <v>5969</v>
      </c>
      <c r="I1042">
        <v>1169</v>
      </c>
      <c r="J1042" t="str">
        <f>VLOOKUP(E1042,DSSpieler!A:B,2,FALSE)</f>
        <v>Biest1</v>
      </c>
    </row>
    <row r="1043" spans="1:10" x14ac:dyDescent="0.25">
      <c r="A1043">
        <v>1170</v>
      </c>
      <c r="B1043" t="s">
        <v>30974</v>
      </c>
      <c r="C1043">
        <v>484</v>
      </c>
      <c r="D1043">
        <v>461</v>
      </c>
      <c r="E1043">
        <v>1577156161</v>
      </c>
      <c r="F1043">
        <v>314</v>
      </c>
      <c r="G1043">
        <v>0</v>
      </c>
      <c r="H1043" t="s">
        <v>5970</v>
      </c>
      <c r="I1043">
        <v>1170</v>
      </c>
      <c r="J1043" t="str">
        <f>VLOOKUP(E1043,DSSpieler!A:B,2,FALSE)</f>
        <v>longus</v>
      </c>
    </row>
    <row r="1044" spans="1:10" x14ac:dyDescent="0.25">
      <c r="A1044">
        <v>1171</v>
      </c>
      <c r="B1044" t="s">
        <v>739</v>
      </c>
      <c r="C1044">
        <v>485</v>
      </c>
      <c r="D1044">
        <v>447</v>
      </c>
      <c r="E1044">
        <v>1577194590</v>
      </c>
      <c r="F1044">
        <v>3585</v>
      </c>
      <c r="G1044">
        <v>0</v>
      </c>
      <c r="H1044" t="s">
        <v>5971</v>
      </c>
      <c r="I1044">
        <v>1171</v>
      </c>
      <c r="J1044" t="str">
        <f>VLOOKUP(E1044,DSSpieler!A:B,2,FALSE)</f>
        <v>oggksh</v>
      </c>
    </row>
    <row r="1045" spans="1:10" x14ac:dyDescent="0.25">
      <c r="A1045">
        <v>1172</v>
      </c>
      <c r="B1045" t="s">
        <v>30975</v>
      </c>
      <c r="C1045">
        <v>472</v>
      </c>
      <c r="D1045">
        <v>466</v>
      </c>
      <c r="E1045">
        <v>1577166880</v>
      </c>
      <c r="F1045">
        <v>5300</v>
      </c>
      <c r="G1045">
        <v>0</v>
      </c>
      <c r="H1045" t="s">
        <v>5972</v>
      </c>
      <c r="I1045">
        <v>1172</v>
      </c>
      <c r="J1045" t="str">
        <f>VLOOKUP(E1045,DSSpieler!A:B,2,FALSE)</f>
        <v>Berserker18</v>
      </c>
    </row>
    <row r="1046" spans="1:10" x14ac:dyDescent="0.25">
      <c r="A1046">
        <v>1173</v>
      </c>
      <c r="B1046" t="s">
        <v>546</v>
      </c>
      <c r="C1046">
        <v>496</v>
      </c>
      <c r="D1046">
        <v>452</v>
      </c>
      <c r="E1046">
        <v>1577188458</v>
      </c>
      <c r="F1046">
        <v>5530</v>
      </c>
      <c r="G1046">
        <v>0</v>
      </c>
      <c r="H1046" t="s">
        <v>5973</v>
      </c>
      <c r="I1046">
        <v>1173</v>
      </c>
      <c r="J1046" t="str">
        <f>VLOOKUP(E1046,DSSpieler!A:B,2,FALSE)</f>
        <v>Slix</v>
      </c>
    </row>
    <row r="1047" spans="1:10" x14ac:dyDescent="0.25">
      <c r="A1047">
        <v>1174</v>
      </c>
      <c r="B1047" t="s">
        <v>546</v>
      </c>
      <c r="C1047">
        <v>498</v>
      </c>
      <c r="D1047">
        <v>447</v>
      </c>
      <c r="E1047">
        <v>128303</v>
      </c>
      <c r="F1047">
        <v>3892</v>
      </c>
      <c r="G1047">
        <v>0</v>
      </c>
      <c r="H1047" t="s">
        <v>5974</v>
      </c>
      <c r="I1047">
        <v>1174</v>
      </c>
      <c r="J1047" t="str">
        <f>VLOOKUP(E1047,DSSpieler!A:B,2,FALSE)</f>
        <v>Seewue</v>
      </c>
    </row>
    <row r="1048" spans="1:10" x14ac:dyDescent="0.25">
      <c r="A1048">
        <v>1175</v>
      </c>
      <c r="B1048" t="s">
        <v>740</v>
      </c>
      <c r="C1048">
        <v>489</v>
      </c>
      <c r="D1048">
        <v>459</v>
      </c>
      <c r="E1048">
        <v>1577161229</v>
      </c>
      <c r="F1048">
        <v>1165</v>
      </c>
      <c r="G1048">
        <v>0</v>
      </c>
      <c r="H1048" t="s">
        <v>5975</v>
      </c>
      <c r="I1048">
        <v>1175</v>
      </c>
      <c r="J1048" t="str">
        <f>VLOOKUP(E1048,DSSpieler!A:B,2,FALSE)</f>
        <v>Lord von Rotfuchs</v>
      </c>
    </row>
    <row r="1049" spans="1:10" x14ac:dyDescent="0.25">
      <c r="A1049">
        <v>1176</v>
      </c>
      <c r="B1049" t="s">
        <v>741</v>
      </c>
      <c r="C1049">
        <v>482</v>
      </c>
      <c r="D1049">
        <v>460</v>
      </c>
      <c r="E1049">
        <v>1577179929</v>
      </c>
      <c r="F1049">
        <v>3244</v>
      </c>
      <c r="G1049">
        <v>0</v>
      </c>
      <c r="H1049" t="s">
        <v>5976</v>
      </c>
      <c r="I1049">
        <v>1176</v>
      </c>
      <c r="J1049" t="str">
        <f>VLOOKUP(E1049,DSSpieler!A:B,2,FALSE)</f>
        <v>irakliooo1</v>
      </c>
    </row>
    <row r="1050" spans="1:10" x14ac:dyDescent="0.25">
      <c r="A1050">
        <v>1177</v>
      </c>
      <c r="B1050" t="s">
        <v>30976</v>
      </c>
      <c r="C1050">
        <v>495</v>
      </c>
      <c r="D1050">
        <v>515</v>
      </c>
      <c r="E1050">
        <v>1577195588</v>
      </c>
      <c r="F1050">
        <v>1471</v>
      </c>
      <c r="G1050">
        <v>0</v>
      </c>
      <c r="H1050" t="s">
        <v>5977</v>
      </c>
      <c r="I1050">
        <v>1177</v>
      </c>
      <c r="J1050" t="str">
        <f>VLOOKUP(E1050,DSSpieler!A:B,2,FALSE)</f>
        <v>Quastenflosser</v>
      </c>
    </row>
    <row r="1051" spans="1:10" x14ac:dyDescent="0.25">
      <c r="A1051">
        <v>1178</v>
      </c>
      <c r="B1051">
        <v>2</v>
      </c>
      <c r="C1051">
        <v>428</v>
      </c>
      <c r="D1051">
        <v>539</v>
      </c>
      <c r="E1051">
        <v>8227539</v>
      </c>
      <c r="F1051">
        <v>4833</v>
      </c>
      <c r="G1051">
        <v>0</v>
      </c>
      <c r="H1051" t="s">
        <v>5978</v>
      </c>
      <c r="I1051">
        <v>1178</v>
      </c>
      <c r="J1051" t="str">
        <f>VLOOKUP(E1051,DSSpieler!A:B,2,FALSE)</f>
        <v>mathis996</v>
      </c>
    </row>
    <row r="1052" spans="1:10" x14ac:dyDescent="0.25">
      <c r="A1052">
        <v>1179</v>
      </c>
      <c r="B1052" t="s">
        <v>30977</v>
      </c>
      <c r="C1052">
        <v>429</v>
      </c>
      <c r="D1052">
        <v>542</v>
      </c>
      <c r="E1052">
        <v>1577177998</v>
      </c>
      <c r="F1052">
        <v>5373</v>
      </c>
      <c r="G1052">
        <v>0</v>
      </c>
      <c r="H1052" t="s">
        <v>5979</v>
      </c>
      <c r="I1052">
        <v>1179</v>
      </c>
      <c r="J1052" t="str">
        <f>VLOOKUP(E1052,DSSpieler!A:B,2,FALSE)</f>
        <v>HydroOo</v>
      </c>
    </row>
    <row r="1053" spans="1:10" x14ac:dyDescent="0.25">
      <c r="A1053">
        <v>1180</v>
      </c>
      <c r="B1053" t="s">
        <v>742</v>
      </c>
      <c r="C1053">
        <v>430</v>
      </c>
      <c r="D1053">
        <v>534</v>
      </c>
      <c r="E1053">
        <v>1576999160</v>
      </c>
      <c r="F1053">
        <v>7781</v>
      </c>
      <c r="G1053">
        <v>0</v>
      </c>
      <c r="H1053" t="s">
        <v>5980</v>
      </c>
      <c r="I1053">
        <v>1180</v>
      </c>
      <c r="J1053" t="str">
        <f>VLOOKUP(E1053,DSSpieler!A:B,2,FALSE)</f>
        <v>böserbub89</v>
      </c>
    </row>
    <row r="1054" spans="1:10" x14ac:dyDescent="0.25">
      <c r="A1054">
        <v>1181</v>
      </c>
      <c r="B1054" t="s">
        <v>743</v>
      </c>
      <c r="C1054">
        <v>415</v>
      </c>
      <c r="D1054">
        <v>527</v>
      </c>
      <c r="E1054">
        <v>1576974001</v>
      </c>
      <c r="F1054">
        <v>4015</v>
      </c>
      <c r="G1054">
        <v>0</v>
      </c>
      <c r="H1054" t="s">
        <v>5981</v>
      </c>
      <c r="I1054">
        <v>1181</v>
      </c>
      <c r="J1054" t="str">
        <f>VLOOKUP(E1054,DSSpieler!A:B,2,FALSE)</f>
        <v>Nameless*</v>
      </c>
    </row>
    <row r="1055" spans="1:10" x14ac:dyDescent="0.25">
      <c r="A1055">
        <v>1182</v>
      </c>
      <c r="B1055" t="s">
        <v>744</v>
      </c>
      <c r="C1055">
        <v>497</v>
      </c>
      <c r="D1055">
        <v>408</v>
      </c>
      <c r="E1055">
        <v>1230832</v>
      </c>
      <c r="F1055">
        <v>5237</v>
      </c>
      <c r="G1055">
        <v>0</v>
      </c>
      <c r="H1055" t="s">
        <v>5982</v>
      </c>
      <c r="I1055">
        <v>1182</v>
      </c>
      <c r="J1055" t="str">
        <f>VLOOKUP(E1055,DSSpieler!A:B,2,FALSE)</f>
        <v>Dkmonkey</v>
      </c>
    </row>
    <row r="1056" spans="1:10" x14ac:dyDescent="0.25">
      <c r="A1056">
        <v>1183</v>
      </c>
      <c r="B1056" t="s">
        <v>745</v>
      </c>
      <c r="C1056">
        <v>497</v>
      </c>
      <c r="D1056">
        <v>405</v>
      </c>
      <c r="E1056">
        <v>1577197320</v>
      </c>
      <c r="F1056">
        <v>5670</v>
      </c>
      <c r="G1056">
        <v>0</v>
      </c>
      <c r="H1056" t="s">
        <v>5983</v>
      </c>
      <c r="I1056">
        <v>1183</v>
      </c>
      <c r="J1056" t="str">
        <f>VLOOKUP(E1056,DSSpieler!A:B,2,FALSE)</f>
        <v>DamnJam</v>
      </c>
    </row>
    <row r="1057" spans="1:10" x14ac:dyDescent="0.25">
      <c r="A1057">
        <v>1184</v>
      </c>
      <c r="B1057" t="s">
        <v>546</v>
      </c>
      <c r="C1057">
        <v>505</v>
      </c>
      <c r="D1057">
        <v>465</v>
      </c>
      <c r="E1057">
        <v>1577190199</v>
      </c>
      <c r="F1057">
        <v>5819</v>
      </c>
      <c r="G1057">
        <v>0</v>
      </c>
      <c r="H1057" t="s">
        <v>5984</v>
      </c>
      <c r="I1057">
        <v>1184</v>
      </c>
      <c r="J1057" t="str">
        <f>VLOOKUP(E1057,DSSpieler!A:B,2,FALSE)</f>
        <v>kinq erol</v>
      </c>
    </row>
    <row r="1058" spans="1:10" x14ac:dyDescent="0.25">
      <c r="A1058">
        <v>1185</v>
      </c>
      <c r="B1058" t="s">
        <v>30465</v>
      </c>
      <c r="C1058">
        <v>418</v>
      </c>
      <c r="D1058">
        <v>434</v>
      </c>
      <c r="E1058">
        <v>7785606</v>
      </c>
      <c r="F1058">
        <v>4879</v>
      </c>
      <c r="G1058">
        <v>0</v>
      </c>
      <c r="H1058" t="s">
        <v>5985</v>
      </c>
      <c r="I1058">
        <v>1185</v>
      </c>
      <c r="J1058" t="str">
        <f>VLOOKUP(E1058,DSSpieler!A:B,2,FALSE)</f>
        <v>-Schpider*</v>
      </c>
    </row>
    <row r="1059" spans="1:10" x14ac:dyDescent="0.25">
      <c r="A1059">
        <v>1186</v>
      </c>
      <c r="B1059" t="s">
        <v>30978</v>
      </c>
      <c r="C1059">
        <v>422</v>
      </c>
      <c r="D1059">
        <v>434</v>
      </c>
      <c r="E1059">
        <v>1576826598</v>
      </c>
      <c r="F1059">
        <v>7283</v>
      </c>
      <c r="G1059">
        <v>0</v>
      </c>
      <c r="H1059" t="s">
        <v>5986</v>
      </c>
      <c r="I1059">
        <v>1186</v>
      </c>
      <c r="J1059" t="str">
        <f>VLOOKUP(E1059,DSSpieler!A:B,2,FALSE)</f>
        <v>Rainer Wahnsinn</v>
      </c>
    </row>
    <row r="1060" spans="1:10" x14ac:dyDescent="0.25">
      <c r="A1060">
        <v>1187</v>
      </c>
      <c r="B1060" t="s">
        <v>531</v>
      </c>
      <c r="C1060">
        <v>503</v>
      </c>
      <c r="D1060">
        <v>477</v>
      </c>
      <c r="E1060">
        <v>0</v>
      </c>
      <c r="F1060">
        <v>479</v>
      </c>
      <c r="G1060">
        <v>0</v>
      </c>
      <c r="H1060" t="s">
        <v>5987</v>
      </c>
      <c r="I1060">
        <v>1187</v>
      </c>
      <c r="J1060" t="e">
        <f>VLOOKUP(E1060,DSSpieler!A:B,2,FALSE)</f>
        <v>#N/A</v>
      </c>
    </row>
    <row r="1061" spans="1:10" x14ac:dyDescent="0.25">
      <c r="A1061">
        <v>1188</v>
      </c>
      <c r="B1061" t="s">
        <v>531</v>
      </c>
      <c r="C1061">
        <v>546</v>
      </c>
      <c r="D1061">
        <v>483</v>
      </c>
      <c r="E1061">
        <v>0</v>
      </c>
      <c r="F1061">
        <v>452</v>
      </c>
      <c r="G1061">
        <v>0</v>
      </c>
      <c r="H1061" t="s">
        <v>5988</v>
      </c>
      <c r="I1061">
        <v>1188</v>
      </c>
      <c r="J1061" t="e">
        <f>VLOOKUP(E1061,DSSpieler!A:B,2,FALSE)</f>
        <v>#N/A</v>
      </c>
    </row>
    <row r="1062" spans="1:10" x14ac:dyDescent="0.25">
      <c r="A1062">
        <v>1189</v>
      </c>
      <c r="B1062" t="s">
        <v>30979</v>
      </c>
      <c r="C1062">
        <v>427</v>
      </c>
      <c r="D1062">
        <v>441</v>
      </c>
      <c r="E1062">
        <v>503235</v>
      </c>
      <c r="F1062">
        <v>4474</v>
      </c>
      <c r="G1062">
        <v>0</v>
      </c>
      <c r="H1062" t="s">
        <v>5989</v>
      </c>
      <c r="I1062">
        <v>1189</v>
      </c>
      <c r="J1062" t="str">
        <f>VLOOKUP(E1062,DSSpieler!A:B,2,FALSE)</f>
        <v>TizianW</v>
      </c>
    </row>
    <row r="1063" spans="1:10" x14ac:dyDescent="0.25">
      <c r="A1063">
        <v>1190</v>
      </c>
      <c r="B1063" t="s">
        <v>531</v>
      </c>
      <c r="C1063">
        <v>444</v>
      </c>
      <c r="D1063">
        <v>523</v>
      </c>
      <c r="E1063">
        <v>0</v>
      </c>
      <c r="F1063">
        <v>350</v>
      </c>
      <c r="G1063">
        <v>0</v>
      </c>
      <c r="H1063" t="s">
        <v>5990</v>
      </c>
      <c r="I1063">
        <v>1190</v>
      </c>
      <c r="J1063" t="e">
        <f>VLOOKUP(E1063,DSSpieler!A:B,2,FALSE)</f>
        <v>#N/A</v>
      </c>
    </row>
    <row r="1064" spans="1:10" x14ac:dyDescent="0.25">
      <c r="A1064">
        <v>1191</v>
      </c>
      <c r="B1064" t="s">
        <v>30980</v>
      </c>
      <c r="C1064">
        <v>422</v>
      </c>
      <c r="D1064">
        <v>444</v>
      </c>
      <c r="E1064">
        <v>1576923004</v>
      </c>
      <c r="F1064">
        <v>5245</v>
      </c>
      <c r="G1064">
        <v>0</v>
      </c>
      <c r="H1064" t="s">
        <v>5991</v>
      </c>
      <c r="I1064">
        <v>1191</v>
      </c>
      <c r="J1064" t="str">
        <f>VLOOKUP(E1064,DSSpieler!A:B,2,FALSE)</f>
        <v>Ahaleks</v>
      </c>
    </row>
    <row r="1065" spans="1:10" x14ac:dyDescent="0.25">
      <c r="A1065">
        <v>1192</v>
      </c>
      <c r="B1065" t="s">
        <v>30981</v>
      </c>
      <c r="C1065">
        <v>432</v>
      </c>
      <c r="D1065">
        <v>430</v>
      </c>
      <c r="E1065">
        <v>1577197167</v>
      </c>
      <c r="F1065">
        <v>6435</v>
      </c>
      <c r="G1065">
        <v>0</v>
      </c>
      <c r="H1065" t="s">
        <v>5992</v>
      </c>
      <c r="I1065">
        <v>1192</v>
      </c>
      <c r="J1065" t="str">
        <f>VLOOKUP(E1065,DSSpieler!A:B,2,FALSE)</f>
        <v>ToStrikeBack</v>
      </c>
    </row>
    <row r="1066" spans="1:10" x14ac:dyDescent="0.25">
      <c r="A1066">
        <v>1193</v>
      </c>
      <c r="B1066" t="s">
        <v>30979</v>
      </c>
      <c r="C1066">
        <v>416</v>
      </c>
      <c r="D1066">
        <v>436</v>
      </c>
      <c r="E1066">
        <v>503235</v>
      </c>
      <c r="F1066">
        <v>6000</v>
      </c>
      <c r="G1066">
        <v>0</v>
      </c>
      <c r="H1066" t="s">
        <v>5993</v>
      </c>
      <c r="I1066">
        <v>1193</v>
      </c>
      <c r="J1066" t="str">
        <f>VLOOKUP(E1066,DSSpieler!A:B,2,FALSE)</f>
        <v>TizianW</v>
      </c>
    </row>
    <row r="1067" spans="1:10" x14ac:dyDescent="0.25">
      <c r="A1067">
        <v>1194</v>
      </c>
      <c r="B1067" t="s">
        <v>30979</v>
      </c>
      <c r="C1067">
        <v>425</v>
      </c>
      <c r="D1067">
        <v>438</v>
      </c>
      <c r="E1067">
        <v>503235</v>
      </c>
      <c r="F1067">
        <v>6586</v>
      </c>
      <c r="G1067">
        <v>0</v>
      </c>
      <c r="H1067" t="s">
        <v>5994</v>
      </c>
      <c r="I1067">
        <v>1194</v>
      </c>
      <c r="J1067" t="str">
        <f>VLOOKUP(E1067,DSSpieler!A:B,2,FALSE)</f>
        <v>TizianW</v>
      </c>
    </row>
    <row r="1068" spans="1:10" x14ac:dyDescent="0.25">
      <c r="A1068">
        <v>1195</v>
      </c>
      <c r="B1068" t="s">
        <v>531</v>
      </c>
      <c r="C1068">
        <v>490</v>
      </c>
      <c r="D1068">
        <v>492</v>
      </c>
      <c r="E1068">
        <v>0</v>
      </c>
      <c r="F1068">
        <v>331</v>
      </c>
      <c r="G1068">
        <v>0</v>
      </c>
      <c r="H1068" t="s">
        <v>5995</v>
      </c>
      <c r="I1068">
        <v>1195</v>
      </c>
      <c r="J1068" t="e">
        <f>VLOOKUP(E1068,DSSpieler!A:B,2,FALSE)</f>
        <v>#N/A</v>
      </c>
    </row>
    <row r="1069" spans="1:10" x14ac:dyDescent="0.25">
      <c r="A1069">
        <v>1196</v>
      </c>
      <c r="B1069" t="s">
        <v>30982</v>
      </c>
      <c r="C1069">
        <v>416</v>
      </c>
      <c r="D1069">
        <v>433</v>
      </c>
      <c r="E1069">
        <v>1576826598</v>
      </c>
      <c r="F1069">
        <v>6938</v>
      </c>
      <c r="G1069">
        <v>0</v>
      </c>
      <c r="H1069" t="s">
        <v>5996</v>
      </c>
      <c r="I1069">
        <v>1196</v>
      </c>
      <c r="J1069" t="str">
        <f>VLOOKUP(E1069,DSSpieler!A:B,2,FALSE)</f>
        <v>Rainer Wahnsinn</v>
      </c>
    </row>
    <row r="1070" spans="1:10" x14ac:dyDescent="0.25">
      <c r="A1070">
        <v>1197</v>
      </c>
      <c r="B1070" t="s">
        <v>30983</v>
      </c>
      <c r="C1070">
        <v>413</v>
      </c>
      <c r="D1070">
        <v>443</v>
      </c>
      <c r="E1070">
        <v>1576703166</v>
      </c>
      <c r="F1070">
        <v>4837</v>
      </c>
      <c r="G1070">
        <v>0</v>
      </c>
      <c r="H1070" t="s">
        <v>5997</v>
      </c>
      <c r="I1070">
        <v>1197</v>
      </c>
      <c r="J1070" t="str">
        <f>VLOOKUP(E1070,DSSpieler!A:B,2,FALSE)</f>
        <v>Brettvormkopp</v>
      </c>
    </row>
    <row r="1071" spans="1:10" x14ac:dyDescent="0.25">
      <c r="A1071">
        <v>1198</v>
      </c>
      <c r="B1071">
        <v>5</v>
      </c>
      <c r="C1071">
        <v>521</v>
      </c>
      <c r="D1071">
        <v>487</v>
      </c>
      <c r="E1071">
        <v>1576603742</v>
      </c>
      <c r="F1071">
        <v>1698</v>
      </c>
      <c r="G1071">
        <v>0</v>
      </c>
      <c r="H1071" t="s">
        <v>5998</v>
      </c>
      <c r="I1071">
        <v>1198</v>
      </c>
      <c r="J1071" t="str">
        <f>VLOOKUP(E1071,DSSpieler!A:B,2,FALSE)</f>
        <v>alter-mann</v>
      </c>
    </row>
    <row r="1072" spans="1:10" x14ac:dyDescent="0.25">
      <c r="A1072">
        <v>1199</v>
      </c>
      <c r="B1072" t="s">
        <v>531</v>
      </c>
      <c r="C1072">
        <v>425</v>
      </c>
      <c r="D1072">
        <v>433</v>
      </c>
      <c r="E1072">
        <v>0</v>
      </c>
      <c r="F1072">
        <v>441</v>
      </c>
      <c r="G1072">
        <v>0</v>
      </c>
      <c r="H1072" t="s">
        <v>5999</v>
      </c>
      <c r="I1072">
        <v>1199</v>
      </c>
      <c r="J1072" t="e">
        <f>VLOOKUP(E1072,DSSpieler!A:B,2,FALSE)</f>
        <v>#N/A</v>
      </c>
    </row>
    <row r="1073" spans="1:10" x14ac:dyDescent="0.25">
      <c r="A1073">
        <v>1200</v>
      </c>
      <c r="B1073" t="s">
        <v>531</v>
      </c>
      <c r="C1073">
        <v>419</v>
      </c>
      <c r="D1073">
        <v>431</v>
      </c>
      <c r="E1073">
        <v>0</v>
      </c>
      <c r="F1073">
        <v>564</v>
      </c>
      <c r="G1073">
        <v>0</v>
      </c>
      <c r="H1073" t="s">
        <v>6000</v>
      </c>
      <c r="I1073">
        <v>1200</v>
      </c>
      <c r="J1073" t="e">
        <f>VLOOKUP(E1073,DSSpieler!A:B,2,FALSE)</f>
        <v>#N/A</v>
      </c>
    </row>
    <row r="1074" spans="1:10" x14ac:dyDescent="0.25">
      <c r="A1074">
        <v>1201</v>
      </c>
      <c r="B1074" t="s">
        <v>531</v>
      </c>
      <c r="C1074">
        <v>413</v>
      </c>
      <c r="D1074">
        <v>434</v>
      </c>
      <c r="E1074">
        <v>0</v>
      </c>
      <c r="F1074">
        <v>412</v>
      </c>
      <c r="G1074">
        <v>0</v>
      </c>
      <c r="H1074" t="s">
        <v>6001</v>
      </c>
      <c r="I1074">
        <v>1201</v>
      </c>
      <c r="J1074" t="e">
        <f>VLOOKUP(E1074,DSSpieler!A:B,2,FALSE)</f>
        <v>#N/A</v>
      </c>
    </row>
    <row r="1075" spans="1:10" x14ac:dyDescent="0.25">
      <c r="A1075">
        <v>1202</v>
      </c>
      <c r="B1075" t="s">
        <v>531</v>
      </c>
      <c r="C1075">
        <v>423</v>
      </c>
      <c r="D1075">
        <v>439</v>
      </c>
      <c r="E1075">
        <v>90973</v>
      </c>
      <c r="F1075">
        <v>1137</v>
      </c>
      <c r="G1075">
        <v>0</v>
      </c>
      <c r="H1075" t="s">
        <v>6002</v>
      </c>
      <c r="I1075">
        <v>1202</v>
      </c>
      <c r="J1075" t="str">
        <f>VLOOKUP(E1075,DSSpieler!A:B,2,FALSE)</f>
        <v>Shirina</v>
      </c>
    </row>
    <row r="1076" spans="1:10" x14ac:dyDescent="0.25">
      <c r="A1076">
        <v>1203</v>
      </c>
      <c r="B1076" t="s">
        <v>531</v>
      </c>
      <c r="C1076">
        <v>426</v>
      </c>
      <c r="D1076">
        <v>428</v>
      </c>
      <c r="E1076">
        <v>0</v>
      </c>
      <c r="F1076">
        <v>450</v>
      </c>
      <c r="G1076">
        <v>0</v>
      </c>
      <c r="H1076" t="s">
        <v>6003</v>
      </c>
      <c r="I1076">
        <v>1203</v>
      </c>
      <c r="J1076" t="e">
        <f>VLOOKUP(E1076,DSSpieler!A:B,2,FALSE)</f>
        <v>#N/A</v>
      </c>
    </row>
    <row r="1077" spans="1:10" x14ac:dyDescent="0.25">
      <c r="A1077">
        <v>1204</v>
      </c>
      <c r="B1077" t="s">
        <v>531</v>
      </c>
      <c r="C1077">
        <v>426</v>
      </c>
      <c r="D1077">
        <v>434</v>
      </c>
      <c r="E1077">
        <v>0</v>
      </c>
      <c r="F1077">
        <v>543</v>
      </c>
      <c r="G1077">
        <v>0</v>
      </c>
      <c r="H1077" t="s">
        <v>6004</v>
      </c>
      <c r="I1077">
        <v>1204</v>
      </c>
      <c r="J1077" t="e">
        <f>VLOOKUP(E1077,DSSpieler!A:B,2,FALSE)</f>
        <v>#N/A</v>
      </c>
    </row>
    <row r="1078" spans="1:10" x14ac:dyDescent="0.25">
      <c r="A1078">
        <v>1205</v>
      </c>
      <c r="B1078" t="s">
        <v>531</v>
      </c>
      <c r="C1078">
        <v>472</v>
      </c>
      <c r="D1078">
        <v>500</v>
      </c>
      <c r="E1078">
        <v>0</v>
      </c>
      <c r="F1078">
        <v>201</v>
      </c>
      <c r="G1078">
        <v>0</v>
      </c>
      <c r="H1078" t="s">
        <v>6005</v>
      </c>
      <c r="I1078">
        <v>1205</v>
      </c>
      <c r="J1078" t="e">
        <f>VLOOKUP(E1078,DSSpieler!A:B,2,FALSE)</f>
        <v>#N/A</v>
      </c>
    </row>
    <row r="1079" spans="1:10" x14ac:dyDescent="0.25">
      <c r="A1079">
        <v>1206</v>
      </c>
      <c r="B1079" t="s">
        <v>30984</v>
      </c>
      <c r="C1079">
        <v>470</v>
      </c>
      <c r="D1079">
        <v>506</v>
      </c>
      <c r="E1079">
        <v>1577141690</v>
      </c>
      <c r="F1079">
        <v>4821</v>
      </c>
      <c r="G1079">
        <v>0</v>
      </c>
      <c r="H1079" t="s">
        <v>6006</v>
      </c>
      <c r="I1079">
        <v>1206</v>
      </c>
      <c r="J1079" t="str">
        <f>VLOOKUP(E1079,DSSpieler!A:B,2,FALSE)</f>
        <v>Loka1s</v>
      </c>
    </row>
    <row r="1080" spans="1:10" x14ac:dyDescent="0.25">
      <c r="A1080">
        <v>1207</v>
      </c>
      <c r="B1080" t="s">
        <v>30692</v>
      </c>
      <c r="C1080">
        <v>473</v>
      </c>
      <c r="D1080">
        <v>498</v>
      </c>
      <c r="E1080">
        <v>9823227</v>
      </c>
      <c r="F1080">
        <v>4393</v>
      </c>
      <c r="G1080">
        <v>0</v>
      </c>
      <c r="H1080" t="s">
        <v>6007</v>
      </c>
      <c r="I1080">
        <v>1207</v>
      </c>
      <c r="J1080" t="str">
        <f>VLOOKUP(E1080,DSSpieler!A:B,2,FALSE)</f>
        <v>Rainerzufall123</v>
      </c>
    </row>
    <row r="1081" spans="1:10" x14ac:dyDescent="0.25">
      <c r="A1081">
        <v>1208</v>
      </c>
      <c r="B1081" t="s">
        <v>30985</v>
      </c>
      <c r="C1081">
        <v>609</v>
      </c>
      <c r="D1081">
        <v>473</v>
      </c>
      <c r="E1081">
        <v>1998195</v>
      </c>
      <c r="F1081">
        <v>6296</v>
      </c>
      <c r="G1081">
        <v>0</v>
      </c>
      <c r="H1081" t="s">
        <v>6008</v>
      </c>
      <c r="I1081">
        <v>1208</v>
      </c>
      <c r="J1081" t="str">
        <f>VLOOKUP(E1081,DSSpieler!A:B,2,FALSE)</f>
        <v>Neron D Arc</v>
      </c>
    </row>
    <row r="1082" spans="1:10" x14ac:dyDescent="0.25">
      <c r="A1082">
        <v>1209</v>
      </c>
      <c r="B1082" t="s">
        <v>531</v>
      </c>
      <c r="C1082">
        <v>501</v>
      </c>
      <c r="D1082">
        <v>538</v>
      </c>
      <c r="E1082">
        <v>0</v>
      </c>
      <c r="F1082">
        <v>426</v>
      </c>
      <c r="G1082">
        <v>0</v>
      </c>
      <c r="H1082" t="s">
        <v>6009</v>
      </c>
      <c r="I1082">
        <v>1209</v>
      </c>
      <c r="J1082" t="e">
        <f>VLOOKUP(E1082,DSSpieler!A:B,2,FALSE)</f>
        <v>#N/A</v>
      </c>
    </row>
    <row r="1083" spans="1:10" x14ac:dyDescent="0.25">
      <c r="A1083">
        <v>1210</v>
      </c>
      <c r="B1083" t="s">
        <v>30986</v>
      </c>
      <c r="C1083">
        <v>604</v>
      </c>
      <c r="D1083">
        <v>462</v>
      </c>
      <c r="E1083">
        <v>1577196521</v>
      </c>
      <c r="F1083">
        <v>4304</v>
      </c>
      <c r="G1083">
        <v>0</v>
      </c>
      <c r="H1083" t="s">
        <v>6010</v>
      </c>
      <c r="I1083">
        <v>1210</v>
      </c>
      <c r="J1083" t="str">
        <f>VLOOKUP(E1083,DSSpieler!A:B,2,FALSE)</f>
        <v>Donauwelle</v>
      </c>
    </row>
    <row r="1084" spans="1:10" x14ac:dyDescent="0.25">
      <c r="A1084">
        <v>1211</v>
      </c>
      <c r="B1084" t="s">
        <v>746</v>
      </c>
      <c r="C1084">
        <v>608</v>
      </c>
      <c r="D1084">
        <v>466</v>
      </c>
      <c r="E1084">
        <v>1577195777</v>
      </c>
      <c r="F1084">
        <v>5511</v>
      </c>
      <c r="G1084">
        <v>0</v>
      </c>
      <c r="H1084" t="s">
        <v>6011</v>
      </c>
      <c r="I1084">
        <v>1211</v>
      </c>
      <c r="J1084" t="str">
        <f>VLOOKUP(E1084,DSSpieler!A:B,2,FALSE)</f>
        <v>Eclair</v>
      </c>
    </row>
    <row r="1085" spans="1:10" x14ac:dyDescent="0.25">
      <c r="A1085">
        <v>1212</v>
      </c>
      <c r="B1085" t="s">
        <v>30987</v>
      </c>
      <c r="C1085">
        <v>609</v>
      </c>
      <c r="D1085">
        <v>490</v>
      </c>
      <c r="E1085">
        <v>9312082</v>
      </c>
      <c r="F1085">
        <v>5693</v>
      </c>
      <c r="G1085">
        <v>0</v>
      </c>
      <c r="H1085" t="s">
        <v>6012</v>
      </c>
      <c r="I1085">
        <v>1212</v>
      </c>
      <c r="J1085" t="str">
        <f>VLOOKUP(E1085,DSSpieler!A:B,2,FALSE)</f>
        <v>-Vanillegipfel-</v>
      </c>
    </row>
    <row r="1086" spans="1:10" x14ac:dyDescent="0.25">
      <c r="A1086">
        <v>1213</v>
      </c>
      <c r="B1086" t="s">
        <v>30988</v>
      </c>
      <c r="C1086">
        <v>609</v>
      </c>
      <c r="D1086">
        <v>470</v>
      </c>
      <c r="E1086">
        <v>9757149</v>
      </c>
      <c r="F1086">
        <v>7117</v>
      </c>
      <c r="G1086">
        <v>0</v>
      </c>
      <c r="H1086" t="s">
        <v>6013</v>
      </c>
      <c r="I1086">
        <v>1213</v>
      </c>
      <c r="J1086" t="str">
        <f>VLOOKUP(E1086,DSSpieler!A:B,2,FALSE)</f>
        <v>toxic*vision</v>
      </c>
    </row>
    <row r="1087" spans="1:10" x14ac:dyDescent="0.25">
      <c r="A1087">
        <v>1214</v>
      </c>
      <c r="B1087" t="s">
        <v>30989</v>
      </c>
      <c r="C1087">
        <v>607</v>
      </c>
      <c r="D1087">
        <v>464</v>
      </c>
      <c r="E1087">
        <v>1576990783</v>
      </c>
      <c r="F1087">
        <v>3644</v>
      </c>
      <c r="G1087">
        <v>0</v>
      </c>
      <c r="H1087" t="s">
        <v>6014</v>
      </c>
      <c r="I1087">
        <v>1214</v>
      </c>
      <c r="J1087" t="str">
        <f>VLOOKUP(E1087,DSSpieler!A:B,2,FALSE)</f>
        <v>Panaritium</v>
      </c>
    </row>
    <row r="1088" spans="1:10" x14ac:dyDescent="0.25">
      <c r="A1088">
        <v>1215</v>
      </c>
      <c r="B1088" t="s">
        <v>531</v>
      </c>
      <c r="C1088">
        <v>526</v>
      </c>
      <c r="D1088">
        <v>432</v>
      </c>
      <c r="E1088">
        <v>0</v>
      </c>
      <c r="F1088">
        <v>360</v>
      </c>
      <c r="G1088">
        <v>0</v>
      </c>
      <c r="H1088" t="s">
        <v>6015</v>
      </c>
      <c r="I1088">
        <v>1215</v>
      </c>
      <c r="J1088" t="e">
        <f>VLOOKUP(E1088,DSSpieler!A:B,2,FALSE)</f>
        <v>#N/A</v>
      </c>
    </row>
    <row r="1089" spans="1:10" x14ac:dyDescent="0.25">
      <c r="A1089">
        <v>1216</v>
      </c>
      <c r="B1089" t="s">
        <v>747</v>
      </c>
      <c r="C1089">
        <v>595</v>
      </c>
      <c r="D1089">
        <v>464</v>
      </c>
      <c r="E1089">
        <v>1577197349</v>
      </c>
      <c r="F1089">
        <v>6201</v>
      </c>
      <c r="G1089">
        <v>0</v>
      </c>
      <c r="H1089" t="s">
        <v>6016</v>
      </c>
      <c r="I1089">
        <v>1216</v>
      </c>
      <c r="J1089" t="str">
        <f>VLOOKUP(E1089,DSSpieler!A:B,2,FALSE)</f>
        <v>d0ppelkeks</v>
      </c>
    </row>
    <row r="1090" spans="1:10" x14ac:dyDescent="0.25">
      <c r="A1090">
        <v>1217</v>
      </c>
      <c r="B1090" t="s">
        <v>30990</v>
      </c>
      <c r="C1090">
        <v>595</v>
      </c>
      <c r="D1090">
        <v>467</v>
      </c>
      <c r="E1090">
        <v>1577195701</v>
      </c>
      <c r="F1090">
        <v>4886</v>
      </c>
      <c r="G1090">
        <v>0</v>
      </c>
      <c r="H1090" t="s">
        <v>6017</v>
      </c>
      <c r="I1090">
        <v>1217</v>
      </c>
      <c r="J1090" t="str">
        <f>VLOOKUP(E1090,DSSpieler!A:B,2,FALSE)</f>
        <v>Vanilletraeumchen</v>
      </c>
    </row>
    <row r="1091" spans="1:10" x14ac:dyDescent="0.25">
      <c r="A1091">
        <v>1218</v>
      </c>
      <c r="B1091" t="s">
        <v>748</v>
      </c>
      <c r="C1091">
        <v>606</v>
      </c>
      <c r="D1091">
        <v>472</v>
      </c>
      <c r="E1091">
        <v>1577171746</v>
      </c>
      <c r="F1091">
        <v>8006</v>
      </c>
      <c r="G1091">
        <v>0</v>
      </c>
      <c r="H1091" t="s">
        <v>6018</v>
      </c>
      <c r="I1091">
        <v>1218</v>
      </c>
      <c r="J1091" t="str">
        <f>VLOOKUP(E1091,DSSpieler!A:B,2,FALSE)</f>
        <v>ArmeRitter</v>
      </c>
    </row>
    <row r="1092" spans="1:10" x14ac:dyDescent="0.25">
      <c r="A1092">
        <v>1219</v>
      </c>
      <c r="B1092" t="s">
        <v>531</v>
      </c>
      <c r="C1092">
        <v>504</v>
      </c>
      <c r="D1092">
        <v>489</v>
      </c>
      <c r="E1092">
        <v>0</v>
      </c>
      <c r="F1092">
        <v>492</v>
      </c>
      <c r="G1092">
        <v>0</v>
      </c>
      <c r="H1092" t="s">
        <v>6019</v>
      </c>
      <c r="I1092">
        <v>1219</v>
      </c>
      <c r="J1092" t="e">
        <f>VLOOKUP(E1092,DSSpieler!A:B,2,FALSE)</f>
        <v>#N/A</v>
      </c>
    </row>
    <row r="1093" spans="1:10" x14ac:dyDescent="0.25">
      <c r="A1093">
        <v>1220</v>
      </c>
      <c r="B1093" s="111">
        <v>23.01</v>
      </c>
      <c r="C1093">
        <v>604</v>
      </c>
      <c r="D1093">
        <v>464</v>
      </c>
      <c r="E1093">
        <v>1577190470</v>
      </c>
      <c r="F1093">
        <v>6204</v>
      </c>
      <c r="G1093">
        <v>0</v>
      </c>
      <c r="H1093" t="s">
        <v>6020</v>
      </c>
      <c r="I1093">
        <v>1220</v>
      </c>
      <c r="J1093" t="str">
        <f>VLOOKUP(E1093,DSSpieler!A:B,2,FALSE)</f>
        <v>Himbeermarmelade88</v>
      </c>
    </row>
    <row r="1094" spans="1:10" x14ac:dyDescent="0.25">
      <c r="A1094">
        <v>1221</v>
      </c>
      <c r="B1094" t="s">
        <v>30991</v>
      </c>
      <c r="C1094">
        <v>602</v>
      </c>
      <c r="D1094">
        <v>466</v>
      </c>
      <c r="E1094">
        <v>1577195698</v>
      </c>
      <c r="F1094">
        <v>5014</v>
      </c>
      <c r="G1094">
        <v>0</v>
      </c>
      <c r="H1094" t="s">
        <v>6021</v>
      </c>
      <c r="I1094">
        <v>1221</v>
      </c>
      <c r="J1094" t="str">
        <f>VLOOKUP(E1094,DSSpieler!A:B,2,FALSE)</f>
        <v>Tiramisu</v>
      </c>
    </row>
    <row r="1095" spans="1:10" x14ac:dyDescent="0.25">
      <c r="A1095">
        <v>1222</v>
      </c>
      <c r="B1095" t="s">
        <v>30990</v>
      </c>
      <c r="C1095">
        <v>608</v>
      </c>
      <c r="D1095">
        <v>472</v>
      </c>
      <c r="E1095">
        <v>1577195701</v>
      </c>
      <c r="F1095">
        <v>7196</v>
      </c>
      <c r="G1095">
        <v>0</v>
      </c>
      <c r="H1095" t="s">
        <v>6022</v>
      </c>
      <c r="I1095">
        <v>1222</v>
      </c>
      <c r="J1095" t="str">
        <f>VLOOKUP(E1095,DSSpieler!A:B,2,FALSE)</f>
        <v>Vanilletraeumchen</v>
      </c>
    </row>
    <row r="1096" spans="1:10" x14ac:dyDescent="0.25">
      <c r="A1096">
        <v>1224</v>
      </c>
      <c r="B1096" t="s">
        <v>30992</v>
      </c>
      <c r="C1096">
        <v>605</v>
      </c>
      <c r="D1096">
        <v>473</v>
      </c>
      <c r="E1096">
        <v>1406771</v>
      </c>
      <c r="F1096">
        <v>5081</v>
      </c>
      <c r="G1096">
        <v>0</v>
      </c>
      <c r="H1096" t="s">
        <v>6023</v>
      </c>
      <c r="I1096">
        <v>1224</v>
      </c>
      <c r="J1096" t="str">
        <f>VLOOKUP(E1096,DSSpieler!A:B,2,FALSE)</f>
        <v>Powergirl 4ever</v>
      </c>
    </row>
    <row r="1097" spans="1:10" x14ac:dyDescent="0.25">
      <c r="A1097">
        <v>1225</v>
      </c>
      <c r="B1097" t="s">
        <v>531</v>
      </c>
      <c r="C1097">
        <v>472</v>
      </c>
      <c r="D1097">
        <v>569</v>
      </c>
      <c r="E1097">
        <v>0</v>
      </c>
      <c r="F1097">
        <v>344</v>
      </c>
      <c r="G1097">
        <v>0</v>
      </c>
      <c r="H1097" t="s">
        <v>6024</v>
      </c>
      <c r="I1097">
        <v>1225</v>
      </c>
      <c r="J1097" t="e">
        <f>VLOOKUP(E1097,DSSpieler!A:B,2,FALSE)</f>
        <v>#N/A</v>
      </c>
    </row>
    <row r="1098" spans="1:10" x14ac:dyDescent="0.25">
      <c r="A1098">
        <v>1226</v>
      </c>
      <c r="B1098" t="s">
        <v>531</v>
      </c>
      <c r="C1098">
        <v>489</v>
      </c>
      <c r="D1098">
        <v>530</v>
      </c>
      <c r="E1098">
        <v>0</v>
      </c>
      <c r="F1098">
        <v>245</v>
      </c>
      <c r="G1098">
        <v>0</v>
      </c>
      <c r="H1098" t="s">
        <v>6025</v>
      </c>
      <c r="I1098">
        <v>1226</v>
      </c>
      <c r="J1098" t="e">
        <f>VLOOKUP(E1098,DSSpieler!A:B,2,FALSE)</f>
        <v>#N/A</v>
      </c>
    </row>
    <row r="1099" spans="1:10" x14ac:dyDescent="0.25">
      <c r="A1099">
        <v>1227</v>
      </c>
      <c r="B1099" t="s">
        <v>531</v>
      </c>
      <c r="C1099">
        <v>486</v>
      </c>
      <c r="D1099">
        <v>547</v>
      </c>
      <c r="E1099">
        <v>0</v>
      </c>
      <c r="F1099">
        <v>218</v>
      </c>
      <c r="G1099">
        <v>0</v>
      </c>
      <c r="H1099" t="s">
        <v>6026</v>
      </c>
      <c r="I1099">
        <v>1227</v>
      </c>
      <c r="J1099" t="e">
        <f>VLOOKUP(E1099,DSSpieler!A:B,2,FALSE)</f>
        <v>#N/A</v>
      </c>
    </row>
    <row r="1100" spans="1:10" x14ac:dyDescent="0.25">
      <c r="A1100">
        <v>1228</v>
      </c>
      <c r="B1100" t="s">
        <v>30993</v>
      </c>
      <c r="C1100">
        <v>604</v>
      </c>
      <c r="D1100">
        <v>463</v>
      </c>
      <c r="E1100">
        <v>1577195705</v>
      </c>
      <c r="F1100">
        <v>3875</v>
      </c>
      <c r="G1100">
        <v>0</v>
      </c>
      <c r="H1100" t="s">
        <v>6027</v>
      </c>
      <c r="I1100">
        <v>1228</v>
      </c>
      <c r="J1100" t="str">
        <f>VLOOKUP(E1100,DSSpieler!A:B,2,FALSE)</f>
        <v>Schokokuss</v>
      </c>
    </row>
    <row r="1101" spans="1:10" x14ac:dyDescent="0.25">
      <c r="A1101">
        <v>1229</v>
      </c>
      <c r="B1101" t="s">
        <v>30994</v>
      </c>
      <c r="C1101">
        <v>602</v>
      </c>
      <c r="D1101">
        <v>463</v>
      </c>
      <c r="E1101">
        <v>1577195705</v>
      </c>
      <c r="F1101">
        <v>3884</v>
      </c>
      <c r="G1101">
        <v>0</v>
      </c>
      <c r="H1101" t="s">
        <v>6028</v>
      </c>
      <c r="I1101">
        <v>1229</v>
      </c>
      <c r="J1101" t="str">
        <f>VLOOKUP(E1101,DSSpieler!A:B,2,FALSE)</f>
        <v>Schokokuss</v>
      </c>
    </row>
    <row r="1102" spans="1:10" x14ac:dyDescent="0.25">
      <c r="A1102">
        <v>1230</v>
      </c>
      <c r="B1102" t="s">
        <v>749</v>
      </c>
      <c r="C1102">
        <v>605</v>
      </c>
      <c r="D1102">
        <v>464</v>
      </c>
      <c r="E1102">
        <v>1577195777</v>
      </c>
      <c r="F1102">
        <v>7059</v>
      </c>
      <c r="G1102">
        <v>0</v>
      </c>
      <c r="H1102" t="s">
        <v>6029</v>
      </c>
      <c r="I1102">
        <v>1230</v>
      </c>
      <c r="J1102" t="str">
        <f>VLOOKUP(E1102,DSSpieler!A:B,2,FALSE)</f>
        <v>Eclair</v>
      </c>
    </row>
    <row r="1103" spans="1:10" x14ac:dyDescent="0.25">
      <c r="A1103">
        <v>1231</v>
      </c>
      <c r="B1103" t="e">
        <f>-1-+Nagasaki</f>
        <v>#NAME?</v>
      </c>
      <c r="C1103">
        <v>600</v>
      </c>
      <c r="D1103">
        <v>457</v>
      </c>
      <c r="E1103">
        <v>1577195851</v>
      </c>
      <c r="F1103">
        <v>5845</v>
      </c>
      <c r="G1103">
        <v>0</v>
      </c>
      <c r="H1103" t="s">
        <v>6030</v>
      </c>
      <c r="I1103">
        <v>1231</v>
      </c>
      <c r="J1103" t="str">
        <f>VLOOKUP(E1103,DSSpieler!A:B,2,FALSE)</f>
        <v>Vermicelles</v>
      </c>
    </row>
    <row r="1104" spans="1:10" x14ac:dyDescent="0.25">
      <c r="A1104">
        <v>1232</v>
      </c>
      <c r="B1104" t="s">
        <v>30995</v>
      </c>
      <c r="C1104">
        <v>608</v>
      </c>
      <c r="D1104">
        <v>482</v>
      </c>
      <c r="E1104">
        <v>1577195852</v>
      </c>
      <c r="F1104">
        <v>4666</v>
      </c>
      <c r="G1104">
        <v>0</v>
      </c>
      <c r="H1104" t="s">
        <v>6031</v>
      </c>
      <c r="I1104">
        <v>1232</v>
      </c>
      <c r="J1104" t="str">
        <f>VLOOKUP(E1104,DSSpieler!A:B,2,FALSE)</f>
        <v>Cookie1204</v>
      </c>
    </row>
    <row r="1105" spans="1:10" x14ac:dyDescent="0.25">
      <c r="A1105">
        <v>1233</v>
      </c>
      <c r="B1105" t="s">
        <v>30996</v>
      </c>
      <c r="C1105">
        <v>603</v>
      </c>
      <c r="D1105">
        <v>458</v>
      </c>
      <c r="E1105">
        <v>1577195867</v>
      </c>
      <c r="F1105">
        <v>4959</v>
      </c>
      <c r="G1105">
        <v>0</v>
      </c>
      <c r="H1105" t="s">
        <v>6032</v>
      </c>
      <c r="I1105">
        <v>1233</v>
      </c>
      <c r="J1105" t="str">
        <f>VLOOKUP(E1105,DSSpieler!A:B,2,FALSE)</f>
        <v>Erdbeerschokogeist</v>
      </c>
    </row>
    <row r="1106" spans="1:10" x14ac:dyDescent="0.25">
      <c r="A1106">
        <v>1234</v>
      </c>
      <c r="B1106" t="s">
        <v>750</v>
      </c>
      <c r="C1106">
        <v>604</v>
      </c>
      <c r="D1106">
        <v>479</v>
      </c>
      <c r="E1106">
        <v>1577195887</v>
      </c>
      <c r="F1106">
        <v>4475</v>
      </c>
      <c r="G1106">
        <v>0</v>
      </c>
      <c r="H1106" t="s">
        <v>6033</v>
      </c>
      <c r="I1106">
        <v>1234</v>
      </c>
      <c r="J1106" t="str">
        <f>VLOOKUP(E1106,DSSpieler!A:B,2,FALSE)</f>
        <v>schokowoelkchen</v>
      </c>
    </row>
    <row r="1107" spans="1:10" x14ac:dyDescent="0.25">
      <c r="A1107">
        <v>1235</v>
      </c>
      <c r="B1107" t="s">
        <v>531</v>
      </c>
      <c r="C1107">
        <v>502</v>
      </c>
      <c r="D1107">
        <v>431</v>
      </c>
      <c r="E1107">
        <v>1577195218</v>
      </c>
      <c r="F1107">
        <v>612</v>
      </c>
      <c r="G1107">
        <v>0</v>
      </c>
      <c r="H1107" t="s">
        <v>6034</v>
      </c>
      <c r="I1107">
        <v>1235</v>
      </c>
      <c r="J1107" t="str">
        <f>VLOOKUP(E1107,DSSpieler!A:B,2,FALSE)</f>
        <v>walujew</v>
      </c>
    </row>
    <row r="1108" spans="1:10" x14ac:dyDescent="0.25">
      <c r="A1108">
        <v>1236</v>
      </c>
      <c r="B1108" t="s">
        <v>751</v>
      </c>
      <c r="C1108">
        <v>599</v>
      </c>
      <c r="D1108">
        <v>477</v>
      </c>
      <c r="E1108">
        <v>9834184</v>
      </c>
      <c r="F1108">
        <v>3710</v>
      </c>
      <c r="G1108">
        <v>0</v>
      </c>
      <c r="H1108" t="s">
        <v>6035</v>
      </c>
      <c r="I1108">
        <v>1236</v>
      </c>
      <c r="J1108" t="str">
        <f>VLOOKUP(E1108,DSSpieler!A:B,2,FALSE)</f>
        <v>Fraentah</v>
      </c>
    </row>
    <row r="1109" spans="1:10" x14ac:dyDescent="0.25">
      <c r="A1109">
        <v>1237</v>
      </c>
      <c r="B1109" t="s">
        <v>30997</v>
      </c>
      <c r="C1109">
        <v>607</v>
      </c>
      <c r="D1109">
        <v>471</v>
      </c>
      <c r="E1109">
        <v>1577195981</v>
      </c>
      <c r="F1109">
        <v>4826</v>
      </c>
      <c r="G1109">
        <v>0</v>
      </c>
      <c r="H1109" t="s">
        <v>6036</v>
      </c>
      <c r="I1109">
        <v>1237</v>
      </c>
      <c r="J1109" t="str">
        <f>VLOOKUP(E1109,DSSpieler!A:B,2,FALSE)</f>
        <v>Törtchen</v>
      </c>
    </row>
    <row r="1110" spans="1:10" x14ac:dyDescent="0.25">
      <c r="A1110">
        <v>1238</v>
      </c>
      <c r="B1110" t="s">
        <v>752</v>
      </c>
      <c r="C1110">
        <v>606</v>
      </c>
      <c r="D1110">
        <v>468</v>
      </c>
      <c r="E1110">
        <v>1577193907</v>
      </c>
      <c r="F1110">
        <v>2364</v>
      </c>
      <c r="G1110">
        <v>0</v>
      </c>
      <c r="H1110" t="s">
        <v>6037</v>
      </c>
      <c r="I1110">
        <v>1238</v>
      </c>
      <c r="J1110" t="str">
        <f>VLOOKUP(E1110,DSSpieler!A:B,2,FALSE)</f>
        <v>Scorpo</v>
      </c>
    </row>
    <row r="1111" spans="1:10" x14ac:dyDescent="0.25">
      <c r="A1111">
        <v>1239</v>
      </c>
      <c r="B1111" t="s">
        <v>531</v>
      </c>
      <c r="C1111">
        <v>443</v>
      </c>
      <c r="D1111">
        <v>499</v>
      </c>
      <c r="E1111">
        <v>0</v>
      </c>
      <c r="F1111">
        <v>374</v>
      </c>
      <c r="G1111">
        <v>0</v>
      </c>
      <c r="H1111" t="s">
        <v>6038</v>
      </c>
      <c r="I1111">
        <v>1239</v>
      </c>
      <c r="J1111" t="e">
        <f>VLOOKUP(E1111,DSSpieler!A:B,2,FALSE)</f>
        <v>#N/A</v>
      </c>
    </row>
    <row r="1112" spans="1:10" x14ac:dyDescent="0.25">
      <c r="A1112">
        <v>1240</v>
      </c>
      <c r="B1112" t="s">
        <v>30998</v>
      </c>
      <c r="C1112">
        <v>601</v>
      </c>
      <c r="D1112">
        <v>465</v>
      </c>
      <c r="E1112">
        <v>1577196521</v>
      </c>
      <c r="F1112">
        <v>4994</v>
      </c>
      <c r="G1112">
        <v>0</v>
      </c>
      <c r="H1112" t="s">
        <v>6039</v>
      </c>
      <c r="I1112">
        <v>1240</v>
      </c>
      <c r="J1112" t="str">
        <f>VLOOKUP(E1112,DSSpieler!A:B,2,FALSE)</f>
        <v>Donauwelle</v>
      </c>
    </row>
    <row r="1113" spans="1:10" x14ac:dyDescent="0.25">
      <c r="A1113">
        <v>1241</v>
      </c>
      <c r="B1113" t="s">
        <v>753</v>
      </c>
      <c r="C1113">
        <v>598</v>
      </c>
      <c r="D1113">
        <v>456</v>
      </c>
      <c r="E1113">
        <v>1577196890</v>
      </c>
      <c r="F1113">
        <v>3764</v>
      </c>
      <c r="G1113">
        <v>0</v>
      </c>
      <c r="H1113" t="s">
        <v>6040</v>
      </c>
      <c r="I1113">
        <v>1241</v>
      </c>
      <c r="J1113" t="str">
        <f>VLOOKUP(E1113,DSSpieler!A:B,2,FALSE)</f>
        <v>Quarktasche</v>
      </c>
    </row>
    <row r="1114" spans="1:10" x14ac:dyDescent="0.25">
      <c r="A1114">
        <v>1242</v>
      </c>
      <c r="B1114" t="s">
        <v>531</v>
      </c>
      <c r="C1114">
        <v>495</v>
      </c>
      <c r="D1114">
        <v>424</v>
      </c>
      <c r="E1114">
        <v>0</v>
      </c>
      <c r="F1114">
        <v>515</v>
      </c>
      <c r="G1114">
        <v>0</v>
      </c>
      <c r="H1114" t="s">
        <v>6041</v>
      </c>
      <c r="I1114">
        <v>1242</v>
      </c>
      <c r="J1114" t="e">
        <f>VLOOKUP(E1114,DSSpieler!A:B,2,FALSE)</f>
        <v>#N/A</v>
      </c>
    </row>
    <row r="1115" spans="1:10" x14ac:dyDescent="0.25">
      <c r="A1115">
        <v>1243</v>
      </c>
      <c r="B1115" t="s">
        <v>754</v>
      </c>
      <c r="C1115">
        <v>597</v>
      </c>
      <c r="D1115">
        <v>466</v>
      </c>
      <c r="E1115">
        <v>1577197349</v>
      </c>
      <c r="F1115">
        <v>5336</v>
      </c>
      <c r="G1115">
        <v>0</v>
      </c>
      <c r="H1115" t="s">
        <v>6042</v>
      </c>
      <c r="I1115">
        <v>1243</v>
      </c>
      <c r="J1115" t="str">
        <f>VLOOKUP(E1115,DSSpieler!A:B,2,FALSE)</f>
        <v>d0ppelkeks</v>
      </c>
    </row>
    <row r="1116" spans="1:10" x14ac:dyDescent="0.25">
      <c r="A1116">
        <v>1244</v>
      </c>
      <c r="B1116" t="s">
        <v>755</v>
      </c>
      <c r="C1116">
        <v>598</v>
      </c>
      <c r="D1116">
        <v>474</v>
      </c>
      <c r="E1116">
        <v>1577197515</v>
      </c>
      <c r="F1116">
        <v>6386</v>
      </c>
      <c r="G1116">
        <v>0</v>
      </c>
      <c r="H1116" t="s">
        <v>6043</v>
      </c>
      <c r="I1116">
        <v>1244</v>
      </c>
      <c r="J1116" t="str">
        <f>VLOOKUP(E1116,DSSpieler!A:B,2,FALSE)</f>
        <v>Aber.bitte.mit.Sahne</v>
      </c>
    </row>
    <row r="1117" spans="1:10" x14ac:dyDescent="0.25">
      <c r="A1117">
        <v>1245</v>
      </c>
      <c r="B1117" t="s">
        <v>30999</v>
      </c>
      <c r="C1117">
        <v>606</v>
      </c>
      <c r="D1117">
        <v>471</v>
      </c>
      <c r="E1117">
        <v>1577197524</v>
      </c>
      <c r="F1117">
        <v>6495</v>
      </c>
      <c r="G1117">
        <v>0</v>
      </c>
      <c r="H1117" t="s">
        <v>6044</v>
      </c>
      <c r="I1117">
        <v>1245</v>
      </c>
      <c r="J1117" t="str">
        <f>VLOOKUP(E1117,DSSpieler!A:B,2,FALSE)</f>
        <v>Cr3p3s</v>
      </c>
    </row>
    <row r="1118" spans="1:10" x14ac:dyDescent="0.25">
      <c r="A1118">
        <v>1246</v>
      </c>
      <c r="B1118" t="s">
        <v>539</v>
      </c>
      <c r="C1118">
        <v>612</v>
      </c>
      <c r="D1118">
        <v>483</v>
      </c>
      <c r="E1118">
        <v>1577197528</v>
      </c>
      <c r="F1118">
        <v>7448</v>
      </c>
      <c r="G1118">
        <v>0</v>
      </c>
      <c r="H1118" t="s">
        <v>6045</v>
      </c>
      <c r="I1118">
        <v>1246</v>
      </c>
      <c r="J1118" t="str">
        <f>VLOOKUP(E1118,DSSpieler!A:B,2,FALSE)</f>
        <v>Schwarzwälderkirschtorte</v>
      </c>
    </row>
    <row r="1119" spans="1:10" x14ac:dyDescent="0.25">
      <c r="A1119">
        <v>1247</v>
      </c>
      <c r="B1119" t="s">
        <v>31000</v>
      </c>
      <c r="C1119">
        <v>605</v>
      </c>
      <c r="D1119">
        <v>466</v>
      </c>
      <c r="E1119">
        <v>1577197578</v>
      </c>
      <c r="F1119">
        <v>7447</v>
      </c>
      <c r="G1119">
        <v>0</v>
      </c>
      <c r="H1119" t="s">
        <v>6046</v>
      </c>
      <c r="I1119">
        <v>1247</v>
      </c>
      <c r="J1119" t="str">
        <f>VLOOKUP(E1119,DSSpieler!A:B,2,FALSE)</f>
        <v>EmBo123</v>
      </c>
    </row>
    <row r="1120" spans="1:10" x14ac:dyDescent="0.25">
      <c r="A1120">
        <v>1248</v>
      </c>
      <c r="B1120" t="s">
        <v>756</v>
      </c>
      <c r="C1120">
        <v>607</v>
      </c>
      <c r="D1120">
        <v>468</v>
      </c>
      <c r="E1120">
        <v>1577197624</v>
      </c>
      <c r="F1120">
        <v>4525</v>
      </c>
      <c r="G1120">
        <v>0</v>
      </c>
      <c r="H1120" t="s">
        <v>6047</v>
      </c>
      <c r="I1120">
        <v>1248</v>
      </c>
      <c r="J1120" t="str">
        <f>VLOOKUP(E1120,DSSpieler!A:B,2,FALSE)</f>
        <v>Cup-Cake</v>
      </c>
    </row>
    <row r="1121" spans="1:10" x14ac:dyDescent="0.25">
      <c r="A1121">
        <v>1249</v>
      </c>
      <c r="B1121" t="s">
        <v>31001</v>
      </c>
      <c r="C1121">
        <v>598</v>
      </c>
      <c r="D1121">
        <v>453</v>
      </c>
      <c r="E1121">
        <v>1577188672</v>
      </c>
      <c r="F1121">
        <v>4805</v>
      </c>
      <c r="G1121">
        <v>0</v>
      </c>
      <c r="H1121" t="s">
        <v>6048</v>
      </c>
      <c r="I1121">
        <v>1249</v>
      </c>
      <c r="J1121" t="str">
        <f>VLOOKUP(E1121,DSSpieler!A:B,2,FALSE)</f>
        <v>Der Haie</v>
      </c>
    </row>
    <row r="1122" spans="1:10" x14ac:dyDescent="0.25">
      <c r="A1122">
        <v>1250</v>
      </c>
      <c r="B1122">
        <v>1</v>
      </c>
      <c r="C1122">
        <v>604</v>
      </c>
      <c r="D1122">
        <v>472</v>
      </c>
      <c r="E1122">
        <v>1577197662</v>
      </c>
      <c r="F1122">
        <v>7350</v>
      </c>
      <c r="G1122">
        <v>0</v>
      </c>
      <c r="H1122" t="s">
        <v>6049</v>
      </c>
      <c r="I1122">
        <v>1250</v>
      </c>
      <c r="J1122" t="str">
        <f>VLOOKUP(E1122,DSSpieler!A:B,2,FALSE)</f>
        <v>Topfengolatschen</v>
      </c>
    </row>
    <row r="1123" spans="1:10" x14ac:dyDescent="0.25">
      <c r="A1123">
        <v>1252</v>
      </c>
      <c r="B1123" t="s">
        <v>31002</v>
      </c>
      <c r="C1123">
        <v>508</v>
      </c>
      <c r="D1123">
        <v>391</v>
      </c>
      <c r="E1123">
        <v>9756356</v>
      </c>
      <c r="F1123">
        <v>6514</v>
      </c>
      <c r="G1123">
        <v>0</v>
      </c>
      <c r="H1123" t="s">
        <v>6050</v>
      </c>
      <c r="I1123">
        <v>1252</v>
      </c>
      <c r="J1123" t="str">
        <f>VLOOKUP(E1123,DSSpieler!A:B,2,FALSE)</f>
        <v>wiwiwi3</v>
      </c>
    </row>
    <row r="1124" spans="1:10" x14ac:dyDescent="0.25">
      <c r="A1124">
        <v>1255</v>
      </c>
      <c r="B1124" t="s">
        <v>31003</v>
      </c>
      <c r="C1124">
        <v>533</v>
      </c>
      <c r="D1124">
        <v>444</v>
      </c>
      <c r="E1124">
        <v>9693466</v>
      </c>
      <c r="F1124">
        <v>5819</v>
      </c>
      <c r="G1124">
        <v>0</v>
      </c>
      <c r="H1124" t="s">
        <v>6051</v>
      </c>
      <c r="I1124">
        <v>1255</v>
      </c>
      <c r="J1124" t="str">
        <f>VLOOKUP(E1124,DSSpieler!A:B,2,FALSE)</f>
        <v>LordNos</v>
      </c>
    </row>
    <row r="1125" spans="1:10" x14ac:dyDescent="0.25">
      <c r="A1125">
        <v>1256</v>
      </c>
      <c r="B1125" t="s">
        <v>31004</v>
      </c>
      <c r="C1125">
        <v>523</v>
      </c>
      <c r="D1125">
        <v>474</v>
      </c>
      <c r="E1125">
        <v>1577180332</v>
      </c>
      <c r="F1125">
        <v>6756</v>
      </c>
      <c r="G1125">
        <v>0</v>
      </c>
      <c r="H1125" t="s">
        <v>6052</v>
      </c>
      <c r="I1125">
        <v>1256</v>
      </c>
      <c r="J1125" t="str">
        <f>VLOOKUP(E1125,DSSpieler!A:B,2,FALSE)</f>
        <v>Gasmask Terror</v>
      </c>
    </row>
    <row r="1126" spans="1:10" x14ac:dyDescent="0.25">
      <c r="A1126">
        <v>1258</v>
      </c>
      <c r="B1126" t="s">
        <v>531</v>
      </c>
      <c r="C1126">
        <v>557</v>
      </c>
      <c r="D1126">
        <v>488</v>
      </c>
      <c r="E1126">
        <v>0</v>
      </c>
      <c r="F1126">
        <v>413</v>
      </c>
      <c r="G1126">
        <v>0</v>
      </c>
      <c r="H1126" t="s">
        <v>6053</v>
      </c>
      <c r="I1126">
        <v>1258</v>
      </c>
      <c r="J1126" t="e">
        <f>VLOOKUP(E1126,DSSpieler!A:B,2,FALSE)</f>
        <v>#N/A</v>
      </c>
    </row>
    <row r="1127" spans="1:10" x14ac:dyDescent="0.25">
      <c r="A1127">
        <v>1259</v>
      </c>
      <c r="B1127" t="s">
        <v>31005</v>
      </c>
      <c r="C1127">
        <v>509</v>
      </c>
      <c r="D1127">
        <v>514</v>
      </c>
      <c r="E1127">
        <v>1577171246</v>
      </c>
      <c r="F1127">
        <v>6529</v>
      </c>
      <c r="G1127">
        <v>0</v>
      </c>
      <c r="H1127" t="s">
        <v>6054</v>
      </c>
      <c r="I1127">
        <v>1259</v>
      </c>
      <c r="J1127" t="str">
        <f>VLOOKUP(E1127,DSSpieler!A:B,2,FALSE)</f>
        <v>BigBadWolf</v>
      </c>
    </row>
    <row r="1128" spans="1:10" x14ac:dyDescent="0.25">
      <c r="A1128">
        <v>1260</v>
      </c>
      <c r="B1128" t="s">
        <v>531</v>
      </c>
      <c r="C1128">
        <v>480</v>
      </c>
      <c r="D1128">
        <v>475</v>
      </c>
      <c r="E1128">
        <v>0</v>
      </c>
      <c r="F1128">
        <v>341</v>
      </c>
      <c r="G1128">
        <v>0</v>
      </c>
      <c r="H1128" t="s">
        <v>6055</v>
      </c>
      <c r="I1128">
        <v>1260</v>
      </c>
      <c r="J1128" t="e">
        <f>VLOOKUP(E1128,DSSpieler!A:B,2,FALSE)</f>
        <v>#N/A</v>
      </c>
    </row>
    <row r="1129" spans="1:10" x14ac:dyDescent="0.25">
      <c r="A1129">
        <v>1261</v>
      </c>
      <c r="B1129" t="s">
        <v>31006</v>
      </c>
      <c r="C1129">
        <v>506</v>
      </c>
      <c r="D1129">
        <v>522</v>
      </c>
      <c r="E1129">
        <v>1577183867</v>
      </c>
      <c r="F1129">
        <v>7114</v>
      </c>
      <c r="G1129">
        <v>0</v>
      </c>
      <c r="H1129" t="s">
        <v>6056</v>
      </c>
      <c r="I1129">
        <v>1261</v>
      </c>
      <c r="J1129" t="str">
        <f>VLOOKUP(E1129,DSSpieler!A:B,2,FALSE)</f>
        <v>brigg69</v>
      </c>
    </row>
    <row r="1130" spans="1:10" x14ac:dyDescent="0.25">
      <c r="A1130">
        <v>1262</v>
      </c>
      <c r="B1130" t="s">
        <v>757</v>
      </c>
      <c r="C1130">
        <v>503</v>
      </c>
      <c r="D1130">
        <v>530</v>
      </c>
      <c r="E1130">
        <v>1577184411</v>
      </c>
      <c r="F1130">
        <v>5452</v>
      </c>
      <c r="G1130">
        <v>0</v>
      </c>
      <c r="H1130" t="s">
        <v>6057</v>
      </c>
      <c r="I1130">
        <v>1262</v>
      </c>
      <c r="J1130" t="str">
        <f>VLOOKUP(E1130,DSSpieler!A:B,2,FALSE)</f>
        <v>Meister Klaus</v>
      </c>
    </row>
    <row r="1131" spans="1:10" x14ac:dyDescent="0.25">
      <c r="A1131">
        <v>1263</v>
      </c>
      <c r="B1131" t="s">
        <v>758</v>
      </c>
      <c r="C1131">
        <v>505</v>
      </c>
      <c r="D1131">
        <v>511</v>
      </c>
      <c r="E1131">
        <v>1577185051</v>
      </c>
      <c r="F1131">
        <v>4487</v>
      </c>
      <c r="G1131">
        <v>0</v>
      </c>
      <c r="H1131" t="s">
        <v>6058</v>
      </c>
      <c r="I1131">
        <v>1263</v>
      </c>
      <c r="J1131" t="str">
        <f>VLOOKUP(E1131,DSSpieler!A:B,2,FALSE)</f>
        <v>road992</v>
      </c>
    </row>
    <row r="1132" spans="1:10" x14ac:dyDescent="0.25">
      <c r="A1132">
        <v>1264</v>
      </c>
      <c r="B1132" t="s">
        <v>759</v>
      </c>
      <c r="C1132">
        <v>506</v>
      </c>
      <c r="D1132">
        <v>504</v>
      </c>
      <c r="E1132">
        <v>1577171261</v>
      </c>
      <c r="F1132">
        <v>5262</v>
      </c>
      <c r="G1132">
        <v>0</v>
      </c>
      <c r="H1132" t="s">
        <v>6059</v>
      </c>
      <c r="I1132">
        <v>1264</v>
      </c>
      <c r="J1132" t="str">
        <f>VLOOKUP(E1132,DSSpieler!A:B,2,FALSE)</f>
        <v>JulsRules</v>
      </c>
    </row>
    <row r="1133" spans="1:10" x14ac:dyDescent="0.25">
      <c r="A1133">
        <v>1265</v>
      </c>
      <c r="B1133" t="s">
        <v>643</v>
      </c>
      <c r="C1133">
        <v>504</v>
      </c>
      <c r="D1133">
        <v>510</v>
      </c>
      <c r="E1133">
        <v>1577167240</v>
      </c>
      <c r="F1133">
        <v>5495</v>
      </c>
      <c r="G1133">
        <v>0</v>
      </c>
      <c r="H1133" t="s">
        <v>6060</v>
      </c>
      <c r="I1133">
        <v>1265</v>
      </c>
      <c r="J1133" t="str">
        <f>VLOOKUP(E1133,DSSpieler!A:B,2,FALSE)</f>
        <v>Old Witcher</v>
      </c>
    </row>
    <row r="1134" spans="1:10" x14ac:dyDescent="0.25">
      <c r="A1134">
        <v>1266</v>
      </c>
      <c r="B1134" t="s">
        <v>31007</v>
      </c>
      <c r="C1134">
        <v>486</v>
      </c>
      <c r="D1134">
        <v>524</v>
      </c>
      <c r="E1134">
        <v>8607972</v>
      </c>
      <c r="F1134">
        <v>4874</v>
      </c>
      <c r="G1134">
        <v>0</v>
      </c>
      <c r="H1134" t="s">
        <v>6061</v>
      </c>
      <c r="I1134">
        <v>1266</v>
      </c>
      <c r="J1134" t="str">
        <f>VLOOKUP(E1134,DSSpieler!A:B,2,FALSE)</f>
        <v>Goldraven</v>
      </c>
    </row>
    <row r="1135" spans="1:10" x14ac:dyDescent="0.25">
      <c r="A1135">
        <v>1267</v>
      </c>
      <c r="B1135" t="s">
        <v>31008</v>
      </c>
      <c r="C1135">
        <v>489</v>
      </c>
      <c r="D1135">
        <v>515</v>
      </c>
      <c r="E1135">
        <v>1577182414</v>
      </c>
      <c r="F1135">
        <v>4127</v>
      </c>
      <c r="G1135">
        <v>0</v>
      </c>
      <c r="H1135" t="s">
        <v>6062</v>
      </c>
      <c r="I1135">
        <v>1267</v>
      </c>
      <c r="J1135" t="str">
        <f>VLOOKUP(E1135,DSSpieler!A:B,2,FALSE)</f>
        <v>BigG96</v>
      </c>
    </row>
    <row r="1136" spans="1:10" x14ac:dyDescent="0.25">
      <c r="A1136">
        <v>1268</v>
      </c>
      <c r="B1136" t="s">
        <v>760</v>
      </c>
      <c r="C1136">
        <v>478</v>
      </c>
      <c r="D1136">
        <v>518</v>
      </c>
      <c r="E1136">
        <v>1576046022</v>
      </c>
      <c r="F1136">
        <v>3715</v>
      </c>
      <c r="G1136">
        <v>0</v>
      </c>
      <c r="H1136" t="s">
        <v>6063</v>
      </c>
      <c r="I1136">
        <v>1268</v>
      </c>
      <c r="J1136" t="str">
        <f>VLOOKUP(E1136,DSSpieler!A:B,2,FALSE)</f>
        <v>schnitteNr.1</v>
      </c>
    </row>
    <row r="1137" spans="1:10" x14ac:dyDescent="0.25">
      <c r="A1137">
        <v>1269</v>
      </c>
      <c r="B1137" t="s">
        <v>761</v>
      </c>
      <c r="C1137">
        <v>484</v>
      </c>
      <c r="D1137">
        <v>507</v>
      </c>
      <c r="E1137">
        <v>1576046022</v>
      </c>
      <c r="F1137">
        <v>4710</v>
      </c>
      <c r="G1137">
        <v>0</v>
      </c>
      <c r="H1137" t="s">
        <v>6064</v>
      </c>
      <c r="I1137">
        <v>1269</v>
      </c>
      <c r="J1137" t="str">
        <f>VLOOKUP(E1137,DSSpieler!A:B,2,FALSE)</f>
        <v>schnitteNr.1</v>
      </c>
    </row>
    <row r="1138" spans="1:10" x14ac:dyDescent="0.25">
      <c r="A1138">
        <v>1270</v>
      </c>
      <c r="B1138" t="s">
        <v>31009</v>
      </c>
      <c r="C1138">
        <v>485</v>
      </c>
      <c r="D1138">
        <v>517</v>
      </c>
      <c r="E1138">
        <v>8607972</v>
      </c>
      <c r="F1138">
        <v>4576</v>
      </c>
      <c r="G1138">
        <v>0</v>
      </c>
      <c r="H1138" t="s">
        <v>6065</v>
      </c>
      <c r="I1138">
        <v>1270</v>
      </c>
      <c r="J1138" t="str">
        <f>VLOOKUP(E1138,DSSpieler!A:B,2,FALSE)</f>
        <v>Goldraven</v>
      </c>
    </row>
    <row r="1139" spans="1:10" x14ac:dyDescent="0.25">
      <c r="A1139">
        <v>1271</v>
      </c>
      <c r="B1139" t="s">
        <v>531</v>
      </c>
      <c r="C1139">
        <v>483</v>
      </c>
      <c r="D1139">
        <v>523</v>
      </c>
      <c r="E1139">
        <v>0</v>
      </c>
      <c r="F1139">
        <v>247</v>
      </c>
      <c r="G1139">
        <v>0</v>
      </c>
      <c r="H1139" t="s">
        <v>6066</v>
      </c>
      <c r="I1139">
        <v>1271</v>
      </c>
      <c r="J1139" t="e">
        <f>VLOOKUP(E1139,DSSpieler!A:B,2,FALSE)</f>
        <v>#N/A</v>
      </c>
    </row>
    <row r="1140" spans="1:10" x14ac:dyDescent="0.25">
      <c r="A1140">
        <v>1272</v>
      </c>
      <c r="B1140" t="s">
        <v>531</v>
      </c>
      <c r="C1140">
        <v>481</v>
      </c>
      <c r="D1140">
        <v>514</v>
      </c>
      <c r="E1140">
        <v>0</v>
      </c>
      <c r="F1140">
        <v>334</v>
      </c>
      <c r="G1140">
        <v>0</v>
      </c>
      <c r="H1140" t="s">
        <v>6067</v>
      </c>
      <c r="I1140">
        <v>1272</v>
      </c>
      <c r="J1140" t="e">
        <f>VLOOKUP(E1140,DSSpieler!A:B,2,FALSE)</f>
        <v>#N/A</v>
      </c>
    </row>
    <row r="1141" spans="1:10" x14ac:dyDescent="0.25">
      <c r="A1141">
        <v>1273</v>
      </c>
      <c r="B1141" t="s">
        <v>31010</v>
      </c>
      <c r="C1141">
        <v>479</v>
      </c>
      <c r="D1141">
        <v>521</v>
      </c>
      <c r="E1141">
        <v>1576950873</v>
      </c>
      <c r="F1141">
        <v>4382</v>
      </c>
      <c r="G1141">
        <v>0</v>
      </c>
      <c r="H1141" t="s">
        <v>6068</v>
      </c>
      <c r="I1141">
        <v>1273</v>
      </c>
      <c r="J1141" t="str">
        <f>VLOOKUP(E1141,DSSpieler!A:B,2,FALSE)</f>
        <v>Rotzen bald dein Dorf</v>
      </c>
    </row>
    <row r="1142" spans="1:10" x14ac:dyDescent="0.25">
      <c r="A1142">
        <v>1274</v>
      </c>
      <c r="B1142" t="s">
        <v>531</v>
      </c>
      <c r="C1142">
        <v>539</v>
      </c>
      <c r="D1142">
        <v>467</v>
      </c>
      <c r="E1142">
        <v>0</v>
      </c>
      <c r="F1142">
        <v>323</v>
      </c>
      <c r="G1142">
        <v>0</v>
      </c>
      <c r="H1142" t="s">
        <v>6069</v>
      </c>
      <c r="I1142">
        <v>1274</v>
      </c>
      <c r="J1142" t="e">
        <f>VLOOKUP(E1142,DSSpieler!A:B,2,FALSE)</f>
        <v>#N/A</v>
      </c>
    </row>
    <row r="1143" spans="1:10" x14ac:dyDescent="0.25">
      <c r="A1143">
        <v>1275</v>
      </c>
      <c r="B1143" t="s">
        <v>31011</v>
      </c>
      <c r="C1143">
        <v>486</v>
      </c>
      <c r="D1143">
        <v>525</v>
      </c>
      <c r="E1143">
        <v>8607972</v>
      </c>
      <c r="F1143">
        <v>4112</v>
      </c>
      <c r="G1143">
        <v>0</v>
      </c>
      <c r="H1143" t="s">
        <v>6070</v>
      </c>
      <c r="I1143">
        <v>1275</v>
      </c>
      <c r="J1143" t="str">
        <f>VLOOKUP(E1143,DSSpieler!A:B,2,FALSE)</f>
        <v>Goldraven</v>
      </c>
    </row>
    <row r="1144" spans="1:10" x14ac:dyDescent="0.25">
      <c r="A1144">
        <v>1276</v>
      </c>
      <c r="B1144" t="s">
        <v>31012</v>
      </c>
      <c r="C1144">
        <v>488</v>
      </c>
      <c r="D1144">
        <v>520</v>
      </c>
      <c r="E1144">
        <v>1577176548</v>
      </c>
      <c r="F1144">
        <v>3406</v>
      </c>
      <c r="G1144">
        <v>0</v>
      </c>
      <c r="H1144" t="s">
        <v>6071</v>
      </c>
      <c r="I1144">
        <v>1276</v>
      </c>
      <c r="J1144" t="str">
        <f>VLOOKUP(E1144,DSSpieler!A:B,2,FALSE)</f>
        <v>Adam959595</v>
      </c>
    </row>
    <row r="1145" spans="1:10" x14ac:dyDescent="0.25">
      <c r="A1145">
        <v>1277</v>
      </c>
      <c r="B1145" t="s">
        <v>31013</v>
      </c>
      <c r="C1145">
        <v>483</v>
      </c>
      <c r="D1145">
        <v>520</v>
      </c>
      <c r="E1145">
        <v>8607972</v>
      </c>
      <c r="F1145">
        <v>4242</v>
      </c>
      <c r="G1145">
        <v>0</v>
      </c>
      <c r="H1145" t="s">
        <v>6072</v>
      </c>
      <c r="I1145">
        <v>1277</v>
      </c>
      <c r="J1145" t="str">
        <f>VLOOKUP(E1145,DSSpieler!A:B,2,FALSE)</f>
        <v>Goldraven</v>
      </c>
    </row>
    <row r="1146" spans="1:10" x14ac:dyDescent="0.25">
      <c r="A1146">
        <v>1278</v>
      </c>
      <c r="B1146" t="s">
        <v>531</v>
      </c>
      <c r="C1146">
        <v>490</v>
      </c>
      <c r="D1146">
        <v>523</v>
      </c>
      <c r="E1146">
        <v>0</v>
      </c>
      <c r="F1146">
        <v>195</v>
      </c>
      <c r="G1146">
        <v>0</v>
      </c>
      <c r="H1146" t="s">
        <v>6073</v>
      </c>
      <c r="I1146">
        <v>1278</v>
      </c>
      <c r="J1146" t="e">
        <f>VLOOKUP(E1146,DSSpieler!A:B,2,FALSE)</f>
        <v>#N/A</v>
      </c>
    </row>
    <row r="1147" spans="1:10" x14ac:dyDescent="0.25">
      <c r="A1147">
        <v>1279</v>
      </c>
      <c r="B1147" t="s">
        <v>31014</v>
      </c>
      <c r="C1147">
        <v>486</v>
      </c>
      <c r="D1147">
        <v>536</v>
      </c>
      <c r="E1147">
        <v>1576996984</v>
      </c>
      <c r="F1147">
        <v>4868</v>
      </c>
      <c r="G1147">
        <v>0</v>
      </c>
      <c r="H1147" t="s">
        <v>6074</v>
      </c>
      <c r="I1147">
        <v>1279</v>
      </c>
      <c r="J1147" t="str">
        <f>VLOOKUP(E1147,DSSpieler!A:B,2,FALSE)</f>
        <v>Gallone</v>
      </c>
    </row>
    <row r="1148" spans="1:10" x14ac:dyDescent="0.25">
      <c r="A1148">
        <v>1280</v>
      </c>
      <c r="B1148" t="s">
        <v>762</v>
      </c>
      <c r="C1148">
        <v>607</v>
      </c>
      <c r="D1148">
        <v>467</v>
      </c>
      <c r="E1148">
        <v>1577192186</v>
      </c>
      <c r="F1148">
        <v>4623</v>
      </c>
      <c r="G1148">
        <v>0</v>
      </c>
      <c r="H1148" t="s">
        <v>6075</v>
      </c>
      <c r="I1148">
        <v>1280</v>
      </c>
      <c r="J1148" t="str">
        <f>VLOOKUP(E1148,DSSpieler!A:B,2,FALSE)</f>
        <v>Marcel der Kühne</v>
      </c>
    </row>
    <row r="1149" spans="1:10" x14ac:dyDescent="0.25">
      <c r="A1149">
        <v>1281</v>
      </c>
      <c r="B1149" t="s">
        <v>763</v>
      </c>
      <c r="C1149">
        <v>602</v>
      </c>
      <c r="D1149">
        <v>475</v>
      </c>
      <c r="E1149">
        <v>2241644</v>
      </c>
      <c r="F1149">
        <v>4558</v>
      </c>
      <c r="G1149">
        <v>0</v>
      </c>
      <c r="H1149" t="s">
        <v>6076</v>
      </c>
      <c r="I1149">
        <v>1281</v>
      </c>
      <c r="J1149" t="str">
        <f>VLOOKUP(E1149,DSSpieler!A:B,2,FALSE)</f>
        <v>ulanbator</v>
      </c>
    </row>
    <row r="1150" spans="1:10" x14ac:dyDescent="0.25">
      <c r="A1150">
        <v>1282</v>
      </c>
      <c r="B1150" s="154">
        <v>178001</v>
      </c>
      <c r="C1150">
        <v>477</v>
      </c>
      <c r="D1150">
        <v>533</v>
      </c>
      <c r="E1150">
        <v>902335</v>
      </c>
      <c r="F1150">
        <v>7470</v>
      </c>
      <c r="G1150">
        <v>0</v>
      </c>
      <c r="H1150" t="s">
        <v>6077</v>
      </c>
      <c r="I1150">
        <v>1282</v>
      </c>
      <c r="J1150" t="str">
        <f>VLOOKUP(E1150,DSSpieler!A:B,2,FALSE)</f>
        <v>luna2</v>
      </c>
    </row>
    <row r="1151" spans="1:10" x14ac:dyDescent="0.25">
      <c r="A1151">
        <v>1283</v>
      </c>
      <c r="B1151" t="s">
        <v>630</v>
      </c>
      <c r="C1151">
        <v>476</v>
      </c>
      <c r="D1151">
        <v>536</v>
      </c>
      <c r="E1151">
        <v>7734530</v>
      </c>
      <c r="F1151">
        <v>4339</v>
      </c>
      <c r="G1151">
        <v>0</v>
      </c>
      <c r="H1151" t="s">
        <v>6078</v>
      </c>
      <c r="I1151">
        <v>1283</v>
      </c>
      <c r="J1151" t="str">
        <f>VLOOKUP(E1151,DSSpieler!A:B,2,FALSE)</f>
        <v>samka96</v>
      </c>
    </row>
    <row r="1152" spans="1:10" x14ac:dyDescent="0.25">
      <c r="A1152">
        <v>1284</v>
      </c>
      <c r="B1152" t="s">
        <v>31015</v>
      </c>
      <c r="C1152">
        <v>475</v>
      </c>
      <c r="D1152">
        <v>555</v>
      </c>
      <c r="E1152">
        <v>9026066</v>
      </c>
      <c r="F1152">
        <v>6160</v>
      </c>
      <c r="G1152">
        <v>0</v>
      </c>
      <c r="H1152" t="s">
        <v>6079</v>
      </c>
      <c r="I1152">
        <v>1284</v>
      </c>
      <c r="J1152" t="str">
        <f>VLOOKUP(E1152,DSSpieler!A:B,2,FALSE)</f>
        <v>thehaaacker</v>
      </c>
    </row>
    <row r="1153" spans="1:10" x14ac:dyDescent="0.25">
      <c r="A1153">
        <v>1286</v>
      </c>
      <c r="B1153" t="s">
        <v>764</v>
      </c>
      <c r="C1153">
        <v>478</v>
      </c>
      <c r="D1153">
        <v>538</v>
      </c>
      <c r="E1153">
        <v>1577196742</v>
      </c>
      <c r="F1153">
        <v>1236</v>
      </c>
      <c r="G1153">
        <v>0</v>
      </c>
      <c r="H1153" t="s">
        <v>6080</v>
      </c>
      <c r="I1153">
        <v>1286</v>
      </c>
      <c r="J1153" t="str">
        <f>VLOOKUP(E1153,DSSpieler!A:B,2,FALSE)</f>
        <v>herzn</v>
      </c>
    </row>
    <row r="1154" spans="1:10" x14ac:dyDescent="0.25">
      <c r="A1154">
        <v>1287</v>
      </c>
      <c r="B1154">
        <v>2</v>
      </c>
      <c r="C1154">
        <v>463</v>
      </c>
      <c r="D1154">
        <v>530</v>
      </c>
      <c r="E1154">
        <v>8874279</v>
      </c>
      <c r="F1154">
        <v>5800</v>
      </c>
      <c r="G1154">
        <v>0</v>
      </c>
      <c r="H1154" t="s">
        <v>6081</v>
      </c>
      <c r="I1154">
        <v>1287</v>
      </c>
      <c r="J1154" t="str">
        <f>VLOOKUP(E1154,DSSpieler!A:B,2,FALSE)</f>
        <v>Strykehammer</v>
      </c>
    </row>
    <row r="1155" spans="1:10" x14ac:dyDescent="0.25">
      <c r="A1155">
        <v>1288</v>
      </c>
      <c r="B1155" t="s">
        <v>31016</v>
      </c>
      <c r="C1155">
        <v>461</v>
      </c>
      <c r="D1155">
        <v>535</v>
      </c>
      <c r="E1155">
        <v>1576822927</v>
      </c>
      <c r="F1155">
        <v>4361</v>
      </c>
      <c r="G1155">
        <v>0</v>
      </c>
      <c r="H1155" t="s">
        <v>6082</v>
      </c>
      <c r="I1155">
        <v>1288</v>
      </c>
      <c r="J1155" t="str">
        <f>VLOOKUP(E1155,DSSpieler!A:B,2,FALSE)</f>
        <v>PokeTrainer</v>
      </c>
    </row>
    <row r="1156" spans="1:10" x14ac:dyDescent="0.25">
      <c r="A1156">
        <v>1289</v>
      </c>
      <c r="B1156" t="s">
        <v>531</v>
      </c>
      <c r="C1156">
        <v>523</v>
      </c>
      <c r="D1156">
        <v>425</v>
      </c>
      <c r="E1156">
        <v>0</v>
      </c>
      <c r="F1156">
        <v>373</v>
      </c>
      <c r="G1156">
        <v>0</v>
      </c>
      <c r="H1156" t="s">
        <v>6083</v>
      </c>
      <c r="I1156">
        <v>1289</v>
      </c>
      <c r="J1156" t="e">
        <f>VLOOKUP(E1156,DSSpieler!A:B,2,FALSE)</f>
        <v>#N/A</v>
      </c>
    </row>
    <row r="1157" spans="1:10" x14ac:dyDescent="0.25">
      <c r="A1157">
        <v>1290</v>
      </c>
      <c r="B1157" t="s">
        <v>31017</v>
      </c>
      <c r="C1157">
        <v>459</v>
      </c>
      <c r="D1157">
        <v>541</v>
      </c>
      <c r="E1157">
        <v>1576822927</v>
      </c>
      <c r="F1157">
        <v>4663</v>
      </c>
      <c r="G1157">
        <v>0</v>
      </c>
      <c r="H1157" t="s">
        <v>6084</v>
      </c>
      <c r="I1157">
        <v>1290</v>
      </c>
      <c r="J1157" t="str">
        <f>VLOOKUP(E1157,DSSpieler!A:B,2,FALSE)</f>
        <v>PokeTrainer</v>
      </c>
    </row>
    <row r="1158" spans="1:10" x14ac:dyDescent="0.25">
      <c r="A1158">
        <v>1291</v>
      </c>
      <c r="B1158" t="s">
        <v>31018</v>
      </c>
      <c r="C1158">
        <v>460</v>
      </c>
      <c r="D1158">
        <v>538</v>
      </c>
      <c r="E1158">
        <v>1576822927</v>
      </c>
      <c r="F1158">
        <v>4590</v>
      </c>
      <c r="G1158">
        <v>0</v>
      </c>
      <c r="H1158" t="s">
        <v>6085</v>
      </c>
      <c r="I1158">
        <v>1291</v>
      </c>
      <c r="J1158" t="str">
        <f>VLOOKUP(E1158,DSSpieler!A:B,2,FALSE)</f>
        <v>PokeTrainer</v>
      </c>
    </row>
    <row r="1159" spans="1:10" x14ac:dyDescent="0.25">
      <c r="A1159">
        <v>1292</v>
      </c>
      <c r="B1159" t="s">
        <v>31019</v>
      </c>
      <c r="C1159">
        <v>475</v>
      </c>
      <c r="D1159">
        <v>537</v>
      </c>
      <c r="E1159">
        <v>1577185970</v>
      </c>
      <c r="F1159">
        <v>5886</v>
      </c>
      <c r="G1159">
        <v>0</v>
      </c>
      <c r="H1159" t="s">
        <v>6086</v>
      </c>
      <c r="I1159">
        <v>1292</v>
      </c>
      <c r="J1159" t="str">
        <f>VLOOKUP(E1159,DSSpieler!A:B,2,FALSE)</f>
        <v>Lord Kaktus</v>
      </c>
    </row>
    <row r="1160" spans="1:10" x14ac:dyDescent="0.25">
      <c r="A1160">
        <v>1293</v>
      </c>
      <c r="B1160" t="s">
        <v>545</v>
      </c>
      <c r="C1160">
        <v>465</v>
      </c>
      <c r="D1160">
        <v>545</v>
      </c>
      <c r="E1160">
        <v>1577188737</v>
      </c>
      <c r="F1160">
        <v>6310</v>
      </c>
      <c r="G1160">
        <v>0</v>
      </c>
      <c r="H1160" t="s">
        <v>6087</v>
      </c>
      <c r="I1160">
        <v>1293</v>
      </c>
      <c r="J1160" t="str">
        <f>VLOOKUP(E1160,DSSpieler!A:B,2,FALSE)</f>
        <v>Ron1604</v>
      </c>
    </row>
    <row r="1161" spans="1:10" x14ac:dyDescent="0.25">
      <c r="A1161">
        <v>1294</v>
      </c>
      <c r="B1161" s="154">
        <v>178002</v>
      </c>
      <c r="C1161">
        <v>479</v>
      </c>
      <c r="D1161">
        <v>533</v>
      </c>
      <c r="E1161">
        <v>902335</v>
      </c>
      <c r="F1161">
        <v>5577</v>
      </c>
      <c r="G1161">
        <v>0</v>
      </c>
      <c r="H1161" t="s">
        <v>6088</v>
      </c>
      <c r="I1161">
        <v>1294</v>
      </c>
      <c r="J1161" t="str">
        <f>VLOOKUP(E1161,DSSpieler!A:B,2,FALSE)</f>
        <v>luna2</v>
      </c>
    </row>
    <row r="1162" spans="1:10" x14ac:dyDescent="0.25">
      <c r="A1162">
        <v>1295</v>
      </c>
      <c r="B1162" t="s">
        <v>31020</v>
      </c>
      <c r="C1162">
        <v>475</v>
      </c>
      <c r="D1162">
        <v>562</v>
      </c>
      <c r="E1162">
        <v>9026066</v>
      </c>
      <c r="F1162">
        <v>6978</v>
      </c>
      <c r="G1162">
        <v>0</v>
      </c>
      <c r="H1162" t="s">
        <v>6089</v>
      </c>
      <c r="I1162">
        <v>1295</v>
      </c>
      <c r="J1162" t="str">
        <f>VLOOKUP(E1162,DSSpieler!A:B,2,FALSE)</f>
        <v>thehaaacker</v>
      </c>
    </row>
    <row r="1163" spans="1:10" x14ac:dyDescent="0.25">
      <c r="A1163">
        <v>1296</v>
      </c>
      <c r="B1163" t="s">
        <v>31021</v>
      </c>
      <c r="C1163">
        <v>483</v>
      </c>
      <c r="D1163">
        <v>541</v>
      </c>
      <c r="E1163">
        <v>10152725</v>
      </c>
      <c r="F1163">
        <v>5704</v>
      </c>
      <c r="G1163">
        <v>0</v>
      </c>
      <c r="H1163" t="s">
        <v>6090</v>
      </c>
      <c r="I1163">
        <v>1296</v>
      </c>
      <c r="J1163" t="str">
        <f>VLOOKUP(E1163,DSSpieler!A:B,2,FALSE)</f>
        <v>Neotheror99</v>
      </c>
    </row>
    <row r="1164" spans="1:10" x14ac:dyDescent="0.25">
      <c r="A1164">
        <v>1297</v>
      </c>
      <c r="B1164" t="s">
        <v>765</v>
      </c>
      <c r="C1164">
        <v>472</v>
      </c>
      <c r="D1164">
        <v>535</v>
      </c>
      <c r="E1164">
        <v>1576945193</v>
      </c>
      <c r="F1164">
        <v>4912</v>
      </c>
      <c r="G1164">
        <v>0</v>
      </c>
      <c r="H1164" t="s">
        <v>6091</v>
      </c>
      <c r="I1164">
        <v>1297</v>
      </c>
      <c r="J1164" t="str">
        <f>VLOOKUP(E1164,DSSpieler!A:B,2,FALSE)</f>
        <v>Task-Force117</v>
      </c>
    </row>
    <row r="1165" spans="1:10" x14ac:dyDescent="0.25">
      <c r="A1165">
        <v>1298</v>
      </c>
      <c r="B1165" t="s">
        <v>766</v>
      </c>
      <c r="C1165">
        <v>468</v>
      </c>
      <c r="D1165">
        <v>535</v>
      </c>
      <c r="E1165">
        <v>1577031384</v>
      </c>
      <c r="F1165">
        <v>4642</v>
      </c>
      <c r="G1165">
        <v>0</v>
      </c>
      <c r="H1165" t="s">
        <v>6092</v>
      </c>
      <c r="I1165">
        <v>1298</v>
      </c>
      <c r="J1165" t="str">
        <f>VLOOKUP(E1165,DSSpieler!A:B,2,FALSE)</f>
        <v>Dorfgeil.</v>
      </c>
    </row>
    <row r="1166" spans="1:10" x14ac:dyDescent="0.25">
      <c r="A1166">
        <v>1299</v>
      </c>
      <c r="B1166" t="s">
        <v>767</v>
      </c>
      <c r="C1166">
        <v>470</v>
      </c>
      <c r="D1166">
        <v>553</v>
      </c>
      <c r="E1166">
        <v>1576583180</v>
      </c>
      <c r="F1166">
        <v>7098</v>
      </c>
      <c r="G1166">
        <v>0</v>
      </c>
      <c r="H1166" t="s">
        <v>6093</v>
      </c>
      <c r="I1166">
        <v>1299</v>
      </c>
      <c r="J1166" t="str">
        <f>VLOOKUP(E1166,DSSpieler!A:B,2,FALSE)</f>
        <v>opjeff</v>
      </c>
    </row>
    <row r="1167" spans="1:10" x14ac:dyDescent="0.25">
      <c r="A1167">
        <v>1300</v>
      </c>
      <c r="B1167" t="s">
        <v>545</v>
      </c>
      <c r="C1167">
        <v>465</v>
      </c>
      <c r="D1167">
        <v>547</v>
      </c>
      <c r="E1167">
        <v>1577188737</v>
      </c>
      <c r="F1167">
        <v>4796</v>
      </c>
      <c r="G1167">
        <v>0</v>
      </c>
      <c r="H1167" t="s">
        <v>6094</v>
      </c>
      <c r="I1167">
        <v>1300</v>
      </c>
      <c r="J1167" t="str">
        <f>VLOOKUP(E1167,DSSpieler!A:B,2,FALSE)</f>
        <v>Ron1604</v>
      </c>
    </row>
    <row r="1168" spans="1:10" x14ac:dyDescent="0.25">
      <c r="A1168">
        <v>1301</v>
      </c>
      <c r="B1168" t="s">
        <v>531</v>
      </c>
      <c r="C1168">
        <v>533</v>
      </c>
      <c r="D1168">
        <v>519</v>
      </c>
      <c r="E1168">
        <v>0</v>
      </c>
      <c r="F1168">
        <v>263</v>
      </c>
      <c r="G1168">
        <v>0</v>
      </c>
      <c r="H1168" t="s">
        <v>6095</v>
      </c>
      <c r="I1168">
        <v>1301</v>
      </c>
      <c r="J1168" t="e">
        <f>VLOOKUP(E1168,DSSpieler!A:B,2,FALSE)</f>
        <v>#N/A</v>
      </c>
    </row>
    <row r="1169" spans="1:10" x14ac:dyDescent="0.25">
      <c r="A1169">
        <v>1302</v>
      </c>
      <c r="B1169">
        <v>3</v>
      </c>
      <c r="C1169">
        <v>487</v>
      </c>
      <c r="D1169">
        <v>550</v>
      </c>
      <c r="E1169">
        <v>9962504</v>
      </c>
      <c r="F1169">
        <v>5743</v>
      </c>
      <c r="G1169">
        <v>0</v>
      </c>
      <c r="H1169" t="s">
        <v>6096</v>
      </c>
      <c r="I1169">
        <v>1302</v>
      </c>
      <c r="J1169" t="str">
        <f>VLOOKUP(E1169,DSSpieler!A:B,2,FALSE)</f>
        <v>Robin.a</v>
      </c>
    </row>
    <row r="1170" spans="1:10" x14ac:dyDescent="0.25">
      <c r="A1170">
        <v>1303</v>
      </c>
      <c r="B1170" t="s">
        <v>768</v>
      </c>
      <c r="C1170">
        <v>429</v>
      </c>
      <c r="D1170">
        <v>562</v>
      </c>
      <c r="E1170">
        <v>1576615155</v>
      </c>
      <c r="F1170">
        <v>5954</v>
      </c>
      <c r="G1170">
        <v>0</v>
      </c>
      <c r="H1170" t="s">
        <v>6097</v>
      </c>
      <c r="I1170">
        <v>1303</v>
      </c>
      <c r="J1170" t="str">
        <f>VLOOKUP(E1170,DSSpieler!A:B,2,FALSE)</f>
        <v>König putin</v>
      </c>
    </row>
    <row r="1171" spans="1:10" x14ac:dyDescent="0.25">
      <c r="A1171">
        <v>1304</v>
      </c>
      <c r="B1171" t="s">
        <v>769</v>
      </c>
      <c r="C1171">
        <v>436</v>
      </c>
      <c r="D1171">
        <v>570</v>
      </c>
      <c r="E1171">
        <v>9841263</v>
      </c>
      <c r="F1171">
        <v>5170</v>
      </c>
      <c r="G1171">
        <v>0</v>
      </c>
      <c r="H1171" t="s">
        <v>6098</v>
      </c>
      <c r="I1171">
        <v>1304</v>
      </c>
      <c r="J1171" t="str">
        <f>VLOOKUP(E1171,DSSpieler!A:B,2,FALSE)</f>
        <v>Paimon</v>
      </c>
    </row>
    <row r="1172" spans="1:10" x14ac:dyDescent="0.25">
      <c r="A1172">
        <v>1305</v>
      </c>
      <c r="B1172">
        <v>1</v>
      </c>
      <c r="C1172">
        <v>430</v>
      </c>
      <c r="D1172">
        <v>571</v>
      </c>
      <c r="E1172">
        <v>2667871</v>
      </c>
      <c r="F1172">
        <v>5573</v>
      </c>
      <c r="G1172">
        <v>0</v>
      </c>
      <c r="H1172" t="s">
        <v>6099</v>
      </c>
      <c r="I1172">
        <v>1305</v>
      </c>
      <c r="J1172" t="str">
        <f>VLOOKUP(E1172,DSSpieler!A:B,2,FALSE)</f>
        <v>dev.baker</v>
      </c>
    </row>
    <row r="1173" spans="1:10" x14ac:dyDescent="0.25">
      <c r="A1173">
        <v>1306</v>
      </c>
      <c r="B1173" t="s">
        <v>770</v>
      </c>
      <c r="C1173">
        <v>429</v>
      </c>
      <c r="D1173">
        <v>570</v>
      </c>
      <c r="E1173">
        <v>1577174416</v>
      </c>
      <c r="F1173">
        <v>5300</v>
      </c>
      <c r="G1173">
        <v>0</v>
      </c>
      <c r="H1173" t="s">
        <v>6100</v>
      </c>
      <c r="I1173">
        <v>1306</v>
      </c>
      <c r="J1173" t="str">
        <f>VLOOKUP(E1173,DSSpieler!A:B,2,FALSE)</f>
        <v>schlummci</v>
      </c>
    </row>
    <row r="1174" spans="1:10" x14ac:dyDescent="0.25">
      <c r="A1174">
        <v>1307</v>
      </c>
      <c r="B1174" t="s">
        <v>31022</v>
      </c>
      <c r="C1174">
        <v>436</v>
      </c>
      <c r="D1174">
        <v>573</v>
      </c>
      <c r="E1174">
        <v>1577187753</v>
      </c>
      <c r="F1174">
        <v>122</v>
      </c>
      <c r="G1174">
        <v>0</v>
      </c>
      <c r="H1174" t="s">
        <v>6101</v>
      </c>
      <c r="I1174">
        <v>1307</v>
      </c>
      <c r="J1174" t="str">
        <f>VLOOKUP(E1174,DSSpieler!A:B,2,FALSE)</f>
        <v>Globi1</v>
      </c>
    </row>
    <row r="1175" spans="1:10" x14ac:dyDescent="0.25">
      <c r="A1175">
        <v>1308</v>
      </c>
      <c r="B1175" t="s">
        <v>31023</v>
      </c>
      <c r="C1175">
        <v>497</v>
      </c>
      <c r="D1175">
        <v>533</v>
      </c>
      <c r="E1175">
        <v>1577196116</v>
      </c>
      <c r="F1175">
        <v>3371</v>
      </c>
      <c r="G1175">
        <v>0</v>
      </c>
      <c r="H1175" t="s">
        <v>6102</v>
      </c>
      <c r="I1175">
        <v>1308</v>
      </c>
      <c r="J1175" t="str">
        <f>VLOOKUP(E1175,DSSpieler!A:B,2,FALSE)</f>
        <v>Kinglu-N</v>
      </c>
    </row>
    <row r="1176" spans="1:10" x14ac:dyDescent="0.25">
      <c r="A1176">
        <v>1309</v>
      </c>
      <c r="B1176" t="s">
        <v>531</v>
      </c>
      <c r="C1176">
        <v>446</v>
      </c>
      <c r="D1176">
        <v>592</v>
      </c>
      <c r="E1176">
        <v>0</v>
      </c>
      <c r="F1176">
        <v>370</v>
      </c>
      <c r="G1176">
        <v>0</v>
      </c>
      <c r="H1176" t="s">
        <v>6103</v>
      </c>
      <c r="I1176">
        <v>1309</v>
      </c>
      <c r="J1176" t="e">
        <f>VLOOKUP(E1176,DSSpieler!A:B,2,FALSE)</f>
        <v>#N/A</v>
      </c>
    </row>
    <row r="1177" spans="1:10" x14ac:dyDescent="0.25">
      <c r="A1177">
        <v>1310</v>
      </c>
      <c r="B1177" t="s">
        <v>31024</v>
      </c>
      <c r="C1177">
        <v>439</v>
      </c>
      <c r="D1177">
        <v>579</v>
      </c>
      <c r="E1177">
        <v>1576813699</v>
      </c>
      <c r="F1177">
        <v>3729</v>
      </c>
      <c r="G1177">
        <v>0</v>
      </c>
      <c r="H1177" t="s">
        <v>6104</v>
      </c>
      <c r="I1177">
        <v>1310</v>
      </c>
      <c r="J1177" t="str">
        <f>VLOOKUP(E1177,DSSpieler!A:B,2,FALSE)</f>
        <v>El Nefes</v>
      </c>
    </row>
    <row r="1178" spans="1:10" x14ac:dyDescent="0.25">
      <c r="A1178">
        <v>1311</v>
      </c>
      <c r="B1178" t="s">
        <v>31025</v>
      </c>
      <c r="C1178">
        <v>423</v>
      </c>
      <c r="D1178">
        <v>570</v>
      </c>
      <c r="E1178">
        <v>1577191596</v>
      </c>
      <c r="F1178">
        <v>4858</v>
      </c>
      <c r="G1178">
        <v>0</v>
      </c>
      <c r="H1178" t="s">
        <v>6105</v>
      </c>
      <c r="I1178">
        <v>1311</v>
      </c>
      <c r="J1178" t="str">
        <f>VLOOKUP(E1178,DSSpieler!A:B,2,FALSE)</f>
        <v>König Hecki</v>
      </c>
    </row>
    <row r="1179" spans="1:10" x14ac:dyDescent="0.25">
      <c r="A1179">
        <v>1312</v>
      </c>
      <c r="B1179" t="s">
        <v>769</v>
      </c>
      <c r="C1179">
        <v>434</v>
      </c>
      <c r="D1179">
        <v>566</v>
      </c>
      <c r="E1179">
        <v>9841263</v>
      </c>
      <c r="F1179">
        <v>5173</v>
      </c>
      <c r="G1179">
        <v>0</v>
      </c>
      <c r="H1179" t="s">
        <v>6106</v>
      </c>
      <c r="I1179">
        <v>1312</v>
      </c>
      <c r="J1179" t="str">
        <f>VLOOKUP(E1179,DSSpieler!A:B,2,FALSE)</f>
        <v>Paimon</v>
      </c>
    </row>
    <row r="1180" spans="1:10" x14ac:dyDescent="0.25">
      <c r="A1180">
        <v>1313</v>
      </c>
      <c r="B1180" t="s">
        <v>31026</v>
      </c>
      <c r="C1180">
        <v>489</v>
      </c>
      <c r="D1180">
        <v>466</v>
      </c>
      <c r="E1180">
        <v>1577194575</v>
      </c>
      <c r="F1180">
        <v>3136</v>
      </c>
      <c r="G1180">
        <v>0</v>
      </c>
      <c r="H1180" t="s">
        <v>6107</v>
      </c>
      <c r="I1180">
        <v>1313</v>
      </c>
      <c r="J1180" t="str">
        <f>VLOOKUP(E1180,DSSpieler!A:B,2,FALSE)</f>
        <v>Lugge738</v>
      </c>
    </row>
    <row r="1181" spans="1:10" x14ac:dyDescent="0.25">
      <c r="A1181">
        <v>1314</v>
      </c>
      <c r="B1181" t="s">
        <v>31027</v>
      </c>
      <c r="C1181">
        <v>492</v>
      </c>
      <c r="D1181">
        <v>458</v>
      </c>
      <c r="E1181">
        <v>1577194575</v>
      </c>
      <c r="F1181">
        <v>3664</v>
      </c>
      <c r="G1181">
        <v>0</v>
      </c>
      <c r="H1181" t="s">
        <v>6108</v>
      </c>
      <c r="I1181">
        <v>1314</v>
      </c>
      <c r="J1181" t="str">
        <f>VLOOKUP(E1181,DSSpieler!A:B,2,FALSE)</f>
        <v>Lugge738</v>
      </c>
    </row>
    <row r="1182" spans="1:10" x14ac:dyDescent="0.25">
      <c r="A1182">
        <v>1315</v>
      </c>
      <c r="B1182" t="s">
        <v>546</v>
      </c>
      <c r="C1182">
        <v>498</v>
      </c>
      <c r="D1182">
        <v>474</v>
      </c>
      <c r="E1182">
        <v>1576317017</v>
      </c>
      <c r="F1182">
        <v>3315</v>
      </c>
      <c r="G1182">
        <v>0</v>
      </c>
      <c r="H1182" t="s">
        <v>6109</v>
      </c>
      <c r="I1182">
        <v>1315</v>
      </c>
      <c r="J1182" t="str">
        <f>VLOOKUP(E1182,DSSpieler!A:B,2,FALSE)</f>
        <v>König xBeggax</v>
      </c>
    </row>
    <row r="1183" spans="1:10" x14ac:dyDescent="0.25">
      <c r="A1183">
        <v>1316</v>
      </c>
      <c r="B1183" t="s">
        <v>546</v>
      </c>
      <c r="C1183">
        <v>503</v>
      </c>
      <c r="D1183">
        <v>467</v>
      </c>
      <c r="E1183">
        <v>1577101513</v>
      </c>
      <c r="F1183">
        <v>5275</v>
      </c>
      <c r="G1183">
        <v>0</v>
      </c>
      <c r="H1183" t="s">
        <v>6110</v>
      </c>
      <c r="I1183">
        <v>1316</v>
      </c>
      <c r="J1183" t="str">
        <f>VLOOKUP(E1183,DSSpieler!A:B,2,FALSE)</f>
        <v>Christen</v>
      </c>
    </row>
    <row r="1184" spans="1:10" x14ac:dyDescent="0.25">
      <c r="A1184">
        <v>1317</v>
      </c>
      <c r="B1184" t="s">
        <v>31028</v>
      </c>
      <c r="C1184">
        <v>491</v>
      </c>
      <c r="D1184">
        <v>468</v>
      </c>
      <c r="E1184">
        <v>1577202073</v>
      </c>
      <c r="F1184">
        <v>3714</v>
      </c>
      <c r="G1184">
        <v>0</v>
      </c>
      <c r="H1184" t="s">
        <v>6111</v>
      </c>
      <c r="I1184">
        <v>1317</v>
      </c>
      <c r="J1184" t="str">
        <f>VLOOKUP(E1184,DSSpieler!A:B,2,FALSE)</f>
        <v>König Lord Blackheart</v>
      </c>
    </row>
    <row r="1185" spans="1:10" x14ac:dyDescent="0.25">
      <c r="A1185">
        <v>1318</v>
      </c>
      <c r="B1185" t="s">
        <v>771</v>
      </c>
      <c r="C1185">
        <v>503</v>
      </c>
      <c r="D1185">
        <v>471</v>
      </c>
      <c r="E1185">
        <v>8147504</v>
      </c>
      <c r="F1185">
        <v>6245</v>
      </c>
      <c r="G1185">
        <v>0</v>
      </c>
      <c r="H1185" t="s">
        <v>6112</v>
      </c>
      <c r="I1185">
        <v>1318</v>
      </c>
      <c r="J1185" t="str">
        <f>VLOOKUP(E1185,DSSpieler!A:B,2,FALSE)</f>
        <v>Count Urdays</v>
      </c>
    </row>
    <row r="1186" spans="1:10" x14ac:dyDescent="0.25">
      <c r="A1186">
        <v>1319</v>
      </c>
      <c r="B1186" t="s">
        <v>772</v>
      </c>
      <c r="C1186">
        <v>496</v>
      </c>
      <c r="D1186">
        <v>481</v>
      </c>
      <c r="E1186">
        <v>1577034825</v>
      </c>
      <c r="F1186">
        <v>3103</v>
      </c>
      <c r="G1186">
        <v>0</v>
      </c>
      <c r="H1186" t="s">
        <v>6113</v>
      </c>
      <c r="I1186">
        <v>1319</v>
      </c>
      <c r="J1186" t="str">
        <f>VLOOKUP(E1186,DSSpieler!A:B,2,FALSE)</f>
        <v>Schnuckenack Reinhardt</v>
      </c>
    </row>
    <row r="1187" spans="1:10" x14ac:dyDescent="0.25">
      <c r="A1187">
        <v>1320</v>
      </c>
      <c r="B1187" t="s">
        <v>773</v>
      </c>
      <c r="C1187">
        <v>502</v>
      </c>
      <c r="D1187">
        <v>481</v>
      </c>
      <c r="E1187">
        <v>1577176626</v>
      </c>
      <c r="F1187">
        <v>2422</v>
      </c>
      <c r="G1187">
        <v>0</v>
      </c>
      <c r="H1187" t="s">
        <v>6114</v>
      </c>
      <c r="I1187">
        <v>1320</v>
      </c>
      <c r="J1187" t="str">
        <f>VLOOKUP(E1187,DSSpieler!A:B,2,FALSE)</f>
        <v>PlayOneMaurice</v>
      </c>
    </row>
    <row r="1188" spans="1:10" x14ac:dyDescent="0.25">
      <c r="A1188">
        <v>1321</v>
      </c>
      <c r="B1188" t="s">
        <v>556</v>
      </c>
      <c r="C1188">
        <v>514</v>
      </c>
      <c r="D1188">
        <v>477</v>
      </c>
      <c r="E1188">
        <v>1577184672</v>
      </c>
      <c r="F1188">
        <v>4810</v>
      </c>
      <c r="G1188">
        <v>0</v>
      </c>
      <c r="H1188" t="s">
        <v>6115</v>
      </c>
      <c r="I1188">
        <v>1321</v>
      </c>
      <c r="J1188" t="str">
        <f>VLOOKUP(E1188,DSSpieler!A:B,2,FALSE)</f>
        <v>maxidiekleine</v>
      </c>
    </row>
    <row r="1189" spans="1:10" x14ac:dyDescent="0.25">
      <c r="A1189">
        <v>1322</v>
      </c>
      <c r="B1189" t="s">
        <v>531</v>
      </c>
      <c r="C1189">
        <v>483</v>
      </c>
      <c r="D1189">
        <v>556</v>
      </c>
      <c r="E1189">
        <v>0</v>
      </c>
      <c r="F1189">
        <v>528</v>
      </c>
      <c r="G1189">
        <v>0</v>
      </c>
      <c r="H1189" t="s">
        <v>6116</v>
      </c>
      <c r="I1189">
        <v>1322</v>
      </c>
      <c r="J1189" t="e">
        <f>VLOOKUP(E1189,DSSpieler!A:B,2,FALSE)</f>
        <v>#N/A</v>
      </c>
    </row>
    <row r="1190" spans="1:10" x14ac:dyDescent="0.25">
      <c r="A1190">
        <v>1323</v>
      </c>
      <c r="B1190" t="s">
        <v>31029</v>
      </c>
      <c r="C1190">
        <v>483</v>
      </c>
      <c r="D1190">
        <v>470</v>
      </c>
      <c r="E1190">
        <v>1577186679</v>
      </c>
      <c r="F1190">
        <v>4122</v>
      </c>
      <c r="G1190">
        <v>0</v>
      </c>
      <c r="H1190" t="s">
        <v>6117</v>
      </c>
      <c r="I1190">
        <v>1323</v>
      </c>
      <c r="J1190" t="str">
        <f>VLOOKUP(E1190,DSSpieler!A:B,2,FALSE)</f>
        <v>H8erboy</v>
      </c>
    </row>
    <row r="1191" spans="1:10" x14ac:dyDescent="0.25">
      <c r="A1191">
        <v>1324</v>
      </c>
      <c r="B1191" t="s">
        <v>531</v>
      </c>
      <c r="C1191">
        <v>572</v>
      </c>
      <c r="D1191">
        <v>468</v>
      </c>
      <c r="E1191">
        <v>0</v>
      </c>
      <c r="F1191">
        <v>341</v>
      </c>
      <c r="G1191">
        <v>0</v>
      </c>
      <c r="H1191" t="s">
        <v>6118</v>
      </c>
      <c r="I1191">
        <v>1324</v>
      </c>
      <c r="J1191" t="e">
        <f>VLOOKUP(E1191,DSSpieler!A:B,2,FALSE)</f>
        <v>#N/A</v>
      </c>
    </row>
    <row r="1192" spans="1:10" x14ac:dyDescent="0.25">
      <c r="A1192">
        <v>1325</v>
      </c>
      <c r="B1192" t="s">
        <v>546</v>
      </c>
      <c r="C1192">
        <v>490</v>
      </c>
      <c r="D1192">
        <v>473</v>
      </c>
      <c r="E1192">
        <v>1577118287</v>
      </c>
      <c r="F1192">
        <v>4844</v>
      </c>
      <c r="G1192">
        <v>0</v>
      </c>
      <c r="H1192" t="s">
        <v>6119</v>
      </c>
      <c r="I1192">
        <v>1325</v>
      </c>
      <c r="J1192" t="str">
        <f>VLOOKUP(E1192,DSSpieler!A:B,2,FALSE)</f>
        <v>Daniel03</v>
      </c>
    </row>
    <row r="1193" spans="1:10" x14ac:dyDescent="0.25">
      <c r="A1193">
        <v>1326</v>
      </c>
      <c r="B1193" t="s">
        <v>531</v>
      </c>
      <c r="C1193">
        <v>512</v>
      </c>
      <c r="D1193">
        <v>529</v>
      </c>
      <c r="E1193">
        <v>0</v>
      </c>
      <c r="F1193">
        <v>428</v>
      </c>
      <c r="G1193">
        <v>0</v>
      </c>
      <c r="H1193" t="s">
        <v>6120</v>
      </c>
      <c r="I1193">
        <v>1326</v>
      </c>
      <c r="J1193" t="e">
        <f>VLOOKUP(E1193,DSSpieler!A:B,2,FALSE)</f>
        <v>#N/A</v>
      </c>
    </row>
    <row r="1194" spans="1:10" x14ac:dyDescent="0.25">
      <c r="A1194">
        <v>1327</v>
      </c>
      <c r="B1194" t="s">
        <v>31030</v>
      </c>
      <c r="C1194">
        <v>486</v>
      </c>
      <c r="D1194">
        <v>483</v>
      </c>
      <c r="E1194">
        <v>1577161774</v>
      </c>
      <c r="F1194">
        <v>2418</v>
      </c>
      <c r="G1194">
        <v>0</v>
      </c>
      <c r="H1194" t="s">
        <v>6121</v>
      </c>
      <c r="I1194">
        <v>1327</v>
      </c>
      <c r="J1194" t="str">
        <f>VLOOKUP(E1194,DSSpieler!A:B,2,FALSE)</f>
        <v>Nikut</v>
      </c>
    </row>
    <row r="1195" spans="1:10" x14ac:dyDescent="0.25">
      <c r="A1195">
        <v>1328</v>
      </c>
      <c r="B1195" t="s">
        <v>774</v>
      </c>
      <c r="C1195">
        <v>492</v>
      </c>
      <c r="D1195">
        <v>474</v>
      </c>
      <c r="E1195">
        <v>1577142577</v>
      </c>
      <c r="F1195">
        <v>4962</v>
      </c>
      <c r="G1195">
        <v>0</v>
      </c>
      <c r="H1195" t="s">
        <v>6122</v>
      </c>
      <c r="I1195">
        <v>1328</v>
      </c>
      <c r="J1195" t="str">
        <f>VLOOKUP(E1195,DSSpieler!A:B,2,FALSE)</f>
        <v>Actionpunzel</v>
      </c>
    </row>
    <row r="1196" spans="1:10" x14ac:dyDescent="0.25">
      <c r="A1196">
        <v>1329</v>
      </c>
      <c r="B1196" t="s">
        <v>31031</v>
      </c>
      <c r="C1196">
        <v>493</v>
      </c>
      <c r="D1196">
        <v>471</v>
      </c>
      <c r="E1196">
        <v>1576437451</v>
      </c>
      <c r="F1196">
        <v>4550</v>
      </c>
      <c r="G1196">
        <v>0</v>
      </c>
      <c r="H1196" t="s">
        <v>6123</v>
      </c>
      <c r="I1196">
        <v>1329</v>
      </c>
      <c r="J1196" t="str">
        <f>VLOOKUP(E1196,DSSpieler!A:B,2,FALSE)</f>
        <v>lulatsch7</v>
      </c>
    </row>
    <row r="1197" spans="1:10" x14ac:dyDescent="0.25">
      <c r="A1197">
        <v>1330</v>
      </c>
      <c r="B1197" t="s">
        <v>31032</v>
      </c>
      <c r="C1197">
        <v>485</v>
      </c>
      <c r="D1197">
        <v>476</v>
      </c>
      <c r="E1197">
        <v>1577161774</v>
      </c>
      <c r="F1197">
        <v>5698</v>
      </c>
      <c r="G1197">
        <v>0</v>
      </c>
      <c r="H1197" t="s">
        <v>6124</v>
      </c>
      <c r="I1197">
        <v>1330</v>
      </c>
      <c r="J1197" t="str">
        <f>VLOOKUP(E1197,DSSpieler!A:B,2,FALSE)</f>
        <v>Nikut</v>
      </c>
    </row>
    <row r="1198" spans="1:10" x14ac:dyDescent="0.25">
      <c r="A1198">
        <v>1331</v>
      </c>
      <c r="B1198" t="s">
        <v>531</v>
      </c>
      <c r="C1198">
        <v>491</v>
      </c>
      <c r="D1198">
        <v>477</v>
      </c>
      <c r="E1198">
        <v>1576983577</v>
      </c>
      <c r="F1198">
        <v>2028</v>
      </c>
      <c r="G1198">
        <v>0</v>
      </c>
      <c r="H1198" t="s">
        <v>6125</v>
      </c>
      <c r="I1198">
        <v>1331</v>
      </c>
      <c r="J1198" t="str">
        <f>VLOOKUP(E1198,DSSpieler!A:B,2,FALSE)</f>
        <v>Feroculus</v>
      </c>
    </row>
    <row r="1199" spans="1:10" x14ac:dyDescent="0.25">
      <c r="A1199">
        <v>1332</v>
      </c>
      <c r="B1199" t="s">
        <v>700</v>
      </c>
      <c r="C1199">
        <v>497</v>
      </c>
      <c r="D1199">
        <v>474</v>
      </c>
      <c r="E1199">
        <v>2046772</v>
      </c>
      <c r="F1199">
        <v>2964</v>
      </c>
      <c r="G1199">
        <v>0</v>
      </c>
      <c r="H1199" t="s">
        <v>6126</v>
      </c>
      <c r="I1199">
        <v>1332</v>
      </c>
      <c r="J1199" t="str">
        <f>VLOOKUP(E1199,DSSpieler!A:B,2,FALSE)</f>
        <v>kartoffelmaster</v>
      </c>
    </row>
    <row r="1200" spans="1:10" x14ac:dyDescent="0.25">
      <c r="A1200">
        <v>1333</v>
      </c>
      <c r="B1200" t="s">
        <v>31033</v>
      </c>
      <c r="C1200">
        <v>488</v>
      </c>
      <c r="D1200">
        <v>476</v>
      </c>
      <c r="E1200">
        <v>1576983577</v>
      </c>
      <c r="F1200">
        <v>6916</v>
      </c>
      <c r="G1200">
        <v>0</v>
      </c>
      <c r="H1200" t="s">
        <v>6127</v>
      </c>
      <c r="I1200">
        <v>1333</v>
      </c>
      <c r="J1200" t="str">
        <f>VLOOKUP(E1200,DSSpieler!A:B,2,FALSE)</f>
        <v>Feroculus</v>
      </c>
    </row>
    <row r="1201" spans="1:10" x14ac:dyDescent="0.25">
      <c r="A1201">
        <v>1334</v>
      </c>
      <c r="B1201" t="s">
        <v>546</v>
      </c>
      <c r="C1201">
        <v>506</v>
      </c>
      <c r="D1201">
        <v>469</v>
      </c>
      <c r="E1201">
        <v>1576920052</v>
      </c>
      <c r="F1201">
        <v>4351</v>
      </c>
      <c r="G1201">
        <v>0</v>
      </c>
      <c r="H1201" t="s">
        <v>6128</v>
      </c>
      <c r="I1201">
        <v>1334</v>
      </c>
      <c r="J1201" t="str">
        <f>VLOOKUP(E1201,DSSpieler!A:B,2,FALSE)</f>
        <v>Exodos93</v>
      </c>
    </row>
    <row r="1202" spans="1:10" x14ac:dyDescent="0.25">
      <c r="A1202">
        <v>1335</v>
      </c>
      <c r="B1202" t="s">
        <v>31034</v>
      </c>
      <c r="C1202">
        <v>499</v>
      </c>
      <c r="D1202">
        <v>522</v>
      </c>
      <c r="E1202">
        <v>273584</v>
      </c>
      <c r="F1202">
        <v>4749</v>
      </c>
      <c r="G1202">
        <v>0</v>
      </c>
      <c r="H1202" t="s">
        <v>6129</v>
      </c>
      <c r="I1202">
        <v>1335</v>
      </c>
      <c r="J1202" t="str">
        <f>VLOOKUP(E1202,DSSpieler!A:B,2,FALSE)</f>
        <v>bastianot</v>
      </c>
    </row>
    <row r="1203" spans="1:10" x14ac:dyDescent="0.25">
      <c r="A1203">
        <v>1336</v>
      </c>
      <c r="B1203" t="s">
        <v>31035</v>
      </c>
      <c r="C1203">
        <v>505</v>
      </c>
      <c r="D1203">
        <v>520</v>
      </c>
      <c r="E1203">
        <v>1230608</v>
      </c>
      <c r="F1203">
        <v>3545</v>
      </c>
      <c r="G1203">
        <v>0</v>
      </c>
      <c r="H1203" t="s">
        <v>6130</v>
      </c>
      <c r="I1203">
        <v>1336</v>
      </c>
      <c r="J1203" t="str">
        <f>VLOOKUP(E1203,DSSpieler!A:B,2,FALSE)</f>
        <v>jomag</v>
      </c>
    </row>
    <row r="1204" spans="1:10" x14ac:dyDescent="0.25">
      <c r="A1204">
        <v>1337</v>
      </c>
      <c r="B1204" t="s">
        <v>775</v>
      </c>
      <c r="C1204">
        <v>506</v>
      </c>
      <c r="D1204">
        <v>521</v>
      </c>
      <c r="E1204">
        <v>1577195714</v>
      </c>
      <c r="F1204">
        <v>161</v>
      </c>
      <c r="G1204">
        <v>0</v>
      </c>
      <c r="H1204" t="s">
        <v>6131</v>
      </c>
      <c r="I1204">
        <v>1337</v>
      </c>
      <c r="J1204" t="str">
        <f>VLOOKUP(E1204,DSSpieler!A:B,2,FALSE)</f>
        <v>Thaqlol</v>
      </c>
    </row>
    <row r="1205" spans="1:10" x14ac:dyDescent="0.25">
      <c r="A1205">
        <v>1338</v>
      </c>
      <c r="B1205" t="s">
        <v>531</v>
      </c>
      <c r="C1205">
        <v>505</v>
      </c>
      <c r="D1205">
        <v>531</v>
      </c>
      <c r="E1205">
        <v>0</v>
      </c>
      <c r="F1205">
        <v>336</v>
      </c>
      <c r="G1205">
        <v>0</v>
      </c>
      <c r="H1205" t="s">
        <v>6132</v>
      </c>
      <c r="I1205">
        <v>1338</v>
      </c>
      <c r="J1205" t="e">
        <f>VLOOKUP(E1205,DSSpieler!A:B,2,FALSE)</f>
        <v>#N/A</v>
      </c>
    </row>
    <row r="1206" spans="1:10" x14ac:dyDescent="0.25">
      <c r="A1206">
        <v>1339</v>
      </c>
      <c r="B1206" t="s">
        <v>31036</v>
      </c>
      <c r="C1206">
        <v>507</v>
      </c>
      <c r="D1206">
        <v>520</v>
      </c>
      <c r="E1206">
        <v>1577183867</v>
      </c>
      <c r="F1206">
        <v>4207</v>
      </c>
      <c r="G1206">
        <v>0</v>
      </c>
      <c r="H1206" t="s">
        <v>6133</v>
      </c>
      <c r="I1206">
        <v>1339</v>
      </c>
      <c r="J1206" t="str">
        <f>VLOOKUP(E1206,DSSpieler!A:B,2,FALSE)</f>
        <v>brigg69</v>
      </c>
    </row>
    <row r="1207" spans="1:10" x14ac:dyDescent="0.25">
      <c r="A1207">
        <v>1340</v>
      </c>
      <c r="B1207" t="s">
        <v>31037</v>
      </c>
      <c r="C1207">
        <v>501</v>
      </c>
      <c r="D1207">
        <v>522</v>
      </c>
      <c r="E1207">
        <v>1577197114</v>
      </c>
      <c r="F1207">
        <v>6122</v>
      </c>
      <c r="G1207">
        <v>0</v>
      </c>
      <c r="H1207" t="s">
        <v>6134</v>
      </c>
      <c r="I1207">
        <v>1340</v>
      </c>
      <c r="J1207" t="str">
        <f>VLOOKUP(E1207,DSSpieler!A:B,2,FALSE)</f>
        <v>Dorfältester</v>
      </c>
    </row>
    <row r="1208" spans="1:10" x14ac:dyDescent="0.25">
      <c r="A1208">
        <v>1341</v>
      </c>
      <c r="B1208" t="s">
        <v>31038</v>
      </c>
      <c r="C1208">
        <v>508</v>
      </c>
      <c r="D1208">
        <v>519</v>
      </c>
      <c r="E1208">
        <v>1577183867</v>
      </c>
      <c r="F1208">
        <v>3925</v>
      </c>
      <c r="G1208">
        <v>0</v>
      </c>
      <c r="H1208" t="s">
        <v>6135</v>
      </c>
      <c r="I1208">
        <v>1341</v>
      </c>
      <c r="J1208" t="str">
        <f>VLOOKUP(E1208,DSSpieler!A:B,2,FALSE)</f>
        <v>brigg69</v>
      </c>
    </row>
    <row r="1209" spans="1:10" x14ac:dyDescent="0.25">
      <c r="A1209">
        <v>1342</v>
      </c>
      <c r="B1209" t="s">
        <v>31039</v>
      </c>
      <c r="C1209">
        <v>503</v>
      </c>
      <c r="D1209">
        <v>521</v>
      </c>
      <c r="E1209">
        <v>1577197225</v>
      </c>
      <c r="F1209">
        <v>4748</v>
      </c>
      <c r="G1209">
        <v>0</v>
      </c>
      <c r="H1209" t="s">
        <v>6136</v>
      </c>
      <c r="I1209">
        <v>1342</v>
      </c>
      <c r="J1209" t="str">
        <f>VLOOKUP(E1209,DSSpieler!A:B,2,FALSE)</f>
        <v>Daro</v>
      </c>
    </row>
    <row r="1210" spans="1:10" x14ac:dyDescent="0.25">
      <c r="A1210">
        <v>1343</v>
      </c>
      <c r="B1210" t="s">
        <v>31040</v>
      </c>
      <c r="C1210">
        <v>489</v>
      </c>
      <c r="D1210">
        <v>544</v>
      </c>
      <c r="E1210">
        <v>1577099308</v>
      </c>
      <c r="F1210">
        <v>199</v>
      </c>
      <c r="G1210">
        <v>0</v>
      </c>
      <c r="H1210" t="s">
        <v>6137</v>
      </c>
      <c r="I1210">
        <v>1343</v>
      </c>
      <c r="J1210" t="str">
        <f>VLOOKUP(E1210,DSSpieler!A:B,2,FALSE)</f>
        <v>Geiler Skiller</v>
      </c>
    </row>
    <row r="1211" spans="1:10" x14ac:dyDescent="0.25">
      <c r="A1211">
        <v>1344</v>
      </c>
      <c r="B1211" t="s">
        <v>31041</v>
      </c>
      <c r="C1211">
        <v>487</v>
      </c>
      <c r="D1211">
        <v>549</v>
      </c>
      <c r="E1211">
        <v>1577193173</v>
      </c>
      <c r="F1211">
        <v>135</v>
      </c>
      <c r="G1211">
        <v>0</v>
      </c>
      <c r="H1211" t="s">
        <v>6138</v>
      </c>
      <c r="I1211">
        <v>1344</v>
      </c>
      <c r="J1211" t="str">
        <f>VLOOKUP(E1211,DSSpieler!A:B,2,FALSE)</f>
        <v>heyje</v>
      </c>
    </row>
    <row r="1212" spans="1:10" x14ac:dyDescent="0.25">
      <c r="A1212">
        <v>1345</v>
      </c>
      <c r="B1212" t="s">
        <v>31042</v>
      </c>
      <c r="C1212">
        <v>514</v>
      </c>
      <c r="D1212">
        <v>506</v>
      </c>
      <c r="E1212">
        <v>1577171246</v>
      </c>
      <c r="F1212">
        <v>9899</v>
      </c>
      <c r="G1212">
        <v>0</v>
      </c>
      <c r="H1212" t="s">
        <v>6139</v>
      </c>
      <c r="I1212">
        <v>1345</v>
      </c>
      <c r="J1212" t="str">
        <f>VLOOKUP(E1212,DSSpieler!A:B,2,FALSE)</f>
        <v>BigBadWolf</v>
      </c>
    </row>
    <row r="1213" spans="1:10" x14ac:dyDescent="0.25">
      <c r="A1213">
        <v>1346</v>
      </c>
      <c r="B1213" t="s">
        <v>31043</v>
      </c>
      <c r="C1213">
        <v>515</v>
      </c>
      <c r="D1213">
        <v>504</v>
      </c>
      <c r="E1213">
        <v>1577171254</v>
      </c>
      <c r="F1213">
        <v>9447</v>
      </c>
      <c r="G1213">
        <v>0</v>
      </c>
      <c r="H1213" t="s">
        <v>6140</v>
      </c>
      <c r="I1213">
        <v>1346</v>
      </c>
      <c r="J1213" t="str">
        <f>VLOOKUP(E1213,DSSpieler!A:B,2,FALSE)</f>
        <v>Lord LittleGummi</v>
      </c>
    </row>
    <row r="1214" spans="1:10" x14ac:dyDescent="0.25">
      <c r="A1214">
        <v>1347</v>
      </c>
      <c r="B1214" t="s">
        <v>776</v>
      </c>
      <c r="C1214">
        <v>509</v>
      </c>
      <c r="D1214">
        <v>502</v>
      </c>
      <c r="E1214">
        <v>1577171261</v>
      </c>
      <c r="F1214">
        <v>9531</v>
      </c>
      <c r="G1214">
        <v>0</v>
      </c>
      <c r="H1214" t="s">
        <v>6141</v>
      </c>
      <c r="I1214">
        <v>1347</v>
      </c>
      <c r="J1214" t="str">
        <f>VLOOKUP(E1214,DSSpieler!A:B,2,FALSE)</f>
        <v>JulsRules</v>
      </c>
    </row>
    <row r="1215" spans="1:10" x14ac:dyDescent="0.25">
      <c r="A1215">
        <v>1348</v>
      </c>
      <c r="B1215" t="s">
        <v>777</v>
      </c>
      <c r="C1215">
        <v>511</v>
      </c>
      <c r="D1215">
        <v>507</v>
      </c>
      <c r="E1215">
        <v>1577167240</v>
      </c>
      <c r="F1215">
        <v>9174</v>
      </c>
      <c r="G1215">
        <v>0</v>
      </c>
      <c r="H1215" t="s">
        <v>6142</v>
      </c>
      <c r="I1215">
        <v>1348</v>
      </c>
      <c r="J1215" t="str">
        <f>VLOOKUP(E1215,DSSpieler!A:B,2,FALSE)</f>
        <v>Old Witcher</v>
      </c>
    </row>
    <row r="1216" spans="1:10" x14ac:dyDescent="0.25">
      <c r="A1216">
        <v>1349</v>
      </c>
      <c r="B1216" t="s">
        <v>31044</v>
      </c>
      <c r="C1216">
        <v>476</v>
      </c>
      <c r="D1216">
        <v>537</v>
      </c>
      <c r="E1216">
        <v>1577185970</v>
      </c>
      <c r="F1216">
        <v>5521</v>
      </c>
      <c r="G1216">
        <v>0</v>
      </c>
      <c r="H1216" t="s">
        <v>6143</v>
      </c>
      <c r="I1216">
        <v>1349</v>
      </c>
      <c r="J1216" t="str">
        <f>VLOOKUP(E1216,DSSpieler!A:B,2,FALSE)</f>
        <v>Lord Kaktus</v>
      </c>
    </row>
    <row r="1217" spans="1:10" x14ac:dyDescent="0.25">
      <c r="A1217">
        <v>1350</v>
      </c>
      <c r="B1217" t="s">
        <v>31045</v>
      </c>
      <c r="C1217">
        <v>479</v>
      </c>
      <c r="D1217">
        <v>530</v>
      </c>
      <c r="E1217">
        <v>1577027712</v>
      </c>
      <c r="F1217">
        <v>4201</v>
      </c>
      <c r="G1217">
        <v>0</v>
      </c>
      <c r="H1217" t="s">
        <v>6144</v>
      </c>
      <c r="I1217">
        <v>1350</v>
      </c>
      <c r="J1217" t="str">
        <f>VLOOKUP(E1217,DSSpieler!A:B,2,FALSE)</f>
        <v>Pancake-l3unny</v>
      </c>
    </row>
    <row r="1218" spans="1:10" x14ac:dyDescent="0.25">
      <c r="A1218">
        <v>1351</v>
      </c>
      <c r="B1218" t="s">
        <v>31046</v>
      </c>
      <c r="C1218">
        <v>474</v>
      </c>
      <c r="D1218">
        <v>535</v>
      </c>
      <c r="E1218">
        <v>1577185970</v>
      </c>
      <c r="F1218">
        <v>5944</v>
      </c>
      <c r="G1218">
        <v>0</v>
      </c>
      <c r="H1218" t="s">
        <v>6145</v>
      </c>
      <c r="I1218">
        <v>1351</v>
      </c>
      <c r="J1218" t="str">
        <f>VLOOKUP(E1218,DSSpieler!A:B,2,FALSE)</f>
        <v>Lord Kaktus</v>
      </c>
    </row>
    <row r="1219" spans="1:10" x14ac:dyDescent="0.25">
      <c r="A1219">
        <v>1352</v>
      </c>
      <c r="B1219" t="s">
        <v>778</v>
      </c>
      <c r="C1219">
        <v>478</v>
      </c>
      <c r="D1219">
        <v>536</v>
      </c>
      <c r="E1219">
        <v>7982145</v>
      </c>
      <c r="F1219">
        <v>3003</v>
      </c>
      <c r="G1219">
        <v>0</v>
      </c>
      <c r="H1219" t="s">
        <v>6146</v>
      </c>
      <c r="I1219">
        <v>1352</v>
      </c>
      <c r="J1219" t="str">
        <f>VLOOKUP(E1219,DSSpieler!A:B,2,FALSE)</f>
        <v>hesse40</v>
      </c>
    </row>
    <row r="1220" spans="1:10" x14ac:dyDescent="0.25">
      <c r="A1220">
        <v>1353</v>
      </c>
      <c r="B1220" t="s">
        <v>31047</v>
      </c>
      <c r="C1220">
        <v>475</v>
      </c>
      <c r="D1220">
        <v>530</v>
      </c>
      <c r="E1220">
        <v>7811335</v>
      </c>
      <c r="F1220">
        <v>5705</v>
      </c>
      <c r="G1220">
        <v>0</v>
      </c>
      <c r="H1220" t="s">
        <v>6147</v>
      </c>
      <c r="I1220">
        <v>1353</v>
      </c>
      <c r="J1220" t="str">
        <f>VLOOKUP(E1220,DSSpieler!A:B,2,FALSE)</f>
        <v>SnakeMountain</v>
      </c>
    </row>
    <row r="1221" spans="1:10" x14ac:dyDescent="0.25">
      <c r="A1221">
        <v>1354</v>
      </c>
      <c r="B1221" t="s">
        <v>31048</v>
      </c>
      <c r="C1221">
        <v>480</v>
      </c>
      <c r="D1221">
        <v>538</v>
      </c>
      <c r="E1221">
        <v>1691528</v>
      </c>
      <c r="F1221">
        <v>4322</v>
      </c>
      <c r="G1221">
        <v>0</v>
      </c>
      <c r="H1221" t="s">
        <v>6148</v>
      </c>
      <c r="I1221">
        <v>1354</v>
      </c>
      <c r="J1221" t="str">
        <f>VLOOKUP(E1221,DSSpieler!A:B,2,FALSE)</f>
        <v>mac collin</v>
      </c>
    </row>
    <row r="1222" spans="1:10" x14ac:dyDescent="0.25">
      <c r="A1222">
        <v>1355</v>
      </c>
      <c r="B1222" t="s">
        <v>31049</v>
      </c>
      <c r="C1222">
        <v>474</v>
      </c>
      <c r="D1222">
        <v>541</v>
      </c>
      <c r="E1222">
        <v>1577178261</v>
      </c>
      <c r="F1222">
        <v>3525</v>
      </c>
      <c r="G1222">
        <v>0</v>
      </c>
      <c r="H1222" t="s">
        <v>6149</v>
      </c>
      <c r="I1222">
        <v>1355</v>
      </c>
      <c r="J1222" t="str">
        <f>VLOOKUP(E1222,DSSpieler!A:B,2,FALSE)</f>
        <v>MikeLitoris</v>
      </c>
    </row>
    <row r="1223" spans="1:10" x14ac:dyDescent="0.25">
      <c r="A1223">
        <v>1356</v>
      </c>
      <c r="B1223" t="s">
        <v>31050</v>
      </c>
      <c r="C1223">
        <v>466</v>
      </c>
      <c r="D1223">
        <v>596</v>
      </c>
      <c r="E1223">
        <v>1576980922</v>
      </c>
      <c r="F1223">
        <v>6511</v>
      </c>
      <c r="G1223">
        <v>0</v>
      </c>
      <c r="H1223" t="s">
        <v>6150</v>
      </c>
      <c r="I1223">
        <v>1356</v>
      </c>
      <c r="J1223" t="str">
        <f>VLOOKUP(E1223,DSSpieler!A:B,2,FALSE)</f>
        <v>darkvieri</v>
      </c>
    </row>
    <row r="1224" spans="1:10" x14ac:dyDescent="0.25">
      <c r="A1224">
        <v>1357</v>
      </c>
      <c r="B1224" t="s">
        <v>31051</v>
      </c>
      <c r="C1224">
        <v>469</v>
      </c>
      <c r="D1224">
        <v>597</v>
      </c>
      <c r="E1224">
        <v>1576181692</v>
      </c>
      <c r="F1224">
        <v>5722</v>
      </c>
      <c r="G1224">
        <v>0</v>
      </c>
      <c r="H1224" t="s">
        <v>6151</v>
      </c>
      <c r="I1224">
        <v>1357</v>
      </c>
      <c r="J1224" t="str">
        <f>VLOOKUP(E1224,DSSpieler!A:B,2,FALSE)</f>
        <v>Branterra der Große</v>
      </c>
    </row>
    <row r="1225" spans="1:10" x14ac:dyDescent="0.25">
      <c r="A1225">
        <v>1358</v>
      </c>
      <c r="B1225" t="s">
        <v>31052</v>
      </c>
      <c r="C1225">
        <v>451</v>
      </c>
      <c r="D1225">
        <v>600</v>
      </c>
      <c r="E1225">
        <v>1576661570</v>
      </c>
      <c r="F1225">
        <v>4401</v>
      </c>
      <c r="G1225">
        <v>0</v>
      </c>
      <c r="H1225" t="s">
        <v>6152</v>
      </c>
      <c r="I1225">
        <v>1358</v>
      </c>
      <c r="J1225" t="str">
        <f>VLOOKUP(E1225,DSSpieler!A:B,2,FALSE)</f>
        <v>ASAP-TEDDY</v>
      </c>
    </row>
    <row r="1226" spans="1:10" x14ac:dyDescent="0.25">
      <c r="A1226">
        <v>1359</v>
      </c>
      <c r="B1226" t="s">
        <v>30582</v>
      </c>
      <c r="C1226">
        <v>471</v>
      </c>
      <c r="D1226">
        <v>604</v>
      </c>
      <c r="E1226">
        <v>1577174726</v>
      </c>
      <c r="F1226">
        <v>6378</v>
      </c>
      <c r="G1226">
        <v>0</v>
      </c>
      <c r="H1226" t="s">
        <v>6153</v>
      </c>
      <c r="I1226">
        <v>1359</v>
      </c>
      <c r="J1226" t="str">
        <f>VLOOKUP(E1226,DSSpieler!A:B,2,FALSE)</f>
        <v>Nevada.vP</v>
      </c>
    </row>
    <row r="1227" spans="1:10" x14ac:dyDescent="0.25">
      <c r="A1227">
        <v>1360</v>
      </c>
      <c r="B1227" t="s">
        <v>31053</v>
      </c>
      <c r="C1227">
        <v>465</v>
      </c>
      <c r="D1227">
        <v>602</v>
      </c>
      <c r="E1227">
        <v>9449355</v>
      </c>
      <c r="F1227">
        <v>5276</v>
      </c>
      <c r="G1227">
        <v>0</v>
      </c>
      <c r="H1227" t="s">
        <v>6154</v>
      </c>
      <c r="I1227">
        <v>1360</v>
      </c>
      <c r="J1227" t="str">
        <f>VLOOKUP(E1227,DSSpieler!A:B,2,FALSE)</f>
        <v>PapageiKatze941</v>
      </c>
    </row>
    <row r="1228" spans="1:10" x14ac:dyDescent="0.25">
      <c r="A1228">
        <v>1361</v>
      </c>
      <c r="B1228" t="s">
        <v>31054</v>
      </c>
      <c r="C1228">
        <v>462</v>
      </c>
      <c r="D1228">
        <v>601</v>
      </c>
      <c r="E1228">
        <v>9569148</v>
      </c>
      <c r="F1228">
        <v>7049</v>
      </c>
      <c r="G1228">
        <v>0</v>
      </c>
      <c r="H1228" t="s">
        <v>6155</v>
      </c>
      <c r="I1228">
        <v>1361</v>
      </c>
      <c r="J1228" t="str">
        <f>VLOOKUP(E1228,DSSpieler!A:B,2,FALSE)</f>
        <v>079*</v>
      </c>
    </row>
    <row r="1229" spans="1:10" x14ac:dyDescent="0.25">
      <c r="A1229">
        <v>1362</v>
      </c>
      <c r="B1229" t="s">
        <v>31055</v>
      </c>
      <c r="C1229">
        <v>468</v>
      </c>
      <c r="D1229">
        <v>597</v>
      </c>
      <c r="E1229">
        <v>1576980922</v>
      </c>
      <c r="F1229">
        <v>2304</v>
      </c>
      <c r="G1229">
        <v>0</v>
      </c>
      <c r="H1229" t="s">
        <v>6156</v>
      </c>
      <c r="I1229">
        <v>1362</v>
      </c>
      <c r="J1229" t="str">
        <f>VLOOKUP(E1229,DSSpieler!A:B,2,FALSE)</f>
        <v>darkvieri</v>
      </c>
    </row>
    <row r="1230" spans="1:10" x14ac:dyDescent="0.25">
      <c r="A1230">
        <v>1363</v>
      </c>
      <c r="B1230" t="s">
        <v>31056</v>
      </c>
      <c r="C1230">
        <v>458</v>
      </c>
      <c r="D1230">
        <v>600</v>
      </c>
      <c r="E1230">
        <v>10097263</v>
      </c>
      <c r="F1230">
        <v>2368</v>
      </c>
      <c r="G1230">
        <v>0</v>
      </c>
      <c r="H1230" t="s">
        <v>6157</v>
      </c>
      <c r="I1230">
        <v>1363</v>
      </c>
      <c r="J1230" t="str">
        <f>VLOOKUP(E1230,DSSpieler!A:B,2,FALSE)</f>
        <v>Kili131</v>
      </c>
    </row>
    <row r="1231" spans="1:10" x14ac:dyDescent="0.25">
      <c r="A1231">
        <v>1364</v>
      </c>
      <c r="B1231" t="s">
        <v>31057</v>
      </c>
      <c r="C1231">
        <v>460</v>
      </c>
      <c r="D1231">
        <v>599</v>
      </c>
      <c r="E1231">
        <v>1577197817</v>
      </c>
      <c r="F1231">
        <v>5094</v>
      </c>
      <c r="G1231">
        <v>0</v>
      </c>
      <c r="H1231" t="s">
        <v>6158</v>
      </c>
      <c r="I1231">
        <v>1364</v>
      </c>
      <c r="J1231" t="str">
        <f>VLOOKUP(E1231,DSSpieler!A:B,2,FALSE)</f>
        <v>Gang06</v>
      </c>
    </row>
    <row r="1232" spans="1:10" x14ac:dyDescent="0.25">
      <c r="A1232">
        <v>1366</v>
      </c>
      <c r="B1232" t="s">
        <v>31058</v>
      </c>
      <c r="C1232">
        <v>478</v>
      </c>
      <c r="D1232">
        <v>605</v>
      </c>
      <c r="E1232">
        <v>1576628882</v>
      </c>
      <c r="F1232">
        <v>6091</v>
      </c>
      <c r="G1232">
        <v>0</v>
      </c>
      <c r="H1232" t="s">
        <v>6159</v>
      </c>
      <c r="I1232">
        <v>1366</v>
      </c>
      <c r="J1232" t="str">
        <f>VLOOKUP(E1232,DSSpieler!A:B,2,FALSE)</f>
        <v>Hirito Yomi</v>
      </c>
    </row>
    <row r="1233" spans="1:10" x14ac:dyDescent="0.25">
      <c r="A1233">
        <v>1367</v>
      </c>
      <c r="B1233" t="s">
        <v>31059</v>
      </c>
      <c r="C1233">
        <v>455</v>
      </c>
      <c r="D1233">
        <v>601</v>
      </c>
      <c r="E1233">
        <v>9569148</v>
      </c>
      <c r="F1233">
        <v>7223</v>
      </c>
      <c r="G1233">
        <v>0</v>
      </c>
      <c r="H1233" t="s">
        <v>6160</v>
      </c>
      <c r="I1233">
        <v>1367</v>
      </c>
      <c r="J1233" t="str">
        <f>VLOOKUP(E1233,DSSpieler!A:B,2,FALSE)</f>
        <v>079*</v>
      </c>
    </row>
    <row r="1234" spans="1:10" x14ac:dyDescent="0.25">
      <c r="A1234">
        <v>1368</v>
      </c>
      <c r="B1234" t="s">
        <v>31060</v>
      </c>
      <c r="C1234">
        <v>478</v>
      </c>
      <c r="D1234">
        <v>598</v>
      </c>
      <c r="E1234">
        <v>9064505</v>
      </c>
      <c r="F1234">
        <v>7210</v>
      </c>
      <c r="G1234">
        <v>0</v>
      </c>
      <c r="H1234" t="s">
        <v>6161</v>
      </c>
      <c r="I1234">
        <v>1368</v>
      </c>
      <c r="J1234" t="str">
        <f>VLOOKUP(E1234,DSSpieler!A:B,2,FALSE)</f>
        <v>SirLeoDer1</v>
      </c>
    </row>
    <row r="1235" spans="1:10" x14ac:dyDescent="0.25">
      <c r="A1235">
        <v>1369</v>
      </c>
      <c r="B1235" t="s">
        <v>531</v>
      </c>
      <c r="C1235">
        <v>555</v>
      </c>
      <c r="D1235">
        <v>500</v>
      </c>
      <c r="E1235">
        <v>0</v>
      </c>
      <c r="F1235">
        <v>783</v>
      </c>
      <c r="G1235">
        <v>0</v>
      </c>
      <c r="H1235" t="s">
        <v>6162</v>
      </c>
      <c r="I1235">
        <v>1369</v>
      </c>
      <c r="J1235" t="e">
        <f>VLOOKUP(E1235,DSSpieler!A:B,2,FALSE)</f>
        <v>#N/A</v>
      </c>
    </row>
    <row r="1236" spans="1:10" x14ac:dyDescent="0.25">
      <c r="A1236">
        <v>1370</v>
      </c>
      <c r="B1236" t="s">
        <v>31061</v>
      </c>
      <c r="C1236">
        <v>462</v>
      </c>
      <c r="D1236">
        <v>593</v>
      </c>
      <c r="E1236">
        <v>9569148</v>
      </c>
      <c r="F1236">
        <v>7384</v>
      </c>
      <c r="G1236">
        <v>0</v>
      </c>
      <c r="H1236" t="s">
        <v>6163</v>
      </c>
      <c r="I1236">
        <v>1370</v>
      </c>
      <c r="J1236" t="str">
        <f>VLOOKUP(E1236,DSSpieler!A:B,2,FALSE)</f>
        <v>079*</v>
      </c>
    </row>
    <row r="1237" spans="1:10" x14ac:dyDescent="0.25">
      <c r="A1237">
        <v>1371</v>
      </c>
      <c r="B1237" t="s">
        <v>779</v>
      </c>
      <c r="C1237">
        <v>477</v>
      </c>
      <c r="D1237">
        <v>604</v>
      </c>
      <c r="E1237">
        <v>3269983</v>
      </c>
      <c r="F1237">
        <v>7381</v>
      </c>
      <c r="G1237">
        <v>0</v>
      </c>
      <c r="H1237" t="s">
        <v>6164</v>
      </c>
      <c r="I1237">
        <v>1371</v>
      </c>
      <c r="J1237" t="str">
        <f>VLOOKUP(E1237,DSSpieler!A:B,2,FALSE)</f>
        <v>SvenC@</v>
      </c>
    </row>
    <row r="1238" spans="1:10" x14ac:dyDescent="0.25">
      <c r="A1238">
        <v>1372</v>
      </c>
      <c r="B1238" t="s">
        <v>31062</v>
      </c>
      <c r="C1238">
        <v>467</v>
      </c>
      <c r="D1238">
        <v>603</v>
      </c>
      <c r="E1238">
        <v>9706179</v>
      </c>
      <c r="F1238">
        <v>5168</v>
      </c>
      <c r="G1238">
        <v>0</v>
      </c>
      <c r="H1238" t="s">
        <v>6165</v>
      </c>
      <c r="I1238">
        <v>1372</v>
      </c>
      <c r="J1238" t="str">
        <f>VLOOKUP(E1238,DSSpieler!A:B,2,FALSE)</f>
        <v>up to no good</v>
      </c>
    </row>
    <row r="1239" spans="1:10" x14ac:dyDescent="0.25">
      <c r="A1239">
        <v>1373</v>
      </c>
      <c r="B1239" t="s">
        <v>31063</v>
      </c>
      <c r="C1239">
        <v>492</v>
      </c>
      <c r="D1239">
        <v>503</v>
      </c>
      <c r="E1239">
        <v>8719883</v>
      </c>
      <c r="F1239">
        <v>720</v>
      </c>
      <c r="G1239">
        <v>0</v>
      </c>
      <c r="H1239" t="s">
        <v>6166</v>
      </c>
      <c r="I1239">
        <v>1373</v>
      </c>
      <c r="J1239" t="str">
        <f>VLOOKUP(E1239,DSSpieler!A:B,2,FALSE)</f>
        <v>spartanerII</v>
      </c>
    </row>
    <row r="1240" spans="1:10" x14ac:dyDescent="0.25">
      <c r="A1240">
        <v>1374</v>
      </c>
      <c r="B1240" t="s">
        <v>780</v>
      </c>
      <c r="C1240">
        <v>599</v>
      </c>
      <c r="D1240">
        <v>546</v>
      </c>
      <c r="E1240">
        <v>1577201631</v>
      </c>
      <c r="F1240">
        <v>4878</v>
      </c>
      <c r="G1240">
        <v>0</v>
      </c>
      <c r="H1240" t="s">
        <v>6167</v>
      </c>
      <c r="I1240">
        <v>1374</v>
      </c>
      <c r="J1240" t="str">
        <f>VLOOKUP(E1240,DSSpieler!A:B,2,FALSE)</f>
        <v>Captain Buggy</v>
      </c>
    </row>
    <row r="1241" spans="1:10" x14ac:dyDescent="0.25">
      <c r="A1241">
        <v>1375</v>
      </c>
      <c r="B1241" t="s">
        <v>31064</v>
      </c>
      <c r="C1241">
        <v>465</v>
      </c>
      <c r="D1241">
        <v>590</v>
      </c>
      <c r="E1241">
        <v>9569148</v>
      </c>
      <c r="F1241">
        <v>6119</v>
      </c>
      <c r="G1241">
        <v>0</v>
      </c>
      <c r="H1241" t="s">
        <v>6168</v>
      </c>
      <c r="I1241">
        <v>1375</v>
      </c>
      <c r="J1241" t="str">
        <f>VLOOKUP(E1241,DSSpieler!A:B,2,FALSE)</f>
        <v>079*</v>
      </c>
    </row>
    <row r="1242" spans="1:10" x14ac:dyDescent="0.25">
      <c r="A1242">
        <v>1376</v>
      </c>
      <c r="B1242" t="s">
        <v>781</v>
      </c>
      <c r="C1242">
        <v>471</v>
      </c>
      <c r="D1242">
        <v>595</v>
      </c>
      <c r="E1242">
        <v>1577182538</v>
      </c>
      <c r="F1242">
        <v>5106</v>
      </c>
      <c r="G1242">
        <v>0</v>
      </c>
      <c r="H1242" t="s">
        <v>6169</v>
      </c>
      <c r="I1242">
        <v>1376</v>
      </c>
      <c r="J1242" t="str">
        <f>VLOOKUP(E1242,DSSpieler!A:B,2,FALSE)</f>
        <v>TheYurek</v>
      </c>
    </row>
    <row r="1243" spans="1:10" x14ac:dyDescent="0.25">
      <c r="A1243">
        <v>1377</v>
      </c>
      <c r="B1243" t="s">
        <v>31065</v>
      </c>
      <c r="C1243">
        <v>465</v>
      </c>
      <c r="D1243">
        <v>603</v>
      </c>
      <c r="E1243">
        <v>1577197712</v>
      </c>
      <c r="F1243">
        <v>4400</v>
      </c>
      <c r="G1243">
        <v>0</v>
      </c>
      <c r="H1243" t="s">
        <v>6170</v>
      </c>
      <c r="I1243">
        <v>1377</v>
      </c>
      <c r="J1243" t="str">
        <f>VLOOKUP(E1243,DSSpieler!A:B,2,FALSE)</f>
        <v>Revenge is sweet</v>
      </c>
    </row>
    <row r="1244" spans="1:10" x14ac:dyDescent="0.25">
      <c r="A1244">
        <v>1378</v>
      </c>
      <c r="B1244" t="s">
        <v>31066</v>
      </c>
      <c r="C1244">
        <v>460</v>
      </c>
      <c r="D1244">
        <v>593</v>
      </c>
      <c r="E1244">
        <v>1576572176</v>
      </c>
      <c r="F1244">
        <v>4946</v>
      </c>
      <c r="G1244">
        <v>0</v>
      </c>
      <c r="H1244" t="s">
        <v>6171</v>
      </c>
      <c r="I1244">
        <v>1378</v>
      </c>
      <c r="J1244" t="str">
        <f>VLOOKUP(E1244,DSSpieler!A:B,2,FALSE)</f>
        <v>Skellini</v>
      </c>
    </row>
    <row r="1245" spans="1:10" x14ac:dyDescent="0.25">
      <c r="A1245">
        <v>1379</v>
      </c>
      <c r="B1245" t="s">
        <v>30574</v>
      </c>
      <c r="C1245">
        <v>463</v>
      </c>
      <c r="D1245">
        <v>597</v>
      </c>
      <c r="E1245">
        <v>3362710</v>
      </c>
      <c r="F1245">
        <v>5857</v>
      </c>
      <c r="G1245">
        <v>0</v>
      </c>
      <c r="H1245" t="s">
        <v>6172</v>
      </c>
      <c r="I1245">
        <v>1379</v>
      </c>
      <c r="J1245" t="str">
        <f>VLOOKUP(E1245,DSSpieler!A:B,2,FALSE)</f>
        <v>..Headbaenger..</v>
      </c>
    </row>
    <row r="1246" spans="1:10" x14ac:dyDescent="0.25">
      <c r="A1246">
        <v>1380</v>
      </c>
      <c r="B1246" t="s">
        <v>31067</v>
      </c>
      <c r="C1246">
        <v>467</v>
      </c>
      <c r="D1246">
        <v>600</v>
      </c>
      <c r="E1246">
        <v>9449355</v>
      </c>
      <c r="F1246">
        <v>2780</v>
      </c>
      <c r="G1246">
        <v>0</v>
      </c>
      <c r="H1246" t="s">
        <v>6173</v>
      </c>
      <c r="I1246">
        <v>1380</v>
      </c>
      <c r="J1246" t="str">
        <f>VLOOKUP(E1246,DSSpieler!A:B,2,FALSE)</f>
        <v>PapageiKatze941</v>
      </c>
    </row>
    <row r="1247" spans="1:10" x14ac:dyDescent="0.25">
      <c r="A1247">
        <v>1381</v>
      </c>
      <c r="B1247" t="s">
        <v>31068</v>
      </c>
      <c r="C1247">
        <v>464</v>
      </c>
      <c r="D1247">
        <v>598</v>
      </c>
      <c r="E1247">
        <v>1576628882</v>
      </c>
      <c r="F1247">
        <v>7542</v>
      </c>
      <c r="G1247">
        <v>0</v>
      </c>
      <c r="H1247" t="s">
        <v>6174</v>
      </c>
      <c r="I1247">
        <v>1381</v>
      </c>
      <c r="J1247" t="str">
        <f>VLOOKUP(E1247,DSSpieler!A:B,2,FALSE)</f>
        <v>Hirito Yomi</v>
      </c>
    </row>
    <row r="1248" spans="1:10" x14ac:dyDescent="0.25">
      <c r="A1248">
        <v>1382</v>
      </c>
      <c r="B1248">
        <v>1</v>
      </c>
      <c r="C1248">
        <v>471</v>
      </c>
      <c r="D1248">
        <v>607</v>
      </c>
      <c r="E1248">
        <v>3269983</v>
      </c>
      <c r="F1248">
        <v>5159</v>
      </c>
      <c r="G1248">
        <v>0</v>
      </c>
      <c r="H1248" t="s">
        <v>6175</v>
      </c>
      <c r="I1248">
        <v>1382</v>
      </c>
      <c r="J1248" t="str">
        <f>VLOOKUP(E1248,DSSpieler!A:B,2,FALSE)</f>
        <v>SvenC@</v>
      </c>
    </row>
    <row r="1249" spans="1:10" x14ac:dyDescent="0.25">
      <c r="A1249">
        <v>1383</v>
      </c>
      <c r="B1249" t="s">
        <v>30582</v>
      </c>
      <c r="C1249">
        <v>473</v>
      </c>
      <c r="D1249">
        <v>607</v>
      </c>
      <c r="E1249">
        <v>1577174726</v>
      </c>
      <c r="F1249">
        <v>4920</v>
      </c>
      <c r="G1249">
        <v>0</v>
      </c>
      <c r="H1249" t="s">
        <v>6176</v>
      </c>
      <c r="I1249">
        <v>1383</v>
      </c>
      <c r="J1249" t="str">
        <f>VLOOKUP(E1249,DSSpieler!A:B,2,FALSE)</f>
        <v>Nevada.vP</v>
      </c>
    </row>
    <row r="1250" spans="1:10" x14ac:dyDescent="0.25">
      <c r="A1250">
        <v>1384</v>
      </c>
      <c r="B1250" t="s">
        <v>31062</v>
      </c>
      <c r="C1250">
        <v>470</v>
      </c>
      <c r="D1250">
        <v>601</v>
      </c>
      <c r="E1250">
        <v>9706179</v>
      </c>
      <c r="F1250">
        <v>5681</v>
      </c>
      <c r="G1250">
        <v>0</v>
      </c>
      <c r="H1250" t="s">
        <v>6177</v>
      </c>
      <c r="I1250">
        <v>1384</v>
      </c>
      <c r="J1250" t="str">
        <f>VLOOKUP(E1250,DSSpieler!A:B,2,FALSE)</f>
        <v>up to no good</v>
      </c>
    </row>
    <row r="1251" spans="1:10" x14ac:dyDescent="0.25">
      <c r="A1251">
        <v>1385</v>
      </c>
      <c r="B1251" t="s">
        <v>31069</v>
      </c>
      <c r="C1251">
        <v>463</v>
      </c>
      <c r="D1251">
        <v>594</v>
      </c>
      <c r="E1251">
        <v>9569148</v>
      </c>
      <c r="F1251">
        <v>5766</v>
      </c>
      <c r="G1251">
        <v>0</v>
      </c>
      <c r="H1251" t="s">
        <v>6178</v>
      </c>
      <c r="I1251">
        <v>1385</v>
      </c>
      <c r="J1251" t="str">
        <f>VLOOKUP(E1251,DSSpieler!A:B,2,FALSE)</f>
        <v>079*</v>
      </c>
    </row>
    <row r="1252" spans="1:10" x14ac:dyDescent="0.25">
      <c r="A1252">
        <v>1386</v>
      </c>
      <c r="B1252" t="s">
        <v>782</v>
      </c>
      <c r="C1252">
        <v>473</v>
      </c>
      <c r="D1252">
        <v>605</v>
      </c>
      <c r="E1252">
        <v>1577180871</v>
      </c>
      <c r="F1252">
        <v>5037</v>
      </c>
      <c r="G1252">
        <v>0</v>
      </c>
      <c r="H1252" t="s">
        <v>6179</v>
      </c>
      <c r="I1252">
        <v>1386</v>
      </c>
      <c r="J1252" t="str">
        <f>VLOOKUP(E1252,DSSpieler!A:B,2,FALSE)</f>
        <v>T0TI</v>
      </c>
    </row>
    <row r="1253" spans="1:10" x14ac:dyDescent="0.25">
      <c r="A1253">
        <v>1387</v>
      </c>
      <c r="B1253" t="s">
        <v>31070</v>
      </c>
      <c r="C1253">
        <v>468</v>
      </c>
      <c r="D1253">
        <v>600</v>
      </c>
      <c r="E1253">
        <v>9449355</v>
      </c>
      <c r="F1253">
        <v>5917</v>
      </c>
      <c r="G1253">
        <v>0</v>
      </c>
      <c r="H1253" t="s">
        <v>6180</v>
      </c>
      <c r="I1253">
        <v>1387</v>
      </c>
      <c r="J1253" t="str">
        <f>VLOOKUP(E1253,DSSpieler!A:B,2,FALSE)</f>
        <v>PapageiKatze941</v>
      </c>
    </row>
    <row r="1254" spans="1:10" x14ac:dyDescent="0.25">
      <c r="A1254">
        <v>1388</v>
      </c>
      <c r="B1254" t="s">
        <v>531</v>
      </c>
      <c r="C1254">
        <v>479</v>
      </c>
      <c r="D1254">
        <v>514</v>
      </c>
      <c r="E1254">
        <v>0</v>
      </c>
      <c r="F1254">
        <v>334</v>
      </c>
      <c r="G1254">
        <v>0</v>
      </c>
      <c r="H1254" t="s">
        <v>6181</v>
      </c>
      <c r="I1254">
        <v>1388</v>
      </c>
      <c r="J1254" t="e">
        <f>VLOOKUP(E1254,DSSpieler!A:B,2,FALSE)</f>
        <v>#N/A</v>
      </c>
    </row>
    <row r="1255" spans="1:10" x14ac:dyDescent="0.25">
      <c r="A1255">
        <v>1389</v>
      </c>
      <c r="B1255" t="s">
        <v>31071</v>
      </c>
      <c r="C1255">
        <v>514</v>
      </c>
      <c r="D1255">
        <v>514</v>
      </c>
      <c r="E1255">
        <v>8011870</v>
      </c>
      <c r="F1255">
        <v>6362</v>
      </c>
      <c r="G1255">
        <v>0</v>
      </c>
      <c r="H1255" t="s">
        <v>6182</v>
      </c>
      <c r="I1255">
        <v>1389</v>
      </c>
      <c r="J1255" t="str">
        <f>VLOOKUP(E1255,DSSpieler!A:B,2,FALSE)</f>
        <v>Kulle.jr</v>
      </c>
    </row>
    <row r="1256" spans="1:10" x14ac:dyDescent="0.25">
      <c r="A1256">
        <v>1390</v>
      </c>
      <c r="B1256" t="s">
        <v>31072</v>
      </c>
      <c r="C1256">
        <v>517</v>
      </c>
      <c r="D1256">
        <v>505</v>
      </c>
      <c r="E1256">
        <v>8370596</v>
      </c>
      <c r="F1256">
        <v>8828</v>
      </c>
      <c r="G1256">
        <v>0</v>
      </c>
      <c r="H1256" t="s">
        <v>6183</v>
      </c>
      <c r="I1256">
        <v>1390</v>
      </c>
      <c r="J1256" t="str">
        <f>VLOOKUP(E1256,DSSpieler!A:B,2,FALSE)</f>
        <v>aL3xEy</v>
      </c>
    </row>
    <row r="1257" spans="1:10" x14ac:dyDescent="0.25">
      <c r="A1257">
        <v>1391</v>
      </c>
      <c r="B1257" t="s">
        <v>31073</v>
      </c>
      <c r="C1257">
        <v>519</v>
      </c>
      <c r="D1257">
        <v>500</v>
      </c>
      <c r="E1257">
        <v>1576084016</v>
      </c>
      <c r="F1257">
        <v>7293</v>
      </c>
      <c r="G1257">
        <v>0</v>
      </c>
      <c r="H1257" t="s">
        <v>6184</v>
      </c>
      <c r="I1257">
        <v>1391</v>
      </c>
      <c r="J1257" t="str">
        <f>VLOOKUP(E1257,DSSpieler!A:B,2,FALSE)</f>
        <v>threeplayer</v>
      </c>
    </row>
    <row r="1258" spans="1:10" x14ac:dyDescent="0.25">
      <c r="A1258">
        <v>1392</v>
      </c>
      <c r="B1258" t="s">
        <v>783</v>
      </c>
      <c r="C1258">
        <v>515</v>
      </c>
      <c r="D1258">
        <v>515</v>
      </c>
      <c r="E1258">
        <v>8945393</v>
      </c>
      <c r="F1258">
        <v>7647</v>
      </c>
      <c r="G1258">
        <v>0</v>
      </c>
      <c r="H1258" t="s">
        <v>6185</v>
      </c>
      <c r="I1258">
        <v>1392</v>
      </c>
      <c r="J1258" t="str">
        <f>VLOOKUP(E1258,DSSpieler!A:B,2,FALSE)</f>
        <v>Maus-15</v>
      </c>
    </row>
    <row r="1259" spans="1:10" x14ac:dyDescent="0.25">
      <c r="A1259">
        <v>1393</v>
      </c>
      <c r="B1259" t="s">
        <v>31074</v>
      </c>
      <c r="C1259">
        <v>516</v>
      </c>
      <c r="D1259">
        <v>513</v>
      </c>
      <c r="E1259">
        <v>9374247</v>
      </c>
      <c r="F1259">
        <v>7435</v>
      </c>
      <c r="G1259">
        <v>0</v>
      </c>
      <c r="H1259" t="s">
        <v>6186</v>
      </c>
      <c r="I1259">
        <v>1393</v>
      </c>
      <c r="J1259" t="str">
        <f>VLOOKUP(E1259,DSSpieler!A:B,2,FALSE)</f>
        <v>tik99</v>
      </c>
    </row>
    <row r="1260" spans="1:10" x14ac:dyDescent="0.25">
      <c r="A1260">
        <v>1394</v>
      </c>
      <c r="B1260" t="s">
        <v>31075</v>
      </c>
      <c r="C1260">
        <v>513</v>
      </c>
      <c r="D1260">
        <v>510</v>
      </c>
      <c r="E1260">
        <v>1576023473</v>
      </c>
      <c r="F1260">
        <v>7021</v>
      </c>
      <c r="G1260">
        <v>0</v>
      </c>
      <c r="H1260" t="s">
        <v>6187</v>
      </c>
      <c r="I1260">
        <v>1394</v>
      </c>
      <c r="J1260" t="str">
        <f>VLOOKUP(E1260,DSSpieler!A:B,2,FALSE)</f>
        <v>sluik10</v>
      </c>
    </row>
    <row r="1261" spans="1:10" x14ac:dyDescent="0.25">
      <c r="A1261">
        <v>1395</v>
      </c>
      <c r="B1261" t="s">
        <v>31076</v>
      </c>
      <c r="C1261">
        <v>505</v>
      </c>
      <c r="D1261">
        <v>512</v>
      </c>
      <c r="E1261">
        <v>1577085351</v>
      </c>
      <c r="F1261">
        <v>4747</v>
      </c>
      <c r="G1261">
        <v>0</v>
      </c>
      <c r="H1261" t="s">
        <v>6188</v>
      </c>
      <c r="I1261">
        <v>1395</v>
      </c>
      <c r="J1261" t="str">
        <f>VLOOKUP(E1261,DSSpieler!A:B,2,FALSE)</f>
        <v>Hoschy</v>
      </c>
    </row>
    <row r="1262" spans="1:10" x14ac:dyDescent="0.25">
      <c r="A1262">
        <v>1396</v>
      </c>
      <c r="B1262" t="s">
        <v>784</v>
      </c>
      <c r="C1262">
        <v>514</v>
      </c>
      <c r="D1262">
        <v>510</v>
      </c>
      <c r="E1262">
        <v>1577131143</v>
      </c>
      <c r="F1262">
        <v>7032</v>
      </c>
      <c r="G1262">
        <v>0</v>
      </c>
      <c r="H1262" t="s">
        <v>6189</v>
      </c>
      <c r="I1262">
        <v>1396</v>
      </c>
      <c r="J1262" t="str">
        <f>VLOOKUP(E1262,DSSpieler!A:B,2,FALSE)</f>
        <v>Timgl97</v>
      </c>
    </row>
    <row r="1263" spans="1:10" x14ac:dyDescent="0.25">
      <c r="A1263">
        <v>1397</v>
      </c>
      <c r="B1263" t="s">
        <v>31077</v>
      </c>
      <c r="C1263">
        <v>519</v>
      </c>
      <c r="D1263">
        <v>513</v>
      </c>
      <c r="E1263">
        <v>1577138889</v>
      </c>
      <c r="F1263">
        <v>4699</v>
      </c>
      <c r="G1263">
        <v>0</v>
      </c>
      <c r="H1263" t="s">
        <v>6190</v>
      </c>
      <c r="I1263">
        <v>1397</v>
      </c>
      <c r="J1263" t="str">
        <f>VLOOKUP(E1263,DSSpieler!A:B,2,FALSE)</f>
        <v>XrelentlessX</v>
      </c>
    </row>
    <row r="1264" spans="1:10" x14ac:dyDescent="0.25">
      <c r="A1264">
        <v>1398</v>
      </c>
      <c r="B1264" t="s">
        <v>546</v>
      </c>
      <c r="C1264">
        <v>507</v>
      </c>
      <c r="D1264">
        <v>457</v>
      </c>
      <c r="E1264">
        <v>890198</v>
      </c>
      <c r="F1264">
        <v>4249</v>
      </c>
      <c r="G1264">
        <v>0</v>
      </c>
      <c r="H1264" t="s">
        <v>6191</v>
      </c>
      <c r="I1264">
        <v>1398</v>
      </c>
      <c r="J1264" t="str">
        <f>VLOOKUP(E1264,DSSpieler!A:B,2,FALSE)</f>
        <v>superkrauss</v>
      </c>
    </row>
    <row r="1265" spans="1:10" x14ac:dyDescent="0.25">
      <c r="A1265">
        <v>1399</v>
      </c>
      <c r="B1265" t="s">
        <v>546</v>
      </c>
      <c r="C1265">
        <v>502</v>
      </c>
      <c r="D1265">
        <v>458</v>
      </c>
      <c r="E1265">
        <v>1577197597</v>
      </c>
      <c r="F1265">
        <v>4947</v>
      </c>
      <c r="G1265">
        <v>0</v>
      </c>
      <c r="H1265" t="s">
        <v>6192</v>
      </c>
      <c r="I1265">
        <v>1399</v>
      </c>
      <c r="J1265" t="str">
        <f>VLOOKUP(E1265,DSSpieler!A:B,2,FALSE)</f>
        <v>Jimi30</v>
      </c>
    </row>
    <row r="1266" spans="1:10" x14ac:dyDescent="0.25">
      <c r="A1266">
        <v>1400</v>
      </c>
      <c r="B1266" t="s">
        <v>546</v>
      </c>
      <c r="C1266">
        <v>509</v>
      </c>
      <c r="D1266">
        <v>458</v>
      </c>
      <c r="E1266">
        <v>2182209</v>
      </c>
      <c r="F1266">
        <v>4452</v>
      </c>
      <c r="G1266">
        <v>0</v>
      </c>
      <c r="H1266" t="s">
        <v>6193</v>
      </c>
      <c r="I1266">
        <v>1400</v>
      </c>
      <c r="J1266" t="str">
        <f>VLOOKUP(E1266,DSSpieler!A:B,2,FALSE)</f>
        <v>zurük</v>
      </c>
    </row>
    <row r="1267" spans="1:10" x14ac:dyDescent="0.25">
      <c r="A1267">
        <v>1401</v>
      </c>
      <c r="B1267" t="s">
        <v>531</v>
      </c>
      <c r="C1267">
        <v>535</v>
      </c>
      <c r="D1267">
        <v>562</v>
      </c>
      <c r="E1267">
        <v>0</v>
      </c>
      <c r="F1267">
        <v>463</v>
      </c>
      <c r="G1267">
        <v>0</v>
      </c>
      <c r="H1267" t="s">
        <v>6194</v>
      </c>
      <c r="I1267">
        <v>1401</v>
      </c>
      <c r="J1267" t="e">
        <f>VLOOKUP(E1267,DSSpieler!A:B,2,FALSE)</f>
        <v>#N/A</v>
      </c>
    </row>
    <row r="1268" spans="1:10" x14ac:dyDescent="0.25">
      <c r="A1268">
        <v>1402</v>
      </c>
      <c r="B1268" t="s">
        <v>31078</v>
      </c>
      <c r="C1268">
        <v>498</v>
      </c>
      <c r="D1268">
        <v>498</v>
      </c>
      <c r="E1268">
        <v>1576960694</v>
      </c>
      <c r="F1268">
        <v>5814</v>
      </c>
      <c r="G1268">
        <v>0</v>
      </c>
      <c r="H1268" t="s">
        <v>6195</v>
      </c>
      <c r="I1268">
        <v>1402</v>
      </c>
      <c r="J1268" t="str">
        <f>VLOOKUP(E1268,DSSpieler!A:B,2,FALSE)</f>
        <v>nils005</v>
      </c>
    </row>
    <row r="1269" spans="1:10" x14ac:dyDescent="0.25">
      <c r="A1269">
        <v>1403</v>
      </c>
      <c r="B1269" t="s">
        <v>31079</v>
      </c>
      <c r="C1269">
        <v>495</v>
      </c>
      <c r="D1269">
        <v>504</v>
      </c>
      <c r="E1269">
        <v>1577190877</v>
      </c>
      <c r="F1269">
        <v>5335</v>
      </c>
      <c r="G1269">
        <v>0</v>
      </c>
      <c r="H1269" t="s">
        <v>6196</v>
      </c>
      <c r="I1269">
        <v>1403</v>
      </c>
      <c r="J1269" t="str">
        <f>VLOOKUP(E1269,DSSpieler!A:B,2,FALSE)</f>
        <v>laloco</v>
      </c>
    </row>
    <row r="1270" spans="1:10" x14ac:dyDescent="0.25">
      <c r="A1270">
        <v>1404</v>
      </c>
      <c r="B1270" t="e">
        <f>-1-+Ehrenfeld</f>
        <v>#NAME?</v>
      </c>
      <c r="C1270">
        <v>495</v>
      </c>
      <c r="D1270">
        <v>498</v>
      </c>
      <c r="E1270">
        <v>1577195481</v>
      </c>
      <c r="F1270">
        <v>6048</v>
      </c>
      <c r="G1270">
        <v>0</v>
      </c>
      <c r="H1270" t="s">
        <v>6197</v>
      </c>
      <c r="I1270">
        <v>1404</v>
      </c>
      <c r="J1270" t="str">
        <f>VLOOKUP(E1270,DSSpieler!A:B,2,FALSE)</f>
        <v>alex27</v>
      </c>
    </row>
    <row r="1271" spans="1:10" x14ac:dyDescent="0.25">
      <c r="A1271">
        <v>1405</v>
      </c>
      <c r="B1271" t="s">
        <v>31080</v>
      </c>
      <c r="C1271">
        <v>491</v>
      </c>
      <c r="D1271">
        <v>500</v>
      </c>
      <c r="E1271">
        <v>1577190877</v>
      </c>
      <c r="F1271">
        <v>5054</v>
      </c>
      <c r="G1271">
        <v>0</v>
      </c>
      <c r="H1271" t="s">
        <v>6198</v>
      </c>
      <c r="I1271">
        <v>1405</v>
      </c>
      <c r="J1271" t="str">
        <f>VLOOKUP(E1271,DSSpieler!A:B,2,FALSE)</f>
        <v>laloco</v>
      </c>
    </row>
    <row r="1272" spans="1:10" x14ac:dyDescent="0.25">
      <c r="A1272">
        <v>1406</v>
      </c>
      <c r="B1272" t="s">
        <v>31081</v>
      </c>
      <c r="C1272">
        <v>489</v>
      </c>
      <c r="D1272">
        <v>494</v>
      </c>
      <c r="E1272">
        <v>1577197045</v>
      </c>
      <c r="F1272">
        <v>7551</v>
      </c>
      <c r="G1272">
        <v>0</v>
      </c>
      <c r="H1272" t="s">
        <v>6199</v>
      </c>
      <c r="I1272">
        <v>1406</v>
      </c>
      <c r="J1272" t="str">
        <f>VLOOKUP(E1272,DSSpieler!A:B,2,FALSE)</f>
        <v>Horst2000</v>
      </c>
    </row>
    <row r="1273" spans="1:10" x14ac:dyDescent="0.25">
      <c r="A1273">
        <v>1407</v>
      </c>
      <c r="B1273" t="s">
        <v>31082</v>
      </c>
      <c r="C1273">
        <v>503</v>
      </c>
      <c r="D1273">
        <v>489</v>
      </c>
      <c r="E1273">
        <v>9505197</v>
      </c>
      <c r="F1273">
        <v>6741</v>
      </c>
      <c r="G1273">
        <v>0</v>
      </c>
      <c r="H1273" t="s">
        <v>6200</v>
      </c>
      <c r="I1273">
        <v>1407</v>
      </c>
      <c r="J1273" t="str">
        <f>VLOOKUP(E1273,DSSpieler!A:B,2,FALSE)</f>
        <v>Acroon</v>
      </c>
    </row>
    <row r="1274" spans="1:10" x14ac:dyDescent="0.25">
      <c r="A1274">
        <v>1408</v>
      </c>
      <c r="B1274" t="s">
        <v>531</v>
      </c>
      <c r="C1274">
        <v>483</v>
      </c>
      <c r="D1274">
        <v>464</v>
      </c>
      <c r="E1274">
        <v>0</v>
      </c>
      <c r="F1274">
        <v>491</v>
      </c>
      <c r="G1274">
        <v>0</v>
      </c>
      <c r="H1274" t="s">
        <v>6201</v>
      </c>
      <c r="I1274">
        <v>1408</v>
      </c>
      <c r="J1274" t="e">
        <f>VLOOKUP(E1274,DSSpieler!A:B,2,FALSE)</f>
        <v>#N/A</v>
      </c>
    </row>
    <row r="1275" spans="1:10" x14ac:dyDescent="0.25">
      <c r="A1275">
        <v>1409</v>
      </c>
      <c r="B1275" t="s">
        <v>31083</v>
      </c>
      <c r="C1275">
        <v>504</v>
      </c>
      <c r="D1275">
        <v>487</v>
      </c>
      <c r="E1275">
        <v>9807053</v>
      </c>
      <c r="F1275">
        <v>8011</v>
      </c>
      <c r="G1275">
        <v>0</v>
      </c>
      <c r="H1275" t="s">
        <v>6202</v>
      </c>
      <c r="I1275">
        <v>1409</v>
      </c>
      <c r="J1275" t="str">
        <f>VLOOKUP(E1275,DSSpieler!A:B,2,FALSE)</f>
        <v>FreakyBasher</v>
      </c>
    </row>
    <row r="1276" spans="1:10" x14ac:dyDescent="0.25">
      <c r="A1276">
        <v>1410</v>
      </c>
      <c r="B1276" t="s">
        <v>772</v>
      </c>
      <c r="C1276">
        <v>495</v>
      </c>
      <c r="D1276">
        <v>482</v>
      </c>
      <c r="E1276">
        <v>1577034825</v>
      </c>
      <c r="F1276">
        <v>6501</v>
      </c>
      <c r="G1276">
        <v>0</v>
      </c>
      <c r="H1276" t="s">
        <v>6203</v>
      </c>
      <c r="I1276">
        <v>1410</v>
      </c>
      <c r="J1276" t="str">
        <f>VLOOKUP(E1276,DSSpieler!A:B,2,FALSE)</f>
        <v>Schnuckenack Reinhardt</v>
      </c>
    </row>
    <row r="1277" spans="1:10" x14ac:dyDescent="0.25">
      <c r="A1277">
        <v>1411</v>
      </c>
      <c r="B1277" t="s">
        <v>785</v>
      </c>
      <c r="C1277">
        <v>485</v>
      </c>
      <c r="D1277">
        <v>496</v>
      </c>
      <c r="E1277">
        <v>1577073003</v>
      </c>
      <c r="F1277">
        <v>1852</v>
      </c>
      <c r="G1277">
        <v>0</v>
      </c>
      <c r="H1277" t="s">
        <v>6204</v>
      </c>
      <c r="I1277">
        <v>1411</v>
      </c>
      <c r="J1277" t="str">
        <f>VLOOKUP(E1277,DSSpieler!A:B,2,FALSE)</f>
        <v>CommanderAli</v>
      </c>
    </row>
    <row r="1278" spans="1:10" x14ac:dyDescent="0.25">
      <c r="A1278">
        <v>1412</v>
      </c>
      <c r="B1278" t="s">
        <v>31084</v>
      </c>
      <c r="C1278">
        <v>591</v>
      </c>
      <c r="D1278">
        <v>519</v>
      </c>
      <c r="E1278">
        <v>483392</v>
      </c>
      <c r="F1278">
        <v>5054</v>
      </c>
      <c r="G1278">
        <v>0</v>
      </c>
      <c r="H1278" t="s">
        <v>6205</v>
      </c>
      <c r="I1278">
        <v>1412</v>
      </c>
      <c r="J1278" t="str">
        <f>VLOOKUP(E1278,DSSpieler!A:B,2,FALSE)</f>
        <v>Harald Krull</v>
      </c>
    </row>
    <row r="1279" spans="1:10" x14ac:dyDescent="0.25">
      <c r="A1279">
        <v>1413</v>
      </c>
      <c r="B1279" t="s">
        <v>31085</v>
      </c>
      <c r="C1279">
        <v>599</v>
      </c>
      <c r="D1279">
        <v>520</v>
      </c>
      <c r="E1279">
        <v>971800</v>
      </c>
      <c r="F1279">
        <v>6524</v>
      </c>
      <c r="G1279">
        <v>0</v>
      </c>
      <c r="H1279" t="s">
        <v>6206</v>
      </c>
      <c r="I1279">
        <v>1413</v>
      </c>
      <c r="J1279" t="str">
        <f>VLOOKUP(E1279,DSSpieler!A:B,2,FALSE)</f>
        <v>Moritz148</v>
      </c>
    </row>
    <row r="1280" spans="1:10" x14ac:dyDescent="0.25">
      <c r="A1280">
        <v>1414</v>
      </c>
      <c r="B1280" t="s">
        <v>31086</v>
      </c>
      <c r="C1280">
        <v>599</v>
      </c>
      <c r="D1280">
        <v>536</v>
      </c>
      <c r="E1280">
        <v>8785138</v>
      </c>
      <c r="F1280">
        <v>3914</v>
      </c>
      <c r="G1280">
        <v>0</v>
      </c>
      <c r="H1280" t="s">
        <v>6207</v>
      </c>
      <c r="I1280">
        <v>1414</v>
      </c>
      <c r="J1280" t="str">
        <f>VLOOKUP(E1280,DSSpieler!A:B,2,FALSE)</f>
        <v>Coer de Lion II</v>
      </c>
    </row>
    <row r="1281" spans="1:10" x14ac:dyDescent="0.25">
      <c r="A1281">
        <v>1415</v>
      </c>
      <c r="B1281" t="s">
        <v>786</v>
      </c>
      <c r="C1281">
        <v>598</v>
      </c>
      <c r="D1281">
        <v>546</v>
      </c>
      <c r="E1281">
        <v>1577185269</v>
      </c>
      <c r="F1281">
        <v>409</v>
      </c>
      <c r="G1281">
        <v>0</v>
      </c>
      <c r="H1281" t="s">
        <v>6208</v>
      </c>
      <c r="I1281">
        <v>1415</v>
      </c>
      <c r="J1281" t="str">
        <f>VLOOKUP(E1281,DSSpieler!A:B,2,FALSE)</f>
        <v>Manyak1</v>
      </c>
    </row>
    <row r="1282" spans="1:10" x14ac:dyDescent="0.25">
      <c r="A1282">
        <v>1416</v>
      </c>
      <c r="B1282" t="s">
        <v>780</v>
      </c>
      <c r="C1282">
        <v>606</v>
      </c>
      <c r="D1282">
        <v>528</v>
      </c>
      <c r="E1282">
        <v>1577162986</v>
      </c>
      <c r="F1282">
        <v>5355</v>
      </c>
      <c r="G1282">
        <v>0</v>
      </c>
      <c r="H1282" t="s">
        <v>6209</v>
      </c>
      <c r="I1282">
        <v>1416</v>
      </c>
      <c r="J1282" t="str">
        <f>VLOOKUP(E1282,DSSpieler!A:B,2,FALSE)</f>
        <v>Imperator Baked</v>
      </c>
    </row>
    <row r="1283" spans="1:10" x14ac:dyDescent="0.25">
      <c r="A1283">
        <v>1417</v>
      </c>
      <c r="B1283" t="s">
        <v>780</v>
      </c>
      <c r="C1283">
        <v>608</v>
      </c>
      <c r="D1283">
        <v>528</v>
      </c>
      <c r="E1283">
        <v>1577162986</v>
      </c>
      <c r="F1283">
        <v>5512</v>
      </c>
      <c r="G1283">
        <v>0</v>
      </c>
      <c r="H1283" t="s">
        <v>6210</v>
      </c>
      <c r="I1283">
        <v>1417</v>
      </c>
      <c r="J1283" t="str">
        <f>VLOOKUP(E1283,DSSpieler!A:B,2,FALSE)</f>
        <v>Imperator Baked</v>
      </c>
    </row>
    <row r="1284" spans="1:10" x14ac:dyDescent="0.25">
      <c r="A1284">
        <v>1418</v>
      </c>
      <c r="B1284" t="s">
        <v>780</v>
      </c>
      <c r="C1284">
        <v>601</v>
      </c>
      <c r="D1284">
        <v>543</v>
      </c>
      <c r="E1284">
        <v>8645048</v>
      </c>
      <c r="F1284">
        <v>6292</v>
      </c>
      <c r="G1284">
        <v>0</v>
      </c>
      <c r="H1284" t="s">
        <v>6211</v>
      </c>
      <c r="I1284">
        <v>1418</v>
      </c>
      <c r="J1284" t="str">
        <f>VLOOKUP(E1284,DSSpieler!A:B,2,FALSE)</f>
        <v>HeinBlöd</v>
      </c>
    </row>
    <row r="1285" spans="1:10" x14ac:dyDescent="0.25">
      <c r="A1285">
        <v>1419</v>
      </c>
      <c r="B1285" t="s">
        <v>780</v>
      </c>
      <c r="C1285">
        <v>604</v>
      </c>
      <c r="D1285">
        <v>544</v>
      </c>
      <c r="E1285">
        <v>1577070025</v>
      </c>
      <c r="F1285">
        <v>7357</v>
      </c>
      <c r="G1285">
        <v>0</v>
      </c>
      <c r="H1285" t="s">
        <v>6212</v>
      </c>
      <c r="I1285">
        <v>1419</v>
      </c>
      <c r="J1285" t="str">
        <f>VLOOKUP(E1285,DSSpieler!A:B,2,FALSE)</f>
        <v>SteveIRL07</v>
      </c>
    </row>
    <row r="1286" spans="1:10" x14ac:dyDescent="0.25">
      <c r="A1286">
        <v>1420</v>
      </c>
      <c r="B1286" t="s">
        <v>531</v>
      </c>
      <c r="C1286">
        <v>474</v>
      </c>
      <c r="D1286">
        <v>426</v>
      </c>
      <c r="E1286">
        <v>0</v>
      </c>
      <c r="F1286">
        <v>274</v>
      </c>
      <c r="G1286">
        <v>0</v>
      </c>
      <c r="H1286" t="s">
        <v>6213</v>
      </c>
      <c r="I1286">
        <v>1420</v>
      </c>
      <c r="J1286" t="e">
        <f>VLOOKUP(E1286,DSSpieler!A:B,2,FALSE)</f>
        <v>#N/A</v>
      </c>
    </row>
    <row r="1287" spans="1:10" x14ac:dyDescent="0.25">
      <c r="A1287">
        <v>1421</v>
      </c>
      <c r="B1287" t="s">
        <v>31088</v>
      </c>
      <c r="C1287">
        <v>599</v>
      </c>
      <c r="D1287">
        <v>532</v>
      </c>
      <c r="E1287">
        <v>8785138</v>
      </c>
      <c r="F1287">
        <v>2639</v>
      </c>
      <c r="G1287">
        <v>0</v>
      </c>
      <c r="H1287" t="s">
        <v>6214</v>
      </c>
      <c r="I1287">
        <v>1421</v>
      </c>
      <c r="J1287" t="str">
        <f>VLOOKUP(E1287,DSSpieler!A:B,2,FALSE)</f>
        <v>Coer de Lion II</v>
      </c>
    </row>
    <row r="1288" spans="1:10" x14ac:dyDescent="0.25">
      <c r="A1288">
        <v>1423</v>
      </c>
      <c r="B1288" t="s">
        <v>531</v>
      </c>
      <c r="C1288">
        <v>506</v>
      </c>
      <c r="D1288">
        <v>453</v>
      </c>
      <c r="E1288">
        <v>0</v>
      </c>
      <c r="F1288">
        <v>469</v>
      </c>
      <c r="G1288">
        <v>0</v>
      </c>
      <c r="H1288" t="s">
        <v>6215</v>
      </c>
      <c r="I1288">
        <v>1423</v>
      </c>
      <c r="J1288" t="e">
        <f>VLOOKUP(E1288,DSSpieler!A:B,2,FALSE)</f>
        <v>#N/A</v>
      </c>
    </row>
    <row r="1289" spans="1:10" x14ac:dyDescent="0.25">
      <c r="A1289">
        <v>1424</v>
      </c>
      <c r="B1289" t="s">
        <v>787</v>
      </c>
      <c r="C1289">
        <v>595</v>
      </c>
      <c r="D1289">
        <v>520</v>
      </c>
      <c r="E1289">
        <v>483392</v>
      </c>
      <c r="F1289">
        <v>4318</v>
      </c>
      <c r="G1289">
        <v>0</v>
      </c>
      <c r="H1289" t="s">
        <v>6216</v>
      </c>
      <c r="I1289">
        <v>1424</v>
      </c>
      <c r="J1289" t="str">
        <f>VLOOKUP(E1289,DSSpieler!A:B,2,FALSE)</f>
        <v>Harald Krull</v>
      </c>
    </row>
    <row r="1290" spans="1:10" x14ac:dyDescent="0.25">
      <c r="A1290">
        <v>1425</v>
      </c>
      <c r="B1290" t="s">
        <v>31089</v>
      </c>
      <c r="C1290">
        <v>597</v>
      </c>
      <c r="D1290">
        <v>547</v>
      </c>
      <c r="E1290">
        <v>1576948108</v>
      </c>
      <c r="F1290">
        <v>21</v>
      </c>
      <c r="G1290">
        <v>0</v>
      </c>
      <c r="H1290" t="s">
        <v>6217</v>
      </c>
      <c r="I1290">
        <v>1425</v>
      </c>
      <c r="J1290" t="str">
        <f>VLOOKUP(E1290,DSSpieler!A:B,2,FALSE)</f>
        <v>Revy2603</v>
      </c>
    </row>
    <row r="1291" spans="1:10" x14ac:dyDescent="0.25">
      <c r="A1291">
        <v>1426</v>
      </c>
      <c r="B1291" t="s">
        <v>31090</v>
      </c>
      <c r="C1291">
        <v>593</v>
      </c>
      <c r="D1291">
        <v>543</v>
      </c>
      <c r="E1291">
        <v>2679744</v>
      </c>
      <c r="F1291">
        <v>4058</v>
      </c>
      <c r="G1291">
        <v>0</v>
      </c>
      <c r="H1291" t="s">
        <v>6218</v>
      </c>
      <c r="I1291">
        <v>1426</v>
      </c>
      <c r="J1291" t="str">
        <f>VLOOKUP(E1291,DSSpieler!A:B,2,FALSE)</f>
        <v>tortelinie</v>
      </c>
    </row>
    <row r="1292" spans="1:10" x14ac:dyDescent="0.25">
      <c r="A1292">
        <v>1427</v>
      </c>
      <c r="B1292" t="s">
        <v>531</v>
      </c>
      <c r="C1292">
        <v>558</v>
      </c>
      <c r="D1292">
        <v>502</v>
      </c>
      <c r="E1292">
        <v>0</v>
      </c>
      <c r="F1292">
        <v>272</v>
      </c>
      <c r="G1292">
        <v>0</v>
      </c>
      <c r="H1292" t="s">
        <v>6219</v>
      </c>
      <c r="I1292">
        <v>1427</v>
      </c>
      <c r="J1292" t="e">
        <f>VLOOKUP(E1292,DSSpieler!A:B,2,FALSE)</f>
        <v>#N/A</v>
      </c>
    </row>
    <row r="1293" spans="1:10" x14ac:dyDescent="0.25">
      <c r="A1293">
        <v>1428</v>
      </c>
      <c r="B1293" t="s">
        <v>531</v>
      </c>
      <c r="C1293">
        <v>554</v>
      </c>
      <c r="D1293">
        <v>492</v>
      </c>
      <c r="E1293">
        <v>0</v>
      </c>
      <c r="F1293">
        <v>654</v>
      </c>
      <c r="G1293">
        <v>0</v>
      </c>
      <c r="H1293" t="s">
        <v>6220</v>
      </c>
      <c r="I1293">
        <v>1428</v>
      </c>
      <c r="J1293" t="e">
        <f>VLOOKUP(E1293,DSSpieler!A:B,2,FALSE)</f>
        <v>#N/A</v>
      </c>
    </row>
    <row r="1294" spans="1:10" x14ac:dyDescent="0.25">
      <c r="A1294">
        <v>1430</v>
      </c>
      <c r="B1294" t="s">
        <v>31091</v>
      </c>
      <c r="C1294">
        <v>596</v>
      </c>
      <c r="D1294">
        <v>526</v>
      </c>
      <c r="E1294">
        <v>1577200180</v>
      </c>
      <c r="F1294">
        <v>3202</v>
      </c>
      <c r="G1294">
        <v>0</v>
      </c>
      <c r="H1294" t="s">
        <v>6221</v>
      </c>
      <c r="I1294">
        <v>1430</v>
      </c>
      <c r="J1294" t="str">
        <f>VLOOKUP(E1294,DSSpieler!A:B,2,FALSE)</f>
        <v>LadyTyrann</v>
      </c>
    </row>
    <row r="1295" spans="1:10" x14ac:dyDescent="0.25">
      <c r="A1295">
        <v>1431</v>
      </c>
      <c r="B1295" t="s">
        <v>31092</v>
      </c>
      <c r="C1295">
        <v>598</v>
      </c>
      <c r="D1295">
        <v>534</v>
      </c>
      <c r="E1295">
        <v>1576916314</v>
      </c>
      <c r="F1295">
        <v>5718</v>
      </c>
      <c r="G1295">
        <v>0</v>
      </c>
      <c r="H1295" t="s">
        <v>6222</v>
      </c>
      <c r="I1295">
        <v>1431</v>
      </c>
      <c r="J1295" t="str">
        <f>VLOOKUP(E1295,DSSpieler!A:B,2,FALSE)</f>
        <v>MatzeX</v>
      </c>
    </row>
    <row r="1296" spans="1:10" x14ac:dyDescent="0.25">
      <c r="A1296">
        <v>1432</v>
      </c>
      <c r="B1296" t="s">
        <v>30483</v>
      </c>
      <c r="C1296">
        <v>585</v>
      </c>
      <c r="D1296">
        <v>552</v>
      </c>
      <c r="E1296">
        <v>1577181347</v>
      </c>
      <c r="F1296">
        <v>6159</v>
      </c>
      <c r="G1296">
        <v>0</v>
      </c>
      <c r="H1296" t="s">
        <v>6223</v>
      </c>
      <c r="I1296">
        <v>1432</v>
      </c>
      <c r="J1296" t="str">
        <f>VLOOKUP(E1296,DSSpieler!A:B,2,FALSE)</f>
        <v>Ach Wirklich?</v>
      </c>
    </row>
    <row r="1297" spans="1:10" x14ac:dyDescent="0.25">
      <c r="A1297">
        <v>1433</v>
      </c>
      <c r="B1297" t="s">
        <v>788</v>
      </c>
      <c r="C1297">
        <v>593</v>
      </c>
      <c r="D1297">
        <v>556</v>
      </c>
      <c r="E1297">
        <v>1577196280</v>
      </c>
      <c r="F1297">
        <v>5609</v>
      </c>
      <c r="G1297">
        <v>0</v>
      </c>
      <c r="H1297" t="s">
        <v>6224</v>
      </c>
      <c r="I1297">
        <v>1433</v>
      </c>
      <c r="J1297" t="str">
        <f>VLOOKUP(E1297,DSSpieler!A:B,2,FALSE)</f>
        <v>Toller Hecht</v>
      </c>
    </row>
    <row r="1298" spans="1:10" x14ac:dyDescent="0.25">
      <c r="A1298">
        <v>1434</v>
      </c>
      <c r="B1298" t="s">
        <v>31093</v>
      </c>
      <c r="C1298">
        <v>603</v>
      </c>
      <c r="D1298">
        <v>534</v>
      </c>
      <c r="E1298">
        <v>1577163397</v>
      </c>
      <c r="F1298">
        <v>3805</v>
      </c>
      <c r="G1298">
        <v>0</v>
      </c>
      <c r="H1298" t="s">
        <v>6225</v>
      </c>
      <c r="I1298">
        <v>1434</v>
      </c>
      <c r="J1298" t="str">
        <f>VLOOKUP(E1298,DSSpieler!A:B,2,FALSE)</f>
        <v>derBabadook</v>
      </c>
    </row>
    <row r="1299" spans="1:10" x14ac:dyDescent="0.25">
      <c r="A1299">
        <v>1435</v>
      </c>
      <c r="B1299" t="s">
        <v>780</v>
      </c>
      <c r="C1299">
        <v>610</v>
      </c>
      <c r="D1299">
        <v>523</v>
      </c>
      <c r="E1299">
        <v>767751</v>
      </c>
      <c r="F1299">
        <v>5126</v>
      </c>
      <c r="G1299">
        <v>0</v>
      </c>
      <c r="H1299" t="s">
        <v>6226</v>
      </c>
      <c r="I1299">
        <v>1435</v>
      </c>
      <c r="J1299" t="str">
        <f>VLOOKUP(E1299,DSSpieler!A:B,2,FALSE)</f>
        <v>Go D. Usopp</v>
      </c>
    </row>
    <row r="1300" spans="1:10" x14ac:dyDescent="0.25">
      <c r="A1300">
        <v>1437</v>
      </c>
      <c r="B1300" t="s">
        <v>672</v>
      </c>
      <c r="C1300">
        <v>601</v>
      </c>
      <c r="D1300">
        <v>532</v>
      </c>
      <c r="E1300">
        <v>1577117790</v>
      </c>
      <c r="F1300">
        <v>3752</v>
      </c>
      <c r="G1300">
        <v>0</v>
      </c>
      <c r="H1300" t="s">
        <v>6227</v>
      </c>
      <c r="I1300">
        <v>1437</v>
      </c>
      <c r="J1300" t="str">
        <f>VLOOKUP(E1300,DSSpieler!A:B,2,FALSE)</f>
        <v>philandfred</v>
      </c>
    </row>
    <row r="1301" spans="1:10" x14ac:dyDescent="0.25">
      <c r="A1301">
        <v>1440</v>
      </c>
      <c r="B1301" t="s">
        <v>31094</v>
      </c>
      <c r="C1301">
        <v>444</v>
      </c>
      <c r="D1301">
        <v>448</v>
      </c>
      <c r="E1301">
        <v>7627920</v>
      </c>
      <c r="F1301">
        <v>1325</v>
      </c>
      <c r="G1301">
        <v>0</v>
      </c>
      <c r="H1301" t="s">
        <v>6228</v>
      </c>
      <c r="I1301">
        <v>1440</v>
      </c>
      <c r="J1301" t="str">
        <f>VLOOKUP(E1301,DSSpieler!A:B,2,FALSE)</f>
        <v>bekloppter09</v>
      </c>
    </row>
    <row r="1302" spans="1:10" x14ac:dyDescent="0.25">
      <c r="A1302">
        <v>1441</v>
      </c>
      <c r="B1302" t="s">
        <v>789</v>
      </c>
      <c r="C1302">
        <v>591</v>
      </c>
      <c r="D1302">
        <v>480</v>
      </c>
      <c r="E1302">
        <v>1577186055</v>
      </c>
      <c r="F1302">
        <v>5845</v>
      </c>
      <c r="G1302">
        <v>0</v>
      </c>
      <c r="H1302" t="s">
        <v>6229</v>
      </c>
      <c r="I1302">
        <v>1441</v>
      </c>
      <c r="J1302" t="str">
        <f>VLOOKUP(E1302,DSSpieler!A:B,2,FALSE)</f>
        <v>Motueka</v>
      </c>
    </row>
    <row r="1303" spans="1:10" x14ac:dyDescent="0.25">
      <c r="A1303">
        <v>1442</v>
      </c>
      <c r="B1303" t="s">
        <v>790</v>
      </c>
      <c r="C1303">
        <v>604</v>
      </c>
      <c r="D1303">
        <v>473</v>
      </c>
      <c r="E1303">
        <v>10007206</v>
      </c>
      <c r="F1303">
        <v>3272</v>
      </c>
      <c r="G1303">
        <v>0</v>
      </c>
      <c r="H1303" t="s">
        <v>6230</v>
      </c>
      <c r="I1303">
        <v>1442</v>
      </c>
      <c r="J1303" t="str">
        <f>VLOOKUP(E1303,DSSpieler!A:B,2,FALSE)</f>
        <v>Pr3stig3</v>
      </c>
    </row>
    <row r="1304" spans="1:10" x14ac:dyDescent="0.25">
      <c r="A1304">
        <v>1443</v>
      </c>
      <c r="B1304" t="s">
        <v>791</v>
      </c>
      <c r="C1304">
        <v>606</v>
      </c>
      <c r="D1304">
        <v>485</v>
      </c>
      <c r="E1304">
        <v>1577198833</v>
      </c>
      <c r="F1304">
        <v>4194</v>
      </c>
      <c r="G1304">
        <v>0</v>
      </c>
      <c r="H1304" t="s">
        <v>6231</v>
      </c>
      <c r="I1304">
        <v>1443</v>
      </c>
      <c r="J1304" t="str">
        <f>VLOOKUP(E1304,DSSpieler!A:B,2,FALSE)</f>
        <v>greenwolf94</v>
      </c>
    </row>
    <row r="1305" spans="1:10" x14ac:dyDescent="0.25">
      <c r="A1305">
        <v>1445</v>
      </c>
      <c r="B1305" t="s">
        <v>31095</v>
      </c>
      <c r="C1305">
        <v>582</v>
      </c>
      <c r="D1305">
        <v>480</v>
      </c>
      <c r="E1305">
        <v>1222990</v>
      </c>
      <c r="F1305">
        <v>2984</v>
      </c>
      <c r="G1305">
        <v>0</v>
      </c>
      <c r="H1305" t="s">
        <v>6232</v>
      </c>
      <c r="I1305">
        <v>1445</v>
      </c>
      <c r="J1305" t="str">
        <f>VLOOKUP(E1305,DSSpieler!A:B,2,FALSE)</f>
        <v>saicxs</v>
      </c>
    </row>
    <row r="1306" spans="1:10" x14ac:dyDescent="0.25">
      <c r="A1306">
        <v>1446</v>
      </c>
      <c r="B1306" t="s">
        <v>31096</v>
      </c>
      <c r="C1306">
        <v>607</v>
      </c>
      <c r="D1306">
        <v>485</v>
      </c>
      <c r="E1306">
        <v>1577186212</v>
      </c>
      <c r="F1306">
        <v>4398</v>
      </c>
      <c r="G1306">
        <v>0</v>
      </c>
      <c r="H1306" t="s">
        <v>6233</v>
      </c>
      <c r="I1306">
        <v>1446</v>
      </c>
      <c r="J1306" t="str">
        <f>VLOOKUP(E1306,DSSpieler!A:B,2,FALSE)</f>
        <v>HateMyName</v>
      </c>
    </row>
    <row r="1307" spans="1:10" x14ac:dyDescent="0.25">
      <c r="A1307">
        <v>1447</v>
      </c>
      <c r="B1307" t="s">
        <v>31097</v>
      </c>
      <c r="C1307">
        <v>500</v>
      </c>
      <c r="D1307">
        <v>482</v>
      </c>
      <c r="E1307">
        <v>1577195967</v>
      </c>
      <c r="F1307">
        <v>2040</v>
      </c>
      <c r="G1307">
        <v>0</v>
      </c>
      <c r="H1307" t="s">
        <v>6234</v>
      </c>
      <c r="I1307">
        <v>1447</v>
      </c>
      <c r="J1307" t="str">
        <f>VLOOKUP(E1307,DSSpieler!A:B,2,FALSE)</f>
        <v>Goggei</v>
      </c>
    </row>
    <row r="1308" spans="1:10" x14ac:dyDescent="0.25">
      <c r="A1308">
        <v>1448</v>
      </c>
      <c r="B1308" t="s">
        <v>31082</v>
      </c>
      <c r="C1308">
        <v>499</v>
      </c>
      <c r="D1308">
        <v>485</v>
      </c>
      <c r="E1308">
        <v>9505197</v>
      </c>
      <c r="F1308">
        <v>4734</v>
      </c>
      <c r="G1308">
        <v>0</v>
      </c>
      <c r="H1308" t="s">
        <v>6235</v>
      </c>
      <c r="I1308">
        <v>1448</v>
      </c>
      <c r="J1308" t="str">
        <f>VLOOKUP(E1308,DSSpieler!A:B,2,FALSE)</f>
        <v>Acroon</v>
      </c>
    </row>
    <row r="1309" spans="1:10" x14ac:dyDescent="0.25">
      <c r="A1309">
        <v>1449</v>
      </c>
      <c r="B1309" t="s">
        <v>31098</v>
      </c>
      <c r="C1309">
        <v>512</v>
      </c>
      <c r="D1309">
        <v>395</v>
      </c>
      <c r="E1309">
        <v>1150935</v>
      </c>
      <c r="F1309">
        <v>7687</v>
      </c>
      <c r="G1309">
        <v>0</v>
      </c>
      <c r="H1309" t="s">
        <v>6236</v>
      </c>
      <c r="I1309">
        <v>1449</v>
      </c>
      <c r="J1309" t="str">
        <f>VLOOKUP(E1309,DSSpieler!A:B,2,FALSE)</f>
        <v>Darmstadt2</v>
      </c>
    </row>
    <row r="1310" spans="1:10" x14ac:dyDescent="0.25">
      <c r="A1310">
        <v>1450</v>
      </c>
      <c r="B1310" t="s">
        <v>31099</v>
      </c>
      <c r="C1310">
        <v>510</v>
      </c>
      <c r="D1310">
        <v>417</v>
      </c>
      <c r="E1310">
        <v>257652</v>
      </c>
      <c r="F1310">
        <v>7848</v>
      </c>
      <c r="G1310">
        <v>0</v>
      </c>
      <c r="H1310" t="s">
        <v>6237</v>
      </c>
      <c r="I1310">
        <v>1450</v>
      </c>
      <c r="J1310" t="str">
        <f>VLOOKUP(E1310,DSSpieler!A:B,2,FALSE)</f>
        <v>mpeG</v>
      </c>
    </row>
    <row r="1311" spans="1:10" x14ac:dyDescent="0.25">
      <c r="A1311">
        <v>1451</v>
      </c>
      <c r="B1311" t="s">
        <v>31100</v>
      </c>
      <c r="C1311">
        <v>501</v>
      </c>
      <c r="D1311">
        <v>401</v>
      </c>
      <c r="E1311">
        <v>9973706</v>
      </c>
      <c r="F1311">
        <v>2804</v>
      </c>
      <c r="G1311">
        <v>0</v>
      </c>
      <c r="H1311" t="s">
        <v>6238</v>
      </c>
      <c r="I1311">
        <v>1451</v>
      </c>
      <c r="J1311" t="str">
        <f>VLOOKUP(E1311,DSSpieler!A:B,2,FALSE)</f>
        <v>Strohhutpiraten</v>
      </c>
    </row>
    <row r="1312" spans="1:10" x14ac:dyDescent="0.25">
      <c r="A1312">
        <v>1452</v>
      </c>
      <c r="B1312" t="s">
        <v>31101</v>
      </c>
      <c r="C1312">
        <v>503</v>
      </c>
      <c r="D1312">
        <v>391</v>
      </c>
      <c r="E1312">
        <v>3485059</v>
      </c>
      <c r="F1312">
        <v>4379</v>
      </c>
      <c r="G1312">
        <v>0</v>
      </c>
      <c r="H1312" t="s">
        <v>6239</v>
      </c>
      <c r="I1312">
        <v>1452</v>
      </c>
      <c r="J1312" t="str">
        <f>VLOOKUP(E1312,DSSpieler!A:B,2,FALSE)</f>
        <v>esterhazy</v>
      </c>
    </row>
    <row r="1313" spans="1:10" x14ac:dyDescent="0.25">
      <c r="A1313">
        <v>1453</v>
      </c>
      <c r="B1313" t="s">
        <v>31102</v>
      </c>
      <c r="C1313">
        <v>511</v>
      </c>
      <c r="D1313">
        <v>389</v>
      </c>
      <c r="E1313">
        <v>7654698</v>
      </c>
      <c r="F1313">
        <v>8091</v>
      </c>
      <c r="G1313">
        <v>0</v>
      </c>
      <c r="H1313" t="s">
        <v>6240</v>
      </c>
      <c r="I1313">
        <v>1453</v>
      </c>
      <c r="J1313" t="str">
        <f>VLOOKUP(E1313,DSSpieler!A:B,2,FALSE)</f>
        <v>Vinfox2</v>
      </c>
    </row>
    <row r="1314" spans="1:10" x14ac:dyDescent="0.25">
      <c r="A1314">
        <v>1454</v>
      </c>
      <c r="B1314" t="s">
        <v>531</v>
      </c>
      <c r="C1314">
        <v>541</v>
      </c>
      <c r="D1314">
        <v>459</v>
      </c>
      <c r="E1314">
        <v>0</v>
      </c>
      <c r="F1314">
        <v>212</v>
      </c>
      <c r="G1314">
        <v>0</v>
      </c>
      <c r="H1314" t="s">
        <v>6241</v>
      </c>
      <c r="I1314">
        <v>1454</v>
      </c>
      <c r="J1314" t="e">
        <f>VLOOKUP(E1314,DSSpieler!A:B,2,FALSE)</f>
        <v>#N/A</v>
      </c>
    </row>
    <row r="1315" spans="1:10" x14ac:dyDescent="0.25">
      <c r="A1315">
        <v>1455</v>
      </c>
      <c r="B1315" t="s">
        <v>31103</v>
      </c>
      <c r="C1315">
        <v>508</v>
      </c>
      <c r="D1315">
        <v>397</v>
      </c>
      <c r="E1315">
        <v>8191213</v>
      </c>
      <c r="F1315">
        <v>6650</v>
      </c>
      <c r="G1315">
        <v>0</v>
      </c>
      <c r="H1315" t="s">
        <v>6242</v>
      </c>
      <c r="I1315">
        <v>1455</v>
      </c>
      <c r="J1315" t="str">
        <f>VLOOKUP(E1315,DSSpieler!A:B,2,FALSE)</f>
        <v>Meriva</v>
      </c>
    </row>
    <row r="1316" spans="1:10" x14ac:dyDescent="0.25">
      <c r="A1316">
        <v>1456</v>
      </c>
      <c r="B1316">
        <v>2</v>
      </c>
      <c r="C1316">
        <v>516</v>
      </c>
      <c r="D1316">
        <v>413</v>
      </c>
      <c r="E1316">
        <v>1577193787</v>
      </c>
      <c r="F1316">
        <v>4702</v>
      </c>
      <c r="G1316">
        <v>0</v>
      </c>
      <c r="H1316" t="s">
        <v>6243</v>
      </c>
      <c r="I1316">
        <v>1456</v>
      </c>
      <c r="J1316" t="str">
        <f>VLOOKUP(E1316,DSSpieler!A:B,2,FALSE)</f>
        <v>dapeter</v>
      </c>
    </row>
    <row r="1317" spans="1:10" x14ac:dyDescent="0.25">
      <c r="A1317">
        <v>1457</v>
      </c>
      <c r="B1317">
        <v>1</v>
      </c>
      <c r="C1317">
        <v>515</v>
      </c>
      <c r="D1317">
        <v>391</v>
      </c>
      <c r="E1317">
        <v>9797650</v>
      </c>
      <c r="F1317">
        <v>7685</v>
      </c>
      <c r="G1317">
        <v>0</v>
      </c>
      <c r="H1317" t="s">
        <v>6244</v>
      </c>
      <c r="I1317">
        <v>1457</v>
      </c>
      <c r="J1317" t="str">
        <f>VLOOKUP(E1317,DSSpieler!A:B,2,FALSE)</f>
        <v>robinhood-007</v>
      </c>
    </row>
    <row r="1318" spans="1:10" x14ac:dyDescent="0.25">
      <c r="A1318">
        <v>1458</v>
      </c>
      <c r="B1318">
        <v>3</v>
      </c>
      <c r="C1318">
        <v>518</v>
      </c>
      <c r="D1318">
        <v>411</v>
      </c>
      <c r="E1318">
        <v>1577174074</v>
      </c>
      <c r="F1318">
        <v>3991</v>
      </c>
      <c r="G1318">
        <v>0</v>
      </c>
      <c r="H1318" t="s">
        <v>6245</v>
      </c>
      <c r="I1318">
        <v>1458</v>
      </c>
      <c r="J1318" t="str">
        <f>VLOOKUP(E1318,DSSpieler!A:B,2,FALSE)</f>
        <v>Jens123</v>
      </c>
    </row>
    <row r="1319" spans="1:10" x14ac:dyDescent="0.25">
      <c r="A1319">
        <v>1459</v>
      </c>
      <c r="B1319" t="s">
        <v>31104</v>
      </c>
      <c r="C1319">
        <v>516</v>
      </c>
      <c r="D1319">
        <v>394</v>
      </c>
      <c r="E1319">
        <v>1577134032</v>
      </c>
      <c r="F1319">
        <v>6464</v>
      </c>
      <c r="G1319">
        <v>0</v>
      </c>
      <c r="H1319" t="s">
        <v>6246</v>
      </c>
      <c r="I1319">
        <v>1459</v>
      </c>
      <c r="J1319" t="str">
        <f>VLOOKUP(E1319,DSSpieler!A:B,2,FALSE)</f>
        <v>Chroneston</v>
      </c>
    </row>
    <row r="1320" spans="1:10" x14ac:dyDescent="0.25">
      <c r="A1320">
        <v>1460</v>
      </c>
      <c r="B1320" t="s">
        <v>31105</v>
      </c>
      <c r="C1320">
        <v>514</v>
      </c>
      <c r="D1320">
        <v>391</v>
      </c>
      <c r="E1320">
        <v>1575914865</v>
      </c>
      <c r="F1320">
        <v>5461</v>
      </c>
      <c r="G1320">
        <v>0</v>
      </c>
      <c r="H1320" t="s">
        <v>6247</v>
      </c>
      <c r="I1320">
        <v>1460</v>
      </c>
      <c r="J1320" t="str">
        <f>VLOOKUP(E1320,DSSpieler!A:B,2,FALSE)</f>
        <v>CrazyTyp</v>
      </c>
    </row>
    <row r="1321" spans="1:10" x14ac:dyDescent="0.25">
      <c r="A1321">
        <v>1461</v>
      </c>
      <c r="B1321" t="s">
        <v>31106</v>
      </c>
      <c r="C1321">
        <v>509</v>
      </c>
      <c r="D1321">
        <v>391</v>
      </c>
      <c r="E1321">
        <v>1150935</v>
      </c>
      <c r="F1321">
        <v>7419</v>
      </c>
      <c r="G1321">
        <v>0</v>
      </c>
      <c r="H1321" t="s">
        <v>6248</v>
      </c>
      <c r="I1321">
        <v>1461</v>
      </c>
      <c r="J1321" t="str">
        <f>VLOOKUP(E1321,DSSpieler!A:B,2,FALSE)</f>
        <v>Darmstadt2</v>
      </c>
    </row>
    <row r="1322" spans="1:10" x14ac:dyDescent="0.25">
      <c r="A1322">
        <v>1462</v>
      </c>
      <c r="B1322" t="s">
        <v>626</v>
      </c>
      <c r="C1322">
        <v>520</v>
      </c>
      <c r="D1322">
        <v>398</v>
      </c>
      <c r="E1322">
        <v>1577069277</v>
      </c>
      <c r="F1322">
        <v>6299</v>
      </c>
      <c r="G1322">
        <v>0</v>
      </c>
      <c r="H1322" t="s">
        <v>6249</v>
      </c>
      <c r="I1322">
        <v>1462</v>
      </c>
      <c r="J1322" t="str">
        <f>VLOOKUP(E1322,DSSpieler!A:B,2,FALSE)</f>
        <v>Bauer sucht Sau</v>
      </c>
    </row>
    <row r="1323" spans="1:10" x14ac:dyDescent="0.25">
      <c r="A1323">
        <v>1463</v>
      </c>
      <c r="B1323" t="s">
        <v>31107</v>
      </c>
      <c r="C1323">
        <v>505</v>
      </c>
      <c r="D1323">
        <v>388</v>
      </c>
      <c r="E1323">
        <v>3485059</v>
      </c>
      <c r="F1323">
        <v>4847</v>
      </c>
      <c r="G1323">
        <v>0</v>
      </c>
      <c r="H1323" t="s">
        <v>6250</v>
      </c>
      <c r="I1323">
        <v>1463</v>
      </c>
      <c r="J1323" t="str">
        <f>VLOOKUP(E1323,DSSpieler!A:B,2,FALSE)</f>
        <v>esterhazy</v>
      </c>
    </row>
    <row r="1324" spans="1:10" x14ac:dyDescent="0.25">
      <c r="A1324">
        <v>1464</v>
      </c>
      <c r="B1324" t="s">
        <v>531</v>
      </c>
      <c r="C1324">
        <v>507</v>
      </c>
      <c r="D1324">
        <v>491</v>
      </c>
      <c r="E1324">
        <v>0</v>
      </c>
      <c r="F1324">
        <v>92</v>
      </c>
      <c r="G1324">
        <v>0</v>
      </c>
      <c r="H1324" t="s">
        <v>6251</v>
      </c>
      <c r="I1324">
        <v>1464</v>
      </c>
      <c r="J1324" t="e">
        <f>VLOOKUP(E1324,DSSpieler!A:B,2,FALSE)</f>
        <v>#N/A</v>
      </c>
    </row>
    <row r="1325" spans="1:10" x14ac:dyDescent="0.25">
      <c r="A1325">
        <v>1465</v>
      </c>
      <c r="B1325" t="s">
        <v>31108</v>
      </c>
      <c r="C1325">
        <v>508</v>
      </c>
      <c r="D1325">
        <v>395</v>
      </c>
      <c r="E1325">
        <v>1577174273</v>
      </c>
      <c r="F1325">
        <v>5545</v>
      </c>
      <c r="G1325">
        <v>0</v>
      </c>
      <c r="H1325" t="s">
        <v>6252</v>
      </c>
      <c r="I1325">
        <v>1465</v>
      </c>
      <c r="J1325" t="str">
        <f>VLOOKUP(E1325,DSSpieler!A:B,2,FALSE)</f>
        <v>tom777</v>
      </c>
    </row>
    <row r="1326" spans="1:10" x14ac:dyDescent="0.25">
      <c r="A1326">
        <v>1466</v>
      </c>
      <c r="B1326" t="s">
        <v>31109</v>
      </c>
      <c r="C1326">
        <v>499</v>
      </c>
      <c r="D1326">
        <v>393</v>
      </c>
      <c r="E1326">
        <v>1577196536</v>
      </c>
      <c r="F1326">
        <v>5421</v>
      </c>
      <c r="G1326">
        <v>0</v>
      </c>
      <c r="H1326" t="s">
        <v>6253</v>
      </c>
      <c r="I1326">
        <v>1466</v>
      </c>
      <c r="J1326" t="str">
        <f>VLOOKUP(E1326,DSSpieler!A:B,2,FALSE)</f>
        <v>TrQ Deqoutee</v>
      </c>
    </row>
    <row r="1327" spans="1:10" x14ac:dyDescent="0.25">
      <c r="A1327">
        <v>1467</v>
      </c>
      <c r="B1327" t="s">
        <v>792</v>
      </c>
      <c r="C1327">
        <v>499</v>
      </c>
      <c r="D1327">
        <v>387</v>
      </c>
      <c r="E1327">
        <v>1577173027</v>
      </c>
      <c r="F1327">
        <v>5551</v>
      </c>
      <c r="G1327">
        <v>0</v>
      </c>
      <c r="H1327" t="s">
        <v>6254</v>
      </c>
      <c r="I1327">
        <v>1467</v>
      </c>
      <c r="J1327" t="str">
        <f>VLOOKUP(E1327,DSSpieler!A:B,2,FALSE)</f>
        <v>Bertls</v>
      </c>
    </row>
    <row r="1328" spans="1:10" x14ac:dyDescent="0.25">
      <c r="A1328">
        <v>1468</v>
      </c>
      <c r="B1328" t="s">
        <v>793</v>
      </c>
      <c r="C1328">
        <v>501</v>
      </c>
      <c r="D1328">
        <v>399</v>
      </c>
      <c r="E1328">
        <v>1577173027</v>
      </c>
      <c r="F1328">
        <v>6750</v>
      </c>
      <c r="G1328">
        <v>0</v>
      </c>
      <c r="H1328" t="s">
        <v>6255</v>
      </c>
      <c r="I1328">
        <v>1468</v>
      </c>
      <c r="J1328" t="str">
        <f>VLOOKUP(E1328,DSSpieler!A:B,2,FALSE)</f>
        <v>Bertls</v>
      </c>
    </row>
    <row r="1329" spans="1:10" x14ac:dyDescent="0.25">
      <c r="A1329">
        <v>1469</v>
      </c>
      <c r="B1329" t="s">
        <v>531</v>
      </c>
      <c r="C1329">
        <v>435</v>
      </c>
      <c r="D1329">
        <v>452</v>
      </c>
      <c r="E1329">
        <v>1577196964</v>
      </c>
      <c r="F1329">
        <v>1087</v>
      </c>
      <c r="G1329">
        <v>0</v>
      </c>
      <c r="H1329" t="s">
        <v>6256</v>
      </c>
      <c r="I1329">
        <v>1469</v>
      </c>
      <c r="J1329" t="str">
        <f>VLOOKUP(E1329,DSSpieler!A:B,2,FALSE)</f>
        <v>Jibbolo</v>
      </c>
    </row>
    <row r="1330" spans="1:10" x14ac:dyDescent="0.25">
      <c r="A1330">
        <v>1470</v>
      </c>
      <c r="B1330" t="s">
        <v>31110</v>
      </c>
      <c r="C1330">
        <v>499</v>
      </c>
      <c r="D1330">
        <v>396</v>
      </c>
      <c r="E1330">
        <v>2910580</v>
      </c>
      <c r="F1330">
        <v>5550</v>
      </c>
      <c r="G1330">
        <v>0</v>
      </c>
      <c r="H1330" t="s">
        <v>6257</v>
      </c>
      <c r="I1330">
        <v>1470</v>
      </c>
      <c r="J1330" t="str">
        <f>VLOOKUP(E1330,DSSpieler!A:B,2,FALSE)</f>
        <v>Desiel</v>
      </c>
    </row>
    <row r="1331" spans="1:10" x14ac:dyDescent="0.25">
      <c r="A1331">
        <v>1471</v>
      </c>
      <c r="B1331" t="s">
        <v>794</v>
      </c>
      <c r="C1331">
        <v>496</v>
      </c>
      <c r="D1331">
        <v>398</v>
      </c>
      <c r="E1331">
        <v>1577178984</v>
      </c>
      <c r="F1331">
        <v>5116</v>
      </c>
      <c r="G1331">
        <v>0</v>
      </c>
      <c r="H1331" t="s">
        <v>6258</v>
      </c>
      <c r="I1331">
        <v>1471</v>
      </c>
      <c r="J1331" t="str">
        <f>VLOOKUP(E1331,DSSpieler!A:B,2,FALSE)</f>
        <v>Mycros</v>
      </c>
    </row>
    <row r="1332" spans="1:10" x14ac:dyDescent="0.25">
      <c r="A1332">
        <v>1472</v>
      </c>
      <c r="B1332" t="s">
        <v>31111</v>
      </c>
      <c r="C1332">
        <v>507</v>
      </c>
      <c r="D1332">
        <v>395</v>
      </c>
      <c r="E1332">
        <v>1577181266</v>
      </c>
      <c r="F1332">
        <v>6417</v>
      </c>
      <c r="G1332">
        <v>0</v>
      </c>
      <c r="H1332" t="s">
        <v>6259</v>
      </c>
      <c r="I1332">
        <v>1472</v>
      </c>
      <c r="J1332" t="str">
        <f>VLOOKUP(E1332,DSSpieler!A:B,2,FALSE)</f>
        <v>Vumas</v>
      </c>
    </row>
    <row r="1333" spans="1:10" x14ac:dyDescent="0.25">
      <c r="A1333">
        <v>1473</v>
      </c>
      <c r="B1333" t="s">
        <v>531</v>
      </c>
      <c r="C1333">
        <v>564</v>
      </c>
      <c r="D1333">
        <v>500</v>
      </c>
      <c r="E1333">
        <v>0</v>
      </c>
      <c r="F1333">
        <v>407</v>
      </c>
      <c r="G1333">
        <v>0</v>
      </c>
      <c r="H1333" t="s">
        <v>6260</v>
      </c>
      <c r="I1333">
        <v>1473</v>
      </c>
      <c r="J1333" t="e">
        <f>VLOOKUP(E1333,DSSpieler!A:B,2,FALSE)</f>
        <v>#N/A</v>
      </c>
    </row>
    <row r="1334" spans="1:10" x14ac:dyDescent="0.25">
      <c r="A1334">
        <v>1474</v>
      </c>
      <c r="B1334" t="s">
        <v>35820</v>
      </c>
      <c r="C1334">
        <v>509</v>
      </c>
      <c r="D1334">
        <v>396</v>
      </c>
      <c r="E1334">
        <v>1577181266</v>
      </c>
      <c r="F1334">
        <v>8700</v>
      </c>
      <c r="G1334">
        <v>0</v>
      </c>
      <c r="H1334" t="s">
        <v>6261</v>
      </c>
      <c r="I1334">
        <v>1474</v>
      </c>
      <c r="J1334" t="str">
        <f>VLOOKUP(E1334,DSSpieler!A:B,2,FALSE)</f>
        <v>Vumas</v>
      </c>
    </row>
    <row r="1335" spans="1:10" x14ac:dyDescent="0.25">
      <c r="A1335">
        <v>1475</v>
      </c>
      <c r="B1335" t="s">
        <v>531</v>
      </c>
      <c r="C1335">
        <v>499</v>
      </c>
      <c r="D1335">
        <v>404</v>
      </c>
      <c r="E1335">
        <v>0</v>
      </c>
      <c r="F1335">
        <v>502</v>
      </c>
      <c r="G1335">
        <v>0</v>
      </c>
      <c r="H1335" t="s">
        <v>6262</v>
      </c>
      <c r="I1335">
        <v>1475</v>
      </c>
      <c r="J1335" t="e">
        <f>VLOOKUP(E1335,DSSpieler!A:B,2,FALSE)</f>
        <v>#N/A</v>
      </c>
    </row>
    <row r="1336" spans="1:10" x14ac:dyDescent="0.25">
      <c r="A1336">
        <v>1476</v>
      </c>
      <c r="B1336" t="s">
        <v>531</v>
      </c>
      <c r="C1336">
        <v>473</v>
      </c>
      <c r="D1336">
        <v>480</v>
      </c>
      <c r="E1336">
        <v>0</v>
      </c>
      <c r="F1336">
        <v>391</v>
      </c>
      <c r="G1336">
        <v>0</v>
      </c>
      <c r="H1336" t="s">
        <v>6263</v>
      </c>
      <c r="I1336">
        <v>1476</v>
      </c>
      <c r="J1336" t="e">
        <f>VLOOKUP(E1336,DSSpieler!A:B,2,FALSE)</f>
        <v>#N/A</v>
      </c>
    </row>
    <row r="1337" spans="1:10" x14ac:dyDescent="0.25">
      <c r="A1337">
        <v>1477</v>
      </c>
      <c r="B1337" t="s">
        <v>796</v>
      </c>
      <c r="C1337">
        <v>511</v>
      </c>
      <c r="D1337">
        <v>392</v>
      </c>
      <c r="E1337">
        <v>1577192259</v>
      </c>
      <c r="F1337">
        <v>5296</v>
      </c>
      <c r="G1337">
        <v>0</v>
      </c>
      <c r="H1337" t="s">
        <v>6264</v>
      </c>
      <c r="I1337">
        <v>1477</v>
      </c>
      <c r="J1337" t="str">
        <f>VLOOKUP(E1337,DSSpieler!A:B,2,FALSE)</f>
        <v>hptmBuck</v>
      </c>
    </row>
    <row r="1338" spans="1:10" x14ac:dyDescent="0.25">
      <c r="A1338">
        <v>1478</v>
      </c>
      <c r="B1338" t="s">
        <v>31112</v>
      </c>
      <c r="C1338">
        <v>500</v>
      </c>
      <c r="D1338">
        <v>394</v>
      </c>
      <c r="E1338">
        <v>1577196536</v>
      </c>
      <c r="F1338">
        <v>6557</v>
      </c>
      <c r="G1338">
        <v>0</v>
      </c>
      <c r="H1338" t="s">
        <v>6265</v>
      </c>
      <c r="I1338">
        <v>1478</v>
      </c>
      <c r="J1338" t="str">
        <f>VLOOKUP(E1338,DSSpieler!A:B,2,FALSE)</f>
        <v>TrQ Deqoutee</v>
      </c>
    </row>
    <row r="1339" spans="1:10" x14ac:dyDescent="0.25">
      <c r="A1339">
        <v>1479</v>
      </c>
      <c r="B1339" t="s">
        <v>31113</v>
      </c>
      <c r="C1339">
        <v>504</v>
      </c>
      <c r="D1339">
        <v>388</v>
      </c>
      <c r="E1339">
        <v>3485059</v>
      </c>
      <c r="F1339">
        <v>4810</v>
      </c>
      <c r="G1339">
        <v>0</v>
      </c>
      <c r="H1339" t="s">
        <v>6266</v>
      </c>
      <c r="I1339">
        <v>1479</v>
      </c>
      <c r="J1339" t="str">
        <f>VLOOKUP(E1339,DSSpieler!A:B,2,FALSE)</f>
        <v>esterhazy</v>
      </c>
    </row>
    <row r="1340" spans="1:10" x14ac:dyDescent="0.25">
      <c r="A1340">
        <v>1480</v>
      </c>
      <c r="B1340" t="s">
        <v>797</v>
      </c>
      <c r="C1340">
        <v>499</v>
      </c>
      <c r="D1340">
        <v>401</v>
      </c>
      <c r="E1340">
        <v>1577197368</v>
      </c>
      <c r="F1340">
        <v>6650</v>
      </c>
      <c r="G1340">
        <v>0</v>
      </c>
      <c r="H1340" t="s">
        <v>6267</v>
      </c>
      <c r="I1340">
        <v>1480</v>
      </c>
      <c r="J1340" t="str">
        <f>VLOOKUP(E1340,DSSpieler!A:B,2,FALSE)</f>
        <v>Daneben4</v>
      </c>
    </row>
    <row r="1341" spans="1:10" x14ac:dyDescent="0.25">
      <c r="A1341">
        <v>1481</v>
      </c>
      <c r="B1341" t="s">
        <v>31114</v>
      </c>
      <c r="C1341">
        <v>509</v>
      </c>
      <c r="D1341">
        <v>489</v>
      </c>
      <c r="E1341">
        <v>1577174217</v>
      </c>
      <c r="F1341">
        <v>5175</v>
      </c>
      <c r="G1341">
        <v>0</v>
      </c>
      <c r="H1341" t="s">
        <v>6268</v>
      </c>
      <c r="I1341">
        <v>1481</v>
      </c>
      <c r="J1341" t="str">
        <f>VLOOKUP(E1341,DSSpieler!A:B,2,FALSE)</f>
        <v>Goovy12</v>
      </c>
    </row>
    <row r="1342" spans="1:10" x14ac:dyDescent="0.25">
      <c r="A1342">
        <v>1482</v>
      </c>
      <c r="B1342" t="s">
        <v>798</v>
      </c>
      <c r="C1342">
        <v>511</v>
      </c>
      <c r="D1342">
        <v>484</v>
      </c>
      <c r="E1342">
        <v>1576172159</v>
      </c>
      <c r="F1342">
        <v>3828</v>
      </c>
      <c r="G1342">
        <v>0</v>
      </c>
      <c r="H1342" t="s">
        <v>6269</v>
      </c>
      <c r="I1342">
        <v>1482</v>
      </c>
      <c r="J1342" t="str">
        <f>VLOOKUP(E1342,DSSpieler!A:B,2,FALSE)</f>
        <v>l ber</v>
      </c>
    </row>
    <row r="1343" spans="1:10" x14ac:dyDescent="0.25">
      <c r="A1343">
        <v>1483</v>
      </c>
      <c r="B1343" t="s">
        <v>799</v>
      </c>
      <c r="C1343">
        <v>503</v>
      </c>
      <c r="D1343">
        <v>486</v>
      </c>
      <c r="E1343">
        <v>1577195967</v>
      </c>
      <c r="F1343">
        <v>5237</v>
      </c>
      <c r="G1343">
        <v>0</v>
      </c>
      <c r="H1343" t="s">
        <v>6270</v>
      </c>
      <c r="I1343">
        <v>1483</v>
      </c>
      <c r="J1343" t="str">
        <f>VLOOKUP(E1343,DSSpieler!A:B,2,FALSE)</f>
        <v>Goggei</v>
      </c>
    </row>
    <row r="1344" spans="1:10" x14ac:dyDescent="0.25">
      <c r="A1344">
        <v>1484</v>
      </c>
      <c r="B1344" t="s">
        <v>531</v>
      </c>
      <c r="C1344">
        <v>504</v>
      </c>
      <c r="D1344">
        <v>492</v>
      </c>
      <c r="E1344">
        <v>0</v>
      </c>
      <c r="F1344">
        <v>180</v>
      </c>
      <c r="G1344">
        <v>0</v>
      </c>
      <c r="H1344" t="s">
        <v>6271</v>
      </c>
      <c r="I1344">
        <v>1484</v>
      </c>
      <c r="J1344" t="e">
        <f>VLOOKUP(E1344,DSSpieler!A:B,2,FALSE)</f>
        <v>#N/A</v>
      </c>
    </row>
    <row r="1345" spans="1:10" x14ac:dyDescent="0.25">
      <c r="A1345">
        <v>1485</v>
      </c>
      <c r="B1345" t="s">
        <v>531</v>
      </c>
      <c r="C1345">
        <v>553</v>
      </c>
      <c r="D1345">
        <v>526</v>
      </c>
      <c r="E1345">
        <v>0</v>
      </c>
      <c r="F1345">
        <v>433</v>
      </c>
      <c r="G1345">
        <v>0</v>
      </c>
      <c r="H1345" t="s">
        <v>6272</v>
      </c>
      <c r="I1345">
        <v>1485</v>
      </c>
      <c r="J1345" t="e">
        <f>VLOOKUP(E1345,DSSpieler!A:B,2,FALSE)</f>
        <v>#N/A</v>
      </c>
    </row>
    <row r="1346" spans="1:10" x14ac:dyDescent="0.25">
      <c r="A1346">
        <v>1486</v>
      </c>
      <c r="B1346" t="s">
        <v>31115</v>
      </c>
      <c r="C1346">
        <v>511</v>
      </c>
      <c r="D1346">
        <v>503</v>
      </c>
      <c r="E1346">
        <v>96551</v>
      </c>
      <c r="F1346">
        <v>1465</v>
      </c>
      <c r="G1346">
        <v>0</v>
      </c>
      <c r="H1346" t="s">
        <v>6273</v>
      </c>
      <c r="I1346">
        <v>1486</v>
      </c>
      <c r="J1346" t="str">
        <f>VLOOKUP(E1346,DSSpieler!A:B,2,FALSE)</f>
        <v>Lord Bergi</v>
      </c>
    </row>
    <row r="1347" spans="1:10" x14ac:dyDescent="0.25">
      <c r="A1347">
        <v>1487</v>
      </c>
      <c r="B1347" t="s">
        <v>31116</v>
      </c>
      <c r="C1347">
        <v>507</v>
      </c>
      <c r="D1347">
        <v>495</v>
      </c>
      <c r="E1347">
        <v>1576459834</v>
      </c>
      <c r="F1347">
        <v>4395</v>
      </c>
      <c r="G1347">
        <v>0</v>
      </c>
      <c r="H1347" t="s">
        <v>6274</v>
      </c>
      <c r="I1347">
        <v>1487</v>
      </c>
      <c r="J1347" t="str">
        <f>VLOOKUP(E1347,DSSpieler!A:B,2,FALSE)</f>
        <v>coolermanyes</v>
      </c>
    </row>
    <row r="1348" spans="1:10" x14ac:dyDescent="0.25">
      <c r="A1348">
        <v>1488</v>
      </c>
      <c r="B1348" t="s">
        <v>800</v>
      </c>
      <c r="C1348">
        <v>563</v>
      </c>
      <c r="D1348">
        <v>419</v>
      </c>
      <c r="E1348">
        <v>9780007</v>
      </c>
      <c r="F1348">
        <v>4349</v>
      </c>
      <c r="G1348">
        <v>0</v>
      </c>
      <c r="H1348" t="s">
        <v>6275</v>
      </c>
      <c r="I1348">
        <v>1488</v>
      </c>
      <c r="J1348" t="str">
        <f>VLOOKUP(E1348,DSSpieler!A:B,2,FALSE)</f>
        <v>Lord oimel</v>
      </c>
    </row>
    <row r="1349" spans="1:10" x14ac:dyDescent="0.25">
      <c r="A1349">
        <v>1489</v>
      </c>
      <c r="B1349" t="s">
        <v>31117</v>
      </c>
      <c r="C1349">
        <v>573</v>
      </c>
      <c r="D1349">
        <v>423</v>
      </c>
      <c r="E1349">
        <v>1576711830</v>
      </c>
      <c r="F1349">
        <v>2717</v>
      </c>
      <c r="G1349">
        <v>0</v>
      </c>
      <c r="H1349" t="s">
        <v>6276</v>
      </c>
      <c r="I1349">
        <v>1489</v>
      </c>
      <c r="J1349" t="str">
        <f>VLOOKUP(E1349,DSSpieler!A:B,2,FALSE)</f>
        <v>Genetix</v>
      </c>
    </row>
    <row r="1350" spans="1:10" x14ac:dyDescent="0.25">
      <c r="A1350">
        <v>1491</v>
      </c>
      <c r="B1350" t="s">
        <v>531</v>
      </c>
      <c r="C1350">
        <v>529</v>
      </c>
      <c r="D1350">
        <v>477</v>
      </c>
      <c r="E1350">
        <v>0</v>
      </c>
      <c r="F1350">
        <v>307</v>
      </c>
      <c r="G1350">
        <v>0</v>
      </c>
      <c r="H1350" t="s">
        <v>6277</v>
      </c>
      <c r="I1350">
        <v>1491</v>
      </c>
      <c r="J1350" t="e">
        <f>VLOOKUP(E1350,DSSpieler!A:B,2,FALSE)</f>
        <v>#N/A</v>
      </c>
    </row>
    <row r="1351" spans="1:10" x14ac:dyDescent="0.25">
      <c r="A1351">
        <v>1493</v>
      </c>
      <c r="B1351" t="s">
        <v>31118</v>
      </c>
      <c r="C1351">
        <v>485</v>
      </c>
      <c r="D1351">
        <v>452</v>
      </c>
      <c r="E1351">
        <v>1577172941</v>
      </c>
      <c r="F1351">
        <v>5895</v>
      </c>
      <c r="G1351">
        <v>0</v>
      </c>
      <c r="H1351" t="s">
        <v>6278</v>
      </c>
      <c r="I1351">
        <v>1493</v>
      </c>
      <c r="J1351" t="str">
        <f>VLOOKUP(E1351,DSSpieler!A:B,2,FALSE)</f>
        <v>Breuninger</v>
      </c>
    </row>
    <row r="1352" spans="1:10" x14ac:dyDescent="0.25">
      <c r="A1352">
        <v>1494</v>
      </c>
      <c r="B1352" t="s">
        <v>31119</v>
      </c>
      <c r="C1352">
        <v>477</v>
      </c>
      <c r="D1352">
        <v>453</v>
      </c>
      <c r="E1352">
        <v>1576656557</v>
      </c>
      <c r="F1352">
        <v>4481</v>
      </c>
      <c r="G1352">
        <v>0</v>
      </c>
      <c r="H1352" t="s">
        <v>6279</v>
      </c>
      <c r="I1352">
        <v>1494</v>
      </c>
      <c r="J1352" t="str">
        <f>VLOOKUP(E1352,DSSpieler!A:B,2,FALSE)</f>
        <v>AnPa1995</v>
      </c>
    </row>
    <row r="1353" spans="1:10" x14ac:dyDescent="0.25">
      <c r="A1353">
        <v>1495</v>
      </c>
      <c r="B1353" t="s">
        <v>531</v>
      </c>
      <c r="C1353">
        <v>480</v>
      </c>
      <c r="D1353">
        <v>444</v>
      </c>
      <c r="E1353">
        <v>0</v>
      </c>
      <c r="F1353">
        <v>297</v>
      </c>
      <c r="G1353">
        <v>0</v>
      </c>
      <c r="H1353" t="s">
        <v>6280</v>
      </c>
      <c r="I1353">
        <v>1495</v>
      </c>
      <c r="J1353" t="e">
        <f>VLOOKUP(E1353,DSSpieler!A:B,2,FALSE)</f>
        <v>#N/A</v>
      </c>
    </row>
    <row r="1354" spans="1:10" x14ac:dyDescent="0.25">
      <c r="A1354">
        <v>1496</v>
      </c>
      <c r="B1354" t="s">
        <v>531</v>
      </c>
      <c r="C1354">
        <v>465</v>
      </c>
      <c r="D1354">
        <v>513</v>
      </c>
      <c r="E1354">
        <v>0</v>
      </c>
      <c r="F1354">
        <v>374</v>
      </c>
      <c r="G1354">
        <v>0</v>
      </c>
      <c r="H1354" t="s">
        <v>6281</v>
      </c>
      <c r="I1354">
        <v>1496</v>
      </c>
      <c r="J1354" t="e">
        <f>VLOOKUP(E1354,DSSpieler!A:B,2,FALSE)</f>
        <v>#N/A</v>
      </c>
    </row>
    <row r="1355" spans="1:10" x14ac:dyDescent="0.25">
      <c r="A1355">
        <v>1498</v>
      </c>
      <c r="B1355" t="s">
        <v>31120</v>
      </c>
      <c r="C1355">
        <v>424</v>
      </c>
      <c r="D1355">
        <v>568</v>
      </c>
      <c r="E1355">
        <v>1576493594</v>
      </c>
      <c r="F1355">
        <v>5279</v>
      </c>
      <c r="G1355">
        <v>0</v>
      </c>
      <c r="H1355" t="s">
        <v>6282</v>
      </c>
      <c r="I1355">
        <v>1498</v>
      </c>
      <c r="J1355" t="str">
        <f>VLOOKUP(E1355,DSSpieler!A:B,2,FALSE)</f>
        <v>Shakur.</v>
      </c>
    </row>
    <row r="1356" spans="1:10" x14ac:dyDescent="0.25">
      <c r="A1356">
        <v>1499</v>
      </c>
      <c r="B1356" t="s">
        <v>31121</v>
      </c>
      <c r="C1356">
        <v>531</v>
      </c>
      <c r="D1356">
        <v>479</v>
      </c>
      <c r="E1356">
        <v>2008774</v>
      </c>
      <c r="F1356">
        <v>1895</v>
      </c>
      <c r="G1356">
        <v>0</v>
      </c>
      <c r="H1356" t="s">
        <v>6283</v>
      </c>
      <c r="I1356">
        <v>1499</v>
      </c>
      <c r="J1356" t="str">
        <f>VLOOKUP(E1356,DSSpieler!A:B,2,FALSE)</f>
        <v>Deutscher1991</v>
      </c>
    </row>
    <row r="1357" spans="1:10" x14ac:dyDescent="0.25">
      <c r="A1357">
        <v>1500</v>
      </c>
      <c r="B1357">
        <v>2</v>
      </c>
      <c r="C1357">
        <v>527</v>
      </c>
      <c r="D1357">
        <v>489</v>
      </c>
      <c r="E1357">
        <v>1577091854</v>
      </c>
      <c r="F1357">
        <v>4225</v>
      </c>
      <c r="G1357">
        <v>0</v>
      </c>
      <c r="H1357" t="s">
        <v>6284</v>
      </c>
      <c r="I1357">
        <v>1500</v>
      </c>
      <c r="J1357" t="str">
        <f>VLOOKUP(E1357,DSSpieler!A:B,2,FALSE)</f>
        <v>Raupe</v>
      </c>
    </row>
    <row r="1358" spans="1:10" x14ac:dyDescent="0.25">
      <c r="A1358">
        <v>1501</v>
      </c>
      <c r="B1358" t="s">
        <v>531</v>
      </c>
      <c r="C1358">
        <v>527</v>
      </c>
      <c r="D1358">
        <v>476</v>
      </c>
      <c r="E1358">
        <v>0</v>
      </c>
      <c r="F1358">
        <v>233</v>
      </c>
      <c r="G1358">
        <v>0</v>
      </c>
      <c r="H1358" t="s">
        <v>6285</v>
      </c>
      <c r="I1358">
        <v>1501</v>
      </c>
      <c r="J1358" t="e">
        <f>VLOOKUP(E1358,DSSpieler!A:B,2,FALSE)</f>
        <v>#N/A</v>
      </c>
    </row>
    <row r="1359" spans="1:10" x14ac:dyDescent="0.25">
      <c r="A1359">
        <v>1502</v>
      </c>
      <c r="B1359" t="s">
        <v>531</v>
      </c>
      <c r="C1359">
        <v>542</v>
      </c>
      <c r="D1359">
        <v>473</v>
      </c>
      <c r="E1359">
        <v>0</v>
      </c>
      <c r="F1359">
        <v>1281</v>
      </c>
      <c r="G1359">
        <v>0</v>
      </c>
      <c r="H1359" t="s">
        <v>6286</v>
      </c>
      <c r="I1359">
        <v>1502</v>
      </c>
      <c r="J1359" t="e">
        <f>VLOOKUP(E1359,DSSpieler!A:B,2,FALSE)</f>
        <v>#N/A</v>
      </c>
    </row>
    <row r="1360" spans="1:10" x14ac:dyDescent="0.25">
      <c r="A1360">
        <v>1503</v>
      </c>
      <c r="B1360">
        <v>4</v>
      </c>
      <c r="C1360">
        <v>540</v>
      </c>
      <c r="D1360">
        <v>479</v>
      </c>
      <c r="E1360">
        <v>9101768</v>
      </c>
      <c r="F1360">
        <v>4182</v>
      </c>
      <c r="G1360">
        <v>0</v>
      </c>
      <c r="H1360" t="s">
        <v>6287</v>
      </c>
      <c r="I1360">
        <v>1503</v>
      </c>
      <c r="J1360" t="str">
        <f>VLOOKUP(E1360,DSSpieler!A:B,2,FALSE)</f>
        <v>vanhelsink1</v>
      </c>
    </row>
    <row r="1361" spans="1:10" x14ac:dyDescent="0.25">
      <c r="A1361">
        <v>1504</v>
      </c>
      <c r="B1361" t="s">
        <v>801</v>
      </c>
      <c r="C1361">
        <v>540</v>
      </c>
      <c r="D1361">
        <v>477</v>
      </c>
      <c r="E1361">
        <v>1577196743</v>
      </c>
      <c r="F1361">
        <v>3567</v>
      </c>
      <c r="G1361">
        <v>0</v>
      </c>
      <c r="H1361" t="s">
        <v>6288</v>
      </c>
      <c r="I1361">
        <v>1504</v>
      </c>
      <c r="J1361" t="str">
        <f>VLOOKUP(E1361,DSSpieler!A:B,2,FALSE)</f>
        <v>Spider902</v>
      </c>
    </row>
    <row r="1362" spans="1:10" x14ac:dyDescent="0.25">
      <c r="A1362">
        <v>1505</v>
      </c>
      <c r="B1362" t="s">
        <v>31122</v>
      </c>
      <c r="C1362">
        <v>545</v>
      </c>
      <c r="D1362">
        <v>471</v>
      </c>
      <c r="E1362">
        <v>1576975086</v>
      </c>
      <c r="F1362">
        <v>3586</v>
      </c>
      <c r="G1362">
        <v>0</v>
      </c>
      <c r="H1362" t="s">
        <v>6289</v>
      </c>
      <c r="I1362">
        <v>1505</v>
      </c>
      <c r="J1362" t="str">
        <f>VLOOKUP(E1362,DSSpieler!A:B,2,FALSE)</f>
        <v>Homer7</v>
      </c>
    </row>
    <row r="1363" spans="1:10" x14ac:dyDescent="0.25">
      <c r="A1363">
        <v>1506</v>
      </c>
      <c r="B1363" t="s">
        <v>31123</v>
      </c>
      <c r="C1363">
        <v>532</v>
      </c>
      <c r="D1363">
        <v>484</v>
      </c>
      <c r="E1363">
        <v>8212814</v>
      </c>
      <c r="F1363">
        <v>4688</v>
      </c>
      <c r="G1363">
        <v>0</v>
      </c>
      <c r="H1363" t="s">
        <v>6290</v>
      </c>
      <c r="I1363">
        <v>1506</v>
      </c>
      <c r="J1363" t="str">
        <f>VLOOKUP(E1363,DSSpieler!A:B,2,FALSE)</f>
        <v>mc43</v>
      </c>
    </row>
    <row r="1364" spans="1:10" x14ac:dyDescent="0.25">
      <c r="A1364">
        <v>1507</v>
      </c>
      <c r="B1364">
        <v>3</v>
      </c>
      <c r="C1364">
        <v>536</v>
      </c>
      <c r="D1364">
        <v>479</v>
      </c>
      <c r="E1364">
        <v>1577178830</v>
      </c>
      <c r="F1364">
        <v>5089</v>
      </c>
      <c r="G1364">
        <v>0</v>
      </c>
      <c r="H1364" t="s">
        <v>6291</v>
      </c>
      <c r="I1364">
        <v>1507</v>
      </c>
      <c r="J1364" t="str">
        <f>VLOOKUP(E1364,DSSpieler!A:B,2,FALSE)</f>
        <v>jokra</v>
      </c>
    </row>
    <row r="1365" spans="1:10" x14ac:dyDescent="0.25">
      <c r="A1365">
        <v>1508</v>
      </c>
      <c r="B1365" t="s">
        <v>802</v>
      </c>
      <c r="C1365">
        <v>534</v>
      </c>
      <c r="D1365">
        <v>542</v>
      </c>
      <c r="E1365">
        <v>205615</v>
      </c>
      <c r="F1365">
        <v>7603</v>
      </c>
      <c r="G1365">
        <v>0</v>
      </c>
      <c r="H1365" t="s">
        <v>6292</v>
      </c>
      <c r="I1365">
        <v>1508</v>
      </c>
      <c r="J1365" t="str">
        <f>VLOOKUP(E1365,DSSpieler!A:B,2,FALSE)</f>
        <v>hubeno</v>
      </c>
    </row>
    <row r="1366" spans="1:10" x14ac:dyDescent="0.25">
      <c r="A1366">
        <v>1509</v>
      </c>
      <c r="B1366" t="s">
        <v>803</v>
      </c>
      <c r="C1366">
        <v>536</v>
      </c>
      <c r="D1366">
        <v>541</v>
      </c>
      <c r="E1366">
        <v>414073</v>
      </c>
      <c r="F1366">
        <v>8907</v>
      </c>
      <c r="G1366">
        <v>0</v>
      </c>
      <c r="H1366" t="s">
        <v>6293</v>
      </c>
      <c r="I1366">
        <v>1509</v>
      </c>
      <c r="J1366" t="str">
        <f>VLOOKUP(E1366,DSSpieler!A:B,2,FALSE)</f>
        <v>Thaudrim</v>
      </c>
    </row>
    <row r="1367" spans="1:10" x14ac:dyDescent="0.25">
      <c r="A1367">
        <v>1510</v>
      </c>
      <c r="B1367" t="s">
        <v>31124</v>
      </c>
      <c r="C1367">
        <v>535</v>
      </c>
      <c r="D1367">
        <v>539</v>
      </c>
      <c r="E1367">
        <v>1577077214</v>
      </c>
      <c r="F1367">
        <v>7487</v>
      </c>
      <c r="G1367">
        <v>0</v>
      </c>
      <c r="H1367" t="s">
        <v>6294</v>
      </c>
      <c r="I1367">
        <v>1510</v>
      </c>
      <c r="J1367" t="str">
        <f>VLOOKUP(E1367,DSSpieler!A:B,2,FALSE)</f>
        <v>JoEck55</v>
      </c>
    </row>
    <row r="1368" spans="1:10" x14ac:dyDescent="0.25">
      <c r="A1368">
        <v>1511</v>
      </c>
      <c r="B1368" t="s">
        <v>31125</v>
      </c>
      <c r="C1368">
        <v>533</v>
      </c>
      <c r="D1368">
        <v>533</v>
      </c>
      <c r="E1368">
        <v>1577086026</v>
      </c>
      <c r="F1368">
        <v>7984</v>
      </c>
      <c r="G1368">
        <v>0</v>
      </c>
      <c r="H1368" t="s">
        <v>6295</v>
      </c>
      <c r="I1368">
        <v>1511</v>
      </c>
      <c r="J1368" t="str">
        <f>VLOOKUP(E1368,DSSpieler!A:B,2,FALSE)</f>
        <v>drvuudo</v>
      </c>
    </row>
    <row r="1369" spans="1:10" x14ac:dyDescent="0.25">
      <c r="A1369">
        <v>1512</v>
      </c>
      <c r="B1369" t="s">
        <v>31126</v>
      </c>
      <c r="C1369">
        <v>536</v>
      </c>
      <c r="D1369">
        <v>542</v>
      </c>
      <c r="E1369">
        <v>1577086173</v>
      </c>
      <c r="F1369">
        <v>5497</v>
      </c>
      <c r="G1369">
        <v>0</v>
      </c>
      <c r="H1369" t="s">
        <v>6296</v>
      </c>
      <c r="I1369">
        <v>1512</v>
      </c>
      <c r="J1369" t="str">
        <f>VLOOKUP(E1369,DSSpieler!A:B,2,FALSE)</f>
        <v>Svobby</v>
      </c>
    </row>
    <row r="1370" spans="1:10" x14ac:dyDescent="0.25">
      <c r="A1370">
        <v>1513</v>
      </c>
      <c r="B1370" t="s">
        <v>31127</v>
      </c>
      <c r="C1370">
        <v>548</v>
      </c>
      <c r="D1370">
        <v>548</v>
      </c>
      <c r="E1370">
        <v>1577146592</v>
      </c>
      <c r="F1370">
        <v>4799</v>
      </c>
      <c r="G1370">
        <v>0</v>
      </c>
      <c r="H1370" t="s">
        <v>6297</v>
      </c>
      <c r="I1370">
        <v>1513</v>
      </c>
      <c r="J1370" t="str">
        <f>VLOOKUP(E1370,DSSpieler!A:B,2,FALSE)</f>
        <v>DerDon</v>
      </c>
    </row>
    <row r="1371" spans="1:10" x14ac:dyDescent="0.25">
      <c r="A1371">
        <v>1514</v>
      </c>
      <c r="B1371" t="s">
        <v>31128</v>
      </c>
      <c r="C1371">
        <v>516</v>
      </c>
      <c r="D1371">
        <v>519</v>
      </c>
      <c r="E1371">
        <v>9374247</v>
      </c>
      <c r="F1371">
        <v>3818</v>
      </c>
      <c r="G1371">
        <v>0</v>
      </c>
      <c r="H1371" t="s">
        <v>6298</v>
      </c>
      <c r="I1371">
        <v>1514</v>
      </c>
      <c r="J1371" t="str">
        <f>VLOOKUP(E1371,DSSpieler!A:B,2,FALSE)</f>
        <v>tik99</v>
      </c>
    </row>
    <row r="1372" spans="1:10" x14ac:dyDescent="0.25">
      <c r="A1372">
        <v>1515</v>
      </c>
      <c r="B1372" t="e">
        <f>-2-+Kreditabteilung</f>
        <v>#NAME?</v>
      </c>
      <c r="C1372">
        <v>540</v>
      </c>
      <c r="D1372">
        <v>557</v>
      </c>
      <c r="E1372">
        <v>1577197889</v>
      </c>
      <c r="F1372">
        <v>4721</v>
      </c>
      <c r="G1372">
        <v>0</v>
      </c>
      <c r="H1372" t="s">
        <v>6299</v>
      </c>
      <c r="I1372">
        <v>1515</v>
      </c>
      <c r="J1372" t="str">
        <f>VLOOKUP(E1372,DSSpieler!A:B,2,FALSE)</f>
        <v>Cedii92</v>
      </c>
    </row>
    <row r="1373" spans="1:10" x14ac:dyDescent="0.25">
      <c r="A1373">
        <v>1516</v>
      </c>
      <c r="B1373" t="s">
        <v>31129</v>
      </c>
      <c r="C1373">
        <v>540</v>
      </c>
      <c r="D1373">
        <v>544</v>
      </c>
      <c r="E1373">
        <v>1577180455</v>
      </c>
      <c r="F1373">
        <v>8621</v>
      </c>
      <c r="G1373">
        <v>0</v>
      </c>
      <c r="H1373" t="s">
        <v>6300</v>
      </c>
      <c r="I1373">
        <v>1516</v>
      </c>
      <c r="J1373" t="str">
        <f>VLOOKUP(E1373,DSSpieler!A:B,2,FALSE)</f>
        <v>Wondy</v>
      </c>
    </row>
    <row r="1374" spans="1:10" x14ac:dyDescent="0.25">
      <c r="A1374">
        <v>1517</v>
      </c>
      <c r="B1374" t="s">
        <v>31130</v>
      </c>
      <c r="C1374">
        <v>535</v>
      </c>
      <c r="D1374">
        <v>549</v>
      </c>
      <c r="E1374">
        <v>1577086173</v>
      </c>
      <c r="F1374">
        <v>7129</v>
      </c>
      <c r="G1374">
        <v>0</v>
      </c>
      <c r="H1374" t="s">
        <v>6301</v>
      </c>
      <c r="I1374">
        <v>1517</v>
      </c>
      <c r="J1374" t="str">
        <f>VLOOKUP(E1374,DSSpieler!A:B,2,FALSE)</f>
        <v>Svobby</v>
      </c>
    </row>
    <row r="1375" spans="1:10" x14ac:dyDescent="0.25">
      <c r="A1375">
        <v>1518</v>
      </c>
      <c r="B1375" t="s">
        <v>531</v>
      </c>
      <c r="C1375">
        <v>509</v>
      </c>
      <c r="D1375">
        <v>516</v>
      </c>
      <c r="E1375">
        <v>0</v>
      </c>
      <c r="F1375">
        <v>278</v>
      </c>
      <c r="G1375">
        <v>0</v>
      </c>
      <c r="H1375" t="s">
        <v>6302</v>
      </c>
      <c r="I1375">
        <v>1518</v>
      </c>
      <c r="J1375" t="e">
        <f>VLOOKUP(E1375,DSSpieler!A:B,2,FALSE)</f>
        <v>#N/A</v>
      </c>
    </row>
    <row r="1376" spans="1:10" x14ac:dyDescent="0.25">
      <c r="A1376">
        <v>1519</v>
      </c>
      <c r="B1376" t="s">
        <v>31131</v>
      </c>
      <c r="C1376">
        <v>543</v>
      </c>
      <c r="D1376">
        <v>552</v>
      </c>
      <c r="E1376">
        <v>1575830702</v>
      </c>
      <c r="F1376">
        <v>7368</v>
      </c>
      <c r="G1376">
        <v>0</v>
      </c>
      <c r="H1376" t="s">
        <v>6303</v>
      </c>
      <c r="I1376">
        <v>1519</v>
      </c>
      <c r="J1376" t="str">
        <f>VLOOKUP(E1376,DSSpieler!A:B,2,FALSE)</f>
        <v>PaPaScHuMpF</v>
      </c>
    </row>
    <row r="1377" spans="1:10" x14ac:dyDescent="0.25">
      <c r="A1377">
        <v>1520</v>
      </c>
      <c r="B1377" t="s">
        <v>31132</v>
      </c>
      <c r="C1377">
        <v>538</v>
      </c>
      <c r="D1377">
        <v>550</v>
      </c>
      <c r="E1377">
        <v>1577086173</v>
      </c>
      <c r="F1377">
        <v>4266</v>
      </c>
      <c r="G1377">
        <v>0</v>
      </c>
      <c r="H1377" t="s">
        <v>6304</v>
      </c>
      <c r="I1377">
        <v>1520</v>
      </c>
      <c r="J1377" t="str">
        <f>VLOOKUP(E1377,DSSpieler!A:B,2,FALSE)</f>
        <v>Svobby</v>
      </c>
    </row>
    <row r="1378" spans="1:10" x14ac:dyDescent="0.25">
      <c r="A1378">
        <v>1521</v>
      </c>
      <c r="B1378" t="s">
        <v>804</v>
      </c>
      <c r="C1378">
        <v>544</v>
      </c>
      <c r="D1378">
        <v>546</v>
      </c>
      <c r="E1378">
        <v>1577185475</v>
      </c>
      <c r="F1378">
        <v>7474</v>
      </c>
      <c r="G1378">
        <v>0</v>
      </c>
      <c r="H1378" t="s">
        <v>6305</v>
      </c>
      <c r="I1378">
        <v>1521</v>
      </c>
      <c r="J1378" t="str">
        <f>VLOOKUP(E1378,DSSpieler!A:B,2,FALSE)</f>
        <v>DonAld</v>
      </c>
    </row>
    <row r="1379" spans="1:10" x14ac:dyDescent="0.25">
      <c r="A1379">
        <v>1522</v>
      </c>
      <c r="B1379" t="s">
        <v>31133</v>
      </c>
      <c r="C1379">
        <v>533</v>
      </c>
      <c r="D1379">
        <v>542</v>
      </c>
      <c r="E1379">
        <v>1577188924</v>
      </c>
      <c r="F1379">
        <v>7707</v>
      </c>
      <c r="G1379">
        <v>0</v>
      </c>
      <c r="H1379" t="s">
        <v>6306</v>
      </c>
      <c r="I1379">
        <v>1522</v>
      </c>
      <c r="J1379" t="str">
        <f>VLOOKUP(E1379,DSSpieler!A:B,2,FALSE)</f>
        <v>Mammr0n</v>
      </c>
    </row>
    <row r="1380" spans="1:10" x14ac:dyDescent="0.25">
      <c r="A1380">
        <v>1527</v>
      </c>
      <c r="B1380" t="s">
        <v>31134</v>
      </c>
      <c r="C1380">
        <v>462</v>
      </c>
      <c r="D1380">
        <v>420</v>
      </c>
      <c r="E1380">
        <v>1576840655</v>
      </c>
      <c r="F1380">
        <v>7473</v>
      </c>
      <c r="G1380">
        <v>0</v>
      </c>
      <c r="H1380" t="s">
        <v>6307</v>
      </c>
      <c r="I1380">
        <v>1527</v>
      </c>
      <c r="J1380" t="str">
        <f>VLOOKUP(E1380,DSSpieler!A:B,2,FALSE)</f>
        <v>Kaputus</v>
      </c>
    </row>
    <row r="1381" spans="1:10" x14ac:dyDescent="0.25">
      <c r="A1381">
        <v>1530</v>
      </c>
      <c r="B1381" t="s">
        <v>531</v>
      </c>
      <c r="C1381">
        <v>556</v>
      </c>
      <c r="D1381">
        <v>531</v>
      </c>
      <c r="E1381">
        <v>0</v>
      </c>
      <c r="F1381">
        <v>338</v>
      </c>
      <c r="G1381">
        <v>0</v>
      </c>
      <c r="H1381" t="s">
        <v>6308</v>
      </c>
      <c r="I1381">
        <v>1530</v>
      </c>
      <c r="J1381" t="e">
        <f>VLOOKUP(E1381,DSSpieler!A:B,2,FALSE)</f>
        <v>#N/A</v>
      </c>
    </row>
    <row r="1382" spans="1:10" x14ac:dyDescent="0.25">
      <c r="A1382">
        <v>1531</v>
      </c>
      <c r="B1382" t="s">
        <v>31135</v>
      </c>
      <c r="C1382">
        <v>475</v>
      </c>
      <c r="D1382">
        <v>418</v>
      </c>
      <c r="E1382">
        <v>1576680977</v>
      </c>
      <c r="F1382">
        <v>7055</v>
      </c>
      <c r="G1382">
        <v>0</v>
      </c>
      <c r="H1382" t="s">
        <v>6309</v>
      </c>
      <c r="I1382">
        <v>1531</v>
      </c>
      <c r="J1382" t="str">
        <f>VLOOKUP(E1382,DSSpieler!A:B,2,FALSE)</f>
        <v>HeavenKeeper</v>
      </c>
    </row>
    <row r="1383" spans="1:10" x14ac:dyDescent="0.25">
      <c r="A1383">
        <v>1533</v>
      </c>
      <c r="B1383" t="s">
        <v>531</v>
      </c>
      <c r="C1383">
        <v>491</v>
      </c>
      <c r="D1383">
        <v>478</v>
      </c>
      <c r="E1383">
        <v>0</v>
      </c>
      <c r="F1383">
        <v>100</v>
      </c>
      <c r="G1383">
        <v>0</v>
      </c>
      <c r="H1383" t="s">
        <v>6310</v>
      </c>
      <c r="I1383">
        <v>1533</v>
      </c>
      <c r="J1383" t="e">
        <f>VLOOKUP(E1383,DSSpieler!A:B,2,FALSE)</f>
        <v>#N/A</v>
      </c>
    </row>
    <row r="1384" spans="1:10" x14ac:dyDescent="0.25">
      <c r="A1384">
        <v>1534</v>
      </c>
      <c r="B1384" t="s">
        <v>531</v>
      </c>
      <c r="C1384">
        <v>441</v>
      </c>
      <c r="D1384">
        <v>462</v>
      </c>
      <c r="E1384">
        <v>0</v>
      </c>
      <c r="F1384">
        <v>356</v>
      </c>
      <c r="G1384">
        <v>0</v>
      </c>
      <c r="H1384" t="s">
        <v>6311</v>
      </c>
      <c r="I1384">
        <v>1534</v>
      </c>
      <c r="J1384" t="e">
        <f>VLOOKUP(E1384,DSSpieler!A:B,2,FALSE)</f>
        <v>#N/A</v>
      </c>
    </row>
    <row r="1385" spans="1:10" x14ac:dyDescent="0.25">
      <c r="A1385">
        <v>1537</v>
      </c>
      <c r="B1385" t="s">
        <v>31136</v>
      </c>
      <c r="C1385">
        <v>464</v>
      </c>
      <c r="D1385">
        <v>423</v>
      </c>
      <c r="E1385">
        <v>1577190694</v>
      </c>
      <c r="F1385">
        <v>6052</v>
      </c>
      <c r="G1385">
        <v>0</v>
      </c>
      <c r="H1385" t="s">
        <v>6312</v>
      </c>
      <c r="I1385">
        <v>1537</v>
      </c>
      <c r="J1385" t="str">
        <f>VLOOKUP(E1385,DSSpieler!A:B,2,FALSE)</f>
        <v>Lord 3raZor</v>
      </c>
    </row>
    <row r="1386" spans="1:10" x14ac:dyDescent="0.25">
      <c r="A1386">
        <v>1542</v>
      </c>
      <c r="B1386" t="s">
        <v>531</v>
      </c>
      <c r="C1386">
        <v>448</v>
      </c>
      <c r="D1386">
        <v>502</v>
      </c>
      <c r="E1386">
        <v>0</v>
      </c>
      <c r="F1386">
        <v>363</v>
      </c>
      <c r="G1386">
        <v>0</v>
      </c>
      <c r="H1386" t="s">
        <v>6313</v>
      </c>
      <c r="I1386">
        <v>1542</v>
      </c>
      <c r="J1386" t="e">
        <f>VLOOKUP(E1386,DSSpieler!A:B,2,FALSE)</f>
        <v>#N/A</v>
      </c>
    </row>
    <row r="1387" spans="1:10" x14ac:dyDescent="0.25">
      <c r="A1387">
        <v>1545</v>
      </c>
      <c r="B1387" t="s">
        <v>31137</v>
      </c>
      <c r="C1387">
        <v>462</v>
      </c>
      <c r="D1387">
        <v>411</v>
      </c>
      <c r="E1387">
        <v>9639579</v>
      </c>
      <c r="F1387">
        <v>4233</v>
      </c>
      <c r="G1387">
        <v>0</v>
      </c>
      <c r="H1387" t="s">
        <v>6314</v>
      </c>
      <c r="I1387">
        <v>1545</v>
      </c>
      <c r="J1387" t="str">
        <f>VLOOKUP(E1387,DSSpieler!A:B,2,FALSE)</f>
        <v>M@giXx</v>
      </c>
    </row>
    <row r="1388" spans="1:10" x14ac:dyDescent="0.25">
      <c r="A1388">
        <v>1547</v>
      </c>
      <c r="B1388" t="s">
        <v>31138</v>
      </c>
      <c r="C1388">
        <v>452</v>
      </c>
      <c r="D1388">
        <v>411</v>
      </c>
      <c r="E1388">
        <v>1577064445</v>
      </c>
      <c r="F1388">
        <v>5660</v>
      </c>
      <c r="G1388">
        <v>0</v>
      </c>
      <c r="H1388" t="s">
        <v>6315</v>
      </c>
      <c r="I1388">
        <v>1547</v>
      </c>
      <c r="J1388" t="str">
        <f>VLOOKUP(E1388,DSSpieler!A:B,2,FALSE)</f>
        <v>Nightwolf</v>
      </c>
    </row>
    <row r="1389" spans="1:10" x14ac:dyDescent="0.25">
      <c r="A1389">
        <v>1548</v>
      </c>
      <c r="B1389" t="s">
        <v>31139</v>
      </c>
      <c r="C1389">
        <v>453</v>
      </c>
      <c r="D1389">
        <v>414</v>
      </c>
      <c r="E1389">
        <v>1577199279</v>
      </c>
      <c r="F1389">
        <v>5601</v>
      </c>
      <c r="G1389">
        <v>0</v>
      </c>
      <c r="H1389" t="s">
        <v>6316</v>
      </c>
      <c r="I1389">
        <v>1548</v>
      </c>
      <c r="J1389" t="str">
        <f>VLOOKUP(E1389,DSSpieler!A:B,2,FALSE)</f>
        <v>BVB.09</v>
      </c>
    </row>
    <row r="1390" spans="1:10" x14ac:dyDescent="0.25">
      <c r="A1390">
        <v>1549</v>
      </c>
      <c r="B1390" t="s">
        <v>31140</v>
      </c>
      <c r="C1390">
        <v>457</v>
      </c>
      <c r="D1390">
        <v>411</v>
      </c>
      <c r="E1390">
        <v>10008820</v>
      </c>
      <c r="F1390">
        <v>5514</v>
      </c>
      <c r="G1390">
        <v>0</v>
      </c>
      <c r="H1390" t="s">
        <v>6317</v>
      </c>
      <c r="I1390">
        <v>1549</v>
      </c>
      <c r="J1390" t="str">
        <f>VLOOKUP(E1390,DSSpieler!A:B,2,FALSE)</f>
        <v>Phasen Kasper</v>
      </c>
    </row>
    <row r="1391" spans="1:10" x14ac:dyDescent="0.25">
      <c r="A1391">
        <v>1550</v>
      </c>
      <c r="B1391" t="s">
        <v>31138</v>
      </c>
      <c r="C1391">
        <v>459</v>
      </c>
      <c r="D1391">
        <v>409</v>
      </c>
      <c r="E1391">
        <v>1577064445</v>
      </c>
      <c r="F1391">
        <v>4683</v>
      </c>
      <c r="G1391">
        <v>0</v>
      </c>
      <c r="H1391" t="s">
        <v>6318</v>
      </c>
      <c r="I1391">
        <v>1550</v>
      </c>
      <c r="J1391" t="str">
        <f>VLOOKUP(E1391,DSSpieler!A:B,2,FALSE)</f>
        <v>Nightwolf</v>
      </c>
    </row>
    <row r="1392" spans="1:10" x14ac:dyDescent="0.25">
      <c r="A1392">
        <v>1551</v>
      </c>
      <c r="B1392" t="s">
        <v>31141</v>
      </c>
      <c r="C1392">
        <v>471</v>
      </c>
      <c r="D1392">
        <v>404</v>
      </c>
      <c r="E1392">
        <v>1576012014</v>
      </c>
      <c r="F1392">
        <v>6671</v>
      </c>
      <c r="G1392">
        <v>0</v>
      </c>
      <c r="H1392" t="s">
        <v>6319</v>
      </c>
      <c r="I1392">
        <v>1551</v>
      </c>
      <c r="J1392" t="str">
        <f>VLOOKUP(E1392,DSSpieler!A:B,2,FALSE)</f>
        <v>Windwächter</v>
      </c>
    </row>
    <row r="1393" spans="1:10" x14ac:dyDescent="0.25">
      <c r="A1393">
        <v>1552</v>
      </c>
      <c r="B1393" t="s">
        <v>31142</v>
      </c>
      <c r="C1393">
        <v>480</v>
      </c>
      <c r="D1393">
        <v>402</v>
      </c>
      <c r="E1393">
        <v>1576764568</v>
      </c>
      <c r="F1393">
        <v>1583</v>
      </c>
      <c r="G1393">
        <v>0</v>
      </c>
      <c r="H1393" t="s">
        <v>6320</v>
      </c>
      <c r="I1393">
        <v>1552</v>
      </c>
      <c r="J1393" t="str">
        <f>VLOOKUP(E1393,DSSpieler!A:B,2,FALSE)</f>
        <v>TimoM1</v>
      </c>
    </row>
    <row r="1394" spans="1:10" x14ac:dyDescent="0.25">
      <c r="A1394">
        <v>1553</v>
      </c>
      <c r="B1394" t="s">
        <v>531</v>
      </c>
      <c r="C1394">
        <v>556</v>
      </c>
      <c r="D1394">
        <v>446</v>
      </c>
      <c r="E1394">
        <v>0</v>
      </c>
      <c r="F1394">
        <v>384</v>
      </c>
      <c r="G1394">
        <v>0</v>
      </c>
      <c r="H1394" t="s">
        <v>6321</v>
      </c>
      <c r="I1394">
        <v>1553</v>
      </c>
      <c r="J1394" t="e">
        <f>VLOOKUP(E1394,DSSpieler!A:B,2,FALSE)</f>
        <v>#N/A</v>
      </c>
    </row>
    <row r="1395" spans="1:10" x14ac:dyDescent="0.25">
      <c r="A1395">
        <v>1554</v>
      </c>
      <c r="B1395" t="s">
        <v>805</v>
      </c>
      <c r="C1395">
        <v>471</v>
      </c>
      <c r="D1395">
        <v>401</v>
      </c>
      <c r="E1395">
        <v>1577085607</v>
      </c>
      <c r="F1395">
        <v>2105</v>
      </c>
      <c r="G1395">
        <v>0</v>
      </c>
      <c r="H1395" t="s">
        <v>6322</v>
      </c>
      <c r="I1395">
        <v>1554</v>
      </c>
      <c r="J1395" t="str">
        <f>VLOOKUP(E1395,DSSpieler!A:B,2,FALSE)</f>
        <v>Königin Jinxor</v>
      </c>
    </row>
    <row r="1396" spans="1:10" x14ac:dyDescent="0.25">
      <c r="A1396">
        <v>1555</v>
      </c>
      <c r="B1396" t="s">
        <v>31138</v>
      </c>
      <c r="C1396">
        <v>458</v>
      </c>
      <c r="D1396">
        <v>405</v>
      </c>
      <c r="E1396">
        <v>1577064445</v>
      </c>
      <c r="F1396">
        <v>5787</v>
      </c>
      <c r="G1396">
        <v>0</v>
      </c>
      <c r="H1396" t="s">
        <v>6323</v>
      </c>
      <c r="I1396">
        <v>1555</v>
      </c>
      <c r="J1396" t="str">
        <f>VLOOKUP(E1396,DSSpieler!A:B,2,FALSE)</f>
        <v>Nightwolf</v>
      </c>
    </row>
    <row r="1397" spans="1:10" x14ac:dyDescent="0.25">
      <c r="A1397">
        <v>1556</v>
      </c>
      <c r="B1397" t="s">
        <v>31143</v>
      </c>
      <c r="C1397">
        <v>460</v>
      </c>
      <c r="D1397">
        <v>409</v>
      </c>
      <c r="E1397">
        <v>10008820</v>
      </c>
      <c r="F1397">
        <v>4387</v>
      </c>
      <c r="G1397">
        <v>0</v>
      </c>
      <c r="H1397" t="s">
        <v>6324</v>
      </c>
      <c r="I1397">
        <v>1556</v>
      </c>
      <c r="J1397" t="str">
        <f>VLOOKUP(E1397,DSSpieler!A:B,2,FALSE)</f>
        <v>Phasen Kasper</v>
      </c>
    </row>
    <row r="1398" spans="1:10" x14ac:dyDescent="0.25">
      <c r="A1398">
        <v>1557</v>
      </c>
      <c r="B1398" t="s">
        <v>531</v>
      </c>
      <c r="C1398">
        <v>466</v>
      </c>
      <c r="D1398">
        <v>414</v>
      </c>
      <c r="E1398">
        <v>0</v>
      </c>
      <c r="F1398">
        <v>834</v>
      </c>
      <c r="G1398">
        <v>0</v>
      </c>
      <c r="H1398" t="s">
        <v>6325</v>
      </c>
      <c r="I1398">
        <v>1557</v>
      </c>
      <c r="J1398" t="e">
        <f>VLOOKUP(E1398,DSSpieler!A:B,2,FALSE)</f>
        <v>#N/A</v>
      </c>
    </row>
    <row r="1399" spans="1:10" x14ac:dyDescent="0.25">
      <c r="A1399">
        <v>1558</v>
      </c>
      <c r="B1399" t="s">
        <v>31144</v>
      </c>
      <c r="C1399">
        <v>466</v>
      </c>
      <c r="D1399">
        <v>401</v>
      </c>
      <c r="E1399">
        <v>8740022</v>
      </c>
      <c r="F1399">
        <v>3444</v>
      </c>
      <c r="G1399">
        <v>0</v>
      </c>
      <c r="H1399" t="s">
        <v>6326</v>
      </c>
      <c r="I1399">
        <v>1558</v>
      </c>
      <c r="J1399" t="str">
        <f>VLOOKUP(E1399,DSSpieler!A:B,2,FALSE)</f>
        <v>Lord Ozner</v>
      </c>
    </row>
    <row r="1400" spans="1:10" x14ac:dyDescent="0.25">
      <c r="A1400">
        <v>1559</v>
      </c>
      <c r="B1400" t="s">
        <v>531</v>
      </c>
      <c r="C1400">
        <v>459</v>
      </c>
      <c r="D1400">
        <v>418</v>
      </c>
      <c r="E1400">
        <v>0</v>
      </c>
      <c r="F1400">
        <v>1167</v>
      </c>
      <c r="G1400">
        <v>0</v>
      </c>
      <c r="H1400" t="s">
        <v>6327</v>
      </c>
      <c r="I1400">
        <v>1559</v>
      </c>
      <c r="J1400" t="e">
        <f>VLOOKUP(E1400,DSSpieler!A:B,2,FALSE)</f>
        <v>#N/A</v>
      </c>
    </row>
    <row r="1401" spans="1:10" x14ac:dyDescent="0.25">
      <c r="A1401">
        <v>1560</v>
      </c>
      <c r="B1401" t="s">
        <v>31145</v>
      </c>
      <c r="C1401">
        <v>475</v>
      </c>
      <c r="D1401">
        <v>407</v>
      </c>
      <c r="E1401">
        <v>1577197317</v>
      </c>
      <c r="F1401">
        <v>6482</v>
      </c>
      <c r="G1401">
        <v>0</v>
      </c>
      <c r="H1401" t="s">
        <v>6328</v>
      </c>
      <c r="I1401">
        <v>1560</v>
      </c>
      <c r="J1401" t="str">
        <f>VLOOKUP(E1401,DSSpieler!A:B,2,FALSE)</f>
        <v>DieWaldfee</v>
      </c>
    </row>
    <row r="1402" spans="1:10" x14ac:dyDescent="0.25">
      <c r="A1402">
        <v>1561</v>
      </c>
      <c r="B1402" t="s">
        <v>30621</v>
      </c>
      <c r="C1402">
        <v>498</v>
      </c>
      <c r="D1402">
        <v>512</v>
      </c>
      <c r="E1402">
        <v>7972143</v>
      </c>
      <c r="F1402">
        <v>5478</v>
      </c>
      <c r="G1402">
        <v>0</v>
      </c>
      <c r="H1402" t="s">
        <v>6329</v>
      </c>
      <c r="I1402">
        <v>1561</v>
      </c>
      <c r="J1402" t="str">
        <f>VLOOKUP(E1402,DSSpieler!A:B,2,FALSE)</f>
        <v>Sir Joiner</v>
      </c>
    </row>
    <row r="1403" spans="1:10" x14ac:dyDescent="0.25">
      <c r="A1403">
        <v>1562</v>
      </c>
      <c r="B1403" s="111">
        <v>230.05</v>
      </c>
      <c r="C1403">
        <v>496</v>
      </c>
      <c r="D1403">
        <v>518</v>
      </c>
      <c r="E1403">
        <v>1577196283</v>
      </c>
      <c r="F1403">
        <v>4435</v>
      </c>
      <c r="G1403">
        <v>0</v>
      </c>
      <c r="H1403" t="s">
        <v>6330</v>
      </c>
      <c r="I1403">
        <v>1562</v>
      </c>
      <c r="J1403" t="str">
        <f>VLOOKUP(E1403,DSSpieler!A:B,2,FALSE)</f>
        <v>SupremooZ</v>
      </c>
    </row>
    <row r="1404" spans="1:10" x14ac:dyDescent="0.25">
      <c r="A1404">
        <v>1563</v>
      </c>
      <c r="B1404" t="s">
        <v>806</v>
      </c>
      <c r="C1404">
        <v>495</v>
      </c>
      <c r="D1404">
        <v>509</v>
      </c>
      <c r="E1404">
        <v>1576860928</v>
      </c>
      <c r="F1404">
        <v>8054</v>
      </c>
      <c r="G1404">
        <v>0</v>
      </c>
      <c r="H1404" t="s">
        <v>6331</v>
      </c>
      <c r="I1404">
        <v>1563</v>
      </c>
      <c r="J1404" t="str">
        <f>VLOOKUP(E1404,DSSpieler!A:B,2,FALSE)</f>
        <v>Widi61</v>
      </c>
    </row>
    <row r="1405" spans="1:10" x14ac:dyDescent="0.25">
      <c r="A1405">
        <v>1564</v>
      </c>
      <c r="B1405" t="s">
        <v>31146</v>
      </c>
      <c r="C1405">
        <v>504</v>
      </c>
      <c r="D1405">
        <v>509</v>
      </c>
      <c r="E1405">
        <v>1576991328</v>
      </c>
      <c r="F1405">
        <v>4390</v>
      </c>
      <c r="G1405">
        <v>0</v>
      </c>
      <c r="H1405" t="s">
        <v>6332</v>
      </c>
      <c r="I1405">
        <v>1564</v>
      </c>
      <c r="J1405" t="str">
        <f>VLOOKUP(E1405,DSSpieler!A:B,2,FALSE)</f>
        <v>D.Kraft91</v>
      </c>
    </row>
    <row r="1406" spans="1:10" x14ac:dyDescent="0.25">
      <c r="A1406">
        <v>1565</v>
      </c>
      <c r="B1406" t="s">
        <v>531</v>
      </c>
      <c r="C1406">
        <v>442</v>
      </c>
      <c r="D1406">
        <v>475</v>
      </c>
      <c r="E1406">
        <v>0</v>
      </c>
      <c r="F1406">
        <v>393</v>
      </c>
      <c r="G1406">
        <v>0</v>
      </c>
      <c r="H1406" t="s">
        <v>6333</v>
      </c>
      <c r="I1406">
        <v>1565</v>
      </c>
      <c r="J1406" t="e">
        <f>VLOOKUP(E1406,DSSpieler!A:B,2,FALSE)</f>
        <v>#N/A</v>
      </c>
    </row>
    <row r="1407" spans="1:10" x14ac:dyDescent="0.25">
      <c r="A1407">
        <v>1566</v>
      </c>
      <c r="B1407" t="s">
        <v>31147</v>
      </c>
      <c r="C1407">
        <v>499</v>
      </c>
      <c r="D1407">
        <v>520</v>
      </c>
      <c r="E1407">
        <v>1577114174</v>
      </c>
      <c r="F1407">
        <v>5464</v>
      </c>
      <c r="G1407">
        <v>0</v>
      </c>
      <c r="H1407" t="s">
        <v>6334</v>
      </c>
      <c r="I1407">
        <v>1566</v>
      </c>
      <c r="J1407" t="str">
        <f>VLOOKUP(E1407,DSSpieler!A:B,2,FALSE)</f>
        <v>Smitty Werben</v>
      </c>
    </row>
    <row r="1408" spans="1:10" x14ac:dyDescent="0.25">
      <c r="A1408">
        <v>1567</v>
      </c>
      <c r="B1408">
        <v>187</v>
      </c>
      <c r="C1408">
        <v>499</v>
      </c>
      <c r="D1408">
        <v>504</v>
      </c>
      <c r="E1408">
        <v>1577182611</v>
      </c>
      <c r="F1408">
        <v>5656</v>
      </c>
      <c r="G1408">
        <v>0</v>
      </c>
      <c r="H1408" t="s">
        <v>6335</v>
      </c>
      <c r="I1408">
        <v>1567</v>
      </c>
      <c r="J1408" t="str">
        <f>VLOOKUP(E1408,DSSpieler!A:B,2,FALSE)</f>
        <v>Moneybagg yo</v>
      </c>
    </row>
    <row r="1409" spans="1:10" x14ac:dyDescent="0.25">
      <c r="A1409">
        <v>1568</v>
      </c>
      <c r="B1409" t="s">
        <v>31148</v>
      </c>
      <c r="C1409">
        <v>494</v>
      </c>
      <c r="D1409">
        <v>521</v>
      </c>
      <c r="E1409">
        <v>1577182868</v>
      </c>
      <c r="F1409">
        <v>2033</v>
      </c>
      <c r="G1409">
        <v>0</v>
      </c>
      <c r="H1409" t="s">
        <v>6336</v>
      </c>
      <c r="I1409">
        <v>1568</v>
      </c>
      <c r="J1409" t="str">
        <f>VLOOKUP(E1409,DSSpieler!A:B,2,FALSE)</f>
        <v>420xShine</v>
      </c>
    </row>
    <row r="1410" spans="1:10" x14ac:dyDescent="0.25">
      <c r="A1410">
        <v>1569</v>
      </c>
      <c r="B1410" t="s">
        <v>531</v>
      </c>
      <c r="C1410">
        <v>494</v>
      </c>
      <c r="D1410">
        <v>516</v>
      </c>
      <c r="E1410">
        <v>0</v>
      </c>
      <c r="F1410">
        <v>134</v>
      </c>
      <c r="G1410">
        <v>0</v>
      </c>
      <c r="H1410" t="s">
        <v>6337</v>
      </c>
      <c r="I1410">
        <v>1569</v>
      </c>
      <c r="J1410" t="e">
        <f>VLOOKUP(E1410,DSSpieler!A:B,2,FALSE)</f>
        <v>#N/A</v>
      </c>
    </row>
    <row r="1411" spans="1:10" x14ac:dyDescent="0.25">
      <c r="A1411">
        <v>1570</v>
      </c>
      <c r="B1411" t="s">
        <v>531</v>
      </c>
      <c r="C1411">
        <v>490</v>
      </c>
      <c r="D1411">
        <v>520</v>
      </c>
      <c r="E1411">
        <v>0</v>
      </c>
      <c r="F1411">
        <v>176</v>
      </c>
      <c r="G1411">
        <v>0</v>
      </c>
      <c r="H1411" t="s">
        <v>6338</v>
      </c>
      <c r="I1411">
        <v>1570</v>
      </c>
      <c r="J1411" t="e">
        <f>VLOOKUP(E1411,DSSpieler!A:B,2,FALSE)</f>
        <v>#N/A</v>
      </c>
    </row>
    <row r="1412" spans="1:10" x14ac:dyDescent="0.25">
      <c r="A1412">
        <v>1571</v>
      </c>
      <c r="B1412" t="s">
        <v>31149</v>
      </c>
      <c r="C1412">
        <v>494</v>
      </c>
      <c r="D1412">
        <v>509</v>
      </c>
      <c r="E1412">
        <v>1577184436</v>
      </c>
      <c r="F1412">
        <v>5930</v>
      </c>
      <c r="G1412">
        <v>0</v>
      </c>
      <c r="H1412" t="s">
        <v>6339</v>
      </c>
      <c r="I1412">
        <v>1571</v>
      </c>
      <c r="J1412" t="str">
        <f>VLOOKUP(E1412,DSSpieler!A:B,2,FALSE)</f>
        <v>jaaaan3</v>
      </c>
    </row>
    <row r="1413" spans="1:10" x14ac:dyDescent="0.25">
      <c r="A1413">
        <v>1572</v>
      </c>
      <c r="B1413" t="s">
        <v>807</v>
      </c>
      <c r="C1413">
        <v>497</v>
      </c>
      <c r="D1413">
        <v>511</v>
      </c>
      <c r="E1413">
        <v>1577184445</v>
      </c>
      <c r="F1413">
        <v>6107</v>
      </c>
      <c r="G1413">
        <v>0</v>
      </c>
      <c r="H1413" t="s">
        <v>6340</v>
      </c>
      <c r="I1413">
        <v>1572</v>
      </c>
      <c r="J1413" t="str">
        <f>VLOOKUP(E1413,DSSpieler!A:B,2,FALSE)</f>
        <v>MaKer237</v>
      </c>
    </row>
    <row r="1414" spans="1:10" x14ac:dyDescent="0.25">
      <c r="A1414">
        <v>1573</v>
      </c>
      <c r="B1414" s="111">
        <v>230.03</v>
      </c>
      <c r="C1414">
        <v>500</v>
      </c>
      <c r="D1414">
        <v>517</v>
      </c>
      <c r="E1414">
        <v>1577196283</v>
      </c>
      <c r="F1414">
        <v>6297</v>
      </c>
      <c r="G1414">
        <v>0</v>
      </c>
      <c r="H1414" t="s">
        <v>6341</v>
      </c>
      <c r="I1414">
        <v>1573</v>
      </c>
      <c r="J1414" t="str">
        <f>VLOOKUP(E1414,DSSpieler!A:B,2,FALSE)</f>
        <v>SupremooZ</v>
      </c>
    </row>
    <row r="1415" spans="1:10" x14ac:dyDescent="0.25">
      <c r="A1415">
        <v>1574</v>
      </c>
      <c r="B1415" t="s">
        <v>31150</v>
      </c>
      <c r="C1415">
        <v>502</v>
      </c>
      <c r="D1415">
        <v>507</v>
      </c>
      <c r="E1415">
        <v>1577186103</v>
      </c>
      <c r="F1415">
        <v>4439</v>
      </c>
      <c r="G1415">
        <v>0</v>
      </c>
      <c r="H1415" t="s">
        <v>6342</v>
      </c>
      <c r="I1415">
        <v>1574</v>
      </c>
      <c r="J1415" t="str">
        <f>VLOOKUP(E1415,DSSpieler!A:B,2,FALSE)</f>
        <v>Pelamon</v>
      </c>
    </row>
    <row r="1416" spans="1:10" x14ac:dyDescent="0.25">
      <c r="A1416">
        <v>1575</v>
      </c>
      <c r="B1416" t="s">
        <v>31151</v>
      </c>
      <c r="C1416">
        <v>558</v>
      </c>
      <c r="D1416">
        <v>452</v>
      </c>
      <c r="E1416">
        <v>9314373</v>
      </c>
      <c r="F1416">
        <v>821</v>
      </c>
      <c r="G1416">
        <v>0</v>
      </c>
      <c r="H1416" t="s">
        <v>6343</v>
      </c>
      <c r="I1416">
        <v>1575</v>
      </c>
      <c r="J1416" t="str">
        <f>VLOOKUP(E1416,DSSpieler!A:B,2,FALSE)</f>
        <v>bettydog</v>
      </c>
    </row>
    <row r="1417" spans="1:10" x14ac:dyDescent="0.25">
      <c r="A1417">
        <v>1576</v>
      </c>
      <c r="B1417" t="s">
        <v>31152</v>
      </c>
      <c r="C1417">
        <v>508</v>
      </c>
      <c r="D1417">
        <v>500</v>
      </c>
      <c r="E1417">
        <v>96551</v>
      </c>
      <c r="F1417">
        <v>3764</v>
      </c>
      <c r="G1417">
        <v>0</v>
      </c>
      <c r="H1417" t="s">
        <v>6344</v>
      </c>
      <c r="I1417">
        <v>1576</v>
      </c>
      <c r="J1417" t="str">
        <f>VLOOKUP(E1417,DSSpieler!A:B,2,FALSE)</f>
        <v>Lord Bergi</v>
      </c>
    </row>
    <row r="1418" spans="1:10" x14ac:dyDescent="0.25">
      <c r="A1418">
        <v>1577</v>
      </c>
      <c r="B1418" t="s">
        <v>600</v>
      </c>
      <c r="C1418">
        <v>502</v>
      </c>
      <c r="D1418">
        <v>509</v>
      </c>
      <c r="E1418">
        <v>1577181833</v>
      </c>
      <c r="F1418">
        <v>5801</v>
      </c>
      <c r="G1418">
        <v>0</v>
      </c>
      <c r="H1418" t="s">
        <v>6345</v>
      </c>
      <c r="I1418">
        <v>1577</v>
      </c>
      <c r="J1418">
        <f>VLOOKUP(E1418,DSSpieler!A:B,2,FALSE)</f>
        <v>43839</v>
      </c>
    </row>
    <row r="1419" spans="1:10" x14ac:dyDescent="0.25">
      <c r="A1419">
        <v>1578</v>
      </c>
      <c r="B1419" t="s">
        <v>531</v>
      </c>
      <c r="C1419">
        <v>445</v>
      </c>
      <c r="D1419">
        <v>499</v>
      </c>
      <c r="E1419">
        <v>0</v>
      </c>
      <c r="F1419">
        <v>304</v>
      </c>
      <c r="G1419">
        <v>0</v>
      </c>
      <c r="H1419" t="s">
        <v>6346</v>
      </c>
      <c r="I1419">
        <v>1578</v>
      </c>
      <c r="J1419" t="e">
        <f>VLOOKUP(E1419,DSSpieler!A:B,2,FALSE)</f>
        <v>#N/A</v>
      </c>
    </row>
    <row r="1420" spans="1:10" x14ac:dyDescent="0.25">
      <c r="A1420">
        <v>1579</v>
      </c>
      <c r="B1420" t="s">
        <v>531</v>
      </c>
      <c r="C1420">
        <v>481</v>
      </c>
      <c r="D1420">
        <v>515</v>
      </c>
      <c r="E1420">
        <v>0</v>
      </c>
      <c r="F1420">
        <v>225</v>
      </c>
      <c r="G1420">
        <v>0</v>
      </c>
      <c r="H1420" t="s">
        <v>6347</v>
      </c>
      <c r="I1420">
        <v>1579</v>
      </c>
      <c r="J1420" t="e">
        <f>VLOOKUP(E1420,DSSpieler!A:B,2,FALSE)</f>
        <v>#N/A</v>
      </c>
    </row>
    <row r="1421" spans="1:10" x14ac:dyDescent="0.25">
      <c r="A1421">
        <v>1580</v>
      </c>
      <c r="B1421" t="s">
        <v>31153</v>
      </c>
      <c r="C1421">
        <v>497</v>
      </c>
      <c r="D1421">
        <v>516</v>
      </c>
      <c r="E1421">
        <v>1577171743</v>
      </c>
      <c r="F1421">
        <v>2466</v>
      </c>
      <c r="G1421">
        <v>0</v>
      </c>
      <c r="H1421" t="s">
        <v>6348</v>
      </c>
      <c r="I1421">
        <v>1580</v>
      </c>
      <c r="J1421" t="str">
        <f>VLOOKUP(E1421,DSSpieler!A:B,2,FALSE)</f>
        <v>Karabat</v>
      </c>
    </row>
    <row r="1422" spans="1:10" x14ac:dyDescent="0.25">
      <c r="A1422">
        <v>1581</v>
      </c>
      <c r="B1422" t="s">
        <v>31154</v>
      </c>
      <c r="C1422">
        <v>494</v>
      </c>
      <c r="D1422">
        <v>510</v>
      </c>
      <c r="E1422">
        <v>1577003629</v>
      </c>
      <c r="F1422">
        <v>1944</v>
      </c>
      <c r="G1422">
        <v>0</v>
      </c>
      <c r="H1422" t="s">
        <v>6349</v>
      </c>
      <c r="I1422">
        <v>1581</v>
      </c>
      <c r="J1422" t="str">
        <f>VLOOKUP(E1422,DSSpieler!A:B,2,FALSE)</f>
        <v>KingJango</v>
      </c>
    </row>
    <row r="1423" spans="1:10" x14ac:dyDescent="0.25">
      <c r="A1423">
        <v>1582</v>
      </c>
      <c r="B1423" t="s">
        <v>30621</v>
      </c>
      <c r="C1423">
        <v>497</v>
      </c>
      <c r="D1423">
        <v>510</v>
      </c>
      <c r="E1423">
        <v>7972143</v>
      </c>
      <c r="F1423">
        <v>5144</v>
      </c>
      <c r="G1423">
        <v>0</v>
      </c>
      <c r="H1423" t="s">
        <v>6350</v>
      </c>
      <c r="I1423">
        <v>1582</v>
      </c>
      <c r="J1423" t="str">
        <f>VLOOKUP(E1423,DSSpieler!A:B,2,FALSE)</f>
        <v>Sir Joiner</v>
      </c>
    </row>
    <row r="1424" spans="1:10" x14ac:dyDescent="0.25">
      <c r="A1424">
        <v>1583</v>
      </c>
      <c r="B1424" t="s">
        <v>808</v>
      </c>
      <c r="C1424">
        <v>501</v>
      </c>
      <c r="D1424">
        <v>515</v>
      </c>
      <c r="E1424">
        <v>1577006439</v>
      </c>
      <c r="F1424">
        <v>5233</v>
      </c>
      <c r="G1424">
        <v>0</v>
      </c>
      <c r="H1424" t="s">
        <v>6351</v>
      </c>
      <c r="I1424">
        <v>1583</v>
      </c>
      <c r="J1424" t="str">
        <f>VLOOKUP(E1424,DSSpieler!A:B,2,FALSE)</f>
        <v>Dein Freund und Helfer</v>
      </c>
    </row>
    <row r="1425" spans="1:10" x14ac:dyDescent="0.25">
      <c r="A1425">
        <v>1584</v>
      </c>
      <c r="B1425" t="s">
        <v>531</v>
      </c>
      <c r="C1425">
        <v>494</v>
      </c>
      <c r="D1425">
        <v>500</v>
      </c>
      <c r="E1425">
        <v>0</v>
      </c>
      <c r="F1425">
        <v>336</v>
      </c>
      <c r="G1425">
        <v>0</v>
      </c>
      <c r="H1425" t="s">
        <v>6352</v>
      </c>
      <c r="I1425">
        <v>1584</v>
      </c>
      <c r="J1425" t="e">
        <f>VLOOKUP(E1425,DSSpieler!A:B,2,FALSE)</f>
        <v>#N/A</v>
      </c>
    </row>
    <row r="1426" spans="1:10" x14ac:dyDescent="0.25">
      <c r="A1426">
        <v>1587</v>
      </c>
      <c r="B1426" t="s">
        <v>31155</v>
      </c>
      <c r="C1426">
        <v>506</v>
      </c>
      <c r="D1426">
        <v>496</v>
      </c>
      <c r="E1426">
        <v>1577198897</v>
      </c>
      <c r="F1426">
        <v>676</v>
      </c>
      <c r="G1426">
        <v>0</v>
      </c>
      <c r="H1426" t="s">
        <v>6353</v>
      </c>
      <c r="I1426">
        <v>1587</v>
      </c>
      <c r="J1426" t="str">
        <f>VLOOKUP(E1426,DSSpieler!A:B,2,FALSE)</f>
        <v>Lollypop1807</v>
      </c>
    </row>
    <row r="1427" spans="1:10" x14ac:dyDescent="0.25">
      <c r="A1427">
        <v>1588</v>
      </c>
      <c r="B1427" t="s">
        <v>30820</v>
      </c>
      <c r="C1427">
        <v>580</v>
      </c>
      <c r="D1427">
        <v>542</v>
      </c>
      <c r="E1427">
        <v>1577178554</v>
      </c>
      <c r="F1427">
        <v>5457</v>
      </c>
      <c r="G1427">
        <v>0</v>
      </c>
      <c r="H1427" t="s">
        <v>6354</v>
      </c>
      <c r="I1427">
        <v>1588</v>
      </c>
      <c r="J1427" t="str">
        <f>VLOOKUP(E1427,DSSpieler!A:B,2,FALSE)</f>
        <v>Nicer Dude</v>
      </c>
    </row>
    <row r="1428" spans="1:10" x14ac:dyDescent="0.25">
      <c r="A1428">
        <v>1590</v>
      </c>
      <c r="B1428" t="s">
        <v>31156</v>
      </c>
      <c r="C1428">
        <v>601</v>
      </c>
      <c r="D1428">
        <v>533</v>
      </c>
      <c r="E1428">
        <v>9781467</v>
      </c>
      <c r="F1428">
        <v>4722</v>
      </c>
      <c r="G1428">
        <v>0</v>
      </c>
      <c r="H1428" t="s">
        <v>6355</v>
      </c>
      <c r="I1428">
        <v>1590</v>
      </c>
      <c r="J1428" t="str">
        <f>VLOOKUP(E1428,DSSpieler!A:B,2,FALSE)</f>
        <v>Cry or Bash</v>
      </c>
    </row>
    <row r="1429" spans="1:10" x14ac:dyDescent="0.25">
      <c r="A1429">
        <v>1591</v>
      </c>
      <c r="B1429" t="s">
        <v>809</v>
      </c>
      <c r="C1429">
        <v>457</v>
      </c>
      <c r="D1429">
        <v>497</v>
      </c>
      <c r="E1429">
        <v>1576995042</v>
      </c>
      <c r="F1429">
        <v>5405</v>
      </c>
      <c r="G1429">
        <v>0</v>
      </c>
      <c r="H1429" t="s">
        <v>6356</v>
      </c>
      <c r="I1429">
        <v>1591</v>
      </c>
      <c r="J1429" t="str">
        <f>VLOOKUP(E1429,DSSpieler!A:B,2,FALSE)</f>
        <v>diggaman</v>
      </c>
    </row>
    <row r="1430" spans="1:10" x14ac:dyDescent="0.25">
      <c r="A1430">
        <v>1592</v>
      </c>
      <c r="B1430" t="s">
        <v>673</v>
      </c>
      <c r="C1430">
        <v>455</v>
      </c>
      <c r="D1430">
        <v>502</v>
      </c>
      <c r="E1430">
        <v>1577187878</v>
      </c>
      <c r="F1430">
        <v>4194</v>
      </c>
      <c r="G1430">
        <v>0</v>
      </c>
      <c r="H1430" t="s">
        <v>6357</v>
      </c>
      <c r="I1430">
        <v>1592</v>
      </c>
      <c r="J1430" t="str">
        <f>VLOOKUP(E1430,DSSpieler!A:B,2,FALSE)</f>
        <v>Ilovemyskills</v>
      </c>
    </row>
    <row r="1431" spans="1:10" x14ac:dyDescent="0.25">
      <c r="A1431">
        <v>1593</v>
      </c>
      <c r="B1431" t="s">
        <v>31157</v>
      </c>
      <c r="C1431">
        <v>457</v>
      </c>
      <c r="D1431">
        <v>498</v>
      </c>
      <c r="E1431">
        <v>1576862111</v>
      </c>
      <c r="F1431">
        <v>5393</v>
      </c>
      <c r="G1431">
        <v>0</v>
      </c>
      <c r="H1431" t="s">
        <v>6358</v>
      </c>
      <c r="I1431">
        <v>1593</v>
      </c>
      <c r="J1431" t="str">
        <f>VLOOKUP(E1431,DSSpieler!A:B,2,FALSE)</f>
        <v>Tennismuecke</v>
      </c>
    </row>
    <row r="1432" spans="1:10" x14ac:dyDescent="0.25">
      <c r="A1432">
        <v>1594</v>
      </c>
      <c r="B1432" t="s">
        <v>31158</v>
      </c>
      <c r="C1432">
        <v>461</v>
      </c>
      <c r="D1432">
        <v>501</v>
      </c>
      <c r="E1432">
        <v>1577142604</v>
      </c>
      <c r="F1432">
        <v>5592</v>
      </c>
      <c r="G1432">
        <v>0</v>
      </c>
      <c r="H1432" t="s">
        <v>6359</v>
      </c>
      <c r="I1432">
        <v>1594</v>
      </c>
      <c r="J1432" t="str">
        <f>VLOOKUP(E1432,DSSpieler!A:B,2,FALSE)</f>
        <v>Runenmagier</v>
      </c>
    </row>
    <row r="1433" spans="1:10" x14ac:dyDescent="0.25">
      <c r="A1433">
        <v>1595</v>
      </c>
      <c r="B1433" t="s">
        <v>531</v>
      </c>
      <c r="C1433">
        <v>565</v>
      </c>
      <c r="D1433">
        <v>526</v>
      </c>
      <c r="E1433">
        <v>0</v>
      </c>
      <c r="F1433">
        <v>380</v>
      </c>
      <c r="G1433">
        <v>0</v>
      </c>
      <c r="H1433" t="s">
        <v>6360</v>
      </c>
      <c r="I1433">
        <v>1595</v>
      </c>
      <c r="J1433" t="e">
        <f>VLOOKUP(E1433,DSSpieler!A:B,2,FALSE)</f>
        <v>#N/A</v>
      </c>
    </row>
    <row r="1434" spans="1:10" x14ac:dyDescent="0.25">
      <c r="A1434">
        <v>1596</v>
      </c>
      <c r="B1434" t="s">
        <v>810</v>
      </c>
      <c r="C1434">
        <v>524</v>
      </c>
      <c r="D1434">
        <v>514</v>
      </c>
      <c r="E1434">
        <v>1576276172</v>
      </c>
      <c r="F1434">
        <v>5570</v>
      </c>
      <c r="G1434">
        <v>0</v>
      </c>
      <c r="H1434" t="s">
        <v>6361</v>
      </c>
      <c r="I1434">
        <v>1596</v>
      </c>
      <c r="J1434" t="str">
        <f>VLOOKUP(E1434,DSSpieler!A:B,2,FALSE)</f>
        <v>ShenL0ng</v>
      </c>
    </row>
    <row r="1435" spans="1:10" x14ac:dyDescent="0.25">
      <c r="A1435">
        <v>1597</v>
      </c>
      <c r="B1435" t="s">
        <v>31159</v>
      </c>
      <c r="C1435">
        <v>521</v>
      </c>
      <c r="D1435">
        <v>522</v>
      </c>
      <c r="E1435">
        <v>1577068670</v>
      </c>
      <c r="F1435">
        <v>6267</v>
      </c>
      <c r="G1435">
        <v>0</v>
      </c>
      <c r="H1435" t="s">
        <v>6362</v>
      </c>
      <c r="I1435">
        <v>1597</v>
      </c>
      <c r="J1435" t="str">
        <f>VLOOKUP(E1435,DSSpieler!A:B,2,FALSE)</f>
        <v>j9a6n</v>
      </c>
    </row>
    <row r="1436" spans="1:10" x14ac:dyDescent="0.25">
      <c r="A1436">
        <v>1598</v>
      </c>
      <c r="B1436" t="s">
        <v>30484</v>
      </c>
      <c r="C1436">
        <v>526</v>
      </c>
      <c r="D1436">
        <v>516</v>
      </c>
      <c r="E1436">
        <v>1577196134</v>
      </c>
      <c r="F1436">
        <v>6869</v>
      </c>
      <c r="G1436">
        <v>0</v>
      </c>
      <c r="H1436" t="s">
        <v>6363</v>
      </c>
      <c r="I1436">
        <v>1598</v>
      </c>
      <c r="J1436" t="str">
        <f>VLOOKUP(E1436,DSSpieler!A:B,2,FALSE)</f>
        <v>Grössenwahnsinnig</v>
      </c>
    </row>
    <row r="1437" spans="1:10" x14ac:dyDescent="0.25">
      <c r="A1437">
        <v>1599</v>
      </c>
      <c r="B1437" t="s">
        <v>531</v>
      </c>
      <c r="C1437">
        <v>553</v>
      </c>
      <c r="D1437">
        <v>532</v>
      </c>
      <c r="E1437">
        <v>0</v>
      </c>
      <c r="F1437">
        <v>463</v>
      </c>
      <c r="G1437">
        <v>0</v>
      </c>
      <c r="H1437" t="s">
        <v>6364</v>
      </c>
      <c r="I1437">
        <v>1599</v>
      </c>
      <c r="J1437" t="e">
        <f>VLOOKUP(E1437,DSSpieler!A:B,2,FALSE)</f>
        <v>#N/A</v>
      </c>
    </row>
    <row r="1438" spans="1:10" x14ac:dyDescent="0.25">
      <c r="A1438">
        <v>1600</v>
      </c>
      <c r="B1438" t="s">
        <v>811</v>
      </c>
      <c r="C1438">
        <v>522</v>
      </c>
      <c r="D1438">
        <v>514</v>
      </c>
      <c r="E1438">
        <v>1577196134</v>
      </c>
      <c r="F1438">
        <v>4975</v>
      </c>
      <c r="G1438">
        <v>0</v>
      </c>
      <c r="H1438" t="s">
        <v>6365</v>
      </c>
      <c r="I1438">
        <v>1600</v>
      </c>
      <c r="J1438" t="str">
        <f>VLOOKUP(E1438,DSSpieler!A:B,2,FALSE)</f>
        <v>Grössenwahnsinnig</v>
      </c>
    </row>
    <row r="1439" spans="1:10" x14ac:dyDescent="0.25">
      <c r="A1439">
        <v>1601</v>
      </c>
      <c r="B1439" t="s">
        <v>31160</v>
      </c>
      <c r="C1439">
        <v>523</v>
      </c>
      <c r="D1439">
        <v>508</v>
      </c>
      <c r="E1439">
        <v>1577185779</v>
      </c>
      <c r="F1439">
        <v>6632</v>
      </c>
      <c r="G1439">
        <v>0</v>
      </c>
      <c r="H1439" t="s">
        <v>6366</v>
      </c>
      <c r="I1439">
        <v>1601</v>
      </c>
      <c r="J1439" t="str">
        <f>VLOOKUP(E1439,DSSpieler!A:B,2,FALSE)</f>
        <v>PenguBoy</v>
      </c>
    </row>
    <row r="1440" spans="1:10" x14ac:dyDescent="0.25">
      <c r="A1440">
        <v>1606</v>
      </c>
      <c r="B1440" t="s">
        <v>531</v>
      </c>
      <c r="C1440">
        <v>516</v>
      </c>
      <c r="D1440">
        <v>499</v>
      </c>
      <c r="E1440">
        <v>0</v>
      </c>
      <c r="F1440">
        <v>459</v>
      </c>
      <c r="G1440">
        <v>0</v>
      </c>
      <c r="H1440" t="s">
        <v>6367</v>
      </c>
      <c r="I1440">
        <v>1606</v>
      </c>
      <c r="J1440" t="e">
        <f>VLOOKUP(E1440,DSSpieler!A:B,2,FALSE)</f>
        <v>#N/A</v>
      </c>
    </row>
    <row r="1441" spans="1:10" x14ac:dyDescent="0.25">
      <c r="A1441">
        <v>1613</v>
      </c>
      <c r="B1441" t="s">
        <v>531</v>
      </c>
      <c r="C1441">
        <v>408</v>
      </c>
      <c r="D1441">
        <v>482</v>
      </c>
      <c r="E1441">
        <v>0</v>
      </c>
      <c r="F1441">
        <v>329</v>
      </c>
      <c r="G1441">
        <v>0</v>
      </c>
      <c r="H1441" t="s">
        <v>6368</v>
      </c>
      <c r="I1441">
        <v>1613</v>
      </c>
      <c r="J1441" t="e">
        <f>VLOOKUP(E1441,DSSpieler!A:B,2,FALSE)</f>
        <v>#N/A</v>
      </c>
    </row>
    <row r="1442" spans="1:10" x14ac:dyDescent="0.25">
      <c r="A1442">
        <v>1616</v>
      </c>
      <c r="B1442" t="s">
        <v>531</v>
      </c>
      <c r="C1442">
        <v>498</v>
      </c>
      <c r="D1442">
        <v>578</v>
      </c>
      <c r="E1442">
        <v>0</v>
      </c>
      <c r="F1442">
        <v>416</v>
      </c>
      <c r="G1442">
        <v>0</v>
      </c>
      <c r="H1442" t="s">
        <v>6369</v>
      </c>
      <c r="I1442">
        <v>1616</v>
      </c>
      <c r="J1442" t="e">
        <f>VLOOKUP(E1442,DSSpieler!A:B,2,FALSE)</f>
        <v>#N/A</v>
      </c>
    </row>
    <row r="1443" spans="1:10" x14ac:dyDescent="0.25">
      <c r="A1443">
        <v>1618</v>
      </c>
      <c r="B1443" t="s">
        <v>531</v>
      </c>
      <c r="C1443">
        <v>451</v>
      </c>
      <c r="D1443">
        <v>472</v>
      </c>
      <c r="E1443">
        <v>0</v>
      </c>
      <c r="F1443">
        <v>279</v>
      </c>
      <c r="G1443">
        <v>0</v>
      </c>
      <c r="H1443" t="s">
        <v>6370</v>
      </c>
      <c r="I1443">
        <v>1618</v>
      </c>
      <c r="J1443" t="e">
        <f>VLOOKUP(E1443,DSSpieler!A:B,2,FALSE)</f>
        <v>#N/A</v>
      </c>
    </row>
    <row r="1444" spans="1:10" x14ac:dyDescent="0.25">
      <c r="A1444">
        <v>1619</v>
      </c>
      <c r="B1444" t="s">
        <v>531</v>
      </c>
      <c r="C1444">
        <v>500</v>
      </c>
      <c r="D1444">
        <v>570</v>
      </c>
      <c r="E1444">
        <v>0</v>
      </c>
      <c r="F1444">
        <v>416</v>
      </c>
      <c r="G1444">
        <v>0</v>
      </c>
      <c r="H1444" t="s">
        <v>6371</v>
      </c>
      <c r="I1444">
        <v>1619</v>
      </c>
      <c r="J1444" t="e">
        <f>VLOOKUP(E1444,DSSpieler!A:B,2,FALSE)</f>
        <v>#N/A</v>
      </c>
    </row>
    <row r="1445" spans="1:10" x14ac:dyDescent="0.25">
      <c r="A1445">
        <v>1621</v>
      </c>
      <c r="B1445" t="s">
        <v>531</v>
      </c>
      <c r="C1445">
        <v>497</v>
      </c>
      <c r="D1445">
        <v>480</v>
      </c>
      <c r="E1445">
        <v>0</v>
      </c>
      <c r="F1445">
        <v>162</v>
      </c>
      <c r="G1445">
        <v>0</v>
      </c>
      <c r="H1445" t="s">
        <v>6372</v>
      </c>
      <c r="I1445">
        <v>1621</v>
      </c>
      <c r="J1445" t="e">
        <f>VLOOKUP(E1445,DSSpieler!A:B,2,FALSE)</f>
        <v>#N/A</v>
      </c>
    </row>
    <row r="1446" spans="1:10" x14ac:dyDescent="0.25">
      <c r="A1446">
        <v>1626</v>
      </c>
      <c r="B1446" t="s">
        <v>531</v>
      </c>
      <c r="C1446">
        <v>455</v>
      </c>
      <c r="D1446">
        <v>435</v>
      </c>
      <c r="E1446">
        <v>0</v>
      </c>
      <c r="F1446">
        <v>470</v>
      </c>
      <c r="G1446">
        <v>0</v>
      </c>
      <c r="H1446" t="s">
        <v>6373</v>
      </c>
      <c r="I1446">
        <v>1626</v>
      </c>
      <c r="J1446" t="e">
        <f>VLOOKUP(E1446,DSSpieler!A:B,2,FALSE)</f>
        <v>#N/A</v>
      </c>
    </row>
    <row r="1447" spans="1:10" x14ac:dyDescent="0.25">
      <c r="A1447">
        <v>1628</v>
      </c>
      <c r="B1447" t="s">
        <v>531</v>
      </c>
      <c r="C1447">
        <v>561</v>
      </c>
      <c r="D1447">
        <v>479</v>
      </c>
      <c r="E1447">
        <v>0</v>
      </c>
      <c r="F1447">
        <v>262</v>
      </c>
      <c r="G1447">
        <v>0</v>
      </c>
      <c r="H1447" t="s">
        <v>6374</v>
      </c>
      <c r="I1447">
        <v>1628</v>
      </c>
      <c r="J1447" t="e">
        <f>VLOOKUP(E1447,DSSpieler!A:B,2,FALSE)</f>
        <v>#N/A</v>
      </c>
    </row>
    <row r="1448" spans="1:10" x14ac:dyDescent="0.25">
      <c r="A1448">
        <v>1636</v>
      </c>
      <c r="B1448" t="s">
        <v>31161</v>
      </c>
      <c r="C1448">
        <v>476</v>
      </c>
      <c r="D1448">
        <v>483</v>
      </c>
      <c r="E1448">
        <v>1577145770</v>
      </c>
      <c r="F1448">
        <v>662</v>
      </c>
      <c r="G1448">
        <v>0</v>
      </c>
      <c r="H1448" t="s">
        <v>6375</v>
      </c>
      <c r="I1448">
        <v>1636</v>
      </c>
      <c r="J1448" t="str">
        <f>VLOOKUP(E1448,DSSpieler!A:B,2,FALSE)</f>
        <v>PeaceIsTheWay</v>
      </c>
    </row>
    <row r="1449" spans="1:10" x14ac:dyDescent="0.25">
      <c r="A1449">
        <v>1646</v>
      </c>
      <c r="B1449" t="s">
        <v>531</v>
      </c>
      <c r="C1449">
        <v>400</v>
      </c>
      <c r="D1449">
        <v>517</v>
      </c>
      <c r="E1449">
        <v>0</v>
      </c>
      <c r="F1449">
        <v>394</v>
      </c>
      <c r="G1449">
        <v>0</v>
      </c>
      <c r="H1449" t="s">
        <v>6376</v>
      </c>
      <c r="I1449">
        <v>1646</v>
      </c>
      <c r="J1449" t="e">
        <f>VLOOKUP(E1449,DSSpieler!A:B,2,FALSE)</f>
        <v>#N/A</v>
      </c>
    </row>
    <row r="1450" spans="1:10" x14ac:dyDescent="0.25">
      <c r="A1450">
        <v>1647</v>
      </c>
      <c r="B1450" t="s">
        <v>31162</v>
      </c>
      <c r="C1450">
        <v>397</v>
      </c>
      <c r="D1450">
        <v>515</v>
      </c>
      <c r="E1450">
        <v>3440784</v>
      </c>
      <c r="F1450">
        <v>5276</v>
      </c>
      <c r="G1450">
        <v>0</v>
      </c>
      <c r="H1450" t="s">
        <v>6377</v>
      </c>
      <c r="I1450">
        <v>1647</v>
      </c>
      <c r="J1450" t="str">
        <f>VLOOKUP(E1450,DSSpieler!A:B,2,FALSE)</f>
        <v>ema54</v>
      </c>
    </row>
    <row r="1451" spans="1:10" x14ac:dyDescent="0.25">
      <c r="A1451">
        <v>1648</v>
      </c>
      <c r="B1451" t="s">
        <v>31163</v>
      </c>
      <c r="C1451">
        <v>409</v>
      </c>
      <c r="D1451">
        <v>537</v>
      </c>
      <c r="E1451">
        <v>2722276</v>
      </c>
      <c r="F1451">
        <v>6464</v>
      </c>
      <c r="G1451">
        <v>0</v>
      </c>
      <c r="H1451" t="s">
        <v>6378</v>
      </c>
      <c r="I1451">
        <v>1648</v>
      </c>
      <c r="J1451" t="str">
        <f>VLOOKUP(E1451,DSSpieler!A:B,2,FALSE)</f>
        <v>Jöel</v>
      </c>
    </row>
    <row r="1452" spans="1:10" x14ac:dyDescent="0.25">
      <c r="A1452">
        <v>1649</v>
      </c>
      <c r="B1452" t="s">
        <v>531</v>
      </c>
      <c r="C1452">
        <v>495</v>
      </c>
      <c r="D1452">
        <v>464</v>
      </c>
      <c r="E1452">
        <v>0</v>
      </c>
      <c r="F1452">
        <v>214</v>
      </c>
      <c r="G1452">
        <v>0</v>
      </c>
      <c r="H1452" t="s">
        <v>6379</v>
      </c>
      <c r="I1452">
        <v>1649</v>
      </c>
      <c r="J1452" t="e">
        <f>VLOOKUP(E1452,DSSpieler!A:B,2,FALSE)</f>
        <v>#N/A</v>
      </c>
    </row>
    <row r="1453" spans="1:10" x14ac:dyDescent="0.25">
      <c r="A1453">
        <v>1650</v>
      </c>
      <c r="B1453" t="s">
        <v>31164</v>
      </c>
      <c r="C1453">
        <v>506</v>
      </c>
      <c r="D1453">
        <v>539</v>
      </c>
      <c r="E1453">
        <v>1577197542</v>
      </c>
      <c r="F1453">
        <v>4787</v>
      </c>
      <c r="G1453">
        <v>0</v>
      </c>
      <c r="H1453" t="s">
        <v>6380</v>
      </c>
      <c r="I1453">
        <v>1650</v>
      </c>
      <c r="J1453" t="str">
        <f>VLOOKUP(E1453,DSSpieler!A:B,2,FALSE)</f>
        <v>träumerische Tim</v>
      </c>
    </row>
    <row r="1454" spans="1:10" x14ac:dyDescent="0.25">
      <c r="A1454">
        <v>1651</v>
      </c>
      <c r="B1454" t="s">
        <v>31165</v>
      </c>
      <c r="C1454">
        <v>485</v>
      </c>
      <c r="D1454">
        <v>462</v>
      </c>
      <c r="E1454">
        <v>1577194539</v>
      </c>
      <c r="F1454">
        <v>5025</v>
      </c>
      <c r="G1454">
        <v>0</v>
      </c>
      <c r="H1454" t="s">
        <v>6381</v>
      </c>
      <c r="I1454">
        <v>1651</v>
      </c>
      <c r="J1454" t="str">
        <f>VLOOKUP(E1454,DSSpieler!A:B,2,FALSE)</f>
        <v>DayWalk3r</v>
      </c>
    </row>
    <row r="1455" spans="1:10" x14ac:dyDescent="0.25">
      <c r="A1455">
        <v>1652</v>
      </c>
      <c r="B1455" t="s">
        <v>31166</v>
      </c>
      <c r="C1455">
        <v>484</v>
      </c>
      <c r="D1455">
        <v>466</v>
      </c>
      <c r="E1455">
        <v>9146835</v>
      </c>
      <c r="F1455">
        <v>5511</v>
      </c>
      <c r="G1455">
        <v>0</v>
      </c>
      <c r="H1455" t="s">
        <v>6382</v>
      </c>
      <c r="I1455">
        <v>1652</v>
      </c>
      <c r="J1455" t="str">
        <f>VLOOKUP(E1455,DSSpieler!A:B,2,FALSE)</f>
        <v>Angelo.99</v>
      </c>
    </row>
    <row r="1456" spans="1:10" x14ac:dyDescent="0.25">
      <c r="A1456">
        <v>1653</v>
      </c>
      <c r="B1456" t="s">
        <v>31167</v>
      </c>
      <c r="C1456">
        <v>482</v>
      </c>
      <c r="D1456">
        <v>459</v>
      </c>
      <c r="E1456">
        <v>1576533418</v>
      </c>
      <c r="F1456">
        <v>5332</v>
      </c>
      <c r="G1456">
        <v>0</v>
      </c>
      <c r="H1456" t="s">
        <v>6383</v>
      </c>
      <c r="I1456">
        <v>1653</v>
      </c>
      <c r="J1456" t="str">
        <f>VLOOKUP(E1456,DSSpieler!A:B,2,FALSE)</f>
        <v>likeHell</v>
      </c>
    </row>
    <row r="1457" spans="1:10" x14ac:dyDescent="0.25">
      <c r="A1457">
        <v>1654</v>
      </c>
      <c r="B1457" t="s">
        <v>531</v>
      </c>
      <c r="C1457">
        <v>532</v>
      </c>
      <c r="D1457">
        <v>453</v>
      </c>
      <c r="E1457">
        <v>0</v>
      </c>
      <c r="F1457">
        <v>254</v>
      </c>
      <c r="G1457">
        <v>0</v>
      </c>
      <c r="H1457" t="s">
        <v>6384</v>
      </c>
      <c r="I1457">
        <v>1654</v>
      </c>
      <c r="J1457" t="e">
        <f>VLOOKUP(E1457,DSSpieler!A:B,2,FALSE)</f>
        <v>#N/A</v>
      </c>
    </row>
    <row r="1458" spans="1:10" x14ac:dyDescent="0.25">
      <c r="A1458">
        <v>1655</v>
      </c>
      <c r="B1458" t="s">
        <v>812</v>
      </c>
      <c r="C1458">
        <v>483</v>
      </c>
      <c r="D1458">
        <v>456</v>
      </c>
      <c r="E1458">
        <v>2100127</v>
      </c>
      <c r="F1458">
        <v>6642</v>
      </c>
      <c r="G1458">
        <v>0</v>
      </c>
      <c r="H1458" t="s">
        <v>6385</v>
      </c>
      <c r="I1458">
        <v>1655</v>
      </c>
      <c r="J1458" t="str">
        <f>VLOOKUP(E1458,DSSpieler!A:B,2,FALSE)</f>
        <v>Daisuke222</v>
      </c>
    </row>
    <row r="1459" spans="1:10" x14ac:dyDescent="0.25">
      <c r="A1459">
        <v>1656</v>
      </c>
      <c r="B1459" t="s">
        <v>813</v>
      </c>
      <c r="C1459">
        <v>489</v>
      </c>
      <c r="D1459">
        <v>460</v>
      </c>
      <c r="E1459">
        <v>1577161229</v>
      </c>
      <c r="F1459">
        <v>6083</v>
      </c>
      <c r="G1459">
        <v>0</v>
      </c>
      <c r="H1459" t="s">
        <v>6386</v>
      </c>
      <c r="I1459">
        <v>1656</v>
      </c>
      <c r="J1459" t="str">
        <f>VLOOKUP(E1459,DSSpieler!A:B,2,FALSE)</f>
        <v>Lord von Rotfuchs</v>
      </c>
    </row>
    <row r="1460" spans="1:10" x14ac:dyDescent="0.25">
      <c r="A1460">
        <v>1657</v>
      </c>
      <c r="B1460" t="s">
        <v>150</v>
      </c>
      <c r="C1460">
        <v>485</v>
      </c>
      <c r="D1460">
        <v>461</v>
      </c>
      <c r="E1460">
        <v>1577179929</v>
      </c>
      <c r="F1460">
        <v>5410</v>
      </c>
      <c r="G1460">
        <v>0</v>
      </c>
      <c r="H1460" t="s">
        <v>6387</v>
      </c>
      <c r="I1460">
        <v>1657</v>
      </c>
      <c r="J1460" t="str">
        <f>VLOOKUP(E1460,DSSpieler!A:B,2,FALSE)</f>
        <v>irakliooo1</v>
      </c>
    </row>
    <row r="1461" spans="1:10" x14ac:dyDescent="0.25">
      <c r="A1461">
        <v>1658</v>
      </c>
      <c r="B1461" t="s">
        <v>31168</v>
      </c>
      <c r="C1461">
        <v>474</v>
      </c>
      <c r="D1461">
        <v>460</v>
      </c>
      <c r="E1461">
        <v>1577180350</v>
      </c>
      <c r="F1461">
        <v>6675</v>
      </c>
      <c r="G1461">
        <v>0</v>
      </c>
      <c r="H1461" t="s">
        <v>6388</v>
      </c>
      <c r="I1461">
        <v>1658</v>
      </c>
      <c r="J1461" t="str">
        <f>VLOOKUP(E1461,DSSpieler!A:B,2,FALSE)</f>
        <v>Adelsschlächter</v>
      </c>
    </row>
    <row r="1462" spans="1:10" x14ac:dyDescent="0.25">
      <c r="A1462">
        <v>1659</v>
      </c>
      <c r="B1462" t="s">
        <v>531</v>
      </c>
      <c r="C1462">
        <v>436</v>
      </c>
      <c r="D1462">
        <v>494</v>
      </c>
      <c r="E1462">
        <v>0</v>
      </c>
      <c r="F1462">
        <v>534</v>
      </c>
      <c r="G1462">
        <v>0</v>
      </c>
      <c r="H1462" t="s">
        <v>6389</v>
      </c>
      <c r="I1462">
        <v>1659</v>
      </c>
      <c r="J1462" t="e">
        <f>VLOOKUP(E1462,DSSpieler!A:B,2,FALSE)</f>
        <v>#N/A</v>
      </c>
    </row>
    <row r="1463" spans="1:10" x14ac:dyDescent="0.25">
      <c r="A1463">
        <v>1660</v>
      </c>
      <c r="B1463" t="s">
        <v>814</v>
      </c>
      <c r="C1463">
        <v>472</v>
      </c>
      <c r="D1463">
        <v>467</v>
      </c>
      <c r="E1463">
        <v>1577180729</v>
      </c>
      <c r="F1463">
        <v>5353</v>
      </c>
      <c r="G1463">
        <v>0</v>
      </c>
      <c r="H1463" t="s">
        <v>6390</v>
      </c>
      <c r="I1463">
        <v>1660</v>
      </c>
      <c r="J1463" t="str">
        <f>VLOOKUP(E1463,DSSpieler!A:B,2,FALSE)</f>
        <v>FunkTheTank88</v>
      </c>
    </row>
    <row r="1464" spans="1:10" x14ac:dyDescent="0.25">
      <c r="A1464">
        <v>1661</v>
      </c>
      <c r="B1464">
        <v>1</v>
      </c>
      <c r="C1464">
        <v>494</v>
      </c>
      <c r="D1464">
        <v>447</v>
      </c>
      <c r="E1464">
        <v>1577180399</v>
      </c>
      <c r="F1464">
        <v>6854</v>
      </c>
      <c r="G1464">
        <v>0</v>
      </c>
      <c r="H1464" t="s">
        <v>6391</v>
      </c>
      <c r="I1464">
        <v>1661</v>
      </c>
      <c r="J1464" t="str">
        <f>VLOOKUP(E1464,DSSpieler!A:B,2,FALSE)</f>
        <v>Lord Hamburg97</v>
      </c>
    </row>
    <row r="1465" spans="1:10" x14ac:dyDescent="0.25">
      <c r="A1465">
        <v>1662</v>
      </c>
      <c r="B1465" t="s">
        <v>31169</v>
      </c>
      <c r="C1465">
        <v>479</v>
      </c>
      <c r="D1465">
        <v>455</v>
      </c>
      <c r="E1465">
        <v>1577181069</v>
      </c>
      <c r="F1465">
        <v>5326</v>
      </c>
      <c r="G1465">
        <v>0</v>
      </c>
      <c r="H1465" t="s">
        <v>6392</v>
      </c>
      <c r="I1465">
        <v>1662</v>
      </c>
      <c r="J1465" t="str">
        <f>VLOOKUP(E1465,DSSpieler!A:B,2,FALSE)</f>
        <v>Pante09</v>
      </c>
    </row>
    <row r="1466" spans="1:10" x14ac:dyDescent="0.25">
      <c r="A1466">
        <v>1663</v>
      </c>
      <c r="B1466" t="s">
        <v>815</v>
      </c>
      <c r="C1466">
        <v>475</v>
      </c>
      <c r="D1466">
        <v>465</v>
      </c>
      <c r="E1466">
        <v>1576366062</v>
      </c>
      <c r="F1466">
        <v>6759</v>
      </c>
      <c r="G1466">
        <v>0</v>
      </c>
      <c r="H1466" t="s">
        <v>6393</v>
      </c>
      <c r="I1466">
        <v>1663</v>
      </c>
      <c r="J1466" t="str">
        <f>VLOOKUP(E1466,DSSpieler!A:B,2,FALSE)</f>
        <v>killerbiker</v>
      </c>
    </row>
    <row r="1467" spans="1:10" x14ac:dyDescent="0.25">
      <c r="A1467">
        <v>1664</v>
      </c>
      <c r="B1467" t="s">
        <v>31170</v>
      </c>
      <c r="C1467">
        <v>488</v>
      </c>
      <c r="D1467">
        <v>462</v>
      </c>
      <c r="E1467">
        <v>1577182537</v>
      </c>
      <c r="F1467">
        <v>6831</v>
      </c>
      <c r="G1467">
        <v>0</v>
      </c>
      <c r="H1467" t="s">
        <v>6394</v>
      </c>
      <c r="I1467">
        <v>1664</v>
      </c>
      <c r="J1467" t="str">
        <f>VLOOKUP(E1467,DSSpieler!A:B,2,FALSE)</f>
        <v>AM2824</v>
      </c>
    </row>
    <row r="1468" spans="1:10" x14ac:dyDescent="0.25">
      <c r="A1468">
        <v>1665</v>
      </c>
      <c r="B1468" t="s">
        <v>816</v>
      </c>
      <c r="C1468">
        <v>490</v>
      </c>
      <c r="D1468">
        <v>457</v>
      </c>
      <c r="E1468">
        <v>1577182543</v>
      </c>
      <c r="F1468">
        <v>5418</v>
      </c>
      <c r="G1468">
        <v>0</v>
      </c>
      <c r="H1468" t="s">
        <v>6395</v>
      </c>
      <c r="I1468">
        <v>1665</v>
      </c>
      <c r="J1468" t="str">
        <f>VLOOKUP(E1468,DSSpieler!A:B,2,FALSE)</f>
        <v>NovemberMama</v>
      </c>
    </row>
    <row r="1469" spans="1:10" x14ac:dyDescent="0.25">
      <c r="A1469">
        <v>1666</v>
      </c>
      <c r="B1469" t="s">
        <v>531</v>
      </c>
      <c r="C1469">
        <v>495</v>
      </c>
      <c r="D1469">
        <v>451</v>
      </c>
      <c r="E1469">
        <v>0</v>
      </c>
      <c r="F1469">
        <v>178</v>
      </c>
      <c r="G1469">
        <v>0</v>
      </c>
      <c r="H1469" t="s">
        <v>6396</v>
      </c>
      <c r="I1469">
        <v>1666</v>
      </c>
      <c r="J1469" t="e">
        <f>VLOOKUP(E1469,DSSpieler!A:B,2,FALSE)</f>
        <v>#N/A</v>
      </c>
    </row>
    <row r="1470" spans="1:10" x14ac:dyDescent="0.25">
      <c r="A1470">
        <v>1667</v>
      </c>
      <c r="B1470" t="s">
        <v>531</v>
      </c>
      <c r="C1470">
        <v>498</v>
      </c>
      <c r="D1470">
        <v>499</v>
      </c>
      <c r="E1470">
        <v>0</v>
      </c>
      <c r="F1470">
        <v>229</v>
      </c>
      <c r="G1470">
        <v>0</v>
      </c>
      <c r="H1470" t="s">
        <v>6397</v>
      </c>
      <c r="I1470">
        <v>1667</v>
      </c>
      <c r="J1470" t="e">
        <f>VLOOKUP(E1470,DSSpieler!A:B,2,FALSE)</f>
        <v>#N/A</v>
      </c>
    </row>
    <row r="1471" spans="1:10" x14ac:dyDescent="0.25">
      <c r="A1471">
        <v>1676</v>
      </c>
      <c r="B1471">
        <v>3</v>
      </c>
      <c r="C1471">
        <v>450</v>
      </c>
      <c r="D1471">
        <v>442</v>
      </c>
      <c r="E1471">
        <v>9878022</v>
      </c>
      <c r="F1471">
        <v>4885</v>
      </c>
      <c r="G1471">
        <v>0</v>
      </c>
      <c r="H1471" t="s">
        <v>6398</v>
      </c>
      <c r="I1471">
        <v>1676</v>
      </c>
      <c r="J1471" t="str">
        <f>VLOOKUP(E1471,DSSpieler!A:B,2,FALSE)</f>
        <v>König Alex13</v>
      </c>
    </row>
    <row r="1472" spans="1:10" x14ac:dyDescent="0.25">
      <c r="A1472">
        <v>1677</v>
      </c>
      <c r="B1472" t="s">
        <v>31171</v>
      </c>
      <c r="C1472">
        <v>484</v>
      </c>
      <c r="D1472">
        <v>393</v>
      </c>
      <c r="E1472">
        <v>3314936</v>
      </c>
      <c r="F1472">
        <v>4217</v>
      </c>
      <c r="G1472">
        <v>0</v>
      </c>
      <c r="H1472" t="s">
        <v>6399</v>
      </c>
      <c r="I1472">
        <v>1677</v>
      </c>
      <c r="J1472" t="str">
        <f>VLOOKUP(E1472,DSSpieler!A:B,2,FALSE)</f>
        <v>Matt239</v>
      </c>
    </row>
    <row r="1473" spans="1:10" x14ac:dyDescent="0.25">
      <c r="A1473">
        <v>1678</v>
      </c>
      <c r="B1473">
        <v>3</v>
      </c>
      <c r="C1473">
        <v>485</v>
      </c>
      <c r="D1473">
        <v>395</v>
      </c>
      <c r="E1473">
        <v>1574742</v>
      </c>
      <c r="F1473">
        <v>4646</v>
      </c>
      <c r="G1473">
        <v>0</v>
      </c>
      <c r="H1473" t="s">
        <v>6400</v>
      </c>
      <c r="I1473">
        <v>1678</v>
      </c>
      <c r="J1473" t="str">
        <f>VLOOKUP(E1473,DSSpieler!A:B,2,FALSE)</f>
        <v>Kurde.</v>
      </c>
    </row>
    <row r="1474" spans="1:10" x14ac:dyDescent="0.25">
      <c r="A1474">
        <v>1679</v>
      </c>
      <c r="B1474" t="s">
        <v>531</v>
      </c>
      <c r="C1474">
        <v>464</v>
      </c>
      <c r="D1474">
        <v>471</v>
      </c>
      <c r="E1474">
        <v>0</v>
      </c>
      <c r="F1474">
        <v>470</v>
      </c>
      <c r="G1474">
        <v>0</v>
      </c>
      <c r="H1474" t="s">
        <v>6401</v>
      </c>
      <c r="I1474">
        <v>1679</v>
      </c>
      <c r="J1474" t="e">
        <f>VLOOKUP(E1474,DSSpieler!A:B,2,FALSE)</f>
        <v>#N/A</v>
      </c>
    </row>
    <row r="1475" spans="1:10" x14ac:dyDescent="0.25">
      <c r="A1475">
        <v>1680</v>
      </c>
      <c r="B1475" t="s">
        <v>31172</v>
      </c>
      <c r="C1475">
        <v>479</v>
      </c>
      <c r="D1475">
        <v>401</v>
      </c>
      <c r="E1475">
        <v>1577190654</v>
      </c>
      <c r="F1475">
        <v>5107</v>
      </c>
      <c r="G1475">
        <v>0</v>
      </c>
      <c r="H1475" t="s">
        <v>6402</v>
      </c>
      <c r="I1475">
        <v>1680</v>
      </c>
      <c r="J1475" t="str">
        <f>VLOOKUP(E1475,DSSpieler!A:B,2,FALSE)</f>
        <v>MovesLikeJäger</v>
      </c>
    </row>
    <row r="1476" spans="1:10" x14ac:dyDescent="0.25">
      <c r="A1476">
        <v>1681</v>
      </c>
      <c r="B1476" t="s">
        <v>31173</v>
      </c>
      <c r="C1476">
        <v>481</v>
      </c>
      <c r="D1476">
        <v>397</v>
      </c>
      <c r="E1476">
        <v>1577191372</v>
      </c>
      <c r="F1476">
        <v>4337</v>
      </c>
      <c r="G1476">
        <v>0</v>
      </c>
      <c r="H1476" t="s">
        <v>6403</v>
      </c>
      <c r="I1476">
        <v>1681</v>
      </c>
      <c r="J1476" t="str">
        <f>VLOOKUP(E1476,DSSpieler!A:B,2,FALSE)</f>
        <v>RaymondRed</v>
      </c>
    </row>
    <row r="1477" spans="1:10" x14ac:dyDescent="0.25">
      <c r="A1477">
        <v>1682</v>
      </c>
      <c r="B1477" t="s">
        <v>31174</v>
      </c>
      <c r="C1477">
        <v>524</v>
      </c>
      <c r="D1477">
        <v>498</v>
      </c>
      <c r="E1477">
        <v>9340699</v>
      </c>
      <c r="F1477">
        <v>6626</v>
      </c>
      <c r="G1477">
        <v>0</v>
      </c>
      <c r="H1477" t="s">
        <v>6404</v>
      </c>
      <c r="I1477">
        <v>1682</v>
      </c>
      <c r="J1477" t="str">
        <f>VLOOKUP(E1477,DSSpieler!A:B,2,FALSE)</f>
        <v>Bernd1901</v>
      </c>
    </row>
    <row r="1478" spans="1:10" x14ac:dyDescent="0.25">
      <c r="A1478">
        <v>1683</v>
      </c>
      <c r="B1478" t="s">
        <v>817</v>
      </c>
      <c r="C1478">
        <v>521</v>
      </c>
      <c r="D1478">
        <v>507</v>
      </c>
      <c r="E1478">
        <v>1577185779</v>
      </c>
      <c r="F1478">
        <v>8995</v>
      </c>
      <c r="G1478">
        <v>0</v>
      </c>
      <c r="H1478" t="s">
        <v>6405</v>
      </c>
      <c r="I1478">
        <v>1683</v>
      </c>
      <c r="J1478" t="str">
        <f>VLOOKUP(E1478,DSSpieler!A:B,2,FALSE)</f>
        <v>PenguBoy</v>
      </c>
    </row>
    <row r="1479" spans="1:10" x14ac:dyDescent="0.25">
      <c r="A1479">
        <v>1684</v>
      </c>
      <c r="B1479" t="s">
        <v>818</v>
      </c>
      <c r="C1479">
        <v>525</v>
      </c>
      <c r="D1479">
        <v>473</v>
      </c>
      <c r="E1479">
        <v>1577175887</v>
      </c>
      <c r="F1479">
        <v>269</v>
      </c>
      <c r="G1479">
        <v>0</v>
      </c>
      <c r="H1479" t="s">
        <v>6406</v>
      </c>
      <c r="I1479">
        <v>1684</v>
      </c>
      <c r="J1479" t="str">
        <f>VLOOKUP(E1479,DSSpieler!A:B,2,FALSE)</f>
        <v>ahmadino109</v>
      </c>
    </row>
    <row r="1480" spans="1:10" x14ac:dyDescent="0.25">
      <c r="A1480">
        <v>1685</v>
      </c>
      <c r="B1480" t="s">
        <v>531</v>
      </c>
      <c r="C1480">
        <v>526</v>
      </c>
      <c r="D1480">
        <v>472</v>
      </c>
      <c r="E1480">
        <v>0</v>
      </c>
      <c r="F1480">
        <v>254</v>
      </c>
      <c r="G1480">
        <v>0</v>
      </c>
      <c r="H1480" t="s">
        <v>6407</v>
      </c>
      <c r="I1480">
        <v>1685</v>
      </c>
      <c r="J1480" t="e">
        <f>VLOOKUP(E1480,DSSpieler!A:B,2,FALSE)</f>
        <v>#N/A</v>
      </c>
    </row>
    <row r="1481" spans="1:10" x14ac:dyDescent="0.25">
      <c r="A1481">
        <v>1686</v>
      </c>
      <c r="B1481" t="s">
        <v>31175</v>
      </c>
      <c r="C1481">
        <v>461</v>
      </c>
      <c r="D1481">
        <v>521</v>
      </c>
      <c r="E1481">
        <v>2075317</v>
      </c>
      <c r="F1481">
        <v>3482</v>
      </c>
      <c r="G1481">
        <v>0</v>
      </c>
      <c r="H1481" t="s">
        <v>6408</v>
      </c>
      <c r="I1481">
        <v>1686</v>
      </c>
      <c r="J1481" t="str">
        <f>VLOOKUP(E1481,DSSpieler!A:B,2,FALSE)</f>
        <v>Oberdiva</v>
      </c>
    </row>
    <row r="1482" spans="1:10" x14ac:dyDescent="0.25">
      <c r="A1482">
        <v>1687</v>
      </c>
      <c r="B1482" t="s">
        <v>31176</v>
      </c>
      <c r="C1482">
        <v>458</v>
      </c>
      <c r="D1482">
        <v>530</v>
      </c>
      <c r="E1482">
        <v>2550247</v>
      </c>
      <c r="F1482">
        <v>4869</v>
      </c>
      <c r="G1482">
        <v>0</v>
      </c>
      <c r="H1482" t="s">
        <v>6409</v>
      </c>
      <c r="I1482">
        <v>1687</v>
      </c>
      <c r="J1482" t="str">
        <f>VLOOKUP(E1482,DSSpieler!A:B,2,FALSE)</f>
        <v>Cipolla</v>
      </c>
    </row>
    <row r="1483" spans="1:10" x14ac:dyDescent="0.25">
      <c r="A1483">
        <v>1688</v>
      </c>
      <c r="B1483" t="s">
        <v>31177</v>
      </c>
      <c r="C1483">
        <v>453</v>
      </c>
      <c r="D1483">
        <v>514</v>
      </c>
      <c r="E1483">
        <v>8311997</v>
      </c>
      <c r="F1483">
        <v>5296</v>
      </c>
      <c r="G1483">
        <v>0</v>
      </c>
      <c r="H1483" t="s">
        <v>6410</v>
      </c>
      <c r="I1483">
        <v>1688</v>
      </c>
      <c r="J1483" t="str">
        <f>VLOOKUP(E1483,DSSpieler!A:B,2,FALSE)</f>
        <v>Herzog Uli</v>
      </c>
    </row>
    <row r="1484" spans="1:10" x14ac:dyDescent="0.25">
      <c r="A1484">
        <v>1689</v>
      </c>
      <c r="B1484" t="s">
        <v>31178</v>
      </c>
      <c r="C1484">
        <v>465</v>
      </c>
      <c r="D1484">
        <v>519</v>
      </c>
      <c r="E1484">
        <v>9042651</v>
      </c>
      <c r="F1484">
        <v>4715</v>
      </c>
      <c r="G1484">
        <v>0</v>
      </c>
      <c r="H1484" t="s">
        <v>6411</v>
      </c>
      <c r="I1484">
        <v>1689</v>
      </c>
      <c r="J1484" t="str">
        <f>VLOOKUP(E1484,DSSpieler!A:B,2,FALSE)</f>
        <v>CologneHighlander</v>
      </c>
    </row>
    <row r="1485" spans="1:10" x14ac:dyDescent="0.25">
      <c r="A1485">
        <v>1690</v>
      </c>
      <c r="B1485" t="s">
        <v>819</v>
      </c>
      <c r="C1485">
        <v>459</v>
      </c>
      <c r="D1485">
        <v>511</v>
      </c>
      <c r="E1485">
        <v>9415506</v>
      </c>
      <c r="F1485">
        <v>4423</v>
      </c>
      <c r="G1485">
        <v>0</v>
      </c>
      <c r="H1485" t="s">
        <v>6412</v>
      </c>
      <c r="I1485">
        <v>1690</v>
      </c>
      <c r="J1485" t="str">
        <f>VLOOKUP(E1485,DSSpieler!A:B,2,FALSE)</f>
        <v>AvalonFee</v>
      </c>
    </row>
    <row r="1486" spans="1:10" x14ac:dyDescent="0.25">
      <c r="A1486">
        <v>1691</v>
      </c>
      <c r="B1486" t="s">
        <v>531</v>
      </c>
      <c r="C1486">
        <v>494</v>
      </c>
      <c r="D1486">
        <v>436</v>
      </c>
      <c r="E1486">
        <v>0</v>
      </c>
      <c r="F1486">
        <v>338</v>
      </c>
      <c r="G1486">
        <v>0</v>
      </c>
      <c r="H1486" t="s">
        <v>6413</v>
      </c>
      <c r="I1486">
        <v>1691</v>
      </c>
      <c r="J1486" t="e">
        <f>VLOOKUP(E1486,DSSpieler!A:B,2,FALSE)</f>
        <v>#N/A</v>
      </c>
    </row>
    <row r="1487" spans="1:10" x14ac:dyDescent="0.25">
      <c r="A1487">
        <v>1692</v>
      </c>
      <c r="B1487" t="s">
        <v>31179</v>
      </c>
      <c r="C1487">
        <v>444</v>
      </c>
      <c r="D1487">
        <v>518</v>
      </c>
      <c r="E1487">
        <v>9488089</v>
      </c>
      <c r="F1487">
        <v>4558</v>
      </c>
      <c r="G1487">
        <v>0</v>
      </c>
      <c r="H1487" t="s">
        <v>6414</v>
      </c>
      <c r="I1487">
        <v>1692</v>
      </c>
      <c r="J1487" t="str">
        <f>VLOOKUP(E1487,DSSpieler!A:B,2,FALSE)</f>
        <v>RealLegolas</v>
      </c>
    </row>
    <row r="1488" spans="1:10" x14ac:dyDescent="0.25">
      <c r="A1488">
        <v>1693</v>
      </c>
      <c r="B1488" t="s">
        <v>820</v>
      </c>
      <c r="C1488">
        <v>458</v>
      </c>
      <c r="D1488">
        <v>525</v>
      </c>
      <c r="E1488">
        <v>1576104594</v>
      </c>
      <c r="F1488">
        <v>5988</v>
      </c>
      <c r="G1488">
        <v>0</v>
      </c>
      <c r="H1488" t="s">
        <v>6415</v>
      </c>
      <c r="I1488">
        <v>1693</v>
      </c>
      <c r="J1488" t="str">
        <f>VLOOKUP(E1488,DSSpieler!A:B,2,FALSE)</f>
        <v>ReVivE91</v>
      </c>
    </row>
    <row r="1489" spans="1:10" x14ac:dyDescent="0.25">
      <c r="A1489">
        <v>1694</v>
      </c>
      <c r="B1489" t="s">
        <v>31180</v>
      </c>
      <c r="C1489">
        <v>462</v>
      </c>
      <c r="D1489">
        <v>520</v>
      </c>
      <c r="E1489">
        <v>1576123873</v>
      </c>
      <c r="F1489">
        <v>5616</v>
      </c>
      <c r="G1489">
        <v>0</v>
      </c>
      <c r="H1489" t="s">
        <v>6416</v>
      </c>
      <c r="I1489">
        <v>1694</v>
      </c>
      <c r="J1489" t="str">
        <f>VLOOKUP(E1489,DSSpieler!A:B,2,FALSE)</f>
        <v>Lord Multan</v>
      </c>
    </row>
    <row r="1490" spans="1:10" x14ac:dyDescent="0.25">
      <c r="A1490">
        <v>1695</v>
      </c>
      <c r="B1490" t="s">
        <v>531</v>
      </c>
      <c r="C1490">
        <v>494</v>
      </c>
      <c r="D1490">
        <v>467</v>
      </c>
      <c r="E1490">
        <v>0</v>
      </c>
      <c r="F1490">
        <v>299</v>
      </c>
      <c r="G1490">
        <v>0</v>
      </c>
      <c r="H1490" t="s">
        <v>6417</v>
      </c>
      <c r="I1490">
        <v>1695</v>
      </c>
      <c r="J1490" t="e">
        <f>VLOOKUP(E1490,DSSpieler!A:B,2,FALSE)</f>
        <v>#N/A</v>
      </c>
    </row>
    <row r="1491" spans="1:10" x14ac:dyDescent="0.25">
      <c r="A1491">
        <v>1696</v>
      </c>
      <c r="B1491" t="s">
        <v>31181</v>
      </c>
      <c r="C1491">
        <v>455</v>
      </c>
      <c r="D1491">
        <v>523</v>
      </c>
      <c r="E1491">
        <v>1576548173</v>
      </c>
      <c r="F1491">
        <v>3857</v>
      </c>
      <c r="G1491">
        <v>0</v>
      </c>
      <c r="H1491" t="s">
        <v>6418</v>
      </c>
      <c r="I1491">
        <v>1696</v>
      </c>
      <c r="J1491" t="str">
        <f>VLOOKUP(E1491,DSSpieler!A:B,2,FALSE)</f>
        <v>attila53</v>
      </c>
    </row>
    <row r="1492" spans="1:10" x14ac:dyDescent="0.25">
      <c r="A1492">
        <v>1697</v>
      </c>
      <c r="B1492" t="s">
        <v>31182</v>
      </c>
      <c r="C1492">
        <v>461</v>
      </c>
      <c r="D1492">
        <v>500</v>
      </c>
      <c r="E1492">
        <v>1577142604</v>
      </c>
      <c r="F1492">
        <v>4947</v>
      </c>
      <c r="G1492">
        <v>0</v>
      </c>
      <c r="H1492" t="s">
        <v>6419</v>
      </c>
      <c r="I1492">
        <v>1697</v>
      </c>
      <c r="J1492" t="str">
        <f>VLOOKUP(E1492,DSSpieler!A:B,2,FALSE)</f>
        <v>Runenmagier</v>
      </c>
    </row>
    <row r="1493" spans="1:10" x14ac:dyDescent="0.25">
      <c r="A1493">
        <v>1698</v>
      </c>
      <c r="B1493" t="s">
        <v>31183</v>
      </c>
      <c r="C1493">
        <v>459</v>
      </c>
      <c r="D1493">
        <v>533</v>
      </c>
      <c r="E1493">
        <v>1577146825</v>
      </c>
      <c r="F1493">
        <v>4843</v>
      </c>
      <c r="G1493">
        <v>0</v>
      </c>
      <c r="H1493" t="s">
        <v>6420</v>
      </c>
      <c r="I1493">
        <v>1698</v>
      </c>
      <c r="J1493" t="str">
        <f>VLOOKUP(E1493,DSSpieler!A:B,2,FALSE)</f>
        <v>Flexen93</v>
      </c>
    </row>
    <row r="1494" spans="1:10" x14ac:dyDescent="0.25">
      <c r="A1494">
        <v>1699</v>
      </c>
      <c r="B1494" t="s">
        <v>31184</v>
      </c>
      <c r="C1494">
        <v>454</v>
      </c>
      <c r="D1494">
        <v>530</v>
      </c>
      <c r="E1494">
        <v>1577150489</v>
      </c>
      <c r="F1494">
        <v>5539</v>
      </c>
      <c r="G1494">
        <v>0</v>
      </c>
      <c r="H1494" t="s">
        <v>6421</v>
      </c>
      <c r="I1494">
        <v>1699</v>
      </c>
      <c r="J1494" t="str">
        <f>VLOOKUP(E1494,DSSpieler!A:B,2,FALSE)</f>
        <v>2LowNico</v>
      </c>
    </row>
    <row r="1495" spans="1:10" x14ac:dyDescent="0.25">
      <c r="A1495">
        <v>1700</v>
      </c>
      <c r="B1495" t="s">
        <v>31185</v>
      </c>
      <c r="C1495">
        <v>456</v>
      </c>
      <c r="D1495">
        <v>534</v>
      </c>
      <c r="E1495">
        <v>1577162823</v>
      </c>
      <c r="F1495">
        <v>4909</v>
      </c>
      <c r="G1495">
        <v>0</v>
      </c>
      <c r="H1495" t="s">
        <v>6422</v>
      </c>
      <c r="I1495">
        <v>1700</v>
      </c>
      <c r="J1495" t="str">
        <f>VLOOKUP(E1495,DSSpieler!A:B,2,FALSE)</f>
        <v>Ruffy61</v>
      </c>
    </row>
    <row r="1496" spans="1:10" x14ac:dyDescent="0.25">
      <c r="A1496">
        <v>1701</v>
      </c>
      <c r="B1496" t="s">
        <v>821</v>
      </c>
      <c r="C1496">
        <v>442</v>
      </c>
      <c r="D1496">
        <v>524</v>
      </c>
      <c r="E1496">
        <v>1577175305</v>
      </c>
      <c r="F1496">
        <v>5787</v>
      </c>
      <c r="G1496">
        <v>0</v>
      </c>
      <c r="H1496" t="s">
        <v>6423</v>
      </c>
      <c r="I1496">
        <v>1701</v>
      </c>
      <c r="J1496" t="str">
        <f>VLOOKUP(E1496,DSSpieler!A:B,2,FALSE)</f>
        <v>thedfh</v>
      </c>
    </row>
    <row r="1497" spans="1:10" x14ac:dyDescent="0.25">
      <c r="A1497">
        <v>1702</v>
      </c>
      <c r="B1497" t="s">
        <v>31186</v>
      </c>
      <c r="C1497">
        <v>465</v>
      </c>
      <c r="D1497">
        <v>501</v>
      </c>
      <c r="E1497">
        <v>1577175435</v>
      </c>
      <c r="F1497">
        <v>7111</v>
      </c>
      <c r="G1497">
        <v>0</v>
      </c>
      <c r="H1497" t="s">
        <v>6424</v>
      </c>
      <c r="I1497">
        <v>1702</v>
      </c>
      <c r="J1497" t="str">
        <f>VLOOKUP(E1497,DSSpieler!A:B,2,FALSE)</f>
        <v>Sleeker</v>
      </c>
    </row>
    <row r="1498" spans="1:10" x14ac:dyDescent="0.25">
      <c r="A1498">
        <v>1703</v>
      </c>
      <c r="B1498" t="s">
        <v>31187</v>
      </c>
      <c r="C1498">
        <v>496</v>
      </c>
      <c r="D1498">
        <v>545</v>
      </c>
      <c r="E1498">
        <v>10177222</v>
      </c>
      <c r="F1498">
        <v>7123</v>
      </c>
      <c r="G1498">
        <v>0</v>
      </c>
      <c r="H1498" t="s">
        <v>6425</v>
      </c>
      <c r="I1498">
        <v>1703</v>
      </c>
      <c r="J1498" t="str">
        <f>VLOOKUP(E1498,DSSpieler!A:B,2,FALSE)</f>
        <v>PRoXiS</v>
      </c>
    </row>
    <row r="1499" spans="1:10" x14ac:dyDescent="0.25">
      <c r="A1499">
        <v>1707</v>
      </c>
      <c r="B1499" t="s">
        <v>30671</v>
      </c>
      <c r="C1499">
        <v>603</v>
      </c>
      <c r="D1499">
        <v>464</v>
      </c>
      <c r="E1499">
        <v>1577176958</v>
      </c>
      <c r="F1499">
        <v>6096</v>
      </c>
      <c r="G1499">
        <v>0</v>
      </c>
      <c r="H1499" t="s">
        <v>6426</v>
      </c>
      <c r="I1499">
        <v>1707</v>
      </c>
      <c r="J1499" t="str">
        <f>VLOOKUP(E1499,DSSpieler!A:B,2,FALSE)</f>
        <v>MultiCore</v>
      </c>
    </row>
    <row r="1500" spans="1:10" x14ac:dyDescent="0.25">
      <c r="A1500">
        <v>1708</v>
      </c>
      <c r="B1500" t="s">
        <v>31188</v>
      </c>
      <c r="C1500">
        <v>480</v>
      </c>
      <c r="D1500">
        <v>481</v>
      </c>
      <c r="E1500">
        <v>1577197270</v>
      </c>
      <c r="F1500">
        <v>6021</v>
      </c>
      <c r="G1500">
        <v>0</v>
      </c>
      <c r="H1500" t="s">
        <v>6427</v>
      </c>
      <c r="I1500">
        <v>1708</v>
      </c>
      <c r="J1500" t="str">
        <f>VLOOKUP(E1500,DSSpieler!A:B,2,FALSE)</f>
        <v>sanchezz.</v>
      </c>
    </row>
    <row r="1501" spans="1:10" x14ac:dyDescent="0.25">
      <c r="A1501">
        <v>1709</v>
      </c>
      <c r="B1501" t="s">
        <v>531</v>
      </c>
      <c r="C1501">
        <v>478</v>
      </c>
      <c r="D1501">
        <v>497</v>
      </c>
      <c r="E1501">
        <v>0</v>
      </c>
      <c r="F1501">
        <v>482</v>
      </c>
      <c r="G1501">
        <v>0</v>
      </c>
      <c r="H1501" t="s">
        <v>6428</v>
      </c>
      <c r="I1501">
        <v>1709</v>
      </c>
      <c r="J1501" t="e">
        <f>VLOOKUP(E1501,DSSpieler!A:B,2,FALSE)</f>
        <v>#N/A</v>
      </c>
    </row>
    <row r="1502" spans="1:10" x14ac:dyDescent="0.25">
      <c r="A1502">
        <v>1710</v>
      </c>
      <c r="B1502" t="s">
        <v>150</v>
      </c>
      <c r="C1502">
        <v>478</v>
      </c>
      <c r="D1502">
        <v>486</v>
      </c>
      <c r="E1502">
        <v>1576472084</v>
      </c>
      <c r="F1502">
        <v>4835</v>
      </c>
      <c r="G1502">
        <v>0</v>
      </c>
      <c r="H1502" t="s">
        <v>6429</v>
      </c>
      <c r="I1502">
        <v>1710</v>
      </c>
      <c r="J1502" t="str">
        <f>VLOOKUP(E1502,DSSpieler!A:B,2,FALSE)</f>
        <v>War2014</v>
      </c>
    </row>
    <row r="1503" spans="1:10" x14ac:dyDescent="0.25">
      <c r="A1503">
        <v>1711</v>
      </c>
      <c r="B1503" t="s">
        <v>31189</v>
      </c>
      <c r="C1503">
        <v>483</v>
      </c>
      <c r="D1503">
        <v>484</v>
      </c>
      <c r="E1503">
        <v>1577197270</v>
      </c>
      <c r="F1503">
        <v>4923</v>
      </c>
      <c r="G1503">
        <v>0</v>
      </c>
      <c r="H1503" t="s">
        <v>6430</v>
      </c>
      <c r="I1503">
        <v>1711</v>
      </c>
      <c r="J1503" t="str">
        <f>VLOOKUP(E1503,DSSpieler!A:B,2,FALSE)</f>
        <v>sanchezz.</v>
      </c>
    </row>
    <row r="1504" spans="1:10" x14ac:dyDescent="0.25">
      <c r="A1504">
        <v>1712</v>
      </c>
      <c r="B1504" t="s">
        <v>31190</v>
      </c>
      <c r="C1504">
        <v>499</v>
      </c>
      <c r="D1504">
        <v>467</v>
      </c>
      <c r="E1504">
        <v>1577200214</v>
      </c>
      <c r="F1504">
        <v>5328</v>
      </c>
      <c r="G1504">
        <v>0</v>
      </c>
      <c r="H1504" t="s">
        <v>6431</v>
      </c>
      <c r="I1504">
        <v>1712</v>
      </c>
      <c r="J1504" t="str">
        <f>VLOOKUP(E1504,DSSpieler!A:B,2,FALSE)</f>
        <v>Huraknächt</v>
      </c>
    </row>
    <row r="1505" spans="1:10" x14ac:dyDescent="0.25">
      <c r="A1505">
        <v>1713</v>
      </c>
      <c r="B1505" t="s">
        <v>531</v>
      </c>
      <c r="C1505">
        <v>527</v>
      </c>
      <c r="D1505">
        <v>530</v>
      </c>
      <c r="E1505">
        <v>0</v>
      </c>
      <c r="F1505">
        <v>293</v>
      </c>
      <c r="G1505">
        <v>0</v>
      </c>
      <c r="H1505" t="s">
        <v>6432</v>
      </c>
      <c r="I1505">
        <v>1713</v>
      </c>
      <c r="J1505" t="e">
        <f>VLOOKUP(E1505,DSSpieler!A:B,2,FALSE)</f>
        <v>#N/A</v>
      </c>
    </row>
    <row r="1506" spans="1:10" x14ac:dyDescent="0.25">
      <c r="A1506">
        <v>1714</v>
      </c>
      <c r="B1506" t="s">
        <v>822</v>
      </c>
      <c r="C1506">
        <v>495</v>
      </c>
      <c r="D1506">
        <v>477</v>
      </c>
      <c r="E1506">
        <v>1577178574</v>
      </c>
      <c r="F1506">
        <v>3984</v>
      </c>
      <c r="G1506">
        <v>0</v>
      </c>
      <c r="H1506" t="s">
        <v>6433</v>
      </c>
      <c r="I1506">
        <v>1714</v>
      </c>
      <c r="J1506" t="str">
        <f>VLOOKUP(E1506,DSSpieler!A:B,2,FALSE)</f>
        <v>Kannnix</v>
      </c>
    </row>
    <row r="1507" spans="1:10" x14ac:dyDescent="0.25">
      <c r="A1507">
        <v>1715</v>
      </c>
      <c r="B1507" t="s">
        <v>31191</v>
      </c>
      <c r="C1507">
        <v>490</v>
      </c>
      <c r="D1507">
        <v>479</v>
      </c>
      <c r="E1507">
        <v>1577191156</v>
      </c>
      <c r="F1507">
        <v>6497</v>
      </c>
      <c r="G1507">
        <v>0</v>
      </c>
      <c r="H1507" t="s">
        <v>6434</v>
      </c>
      <c r="I1507">
        <v>1715</v>
      </c>
      <c r="J1507" t="str">
        <f>VLOOKUP(E1507,DSSpieler!A:B,2,FALSE)</f>
        <v>Weißich</v>
      </c>
    </row>
    <row r="1508" spans="1:10" x14ac:dyDescent="0.25">
      <c r="A1508">
        <v>1716</v>
      </c>
      <c r="B1508" t="s">
        <v>31192</v>
      </c>
      <c r="C1508">
        <v>510</v>
      </c>
      <c r="D1508">
        <v>460</v>
      </c>
      <c r="E1508">
        <v>10240669</v>
      </c>
      <c r="F1508">
        <v>2721</v>
      </c>
      <c r="G1508">
        <v>0</v>
      </c>
      <c r="H1508" t="s">
        <v>6435</v>
      </c>
      <c r="I1508">
        <v>1716</v>
      </c>
      <c r="J1508" t="str">
        <f>VLOOKUP(E1508,DSSpieler!A:B,2,FALSE)</f>
        <v>MrInvisibleHD</v>
      </c>
    </row>
    <row r="1509" spans="1:10" x14ac:dyDescent="0.25">
      <c r="A1509">
        <v>1717</v>
      </c>
      <c r="B1509" t="s">
        <v>780</v>
      </c>
      <c r="C1509">
        <v>598</v>
      </c>
      <c r="D1509">
        <v>541</v>
      </c>
      <c r="E1509">
        <v>8645048</v>
      </c>
      <c r="F1509">
        <v>4988</v>
      </c>
      <c r="G1509">
        <v>0</v>
      </c>
      <c r="H1509" t="s">
        <v>6436</v>
      </c>
      <c r="I1509">
        <v>1717</v>
      </c>
      <c r="J1509" t="str">
        <f>VLOOKUP(E1509,DSSpieler!A:B,2,FALSE)</f>
        <v>HeinBlöd</v>
      </c>
    </row>
    <row r="1510" spans="1:10" x14ac:dyDescent="0.25">
      <c r="A1510">
        <v>1718</v>
      </c>
      <c r="B1510" t="s">
        <v>780</v>
      </c>
      <c r="C1510">
        <v>597</v>
      </c>
      <c r="D1510">
        <v>541</v>
      </c>
      <c r="E1510">
        <v>8645048</v>
      </c>
      <c r="F1510">
        <v>6330</v>
      </c>
      <c r="G1510">
        <v>0</v>
      </c>
      <c r="H1510" t="s">
        <v>6437</v>
      </c>
      <c r="I1510">
        <v>1718</v>
      </c>
      <c r="J1510" t="str">
        <f>VLOOKUP(E1510,DSSpieler!A:B,2,FALSE)</f>
        <v>HeinBlöd</v>
      </c>
    </row>
    <row r="1511" spans="1:10" x14ac:dyDescent="0.25">
      <c r="A1511">
        <v>1719</v>
      </c>
      <c r="B1511" t="s">
        <v>823</v>
      </c>
      <c r="C1511">
        <v>458</v>
      </c>
      <c r="D1511">
        <v>493</v>
      </c>
      <c r="E1511">
        <v>1577197679</v>
      </c>
      <c r="F1511">
        <v>709</v>
      </c>
      <c r="G1511">
        <v>0</v>
      </c>
      <c r="H1511" t="s">
        <v>6438</v>
      </c>
      <c r="I1511">
        <v>1719</v>
      </c>
      <c r="J1511" t="str">
        <f>VLOOKUP(E1511,DSSpieler!A:B,2,FALSE)</f>
        <v>R3D-KILL-M0NK3Y</v>
      </c>
    </row>
    <row r="1512" spans="1:10" x14ac:dyDescent="0.25">
      <c r="A1512">
        <v>1720</v>
      </c>
      <c r="B1512" t="s">
        <v>780</v>
      </c>
      <c r="C1512">
        <v>609</v>
      </c>
      <c r="D1512">
        <v>527</v>
      </c>
      <c r="E1512">
        <v>1577162986</v>
      </c>
      <c r="F1512">
        <v>6169</v>
      </c>
      <c r="G1512">
        <v>0</v>
      </c>
      <c r="H1512" t="s">
        <v>6439</v>
      </c>
      <c r="I1512">
        <v>1720</v>
      </c>
      <c r="J1512" t="str">
        <f>VLOOKUP(E1512,DSSpieler!A:B,2,FALSE)</f>
        <v>Imperator Baked</v>
      </c>
    </row>
    <row r="1513" spans="1:10" x14ac:dyDescent="0.25">
      <c r="A1513">
        <v>1721</v>
      </c>
      <c r="B1513" t="s">
        <v>531</v>
      </c>
      <c r="C1513">
        <v>592</v>
      </c>
      <c r="D1513">
        <v>538</v>
      </c>
      <c r="E1513">
        <v>0</v>
      </c>
      <c r="F1513">
        <v>216</v>
      </c>
      <c r="G1513">
        <v>0</v>
      </c>
      <c r="H1513" t="s">
        <v>6440</v>
      </c>
      <c r="I1513">
        <v>1721</v>
      </c>
      <c r="J1513" t="e">
        <f>VLOOKUP(E1513,DSSpieler!A:B,2,FALSE)</f>
        <v>#N/A</v>
      </c>
    </row>
    <row r="1514" spans="1:10" x14ac:dyDescent="0.25">
      <c r="A1514">
        <v>1722</v>
      </c>
      <c r="B1514" t="s">
        <v>31193</v>
      </c>
      <c r="C1514">
        <v>553</v>
      </c>
      <c r="D1514">
        <v>592</v>
      </c>
      <c r="E1514">
        <v>1576721973</v>
      </c>
      <c r="F1514">
        <v>5380</v>
      </c>
      <c r="G1514">
        <v>0</v>
      </c>
      <c r="H1514" t="s">
        <v>6441</v>
      </c>
      <c r="I1514">
        <v>1722</v>
      </c>
      <c r="J1514" t="str">
        <f>VLOOKUP(E1514,DSSpieler!A:B,2,FALSE)</f>
        <v>Absoluter Diplomatierer</v>
      </c>
    </row>
    <row r="1515" spans="1:10" x14ac:dyDescent="0.25">
      <c r="A1515">
        <v>1723</v>
      </c>
      <c r="B1515" t="s">
        <v>31194</v>
      </c>
      <c r="C1515">
        <v>563</v>
      </c>
      <c r="D1515">
        <v>594</v>
      </c>
      <c r="E1515">
        <v>1759370</v>
      </c>
      <c r="F1515">
        <v>4641</v>
      </c>
      <c r="G1515">
        <v>0</v>
      </c>
      <c r="H1515" t="s">
        <v>6442</v>
      </c>
      <c r="I1515">
        <v>1723</v>
      </c>
      <c r="J1515" t="str">
        <f>VLOOKUP(E1515,DSSpieler!A:B,2,FALSE)</f>
        <v>Dalledara</v>
      </c>
    </row>
    <row r="1516" spans="1:10" x14ac:dyDescent="0.25">
      <c r="A1516">
        <v>1724</v>
      </c>
      <c r="B1516" t="s">
        <v>531</v>
      </c>
      <c r="C1516">
        <v>478</v>
      </c>
      <c r="D1516">
        <v>444</v>
      </c>
      <c r="E1516">
        <v>0</v>
      </c>
      <c r="F1516">
        <v>388</v>
      </c>
      <c r="G1516">
        <v>0</v>
      </c>
      <c r="H1516" t="s">
        <v>6443</v>
      </c>
      <c r="I1516">
        <v>1724</v>
      </c>
      <c r="J1516" t="e">
        <f>VLOOKUP(E1516,DSSpieler!A:B,2,FALSE)</f>
        <v>#N/A</v>
      </c>
    </row>
    <row r="1517" spans="1:10" x14ac:dyDescent="0.25">
      <c r="A1517">
        <v>1725</v>
      </c>
      <c r="B1517" t="s">
        <v>31195</v>
      </c>
      <c r="C1517">
        <v>554</v>
      </c>
      <c r="D1517">
        <v>591</v>
      </c>
      <c r="E1517">
        <v>1577197739</v>
      </c>
      <c r="F1517">
        <v>3658</v>
      </c>
      <c r="G1517">
        <v>0</v>
      </c>
      <c r="H1517" t="s">
        <v>6444</v>
      </c>
      <c r="I1517">
        <v>1725</v>
      </c>
      <c r="J1517" t="str">
        <f>VLOOKUP(E1517,DSSpieler!A:B,2,FALSE)</f>
        <v>WMitty</v>
      </c>
    </row>
    <row r="1518" spans="1:10" x14ac:dyDescent="0.25">
      <c r="A1518">
        <v>1726</v>
      </c>
      <c r="B1518" t="s">
        <v>531</v>
      </c>
      <c r="C1518">
        <v>533</v>
      </c>
      <c r="D1518">
        <v>568</v>
      </c>
      <c r="E1518">
        <v>0</v>
      </c>
      <c r="F1518">
        <v>471</v>
      </c>
      <c r="G1518">
        <v>0</v>
      </c>
      <c r="H1518" t="s">
        <v>6445</v>
      </c>
      <c r="I1518">
        <v>1726</v>
      </c>
      <c r="J1518" t="e">
        <f>VLOOKUP(E1518,DSSpieler!A:B,2,FALSE)</f>
        <v>#N/A</v>
      </c>
    </row>
    <row r="1519" spans="1:10" x14ac:dyDescent="0.25">
      <c r="A1519">
        <v>1727</v>
      </c>
      <c r="B1519" t="s">
        <v>531</v>
      </c>
      <c r="C1519">
        <v>521</v>
      </c>
      <c r="D1519">
        <v>537</v>
      </c>
      <c r="E1519">
        <v>0</v>
      </c>
      <c r="F1519">
        <v>167</v>
      </c>
      <c r="G1519">
        <v>0</v>
      </c>
      <c r="H1519" t="s">
        <v>6446</v>
      </c>
      <c r="I1519">
        <v>1727</v>
      </c>
      <c r="J1519" t="e">
        <f>VLOOKUP(E1519,DSSpieler!A:B,2,FALSE)</f>
        <v>#N/A</v>
      </c>
    </row>
    <row r="1520" spans="1:10" x14ac:dyDescent="0.25">
      <c r="A1520">
        <v>1728</v>
      </c>
      <c r="B1520" t="s">
        <v>810</v>
      </c>
      <c r="C1520">
        <v>523</v>
      </c>
      <c r="D1520">
        <v>514</v>
      </c>
      <c r="E1520">
        <v>1576276172</v>
      </c>
      <c r="F1520">
        <v>4848</v>
      </c>
      <c r="G1520">
        <v>0</v>
      </c>
      <c r="H1520" t="s">
        <v>6447</v>
      </c>
      <c r="I1520">
        <v>1728</v>
      </c>
      <c r="J1520" t="str">
        <f>VLOOKUP(E1520,DSSpieler!A:B,2,FALSE)</f>
        <v>ShenL0ng</v>
      </c>
    </row>
    <row r="1521" spans="1:10" x14ac:dyDescent="0.25">
      <c r="A1521">
        <v>1729</v>
      </c>
      <c r="B1521" t="s">
        <v>531</v>
      </c>
      <c r="C1521">
        <v>455</v>
      </c>
      <c r="D1521">
        <v>508</v>
      </c>
      <c r="E1521">
        <v>0</v>
      </c>
      <c r="F1521">
        <v>419</v>
      </c>
      <c r="G1521">
        <v>0</v>
      </c>
      <c r="H1521" t="s">
        <v>6448</v>
      </c>
      <c r="I1521">
        <v>1729</v>
      </c>
      <c r="J1521" t="e">
        <f>VLOOKUP(E1521,DSSpieler!A:B,2,FALSE)</f>
        <v>#N/A</v>
      </c>
    </row>
    <row r="1522" spans="1:10" x14ac:dyDescent="0.25">
      <c r="A1522">
        <v>1730</v>
      </c>
      <c r="B1522" t="s">
        <v>810</v>
      </c>
      <c r="C1522">
        <v>524</v>
      </c>
      <c r="D1522">
        <v>511</v>
      </c>
      <c r="E1522">
        <v>1576276172</v>
      </c>
      <c r="F1522">
        <v>5094</v>
      </c>
      <c r="G1522">
        <v>0</v>
      </c>
      <c r="H1522" t="s">
        <v>6449</v>
      </c>
      <c r="I1522">
        <v>1730</v>
      </c>
      <c r="J1522" t="str">
        <f>VLOOKUP(E1522,DSSpieler!A:B,2,FALSE)</f>
        <v>ShenL0ng</v>
      </c>
    </row>
    <row r="1523" spans="1:10" x14ac:dyDescent="0.25">
      <c r="A1523">
        <v>1731</v>
      </c>
      <c r="B1523" t="s">
        <v>824</v>
      </c>
      <c r="C1523">
        <v>535</v>
      </c>
      <c r="D1523">
        <v>468</v>
      </c>
      <c r="E1523">
        <v>1577041400</v>
      </c>
      <c r="F1523">
        <v>4474</v>
      </c>
      <c r="G1523">
        <v>0</v>
      </c>
      <c r="H1523" t="s">
        <v>6450</v>
      </c>
      <c r="I1523">
        <v>1731</v>
      </c>
      <c r="J1523" t="str">
        <f>VLOOKUP(E1523,DSSpieler!A:B,2,FALSE)</f>
        <v>JJ2002</v>
      </c>
    </row>
    <row r="1524" spans="1:10" x14ac:dyDescent="0.25">
      <c r="A1524">
        <v>1732</v>
      </c>
      <c r="B1524" t="s">
        <v>31196</v>
      </c>
      <c r="C1524">
        <v>394</v>
      </c>
      <c r="D1524">
        <v>507</v>
      </c>
      <c r="E1524">
        <v>1576572910</v>
      </c>
      <c r="F1524">
        <v>6963</v>
      </c>
      <c r="G1524">
        <v>0</v>
      </c>
      <c r="H1524" t="s">
        <v>6451</v>
      </c>
      <c r="I1524">
        <v>1732</v>
      </c>
      <c r="J1524" t="str">
        <f>VLOOKUP(E1524,DSSpieler!A:B,2,FALSE)</f>
        <v>Lord Swagstau</v>
      </c>
    </row>
    <row r="1525" spans="1:10" x14ac:dyDescent="0.25">
      <c r="A1525">
        <v>1733</v>
      </c>
      <c r="B1525" t="s">
        <v>531</v>
      </c>
      <c r="C1525">
        <v>530</v>
      </c>
      <c r="D1525">
        <v>511</v>
      </c>
      <c r="E1525">
        <v>0</v>
      </c>
      <c r="F1525">
        <v>346</v>
      </c>
      <c r="G1525">
        <v>0</v>
      </c>
      <c r="H1525" t="s">
        <v>6452</v>
      </c>
      <c r="I1525">
        <v>1733</v>
      </c>
      <c r="J1525" t="e">
        <f>VLOOKUP(E1525,DSSpieler!A:B,2,FALSE)</f>
        <v>#N/A</v>
      </c>
    </row>
    <row r="1526" spans="1:10" x14ac:dyDescent="0.25">
      <c r="A1526">
        <v>1734</v>
      </c>
      <c r="B1526" t="s">
        <v>531</v>
      </c>
      <c r="C1526">
        <v>484</v>
      </c>
      <c r="D1526">
        <v>485</v>
      </c>
      <c r="E1526">
        <v>0</v>
      </c>
      <c r="F1526">
        <v>425</v>
      </c>
      <c r="G1526">
        <v>0</v>
      </c>
      <c r="H1526" t="s">
        <v>6453</v>
      </c>
      <c r="I1526">
        <v>1734</v>
      </c>
      <c r="J1526" t="e">
        <f>VLOOKUP(E1526,DSSpieler!A:B,2,FALSE)</f>
        <v>#N/A</v>
      </c>
    </row>
    <row r="1527" spans="1:10" x14ac:dyDescent="0.25">
      <c r="A1527">
        <v>1735</v>
      </c>
      <c r="B1527" t="s">
        <v>31197</v>
      </c>
      <c r="C1527">
        <v>392</v>
      </c>
      <c r="D1527">
        <v>504</v>
      </c>
      <c r="E1527">
        <v>9694313</v>
      </c>
      <c r="F1527">
        <v>5820</v>
      </c>
      <c r="G1527">
        <v>0</v>
      </c>
      <c r="H1527" t="s">
        <v>6454</v>
      </c>
      <c r="I1527">
        <v>1735</v>
      </c>
      <c r="J1527" t="str">
        <f>VLOOKUP(E1527,DSSpieler!A:B,2,FALSE)</f>
        <v>Lerbanoel</v>
      </c>
    </row>
    <row r="1528" spans="1:10" x14ac:dyDescent="0.25">
      <c r="A1528">
        <v>1736</v>
      </c>
      <c r="B1528" t="s">
        <v>31198</v>
      </c>
      <c r="C1528">
        <v>480</v>
      </c>
      <c r="D1528">
        <v>467</v>
      </c>
      <c r="E1528">
        <v>1576920968</v>
      </c>
      <c r="F1528">
        <v>4484</v>
      </c>
      <c r="G1528">
        <v>0</v>
      </c>
      <c r="H1528" t="s">
        <v>6455</v>
      </c>
      <c r="I1528">
        <v>1736</v>
      </c>
      <c r="J1528" t="str">
        <f>VLOOKUP(E1528,DSSpieler!A:B,2,FALSE)</f>
        <v>alexoo</v>
      </c>
    </row>
    <row r="1529" spans="1:10" x14ac:dyDescent="0.25">
      <c r="A1529">
        <v>1737</v>
      </c>
      <c r="B1529" t="s">
        <v>531</v>
      </c>
      <c r="C1529">
        <v>501</v>
      </c>
      <c r="D1529">
        <v>494</v>
      </c>
      <c r="E1529">
        <v>0</v>
      </c>
      <c r="F1529">
        <v>464</v>
      </c>
      <c r="G1529">
        <v>0</v>
      </c>
      <c r="H1529" t="s">
        <v>6456</v>
      </c>
      <c r="I1529">
        <v>1737</v>
      </c>
      <c r="J1529" t="e">
        <f>VLOOKUP(E1529,DSSpieler!A:B,2,FALSE)</f>
        <v>#N/A</v>
      </c>
    </row>
    <row r="1530" spans="1:10" x14ac:dyDescent="0.25">
      <c r="A1530">
        <v>1738</v>
      </c>
      <c r="B1530" t="s">
        <v>31199</v>
      </c>
      <c r="C1530">
        <v>479</v>
      </c>
      <c r="D1530">
        <v>470</v>
      </c>
      <c r="E1530">
        <v>1576027028</v>
      </c>
      <c r="F1530">
        <v>2901</v>
      </c>
      <c r="G1530">
        <v>0</v>
      </c>
      <c r="H1530" t="s">
        <v>6457</v>
      </c>
      <c r="I1530">
        <v>1738</v>
      </c>
      <c r="J1530" t="str">
        <f>VLOOKUP(E1530,DSSpieler!A:B,2,FALSE)</f>
        <v>vkvipper1</v>
      </c>
    </row>
    <row r="1531" spans="1:10" x14ac:dyDescent="0.25">
      <c r="A1531">
        <v>1739</v>
      </c>
      <c r="B1531" t="s">
        <v>825</v>
      </c>
      <c r="C1531">
        <v>448</v>
      </c>
      <c r="D1531">
        <v>550</v>
      </c>
      <c r="E1531">
        <v>9849079</v>
      </c>
      <c r="F1531">
        <v>1609</v>
      </c>
      <c r="G1531">
        <v>0</v>
      </c>
      <c r="H1531" t="s">
        <v>6458</v>
      </c>
      <c r="I1531">
        <v>1739</v>
      </c>
      <c r="J1531" t="str">
        <f>VLOOKUP(E1531,DSSpieler!A:B,2,FALSE)</f>
        <v>jagru15</v>
      </c>
    </row>
    <row r="1532" spans="1:10" x14ac:dyDescent="0.25">
      <c r="A1532">
        <v>1740</v>
      </c>
      <c r="B1532" t="s">
        <v>31200</v>
      </c>
      <c r="C1532">
        <v>582</v>
      </c>
      <c r="D1532">
        <v>445</v>
      </c>
      <c r="E1532">
        <v>8179590</v>
      </c>
      <c r="F1532">
        <v>5430</v>
      </c>
      <c r="G1532">
        <v>0</v>
      </c>
      <c r="H1532" t="s">
        <v>6459</v>
      </c>
      <c r="I1532">
        <v>1740</v>
      </c>
      <c r="J1532" t="str">
        <f>VLOOKUP(E1532,DSSpieler!A:B,2,FALSE)</f>
        <v>-Lutschdn?</v>
      </c>
    </row>
    <row r="1533" spans="1:10" x14ac:dyDescent="0.25">
      <c r="A1533">
        <v>1741</v>
      </c>
      <c r="B1533">
        <v>2</v>
      </c>
      <c r="C1533">
        <v>468</v>
      </c>
      <c r="D1533">
        <v>519</v>
      </c>
      <c r="E1533">
        <v>2135947</v>
      </c>
      <c r="F1533">
        <v>4902</v>
      </c>
      <c r="G1533">
        <v>0</v>
      </c>
      <c r="H1533" t="s">
        <v>6460</v>
      </c>
      <c r="I1533">
        <v>1741</v>
      </c>
      <c r="J1533" t="str">
        <f>VLOOKUP(E1533,DSSpieler!A:B,2,FALSE)</f>
        <v>Tankred Antiochensis</v>
      </c>
    </row>
    <row r="1534" spans="1:10" x14ac:dyDescent="0.25">
      <c r="A1534">
        <v>1742</v>
      </c>
      <c r="B1534">
        <v>5</v>
      </c>
      <c r="C1534">
        <v>467</v>
      </c>
      <c r="D1534">
        <v>523</v>
      </c>
      <c r="E1534">
        <v>2135947</v>
      </c>
      <c r="F1534">
        <v>4990</v>
      </c>
      <c r="G1534">
        <v>0</v>
      </c>
      <c r="H1534" t="s">
        <v>6461</v>
      </c>
      <c r="I1534">
        <v>1742</v>
      </c>
      <c r="J1534" t="str">
        <f>VLOOKUP(E1534,DSSpieler!A:B,2,FALSE)</f>
        <v>Tankred Antiochensis</v>
      </c>
    </row>
    <row r="1535" spans="1:10" x14ac:dyDescent="0.25">
      <c r="A1535">
        <v>1743</v>
      </c>
      <c r="B1535" t="s">
        <v>30525</v>
      </c>
      <c r="C1535">
        <v>462</v>
      </c>
      <c r="D1535">
        <v>514</v>
      </c>
      <c r="E1535">
        <v>8198259</v>
      </c>
      <c r="F1535">
        <v>4511</v>
      </c>
      <c r="G1535">
        <v>0</v>
      </c>
      <c r="H1535" t="s">
        <v>6462</v>
      </c>
      <c r="I1535">
        <v>1743</v>
      </c>
      <c r="J1535" t="str">
        <f>VLOOKUP(E1535,DSSpieler!A:B,2,FALSE)</f>
        <v>Tiger1896</v>
      </c>
    </row>
    <row r="1536" spans="1:10" x14ac:dyDescent="0.25">
      <c r="A1536">
        <v>1744</v>
      </c>
      <c r="B1536" t="s">
        <v>826</v>
      </c>
      <c r="C1536">
        <v>472</v>
      </c>
      <c r="D1536">
        <v>517</v>
      </c>
      <c r="E1536">
        <v>1577179968</v>
      </c>
      <c r="F1536">
        <v>5453</v>
      </c>
      <c r="G1536">
        <v>0</v>
      </c>
      <c r="H1536" t="s">
        <v>6463</v>
      </c>
      <c r="I1536">
        <v>1744</v>
      </c>
      <c r="J1536" t="str">
        <f>VLOOKUP(E1536,DSSpieler!A:B,2,FALSE)</f>
        <v>true dope</v>
      </c>
    </row>
    <row r="1537" spans="1:10" x14ac:dyDescent="0.25">
      <c r="A1537">
        <v>1745</v>
      </c>
      <c r="B1537" t="s">
        <v>31201</v>
      </c>
      <c r="C1537">
        <v>466</v>
      </c>
      <c r="D1537">
        <v>509</v>
      </c>
      <c r="E1537">
        <v>1577182010</v>
      </c>
      <c r="F1537">
        <v>5990</v>
      </c>
      <c r="G1537">
        <v>0</v>
      </c>
      <c r="H1537" t="s">
        <v>6464</v>
      </c>
      <c r="I1537">
        <v>1745</v>
      </c>
      <c r="J1537" t="str">
        <f>VLOOKUP(E1537,DSSpieler!A:B,2,FALSE)</f>
        <v>Eisern14</v>
      </c>
    </row>
    <row r="1538" spans="1:10" x14ac:dyDescent="0.25">
      <c r="A1538">
        <v>1746</v>
      </c>
      <c r="B1538" t="s">
        <v>31202</v>
      </c>
      <c r="C1538">
        <v>468</v>
      </c>
      <c r="D1538">
        <v>503</v>
      </c>
      <c r="E1538">
        <v>10061551</v>
      </c>
      <c r="F1538">
        <v>4222</v>
      </c>
      <c r="G1538">
        <v>0</v>
      </c>
      <c r="H1538" t="s">
        <v>6465</v>
      </c>
      <c r="I1538">
        <v>1746</v>
      </c>
      <c r="J1538" t="str">
        <f>VLOOKUP(E1538,DSSpieler!A:B,2,FALSE)</f>
        <v>Lexo2013</v>
      </c>
    </row>
    <row r="1539" spans="1:10" x14ac:dyDescent="0.25">
      <c r="A1539">
        <v>1747</v>
      </c>
      <c r="B1539" t="s">
        <v>31203</v>
      </c>
      <c r="C1539">
        <v>467</v>
      </c>
      <c r="D1539">
        <v>402</v>
      </c>
      <c r="E1539">
        <v>8740022</v>
      </c>
      <c r="F1539">
        <v>6990</v>
      </c>
      <c r="G1539">
        <v>0</v>
      </c>
      <c r="H1539" t="s">
        <v>6466</v>
      </c>
      <c r="I1539">
        <v>1747</v>
      </c>
      <c r="J1539" t="str">
        <f>VLOOKUP(E1539,DSSpieler!A:B,2,FALSE)</f>
        <v>Lord Ozner</v>
      </c>
    </row>
    <row r="1540" spans="1:10" x14ac:dyDescent="0.25">
      <c r="A1540">
        <v>1748</v>
      </c>
      <c r="B1540" t="s">
        <v>31204</v>
      </c>
      <c r="C1540">
        <v>470</v>
      </c>
      <c r="D1540">
        <v>408</v>
      </c>
      <c r="E1540">
        <v>1576915148</v>
      </c>
      <c r="F1540">
        <v>7037</v>
      </c>
      <c r="G1540">
        <v>0</v>
      </c>
      <c r="H1540" t="s">
        <v>6467</v>
      </c>
      <c r="I1540">
        <v>1748</v>
      </c>
      <c r="J1540" t="str">
        <f>VLOOKUP(E1540,DSSpieler!A:B,2,FALSE)</f>
        <v>JuSt4FuN97</v>
      </c>
    </row>
    <row r="1541" spans="1:10" x14ac:dyDescent="0.25">
      <c r="A1541">
        <v>1749</v>
      </c>
      <c r="B1541" t="s">
        <v>31205</v>
      </c>
      <c r="C1541">
        <v>467</v>
      </c>
      <c r="D1541">
        <v>409</v>
      </c>
      <c r="E1541">
        <v>1576997334</v>
      </c>
      <c r="F1541">
        <v>6713</v>
      </c>
      <c r="G1541">
        <v>0</v>
      </c>
      <c r="H1541" t="s">
        <v>6468</v>
      </c>
      <c r="I1541">
        <v>1749</v>
      </c>
      <c r="J1541" t="str">
        <f>VLOOKUP(E1541,DSSpieler!A:B,2,FALSE)</f>
        <v>SirNatsch</v>
      </c>
    </row>
    <row r="1542" spans="1:10" x14ac:dyDescent="0.25">
      <c r="A1542">
        <v>1750</v>
      </c>
      <c r="B1542" t="s">
        <v>827</v>
      </c>
      <c r="C1542">
        <v>460</v>
      </c>
      <c r="D1542">
        <v>414</v>
      </c>
      <c r="E1542">
        <v>1577008422</v>
      </c>
      <c r="F1542">
        <v>5648</v>
      </c>
      <c r="G1542">
        <v>0</v>
      </c>
      <c r="H1542" t="s">
        <v>6469</v>
      </c>
      <c r="I1542">
        <v>1750</v>
      </c>
      <c r="J1542" t="str">
        <f>VLOOKUP(E1542,DSSpieler!A:B,2,FALSE)</f>
        <v>Kevko94</v>
      </c>
    </row>
    <row r="1543" spans="1:10" x14ac:dyDescent="0.25">
      <c r="A1543">
        <v>1751</v>
      </c>
      <c r="B1543" t="s">
        <v>35821</v>
      </c>
      <c r="C1543">
        <v>468</v>
      </c>
      <c r="D1543">
        <v>411</v>
      </c>
      <c r="E1543">
        <v>1577014186</v>
      </c>
      <c r="F1543">
        <v>4188</v>
      </c>
      <c r="G1543">
        <v>0</v>
      </c>
      <c r="H1543" t="s">
        <v>6470</v>
      </c>
      <c r="I1543">
        <v>1751</v>
      </c>
      <c r="J1543" t="str">
        <f>VLOOKUP(E1543,DSSpieler!A:B,2,FALSE)</f>
        <v>FleXus</v>
      </c>
    </row>
    <row r="1544" spans="1:10" x14ac:dyDescent="0.25">
      <c r="A1544">
        <v>1752</v>
      </c>
      <c r="B1544" t="s">
        <v>828</v>
      </c>
      <c r="C1544">
        <v>469</v>
      </c>
      <c r="D1544">
        <v>411</v>
      </c>
      <c r="E1544">
        <v>1577192836</v>
      </c>
      <c r="F1544">
        <v>7377</v>
      </c>
      <c r="G1544">
        <v>0</v>
      </c>
      <c r="H1544" t="s">
        <v>6471</v>
      </c>
      <c r="I1544">
        <v>1752</v>
      </c>
      <c r="J1544" t="str">
        <f>VLOOKUP(E1544,DSSpieler!A:B,2,FALSE)</f>
        <v>njeri</v>
      </c>
    </row>
    <row r="1545" spans="1:10" x14ac:dyDescent="0.25">
      <c r="A1545">
        <v>1753</v>
      </c>
      <c r="B1545" t="s">
        <v>31205</v>
      </c>
      <c r="C1545">
        <v>465</v>
      </c>
      <c r="D1545">
        <v>406</v>
      </c>
      <c r="E1545">
        <v>1576997334</v>
      </c>
      <c r="F1545">
        <v>7561</v>
      </c>
      <c r="G1545">
        <v>0</v>
      </c>
      <c r="H1545" t="s">
        <v>6472</v>
      </c>
      <c r="I1545">
        <v>1753</v>
      </c>
      <c r="J1545" t="str">
        <f>VLOOKUP(E1545,DSSpieler!A:B,2,FALSE)</f>
        <v>SirNatsch</v>
      </c>
    </row>
    <row r="1546" spans="1:10" x14ac:dyDescent="0.25">
      <c r="A1546">
        <v>1754</v>
      </c>
      <c r="B1546" t="s">
        <v>30654</v>
      </c>
      <c r="C1546">
        <v>473</v>
      </c>
      <c r="D1546">
        <v>415</v>
      </c>
      <c r="E1546">
        <v>1576992332</v>
      </c>
      <c r="F1546">
        <v>4656</v>
      </c>
      <c r="G1546">
        <v>0</v>
      </c>
      <c r="H1546" t="s">
        <v>6473</v>
      </c>
      <c r="I1546">
        <v>1754</v>
      </c>
      <c r="J1546" t="str">
        <f>VLOOKUP(E1546,DSSpieler!A:B,2,FALSE)</f>
        <v>Byakko1996</v>
      </c>
    </row>
    <row r="1547" spans="1:10" x14ac:dyDescent="0.25">
      <c r="A1547">
        <v>1755</v>
      </c>
      <c r="B1547" t="s">
        <v>531</v>
      </c>
      <c r="C1547">
        <v>452</v>
      </c>
      <c r="D1547">
        <v>450</v>
      </c>
      <c r="E1547">
        <v>0</v>
      </c>
      <c r="F1547">
        <v>420</v>
      </c>
      <c r="G1547">
        <v>0</v>
      </c>
      <c r="H1547" t="s">
        <v>6474</v>
      </c>
      <c r="I1547">
        <v>1755</v>
      </c>
      <c r="J1547" t="e">
        <f>VLOOKUP(E1547,DSSpieler!A:B,2,FALSE)</f>
        <v>#N/A</v>
      </c>
    </row>
    <row r="1548" spans="1:10" x14ac:dyDescent="0.25">
      <c r="A1548">
        <v>1756</v>
      </c>
      <c r="B1548" t="s">
        <v>829</v>
      </c>
      <c r="C1548">
        <v>539</v>
      </c>
      <c r="D1548">
        <v>486</v>
      </c>
      <c r="E1548">
        <v>1577180324</v>
      </c>
      <c r="F1548">
        <v>5736</v>
      </c>
      <c r="G1548">
        <v>0</v>
      </c>
      <c r="H1548" t="s">
        <v>6475</v>
      </c>
      <c r="I1548">
        <v>1756</v>
      </c>
      <c r="J1548" t="str">
        <f>VLOOKUP(E1548,DSSpieler!A:B,2,FALSE)</f>
        <v>XTfg3ZAbO</v>
      </c>
    </row>
    <row r="1549" spans="1:10" x14ac:dyDescent="0.25">
      <c r="A1549">
        <v>1757</v>
      </c>
      <c r="B1549">
        <v>6</v>
      </c>
      <c r="C1549">
        <v>538</v>
      </c>
      <c r="D1549">
        <v>488</v>
      </c>
      <c r="E1549">
        <v>3241642</v>
      </c>
      <c r="F1549">
        <v>6161</v>
      </c>
      <c r="G1549">
        <v>0</v>
      </c>
      <c r="H1549" t="s">
        <v>6476</v>
      </c>
      <c r="I1549">
        <v>1757</v>
      </c>
      <c r="J1549" t="str">
        <f>VLOOKUP(E1549,DSSpieler!A:B,2,FALSE)</f>
        <v>ZeraMorpheus</v>
      </c>
    </row>
    <row r="1550" spans="1:10" x14ac:dyDescent="0.25">
      <c r="A1550">
        <v>1758</v>
      </c>
      <c r="B1550" t="s">
        <v>531</v>
      </c>
      <c r="C1550">
        <v>523</v>
      </c>
      <c r="D1550">
        <v>447</v>
      </c>
      <c r="E1550">
        <v>0</v>
      </c>
      <c r="F1550">
        <v>462</v>
      </c>
      <c r="G1550">
        <v>0</v>
      </c>
      <c r="H1550" t="s">
        <v>6477</v>
      </c>
      <c r="I1550">
        <v>1758</v>
      </c>
      <c r="J1550" t="e">
        <f>VLOOKUP(E1550,DSSpieler!A:B,2,FALSE)</f>
        <v>#N/A</v>
      </c>
    </row>
    <row r="1551" spans="1:10" x14ac:dyDescent="0.25">
      <c r="A1551">
        <v>1759</v>
      </c>
      <c r="B1551" t="s">
        <v>531</v>
      </c>
      <c r="C1551">
        <v>544</v>
      </c>
      <c r="D1551">
        <v>490</v>
      </c>
      <c r="E1551">
        <v>0</v>
      </c>
      <c r="F1551">
        <v>748</v>
      </c>
      <c r="G1551">
        <v>0</v>
      </c>
      <c r="H1551" t="s">
        <v>6478</v>
      </c>
      <c r="I1551">
        <v>1759</v>
      </c>
      <c r="J1551" t="e">
        <f>VLOOKUP(E1551,DSSpieler!A:B,2,FALSE)</f>
        <v>#N/A</v>
      </c>
    </row>
    <row r="1552" spans="1:10" x14ac:dyDescent="0.25">
      <c r="A1552">
        <v>1760</v>
      </c>
      <c r="B1552" t="s">
        <v>830</v>
      </c>
      <c r="C1552">
        <v>543</v>
      </c>
      <c r="D1552">
        <v>484</v>
      </c>
      <c r="E1552">
        <v>1577181899</v>
      </c>
      <c r="F1552">
        <v>5532</v>
      </c>
      <c r="G1552">
        <v>0</v>
      </c>
      <c r="H1552" t="s">
        <v>6479</v>
      </c>
      <c r="I1552">
        <v>1760</v>
      </c>
      <c r="J1552" t="str">
        <f>VLOOKUP(E1552,DSSpieler!A:B,2,FALSE)</f>
        <v>colona</v>
      </c>
    </row>
    <row r="1553" spans="1:10" x14ac:dyDescent="0.25">
      <c r="A1553">
        <v>1761</v>
      </c>
      <c r="B1553" t="s">
        <v>831</v>
      </c>
      <c r="C1553">
        <v>539</v>
      </c>
      <c r="D1553">
        <v>489</v>
      </c>
      <c r="E1553">
        <v>1576247329</v>
      </c>
      <c r="F1553">
        <v>3531</v>
      </c>
      <c r="G1553">
        <v>0</v>
      </c>
      <c r="H1553" t="s">
        <v>6480</v>
      </c>
      <c r="I1553">
        <v>1761</v>
      </c>
      <c r="J1553" t="str">
        <f>VLOOKUP(E1553,DSSpieler!A:B,2,FALSE)</f>
        <v>J M K</v>
      </c>
    </row>
    <row r="1554" spans="1:10" x14ac:dyDescent="0.25">
      <c r="A1554">
        <v>1762</v>
      </c>
      <c r="B1554" t="s">
        <v>31206</v>
      </c>
      <c r="C1554">
        <v>551</v>
      </c>
      <c r="D1554">
        <v>488</v>
      </c>
      <c r="E1554">
        <v>1577181964</v>
      </c>
      <c r="F1554">
        <v>5512</v>
      </c>
      <c r="G1554">
        <v>0</v>
      </c>
      <c r="H1554" t="s">
        <v>6481</v>
      </c>
      <c r="I1554">
        <v>1762</v>
      </c>
      <c r="J1554" t="str">
        <f>VLOOKUP(E1554,DSSpieler!A:B,2,FALSE)</f>
        <v>Tompi</v>
      </c>
    </row>
    <row r="1555" spans="1:10" x14ac:dyDescent="0.25">
      <c r="A1555">
        <v>1765</v>
      </c>
      <c r="B1555" t="s">
        <v>31207</v>
      </c>
      <c r="C1555">
        <v>530</v>
      </c>
      <c r="D1555">
        <v>501</v>
      </c>
      <c r="E1555">
        <v>1577198031</v>
      </c>
      <c r="F1555">
        <v>5423</v>
      </c>
      <c r="G1555">
        <v>0</v>
      </c>
      <c r="H1555" t="s">
        <v>6482</v>
      </c>
      <c r="I1555">
        <v>1765</v>
      </c>
      <c r="J1555" t="str">
        <f>VLOOKUP(E1555,DSSpieler!A:B,2,FALSE)</f>
        <v>Doodlebrot</v>
      </c>
    </row>
    <row r="1556" spans="1:10" x14ac:dyDescent="0.25">
      <c r="A1556">
        <v>1766</v>
      </c>
      <c r="B1556" t="s">
        <v>832</v>
      </c>
      <c r="C1556">
        <v>452</v>
      </c>
      <c r="D1556">
        <v>603</v>
      </c>
      <c r="E1556">
        <v>7683314</v>
      </c>
      <c r="F1556">
        <v>5003</v>
      </c>
      <c r="G1556">
        <v>0</v>
      </c>
      <c r="H1556" t="s">
        <v>6483</v>
      </c>
      <c r="I1556">
        <v>1766</v>
      </c>
      <c r="J1556" t="str">
        <f>VLOOKUP(E1556,DSSpieler!A:B,2,FALSE)</f>
        <v>ARME DER GUTEN</v>
      </c>
    </row>
    <row r="1557" spans="1:10" x14ac:dyDescent="0.25">
      <c r="A1557">
        <v>1767</v>
      </c>
      <c r="B1557" t="s">
        <v>833</v>
      </c>
      <c r="C1557">
        <v>449</v>
      </c>
      <c r="D1557">
        <v>601</v>
      </c>
      <c r="E1557">
        <v>1577198037</v>
      </c>
      <c r="F1557">
        <v>5146</v>
      </c>
      <c r="G1557">
        <v>0</v>
      </c>
      <c r="H1557" t="s">
        <v>6484</v>
      </c>
      <c r="I1557">
        <v>1767</v>
      </c>
      <c r="J1557" t="str">
        <f>VLOOKUP(E1557,DSSpieler!A:B,2,FALSE)</f>
        <v>Schlewis</v>
      </c>
    </row>
    <row r="1558" spans="1:10" x14ac:dyDescent="0.25">
      <c r="A1558">
        <v>1768</v>
      </c>
      <c r="B1558" t="s">
        <v>834</v>
      </c>
      <c r="C1558">
        <v>463</v>
      </c>
      <c r="D1558">
        <v>596</v>
      </c>
      <c r="E1558">
        <v>1577164263</v>
      </c>
      <c r="F1558">
        <v>5913</v>
      </c>
      <c r="G1558">
        <v>0</v>
      </c>
      <c r="H1558" t="s">
        <v>6485</v>
      </c>
      <c r="I1558">
        <v>1768</v>
      </c>
      <c r="J1558" t="str">
        <f>VLOOKUP(E1558,DSSpieler!A:B,2,FALSE)</f>
        <v>Hoaler91</v>
      </c>
    </row>
    <row r="1559" spans="1:10" x14ac:dyDescent="0.25">
      <c r="A1559">
        <v>1769</v>
      </c>
      <c r="B1559" t="s">
        <v>835</v>
      </c>
      <c r="C1559">
        <v>458</v>
      </c>
      <c r="D1559">
        <v>601</v>
      </c>
      <c r="E1559">
        <v>1577197712</v>
      </c>
      <c r="F1559">
        <v>4113</v>
      </c>
      <c r="G1559">
        <v>0</v>
      </c>
      <c r="H1559" t="s">
        <v>6486</v>
      </c>
      <c r="I1559">
        <v>1769</v>
      </c>
      <c r="J1559" t="str">
        <f>VLOOKUP(E1559,DSSpieler!A:B,2,FALSE)</f>
        <v>Revenge is sweet</v>
      </c>
    </row>
    <row r="1560" spans="1:10" x14ac:dyDescent="0.25">
      <c r="A1560">
        <v>1770</v>
      </c>
      <c r="B1560">
        <v>2</v>
      </c>
      <c r="C1560">
        <v>507</v>
      </c>
      <c r="D1560">
        <v>530</v>
      </c>
      <c r="E1560">
        <v>689047</v>
      </c>
      <c r="F1560">
        <v>5785</v>
      </c>
      <c r="G1560">
        <v>0</v>
      </c>
      <c r="H1560" t="s">
        <v>6487</v>
      </c>
      <c r="I1560">
        <v>1770</v>
      </c>
      <c r="J1560" t="str">
        <f>VLOOKUP(E1560,DSSpieler!A:B,2,FALSE)</f>
        <v>king of gilching</v>
      </c>
    </row>
    <row r="1561" spans="1:10" x14ac:dyDescent="0.25">
      <c r="A1561">
        <v>1771</v>
      </c>
      <c r="B1561" t="s">
        <v>31208</v>
      </c>
      <c r="C1561">
        <v>449</v>
      </c>
      <c r="D1561">
        <v>602</v>
      </c>
      <c r="E1561">
        <v>9675094</v>
      </c>
      <c r="F1561">
        <v>4471</v>
      </c>
      <c r="G1561">
        <v>0</v>
      </c>
      <c r="H1561" t="s">
        <v>6488</v>
      </c>
      <c r="I1561">
        <v>1771</v>
      </c>
      <c r="J1561" t="str">
        <f>VLOOKUP(E1561,DSSpieler!A:B,2,FALSE)</f>
        <v>Lumpi1995</v>
      </c>
    </row>
    <row r="1562" spans="1:10" x14ac:dyDescent="0.25">
      <c r="A1562">
        <v>1772</v>
      </c>
      <c r="B1562" t="s">
        <v>31209</v>
      </c>
      <c r="C1562">
        <v>462</v>
      </c>
      <c r="D1562">
        <v>588</v>
      </c>
      <c r="E1562">
        <v>1576708425</v>
      </c>
      <c r="F1562">
        <v>6501</v>
      </c>
      <c r="G1562">
        <v>0</v>
      </c>
      <c r="H1562" t="s">
        <v>6489</v>
      </c>
      <c r="I1562">
        <v>1772</v>
      </c>
      <c r="J1562" t="str">
        <f>VLOOKUP(E1562,DSSpieler!A:B,2,FALSE)</f>
        <v>Kingatala</v>
      </c>
    </row>
    <row r="1563" spans="1:10" x14ac:dyDescent="0.25">
      <c r="A1563">
        <v>1773</v>
      </c>
      <c r="B1563" t="s">
        <v>31210</v>
      </c>
      <c r="C1563">
        <v>465</v>
      </c>
      <c r="D1563">
        <v>600</v>
      </c>
      <c r="E1563">
        <v>1577164263</v>
      </c>
      <c r="F1563">
        <v>6274</v>
      </c>
      <c r="G1563">
        <v>0</v>
      </c>
      <c r="H1563" t="s">
        <v>6490</v>
      </c>
      <c r="I1563">
        <v>1773</v>
      </c>
      <c r="J1563" t="str">
        <f>VLOOKUP(E1563,DSSpieler!A:B,2,FALSE)</f>
        <v>Hoaler91</v>
      </c>
    </row>
    <row r="1564" spans="1:10" x14ac:dyDescent="0.25">
      <c r="A1564">
        <v>1774</v>
      </c>
      <c r="B1564" t="s">
        <v>31211</v>
      </c>
      <c r="C1564">
        <v>457</v>
      </c>
      <c r="D1564">
        <v>601</v>
      </c>
      <c r="E1564">
        <v>1577197817</v>
      </c>
      <c r="F1564">
        <v>5395</v>
      </c>
      <c r="G1564">
        <v>0</v>
      </c>
      <c r="H1564" t="s">
        <v>6491</v>
      </c>
      <c r="I1564">
        <v>1774</v>
      </c>
      <c r="J1564" t="str">
        <f>VLOOKUP(E1564,DSSpieler!A:B,2,FALSE)</f>
        <v>Gang06</v>
      </c>
    </row>
    <row r="1565" spans="1:10" x14ac:dyDescent="0.25">
      <c r="A1565">
        <v>1775</v>
      </c>
      <c r="B1565" t="s">
        <v>836</v>
      </c>
      <c r="C1565">
        <v>465</v>
      </c>
      <c r="D1565">
        <v>595</v>
      </c>
      <c r="E1565">
        <v>1577182538</v>
      </c>
      <c r="F1565">
        <v>4850</v>
      </c>
      <c r="G1565">
        <v>0</v>
      </c>
      <c r="H1565" t="s">
        <v>6492</v>
      </c>
      <c r="I1565">
        <v>1775</v>
      </c>
      <c r="J1565" t="str">
        <f>VLOOKUP(E1565,DSSpieler!A:B,2,FALSE)</f>
        <v>TheYurek</v>
      </c>
    </row>
    <row r="1566" spans="1:10" x14ac:dyDescent="0.25">
      <c r="A1566">
        <v>1776</v>
      </c>
      <c r="B1566" t="s">
        <v>531</v>
      </c>
      <c r="C1566">
        <v>542</v>
      </c>
      <c r="D1566">
        <v>547</v>
      </c>
      <c r="E1566">
        <v>0</v>
      </c>
      <c r="F1566">
        <v>375</v>
      </c>
      <c r="G1566">
        <v>0</v>
      </c>
      <c r="H1566" t="s">
        <v>6493</v>
      </c>
      <c r="I1566">
        <v>1776</v>
      </c>
      <c r="J1566" t="e">
        <f>VLOOKUP(E1566,DSSpieler!A:B,2,FALSE)</f>
        <v>#N/A</v>
      </c>
    </row>
    <row r="1567" spans="1:10" x14ac:dyDescent="0.25">
      <c r="A1567">
        <v>1777</v>
      </c>
      <c r="B1567" t="s">
        <v>31212</v>
      </c>
      <c r="C1567">
        <v>463</v>
      </c>
      <c r="D1567">
        <v>600</v>
      </c>
      <c r="E1567">
        <v>9569148</v>
      </c>
      <c r="F1567">
        <v>5131</v>
      </c>
      <c r="G1567">
        <v>0</v>
      </c>
      <c r="H1567" t="s">
        <v>6494</v>
      </c>
      <c r="I1567">
        <v>1777</v>
      </c>
      <c r="J1567" t="str">
        <f>VLOOKUP(E1567,DSSpieler!A:B,2,FALSE)</f>
        <v>079*</v>
      </c>
    </row>
    <row r="1568" spans="1:10" x14ac:dyDescent="0.25">
      <c r="A1568">
        <v>1778</v>
      </c>
      <c r="B1568" t="s">
        <v>30501</v>
      </c>
      <c r="C1568">
        <v>452</v>
      </c>
      <c r="D1568">
        <v>595</v>
      </c>
      <c r="E1568">
        <v>9607209</v>
      </c>
      <c r="F1568">
        <v>4624</v>
      </c>
      <c r="G1568">
        <v>0</v>
      </c>
      <c r="H1568" t="s">
        <v>6495</v>
      </c>
      <c r="I1568">
        <v>1778</v>
      </c>
      <c r="J1568" t="str">
        <f>VLOOKUP(E1568,DSSpieler!A:B,2,FALSE)</f>
        <v>Dregonheart</v>
      </c>
    </row>
    <row r="1569" spans="1:10" x14ac:dyDescent="0.25">
      <c r="A1569">
        <v>1779</v>
      </c>
      <c r="B1569" t="s">
        <v>31213</v>
      </c>
      <c r="C1569">
        <v>455</v>
      </c>
      <c r="D1569">
        <v>604</v>
      </c>
      <c r="E1569">
        <v>1577170914</v>
      </c>
      <c r="F1569">
        <v>4813</v>
      </c>
      <c r="G1569">
        <v>0</v>
      </c>
      <c r="H1569" t="s">
        <v>6496</v>
      </c>
      <c r="I1569">
        <v>1779</v>
      </c>
      <c r="J1569" t="str">
        <f>VLOOKUP(E1569,DSSpieler!A:B,2,FALSE)</f>
        <v>Xyvio</v>
      </c>
    </row>
    <row r="1570" spans="1:10" x14ac:dyDescent="0.25">
      <c r="A1570">
        <v>1780</v>
      </c>
      <c r="B1570" t="s">
        <v>531</v>
      </c>
      <c r="C1570">
        <v>542</v>
      </c>
      <c r="D1570">
        <v>444</v>
      </c>
      <c r="E1570">
        <v>0</v>
      </c>
      <c r="F1570">
        <v>345</v>
      </c>
      <c r="G1570">
        <v>0</v>
      </c>
      <c r="H1570" t="s">
        <v>6497</v>
      </c>
      <c r="I1570">
        <v>1780</v>
      </c>
      <c r="J1570" t="e">
        <f>VLOOKUP(E1570,DSSpieler!A:B,2,FALSE)</f>
        <v>#N/A</v>
      </c>
    </row>
    <row r="1571" spans="1:10" x14ac:dyDescent="0.25">
      <c r="A1571">
        <v>1781</v>
      </c>
      <c r="B1571" t="s">
        <v>837</v>
      </c>
      <c r="C1571">
        <v>472</v>
      </c>
      <c r="D1571">
        <v>595</v>
      </c>
      <c r="E1571">
        <v>1577182538</v>
      </c>
      <c r="F1571">
        <v>5062</v>
      </c>
      <c r="G1571">
        <v>0</v>
      </c>
      <c r="H1571" t="s">
        <v>6498</v>
      </c>
      <c r="I1571">
        <v>1781</v>
      </c>
      <c r="J1571" t="str">
        <f>VLOOKUP(E1571,DSSpieler!A:B,2,FALSE)</f>
        <v>TheYurek</v>
      </c>
    </row>
    <row r="1572" spans="1:10" x14ac:dyDescent="0.25">
      <c r="A1572">
        <v>1782</v>
      </c>
      <c r="B1572" t="s">
        <v>31214</v>
      </c>
      <c r="C1572">
        <v>456</v>
      </c>
      <c r="D1572">
        <v>597</v>
      </c>
      <c r="E1572">
        <v>1577102958</v>
      </c>
      <c r="F1572">
        <v>5196</v>
      </c>
      <c r="G1572">
        <v>0</v>
      </c>
      <c r="H1572" t="s">
        <v>6499</v>
      </c>
      <c r="I1572">
        <v>1782</v>
      </c>
      <c r="J1572" t="str">
        <f>VLOOKUP(E1572,DSSpieler!A:B,2,FALSE)</f>
        <v>Gang01</v>
      </c>
    </row>
    <row r="1573" spans="1:10" x14ac:dyDescent="0.25">
      <c r="A1573">
        <v>1783</v>
      </c>
      <c r="B1573" t="s">
        <v>31215</v>
      </c>
      <c r="C1573">
        <v>454</v>
      </c>
      <c r="D1573">
        <v>601</v>
      </c>
      <c r="E1573">
        <v>9569148</v>
      </c>
      <c r="F1573">
        <v>6330</v>
      </c>
      <c r="G1573">
        <v>0</v>
      </c>
      <c r="H1573" t="s">
        <v>6500</v>
      </c>
      <c r="I1573">
        <v>1783</v>
      </c>
      <c r="J1573" t="str">
        <f>VLOOKUP(E1573,DSSpieler!A:B,2,FALSE)</f>
        <v>079*</v>
      </c>
    </row>
    <row r="1574" spans="1:10" x14ac:dyDescent="0.25">
      <c r="A1574">
        <v>1784</v>
      </c>
      <c r="B1574" t="s">
        <v>31216</v>
      </c>
      <c r="C1574">
        <v>469</v>
      </c>
      <c r="D1574">
        <v>601</v>
      </c>
      <c r="E1574">
        <v>9449355</v>
      </c>
      <c r="F1574">
        <v>5705</v>
      </c>
      <c r="G1574">
        <v>0</v>
      </c>
      <c r="H1574" t="s">
        <v>6501</v>
      </c>
      <c r="I1574">
        <v>1784</v>
      </c>
      <c r="J1574" t="str">
        <f>VLOOKUP(E1574,DSSpieler!A:B,2,FALSE)</f>
        <v>PapageiKatze941</v>
      </c>
    </row>
    <row r="1575" spans="1:10" x14ac:dyDescent="0.25">
      <c r="A1575">
        <v>1785</v>
      </c>
      <c r="B1575" t="s">
        <v>31217</v>
      </c>
      <c r="C1575">
        <v>474</v>
      </c>
      <c r="D1575">
        <v>592</v>
      </c>
      <c r="E1575">
        <v>1576450468</v>
      </c>
      <c r="F1575">
        <v>2812</v>
      </c>
      <c r="G1575">
        <v>0</v>
      </c>
      <c r="H1575" t="s">
        <v>6502</v>
      </c>
      <c r="I1575">
        <v>1785</v>
      </c>
      <c r="J1575" t="str">
        <f>VLOOKUP(E1575,DSSpieler!A:B,2,FALSE)</f>
        <v>b0nes</v>
      </c>
    </row>
    <row r="1576" spans="1:10" x14ac:dyDescent="0.25">
      <c r="A1576">
        <v>1786</v>
      </c>
      <c r="B1576" t="s">
        <v>31218</v>
      </c>
      <c r="C1576">
        <v>462</v>
      </c>
      <c r="D1576">
        <v>599</v>
      </c>
      <c r="E1576">
        <v>1577197712</v>
      </c>
      <c r="F1576">
        <v>5369</v>
      </c>
      <c r="G1576">
        <v>0</v>
      </c>
      <c r="H1576" t="s">
        <v>6503</v>
      </c>
      <c r="I1576">
        <v>1786</v>
      </c>
      <c r="J1576" t="str">
        <f>VLOOKUP(E1576,DSSpieler!A:B,2,FALSE)</f>
        <v>Revenge is sweet</v>
      </c>
    </row>
    <row r="1577" spans="1:10" x14ac:dyDescent="0.25">
      <c r="A1577">
        <v>1787</v>
      </c>
      <c r="B1577" t="s">
        <v>31219</v>
      </c>
      <c r="C1577">
        <v>457</v>
      </c>
      <c r="D1577">
        <v>597</v>
      </c>
      <c r="E1577">
        <v>1576702785</v>
      </c>
      <c r="F1577">
        <v>3839</v>
      </c>
      <c r="G1577">
        <v>0</v>
      </c>
      <c r="H1577" t="s">
        <v>6504</v>
      </c>
      <c r="I1577">
        <v>1787</v>
      </c>
      <c r="J1577" t="str">
        <f>VLOOKUP(E1577,DSSpieler!A:B,2,FALSE)</f>
        <v>ThaiMingh</v>
      </c>
    </row>
    <row r="1578" spans="1:10" x14ac:dyDescent="0.25">
      <c r="A1578">
        <v>1788</v>
      </c>
      <c r="B1578" t="s">
        <v>31220</v>
      </c>
      <c r="C1578">
        <v>480</v>
      </c>
      <c r="D1578">
        <v>504</v>
      </c>
      <c r="E1578">
        <v>7657059</v>
      </c>
      <c r="F1578">
        <v>5243</v>
      </c>
      <c r="G1578">
        <v>0</v>
      </c>
      <c r="H1578" t="s">
        <v>6505</v>
      </c>
      <c r="I1578">
        <v>1788</v>
      </c>
      <c r="J1578" t="str">
        <f>VLOOKUP(E1578,DSSpieler!A:B,2,FALSE)</f>
        <v>Buhrdur</v>
      </c>
    </row>
    <row r="1579" spans="1:10" x14ac:dyDescent="0.25">
      <c r="A1579">
        <v>1789</v>
      </c>
      <c r="B1579" t="s">
        <v>30622</v>
      </c>
      <c r="C1579">
        <v>481</v>
      </c>
      <c r="D1579">
        <v>502</v>
      </c>
      <c r="E1579">
        <v>1577073003</v>
      </c>
      <c r="F1579">
        <v>5547</v>
      </c>
      <c r="G1579">
        <v>0</v>
      </c>
      <c r="H1579" t="s">
        <v>6506</v>
      </c>
      <c r="I1579">
        <v>1789</v>
      </c>
      <c r="J1579" t="str">
        <f>VLOOKUP(E1579,DSSpieler!A:B,2,FALSE)</f>
        <v>CommanderAli</v>
      </c>
    </row>
    <row r="1580" spans="1:10" x14ac:dyDescent="0.25">
      <c r="A1580">
        <v>1790</v>
      </c>
      <c r="B1580" t="s">
        <v>531</v>
      </c>
      <c r="C1580">
        <v>509</v>
      </c>
      <c r="D1580">
        <v>441</v>
      </c>
      <c r="E1580">
        <v>0</v>
      </c>
      <c r="F1580">
        <v>392</v>
      </c>
      <c r="G1580">
        <v>0</v>
      </c>
      <c r="H1580" t="s">
        <v>6507</v>
      </c>
      <c r="I1580">
        <v>1790</v>
      </c>
      <c r="J1580" t="e">
        <f>VLOOKUP(E1580,DSSpieler!A:B,2,FALSE)</f>
        <v>#N/A</v>
      </c>
    </row>
    <row r="1581" spans="1:10" x14ac:dyDescent="0.25">
      <c r="A1581">
        <v>1791</v>
      </c>
      <c r="B1581" t="s">
        <v>31221</v>
      </c>
      <c r="C1581">
        <v>486</v>
      </c>
      <c r="D1581">
        <v>509</v>
      </c>
      <c r="E1581">
        <v>1576570181</v>
      </c>
      <c r="F1581">
        <v>4090</v>
      </c>
      <c r="G1581">
        <v>0</v>
      </c>
      <c r="H1581" t="s">
        <v>6508</v>
      </c>
      <c r="I1581">
        <v>1791</v>
      </c>
      <c r="J1581" t="str">
        <f>VLOOKUP(E1581,DSSpieler!A:B,2,FALSE)</f>
        <v>T y F e a T</v>
      </c>
    </row>
    <row r="1582" spans="1:10" x14ac:dyDescent="0.25">
      <c r="A1582">
        <v>1792</v>
      </c>
      <c r="B1582">
        <v>1</v>
      </c>
      <c r="C1582">
        <v>490</v>
      </c>
      <c r="D1582">
        <v>498</v>
      </c>
      <c r="E1582">
        <v>1577194538</v>
      </c>
      <c r="F1582">
        <v>4325</v>
      </c>
      <c r="G1582">
        <v>0</v>
      </c>
      <c r="H1582" t="s">
        <v>6509</v>
      </c>
      <c r="I1582">
        <v>1792</v>
      </c>
      <c r="J1582" t="str">
        <f>VLOOKUP(E1582,DSSpieler!A:B,2,FALSE)</f>
        <v>Dietach</v>
      </c>
    </row>
    <row r="1583" spans="1:10" x14ac:dyDescent="0.25">
      <c r="A1583">
        <v>1793</v>
      </c>
      <c r="B1583" t="s">
        <v>31222</v>
      </c>
      <c r="C1583">
        <v>482</v>
      </c>
      <c r="D1583">
        <v>513</v>
      </c>
      <c r="E1583">
        <v>7866086</v>
      </c>
      <c r="F1583">
        <v>4629</v>
      </c>
      <c r="G1583">
        <v>0</v>
      </c>
      <c r="H1583" t="s">
        <v>6510</v>
      </c>
      <c r="I1583">
        <v>1793</v>
      </c>
      <c r="J1583" t="str">
        <f>VLOOKUP(E1583,DSSpieler!A:B,2,FALSE)</f>
        <v>Torasu</v>
      </c>
    </row>
    <row r="1584" spans="1:10" x14ac:dyDescent="0.25">
      <c r="A1584">
        <v>1794</v>
      </c>
      <c r="B1584" t="s">
        <v>838</v>
      </c>
      <c r="C1584">
        <v>467</v>
      </c>
      <c r="D1584">
        <v>502</v>
      </c>
      <c r="E1584">
        <v>1576358853</v>
      </c>
      <c r="F1584">
        <v>1673</v>
      </c>
      <c r="G1584">
        <v>0</v>
      </c>
      <c r="H1584" t="s">
        <v>6511</v>
      </c>
      <c r="I1584">
        <v>1794</v>
      </c>
      <c r="J1584" t="str">
        <f>VLOOKUP(E1584,DSSpieler!A:B,2,FALSE)</f>
        <v>Hallanes</v>
      </c>
    </row>
    <row r="1585" spans="1:10" x14ac:dyDescent="0.25">
      <c r="A1585">
        <v>1795</v>
      </c>
      <c r="B1585">
        <v>3</v>
      </c>
      <c r="C1585">
        <v>484</v>
      </c>
      <c r="D1585">
        <v>498</v>
      </c>
      <c r="E1585">
        <v>1577194538</v>
      </c>
      <c r="F1585">
        <v>4453</v>
      </c>
      <c r="G1585">
        <v>0</v>
      </c>
      <c r="H1585" t="s">
        <v>6512</v>
      </c>
      <c r="I1585">
        <v>1795</v>
      </c>
      <c r="J1585" t="str">
        <f>VLOOKUP(E1585,DSSpieler!A:B,2,FALSE)</f>
        <v>Dietach</v>
      </c>
    </row>
    <row r="1586" spans="1:10" x14ac:dyDescent="0.25">
      <c r="A1586">
        <v>1796</v>
      </c>
      <c r="B1586" t="s">
        <v>531</v>
      </c>
      <c r="C1586">
        <v>531</v>
      </c>
      <c r="D1586">
        <v>532</v>
      </c>
      <c r="E1586">
        <v>0</v>
      </c>
      <c r="F1586">
        <v>438</v>
      </c>
      <c r="G1586">
        <v>0</v>
      </c>
      <c r="H1586" t="s">
        <v>6513</v>
      </c>
      <c r="I1586">
        <v>1796</v>
      </c>
      <c r="J1586" t="e">
        <f>VLOOKUP(E1586,DSSpieler!A:B,2,FALSE)</f>
        <v>#N/A</v>
      </c>
    </row>
    <row r="1587" spans="1:10" x14ac:dyDescent="0.25">
      <c r="A1587">
        <v>1797</v>
      </c>
      <c r="B1587" t="s">
        <v>31223</v>
      </c>
      <c r="C1587">
        <v>530</v>
      </c>
      <c r="D1587">
        <v>529</v>
      </c>
      <c r="E1587">
        <v>8676563</v>
      </c>
      <c r="F1587">
        <v>475</v>
      </c>
      <c r="G1587">
        <v>0</v>
      </c>
      <c r="H1587" t="s">
        <v>6514</v>
      </c>
      <c r="I1587">
        <v>1797</v>
      </c>
      <c r="J1587" t="str">
        <f>VLOOKUP(E1587,DSSpieler!A:B,2,FALSE)</f>
        <v>Helfersyndro</v>
      </c>
    </row>
    <row r="1588" spans="1:10" x14ac:dyDescent="0.25">
      <c r="A1588">
        <v>1798</v>
      </c>
      <c r="B1588" t="s">
        <v>531</v>
      </c>
      <c r="C1588">
        <v>525</v>
      </c>
      <c r="D1588">
        <v>527</v>
      </c>
      <c r="E1588">
        <v>0</v>
      </c>
      <c r="F1588">
        <v>207</v>
      </c>
      <c r="G1588">
        <v>0</v>
      </c>
      <c r="H1588" t="s">
        <v>6515</v>
      </c>
      <c r="I1588">
        <v>1798</v>
      </c>
      <c r="J1588" t="e">
        <f>VLOOKUP(E1588,DSSpieler!A:B,2,FALSE)</f>
        <v>#N/A</v>
      </c>
    </row>
    <row r="1589" spans="1:10" x14ac:dyDescent="0.25">
      <c r="A1589">
        <v>1799</v>
      </c>
      <c r="B1589" t="s">
        <v>531</v>
      </c>
      <c r="C1589">
        <v>540</v>
      </c>
      <c r="D1589">
        <v>527</v>
      </c>
      <c r="E1589">
        <v>0</v>
      </c>
      <c r="F1589">
        <v>208</v>
      </c>
      <c r="G1589">
        <v>0</v>
      </c>
      <c r="H1589" t="s">
        <v>6516</v>
      </c>
      <c r="I1589">
        <v>1799</v>
      </c>
      <c r="J1589" t="e">
        <f>VLOOKUP(E1589,DSSpieler!A:B,2,FALSE)</f>
        <v>#N/A</v>
      </c>
    </row>
    <row r="1590" spans="1:10" x14ac:dyDescent="0.25">
      <c r="A1590">
        <v>1802</v>
      </c>
      <c r="B1590" t="s">
        <v>30531</v>
      </c>
      <c r="C1590">
        <v>458</v>
      </c>
      <c r="D1590">
        <v>508</v>
      </c>
      <c r="E1590">
        <v>8663413</v>
      </c>
      <c r="F1590">
        <v>6133</v>
      </c>
      <c r="G1590">
        <v>0</v>
      </c>
      <c r="H1590" t="s">
        <v>6517</v>
      </c>
      <c r="I1590">
        <v>1802</v>
      </c>
      <c r="J1590" t="str">
        <f>VLOOKUP(E1590,DSSpieler!A:B,2,FALSE)</f>
        <v>SquoX</v>
      </c>
    </row>
    <row r="1591" spans="1:10" x14ac:dyDescent="0.25">
      <c r="A1591">
        <v>1803</v>
      </c>
      <c r="B1591" t="s">
        <v>31224</v>
      </c>
      <c r="C1591">
        <v>459</v>
      </c>
      <c r="D1591">
        <v>505</v>
      </c>
      <c r="E1591">
        <v>9122692</v>
      </c>
      <c r="F1591">
        <v>7287</v>
      </c>
      <c r="G1591">
        <v>0</v>
      </c>
      <c r="H1591" t="s">
        <v>6518</v>
      </c>
      <c r="I1591">
        <v>1803</v>
      </c>
      <c r="J1591" t="str">
        <f>VLOOKUP(E1591,DSSpieler!A:B,2,FALSE)</f>
        <v>Wiesel 1</v>
      </c>
    </row>
    <row r="1592" spans="1:10" x14ac:dyDescent="0.25">
      <c r="A1592">
        <v>1804</v>
      </c>
      <c r="B1592">
        <v>1</v>
      </c>
      <c r="C1592">
        <v>452</v>
      </c>
      <c r="D1592">
        <v>503</v>
      </c>
      <c r="E1592">
        <v>9763935</v>
      </c>
      <c r="F1592">
        <v>5221</v>
      </c>
      <c r="G1592">
        <v>0</v>
      </c>
      <c r="H1592" t="s">
        <v>6519</v>
      </c>
      <c r="I1592">
        <v>1804</v>
      </c>
      <c r="J1592" t="str">
        <f>VLOOKUP(E1592,DSSpieler!A:B,2,FALSE)</f>
        <v>HiidanX</v>
      </c>
    </row>
    <row r="1593" spans="1:10" x14ac:dyDescent="0.25">
      <c r="A1593">
        <v>1805</v>
      </c>
      <c r="B1593" t="s">
        <v>31225</v>
      </c>
      <c r="C1593">
        <v>454</v>
      </c>
      <c r="D1593">
        <v>499</v>
      </c>
      <c r="E1593">
        <v>1576995042</v>
      </c>
      <c r="F1593">
        <v>4716</v>
      </c>
      <c r="G1593">
        <v>0</v>
      </c>
      <c r="H1593" t="s">
        <v>6520</v>
      </c>
      <c r="I1593">
        <v>1805</v>
      </c>
      <c r="J1593" t="str">
        <f>VLOOKUP(E1593,DSSpieler!A:B,2,FALSE)</f>
        <v>diggaman</v>
      </c>
    </row>
    <row r="1594" spans="1:10" x14ac:dyDescent="0.25">
      <c r="A1594">
        <v>1806</v>
      </c>
      <c r="B1594" t="s">
        <v>31226</v>
      </c>
      <c r="C1594">
        <v>457</v>
      </c>
      <c r="D1594">
        <v>491</v>
      </c>
      <c r="E1594">
        <v>1576862111</v>
      </c>
      <c r="F1594">
        <v>4573</v>
      </c>
      <c r="G1594">
        <v>0</v>
      </c>
      <c r="H1594" t="s">
        <v>6521</v>
      </c>
      <c r="I1594">
        <v>1806</v>
      </c>
      <c r="J1594" t="str">
        <f>VLOOKUP(E1594,DSSpieler!A:B,2,FALSE)</f>
        <v>Tennismuecke</v>
      </c>
    </row>
    <row r="1595" spans="1:10" x14ac:dyDescent="0.25">
      <c r="A1595">
        <v>1807</v>
      </c>
      <c r="B1595" t="s">
        <v>31227</v>
      </c>
      <c r="C1595">
        <v>461</v>
      </c>
      <c r="D1595">
        <v>506</v>
      </c>
      <c r="E1595">
        <v>1577094462</v>
      </c>
      <c r="F1595">
        <v>4525</v>
      </c>
      <c r="G1595">
        <v>0</v>
      </c>
      <c r="H1595" t="s">
        <v>6522</v>
      </c>
      <c r="I1595">
        <v>1807</v>
      </c>
      <c r="J1595" t="str">
        <f>VLOOKUP(E1595,DSSpieler!A:B,2,FALSE)</f>
        <v>Cleankan</v>
      </c>
    </row>
    <row r="1596" spans="1:10" x14ac:dyDescent="0.25">
      <c r="A1596">
        <v>1808</v>
      </c>
      <c r="B1596" t="s">
        <v>31228</v>
      </c>
      <c r="C1596">
        <v>456</v>
      </c>
      <c r="D1596">
        <v>509</v>
      </c>
      <c r="E1596">
        <v>1577179717</v>
      </c>
      <c r="F1596">
        <v>6212</v>
      </c>
      <c r="G1596">
        <v>0</v>
      </c>
      <c r="H1596" t="s">
        <v>6523</v>
      </c>
      <c r="I1596">
        <v>1808</v>
      </c>
      <c r="J1596" t="str">
        <f>VLOOKUP(E1596,DSSpieler!A:B,2,FALSE)</f>
        <v>immvp</v>
      </c>
    </row>
    <row r="1597" spans="1:10" x14ac:dyDescent="0.25">
      <c r="A1597">
        <v>1809</v>
      </c>
      <c r="B1597" t="s">
        <v>31229</v>
      </c>
      <c r="C1597">
        <v>446</v>
      </c>
      <c r="D1597">
        <v>506</v>
      </c>
      <c r="E1597">
        <v>1577181814</v>
      </c>
      <c r="F1597">
        <v>5613</v>
      </c>
      <c r="G1597">
        <v>0</v>
      </c>
      <c r="H1597" t="s">
        <v>6524</v>
      </c>
      <c r="I1597">
        <v>1809</v>
      </c>
      <c r="J1597" t="str">
        <f>VLOOKUP(E1597,DSSpieler!A:B,2,FALSE)</f>
        <v>jack.daniels</v>
      </c>
    </row>
    <row r="1598" spans="1:10" x14ac:dyDescent="0.25">
      <c r="A1598">
        <v>1810</v>
      </c>
      <c r="B1598" t="s">
        <v>31230</v>
      </c>
      <c r="C1598">
        <v>451</v>
      </c>
      <c r="D1598">
        <v>509</v>
      </c>
      <c r="E1598">
        <v>1577181189</v>
      </c>
      <c r="F1598">
        <v>6321</v>
      </c>
      <c r="G1598">
        <v>0</v>
      </c>
      <c r="H1598" t="s">
        <v>6525</v>
      </c>
      <c r="I1598">
        <v>1810</v>
      </c>
      <c r="J1598" t="str">
        <f>VLOOKUP(E1598,DSSpieler!A:B,2,FALSE)</f>
        <v>FicoMico</v>
      </c>
    </row>
    <row r="1599" spans="1:10" x14ac:dyDescent="0.25">
      <c r="A1599">
        <v>1811</v>
      </c>
      <c r="B1599" t="s">
        <v>839</v>
      </c>
      <c r="C1599">
        <v>463</v>
      </c>
      <c r="D1599">
        <v>485</v>
      </c>
      <c r="E1599">
        <v>1577180717</v>
      </c>
      <c r="F1599">
        <v>5833</v>
      </c>
      <c r="G1599">
        <v>0</v>
      </c>
      <c r="H1599" t="s">
        <v>6526</v>
      </c>
      <c r="I1599">
        <v>1811</v>
      </c>
      <c r="J1599" t="str">
        <f>VLOOKUP(E1599,DSSpieler!A:B,2,FALSE)</f>
        <v>koronastylez</v>
      </c>
    </row>
    <row r="1600" spans="1:10" x14ac:dyDescent="0.25">
      <c r="A1600">
        <v>1812</v>
      </c>
      <c r="B1600" t="s">
        <v>31231</v>
      </c>
      <c r="C1600">
        <v>465</v>
      </c>
      <c r="D1600">
        <v>496</v>
      </c>
      <c r="E1600">
        <v>9122692</v>
      </c>
      <c r="F1600">
        <v>7460</v>
      </c>
      <c r="G1600">
        <v>0</v>
      </c>
      <c r="H1600" t="s">
        <v>6527</v>
      </c>
      <c r="I1600">
        <v>1812</v>
      </c>
      <c r="J1600" t="str">
        <f>VLOOKUP(E1600,DSSpieler!A:B,2,FALSE)</f>
        <v>Wiesel 1</v>
      </c>
    </row>
    <row r="1601" spans="1:10" x14ac:dyDescent="0.25">
      <c r="A1601">
        <v>1813</v>
      </c>
      <c r="B1601" t="s">
        <v>673</v>
      </c>
      <c r="C1601">
        <v>454</v>
      </c>
      <c r="D1601">
        <v>504</v>
      </c>
      <c r="E1601">
        <v>1577187878</v>
      </c>
      <c r="F1601">
        <v>4466</v>
      </c>
      <c r="G1601">
        <v>0</v>
      </c>
      <c r="H1601" t="s">
        <v>6528</v>
      </c>
      <c r="I1601">
        <v>1813</v>
      </c>
      <c r="J1601" t="str">
        <f>VLOOKUP(E1601,DSSpieler!A:B,2,FALSE)</f>
        <v>Ilovemyskills</v>
      </c>
    </row>
    <row r="1602" spans="1:10" x14ac:dyDescent="0.25">
      <c r="A1602">
        <v>1814</v>
      </c>
      <c r="B1602" t="s">
        <v>687</v>
      </c>
      <c r="C1602">
        <v>419</v>
      </c>
      <c r="D1602">
        <v>448</v>
      </c>
      <c r="E1602">
        <v>1576885344</v>
      </c>
      <c r="F1602">
        <v>3421</v>
      </c>
      <c r="G1602">
        <v>0</v>
      </c>
      <c r="H1602" t="s">
        <v>6529</v>
      </c>
      <c r="I1602">
        <v>1814</v>
      </c>
      <c r="J1602" t="str">
        <f>VLOOKUP(E1602,DSSpieler!A:B,2,FALSE)</f>
        <v>fe08</v>
      </c>
    </row>
    <row r="1603" spans="1:10" x14ac:dyDescent="0.25">
      <c r="A1603">
        <v>1815</v>
      </c>
      <c r="B1603" t="s">
        <v>31232</v>
      </c>
      <c r="C1603">
        <v>412</v>
      </c>
      <c r="D1603">
        <v>457</v>
      </c>
      <c r="E1603">
        <v>2856268</v>
      </c>
      <c r="F1603">
        <v>3005</v>
      </c>
      <c r="G1603">
        <v>0</v>
      </c>
      <c r="H1603" t="s">
        <v>6530</v>
      </c>
      <c r="I1603">
        <v>1815</v>
      </c>
      <c r="J1603" t="str">
        <f>VLOOKUP(E1603,DSSpieler!A:B,2,FALSE)</f>
        <v>tillus95</v>
      </c>
    </row>
    <row r="1604" spans="1:10" x14ac:dyDescent="0.25">
      <c r="A1604">
        <v>1816</v>
      </c>
      <c r="B1604" t="s">
        <v>840</v>
      </c>
      <c r="C1604">
        <v>415</v>
      </c>
      <c r="D1604">
        <v>453</v>
      </c>
      <c r="E1604">
        <v>1576125906</v>
      </c>
      <c r="F1604">
        <v>4506</v>
      </c>
      <c r="G1604">
        <v>0</v>
      </c>
      <c r="H1604" t="s">
        <v>6531</v>
      </c>
      <c r="I1604">
        <v>1816</v>
      </c>
      <c r="J1604" t="str">
        <f>VLOOKUP(E1604,DSSpieler!A:B,2,FALSE)</f>
        <v>Tinca12</v>
      </c>
    </row>
    <row r="1605" spans="1:10" x14ac:dyDescent="0.25">
      <c r="A1605">
        <v>1817</v>
      </c>
      <c r="B1605" t="s">
        <v>841</v>
      </c>
      <c r="C1605">
        <v>416</v>
      </c>
      <c r="D1605">
        <v>456</v>
      </c>
      <c r="E1605">
        <v>7932390</v>
      </c>
      <c r="F1605">
        <v>5835</v>
      </c>
      <c r="G1605">
        <v>0</v>
      </c>
      <c r="H1605" t="s">
        <v>6532</v>
      </c>
      <c r="I1605">
        <v>1817</v>
      </c>
      <c r="J1605" t="str">
        <f>VLOOKUP(E1605,DSSpieler!A:B,2,FALSE)</f>
        <v>DerCemo47</v>
      </c>
    </row>
    <row r="1606" spans="1:10" x14ac:dyDescent="0.25">
      <c r="A1606">
        <v>1818</v>
      </c>
      <c r="B1606" t="s">
        <v>31233</v>
      </c>
      <c r="C1606">
        <v>413</v>
      </c>
      <c r="D1606">
        <v>451</v>
      </c>
      <c r="E1606">
        <v>1576742327</v>
      </c>
      <c r="F1606">
        <v>2027</v>
      </c>
      <c r="G1606">
        <v>0</v>
      </c>
      <c r="H1606" t="s">
        <v>6533</v>
      </c>
      <c r="I1606">
        <v>1818</v>
      </c>
      <c r="J1606" t="str">
        <f>VLOOKUP(E1606,DSSpieler!A:B,2,FALSE)</f>
        <v>IchigoKorusaki</v>
      </c>
    </row>
    <row r="1607" spans="1:10" x14ac:dyDescent="0.25">
      <c r="A1607">
        <v>1819</v>
      </c>
      <c r="B1607" t="s">
        <v>842</v>
      </c>
      <c r="C1607">
        <v>517</v>
      </c>
      <c r="D1607">
        <v>531</v>
      </c>
      <c r="E1607">
        <v>9923874</v>
      </c>
      <c r="F1607">
        <v>1760</v>
      </c>
      <c r="G1607">
        <v>0</v>
      </c>
      <c r="H1607" t="s">
        <v>6534</v>
      </c>
      <c r="I1607">
        <v>1819</v>
      </c>
      <c r="J1607" t="str">
        <f>VLOOKUP(E1607,DSSpieler!A:B,2,FALSE)</f>
        <v>Cr1meZ</v>
      </c>
    </row>
    <row r="1608" spans="1:10" x14ac:dyDescent="0.25">
      <c r="A1608">
        <v>1820</v>
      </c>
      <c r="B1608" t="s">
        <v>843</v>
      </c>
      <c r="C1608">
        <v>520</v>
      </c>
      <c r="D1608">
        <v>522</v>
      </c>
      <c r="E1608">
        <v>1577138038</v>
      </c>
      <c r="F1608">
        <v>4979</v>
      </c>
      <c r="G1608">
        <v>0</v>
      </c>
      <c r="H1608" t="s">
        <v>6535</v>
      </c>
      <c r="I1608">
        <v>1820</v>
      </c>
      <c r="J1608" t="str">
        <f>VLOOKUP(E1608,DSSpieler!A:B,2,FALSE)</f>
        <v>XxXSquadXxX</v>
      </c>
    </row>
    <row r="1609" spans="1:10" x14ac:dyDescent="0.25">
      <c r="A1609">
        <v>1821</v>
      </c>
      <c r="B1609" t="s">
        <v>542</v>
      </c>
      <c r="C1609">
        <v>512</v>
      </c>
      <c r="D1609">
        <v>527</v>
      </c>
      <c r="E1609">
        <v>1577197162</v>
      </c>
      <c r="F1609">
        <v>5095</v>
      </c>
      <c r="G1609">
        <v>0</v>
      </c>
      <c r="H1609" t="s">
        <v>6536</v>
      </c>
      <c r="I1609">
        <v>1821</v>
      </c>
      <c r="J1609" t="str">
        <f>VLOOKUP(E1609,DSSpieler!A:B,2,FALSE)</f>
        <v>Tubu</v>
      </c>
    </row>
    <row r="1610" spans="1:10" x14ac:dyDescent="0.25">
      <c r="A1610">
        <v>1822</v>
      </c>
      <c r="B1610" t="s">
        <v>531</v>
      </c>
      <c r="C1610">
        <v>511</v>
      </c>
      <c r="D1610">
        <v>535</v>
      </c>
      <c r="E1610">
        <v>0</v>
      </c>
      <c r="F1610">
        <v>506</v>
      </c>
      <c r="G1610">
        <v>0</v>
      </c>
      <c r="H1610" t="s">
        <v>6537</v>
      </c>
      <c r="I1610">
        <v>1822</v>
      </c>
      <c r="J1610" t="e">
        <f>VLOOKUP(E1610,DSSpieler!A:B,2,FALSE)</f>
        <v>#N/A</v>
      </c>
    </row>
    <row r="1611" spans="1:10" x14ac:dyDescent="0.25">
      <c r="A1611">
        <v>1823</v>
      </c>
      <c r="B1611">
        <v>6</v>
      </c>
      <c r="C1611">
        <v>515</v>
      </c>
      <c r="D1611">
        <v>519</v>
      </c>
      <c r="E1611">
        <v>10153328</v>
      </c>
      <c r="F1611">
        <v>4004</v>
      </c>
      <c r="G1611">
        <v>0</v>
      </c>
      <c r="H1611" t="s">
        <v>6538</v>
      </c>
      <c r="I1611">
        <v>1823</v>
      </c>
      <c r="J1611" t="str">
        <f>VLOOKUP(E1611,DSSpieler!A:B,2,FALSE)</f>
        <v>ChePrinzessin</v>
      </c>
    </row>
    <row r="1612" spans="1:10" x14ac:dyDescent="0.25">
      <c r="A1612">
        <v>1824</v>
      </c>
      <c r="B1612" t="s">
        <v>31234</v>
      </c>
      <c r="C1612">
        <v>392</v>
      </c>
      <c r="D1612">
        <v>506</v>
      </c>
      <c r="E1612">
        <v>9694313</v>
      </c>
      <c r="F1612">
        <v>6871</v>
      </c>
      <c r="G1612">
        <v>0</v>
      </c>
      <c r="H1612" t="s">
        <v>6539</v>
      </c>
      <c r="I1612">
        <v>1824</v>
      </c>
      <c r="J1612" t="str">
        <f>VLOOKUP(E1612,DSSpieler!A:B,2,FALSE)</f>
        <v>Lerbanoel</v>
      </c>
    </row>
    <row r="1613" spans="1:10" x14ac:dyDescent="0.25">
      <c r="A1613">
        <v>1825</v>
      </c>
      <c r="B1613" t="s">
        <v>31235</v>
      </c>
      <c r="C1613">
        <v>392</v>
      </c>
      <c r="D1613">
        <v>507</v>
      </c>
      <c r="E1613">
        <v>1576572910</v>
      </c>
      <c r="F1613">
        <v>6096</v>
      </c>
      <c r="G1613">
        <v>0</v>
      </c>
      <c r="H1613" t="s">
        <v>6540</v>
      </c>
      <c r="I1613">
        <v>1825</v>
      </c>
      <c r="J1613" t="str">
        <f>VLOOKUP(E1613,DSSpieler!A:B,2,FALSE)</f>
        <v>Lord Swagstau</v>
      </c>
    </row>
    <row r="1614" spans="1:10" x14ac:dyDescent="0.25">
      <c r="A1614">
        <v>1826</v>
      </c>
      <c r="B1614" t="s">
        <v>31236</v>
      </c>
      <c r="C1614">
        <v>391</v>
      </c>
      <c r="D1614">
        <v>504</v>
      </c>
      <c r="E1614">
        <v>1577196332</v>
      </c>
      <c r="F1614">
        <v>6432</v>
      </c>
      <c r="G1614">
        <v>0</v>
      </c>
      <c r="H1614" t="s">
        <v>6541</v>
      </c>
      <c r="I1614">
        <v>1826</v>
      </c>
      <c r="J1614" t="str">
        <f>VLOOKUP(E1614,DSSpieler!A:B,2,FALSE)</f>
        <v>Pizza Prociutto</v>
      </c>
    </row>
    <row r="1615" spans="1:10" x14ac:dyDescent="0.25">
      <c r="A1615">
        <v>1827</v>
      </c>
      <c r="B1615" t="s">
        <v>31237</v>
      </c>
      <c r="C1615">
        <v>389</v>
      </c>
      <c r="D1615">
        <v>497</v>
      </c>
      <c r="E1615">
        <v>1577201430</v>
      </c>
      <c r="F1615">
        <v>5853</v>
      </c>
      <c r="G1615">
        <v>0</v>
      </c>
      <c r="H1615" t="s">
        <v>6542</v>
      </c>
      <c r="I1615">
        <v>1827</v>
      </c>
      <c r="J1615" t="str">
        <f>VLOOKUP(E1615,DSSpieler!A:B,2,FALSE)</f>
        <v>Oldschooler is back</v>
      </c>
    </row>
    <row r="1616" spans="1:10" x14ac:dyDescent="0.25">
      <c r="A1616">
        <v>1828</v>
      </c>
      <c r="B1616" t="s">
        <v>673</v>
      </c>
      <c r="C1616">
        <v>397</v>
      </c>
      <c r="D1616">
        <v>500</v>
      </c>
      <c r="E1616">
        <v>1577097018</v>
      </c>
      <c r="F1616">
        <v>4271</v>
      </c>
      <c r="G1616">
        <v>0</v>
      </c>
      <c r="H1616" t="s">
        <v>6543</v>
      </c>
      <c r="I1616">
        <v>1828</v>
      </c>
      <c r="J1616" t="str">
        <f>VLOOKUP(E1616,DSSpieler!A:B,2,FALSE)</f>
        <v>DerderohneRammenkommt</v>
      </c>
    </row>
    <row r="1617" spans="1:10" x14ac:dyDescent="0.25">
      <c r="A1617">
        <v>1829</v>
      </c>
      <c r="B1617" t="s">
        <v>844</v>
      </c>
      <c r="C1617">
        <v>532</v>
      </c>
      <c r="D1617">
        <v>508</v>
      </c>
      <c r="E1617">
        <v>1577166658</v>
      </c>
      <c r="F1617">
        <v>665</v>
      </c>
      <c r="G1617">
        <v>0</v>
      </c>
      <c r="H1617" t="s">
        <v>6544</v>
      </c>
      <c r="I1617">
        <v>1829</v>
      </c>
      <c r="J1617" t="str">
        <f>VLOOKUP(E1617,DSSpieler!A:B,2,FALSE)</f>
        <v>Ewiger-Strolch</v>
      </c>
    </row>
    <row r="1618" spans="1:10" x14ac:dyDescent="0.25">
      <c r="A1618">
        <v>1830</v>
      </c>
      <c r="B1618">
        <v>1</v>
      </c>
      <c r="C1618">
        <v>540</v>
      </c>
      <c r="D1618">
        <v>480</v>
      </c>
      <c r="E1618">
        <v>1577178830</v>
      </c>
      <c r="F1618">
        <v>6792</v>
      </c>
      <c r="G1618">
        <v>0</v>
      </c>
      <c r="H1618" t="s">
        <v>6545</v>
      </c>
      <c r="I1618">
        <v>1830</v>
      </c>
      <c r="J1618" t="str">
        <f>VLOOKUP(E1618,DSSpieler!A:B,2,FALSE)</f>
        <v>jokra</v>
      </c>
    </row>
    <row r="1619" spans="1:10" x14ac:dyDescent="0.25">
      <c r="A1619">
        <v>1831</v>
      </c>
      <c r="B1619" t="s">
        <v>531</v>
      </c>
      <c r="C1619">
        <v>541</v>
      </c>
      <c r="D1619">
        <v>486</v>
      </c>
      <c r="E1619">
        <v>0</v>
      </c>
      <c r="F1619">
        <v>350</v>
      </c>
      <c r="G1619">
        <v>0</v>
      </c>
      <c r="H1619" t="s">
        <v>6546</v>
      </c>
      <c r="I1619">
        <v>1831</v>
      </c>
      <c r="J1619" t="e">
        <f>VLOOKUP(E1619,DSSpieler!A:B,2,FALSE)</f>
        <v>#N/A</v>
      </c>
    </row>
    <row r="1620" spans="1:10" x14ac:dyDescent="0.25">
      <c r="A1620">
        <v>1832</v>
      </c>
      <c r="B1620" t="s">
        <v>31238</v>
      </c>
      <c r="C1620">
        <v>542</v>
      </c>
      <c r="D1620">
        <v>471</v>
      </c>
      <c r="E1620">
        <v>1576294527</v>
      </c>
      <c r="F1620">
        <v>6666</v>
      </c>
      <c r="G1620">
        <v>0</v>
      </c>
      <c r="H1620" t="s">
        <v>6547</v>
      </c>
      <c r="I1620">
        <v>1832</v>
      </c>
      <c r="J1620" t="str">
        <f>VLOOKUP(E1620,DSSpieler!A:B,2,FALSE)</f>
        <v>firet0uch</v>
      </c>
    </row>
    <row r="1621" spans="1:10" x14ac:dyDescent="0.25">
      <c r="A1621">
        <v>1833</v>
      </c>
      <c r="B1621" t="s">
        <v>31239</v>
      </c>
      <c r="C1621">
        <v>541</v>
      </c>
      <c r="D1621">
        <v>509</v>
      </c>
      <c r="E1621">
        <v>1577168204</v>
      </c>
      <c r="F1621">
        <v>1190</v>
      </c>
      <c r="G1621">
        <v>0</v>
      </c>
      <c r="H1621" t="s">
        <v>6548</v>
      </c>
      <c r="I1621">
        <v>1833</v>
      </c>
      <c r="J1621" t="str">
        <f>VLOOKUP(E1621,DSSpieler!A:B,2,FALSE)</f>
        <v>Argeast</v>
      </c>
    </row>
    <row r="1622" spans="1:10" x14ac:dyDescent="0.25">
      <c r="A1622">
        <v>1834</v>
      </c>
      <c r="B1622" t="s">
        <v>31240</v>
      </c>
      <c r="C1622">
        <v>538</v>
      </c>
      <c r="D1622">
        <v>518</v>
      </c>
      <c r="E1622">
        <v>1577191260</v>
      </c>
      <c r="F1622">
        <v>5951</v>
      </c>
      <c r="G1622">
        <v>0</v>
      </c>
      <c r="H1622" t="s">
        <v>6549</v>
      </c>
      <c r="I1622">
        <v>1834</v>
      </c>
      <c r="J1622" t="str">
        <f>VLOOKUP(E1622,DSSpieler!A:B,2,FALSE)</f>
        <v>Triple Y</v>
      </c>
    </row>
    <row r="1623" spans="1:10" x14ac:dyDescent="0.25">
      <c r="A1623">
        <v>1835</v>
      </c>
      <c r="B1623" t="s">
        <v>845</v>
      </c>
      <c r="C1623">
        <v>532</v>
      </c>
      <c r="D1623">
        <v>501</v>
      </c>
      <c r="E1623">
        <v>1577047575</v>
      </c>
      <c r="F1623">
        <v>2057</v>
      </c>
      <c r="G1623">
        <v>0</v>
      </c>
      <c r="H1623" t="s">
        <v>6550</v>
      </c>
      <c r="I1623">
        <v>1835</v>
      </c>
      <c r="J1623" t="str">
        <f>VLOOKUP(E1623,DSSpieler!A:B,2,FALSE)</f>
        <v>Damian Toerring</v>
      </c>
    </row>
    <row r="1624" spans="1:10" x14ac:dyDescent="0.25">
      <c r="A1624">
        <v>1836</v>
      </c>
      <c r="B1624" t="s">
        <v>531</v>
      </c>
      <c r="C1624">
        <v>550</v>
      </c>
      <c r="D1624">
        <v>504</v>
      </c>
      <c r="E1624">
        <v>0</v>
      </c>
      <c r="F1624">
        <v>38</v>
      </c>
      <c r="G1624">
        <v>0</v>
      </c>
      <c r="H1624" t="s">
        <v>6551</v>
      </c>
      <c r="I1624">
        <v>1836</v>
      </c>
      <c r="J1624" t="e">
        <f>VLOOKUP(E1624,DSSpieler!A:B,2,FALSE)</f>
        <v>#N/A</v>
      </c>
    </row>
    <row r="1625" spans="1:10" x14ac:dyDescent="0.25">
      <c r="A1625">
        <v>1837</v>
      </c>
      <c r="B1625" t="s">
        <v>531</v>
      </c>
      <c r="C1625">
        <v>539</v>
      </c>
      <c r="D1625">
        <v>497</v>
      </c>
      <c r="E1625">
        <v>0</v>
      </c>
      <c r="F1625">
        <v>895</v>
      </c>
      <c r="G1625">
        <v>0</v>
      </c>
      <c r="H1625" t="s">
        <v>6552</v>
      </c>
      <c r="I1625">
        <v>1837</v>
      </c>
      <c r="J1625" t="e">
        <f>VLOOKUP(E1625,DSSpieler!A:B,2,FALSE)</f>
        <v>#N/A</v>
      </c>
    </row>
    <row r="1626" spans="1:10" x14ac:dyDescent="0.25">
      <c r="A1626">
        <v>1838</v>
      </c>
      <c r="B1626" t="s">
        <v>531</v>
      </c>
      <c r="C1626">
        <v>469</v>
      </c>
      <c r="D1626">
        <v>445</v>
      </c>
      <c r="E1626">
        <v>0</v>
      </c>
      <c r="F1626">
        <v>306</v>
      </c>
      <c r="G1626">
        <v>0</v>
      </c>
      <c r="H1626" t="s">
        <v>6553</v>
      </c>
      <c r="I1626">
        <v>1838</v>
      </c>
      <c r="J1626" t="e">
        <f>VLOOKUP(E1626,DSSpieler!A:B,2,FALSE)</f>
        <v>#N/A</v>
      </c>
    </row>
    <row r="1627" spans="1:10" x14ac:dyDescent="0.25">
      <c r="A1627">
        <v>1839</v>
      </c>
      <c r="B1627" t="s">
        <v>846</v>
      </c>
      <c r="C1627">
        <v>469</v>
      </c>
      <c r="D1627">
        <v>455</v>
      </c>
      <c r="E1627">
        <v>1576472376</v>
      </c>
      <c r="F1627">
        <v>6703</v>
      </c>
      <c r="G1627">
        <v>0</v>
      </c>
      <c r="H1627" t="s">
        <v>6554</v>
      </c>
      <c r="I1627">
        <v>1839</v>
      </c>
      <c r="J1627" t="str">
        <f>VLOOKUP(E1627,DSSpieler!A:B,2,FALSE)</f>
        <v>TiMetoBaSh1</v>
      </c>
    </row>
    <row r="1628" spans="1:10" x14ac:dyDescent="0.25">
      <c r="A1628">
        <v>1840</v>
      </c>
      <c r="B1628" t="s">
        <v>31241</v>
      </c>
      <c r="C1628">
        <v>559</v>
      </c>
      <c r="D1628">
        <v>421</v>
      </c>
      <c r="E1628">
        <v>1577194527</v>
      </c>
      <c r="F1628">
        <v>5519</v>
      </c>
      <c r="G1628">
        <v>0</v>
      </c>
      <c r="H1628" t="s">
        <v>6555</v>
      </c>
      <c r="I1628">
        <v>1840</v>
      </c>
      <c r="J1628" t="str">
        <f>VLOOKUP(E1628,DSSpieler!A:B,2,FALSE)</f>
        <v>cheesy94</v>
      </c>
    </row>
    <row r="1629" spans="1:10" x14ac:dyDescent="0.25">
      <c r="A1629">
        <v>1841</v>
      </c>
      <c r="B1629" t="s">
        <v>31242</v>
      </c>
      <c r="C1629">
        <v>557</v>
      </c>
      <c r="D1629">
        <v>420</v>
      </c>
      <c r="E1629">
        <v>1577183941</v>
      </c>
      <c r="F1629">
        <v>8001</v>
      </c>
      <c r="G1629">
        <v>0</v>
      </c>
      <c r="H1629" t="s">
        <v>6556</v>
      </c>
      <c r="I1629">
        <v>1841</v>
      </c>
      <c r="J1629" t="str">
        <f>VLOOKUP(E1629,DSSpieler!A:B,2,FALSE)</f>
        <v>maxlhimself</v>
      </c>
    </row>
    <row r="1630" spans="1:10" x14ac:dyDescent="0.25">
      <c r="A1630">
        <v>1842</v>
      </c>
      <c r="B1630" t="s">
        <v>847</v>
      </c>
      <c r="C1630">
        <v>548</v>
      </c>
      <c r="D1630">
        <v>408</v>
      </c>
      <c r="E1630">
        <v>1577197667</v>
      </c>
      <c r="F1630">
        <v>4385</v>
      </c>
      <c r="G1630">
        <v>0</v>
      </c>
      <c r="H1630" t="s">
        <v>6557</v>
      </c>
      <c r="I1630">
        <v>1842</v>
      </c>
      <c r="J1630" t="str">
        <f>VLOOKUP(E1630,DSSpieler!A:B,2,FALSE)</f>
        <v>BonziusPilates</v>
      </c>
    </row>
    <row r="1631" spans="1:10" x14ac:dyDescent="0.25">
      <c r="A1631">
        <v>1843</v>
      </c>
      <c r="B1631" t="s">
        <v>31243</v>
      </c>
      <c r="C1631">
        <v>561</v>
      </c>
      <c r="D1631">
        <v>417</v>
      </c>
      <c r="E1631">
        <v>1577194527</v>
      </c>
      <c r="F1631">
        <v>7086</v>
      </c>
      <c r="G1631">
        <v>0</v>
      </c>
      <c r="H1631" t="s">
        <v>6558</v>
      </c>
      <c r="I1631">
        <v>1843</v>
      </c>
      <c r="J1631" t="str">
        <f>VLOOKUP(E1631,DSSpieler!A:B,2,FALSE)</f>
        <v>cheesy94</v>
      </c>
    </row>
    <row r="1632" spans="1:10" x14ac:dyDescent="0.25">
      <c r="A1632">
        <v>1844</v>
      </c>
      <c r="B1632" t="s">
        <v>31244</v>
      </c>
      <c r="C1632">
        <v>554</v>
      </c>
      <c r="D1632">
        <v>413</v>
      </c>
      <c r="E1632">
        <v>1577198328</v>
      </c>
      <c r="F1632">
        <v>6372</v>
      </c>
      <c r="G1632">
        <v>0</v>
      </c>
      <c r="H1632" t="s">
        <v>6559</v>
      </c>
      <c r="I1632">
        <v>1844</v>
      </c>
      <c r="J1632" t="str">
        <f>VLOOKUP(E1632,DSSpieler!A:B,2,FALSE)</f>
        <v>Mister Riös</v>
      </c>
    </row>
    <row r="1633" spans="1:10" x14ac:dyDescent="0.25">
      <c r="A1633">
        <v>1845</v>
      </c>
      <c r="B1633" t="s">
        <v>848</v>
      </c>
      <c r="C1633">
        <v>559</v>
      </c>
      <c r="D1633">
        <v>427</v>
      </c>
      <c r="E1633">
        <v>1577196839</v>
      </c>
      <c r="F1633">
        <v>6808</v>
      </c>
      <c r="G1633">
        <v>0</v>
      </c>
      <c r="H1633" t="s">
        <v>6560</v>
      </c>
      <c r="I1633">
        <v>1845</v>
      </c>
      <c r="J1633" t="str">
        <f>VLOOKUP(E1633,DSSpieler!A:B,2,FALSE)</f>
        <v>heissi</v>
      </c>
    </row>
    <row r="1634" spans="1:10" x14ac:dyDescent="0.25">
      <c r="A1634">
        <v>1846</v>
      </c>
      <c r="B1634" t="s">
        <v>31245</v>
      </c>
      <c r="C1634">
        <v>562</v>
      </c>
      <c r="D1634">
        <v>414</v>
      </c>
      <c r="E1634">
        <v>1577197691</v>
      </c>
      <c r="F1634">
        <v>7284</v>
      </c>
      <c r="G1634">
        <v>0</v>
      </c>
      <c r="H1634" t="s">
        <v>6561</v>
      </c>
      <c r="I1634">
        <v>1846</v>
      </c>
      <c r="J1634" t="str">
        <f>VLOOKUP(E1634,DSSpieler!A:B,2,FALSE)</f>
        <v>McPaolo</v>
      </c>
    </row>
    <row r="1635" spans="1:10" x14ac:dyDescent="0.25">
      <c r="A1635">
        <v>1847</v>
      </c>
      <c r="B1635" t="s">
        <v>31246</v>
      </c>
      <c r="C1635">
        <v>530</v>
      </c>
      <c r="D1635">
        <v>487</v>
      </c>
      <c r="E1635">
        <v>7684309</v>
      </c>
      <c r="F1635">
        <v>5354</v>
      </c>
      <c r="G1635">
        <v>0</v>
      </c>
      <c r="H1635" t="s">
        <v>6562</v>
      </c>
      <c r="I1635">
        <v>1847</v>
      </c>
      <c r="J1635" t="str">
        <f>VLOOKUP(E1635,DSSpieler!A:B,2,FALSE)</f>
        <v>Discraider</v>
      </c>
    </row>
    <row r="1636" spans="1:10" x14ac:dyDescent="0.25">
      <c r="A1636">
        <v>1848</v>
      </c>
      <c r="B1636" t="s">
        <v>31247</v>
      </c>
      <c r="C1636">
        <v>533</v>
      </c>
      <c r="D1636">
        <v>479</v>
      </c>
      <c r="E1636">
        <v>8212814</v>
      </c>
      <c r="F1636">
        <v>5135</v>
      </c>
      <c r="G1636">
        <v>0</v>
      </c>
      <c r="H1636" t="s">
        <v>6563</v>
      </c>
      <c r="I1636">
        <v>1848</v>
      </c>
      <c r="J1636" t="str">
        <f>VLOOKUP(E1636,DSSpieler!A:B,2,FALSE)</f>
        <v>mc43</v>
      </c>
    </row>
    <row r="1637" spans="1:10" x14ac:dyDescent="0.25">
      <c r="A1637">
        <v>1849</v>
      </c>
      <c r="B1637" t="s">
        <v>31248</v>
      </c>
      <c r="C1637">
        <v>529</v>
      </c>
      <c r="D1637">
        <v>486</v>
      </c>
      <c r="E1637">
        <v>1576922370</v>
      </c>
      <c r="F1637">
        <v>5174</v>
      </c>
      <c r="G1637">
        <v>0</v>
      </c>
      <c r="H1637" t="s">
        <v>6564</v>
      </c>
      <c r="I1637">
        <v>1849</v>
      </c>
      <c r="J1637" t="str">
        <f>VLOOKUP(E1637,DSSpieler!A:B,2,FALSE)</f>
        <v>DrTerror</v>
      </c>
    </row>
    <row r="1638" spans="1:10" x14ac:dyDescent="0.25">
      <c r="A1638">
        <v>1850</v>
      </c>
      <c r="B1638" t="s">
        <v>531</v>
      </c>
      <c r="C1638">
        <v>494</v>
      </c>
      <c r="D1638">
        <v>558</v>
      </c>
      <c r="E1638">
        <v>0</v>
      </c>
      <c r="F1638">
        <v>361</v>
      </c>
      <c r="G1638">
        <v>0</v>
      </c>
      <c r="H1638" t="s">
        <v>6565</v>
      </c>
      <c r="I1638">
        <v>1850</v>
      </c>
      <c r="J1638" t="e">
        <f>VLOOKUP(E1638,DSSpieler!A:B,2,FALSE)</f>
        <v>#N/A</v>
      </c>
    </row>
    <row r="1639" spans="1:10" x14ac:dyDescent="0.25">
      <c r="A1639">
        <v>1851</v>
      </c>
      <c r="B1639" t="s">
        <v>31249</v>
      </c>
      <c r="C1639">
        <v>536</v>
      </c>
      <c r="D1639">
        <v>483</v>
      </c>
      <c r="E1639">
        <v>7684309</v>
      </c>
      <c r="F1639">
        <v>5669</v>
      </c>
      <c r="G1639">
        <v>0</v>
      </c>
      <c r="H1639" t="s">
        <v>6566</v>
      </c>
      <c r="I1639">
        <v>1851</v>
      </c>
      <c r="J1639" t="str">
        <f>VLOOKUP(E1639,DSSpieler!A:B,2,FALSE)</f>
        <v>Discraider</v>
      </c>
    </row>
    <row r="1640" spans="1:10" x14ac:dyDescent="0.25">
      <c r="A1640">
        <v>1852</v>
      </c>
      <c r="B1640" t="s">
        <v>31250</v>
      </c>
      <c r="C1640">
        <v>523</v>
      </c>
      <c r="D1640">
        <v>490</v>
      </c>
      <c r="E1640">
        <v>1577150811</v>
      </c>
      <c r="F1640">
        <v>6219</v>
      </c>
      <c r="G1640">
        <v>0</v>
      </c>
      <c r="H1640" t="s">
        <v>6567</v>
      </c>
      <c r="I1640">
        <v>1852</v>
      </c>
      <c r="J1640" t="str">
        <f>VLOOKUP(E1640,DSSpieler!A:B,2,FALSE)</f>
        <v>DrTheo</v>
      </c>
    </row>
    <row r="1641" spans="1:10" x14ac:dyDescent="0.25">
      <c r="A1641">
        <v>1853</v>
      </c>
      <c r="B1641" t="s">
        <v>31251</v>
      </c>
      <c r="C1641">
        <v>530</v>
      </c>
      <c r="D1641">
        <v>479</v>
      </c>
      <c r="E1641">
        <v>8212814</v>
      </c>
      <c r="F1641">
        <v>5148</v>
      </c>
      <c r="G1641">
        <v>0</v>
      </c>
      <c r="H1641" t="s">
        <v>6568</v>
      </c>
      <c r="I1641">
        <v>1853</v>
      </c>
      <c r="J1641" t="str">
        <f>VLOOKUP(E1641,DSSpieler!A:B,2,FALSE)</f>
        <v>mc43</v>
      </c>
    </row>
    <row r="1642" spans="1:10" x14ac:dyDescent="0.25">
      <c r="A1642">
        <v>1854</v>
      </c>
      <c r="B1642" t="s">
        <v>31252</v>
      </c>
      <c r="C1642">
        <v>533</v>
      </c>
      <c r="D1642">
        <v>483</v>
      </c>
      <c r="E1642">
        <v>1577196989</v>
      </c>
      <c r="F1642">
        <v>5993</v>
      </c>
      <c r="G1642">
        <v>0</v>
      </c>
      <c r="H1642" t="s">
        <v>6569</v>
      </c>
      <c r="I1642">
        <v>1854</v>
      </c>
      <c r="J1642" t="str">
        <f>VLOOKUP(E1642,DSSpieler!A:B,2,FALSE)</f>
        <v>Edo Sojabohne</v>
      </c>
    </row>
    <row r="1643" spans="1:10" x14ac:dyDescent="0.25">
      <c r="A1643">
        <v>1855</v>
      </c>
      <c r="B1643" t="s">
        <v>31253</v>
      </c>
      <c r="C1643">
        <v>529</v>
      </c>
      <c r="D1643">
        <v>483</v>
      </c>
      <c r="E1643">
        <v>7684309</v>
      </c>
      <c r="F1643">
        <v>4891</v>
      </c>
      <c r="G1643">
        <v>0</v>
      </c>
      <c r="H1643" t="s">
        <v>6570</v>
      </c>
      <c r="I1643">
        <v>1855</v>
      </c>
      <c r="J1643" t="str">
        <f>VLOOKUP(E1643,DSSpieler!A:B,2,FALSE)</f>
        <v>Discraider</v>
      </c>
    </row>
    <row r="1644" spans="1:10" x14ac:dyDescent="0.25">
      <c r="A1644">
        <v>1856</v>
      </c>
      <c r="B1644" t="s">
        <v>31254</v>
      </c>
      <c r="C1644">
        <v>471</v>
      </c>
      <c r="D1644">
        <v>588</v>
      </c>
      <c r="E1644">
        <v>1577181431</v>
      </c>
      <c r="F1644">
        <v>4585</v>
      </c>
      <c r="G1644">
        <v>0</v>
      </c>
      <c r="H1644" t="s">
        <v>6571</v>
      </c>
      <c r="I1644">
        <v>1856</v>
      </c>
      <c r="J1644" t="str">
        <f>VLOOKUP(E1644,DSSpieler!A:B,2,FALSE)</f>
        <v>XYJYX</v>
      </c>
    </row>
    <row r="1645" spans="1:10" x14ac:dyDescent="0.25">
      <c r="A1645">
        <v>1857</v>
      </c>
      <c r="B1645" s="111">
        <v>230.02</v>
      </c>
      <c r="C1645">
        <v>468</v>
      </c>
      <c r="D1645">
        <v>583</v>
      </c>
      <c r="E1645">
        <v>1577147417</v>
      </c>
      <c r="F1645">
        <v>3618</v>
      </c>
      <c r="G1645">
        <v>0</v>
      </c>
      <c r="H1645" t="s">
        <v>6572</v>
      </c>
      <c r="I1645">
        <v>1857</v>
      </c>
      <c r="J1645" t="str">
        <f>VLOOKUP(E1645,DSSpieler!A:B,2,FALSE)</f>
        <v>lejuice</v>
      </c>
    </row>
    <row r="1646" spans="1:10" x14ac:dyDescent="0.25">
      <c r="A1646">
        <v>1858</v>
      </c>
      <c r="B1646" t="s">
        <v>849</v>
      </c>
      <c r="C1646">
        <v>478</v>
      </c>
      <c r="D1646">
        <v>577</v>
      </c>
      <c r="E1646">
        <v>1577043234</v>
      </c>
      <c r="F1646">
        <v>3265</v>
      </c>
      <c r="G1646">
        <v>0</v>
      </c>
      <c r="H1646" t="s">
        <v>6573</v>
      </c>
      <c r="I1646">
        <v>1858</v>
      </c>
      <c r="J1646" t="str">
        <f>VLOOKUP(E1646,DSSpieler!A:B,2,FALSE)</f>
        <v>yasmina93</v>
      </c>
    </row>
    <row r="1647" spans="1:10" x14ac:dyDescent="0.25">
      <c r="A1647">
        <v>1859</v>
      </c>
      <c r="B1647" t="s">
        <v>531</v>
      </c>
      <c r="C1647">
        <v>540</v>
      </c>
      <c r="D1647">
        <v>584</v>
      </c>
      <c r="E1647">
        <v>0</v>
      </c>
      <c r="F1647">
        <v>1190</v>
      </c>
      <c r="G1647">
        <v>0</v>
      </c>
      <c r="H1647" t="s">
        <v>6574</v>
      </c>
      <c r="I1647">
        <v>1859</v>
      </c>
      <c r="J1647" t="e">
        <f>VLOOKUP(E1647,DSSpieler!A:B,2,FALSE)</f>
        <v>#N/A</v>
      </c>
    </row>
    <row r="1648" spans="1:10" x14ac:dyDescent="0.25">
      <c r="A1648">
        <v>1860</v>
      </c>
      <c r="B1648">
        <v>2</v>
      </c>
      <c r="C1648">
        <v>526</v>
      </c>
      <c r="D1648">
        <v>463</v>
      </c>
      <c r="E1648">
        <v>1577108749</v>
      </c>
      <c r="F1648">
        <v>6301</v>
      </c>
      <c r="G1648">
        <v>0</v>
      </c>
      <c r="H1648" t="s">
        <v>6575</v>
      </c>
      <c r="I1648">
        <v>1860</v>
      </c>
      <c r="J1648" t="str">
        <f>VLOOKUP(E1648,DSSpieler!A:B,2,FALSE)</f>
        <v>IVVI</v>
      </c>
    </row>
    <row r="1649" spans="1:10" x14ac:dyDescent="0.25">
      <c r="A1649">
        <v>1861</v>
      </c>
      <c r="B1649" t="s">
        <v>531</v>
      </c>
      <c r="C1649">
        <v>530</v>
      </c>
      <c r="D1649">
        <v>474</v>
      </c>
      <c r="E1649">
        <v>0</v>
      </c>
      <c r="F1649">
        <v>194</v>
      </c>
      <c r="G1649">
        <v>0</v>
      </c>
      <c r="H1649" t="s">
        <v>6576</v>
      </c>
      <c r="I1649">
        <v>1861</v>
      </c>
      <c r="J1649" t="e">
        <f>VLOOKUP(E1649,DSSpieler!A:B,2,FALSE)</f>
        <v>#N/A</v>
      </c>
    </row>
    <row r="1650" spans="1:10" x14ac:dyDescent="0.25">
      <c r="A1650">
        <v>1862</v>
      </c>
      <c r="B1650" t="s">
        <v>31255</v>
      </c>
      <c r="C1650">
        <v>413</v>
      </c>
      <c r="D1650">
        <v>441</v>
      </c>
      <c r="E1650">
        <v>3032774</v>
      </c>
      <c r="F1650">
        <v>6881</v>
      </c>
      <c r="G1650">
        <v>0</v>
      </c>
      <c r="H1650" t="s">
        <v>6577</v>
      </c>
      <c r="I1650">
        <v>1862</v>
      </c>
      <c r="J1650" t="str">
        <f>VLOOKUP(E1650,DSSpieler!A:B,2,FALSE)</f>
        <v>.Baby Bugs</v>
      </c>
    </row>
    <row r="1651" spans="1:10" x14ac:dyDescent="0.25">
      <c r="A1651">
        <v>1863</v>
      </c>
      <c r="B1651" t="s">
        <v>30465</v>
      </c>
      <c r="C1651">
        <v>417</v>
      </c>
      <c r="D1651">
        <v>435</v>
      </c>
      <c r="E1651">
        <v>7785606</v>
      </c>
      <c r="F1651">
        <v>8026</v>
      </c>
      <c r="G1651">
        <v>0</v>
      </c>
      <c r="H1651" t="s">
        <v>6578</v>
      </c>
      <c r="I1651">
        <v>1863</v>
      </c>
      <c r="J1651" t="str">
        <f>VLOOKUP(E1651,DSSpieler!A:B,2,FALSE)</f>
        <v>-Schpider*</v>
      </c>
    </row>
    <row r="1652" spans="1:10" x14ac:dyDescent="0.25">
      <c r="A1652">
        <v>1864</v>
      </c>
      <c r="B1652">
        <v>1</v>
      </c>
      <c r="C1652">
        <v>412</v>
      </c>
      <c r="D1652">
        <v>446</v>
      </c>
      <c r="E1652">
        <v>9768664</v>
      </c>
      <c r="F1652">
        <v>5767</v>
      </c>
      <c r="G1652">
        <v>0</v>
      </c>
      <c r="H1652" t="s">
        <v>6579</v>
      </c>
      <c r="I1652">
        <v>1864</v>
      </c>
      <c r="J1652" t="str">
        <f>VLOOKUP(E1652,DSSpieler!A:B,2,FALSE)</f>
        <v>tobinator2345</v>
      </c>
    </row>
    <row r="1653" spans="1:10" x14ac:dyDescent="0.25">
      <c r="A1653">
        <v>1865</v>
      </c>
      <c r="B1653" t="s">
        <v>31256</v>
      </c>
      <c r="C1653">
        <v>411</v>
      </c>
      <c r="D1653">
        <v>455</v>
      </c>
      <c r="E1653">
        <v>1576703166</v>
      </c>
      <c r="F1653">
        <v>5640</v>
      </c>
      <c r="G1653">
        <v>0</v>
      </c>
      <c r="H1653" t="s">
        <v>6580</v>
      </c>
      <c r="I1653">
        <v>1865</v>
      </c>
      <c r="J1653" t="str">
        <f>VLOOKUP(E1653,DSSpieler!A:B,2,FALSE)</f>
        <v>Brettvormkopp</v>
      </c>
    </row>
    <row r="1654" spans="1:10" x14ac:dyDescent="0.25">
      <c r="A1654">
        <v>1866</v>
      </c>
      <c r="B1654" t="s">
        <v>31257</v>
      </c>
      <c r="C1654">
        <v>590</v>
      </c>
      <c r="D1654">
        <v>450</v>
      </c>
      <c r="E1654">
        <v>1577182339</v>
      </c>
      <c r="F1654">
        <v>5525</v>
      </c>
      <c r="G1654">
        <v>0</v>
      </c>
      <c r="H1654" t="s">
        <v>6581</v>
      </c>
      <c r="I1654">
        <v>1866</v>
      </c>
      <c r="J1654" t="str">
        <f>VLOOKUP(E1654,DSSpieler!A:B,2,FALSE)</f>
        <v>OG BananaJoe</v>
      </c>
    </row>
    <row r="1655" spans="1:10" x14ac:dyDescent="0.25">
      <c r="A1655">
        <v>1867</v>
      </c>
      <c r="B1655">
        <v>1</v>
      </c>
      <c r="C1655">
        <v>400</v>
      </c>
      <c r="D1655">
        <v>450</v>
      </c>
      <c r="E1655">
        <v>1576705864</v>
      </c>
      <c r="F1655">
        <v>3631</v>
      </c>
      <c r="G1655">
        <v>0</v>
      </c>
      <c r="H1655" t="s">
        <v>6582</v>
      </c>
      <c r="I1655">
        <v>1867</v>
      </c>
      <c r="J1655" t="str">
        <f>VLOOKUP(E1655,DSSpieler!A:B,2,FALSE)</f>
        <v>.FaulPilz</v>
      </c>
    </row>
    <row r="1656" spans="1:10" x14ac:dyDescent="0.25">
      <c r="A1656">
        <v>1868</v>
      </c>
      <c r="B1656" t="s">
        <v>31258</v>
      </c>
      <c r="C1656">
        <v>413</v>
      </c>
      <c r="D1656">
        <v>449</v>
      </c>
      <c r="E1656">
        <v>1576879408</v>
      </c>
      <c r="F1656">
        <v>5441</v>
      </c>
      <c r="G1656">
        <v>0</v>
      </c>
      <c r="H1656" t="s">
        <v>6583</v>
      </c>
      <c r="I1656">
        <v>1868</v>
      </c>
      <c r="J1656" t="str">
        <f>VLOOKUP(E1656,DSSpieler!A:B,2,FALSE)</f>
        <v>chris3009</v>
      </c>
    </row>
    <row r="1657" spans="1:10" x14ac:dyDescent="0.25">
      <c r="A1657">
        <v>1869</v>
      </c>
      <c r="B1657" t="s">
        <v>31259</v>
      </c>
      <c r="C1657">
        <v>423</v>
      </c>
      <c r="D1657">
        <v>419</v>
      </c>
      <c r="E1657">
        <v>1576883247</v>
      </c>
      <c r="F1657">
        <v>7185</v>
      </c>
      <c r="G1657">
        <v>0</v>
      </c>
      <c r="H1657" t="s">
        <v>6584</v>
      </c>
      <c r="I1657">
        <v>1869</v>
      </c>
      <c r="J1657" t="str">
        <f>VLOOKUP(E1657,DSSpieler!A:B,2,FALSE)</f>
        <v>NiggoH</v>
      </c>
    </row>
    <row r="1658" spans="1:10" x14ac:dyDescent="0.25">
      <c r="A1658">
        <v>1870</v>
      </c>
      <c r="B1658">
        <v>1</v>
      </c>
      <c r="C1658">
        <v>423</v>
      </c>
      <c r="D1658">
        <v>426</v>
      </c>
      <c r="E1658">
        <v>1577085651</v>
      </c>
      <c r="F1658">
        <v>6626</v>
      </c>
      <c r="G1658">
        <v>0</v>
      </c>
      <c r="H1658" t="s">
        <v>6585</v>
      </c>
      <c r="I1658">
        <v>1870</v>
      </c>
      <c r="J1658" t="str">
        <f>VLOOKUP(E1658,DSSpieler!A:B,2,FALSE)</f>
        <v>-schpider *</v>
      </c>
    </row>
    <row r="1659" spans="1:10" x14ac:dyDescent="0.25">
      <c r="A1659">
        <v>1871</v>
      </c>
      <c r="B1659" s="111">
        <v>23.01</v>
      </c>
      <c r="C1659">
        <v>410</v>
      </c>
      <c r="D1659">
        <v>445</v>
      </c>
      <c r="E1659">
        <v>1677092</v>
      </c>
      <c r="F1659">
        <v>6359</v>
      </c>
      <c r="G1659">
        <v>0</v>
      </c>
      <c r="H1659" t="s">
        <v>6586</v>
      </c>
      <c r="I1659">
        <v>1871</v>
      </c>
      <c r="J1659" t="str">
        <f>VLOOKUP(E1659,DSSpieler!A:B,2,FALSE)</f>
        <v>pöser Wichtel</v>
      </c>
    </row>
    <row r="1660" spans="1:10" x14ac:dyDescent="0.25">
      <c r="A1660">
        <v>1872</v>
      </c>
      <c r="B1660" t="s">
        <v>531</v>
      </c>
      <c r="C1660">
        <v>547</v>
      </c>
      <c r="D1660">
        <v>491</v>
      </c>
      <c r="E1660">
        <v>0</v>
      </c>
      <c r="F1660">
        <v>537</v>
      </c>
      <c r="G1660">
        <v>0</v>
      </c>
      <c r="H1660" t="s">
        <v>6587</v>
      </c>
      <c r="I1660">
        <v>1872</v>
      </c>
      <c r="J1660" t="e">
        <f>VLOOKUP(E1660,DSSpieler!A:B,2,FALSE)</f>
        <v>#N/A</v>
      </c>
    </row>
    <row r="1661" spans="1:10" x14ac:dyDescent="0.25">
      <c r="A1661">
        <v>1873</v>
      </c>
      <c r="B1661" t="s">
        <v>850</v>
      </c>
      <c r="C1661">
        <v>411</v>
      </c>
      <c r="D1661">
        <v>439</v>
      </c>
      <c r="E1661">
        <v>201775</v>
      </c>
      <c r="F1661">
        <v>6014</v>
      </c>
      <c r="G1661">
        <v>0</v>
      </c>
      <c r="H1661" t="s">
        <v>6588</v>
      </c>
      <c r="I1661">
        <v>1873</v>
      </c>
      <c r="J1661" t="str">
        <f>VLOOKUP(E1661,DSSpieler!A:B,2,FALSE)</f>
        <v>hoppsing</v>
      </c>
    </row>
    <row r="1662" spans="1:10" x14ac:dyDescent="0.25">
      <c r="A1662">
        <v>1874</v>
      </c>
      <c r="B1662" t="s">
        <v>31260</v>
      </c>
      <c r="C1662">
        <v>475</v>
      </c>
      <c r="D1662">
        <v>464</v>
      </c>
      <c r="E1662">
        <v>1576920968</v>
      </c>
      <c r="F1662">
        <v>6133</v>
      </c>
      <c r="G1662">
        <v>0</v>
      </c>
      <c r="H1662" t="s">
        <v>6589</v>
      </c>
      <c r="I1662">
        <v>1874</v>
      </c>
      <c r="J1662" t="str">
        <f>VLOOKUP(E1662,DSSpieler!A:B,2,FALSE)</f>
        <v>alexoo</v>
      </c>
    </row>
    <row r="1663" spans="1:10" x14ac:dyDescent="0.25">
      <c r="A1663">
        <v>1875</v>
      </c>
      <c r="B1663" t="s">
        <v>31261</v>
      </c>
      <c r="C1663">
        <v>476</v>
      </c>
      <c r="D1663">
        <v>461</v>
      </c>
      <c r="E1663">
        <v>1577186275</v>
      </c>
      <c r="F1663">
        <v>7005</v>
      </c>
      <c r="G1663">
        <v>0</v>
      </c>
      <c r="H1663" t="s">
        <v>6590</v>
      </c>
      <c r="I1663">
        <v>1875</v>
      </c>
      <c r="J1663" t="str">
        <f>VLOOKUP(E1663,DSSpieler!A:B,2,FALSE)</f>
        <v>seeroxs</v>
      </c>
    </row>
    <row r="1664" spans="1:10" x14ac:dyDescent="0.25">
      <c r="A1664">
        <v>1876</v>
      </c>
      <c r="B1664" t="s">
        <v>851</v>
      </c>
      <c r="C1664">
        <v>480</v>
      </c>
      <c r="D1664">
        <v>468</v>
      </c>
      <c r="E1664">
        <v>1576920968</v>
      </c>
      <c r="F1664">
        <v>5506</v>
      </c>
      <c r="G1664">
        <v>0</v>
      </c>
      <c r="H1664" t="s">
        <v>6591</v>
      </c>
      <c r="I1664">
        <v>1876</v>
      </c>
      <c r="J1664" t="str">
        <f>VLOOKUP(E1664,DSSpieler!A:B,2,FALSE)</f>
        <v>alexoo</v>
      </c>
    </row>
    <row r="1665" spans="1:10" x14ac:dyDescent="0.25">
      <c r="A1665">
        <v>1877</v>
      </c>
      <c r="B1665" t="s">
        <v>31262</v>
      </c>
      <c r="C1665">
        <v>466</v>
      </c>
      <c r="D1665">
        <v>469</v>
      </c>
      <c r="E1665">
        <v>1577186290</v>
      </c>
      <c r="F1665">
        <v>7196</v>
      </c>
      <c r="G1665">
        <v>0</v>
      </c>
      <c r="H1665" t="s">
        <v>6592</v>
      </c>
      <c r="I1665">
        <v>1877</v>
      </c>
      <c r="J1665" t="str">
        <f>VLOOKUP(E1665,DSSpieler!A:B,2,FALSE)</f>
        <v>WhyIsThisNull</v>
      </c>
    </row>
    <row r="1666" spans="1:10" x14ac:dyDescent="0.25">
      <c r="A1666">
        <v>1878</v>
      </c>
      <c r="B1666" t="s">
        <v>852</v>
      </c>
      <c r="C1666">
        <v>474</v>
      </c>
      <c r="D1666">
        <v>456</v>
      </c>
      <c r="E1666">
        <v>1577186311</v>
      </c>
      <c r="F1666">
        <v>5773</v>
      </c>
      <c r="G1666">
        <v>0</v>
      </c>
      <c r="H1666" t="s">
        <v>6593</v>
      </c>
      <c r="I1666">
        <v>1878</v>
      </c>
      <c r="J1666" t="str">
        <f>VLOOKUP(E1666,DSSpieler!A:B,2,FALSE)</f>
        <v>enjuli</v>
      </c>
    </row>
    <row r="1667" spans="1:10" x14ac:dyDescent="0.25">
      <c r="A1667">
        <v>1879</v>
      </c>
      <c r="B1667" t="s">
        <v>853</v>
      </c>
      <c r="C1667">
        <v>468</v>
      </c>
      <c r="D1667">
        <v>463</v>
      </c>
      <c r="E1667">
        <v>1577180350</v>
      </c>
      <c r="F1667">
        <v>4020</v>
      </c>
      <c r="G1667">
        <v>0</v>
      </c>
      <c r="H1667" t="s">
        <v>6594</v>
      </c>
      <c r="I1667">
        <v>1879</v>
      </c>
      <c r="J1667" t="str">
        <f>VLOOKUP(E1667,DSSpieler!A:B,2,FALSE)</f>
        <v>Adelsschlächter</v>
      </c>
    </row>
    <row r="1668" spans="1:10" x14ac:dyDescent="0.25">
      <c r="A1668">
        <v>1880</v>
      </c>
      <c r="B1668" t="s">
        <v>31263</v>
      </c>
      <c r="C1668">
        <v>483</v>
      </c>
      <c r="D1668">
        <v>451</v>
      </c>
      <c r="E1668">
        <v>1577186670</v>
      </c>
      <c r="F1668">
        <v>7190</v>
      </c>
      <c r="G1668">
        <v>0</v>
      </c>
      <c r="H1668" t="s">
        <v>6595</v>
      </c>
      <c r="I1668">
        <v>1880</v>
      </c>
      <c r="J1668" t="str">
        <f>VLOOKUP(E1668,DSSpieler!A:B,2,FALSE)</f>
        <v>Nucle4r</v>
      </c>
    </row>
    <row r="1669" spans="1:10" x14ac:dyDescent="0.25">
      <c r="A1669">
        <v>1881</v>
      </c>
      <c r="B1669" t="s">
        <v>31264</v>
      </c>
      <c r="C1669">
        <v>482</v>
      </c>
      <c r="D1669">
        <v>472</v>
      </c>
      <c r="E1669">
        <v>1577186679</v>
      </c>
      <c r="F1669">
        <v>7552</v>
      </c>
      <c r="G1669">
        <v>0</v>
      </c>
      <c r="H1669" t="s">
        <v>6596</v>
      </c>
      <c r="I1669">
        <v>1881</v>
      </c>
      <c r="J1669" t="str">
        <f>VLOOKUP(E1669,DSSpieler!A:B,2,FALSE)</f>
        <v>H8erboy</v>
      </c>
    </row>
    <row r="1670" spans="1:10" x14ac:dyDescent="0.25">
      <c r="A1670">
        <v>1882</v>
      </c>
      <c r="B1670" t="s">
        <v>531</v>
      </c>
      <c r="C1670">
        <v>542</v>
      </c>
      <c r="D1670">
        <v>441</v>
      </c>
      <c r="E1670">
        <v>0</v>
      </c>
      <c r="F1670">
        <v>507</v>
      </c>
      <c r="G1670">
        <v>0</v>
      </c>
      <c r="H1670" t="s">
        <v>6597</v>
      </c>
      <c r="I1670">
        <v>1882</v>
      </c>
      <c r="J1670" t="e">
        <f>VLOOKUP(E1670,DSSpieler!A:B,2,FALSE)</f>
        <v>#N/A</v>
      </c>
    </row>
    <row r="1671" spans="1:10" x14ac:dyDescent="0.25">
      <c r="A1671">
        <v>1883</v>
      </c>
      <c r="B1671" t="s">
        <v>30582</v>
      </c>
      <c r="C1671">
        <v>479</v>
      </c>
      <c r="D1671">
        <v>603</v>
      </c>
      <c r="E1671">
        <v>1577174726</v>
      </c>
      <c r="F1671">
        <v>7415</v>
      </c>
      <c r="G1671">
        <v>0</v>
      </c>
      <c r="H1671" t="s">
        <v>6598</v>
      </c>
      <c r="I1671">
        <v>1883</v>
      </c>
      <c r="J1671" t="str">
        <f>VLOOKUP(E1671,DSSpieler!A:B,2,FALSE)</f>
        <v>Nevada.vP</v>
      </c>
    </row>
    <row r="1672" spans="1:10" x14ac:dyDescent="0.25">
      <c r="A1672">
        <v>1884</v>
      </c>
      <c r="B1672" t="s">
        <v>854</v>
      </c>
      <c r="C1672">
        <v>511</v>
      </c>
      <c r="D1672">
        <v>486</v>
      </c>
      <c r="E1672">
        <v>1576172159</v>
      </c>
      <c r="F1672">
        <v>2116</v>
      </c>
      <c r="G1672">
        <v>0</v>
      </c>
      <c r="H1672" t="s">
        <v>6599</v>
      </c>
      <c r="I1672">
        <v>1884</v>
      </c>
      <c r="J1672" t="str">
        <f>VLOOKUP(E1672,DSSpieler!A:B,2,FALSE)</f>
        <v>l ber</v>
      </c>
    </row>
    <row r="1673" spans="1:10" x14ac:dyDescent="0.25">
      <c r="A1673">
        <v>1885</v>
      </c>
      <c r="B1673" t="s">
        <v>31265</v>
      </c>
      <c r="C1673">
        <v>472</v>
      </c>
      <c r="D1673">
        <v>596</v>
      </c>
      <c r="E1673">
        <v>1576980922</v>
      </c>
      <c r="F1673">
        <v>6944</v>
      </c>
      <c r="G1673">
        <v>0</v>
      </c>
      <c r="H1673" t="s">
        <v>6600</v>
      </c>
      <c r="I1673">
        <v>1885</v>
      </c>
      <c r="J1673" t="str">
        <f>VLOOKUP(E1673,DSSpieler!A:B,2,FALSE)</f>
        <v>darkvieri</v>
      </c>
    </row>
    <row r="1674" spans="1:10" x14ac:dyDescent="0.25">
      <c r="A1674">
        <v>1886</v>
      </c>
      <c r="B1674" t="s">
        <v>855</v>
      </c>
      <c r="C1674">
        <v>464</v>
      </c>
      <c r="D1674">
        <v>600</v>
      </c>
      <c r="E1674">
        <v>1577164263</v>
      </c>
      <c r="F1674">
        <v>5158</v>
      </c>
      <c r="G1674">
        <v>0</v>
      </c>
      <c r="H1674" t="s">
        <v>6601</v>
      </c>
      <c r="I1674">
        <v>1886</v>
      </c>
      <c r="J1674" t="str">
        <f>VLOOKUP(E1674,DSSpieler!A:B,2,FALSE)</f>
        <v>Hoaler91</v>
      </c>
    </row>
    <row r="1675" spans="1:10" x14ac:dyDescent="0.25">
      <c r="A1675">
        <v>1887</v>
      </c>
      <c r="B1675" t="s">
        <v>856</v>
      </c>
      <c r="C1675">
        <v>424</v>
      </c>
      <c r="D1675">
        <v>523</v>
      </c>
      <c r="E1675">
        <v>1577163886</v>
      </c>
      <c r="F1675">
        <v>1375</v>
      </c>
      <c r="G1675">
        <v>0</v>
      </c>
      <c r="H1675" t="s">
        <v>6602</v>
      </c>
      <c r="I1675">
        <v>1887</v>
      </c>
      <c r="J1675" t="str">
        <f>VLOOKUP(E1675,DSSpieler!A:B,2,FALSE)</f>
        <v>Black Cobra</v>
      </c>
    </row>
    <row r="1676" spans="1:10" x14ac:dyDescent="0.25">
      <c r="A1676">
        <v>1888</v>
      </c>
      <c r="B1676" t="s">
        <v>31266</v>
      </c>
      <c r="C1676">
        <v>481</v>
      </c>
      <c r="D1676">
        <v>598</v>
      </c>
      <c r="E1676">
        <v>1577176518</v>
      </c>
      <c r="F1676">
        <v>6271</v>
      </c>
      <c r="G1676">
        <v>0</v>
      </c>
      <c r="H1676" t="s">
        <v>6603</v>
      </c>
      <c r="I1676">
        <v>1888</v>
      </c>
      <c r="J1676" t="str">
        <f>VLOOKUP(E1676,DSSpieler!A:B,2,FALSE)</f>
        <v>Alsazar</v>
      </c>
    </row>
    <row r="1677" spans="1:10" x14ac:dyDescent="0.25">
      <c r="A1677">
        <v>1889</v>
      </c>
      <c r="B1677" t="s">
        <v>857</v>
      </c>
      <c r="C1677">
        <v>493</v>
      </c>
      <c r="D1677">
        <v>531</v>
      </c>
      <c r="E1677">
        <v>1576491348</v>
      </c>
      <c r="F1677">
        <v>373</v>
      </c>
      <c r="G1677">
        <v>0</v>
      </c>
      <c r="H1677" t="s">
        <v>6604</v>
      </c>
      <c r="I1677">
        <v>1889</v>
      </c>
      <c r="J1677" t="str">
        <f>VLOOKUP(E1677,DSSpieler!A:B,2,FALSE)</f>
        <v>pannza1899</v>
      </c>
    </row>
    <row r="1678" spans="1:10" x14ac:dyDescent="0.25">
      <c r="A1678">
        <v>1891</v>
      </c>
      <c r="B1678" t="s">
        <v>810</v>
      </c>
      <c r="C1678">
        <v>520</v>
      </c>
      <c r="D1678">
        <v>514</v>
      </c>
      <c r="E1678">
        <v>1576276172</v>
      </c>
      <c r="F1678">
        <v>4872</v>
      </c>
      <c r="G1678">
        <v>0</v>
      </c>
      <c r="H1678" t="s">
        <v>6605</v>
      </c>
      <c r="I1678">
        <v>1891</v>
      </c>
      <c r="J1678" t="str">
        <f>VLOOKUP(E1678,DSSpieler!A:B,2,FALSE)</f>
        <v>ShenL0ng</v>
      </c>
    </row>
    <row r="1679" spans="1:10" x14ac:dyDescent="0.25">
      <c r="A1679">
        <v>1892</v>
      </c>
      <c r="B1679" t="s">
        <v>31267</v>
      </c>
      <c r="C1679">
        <v>519</v>
      </c>
      <c r="D1679">
        <v>515</v>
      </c>
      <c r="E1679">
        <v>9374247</v>
      </c>
      <c r="F1679">
        <v>5417</v>
      </c>
      <c r="G1679">
        <v>0</v>
      </c>
      <c r="H1679" t="s">
        <v>6606</v>
      </c>
      <c r="I1679">
        <v>1892</v>
      </c>
      <c r="J1679" t="str">
        <f>VLOOKUP(E1679,DSSpieler!A:B,2,FALSE)</f>
        <v>tik99</v>
      </c>
    </row>
    <row r="1680" spans="1:10" x14ac:dyDescent="0.25">
      <c r="A1680">
        <v>1893</v>
      </c>
      <c r="B1680" t="s">
        <v>31268</v>
      </c>
      <c r="C1680">
        <v>515</v>
      </c>
      <c r="D1680">
        <v>499</v>
      </c>
      <c r="E1680">
        <v>959593</v>
      </c>
      <c r="F1680">
        <v>4640</v>
      </c>
      <c r="G1680">
        <v>0</v>
      </c>
      <c r="H1680" t="s">
        <v>6607</v>
      </c>
      <c r="I1680">
        <v>1893</v>
      </c>
      <c r="J1680" t="str">
        <f>VLOOKUP(E1680,DSSpieler!A:B,2,FALSE)</f>
        <v>P.und B.</v>
      </c>
    </row>
    <row r="1681" spans="1:10" x14ac:dyDescent="0.25">
      <c r="A1681">
        <v>1894</v>
      </c>
      <c r="B1681" t="s">
        <v>531</v>
      </c>
      <c r="C1681">
        <v>495</v>
      </c>
      <c r="D1681">
        <v>522</v>
      </c>
      <c r="E1681">
        <v>0</v>
      </c>
      <c r="F1681">
        <v>461</v>
      </c>
      <c r="G1681">
        <v>0</v>
      </c>
      <c r="H1681" t="s">
        <v>6608</v>
      </c>
      <c r="I1681">
        <v>1894</v>
      </c>
      <c r="J1681" t="e">
        <f>VLOOKUP(E1681,DSSpieler!A:B,2,FALSE)</f>
        <v>#N/A</v>
      </c>
    </row>
    <row r="1682" spans="1:10" x14ac:dyDescent="0.25">
      <c r="A1682">
        <v>1895</v>
      </c>
      <c r="B1682" t="s">
        <v>31269</v>
      </c>
      <c r="C1682">
        <v>517</v>
      </c>
      <c r="D1682">
        <v>493</v>
      </c>
      <c r="E1682">
        <v>2709160</v>
      </c>
      <c r="F1682">
        <v>4524</v>
      </c>
      <c r="G1682">
        <v>0</v>
      </c>
      <c r="H1682" t="s">
        <v>6609</v>
      </c>
      <c r="I1682">
        <v>1895</v>
      </c>
      <c r="J1682" t="str">
        <f>VLOOKUP(E1682,DSSpieler!A:B,2,FALSE)</f>
        <v>karl der klein</v>
      </c>
    </row>
    <row r="1683" spans="1:10" x14ac:dyDescent="0.25">
      <c r="A1683">
        <v>1896</v>
      </c>
      <c r="B1683" t="s">
        <v>31270</v>
      </c>
      <c r="C1683">
        <v>506</v>
      </c>
      <c r="D1683">
        <v>492</v>
      </c>
      <c r="E1683">
        <v>9102689</v>
      </c>
      <c r="F1683">
        <v>3256</v>
      </c>
      <c r="G1683">
        <v>0</v>
      </c>
      <c r="H1683" t="s">
        <v>6610</v>
      </c>
      <c r="I1683">
        <v>1896</v>
      </c>
      <c r="J1683" t="str">
        <f>VLOOKUP(E1683,DSSpieler!A:B,2,FALSE)</f>
        <v>Vanessa2704</v>
      </c>
    </row>
    <row r="1684" spans="1:10" x14ac:dyDescent="0.25">
      <c r="A1684">
        <v>1897</v>
      </c>
      <c r="B1684" t="s">
        <v>858</v>
      </c>
      <c r="C1684">
        <v>505</v>
      </c>
      <c r="D1684">
        <v>495</v>
      </c>
      <c r="E1684">
        <v>1577196897</v>
      </c>
      <c r="F1684">
        <v>2526</v>
      </c>
      <c r="G1684">
        <v>0</v>
      </c>
      <c r="H1684" t="s">
        <v>6611</v>
      </c>
      <c r="I1684">
        <v>1897</v>
      </c>
      <c r="J1684" t="str">
        <f>VLOOKUP(E1684,DSSpieler!A:B,2,FALSE)</f>
        <v>SturmHans</v>
      </c>
    </row>
    <row r="1685" spans="1:10" x14ac:dyDescent="0.25">
      <c r="A1685">
        <v>1898</v>
      </c>
      <c r="B1685" t="s">
        <v>31271</v>
      </c>
      <c r="C1685">
        <v>512</v>
      </c>
      <c r="D1685">
        <v>497</v>
      </c>
      <c r="E1685">
        <v>1577091833</v>
      </c>
      <c r="F1685">
        <v>5949</v>
      </c>
      <c r="G1685">
        <v>0</v>
      </c>
      <c r="H1685" t="s">
        <v>6612</v>
      </c>
      <c r="I1685">
        <v>1898</v>
      </c>
      <c r="J1685" t="str">
        <f>VLOOKUP(E1685,DSSpieler!A:B,2,FALSE)</f>
        <v>derRalle</v>
      </c>
    </row>
    <row r="1686" spans="1:10" x14ac:dyDescent="0.25">
      <c r="A1686">
        <v>1899</v>
      </c>
      <c r="B1686" t="s">
        <v>31272</v>
      </c>
      <c r="C1686">
        <v>510</v>
      </c>
      <c r="D1686">
        <v>490</v>
      </c>
      <c r="E1686">
        <v>555829</v>
      </c>
      <c r="F1686">
        <v>3471</v>
      </c>
      <c r="G1686">
        <v>0</v>
      </c>
      <c r="H1686" t="s">
        <v>6613</v>
      </c>
      <c r="I1686">
        <v>1899</v>
      </c>
      <c r="J1686" t="str">
        <f>VLOOKUP(E1686,DSSpieler!A:B,2,FALSE)</f>
        <v>Ironhorse</v>
      </c>
    </row>
    <row r="1687" spans="1:10" x14ac:dyDescent="0.25">
      <c r="A1687">
        <v>1900</v>
      </c>
      <c r="B1687" t="s">
        <v>31082</v>
      </c>
      <c r="C1687">
        <v>506</v>
      </c>
      <c r="D1687">
        <v>489</v>
      </c>
      <c r="E1687">
        <v>9505197</v>
      </c>
      <c r="F1687">
        <v>5055</v>
      </c>
      <c r="G1687">
        <v>0</v>
      </c>
      <c r="H1687" t="s">
        <v>6614</v>
      </c>
      <c r="I1687">
        <v>1900</v>
      </c>
      <c r="J1687" t="str">
        <f>VLOOKUP(E1687,DSSpieler!A:B,2,FALSE)</f>
        <v>Acroon</v>
      </c>
    </row>
    <row r="1688" spans="1:10" x14ac:dyDescent="0.25">
      <c r="A1688">
        <v>1901</v>
      </c>
      <c r="B1688" t="s">
        <v>31273</v>
      </c>
      <c r="C1688">
        <v>505</v>
      </c>
      <c r="D1688">
        <v>489</v>
      </c>
      <c r="E1688">
        <v>9619276</v>
      </c>
      <c r="F1688">
        <v>3446</v>
      </c>
      <c r="G1688">
        <v>0</v>
      </c>
      <c r="H1688" t="s">
        <v>6615</v>
      </c>
      <c r="I1688">
        <v>1901</v>
      </c>
      <c r="J1688" t="str">
        <f>VLOOKUP(E1688,DSSpieler!A:B,2,FALSE)</f>
        <v>Madame Kiekeberg</v>
      </c>
    </row>
    <row r="1689" spans="1:10" x14ac:dyDescent="0.25">
      <c r="A1689">
        <v>1902</v>
      </c>
      <c r="B1689" t="s">
        <v>31274</v>
      </c>
      <c r="C1689">
        <v>524</v>
      </c>
      <c r="D1689">
        <v>487</v>
      </c>
      <c r="E1689">
        <v>9588811</v>
      </c>
      <c r="F1689">
        <v>5628</v>
      </c>
      <c r="G1689">
        <v>0</v>
      </c>
      <c r="H1689" t="s">
        <v>6616</v>
      </c>
      <c r="I1689">
        <v>1902</v>
      </c>
      <c r="J1689" t="str">
        <f>VLOOKUP(E1689,DSSpieler!A:B,2,FALSE)</f>
        <v>Prinz Benji</v>
      </c>
    </row>
    <row r="1690" spans="1:10" x14ac:dyDescent="0.25">
      <c r="A1690">
        <v>1903</v>
      </c>
      <c r="B1690" t="s">
        <v>859</v>
      </c>
      <c r="C1690">
        <v>513</v>
      </c>
      <c r="D1690">
        <v>487</v>
      </c>
      <c r="E1690">
        <v>1576172159</v>
      </c>
      <c r="F1690">
        <v>6508</v>
      </c>
      <c r="G1690">
        <v>0</v>
      </c>
      <c r="H1690" t="s">
        <v>6617</v>
      </c>
      <c r="I1690">
        <v>1903</v>
      </c>
      <c r="J1690" t="str">
        <f>VLOOKUP(E1690,DSSpieler!A:B,2,FALSE)</f>
        <v>l ber</v>
      </c>
    </row>
    <row r="1691" spans="1:10" x14ac:dyDescent="0.25">
      <c r="A1691">
        <v>1904</v>
      </c>
      <c r="B1691" t="s">
        <v>31275</v>
      </c>
      <c r="C1691">
        <v>520</v>
      </c>
      <c r="D1691">
        <v>486</v>
      </c>
      <c r="E1691">
        <v>1576603742</v>
      </c>
      <c r="F1691">
        <v>3684</v>
      </c>
      <c r="G1691">
        <v>0</v>
      </c>
      <c r="H1691" t="s">
        <v>6618</v>
      </c>
      <c r="I1691">
        <v>1904</v>
      </c>
      <c r="J1691" t="str">
        <f>VLOOKUP(E1691,DSSpieler!A:B,2,FALSE)</f>
        <v>alter-mann</v>
      </c>
    </row>
    <row r="1692" spans="1:10" x14ac:dyDescent="0.25">
      <c r="A1692">
        <v>1905</v>
      </c>
      <c r="B1692" t="s">
        <v>31276</v>
      </c>
      <c r="C1692">
        <v>523</v>
      </c>
      <c r="D1692">
        <v>485</v>
      </c>
      <c r="E1692">
        <v>1577113865</v>
      </c>
      <c r="F1692">
        <v>4967</v>
      </c>
      <c r="G1692">
        <v>0</v>
      </c>
      <c r="H1692" t="s">
        <v>6619</v>
      </c>
      <c r="I1692">
        <v>1905</v>
      </c>
      <c r="J1692" t="str">
        <f>VLOOKUP(E1692,DSSpieler!A:B,2,FALSE)</f>
        <v>GammelFaul</v>
      </c>
    </row>
    <row r="1693" spans="1:10" x14ac:dyDescent="0.25">
      <c r="A1693">
        <v>1906</v>
      </c>
      <c r="B1693" t="s">
        <v>860</v>
      </c>
      <c r="C1693">
        <v>545</v>
      </c>
      <c r="D1693">
        <v>527</v>
      </c>
      <c r="E1693">
        <v>205615</v>
      </c>
      <c r="F1693">
        <v>6045</v>
      </c>
      <c r="G1693">
        <v>0</v>
      </c>
      <c r="H1693" t="s">
        <v>6620</v>
      </c>
      <c r="I1693">
        <v>1906</v>
      </c>
      <c r="J1693" t="str">
        <f>VLOOKUP(E1693,DSSpieler!A:B,2,FALSE)</f>
        <v>hubeno</v>
      </c>
    </row>
    <row r="1694" spans="1:10" x14ac:dyDescent="0.25">
      <c r="A1694">
        <v>1907</v>
      </c>
      <c r="B1694" t="s">
        <v>531</v>
      </c>
      <c r="C1694">
        <v>475</v>
      </c>
      <c r="D1694">
        <v>492</v>
      </c>
      <c r="E1694">
        <v>0</v>
      </c>
      <c r="F1694">
        <v>329</v>
      </c>
      <c r="G1694">
        <v>0</v>
      </c>
      <c r="H1694" t="s">
        <v>6621</v>
      </c>
      <c r="I1694">
        <v>1907</v>
      </c>
      <c r="J1694" t="e">
        <f>VLOOKUP(E1694,DSSpieler!A:B,2,FALSE)</f>
        <v>#N/A</v>
      </c>
    </row>
    <row r="1695" spans="1:10" x14ac:dyDescent="0.25">
      <c r="A1695">
        <v>1908</v>
      </c>
      <c r="B1695" t="s">
        <v>31277</v>
      </c>
      <c r="C1695">
        <v>541</v>
      </c>
      <c r="D1695">
        <v>536</v>
      </c>
      <c r="E1695">
        <v>1577086173</v>
      </c>
      <c r="F1695">
        <v>4410</v>
      </c>
      <c r="G1695">
        <v>0</v>
      </c>
      <c r="H1695" t="s">
        <v>6622</v>
      </c>
      <c r="I1695">
        <v>1908</v>
      </c>
      <c r="J1695" t="str">
        <f>VLOOKUP(E1695,DSSpieler!A:B,2,FALSE)</f>
        <v>Svobby</v>
      </c>
    </row>
    <row r="1696" spans="1:10" x14ac:dyDescent="0.25">
      <c r="A1696">
        <v>1909</v>
      </c>
      <c r="B1696" t="s">
        <v>861</v>
      </c>
      <c r="C1696">
        <v>542</v>
      </c>
      <c r="D1696">
        <v>527</v>
      </c>
      <c r="E1696">
        <v>205615</v>
      </c>
      <c r="F1696">
        <v>4847</v>
      </c>
      <c r="G1696">
        <v>0</v>
      </c>
      <c r="H1696" t="s">
        <v>6623</v>
      </c>
      <c r="I1696">
        <v>1909</v>
      </c>
      <c r="J1696" t="str">
        <f>VLOOKUP(E1696,DSSpieler!A:B,2,FALSE)</f>
        <v>hubeno</v>
      </c>
    </row>
    <row r="1697" spans="1:10" x14ac:dyDescent="0.25">
      <c r="A1697">
        <v>1911</v>
      </c>
      <c r="B1697" t="s">
        <v>546</v>
      </c>
      <c r="C1697">
        <v>510</v>
      </c>
      <c r="D1697">
        <v>451</v>
      </c>
      <c r="E1697">
        <v>1577117841</v>
      </c>
      <c r="F1697">
        <v>1123</v>
      </c>
      <c r="G1697">
        <v>0</v>
      </c>
      <c r="H1697" t="s">
        <v>6624</v>
      </c>
      <c r="I1697">
        <v>1911</v>
      </c>
      <c r="J1697" t="str">
        <f>VLOOKUP(E1697,DSSpieler!A:B,2,FALSE)</f>
        <v>pati89</v>
      </c>
    </row>
    <row r="1698" spans="1:10" x14ac:dyDescent="0.25">
      <c r="A1698">
        <v>1914</v>
      </c>
      <c r="B1698" t="s">
        <v>31278</v>
      </c>
      <c r="C1698">
        <v>531</v>
      </c>
      <c r="D1698">
        <v>466</v>
      </c>
      <c r="E1698">
        <v>1577197813</v>
      </c>
      <c r="F1698">
        <v>2732</v>
      </c>
      <c r="G1698">
        <v>0</v>
      </c>
      <c r="H1698" t="s">
        <v>6625</v>
      </c>
      <c r="I1698">
        <v>1914</v>
      </c>
      <c r="J1698" t="str">
        <f>VLOOKUP(E1698,DSSpieler!A:B,2,FALSE)</f>
        <v>Taaaimz</v>
      </c>
    </row>
    <row r="1699" spans="1:10" x14ac:dyDescent="0.25">
      <c r="A1699">
        <v>1915</v>
      </c>
      <c r="B1699" t="s">
        <v>862</v>
      </c>
      <c r="C1699">
        <v>534</v>
      </c>
      <c r="D1699">
        <v>458</v>
      </c>
      <c r="E1699">
        <v>1192855</v>
      </c>
      <c r="F1699">
        <v>7181</v>
      </c>
      <c r="G1699">
        <v>0</v>
      </c>
      <c r="H1699" t="s">
        <v>6626</v>
      </c>
      <c r="I1699">
        <v>1915</v>
      </c>
      <c r="J1699" t="str">
        <f>VLOOKUP(E1699,DSSpieler!A:B,2,FALSE)</f>
        <v>Randy Orton32</v>
      </c>
    </row>
    <row r="1700" spans="1:10" x14ac:dyDescent="0.25">
      <c r="A1700">
        <v>1916</v>
      </c>
      <c r="B1700" t="s">
        <v>31279</v>
      </c>
      <c r="C1700">
        <v>535</v>
      </c>
      <c r="D1700">
        <v>469</v>
      </c>
      <c r="E1700">
        <v>1577197813</v>
      </c>
      <c r="F1700">
        <v>661</v>
      </c>
      <c r="G1700">
        <v>0</v>
      </c>
      <c r="H1700" t="s">
        <v>6627</v>
      </c>
      <c r="I1700">
        <v>1916</v>
      </c>
      <c r="J1700" t="str">
        <f>VLOOKUP(E1700,DSSpieler!A:B,2,FALSE)</f>
        <v>Taaaimz</v>
      </c>
    </row>
    <row r="1701" spans="1:10" x14ac:dyDescent="0.25">
      <c r="A1701">
        <v>1917</v>
      </c>
      <c r="B1701" t="s">
        <v>531</v>
      </c>
      <c r="C1701">
        <v>460</v>
      </c>
      <c r="D1701">
        <v>542</v>
      </c>
      <c r="E1701">
        <v>0</v>
      </c>
      <c r="F1701">
        <v>358</v>
      </c>
      <c r="G1701">
        <v>0</v>
      </c>
      <c r="H1701" t="s">
        <v>6628</v>
      </c>
      <c r="I1701">
        <v>1917</v>
      </c>
      <c r="J1701" t="e">
        <f>VLOOKUP(E1701,DSSpieler!A:B,2,FALSE)</f>
        <v>#N/A</v>
      </c>
    </row>
    <row r="1702" spans="1:10" x14ac:dyDescent="0.25">
      <c r="A1702">
        <v>1918</v>
      </c>
      <c r="B1702" t="s">
        <v>531</v>
      </c>
      <c r="C1702">
        <v>537</v>
      </c>
      <c r="D1702">
        <v>464</v>
      </c>
      <c r="E1702">
        <v>0</v>
      </c>
      <c r="F1702">
        <v>172</v>
      </c>
      <c r="G1702">
        <v>0</v>
      </c>
      <c r="H1702" t="s">
        <v>6629</v>
      </c>
      <c r="I1702">
        <v>1918</v>
      </c>
      <c r="J1702" t="e">
        <f>VLOOKUP(E1702,DSSpieler!A:B,2,FALSE)</f>
        <v>#N/A</v>
      </c>
    </row>
    <row r="1703" spans="1:10" x14ac:dyDescent="0.25">
      <c r="A1703">
        <v>1919</v>
      </c>
      <c r="B1703" t="s">
        <v>31280</v>
      </c>
      <c r="C1703">
        <v>545</v>
      </c>
      <c r="D1703">
        <v>469</v>
      </c>
      <c r="E1703">
        <v>8996017</v>
      </c>
      <c r="F1703">
        <v>1902</v>
      </c>
      <c r="G1703">
        <v>0</v>
      </c>
      <c r="H1703" t="s">
        <v>6630</v>
      </c>
      <c r="I1703">
        <v>1919</v>
      </c>
      <c r="J1703" t="str">
        <f>VLOOKUP(E1703,DSSpieler!A:B,2,FALSE)</f>
        <v>rittervomseckenpferd</v>
      </c>
    </row>
    <row r="1704" spans="1:10" x14ac:dyDescent="0.25">
      <c r="A1704">
        <v>1920</v>
      </c>
      <c r="B1704" t="s">
        <v>561</v>
      </c>
      <c r="C1704">
        <v>530</v>
      </c>
      <c r="D1704">
        <v>460</v>
      </c>
      <c r="E1704">
        <v>10125255</v>
      </c>
      <c r="F1704">
        <v>4139</v>
      </c>
      <c r="G1704">
        <v>0</v>
      </c>
      <c r="H1704" t="s">
        <v>6631</v>
      </c>
      <c r="I1704">
        <v>1920</v>
      </c>
      <c r="J1704" t="e">
        <f>VLOOKUP(E1704,DSSpieler!A:B,2,FALSE)</f>
        <v>#NAME?</v>
      </c>
    </row>
    <row r="1705" spans="1:10" x14ac:dyDescent="0.25">
      <c r="A1705">
        <v>1921</v>
      </c>
      <c r="B1705" t="s">
        <v>531</v>
      </c>
      <c r="C1705">
        <v>436</v>
      </c>
      <c r="D1705">
        <v>533</v>
      </c>
      <c r="E1705">
        <v>0</v>
      </c>
      <c r="F1705">
        <v>274</v>
      </c>
      <c r="G1705">
        <v>0</v>
      </c>
      <c r="H1705" t="s">
        <v>6632</v>
      </c>
      <c r="I1705">
        <v>1921</v>
      </c>
      <c r="J1705" t="e">
        <f>VLOOKUP(E1705,DSSpieler!A:B,2,FALSE)</f>
        <v>#N/A</v>
      </c>
    </row>
    <row r="1706" spans="1:10" x14ac:dyDescent="0.25">
      <c r="A1706">
        <v>1922</v>
      </c>
      <c r="B1706" t="s">
        <v>31281</v>
      </c>
      <c r="C1706">
        <v>527</v>
      </c>
      <c r="D1706">
        <v>465</v>
      </c>
      <c r="E1706">
        <v>1974764</v>
      </c>
      <c r="F1706">
        <v>4562</v>
      </c>
      <c r="G1706">
        <v>0</v>
      </c>
      <c r="H1706" t="s">
        <v>6633</v>
      </c>
      <c r="I1706">
        <v>1922</v>
      </c>
      <c r="J1706" t="str">
        <f>VLOOKUP(E1706,DSSpieler!A:B,2,FALSE)</f>
        <v>ajax der III</v>
      </c>
    </row>
    <row r="1707" spans="1:10" x14ac:dyDescent="0.25">
      <c r="A1707">
        <v>1923</v>
      </c>
      <c r="B1707" t="s">
        <v>863</v>
      </c>
      <c r="C1707">
        <v>533</v>
      </c>
      <c r="D1707">
        <v>463</v>
      </c>
      <c r="E1707">
        <v>2173445</v>
      </c>
      <c r="F1707">
        <v>4777</v>
      </c>
      <c r="G1707">
        <v>0</v>
      </c>
      <c r="H1707" t="s">
        <v>6634</v>
      </c>
      <c r="I1707">
        <v>1923</v>
      </c>
      <c r="J1707" t="str">
        <f>VLOOKUP(E1707,DSSpieler!A:B,2,FALSE)</f>
        <v>Nefprak</v>
      </c>
    </row>
    <row r="1708" spans="1:10" x14ac:dyDescent="0.25">
      <c r="A1708">
        <v>1924</v>
      </c>
      <c r="B1708" t="s">
        <v>31282</v>
      </c>
      <c r="C1708">
        <v>465</v>
      </c>
      <c r="D1708">
        <v>405</v>
      </c>
      <c r="E1708">
        <v>7714338</v>
      </c>
      <c r="F1708">
        <v>5321</v>
      </c>
      <c r="G1708">
        <v>0</v>
      </c>
      <c r="H1708" t="s">
        <v>6635</v>
      </c>
      <c r="I1708">
        <v>1924</v>
      </c>
      <c r="J1708" t="str">
        <f>VLOOKUP(E1708,DSSpieler!A:B,2,FALSE)</f>
        <v>Dr.Klapperstorch</v>
      </c>
    </row>
    <row r="1709" spans="1:10" x14ac:dyDescent="0.25">
      <c r="A1709">
        <v>1925</v>
      </c>
      <c r="B1709" t="s">
        <v>531</v>
      </c>
      <c r="C1709">
        <v>553</v>
      </c>
      <c r="D1709">
        <v>445</v>
      </c>
      <c r="E1709">
        <v>0</v>
      </c>
      <c r="F1709">
        <v>420</v>
      </c>
      <c r="G1709">
        <v>0</v>
      </c>
      <c r="H1709" t="s">
        <v>6636</v>
      </c>
      <c r="I1709">
        <v>1925</v>
      </c>
      <c r="J1709" t="e">
        <f>VLOOKUP(E1709,DSSpieler!A:B,2,FALSE)</f>
        <v>#N/A</v>
      </c>
    </row>
    <row r="1710" spans="1:10" x14ac:dyDescent="0.25">
      <c r="A1710">
        <v>1926</v>
      </c>
      <c r="B1710">
        <v>2</v>
      </c>
      <c r="C1710">
        <v>551</v>
      </c>
      <c r="D1710">
        <v>459</v>
      </c>
      <c r="E1710">
        <v>1576083245</v>
      </c>
      <c r="F1710">
        <v>5408</v>
      </c>
      <c r="G1710">
        <v>0</v>
      </c>
      <c r="H1710" t="s">
        <v>6637</v>
      </c>
      <c r="I1710">
        <v>1926</v>
      </c>
      <c r="J1710" t="str">
        <f>VLOOKUP(E1710,DSSpieler!A:B,2,FALSE)</f>
        <v>Dny1893</v>
      </c>
    </row>
    <row r="1711" spans="1:10" x14ac:dyDescent="0.25">
      <c r="A1711">
        <v>1927</v>
      </c>
      <c r="B1711">
        <v>1</v>
      </c>
      <c r="C1711">
        <v>558</v>
      </c>
      <c r="D1711">
        <v>455</v>
      </c>
      <c r="E1711">
        <v>7591160</v>
      </c>
      <c r="F1711">
        <v>5648</v>
      </c>
      <c r="G1711">
        <v>0</v>
      </c>
      <c r="H1711" t="s">
        <v>6638</v>
      </c>
      <c r="I1711">
        <v>1927</v>
      </c>
      <c r="J1711" t="str">
        <f>VLOOKUP(E1711,DSSpieler!A:B,2,FALSE)</f>
        <v>Schmunzelmonster</v>
      </c>
    </row>
    <row r="1712" spans="1:10" x14ac:dyDescent="0.25">
      <c r="A1712">
        <v>1928</v>
      </c>
      <c r="B1712" t="s">
        <v>864</v>
      </c>
      <c r="C1712">
        <v>540</v>
      </c>
      <c r="D1712">
        <v>469</v>
      </c>
      <c r="E1712">
        <v>8295473</v>
      </c>
      <c r="F1712">
        <v>1993</v>
      </c>
      <c r="G1712">
        <v>0</v>
      </c>
      <c r="H1712" t="s">
        <v>6639</v>
      </c>
      <c r="I1712">
        <v>1928</v>
      </c>
      <c r="J1712" t="str">
        <f>VLOOKUP(E1712,DSSpieler!A:B,2,FALSE)</f>
        <v>huberni</v>
      </c>
    </row>
    <row r="1713" spans="1:10" x14ac:dyDescent="0.25">
      <c r="A1713">
        <v>1929</v>
      </c>
      <c r="B1713" t="s">
        <v>31283</v>
      </c>
      <c r="C1713">
        <v>541</v>
      </c>
      <c r="D1713">
        <v>467</v>
      </c>
      <c r="E1713">
        <v>10277944</v>
      </c>
      <c r="F1713">
        <v>882</v>
      </c>
      <c r="G1713">
        <v>0</v>
      </c>
      <c r="H1713" t="s">
        <v>6640</v>
      </c>
      <c r="I1713">
        <v>1929</v>
      </c>
      <c r="J1713" t="str">
        <f>VLOOKUP(E1713,DSSpieler!A:B,2,FALSE)</f>
        <v>klimaraum</v>
      </c>
    </row>
    <row r="1714" spans="1:10" x14ac:dyDescent="0.25">
      <c r="A1714">
        <v>1930</v>
      </c>
      <c r="B1714" t="s">
        <v>865</v>
      </c>
      <c r="C1714">
        <v>582</v>
      </c>
      <c r="D1714">
        <v>429</v>
      </c>
      <c r="E1714">
        <v>1576888493</v>
      </c>
      <c r="F1714">
        <v>5017</v>
      </c>
      <c r="G1714">
        <v>0</v>
      </c>
      <c r="H1714" t="s">
        <v>6641</v>
      </c>
      <c r="I1714">
        <v>1930</v>
      </c>
      <c r="J1714" t="str">
        <f>VLOOKUP(E1714,DSSpieler!A:B,2,FALSE)</f>
        <v>Tunichgut</v>
      </c>
    </row>
    <row r="1715" spans="1:10" x14ac:dyDescent="0.25">
      <c r="A1715">
        <v>1931</v>
      </c>
      <c r="B1715" t="s">
        <v>531</v>
      </c>
      <c r="C1715">
        <v>530</v>
      </c>
      <c r="D1715">
        <v>499</v>
      </c>
      <c r="E1715">
        <v>0</v>
      </c>
      <c r="F1715">
        <v>396</v>
      </c>
      <c r="G1715">
        <v>0</v>
      </c>
      <c r="H1715" t="s">
        <v>6642</v>
      </c>
      <c r="I1715">
        <v>1931</v>
      </c>
      <c r="J1715" t="e">
        <f>VLOOKUP(E1715,DSSpieler!A:B,2,FALSE)</f>
        <v>#N/A</v>
      </c>
    </row>
    <row r="1716" spans="1:10" x14ac:dyDescent="0.25">
      <c r="A1716">
        <v>1932</v>
      </c>
      <c r="B1716" t="s">
        <v>31284</v>
      </c>
      <c r="C1716">
        <v>541</v>
      </c>
      <c r="D1716">
        <v>454</v>
      </c>
      <c r="E1716">
        <v>7880167</v>
      </c>
      <c r="F1716">
        <v>4684</v>
      </c>
      <c r="G1716">
        <v>0</v>
      </c>
      <c r="H1716" t="s">
        <v>6643</v>
      </c>
      <c r="I1716">
        <v>1932</v>
      </c>
      <c r="J1716" t="str">
        <f>VLOOKUP(E1716,DSSpieler!A:B,2,FALSE)</f>
        <v>the brave little helper</v>
      </c>
    </row>
    <row r="1717" spans="1:10" x14ac:dyDescent="0.25">
      <c r="A1717">
        <v>1933</v>
      </c>
      <c r="B1717" t="s">
        <v>531</v>
      </c>
      <c r="C1717">
        <v>524</v>
      </c>
      <c r="D1717">
        <v>453</v>
      </c>
      <c r="E1717">
        <v>0</v>
      </c>
      <c r="F1717">
        <v>2011</v>
      </c>
      <c r="G1717">
        <v>0</v>
      </c>
      <c r="H1717" t="s">
        <v>6644</v>
      </c>
      <c r="I1717">
        <v>1933</v>
      </c>
      <c r="J1717" t="e">
        <f>VLOOKUP(E1717,DSSpieler!A:B,2,FALSE)</f>
        <v>#N/A</v>
      </c>
    </row>
    <row r="1718" spans="1:10" x14ac:dyDescent="0.25">
      <c r="A1718">
        <v>1934</v>
      </c>
      <c r="B1718" t="s">
        <v>31285</v>
      </c>
      <c r="C1718">
        <v>550</v>
      </c>
      <c r="D1718">
        <v>463</v>
      </c>
      <c r="E1718">
        <v>1577195492</v>
      </c>
      <c r="F1718">
        <v>5731</v>
      </c>
      <c r="G1718">
        <v>0</v>
      </c>
      <c r="H1718" t="s">
        <v>6645</v>
      </c>
      <c r="I1718">
        <v>1934</v>
      </c>
      <c r="J1718" t="str">
        <f>VLOOKUP(E1718,DSSpieler!A:B,2,FALSE)</f>
        <v>Meikaay</v>
      </c>
    </row>
    <row r="1719" spans="1:10" x14ac:dyDescent="0.25">
      <c r="A1719">
        <v>1935</v>
      </c>
      <c r="B1719" t="s">
        <v>31286</v>
      </c>
      <c r="C1719">
        <v>529</v>
      </c>
      <c r="D1719">
        <v>475</v>
      </c>
      <c r="E1719">
        <v>9202328</v>
      </c>
      <c r="F1719">
        <v>4145</v>
      </c>
      <c r="G1719">
        <v>0</v>
      </c>
      <c r="H1719" t="s">
        <v>6646</v>
      </c>
      <c r="I1719">
        <v>1935</v>
      </c>
      <c r="J1719" t="str">
        <f>VLOOKUP(E1719,DSSpieler!A:B,2,FALSE)</f>
        <v>tscheki11</v>
      </c>
    </row>
    <row r="1720" spans="1:10" x14ac:dyDescent="0.25">
      <c r="A1720">
        <v>1936</v>
      </c>
      <c r="B1720" t="s">
        <v>31287</v>
      </c>
      <c r="C1720">
        <v>524</v>
      </c>
      <c r="D1720">
        <v>462</v>
      </c>
      <c r="E1720">
        <v>9599376</v>
      </c>
      <c r="F1720">
        <v>6840</v>
      </c>
      <c r="G1720">
        <v>0</v>
      </c>
      <c r="H1720" t="s">
        <v>6647</v>
      </c>
      <c r="I1720">
        <v>1936</v>
      </c>
      <c r="J1720" t="str">
        <f>VLOOKUP(E1720,DSSpieler!A:B,2,FALSE)</f>
        <v>tiktakto70</v>
      </c>
    </row>
    <row r="1721" spans="1:10" x14ac:dyDescent="0.25">
      <c r="A1721">
        <v>1937</v>
      </c>
      <c r="B1721" t="s">
        <v>531</v>
      </c>
      <c r="C1721">
        <v>536</v>
      </c>
      <c r="D1721">
        <v>462</v>
      </c>
      <c r="E1721">
        <v>0</v>
      </c>
      <c r="F1721">
        <v>1594</v>
      </c>
      <c r="G1721">
        <v>0</v>
      </c>
      <c r="H1721" t="s">
        <v>6648</v>
      </c>
      <c r="I1721">
        <v>1937</v>
      </c>
      <c r="J1721" t="e">
        <f>VLOOKUP(E1721,DSSpieler!A:B,2,FALSE)</f>
        <v>#N/A</v>
      </c>
    </row>
    <row r="1722" spans="1:10" x14ac:dyDescent="0.25">
      <c r="A1722">
        <v>1938</v>
      </c>
      <c r="B1722" t="s">
        <v>31288</v>
      </c>
      <c r="C1722">
        <v>536</v>
      </c>
      <c r="D1722">
        <v>482</v>
      </c>
      <c r="E1722">
        <v>7684309</v>
      </c>
      <c r="F1722">
        <v>4869</v>
      </c>
      <c r="G1722">
        <v>0</v>
      </c>
      <c r="H1722" t="s">
        <v>6649</v>
      </c>
      <c r="I1722">
        <v>1938</v>
      </c>
      <c r="J1722" t="str">
        <f>VLOOKUP(E1722,DSSpieler!A:B,2,FALSE)</f>
        <v>Discraider</v>
      </c>
    </row>
    <row r="1723" spans="1:10" x14ac:dyDescent="0.25">
      <c r="A1723">
        <v>1939</v>
      </c>
      <c r="B1723" t="s">
        <v>31289</v>
      </c>
      <c r="C1723">
        <v>552</v>
      </c>
      <c r="D1723">
        <v>467</v>
      </c>
      <c r="E1723">
        <v>1577195492</v>
      </c>
      <c r="F1723">
        <v>4543</v>
      </c>
      <c r="G1723">
        <v>0</v>
      </c>
      <c r="H1723" t="s">
        <v>6650</v>
      </c>
      <c r="I1723">
        <v>1939</v>
      </c>
      <c r="J1723" t="str">
        <f>VLOOKUP(E1723,DSSpieler!A:B,2,FALSE)</f>
        <v>Meikaay</v>
      </c>
    </row>
    <row r="1724" spans="1:10" x14ac:dyDescent="0.25">
      <c r="A1724">
        <v>1940</v>
      </c>
      <c r="B1724" t="s">
        <v>531</v>
      </c>
      <c r="C1724">
        <v>524</v>
      </c>
      <c r="D1724">
        <v>484</v>
      </c>
      <c r="E1724">
        <v>0</v>
      </c>
      <c r="F1724">
        <v>276</v>
      </c>
      <c r="G1724">
        <v>0</v>
      </c>
      <c r="H1724" t="s">
        <v>6651</v>
      </c>
      <c r="I1724">
        <v>1940</v>
      </c>
      <c r="J1724" t="e">
        <f>VLOOKUP(E1724,DSSpieler!A:B,2,FALSE)</f>
        <v>#N/A</v>
      </c>
    </row>
    <row r="1725" spans="1:10" x14ac:dyDescent="0.25">
      <c r="A1725">
        <v>1941</v>
      </c>
      <c r="B1725" t="s">
        <v>866</v>
      </c>
      <c r="C1725">
        <v>548</v>
      </c>
      <c r="D1725">
        <v>481</v>
      </c>
      <c r="E1725">
        <v>1577180324</v>
      </c>
      <c r="F1725">
        <v>4875</v>
      </c>
      <c r="G1725">
        <v>0</v>
      </c>
      <c r="H1725" t="s">
        <v>6652</v>
      </c>
      <c r="I1725">
        <v>1941</v>
      </c>
      <c r="J1725" t="str">
        <f>VLOOKUP(E1725,DSSpieler!A:B,2,FALSE)</f>
        <v>XTfg3ZAbO</v>
      </c>
    </row>
    <row r="1726" spans="1:10" x14ac:dyDescent="0.25">
      <c r="A1726">
        <v>1942</v>
      </c>
      <c r="B1726" t="s">
        <v>30649</v>
      </c>
      <c r="C1726">
        <v>557</v>
      </c>
      <c r="D1726">
        <v>468</v>
      </c>
      <c r="E1726">
        <v>1576013529</v>
      </c>
      <c r="F1726">
        <v>2918</v>
      </c>
      <c r="G1726">
        <v>0</v>
      </c>
      <c r="H1726" t="s">
        <v>6653</v>
      </c>
      <c r="I1726">
        <v>1942</v>
      </c>
      <c r="J1726" t="str">
        <f>VLOOKUP(E1726,DSSpieler!A:B,2,FALSE)</f>
        <v>Captn Kaliba</v>
      </c>
    </row>
    <row r="1727" spans="1:10" x14ac:dyDescent="0.25">
      <c r="A1727">
        <v>1943</v>
      </c>
      <c r="B1727" t="s">
        <v>31290</v>
      </c>
      <c r="C1727">
        <v>532</v>
      </c>
      <c r="D1727">
        <v>475</v>
      </c>
      <c r="E1727">
        <v>1576837300</v>
      </c>
      <c r="F1727">
        <v>5195</v>
      </c>
      <c r="G1727">
        <v>0</v>
      </c>
      <c r="H1727" t="s">
        <v>6654</v>
      </c>
      <c r="I1727">
        <v>1943</v>
      </c>
      <c r="J1727" t="str">
        <f>VLOOKUP(E1727,DSSpieler!A:B,2,FALSE)</f>
        <v>Traumschwiegersohn</v>
      </c>
    </row>
    <row r="1728" spans="1:10" x14ac:dyDescent="0.25">
      <c r="A1728">
        <v>1944</v>
      </c>
      <c r="B1728" t="s">
        <v>31291</v>
      </c>
      <c r="C1728">
        <v>569</v>
      </c>
      <c r="D1728">
        <v>472</v>
      </c>
      <c r="E1728">
        <v>1577075520</v>
      </c>
      <c r="F1728">
        <v>5176</v>
      </c>
      <c r="G1728">
        <v>0</v>
      </c>
      <c r="H1728" t="s">
        <v>6655</v>
      </c>
      <c r="I1728">
        <v>1944</v>
      </c>
      <c r="J1728" t="str">
        <f>VLOOKUP(E1728,DSSpieler!A:B,2,FALSE)</f>
        <v>SirBiedi</v>
      </c>
    </row>
    <row r="1729" spans="1:10" x14ac:dyDescent="0.25">
      <c r="A1729">
        <v>1945</v>
      </c>
      <c r="B1729" t="s">
        <v>31292</v>
      </c>
      <c r="C1729">
        <v>567</v>
      </c>
      <c r="D1729">
        <v>471</v>
      </c>
      <c r="E1729">
        <v>1123668</v>
      </c>
      <c r="F1729">
        <v>3789</v>
      </c>
      <c r="G1729">
        <v>0</v>
      </c>
      <c r="H1729" t="s">
        <v>6656</v>
      </c>
      <c r="I1729">
        <v>1945</v>
      </c>
      <c r="J1729" t="str">
        <f>VLOOKUP(E1729,DSSpieler!A:B,2,FALSE)</f>
        <v>0815kh</v>
      </c>
    </row>
    <row r="1730" spans="1:10" x14ac:dyDescent="0.25">
      <c r="A1730">
        <v>1946</v>
      </c>
      <c r="B1730" t="s">
        <v>531</v>
      </c>
      <c r="C1730">
        <v>543</v>
      </c>
      <c r="D1730">
        <v>483</v>
      </c>
      <c r="E1730">
        <v>0</v>
      </c>
      <c r="F1730">
        <v>493</v>
      </c>
      <c r="G1730">
        <v>0</v>
      </c>
      <c r="H1730" t="s">
        <v>6657</v>
      </c>
      <c r="I1730">
        <v>1946</v>
      </c>
      <c r="J1730" t="e">
        <f>VLOOKUP(E1730,DSSpieler!A:B,2,FALSE)</f>
        <v>#N/A</v>
      </c>
    </row>
    <row r="1731" spans="1:10" x14ac:dyDescent="0.25">
      <c r="A1731">
        <v>1947</v>
      </c>
      <c r="B1731" t="s">
        <v>867</v>
      </c>
      <c r="C1731">
        <v>543</v>
      </c>
      <c r="D1731">
        <v>481</v>
      </c>
      <c r="E1731">
        <v>1577181899</v>
      </c>
      <c r="F1731">
        <v>4211</v>
      </c>
      <c r="G1731">
        <v>0</v>
      </c>
      <c r="H1731" t="s">
        <v>6658</v>
      </c>
      <c r="I1731">
        <v>1947</v>
      </c>
      <c r="J1731" t="str">
        <f>VLOOKUP(E1731,DSSpieler!A:B,2,FALSE)</f>
        <v>colona</v>
      </c>
    </row>
    <row r="1732" spans="1:10" x14ac:dyDescent="0.25">
      <c r="A1732">
        <v>1948</v>
      </c>
      <c r="B1732" t="s">
        <v>531</v>
      </c>
      <c r="C1732">
        <v>493</v>
      </c>
      <c r="D1732">
        <v>558</v>
      </c>
      <c r="E1732">
        <v>0</v>
      </c>
      <c r="F1732">
        <v>257</v>
      </c>
      <c r="G1732">
        <v>0</v>
      </c>
      <c r="H1732" t="s">
        <v>6659</v>
      </c>
      <c r="I1732">
        <v>1948</v>
      </c>
      <c r="J1732" t="e">
        <f>VLOOKUP(E1732,DSSpieler!A:B,2,FALSE)</f>
        <v>#N/A</v>
      </c>
    </row>
    <row r="1733" spans="1:10" x14ac:dyDescent="0.25">
      <c r="A1733">
        <v>1949</v>
      </c>
      <c r="B1733" t="s">
        <v>31293</v>
      </c>
      <c r="C1733">
        <v>544</v>
      </c>
      <c r="D1733">
        <v>462</v>
      </c>
      <c r="E1733">
        <v>1576294527</v>
      </c>
      <c r="F1733">
        <v>5327</v>
      </c>
      <c r="G1733">
        <v>0</v>
      </c>
      <c r="H1733" t="s">
        <v>6660</v>
      </c>
      <c r="I1733">
        <v>1949</v>
      </c>
      <c r="J1733" t="str">
        <f>VLOOKUP(E1733,DSSpieler!A:B,2,FALSE)</f>
        <v>firet0uch</v>
      </c>
    </row>
    <row r="1734" spans="1:10" x14ac:dyDescent="0.25">
      <c r="A1734">
        <v>1950</v>
      </c>
      <c r="B1734" t="s">
        <v>31294</v>
      </c>
      <c r="C1734">
        <v>531</v>
      </c>
      <c r="D1734">
        <v>461</v>
      </c>
      <c r="E1734">
        <v>9599376</v>
      </c>
      <c r="F1734">
        <v>5648</v>
      </c>
      <c r="G1734">
        <v>0</v>
      </c>
      <c r="H1734" t="s">
        <v>6661</v>
      </c>
      <c r="I1734">
        <v>1950</v>
      </c>
      <c r="J1734" t="str">
        <f>VLOOKUP(E1734,DSSpieler!A:B,2,FALSE)</f>
        <v>tiktakto70</v>
      </c>
    </row>
    <row r="1735" spans="1:10" x14ac:dyDescent="0.25">
      <c r="A1735">
        <v>1951</v>
      </c>
      <c r="B1735" t="s">
        <v>531</v>
      </c>
      <c r="C1735">
        <v>516</v>
      </c>
      <c r="D1735">
        <v>507</v>
      </c>
      <c r="E1735">
        <v>0</v>
      </c>
      <c r="F1735">
        <v>280</v>
      </c>
      <c r="G1735">
        <v>0</v>
      </c>
      <c r="H1735" t="s">
        <v>6662</v>
      </c>
      <c r="I1735">
        <v>1951</v>
      </c>
      <c r="J1735" t="e">
        <f>VLOOKUP(E1735,DSSpieler!A:B,2,FALSE)</f>
        <v>#N/A</v>
      </c>
    </row>
    <row r="1736" spans="1:10" x14ac:dyDescent="0.25">
      <c r="A1736">
        <v>1952</v>
      </c>
      <c r="B1736" t="s">
        <v>863</v>
      </c>
      <c r="C1736">
        <v>532</v>
      </c>
      <c r="D1736">
        <v>459</v>
      </c>
      <c r="E1736">
        <v>2173445</v>
      </c>
      <c r="F1736">
        <v>3005</v>
      </c>
      <c r="G1736">
        <v>0</v>
      </c>
      <c r="H1736" t="s">
        <v>6663</v>
      </c>
      <c r="I1736">
        <v>1952</v>
      </c>
      <c r="J1736" t="str">
        <f>VLOOKUP(E1736,DSSpieler!A:B,2,FALSE)</f>
        <v>Nefprak</v>
      </c>
    </row>
    <row r="1737" spans="1:10" x14ac:dyDescent="0.25">
      <c r="A1737">
        <v>1953</v>
      </c>
      <c r="B1737" t="s">
        <v>531</v>
      </c>
      <c r="C1737">
        <v>467</v>
      </c>
      <c r="D1737">
        <v>468</v>
      </c>
      <c r="E1737">
        <v>0</v>
      </c>
      <c r="F1737">
        <v>432</v>
      </c>
      <c r="G1737">
        <v>0</v>
      </c>
      <c r="H1737" t="s">
        <v>6664</v>
      </c>
      <c r="I1737">
        <v>1953</v>
      </c>
      <c r="J1737" t="e">
        <f>VLOOKUP(E1737,DSSpieler!A:B,2,FALSE)</f>
        <v>#N/A</v>
      </c>
    </row>
    <row r="1738" spans="1:10" x14ac:dyDescent="0.25">
      <c r="A1738">
        <v>1954</v>
      </c>
      <c r="B1738" t="s">
        <v>31295</v>
      </c>
      <c r="C1738">
        <v>539</v>
      </c>
      <c r="D1738">
        <v>464</v>
      </c>
      <c r="E1738">
        <v>1576294527</v>
      </c>
      <c r="F1738">
        <v>3171</v>
      </c>
      <c r="G1738">
        <v>0</v>
      </c>
      <c r="H1738" t="s">
        <v>6665</v>
      </c>
      <c r="I1738">
        <v>1954</v>
      </c>
      <c r="J1738" t="str">
        <f>VLOOKUP(E1738,DSSpieler!A:B,2,FALSE)</f>
        <v>firet0uch</v>
      </c>
    </row>
    <row r="1739" spans="1:10" x14ac:dyDescent="0.25">
      <c r="A1739">
        <v>1955</v>
      </c>
      <c r="B1739" t="s">
        <v>868</v>
      </c>
      <c r="C1739">
        <v>540</v>
      </c>
      <c r="D1739">
        <v>456</v>
      </c>
      <c r="E1739">
        <v>1577181871</v>
      </c>
      <c r="F1739">
        <v>7767</v>
      </c>
      <c r="G1739">
        <v>0</v>
      </c>
      <c r="H1739" t="s">
        <v>6666</v>
      </c>
      <c r="I1739">
        <v>1955</v>
      </c>
      <c r="J1739" t="str">
        <f>VLOOKUP(E1739,DSSpieler!A:B,2,FALSE)</f>
        <v>Kingerum</v>
      </c>
    </row>
    <row r="1740" spans="1:10" x14ac:dyDescent="0.25">
      <c r="A1740">
        <v>1956</v>
      </c>
      <c r="B1740" t="s">
        <v>869</v>
      </c>
      <c r="C1740">
        <v>525</v>
      </c>
      <c r="D1740">
        <v>454</v>
      </c>
      <c r="E1740">
        <v>1576626963</v>
      </c>
      <c r="F1740">
        <v>1183</v>
      </c>
      <c r="G1740">
        <v>0</v>
      </c>
      <c r="H1740" t="s">
        <v>6667</v>
      </c>
      <c r="I1740">
        <v>1956</v>
      </c>
      <c r="J1740" t="str">
        <f>VLOOKUP(E1740,DSSpieler!A:B,2,FALSE)</f>
        <v>jonas27</v>
      </c>
    </row>
    <row r="1741" spans="1:10" x14ac:dyDescent="0.25">
      <c r="A1741">
        <v>1957</v>
      </c>
      <c r="B1741" t="s">
        <v>531</v>
      </c>
      <c r="C1741">
        <v>538</v>
      </c>
      <c r="D1741">
        <v>465</v>
      </c>
      <c r="E1741">
        <v>0</v>
      </c>
      <c r="F1741">
        <v>1009</v>
      </c>
      <c r="G1741">
        <v>0</v>
      </c>
      <c r="H1741" t="s">
        <v>6668</v>
      </c>
      <c r="I1741">
        <v>1957</v>
      </c>
      <c r="J1741" t="e">
        <f>VLOOKUP(E1741,DSSpieler!A:B,2,FALSE)</f>
        <v>#N/A</v>
      </c>
    </row>
    <row r="1742" spans="1:10" x14ac:dyDescent="0.25">
      <c r="A1742">
        <v>1958</v>
      </c>
      <c r="B1742" t="s">
        <v>870</v>
      </c>
      <c r="C1742">
        <v>534</v>
      </c>
      <c r="D1742">
        <v>454</v>
      </c>
      <c r="E1742">
        <v>1577183460</v>
      </c>
      <c r="F1742">
        <v>7432</v>
      </c>
      <c r="G1742">
        <v>0</v>
      </c>
      <c r="H1742" t="s">
        <v>6669</v>
      </c>
      <c r="I1742">
        <v>1958</v>
      </c>
      <c r="J1742" t="str">
        <f>VLOOKUP(E1742,DSSpieler!A:B,2,FALSE)</f>
        <v>TrollPick</v>
      </c>
    </row>
    <row r="1743" spans="1:10" x14ac:dyDescent="0.25">
      <c r="A1743">
        <v>1959</v>
      </c>
      <c r="B1743" t="s">
        <v>531</v>
      </c>
      <c r="C1743">
        <v>523</v>
      </c>
      <c r="D1743">
        <v>454</v>
      </c>
      <c r="E1743">
        <v>0</v>
      </c>
      <c r="F1743">
        <v>2073</v>
      </c>
      <c r="G1743">
        <v>0</v>
      </c>
      <c r="H1743" t="s">
        <v>6670</v>
      </c>
      <c r="I1743">
        <v>1959</v>
      </c>
      <c r="J1743" t="e">
        <f>VLOOKUP(E1743,DSSpieler!A:B,2,FALSE)</f>
        <v>#N/A</v>
      </c>
    </row>
    <row r="1744" spans="1:10" x14ac:dyDescent="0.25">
      <c r="A1744">
        <v>1960</v>
      </c>
      <c r="B1744" t="s">
        <v>531</v>
      </c>
      <c r="C1744">
        <v>552</v>
      </c>
      <c r="D1744">
        <v>443</v>
      </c>
      <c r="E1744">
        <v>0</v>
      </c>
      <c r="F1744">
        <v>484</v>
      </c>
      <c r="G1744">
        <v>0</v>
      </c>
      <c r="H1744" t="s">
        <v>6671</v>
      </c>
      <c r="I1744">
        <v>1960</v>
      </c>
      <c r="J1744" t="e">
        <f>VLOOKUP(E1744,DSSpieler!A:B,2,FALSE)</f>
        <v>#N/A</v>
      </c>
    </row>
    <row r="1745" spans="1:10" x14ac:dyDescent="0.25">
      <c r="A1745">
        <v>1962</v>
      </c>
      <c r="B1745" t="s">
        <v>531</v>
      </c>
      <c r="C1745">
        <v>534</v>
      </c>
      <c r="D1745">
        <v>477</v>
      </c>
      <c r="E1745">
        <v>0</v>
      </c>
      <c r="F1745">
        <v>216</v>
      </c>
      <c r="G1745">
        <v>0</v>
      </c>
      <c r="H1745" t="s">
        <v>6672</v>
      </c>
      <c r="I1745">
        <v>1962</v>
      </c>
      <c r="J1745" t="e">
        <f>VLOOKUP(E1745,DSSpieler!A:B,2,FALSE)</f>
        <v>#N/A</v>
      </c>
    </row>
    <row r="1746" spans="1:10" x14ac:dyDescent="0.25">
      <c r="A1746">
        <v>1963</v>
      </c>
      <c r="B1746" t="s">
        <v>31296</v>
      </c>
      <c r="C1746">
        <v>484</v>
      </c>
      <c r="D1746">
        <v>531</v>
      </c>
      <c r="E1746">
        <v>8607972</v>
      </c>
      <c r="F1746">
        <v>5443</v>
      </c>
      <c r="G1746">
        <v>0</v>
      </c>
      <c r="H1746" t="s">
        <v>6673</v>
      </c>
      <c r="I1746">
        <v>1963</v>
      </c>
      <c r="J1746" t="str">
        <f>VLOOKUP(E1746,DSSpieler!A:B,2,FALSE)</f>
        <v>Goldraven</v>
      </c>
    </row>
    <row r="1747" spans="1:10" x14ac:dyDescent="0.25">
      <c r="A1747">
        <v>1964</v>
      </c>
      <c r="B1747" t="s">
        <v>31297</v>
      </c>
      <c r="C1747">
        <v>481</v>
      </c>
      <c r="D1747">
        <v>539</v>
      </c>
      <c r="E1747">
        <v>1576285716</v>
      </c>
      <c r="F1747">
        <v>3937</v>
      </c>
      <c r="G1747">
        <v>0</v>
      </c>
      <c r="H1747" t="s">
        <v>6674</v>
      </c>
      <c r="I1747">
        <v>1964</v>
      </c>
      <c r="J1747" t="str">
        <f>VLOOKUP(E1747,DSSpieler!A:B,2,FALSE)</f>
        <v>hammuul</v>
      </c>
    </row>
    <row r="1748" spans="1:10" x14ac:dyDescent="0.25">
      <c r="A1748">
        <v>1965</v>
      </c>
      <c r="B1748" t="s">
        <v>871</v>
      </c>
      <c r="C1748">
        <v>486</v>
      </c>
      <c r="D1748">
        <v>532</v>
      </c>
      <c r="E1748">
        <v>1577199157</v>
      </c>
      <c r="F1748">
        <v>4552</v>
      </c>
      <c r="G1748">
        <v>0</v>
      </c>
      <c r="H1748" t="s">
        <v>6675</v>
      </c>
      <c r="I1748">
        <v>1965</v>
      </c>
      <c r="J1748" t="str">
        <f>VLOOKUP(E1748,DSSpieler!A:B,2,FALSE)</f>
        <v>wgo-habasch</v>
      </c>
    </row>
    <row r="1749" spans="1:10" x14ac:dyDescent="0.25">
      <c r="A1749">
        <v>1966</v>
      </c>
      <c r="B1749" t="s">
        <v>31298</v>
      </c>
      <c r="C1749">
        <v>488</v>
      </c>
      <c r="D1749">
        <v>541</v>
      </c>
      <c r="E1749">
        <v>1576996984</v>
      </c>
      <c r="F1749">
        <v>5595</v>
      </c>
      <c r="G1749">
        <v>0</v>
      </c>
      <c r="H1749" t="s">
        <v>6676</v>
      </c>
      <c r="I1749">
        <v>1966</v>
      </c>
      <c r="J1749" t="str">
        <f>VLOOKUP(E1749,DSSpieler!A:B,2,FALSE)</f>
        <v>Gallone</v>
      </c>
    </row>
    <row r="1750" spans="1:10" x14ac:dyDescent="0.25">
      <c r="A1750">
        <v>1967</v>
      </c>
      <c r="B1750" t="s">
        <v>31299</v>
      </c>
      <c r="C1750">
        <v>485</v>
      </c>
      <c r="D1750">
        <v>538</v>
      </c>
      <c r="E1750">
        <v>1577086320</v>
      </c>
      <c r="F1750">
        <v>4654</v>
      </c>
      <c r="G1750">
        <v>0</v>
      </c>
      <c r="H1750" t="s">
        <v>6677</v>
      </c>
      <c r="I1750">
        <v>1967</v>
      </c>
      <c r="J1750" t="str">
        <f>VLOOKUP(E1750,DSSpieler!A:B,2,FALSE)</f>
        <v>joker6666</v>
      </c>
    </row>
    <row r="1751" spans="1:10" x14ac:dyDescent="0.25">
      <c r="A1751">
        <v>1968</v>
      </c>
      <c r="B1751" t="s">
        <v>31300</v>
      </c>
      <c r="C1751">
        <v>481</v>
      </c>
      <c r="D1751">
        <v>538</v>
      </c>
      <c r="E1751">
        <v>1577178111</v>
      </c>
      <c r="F1751">
        <v>4067</v>
      </c>
      <c r="G1751">
        <v>0</v>
      </c>
      <c r="H1751" t="s">
        <v>6678</v>
      </c>
      <c r="I1751">
        <v>1968</v>
      </c>
      <c r="J1751" t="str">
        <f>VLOOKUP(E1751,DSSpieler!A:B,2,FALSE)</f>
        <v>DoMii</v>
      </c>
    </row>
    <row r="1752" spans="1:10" x14ac:dyDescent="0.25">
      <c r="A1752">
        <v>1969</v>
      </c>
      <c r="B1752" t="s">
        <v>31301</v>
      </c>
      <c r="C1752">
        <v>401</v>
      </c>
      <c r="D1752">
        <v>525</v>
      </c>
      <c r="E1752">
        <v>1577149855</v>
      </c>
      <c r="F1752">
        <v>2084</v>
      </c>
      <c r="G1752">
        <v>0</v>
      </c>
      <c r="H1752" t="s">
        <v>6679</v>
      </c>
      <c r="I1752">
        <v>1969</v>
      </c>
      <c r="J1752" t="str">
        <f>VLOOKUP(E1752,DSSpieler!A:B,2,FALSE)</f>
        <v>Flo1995</v>
      </c>
    </row>
    <row r="1753" spans="1:10" x14ac:dyDescent="0.25">
      <c r="A1753">
        <v>1970</v>
      </c>
      <c r="B1753" t="s">
        <v>531</v>
      </c>
      <c r="C1753">
        <v>457</v>
      </c>
      <c r="D1753">
        <v>534</v>
      </c>
      <c r="E1753">
        <v>0</v>
      </c>
      <c r="F1753">
        <v>377</v>
      </c>
      <c r="G1753">
        <v>0</v>
      </c>
      <c r="H1753" t="s">
        <v>6680</v>
      </c>
      <c r="I1753">
        <v>1970</v>
      </c>
      <c r="J1753" t="e">
        <f>VLOOKUP(E1753,DSSpieler!A:B,2,FALSE)</f>
        <v>#N/A</v>
      </c>
    </row>
    <row r="1754" spans="1:10" x14ac:dyDescent="0.25">
      <c r="A1754">
        <v>1971</v>
      </c>
      <c r="B1754" t="s">
        <v>531</v>
      </c>
      <c r="C1754">
        <v>470</v>
      </c>
      <c r="D1754">
        <v>514</v>
      </c>
      <c r="E1754">
        <v>0</v>
      </c>
      <c r="F1754">
        <v>196</v>
      </c>
      <c r="G1754">
        <v>0</v>
      </c>
      <c r="H1754" t="s">
        <v>6681</v>
      </c>
      <c r="I1754">
        <v>1971</v>
      </c>
      <c r="J1754" t="e">
        <f>VLOOKUP(E1754,DSSpieler!A:B,2,FALSE)</f>
        <v>#N/A</v>
      </c>
    </row>
    <row r="1755" spans="1:10" x14ac:dyDescent="0.25">
      <c r="A1755">
        <v>1972</v>
      </c>
      <c r="B1755" t="s">
        <v>31302</v>
      </c>
      <c r="C1755">
        <v>501</v>
      </c>
      <c r="D1755">
        <v>461</v>
      </c>
      <c r="E1755">
        <v>1577197148</v>
      </c>
      <c r="F1755">
        <v>5712</v>
      </c>
      <c r="G1755">
        <v>0</v>
      </c>
      <c r="H1755" t="s">
        <v>6682</v>
      </c>
      <c r="I1755">
        <v>1972</v>
      </c>
      <c r="J1755" t="str">
        <f>VLOOKUP(E1755,DSSpieler!A:B,2,FALSE)</f>
        <v>feednaz</v>
      </c>
    </row>
    <row r="1756" spans="1:10" x14ac:dyDescent="0.25">
      <c r="A1756">
        <v>1973</v>
      </c>
      <c r="B1756" t="s">
        <v>739</v>
      </c>
      <c r="C1756">
        <v>491</v>
      </c>
      <c r="D1756">
        <v>445</v>
      </c>
      <c r="E1756">
        <v>1577194590</v>
      </c>
      <c r="F1756">
        <v>5230</v>
      </c>
      <c r="G1756">
        <v>0</v>
      </c>
      <c r="H1756" t="s">
        <v>6683</v>
      </c>
      <c r="I1756">
        <v>1973</v>
      </c>
      <c r="J1756" t="str">
        <f>VLOOKUP(E1756,DSSpieler!A:B,2,FALSE)</f>
        <v>oggksh</v>
      </c>
    </row>
    <row r="1757" spans="1:10" x14ac:dyDescent="0.25">
      <c r="A1757">
        <v>1974</v>
      </c>
      <c r="B1757" t="s">
        <v>31303</v>
      </c>
      <c r="C1757">
        <v>502</v>
      </c>
      <c r="D1757">
        <v>443</v>
      </c>
      <c r="E1757">
        <v>1577197892</v>
      </c>
      <c r="F1757">
        <v>4966</v>
      </c>
      <c r="G1757">
        <v>0</v>
      </c>
      <c r="H1757" t="s">
        <v>6684</v>
      </c>
      <c r="I1757">
        <v>1974</v>
      </c>
      <c r="J1757" t="str">
        <f>VLOOKUP(E1757,DSSpieler!A:B,2,FALSE)</f>
        <v>fruitisiert</v>
      </c>
    </row>
    <row r="1758" spans="1:10" x14ac:dyDescent="0.25">
      <c r="A1758">
        <v>1975</v>
      </c>
      <c r="B1758" t="s">
        <v>546</v>
      </c>
      <c r="C1758">
        <v>506</v>
      </c>
      <c r="D1758">
        <v>456</v>
      </c>
      <c r="E1758">
        <v>890198</v>
      </c>
      <c r="F1758">
        <v>4347</v>
      </c>
      <c r="G1758">
        <v>0</v>
      </c>
      <c r="H1758" t="s">
        <v>6685</v>
      </c>
      <c r="I1758">
        <v>1975</v>
      </c>
      <c r="J1758" t="str">
        <f>VLOOKUP(E1758,DSSpieler!A:B,2,FALSE)</f>
        <v>superkrauss</v>
      </c>
    </row>
    <row r="1759" spans="1:10" x14ac:dyDescent="0.25">
      <c r="A1759">
        <v>1976</v>
      </c>
      <c r="B1759" t="s">
        <v>546</v>
      </c>
      <c r="C1759">
        <v>499</v>
      </c>
      <c r="D1759">
        <v>449</v>
      </c>
      <c r="E1759">
        <v>9961160</v>
      </c>
      <c r="F1759">
        <v>5547</v>
      </c>
      <c r="G1759">
        <v>0</v>
      </c>
      <c r="H1759" t="s">
        <v>6686</v>
      </c>
      <c r="I1759">
        <v>1976</v>
      </c>
      <c r="J1759" t="str">
        <f>VLOOKUP(E1759,DSSpieler!A:B,2,FALSE)</f>
        <v>konkom</v>
      </c>
    </row>
    <row r="1760" spans="1:10" x14ac:dyDescent="0.25">
      <c r="A1760">
        <v>1977</v>
      </c>
      <c r="B1760" t="s">
        <v>531</v>
      </c>
      <c r="C1760">
        <v>520</v>
      </c>
      <c r="D1760">
        <v>496</v>
      </c>
      <c r="E1760">
        <v>0</v>
      </c>
      <c r="F1760">
        <v>440</v>
      </c>
      <c r="G1760">
        <v>0</v>
      </c>
      <c r="H1760" t="s">
        <v>6687</v>
      </c>
      <c r="I1760">
        <v>1977</v>
      </c>
      <c r="J1760" t="e">
        <f>VLOOKUP(E1760,DSSpieler!A:B,2,FALSE)</f>
        <v>#N/A</v>
      </c>
    </row>
    <row r="1761" spans="1:10" x14ac:dyDescent="0.25">
      <c r="A1761">
        <v>1978</v>
      </c>
      <c r="B1761">
        <v>2</v>
      </c>
      <c r="C1761">
        <v>517</v>
      </c>
      <c r="D1761">
        <v>464</v>
      </c>
      <c r="E1761">
        <v>1577191080</v>
      </c>
      <c r="F1761">
        <v>5430</v>
      </c>
      <c r="G1761">
        <v>0</v>
      </c>
      <c r="H1761" t="s">
        <v>6688</v>
      </c>
      <c r="I1761">
        <v>1978</v>
      </c>
      <c r="J1761" t="str">
        <f>VLOOKUP(E1761,DSSpieler!A:B,2,FALSE)</f>
        <v>NeoNapat</v>
      </c>
    </row>
    <row r="1762" spans="1:10" x14ac:dyDescent="0.25">
      <c r="A1762">
        <v>1979</v>
      </c>
      <c r="B1762" t="s">
        <v>546</v>
      </c>
      <c r="C1762">
        <v>507</v>
      </c>
      <c r="D1762">
        <v>451</v>
      </c>
      <c r="E1762">
        <v>8677854</v>
      </c>
      <c r="F1762">
        <v>6139</v>
      </c>
      <c r="G1762">
        <v>0</v>
      </c>
      <c r="H1762" t="s">
        <v>6689</v>
      </c>
      <c r="I1762">
        <v>1979</v>
      </c>
      <c r="J1762" t="str">
        <f>VLOOKUP(E1762,DSSpieler!A:B,2,FALSE)</f>
        <v>mayladynrw</v>
      </c>
    </row>
    <row r="1763" spans="1:10" x14ac:dyDescent="0.25">
      <c r="A1763">
        <v>1980</v>
      </c>
      <c r="B1763" t="s">
        <v>546</v>
      </c>
      <c r="C1763">
        <v>505</v>
      </c>
      <c r="D1763">
        <v>467</v>
      </c>
      <c r="E1763">
        <v>1577190199</v>
      </c>
      <c r="F1763">
        <v>2726</v>
      </c>
      <c r="G1763">
        <v>0</v>
      </c>
      <c r="H1763" t="s">
        <v>6690</v>
      </c>
      <c r="I1763">
        <v>1980</v>
      </c>
      <c r="J1763" t="str">
        <f>VLOOKUP(E1763,DSSpieler!A:B,2,FALSE)</f>
        <v>kinq erol</v>
      </c>
    </row>
    <row r="1764" spans="1:10" x14ac:dyDescent="0.25">
      <c r="A1764">
        <v>1981</v>
      </c>
      <c r="B1764" t="s">
        <v>31304</v>
      </c>
      <c r="C1764">
        <v>494</v>
      </c>
      <c r="D1764">
        <v>464</v>
      </c>
      <c r="E1764">
        <v>9590681</v>
      </c>
      <c r="F1764">
        <v>3782</v>
      </c>
      <c r="G1764">
        <v>0</v>
      </c>
      <c r="H1764" t="s">
        <v>6691</v>
      </c>
      <c r="I1764">
        <v>1981</v>
      </c>
      <c r="J1764" t="str">
        <f>VLOOKUP(E1764,DSSpieler!A:B,2,FALSE)</f>
        <v>HSVSuchti</v>
      </c>
    </row>
    <row r="1765" spans="1:10" x14ac:dyDescent="0.25">
      <c r="A1765">
        <v>1982</v>
      </c>
      <c r="B1765" t="s">
        <v>546</v>
      </c>
      <c r="C1765">
        <v>501</v>
      </c>
      <c r="D1765">
        <v>457</v>
      </c>
      <c r="E1765">
        <v>1577196920</v>
      </c>
      <c r="F1765">
        <v>3449</v>
      </c>
      <c r="G1765">
        <v>0</v>
      </c>
      <c r="H1765" t="s">
        <v>6692</v>
      </c>
      <c r="I1765">
        <v>1982</v>
      </c>
      <c r="J1765" t="str">
        <f>VLOOKUP(E1765,DSSpieler!A:B,2,FALSE)</f>
        <v>fuxxy</v>
      </c>
    </row>
    <row r="1766" spans="1:10" x14ac:dyDescent="0.25">
      <c r="A1766">
        <v>1983</v>
      </c>
      <c r="B1766" t="s">
        <v>531</v>
      </c>
      <c r="C1766">
        <v>441</v>
      </c>
      <c r="D1766">
        <v>452</v>
      </c>
      <c r="E1766">
        <v>0</v>
      </c>
      <c r="F1766">
        <v>447</v>
      </c>
      <c r="G1766">
        <v>0</v>
      </c>
      <c r="H1766" t="s">
        <v>6693</v>
      </c>
      <c r="I1766">
        <v>1983</v>
      </c>
      <c r="J1766" t="e">
        <f>VLOOKUP(E1766,DSSpieler!A:B,2,FALSE)</f>
        <v>#N/A</v>
      </c>
    </row>
    <row r="1767" spans="1:10" x14ac:dyDescent="0.25">
      <c r="A1767">
        <v>1984</v>
      </c>
      <c r="B1767" t="s">
        <v>31305</v>
      </c>
      <c r="C1767">
        <v>541</v>
      </c>
      <c r="D1767">
        <v>500</v>
      </c>
      <c r="E1767">
        <v>1576969514</v>
      </c>
      <c r="F1767">
        <v>5771</v>
      </c>
      <c r="G1767">
        <v>0</v>
      </c>
      <c r="H1767" t="s">
        <v>6694</v>
      </c>
      <c r="I1767">
        <v>1984</v>
      </c>
      <c r="J1767" t="str">
        <f>VLOOKUP(E1767,DSSpieler!A:B,2,FALSE)</f>
        <v>MB333</v>
      </c>
    </row>
    <row r="1768" spans="1:10" x14ac:dyDescent="0.25">
      <c r="A1768">
        <v>1985</v>
      </c>
      <c r="B1768" t="s">
        <v>31306</v>
      </c>
      <c r="C1768">
        <v>543</v>
      </c>
      <c r="D1768">
        <v>493</v>
      </c>
      <c r="E1768">
        <v>1577167569</v>
      </c>
      <c r="F1768">
        <v>6218</v>
      </c>
      <c r="G1768">
        <v>0</v>
      </c>
      <c r="H1768" t="s">
        <v>6695</v>
      </c>
      <c r="I1768">
        <v>1985</v>
      </c>
      <c r="J1768" t="str">
        <f>VLOOKUP(E1768,DSSpieler!A:B,2,FALSE)</f>
        <v>Rave2DaGrave</v>
      </c>
    </row>
    <row r="1769" spans="1:10" x14ac:dyDescent="0.25">
      <c r="A1769">
        <v>1986</v>
      </c>
      <c r="B1769" t="s">
        <v>31307</v>
      </c>
      <c r="C1769">
        <v>532</v>
      </c>
      <c r="D1769">
        <v>492</v>
      </c>
      <c r="E1769">
        <v>1577072307</v>
      </c>
      <c r="F1769">
        <v>6678</v>
      </c>
      <c r="G1769">
        <v>0</v>
      </c>
      <c r="H1769" t="s">
        <v>6696</v>
      </c>
      <c r="I1769">
        <v>1986</v>
      </c>
      <c r="J1769" t="str">
        <f>VLOOKUP(E1769,DSSpieler!A:B,2,FALSE)</f>
        <v>Schwertfisch</v>
      </c>
    </row>
    <row r="1770" spans="1:10" x14ac:dyDescent="0.25">
      <c r="A1770">
        <v>1987</v>
      </c>
      <c r="B1770" t="s">
        <v>538</v>
      </c>
      <c r="C1770">
        <v>547</v>
      </c>
      <c r="D1770">
        <v>496</v>
      </c>
      <c r="E1770">
        <v>514223</v>
      </c>
      <c r="F1770">
        <v>3352</v>
      </c>
      <c r="G1770">
        <v>0</v>
      </c>
      <c r="H1770" t="s">
        <v>6697</v>
      </c>
      <c r="I1770">
        <v>1987</v>
      </c>
      <c r="J1770" t="str">
        <f>VLOOKUP(E1770,DSSpieler!A:B,2,FALSE)</f>
        <v>monno</v>
      </c>
    </row>
    <row r="1771" spans="1:10" x14ac:dyDescent="0.25">
      <c r="A1771">
        <v>1988</v>
      </c>
      <c r="B1771">
        <v>1</v>
      </c>
      <c r="C1771">
        <v>509</v>
      </c>
      <c r="D1771">
        <v>531</v>
      </c>
      <c r="E1771">
        <v>689047</v>
      </c>
      <c r="F1771">
        <v>5297</v>
      </c>
      <c r="G1771">
        <v>0</v>
      </c>
      <c r="H1771" t="s">
        <v>6698</v>
      </c>
      <c r="I1771">
        <v>1988</v>
      </c>
      <c r="J1771" t="str">
        <f>VLOOKUP(E1771,DSSpieler!A:B,2,FALSE)</f>
        <v>king of gilching</v>
      </c>
    </row>
    <row r="1772" spans="1:10" x14ac:dyDescent="0.25">
      <c r="A1772">
        <v>1989</v>
      </c>
      <c r="B1772" t="s">
        <v>31308</v>
      </c>
      <c r="C1772">
        <v>508</v>
      </c>
      <c r="D1772">
        <v>533</v>
      </c>
      <c r="E1772">
        <v>9913167</v>
      </c>
      <c r="F1772">
        <v>7263</v>
      </c>
      <c r="G1772">
        <v>0</v>
      </c>
      <c r="H1772" t="s">
        <v>6699</v>
      </c>
      <c r="I1772">
        <v>1989</v>
      </c>
      <c r="J1772" t="str">
        <f>VLOOKUP(E1772,DSSpieler!A:B,2,FALSE)</f>
        <v>MkAvenger</v>
      </c>
    </row>
    <row r="1773" spans="1:10" x14ac:dyDescent="0.25">
      <c r="A1773">
        <v>1990</v>
      </c>
      <c r="B1773">
        <v>1</v>
      </c>
      <c r="C1773">
        <v>511</v>
      </c>
      <c r="D1773">
        <v>533</v>
      </c>
      <c r="E1773">
        <v>1575880662</v>
      </c>
      <c r="F1773">
        <v>6388</v>
      </c>
      <c r="G1773">
        <v>0</v>
      </c>
      <c r="H1773" t="s">
        <v>6700</v>
      </c>
      <c r="I1773">
        <v>1990</v>
      </c>
      <c r="J1773" t="str">
        <f>VLOOKUP(E1773,DSSpieler!A:B,2,FALSE)</f>
        <v>Nosferas</v>
      </c>
    </row>
    <row r="1774" spans="1:10" x14ac:dyDescent="0.25">
      <c r="A1774">
        <v>1991</v>
      </c>
      <c r="B1774" t="s">
        <v>31309</v>
      </c>
      <c r="C1774">
        <v>514</v>
      </c>
      <c r="D1774">
        <v>520</v>
      </c>
      <c r="E1774">
        <v>8945393</v>
      </c>
      <c r="F1774">
        <v>3842</v>
      </c>
      <c r="G1774">
        <v>0</v>
      </c>
      <c r="H1774" t="s">
        <v>6701</v>
      </c>
      <c r="I1774">
        <v>1991</v>
      </c>
      <c r="J1774" t="str">
        <f>VLOOKUP(E1774,DSSpieler!A:B,2,FALSE)</f>
        <v>Maus-15</v>
      </c>
    </row>
    <row r="1775" spans="1:10" x14ac:dyDescent="0.25">
      <c r="A1775">
        <v>1992</v>
      </c>
      <c r="B1775" t="s">
        <v>872</v>
      </c>
      <c r="C1775">
        <v>515</v>
      </c>
      <c r="D1775">
        <v>536</v>
      </c>
      <c r="E1775">
        <v>1577197019</v>
      </c>
      <c r="F1775">
        <v>7264</v>
      </c>
      <c r="G1775">
        <v>0</v>
      </c>
      <c r="H1775" t="s">
        <v>6702</v>
      </c>
      <c r="I1775">
        <v>1992</v>
      </c>
      <c r="J1775" t="str">
        <f>VLOOKUP(E1775,DSSpieler!A:B,2,FALSE)</f>
        <v>jürgenevers</v>
      </c>
    </row>
    <row r="1776" spans="1:10" x14ac:dyDescent="0.25">
      <c r="A1776">
        <v>1993</v>
      </c>
      <c r="B1776">
        <v>2</v>
      </c>
      <c r="C1776">
        <v>503</v>
      </c>
      <c r="D1776">
        <v>523</v>
      </c>
      <c r="E1776">
        <v>1577198815</v>
      </c>
      <c r="F1776">
        <v>1509</v>
      </c>
      <c r="G1776">
        <v>0</v>
      </c>
      <c r="H1776" t="s">
        <v>6703</v>
      </c>
      <c r="I1776">
        <v>1993</v>
      </c>
      <c r="J1776" t="str">
        <f>VLOOKUP(E1776,DSSpieler!A:B,2,FALSE)</f>
        <v>mivoch</v>
      </c>
    </row>
    <row r="1777" spans="1:10" x14ac:dyDescent="0.25">
      <c r="A1777">
        <v>1994</v>
      </c>
      <c r="B1777" t="s">
        <v>31310</v>
      </c>
      <c r="C1777">
        <v>510</v>
      </c>
      <c r="D1777">
        <v>528</v>
      </c>
      <c r="E1777">
        <v>1577197050</v>
      </c>
      <c r="F1777">
        <v>6048</v>
      </c>
      <c r="G1777">
        <v>0</v>
      </c>
      <c r="H1777" t="s">
        <v>6704</v>
      </c>
      <c r="I1777">
        <v>1994</v>
      </c>
      <c r="J1777" t="str">
        <f>VLOOKUP(E1777,DSSpieler!A:B,2,FALSE)</f>
        <v>wrzlprzl</v>
      </c>
    </row>
    <row r="1778" spans="1:10" x14ac:dyDescent="0.25">
      <c r="A1778">
        <v>1995</v>
      </c>
      <c r="B1778" t="s">
        <v>873</v>
      </c>
      <c r="C1778">
        <v>511</v>
      </c>
      <c r="D1778">
        <v>528</v>
      </c>
      <c r="E1778">
        <v>1577197162</v>
      </c>
      <c r="F1778">
        <v>6212</v>
      </c>
      <c r="G1778">
        <v>0</v>
      </c>
      <c r="H1778" t="s">
        <v>6705</v>
      </c>
      <c r="I1778">
        <v>1995</v>
      </c>
      <c r="J1778" t="str">
        <f>VLOOKUP(E1778,DSSpieler!A:B,2,FALSE)</f>
        <v>Tubu</v>
      </c>
    </row>
    <row r="1779" spans="1:10" x14ac:dyDescent="0.25">
      <c r="A1779">
        <v>1996</v>
      </c>
      <c r="B1779" t="s">
        <v>31311</v>
      </c>
      <c r="C1779">
        <v>507</v>
      </c>
      <c r="D1779">
        <v>535</v>
      </c>
      <c r="E1779">
        <v>9913167</v>
      </c>
      <c r="F1779">
        <v>4639</v>
      </c>
      <c r="G1779">
        <v>0</v>
      </c>
      <c r="H1779" t="s">
        <v>6706</v>
      </c>
      <c r="I1779">
        <v>1996</v>
      </c>
      <c r="J1779" t="str">
        <f>VLOOKUP(E1779,DSSpieler!A:B,2,FALSE)</f>
        <v>MkAvenger</v>
      </c>
    </row>
    <row r="1780" spans="1:10" x14ac:dyDescent="0.25">
      <c r="A1780">
        <v>1997</v>
      </c>
      <c r="B1780" t="s">
        <v>531</v>
      </c>
      <c r="C1780">
        <v>559</v>
      </c>
      <c r="D1780">
        <v>551</v>
      </c>
      <c r="E1780">
        <v>0</v>
      </c>
      <c r="F1780">
        <v>301</v>
      </c>
      <c r="G1780">
        <v>0</v>
      </c>
      <c r="H1780" t="s">
        <v>6707</v>
      </c>
      <c r="I1780">
        <v>1997</v>
      </c>
      <c r="J1780" t="e">
        <f>VLOOKUP(E1780,DSSpieler!A:B,2,FALSE)</f>
        <v>#N/A</v>
      </c>
    </row>
    <row r="1781" spans="1:10" x14ac:dyDescent="0.25">
      <c r="A1781">
        <v>1998</v>
      </c>
      <c r="B1781" t="s">
        <v>874</v>
      </c>
      <c r="C1781">
        <v>479</v>
      </c>
      <c r="D1781">
        <v>488</v>
      </c>
      <c r="E1781">
        <v>1577075103</v>
      </c>
      <c r="F1781">
        <v>4304</v>
      </c>
      <c r="G1781">
        <v>0</v>
      </c>
      <c r="H1781" t="s">
        <v>6708</v>
      </c>
      <c r="I1781">
        <v>1998</v>
      </c>
      <c r="J1781" t="str">
        <f>VLOOKUP(E1781,DSSpieler!A:B,2,FALSE)</f>
        <v>TopalOsman</v>
      </c>
    </row>
    <row r="1782" spans="1:10" x14ac:dyDescent="0.25">
      <c r="A1782">
        <v>1999</v>
      </c>
      <c r="B1782" t="s">
        <v>31312</v>
      </c>
      <c r="C1782">
        <v>476</v>
      </c>
      <c r="D1782">
        <v>495</v>
      </c>
      <c r="E1782">
        <v>1577046410</v>
      </c>
      <c r="F1782">
        <v>6014</v>
      </c>
      <c r="G1782">
        <v>0</v>
      </c>
      <c r="H1782" t="s">
        <v>6709</v>
      </c>
      <c r="I1782">
        <v>1999</v>
      </c>
      <c r="J1782" t="str">
        <f>VLOOKUP(E1782,DSSpieler!A:B,2,FALSE)</f>
        <v>Zangi1988</v>
      </c>
    </row>
    <row r="1783" spans="1:10" x14ac:dyDescent="0.25">
      <c r="A1783">
        <v>2000</v>
      </c>
      <c r="B1783" t="s">
        <v>875</v>
      </c>
      <c r="C1783">
        <v>488</v>
      </c>
      <c r="D1783">
        <v>496</v>
      </c>
      <c r="E1783">
        <v>1577073003</v>
      </c>
      <c r="F1783">
        <v>4942</v>
      </c>
      <c r="G1783">
        <v>0</v>
      </c>
      <c r="H1783" t="s">
        <v>6710</v>
      </c>
      <c r="I1783">
        <v>2000</v>
      </c>
      <c r="J1783" t="str">
        <f>VLOOKUP(E1783,DSSpieler!A:B,2,FALSE)</f>
        <v>CommanderAli</v>
      </c>
    </row>
    <row r="1784" spans="1:10" x14ac:dyDescent="0.25">
      <c r="A1784">
        <v>2001</v>
      </c>
      <c r="B1784" t="s">
        <v>876</v>
      </c>
      <c r="C1784">
        <v>472</v>
      </c>
      <c r="D1784">
        <v>492</v>
      </c>
      <c r="E1784">
        <v>1577075103</v>
      </c>
      <c r="F1784">
        <v>6127</v>
      </c>
      <c r="G1784">
        <v>0</v>
      </c>
      <c r="H1784" t="s">
        <v>6711</v>
      </c>
      <c r="I1784">
        <v>2001</v>
      </c>
      <c r="J1784" t="str">
        <f>VLOOKUP(E1784,DSSpieler!A:B,2,FALSE)</f>
        <v>TopalOsman</v>
      </c>
    </row>
    <row r="1785" spans="1:10" x14ac:dyDescent="0.25">
      <c r="A1785">
        <v>2002</v>
      </c>
      <c r="B1785" t="s">
        <v>877</v>
      </c>
      <c r="C1785">
        <v>478</v>
      </c>
      <c r="D1785">
        <v>480</v>
      </c>
      <c r="E1785">
        <v>1577075768</v>
      </c>
      <c r="F1785">
        <v>4961</v>
      </c>
      <c r="G1785">
        <v>0</v>
      </c>
      <c r="H1785" t="s">
        <v>6712</v>
      </c>
      <c r="I1785">
        <v>2002</v>
      </c>
      <c r="J1785" t="str">
        <f>VLOOKUP(E1785,DSSpieler!A:B,2,FALSE)</f>
        <v>Janischare28</v>
      </c>
    </row>
    <row r="1786" spans="1:10" x14ac:dyDescent="0.25">
      <c r="A1786">
        <v>2003</v>
      </c>
      <c r="B1786" t="s">
        <v>634</v>
      </c>
      <c r="C1786">
        <v>466</v>
      </c>
      <c r="D1786">
        <v>486</v>
      </c>
      <c r="E1786">
        <v>1577079050</v>
      </c>
      <c r="F1786">
        <v>6196</v>
      </c>
      <c r="G1786">
        <v>0</v>
      </c>
      <c r="H1786" t="s">
        <v>6713</v>
      </c>
      <c r="I1786">
        <v>2003</v>
      </c>
      <c r="J1786" t="str">
        <f>VLOOKUP(E1786,DSSpieler!A:B,2,FALSE)</f>
        <v>Huskydrive</v>
      </c>
    </row>
    <row r="1787" spans="1:10" x14ac:dyDescent="0.25">
      <c r="A1787">
        <v>2004</v>
      </c>
      <c r="B1787" t="s">
        <v>878</v>
      </c>
      <c r="C1787">
        <v>484</v>
      </c>
      <c r="D1787">
        <v>480</v>
      </c>
      <c r="E1787">
        <v>1577145083</v>
      </c>
      <c r="F1787">
        <v>5637</v>
      </c>
      <c r="G1787">
        <v>0</v>
      </c>
      <c r="H1787" t="s">
        <v>6714</v>
      </c>
      <c r="I1787">
        <v>2004</v>
      </c>
      <c r="J1787" t="str">
        <f>VLOOKUP(E1787,DSSpieler!A:B,2,FALSE)</f>
        <v>shroominger</v>
      </c>
    </row>
    <row r="1788" spans="1:10" x14ac:dyDescent="0.25">
      <c r="A1788">
        <v>2005</v>
      </c>
      <c r="B1788" t="s">
        <v>31313</v>
      </c>
      <c r="C1788">
        <v>475</v>
      </c>
      <c r="D1788">
        <v>484</v>
      </c>
      <c r="E1788">
        <v>1577145770</v>
      </c>
      <c r="F1788">
        <v>4459</v>
      </c>
      <c r="G1788">
        <v>0</v>
      </c>
      <c r="H1788" t="s">
        <v>6715</v>
      </c>
      <c r="I1788">
        <v>2005</v>
      </c>
      <c r="J1788" t="str">
        <f>VLOOKUP(E1788,DSSpieler!A:B,2,FALSE)</f>
        <v>PeaceIsTheWay</v>
      </c>
    </row>
    <row r="1789" spans="1:10" x14ac:dyDescent="0.25">
      <c r="A1789">
        <v>2006</v>
      </c>
      <c r="B1789">
        <v>2</v>
      </c>
      <c r="C1789">
        <v>465</v>
      </c>
      <c r="D1789">
        <v>493</v>
      </c>
      <c r="E1789">
        <v>1577066132</v>
      </c>
      <c r="F1789">
        <v>4864</v>
      </c>
      <c r="G1789">
        <v>0</v>
      </c>
      <c r="H1789" t="s">
        <v>6716</v>
      </c>
      <c r="I1789">
        <v>2006</v>
      </c>
      <c r="J1789" t="str">
        <f>VLOOKUP(E1789,DSSpieler!A:B,2,FALSE)</f>
        <v>Mecco</v>
      </c>
    </row>
    <row r="1790" spans="1:10" x14ac:dyDescent="0.25">
      <c r="A1790">
        <v>2007</v>
      </c>
      <c r="B1790" t="s">
        <v>531</v>
      </c>
      <c r="C1790">
        <v>547</v>
      </c>
      <c r="D1790">
        <v>441</v>
      </c>
      <c r="E1790">
        <v>0</v>
      </c>
      <c r="F1790">
        <v>437</v>
      </c>
      <c r="G1790">
        <v>0</v>
      </c>
      <c r="H1790" t="s">
        <v>6717</v>
      </c>
      <c r="I1790">
        <v>2007</v>
      </c>
      <c r="J1790" t="e">
        <f>VLOOKUP(E1790,DSSpieler!A:B,2,FALSE)</f>
        <v>#N/A</v>
      </c>
    </row>
    <row r="1791" spans="1:10" x14ac:dyDescent="0.25">
      <c r="A1791">
        <v>2008</v>
      </c>
      <c r="B1791" t="s">
        <v>31314</v>
      </c>
      <c r="C1791">
        <v>464</v>
      </c>
      <c r="D1791">
        <v>496</v>
      </c>
      <c r="E1791">
        <v>1576593978</v>
      </c>
      <c r="F1791">
        <v>2104</v>
      </c>
      <c r="G1791">
        <v>0</v>
      </c>
      <c r="H1791" t="s">
        <v>6718</v>
      </c>
      <c r="I1791">
        <v>2008</v>
      </c>
      <c r="J1791" t="str">
        <f>VLOOKUP(E1791,DSSpieler!A:B,2,FALSE)</f>
        <v>Lavalia</v>
      </c>
    </row>
    <row r="1792" spans="1:10" x14ac:dyDescent="0.25">
      <c r="A1792">
        <v>2009</v>
      </c>
      <c r="B1792" t="s">
        <v>531</v>
      </c>
      <c r="C1792">
        <v>489</v>
      </c>
      <c r="D1792">
        <v>493</v>
      </c>
      <c r="E1792">
        <v>0</v>
      </c>
      <c r="F1792">
        <v>343</v>
      </c>
      <c r="G1792">
        <v>0</v>
      </c>
      <c r="H1792" t="s">
        <v>6719</v>
      </c>
      <c r="I1792">
        <v>2009</v>
      </c>
      <c r="J1792" t="e">
        <f>VLOOKUP(E1792,DSSpieler!A:B,2,FALSE)</f>
        <v>#N/A</v>
      </c>
    </row>
    <row r="1793" spans="1:10" x14ac:dyDescent="0.25">
      <c r="A1793">
        <v>2010</v>
      </c>
      <c r="B1793" t="s">
        <v>879</v>
      </c>
      <c r="C1793">
        <v>467</v>
      </c>
      <c r="D1793">
        <v>491</v>
      </c>
      <c r="E1793">
        <v>1577197180</v>
      </c>
      <c r="F1793">
        <v>3964</v>
      </c>
      <c r="G1793">
        <v>0</v>
      </c>
      <c r="H1793" t="s">
        <v>6720</v>
      </c>
      <c r="I1793">
        <v>2010</v>
      </c>
      <c r="J1793" t="str">
        <f>VLOOKUP(E1793,DSSpieler!A:B,2,FALSE)</f>
        <v>Rontschi</v>
      </c>
    </row>
    <row r="1794" spans="1:10" x14ac:dyDescent="0.25">
      <c r="A1794">
        <v>2011</v>
      </c>
      <c r="B1794" t="s">
        <v>531</v>
      </c>
      <c r="C1794">
        <v>479</v>
      </c>
      <c r="D1794">
        <v>506</v>
      </c>
      <c r="E1794">
        <v>0</v>
      </c>
      <c r="F1794">
        <v>174</v>
      </c>
      <c r="G1794">
        <v>0</v>
      </c>
      <c r="H1794" t="s">
        <v>6721</v>
      </c>
      <c r="I1794">
        <v>2011</v>
      </c>
      <c r="J1794" t="e">
        <f>VLOOKUP(E1794,DSSpieler!A:B,2,FALSE)</f>
        <v>#N/A</v>
      </c>
    </row>
    <row r="1795" spans="1:10" x14ac:dyDescent="0.25">
      <c r="A1795">
        <v>2012</v>
      </c>
      <c r="B1795" t="s">
        <v>796</v>
      </c>
      <c r="C1795">
        <v>486</v>
      </c>
      <c r="D1795">
        <v>491</v>
      </c>
      <c r="E1795">
        <v>1577188101</v>
      </c>
      <c r="F1795">
        <v>4731</v>
      </c>
      <c r="G1795">
        <v>0</v>
      </c>
      <c r="H1795" t="s">
        <v>6722</v>
      </c>
      <c r="I1795">
        <v>2012</v>
      </c>
      <c r="J1795" t="str">
        <f>VLOOKUP(E1795,DSSpieler!A:B,2,FALSE)</f>
        <v>Osman der Erste</v>
      </c>
    </row>
    <row r="1796" spans="1:10" x14ac:dyDescent="0.25">
      <c r="A1796">
        <v>2013</v>
      </c>
      <c r="B1796" t="s">
        <v>31315</v>
      </c>
      <c r="C1796">
        <v>464</v>
      </c>
      <c r="D1796">
        <v>502</v>
      </c>
      <c r="E1796">
        <v>9917381</v>
      </c>
      <c r="F1796">
        <v>7270</v>
      </c>
      <c r="G1796">
        <v>0</v>
      </c>
      <c r="H1796" t="s">
        <v>6723</v>
      </c>
      <c r="I1796">
        <v>2013</v>
      </c>
      <c r="J1796" t="str">
        <f>VLOOKUP(E1796,DSSpieler!A:B,2,FALSE)</f>
        <v>-DRHDT-</v>
      </c>
    </row>
    <row r="1797" spans="1:10" x14ac:dyDescent="0.25">
      <c r="A1797">
        <v>2014</v>
      </c>
      <c r="B1797" t="s">
        <v>31316</v>
      </c>
      <c r="C1797">
        <v>462</v>
      </c>
      <c r="D1797">
        <v>508</v>
      </c>
      <c r="E1797">
        <v>9917381</v>
      </c>
      <c r="F1797">
        <v>5126</v>
      </c>
      <c r="G1797">
        <v>0</v>
      </c>
      <c r="H1797" t="s">
        <v>6724</v>
      </c>
      <c r="I1797">
        <v>2014</v>
      </c>
      <c r="J1797" t="str">
        <f>VLOOKUP(E1797,DSSpieler!A:B,2,FALSE)</f>
        <v>-DRHDT-</v>
      </c>
    </row>
    <row r="1798" spans="1:10" x14ac:dyDescent="0.25">
      <c r="A1798">
        <v>2015</v>
      </c>
      <c r="B1798" t="s">
        <v>31317</v>
      </c>
      <c r="C1798">
        <v>471</v>
      </c>
      <c r="D1798">
        <v>508</v>
      </c>
      <c r="E1798">
        <v>9985043</v>
      </c>
      <c r="F1798">
        <v>6296</v>
      </c>
      <c r="G1798">
        <v>0</v>
      </c>
      <c r="H1798" t="s">
        <v>6725</v>
      </c>
      <c r="I1798">
        <v>2015</v>
      </c>
      <c r="J1798" t="str">
        <f>VLOOKUP(E1798,DSSpieler!A:B,2,FALSE)</f>
        <v>langbeinjonny</v>
      </c>
    </row>
    <row r="1799" spans="1:10" x14ac:dyDescent="0.25">
      <c r="A1799">
        <v>2016</v>
      </c>
      <c r="B1799" t="s">
        <v>31318</v>
      </c>
      <c r="C1799">
        <v>458</v>
      </c>
      <c r="D1799">
        <v>505</v>
      </c>
      <c r="E1799">
        <v>9122692</v>
      </c>
      <c r="F1799">
        <v>6881</v>
      </c>
      <c r="G1799">
        <v>0</v>
      </c>
      <c r="H1799" t="s">
        <v>6726</v>
      </c>
      <c r="I1799">
        <v>2016</v>
      </c>
      <c r="J1799" t="str">
        <f>VLOOKUP(E1799,DSSpieler!A:B,2,FALSE)</f>
        <v>Wiesel 1</v>
      </c>
    </row>
    <row r="1800" spans="1:10" x14ac:dyDescent="0.25">
      <c r="A1800">
        <v>2017</v>
      </c>
      <c r="B1800" t="s">
        <v>31319</v>
      </c>
      <c r="C1800">
        <v>466</v>
      </c>
      <c r="D1800">
        <v>514</v>
      </c>
      <c r="E1800">
        <v>9042651</v>
      </c>
      <c r="F1800">
        <v>6403</v>
      </c>
      <c r="G1800">
        <v>0</v>
      </c>
      <c r="H1800" t="s">
        <v>6727</v>
      </c>
      <c r="I1800">
        <v>2017</v>
      </c>
      <c r="J1800" t="str">
        <f>VLOOKUP(E1800,DSSpieler!A:B,2,FALSE)</f>
        <v>CologneHighlander</v>
      </c>
    </row>
    <row r="1801" spans="1:10" x14ac:dyDescent="0.25">
      <c r="A1801">
        <v>2018</v>
      </c>
      <c r="B1801">
        <v>2</v>
      </c>
      <c r="C1801">
        <v>451</v>
      </c>
      <c r="D1801">
        <v>500</v>
      </c>
      <c r="E1801">
        <v>9763935</v>
      </c>
      <c r="F1801">
        <v>5925</v>
      </c>
      <c r="G1801">
        <v>0</v>
      </c>
      <c r="H1801" t="s">
        <v>6728</v>
      </c>
      <c r="I1801">
        <v>2018</v>
      </c>
      <c r="J1801" t="str">
        <f>VLOOKUP(E1801,DSSpieler!A:B,2,FALSE)</f>
        <v>HiidanX</v>
      </c>
    </row>
    <row r="1802" spans="1:10" x14ac:dyDescent="0.25">
      <c r="A1802">
        <v>2019</v>
      </c>
      <c r="B1802" t="s">
        <v>880</v>
      </c>
      <c r="C1802">
        <v>448</v>
      </c>
      <c r="D1802">
        <v>508</v>
      </c>
      <c r="E1802">
        <v>1576949780</v>
      </c>
      <c r="F1802">
        <v>2963</v>
      </c>
      <c r="G1802">
        <v>0</v>
      </c>
      <c r="H1802" t="s">
        <v>6729</v>
      </c>
      <c r="I1802">
        <v>2019</v>
      </c>
      <c r="J1802" t="str">
        <f>VLOOKUP(E1802,DSSpieler!A:B,2,FALSE)</f>
        <v>Felix1310</v>
      </c>
    </row>
    <row r="1803" spans="1:10" x14ac:dyDescent="0.25">
      <c r="A1803">
        <v>2020</v>
      </c>
      <c r="B1803" t="s">
        <v>531</v>
      </c>
      <c r="C1803">
        <v>458</v>
      </c>
      <c r="D1803">
        <v>512</v>
      </c>
      <c r="E1803">
        <v>0</v>
      </c>
      <c r="F1803">
        <v>204</v>
      </c>
      <c r="G1803">
        <v>0</v>
      </c>
      <c r="H1803" t="s">
        <v>6730</v>
      </c>
      <c r="I1803">
        <v>2020</v>
      </c>
      <c r="J1803" t="e">
        <f>VLOOKUP(E1803,DSSpieler!A:B,2,FALSE)</f>
        <v>#N/A</v>
      </c>
    </row>
    <row r="1804" spans="1:10" x14ac:dyDescent="0.25">
      <c r="A1804">
        <v>2021</v>
      </c>
      <c r="B1804" t="s">
        <v>881</v>
      </c>
      <c r="C1804">
        <v>406</v>
      </c>
      <c r="D1804">
        <v>455</v>
      </c>
      <c r="E1804">
        <v>1576703166</v>
      </c>
      <c r="F1804">
        <v>5993</v>
      </c>
      <c r="G1804">
        <v>0</v>
      </c>
      <c r="H1804" t="s">
        <v>6731</v>
      </c>
      <c r="I1804">
        <v>2021</v>
      </c>
      <c r="J1804" t="str">
        <f>VLOOKUP(E1804,DSSpieler!A:B,2,FALSE)</f>
        <v>Brettvormkopp</v>
      </c>
    </row>
    <row r="1805" spans="1:10" x14ac:dyDescent="0.25">
      <c r="A1805">
        <v>2022</v>
      </c>
      <c r="B1805" t="s">
        <v>31320</v>
      </c>
      <c r="C1805">
        <v>412</v>
      </c>
      <c r="D1805">
        <v>461</v>
      </c>
      <c r="E1805">
        <v>1577146568</v>
      </c>
      <c r="F1805">
        <v>3545</v>
      </c>
      <c r="G1805">
        <v>0</v>
      </c>
      <c r="H1805" t="s">
        <v>6732</v>
      </c>
      <c r="I1805">
        <v>2022</v>
      </c>
      <c r="J1805" t="str">
        <f>VLOOKUP(E1805,DSSpieler!A:B,2,FALSE)</f>
        <v>THEGOO</v>
      </c>
    </row>
    <row r="1806" spans="1:10" x14ac:dyDescent="0.25">
      <c r="A1806">
        <v>2023</v>
      </c>
      <c r="B1806" t="s">
        <v>31321</v>
      </c>
      <c r="C1806">
        <v>405</v>
      </c>
      <c r="D1806">
        <v>461</v>
      </c>
      <c r="E1806">
        <v>374429</v>
      </c>
      <c r="F1806">
        <v>4997</v>
      </c>
      <c r="G1806">
        <v>0</v>
      </c>
      <c r="H1806" t="s">
        <v>6733</v>
      </c>
      <c r="I1806">
        <v>2023</v>
      </c>
      <c r="J1806" t="str">
        <f>VLOOKUP(E1806,DSSpieler!A:B,2,FALSE)</f>
        <v>socca</v>
      </c>
    </row>
    <row r="1807" spans="1:10" x14ac:dyDescent="0.25">
      <c r="A1807">
        <v>2024</v>
      </c>
      <c r="B1807" t="s">
        <v>531</v>
      </c>
      <c r="C1807">
        <v>467</v>
      </c>
      <c r="D1807">
        <v>548</v>
      </c>
      <c r="E1807">
        <v>0</v>
      </c>
      <c r="F1807">
        <v>306</v>
      </c>
      <c r="G1807">
        <v>0</v>
      </c>
      <c r="H1807" t="s">
        <v>6734</v>
      </c>
      <c r="I1807">
        <v>2024</v>
      </c>
      <c r="J1807" t="e">
        <f>VLOOKUP(E1807,DSSpieler!A:B,2,FALSE)</f>
        <v>#N/A</v>
      </c>
    </row>
    <row r="1808" spans="1:10" x14ac:dyDescent="0.25">
      <c r="A1808">
        <v>2025</v>
      </c>
      <c r="B1808" t="s">
        <v>31256</v>
      </c>
      <c r="C1808">
        <v>407</v>
      </c>
      <c r="D1808">
        <v>454</v>
      </c>
      <c r="E1808">
        <v>1576703166</v>
      </c>
      <c r="F1808">
        <v>5412</v>
      </c>
      <c r="G1808">
        <v>0</v>
      </c>
      <c r="H1808" t="s">
        <v>6735</v>
      </c>
      <c r="I1808">
        <v>2025</v>
      </c>
      <c r="J1808" t="str">
        <f>VLOOKUP(E1808,DSSpieler!A:B,2,FALSE)</f>
        <v>Brettvormkopp</v>
      </c>
    </row>
    <row r="1809" spans="1:10" x14ac:dyDescent="0.25">
      <c r="A1809">
        <v>2026</v>
      </c>
      <c r="B1809" t="s">
        <v>31322</v>
      </c>
      <c r="C1809">
        <v>401</v>
      </c>
      <c r="D1809">
        <v>461</v>
      </c>
      <c r="E1809">
        <v>1577199227</v>
      </c>
      <c r="F1809">
        <v>5728</v>
      </c>
      <c r="G1809">
        <v>0</v>
      </c>
      <c r="H1809" t="s">
        <v>6736</v>
      </c>
      <c r="I1809">
        <v>2026</v>
      </c>
      <c r="J1809" t="str">
        <f>VLOOKUP(E1809,DSSpieler!A:B,2,FALSE)</f>
        <v>Kapitän Glühbirne</v>
      </c>
    </row>
    <row r="1810" spans="1:10" x14ac:dyDescent="0.25">
      <c r="A1810">
        <v>2027</v>
      </c>
      <c r="B1810" t="s">
        <v>31323</v>
      </c>
      <c r="C1810">
        <v>410</v>
      </c>
      <c r="D1810">
        <v>439</v>
      </c>
      <c r="E1810">
        <v>1576203801</v>
      </c>
      <c r="F1810">
        <v>4939</v>
      </c>
      <c r="G1810">
        <v>0</v>
      </c>
      <c r="H1810" t="s">
        <v>6737</v>
      </c>
      <c r="I1810">
        <v>2027</v>
      </c>
      <c r="J1810" t="str">
        <f>VLOOKUP(E1810,DSSpieler!A:B,2,FALSE)</f>
        <v>X1312</v>
      </c>
    </row>
    <row r="1811" spans="1:10" x14ac:dyDescent="0.25">
      <c r="A1811">
        <v>2029</v>
      </c>
      <c r="B1811" t="s">
        <v>882</v>
      </c>
      <c r="C1811">
        <v>407</v>
      </c>
      <c r="D1811">
        <v>447</v>
      </c>
      <c r="E1811">
        <v>1576125906</v>
      </c>
      <c r="F1811">
        <v>7065</v>
      </c>
      <c r="G1811">
        <v>0</v>
      </c>
      <c r="H1811" t="s">
        <v>6738</v>
      </c>
      <c r="I1811">
        <v>2029</v>
      </c>
      <c r="J1811" t="str">
        <f>VLOOKUP(E1811,DSSpieler!A:B,2,FALSE)</f>
        <v>Tinca12</v>
      </c>
    </row>
    <row r="1812" spans="1:10" x14ac:dyDescent="0.25">
      <c r="A1812">
        <v>2030</v>
      </c>
      <c r="B1812" t="s">
        <v>35822</v>
      </c>
      <c r="C1812">
        <v>446</v>
      </c>
      <c r="D1812">
        <v>544</v>
      </c>
      <c r="E1812">
        <v>2204623</v>
      </c>
      <c r="F1812">
        <v>4212</v>
      </c>
      <c r="G1812">
        <v>0</v>
      </c>
      <c r="H1812" t="s">
        <v>6739</v>
      </c>
      <c r="I1812">
        <v>2030</v>
      </c>
      <c r="J1812" t="str">
        <f>VLOOKUP(E1812,DSSpieler!A:B,2,FALSE)</f>
        <v>h0ly jesiz</v>
      </c>
    </row>
    <row r="1813" spans="1:10" x14ac:dyDescent="0.25">
      <c r="A1813">
        <v>2031</v>
      </c>
      <c r="B1813" t="s">
        <v>31324</v>
      </c>
      <c r="C1813">
        <v>443</v>
      </c>
      <c r="D1813">
        <v>540</v>
      </c>
      <c r="E1813">
        <v>1577197719</v>
      </c>
      <c r="F1813">
        <v>5635</v>
      </c>
      <c r="G1813">
        <v>0</v>
      </c>
      <c r="H1813" t="s">
        <v>6740</v>
      </c>
      <c r="I1813">
        <v>2031</v>
      </c>
      <c r="J1813" t="str">
        <f>VLOOKUP(E1813,DSSpieler!A:B,2,FALSE)</f>
        <v>ttprofi</v>
      </c>
    </row>
    <row r="1814" spans="1:10" x14ac:dyDescent="0.25">
      <c r="A1814">
        <v>2032</v>
      </c>
      <c r="B1814" t="s">
        <v>883</v>
      </c>
      <c r="C1814">
        <v>444</v>
      </c>
      <c r="D1814">
        <v>540</v>
      </c>
      <c r="E1814">
        <v>1577197458</v>
      </c>
      <c r="F1814">
        <v>3567</v>
      </c>
      <c r="G1814">
        <v>0</v>
      </c>
      <c r="H1814" t="s">
        <v>6741</v>
      </c>
      <c r="I1814">
        <v>2032</v>
      </c>
      <c r="J1814" t="str">
        <f>VLOOKUP(E1814,DSSpieler!A:B,2,FALSE)</f>
        <v>Earny</v>
      </c>
    </row>
    <row r="1815" spans="1:10" x14ac:dyDescent="0.25">
      <c r="A1815">
        <v>2033</v>
      </c>
      <c r="B1815" t="s">
        <v>31325</v>
      </c>
      <c r="C1815">
        <v>452</v>
      </c>
      <c r="D1815">
        <v>525</v>
      </c>
      <c r="E1815">
        <v>1577181005</v>
      </c>
      <c r="F1815">
        <v>3541</v>
      </c>
      <c r="G1815">
        <v>0</v>
      </c>
      <c r="H1815" t="s">
        <v>6742</v>
      </c>
      <c r="I1815">
        <v>2033</v>
      </c>
      <c r="J1815" t="str">
        <f>VLOOKUP(E1815,DSSpieler!A:B,2,FALSE)</f>
        <v>Borchi</v>
      </c>
    </row>
    <row r="1816" spans="1:10" x14ac:dyDescent="0.25">
      <c r="A1816">
        <v>2034</v>
      </c>
      <c r="B1816" t="s">
        <v>884</v>
      </c>
      <c r="C1816">
        <v>446</v>
      </c>
      <c r="D1816">
        <v>534</v>
      </c>
      <c r="E1816">
        <v>2204623</v>
      </c>
      <c r="F1816">
        <v>4704</v>
      </c>
      <c r="G1816">
        <v>0</v>
      </c>
      <c r="H1816" t="s">
        <v>6743</v>
      </c>
      <c r="I1816">
        <v>2034</v>
      </c>
      <c r="J1816" t="str">
        <f>VLOOKUP(E1816,DSSpieler!A:B,2,FALSE)</f>
        <v>h0ly jesiz</v>
      </c>
    </row>
    <row r="1817" spans="1:10" x14ac:dyDescent="0.25">
      <c r="A1817">
        <v>2035</v>
      </c>
      <c r="B1817" t="s">
        <v>531</v>
      </c>
      <c r="C1817">
        <v>579</v>
      </c>
      <c r="D1817">
        <v>490</v>
      </c>
      <c r="E1817">
        <v>0</v>
      </c>
      <c r="F1817">
        <v>406</v>
      </c>
      <c r="G1817">
        <v>0</v>
      </c>
      <c r="H1817" t="s">
        <v>6744</v>
      </c>
      <c r="I1817">
        <v>2035</v>
      </c>
      <c r="J1817" t="e">
        <f>VLOOKUP(E1817,DSSpieler!A:B,2,FALSE)</f>
        <v>#N/A</v>
      </c>
    </row>
    <row r="1818" spans="1:10" x14ac:dyDescent="0.25">
      <c r="A1818">
        <v>2036</v>
      </c>
      <c r="B1818" t="s">
        <v>31326</v>
      </c>
      <c r="C1818">
        <v>457</v>
      </c>
      <c r="D1818">
        <v>535</v>
      </c>
      <c r="E1818">
        <v>1577190592</v>
      </c>
      <c r="F1818">
        <v>165</v>
      </c>
      <c r="G1818">
        <v>0</v>
      </c>
      <c r="H1818" t="s">
        <v>6745</v>
      </c>
      <c r="I1818">
        <v>2036</v>
      </c>
      <c r="J1818" t="str">
        <f>VLOOKUP(E1818,DSSpieler!A:B,2,FALSE)</f>
        <v>Henrik.040</v>
      </c>
    </row>
    <row r="1819" spans="1:10" x14ac:dyDescent="0.25">
      <c r="A1819">
        <v>2037</v>
      </c>
      <c r="B1819" t="s">
        <v>531</v>
      </c>
      <c r="C1819">
        <v>451</v>
      </c>
      <c r="D1819">
        <v>527</v>
      </c>
      <c r="E1819">
        <v>0</v>
      </c>
      <c r="F1819">
        <v>401</v>
      </c>
      <c r="G1819">
        <v>0</v>
      </c>
      <c r="H1819" t="s">
        <v>6746</v>
      </c>
      <c r="I1819">
        <v>2037</v>
      </c>
      <c r="J1819" t="e">
        <f>VLOOKUP(E1819,DSSpieler!A:B,2,FALSE)</f>
        <v>#N/A</v>
      </c>
    </row>
    <row r="1820" spans="1:10" x14ac:dyDescent="0.25">
      <c r="A1820">
        <v>2038</v>
      </c>
      <c r="B1820" t="s">
        <v>31327</v>
      </c>
      <c r="C1820">
        <v>447</v>
      </c>
      <c r="D1820">
        <v>548</v>
      </c>
      <c r="E1820">
        <v>1576992563</v>
      </c>
      <c r="F1820">
        <v>5571</v>
      </c>
      <c r="G1820">
        <v>0</v>
      </c>
      <c r="H1820" t="s">
        <v>6747</v>
      </c>
      <c r="I1820">
        <v>2038</v>
      </c>
      <c r="J1820" t="str">
        <f>VLOOKUP(E1820,DSSpieler!A:B,2,FALSE)</f>
        <v>Flay</v>
      </c>
    </row>
    <row r="1821" spans="1:10" x14ac:dyDescent="0.25">
      <c r="A1821">
        <v>2039</v>
      </c>
      <c r="B1821" t="s">
        <v>31328</v>
      </c>
      <c r="C1821">
        <v>449</v>
      </c>
      <c r="D1821">
        <v>527</v>
      </c>
      <c r="E1821">
        <v>1577196227</v>
      </c>
      <c r="F1821">
        <v>1875</v>
      </c>
      <c r="G1821">
        <v>0</v>
      </c>
      <c r="H1821" t="s">
        <v>6748</v>
      </c>
      <c r="I1821">
        <v>2039</v>
      </c>
      <c r="J1821" t="str">
        <f>VLOOKUP(E1821,DSSpieler!A:B,2,FALSE)</f>
        <v>EuPhArDi</v>
      </c>
    </row>
    <row r="1822" spans="1:10" x14ac:dyDescent="0.25">
      <c r="A1822">
        <v>2040</v>
      </c>
      <c r="B1822" t="s">
        <v>31329</v>
      </c>
      <c r="C1822">
        <v>449</v>
      </c>
      <c r="D1822">
        <v>530</v>
      </c>
      <c r="E1822">
        <v>1577181005</v>
      </c>
      <c r="F1822">
        <v>3401</v>
      </c>
      <c r="G1822">
        <v>0</v>
      </c>
      <c r="H1822" t="s">
        <v>6749</v>
      </c>
      <c r="I1822">
        <v>2040</v>
      </c>
      <c r="J1822" t="str">
        <f>VLOOKUP(E1822,DSSpieler!A:B,2,FALSE)</f>
        <v>Borchi</v>
      </c>
    </row>
    <row r="1823" spans="1:10" x14ac:dyDescent="0.25">
      <c r="A1823">
        <v>2041</v>
      </c>
      <c r="B1823" t="s">
        <v>885</v>
      </c>
      <c r="C1823">
        <v>447</v>
      </c>
      <c r="D1823">
        <v>535</v>
      </c>
      <c r="E1823">
        <v>2204623</v>
      </c>
      <c r="F1823">
        <v>3291</v>
      </c>
      <c r="G1823">
        <v>0</v>
      </c>
      <c r="H1823" t="s">
        <v>6750</v>
      </c>
      <c r="I1823">
        <v>2041</v>
      </c>
      <c r="J1823" t="str">
        <f>VLOOKUP(E1823,DSSpieler!A:B,2,FALSE)</f>
        <v>h0ly jesiz</v>
      </c>
    </row>
    <row r="1824" spans="1:10" x14ac:dyDescent="0.25">
      <c r="A1824">
        <v>2042</v>
      </c>
      <c r="B1824" t="s">
        <v>31330</v>
      </c>
      <c r="C1824">
        <v>504</v>
      </c>
      <c r="D1824">
        <v>526</v>
      </c>
      <c r="E1824">
        <v>1577192797</v>
      </c>
      <c r="F1824">
        <v>7612</v>
      </c>
      <c r="G1824">
        <v>0</v>
      </c>
      <c r="H1824" t="s">
        <v>6751</v>
      </c>
      <c r="I1824">
        <v>2042</v>
      </c>
      <c r="J1824" t="str">
        <f>VLOOKUP(E1824,DSSpieler!A:B,2,FALSE)</f>
        <v>Screaper90</v>
      </c>
    </row>
    <row r="1825" spans="1:10" x14ac:dyDescent="0.25">
      <c r="A1825">
        <v>2043</v>
      </c>
      <c r="B1825" t="s">
        <v>31331</v>
      </c>
      <c r="C1825">
        <v>502</v>
      </c>
      <c r="D1825">
        <v>532</v>
      </c>
      <c r="E1825">
        <v>10074124</v>
      </c>
      <c r="F1825">
        <v>4010</v>
      </c>
      <c r="G1825">
        <v>0</v>
      </c>
      <c r="H1825" t="s">
        <v>6752</v>
      </c>
      <c r="I1825">
        <v>2043</v>
      </c>
      <c r="J1825" t="str">
        <f>VLOOKUP(E1825,DSSpieler!A:B,2,FALSE)</f>
        <v>Ojeh</v>
      </c>
    </row>
    <row r="1826" spans="1:10" x14ac:dyDescent="0.25">
      <c r="A1826">
        <v>2044</v>
      </c>
      <c r="B1826" t="s">
        <v>531</v>
      </c>
      <c r="C1826">
        <v>531</v>
      </c>
      <c r="D1826">
        <v>427</v>
      </c>
      <c r="E1826">
        <v>0</v>
      </c>
      <c r="F1826">
        <v>345</v>
      </c>
      <c r="G1826">
        <v>0</v>
      </c>
      <c r="H1826" t="s">
        <v>6753</v>
      </c>
      <c r="I1826">
        <v>2044</v>
      </c>
      <c r="J1826" t="e">
        <f>VLOOKUP(E1826,DSSpieler!A:B,2,FALSE)</f>
        <v>#N/A</v>
      </c>
    </row>
    <row r="1827" spans="1:10" x14ac:dyDescent="0.25">
      <c r="A1827">
        <v>2045</v>
      </c>
      <c r="B1827" t="s">
        <v>886</v>
      </c>
      <c r="C1827">
        <v>509</v>
      </c>
      <c r="D1827">
        <v>525</v>
      </c>
      <c r="E1827">
        <v>1577192755</v>
      </c>
      <c r="F1827">
        <v>6697</v>
      </c>
      <c r="G1827">
        <v>0</v>
      </c>
      <c r="H1827" t="s">
        <v>6754</v>
      </c>
      <c r="I1827">
        <v>2045</v>
      </c>
      <c r="J1827" t="str">
        <f>VLOOKUP(E1827,DSSpieler!A:B,2,FALSE)</f>
        <v>laura1504</v>
      </c>
    </row>
    <row r="1828" spans="1:10" x14ac:dyDescent="0.25">
      <c r="A1828">
        <v>2046</v>
      </c>
      <c r="B1828" t="s">
        <v>31332</v>
      </c>
      <c r="C1828">
        <v>502</v>
      </c>
      <c r="D1828">
        <v>527</v>
      </c>
      <c r="E1828">
        <v>9887827</v>
      </c>
      <c r="F1828">
        <v>4350</v>
      </c>
      <c r="G1828">
        <v>0</v>
      </c>
      <c r="H1828" t="s">
        <v>6755</v>
      </c>
      <c r="I1828">
        <v>2046</v>
      </c>
      <c r="J1828" t="str">
        <f>VLOOKUP(E1828,DSSpieler!A:B,2,FALSE)</f>
        <v>SonGekko</v>
      </c>
    </row>
    <row r="1829" spans="1:10" x14ac:dyDescent="0.25">
      <c r="A1829">
        <v>2047</v>
      </c>
      <c r="B1829" t="s">
        <v>30649</v>
      </c>
      <c r="C1829">
        <v>506</v>
      </c>
      <c r="D1829">
        <v>536</v>
      </c>
      <c r="E1829">
        <v>1577192797</v>
      </c>
      <c r="F1829">
        <v>7017</v>
      </c>
      <c r="G1829">
        <v>0</v>
      </c>
      <c r="H1829" t="s">
        <v>6756</v>
      </c>
      <c r="I1829">
        <v>2047</v>
      </c>
      <c r="J1829" t="str">
        <f>VLOOKUP(E1829,DSSpieler!A:B,2,FALSE)</f>
        <v>Screaper90</v>
      </c>
    </row>
    <row r="1830" spans="1:10" x14ac:dyDescent="0.25">
      <c r="A1830">
        <v>2048</v>
      </c>
      <c r="B1830" t="s">
        <v>887</v>
      </c>
      <c r="C1830">
        <v>505</v>
      </c>
      <c r="D1830">
        <v>539</v>
      </c>
      <c r="E1830">
        <v>1577193491</v>
      </c>
      <c r="F1830">
        <v>6284</v>
      </c>
      <c r="G1830">
        <v>0</v>
      </c>
      <c r="H1830" t="s">
        <v>6757</v>
      </c>
      <c r="I1830">
        <v>2048</v>
      </c>
      <c r="J1830" t="str">
        <f>VLOOKUP(E1830,DSSpieler!A:B,2,FALSE)</f>
        <v>RRwoody</v>
      </c>
    </row>
    <row r="1831" spans="1:10" x14ac:dyDescent="0.25">
      <c r="A1831">
        <v>2049</v>
      </c>
      <c r="B1831" t="s">
        <v>31333</v>
      </c>
      <c r="C1831">
        <v>502</v>
      </c>
      <c r="D1831">
        <v>546</v>
      </c>
      <c r="E1831">
        <v>1577193491</v>
      </c>
      <c r="F1831">
        <v>3725</v>
      </c>
      <c r="G1831">
        <v>0</v>
      </c>
      <c r="H1831" t="s">
        <v>6758</v>
      </c>
      <c r="I1831">
        <v>2049</v>
      </c>
      <c r="J1831" t="str">
        <f>VLOOKUP(E1831,DSSpieler!A:B,2,FALSE)</f>
        <v>RRwoody</v>
      </c>
    </row>
    <row r="1832" spans="1:10" x14ac:dyDescent="0.25">
      <c r="A1832">
        <v>2050</v>
      </c>
      <c r="B1832" t="s">
        <v>888</v>
      </c>
      <c r="C1832">
        <v>511</v>
      </c>
      <c r="D1832">
        <v>532</v>
      </c>
      <c r="E1832">
        <v>2368794</v>
      </c>
      <c r="F1832">
        <v>5039</v>
      </c>
      <c r="G1832">
        <v>0</v>
      </c>
      <c r="H1832" t="s">
        <v>6759</v>
      </c>
      <c r="I1832">
        <v>2050</v>
      </c>
      <c r="J1832" t="str">
        <f>VLOOKUP(E1832,DSSpieler!A:B,2,FALSE)</f>
        <v>Fransl</v>
      </c>
    </row>
    <row r="1833" spans="1:10" x14ac:dyDescent="0.25">
      <c r="A1833">
        <v>2051</v>
      </c>
      <c r="B1833" t="s">
        <v>889</v>
      </c>
      <c r="C1833">
        <v>497</v>
      </c>
      <c r="D1833">
        <v>538</v>
      </c>
      <c r="E1833">
        <v>10074124</v>
      </c>
      <c r="F1833">
        <v>4437</v>
      </c>
      <c r="G1833">
        <v>0</v>
      </c>
      <c r="H1833" t="s">
        <v>6760</v>
      </c>
      <c r="I1833">
        <v>2051</v>
      </c>
      <c r="J1833" t="str">
        <f>VLOOKUP(E1833,DSSpieler!A:B,2,FALSE)</f>
        <v>Ojeh</v>
      </c>
    </row>
    <row r="1834" spans="1:10" x14ac:dyDescent="0.25">
      <c r="A1834">
        <v>2055</v>
      </c>
      <c r="B1834" t="s">
        <v>531</v>
      </c>
      <c r="C1834">
        <v>438</v>
      </c>
      <c r="D1834">
        <v>498</v>
      </c>
      <c r="E1834">
        <v>0</v>
      </c>
      <c r="F1834">
        <v>508</v>
      </c>
      <c r="G1834">
        <v>0</v>
      </c>
      <c r="H1834" t="s">
        <v>6761</v>
      </c>
      <c r="I1834">
        <v>2055</v>
      </c>
      <c r="J1834" t="e">
        <f>VLOOKUP(E1834,DSSpieler!A:B,2,FALSE)</f>
        <v>#N/A</v>
      </c>
    </row>
    <row r="1835" spans="1:10" x14ac:dyDescent="0.25">
      <c r="A1835">
        <v>2056</v>
      </c>
      <c r="B1835" t="s">
        <v>890</v>
      </c>
      <c r="C1835">
        <v>563</v>
      </c>
      <c r="D1835">
        <v>412</v>
      </c>
      <c r="E1835">
        <v>10028664</v>
      </c>
      <c r="F1835">
        <v>7139</v>
      </c>
      <c r="G1835">
        <v>0</v>
      </c>
      <c r="H1835" t="s">
        <v>6762</v>
      </c>
      <c r="I1835">
        <v>2056</v>
      </c>
      <c r="J1835" t="str">
        <f>VLOOKUP(E1835,DSSpieler!A:B,2,FALSE)</f>
        <v>Waldinator3005</v>
      </c>
    </row>
    <row r="1836" spans="1:10" x14ac:dyDescent="0.25">
      <c r="A1836">
        <v>2057</v>
      </c>
      <c r="B1836" t="s">
        <v>31334</v>
      </c>
      <c r="C1836">
        <v>561</v>
      </c>
      <c r="D1836">
        <v>416</v>
      </c>
      <c r="E1836">
        <v>1575855752</v>
      </c>
      <c r="F1836">
        <v>6042</v>
      </c>
      <c r="G1836">
        <v>0</v>
      </c>
      <c r="H1836" t="s">
        <v>6763</v>
      </c>
      <c r="I1836">
        <v>2057</v>
      </c>
      <c r="J1836" t="str">
        <f>VLOOKUP(E1836,DSSpieler!A:B,2,FALSE)</f>
        <v>michaelsch</v>
      </c>
    </row>
    <row r="1837" spans="1:10" x14ac:dyDescent="0.25">
      <c r="A1837">
        <v>2058</v>
      </c>
      <c r="B1837" t="s">
        <v>31335</v>
      </c>
      <c r="C1837">
        <v>558</v>
      </c>
      <c r="D1837">
        <v>404</v>
      </c>
      <c r="E1837">
        <v>1575899639</v>
      </c>
      <c r="F1837">
        <v>7228</v>
      </c>
      <c r="G1837">
        <v>0</v>
      </c>
      <c r="H1837" t="s">
        <v>6764</v>
      </c>
      <c r="I1837">
        <v>2058</v>
      </c>
      <c r="J1837" t="str">
        <f>VLOOKUP(E1837,DSSpieler!A:B,2,FALSE)</f>
        <v>psycho-destroyer</v>
      </c>
    </row>
    <row r="1838" spans="1:10" x14ac:dyDescent="0.25">
      <c r="A1838">
        <v>2059</v>
      </c>
      <c r="B1838" t="s">
        <v>31336</v>
      </c>
      <c r="C1838">
        <v>559</v>
      </c>
      <c r="D1838">
        <v>409</v>
      </c>
      <c r="E1838">
        <v>1577005357</v>
      </c>
      <c r="F1838">
        <v>5774</v>
      </c>
      <c r="G1838">
        <v>0</v>
      </c>
      <c r="H1838" t="s">
        <v>6765</v>
      </c>
      <c r="I1838">
        <v>2059</v>
      </c>
      <c r="J1838" t="str">
        <f>VLOOKUP(E1838,DSSpieler!A:B,2,FALSE)</f>
        <v>Arcentay</v>
      </c>
    </row>
    <row r="1839" spans="1:10" x14ac:dyDescent="0.25">
      <c r="A1839">
        <v>2060</v>
      </c>
      <c r="B1839" t="s">
        <v>31337</v>
      </c>
      <c r="C1839">
        <v>557</v>
      </c>
      <c r="D1839">
        <v>422</v>
      </c>
      <c r="E1839">
        <v>1575855752</v>
      </c>
      <c r="F1839">
        <v>6361</v>
      </c>
      <c r="G1839">
        <v>0</v>
      </c>
      <c r="H1839" t="s">
        <v>6766</v>
      </c>
      <c r="I1839">
        <v>2060</v>
      </c>
      <c r="J1839" t="str">
        <f>VLOOKUP(E1839,DSSpieler!A:B,2,FALSE)</f>
        <v>michaelsch</v>
      </c>
    </row>
    <row r="1840" spans="1:10" x14ac:dyDescent="0.25">
      <c r="A1840">
        <v>2061</v>
      </c>
      <c r="B1840" t="s">
        <v>531</v>
      </c>
      <c r="C1840">
        <v>487</v>
      </c>
      <c r="D1840">
        <v>513</v>
      </c>
      <c r="E1840">
        <v>0</v>
      </c>
      <c r="F1840">
        <v>183</v>
      </c>
      <c r="G1840">
        <v>0</v>
      </c>
      <c r="H1840" t="s">
        <v>6767</v>
      </c>
      <c r="I1840">
        <v>2061</v>
      </c>
      <c r="J1840" t="e">
        <f>VLOOKUP(E1840,DSSpieler!A:B,2,FALSE)</f>
        <v>#N/A</v>
      </c>
    </row>
    <row r="1841" spans="1:10" x14ac:dyDescent="0.25">
      <c r="A1841">
        <v>2062</v>
      </c>
      <c r="B1841" t="s">
        <v>531</v>
      </c>
      <c r="C1841">
        <v>477</v>
      </c>
      <c r="D1841">
        <v>515</v>
      </c>
      <c r="E1841">
        <v>0</v>
      </c>
      <c r="F1841">
        <v>207</v>
      </c>
      <c r="G1841">
        <v>0</v>
      </c>
      <c r="H1841" t="s">
        <v>6768</v>
      </c>
      <c r="I1841">
        <v>2062</v>
      </c>
      <c r="J1841" t="e">
        <f>VLOOKUP(E1841,DSSpieler!A:B,2,FALSE)</f>
        <v>#N/A</v>
      </c>
    </row>
    <row r="1842" spans="1:10" x14ac:dyDescent="0.25">
      <c r="A1842">
        <v>2063</v>
      </c>
      <c r="B1842" t="s">
        <v>31338</v>
      </c>
      <c r="C1842">
        <v>559</v>
      </c>
      <c r="D1842">
        <v>411</v>
      </c>
      <c r="E1842">
        <v>1577005357</v>
      </c>
      <c r="F1842">
        <v>4730</v>
      </c>
      <c r="G1842">
        <v>0</v>
      </c>
      <c r="H1842" t="s">
        <v>6769</v>
      </c>
      <c r="I1842">
        <v>2063</v>
      </c>
      <c r="J1842" t="str">
        <f>VLOOKUP(E1842,DSSpieler!A:B,2,FALSE)</f>
        <v>Arcentay</v>
      </c>
    </row>
    <row r="1843" spans="1:10" x14ac:dyDescent="0.25">
      <c r="A1843">
        <v>2064</v>
      </c>
      <c r="B1843" t="s">
        <v>531</v>
      </c>
      <c r="C1843">
        <v>502</v>
      </c>
      <c r="D1843">
        <v>580</v>
      </c>
      <c r="E1843">
        <v>0</v>
      </c>
      <c r="F1843">
        <v>342</v>
      </c>
      <c r="G1843">
        <v>0</v>
      </c>
      <c r="H1843" t="s">
        <v>6770</v>
      </c>
      <c r="I1843">
        <v>2064</v>
      </c>
      <c r="J1843" t="e">
        <f>VLOOKUP(E1843,DSSpieler!A:B,2,FALSE)</f>
        <v>#N/A</v>
      </c>
    </row>
    <row r="1844" spans="1:10" x14ac:dyDescent="0.25">
      <c r="A1844">
        <v>2065</v>
      </c>
      <c r="B1844" t="s">
        <v>31339</v>
      </c>
      <c r="C1844">
        <v>560</v>
      </c>
      <c r="D1844">
        <v>413</v>
      </c>
      <c r="E1844">
        <v>1577185982</v>
      </c>
      <c r="F1844">
        <v>4862</v>
      </c>
      <c r="G1844">
        <v>0</v>
      </c>
      <c r="H1844" t="s">
        <v>6771</v>
      </c>
      <c r="I1844">
        <v>2065</v>
      </c>
      <c r="J1844" t="str">
        <f>VLOOKUP(E1844,DSSpieler!A:B,2,FALSE)</f>
        <v>benthin</v>
      </c>
    </row>
    <row r="1845" spans="1:10" x14ac:dyDescent="0.25">
      <c r="A1845">
        <v>2066</v>
      </c>
      <c r="B1845" t="s">
        <v>31340</v>
      </c>
      <c r="C1845">
        <v>448</v>
      </c>
      <c r="D1845">
        <v>599</v>
      </c>
      <c r="E1845">
        <v>9675094</v>
      </c>
      <c r="F1845">
        <v>5837</v>
      </c>
      <c r="G1845">
        <v>0</v>
      </c>
      <c r="H1845" t="s">
        <v>6772</v>
      </c>
      <c r="I1845">
        <v>2066</v>
      </c>
      <c r="J1845" t="str">
        <f>VLOOKUP(E1845,DSSpieler!A:B,2,FALSE)</f>
        <v>Lumpi1995</v>
      </c>
    </row>
    <row r="1846" spans="1:10" x14ac:dyDescent="0.25">
      <c r="A1846">
        <v>2067</v>
      </c>
      <c r="B1846" t="s">
        <v>31341</v>
      </c>
      <c r="C1846">
        <v>461</v>
      </c>
      <c r="D1846">
        <v>594</v>
      </c>
      <c r="E1846">
        <v>1576572176</v>
      </c>
      <c r="F1846">
        <v>6620</v>
      </c>
      <c r="G1846">
        <v>0</v>
      </c>
      <c r="H1846" t="s">
        <v>6773</v>
      </c>
      <c r="I1846">
        <v>2067</v>
      </c>
      <c r="J1846" t="str">
        <f>VLOOKUP(E1846,DSSpieler!A:B,2,FALSE)</f>
        <v>Skellini</v>
      </c>
    </row>
    <row r="1847" spans="1:10" x14ac:dyDescent="0.25">
      <c r="A1847">
        <v>2068</v>
      </c>
      <c r="B1847" t="s">
        <v>31342</v>
      </c>
      <c r="C1847">
        <v>525</v>
      </c>
      <c r="D1847">
        <v>549</v>
      </c>
      <c r="E1847">
        <v>7953081</v>
      </c>
      <c r="F1847">
        <v>430</v>
      </c>
      <c r="G1847">
        <v>0</v>
      </c>
      <c r="H1847" t="s">
        <v>6774</v>
      </c>
      <c r="I1847">
        <v>2068</v>
      </c>
      <c r="J1847" t="str">
        <f>VLOOKUP(E1847,DSSpieler!A:B,2,FALSE)</f>
        <v>circe01</v>
      </c>
    </row>
    <row r="1848" spans="1:10" x14ac:dyDescent="0.25">
      <c r="A1848">
        <v>2069</v>
      </c>
      <c r="B1848" t="s">
        <v>31343</v>
      </c>
      <c r="C1848">
        <v>452</v>
      </c>
      <c r="D1848">
        <v>602</v>
      </c>
      <c r="E1848">
        <v>8682440</v>
      </c>
      <c r="F1848">
        <v>5795</v>
      </c>
      <c r="G1848">
        <v>0</v>
      </c>
      <c r="H1848" t="s">
        <v>6775</v>
      </c>
      <c r="I1848">
        <v>2069</v>
      </c>
      <c r="J1848" t="str">
        <f>VLOOKUP(E1848,DSSpieler!A:B,2,FALSE)</f>
        <v>Ghetto-Nudel</v>
      </c>
    </row>
    <row r="1849" spans="1:10" x14ac:dyDescent="0.25">
      <c r="A1849">
        <v>2070</v>
      </c>
      <c r="B1849" t="s">
        <v>31344</v>
      </c>
      <c r="C1849">
        <v>510</v>
      </c>
      <c r="D1849">
        <v>469</v>
      </c>
      <c r="E1849">
        <v>1576471055</v>
      </c>
      <c r="F1849">
        <v>4714</v>
      </c>
      <c r="G1849">
        <v>0</v>
      </c>
      <c r="H1849" t="s">
        <v>6776</v>
      </c>
      <c r="I1849">
        <v>2070</v>
      </c>
      <c r="J1849" t="str">
        <f>VLOOKUP(E1849,DSSpieler!A:B,2,FALSE)</f>
        <v>Wonderboy-</v>
      </c>
    </row>
    <row r="1850" spans="1:10" x14ac:dyDescent="0.25">
      <c r="A1850">
        <v>2072</v>
      </c>
      <c r="B1850" t="s">
        <v>531</v>
      </c>
      <c r="C1850">
        <v>498</v>
      </c>
      <c r="D1850">
        <v>517</v>
      </c>
      <c r="E1850">
        <v>0</v>
      </c>
      <c r="F1850">
        <v>302</v>
      </c>
      <c r="G1850">
        <v>0</v>
      </c>
      <c r="H1850" t="s">
        <v>6777</v>
      </c>
      <c r="I1850">
        <v>2072</v>
      </c>
      <c r="J1850" t="e">
        <f>VLOOKUP(E1850,DSSpieler!A:B,2,FALSE)</f>
        <v>#N/A</v>
      </c>
    </row>
    <row r="1851" spans="1:10" x14ac:dyDescent="0.25">
      <c r="A1851">
        <v>2074</v>
      </c>
      <c r="B1851" t="s">
        <v>531</v>
      </c>
      <c r="C1851">
        <v>429</v>
      </c>
      <c r="D1851">
        <v>524</v>
      </c>
      <c r="E1851">
        <v>0</v>
      </c>
      <c r="F1851">
        <v>421</v>
      </c>
      <c r="G1851">
        <v>0</v>
      </c>
      <c r="H1851" t="s">
        <v>6778</v>
      </c>
      <c r="I1851">
        <v>2074</v>
      </c>
      <c r="J1851" t="e">
        <f>VLOOKUP(E1851,DSSpieler!A:B,2,FALSE)</f>
        <v>#N/A</v>
      </c>
    </row>
    <row r="1852" spans="1:10" x14ac:dyDescent="0.25">
      <c r="A1852">
        <v>2076</v>
      </c>
      <c r="B1852" t="s">
        <v>891</v>
      </c>
      <c r="C1852">
        <v>465</v>
      </c>
      <c r="D1852">
        <v>486</v>
      </c>
      <c r="E1852">
        <v>2372498</v>
      </c>
      <c r="F1852">
        <v>6730</v>
      </c>
      <c r="G1852">
        <v>0</v>
      </c>
      <c r="H1852" t="s">
        <v>6779</v>
      </c>
      <c r="I1852">
        <v>2076</v>
      </c>
      <c r="J1852" t="str">
        <f>VLOOKUP(E1852,DSSpieler!A:B,2,FALSE)</f>
        <v>Vulshok77</v>
      </c>
    </row>
    <row r="1853" spans="1:10" x14ac:dyDescent="0.25">
      <c r="A1853">
        <v>2077</v>
      </c>
      <c r="B1853" t="s">
        <v>531</v>
      </c>
      <c r="C1853">
        <v>538</v>
      </c>
      <c r="D1853">
        <v>480</v>
      </c>
      <c r="E1853">
        <v>0</v>
      </c>
      <c r="F1853">
        <v>434</v>
      </c>
      <c r="G1853">
        <v>0</v>
      </c>
      <c r="H1853" t="s">
        <v>6780</v>
      </c>
      <c r="I1853">
        <v>2077</v>
      </c>
      <c r="J1853" t="e">
        <f>VLOOKUP(E1853,DSSpieler!A:B,2,FALSE)</f>
        <v>#N/A</v>
      </c>
    </row>
    <row r="1854" spans="1:10" x14ac:dyDescent="0.25">
      <c r="A1854">
        <v>2078</v>
      </c>
      <c r="B1854" t="s">
        <v>31345</v>
      </c>
      <c r="C1854">
        <v>464</v>
      </c>
      <c r="D1854">
        <v>488</v>
      </c>
      <c r="E1854">
        <v>10202681</v>
      </c>
      <c r="F1854">
        <v>4473</v>
      </c>
      <c r="G1854">
        <v>0</v>
      </c>
      <c r="H1854" t="s">
        <v>6781</v>
      </c>
      <c r="I1854">
        <v>2078</v>
      </c>
      <c r="J1854" t="str">
        <f>VLOOKUP(E1854,DSSpieler!A:B,2,FALSE)</f>
        <v>mitu</v>
      </c>
    </row>
    <row r="1855" spans="1:10" x14ac:dyDescent="0.25">
      <c r="A1855">
        <v>2079</v>
      </c>
      <c r="B1855" t="s">
        <v>31346</v>
      </c>
      <c r="C1855">
        <v>470</v>
      </c>
      <c r="D1855">
        <v>490</v>
      </c>
      <c r="E1855">
        <v>1576914417</v>
      </c>
      <c r="F1855">
        <v>1743</v>
      </c>
      <c r="G1855">
        <v>0</v>
      </c>
      <c r="H1855" t="s">
        <v>6782</v>
      </c>
      <c r="I1855">
        <v>2079</v>
      </c>
      <c r="J1855" t="str">
        <f>VLOOKUP(E1855,DSSpieler!A:B,2,FALSE)</f>
        <v>Bonemonkey</v>
      </c>
    </row>
    <row r="1856" spans="1:10" x14ac:dyDescent="0.25">
      <c r="A1856">
        <v>2080</v>
      </c>
      <c r="B1856" t="s">
        <v>892</v>
      </c>
      <c r="C1856">
        <v>461</v>
      </c>
      <c r="D1856">
        <v>488</v>
      </c>
      <c r="E1856">
        <v>1577190679</v>
      </c>
      <c r="F1856">
        <v>6407</v>
      </c>
      <c r="G1856">
        <v>0</v>
      </c>
      <c r="H1856" t="s">
        <v>6783</v>
      </c>
      <c r="I1856">
        <v>2080</v>
      </c>
      <c r="J1856" t="str">
        <f>VLOOKUP(E1856,DSSpieler!A:B,2,FALSE)</f>
        <v>Austriangrizzly</v>
      </c>
    </row>
    <row r="1857" spans="1:10" x14ac:dyDescent="0.25">
      <c r="A1857">
        <v>2081</v>
      </c>
      <c r="B1857" t="s">
        <v>531</v>
      </c>
      <c r="C1857">
        <v>465</v>
      </c>
      <c r="D1857">
        <v>478</v>
      </c>
      <c r="E1857">
        <v>0</v>
      </c>
      <c r="F1857">
        <v>109</v>
      </c>
      <c r="G1857">
        <v>0</v>
      </c>
      <c r="H1857" t="s">
        <v>6784</v>
      </c>
      <c r="I1857">
        <v>2081</v>
      </c>
      <c r="J1857" t="e">
        <f>VLOOKUP(E1857,DSSpieler!A:B,2,FALSE)</f>
        <v>#N/A</v>
      </c>
    </row>
    <row r="1858" spans="1:10" x14ac:dyDescent="0.25">
      <c r="A1858">
        <v>2083</v>
      </c>
      <c r="B1858" t="s">
        <v>31347</v>
      </c>
      <c r="C1858">
        <v>457</v>
      </c>
      <c r="D1858">
        <v>490</v>
      </c>
      <c r="E1858">
        <v>1576862111</v>
      </c>
      <c r="F1858">
        <v>2462</v>
      </c>
      <c r="G1858">
        <v>0</v>
      </c>
      <c r="H1858" t="s">
        <v>6785</v>
      </c>
      <c r="I1858">
        <v>2083</v>
      </c>
      <c r="J1858" t="str">
        <f>VLOOKUP(E1858,DSSpieler!A:B,2,FALSE)</f>
        <v>Tennismuecke</v>
      </c>
    </row>
    <row r="1859" spans="1:10" x14ac:dyDescent="0.25">
      <c r="A1859">
        <v>2084</v>
      </c>
      <c r="B1859" t="s">
        <v>31348</v>
      </c>
      <c r="C1859">
        <v>504</v>
      </c>
      <c r="D1859">
        <v>463</v>
      </c>
      <c r="E1859">
        <v>9923840</v>
      </c>
      <c r="F1859">
        <v>319</v>
      </c>
      <c r="G1859">
        <v>0</v>
      </c>
      <c r="H1859" t="s">
        <v>6786</v>
      </c>
      <c r="I1859">
        <v>2084</v>
      </c>
      <c r="J1859" t="str">
        <f>VLOOKUP(E1859,DSSpieler!A:B,2,FALSE)</f>
        <v>Blöffer</v>
      </c>
    </row>
    <row r="1860" spans="1:10" x14ac:dyDescent="0.25">
      <c r="A1860">
        <v>2085</v>
      </c>
      <c r="B1860" t="s">
        <v>531</v>
      </c>
      <c r="C1860">
        <v>536</v>
      </c>
      <c r="D1860">
        <v>495</v>
      </c>
      <c r="E1860">
        <v>0</v>
      </c>
      <c r="F1860">
        <v>408</v>
      </c>
      <c r="G1860">
        <v>0</v>
      </c>
      <c r="H1860" t="s">
        <v>6787</v>
      </c>
      <c r="I1860">
        <v>2085</v>
      </c>
      <c r="J1860" t="e">
        <f>VLOOKUP(E1860,DSSpieler!A:B,2,FALSE)</f>
        <v>#N/A</v>
      </c>
    </row>
    <row r="1861" spans="1:10" x14ac:dyDescent="0.25">
      <c r="A1861">
        <v>2086</v>
      </c>
      <c r="B1861" t="s">
        <v>546</v>
      </c>
      <c r="C1861">
        <v>494</v>
      </c>
      <c r="D1861">
        <v>468</v>
      </c>
      <c r="E1861">
        <v>1577195111</v>
      </c>
      <c r="F1861">
        <v>2331</v>
      </c>
      <c r="G1861">
        <v>0</v>
      </c>
      <c r="H1861" t="s">
        <v>6788</v>
      </c>
      <c r="I1861">
        <v>2086</v>
      </c>
      <c r="J1861" t="str">
        <f>VLOOKUP(E1861,DSSpieler!A:B,2,FALSE)</f>
        <v>Deathic</v>
      </c>
    </row>
    <row r="1862" spans="1:10" x14ac:dyDescent="0.25">
      <c r="A1862">
        <v>2087</v>
      </c>
      <c r="B1862" t="s">
        <v>546</v>
      </c>
      <c r="C1862">
        <v>493</v>
      </c>
      <c r="D1862">
        <v>470</v>
      </c>
      <c r="E1862">
        <v>1577195111</v>
      </c>
      <c r="F1862">
        <v>6935</v>
      </c>
      <c r="G1862">
        <v>0</v>
      </c>
      <c r="H1862" t="s">
        <v>6789</v>
      </c>
      <c r="I1862">
        <v>2087</v>
      </c>
      <c r="J1862" t="str">
        <f>VLOOKUP(E1862,DSSpieler!A:B,2,FALSE)</f>
        <v>Deathic</v>
      </c>
    </row>
    <row r="1863" spans="1:10" x14ac:dyDescent="0.25">
      <c r="A1863">
        <v>2088</v>
      </c>
      <c r="B1863" t="s">
        <v>531</v>
      </c>
      <c r="C1863">
        <v>491</v>
      </c>
      <c r="D1863">
        <v>476</v>
      </c>
      <c r="E1863">
        <v>0</v>
      </c>
      <c r="F1863">
        <v>282</v>
      </c>
      <c r="G1863">
        <v>0</v>
      </c>
      <c r="H1863" t="s">
        <v>6790</v>
      </c>
      <c r="I1863">
        <v>2088</v>
      </c>
      <c r="J1863" t="e">
        <f>VLOOKUP(E1863,DSSpieler!A:B,2,FALSE)</f>
        <v>#N/A</v>
      </c>
    </row>
    <row r="1864" spans="1:10" x14ac:dyDescent="0.25">
      <c r="A1864">
        <v>2089</v>
      </c>
      <c r="B1864" t="s">
        <v>531</v>
      </c>
      <c r="C1864">
        <v>454</v>
      </c>
      <c r="D1864">
        <v>478</v>
      </c>
      <c r="E1864">
        <v>0</v>
      </c>
      <c r="F1864">
        <v>380</v>
      </c>
      <c r="G1864">
        <v>0</v>
      </c>
      <c r="H1864" t="s">
        <v>6791</v>
      </c>
      <c r="I1864">
        <v>2089</v>
      </c>
      <c r="J1864" t="e">
        <f>VLOOKUP(E1864,DSSpieler!A:B,2,FALSE)</f>
        <v>#N/A</v>
      </c>
    </row>
    <row r="1865" spans="1:10" x14ac:dyDescent="0.25">
      <c r="A1865">
        <v>2090</v>
      </c>
      <c r="B1865" t="s">
        <v>893</v>
      </c>
      <c r="C1865">
        <v>499</v>
      </c>
      <c r="D1865">
        <v>475</v>
      </c>
      <c r="E1865">
        <v>1577181918</v>
      </c>
      <c r="F1865">
        <v>6152</v>
      </c>
      <c r="G1865">
        <v>0</v>
      </c>
      <c r="H1865" t="s">
        <v>6792</v>
      </c>
      <c r="I1865">
        <v>2090</v>
      </c>
      <c r="J1865" t="str">
        <f>VLOOKUP(E1865,DSSpieler!A:B,2,FALSE)</f>
        <v>haddsn</v>
      </c>
    </row>
    <row r="1866" spans="1:10" x14ac:dyDescent="0.25">
      <c r="A1866">
        <v>2091</v>
      </c>
      <c r="B1866" t="s">
        <v>546</v>
      </c>
      <c r="C1866">
        <v>504</v>
      </c>
      <c r="D1866">
        <v>468</v>
      </c>
      <c r="E1866">
        <v>1577101513</v>
      </c>
      <c r="F1866">
        <v>3704</v>
      </c>
      <c r="G1866">
        <v>0</v>
      </c>
      <c r="H1866" t="s">
        <v>6793</v>
      </c>
      <c r="I1866">
        <v>2091</v>
      </c>
      <c r="J1866" t="str">
        <f>VLOOKUP(E1866,DSSpieler!A:B,2,FALSE)</f>
        <v>Christen</v>
      </c>
    </row>
    <row r="1867" spans="1:10" x14ac:dyDescent="0.25">
      <c r="A1867">
        <v>2092</v>
      </c>
      <c r="B1867" t="s">
        <v>31349</v>
      </c>
      <c r="C1867">
        <v>470</v>
      </c>
      <c r="D1867">
        <v>463</v>
      </c>
      <c r="E1867">
        <v>1576674038</v>
      </c>
      <c r="F1867">
        <v>5313</v>
      </c>
      <c r="G1867">
        <v>0</v>
      </c>
      <c r="H1867" t="s">
        <v>6794</v>
      </c>
      <c r="I1867">
        <v>2092</v>
      </c>
      <c r="J1867" t="str">
        <f>VLOOKUP(E1867,DSSpieler!A:B,2,FALSE)</f>
        <v>Maxmaier</v>
      </c>
    </row>
    <row r="1868" spans="1:10" x14ac:dyDescent="0.25">
      <c r="A1868">
        <v>2093</v>
      </c>
      <c r="B1868" t="s">
        <v>556</v>
      </c>
      <c r="C1868">
        <v>522</v>
      </c>
      <c r="D1868">
        <v>477</v>
      </c>
      <c r="E1868">
        <v>1577168732</v>
      </c>
      <c r="F1868">
        <v>2612</v>
      </c>
      <c r="G1868">
        <v>0</v>
      </c>
      <c r="H1868" t="s">
        <v>6795</v>
      </c>
      <c r="I1868">
        <v>2093</v>
      </c>
      <c r="J1868" t="str">
        <f>VLOOKUP(E1868,DSSpieler!A:B,2,FALSE)</f>
        <v>gcz025</v>
      </c>
    </row>
    <row r="1869" spans="1:10" x14ac:dyDescent="0.25">
      <c r="A1869">
        <v>2094</v>
      </c>
      <c r="B1869" t="s">
        <v>31350</v>
      </c>
      <c r="C1869">
        <v>525</v>
      </c>
      <c r="D1869">
        <v>462</v>
      </c>
      <c r="E1869">
        <v>9599376</v>
      </c>
      <c r="F1869">
        <v>5155</v>
      </c>
      <c r="G1869">
        <v>0</v>
      </c>
      <c r="H1869" t="s">
        <v>6796</v>
      </c>
      <c r="I1869">
        <v>2094</v>
      </c>
      <c r="J1869" t="str">
        <f>VLOOKUP(E1869,DSSpieler!A:B,2,FALSE)</f>
        <v>tiktakto70</v>
      </c>
    </row>
    <row r="1870" spans="1:10" x14ac:dyDescent="0.25">
      <c r="A1870">
        <v>2095</v>
      </c>
      <c r="B1870" t="s">
        <v>531</v>
      </c>
      <c r="C1870">
        <v>526</v>
      </c>
      <c r="D1870">
        <v>458</v>
      </c>
      <c r="E1870">
        <v>0</v>
      </c>
      <c r="F1870">
        <v>699</v>
      </c>
      <c r="G1870">
        <v>0</v>
      </c>
      <c r="H1870" t="s">
        <v>6797</v>
      </c>
      <c r="I1870">
        <v>2095</v>
      </c>
      <c r="J1870" t="e">
        <f>VLOOKUP(E1870,DSSpieler!A:B,2,FALSE)</f>
        <v>#N/A</v>
      </c>
    </row>
    <row r="1871" spans="1:10" x14ac:dyDescent="0.25">
      <c r="A1871">
        <v>2096</v>
      </c>
      <c r="B1871" t="s">
        <v>531</v>
      </c>
      <c r="C1871">
        <v>506</v>
      </c>
      <c r="D1871">
        <v>460</v>
      </c>
      <c r="E1871">
        <v>0</v>
      </c>
      <c r="F1871">
        <v>617</v>
      </c>
      <c r="G1871">
        <v>0</v>
      </c>
      <c r="H1871" t="s">
        <v>6798</v>
      </c>
      <c r="I1871">
        <v>2096</v>
      </c>
      <c r="J1871" t="e">
        <f>VLOOKUP(E1871,DSSpieler!A:B,2,FALSE)</f>
        <v>#N/A</v>
      </c>
    </row>
    <row r="1872" spans="1:10" x14ac:dyDescent="0.25">
      <c r="A1872">
        <v>2097</v>
      </c>
      <c r="B1872" t="s">
        <v>31351</v>
      </c>
      <c r="C1872">
        <v>518</v>
      </c>
      <c r="D1872">
        <v>456</v>
      </c>
      <c r="E1872">
        <v>9281141</v>
      </c>
      <c r="F1872">
        <v>2198</v>
      </c>
      <c r="G1872">
        <v>0</v>
      </c>
      <c r="H1872" t="s">
        <v>6799</v>
      </c>
      <c r="I1872">
        <v>2097</v>
      </c>
      <c r="J1872" t="str">
        <f>VLOOKUP(E1872,DSSpieler!A:B,2,FALSE)</f>
        <v>B4ShM4ST3R</v>
      </c>
    </row>
    <row r="1873" spans="1:10" x14ac:dyDescent="0.25">
      <c r="A1873">
        <v>2098</v>
      </c>
      <c r="B1873" t="s">
        <v>531</v>
      </c>
      <c r="C1873">
        <v>530</v>
      </c>
      <c r="D1873">
        <v>503</v>
      </c>
      <c r="E1873">
        <v>0</v>
      </c>
      <c r="F1873">
        <v>202</v>
      </c>
      <c r="G1873">
        <v>0</v>
      </c>
      <c r="H1873" t="s">
        <v>6800</v>
      </c>
      <c r="I1873">
        <v>2098</v>
      </c>
      <c r="J1873" t="e">
        <f>VLOOKUP(E1873,DSSpieler!A:B,2,FALSE)</f>
        <v>#N/A</v>
      </c>
    </row>
    <row r="1874" spans="1:10" x14ac:dyDescent="0.25">
      <c r="A1874">
        <v>2099</v>
      </c>
      <c r="B1874" s="111">
        <v>230.06</v>
      </c>
      <c r="C1874">
        <v>495</v>
      </c>
      <c r="D1874">
        <v>521</v>
      </c>
      <c r="E1874">
        <v>1577196283</v>
      </c>
      <c r="F1874">
        <v>6698</v>
      </c>
      <c r="G1874">
        <v>0</v>
      </c>
      <c r="H1874" t="s">
        <v>6801</v>
      </c>
      <c r="I1874">
        <v>2099</v>
      </c>
      <c r="J1874" t="str">
        <f>VLOOKUP(E1874,DSSpieler!A:B,2,FALSE)</f>
        <v>SupremooZ</v>
      </c>
    </row>
    <row r="1875" spans="1:10" x14ac:dyDescent="0.25">
      <c r="A1875">
        <v>2100</v>
      </c>
      <c r="B1875" t="s">
        <v>894</v>
      </c>
      <c r="C1875">
        <v>479</v>
      </c>
      <c r="D1875">
        <v>583</v>
      </c>
      <c r="E1875">
        <v>9835495</v>
      </c>
      <c r="F1875">
        <v>4323</v>
      </c>
      <c r="G1875">
        <v>0</v>
      </c>
      <c r="H1875" t="s">
        <v>6802</v>
      </c>
      <c r="I1875">
        <v>2100</v>
      </c>
      <c r="J1875" t="str">
        <f>VLOOKUP(E1875,DSSpieler!A:B,2,FALSE)</f>
        <v>MrFreakeffect</v>
      </c>
    </row>
    <row r="1876" spans="1:10" x14ac:dyDescent="0.25">
      <c r="A1876">
        <v>2101</v>
      </c>
      <c r="B1876">
        <v>123</v>
      </c>
      <c r="C1876">
        <v>517</v>
      </c>
      <c r="D1876">
        <v>502</v>
      </c>
      <c r="E1876">
        <v>1576877094</v>
      </c>
      <c r="F1876">
        <v>3808</v>
      </c>
      <c r="G1876">
        <v>0</v>
      </c>
      <c r="H1876" t="s">
        <v>6803</v>
      </c>
      <c r="I1876">
        <v>2101</v>
      </c>
      <c r="J1876" t="str">
        <f>VLOOKUP(E1876,DSSpieler!A:B,2,FALSE)</f>
        <v>wababa</v>
      </c>
    </row>
    <row r="1877" spans="1:10" x14ac:dyDescent="0.25">
      <c r="A1877">
        <v>2102</v>
      </c>
      <c r="B1877" t="s">
        <v>531</v>
      </c>
      <c r="C1877">
        <v>474</v>
      </c>
      <c r="D1877">
        <v>590</v>
      </c>
      <c r="E1877">
        <v>0</v>
      </c>
      <c r="F1877">
        <v>902</v>
      </c>
      <c r="G1877">
        <v>0</v>
      </c>
      <c r="H1877" t="s">
        <v>6804</v>
      </c>
      <c r="I1877">
        <v>2102</v>
      </c>
      <c r="J1877" t="e">
        <f>VLOOKUP(E1877,DSSpieler!A:B,2,FALSE)</f>
        <v>#N/A</v>
      </c>
    </row>
    <row r="1878" spans="1:10" x14ac:dyDescent="0.25">
      <c r="A1878">
        <v>2103</v>
      </c>
      <c r="B1878" t="s">
        <v>895</v>
      </c>
      <c r="C1878">
        <v>507</v>
      </c>
      <c r="D1878">
        <v>517</v>
      </c>
      <c r="E1878">
        <v>1577185051</v>
      </c>
      <c r="F1878">
        <v>704</v>
      </c>
      <c r="G1878">
        <v>0</v>
      </c>
      <c r="H1878" t="s">
        <v>6805</v>
      </c>
      <c r="I1878">
        <v>2103</v>
      </c>
      <c r="J1878" t="str">
        <f>VLOOKUP(E1878,DSSpieler!A:B,2,FALSE)</f>
        <v>road992</v>
      </c>
    </row>
    <row r="1879" spans="1:10" x14ac:dyDescent="0.25">
      <c r="A1879">
        <v>2104</v>
      </c>
      <c r="B1879" t="s">
        <v>896</v>
      </c>
      <c r="C1879">
        <v>506</v>
      </c>
      <c r="D1879">
        <v>520</v>
      </c>
      <c r="E1879">
        <v>1577185051</v>
      </c>
      <c r="F1879">
        <v>344</v>
      </c>
      <c r="G1879">
        <v>0</v>
      </c>
      <c r="H1879" t="s">
        <v>6806</v>
      </c>
      <c r="I1879">
        <v>2104</v>
      </c>
      <c r="J1879" t="str">
        <f>VLOOKUP(E1879,DSSpieler!A:B,2,FALSE)</f>
        <v>road992</v>
      </c>
    </row>
    <row r="1880" spans="1:10" x14ac:dyDescent="0.25">
      <c r="A1880">
        <v>2105</v>
      </c>
      <c r="B1880">
        <v>3</v>
      </c>
      <c r="C1880">
        <v>503</v>
      </c>
      <c r="D1880">
        <v>509</v>
      </c>
      <c r="E1880">
        <v>1577198239</v>
      </c>
      <c r="F1880">
        <v>5064</v>
      </c>
      <c r="G1880">
        <v>0</v>
      </c>
      <c r="H1880" t="s">
        <v>6807</v>
      </c>
      <c r="I1880">
        <v>2105</v>
      </c>
      <c r="J1880" t="str">
        <f>VLOOKUP(E1880,DSSpieler!A:B,2,FALSE)</f>
        <v>König Hank662</v>
      </c>
    </row>
    <row r="1881" spans="1:10" x14ac:dyDescent="0.25">
      <c r="A1881">
        <v>2106</v>
      </c>
      <c r="B1881" t="s">
        <v>31352</v>
      </c>
      <c r="C1881">
        <v>501</v>
      </c>
      <c r="D1881">
        <v>521</v>
      </c>
      <c r="E1881">
        <v>1577114174</v>
      </c>
      <c r="F1881">
        <v>3503</v>
      </c>
      <c r="G1881">
        <v>0</v>
      </c>
      <c r="H1881" t="s">
        <v>6808</v>
      </c>
      <c r="I1881">
        <v>2106</v>
      </c>
      <c r="J1881" t="str">
        <f>VLOOKUP(E1881,DSSpieler!A:B,2,FALSE)</f>
        <v>Smitty Werben</v>
      </c>
    </row>
    <row r="1882" spans="1:10" x14ac:dyDescent="0.25">
      <c r="A1882">
        <v>2107</v>
      </c>
      <c r="B1882" t="s">
        <v>897</v>
      </c>
      <c r="C1882">
        <v>537</v>
      </c>
      <c r="D1882">
        <v>396</v>
      </c>
      <c r="E1882">
        <v>1180176</v>
      </c>
      <c r="F1882">
        <v>5688</v>
      </c>
      <c r="G1882">
        <v>0</v>
      </c>
      <c r="H1882" t="s">
        <v>6809</v>
      </c>
      <c r="I1882">
        <v>2107</v>
      </c>
      <c r="J1882" t="str">
        <f>VLOOKUP(E1882,DSSpieler!A:B,2,FALSE)</f>
        <v>Grassi07</v>
      </c>
    </row>
    <row r="1883" spans="1:10" x14ac:dyDescent="0.25">
      <c r="A1883">
        <v>2108</v>
      </c>
      <c r="B1883" t="s">
        <v>898</v>
      </c>
      <c r="C1883">
        <v>536</v>
      </c>
      <c r="D1883">
        <v>401</v>
      </c>
      <c r="E1883">
        <v>1257571</v>
      </c>
      <c r="F1883">
        <v>5653</v>
      </c>
      <c r="G1883">
        <v>0</v>
      </c>
      <c r="H1883" t="s">
        <v>6810</v>
      </c>
      <c r="I1883">
        <v>2108</v>
      </c>
      <c r="J1883" t="str">
        <f>VLOOKUP(E1883,DSSpieler!A:B,2,FALSE)</f>
        <v>Invasion Marc</v>
      </c>
    </row>
    <row r="1884" spans="1:10" x14ac:dyDescent="0.25">
      <c r="A1884">
        <v>2109</v>
      </c>
      <c r="B1884" t="s">
        <v>899</v>
      </c>
      <c r="C1884">
        <v>533</v>
      </c>
      <c r="D1884">
        <v>394</v>
      </c>
      <c r="E1884">
        <v>1577183510</v>
      </c>
      <c r="F1884">
        <v>7293</v>
      </c>
      <c r="G1884">
        <v>0</v>
      </c>
      <c r="H1884" t="s">
        <v>6811</v>
      </c>
      <c r="I1884">
        <v>2109</v>
      </c>
      <c r="J1884" t="str">
        <f>VLOOKUP(E1884,DSSpieler!A:B,2,FALSE)</f>
        <v>Apfelring</v>
      </c>
    </row>
    <row r="1885" spans="1:10" x14ac:dyDescent="0.25">
      <c r="A1885">
        <v>2110</v>
      </c>
      <c r="B1885" t="s">
        <v>31353</v>
      </c>
      <c r="C1885">
        <v>539</v>
      </c>
      <c r="D1885">
        <v>411</v>
      </c>
      <c r="E1885">
        <v>10020820</v>
      </c>
      <c r="F1885">
        <v>7356</v>
      </c>
      <c r="G1885">
        <v>0</v>
      </c>
      <c r="H1885" t="s">
        <v>6812</v>
      </c>
      <c r="I1885">
        <v>2110</v>
      </c>
      <c r="J1885" t="str">
        <f>VLOOKUP(E1885,DSSpieler!A:B,2,FALSE)</f>
        <v>RaVeR 91</v>
      </c>
    </row>
    <row r="1886" spans="1:10" x14ac:dyDescent="0.25">
      <c r="A1886">
        <v>2111</v>
      </c>
      <c r="B1886" t="s">
        <v>31354</v>
      </c>
      <c r="C1886">
        <v>462</v>
      </c>
      <c r="D1886">
        <v>524</v>
      </c>
      <c r="E1886">
        <v>8875414</v>
      </c>
      <c r="F1886">
        <v>542</v>
      </c>
      <c r="G1886">
        <v>0</v>
      </c>
      <c r="H1886" t="s">
        <v>6813</v>
      </c>
      <c r="I1886">
        <v>2111</v>
      </c>
      <c r="J1886" t="str">
        <f>VLOOKUP(E1886,DSSpieler!A:B,2,FALSE)</f>
        <v>Hammer auf Fresse</v>
      </c>
    </row>
    <row r="1887" spans="1:10" x14ac:dyDescent="0.25">
      <c r="A1887">
        <v>2113</v>
      </c>
      <c r="B1887" t="s">
        <v>900</v>
      </c>
      <c r="C1887">
        <v>535</v>
      </c>
      <c r="D1887">
        <v>398</v>
      </c>
      <c r="E1887">
        <v>1576944316</v>
      </c>
      <c r="F1887">
        <v>2908</v>
      </c>
      <c r="G1887">
        <v>0</v>
      </c>
      <c r="H1887" t="s">
        <v>6814</v>
      </c>
      <c r="I1887">
        <v>2113</v>
      </c>
      <c r="J1887" t="str">
        <f>VLOOKUP(E1887,DSSpieler!A:B,2,FALSE)</f>
        <v>Andenkarakara</v>
      </c>
    </row>
    <row r="1888" spans="1:10" x14ac:dyDescent="0.25">
      <c r="A1888">
        <v>2114</v>
      </c>
      <c r="B1888" s="111">
        <v>230.01</v>
      </c>
      <c r="C1888">
        <v>531</v>
      </c>
      <c r="D1888">
        <v>394</v>
      </c>
      <c r="E1888">
        <v>1577174302</v>
      </c>
      <c r="F1888">
        <v>6421</v>
      </c>
      <c r="G1888">
        <v>0</v>
      </c>
      <c r="H1888" t="s">
        <v>6815</v>
      </c>
      <c r="I1888">
        <v>2114</v>
      </c>
      <c r="J1888" t="str">
        <f>VLOOKUP(E1888,DSSpieler!A:B,2,FALSE)</f>
        <v>datGCP</v>
      </c>
    </row>
    <row r="1889" spans="1:10" x14ac:dyDescent="0.25">
      <c r="A1889">
        <v>2115</v>
      </c>
      <c r="B1889" t="s">
        <v>31355</v>
      </c>
      <c r="C1889">
        <v>540</v>
      </c>
      <c r="D1889">
        <v>404</v>
      </c>
      <c r="E1889">
        <v>1257571</v>
      </c>
      <c r="F1889">
        <v>5928</v>
      </c>
      <c r="G1889">
        <v>0</v>
      </c>
      <c r="H1889" t="s">
        <v>6816</v>
      </c>
      <c r="I1889">
        <v>2115</v>
      </c>
      <c r="J1889" t="str">
        <f>VLOOKUP(E1889,DSSpieler!A:B,2,FALSE)</f>
        <v>Invasion Marc</v>
      </c>
    </row>
    <row r="1890" spans="1:10" x14ac:dyDescent="0.25">
      <c r="A1890">
        <v>2116</v>
      </c>
      <c r="B1890" t="s">
        <v>31356</v>
      </c>
      <c r="C1890">
        <v>533</v>
      </c>
      <c r="D1890">
        <v>397</v>
      </c>
      <c r="E1890">
        <v>9570059</v>
      </c>
      <c r="F1890">
        <v>5250</v>
      </c>
      <c r="G1890">
        <v>0</v>
      </c>
      <c r="H1890" t="s">
        <v>6817</v>
      </c>
      <c r="I1890">
        <v>2116</v>
      </c>
      <c r="J1890" t="str">
        <f>VLOOKUP(E1890,DSSpieler!A:B,2,FALSE)</f>
        <v>KillWatti</v>
      </c>
    </row>
    <row r="1891" spans="1:10" x14ac:dyDescent="0.25">
      <c r="A1891">
        <v>2117</v>
      </c>
      <c r="B1891">
        <v>2</v>
      </c>
      <c r="C1891">
        <v>486</v>
      </c>
      <c r="D1891">
        <v>461</v>
      </c>
      <c r="E1891">
        <v>1576955646</v>
      </c>
      <c r="F1891">
        <v>3698</v>
      </c>
      <c r="G1891">
        <v>0</v>
      </c>
      <c r="H1891" t="s">
        <v>6818</v>
      </c>
      <c r="I1891">
        <v>2117</v>
      </c>
      <c r="J1891" t="str">
        <f>VLOOKUP(E1891,DSSpieler!A:B,2,FALSE)</f>
        <v>mofugga</v>
      </c>
    </row>
    <row r="1892" spans="1:10" x14ac:dyDescent="0.25">
      <c r="A1892">
        <v>2118</v>
      </c>
      <c r="B1892" t="s">
        <v>31357</v>
      </c>
      <c r="C1892">
        <v>485</v>
      </c>
      <c r="D1892">
        <v>463</v>
      </c>
      <c r="E1892">
        <v>1577194539</v>
      </c>
      <c r="F1892">
        <v>3800</v>
      </c>
      <c r="G1892">
        <v>0</v>
      </c>
      <c r="H1892" t="s">
        <v>6819</v>
      </c>
      <c r="I1892">
        <v>2118</v>
      </c>
      <c r="J1892" t="str">
        <f>VLOOKUP(E1892,DSSpieler!A:B,2,FALSE)</f>
        <v>DayWalk3r</v>
      </c>
    </row>
    <row r="1893" spans="1:10" x14ac:dyDescent="0.25">
      <c r="A1893">
        <v>2119</v>
      </c>
      <c r="B1893" t="s">
        <v>901</v>
      </c>
      <c r="C1893">
        <v>498</v>
      </c>
      <c r="D1893">
        <v>539</v>
      </c>
      <c r="E1893">
        <v>1577192340</v>
      </c>
      <c r="F1893">
        <v>6318</v>
      </c>
      <c r="G1893">
        <v>0</v>
      </c>
      <c r="H1893" t="s">
        <v>6820</v>
      </c>
      <c r="I1893">
        <v>2119</v>
      </c>
      <c r="J1893" t="str">
        <f>VLOOKUP(E1893,DSSpieler!A:B,2,FALSE)</f>
        <v>Halbe1008</v>
      </c>
    </row>
    <row r="1894" spans="1:10" x14ac:dyDescent="0.25">
      <c r="A1894">
        <v>2120</v>
      </c>
      <c r="B1894" t="s">
        <v>31358</v>
      </c>
      <c r="C1894">
        <v>504</v>
      </c>
      <c r="D1894">
        <v>538</v>
      </c>
      <c r="E1894">
        <v>1577192340</v>
      </c>
      <c r="F1894">
        <v>7173</v>
      </c>
      <c r="G1894">
        <v>0</v>
      </c>
      <c r="H1894" t="s">
        <v>6821</v>
      </c>
      <c r="I1894">
        <v>2120</v>
      </c>
      <c r="J1894" t="str">
        <f>VLOOKUP(E1894,DSSpieler!A:B,2,FALSE)</f>
        <v>Halbe1008</v>
      </c>
    </row>
    <row r="1895" spans="1:10" x14ac:dyDescent="0.25">
      <c r="A1895">
        <v>2121</v>
      </c>
      <c r="B1895" t="s">
        <v>35823</v>
      </c>
      <c r="C1895">
        <v>555</v>
      </c>
      <c r="D1895">
        <v>449</v>
      </c>
      <c r="E1895">
        <v>1576994611</v>
      </c>
      <c r="F1895">
        <v>387</v>
      </c>
      <c r="G1895">
        <v>0</v>
      </c>
      <c r="H1895" t="s">
        <v>6822</v>
      </c>
      <c r="I1895">
        <v>2121</v>
      </c>
      <c r="J1895" t="str">
        <f>VLOOKUP(E1895,DSSpieler!A:B,2,FALSE)</f>
        <v>derdorftoeter</v>
      </c>
    </row>
    <row r="1896" spans="1:10" x14ac:dyDescent="0.25">
      <c r="A1896">
        <v>2122</v>
      </c>
      <c r="B1896" t="s">
        <v>531</v>
      </c>
      <c r="C1896">
        <v>501</v>
      </c>
      <c r="D1896">
        <v>545</v>
      </c>
      <c r="E1896">
        <v>0</v>
      </c>
      <c r="F1896">
        <v>323</v>
      </c>
      <c r="G1896">
        <v>0</v>
      </c>
      <c r="H1896" t="s">
        <v>6823</v>
      </c>
      <c r="I1896">
        <v>2122</v>
      </c>
      <c r="J1896" t="e">
        <f>VLOOKUP(E1896,DSSpieler!A:B,2,FALSE)</f>
        <v>#N/A</v>
      </c>
    </row>
    <row r="1897" spans="1:10" x14ac:dyDescent="0.25">
      <c r="A1897">
        <v>2123</v>
      </c>
      <c r="B1897" t="s">
        <v>31164</v>
      </c>
      <c r="C1897">
        <v>506</v>
      </c>
      <c r="D1897">
        <v>540</v>
      </c>
      <c r="E1897">
        <v>1577197542</v>
      </c>
      <c r="F1897">
        <v>3448</v>
      </c>
      <c r="G1897">
        <v>0</v>
      </c>
      <c r="H1897" t="s">
        <v>6824</v>
      </c>
      <c r="I1897">
        <v>2123</v>
      </c>
      <c r="J1897" t="str">
        <f>VLOOKUP(E1897,DSSpieler!A:B,2,FALSE)</f>
        <v>träumerische Tim</v>
      </c>
    </row>
    <row r="1898" spans="1:10" x14ac:dyDescent="0.25">
      <c r="A1898">
        <v>2124</v>
      </c>
      <c r="B1898" t="s">
        <v>902</v>
      </c>
      <c r="C1898">
        <v>501</v>
      </c>
      <c r="D1898">
        <v>532</v>
      </c>
      <c r="E1898">
        <v>1577192340</v>
      </c>
      <c r="F1898">
        <v>3017</v>
      </c>
      <c r="G1898">
        <v>0</v>
      </c>
      <c r="H1898" t="s">
        <v>6825</v>
      </c>
      <c r="I1898">
        <v>2124</v>
      </c>
      <c r="J1898" t="str">
        <f>VLOOKUP(E1898,DSSpieler!A:B,2,FALSE)</f>
        <v>Halbe1008</v>
      </c>
    </row>
    <row r="1899" spans="1:10" x14ac:dyDescent="0.25">
      <c r="A1899">
        <v>2125</v>
      </c>
      <c r="B1899" t="s">
        <v>31359</v>
      </c>
      <c r="C1899">
        <v>506</v>
      </c>
      <c r="D1899">
        <v>549</v>
      </c>
      <c r="E1899">
        <v>1577196396</v>
      </c>
      <c r="F1899">
        <v>5668</v>
      </c>
      <c r="G1899">
        <v>0</v>
      </c>
      <c r="H1899" t="s">
        <v>6826</v>
      </c>
      <c r="I1899">
        <v>2125</v>
      </c>
      <c r="J1899" t="str">
        <f>VLOOKUP(E1899,DSSpieler!A:B,2,FALSE)</f>
        <v>Gilfchecker</v>
      </c>
    </row>
    <row r="1900" spans="1:10" x14ac:dyDescent="0.25">
      <c r="A1900">
        <v>2126</v>
      </c>
      <c r="B1900" t="s">
        <v>903</v>
      </c>
      <c r="C1900">
        <v>513</v>
      </c>
      <c r="D1900">
        <v>541</v>
      </c>
      <c r="E1900">
        <v>1577193610</v>
      </c>
      <c r="F1900">
        <v>6937</v>
      </c>
      <c r="G1900">
        <v>0</v>
      </c>
      <c r="H1900" t="s">
        <v>6827</v>
      </c>
      <c r="I1900">
        <v>2126</v>
      </c>
      <c r="J1900" t="str">
        <f>VLOOKUP(E1900,DSSpieler!A:B,2,FALSE)</f>
        <v>Earlyeve</v>
      </c>
    </row>
    <row r="1901" spans="1:10" x14ac:dyDescent="0.25">
      <c r="A1901">
        <v>2127</v>
      </c>
      <c r="B1901" t="s">
        <v>904</v>
      </c>
      <c r="C1901">
        <v>507</v>
      </c>
      <c r="D1901">
        <v>534</v>
      </c>
      <c r="E1901">
        <v>1577194216</v>
      </c>
      <c r="F1901">
        <v>6669</v>
      </c>
      <c r="G1901">
        <v>0</v>
      </c>
      <c r="H1901" t="s">
        <v>6828</v>
      </c>
      <c r="I1901">
        <v>2127</v>
      </c>
      <c r="J1901" t="str">
        <f>VLOOKUP(E1901,DSSpieler!A:B,2,FALSE)</f>
        <v>EarlyEva for real</v>
      </c>
    </row>
    <row r="1902" spans="1:10" x14ac:dyDescent="0.25">
      <c r="A1902">
        <v>2128</v>
      </c>
      <c r="B1902" t="s">
        <v>905</v>
      </c>
      <c r="C1902">
        <v>508</v>
      </c>
      <c r="D1902">
        <v>531</v>
      </c>
      <c r="E1902">
        <v>1577194047</v>
      </c>
      <c r="F1902">
        <v>594</v>
      </c>
      <c r="G1902">
        <v>0</v>
      </c>
      <c r="H1902" t="s">
        <v>6829</v>
      </c>
      <c r="I1902">
        <v>2128</v>
      </c>
      <c r="J1902" t="str">
        <f>VLOOKUP(E1902,DSSpieler!A:B,2,FALSE)</f>
        <v>radoradi</v>
      </c>
    </row>
    <row r="1903" spans="1:10" x14ac:dyDescent="0.25">
      <c r="A1903">
        <v>2129</v>
      </c>
      <c r="B1903" t="s">
        <v>906</v>
      </c>
      <c r="C1903">
        <v>506</v>
      </c>
      <c r="D1903">
        <v>538</v>
      </c>
      <c r="E1903">
        <v>1577194216</v>
      </c>
      <c r="F1903">
        <v>2692</v>
      </c>
      <c r="G1903">
        <v>0</v>
      </c>
      <c r="H1903" t="s">
        <v>6830</v>
      </c>
      <c r="I1903">
        <v>2129</v>
      </c>
      <c r="J1903" t="str">
        <f>VLOOKUP(E1903,DSSpieler!A:B,2,FALSE)</f>
        <v>EarlyEva for real</v>
      </c>
    </row>
    <row r="1904" spans="1:10" x14ac:dyDescent="0.25">
      <c r="A1904">
        <v>2140</v>
      </c>
      <c r="B1904" t="s">
        <v>907</v>
      </c>
      <c r="C1904">
        <v>418</v>
      </c>
      <c r="D1904">
        <v>576</v>
      </c>
      <c r="E1904">
        <v>1577181350</v>
      </c>
      <c r="F1904">
        <v>5044</v>
      </c>
      <c r="G1904">
        <v>0</v>
      </c>
      <c r="H1904" t="s">
        <v>6831</v>
      </c>
      <c r="I1904">
        <v>2140</v>
      </c>
      <c r="J1904" t="str">
        <f>VLOOKUP(E1904,DSSpieler!A:B,2,FALSE)</f>
        <v>Diesdaszitrusfrucht</v>
      </c>
    </row>
    <row r="1905" spans="1:10" x14ac:dyDescent="0.25">
      <c r="A1905">
        <v>2147</v>
      </c>
      <c r="B1905" t="s">
        <v>908</v>
      </c>
      <c r="C1905">
        <v>497</v>
      </c>
      <c r="D1905">
        <v>542</v>
      </c>
      <c r="E1905">
        <v>8643310</v>
      </c>
      <c r="F1905">
        <v>6880</v>
      </c>
      <c r="G1905">
        <v>0</v>
      </c>
      <c r="H1905" t="s">
        <v>6832</v>
      </c>
      <c r="I1905">
        <v>2147</v>
      </c>
      <c r="J1905" t="str">
        <f>VLOOKUP(E1905,DSSpieler!A:B,2,FALSE)</f>
        <v>wiskybier</v>
      </c>
    </row>
    <row r="1906" spans="1:10" x14ac:dyDescent="0.25">
      <c r="A1906">
        <v>2148</v>
      </c>
      <c r="B1906" t="s">
        <v>31360</v>
      </c>
      <c r="C1906">
        <v>499</v>
      </c>
      <c r="D1906">
        <v>549</v>
      </c>
      <c r="E1906">
        <v>1577196116</v>
      </c>
      <c r="F1906">
        <v>7634</v>
      </c>
      <c r="G1906">
        <v>0</v>
      </c>
      <c r="H1906" t="s">
        <v>6833</v>
      </c>
      <c r="I1906">
        <v>2148</v>
      </c>
      <c r="J1906" t="str">
        <f>VLOOKUP(E1906,DSSpieler!A:B,2,FALSE)</f>
        <v>Kinglu-N</v>
      </c>
    </row>
    <row r="1907" spans="1:10" x14ac:dyDescent="0.25">
      <c r="A1907">
        <v>2149</v>
      </c>
      <c r="B1907" t="s">
        <v>909</v>
      </c>
      <c r="C1907">
        <v>498</v>
      </c>
      <c r="D1907">
        <v>549</v>
      </c>
      <c r="E1907">
        <v>1577197563</v>
      </c>
      <c r="F1907">
        <v>6469</v>
      </c>
      <c r="G1907">
        <v>0</v>
      </c>
      <c r="H1907" t="s">
        <v>6834</v>
      </c>
      <c r="I1907">
        <v>2149</v>
      </c>
      <c r="J1907" t="str">
        <f>VLOOKUP(E1907,DSSpieler!A:B,2,FALSE)</f>
        <v>Timo1997</v>
      </c>
    </row>
    <row r="1908" spans="1:10" x14ac:dyDescent="0.25">
      <c r="A1908">
        <v>2150</v>
      </c>
      <c r="B1908" t="s">
        <v>910</v>
      </c>
      <c r="C1908">
        <v>443</v>
      </c>
      <c r="D1908">
        <v>594</v>
      </c>
      <c r="E1908">
        <v>9773668</v>
      </c>
      <c r="F1908">
        <v>6013</v>
      </c>
      <c r="G1908">
        <v>0</v>
      </c>
      <c r="H1908" t="s">
        <v>6835</v>
      </c>
      <c r="I1908">
        <v>2150</v>
      </c>
      <c r="J1908" t="str">
        <f>VLOOKUP(E1908,DSSpieler!A:B,2,FALSE)</f>
        <v>JoMaster69</v>
      </c>
    </row>
    <row r="1909" spans="1:10" x14ac:dyDescent="0.25">
      <c r="A1909">
        <v>2151</v>
      </c>
      <c r="B1909" t="s">
        <v>644</v>
      </c>
      <c r="C1909">
        <v>436</v>
      </c>
      <c r="D1909">
        <v>584</v>
      </c>
      <c r="E1909">
        <v>1576039886</v>
      </c>
      <c r="F1909">
        <v>4807</v>
      </c>
      <c r="G1909">
        <v>0</v>
      </c>
      <c r="H1909" t="s">
        <v>6836</v>
      </c>
      <c r="I1909">
        <v>2151</v>
      </c>
      <c r="J1909" t="str">
        <f>VLOOKUP(E1909,DSSpieler!A:B,2,FALSE)</f>
        <v>Impares</v>
      </c>
    </row>
    <row r="1910" spans="1:10" x14ac:dyDescent="0.25">
      <c r="A1910">
        <v>2152</v>
      </c>
      <c r="B1910" t="s">
        <v>531</v>
      </c>
      <c r="C1910">
        <v>459</v>
      </c>
      <c r="D1910">
        <v>549</v>
      </c>
      <c r="E1910">
        <v>0</v>
      </c>
      <c r="F1910">
        <v>402</v>
      </c>
      <c r="G1910">
        <v>0</v>
      </c>
      <c r="H1910" t="s">
        <v>6837</v>
      </c>
      <c r="I1910">
        <v>2152</v>
      </c>
      <c r="J1910" t="e">
        <f>VLOOKUP(E1910,DSSpieler!A:B,2,FALSE)</f>
        <v>#N/A</v>
      </c>
    </row>
    <row r="1911" spans="1:10" x14ac:dyDescent="0.25">
      <c r="A1911">
        <v>2153</v>
      </c>
      <c r="B1911" t="s">
        <v>31361</v>
      </c>
      <c r="C1911">
        <v>472</v>
      </c>
      <c r="D1911">
        <v>515</v>
      </c>
      <c r="E1911">
        <v>7657059</v>
      </c>
      <c r="F1911">
        <v>6646</v>
      </c>
      <c r="G1911">
        <v>0</v>
      </c>
      <c r="H1911" t="s">
        <v>6838</v>
      </c>
      <c r="I1911">
        <v>2153</v>
      </c>
      <c r="J1911" t="str">
        <f>VLOOKUP(E1911,DSSpieler!A:B,2,FALSE)</f>
        <v>Buhrdur</v>
      </c>
    </row>
    <row r="1912" spans="1:10" x14ac:dyDescent="0.25">
      <c r="A1912">
        <v>2154</v>
      </c>
      <c r="B1912" t="s">
        <v>31362</v>
      </c>
      <c r="C1912">
        <v>431</v>
      </c>
      <c r="D1912">
        <v>584</v>
      </c>
      <c r="E1912">
        <v>1577035851</v>
      </c>
      <c r="F1912">
        <v>6842</v>
      </c>
      <c r="G1912">
        <v>0</v>
      </c>
      <c r="H1912" t="s">
        <v>6839</v>
      </c>
      <c r="I1912">
        <v>2154</v>
      </c>
      <c r="J1912" t="str">
        <f>VLOOKUP(E1912,DSSpieler!A:B,2,FALSE)</f>
        <v>Mitschi97</v>
      </c>
    </row>
    <row r="1913" spans="1:10" x14ac:dyDescent="0.25">
      <c r="A1913">
        <v>2155</v>
      </c>
      <c r="B1913" t="s">
        <v>911</v>
      </c>
      <c r="C1913">
        <v>433</v>
      </c>
      <c r="D1913">
        <v>588</v>
      </c>
      <c r="E1913">
        <v>1577194990</v>
      </c>
      <c r="F1913">
        <v>5043</v>
      </c>
      <c r="G1913">
        <v>0</v>
      </c>
      <c r="H1913" t="s">
        <v>6840</v>
      </c>
      <c r="I1913">
        <v>2155</v>
      </c>
      <c r="J1913" t="str">
        <f>VLOOKUP(E1913,DSSpieler!A:B,2,FALSE)</f>
        <v>KingKuerbi</v>
      </c>
    </row>
    <row r="1914" spans="1:10" x14ac:dyDescent="0.25">
      <c r="A1914">
        <v>2156</v>
      </c>
      <c r="B1914" t="s">
        <v>31363</v>
      </c>
      <c r="C1914">
        <v>441</v>
      </c>
      <c r="D1914">
        <v>592</v>
      </c>
      <c r="E1914">
        <v>1576882233</v>
      </c>
      <c r="F1914">
        <v>4408</v>
      </c>
      <c r="G1914">
        <v>0</v>
      </c>
      <c r="H1914" t="s">
        <v>6841</v>
      </c>
      <c r="I1914">
        <v>2156</v>
      </c>
      <c r="J1914" t="str">
        <f>VLOOKUP(E1914,DSSpieler!A:B,2,FALSE)</f>
        <v>JasperSt.iNCt</v>
      </c>
    </row>
    <row r="1915" spans="1:10" x14ac:dyDescent="0.25">
      <c r="A1915">
        <v>2157</v>
      </c>
      <c r="B1915" t="s">
        <v>912</v>
      </c>
      <c r="C1915">
        <v>439</v>
      </c>
      <c r="D1915">
        <v>577</v>
      </c>
      <c r="E1915">
        <v>1577197460</v>
      </c>
      <c r="F1915">
        <v>3778</v>
      </c>
      <c r="G1915">
        <v>0</v>
      </c>
      <c r="H1915" t="s">
        <v>6842</v>
      </c>
      <c r="I1915">
        <v>2157</v>
      </c>
      <c r="J1915" t="str">
        <f>VLOOKUP(E1915,DSSpieler!A:B,2,FALSE)</f>
        <v>KeyKey</v>
      </c>
    </row>
    <row r="1916" spans="1:10" x14ac:dyDescent="0.25">
      <c r="A1916">
        <v>2158</v>
      </c>
      <c r="B1916" t="s">
        <v>31364</v>
      </c>
      <c r="C1916">
        <v>466</v>
      </c>
      <c r="D1916">
        <v>484</v>
      </c>
      <c r="E1916">
        <v>9642940</v>
      </c>
      <c r="F1916">
        <v>6902</v>
      </c>
      <c r="G1916">
        <v>0</v>
      </c>
      <c r="H1916" t="s">
        <v>6843</v>
      </c>
      <c r="I1916">
        <v>2158</v>
      </c>
      <c r="J1916" t="str">
        <f>VLOOKUP(E1916,DSSpieler!A:B,2,FALSE)</f>
        <v>AweZzomE</v>
      </c>
    </row>
    <row r="1917" spans="1:10" x14ac:dyDescent="0.25">
      <c r="A1917">
        <v>2159</v>
      </c>
      <c r="B1917" t="s">
        <v>31365</v>
      </c>
      <c r="C1917">
        <v>501</v>
      </c>
      <c r="D1917">
        <v>516</v>
      </c>
      <c r="E1917">
        <v>1577184447</v>
      </c>
      <c r="F1917">
        <v>1608</v>
      </c>
      <c r="G1917">
        <v>0</v>
      </c>
      <c r="H1917" t="s">
        <v>6844</v>
      </c>
      <c r="I1917">
        <v>2159</v>
      </c>
      <c r="J1917" t="str">
        <f>VLOOKUP(E1917,DSSpieler!A:B,2,FALSE)</f>
        <v>Kopfballungeheuer</v>
      </c>
    </row>
    <row r="1918" spans="1:10" x14ac:dyDescent="0.25">
      <c r="A1918">
        <v>2160</v>
      </c>
      <c r="B1918" t="s">
        <v>593</v>
      </c>
      <c r="C1918">
        <v>467</v>
      </c>
      <c r="D1918">
        <v>482</v>
      </c>
      <c r="E1918">
        <v>1577197488</v>
      </c>
      <c r="F1918">
        <v>4541</v>
      </c>
      <c r="G1918">
        <v>0</v>
      </c>
      <c r="H1918" t="s">
        <v>6845</v>
      </c>
      <c r="I1918">
        <v>2160</v>
      </c>
      <c r="J1918" t="str">
        <f>VLOOKUP(E1918,DSSpieler!A:B,2,FALSE)</f>
        <v>King Juju</v>
      </c>
    </row>
    <row r="1919" spans="1:10" x14ac:dyDescent="0.25">
      <c r="A1919">
        <v>2161</v>
      </c>
      <c r="B1919" t="s">
        <v>913</v>
      </c>
      <c r="C1919">
        <v>459</v>
      </c>
      <c r="D1919">
        <v>478</v>
      </c>
      <c r="E1919">
        <v>1577194828</v>
      </c>
      <c r="F1919">
        <v>2953</v>
      </c>
      <c r="G1919">
        <v>0</v>
      </c>
      <c r="H1919" t="s">
        <v>6846</v>
      </c>
      <c r="I1919">
        <v>2161</v>
      </c>
      <c r="J1919" t="str">
        <f>VLOOKUP(E1919,DSSpieler!A:B,2,FALSE)</f>
        <v>Mauki38</v>
      </c>
    </row>
    <row r="1920" spans="1:10" x14ac:dyDescent="0.25">
      <c r="A1920">
        <v>2162</v>
      </c>
      <c r="B1920" t="s">
        <v>531</v>
      </c>
      <c r="C1920">
        <v>470</v>
      </c>
      <c r="D1920">
        <v>481</v>
      </c>
      <c r="E1920">
        <v>0</v>
      </c>
      <c r="F1920">
        <v>618</v>
      </c>
      <c r="G1920">
        <v>0</v>
      </c>
      <c r="H1920" t="s">
        <v>6847</v>
      </c>
      <c r="I1920">
        <v>2162</v>
      </c>
      <c r="J1920" t="e">
        <f>VLOOKUP(E1920,DSSpieler!A:B,2,FALSE)</f>
        <v>#N/A</v>
      </c>
    </row>
    <row r="1921" spans="1:10" x14ac:dyDescent="0.25">
      <c r="A1921">
        <v>2163</v>
      </c>
      <c r="B1921" t="s">
        <v>531</v>
      </c>
      <c r="C1921">
        <v>465</v>
      </c>
      <c r="D1921">
        <v>479</v>
      </c>
      <c r="E1921">
        <v>0</v>
      </c>
      <c r="F1921">
        <v>279</v>
      </c>
      <c r="G1921">
        <v>0</v>
      </c>
      <c r="H1921" t="s">
        <v>6848</v>
      </c>
      <c r="I1921">
        <v>2163</v>
      </c>
      <c r="J1921" t="e">
        <f>VLOOKUP(E1921,DSSpieler!A:B,2,FALSE)</f>
        <v>#N/A</v>
      </c>
    </row>
    <row r="1922" spans="1:10" x14ac:dyDescent="0.25">
      <c r="A1922">
        <v>2164</v>
      </c>
      <c r="B1922" t="s">
        <v>531</v>
      </c>
      <c r="C1922">
        <v>541</v>
      </c>
      <c r="D1922">
        <v>432</v>
      </c>
      <c r="E1922">
        <v>0</v>
      </c>
      <c r="F1922">
        <v>462</v>
      </c>
      <c r="G1922">
        <v>0</v>
      </c>
      <c r="H1922" t="s">
        <v>6849</v>
      </c>
      <c r="I1922">
        <v>2164</v>
      </c>
      <c r="J1922" t="e">
        <f>VLOOKUP(E1922,DSSpieler!A:B,2,FALSE)</f>
        <v>#N/A</v>
      </c>
    </row>
    <row r="1923" spans="1:10" x14ac:dyDescent="0.25">
      <c r="A1923">
        <v>2165</v>
      </c>
      <c r="B1923" t="s">
        <v>531</v>
      </c>
      <c r="C1923">
        <v>474</v>
      </c>
      <c r="D1923">
        <v>486</v>
      </c>
      <c r="E1923">
        <v>0</v>
      </c>
      <c r="F1923">
        <v>288</v>
      </c>
      <c r="G1923">
        <v>0</v>
      </c>
      <c r="H1923" t="s">
        <v>6850</v>
      </c>
      <c r="I1923">
        <v>2165</v>
      </c>
      <c r="J1923" t="e">
        <f>VLOOKUP(E1923,DSSpieler!A:B,2,FALSE)</f>
        <v>#N/A</v>
      </c>
    </row>
    <row r="1924" spans="1:10" x14ac:dyDescent="0.25">
      <c r="A1924">
        <v>2166</v>
      </c>
      <c r="B1924" t="s">
        <v>31366</v>
      </c>
      <c r="C1924">
        <v>477</v>
      </c>
      <c r="D1924">
        <v>437</v>
      </c>
      <c r="E1924">
        <v>1577071528</v>
      </c>
      <c r="F1924">
        <v>2936</v>
      </c>
      <c r="G1924">
        <v>0</v>
      </c>
      <c r="H1924" t="s">
        <v>6851</v>
      </c>
      <c r="I1924">
        <v>2166</v>
      </c>
      <c r="J1924" t="str">
        <f>VLOOKUP(E1924,DSSpieler!A:B,2,FALSE)</f>
        <v>Blue</v>
      </c>
    </row>
    <row r="1925" spans="1:10" x14ac:dyDescent="0.25">
      <c r="A1925">
        <v>2167</v>
      </c>
      <c r="B1925" t="s">
        <v>31367</v>
      </c>
      <c r="C1925">
        <v>473</v>
      </c>
      <c r="D1925">
        <v>431</v>
      </c>
      <c r="E1925">
        <v>8979093</v>
      </c>
      <c r="F1925">
        <v>5652</v>
      </c>
      <c r="G1925">
        <v>0</v>
      </c>
      <c r="H1925" t="s">
        <v>6852</v>
      </c>
      <c r="I1925">
        <v>2167</v>
      </c>
      <c r="J1925" t="str">
        <f>VLOOKUP(E1925,DSSpieler!A:B,2,FALSE)</f>
        <v>colderaser</v>
      </c>
    </row>
    <row r="1926" spans="1:10" x14ac:dyDescent="0.25">
      <c r="A1926">
        <v>2168</v>
      </c>
      <c r="B1926" t="s">
        <v>531</v>
      </c>
      <c r="C1926">
        <v>558</v>
      </c>
      <c r="D1926">
        <v>454</v>
      </c>
      <c r="E1926">
        <v>0</v>
      </c>
      <c r="F1926">
        <v>376</v>
      </c>
      <c r="G1926">
        <v>0</v>
      </c>
      <c r="H1926" t="s">
        <v>6853</v>
      </c>
      <c r="I1926">
        <v>2168</v>
      </c>
      <c r="J1926" t="e">
        <f>VLOOKUP(E1926,DSSpieler!A:B,2,FALSE)</f>
        <v>#N/A</v>
      </c>
    </row>
    <row r="1927" spans="1:10" x14ac:dyDescent="0.25">
      <c r="A1927">
        <v>2169</v>
      </c>
      <c r="B1927" t="s">
        <v>31368</v>
      </c>
      <c r="C1927">
        <v>512</v>
      </c>
      <c r="D1927">
        <v>438</v>
      </c>
      <c r="E1927">
        <v>1576623509</v>
      </c>
      <c r="F1927">
        <v>6893</v>
      </c>
      <c r="G1927">
        <v>0</v>
      </c>
      <c r="H1927" t="s">
        <v>6854</v>
      </c>
      <c r="I1927">
        <v>2169</v>
      </c>
      <c r="J1927" t="str">
        <f>VLOOKUP(E1927,DSSpieler!A:B,2,FALSE)</f>
        <v>Bumaye.</v>
      </c>
    </row>
    <row r="1928" spans="1:10" x14ac:dyDescent="0.25">
      <c r="A1928">
        <v>2170</v>
      </c>
      <c r="B1928" t="s">
        <v>31369</v>
      </c>
      <c r="C1928">
        <v>510</v>
      </c>
      <c r="D1928">
        <v>422</v>
      </c>
      <c r="E1928">
        <v>1577006772</v>
      </c>
      <c r="F1928">
        <v>5721</v>
      </c>
      <c r="G1928">
        <v>0</v>
      </c>
      <c r="H1928" t="s">
        <v>6855</v>
      </c>
      <c r="I1928">
        <v>2170</v>
      </c>
      <c r="J1928" t="str">
        <f>VLOOKUP(E1928,DSSpieler!A:B,2,FALSE)</f>
        <v>Toolrebel</v>
      </c>
    </row>
    <row r="1929" spans="1:10" x14ac:dyDescent="0.25">
      <c r="A1929">
        <v>2171</v>
      </c>
      <c r="B1929" t="s">
        <v>531</v>
      </c>
      <c r="C1929">
        <v>476</v>
      </c>
      <c r="D1929">
        <v>460</v>
      </c>
      <c r="E1929">
        <v>0</v>
      </c>
      <c r="F1929">
        <v>311</v>
      </c>
      <c r="G1929">
        <v>0</v>
      </c>
      <c r="H1929" t="s">
        <v>6856</v>
      </c>
      <c r="I1929">
        <v>2171</v>
      </c>
      <c r="J1929" t="e">
        <f>VLOOKUP(E1929,DSSpieler!A:B,2,FALSE)</f>
        <v>#N/A</v>
      </c>
    </row>
    <row r="1930" spans="1:10" x14ac:dyDescent="0.25">
      <c r="A1930">
        <v>2172</v>
      </c>
      <c r="B1930" t="s">
        <v>546</v>
      </c>
      <c r="C1930">
        <v>502</v>
      </c>
      <c r="D1930">
        <v>424</v>
      </c>
      <c r="E1930">
        <v>1577197869</v>
      </c>
      <c r="F1930">
        <v>5655</v>
      </c>
      <c r="G1930">
        <v>0</v>
      </c>
      <c r="H1930" t="s">
        <v>6857</v>
      </c>
      <c r="I1930">
        <v>2172</v>
      </c>
      <c r="J1930" t="str">
        <f>VLOOKUP(E1930,DSSpieler!A:B,2,FALSE)</f>
        <v>Dr.Yäru</v>
      </c>
    </row>
    <row r="1931" spans="1:10" x14ac:dyDescent="0.25">
      <c r="A1931">
        <v>2173</v>
      </c>
      <c r="B1931" t="s">
        <v>30839</v>
      </c>
      <c r="C1931">
        <v>469</v>
      </c>
      <c r="D1931">
        <v>478</v>
      </c>
      <c r="E1931">
        <v>3223549</v>
      </c>
      <c r="F1931">
        <v>6195</v>
      </c>
      <c r="G1931">
        <v>0</v>
      </c>
      <c r="H1931" t="s">
        <v>6858</v>
      </c>
      <c r="I1931">
        <v>2173</v>
      </c>
      <c r="J1931" t="str">
        <f>VLOOKUP(E1931,DSSpieler!A:B,2,FALSE)</f>
        <v>Kifferkatz</v>
      </c>
    </row>
    <row r="1932" spans="1:10" x14ac:dyDescent="0.25">
      <c r="A1932">
        <v>2174</v>
      </c>
      <c r="B1932" t="s">
        <v>31370</v>
      </c>
      <c r="C1932">
        <v>472</v>
      </c>
      <c r="D1932">
        <v>469</v>
      </c>
      <c r="E1932">
        <v>1577127397</v>
      </c>
      <c r="F1932">
        <v>6376</v>
      </c>
      <c r="G1932">
        <v>0</v>
      </c>
      <c r="H1932" t="s">
        <v>6859</v>
      </c>
      <c r="I1932">
        <v>2174</v>
      </c>
      <c r="J1932" t="str">
        <f>VLOOKUP(E1932,DSSpieler!A:B,2,FALSE)</f>
        <v>soeren-fried</v>
      </c>
    </row>
    <row r="1933" spans="1:10" x14ac:dyDescent="0.25">
      <c r="A1933">
        <v>2175</v>
      </c>
      <c r="B1933" t="s">
        <v>31371</v>
      </c>
      <c r="C1933">
        <v>466</v>
      </c>
      <c r="D1933">
        <v>476</v>
      </c>
      <c r="E1933">
        <v>1577186330</v>
      </c>
      <c r="F1933">
        <v>5732</v>
      </c>
      <c r="G1933">
        <v>0</v>
      </c>
      <c r="H1933" t="s">
        <v>6860</v>
      </c>
      <c r="I1933">
        <v>2175</v>
      </c>
      <c r="J1933" t="str">
        <f>VLOOKUP(E1933,DSSpieler!A:B,2,FALSE)</f>
        <v>Georg der Große 69</v>
      </c>
    </row>
    <row r="1934" spans="1:10" x14ac:dyDescent="0.25">
      <c r="A1934">
        <v>2176</v>
      </c>
      <c r="B1934" t="s">
        <v>31372</v>
      </c>
      <c r="C1934">
        <v>397</v>
      </c>
      <c r="D1934">
        <v>490</v>
      </c>
      <c r="E1934">
        <v>1577196870</v>
      </c>
      <c r="F1934">
        <v>6361</v>
      </c>
      <c r="G1934">
        <v>0</v>
      </c>
      <c r="H1934" t="s">
        <v>440</v>
      </c>
      <c r="I1934">
        <v>2176</v>
      </c>
      <c r="J1934" t="str">
        <f>VLOOKUP(E1934,DSSpieler!A:B,2,FALSE)</f>
        <v>WhyAsk?</v>
      </c>
    </row>
    <row r="1935" spans="1:10" x14ac:dyDescent="0.25">
      <c r="A1935">
        <v>2177</v>
      </c>
      <c r="B1935" t="s">
        <v>667</v>
      </c>
      <c r="C1935">
        <v>446</v>
      </c>
      <c r="D1935">
        <v>583</v>
      </c>
      <c r="E1935">
        <v>3175402</v>
      </c>
      <c r="F1935">
        <v>4954</v>
      </c>
      <c r="G1935">
        <v>0</v>
      </c>
      <c r="H1935" t="s">
        <v>6861</v>
      </c>
      <c r="I1935">
        <v>2177</v>
      </c>
      <c r="J1935" t="str">
        <f>VLOOKUP(E1935,DSSpieler!A:B,2,FALSE)</f>
        <v>*AcEDrink*</v>
      </c>
    </row>
    <row r="1936" spans="1:10" x14ac:dyDescent="0.25">
      <c r="A1936">
        <v>2178</v>
      </c>
      <c r="B1936" t="s">
        <v>914</v>
      </c>
      <c r="C1936">
        <v>447</v>
      </c>
      <c r="D1936">
        <v>596</v>
      </c>
      <c r="E1936">
        <v>10087211</v>
      </c>
      <c r="F1936">
        <v>666</v>
      </c>
      <c r="G1936">
        <v>0</v>
      </c>
      <c r="H1936" t="s">
        <v>6862</v>
      </c>
      <c r="I1936">
        <v>2178</v>
      </c>
      <c r="J1936" t="str">
        <f>VLOOKUP(E1936,DSSpieler!A:B,2,FALSE)</f>
        <v>Dubbry1</v>
      </c>
    </row>
    <row r="1937" spans="1:10" x14ac:dyDescent="0.25">
      <c r="A1937">
        <v>2179</v>
      </c>
      <c r="B1937" t="s">
        <v>915</v>
      </c>
      <c r="C1937">
        <v>454</v>
      </c>
      <c r="D1937">
        <v>582</v>
      </c>
      <c r="E1937">
        <v>1577192117</v>
      </c>
      <c r="F1937">
        <v>5020</v>
      </c>
      <c r="G1937">
        <v>0</v>
      </c>
      <c r="H1937" t="s">
        <v>6863</v>
      </c>
      <c r="I1937">
        <v>2179</v>
      </c>
      <c r="J1937" t="str">
        <f>VLOOKUP(E1937,DSSpieler!A:B,2,FALSE)</f>
        <v>Lord0711</v>
      </c>
    </row>
    <row r="1938" spans="1:10" x14ac:dyDescent="0.25">
      <c r="A1938">
        <v>2180</v>
      </c>
      <c r="B1938" t="s">
        <v>916</v>
      </c>
      <c r="C1938">
        <v>453</v>
      </c>
      <c r="D1938">
        <v>584</v>
      </c>
      <c r="E1938">
        <v>1577197572</v>
      </c>
      <c r="F1938">
        <v>2737</v>
      </c>
      <c r="G1938">
        <v>0</v>
      </c>
      <c r="H1938" t="s">
        <v>6864</v>
      </c>
      <c r="I1938">
        <v>2180</v>
      </c>
      <c r="J1938" t="str">
        <f>VLOOKUP(E1938,DSSpieler!A:B,2,FALSE)</f>
        <v>Panzerband</v>
      </c>
    </row>
    <row r="1939" spans="1:10" x14ac:dyDescent="0.25">
      <c r="A1939">
        <v>2181</v>
      </c>
      <c r="B1939" t="s">
        <v>917</v>
      </c>
      <c r="C1939">
        <v>522</v>
      </c>
      <c r="D1939">
        <v>564</v>
      </c>
      <c r="E1939">
        <v>1577191393</v>
      </c>
      <c r="F1939">
        <v>5752</v>
      </c>
      <c r="G1939">
        <v>0</v>
      </c>
      <c r="H1939" t="s">
        <v>6865</v>
      </c>
      <c r="I1939">
        <v>2181</v>
      </c>
      <c r="J1939" t="str">
        <f>VLOOKUP(E1939,DSSpieler!A:B,2,FALSE)</f>
        <v>Mann mit Axt</v>
      </c>
    </row>
    <row r="1940" spans="1:10" x14ac:dyDescent="0.25">
      <c r="A1940">
        <v>2182</v>
      </c>
      <c r="B1940" t="s">
        <v>601</v>
      </c>
      <c r="C1940">
        <v>511</v>
      </c>
      <c r="D1940">
        <v>568</v>
      </c>
      <c r="E1940">
        <v>1576176852</v>
      </c>
      <c r="F1940">
        <v>3736</v>
      </c>
      <c r="G1940">
        <v>0</v>
      </c>
      <c r="H1940" t="s">
        <v>6866</v>
      </c>
      <c r="I1940">
        <v>2182</v>
      </c>
      <c r="J1940" t="str">
        <f>VLOOKUP(E1940,DSSpieler!A:B,2,FALSE)</f>
        <v>Hoepfner</v>
      </c>
    </row>
    <row r="1941" spans="1:10" x14ac:dyDescent="0.25">
      <c r="A1941">
        <v>2183</v>
      </c>
      <c r="B1941" t="s">
        <v>531</v>
      </c>
      <c r="C1941">
        <v>562</v>
      </c>
      <c r="D1941">
        <v>472</v>
      </c>
      <c r="E1941">
        <v>0</v>
      </c>
      <c r="F1941">
        <v>295</v>
      </c>
      <c r="G1941">
        <v>0</v>
      </c>
      <c r="H1941" t="s">
        <v>6867</v>
      </c>
      <c r="I1941">
        <v>2183</v>
      </c>
      <c r="J1941" t="e">
        <f>VLOOKUP(E1941,DSSpieler!A:B,2,FALSE)</f>
        <v>#N/A</v>
      </c>
    </row>
    <row r="1942" spans="1:10" x14ac:dyDescent="0.25">
      <c r="A1942">
        <v>2184</v>
      </c>
      <c r="B1942" t="s">
        <v>31373</v>
      </c>
      <c r="C1942">
        <v>508</v>
      </c>
      <c r="D1942">
        <v>552</v>
      </c>
      <c r="E1942">
        <v>1577191925</v>
      </c>
      <c r="F1942">
        <v>6026</v>
      </c>
      <c r="G1942">
        <v>0</v>
      </c>
      <c r="H1942" t="s">
        <v>6868</v>
      </c>
      <c r="I1942">
        <v>2184</v>
      </c>
      <c r="J1942" t="str">
        <f>VLOOKUP(E1942,DSSpieler!A:B,2,FALSE)</f>
        <v>Schreck</v>
      </c>
    </row>
    <row r="1943" spans="1:10" x14ac:dyDescent="0.25">
      <c r="A1943">
        <v>2185</v>
      </c>
      <c r="B1943" t="s">
        <v>918</v>
      </c>
      <c r="C1943">
        <v>530</v>
      </c>
      <c r="D1943">
        <v>558</v>
      </c>
      <c r="E1943">
        <v>1577191393</v>
      </c>
      <c r="F1943">
        <v>5719</v>
      </c>
      <c r="G1943">
        <v>0</v>
      </c>
      <c r="H1943" t="s">
        <v>6869</v>
      </c>
      <c r="I1943">
        <v>2185</v>
      </c>
      <c r="J1943" t="str">
        <f>VLOOKUP(E1943,DSSpieler!A:B,2,FALSE)</f>
        <v>Mann mit Axt</v>
      </c>
    </row>
    <row r="1944" spans="1:10" x14ac:dyDescent="0.25">
      <c r="A1944">
        <v>2186</v>
      </c>
      <c r="B1944" t="s">
        <v>31374</v>
      </c>
      <c r="C1944">
        <v>502</v>
      </c>
      <c r="D1944">
        <v>492</v>
      </c>
      <c r="E1944">
        <v>1577193754</v>
      </c>
      <c r="F1944">
        <v>5204</v>
      </c>
      <c r="G1944">
        <v>0</v>
      </c>
      <c r="H1944" t="s">
        <v>6870</v>
      </c>
      <c r="I1944">
        <v>2186</v>
      </c>
      <c r="J1944" t="str">
        <f>VLOOKUP(E1944,DSSpieler!A:B,2,FALSE)</f>
        <v>Mischamalist</v>
      </c>
    </row>
    <row r="1945" spans="1:10" x14ac:dyDescent="0.25">
      <c r="A1945">
        <v>2187</v>
      </c>
      <c r="B1945" t="s">
        <v>919</v>
      </c>
      <c r="C1945">
        <v>503</v>
      </c>
      <c r="D1945">
        <v>490</v>
      </c>
      <c r="E1945">
        <v>1577194075</v>
      </c>
      <c r="F1945">
        <v>4939</v>
      </c>
      <c r="G1945">
        <v>0</v>
      </c>
      <c r="H1945" t="s">
        <v>6871</v>
      </c>
      <c r="I1945">
        <v>2187</v>
      </c>
      <c r="J1945" t="str">
        <f>VLOOKUP(E1945,DSSpieler!A:B,2,FALSE)</f>
        <v>TEET</v>
      </c>
    </row>
    <row r="1946" spans="1:10" x14ac:dyDescent="0.25">
      <c r="A1946">
        <v>2188</v>
      </c>
      <c r="B1946" t="s">
        <v>31375</v>
      </c>
      <c r="C1946">
        <v>505</v>
      </c>
      <c r="D1946">
        <v>485</v>
      </c>
      <c r="E1946">
        <v>1577194104</v>
      </c>
      <c r="F1946">
        <v>6204</v>
      </c>
      <c r="G1946">
        <v>0</v>
      </c>
      <c r="H1946" t="s">
        <v>6872</v>
      </c>
      <c r="I1946">
        <v>2188</v>
      </c>
      <c r="J1946" t="str">
        <f>VLOOKUP(E1946,DSSpieler!A:B,2,FALSE)</f>
        <v>djbazy</v>
      </c>
    </row>
    <row r="1947" spans="1:10" x14ac:dyDescent="0.25">
      <c r="A1947">
        <v>2189</v>
      </c>
      <c r="B1947" t="s">
        <v>30979</v>
      </c>
      <c r="C1947">
        <v>416</v>
      </c>
      <c r="D1947">
        <v>438</v>
      </c>
      <c r="E1947">
        <v>503235</v>
      </c>
      <c r="F1947">
        <v>8558</v>
      </c>
      <c r="G1947">
        <v>0</v>
      </c>
      <c r="H1947" t="s">
        <v>6873</v>
      </c>
      <c r="I1947">
        <v>2189</v>
      </c>
      <c r="J1947" t="str">
        <f>VLOOKUP(E1947,DSSpieler!A:B,2,FALSE)</f>
        <v>TizianW</v>
      </c>
    </row>
    <row r="1948" spans="1:10" x14ac:dyDescent="0.25">
      <c r="A1948">
        <v>2190</v>
      </c>
      <c r="B1948" t="s">
        <v>31376</v>
      </c>
      <c r="C1948">
        <v>412</v>
      </c>
      <c r="D1948">
        <v>434</v>
      </c>
      <c r="E1948">
        <v>1576135165</v>
      </c>
      <c r="F1948">
        <v>7771</v>
      </c>
      <c r="G1948">
        <v>0</v>
      </c>
      <c r="H1948" t="s">
        <v>6874</v>
      </c>
      <c r="I1948">
        <v>2190</v>
      </c>
      <c r="J1948" t="str">
        <f>VLOOKUP(E1948,DSSpieler!A:B,2,FALSE)</f>
        <v>BV Renekton</v>
      </c>
    </row>
    <row r="1949" spans="1:10" x14ac:dyDescent="0.25">
      <c r="A1949">
        <v>2191</v>
      </c>
      <c r="B1949" t="s">
        <v>31377</v>
      </c>
      <c r="C1949">
        <v>413</v>
      </c>
      <c r="D1949">
        <v>433</v>
      </c>
      <c r="E1949">
        <v>1576841685</v>
      </c>
      <c r="F1949">
        <v>5411</v>
      </c>
      <c r="G1949">
        <v>0</v>
      </c>
      <c r="H1949" t="s">
        <v>6875</v>
      </c>
      <c r="I1949">
        <v>2191</v>
      </c>
      <c r="J1949" t="str">
        <f>VLOOKUP(E1949,DSSpieler!A:B,2,FALSE)</f>
        <v>Lady Kenispuchen</v>
      </c>
    </row>
    <row r="1950" spans="1:10" x14ac:dyDescent="0.25">
      <c r="A1950">
        <v>2192</v>
      </c>
      <c r="B1950" t="s">
        <v>531</v>
      </c>
      <c r="C1950">
        <v>485</v>
      </c>
      <c r="D1950">
        <v>448</v>
      </c>
      <c r="E1950">
        <v>0</v>
      </c>
      <c r="F1950">
        <v>386</v>
      </c>
      <c r="G1950">
        <v>0</v>
      </c>
      <c r="H1950" t="s">
        <v>6876</v>
      </c>
      <c r="I1950">
        <v>2192</v>
      </c>
      <c r="J1950" t="e">
        <f>VLOOKUP(E1950,DSSpieler!A:B,2,FALSE)</f>
        <v>#N/A</v>
      </c>
    </row>
    <row r="1951" spans="1:10" x14ac:dyDescent="0.25">
      <c r="A1951">
        <v>2193</v>
      </c>
      <c r="B1951" t="s">
        <v>920</v>
      </c>
      <c r="C1951">
        <v>421</v>
      </c>
      <c r="D1951">
        <v>432</v>
      </c>
      <c r="E1951">
        <v>941519</v>
      </c>
      <c r="F1951">
        <v>1159</v>
      </c>
      <c r="G1951">
        <v>0</v>
      </c>
      <c r="H1951" t="s">
        <v>6877</v>
      </c>
      <c r="I1951">
        <v>2193</v>
      </c>
      <c r="J1951" t="str">
        <f>VLOOKUP(E1951,DSSpieler!A:B,2,FALSE)</f>
        <v>bibi100</v>
      </c>
    </row>
    <row r="1952" spans="1:10" x14ac:dyDescent="0.25">
      <c r="A1952">
        <v>2194</v>
      </c>
      <c r="B1952" t="s">
        <v>531</v>
      </c>
      <c r="C1952">
        <v>424</v>
      </c>
      <c r="D1952">
        <v>433</v>
      </c>
      <c r="E1952">
        <v>0</v>
      </c>
      <c r="F1952">
        <v>1167</v>
      </c>
      <c r="G1952">
        <v>0</v>
      </c>
      <c r="H1952" t="s">
        <v>6878</v>
      </c>
      <c r="I1952">
        <v>2194</v>
      </c>
      <c r="J1952" t="e">
        <f>VLOOKUP(E1952,DSSpieler!A:B,2,FALSE)</f>
        <v>#N/A</v>
      </c>
    </row>
    <row r="1953" spans="1:10" x14ac:dyDescent="0.25">
      <c r="A1953">
        <v>2195</v>
      </c>
      <c r="B1953" t="s">
        <v>31378</v>
      </c>
      <c r="C1953">
        <v>531</v>
      </c>
      <c r="D1953">
        <v>515</v>
      </c>
      <c r="E1953">
        <v>822120</v>
      </c>
      <c r="F1953">
        <v>6330</v>
      </c>
      <c r="G1953">
        <v>0</v>
      </c>
      <c r="H1953" t="s">
        <v>6879</v>
      </c>
      <c r="I1953">
        <v>2195</v>
      </c>
      <c r="J1953" t="str">
        <f>VLOOKUP(E1953,DSSpieler!A:B,2,FALSE)</f>
        <v>Nikeboy2</v>
      </c>
    </row>
    <row r="1954" spans="1:10" x14ac:dyDescent="0.25">
      <c r="A1954">
        <v>2196</v>
      </c>
      <c r="B1954">
        <v>302</v>
      </c>
      <c r="C1954">
        <v>533</v>
      </c>
      <c r="D1954">
        <v>509</v>
      </c>
      <c r="E1954">
        <v>1577172449</v>
      </c>
      <c r="F1954">
        <v>6417</v>
      </c>
      <c r="G1954">
        <v>0</v>
      </c>
      <c r="H1954" t="s">
        <v>6880</v>
      </c>
      <c r="I1954">
        <v>2196</v>
      </c>
      <c r="J1954" t="str">
        <f>VLOOKUP(E1954,DSSpieler!A:B,2,FALSE)</f>
        <v>maximus1234</v>
      </c>
    </row>
    <row r="1955" spans="1:10" x14ac:dyDescent="0.25">
      <c r="A1955">
        <v>2197</v>
      </c>
      <c r="B1955" t="s">
        <v>31379</v>
      </c>
      <c r="C1955">
        <v>533</v>
      </c>
      <c r="D1955">
        <v>517</v>
      </c>
      <c r="E1955">
        <v>1577197494</v>
      </c>
      <c r="F1955">
        <v>4236</v>
      </c>
      <c r="G1955">
        <v>0</v>
      </c>
      <c r="H1955" t="s">
        <v>6881</v>
      </c>
      <c r="I1955">
        <v>2197</v>
      </c>
      <c r="J1955" t="str">
        <f>VLOOKUP(E1955,DSSpieler!A:B,2,FALSE)</f>
        <v>roger98</v>
      </c>
    </row>
    <row r="1956" spans="1:10" x14ac:dyDescent="0.25">
      <c r="A1956">
        <v>2198</v>
      </c>
      <c r="B1956">
        <v>2</v>
      </c>
      <c r="C1956">
        <v>537</v>
      </c>
      <c r="D1956">
        <v>501</v>
      </c>
      <c r="E1956">
        <v>1576911285</v>
      </c>
      <c r="F1956">
        <v>4006</v>
      </c>
      <c r="G1956">
        <v>0</v>
      </c>
      <c r="H1956" t="s">
        <v>6882</v>
      </c>
      <c r="I1956">
        <v>2198</v>
      </c>
      <c r="J1956" t="str">
        <f>VLOOKUP(E1956,DSSpieler!A:B,2,FALSE)</f>
        <v>SirAdel</v>
      </c>
    </row>
    <row r="1957" spans="1:10" x14ac:dyDescent="0.25">
      <c r="A1957">
        <v>2199</v>
      </c>
      <c r="B1957">
        <v>3</v>
      </c>
      <c r="C1957">
        <v>539</v>
      </c>
      <c r="D1957">
        <v>496</v>
      </c>
      <c r="E1957">
        <v>1576911285</v>
      </c>
      <c r="F1957">
        <v>5124</v>
      </c>
      <c r="G1957">
        <v>0</v>
      </c>
      <c r="H1957" t="s">
        <v>6883</v>
      </c>
      <c r="I1957">
        <v>2199</v>
      </c>
      <c r="J1957" t="str">
        <f>VLOOKUP(E1957,DSSpieler!A:B,2,FALSE)</f>
        <v>SirAdel</v>
      </c>
    </row>
    <row r="1958" spans="1:10" x14ac:dyDescent="0.25">
      <c r="A1958">
        <v>2200</v>
      </c>
      <c r="B1958" t="s">
        <v>921</v>
      </c>
      <c r="C1958">
        <v>596</v>
      </c>
      <c r="D1958">
        <v>543</v>
      </c>
      <c r="E1958">
        <v>10047604</v>
      </c>
      <c r="F1958">
        <v>2152</v>
      </c>
      <c r="G1958">
        <v>0</v>
      </c>
      <c r="H1958" t="s">
        <v>6884</v>
      </c>
      <c r="I1958">
        <v>2200</v>
      </c>
      <c r="J1958" t="str">
        <f>VLOOKUP(E1958,DSSpieler!A:B,2,FALSE)</f>
        <v>biergaming</v>
      </c>
    </row>
    <row r="1959" spans="1:10" x14ac:dyDescent="0.25">
      <c r="A1959">
        <v>2201</v>
      </c>
      <c r="B1959" t="s">
        <v>780</v>
      </c>
      <c r="C1959">
        <v>604</v>
      </c>
      <c r="D1959">
        <v>534</v>
      </c>
      <c r="E1959">
        <v>1577163330</v>
      </c>
      <c r="F1959">
        <v>6009</v>
      </c>
      <c r="G1959">
        <v>0</v>
      </c>
      <c r="H1959" t="s">
        <v>6885</v>
      </c>
      <c r="I1959">
        <v>2201</v>
      </c>
      <c r="J1959" t="str">
        <f>VLOOKUP(E1959,DSSpieler!A:B,2,FALSE)</f>
        <v>Iscoo</v>
      </c>
    </row>
    <row r="1960" spans="1:10" x14ac:dyDescent="0.25">
      <c r="A1960">
        <v>2203</v>
      </c>
      <c r="B1960" t="s">
        <v>531</v>
      </c>
      <c r="C1960">
        <v>422</v>
      </c>
      <c r="D1960">
        <v>520</v>
      </c>
      <c r="E1960">
        <v>0</v>
      </c>
      <c r="F1960">
        <v>387</v>
      </c>
      <c r="G1960">
        <v>0</v>
      </c>
      <c r="H1960" t="s">
        <v>6886</v>
      </c>
      <c r="I1960">
        <v>2203</v>
      </c>
      <c r="J1960" t="e">
        <f>VLOOKUP(E1960,DSSpieler!A:B,2,FALSE)</f>
        <v>#N/A</v>
      </c>
    </row>
    <row r="1961" spans="1:10" x14ac:dyDescent="0.25">
      <c r="A1961">
        <v>2204</v>
      </c>
      <c r="B1961" t="s">
        <v>780</v>
      </c>
      <c r="C1961">
        <v>602</v>
      </c>
      <c r="D1961">
        <v>540</v>
      </c>
      <c r="E1961">
        <v>8645048</v>
      </c>
      <c r="F1961">
        <v>5539</v>
      </c>
      <c r="G1961">
        <v>0</v>
      </c>
      <c r="H1961" t="s">
        <v>6887</v>
      </c>
      <c r="I1961">
        <v>2204</v>
      </c>
      <c r="J1961" t="str">
        <f>VLOOKUP(E1961,DSSpieler!A:B,2,FALSE)</f>
        <v>HeinBlöd</v>
      </c>
    </row>
    <row r="1962" spans="1:10" x14ac:dyDescent="0.25">
      <c r="A1962">
        <v>2205</v>
      </c>
      <c r="B1962" t="s">
        <v>31380</v>
      </c>
      <c r="C1962">
        <v>487</v>
      </c>
      <c r="D1962">
        <v>456</v>
      </c>
      <c r="E1962">
        <v>1577194575</v>
      </c>
      <c r="F1962">
        <v>5780</v>
      </c>
      <c r="G1962">
        <v>0</v>
      </c>
      <c r="H1962" t="s">
        <v>6888</v>
      </c>
      <c r="I1962">
        <v>2205</v>
      </c>
      <c r="J1962" t="str">
        <f>VLOOKUP(E1962,DSSpieler!A:B,2,FALSE)</f>
        <v>Lugge738</v>
      </c>
    </row>
    <row r="1963" spans="1:10" x14ac:dyDescent="0.25">
      <c r="A1963">
        <v>2206</v>
      </c>
      <c r="B1963" t="s">
        <v>31381</v>
      </c>
      <c r="C1963">
        <v>479</v>
      </c>
      <c r="D1963">
        <v>468</v>
      </c>
      <c r="E1963">
        <v>1576027028</v>
      </c>
      <c r="F1963">
        <v>4463</v>
      </c>
      <c r="G1963">
        <v>0</v>
      </c>
      <c r="H1963" t="s">
        <v>6889</v>
      </c>
      <c r="I1963">
        <v>2206</v>
      </c>
      <c r="J1963" t="str">
        <f>VLOOKUP(E1963,DSSpieler!A:B,2,FALSE)</f>
        <v>vkvipper1</v>
      </c>
    </row>
    <row r="1964" spans="1:10" x14ac:dyDescent="0.25">
      <c r="A1964">
        <v>2207</v>
      </c>
      <c r="B1964" t="s">
        <v>31382</v>
      </c>
      <c r="C1964">
        <v>471</v>
      </c>
      <c r="D1964">
        <v>464</v>
      </c>
      <c r="E1964">
        <v>1576674038</v>
      </c>
      <c r="F1964">
        <v>3809</v>
      </c>
      <c r="G1964">
        <v>0</v>
      </c>
      <c r="H1964" t="s">
        <v>6890</v>
      </c>
      <c r="I1964">
        <v>2207</v>
      </c>
      <c r="J1964" t="str">
        <f>VLOOKUP(E1964,DSSpieler!A:B,2,FALSE)</f>
        <v>Maxmaier</v>
      </c>
    </row>
    <row r="1965" spans="1:10" x14ac:dyDescent="0.25">
      <c r="A1965">
        <v>2208</v>
      </c>
      <c r="B1965" t="s">
        <v>31383</v>
      </c>
      <c r="C1965">
        <v>473</v>
      </c>
      <c r="D1965">
        <v>471</v>
      </c>
      <c r="E1965">
        <v>1576674038</v>
      </c>
      <c r="F1965">
        <v>4173</v>
      </c>
      <c r="G1965">
        <v>0</v>
      </c>
      <c r="H1965" t="s">
        <v>6891</v>
      </c>
      <c r="I1965">
        <v>2208</v>
      </c>
      <c r="J1965" t="str">
        <f>VLOOKUP(E1965,DSSpieler!A:B,2,FALSE)</f>
        <v>Maxmaier</v>
      </c>
    </row>
    <row r="1966" spans="1:10" x14ac:dyDescent="0.25">
      <c r="A1966">
        <v>2209</v>
      </c>
      <c r="B1966" t="s">
        <v>31384</v>
      </c>
      <c r="C1966">
        <v>570</v>
      </c>
      <c r="D1966">
        <v>427</v>
      </c>
      <c r="E1966">
        <v>1577146616</v>
      </c>
      <c r="F1966">
        <v>3718</v>
      </c>
      <c r="G1966">
        <v>0</v>
      </c>
      <c r="H1966" t="s">
        <v>6892</v>
      </c>
      <c r="I1966">
        <v>2209</v>
      </c>
      <c r="J1966" t="str">
        <f>VLOOKUP(E1966,DSSpieler!A:B,2,FALSE)</f>
        <v>flohchen</v>
      </c>
    </row>
    <row r="1967" spans="1:10" x14ac:dyDescent="0.25">
      <c r="A1967">
        <v>2210</v>
      </c>
      <c r="B1967" t="s">
        <v>531</v>
      </c>
      <c r="C1967">
        <v>537</v>
      </c>
      <c r="D1967">
        <v>518</v>
      </c>
      <c r="E1967">
        <v>0</v>
      </c>
      <c r="F1967">
        <v>1097</v>
      </c>
      <c r="G1967">
        <v>0</v>
      </c>
      <c r="H1967" t="s">
        <v>6893</v>
      </c>
      <c r="I1967">
        <v>2210</v>
      </c>
      <c r="J1967" t="e">
        <f>VLOOKUP(E1967,DSSpieler!A:B,2,FALSE)</f>
        <v>#N/A</v>
      </c>
    </row>
    <row r="1968" spans="1:10" x14ac:dyDescent="0.25">
      <c r="A1968">
        <v>2211</v>
      </c>
      <c r="B1968" t="s">
        <v>922</v>
      </c>
      <c r="C1968">
        <v>463</v>
      </c>
      <c r="D1968">
        <v>481</v>
      </c>
      <c r="E1968">
        <v>1577194828</v>
      </c>
      <c r="F1968">
        <v>8461</v>
      </c>
      <c r="G1968">
        <v>0</v>
      </c>
      <c r="H1968" t="s">
        <v>6894</v>
      </c>
      <c r="I1968">
        <v>2211</v>
      </c>
      <c r="J1968" t="str">
        <f>VLOOKUP(E1968,DSSpieler!A:B,2,FALSE)</f>
        <v>Mauki38</v>
      </c>
    </row>
    <row r="1969" spans="1:10" x14ac:dyDescent="0.25">
      <c r="A1969">
        <v>2212</v>
      </c>
      <c r="B1969" t="s">
        <v>923</v>
      </c>
      <c r="C1969">
        <v>460</v>
      </c>
      <c r="D1969">
        <v>490</v>
      </c>
      <c r="E1969">
        <v>1577197679</v>
      </c>
      <c r="F1969">
        <v>5563</v>
      </c>
      <c r="G1969">
        <v>0</v>
      </c>
      <c r="H1969" t="s">
        <v>6895</v>
      </c>
      <c r="I1969">
        <v>2212</v>
      </c>
      <c r="J1969" t="str">
        <f>VLOOKUP(E1969,DSSpieler!A:B,2,FALSE)</f>
        <v>R3D-KILL-M0NK3Y</v>
      </c>
    </row>
    <row r="1970" spans="1:10" x14ac:dyDescent="0.25">
      <c r="A1970">
        <v>2213</v>
      </c>
      <c r="B1970" t="s">
        <v>924</v>
      </c>
      <c r="C1970">
        <v>469</v>
      </c>
      <c r="D1970">
        <v>490</v>
      </c>
      <c r="E1970">
        <v>9992155</v>
      </c>
      <c r="F1970">
        <v>7636</v>
      </c>
      <c r="G1970">
        <v>0</v>
      </c>
      <c r="H1970" t="s">
        <v>6896</v>
      </c>
      <c r="I1970">
        <v>2213</v>
      </c>
      <c r="J1970" t="str">
        <f>VLOOKUP(E1970,DSSpieler!A:B,2,FALSE)</f>
        <v>vögeli</v>
      </c>
    </row>
    <row r="1971" spans="1:10" x14ac:dyDescent="0.25">
      <c r="A1971">
        <v>2214</v>
      </c>
      <c r="B1971">
        <v>3</v>
      </c>
      <c r="C1971">
        <v>547</v>
      </c>
      <c r="D1971">
        <v>490</v>
      </c>
      <c r="E1971">
        <v>1577068066</v>
      </c>
      <c r="F1971">
        <v>2809</v>
      </c>
      <c r="G1971">
        <v>0</v>
      </c>
      <c r="H1971" t="s">
        <v>6897</v>
      </c>
      <c r="I1971">
        <v>2214</v>
      </c>
      <c r="J1971" t="str">
        <f>VLOOKUP(E1971,DSSpieler!A:B,2,FALSE)</f>
        <v>takeuchi</v>
      </c>
    </row>
    <row r="1972" spans="1:10" x14ac:dyDescent="0.25">
      <c r="A1972">
        <v>2215</v>
      </c>
      <c r="B1972" t="s">
        <v>31385</v>
      </c>
      <c r="C1972">
        <v>556</v>
      </c>
      <c r="D1972">
        <v>578</v>
      </c>
      <c r="E1972">
        <v>1576064169</v>
      </c>
      <c r="F1972">
        <v>5984</v>
      </c>
      <c r="G1972">
        <v>0</v>
      </c>
      <c r="H1972" t="s">
        <v>6898</v>
      </c>
      <c r="I1972">
        <v>2215</v>
      </c>
      <c r="J1972" t="str">
        <f>VLOOKUP(E1972,DSSpieler!A:B,2,FALSE)</f>
        <v>MySkillNoSkill</v>
      </c>
    </row>
    <row r="1973" spans="1:10" x14ac:dyDescent="0.25">
      <c r="A1973">
        <v>2216</v>
      </c>
      <c r="B1973" t="s">
        <v>31386</v>
      </c>
      <c r="C1973">
        <v>558</v>
      </c>
      <c r="D1973">
        <v>583</v>
      </c>
      <c r="E1973">
        <v>1576064169</v>
      </c>
      <c r="F1973">
        <v>5248</v>
      </c>
      <c r="G1973">
        <v>0</v>
      </c>
      <c r="H1973" t="s">
        <v>6899</v>
      </c>
      <c r="I1973">
        <v>2216</v>
      </c>
      <c r="J1973" t="str">
        <f>VLOOKUP(E1973,DSSpieler!A:B,2,FALSE)</f>
        <v>MySkillNoSkill</v>
      </c>
    </row>
    <row r="1974" spans="1:10" x14ac:dyDescent="0.25">
      <c r="A1974">
        <v>2217</v>
      </c>
      <c r="B1974" t="s">
        <v>31387</v>
      </c>
      <c r="C1974">
        <v>567</v>
      </c>
      <c r="D1974">
        <v>574</v>
      </c>
      <c r="E1974">
        <v>10154907</v>
      </c>
      <c r="F1974">
        <v>3101</v>
      </c>
      <c r="G1974">
        <v>0</v>
      </c>
      <c r="H1974" t="s">
        <v>6900</v>
      </c>
      <c r="I1974">
        <v>2217</v>
      </c>
      <c r="J1974" t="str">
        <f>VLOOKUP(E1974,DSSpieler!A:B,2,FALSE)</f>
        <v>tronten</v>
      </c>
    </row>
    <row r="1975" spans="1:10" x14ac:dyDescent="0.25">
      <c r="A1975">
        <v>2218</v>
      </c>
      <c r="B1975" t="s">
        <v>31388</v>
      </c>
      <c r="C1975">
        <v>563</v>
      </c>
      <c r="D1975">
        <v>586</v>
      </c>
      <c r="E1975">
        <v>1577190171</v>
      </c>
      <c r="F1975">
        <v>4846</v>
      </c>
      <c r="G1975">
        <v>0</v>
      </c>
      <c r="H1975" t="s">
        <v>6901</v>
      </c>
      <c r="I1975">
        <v>2218</v>
      </c>
      <c r="J1975" t="str">
        <f>VLOOKUP(E1975,DSSpieler!A:B,2,FALSE)</f>
        <v>meckez</v>
      </c>
    </row>
    <row r="1976" spans="1:10" x14ac:dyDescent="0.25">
      <c r="A1976">
        <v>2219</v>
      </c>
      <c r="B1976">
        <v>4</v>
      </c>
      <c r="C1976">
        <v>551</v>
      </c>
      <c r="D1976">
        <v>580</v>
      </c>
      <c r="E1976">
        <v>1577188575</v>
      </c>
      <c r="F1976">
        <v>4834</v>
      </c>
      <c r="G1976">
        <v>0</v>
      </c>
      <c r="H1976" t="s">
        <v>6902</v>
      </c>
      <c r="I1976">
        <v>2219</v>
      </c>
      <c r="J1976" t="str">
        <f>VLOOKUP(E1976,DSSpieler!A:B,2,FALSE)</f>
        <v>94Norbi</v>
      </c>
    </row>
    <row r="1977" spans="1:10" x14ac:dyDescent="0.25">
      <c r="A1977">
        <v>2220</v>
      </c>
      <c r="B1977" t="s">
        <v>31389</v>
      </c>
      <c r="C1977">
        <v>560</v>
      </c>
      <c r="D1977">
        <v>571</v>
      </c>
      <c r="E1977">
        <v>1575956362</v>
      </c>
      <c r="F1977">
        <v>3942</v>
      </c>
      <c r="G1977">
        <v>0</v>
      </c>
      <c r="H1977" t="s">
        <v>6903</v>
      </c>
      <c r="I1977">
        <v>2220</v>
      </c>
      <c r="J1977" t="str">
        <f>VLOOKUP(E1977,DSSpieler!A:B,2,FALSE)</f>
        <v>TheFQx</v>
      </c>
    </row>
    <row r="1978" spans="1:10" x14ac:dyDescent="0.25">
      <c r="A1978">
        <v>2221</v>
      </c>
      <c r="B1978">
        <v>3</v>
      </c>
      <c r="C1978">
        <v>548</v>
      </c>
      <c r="D1978">
        <v>495</v>
      </c>
      <c r="E1978">
        <v>3241642</v>
      </c>
      <c r="F1978">
        <v>4989</v>
      </c>
      <c r="G1978">
        <v>0</v>
      </c>
      <c r="H1978" t="s">
        <v>6904</v>
      </c>
      <c r="I1978">
        <v>2221</v>
      </c>
      <c r="J1978" t="str">
        <f>VLOOKUP(E1978,DSSpieler!A:B,2,FALSE)</f>
        <v>ZeraMorpheus</v>
      </c>
    </row>
    <row r="1979" spans="1:10" x14ac:dyDescent="0.25">
      <c r="A1979">
        <v>2222</v>
      </c>
      <c r="B1979" t="s">
        <v>31390</v>
      </c>
      <c r="C1979">
        <v>550</v>
      </c>
      <c r="D1979">
        <v>489</v>
      </c>
      <c r="E1979">
        <v>1577180642</v>
      </c>
      <c r="F1979">
        <v>2256</v>
      </c>
      <c r="G1979">
        <v>0</v>
      </c>
      <c r="H1979" t="s">
        <v>6905</v>
      </c>
      <c r="I1979">
        <v>2222</v>
      </c>
      <c r="J1979" t="str">
        <f>VLOOKUP(E1979,DSSpieler!A:B,2,FALSE)</f>
        <v>PatiPato</v>
      </c>
    </row>
    <row r="1980" spans="1:10" x14ac:dyDescent="0.25">
      <c r="A1980">
        <v>2224</v>
      </c>
      <c r="B1980" t="s">
        <v>31391</v>
      </c>
      <c r="C1980">
        <v>524</v>
      </c>
      <c r="D1980">
        <v>542</v>
      </c>
      <c r="E1980">
        <v>1577086173</v>
      </c>
      <c r="F1980">
        <v>3849</v>
      </c>
      <c r="G1980">
        <v>0</v>
      </c>
      <c r="H1980" t="s">
        <v>6906</v>
      </c>
      <c r="I1980">
        <v>2224</v>
      </c>
      <c r="J1980" t="str">
        <f>VLOOKUP(E1980,DSSpieler!A:B,2,FALSE)</f>
        <v>Svobby</v>
      </c>
    </row>
    <row r="1981" spans="1:10" x14ac:dyDescent="0.25">
      <c r="A1981">
        <v>2225</v>
      </c>
      <c r="B1981" t="s">
        <v>31392</v>
      </c>
      <c r="C1981">
        <v>524</v>
      </c>
      <c r="D1981">
        <v>544</v>
      </c>
      <c r="E1981">
        <v>1577188924</v>
      </c>
      <c r="F1981">
        <v>1548</v>
      </c>
      <c r="G1981">
        <v>0</v>
      </c>
      <c r="H1981" t="s">
        <v>6907</v>
      </c>
      <c r="I1981">
        <v>2225</v>
      </c>
      <c r="J1981" t="str">
        <f>VLOOKUP(E1981,DSSpieler!A:B,2,FALSE)</f>
        <v>Mammr0n</v>
      </c>
    </row>
    <row r="1982" spans="1:10" x14ac:dyDescent="0.25">
      <c r="A1982">
        <v>2226</v>
      </c>
      <c r="B1982">
        <v>178</v>
      </c>
      <c r="C1982">
        <v>522</v>
      </c>
      <c r="D1982">
        <v>540</v>
      </c>
      <c r="E1982">
        <v>9978884</v>
      </c>
      <c r="F1982">
        <v>5984</v>
      </c>
      <c r="G1982">
        <v>0</v>
      </c>
      <c r="H1982" t="s">
        <v>6908</v>
      </c>
      <c r="I1982">
        <v>2226</v>
      </c>
      <c r="J1982" t="str">
        <f>VLOOKUP(E1982,DSSpieler!A:B,2,FALSE)</f>
        <v>nexuspremium</v>
      </c>
    </row>
    <row r="1983" spans="1:10" x14ac:dyDescent="0.25">
      <c r="A1983">
        <v>2227</v>
      </c>
      <c r="B1983" t="s">
        <v>35824</v>
      </c>
      <c r="C1983">
        <v>482</v>
      </c>
      <c r="D1983">
        <v>503</v>
      </c>
      <c r="E1983">
        <v>7657059</v>
      </c>
      <c r="F1983">
        <v>1516</v>
      </c>
      <c r="G1983">
        <v>0</v>
      </c>
      <c r="H1983" t="s">
        <v>6909</v>
      </c>
      <c r="I1983">
        <v>2227</v>
      </c>
      <c r="J1983" t="str">
        <f>VLOOKUP(E1983,DSSpieler!A:B,2,FALSE)</f>
        <v>Buhrdur</v>
      </c>
    </row>
    <row r="1984" spans="1:10" x14ac:dyDescent="0.25">
      <c r="A1984">
        <v>2228</v>
      </c>
      <c r="B1984">
        <v>178</v>
      </c>
      <c r="C1984">
        <v>522</v>
      </c>
      <c r="D1984">
        <v>543</v>
      </c>
      <c r="E1984">
        <v>9978884</v>
      </c>
      <c r="F1984">
        <v>5163</v>
      </c>
      <c r="G1984">
        <v>0</v>
      </c>
      <c r="H1984" t="s">
        <v>6910</v>
      </c>
      <c r="I1984">
        <v>2228</v>
      </c>
      <c r="J1984" t="str">
        <f>VLOOKUP(E1984,DSSpieler!A:B,2,FALSE)</f>
        <v>nexuspremium</v>
      </c>
    </row>
    <row r="1985" spans="1:10" x14ac:dyDescent="0.25">
      <c r="A1985">
        <v>2229</v>
      </c>
      <c r="B1985" t="s">
        <v>925</v>
      </c>
      <c r="C1985">
        <v>515</v>
      </c>
      <c r="D1985">
        <v>548</v>
      </c>
      <c r="E1985">
        <v>1577191374</v>
      </c>
      <c r="F1985">
        <v>4384</v>
      </c>
      <c r="G1985">
        <v>0</v>
      </c>
      <c r="H1985" t="s">
        <v>6911</v>
      </c>
      <c r="I1985">
        <v>2229</v>
      </c>
      <c r="J1985" t="str">
        <f>VLOOKUP(E1985,DSSpieler!A:B,2,FALSE)</f>
        <v>Playerdh</v>
      </c>
    </row>
    <row r="1986" spans="1:10" x14ac:dyDescent="0.25">
      <c r="A1986">
        <v>2230</v>
      </c>
      <c r="B1986" t="s">
        <v>31393</v>
      </c>
      <c r="C1986">
        <v>518</v>
      </c>
      <c r="D1986">
        <v>540</v>
      </c>
      <c r="E1986">
        <v>8806700</v>
      </c>
      <c r="F1986">
        <v>2263</v>
      </c>
      <c r="G1986">
        <v>0</v>
      </c>
      <c r="H1986" t="s">
        <v>6912</v>
      </c>
      <c r="I1986">
        <v>2230</v>
      </c>
      <c r="J1986" t="str">
        <f>VLOOKUP(E1986,DSSpieler!A:B,2,FALSE)</f>
        <v>Eworks</v>
      </c>
    </row>
    <row r="1987" spans="1:10" x14ac:dyDescent="0.25">
      <c r="A1987">
        <v>2231</v>
      </c>
      <c r="B1987" t="s">
        <v>864</v>
      </c>
      <c r="C1987">
        <v>473</v>
      </c>
      <c r="D1987">
        <v>395</v>
      </c>
      <c r="E1987">
        <v>1577131375</v>
      </c>
      <c r="F1987">
        <v>5979</v>
      </c>
      <c r="G1987">
        <v>0</v>
      </c>
      <c r="H1987" t="s">
        <v>6913</v>
      </c>
      <c r="I1987">
        <v>2231</v>
      </c>
      <c r="J1987" t="str">
        <f>VLOOKUP(E1987,DSSpieler!A:B,2,FALSE)</f>
        <v>ElliGT</v>
      </c>
    </row>
    <row r="1988" spans="1:10" x14ac:dyDescent="0.25">
      <c r="A1988">
        <v>2232</v>
      </c>
      <c r="B1988" t="s">
        <v>667</v>
      </c>
      <c r="C1988">
        <v>475</v>
      </c>
      <c r="D1988">
        <v>395</v>
      </c>
      <c r="E1988">
        <v>1577197344</v>
      </c>
      <c r="F1988">
        <v>6005</v>
      </c>
      <c r="G1988">
        <v>0</v>
      </c>
      <c r="H1988" t="s">
        <v>6914</v>
      </c>
      <c r="I1988">
        <v>2232</v>
      </c>
      <c r="J1988" t="str">
        <f>VLOOKUP(E1988,DSSpieler!A:B,2,FALSE)</f>
        <v>FreeVolmer</v>
      </c>
    </row>
    <row r="1989" spans="1:10" x14ac:dyDescent="0.25">
      <c r="A1989">
        <v>2233</v>
      </c>
      <c r="B1989" t="s">
        <v>31394</v>
      </c>
      <c r="C1989">
        <v>464</v>
      </c>
      <c r="D1989">
        <v>505</v>
      </c>
      <c r="E1989">
        <v>9227861</v>
      </c>
      <c r="F1989">
        <v>1779</v>
      </c>
      <c r="G1989">
        <v>0</v>
      </c>
      <c r="H1989" t="s">
        <v>6915</v>
      </c>
      <c r="I1989">
        <v>2233</v>
      </c>
      <c r="J1989" t="str">
        <f>VLOOKUP(E1989,DSSpieler!A:B,2,FALSE)</f>
        <v>terrorist8</v>
      </c>
    </row>
    <row r="1990" spans="1:10" x14ac:dyDescent="0.25">
      <c r="A1990">
        <v>2234</v>
      </c>
      <c r="B1990" t="s">
        <v>31395</v>
      </c>
      <c r="C1990">
        <v>473</v>
      </c>
      <c r="D1990">
        <v>397</v>
      </c>
      <c r="E1990">
        <v>1577131380</v>
      </c>
      <c r="F1990">
        <v>5909</v>
      </c>
      <c r="G1990">
        <v>0</v>
      </c>
      <c r="H1990" t="s">
        <v>6916</v>
      </c>
      <c r="I1990">
        <v>2234</v>
      </c>
      <c r="J1990" t="str">
        <f>VLOOKUP(E1990,DSSpieler!A:B,2,FALSE)</f>
        <v>Pasco1</v>
      </c>
    </row>
    <row r="1991" spans="1:10" x14ac:dyDescent="0.25">
      <c r="A1991">
        <v>2235</v>
      </c>
      <c r="B1991" t="s">
        <v>926</v>
      </c>
      <c r="C1991">
        <v>459</v>
      </c>
      <c r="D1991">
        <v>477</v>
      </c>
      <c r="E1991">
        <v>1577187211</v>
      </c>
      <c r="F1991">
        <v>6191</v>
      </c>
      <c r="G1991">
        <v>0</v>
      </c>
      <c r="H1991" t="s">
        <v>6917</v>
      </c>
      <c r="I1991">
        <v>2235</v>
      </c>
      <c r="J1991" t="str">
        <f>VLOOKUP(E1991,DSSpieler!A:B,2,FALSE)</f>
        <v>August.iner</v>
      </c>
    </row>
    <row r="1992" spans="1:10" x14ac:dyDescent="0.25">
      <c r="A1992">
        <v>2236</v>
      </c>
      <c r="B1992" t="s">
        <v>926</v>
      </c>
      <c r="C1992">
        <v>471</v>
      </c>
      <c r="D1992">
        <v>481</v>
      </c>
      <c r="E1992">
        <v>1577187211</v>
      </c>
      <c r="F1992">
        <v>7197</v>
      </c>
      <c r="G1992">
        <v>0</v>
      </c>
      <c r="H1992" t="s">
        <v>6918</v>
      </c>
      <c r="I1992">
        <v>2236</v>
      </c>
      <c r="J1992" t="str">
        <f>VLOOKUP(E1992,DSSpieler!A:B,2,FALSE)</f>
        <v>August.iner</v>
      </c>
    </row>
    <row r="1993" spans="1:10" x14ac:dyDescent="0.25">
      <c r="A1993">
        <v>2238</v>
      </c>
      <c r="B1993" t="s">
        <v>531</v>
      </c>
      <c r="C1993">
        <v>470</v>
      </c>
      <c r="D1993">
        <v>537</v>
      </c>
      <c r="E1993">
        <v>0</v>
      </c>
      <c r="F1993">
        <v>1007</v>
      </c>
      <c r="G1993">
        <v>0</v>
      </c>
      <c r="H1993" t="s">
        <v>6919</v>
      </c>
      <c r="I1993">
        <v>2238</v>
      </c>
      <c r="J1993" t="e">
        <f>VLOOKUP(E1993,DSSpieler!A:B,2,FALSE)</f>
        <v>#N/A</v>
      </c>
    </row>
    <row r="1994" spans="1:10" x14ac:dyDescent="0.25">
      <c r="A1994">
        <v>2240</v>
      </c>
      <c r="B1994" t="s">
        <v>927</v>
      </c>
      <c r="C1994">
        <v>533</v>
      </c>
      <c r="D1994">
        <v>467</v>
      </c>
      <c r="E1994">
        <v>1577041400</v>
      </c>
      <c r="F1994">
        <v>5749</v>
      </c>
      <c r="G1994">
        <v>0</v>
      </c>
      <c r="H1994" t="s">
        <v>6920</v>
      </c>
      <c r="I1994">
        <v>2240</v>
      </c>
      <c r="J1994" t="str">
        <f>VLOOKUP(E1994,DSSpieler!A:B,2,FALSE)</f>
        <v>JJ2002</v>
      </c>
    </row>
    <row r="1995" spans="1:10" x14ac:dyDescent="0.25">
      <c r="A1995">
        <v>2241</v>
      </c>
      <c r="B1995" t="s">
        <v>559</v>
      </c>
      <c r="C1995">
        <v>519</v>
      </c>
      <c r="D1995">
        <v>467</v>
      </c>
      <c r="E1995">
        <v>1577041400</v>
      </c>
      <c r="F1995">
        <v>6447</v>
      </c>
      <c r="G1995">
        <v>0</v>
      </c>
      <c r="H1995" t="s">
        <v>6921</v>
      </c>
      <c r="I1995">
        <v>2241</v>
      </c>
      <c r="J1995" t="str">
        <f>VLOOKUP(E1995,DSSpieler!A:B,2,FALSE)</f>
        <v>JJ2002</v>
      </c>
    </row>
    <row r="1996" spans="1:10" x14ac:dyDescent="0.25">
      <c r="A1996">
        <v>2242</v>
      </c>
      <c r="B1996" t="s">
        <v>31396</v>
      </c>
      <c r="C1996">
        <v>466</v>
      </c>
      <c r="D1996">
        <v>415</v>
      </c>
      <c r="E1996">
        <v>1576828154</v>
      </c>
      <c r="F1996">
        <v>6487</v>
      </c>
      <c r="G1996">
        <v>0</v>
      </c>
      <c r="H1996" t="s">
        <v>6922</v>
      </c>
      <c r="I1996">
        <v>2242</v>
      </c>
      <c r="J1996" t="str">
        <f>VLOOKUP(E1996,DSSpieler!A:B,2,FALSE)</f>
        <v>HighEndNoob</v>
      </c>
    </row>
    <row r="1997" spans="1:10" x14ac:dyDescent="0.25">
      <c r="A1997">
        <v>2243</v>
      </c>
      <c r="B1997">
        <v>1</v>
      </c>
      <c r="C1997">
        <v>460</v>
      </c>
      <c r="D1997">
        <v>422</v>
      </c>
      <c r="E1997">
        <v>1577049716</v>
      </c>
      <c r="F1997">
        <v>5679</v>
      </c>
      <c r="G1997">
        <v>0</v>
      </c>
      <c r="H1997" t="s">
        <v>6923</v>
      </c>
      <c r="I1997">
        <v>2243</v>
      </c>
      <c r="J1997" t="str">
        <f>VLOOKUP(E1997,DSSpieler!A:B,2,FALSE)</f>
        <v>Fabian Dragon 1909</v>
      </c>
    </row>
    <row r="1998" spans="1:10" x14ac:dyDescent="0.25">
      <c r="A1998">
        <v>2244</v>
      </c>
      <c r="B1998" t="s">
        <v>531</v>
      </c>
      <c r="C1998">
        <v>455</v>
      </c>
      <c r="D1998">
        <v>481</v>
      </c>
      <c r="E1998">
        <v>1576720097</v>
      </c>
      <c r="F1998">
        <v>1050</v>
      </c>
      <c r="G1998">
        <v>0</v>
      </c>
      <c r="H1998" t="s">
        <v>6924</v>
      </c>
      <c r="I1998">
        <v>2244</v>
      </c>
      <c r="J1998" t="str">
        <f>VLOOKUP(E1998,DSSpieler!A:B,2,FALSE)</f>
        <v>wortoc</v>
      </c>
    </row>
    <row r="1999" spans="1:10" x14ac:dyDescent="0.25">
      <c r="A1999">
        <v>2245</v>
      </c>
      <c r="B1999" t="s">
        <v>531</v>
      </c>
      <c r="C1999">
        <v>548</v>
      </c>
      <c r="D1999">
        <v>502</v>
      </c>
      <c r="E1999">
        <v>0</v>
      </c>
      <c r="F1999">
        <v>708</v>
      </c>
      <c r="G1999">
        <v>0</v>
      </c>
      <c r="H1999" t="s">
        <v>6925</v>
      </c>
      <c r="I1999">
        <v>2245</v>
      </c>
      <c r="J1999" t="e">
        <f>VLOOKUP(E1999,DSSpieler!A:B,2,FALSE)</f>
        <v>#N/A</v>
      </c>
    </row>
    <row r="2000" spans="1:10" x14ac:dyDescent="0.25">
      <c r="A2000">
        <v>2246</v>
      </c>
      <c r="B2000" t="s">
        <v>928</v>
      </c>
      <c r="C2000">
        <v>551</v>
      </c>
      <c r="D2000">
        <v>493</v>
      </c>
      <c r="E2000">
        <v>1577181964</v>
      </c>
      <c r="F2000">
        <v>4928</v>
      </c>
      <c r="G2000">
        <v>0</v>
      </c>
      <c r="H2000" t="s">
        <v>6926</v>
      </c>
      <c r="I2000">
        <v>2246</v>
      </c>
      <c r="J2000" t="str">
        <f>VLOOKUP(E2000,DSSpieler!A:B,2,FALSE)</f>
        <v>Tompi</v>
      </c>
    </row>
    <row r="2001" spans="1:10" x14ac:dyDescent="0.25">
      <c r="A2001">
        <v>2247</v>
      </c>
      <c r="B2001" t="s">
        <v>531</v>
      </c>
      <c r="C2001">
        <v>553</v>
      </c>
      <c r="D2001">
        <v>507</v>
      </c>
      <c r="E2001">
        <v>0</v>
      </c>
      <c r="F2001">
        <v>725</v>
      </c>
      <c r="G2001">
        <v>0</v>
      </c>
      <c r="H2001" t="s">
        <v>6927</v>
      </c>
      <c r="I2001">
        <v>2247</v>
      </c>
      <c r="J2001" t="e">
        <f>VLOOKUP(E2001,DSSpieler!A:B,2,FALSE)</f>
        <v>#N/A</v>
      </c>
    </row>
    <row r="2002" spans="1:10" x14ac:dyDescent="0.25">
      <c r="A2002">
        <v>2248</v>
      </c>
      <c r="B2002" t="s">
        <v>531</v>
      </c>
      <c r="C2002">
        <v>458</v>
      </c>
      <c r="D2002">
        <v>446</v>
      </c>
      <c r="E2002">
        <v>0</v>
      </c>
      <c r="F2002">
        <v>330</v>
      </c>
      <c r="G2002">
        <v>0</v>
      </c>
      <c r="H2002" t="s">
        <v>6928</v>
      </c>
      <c r="I2002">
        <v>2248</v>
      </c>
      <c r="J2002" t="e">
        <f>VLOOKUP(E2002,DSSpieler!A:B,2,FALSE)</f>
        <v>#N/A</v>
      </c>
    </row>
    <row r="2003" spans="1:10" x14ac:dyDescent="0.25">
      <c r="A2003">
        <v>2249</v>
      </c>
      <c r="B2003" t="s">
        <v>31397</v>
      </c>
      <c r="C2003">
        <v>537</v>
      </c>
      <c r="D2003">
        <v>508</v>
      </c>
      <c r="E2003">
        <v>1577168204</v>
      </c>
      <c r="F2003">
        <v>5680</v>
      </c>
      <c r="G2003">
        <v>0</v>
      </c>
      <c r="H2003" t="s">
        <v>6929</v>
      </c>
      <c r="I2003">
        <v>2249</v>
      </c>
      <c r="J2003" t="str">
        <f>VLOOKUP(E2003,DSSpieler!A:B,2,FALSE)</f>
        <v>Argeast</v>
      </c>
    </row>
    <row r="2004" spans="1:10" x14ac:dyDescent="0.25">
      <c r="A2004">
        <v>2250</v>
      </c>
      <c r="B2004" t="s">
        <v>531</v>
      </c>
      <c r="C2004">
        <v>519</v>
      </c>
      <c r="D2004">
        <v>430</v>
      </c>
      <c r="E2004">
        <v>0</v>
      </c>
      <c r="F2004">
        <v>339</v>
      </c>
      <c r="G2004">
        <v>0</v>
      </c>
      <c r="H2004" t="s">
        <v>6930</v>
      </c>
      <c r="I2004">
        <v>2250</v>
      </c>
      <c r="J2004" t="e">
        <f>VLOOKUP(E2004,DSSpieler!A:B,2,FALSE)</f>
        <v>#N/A</v>
      </c>
    </row>
    <row r="2005" spans="1:10" x14ac:dyDescent="0.25">
      <c r="A2005">
        <v>2251</v>
      </c>
      <c r="B2005">
        <v>1</v>
      </c>
      <c r="C2005">
        <v>483</v>
      </c>
      <c r="D2005">
        <v>543</v>
      </c>
      <c r="E2005">
        <v>1577154689</v>
      </c>
      <c r="F2005">
        <v>7878</v>
      </c>
      <c r="G2005">
        <v>0</v>
      </c>
      <c r="H2005" t="s">
        <v>6931</v>
      </c>
      <c r="I2005">
        <v>2251</v>
      </c>
      <c r="J2005" t="str">
        <f>VLOOKUP(E2005,DSSpieler!A:B,2,FALSE)</f>
        <v>butzi 1</v>
      </c>
    </row>
    <row r="2006" spans="1:10" x14ac:dyDescent="0.25">
      <c r="A2006">
        <v>2252</v>
      </c>
      <c r="B2006">
        <v>6</v>
      </c>
      <c r="C2006">
        <v>482</v>
      </c>
      <c r="D2006">
        <v>547</v>
      </c>
      <c r="E2006">
        <v>1577154689</v>
      </c>
      <c r="F2006">
        <v>4412</v>
      </c>
      <c r="G2006">
        <v>0</v>
      </c>
      <c r="H2006" t="s">
        <v>6932</v>
      </c>
      <c r="I2006">
        <v>2252</v>
      </c>
      <c r="J2006" t="str">
        <f>VLOOKUP(E2006,DSSpieler!A:B,2,FALSE)</f>
        <v>butzi 1</v>
      </c>
    </row>
    <row r="2007" spans="1:10" x14ac:dyDescent="0.25">
      <c r="A2007">
        <v>2253</v>
      </c>
      <c r="B2007" t="s">
        <v>31398</v>
      </c>
      <c r="C2007">
        <v>530</v>
      </c>
      <c r="D2007">
        <v>402</v>
      </c>
      <c r="E2007">
        <v>1577196253</v>
      </c>
      <c r="F2007">
        <v>5040</v>
      </c>
      <c r="G2007">
        <v>0</v>
      </c>
      <c r="H2007" t="s">
        <v>6933</v>
      </c>
      <c r="I2007">
        <v>2253</v>
      </c>
      <c r="J2007" t="str">
        <f>VLOOKUP(E2007,DSSpieler!A:B,2,FALSE)</f>
        <v>Dracay</v>
      </c>
    </row>
    <row r="2008" spans="1:10" x14ac:dyDescent="0.25">
      <c r="A2008">
        <v>2254</v>
      </c>
      <c r="B2008" t="s">
        <v>929</v>
      </c>
      <c r="C2008">
        <v>534</v>
      </c>
      <c r="D2008">
        <v>402</v>
      </c>
      <c r="E2008">
        <v>1257571</v>
      </c>
      <c r="F2008">
        <v>6593</v>
      </c>
      <c r="G2008">
        <v>0</v>
      </c>
      <c r="H2008" t="s">
        <v>6934</v>
      </c>
      <c r="I2008">
        <v>2254</v>
      </c>
      <c r="J2008" t="str">
        <f>VLOOKUP(E2008,DSSpieler!A:B,2,FALSE)</f>
        <v>Invasion Marc</v>
      </c>
    </row>
    <row r="2009" spans="1:10" x14ac:dyDescent="0.25">
      <c r="A2009">
        <v>2256</v>
      </c>
      <c r="B2009" t="s">
        <v>930</v>
      </c>
      <c r="C2009">
        <v>538</v>
      </c>
      <c r="D2009">
        <v>405</v>
      </c>
      <c r="E2009">
        <v>9380418</v>
      </c>
      <c r="F2009">
        <v>5337</v>
      </c>
      <c r="G2009">
        <v>0</v>
      </c>
      <c r="H2009" t="s">
        <v>6935</v>
      </c>
      <c r="I2009">
        <v>2256</v>
      </c>
      <c r="J2009" t="str">
        <f>VLOOKUP(E2009,DSSpieler!A:B,2,FALSE)</f>
        <v>Madafiii</v>
      </c>
    </row>
    <row r="2010" spans="1:10" x14ac:dyDescent="0.25">
      <c r="A2010">
        <v>2257</v>
      </c>
      <c r="B2010" t="s">
        <v>931</v>
      </c>
      <c r="C2010">
        <v>535</v>
      </c>
      <c r="D2010">
        <v>401</v>
      </c>
      <c r="E2010">
        <v>1576944316</v>
      </c>
      <c r="F2010">
        <v>5069</v>
      </c>
      <c r="G2010">
        <v>0</v>
      </c>
      <c r="H2010" t="s">
        <v>6936</v>
      </c>
      <c r="I2010">
        <v>2257</v>
      </c>
      <c r="J2010" t="str">
        <f>VLOOKUP(E2010,DSSpieler!A:B,2,FALSE)</f>
        <v>Andenkarakara</v>
      </c>
    </row>
    <row r="2011" spans="1:10" x14ac:dyDescent="0.25">
      <c r="A2011">
        <v>2258</v>
      </c>
      <c r="B2011" t="s">
        <v>31399</v>
      </c>
      <c r="C2011">
        <v>523</v>
      </c>
      <c r="D2011">
        <v>409</v>
      </c>
      <c r="E2011">
        <v>1577198089</v>
      </c>
      <c r="F2011">
        <v>2916</v>
      </c>
      <c r="G2011">
        <v>0</v>
      </c>
      <c r="H2011" t="s">
        <v>6937</v>
      </c>
      <c r="I2011">
        <v>2258</v>
      </c>
      <c r="J2011" t="str">
        <f>VLOOKUP(E2011,DSSpieler!A:B,2,FALSE)</f>
        <v>Panschu</v>
      </c>
    </row>
    <row r="2012" spans="1:10" x14ac:dyDescent="0.25">
      <c r="A2012">
        <v>2259</v>
      </c>
      <c r="B2012" t="s">
        <v>31400</v>
      </c>
      <c r="C2012">
        <v>529</v>
      </c>
      <c r="D2012">
        <v>397</v>
      </c>
      <c r="E2012">
        <v>1577155634</v>
      </c>
      <c r="F2012">
        <v>5103</v>
      </c>
      <c r="G2012">
        <v>0</v>
      </c>
      <c r="H2012" t="s">
        <v>6938</v>
      </c>
      <c r="I2012">
        <v>2259</v>
      </c>
      <c r="J2012" t="str">
        <f>VLOOKUP(E2012,DSSpieler!A:B,2,FALSE)</f>
        <v>Jeff3191</v>
      </c>
    </row>
    <row r="2013" spans="1:10" x14ac:dyDescent="0.25">
      <c r="A2013">
        <v>2260</v>
      </c>
      <c r="B2013" t="s">
        <v>31401</v>
      </c>
      <c r="C2013">
        <v>518</v>
      </c>
      <c r="D2013">
        <v>408</v>
      </c>
      <c r="E2013">
        <v>10038536</v>
      </c>
      <c r="F2013">
        <v>5742</v>
      </c>
      <c r="G2013">
        <v>0</v>
      </c>
      <c r="H2013" t="s">
        <v>6939</v>
      </c>
      <c r="I2013">
        <v>2260</v>
      </c>
      <c r="J2013" t="str">
        <f>VLOOKUP(E2013,DSSpieler!A:B,2,FALSE)</f>
        <v>Bubi957</v>
      </c>
    </row>
    <row r="2014" spans="1:10" x14ac:dyDescent="0.25">
      <c r="A2014">
        <v>2261</v>
      </c>
      <c r="B2014" t="s">
        <v>31402</v>
      </c>
      <c r="C2014">
        <v>522</v>
      </c>
      <c r="D2014">
        <v>396</v>
      </c>
      <c r="E2014">
        <v>1576373467</v>
      </c>
      <c r="F2014">
        <v>7547</v>
      </c>
      <c r="G2014">
        <v>0</v>
      </c>
      <c r="H2014" t="s">
        <v>6940</v>
      </c>
      <c r="I2014">
        <v>2261</v>
      </c>
      <c r="J2014" t="str">
        <f>VLOOKUP(E2014,DSSpieler!A:B,2,FALSE)</f>
        <v>Askandi</v>
      </c>
    </row>
    <row r="2015" spans="1:10" x14ac:dyDescent="0.25">
      <c r="A2015">
        <v>2262</v>
      </c>
      <c r="B2015" t="s">
        <v>31403</v>
      </c>
      <c r="C2015">
        <v>550</v>
      </c>
      <c r="D2015">
        <v>402</v>
      </c>
      <c r="E2015">
        <v>1577085413</v>
      </c>
      <c r="F2015">
        <v>4485</v>
      </c>
      <c r="G2015">
        <v>0</v>
      </c>
      <c r="H2015" t="s">
        <v>6941</v>
      </c>
      <c r="I2015">
        <v>2262</v>
      </c>
      <c r="J2015" t="str">
        <f>VLOOKUP(E2015,DSSpieler!A:B,2,FALSE)</f>
        <v>thompson10</v>
      </c>
    </row>
    <row r="2016" spans="1:10" x14ac:dyDescent="0.25">
      <c r="A2016">
        <v>2263</v>
      </c>
      <c r="B2016" t="s">
        <v>31404</v>
      </c>
      <c r="C2016">
        <v>530</v>
      </c>
      <c r="D2016">
        <v>399</v>
      </c>
      <c r="E2016">
        <v>7960757</v>
      </c>
      <c r="F2016">
        <v>4384</v>
      </c>
      <c r="G2016">
        <v>0</v>
      </c>
      <c r="H2016" t="s">
        <v>6942</v>
      </c>
      <c r="I2016">
        <v>2263</v>
      </c>
      <c r="J2016" t="str">
        <f>VLOOKUP(E2016,DSSpieler!A:B,2,FALSE)</f>
        <v>Tilltanungman</v>
      </c>
    </row>
    <row r="2017" spans="1:10" x14ac:dyDescent="0.25">
      <c r="A2017">
        <v>2264</v>
      </c>
      <c r="B2017" t="s">
        <v>531</v>
      </c>
      <c r="C2017">
        <v>570</v>
      </c>
      <c r="D2017">
        <v>529</v>
      </c>
      <c r="E2017">
        <v>0</v>
      </c>
      <c r="F2017">
        <v>264</v>
      </c>
      <c r="G2017">
        <v>0</v>
      </c>
      <c r="H2017" t="s">
        <v>6943</v>
      </c>
      <c r="I2017">
        <v>2264</v>
      </c>
      <c r="J2017" t="e">
        <f>VLOOKUP(E2017,DSSpieler!A:B,2,FALSE)</f>
        <v>#N/A</v>
      </c>
    </row>
    <row r="2018" spans="1:10" x14ac:dyDescent="0.25">
      <c r="A2018">
        <v>2265</v>
      </c>
      <c r="B2018" t="s">
        <v>667</v>
      </c>
      <c r="C2018">
        <v>520</v>
      </c>
      <c r="D2018">
        <v>393</v>
      </c>
      <c r="E2018">
        <v>1576664405</v>
      </c>
      <c r="F2018">
        <v>5462</v>
      </c>
      <c r="G2018">
        <v>0</v>
      </c>
      <c r="H2018" t="s">
        <v>6944</v>
      </c>
      <c r="I2018">
        <v>2265</v>
      </c>
      <c r="J2018" t="str">
        <f>VLOOKUP(E2018,DSSpieler!A:B,2,FALSE)</f>
        <v>Aklat</v>
      </c>
    </row>
    <row r="2019" spans="1:10" x14ac:dyDescent="0.25">
      <c r="A2019">
        <v>2267</v>
      </c>
      <c r="B2019" t="s">
        <v>31405</v>
      </c>
      <c r="C2019">
        <v>522</v>
      </c>
      <c r="D2019">
        <v>401</v>
      </c>
      <c r="E2019">
        <v>1576937070</v>
      </c>
      <c r="F2019">
        <v>4074</v>
      </c>
      <c r="G2019">
        <v>0</v>
      </c>
      <c r="H2019" t="s">
        <v>6945</v>
      </c>
      <c r="I2019">
        <v>2267</v>
      </c>
      <c r="J2019" t="str">
        <f>VLOOKUP(E2019,DSSpieler!A:B,2,FALSE)</f>
        <v>CreekOve</v>
      </c>
    </row>
    <row r="2020" spans="1:10" x14ac:dyDescent="0.25">
      <c r="A2020">
        <v>2268</v>
      </c>
      <c r="B2020">
        <v>2</v>
      </c>
      <c r="C2020">
        <v>541</v>
      </c>
      <c r="D2020">
        <v>399</v>
      </c>
      <c r="E2020">
        <v>2142180</v>
      </c>
      <c r="F2020">
        <v>6468</v>
      </c>
      <c r="G2020">
        <v>0</v>
      </c>
      <c r="H2020" t="s">
        <v>6946</v>
      </c>
      <c r="I2020">
        <v>2268</v>
      </c>
      <c r="J2020" t="str">
        <f>VLOOKUP(E2020,DSSpieler!A:B,2,FALSE)</f>
        <v>Legolas42</v>
      </c>
    </row>
    <row r="2021" spans="1:10" x14ac:dyDescent="0.25">
      <c r="A2021">
        <v>2269</v>
      </c>
      <c r="B2021" t="s">
        <v>531</v>
      </c>
      <c r="C2021">
        <v>566</v>
      </c>
      <c r="D2021">
        <v>487</v>
      </c>
      <c r="E2021">
        <v>0</v>
      </c>
      <c r="F2021">
        <v>474</v>
      </c>
      <c r="G2021">
        <v>0</v>
      </c>
      <c r="H2021" t="s">
        <v>6947</v>
      </c>
      <c r="I2021">
        <v>2269</v>
      </c>
      <c r="J2021" t="e">
        <f>VLOOKUP(E2021,DSSpieler!A:B,2,FALSE)</f>
        <v>#N/A</v>
      </c>
    </row>
    <row r="2022" spans="1:10" x14ac:dyDescent="0.25">
      <c r="A2022">
        <v>2270</v>
      </c>
      <c r="B2022" t="s">
        <v>31406</v>
      </c>
      <c r="C2022">
        <v>540</v>
      </c>
      <c r="D2022">
        <v>399</v>
      </c>
      <c r="E2022">
        <v>9979692</v>
      </c>
      <c r="F2022">
        <v>1840</v>
      </c>
      <c r="G2022">
        <v>0</v>
      </c>
      <c r="H2022" t="s">
        <v>6948</v>
      </c>
      <c r="I2022">
        <v>2270</v>
      </c>
      <c r="J2022" t="str">
        <f>VLOOKUP(E2022,DSSpieler!A:B,2,FALSE)</f>
        <v>WennaMorloch</v>
      </c>
    </row>
    <row r="2023" spans="1:10" x14ac:dyDescent="0.25">
      <c r="A2023">
        <v>2271</v>
      </c>
      <c r="B2023">
        <v>4</v>
      </c>
      <c r="C2023">
        <v>535</v>
      </c>
      <c r="D2023">
        <v>395</v>
      </c>
      <c r="E2023">
        <v>2142180</v>
      </c>
      <c r="F2023">
        <v>3505</v>
      </c>
      <c r="G2023">
        <v>0</v>
      </c>
      <c r="H2023" t="s">
        <v>6949</v>
      </c>
      <c r="I2023">
        <v>2271</v>
      </c>
      <c r="J2023" t="str">
        <f>VLOOKUP(E2023,DSSpieler!A:B,2,FALSE)</f>
        <v>Legolas42</v>
      </c>
    </row>
    <row r="2024" spans="1:10" x14ac:dyDescent="0.25">
      <c r="A2024">
        <v>2272</v>
      </c>
      <c r="B2024" t="s">
        <v>31407</v>
      </c>
      <c r="C2024">
        <v>525</v>
      </c>
      <c r="D2024">
        <v>403</v>
      </c>
      <c r="E2024">
        <v>1575910986</v>
      </c>
      <c r="F2024">
        <v>4121</v>
      </c>
      <c r="G2024">
        <v>0</v>
      </c>
      <c r="H2024" t="s">
        <v>6950</v>
      </c>
      <c r="I2024">
        <v>2272</v>
      </c>
      <c r="J2024" t="str">
        <f>VLOOKUP(E2024,DSSpieler!A:B,2,FALSE)</f>
        <v>funplayer1</v>
      </c>
    </row>
    <row r="2025" spans="1:10" x14ac:dyDescent="0.25">
      <c r="A2025">
        <v>2273</v>
      </c>
      <c r="B2025" t="s">
        <v>932</v>
      </c>
      <c r="C2025">
        <v>513</v>
      </c>
      <c r="D2025">
        <v>397</v>
      </c>
      <c r="E2025">
        <v>1577043880</v>
      </c>
      <c r="F2025">
        <v>6030</v>
      </c>
      <c r="G2025">
        <v>0</v>
      </c>
      <c r="H2025" t="s">
        <v>6951</v>
      </c>
      <c r="I2025">
        <v>2273</v>
      </c>
      <c r="J2025" t="str">
        <f>VLOOKUP(E2025,DSSpieler!A:B,2,FALSE)</f>
        <v>MrLoot</v>
      </c>
    </row>
    <row r="2026" spans="1:10" x14ac:dyDescent="0.25">
      <c r="A2026">
        <v>2274</v>
      </c>
      <c r="B2026" t="s">
        <v>31408</v>
      </c>
      <c r="C2026">
        <v>544</v>
      </c>
      <c r="D2026">
        <v>403</v>
      </c>
      <c r="E2026">
        <v>1577045139</v>
      </c>
      <c r="F2026">
        <v>7356</v>
      </c>
      <c r="G2026">
        <v>0</v>
      </c>
      <c r="H2026" t="s">
        <v>6952</v>
      </c>
      <c r="I2026">
        <v>2274</v>
      </c>
      <c r="J2026" t="str">
        <f>VLOOKUP(E2026,DSSpieler!A:B,2,FALSE)</f>
        <v>Ice and Fire</v>
      </c>
    </row>
    <row r="2027" spans="1:10" x14ac:dyDescent="0.25">
      <c r="A2027">
        <v>2275</v>
      </c>
      <c r="B2027" t="s">
        <v>796</v>
      </c>
      <c r="C2027">
        <v>526</v>
      </c>
      <c r="D2027">
        <v>402</v>
      </c>
      <c r="E2027">
        <v>1577168166</v>
      </c>
      <c r="F2027">
        <v>4739</v>
      </c>
      <c r="G2027">
        <v>0</v>
      </c>
      <c r="H2027" t="s">
        <v>6953</v>
      </c>
      <c r="I2027">
        <v>2275</v>
      </c>
      <c r="J2027" t="str">
        <f>VLOOKUP(E2027,DSSpieler!A:B,2,FALSE)</f>
        <v>Konstantin II</v>
      </c>
    </row>
    <row r="2028" spans="1:10" x14ac:dyDescent="0.25">
      <c r="A2028">
        <v>2276</v>
      </c>
      <c r="B2028" t="s">
        <v>31409</v>
      </c>
      <c r="C2028">
        <v>524</v>
      </c>
      <c r="D2028">
        <v>396</v>
      </c>
      <c r="E2028">
        <v>1577170384</v>
      </c>
      <c r="F2028">
        <v>6604</v>
      </c>
      <c r="G2028">
        <v>0</v>
      </c>
      <c r="H2028" t="s">
        <v>6954</v>
      </c>
      <c r="I2028">
        <v>2276</v>
      </c>
      <c r="J2028" t="str">
        <f>VLOOKUP(E2028,DSSpieler!A:B,2,FALSE)</f>
        <v>Pazzo</v>
      </c>
    </row>
    <row r="2029" spans="1:10" x14ac:dyDescent="0.25">
      <c r="A2029">
        <v>2277</v>
      </c>
      <c r="B2029" t="s">
        <v>31410</v>
      </c>
      <c r="C2029">
        <v>533</v>
      </c>
      <c r="D2029">
        <v>409</v>
      </c>
      <c r="E2029">
        <v>10289373</v>
      </c>
      <c r="F2029">
        <v>4881</v>
      </c>
      <c r="G2029">
        <v>0</v>
      </c>
      <c r="H2029" t="s">
        <v>6955</v>
      </c>
      <c r="I2029">
        <v>2277</v>
      </c>
      <c r="J2029" t="str">
        <f>VLOOKUP(E2029,DSSpieler!A:B,2,FALSE)</f>
        <v>Rocki Fight?</v>
      </c>
    </row>
    <row r="2030" spans="1:10" x14ac:dyDescent="0.25">
      <c r="A2030">
        <v>2278</v>
      </c>
      <c r="B2030" t="s">
        <v>933</v>
      </c>
      <c r="C2030">
        <v>532</v>
      </c>
      <c r="D2030">
        <v>397</v>
      </c>
      <c r="E2030">
        <v>1576741449</v>
      </c>
      <c r="F2030">
        <v>4684</v>
      </c>
      <c r="G2030">
        <v>0</v>
      </c>
      <c r="H2030" t="s">
        <v>6956</v>
      </c>
      <c r="I2030">
        <v>2278</v>
      </c>
      <c r="J2030" t="str">
        <f>VLOOKUP(E2030,DSSpieler!A:B,2,FALSE)</f>
        <v>Boris-with-skill</v>
      </c>
    </row>
    <row r="2031" spans="1:10" x14ac:dyDescent="0.25">
      <c r="A2031">
        <v>2279</v>
      </c>
      <c r="B2031" t="s">
        <v>531</v>
      </c>
      <c r="C2031">
        <v>512</v>
      </c>
      <c r="D2031">
        <v>450</v>
      </c>
      <c r="E2031">
        <v>0</v>
      </c>
      <c r="F2031">
        <v>456</v>
      </c>
      <c r="G2031">
        <v>0</v>
      </c>
      <c r="H2031" t="s">
        <v>6957</v>
      </c>
      <c r="I2031">
        <v>2279</v>
      </c>
      <c r="J2031" t="e">
        <f>VLOOKUP(E2031,DSSpieler!A:B,2,FALSE)</f>
        <v>#N/A</v>
      </c>
    </row>
    <row r="2032" spans="1:10" x14ac:dyDescent="0.25">
      <c r="A2032">
        <v>2280</v>
      </c>
      <c r="B2032" t="s">
        <v>31411</v>
      </c>
      <c r="C2032">
        <v>529</v>
      </c>
      <c r="D2032">
        <v>399</v>
      </c>
      <c r="E2032">
        <v>1577155634</v>
      </c>
      <c r="F2032">
        <v>4539</v>
      </c>
      <c r="G2032">
        <v>0</v>
      </c>
      <c r="H2032" t="s">
        <v>6958</v>
      </c>
      <c r="I2032">
        <v>2280</v>
      </c>
      <c r="J2032" t="str">
        <f>VLOOKUP(E2032,DSSpieler!A:B,2,FALSE)</f>
        <v>Jeff3191</v>
      </c>
    </row>
    <row r="2033" spans="1:10" x14ac:dyDescent="0.25">
      <c r="A2033">
        <v>2281</v>
      </c>
      <c r="B2033" t="s">
        <v>531</v>
      </c>
      <c r="C2033">
        <v>556</v>
      </c>
      <c r="D2033">
        <v>494</v>
      </c>
      <c r="E2033">
        <v>0</v>
      </c>
      <c r="F2033">
        <v>435</v>
      </c>
      <c r="G2033">
        <v>0</v>
      </c>
      <c r="H2033" t="s">
        <v>6959</v>
      </c>
      <c r="I2033">
        <v>2281</v>
      </c>
      <c r="J2033" t="e">
        <f>VLOOKUP(E2033,DSSpieler!A:B,2,FALSE)</f>
        <v>#N/A</v>
      </c>
    </row>
    <row r="2034" spans="1:10" x14ac:dyDescent="0.25">
      <c r="A2034">
        <v>2282</v>
      </c>
      <c r="B2034" s="111">
        <v>230.02</v>
      </c>
      <c r="C2034">
        <v>530</v>
      </c>
      <c r="D2034">
        <v>393</v>
      </c>
      <c r="E2034">
        <v>1577174302</v>
      </c>
      <c r="F2034">
        <v>5827</v>
      </c>
      <c r="G2034">
        <v>0</v>
      </c>
      <c r="H2034" t="s">
        <v>6960</v>
      </c>
      <c r="I2034">
        <v>2282</v>
      </c>
      <c r="J2034" t="str">
        <f>VLOOKUP(E2034,DSSpieler!A:B,2,FALSE)</f>
        <v>datGCP</v>
      </c>
    </row>
    <row r="2035" spans="1:10" x14ac:dyDescent="0.25">
      <c r="A2035">
        <v>2283</v>
      </c>
      <c r="B2035" t="s">
        <v>31412</v>
      </c>
      <c r="C2035">
        <v>539</v>
      </c>
      <c r="D2035">
        <v>471</v>
      </c>
      <c r="E2035">
        <v>1576975086</v>
      </c>
      <c r="F2035">
        <v>3579</v>
      </c>
      <c r="G2035">
        <v>0</v>
      </c>
      <c r="H2035" t="s">
        <v>6961</v>
      </c>
      <c r="I2035">
        <v>2283</v>
      </c>
      <c r="J2035" t="str">
        <f>VLOOKUP(E2035,DSSpieler!A:B,2,FALSE)</f>
        <v>Homer7</v>
      </c>
    </row>
    <row r="2036" spans="1:10" x14ac:dyDescent="0.25">
      <c r="A2036">
        <v>2284</v>
      </c>
      <c r="B2036" t="s">
        <v>31413</v>
      </c>
      <c r="C2036">
        <v>542</v>
      </c>
      <c r="D2036">
        <v>462</v>
      </c>
      <c r="E2036">
        <v>1576294527</v>
      </c>
      <c r="F2036">
        <v>5649</v>
      </c>
      <c r="G2036">
        <v>0</v>
      </c>
      <c r="H2036" t="s">
        <v>6962</v>
      </c>
      <c r="I2036">
        <v>2284</v>
      </c>
      <c r="J2036" t="str">
        <f>VLOOKUP(E2036,DSSpieler!A:B,2,FALSE)</f>
        <v>firet0uch</v>
      </c>
    </row>
    <row r="2037" spans="1:10" x14ac:dyDescent="0.25">
      <c r="A2037">
        <v>2285</v>
      </c>
      <c r="B2037" t="s">
        <v>934</v>
      </c>
      <c r="C2037">
        <v>547</v>
      </c>
      <c r="D2037">
        <v>478</v>
      </c>
      <c r="E2037">
        <v>1577180324</v>
      </c>
      <c r="F2037">
        <v>2998</v>
      </c>
      <c r="G2037">
        <v>0</v>
      </c>
      <c r="H2037" t="s">
        <v>6963</v>
      </c>
      <c r="I2037">
        <v>2285</v>
      </c>
      <c r="J2037" t="str">
        <f>VLOOKUP(E2037,DSSpieler!A:B,2,FALSE)</f>
        <v>XTfg3ZAbO</v>
      </c>
    </row>
    <row r="2038" spans="1:10" x14ac:dyDescent="0.25">
      <c r="A2038">
        <v>2286</v>
      </c>
      <c r="B2038" t="s">
        <v>795</v>
      </c>
      <c r="C2038">
        <v>546</v>
      </c>
      <c r="D2038">
        <v>467</v>
      </c>
      <c r="E2038">
        <v>1576984066</v>
      </c>
      <c r="F2038">
        <v>5171</v>
      </c>
      <c r="G2038">
        <v>0</v>
      </c>
      <c r="H2038" t="s">
        <v>6964</v>
      </c>
      <c r="I2038">
        <v>2286</v>
      </c>
      <c r="J2038" t="str">
        <f>VLOOKUP(E2038,DSSpieler!A:B,2,FALSE)</f>
        <v>DSGamr</v>
      </c>
    </row>
    <row r="2039" spans="1:10" x14ac:dyDescent="0.25">
      <c r="A2039">
        <v>2287</v>
      </c>
      <c r="B2039" t="s">
        <v>935</v>
      </c>
      <c r="C2039">
        <v>537</v>
      </c>
      <c r="D2039">
        <v>462</v>
      </c>
      <c r="E2039">
        <v>1577180924</v>
      </c>
      <c r="F2039">
        <v>3733</v>
      </c>
      <c r="G2039">
        <v>0</v>
      </c>
      <c r="H2039" t="s">
        <v>6965</v>
      </c>
      <c r="I2039">
        <v>2287</v>
      </c>
      <c r="J2039" t="str">
        <f>VLOOKUP(E2039,DSSpieler!A:B,2,FALSE)</f>
        <v>La84</v>
      </c>
    </row>
    <row r="2040" spans="1:10" x14ac:dyDescent="0.25">
      <c r="A2040">
        <v>2288</v>
      </c>
      <c r="B2040" t="s">
        <v>31414</v>
      </c>
      <c r="C2040">
        <v>541</v>
      </c>
      <c r="D2040">
        <v>452</v>
      </c>
      <c r="E2040">
        <v>10077002</v>
      </c>
      <c r="F2040">
        <v>3596</v>
      </c>
      <c r="G2040">
        <v>0</v>
      </c>
      <c r="H2040" t="s">
        <v>6966</v>
      </c>
      <c r="I2040">
        <v>2288</v>
      </c>
      <c r="J2040" t="str">
        <f>VLOOKUP(E2040,DSSpieler!A:B,2,FALSE)</f>
        <v>HillesXx</v>
      </c>
    </row>
    <row r="2041" spans="1:10" x14ac:dyDescent="0.25">
      <c r="A2041">
        <v>2289</v>
      </c>
      <c r="B2041" t="s">
        <v>531</v>
      </c>
      <c r="C2041">
        <v>528</v>
      </c>
      <c r="D2041">
        <v>567</v>
      </c>
      <c r="E2041">
        <v>0</v>
      </c>
      <c r="F2041">
        <v>405</v>
      </c>
      <c r="G2041">
        <v>0</v>
      </c>
      <c r="H2041" t="s">
        <v>6967</v>
      </c>
      <c r="I2041">
        <v>2289</v>
      </c>
      <c r="J2041" t="e">
        <f>VLOOKUP(E2041,DSSpieler!A:B,2,FALSE)</f>
        <v>#N/A</v>
      </c>
    </row>
    <row r="2042" spans="1:10" x14ac:dyDescent="0.25">
      <c r="A2042">
        <v>2290</v>
      </c>
      <c r="B2042" t="s">
        <v>936</v>
      </c>
      <c r="C2042">
        <v>555</v>
      </c>
      <c r="D2042">
        <v>474</v>
      </c>
      <c r="E2042">
        <v>1577196743</v>
      </c>
      <c r="F2042">
        <v>5287</v>
      </c>
      <c r="G2042">
        <v>0</v>
      </c>
      <c r="H2042" t="s">
        <v>6968</v>
      </c>
      <c r="I2042">
        <v>2290</v>
      </c>
      <c r="J2042" t="str">
        <f>VLOOKUP(E2042,DSSpieler!A:B,2,FALSE)</f>
        <v>Spider902</v>
      </c>
    </row>
    <row r="2043" spans="1:10" x14ac:dyDescent="0.25">
      <c r="A2043">
        <v>2291</v>
      </c>
      <c r="B2043" t="s">
        <v>31415</v>
      </c>
      <c r="C2043">
        <v>544</v>
      </c>
      <c r="D2043">
        <v>463</v>
      </c>
      <c r="E2043">
        <v>1576294527</v>
      </c>
      <c r="F2043">
        <v>4808</v>
      </c>
      <c r="G2043">
        <v>0</v>
      </c>
      <c r="H2043" t="s">
        <v>6969</v>
      </c>
      <c r="I2043">
        <v>2291</v>
      </c>
      <c r="J2043" t="str">
        <f>VLOOKUP(E2043,DSSpieler!A:B,2,FALSE)</f>
        <v>firet0uch</v>
      </c>
    </row>
    <row r="2044" spans="1:10" x14ac:dyDescent="0.25">
      <c r="A2044">
        <v>2292</v>
      </c>
      <c r="B2044" t="s">
        <v>531</v>
      </c>
      <c r="C2044">
        <v>547</v>
      </c>
      <c r="D2044">
        <v>454</v>
      </c>
      <c r="E2044">
        <v>0</v>
      </c>
      <c r="F2044">
        <v>159</v>
      </c>
      <c r="G2044">
        <v>0</v>
      </c>
      <c r="H2044" t="s">
        <v>6970</v>
      </c>
      <c r="I2044">
        <v>2292</v>
      </c>
      <c r="J2044" t="e">
        <f>VLOOKUP(E2044,DSSpieler!A:B,2,FALSE)</f>
        <v>#N/A</v>
      </c>
    </row>
    <row r="2045" spans="1:10" x14ac:dyDescent="0.25">
      <c r="A2045">
        <v>2293</v>
      </c>
      <c r="B2045" t="s">
        <v>31416</v>
      </c>
      <c r="C2045">
        <v>546</v>
      </c>
      <c r="D2045">
        <v>516</v>
      </c>
      <c r="E2045">
        <v>1577196954</v>
      </c>
      <c r="F2045">
        <v>5744</v>
      </c>
      <c r="G2045">
        <v>0</v>
      </c>
      <c r="H2045" t="s">
        <v>6971</v>
      </c>
      <c r="I2045">
        <v>2293</v>
      </c>
      <c r="J2045" t="str">
        <f>VLOOKUP(E2045,DSSpieler!A:B,2,FALSE)</f>
        <v>SirLanzeloterus</v>
      </c>
    </row>
    <row r="2046" spans="1:10" x14ac:dyDescent="0.25">
      <c r="A2046">
        <v>2294</v>
      </c>
      <c r="B2046" t="s">
        <v>31417</v>
      </c>
      <c r="C2046">
        <v>544</v>
      </c>
      <c r="D2046">
        <v>520</v>
      </c>
      <c r="E2046">
        <v>1577196954</v>
      </c>
      <c r="F2046">
        <v>6959</v>
      </c>
      <c r="G2046">
        <v>0</v>
      </c>
      <c r="H2046" t="s">
        <v>6972</v>
      </c>
      <c r="I2046">
        <v>2294</v>
      </c>
      <c r="J2046" t="str">
        <f>VLOOKUP(E2046,DSSpieler!A:B,2,FALSE)</f>
        <v>SirLanzeloterus</v>
      </c>
    </row>
    <row r="2047" spans="1:10" x14ac:dyDescent="0.25">
      <c r="A2047">
        <v>2295</v>
      </c>
      <c r="B2047" t="s">
        <v>31418</v>
      </c>
      <c r="C2047">
        <v>548</v>
      </c>
      <c r="D2047">
        <v>518</v>
      </c>
      <c r="E2047">
        <v>1577196139</v>
      </c>
      <c r="F2047">
        <v>6143</v>
      </c>
      <c r="G2047">
        <v>0</v>
      </c>
      <c r="H2047" t="s">
        <v>6973</v>
      </c>
      <c r="I2047">
        <v>2295</v>
      </c>
      <c r="J2047" t="str">
        <f>VLOOKUP(E2047,DSSpieler!A:B,2,FALSE)</f>
        <v>Zwahlen</v>
      </c>
    </row>
    <row r="2048" spans="1:10" x14ac:dyDescent="0.25">
      <c r="A2048">
        <v>2296</v>
      </c>
      <c r="B2048" t="s">
        <v>937</v>
      </c>
      <c r="C2048">
        <v>555</v>
      </c>
      <c r="D2048">
        <v>511</v>
      </c>
      <c r="E2048">
        <v>1577196187</v>
      </c>
      <c r="F2048">
        <v>7474</v>
      </c>
      <c r="G2048">
        <v>0</v>
      </c>
      <c r="H2048" t="s">
        <v>6974</v>
      </c>
      <c r="I2048">
        <v>2296</v>
      </c>
      <c r="J2048" t="str">
        <f>VLOOKUP(E2048,DSSpieler!A:B,2,FALSE)</f>
        <v>EyeDay</v>
      </c>
    </row>
    <row r="2049" spans="1:10" x14ac:dyDescent="0.25">
      <c r="A2049">
        <v>2297</v>
      </c>
      <c r="B2049" t="s">
        <v>673</v>
      </c>
      <c r="C2049">
        <v>547</v>
      </c>
      <c r="D2049">
        <v>524</v>
      </c>
      <c r="E2049">
        <v>1576896284</v>
      </c>
      <c r="F2049">
        <v>5191</v>
      </c>
      <c r="G2049">
        <v>0</v>
      </c>
      <c r="H2049" t="s">
        <v>6975</v>
      </c>
      <c r="I2049">
        <v>2297</v>
      </c>
      <c r="J2049" t="str">
        <f>VLOOKUP(E2049,DSSpieler!A:B,2,FALSE)</f>
        <v>XHighOwnX</v>
      </c>
    </row>
    <row r="2050" spans="1:10" x14ac:dyDescent="0.25">
      <c r="A2050">
        <v>2298</v>
      </c>
      <c r="B2050" t="s">
        <v>531</v>
      </c>
      <c r="C2050">
        <v>446</v>
      </c>
      <c r="D2050">
        <v>447</v>
      </c>
      <c r="E2050">
        <v>0</v>
      </c>
      <c r="F2050">
        <v>505</v>
      </c>
      <c r="G2050">
        <v>0</v>
      </c>
      <c r="H2050" t="s">
        <v>6976</v>
      </c>
      <c r="I2050">
        <v>2298</v>
      </c>
      <c r="J2050" t="e">
        <f>VLOOKUP(E2050,DSSpieler!A:B,2,FALSE)</f>
        <v>#N/A</v>
      </c>
    </row>
    <row r="2051" spans="1:10" x14ac:dyDescent="0.25">
      <c r="A2051">
        <v>2299</v>
      </c>
      <c r="B2051" t="s">
        <v>31419</v>
      </c>
      <c r="C2051">
        <v>552</v>
      </c>
      <c r="D2051">
        <v>514</v>
      </c>
      <c r="E2051">
        <v>1577196139</v>
      </c>
      <c r="F2051">
        <v>5462</v>
      </c>
      <c r="G2051">
        <v>0</v>
      </c>
      <c r="H2051" t="s">
        <v>6977</v>
      </c>
      <c r="I2051">
        <v>2299</v>
      </c>
      <c r="J2051" t="str">
        <f>VLOOKUP(E2051,DSSpieler!A:B,2,FALSE)</f>
        <v>Zwahlen</v>
      </c>
    </row>
    <row r="2052" spans="1:10" x14ac:dyDescent="0.25">
      <c r="A2052">
        <v>2301</v>
      </c>
      <c r="B2052" t="s">
        <v>531</v>
      </c>
      <c r="C2052">
        <v>475</v>
      </c>
      <c r="D2052">
        <v>443</v>
      </c>
      <c r="E2052">
        <v>0</v>
      </c>
      <c r="F2052">
        <v>371</v>
      </c>
      <c r="G2052">
        <v>0</v>
      </c>
      <c r="H2052" t="s">
        <v>6978</v>
      </c>
      <c r="I2052">
        <v>2301</v>
      </c>
      <c r="J2052" t="e">
        <f>VLOOKUP(E2052,DSSpieler!A:B,2,FALSE)</f>
        <v>#N/A</v>
      </c>
    </row>
    <row r="2053" spans="1:10" x14ac:dyDescent="0.25">
      <c r="A2053">
        <v>2302</v>
      </c>
      <c r="B2053" t="s">
        <v>938</v>
      </c>
      <c r="C2053">
        <v>559</v>
      </c>
      <c r="D2053">
        <v>532</v>
      </c>
      <c r="E2053">
        <v>1577177190</v>
      </c>
      <c r="F2053">
        <v>5866</v>
      </c>
      <c r="G2053">
        <v>0</v>
      </c>
      <c r="H2053" t="s">
        <v>6979</v>
      </c>
      <c r="I2053">
        <v>2302</v>
      </c>
      <c r="J2053" t="str">
        <f>VLOOKUP(E2053,DSSpieler!A:B,2,FALSE)</f>
        <v>SörenHagen</v>
      </c>
    </row>
    <row r="2054" spans="1:10" x14ac:dyDescent="0.25">
      <c r="A2054">
        <v>2303</v>
      </c>
      <c r="B2054" t="s">
        <v>31420</v>
      </c>
      <c r="C2054">
        <v>553</v>
      </c>
      <c r="D2054">
        <v>513</v>
      </c>
      <c r="E2054">
        <v>1577196776</v>
      </c>
      <c r="F2054">
        <v>5285</v>
      </c>
      <c r="G2054">
        <v>0</v>
      </c>
      <c r="H2054" t="s">
        <v>6980</v>
      </c>
      <c r="I2054">
        <v>2303</v>
      </c>
      <c r="J2054" t="str">
        <f>VLOOKUP(E2054,DSSpieler!A:B,2,FALSE)</f>
        <v>pörtsch</v>
      </c>
    </row>
    <row r="2055" spans="1:10" x14ac:dyDescent="0.25">
      <c r="A2055">
        <v>2305</v>
      </c>
      <c r="B2055" t="s">
        <v>939</v>
      </c>
      <c r="C2055">
        <v>502</v>
      </c>
      <c r="D2055">
        <v>471</v>
      </c>
      <c r="E2055">
        <v>8147504</v>
      </c>
      <c r="F2055">
        <v>1373</v>
      </c>
      <c r="G2055">
        <v>0</v>
      </c>
      <c r="H2055" t="s">
        <v>6981</v>
      </c>
      <c r="I2055">
        <v>2305</v>
      </c>
      <c r="J2055" t="str">
        <f>VLOOKUP(E2055,DSSpieler!A:B,2,FALSE)</f>
        <v>Count Urdays</v>
      </c>
    </row>
    <row r="2056" spans="1:10" x14ac:dyDescent="0.25">
      <c r="A2056">
        <v>2306</v>
      </c>
      <c r="B2056" t="s">
        <v>940</v>
      </c>
      <c r="C2056">
        <v>563</v>
      </c>
      <c r="D2056">
        <v>522</v>
      </c>
      <c r="E2056">
        <v>1577197427</v>
      </c>
      <c r="F2056">
        <v>6427</v>
      </c>
      <c r="G2056">
        <v>0</v>
      </c>
      <c r="H2056" t="s">
        <v>6982</v>
      </c>
      <c r="I2056">
        <v>2306</v>
      </c>
      <c r="J2056" t="str">
        <f>VLOOKUP(E2056,DSSpieler!A:B,2,FALSE)</f>
        <v>snagghetty</v>
      </c>
    </row>
    <row r="2057" spans="1:10" x14ac:dyDescent="0.25">
      <c r="A2057">
        <v>2307</v>
      </c>
      <c r="B2057" t="s">
        <v>31421</v>
      </c>
      <c r="C2057">
        <v>479</v>
      </c>
      <c r="D2057">
        <v>457</v>
      </c>
      <c r="E2057">
        <v>1576084971</v>
      </c>
      <c r="F2057">
        <v>5199</v>
      </c>
      <c r="G2057">
        <v>0</v>
      </c>
      <c r="H2057" t="s">
        <v>6983</v>
      </c>
      <c r="I2057">
        <v>2307</v>
      </c>
      <c r="J2057" t="str">
        <f>VLOOKUP(E2057,DSSpieler!A:B,2,FALSE)</f>
        <v>Timschka</v>
      </c>
    </row>
    <row r="2058" spans="1:10" x14ac:dyDescent="0.25">
      <c r="A2058">
        <v>2308</v>
      </c>
      <c r="B2058" t="s">
        <v>31422</v>
      </c>
      <c r="C2058">
        <v>478</v>
      </c>
      <c r="D2058">
        <v>460</v>
      </c>
      <c r="E2058">
        <v>1577186275</v>
      </c>
      <c r="F2058">
        <v>5757</v>
      </c>
      <c r="G2058">
        <v>0</v>
      </c>
      <c r="H2058" t="s">
        <v>6984</v>
      </c>
      <c r="I2058">
        <v>2308</v>
      </c>
      <c r="J2058" t="str">
        <f>VLOOKUP(E2058,DSSpieler!A:B,2,FALSE)</f>
        <v>seeroxs</v>
      </c>
    </row>
    <row r="2059" spans="1:10" x14ac:dyDescent="0.25">
      <c r="A2059">
        <v>2309</v>
      </c>
      <c r="B2059" t="s">
        <v>31423</v>
      </c>
      <c r="C2059">
        <v>474</v>
      </c>
      <c r="D2059">
        <v>453</v>
      </c>
      <c r="E2059">
        <v>1576656557</v>
      </c>
      <c r="F2059">
        <v>3023</v>
      </c>
      <c r="G2059">
        <v>0</v>
      </c>
      <c r="H2059" t="s">
        <v>6985</v>
      </c>
      <c r="I2059">
        <v>2309</v>
      </c>
      <c r="J2059" t="str">
        <f>VLOOKUP(E2059,DSSpieler!A:B,2,FALSE)</f>
        <v>AnPa1995</v>
      </c>
    </row>
    <row r="2060" spans="1:10" x14ac:dyDescent="0.25">
      <c r="A2060">
        <v>2310</v>
      </c>
      <c r="B2060" t="s">
        <v>531</v>
      </c>
      <c r="C2060">
        <v>568</v>
      </c>
      <c r="D2060">
        <v>476</v>
      </c>
      <c r="E2060">
        <v>0</v>
      </c>
      <c r="F2060">
        <v>341</v>
      </c>
      <c r="G2060">
        <v>0</v>
      </c>
      <c r="H2060" t="s">
        <v>6986</v>
      </c>
      <c r="I2060">
        <v>2310</v>
      </c>
      <c r="J2060" t="e">
        <f>VLOOKUP(E2060,DSSpieler!A:B,2,FALSE)</f>
        <v>#N/A</v>
      </c>
    </row>
    <row r="2061" spans="1:10" x14ac:dyDescent="0.25">
      <c r="A2061">
        <v>2311</v>
      </c>
      <c r="B2061" t="s">
        <v>31424</v>
      </c>
      <c r="C2061">
        <v>475</v>
      </c>
      <c r="D2061">
        <v>463</v>
      </c>
      <c r="E2061">
        <v>1577196490</v>
      </c>
      <c r="F2061">
        <v>253</v>
      </c>
      <c r="G2061">
        <v>0</v>
      </c>
      <c r="H2061" t="s">
        <v>6987</v>
      </c>
      <c r="I2061">
        <v>2311</v>
      </c>
      <c r="J2061" t="str">
        <f>VLOOKUP(E2061,DSSpieler!A:B,2,FALSE)</f>
        <v>Goliantos</v>
      </c>
    </row>
    <row r="2062" spans="1:10" x14ac:dyDescent="0.25">
      <c r="A2062">
        <v>2312</v>
      </c>
      <c r="B2062" t="s">
        <v>31425</v>
      </c>
      <c r="C2062">
        <v>481</v>
      </c>
      <c r="D2062">
        <v>467</v>
      </c>
      <c r="E2062">
        <v>1576027028</v>
      </c>
      <c r="F2062">
        <v>5059</v>
      </c>
      <c r="G2062">
        <v>0</v>
      </c>
      <c r="H2062" t="s">
        <v>6988</v>
      </c>
      <c r="I2062">
        <v>2312</v>
      </c>
      <c r="J2062" t="str">
        <f>VLOOKUP(E2062,DSSpieler!A:B,2,FALSE)</f>
        <v>vkvipper1</v>
      </c>
    </row>
    <row r="2063" spans="1:10" x14ac:dyDescent="0.25">
      <c r="A2063">
        <v>2313</v>
      </c>
      <c r="B2063" t="s">
        <v>31426</v>
      </c>
      <c r="C2063">
        <v>473</v>
      </c>
      <c r="D2063">
        <v>456</v>
      </c>
      <c r="E2063">
        <v>1577186311</v>
      </c>
      <c r="F2063">
        <v>4611</v>
      </c>
      <c r="G2063">
        <v>0</v>
      </c>
      <c r="H2063" t="s">
        <v>6989</v>
      </c>
      <c r="I2063">
        <v>2313</v>
      </c>
      <c r="J2063" t="str">
        <f>VLOOKUP(E2063,DSSpieler!A:B,2,FALSE)</f>
        <v>enjuli</v>
      </c>
    </row>
    <row r="2064" spans="1:10" x14ac:dyDescent="0.25">
      <c r="A2064">
        <v>2314</v>
      </c>
      <c r="B2064" t="s">
        <v>531</v>
      </c>
      <c r="C2064">
        <v>435</v>
      </c>
      <c r="D2064">
        <v>465</v>
      </c>
      <c r="E2064">
        <v>0</v>
      </c>
      <c r="F2064">
        <v>387</v>
      </c>
      <c r="G2064">
        <v>0</v>
      </c>
      <c r="H2064" t="s">
        <v>6990</v>
      </c>
      <c r="I2064">
        <v>2314</v>
      </c>
      <c r="J2064" t="e">
        <f>VLOOKUP(E2064,DSSpieler!A:B,2,FALSE)</f>
        <v>#N/A</v>
      </c>
    </row>
    <row r="2065" spans="1:10" x14ac:dyDescent="0.25">
      <c r="A2065">
        <v>2315</v>
      </c>
      <c r="B2065" t="s">
        <v>31427</v>
      </c>
      <c r="C2065">
        <v>482</v>
      </c>
      <c r="D2065">
        <v>452</v>
      </c>
      <c r="E2065">
        <v>1577186670</v>
      </c>
      <c r="F2065">
        <v>5028</v>
      </c>
      <c r="G2065">
        <v>0</v>
      </c>
      <c r="H2065" t="s">
        <v>6991</v>
      </c>
      <c r="I2065">
        <v>2315</v>
      </c>
      <c r="J2065" t="str">
        <f>VLOOKUP(E2065,DSSpieler!A:B,2,FALSE)</f>
        <v>Nucle4r</v>
      </c>
    </row>
    <row r="2066" spans="1:10" x14ac:dyDescent="0.25">
      <c r="A2066">
        <v>2317</v>
      </c>
      <c r="B2066" t="s">
        <v>531</v>
      </c>
      <c r="C2066">
        <v>522</v>
      </c>
      <c r="D2066">
        <v>513</v>
      </c>
      <c r="E2066">
        <v>0</v>
      </c>
      <c r="F2066">
        <v>330</v>
      </c>
      <c r="G2066">
        <v>0</v>
      </c>
      <c r="H2066" t="s">
        <v>6992</v>
      </c>
      <c r="I2066">
        <v>2317</v>
      </c>
      <c r="J2066" t="e">
        <f>VLOOKUP(E2066,DSSpieler!A:B,2,FALSE)</f>
        <v>#N/A</v>
      </c>
    </row>
    <row r="2067" spans="1:10" x14ac:dyDescent="0.25">
      <c r="A2067">
        <v>2318</v>
      </c>
      <c r="B2067" t="s">
        <v>31428</v>
      </c>
      <c r="C2067">
        <v>461</v>
      </c>
      <c r="D2067">
        <v>463</v>
      </c>
      <c r="E2067">
        <v>1577197647</v>
      </c>
      <c r="F2067">
        <v>6194</v>
      </c>
      <c r="G2067">
        <v>0</v>
      </c>
      <c r="H2067" t="s">
        <v>6993</v>
      </c>
      <c r="I2067">
        <v>2318</v>
      </c>
      <c r="J2067" t="str">
        <f>VLOOKUP(E2067,DSSpieler!A:B,2,FALSE)</f>
        <v>hardknorr</v>
      </c>
    </row>
    <row r="2068" spans="1:10" x14ac:dyDescent="0.25">
      <c r="A2068">
        <v>2319</v>
      </c>
      <c r="B2068" t="s">
        <v>531</v>
      </c>
      <c r="C2068">
        <v>462</v>
      </c>
      <c r="D2068">
        <v>531</v>
      </c>
      <c r="E2068">
        <v>0</v>
      </c>
      <c r="F2068">
        <v>450</v>
      </c>
      <c r="G2068">
        <v>0</v>
      </c>
      <c r="H2068" t="s">
        <v>6994</v>
      </c>
      <c r="I2068">
        <v>2319</v>
      </c>
      <c r="J2068" t="e">
        <f>VLOOKUP(E2068,DSSpieler!A:B,2,FALSE)</f>
        <v>#N/A</v>
      </c>
    </row>
    <row r="2069" spans="1:10" x14ac:dyDescent="0.25">
      <c r="A2069">
        <v>2320</v>
      </c>
      <c r="B2069" t="s">
        <v>31429</v>
      </c>
      <c r="C2069">
        <v>409</v>
      </c>
      <c r="D2069">
        <v>509</v>
      </c>
      <c r="E2069">
        <v>1576436373</v>
      </c>
      <c r="F2069">
        <v>4840</v>
      </c>
      <c r="G2069">
        <v>0</v>
      </c>
      <c r="H2069" t="s">
        <v>6995</v>
      </c>
      <c r="I2069">
        <v>2320</v>
      </c>
      <c r="J2069" t="str">
        <f>VLOOKUP(E2069,DSSpieler!A:B,2,FALSE)</f>
        <v>Ds-Koryphäe</v>
      </c>
    </row>
    <row r="2070" spans="1:10" x14ac:dyDescent="0.25">
      <c r="A2070">
        <v>2321</v>
      </c>
      <c r="B2070" t="s">
        <v>31430</v>
      </c>
      <c r="C2070">
        <v>454</v>
      </c>
      <c r="D2070">
        <v>524</v>
      </c>
      <c r="E2070">
        <v>1577162823</v>
      </c>
      <c r="F2070">
        <v>1393</v>
      </c>
      <c r="G2070">
        <v>0</v>
      </c>
      <c r="H2070" t="s">
        <v>6996</v>
      </c>
      <c r="I2070">
        <v>2321</v>
      </c>
      <c r="J2070" t="str">
        <f>VLOOKUP(E2070,DSSpieler!A:B,2,FALSE)</f>
        <v>Ruffy61</v>
      </c>
    </row>
    <row r="2071" spans="1:10" x14ac:dyDescent="0.25">
      <c r="A2071">
        <v>2322</v>
      </c>
      <c r="B2071" t="s">
        <v>31431</v>
      </c>
      <c r="C2071">
        <v>450</v>
      </c>
      <c r="D2071">
        <v>534</v>
      </c>
      <c r="E2071">
        <v>9551701</v>
      </c>
      <c r="F2071">
        <v>5683</v>
      </c>
      <c r="G2071">
        <v>0</v>
      </c>
      <c r="H2071" t="s">
        <v>6997</v>
      </c>
      <c r="I2071">
        <v>2322</v>
      </c>
      <c r="J2071" t="str">
        <f>VLOOKUP(E2071,DSSpieler!A:B,2,FALSE)</f>
        <v>OJO der Große</v>
      </c>
    </row>
    <row r="2072" spans="1:10" x14ac:dyDescent="0.25">
      <c r="A2072">
        <v>2323</v>
      </c>
      <c r="B2072" t="s">
        <v>531</v>
      </c>
      <c r="C2072">
        <v>431</v>
      </c>
      <c r="D2072">
        <v>507</v>
      </c>
      <c r="E2072">
        <v>0</v>
      </c>
      <c r="F2072">
        <v>367</v>
      </c>
      <c r="G2072">
        <v>0</v>
      </c>
      <c r="H2072" t="s">
        <v>6998</v>
      </c>
      <c r="I2072">
        <v>2323</v>
      </c>
      <c r="J2072" t="e">
        <f>VLOOKUP(E2072,DSSpieler!A:B,2,FALSE)</f>
        <v>#N/A</v>
      </c>
    </row>
    <row r="2073" spans="1:10" x14ac:dyDescent="0.25">
      <c r="A2073">
        <v>2324</v>
      </c>
      <c r="B2073" t="s">
        <v>941</v>
      </c>
      <c r="C2073">
        <v>447</v>
      </c>
      <c r="D2073">
        <v>542</v>
      </c>
      <c r="E2073">
        <v>2204623</v>
      </c>
      <c r="F2073">
        <v>4798</v>
      </c>
      <c r="G2073">
        <v>0</v>
      </c>
      <c r="H2073" t="s">
        <v>6999</v>
      </c>
      <c r="I2073">
        <v>2324</v>
      </c>
      <c r="J2073" t="str">
        <f>VLOOKUP(E2073,DSSpieler!A:B,2,FALSE)</f>
        <v>h0ly jesiz</v>
      </c>
    </row>
    <row r="2074" spans="1:10" x14ac:dyDescent="0.25">
      <c r="A2074">
        <v>2325</v>
      </c>
      <c r="B2074" t="s">
        <v>942</v>
      </c>
      <c r="C2074">
        <v>456</v>
      </c>
      <c r="D2074">
        <v>583</v>
      </c>
      <c r="E2074">
        <v>1577192117</v>
      </c>
      <c r="F2074">
        <v>5763</v>
      </c>
      <c r="G2074">
        <v>0</v>
      </c>
      <c r="H2074" t="s">
        <v>7000</v>
      </c>
      <c r="I2074">
        <v>2325</v>
      </c>
      <c r="J2074" t="str">
        <f>VLOOKUP(E2074,DSSpieler!A:B,2,FALSE)</f>
        <v>Lord0711</v>
      </c>
    </row>
    <row r="2075" spans="1:10" x14ac:dyDescent="0.25">
      <c r="A2075">
        <v>2326</v>
      </c>
      <c r="B2075" t="s">
        <v>30532</v>
      </c>
      <c r="C2075">
        <v>460</v>
      </c>
      <c r="D2075">
        <v>521</v>
      </c>
      <c r="E2075">
        <v>1576704931</v>
      </c>
      <c r="F2075">
        <v>3353</v>
      </c>
      <c r="G2075">
        <v>0</v>
      </c>
      <c r="H2075" t="s">
        <v>7001</v>
      </c>
      <c r="I2075">
        <v>2326</v>
      </c>
      <c r="J2075" t="str">
        <f>VLOOKUP(E2075,DSSpieler!A:B,2,FALSE)</f>
        <v>Phyton1</v>
      </c>
    </row>
    <row r="2076" spans="1:10" x14ac:dyDescent="0.25">
      <c r="A2076">
        <v>2327</v>
      </c>
      <c r="B2076" t="s">
        <v>943</v>
      </c>
      <c r="C2076">
        <v>457</v>
      </c>
      <c r="D2076">
        <v>530</v>
      </c>
      <c r="E2076">
        <v>10055369</v>
      </c>
      <c r="F2076">
        <v>7061</v>
      </c>
      <c r="G2076">
        <v>0</v>
      </c>
      <c r="H2076" t="s">
        <v>7002</v>
      </c>
      <c r="I2076">
        <v>2327</v>
      </c>
      <c r="J2076" t="str">
        <f>VLOOKUP(E2076,DSSpieler!A:B,2,FALSE)</f>
        <v>Hermine-Granger</v>
      </c>
    </row>
    <row r="2077" spans="1:10" x14ac:dyDescent="0.25">
      <c r="A2077">
        <v>2328</v>
      </c>
      <c r="B2077" t="s">
        <v>31432</v>
      </c>
      <c r="C2077">
        <v>500</v>
      </c>
      <c r="D2077">
        <v>549</v>
      </c>
      <c r="E2077">
        <v>1577188511</v>
      </c>
      <c r="F2077">
        <v>7246</v>
      </c>
      <c r="G2077">
        <v>0</v>
      </c>
      <c r="H2077" t="s">
        <v>7003</v>
      </c>
      <c r="I2077">
        <v>2328</v>
      </c>
      <c r="J2077" t="str">
        <f>VLOOKUP(E2077,DSSpieler!A:B,2,FALSE)</f>
        <v>Diek118</v>
      </c>
    </row>
    <row r="2078" spans="1:10" x14ac:dyDescent="0.25">
      <c r="A2078">
        <v>2329</v>
      </c>
      <c r="B2078" t="s">
        <v>31164</v>
      </c>
      <c r="C2078">
        <v>503</v>
      </c>
      <c r="D2078">
        <v>541</v>
      </c>
      <c r="E2078">
        <v>1577197542</v>
      </c>
      <c r="F2078">
        <v>6874</v>
      </c>
      <c r="G2078">
        <v>0</v>
      </c>
      <c r="H2078" t="s">
        <v>7004</v>
      </c>
      <c r="I2078">
        <v>2329</v>
      </c>
      <c r="J2078" t="str">
        <f>VLOOKUP(E2078,DSSpieler!A:B,2,FALSE)</f>
        <v>träumerische Tim</v>
      </c>
    </row>
    <row r="2079" spans="1:10" x14ac:dyDescent="0.25">
      <c r="A2079">
        <v>2330</v>
      </c>
      <c r="B2079" t="s">
        <v>944</v>
      </c>
      <c r="C2079">
        <v>507</v>
      </c>
      <c r="D2079">
        <v>539</v>
      </c>
      <c r="E2079">
        <v>1577188511</v>
      </c>
      <c r="F2079">
        <v>6427</v>
      </c>
      <c r="G2079">
        <v>0</v>
      </c>
      <c r="H2079" t="s">
        <v>7005</v>
      </c>
      <c r="I2079">
        <v>2330</v>
      </c>
      <c r="J2079" t="str">
        <f>VLOOKUP(E2079,DSSpieler!A:B,2,FALSE)</f>
        <v>Diek118</v>
      </c>
    </row>
    <row r="2080" spans="1:10" x14ac:dyDescent="0.25">
      <c r="A2080">
        <v>2331</v>
      </c>
      <c r="B2080" t="s">
        <v>945</v>
      </c>
      <c r="C2080">
        <v>507</v>
      </c>
      <c r="D2080">
        <v>544</v>
      </c>
      <c r="E2080">
        <v>1577156865</v>
      </c>
      <c r="F2080">
        <v>631</v>
      </c>
      <c r="G2080">
        <v>0</v>
      </c>
      <c r="H2080" t="s">
        <v>7006</v>
      </c>
      <c r="I2080">
        <v>2331</v>
      </c>
      <c r="J2080" t="str">
        <f>VLOOKUP(E2080,DSSpieler!A:B,2,FALSE)</f>
        <v>BigMorty</v>
      </c>
    </row>
    <row r="2081" spans="1:10" x14ac:dyDescent="0.25">
      <c r="A2081">
        <v>2332</v>
      </c>
      <c r="B2081" t="s">
        <v>31433</v>
      </c>
      <c r="C2081">
        <v>498</v>
      </c>
      <c r="D2081">
        <v>544</v>
      </c>
      <c r="E2081">
        <v>1577197576</v>
      </c>
      <c r="F2081">
        <v>5753</v>
      </c>
      <c r="G2081">
        <v>0</v>
      </c>
      <c r="H2081" t="s">
        <v>7007</v>
      </c>
      <c r="I2081">
        <v>2332</v>
      </c>
      <c r="J2081" t="str">
        <f>VLOOKUP(E2081,DSSpieler!A:B,2,FALSE)</f>
        <v>Timbosliceee</v>
      </c>
    </row>
    <row r="2082" spans="1:10" x14ac:dyDescent="0.25">
      <c r="A2082">
        <v>2333</v>
      </c>
      <c r="B2082" t="s">
        <v>782</v>
      </c>
      <c r="C2082">
        <v>474</v>
      </c>
      <c r="D2082">
        <v>604</v>
      </c>
      <c r="E2082">
        <v>1577180871</v>
      </c>
      <c r="F2082">
        <v>7509</v>
      </c>
      <c r="G2082">
        <v>0</v>
      </c>
      <c r="H2082" t="s">
        <v>7008</v>
      </c>
      <c r="I2082">
        <v>2333</v>
      </c>
      <c r="J2082" t="str">
        <f>VLOOKUP(E2082,DSSpieler!A:B,2,FALSE)</f>
        <v>T0TI</v>
      </c>
    </row>
    <row r="2083" spans="1:10" x14ac:dyDescent="0.25">
      <c r="A2083">
        <v>2334</v>
      </c>
      <c r="B2083" t="s">
        <v>31434</v>
      </c>
      <c r="C2083">
        <v>482</v>
      </c>
      <c r="D2083">
        <v>607</v>
      </c>
      <c r="E2083">
        <v>337584</v>
      </c>
      <c r="F2083">
        <v>7854</v>
      </c>
      <c r="G2083">
        <v>0</v>
      </c>
      <c r="H2083" t="s">
        <v>7009</v>
      </c>
      <c r="I2083">
        <v>2334</v>
      </c>
      <c r="J2083" t="str">
        <f>VLOOKUP(E2083,DSSpieler!A:B,2,FALSE)</f>
        <v>der letzte hashishin</v>
      </c>
    </row>
    <row r="2084" spans="1:10" x14ac:dyDescent="0.25">
      <c r="A2084">
        <v>2335</v>
      </c>
      <c r="B2084" t="s">
        <v>946</v>
      </c>
      <c r="C2084">
        <v>471</v>
      </c>
      <c r="D2084">
        <v>608</v>
      </c>
      <c r="E2084">
        <v>9939653</v>
      </c>
      <c r="F2084">
        <v>6442</v>
      </c>
      <c r="G2084">
        <v>0</v>
      </c>
      <c r="H2084" t="s">
        <v>7010</v>
      </c>
      <c r="I2084">
        <v>2335</v>
      </c>
      <c r="J2084" t="str">
        <f>VLOOKUP(E2084,DSSpieler!A:B,2,FALSE)</f>
        <v>YONDA</v>
      </c>
    </row>
    <row r="2085" spans="1:10" x14ac:dyDescent="0.25">
      <c r="A2085">
        <v>2336</v>
      </c>
      <c r="B2085" t="s">
        <v>31435</v>
      </c>
      <c r="C2085">
        <v>492</v>
      </c>
      <c r="D2085">
        <v>609</v>
      </c>
      <c r="E2085">
        <v>10242175</v>
      </c>
      <c r="F2085">
        <v>6585</v>
      </c>
      <c r="G2085">
        <v>0</v>
      </c>
      <c r="H2085" t="s">
        <v>7011</v>
      </c>
      <c r="I2085">
        <v>2336</v>
      </c>
      <c r="J2085" t="str">
        <f>VLOOKUP(E2085,DSSpieler!A:B,2,FALSE)</f>
        <v>tufiga</v>
      </c>
    </row>
    <row r="2086" spans="1:10" x14ac:dyDescent="0.25">
      <c r="A2086">
        <v>2337</v>
      </c>
      <c r="B2086" t="s">
        <v>531</v>
      </c>
      <c r="C2086">
        <v>570</v>
      </c>
      <c r="D2086">
        <v>537</v>
      </c>
      <c r="E2086">
        <v>0</v>
      </c>
      <c r="F2086">
        <v>477</v>
      </c>
      <c r="G2086">
        <v>0</v>
      </c>
      <c r="H2086" t="s">
        <v>7012</v>
      </c>
      <c r="I2086">
        <v>2337</v>
      </c>
      <c r="J2086" t="e">
        <f>VLOOKUP(E2086,DSSpieler!A:B,2,FALSE)</f>
        <v>#N/A</v>
      </c>
    </row>
    <row r="2087" spans="1:10" x14ac:dyDescent="0.25">
      <c r="A2087">
        <v>2338</v>
      </c>
      <c r="B2087" t="s">
        <v>31436</v>
      </c>
      <c r="C2087">
        <v>476</v>
      </c>
      <c r="D2087">
        <v>596</v>
      </c>
      <c r="E2087">
        <v>9064505</v>
      </c>
      <c r="F2087">
        <v>5375</v>
      </c>
      <c r="G2087">
        <v>0</v>
      </c>
      <c r="H2087" t="s">
        <v>7013</v>
      </c>
      <c r="I2087">
        <v>2338</v>
      </c>
      <c r="J2087" t="str">
        <f>VLOOKUP(E2087,DSSpieler!A:B,2,FALSE)</f>
        <v>SirLeoDer1</v>
      </c>
    </row>
    <row r="2088" spans="1:10" x14ac:dyDescent="0.25">
      <c r="A2088">
        <v>2339</v>
      </c>
      <c r="B2088" t="s">
        <v>531</v>
      </c>
      <c r="C2088">
        <v>475</v>
      </c>
      <c r="D2088">
        <v>611</v>
      </c>
      <c r="E2088">
        <v>0</v>
      </c>
      <c r="F2088">
        <v>463</v>
      </c>
      <c r="G2088">
        <v>0</v>
      </c>
      <c r="H2088" t="s">
        <v>7014</v>
      </c>
      <c r="I2088">
        <v>2339</v>
      </c>
      <c r="J2088" t="e">
        <f>VLOOKUP(E2088,DSSpieler!A:B,2,FALSE)</f>
        <v>#N/A</v>
      </c>
    </row>
    <row r="2089" spans="1:10" x14ac:dyDescent="0.25">
      <c r="A2089">
        <v>2340</v>
      </c>
      <c r="B2089" t="s">
        <v>31437</v>
      </c>
      <c r="C2089">
        <v>470</v>
      </c>
      <c r="D2089">
        <v>595</v>
      </c>
      <c r="E2089">
        <v>1577182538</v>
      </c>
      <c r="F2089">
        <v>8056</v>
      </c>
      <c r="G2089">
        <v>0</v>
      </c>
      <c r="H2089" t="s">
        <v>7015</v>
      </c>
      <c r="I2089">
        <v>2340</v>
      </c>
      <c r="J2089" t="str">
        <f>VLOOKUP(E2089,DSSpieler!A:B,2,FALSE)</f>
        <v>TheYurek</v>
      </c>
    </row>
    <row r="2090" spans="1:10" x14ac:dyDescent="0.25">
      <c r="A2090">
        <v>2341</v>
      </c>
      <c r="B2090" t="s">
        <v>31438</v>
      </c>
      <c r="C2090">
        <v>562</v>
      </c>
      <c r="D2090">
        <v>537</v>
      </c>
      <c r="E2090">
        <v>9643314</v>
      </c>
      <c r="F2090">
        <v>6167</v>
      </c>
      <c r="G2090">
        <v>0</v>
      </c>
      <c r="H2090" t="s">
        <v>7016</v>
      </c>
      <c r="I2090">
        <v>2341</v>
      </c>
      <c r="J2090" t="str">
        <f>VLOOKUP(E2090,DSSpieler!A:B,2,FALSE)</f>
        <v>.Gulaschkanonier.</v>
      </c>
    </row>
    <row r="2091" spans="1:10" x14ac:dyDescent="0.25">
      <c r="A2091">
        <v>2342</v>
      </c>
      <c r="B2091" t="s">
        <v>947</v>
      </c>
      <c r="C2091">
        <v>560</v>
      </c>
      <c r="D2091">
        <v>543</v>
      </c>
      <c r="E2091">
        <v>1577170233</v>
      </c>
      <c r="F2091">
        <v>4782</v>
      </c>
      <c r="G2091">
        <v>0</v>
      </c>
      <c r="H2091" t="s">
        <v>7017</v>
      </c>
      <c r="I2091">
        <v>2342</v>
      </c>
      <c r="J2091" t="str">
        <f>VLOOKUP(E2091,DSSpieler!A:B,2,FALSE)</f>
        <v>quaison</v>
      </c>
    </row>
    <row r="2092" spans="1:10" x14ac:dyDescent="0.25">
      <c r="A2092">
        <v>2343</v>
      </c>
      <c r="B2092" t="s">
        <v>31439</v>
      </c>
      <c r="C2092">
        <v>440</v>
      </c>
      <c r="D2092">
        <v>533</v>
      </c>
      <c r="E2092">
        <v>1576575171</v>
      </c>
      <c r="F2092">
        <v>5434</v>
      </c>
      <c r="G2092">
        <v>0</v>
      </c>
      <c r="H2092" t="s">
        <v>7018</v>
      </c>
      <c r="I2092">
        <v>2343</v>
      </c>
      <c r="J2092" t="str">
        <f>VLOOKUP(E2092,DSSpieler!A:B,2,FALSE)</f>
        <v>2HCL</v>
      </c>
    </row>
    <row r="2093" spans="1:10" x14ac:dyDescent="0.25">
      <c r="A2093">
        <v>2344</v>
      </c>
      <c r="B2093" t="s">
        <v>948</v>
      </c>
      <c r="C2093">
        <v>512</v>
      </c>
      <c r="D2093">
        <v>489</v>
      </c>
      <c r="E2093">
        <v>1577174217</v>
      </c>
      <c r="F2093">
        <v>5352</v>
      </c>
      <c r="G2093">
        <v>0</v>
      </c>
      <c r="H2093" t="s">
        <v>7019</v>
      </c>
      <c r="I2093">
        <v>2344</v>
      </c>
      <c r="J2093" t="str">
        <f>VLOOKUP(E2093,DSSpieler!A:B,2,FALSE)</f>
        <v>Goovy12</v>
      </c>
    </row>
    <row r="2094" spans="1:10" x14ac:dyDescent="0.25">
      <c r="A2094">
        <v>2345</v>
      </c>
      <c r="B2094" t="s">
        <v>531</v>
      </c>
      <c r="C2094">
        <v>528</v>
      </c>
      <c r="D2094">
        <v>523</v>
      </c>
      <c r="E2094">
        <v>0</v>
      </c>
      <c r="F2094">
        <v>305</v>
      </c>
      <c r="G2094">
        <v>0</v>
      </c>
      <c r="H2094" t="s">
        <v>7020</v>
      </c>
      <c r="I2094">
        <v>2345</v>
      </c>
      <c r="J2094" t="e">
        <f>VLOOKUP(E2094,DSSpieler!A:B,2,FALSE)</f>
        <v>#N/A</v>
      </c>
    </row>
    <row r="2095" spans="1:10" x14ac:dyDescent="0.25">
      <c r="A2095">
        <v>2347</v>
      </c>
      <c r="B2095" t="s">
        <v>531</v>
      </c>
      <c r="C2095">
        <v>534</v>
      </c>
      <c r="D2095">
        <v>496</v>
      </c>
      <c r="E2095">
        <v>0</v>
      </c>
      <c r="F2095">
        <v>277</v>
      </c>
      <c r="G2095">
        <v>0</v>
      </c>
      <c r="H2095" t="s">
        <v>7021</v>
      </c>
      <c r="I2095">
        <v>2347</v>
      </c>
      <c r="J2095" t="e">
        <f>VLOOKUP(E2095,DSSpieler!A:B,2,FALSE)</f>
        <v>#N/A</v>
      </c>
    </row>
    <row r="2096" spans="1:10" x14ac:dyDescent="0.25">
      <c r="A2096">
        <v>2349</v>
      </c>
      <c r="B2096" t="s">
        <v>31440</v>
      </c>
      <c r="C2096">
        <v>508</v>
      </c>
      <c r="D2096">
        <v>399</v>
      </c>
      <c r="E2096">
        <v>1577149945</v>
      </c>
      <c r="F2096">
        <v>5184</v>
      </c>
      <c r="G2096">
        <v>0</v>
      </c>
      <c r="H2096" t="s">
        <v>7022</v>
      </c>
      <c r="I2096">
        <v>2349</v>
      </c>
      <c r="J2096" t="str">
        <f>VLOOKUP(E2096,DSSpieler!A:B,2,FALSE)</f>
        <v>frostibs</v>
      </c>
    </row>
    <row r="2097" spans="1:10" x14ac:dyDescent="0.25">
      <c r="A2097">
        <v>2350</v>
      </c>
      <c r="B2097" t="s">
        <v>31441</v>
      </c>
      <c r="C2097">
        <v>586</v>
      </c>
      <c r="D2097">
        <v>444</v>
      </c>
      <c r="E2097">
        <v>1577085984</v>
      </c>
      <c r="F2097">
        <v>4038</v>
      </c>
      <c r="G2097">
        <v>0</v>
      </c>
      <c r="H2097" t="s">
        <v>7023</v>
      </c>
      <c r="I2097">
        <v>2350</v>
      </c>
      <c r="J2097" t="str">
        <f>VLOOKUP(E2097,DSSpieler!A:B,2,FALSE)</f>
        <v>Aust3r</v>
      </c>
    </row>
    <row r="2098" spans="1:10" x14ac:dyDescent="0.25">
      <c r="A2098">
        <v>2351</v>
      </c>
      <c r="B2098" t="s">
        <v>31442</v>
      </c>
      <c r="C2098">
        <v>419</v>
      </c>
      <c r="D2098">
        <v>575</v>
      </c>
      <c r="E2098">
        <v>1577180610</v>
      </c>
      <c r="F2098">
        <v>6397</v>
      </c>
      <c r="G2098">
        <v>0</v>
      </c>
      <c r="H2098" t="s">
        <v>7024</v>
      </c>
      <c r="I2098">
        <v>2351</v>
      </c>
      <c r="J2098" t="str">
        <f>VLOOKUP(E2098,DSSpieler!A:B,2,FALSE)</f>
        <v>Mister Mou</v>
      </c>
    </row>
    <row r="2099" spans="1:10" x14ac:dyDescent="0.25">
      <c r="A2099">
        <v>2352</v>
      </c>
      <c r="B2099" t="s">
        <v>31443</v>
      </c>
      <c r="C2099">
        <v>424</v>
      </c>
      <c r="D2099">
        <v>567</v>
      </c>
      <c r="E2099">
        <v>9974969</v>
      </c>
      <c r="F2099">
        <v>6591</v>
      </c>
      <c r="G2099">
        <v>0</v>
      </c>
      <c r="H2099" t="s">
        <v>7025</v>
      </c>
      <c r="I2099">
        <v>2352</v>
      </c>
      <c r="J2099" t="str">
        <f>VLOOKUP(E2099,DSSpieler!A:B,2,FALSE)</f>
        <v>shiiinos</v>
      </c>
    </row>
    <row r="2100" spans="1:10" x14ac:dyDescent="0.25">
      <c r="A2100">
        <v>2353</v>
      </c>
      <c r="B2100" t="s">
        <v>31444</v>
      </c>
      <c r="C2100">
        <v>511</v>
      </c>
      <c r="D2100">
        <v>413</v>
      </c>
      <c r="E2100">
        <v>257652</v>
      </c>
      <c r="F2100">
        <v>8124</v>
      </c>
      <c r="G2100">
        <v>0</v>
      </c>
      <c r="H2100" t="s">
        <v>7026</v>
      </c>
      <c r="I2100">
        <v>2353</v>
      </c>
      <c r="J2100" t="str">
        <f>VLOOKUP(E2100,DSSpieler!A:B,2,FALSE)</f>
        <v>mpeG</v>
      </c>
    </row>
    <row r="2101" spans="1:10" x14ac:dyDescent="0.25">
      <c r="A2101">
        <v>2354</v>
      </c>
      <c r="B2101" t="s">
        <v>31445</v>
      </c>
      <c r="C2101">
        <v>437</v>
      </c>
      <c r="D2101">
        <v>486</v>
      </c>
      <c r="E2101">
        <v>1577196376</v>
      </c>
      <c r="F2101">
        <v>7561</v>
      </c>
      <c r="G2101">
        <v>0</v>
      </c>
      <c r="H2101" t="s">
        <v>7027</v>
      </c>
      <c r="I2101">
        <v>2354</v>
      </c>
      <c r="J2101" t="str">
        <f>VLOOKUP(E2101,DSSpieler!A:B,2,FALSE)</f>
        <v>nExtremo</v>
      </c>
    </row>
    <row r="2102" spans="1:10" x14ac:dyDescent="0.25">
      <c r="A2102">
        <v>2355</v>
      </c>
      <c r="B2102" t="s">
        <v>949</v>
      </c>
      <c r="C2102">
        <v>434</v>
      </c>
      <c r="D2102">
        <v>494</v>
      </c>
      <c r="E2102">
        <v>1577196386</v>
      </c>
      <c r="F2102">
        <v>6485</v>
      </c>
      <c r="G2102">
        <v>0</v>
      </c>
      <c r="H2102" t="s">
        <v>7028</v>
      </c>
      <c r="I2102">
        <v>2355</v>
      </c>
      <c r="J2102" t="str">
        <f>VLOOKUP(E2102,DSSpieler!A:B,2,FALSE)</f>
        <v>UntoldKing</v>
      </c>
    </row>
    <row r="2103" spans="1:10" x14ac:dyDescent="0.25">
      <c r="A2103">
        <v>2359</v>
      </c>
      <c r="B2103" t="s">
        <v>31446</v>
      </c>
      <c r="C2103">
        <v>403</v>
      </c>
      <c r="D2103">
        <v>506</v>
      </c>
      <c r="E2103">
        <v>1667196</v>
      </c>
      <c r="F2103">
        <v>5492</v>
      </c>
      <c r="G2103">
        <v>0</v>
      </c>
      <c r="H2103" t="s">
        <v>7029</v>
      </c>
      <c r="I2103">
        <v>2359</v>
      </c>
      <c r="J2103" t="str">
        <f>VLOOKUP(E2103,DSSpieler!A:B,2,FALSE)</f>
        <v>love.machine</v>
      </c>
    </row>
    <row r="2104" spans="1:10" x14ac:dyDescent="0.25">
      <c r="A2104">
        <v>2360</v>
      </c>
      <c r="B2104" t="s">
        <v>35825</v>
      </c>
      <c r="C2104">
        <v>547</v>
      </c>
      <c r="D2104">
        <v>538</v>
      </c>
      <c r="E2104">
        <v>205615</v>
      </c>
      <c r="F2104">
        <v>4454</v>
      </c>
      <c r="G2104">
        <v>0</v>
      </c>
      <c r="H2104" t="s">
        <v>7030</v>
      </c>
      <c r="I2104">
        <v>2360</v>
      </c>
      <c r="J2104" t="str">
        <f>VLOOKUP(E2104,DSSpieler!A:B,2,FALSE)</f>
        <v>hubeno</v>
      </c>
    </row>
    <row r="2105" spans="1:10" x14ac:dyDescent="0.25">
      <c r="A2105">
        <v>2361</v>
      </c>
      <c r="B2105" t="s">
        <v>31448</v>
      </c>
      <c r="C2105">
        <v>549</v>
      </c>
      <c r="D2105">
        <v>532</v>
      </c>
      <c r="E2105">
        <v>1577196954</v>
      </c>
      <c r="F2105">
        <v>5868</v>
      </c>
      <c r="G2105">
        <v>0</v>
      </c>
      <c r="H2105" t="s">
        <v>7031</v>
      </c>
      <c r="I2105">
        <v>2361</v>
      </c>
      <c r="J2105" t="str">
        <f>VLOOKUP(E2105,DSSpieler!A:B,2,FALSE)</f>
        <v>SirLanzeloterus</v>
      </c>
    </row>
    <row r="2106" spans="1:10" x14ac:dyDescent="0.25">
      <c r="A2106">
        <v>2362</v>
      </c>
      <c r="B2106" t="s">
        <v>950</v>
      </c>
      <c r="C2106">
        <v>550</v>
      </c>
      <c r="D2106">
        <v>550</v>
      </c>
      <c r="E2106">
        <v>1576717422</v>
      </c>
      <c r="F2106">
        <v>6236</v>
      </c>
      <c r="G2106">
        <v>0</v>
      </c>
      <c r="H2106" t="s">
        <v>7032</v>
      </c>
      <c r="I2106">
        <v>2362</v>
      </c>
      <c r="J2106" t="str">
        <f>VLOOKUP(E2106,DSSpieler!A:B,2,FALSE)</f>
        <v>Ottloverot</v>
      </c>
    </row>
    <row r="2107" spans="1:10" x14ac:dyDescent="0.25">
      <c r="A2107">
        <v>2363</v>
      </c>
      <c r="B2107" t="s">
        <v>951</v>
      </c>
      <c r="C2107">
        <v>553</v>
      </c>
      <c r="D2107">
        <v>535</v>
      </c>
      <c r="E2107">
        <v>1577170233</v>
      </c>
      <c r="F2107">
        <v>4300</v>
      </c>
      <c r="G2107">
        <v>0</v>
      </c>
      <c r="H2107" t="s">
        <v>7033</v>
      </c>
      <c r="I2107">
        <v>2363</v>
      </c>
      <c r="J2107" t="str">
        <f>VLOOKUP(E2107,DSSpieler!A:B,2,FALSE)</f>
        <v>quaison</v>
      </c>
    </row>
    <row r="2108" spans="1:10" x14ac:dyDescent="0.25">
      <c r="A2108">
        <v>2364</v>
      </c>
      <c r="B2108" t="s">
        <v>31449</v>
      </c>
      <c r="C2108">
        <v>557</v>
      </c>
      <c r="D2108">
        <v>556</v>
      </c>
      <c r="E2108">
        <v>9425598</v>
      </c>
      <c r="F2108">
        <v>4561</v>
      </c>
      <c r="G2108">
        <v>0</v>
      </c>
      <c r="H2108" t="s">
        <v>7034</v>
      </c>
      <c r="I2108">
        <v>2364</v>
      </c>
      <c r="J2108" t="str">
        <f>VLOOKUP(E2108,DSSpieler!A:B,2,FALSE)</f>
        <v>Athcor</v>
      </c>
    </row>
    <row r="2109" spans="1:10" x14ac:dyDescent="0.25">
      <c r="A2109">
        <v>2365</v>
      </c>
      <c r="B2109" t="s">
        <v>952</v>
      </c>
      <c r="C2109">
        <v>552</v>
      </c>
      <c r="D2109">
        <v>539</v>
      </c>
      <c r="E2109">
        <v>1577170233</v>
      </c>
      <c r="F2109">
        <v>5484</v>
      </c>
      <c r="G2109">
        <v>0</v>
      </c>
      <c r="H2109" t="s">
        <v>7035</v>
      </c>
      <c r="I2109">
        <v>2365</v>
      </c>
      <c r="J2109" t="str">
        <f>VLOOKUP(E2109,DSSpieler!A:B,2,FALSE)</f>
        <v>quaison</v>
      </c>
    </row>
    <row r="2110" spans="1:10" x14ac:dyDescent="0.25">
      <c r="A2110">
        <v>2366</v>
      </c>
      <c r="B2110" t="s">
        <v>31450</v>
      </c>
      <c r="C2110">
        <v>555</v>
      </c>
      <c r="D2110">
        <v>530</v>
      </c>
      <c r="E2110">
        <v>1577198287</v>
      </c>
      <c r="F2110">
        <v>6503</v>
      </c>
      <c r="G2110">
        <v>0</v>
      </c>
      <c r="H2110" t="s">
        <v>7036</v>
      </c>
      <c r="I2110">
        <v>2366</v>
      </c>
      <c r="J2110" t="str">
        <f>VLOOKUP(E2110,DSSpieler!A:B,2,FALSE)</f>
        <v>Takki</v>
      </c>
    </row>
    <row r="2111" spans="1:10" x14ac:dyDescent="0.25">
      <c r="A2111">
        <v>2367</v>
      </c>
      <c r="B2111" t="s">
        <v>953</v>
      </c>
      <c r="C2111">
        <v>558</v>
      </c>
      <c r="D2111">
        <v>522</v>
      </c>
      <c r="E2111">
        <v>1576824913</v>
      </c>
      <c r="F2111">
        <v>4576</v>
      </c>
      <c r="G2111">
        <v>0</v>
      </c>
      <c r="H2111" t="s">
        <v>7037</v>
      </c>
      <c r="I2111">
        <v>2367</v>
      </c>
      <c r="J2111" t="str">
        <f>VLOOKUP(E2111,DSSpieler!A:B,2,FALSE)</f>
        <v>McSpargel</v>
      </c>
    </row>
    <row r="2112" spans="1:10" x14ac:dyDescent="0.25">
      <c r="A2112">
        <v>2368</v>
      </c>
      <c r="B2112" t="s">
        <v>780</v>
      </c>
      <c r="C2112">
        <v>560</v>
      </c>
      <c r="D2112">
        <v>535</v>
      </c>
      <c r="E2112">
        <v>1577198238</v>
      </c>
      <c r="F2112">
        <v>4838</v>
      </c>
      <c r="G2112">
        <v>0</v>
      </c>
      <c r="H2112" t="s">
        <v>7038</v>
      </c>
      <c r="I2112">
        <v>2368</v>
      </c>
      <c r="J2112" t="str">
        <f>VLOOKUP(E2112,DSSpieler!A:B,2,FALSE)</f>
        <v>sili0</v>
      </c>
    </row>
    <row r="2113" spans="1:10" x14ac:dyDescent="0.25">
      <c r="A2113">
        <v>2369</v>
      </c>
      <c r="B2113" t="s">
        <v>31451</v>
      </c>
      <c r="C2113">
        <v>546</v>
      </c>
      <c r="D2113">
        <v>535</v>
      </c>
      <c r="E2113">
        <v>205615</v>
      </c>
      <c r="F2113">
        <v>3110</v>
      </c>
      <c r="G2113">
        <v>0</v>
      </c>
      <c r="H2113" t="s">
        <v>7039</v>
      </c>
      <c r="I2113">
        <v>2369</v>
      </c>
      <c r="J2113" t="str">
        <f>VLOOKUP(E2113,DSSpieler!A:B,2,FALSE)</f>
        <v>hubeno</v>
      </c>
    </row>
    <row r="2114" spans="1:10" x14ac:dyDescent="0.25">
      <c r="A2114">
        <v>2370</v>
      </c>
      <c r="B2114" t="s">
        <v>31129</v>
      </c>
      <c r="C2114">
        <v>545</v>
      </c>
      <c r="D2114">
        <v>542</v>
      </c>
      <c r="E2114">
        <v>1577180455</v>
      </c>
      <c r="F2114">
        <v>6790</v>
      </c>
      <c r="G2114">
        <v>0</v>
      </c>
      <c r="H2114" t="s">
        <v>7040</v>
      </c>
      <c r="I2114">
        <v>2370</v>
      </c>
      <c r="J2114" t="str">
        <f>VLOOKUP(E2114,DSSpieler!A:B,2,FALSE)</f>
        <v>Wondy</v>
      </c>
    </row>
    <row r="2115" spans="1:10" x14ac:dyDescent="0.25">
      <c r="A2115">
        <v>2371</v>
      </c>
      <c r="B2115" t="s">
        <v>635</v>
      </c>
      <c r="C2115">
        <v>518</v>
      </c>
      <c r="D2115">
        <v>543</v>
      </c>
      <c r="E2115">
        <v>1577191379</v>
      </c>
      <c r="F2115">
        <v>1037</v>
      </c>
      <c r="G2115">
        <v>0</v>
      </c>
      <c r="H2115" t="s">
        <v>7041</v>
      </c>
      <c r="I2115">
        <v>2371</v>
      </c>
      <c r="J2115" t="str">
        <f>VLOOKUP(E2115,DSSpieler!A:B,2,FALSE)</f>
        <v>Pils97</v>
      </c>
    </row>
    <row r="2116" spans="1:10" x14ac:dyDescent="0.25">
      <c r="A2116">
        <v>2372</v>
      </c>
      <c r="B2116" t="s">
        <v>31452</v>
      </c>
      <c r="C2116">
        <v>542</v>
      </c>
      <c r="D2116">
        <v>550</v>
      </c>
      <c r="E2116">
        <v>1577185475</v>
      </c>
      <c r="F2116">
        <v>4027</v>
      </c>
      <c r="G2116">
        <v>0</v>
      </c>
      <c r="H2116" t="s">
        <v>7042</v>
      </c>
      <c r="I2116">
        <v>2372</v>
      </c>
      <c r="J2116" t="str">
        <f>VLOOKUP(E2116,DSSpieler!A:B,2,FALSE)</f>
        <v>DonAld</v>
      </c>
    </row>
    <row r="2117" spans="1:10" x14ac:dyDescent="0.25">
      <c r="A2117">
        <v>2373</v>
      </c>
      <c r="B2117" t="s">
        <v>31453</v>
      </c>
      <c r="C2117">
        <v>552</v>
      </c>
      <c r="D2117">
        <v>542</v>
      </c>
      <c r="E2117">
        <v>1577146592</v>
      </c>
      <c r="F2117">
        <v>3641</v>
      </c>
      <c r="G2117">
        <v>0</v>
      </c>
      <c r="H2117" t="s">
        <v>7043</v>
      </c>
      <c r="I2117">
        <v>2373</v>
      </c>
      <c r="J2117" t="str">
        <f>VLOOKUP(E2117,DSSpieler!A:B,2,FALSE)</f>
        <v>DerDon</v>
      </c>
    </row>
    <row r="2118" spans="1:10" x14ac:dyDescent="0.25">
      <c r="A2118">
        <v>2374</v>
      </c>
      <c r="B2118" t="s">
        <v>31454</v>
      </c>
      <c r="C2118">
        <v>476</v>
      </c>
      <c r="D2118">
        <v>568</v>
      </c>
      <c r="E2118">
        <v>1575903481</v>
      </c>
      <c r="F2118">
        <v>4200</v>
      </c>
      <c r="G2118">
        <v>0</v>
      </c>
      <c r="H2118" t="s">
        <v>7044</v>
      </c>
      <c r="I2118">
        <v>2374</v>
      </c>
      <c r="J2118" t="str">
        <f>VLOOKUP(E2118,DSSpieler!A:B,2,FALSE)</f>
        <v>Cyriten</v>
      </c>
    </row>
    <row r="2119" spans="1:10" x14ac:dyDescent="0.25">
      <c r="A2119">
        <v>2375</v>
      </c>
      <c r="B2119" t="s">
        <v>531</v>
      </c>
      <c r="C2119">
        <v>525</v>
      </c>
      <c r="D2119">
        <v>523</v>
      </c>
      <c r="E2119">
        <v>0</v>
      </c>
      <c r="F2119">
        <v>419</v>
      </c>
      <c r="G2119">
        <v>0</v>
      </c>
      <c r="H2119" t="s">
        <v>7045</v>
      </c>
      <c r="I2119">
        <v>2375</v>
      </c>
      <c r="J2119" t="e">
        <f>VLOOKUP(E2119,DSSpieler!A:B,2,FALSE)</f>
        <v>#N/A</v>
      </c>
    </row>
    <row r="2120" spans="1:10" x14ac:dyDescent="0.25">
      <c r="A2120">
        <v>2376</v>
      </c>
      <c r="B2120" t="s">
        <v>954</v>
      </c>
      <c r="C2120">
        <v>475</v>
      </c>
      <c r="D2120">
        <v>571</v>
      </c>
      <c r="E2120">
        <v>1577192177</v>
      </c>
      <c r="F2120">
        <v>3988</v>
      </c>
      <c r="G2120">
        <v>0</v>
      </c>
      <c r="H2120" t="s">
        <v>7046</v>
      </c>
      <c r="I2120">
        <v>2376</v>
      </c>
      <c r="J2120" t="str">
        <f>VLOOKUP(E2120,DSSpieler!A:B,2,FALSE)</f>
        <v>mk1093</v>
      </c>
    </row>
    <row r="2121" spans="1:10" x14ac:dyDescent="0.25">
      <c r="A2121">
        <v>2377</v>
      </c>
      <c r="B2121" t="s">
        <v>531</v>
      </c>
      <c r="C2121">
        <v>503</v>
      </c>
      <c r="D2121">
        <v>558</v>
      </c>
      <c r="E2121">
        <v>0</v>
      </c>
      <c r="F2121">
        <v>364</v>
      </c>
      <c r="G2121">
        <v>0</v>
      </c>
      <c r="H2121" t="s">
        <v>7047</v>
      </c>
      <c r="I2121">
        <v>2377</v>
      </c>
      <c r="J2121" t="e">
        <f>VLOOKUP(E2121,DSSpieler!A:B,2,FALSE)</f>
        <v>#N/A</v>
      </c>
    </row>
    <row r="2122" spans="1:10" x14ac:dyDescent="0.25">
      <c r="A2122">
        <v>2378</v>
      </c>
      <c r="B2122" t="s">
        <v>531</v>
      </c>
      <c r="C2122">
        <v>471</v>
      </c>
      <c r="D2122">
        <v>549</v>
      </c>
      <c r="E2122">
        <v>0</v>
      </c>
      <c r="F2122">
        <v>629</v>
      </c>
      <c r="G2122">
        <v>0</v>
      </c>
      <c r="H2122" t="s">
        <v>7048</v>
      </c>
      <c r="I2122">
        <v>2378</v>
      </c>
      <c r="J2122" t="e">
        <f>VLOOKUP(E2122,DSSpieler!A:B,2,FALSE)</f>
        <v>#N/A</v>
      </c>
    </row>
    <row r="2123" spans="1:10" x14ac:dyDescent="0.25">
      <c r="A2123">
        <v>2379</v>
      </c>
      <c r="B2123" t="s">
        <v>31455</v>
      </c>
      <c r="C2123">
        <v>423</v>
      </c>
      <c r="D2123">
        <v>492</v>
      </c>
      <c r="E2123">
        <v>10199140</v>
      </c>
      <c r="F2123">
        <v>3162</v>
      </c>
      <c r="G2123">
        <v>0</v>
      </c>
      <c r="H2123" t="s">
        <v>7049</v>
      </c>
      <c r="I2123">
        <v>2379</v>
      </c>
      <c r="J2123" t="str">
        <f>VLOOKUP(E2123,DSSpieler!A:B,2,FALSE)</f>
        <v>Sn0ks</v>
      </c>
    </row>
    <row r="2124" spans="1:10" x14ac:dyDescent="0.25">
      <c r="A2124">
        <v>2380</v>
      </c>
      <c r="B2124" t="s">
        <v>955</v>
      </c>
      <c r="C2124">
        <v>421</v>
      </c>
      <c r="D2124">
        <v>489</v>
      </c>
      <c r="E2124">
        <v>639</v>
      </c>
      <c r="F2124">
        <v>3050</v>
      </c>
      <c r="G2124">
        <v>0</v>
      </c>
      <c r="H2124" t="s">
        <v>7050</v>
      </c>
      <c r="I2124">
        <v>2380</v>
      </c>
      <c r="J2124" t="str">
        <f>VLOOKUP(E2124,DSSpieler!A:B,2,FALSE)</f>
        <v>Montezuma</v>
      </c>
    </row>
    <row r="2125" spans="1:10" x14ac:dyDescent="0.25">
      <c r="A2125">
        <v>2381</v>
      </c>
      <c r="B2125" t="s">
        <v>31456</v>
      </c>
      <c r="C2125">
        <v>501</v>
      </c>
      <c r="D2125">
        <v>610</v>
      </c>
      <c r="E2125">
        <v>9613683</v>
      </c>
      <c r="F2125">
        <v>6873</v>
      </c>
      <c r="G2125">
        <v>0</v>
      </c>
      <c r="H2125" t="s">
        <v>7051</v>
      </c>
      <c r="I2125">
        <v>2381</v>
      </c>
      <c r="J2125" t="str">
        <f>VLOOKUP(E2125,DSSpieler!A:B,2,FALSE)</f>
        <v>As High As Honor</v>
      </c>
    </row>
    <row r="2126" spans="1:10" x14ac:dyDescent="0.25">
      <c r="A2126">
        <v>2382</v>
      </c>
      <c r="B2126">
        <v>3</v>
      </c>
      <c r="C2126">
        <v>484</v>
      </c>
      <c r="D2126">
        <v>424</v>
      </c>
      <c r="E2126">
        <v>1041015</v>
      </c>
      <c r="F2126">
        <v>5301</v>
      </c>
      <c r="G2126">
        <v>0</v>
      </c>
      <c r="H2126" t="s">
        <v>7052</v>
      </c>
      <c r="I2126">
        <v>2382</v>
      </c>
      <c r="J2126" t="str">
        <f>VLOOKUP(E2126,DSSpieler!A:B,2,FALSE)</f>
        <v>Messi11</v>
      </c>
    </row>
    <row r="2127" spans="1:10" x14ac:dyDescent="0.25">
      <c r="A2127">
        <v>2383</v>
      </c>
      <c r="B2127" t="s">
        <v>531</v>
      </c>
      <c r="C2127">
        <v>529</v>
      </c>
      <c r="D2127">
        <v>552</v>
      </c>
      <c r="E2127">
        <v>0</v>
      </c>
      <c r="F2127">
        <v>453</v>
      </c>
      <c r="G2127">
        <v>0</v>
      </c>
      <c r="H2127" t="s">
        <v>7053</v>
      </c>
      <c r="I2127">
        <v>2383</v>
      </c>
      <c r="J2127" t="e">
        <f>VLOOKUP(E2127,DSSpieler!A:B,2,FALSE)</f>
        <v>#N/A</v>
      </c>
    </row>
    <row r="2128" spans="1:10" x14ac:dyDescent="0.25">
      <c r="A2128">
        <v>2385</v>
      </c>
      <c r="B2128" t="s">
        <v>956</v>
      </c>
      <c r="C2128">
        <v>491</v>
      </c>
      <c r="D2128">
        <v>411</v>
      </c>
      <c r="E2128">
        <v>1577197977</v>
      </c>
      <c r="F2128">
        <v>4665</v>
      </c>
      <c r="G2128">
        <v>0</v>
      </c>
      <c r="H2128" t="s">
        <v>7054</v>
      </c>
      <c r="I2128">
        <v>2385</v>
      </c>
      <c r="J2128" t="str">
        <f>VLOOKUP(E2128,DSSpieler!A:B,2,FALSE)</f>
        <v>Lord Nicken 1</v>
      </c>
    </row>
    <row r="2129" spans="1:10" x14ac:dyDescent="0.25">
      <c r="A2129">
        <v>2386</v>
      </c>
      <c r="B2129" t="s">
        <v>957</v>
      </c>
      <c r="C2129">
        <v>479</v>
      </c>
      <c r="D2129">
        <v>411</v>
      </c>
      <c r="E2129">
        <v>1577195240</v>
      </c>
      <c r="F2129">
        <v>4361</v>
      </c>
      <c r="G2129">
        <v>0</v>
      </c>
      <c r="H2129" t="s">
        <v>7055</v>
      </c>
      <c r="I2129">
        <v>2386</v>
      </c>
      <c r="J2129" t="str">
        <f>VLOOKUP(E2129,DSSpieler!A:B,2,FALSE)</f>
        <v>OldManMarc</v>
      </c>
    </row>
    <row r="2130" spans="1:10" x14ac:dyDescent="0.25">
      <c r="A2130">
        <v>2387</v>
      </c>
      <c r="B2130" t="s">
        <v>958</v>
      </c>
      <c r="C2130">
        <v>499</v>
      </c>
      <c r="D2130">
        <v>420</v>
      </c>
      <c r="E2130">
        <v>9484403</v>
      </c>
      <c r="F2130">
        <v>4465</v>
      </c>
      <c r="G2130">
        <v>0</v>
      </c>
      <c r="H2130" t="s">
        <v>7056</v>
      </c>
      <c r="I2130">
        <v>2387</v>
      </c>
      <c r="J2130" t="str">
        <f>VLOOKUP(E2130,DSSpieler!A:B,2,FALSE)</f>
        <v>golem xiv</v>
      </c>
    </row>
    <row r="2131" spans="1:10" x14ac:dyDescent="0.25">
      <c r="A2131">
        <v>2388</v>
      </c>
      <c r="B2131">
        <v>0</v>
      </c>
      <c r="C2131">
        <v>455</v>
      </c>
      <c r="D2131">
        <v>409</v>
      </c>
      <c r="E2131">
        <v>1576352386</v>
      </c>
      <c r="F2131">
        <v>4865</v>
      </c>
      <c r="G2131">
        <v>0</v>
      </c>
      <c r="H2131" t="s">
        <v>7057</v>
      </c>
      <c r="I2131">
        <v>2388</v>
      </c>
      <c r="J2131" t="str">
        <f>VLOOKUP(E2131,DSSpieler!A:B,2,FALSE)</f>
        <v>xandrej</v>
      </c>
    </row>
    <row r="2132" spans="1:10" x14ac:dyDescent="0.25">
      <c r="A2132">
        <v>2389</v>
      </c>
      <c r="B2132" t="s">
        <v>531</v>
      </c>
      <c r="C2132">
        <v>424</v>
      </c>
      <c r="D2132">
        <v>519</v>
      </c>
      <c r="E2132">
        <v>0</v>
      </c>
      <c r="F2132">
        <v>335</v>
      </c>
      <c r="G2132">
        <v>0</v>
      </c>
      <c r="H2132" t="s">
        <v>7058</v>
      </c>
      <c r="I2132">
        <v>2389</v>
      </c>
      <c r="J2132" t="e">
        <f>VLOOKUP(E2132,DSSpieler!A:B,2,FALSE)</f>
        <v>#N/A</v>
      </c>
    </row>
    <row r="2133" spans="1:10" x14ac:dyDescent="0.25">
      <c r="A2133">
        <v>2390</v>
      </c>
      <c r="B2133" t="s">
        <v>31457</v>
      </c>
      <c r="C2133">
        <v>552</v>
      </c>
      <c r="D2133">
        <v>421</v>
      </c>
      <c r="E2133">
        <v>1577136457</v>
      </c>
      <c r="F2133">
        <v>4092</v>
      </c>
      <c r="G2133">
        <v>0</v>
      </c>
      <c r="H2133" t="s">
        <v>7059</v>
      </c>
      <c r="I2133">
        <v>2390</v>
      </c>
      <c r="J2133" t="str">
        <f>VLOOKUP(E2133,DSSpieler!A:B,2,FALSE)</f>
        <v>BlackPanther411</v>
      </c>
    </row>
    <row r="2134" spans="1:10" x14ac:dyDescent="0.25">
      <c r="A2134">
        <v>2392</v>
      </c>
      <c r="B2134" t="s">
        <v>31458</v>
      </c>
      <c r="C2134">
        <v>451</v>
      </c>
      <c r="D2134">
        <v>539</v>
      </c>
      <c r="E2134">
        <v>1576913108</v>
      </c>
      <c r="F2134">
        <v>2535</v>
      </c>
      <c r="G2134">
        <v>0</v>
      </c>
      <c r="H2134" t="s">
        <v>7060</v>
      </c>
      <c r="I2134">
        <v>2392</v>
      </c>
      <c r="J2134" t="str">
        <f>VLOOKUP(E2134,DSSpieler!A:B,2,FALSE)</f>
        <v>bake</v>
      </c>
    </row>
    <row r="2135" spans="1:10" x14ac:dyDescent="0.25">
      <c r="A2135">
        <v>2393</v>
      </c>
      <c r="B2135" t="s">
        <v>31459</v>
      </c>
      <c r="C2135">
        <v>449</v>
      </c>
      <c r="D2135">
        <v>545</v>
      </c>
      <c r="E2135">
        <v>1577174428</v>
      </c>
      <c r="F2135">
        <v>2182</v>
      </c>
      <c r="G2135">
        <v>0</v>
      </c>
      <c r="H2135" t="s">
        <v>7061</v>
      </c>
      <c r="I2135">
        <v>2393</v>
      </c>
      <c r="J2135" t="str">
        <f>VLOOKUP(E2135,DSSpieler!A:B,2,FALSE)</f>
        <v>felu</v>
      </c>
    </row>
    <row r="2136" spans="1:10" x14ac:dyDescent="0.25">
      <c r="A2136">
        <v>2394</v>
      </c>
      <c r="B2136" t="s">
        <v>31460</v>
      </c>
      <c r="C2136">
        <v>458</v>
      </c>
      <c r="D2136">
        <v>545</v>
      </c>
      <c r="E2136">
        <v>8942925</v>
      </c>
      <c r="F2136">
        <v>4402</v>
      </c>
      <c r="G2136">
        <v>0</v>
      </c>
      <c r="H2136" t="s">
        <v>7062</v>
      </c>
      <c r="I2136">
        <v>2394</v>
      </c>
      <c r="J2136" t="str">
        <f>VLOOKUP(E2136,DSSpieler!A:B,2,FALSE)</f>
        <v>Amaterzu</v>
      </c>
    </row>
    <row r="2137" spans="1:10" x14ac:dyDescent="0.25">
      <c r="A2137">
        <v>2395</v>
      </c>
      <c r="B2137">
        <v>2</v>
      </c>
      <c r="C2137">
        <v>441</v>
      </c>
      <c r="D2137">
        <v>545</v>
      </c>
      <c r="E2137">
        <v>1577197792</v>
      </c>
      <c r="F2137">
        <v>5309</v>
      </c>
      <c r="G2137">
        <v>0</v>
      </c>
      <c r="H2137" t="s">
        <v>7063</v>
      </c>
      <c r="I2137">
        <v>2395</v>
      </c>
      <c r="J2137" t="str">
        <f>VLOOKUP(E2137,DSSpieler!A:B,2,FALSE)</f>
        <v>Kine84</v>
      </c>
    </row>
    <row r="2138" spans="1:10" x14ac:dyDescent="0.25">
      <c r="A2138">
        <v>2396</v>
      </c>
      <c r="B2138" t="s">
        <v>959</v>
      </c>
      <c r="C2138">
        <v>443</v>
      </c>
      <c r="D2138">
        <v>503</v>
      </c>
      <c r="E2138">
        <v>1577159431</v>
      </c>
      <c r="F2138">
        <v>8282</v>
      </c>
      <c r="G2138">
        <v>0</v>
      </c>
      <c r="H2138" t="s">
        <v>7064</v>
      </c>
      <c r="I2138">
        <v>2396</v>
      </c>
      <c r="J2138" t="str">
        <f>VLOOKUP(E2138,DSSpieler!A:B,2,FALSE)</f>
        <v>Hydrata</v>
      </c>
    </row>
    <row r="2139" spans="1:10" x14ac:dyDescent="0.25">
      <c r="A2139">
        <v>2397</v>
      </c>
      <c r="B2139" t="s">
        <v>960</v>
      </c>
      <c r="C2139">
        <v>447</v>
      </c>
      <c r="D2139">
        <v>538</v>
      </c>
      <c r="E2139">
        <v>9551701</v>
      </c>
      <c r="F2139">
        <v>1159</v>
      </c>
      <c r="G2139">
        <v>0</v>
      </c>
      <c r="H2139" t="s">
        <v>7065</v>
      </c>
      <c r="I2139">
        <v>2397</v>
      </c>
      <c r="J2139" t="str">
        <f>VLOOKUP(E2139,DSSpieler!A:B,2,FALSE)</f>
        <v>OJO der Große</v>
      </c>
    </row>
    <row r="2140" spans="1:10" x14ac:dyDescent="0.25">
      <c r="A2140">
        <v>2398</v>
      </c>
      <c r="B2140" t="s">
        <v>31461</v>
      </c>
      <c r="C2140">
        <v>443</v>
      </c>
      <c r="D2140">
        <v>548</v>
      </c>
      <c r="E2140">
        <v>1576992563</v>
      </c>
      <c r="F2140">
        <v>4794</v>
      </c>
      <c r="G2140">
        <v>0</v>
      </c>
      <c r="H2140" t="s">
        <v>7066</v>
      </c>
      <c r="I2140">
        <v>2398</v>
      </c>
      <c r="J2140" t="str">
        <f>VLOOKUP(E2140,DSSpieler!A:B,2,FALSE)</f>
        <v>Flay</v>
      </c>
    </row>
    <row r="2141" spans="1:10" x14ac:dyDescent="0.25">
      <c r="A2141">
        <v>2399</v>
      </c>
      <c r="B2141" t="s">
        <v>31462</v>
      </c>
      <c r="C2141">
        <v>449</v>
      </c>
      <c r="D2141">
        <v>543</v>
      </c>
      <c r="E2141">
        <v>1576913108</v>
      </c>
      <c r="F2141">
        <v>2374</v>
      </c>
      <c r="G2141">
        <v>0</v>
      </c>
      <c r="H2141" t="s">
        <v>7067</v>
      </c>
      <c r="I2141">
        <v>2399</v>
      </c>
      <c r="J2141" t="str">
        <f>VLOOKUP(E2141,DSSpieler!A:B,2,FALSE)</f>
        <v>bake</v>
      </c>
    </row>
    <row r="2142" spans="1:10" x14ac:dyDescent="0.25">
      <c r="A2142">
        <v>2400</v>
      </c>
      <c r="B2142" t="s">
        <v>961</v>
      </c>
      <c r="C2142">
        <v>448</v>
      </c>
      <c r="D2142">
        <v>536</v>
      </c>
      <c r="E2142">
        <v>9551701</v>
      </c>
      <c r="F2142">
        <v>6108</v>
      </c>
      <c r="G2142">
        <v>0</v>
      </c>
      <c r="H2142" t="s">
        <v>7068</v>
      </c>
      <c r="I2142">
        <v>2400</v>
      </c>
      <c r="J2142" t="str">
        <f>VLOOKUP(E2142,DSSpieler!A:B,2,FALSE)</f>
        <v>OJO der Große</v>
      </c>
    </row>
    <row r="2143" spans="1:10" x14ac:dyDescent="0.25">
      <c r="A2143">
        <v>2401</v>
      </c>
      <c r="B2143" t="s">
        <v>962</v>
      </c>
      <c r="C2143">
        <v>432</v>
      </c>
      <c r="D2143">
        <v>546</v>
      </c>
      <c r="E2143">
        <v>1577191293</v>
      </c>
      <c r="F2143">
        <v>2287</v>
      </c>
      <c r="G2143">
        <v>0</v>
      </c>
      <c r="H2143" t="s">
        <v>7069</v>
      </c>
      <c r="I2143">
        <v>2401</v>
      </c>
      <c r="J2143" t="str">
        <f>VLOOKUP(E2143,DSSpieler!A:B,2,FALSE)</f>
        <v>Lord Nedib</v>
      </c>
    </row>
    <row r="2144" spans="1:10" x14ac:dyDescent="0.25">
      <c r="A2144">
        <v>2402</v>
      </c>
      <c r="B2144" t="s">
        <v>30816</v>
      </c>
      <c r="C2144">
        <v>574</v>
      </c>
      <c r="D2144">
        <v>520</v>
      </c>
      <c r="E2144">
        <v>1576770406</v>
      </c>
      <c r="F2144">
        <v>6309</v>
      </c>
      <c r="G2144">
        <v>0</v>
      </c>
      <c r="H2144" t="s">
        <v>7070</v>
      </c>
      <c r="I2144">
        <v>2402</v>
      </c>
      <c r="J2144" t="str">
        <f>VLOOKUP(E2144,DSSpieler!A:B,2,FALSE)</f>
        <v>boxbox</v>
      </c>
    </row>
    <row r="2145" spans="1:10" x14ac:dyDescent="0.25">
      <c r="A2145">
        <v>2403</v>
      </c>
      <c r="B2145" t="s">
        <v>531</v>
      </c>
      <c r="C2145">
        <v>444</v>
      </c>
      <c r="D2145">
        <v>547</v>
      </c>
      <c r="E2145">
        <v>1577185062</v>
      </c>
      <c r="F2145">
        <v>582</v>
      </c>
      <c r="G2145">
        <v>0</v>
      </c>
      <c r="H2145" t="s">
        <v>7071</v>
      </c>
      <c r="I2145">
        <v>2403</v>
      </c>
      <c r="J2145" t="str">
        <f>VLOOKUP(E2145,DSSpieler!A:B,2,FALSE)</f>
        <v>Lardshe</v>
      </c>
    </row>
    <row r="2146" spans="1:10" x14ac:dyDescent="0.25">
      <c r="A2146">
        <v>2404</v>
      </c>
      <c r="B2146" t="s">
        <v>31463</v>
      </c>
      <c r="C2146">
        <v>571</v>
      </c>
      <c r="D2146">
        <v>528</v>
      </c>
      <c r="E2146">
        <v>1577165202</v>
      </c>
      <c r="F2146">
        <v>6507</v>
      </c>
      <c r="G2146">
        <v>0</v>
      </c>
      <c r="H2146" t="s">
        <v>7072</v>
      </c>
      <c r="I2146">
        <v>2404</v>
      </c>
      <c r="J2146" t="str">
        <f>VLOOKUP(E2146,DSSpieler!A:B,2,FALSE)</f>
        <v>senorita</v>
      </c>
    </row>
    <row r="2147" spans="1:10" x14ac:dyDescent="0.25">
      <c r="A2147">
        <v>2405</v>
      </c>
      <c r="B2147" t="s">
        <v>31464</v>
      </c>
      <c r="C2147">
        <v>567</v>
      </c>
      <c r="D2147">
        <v>514</v>
      </c>
      <c r="E2147">
        <v>1577193563</v>
      </c>
      <c r="F2147">
        <v>6445</v>
      </c>
      <c r="G2147">
        <v>0</v>
      </c>
      <c r="H2147" t="s">
        <v>7073</v>
      </c>
      <c r="I2147">
        <v>2405</v>
      </c>
      <c r="J2147" t="str">
        <f>VLOOKUP(E2147,DSSpieler!A:B,2,FALSE)</f>
        <v>bear911</v>
      </c>
    </row>
    <row r="2148" spans="1:10" x14ac:dyDescent="0.25">
      <c r="A2148">
        <v>2406</v>
      </c>
      <c r="B2148" t="s">
        <v>963</v>
      </c>
      <c r="C2148">
        <v>477</v>
      </c>
      <c r="D2148">
        <v>489</v>
      </c>
      <c r="E2148">
        <v>1577075103</v>
      </c>
      <c r="F2148">
        <v>5082</v>
      </c>
      <c r="G2148">
        <v>0</v>
      </c>
      <c r="H2148" t="s">
        <v>7074</v>
      </c>
      <c r="I2148">
        <v>2406</v>
      </c>
      <c r="J2148" t="str">
        <f>VLOOKUP(E2148,DSSpieler!A:B,2,FALSE)</f>
        <v>TopalOsman</v>
      </c>
    </row>
    <row r="2149" spans="1:10" x14ac:dyDescent="0.25">
      <c r="A2149">
        <v>2407</v>
      </c>
      <c r="B2149" t="s">
        <v>31465</v>
      </c>
      <c r="C2149">
        <v>474</v>
      </c>
      <c r="D2149">
        <v>498</v>
      </c>
      <c r="E2149">
        <v>1577183431</v>
      </c>
      <c r="F2149">
        <v>4200</v>
      </c>
      <c r="G2149">
        <v>0</v>
      </c>
      <c r="H2149" t="s">
        <v>7075</v>
      </c>
      <c r="I2149">
        <v>2407</v>
      </c>
      <c r="J2149" t="str">
        <f>VLOOKUP(E2149,DSSpieler!A:B,2,FALSE)</f>
        <v>senn1d</v>
      </c>
    </row>
    <row r="2150" spans="1:10" x14ac:dyDescent="0.25">
      <c r="A2150">
        <v>2408</v>
      </c>
      <c r="B2150" t="s">
        <v>31466</v>
      </c>
      <c r="C2150">
        <v>510</v>
      </c>
      <c r="D2150">
        <v>467</v>
      </c>
      <c r="E2150">
        <v>1576471055</v>
      </c>
      <c r="F2150">
        <v>4893</v>
      </c>
      <c r="G2150">
        <v>0</v>
      </c>
      <c r="H2150" t="s">
        <v>7076</v>
      </c>
      <c r="I2150">
        <v>2408</v>
      </c>
      <c r="J2150" t="str">
        <f>VLOOKUP(E2150,DSSpieler!A:B,2,FALSE)</f>
        <v>Wonderboy-</v>
      </c>
    </row>
    <row r="2151" spans="1:10" x14ac:dyDescent="0.25">
      <c r="A2151">
        <v>2409</v>
      </c>
      <c r="B2151" t="s">
        <v>35826</v>
      </c>
      <c r="C2151">
        <v>509</v>
      </c>
      <c r="D2151">
        <v>469</v>
      </c>
      <c r="E2151">
        <v>1784298</v>
      </c>
      <c r="F2151">
        <v>2810</v>
      </c>
      <c r="G2151">
        <v>0</v>
      </c>
      <c r="H2151" t="s">
        <v>7077</v>
      </c>
      <c r="I2151">
        <v>2409</v>
      </c>
      <c r="J2151" t="str">
        <f>VLOOKUP(E2151,DSSpieler!A:B,2,FALSE)</f>
        <v>T-Cup</v>
      </c>
    </row>
    <row r="2152" spans="1:10" x14ac:dyDescent="0.25">
      <c r="A2152">
        <v>2410</v>
      </c>
      <c r="B2152" t="s">
        <v>964</v>
      </c>
      <c r="C2152">
        <v>527</v>
      </c>
      <c r="D2152">
        <v>562</v>
      </c>
      <c r="E2152">
        <v>1577191393</v>
      </c>
      <c r="F2152">
        <v>4552</v>
      </c>
      <c r="G2152">
        <v>0</v>
      </c>
      <c r="H2152" t="s">
        <v>7078</v>
      </c>
      <c r="I2152">
        <v>2410</v>
      </c>
      <c r="J2152" t="str">
        <f>VLOOKUP(E2152,DSSpieler!A:B,2,FALSE)</f>
        <v>Mann mit Axt</v>
      </c>
    </row>
    <row r="2153" spans="1:10" x14ac:dyDescent="0.25">
      <c r="A2153">
        <v>2411</v>
      </c>
      <c r="B2153" t="s">
        <v>965</v>
      </c>
      <c r="C2153">
        <v>525</v>
      </c>
      <c r="D2153">
        <v>562</v>
      </c>
      <c r="E2153">
        <v>1576715249</v>
      </c>
      <c r="F2153">
        <v>3643</v>
      </c>
      <c r="G2153">
        <v>0</v>
      </c>
      <c r="H2153" t="s">
        <v>7079</v>
      </c>
      <c r="I2153">
        <v>2411</v>
      </c>
      <c r="J2153" t="str">
        <f>VLOOKUP(E2153,DSSpieler!A:B,2,FALSE)</f>
        <v>thorina</v>
      </c>
    </row>
    <row r="2154" spans="1:10" x14ac:dyDescent="0.25">
      <c r="A2154">
        <v>2412</v>
      </c>
      <c r="B2154" t="s">
        <v>31467</v>
      </c>
      <c r="C2154">
        <v>551</v>
      </c>
      <c r="D2154">
        <v>520</v>
      </c>
      <c r="E2154">
        <v>1577196139</v>
      </c>
      <c r="F2154">
        <v>5567</v>
      </c>
      <c r="G2154">
        <v>0</v>
      </c>
      <c r="H2154" t="s">
        <v>7080</v>
      </c>
      <c r="I2154">
        <v>2412</v>
      </c>
      <c r="J2154" t="str">
        <f>VLOOKUP(E2154,DSSpieler!A:B,2,FALSE)</f>
        <v>Zwahlen</v>
      </c>
    </row>
    <row r="2155" spans="1:10" x14ac:dyDescent="0.25">
      <c r="A2155">
        <v>2413</v>
      </c>
      <c r="B2155" t="s">
        <v>31468</v>
      </c>
      <c r="C2155">
        <v>549</v>
      </c>
      <c r="D2155">
        <v>525</v>
      </c>
      <c r="E2155">
        <v>1577198146</v>
      </c>
      <c r="F2155">
        <v>1545</v>
      </c>
      <c r="G2155">
        <v>0</v>
      </c>
      <c r="H2155" t="s">
        <v>7081</v>
      </c>
      <c r="I2155">
        <v>2413</v>
      </c>
      <c r="J2155" t="str">
        <f>VLOOKUP(E2155,DSSpieler!A:B,2,FALSE)</f>
        <v>Nuvenor</v>
      </c>
    </row>
    <row r="2156" spans="1:10" x14ac:dyDescent="0.25">
      <c r="A2156">
        <v>2414</v>
      </c>
      <c r="B2156">
        <v>3</v>
      </c>
      <c r="C2156">
        <v>456</v>
      </c>
      <c r="D2156">
        <v>569</v>
      </c>
      <c r="E2156">
        <v>1576722945</v>
      </c>
      <c r="F2156">
        <v>5374</v>
      </c>
      <c r="G2156">
        <v>0</v>
      </c>
      <c r="H2156" t="s">
        <v>7082</v>
      </c>
      <c r="I2156">
        <v>2414</v>
      </c>
      <c r="J2156" t="str">
        <f>VLOOKUP(E2156,DSSpieler!A:B,2,FALSE)</f>
        <v>SerpentCrown1</v>
      </c>
    </row>
    <row r="2157" spans="1:10" x14ac:dyDescent="0.25">
      <c r="A2157">
        <v>2415</v>
      </c>
      <c r="B2157" t="s">
        <v>31469</v>
      </c>
      <c r="C2157">
        <v>453</v>
      </c>
      <c r="D2157">
        <v>566</v>
      </c>
      <c r="E2157">
        <v>693727</v>
      </c>
      <c r="F2157">
        <v>6544</v>
      </c>
      <c r="G2157">
        <v>0</v>
      </c>
      <c r="H2157" t="s">
        <v>7083</v>
      </c>
      <c r="I2157">
        <v>2415</v>
      </c>
      <c r="J2157" t="str">
        <f>VLOOKUP(E2157,DSSpieler!A:B,2,FALSE)</f>
        <v>joshear</v>
      </c>
    </row>
    <row r="2158" spans="1:10" x14ac:dyDescent="0.25">
      <c r="A2158">
        <v>2417</v>
      </c>
      <c r="B2158" t="s">
        <v>31470</v>
      </c>
      <c r="C2158">
        <v>452</v>
      </c>
      <c r="D2158">
        <v>566</v>
      </c>
      <c r="E2158">
        <v>1577189226</v>
      </c>
      <c r="F2158">
        <v>5319</v>
      </c>
      <c r="G2158">
        <v>0</v>
      </c>
      <c r="H2158" t="s">
        <v>7084</v>
      </c>
      <c r="I2158">
        <v>2417</v>
      </c>
      <c r="J2158" t="str">
        <f>VLOOKUP(E2158,DSSpieler!A:B,2,FALSE)</f>
        <v>Libertador</v>
      </c>
    </row>
    <row r="2159" spans="1:10" x14ac:dyDescent="0.25">
      <c r="A2159">
        <v>2418</v>
      </c>
      <c r="B2159" t="s">
        <v>31471</v>
      </c>
      <c r="C2159">
        <v>455</v>
      </c>
      <c r="D2159">
        <v>567</v>
      </c>
      <c r="E2159">
        <v>1576722945</v>
      </c>
      <c r="F2159">
        <v>5760</v>
      </c>
      <c r="G2159">
        <v>0</v>
      </c>
      <c r="H2159" t="s">
        <v>7085</v>
      </c>
      <c r="I2159">
        <v>2418</v>
      </c>
      <c r="J2159" t="str">
        <f>VLOOKUP(E2159,DSSpieler!A:B,2,FALSE)</f>
        <v>SerpentCrown1</v>
      </c>
    </row>
    <row r="2160" spans="1:10" x14ac:dyDescent="0.25">
      <c r="A2160">
        <v>2419</v>
      </c>
      <c r="B2160" t="s">
        <v>966</v>
      </c>
      <c r="C2160">
        <v>478</v>
      </c>
      <c r="D2160">
        <v>443</v>
      </c>
      <c r="E2160">
        <v>1576833254</v>
      </c>
      <c r="F2160">
        <v>5236</v>
      </c>
      <c r="G2160">
        <v>0</v>
      </c>
      <c r="H2160" t="s">
        <v>7086</v>
      </c>
      <c r="I2160">
        <v>2419</v>
      </c>
      <c r="J2160" t="str">
        <f>VLOOKUP(E2160,DSSpieler!A:B,2,FALSE)</f>
        <v>Nutzi21</v>
      </c>
    </row>
    <row r="2161" spans="1:10" x14ac:dyDescent="0.25">
      <c r="A2161">
        <v>2420</v>
      </c>
      <c r="B2161" t="s">
        <v>531</v>
      </c>
      <c r="C2161">
        <v>473</v>
      </c>
      <c r="D2161">
        <v>520</v>
      </c>
      <c r="E2161">
        <v>0</v>
      </c>
      <c r="F2161">
        <v>433</v>
      </c>
      <c r="G2161">
        <v>0</v>
      </c>
      <c r="H2161" t="s">
        <v>7087</v>
      </c>
      <c r="I2161">
        <v>2420</v>
      </c>
      <c r="J2161" t="e">
        <f>VLOOKUP(E2161,DSSpieler!A:B,2,FALSE)</f>
        <v>#N/A</v>
      </c>
    </row>
    <row r="2162" spans="1:10" x14ac:dyDescent="0.25">
      <c r="A2162">
        <v>2421</v>
      </c>
      <c r="B2162" t="s">
        <v>31472</v>
      </c>
      <c r="C2162">
        <v>507</v>
      </c>
      <c r="D2162">
        <v>575</v>
      </c>
      <c r="E2162">
        <v>1577177826</v>
      </c>
      <c r="F2162">
        <v>280</v>
      </c>
      <c r="G2162">
        <v>0</v>
      </c>
      <c r="H2162" t="s">
        <v>7088</v>
      </c>
      <c r="I2162">
        <v>2421</v>
      </c>
      <c r="J2162" t="str">
        <f>VLOOKUP(E2162,DSSpieler!A:B,2,FALSE)</f>
        <v>DirtyDan793</v>
      </c>
    </row>
    <row r="2163" spans="1:10" x14ac:dyDescent="0.25">
      <c r="A2163">
        <v>2422</v>
      </c>
      <c r="B2163">
        <v>4</v>
      </c>
      <c r="C2163">
        <v>509</v>
      </c>
      <c r="D2163">
        <v>571</v>
      </c>
      <c r="E2163">
        <v>9295043</v>
      </c>
      <c r="F2163">
        <v>5993</v>
      </c>
      <c r="G2163">
        <v>0</v>
      </c>
      <c r="H2163" t="s">
        <v>7089</v>
      </c>
      <c r="I2163">
        <v>2422</v>
      </c>
      <c r="J2163" t="str">
        <f>VLOOKUP(E2163,DSSpieler!A:B,2,FALSE)</f>
        <v>Kati **</v>
      </c>
    </row>
    <row r="2164" spans="1:10" x14ac:dyDescent="0.25">
      <c r="A2164">
        <v>2423</v>
      </c>
      <c r="B2164" t="s">
        <v>31473</v>
      </c>
      <c r="C2164">
        <v>506</v>
      </c>
      <c r="D2164">
        <v>503</v>
      </c>
      <c r="E2164">
        <v>1577192250</v>
      </c>
      <c r="F2164">
        <v>3800</v>
      </c>
      <c r="G2164">
        <v>0</v>
      </c>
      <c r="H2164" t="s">
        <v>7090</v>
      </c>
      <c r="I2164">
        <v>2423</v>
      </c>
      <c r="J2164" t="str">
        <f>VLOOKUP(E2164,DSSpieler!A:B,2,FALSE)</f>
        <v>Chrizzz.de</v>
      </c>
    </row>
    <row r="2165" spans="1:10" x14ac:dyDescent="0.25">
      <c r="A2165">
        <v>2424</v>
      </c>
      <c r="B2165">
        <v>2</v>
      </c>
      <c r="C2165">
        <v>505</v>
      </c>
      <c r="D2165">
        <v>507</v>
      </c>
      <c r="E2165">
        <v>1577198239</v>
      </c>
      <c r="F2165">
        <v>7069</v>
      </c>
      <c r="G2165">
        <v>0</v>
      </c>
      <c r="H2165" t="s">
        <v>7091</v>
      </c>
      <c r="I2165">
        <v>2424</v>
      </c>
      <c r="J2165" t="str">
        <f>VLOOKUP(E2165,DSSpieler!A:B,2,FALSE)</f>
        <v>König Hank662</v>
      </c>
    </row>
    <row r="2166" spans="1:10" x14ac:dyDescent="0.25">
      <c r="A2166">
        <v>2425</v>
      </c>
      <c r="B2166" t="s">
        <v>531</v>
      </c>
      <c r="C2166">
        <v>464</v>
      </c>
      <c r="D2166">
        <v>442</v>
      </c>
      <c r="E2166">
        <v>0</v>
      </c>
      <c r="F2166">
        <v>284</v>
      </c>
      <c r="G2166">
        <v>0</v>
      </c>
      <c r="H2166" t="s">
        <v>7092</v>
      </c>
      <c r="I2166">
        <v>2425</v>
      </c>
      <c r="J2166" t="e">
        <f>VLOOKUP(E2166,DSSpieler!A:B,2,FALSE)</f>
        <v>#N/A</v>
      </c>
    </row>
    <row r="2167" spans="1:10" x14ac:dyDescent="0.25">
      <c r="A2167">
        <v>2426</v>
      </c>
      <c r="B2167" t="s">
        <v>31474</v>
      </c>
      <c r="C2167">
        <v>507</v>
      </c>
      <c r="D2167">
        <v>497</v>
      </c>
      <c r="E2167">
        <v>1576459834</v>
      </c>
      <c r="F2167">
        <v>3533</v>
      </c>
      <c r="G2167">
        <v>0</v>
      </c>
      <c r="H2167" t="s">
        <v>7093</v>
      </c>
      <c r="I2167">
        <v>2426</v>
      </c>
      <c r="J2167" t="str">
        <f>VLOOKUP(E2167,DSSpieler!A:B,2,FALSE)</f>
        <v>coolermanyes</v>
      </c>
    </row>
    <row r="2168" spans="1:10" x14ac:dyDescent="0.25">
      <c r="A2168">
        <v>2427</v>
      </c>
      <c r="B2168" t="s">
        <v>31475</v>
      </c>
      <c r="C2168">
        <v>576</v>
      </c>
      <c r="D2168">
        <v>442</v>
      </c>
      <c r="E2168">
        <v>1577192471</v>
      </c>
      <c r="F2168">
        <v>5824</v>
      </c>
      <c r="G2168">
        <v>0</v>
      </c>
      <c r="H2168" t="s">
        <v>7094</v>
      </c>
      <c r="I2168">
        <v>2427</v>
      </c>
      <c r="J2168" t="str">
        <f>VLOOKUP(E2168,DSSpieler!A:B,2,FALSE)</f>
        <v>Killerbrot</v>
      </c>
    </row>
    <row r="2169" spans="1:10" x14ac:dyDescent="0.25">
      <c r="A2169">
        <v>2428</v>
      </c>
      <c r="B2169" t="e">
        <f>-3-+Mashup</f>
        <v>#NAME?</v>
      </c>
      <c r="C2169">
        <v>574</v>
      </c>
      <c r="D2169">
        <v>433</v>
      </c>
      <c r="E2169">
        <v>142049</v>
      </c>
      <c r="F2169">
        <v>5948</v>
      </c>
      <c r="G2169">
        <v>0</v>
      </c>
      <c r="H2169" t="s">
        <v>7095</v>
      </c>
      <c r="I2169">
        <v>2428</v>
      </c>
      <c r="J2169" t="str">
        <f>VLOOKUP(E2169,DSSpieler!A:B,2,FALSE)</f>
        <v>theillnes</v>
      </c>
    </row>
    <row r="2170" spans="1:10" x14ac:dyDescent="0.25">
      <c r="A2170">
        <v>2429</v>
      </c>
      <c r="B2170" t="s">
        <v>30947</v>
      </c>
      <c r="C2170">
        <v>582</v>
      </c>
      <c r="D2170">
        <v>443</v>
      </c>
      <c r="E2170">
        <v>1577010127</v>
      </c>
      <c r="F2170">
        <v>5725</v>
      </c>
      <c r="G2170">
        <v>0</v>
      </c>
      <c r="H2170" t="s">
        <v>7096</v>
      </c>
      <c r="I2170">
        <v>2429</v>
      </c>
      <c r="J2170" t="str">
        <f>VLOOKUP(E2170,DSSpieler!A:B,2,FALSE)</f>
        <v>FinallyDark</v>
      </c>
    </row>
    <row r="2171" spans="1:10" x14ac:dyDescent="0.25">
      <c r="A2171">
        <v>2430</v>
      </c>
      <c r="B2171" t="s">
        <v>546</v>
      </c>
      <c r="C2171">
        <v>508</v>
      </c>
      <c r="D2171">
        <v>424</v>
      </c>
      <c r="E2171">
        <v>1576795490</v>
      </c>
      <c r="F2171">
        <v>1831</v>
      </c>
      <c r="G2171">
        <v>0</v>
      </c>
      <c r="H2171" t="s">
        <v>7097</v>
      </c>
      <c r="I2171">
        <v>2430</v>
      </c>
      <c r="J2171" t="str">
        <f>VLOOKUP(E2171,DSSpieler!A:B,2,FALSE)</f>
        <v>mani9107</v>
      </c>
    </row>
    <row r="2172" spans="1:10" x14ac:dyDescent="0.25">
      <c r="A2172">
        <v>2431</v>
      </c>
      <c r="B2172" t="s">
        <v>967</v>
      </c>
      <c r="C2172">
        <v>575</v>
      </c>
      <c r="D2172">
        <v>436</v>
      </c>
      <c r="E2172">
        <v>1577186831</v>
      </c>
      <c r="F2172">
        <v>3765</v>
      </c>
      <c r="G2172">
        <v>0</v>
      </c>
      <c r="H2172" t="s">
        <v>7098</v>
      </c>
      <c r="I2172">
        <v>2431</v>
      </c>
      <c r="J2172" t="str">
        <f>VLOOKUP(E2172,DSSpieler!A:B,2,FALSE)</f>
        <v>maximator19</v>
      </c>
    </row>
    <row r="2173" spans="1:10" x14ac:dyDescent="0.25">
      <c r="A2173">
        <v>2432</v>
      </c>
      <c r="B2173" t="s">
        <v>531</v>
      </c>
      <c r="C2173">
        <v>534</v>
      </c>
      <c r="D2173">
        <v>553</v>
      </c>
      <c r="E2173">
        <v>0</v>
      </c>
      <c r="F2173">
        <v>564</v>
      </c>
      <c r="G2173">
        <v>0</v>
      </c>
      <c r="H2173" t="s">
        <v>7099</v>
      </c>
      <c r="I2173">
        <v>2432</v>
      </c>
      <c r="J2173" t="e">
        <f>VLOOKUP(E2173,DSSpieler!A:B,2,FALSE)</f>
        <v>#N/A</v>
      </c>
    </row>
    <row r="2174" spans="1:10" x14ac:dyDescent="0.25">
      <c r="A2174">
        <v>2433</v>
      </c>
      <c r="B2174" t="s">
        <v>968</v>
      </c>
      <c r="C2174">
        <v>577</v>
      </c>
      <c r="D2174">
        <v>436</v>
      </c>
      <c r="E2174">
        <v>1577197559</v>
      </c>
      <c r="F2174">
        <v>4948</v>
      </c>
      <c r="G2174">
        <v>0</v>
      </c>
      <c r="H2174" t="s">
        <v>7100</v>
      </c>
      <c r="I2174">
        <v>2433</v>
      </c>
      <c r="J2174" t="str">
        <f>VLOOKUP(E2174,DSSpieler!A:B,2,FALSE)</f>
        <v>Amaterasu-o-mi-kami</v>
      </c>
    </row>
    <row r="2175" spans="1:10" x14ac:dyDescent="0.25">
      <c r="A2175">
        <v>2434</v>
      </c>
      <c r="B2175" t="s">
        <v>31476</v>
      </c>
      <c r="C2175">
        <v>572</v>
      </c>
      <c r="D2175">
        <v>434</v>
      </c>
      <c r="E2175">
        <v>1576910880</v>
      </c>
      <c r="F2175">
        <v>7934</v>
      </c>
      <c r="G2175">
        <v>0</v>
      </c>
      <c r="H2175" t="s">
        <v>7101</v>
      </c>
      <c r="I2175">
        <v>2434</v>
      </c>
      <c r="J2175" t="str">
        <f>VLOOKUP(E2175,DSSpieler!A:B,2,FALSE)</f>
        <v>Quarantino*</v>
      </c>
    </row>
    <row r="2176" spans="1:10" x14ac:dyDescent="0.25">
      <c r="A2176">
        <v>2435</v>
      </c>
      <c r="B2176" t="s">
        <v>969</v>
      </c>
      <c r="C2176">
        <v>431</v>
      </c>
      <c r="D2176">
        <v>534</v>
      </c>
      <c r="E2176">
        <v>1576999160</v>
      </c>
      <c r="F2176">
        <v>1300</v>
      </c>
      <c r="G2176">
        <v>0</v>
      </c>
      <c r="H2176" t="s">
        <v>7102</v>
      </c>
      <c r="I2176">
        <v>2435</v>
      </c>
      <c r="J2176" t="str">
        <f>VLOOKUP(E2176,DSSpieler!A:B,2,FALSE)</f>
        <v>böserbub89</v>
      </c>
    </row>
    <row r="2177" spans="1:10" x14ac:dyDescent="0.25">
      <c r="A2177">
        <v>2436</v>
      </c>
      <c r="B2177" t="s">
        <v>31477</v>
      </c>
      <c r="C2177">
        <v>521</v>
      </c>
      <c r="D2177">
        <v>592</v>
      </c>
      <c r="E2177">
        <v>10016176</v>
      </c>
      <c r="F2177">
        <v>6617</v>
      </c>
      <c r="G2177">
        <v>0</v>
      </c>
      <c r="H2177" t="s">
        <v>7103</v>
      </c>
      <c r="I2177">
        <v>2436</v>
      </c>
      <c r="J2177" t="str">
        <f>VLOOKUP(E2177,DSSpieler!A:B,2,FALSE)</f>
        <v>Ghostsight7</v>
      </c>
    </row>
    <row r="2178" spans="1:10" x14ac:dyDescent="0.25">
      <c r="A2178">
        <v>2437</v>
      </c>
      <c r="B2178" t="s">
        <v>31478</v>
      </c>
      <c r="C2178">
        <v>528</v>
      </c>
      <c r="D2178">
        <v>595</v>
      </c>
      <c r="E2178">
        <v>8229715</v>
      </c>
      <c r="F2178">
        <v>4531</v>
      </c>
      <c r="G2178">
        <v>0</v>
      </c>
      <c r="H2178" t="s">
        <v>7104</v>
      </c>
      <c r="I2178">
        <v>2437</v>
      </c>
      <c r="J2178" t="str">
        <f>VLOOKUP(E2178,DSSpieler!A:B,2,FALSE)</f>
        <v>Orschlochwattn</v>
      </c>
    </row>
    <row r="2179" spans="1:10" x14ac:dyDescent="0.25">
      <c r="A2179">
        <v>2438</v>
      </c>
      <c r="B2179" t="s">
        <v>531</v>
      </c>
      <c r="C2179">
        <v>550</v>
      </c>
      <c r="D2179">
        <v>512</v>
      </c>
      <c r="E2179">
        <v>0</v>
      </c>
      <c r="F2179">
        <v>399</v>
      </c>
      <c r="G2179">
        <v>0</v>
      </c>
      <c r="H2179" t="s">
        <v>7105</v>
      </c>
      <c r="I2179">
        <v>2438</v>
      </c>
      <c r="J2179" t="e">
        <f>VLOOKUP(E2179,DSSpieler!A:B,2,FALSE)</f>
        <v>#N/A</v>
      </c>
    </row>
    <row r="2180" spans="1:10" x14ac:dyDescent="0.25">
      <c r="A2180">
        <v>2439</v>
      </c>
      <c r="B2180" t="s">
        <v>31479</v>
      </c>
      <c r="C2180">
        <v>529</v>
      </c>
      <c r="D2180">
        <v>538</v>
      </c>
      <c r="E2180">
        <v>1577197187</v>
      </c>
      <c r="F2180">
        <v>6116</v>
      </c>
      <c r="G2180">
        <v>0</v>
      </c>
      <c r="H2180" t="s">
        <v>7106</v>
      </c>
      <c r="I2180">
        <v>2439</v>
      </c>
      <c r="J2180" t="str">
        <f>VLOOKUP(E2180,DSSpieler!A:B,2,FALSE)</f>
        <v>Murasaki-kun</v>
      </c>
    </row>
    <row r="2181" spans="1:10" x14ac:dyDescent="0.25">
      <c r="A2181">
        <v>2440</v>
      </c>
      <c r="B2181" t="s">
        <v>31480</v>
      </c>
      <c r="C2181">
        <v>533</v>
      </c>
      <c r="D2181">
        <v>528</v>
      </c>
      <c r="E2181">
        <v>1577197246</v>
      </c>
      <c r="F2181">
        <v>5695</v>
      </c>
      <c r="G2181">
        <v>0</v>
      </c>
      <c r="H2181" t="s">
        <v>7107</v>
      </c>
      <c r="I2181">
        <v>2440</v>
      </c>
      <c r="J2181" t="str">
        <f>VLOOKUP(E2181,DSSpieler!A:B,2,FALSE)</f>
        <v>JoeFromSchool</v>
      </c>
    </row>
    <row r="2182" spans="1:10" x14ac:dyDescent="0.25">
      <c r="A2182">
        <v>2441</v>
      </c>
      <c r="B2182" t="s">
        <v>31481</v>
      </c>
      <c r="C2182">
        <v>537</v>
      </c>
      <c r="D2182">
        <v>525</v>
      </c>
      <c r="E2182">
        <v>1577197586</v>
      </c>
      <c r="F2182">
        <v>5271</v>
      </c>
      <c r="G2182">
        <v>0</v>
      </c>
      <c r="H2182" t="s">
        <v>7108</v>
      </c>
      <c r="I2182">
        <v>2441</v>
      </c>
      <c r="J2182" t="str">
        <f>VLOOKUP(E2182,DSSpieler!A:B,2,FALSE)</f>
        <v>Manusfredus21</v>
      </c>
    </row>
    <row r="2183" spans="1:10" x14ac:dyDescent="0.25">
      <c r="A2183">
        <v>2443</v>
      </c>
      <c r="B2183" t="s">
        <v>31482</v>
      </c>
      <c r="C2183">
        <v>530</v>
      </c>
      <c r="D2183">
        <v>569</v>
      </c>
      <c r="E2183">
        <v>9581476</v>
      </c>
      <c r="F2183">
        <v>6121</v>
      </c>
      <c r="G2183">
        <v>0</v>
      </c>
      <c r="H2183" t="s">
        <v>7109</v>
      </c>
      <c r="I2183">
        <v>2443</v>
      </c>
      <c r="J2183" t="str">
        <f>VLOOKUP(E2183,DSSpieler!A:B,2,FALSE)</f>
        <v>Wow4ik21</v>
      </c>
    </row>
    <row r="2184" spans="1:10" x14ac:dyDescent="0.25">
      <c r="A2184">
        <v>2444</v>
      </c>
      <c r="B2184" t="s">
        <v>31483</v>
      </c>
      <c r="C2184">
        <v>464</v>
      </c>
      <c r="D2184">
        <v>499</v>
      </c>
      <c r="E2184">
        <v>1442482</v>
      </c>
      <c r="F2184">
        <v>4617</v>
      </c>
      <c r="G2184">
        <v>0</v>
      </c>
      <c r="H2184" t="s">
        <v>7110</v>
      </c>
      <c r="I2184">
        <v>2444</v>
      </c>
      <c r="J2184" t="str">
        <f>VLOOKUP(E2184,DSSpieler!A:B,2,FALSE)</f>
        <v>ThanaTos3k</v>
      </c>
    </row>
    <row r="2185" spans="1:10" x14ac:dyDescent="0.25">
      <c r="A2185">
        <v>2445</v>
      </c>
      <c r="B2185" t="s">
        <v>531</v>
      </c>
      <c r="C2185">
        <v>551</v>
      </c>
      <c r="D2185">
        <v>480</v>
      </c>
      <c r="E2185">
        <v>0</v>
      </c>
      <c r="F2185">
        <v>459</v>
      </c>
      <c r="G2185">
        <v>0</v>
      </c>
      <c r="H2185" t="s">
        <v>7111</v>
      </c>
      <c r="I2185">
        <v>2445</v>
      </c>
      <c r="J2185" t="e">
        <f>VLOOKUP(E2185,DSSpieler!A:B,2,FALSE)</f>
        <v>#N/A</v>
      </c>
    </row>
    <row r="2186" spans="1:10" x14ac:dyDescent="0.25">
      <c r="A2186">
        <v>2446</v>
      </c>
      <c r="B2186" t="s">
        <v>970</v>
      </c>
      <c r="C2186">
        <v>467</v>
      </c>
      <c r="D2186">
        <v>590</v>
      </c>
      <c r="E2186">
        <v>1577195364</v>
      </c>
      <c r="F2186">
        <v>4717</v>
      </c>
      <c r="G2186">
        <v>0</v>
      </c>
      <c r="H2186" t="s">
        <v>7112</v>
      </c>
      <c r="I2186">
        <v>2446</v>
      </c>
      <c r="J2186" t="str">
        <f>VLOOKUP(E2186,DSSpieler!A:B,2,FALSE)</f>
        <v>Bavaria.Fantastica</v>
      </c>
    </row>
    <row r="2187" spans="1:10" x14ac:dyDescent="0.25">
      <c r="A2187">
        <v>2447</v>
      </c>
      <c r="B2187" t="s">
        <v>31484</v>
      </c>
      <c r="C2187">
        <v>568</v>
      </c>
      <c r="D2187">
        <v>525</v>
      </c>
      <c r="E2187">
        <v>1577099191</v>
      </c>
      <c r="F2187">
        <v>6966</v>
      </c>
      <c r="G2187">
        <v>0</v>
      </c>
      <c r="H2187" t="s">
        <v>7113</v>
      </c>
      <c r="I2187">
        <v>2447</v>
      </c>
      <c r="J2187" t="str">
        <f>VLOOKUP(E2187,DSSpieler!A:B,2,FALSE)</f>
        <v>luckum3000</v>
      </c>
    </row>
    <row r="2188" spans="1:10" x14ac:dyDescent="0.25">
      <c r="A2188">
        <v>2448</v>
      </c>
      <c r="B2188" t="s">
        <v>31485</v>
      </c>
      <c r="C2188">
        <v>543</v>
      </c>
      <c r="D2188">
        <v>561</v>
      </c>
      <c r="E2188">
        <v>9837616</v>
      </c>
      <c r="F2188">
        <v>9694</v>
      </c>
      <c r="G2188">
        <v>0</v>
      </c>
      <c r="H2188" t="s">
        <v>7114</v>
      </c>
      <c r="I2188">
        <v>2448</v>
      </c>
      <c r="J2188" t="str">
        <f>VLOOKUP(E2188,DSSpieler!A:B,2,FALSE)</f>
        <v>CheckPrime</v>
      </c>
    </row>
    <row r="2189" spans="1:10" x14ac:dyDescent="0.25">
      <c r="A2189">
        <v>2449</v>
      </c>
      <c r="B2189" t="s">
        <v>971</v>
      </c>
      <c r="C2189">
        <v>457</v>
      </c>
      <c r="D2189">
        <v>493</v>
      </c>
      <c r="E2189">
        <v>1577150472</v>
      </c>
      <c r="F2189">
        <v>4868</v>
      </c>
      <c r="G2189">
        <v>0</v>
      </c>
      <c r="H2189" t="s">
        <v>7115</v>
      </c>
      <c r="I2189">
        <v>2449</v>
      </c>
      <c r="J2189" t="str">
        <f>VLOOKUP(E2189,DSSpieler!A:B,2,FALSE)</f>
        <v>Jerry3005</v>
      </c>
    </row>
    <row r="2190" spans="1:10" x14ac:dyDescent="0.25">
      <c r="A2190">
        <v>2451</v>
      </c>
      <c r="B2190" t="s">
        <v>31486</v>
      </c>
      <c r="C2190">
        <v>497</v>
      </c>
      <c r="D2190">
        <v>564</v>
      </c>
      <c r="E2190">
        <v>1576469799</v>
      </c>
      <c r="F2190">
        <v>4974</v>
      </c>
      <c r="G2190">
        <v>0</v>
      </c>
      <c r="H2190" t="s">
        <v>7116</v>
      </c>
      <c r="I2190">
        <v>2451</v>
      </c>
      <c r="J2190" t="str">
        <f>VLOOKUP(E2190,DSSpieler!A:B,2,FALSE)</f>
        <v>lokderboss</v>
      </c>
    </row>
    <row r="2191" spans="1:10" x14ac:dyDescent="0.25">
      <c r="A2191">
        <v>2452</v>
      </c>
      <c r="B2191" t="s">
        <v>31487</v>
      </c>
      <c r="C2191">
        <v>525</v>
      </c>
      <c r="D2191">
        <v>407</v>
      </c>
      <c r="E2191">
        <v>1385576</v>
      </c>
      <c r="F2191">
        <v>5307</v>
      </c>
      <c r="G2191">
        <v>0</v>
      </c>
      <c r="H2191" t="s">
        <v>7117</v>
      </c>
      <c r="I2191">
        <v>2452</v>
      </c>
      <c r="J2191" t="str">
        <f>VLOOKUP(E2191,DSSpieler!A:B,2,FALSE)</f>
        <v>Moritz119</v>
      </c>
    </row>
    <row r="2192" spans="1:10" x14ac:dyDescent="0.25">
      <c r="A2192">
        <v>2453</v>
      </c>
      <c r="B2192" t="s">
        <v>531</v>
      </c>
      <c r="C2192">
        <v>425</v>
      </c>
      <c r="D2192">
        <v>426</v>
      </c>
      <c r="E2192">
        <v>0</v>
      </c>
      <c r="F2192">
        <v>991</v>
      </c>
      <c r="G2192">
        <v>0</v>
      </c>
      <c r="H2192" t="s">
        <v>7118</v>
      </c>
      <c r="I2192">
        <v>2453</v>
      </c>
      <c r="J2192" t="e">
        <f>VLOOKUP(E2192,DSSpieler!A:B,2,FALSE)</f>
        <v>#N/A</v>
      </c>
    </row>
    <row r="2193" spans="1:10" x14ac:dyDescent="0.25">
      <c r="A2193">
        <v>2454</v>
      </c>
      <c r="B2193" t="s">
        <v>31488</v>
      </c>
      <c r="C2193">
        <v>565</v>
      </c>
      <c r="D2193">
        <v>454</v>
      </c>
      <c r="E2193">
        <v>8380075</v>
      </c>
      <c r="F2193">
        <v>7677</v>
      </c>
      <c r="G2193">
        <v>0</v>
      </c>
      <c r="H2193" t="s">
        <v>7119</v>
      </c>
      <c r="I2193">
        <v>2454</v>
      </c>
      <c r="J2193" t="str">
        <f>VLOOKUP(E2193,DSSpieler!A:B,2,FALSE)</f>
        <v>coolarhund</v>
      </c>
    </row>
    <row r="2194" spans="1:10" x14ac:dyDescent="0.25">
      <c r="A2194">
        <v>2455</v>
      </c>
      <c r="B2194">
        <v>2</v>
      </c>
      <c r="C2194">
        <v>557</v>
      </c>
      <c r="D2194">
        <v>454</v>
      </c>
      <c r="E2194">
        <v>1577015178</v>
      </c>
      <c r="F2194">
        <v>4609</v>
      </c>
      <c r="G2194">
        <v>0</v>
      </c>
      <c r="H2194" t="s">
        <v>7120</v>
      </c>
      <c r="I2194">
        <v>2455</v>
      </c>
      <c r="J2194" t="str">
        <f>VLOOKUP(E2194,DSSpieler!A:B,2,FALSE)</f>
        <v>CoffeeArsch</v>
      </c>
    </row>
    <row r="2195" spans="1:10" x14ac:dyDescent="0.25">
      <c r="A2195">
        <v>2456</v>
      </c>
      <c r="B2195" t="e">
        <f>-nicky+butts+Dorf</f>
        <v>#NAME?</v>
      </c>
      <c r="C2195">
        <v>545</v>
      </c>
      <c r="D2195">
        <v>438</v>
      </c>
      <c r="E2195">
        <v>401979</v>
      </c>
      <c r="F2195">
        <v>4482</v>
      </c>
      <c r="G2195">
        <v>0</v>
      </c>
      <c r="H2195" t="s">
        <v>7121</v>
      </c>
      <c r="I2195">
        <v>2456</v>
      </c>
      <c r="J2195" t="str">
        <f>VLOOKUP(E2195,DSSpieler!A:B,2,FALSE)</f>
        <v>nicky butt</v>
      </c>
    </row>
    <row r="2196" spans="1:10" x14ac:dyDescent="0.25">
      <c r="A2196">
        <v>2457</v>
      </c>
      <c r="B2196" t="s">
        <v>31489</v>
      </c>
      <c r="C2196">
        <v>462</v>
      </c>
      <c r="D2196">
        <v>509</v>
      </c>
      <c r="E2196">
        <v>9415506</v>
      </c>
      <c r="F2196">
        <v>5485</v>
      </c>
      <c r="G2196">
        <v>0</v>
      </c>
      <c r="H2196" t="s">
        <v>7122</v>
      </c>
      <c r="I2196">
        <v>2457</v>
      </c>
      <c r="J2196" t="str">
        <f>VLOOKUP(E2196,DSSpieler!A:B,2,FALSE)</f>
        <v>AvalonFee</v>
      </c>
    </row>
    <row r="2197" spans="1:10" x14ac:dyDescent="0.25">
      <c r="A2197">
        <v>2458</v>
      </c>
      <c r="B2197" t="s">
        <v>31490</v>
      </c>
      <c r="C2197">
        <v>555</v>
      </c>
      <c r="D2197">
        <v>556</v>
      </c>
      <c r="E2197">
        <v>1577138953</v>
      </c>
      <c r="F2197">
        <v>5850</v>
      </c>
      <c r="G2197">
        <v>0</v>
      </c>
      <c r="H2197" t="s">
        <v>7123</v>
      </c>
      <c r="I2197">
        <v>2458</v>
      </c>
      <c r="J2197" t="str">
        <f>VLOOKUP(E2197,DSSpieler!A:B,2,FALSE)</f>
        <v>ganz entspannt</v>
      </c>
    </row>
    <row r="2198" spans="1:10" x14ac:dyDescent="0.25">
      <c r="A2198">
        <v>2459</v>
      </c>
      <c r="B2198" t="s">
        <v>531</v>
      </c>
      <c r="C2198">
        <v>459</v>
      </c>
      <c r="D2198">
        <v>432</v>
      </c>
      <c r="E2198">
        <v>0</v>
      </c>
      <c r="F2198">
        <v>346</v>
      </c>
      <c r="G2198">
        <v>0</v>
      </c>
      <c r="H2198" t="s">
        <v>7124</v>
      </c>
      <c r="I2198">
        <v>2459</v>
      </c>
      <c r="J2198" t="e">
        <f>VLOOKUP(E2198,DSSpieler!A:B,2,FALSE)</f>
        <v>#N/A</v>
      </c>
    </row>
    <row r="2199" spans="1:10" x14ac:dyDescent="0.25">
      <c r="A2199">
        <v>2460</v>
      </c>
      <c r="B2199" t="s">
        <v>531</v>
      </c>
      <c r="C2199">
        <v>577</v>
      </c>
      <c r="D2199">
        <v>556</v>
      </c>
      <c r="E2199">
        <v>1577188785</v>
      </c>
      <c r="F2199">
        <v>1831</v>
      </c>
      <c r="G2199">
        <v>0</v>
      </c>
      <c r="H2199" t="s">
        <v>7125</v>
      </c>
      <c r="I2199">
        <v>2460</v>
      </c>
      <c r="J2199" t="str">
        <f>VLOOKUP(E2199,DSSpieler!A:B,2,FALSE)</f>
        <v>Russ198801</v>
      </c>
    </row>
    <row r="2200" spans="1:10" x14ac:dyDescent="0.25">
      <c r="A2200">
        <v>2461</v>
      </c>
      <c r="B2200" s="111">
        <v>230.01</v>
      </c>
      <c r="C2200">
        <v>496</v>
      </c>
      <c r="D2200">
        <v>517</v>
      </c>
      <c r="E2200">
        <v>1577196283</v>
      </c>
      <c r="F2200">
        <v>7212</v>
      </c>
      <c r="G2200">
        <v>0</v>
      </c>
      <c r="H2200" t="s">
        <v>7126</v>
      </c>
      <c r="I2200">
        <v>2461</v>
      </c>
      <c r="J2200" t="str">
        <f>VLOOKUP(E2200,DSSpieler!A:B,2,FALSE)</f>
        <v>SupremooZ</v>
      </c>
    </row>
    <row r="2201" spans="1:10" x14ac:dyDescent="0.25">
      <c r="A2201">
        <v>2462</v>
      </c>
      <c r="B2201" t="s">
        <v>31491</v>
      </c>
      <c r="C2201">
        <v>570</v>
      </c>
      <c r="D2201">
        <v>429</v>
      </c>
      <c r="E2201">
        <v>1577031827</v>
      </c>
      <c r="F2201">
        <v>3506</v>
      </c>
      <c r="G2201">
        <v>0</v>
      </c>
      <c r="H2201" t="s">
        <v>7127</v>
      </c>
      <c r="I2201">
        <v>2462</v>
      </c>
      <c r="J2201" t="str">
        <f>VLOOKUP(E2201,DSSpieler!A:B,2,FALSE)</f>
        <v>CheFlamous</v>
      </c>
    </row>
    <row r="2202" spans="1:10" x14ac:dyDescent="0.25">
      <c r="A2202">
        <v>2463</v>
      </c>
      <c r="B2202" t="s">
        <v>531</v>
      </c>
      <c r="C2202">
        <v>553</v>
      </c>
      <c r="D2202">
        <v>458</v>
      </c>
      <c r="E2202">
        <v>0</v>
      </c>
      <c r="F2202">
        <v>468</v>
      </c>
      <c r="G2202">
        <v>0</v>
      </c>
      <c r="H2202" t="s">
        <v>7128</v>
      </c>
      <c r="I2202">
        <v>2463</v>
      </c>
      <c r="J2202" t="e">
        <f>VLOOKUP(E2202,DSSpieler!A:B,2,FALSE)</f>
        <v>#N/A</v>
      </c>
    </row>
    <row r="2203" spans="1:10" x14ac:dyDescent="0.25">
      <c r="A2203">
        <v>2464</v>
      </c>
      <c r="B2203" t="s">
        <v>531</v>
      </c>
      <c r="C2203">
        <v>470</v>
      </c>
      <c r="D2203">
        <v>478</v>
      </c>
      <c r="E2203">
        <v>0</v>
      </c>
      <c r="F2203">
        <v>1355</v>
      </c>
      <c r="G2203">
        <v>0</v>
      </c>
      <c r="H2203" t="s">
        <v>7129</v>
      </c>
      <c r="I2203">
        <v>2464</v>
      </c>
      <c r="J2203" t="e">
        <f>VLOOKUP(E2203,DSSpieler!A:B,2,FALSE)</f>
        <v>#N/A</v>
      </c>
    </row>
    <row r="2204" spans="1:10" x14ac:dyDescent="0.25">
      <c r="A2204">
        <v>2465</v>
      </c>
      <c r="B2204">
        <v>1</v>
      </c>
      <c r="C2204">
        <v>438</v>
      </c>
      <c r="D2204">
        <v>464</v>
      </c>
      <c r="E2204">
        <v>9985386</v>
      </c>
      <c r="F2204">
        <v>4986</v>
      </c>
      <c r="G2204">
        <v>0</v>
      </c>
      <c r="H2204" t="s">
        <v>7130</v>
      </c>
      <c r="I2204">
        <v>2465</v>
      </c>
      <c r="J2204" t="str">
        <f>VLOOKUP(E2204,DSSpieler!A:B,2,FALSE)</f>
        <v>Lord PrinzPI</v>
      </c>
    </row>
    <row r="2205" spans="1:10" x14ac:dyDescent="0.25">
      <c r="A2205">
        <v>2466</v>
      </c>
      <c r="B2205" t="s">
        <v>972</v>
      </c>
      <c r="C2205">
        <v>489</v>
      </c>
      <c r="D2205">
        <v>437</v>
      </c>
      <c r="E2205">
        <v>1577187988</v>
      </c>
      <c r="F2205">
        <v>2405</v>
      </c>
      <c r="G2205">
        <v>0</v>
      </c>
      <c r="H2205" t="s">
        <v>7131</v>
      </c>
      <c r="I2205">
        <v>2466</v>
      </c>
      <c r="J2205" t="str">
        <f>VLOOKUP(E2205,DSSpieler!A:B,2,FALSE)</f>
        <v>aposociety</v>
      </c>
    </row>
    <row r="2206" spans="1:10" x14ac:dyDescent="0.25">
      <c r="A2206">
        <v>2467</v>
      </c>
      <c r="B2206" t="s">
        <v>31492</v>
      </c>
      <c r="C2206">
        <v>566</v>
      </c>
      <c r="D2206">
        <v>465</v>
      </c>
      <c r="E2206">
        <v>1577195635</v>
      </c>
      <c r="F2206">
        <v>6907</v>
      </c>
      <c r="G2206">
        <v>0</v>
      </c>
      <c r="H2206" t="s">
        <v>7132</v>
      </c>
      <c r="I2206">
        <v>2467</v>
      </c>
      <c r="J2206" t="str">
        <f>VLOOKUP(E2206,DSSpieler!A:B,2,FALSE)</f>
        <v>Jonnybanana</v>
      </c>
    </row>
    <row r="2207" spans="1:10" x14ac:dyDescent="0.25">
      <c r="A2207">
        <v>2468</v>
      </c>
      <c r="B2207" t="s">
        <v>30525</v>
      </c>
      <c r="C2207">
        <v>464</v>
      </c>
      <c r="D2207">
        <v>507</v>
      </c>
      <c r="E2207">
        <v>8198259</v>
      </c>
      <c r="F2207">
        <v>4839</v>
      </c>
      <c r="G2207">
        <v>0</v>
      </c>
      <c r="H2207" t="s">
        <v>7133</v>
      </c>
      <c r="I2207">
        <v>2468</v>
      </c>
      <c r="J2207" t="str">
        <f>VLOOKUP(E2207,DSSpieler!A:B,2,FALSE)</f>
        <v>Tiger1896</v>
      </c>
    </row>
    <row r="2208" spans="1:10" x14ac:dyDescent="0.25">
      <c r="A2208">
        <v>2469</v>
      </c>
      <c r="B2208" t="s">
        <v>973</v>
      </c>
      <c r="C2208">
        <v>459</v>
      </c>
      <c r="D2208">
        <v>587</v>
      </c>
      <c r="E2208">
        <v>1577027850</v>
      </c>
      <c r="F2208">
        <v>7816</v>
      </c>
      <c r="G2208">
        <v>0</v>
      </c>
      <c r="H2208" t="s">
        <v>7134</v>
      </c>
      <c r="I2208">
        <v>2469</v>
      </c>
      <c r="J2208" t="str">
        <f>VLOOKUP(E2208,DSSpieler!A:B,2,FALSE)</f>
        <v>NikkelangeloHS</v>
      </c>
    </row>
    <row r="2209" spans="1:10" x14ac:dyDescent="0.25">
      <c r="A2209">
        <v>2470</v>
      </c>
      <c r="B2209" t="s">
        <v>780</v>
      </c>
      <c r="C2209">
        <v>607</v>
      </c>
      <c r="D2209">
        <v>535</v>
      </c>
      <c r="E2209">
        <v>1576939408</v>
      </c>
      <c r="F2209">
        <v>4000</v>
      </c>
      <c r="G2209">
        <v>0</v>
      </c>
      <c r="H2209" t="s">
        <v>7135</v>
      </c>
      <c r="I2209">
        <v>2470</v>
      </c>
      <c r="J2209" t="str">
        <f>VLOOKUP(E2209,DSSpieler!A:B,2,FALSE)</f>
        <v>Der Blauadler</v>
      </c>
    </row>
    <row r="2210" spans="1:10" x14ac:dyDescent="0.25">
      <c r="A2210">
        <v>2471</v>
      </c>
      <c r="B2210" t="s">
        <v>31493</v>
      </c>
      <c r="C2210">
        <v>405</v>
      </c>
      <c r="D2210">
        <v>464</v>
      </c>
      <c r="E2210">
        <v>1577190085</v>
      </c>
      <c r="F2210">
        <v>6702</v>
      </c>
      <c r="G2210">
        <v>0</v>
      </c>
      <c r="H2210" t="s">
        <v>7136</v>
      </c>
      <c r="I2210">
        <v>2471</v>
      </c>
      <c r="J2210" t="str">
        <f>VLOOKUP(E2210,DSSpieler!A:B,2,FALSE)</f>
        <v>Borstiger Bürstenmann</v>
      </c>
    </row>
    <row r="2211" spans="1:10" x14ac:dyDescent="0.25">
      <c r="A2211">
        <v>2472</v>
      </c>
      <c r="B2211" t="s">
        <v>31494</v>
      </c>
      <c r="C2211">
        <v>567</v>
      </c>
      <c r="D2211">
        <v>570</v>
      </c>
      <c r="E2211">
        <v>1576311875</v>
      </c>
      <c r="F2211">
        <v>4680</v>
      </c>
      <c r="G2211">
        <v>0</v>
      </c>
      <c r="H2211" t="s">
        <v>7137</v>
      </c>
      <c r="I2211">
        <v>2472</v>
      </c>
      <c r="J2211" t="str">
        <f>VLOOKUP(E2211,DSSpieler!A:B,2,FALSE)</f>
        <v>Animus95</v>
      </c>
    </row>
    <row r="2212" spans="1:10" x14ac:dyDescent="0.25">
      <c r="A2212">
        <v>2473</v>
      </c>
      <c r="B2212">
        <v>4</v>
      </c>
      <c r="C2212">
        <v>564</v>
      </c>
      <c r="D2212">
        <v>457</v>
      </c>
      <c r="E2212">
        <v>3479010</v>
      </c>
      <c r="F2212">
        <v>4335</v>
      </c>
      <c r="G2212">
        <v>0</v>
      </c>
      <c r="H2212" t="s">
        <v>7138</v>
      </c>
      <c r="I2212">
        <v>2473</v>
      </c>
      <c r="J2212" t="str">
        <f>VLOOKUP(E2212,DSSpieler!A:B,2,FALSE)</f>
        <v>Lieskauer</v>
      </c>
    </row>
    <row r="2213" spans="1:10" x14ac:dyDescent="0.25">
      <c r="A2213">
        <v>2474</v>
      </c>
      <c r="B2213" t="s">
        <v>31495</v>
      </c>
      <c r="C2213">
        <v>446</v>
      </c>
      <c r="D2213">
        <v>441</v>
      </c>
      <c r="E2213">
        <v>3449535</v>
      </c>
      <c r="F2213">
        <v>4378</v>
      </c>
      <c r="G2213">
        <v>0</v>
      </c>
      <c r="H2213" t="s">
        <v>7139</v>
      </c>
      <c r="I2213">
        <v>2474</v>
      </c>
      <c r="J2213" t="str">
        <f>VLOOKUP(E2213,DSSpieler!A:B,2,FALSE)</f>
        <v>Melniebone</v>
      </c>
    </row>
    <row r="2214" spans="1:10" x14ac:dyDescent="0.25">
      <c r="A2214">
        <v>2475</v>
      </c>
      <c r="B2214" t="s">
        <v>531</v>
      </c>
      <c r="C2214">
        <v>476</v>
      </c>
      <c r="D2214">
        <v>422</v>
      </c>
      <c r="E2214">
        <v>0</v>
      </c>
      <c r="F2214">
        <v>327</v>
      </c>
      <c r="G2214">
        <v>0</v>
      </c>
      <c r="H2214" t="s">
        <v>7140</v>
      </c>
      <c r="I2214">
        <v>2475</v>
      </c>
      <c r="J2214" t="e">
        <f>VLOOKUP(E2214,DSSpieler!A:B,2,FALSE)</f>
        <v>#N/A</v>
      </c>
    </row>
    <row r="2215" spans="1:10" x14ac:dyDescent="0.25">
      <c r="A2215">
        <v>2477</v>
      </c>
      <c r="B2215" t="s">
        <v>710</v>
      </c>
      <c r="C2215">
        <v>583</v>
      </c>
      <c r="D2215">
        <v>448</v>
      </c>
      <c r="E2215">
        <v>1576947159</v>
      </c>
      <c r="F2215">
        <v>5063</v>
      </c>
      <c r="G2215">
        <v>0</v>
      </c>
      <c r="H2215" t="s">
        <v>7141</v>
      </c>
      <c r="I2215">
        <v>2477</v>
      </c>
      <c r="J2215" t="str">
        <f>VLOOKUP(E2215,DSSpieler!A:B,2,FALSE)</f>
        <v>TodescooI</v>
      </c>
    </row>
    <row r="2216" spans="1:10" x14ac:dyDescent="0.25">
      <c r="A2216">
        <v>2478</v>
      </c>
      <c r="B2216" t="s">
        <v>31496</v>
      </c>
      <c r="C2216">
        <v>416</v>
      </c>
      <c r="D2216">
        <v>569</v>
      </c>
      <c r="E2216">
        <v>1577163287</v>
      </c>
      <c r="F2216">
        <v>5653</v>
      </c>
      <c r="G2216">
        <v>0</v>
      </c>
      <c r="H2216" t="s">
        <v>7142</v>
      </c>
      <c r="I2216">
        <v>2478</v>
      </c>
      <c r="J2216" t="str">
        <f>VLOOKUP(E2216,DSSpieler!A:B,2,FALSE)</f>
        <v>Sändi99</v>
      </c>
    </row>
    <row r="2217" spans="1:10" x14ac:dyDescent="0.25">
      <c r="A2217">
        <v>2479</v>
      </c>
      <c r="B2217" t="s">
        <v>974</v>
      </c>
      <c r="C2217">
        <v>579</v>
      </c>
      <c r="D2217">
        <v>558</v>
      </c>
      <c r="E2217">
        <v>1577188486</v>
      </c>
      <c r="F2217">
        <v>5365</v>
      </c>
      <c r="G2217">
        <v>0</v>
      </c>
      <c r="H2217" t="s">
        <v>7143</v>
      </c>
      <c r="I2217">
        <v>2479</v>
      </c>
      <c r="J2217" t="str">
        <f>VLOOKUP(E2217,DSSpieler!A:B,2,FALSE)</f>
        <v>Gzuz von Nazareth</v>
      </c>
    </row>
    <row r="2218" spans="1:10" x14ac:dyDescent="0.25">
      <c r="A2218">
        <v>2480</v>
      </c>
      <c r="B2218" t="s">
        <v>31497</v>
      </c>
      <c r="C2218">
        <v>439</v>
      </c>
      <c r="D2218">
        <v>539</v>
      </c>
      <c r="E2218">
        <v>9868037</v>
      </c>
      <c r="F2218">
        <v>5107</v>
      </c>
      <c r="G2218">
        <v>0</v>
      </c>
      <c r="H2218" t="s">
        <v>7144</v>
      </c>
      <c r="I2218">
        <v>2480</v>
      </c>
      <c r="J2218" t="str">
        <f>VLOOKUP(E2218,DSSpieler!A:B,2,FALSE)</f>
        <v>.Taboo</v>
      </c>
    </row>
    <row r="2219" spans="1:10" x14ac:dyDescent="0.25">
      <c r="A2219">
        <v>2481</v>
      </c>
      <c r="B2219" t="s">
        <v>31498</v>
      </c>
      <c r="C2219">
        <v>524</v>
      </c>
      <c r="D2219">
        <v>612</v>
      </c>
      <c r="E2219">
        <v>832699</v>
      </c>
      <c r="F2219">
        <v>8766</v>
      </c>
      <c r="G2219">
        <v>0</v>
      </c>
      <c r="H2219" t="s">
        <v>7145</v>
      </c>
      <c r="I2219">
        <v>2481</v>
      </c>
      <c r="J2219" t="str">
        <f>VLOOKUP(E2219,DSSpieler!A:B,2,FALSE)</f>
        <v>Y@r0n</v>
      </c>
    </row>
    <row r="2220" spans="1:10" x14ac:dyDescent="0.25">
      <c r="A2220">
        <v>2484</v>
      </c>
      <c r="B2220" t="s">
        <v>975</v>
      </c>
      <c r="C2220">
        <v>522</v>
      </c>
      <c r="D2220">
        <v>608</v>
      </c>
      <c r="E2220">
        <v>1576959146</v>
      </c>
      <c r="F2220">
        <v>1297</v>
      </c>
      <c r="G2220">
        <v>0</v>
      </c>
      <c r="H2220" t="s">
        <v>7146</v>
      </c>
      <c r="I2220">
        <v>2484</v>
      </c>
      <c r="J2220" t="str">
        <f>VLOOKUP(E2220,DSSpieler!A:B,2,FALSE)</f>
        <v>justlol</v>
      </c>
    </row>
    <row r="2221" spans="1:10" x14ac:dyDescent="0.25">
      <c r="A2221">
        <v>2485</v>
      </c>
      <c r="B2221" t="s">
        <v>31499</v>
      </c>
      <c r="C2221">
        <v>458</v>
      </c>
      <c r="D2221">
        <v>537</v>
      </c>
      <c r="E2221">
        <v>1576822927</v>
      </c>
      <c r="F2221">
        <v>4361</v>
      </c>
      <c r="G2221">
        <v>0</v>
      </c>
      <c r="H2221" t="s">
        <v>7147</v>
      </c>
      <c r="I2221">
        <v>2485</v>
      </c>
      <c r="J2221" t="str">
        <f>VLOOKUP(E2221,DSSpieler!A:B,2,FALSE)</f>
        <v>PokeTrainer</v>
      </c>
    </row>
    <row r="2222" spans="1:10" x14ac:dyDescent="0.25">
      <c r="A2222">
        <v>2486</v>
      </c>
      <c r="B2222" t="s">
        <v>531</v>
      </c>
      <c r="C2222">
        <v>531</v>
      </c>
      <c r="D2222">
        <v>553</v>
      </c>
      <c r="E2222">
        <v>0</v>
      </c>
      <c r="F2222">
        <v>297</v>
      </c>
      <c r="G2222">
        <v>0</v>
      </c>
      <c r="H2222" t="s">
        <v>7148</v>
      </c>
      <c r="I2222">
        <v>2486</v>
      </c>
      <c r="J2222" t="e">
        <f>VLOOKUP(E2222,DSSpieler!A:B,2,FALSE)</f>
        <v>#N/A</v>
      </c>
    </row>
    <row r="2223" spans="1:10" x14ac:dyDescent="0.25">
      <c r="A2223">
        <v>2487</v>
      </c>
      <c r="B2223" t="e">
        <f>-1-+SoOn+Assassin</f>
        <v>#NAME?</v>
      </c>
      <c r="C2223">
        <v>590</v>
      </c>
      <c r="D2223">
        <v>521</v>
      </c>
      <c r="E2223">
        <v>9518176</v>
      </c>
      <c r="F2223">
        <v>6579</v>
      </c>
      <c r="G2223">
        <v>0</v>
      </c>
      <c r="H2223" t="s">
        <v>7149</v>
      </c>
      <c r="I2223">
        <v>2487</v>
      </c>
      <c r="J2223" t="str">
        <f>VLOOKUP(E2223,DSSpieler!A:B,2,FALSE)</f>
        <v>Frowl</v>
      </c>
    </row>
    <row r="2224" spans="1:10" x14ac:dyDescent="0.25">
      <c r="A2224">
        <v>2488</v>
      </c>
      <c r="B2224" t="s">
        <v>31500</v>
      </c>
      <c r="C2224">
        <v>449</v>
      </c>
      <c r="D2224">
        <v>559</v>
      </c>
      <c r="E2224">
        <v>9327351</v>
      </c>
      <c r="F2224">
        <v>5682</v>
      </c>
      <c r="G2224">
        <v>0</v>
      </c>
      <c r="H2224" t="s">
        <v>7150</v>
      </c>
      <c r="I2224">
        <v>2488</v>
      </c>
      <c r="J2224" t="str">
        <f>VLOOKUP(E2224,DSSpieler!A:B,2,FALSE)</f>
        <v>Lordlebkuchen</v>
      </c>
    </row>
    <row r="2225" spans="1:10" x14ac:dyDescent="0.25">
      <c r="A2225">
        <v>2489</v>
      </c>
      <c r="B2225" t="s">
        <v>531</v>
      </c>
      <c r="C2225">
        <v>467</v>
      </c>
      <c r="D2225">
        <v>599</v>
      </c>
      <c r="E2225">
        <v>0</v>
      </c>
      <c r="F2225">
        <v>655</v>
      </c>
      <c r="G2225">
        <v>0</v>
      </c>
      <c r="H2225" t="s">
        <v>7151</v>
      </c>
      <c r="I2225">
        <v>2489</v>
      </c>
      <c r="J2225" t="e">
        <f>VLOOKUP(E2225,DSSpieler!A:B,2,FALSE)</f>
        <v>#N/A</v>
      </c>
    </row>
    <row r="2226" spans="1:10" x14ac:dyDescent="0.25">
      <c r="A2226">
        <v>2491</v>
      </c>
      <c r="B2226" t="s">
        <v>31501</v>
      </c>
      <c r="C2226">
        <v>416</v>
      </c>
      <c r="D2226">
        <v>465</v>
      </c>
      <c r="E2226">
        <v>1576220948</v>
      </c>
      <c r="F2226">
        <v>4843</v>
      </c>
      <c r="G2226">
        <v>0</v>
      </c>
      <c r="H2226" t="s">
        <v>7152</v>
      </c>
      <c r="I2226">
        <v>2491</v>
      </c>
      <c r="J2226" t="str">
        <f>VLOOKUP(E2226,DSSpieler!A:B,2,FALSE)</f>
        <v>BoostedBonobos</v>
      </c>
    </row>
    <row r="2227" spans="1:10" x14ac:dyDescent="0.25">
      <c r="A2227">
        <v>2492</v>
      </c>
      <c r="B2227" t="s">
        <v>976</v>
      </c>
      <c r="C2227">
        <v>459</v>
      </c>
      <c r="D2227">
        <v>497</v>
      </c>
      <c r="E2227">
        <v>9674526</v>
      </c>
      <c r="F2227">
        <v>4460</v>
      </c>
      <c r="G2227">
        <v>0</v>
      </c>
      <c r="H2227" t="s">
        <v>7153</v>
      </c>
      <c r="I2227">
        <v>2492</v>
      </c>
      <c r="J2227" t="str">
        <f>VLOOKUP(E2227,DSSpieler!A:B,2,FALSE)</f>
        <v>MyNameIst</v>
      </c>
    </row>
    <row r="2228" spans="1:10" x14ac:dyDescent="0.25">
      <c r="A2228">
        <v>2493</v>
      </c>
      <c r="B2228" t="s">
        <v>31502</v>
      </c>
      <c r="C2228">
        <v>440</v>
      </c>
      <c r="D2228">
        <v>497</v>
      </c>
      <c r="E2228">
        <v>1577155224</v>
      </c>
      <c r="F2228">
        <v>4555</v>
      </c>
      <c r="G2228">
        <v>0</v>
      </c>
      <c r="H2228" t="s">
        <v>7154</v>
      </c>
      <c r="I2228">
        <v>2493</v>
      </c>
      <c r="J2228" t="str">
        <f>VLOOKUP(E2228,DSSpieler!A:B,2,FALSE)</f>
        <v>Michinhio</v>
      </c>
    </row>
    <row r="2229" spans="1:10" x14ac:dyDescent="0.25">
      <c r="A2229">
        <v>2494</v>
      </c>
      <c r="B2229" t="s">
        <v>531</v>
      </c>
      <c r="C2229">
        <v>512</v>
      </c>
      <c r="D2229">
        <v>509</v>
      </c>
      <c r="E2229">
        <v>0</v>
      </c>
      <c r="F2229">
        <v>359</v>
      </c>
      <c r="G2229">
        <v>0</v>
      </c>
      <c r="H2229" t="s">
        <v>7155</v>
      </c>
      <c r="I2229">
        <v>2494</v>
      </c>
      <c r="J2229" t="e">
        <f>VLOOKUP(E2229,DSSpieler!A:B,2,FALSE)</f>
        <v>#N/A</v>
      </c>
    </row>
    <row r="2230" spans="1:10" x14ac:dyDescent="0.25">
      <c r="A2230">
        <v>2495</v>
      </c>
      <c r="B2230" t="s">
        <v>531</v>
      </c>
      <c r="C2230">
        <v>520</v>
      </c>
      <c r="D2230">
        <v>555</v>
      </c>
      <c r="E2230">
        <v>0</v>
      </c>
      <c r="F2230">
        <v>327</v>
      </c>
      <c r="G2230">
        <v>0</v>
      </c>
      <c r="H2230" t="s">
        <v>7156</v>
      </c>
      <c r="I2230">
        <v>2495</v>
      </c>
      <c r="J2230" t="e">
        <f>VLOOKUP(E2230,DSSpieler!A:B,2,FALSE)</f>
        <v>#N/A</v>
      </c>
    </row>
    <row r="2231" spans="1:10" x14ac:dyDescent="0.25">
      <c r="A2231">
        <v>2496</v>
      </c>
      <c r="B2231" t="s">
        <v>31503</v>
      </c>
      <c r="C2231">
        <v>402</v>
      </c>
      <c r="D2231">
        <v>472</v>
      </c>
      <c r="E2231">
        <v>2788871</v>
      </c>
      <c r="F2231">
        <v>6312</v>
      </c>
      <c r="G2231">
        <v>0</v>
      </c>
      <c r="H2231" t="s">
        <v>7157</v>
      </c>
      <c r="I2231">
        <v>2496</v>
      </c>
      <c r="J2231" t="str">
        <f>VLOOKUP(E2231,DSSpieler!A:B,2,FALSE)</f>
        <v>Kame22</v>
      </c>
    </row>
    <row r="2232" spans="1:10" x14ac:dyDescent="0.25">
      <c r="A2232">
        <v>2497</v>
      </c>
      <c r="B2232" t="s">
        <v>31504</v>
      </c>
      <c r="C2232">
        <v>474</v>
      </c>
      <c r="D2232">
        <v>493</v>
      </c>
      <c r="E2232">
        <v>845508</v>
      </c>
      <c r="F2232">
        <v>600</v>
      </c>
      <c r="G2232">
        <v>0</v>
      </c>
      <c r="H2232" t="s">
        <v>7158</v>
      </c>
      <c r="I2232">
        <v>2497</v>
      </c>
      <c r="J2232" t="str">
        <f>VLOOKUP(E2232,DSSpieler!A:B,2,FALSE)</f>
        <v>Lovag</v>
      </c>
    </row>
    <row r="2233" spans="1:10" x14ac:dyDescent="0.25">
      <c r="A2233">
        <v>2498</v>
      </c>
      <c r="B2233" t="s">
        <v>977</v>
      </c>
      <c r="C2233">
        <v>494</v>
      </c>
      <c r="D2233">
        <v>448</v>
      </c>
      <c r="E2233">
        <v>1576778462</v>
      </c>
      <c r="F2233">
        <v>8230</v>
      </c>
      <c r="G2233">
        <v>0</v>
      </c>
      <c r="H2233" t="s">
        <v>7159</v>
      </c>
      <c r="I2233">
        <v>2498</v>
      </c>
      <c r="J2233" t="str">
        <f>VLOOKUP(E2233,DSSpieler!A:B,2,FALSE)</f>
        <v>PinkPumpkin</v>
      </c>
    </row>
    <row r="2234" spans="1:10" x14ac:dyDescent="0.25">
      <c r="A2234">
        <v>2499</v>
      </c>
      <c r="B2234" t="s">
        <v>978</v>
      </c>
      <c r="C2234">
        <v>553</v>
      </c>
      <c r="D2234">
        <v>494</v>
      </c>
      <c r="E2234">
        <v>1731030</v>
      </c>
      <c r="F2234">
        <v>6078</v>
      </c>
      <c r="G2234">
        <v>0</v>
      </c>
      <c r="H2234" t="s">
        <v>7160</v>
      </c>
      <c r="I2234">
        <v>2499</v>
      </c>
      <c r="J2234" t="str">
        <f>VLOOKUP(E2234,DSSpieler!A:B,2,FALSE)</f>
        <v>Keltigun</v>
      </c>
    </row>
    <row r="2235" spans="1:10" x14ac:dyDescent="0.25">
      <c r="A2235">
        <v>2500</v>
      </c>
      <c r="B2235" t="s">
        <v>979</v>
      </c>
      <c r="C2235">
        <v>499</v>
      </c>
      <c r="D2235">
        <v>600</v>
      </c>
      <c r="E2235">
        <v>8051928</v>
      </c>
      <c r="F2235">
        <v>6737</v>
      </c>
      <c r="G2235">
        <v>0</v>
      </c>
      <c r="H2235" t="s">
        <v>7161</v>
      </c>
      <c r="I2235">
        <v>2500</v>
      </c>
      <c r="J2235" t="str">
        <f>VLOOKUP(E2235,DSSpieler!A:B,2,FALSE)</f>
        <v>Schattenlegionaer</v>
      </c>
    </row>
    <row r="2236" spans="1:10" x14ac:dyDescent="0.25">
      <c r="A2236">
        <v>2501</v>
      </c>
      <c r="B2236" t="s">
        <v>700</v>
      </c>
      <c r="C2236">
        <v>496</v>
      </c>
      <c r="D2236">
        <v>453</v>
      </c>
      <c r="E2236">
        <v>2046772</v>
      </c>
      <c r="F2236">
        <v>2404</v>
      </c>
      <c r="G2236">
        <v>0</v>
      </c>
      <c r="H2236" t="s">
        <v>7162</v>
      </c>
      <c r="I2236">
        <v>2501</v>
      </c>
      <c r="J2236" t="str">
        <f>VLOOKUP(E2236,DSSpieler!A:B,2,FALSE)</f>
        <v>kartoffelmaster</v>
      </c>
    </row>
    <row r="2237" spans="1:10" x14ac:dyDescent="0.25">
      <c r="A2237">
        <v>2502</v>
      </c>
      <c r="B2237" t="s">
        <v>980</v>
      </c>
      <c r="C2237">
        <v>450</v>
      </c>
      <c r="D2237">
        <v>425</v>
      </c>
      <c r="E2237">
        <v>1577180710</v>
      </c>
      <c r="F2237">
        <v>3317</v>
      </c>
      <c r="G2237">
        <v>0</v>
      </c>
      <c r="H2237" t="s">
        <v>7163</v>
      </c>
      <c r="I2237">
        <v>2502</v>
      </c>
      <c r="J2237" t="str">
        <f>VLOOKUP(E2237,DSSpieler!A:B,2,FALSE)</f>
        <v>MelanieMüller</v>
      </c>
    </row>
    <row r="2238" spans="1:10" x14ac:dyDescent="0.25">
      <c r="A2238">
        <v>2503</v>
      </c>
      <c r="B2238" t="s">
        <v>531</v>
      </c>
      <c r="C2238">
        <v>557</v>
      </c>
      <c r="D2238">
        <v>472</v>
      </c>
      <c r="E2238">
        <v>0</v>
      </c>
      <c r="F2238">
        <v>371</v>
      </c>
      <c r="G2238">
        <v>0</v>
      </c>
      <c r="H2238" t="s">
        <v>7164</v>
      </c>
      <c r="I2238">
        <v>2503</v>
      </c>
      <c r="J2238" t="e">
        <f>VLOOKUP(E2238,DSSpieler!A:B,2,FALSE)</f>
        <v>#N/A</v>
      </c>
    </row>
    <row r="2239" spans="1:10" x14ac:dyDescent="0.25">
      <c r="A2239">
        <v>2504</v>
      </c>
      <c r="B2239" t="s">
        <v>710</v>
      </c>
      <c r="C2239">
        <v>590</v>
      </c>
      <c r="D2239">
        <v>444</v>
      </c>
      <c r="E2239">
        <v>1576947159</v>
      </c>
      <c r="F2239">
        <v>4313</v>
      </c>
      <c r="G2239">
        <v>0</v>
      </c>
      <c r="H2239" t="s">
        <v>7165</v>
      </c>
      <c r="I2239">
        <v>2504</v>
      </c>
      <c r="J2239" t="str">
        <f>VLOOKUP(E2239,DSSpieler!A:B,2,FALSE)</f>
        <v>TodescooI</v>
      </c>
    </row>
    <row r="2240" spans="1:10" x14ac:dyDescent="0.25">
      <c r="A2240">
        <v>2506</v>
      </c>
      <c r="B2240" t="s">
        <v>31505</v>
      </c>
      <c r="C2240">
        <v>465</v>
      </c>
      <c r="D2240">
        <v>506</v>
      </c>
      <c r="E2240">
        <v>9227861</v>
      </c>
      <c r="F2240">
        <v>4892</v>
      </c>
      <c r="G2240">
        <v>0</v>
      </c>
      <c r="H2240" t="s">
        <v>7166</v>
      </c>
      <c r="I2240">
        <v>2506</v>
      </c>
      <c r="J2240" t="str">
        <f>VLOOKUP(E2240,DSSpieler!A:B,2,FALSE)</f>
        <v>terrorist8</v>
      </c>
    </row>
    <row r="2241" spans="1:10" x14ac:dyDescent="0.25">
      <c r="A2241">
        <v>2507</v>
      </c>
      <c r="B2241" t="s">
        <v>31506</v>
      </c>
      <c r="C2241">
        <v>480</v>
      </c>
      <c r="D2241">
        <v>408</v>
      </c>
      <c r="E2241">
        <v>10157742</v>
      </c>
      <c r="F2241">
        <v>5583</v>
      </c>
      <c r="G2241">
        <v>0</v>
      </c>
      <c r="H2241" t="s">
        <v>7167</v>
      </c>
      <c r="I2241">
        <v>2507</v>
      </c>
      <c r="J2241" t="str">
        <f>VLOOKUP(E2241,DSSpieler!A:B,2,FALSE)</f>
        <v>46erWaden</v>
      </c>
    </row>
    <row r="2242" spans="1:10" x14ac:dyDescent="0.25">
      <c r="A2242">
        <v>2508</v>
      </c>
      <c r="B2242" t="s">
        <v>31507</v>
      </c>
      <c r="C2242">
        <v>590</v>
      </c>
      <c r="D2242">
        <v>515</v>
      </c>
      <c r="E2242">
        <v>1576969873</v>
      </c>
      <c r="F2242">
        <v>5606</v>
      </c>
      <c r="G2242">
        <v>0</v>
      </c>
      <c r="H2242" t="s">
        <v>7168</v>
      </c>
      <c r="I2242">
        <v>2508</v>
      </c>
      <c r="J2242" t="str">
        <f>VLOOKUP(E2242,DSSpieler!A:B,2,FALSE)</f>
        <v>Spachris</v>
      </c>
    </row>
    <row r="2243" spans="1:10" x14ac:dyDescent="0.25">
      <c r="A2243">
        <v>2510</v>
      </c>
      <c r="B2243" t="s">
        <v>981</v>
      </c>
      <c r="C2243">
        <v>458</v>
      </c>
      <c r="D2243">
        <v>489</v>
      </c>
      <c r="E2243">
        <v>1577173411</v>
      </c>
      <c r="F2243">
        <v>4835</v>
      </c>
      <c r="G2243">
        <v>0</v>
      </c>
      <c r="H2243" t="s">
        <v>7169</v>
      </c>
      <c r="I2243">
        <v>2510</v>
      </c>
      <c r="J2243" t="str">
        <f>VLOOKUP(E2243,DSSpieler!A:B,2,FALSE)</f>
        <v>Chrizz10</v>
      </c>
    </row>
    <row r="2244" spans="1:10" x14ac:dyDescent="0.25">
      <c r="A2244">
        <v>2511</v>
      </c>
      <c r="B2244" t="s">
        <v>31508</v>
      </c>
      <c r="C2244">
        <v>506</v>
      </c>
      <c r="D2244">
        <v>575</v>
      </c>
      <c r="E2244">
        <v>1576605487</v>
      </c>
      <c r="F2244">
        <v>6531</v>
      </c>
      <c r="G2244">
        <v>0</v>
      </c>
      <c r="H2244" t="s">
        <v>7170</v>
      </c>
      <c r="I2244">
        <v>2511</v>
      </c>
      <c r="J2244" t="str">
        <f>VLOOKUP(E2244,DSSpieler!A:B,2,FALSE)</f>
        <v>blauespikachu</v>
      </c>
    </row>
    <row r="2245" spans="1:10" x14ac:dyDescent="0.25">
      <c r="A2245">
        <v>2512</v>
      </c>
      <c r="B2245" t="s">
        <v>531</v>
      </c>
      <c r="C2245">
        <v>551</v>
      </c>
      <c r="D2245">
        <v>549</v>
      </c>
      <c r="E2245">
        <v>0</v>
      </c>
      <c r="F2245">
        <v>334</v>
      </c>
      <c r="G2245">
        <v>0</v>
      </c>
      <c r="H2245" t="s">
        <v>7171</v>
      </c>
      <c r="I2245">
        <v>2512</v>
      </c>
      <c r="J2245" t="e">
        <f>VLOOKUP(E2245,DSSpieler!A:B,2,FALSE)</f>
        <v>#N/A</v>
      </c>
    </row>
    <row r="2246" spans="1:10" x14ac:dyDescent="0.25">
      <c r="A2246">
        <v>2513</v>
      </c>
      <c r="B2246" t="s">
        <v>31509</v>
      </c>
      <c r="C2246">
        <v>581</v>
      </c>
      <c r="D2246">
        <v>552</v>
      </c>
      <c r="E2246">
        <v>532123</v>
      </c>
      <c r="F2246">
        <v>6168</v>
      </c>
      <c r="G2246">
        <v>0</v>
      </c>
      <c r="H2246" t="s">
        <v>7172</v>
      </c>
      <c r="I2246">
        <v>2513</v>
      </c>
      <c r="J2246" t="str">
        <f>VLOOKUP(E2246,DSSpieler!A:B,2,FALSE)</f>
        <v>doenges-team</v>
      </c>
    </row>
    <row r="2247" spans="1:10" x14ac:dyDescent="0.25">
      <c r="A2247">
        <v>2514</v>
      </c>
      <c r="B2247" t="s">
        <v>31510</v>
      </c>
      <c r="C2247">
        <v>415</v>
      </c>
      <c r="D2247">
        <v>531</v>
      </c>
      <c r="E2247">
        <v>8635827</v>
      </c>
      <c r="F2247">
        <v>5343</v>
      </c>
      <c r="G2247">
        <v>0</v>
      </c>
      <c r="H2247" t="s">
        <v>7173</v>
      </c>
      <c r="I2247">
        <v>2514</v>
      </c>
      <c r="J2247" t="str">
        <f>VLOOKUP(E2247,DSSpieler!A:B,2,FALSE)</f>
        <v>thomaner15</v>
      </c>
    </row>
    <row r="2248" spans="1:10" x14ac:dyDescent="0.25">
      <c r="A2248">
        <v>2515</v>
      </c>
      <c r="B2248" t="s">
        <v>982</v>
      </c>
      <c r="C2248">
        <v>446</v>
      </c>
      <c r="D2248">
        <v>533</v>
      </c>
      <c r="E2248">
        <v>9551701</v>
      </c>
      <c r="F2248">
        <v>4939</v>
      </c>
      <c r="G2248">
        <v>0</v>
      </c>
      <c r="H2248" t="s">
        <v>7174</v>
      </c>
      <c r="I2248">
        <v>2515</v>
      </c>
      <c r="J2248" t="str">
        <f>VLOOKUP(E2248,DSSpieler!A:B,2,FALSE)</f>
        <v>OJO der Große</v>
      </c>
    </row>
    <row r="2249" spans="1:10" x14ac:dyDescent="0.25">
      <c r="A2249">
        <v>2516</v>
      </c>
      <c r="B2249" t="s">
        <v>31511</v>
      </c>
      <c r="C2249">
        <v>516</v>
      </c>
      <c r="D2249">
        <v>434</v>
      </c>
      <c r="E2249">
        <v>1577177125</v>
      </c>
      <c r="F2249">
        <v>6946</v>
      </c>
      <c r="G2249">
        <v>0</v>
      </c>
      <c r="H2249" t="s">
        <v>7175</v>
      </c>
      <c r="I2249">
        <v>2516</v>
      </c>
      <c r="J2249" t="str">
        <f>VLOOKUP(E2249,DSSpieler!A:B,2,FALSE)</f>
        <v>DeffBot</v>
      </c>
    </row>
    <row r="2250" spans="1:10" x14ac:dyDescent="0.25">
      <c r="A2250">
        <v>2517</v>
      </c>
      <c r="B2250" t="s">
        <v>31512</v>
      </c>
      <c r="C2250">
        <v>418</v>
      </c>
      <c r="D2250">
        <v>567</v>
      </c>
      <c r="E2250">
        <v>1577163311</v>
      </c>
      <c r="F2250">
        <v>8168</v>
      </c>
      <c r="G2250">
        <v>0</v>
      </c>
      <c r="H2250" t="s">
        <v>7176</v>
      </c>
      <c r="I2250">
        <v>2517</v>
      </c>
      <c r="J2250" t="str">
        <f>VLOOKUP(E2250,DSSpieler!A:B,2,FALSE)</f>
        <v>Timo99</v>
      </c>
    </row>
    <row r="2251" spans="1:10" x14ac:dyDescent="0.25">
      <c r="A2251">
        <v>2518</v>
      </c>
      <c r="B2251" t="s">
        <v>983</v>
      </c>
      <c r="C2251">
        <v>428</v>
      </c>
      <c r="D2251">
        <v>481</v>
      </c>
      <c r="E2251">
        <v>9432353</v>
      </c>
      <c r="F2251">
        <v>6334</v>
      </c>
      <c r="G2251">
        <v>0</v>
      </c>
      <c r="H2251" t="s">
        <v>7177</v>
      </c>
      <c r="I2251">
        <v>2518</v>
      </c>
      <c r="J2251" t="str">
        <f>VLOOKUP(E2251,DSSpieler!A:B,2,FALSE)</f>
        <v>nOiiSe</v>
      </c>
    </row>
    <row r="2252" spans="1:10" x14ac:dyDescent="0.25">
      <c r="A2252">
        <v>2519</v>
      </c>
      <c r="B2252" t="s">
        <v>31513</v>
      </c>
      <c r="C2252">
        <v>566</v>
      </c>
      <c r="D2252">
        <v>576</v>
      </c>
      <c r="E2252">
        <v>1577188803</v>
      </c>
      <c r="F2252">
        <v>5289</v>
      </c>
      <c r="G2252">
        <v>0</v>
      </c>
      <c r="H2252" t="s">
        <v>7178</v>
      </c>
      <c r="I2252">
        <v>2519</v>
      </c>
      <c r="J2252" t="str">
        <f>VLOOKUP(E2252,DSSpieler!A:B,2,FALSE)</f>
        <v>GrrGr</v>
      </c>
    </row>
    <row r="2253" spans="1:10" x14ac:dyDescent="0.25">
      <c r="A2253">
        <v>2520</v>
      </c>
      <c r="B2253" t="s">
        <v>31514</v>
      </c>
      <c r="C2253">
        <v>425</v>
      </c>
      <c r="D2253">
        <v>530</v>
      </c>
      <c r="E2253">
        <v>1577197772</v>
      </c>
      <c r="F2253">
        <v>7086</v>
      </c>
      <c r="G2253">
        <v>0</v>
      </c>
      <c r="H2253" t="s">
        <v>7179</v>
      </c>
      <c r="I2253">
        <v>2520</v>
      </c>
      <c r="J2253" t="str">
        <f>VLOOKUP(E2253,DSSpieler!A:B,2,FALSE)</f>
        <v>*HolladieWaldfee*</v>
      </c>
    </row>
    <row r="2254" spans="1:10" x14ac:dyDescent="0.25">
      <c r="A2254">
        <v>2521</v>
      </c>
      <c r="B2254" t="s">
        <v>31515</v>
      </c>
      <c r="C2254">
        <v>598</v>
      </c>
      <c r="D2254">
        <v>520</v>
      </c>
      <c r="E2254">
        <v>1576996845</v>
      </c>
      <c r="F2254">
        <v>6132</v>
      </c>
      <c r="G2254">
        <v>0</v>
      </c>
      <c r="H2254" t="s">
        <v>7180</v>
      </c>
      <c r="I2254">
        <v>2521</v>
      </c>
      <c r="J2254" t="str">
        <f>VLOOKUP(E2254,DSSpieler!A:B,2,FALSE)</f>
        <v>Feel0Good0Inc</v>
      </c>
    </row>
    <row r="2255" spans="1:10" x14ac:dyDescent="0.25">
      <c r="A2255">
        <v>2522</v>
      </c>
      <c r="B2255">
        <v>1</v>
      </c>
      <c r="C2255">
        <v>558</v>
      </c>
      <c r="D2255">
        <v>477</v>
      </c>
      <c r="E2255">
        <v>9101768</v>
      </c>
      <c r="F2255">
        <v>7923</v>
      </c>
      <c r="G2255">
        <v>0</v>
      </c>
      <c r="H2255" t="s">
        <v>7181</v>
      </c>
      <c r="I2255">
        <v>2522</v>
      </c>
      <c r="J2255" t="str">
        <f>VLOOKUP(E2255,DSSpieler!A:B,2,FALSE)</f>
        <v>vanhelsink1</v>
      </c>
    </row>
    <row r="2256" spans="1:10" x14ac:dyDescent="0.25">
      <c r="A2256">
        <v>2523</v>
      </c>
      <c r="B2256" t="s">
        <v>546</v>
      </c>
      <c r="C2256">
        <v>516</v>
      </c>
      <c r="D2256">
        <v>435</v>
      </c>
      <c r="E2256">
        <v>8652752</v>
      </c>
      <c r="F2256">
        <v>6160</v>
      </c>
      <c r="G2256">
        <v>0</v>
      </c>
      <c r="H2256" t="s">
        <v>7182</v>
      </c>
      <c r="I2256">
        <v>2523</v>
      </c>
      <c r="J2256" t="str">
        <f>VLOOKUP(E2256,DSSpieler!A:B,2,FALSE)</f>
        <v>JoeHotze</v>
      </c>
    </row>
    <row r="2257" spans="1:10" x14ac:dyDescent="0.25">
      <c r="A2257">
        <v>2524</v>
      </c>
      <c r="B2257" t="s">
        <v>31516</v>
      </c>
      <c r="C2257">
        <v>533</v>
      </c>
      <c r="D2257">
        <v>476</v>
      </c>
      <c r="E2257">
        <v>8212814</v>
      </c>
      <c r="F2257">
        <v>4635</v>
      </c>
      <c r="G2257">
        <v>0</v>
      </c>
      <c r="H2257" t="s">
        <v>7183</v>
      </c>
      <c r="I2257">
        <v>2524</v>
      </c>
      <c r="J2257" t="str">
        <f>VLOOKUP(E2257,DSSpieler!A:B,2,FALSE)</f>
        <v>mc43</v>
      </c>
    </row>
    <row r="2258" spans="1:10" x14ac:dyDescent="0.25">
      <c r="A2258">
        <v>2525</v>
      </c>
      <c r="B2258" t="s">
        <v>531</v>
      </c>
      <c r="C2258">
        <v>529</v>
      </c>
      <c r="D2258">
        <v>567</v>
      </c>
      <c r="E2258">
        <v>0</v>
      </c>
      <c r="F2258">
        <v>532</v>
      </c>
      <c r="G2258">
        <v>0</v>
      </c>
      <c r="H2258" t="s">
        <v>7184</v>
      </c>
      <c r="I2258">
        <v>2525</v>
      </c>
      <c r="J2258" t="e">
        <f>VLOOKUP(E2258,DSSpieler!A:B,2,FALSE)</f>
        <v>#N/A</v>
      </c>
    </row>
    <row r="2259" spans="1:10" x14ac:dyDescent="0.25">
      <c r="A2259">
        <v>2526</v>
      </c>
      <c r="B2259" t="s">
        <v>531</v>
      </c>
      <c r="C2259">
        <v>526</v>
      </c>
      <c r="D2259">
        <v>573</v>
      </c>
      <c r="E2259">
        <v>0</v>
      </c>
      <c r="F2259">
        <v>217</v>
      </c>
      <c r="G2259">
        <v>0</v>
      </c>
      <c r="H2259" t="s">
        <v>7185</v>
      </c>
      <c r="I2259">
        <v>2526</v>
      </c>
      <c r="J2259" t="e">
        <f>VLOOKUP(E2259,DSSpieler!A:B,2,FALSE)</f>
        <v>#N/A</v>
      </c>
    </row>
    <row r="2260" spans="1:10" x14ac:dyDescent="0.25">
      <c r="A2260">
        <v>2527</v>
      </c>
      <c r="B2260">
        <v>2</v>
      </c>
      <c r="C2260">
        <v>484</v>
      </c>
      <c r="D2260">
        <v>545</v>
      </c>
      <c r="E2260">
        <v>1577154689</v>
      </c>
      <c r="F2260">
        <v>6862</v>
      </c>
      <c r="G2260">
        <v>0</v>
      </c>
      <c r="H2260" t="s">
        <v>7186</v>
      </c>
      <c r="I2260">
        <v>2527</v>
      </c>
      <c r="J2260" t="str">
        <f>VLOOKUP(E2260,DSSpieler!A:B,2,FALSE)</f>
        <v>butzi 1</v>
      </c>
    </row>
    <row r="2261" spans="1:10" x14ac:dyDescent="0.25">
      <c r="A2261">
        <v>2528</v>
      </c>
      <c r="B2261" t="s">
        <v>531</v>
      </c>
      <c r="C2261">
        <v>583</v>
      </c>
      <c r="D2261">
        <v>569</v>
      </c>
      <c r="E2261">
        <v>0</v>
      </c>
      <c r="F2261">
        <v>1315</v>
      </c>
      <c r="G2261">
        <v>0</v>
      </c>
      <c r="H2261" t="s">
        <v>7187</v>
      </c>
      <c r="I2261">
        <v>2528</v>
      </c>
      <c r="J2261" t="e">
        <f>VLOOKUP(E2261,DSSpieler!A:B,2,FALSE)</f>
        <v>#N/A</v>
      </c>
    </row>
    <row r="2262" spans="1:10" x14ac:dyDescent="0.25">
      <c r="A2262">
        <v>2530</v>
      </c>
      <c r="B2262" s="111">
        <v>230.01</v>
      </c>
      <c r="C2262">
        <v>441</v>
      </c>
      <c r="D2262">
        <v>481</v>
      </c>
      <c r="E2262">
        <v>1577165876</v>
      </c>
      <c r="F2262">
        <v>6538</v>
      </c>
      <c r="G2262">
        <v>0</v>
      </c>
      <c r="H2262" t="s">
        <v>7188</v>
      </c>
      <c r="I2262">
        <v>2530</v>
      </c>
      <c r="J2262" t="str">
        <f>VLOOKUP(E2262,DSSpieler!A:B,2,FALSE)</f>
        <v>Lord Jon Snow</v>
      </c>
    </row>
    <row r="2263" spans="1:10" x14ac:dyDescent="0.25">
      <c r="A2263">
        <v>2531</v>
      </c>
      <c r="B2263" t="s">
        <v>31517</v>
      </c>
      <c r="C2263">
        <v>475</v>
      </c>
      <c r="D2263">
        <v>512</v>
      </c>
      <c r="E2263">
        <v>1576046022</v>
      </c>
      <c r="F2263">
        <v>6043</v>
      </c>
      <c r="G2263">
        <v>0</v>
      </c>
      <c r="H2263" t="s">
        <v>7189</v>
      </c>
      <c r="I2263">
        <v>2531</v>
      </c>
      <c r="J2263" t="str">
        <f>VLOOKUP(E2263,DSSpieler!A:B,2,FALSE)</f>
        <v>schnitteNr.1</v>
      </c>
    </row>
    <row r="2264" spans="1:10" x14ac:dyDescent="0.25">
      <c r="A2264">
        <v>2532</v>
      </c>
      <c r="B2264">
        <v>1</v>
      </c>
      <c r="C2264">
        <v>519</v>
      </c>
      <c r="D2264">
        <v>561</v>
      </c>
      <c r="E2264">
        <v>10250955</v>
      </c>
      <c r="F2264">
        <v>8302</v>
      </c>
      <c r="G2264">
        <v>0</v>
      </c>
      <c r="H2264" t="s">
        <v>7190</v>
      </c>
      <c r="I2264">
        <v>2532</v>
      </c>
      <c r="J2264" t="str">
        <f>VLOOKUP(E2264,DSSpieler!A:B,2,FALSE)</f>
        <v>carbon487</v>
      </c>
    </row>
    <row r="2265" spans="1:10" x14ac:dyDescent="0.25">
      <c r="A2265">
        <v>2533</v>
      </c>
      <c r="B2265" t="s">
        <v>531</v>
      </c>
      <c r="C2265">
        <v>560</v>
      </c>
      <c r="D2265">
        <v>462</v>
      </c>
      <c r="E2265">
        <v>0</v>
      </c>
      <c r="F2265">
        <v>373</v>
      </c>
      <c r="G2265">
        <v>0</v>
      </c>
      <c r="H2265" t="s">
        <v>7191</v>
      </c>
      <c r="I2265">
        <v>2533</v>
      </c>
      <c r="J2265" t="e">
        <f>VLOOKUP(E2265,DSSpieler!A:B,2,FALSE)</f>
        <v>#N/A</v>
      </c>
    </row>
    <row r="2266" spans="1:10" x14ac:dyDescent="0.25">
      <c r="A2266">
        <v>2534</v>
      </c>
      <c r="B2266" t="s">
        <v>984</v>
      </c>
      <c r="C2266">
        <v>550</v>
      </c>
      <c r="D2266">
        <v>411</v>
      </c>
      <c r="E2266">
        <v>1577090084</v>
      </c>
      <c r="F2266">
        <v>6042</v>
      </c>
      <c r="G2266">
        <v>0</v>
      </c>
      <c r="H2266" t="s">
        <v>7192</v>
      </c>
      <c r="I2266">
        <v>2534</v>
      </c>
      <c r="J2266" t="str">
        <f>VLOOKUP(E2266,DSSpieler!A:B,2,FALSE)</f>
        <v>YungF</v>
      </c>
    </row>
    <row r="2267" spans="1:10" x14ac:dyDescent="0.25">
      <c r="A2267">
        <v>2535</v>
      </c>
      <c r="B2267" t="e">
        <f>-1-#NAME?</f>
        <v>#NAME?</v>
      </c>
      <c r="C2267">
        <v>457</v>
      </c>
      <c r="D2267">
        <v>519</v>
      </c>
      <c r="E2267">
        <v>1577160741</v>
      </c>
      <c r="F2267">
        <v>1060</v>
      </c>
      <c r="G2267">
        <v>0</v>
      </c>
      <c r="H2267" t="s">
        <v>7193</v>
      </c>
      <c r="I2267">
        <v>2535</v>
      </c>
      <c r="J2267" t="str">
        <f>VLOOKUP(E2267,DSSpieler!A:B,2,FALSE)</f>
        <v>Baron-Zimtstern</v>
      </c>
    </row>
    <row r="2268" spans="1:10" x14ac:dyDescent="0.25">
      <c r="A2268">
        <v>2536</v>
      </c>
      <c r="B2268" t="s">
        <v>31518</v>
      </c>
      <c r="C2268">
        <v>573</v>
      </c>
      <c r="D2268">
        <v>515</v>
      </c>
      <c r="E2268">
        <v>1577197931</v>
      </c>
      <c r="F2268">
        <v>1737</v>
      </c>
      <c r="G2268">
        <v>0</v>
      </c>
      <c r="H2268" t="s">
        <v>7194</v>
      </c>
      <c r="I2268">
        <v>2536</v>
      </c>
      <c r="J2268" t="str">
        <f>VLOOKUP(E2268,DSSpieler!A:B,2,FALSE)</f>
        <v>D3nGeR0uZ</v>
      </c>
    </row>
    <row r="2269" spans="1:10" x14ac:dyDescent="0.25">
      <c r="A2269">
        <v>2537</v>
      </c>
      <c r="B2269" t="s">
        <v>30820</v>
      </c>
      <c r="C2269">
        <v>581</v>
      </c>
      <c r="D2269">
        <v>545</v>
      </c>
      <c r="E2269">
        <v>1577178554</v>
      </c>
      <c r="F2269">
        <v>7094</v>
      </c>
      <c r="G2269">
        <v>0</v>
      </c>
      <c r="H2269" t="s">
        <v>7195</v>
      </c>
      <c r="I2269">
        <v>2537</v>
      </c>
      <c r="J2269" t="str">
        <f>VLOOKUP(E2269,DSSpieler!A:B,2,FALSE)</f>
        <v>Nicer Dude</v>
      </c>
    </row>
    <row r="2270" spans="1:10" x14ac:dyDescent="0.25">
      <c r="A2270">
        <v>2538</v>
      </c>
      <c r="B2270">
        <v>1</v>
      </c>
      <c r="C2270">
        <v>573</v>
      </c>
      <c r="D2270">
        <v>507</v>
      </c>
      <c r="E2270">
        <v>1577191960</v>
      </c>
      <c r="F2270">
        <v>4736</v>
      </c>
      <c r="G2270">
        <v>0</v>
      </c>
      <c r="H2270" t="s">
        <v>7196</v>
      </c>
      <c r="I2270">
        <v>2538</v>
      </c>
      <c r="J2270" t="str">
        <f>VLOOKUP(E2270,DSSpieler!A:B,2,FALSE)</f>
        <v>TTOGOTT</v>
      </c>
    </row>
    <row r="2271" spans="1:10" x14ac:dyDescent="0.25">
      <c r="A2271">
        <v>2539</v>
      </c>
      <c r="B2271" t="s">
        <v>531</v>
      </c>
      <c r="C2271">
        <v>483</v>
      </c>
      <c r="D2271">
        <v>539</v>
      </c>
      <c r="E2271">
        <v>0</v>
      </c>
      <c r="F2271">
        <v>242</v>
      </c>
      <c r="G2271">
        <v>0</v>
      </c>
      <c r="H2271" t="s">
        <v>7197</v>
      </c>
      <c r="I2271">
        <v>2539</v>
      </c>
      <c r="J2271" t="e">
        <f>VLOOKUP(E2271,DSSpieler!A:B,2,FALSE)</f>
        <v>#N/A</v>
      </c>
    </row>
    <row r="2272" spans="1:10" x14ac:dyDescent="0.25">
      <c r="A2272">
        <v>2540</v>
      </c>
      <c r="B2272" t="s">
        <v>531</v>
      </c>
      <c r="C2272">
        <v>445</v>
      </c>
      <c r="D2272">
        <v>451</v>
      </c>
      <c r="E2272">
        <v>0</v>
      </c>
      <c r="F2272">
        <v>356</v>
      </c>
      <c r="G2272">
        <v>0</v>
      </c>
      <c r="H2272" t="s">
        <v>7198</v>
      </c>
      <c r="I2272">
        <v>2540</v>
      </c>
      <c r="J2272" t="e">
        <f>VLOOKUP(E2272,DSSpieler!A:B,2,FALSE)</f>
        <v>#N/A</v>
      </c>
    </row>
    <row r="2273" spans="1:10" x14ac:dyDescent="0.25">
      <c r="A2273">
        <v>2541</v>
      </c>
      <c r="B2273" t="s">
        <v>31519</v>
      </c>
      <c r="C2273">
        <v>532</v>
      </c>
      <c r="D2273">
        <v>452</v>
      </c>
      <c r="E2273">
        <v>9693466</v>
      </c>
      <c r="F2273">
        <v>7901</v>
      </c>
      <c r="G2273">
        <v>0</v>
      </c>
      <c r="H2273" t="s">
        <v>7199</v>
      </c>
      <c r="I2273">
        <v>2541</v>
      </c>
      <c r="J2273" t="str">
        <f>VLOOKUP(E2273,DSSpieler!A:B,2,FALSE)</f>
        <v>LordNos</v>
      </c>
    </row>
    <row r="2274" spans="1:10" x14ac:dyDescent="0.25">
      <c r="A2274">
        <v>2542</v>
      </c>
      <c r="B2274" t="s">
        <v>31520</v>
      </c>
      <c r="C2274">
        <v>575</v>
      </c>
      <c r="D2274">
        <v>559</v>
      </c>
      <c r="E2274">
        <v>1577187838</v>
      </c>
      <c r="F2274">
        <v>5931</v>
      </c>
      <c r="G2274">
        <v>0</v>
      </c>
      <c r="H2274" t="s">
        <v>7200</v>
      </c>
      <c r="I2274">
        <v>2542</v>
      </c>
      <c r="J2274" t="str">
        <f>VLOOKUP(E2274,DSSpieler!A:B,2,FALSE)</f>
        <v>RitterRunkel</v>
      </c>
    </row>
    <row r="2275" spans="1:10" x14ac:dyDescent="0.25">
      <c r="A2275">
        <v>2543</v>
      </c>
      <c r="B2275" t="s">
        <v>31521</v>
      </c>
      <c r="C2275">
        <v>454</v>
      </c>
      <c r="D2275">
        <v>473</v>
      </c>
      <c r="E2275">
        <v>1494457</v>
      </c>
      <c r="F2275">
        <v>6307</v>
      </c>
      <c r="G2275">
        <v>0</v>
      </c>
      <c r="H2275" t="s">
        <v>7201</v>
      </c>
      <c r="I2275">
        <v>2543</v>
      </c>
      <c r="J2275" t="str">
        <f>VLOOKUP(E2275,DSSpieler!A:B,2,FALSE)</f>
        <v>Lord Blaubart</v>
      </c>
    </row>
    <row r="2276" spans="1:10" x14ac:dyDescent="0.25">
      <c r="A2276">
        <v>2545</v>
      </c>
      <c r="B2276">
        <v>3</v>
      </c>
      <c r="C2276">
        <v>473</v>
      </c>
      <c r="D2276">
        <v>484</v>
      </c>
      <c r="E2276">
        <v>1577066132</v>
      </c>
      <c r="F2276">
        <v>819</v>
      </c>
      <c r="G2276">
        <v>0</v>
      </c>
      <c r="H2276" t="s">
        <v>7202</v>
      </c>
      <c r="I2276">
        <v>2545</v>
      </c>
      <c r="J2276" t="str">
        <f>VLOOKUP(E2276,DSSpieler!A:B,2,FALSE)</f>
        <v>Mecco</v>
      </c>
    </row>
    <row r="2277" spans="1:10" x14ac:dyDescent="0.25">
      <c r="A2277">
        <v>2546</v>
      </c>
      <c r="B2277" t="s">
        <v>983</v>
      </c>
      <c r="C2277">
        <v>434</v>
      </c>
      <c r="D2277">
        <v>476</v>
      </c>
      <c r="E2277">
        <v>9432353</v>
      </c>
      <c r="F2277">
        <v>5049</v>
      </c>
      <c r="G2277">
        <v>0</v>
      </c>
      <c r="H2277" t="s">
        <v>7203</v>
      </c>
      <c r="I2277">
        <v>2546</v>
      </c>
      <c r="J2277" t="str">
        <f>VLOOKUP(E2277,DSSpieler!A:B,2,FALSE)</f>
        <v>nOiiSe</v>
      </c>
    </row>
    <row r="2278" spans="1:10" x14ac:dyDescent="0.25">
      <c r="A2278">
        <v>2547</v>
      </c>
      <c r="B2278" t="s">
        <v>31522</v>
      </c>
      <c r="C2278">
        <v>446</v>
      </c>
      <c r="D2278">
        <v>599</v>
      </c>
      <c r="E2278">
        <v>1577197250</v>
      </c>
      <c r="F2278">
        <v>4503</v>
      </c>
      <c r="G2278">
        <v>0</v>
      </c>
      <c r="H2278" t="s">
        <v>7204</v>
      </c>
      <c r="I2278">
        <v>2547</v>
      </c>
      <c r="J2278" t="str">
        <f>VLOOKUP(E2278,DSSpieler!A:B,2,FALSE)</f>
        <v>PurpleUnicum</v>
      </c>
    </row>
    <row r="2279" spans="1:10" x14ac:dyDescent="0.25">
      <c r="A2279">
        <v>2548</v>
      </c>
      <c r="B2279" t="s">
        <v>31523</v>
      </c>
      <c r="C2279">
        <v>419</v>
      </c>
      <c r="D2279">
        <v>469</v>
      </c>
      <c r="E2279">
        <v>1577197745</v>
      </c>
      <c r="F2279">
        <v>7199</v>
      </c>
      <c r="G2279">
        <v>0</v>
      </c>
      <c r="H2279" t="s">
        <v>7205</v>
      </c>
      <c r="I2279">
        <v>2548</v>
      </c>
      <c r="J2279" t="str">
        <f>VLOOKUP(E2279,DSSpieler!A:B,2,FALSE)</f>
        <v>KingCurrywurst</v>
      </c>
    </row>
    <row r="2280" spans="1:10" x14ac:dyDescent="0.25">
      <c r="A2280">
        <v>2549</v>
      </c>
      <c r="B2280" t="s">
        <v>31524</v>
      </c>
      <c r="C2280">
        <v>529</v>
      </c>
      <c r="D2280">
        <v>586</v>
      </c>
      <c r="E2280">
        <v>1577110897</v>
      </c>
      <c r="F2280">
        <v>5168</v>
      </c>
      <c r="G2280">
        <v>0</v>
      </c>
      <c r="H2280" t="s">
        <v>7206</v>
      </c>
      <c r="I2280">
        <v>2549</v>
      </c>
      <c r="J2280" t="str">
        <f>VLOOKUP(E2280,DSSpieler!A:B,2,FALSE)</f>
        <v>KingKasper</v>
      </c>
    </row>
    <row r="2281" spans="1:10" x14ac:dyDescent="0.25">
      <c r="A2281">
        <v>2550</v>
      </c>
      <c r="B2281" t="s">
        <v>31525</v>
      </c>
      <c r="C2281">
        <v>415</v>
      </c>
      <c r="D2281">
        <v>555</v>
      </c>
      <c r="E2281">
        <v>1577180228</v>
      </c>
      <c r="F2281">
        <v>5230</v>
      </c>
      <c r="G2281">
        <v>0</v>
      </c>
      <c r="H2281" t="s">
        <v>7207</v>
      </c>
      <c r="I2281">
        <v>2550</v>
      </c>
      <c r="J2281" t="str">
        <f>VLOOKUP(E2281,DSSpieler!A:B,2,FALSE)</f>
        <v>YottwaldAG</v>
      </c>
    </row>
    <row r="2282" spans="1:10" x14ac:dyDescent="0.25">
      <c r="A2282">
        <v>2551</v>
      </c>
      <c r="B2282">
        <v>2</v>
      </c>
      <c r="C2282">
        <v>438</v>
      </c>
      <c r="D2282">
        <v>468</v>
      </c>
      <c r="E2282">
        <v>9985386</v>
      </c>
      <c r="F2282">
        <v>5456</v>
      </c>
      <c r="G2282">
        <v>0</v>
      </c>
      <c r="H2282" t="s">
        <v>7208</v>
      </c>
      <c r="I2282">
        <v>2551</v>
      </c>
      <c r="J2282" t="str">
        <f>VLOOKUP(E2282,DSSpieler!A:B,2,FALSE)</f>
        <v>Lord PrinzPI</v>
      </c>
    </row>
    <row r="2283" spans="1:10" x14ac:dyDescent="0.25">
      <c r="A2283">
        <v>2552</v>
      </c>
      <c r="B2283" t="s">
        <v>531</v>
      </c>
      <c r="C2283">
        <v>522</v>
      </c>
      <c r="D2283">
        <v>539</v>
      </c>
      <c r="E2283">
        <v>0</v>
      </c>
      <c r="F2283">
        <v>373</v>
      </c>
      <c r="G2283">
        <v>0</v>
      </c>
      <c r="H2283" t="s">
        <v>7209</v>
      </c>
      <c r="I2283">
        <v>2552</v>
      </c>
      <c r="J2283" t="e">
        <f>VLOOKUP(E2283,DSSpieler!A:B,2,FALSE)</f>
        <v>#N/A</v>
      </c>
    </row>
    <row r="2284" spans="1:10" x14ac:dyDescent="0.25">
      <c r="A2284">
        <v>2553</v>
      </c>
      <c r="B2284" t="s">
        <v>531</v>
      </c>
      <c r="C2284">
        <v>547</v>
      </c>
      <c r="D2284">
        <v>470</v>
      </c>
      <c r="E2284">
        <v>0</v>
      </c>
      <c r="F2284">
        <v>401</v>
      </c>
      <c r="G2284">
        <v>0</v>
      </c>
      <c r="H2284" t="s">
        <v>7210</v>
      </c>
      <c r="I2284">
        <v>2553</v>
      </c>
      <c r="J2284" t="e">
        <f>VLOOKUP(E2284,DSSpieler!A:B,2,FALSE)</f>
        <v>#N/A</v>
      </c>
    </row>
    <row r="2285" spans="1:10" x14ac:dyDescent="0.25">
      <c r="A2285">
        <v>2554</v>
      </c>
      <c r="B2285" t="s">
        <v>31526</v>
      </c>
      <c r="C2285">
        <v>435</v>
      </c>
      <c r="D2285">
        <v>500</v>
      </c>
      <c r="E2285">
        <v>8117207</v>
      </c>
      <c r="F2285">
        <v>5438</v>
      </c>
      <c r="G2285">
        <v>0</v>
      </c>
      <c r="H2285" t="s">
        <v>7211</v>
      </c>
      <c r="I2285">
        <v>2554</v>
      </c>
      <c r="J2285" t="str">
        <f>VLOOKUP(E2285,DSSpieler!A:B,2,FALSE)</f>
        <v>morphyn</v>
      </c>
    </row>
    <row r="2286" spans="1:10" x14ac:dyDescent="0.25">
      <c r="A2286">
        <v>2555</v>
      </c>
      <c r="B2286" t="s">
        <v>31527</v>
      </c>
      <c r="C2286">
        <v>397</v>
      </c>
      <c r="D2286">
        <v>495</v>
      </c>
      <c r="E2286">
        <v>9642632</v>
      </c>
      <c r="F2286">
        <v>6096</v>
      </c>
      <c r="G2286">
        <v>0</v>
      </c>
      <c r="H2286" t="s">
        <v>7212</v>
      </c>
      <c r="I2286">
        <v>2555</v>
      </c>
      <c r="J2286" t="str">
        <f>VLOOKUP(E2286,DSSpieler!A:B,2,FALSE)</f>
        <v>Micha041</v>
      </c>
    </row>
    <row r="2287" spans="1:10" x14ac:dyDescent="0.25">
      <c r="A2287">
        <v>2557</v>
      </c>
      <c r="B2287" t="s">
        <v>31528</v>
      </c>
      <c r="C2287">
        <v>407</v>
      </c>
      <c r="D2287">
        <v>528</v>
      </c>
      <c r="E2287">
        <v>1576295300</v>
      </c>
      <c r="F2287">
        <v>3038</v>
      </c>
      <c r="G2287">
        <v>0</v>
      </c>
      <c r="H2287" t="s">
        <v>7213</v>
      </c>
      <c r="I2287">
        <v>2557</v>
      </c>
      <c r="J2287" t="str">
        <f>VLOOKUP(E2287,DSSpieler!A:B,2,FALSE)</f>
        <v>Lord TeRRoRsOldier</v>
      </c>
    </row>
    <row r="2288" spans="1:10" x14ac:dyDescent="0.25">
      <c r="A2288">
        <v>2559</v>
      </c>
      <c r="B2288" t="s">
        <v>985</v>
      </c>
      <c r="C2288">
        <v>588</v>
      </c>
      <c r="D2288">
        <v>554</v>
      </c>
      <c r="E2288">
        <v>1576942861</v>
      </c>
      <c r="F2288">
        <v>3174</v>
      </c>
      <c r="G2288">
        <v>0</v>
      </c>
      <c r="H2288" t="s">
        <v>7214</v>
      </c>
      <c r="I2288">
        <v>2559</v>
      </c>
      <c r="J2288" t="str">
        <f>VLOOKUP(E2288,DSSpieler!A:B,2,FALSE)</f>
        <v>Gremlinseye</v>
      </c>
    </row>
    <row r="2289" spans="1:10" x14ac:dyDescent="0.25">
      <c r="A2289">
        <v>2561</v>
      </c>
      <c r="B2289" t="s">
        <v>35827</v>
      </c>
      <c r="C2289">
        <v>572</v>
      </c>
      <c r="D2289">
        <v>437</v>
      </c>
      <c r="E2289">
        <v>1577197881</v>
      </c>
      <c r="F2289">
        <v>3125</v>
      </c>
      <c r="G2289">
        <v>0</v>
      </c>
      <c r="H2289" t="s">
        <v>7215</v>
      </c>
      <c r="I2289">
        <v>2561</v>
      </c>
      <c r="J2289" t="str">
        <f>VLOOKUP(E2289,DSSpieler!A:B,2,FALSE)</f>
        <v>HappyFisherman</v>
      </c>
    </row>
    <row r="2290" spans="1:10" x14ac:dyDescent="0.25">
      <c r="A2290">
        <v>2562</v>
      </c>
      <c r="B2290" t="s">
        <v>31138</v>
      </c>
      <c r="C2290">
        <v>455</v>
      </c>
      <c r="D2290">
        <v>404</v>
      </c>
      <c r="E2290">
        <v>1577064445</v>
      </c>
      <c r="F2290">
        <v>4990</v>
      </c>
      <c r="G2290">
        <v>0</v>
      </c>
      <c r="H2290" t="s">
        <v>7216</v>
      </c>
      <c r="I2290">
        <v>2562</v>
      </c>
      <c r="J2290" t="str">
        <f>VLOOKUP(E2290,DSSpieler!A:B,2,FALSE)</f>
        <v>Nightwolf</v>
      </c>
    </row>
    <row r="2291" spans="1:10" x14ac:dyDescent="0.25">
      <c r="A2291">
        <v>2563</v>
      </c>
      <c r="B2291" t="s">
        <v>986</v>
      </c>
      <c r="C2291">
        <v>452</v>
      </c>
      <c r="D2291">
        <v>498</v>
      </c>
      <c r="E2291">
        <v>9813109</v>
      </c>
      <c r="F2291">
        <v>5832</v>
      </c>
      <c r="G2291">
        <v>0</v>
      </c>
      <c r="H2291" t="s">
        <v>7217</v>
      </c>
      <c r="I2291">
        <v>2563</v>
      </c>
      <c r="J2291" t="str">
        <f>VLOOKUP(E2291,DSSpieler!A:B,2,FALSE)</f>
        <v>chrismaster10</v>
      </c>
    </row>
    <row r="2292" spans="1:10" x14ac:dyDescent="0.25">
      <c r="A2292">
        <v>2564</v>
      </c>
      <c r="B2292" t="s">
        <v>987</v>
      </c>
      <c r="C2292">
        <v>507</v>
      </c>
      <c r="D2292">
        <v>485</v>
      </c>
      <c r="E2292">
        <v>1577197911</v>
      </c>
      <c r="F2292">
        <v>3435</v>
      </c>
      <c r="G2292">
        <v>0</v>
      </c>
      <c r="H2292" t="s">
        <v>7218</v>
      </c>
      <c r="I2292">
        <v>2564</v>
      </c>
      <c r="J2292" t="str">
        <f>VLOOKUP(E2292,DSSpieler!A:B,2,FALSE)</f>
        <v>ZuWildhrrr</v>
      </c>
    </row>
    <row r="2293" spans="1:10" x14ac:dyDescent="0.25">
      <c r="A2293">
        <v>2565</v>
      </c>
      <c r="B2293" t="s">
        <v>531</v>
      </c>
      <c r="C2293">
        <v>533</v>
      </c>
      <c r="D2293">
        <v>451</v>
      </c>
      <c r="E2293">
        <v>0</v>
      </c>
      <c r="F2293">
        <v>489</v>
      </c>
      <c r="G2293">
        <v>0</v>
      </c>
      <c r="H2293" t="s">
        <v>7219</v>
      </c>
      <c r="I2293">
        <v>2565</v>
      </c>
      <c r="J2293" t="e">
        <f>VLOOKUP(E2293,DSSpieler!A:B,2,FALSE)</f>
        <v>#N/A</v>
      </c>
    </row>
    <row r="2294" spans="1:10" x14ac:dyDescent="0.25">
      <c r="A2294">
        <v>2566</v>
      </c>
      <c r="B2294" t="s">
        <v>988</v>
      </c>
      <c r="C2294">
        <v>435</v>
      </c>
      <c r="D2294">
        <v>442</v>
      </c>
      <c r="E2294">
        <v>1577194723</v>
      </c>
      <c r="F2294">
        <v>821</v>
      </c>
      <c r="G2294">
        <v>0</v>
      </c>
      <c r="H2294" t="s">
        <v>7220</v>
      </c>
      <c r="I2294">
        <v>2566</v>
      </c>
      <c r="J2294" t="str">
        <f>VLOOKUP(E2294,DSSpieler!A:B,2,FALSE)</f>
        <v>K5in1</v>
      </c>
    </row>
    <row r="2295" spans="1:10" x14ac:dyDescent="0.25">
      <c r="A2295">
        <v>2568</v>
      </c>
      <c r="B2295" t="s">
        <v>989</v>
      </c>
      <c r="C2295">
        <v>472</v>
      </c>
      <c r="D2295">
        <v>568</v>
      </c>
      <c r="E2295">
        <v>1573098</v>
      </c>
      <c r="F2295">
        <v>5339</v>
      </c>
      <c r="G2295">
        <v>0</v>
      </c>
      <c r="H2295" t="s">
        <v>7221</v>
      </c>
      <c r="I2295">
        <v>2568</v>
      </c>
      <c r="J2295" t="str">
        <f>VLOOKUP(E2295,DSSpieler!A:B,2,FALSE)</f>
        <v>Bauer214</v>
      </c>
    </row>
    <row r="2296" spans="1:10" x14ac:dyDescent="0.25">
      <c r="A2296">
        <v>2569</v>
      </c>
      <c r="B2296" t="s">
        <v>531</v>
      </c>
      <c r="C2296">
        <v>428</v>
      </c>
      <c r="D2296">
        <v>506</v>
      </c>
      <c r="E2296">
        <v>0</v>
      </c>
      <c r="F2296">
        <v>525</v>
      </c>
      <c r="G2296">
        <v>0</v>
      </c>
      <c r="H2296" t="s">
        <v>7222</v>
      </c>
      <c r="I2296">
        <v>2569</v>
      </c>
      <c r="J2296" t="e">
        <f>VLOOKUP(E2296,DSSpieler!A:B,2,FALSE)</f>
        <v>#N/A</v>
      </c>
    </row>
    <row r="2297" spans="1:10" x14ac:dyDescent="0.25">
      <c r="A2297">
        <v>2570</v>
      </c>
      <c r="B2297" t="s">
        <v>713</v>
      </c>
      <c r="C2297">
        <v>582</v>
      </c>
      <c r="D2297">
        <v>451</v>
      </c>
      <c r="E2297">
        <v>1577197749</v>
      </c>
      <c r="F2297">
        <v>7484</v>
      </c>
      <c r="G2297">
        <v>0</v>
      </c>
      <c r="H2297" t="s">
        <v>7223</v>
      </c>
      <c r="I2297">
        <v>2570</v>
      </c>
      <c r="J2297" t="str">
        <f>VLOOKUP(E2297,DSSpieler!A:B,2,FALSE)</f>
        <v>Yondu</v>
      </c>
    </row>
    <row r="2298" spans="1:10" x14ac:dyDescent="0.25">
      <c r="A2298">
        <v>2571</v>
      </c>
      <c r="B2298" t="s">
        <v>531</v>
      </c>
      <c r="C2298">
        <v>543</v>
      </c>
      <c r="D2298">
        <v>480</v>
      </c>
      <c r="E2298">
        <v>0</v>
      </c>
      <c r="F2298">
        <v>340</v>
      </c>
      <c r="G2298">
        <v>0</v>
      </c>
      <c r="H2298" t="s">
        <v>7224</v>
      </c>
      <c r="I2298">
        <v>2571</v>
      </c>
      <c r="J2298" t="e">
        <f>VLOOKUP(E2298,DSSpieler!A:B,2,FALSE)</f>
        <v>#N/A</v>
      </c>
    </row>
    <row r="2299" spans="1:10" x14ac:dyDescent="0.25">
      <c r="A2299">
        <v>2572</v>
      </c>
      <c r="B2299" t="s">
        <v>31529</v>
      </c>
      <c r="C2299">
        <v>567</v>
      </c>
      <c r="D2299">
        <v>464</v>
      </c>
      <c r="E2299">
        <v>1577138742</v>
      </c>
      <c r="F2299">
        <v>7816</v>
      </c>
      <c r="G2299">
        <v>0</v>
      </c>
      <c r="H2299" t="s">
        <v>7225</v>
      </c>
      <c r="I2299">
        <v>2572</v>
      </c>
      <c r="J2299" t="str">
        <f>VLOOKUP(E2299,DSSpieler!A:B,2,FALSE)</f>
        <v>Ohaio18</v>
      </c>
    </row>
    <row r="2300" spans="1:10" x14ac:dyDescent="0.25">
      <c r="A2300">
        <v>2573</v>
      </c>
      <c r="B2300" t="s">
        <v>31530</v>
      </c>
      <c r="C2300">
        <v>432</v>
      </c>
      <c r="D2300">
        <v>419</v>
      </c>
      <c r="E2300">
        <v>9849940</v>
      </c>
      <c r="F2300">
        <v>5509</v>
      </c>
      <c r="G2300">
        <v>0</v>
      </c>
      <c r="H2300" t="s">
        <v>7226</v>
      </c>
      <c r="I2300">
        <v>2573</v>
      </c>
      <c r="J2300" t="str">
        <f>VLOOKUP(E2300,DSSpieler!A:B,2,FALSE)</f>
        <v>Lord Aarben</v>
      </c>
    </row>
    <row r="2301" spans="1:10" x14ac:dyDescent="0.25">
      <c r="A2301">
        <v>2575</v>
      </c>
      <c r="B2301" t="s">
        <v>990</v>
      </c>
      <c r="C2301">
        <v>530</v>
      </c>
      <c r="D2301">
        <v>434</v>
      </c>
      <c r="E2301">
        <v>3143028</v>
      </c>
      <c r="F2301">
        <v>6650</v>
      </c>
      <c r="G2301">
        <v>0</v>
      </c>
      <c r="H2301" t="s">
        <v>7227</v>
      </c>
      <c r="I2301">
        <v>2575</v>
      </c>
      <c r="J2301" t="str">
        <f>VLOOKUP(E2301,DSSpieler!A:B,2,FALSE)</f>
        <v>Tom Traitor</v>
      </c>
    </row>
    <row r="2302" spans="1:10" x14ac:dyDescent="0.25">
      <c r="A2302">
        <v>2576</v>
      </c>
      <c r="B2302" t="s">
        <v>31531</v>
      </c>
      <c r="C2302">
        <v>476</v>
      </c>
      <c r="D2302">
        <v>595</v>
      </c>
      <c r="E2302">
        <v>1576450468</v>
      </c>
      <c r="F2302">
        <v>5621</v>
      </c>
      <c r="G2302">
        <v>0</v>
      </c>
      <c r="H2302" t="s">
        <v>7228</v>
      </c>
      <c r="I2302">
        <v>2576</v>
      </c>
      <c r="J2302" t="str">
        <f>VLOOKUP(E2302,DSSpieler!A:B,2,FALSE)</f>
        <v>b0nes</v>
      </c>
    </row>
    <row r="2303" spans="1:10" x14ac:dyDescent="0.25">
      <c r="A2303">
        <v>2577</v>
      </c>
      <c r="B2303" t="s">
        <v>31532</v>
      </c>
      <c r="C2303">
        <v>591</v>
      </c>
      <c r="D2303">
        <v>461</v>
      </c>
      <c r="E2303">
        <v>1576779600</v>
      </c>
      <c r="F2303">
        <v>4780</v>
      </c>
      <c r="G2303">
        <v>0</v>
      </c>
      <c r="H2303" t="s">
        <v>7229</v>
      </c>
      <c r="I2303">
        <v>2577</v>
      </c>
      <c r="J2303" t="str">
        <f>VLOOKUP(E2303,DSSpieler!A:B,2,FALSE)</f>
        <v>Badgirl.1</v>
      </c>
    </row>
    <row r="2304" spans="1:10" x14ac:dyDescent="0.25">
      <c r="A2304">
        <v>2578</v>
      </c>
      <c r="B2304" t="s">
        <v>31533</v>
      </c>
      <c r="C2304">
        <v>505</v>
      </c>
      <c r="D2304">
        <v>487</v>
      </c>
      <c r="E2304">
        <v>1577194104</v>
      </c>
      <c r="F2304">
        <v>4281</v>
      </c>
      <c r="G2304">
        <v>0</v>
      </c>
      <c r="H2304" t="s">
        <v>7230</v>
      </c>
      <c r="I2304">
        <v>2578</v>
      </c>
      <c r="J2304" t="str">
        <f>VLOOKUP(E2304,DSSpieler!A:B,2,FALSE)</f>
        <v>djbazy</v>
      </c>
    </row>
    <row r="2305" spans="1:10" x14ac:dyDescent="0.25">
      <c r="A2305">
        <v>2579</v>
      </c>
      <c r="B2305" t="s">
        <v>31534</v>
      </c>
      <c r="C2305">
        <v>471</v>
      </c>
      <c r="D2305">
        <v>488</v>
      </c>
      <c r="E2305">
        <v>1946985</v>
      </c>
      <c r="F2305">
        <v>3647</v>
      </c>
      <c r="G2305">
        <v>0</v>
      </c>
      <c r="H2305" t="s">
        <v>7231</v>
      </c>
      <c r="I2305">
        <v>2579</v>
      </c>
      <c r="J2305" t="str">
        <f>VLOOKUP(E2305,DSSpieler!A:B,2,FALSE)</f>
        <v>StarPointer.1.</v>
      </c>
    </row>
    <row r="2306" spans="1:10" x14ac:dyDescent="0.25">
      <c r="A2306">
        <v>2580</v>
      </c>
      <c r="B2306" t="s">
        <v>31535</v>
      </c>
      <c r="C2306">
        <v>423</v>
      </c>
      <c r="D2306">
        <v>544</v>
      </c>
      <c r="E2306">
        <v>1577153480</v>
      </c>
      <c r="F2306">
        <v>3515</v>
      </c>
      <c r="G2306">
        <v>0</v>
      </c>
      <c r="H2306" t="s">
        <v>7232</v>
      </c>
      <c r="I2306">
        <v>2580</v>
      </c>
      <c r="J2306" t="str">
        <f>VLOOKUP(E2306,DSSpieler!A:B,2,FALSE)</f>
        <v>AxPass</v>
      </c>
    </row>
    <row r="2307" spans="1:10" x14ac:dyDescent="0.25">
      <c r="A2307">
        <v>2581</v>
      </c>
      <c r="B2307" t="s">
        <v>531</v>
      </c>
      <c r="C2307">
        <v>567</v>
      </c>
      <c r="D2307">
        <v>567</v>
      </c>
      <c r="E2307">
        <v>0</v>
      </c>
      <c r="F2307">
        <v>706</v>
      </c>
      <c r="G2307">
        <v>0</v>
      </c>
      <c r="H2307" t="s">
        <v>7233</v>
      </c>
      <c r="I2307">
        <v>2581</v>
      </c>
      <c r="J2307" t="e">
        <f>VLOOKUP(E2307,DSSpieler!A:B,2,FALSE)</f>
        <v>#N/A</v>
      </c>
    </row>
    <row r="2308" spans="1:10" x14ac:dyDescent="0.25">
      <c r="A2308">
        <v>2583</v>
      </c>
      <c r="B2308" t="s">
        <v>31536</v>
      </c>
      <c r="C2308">
        <v>594</v>
      </c>
      <c r="D2308">
        <v>438</v>
      </c>
      <c r="E2308">
        <v>1577127638</v>
      </c>
      <c r="F2308">
        <v>4850</v>
      </c>
      <c r="G2308">
        <v>0</v>
      </c>
      <c r="H2308" t="s">
        <v>7234</v>
      </c>
      <c r="I2308">
        <v>2583</v>
      </c>
      <c r="J2308" t="str">
        <f>VLOOKUP(E2308,DSSpieler!A:B,2,FALSE)</f>
        <v>dirtymonkey</v>
      </c>
    </row>
    <row r="2309" spans="1:10" x14ac:dyDescent="0.25">
      <c r="A2309">
        <v>2584</v>
      </c>
      <c r="B2309" t="s">
        <v>31537</v>
      </c>
      <c r="C2309">
        <v>559</v>
      </c>
      <c r="D2309">
        <v>452</v>
      </c>
      <c r="E2309">
        <v>1576875723</v>
      </c>
      <c r="F2309">
        <v>329</v>
      </c>
      <c r="G2309">
        <v>0</v>
      </c>
      <c r="H2309" t="s">
        <v>7235</v>
      </c>
      <c r="I2309">
        <v>2584</v>
      </c>
      <c r="J2309" t="str">
        <f>VLOOKUP(E2309,DSSpieler!A:B,2,FALSE)</f>
        <v>Dlaxxol</v>
      </c>
    </row>
    <row r="2310" spans="1:10" x14ac:dyDescent="0.25">
      <c r="A2310">
        <v>2586</v>
      </c>
      <c r="B2310" t="s">
        <v>991</v>
      </c>
      <c r="C2310">
        <v>538</v>
      </c>
      <c r="D2310">
        <v>540</v>
      </c>
      <c r="E2310">
        <v>414073</v>
      </c>
      <c r="F2310">
        <v>6791</v>
      </c>
      <c r="G2310">
        <v>0</v>
      </c>
      <c r="H2310" t="s">
        <v>7236</v>
      </c>
      <c r="I2310">
        <v>2586</v>
      </c>
      <c r="J2310" t="str">
        <f>VLOOKUP(E2310,DSSpieler!A:B,2,FALSE)</f>
        <v>Thaudrim</v>
      </c>
    </row>
    <row r="2311" spans="1:10" x14ac:dyDescent="0.25">
      <c r="A2311">
        <v>2587</v>
      </c>
      <c r="B2311" t="s">
        <v>992</v>
      </c>
      <c r="C2311">
        <v>561</v>
      </c>
      <c r="D2311">
        <v>544</v>
      </c>
      <c r="E2311">
        <v>1577170233</v>
      </c>
      <c r="F2311">
        <v>5913</v>
      </c>
      <c r="G2311">
        <v>0</v>
      </c>
      <c r="H2311" t="s">
        <v>7237</v>
      </c>
      <c r="I2311">
        <v>2587</v>
      </c>
      <c r="J2311" t="str">
        <f>VLOOKUP(E2311,DSSpieler!A:B,2,FALSE)</f>
        <v>quaison</v>
      </c>
    </row>
    <row r="2312" spans="1:10" x14ac:dyDescent="0.25">
      <c r="A2312">
        <v>2588</v>
      </c>
      <c r="B2312" t="s">
        <v>531</v>
      </c>
      <c r="C2312">
        <v>496</v>
      </c>
      <c r="D2312">
        <v>500</v>
      </c>
      <c r="E2312">
        <v>0</v>
      </c>
      <c r="F2312">
        <v>316</v>
      </c>
      <c r="G2312">
        <v>0</v>
      </c>
      <c r="H2312" t="s">
        <v>7238</v>
      </c>
      <c r="I2312">
        <v>2588</v>
      </c>
      <c r="J2312" t="e">
        <f>VLOOKUP(E2312,DSSpieler!A:B,2,FALSE)</f>
        <v>#N/A</v>
      </c>
    </row>
    <row r="2313" spans="1:10" x14ac:dyDescent="0.25">
      <c r="A2313">
        <v>2589</v>
      </c>
      <c r="B2313" t="s">
        <v>31538</v>
      </c>
      <c r="C2313">
        <v>461</v>
      </c>
      <c r="D2313">
        <v>508</v>
      </c>
      <c r="E2313">
        <v>1577094462</v>
      </c>
      <c r="F2313">
        <v>5080</v>
      </c>
      <c r="G2313">
        <v>0</v>
      </c>
      <c r="H2313" t="s">
        <v>7239</v>
      </c>
      <c r="I2313">
        <v>2589</v>
      </c>
      <c r="J2313" t="str">
        <f>VLOOKUP(E2313,DSSpieler!A:B,2,FALSE)</f>
        <v>Cleankan</v>
      </c>
    </row>
    <row r="2314" spans="1:10" x14ac:dyDescent="0.25">
      <c r="A2314">
        <v>2590</v>
      </c>
      <c r="B2314" t="s">
        <v>31539</v>
      </c>
      <c r="C2314">
        <v>455</v>
      </c>
      <c r="D2314">
        <v>492</v>
      </c>
      <c r="E2314">
        <v>9079678</v>
      </c>
      <c r="F2314">
        <v>5650</v>
      </c>
      <c r="G2314">
        <v>0</v>
      </c>
      <c r="H2314" t="s">
        <v>7240</v>
      </c>
      <c r="I2314">
        <v>2590</v>
      </c>
      <c r="J2314" t="str">
        <f>VLOOKUP(E2314,DSSpieler!A:B,2,FALSE)</f>
        <v>Lord Giesen</v>
      </c>
    </row>
    <row r="2315" spans="1:10" x14ac:dyDescent="0.25">
      <c r="A2315">
        <v>2591</v>
      </c>
      <c r="B2315" t="s">
        <v>35828</v>
      </c>
      <c r="C2315">
        <v>506</v>
      </c>
      <c r="D2315">
        <v>602</v>
      </c>
      <c r="E2315">
        <v>731739</v>
      </c>
      <c r="F2315">
        <v>7623</v>
      </c>
      <c r="G2315">
        <v>0</v>
      </c>
      <c r="H2315" t="s">
        <v>7241</v>
      </c>
      <c r="I2315">
        <v>2591</v>
      </c>
      <c r="J2315" t="str">
        <f>VLOOKUP(E2315,DSSpieler!A:B,2,FALSE)</f>
        <v>BlayGlor</v>
      </c>
    </row>
    <row r="2316" spans="1:10" x14ac:dyDescent="0.25">
      <c r="A2316">
        <v>2593</v>
      </c>
      <c r="B2316" t="s">
        <v>31540</v>
      </c>
      <c r="C2316">
        <v>443</v>
      </c>
      <c r="D2316">
        <v>421</v>
      </c>
      <c r="E2316">
        <v>1576950154</v>
      </c>
      <c r="F2316">
        <v>5319</v>
      </c>
      <c r="G2316">
        <v>0</v>
      </c>
      <c r="H2316" t="s">
        <v>7242</v>
      </c>
      <c r="I2316">
        <v>2593</v>
      </c>
      <c r="J2316" t="str">
        <f>VLOOKUP(E2316,DSSpieler!A:B,2,FALSE)</f>
        <v>Lord Burnsens</v>
      </c>
    </row>
    <row r="2317" spans="1:10" x14ac:dyDescent="0.25">
      <c r="A2317">
        <v>2594</v>
      </c>
      <c r="B2317" t="s">
        <v>31541</v>
      </c>
      <c r="C2317">
        <v>480</v>
      </c>
      <c r="D2317">
        <v>448</v>
      </c>
      <c r="E2317">
        <v>1576867448</v>
      </c>
      <c r="F2317">
        <v>5533</v>
      </c>
      <c r="G2317">
        <v>0</v>
      </c>
      <c r="H2317" t="s">
        <v>7243</v>
      </c>
      <c r="I2317">
        <v>2594</v>
      </c>
      <c r="J2317" t="str">
        <f>VLOOKUP(E2317,DSSpieler!A:B,2,FALSE)</f>
        <v>ondyyy</v>
      </c>
    </row>
    <row r="2318" spans="1:10" x14ac:dyDescent="0.25">
      <c r="A2318">
        <v>2595</v>
      </c>
      <c r="B2318" t="s">
        <v>31542</v>
      </c>
      <c r="C2318">
        <v>458</v>
      </c>
      <c r="D2318">
        <v>504</v>
      </c>
      <c r="E2318">
        <v>1577197485</v>
      </c>
      <c r="F2318">
        <v>6367</v>
      </c>
      <c r="G2318">
        <v>0</v>
      </c>
      <c r="H2318" t="s">
        <v>7244</v>
      </c>
      <c r="I2318">
        <v>2595</v>
      </c>
      <c r="J2318" t="str">
        <f>VLOOKUP(E2318,DSSpieler!A:B,2,FALSE)</f>
        <v>ggborat</v>
      </c>
    </row>
    <row r="2319" spans="1:10" x14ac:dyDescent="0.25">
      <c r="A2319">
        <v>2596</v>
      </c>
      <c r="B2319" t="s">
        <v>31543</v>
      </c>
      <c r="C2319">
        <v>548</v>
      </c>
      <c r="D2319">
        <v>461</v>
      </c>
      <c r="E2319">
        <v>1576626963</v>
      </c>
      <c r="F2319">
        <v>5992</v>
      </c>
      <c r="G2319">
        <v>0</v>
      </c>
      <c r="H2319" t="s">
        <v>7245</v>
      </c>
      <c r="I2319">
        <v>2596</v>
      </c>
      <c r="J2319" t="str">
        <f>VLOOKUP(E2319,DSSpieler!A:B,2,FALSE)</f>
        <v>jonas27</v>
      </c>
    </row>
    <row r="2320" spans="1:10" x14ac:dyDescent="0.25">
      <c r="A2320">
        <v>2597</v>
      </c>
      <c r="B2320" t="s">
        <v>31544</v>
      </c>
      <c r="C2320">
        <v>556</v>
      </c>
      <c r="D2320">
        <v>554</v>
      </c>
      <c r="E2320">
        <v>1577193699</v>
      </c>
      <c r="F2320">
        <v>4392</v>
      </c>
      <c r="G2320">
        <v>0</v>
      </c>
      <c r="H2320" t="s">
        <v>7246</v>
      </c>
      <c r="I2320">
        <v>2597</v>
      </c>
      <c r="J2320" t="str">
        <f>VLOOKUP(E2320,DSSpieler!A:B,2,FALSE)</f>
        <v>Yasei</v>
      </c>
    </row>
    <row r="2321" spans="1:10" x14ac:dyDescent="0.25">
      <c r="A2321">
        <v>2598</v>
      </c>
      <c r="B2321" t="s">
        <v>993</v>
      </c>
      <c r="C2321">
        <v>429</v>
      </c>
      <c r="D2321">
        <v>463</v>
      </c>
      <c r="E2321">
        <v>1577196857</v>
      </c>
      <c r="F2321">
        <v>4108</v>
      </c>
      <c r="G2321">
        <v>0</v>
      </c>
      <c r="H2321" t="s">
        <v>7247</v>
      </c>
      <c r="I2321">
        <v>2598</v>
      </c>
      <c r="J2321" t="str">
        <f>VLOOKUP(E2321,DSSpieler!A:B,2,FALSE)</f>
        <v>Gottmarw</v>
      </c>
    </row>
    <row r="2322" spans="1:10" x14ac:dyDescent="0.25">
      <c r="A2322">
        <v>2599</v>
      </c>
      <c r="B2322" t="s">
        <v>643</v>
      </c>
      <c r="C2322">
        <v>450</v>
      </c>
      <c r="D2322">
        <v>432</v>
      </c>
      <c r="E2322">
        <v>8563827</v>
      </c>
      <c r="F2322">
        <v>5195</v>
      </c>
      <c r="G2322">
        <v>0</v>
      </c>
      <c r="H2322" t="s">
        <v>7248</v>
      </c>
      <c r="I2322">
        <v>2599</v>
      </c>
      <c r="J2322" t="str">
        <f>VLOOKUP(E2322,DSSpieler!A:B,2,FALSE)</f>
        <v>TheClausii</v>
      </c>
    </row>
    <row r="2323" spans="1:10" x14ac:dyDescent="0.25">
      <c r="A2323">
        <v>2600</v>
      </c>
      <c r="B2323" t="s">
        <v>531</v>
      </c>
      <c r="C2323">
        <v>534</v>
      </c>
      <c r="D2323">
        <v>583</v>
      </c>
      <c r="E2323">
        <v>8506623</v>
      </c>
      <c r="F2323">
        <v>1876</v>
      </c>
      <c r="G2323">
        <v>0</v>
      </c>
      <c r="H2323" t="s">
        <v>7249</v>
      </c>
      <c r="I2323">
        <v>2600</v>
      </c>
      <c r="J2323" t="str">
        <f>VLOOKUP(E2323,DSSpieler!A:B,2,FALSE)</f>
        <v>du Hirsch</v>
      </c>
    </row>
    <row r="2324" spans="1:10" x14ac:dyDescent="0.25">
      <c r="A2324">
        <v>2601</v>
      </c>
      <c r="B2324" t="s">
        <v>994</v>
      </c>
      <c r="C2324">
        <v>535</v>
      </c>
      <c r="D2324">
        <v>413</v>
      </c>
      <c r="E2324">
        <v>1577196253</v>
      </c>
      <c r="F2324">
        <v>8468</v>
      </c>
      <c r="G2324">
        <v>0</v>
      </c>
      <c r="H2324" t="s">
        <v>7250</v>
      </c>
      <c r="I2324">
        <v>2601</v>
      </c>
      <c r="J2324" t="str">
        <f>VLOOKUP(E2324,DSSpieler!A:B,2,FALSE)</f>
        <v>Dracay</v>
      </c>
    </row>
    <row r="2325" spans="1:10" x14ac:dyDescent="0.25">
      <c r="A2325">
        <v>2602</v>
      </c>
      <c r="B2325" t="s">
        <v>31545</v>
      </c>
      <c r="C2325">
        <v>509</v>
      </c>
      <c r="D2325">
        <v>476</v>
      </c>
      <c r="E2325">
        <v>1577189971</v>
      </c>
      <c r="F2325">
        <v>7162</v>
      </c>
      <c r="G2325">
        <v>0</v>
      </c>
      <c r="H2325" t="s">
        <v>7251</v>
      </c>
      <c r="I2325">
        <v>2602</v>
      </c>
      <c r="J2325" t="str">
        <f>VLOOKUP(E2325,DSSpieler!A:B,2,FALSE)</f>
        <v>IBasher</v>
      </c>
    </row>
    <row r="2326" spans="1:10" x14ac:dyDescent="0.25">
      <c r="A2326">
        <v>2603</v>
      </c>
      <c r="B2326" t="s">
        <v>31546</v>
      </c>
      <c r="C2326">
        <v>516</v>
      </c>
      <c r="D2326">
        <v>503</v>
      </c>
      <c r="E2326">
        <v>1576706013</v>
      </c>
      <c r="F2326">
        <v>6300</v>
      </c>
      <c r="G2326">
        <v>0</v>
      </c>
      <c r="H2326" t="s">
        <v>7252</v>
      </c>
      <c r="I2326">
        <v>2603</v>
      </c>
      <c r="J2326" t="str">
        <f>VLOOKUP(E2326,DSSpieler!A:B,2,FALSE)</f>
        <v>tschingler</v>
      </c>
    </row>
    <row r="2327" spans="1:10" x14ac:dyDescent="0.25">
      <c r="A2327">
        <v>2604</v>
      </c>
      <c r="B2327">
        <v>1</v>
      </c>
      <c r="C2327">
        <v>489</v>
      </c>
      <c r="D2327">
        <v>444</v>
      </c>
      <c r="E2327">
        <v>1577057432</v>
      </c>
      <c r="F2327">
        <v>5500</v>
      </c>
      <c r="G2327">
        <v>0</v>
      </c>
      <c r="H2327" t="s">
        <v>7253</v>
      </c>
      <c r="I2327">
        <v>2604</v>
      </c>
      <c r="J2327" t="str">
        <f>VLOOKUP(E2327,DSSpieler!A:B,2,FALSE)</f>
        <v>Chocogasm</v>
      </c>
    </row>
    <row r="2328" spans="1:10" x14ac:dyDescent="0.25">
      <c r="A2328">
        <v>2605</v>
      </c>
      <c r="B2328" t="s">
        <v>531</v>
      </c>
      <c r="C2328">
        <v>539</v>
      </c>
      <c r="D2328">
        <v>459</v>
      </c>
      <c r="E2328">
        <v>0</v>
      </c>
      <c r="F2328">
        <v>431</v>
      </c>
      <c r="G2328">
        <v>0</v>
      </c>
      <c r="H2328" t="s">
        <v>7254</v>
      </c>
      <c r="I2328">
        <v>2605</v>
      </c>
      <c r="J2328" t="e">
        <f>VLOOKUP(E2328,DSSpieler!A:B,2,FALSE)</f>
        <v>#N/A</v>
      </c>
    </row>
    <row r="2329" spans="1:10" x14ac:dyDescent="0.25">
      <c r="A2329">
        <v>2606</v>
      </c>
      <c r="B2329" t="s">
        <v>995</v>
      </c>
      <c r="C2329">
        <v>433</v>
      </c>
      <c r="D2329">
        <v>587</v>
      </c>
      <c r="E2329">
        <v>1577194990</v>
      </c>
      <c r="F2329">
        <v>1970</v>
      </c>
      <c r="G2329">
        <v>0</v>
      </c>
      <c r="H2329" t="s">
        <v>7255</v>
      </c>
      <c r="I2329">
        <v>2606</v>
      </c>
      <c r="J2329" t="str">
        <f>VLOOKUP(E2329,DSSpieler!A:B,2,FALSE)</f>
        <v>KingKuerbi</v>
      </c>
    </row>
    <row r="2330" spans="1:10" x14ac:dyDescent="0.25">
      <c r="A2330">
        <v>2607</v>
      </c>
      <c r="B2330" t="s">
        <v>546</v>
      </c>
      <c r="C2330">
        <v>507</v>
      </c>
      <c r="D2330">
        <v>458</v>
      </c>
      <c r="E2330">
        <v>890198</v>
      </c>
      <c r="F2330">
        <v>1437</v>
      </c>
      <c r="G2330">
        <v>0</v>
      </c>
      <c r="H2330" t="s">
        <v>7256</v>
      </c>
      <c r="I2330">
        <v>2607</v>
      </c>
      <c r="J2330" t="str">
        <f>VLOOKUP(E2330,DSSpieler!A:B,2,FALSE)</f>
        <v>superkrauss</v>
      </c>
    </row>
    <row r="2331" spans="1:10" x14ac:dyDescent="0.25">
      <c r="A2331">
        <v>2608</v>
      </c>
      <c r="B2331" t="s">
        <v>31547</v>
      </c>
      <c r="C2331">
        <v>463</v>
      </c>
      <c r="D2331">
        <v>566</v>
      </c>
      <c r="E2331">
        <v>1369880</v>
      </c>
      <c r="F2331">
        <v>4728</v>
      </c>
      <c r="G2331">
        <v>0</v>
      </c>
      <c r="H2331" t="s">
        <v>7257</v>
      </c>
      <c r="I2331">
        <v>2608</v>
      </c>
      <c r="J2331" t="str">
        <f>VLOOKUP(E2331,DSSpieler!A:B,2,FALSE)</f>
        <v>Cellme</v>
      </c>
    </row>
    <row r="2332" spans="1:10" x14ac:dyDescent="0.25">
      <c r="A2332">
        <v>2611</v>
      </c>
      <c r="B2332" t="s">
        <v>610</v>
      </c>
      <c r="C2332">
        <v>590</v>
      </c>
      <c r="D2332">
        <v>459</v>
      </c>
      <c r="E2332">
        <v>1577141115</v>
      </c>
      <c r="F2332">
        <v>5416</v>
      </c>
      <c r="G2332">
        <v>0</v>
      </c>
      <c r="H2332" t="s">
        <v>7258</v>
      </c>
      <c r="I2332">
        <v>2611</v>
      </c>
      <c r="J2332" t="str">
        <f>VLOOKUP(E2332,DSSpieler!A:B,2,FALSE)</f>
        <v>MJ267-</v>
      </c>
    </row>
    <row r="2333" spans="1:10" x14ac:dyDescent="0.25">
      <c r="A2333">
        <v>2612</v>
      </c>
      <c r="B2333" t="s">
        <v>31548</v>
      </c>
      <c r="C2333">
        <v>511</v>
      </c>
      <c r="D2333">
        <v>548</v>
      </c>
      <c r="E2333">
        <v>1577191925</v>
      </c>
      <c r="F2333">
        <v>4370</v>
      </c>
      <c r="G2333">
        <v>0</v>
      </c>
      <c r="H2333" t="s">
        <v>7259</v>
      </c>
      <c r="I2333">
        <v>2612</v>
      </c>
      <c r="J2333" t="str">
        <f>VLOOKUP(E2333,DSSpieler!A:B,2,FALSE)</f>
        <v>Schreck</v>
      </c>
    </row>
    <row r="2334" spans="1:10" x14ac:dyDescent="0.25">
      <c r="A2334">
        <v>2613</v>
      </c>
      <c r="B2334" t="s">
        <v>827</v>
      </c>
      <c r="C2334">
        <v>414</v>
      </c>
      <c r="D2334">
        <v>568</v>
      </c>
      <c r="E2334">
        <v>1576754381</v>
      </c>
      <c r="F2334">
        <v>7149</v>
      </c>
      <c r="G2334">
        <v>0</v>
      </c>
      <c r="H2334" t="s">
        <v>7260</v>
      </c>
      <c r="I2334">
        <v>2613</v>
      </c>
      <c r="J2334" t="str">
        <f>VLOOKUP(E2334,DSSpieler!A:B,2,FALSE)</f>
        <v>xLamko</v>
      </c>
    </row>
    <row r="2335" spans="1:10" x14ac:dyDescent="0.25">
      <c r="A2335">
        <v>2614</v>
      </c>
      <c r="B2335" t="s">
        <v>531</v>
      </c>
      <c r="C2335">
        <v>478</v>
      </c>
      <c r="D2335">
        <v>433</v>
      </c>
      <c r="E2335">
        <v>0</v>
      </c>
      <c r="F2335">
        <v>559</v>
      </c>
      <c r="G2335">
        <v>0</v>
      </c>
      <c r="H2335" t="s">
        <v>7261</v>
      </c>
      <c r="I2335">
        <v>2614</v>
      </c>
      <c r="J2335" t="e">
        <f>VLOOKUP(E2335,DSSpieler!A:B,2,FALSE)</f>
        <v>#N/A</v>
      </c>
    </row>
    <row r="2336" spans="1:10" x14ac:dyDescent="0.25">
      <c r="A2336">
        <v>2615</v>
      </c>
      <c r="B2336" t="s">
        <v>996</v>
      </c>
      <c r="C2336">
        <v>587</v>
      </c>
      <c r="D2336">
        <v>462</v>
      </c>
      <c r="E2336">
        <v>1577188736</v>
      </c>
      <c r="F2336">
        <v>4751</v>
      </c>
      <c r="G2336">
        <v>0</v>
      </c>
      <c r="H2336" t="s">
        <v>7262</v>
      </c>
      <c r="I2336">
        <v>2615</v>
      </c>
      <c r="J2336" t="str">
        <f>VLOOKUP(E2336,DSSpieler!A:B,2,FALSE)</f>
        <v>WoHinGenau?</v>
      </c>
    </row>
    <row r="2337" spans="1:10" x14ac:dyDescent="0.25">
      <c r="A2337">
        <v>2616</v>
      </c>
      <c r="B2337" t="s">
        <v>31549</v>
      </c>
      <c r="C2337">
        <v>599</v>
      </c>
      <c r="D2337">
        <v>461</v>
      </c>
      <c r="E2337">
        <v>1577077787</v>
      </c>
      <c r="F2337">
        <v>6953</v>
      </c>
      <c r="G2337">
        <v>0</v>
      </c>
      <c r="H2337" t="s">
        <v>7263</v>
      </c>
      <c r="I2337">
        <v>2616</v>
      </c>
      <c r="J2337" t="str">
        <f>VLOOKUP(E2337,DSSpieler!A:B,2,FALSE)</f>
        <v>Kinorushi12</v>
      </c>
    </row>
    <row r="2338" spans="1:10" x14ac:dyDescent="0.25">
      <c r="A2338">
        <v>2617</v>
      </c>
      <c r="B2338" t="s">
        <v>31550</v>
      </c>
      <c r="C2338">
        <v>594</v>
      </c>
      <c r="D2338">
        <v>458</v>
      </c>
      <c r="E2338">
        <v>1576779600</v>
      </c>
      <c r="F2338">
        <v>3330</v>
      </c>
      <c r="G2338">
        <v>0</v>
      </c>
      <c r="H2338" t="s">
        <v>7264</v>
      </c>
      <c r="I2338">
        <v>2617</v>
      </c>
      <c r="J2338" t="str">
        <f>VLOOKUP(E2338,DSSpieler!A:B,2,FALSE)</f>
        <v>Badgirl.1</v>
      </c>
    </row>
    <row r="2339" spans="1:10" x14ac:dyDescent="0.25">
      <c r="A2339">
        <v>2618</v>
      </c>
      <c r="B2339" t="s">
        <v>531</v>
      </c>
      <c r="C2339">
        <v>555</v>
      </c>
      <c r="D2339">
        <v>544</v>
      </c>
      <c r="E2339">
        <v>1577197800</v>
      </c>
      <c r="F2339">
        <v>271</v>
      </c>
      <c r="G2339">
        <v>0</v>
      </c>
      <c r="H2339" t="s">
        <v>7265</v>
      </c>
      <c r="I2339">
        <v>2618</v>
      </c>
      <c r="J2339" t="str">
        <f>VLOOKUP(E2339,DSSpieler!A:B,2,FALSE)</f>
        <v>Hadhod</v>
      </c>
    </row>
    <row r="2340" spans="1:10" x14ac:dyDescent="0.25">
      <c r="A2340">
        <v>2619</v>
      </c>
      <c r="B2340" t="s">
        <v>31551</v>
      </c>
      <c r="C2340">
        <v>413</v>
      </c>
      <c r="D2340">
        <v>562</v>
      </c>
      <c r="E2340">
        <v>1577184357</v>
      </c>
      <c r="F2340">
        <v>5490</v>
      </c>
      <c r="G2340">
        <v>0</v>
      </c>
      <c r="H2340" t="s">
        <v>7266</v>
      </c>
      <c r="I2340">
        <v>2619</v>
      </c>
      <c r="J2340" t="str">
        <f>VLOOKUP(E2340,DSSpieler!A:B,2,FALSE)</f>
        <v>GlatzenDan</v>
      </c>
    </row>
    <row r="2341" spans="1:10" x14ac:dyDescent="0.25">
      <c r="A2341">
        <v>2620</v>
      </c>
      <c r="B2341" t="s">
        <v>31552</v>
      </c>
      <c r="C2341">
        <v>539</v>
      </c>
      <c r="D2341">
        <v>437</v>
      </c>
      <c r="E2341">
        <v>9473617</v>
      </c>
      <c r="F2341">
        <v>6114</v>
      </c>
      <c r="G2341">
        <v>0</v>
      </c>
      <c r="H2341" t="s">
        <v>7267</v>
      </c>
      <c r="I2341">
        <v>2620</v>
      </c>
      <c r="J2341" t="str">
        <f>VLOOKUP(E2341,DSSpieler!A:B,2,FALSE)</f>
        <v>Ratze89</v>
      </c>
    </row>
    <row r="2342" spans="1:10" x14ac:dyDescent="0.25">
      <c r="A2342">
        <v>2621</v>
      </c>
      <c r="B2342" t="s">
        <v>31553</v>
      </c>
      <c r="C2342">
        <v>477</v>
      </c>
      <c r="D2342">
        <v>468</v>
      </c>
      <c r="E2342">
        <v>1577164355</v>
      </c>
      <c r="F2342">
        <v>5442</v>
      </c>
      <c r="G2342">
        <v>0</v>
      </c>
      <c r="H2342" t="s">
        <v>7268</v>
      </c>
      <c r="I2342">
        <v>2621</v>
      </c>
      <c r="J2342" t="str">
        <f>VLOOKUP(E2342,DSSpieler!A:B,2,FALSE)</f>
        <v>saynotoslow</v>
      </c>
    </row>
    <row r="2343" spans="1:10" x14ac:dyDescent="0.25">
      <c r="A2343">
        <v>2622</v>
      </c>
      <c r="B2343" t="s">
        <v>997</v>
      </c>
      <c r="C2343">
        <v>468</v>
      </c>
      <c r="D2343">
        <v>539</v>
      </c>
      <c r="E2343">
        <v>1577183911</v>
      </c>
      <c r="F2343">
        <v>7004</v>
      </c>
      <c r="G2343">
        <v>0</v>
      </c>
      <c r="H2343" t="s">
        <v>7269</v>
      </c>
      <c r="I2343">
        <v>2622</v>
      </c>
      <c r="J2343" t="str">
        <f>VLOOKUP(E2343,DSSpieler!A:B,2,FALSE)</f>
        <v>PenithbartDerGrobe</v>
      </c>
    </row>
    <row r="2344" spans="1:10" x14ac:dyDescent="0.25">
      <c r="A2344">
        <v>2624</v>
      </c>
      <c r="B2344" t="s">
        <v>772</v>
      </c>
      <c r="C2344">
        <v>501</v>
      </c>
      <c r="D2344">
        <v>480</v>
      </c>
      <c r="E2344">
        <v>1577034825</v>
      </c>
      <c r="F2344">
        <v>5672</v>
      </c>
      <c r="G2344">
        <v>0</v>
      </c>
      <c r="H2344" t="s">
        <v>7270</v>
      </c>
      <c r="I2344">
        <v>2624</v>
      </c>
      <c r="J2344" t="str">
        <f>VLOOKUP(E2344,DSSpieler!A:B,2,FALSE)</f>
        <v>Schnuckenack Reinhardt</v>
      </c>
    </row>
    <row r="2345" spans="1:10" x14ac:dyDescent="0.25">
      <c r="A2345">
        <v>2625</v>
      </c>
      <c r="B2345" t="s">
        <v>531</v>
      </c>
      <c r="C2345">
        <v>513</v>
      </c>
      <c r="D2345">
        <v>549</v>
      </c>
      <c r="E2345">
        <v>0</v>
      </c>
      <c r="F2345">
        <v>440</v>
      </c>
      <c r="G2345">
        <v>0</v>
      </c>
      <c r="H2345" t="s">
        <v>7271</v>
      </c>
      <c r="I2345">
        <v>2625</v>
      </c>
      <c r="J2345" t="e">
        <f>VLOOKUP(E2345,DSSpieler!A:B,2,FALSE)</f>
        <v>#N/A</v>
      </c>
    </row>
    <row r="2346" spans="1:10" x14ac:dyDescent="0.25">
      <c r="A2346">
        <v>2626</v>
      </c>
      <c r="B2346" t="s">
        <v>31554</v>
      </c>
      <c r="C2346">
        <v>473</v>
      </c>
      <c r="D2346">
        <v>429</v>
      </c>
      <c r="E2346">
        <v>8979093</v>
      </c>
      <c r="F2346">
        <v>10471</v>
      </c>
      <c r="G2346">
        <v>0</v>
      </c>
      <c r="H2346" t="s">
        <v>7272</v>
      </c>
      <c r="I2346">
        <v>2626</v>
      </c>
      <c r="J2346" t="str">
        <f>VLOOKUP(E2346,DSSpieler!A:B,2,FALSE)</f>
        <v>colderaser</v>
      </c>
    </row>
    <row r="2347" spans="1:10" x14ac:dyDescent="0.25">
      <c r="A2347">
        <v>2627</v>
      </c>
      <c r="B2347" t="s">
        <v>531</v>
      </c>
      <c r="C2347">
        <v>501</v>
      </c>
      <c r="D2347">
        <v>544</v>
      </c>
      <c r="E2347">
        <v>0</v>
      </c>
      <c r="F2347">
        <v>307</v>
      </c>
      <c r="G2347">
        <v>0</v>
      </c>
      <c r="H2347" t="s">
        <v>7273</v>
      </c>
      <c r="I2347">
        <v>2627</v>
      </c>
      <c r="J2347" t="e">
        <f>VLOOKUP(E2347,DSSpieler!A:B,2,FALSE)</f>
        <v>#N/A</v>
      </c>
    </row>
    <row r="2348" spans="1:10" x14ac:dyDescent="0.25">
      <c r="A2348">
        <v>2629</v>
      </c>
      <c r="B2348" t="s">
        <v>998</v>
      </c>
      <c r="C2348">
        <v>535</v>
      </c>
      <c r="D2348">
        <v>399</v>
      </c>
      <c r="E2348">
        <v>1576944316</v>
      </c>
      <c r="F2348">
        <v>4780</v>
      </c>
      <c r="G2348">
        <v>0</v>
      </c>
      <c r="H2348" t="s">
        <v>7274</v>
      </c>
      <c r="I2348">
        <v>2629</v>
      </c>
      <c r="J2348" t="str">
        <f>VLOOKUP(E2348,DSSpieler!A:B,2,FALSE)</f>
        <v>Andenkarakara</v>
      </c>
    </row>
    <row r="2349" spans="1:10" x14ac:dyDescent="0.25">
      <c r="A2349">
        <v>2630</v>
      </c>
      <c r="B2349">
        <v>1</v>
      </c>
      <c r="C2349">
        <v>437</v>
      </c>
      <c r="D2349">
        <v>423</v>
      </c>
      <c r="E2349">
        <v>2723579</v>
      </c>
      <c r="F2349">
        <v>3494</v>
      </c>
      <c r="G2349">
        <v>0</v>
      </c>
      <c r="H2349" t="s">
        <v>7275</v>
      </c>
      <c r="I2349">
        <v>2630</v>
      </c>
      <c r="J2349" t="str">
        <f>VLOOKUP(E2349,DSSpieler!A:B,2,FALSE)</f>
        <v>ilja1000000</v>
      </c>
    </row>
    <row r="2350" spans="1:10" x14ac:dyDescent="0.25">
      <c r="A2350">
        <v>2631</v>
      </c>
      <c r="B2350" t="s">
        <v>31555</v>
      </c>
      <c r="C2350">
        <v>453</v>
      </c>
      <c r="D2350">
        <v>558</v>
      </c>
      <c r="E2350">
        <v>9325150</v>
      </c>
      <c r="F2350">
        <v>6797</v>
      </c>
      <c r="G2350">
        <v>0</v>
      </c>
      <c r="H2350" t="s">
        <v>7276</v>
      </c>
      <c r="I2350">
        <v>2631</v>
      </c>
      <c r="J2350" t="str">
        <f>VLOOKUP(E2350,DSSpieler!A:B,2,FALSE)</f>
        <v>Marzipanmann</v>
      </c>
    </row>
    <row r="2351" spans="1:10" x14ac:dyDescent="0.25">
      <c r="A2351">
        <v>2632</v>
      </c>
      <c r="B2351" t="s">
        <v>30943</v>
      </c>
      <c r="C2351">
        <v>587</v>
      </c>
      <c r="D2351">
        <v>564</v>
      </c>
      <c r="E2351">
        <v>9846715</v>
      </c>
      <c r="F2351">
        <v>4724</v>
      </c>
      <c r="G2351">
        <v>0</v>
      </c>
      <c r="H2351" t="s">
        <v>7277</v>
      </c>
      <c r="I2351">
        <v>2632</v>
      </c>
      <c r="J2351" t="str">
        <f>VLOOKUP(E2351,DSSpieler!A:B,2,FALSE)</f>
        <v>Cheese03</v>
      </c>
    </row>
    <row r="2352" spans="1:10" x14ac:dyDescent="0.25">
      <c r="A2352">
        <v>2633</v>
      </c>
      <c r="B2352" t="s">
        <v>31556</v>
      </c>
      <c r="C2352">
        <v>587</v>
      </c>
      <c r="D2352">
        <v>545</v>
      </c>
      <c r="E2352">
        <v>2918209</v>
      </c>
      <c r="F2352">
        <v>5776</v>
      </c>
      <c r="G2352">
        <v>0</v>
      </c>
      <c r="H2352" t="s">
        <v>7278</v>
      </c>
      <c r="I2352">
        <v>2633</v>
      </c>
      <c r="J2352" t="str">
        <f>VLOOKUP(E2352,DSSpieler!A:B,2,FALSE)</f>
        <v>Zeilor</v>
      </c>
    </row>
    <row r="2353" spans="1:10" x14ac:dyDescent="0.25">
      <c r="A2353">
        <v>2634</v>
      </c>
      <c r="B2353" t="s">
        <v>31557</v>
      </c>
      <c r="C2353">
        <v>477</v>
      </c>
      <c r="D2353">
        <v>542</v>
      </c>
      <c r="E2353">
        <v>1577178111</v>
      </c>
      <c r="F2353">
        <v>4560</v>
      </c>
      <c r="G2353">
        <v>0</v>
      </c>
      <c r="H2353" t="s">
        <v>7279</v>
      </c>
      <c r="I2353">
        <v>2634</v>
      </c>
      <c r="J2353" t="str">
        <f>VLOOKUP(E2353,DSSpieler!A:B,2,FALSE)</f>
        <v>DoMii</v>
      </c>
    </row>
    <row r="2354" spans="1:10" x14ac:dyDescent="0.25">
      <c r="A2354">
        <v>2635</v>
      </c>
      <c r="B2354" t="s">
        <v>999</v>
      </c>
      <c r="C2354">
        <v>413</v>
      </c>
      <c r="D2354">
        <v>534</v>
      </c>
      <c r="E2354">
        <v>9705555</v>
      </c>
      <c r="F2354">
        <v>6964</v>
      </c>
      <c r="G2354">
        <v>0</v>
      </c>
      <c r="H2354" t="s">
        <v>7280</v>
      </c>
      <c r="I2354">
        <v>2635</v>
      </c>
      <c r="J2354" t="str">
        <f>VLOOKUP(E2354,DSSpieler!A:B,2,FALSE)</f>
        <v>MarcoUndNils</v>
      </c>
    </row>
    <row r="2355" spans="1:10" x14ac:dyDescent="0.25">
      <c r="A2355">
        <v>2636</v>
      </c>
      <c r="B2355" t="s">
        <v>1000</v>
      </c>
      <c r="C2355">
        <v>496</v>
      </c>
      <c r="D2355">
        <v>471</v>
      </c>
      <c r="E2355">
        <v>1577197765</v>
      </c>
      <c r="F2355">
        <v>4936</v>
      </c>
      <c r="G2355">
        <v>0</v>
      </c>
      <c r="H2355" t="s">
        <v>7281</v>
      </c>
      <c r="I2355">
        <v>2636</v>
      </c>
      <c r="J2355" t="str">
        <f>VLOOKUP(E2355,DSSpieler!A:B,2,FALSE)</f>
        <v>Lord Sprantie</v>
      </c>
    </row>
    <row r="2356" spans="1:10" x14ac:dyDescent="0.25">
      <c r="A2356">
        <v>2637</v>
      </c>
      <c r="B2356" t="s">
        <v>1001</v>
      </c>
      <c r="C2356">
        <v>531</v>
      </c>
      <c r="D2356">
        <v>435</v>
      </c>
      <c r="E2356">
        <v>3143028</v>
      </c>
      <c r="F2356">
        <v>8220</v>
      </c>
      <c r="G2356">
        <v>0</v>
      </c>
      <c r="H2356" t="s">
        <v>7282</v>
      </c>
      <c r="I2356">
        <v>2637</v>
      </c>
      <c r="J2356" t="str">
        <f>VLOOKUP(E2356,DSSpieler!A:B,2,FALSE)</f>
        <v>Tom Traitor</v>
      </c>
    </row>
    <row r="2357" spans="1:10" x14ac:dyDescent="0.25">
      <c r="A2357">
        <v>2638</v>
      </c>
      <c r="B2357" t="s">
        <v>531</v>
      </c>
      <c r="C2357">
        <v>556</v>
      </c>
      <c r="D2357">
        <v>444</v>
      </c>
      <c r="E2357">
        <v>0</v>
      </c>
      <c r="F2357">
        <v>221</v>
      </c>
      <c r="G2357">
        <v>0</v>
      </c>
      <c r="H2357" t="s">
        <v>7283</v>
      </c>
      <c r="I2357">
        <v>2638</v>
      </c>
      <c r="J2357" t="e">
        <f>VLOOKUP(E2357,DSSpieler!A:B,2,FALSE)</f>
        <v>#N/A</v>
      </c>
    </row>
    <row r="2358" spans="1:10" x14ac:dyDescent="0.25">
      <c r="A2358">
        <v>2639</v>
      </c>
      <c r="B2358" t="s">
        <v>531</v>
      </c>
      <c r="C2358">
        <v>468</v>
      </c>
      <c r="D2358">
        <v>499</v>
      </c>
      <c r="E2358">
        <v>0</v>
      </c>
      <c r="F2358">
        <v>224</v>
      </c>
      <c r="G2358">
        <v>0</v>
      </c>
      <c r="H2358" t="s">
        <v>7284</v>
      </c>
      <c r="I2358">
        <v>2639</v>
      </c>
      <c r="J2358" t="e">
        <f>VLOOKUP(E2358,DSSpieler!A:B,2,FALSE)</f>
        <v>#N/A</v>
      </c>
    </row>
    <row r="2359" spans="1:10" x14ac:dyDescent="0.25">
      <c r="A2359">
        <v>2640</v>
      </c>
      <c r="B2359" t="s">
        <v>1002</v>
      </c>
      <c r="C2359">
        <v>511</v>
      </c>
      <c r="D2359">
        <v>562</v>
      </c>
      <c r="E2359">
        <v>1577171063</v>
      </c>
      <c r="F2359">
        <v>6677</v>
      </c>
      <c r="G2359">
        <v>0</v>
      </c>
      <c r="H2359" t="s">
        <v>7285</v>
      </c>
      <c r="I2359">
        <v>2640</v>
      </c>
      <c r="J2359" t="str">
        <f>VLOOKUP(E2359,DSSpieler!A:B,2,FALSE)</f>
        <v>PhoenixFire</v>
      </c>
    </row>
    <row r="2360" spans="1:10" x14ac:dyDescent="0.25">
      <c r="A2360">
        <v>2641</v>
      </c>
      <c r="B2360" t="s">
        <v>1003</v>
      </c>
      <c r="C2360">
        <v>437</v>
      </c>
      <c r="D2360">
        <v>498</v>
      </c>
      <c r="E2360">
        <v>8117207</v>
      </c>
      <c r="F2360">
        <v>4823</v>
      </c>
      <c r="G2360">
        <v>0</v>
      </c>
      <c r="H2360" t="s">
        <v>7286</v>
      </c>
      <c r="I2360">
        <v>2641</v>
      </c>
      <c r="J2360" t="str">
        <f>VLOOKUP(E2360,DSSpieler!A:B,2,FALSE)</f>
        <v>morphyn</v>
      </c>
    </row>
    <row r="2361" spans="1:10" x14ac:dyDescent="0.25">
      <c r="A2361">
        <v>2642</v>
      </c>
      <c r="B2361">
        <v>5</v>
      </c>
      <c r="C2361">
        <v>545</v>
      </c>
      <c r="D2361">
        <v>516</v>
      </c>
      <c r="E2361">
        <v>1577070621</v>
      </c>
      <c r="F2361">
        <v>5964</v>
      </c>
      <c r="G2361">
        <v>0</v>
      </c>
      <c r="H2361" t="s">
        <v>7287</v>
      </c>
      <c r="I2361">
        <v>2642</v>
      </c>
      <c r="J2361" t="str">
        <f>VLOOKUP(E2361,DSSpieler!A:B,2,FALSE)</f>
        <v>mulan1982</v>
      </c>
    </row>
    <row r="2362" spans="1:10" x14ac:dyDescent="0.25">
      <c r="A2362">
        <v>2643</v>
      </c>
      <c r="B2362" t="s">
        <v>31558</v>
      </c>
      <c r="C2362">
        <v>549</v>
      </c>
      <c r="D2362">
        <v>443</v>
      </c>
      <c r="E2362">
        <v>8951253</v>
      </c>
      <c r="F2362">
        <v>6054</v>
      </c>
      <c r="G2362">
        <v>0</v>
      </c>
      <c r="H2362" t="s">
        <v>7288</v>
      </c>
      <c r="I2362">
        <v>2643</v>
      </c>
      <c r="J2362" t="str">
        <f>VLOOKUP(E2362,DSSpieler!A:B,2,FALSE)</f>
        <v>Fr@nky1</v>
      </c>
    </row>
    <row r="2363" spans="1:10" x14ac:dyDescent="0.25">
      <c r="A2363">
        <v>2644</v>
      </c>
      <c r="B2363" t="s">
        <v>31559</v>
      </c>
      <c r="C2363">
        <v>526</v>
      </c>
      <c r="D2363">
        <v>422</v>
      </c>
      <c r="E2363">
        <v>1577197561</v>
      </c>
      <c r="F2363">
        <v>6678</v>
      </c>
      <c r="G2363">
        <v>0</v>
      </c>
      <c r="H2363" t="s">
        <v>7289</v>
      </c>
      <c r="I2363">
        <v>2644</v>
      </c>
      <c r="J2363" t="str">
        <f>VLOOKUP(E2363,DSSpieler!A:B,2,FALSE)</f>
        <v>Tim Traitor</v>
      </c>
    </row>
    <row r="2364" spans="1:10" x14ac:dyDescent="0.25">
      <c r="A2364">
        <v>2645</v>
      </c>
      <c r="B2364" t="s">
        <v>1004</v>
      </c>
      <c r="C2364">
        <v>568</v>
      </c>
      <c r="D2364">
        <v>468</v>
      </c>
      <c r="E2364">
        <v>1577191257</v>
      </c>
      <c r="F2364">
        <v>2664</v>
      </c>
      <c r="G2364">
        <v>0</v>
      </c>
      <c r="H2364" t="s">
        <v>7290</v>
      </c>
      <c r="I2364">
        <v>2645</v>
      </c>
      <c r="J2364" t="str">
        <f>VLOOKUP(E2364,DSSpieler!A:B,2,FALSE)</f>
        <v>Ostsee-Dude</v>
      </c>
    </row>
    <row r="2365" spans="1:10" x14ac:dyDescent="0.25">
      <c r="A2365">
        <v>2646</v>
      </c>
      <c r="B2365" t="s">
        <v>1005</v>
      </c>
      <c r="C2365">
        <v>507</v>
      </c>
      <c r="D2365">
        <v>405</v>
      </c>
      <c r="E2365">
        <v>1577193641</v>
      </c>
      <c r="F2365">
        <v>4746</v>
      </c>
      <c r="G2365">
        <v>0</v>
      </c>
      <c r="H2365" t="s">
        <v>7291</v>
      </c>
      <c r="I2365">
        <v>2646</v>
      </c>
      <c r="J2365" t="str">
        <f>VLOOKUP(E2365,DSSpieler!A:B,2,FALSE)</f>
        <v>Lady Cleo</v>
      </c>
    </row>
    <row r="2366" spans="1:10" x14ac:dyDescent="0.25">
      <c r="A2366">
        <v>2647</v>
      </c>
      <c r="B2366" t="s">
        <v>31560</v>
      </c>
      <c r="C2366">
        <v>505</v>
      </c>
      <c r="D2366">
        <v>436</v>
      </c>
      <c r="E2366">
        <v>1577006772</v>
      </c>
      <c r="F2366">
        <v>7133</v>
      </c>
      <c r="G2366">
        <v>0</v>
      </c>
      <c r="H2366" t="s">
        <v>7292</v>
      </c>
      <c r="I2366">
        <v>2647</v>
      </c>
      <c r="J2366" t="str">
        <f>VLOOKUP(E2366,DSSpieler!A:B,2,FALSE)</f>
        <v>Toolrebel</v>
      </c>
    </row>
    <row r="2367" spans="1:10" x14ac:dyDescent="0.25">
      <c r="A2367">
        <v>2648</v>
      </c>
      <c r="B2367" t="s">
        <v>31561</v>
      </c>
      <c r="C2367">
        <v>418</v>
      </c>
      <c r="D2367">
        <v>561</v>
      </c>
      <c r="E2367">
        <v>1577179845</v>
      </c>
      <c r="F2367">
        <v>6025</v>
      </c>
      <c r="G2367">
        <v>0</v>
      </c>
      <c r="H2367" t="s">
        <v>7293</v>
      </c>
      <c r="I2367">
        <v>2648</v>
      </c>
      <c r="J2367" t="str">
        <f>VLOOKUP(E2367,DSSpieler!A:B,2,FALSE)</f>
        <v>gutijahr10</v>
      </c>
    </row>
    <row r="2368" spans="1:10" x14ac:dyDescent="0.25">
      <c r="A2368">
        <v>2649</v>
      </c>
      <c r="B2368" t="s">
        <v>31562</v>
      </c>
      <c r="C2368">
        <v>459</v>
      </c>
      <c r="D2368">
        <v>426</v>
      </c>
      <c r="E2368">
        <v>1576840655</v>
      </c>
      <c r="F2368">
        <v>4969</v>
      </c>
      <c r="G2368">
        <v>0</v>
      </c>
      <c r="H2368" t="s">
        <v>7294</v>
      </c>
      <c r="I2368">
        <v>2649</v>
      </c>
      <c r="J2368" t="str">
        <f>VLOOKUP(E2368,DSSpieler!A:B,2,FALSE)</f>
        <v>Kaputus</v>
      </c>
    </row>
    <row r="2369" spans="1:10" x14ac:dyDescent="0.25">
      <c r="A2369">
        <v>2650</v>
      </c>
      <c r="B2369" t="s">
        <v>31563</v>
      </c>
      <c r="C2369">
        <v>488</v>
      </c>
      <c r="D2369">
        <v>417</v>
      </c>
      <c r="E2369">
        <v>1577186342</v>
      </c>
      <c r="F2369">
        <v>5307</v>
      </c>
      <c r="G2369">
        <v>0</v>
      </c>
      <c r="H2369" t="s">
        <v>7295</v>
      </c>
      <c r="I2369">
        <v>2650</v>
      </c>
      <c r="J2369" t="str">
        <f>VLOOKUP(E2369,DSSpieler!A:B,2,FALSE)</f>
        <v>ichundmeinvolk</v>
      </c>
    </row>
    <row r="2370" spans="1:10" x14ac:dyDescent="0.25">
      <c r="A2370">
        <v>2651</v>
      </c>
      <c r="B2370" t="s">
        <v>31564</v>
      </c>
      <c r="C2370">
        <v>433</v>
      </c>
      <c r="D2370">
        <v>485</v>
      </c>
      <c r="E2370">
        <v>1577183720</v>
      </c>
      <c r="F2370">
        <v>5174</v>
      </c>
      <c r="G2370">
        <v>0</v>
      </c>
      <c r="H2370" t="s">
        <v>7296</v>
      </c>
      <c r="I2370">
        <v>2651</v>
      </c>
      <c r="J2370" t="str">
        <f>VLOOKUP(E2370,DSSpieler!A:B,2,FALSE)</f>
        <v>StayHome</v>
      </c>
    </row>
    <row r="2371" spans="1:10" x14ac:dyDescent="0.25">
      <c r="A2371">
        <v>2652</v>
      </c>
      <c r="B2371" t="s">
        <v>1006</v>
      </c>
      <c r="C2371">
        <v>461</v>
      </c>
      <c r="D2371">
        <v>516</v>
      </c>
      <c r="E2371">
        <v>1576785741</v>
      </c>
      <c r="F2371">
        <v>1312</v>
      </c>
      <c r="G2371">
        <v>0</v>
      </c>
      <c r="H2371" t="s">
        <v>7297</v>
      </c>
      <c r="I2371">
        <v>2652</v>
      </c>
      <c r="J2371" t="str">
        <f>VLOOKUP(E2371,DSSpieler!A:B,2,FALSE)</f>
        <v>Myforce</v>
      </c>
    </row>
    <row r="2372" spans="1:10" x14ac:dyDescent="0.25">
      <c r="A2372">
        <v>2654</v>
      </c>
      <c r="B2372" t="s">
        <v>31565</v>
      </c>
      <c r="C2372">
        <v>500</v>
      </c>
      <c r="D2372">
        <v>578</v>
      </c>
      <c r="E2372">
        <v>1577197733</v>
      </c>
      <c r="F2372">
        <v>7124</v>
      </c>
      <c r="G2372">
        <v>0</v>
      </c>
      <c r="H2372" t="s">
        <v>7298</v>
      </c>
      <c r="I2372">
        <v>2654</v>
      </c>
      <c r="J2372" t="str">
        <f>VLOOKUP(E2372,DSSpieler!A:B,2,FALSE)</f>
        <v>Sheriff Söder</v>
      </c>
    </row>
    <row r="2373" spans="1:10" x14ac:dyDescent="0.25">
      <c r="A2373">
        <v>2655</v>
      </c>
      <c r="B2373" t="s">
        <v>1007</v>
      </c>
      <c r="C2373">
        <v>565</v>
      </c>
      <c r="D2373">
        <v>549</v>
      </c>
      <c r="E2373">
        <v>1577130480</v>
      </c>
      <c r="F2373">
        <v>4167</v>
      </c>
      <c r="G2373">
        <v>0</v>
      </c>
      <c r="H2373" t="s">
        <v>7299</v>
      </c>
      <c r="I2373">
        <v>2655</v>
      </c>
      <c r="J2373" t="str">
        <f>VLOOKUP(E2373,DSSpieler!A:B,2,FALSE)</f>
        <v>Kri1003</v>
      </c>
    </row>
    <row r="2374" spans="1:10" x14ac:dyDescent="0.25">
      <c r="A2374">
        <v>2656</v>
      </c>
      <c r="B2374" t="s">
        <v>31566</v>
      </c>
      <c r="C2374">
        <v>546</v>
      </c>
      <c r="D2374">
        <v>565</v>
      </c>
      <c r="E2374">
        <v>1577192716</v>
      </c>
      <c r="F2374">
        <v>5832</v>
      </c>
      <c r="G2374">
        <v>0</v>
      </c>
      <c r="H2374" t="s">
        <v>7300</v>
      </c>
      <c r="I2374">
        <v>2656</v>
      </c>
      <c r="J2374" t="str">
        <f>VLOOKUP(E2374,DSSpieler!A:B,2,FALSE)</f>
        <v>anotherpog</v>
      </c>
    </row>
    <row r="2375" spans="1:10" x14ac:dyDescent="0.25">
      <c r="A2375">
        <v>2657</v>
      </c>
      <c r="B2375" t="s">
        <v>1008</v>
      </c>
      <c r="C2375">
        <v>452</v>
      </c>
      <c r="D2375">
        <v>494</v>
      </c>
      <c r="E2375">
        <v>9813109</v>
      </c>
      <c r="F2375">
        <v>5581</v>
      </c>
      <c r="G2375">
        <v>0</v>
      </c>
      <c r="H2375" t="s">
        <v>7301</v>
      </c>
      <c r="I2375">
        <v>2657</v>
      </c>
      <c r="J2375" t="str">
        <f>VLOOKUP(E2375,DSSpieler!A:B,2,FALSE)</f>
        <v>chrismaster10</v>
      </c>
    </row>
    <row r="2376" spans="1:10" x14ac:dyDescent="0.25">
      <c r="A2376">
        <v>2658</v>
      </c>
      <c r="B2376" t="s">
        <v>1009</v>
      </c>
      <c r="C2376">
        <v>596</v>
      </c>
      <c r="D2376">
        <v>502</v>
      </c>
      <c r="E2376">
        <v>8393437</v>
      </c>
      <c r="F2376">
        <v>5671</v>
      </c>
      <c r="G2376">
        <v>0</v>
      </c>
      <c r="H2376" t="s">
        <v>7302</v>
      </c>
      <c r="I2376">
        <v>2658</v>
      </c>
      <c r="J2376" t="str">
        <f>VLOOKUP(E2376,DSSpieler!A:B,2,FALSE)</f>
        <v>Dein Tödchen</v>
      </c>
    </row>
    <row r="2377" spans="1:10" x14ac:dyDescent="0.25">
      <c r="A2377">
        <v>2659</v>
      </c>
      <c r="B2377" t="e">
        <f>-1-+Orgrimmar</f>
        <v>#NAME?</v>
      </c>
      <c r="C2377">
        <v>428</v>
      </c>
      <c r="D2377">
        <v>521</v>
      </c>
      <c r="E2377">
        <v>1576708182</v>
      </c>
      <c r="F2377">
        <v>6949</v>
      </c>
      <c r="G2377">
        <v>0</v>
      </c>
      <c r="H2377" t="s">
        <v>7303</v>
      </c>
      <c r="I2377">
        <v>2659</v>
      </c>
      <c r="J2377" t="str">
        <f>VLOOKUP(E2377,DSSpieler!A:B,2,FALSE)</f>
        <v>Lord Raphnix</v>
      </c>
    </row>
    <row r="2378" spans="1:10" x14ac:dyDescent="0.25">
      <c r="A2378">
        <v>2660</v>
      </c>
      <c r="B2378" t="s">
        <v>35829</v>
      </c>
      <c r="C2378">
        <v>456</v>
      </c>
      <c r="D2378">
        <v>560</v>
      </c>
      <c r="E2378">
        <v>9764565</v>
      </c>
      <c r="F2378">
        <v>6316</v>
      </c>
      <c r="G2378">
        <v>0</v>
      </c>
      <c r="H2378" t="s">
        <v>7304</v>
      </c>
      <c r="I2378">
        <v>2660</v>
      </c>
      <c r="J2378" t="str">
        <f>VLOOKUP(E2378,DSSpieler!A:B,2,FALSE)</f>
        <v>Capt.Bizeps</v>
      </c>
    </row>
    <row r="2379" spans="1:10" x14ac:dyDescent="0.25">
      <c r="A2379">
        <v>2661</v>
      </c>
      <c r="B2379">
        <v>3</v>
      </c>
      <c r="C2379">
        <v>582</v>
      </c>
      <c r="D2379">
        <v>552</v>
      </c>
      <c r="E2379">
        <v>1576613198</v>
      </c>
      <c r="F2379">
        <v>5243</v>
      </c>
      <c r="G2379">
        <v>0</v>
      </c>
      <c r="H2379" t="s">
        <v>7305</v>
      </c>
      <c r="I2379">
        <v>2661</v>
      </c>
      <c r="J2379" t="str">
        <f>VLOOKUP(E2379,DSSpieler!A:B,2,FALSE)</f>
        <v>-Schnee-im-Sommer-</v>
      </c>
    </row>
    <row r="2380" spans="1:10" x14ac:dyDescent="0.25">
      <c r="A2380">
        <v>2662</v>
      </c>
      <c r="B2380" t="s">
        <v>1010</v>
      </c>
      <c r="C2380">
        <v>461</v>
      </c>
      <c r="D2380">
        <v>593</v>
      </c>
      <c r="E2380">
        <v>1576572176</v>
      </c>
      <c r="F2380">
        <v>2243</v>
      </c>
      <c r="G2380">
        <v>0</v>
      </c>
      <c r="H2380" t="s">
        <v>7306</v>
      </c>
      <c r="I2380">
        <v>2662</v>
      </c>
      <c r="J2380" t="str">
        <f>VLOOKUP(E2380,DSSpieler!A:B,2,FALSE)</f>
        <v>Skellini</v>
      </c>
    </row>
    <row r="2381" spans="1:10" x14ac:dyDescent="0.25">
      <c r="A2381">
        <v>2663</v>
      </c>
      <c r="B2381" t="s">
        <v>31567</v>
      </c>
      <c r="C2381">
        <v>529</v>
      </c>
      <c r="D2381">
        <v>413</v>
      </c>
      <c r="E2381">
        <v>1576039632</v>
      </c>
      <c r="F2381">
        <v>4798</v>
      </c>
      <c r="G2381">
        <v>0</v>
      </c>
      <c r="H2381" t="s">
        <v>7307</v>
      </c>
      <c r="I2381">
        <v>2663</v>
      </c>
      <c r="J2381" t="str">
        <f>VLOOKUP(E2381,DSSpieler!A:B,2,FALSE)</f>
        <v>PaulPdG</v>
      </c>
    </row>
    <row r="2382" spans="1:10" x14ac:dyDescent="0.25">
      <c r="A2382">
        <v>2664</v>
      </c>
      <c r="B2382" t="e">
        <f>-2-+Die+Burschen</f>
        <v>#NAME?</v>
      </c>
      <c r="C2382">
        <v>425</v>
      </c>
      <c r="D2382">
        <v>421</v>
      </c>
      <c r="E2382">
        <v>1577188841</v>
      </c>
      <c r="F2382">
        <v>4612</v>
      </c>
      <c r="G2382">
        <v>0</v>
      </c>
      <c r="H2382" t="s">
        <v>7308</v>
      </c>
      <c r="I2382">
        <v>2664</v>
      </c>
      <c r="J2382" t="str">
        <f>VLOOKUP(E2382,DSSpieler!A:B,2,FALSE)</f>
        <v>drodo</v>
      </c>
    </row>
    <row r="2383" spans="1:10" x14ac:dyDescent="0.25">
      <c r="A2383">
        <v>2665</v>
      </c>
      <c r="B2383" t="s">
        <v>31568</v>
      </c>
      <c r="C2383">
        <v>575</v>
      </c>
      <c r="D2383">
        <v>455</v>
      </c>
      <c r="E2383">
        <v>1576961556</v>
      </c>
      <c r="F2383">
        <v>6280</v>
      </c>
      <c r="G2383">
        <v>0</v>
      </c>
      <c r="H2383" t="s">
        <v>7309</v>
      </c>
      <c r="I2383">
        <v>2665</v>
      </c>
      <c r="J2383" t="str">
        <f>VLOOKUP(E2383,DSSpieler!A:B,2,FALSE)</f>
        <v>TraderJoey2</v>
      </c>
    </row>
    <row r="2384" spans="1:10" x14ac:dyDescent="0.25">
      <c r="A2384">
        <v>2666</v>
      </c>
      <c r="B2384" t="s">
        <v>31569</v>
      </c>
      <c r="C2384">
        <v>450</v>
      </c>
      <c r="D2384">
        <v>472</v>
      </c>
      <c r="E2384">
        <v>9354820</v>
      </c>
      <c r="F2384">
        <v>2233</v>
      </c>
      <c r="G2384">
        <v>0</v>
      </c>
      <c r="H2384" t="s">
        <v>7310</v>
      </c>
      <c r="I2384">
        <v>2666</v>
      </c>
      <c r="J2384" t="str">
        <f>VLOOKUP(E2384,DSSpieler!A:B,2,FALSE)</f>
        <v>Meisterknecht001</v>
      </c>
    </row>
    <row r="2385" spans="1:10" x14ac:dyDescent="0.25">
      <c r="A2385">
        <v>2667</v>
      </c>
      <c r="B2385" t="s">
        <v>30943</v>
      </c>
      <c r="C2385">
        <v>585</v>
      </c>
      <c r="D2385">
        <v>564</v>
      </c>
      <c r="E2385">
        <v>9846715</v>
      </c>
      <c r="F2385">
        <v>5768</v>
      </c>
      <c r="G2385">
        <v>0</v>
      </c>
      <c r="H2385" t="s">
        <v>7311</v>
      </c>
      <c r="I2385">
        <v>2667</v>
      </c>
      <c r="J2385" t="str">
        <f>VLOOKUP(E2385,DSSpieler!A:B,2,FALSE)</f>
        <v>Cheese03</v>
      </c>
    </row>
    <row r="2386" spans="1:10" x14ac:dyDescent="0.25">
      <c r="A2386">
        <v>2668</v>
      </c>
      <c r="B2386" t="s">
        <v>1011</v>
      </c>
      <c r="C2386">
        <v>591</v>
      </c>
      <c r="D2386">
        <v>549</v>
      </c>
      <c r="E2386">
        <v>2679744</v>
      </c>
      <c r="F2386">
        <v>4223</v>
      </c>
      <c r="G2386">
        <v>0</v>
      </c>
      <c r="H2386" t="s">
        <v>7312</v>
      </c>
      <c r="I2386">
        <v>2668</v>
      </c>
      <c r="J2386" t="str">
        <f>VLOOKUP(E2386,DSSpieler!A:B,2,FALSE)</f>
        <v>tortelinie</v>
      </c>
    </row>
    <row r="2387" spans="1:10" x14ac:dyDescent="0.25">
      <c r="A2387">
        <v>2670</v>
      </c>
      <c r="B2387" t="s">
        <v>531</v>
      </c>
      <c r="C2387">
        <v>551</v>
      </c>
      <c r="D2387">
        <v>451</v>
      </c>
      <c r="E2387">
        <v>0</v>
      </c>
      <c r="F2387">
        <v>446</v>
      </c>
      <c r="G2387">
        <v>0</v>
      </c>
      <c r="H2387" t="s">
        <v>7313</v>
      </c>
      <c r="I2387">
        <v>2670</v>
      </c>
      <c r="J2387" t="e">
        <f>VLOOKUP(E2387,DSSpieler!A:B,2,FALSE)</f>
        <v>#N/A</v>
      </c>
    </row>
    <row r="2388" spans="1:10" x14ac:dyDescent="0.25">
      <c r="A2388">
        <v>2671</v>
      </c>
      <c r="B2388" t="s">
        <v>978</v>
      </c>
      <c r="C2388">
        <v>557</v>
      </c>
      <c r="D2388">
        <v>494</v>
      </c>
      <c r="E2388">
        <v>1731030</v>
      </c>
      <c r="F2388">
        <v>4624</v>
      </c>
      <c r="G2388">
        <v>0</v>
      </c>
      <c r="H2388" t="s">
        <v>7314</v>
      </c>
      <c r="I2388">
        <v>2671</v>
      </c>
      <c r="J2388" t="str">
        <f>VLOOKUP(E2388,DSSpieler!A:B,2,FALSE)</f>
        <v>Keltigun</v>
      </c>
    </row>
    <row r="2389" spans="1:10" x14ac:dyDescent="0.25">
      <c r="A2389">
        <v>2672</v>
      </c>
      <c r="B2389" t="s">
        <v>531</v>
      </c>
      <c r="C2389">
        <v>514</v>
      </c>
      <c r="D2389">
        <v>554</v>
      </c>
      <c r="E2389">
        <v>0</v>
      </c>
      <c r="F2389">
        <v>262</v>
      </c>
      <c r="G2389">
        <v>0</v>
      </c>
      <c r="H2389" t="s">
        <v>7315</v>
      </c>
      <c r="I2389">
        <v>2672</v>
      </c>
      <c r="J2389" t="e">
        <f>VLOOKUP(E2389,DSSpieler!A:B,2,FALSE)</f>
        <v>#N/A</v>
      </c>
    </row>
    <row r="2390" spans="1:10" x14ac:dyDescent="0.25">
      <c r="A2390">
        <v>2673</v>
      </c>
      <c r="B2390" t="s">
        <v>31570</v>
      </c>
      <c r="C2390">
        <v>604</v>
      </c>
      <c r="D2390">
        <v>518</v>
      </c>
      <c r="E2390">
        <v>1576935207</v>
      </c>
      <c r="F2390">
        <v>1213</v>
      </c>
      <c r="G2390">
        <v>0</v>
      </c>
      <c r="H2390" t="s">
        <v>7316</v>
      </c>
      <c r="I2390">
        <v>2673</v>
      </c>
      <c r="J2390" t="str">
        <f>VLOOKUP(E2390,DSSpieler!A:B,2,FALSE)</f>
        <v>XFrontschweinX</v>
      </c>
    </row>
    <row r="2391" spans="1:10" x14ac:dyDescent="0.25">
      <c r="A2391">
        <v>2674</v>
      </c>
      <c r="B2391">
        <v>2</v>
      </c>
      <c r="C2391">
        <v>538</v>
      </c>
      <c r="D2391">
        <v>478</v>
      </c>
      <c r="E2391">
        <v>1577178830</v>
      </c>
      <c r="F2391">
        <v>6575</v>
      </c>
      <c r="G2391">
        <v>0</v>
      </c>
      <c r="H2391" t="s">
        <v>7317</v>
      </c>
      <c r="I2391">
        <v>2674</v>
      </c>
      <c r="J2391" t="str">
        <f>VLOOKUP(E2391,DSSpieler!A:B,2,FALSE)</f>
        <v>jokra</v>
      </c>
    </row>
    <row r="2392" spans="1:10" x14ac:dyDescent="0.25">
      <c r="A2392">
        <v>2675</v>
      </c>
      <c r="B2392" t="s">
        <v>31571</v>
      </c>
      <c r="C2392">
        <v>445</v>
      </c>
      <c r="D2392">
        <v>509</v>
      </c>
      <c r="E2392">
        <v>1577181814</v>
      </c>
      <c r="F2392">
        <v>6019</v>
      </c>
      <c r="G2392">
        <v>0</v>
      </c>
      <c r="H2392" t="s">
        <v>7318</v>
      </c>
      <c r="I2392">
        <v>2675</v>
      </c>
      <c r="J2392" t="str">
        <f>VLOOKUP(E2392,DSSpieler!A:B,2,FALSE)</f>
        <v>jack.daniels</v>
      </c>
    </row>
    <row r="2393" spans="1:10" x14ac:dyDescent="0.25">
      <c r="A2393">
        <v>2678</v>
      </c>
      <c r="B2393" t="s">
        <v>31572</v>
      </c>
      <c r="C2393">
        <v>570</v>
      </c>
      <c r="D2393">
        <v>471</v>
      </c>
      <c r="E2393">
        <v>8334558</v>
      </c>
      <c r="F2393">
        <v>3761</v>
      </c>
      <c r="G2393">
        <v>0</v>
      </c>
      <c r="H2393" t="s">
        <v>7319</v>
      </c>
      <c r="I2393">
        <v>2678</v>
      </c>
      <c r="J2393" t="str">
        <f>VLOOKUP(E2393,DSSpieler!A:B,2,FALSE)</f>
        <v>xHannes</v>
      </c>
    </row>
    <row r="2394" spans="1:10" x14ac:dyDescent="0.25">
      <c r="A2394">
        <v>2679</v>
      </c>
      <c r="B2394" t="e">
        <f>-Igors+Dorf</f>
        <v>#NAME?</v>
      </c>
      <c r="C2394">
        <v>503</v>
      </c>
      <c r="D2394">
        <v>575</v>
      </c>
      <c r="E2394">
        <v>1577197733</v>
      </c>
      <c r="F2394">
        <v>5070</v>
      </c>
      <c r="G2394">
        <v>0</v>
      </c>
      <c r="H2394" t="s">
        <v>7320</v>
      </c>
      <c r="I2394">
        <v>2679</v>
      </c>
      <c r="J2394" t="str">
        <f>VLOOKUP(E2394,DSSpieler!A:B,2,FALSE)</f>
        <v>Sheriff Söder</v>
      </c>
    </row>
    <row r="2395" spans="1:10" x14ac:dyDescent="0.25">
      <c r="A2395">
        <v>2680</v>
      </c>
      <c r="B2395" t="s">
        <v>531</v>
      </c>
      <c r="C2395">
        <v>419</v>
      </c>
      <c r="D2395">
        <v>435</v>
      </c>
      <c r="E2395">
        <v>0</v>
      </c>
      <c r="F2395">
        <v>624</v>
      </c>
      <c r="G2395">
        <v>0</v>
      </c>
      <c r="H2395" t="s">
        <v>7321</v>
      </c>
      <c r="I2395">
        <v>2680</v>
      </c>
      <c r="J2395" t="e">
        <f>VLOOKUP(E2395,DSSpieler!A:B,2,FALSE)</f>
        <v>#N/A</v>
      </c>
    </row>
    <row r="2396" spans="1:10" x14ac:dyDescent="0.25">
      <c r="A2396">
        <v>2681</v>
      </c>
      <c r="B2396" t="s">
        <v>31573</v>
      </c>
      <c r="C2396">
        <v>461</v>
      </c>
      <c r="D2396">
        <v>600</v>
      </c>
      <c r="E2396">
        <v>10097263</v>
      </c>
      <c r="F2396">
        <v>6278</v>
      </c>
      <c r="G2396">
        <v>0</v>
      </c>
      <c r="H2396" t="s">
        <v>7322</v>
      </c>
      <c r="I2396">
        <v>2681</v>
      </c>
      <c r="J2396" t="str">
        <f>VLOOKUP(E2396,DSSpieler!A:B,2,FALSE)</f>
        <v>Kili131</v>
      </c>
    </row>
    <row r="2397" spans="1:10" x14ac:dyDescent="0.25">
      <c r="A2397">
        <v>2682</v>
      </c>
      <c r="B2397" t="s">
        <v>609</v>
      </c>
      <c r="C2397">
        <v>584</v>
      </c>
      <c r="D2397">
        <v>470</v>
      </c>
      <c r="E2397">
        <v>1576945801</v>
      </c>
      <c r="F2397">
        <v>4344</v>
      </c>
      <c r="G2397">
        <v>0</v>
      </c>
      <c r="H2397" t="s">
        <v>7323</v>
      </c>
      <c r="I2397">
        <v>2682</v>
      </c>
      <c r="J2397" t="str">
        <f>VLOOKUP(E2397,DSSpieler!A:B,2,FALSE)</f>
        <v>NoNameFree</v>
      </c>
    </row>
    <row r="2398" spans="1:10" x14ac:dyDescent="0.25">
      <c r="A2398">
        <v>2683</v>
      </c>
      <c r="B2398" t="s">
        <v>531</v>
      </c>
      <c r="C2398">
        <v>513</v>
      </c>
      <c r="D2398">
        <v>554</v>
      </c>
      <c r="E2398">
        <v>0</v>
      </c>
      <c r="F2398">
        <v>423</v>
      </c>
      <c r="G2398">
        <v>0</v>
      </c>
      <c r="H2398" t="s">
        <v>7324</v>
      </c>
      <c r="I2398">
        <v>2683</v>
      </c>
      <c r="J2398" t="e">
        <f>VLOOKUP(E2398,DSSpieler!A:B,2,FALSE)</f>
        <v>#N/A</v>
      </c>
    </row>
    <row r="2399" spans="1:10" x14ac:dyDescent="0.25">
      <c r="A2399">
        <v>2684</v>
      </c>
      <c r="B2399" t="s">
        <v>531</v>
      </c>
      <c r="C2399">
        <v>580</v>
      </c>
      <c r="D2399">
        <v>490</v>
      </c>
      <c r="E2399">
        <v>0</v>
      </c>
      <c r="F2399">
        <v>334</v>
      </c>
      <c r="G2399">
        <v>0</v>
      </c>
      <c r="H2399" t="s">
        <v>7325</v>
      </c>
      <c r="I2399">
        <v>2684</v>
      </c>
      <c r="J2399" t="e">
        <f>VLOOKUP(E2399,DSSpieler!A:B,2,FALSE)</f>
        <v>#N/A</v>
      </c>
    </row>
    <row r="2400" spans="1:10" x14ac:dyDescent="0.25">
      <c r="A2400">
        <v>2685</v>
      </c>
      <c r="B2400" t="s">
        <v>31574</v>
      </c>
      <c r="C2400">
        <v>490</v>
      </c>
      <c r="D2400">
        <v>557</v>
      </c>
      <c r="E2400">
        <v>1576469799</v>
      </c>
      <c r="F2400">
        <v>7130</v>
      </c>
      <c r="G2400">
        <v>0</v>
      </c>
      <c r="H2400" t="s">
        <v>7326</v>
      </c>
      <c r="I2400">
        <v>2685</v>
      </c>
      <c r="J2400" t="str">
        <f>VLOOKUP(E2400,DSSpieler!A:B,2,FALSE)</f>
        <v>lokderboss</v>
      </c>
    </row>
    <row r="2401" spans="1:10" x14ac:dyDescent="0.25">
      <c r="A2401">
        <v>2687</v>
      </c>
      <c r="B2401" t="s">
        <v>531</v>
      </c>
      <c r="C2401">
        <v>463</v>
      </c>
      <c r="D2401">
        <v>450</v>
      </c>
      <c r="E2401">
        <v>0</v>
      </c>
      <c r="F2401">
        <v>671</v>
      </c>
      <c r="G2401">
        <v>0</v>
      </c>
      <c r="H2401" t="s">
        <v>7327</v>
      </c>
      <c r="I2401">
        <v>2687</v>
      </c>
      <c r="J2401" t="e">
        <f>VLOOKUP(E2401,DSSpieler!A:B,2,FALSE)</f>
        <v>#N/A</v>
      </c>
    </row>
    <row r="2402" spans="1:10" x14ac:dyDescent="0.25">
      <c r="A2402">
        <v>2688</v>
      </c>
      <c r="B2402">
        <v>3</v>
      </c>
      <c r="C2402">
        <v>545</v>
      </c>
      <c r="D2402">
        <v>514</v>
      </c>
      <c r="E2402">
        <v>1577070621</v>
      </c>
      <c r="F2402">
        <v>2909</v>
      </c>
      <c r="G2402">
        <v>0</v>
      </c>
      <c r="H2402" t="s">
        <v>7328</v>
      </c>
      <c r="I2402">
        <v>2688</v>
      </c>
      <c r="J2402" t="str">
        <f>VLOOKUP(E2402,DSSpieler!A:B,2,FALSE)</f>
        <v>mulan1982</v>
      </c>
    </row>
    <row r="2403" spans="1:10" x14ac:dyDescent="0.25">
      <c r="A2403">
        <v>2689</v>
      </c>
      <c r="B2403" t="s">
        <v>531</v>
      </c>
      <c r="C2403">
        <v>463</v>
      </c>
      <c r="D2403">
        <v>564</v>
      </c>
      <c r="E2403">
        <v>0</v>
      </c>
      <c r="F2403">
        <v>855</v>
      </c>
      <c r="G2403">
        <v>0</v>
      </c>
      <c r="H2403" t="s">
        <v>7329</v>
      </c>
      <c r="I2403">
        <v>2689</v>
      </c>
      <c r="J2403" t="e">
        <f>VLOOKUP(E2403,DSSpieler!A:B,2,FALSE)</f>
        <v>#N/A</v>
      </c>
    </row>
    <row r="2404" spans="1:10" x14ac:dyDescent="0.25">
      <c r="A2404">
        <v>2690</v>
      </c>
      <c r="B2404" t="s">
        <v>31575</v>
      </c>
      <c r="C2404">
        <v>481</v>
      </c>
      <c r="D2404">
        <v>432</v>
      </c>
      <c r="E2404">
        <v>1577121562</v>
      </c>
      <c r="F2404">
        <v>4888</v>
      </c>
      <c r="G2404">
        <v>0</v>
      </c>
      <c r="H2404" t="s">
        <v>7330</v>
      </c>
      <c r="I2404">
        <v>2690</v>
      </c>
      <c r="J2404" t="str">
        <f>VLOOKUP(E2404,DSSpieler!A:B,2,FALSE)</f>
        <v>svudro</v>
      </c>
    </row>
    <row r="2405" spans="1:10" x14ac:dyDescent="0.25">
      <c r="A2405">
        <v>2692</v>
      </c>
      <c r="B2405" t="s">
        <v>531</v>
      </c>
      <c r="C2405">
        <v>529</v>
      </c>
      <c r="D2405">
        <v>529</v>
      </c>
      <c r="E2405">
        <v>0</v>
      </c>
      <c r="F2405">
        <v>422</v>
      </c>
      <c r="G2405">
        <v>0</v>
      </c>
      <c r="H2405" t="s">
        <v>7331</v>
      </c>
      <c r="I2405">
        <v>2692</v>
      </c>
      <c r="J2405" t="e">
        <f>VLOOKUP(E2405,DSSpieler!A:B,2,FALSE)</f>
        <v>#N/A</v>
      </c>
    </row>
    <row r="2406" spans="1:10" x14ac:dyDescent="0.25">
      <c r="A2406">
        <v>2693</v>
      </c>
      <c r="B2406" t="s">
        <v>1012</v>
      </c>
      <c r="C2406">
        <v>528</v>
      </c>
      <c r="D2406">
        <v>560</v>
      </c>
      <c r="E2406">
        <v>1577191393</v>
      </c>
      <c r="F2406">
        <v>5356</v>
      </c>
      <c r="G2406">
        <v>0</v>
      </c>
      <c r="H2406" t="s">
        <v>7332</v>
      </c>
      <c r="I2406">
        <v>2693</v>
      </c>
      <c r="J2406" t="str">
        <f>VLOOKUP(E2406,DSSpieler!A:B,2,FALSE)</f>
        <v>Mann mit Axt</v>
      </c>
    </row>
    <row r="2407" spans="1:10" x14ac:dyDescent="0.25">
      <c r="A2407">
        <v>2694</v>
      </c>
      <c r="B2407" t="s">
        <v>31576</v>
      </c>
      <c r="C2407">
        <v>555</v>
      </c>
      <c r="D2407">
        <v>416</v>
      </c>
      <c r="E2407">
        <v>1576899646</v>
      </c>
      <c r="F2407">
        <v>4495</v>
      </c>
      <c r="G2407">
        <v>0</v>
      </c>
      <c r="H2407" t="s">
        <v>7333</v>
      </c>
      <c r="I2407">
        <v>2694</v>
      </c>
      <c r="J2407" t="str">
        <f>VLOOKUP(E2407,DSSpieler!A:B,2,FALSE)</f>
        <v>Rabauk1</v>
      </c>
    </row>
    <row r="2408" spans="1:10" x14ac:dyDescent="0.25">
      <c r="A2408">
        <v>2695</v>
      </c>
      <c r="B2408" t="s">
        <v>1013</v>
      </c>
      <c r="C2408">
        <v>450</v>
      </c>
      <c r="D2408">
        <v>493</v>
      </c>
      <c r="E2408">
        <v>1577197425</v>
      </c>
      <c r="F2408">
        <v>4744</v>
      </c>
      <c r="G2408">
        <v>0</v>
      </c>
      <c r="H2408" t="s">
        <v>7334</v>
      </c>
      <c r="I2408">
        <v>2695</v>
      </c>
      <c r="J2408" t="str">
        <f>VLOOKUP(E2408,DSSpieler!A:B,2,FALSE)</f>
        <v>Körnivasall</v>
      </c>
    </row>
    <row r="2409" spans="1:10" x14ac:dyDescent="0.25">
      <c r="A2409">
        <v>2697</v>
      </c>
      <c r="B2409" t="s">
        <v>531</v>
      </c>
      <c r="C2409">
        <v>555</v>
      </c>
      <c r="D2409">
        <v>571</v>
      </c>
      <c r="E2409">
        <v>0</v>
      </c>
      <c r="F2409">
        <v>441</v>
      </c>
      <c r="G2409">
        <v>0</v>
      </c>
      <c r="H2409" t="s">
        <v>7335</v>
      </c>
      <c r="I2409">
        <v>2697</v>
      </c>
      <c r="J2409" t="e">
        <f>VLOOKUP(E2409,DSSpieler!A:B,2,FALSE)</f>
        <v>#N/A</v>
      </c>
    </row>
    <row r="2410" spans="1:10" x14ac:dyDescent="0.25">
      <c r="A2410">
        <v>2698</v>
      </c>
      <c r="B2410" t="s">
        <v>1014</v>
      </c>
      <c r="C2410">
        <v>582</v>
      </c>
      <c r="D2410">
        <v>439</v>
      </c>
      <c r="E2410">
        <v>8227144</v>
      </c>
      <c r="F2410">
        <v>4985</v>
      </c>
      <c r="G2410">
        <v>0</v>
      </c>
      <c r="H2410" t="s">
        <v>7336</v>
      </c>
      <c r="I2410">
        <v>2698</v>
      </c>
      <c r="J2410" t="str">
        <f>VLOOKUP(E2410,DSSpieler!A:B,2,FALSE)</f>
        <v>Lutz1970</v>
      </c>
    </row>
    <row r="2411" spans="1:10" x14ac:dyDescent="0.25">
      <c r="A2411">
        <v>2699</v>
      </c>
      <c r="B2411">
        <v>1</v>
      </c>
      <c r="C2411">
        <v>449</v>
      </c>
      <c r="D2411">
        <v>598</v>
      </c>
      <c r="E2411">
        <v>1577030247</v>
      </c>
      <c r="F2411">
        <v>6056</v>
      </c>
      <c r="G2411">
        <v>0</v>
      </c>
      <c r="H2411" t="s">
        <v>7337</v>
      </c>
      <c r="I2411">
        <v>2699</v>
      </c>
      <c r="J2411" t="str">
        <f>VLOOKUP(E2411,DSSpieler!A:B,2,FALSE)</f>
        <v>Habemeister</v>
      </c>
    </row>
    <row r="2412" spans="1:10" x14ac:dyDescent="0.25">
      <c r="A2412">
        <v>2700</v>
      </c>
      <c r="B2412" t="s">
        <v>31577</v>
      </c>
      <c r="C2412">
        <v>515</v>
      </c>
      <c r="D2412">
        <v>575</v>
      </c>
      <c r="E2412">
        <v>1576605487</v>
      </c>
      <c r="F2412">
        <v>5564</v>
      </c>
      <c r="G2412">
        <v>0</v>
      </c>
      <c r="H2412" t="s">
        <v>7338</v>
      </c>
      <c r="I2412">
        <v>2700</v>
      </c>
      <c r="J2412" t="str">
        <f>VLOOKUP(E2412,DSSpieler!A:B,2,FALSE)</f>
        <v>blauespikachu</v>
      </c>
    </row>
    <row r="2413" spans="1:10" x14ac:dyDescent="0.25">
      <c r="A2413">
        <v>2701</v>
      </c>
      <c r="B2413" t="e">
        <f>-DEFF1-+IchMagBrianGriffin</f>
        <v>#NAME?</v>
      </c>
      <c r="C2413">
        <v>483</v>
      </c>
      <c r="D2413">
        <v>425</v>
      </c>
      <c r="E2413">
        <v>1577195942</v>
      </c>
      <c r="F2413">
        <v>5691</v>
      </c>
      <c r="G2413">
        <v>0</v>
      </c>
      <c r="H2413" t="s">
        <v>7339</v>
      </c>
      <c r="I2413">
        <v>2701</v>
      </c>
      <c r="J2413" t="str">
        <f>VLOOKUP(E2413,DSSpieler!A:B,2,FALSE)</f>
        <v>Oxiro</v>
      </c>
    </row>
    <row r="2414" spans="1:10" x14ac:dyDescent="0.25">
      <c r="A2414">
        <v>2702</v>
      </c>
      <c r="B2414" t="s">
        <v>31311</v>
      </c>
      <c r="C2414">
        <v>557</v>
      </c>
      <c r="D2414">
        <v>466</v>
      </c>
      <c r="E2414">
        <v>1576013529</v>
      </c>
      <c r="F2414">
        <v>5712</v>
      </c>
      <c r="G2414">
        <v>0</v>
      </c>
      <c r="H2414" t="s">
        <v>7340</v>
      </c>
      <c r="I2414">
        <v>2702</v>
      </c>
      <c r="J2414" t="str">
        <f>VLOOKUP(E2414,DSSpieler!A:B,2,FALSE)</f>
        <v>Captn Kaliba</v>
      </c>
    </row>
    <row r="2415" spans="1:10" x14ac:dyDescent="0.25">
      <c r="A2415">
        <v>2703</v>
      </c>
      <c r="B2415" t="s">
        <v>31578</v>
      </c>
      <c r="C2415">
        <v>410</v>
      </c>
      <c r="D2415">
        <v>536</v>
      </c>
      <c r="E2415">
        <v>1577195923</v>
      </c>
      <c r="F2415">
        <v>4563</v>
      </c>
      <c r="G2415">
        <v>0</v>
      </c>
      <c r="H2415" t="s">
        <v>7341</v>
      </c>
      <c r="I2415">
        <v>2703</v>
      </c>
      <c r="J2415" t="str">
        <f>VLOOKUP(E2415,DSSpieler!A:B,2,FALSE)</f>
        <v>Juligon93</v>
      </c>
    </row>
    <row r="2416" spans="1:10" x14ac:dyDescent="0.25">
      <c r="A2416">
        <v>2704</v>
      </c>
      <c r="B2416" t="s">
        <v>1015</v>
      </c>
      <c r="C2416">
        <v>565</v>
      </c>
      <c r="D2416">
        <v>462</v>
      </c>
      <c r="E2416">
        <v>1577195504</v>
      </c>
      <c r="F2416">
        <v>5966</v>
      </c>
      <c r="G2416">
        <v>0</v>
      </c>
      <c r="H2416" t="s">
        <v>7342</v>
      </c>
      <c r="I2416">
        <v>2704</v>
      </c>
      <c r="J2416" t="str">
        <f>VLOOKUP(E2416,DSSpieler!A:B,2,FALSE)</f>
        <v>WassilijFukov</v>
      </c>
    </row>
    <row r="2417" spans="1:10" x14ac:dyDescent="0.25">
      <c r="A2417">
        <v>2706</v>
      </c>
      <c r="B2417" t="s">
        <v>531</v>
      </c>
      <c r="C2417">
        <v>534</v>
      </c>
      <c r="D2417">
        <v>479</v>
      </c>
      <c r="E2417">
        <v>0</v>
      </c>
      <c r="F2417">
        <v>910</v>
      </c>
      <c r="G2417">
        <v>0</v>
      </c>
      <c r="H2417" t="s">
        <v>7343</v>
      </c>
      <c r="I2417">
        <v>2706</v>
      </c>
      <c r="J2417" t="e">
        <f>VLOOKUP(E2417,DSSpieler!A:B,2,FALSE)</f>
        <v>#N/A</v>
      </c>
    </row>
    <row r="2418" spans="1:10" x14ac:dyDescent="0.25">
      <c r="A2418">
        <v>2707</v>
      </c>
      <c r="B2418">
        <v>1</v>
      </c>
      <c r="C2418">
        <v>432</v>
      </c>
      <c r="D2418">
        <v>471</v>
      </c>
      <c r="E2418">
        <v>8217959</v>
      </c>
      <c r="F2418">
        <v>4651</v>
      </c>
      <c r="G2418">
        <v>0</v>
      </c>
      <c r="H2418" t="s">
        <v>7344</v>
      </c>
      <c r="I2418">
        <v>2707</v>
      </c>
      <c r="J2418" t="str">
        <f>VLOOKUP(E2418,DSSpieler!A:B,2,FALSE)</f>
        <v>seppl0410</v>
      </c>
    </row>
    <row r="2419" spans="1:10" x14ac:dyDescent="0.25">
      <c r="A2419">
        <v>2709</v>
      </c>
      <c r="B2419" t="s">
        <v>1016</v>
      </c>
      <c r="C2419">
        <v>440</v>
      </c>
      <c r="D2419">
        <v>507</v>
      </c>
      <c r="E2419">
        <v>1577187041</v>
      </c>
      <c r="F2419">
        <v>5638</v>
      </c>
      <c r="G2419">
        <v>0</v>
      </c>
      <c r="H2419" t="s">
        <v>7345</v>
      </c>
      <c r="I2419">
        <v>2709</v>
      </c>
      <c r="J2419" t="str">
        <f>VLOOKUP(E2419,DSSpieler!A:B,2,FALSE)</f>
        <v>JackyAce</v>
      </c>
    </row>
    <row r="2420" spans="1:10" x14ac:dyDescent="0.25">
      <c r="A2420">
        <v>2710</v>
      </c>
      <c r="B2420" t="s">
        <v>31579</v>
      </c>
      <c r="C2420">
        <v>465</v>
      </c>
      <c r="D2420">
        <v>541</v>
      </c>
      <c r="E2420">
        <v>1576823448</v>
      </c>
      <c r="F2420">
        <v>6476</v>
      </c>
      <c r="G2420">
        <v>0</v>
      </c>
      <c r="H2420" t="s">
        <v>7346</v>
      </c>
      <c r="I2420">
        <v>2710</v>
      </c>
      <c r="J2420" t="str">
        <f>VLOOKUP(E2420,DSSpieler!A:B,2,FALSE)</f>
        <v>srmpx</v>
      </c>
    </row>
    <row r="2421" spans="1:10" x14ac:dyDescent="0.25">
      <c r="A2421">
        <v>2711</v>
      </c>
      <c r="B2421" t="s">
        <v>673</v>
      </c>
      <c r="C2421">
        <v>396</v>
      </c>
      <c r="D2421">
        <v>500</v>
      </c>
      <c r="E2421">
        <v>1577097018</v>
      </c>
      <c r="F2421">
        <v>5600</v>
      </c>
      <c r="G2421">
        <v>0</v>
      </c>
      <c r="H2421" t="s">
        <v>7347</v>
      </c>
      <c r="I2421">
        <v>2711</v>
      </c>
      <c r="J2421" t="str">
        <f>VLOOKUP(E2421,DSSpieler!A:B,2,FALSE)</f>
        <v>DerderohneRammenkommt</v>
      </c>
    </row>
    <row r="2422" spans="1:10" x14ac:dyDescent="0.25">
      <c r="A2422">
        <v>2712</v>
      </c>
      <c r="B2422" t="s">
        <v>531</v>
      </c>
      <c r="C2422">
        <v>459</v>
      </c>
      <c r="D2422">
        <v>562</v>
      </c>
      <c r="E2422">
        <v>0</v>
      </c>
      <c r="F2422">
        <v>511</v>
      </c>
      <c r="G2422">
        <v>0</v>
      </c>
      <c r="H2422" t="s">
        <v>7348</v>
      </c>
      <c r="I2422">
        <v>2712</v>
      </c>
      <c r="J2422" t="e">
        <f>VLOOKUP(E2422,DSSpieler!A:B,2,FALSE)</f>
        <v>#N/A</v>
      </c>
    </row>
    <row r="2423" spans="1:10" x14ac:dyDescent="0.25">
      <c r="A2423">
        <v>2713</v>
      </c>
      <c r="B2423" t="s">
        <v>31580</v>
      </c>
      <c r="C2423">
        <v>591</v>
      </c>
      <c r="D2423">
        <v>470</v>
      </c>
      <c r="E2423">
        <v>1575891872</v>
      </c>
      <c r="F2423">
        <v>4471</v>
      </c>
      <c r="G2423">
        <v>0</v>
      </c>
      <c r="H2423" t="s">
        <v>7349</v>
      </c>
      <c r="I2423">
        <v>2713</v>
      </c>
      <c r="J2423" t="str">
        <f>VLOOKUP(E2423,DSSpieler!A:B,2,FALSE)</f>
        <v>Angsthasen 2.0</v>
      </c>
    </row>
    <row r="2424" spans="1:10" x14ac:dyDescent="0.25">
      <c r="A2424">
        <v>2716</v>
      </c>
      <c r="B2424" t="s">
        <v>531</v>
      </c>
      <c r="C2424">
        <v>546</v>
      </c>
      <c r="D2424">
        <v>496</v>
      </c>
      <c r="E2424">
        <v>0</v>
      </c>
      <c r="F2424">
        <v>241</v>
      </c>
      <c r="G2424">
        <v>0</v>
      </c>
      <c r="H2424" t="s">
        <v>7350</v>
      </c>
      <c r="I2424">
        <v>2716</v>
      </c>
      <c r="J2424" t="e">
        <f>VLOOKUP(E2424,DSSpieler!A:B,2,FALSE)</f>
        <v>#N/A</v>
      </c>
    </row>
    <row r="2425" spans="1:10" x14ac:dyDescent="0.25">
      <c r="A2425">
        <v>2717</v>
      </c>
      <c r="B2425" t="s">
        <v>1017</v>
      </c>
      <c r="C2425">
        <v>552</v>
      </c>
      <c r="D2425">
        <v>471</v>
      </c>
      <c r="E2425">
        <v>1577196743</v>
      </c>
      <c r="F2425">
        <v>3905</v>
      </c>
      <c r="G2425">
        <v>0</v>
      </c>
      <c r="H2425" t="s">
        <v>7351</v>
      </c>
      <c r="I2425">
        <v>2717</v>
      </c>
      <c r="J2425" t="str">
        <f>VLOOKUP(E2425,DSSpieler!A:B,2,FALSE)</f>
        <v>Spider902</v>
      </c>
    </row>
    <row r="2426" spans="1:10" x14ac:dyDescent="0.25">
      <c r="A2426">
        <v>2718</v>
      </c>
      <c r="B2426" t="s">
        <v>31581</v>
      </c>
      <c r="C2426">
        <v>466</v>
      </c>
      <c r="D2426">
        <v>491</v>
      </c>
      <c r="E2426">
        <v>1576914417</v>
      </c>
      <c r="F2426">
        <v>2701</v>
      </c>
      <c r="G2426">
        <v>0</v>
      </c>
      <c r="H2426" t="s">
        <v>7352</v>
      </c>
      <c r="I2426">
        <v>2718</v>
      </c>
      <c r="J2426" t="str">
        <f>VLOOKUP(E2426,DSSpieler!A:B,2,FALSE)</f>
        <v>Bonemonkey</v>
      </c>
    </row>
    <row r="2427" spans="1:10" x14ac:dyDescent="0.25">
      <c r="A2427">
        <v>2719</v>
      </c>
      <c r="B2427" t="s">
        <v>1018</v>
      </c>
      <c r="C2427">
        <v>532</v>
      </c>
      <c r="D2427">
        <v>547</v>
      </c>
      <c r="E2427">
        <v>205615</v>
      </c>
      <c r="F2427">
        <v>5129</v>
      </c>
      <c r="G2427">
        <v>0</v>
      </c>
      <c r="H2427" t="s">
        <v>7353</v>
      </c>
      <c r="I2427">
        <v>2719</v>
      </c>
      <c r="J2427" t="str">
        <f>VLOOKUP(E2427,DSSpieler!A:B,2,FALSE)</f>
        <v>hubeno</v>
      </c>
    </row>
    <row r="2428" spans="1:10" x14ac:dyDescent="0.25">
      <c r="A2428">
        <v>2720</v>
      </c>
      <c r="B2428" t="s">
        <v>1019</v>
      </c>
      <c r="C2428">
        <v>590</v>
      </c>
      <c r="D2428">
        <v>462</v>
      </c>
      <c r="E2428">
        <v>1576779600</v>
      </c>
      <c r="F2428">
        <v>5107</v>
      </c>
      <c r="G2428">
        <v>0</v>
      </c>
      <c r="H2428" t="s">
        <v>7354</v>
      </c>
      <c r="I2428">
        <v>2720</v>
      </c>
      <c r="J2428" t="str">
        <f>VLOOKUP(E2428,DSSpieler!A:B,2,FALSE)</f>
        <v>Badgirl.1</v>
      </c>
    </row>
    <row r="2429" spans="1:10" x14ac:dyDescent="0.25">
      <c r="A2429">
        <v>2721</v>
      </c>
      <c r="B2429" t="s">
        <v>31490</v>
      </c>
      <c r="C2429">
        <v>560</v>
      </c>
      <c r="D2429">
        <v>564</v>
      </c>
      <c r="E2429">
        <v>1577138953</v>
      </c>
      <c r="F2429">
        <v>6641</v>
      </c>
      <c r="G2429">
        <v>0</v>
      </c>
      <c r="H2429" t="s">
        <v>7355</v>
      </c>
      <c r="I2429">
        <v>2721</v>
      </c>
      <c r="J2429" t="str">
        <f>VLOOKUP(E2429,DSSpieler!A:B,2,FALSE)</f>
        <v>ganz entspannt</v>
      </c>
    </row>
    <row r="2430" spans="1:10" x14ac:dyDescent="0.25">
      <c r="A2430">
        <v>2722</v>
      </c>
      <c r="B2430" t="s">
        <v>626</v>
      </c>
      <c r="C2430">
        <v>522</v>
      </c>
      <c r="D2430">
        <v>393</v>
      </c>
      <c r="E2430">
        <v>1577069277</v>
      </c>
      <c r="F2430">
        <v>5436</v>
      </c>
      <c r="G2430">
        <v>0</v>
      </c>
      <c r="H2430" t="s">
        <v>7356</v>
      </c>
      <c r="I2430">
        <v>2722</v>
      </c>
      <c r="J2430" t="str">
        <f>VLOOKUP(E2430,DSSpieler!A:B,2,FALSE)</f>
        <v>Bauer sucht Sau</v>
      </c>
    </row>
    <row r="2431" spans="1:10" x14ac:dyDescent="0.25">
      <c r="A2431">
        <v>2723</v>
      </c>
      <c r="B2431" t="s">
        <v>31582</v>
      </c>
      <c r="C2431">
        <v>476</v>
      </c>
      <c r="D2431">
        <v>447</v>
      </c>
      <c r="E2431">
        <v>1577183611</v>
      </c>
      <c r="F2431">
        <v>1421</v>
      </c>
      <c r="G2431">
        <v>0</v>
      </c>
      <c r="H2431" t="s">
        <v>7357</v>
      </c>
      <c r="I2431">
        <v>2723</v>
      </c>
      <c r="J2431" t="str">
        <f>VLOOKUP(E2431,DSSpieler!A:B,2,FALSE)</f>
        <v>Ssvenna</v>
      </c>
    </row>
    <row r="2432" spans="1:10" x14ac:dyDescent="0.25">
      <c r="A2432">
        <v>2724</v>
      </c>
      <c r="B2432" t="s">
        <v>1020</v>
      </c>
      <c r="C2432">
        <v>585</v>
      </c>
      <c r="D2432">
        <v>553</v>
      </c>
      <c r="E2432">
        <v>1575913398</v>
      </c>
      <c r="F2432">
        <v>2962</v>
      </c>
      <c r="G2432">
        <v>0</v>
      </c>
      <c r="H2432" t="s">
        <v>7358</v>
      </c>
      <c r="I2432">
        <v>2724</v>
      </c>
      <c r="J2432" t="str">
        <f>VLOOKUP(E2432,DSSpieler!A:B,2,FALSE)</f>
        <v>ScHmerzmITtel</v>
      </c>
    </row>
    <row r="2433" spans="1:10" x14ac:dyDescent="0.25">
      <c r="A2433">
        <v>2725</v>
      </c>
      <c r="B2433" t="s">
        <v>531</v>
      </c>
      <c r="C2433">
        <v>454</v>
      </c>
      <c r="D2433">
        <v>433</v>
      </c>
      <c r="E2433">
        <v>0</v>
      </c>
      <c r="F2433">
        <v>358</v>
      </c>
      <c r="G2433">
        <v>0</v>
      </c>
      <c r="H2433" t="s">
        <v>7359</v>
      </c>
      <c r="I2433">
        <v>2725</v>
      </c>
      <c r="J2433" t="e">
        <f>VLOOKUP(E2433,DSSpieler!A:B,2,FALSE)</f>
        <v>#N/A</v>
      </c>
    </row>
    <row r="2434" spans="1:10" x14ac:dyDescent="0.25">
      <c r="A2434">
        <v>2727</v>
      </c>
      <c r="B2434" t="s">
        <v>531</v>
      </c>
      <c r="C2434">
        <v>507</v>
      </c>
      <c r="D2434">
        <v>440</v>
      </c>
      <c r="E2434">
        <v>0</v>
      </c>
      <c r="F2434">
        <v>447</v>
      </c>
      <c r="G2434">
        <v>0</v>
      </c>
      <c r="H2434" t="s">
        <v>7360</v>
      </c>
      <c r="I2434">
        <v>2727</v>
      </c>
      <c r="J2434" t="e">
        <f>VLOOKUP(E2434,DSSpieler!A:B,2,FALSE)</f>
        <v>#N/A</v>
      </c>
    </row>
    <row r="2435" spans="1:10" x14ac:dyDescent="0.25">
      <c r="A2435">
        <v>2728</v>
      </c>
      <c r="B2435" t="s">
        <v>531</v>
      </c>
      <c r="C2435">
        <v>445</v>
      </c>
      <c r="D2435">
        <v>445</v>
      </c>
      <c r="E2435">
        <v>0</v>
      </c>
      <c r="F2435">
        <v>778</v>
      </c>
      <c r="G2435">
        <v>0</v>
      </c>
      <c r="H2435" t="s">
        <v>7361</v>
      </c>
      <c r="I2435">
        <v>2728</v>
      </c>
      <c r="J2435" t="e">
        <f>VLOOKUP(E2435,DSSpieler!A:B,2,FALSE)</f>
        <v>#N/A</v>
      </c>
    </row>
    <row r="2436" spans="1:10" x14ac:dyDescent="0.25">
      <c r="A2436">
        <v>2730</v>
      </c>
      <c r="B2436" t="s">
        <v>1021</v>
      </c>
      <c r="C2436">
        <v>547</v>
      </c>
      <c r="D2436">
        <v>550</v>
      </c>
      <c r="E2436">
        <v>1577170233</v>
      </c>
      <c r="F2436">
        <v>5756</v>
      </c>
      <c r="G2436">
        <v>0</v>
      </c>
      <c r="H2436" t="s">
        <v>7362</v>
      </c>
      <c r="I2436">
        <v>2730</v>
      </c>
      <c r="J2436" t="str">
        <f>VLOOKUP(E2436,DSSpieler!A:B,2,FALSE)</f>
        <v>quaison</v>
      </c>
    </row>
    <row r="2437" spans="1:10" x14ac:dyDescent="0.25">
      <c r="A2437">
        <v>2731</v>
      </c>
      <c r="B2437" t="s">
        <v>31583</v>
      </c>
      <c r="C2437">
        <v>455</v>
      </c>
      <c r="D2437">
        <v>512</v>
      </c>
      <c r="E2437">
        <v>3114520</v>
      </c>
      <c r="F2437">
        <v>2221</v>
      </c>
      <c r="G2437">
        <v>0</v>
      </c>
      <c r="H2437" t="s">
        <v>7363</v>
      </c>
      <c r="I2437">
        <v>2731</v>
      </c>
      <c r="J2437" t="str">
        <f>VLOOKUP(E2437,DSSpieler!A:B,2,FALSE)</f>
        <v>nearak</v>
      </c>
    </row>
    <row r="2438" spans="1:10" x14ac:dyDescent="0.25">
      <c r="A2438">
        <v>2732</v>
      </c>
      <c r="B2438" t="s">
        <v>1022</v>
      </c>
      <c r="C2438">
        <v>441</v>
      </c>
      <c r="D2438">
        <v>505</v>
      </c>
      <c r="E2438">
        <v>1577187041</v>
      </c>
      <c r="F2438">
        <v>5855</v>
      </c>
      <c r="G2438">
        <v>0</v>
      </c>
      <c r="H2438" t="s">
        <v>7364</v>
      </c>
      <c r="I2438">
        <v>2732</v>
      </c>
      <c r="J2438" t="str">
        <f>VLOOKUP(E2438,DSSpieler!A:B,2,FALSE)</f>
        <v>JackyAce</v>
      </c>
    </row>
    <row r="2439" spans="1:10" x14ac:dyDescent="0.25">
      <c r="A2439">
        <v>2733</v>
      </c>
      <c r="B2439" t="s">
        <v>31584</v>
      </c>
      <c r="C2439">
        <v>476</v>
      </c>
      <c r="D2439">
        <v>582</v>
      </c>
      <c r="E2439">
        <v>1577163047</v>
      </c>
      <c r="F2439">
        <v>7063</v>
      </c>
      <c r="G2439">
        <v>0</v>
      </c>
      <c r="H2439" t="s">
        <v>7365</v>
      </c>
      <c r="I2439">
        <v>2733</v>
      </c>
      <c r="J2439" t="str">
        <f>VLOOKUP(E2439,DSSpieler!A:B,2,FALSE)</f>
        <v>Ina Instabil</v>
      </c>
    </row>
    <row r="2440" spans="1:10" x14ac:dyDescent="0.25">
      <c r="A2440">
        <v>2734</v>
      </c>
      <c r="B2440" t="s">
        <v>31585</v>
      </c>
      <c r="C2440">
        <v>405</v>
      </c>
      <c r="D2440">
        <v>540</v>
      </c>
      <c r="E2440">
        <v>1576477994</v>
      </c>
      <c r="F2440">
        <v>6252</v>
      </c>
      <c r="G2440">
        <v>0</v>
      </c>
      <c r="H2440" t="s">
        <v>7366</v>
      </c>
      <c r="I2440">
        <v>2734</v>
      </c>
      <c r="J2440" t="str">
        <f>VLOOKUP(E2440,DSSpieler!A:B,2,FALSE)</f>
        <v>diegosam1000</v>
      </c>
    </row>
    <row r="2441" spans="1:10" x14ac:dyDescent="0.25">
      <c r="A2441">
        <v>2735</v>
      </c>
      <c r="B2441" t="s">
        <v>31586</v>
      </c>
      <c r="C2441">
        <v>500</v>
      </c>
      <c r="D2441">
        <v>423</v>
      </c>
      <c r="E2441">
        <v>1577195225</v>
      </c>
      <c r="F2441">
        <v>6949</v>
      </c>
      <c r="G2441">
        <v>0</v>
      </c>
      <c r="H2441" t="s">
        <v>7367</v>
      </c>
      <c r="I2441">
        <v>2735</v>
      </c>
      <c r="J2441" t="str">
        <f>VLOOKUP(E2441,DSSpieler!A:B,2,FALSE)</f>
        <v>Xandna</v>
      </c>
    </row>
    <row r="2442" spans="1:10" x14ac:dyDescent="0.25">
      <c r="A2442">
        <v>2736</v>
      </c>
      <c r="B2442" t="s">
        <v>1023</v>
      </c>
      <c r="C2442">
        <v>525</v>
      </c>
      <c r="D2442">
        <v>606</v>
      </c>
      <c r="E2442">
        <v>9703535</v>
      </c>
      <c r="F2442">
        <v>4959</v>
      </c>
      <c r="G2442">
        <v>0</v>
      </c>
      <c r="H2442" t="s">
        <v>7368</v>
      </c>
      <c r="I2442">
        <v>2736</v>
      </c>
      <c r="J2442" t="str">
        <f>VLOOKUP(E2442,DSSpieler!A:B,2,FALSE)</f>
        <v>Broda</v>
      </c>
    </row>
    <row r="2443" spans="1:10" x14ac:dyDescent="0.25">
      <c r="A2443">
        <v>2737</v>
      </c>
      <c r="B2443" t="s">
        <v>31587</v>
      </c>
      <c r="C2443">
        <v>577</v>
      </c>
      <c r="D2443">
        <v>474</v>
      </c>
      <c r="E2443">
        <v>1576888271</v>
      </c>
      <c r="F2443">
        <v>6693</v>
      </c>
      <c r="G2443">
        <v>0</v>
      </c>
      <c r="H2443" t="s">
        <v>7369</v>
      </c>
      <c r="I2443">
        <v>2737</v>
      </c>
      <c r="J2443" t="str">
        <f>VLOOKUP(E2443,DSSpieler!A:B,2,FALSE)</f>
        <v>ExiiL</v>
      </c>
    </row>
    <row r="2444" spans="1:10" x14ac:dyDescent="0.25">
      <c r="A2444">
        <v>2740</v>
      </c>
      <c r="B2444" t="s">
        <v>31588</v>
      </c>
      <c r="C2444">
        <v>586</v>
      </c>
      <c r="D2444">
        <v>455</v>
      </c>
      <c r="E2444">
        <v>1577198229</v>
      </c>
      <c r="F2444">
        <v>5978</v>
      </c>
      <c r="G2444">
        <v>0</v>
      </c>
      <c r="H2444" t="s">
        <v>7370</v>
      </c>
      <c r="I2444">
        <v>2740</v>
      </c>
      <c r="J2444" t="str">
        <f>VLOOKUP(E2444,DSSpieler!A:B,2,FALSE)</f>
        <v>QueenKlaus461</v>
      </c>
    </row>
    <row r="2445" spans="1:10" x14ac:dyDescent="0.25">
      <c r="A2445">
        <v>2741</v>
      </c>
      <c r="B2445" t="s">
        <v>531</v>
      </c>
      <c r="C2445">
        <v>498</v>
      </c>
      <c r="D2445">
        <v>560</v>
      </c>
      <c r="E2445">
        <v>0</v>
      </c>
      <c r="F2445">
        <v>463</v>
      </c>
      <c r="G2445">
        <v>0</v>
      </c>
      <c r="H2445" t="s">
        <v>7371</v>
      </c>
      <c r="I2445">
        <v>2741</v>
      </c>
      <c r="J2445" t="e">
        <f>VLOOKUP(E2445,DSSpieler!A:B,2,FALSE)</f>
        <v>#N/A</v>
      </c>
    </row>
    <row r="2446" spans="1:10" x14ac:dyDescent="0.25">
      <c r="A2446">
        <v>2742</v>
      </c>
      <c r="B2446" t="s">
        <v>31589</v>
      </c>
      <c r="C2446">
        <v>563</v>
      </c>
      <c r="D2446">
        <v>466</v>
      </c>
      <c r="E2446">
        <v>1577195635</v>
      </c>
      <c r="F2446">
        <v>4916</v>
      </c>
      <c r="G2446">
        <v>0</v>
      </c>
      <c r="H2446" t="s">
        <v>7372</v>
      </c>
      <c r="I2446">
        <v>2742</v>
      </c>
      <c r="J2446" t="str">
        <f>VLOOKUP(E2446,DSSpieler!A:B,2,FALSE)</f>
        <v>Jonnybanana</v>
      </c>
    </row>
    <row r="2447" spans="1:10" x14ac:dyDescent="0.25">
      <c r="A2447">
        <v>2743</v>
      </c>
      <c r="B2447" t="s">
        <v>31590</v>
      </c>
      <c r="C2447">
        <v>592</v>
      </c>
      <c r="D2447">
        <v>461</v>
      </c>
      <c r="E2447">
        <v>9266958</v>
      </c>
      <c r="F2447">
        <v>5451</v>
      </c>
      <c r="G2447">
        <v>0</v>
      </c>
      <c r="H2447" t="s">
        <v>7373</v>
      </c>
      <c r="I2447">
        <v>2743</v>
      </c>
      <c r="J2447" t="str">
        <f>VLOOKUP(E2447,DSSpieler!A:B,2,FALSE)</f>
        <v>stampede.</v>
      </c>
    </row>
    <row r="2448" spans="1:10" x14ac:dyDescent="0.25">
      <c r="A2448">
        <v>2744</v>
      </c>
      <c r="B2448" t="s">
        <v>1024</v>
      </c>
      <c r="C2448">
        <v>432</v>
      </c>
      <c r="D2448">
        <v>469</v>
      </c>
      <c r="E2448">
        <v>1576994636</v>
      </c>
      <c r="F2448">
        <v>4487</v>
      </c>
      <c r="G2448">
        <v>0</v>
      </c>
      <c r="H2448" t="s">
        <v>7374</v>
      </c>
      <c r="I2448">
        <v>2744</v>
      </c>
      <c r="J2448" t="str">
        <f>VLOOKUP(E2448,DSSpieler!A:B,2,FALSE)</f>
        <v>killerbee1986</v>
      </c>
    </row>
    <row r="2449" spans="1:10" x14ac:dyDescent="0.25">
      <c r="A2449">
        <v>2745</v>
      </c>
      <c r="B2449" t="s">
        <v>31591</v>
      </c>
      <c r="C2449">
        <v>539</v>
      </c>
      <c r="D2449">
        <v>527</v>
      </c>
      <c r="E2449">
        <v>9076801</v>
      </c>
      <c r="F2449">
        <v>1421</v>
      </c>
      <c r="G2449">
        <v>0</v>
      </c>
      <c r="H2449" t="s">
        <v>7375</v>
      </c>
      <c r="I2449">
        <v>2745</v>
      </c>
      <c r="J2449" t="str">
        <f>VLOOKUP(E2449,DSSpieler!A:B,2,FALSE)</f>
        <v>SpecialAirService</v>
      </c>
    </row>
    <row r="2450" spans="1:10" x14ac:dyDescent="0.25">
      <c r="A2450">
        <v>2747</v>
      </c>
      <c r="B2450" t="s">
        <v>31592</v>
      </c>
      <c r="C2450">
        <v>439</v>
      </c>
      <c r="D2450">
        <v>551</v>
      </c>
      <c r="E2450">
        <v>7607937</v>
      </c>
      <c r="F2450">
        <v>4072</v>
      </c>
      <c r="G2450">
        <v>0</v>
      </c>
      <c r="H2450" t="s">
        <v>7376</v>
      </c>
      <c r="I2450">
        <v>2747</v>
      </c>
      <c r="J2450" t="str">
        <f>VLOOKUP(E2450,DSSpieler!A:B,2,FALSE)</f>
        <v>nico943</v>
      </c>
    </row>
    <row r="2451" spans="1:10" x14ac:dyDescent="0.25">
      <c r="A2451">
        <v>2749</v>
      </c>
      <c r="B2451" t="s">
        <v>531</v>
      </c>
      <c r="C2451">
        <v>545</v>
      </c>
      <c r="D2451">
        <v>505</v>
      </c>
      <c r="E2451">
        <v>0</v>
      </c>
      <c r="F2451">
        <v>384</v>
      </c>
      <c r="G2451">
        <v>0</v>
      </c>
      <c r="H2451" t="s">
        <v>7377</v>
      </c>
      <c r="I2451">
        <v>2749</v>
      </c>
      <c r="J2451" t="e">
        <f>VLOOKUP(E2451,DSSpieler!A:B,2,FALSE)</f>
        <v>#N/A</v>
      </c>
    </row>
    <row r="2452" spans="1:10" x14ac:dyDescent="0.25">
      <c r="A2452">
        <v>2750</v>
      </c>
      <c r="B2452" t="s">
        <v>31593</v>
      </c>
      <c r="C2452">
        <v>473</v>
      </c>
      <c r="D2452">
        <v>434</v>
      </c>
      <c r="E2452">
        <v>135780</v>
      </c>
      <c r="F2452">
        <v>6663</v>
      </c>
      <c r="G2452">
        <v>0</v>
      </c>
      <c r="H2452" t="s">
        <v>7378</v>
      </c>
      <c r="I2452">
        <v>2750</v>
      </c>
      <c r="J2452" t="str">
        <f>VLOOKUP(E2452,DSSpieler!A:B,2,FALSE)</f>
        <v>Master Magic</v>
      </c>
    </row>
    <row r="2453" spans="1:10" x14ac:dyDescent="0.25">
      <c r="A2453">
        <v>2751</v>
      </c>
      <c r="B2453" t="s">
        <v>531</v>
      </c>
      <c r="C2453">
        <v>503</v>
      </c>
      <c r="D2453">
        <v>563</v>
      </c>
      <c r="E2453">
        <v>0</v>
      </c>
      <c r="F2453">
        <v>401</v>
      </c>
      <c r="G2453">
        <v>0</v>
      </c>
      <c r="H2453" t="s">
        <v>7379</v>
      </c>
      <c r="I2453">
        <v>2751</v>
      </c>
      <c r="J2453" t="e">
        <f>VLOOKUP(E2453,DSSpieler!A:B,2,FALSE)</f>
        <v>#N/A</v>
      </c>
    </row>
    <row r="2454" spans="1:10" x14ac:dyDescent="0.25">
      <c r="A2454">
        <v>2752</v>
      </c>
      <c r="B2454" t="s">
        <v>31594</v>
      </c>
      <c r="C2454">
        <v>535</v>
      </c>
      <c r="D2454">
        <v>605</v>
      </c>
      <c r="E2454">
        <v>1576500928</v>
      </c>
      <c r="F2454">
        <v>3784</v>
      </c>
      <c r="G2454">
        <v>0</v>
      </c>
      <c r="H2454" t="s">
        <v>7380</v>
      </c>
      <c r="I2454">
        <v>2752</v>
      </c>
      <c r="J2454" t="str">
        <f>VLOOKUP(E2454,DSSpieler!A:B,2,FALSE)</f>
        <v>IsoldeMaduschen</v>
      </c>
    </row>
    <row r="2455" spans="1:10" x14ac:dyDescent="0.25">
      <c r="A2455">
        <v>2753</v>
      </c>
      <c r="B2455" t="s">
        <v>531</v>
      </c>
      <c r="C2455">
        <v>576</v>
      </c>
      <c r="D2455">
        <v>451</v>
      </c>
      <c r="E2455">
        <v>0</v>
      </c>
      <c r="F2455">
        <v>3244</v>
      </c>
      <c r="G2455">
        <v>0</v>
      </c>
      <c r="H2455" t="s">
        <v>7381</v>
      </c>
      <c r="I2455">
        <v>2753</v>
      </c>
      <c r="J2455" t="e">
        <f>VLOOKUP(E2455,DSSpieler!A:B,2,FALSE)</f>
        <v>#N/A</v>
      </c>
    </row>
    <row r="2456" spans="1:10" x14ac:dyDescent="0.25">
      <c r="A2456">
        <v>2754</v>
      </c>
      <c r="B2456" t="s">
        <v>31595</v>
      </c>
      <c r="C2456">
        <v>526</v>
      </c>
      <c r="D2456">
        <v>590</v>
      </c>
      <c r="E2456">
        <v>8229715</v>
      </c>
      <c r="F2456">
        <v>5813</v>
      </c>
      <c r="G2456">
        <v>0</v>
      </c>
      <c r="H2456" t="s">
        <v>7382</v>
      </c>
      <c r="I2456">
        <v>2754</v>
      </c>
      <c r="J2456" t="str">
        <f>VLOOKUP(E2456,DSSpieler!A:B,2,FALSE)</f>
        <v>Orschlochwattn</v>
      </c>
    </row>
    <row r="2457" spans="1:10" x14ac:dyDescent="0.25">
      <c r="A2457">
        <v>2755</v>
      </c>
      <c r="B2457" t="s">
        <v>531</v>
      </c>
      <c r="C2457">
        <v>531</v>
      </c>
      <c r="D2457">
        <v>438</v>
      </c>
      <c r="E2457">
        <v>0</v>
      </c>
      <c r="F2457">
        <v>270</v>
      </c>
      <c r="G2457">
        <v>0</v>
      </c>
      <c r="H2457" t="s">
        <v>7383</v>
      </c>
      <c r="I2457">
        <v>2755</v>
      </c>
      <c r="J2457" t="e">
        <f>VLOOKUP(E2457,DSSpieler!A:B,2,FALSE)</f>
        <v>#N/A</v>
      </c>
    </row>
    <row r="2458" spans="1:10" x14ac:dyDescent="0.25">
      <c r="A2458">
        <v>2756</v>
      </c>
      <c r="B2458" t="s">
        <v>31596</v>
      </c>
      <c r="C2458">
        <v>510</v>
      </c>
      <c r="D2458">
        <v>541</v>
      </c>
      <c r="E2458">
        <v>1577170488</v>
      </c>
      <c r="F2458">
        <v>4003</v>
      </c>
      <c r="G2458">
        <v>0</v>
      </c>
      <c r="H2458" t="s">
        <v>7384</v>
      </c>
      <c r="I2458">
        <v>2756</v>
      </c>
      <c r="J2458" t="str">
        <f>VLOOKUP(E2458,DSSpieler!A:B,2,FALSE)</f>
        <v>Nexo96</v>
      </c>
    </row>
    <row r="2459" spans="1:10" x14ac:dyDescent="0.25">
      <c r="A2459">
        <v>2758</v>
      </c>
      <c r="B2459" t="s">
        <v>1025</v>
      </c>
      <c r="C2459">
        <v>451</v>
      </c>
      <c r="D2459">
        <v>521</v>
      </c>
      <c r="E2459">
        <v>1577139959</v>
      </c>
      <c r="F2459">
        <v>4696</v>
      </c>
      <c r="G2459">
        <v>0</v>
      </c>
      <c r="H2459" t="s">
        <v>7385</v>
      </c>
      <c r="I2459">
        <v>2758</v>
      </c>
      <c r="J2459" t="str">
        <f>VLOOKUP(E2459,DSSpieler!A:B,2,FALSE)</f>
        <v>hinckstar</v>
      </c>
    </row>
    <row r="2460" spans="1:10" x14ac:dyDescent="0.25">
      <c r="A2460">
        <v>2759</v>
      </c>
      <c r="B2460" t="s">
        <v>531</v>
      </c>
      <c r="C2460">
        <v>516</v>
      </c>
      <c r="D2460">
        <v>536</v>
      </c>
      <c r="E2460">
        <v>0</v>
      </c>
      <c r="F2460">
        <v>274</v>
      </c>
      <c r="G2460">
        <v>0</v>
      </c>
      <c r="H2460" t="s">
        <v>7386</v>
      </c>
      <c r="I2460">
        <v>2759</v>
      </c>
      <c r="J2460" t="e">
        <f>VLOOKUP(E2460,DSSpieler!A:B,2,FALSE)</f>
        <v>#N/A</v>
      </c>
    </row>
    <row r="2461" spans="1:10" x14ac:dyDescent="0.25">
      <c r="A2461">
        <v>2760</v>
      </c>
      <c r="B2461" t="s">
        <v>531</v>
      </c>
      <c r="C2461">
        <v>490</v>
      </c>
      <c r="D2461">
        <v>544</v>
      </c>
      <c r="E2461">
        <v>0</v>
      </c>
      <c r="F2461">
        <v>194</v>
      </c>
      <c r="G2461">
        <v>0</v>
      </c>
      <c r="H2461" t="s">
        <v>7387</v>
      </c>
      <c r="I2461">
        <v>2760</v>
      </c>
      <c r="J2461" t="e">
        <f>VLOOKUP(E2461,DSSpieler!A:B,2,FALSE)</f>
        <v>#N/A</v>
      </c>
    </row>
    <row r="2462" spans="1:10" x14ac:dyDescent="0.25">
      <c r="A2462">
        <v>2761</v>
      </c>
      <c r="B2462" t="s">
        <v>30816</v>
      </c>
      <c r="C2462">
        <v>567</v>
      </c>
      <c r="D2462">
        <v>528</v>
      </c>
      <c r="E2462">
        <v>1576770406</v>
      </c>
      <c r="F2462">
        <v>7725</v>
      </c>
      <c r="G2462">
        <v>0</v>
      </c>
      <c r="H2462" t="s">
        <v>7388</v>
      </c>
      <c r="I2462">
        <v>2761</v>
      </c>
      <c r="J2462" t="str">
        <f>VLOOKUP(E2462,DSSpieler!A:B,2,FALSE)</f>
        <v>boxbox</v>
      </c>
    </row>
    <row r="2463" spans="1:10" x14ac:dyDescent="0.25">
      <c r="A2463">
        <v>2762</v>
      </c>
      <c r="B2463" t="s">
        <v>31597</v>
      </c>
      <c r="C2463">
        <v>515</v>
      </c>
      <c r="D2463">
        <v>501</v>
      </c>
      <c r="E2463">
        <v>1909473</v>
      </c>
      <c r="F2463">
        <v>7402</v>
      </c>
      <c r="G2463">
        <v>0</v>
      </c>
      <c r="H2463" t="s">
        <v>7389</v>
      </c>
      <c r="I2463">
        <v>2762</v>
      </c>
      <c r="J2463" t="str">
        <f>VLOOKUP(E2463,DSSpieler!A:B,2,FALSE)</f>
        <v>Quadratlatschen</v>
      </c>
    </row>
    <row r="2464" spans="1:10" x14ac:dyDescent="0.25">
      <c r="A2464">
        <v>2763</v>
      </c>
      <c r="B2464" t="s">
        <v>531</v>
      </c>
      <c r="C2464">
        <v>524</v>
      </c>
      <c r="D2464">
        <v>570</v>
      </c>
      <c r="E2464">
        <v>0</v>
      </c>
      <c r="F2464">
        <v>400</v>
      </c>
      <c r="G2464">
        <v>0</v>
      </c>
      <c r="H2464" t="s">
        <v>7390</v>
      </c>
      <c r="I2464">
        <v>2763</v>
      </c>
      <c r="J2464" t="e">
        <f>VLOOKUP(E2464,DSSpieler!A:B,2,FALSE)</f>
        <v>#N/A</v>
      </c>
    </row>
    <row r="2465" spans="1:10" x14ac:dyDescent="0.25">
      <c r="A2465">
        <v>2764</v>
      </c>
      <c r="B2465" t="e">
        <f>-6-+Insolvenzabteilung</f>
        <v>#NAME?</v>
      </c>
      <c r="C2465">
        <v>548</v>
      </c>
      <c r="D2465">
        <v>559</v>
      </c>
      <c r="E2465">
        <v>1577197889</v>
      </c>
      <c r="F2465">
        <v>5191</v>
      </c>
      <c r="G2465">
        <v>0</v>
      </c>
      <c r="H2465" t="s">
        <v>7391</v>
      </c>
      <c r="I2465">
        <v>2764</v>
      </c>
      <c r="J2465" t="str">
        <f>VLOOKUP(E2465,DSSpieler!A:B,2,FALSE)</f>
        <v>Cedii92</v>
      </c>
    </row>
    <row r="2466" spans="1:10" x14ac:dyDescent="0.25">
      <c r="A2466">
        <v>2765</v>
      </c>
      <c r="B2466" t="s">
        <v>31598</v>
      </c>
      <c r="C2466">
        <v>520</v>
      </c>
      <c r="D2466">
        <v>418</v>
      </c>
      <c r="E2466">
        <v>1577197561</v>
      </c>
      <c r="F2466">
        <v>6832</v>
      </c>
      <c r="G2466">
        <v>0</v>
      </c>
      <c r="H2466" t="s">
        <v>7392</v>
      </c>
      <c r="I2466">
        <v>2765</v>
      </c>
      <c r="J2466" t="str">
        <f>VLOOKUP(E2466,DSSpieler!A:B,2,FALSE)</f>
        <v>Tim Traitor</v>
      </c>
    </row>
    <row r="2467" spans="1:10" x14ac:dyDescent="0.25">
      <c r="A2467">
        <v>2766</v>
      </c>
      <c r="B2467" t="s">
        <v>531</v>
      </c>
      <c r="C2467">
        <v>515</v>
      </c>
      <c r="D2467">
        <v>431</v>
      </c>
      <c r="E2467">
        <v>0</v>
      </c>
      <c r="F2467">
        <v>439</v>
      </c>
      <c r="G2467">
        <v>0</v>
      </c>
      <c r="H2467" t="s">
        <v>7393</v>
      </c>
      <c r="I2467">
        <v>2766</v>
      </c>
      <c r="J2467" t="e">
        <f>VLOOKUP(E2467,DSSpieler!A:B,2,FALSE)</f>
        <v>#N/A</v>
      </c>
    </row>
    <row r="2468" spans="1:10" x14ac:dyDescent="0.25">
      <c r="A2468">
        <v>2768</v>
      </c>
      <c r="B2468" t="s">
        <v>31599</v>
      </c>
      <c r="C2468">
        <v>490</v>
      </c>
      <c r="D2468">
        <v>546</v>
      </c>
      <c r="E2468">
        <v>1576996984</v>
      </c>
      <c r="F2468">
        <v>8409</v>
      </c>
      <c r="G2468">
        <v>0</v>
      </c>
      <c r="H2468" t="s">
        <v>7394</v>
      </c>
      <c r="I2468">
        <v>2768</v>
      </c>
      <c r="J2468" t="str">
        <f>VLOOKUP(E2468,DSSpieler!A:B,2,FALSE)</f>
        <v>Gallone</v>
      </c>
    </row>
    <row r="2469" spans="1:10" x14ac:dyDescent="0.25">
      <c r="A2469">
        <v>2769</v>
      </c>
      <c r="B2469" t="s">
        <v>31600</v>
      </c>
      <c r="C2469">
        <v>577</v>
      </c>
      <c r="D2469">
        <v>446</v>
      </c>
      <c r="E2469">
        <v>1577140723</v>
      </c>
      <c r="F2469">
        <v>4962</v>
      </c>
      <c r="G2469">
        <v>0</v>
      </c>
      <c r="H2469" t="s">
        <v>7395</v>
      </c>
      <c r="I2469">
        <v>2769</v>
      </c>
      <c r="J2469" t="str">
        <f>VLOOKUP(E2469,DSSpieler!A:B,2,FALSE)</f>
        <v>nic214</v>
      </c>
    </row>
    <row r="2470" spans="1:10" x14ac:dyDescent="0.25">
      <c r="A2470">
        <v>2770</v>
      </c>
      <c r="B2470" t="s">
        <v>1026</v>
      </c>
      <c r="C2470">
        <v>459</v>
      </c>
      <c r="D2470">
        <v>564</v>
      </c>
      <c r="E2470">
        <v>9764565</v>
      </c>
      <c r="F2470">
        <v>6716</v>
      </c>
      <c r="G2470">
        <v>0</v>
      </c>
      <c r="H2470" t="s">
        <v>7396</v>
      </c>
      <c r="I2470">
        <v>2770</v>
      </c>
      <c r="J2470" t="str">
        <f>VLOOKUP(E2470,DSSpieler!A:B,2,FALSE)</f>
        <v>Capt.Bizeps</v>
      </c>
    </row>
    <row r="2471" spans="1:10" x14ac:dyDescent="0.25">
      <c r="A2471">
        <v>2771</v>
      </c>
      <c r="B2471" t="s">
        <v>31601</v>
      </c>
      <c r="C2471">
        <v>544</v>
      </c>
      <c r="D2471">
        <v>420</v>
      </c>
      <c r="E2471">
        <v>1576197248</v>
      </c>
      <c r="F2471">
        <v>4794</v>
      </c>
      <c r="G2471">
        <v>0</v>
      </c>
      <c r="H2471" t="s">
        <v>7397</v>
      </c>
      <c r="I2471">
        <v>2771</v>
      </c>
      <c r="J2471" t="str">
        <f>VLOOKUP(E2471,DSSpieler!A:B,2,FALSE)</f>
        <v>BlackDestroyers</v>
      </c>
    </row>
    <row r="2472" spans="1:10" x14ac:dyDescent="0.25">
      <c r="A2472">
        <v>2773</v>
      </c>
      <c r="B2472">
        <v>1</v>
      </c>
      <c r="C2472">
        <v>489</v>
      </c>
      <c r="D2472">
        <v>399</v>
      </c>
      <c r="E2472">
        <v>1574742</v>
      </c>
      <c r="F2472">
        <v>4649</v>
      </c>
      <c r="G2472">
        <v>0</v>
      </c>
      <c r="H2472" t="s">
        <v>7398</v>
      </c>
      <c r="I2472">
        <v>2773</v>
      </c>
      <c r="J2472" t="str">
        <f>VLOOKUP(E2472,DSSpieler!A:B,2,FALSE)</f>
        <v>Kurde.</v>
      </c>
    </row>
    <row r="2473" spans="1:10" x14ac:dyDescent="0.25">
      <c r="A2473">
        <v>2774</v>
      </c>
      <c r="B2473" t="s">
        <v>1027</v>
      </c>
      <c r="C2473">
        <v>469</v>
      </c>
      <c r="D2473">
        <v>545</v>
      </c>
      <c r="E2473">
        <v>1576583180</v>
      </c>
      <c r="F2473">
        <v>7878</v>
      </c>
      <c r="G2473">
        <v>0</v>
      </c>
      <c r="H2473" t="s">
        <v>7399</v>
      </c>
      <c r="I2473">
        <v>2774</v>
      </c>
      <c r="J2473" t="str">
        <f>VLOOKUP(E2473,DSSpieler!A:B,2,FALSE)</f>
        <v>opjeff</v>
      </c>
    </row>
    <row r="2474" spans="1:10" x14ac:dyDescent="0.25">
      <c r="A2474">
        <v>2775</v>
      </c>
      <c r="B2474">
        <v>1</v>
      </c>
      <c r="C2474">
        <v>595</v>
      </c>
      <c r="D2474">
        <v>454</v>
      </c>
      <c r="E2474">
        <v>1577114623</v>
      </c>
      <c r="F2474">
        <v>8400</v>
      </c>
      <c r="G2474">
        <v>0</v>
      </c>
      <c r="H2474" t="s">
        <v>7400</v>
      </c>
      <c r="I2474">
        <v>2775</v>
      </c>
      <c r="J2474" t="str">
        <f>VLOOKUP(E2474,DSSpieler!A:B,2,FALSE)</f>
        <v>gshamburg</v>
      </c>
    </row>
    <row r="2475" spans="1:10" x14ac:dyDescent="0.25">
      <c r="A2475">
        <v>2776</v>
      </c>
      <c r="B2475" t="s">
        <v>531</v>
      </c>
      <c r="C2475">
        <v>466</v>
      </c>
      <c r="D2475">
        <v>427</v>
      </c>
      <c r="E2475">
        <v>0</v>
      </c>
      <c r="F2475">
        <v>396</v>
      </c>
      <c r="G2475">
        <v>0</v>
      </c>
      <c r="H2475" t="s">
        <v>7401</v>
      </c>
      <c r="I2475">
        <v>2776</v>
      </c>
      <c r="J2475" t="e">
        <f>VLOOKUP(E2475,DSSpieler!A:B,2,FALSE)</f>
        <v>#N/A</v>
      </c>
    </row>
    <row r="2476" spans="1:10" x14ac:dyDescent="0.25">
      <c r="A2476">
        <v>2778</v>
      </c>
      <c r="B2476" t="s">
        <v>31602</v>
      </c>
      <c r="C2476">
        <v>532</v>
      </c>
      <c r="D2476">
        <v>608</v>
      </c>
      <c r="E2476">
        <v>832699</v>
      </c>
      <c r="F2476">
        <v>6029</v>
      </c>
      <c r="G2476">
        <v>0</v>
      </c>
      <c r="H2476" t="s">
        <v>7402</v>
      </c>
      <c r="I2476">
        <v>2778</v>
      </c>
      <c r="J2476" t="str">
        <f>VLOOKUP(E2476,DSSpieler!A:B,2,FALSE)</f>
        <v>Y@r0n</v>
      </c>
    </row>
    <row r="2477" spans="1:10" x14ac:dyDescent="0.25">
      <c r="A2477">
        <v>2779</v>
      </c>
      <c r="B2477" t="s">
        <v>979</v>
      </c>
      <c r="C2477">
        <v>500</v>
      </c>
      <c r="D2477">
        <v>594</v>
      </c>
      <c r="E2477">
        <v>1577198205</v>
      </c>
      <c r="F2477">
        <v>2942</v>
      </c>
      <c r="G2477">
        <v>0</v>
      </c>
      <c r="H2477" t="s">
        <v>7403</v>
      </c>
      <c r="I2477">
        <v>2779</v>
      </c>
      <c r="J2477" t="str">
        <f>VLOOKUP(E2477,DSSpieler!A:B,2,FALSE)</f>
        <v>.Streuselcake</v>
      </c>
    </row>
    <row r="2478" spans="1:10" x14ac:dyDescent="0.25">
      <c r="A2478">
        <v>2781</v>
      </c>
      <c r="B2478" t="s">
        <v>531</v>
      </c>
      <c r="C2478">
        <v>536</v>
      </c>
      <c r="D2478">
        <v>428</v>
      </c>
      <c r="E2478">
        <v>0</v>
      </c>
      <c r="F2478">
        <v>419</v>
      </c>
      <c r="G2478">
        <v>0</v>
      </c>
      <c r="H2478" t="s">
        <v>7404</v>
      </c>
      <c r="I2478">
        <v>2781</v>
      </c>
      <c r="J2478" t="e">
        <f>VLOOKUP(E2478,DSSpieler!A:B,2,FALSE)</f>
        <v>#N/A</v>
      </c>
    </row>
    <row r="2479" spans="1:10" x14ac:dyDescent="0.25">
      <c r="A2479">
        <v>2782</v>
      </c>
      <c r="B2479">
        <v>1</v>
      </c>
      <c r="C2479">
        <v>407</v>
      </c>
      <c r="D2479">
        <v>445</v>
      </c>
      <c r="E2479">
        <v>1576924717</v>
      </c>
      <c r="F2479">
        <v>6841</v>
      </c>
      <c r="G2479">
        <v>0</v>
      </c>
      <c r="H2479" t="s">
        <v>7405</v>
      </c>
      <c r="I2479">
        <v>2782</v>
      </c>
      <c r="J2479" t="str">
        <f>VLOOKUP(E2479,DSSpieler!A:B,2,FALSE)</f>
        <v>P0nza</v>
      </c>
    </row>
    <row r="2480" spans="1:10" x14ac:dyDescent="0.25">
      <c r="A2480">
        <v>2783</v>
      </c>
      <c r="B2480" t="s">
        <v>31603</v>
      </c>
      <c r="C2480">
        <v>460</v>
      </c>
      <c r="D2480">
        <v>603</v>
      </c>
      <c r="E2480">
        <v>1577197712</v>
      </c>
      <c r="F2480">
        <v>6551</v>
      </c>
      <c r="G2480">
        <v>0</v>
      </c>
      <c r="H2480" t="s">
        <v>7406</v>
      </c>
      <c r="I2480">
        <v>2783</v>
      </c>
      <c r="J2480" t="str">
        <f>VLOOKUP(E2480,DSSpieler!A:B,2,FALSE)</f>
        <v>Revenge is sweet</v>
      </c>
    </row>
    <row r="2481" spans="1:10" x14ac:dyDescent="0.25">
      <c r="A2481">
        <v>2785</v>
      </c>
      <c r="B2481" t="s">
        <v>1028</v>
      </c>
      <c r="C2481">
        <v>563</v>
      </c>
      <c r="D2481">
        <v>461</v>
      </c>
      <c r="E2481">
        <v>1577195504</v>
      </c>
      <c r="F2481">
        <v>6234</v>
      </c>
      <c r="G2481">
        <v>0</v>
      </c>
      <c r="H2481" t="s">
        <v>7407</v>
      </c>
      <c r="I2481">
        <v>2785</v>
      </c>
      <c r="J2481" t="str">
        <f>VLOOKUP(E2481,DSSpieler!A:B,2,FALSE)</f>
        <v>WassilijFukov</v>
      </c>
    </row>
    <row r="2482" spans="1:10" x14ac:dyDescent="0.25">
      <c r="A2482">
        <v>2786</v>
      </c>
      <c r="B2482" t="s">
        <v>31604</v>
      </c>
      <c r="C2482">
        <v>408</v>
      </c>
      <c r="D2482">
        <v>515</v>
      </c>
      <c r="E2482">
        <v>1576436373</v>
      </c>
      <c r="F2482">
        <v>2318</v>
      </c>
      <c r="G2482">
        <v>0</v>
      </c>
      <c r="H2482" t="s">
        <v>7408</v>
      </c>
      <c r="I2482">
        <v>2786</v>
      </c>
      <c r="J2482" t="str">
        <f>VLOOKUP(E2482,DSSpieler!A:B,2,FALSE)</f>
        <v>Ds-Koryphäe</v>
      </c>
    </row>
    <row r="2483" spans="1:10" x14ac:dyDescent="0.25">
      <c r="A2483">
        <v>2787</v>
      </c>
      <c r="B2483" t="s">
        <v>31605</v>
      </c>
      <c r="C2483">
        <v>561</v>
      </c>
      <c r="D2483">
        <v>467</v>
      </c>
      <c r="E2483">
        <v>1576122645</v>
      </c>
      <c r="F2483">
        <v>5155</v>
      </c>
      <c r="G2483">
        <v>0</v>
      </c>
      <c r="H2483" t="s">
        <v>7409</v>
      </c>
      <c r="I2483">
        <v>2787</v>
      </c>
      <c r="J2483" t="str">
        <f>VLOOKUP(E2483,DSSpieler!A:B,2,FALSE)</f>
        <v>Lodulo</v>
      </c>
    </row>
    <row r="2484" spans="1:10" x14ac:dyDescent="0.25">
      <c r="A2484">
        <v>2788</v>
      </c>
      <c r="B2484" t="s">
        <v>531</v>
      </c>
      <c r="C2484">
        <v>551</v>
      </c>
      <c r="D2484">
        <v>491</v>
      </c>
      <c r="E2484">
        <v>0</v>
      </c>
      <c r="F2484">
        <v>374</v>
      </c>
      <c r="G2484">
        <v>0</v>
      </c>
      <c r="H2484" t="s">
        <v>7410</v>
      </c>
      <c r="I2484">
        <v>2788</v>
      </c>
      <c r="J2484" t="e">
        <f>VLOOKUP(E2484,DSSpieler!A:B,2,FALSE)</f>
        <v>#N/A</v>
      </c>
    </row>
    <row r="2485" spans="1:10" x14ac:dyDescent="0.25">
      <c r="A2485">
        <v>2789</v>
      </c>
      <c r="B2485" t="s">
        <v>531</v>
      </c>
      <c r="C2485">
        <v>527</v>
      </c>
      <c r="D2485">
        <v>528</v>
      </c>
      <c r="E2485">
        <v>0</v>
      </c>
      <c r="F2485">
        <v>490</v>
      </c>
      <c r="G2485">
        <v>0</v>
      </c>
      <c r="H2485" t="s">
        <v>7411</v>
      </c>
      <c r="I2485">
        <v>2789</v>
      </c>
      <c r="J2485" t="e">
        <f>VLOOKUP(E2485,DSSpieler!A:B,2,FALSE)</f>
        <v>#N/A</v>
      </c>
    </row>
    <row r="2486" spans="1:10" x14ac:dyDescent="0.25">
      <c r="A2486">
        <v>2790</v>
      </c>
      <c r="B2486" t="s">
        <v>531</v>
      </c>
      <c r="C2486">
        <v>564</v>
      </c>
      <c r="D2486">
        <v>469</v>
      </c>
      <c r="E2486">
        <v>0</v>
      </c>
      <c r="F2486">
        <v>348</v>
      </c>
      <c r="G2486">
        <v>0</v>
      </c>
      <c r="H2486" t="s">
        <v>7412</v>
      </c>
      <c r="I2486">
        <v>2790</v>
      </c>
      <c r="J2486" t="e">
        <f>VLOOKUP(E2486,DSSpieler!A:B,2,FALSE)</f>
        <v>#N/A</v>
      </c>
    </row>
    <row r="2487" spans="1:10" x14ac:dyDescent="0.25">
      <c r="A2487">
        <v>2792</v>
      </c>
      <c r="B2487" t="s">
        <v>531</v>
      </c>
      <c r="C2487">
        <v>527</v>
      </c>
      <c r="D2487">
        <v>537</v>
      </c>
      <c r="E2487">
        <v>0</v>
      </c>
      <c r="F2487">
        <v>438</v>
      </c>
      <c r="G2487">
        <v>0</v>
      </c>
      <c r="H2487" t="s">
        <v>7413</v>
      </c>
      <c r="I2487">
        <v>2792</v>
      </c>
      <c r="J2487" t="e">
        <f>VLOOKUP(E2487,DSSpieler!A:B,2,FALSE)</f>
        <v>#N/A</v>
      </c>
    </row>
    <row r="2488" spans="1:10" x14ac:dyDescent="0.25">
      <c r="A2488">
        <v>2793</v>
      </c>
      <c r="B2488" t="s">
        <v>31606</v>
      </c>
      <c r="C2488">
        <v>551</v>
      </c>
      <c r="D2488">
        <v>464</v>
      </c>
      <c r="E2488">
        <v>1577195492</v>
      </c>
      <c r="F2488">
        <v>7806</v>
      </c>
      <c r="G2488">
        <v>0</v>
      </c>
      <c r="H2488" t="s">
        <v>7414</v>
      </c>
      <c r="I2488">
        <v>2793</v>
      </c>
      <c r="J2488" t="str">
        <f>VLOOKUP(E2488,DSSpieler!A:B,2,FALSE)</f>
        <v>Meikaay</v>
      </c>
    </row>
    <row r="2489" spans="1:10" x14ac:dyDescent="0.25">
      <c r="A2489">
        <v>2795</v>
      </c>
      <c r="B2489" t="s">
        <v>31607</v>
      </c>
      <c r="C2489">
        <v>487</v>
      </c>
      <c r="D2489">
        <v>396</v>
      </c>
      <c r="E2489">
        <v>1577197990</v>
      </c>
      <c r="F2489">
        <v>5723</v>
      </c>
      <c r="G2489">
        <v>0</v>
      </c>
      <c r="H2489" t="s">
        <v>7415</v>
      </c>
      <c r="I2489">
        <v>2795</v>
      </c>
      <c r="J2489" t="str">
        <f>VLOOKUP(E2489,DSSpieler!A:B,2,FALSE)</f>
        <v>haemmy2</v>
      </c>
    </row>
    <row r="2490" spans="1:10" x14ac:dyDescent="0.25">
      <c r="A2490">
        <v>2797</v>
      </c>
      <c r="B2490" t="s">
        <v>531</v>
      </c>
      <c r="C2490">
        <v>531</v>
      </c>
      <c r="D2490">
        <v>429</v>
      </c>
      <c r="E2490">
        <v>0</v>
      </c>
      <c r="F2490">
        <v>546</v>
      </c>
      <c r="G2490">
        <v>0</v>
      </c>
      <c r="H2490" t="s">
        <v>7416</v>
      </c>
      <c r="I2490">
        <v>2797</v>
      </c>
      <c r="J2490" t="e">
        <f>VLOOKUP(E2490,DSSpieler!A:B,2,FALSE)</f>
        <v>#N/A</v>
      </c>
    </row>
    <row r="2491" spans="1:10" x14ac:dyDescent="0.25">
      <c r="A2491">
        <v>2798</v>
      </c>
      <c r="B2491" t="s">
        <v>31608</v>
      </c>
      <c r="C2491">
        <v>471</v>
      </c>
      <c r="D2491">
        <v>536</v>
      </c>
      <c r="E2491">
        <v>3067835</v>
      </c>
      <c r="F2491">
        <v>9615</v>
      </c>
      <c r="G2491">
        <v>0</v>
      </c>
      <c r="H2491" t="s">
        <v>7417</v>
      </c>
      <c r="I2491">
        <v>2798</v>
      </c>
      <c r="J2491" t="str">
        <f>VLOOKUP(E2491,DSSpieler!A:B,2,FALSE)</f>
        <v>juljy</v>
      </c>
    </row>
    <row r="2492" spans="1:10" x14ac:dyDescent="0.25">
      <c r="A2492">
        <v>2799</v>
      </c>
      <c r="B2492" t="s">
        <v>31609</v>
      </c>
      <c r="C2492">
        <v>568</v>
      </c>
      <c r="D2492">
        <v>521</v>
      </c>
      <c r="E2492">
        <v>1577193314</v>
      </c>
      <c r="F2492">
        <v>7123</v>
      </c>
      <c r="G2492">
        <v>0</v>
      </c>
      <c r="H2492" t="s">
        <v>7418</v>
      </c>
      <c r="I2492">
        <v>2799</v>
      </c>
      <c r="J2492" t="str">
        <f>VLOOKUP(E2492,DSSpieler!A:B,2,FALSE)</f>
        <v>Tomatenbrot</v>
      </c>
    </row>
    <row r="2493" spans="1:10" x14ac:dyDescent="0.25">
      <c r="A2493">
        <v>2800</v>
      </c>
      <c r="B2493" t="s">
        <v>1029</v>
      </c>
      <c r="C2493">
        <v>492</v>
      </c>
      <c r="D2493">
        <v>598</v>
      </c>
      <c r="E2493">
        <v>8909812</v>
      </c>
      <c r="F2493">
        <v>8804</v>
      </c>
      <c r="G2493">
        <v>0</v>
      </c>
      <c r="H2493" t="s">
        <v>7419</v>
      </c>
      <c r="I2493">
        <v>2800</v>
      </c>
      <c r="J2493" t="str">
        <f>VLOOKUP(E2493,DSSpieler!A:B,2,FALSE)</f>
        <v>--robi98--</v>
      </c>
    </row>
    <row r="2494" spans="1:10" x14ac:dyDescent="0.25">
      <c r="A2494">
        <v>2802</v>
      </c>
      <c r="B2494" t="s">
        <v>531</v>
      </c>
      <c r="C2494">
        <v>420</v>
      </c>
      <c r="D2494">
        <v>501</v>
      </c>
      <c r="E2494">
        <v>0</v>
      </c>
      <c r="F2494">
        <v>167</v>
      </c>
      <c r="G2494">
        <v>0</v>
      </c>
      <c r="H2494" t="s">
        <v>7420</v>
      </c>
      <c r="I2494">
        <v>2802</v>
      </c>
      <c r="J2494" t="e">
        <f>VLOOKUP(E2494,DSSpieler!A:B,2,FALSE)</f>
        <v>#N/A</v>
      </c>
    </row>
    <row r="2495" spans="1:10" x14ac:dyDescent="0.25">
      <c r="A2495">
        <v>2803</v>
      </c>
      <c r="B2495" t="s">
        <v>31610</v>
      </c>
      <c r="C2495">
        <v>584</v>
      </c>
      <c r="D2495">
        <v>569</v>
      </c>
      <c r="E2495">
        <v>1577033300</v>
      </c>
      <c r="F2495">
        <v>7567</v>
      </c>
      <c r="G2495">
        <v>0</v>
      </c>
      <c r="H2495" t="s">
        <v>7421</v>
      </c>
      <c r="I2495">
        <v>2803</v>
      </c>
      <c r="J2495" t="str">
        <f>VLOOKUP(E2495,DSSpieler!A:B,2,FALSE)</f>
        <v>Umanic</v>
      </c>
    </row>
    <row r="2496" spans="1:10" x14ac:dyDescent="0.25">
      <c r="A2496">
        <v>2804</v>
      </c>
      <c r="B2496" t="s">
        <v>1030</v>
      </c>
      <c r="C2496">
        <v>422</v>
      </c>
      <c r="D2496">
        <v>516</v>
      </c>
      <c r="E2496">
        <v>9268817</v>
      </c>
      <c r="F2496">
        <v>4573</v>
      </c>
      <c r="G2496">
        <v>0</v>
      </c>
      <c r="H2496" t="s">
        <v>7422</v>
      </c>
      <c r="I2496">
        <v>2804</v>
      </c>
      <c r="J2496" t="str">
        <f>VLOOKUP(E2496,DSSpieler!A:B,2,FALSE)</f>
        <v>Kätzchen1001</v>
      </c>
    </row>
    <row r="2497" spans="1:10" x14ac:dyDescent="0.25">
      <c r="A2497">
        <v>2805</v>
      </c>
      <c r="B2497">
        <v>1</v>
      </c>
      <c r="C2497">
        <v>580</v>
      </c>
      <c r="D2497">
        <v>443</v>
      </c>
      <c r="E2497">
        <v>3363691</v>
      </c>
      <c r="F2497">
        <v>7708</v>
      </c>
      <c r="G2497">
        <v>0</v>
      </c>
      <c r="H2497" t="s">
        <v>7423</v>
      </c>
      <c r="I2497">
        <v>2805</v>
      </c>
      <c r="J2497" t="str">
        <f>VLOOKUP(E2497,DSSpieler!A:B,2,FALSE)</f>
        <v>LOK3</v>
      </c>
    </row>
    <row r="2498" spans="1:10" x14ac:dyDescent="0.25">
      <c r="A2498">
        <v>2806</v>
      </c>
      <c r="B2498" t="s">
        <v>1031</v>
      </c>
      <c r="C2498">
        <v>518</v>
      </c>
      <c r="D2498">
        <v>565</v>
      </c>
      <c r="E2498">
        <v>1576730028</v>
      </c>
      <c r="F2498">
        <v>6029</v>
      </c>
      <c r="G2498">
        <v>0</v>
      </c>
      <c r="H2498" t="s">
        <v>7424</v>
      </c>
      <c r="I2498">
        <v>2806</v>
      </c>
      <c r="J2498" t="str">
        <f>VLOOKUP(E2498,DSSpieler!A:B,2,FALSE)</f>
        <v>-FreSSe-</v>
      </c>
    </row>
    <row r="2499" spans="1:10" x14ac:dyDescent="0.25">
      <c r="A2499">
        <v>2807</v>
      </c>
      <c r="B2499" t="s">
        <v>31611</v>
      </c>
      <c r="C2499">
        <v>456</v>
      </c>
      <c r="D2499">
        <v>557</v>
      </c>
      <c r="E2499">
        <v>1577178829</v>
      </c>
      <c r="F2499">
        <v>6837</v>
      </c>
      <c r="G2499">
        <v>0</v>
      </c>
      <c r="H2499" t="s">
        <v>7425</v>
      </c>
      <c r="I2499">
        <v>2807</v>
      </c>
      <c r="J2499" t="str">
        <f>VLOOKUP(E2499,DSSpieler!A:B,2,FALSE)</f>
        <v>whirlyy</v>
      </c>
    </row>
    <row r="2500" spans="1:10" x14ac:dyDescent="0.25">
      <c r="A2500">
        <v>2808</v>
      </c>
      <c r="B2500" t="s">
        <v>31612</v>
      </c>
      <c r="C2500">
        <v>536</v>
      </c>
      <c r="D2500">
        <v>441</v>
      </c>
      <c r="E2500">
        <v>1577197828</v>
      </c>
      <c r="F2500">
        <v>4465</v>
      </c>
      <c r="G2500">
        <v>0</v>
      </c>
      <c r="H2500" t="s">
        <v>7426</v>
      </c>
      <c r="I2500">
        <v>2808</v>
      </c>
      <c r="J2500" t="str">
        <f>VLOOKUP(E2500,DSSpieler!A:B,2,FALSE)</f>
        <v>pewpew2000</v>
      </c>
    </row>
    <row r="2501" spans="1:10" x14ac:dyDescent="0.25">
      <c r="A2501">
        <v>2810</v>
      </c>
      <c r="B2501" t="s">
        <v>1032</v>
      </c>
      <c r="C2501">
        <v>525</v>
      </c>
      <c r="D2501">
        <v>557</v>
      </c>
      <c r="E2501">
        <v>1577191393</v>
      </c>
      <c r="F2501">
        <v>6435</v>
      </c>
      <c r="G2501">
        <v>0</v>
      </c>
      <c r="H2501" t="s">
        <v>7427</v>
      </c>
      <c r="I2501">
        <v>2810</v>
      </c>
      <c r="J2501" t="str">
        <f>VLOOKUP(E2501,DSSpieler!A:B,2,FALSE)</f>
        <v>Mann mit Axt</v>
      </c>
    </row>
    <row r="2502" spans="1:10" x14ac:dyDescent="0.25">
      <c r="A2502">
        <v>2811</v>
      </c>
      <c r="B2502" t="s">
        <v>989</v>
      </c>
      <c r="C2502">
        <v>475</v>
      </c>
      <c r="D2502">
        <v>563</v>
      </c>
      <c r="E2502">
        <v>1577189864</v>
      </c>
      <c r="F2502">
        <v>4799</v>
      </c>
      <c r="G2502">
        <v>0</v>
      </c>
      <c r="H2502" t="s">
        <v>7428</v>
      </c>
      <c r="I2502">
        <v>2811</v>
      </c>
      <c r="J2502" t="str">
        <f>VLOOKUP(E2502,DSSpieler!A:B,2,FALSE)</f>
        <v>Hamsterbaby</v>
      </c>
    </row>
    <row r="2503" spans="1:10" x14ac:dyDescent="0.25">
      <c r="A2503">
        <v>2812</v>
      </c>
      <c r="B2503" t="s">
        <v>1033</v>
      </c>
      <c r="C2503">
        <v>547</v>
      </c>
      <c r="D2503">
        <v>483</v>
      </c>
      <c r="E2503">
        <v>1577180324</v>
      </c>
      <c r="F2503">
        <v>5986</v>
      </c>
      <c r="G2503">
        <v>0</v>
      </c>
      <c r="H2503" t="s">
        <v>7429</v>
      </c>
      <c r="I2503">
        <v>2812</v>
      </c>
      <c r="J2503" t="str">
        <f>VLOOKUP(E2503,DSSpieler!A:B,2,FALSE)</f>
        <v>XTfg3ZAbO</v>
      </c>
    </row>
    <row r="2504" spans="1:10" x14ac:dyDescent="0.25">
      <c r="A2504">
        <v>2813</v>
      </c>
      <c r="B2504" t="s">
        <v>1034</v>
      </c>
      <c r="C2504">
        <v>532</v>
      </c>
      <c r="D2504">
        <v>433</v>
      </c>
      <c r="E2504">
        <v>3143028</v>
      </c>
      <c r="F2504">
        <v>6736</v>
      </c>
      <c r="G2504">
        <v>0</v>
      </c>
      <c r="H2504" t="s">
        <v>7430</v>
      </c>
      <c r="I2504">
        <v>2813</v>
      </c>
      <c r="J2504" t="str">
        <f>VLOOKUP(E2504,DSSpieler!A:B,2,FALSE)</f>
        <v>Tom Traitor</v>
      </c>
    </row>
    <row r="2505" spans="1:10" x14ac:dyDescent="0.25">
      <c r="A2505">
        <v>2814</v>
      </c>
      <c r="B2505" t="s">
        <v>531</v>
      </c>
      <c r="C2505">
        <v>442</v>
      </c>
      <c r="D2505">
        <v>497</v>
      </c>
      <c r="E2505">
        <v>0</v>
      </c>
      <c r="F2505">
        <v>595</v>
      </c>
      <c r="G2505">
        <v>0</v>
      </c>
      <c r="H2505" t="s">
        <v>7431</v>
      </c>
      <c r="I2505">
        <v>2814</v>
      </c>
      <c r="J2505" t="e">
        <f>VLOOKUP(E2505,DSSpieler!A:B,2,FALSE)</f>
        <v>#N/A</v>
      </c>
    </row>
    <row r="2506" spans="1:10" x14ac:dyDescent="0.25">
      <c r="A2506">
        <v>2816</v>
      </c>
      <c r="B2506" t="s">
        <v>31613</v>
      </c>
      <c r="C2506">
        <v>581</v>
      </c>
      <c r="D2506">
        <v>530</v>
      </c>
      <c r="E2506">
        <v>1577185130</v>
      </c>
      <c r="F2506">
        <v>3324</v>
      </c>
      <c r="G2506">
        <v>0</v>
      </c>
      <c r="H2506" t="s">
        <v>7432</v>
      </c>
      <c r="I2506">
        <v>2816</v>
      </c>
      <c r="J2506" t="str">
        <f>VLOOKUP(E2506,DSSpieler!A:B,2,FALSE)</f>
        <v>Timerius</v>
      </c>
    </row>
    <row r="2507" spans="1:10" x14ac:dyDescent="0.25">
      <c r="A2507">
        <v>2817</v>
      </c>
      <c r="B2507" t="s">
        <v>31614</v>
      </c>
      <c r="C2507">
        <v>542</v>
      </c>
      <c r="D2507">
        <v>461</v>
      </c>
      <c r="E2507">
        <v>1577197744</v>
      </c>
      <c r="F2507">
        <v>4810</v>
      </c>
      <c r="G2507">
        <v>0</v>
      </c>
      <c r="H2507" t="s">
        <v>7433</v>
      </c>
      <c r="I2507">
        <v>2817</v>
      </c>
      <c r="J2507" t="str">
        <f>VLOOKUP(E2507,DSSpieler!A:B,2,FALSE)</f>
        <v>Holy Knight Escanor</v>
      </c>
    </row>
    <row r="2508" spans="1:10" x14ac:dyDescent="0.25">
      <c r="A2508">
        <v>2818</v>
      </c>
      <c r="B2508" t="s">
        <v>531</v>
      </c>
      <c r="C2508">
        <v>506</v>
      </c>
      <c r="D2508">
        <v>560</v>
      </c>
      <c r="E2508">
        <v>0</v>
      </c>
      <c r="F2508">
        <v>382</v>
      </c>
      <c r="G2508">
        <v>0</v>
      </c>
      <c r="H2508" t="s">
        <v>7434</v>
      </c>
      <c r="I2508">
        <v>2818</v>
      </c>
      <c r="J2508" t="e">
        <f>VLOOKUP(E2508,DSSpieler!A:B,2,FALSE)</f>
        <v>#N/A</v>
      </c>
    </row>
    <row r="2509" spans="1:10" x14ac:dyDescent="0.25">
      <c r="A2509">
        <v>2819</v>
      </c>
      <c r="B2509" t="s">
        <v>31615</v>
      </c>
      <c r="C2509">
        <v>499</v>
      </c>
      <c r="D2509">
        <v>612</v>
      </c>
      <c r="E2509">
        <v>7916427</v>
      </c>
      <c r="F2509">
        <v>3694</v>
      </c>
      <c r="G2509">
        <v>0</v>
      </c>
      <c r="H2509" t="s">
        <v>7435</v>
      </c>
      <c r="I2509">
        <v>2819</v>
      </c>
      <c r="J2509" t="str">
        <f>VLOOKUP(E2509,DSSpieler!A:B,2,FALSE)</f>
        <v>TheGold4me</v>
      </c>
    </row>
    <row r="2510" spans="1:10" x14ac:dyDescent="0.25">
      <c r="A2510">
        <v>2820</v>
      </c>
      <c r="B2510" t="s">
        <v>31616</v>
      </c>
      <c r="C2510">
        <v>529</v>
      </c>
      <c r="D2510">
        <v>432</v>
      </c>
      <c r="E2510">
        <v>1576428534</v>
      </c>
      <c r="F2510">
        <v>5387</v>
      </c>
      <c r="G2510">
        <v>0</v>
      </c>
      <c r="H2510" t="s">
        <v>7436</v>
      </c>
      <c r="I2510">
        <v>2820</v>
      </c>
      <c r="J2510" t="str">
        <f>VLOOKUP(E2510,DSSpieler!A:B,2,FALSE)</f>
        <v>KhaNickel</v>
      </c>
    </row>
    <row r="2511" spans="1:10" x14ac:dyDescent="0.25">
      <c r="A2511">
        <v>2821</v>
      </c>
      <c r="B2511" t="s">
        <v>30591</v>
      </c>
      <c r="C2511">
        <v>555</v>
      </c>
      <c r="D2511">
        <v>578</v>
      </c>
      <c r="E2511">
        <v>1576064169</v>
      </c>
      <c r="F2511">
        <v>6416</v>
      </c>
      <c r="G2511">
        <v>0</v>
      </c>
      <c r="H2511" t="s">
        <v>7437</v>
      </c>
      <c r="I2511">
        <v>2821</v>
      </c>
      <c r="J2511" t="str">
        <f>VLOOKUP(E2511,DSSpieler!A:B,2,FALSE)</f>
        <v>MySkillNoSkill</v>
      </c>
    </row>
    <row r="2512" spans="1:10" x14ac:dyDescent="0.25">
      <c r="A2512">
        <v>2822</v>
      </c>
      <c r="B2512" t="s">
        <v>31617</v>
      </c>
      <c r="C2512">
        <v>570</v>
      </c>
      <c r="D2512">
        <v>540</v>
      </c>
      <c r="E2512">
        <v>1576824008</v>
      </c>
      <c r="F2512">
        <v>3178</v>
      </c>
      <c r="G2512">
        <v>0</v>
      </c>
      <c r="H2512" t="s">
        <v>7438</v>
      </c>
      <c r="I2512">
        <v>2822</v>
      </c>
      <c r="J2512" t="str">
        <f>VLOOKUP(E2512,DSSpieler!A:B,2,FALSE)</f>
        <v>Mengez89</v>
      </c>
    </row>
    <row r="2513" spans="1:10" x14ac:dyDescent="0.25">
      <c r="A2513">
        <v>2823</v>
      </c>
      <c r="B2513" t="s">
        <v>1035</v>
      </c>
      <c r="C2513">
        <v>581</v>
      </c>
      <c r="D2513">
        <v>431</v>
      </c>
      <c r="E2513">
        <v>1577019379</v>
      </c>
      <c r="F2513">
        <v>7551</v>
      </c>
      <c r="G2513">
        <v>0</v>
      </c>
      <c r="H2513" t="s">
        <v>7439</v>
      </c>
      <c r="I2513">
        <v>2823</v>
      </c>
      <c r="J2513" t="str">
        <f>VLOOKUP(E2513,DSSpieler!A:B,2,FALSE)</f>
        <v>I Xailu I</v>
      </c>
    </row>
    <row r="2514" spans="1:10" x14ac:dyDescent="0.25">
      <c r="A2514">
        <v>2824</v>
      </c>
      <c r="B2514" t="s">
        <v>31618</v>
      </c>
      <c r="C2514">
        <v>471</v>
      </c>
      <c r="D2514">
        <v>440</v>
      </c>
      <c r="E2514">
        <v>1928966</v>
      </c>
      <c r="F2514">
        <v>6008</v>
      </c>
      <c r="G2514">
        <v>0</v>
      </c>
      <c r="H2514" t="s">
        <v>7440</v>
      </c>
      <c r="I2514">
        <v>2824</v>
      </c>
      <c r="J2514" t="str">
        <f>VLOOKUP(E2514,DSSpieler!A:B,2,FALSE)</f>
        <v>svandy</v>
      </c>
    </row>
    <row r="2515" spans="1:10" x14ac:dyDescent="0.25">
      <c r="A2515">
        <v>2825</v>
      </c>
      <c r="B2515" t="s">
        <v>31619</v>
      </c>
      <c r="C2515">
        <v>526</v>
      </c>
      <c r="D2515">
        <v>428</v>
      </c>
      <c r="E2515">
        <v>1577197561</v>
      </c>
      <c r="F2515">
        <v>5147</v>
      </c>
      <c r="G2515">
        <v>0</v>
      </c>
      <c r="H2515" t="s">
        <v>7441</v>
      </c>
      <c r="I2515">
        <v>2825</v>
      </c>
      <c r="J2515" t="str">
        <f>VLOOKUP(E2515,DSSpieler!A:B,2,FALSE)</f>
        <v>Tim Traitor</v>
      </c>
    </row>
    <row r="2516" spans="1:10" x14ac:dyDescent="0.25">
      <c r="A2516">
        <v>2826</v>
      </c>
      <c r="B2516" t="s">
        <v>531</v>
      </c>
      <c r="C2516">
        <v>436</v>
      </c>
      <c r="D2516">
        <v>453</v>
      </c>
      <c r="E2516">
        <v>0</v>
      </c>
      <c r="F2516">
        <v>115</v>
      </c>
      <c r="G2516">
        <v>0</v>
      </c>
      <c r="H2516" t="s">
        <v>7442</v>
      </c>
      <c r="I2516">
        <v>2826</v>
      </c>
      <c r="J2516" t="e">
        <f>VLOOKUP(E2516,DSSpieler!A:B,2,FALSE)</f>
        <v>#N/A</v>
      </c>
    </row>
    <row r="2517" spans="1:10" x14ac:dyDescent="0.25">
      <c r="A2517">
        <v>2827</v>
      </c>
      <c r="B2517" t="s">
        <v>531</v>
      </c>
      <c r="C2517">
        <v>544</v>
      </c>
      <c r="D2517">
        <v>531</v>
      </c>
      <c r="E2517">
        <v>0</v>
      </c>
      <c r="F2517">
        <v>1511</v>
      </c>
      <c r="G2517">
        <v>0</v>
      </c>
      <c r="H2517" t="s">
        <v>7443</v>
      </c>
      <c r="I2517">
        <v>2827</v>
      </c>
      <c r="J2517" t="e">
        <f>VLOOKUP(E2517,DSSpieler!A:B,2,FALSE)</f>
        <v>#N/A</v>
      </c>
    </row>
    <row r="2518" spans="1:10" x14ac:dyDescent="0.25">
      <c r="A2518">
        <v>2828</v>
      </c>
      <c r="B2518" t="s">
        <v>31620</v>
      </c>
      <c r="C2518">
        <v>570</v>
      </c>
      <c r="D2518">
        <v>576</v>
      </c>
      <c r="E2518">
        <v>10150018</v>
      </c>
      <c r="F2518">
        <v>5067</v>
      </c>
      <c r="G2518">
        <v>0</v>
      </c>
      <c r="H2518" t="s">
        <v>7444</v>
      </c>
      <c r="I2518">
        <v>2828</v>
      </c>
      <c r="J2518" t="str">
        <f>VLOOKUP(E2518,DSSpieler!A:B,2,FALSE)</f>
        <v>sub-t</v>
      </c>
    </row>
    <row r="2519" spans="1:10" x14ac:dyDescent="0.25">
      <c r="A2519">
        <v>2829</v>
      </c>
      <c r="B2519" t="s">
        <v>531</v>
      </c>
      <c r="C2519">
        <v>521</v>
      </c>
      <c r="D2519">
        <v>565</v>
      </c>
      <c r="E2519">
        <v>0</v>
      </c>
      <c r="F2519">
        <v>386</v>
      </c>
      <c r="G2519">
        <v>0</v>
      </c>
      <c r="H2519" t="s">
        <v>7445</v>
      </c>
      <c r="I2519">
        <v>2829</v>
      </c>
      <c r="J2519" t="e">
        <f>VLOOKUP(E2519,DSSpieler!A:B,2,FALSE)</f>
        <v>#N/A</v>
      </c>
    </row>
    <row r="2520" spans="1:10" x14ac:dyDescent="0.25">
      <c r="A2520">
        <v>2830</v>
      </c>
      <c r="B2520" t="s">
        <v>31621</v>
      </c>
      <c r="C2520">
        <v>589</v>
      </c>
      <c r="D2520">
        <v>438</v>
      </c>
      <c r="E2520">
        <v>1577065529</v>
      </c>
      <c r="F2520">
        <v>5784</v>
      </c>
      <c r="G2520">
        <v>0</v>
      </c>
      <c r="H2520" t="s">
        <v>7446</v>
      </c>
      <c r="I2520">
        <v>2830</v>
      </c>
      <c r="J2520" t="str">
        <f>VLOOKUP(E2520,DSSpieler!A:B,2,FALSE)</f>
        <v>Spanholz</v>
      </c>
    </row>
    <row r="2521" spans="1:10" x14ac:dyDescent="0.25">
      <c r="A2521">
        <v>2832</v>
      </c>
      <c r="B2521" t="s">
        <v>531</v>
      </c>
      <c r="C2521">
        <v>467</v>
      </c>
      <c r="D2521">
        <v>462</v>
      </c>
      <c r="E2521">
        <v>2757221</v>
      </c>
      <c r="F2521">
        <v>352</v>
      </c>
      <c r="G2521">
        <v>0</v>
      </c>
      <c r="H2521" t="s">
        <v>7447</v>
      </c>
      <c r="I2521">
        <v>2832</v>
      </c>
      <c r="J2521" t="str">
        <f>VLOOKUP(E2521,DSSpieler!A:B,2,FALSE)</f>
        <v>GSMarkus</v>
      </c>
    </row>
    <row r="2522" spans="1:10" x14ac:dyDescent="0.25">
      <c r="A2522">
        <v>2833</v>
      </c>
      <c r="B2522" t="s">
        <v>31622</v>
      </c>
      <c r="C2522">
        <v>489</v>
      </c>
      <c r="D2522">
        <v>403</v>
      </c>
      <c r="E2522">
        <v>1577195778</v>
      </c>
      <c r="F2522">
        <v>5569</v>
      </c>
      <c r="G2522">
        <v>0</v>
      </c>
      <c r="H2522" t="s">
        <v>7448</v>
      </c>
      <c r="I2522">
        <v>2833</v>
      </c>
      <c r="J2522" t="str">
        <f>VLOOKUP(E2522,DSSpieler!A:B,2,FALSE)</f>
        <v>Overdose704</v>
      </c>
    </row>
    <row r="2523" spans="1:10" x14ac:dyDescent="0.25">
      <c r="A2523">
        <v>2834</v>
      </c>
      <c r="B2523" t="s">
        <v>31623</v>
      </c>
      <c r="C2523">
        <v>491</v>
      </c>
      <c r="D2523">
        <v>425</v>
      </c>
      <c r="E2523">
        <v>1576272402</v>
      </c>
      <c r="F2523">
        <v>5795</v>
      </c>
      <c r="G2523">
        <v>0</v>
      </c>
      <c r="H2523" t="s">
        <v>7449</v>
      </c>
      <c r="I2523">
        <v>2834</v>
      </c>
      <c r="J2523" t="str">
        <f>VLOOKUP(E2523,DSSpieler!A:B,2,FALSE)</f>
        <v>Zecplus</v>
      </c>
    </row>
    <row r="2524" spans="1:10" x14ac:dyDescent="0.25">
      <c r="A2524">
        <v>2835</v>
      </c>
      <c r="B2524" t="s">
        <v>31624</v>
      </c>
      <c r="C2524">
        <v>544</v>
      </c>
      <c r="D2524">
        <v>471</v>
      </c>
      <c r="E2524">
        <v>1576294527</v>
      </c>
      <c r="F2524">
        <v>6817</v>
      </c>
      <c r="G2524">
        <v>0</v>
      </c>
      <c r="H2524" t="s">
        <v>7450</v>
      </c>
      <c r="I2524">
        <v>2835</v>
      </c>
      <c r="J2524" t="str">
        <f>VLOOKUP(E2524,DSSpieler!A:B,2,FALSE)</f>
        <v>firet0uch</v>
      </c>
    </row>
    <row r="2525" spans="1:10" x14ac:dyDescent="0.25">
      <c r="A2525">
        <v>2836</v>
      </c>
      <c r="B2525" t="s">
        <v>531</v>
      </c>
      <c r="C2525">
        <v>417</v>
      </c>
      <c r="D2525">
        <v>456</v>
      </c>
      <c r="E2525">
        <v>0</v>
      </c>
      <c r="F2525">
        <v>226</v>
      </c>
      <c r="G2525">
        <v>0</v>
      </c>
      <c r="H2525" t="s">
        <v>7451</v>
      </c>
      <c r="I2525">
        <v>2836</v>
      </c>
      <c r="J2525" t="e">
        <f>VLOOKUP(E2525,DSSpieler!A:B,2,FALSE)</f>
        <v>#N/A</v>
      </c>
    </row>
    <row r="2526" spans="1:10" x14ac:dyDescent="0.25">
      <c r="A2526">
        <v>2837</v>
      </c>
      <c r="B2526" t="s">
        <v>31625</v>
      </c>
      <c r="C2526">
        <v>469</v>
      </c>
      <c r="D2526">
        <v>441</v>
      </c>
      <c r="E2526">
        <v>1577119536</v>
      </c>
      <c r="F2526">
        <v>3017</v>
      </c>
      <c r="G2526">
        <v>0</v>
      </c>
      <c r="H2526" t="s">
        <v>7452</v>
      </c>
      <c r="I2526">
        <v>2837</v>
      </c>
      <c r="J2526" t="str">
        <f>VLOOKUP(E2526,DSSpieler!A:B,2,FALSE)</f>
        <v>xihu</v>
      </c>
    </row>
    <row r="2527" spans="1:10" x14ac:dyDescent="0.25">
      <c r="A2527">
        <v>2838</v>
      </c>
      <c r="B2527">
        <v>3</v>
      </c>
      <c r="C2527">
        <v>512</v>
      </c>
      <c r="D2527">
        <v>435</v>
      </c>
      <c r="E2527">
        <v>1576623509</v>
      </c>
      <c r="F2527">
        <v>5046</v>
      </c>
      <c r="G2527">
        <v>0</v>
      </c>
      <c r="H2527" t="s">
        <v>7453</v>
      </c>
      <c r="I2527">
        <v>2838</v>
      </c>
      <c r="J2527" t="str">
        <f>VLOOKUP(E2527,DSSpieler!A:B,2,FALSE)</f>
        <v>Bumaye.</v>
      </c>
    </row>
    <row r="2528" spans="1:10" x14ac:dyDescent="0.25">
      <c r="A2528">
        <v>2839</v>
      </c>
      <c r="B2528" t="s">
        <v>531</v>
      </c>
      <c r="C2528">
        <v>565</v>
      </c>
      <c r="D2528">
        <v>536</v>
      </c>
      <c r="E2528">
        <v>0</v>
      </c>
      <c r="F2528">
        <v>212</v>
      </c>
      <c r="G2528">
        <v>0</v>
      </c>
      <c r="H2528" t="s">
        <v>7454</v>
      </c>
      <c r="I2528">
        <v>2839</v>
      </c>
      <c r="J2528" t="e">
        <f>VLOOKUP(E2528,DSSpieler!A:B,2,FALSE)</f>
        <v>#N/A</v>
      </c>
    </row>
    <row r="2529" spans="1:10" x14ac:dyDescent="0.25">
      <c r="A2529">
        <v>2840</v>
      </c>
      <c r="B2529">
        <v>2</v>
      </c>
      <c r="C2529">
        <v>535</v>
      </c>
      <c r="D2529">
        <v>569</v>
      </c>
      <c r="E2529">
        <v>9411745</v>
      </c>
      <c r="F2529">
        <v>5992</v>
      </c>
      <c r="G2529">
        <v>0</v>
      </c>
      <c r="H2529" t="s">
        <v>7455</v>
      </c>
      <c r="I2529">
        <v>2840</v>
      </c>
      <c r="J2529" t="str">
        <f>VLOOKUP(E2529,DSSpieler!A:B,2,FALSE)</f>
        <v>erstyle98</v>
      </c>
    </row>
    <row r="2530" spans="1:10" x14ac:dyDescent="0.25">
      <c r="A2530">
        <v>2841</v>
      </c>
      <c r="B2530" t="s">
        <v>531</v>
      </c>
      <c r="C2530">
        <v>426</v>
      </c>
      <c r="D2530">
        <v>483</v>
      </c>
      <c r="E2530">
        <v>0</v>
      </c>
      <c r="F2530">
        <v>353</v>
      </c>
      <c r="G2530">
        <v>0</v>
      </c>
      <c r="H2530" t="s">
        <v>7456</v>
      </c>
      <c r="I2530">
        <v>2841</v>
      </c>
      <c r="J2530" t="e">
        <f>VLOOKUP(E2530,DSSpieler!A:B,2,FALSE)</f>
        <v>#N/A</v>
      </c>
    </row>
    <row r="2531" spans="1:10" x14ac:dyDescent="0.25">
      <c r="A2531">
        <v>2842</v>
      </c>
      <c r="B2531" t="s">
        <v>926</v>
      </c>
      <c r="C2531">
        <v>456</v>
      </c>
      <c r="D2531">
        <v>478</v>
      </c>
      <c r="E2531">
        <v>1577187211</v>
      </c>
      <c r="F2531">
        <v>7961</v>
      </c>
      <c r="G2531">
        <v>0</v>
      </c>
      <c r="H2531" t="s">
        <v>7457</v>
      </c>
      <c r="I2531">
        <v>2842</v>
      </c>
      <c r="J2531" t="str">
        <f>VLOOKUP(E2531,DSSpieler!A:B,2,FALSE)</f>
        <v>August.iner</v>
      </c>
    </row>
    <row r="2532" spans="1:10" x14ac:dyDescent="0.25">
      <c r="A2532">
        <v>2843</v>
      </c>
      <c r="B2532" t="s">
        <v>31626</v>
      </c>
      <c r="C2532">
        <v>476</v>
      </c>
      <c r="D2532">
        <v>406</v>
      </c>
      <c r="E2532">
        <v>10157742</v>
      </c>
      <c r="F2532">
        <v>7503</v>
      </c>
      <c r="G2532">
        <v>0</v>
      </c>
      <c r="H2532" t="s">
        <v>7458</v>
      </c>
      <c r="I2532">
        <v>2843</v>
      </c>
      <c r="J2532" t="str">
        <f>VLOOKUP(E2532,DSSpieler!A:B,2,FALSE)</f>
        <v>46erWaden</v>
      </c>
    </row>
    <row r="2533" spans="1:10" x14ac:dyDescent="0.25">
      <c r="A2533">
        <v>2844</v>
      </c>
      <c r="B2533" t="s">
        <v>31584</v>
      </c>
      <c r="C2533">
        <v>478</v>
      </c>
      <c r="D2533">
        <v>581</v>
      </c>
      <c r="E2533">
        <v>1577163047</v>
      </c>
      <c r="F2533">
        <v>3924</v>
      </c>
      <c r="G2533">
        <v>0</v>
      </c>
      <c r="H2533" t="s">
        <v>7459</v>
      </c>
      <c r="I2533">
        <v>2844</v>
      </c>
      <c r="J2533" t="str">
        <f>VLOOKUP(E2533,DSSpieler!A:B,2,FALSE)</f>
        <v>Ina Instabil</v>
      </c>
    </row>
    <row r="2534" spans="1:10" x14ac:dyDescent="0.25">
      <c r="A2534">
        <v>2845</v>
      </c>
      <c r="B2534" t="s">
        <v>1011</v>
      </c>
      <c r="C2534">
        <v>591</v>
      </c>
      <c r="D2534">
        <v>537</v>
      </c>
      <c r="E2534">
        <v>2679744</v>
      </c>
      <c r="F2534">
        <v>4265</v>
      </c>
      <c r="G2534">
        <v>0</v>
      </c>
      <c r="H2534" t="s">
        <v>7460</v>
      </c>
      <c r="I2534">
        <v>2845</v>
      </c>
      <c r="J2534" t="str">
        <f>VLOOKUP(E2534,DSSpieler!A:B,2,FALSE)</f>
        <v>tortelinie</v>
      </c>
    </row>
    <row r="2535" spans="1:10" x14ac:dyDescent="0.25">
      <c r="A2535">
        <v>2846</v>
      </c>
      <c r="B2535" t="s">
        <v>1036</v>
      </c>
      <c r="C2535">
        <v>425</v>
      </c>
      <c r="D2535">
        <v>486</v>
      </c>
      <c r="E2535">
        <v>9934669</v>
      </c>
      <c r="F2535">
        <v>5255</v>
      </c>
      <c r="G2535">
        <v>0</v>
      </c>
      <c r="H2535" t="s">
        <v>7461</v>
      </c>
      <c r="I2535">
        <v>2846</v>
      </c>
      <c r="J2535" t="str">
        <f>VLOOKUP(E2535,DSSpieler!A:B,2,FALSE)</f>
        <v>lucky-punch</v>
      </c>
    </row>
    <row r="2536" spans="1:10" x14ac:dyDescent="0.25">
      <c r="A2536">
        <v>2847</v>
      </c>
      <c r="B2536" t="s">
        <v>31627</v>
      </c>
      <c r="C2536">
        <v>457</v>
      </c>
      <c r="D2536">
        <v>531</v>
      </c>
      <c r="E2536">
        <v>2550247</v>
      </c>
      <c r="F2536">
        <v>4453</v>
      </c>
      <c r="G2536">
        <v>0</v>
      </c>
      <c r="H2536" t="s">
        <v>7462</v>
      </c>
      <c r="I2536">
        <v>2847</v>
      </c>
      <c r="J2536" t="str">
        <f>VLOOKUP(E2536,DSSpieler!A:B,2,FALSE)</f>
        <v>Cipolla</v>
      </c>
    </row>
    <row r="2537" spans="1:10" x14ac:dyDescent="0.25">
      <c r="A2537">
        <v>2849</v>
      </c>
      <c r="B2537" t="s">
        <v>1037</v>
      </c>
      <c r="C2537">
        <v>550</v>
      </c>
      <c r="D2537">
        <v>541</v>
      </c>
      <c r="E2537">
        <v>1577170233</v>
      </c>
      <c r="F2537">
        <v>2749</v>
      </c>
      <c r="G2537">
        <v>0</v>
      </c>
      <c r="H2537" t="s">
        <v>7463</v>
      </c>
      <c r="I2537">
        <v>2849</v>
      </c>
      <c r="J2537" t="str">
        <f>VLOOKUP(E2537,DSSpieler!A:B,2,FALSE)</f>
        <v>quaison</v>
      </c>
    </row>
    <row r="2538" spans="1:10" x14ac:dyDescent="0.25">
      <c r="A2538">
        <v>2850</v>
      </c>
      <c r="B2538" t="s">
        <v>31628</v>
      </c>
      <c r="C2538">
        <v>488</v>
      </c>
      <c r="D2538">
        <v>604</v>
      </c>
      <c r="E2538">
        <v>10242175</v>
      </c>
      <c r="F2538">
        <v>6243</v>
      </c>
      <c r="G2538">
        <v>0</v>
      </c>
      <c r="H2538" t="s">
        <v>7464</v>
      </c>
      <c r="I2538">
        <v>2850</v>
      </c>
      <c r="J2538" t="str">
        <f>VLOOKUP(E2538,DSSpieler!A:B,2,FALSE)</f>
        <v>tufiga</v>
      </c>
    </row>
    <row r="2539" spans="1:10" x14ac:dyDescent="0.25">
      <c r="A2539">
        <v>2851</v>
      </c>
      <c r="B2539" t="s">
        <v>531</v>
      </c>
      <c r="C2539">
        <v>442</v>
      </c>
      <c r="D2539">
        <v>447</v>
      </c>
      <c r="E2539">
        <v>0</v>
      </c>
      <c r="F2539">
        <v>406</v>
      </c>
      <c r="G2539">
        <v>0</v>
      </c>
      <c r="H2539" t="s">
        <v>7465</v>
      </c>
      <c r="I2539">
        <v>2851</v>
      </c>
      <c r="J2539" t="e">
        <f>VLOOKUP(E2539,DSSpieler!A:B,2,FALSE)</f>
        <v>#N/A</v>
      </c>
    </row>
    <row r="2540" spans="1:10" x14ac:dyDescent="0.25">
      <c r="A2540">
        <v>2852</v>
      </c>
      <c r="B2540" t="s">
        <v>780</v>
      </c>
      <c r="C2540">
        <v>603</v>
      </c>
      <c r="D2540">
        <v>521</v>
      </c>
      <c r="E2540">
        <v>1576864272</v>
      </c>
      <c r="F2540">
        <v>8235</v>
      </c>
      <c r="G2540">
        <v>0</v>
      </c>
      <c r="H2540" t="s">
        <v>7466</v>
      </c>
      <c r="I2540">
        <v>2852</v>
      </c>
      <c r="J2540" t="str">
        <f>VLOOKUP(E2540,DSSpieler!A:B,2,FALSE)</f>
        <v>iToxic</v>
      </c>
    </row>
    <row r="2541" spans="1:10" x14ac:dyDescent="0.25">
      <c r="A2541">
        <v>2853</v>
      </c>
      <c r="B2541">
        <v>3</v>
      </c>
      <c r="C2541">
        <v>425</v>
      </c>
      <c r="D2541">
        <v>552</v>
      </c>
      <c r="E2541">
        <v>2517318</v>
      </c>
      <c r="F2541">
        <v>8181</v>
      </c>
      <c r="G2541">
        <v>0</v>
      </c>
      <c r="H2541" t="s">
        <v>7467</v>
      </c>
      <c r="I2541">
        <v>2853</v>
      </c>
      <c r="J2541" t="str">
        <f>VLOOKUP(E2541,DSSpieler!A:B,2,FALSE)</f>
        <v>Ritter Gold</v>
      </c>
    </row>
    <row r="2542" spans="1:10" x14ac:dyDescent="0.25">
      <c r="A2542">
        <v>2854</v>
      </c>
      <c r="B2542" t="s">
        <v>645</v>
      </c>
      <c r="C2542">
        <v>428</v>
      </c>
      <c r="D2542">
        <v>579</v>
      </c>
      <c r="E2542">
        <v>9087447</v>
      </c>
      <c r="F2542">
        <v>2381</v>
      </c>
      <c r="G2542">
        <v>0</v>
      </c>
      <c r="H2542" t="s">
        <v>7468</v>
      </c>
      <c r="I2542">
        <v>2854</v>
      </c>
      <c r="J2542" t="str">
        <f>VLOOKUP(E2542,DSSpieler!A:B,2,FALSE)</f>
        <v>ronkong</v>
      </c>
    </row>
    <row r="2543" spans="1:10" x14ac:dyDescent="0.25">
      <c r="A2543">
        <v>2855</v>
      </c>
      <c r="B2543" t="s">
        <v>609</v>
      </c>
      <c r="C2543">
        <v>591</v>
      </c>
      <c r="D2543">
        <v>468</v>
      </c>
      <c r="E2543">
        <v>1576945801</v>
      </c>
      <c r="F2543">
        <v>6298</v>
      </c>
      <c r="G2543">
        <v>0</v>
      </c>
      <c r="H2543" t="s">
        <v>7469</v>
      </c>
      <c r="I2543">
        <v>2855</v>
      </c>
      <c r="J2543" t="str">
        <f>VLOOKUP(E2543,DSSpieler!A:B,2,FALSE)</f>
        <v>NoNameFree</v>
      </c>
    </row>
    <row r="2544" spans="1:10" x14ac:dyDescent="0.25">
      <c r="A2544">
        <v>2856</v>
      </c>
      <c r="B2544" t="s">
        <v>31629</v>
      </c>
      <c r="C2544">
        <v>469</v>
      </c>
      <c r="D2544">
        <v>595</v>
      </c>
      <c r="E2544">
        <v>1576181692</v>
      </c>
      <c r="F2544">
        <v>4475</v>
      </c>
      <c r="G2544">
        <v>0</v>
      </c>
      <c r="H2544" t="s">
        <v>7470</v>
      </c>
      <c r="I2544">
        <v>2856</v>
      </c>
      <c r="J2544" t="str">
        <f>VLOOKUP(E2544,DSSpieler!A:B,2,FALSE)</f>
        <v>Branterra der Große</v>
      </c>
    </row>
    <row r="2545" spans="1:10" x14ac:dyDescent="0.25">
      <c r="A2545">
        <v>2858</v>
      </c>
      <c r="B2545" t="s">
        <v>1038</v>
      </c>
      <c r="C2545">
        <v>490</v>
      </c>
      <c r="D2545">
        <v>438</v>
      </c>
      <c r="E2545">
        <v>1577187988</v>
      </c>
      <c r="F2545">
        <v>5158</v>
      </c>
      <c r="G2545">
        <v>0</v>
      </c>
      <c r="H2545" t="s">
        <v>7471</v>
      </c>
      <c r="I2545">
        <v>2858</v>
      </c>
      <c r="J2545" t="str">
        <f>VLOOKUP(E2545,DSSpieler!A:B,2,FALSE)</f>
        <v>aposociety</v>
      </c>
    </row>
    <row r="2546" spans="1:10" x14ac:dyDescent="0.25">
      <c r="A2546">
        <v>2859</v>
      </c>
      <c r="B2546" t="s">
        <v>31630</v>
      </c>
      <c r="C2546">
        <v>565</v>
      </c>
      <c r="D2546">
        <v>487</v>
      </c>
      <c r="E2546">
        <v>1577162500</v>
      </c>
      <c r="F2546">
        <v>6554</v>
      </c>
      <c r="G2546">
        <v>0</v>
      </c>
      <c r="H2546" t="s">
        <v>7472</v>
      </c>
      <c r="I2546">
        <v>2859</v>
      </c>
      <c r="J2546" t="str">
        <f>VLOOKUP(E2546,DSSpieler!A:B,2,FALSE)</f>
        <v>Mosas Reloaded</v>
      </c>
    </row>
    <row r="2547" spans="1:10" x14ac:dyDescent="0.25">
      <c r="A2547">
        <v>2861</v>
      </c>
      <c r="B2547" t="s">
        <v>1039</v>
      </c>
      <c r="C2547">
        <v>462</v>
      </c>
      <c r="D2547">
        <v>553</v>
      </c>
      <c r="E2547">
        <v>9764565</v>
      </c>
      <c r="F2547">
        <v>5776</v>
      </c>
      <c r="G2547">
        <v>0</v>
      </c>
      <c r="H2547" t="s">
        <v>7473</v>
      </c>
      <c r="I2547">
        <v>2861</v>
      </c>
      <c r="J2547" t="str">
        <f>VLOOKUP(E2547,DSSpieler!A:B,2,FALSE)</f>
        <v>Capt.Bizeps</v>
      </c>
    </row>
    <row r="2548" spans="1:10" x14ac:dyDescent="0.25">
      <c r="A2548">
        <v>2862</v>
      </c>
      <c r="B2548" t="s">
        <v>31631</v>
      </c>
      <c r="C2548">
        <v>587</v>
      </c>
      <c r="D2548">
        <v>456</v>
      </c>
      <c r="E2548">
        <v>1577060953</v>
      </c>
      <c r="F2548">
        <v>4490</v>
      </c>
      <c r="G2548">
        <v>0</v>
      </c>
      <c r="H2548" t="s">
        <v>7474</v>
      </c>
      <c r="I2548">
        <v>2862</v>
      </c>
      <c r="J2548" t="str">
        <f>VLOOKUP(E2548,DSSpieler!A:B,2,FALSE)</f>
        <v>EasySnacks</v>
      </c>
    </row>
    <row r="2549" spans="1:10" x14ac:dyDescent="0.25">
      <c r="A2549">
        <v>2863</v>
      </c>
      <c r="B2549" t="s">
        <v>31632</v>
      </c>
      <c r="C2549">
        <v>406</v>
      </c>
      <c r="D2549">
        <v>561</v>
      </c>
      <c r="E2549">
        <v>1577163180</v>
      </c>
      <c r="F2549">
        <v>5026</v>
      </c>
      <c r="G2549">
        <v>0</v>
      </c>
      <c r="H2549" t="s">
        <v>7475</v>
      </c>
      <c r="I2549">
        <v>2863</v>
      </c>
      <c r="J2549" t="str">
        <f>VLOOKUP(E2549,DSSpieler!A:B,2,FALSE)</f>
        <v>Rofa TTN</v>
      </c>
    </row>
    <row r="2550" spans="1:10" x14ac:dyDescent="0.25">
      <c r="A2550">
        <v>2864</v>
      </c>
      <c r="B2550" t="s">
        <v>31633</v>
      </c>
      <c r="C2550">
        <v>507</v>
      </c>
      <c r="D2550">
        <v>597</v>
      </c>
      <c r="E2550">
        <v>7924203</v>
      </c>
      <c r="F2550">
        <v>9866</v>
      </c>
      <c r="G2550">
        <v>0</v>
      </c>
      <c r="H2550" t="s">
        <v>7476</v>
      </c>
      <c r="I2550">
        <v>2864</v>
      </c>
      <c r="J2550" t="str">
        <f>VLOOKUP(E2550,DSSpieler!A:B,2,FALSE)</f>
        <v>2*good*4*you</v>
      </c>
    </row>
    <row r="2551" spans="1:10" x14ac:dyDescent="0.25">
      <c r="A2551">
        <v>2866</v>
      </c>
      <c r="B2551" t="s">
        <v>31634</v>
      </c>
      <c r="C2551">
        <v>443</v>
      </c>
      <c r="D2551">
        <v>468</v>
      </c>
      <c r="E2551">
        <v>1575953788</v>
      </c>
      <c r="F2551">
        <v>4438</v>
      </c>
      <c r="G2551">
        <v>0</v>
      </c>
      <c r="H2551" t="s">
        <v>7477</v>
      </c>
      <c r="I2551">
        <v>2866</v>
      </c>
      <c r="J2551" t="str">
        <f>VLOOKUP(E2551,DSSpieler!A:B,2,FALSE)</f>
        <v>BruderSamuel</v>
      </c>
    </row>
    <row r="2552" spans="1:10" x14ac:dyDescent="0.25">
      <c r="A2552">
        <v>2867</v>
      </c>
      <c r="B2552" t="s">
        <v>31635</v>
      </c>
      <c r="C2552">
        <v>457</v>
      </c>
      <c r="D2552">
        <v>547</v>
      </c>
      <c r="E2552">
        <v>8942925</v>
      </c>
      <c r="F2552">
        <v>6075</v>
      </c>
      <c r="G2552">
        <v>0</v>
      </c>
      <c r="H2552" t="s">
        <v>7478</v>
      </c>
      <c r="I2552">
        <v>2867</v>
      </c>
      <c r="J2552" t="str">
        <f>VLOOKUP(E2552,DSSpieler!A:B,2,FALSE)</f>
        <v>Amaterzu</v>
      </c>
    </row>
    <row r="2553" spans="1:10" x14ac:dyDescent="0.25">
      <c r="A2553">
        <v>2869</v>
      </c>
      <c r="B2553" t="s">
        <v>31636</v>
      </c>
      <c r="C2553">
        <v>413</v>
      </c>
      <c r="D2553">
        <v>527</v>
      </c>
      <c r="E2553">
        <v>1576658322</v>
      </c>
      <c r="F2553">
        <v>6687</v>
      </c>
      <c r="G2553">
        <v>0</v>
      </c>
      <c r="H2553" t="s">
        <v>7479</v>
      </c>
      <c r="I2553">
        <v>2869</v>
      </c>
      <c r="J2553" t="str">
        <f>VLOOKUP(E2553,DSSpieler!A:B,2,FALSE)</f>
        <v>stafflv2</v>
      </c>
    </row>
    <row r="2554" spans="1:10" x14ac:dyDescent="0.25">
      <c r="A2554">
        <v>2870</v>
      </c>
      <c r="B2554" t="s">
        <v>31637</v>
      </c>
      <c r="C2554">
        <v>564</v>
      </c>
      <c r="D2554">
        <v>459</v>
      </c>
      <c r="E2554">
        <v>1577195635</v>
      </c>
      <c r="F2554">
        <v>4861</v>
      </c>
      <c r="G2554">
        <v>0</v>
      </c>
      <c r="H2554" t="s">
        <v>7480</v>
      </c>
      <c r="I2554">
        <v>2870</v>
      </c>
      <c r="J2554" t="str">
        <f>VLOOKUP(E2554,DSSpieler!A:B,2,FALSE)</f>
        <v>Jonnybanana</v>
      </c>
    </row>
    <row r="2555" spans="1:10" x14ac:dyDescent="0.25">
      <c r="A2555">
        <v>2871</v>
      </c>
      <c r="B2555" t="s">
        <v>31638</v>
      </c>
      <c r="C2555">
        <v>455</v>
      </c>
      <c r="D2555">
        <v>590</v>
      </c>
      <c r="E2555">
        <v>908297</v>
      </c>
      <c r="F2555">
        <v>938</v>
      </c>
      <c r="G2555">
        <v>0</v>
      </c>
      <c r="H2555" t="s">
        <v>7481</v>
      </c>
      <c r="I2555">
        <v>2871</v>
      </c>
      <c r="J2555" t="str">
        <f>VLOOKUP(E2555,DSSpieler!A:B,2,FALSE)</f>
        <v>toni 5900</v>
      </c>
    </row>
    <row r="2556" spans="1:10" x14ac:dyDescent="0.25">
      <c r="A2556">
        <v>2873</v>
      </c>
      <c r="B2556" t="s">
        <v>31639</v>
      </c>
      <c r="C2556">
        <v>518</v>
      </c>
      <c r="D2556">
        <v>428</v>
      </c>
      <c r="E2556">
        <v>9132493</v>
      </c>
      <c r="F2556">
        <v>6502</v>
      </c>
      <c r="G2556">
        <v>0</v>
      </c>
      <c r="H2556" t="s">
        <v>7482</v>
      </c>
      <c r="I2556">
        <v>2873</v>
      </c>
      <c r="J2556" t="str">
        <f>VLOOKUP(E2556,DSSpieler!A:B,2,FALSE)</f>
        <v>RaZE pWnz EU</v>
      </c>
    </row>
    <row r="2557" spans="1:10" x14ac:dyDescent="0.25">
      <c r="A2557">
        <v>2874</v>
      </c>
      <c r="B2557" t="s">
        <v>531</v>
      </c>
      <c r="C2557">
        <v>447</v>
      </c>
      <c r="D2557">
        <v>520</v>
      </c>
      <c r="E2557">
        <v>0</v>
      </c>
      <c r="F2557">
        <v>452</v>
      </c>
      <c r="G2557">
        <v>0</v>
      </c>
      <c r="H2557" t="s">
        <v>7483</v>
      </c>
      <c r="I2557">
        <v>2874</v>
      </c>
      <c r="J2557" t="e">
        <f>VLOOKUP(E2557,DSSpieler!A:B,2,FALSE)</f>
        <v>#N/A</v>
      </c>
    </row>
    <row r="2558" spans="1:10" x14ac:dyDescent="0.25">
      <c r="A2558">
        <v>2875</v>
      </c>
      <c r="B2558" t="s">
        <v>31640</v>
      </c>
      <c r="C2558">
        <v>446</v>
      </c>
      <c r="D2558">
        <v>597</v>
      </c>
      <c r="E2558">
        <v>1577197250</v>
      </c>
      <c r="F2558">
        <v>7469</v>
      </c>
      <c r="G2558">
        <v>0</v>
      </c>
      <c r="H2558" t="s">
        <v>7484</v>
      </c>
      <c r="I2558">
        <v>2875</v>
      </c>
      <c r="J2558" t="str">
        <f>VLOOKUP(E2558,DSSpieler!A:B,2,FALSE)</f>
        <v>PurpleUnicum</v>
      </c>
    </row>
    <row r="2559" spans="1:10" x14ac:dyDescent="0.25">
      <c r="A2559">
        <v>2876</v>
      </c>
      <c r="B2559" t="s">
        <v>660</v>
      </c>
      <c r="C2559">
        <v>441</v>
      </c>
      <c r="D2559">
        <v>547</v>
      </c>
      <c r="E2559">
        <v>1576631461</v>
      </c>
      <c r="F2559">
        <v>5950</v>
      </c>
      <c r="G2559">
        <v>0</v>
      </c>
      <c r="H2559" t="s">
        <v>7485</v>
      </c>
      <c r="I2559">
        <v>2876</v>
      </c>
      <c r="J2559" t="str">
        <f>VLOOKUP(E2559,DSSpieler!A:B,2,FALSE)</f>
        <v>kLITSCHQ</v>
      </c>
    </row>
    <row r="2560" spans="1:10" x14ac:dyDescent="0.25">
      <c r="A2560">
        <v>2877</v>
      </c>
      <c r="B2560" t="s">
        <v>31641</v>
      </c>
      <c r="C2560">
        <v>484</v>
      </c>
      <c r="D2560">
        <v>568</v>
      </c>
      <c r="E2560">
        <v>1575903481</v>
      </c>
      <c r="F2560">
        <v>5962</v>
      </c>
      <c r="G2560">
        <v>0</v>
      </c>
      <c r="H2560" t="s">
        <v>7486</v>
      </c>
      <c r="I2560">
        <v>2877</v>
      </c>
      <c r="J2560" t="str">
        <f>VLOOKUP(E2560,DSSpieler!A:B,2,FALSE)</f>
        <v>Cyriten</v>
      </c>
    </row>
    <row r="2561" spans="1:10" x14ac:dyDescent="0.25">
      <c r="A2561">
        <v>2878</v>
      </c>
      <c r="B2561" t="s">
        <v>531</v>
      </c>
      <c r="C2561">
        <v>509</v>
      </c>
      <c r="D2561">
        <v>454</v>
      </c>
      <c r="E2561">
        <v>0</v>
      </c>
      <c r="F2561">
        <v>333</v>
      </c>
      <c r="G2561">
        <v>0</v>
      </c>
      <c r="H2561" t="s">
        <v>7487</v>
      </c>
      <c r="I2561">
        <v>2878</v>
      </c>
      <c r="J2561" t="e">
        <f>VLOOKUP(E2561,DSSpieler!A:B,2,FALSE)</f>
        <v>#N/A</v>
      </c>
    </row>
    <row r="2562" spans="1:10" x14ac:dyDescent="0.25">
      <c r="A2562">
        <v>2879</v>
      </c>
      <c r="B2562" t="s">
        <v>31642</v>
      </c>
      <c r="C2562">
        <v>526</v>
      </c>
      <c r="D2562">
        <v>577</v>
      </c>
      <c r="E2562">
        <v>1576220378</v>
      </c>
      <c r="F2562">
        <v>4308</v>
      </c>
      <c r="G2562">
        <v>0</v>
      </c>
      <c r="H2562" t="s">
        <v>7488</v>
      </c>
      <c r="I2562">
        <v>2879</v>
      </c>
      <c r="J2562" t="str">
        <f>VLOOKUP(E2562,DSSpieler!A:B,2,FALSE)</f>
        <v>Octesh</v>
      </c>
    </row>
    <row r="2563" spans="1:10" x14ac:dyDescent="0.25">
      <c r="A2563">
        <v>2880</v>
      </c>
      <c r="B2563" t="s">
        <v>31643</v>
      </c>
      <c r="C2563">
        <v>436</v>
      </c>
      <c r="D2563">
        <v>424</v>
      </c>
      <c r="E2563">
        <v>7806902</v>
      </c>
      <c r="F2563">
        <v>7473</v>
      </c>
      <c r="G2563">
        <v>0</v>
      </c>
      <c r="H2563" t="s">
        <v>7489</v>
      </c>
      <c r="I2563">
        <v>2880</v>
      </c>
      <c r="J2563" t="str">
        <f>VLOOKUP(E2563,DSSpieler!A:B,2,FALSE)</f>
        <v>Aiyomayo</v>
      </c>
    </row>
    <row r="2564" spans="1:10" x14ac:dyDescent="0.25">
      <c r="A2564">
        <v>2881</v>
      </c>
      <c r="B2564" t="s">
        <v>31644</v>
      </c>
      <c r="C2564">
        <v>463</v>
      </c>
      <c r="D2564">
        <v>547</v>
      </c>
      <c r="E2564">
        <v>1576970716</v>
      </c>
      <c r="F2564">
        <v>5015</v>
      </c>
      <c r="G2564">
        <v>0</v>
      </c>
      <c r="H2564" t="s">
        <v>7490</v>
      </c>
      <c r="I2564">
        <v>2881</v>
      </c>
      <c r="J2564" t="str">
        <f>VLOOKUP(E2564,DSSpieler!A:B,2,FALSE)</f>
        <v>Hawk*</v>
      </c>
    </row>
    <row r="2565" spans="1:10" x14ac:dyDescent="0.25">
      <c r="A2565">
        <v>2882</v>
      </c>
      <c r="B2565" t="s">
        <v>31645</v>
      </c>
      <c r="C2565">
        <v>594</v>
      </c>
      <c r="D2565">
        <v>524</v>
      </c>
      <c r="E2565">
        <v>1577198571</v>
      </c>
      <c r="F2565">
        <v>4128</v>
      </c>
      <c r="G2565">
        <v>0</v>
      </c>
      <c r="H2565" t="s">
        <v>7491</v>
      </c>
      <c r="I2565">
        <v>2882</v>
      </c>
      <c r="J2565" t="str">
        <f>VLOOKUP(E2565,DSSpieler!A:B,2,FALSE)</f>
        <v>Skaxi</v>
      </c>
    </row>
    <row r="2566" spans="1:10" x14ac:dyDescent="0.25">
      <c r="A2566">
        <v>2884</v>
      </c>
      <c r="B2566" t="s">
        <v>31646</v>
      </c>
      <c r="C2566">
        <v>424</v>
      </c>
      <c r="D2566">
        <v>461</v>
      </c>
      <c r="E2566">
        <v>1577166769</v>
      </c>
      <c r="F2566">
        <v>3412</v>
      </c>
      <c r="G2566">
        <v>0</v>
      </c>
      <c r="H2566" t="s">
        <v>7492</v>
      </c>
      <c r="I2566">
        <v>2884</v>
      </c>
      <c r="J2566" t="str">
        <f>VLOOKUP(E2566,DSSpieler!A:B,2,FALSE)</f>
        <v>Simsala7</v>
      </c>
    </row>
    <row r="2567" spans="1:10" x14ac:dyDescent="0.25">
      <c r="A2567">
        <v>2885</v>
      </c>
      <c r="B2567" t="s">
        <v>1040</v>
      </c>
      <c r="C2567">
        <v>499</v>
      </c>
      <c r="D2567">
        <v>400</v>
      </c>
      <c r="E2567">
        <v>1577197368</v>
      </c>
      <c r="F2567">
        <v>2993</v>
      </c>
      <c r="G2567">
        <v>0</v>
      </c>
      <c r="H2567" t="s">
        <v>7493</v>
      </c>
      <c r="I2567">
        <v>2885</v>
      </c>
      <c r="J2567" t="str">
        <f>VLOOKUP(E2567,DSSpieler!A:B,2,FALSE)</f>
        <v>Daneben4</v>
      </c>
    </row>
    <row r="2568" spans="1:10" x14ac:dyDescent="0.25">
      <c r="A2568">
        <v>2887</v>
      </c>
      <c r="B2568" t="s">
        <v>31647</v>
      </c>
      <c r="C2568">
        <v>529</v>
      </c>
      <c r="D2568">
        <v>506</v>
      </c>
      <c r="E2568">
        <v>8844274</v>
      </c>
      <c r="F2568">
        <v>6563</v>
      </c>
      <c r="G2568">
        <v>0</v>
      </c>
      <c r="H2568" t="s">
        <v>7494</v>
      </c>
      <c r="I2568">
        <v>2887</v>
      </c>
      <c r="J2568" t="str">
        <f>VLOOKUP(E2568,DSSpieler!A:B,2,FALSE)</f>
        <v>Bozkurt361</v>
      </c>
    </row>
    <row r="2569" spans="1:10" x14ac:dyDescent="0.25">
      <c r="A2569">
        <v>2888</v>
      </c>
      <c r="B2569" t="s">
        <v>644</v>
      </c>
      <c r="C2569">
        <v>448</v>
      </c>
      <c r="D2569">
        <v>478</v>
      </c>
      <c r="E2569">
        <v>1577194916</v>
      </c>
      <c r="F2569">
        <v>6823</v>
      </c>
      <c r="G2569">
        <v>0</v>
      </c>
      <c r="H2569" t="s">
        <v>7495</v>
      </c>
      <c r="I2569">
        <v>2888</v>
      </c>
      <c r="J2569" t="str">
        <f>VLOOKUP(E2569,DSSpieler!A:B,2,FALSE)</f>
        <v>Siaz</v>
      </c>
    </row>
    <row r="2570" spans="1:10" x14ac:dyDescent="0.25">
      <c r="A2570">
        <v>2889</v>
      </c>
      <c r="B2570" t="s">
        <v>531</v>
      </c>
      <c r="C2570">
        <v>441</v>
      </c>
      <c r="D2570">
        <v>544</v>
      </c>
      <c r="E2570">
        <v>0</v>
      </c>
      <c r="F2570">
        <v>521</v>
      </c>
      <c r="G2570">
        <v>0</v>
      </c>
      <c r="H2570" t="s">
        <v>7496</v>
      </c>
      <c r="I2570">
        <v>2889</v>
      </c>
      <c r="J2570" t="e">
        <f>VLOOKUP(E2570,DSSpieler!A:B,2,FALSE)</f>
        <v>#N/A</v>
      </c>
    </row>
    <row r="2571" spans="1:10" x14ac:dyDescent="0.25">
      <c r="A2571">
        <v>2890</v>
      </c>
      <c r="B2571">
        <v>1</v>
      </c>
      <c r="C2571">
        <v>445</v>
      </c>
      <c r="D2571">
        <v>585</v>
      </c>
      <c r="E2571">
        <v>1941704</v>
      </c>
      <c r="F2571">
        <v>7587</v>
      </c>
      <c r="G2571">
        <v>0</v>
      </c>
      <c r="H2571" t="s">
        <v>7497</v>
      </c>
      <c r="I2571">
        <v>2890</v>
      </c>
      <c r="J2571" t="str">
        <f>VLOOKUP(E2571,DSSpieler!A:B,2,FALSE)</f>
        <v>jonas-97</v>
      </c>
    </row>
    <row r="2572" spans="1:10" x14ac:dyDescent="0.25">
      <c r="A2572">
        <v>2891</v>
      </c>
      <c r="B2572" t="s">
        <v>31648</v>
      </c>
      <c r="C2572">
        <v>517</v>
      </c>
      <c r="D2572">
        <v>579</v>
      </c>
      <c r="E2572">
        <v>1576605487</v>
      </c>
      <c r="F2572">
        <v>5700</v>
      </c>
      <c r="G2572">
        <v>0</v>
      </c>
      <c r="H2572" t="s">
        <v>7498</v>
      </c>
      <c r="I2572">
        <v>2891</v>
      </c>
      <c r="J2572" t="str">
        <f>VLOOKUP(E2572,DSSpieler!A:B,2,FALSE)</f>
        <v>blauespikachu</v>
      </c>
    </row>
    <row r="2573" spans="1:10" x14ac:dyDescent="0.25">
      <c r="A2573">
        <v>2892</v>
      </c>
      <c r="B2573" t="s">
        <v>1041</v>
      </c>
      <c r="C2573">
        <v>464</v>
      </c>
      <c r="D2573">
        <v>479</v>
      </c>
      <c r="E2573">
        <v>1576589979</v>
      </c>
      <c r="F2573">
        <v>5963</v>
      </c>
      <c r="G2573">
        <v>0</v>
      </c>
      <c r="H2573" t="s">
        <v>7499</v>
      </c>
      <c r="I2573">
        <v>2892</v>
      </c>
      <c r="J2573" t="str">
        <f>VLOOKUP(E2573,DSSpieler!A:B,2,FALSE)</f>
        <v>thermos007</v>
      </c>
    </row>
    <row r="2574" spans="1:10" x14ac:dyDescent="0.25">
      <c r="A2574">
        <v>2895</v>
      </c>
      <c r="B2574" t="s">
        <v>31649</v>
      </c>
      <c r="C2574">
        <v>551</v>
      </c>
      <c r="D2574">
        <v>600</v>
      </c>
      <c r="E2574">
        <v>897823</v>
      </c>
      <c r="F2574">
        <v>3747</v>
      </c>
      <c r="G2574">
        <v>0</v>
      </c>
      <c r="H2574" t="s">
        <v>7500</v>
      </c>
      <c r="I2574">
        <v>2895</v>
      </c>
      <c r="J2574" t="str">
        <f>VLOOKUP(E2574,DSSpieler!A:B,2,FALSE)</f>
        <v>Blackeagle2000</v>
      </c>
    </row>
    <row r="2575" spans="1:10" x14ac:dyDescent="0.25">
      <c r="A2575">
        <v>2896</v>
      </c>
      <c r="B2575" t="s">
        <v>531</v>
      </c>
      <c r="C2575">
        <v>510</v>
      </c>
      <c r="D2575">
        <v>491</v>
      </c>
      <c r="E2575">
        <v>0</v>
      </c>
      <c r="F2575">
        <v>196</v>
      </c>
      <c r="G2575">
        <v>0</v>
      </c>
      <c r="H2575" t="s">
        <v>7501</v>
      </c>
      <c r="I2575">
        <v>2896</v>
      </c>
      <c r="J2575" t="e">
        <f>VLOOKUP(E2575,DSSpieler!A:B,2,FALSE)</f>
        <v>#N/A</v>
      </c>
    </row>
    <row r="2576" spans="1:10" x14ac:dyDescent="0.25">
      <c r="A2576">
        <v>2897</v>
      </c>
      <c r="B2576" t="s">
        <v>31650</v>
      </c>
      <c r="C2576">
        <v>540</v>
      </c>
      <c r="D2576">
        <v>502</v>
      </c>
      <c r="E2576">
        <v>1577197318</v>
      </c>
      <c r="F2576">
        <v>7072</v>
      </c>
      <c r="G2576">
        <v>0</v>
      </c>
      <c r="H2576" t="s">
        <v>7502</v>
      </c>
      <c r="I2576">
        <v>2897</v>
      </c>
      <c r="J2576" t="str">
        <f>VLOOKUP(E2576,DSSpieler!A:B,2,FALSE)</f>
        <v>Doodlemonster</v>
      </c>
    </row>
    <row r="2577" spans="1:10" x14ac:dyDescent="0.25">
      <c r="A2577">
        <v>2898</v>
      </c>
      <c r="B2577" t="s">
        <v>31651</v>
      </c>
      <c r="C2577">
        <v>539</v>
      </c>
      <c r="D2577">
        <v>492</v>
      </c>
      <c r="E2577">
        <v>1577042481</v>
      </c>
      <c r="F2577">
        <v>7748</v>
      </c>
      <c r="G2577">
        <v>0</v>
      </c>
      <c r="H2577" t="s">
        <v>7503</v>
      </c>
      <c r="I2577">
        <v>2898</v>
      </c>
      <c r="J2577" t="str">
        <f>VLOOKUP(E2577,DSSpieler!A:B,2,FALSE)</f>
        <v>marci1</v>
      </c>
    </row>
    <row r="2578" spans="1:10" x14ac:dyDescent="0.25">
      <c r="A2578">
        <v>2899</v>
      </c>
      <c r="B2578" t="s">
        <v>531</v>
      </c>
      <c r="C2578">
        <v>469</v>
      </c>
      <c r="D2578">
        <v>475</v>
      </c>
      <c r="E2578">
        <v>0</v>
      </c>
      <c r="F2578">
        <v>297</v>
      </c>
      <c r="G2578">
        <v>0</v>
      </c>
      <c r="H2578" t="s">
        <v>7504</v>
      </c>
      <c r="I2578">
        <v>2899</v>
      </c>
      <c r="J2578" t="e">
        <f>VLOOKUP(E2578,DSSpieler!A:B,2,FALSE)</f>
        <v>#N/A</v>
      </c>
    </row>
    <row r="2579" spans="1:10" x14ac:dyDescent="0.25">
      <c r="A2579">
        <v>2900</v>
      </c>
      <c r="B2579" t="s">
        <v>531</v>
      </c>
      <c r="C2579">
        <v>522</v>
      </c>
      <c r="D2579">
        <v>573</v>
      </c>
      <c r="E2579">
        <v>0</v>
      </c>
      <c r="F2579">
        <v>314</v>
      </c>
      <c r="G2579">
        <v>0</v>
      </c>
      <c r="H2579" t="s">
        <v>7505</v>
      </c>
      <c r="I2579">
        <v>2900</v>
      </c>
      <c r="J2579" t="e">
        <f>VLOOKUP(E2579,DSSpieler!A:B,2,FALSE)</f>
        <v>#N/A</v>
      </c>
    </row>
    <row r="2580" spans="1:10" x14ac:dyDescent="0.25">
      <c r="A2580">
        <v>2901</v>
      </c>
      <c r="B2580" t="s">
        <v>629</v>
      </c>
      <c r="C2580">
        <v>421</v>
      </c>
      <c r="D2580">
        <v>443</v>
      </c>
      <c r="E2580">
        <v>1576125906</v>
      </c>
      <c r="F2580">
        <v>6282</v>
      </c>
      <c r="G2580">
        <v>0</v>
      </c>
      <c r="H2580" t="s">
        <v>7506</v>
      </c>
      <c r="I2580">
        <v>2901</v>
      </c>
      <c r="J2580" t="str">
        <f>VLOOKUP(E2580,DSSpieler!A:B,2,FALSE)</f>
        <v>Tinca12</v>
      </c>
    </row>
    <row r="2581" spans="1:10" x14ac:dyDescent="0.25">
      <c r="A2581">
        <v>2902</v>
      </c>
      <c r="B2581" t="s">
        <v>31652</v>
      </c>
      <c r="C2581">
        <v>420</v>
      </c>
      <c r="D2581">
        <v>532</v>
      </c>
      <c r="E2581">
        <v>10124100</v>
      </c>
      <c r="F2581">
        <v>5602</v>
      </c>
      <c r="G2581">
        <v>0</v>
      </c>
      <c r="H2581" t="s">
        <v>7507</v>
      </c>
      <c r="I2581">
        <v>2902</v>
      </c>
      <c r="J2581" t="str">
        <f>VLOOKUP(E2581,DSSpieler!A:B,2,FALSE)</f>
        <v>SourScr3am</v>
      </c>
    </row>
    <row r="2582" spans="1:10" x14ac:dyDescent="0.25">
      <c r="A2582">
        <v>2903</v>
      </c>
      <c r="B2582" t="s">
        <v>1042</v>
      </c>
      <c r="C2582">
        <v>574</v>
      </c>
      <c r="D2582">
        <v>531</v>
      </c>
      <c r="E2582">
        <v>9918583</v>
      </c>
      <c r="F2582">
        <v>6475</v>
      </c>
      <c r="G2582">
        <v>0</v>
      </c>
      <c r="H2582" t="s">
        <v>7508</v>
      </c>
      <c r="I2582">
        <v>2903</v>
      </c>
      <c r="J2582" t="str">
        <f>VLOOKUP(E2582,DSSpieler!A:B,2,FALSE)</f>
        <v>Millepora</v>
      </c>
    </row>
    <row r="2583" spans="1:10" x14ac:dyDescent="0.25">
      <c r="A2583">
        <v>2904</v>
      </c>
      <c r="B2583" t="s">
        <v>31653</v>
      </c>
      <c r="C2583">
        <v>578</v>
      </c>
      <c r="D2583">
        <v>449</v>
      </c>
      <c r="E2583">
        <v>1577109849</v>
      </c>
      <c r="F2583">
        <v>2730</v>
      </c>
      <c r="G2583">
        <v>0</v>
      </c>
      <c r="H2583" t="s">
        <v>7509</v>
      </c>
      <c r="I2583">
        <v>2904</v>
      </c>
      <c r="J2583" t="str">
        <f>VLOOKUP(E2583,DSSpieler!A:B,2,FALSE)</f>
        <v>Klasi</v>
      </c>
    </row>
    <row r="2584" spans="1:10" x14ac:dyDescent="0.25">
      <c r="A2584">
        <v>2905</v>
      </c>
      <c r="B2584" t="s">
        <v>1043</v>
      </c>
      <c r="C2584">
        <v>602</v>
      </c>
      <c r="D2584">
        <v>525</v>
      </c>
      <c r="E2584">
        <v>3484637</v>
      </c>
      <c r="F2584">
        <v>5577</v>
      </c>
      <c r="G2584">
        <v>0</v>
      </c>
      <c r="H2584" t="s">
        <v>7510</v>
      </c>
      <c r="I2584">
        <v>2905</v>
      </c>
      <c r="J2584" t="str">
        <f>VLOOKUP(E2584,DSSpieler!A:B,2,FALSE)</f>
        <v>Damast</v>
      </c>
    </row>
    <row r="2585" spans="1:10" x14ac:dyDescent="0.25">
      <c r="A2585">
        <v>2906</v>
      </c>
      <c r="B2585" t="s">
        <v>31654</v>
      </c>
      <c r="C2585">
        <v>510</v>
      </c>
      <c r="D2585">
        <v>508</v>
      </c>
      <c r="E2585">
        <v>1577035453</v>
      </c>
      <c r="F2585">
        <v>4913</v>
      </c>
      <c r="G2585">
        <v>0</v>
      </c>
      <c r="H2585" t="s">
        <v>7511</v>
      </c>
      <c r="I2585">
        <v>2906</v>
      </c>
      <c r="J2585" t="str">
        <f>VLOOKUP(E2585,DSSpieler!A:B,2,FALSE)</f>
        <v>wolfy60</v>
      </c>
    </row>
    <row r="2586" spans="1:10" x14ac:dyDescent="0.25">
      <c r="A2586">
        <v>2907</v>
      </c>
      <c r="B2586" t="s">
        <v>31655</v>
      </c>
      <c r="C2586">
        <v>575</v>
      </c>
      <c r="D2586">
        <v>518</v>
      </c>
      <c r="E2586">
        <v>10008893</v>
      </c>
      <c r="F2586">
        <v>6897</v>
      </c>
      <c r="G2586">
        <v>0</v>
      </c>
      <c r="H2586" t="s">
        <v>7512</v>
      </c>
      <c r="I2586">
        <v>2907</v>
      </c>
      <c r="J2586" t="str">
        <f>VLOOKUP(E2586,DSSpieler!A:B,2,FALSE)</f>
        <v>walsi the lord</v>
      </c>
    </row>
    <row r="2587" spans="1:10" x14ac:dyDescent="0.25">
      <c r="A2587">
        <v>2909</v>
      </c>
      <c r="B2587" t="s">
        <v>531</v>
      </c>
      <c r="C2587">
        <v>548</v>
      </c>
      <c r="D2587">
        <v>554</v>
      </c>
      <c r="E2587">
        <v>0</v>
      </c>
      <c r="F2587">
        <v>452</v>
      </c>
      <c r="G2587">
        <v>0</v>
      </c>
      <c r="H2587" t="s">
        <v>7513</v>
      </c>
      <c r="I2587">
        <v>2909</v>
      </c>
      <c r="J2587" t="e">
        <f>VLOOKUP(E2587,DSSpieler!A:B,2,FALSE)</f>
        <v>#N/A</v>
      </c>
    </row>
    <row r="2588" spans="1:10" x14ac:dyDescent="0.25">
      <c r="A2588">
        <v>2911</v>
      </c>
      <c r="B2588">
        <v>1</v>
      </c>
      <c r="C2588">
        <v>450</v>
      </c>
      <c r="D2588">
        <v>438</v>
      </c>
      <c r="E2588">
        <v>9878022</v>
      </c>
      <c r="F2588">
        <v>6343</v>
      </c>
      <c r="G2588">
        <v>0</v>
      </c>
      <c r="H2588" t="s">
        <v>7514</v>
      </c>
      <c r="I2588">
        <v>2911</v>
      </c>
      <c r="J2588" t="str">
        <f>VLOOKUP(E2588,DSSpieler!A:B,2,FALSE)</f>
        <v>König Alex13</v>
      </c>
    </row>
    <row r="2589" spans="1:10" x14ac:dyDescent="0.25">
      <c r="A2589">
        <v>2912</v>
      </c>
      <c r="B2589" t="s">
        <v>531</v>
      </c>
      <c r="C2589">
        <v>527</v>
      </c>
      <c r="D2589">
        <v>451</v>
      </c>
      <c r="E2589">
        <v>0</v>
      </c>
      <c r="F2589">
        <v>144</v>
      </c>
      <c r="G2589">
        <v>0</v>
      </c>
      <c r="H2589" t="s">
        <v>7515</v>
      </c>
      <c r="I2589">
        <v>2912</v>
      </c>
      <c r="J2589" t="e">
        <f>VLOOKUP(E2589,DSSpieler!A:B,2,FALSE)</f>
        <v>#N/A</v>
      </c>
    </row>
    <row r="2590" spans="1:10" x14ac:dyDescent="0.25">
      <c r="A2590">
        <v>2913</v>
      </c>
      <c r="B2590" t="s">
        <v>31656</v>
      </c>
      <c r="C2590">
        <v>475</v>
      </c>
      <c r="D2590">
        <v>421</v>
      </c>
      <c r="E2590">
        <v>1576680977</v>
      </c>
      <c r="F2590">
        <v>5308</v>
      </c>
      <c r="G2590">
        <v>0</v>
      </c>
      <c r="H2590" t="s">
        <v>7516</v>
      </c>
      <c r="I2590">
        <v>2913</v>
      </c>
      <c r="J2590" t="str">
        <f>VLOOKUP(E2590,DSSpieler!A:B,2,FALSE)</f>
        <v>HeavenKeeper</v>
      </c>
    </row>
    <row r="2591" spans="1:10" x14ac:dyDescent="0.25">
      <c r="A2591">
        <v>2914</v>
      </c>
      <c r="B2591" t="s">
        <v>1044</v>
      </c>
      <c r="C2591">
        <v>429</v>
      </c>
      <c r="D2591">
        <v>510</v>
      </c>
      <c r="E2591">
        <v>1576920379</v>
      </c>
      <c r="F2591">
        <v>4184</v>
      </c>
      <c r="G2591">
        <v>0</v>
      </c>
      <c r="H2591" t="s">
        <v>7517</v>
      </c>
      <c r="I2591">
        <v>2914</v>
      </c>
      <c r="J2591" t="str">
        <f>VLOOKUP(E2591,DSSpieler!A:B,2,FALSE)</f>
        <v>holydevil9</v>
      </c>
    </row>
    <row r="2592" spans="1:10" x14ac:dyDescent="0.25">
      <c r="A2592">
        <v>2916</v>
      </c>
      <c r="B2592" t="s">
        <v>1045</v>
      </c>
      <c r="C2592">
        <v>524</v>
      </c>
      <c r="D2592">
        <v>604</v>
      </c>
      <c r="E2592">
        <v>1577180191</v>
      </c>
      <c r="F2592">
        <v>7484</v>
      </c>
      <c r="G2592">
        <v>0</v>
      </c>
      <c r="H2592" t="s">
        <v>7518</v>
      </c>
      <c r="I2592">
        <v>2916</v>
      </c>
      <c r="J2592" t="str">
        <f>VLOOKUP(E2592,DSSpieler!A:B,2,FALSE)</f>
        <v>Gary</v>
      </c>
    </row>
    <row r="2593" spans="1:10" x14ac:dyDescent="0.25">
      <c r="A2593">
        <v>2917</v>
      </c>
      <c r="B2593" t="s">
        <v>31657</v>
      </c>
      <c r="C2593">
        <v>429</v>
      </c>
      <c r="D2593">
        <v>464</v>
      </c>
      <c r="E2593">
        <v>1576502624</v>
      </c>
      <c r="F2593">
        <v>4161</v>
      </c>
      <c r="G2593">
        <v>0</v>
      </c>
      <c r="H2593" t="s">
        <v>7519</v>
      </c>
      <c r="I2593">
        <v>2917</v>
      </c>
      <c r="J2593" t="str">
        <f>VLOOKUP(E2593,DSSpieler!A:B,2,FALSE)</f>
        <v>MJ.White</v>
      </c>
    </row>
    <row r="2594" spans="1:10" x14ac:dyDescent="0.25">
      <c r="A2594">
        <v>2918</v>
      </c>
      <c r="B2594" t="s">
        <v>531</v>
      </c>
      <c r="C2594">
        <v>421</v>
      </c>
      <c r="D2594">
        <v>424</v>
      </c>
      <c r="E2594">
        <v>0</v>
      </c>
      <c r="F2594">
        <v>715</v>
      </c>
      <c r="G2594">
        <v>0</v>
      </c>
      <c r="H2594" t="s">
        <v>7520</v>
      </c>
      <c r="I2594">
        <v>2918</v>
      </c>
      <c r="J2594" t="e">
        <f>VLOOKUP(E2594,DSSpieler!A:B,2,FALSE)</f>
        <v>#N/A</v>
      </c>
    </row>
    <row r="2595" spans="1:10" x14ac:dyDescent="0.25">
      <c r="A2595">
        <v>2919</v>
      </c>
      <c r="B2595" t="s">
        <v>1046</v>
      </c>
      <c r="C2595">
        <v>467</v>
      </c>
      <c r="D2595">
        <v>503</v>
      </c>
      <c r="E2595">
        <v>1576358853</v>
      </c>
      <c r="F2595">
        <v>5218</v>
      </c>
      <c r="G2595">
        <v>0</v>
      </c>
      <c r="H2595" t="s">
        <v>7521</v>
      </c>
      <c r="I2595">
        <v>2919</v>
      </c>
      <c r="J2595" t="str">
        <f>VLOOKUP(E2595,DSSpieler!A:B,2,FALSE)</f>
        <v>Hallanes</v>
      </c>
    </row>
    <row r="2596" spans="1:10" x14ac:dyDescent="0.25">
      <c r="A2596">
        <v>2920</v>
      </c>
      <c r="B2596" t="s">
        <v>31658</v>
      </c>
      <c r="C2596">
        <v>552</v>
      </c>
      <c r="D2596">
        <v>515</v>
      </c>
      <c r="E2596">
        <v>1577196139</v>
      </c>
      <c r="F2596">
        <v>968</v>
      </c>
      <c r="G2596">
        <v>0</v>
      </c>
      <c r="H2596" t="s">
        <v>7522</v>
      </c>
      <c r="I2596">
        <v>2920</v>
      </c>
      <c r="J2596" t="str">
        <f>VLOOKUP(E2596,DSSpieler!A:B,2,FALSE)</f>
        <v>Zwahlen</v>
      </c>
    </row>
    <row r="2597" spans="1:10" x14ac:dyDescent="0.25">
      <c r="A2597">
        <v>2922</v>
      </c>
      <c r="B2597" t="s">
        <v>608</v>
      </c>
      <c r="C2597">
        <v>542</v>
      </c>
      <c r="D2597">
        <v>442</v>
      </c>
      <c r="E2597">
        <v>7672723</v>
      </c>
      <c r="F2597">
        <v>3310</v>
      </c>
      <c r="G2597">
        <v>0</v>
      </c>
      <c r="H2597" t="s">
        <v>7523</v>
      </c>
      <c r="I2597">
        <v>2922</v>
      </c>
      <c r="J2597" t="str">
        <f>VLOOKUP(E2597,DSSpieler!A:B,2,FALSE)</f>
        <v>NeNeDuii</v>
      </c>
    </row>
    <row r="2598" spans="1:10" x14ac:dyDescent="0.25">
      <c r="A2598">
        <v>2923</v>
      </c>
      <c r="B2598" t="s">
        <v>31659</v>
      </c>
      <c r="C2598">
        <v>476</v>
      </c>
      <c r="D2598">
        <v>451</v>
      </c>
      <c r="E2598">
        <v>1577182859</v>
      </c>
      <c r="F2598">
        <v>7733</v>
      </c>
      <c r="G2598">
        <v>0</v>
      </c>
      <c r="H2598" t="s">
        <v>7524</v>
      </c>
      <c r="I2598">
        <v>2923</v>
      </c>
      <c r="J2598" t="str">
        <f>VLOOKUP(E2598,DSSpieler!A:B,2,FALSE)</f>
        <v>cn96</v>
      </c>
    </row>
    <row r="2599" spans="1:10" x14ac:dyDescent="0.25">
      <c r="A2599">
        <v>2925</v>
      </c>
      <c r="B2599" t="s">
        <v>35830</v>
      </c>
      <c r="C2599">
        <v>432</v>
      </c>
      <c r="D2599">
        <v>537</v>
      </c>
      <c r="E2599">
        <v>1576755690</v>
      </c>
      <c r="F2599">
        <v>5309</v>
      </c>
      <c r="G2599">
        <v>0</v>
      </c>
      <c r="H2599" t="s">
        <v>7525</v>
      </c>
      <c r="I2599">
        <v>2925</v>
      </c>
      <c r="J2599" t="str">
        <f>VLOOKUP(E2599,DSSpieler!A:B,2,FALSE)</f>
        <v>DownForWhat</v>
      </c>
    </row>
    <row r="2600" spans="1:10" x14ac:dyDescent="0.25">
      <c r="A2600">
        <v>2926</v>
      </c>
      <c r="B2600" t="s">
        <v>762</v>
      </c>
      <c r="C2600">
        <v>471</v>
      </c>
      <c r="D2600">
        <v>438</v>
      </c>
      <c r="E2600">
        <v>1577193417</v>
      </c>
      <c r="F2600">
        <v>4474</v>
      </c>
      <c r="G2600">
        <v>0</v>
      </c>
      <c r="H2600" t="s">
        <v>7526</v>
      </c>
      <c r="I2600">
        <v>2926</v>
      </c>
      <c r="J2600" t="str">
        <f>VLOOKUP(E2600,DSSpieler!A:B,2,FALSE)</f>
        <v>King Maddin</v>
      </c>
    </row>
    <row r="2601" spans="1:10" x14ac:dyDescent="0.25">
      <c r="A2601">
        <v>2928</v>
      </c>
      <c r="B2601" t="s">
        <v>31660</v>
      </c>
      <c r="C2601">
        <v>524</v>
      </c>
      <c r="D2601">
        <v>555</v>
      </c>
      <c r="E2601">
        <v>1577189905</v>
      </c>
      <c r="F2601">
        <v>664</v>
      </c>
      <c r="G2601">
        <v>0</v>
      </c>
      <c r="H2601" t="s">
        <v>7527</v>
      </c>
      <c r="I2601">
        <v>2928</v>
      </c>
      <c r="J2601" t="str">
        <f>VLOOKUP(E2601,DSSpieler!A:B,2,FALSE)</f>
        <v>Dorge</v>
      </c>
    </row>
    <row r="2602" spans="1:10" x14ac:dyDescent="0.25">
      <c r="A2602">
        <v>2929</v>
      </c>
      <c r="B2602" t="s">
        <v>31661</v>
      </c>
      <c r="C2602">
        <v>580</v>
      </c>
      <c r="D2602">
        <v>560</v>
      </c>
      <c r="E2602">
        <v>1576706289</v>
      </c>
      <c r="F2602">
        <v>2528</v>
      </c>
      <c r="G2602">
        <v>0</v>
      </c>
      <c r="H2602" t="s">
        <v>7528</v>
      </c>
      <c r="I2602">
        <v>2929</v>
      </c>
      <c r="J2602" t="str">
        <f>VLOOKUP(E2602,DSSpieler!A:B,2,FALSE)</f>
        <v>YellowStrikeLXBG</v>
      </c>
    </row>
    <row r="2603" spans="1:10" x14ac:dyDescent="0.25">
      <c r="A2603">
        <v>2930</v>
      </c>
      <c r="B2603" t="s">
        <v>788</v>
      </c>
      <c r="C2603">
        <v>590</v>
      </c>
      <c r="D2603">
        <v>558</v>
      </c>
      <c r="E2603">
        <v>1577196280</v>
      </c>
      <c r="F2603">
        <v>3787</v>
      </c>
      <c r="G2603">
        <v>0</v>
      </c>
      <c r="H2603" t="s">
        <v>7529</v>
      </c>
      <c r="I2603">
        <v>2930</v>
      </c>
      <c r="J2603" t="str">
        <f>VLOOKUP(E2603,DSSpieler!A:B,2,FALSE)</f>
        <v>Toller Hecht</v>
      </c>
    </row>
    <row r="2604" spans="1:10" x14ac:dyDescent="0.25">
      <c r="A2604">
        <v>2931</v>
      </c>
      <c r="B2604" t="s">
        <v>31662</v>
      </c>
      <c r="C2604">
        <v>453</v>
      </c>
      <c r="D2604">
        <v>596</v>
      </c>
      <c r="E2604">
        <v>1577197250</v>
      </c>
      <c r="F2604">
        <v>5388</v>
      </c>
      <c r="G2604">
        <v>0</v>
      </c>
      <c r="H2604" t="s">
        <v>7530</v>
      </c>
      <c r="I2604">
        <v>2931</v>
      </c>
      <c r="J2604" t="str">
        <f>VLOOKUP(E2604,DSSpieler!A:B,2,FALSE)</f>
        <v>PurpleUnicum</v>
      </c>
    </row>
    <row r="2605" spans="1:10" x14ac:dyDescent="0.25">
      <c r="A2605">
        <v>2932</v>
      </c>
      <c r="B2605" t="s">
        <v>31663</v>
      </c>
      <c r="C2605">
        <v>515</v>
      </c>
      <c r="D2605">
        <v>487</v>
      </c>
      <c r="E2605">
        <v>1576546207</v>
      </c>
      <c r="F2605">
        <v>298</v>
      </c>
      <c r="G2605">
        <v>0</v>
      </c>
      <c r="H2605" t="s">
        <v>7531</v>
      </c>
      <c r="I2605">
        <v>2932</v>
      </c>
      <c r="J2605" t="str">
        <f>VLOOKUP(E2605,DSSpieler!A:B,2,FALSE)</f>
        <v>Russman</v>
      </c>
    </row>
    <row r="2606" spans="1:10" x14ac:dyDescent="0.25">
      <c r="A2606">
        <v>2933</v>
      </c>
      <c r="B2606" t="s">
        <v>780</v>
      </c>
      <c r="C2606">
        <v>603</v>
      </c>
      <c r="D2606">
        <v>541</v>
      </c>
      <c r="E2606">
        <v>9218699</v>
      </c>
      <c r="F2606">
        <v>6471</v>
      </c>
      <c r="G2606">
        <v>0</v>
      </c>
      <c r="H2606" t="s">
        <v>7532</v>
      </c>
      <c r="I2606">
        <v>2933</v>
      </c>
      <c r="J2606" t="str">
        <f>VLOOKUP(E2606,DSSpieler!A:B,2,FALSE)</f>
        <v>-powerkid*</v>
      </c>
    </row>
    <row r="2607" spans="1:10" x14ac:dyDescent="0.25">
      <c r="A2607">
        <v>2934</v>
      </c>
      <c r="B2607" t="s">
        <v>531</v>
      </c>
      <c r="C2607">
        <v>501</v>
      </c>
      <c r="D2607">
        <v>439</v>
      </c>
      <c r="E2607">
        <v>0</v>
      </c>
      <c r="F2607">
        <v>423</v>
      </c>
      <c r="G2607">
        <v>0</v>
      </c>
      <c r="H2607" t="s">
        <v>7533</v>
      </c>
      <c r="I2607">
        <v>2934</v>
      </c>
      <c r="J2607" t="e">
        <f>VLOOKUP(E2607,DSSpieler!A:B,2,FALSE)</f>
        <v>#N/A</v>
      </c>
    </row>
    <row r="2608" spans="1:10" x14ac:dyDescent="0.25">
      <c r="A2608">
        <v>2935</v>
      </c>
      <c r="B2608" t="s">
        <v>31664</v>
      </c>
      <c r="C2608">
        <v>441</v>
      </c>
      <c r="D2608">
        <v>515</v>
      </c>
      <c r="E2608">
        <v>9646096</v>
      </c>
      <c r="F2608">
        <v>5516</v>
      </c>
      <c r="G2608">
        <v>0</v>
      </c>
      <c r="H2608" t="s">
        <v>7534</v>
      </c>
      <c r="I2608">
        <v>2935</v>
      </c>
      <c r="J2608" t="str">
        <f>VLOOKUP(E2608,DSSpieler!A:B,2,FALSE)</f>
        <v>GapG21</v>
      </c>
    </row>
    <row r="2609" spans="1:10" x14ac:dyDescent="0.25">
      <c r="A2609">
        <v>2936</v>
      </c>
      <c r="B2609" t="s">
        <v>531</v>
      </c>
      <c r="C2609">
        <v>567</v>
      </c>
      <c r="D2609">
        <v>571</v>
      </c>
      <c r="E2609">
        <v>0</v>
      </c>
      <c r="F2609">
        <v>1240</v>
      </c>
      <c r="G2609">
        <v>0</v>
      </c>
      <c r="H2609" t="s">
        <v>7535</v>
      </c>
      <c r="I2609">
        <v>2936</v>
      </c>
      <c r="J2609" t="e">
        <f>VLOOKUP(E2609,DSSpieler!A:B,2,FALSE)</f>
        <v>#N/A</v>
      </c>
    </row>
    <row r="2610" spans="1:10" x14ac:dyDescent="0.25">
      <c r="A2610">
        <v>2937</v>
      </c>
      <c r="B2610" t="s">
        <v>31665</v>
      </c>
      <c r="C2610">
        <v>555</v>
      </c>
      <c r="D2610">
        <v>503</v>
      </c>
      <c r="E2610">
        <v>10166667</v>
      </c>
      <c r="F2610">
        <v>5422</v>
      </c>
      <c r="G2610">
        <v>0</v>
      </c>
      <c r="H2610" t="s">
        <v>7536</v>
      </c>
      <c r="I2610">
        <v>2937</v>
      </c>
      <c r="J2610" t="str">
        <f>VLOOKUP(E2610,DSSpieler!A:B,2,FALSE)</f>
        <v>rosatuftuf</v>
      </c>
    </row>
    <row r="2611" spans="1:10" x14ac:dyDescent="0.25">
      <c r="A2611">
        <v>2938</v>
      </c>
      <c r="B2611" t="s">
        <v>1047</v>
      </c>
      <c r="C2611">
        <v>556</v>
      </c>
      <c r="D2611">
        <v>530</v>
      </c>
      <c r="E2611">
        <v>8358719</v>
      </c>
      <c r="F2611">
        <v>5728</v>
      </c>
      <c r="G2611">
        <v>0</v>
      </c>
      <c r="H2611" t="s">
        <v>7537</v>
      </c>
      <c r="I2611">
        <v>2938</v>
      </c>
      <c r="J2611" t="str">
        <f>VLOOKUP(E2611,DSSpieler!A:B,2,FALSE)</f>
        <v>woodi002</v>
      </c>
    </row>
    <row r="2612" spans="1:10" x14ac:dyDescent="0.25">
      <c r="A2612">
        <v>2939</v>
      </c>
      <c r="B2612" t="s">
        <v>1048</v>
      </c>
      <c r="C2612">
        <v>446</v>
      </c>
      <c r="D2612">
        <v>532</v>
      </c>
      <c r="E2612">
        <v>9551701</v>
      </c>
      <c r="F2612">
        <v>520</v>
      </c>
      <c r="G2612">
        <v>0</v>
      </c>
      <c r="H2612" t="s">
        <v>7538</v>
      </c>
      <c r="I2612">
        <v>2939</v>
      </c>
      <c r="J2612" t="str">
        <f>VLOOKUP(E2612,DSSpieler!A:B,2,FALSE)</f>
        <v>OJO der Große</v>
      </c>
    </row>
    <row r="2613" spans="1:10" x14ac:dyDescent="0.25">
      <c r="A2613">
        <v>2940</v>
      </c>
      <c r="B2613" t="s">
        <v>531</v>
      </c>
      <c r="C2613">
        <v>559</v>
      </c>
      <c r="D2613">
        <v>459</v>
      </c>
      <c r="E2613">
        <v>0</v>
      </c>
      <c r="F2613">
        <v>221</v>
      </c>
      <c r="G2613">
        <v>0</v>
      </c>
      <c r="H2613" t="s">
        <v>7539</v>
      </c>
      <c r="I2613">
        <v>2940</v>
      </c>
      <c r="J2613" t="e">
        <f>VLOOKUP(E2613,DSSpieler!A:B,2,FALSE)</f>
        <v>#N/A</v>
      </c>
    </row>
    <row r="2614" spans="1:10" x14ac:dyDescent="0.25">
      <c r="A2614">
        <v>2941</v>
      </c>
      <c r="B2614" t="s">
        <v>1049</v>
      </c>
      <c r="C2614">
        <v>532</v>
      </c>
      <c r="D2614">
        <v>400</v>
      </c>
      <c r="E2614">
        <v>1576123109</v>
      </c>
      <c r="F2614">
        <v>6781</v>
      </c>
      <c r="G2614">
        <v>0</v>
      </c>
      <c r="H2614" t="s">
        <v>7540</v>
      </c>
      <c r="I2614">
        <v>2941</v>
      </c>
      <c r="J2614" t="str">
        <f>VLOOKUP(E2614,DSSpieler!A:B,2,FALSE)</f>
        <v>Fantastic Four</v>
      </c>
    </row>
    <row r="2615" spans="1:10" x14ac:dyDescent="0.25">
      <c r="A2615">
        <v>2942</v>
      </c>
      <c r="B2615" t="s">
        <v>31666</v>
      </c>
      <c r="C2615">
        <v>448</v>
      </c>
      <c r="D2615">
        <v>535</v>
      </c>
      <c r="E2615">
        <v>9551701</v>
      </c>
      <c r="F2615">
        <v>5501</v>
      </c>
      <c r="G2615">
        <v>0</v>
      </c>
      <c r="H2615" t="s">
        <v>7541</v>
      </c>
      <c r="I2615">
        <v>2942</v>
      </c>
      <c r="J2615" t="str">
        <f>VLOOKUP(E2615,DSSpieler!A:B,2,FALSE)</f>
        <v>OJO der Große</v>
      </c>
    </row>
    <row r="2616" spans="1:10" x14ac:dyDescent="0.25">
      <c r="A2616">
        <v>2943</v>
      </c>
      <c r="B2616" t="s">
        <v>31667</v>
      </c>
      <c r="C2616">
        <v>484</v>
      </c>
      <c r="D2616">
        <v>457</v>
      </c>
      <c r="E2616">
        <v>1577186670</v>
      </c>
      <c r="F2616">
        <v>5544</v>
      </c>
      <c r="G2616">
        <v>0</v>
      </c>
      <c r="H2616" t="s">
        <v>7542</v>
      </c>
      <c r="I2616">
        <v>2943</v>
      </c>
      <c r="J2616" t="str">
        <f>VLOOKUP(E2616,DSSpieler!A:B,2,FALSE)</f>
        <v>Nucle4r</v>
      </c>
    </row>
    <row r="2617" spans="1:10" x14ac:dyDescent="0.25">
      <c r="A2617">
        <v>2944</v>
      </c>
      <c r="B2617" t="s">
        <v>31668</v>
      </c>
      <c r="C2617">
        <v>464</v>
      </c>
      <c r="D2617">
        <v>431</v>
      </c>
      <c r="E2617">
        <v>1577197767</v>
      </c>
      <c r="F2617">
        <v>5825</v>
      </c>
      <c r="G2617">
        <v>0</v>
      </c>
      <c r="H2617" t="s">
        <v>7543</v>
      </c>
      <c r="I2617">
        <v>2944</v>
      </c>
      <c r="J2617" t="str">
        <f>VLOOKUP(E2617,DSSpieler!A:B,2,FALSE)</f>
        <v>domsen123</v>
      </c>
    </row>
    <row r="2618" spans="1:10" x14ac:dyDescent="0.25">
      <c r="A2618">
        <v>2945</v>
      </c>
      <c r="B2618" t="s">
        <v>983</v>
      </c>
      <c r="C2618">
        <v>436</v>
      </c>
      <c r="D2618">
        <v>472</v>
      </c>
      <c r="E2618">
        <v>9432353</v>
      </c>
      <c r="F2618">
        <v>8123</v>
      </c>
      <c r="G2618">
        <v>0</v>
      </c>
      <c r="H2618" t="s">
        <v>7544</v>
      </c>
      <c r="I2618">
        <v>2945</v>
      </c>
      <c r="J2618" t="str">
        <f>VLOOKUP(E2618,DSSpieler!A:B,2,FALSE)</f>
        <v>nOiiSe</v>
      </c>
    </row>
    <row r="2619" spans="1:10" x14ac:dyDescent="0.25">
      <c r="A2619">
        <v>2946</v>
      </c>
      <c r="B2619" t="s">
        <v>531</v>
      </c>
      <c r="C2619">
        <v>469</v>
      </c>
      <c r="D2619">
        <v>544</v>
      </c>
      <c r="E2619">
        <v>0</v>
      </c>
      <c r="F2619">
        <v>1550</v>
      </c>
      <c r="G2619">
        <v>0</v>
      </c>
      <c r="H2619" t="s">
        <v>7545</v>
      </c>
      <c r="I2619">
        <v>2946</v>
      </c>
      <c r="J2619" t="e">
        <f>VLOOKUP(E2619,DSSpieler!A:B,2,FALSE)</f>
        <v>#N/A</v>
      </c>
    </row>
    <row r="2620" spans="1:10" x14ac:dyDescent="0.25">
      <c r="A2620">
        <v>2948</v>
      </c>
      <c r="B2620" t="s">
        <v>531</v>
      </c>
      <c r="C2620">
        <v>446</v>
      </c>
      <c r="D2620">
        <v>488</v>
      </c>
      <c r="E2620">
        <v>0</v>
      </c>
      <c r="F2620">
        <v>215</v>
      </c>
      <c r="G2620">
        <v>0</v>
      </c>
      <c r="H2620" t="s">
        <v>7546</v>
      </c>
      <c r="I2620">
        <v>2948</v>
      </c>
      <c r="J2620" t="e">
        <f>VLOOKUP(E2620,DSSpieler!A:B,2,FALSE)</f>
        <v>#N/A</v>
      </c>
    </row>
    <row r="2621" spans="1:10" x14ac:dyDescent="0.25">
      <c r="A2621">
        <v>2949</v>
      </c>
      <c r="B2621" t="s">
        <v>1050</v>
      </c>
      <c r="C2621">
        <v>507</v>
      </c>
      <c r="D2621">
        <v>542</v>
      </c>
      <c r="E2621">
        <v>1577197576</v>
      </c>
      <c r="F2621">
        <v>5534</v>
      </c>
      <c r="G2621">
        <v>0</v>
      </c>
      <c r="H2621" t="s">
        <v>7547</v>
      </c>
      <c r="I2621">
        <v>2949</v>
      </c>
      <c r="J2621" t="str">
        <f>VLOOKUP(E2621,DSSpieler!A:B,2,FALSE)</f>
        <v>Timbosliceee</v>
      </c>
    </row>
    <row r="2622" spans="1:10" x14ac:dyDescent="0.25">
      <c r="A2622">
        <v>2950</v>
      </c>
      <c r="B2622" t="s">
        <v>31669</v>
      </c>
      <c r="C2622">
        <v>566</v>
      </c>
      <c r="D2622">
        <v>466</v>
      </c>
      <c r="E2622">
        <v>1577195635</v>
      </c>
      <c r="F2622">
        <v>4029</v>
      </c>
      <c r="G2622">
        <v>0</v>
      </c>
      <c r="H2622" t="s">
        <v>7548</v>
      </c>
      <c r="I2622">
        <v>2950</v>
      </c>
      <c r="J2622" t="str">
        <f>VLOOKUP(E2622,DSSpieler!A:B,2,FALSE)</f>
        <v>Jonnybanana</v>
      </c>
    </row>
    <row r="2623" spans="1:10" x14ac:dyDescent="0.25">
      <c r="A2623">
        <v>2951</v>
      </c>
      <c r="B2623" t="s">
        <v>1051</v>
      </c>
      <c r="C2623">
        <v>467</v>
      </c>
      <c r="D2623">
        <v>434</v>
      </c>
      <c r="E2623">
        <v>1577189272</v>
      </c>
      <c r="F2623">
        <v>843</v>
      </c>
      <c r="G2623">
        <v>0</v>
      </c>
      <c r="H2623" t="s">
        <v>7549</v>
      </c>
      <c r="I2623">
        <v>2951</v>
      </c>
      <c r="J2623" t="str">
        <f>VLOOKUP(E2623,DSSpieler!A:B,2,FALSE)</f>
        <v>Oneshot1977</v>
      </c>
    </row>
    <row r="2624" spans="1:10" x14ac:dyDescent="0.25">
      <c r="A2624">
        <v>2952</v>
      </c>
      <c r="B2624" t="s">
        <v>31670</v>
      </c>
      <c r="C2624">
        <v>415</v>
      </c>
      <c r="D2624">
        <v>541</v>
      </c>
      <c r="E2624">
        <v>1575996788</v>
      </c>
      <c r="F2624">
        <v>6398</v>
      </c>
      <c r="G2624">
        <v>0</v>
      </c>
      <c r="H2624" t="s">
        <v>7550</v>
      </c>
      <c r="I2624">
        <v>2952</v>
      </c>
      <c r="J2624" t="str">
        <f>VLOOKUP(E2624,DSSpieler!A:B,2,FALSE)</f>
        <v>Wolfstter</v>
      </c>
    </row>
    <row r="2625" spans="1:10" x14ac:dyDescent="0.25">
      <c r="A2625">
        <v>2953</v>
      </c>
      <c r="B2625" t="s">
        <v>31671</v>
      </c>
      <c r="C2625">
        <v>492</v>
      </c>
      <c r="D2625">
        <v>553</v>
      </c>
      <c r="E2625">
        <v>1577198684</v>
      </c>
      <c r="F2625">
        <v>2299</v>
      </c>
      <c r="G2625">
        <v>0</v>
      </c>
      <c r="H2625" t="s">
        <v>7551</v>
      </c>
      <c r="I2625">
        <v>2953</v>
      </c>
      <c r="J2625" t="str">
        <f>VLOOKUP(E2625,DSSpieler!A:B,2,FALSE)</f>
        <v>Sgtalex</v>
      </c>
    </row>
    <row r="2626" spans="1:10" x14ac:dyDescent="0.25">
      <c r="A2626">
        <v>2954</v>
      </c>
      <c r="B2626" t="s">
        <v>31672</v>
      </c>
      <c r="C2626">
        <v>479</v>
      </c>
      <c r="D2626">
        <v>605</v>
      </c>
      <c r="E2626">
        <v>3269983</v>
      </c>
      <c r="F2626">
        <v>5849</v>
      </c>
      <c r="G2626">
        <v>0</v>
      </c>
      <c r="H2626" t="s">
        <v>7552</v>
      </c>
      <c r="I2626">
        <v>2954</v>
      </c>
      <c r="J2626" t="str">
        <f>VLOOKUP(E2626,DSSpieler!A:B,2,FALSE)</f>
        <v>SvenC@</v>
      </c>
    </row>
    <row r="2627" spans="1:10" x14ac:dyDescent="0.25">
      <c r="A2627">
        <v>2956</v>
      </c>
      <c r="B2627" t="s">
        <v>531</v>
      </c>
      <c r="C2627">
        <v>491</v>
      </c>
      <c r="D2627">
        <v>442</v>
      </c>
      <c r="E2627">
        <v>0</v>
      </c>
      <c r="F2627">
        <v>348</v>
      </c>
      <c r="G2627">
        <v>0</v>
      </c>
      <c r="H2627" t="s">
        <v>7553</v>
      </c>
      <c r="I2627">
        <v>2956</v>
      </c>
      <c r="J2627" t="e">
        <f>VLOOKUP(E2627,DSSpieler!A:B,2,FALSE)</f>
        <v>#N/A</v>
      </c>
    </row>
    <row r="2628" spans="1:10" x14ac:dyDescent="0.25">
      <c r="A2628">
        <v>2957</v>
      </c>
      <c r="B2628" t="s">
        <v>31673</v>
      </c>
      <c r="C2628">
        <v>529</v>
      </c>
      <c r="D2628">
        <v>545</v>
      </c>
      <c r="E2628">
        <v>1576968258</v>
      </c>
      <c r="F2628">
        <v>659</v>
      </c>
      <c r="G2628">
        <v>0</v>
      </c>
      <c r="H2628" t="s">
        <v>7554</v>
      </c>
      <c r="I2628">
        <v>2957</v>
      </c>
      <c r="J2628" t="str">
        <f>VLOOKUP(E2628,DSSpieler!A:B,2,FALSE)</f>
        <v>sir qwertzuiop</v>
      </c>
    </row>
    <row r="2629" spans="1:10" x14ac:dyDescent="0.25">
      <c r="A2629">
        <v>2959</v>
      </c>
      <c r="B2629">
        <v>5</v>
      </c>
      <c r="C2629">
        <v>557</v>
      </c>
      <c r="D2629">
        <v>445</v>
      </c>
      <c r="E2629">
        <v>1577197919</v>
      </c>
      <c r="F2629">
        <v>3407</v>
      </c>
      <c r="G2629">
        <v>0</v>
      </c>
      <c r="H2629" t="s">
        <v>7555</v>
      </c>
      <c r="I2629">
        <v>2959</v>
      </c>
      <c r="J2629" t="str">
        <f>VLOOKUP(E2629,DSSpieler!A:B,2,FALSE)</f>
        <v>3RorR1</v>
      </c>
    </row>
    <row r="2630" spans="1:10" x14ac:dyDescent="0.25">
      <c r="A2630">
        <v>2960</v>
      </c>
      <c r="B2630">
        <v>2</v>
      </c>
      <c r="C2630">
        <v>563</v>
      </c>
      <c r="D2630">
        <v>446</v>
      </c>
      <c r="E2630">
        <v>3479010</v>
      </c>
      <c r="F2630">
        <v>4461</v>
      </c>
      <c r="G2630">
        <v>0</v>
      </c>
      <c r="H2630" t="s">
        <v>7556</v>
      </c>
      <c r="I2630">
        <v>2960</v>
      </c>
      <c r="J2630" t="str">
        <f>VLOOKUP(E2630,DSSpieler!A:B,2,FALSE)</f>
        <v>Lieskauer</v>
      </c>
    </row>
    <row r="2631" spans="1:10" x14ac:dyDescent="0.25">
      <c r="A2631">
        <v>2961</v>
      </c>
      <c r="B2631" t="s">
        <v>531</v>
      </c>
      <c r="C2631">
        <v>487</v>
      </c>
      <c r="D2631">
        <v>475</v>
      </c>
      <c r="E2631">
        <v>0</v>
      </c>
      <c r="F2631">
        <v>438</v>
      </c>
      <c r="G2631">
        <v>0</v>
      </c>
      <c r="H2631" t="s">
        <v>7557</v>
      </c>
      <c r="I2631">
        <v>2961</v>
      </c>
      <c r="J2631" t="e">
        <f>VLOOKUP(E2631,DSSpieler!A:B,2,FALSE)</f>
        <v>#N/A</v>
      </c>
    </row>
    <row r="2632" spans="1:10" x14ac:dyDescent="0.25">
      <c r="A2632">
        <v>2962</v>
      </c>
      <c r="B2632" t="s">
        <v>1052</v>
      </c>
      <c r="C2632">
        <v>600</v>
      </c>
      <c r="D2632">
        <v>475</v>
      </c>
      <c r="E2632">
        <v>1577184451</v>
      </c>
      <c r="F2632">
        <v>6114</v>
      </c>
      <c r="G2632">
        <v>0</v>
      </c>
      <c r="H2632" t="s">
        <v>7558</v>
      </c>
      <c r="I2632">
        <v>2962</v>
      </c>
      <c r="J2632" t="str">
        <f>VLOOKUP(E2632,DSSpieler!A:B,2,FALSE)</f>
        <v>saalfsef</v>
      </c>
    </row>
    <row r="2633" spans="1:10" x14ac:dyDescent="0.25">
      <c r="A2633">
        <v>2963</v>
      </c>
      <c r="B2633" t="s">
        <v>31674</v>
      </c>
      <c r="C2633">
        <v>435</v>
      </c>
      <c r="D2633">
        <v>533</v>
      </c>
      <c r="E2633">
        <v>1576755690</v>
      </c>
      <c r="F2633">
        <v>3843</v>
      </c>
      <c r="G2633">
        <v>0</v>
      </c>
      <c r="H2633" t="s">
        <v>7559</v>
      </c>
      <c r="I2633">
        <v>2963</v>
      </c>
      <c r="J2633" t="str">
        <f>VLOOKUP(E2633,DSSpieler!A:B,2,FALSE)</f>
        <v>DownForWhat</v>
      </c>
    </row>
    <row r="2634" spans="1:10" x14ac:dyDescent="0.25">
      <c r="A2634">
        <v>2964</v>
      </c>
      <c r="B2634" t="s">
        <v>531</v>
      </c>
      <c r="C2634">
        <v>579</v>
      </c>
      <c r="D2634">
        <v>487</v>
      </c>
      <c r="E2634">
        <v>0</v>
      </c>
      <c r="F2634">
        <v>407</v>
      </c>
      <c r="G2634">
        <v>0</v>
      </c>
      <c r="H2634" t="s">
        <v>7560</v>
      </c>
      <c r="I2634">
        <v>2964</v>
      </c>
      <c r="J2634" t="e">
        <f>VLOOKUP(E2634,DSSpieler!A:B,2,FALSE)</f>
        <v>#N/A</v>
      </c>
    </row>
    <row r="2635" spans="1:10" x14ac:dyDescent="0.25">
      <c r="A2635">
        <v>2965</v>
      </c>
      <c r="B2635" t="s">
        <v>31387</v>
      </c>
      <c r="C2635">
        <v>582</v>
      </c>
      <c r="D2635">
        <v>564</v>
      </c>
      <c r="E2635">
        <v>10154907</v>
      </c>
      <c r="F2635">
        <v>5262</v>
      </c>
      <c r="G2635">
        <v>0</v>
      </c>
      <c r="H2635" t="s">
        <v>7561</v>
      </c>
      <c r="I2635">
        <v>2965</v>
      </c>
      <c r="J2635" t="str">
        <f>VLOOKUP(E2635,DSSpieler!A:B,2,FALSE)</f>
        <v>tronten</v>
      </c>
    </row>
    <row r="2636" spans="1:10" x14ac:dyDescent="0.25">
      <c r="A2636">
        <v>2966</v>
      </c>
      <c r="B2636" t="s">
        <v>546</v>
      </c>
      <c r="C2636">
        <v>509</v>
      </c>
      <c r="D2636">
        <v>428</v>
      </c>
      <c r="E2636">
        <v>1577197869</v>
      </c>
      <c r="F2636">
        <v>5877</v>
      </c>
      <c r="G2636">
        <v>0</v>
      </c>
      <c r="H2636" t="s">
        <v>7562</v>
      </c>
      <c r="I2636">
        <v>2966</v>
      </c>
      <c r="J2636" t="str">
        <f>VLOOKUP(E2636,DSSpieler!A:B,2,FALSE)</f>
        <v>Dr.Yäru</v>
      </c>
    </row>
    <row r="2637" spans="1:10" x14ac:dyDescent="0.25">
      <c r="A2637">
        <v>2967</v>
      </c>
      <c r="B2637" t="s">
        <v>713</v>
      </c>
      <c r="C2637">
        <v>576</v>
      </c>
      <c r="D2637">
        <v>453</v>
      </c>
      <c r="E2637">
        <v>1577197749</v>
      </c>
      <c r="F2637">
        <v>6983</v>
      </c>
      <c r="G2637">
        <v>0</v>
      </c>
      <c r="H2637" t="s">
        <v>7563</v>
      </c>
      <c r="I2637">
        <v>2967</v>
      </c>
      <c r="J2637" t="str">
        <f>VLOOKUP(E2637,DSSpieler!A:B,2,FALSE)</f>
        <v>Yondu</v>
      </c>
    </row>
    <row r="2638" spans="1:10" x14ac:dyDescent="0.25">
      <c r="A2638">
        <v>2968</v>
      </c>
      <c r="B2638" t="s">
        <v>31675</v>
      </c>
      <c r="C2638">
        <v>475</v>
      </c>
      <c r="D2638">
        <v>541</v>
      </c>
      <c r="E2638">
        <v>1577178261</v>
      </c>
      <c r="F2638">
        <v>5577</v>
      </c>
      <c r="G2638">
        <v>0</v>
      </c>
      <c r="H2638" t="s">
        <v>7564</v>
      </c>
      <c r="I2638">
        <v>2968</v>
      </c>
      <c r="J2638" t="str">
        <f>VLOOKUP(E2638,DSSpieler!A:B,2,FALSE)</f>
        <v>MikeLitoris</v>
      </c>
    </row>
    <row r="2639" spans="1:10" x14ac:dyDescent="0.25">
      <c r="A2639">
        <v>2969</v>
      </c>
      <c r="B2639" t="s">
        <v>1053</v>
      </c>
      <c r="C2639">
        <v>445</v>
      </c>
      <c r="D2639">
        <v>537</v>
      </c>
      <c r="E2639">
        <v>9551701</v>
      </c>
      <c r="F2639">
        <v>402</v>
      </c>
      <c r="G2639">
        <v>0</v>
      </c>
      <c r="H2639" t="s">
        <v>7565</v>
      </c>
      <c r="I2639">
        <v>2969</v>
      </c>
      <c r="J2639" t="str">
        <f>VLOOKUP(E2639,DSSpieler!A:B,2,FALSE)</f>
        <v>OJO der Große</v>
      </c>
    </row>
    <row r="2640" spans="1:10" x14ac:dyDescent="0.25">
      <c r="A2640">
        <v>2970</v>
      </c>
      <c r="B2640" t="s">
        <v>31676</v>
      </c>
      <c r="C2640">
        <v>517</v>
      </c>
      <c r="D2640">
        <v>574</v>
      </c>
      <c r="E2640">
        <v>1576605487</v>
      </c>
      <c r="F2640">
        <v>4592</v>
      </c>
      <c r="G2640">
        <v>0</v>
      </c>
      <c r="H2640" t="s">
        <v>7566</v>
      </c>
      <c r="I2640">
        <v>2970</v>
      </c>
      <c r="J2640" t="str">
        <f>VLOOKUP(E2640,DSSpieler!A:B,2,FALSE)</f>
        <v>blauespikachu</v>
      </c>
    </row>
    <row r="2641" spans="1:10" x14ac:dyDescent="0.25">
      <c r="A2641">
        <v>2971</v>
      </c>
      <c r="B2641" t="s">
        <v>30671</v>
      </c>
      <c r="C2641">
        <v>600</v>
      </c>
      <c r="D2641">
        <v>465</v>
      </c>
      <c r="E2641">
        <v>1577176958</v>
      </c>
      <c r="F2641">
        <v>5142</v>
      </c>
      <c r="G2641">
        <v>0</v>
      </c>
      <c r="H2641" t="s">
        <v>7567</v>
      </c>
      <c r="I2641">
        <v>2971</v>
      </c>
      <c r="J2641" t="str">
        <f>VLOOKUP(E2641,DSSpieler!A:B,2,FALSE)</f>
        <v>MultiCore</v>
      </c>
    </row>
    <row r="2642" spans="1:10" x14ac:dyDescent="0.25">
      <c r="A2642">
        <v>2972</v>
      </c>
      <c r="B2642" t="s">
        <v>31677</v>
      </c>
      <c r="C2642">
        <v>535</v>
      </c>
      <c r="D2642">
        <v>557</v>
      </c>
      <c r="E2642">
        <v>1577195756</v>
      </c>
      <c r="F2642">
        <v>1301</v>
      </c>
      <c r="G2642">
        <v>0</v>
      </c>
      <c r="H2642" t="s">
        <v>7568</v>
      </c>
      <c r="I2642">
        <v>2972</v>
      </c>
      <c r="J2642" t="str">
        <f>VLOOKUP(E2642,DSSpieler!A:B,2,FALSE)</f>
        <v>Fr0ze</v>
      </c>
    </row>
    <row r="2643" spans="1:10" x14ac:dyDescent="0.25">
      <c r="A2643">
        <v>2973</v>
      </c>
      <c r="B2643" t="s">
        <v>1054</v>
      </c>
      <c r="C2643">
        <v>443</v>
      </c>
      <c r="D2643">
        <v>449</v>
      </c>
      <c r="E2643">
        <v>1575840647</v>
      </c>
      <c r="F2643">
        <v>5851</v>
      </c>
      <c r="G2643">
        <v>0</v>
      </c>
      <c r="H2643" t="s">
        <v>7569</v>
      </c>
      <c r="I2643">
        <v>2973</v>
      </c>
      <c r="J2643" t="str">
        <f>VLOOKUP(E2643,DSSpieler!A:B,2,FALSE)</f>
        <v>Fuschl0815</v>
      </c>
    </row>
    <row r="2644" spans="1:10" x14ac:dyDescent="0.25">
      <c r="A2644">
        <v>2974</v>
      </c>
      <c r="B2644" t="s">
        <v>31678</v>
      </c>
      <c r="C2644">
        <v>530</v>
      </c>
      <c r="D2644">
        <v>461</v>
      </c>
      <c r="E2644">
        <v>9599376</v>
      </c>
      <c r="F2644">
        <v>3946</v>
      </c>
      <c r="G2644">
        <v>0</v>
      </c>
      <c r="H2644" t="s">
        <v>7570</v>
      </c>
      <c r="I2644">
        <v>2974</v>
      </c>
      <c r="J2644" t="str">
        <f>VLOOKUP(E2644,DSSpieler!A:B,2,FALSE)</f>
        <v>tiktakto70</v>
      </c>
    </row>
    <row r="2645" spans="1:10" x14ac:dyDescent="0.25">
      <c r="A2645">
        <v>2975</v>
      </c>
      <c r="B2645" t="s">
        <v>31679</v>
      </c>
      <c r="C2645">
        <v>472</v>
      </c>
      <c r="D2645">
        <v>455</v>
      </c>
      <c r="E2645">
        <v>1577187227</v>
      </c>
      <c r="F2645">
        <v>486</v>
      </c>
      <c r="G2645">
        <v>0</v>
      </c>
      <c r="H2645" t="s">
        <v>7571</v>
      </c>
      <c r="I2645">
        <v>2975</v>
      </c>
      <c r="J2645" t="str">
        <f>VLOOKUP(E2645,DSSpieler!A:B,2,FALSE)</f>
        <v>Heinz34</v>
      </c>
    </row>
    <row r="2646" spans="1:10" x14ac:dyDescent="0.25">
      <c r="A2646">
        <v>2976</v>
      </c>
      <c r="B2646" t="s">
        <v>1055</v>
      </c>
      <c r="C2646">
        <v>524</v>
      </c>
      <c r="D2646">
        <v>526</v>
      </c>
      <c r="E2646">
        <v>1577138038</v>
      </c>
      <c r="F2646">
        <v>5502</v>
      </c>
      <c r="G2646">
        <v>0</v>
      </c>
      <c r="H2646" t="s">
        <v>7572</v>
      </c>
      <c r="I2646">
        <v>2976</v>
      </c>
      <c r="J2646" t="str">
        <f>VLOOKUP(E2646,DSSpieler!A:B,2,FALSE)</f>
        <v>XxXSquadXxX</v>
      </c>
    </row>
    <row r="2647" spans="1:10" x14ac:dyDescent="0.25">
      <c r="A2647">
        <v>2977</v>
      </c>
      <c r="B2647" t="s">
        <v>31680</v>
      </c>
      <c r="C2647">
        <v>440</v>
      </c>
      <c r="D2647">
        <v>414</v>
      </c>
      <c r="E2647">
        <v>1577190002</v>
      </c>
      <c r="F2647">
        <v>7379</v>
      </c>
      <c r="G2647">
        <v>0</v>
      </c>
      <c r="H2647" t="s">
        <v>7573</v>
      </c>
      <c r="I2647">
        <v>2977</v>
      </c>
      <c r="J2647" t="str">
        <f>VLOOKUP(E2647,DSSpieler!A:B,2,FALSE)</f>
        <v>FürstVelten</v>
      </c>
    </row>
    <row r="2648" spans="1:10" x14ac:dyDescent="0.25">
      <c r="A2648">
        <v>2978</v>
      </c>
      <c r="B2648" t="s">
        <v>1056</v>
      </c>
      <c r="C2648">
        <v>573</v>
      </c>
      <c r="D2648">
        <v>465</v>
      </c>
      <c r="E2648">
        <v>9573089</v>
      </c>
      <c r="F2648">
        <v>5111</v>
      </c>
      <c r="G2648">
        <v>0</v>
      </c>
      <c r="H2648" t="s">
        <v>7574</v>
      </c>
      <c r="I2648">
        <v>2978</v>
      </c>
      <c r="J2648" t="str">
        <f>VLOOKUP(E2648,DSSpieler!A:B,2,FALSE)</f>
        <v>Nikka93</v>
      </c>
    </row>
    <row r="2649" spans="1:10" x14ac:dyDescent="0.25">
      <c r="A2649">
        <v>2979</v>
      </c>
      <c r="B2649" t="s">
        <v>531</v>
      </c>
      <c r="C2649">
        <v>503</v>
      </c>
      <c r="D2649">
        <v>551</v>
      </c>
      <c r="E2649">
        <v>0</v>
      </c>
      <c r="F2649">
        <v>454</v>
      </c>
      <c r="G2649">
        <v>0</v>
      </c>
      <c r="H2649" t="s">
        <v>7575</v>
      </c>
      <c r="I2649">
        <v>2979</v>
      </c>
      <c r="J2649" t="e">
        <f>VLOOKUP(E2649,DSSpieler!A:B,2,FALSE)</f>
        <v>#N/A</v>
      </c>
    </row>
    <row r="2650" spans="1:10" x14ac:dyDescent="0.25">
      <c r="A2650">
        <v>2980</v>
      </c>
      <c r="B2650" t="s">
        <v>1057</v>
      </c>
      <c r="C2650">
        <v>467</v>
      </c>
      <c r="D2650">
        <v>428</v>
      </c>
      <c r="E2650">
        <v>8897367</v>
      </c>
      <c r="F2650">
        <v>6291</v>
      </c>
      <c r="G2650">
        <v>0</v>
      </c>
      <c r="H2650" t="s">
        <v>7576</v>
      </c>
      <c r="I2650">
        <v>2980</v>
      </c>
      <c r="J2650" t="str">
        <f>VLOOKUP(E2650,DSSpieler!A:B,2,FALSE)</f>
        <v>Zwoogel1</v>
      </c>
    </row>
    <row r="2651" spans="1:10" x14ac:dyDescent="0.25">
      <c r="A2651">
        <v>2981</v>
      </c>
      <c r="B2651" t="s">
        <v>31681</v>
      </c>
      <c r="C2651">
        <v>421</v>
      </c>
      <c r="D2651">
        <v>570</v>
      </c>
      <c r="E2651">
        <v>1577057518</v>
      </c>
      <c r="F2651">
        <v>2221</v>
      </c>
      <c r="G2651">
        <v>0</v>
      </c>
      <c r="H2651" t="s">
        <v>7577</v>
      </c>
      <c r="I2651">
        <v>2981</v>
      </c>
      <c r="J2651" t="str">
        <f>VLOOKUP(E2651,DSSpieler!A:B,2,FALSE)</f>
        <v>becky lynch</v>
      </c>
    </row>
    <row r="2652" spans="1:10" x14ac:dyDescent="0.25">
      <c r="A2652">
        <v>2982</v>
      </c>
      <c r="B2652" t="s">
        <v>31682</v>
      </c>
      <c r="C2652">
        <v>512</v>
      </c>
      <c r="D2652">
        <v>490</v>
      </c>
      <c r="E2652">
        <v>1576459834</v>
      </c>
      <c r="F2652">
        <v>5151</v>
      </c>
      <c r="G2652">
        <v>0</v>
      </c>
      <c r="H2652" t="s">
        <v>7578</v>
      </c>
      <c r="I2652">
        <v>2982</v>
      </c>
      <c r="J2652" t="str">
        <f>VLOOKUP(E2652,DSSpieler!A:B,2,FALSE)</f>
        <v>coolermanyes</v>
      </c>
    </row>
    <row r="2653" spans="1:10" x14ac:dyDescent="0.25">
      <c r="A2653">
        <v>2983</v>
      </c>
      <c r="B2653" t="s">
        <v>31683</v>
      </c>
      <c r="C2653">
        <v>465</v>
      </c>
      <c r="D2653">
        <v>473</v>
      </c>
      <c r="E2653">
        <v>3223549</v>
      </c>
      <c r="F2653">
        <v>3961</v>
      </c>
      <c r="G2653">
        <v>0</v>
      </c>
      <c r="H2653" t="s">
        <v>7579</v>
      </c>
      <c r="I2653">
        <v>2983</v>
      </c>
      <c r="J2653" t="str">
        <f>VLOOKUP(E2653,DSSpieler!A:B,2,FALSE)</f>
        <v>Kifferkatz</v>
      </c>
    </row>
    <row r="2654" spans="1:10" x14ac:dyDescent="0.25">
      <c r="A2654">
        <v>2984</v>
      </c>
      <c r="B2654" t="s">
        <v>31684</v>
      </c>
      <c r="C2654">
        <v>472</v>
      </c>
      <c r="D2654">
        <v>460</v>
      </c>
      <c r="E2654">
        <v>1577180350</v>
      </c>
      <c r="F2654">
        <v>2973</v>
      </c>
      <c r="G2654">
        <v>0</v>
      </c>
      <c r="H2654" t="s">
        <v>7580</v>
      </c>
      <c r="I2654">
        <v>2984</v>
      </c>
      <c r="J2654" t="str">
        <f>VLOOKUP(E2654,DSSpieler!A:B,2,FALSE)</f>
        <v>Adelsschlächter</v>
      </c>
    </row>
    <row r="2655" spans="1:10" x14ac:dyDescent="0.25">
      <c r="A2655">
        <v>2986</v>
      </c>
      <c r="B2655" t="s">
        <v>31685</v>
      </c>
      <c r="C2655">
        <v>446</v>
      </c>
      <c r="D2655">
        <v>444</v>
      </c>
      <c r="E2655">
        <v>7627920</v>
      </c>
      <c r="F2655">
        <v>3559</v>
      </c>
      <c r="G2655">
        <v>0</v>
      </c>
      <c r="H2655" t="s">
        <v>7581</v>
      </c>
      <c r="I2655">
        <v>2986</v>
      </c>
      <c r="J2655" t="str">
        <f>VLOOKUP(E2655,DSSpieler!A:B,2,FALSE)</f>
        <v>bekloppter09</v>
      </c>
    </row>
    <row r="2656" spans="1:10" x14ac:dyDescent="0.25">
      <c r="A2656">
        <v>2987</v>
      </c>
      <c r="B2656" t="s">
        <v>1058</v>
      </c>
      <c r="C2656">
        <v>465</v>
      </c>
      <c r="D2656">
        <v>499</v>
      </c>
      <c r="E2656">
        <v>1577180658</v>
      </c>
      <c r="F2656">
        <v>493</v>
      </c>
      <c r="G2656">
        <v>0</v>
      </c>
      <c r="H2656" t="s">
        <v>7582</v>
      </c>
      <c r="I2656">
        <v>2987</v>
      </c>
      <c r="J2656" t="str">
        <f>VLOOKUP(E2656,DSSpieler!A:B,2,FALSE)</f>
        <v>Pitbull170519</v>
      </c>
    </row>
    <row r="2657" spans="1:10" x14ac:dyDescent="0.25">
      <c r="A2657">
        <v>2988</v>
      </c>
      <c r="B2657" t="s">
        <v>31686</v>
      </c>
      <c r="C2657">
        <v>565</v>
      </c>
      <c r="D2657">
        <v>457</v>
      </c>
      <c r="E2657">
        <v>1576629032</v>
      </c>
      <c r="F2657">
        <v>4341</v>
      </c>
      <c r="G2657">
        <v>0</v>
      </c>
      <c r="H2657" t="s">
        <v>7583</v>
      </c>
      <c r="I2657">
        <v>2988</v>
      </c>
      <c r="J2657" t="str">
        <f>VLOOKUP(E2657,DSSpieler!A:B,2,FALSE)</f>
        <v>Der W0lf</v>
      </c>
    </row>
    <row r="2658" spans="1:10" x14ac:dyDescent="0.25">
      <c r="A2658">
        <v>2990</v>
      </c>
      <c r="B2658">
        <v>2</v>
      </c>
      <c r="C2658">
        <v>507</v>
      </c>
      <c r="D2658">
        <v>423</v>
      </c>
      <c r="E2658">
        <v>1575881708</v>
      </c>
      <c r="F2658">
        <v>5807</v>
      </c>
      <c r="G2658">
        <v>0</v>
      </c>
      <c r="H2658" t="s">
        <v>7584</v>
      </c>
      <c r="I2658">
        <v>2990</v>
      </c>
      <c r="J2658" t="str">
        <f>VLOOKUP(E2658,DSSpieler!A:B,2,FALSE)</f>
        <v>Akiadis</v>
      </c>
    </row>
    <row r="2659" spans="1:10" x14ac:dyDescent="0.25">
      <c r="A2659">
        <v>2991</v>
      </c>
      <c r="B2659" t="s">
        <v>531</v>
      </c>
      <c r="C2659">
        <v>417</v>
      </c>
      <c r="D2659">
        <v>451</v>
      </c>
      <c r="E2659">
        <v>0</v>
      </c>
      <c r="F2659">
        <v>1991</v>
      </c>
      <c r="G2659">
        <v>0</v>
      </c>
      <c r="H2659" t="s">
        <v>7585</v>
      </c>
      <c r="I2659">
        <v>2991</v>
      </c>
      <c r="J2659" t="e">
        <f>VLOOKUP(E2659,DSSpieler!A:B,2,FALSE)</f>
        <v>#N/A</v>
      </c>
    </row>
    <row r="2660" spans="1:10" x14ac:dyDescent="0.25">
      <c r="A2660">
        <v>2992</v>
      </c>
      <c r="B2660" t="s">
        <v>31687</v>
      </c>
      <c r="C2660">
        <v>478</v>
      </c>
      <c r="D2660">
        <v>586</v>
      </c>
      <c r="E2660">
        <v>1576996406</v>
      </c>
      <c r="F2660">
        <v>5244</v>
      </c>
      <c r="G2660">
        <v>0</v>
      </c>
      <c r="H2660" t="s">
        <v>7586</v>
      </c>
      <c r="I2660">
        <v>2992</v>
      </c>
      <c r="J2660" t="str">
        <f>VLOOKUP(E2660,DSSpieler!A:B,2,FALSE)</f>
        <v>clownsq</v>
      </c>
    </row>
    <row r="2661" spans="1:10" x14ac:dyDescent="0.25">
      <c r="A2661">
        <v>2993</v>
      </c>
      <c r="B2661" t="s">
        <v>531</v>
      </c>
      <c r="C2661">
        <v>523</v>
      </c>
      <c r="D2661">
        <v>507</v>
      </c>
      <c r="E2661">
        <v>0</v>
      </c>
      <c r="F2661">
        <v>412</v>
      </c>
      <c r="G2661">
        <v>0</v>
      </c>
      <c r="H2661" t="s">
        <v>7587</v>
      </c>
      <c r="I2661">
        <v>2993</v>
      </c>
      <c r="J2661" t="e">
        <f>VLOOKUP(E2661,DSSpieler!A:B,2,FALSE)</f>
        <v>#N/A</v>
      </c>
    </row>
    <row r="2662" spans="1:10" x14ac:dyDescent="0.25">
      <c r="A2662">
        <v>2994</v>
      </c>
      <c r="B2662" t="s">
        <v>31688</v>
      </c>
      <c r="C2662">
        <v>422</v>
      </c>
      <c r="D2662">
        <v>576</v>
      </c>
      <c r="E2662">
        <v>8839915</v>
      </c>
      <c r="F2662">
        <v>6331</v>
      </c>
      <c r="G2662">
        <v>0</v>
      </c>
      <c r="H2662" t="s">
        <v>7588</v>
      </c>
      <c r="I2662">
        <v>2994</v>
      </c>
      <c r="J2662" t="str">
        <f>VLOOKUP(E2662,DSSpieler!A:B,2,FALSE)</f>
        <v>BierBaron.</v>
      </c>
    </row>
    <row r="2663" spans="1:10" x14ac:dyDescent="0.25">
      <c r="A2663">
        <v>2995</v>
      </c>
      <c r="B2663" t="s">
        <v>31689</v>
      </c>
      <c r="C2663">
        <v>469</v>
      </c>
      <c r="D2663">
        <v>562</v>
      </c>
      <c r="E2663">
        <v>9026066</v>
      </c>
      <c r="F2663">
        <v>5495</v>
      </c>
      <c r="G2663">
        <v>0</v>
      </c>
      <c r="H2663" t="s">
        <v>7589</v>
      </c>
      <c r="I2663">
        <v>2995</v>
      </c>
      <c r="J2663" t="str">
        <f>VLOOKUP(E2663,DSSpieler!A:B,2,FALSE)</f>
        <v>thehaaacker</v>
      </c>
    </row>
    <row r="2664" spans="1:10" x14ac:dyDescent="0.25">
      <c r="A2664">
        <v>2996</v>
      </c>
      <c r="B2664" t="s">
        <v>531</v>
      </c>
      <c r="C2664">
        <v>567</v>
      </c>
      <c r="D2664">
        <v>455</v>
      </c>
      <c r="E2664">
        <v>0</v>
      </c>
      <c r="F2664">
        <v>317</v>
      </c>
      <c r="G2664">
        <v>0</v>
      </c>
      <c r="H2664" t="s">
        <v>7590</v>
      </c>
      <c r="I2664">
        <v>2996</v>
      </c>
      <c r="J2664" t="e">
        <f>VLOOKUP(E2664,DSSpieler!A:B,2,FALSE)</f>
        <v>#N/A</v>
      </c>
    </row>
    <row r="2665" spans="1:10" x14ac:dyDescent="0.25">
      <c r="A2665">
        <v>2997</v>
      </c>
      <c r="B2665" t="s">
        <v>531</v>
      </c>
      <c r="C2665">
        <v>499</v>
      </c>
      <c r="D2665">
        <v>575</v>
      </c>
      <c r="E2665">
        <v>0</v>
      </c>
      <c r="F2665">
        <v>730</v>
      </c>
      <c r="G2665">
        <v>0</v>
      </c>
      <c r="H2665" t="s">
        <v>7591</v>
      </c>
      <c r="I2665">
        <v>2997</v>
      </c>
      <c r="J2665" t="e">
        <f>VLOOKUP(E2665,DSSpieler!A:B,2,FALSE)</f>
        <v>#N/A</v>
      </c>
    </row>
    <row r="2666" spans="1:10" x14ac:dyDescent="0.25">
      <c r="A2666">
        <v>2999</v>
      </c>
      <c r="B2666" t="s">
        <v>1059</v>
      </c>
      <c r="C2666">
        <v>446</v>
      </c>
      <c r="D2666">
        <v>505</v>
      </c>
      <c r="E2666">
        <v>1576949780</v>
      </c>
      <c r="F2666">
        <v>5625</v>
      </c>
      <c r="G2666">
        <v>0</v>
      </c>
      <c r="H2666" t="s">
        <v>7592</v>
      </c>
      <c r="I2666">
        <v>2999</v>
      </c>
      <c r="J2666" t="str">
        <f>VLOOKUP(E2666,DSSpieler!A:B,2,FALSE)</f>
        <v>Felix1310</v>
      </c>
    </row>
    <row r="2667" spans="1:10" x14ac:dyDescent="0.25">
      <c r="A2667">
        <v>3000</v>
      </c>
      <c r="B2667" t="s">
        <v>1060</v>
      </c>
      <c r="C2667">
        <v>516</v>
      </c>
      <c r="D2667">
        <v>482</v>
      </c>
      <c r="E2667">
        <v>1577167341</v>
      </c>
      <c r="F2667">
        <v>4683</v>
      </c>
      <c r="G2667">
        <v>0</v>
      </c>
      <c r="H2667" t="s">
        <v>7593</v>
      </c>
      <c r="I2667">
        <v>3000</v>
      </c>
      <c r="J2667" t="str">
        <f>VLOOKUP(E2667,DSSpieler!A:B,2,FALSE)</f>
        <v>Guenter61</v>
      </c>
    </row>
    <row r="2668" spans="1:10" x14ac:dyDescent="0.25">
      <c r="A2668">
        <v>3001</v>
      </c>
      <c r="B2668" t="s">
        <v>531</v>
      </c>
      <c r="C2668">
        <v>548</v>
      </c>
      <c r="D2668">
        <v>524</v>
      </c>
      <c r="E2668">
        <v>0</v>
      </c>
      <c r="F2668">
        <v>351</v>
      </c>
      <c r="G2668">
        <v>0</v>
      </c>
      <c r="H2668" t="s">
        <v>7594</v>
      </c>
      <c r="I2668">
        <v>3001</v>
      </c>
      <c r="J2668" t="e">
        <f>VLOOKUP(E2668,DSSpieler!A:B,2,FALSE)</f>
        <v>#N/A</v>
      </c>
    </row>
    <row r="2669" spans="1:10" x14ac:dyDescent="0.25">
      <c r="A2669">
        <v>3002</v>
      </c>
      <c r="B2669" t="s">
        <v>30515</v>
      </c>
      <c r="C2669">
        <v>608</v>
      </c>
      <c r="D2669">
        <v>478</v>
      </c>
      <c r="E2669">
        <v>9736677</v>
      </c>
      <c r="F2669">
        <v>5382</v>
      </c>
      <c r="G2669">
        <v>0</v>
      </c>
      <c r="H2669" t="s">
        <v>7595</v>
      </c>
      <c r="I2669">
        <v>3002</v>
      </c>
      <c r="J2669" t="str">
        <f>VLOOKUP(E2669,DSSpieler!A:B,2,FALSE)</f>
        <v>Querschläger1903</v>
      </c>
    </row>
    <row r="2670" spans="1:10" x14ac:dyDescent="0.25">
      <c r="A2670">
        <v>3003</v>
      </c>
      <c r="B2670" t="s">
        <v>531</v>
      </c>
      <c r="C2670">
        <v>484</v>
      </c>
      <c r="D2670">
        <v>428</v>
      </c>
      <c r="E2670">
        <v>0</v>
      </c>
      <c r="F2670">
        <v>215</v>
      </c>
      <c r="G2670">
        <v>0</v>
      </c>
      <c r="H2670" t="s">
        <v>7596</v>
      </c>
      <c r="I2670">
        <v>3003</v>
      </c>
      <c r="J2670" t="e">
        <f>VLOOKUP(E2670,DSSpieler!A:B,2,FALSE)</f>
        <v>#N/A</v>
      </c>
    </row>
    <row r="2671" spans="1:10" x14ac:dyDescent="0.25">
      <c r="A2671">
        <v>3004</v>
      </c>
      <c r="B2671" t="s">
        <v>31690</v>
      </c>
      <c r="C2671">
        <v>593</v>
      </c>
      <c r="D2671">
        <v>491</v>
      </c>
      <c r="E2671">
        <v>1577180043</v>
      </c>
      <c r="F2671">
        <v>5190</v>
      </c>
      <c r="G2671">
        <v>0</v>
      </c>
      <c r="H2671" t="s">
        <v>7597</v>
      </c>
      <c r="I2671">
        <v>3004</v>
      </c>
      <c r="J2671" t="str">
        <f>VLOOKUP(E2671,DSSpieler!A:B,2,FALSE)</f>
        <v>Klopapier-ist-alle</v>
      </c>
    </row>
    <row r="2672" spans="1:10" x14ac:dyDescent="0.25">
      <c r="A2672">
        <v>3005</v>
      </c>
      <c r="B2672" t="s">
        <v>31691</v>
      </c>
      <c r="C2672">
        <v>573</v>
      </c>
      <c r="D2672">
        <v>482</v>
      </c>
      <c r="E2672">
        <v>1577176189</v>
      </c>
      <c r="F2672">
        <v>6208</v>
      </c>
      <c r="G2672">
        <v>0</v>
      </c>
      <c r="H2672" t="s">
        <v>7598</v>
      </c>
      <c r="I2672">
        <v>3005</v>
      </c>
      <c r="J2672" t="str">
        <f>VLOOKUP(E2672,DSSpieler!A:B,2,FALSE)</f>
        <v>24hrs</v>
      </c>
    </row>
    <row r="2673" spans="1:10" x14ac:dyDescent="0.25">
      <c r="A2673">
        <v>3006</v>
      </c>
      <c r="B2673">
        <v>2</v>
      </c>
      <c r="C2673">
        <v>520</v>
      </c>
      <c r="D2673">
        <v>569</v>
      </c>
      <c r="E2673">
        <v>1576901589</v>
      </c>
      <c r="F2673">
        <v>5711</v>
      </c>
      <c r="G2673">
        <v>0</v>
      </c>
      <c r="H2673" t="s">
        <v>7599</v>
      </c>
      <c r="I2673">
        <v>3006</v>
      </c>
      <c r="J2673" t="str">
        <f>VLOOKUP(E2673,DSSpieler!A:B,2,FALSE)</f>
        <v>KingKoelln</v>
      </c>
    </row>
    <row r="2674" spans="1:10" x14ac:dyDescent="0.25">
      <c r="A2674">
        <v>3007</v>
      </c>
      <c r="B2674" t="s">
        <v>1061</v>
      </c>
      <c r="C2674">
        <v>565</v>
      </c>
      <c r="D2674">
        <v>475</v>
      </c>
      <c r="E2674">
        <v>1577027330</v>
      </c>
      <c r="F2674">
        <v>2832</v>
      </c>
      <c r="G2674">
        <v>0</v>
      </c>
      <c r="H2674" t="s">
        <v>7600</v>
      </c>
      <c r="I2674">
        <v>3007</v>
      </c>
      <c r="J2674" t="str">
        <f>VLOOKUP(E2674,DSSpieler!A:B,2,FALSE)</f>
        <v>Prinz Fallobst</v>
      </c>
    </row>
    <row r="2675" spans="1:10" x14ac:dyDescent="0.25">
      <c r="A2675">
        <v>3008</v>
      </c>
      <c r="B2675" t="s">
        <v>31692</v>
      </c>
      <c r="C2675">
        <v>539</v>
      </c>
      <c r="D2675">
        <v>526</v>
      </c>
      <c r="E2675">
        <v>1577191260</v>
      </c>
      <c r="F2675">
        <v>6546</v>
      </c>
      <c r="G2675">
        <v>0</v>
      </c>
      <c r="H2675" t="s">
        <v>7601</v>
      </c>
      <c r="I2675">
        <v>3008</v>
      </c>
      <c r="J2675" t="str">
        <f>VLOOKUP(E2675,DSSpieler!A:B,2,FALSE)</f>
        <v>Triple Y</v>
      </c>
    </row>
    <row r="2676" spans="1:10" x14ac:dyDescent="0.25">
      <c r="A2676">
        <v>3009</v>
      </c>
      <c r="B2676" t="s">
        <v>531</v>
      </c>
      <c r="C2676">
        <v>554</v>
      </c>
      <c r="D2676">
        <v>513</v>
      </c>
      <c r="E2676">
        <v>0</v>
      </c>
      <c r="F2676">
        <v>364</v>
      </c>
      <c r="G2676">
        <v>0</v>
      </c>
      <c r="H2676" t="s">
        <v>7602</v>
      </c>
      <c r="I2676">
        <v>3009</v>
      </c>
      <c r="J2676" t="e">
        <f>VLOOKUP(E2676,DSSpieler!A:B,2,FALSE)</f>
        <v>#N/A</v>
      </c>
    </row>
    <row r="2677" spans="1:10" x14ac:dyDescent="0.25">
      <c r="A2677">
        <v>3010</v>
      </c>
      <c r="B2677" t="s">
        <v>31693</v>
      </c>
      <c r="C2677">
        <v>538</v>
      </c>
      <c r="D2677">
        <v>528</v>
      </c>
      <c r="E2677">
        <v>1577197246</v>
      </c>
      <c r="F2677">
        <v>2179</v>
      </c>
      <c r="G2677">
        <v>0</v>
      </c>
      <c r="H2677" t="s">
        <v>7603</v>
      </c>
      <c r="I2677">
        <v>3010</v>
      </c>
      <c r="J2677" t="str">
        <f>VLOOKUP(E2677,DSSpieler!A:B,2,FALSE)</f>
        <v>JoeFromSchool</v>
      </c>
    </row>
    <row r="2678" spans="1:10" x14ac:dyDescent="0.25">
      <c r="A2678">
        <v>3011</v>
      </c>
      <c r="B2678" t="s">
        <v>531</v>
      </c>
      <c r="C2678">
        <v>442</v>
      </c>
      <c r="D2678">
        <v>463</v>
      </c>
      <c r="E2678">
        <v>0</v>
      </c>
      <c r="F2678">
        <v>307</v>
      </c>
      <c r="G2678">
        <v>0</v>
      </c>
      <c r="H2678" t="s">
        <v>7604</v>
      </c>
      <c r="I2678">
        <v>3011</v>
      </c>
      <c r="J2678" t="e">
        <f>VLOOKUP(E2678,DSSpieler!A:B,2,FALSE)</f>
        <v>#N/A</v>
      </c>
    </row>
    <row r="2679" spans="1:10" x14ac:dyDescent="0.25">
      <c r="A2679">
        <v>3012</v>
      </c>
      <c r="B2679" t="s">
        <v>31694</v>
      </c>
      <c r="C2679">
        <v>475</v>
      </c>
      <c r="D2679">
        <v>551</v>
      </c>
      <c r="E2679">
        <v>8707637</v>
      </c>
      <c r="F2679">
        <v>5927</v>
      </c>
      <c r="G2679">
        <v>0</v>
      </c>
      <c r="H2679" t="s">
        <v>7605</v>
      </c>
      <c r="I2679">
        <v>3012</v>
      </c>
      <c r="J2679" t="str">
        <f>VLOOKUP(E2679,DSSpieler!A:B,2,FALSE)</f>
        <v>Surtic09</v>
      </c>
    </row>
    <row r="2680" spans="1:10" x14ac:dyDescent="0.25">
      <c r="A2680">
        <v>3013</v>
      </c>
      <c r="B2680" t="s">
        <v>1062</v>
      </c>
      <c r="C2680">
        <v>449</v>
      </c>
      <c r="D2680">
        <v>491</v>
      </c>
      <c r="E2680">
        <v>1577187605</v>
      </c>
      <c r="F2680">
        <v>2667</v>
      </c>
      <c r="G2680">
        <v>0</v>
      </c>
      <c r="H2680" t="s">
        <v>7606</v>
      </c>
      <c r="I2680">
        <v>3013</v>
      </c>
      <c r="J2680" t="str">
        <f>VLOOKUP(E2680,DSSpieler!A:B,2,FALSE)</f>
        <v>Dr. Blobb</v>
      </c>
    </row>
    <row r="2681" spans="1:10" x14ac:dyDescent="0.25">
      <c r="A2681">
        <v>3014</v>
      </c>
      <c r="B2681">
        <v>5</v>
      </c>
      <c r="C2681">
        <v>585</v>
      </c>
      <c r="D2681">
        <v>561</v>
      </c>
      <c r="E2681">
        <v>1576613198</v>
      </c>
      <c r="F2681">
        <v>5612</v>
      </c>
      <c r="G2681">
        <v>0</v>
      </c>
      <c r="H2681" t="s">
        <v>7607</v>
      </c>
      <c r="I2681">
        <v>3014</v>
      </c>
      <c r="J2681" t="str">
        <f>VLOOKUP(E2681,DSSpieler!A:B,2,FALSE)</f>
        <v>-Schnee-im-Sommer-</v>
      </c>
    </row>
    <row r="2682" spans="1:10" x14ac:dyDescent="0.25">
      <c r="A2682">
        <v>3015</v>
      </c>
      <c r="B2682" t="s">
        <v>1063</v>
      </c>
      <c r="C2682">
        <v>459</v>
      </c>
      <c r="D2682">
        <v>515</v>
      </c>
      <c r="E2682">
        <v>1576785741</v>
      </c>
      <c r="F2682">
        <v>5279</v>
      </c>
      <c r="G2682">
        <v>0</v>
      </c>
      <c r="H2682" t="s">
        <v>7608</v>
      </c>
      <c r="I2682">
        <v>3015</v>
      </c>
      <c r="J2682" t="str">
        <f>VLOOKUP(E2682,DSSpieler!A:B,2,FALSE)</f>
        <v>Myforce</v>
      </c>
    </row>
    <row r="2683" spans="1:10" x14ac:dyDescent="0.25">
      <c r="A2683">
        <v>3016</v>
      </c>
      <c r="B2683" t="s">
        <v>1064</v>
      </c>
      <c r="C2683">
        <v>553</v>
      </c>
      <c r="D2683">
        <v>478</v>
      </c>
      <c r="E2683">
        <v>1576944462</v>
      </c>
      <c r="F2683">
        <v>3119</v>
      </c>
      <c r="G2683">
        <v>0</v>
      </c>
      <c r="H2683" t="s">
        <v>7609</v>
      </c>
      <c r="I2683">
        <v>3016</v>
      </c>
      <c r="J2683" t="str">
        <f>VLOOKUP(E2683,DSSpieler!A:B,2,FALSE)</f>
        <v>Dragenball12</v>
      </c>
    </row>
    <row r="2684" spans="1:10" x14ac:dyDescent="0.25">
      <c r="A2684">
        <v>3017</v>
      </c>
      <c r="B2684" t="s">
        <v>673</v>
      </c>
      <c r="C2684">
        <v>595</v>
      </c>
      <c r="D2684">
        <v>492</v>
      </c>
      <c r="E2684">
        <v>1515548</v>
      </c>
      <c r="F2684">
        <v>4462</v>
      </c>
      <c r="G2684">
        <v>0</v>
      </c>
      <c r="H2684" t="s">
        <v>7610</v>
      </c>
      <c r="I2684">
        <v>3017</v>
      </c>
      <c r="J2684" t="str">
        <f>VLOOKUP(E2684,DSSpieler!A:B,2,FALSE)</f>
        <v>Störfaktor</v>
      </c>
    </row>
    <row r="2685" spans="1:10" x14ac:dyDescent="0.25">
      <c r="A2685">
        <v>3018</v>
      </c>
      <c r="B2685" t="s">
        <v>531</v>
      </c>
      <c r="C2685">
        <v>474</v>
      </c>
      <c r="D2685">
        <v>524</v>
      </c>
      <c r="E2685">
        <v>0</v>
      </c>
      <c r="F2685">
        <v>382</v>
      </c>
      <c r="G2685">
        <v>0</v>
      </c>
      <c r="H2685" t="s">
        <v>7611</v>
      </c>
      <c r="I2685">
        <v>3018</v>
      </c>
      <c r="J2685" t="e">
        <f>VLOOKUP(E2685,DSSpieler!A:B,2,FALSE)</f>
        <v>#N/A</v>
      </c>
    </row>
    <row r="2686" spans="1:10" x14ac:dyDescent="0.25">
      <c r="A2686">
        <v>3019</v>
      </c>
      <c r="B2686" t="s">
        <v>531</v>
      </c>
      <c r="C2686">
        <v>556</v>
      </c>
      <c r="D2686">
        <v>448</v>
      </c>
      <c r="E2686">
        <v>0</v>
      </c>
      <c r="F2686">
        <v>323</v>
      </c>
      <c r="G2686">
        <v>0</v>
      </c>
      <c r="H2686" t="s">
        <v>7612</v>
      </c>
      <c r="I2686">
        <v>3019</v>
      </c>
      <c r="J2686" t="e">
        <f>VLOOKUP(E2686,DSSpieler!A:B,2,FALSE)</f>
        <v>#N/A</v>
      </c>
    </row>
    <row r="2687" spans="1:10" x14ac:dyDescent="0.25">
      <c r="A2687">
        <v>3020</v>
      </c>
      <c r="B2687" t="s">
        <v>1065</v>
      </c>
      <c r="C2687">
        <v>564</v>
      </c>
      <c r="D2687">
        <v>477</v>
      </c>
      <c r="E2687">
        <v>1576962402</v>
      </c>
      <c r="F2687">
        <v>2998</v>
      </c>
      <c r="G2687">
        <v>0</v>
      </c>
      <c r="H2687" t="s">
        <v>7613</v>
      </c>
      <c r="I2687">
        <v>3020</v>
      </c>
      <c r="J2687" t="str">
        <f>VLOOKUP(E2687,DSSpieler!A:B,2,FALSE)</f>
        <v>HerzogTheodoric0305</v>
      </c>
    </row>
    <row r="2688" spans="1:10" x14ac:dyDescent="0.25">
      <c r="A2688">
        <v>3021</v>
      </c>
      <c r="B2688" t="s">
        <v>31177</v>
      </c>
      <c r="C2688">
        <v>454</v>
      </c>
      <c r="D2688">
        <v>517</v>
      </c>
      <c r="E2688">
        <v>8311997</v>
      </c>
      <c r="F2688">
        <v>3245</v>
      </c>
      <c r="G2688">
        <v>0</v>
      </c>
      <c r="H2688" t="s">
        <v>7614</v>
      </c>
      <c r="I2688">
        <v>3021</v>
      </c>
      <c r="J2688" t="str">
        <f>VLOOKUP(E2688,DSSpieler!A:B,2,FALSE)</f>
        <v>Herzog Uli</v>
      </c>
    </row>
    <row r="2689" spans="1:10" x14ac:dyDescent="0.25">
      <c r="A2689">
        <v>3022</v>
      </c>
      <c r="B2689" t="s">
        <v>31695</v>
      </c>
      <c r="C2689">
        <v>596</v>
      </c>
      <c r="D2689">
        <v>453</v>
      </c>
      <c r="E2689">
        <v>1577188672</v>
      </c>
      <c r="F2689">
        <v>5164</v>
      </c>
      <c r="G2689">
        <v>0</v>
      </c>
      <c r="H2689" t="s">
        <v>7615</v>
      </c>
      <c r="I2689">
        <v>3022</v>
      </c>
      <c r="J2689" t="str">
        <f>VLOOKUP(E2689,DSSpieler!A:B,2,FALSE)</f>
        <v>Der Haie</v>
      </c>
    </row>
    <row r="2690" spans="1:10" x14ac:dyDescent="0.25">
      <c r="A2690">
        <v>3023</v>
      </c>
      <c r="B2690" t="s">
        <v>1066</v>
      </c>
      <c r="C2690">
        <v>531</v>
      </c>
      <c r="D2690">
        <v>434</v>
      </c>
      <c r="E2690">
        <v>3143028</v>
      </c>
      <c r="F2690">
        <v>6595</v>
      </c>
      <c r="G2690">
        <v>0</v>
      </c>
      <c r="H2690" t="s">
        <v>7616</v>
      </c>
      <c r="I2690">
        <v>3023</v>
      </c>
      <c r="J2690" t="str">
        <f>VLOOKUP(E2690,DSSpieler!A:B,2,FALSE)</f>
        <v>Tom Traitor</v>
      </c>
    </row>
    <row r="2691" spans="1:10" x14ac:dyDescent="0.25">
      <c r="A2691">
        <v>3024</v>
      </c>
      <c r="B2691" t="s">
        <v>531</v>
      </c>
      <c r="C2691">
        <v>453</v>
      </c>
      <c r="D2691">
        <v>562</v>
      </c>
      <c r="E2691">
        <v>0</v>
      </c>
      <c r="F2691">
        <v>174</v>
      </c>
      <c r="G2691">
        <v>0</v>
      </c>
      <c r="H2691" t="s">
        <v>7617</v>
      </c>
      <c r="I2691">
        <v>3024</v>
      </c>
      <c r="J2691" t="e">
        <f>VLOOKUP(E2691,DSSpieler!A:B,2,FALSE)</f>
        <v>#N/A</v>
      </c>
    </row>
    <row r="2692" spans="1:10" x14ac:dyDescent="0.25">
      <c r="A2692">
        <v>3025</v>
      </c>
      <c r="B2692" t="s">
        <v>531</v>
      </c>
      <c r="C2692">
        <v>528</v>
      </c>
      <c r="D2692">
        <v>461</v>
      </c>
      <c r="E2692">
        <v>0</v>
      </c>
      <c r="F2692">
        <v>519</v>
      </c>
      <c r="G2692">
        <v>0</v>
      </c>
      <c r="H2692" t="s">
        <v>7618</v>
      </c>
      <c r="I2692">
        <v>3025</v>
      </c>
      <c r="J2692" t="e">
        <f>VLOOKUP(E2692,DSSpieler!A:B,2,FALSE)</f>
        <v>#N/A</v>
      </c>
    </row>
    <row r="2693" spans="1:10" x14ac:dyDescent="0.25">
      <c r="A2693">
        <v>3026</v>
      </c>
      <c r="B2693" s="111">
        <v>230.01</v>
      </c>
      <c r="C2693">
        <v>505</v>
      </c>
      <c r="D2693">
        <v>425</v>
      </c>
      <c r="E2693">
        <v>1577185564</v>
      </c>
      <c r="F2693">
        <v>8245</v>
      </c>
      <c r="G2693">
        <v>0</v>
      </c>
      <c r="H2693" t="s">
        <v>7619</v>
      </c>
      <c r="I2693">
        <v>3026</v>
      </c>
      <c r="J2693" t="str">
        <f>VLOOKUP(E2693,DSSpieler!A:B,2,FALSE)</f>
        <v>Chrismk7</v>
      </c>
    </row>
    <row r="2694" spans="1:10" x14ac:dyDescent="0.25">
      <c r="A2694">
        <v>3027</v>
      </c>
      <c r="B2694" t="s">
        <v>31696</v>
      </c>
      <c r="C2694">
        <v>404</v>
      </c>
      <c r="D2694">
        <v>503</v>
      </c>
      <c r="E2694">
        <v>1577164313</v>
      </c>
      <c r="F2694">
        <v>5406</v>
      </c>
      <c r="G2694">
        <v>0</v>
      </c>
      <c r="H2694" t="s">
        <v>7620</v>
      </c>
      <c r="I2694">
        <v>3027</v>
      </c>
      <c r="J2694" t="str">
        <f>VLOOKUP(E2694,DSSpieler!A:B,2,FALSE)</f>
        <v>plp51</v>
      </c>
    </row>
    <row r="2695" spans="1:10" x14ac:dyDescent="0.25">
      <c r="A2695">
        <v>3029</v>
      </c>
      <c r="B2695" t="s">
        <v>556</v>
      </c>
      <c r="C2695">
        <v>514</v>
      </c>
      <c r="D2695">
        <v>476</v>
      </c>
      <c r="E2695">
        <v>1577184672</v>
      </c>
      <c r="F2695">
        <v>7375</v>
      </c>
      <c r="G2695">
        <v>0</v>
      </c>
      <c r="H2695" t="s">
        <v>7621</v>
      </c>
      <c r="I2695">
        <v>3029</v>
      </c>
      <c r="J2695" t="str">
        <f>VLOOKUP(E2695,DSSpieler!A:B,2,FALSE)</f>
        <v>maxidiekleine</v>
      </c>
    </row>
    <row r="2696" spans="1:10" x14ac:dyDescent="0.25">
      <c r="A2696">
        <v>3030</v>
      </c>
      <c r="B2696" t="s">
        <v>531</v>
      </c>
      <c r="C2696">
        <v>463</v>
      </c>
      <c r="D2696">
        <v>548</v>
      </c>
      <c r="E2696">
        <v>1576970716</v>
      </c>
      <c r="F2696">
        <v>1271</v>
      </c>
      <c r="G2696">
        <v>0</v>
      </c>
      <c r="H2696" t="s">
        <v>7622</v>
      </c>
      <c r="I2696">
        <v>3030</v>
      </c>
      <c r="J2696" t="str">
        <f>VLOOKUP(E2696,DSSpieler!A:B,2,FALSE)</f>
        <v>Hawk*</v>
      </c>
    </row>
    <row r="2697" spans="1:10" x14ac:dyDescent="0.25">
      <c r="A2697">
        <v>3032</v>
      </c>
      <c r="B2697" t="s">
        <v>1067</v>
      </c>
      <c r="C2697">
        <v>423</v>
      </c>
      <c r="D2697">
        <v>514</v>
      </c>
      <c r="E2697">
        <v>1576829510</v>
      </c>
      <c r="F2697">
        <v>5426</v>
      </c>
      <c r="G2697">
        <v>0</v>
      </c>
      <c r="H2697" t="s">
        <v>7623</v>
      </c>
      <c r="I2697">
        <v>3032</v>
      </c>
      <c r="J2697" t="str">
        <f>VLOOKUP(E2697,DSSpieler!A:B,2,FALSE)</f>
        <v>IgnisHelios</v>
      </c>
    </row>
    <row r="2698" spans="1:10" x14ac:dyDescent="0.25">
      <c r="A2698">
        <v>3033</v>
      </c>
      <c r="B2698" t="s">
        <v>1068</v>
      </c>
      <c r="C2698">
        <v>540</v>
      </c>
      <c r="D2698">
        <v>397</v>
      </c>
      <c r="E2698">
        <v>9259027</v>
      </c>
      <c r="F2698">
        <v>4275</v>
      </c>
      <c r="G2698">
        <v>0</v>
      </c>
      <c r="H2698" t="s">
        <v>7624</v>
      </c>
      <c r="I2698">
        <v>3033</v>
      </c>
      <c r="J2698" t="str">
        <f>VLOOKUP(E2698,DSSpieler!A:B,2,FALSE)</f>
        <v>Stahl669</v>
      </c>
    </row>
    <row r="2699" spans="1:10" x14ac:dyDescent="0.25">
      <c r="A2699">
        <v>3034</v>
      </c>
      <c r="B2699" t="s">
        <v>531</v>
      </c>
      <c r="C2699">
        <v>449</v>
      </c>
      <c r="D2699">
        <v>465</v>
      </c>
      <c r="E2699">
        <v>0</v>
      </c>
      <c r="F2699">
        <v>367</v>
      </c>
      <c r="G2699">
        <v>0</v>
      </c>
      <c r="H2699" t="s">
        <v>7625</v>
      </c>
      <c r="I2699">
        <v>3034</v>
      </c>
      <c r="J2699" t="e">
        <f>VLOOKUP(E2699,DSSpieler!A:B,2,FALSE)</f>
        <v>#N/A</v>
      </c>
    </row>
    <row r="2700" spans="1:10" x14ac:dyDescent="0.25">
      <c r="A2700">
        <v>3037</v>
      </c>
      <c r="B2700" t="s">
        <v>531</v>
      </c>
      <c r="C2700">
        <v>424</v>
      </c>
      <c r="D2700">
        <v>431</v>
      </c>
      <c r="E2700">
        <v>0</v>
      </c>
      <c r="F2700">
        <v>340</v>
      </c>
      <c r="G2700">
        <v>0</v>
      </c>
      <c r="H2700" t="s">
        <v>7626</v>
      </c>
      <c r="I2700">
        <v>3037</v>
      </c>
      <c r="J2700" t="e">
        <f>VLOOKUP(E2700,DSSpieler!A:B,2,FALSE)</f>
        <v>#N/A</v>
      </c>
    </row>
    <row r="2701" spans="1:10" x14ac:dyDescent="0.25">
      <c r="A2701">
        <v>3038</v>
      </c>
      <c r="B2701" t="s">
        <v>531</v>
      </c>
      <c r="C2701">
        <v>477</v>
      </c>
      <c r="D2701">
        <v>431</v>
      </c>
      <c r="E2701">
        <v>0</v>
      </c>
      <c r="F2701">
        <v>449</v>
      </c>
      <c r="G2701">
        <v>0</v>
      </c>
      <c r="H2701" t="s">
        <v>7627</v>
      </c>
      <c r="I2701">
        <v>3038</v>
      </c>
      <c r="J2701" t="e">
        <f>VLOOKUP(E2701,DSSpieler!A:B,2,FALSE)</f>
        <v>#N/A</v>
      </c>
    </row>
    <row r="2702" spans="1:10" x14ac:dyDescent="0.25">
      <c r="A2702">
        <v>3039</v>
      </c>
      <c r="B2702" t="s">
        <v>31697</v>
      </c>
      <c r="C2702">
        <v>518</v>
      </c>
      <c r="D2702">
        <v>502</v>
      </c>
      <c r="E2702">
        <v>8370596</v>
      </c>
      <c r="F2702">
        <v>7587</v>
      </c>
      <c r="G2702">
        <v>0</v>
      </c>
      <c r="H2702" t="s">
        <v>7628</v>
      </c>
      <c r="I2702">
        <v>3039</v>
      </c>
      <c r="J2702" t="str">
        <f>VLOOKUP(E2702,DSSpieler!A:B,2,FALSE)</f>
        <v>aL3xEy</v>
      </c>
    </row>
    <row r="2703" spans="1:10" x14ac:dyDescent="0.25">
      <c r="A2703">
        <v>3040</v>
      </c>
      <c r="B2703" t="s">
        <v>31687</v>
      </c>
      <c r="C2703">
        <v>481</v>
      </c>
      <c r="D2703">
        <v>582</v>
      </c>
      <c r="E2703">
        <v>1576996406</v>
      </c>
      <c r="F2703">
        <v>4918</v>
      </c>
      <c r="G2703">
        <v>0</v>
      </c>
      <c r="H2703" t="s">
        <v>7629</v>
      </c>
      <c r="I2703">
        <v>3040</v>
      </c>
      <c r="J2703" t="str">
        <f>VLOOKUP(E2703,DSSpieler!A:B,2,FALSE)</f>
        <v>clownsq</v>
      </c>
    </row>
    <row r="2704" spans="1:10" x14ac:dyDescent="0.25">
      <c r="A2704">
        <v>3041</v>
      </c>
      <c r="B2704" t="e">
        <f>-Igors+Dorf</f>
        <v>#NAME?</v>
      </c>
      <c r="C2704">
        <v>503</v>
      </c>
      <c r="D2704">
        <v>581</v>
      </c>
      <c r="E2704">
        <v>1577197733</v>
      </c>
      <c r="F2704">
        <v>4515</v>
      </c>
      <c r="G2704">
        <v>0</v>
      </c>
      <c r="H2704" t="s">
        <v>7630</v>
      </c>
      <c r="I2704">
        <v>3041</v>
      </c>
      <c r="J2704" t="str">
        <f>VLOOKUP(E2704,DSSpieler!A:B,2,FALSE)</f>
        <v>Sheriff Söder</v>
      </c>
    </row>
    <row r="2705" spans="1:10" x14ac:dyDescent="0.25">
      <c r="A2705">
        <v>3043</v>
      </c>
      <c r="B2705" t="s">
        <v>1069</v>
      </c>
      <c r="C2705">
        <v>422</v>
      </c>
      <c r="D2705">
        <v>501</v>
      </c>
      <c r="E2705">
        <v>1577187807</v>
      </c>
      <c r="F2705">
        <v>6302</v>
      </c>
      <c r="G2705">
        <v>0</v>
      </c>
      <c r="H2705" t="s">
        <v>7631</v>
      </c>
      <c r="I2705">
        <v>3043</v>
      </c>
      <c r="J2705" t="str">
        <f>VLOOKUP(E2705,DSSpieler!A:B,2,FALSE)</f>
        <v>joker52</v>
      </c>
    </row>
    <row r="2706" spans="1:10" x14ac:dyDescent="0.25">
      <c r="A2706">
        <v>3044</v>
      </c>
      <c r="B2706" t="s">
        <v>31687</v>
      </c>
      <c r="C2706">
        <v>480</v>
      </c>
      <c r="D2706">
        <v>582</v>
      </c>
      <c r="E2706">
        <v>1576996406</v>
      </c>
      <c r="F2706">
        <v>7200</v>
      </c>
      <c r="G2706">
        <v>0</v>
      </c>
      <c r="H2706" t="s">
        <v>7632</v>
      </c>
      <c r="I2706">
        <v>3044</v>
      </c>
      <c r="J2706" t="str">
        <f>VLOOKUP(E2706,DSSpieler!A:B,2,FALSE)</f>
        <v>clownsq</v>
      </c>
    </row>
    <row r="2707" spans="1:10" x14ac:dyDescent="0.25">
      <c r="A2707">
        <v>3045</v>
      </c>
      <c r="B2707" t="s">
        <v>31698</v>
      </c>
      <c r="C2707">
        <v>460</v>
      </c>
      <c r="D2707">
        <v>482</v>
      </c>
      <c r="E2707">
        <v>1577179490</v>
      </c>
      <c r="F2707">
        <v>5013</v>
      </c>
      <c r="G2707">
        <v>0</v>
      </c>
      <c r="H2707" t="s">
        <v>7633</v>
      </c>
      <c r="I2707">
        <v>3045</v>
      </c>
      <c r="J2707" t="str">
        <f>VLOOKUP(E2707,DSSpieler!A:B,2,FALSE)</f>
        <v>Suedhauser</v>
      </c>
    </row>
    <row r="2708" spans="1:10" x14ac:dyDescent="0.25">
      <c r="A2708">
        <v>3047</v>
      </c>
      <c r="B2708" t="s">
        <v>31699</v>
      </c>
      <c r="C2708">
        <v>495</v>
      </c>
      <c r="D2708">
        <v>440</v>
      </c>
      <c r="E2708">
        <v>1577195997</v>
      </c>
      <c r="F2708">
        <v>6380</v>
      </c>
      <c r="G2708">
        <v>0</v>
      </c>
      <c r="H2708" t="s">
        <v>7634</v>
      </c>
      <c r="I2708">
        <v>3047</v>
      </c>
      <c r="J2708" t="str">
        <f>VLOOKUP(E2708,DSSpieler!A:B,2,FALSE)</f>
        <v>Schneeleopard</v>
      </c>
    </row>
    <row r="2709" spans="1:10" x14ac:dyDescent="0.25">
      <c r="A2709">
        <v>3049</v>
      </c>
      <c r="B2709" t="s">
        <v>31700</v>
      </c>
      <c r="C2709">
        <v>456</v>
      </c>
      <c r="D2709">
        <v>601</v>
      </c>
      <c r="E2709">
        <v>9569148</v>
      </c>
      <c r="F2709">
        <v>4237</v>
      </c>
      <c r="G2709">
        <v>0</v>
      </c>
      <c r="H2709" t="s">
        <v>7635</v>
      </c>
      <c r="I2709">
        <v>3049</v>
      </c>
      <c r="J2709" t="str">
        <f>VLOOKUP(E2709,DSSpieler!A:B,2,FALSE)</f>
        <v>079*</v>
      </c>
    </row>
    <row r="2710" spans="1:10" x14ac:dyDescent="0.25">
      <c r="A2710">
        <v>3050</v>
      </c>
      <c r="B2710" t="s">
        <v>531</v>
      </c>
      <c r="C2710">
        <v>535</v>
      </c>
      <c r="D2710">
        <v>553</v>
      </c>
      <c r="E2710">
        <v>0</v>
      </c>
      <c r="F2710">
        <v>328</v>
      </c>
      <c r="G2710">
        <v>0</v>
      </c>
      <c r="H2710" t="s">
        <v>7636</v>
      </c>
      <c r="I2710">
        <v>3050</v>
      </c>
      <c r="J2710" t="e">
        <f>VLOOKUP(E2710,DSSpieler!A:B,2,FALSE)</f>
        <v>#N/A</v>
      </c>
    </row>
    <row r="2711" spans="1:10" x14ac:dyDescent="0.25">
      <c r="A2711">
        <v>3052</v>
      </c>
      <c r="B2711">
        <v>1</v>
      </c>
      <c r="C2711">
        <v>423</v>
      </c>
      <c r="D2711">
        <v>515</v>
      </c>
      <c r="E2711">
        <v>1577018427</v>
      </c>
      <c r="F2711">
        <v>6795</v>
      </c>
      <c r="G2711">
        <v>0</v>
      </c>
      <c r="H2711" t="s">
        <v>7637</v>
      </c>
      <c r="I2711">
        <v>3052</v>
      </c>
      <c r="J2711" t="str">
        <f>VLOOKUP(E2711,DSSpieler!A:B,2,FALSE)</f>
        <v>Zottel96</v>
      </c>
    </row>
    <row r="2712" spans="1:10" x14ac:dyDescent="0.25">
      <c r="A2712">
        <v>3053</v>
      </c>
      <c r="B2712" t="s">
        <v>673</v>
      </c>
      <c r="C2712">
        <v>550</v>
      </c>
      <c r="D2712">
        <v>511</v>
      </c>
      <c r="E2712">
        <v>1576896284</v>
      </c>
      <c r="F2712">
        <v>7046</v>
      </c>
      <c r="G2712">
        <v>0</v>
      </c>
      <c r="H2712" t="s">
        <v>7638</v>
      </c>
      <c r="I2712">
        <v>3053</v>
      </c>
      <c r="J2712" t="str">
        <f>VLOOKUP(E2712,DSSpieler!A:B,2,FALSE)</f>
        <v>XHighOwnX</v>
      </c>
    </row>
    <row r="2713" spans="1:10" x14ac:dyDescent="0.25">
      <c r="A2713">
        <v>3054</v>
      </c>
      <c r="B2713">
        <v>2</v>
      </c>
      <c r="C2713">
        <v>525</v>
      </c>
      <c r="D2713">
        <v>438</v>
      </c>
      <c r="E2713">
        <v>1577197399</v>
      </c>
      <c r="F2713">
        <v>4389</v>
      </c>
      <c r="G2713">
        <v>0</v>
      </c>
      <c r="H2713" t="s">
        <v>7639</v>
      </c>
      <c r="I2713">
        <v>3054</v>
      </c>
      <c r="J2713" t="str">
        <f>VLOOKUP(E2713,DSSpieler!A:B,2,FALSE)</f>
        <v>Daen1893</v>
      </c>
    </row>
    <row r="2714" spans="1:10" x14ac:dyDescent="0.25">
      <c r="A2714">
        <v>3055</v>
      </c>
      <c r="B2714" t="s">
        <v>1070</v>
      </c>
      <c r="C2714">
        <v>442</v>
      </c>
      <c r="D2714">
        <v>551</v>
      </c>
      <c r="E2714">
        <v>1577174428</v>
      </c>
      <c r="F2714">
        <v>434</v>
      </c>
      <c r="G2714">
        <v>0</v>
      </c>
      <c r="H2714" t="s">
        <v>7640</v>
      </c>
      <c r="I2714">
        <v>3055</v>
      </c>
      <c r="J2714" t="str">
        <f>VLOOKUP(E2714,DSSpieler!A:B,2,FALSE)</f>
        <v>felu</v>
      </c>
    </row>
    <row r="2715" spans="1:10" x14ac:dyDescent="0.25">
      <c r="A2715">
        <v>3056</v>
      </c>
      <c r="B2715" t="s">
        <v>31701</v>
      </c>
      <c r="C2715">
        <v>535</v>
      </c>
      <c r="D2715">
        <v>408</v>
      </c>
      <c r="E2715">
        <v>10289373</v>
      </c>
      <c r="F2715">
        <v>4643</v>
      </c>
      <c r="G2715">
        <v>0</v>
      </c>
      <c r="H2715" t="s">
        <v>7641</v>
      </c>
      <c r="I2715">
        <v>3056</v>
      </c>
      <c r="J2715" t="str">
        <f>VLOOKUP(E2715,DSSpieler!A:B,2,FALSE)</f>
        <v>Rocki Fight?</v>
      </c>
    </row>
    <row r="2716" spans="1:10" x14ac:dyDescent="0.25">
      <c r="A2716">
        <v>3057</v>
      </c>
      <c r="B2716" t="s">
        <v>31702</v>
      </c>
      <c r="C2716">
        <v>450</v>
      </c>
      <c r="D2716">
        <v>517</v>
      </c>
      <c r="E2716">
        <v>1576870227</v>
      </c>
      <c r="F2716">
        <v>5901</v>
      </c>
      <c r="G2716">
        <v>0</v>
      </c>
      <c r="H2716" t="s">
        <v>7642</v>
      </c>
      <c r="I2716">
        <v>3057</v>
      </c>
      <c r="J2716" t="str">
        <f>VLOOKUP(E2716,DSSpieler!A:B,2,FALSE)</f>
        <v>GREEN.POWER</v>
      </c>
    </row>
    <row r="2717" spans="1:10" x14ac:dyDescent="0.25">
      <c r="A2717">
        <v>3059</v>
      </c>
      <c r="B2717" t="s">
        <v>31703</v>
      </c>
      <c r="C2717">
        <v>476</v>
      </c>
      <c r="D2717">
        <v>573</v>
      </c>
      <c r="E2717">
        <v>1577155357</v>
      </c>
      <c r="F2717">
        <v>7685</v>
      </c>
      <c r="G2717">
        <v>0</v>
      </c>
      <c r="H2717" t="s">
        <v>7643</v>
      </c>
      <c r="I2717">
        <v>3059</v>
      </c>
      <c r="J2717" t="str">
        <f>VLOOKUP(E2717,DSSpieler!A:B,2,FALSE)</f>
        <v>KingHaajoo</v>
      </c>
    </row>
    <row r="2718" spans="1:10" x14ac:dyDescent="0.25">
      <c r="A2718">
        <v>3060</v>
      </c>
      <c r="B2718">
        <v>1</v>
      </c>
      <c r="C2718">
        <v>448</v>
      </c>
      <c r="D2718">
        <v>545</v>
      </c>
      <c r="E2718">
        <v>9783617</v>
      </c>
      <c r="F2718">
        <v>5833</v>
      </c>
      <c r="G2718">
        <v>0</v>
      </c>
      <c r="H2718" t="s">
        <v>7644</v>
      </c>
      <c r="I2718">
        <v>3060</v>
      </c>
      <c r="J2718" t="str">
        <f>VLOOKUP(E2718,DSSpieler!A:B,2,FALSE)</f>
        <v>Doubl3E</v>
      </c>
    </row>
    <row r="2719" spans="1:10" x14ac:dyDescent="0.25">
      <c r="A2719">
        <v>3061</v>
      </c>
      <c r="B2719" t="s">
        <v>31704</v>
      </c>
      <c r="C2719">
        <v>468</v>
      </c>
      <c r="D2719">
        <v>399</v>
      </c>
      <c r="E2719">
        <v>8516867</v>
      </c>
      <c r="F2719">
        <v>2246</v>
      </c>
      <c r="G2719">
        <v>0</v>
      </c>
      <c r="H2719" t="s">
        <v>7645</v>
      </c>
      <c r="I2719">
        <v>3061</v>
      </c>
      <c r="J2719" t="str">
        <f>VLOOKUP(E2719,DSSpieler!A:B,2,FALSE)</f>
        <v>linie23</v>
      </c>
    </row>
    <row r="2720" spans="1:10" x14ac:dyDescent="0.25">
      <c r="A2720">
        <v>3063</v>
      </c>
      <c r="B2720" t="s">
        <v>531</v>
      </c>
      <c r="C2720">
        <v>543</v>
      </c>
      <c r="D2720">
        <v>525</v>
      </c>
      <c r="E2720">
        <v>0</v>
      </c>
      <c r="F2720">
        <v>573</v>
      </c>
      <c r="G2720">
        <v>0</v>
      </c>
      <c r="H2720" t="s">
        <v>7646</v>
      </c>
      <c r="I2720">
        <v>3063</v>
      </c>
      <c r="J2720" t="e">
        <f>VLOOKUP(E2720,DSSpieler!A:B,2,FALSE)</f>
        <v>#N/A</v>
      </c>
    </row>
    <row r="2721" spans="1:10" x14ac:dyDescent="0.25">
      <c r="A2721">
        <v>3064</v>
      </c>
      <c r="B2721">
        <v>2</v>
      </c>
      <c r="C2721">
        <v>548</v>
      </c>
      <c r="D2721">
        <v>440</v>
      </c>
      <c r="E2721">
        <v>1577197182</v>
      </c>
      <c r="F2721">
        <v>5023</v>
      </c>
      <c r="G2721">
        <v>0</v>
      </c>
      <c r="H2721" t="s">
        <v>7647</v>
      </c>
      <c r="I2721">
        <v>3064</v>
      </c>
      <c r="J2721" t="str">
        <f>VLOOKUP(E2721,DSSpieler!A:B,2,FALSE)</f>
        <v>Omit0</v>
      </c>
    </row>
    <row r="2722" spans="1:10" x14ac:dyDescent="0.25">
      <c r="A2722">
        <v>3065</v>
      </c>
      <c r="B2722" t="s">
        <v>31705</v>
      </c>
      <c r="C2722">
        <v>471</v>
      </c>
      <c r="D2722">
        <v>493</v>
      </c>
      <c r="E2722">
        <v>845508</v>
      </c>
      <c r="F2722">
        <v>711</v>
      </c>
      <c r="G2722">
        <v>0</v>
      </c>
      <c r="H2722" t="s">
        <v>7648</v>
      </c>
      <c r="I2722">
        <v>3065</v>
      </c>
      <c r="J2722" t="str">
        <f>VLOOKUP(E2722,DSSpieler!A:B,2,FALSE)</f>
        <v>Lovag</v>
      </c>
    </row>
    <row r="2723" spans="1:10" x14ac:dyDescent="0.25">
      <c r="A2723">
        <v>3066</v>
      </c>
      <c r="B2723" t="s">
        <v>531</v>
      </c>
      <c r="C2723">
        <v>490</v>
      </c>
      <c r="D2723">
        <v>501</v>
      </c>
      <c r="E2723">
        <v>0</v>
      </c>
      <c r="F2723">
        <v>197</v>
      </c>
      <c r="G2723">
        <v>0</v>
      </c>
      <c r="H2723" t="s">
        <v>7649</v>
      </c>
      <c r="I2723">
        <v>3066</v>
      </c>
      <c r="J2723" t="e">
        <f>VLOOKUP(E2723,DSSpieler!A:B,2,FALSE)</f>
        <v>#N/A</v>
      </c>
    </row>
    <row r="2724" spans="1:10" x14ac:dyDescent="0.25">
      <c r="A2724">
        <v>3067</v>
      </c>
      <c r="B2724" t="s">
        <v>31706</v>
      </c>
      <c r="C2724">
        <v>427</v>
      </c>
      <c r="D2724">
        <v>476</v>
      </c>
      <c r="E2724">
        <v>1577197633</v>
      </c>
      <c r="F2724">
        <v>9777</v>
      </c>
      <c r="G2724">
        <v>0</v>
      </c>
      <c r="H2724" t="s">
        <v>7650</v>
      </c>
      <c r="I2724">
        <v>3067</v>
      </c>
      <c r="J2724" t="str">
        <f>VLOOKUP(E2724,DSSpieler!A:B,2,FALSE)</f>
        <v>Bogenschütze</v>
      </c>
    </row>
    <row r="2725" spans="1:10" x14ac:dyDescent="0.25">
      <c r="A2725">
        <v>3068</v>
      </c>
      <c r="B2725" t="s">
        <v>31707</v>
      </c>
      <c r="C2725">
        <v>559</v>
      </c>
      <c r="D2725">
        <v>535</v>
      </c>
      <c r="E2725">
        <v>8337313</v>
      </c>
      <c r="F2725">
        <v>5028</v>
      </c>
      <c r="G2725">
        <v>0</v>
      </c>
      <c r="H2725" t="s">
        <v>7651</v>
      </c>
      <c r="I2725">
        <v>3068</v>
      </c>
      <c r="J2725" t="str">
        <f>VLOOKUP(E2725,DSSpieler!A:B,2,FALSE)</f>
        <v>JonesnBones</v>
      </c>
    </row>
    <row r="2726" spans="1:10" x14ac:dyDescent="0.25">
      <c r="A2726">
        <v>3069</v>
      </c>
      <c r="B2726" t="s">
        <v>30558</v>
      </c>
      <c r="C2726">
        <v>466</v>
      </c>
      <c r="D2726">
        <v>537</v>
      </c>
      <c r="E2726">
        <v>8198979</v>
      </c>
      <c r="F2726">
        <v>5039</v>
      </c>
      <c r="G2726">
        <v>0</v>
      </c>
      <c r="H2726" t="s">
        <v>7652</v>
      </c>
      <c r="I2726">
        <v>3069</v>
      </c>
      <c r="J2726" t="str">
        <f>VLOOKUP(E2726,DSSpieler!A:B,2,FALSE)</f>
        <v>Feel my Hardstyle Spirit</v>
      </c>
    </row>
    <row r="2727" spans="1:10" x14ac:dyDescent="0.25">
      <c r="A2727">
        <v>3070</v>
      </c>
      <c r="B2727" t="s">
        <v>31708</v>
      </c>
      <c r="C2727">
        <v>469</v>
      </c>
      <c r="D2727">
        <v>557</v>
      </c>
      <c r="E2727">
        <v>2639534</v>
      </c>
      <c r="F2727">
        <v>5720</v>
      </c>
      <c r="G2727">
        <v>0</v>
      </c>
      <c r="H2727" t="s">
        <v>7653</v>
      </c>
      <c r="I2727">
        <v>3070</v>
      </c>
      <c r="J2727" t="str">
        <f>VLOOKUP(E2727,DSSpieler!A:B,2,FALSE)</f>
        <v>Wastl 44</v>
      </c>
    </row>
    <row r="2728" spans="1:10" x14ac:dyDescent="0.25">
      <c r="A2728">
        <v>3072</v>
      </c>
      <c r="B2728" t="s">
        <v>531</v>
      </c>
      <c r="C2728">
        <v>459</v>
      </c>
      <c r="D2728">
        <v>545</v>
      </c>
      <c r="E2728">
        <v>0</v>
      </c>
      <c r="F2728">
        <v>322</v>
      </c>
      <c r="G2728">
        <v>0</v>
      </c>
      <c r="H2728" t="s">
        <v>7654</v>
      </c>
      <c r="I2728">
        <v>3072</v>
      </c>
      <c r="J2728" t="e">
        <f>VLOOKUP(E2728,DSSpieler!A:B,2,FALSE)</f>
        <v>#N/A</v>
      </c>
    </row>
    <row r="2729" spans="1:10" x14ac:dyDescent="0.25">
      <c r="A2729">
        <v>3073</v>
      </c>
      <c r="B2729" t="s">
        <v>150</v>
      </c>
      <c r="C2729">
        <v>432</v>
      </c>
      <c r="D2729">
        <v>482</v>
      </c>
      <c r="E2729">
        <v>1577196682</v>
      </c>
      <c r="F2729">
        <v>6576</v>
      </c>
      <c r="G2729">
        <v>0</v>
      </c>
      <c r="H2729" t="s">
        <v>7655</v>
      </c>
      <c r="I2729">
        <v>3073</v>
      </c>
      <c r="J2729" t="str">
        <f>VLOOKUP(E2729,DSSpieler!A:B,2,FALSE)</f>
        <v>schonbesser</v>
      </c>
    </row>
    <row r="2730" spans="1:10" x14ac:dyDescent="0.25">
      <c r="A2730">
        <v>3074</v>
      </c>
      <c r="B2730" t="s">
        <v>31709</v>
      </c>
      <c r="C2730">
        <v>541</v>
      </c>
      <c r="D2730">
        <v>599</v>
      </c>
      <c r="E2730">
        <v>1577028197</v>
      </c>
      <c r="F2730">
        <v>3972</v>
      </c>
      <c r="G2730">
        <v>0</v>
      </c>
      <c r="H2730" t="s">
        <v>7656</v>
      </c>
      <c r="I2730">
        <v>3074</v>
      </c>
      <c r="J2730" t="str">
        <f>VLOOKUP(E2730,DSSpieler!A:B,2,FALSE)</f>
        <v>DontDrinkAndDs</v>
      </c>
    </row>
    <row r="2731" spans="1:10" x14ac:dyDescent="0.25">
      <c r="A2731">
        <v>3075</v>
      </c>
      <c r="B2731" t="s">
        <v>531</v>
      </c>
      <c r="C2731">
        <v>454</v>
      </c>
      <c r="D2731">
        <v>440</v>
      </c>
      <c r="E2731">
        <v>0</v>
      </c>
      <c r="F2731">
        <v>102</v>
      </c>
      <c r="G2731">
        <v>0</v>
      </c>
      <c r="H2731" t="s">
        <v>7657</v>
      </c>
      <c r="I2731">
        <v>3075</v>
      </c>
      <c r="J2731" t="e">
        <f>VLOOKUP(E2731,DSSpieler!A:B,2,FALSE)</f>
        <v>#N/A</v>
      </c>
    </row>
    <row r="2732" spans="1:10" x14ac:dyDescent="0.25">
      <c r="A2732">
        <v>3076</v>
      </c>
      <c r="B2732" t="s">
        <v>1071</v>
      </c>
      <c r="C2732">
        <v>581</v>
      </c>
      <c r="D2732">
        <v>533</v>
      </c>
      <c r="E2732">
        <v>1577197237</v>
      </c>
      <c r="F2732">
        <v>5349</v>
      </c>
      <c r="G2732">
        <v>0</v>
      </c>
      <c r="H2732" t="s">
        <v>7658</v>
      </c>
      <c r="I2732">
        <v>3076</v>
      </c>
      <c r="J2732" t="str">
        <f>VLOOKUP(E2732,DSSpieler!A:B,2,FALSE)</f>
        <v>serear</v>
      </c>
    </row>
    <row r="2733" spans="1:10" x14ac:dyDescent="0.25">
      <c r="A2733">
        <v>3077</v>
      </c>
      <c r="B2733" t="s">
        <v>31710</v>
      </c>
      <c r="C2733">
        <v>493</v>
      </c>
      <c r="D2733">
        <v>442</v>
      </c>
      <c r="E2733">
        <v>8499266</v>
      </c>
      <c r="F2733">
        <v>5334</v>
      </c>
      <c r="G2733">
        <v>0</v>
      </c>
      <c r="H2733" t="s">
        <v>7659</v>
      </c>
      <c r="I2733">
        <v>3077</v>
      </c>
      <c r="J2733" t="str">
        <f>VLOOKUP(E2733,DSSpieler!A:B,2,FALSE)</f>
        <v>Lordmatze33</v>
      </c>
    </row>
    <row r="2734" spans="1:10" x14ac:dyDescent="0.25">
      <c r="A2734">
        <v>3078</v>
      </c>
      <c r="B2734" t="s">
        <v>31387</v>
      </c>
      <c r="C2734">
        <v>583</v>
      </c>
      <c r="D2734">
        <v>561</v>
      </c>
      <c r="E2734">
        <v>10154907</v>
      </c>
      <c r="F2734">
        <v>5703</v>
      </c>
      <c r="G2734">
        <v>0</v>
      </c>
      <c r="H2734" t="s">
        <v>7660</v>
      </c>
      <c r="I2734">
        <v>3078</v>
      </c>
      <c r="J2734" t="str">
        <f>VLOOKUP(E2734,DSSpieler!A:B,2,FALSE)</f>
        <v>tronten</v>
      </c>
    </row>
    <row r="2735" spans="1:10" x14ac:dyDescent="0.25">
      <c r="A2735">
        <v>3079</v>
      </c>
      <c r="B2735" t="s">
        <v>31711</v>
      </c>
      <c r="C2735">
        <v>571</v>
      </c>
      <c r="D2735">
        <v>573</v>
      </c>
      <c r="E2735">
        <v>8639312</v>
      </c>
      <c r="F2735">
        <v>4270</v>
      </c>
      <c r="G2735">
        <v>0</v>
      </c>
      <c r="H2735" t="s">
        <v>7661</v>
      </c>
      <c r="I2735">
        <v>3079</v>
      </c>
      <c r="J2735" t="str">
        <f>VLOOKUP(E2735,DSSpieler!A:B,2,FALSE)</f>
        <v>J--O</v>
      </c>
    </row>
    <row r="2736" spans="1:10" x14ac:dyDescent="0.25">
      <c r="A2736">
        <v>3080</v>
      </c>
      <c r="B2736" t="s">
        <v>31712</v>
      </c>
      <c r="C2736">
        <v>441</v>
      </c>
      <c r="D2736">
        <v>444</v>
      </c>
      <c r="E2736">
        <v>7837965</v>
      </c>
      <c r="F2736">
        <v>564</v>
      </c>
      <c r="G2736">
        <v>0</v>
      </c>
      <c r="H2736" t="s">
        <v>7662</v>
      </c>
      <c r="I2736">
        <v>3080</v>
      </c>
      <c r="J2736" t="str">
        <f>VLOOKUP(E2736,DSSpieler!A:B,2,FALSE)</f>
        <v>Das Katzenvieh</v>
      </c>
    </row>
    <row r="2737" spans="1:10" x14ac:dyDescent="0.25">
      <c r="A2737">
        <v>3082</v>
      </c>
      <c r="B2737" t="s">
        <v>1072</v>
      </c>
      <c r="C2737">
        <v>594</v>
      </c>
      <c r="D2737">
        <v>535</v>
      </c>
      <c r="E2737">
        <v>1577186146</v>
      </c>
      <c r="F2737">
        <v>2939</v>
      </c>
      <c r="G2737">
        <v>0</v>
      </c>
      <c r="H2737" t="s">
        <v>7663</v>
      </c>
      <c r="I2737">
        <v>3082</v>
      </c>
      <c r="J2737" t="str">
        <f>VLOOKUP(E2737,DSSpieler!A:B,2,FALSE)</f>
        <v>Schwaben</v>
      </c>
    </row>
    <row r="2738" spans="1:10" x14ac:dyDescent="0.25">
      <c r="A2738">
        <v>3083</v>
      </c>
      <c r="B2738" t="s">
        <v>531</v>
      </c>
      <c r="C2738">
        <v>486</v>
      </c>
      <c r="D2738">
        <v>530</v>
      </c>
      <c r="E2738">
        <v>0</v>
      </c>
      <c r="F2738">
        <v>213</v>
      </c>
      <c r="G2738">
        <v>0</v>
      </c>
      <c r="H2738" t="s">
        <v>7664</v>
      </c>
      <c r="I2738">
        <v>3083</v>
      </c>
      <c r="J2738" t="e">
        <f>VLOOKUP(E2738,DSSpieler!A:B,2,FALSE)</f>
        <v>#N/A</v>
      </c>
    </row>
    <row r="2739" spans="1:10" x14ac:dyDescent="0.25">
      <c r="A2739">
        <v>3084</v>
      </c>
      <c r="B2739" t="s">
        <v>31713</v>
      </c>
      <c r="C2739">
        <v>454</v>
      </c>
      <c r="D2739">
        <v>427</v>
      </c>
      <c r="E2739">
        <v>1577182078</v>
      </c>
      <c r="F2739">
        <v>4925</v>
      </c>
      <c r="G2739">
        <v>0</v>
      </c>
      <c r="H2739" t="s">
        <v>7665</v>
      </c>
      <c r="I2739">
        <v>3084</v>
      </c>
      <c r="J2739" t="str">
        <f>VLOOKUP(E2739,DSSpieler!A:B,2,FALSE)</f>
        <v>Hugo66</v>
      </c>
    </row>
    <row r="2740" spans="1:10" x14ac:dyDescent="0.25">
      <c r="A2740">
        <v>3085</v>
      </c>
      <c r="B2740">
        <v>4</v>
      </c>
      <c r="C2740">
        <v>479</v>
      </c>
      <c r="D2740">
        <v>477</v>
      </c>
      <c r="E2740">
        <v>7824484</v>
      </c>
      <c r="F2740">
        <v>2862</v>
      </c>
      <c r="G2740">
        <v>0</v>
      </c>
      <c r="H2740" t="s">
        <v>7666</v>
      </c>
      <c r="I2740">
        <v>3085</v>
      </c>
      <c r="J2740" t="str">
        <f>VLOOKUP(E2740,DSSpieler!A:B,2,FALSE)</f>
        <v>Oli der kriegsgott</v>
      </c>
    </row>
    <row r="2741" spans="1:10" x14ac:dyDescent="0.25">
      <c r="A2741">
        <v>3086</v>
      </c>
      <c r="B2741" t="s">
        <v>531</v>
      </c>
      <c r="C2741">
        <v>456</v>
      </c>
      <c r="D2741">
        <v>471</v>
      </c>
      <c r="E2741">
        <v>0</v>
      </c>
      <c r="F2741">
        <v>465</v>
      </c>
      <c r="G2741">
        <v>0</v>
      </c>
      <c r="H2741" t="s">
        <v>7667</v>
      </c>
      <c r="I2741">
        <v>3086</v>
      </c>
      <c r="J2741" t="e">
        <f>VLOOKUP(E2741,DSSpieler!A:B,2,FALSE)</f>
        <v>#N/A</v>
      </c>
    </row>
    <row r="2742" spans="1:10" x14ac:dyDescent="0.25">
      <c r="A2742">
        <v>3087</v>
      </c>
      <c r="B2742" t="s">
        <v>1073</v>
      </c>
      <c r="C2742">
        <v>511</v>
      </c>
      <c r="D2742">
        <v>524</v>
      </c>
      <c r="E2742">
        <v>1577184058</v>
      </c>
      <c r="F2742">
        <v>965</v>
      </c>
      <c r="G2742">
        <v>0</v>
      </c>
      <c r="H2742" t="s">
        <v>7668</v>
      </c>
      <c r="I2742">
        <v>3087</v>
      </c>
      <c r="J2742" t="str">
        <f>VLOOKUP(E2742,DSSpieler!A:B,2,FALSE)</f>
        <v>Cpt-Mike</v>
      </c>
    </row>
    <row r="2743" spans="1:10" x14ac:dyDescent="0.25">
      <c r="A2743">
        <v>3088</v>
      </c>
      <c r="B2743" t="s">
        <v>1074</v>
      </c>
      <c r="C2743">
        <v>569</v>
      </c>
      <c r="D2743">
        <v>471</v>
      </c>
      <c r="E2743">
        <v>1576751873</v>
      </c>
      <c r="F2743">
        <v>4823</v>
      </c>
      <c r="G2743">
        <v>0</v>
      </c>
      <c r="H2743" t="s">
        <v>7669</v>
      </c>
      <c r="I2743">
        <v>3088</v>
      </c>
      <c r="J2743" t="str">
        <f>VLOOKUP(E2743,DSSpieler!A:B,2,FALSE)</f>
        <v>King MKay</v>
      </c>
    </row>
    <row r="2744" spans="1:10" x14ac:dyDescent="0.25">
      <c r="A2744">
        <v>3089</v>
      </c>
      <c r="B2744" t="s">
        <v>1075</v>
      </c>
      <c r="C2744">
        <v>438</v>
      </c>
      <c r="D2744">
        <v>409</v>
      </c>
      <c r="E2744">
        <v>1576765182</v>
      </c>
      <c r="F2744">
        <v>6569</v>
      </c>
      <c r="G2744">
        <v>0</v>
      </c>
      <c r="H2744" t="s">
        <v>7670</v>
      </c>
      <c r="I2744">
        <v>3089</v>
      </c>
      <c r="J2744" t="str">
        <f>VLOOKUP(E2744,DSSpieler!A:B,2,FALSE)</f>
        <v>Trassi</v>
      </c>
    </row>
    <row r="2745" spans="1:10" x14ac:dyDescent="0.25">
      <c r="A2745">
        <v>3090</v>
      </c>
      <c r="B2745" t="s">
        <v>1076</v>
      </c>
      <c r="C2745">
        <v>449</v>
      </c>
      <c r="D2745">
        <v>503</v>
      </c>
      <c r="E2745">
        <v>1576949780</v>
      </c>
      <c r="F2745">
        <v>4780</v>
      </c>
      <c r="G2745">
        <v>0</v>
      </c>
      <c r="H2745" t="s">
        <v>7671</v>
      </c>
      <c r="I2745">
        <v>3090</v>
      </c>
      <c r="J2745" t="str">
        <f>VLOOKUP(E2745,DSSpieler!A:B,2,FALSE)</f>
        <v>Felix1310</v>
      </c>
    </row>
    <row r="2746" spans="1:10" x14ac:dyDescent="0.25">
      <c r="A2746">
        <v>3091</v>
      </c>
      <c r="B2746" t="s">
        <v>780</v>
      </c>
      <c r="C2746">
        <v>553</v>
      </c>
      <c r="D2746">
        <v>569</v>
      </c>
      <c r="E2746">
        <v>1577197756</v>
      </c>
      <c r="F2746">
        <v>5117</v>
      </c>
      <c r="G2746">
        <v>0</v>
      </c>
      <c r="H2746" t="s">
        <v>7672</v>
      </c>
      <c r="I2746">
        <v>3091</v>
      </c>
      <c r="J2746" t="str">
        <f>VLOOKUP(E2746,DSSpieler!A:B,2,FALSE)</f>
        <v>TyL3R DuRd3N</v>
      </c>
    </row>
    <row r="2747" spans="1:10" x14ac:dyDescent="0.25">
      <c r="A2747">
        <v>3092</v>
      </c>
      <c r="B2747" t="s">
        <v>531</v>
      </c>
      <c r="C2747">
        <v>490</v>
      </c>
      <c r="D2747">
        <v>488</v>
      </c>
      <c r="E2747">
        <v>0</v>
      </c>
      <c r="F2747">
        <v>345</v>
      </c>
      <c r="G2747">
        <v>0</v>
      </c>
      <c r="H2747" t="s">
        <v>7673</v>
      </c>
      <c r="I2747">
        <v>3092</v>
      </c>
      <c r="J2747" t="e">
        <f>VLOOKUP(E2747,DSSpieler!A:B,2,FALSE)</f>
        <v>#N/A</v>
      </c>
    </row>
    <row r="2748" spans="1:10" x14ac:dyDescent="0.25">
      <c r="A2748">
        <v>3093</v>
      </c>
      <c r="B2748" t="s">
        <v>1077</v>
      </c>
      <c r="C2748">
        <v>530</v>
      </c>
      <c r="D2748">
        <v>435</v>
      </c>
      <c r="E2748">
        <v>1577197676</v>
      </c>
      <c r="F2748">
        <v>2438</v>
      </c>
      <c r="G2748">
        <v>0</v>
      </c>
      <c r="H2748" t="s">
        <v>7674</v>
      </c>
      <c r="I2748">
        <v>3093</v>
      </c>
      <c r="J2748" t="str">
        <f>VLOOKUP(E2748,DSSpieler!A:B,2,FALSE)</f>
        <v>Riven Bot</v>
      </c>
    </row>
    <row r="2749" spans="1:10" x14ac:dyDescent="0.25">
      <c r="A2749">
        <v>3094</v>
      </c>
      <c r="B2749" t="s">
        <v>31714</v>
      </c>
      <c r="C2749">
        <v>557</v>
      </c>
      <c r="D2749">
        <v>529</v>
      </c>
      <c r="E2749">
        <v>1577198356</v>
      </c>
      <c r="F2749">
        <v>1860</v>
      </c>
      <c r="G2749">
        <v>0</v>
      </c>
      <c r="H2749" t="s">
        <v>7675</v>
      </c>
      <c r="I2749">
        <v>3094</v>
      </c>
      <c r="J2749" t="str">
        <f>VLOOKUP(E2749,DSSpieler!A:B,2,FALSE)</f>
        <v>olitheowner</v>
      </c>
    </row>
    <row r="2750" spans="1:10" x14ac:dyDescent="0.25">
      <c r="A2750">
        <v>3095</v>
      </c>
      <c r="B2750" t="s">
        <v>1078</v>
      </c>
      <c r="C2750">
        <v>558</v>
      </c>
      <c r="D2750">
        <v>423</v>
      </c>
      <c r="E2750">
        <v>1576543956</v>
      </c>
      <c r="F2750">
        <v>4703</v>
      </c>
      <c r="G2750">
        <v>0</v>
      </c>
      <c r="H2750" t="s">
        <v>7676</v>
      </c>
      <c r="I2750">
        <v>3095</v>
      </c>
      <c r="J2750" t="str">
        <f>VLOOKUP(E2750,DSSpieler!A:B,2,FALSE)</f>
        <v>Meibierisnetdeppert</v>
      </c>
    </row>
    <row r="2751" spans="1:10" x14ac:dyDescent="0.25">
      <c r="A2751">
        <v>3096</v>
      </c>
      <c r="B2751" t="s">
        <v>31715</v>
      </c>
      <c r="C2751">
        <v>559</v>
      </c>
      <c r="D2751">
        <v>465</v>
      </c>
      <c r="E2751">
        <v>1577197401</v>
      </c>
      <c r="F2751">
        <v>6987</v>
      </c>
      <c r="G2751">
        <v>0</v>
      </c>
      <c r="H2751" t="s">
        <v>7677</v>
      </c>
      <c r="I2751">
        <v>3096</v>
      </c>
      <c r="J2751" t="str">
        <f>VLOOKUP(E2751,DSSpieler!A:B,2,FALSE)</f>
        <v>Rivern</v>
      </c>
    </row>
    <row r="2752" spans="1:10" x14ac:dyDescent="0.25">
      <c r="A2752">
        <v>3098</v>
      </c>
      <c r="B2752" s="111">
        <v>230.01</v>
      </c>
      <c r="C2752">
        <v>453</v>
      </c>
      <c r="D2752">
        <v>589</v>
      </c>
      <c r="E2752">
        <v>1577027447</v>
      </c>
      <c r="F2752">
        <v>6318</v>
      </c>
      <c r="G2752">
        <v>0</v>
      </c>
      <c r="H2752" t="s">
        <v>7678</v>
      </c>
      <c r="I2752">
        <v>3098</v>
      </c>
      <c r="J2752" t="str">
        <f>VLOOKUP(E2752,DSSpieler!A:B,2,FALSE)</f>
        <v>Ynef</v>
      </c>
    </row>
    <row r="2753" spans="1:10" x14ac:dyDescent="0.25">
      <c r="A2753">
        <v>3099</v>
      </c>
      <c r="B2753" t="s">
        <v>31716</v>
      </c>
      <c r="C2753">
        <v>548</v>
      </c>
      <c r="D2753">
        <v>435</v>
      </c>
      <c r="E2753">
        <v>1577196842</v>
      </c>
      <c r="F2753">
        <v>6821</v>
      </c>
      <c r="G2753">
        <v>0</v>
      </c>
      <c r="H2753" t="s">
        <v>7679</v>
      </c>
      <c r="I2753">
        <v>3099</v>
      </c>
      <c r="J2753" t="str">
        <f>VLOOKUP(E2753,DSSpieler!A:B,2,FALSE)</f>
        <v>Pumuckel77</v>
      </c>
    </row>
    <row r="2754" spans="1:10" x14ac:dyDescent="0.25">
      <c r="A2754">
        <v>3100</v>
      </c>
      <c r="B2754" t="s">
        <v>1079</v>
      </c>
      <c r="C2754">
        <v>574</v>
      </c>
      <c r="D2754">
        <v>473</v>
      </c>
      <c r="E2754">
        <v>1576751873</v>
      </c>
      <c r="F2754">
        <v>5186</v>
      </c>
      <c r="G2754">
        <v>0</v>
      </c>
      <c r="H2754" t="s">
        <v>7680</v>
      </c>
      <c r="I2754">
        <v>3100</v>
      </c>
      <c r="J2754" t="str">
        <f>VLOOKUP(E2754,DSSpieler!A:B,2,FALSE)</f>
        <v>King MKay</v>
      </c>
    </row>
    <row r="2755" spans="1:10" x14ac:dyDescent="0.25">
      <c r="A2755">
        <v>3101</v>
      </c>
      <c r="B2755" t="s">
        <v>31717</v>
      </c>
      <c r="C2755">
        <v>527</v>
      </c>
      <c r="D2755">
        <v>431</v>
      </c>
      <c r="E2755">
        <v>1576428534</v>
      </c>
      <c r="F2755">
        <v>7566</v>
      </c>
      <c r="G2755">
        <v>0</v>
      </c>
      <c r="H2755" t="s">
        <v>7681</v>
      </c>
      <c r="I2755">
        <v>3101</v>
      </c>
      <c r="J2755" t="str">
        <f>VLOOKUP(E2755,DSSpieler!A:B,2,FALSE)</f>
        <v>KhaNickel</v>
      </c>
    </row>
    <row r="2756" spans="1:10" x14ac:dyDescent="0.25">
      <c r="A2756">
        <v>3102</v>
      </c>
      <c r="B2756" t="s">
        <v>531</v>
      </c>
      <c r="C2756">
        <v>430</v>
      </c>
      <c r="D2756">
        <v>478</v>
      </c>
      <c r="E2756">
        <v>0</v>
      </c>
      <c r="F2756">
        <v>277</v>
      </c>
      <c r="G2756">
        <v>0</v>
      </c>
      <c r="H2756" t="s">
        <v>7682</v>
      </c>
      <c r="I2756">
        <v>3102</v>
      </c>
      <c r="J2756" t="e">
        <f>VLOOKUP(E2756,DSSpieler!A:B,2,FALSE)</f>
        <v>#N/A</v>
      </c>
    </row>
    <row r="2757" spans="1:10" x14ac:dyDescent="0.25">
      <c r="A2757">
        <v>3103</v>
      </c>
      <c r="B2757" t="s">
        <v>31718</v>
      </c>
      <c r="C2757">
        <v>494</v>
      </c>
      <c r="D2757">
        <v>453</v>
      </c>
      <c r="E2757">
        <v>1577200697</v>
      </c>
      <c r="F2757">
        <v>3461</v>
      </c>
      <c r="G2757">
        <v>0</v>
      </c>
      <c r="H2757" t="s">
        <v>7683</v>
      </c>
      <c r="I2757">
        <v>3103</v>
      </c>
      <c r="J2757" t="str">
        <f>VLOOKUP(E2757,DSSpieler!A:B,2,FALSE)</f>
        <v>Andruscha</v>
      </c>
    </row>
    <row r="2758" spans="1:10" x14ac:dyDescent="0.25">
      <c r="A2758">
        <v>3104</v>
      </c>
      <c r="B2758" t="s">
        <v>531</v>
      </c>
      <c r="C2758">
        <v>522</v>
      </c>
      <c r="D2758">
        <v>430</v>
      </c>
      <c r="E2758">
        <v>0</v>
      </c>
      <c r="F2758">
        <v>633</v>
      </c>
      <c r="G2758">
        <v>0</v>
      </c>
      <c r="H2758" t="s">
        <v>7684</v>
      </c>
      <c r="I2758">
        <v>3104</v>
      </c>
      <c r="J2758" t="e">
        <f>VLOOKUP(E2758,DSSpieler!A:B,2,FALSE)</f>
        <v>#N/A</v>
      </c>
    </row>
    <row r="2759" spans="1:10" x14ac:dyDescent="0.25">
      <c r="A2759">
        <v>3105</v>
      </c>
      <c r="B2759" t="s">
        <v>531</v>
      </c>
      <c r="C2759">
        <v>474</v>
      </c>
      <c r="D2759">
        <v>437</v>
      </c>
      <c r="E2759">
        <v>0</v>
      </c>
      <c r="F2759">
        <v>274</v>
      </c>
      <c r="G2759">
        <v>0</v>
      </c>
      <c r="H2759" t="s">
        <v>7685</v>
      </c>
      <c r="I2759">
        <v>3105</v>
      </c>
      <c r="J2759" t="e">
        <f>VLOOKUP(E2759,DSSpieler!A:B,2,FALSE)</f>
        <v>#N/A</v>
      </c>
    </row>
    <row r="2760" spans="1:10" x14ac:dyDescent="0.25">
      <c r="A2760">
        <v>3106</v>
      </c>
      <c r="B2760" t="s">
        <v>531</v>
      </c>
      <c r="C2760">
        <v>534</v>
      </c>
      <c r="D2760">
        <v>511</v>
      </c>
      <c r="E2760">
        <v>0</v>
      </c>
      <c r="F2760">
        <v>807</v>
      </c>
      <c r="G2760">
        <v>0</v>
      </c>
      <c r="H2760" t="s">
        <v>7686</v>
      </c>
      <c r="I2760">
        <v>3106</v>
      </c>
      <c r="J2760" t="e">
        <f>VLOOKUP(E2760,DSSpieler!A:B,2,FALSE)</f>
        <v>#N/A</v>
      </c>
    </row>
    <row r="2761" spans="1:10" x14ac:dyDescent="0.25">
      <c r="A2761">
        <v>3107</v>
      </c>
      <c r="B2761" t="s">
        <v>31719</v>
      </c>
      <c r="C2761">
        <v>486</v>
      </c>
      <c r="D2761">
        <v>395</v>
      </c>
      <c r="E2761">
        <v>1653911</v>
      </c>
      <c r="F2761">
        <v>1596</v>
      </c>
      <c r="G2761">
        <v>0</v>
      </c>
      <c r="H2761" t="s">
        <v>7687</v>
      </c>
      <c r="I2761">
        <v>3107</v>
      </c>
      <c r="J2761" t="str">
        <f>VLOOKUP(E2761,DSSpieler!A:B,2,FALSE)</f>
        <v>flextrust</v>
      </c>
    </row>
    <row r="2762" spans="1:10" x14ac:dyDescent="0.25">
      <c r="A2762">
        <v>3109</v>
      </c>
      <c r="B2762" t="s">
        <v>1080</v>
      </c>
      <c r="C2762">
        <v>447</v>
      </c>
      <c r="D2762">
        <v>502</v>
      </c>
      <c r="E2762">
        <v>1577197425</v>
      </c>
      <c r="F2762">
        <v>8125</v>
      </c>
      <c r="G2762">
        <v>0</v>
      </c>
      <c r="H2762" t="s">
        <v>7688</v>
      </c>
      <c r="I2762">
        <v>3109</v>
      </c>
      <c r="J2762" t="str">
        <f>VLOOKUP(E2762,DSSpieler!A:B,2,FALSE)</f>
        <v>Körnivasall</v>
      </c>
    </row>
    <row r="2763" spans="1:10" x14ac:dyDescent="0.25">
      <c r="A2763">
        <v>3110</v>
      </c>
      <c r="B2763" t="s">
        <v>531</v>
      </c>
      <c r="C2763">
        <v>577</v>
      </c>
      <c r="D2763">
        <v>500</v>
      </c>
      <c r="E2763">
        <v>0</v>
      </c>
      <c r="F2763">
        <v>875</v>
      </c>
      <c r="G2763">
        <v>0</v>
      </c>
      <c r="H2763" t="s">
        <v>7689</v>
      </c>
      <c r="I2763">
        <v>3110</v>
      </c>
      <c r="J2763" t="e">
        <f>VLOOKUP(E2763,DSSpieler!A:B,2,FALSE)</f>
        <v>#N/A</v>
      </c>
    </row>
    <row r="2764" spans="1:10" x14ac:dyDescent="0.25">
      <c r="A2764">
        <v>3112</v>
      </c>
      <c r="B2764" t="s">
        <v>780</v>
      </c>
      <c r="C2764">
        <v>563</v>
      </c>
      <c r="D2764">
        <v>570</v>
      </c>
      <c r="E2764">
        <v>1577197971</v>
      </c>
      <c r="F2764">
        <v>6746</v>
      </c>
      <c r="G2764">
        <v>0</v>
      </c>
      <c r="H2764" t="s">
        <v>7690</v>
      </c>
      <c r="I2764">
        <v>3112</v>
      </c>
      <c r="J2764" t="str">
        <f>VLOOKUP(E2764,DSSpieler!A:B,2,FALSE)</f>
        <v>-I34SH-</v>
      </c>
    </row>
    <row r="2765" spans="1:10" x14ac:dyDescent="0.25">
      <c r="A2765">
        <v>3113</v>
      </c>
      <c r="B2765">
        <v>4</v>
      </c>
      <c r="C2765">
        <v>545</v>
      </c>
      <c r="D2765">
        <v>491</v>
      </c>
      <c r="E2765">
        <v>3241642</v>
      </c>
      <c r="F2765">
        <v>3368</v>
      </c>
      <c r="G2765">
        <v>0</v>
      </c>
      <c r="H2765" t="s">
        <v>7691</v>
      </c>
      <c r="I2765">
        <v>3113</v>
      </c>
      <c r="J2765" t="str">
        <f>VLOOKUP(E2765,DSSpieler!A:B,2,FALSE)</f>
        <v>ZeraMorpheus</v>
      </c>
    </row>
    <row r="2766" spans="1:10" x14ac:dyDescent="0.25">
      <c r="A2766">
        <v>3115</v>
      </c>
      <c r="B2766" t="s">
        <v>531</v>
      </c>
      <c r="C2766">
        <v>567</v>
      </c>
      <c r="D2766">
        <v>539</v>
      </c>
      <c r="E2766">
        <v>0</v>
      </c>
      <c r="F2766">
        <v>432</v>
      </c>
      <c r="G2766">
        <v>0</v>
      </c>
      <c r="H2766" t="s">
        <v>7692</v>
      </c>
      <c r="I2766">
        <v>3115</v>
      </c>
      <c r="J2766" t="e">
        <f>VLOOKUP(E2766,DSSpieler!A:B,2,FALSE)</f>
        <v>#N/A</v>
      </c>
    </row>
    <row r="2767" spans="1:10" x14ac:dyDescent="0.25">
      <c r="A2767">
        <v>3116</v>
      </c>
      <c r="B2767" t="s">
        <v>531</v>
      </c>
      <c r="C2767">
        <v>475</v>
      </c>
      <c r="D2767">
        <v>454</v>
      </c>
      <c r="E2767">
        <v>0</v>
      </c>
      <c r="F2767">
        <v>293</v>
      </c>
      <c r="G2767">
        <v>0</v>
      </c>
      <c r="H2767" t="s">
        <v>7693</v>
      </c>
      <c r="I2767">
        <v>3116</v>
      </c>
      <c r="J2767" t="e">
        <f>VLOOKUP(E2767,DSSpieler!A:B,2,FALSE)</f>
        <v>#N/A</v>
      </c>
    </row>
    <row r="2768" spans="1:10" x14ac:dyDescent="0.25">
      <c r="A2768">
        <v>3117</v>
      </c>
      <c r="B2768" t="s">
        <v>1082</v>
      </c>
      <c r="C2768">
        <v>444</v>
      </c>
      <c r="D2768">
        <v>472</v>
      </c>
      <c r="E2768">
        <v>1577196866</v>
      </c>
      <c r="F2768">
        <v>6635</v>
      </c>
      <c r="G2768">
        <v>0</v>
      </c>
      <c r="H2768" t="s">
        <v>7694</v>
      </c>
      <c r="I2768">
        <v>3117</v>
      </c>
      <c r="J2768" t="str">
        <f>VLOOKUP(E2768,DSSpieler!A:B,2,FALSE)</f>
        <v>ihsoh</v>
      </c>
    </row>
    <row r="2769" spans="1:10" x14ac:dyDescent="0.25">
      <c r="A2769">
        <v>3118</v>
      </c>
      <c r="B2769" t="s">
        <v>780</v>
      </c>
      <c r="C2769">
        <v>598</v>
      </c>
      <c r="D2769">
        <v>531</v>
      </c>
      <c r="E2769">
        <v>8645048</v>
      </c>
      <c r="F2769">
        <v>4951</v>
      </c>
      <c r="G2769">
        <v>0</v>
      </c>
      <c r="H2769" t="s">
        <v>7695</v>
      </c>
      <c r="I2769">
        <v>3118</v>
      </c>
      <c r="J2769" t="str">
        <f>VLOOKUP(E2769,DSSpieler!A:B,2,FALSE)</f>
        <v>HeinBlöd</v>
      </c>
    </row>
    <row r="2770" spans="1:10" x14ac:dyDescent="0.25">
      <c r="A2770">
        <v>3119</v>
      </c>
      <c r="B2770" t="s">
        <v>31720</v>
      </c>
      <c r="C2770">
        <v>408</v>
      </c>
      <c r="D2770">
        <v>537</v>
      </c>
      <c r="E2770">
        <v>1577195923</v>
      </c>
      <c r="F2770">
        <v>5843</v>
      </c>
      <c r="G2770">
        <v>0</v>
      </c>
      <c r="H2770" t="s">
        <v>7696</v>
      </c>
      <c r="I2770">
        <v>3119</v>
      </c>
      <c r="J2770" t="str">
        <f>VLOOKUP(E2770,DSSpieler!A:B,2,FALSE)</f>
        <v>Juligon93</v>
      </c>
    </row>
    <row r="2771" spans="1:10" x14ac:dyDescent="0.25">
      <c r="A2771">
        <v>3120</v>
      </c>
      <c r="B2771" t="s">
        <v>31721</v>
      </c>
      <c r="C2771">
        <v>487</v>
      </c>
      <c r="D2771">
        <v>600</v>
      </c>
      <c r="E2771">
        <v>1577196399</v>
      </c>
      <c r="F2771">
        <v>3327</v>
      </c>
      <c r="G2771">
        <v>0</v>
      </c>
      <c r="H2771" t="s">
        <v>7697</v>
      </c>
      <c r="I2771">
        <v>3120</v>
      </c>
      <c r="J2771" t="str">
        <f>VLOOKUP(E2771,DSSpieler!A:B,2,FALSE)</f>
        <v>Stempa20</v>
      </c>
    </row>
    <row r="2772" spans="1:10" x14ac:dyDescent="0.25">
      <c r="A2772">
        <v>3121</v>
      </c>
      <c r="B2772" t="s">
        <v>30648</v>
      </c>
      <c r="C2772">
        <v>463</v>
      </c>
      <c r="D2772">
        <v>466</v>
      </c>
      <c r="E2772">
        <v>1577187756</v>
      </c>
      <c r="F2772">
        <v>5697</v>
      </c>
      <c r="G2772">
        <v>0</v>
      </c>
      <c r="H2772" t="s">
        <v>7698</v>
      </c>
      <c r="I2772">
        <v>3121</v>
      </c>
      <c r="J2772" t="str">
        <f>VLOOKUP(E2772,DSSpieler!A:B,2,FALSE)</f>
        <v>xmagical5</v>
      </c>
    </row>
    <row r="2773" spans="1:10" x14ac:dyDescent="0.25">
      <c r="A2773">
        <v>3122</v>
      </c>
      <c r="B2773" t="s">
        <v>658</v>
      </c>
      <c r="C2773">
        <v>443</v>
      </c>
      <c r="D2773">
        <v>470</v>
      </c>
      <c r="E2773">
        <v>1577194916</v>
      </c>
      <c r="F2773">
        <v>4130</v>
      </c>
      <c r="G2773">
        <v>0</v>
      </c>
      <c r="H2773" t="s">
        <v>7699</v>
      </c>
      <c r="I2773">
        <v>3122</v>
      </c>
      <c r="J2773" t="str">
        <f>VLOOKUP(E2773,DSSpieler!A:B,2,FALSE)</f>
        <v>Siaz</v>
      </c>
    </row>
    <row r="2774" spans="1:10" x14ac:dyDescent="0.25">
      <c r="A2774">
        <v>3123</v>
      </c>
      <c r="B2774" t="s">
        <v>31490</v>
      </c>
      <c r="C2774">
        <v>559</v>
      </c>
      <c r="D2774">
        <v>567</v>
      </c>
      <c r="E2774">
        <v>1577138953</v>
      </c>
      <c r="F2774">
        <v>5229</v>
      </c>
      <c r="G2774">
        <v>0</v>
      </c>
      <c r="H2774" t="s">
        <v>7700</v>
      </c>
      <c r="I2774">
        <v>3123</v>
      </c>
      <c r="J2774" t="str">
        <f>VLOOKUP(E2774,DSSpieler!A:B,2,FALSE)</f>
        <v>ganz entspannt</v>
      </c>
    </row>
    <row r="2775" spans="1:10" x14ac:dyDescent="0.25">
      <c r="A2775">
        <v>3124</v>
      </c>
      <c r="B2775" t="s">
        <v>1083</v>
      </c>
      <c r="C2775">
        <v>525</v>
      </c>
      <c r="D2775">
        <v>392</v>
      </c>
      <c r="E2775">
        <v>8297454</v>
      </c>
      <c r="F2775">
        <v>5779</v>
      </c>
      <c r="G2775">
        <v>0</v>
      </c>
      <c r="H2775" t="s">
        <v>7701</v>
      </c>
      <c r="I2775">
        <v>3124</v>
      </c>
      <c r="J2775" t="str">
        <f>VLOOKUP(E2775,DSSpieler!A:B,2,FALSE)</f>
        <v>wednesdayyy</v>
      </c>
    </row>
    <row r="2776" spans="1:10" x14ac:dyDescent="0.25">
      <c r="A2776">
        <v>3125</v>
      </c>
      <c r="B2776" t="s">
        <v>31722</v>
      </c>
      <c r="C2776">
        <v>496</v>
      </c>
      <c r="D2776">
        <v>546</v>
      </c>
      <c r="E2776">
        <v>1577146191</v>
      </c>
      <c r="F2776">
        <v>109</v>
      </c>
      <c r="G2776">
        <v>0</v>
      </c>
      <c r="H2776" t="s">
        <v>7702</v>
      </c>
      <c r="I2776">
        <v>3125</v>
      </c>
      <c r="J2776" t="str">
        <f>VLOOKUP(E2776,DSSpieler!A:B,2,FALSE)</f>
        <v>Fischi</v>
      </c>
    </row>
    <row r="2777" spans="1:10" x14ac:dyDescent="0.25">
      <c r="A2777">
        <v>3126</v>
      </c>
      <c r="B2777" t="s">
        <v>31723</v>
      </c>
      <c r="C2777">
        <v>538</v>
      </c>
      <c r="D2777">
        <v>521</v>
      </c>
      <c r="E2777">
        <v>1577191260</v>
      </c>
      <c r="F2777">
        <v>3143</v>
      </c>
      <c r="G2777">
        <v>0</v>
      </c>
      <c r="H2777" t="s">
        <v>7703</v>
      </c>
      <c r="I2777">
        <v>3126</v>
      </c>
      <c r="J2777" t="str">
        <f>VLOOKUP(E2777,DSSpieler!A:B,2,FALSE)</f>
        <v>Triple Y</v>
      </c>
    </row>
    <row r="2778" spans="1:10" x14ac:dyDescent="0.25">
      <c r="A2778">
        <v>3127</v>
      </c>
      <c r="B2778" t="s">
        <v>1084</v>
      </c>
      <c r="C2778">
        <v>577</v>
      </c>
      <c r="D2778">
        <v>458</v>
      </c>
      <c r="E2778">
        <v>1576465907</v>
      </c>
      <c r="F2778">
        <v>5213</v>
      </c>
      <c r="G2778">
        <v>0</v>
      </c>
      <c r="H2778" t="s">
        <v>7704</v>
      </c>
      <c r="I2778">
        <v>3127</v>
      </c>
      <c r="J2778" t="str">
        <f>VLOOKUP(E2778,DSSpieler!A:B,2,FALSE)</f>
        <v>momo1417</v>
      </c>
    </row>
    <row r="2779" spans="1:10" x14ac:dyDescent="0.25">
      <c r="A2779">
        <v>3128</v>
      </c>
      <c r="B2779" t="s">
        <v>1085</v>
      </c>
      <c r="C2779">
        <v>459</v>
      </c>
      <c r="D2779">
        <v>435</v>
      </c>
      <c r="E2779">
        <v>1577186327</v>
      </c>
      <c r="F2779">
        <v>6401</v>
      </c>
      <c r="G2779">
        <v>0</v>
      </c>
      <c r="H2779" t="s">
        <v>7705</v>
      </c>
      <c r="I2779">
        <v>3128</v>
      </c>
      <c r="J2779" t="str">
        <f>VLOOKUP(E2779,DSSpieler!A:B,2,FALSE)</f>
        <v>Varothem</v>
      </c>
    </row>
    <row r="2780" spans="1:10" x14ac:dyDescent="0.25">
      <c r="A2780">
        <v>3130</v>
      </c>
      <c r="B2780" t="s">
        <v>31724</v>
      </c>
      <c r="C2780">
        <v>399</v>
      </c>
      <c r="D2780">
        <v>489</v>
      </c>
      <c r="E2780">
        <v>1576870112</v>
      </c>
      <c r="F2780">
        <v>6186</v>
      </c>
      <c r="G2780">
        <v>0</v>
      </c>
      <c r="H2780" t="s">
        <v>446</v>
      </c>
      <c r="I2780">
        <v>3130</v>
      </c>
      <c r="J2780" t="str">
        <f>VLOOKUP(E2780,DSSpieler!A:B,2,FALSE)</f>
        <v>nepobjediv55</v>
      </c>
    </row>
    <row r="2781" spans="1:10" x14ac:dyDescent="0.25">
      <c r="A2781">
        <v>3131</v>
      </c>
      <c r="B2781" t="s">
        <v>531</v>
      </c>
      <c r="C2781">
        <v>478</v>
      </c>
      <c r="D2781">
        <v>506</v>
      </c>
      <c r="E2781">
        <v>0</v>
      </c>
      <c r="F2781">
        <v>322</v>
      </c>
      <c r="G2781">
        <v>0</v>
      </c>
      <c r="H2781" t="s">
        <v>7706</v>
      </c>
      <c r="I2781">
        <v>3131</v>
      </c>
      <c r="J2781" t="e">
        <f>VLOOKUP(E2781,DSSpieler!A:B,2,FALSE)</f>
        <v>#N/A</v>
      </c>
    </row>
    <row r="2782" spans="1:10" x14ac:dyDescent="0.25">
      <c r="A2782">
        <v>3132</v>
      </c>
      <c r="B2782" t="s">
        <v>31725</v>
      </c>
      <c r="C2782">
        <v>408</v>
      </c>
      <c r="D2782">
        <v>443</v>
      </c>
      <c r="E2782">
        <v>1577189337</v>
      </c>
      <c r="F2782">
        <v>2622</v>
      </c>
      <c r="G2782">
        <v>0</v>
      </c>
      <c r="H2782" t="s">
        <v>7707</v>
      </c>
      <c r="I2782">
        <v>3132</v>
      </c>
      <c r="J2782" t="str">
        <f>VLOOKUP(E2782,DSSpieler!A:B,2,FALSE)</f>
        <v>hagaZ</v>
      </c>
    </row>
    <row r="2783" spans="1:10" x14ac:dyDescent="0.25">
      <c r="A2783">
        <v>3134</v>
      </c>
      <c r="B2783" t="s">
        <v>1086</v>
      </c>
      <c r="C2783">
        <v>511</v>
      </c>
      <c r="D2783">
        <v>398</v>
      </c>
      <c r="E2783">
        <v>10010272</v>
      </c>
      <c r="F2783">
        <v>6232</v>
      </c>
      <c r="G2783">
        <v>0</v>
      </c>
      <c r="H2783" t="s">
        <v>7708</v>
      </c>
      <c r="I2783">
        <v>3134</v>
      </c>
      <c r="J2783" t="str">
        <f>VLOOKUP(E2783,DSSpieler!A:B,2,FALSE)</f>
        <v>STQFFEL</v>
      </c>
    </row>
    <row r="2784" spans="1:10" x14ac:dyDescent="0.25">
      <c r="A2784">
        <v>3136</v>
      </c>
      <c r="B2784" t="s">
        <v>31726</v>
      </c>
      <c r="C2784">
        <v>438</v>
      </c>
      <c r="D2784">
        <v>548</v>
      </c>
      <c r="E2784">
        <v>1577197615</v>
      </c>
      <c r="F2784">
        <v>7910</v>
      </c>
      <c r="G2784">
        <v>0</v>
      </c>
      <c r="H2784" t="s">
        <v>7709</v>
      </c>
      <c r="I2784">
        <v>3136</v>
      </c>
      <c r="J2784" t="str">
        <f>VLOOKUP(E2784,DSSpieler!A:B,2,FALSE)</f>
        <v>Tsume</v>
      </c>
    </row>
    <row r="2785" spans="1:10" x14ac:dyDescent="0.25">
      <c r="A2785">
        <v>3138</v>
      </c>
      <c r="B2785" t="s">
        <v>531</v>
      </c>
      <c r="C2785">
        <v>559</v>
      </c>
      <c r="D2785">
        <v>460</v>
      </c>
      <c r="E2785">
        <v>0</v>
      </c>
      <c r="F2785">
        <v>298</v>
      </c>
      <c r="G2785">
        <v>0</v>
      </c>
      <c r="H2785" t="s">
        <v>7710</v>
      </c>
      <c r="I2785">
        <v>3138</v>
      </c>
      <c r="J2785" t="e">
        <f>VLOOKUP(E2785,DSSpieler!A:B,2,FALSE)</f>
        <v>#N/A</v>
      </c>
    </row>
    <row r="2786" spans="1:10" x14ac:dyDescent="0.25">
      <c r="A2786">
        <v>3139</v>
      </c>
      <c r="B2786" t="s">
        <v>1087</v>
      </c>
      <c r="C2786">
        <v>579</v>
      </c>
      <c r="D2786">
        <v>574</v>
      </c>
      <c r="E2786">
        <v>9575066</v>
      </c>
      <c r="F2786">
        <v>6082</v>
      </c>
      <c r="G2786">
        <v>0</v>
      </c>
      <c r="H2786" t="s">
        <v>7711</v>
      </c>
      <c r="I2786">
        <v>3139</v>
      </c>
      <c r="J2786" t="str">
        <f>VLOOKUP(E2786,DSSpieler!A:B,2,FALSE)</f>
        <v>Swordmaster1200</v>
      </c>
    </row>
    <row r="2787" spans="1:10" x14ac:dyDescent="0.25">
      <c r="A2787">
        <v>3140</v>
      </c>
      <c r="B2787" t="s">
        <v>531</v>
      </c>
      <c r="C2787">
        <v>443</v>
      </c>
      <c r="D2787">
        <v>462</v>
      </c>
      <c r="E2787">
        <v>0</v>
      </c>
      <c r="F2787">
        <v>416</v>
      </c>
      <c r="G2787">
        <v>0</v>
      </c>
      <c r="H2787" t="s">
        <v>7712</v>
      </c>
      <c r="I2787">
        <v>3140</v>
      </c>
      <c r="J2787" t="e">
        <f>VLOOKUP(E2787,DSSpieler!A:B,2,FALSE)</f>
        <v>#N/A</v>
      </c>
    </row>
    <row r="2788" spans="1:10" x14ac:dyDescent="0.25">
      <c r="A2788">
        <v>3142</v>
      </c>
      <c r="B2788">
        <v>178</v>
      </c>
      <c r="C2788">
        <v>519</v>
      </c>
      <c r="D2788">
        <v>544</v>
      </c>
      <c r="E2788">
        <v>9978884</v>
      </c>
      <c r="F2788">
        <v>4806</v>
      </c>
      <c r="G2788">
        <v>0</v>
      </c>
      <c r="H2788" t="s">
        <v>7713</v>
      </c>
      <c r="I2788">
        <v>3142</v>
      </c>
      <c r="J2788" t="str">
        <f>VLOOKUP(E2788,DSSpieler!A:B,2,FALSE)</f>
        <v>nexuspremium</v>
      </c>
    </row>
    <row r="2789" spans="1:10" x14ac:dyDescent="0.25">
      <c r="A2789">
        <v>3143</v>
      </c>
      <c r="B2789" t="s">
        <v>531</v>
      </c>
      <c r="C2789">
        <v>475</v>
      </c>
      <c r="D2789">
        <v>529</v>
      </c>
      <c r="E2789">
        <v>0</v>
      </c>
      <c r="F2789">
        <v>570</v>
      </c>
      <c r="G2789">
        <v>0</v>
      </c>
      <c r="H2789" t="s">
        <v>7714</v>
      </c>
      <c r="I2789">
        <v>3143</v>
      </c>
      <c r="J2789" t="e">
        <f>VLOOKUP(E2789,DSSpieler!A:B,2,FALSE)</f>
        <v>#N/A</v>
      </c>
    </row>
    <row r="2790" spans="1:10" x14ac:dyDescent="0.25">
      <c r="A2790">
        <v>3144</v>
      </c>
      <c r="B2790" t="s">
        <v>1088</v>
      </c>
      <c r="C2790">
        <v>479</v>
      </c>
      <c r="D2790">
        <v>444</v>
      </c>
      <c r="E2790">
        <v>1577196432</v>
      </c>
      <c r="F2790">
        <v>4524</v>
      </c>
      <c r="G2790">
        <v>0</v>
      </c>
      <c r="H2790" t="s">
        <v>7715</v>
      </c>
      <c r="I2790">
        <v>3144</v>
      </c>
      <c r="J2790" t="str">
        <f>VLOOKUP(E2790,DSSpieler!A:B,2,FALSE)</f>
        <v>DJ777</v>
      </c>
    </row>
    <row r="2791" spans="1:10" x14ac:dyDescent="0.25">
      <c r="A2791">
        <v>3145</v>
      </c>
      <c r="B2791" t="s">
        <v>1089</v>
      </c>
      <c r="C2791">
        <v>553</v>
      </c>
      <c r="D2791">
        <v>490</v>
      </c>
      <c r="E2791">
        <v>8783554</v>
      </c>
      <c r="F2791">
        <v>3289</v>
      </c>
      <c r="G2791">
        <v>0</v>
      </c>
      <c r="H2791" t="s">
        <v>7716</v>
      </c>
      <c r="I2791">
        <v>3145</v>
      </c>
      <c r="J2791" t="str">
        <f>VLOOKUP(E2791,DSSpieler!A:B,2,FALSE)</f>
        <v>Fritz70</v>
      </c>
    </row>
    <row r="2792" spans="1:10" x14ac:dyDescent="0.25">
      <c r="A2792">
        <v>3146</v>
      </c>
      <c r="B2792" t="s">
        <v>31727</v>
      </c>
      <c r="C2792">
        <v>439</v>
      </c>
      <c r="D2792">
        <v>502</v>
      </c>
      <c r="E2792">
        <v>1577155224</v>
      </c>
      <c r="F2792">
        <v>5193</v>
      </c>
      <c r="G2792">
        <v>0</v>
      </c>
      <c r="H2792" t="s">
        <v>7717</v>
      </c>
      <c r="I2792">
        <v>3146</v>
      </c>
      <c r="J2792" t="str">
        <f>VLOOKUP(E2792,DSSpieler!A:B,2,FALSE)</f>
        <v>Michinhio</v>
      </c>
    </row>
    <row r="2793" spans="1:10" x14ac:dyDescent="0.25">
      <c r="A2793">
        <v>3147</v>
      </c>
      <c r="B2793" t="s">
        <v>31728</v>
      </c>
      <c r="C2793">
        <v>565</v>
      </c>
      <c r="D2793">
        <v>520</v>
      </c>
      <c r="E2793">
        <v>1576926576</v>
      </c>
      <c r="F2793">
        <v>6039</v>
      </c>
      <c r="G2793">
        <v>0</v>
      </c>
      <c r="H2793" t="s">
        <v>7718</v>
      </c>
      <c r="I2793">
        <v>3147</v>
      </c>
      <c r="J2793" t="str">
        <f>VLOOKUP(E2793,DSSpieler!A:B,2,FALSE)</f>
        <v>Munin*</v>
      </c>
    </row>
    <row r="2794" spans="1:10" x14ac:dyDescent="0.25">
      <c r="A2794">
        <v>3148</v>
      </c>
      <c r="B2794" t="s">
        <v>31729</v>
      </c>
      <c r="C2794">
        <v>532</v>
      </c>
      <c r="D2794">
        <v>442</v>
      </c>
      <c r="E2794">
        <v>2708826</v>
      </c>
      <c r="F2794">
        <v>4446</v>
      </c>
      <c r="G2794">
        <v>0</v>
      </c>
      <c r="H2794" t="s">
        <v>7719</v>
      </c>
      <c r="I2794">
        <v>3148</v>
      </c>
      <c r="J2794" t="str">
        <f>VLOOKUP(E2794,DSSpieler!A:B,2,FALSE)</f>
        <v>sim001</v>
      </c>
    </row>
    <row r="2795" spans="1:10" x14ac:dyDescent="0.25">
      <c r="A2795">
        <v>3149</v>
      </c>
      <c r="B2795" t="s">
        <v>31683</v>
      </c>
      <c r="C2795">
        <v>476</v>
      </c>
      <c r="D2795">
        <v>402</v>
      </c>
      <c r="E2795">
        <v>1576437729</v>
      </c>
      <c r="F2795">
        <v>3610</v>
      </c>
      <c r="G2795">
        <v>0</v>
      </c>
      <c r="H2795" t="s">
        <v>7720</v>
      </c>
      <c r="I2795">
        <v>3149</v>
      </c>
      <c r="J2795" t="str">
        <f>VLOOKUP(E2795,DSSpieler!A:B,2,FALSE)</f>
        <v>chris347</v>
      </c>
    </row>
    <row r="2796" spans="1:10" x14ac:dyDescent="0.25">
      <c r="A2796">
        <v>3150</v>
      </c>
      <c r="B2796" t="s">
        <v>1090</v>
      </c>
      <c r="C2796">
        <v>595</v>
      </c>
      <c r="D2796">
        <v>502</v>
      </c>
      <c r="E2796">
        <v>1577198730</v>
      </c>
      <c r="F2796">
        <v>1687</v>
      </c>
      <c r="G2796">
        <v>0</v>
      </c>
      <c r="H2796" t="s">
        <v>7721</v>
      </c>
      <c r="I2796">
        <v>3150</v>
      </c>
      <c r="J2796" t="str">
        <f>VLOOKUP(E2796,DSSpieler!A:B,2,FALSE)</f>
        <v>boombot94</v>
      </c>
    </row>
    <row r="2797" spans="1:10" x14ac:dyDescent="0.25">
      <c r="A2797">
        <v>3151</v>
      </c>
      <c r="B2797" t="s">
        <v>31730</v>
      </c>
      <c r="C2797">
        <v>571</v>
      </c>
      <c r="D2797">
        <v>516</v>
      </c>
      <c r="E2797">
        <v>10008893</v>
      </c>
      <c r="F2797">
        <v>4563</v>
      </c>
      <c r="G2797">
        <v>0</v>
      </c>
      <c r="H2797" t="s">
        <v>7722</v>
      </c>
      <c r="I2797">
        <v>3151</v>
      </c>
      <c r="J2797" t="str">
        <f>VLOOKUP(E2797,DSSpieler!A:B,2,FALSE)</f>
        <v>walsi the lord</v>
      </c>
    </row>
    <row r="2798" spans="1:10" x14ac:dyDescent="0.25">
      <c r="A2798">
        <v>3152</v>
      </c>
      <c r="B2798" t="s">
        <v>1057</v>
      </c>
      <c r="C2798">
        <v>470</v>
      </c>
      <c r="D2798">
        <v>427</v>
      </c>
      <c r="E2798">
        <v>8897367</v>
      </c>
      <c r="F2798">
        <v>7987</v>
      </c>
      <c r="G2798">
        <v>0</v>
      </c>
      <c r="H2798" t="s">
        <v>7723</v>
      </c>
      <c r="I2798">
        <v>3152</v>
      </c>
      <c r="J2798" t="str">
        <f>VLOOKUP(E2798,DSSpieler!A:B,2,FALSE)</f>
        <v>Zwoogel1</v>
      </c>
    </row>
    <row r="2799" spans="1:10" x14ac:dyDescent="0.25">
      <c r="A2799">
        <v>3154</v>
      </c>
      <c r="B2799" t="s">
        <v>31731</v>
      </c>
      <c r="C2799">
        <v>476</v>
      </c>
      <c r="D2799">
        <v>551</v>
      </c>
      <c r="E2799">
        <v>1577196514</v>
      </c>
      <c r="F2799">
        <v>3872</v>
      </c>
      <c r="G2799">
        <v>0</v>
      </c>
      <c r="H2799" t="s">
        <v>7724</v>
      </c>
      <c r="I2799">
        <v>3154</v>
      </c>
      <c r="J2799" t="str">
        <f>VLOOKUP(E2799,DSSpieler!A:B,2,FALSE)</f>
        <v>Thunderus</v>
      </c>
    </row>
    <row r="2800" spans="1:10" x14ac:dyDescent="0.25">
      <c r="A2800">
        <v>3155</v>
      </c>
      <c r="B2800" t="s">
        <v>531</v>
      </c>
      <c r="C2800">
        <v>539</v>
      </c>
      <c r="D2800">
        <v>536</v>
      </c>
      <c r="E2800">
        <v>0</v>
      </c>
      <c r="F2800">
        <v>187</v>
      </c>
      <c r="G2800">
        <v>0</v>
      </c>
      <c r="H2800" t="s">
        <v>7725</v>
      </c>
      <c r="I2800">
        <v>3155</v>
      </c>
      <c r="J2800" t="e">
        <f>VLOOKUP(E2800,DSSpieler!A:B,2,FALSE)</f>
        <v>#N/A</v>
      </c>
    </row>
    <row r="2801" spans="1:10" x14ac:dyDescent="0.25">
      <c r="A2801">
        <v>3158</v>
      </c>
      <c r="B2801" t="s">
        <v>31732</v>
      </c>
      <c r="C2801">
        <v>542</v>
      </c>
      <c r="D2801">
        <v>499</v>
      </c>
      <c r="E2801">
        <v>8874324</v>
      </c>
      <c r="F2801">
        <v>1656</v>
      </c>
      <c r="G2801">
        <v>0</v>
      </c>
      <c r="H2801" t="s">
        <v>7726</v>
      </c>
      <c r="I2801">
        <v>3158</v>
      </c>
      <c r="J2801" t="str">
        <f>VLOOKUP(E2801,DSSpieler!A:B,2,FALSE)</f>
        <v>big steeve</v>
      </c>
    </row>
    <row r="2802" spans="1:10" x14ac:dyDescent="0.25">
      <c r="A2802">
        <v>3159</v>
      </c>
      <c r="B2802" t="s">
        <v>531</v>
      </c>
      <c r="C2802">
        <v>466</v>
      </c>
      <c r="D2802">
        <v>536</v>
      </c>
      <c r="E2802">
        <v>0</v>
      </c>
      <c r="F2802">
        <v>240</v>
      </c>
      <c r="G2802">
        <v>0</v>
      </c>
      <c r="H2802" t="s">
        <v>7727</v>
      </c>
      <c r="I2802">
        <v>3159</v>
      </c>
      <c r="J2802" t="e">
        <f>VLOOKUP(E2802,DSSpieler!A:B,2,FALSE)</f>
        <v>#N/A</v>
      </c>
    </row>
    <row r="2803" spans="1:10" x14ac:dyDescent="0.25">
      <c r="A2803">
        <v>3160</v>
      </c>
      <c r="B2803" t="s">
        <v>540</v>
      </c>
      <c r="C2803">
        <v>591</v>
      </c>
      <c r="D2803">
        <v>457</v>
      </c>
      <c r="E2803">
        <v>1576779600</v>
      </c>
      <c r="F2803">
        <v>5125</v>
      </c>
      <c r="G2803">
        <v>0</v>
      </c>
      <c r="H2803" t="s">
        <v>7728</v>
      </c>
      <c r="I2803">
        <v>3160</v>
      </c>
      <c r="J2803" t="str">
        <f>VLOOKUP(E2803,DSSpieler!A:B,2,FALSE)</f>
        <v>Badgirl.1</v>
      </c>
    </row>
    <row r="2804" spans="1:10" x14ac:dyDescent="0.25">
      <c r="A2804">
        <v>3162</v>
      </c>
      <c r="B2804" t="s">
        <v>531</v>
      </c>
      <c r="C2804">
        <v>467</v>
      </c>
      <c r="D2804">
        <v>518</v>
      </c>
      <c r="E2804">
        <v>0</v>
      </c>
      <c r="F2804">
        <v>204</v>
      </c>
      <c r="G2804">
        <v>0</v>
      </c>
      <c r="H2804" t="s">
        <v>7729</v>
      </c>
      <c r="I2804">
        <v>3162</v>
      </c>
      <c r="J2804" t="e">
        <f>VLOOKUP(E2804,DSSpieler!A:B,2,FALSE)</f>
        <v>#N/A</v>
      </c>
    </row>
    <row r="2805" spans="1:10" x14ac:dyDescent="0.25">
      <c r="A2805">
        <v>3163</v>
      </c>
      <c r="B2805" t="s">
        <v>1091</v>
      </c>
      <c r="C2805">
        <v>556</v>
      </c>
      <c r="D2805">
        <v>484</v>
      </c>
      <c r="E2805">
        <v>1577194430</v>
      </c>
      <c r="F2805">
        <v>5172</v>
      </c>
      <c r="G2805">
        <v>0</v>
      </c>
      <c r="H2805" t="s">
        <v>7730</v>
      </c>
      <c r="I2805">
        <v>3163</v>
      </c>
      <c r="J2805" t="str">
        <f>VLOOKUP(E2805,DSSpieler!A:B,2,FALSE)</f>
        <v>Theskipperone</v>
      </c>
    </row>
    <row r="2806" spans="1:10" x14ac:dyDescent="0.25">
      <c r="A2806">
        <v>3165</v>
      </c>
      <c r="B2806" t="s">
        <v>31733</v>
      </c>
      <c r="C2806">
        <v>465</v>
      </c>
      <c r="D2806">
        <v>528</v>
      </c>
      <c r="E2806">
        <v>1577185970</v>
      </c>
      <c r="F2806">
        <v>6843</v>
      </c>
      <c r="G2806">
        <v>0</v>
      </c>
      <c r="H2806" t="s">
        <v>7731</v>
      </c>
      <c r="I2806">
        <v>3165</v>
      </c>
      <c r="J2806" t="str">
        <f>VLOOKUP(E2806,DSSpieler!A:B,2,FALSE)</f>
        <v>Lord Kaktus</v>
      </c>
    </row>
    <row r="2807" spans="1:10" x14ac:dyDescent="0.25">
      <c r="A2807">
        <v>3167</v>
      </c>
      <c r="B2807" t="s">
        <v>531</v>
      </c>
      <c r="C2807">
        <v>490</v>
      </c>
      <c r="D2807">
        <v>504</v>
      </c>
      <c r="E2807">
        <v>0</v>
      </c>
      <c r="F2807">
        <v>196</v>
      </c>
      <c r="G2807">
        <v>0</v>
      </c>
      <c r="H2807" t="s">
        <v>7732</v>
      </c>
      <c r="I2807">
        <v>3167</v>
      </c>
      <c r="J2807" t="e">
        <f>VLOOKUP(E2807,DSSpieler!A:B,2,FALSE)</f>
        <v>#N/A</v>
      </c>
    </row>
    <row r="2808" spans="1:10" x14ac:dyDescent="0.25">
      <c r="A2808">
        <v>3168</v>
      </c>
      <c r="B2808" t="s">
        <v>556</v>
      </c>
      <c r="C2808">
        <v>517</v>
      </c>
      <c r="D2808">
        <v>472</v>
      </c>
      <c r="E2808">
        <v>7943688</v>
      </c>
      <c r="F2808">
        <v>3405</v>
      </c>
      <c r="G2808">
        <v>0</v>
      </c>
      <c r="H2808" t="s">
        <v>7733</v>
      </c>
      <c r="I2808">
        <v>3168</v>
      </c>
      <c r="J2808" t="str">
        <f>VLOOKUP(E2808,DSSpieler!A:B,2,FALSE)</f>
        <v>Löschzwerg10</v>
      </c>
    </row>
    <row r="2809" spans="1:10" x14ac:dyDescent="0.25">
      <c r="A2809">
        <v>3169</v>
      </c>
      <c r="B2809" t="s">
        <v>31734</v>
      </c>
      <c r="C2809">
        <v>578</v>
      </c>
      <c r="D2809">
        <v>455</v>
      </c>
      <c r="E2809">
        <v>1576961556</v>
      </c>
      <c r="F2809">
        <v>6159</v>
      </c>
      <c r="G2809">
        <v>0</v>
      </c>
      <c r="H2809" t="s">
        <v>7734</v>
      </c>
      <c r="I2809">
        <v>3169</v>
      </c>
      <c r="J2809" t="str">
        <f>VLOOKUP(E2809,DSSpieler!A:B,2,FALSE)</f>
        <v>TraderJoey2</v>
      </c>
    </row>
    <row r="2810" spans="1:10" x14ac:dyDescent="0.25">
      <c r="A2810">
        <v>3170</v>
      </c>
      <c r="B2810" t="s">
        <v>1092</v>
      </c>
      <c r="C2810">
        <v>493</v>
      </c>
      <c r="D2810">
        <v>580</v>
      </c>
      <c r="E2810">
        <v>1576918886</v>
      </c>
      <c r="F2810">
        <v>6994</v>
      </c>
      <c r="G2810">
        <v>0</v>
      </c>
      <c r="H2810" t="s">
        <v>7735</v>
      </c>
      <c r="I2810">
        <v>3170</v>
      </c>
      <c r="J2810" t="str">
        <f>VLOOKUP(E2810,DSSpieler!A:B,2,FALSE)</f>
        <v>tuete1</v>
      </c>
    </row>
    <row r="2811" spans="1:10" x14ac:dyDescent="0.25">
      <c r="A2811">
        <v>3171</v>
      </c>
      <c r="B2811" t="s">
        <v>531</v>
      </c>
      <c r="C2811">
        <v>493</v>
      </c>
      <c r="D2811">
        <v>564</v>
      </c>
      <c r="E2811">
        <v>0</v>
      </c>
      <c r="F2811">
        <v>437</v>
      </c>
      <c r="G2811">
        <v>0</v>
      </c>
      <c r="H2811" t="s">
        <v>7736</v>
      </c>
      <c r="I2811">
        <v>3171</v>
      </c>
      <c r="J2811" t="e">
        <f>VLOOKUP(E2811,DSSpieler!A:B,2,FALSE)</f>
        <v>#N/A</v>
      </c>
    </row>
    <row r="2812" spans="1:10" x14ac:dyDescent="0.25">
      <c r="A2812">
        <v>3172</v>
      </c>
      <c r="B2812" t="s">
        <v>531</v>
      </c>
      <c r="C2812">
        <v>524</v>
      </c>
      <c r="D2812">
        <v>593</v>
      </c>
      <c r="E2812">
        <v>0</v>
      </c>
      <c r="F2812">
        <v>786</v>
      </c>
      <c r="G2812">
        <v>0</v>
      </c>
      <c r="H2812" t="s">
        <v>7737</v>
      </c>
      <c r="I2812">
        <v>3172</v>
      </c>
      <c r="J2812" t="e">
        <f>VLOOKUP(E2812,DSSpieler!A:B,2,FALSE)</f>
        <v>#N/A</v>
      </c>
    </row>
    <row r="2813" spans="1:10" x14ac:dyDescent="0.25">
      <c r="A2813">
        <v>3173</v>
      </c>
      <c r="B2813" t="s">
        <v>1093</v>
      </c>
      <c r="C2813">
        <v>411</v>
      </c>
      <c r="D2813">
        <v>447</v>
      </c>
      <c r="E2813">
        <v>1576125906</v>
      </c>
      <c r="F2813">
        <v>8406</v>
      </c>
      <c r="G2813">
        <v>0</v>
      </c>
      <c r="H2813" t="s">
        <v>7738</v>
      </c>
      <c r="I2813">
        <v>3173</v>
      </c>
      <c r="J2813" t="str">
        <f>VLOOKUP(E2813,DSSpieler!A:B,2,FALSE)</f>
        <v>Tinca12</v>
      </c>
    </row>
    <row r="2814" spans="1:10" x14ac:dyDescent="0.25">
      <c r="A2814">
        <v>3174</v>
      </c>
      <c r="B2814" t="s">
        <v>673</v>
      </c>
      <c r="C2814">
        <v>604</v>
      </c>
      <c r="D2814">
        <v>488</v>
      </c>
      <c r="E2814">
        <v>1577193721</v>
      </c>
      <c r="F2814">
        <v>5275</v>
      </c>
      <c r="G2814">
        <v>0</v>
      </c>
      <c r="H2814" t="s">
        <v>7739</v>
      </c>
      <c r="I2814">
        <v>3174</v>
      </c>
      <c r="J2814" t="str">
        <f>VLOOKUP(E2814,DSSpieler!A:B,2,FALSE)</f>
        <v>Killstein</v>
      </c>
    </row>
    <row r="2815" spans="1:10" x14ac:dyDescent="0.25">
      <c r="A2815">
        <v>3175</v>
      </c>
      <c r="B2815" t="s">
        <v>31735</v>
      </c>
      <c r="C2815">
        <v>489</v>
      </c>
      <c r="D2815">
        <v>420</v>
      </c>
      <c r="E2815">
        <v>1576272402</v>
      </c>
      <c r="F2815">
        <v>3335</v>
      </c>
      <c r="G2815">
        <v>0</v>
      </c>
      <c r="H2815" t="s">
        <v>7740</v>
      </c>
      <c r="I2815">
        <v>3175</v>
      </c>
      <c r="J2815" t="str">
        <f>VLOOKUP(E2815,DSSpieler!A:B,2,FALSE)</f>
        <v>Zecplus</v>
      </c>
    </row>
    <row r="2816" spans="1:10" x14ac:dyDescent="0.25">
      <c r="A2816">
        <v>3177</v>
      </c>
      <c r="B2816" t="s">
        <v>601</v>
      </c>
      <c r="C2816">
        <v>502</v>
      </c>
      <c r="D2816">
        <v>489</v>
      </c>
      <c r="E2816">
        <v>1577187912</v>
      </c>
      <c r="F2816">
        <v>3453</v>
      </c>
      <c r="G2816">
        <v>0</v>
      </c>
      <c r="H2816" t="s">
        <v>7741</v>
      </c>
      <c r="I2816">
        <v>3177</v>
      </c>
      <c r="J2816" t="str">
        <f>VLOOKUP(E2816,DSSpieler!A:B,2,FALSE)</f>
        <v>Yoshi85</v>
      </c>
    </row>
    <row r="2817" spans="1:10" x14ac:dyDescent="0.25">
      <c r="A2817">
        <v>3179</v>
      </c>
      <c r="B2817" t="s">
        <v>31736</v>
      </c>
      <c r="C2817">
        <v>436</v>
      </c>
      <c r="D2817">
        <v>415</v>
      </c>
      <c r="E2817">
        <v>1577190002</v>
      </c>
      <c r="F2817">
        <v>6574</v>
      </c>
      <c r="G2817">
        <v>0</v>
      </c>
      <c r="H2817" t="s">
        <v>7742</v>
      </c>
      <c r="I2817">
        <v>3179</v>
      </c>
      <c r="J2817" t="str">
        <f>VLOOKUP(E2817,DSSpieler!A:B,2,FALSE)</f>
        <v>FürstVelten</v>
      </c>
    </row>
    <row r="2818" spans="1:10" x14ac:dyDescent="0.25">
      <c r="A2818">
        <v>3181</v>
      </c>
      <c r="B2818" t="s">
        <v>31737</v>
      </c>
      <c r="C2818">
        <v>519</v>
      </c>
      <c r="D2818">
        <v>559</v>
      </c>
      <c r="E2818">
        <v>1577176791</v>
      </c>
      <c r="F2818">
        <v>1341</v>
      </c>
      <c r="G2818">
        <v>0</v>
      </c>
      <c r="H2818" t="s">
        <v>7743</v>
      </c>
      <c r="I2818">
        <v>3181</v>
      </c>
      <c r="J2818" t="str">
        <f>VLOOKUP(E2818,DSSpieler!A:B,2,FALSE)</f>
        <v>Finn334</v>
      </c>
    </row>
    <row r="2819" spans="1:10" x14ac:dyDescent="0.25">
      <c r="A2819">
        <v>3185</v>
      </c>
      <c r="B2819">
        <v>1</v>
      </c>
      <c r="C2819">
        <v>599</v>
      </c>
      <c r="D2819">
        <v>459</v>
      </c>
      <c r="E2819">
        <v>1576778163</v>
      </c>
      <c r="F2819">
        <v>6965</v>
      </c>
      <c r="G2819">
        <v>0</v>
      </c>
      <c r="H2819" t="s">
        <v>7744</v>
      </c>
      <c r="I2819">
        <v>3185</v>
      </c>
      <c r="J2819" t="str">
        <f>VLOOKUP(E2819,DSSpieler!A:B,2,FALSE)</f>
        <v>Hasse89</v>
      </c>
    </row>
    <row r="2820" spans="1:10" x14ac:dyDescent="0.25">
      <c r="A2820">
        <v>3187</v>
      </c>
      <c r="B2820" t="s">
        <v>31738</v>
      </c>
      <c r="C2820">
        <v>561</v>
      </c>
      <c r="D2820">
        <v>486</v>
      </c>
      <c r="E2820">
        <v>1577163011</v>
      </c>
      <c r="F2820">
        <v>4173</v>
      </c>
      <c r="G2820">
        <v>0</v>
      </c>
      <c r="H2820" t="s">
        <v>7745</v>
      </c>
      <c r="I2820">
        <v>3187</v>
      </c>
      <c r="J2820" t="str">
        <f>VLOOKUP(E2820,DSSpieler!A:B,2,FALSE)</f>
        <v>sirpeter</v>
      </c>
    </row>
    <row r="2821" spans="1:10" x14ac:dyDescent="0.25">
      <c r="A2821">
        <v>3188</v>
      </c>
      <c r="B2821" t="s">
        <v>531</v>
      </c>
      <c r="C2821">
        <v>454</v>
      </c>
      <c r="D2821">
        <v>518</v>
      </c>
      <c r="E2821">
        <v>0</v>
      </c>
      <c r="F2821">
        <v>467</v>
      </c>
      <c r="G2821">
        <v>0</v>
      </c>
      <c r="H2821" t="s">
        <v>7746</v>
      </c>
      <c r="I2821">
        <v>3188</v>
      </c>
      <c r="J2821" t="e">
        <f>VLOOKUP(E2821,DSSpieler!A:B,2,FALSE)</f>
        <v>#N/A</v>
      </c>
    </row>
    <row r="2822" spans="1:10" x14ac:dyDescent="0.25">
      <c r="A2822">
        <v>3189</v>
      </c>
      <c r="B2822" t="s">
        <v>1094</v>
      </c>
      <c r="C2822">
        <v>434</v>
      </c>
      <c r="D2822">
        <v>519</v>
      </c>
      <c r="E2822">
        <v>1577186528</v>
      </c>
      <c r="F2822">
        <v>6767</v>
      </c>
      <c r="G2822">
        <v>0</v>
      </c>
      <c r="H2822" t="s">
        <v>7747</v>
      </c>
      <c r="I2822">
        <v>3189</v>
      </c>
      <c r="J2822" t="str">
        <f>VLOOKUP(E2822,DSSpieler!A:B,2,FALSE)</f>
        <v>Hippogryph</v>
      </c>
    </row>
    <row r="2823" spans="1:10" x14ac:dyDescent="0.25">
      <c r="A2823">
        <v>3190</v>
      </c>
      <c r="B2823" t="s">
        <v>1095</v>
      </c>
      <c r="C2823">
        <v>472</v>
      </c>
      <c r="D2823">
        <v>442</v>
      </c>
      <c r="E2823">
        <v>1577070261</v>
      </c>
      <c r="F2823">
        <v>6883</v>
      </c>
      <c r="G2823">
        <v>0</v>
      </c>
      <c r="H2823" t="s">
        <v>7748</v>
      </c>
      <c r="I2823">
        <v>3190</v>
      </c>
      <c r="J2823" t="str">
        <f>VLOOKUP(E2823,DSSpieler!A:B,2,FALSE)</f>
        <v>the Godfather</v>
      </c>
    </row>
    <row r="2824" spans="1:10" x14ac:dyDescent="0.25">
      <c r="A2824">
        <v>3191</v>
      </c>
      <c r="B2824" t="s">
        <v>531</v>
      </c>
      <c r="C2824">
        <v>568</v>
      </c>
      <c r="D2824">
        <v>470</v>
      </c>
      <c r="E2824">
        <v>0</v>
      </c>
      <c r="F2824">
        <v>242</v>
      </c>
      <c r="G2824">
        <v>0</v>
      </c>
      <c r="H2824" t="s">
        <v>7749</v>
      </c>
      <c r="I2824">
        <v>3191</v>
      </c>
      <c r="J2824" t="e">
        <f>VLOOKUP(E2824,DSSpieler!A:B,2,FALSE)</f>
        <v>#N/A</v>
      </c>
    </row>
    <row r="2825" spans="1:10" x14ac:dyDescent="0.25">
      <c r="A2825">
        <v>3192</v>
      </c>
      <c r="B2825" t="s">
        <v>31739</v>
      </c>
      <c r="C2825">
        <v>490</v>
      </c>
      <c r="D2825">
        <v>478</v>
      </c>
      <c r="E2825">
        <v>1577191156</v>
      </c>
      <c r="F2825">
        <v>3981</v>
      </c>
      <c r="G2825">
        <v>0</v>
      </c>
      <c r="H2825" t="s">
        <v>7750</v>
      </c>
      <c r="I2825">
        <v>3192</v>
      </c>
      <c r="J2825" t="str">
        <f>VLOOKUP(E2825,DSSpieler!A:B,2,FALSE)</f>
        <v>Weißich</v>
      </c>
    </row>
    <row r="2826" spans="1:10" x14ac:dyDescent="0.25">
      <c r="A2826">
        <v>3193</v>
      </c>
      <c r="B2826" t="s">
        <v>531</v>
      </c>
      <c r="C2826">
        <v>484</v>
      </c>
      <c r="D2826">
        <v>473</v>
      </c>
      <c r="E2826">
        <v>0</v>
      </c>
      <c r="F2826">
        <v>1038</v>
      </c>
      <c r="G2826">
        <v>0</v>
      </c>
      <c r="H2826" t="s">
        <v>7751</v>
      </c>
      <c r="I2826">
        <v>3193</v>
      </c>
      <c r="J2826" t="e">
        <f>VLOOKUP(E2826,DSSpieler!A:B,2,FALSE)</f>
        <v>#N/A</v>
      </c>
    </row>
    <row r="2827" spans="1:10" x14ac:dyDescent="0.25">
      <c r="A2827">
        <v>3195</v>
      </c>
      <c r="B2827" t="s">
        <v>31740</v>
      </c>
      <c r="C2827">
        <v>580</v>
      </c>
      <c r="D2827">
        <v>553</v>
      </c>
      <c r="E2827">
        <v>9910762</v>
      </c>
      <c r="F2827">
        <v>4877</v>
      </c>
      <c r="G2827">
        <v>0</v>
      </c>
      <c r="H2827" t="s">
        <v>7752</v>
      </c>
      <c r="I2827">
        <v>3195</v>
      </c>
      <c r="J2827" t="str">
        <f>VLOOKUP(E2827,DSSpieler!A:B,2,FALSE)</f>
        <v>glane13</v>
      </c>
    </row>
    <row r="2828" spans="1:10" x14ac:dyDescent="0.25">
      <c r="A2828">
        <v>3196</v>
      </c>
      <c r="B2828">
        <v>6</v>
      </c>
      <c r="C2828">
        <v>540</v>
      </c>
      <c r="D2828">
        <v>513</v>
      </c>
      <c r="E2828">
        <v>1577070621</v>
      </c>
      <c r="F2828">
        <v>4323</v>
      </c>
      <c r="G2828">
        <v>0</v>
      </c>
      <c r="H2828" t="s">
        <v>7753</v>
      </c>
      <c r="I2828">
        <v>3196</v>
      </c>
      <c r="J2828" t="str">
        <f>VLOOKUP(E2828,DSSpieler!A:B,2,FALSE)</f>
        <v>mulan1982</v>
      </c>
    </row>
    <row r="2829" spans="1:10" x14ac:dyDescent="0.25">
      <c r="A2829">
        <v>3197</v>
      </c>
      <c r="B2829" t="s">
        <v>1096</v>
      </c>
      <c r="C2829">
        <v>561</v>
      </c>
      <c r="D2829">
        <v>407</v>
      </c>
      <c r="E2829">
        <v>1577178033</v>
      </c>
      <c r="F2829">
        <v>5006</v>
      </c>
      <c r="G2829">
        <v>0</v>
      </c>
      <c r="H2829" t="s">
        <v>7754</v>
      </c>
      <c r="I2829">
        <v>3197</v>
      </c>
      <c r="J2829" t="str">
        <f>VLOOKUP(E2829,DSSpieler!A:B,2,FALSE)</f>
        <v>Sir Norman</v>
      </c>
    </row>
    <row r="2830" spans="1:10" x14ac:dyDescent="0.25">
      <c r="A2830">
        <v>3198</v>
      </c>
      <c r="B2830">
        <v>2</v>
      </c>
      <c r="C2830">
        <v>452</v>
      </c>
      <c r="D2830">
        <v>601</v>
      </c>
      <c r="E2830">
        <v>1577198803</v>
      </c>
      <c r="F2830">
        <v>4664</v>
      </c>
      <c r="G2830">
        <v>0</v>
      </c>
      <c r="H2830" t="s">
        <v>7755</v>
      </c>
      <c r="I2830">
        <v>3198</v>
      </c>
      <c r="J2830" t="str">
        <f>VLOOKUP(E2830,DSSpieler!A:B,2,FALSE)</f>
        <v>Gilsandro</v>
      </c>
    </row>
    <row r="2831" spans="1:10" x14ac:dyDescent="0.25">
      <c r="A2831">
        <v>3199</v>
      </c>
      <c r="B2831" t="s">
        <v>667</v>
      </c>
      <c r="C2831">
        <v>448</v>
      </c>
      <c r="D2831">
        <v>551</v>
      </c>
      <c r="E2831">
        <v>1576631461</v>
      </c>
      <c r="F2831">
        <v>5452</v>
      </c>
      <c r="G2831">
        <v>0</v>
      </c>
      <c r="H2831" t="s">
        <v>7756</v>
      </c>
      <c r="I2831">
        <v>3199</v>
      </c>
      <c r="J2831" t="str">
        <f>VLOOKUP(E2831,DSSpieler!A:B,2,FALSE)</f>
        <v>kLITSCHQ</v>
      </c>
    </row>
    <row r="2832" spans="1:10" x14ac:dyDescent="0.25">
      <c r="A2832">
        <v>3200</v>
      </c>
      <c r="B2832" t="s">
        <v>531</v>
      </c>
      <c r="C2832">
        <v>512</v>
      </c>
      <c r="D2832">
        <v>479</v>
      </c>
      <c r="E2832">
        <v>0</v>
      </c>
      <c r="F2832">
        <v>484</v>
      </c>
      <c r="G2832">
        <v>0</v>
      </c>
      <c r="H2832" t="s">
        <v>7757</v>
      </c>
      <c r="I2832">
        <v>3200</v>
      </c>
      <c r="J2832" t="e">
        <f>VLOOKUP(E2832,DSSpieler!A:B,2,FALSE)</f>
        <v>#N/A</v>
      </c>
    </row>
    <row r="2833" spans="1:10" x14ac:dyDescent="0.25">
      <c r="A2833">
        <v>3201</v>
      </c>
      <c r="B2833" t="s">
        <v>1097</v>
      </c>
      <c r="C2833">
        <v>459</v>
      </c>
      <c r="D2833">
        <v>595</v>
      </c>
      <c r="E2833">
        <v>1577195077</v>
      </c>
      <c r="F2833">
        <v>6707</v>
      </c>
      <c r="G2833">
        <v>0</v>
      </c>
      <c r="H2833" t="s">
        <v>7758</v>
      </c>
      <c r="I2833">
        <v>3201</v>
      </c>
      <c r="J2833" t="str">
        <f>VLOOKUP(E2833,DSSpieler!A:B,2,FALSE)</f>
        <v>Nimm2Lachgummis</v>
      </c>
    </row>
    <row r="2834" spans="1:10" x14ac:dyDescent="0.25">
      <c r="A2834">
        <v>3202</v>
      </c>
      <c r="B2834" t="s">
        <v>31741</v>
      </c>
      <c r="C2834">
        <v>409</v>
      </c>
      <c r="D2834">
        <v>466</v>
      </c>
      <c r="E2834">
        <v>10233928</v>
      </c>
      <c r="F2834">
        <v>2945</v>
      </c>
      <c r="G2834">
        <v>0</v>
      </c>
      <c r="H2834" t="s">
        <v>7759</v>
      </c>
      <c r="I2834">
        <v>3202</v>
      </c>
      <c r="J2834" t="str">
        <f>VLOOKUP(E2834,DSSpieler!A:B,2,FALSE)</f>
        <v>Tesserac</v>
      </c>
    </row>
    <row r="2835" spans="1:10" x14ac:dyDescent="0.25">
      <c r="A2835">
        <v>3203</v>
      </c>
      <c r="B2835" t="s">
        <v>31742</v>
      </c>
      <c r="C2835">
        <v>443</v>
      </c>
      <c r="D2835">
        <v>443</v>
      </c>
      <c r="E2835">
        <v>9769149</v>
      </c>
      <c r="F2835">
        <v>5486</v>
      </c>
      <c r="G2835">
        <v>0</v>
      </c>
      <c r="H2835" t="s">
        <v>7760</v>
      </c>
      <c r="I2835">
        <v>3203</v>
      </c>
      <c r="J2835" t="str">
        <f>VLOOKUP(E2835,DSSpieler!A:B,2,FALSE)</f>
        <v>SpartaBamf</v>
      </c>
    </row>
    <row r="2836" spans="1:10" x14ac:dyDescent="0.25">
      <c r="A2836">
        <v>3204</v>
      </c>
      <c r="B2836" t="s">
        <v>1098</v>
      </c>
      <c r="C2836">
        <v>448</v>
      </c>
      <c r="D2836">
        <v>507</v>
      </c>
      <c r="E2836">
        <v>1577193299</v>
      </c>
      <c r="F2836">
        <v>3921</v>
      </c>
      <c r="G2836">
        <v>0</v>
      </c>
      <c r="H2836" t="s">
        <v>7761</v>
      </c>
      <c r="I2836">
        <v>3204</v>
      </c>
      <c r="J2836" t="str">
        <f>VLOOKUP(E2836,DSSpieler!A:B,2,FALSE)</f>
        <v>Manuellsen92</v>
      </c>
    </row>
    <row r="2837" spans="1:10" x14ac:dyDescent="0.25">
      <c r="A2837">
        <v>3205</v>
      </c>
      <c r="B2837" t="s">
        <v>531</v>
      </c>
      <c r="C2837">
        <v>535</v>
      </c>
      <c r="D2837">
        <v>540</v>
      </c>
      <c r="E2837">
        <v>0</v>
      </c>
      <c r="F2837">
        <v>232</v>
      </c>
      <c r="G2837">
        <v>0</v>
      </c>
      <c r="H2837" t="s">
        <v>7762</v>
      </c>
      <c r="I2837">
        <v>3205</v>
      </c>
      <c r="J2837" t="e">
        <f>VLOOKUP(E2837,DSSpieler!A:B,2,FALSE)</f>
        <v>#N/A</v>
      </c>
    </row>
    <row r="2838" spans="1:10" x14ac:dyDescent="0.25">
      <c r="A2838">
        <v>3206</v>
      </c>
      <c r="B2838" t="s">
        <v>713</v>
      </c>
      <c r="C2838">
        <v>581</v>
      </c>
      <c r="D2838">
        <v>453</v>
      </c>
      <c r="E2838">
        <v>1577197749</v>
      </c>
      <c r="F2838">
        <v>6580</v>
      </c>
      <c r="G2838">
        <v>0</v>
      </c>
      <c r="H2838" t="s">
        <v>7763</v>
      </c>
      <c r="I2838">
        <v>3206</v>
      </c>
      <c r="J2838" t="str">
        <f>VLOOKUP(E2838,DSSpieler!A:B,2,FALSE)</f>
        <v>Yondu</v>
      </c>
    </row>
    <row r="2839" spans="1:10" x14ac:dyDescent="0.25">
      <c r="A2839">
        <v>3207</v>
      </c>
      <c r="B2839" t="s">
        <v>1099</v>
      </c>
      <c r="C2839">
        <v>490</v>
      </c>
      <c r="D2839">
        <v>439</v>
      </c>
      <c r="E2839">
        <v>1577187988</v>
      </c>
      <c r="F2839">
        <v>4500</v>
      </c>
      <c r="G2839">
        <v>0</v>
      </c>
      <c r="H2839" t="s">
        <v>7764</v>
      </c>
      <c r="I2839">
        <v>3207</v>
      </c>
      <c r="J2839" t="str">
        <f>VLOOKUP(E2839,DSSpieler!A:B,2,FALSE)</f>
        <v>aposociety</v>
      </c>
    </row>
    <row r="2840" spans="1:10" x14ac:dyDescent="0.25">
      <c r="A2840">
        <v>3209</v>
      </c>
      <c r="B2840">
        <v>1</v>
      </c>
      <c r="C2840">
        <v>420</v>
      </c>
      <c r="D2840">
        <v>515</v>
      </c>
      <c r="E2840">
        <v>1577018450</v>
      </c>
      <c r="F2840">
        <v>6671</v>
      </c>
      <c r="G2840">
        <v>0</v>
      </c>
      <c r="H2840" t="s">
        <v>7765</v>
      </c>
      <c r="I2840">
        <v>3209</v>
      </c>
      <c r="J2840" t="str">
        <f>VLOOKUP(E2840,DSSpieler!A:B,2,FALSE)</f>
        <v>Karpfen96</v>
      </c>
    </row>
    <row r="2841" spans="1:10" x14ac:dyDescent="0.25">
      <c r="A2841">
        <v>3210</v>
      </c>
      <c r="B2841" t="s">
        <v>31743</v>
      </c>
      <c r="C2841">
        <v>480</v>
      </c>
      <c r="D2841">
        <v>570</v>
      </c>
      <c r="E2841">
        <v>1575903481</v>
      </c>
      <c r="F2841">
        <v>5572</v>
      </c>
      <c r="G2841">
        <v>0</v>
      </c>
      <c r="H2841" t="s">
        <v>7766</v>
      </c>
      <c r="I2841">
        <v>3210</v>
      </c>
      <c r="J2841" t="str">
        <f>VLOOKUP(E2841,DSSpieler!A:B,2,FALSE)</f>
        <v>Cyriten</v>
      </c>
    </row>
    <row r="2842" spans="1:10" x14ac:dyDescent="0.25">
      <c r="A2842">
        <v>3211</v>
      </c>
      <c r="B2842">
        <v>123</v>
      </c>
      <c r="C2842">
        <v>416</v>
      </c>
      <c r="D2842">
        <v>447</v>
      </c>
      <c r="E2842">
        <v>1577072096</v>
      </c>
      <c r="F2842">
        <v>5523</v>
      </c>
      <c r="G2842">
        <v>0</v>
      </c>
      <c r="H2842" t="s">
        <v>7767</v>
      </c>
      <c r="I2842">
        <v>3211</v>
      </c>
      <c r="J2842" t="str">
        <f>VLOOKUP(E2842,DSSpieler!A:B,2,FALSE)</f>
        <v>hans777</v>
      </c>
    </row>
    <row r="2843" spans="1:10" x14ac:dyDescent="0.25">
      <c r="A2843">
        <v>3212</v>
      </c>
      <c r="B2843" t="s">
        <v>1100</v>
      </c>
      <c r="C2843">
        <v>579</v>
      </c>
      <c r="D2843">
        <v>579</v>
      </c>
      <c r="E2843">
        <v>8703971</v>
      </c>
      <c r="F2843">
        <v>6152</v>
      </c>
      <c r="G2843">
        <v>0</v>
      </c>
      <c r="H2843" t="s">
        <v>7768</v>
      </c>
      <c r="I2843">
        <v>3212</v>
      </c>
      <c r="J2843" t="str">
        <f>VLOOKUP(E2843,DSSpieler!A:B,2,FALSE)</f>
        <v>WaBoUnleashed</v>
      </c>
    </row>
    <row r="2844" spans="1:10" x14ac:dyDescent="0.25">
      <c r="A2844">
        <v>3213</v>
      </c>
      <c r="B2844" t="s">
        <v>35831</v>
      </c>
      <c r="C2844">
        <v>457</v>
      </c>
      <c r="D2844">
        <v>564</v>
      </c>
      <c r="E2844">
        <v>9764565</v>
      </c>
      <c r="F2844">
        <v>5266</v>
      </c>
      <c r="G2844">
        <v>0</v>
      </c>
      <c r="H2844" t="s">
        <v>7769</v>
      </c>
      <c r="I2844">
        <v>3213</v>
      </c>
      <c r="J2844" t="str">
        <f>VLOOKUP(E2844,DSSpieler!A:B,2,FALSE)</f>
        <v>Capt.Bizeps</v>
      </c>
    </row>
    <row r="2845" spans="1:10" x14ac:dyDescent="0.25">
      <c r="A2845">
        <v>3214</v>
      </c>
      <c r="B2845" t="s">
        <v>31744</v>
      </c>
      <c r="C2845">
        <v>478</v>
      </c>
      <c r="D2845">
        <v>563</v>
      </c>
      <c r="E2845">
        <v>9026066</v>
      </c>
      <c r="F2845">
        <v>5184</v>
      </c>
      <c r="G2845">
        <v>0</v>
      </c>
      <c r="H2845" t="s">
        <v>7770</v>
      </c>
      <c r="I2845">
        <v>3214</v>
      </c>
      <c r="J2845" t="str">
        <f>VLOOKUP(E2845,DSSpieler!A:B,2,FALSE)</f>
        <v>thehaaacker</v>
      </c>
    </row>
    <row r="2846" spans="1:10" x14ac:dyDescent="0.25">
      <c r="A2846">
        <v>3215</v>
      </c>
      <c r="B2846" t="s">
        <v>540</v>
      </c>
      <c r="C2846">
        <v>600</v>
      </c>
      <c r="D2846">
        <v>481</v>
      </c>
      <c r="E2846">
        <v>1576218773</v>
      </c>
      <c r="F2846">
        <v>4286</v>
      </c>
      <c r="G2846">
        <v>0</v>
      </c>
      <c r="H2846" t="s">
        <v>7771</v>
      </c>
      <c r="I2846">
        <v>3215</v>
      </c>
      <c r="J2846" t="str">
        <f>VLOOKUP(E2846,DSSpieler!A:B,2,FALSE)</f>
        <v>Putinsrechtehand</v>
      </c>
    </row>
    <row r="2847" spans="1:10" x14ac:dyDescent="0.25">
      <c r="A2847">
        <v>3216</v>
      </c>
      <c r="B2847" t="s">
        <v>31426</v>
      </c>
      <c r="C2847">
        <v>530</v>
      </c>
      <c r="D2847">
        <v>412</v>
      </c>
      <c r="E2847">
        <v>1577189724</v>
      </c>
      <c r="F2847">
        <v>5633</v>
      </c>
      <c r="G2847">
        <v>0</v>
      </c>
      <c r="H2847" t="s">
        <v>7772</v>
      </c>
      <c r="I2847">
        <v>3216</v>
      </c>
      <c r="J2847" t="str">
        <f>VLOOKUP(E2847,DSSpieler!A:B,2,FALSE)</f>
        <v>CriPTiccX</v>
      </c>
    </row>
    <row r="2848" spans="1:10" x14ac:dyDescent="0.25">
      <c r="A2848">
        <v>3217</v>
      </c>
      <c r="B2848" t="s">
        <v>31745</v>
      </c>
      <c r="C2848">
        <v>445</v>
      </c>
      <c r="D2848">
        <v>461</v>
      </c>
      <c r="E2848">
        <v>9376750</v>
      </c>
      <c r="F2848">
        <v>2958</v>
      </c>
      <c r="G2848">
        <v>0</v>
      </c>
      <c r="H2848" t="s">
        <v>7773</v>
      </c>
      <c r="I2848">
        <v>3217</v>
      </c>
      <c r="J2848" t="str">
        <f>VLOOKUP(E2848,DSSpieler!A:B,2,FALSE)</f>
        <v>Beisch</v>
      </c>
    </row>
    <row r="2849" spans="1:10" x14ac:dyDescent="0.25">
      <c r="A2849">
        <v>3219</v>
      </c>
      <c r="B2849" t="s">
        <v>31746</v>
      </c>
      <c r="C2849">
        <v>570</v>
      </c>
      <c r="D2849">
        <v>531</v>
      </c>
      <c r="E2849">
        <v>8146001</v>
      </c>
      <c r="F2849">
        <v>4500</v>
      </c>
      <c r="G2849">
        <v>0</v>
      </c>
      <c r="H2849" t="s">
        <v>7774</v>
      </c>
      <c r="I2849">
        <v>3219</v>
      </c>
      <c r="J2849" t="str">
        <f>VLOOKUP(E2849,DSSpieler!A:B,2,FALSE)</f>
        <v>ekaps</v>
      </c>
    </row>
    <row r="2850" spans="1:10" x14ac:dyDescent="0.25">
      <c r="A2850">
        <v>3220</v>
      </c>
      <c r="B2850" t="s">
        <v>1101</v>
      </c>
      <c r="C2850">
        <v>536</v>
      </c>
      <c r="D2850">
        <v>540</v>
      </c>
      <c r="E2850">
        <v>414073</v>
      </c>
      <c r="F2850">
        <v>1795</v>
      </c>
      <c r="G2850">
        <v>0</v>
      </c>
      <c r="H2850" t="s">
        <v>7775</v>
      </c>
      <c r="I2850">
        <v>3220</v>
      </c>
      <c r="J2850" t="str">
        <f>VLOOKUP(E2850,DSSpieler!A:B,2,FALSE)</f>
        <v>Thaudrim</v>
      </c>
    </row>
    <row r="2851" spans="1:10" x14ac:dyDescent="0.25">
      <c r="A2851">
        <v>3221</v>
      </c>
      <c r="B2851" t="s">
        <v>1102</v>
      </c>
      <c r="C2851">
        <v>512</v>
      </c>
      <c r="D2851">
        <v>493</v>
      </c>
      <c r="E2851">
        <v>1577193798</v>
      </c>
      <c r="F2851">
        <v>5917</v>
      </c>
      <c r="G2851">
        <v>0</v>
      </c>
      <c r="H2851" t="s">
        <v>7776</v>
      </c>
      <c r="I2851">
        <v>3221</v>
      </c>
      <c r="J2851" t="str">
        <f>VLOOKUP(E2851,DSSpieler!A:B,2,FALSE)</f>
        <v>Fenerium</v>
      </c>
    </row>
    <row r="2852" spans="1:10" x14ac:dyDescent="0.25">
      <c r="A2852">
        <v>3222</v>
      </c>
      <c r="B2852">
        <v>2</v>
      </c>
      <c r="C2852">
        <v>422</v>
      </c>
      <c r="D2852">
        <v>427</v>
      </c>
      <c r="E2852">
        <v>1577085651</v>
      </c>
      <c r="F2852">
        <v>6588</v>
      </c>
      <c r="G2852">
        <v>0</v>
      </c>
      <c r="H2852" t="s">
        <v>7777</v>
      </c>
      <c r="I2852">
        <v>3222</v>
      </c>
      <c r="J2852" t="str">
        <f>VLOOKUP(E2852,DSSpieler!A:B,2,FALSE)</f>
        <v>-schpider *</v>
      </c>
    </row>
    <row r="2853" spans="1:10" x14ac:dyDescent="0.25">
      <c r="A2853">
        <v>3223</v>
      </c>
      <c r="B2853" t="s">
        <v>531</v>
      </c>
      <c r="C2853">
        <v>496</v>
      </c>
      <c r="D2853">
        <v>446</v>
      </c>
      <c r="E2853">
        <v>0</v>
      </c>
      <c r="F2853">
        <v>369</v>
      </c>
      <c r="G2853">
        <v>0</v>
      </c>
      <c r="H2853" t="s">
        <v>7778</v>
      </c>
      <c r="I2853">
        <v>3223</v>
      </c>
      <c r="J2853" t="e">
        <f>VLOOKUP(E2853,DSSpieler!A:B,2,FALSE)</f>
        <v>#N/A</v>
      </c>
    </row>
    <row r="2854" spans="1:10" x14ac:dyDescent="0.25">
      <c r="A2854">
        <v>3224</v>
      </c>
      <c r="B2854" t="s">
        <v>31747</v>
      </c>
      <c r="C2854">
        <v>561</v>
      </c>
      <c r="D2854">
        <v>475</v>
      </c>
      <c r="E2854">
        <v>1222990</v>
      </c>
      <c r="F2854">
        <v>7387</v>
      </c>
      <c r="G2854">
        <v>0</v>
      </c>
      <c r="H2854" t="s">
        <v>7779</v>
      </c>
      <c r="I2854">
        <v>3224</v>
      </c>
      <c r="J2854" t="str">
        <f>VLOOKUP(E2854,DSSpieler!A:B,2,FALSE)</f>
        <v>saicxs</v>
      </c>
    </row>
    <row r="2855" spans="1:10" x14ac:dyDescent="0.25">
      <c r="A2855">
        <v>3225</v>
      </c>
      <c r="B2855" t="s">
        <v>31387</v>
      </c>
      <c r="C2855">
        <v>582</v>
      </c>
      <c r="D2855">
        <v>561</v>
      </c>
      <c r="E2855">
        <v>10154907</v>
      </c>
      <c r="F2855">
        <v>6278</v>
      </c>
      <c r="G2855">
        <v>0</v>
      </c>
      <c r="H2855" t="s">
        <v>7780</v>
      </c>
      <c r="I2855">
        <v>3225</v>
      </c>
      <c r="J2855" t="str">
        <f>VLOOKUP(E2855,DSSpieler!A:B,2,FALSE)</f>
        <v>tronten</v>
      </c>
    </row>
    <row r="2856" spans="1:10" x14ac:dyDescent="0.25">
      <c r="A2856">
        <v>3227</v>
      </c>
      <c r="B2856" t="s">
        <v>531</v>
      </c>
      <c r="C2856">
        <v>458</v>
      </c>
      <c r="D2856">
        <v>548</v>
      </c>
      <c r="E2856">
        <v>0</v>
      </c>
      <c r="F2856">
        <v>260</v>
      </c>
      <c r="G2856">
        <v>0</v>
      </c>
      <c r="H2856" t="s">
        <v>7781</v>
      </c>
      <c r="I2856">
        <v>3227</v>
      </c>
      <c r="J2856" t="e">
        <f>VLOOKUP(E2856,DSSpieler!A:B,2,FALSE)</f>
        <v>#N/A</v>
      </c>
    </row>
    <row r="2857" spans="1:10" x14ac:dyDescent="0.25">
      <c r="A2857">
        <v>3228</v>
      </c>
      <c r="B2857" t="s">
        <v>31748</v>
      </c>
      <c r="C2857">
        <v>537</v>
      </c>
      <c r="D2857">
        <v>482</v>
      </c>
      <c r="E2857">
        <v>7684309</v>
      </c>
      <c r="F2857">
        <v>1988</v>
      </c>
      <c r="G2857">
        <v>0</v>
      </c>
      <c r="H2857" t="s">
        <v>7782</v>
      </c>
      <c r="I2857">
        <v>3228</v>
      </c>
      <c r="J2857" t="str">
        <f>VLOOKUP(E2857,DSSpieler!A:B,2,FALSE)</f>
        <v>Discraider</v>
      </c>
    </row>
    <row r="2858" spans="1:10" x14ac:dyDescent="0.25">
      <c r="A2858">
        <v>3229</v>
      </c>
      <c r="B2858" t="s">
        <v>31749</v>
      </c>
      <c r="C2858">
        <v>405</v>
      </c>
      <c r="D2858">
        <v>545</v>
      </c>
      <c r="E2858">
        <v>1576032609</v>
      </c>
      <c r="F2858">
        <v>3005</v>
      </c>
      <c r="G2858">
        <v>0</v>
      </c>
      <c r="H2858" t="s">
        <v>7783</v>
      </c>
      <c r="I2858">
        <v>3229</v>
      </c>
      <c r="J2858" t="str">
        <f>VLOOKUP(E2858,DSSpieler!A:B,2,FALSE)</f>
        <v>Sceentic</v>
      </c>
    </row>
    <row r="2859" spans="1:10" x14ac:dyDescent="0.25">
      <c r="A2859">
        <v>3230</v>
      </c>
      <c r="B2859" t="s">
        <v>31750</v>
      </c>
      <c r="C2859">
        <v>567</v>
      </c>
      <c r="D2859">
        <v>510</v>
      </c>
      <c r="E2859">
        <v>1577193563</v>
      </c>
      <c r="F2859">
        <v>4106</v>
      </c>
      <c r="G2859">
        <v>0</v>
      </c>
      <c r="H2859" t="s">
        <v>7784</v>
      </c>
      <c r="I2859">
        <v>3230</v>
      </c>
      <c r="J2859" t="str">
        <f>VLOOKUP(E2859,DSSpieler!A:B,2,FALSE)</f>
        <v>bear911</v>
      </c>
    </row>
    <row r="2860" spans="1:10" x14ac:dyDescent="0.25">
      <c r="A2860">
        <v>3231</v>
      </c>
      <c r="B2860" t="s">
        <v>31751</v>
      </c>
      <c r="C2860">
        <v>475</v>
      </c>
      <c r="D2860">
        <v>412</v>
      </c>
      <c r="E2860">
        <v>1576012014</v>
      </c>
      <c r="F2860">
        <v>3538</v>
      </c>
      <c r="G2860">
        <v>0</v>
      </c>
      <c r="H2860" t="s">
        <v>7785</v>
      </c>
      <c r="I2860">
        <v>3231</v>
      </c>
      <c r="J2860" t="str">
        <f>VLOOKUP(E2860,DSSpieler!A:B,2,FALSE)</f>
        <v>Windwächter</v>
      </c>
    </row>
    <row r="2861" spans="1:10" x14ac:dyDescent="0.25">
      <c r="A2861">
        <v>3233</v>
      </c>
      <c r="B2861" t="s">
        <v>31752</v>
      </c>
      <c r="C2861">
        <v>534</v>
      </c>
      <c r="D2861">
        <v>456</v>
      </c>
      <c r="E2861">
        <v>9693466</v>
      </c>
      <c r="F2861">
        <v>5243</v>
      </c>
      <c r="G2861">
        <v>0</v>
      </c>
      <c r="H2861" t="s">
        <v>7786</v>
      </c>
      <c r="I2861">
        <v>3233</v>
      </c>
      <c r="J2861" t="str">
        <f>VLOOKUP(E2861,DSSpieler!A:B,2,FALSE)</f>
        <v>LordNos</v>
      </c>
    </row>
    <row r="2862" spans="1:10" x14ac:dyDescent="0.25">
      <c r="A2862">
        <v>3234</v>
      </c>
      <c r="B2862" t="s">
        <v>1103</v>
      </c>
      <c r="C2862">
        <v>473</v>
      </c>
      <c r="D2862">
        <v>442</v>
      </c>
      <c r="E2862">
        <v>1577070261</v>
      </c>
      <c r="F2862">
        <v>4454</v>
      </c>
      <c r="G2862">
        <v>0</v>
      </c>
      <c r="H2862" t="s">
        <v>7787</v>
      </c>
      <c r="I2862">
        <v>3234</v>
      </c>
      <c r="J2862" t="str">
        <f>VLOOKUP(E2862,DSSpieler!A:B,2,FALSE)</f>
        <v>the Godfather</v>
      </c>
    </row>
    <row r="2863" spans="1:10" x14ac:dyDescent="0.25">
      <c r="A2863">
        <v>3235</v>
      </c>
      <c r="B2863" t="s">
        <v>31753</v>
      </c>
      <c r="C2863">
        <v>484</v>
      </c>
      <c r="D2863">
        <v>574</v>
      </c>
      <c r="E2863">
        <v>1577197880</v>
      </c>
      <c r="F2863">
        <v>4457</v>
      </c>
      <c r="G2863">
        <v>0</v>
      </c>
      <c r="H2863" t="s">
        <v>7788</v>
      </c>
      <c r="I2863">
        <v>3235</v>
      </c>
      <c r="J2863" t="str">
        <f>VLOOKUP(E2863,DSSpieler!A:B,2,FALSE)</f>
        <v>jakusizz</v>
      </c>
    </row>
    <row r="2864" spans="1:10" x14ac:dyDescent="0.25">
      <c r="A2864">
        <v>3236</v>
      </c>
      <c r="B2864" t="s">
        <v>31754</v>
      </c>
      <c r="C2864">
        <v>555</v>
      </c>
      <c r="D2864">
        <v>442</v>
      </c>
      <c r="E2864">
        <v>1577133745</v>
      </c>
      <c r="F2864">
        <v>4291</v>
      </c>
      <c r="G2864">
        <v>0</v>
      </c>
      <c r="H2864" t="s">
        <v>7789</v>
      </c>
      <c r="I2864">
        <v>3236</v>
      </c>
      <c r="J2864" t="str">
        <f>VLOOKUP(E2864,DSSpieler!A:B,2,FALSE)</f>
        <v>Phime</v>
      </c>
    </row>
    <row r="2865" spans="1:10" x14ac:dyDescent="0.25">
      <c r="A2865">
        <v>3237</v>
      </c>
      <c r="B2865" t="s">
        <v>531</v>
      </c>
      <c r="C2865">
        <v>562</v>
      </c>
      <c r="D2865">
        <v>467</v>
      </c>
      <c r="E2865">
        <v>0</v>
      </c>
      <c r="F2865">
        <v>275</v>
      </c>
      <c r="G2865">
        <v>0</v>
      </c>
      <c r="H2865" t="s">
        <v>7790</v>
      </c>
      <c r="I2865">
        <v>3237</v>
      </c>
      <c r="J2865" t="e">
        <f>VLOOKUP(E2865,DSSpieler!A:B,2,FALSE)</f>
        <v>#N/A</v>
      </c>
    </row>
    <row r="2866" spans="1:10" x14ac:dyDescent="0.25">
      <c r="A2866">
        <v>3238</v>
      </c>
      <c r="B2866" t="s">
        <v>531</v>
      </c>
      <c r="C2866">
        <v>441</v>
      </c>
      <c r="D2866">
        <v>503</v>
      </c>
      <c r="E2866">
        <v>0</v>
      </c>
      <c r="F2866">
        <v>376</v>
      </c>
      <c r="G2866">
        <v>0</v>
      </c>
      <c r="H2866" t="s">
        <v>7791</v>
      </c>
      <c r="I2866">
        <v>3238</v>
      </c>
      <c r="J2866" t="e">
        <f>VLOOKUP(E2866,DSSpieler!A:B,2,FALSE)</f>
        <v>#N/A</v>
      </c>
    </row>
    <row r="2867" spans="1:10" x14ac:dyDescent="0.25">
      <c r="A2867">
        <v>3240</v>
      </c>
      <c r="B2867" t="s">
        <v>531</v>
      </c>
      <c r="C2867">
        <v>495</v>
      </c>
      <c r="D2867">
        <v>557</v>
      </c>
      <c r="E2867">
        <v>0</v>
      </c>
      <c r="F2867">
        <v>416</v>
      </c>
      <c r="G2867">
        <v>0</v>
      </c>
      <c r="H2867" t="s">
        <v>7792</v>
      </c>
      <c r="I2867">
        <v>3240</v>
      </c>
      <c r="J2867" t="e">
        <f>VLOOKUP(E2867,DSSpieler!A:B,2,FALSE)</f>
        <v>#N/A</v>
      </c>
    </row>
    <row r="2868" spans="1:10" x14ac:dyDescent="0.25">
      <c r="A2868">
        <v>3241</v>
      </c>
      <c r="B2868" t="s">
        <v>1104</v>
      </c>
      <c r="C2868">
        <v>459</v>
      </c>
      <c r="D2868">
        <v>517</v>
      </c>
      <c r="E2868">
        <v>9415506</v>
      </c>
      <c r="F2868">
        <v>1364</v>
      </c>
      <c r="G2868">
        <v>0</v>
      </c>
      <c r="H2868" t="s">
        <v>7793</v>
      </c>
      <c r="I2868">
        <v>3241</v>
      </c>
      <c r="J2868" t="str">
        <f>VLOOKUP(E2868,DSSpieler!A:B,2,FALSE)</f>
        <v>AvalonFee</v>
      </c>
    </row>
    <row r="2869" spans="1:10" x14ac:dyDescent="0.25">
      <c r="A2869">
        <v>3242</v>
      </c>
      <c r="B2869" t="s">
        <v>31755</v>
      </c>
      <c r="C2869">
        <v>533</v>
      </c>
      <c r="D2869">
        <v>428</v>
      </c>
      <c r="E2869">
        <v>401979</v>
      </c>
      <c r="F2869">
        <v>6415</v>
      </c>
      <c r="G2869">
        <v>0</v>
      </c>
      <c r="H2869" t="s">
        <v>7794</v>
      </c>
      <c r="I2869">
        <v>3242</v>
      </c>
      <c r="J2869" t="str">
        <f>VLOOKUP(E2869,DSSpieler!A:B,2,FALSE)</f>
        <v>nicky butt</v>
      </c>
    </row>
    <row r="2870" spans="1:10" x14ac:dyDescent="0.25">
      <c r="A2870">
        <v>3243</v>
      </c>
      <c r="B2870" t="s">
        <v>31756</v>
      </c>
      <c r="C2870">
        <v>469</v>
      </c>
      <c r="D2870">
        <v>584</v>
      </c>
      <c r="E2870">
        <v>1577155357</v>
      </c>
      <c r="F2870">
        <v>3385</v>
      </c>
      <c r="G2870">
        <v>0</v>
      </c>
      <c r="H2870" t="s">
        <v>7795</v>
      </c>
      <c r="I2870">
        <v>3243</v>
      </c>
      <c r="J2870" t="str">
        <f>VLOOKUP(E2870,DSSpieler!A:B,2,FALSE)</f>
        <v>KingHaajoo</v>
      </c>
    </row>
    <row r="2871" spans="1:10" x14ac:dyDescent="0.25">
      <c r="A2871">
        <v>3245</v>
      </c>
      <c r="B2871" t="s">
        <v>531</v>
      </c>
      <c r="C2871">
        <v>515</v>
      </c>
      <c r="D2871">
        <v>433</v>
      </c>
      <c r="E2871">
        <v>0</v>
      </c>
      <c r="F2871">
        <v>372</v>
      </c>
      <c r="G2871">
        <v>0</v>
      </c>
      <c r="H2871" t="s">
        <v>7796</v>
      </c>
      <c r="I2871">
        <v>3245</v>
      </c>
      <c r="J2871" t="e">
        <f>VLOOKUP(E2871,DSSpieler!A:B,2,FALSE)</f>
        <v>#N/A</v>
      </c>
    </row>
    <row r="2872" spans="1:10" x14ac:dyDescent="0.25">
      <c r="A2872">
        <v>3246</v>
      </c>
      <c r="B2872" t="s">
        <v>531</v>
      </c>
      <c r="C2872">
        <v>431</v>
      </c>
      <c r="D2872">
        <v>457</v>
      </c>
      <c r="E2872">
        <v>0</v>
      </c>
      <c r="F2872">
        <v>271</v>
      </c>
      <c r="G2872">
        <v>0</v>
      </c>
      <c r="H2872" t="s">
        <v>7797</v>
      </c>
      <c r="I2872">
        <v>3246</v>
      </c>
      <c r="J2872" t="e">
        <f>VLOOKUP(E2872,DSSpieler!A:B,2,FALSE)</f>
        <v>#N/A</v>
      </c>
    </row>
    <row r="2873" spans="1:10" x14ac:dyDescent="0.25">
      <c r="A2873">
        <v>3247</v>
      </c>
      <c r="B2873" t="s">
        <v>1105</v>
      </c>
      <c r="C2873">
        <v>440</v>
      </c>
      <c r="D2873">
        <v>423</v>
      </c>
      <c r="E2873">
        <v>10108912</v>
      </c>
      <c r="F2873">
        <v>5357</v>
      </c>
      <c r="G2873">
        <v>0</v>
      </c>
      <c r="H2873" t="s">
        <v>7798</v>
      </c>
      <c r="I2873">
        <v>3247</v>
      </c>
      <c r="J2873" t="str">
        <f>VLOOKUP(E2873,DSSpieler!A:B,2,FALSE)</f>
        <v>OverlordArcanis</v>
      </c>
    </row>
    <row r="2874" spans="1:10" x14ac:dyDescent="0.25">
      <c r="A2874">
        <v>3248</v>
      </c>
      <c r="B2874" t="s">
        <v>31757</v>
      </c>
      <c r="C2874">
        <v>564</v>
      </c>
      <c r="D2874">
        <v>473</v>
      </c>
      <c r="E2874">
        <v>1577195635</v>
      </c>
      <c r="F2874">
        <v>2574</v>
      </c>
      <c r="G2874">
        <v>0</v>
      </c>
      <c r="H2874" t="s">
        <v>7799</v>
      </c>
      <c r="I2874">
        <v>3248</v>
      </c>
      <c r="J2874" t="str">
        <f>VLOOKUP(E2874,DSSpieler!A:B,2,FALSE)</f>
        <v>Jonnybanana</v>
      </c>
    </row>
    <row r="2875" spans="1:10" x14ac:dyDescent="0.25">
      <c r="A2875">
        <v>3249</v>
      </c>
      <c r="B2875" t="s">
        <v>531</v>
      </c>
      <c r="C2875">
        <v>464</v>
      </c>
      <c r="D2875">
        <v>516</v>
      </c>
      <c r="E2875">
        <v>0</v>
      </c>
      <c r="F2875">
        <v>219</v>
      </c>
      <c r="G2875">
        <v>0</v>
      </c>
      <c r="H2875" t="s">
        <v>7800</v>
      </c>
      <c r="I2875">
        <v>3249</v>
      </c>
      <c r="J2875" t="e">
        <f>VLOOKUP(E2875,DSSpieler!A:B,2,FALSE)</f>
        <v>#N/A</v>
      </c>
    </row>
    <row r="2876" spans="1:10" x14ac:dyDescent="0.25">
      <c r="A2876">
        <v>3250</v>
      </c>
      <c r="B2876" t="s">
        <v>1106</v>
      </c>
      <c r="C2876">
        <v>443</v>
      </c>
      <c r="D2876">
        <v>450</v>
      </c>
      <c r="E2876">
        <v>1575840647</v>
      </c>
      <c r="F2876">
        <v>6013</v>
      </c>
      <c r="G2876">
        <v>0</v>
      </c>
      <c r="H2876" t="s">
        <v>7801</v>
      </c>
      <c r="I2876">
        <v>3250</v>
      </c>
      <c r="J2876" t="str">
        <f>VLOOKUP(E2876,DSSpieler!A:B,2,FALSE)</f>
        <v>Fuschl0815</v>
      </c>
    </row>
    <row r="2877" spans="1:10" x14ac:dyDescent="0.25">
      <c r="A2877">
        <v>3253</v>
      </c>
      <c r="B2877" t="s">
        <v>531</v>
      </c>
      <c r="C2877">
        <v>480</v>
      </c>
      <c r="D2877">
        <v>446</v>
      </c>
      <c r="E2877">
        <v>0</v>
      </c>
      <c r="F2877">
        <v>330</v>
      </c>
      <c r="G2877">
        <v>0</v>
      </c>
      <c r="H2877" t="s">
        <v>7802</v>
      </c>
      <c r="I2877">
        <v>3253</v>
      </c>
      <c r="J2877" t="e">
        <f>VLOOKUP(E2877,DSSpieler!A:B,2,FALSE)</f>
        <v>#N/A</v>
      </c>
    </row>
    <row r="2878" spans="1:10" x14ac:dyDescent="0.25">
      <c r="A2878">
        <v>3254</v>
      </c>
      <c r="B2878" t="s">
        <v>31758</v>
      </c>
      <c r="C2878">
        <v>601</v>
      </c>
      <c r="D2878">
        <v>497</v>
      </c>
      <c r="E2878">
        <v>1577071496</v>
      </c>
      <c r="F2878">
        <v>6853</v>
      </c>
      <c r="G2878">
        <v>0</v>
      </c>
      <c r="H2878" t="s">
        <v>7803</v>
      </c>
      <c r="I2878">
        <v>3254</v>
      </c>
      <c r="J2878" t="str">
        <f>VLOOKUP(E2878,DSSpieler!A:B,2,FALSE)</f>
        <v>boombot95</v>
      </c>
    </row>
    <row r="2879" spans="1:10" x14ac:dyDescent="0.25">
      <c r="A2879">
        <v>3257</v>
      </c>
      <c r="B2879" t="s">
        <v>31759</v>
      </c>
      <c r="C2879">
        <v>582</v>
      </c>
      <c r="D2879">
        <v>517</v>
      </c>
      <c r="E2879">
        <v>1577165203</v>
      </c>
      <c r="F2879">
        <v>5992</v>
      </c>
      <c r="G2879">
        <v>0</v>
      </c>
      <c r="H2879" t="s">
        <v>7804</v>
      </c>
      <c r="I2879">
        <v>3257</v>
      </c>
      <c r="J2879" t="str">
        <f>VLOOKUP(E2879,DSSpieler!A:B,2,FALSE)</f>
        <v>Stipce98</v>
      </c>
    </row>
    <row r="2880" spans="1:10" x14ac:dyDescent="0.25">
      <c r="A2880">
        <v>3258</v>
      </c>
      <c r="B2880" t="s">
        <v>31760</v>
      </c>
      <c r="C2880">
        <v>529</v>
      </c>
      <c r="D2880">
        <v>404</v>
      </c>
      <c r="E2880">
        <v>1576617784</v>
      </c>
      <c r="F2880">
        <v>6496</v>
      </c>
      <c r="G2880">
        <v>0</v>
      </c>
      <c r="H2880" t="s">
        <v>7805</v>
      </c>
      <c r="I2880">
        <v>3258</v>
      </c>
      <c r="J2880" t="str">
        <f>VLOOKUP(E2880,DSSpieler!A:B,2,FALSE)</f>
        <v>Hauptschulniveau Yoo</v>
      </c>
    </row>
    <row r="2881" spans="1:10" x14ac:dyDescent="0.25">
      <c r="A2881">
        <v>3259</v>
      </c>
      <c r="B2881" t="s">
        <v>531</v>
      </c>
      <c r="C2881">
        <v>529</v>
      </c>
      <c r="D2881">
        <v>461</v>
      </c>
      <c r="E2881">
        <v>0</v>
      </c>
      <c r="F2881">
        <v>410</v>
      </c>
      <c r="G2881">
        <v>0</v>
      </c>
      <c r="H2881" t="s">
        <v>7806</v>
      </c>
      <c r="I2881">
        <v>3259</v>
      </c>
      <c r="J2881" t="e">
        <f>VLOOKUP(E2881,DSSpieler!A:B,2,FALSE)</f>
        <v>#N/A</v>
      </c>
    </row>
    <row r="2882" spans="1:10" x14ac:dyDescent="0.25">
      <c r="A2882">
        <v>3260</v>
      </c>
      <c r="B2882" t="s">
        <v>1107</v>
      </c>
      <c r="C2882">
        <v>501</v>
      </c>
      <c r="D2882">
        <v>411</v>
      </c>
      <c r="E2882">
        <v>1577176097</v>
      </c>
      <c r="F2882">
        <v>6046</v>
      </c>
      <c r="G2882">
        <v>0</v>
      </c>
      <c r="H2882" t="s">
        <v>7807</v>
      </c>
      <c r="I2882">
        <v>3260</v>
      </c>
      <c r="J2882" t="str">
        <f>VLOOKUP(E2882,DSSpieler!A:B,2,FALSE)</f>
        <v>Nerro12</v>
      </c>
    </row>
    <row r="2883" spans="1:10" x14ac:dyDescent="0.25">
      <c r="A2883">
        <v>3261</v>
      </c>
      <c r="B2883" t="s">
        <v>531</v>
      </c>
      <c r="C2883">
        <v>469</v>
      </c>
      <c r="D2883">
        <v>553</v>
      </c>
      <c r="E2883">
        <v>0</v>
      </c>
      <c r="F2883">
        <v>268</v>
      </c>
      <c r="G2883">
        <v>0</v>
      </c>
      <c r="H2883" t="s">
        <v>7808</v>
      </c>
      <c r="I2883">
        <v>3261</v>
      </c>
      <c r="J2883" t="e">
        <f>VLOOKUP(E2883,DSSpieler!A:B,2,FALSE)</f>
        <v>#N/A</v>
      </c>
    </row>
    <row r="2884" spans="1:10" x14ac:dyDescent="0.25">
      <c r="A2884">
        <v>3262</v>
      </c>
      <c r="B2884" t="s">
        <v>531</v>
      </c>
      <c r="C2884">
        <v>455</v>
      </c>
      <c r="D2884">
        <v>462</v>
      </c>
      <c r="E2884">
        <v>0</v>
      </c>
      <c r="F2884">
        <v>360</v>
      </c>
      <c r="G2884">
        <v>0</v>
      </c>
      <c r="H2884" t="s">
        <v>7809</v>
      </c>
      <c r="I2884">
        <v>3262</v>
      </c>
      <c r="J2884" t="e">
        <f>VLOOKUP(E2884,DSSpieler!A:B,2,FALSE)</f>
        <v>#N/A</v>
      </c>
    </row>
    <row r="2885" spans="1:10" x14ac:dyDescent="0.25">
      <c r="A2885">
        <v>3263</v>
      </c>
      <c r="B2885" t="s">
        <v>1108</v>
      </c>
      <c r="C2885">
        <v>447</v>
      </c>
      <c r="D2885">
        <v>472</v>
      </c>
      <c r="E2885">
        <v>1577196866</v>
      </c>
      <c r="F2885">
        <v>6043</v>
      </c>
      <c r="G2885">
        <v>0</v>
      </c>
      <c r="H2885" t="s">
        <v>7810</v>
      </c>
      <c r="I2885">
        <v>3263</v>
      </c>
      <c r="J2885" t="str">
        <f>VLOOKUP(E2885,DSSpieler!A:B,2,FALSE)</f>
        <v>ihsoh</v>
      </c>
    </row>
    <row r="2886" spans="1:10" x14ac:dyDescent="0.25">
      <c r="A2886">
        <v>3264</v>
      </c>
      <c r="B2886" t="s">
        <v>1109</v>
      </c>
      <c r="C2886">
        <v>476</v>
      </c>
      <c r="D2886">
        <v>531</v>
      </c>
      <c r="E2886">
        <v>1577199057</v>
      </c>
      <c r="F2886">
        <v>611</v>
      </c>
      <c r="G2886">
        <v>0</v>
      </c>
      <c r="H2886" t="s">
        <v>7811</v>
      </c>
      <c r="I2886">
        <v>3264</v>
      </c>
      <c r="J2886" t="str">
        <f>VLOOKUP(E2886,DSSpieler!A:B,2,FALSE)</f>
        <v>Black lava</v>
      </c>
    </row>
    <row r="2887" spans="1:10" x14ac:dyDescent="0.25">
      <c r="A2887">
        <v>3265</v>
      </c>
      <c r="B2887" t="s">
        <v>31761</v>
      </c>
      <c r="C2887">
        <v>420</v>
      </c>
      <c r="D2887">
        <v>505</v>
      </c>
      <c r="E2887">
        <v>1577174186</v>
      </c>
      <c r="F2887">
        <v>5378</v>
      </c>
      <c r="G2887">
        <v>0</v>
      </c>
      <c r="H2887" t="s">
        <v>7812</v>
      </c>
      <c r="I2887">
        <v>3265</v>
      </c>
      <c r="J2887" t="str">
        <f>VLOOKUP(E2887,DSSpieler!A:B,2,FALSE)</f>
        <v>TuTsckin Dark</v>
      </c>
    </row>
    <row r="2888" spans="1:10" x14ac:dyDescent="0.25">
      <c r="A2888">
        <v>3266</v>
      </c>
      <c r="B2888" t="s">
        <v>979</v>
      </c>
      <c r="C2888">
        <v>522</v>
      </c>
      <c r="D2888">
        <v>588</v>
      </c>
      <c r="E2888">
        <v>1577197776</v>
      </c>
      <c r="F2888">
        <v>5243</v>
      </c>
      <c r="G2888">
        <v>0</v>
      </c>
      <c r="H2888" t="s">
        <v>7813</v>
      </c>
      <c r="I2888">
        <v>3266</v>
      </c>
      <c r="J2888" t="str">
        <f>VLOOKUP(E2888,DSSpieler!A:B,2,FALSE)</f>
        <v>Beefky</v>
      </c>
    </row>
    <row r="2889" spans="1:10" x14ac:dyDescent="0.25">
      <c r="A2889">
        <v>3267</v>
      </c>
      <c r="B2889" t="s">
        <v>31762</v>
      </c>
      <c r="C2889">
        <v>563</v>
      </c>
      <c r="D2889">
        <v>487</v>
      </c>
      <c r="E2889">
        <v>2589657</v>
      </c>
      <c r="F2889">
        <v>5598</v>
      </c>
      <c r="G2889">
        <v>0</v>
      </c>
      <c r="H2889" t="s">
        <v>7814</v>
      </c>
      <c r="I2889">
        <v>3267</v>
      </c>
      <c r="J2889" t="str">
        <f>VLOOKUP(E2889,DSSpieler!A:B,2,FALSE)</f>
        <v>mao-tsetung</v>
      </c>
    </row>
    <row r="2890" spans="1:10" x14ac:dyDescent="0.25">
      <c r="A2890">
        <v>3268</v>
      </c>
      <c r="B2890" t="s">
        <v>531</v>
      </c>
      <c r="C2890">
        <v>457</v>
      </c>
      <c r="D2890">
        <v>567</v>
      </c>
      <c r="E2890">
        <v>0</v>
      </c>
      <c r="F2890">
        <v>136</v>
      </c>
      <c r="G2890">
        <v>0</v>
      </c>
      <c r="H2890" t="s">
        <v>7815</v>
      </c>
      <c r="I2890">
        <v>3268</v>
      </c>
      <c r="J2890" t="e">
        <f>VLOOKUP(E2890,DSSpieler!A:B,2,FALSE)</f>
        <v>#N/A</v>
      </c>
    </row>
    <row r="2891" spans="1:10" x14ac:dyDescent="0.25">
      <c r="A2891">
        <v>3269</v>
      </c>
      <c r="B2891" t="s">
        <v>1110</v>
      </c>
      <c r="C2891">
        <v>470</v>
      </c>
      <c r="D2891">
        <v>499</v>
      </c>
      <c r="E2891">
        <v>1577197180</v>
      </c>
      <c r="F2891">
        <v>5609</v>
      </c>
      <c r="G2891">
        <v>0</v>
      </c>
      <c r="H2891" t="s">
        <v>7816</v>
      </c>
      <c r="I2891">
        <v>3269</v>
      </c>
      <c r="J2891" t="str">
        <f>VLOOKUP(E2891,DSSpieler!A:B,2,FALSE)</f>
        <v>Rontschi</v>
      </c>
    </row>
    <row r="2892" spans="1:10" x14ac:dyDescent="0.25">
      <c r="A2892">
        <v>3270</v>
      </c>
      <c r="B2892" t="s">
        <v>31763</v>
      </c>
      <c r="C2892">
        <v>584</v>
      </c>
      <c r="D2892">
        <v>546</v>
      </c>
      <c r="E2892">
        <v>1577171740</v>
      </c>
      <c r="F2892">
        <v>8144</v>
      </c>
      <c r="G2892">
        <v>0</v>
      </c>
      <c r="H2892" t="s">
        <v>7817</v>
      </c>
      <c r="I2892">
        <v>3270</v>
      </c>
      <c r="J2892" t="str">
        <f>VLOOKUP(E2892,DSSpieler!A:B,2,FALSE)</f>
        <v>Kevisback7</v>
      </c>
    </row>
    <row r="2893" spans="1:10" x14ac:dyDescent="0.25">
      <c r="A2893">
        <v>3271</v>
      </c>
      <c r="B2893" t="s">
        <v>31764</v>
      </c>
      <c r="C2893">
        <v>588</v>
      </c>
      <c r="D2893">
        <v>544</v>
      </c>
      <c r="E2893">
        <v>2918209</v>
      </c>
      <c r="F2893">
        <v>5625</v>
      </c>
      <c r="G2893">
        <v>0</v>
      </c>
      <c r="H2893" t="s">
        <v>7818</v>
      </c>
      <c r="I2893">
        <v>3271</v>
      </c>
      <c r="J2893" t="str">
        <f>VLOOKUP(E2893,DSSpieler!A:B,2,FALSE)</f>
        <v>Zeilor</v>
      </c>
    </row>
    <row r="2894" spans="1:10" x14ac:dyDescent="0.25">
      <c r="A2894">
        <v>3272</v>
      </c>
      <c r="B2894" t="s">
        <v>531</v>
      </c>
      <c r="C2894">
        <v>533</v>
      </c>
      <c r="D2894">
        <v>453</v>
      </c>
      <c r="E2894">
        <v>0</v>
      </c>
      <c r="F2894">
        <v>426</v>
      </c>
      <c r="G2894">
        <v>0</v>
      </c>
      <c r="H2894" t="s">
        <v>7819</v>
      </c>
      <c r="I2894">
        <v>3272</v>
      </c>
      <c r="J2894" t="e">
        <f>VLOOKUP(E2894,DSSpieler!A:B,2,FALSE)</f>
        <v>#N/A</v>
      </c>
    </row>
    <row r="2895" spans="1:10" x14ac:dyDescent="0.25">
      <c r="A2895">
        <v>3273</v>
      </c>
      <c r="B2895" t="s">
        <v>531</v>
      </c>
      <c r="C2895">
        <v>555</v>
      </c>
      <c r="D2895">
        <v>526</v>
      </c>
      <c r="E2895">
        <v>0</v>
      </c>
      <c r="F2895">
        <v>482</v>
      </c>
      <c r="G2895">
        <v>0</v>
      </c>
      <c r="H2895" t="s">
        <v>7820</v>
      </c>
      <c r="I2895">
        <v>3273</v>
      </c>
      <c r="J2895" t="e">
        <f>VLOOKUP(E2895,DSSpieler!A:B,2,FALSE)</f>
        <v>#N/A</v>
      </c>
    </row>
    <row r="2896" spans="1:10" x14ac:dyDescent="0.25">
      <c r="A2896">
        <v>3274</v>
      </c>
      <c r="B2896" t="s">
        <v>531</v>
      </c>
      <c r="C2896">
        <v>600</v>
      </c>
      <c r="D2896">
        <v>518</v>
      </c>
      <c r="E2896">
        <v>0</v>
      </c>
      <c r="F2896">
        <v>943</v>
      </c>
      <c r="G2896">
        <v>0</v>
      </c>
      <c r="H2896" t="s">
        <v>7821</v>
      </c>
      <c r="I2896">
        <v>3274</v>
      </c>
      <c r="J2896" t="e">
        <f>VLOOKUP(E2896,DSSpieler!A:B,2,FALSE)</f>
        <v>#N/A</v>
      </c>
    </row>
    <row r="2897" spans="1:10" x14ac:dyDescent="0.25">
      <c r="A2897">
        <v>3275</v>
      </c>
      <c r="B2897" t="s">
        <v>31765</v>
      </c>
      <c r="C2897">
        <v>593</v>
      </c>
      <c r="D2897">
        <v>438</v>
      </c>
      <c r="E2897">
        <v>1577065529</v>
      </c>
      <c r="F2897">
        <v>4411</v>
      </c>
      <c r="G2897">
        <v>0</v>
      </c>
      <c r="H2897" t="s">
        <v>7822</v>
      </c>
      <c r="I2897">
        <v>3275</v>
      </c>
      <c r="J2897" t="str">
        <f>VLOOKUP(E2897,DSSpieler!A:B,2,FALSE)</f>
        <v>Spanholz</v>
      </c>
    </row>
    <row r="2898" spans="1:10" x14ac:dyDescent="0.25">
      <c r="A2898">
        <v>3276</v>
      </c>
      <c r="B2898" t="s">
        <v>31766</v>
      </c>
      <c r="C2898">
        <v>493</v>
      </c>
      <c r="D2898">
        <v>391</v>
      </c>
      <c r="E2898">
        <v>1577054268</v>
      </c>
      <c r="F2898">
        <v>5513</v>
      </c>
      <c r="G2898">
        <v>0</v>
      </c>
      <c r="H2898" t="s">
        <v>7823</v>
      </c>
      <c r="I2898">
        <v>3276</v>
      </c>
      <c r="J2898" t="str">
        <f>VLOOKUP(E2898,DSSpieler!A:B,2,FALSE)</f>
        <v>Teer Dooht</v>
      </c>
    </row>
    <row r="2899" spans="1:10" x14ac:dyDescent="0.25">
      <c r="A2899">
        <v>3277</v>
      </c>
      <c r="B2899" t="s">
        <v>31767</v>
      </c>
      <c r="C2899">
        <v>515</v>
      </c>
      <c r="D2899">
        <v>561</v>
      </c>
      <c r="E2899">
        <v>8342200</v>
      </c>
      <c r="F2899">
        <v>6521</v>
      </c>
      <c r="G2899">
        <v>0</v>
      </c>
      <c r="H2899" t="s">
        <v>7824</v>
      </c>
      <c r="I2899">
        <v>3277</v>
      </c>
      <c r="J2899" t="str">
        <f>VLOOKUP(E2899,DSSpieler!A:B,2,FALSE)</f>
        <v>Boboboba</v>
      </c>
    </row>
    <row r="2900" spans="1:10" x14ac:dyDescent="0.25">
      <c r="A2900">
        <v>3278</v>
      </c>
      <c r="B2900" t="s">
        <v>31768</v>
      </c>
      <c r="C2900">
        <v>511</v>
      </c>
      <c r="D2900">
        <v>567</v>
      </c>
      <c r="E2900">
        <v>8911791</v>
      </c>
      <c r="F2900">
        <v>6573</v>
      </c>
      <c r="G2900">
        <v>0</v>
      </c>
      <c r="H2900" t="s">
        <v>7825</v>
      </c>
      <c r="I2900">
        <v>3278</v>
      </c>
      <c r="J2900" t="str">
        <f>VLOOKUP(E2900,DSSpieler!A:B,2,FALSE)</f>
        <v>Azerlord</v>
      </c>
    </row>
    <row r="2901" spans="1:10" x14ac:dyDescent="0.25">
      <c r="A2901">
        <v>3279</v>
      </c>
      <c r="B2901" t="s">
        <v>531</v>
      </c>
      <c r="C2901">
        <v>532</v>
      </c>
      <c r="D2901">
        <v>460</v>
      </c>
      <c r="E2901">
        <v>0</v>
      </c>
      <c r="F2901">
        <v>543</v>
      </c>
      <c r="G2901">
        <v>0</v>
      </c>
      <c r="H2901" t="s">
        <v>7826</v>
      </c>
      <c r="I2901">
        <v>3279</v>
      </c>
      <c r="J2901" t="e">
        <f>VLOOKUP(E2901,DSSpieler!A:B,2,FALSE)</f>
        <v>#N/A</v>
      </c>
    </row>
    <row r="2902" spans="1:10" x14ac:dyDescent="0.25">
      <c r="A2902">
        <v>3280</v>
      </c>
      <c r="B2902" t="s">
        <v>673</v>
      </c>
      <c r="C2902">
        <v>571</v>
      </c>
      <c r="D2902">
        <v>553</v>
      </c>
      <c r="E2902">
        <v>7624025</v>
      </c>
      <c r="F2902">
        <v>3520</v>
      </c>
      <c r="G2902">
        <v>0</v>
      </c>
      <c r="H2902" t="s">
        <v>7827</v>
      </c>
      <c r="I2902">
        <v>3280</v>
      </c>
      <c r="J2902" t="str">
        <f>VLOOKUP(E2902,DSSpieler!A:B,2,FALSE)</f>
        <v>yugioh13</v>
      </c>
    </row>
    <row r="2903" spans="1:10" x14ac:dyDescent="0.25">
      <c r="A2903">
        <v>3281</v>
      </c>
      <c r="B2903" t="s">
        <v>1111</v>
      </c>
      <c r="C2903">
        <v>452</v>
      </c>
      <c r="D2903">
        <v>495</v>
      </c>
      <c r="E2903">
        <v>9813109</v>
      </c>
      <c r="F2903">
        <v>2670</v>
      </c>
      <c r="G2903">
        <v>0</v>
      </c>
      <c r="H2903" t="s">
        <v>7828</v>
      </c>
      <c r="I2903">
        <v>3281</v>
      </c>
      <c r="J2903" t="str">
        <f>VLOOKUP(E2903,DSSpieler!A:B,2,FALSE)</f>
        <v>chrismaster10</v>
      </c>
    </row>
    <row r="2904" spans="1:10" x14ac:dyDescent="0.25">
      <c r="A2904">
        <v>3282</v>
      </c>
      <c r="B2904" t="e">
        <f>-Igors+Dorf</f>
        <v>#NAME?</v>
      </c>
      <c r="C2904">
        <v>504</v>
      </c>
      <c r="D2904">
        <v>576</v>
      </c>
      <c r="E2904">
        <v>1577197733</v>
      </c>
      <c r="F2904">
        <v>5575</v>
      </c>
      <c r="G2904">
        <v>0</v>
      </c>
      <c r="H2904" t="s">
        <v>7829</v>
      </c>
      <c r="I2904">
        <v>3282</v>
      </c>
      <c r="J2904" t="str">
        <f>VLOOKUP(E2904,DSSpieler!A:B,2,FALSE)</f>
        <v>Sheriff Söder</v>
      </c>
    </row>
    <row r="2905" spans="1:10" x14ac:dyDescent="0.25">
      <c r="A2905">
        <v>3283</v>
      </c>
      <c r="B2905" t="s">
        <v>1112</v>
      </c>
      <c r="C2905">
        <v>446</v>
      </c>
      <c r="D2905">
        <v>543</v>
      </c>
      <c r="E2905">
        <v>1577195113</v>
      </c>
      <c r="F2905">
        <v>4410</v>
      </c>
      <c r="G2905">
        <v>0</v>
      </c>
      <c r="H2905" t="s">
        <v>7830</v>
      </c>
      <c r="I2905">
        <v>3283</v>
      </c>
      <c r="J2905" t="str">
        <f>VLOOKUP(E2905,DSSpieler!A:B,2,FALSE)</f>
        <v>WtfImLagging</v>
      </c>
    </row>
    <row r="2906" spans="1:10" x14ac:dyDescent="0.25">
      <c r="A2906">
        <v>3284</v>
      </c>
      <c r="B2906" t="s">
        <v>31769</v>
      </c>
      <c r="C2906">
        <v>435</v>
      </c>
      <c r="D2906">
        <v>457</v>
      </c>
      <c r="E2906">
        <v>8459448</v>
      </c>
      <c r="F2906">
        <v>5338</v>
      </c>
      <c r="G2906">
        <v>0</v>
      </c>
      <c r="H2906" t="s">
        <v>7831</v>
      </c>
      <c r="I2906">
        <v>3284</v>
      </c>
      <c r="J2906" t="str">
        <f>VLOOKUP(E2906,DSSpieler!A:B,2,FALSE)</f>
        <v>DarkDarco</v>
      </c>
    </row>
    <row r="2907" spans="1:10" x14ac:dyDescent="0.25">
      <c r="A2907">
        <v>3286</v>
      </c>
      <c r="B2907" t="s">
        <v>31770</v>
      </c>
      <c r="C2907">
        <v>530</v>
      </c>
      <c r="D2907">
        <v>550</v>
      </c>
      <c r="E2907">
        <v>1577197583</v>
      </c>
      <c r="F2907">
        <v>5762</v>
      </c>
      <c r="G2907">
        <v>0</v>
      </c>
      <c r="H2907" t="s">
        <v>7832</v>
      </c>
      <c r="I2907">
        <v>3286</v>
      </c>
      <c r="J2907" t="str">
        <f>VLOOKUP(E2907,DSSpieler!A:B,2,FALSE)</f>
        <v>Kriegsfürst Vurtne</v>
      </c>
    </row>
    <row r="2908" spans="1:10" x14ac:dyDescent="0.25">
      <c r="A2908">
        <v>3287</v>
      </c>
      <c r="B2908" t="s">
        <v>979</v>
      </c>
      <c r="C2908">
        <v>504</v>
      </c>
      <c r="D2908">
        <v>604</v>
      </c>
      <c r="E2908">
        <v>1576934386</v>
      </c>
      <c r="F2908">
        <v>6457</v>
      </c>
      <c r="G2908">
        <v>0</v>
      </c>
      <c r="H2908" t="s">
        <v>7833</v>
      </c>
      <c r="I2908">
        <v>3287</v>
      </c>
      <c r="J2908" t="str">
        <f>VLOOKUP(E2908,DSSpieler!A:B,2,FALSE)</f>
        <v>Signed1</v>
      </c>
    </row>
    <row r="2909" spans="1:10" x14ac:dyDescent="0.25">
      <c r="A2909">
        <v>3288</v>
      </c>
      <c r="B2909" t="s">
        <v>546</v>
      </c>
      <c r="C2909">
        <v>503</v>
      </c>
      <c r="D2909">
        <v>440</v>
      </c>
      <c r="E2909">
        <v>1577184594</v>
      </c>
      <c r="F2909">
        <v>4489</v>
      </c>
      <c r="G2909">
        <v>0</v>
      </c>
      <c r="H2909" t="s">
        <v>7834</v>
      </c>
      <c r="I2909">
        <v>3288</v>
      </c>
      <c r="J2909" t="str">
        <f>VLOOKUP(E2909,DSSpieler!A:B,2,FALSE)</f>
        <v>Hary014</v>
      </c>
    </row>
    <row r="2910" spans="1:10" x14ac:dyDescent="0.25">
      <c r="A2910">
        <v>3289</v>
      </c>
      <c r="B2910">
        <v>2</v>
      </c>
      <c r="C2910">
        <v>603</v>
      </c>
      <c r="D2910">
        <v>472</v>
      </c>
      <c r="E2910">
        <v>1577197662</v>
      </c>
      <c r="F2910">
        <v>6527</v>
      </c>
      <c r="G2910">
        <v>0</v>
      </c>
      <c r="H2910" t="s">
        <v>7835</v>
      </c>
      <c r="I2910">
        <v>3289</v>
      </c>
      <c r="J2910" t="str">
        <f>VLOOKUP(E2910,DSSpieler!A:B,2,FALSE)</f>
        <v>Topfengolatschen</v>
      </c>
    </row>
    <row r="2911" spans="1:10" x14ac:dyDescent="0.25">
      <c r="A2911">
        <v>3290</v>
      </c>
      <c r="B2911" t="s">
        <v>31771</v>
      </c>
      <c r="C2911">
        <v>480</v>
      </c>
      <c r="D2911">
        <v>399</v>
      </c>
      <c r="E2911">
        <v>1577197990</v>
      </c>
      <c r="F2911">
        <v>1676</v>
      </c>
      <c r="G2911">
        <v>0</v>
      </c>
      <c r="H2911" t="s">
        <v>7836</v>
      </c>
      <c r="I2911">
        <v>3290</v>
      </c>
      <c r="J2911" t="str">
        <f>VLOOKUP(E2911,DSSpieler!A:B,2,FALSE)</f>
        <v>haemmy2</v>
      </c>
    </row>
    <row r="2912" spans="1:10" x14ac:dyDescent="0.25">
      <c r="A2912">
        <v>3292</v>
      </c>
      <c r="B2912" t="s">
        <v>31772</v>
      </c>
      <c r="C2912">
        <v>572</v>
      </c>
      <c r="D2912">
        <v>521</v>
      </c>
      <c r="E2912">
        <v>10008893</v>
      </c>
      <c r="F2912">
        <v>7842</v>
      </c>
      <c r="G2912">
        <v>0</v>
      </c>
      <c r="H2912" t="s">
        <v>7837</v>
      </c>
      <c r="I2912">
        <v>3292</v>
      </c>
      <c r="J2912" t="str">
        <f>VLOOKUP(E2912,DSSpieler!A:B,2,FALSE)</f>
        <v>walsi the lord</v>
      </c>
    </row>
    <row r="2913" spans="1:10" x14ac:dyDescent="0.25">
      <c r="A2913">
        <v>3293</v>
      </c>
      <c r="B2913" t="s">
        <v>31773</v>
      </c>
      <c r="C2913">
        <v>555</v>
      </c>
      <c r="D2913">
        <v>519</v>
      </c>
      <c r="E2913">
        <v>9956098</v>
      </c>
      <c r="F2913">
        <v>6552</v>
      </c>
      <c r="G2913">
        <v>0</v>
      </c>
      <c r="H2913" t="s">
        <v>7838</v>
      </c>
      <c r="I2913">
        <v>3293</v>
      </c>
      <c r="J2913" t="str">
        <f>VLOOKUP(E2913,DSSpieler!A:B,2,FALSE)</f>
        <v>Hasselberry-Fin</v>
      </c>
    </row>
    <row r="2914" spans="1:10" x14ac:dyDescent="0.25">
      <c r="A2914">
        <v>3295</v>
      </c>
      <c r="B2914" t="s">
        <v>31774</v>
      </c>
      <c r="C2914">
        <v>525</v>
      </c>
      <c r="D2914">
        <v>533</v>
      </c>
      <c r="E2914">
        <v>8806700</v>
      </c>
      <c r="F2914">
        <v>5211</v>
      </c>
      <c r="G2914">
        <v>0</v>
      </c>
      <c r="H2914" t="s">
        <v>7839</v>
      </c>
      <c r="I2914">
        <v>3295</v>
      </c>
      <c r="J2914" t="str">
        <f>VLOOKUP(E2914,DSSpieler!A:B,2,FALSE)</f>
        <v>Eworks</v>
      </c>
    </row>
    <row r="2915" spans="1:10" x14ac:dyDescent="0.25">
      <c r="A2915">
        <v>3296</v>
      </c>
      <c r="B2915" t="s">
        <v>531</v>
      </c>
      <c r="C2915">
        <v>526</v>
      </c>
      <c r="D2915">
        <v>576</v>
      </c>
      <c r="E2915">
        <v>0</v>
      </c>
      <c r="F2915">
        <v>275</v>
      </c>
      <c r="G2915">
        <v>0</v>
      </c>
      <c r="H2915" t="s">
        <v>7840</v>
      </c>
      <c r="I2915">
        <v>3296</v>
      </c>
      <c r="J2915" t="e">
        <f>VLOOKUP(E2915,DSSpieler!A:B,2,FALSE)</f>
        <v>#N/A</v>
      </c>
    </row>
    <row r="2916" spans="1:10" x14ac:dyDescent="0.25">
      <c r="A2916">
        <v>3297</v>
      </c>
      <c r="B2916" t="s">
        <v>31775</v>
      </c>
      <c r="C2916">
        <v>542</v>
      </c>
      <c r="D2916">
        <v>465</v>
      </c>
      <c r="E2916">
        <v>1576294527</v>
      </c>
      <c r="F2916">
        <v>6783</v>
      </c>
      <c r="G2916">
        <v>0</v>
      </c>
      <c r="H2916" t="s">
        <v>7841</v>
      </c>
      <c r="I2916">
        <v>3297</v>
      </c>
      <c r="J2916" t="str">
        <f>VLOOKUP(E2916,DSSpieler!A:B,2,FALSE)</f>
        <v>firet0uch</v>
      </c>
    </row>
    <row r="2917" spans="1:10" x14ac:dyDescent="0.25">
      <c r="A2917">
        <v>3298</v>
      </c>
      <c r="B2917" t="s">
        <v>31776</v>
      </c>
      <c r="C2917">
        <v>444</v>
      </c>
      <c r="D2917">
        <v>466</v>
      </c>
      <c r="E2917">
        <v>9354820</v>
      </c>
      <c r="F2917">
        <v>2357</v>
      </c>
      <c r="G2917">
        <v>0</v>
      </c>
      <c r="H2917" t="s">
        <v>7842</v>
      </c>
      <c r="I2917">
        <v>3298</v>
      </c>
      <c r="J2917" t="str">
        <f>VLOOKUP(E2917,DSSpieler!A:B,2,FALSE)</f>
        <v>Meisterknecht001</v>
      </c>
    </row>
    <row r="2918" spans="1:10" x14ac:dyDescent="0.25">
      <c r="A2918">
        <v>3299</v>
      </c>
      <c r="B2918" t="s">
        <v>31777</v>
      </c>
      <c r="C2918">
        <v>577</v>
      </c>
      <c r="D2918">
        <v>552</v>
      </c>
      <c r="E2918">
        <v>532123</v>
      </c>
      <c r="F2918">
        <v>3908</v>
      </c>
      <c r="G2918">
        <v>0</v>
      </c>
      <c r="H2918" t="s">
        <v>7843</v>
      </c>
      <c r="I2918">
        <v>3299</v>
      </c>
      <c r="J2918" t="str">
        <f>VLOOKUP(E2918,DSSpieler!A:B,2,FALSE)</f>
        <v>doenges-team</v>
      </c>
    </row>
    <row r="2919" spans="1:10" x14ac:dyDescent="0.25">
      <c r="A2919">
        <v>3300</v>
      </c>
      <c r="B2919" t="s">
        <v>531</v>
      </c>
      <c r="C2919">
        <v>549</v>
      </c>
      <c r="D2919">
        <v>472</v>
      </c>
      <c r="E2919">
        <v>0</v>
      </c>
      <c r="F2919">
        <v>527</v>
      </c>
      <c r="G2919">
        <v>0</v>
      </c>
      <c r="H2919" t="s">
        <v>7844</v>
      </c>
      <c r="I2919">
        <v>3300</v>
      </c>
      <c r="J2919" t="e">
        <f>VLOOKUP(E2919,DSSpieler!A:B,2,FALSE)</f>
        <v>#N/A</v>
      </c>
    </row>
    <row r="2920" spans="1:10" x14ac:dyDescent="0.25">
      <c r="A2920">
        <v>3301</v>
      </c>
      <c r="B2920" t="s">
        <v>31778</v>
      </c>
      <c r="C2920">
        <v>538</v>
      </c>
      <c r="D2920">
        <v>457</v>
      </c>
      <c r="E2920">
        <v>7765891</v>
      </c>
      <c r="F2920">
        <v>8320</v>
      </c>
      <c r="G2920">
        <v>0</v>
      </c>
      <c r="H2920" t="s">
        <v>7845</v>
      </c>
      <c r="I2920">
        <v>3301</v>
      </c>
      <c r="J2920" t="str">
        <f>VLOOKUP(E2920,DSSpieler!A:B,2,FALSE)</f>
        <v>Rimato</v>
      </c>
    </row>
    <row r="2921" spans="1:10" x14ac:dyDescent="0.25">
      <c r="A2921">
        <v>3303</v>
      </c>
      <c r="B2921" t="s">
        <v>531</v>
      </c>
      <c r="C2921">
        <v>539</v>
      </c>
      <c r="D2921">
        <v>446</v>
      </c>
      <c r="E2921">
        <v>0</v>
      </c>
      <c r="F2921">
        <v>375</v>
      </c>
      <c r="G2921">
        <v>0</v>
      </c>
      <c r="H2921" t="s">
        <v>7846</v>
      </c>
      <c r="I2921">
        <v>3303</v>
      </c>
      <c r="J2921" t="e">
        <f>VLOOKUP(E2921,DSSpieler!A:B,2,FALSE)</f>
        <v>#N/A</v>
      </c>
    </row>
    <row r="2922" spans="1:10" x14ac:dyDescent="0.25">
      <c r="A2922">
        <v>3304</v>
      </c>
      <c r="B2922" t="s">
        <v>979</v>
      </c>
      <c r="C2922">
        <v>511</v>
      </c>
      <c r="D2922">
        <v>600</v>
      </c>
      <c r="E2922">
        <v>1576807787</v>
      </c>
      <c r="F2922">
        <v>1940</v>
      </c>
      <c r="G2922">
        <v>0</v>
      </c>
      <c r="H2922" t="s">
        <v>7847</v>
      </c>
      <c r="I2922">
        <v>3304</v>
      </c>
      <c r="J2922" t="str">
        <f>VLOOKUP(E2922,DSSpieler!A:B,2,FALSE)</f>
        <v>-TeaCup*</v>
      </c>
    </row>
    <row r="2923" spans="1:10" x14ac:dyDescent="0.25">
      <c r="A2923">
        <v>3305</v>
      </c>
      <c r="B2923" t="s">
        <v>531</v>
      </c>
      <c r="C2923">
        <v>505</v>
      </c>
      <c r="D2923">
        <v>597</v>
      </c>
      <c r="E2923">
        <v>1577114766</v>
      </c>
      <c r="F2923">
        <v>1417</v>
      </c>
      <c r="G2923">
        <v>0</v>
      </c>
      <c r="H2923" t="s">
        <v>7848</v>
      </c>
      <c r="I2923">
        <v>3305</v>
      </c>
      <c r="J2923" t="str">
        <f>VLOOKUP(E2923,DSSpieler!A:B,2,FALSE)</f>
        <v>save.maschine</v>
      </c>
    </row>
    <row r="2924" spans="1:10" x14ac:dyDescent="0.25">
      <c r="A2924">
        <v>3306</v>
      </c>
      <c r="B2924" t="s">
        <v>1113</v>
      </c>
      <c r="C2924">
        <v>489</v>
      </c>
      <c r="D2924">
        <v>554</v>
      </c>
      <c r="E2924">
        <v>1577195732</v>
      </c>
      <c r="F2924">
        <v>448</v>
      </c>
      <c r="G2924">
        <v>0</v>
      </c>
      <c r="H2924" t="s">
        <v>7849</v>
      </c>
      <c r="I2924">
        <v>3306</v>
      </c>
      <c r="J2924" t="str">
        <f>VLOOKUP(E2924,DSSpieler!A:B,2,FALSE)</f>
        <v>LorimoD420</v>
      </c>
    </row>
    <row r="2925" spans="1:10" x14ac:dyDescent="0.25">
      <c r="A2925">
        <v>3308</v>
      </c>
      <c r="B2925" t="s">
        <v>31779</v>
      </c>
      <c r="C2925">
        <v>542</v>
      </c>
      <c r="D2925">
        <v>582</v>
      </c>
      <c r="E2925">
        <v>9742133</v>
      </c>
      <c r="F2925">
        <v>5657</v>
      </c>
      <c r="G2925">
        <v>0</v>
      </c>
      <c r="H2925" t="s">
        <v>7850</v>
      </c>
      <c r="I2925">
        <v>3308</v>
      </c>
      <c r="J2925" t="str">
        <f>VLOOKUP(E2925,DSSpieler!A:B,2,FALSE)</f>
        <v>Pvt.First</v>
      </c>
    </row>
    <row r="2926" spans="1:10" x14ac:dyDescent="0.25">
      <c r="A2926">
        <v>3309</v>
      </c>
      <c r="B2926" t="s">
        <v>1114</v>
      </c>
      <c r="C2926">
        <v>499</v>
      </c>
      <c r="D2926">
        <v>531</v>
      </c>
      <c r="E2926">
        <v>1577184411</v>
      </c>
      <c r="F2926">
        <v>4074</v>
      </c>
      <c r="G2926">
        <v>0</v>
      </c>
      <c r="H2926" t="s">
        <v>7851</v>
      </c>
      <c r="I2926">
        <v>3309</v>
      </c>
      <c r="J2926" t="str">
        <f>VLOOKUP(E2926,DSSpieler!A:B,2,FALSE)</f>
        <v>Meister Klaus</v>
      </c>
    </row>
    <row r="2927" spans="1:10" x14ac:dyDescent="0.25">
      <c r="A2927">
        <v>3310</v>
      </c>
      <c r="B2927" t="s">
        <v>1115</v>
      </c>
      <c r="C2927">
        <v>437</v>
      </c>
      <c r="D2927">
        <v>435</v>
      </c>
      <c r="E2927">
        <v>1577186220</v>
      </c>
      <c r="F2927">
        <v>6213</v>
      </c>
      <c r="G2927">
        <v>0</v>
      </c>
      <c r="H2927" t="s">
        <v>7852</v>
      </c>
      <c r="I2927">
        <v>3310</v>
      </c>
      <c r="J2927" t="str">
        <f>VLOOKUP(E2927,DSSpieler!A:B,2,FALSE)</f>
        <v>Zlatantim</v>
      </c>
    </row>
    <row r="2928" spans="1:10" x14ac:dyDescent="0.25">
      <c r="A2928">
        <v>3311</v>
      </c>
      <c r="B2928">
        <v>1</v>
      </c>
      <c r="C2928">
        <v>404</v>
      </c>
      <c r="D2928">
        <v>463</v>
      </c>
      <c r="E2928">
        <v>1577064688</v>
      </c>
      <c r="F2928">
        <v>5876</v>
      </c>
      <c r="G2928">
        <v>0</v>
      </c>
      <c r="H2928" t="s">
        <v>7853</v>
      </c>
      <c r="I2928">
        <v>3311</v>
      </c>
      <c r="J2928" t="str">
        <f>VLOOKUP(E2928,DSSpieler!A:B,2,FALSE)</f>
        <v>Dumbstar</v>
      </c>
    </row>
    <row r="2929" spans="1:10" x14ac:dyDescent="0.25">
      <c r="A2929">
        <v>3312</v>
      </c>
      <c r="B2929" t="s">
        <v>1116</v>
      </c>
      <c r="C2929">
        <v>544</v>
      </c>
      <c r="D2929">
        <v>456</v>
      </c>
      <c r="E2929">
        <v>1577181871</v>
      </c>
      <c r="F2929">
        <v>3116</v>
      </c>
      <c r="G2929">
        <v>0</v>
      </c>
      <c r="H2929" t="s">
        <v>7854</v>
      </c>
      <c r="I2929">
        <v>3312</v>
      </c>
      <c r="J2929" t="str">
        <f>VLOOKUP(E2929,DSSpieler!A:B,2,FALSE)</f>
        <v>Kingerum</v>
      </c>
    </row>
    <row r="2930" spans="1:10" x14ac:dyDescent="0.25">
      <c r="A2930">
        <v>3313</v>
      </c>
      <c r="B2930" t="s">
        <v>531</v>
      </c>
      <c r="C2930">
        <v>463</v>
      </c>
      <c r="D2930">
        <v>465</v>
      </c>
      <c r="E2930">
        <v>0</v>
      </c>
      <c r="F2930">
        <v>206</v>
      </c>
      <c r="G2930">
        <v>0</v>
      </c>
      <c r="H2930" t="s">
        <v>7855</v>
      </c>
      <c r="I2930">
        <v>3313</v>
      </c>
      <c r="J2930" t="e">
        <f>VLOOKUP(E2930,DSSpieler!A:B,2,FALSE)</f>
        <v>#N/A</v>
      </c>
    </row>
    <row r="2931" spans="1:10" x14ac:dyDescent="0.25">
      <c r="A2931">
        <v>3315</v>
      </c>
      <c r="B2931" t="s">
        <v>1117</v>
      </c>
      <c r="C2931">
        <v>521</v>
      </c>
      <c r="D2931">
        <v>448</v>
      </c>
      <c r="E2931">
        <v>1577190895</v>
      </c>
      <c r="F2931">
        <v>5198</v>
      </c>
      <c r="G2931">
        <v>0</v>
      </c>
      <c r="H2931" t="s">
        <v>7856</v>
      </c>
      <c r="I2931">
        <v>3315</v>
      </c>
      <c r="J2931" t="str">
        <f>VLOOKUP(E2931,DSSpieler!A:B,2,FALSE)</f>
        <v>Knorktoffel</v>
      </c>
    </row>
    <row r="2932" spans="1:10" x14ac:dyDescent="0.25">
      <c r="A2932">
        <v>3316</v>
      </c>
      <c r="B2932" t="s">
        <v>31780</v>
      </c>
      <c r="C2932">
        <v>532</v>
      </c>
      <c r="D2932">
        <v>605</v>
      </c>
      <c r="E2932">
        <v>1577183490</v>
      </c>
      <c r="F2932">
        <v>4782</v>
      </c>
      <c r="G2932">
        <v>0</v>
      </c>
      <c r="H2932" t="s">
        <v>7857</v>
      </c>
      <c r="I2932">
        <v>3316</v>
      </c>
      <c r="J2932" t="str">
        <f>VLOOKUP(E2932,DSSpieler!A:B,2,FALSE)</f>
        <v>KlabauterKlaus</v>
      </c>
    </row>
    <row r="2933" spans="1:10" x14ac:dyDescent="0.25">
      <c r="A2933">
        <v>3317</v>
      </c>
      <c r="B2933" t="s">
        <v>31781</v>
      </c>
      <c r="C2933">
        <v>494</v>
      </c>
      <c r="D2933">
        <v>392</v>
      </c>
      <c r="E2933">
        <v>1577112671</v>
      </c>
      <c r="F2933">
        <v>6100</v>
      </c>
      <c r="G2933">
        <v>0</v>
      </c>
      <c r="H2933" t="s">
        <v>7858</v>
      </c>
      <c r="I2933">
        <v>3317</v>
      </c>
      <c r="J2933" t="str">
        <f>VLOOKUP(E2933,DSSpieler!A:B,2,FALSE)</f>
        <v>TSM Drogon</v>
      </c>
    </row>
    <row r="2934" spans="1:10" x14ac:dyDescent="0.25">
      <c r="A2934">
        <v>3319</v>
      </c>
      <c r="B2934" t="s">
        <v>1118</v>
      </c>
      <c r="C2934">
        <v>441</v>
      </c>
      <c r="D2934">
        <v>555</v>
      </c>
      <c r="E2934">
        <v>1577197803</v>
      </c>
      <c r="F2934">
        <v>4313</v>
      </c>
      <c r="G2934">
        <v>0</v>
      </c>
      <c r="H2934" t="s">
        <v>7859</v>
      </c>
      <c r="I2934">
        <v>3319</v>
      </c>
      <c r="J2934" t="str">
        <f>VLOOKUP(E2934,DSSpieler!A:B,2,FALSE)</f>
        <v>Jasnik</v>
      </c>
    </row>
    <row r="2935" spans="1:10" x14ac:dyDescent="0.25">
      <c r="A2935">
        <v>3320</v>
      </c>
      <c r="B2935" t="s">
        <v>31782</v>
      </c>
      <c r="C2935">
        <v>431</v>
      </c>
      <c r="D2935">
        <v>422</v>
      </c>
      <c r="E2935">
        <v>8165228</v>
      </c>
      <c r="F2935">
        <v>5721</v>
      </c>
      <c r="G2935">
        <v>0</v>
      </c>
      <c r="H2935" t="s">
        <v>7860</v>
      </c>
      <c r="I2935">
        <v>3320</v>
      </c>
      <c r="J2935" t="str">
        <f>VLOOKUP(E2935,DSSpieler!A:B,2,FALSE)</f>
        <v>Rexaron</v>
      </c>
    </row>
    <row r="2936" spans="1:10" x14ac:dyDescent="0.25">
      <c r="A2936">
        <v>3321</v>
      </c>
      <c r="B2936" t="s">
        <v>531</v>
      </c>
      <c r="C2936">
        <v>577</v>
      </c>
      <c r="D2936">
        <v>475</v>
      </c>
      <c r="E2936">
        <v>0</v>
      </c>
      <c r="F2936">
        <v>348</v>
      </c>
      <c r="G2936">
        <v>0</v>
      </c>
      <c r="H2936" t="s">
        <v>7861</v>
      </c>
      <c r="I2936">
        <v>3321</v>
      </c>
      <c r="J2936" t="e">
        <f>VLOOKUP(E2936,DSSpieler!A:B,2,FALSE)</f>
        <v>#N/A</v>
      </c>
    </row>
    <row r="2937" spans="1:10" x14ac:dyDescent="0.25">
      <c r="A2937">
        <v>3325</v>
      </c>
      <c r="B2937" t="s">
        <v>531</v>
      </c>
      <c r="C2937">
        <v>401</v>
      </c>
      <c r="D2937">
        <v>546</v>
      </c>
      <c r="E2937">
        <v>0</v>
      </c>
      <c r="F2937">
        <v>1126</v>
      </c>
      <c r="G2937">
        <v>0</v>
      </c>
      <c r="H2937" t="s">
        <v>7862</v>
      </c>
      <c r="I2937">
        <v>3325</v>
      </c>
      <c r="J2937" t="e">
        <f>VLOOKUP(E2937,DSSpieler!A:B,2,FALSE)</f>
        <v>#N/A</v>
      </c>
    </row>
    <row r="2938" spans="1:10" x14ac:dyDescent="0.25">
      <c r="A2938">
        <v>3326</v>
      </c>
      <c r="B2938" t="s">
        <v>1119</v>
      </c>
      <c r="C2938">
        <v>464</v>
      </c>
      <c r="D2938">
        <v>558</v>
      </c>
      <c r="E2938">
        <v>9764565</v>
      </c>
      <c r="F2938">
        <v>4981</v>
      </c>
      <c r="G2938">
        <v>0</v>
      </c>
      <c r="H2938" t="s">
        <v>7863</v>
      </c>
      <c r="I2938">
        <v>3326</v>
      </c>
      <c r="J2938" t="str">
        <f>VLOOKUP(E2938,DSSpieler!A:B,2,FALSE)</f>
        <v>Capt.Bizeps</v>
      </c>
    </row>
    <row r="2939" spans="1:10" x14ac:dyDescent="0.25">
      <c r="A2939">
        <v>3328</v>
      </c>
      <c r="B2939" t="s">
        <v>31783</v>
      </c>
      <c r="C2939">
        <v>560</v>
      </c>
      <c r="D2939">
        <v>578</v>
      </c>
      <c r="E2939">
        <v>1576064169</v>
      </c>
      <c r="F2939">
        <v>4674</v>
      </c>
      <c r="G2939">
        <v>0</v>
      </c>
      <c r="H2939" t="s">
        <v>7864</v>
      </c>
      <c r="I2939">
        <v>3328</v>
      </c>
      <c r="J2939" t="str">
        <f>VLOOKUP(E2939,DSSpieler!A:B,2,FALSE)</f>
        <v>MySkillNoSkill</v>
      </c>
    </row>
    <row r="2940" spans="1:10" x14ac:dyDescent="0.25">
      <c r="A2940">
        <v>3329</v>
      </c>
      <c r="B2940" t="s">
        <v>1120</v>
      </c>
      <c r="C2940">
        <v>428</v>
      </c>
      <c r="D2940">
        <v>514</v>
      </c>
      <c r="E2940">
        <v>1577180831</v>
      </c>
      <c r="F2940">
        <v>5462</v>
      </c>
      <c r="G2940">
        <v>0</v>
      </c>
      <c r="H2940" t="s">
        <v>7865</v>
      </c>
      <c r="I2940">
        <v>3329</v>
      </c>
      <c r="J2940" t="str">
        <f>VLOOKUP(E2940,DSSpieler!A:B,2,FALSE)</f>
        <v>Andi17</v>
      </c>
    </row>
    <row r="2941" spans="1:10" x14ac:dyDescent="0.25">
      <c r="A2941">
        <v>3330</v>
      </c>
      <c r="B2941">
        <v>3</v>
      </c>
      <c r="C2941">
        <v>525</v>
      </c>
      <c r="D2941">
        <v>547</v>
      </c>
      <c r="E2941">
        <v>9948711</v>
      </c>
      <c r="F2941">
        <v>850</v>
      </c>
      <c r="G2941">
        <v>0</v>
      </c>
      <c r="H2941" t="s">
        <v>7866</v>
      </c>
      <c r="I2941">
        <v>3330</v>
      </c>
      <c r="J2941" t="str">
        <f>VLOOKUP(E2941,DSSpieler!A:B,2,FALSE)</f>
        <v>königsadler</v>
      </c>
    </row>
    <row r="2942" spans="1:10" x14ac:dyDescent="0.25">
      <c r="A2942">
        <v>3331</v>
      </c>
      <c r="B2942" t="s">
        <v>31784</v>
      </c>
      <c r="C2942">
        <v>543</v>
      </c>
      <c r="D2942">
        <v>600</v>
      </c>
      <c r="E2942">
        <v>1577028197</v>
      </c>
      <c r="F2942">
        <v>5059</v>
      </c>
      <c r="G2942">
        <v>0</v>
      </c>
      <c r="H2942" t="s">
        <v>7867</v>
      </c>
      <c r="I2942">
        <v>3331</v>
      </c>
      <c r="J2942" t="str">
        <f>VLOOKUP(E2942,DSSpieler!A:B,2,FALSE)</f>
        <v>DontDrinkAndDs</v>
      </c>
    </row>
    <row r="2943" spans="1:10" x14ac:dyDescent="0.25">
      <c r="A2943">
        <v>3332</v>
      </c>
      <c r="B2943" t="s">
        <v>31785</v>
      </c>
      <c r="C2943">
        <v>501</v>
      </c>
      <c r="D2943">
        <v>400</v>
      </c>
      <c r="E2943">
        <v>9973706</v>
      </c>
      <c r="F2943">
        <v>4753</v>
      </c>
      <c r="G2943">
        <v>0</v>
      </c>
      <c r="H2943" t="s">
        <v>7868</v>
      </c>
      <c r="I2943">
        <v>3332</v>
      </c>
      <c r="J2943" t="str">
        <f>VLOOKUP(E2943,DSSpieler!A:B,2,FALSE)</f>
        <v>Strohhutpiraten</v>
      </c>
    </row>
    <row r="2944" spans="1:10" x14ac:dyDescent="0.25">
      <c r="A2944">
        <v>3334</v>
      </c>
      <c r="B2944" t="s">
        <v>31786</v>
      </c>
      <c r="C2944">
        <v>538</v>
      </c>
      <c r="D2944">
        <v>575</v>
      </c>
      <c r="E2944">
        <v>9742133</v>
      </c>
      <c r="F2944">
        <v>5974</v>
      </c>
      <c r="G2944">
        <v>0</v>
      </c>
      <c r="H2944" t="s">
        <v>7869</v>
      </c>
      <c r="I2944">
        <v>3334</v>
      </c>
      <c r="J2944" t="str">
        <f>VLOOKUP(E2944,DSSpieler!A:B,2,FALSE)</f>
        <v>Pvt.First</v>
      </c>
    </row>
    <row r="2945" spans="1:10" x14ac:dyDescent="0.25">
      <c r="A2945">
        <v>3335</v>
      </c>
      <c r="B2945" t="s">
        <v>31787</v>
      </c>
      <c r="C2945">
        <v>474</v>
      </c>
      <c r="D2945">
        <v>576</v>
      </c>
      <c r="E2945">
        <v>7755584</v>
      </c>
      <c r="F2945">
        <v>684</v>
      </c>
      <c r="G2945">
        <v>0</v>
      </c>
      <c r="H2945" t="s">
        <v>7870</v>
      </c>
      <c r="I2945">
        <v>3335</v>
      </c>
      <c r="J2945" t="str">
        <f>VLOOKUP(E2945,DSSpieler!A:B,2,FALSE)</f>
        <v>ssrr</v>
      </c>
    </row>
    <row r="2946" spans="1:10" x14ac:dyDescent="0.25">
      <c r="A2946">
        <v>3336</v>
      </c>
      <c r="B2946" t="s">
        <v>531</v>
      </c>
      <c r="C2946">
        <v>440</v>
      </c>
      <c r="D2946">
        <v>512</v>
      </c>
      <c r="E2946">
        <v>0</v>
      </c>
      <c r="F2946">
        <v>373</v>
      </c>
      <c r="G2946">
        <v>0</v>
      </c>
      <c r="H2946" t="s">
        <v>7871</v>
      </c>
      <c r="I2946">
        <v>3336</v>
      </c>
      <c r="J2946" t="e">
        <f>VLOOKUP(E2946,DSSpieler!A:B,2,FALSE)</f>
        <v>#N/A</v>
      </c>
    </row>
    <row r="2947" spans="1:10" x14ac:dyDescent="0.25">
      <c r="A2947">
        <v>3337</v>
      </c>
      <c r="B2947" t="s">
        <v>531</v>
      </c>
      <c r="C2947">
        <v>501</v>
      </c>
      <c r="D2947">
        <v>440</v>
      </c>
      <c r="E2947">
        <v>0</v>
      </c>
      <c r="F2947">
        <v>401</v>
      </c>
      <c r="G2947">
        <v>0</v>
      </c>
      <c r="H2947" t="s">
        <v>7872</v>
      </c>
      <c r="I2947">
        <v>3337</v>
      </c>
      <c r="J2947" t="e">
        <f>VLOOKUP(E2947,DSSpieler!A:B,2,FALSE)</f>
        <v>#N/A</v>
      </c>
    </row>
    <row r="2948" spans="1:10" x14ac:dyDescent="0.25">
      <c r="A2948">
        <v>3338</v>
      </c>
      <c r="B2948" t="s">
        <v>1121</v>
      </c>
      <c r="C2948">
        <v>527</v>
      </c>
      <c r="D2948">
        <v>401</v>
      </c>
      <c r="E2948">
        <v>1577175877</v>
      </c>
      <c r="F2948">
        <v>8303</v>
      </c>
      <c r="G2948">
        <v>0</v>
      </c>
      <c r="H2948" t="s">
        <v>7873</v>
      </c>
      <c r="I2948">
        <v>3338</v>
      </c>
      <c r="J2948" t="str">
        <f>VLOOKUP(E2948,DSSpieler!A:B,2,FALSE)</f>
        <v>E4SYYYY</v>
      </c>
    </row>
    <row r="2949" spans="1:10" x14ac:dyDescent="0.25">
      <c r="A2949">
        <v>3339</v>
      </c>
      <c r="B2949" t="s">
        <v>31788</v>
      </c>
      <c r="C2949">
        <v>482</v>
      </c>
      <c r="D2949">
        <v>463</v>
      </c>
      <c r="E2949">
        <v>1577174325</v>
      </c>
      <c r="F2949">
        <v>7497</v>
      </c>
      <c r="G2949">
        <v>0</v>
      </c>
      <c r="H2949" t="s">
        <v>7874</v>
      </c>
      <c r="I2949">
        <v>3339</v>
      </c>
      <c r="J2949" t="str">
        <f>VLOOKUP(E2949,DSSpieler!A:B,2,FALSE)</f>
        <v>Holzhacker</v>
      </c>
    </row>
    <row r="2950" spans="1:10" x14ac:dyDescent="0.25">
      <c r="A2950">
        <v>3341</v>
      </c>
      <c r="B2950" t="s">
        <v>1122</v>
      </c>
      <c r="C2950">
        <v>494</v>
      </c>
      <c r="D2950">
        <v>592</v>
      </c>
      <c r="E2950">
        <v>1941935</v>
      </c>
      <c r="F2950">
        <v>7119</v>
      </c>
      <c r="G2950">
        <v>0</v>
      </c>
      <c r="H2950" t="s">
        <v>7875</v>
      </c>
      <c r="I2950">
        <v>3341</v>
      </c>
      <c r="J2950" t="str">
        <f>VLOOKUP(E2950,DSSpieler!A:B,2,FALSE)</f>
        <v>King Mater</v>
      </c>
    </row>
    <row r="2951" spans="1:10" x14ac:dyDescent="0.25">
      <c r="A2951">
        <v>3342</v>
      </c>
      <c r="B2951" t="s">
        <v>1123</v>
      </c>
      <c r="C2951">
        <v>535</v>
      </c>
      <c r="D2951">
        <v>427</v>
      </c>
      <c r="E2951">
        <v>1577197746</v>
      </c>
      <c r="F2951">
        <v>6006</v>
      </c>
      <c r="G2951">
        <v>0</v>
      </c>
      <c r="H2951" t="s">
        <v>7876</v>
      </c>
      <c r="I2951">
        <v>3342</v>
      </c>
      <c r="J2951" t="str">
        <f>VLOOKUP(E2951,DSSpieler!A:B,2,FALSE)</f>
        <v>Treece</v>
      </c>
    </row>
    <row r="2952" spans="1:10" x14ac:dyDescent="0.25">
      <c r="A2952">
        <v>3343</v>
      </c>
      <c r="B2952" t="s">
        <v>531</v>
      </c>
      <c r="C2952">
        <v>402</v>
      </c>
      <c r="D2952">
        <v>526</v>
      </c>
      <c r="E2952">
        <v>0</v>
      </c>
      <c r="F2952">
        <v>510</v>
      </c>
      <c r="G2952">
        <v>0</v>
      </c>
      <c r="H2952" t="s">
        <v>7877</v>
      </c>
      <c r="I2952">
        <v>3343</v>
      </c>
      <c r="J2952" t="e">
        <f>VLOOKUP(E2952,DSSpieler!A:B,2,FALSE)</f>
        <v>#N/A</v>
      </c>
    </row>
    <row r="2953" spans="1:10" x14ac:dyDescent="0.25">
      <c r="A2953">
        <v>3344</v>
      </c>
      <c r="B2953" t="s">
        <v>1124</v>
      </c>
      <c r="C2953">
        <v>455</v>
      </c>
      <c r="D2953">
        <v>500</v>
      </c>
      <c r="E2953">
        <v>1576995042</v>
      </c>
      <c r="F2953">
        <v>4969</v>
      </c>
      <c r="G2953">
        <v>0</v>
      </c>
      <c r="H2953" t="s">
        <v>7878</v>
      </c>
      <c r="I2953">
        <v>3344</v>
      </c>
      <c r="J2953" t="str">
        <f>VLOOKUP(E2953,DSSpieler!A:B,2,FALSE)</f>
        <v>diggaman</v>
      </c>
    </row>
    <row r="2954" spans="1:10" x14ac:dyDescent="0.25">
      <c r="A2954">
        <v>3346</v>
      </c>
      <c r="B2954" t="s">
        <v>730</v>
      </c>
      <c r="C2954">
        <v>400</v>
      </c>
      <c r="D2954">
        <v>522</v>
      </c>
      <c r="E2954">
        <v>1577177037</v>
      </c>
      <c r="F2954">
        <v>3623</v>
      </c>
      <c r="G2954">
        <v>0</v>
      </c>
      <c r="H2954" t="s">
        <v>7879</v>
      </c>
      <c r="I2954">
        <v>3346</v>
      </c>
      <c r="J2954" t="str">
        <f>VLOOKUP(E2954,DSSpieler!A:B,2,FALSE)</f>
        <v>Reaperkill</v>
      </c>
    </row>
    <row r="2955" spans="1:10" x14ac:dyDescent="0.25">
      <c r="A2955">
        <v>3347</v>
      </c>
      <c r="B2955" t="s">
        <v>1125</v>
      </c>
      <c r="C2955">
        <v>439</v>
      </c>
      <c r="D2955">
        <v>450</v>
      </c>
      <c r="E2955">
        <v>3225442</v>
      </c>
      <c r="F2955">
        <v>8200</v>
      </c>
      <c r="G2955">
        <v>0</v>
      </c>
      <c r="H2955" t="s">
        <v>7880</v>
      </c>
      <c r="I2955">
        <v>3347</v>
      </c>
      <c r="J2955" t="str">
        <f>VLOOKUP(E2955,DSSpieler!A:B,2,FALSE)</f>
        <v>Halsbandleguan</v>
      </c>
    </row>
    <row r="2956" spans="1:10" x14ac:dyDescent="0.25">
      <c r="A2956">
        <v>3348</v>
      </c>
      <c r="B2956" t="s">
        <v>531</v>
      </c>
      <c r="C2956">
        <v>530</v>
      </c>
      <c r="D2956">
        <v>466</v>
      </c>
      <c r="E2956">
        <v>0</v>
      </c>
      <c r="F2956">
        <v>256</v>
      </c>
      <c r="G2956">
        <v>0</v>
      </c>
      <c r="H2956" t="s">
        <v>7881</v>
      </c>
      <c r="I2956">
        <v>3348</v>
      </c>
      <c r="J2956" t="e">
        <f>VLOOKUP(E2956,DSSpieler!A:B,2,FALSE)</f>
        <v>#N/A</v>
      </c>
    </row>
    <row r="2957" spans="1:10" x14ac:dyDescent="0.25">
      <c r="A2957">
        <v>3350</v>
      </c>
      <c r="B2957" t="s">
        <v>531</v>
      </c>
      <c r="C2957">
        <v>559</v>
      </c>
      <c r="D2957">
        <v>477</v>
      </c>
      <c r="E2957">
        <v>0</v>
      </c>
      <c r="F2957">
        <v>280</v>
      </c>
      <c r="G2957">
        <v>0</v>
      </c>
      <c r="H2957" t="s">
        <v>7882</v>
      </c>
      <c r="I2957">
        <v>3350</v>
      </c>
      <c r="J2957" t="e">
        <f>VLOOKUP(E2957,DSSpieler!A:B,2,FALSE)</f>
        <v>#N/A</v>
      </c>
    </row>
    <row r="2958" spans="1:10" x14ac:dyDescent="0.25">
      <c r="A2958">
        <v>3351</v>
      </c>
      <c r="B2958" t="s">
        <v>979</v>
      </c>
      <c r="C2958">
        <v>508</v>
      </c>
      <c r="D2958">
        <v>601</v>
      </c>
      <c r="E2958">
        <v>1577177565</v>
      </c>
      <c r="F2958">
        <v>7620</v>
      </c>
      <c r="G2958">
        <v>0</v>
      </c>
      <c r="H2958" t="s">
        <v>7883</v>
      </c>
      <c r="I2958">
        <v>3351</v>
      </c>
      <c r="J2958" t="str">
        <f>VLOOKUP(E2958,DSSpieler!A:B,2,FALSE)</f>
        <v>Auschu</v>
      </c>
    </row>
    <row r="2959" spans="1:10" x14ac:dyDescent="0.25">
      <c r="A2959">
        <v>3352</v>
      </c>
      <c r="B2959" t="s">
        <v>531</v>
      </c>
      <c r="C2959">
        <v>568</v>
      </c>
      <c r="D2959">
        <v>469</v>
      </c>
      <c r="E2959">
        <v>0</v>
      </c>
      <c r="F2959">
        <v>804</v>
      </c>
      <c r="G2959">
        <v>0</v>
      </c>
      <c r="H2959" t="s">
        <v>7884</v>
      </c>
      <c r="I2959">
        <v>3352</v>
      </c>
      <c r="J2959" t="e">
        <f>VLOOKUP(E2959,DSSpieler!A:B,2,FALSE)</f>
        <v>#N/A</v>
      </c>
    </row>
    <row r="2960" spans="1:10" x14ac:dyDescent="0.25">
      <c r="A2960">
        <v>3353</v>
      </c>
      <c r="B2960" t="s">
        <v>31789</v>
      </c>
      <c r="C2960">
        <v>502</v>
      </c>
      <c r="D2960">
        <v>600</v>
      </c>
      <c r="E2960">
        <v>621977</v>
      </c>
      <c r="F2960">
        <v>5419</v>
      </c>
      <c r="G2960">
        <v>0</v>
      </c>
      <c r="H2960" t="s">
        <v>7885</v>
      </c>
      <c r="I2960">
        <v>3353</v>
      </c>
      <c r="J2960" t="str">
        <f>VLOOKUP(E2960,DSSpieler!A:B,2,FALSE)</f>
        <v>Onkel Skav</v>
      </c>
    </row>
    <row r="2961" spans="1:10" x14ac:dyDescent="0.25">
      <c r="A2961">
        <v>3354</v>
      </c>
      <c r="B2961" t="s">
        <v>531</v>
      </c>
      <c r="C2961">
        <v>483</v>
      </c>
      <c r="D2961">
        <v>448</v>
      </c>
      <c r="E2961">
        <v>1577127074</v>
      </c>
      <c r="F2961">
        <v>450</v>
      </c>
      <c r="G2961">
        <v>0</v>
      </c>
      <c r="H2961" t="s">
        <v>7886</v>
      </c>
      <c r="I2961">
        <v>3354</v>
      </c>
      <c r="J2961" t="str">
        <f>VLOOKUP(E2961,DSSpieler!A:B,2,FALSE)</f>
        <v>BestVayne</v>
      </c>
    </row>
    <row r="2962" spans="1:10" x14ac:dyDescent="0.25">
      <c r="A2962">
        <v>3355</v>
      </c>
      <c r="B2962">
        <v>5</v>
      </c>
      <c r="C2962">
        <v>557</v>
      </c>
      <c r="D2962">
        <v>437</v>
      </c>
      <c r="E2962">
        <v>1577168667</v>
      </c>
      <c r="F2962">
        <v>6398</v>
      </c>
      <c r="G2962">
        <v>0</v>
      </c>
      <c r="H2962" t="s">
        <v>7887</v>
      </c>
      <c r="I2962">
        <v>3355</v>
      </c>
      <c r="J2962" t="str">
        <f>VLOOKUP(E2962,DSSpieler!A:B,2,FALSE)</f>
        <v>CeeJayzn</v>
      </c>
    </row>
    <row r="2963" spans="1:10" x14ac:dyDescent="0.25">
      <c r="A2963">
        <v>3356</v>
      </c>
      <c r="B2963" t="s">
        <v>31790</v>
      </c>
      <c r="C2963">
        <v>496</v>
      </c>
      <c r="D2963">
        <v>431</v>
      </c>
      <c r="E2963">
        <v>1577068691</v>
      </c>
      <c r="F2963">
        <v>5192</v>
      </c>
      <c r="G2963">
        <v>0</v>
      </c>
      <c r="H2963" t="s">
        <v>7888</v>
      </c>
      <c r="I2963">
        <v>3356</v>
      </c>
      <c r="J2963" t="str">
        <f>VLOOKUP(E2963,DSSpieler!A:B,2,FALSE)</f>
        <v>Schattensoul</v>
      </c>
    </row>
    <row r="2964" spans="1:10" x14ac:dyDescent="0.25">
      <c r="A2964">
        <v>3357</v>
      </c>
      <c r="B2964" t="s">
        <v>31791</v>
      </c>
      <c r="C2964">
        <v>540</v>
      </c>
      <c r="D2964">
        <v>592</v>
      </c>
      <c r="E2964">
        <v>1577195191</v>
      </c>
      <c r="F2964">
        <v>4991</v>
      </c>
      <c r="G2964">
        <v>0</v>
      </c>
      <c r="H2964" t="s">
        <v>7889</v>
      </c>
      <c r="I2964">
        <v>3357</v>
      </c>
      <c r="J2964" t="str">
        <f>VLOOKUP(E2964,DSSpieler!A:B,2,FALSE)</f>
        <v>grizdian</v>
      </c>
    </row>
    <row r="2965" spans="1:10" x14ac:dyDescent="0.25">
      <c r="A2965">
        <v>3358</v>
      </c>
      <c r="B2965">
        <v>1</v>
      </c>
      <c r="C2965">
        <v>449</v>
      </c>
      <c r="D2965">
        <v>494</v>
      </c>
      <c r="E2965">
        <v>245278</v>
      </c>
      <c r="F2965">
        <v>4426</v>
      </c>
      <c r="G2965">
        <v>0</v>
      </c>
      <c r="H2965" t="s">
        <v>7890</v>
      </c>
      <c r="I2965">
        <v>3358</v>
      </c>
      <c r="J2965" t="str">
        <f>VLOOKUP(E2965,DSSpieler!A:B,2,FALSE)</f>
        <v>Basel86</v>
      </c>
    </row>
    <row r="2966" spans="1:10" x14ac:dyDescent="0.25">
      <c r="A2966">
        <v>3359</v>
      </c>
      <c r="B2966" t="s">
        <v>531</v>
      </c>
      <c r="C2966">
        <v>586</v>
      </c>
      <c r="D2966">
        <v>550</v>
      </c>
      <c r="E2966">
        <v>0</v>
      </c>
      <c r="F2966">
        <v>502</v>
      </c>
      <c r="G2966">
        <v>0</v>
      </c>
      <c r="H2966" t="s">
        <v>7891</v>
      </c>
      <c r="I2966">
        <v>3359</v>
      </c>
      <c r="J2966" t="e">
        <f>VLOOKUP(E2966,DSSpieler!A:B,2,FALSE)</f>
        <v>#N/A</v>
      </c>
    </row>
    <row r="2967" spans="1:10" x14ac:dyDescent="0.25">
      <c r="A2967">
        <v>3361</v>
      </c>
      <c r="B2967">
        <v>2</v>
      </c>
      <c r="C2967">
        <v>488</v>
      </c>
      <c r="D2967">
        <v>393</v>
      </c>
      <c r="E2967">
        <v>1574742</v>
      </c>
      <c r="F2967">
        <v>6076</v>
      </c>
      <c r="G2967">
        <v>0</v>
      </c>
      <c r="H2967" t="s">
        <v>7892</v>
      </c>
      <c r="I2967">
        <v>3361</v>
      </c>
      <c r="J2967" t="str">
        <f>VLOOKUP(E2967,DSSpieler!A:B,2,FALSE)</f>
        <v>Kurde.</v>
      </c>
    </row>
    <row r="2968" spans="1:10" x14ac:dyDescent="0.25">
      <c r="A2968">
        <v>3362</v>
      </c>
      <c r="B2968" t="s">
        <v>531</v>
      </c>
      <c r="C2968">
        <v>529</v>
      </c>
      <c r="D2968">
        <v>481</v>
      </c>
      <c r="E2968">
        <v>0</v>
      </c>
      <c r="F2968">
        <v>316</v>
      </c>
      <c r="G2968">
        <v>0</v>
      </c>
      <c r="H2968" t="s">
        <v>7893</v>
      </c>
      <c r="I2968">
        <v>3362</v>
      </c>
      <c r="J2968" t="e">
        <f>VLOOKUP(E2968,DSSpieler!A:B,2,FALSE)</f>
        <v>#N/A</v>
      </c>
    </row>
    <row r="2969" spans="1:10" x14ac:dyDescent="0.25">
      <c r="A2969">
        <v>3363</v>
      </c>
      <c r="B2969" t="s">
        <v>31792</v>
      </c>
      <c r="C2969">
        <v>410</v>
      </c>
      <c r="D2969">
        <v>543</v>
      </c>
      <c r="E2969">
        <v>1576032609</v>
      </c>
      <c r="F2969">
        <v>4933</v>
      </c>
      <c r="G2969">
        <v>0</v>
      </c>
      <c r="H2969" t="s">
        <v>7894</v>
      </c>
      <c r="I2969">
        <v>3363</v>
      </c>
      <c r="J2969" t="str">
        <f>VLOOKUP(E2969,DSSpieler!A:B,2,FALSE)</f>
        <v>Sceentic</v>
      </c>
    </row>
    <row r="2970" spans="1:10" x14ac:dyDescent="0.25">
      <c r="A2970">
        <v>3364</v>
      </c>
      <c r="B2970" t="s">
        <v>31793</v>
      </c>
      <c r="C2970">
        <v>572</v>
      </c>
      <c r="D2970">
        <v>462</v>
      </c>
      <c r="E2970">
        <v>10080535</v>
      </c>
      <c r="F2970">
        <v>3751</v>
      </c>
      <c r="G2970">
        <v>0</v>
      </c>
      <c r="H2970" t="s">
        <v>7895</v>
      </c>
      <c r="I2970">
        <v>3364</v>
      </c>
      <c r="J2970" t="str">
        <f>VLOOKUP(E2970,DSSpieler!A:B,2,FALSE)</f>
        <v>Zakumii</v>
      </c>
    </row>
    <row r="2971" spans="1:10" x14ac:dyDescent="0.25">
      <c r="A2971">
        <v>3365</v>
      </c>
      <c r="B2971" t="s">
        <v>31794</v>
      </c>
      <c r="C2971">
        <v>542</v>
      </c>
      <c r="D2971">
        <v>413</v>
      </c>
      <c r="E2971">
        <v>1577197760</v>
      </c>
      <c r="F2971">
        <v>8539</v>
      </c>
      <c r="G2971">
        <v>0</v>
      </c>
      <c r="H2971" t="s">
        <v>7896</v>
      </c>
      <c r="I2971">
        <v>3365</v>
      </c>
      <c r="J2971" t="str">
        <f>VLOOKUP(E2971,DSSpieler!A:B,2,FALSE)</f>
        <v>Linn214</v>
      </c>
    </row>
    <row r="2972" spans="1:10" x14ac:dyDescent="0.25">
      <c r="A2972">
        <v>3366</v>
      </c>
      <c r="B2972" t="s">
        <v>1126</v>
      </c>
      <c r="C2972">
        <v>522</v>
      </c>
      <c r="D2972">
        <v>409</v>
      </c>
      <c r="E2972">
        <v>1577189949</v>
      </c>
      <c r="F2972">
        <v>363</v>
      </c>
      <c r="G2972">
        <v>0</v>
      </c>
      <c r="H2972" t="s">
        <v>7897</v>
      </c>
      <c r="I2972">
        <v>3366</v>
      </c>
      <c r="J2972" t="str">
        <f>VLOOKUP(E2972,DSSpieler!A:B,2,FALSE)</f>
        <v>Brutus333</v>
      </c>
    </row>
    <row r="2973" spans="1:10" x14ac:dyDescent="0.25">
      <c r="A2973">
        <v>3367</v>
      </c>
      <c r="B2973" t="s">
        <v>531</v>
      </c>
      <c r="C2973">
        <v>527</v>
      </c>
      <c r="D2973">
        <v>427</v>
      </c>
      <c r="E2973">
        <v>0</v>
      </c>
      <c r="F2973">
        <v>284</v>
      </c>
      <c r="G2973">
        <v>0</v>
      </c>
      <c r="H2973" t="s">
        <v>7898</v>
      </c>
      <c r="I2973">
        <v>3367</v>
      </c>
      <c r="J2973" t="e">
        <f>VLOOKUP(E2973,DSSpieler!A:B,2,FALSE)</f>
        <v>#N/A</v>
      </c>
    </row>
    <row r="2974" spans="1:10" x14ac:dyDescent="0.25">
      <c r="A2974">
        <v>3368</v>
      </c>
      <c r="B2974" t="s">
        <v>31795</v>
      </c>
      <c r="C2974">
        <v>563</v>
      </c>
      <c r="D2974">
        <v>518</v>
      </c>
      <c r="E2974">
        <v>1576926576</v>
      </c>
      <c r="F2974">
        <v>1511</v>
      </c>
      <c r="G2974">
        <v>0</v>
      </c>
      <c r="H2974" t="s">
        <v>7899</v>
      </c>
      <c r="I2974">
        <v>3368</v>
      </c>
      <c r="J2974" t="str">
        <f>VLOOKUP(E2974,DSSpieler!A:B,2,FALSE)</f>
        <v>Munin*</v>
      </c>
    </row>
    <row r="2975" spans="1:10" x14ac:dyDescent="0.25">
      <c r="A2975">
        <v>3369</v>
      </c>
      <c r="B2975" t="s">
        <v>1127</v>
      </c>
      <c r="C2975">
        <v>478</v>
      </c>
      <c r="D2975">
        <v>409</v>
      </c>
      <c r="E2975">
        <v>1577195240</v>
      </c>
      <c r="F2975">
        <v>6173</v>
      </c>
      <c r="G2975">
        <v>0</v>
      </c>
      <c r="H2975" t="s">
        <v>7900</v>
      </c>
      <c r="I2975">
        <v>3369</v>
      </c>
      <c r="J2975" t="str">
        <f>VLOOKUP(E2975,DSSpieler!A:B,2,FALSE)</f>
        <v>OldManMarc</v>
      </c>
    </row>
    <row r="2976" spans="1:10" x14ac:dyDescent="0.25">
      <c r="A2976">
        <v>3371</v>
      </c>
      <c r="B2976" t="s">
        <v>1128</v>
      </c>
      <c r="C2976">
        <v>434</v>
      </c>
      <c r="D2976">
        <v>486</v>
      </c>
      <c r="E2976">
        <v>1577194414</v>
      </c>
      <c r="F2976">
        <v>7955</v>
      </c>
      <c r="G2976">
        <v>0</v>
      </c>
      <c r="H2976" t="s">
        <v>7901</v>
      </c>
      <c r="I2976">
        <v>3371</v>
      </c>
      <c r="J2976" t="str">
        <f>VLOOKUP(E2976,DSSpieler!A:B,2,FALSE)</f>
        <v>Milo90</v>
      </c>
    </row>
    <row r="2977" spans="1:10" x14ac:dyDescent="0.25">
      <c r="A2977">
        <v>3372</v>
      </c>
      <c r="B2977">
        <v>1</v>
      </c>
      <c r="C2977">
        <v>507</v>
      </c>
      <c r="D2977">
        <v>421</v>
      </c>
      <c r="E2977">
        <v>1575881708</v>
      </c>
      <c r="F2977">
        <v>7437</v>
      </c>
      <c r="G2977">
        <v>0</v>
      </c>
      <c r="H2977" t="s">
        <v>7902</v>
      </c>
      <c r="I2977">
        <v>3372</v>
      </c>
      <c r="J2977" t="str">
        <f>VLOOKUP(E2977,DSSpieler!A:B,2,FALSE)</f>
        <v>Akiadis</v>
      </c>
    </row>
    <row r="2978" spans="1:10" x14ac:dyDescent="0.25">
      <c r="A2978">
        <v>3374</v>
      </c>
      <c r="B2978" t="s">
        <v>31796</v>
      </c>
      <c r="C2978">
        <v>498</v>
      </c>
      <c r="D2978">
        <v>577</v>
      </c>
      <c r="E2978">
        <v>1577026484</v>
      </c>
      <c r="F2978">
        <v>7687</v>
      </c>
      <c r="G2978">
        <v>0</v>
      </c>
      <c r="H2978" t="s">
        <v>7903</v>
      </c>
      <c r="I2978">
        <v>3374</v>
      </c>
      <c r="J2978" t="str">
        <f>VLOOKUP(E2978,DSSpieler!A:B,2,FALSE)</f>
        <v>Deffnoob</v>
      </c>
    </row>
    <row r="2979" spans="1:10" x14ac:dyDescent="0.25">
      <c r="A2979">
        <v>3375</v>
      </c>
      <c r="B2979" t="s">
        <v>531</v>
      </c>
      <c r="C2979">
        <v>432</v>
      </c>
      <c r="D2979">
        <v>478</v>
      </c>
      <c r="E2979">
        <v>0</v>
      </c>
      <c r="F2979">
        <v>313</v>
      </c>
      <c r="G2979">
        <v>0</v>
      </c>
      <c r="H2979" t="s">
        <v>7904</v>
      </c>
      <c r="I2979">
        <v>3375</v>
      </c>
      <c r="J2979" t="e">
        <f>VLOOKUP(E2979,DSSpieler!A:B,2,FALSE)</f>
        <v>#N/A</v>
      </c>
    </row>
    <row r="2980" spans="1:10" x14ac:dyDescent="0.25">
      <c r="A2980">
        <v>3376</v>
      </c>
      <c r="B2980">
        <v>3</v>
      </c>
      <c r="C2980">
        <v>532</v>
      </c>
      <c r="D2980">
        <v>566</v>
      </c>
      <c r="E2980">
        <v>9411745</v>
      </c>
      <c r="F2980">
        <v>4962</v>
      </c>
      <c r="G2980">
        <v>0</v>
      </c>
      <c r="H2980" t="s">
        <v>7905</v>
      </c>
      <c r="I2980">
        <v>3376</v>
      </c>
      <c r="J2980" t="str">
        <f>VLOOKUP(E2980,DSSpieler!A:B,2,FALSE)</f>
        <v>erstyle98</v>
      </c>
    </row>
    <row r="2981" spans="1:10" x14ac:dyDescent="0.25">
      <c r="A2981">
        <v>3378</v>
      </c>
      <c r="B2981" t="s">
        <v>1129</v>
      </c>
      <c r="C2981">
        <v>550</v>
      </c>
      <c r="D2981">
        <v>548</v>
      </c>
      <c r="E2981">
        <v>1577180505</v>
      </c>
      <c r="F2981">
        <v>960</v>
      </c>
      <c r="G2981">
        <v>0</v>
      </c>
      <c r="H2981" t="s">
        <v>7906</v>
      </c>
      <c r="I2981">
        <v>3378</v>
      </c>
      <c r="J2981" t="str">
        <f>VLOOKUP(E2981,DSSpieler!A:B,2,FALSE)</f>
        <v>fruityxjuice</v>
      </c>
    </row>
    <row r="2982" spans="1:10" x14ac:dyDescent="0.25">
      <c r="A2982">
        <v>3379</v>
      </c>
      <c r="B2982" t="s">
        <v>1130</v>
      </c>
      <c r="C2982">
        <v>530</v>
      </c>
      <c r="D2982">
        <v>556</v>
      </c>
      <c r="E2982">
        <v>1577191393</v>
      </c>
      <c r="F2982">
        <v>6988</v>
      </c>
      <c r="G2982">
        <v>0</v>
      </c>
      <c r="H2982" t="s">
        <v>7907</v>
      </c>
      <c r="I2982">
        <v>3379</v>
      </c>
      <c r="J2982" t="str">
        <f>VLOOKUP(E2982,DSSpieler!A:B,2,FALSE)</f>
        <v>Mann mit Axt</v>
      </c>
    </row>
    <row r="2983" spans="1:10" x14ac:dyDescent="0.25">
      <c r="A2983">
        <v>3380</v>
      </c>
      <c r="B2983" t="s">
        <v>31797</v>
      </c>
      <c r="C2983">
        <v>458</v>
      </c>
      <c r="D2983">
        <v>427</v>
      </c>
      <c r="E2983">
        <v>1577155231</v>
      </c>
      <c r="F2983">
        <v>4640</v>
      </c>
      <c r="G2983">
        <v>0</v>
      </c>
      <c r="H2983" t="s">
        <v>7908</v>
      </c>
      <c r="I2983">
        <v>3380</v>
      </c>
      <c r="J2983" t="str">
        <f>VLOOKUP(E2983,DSSpieler!A:B,2,FALSE)</f>
        <v>KarateKurt</v>
      </c>
    </row>
    <row r="2984" spans="1:10" x14ac:dyDescent="0.25">
      <c r="A2984">
        <v>3381</v>
      </c>
      <c r="B2984" t="s">
        <v>667</v>
      </c>
      <c r="C2984">
        <v>599</v>
      </c>
      <c r="D2984">
        <v>457</v>
      </c>
      <c r="E2984">
        <v>1577064793</v>
      </c>
      <c r="F2984">
        <v>5286</v>
      </c>
      <c r="G2984">
        <v>0</v>
      </c>
      <c r="H2984" t="s">
        <v>7909</v>
      </c>
      <c r="I2984">
        <v>3381</v>
      </c>
      <c r="J2984" t="str">
        <f>VLOOKUP(E2984,DSSpieler!A:B,2,FALSE)</f>
        <v>Thekingisback93</v>
      </c>
    </row>
    <row r="2985" spans="1:10" x14ac:dyDescent="0.25">
      <c r="A2985">
        <v>3382</v>
      </c>
      <c r="B2985" t="s">
        <v>31798</v>
      </c>
      <c r="C2985">
        <v>451</v>
      </c>
      <c r="D2985">
        <v>420</v>
      </c>
      <c r="E2985">
        <v>1577181805</v>
      </c>
      <c r="F2985">
        <v>1822</v>
      </c>
      <c r="G2985">
        <v>0</v>
      </c>
      <c r="H2985" t="s">
        <v>7910</v>
      </c>
      <c r="I2985">
        <v>3382</v>
      </c>
      <c r="J2985" t="str">
        <f>VLOOKUP(E2985,DSSpieler!A:B,2,FALSE)</f>
        <v>Schereschleifer</v>
      </c>
    </row>
    <row r="2986" spans="1:10" x14ac:dyDescent="0.25">
      <c r="A2986">
        <v>3383</v>
      </c>
      <c r="B2986">
        <v>1</v>
      </c>
      <c r="C2986">
        <v>489</v>
      </c>
      <c r="D2986">
        <v>551</v>
      </c>
      <c r="E2986">
        <v>9962504</v>
      </c>
      <c r="F2986">
        <v>9359</v>
      </c>
      <c r="G2986">
        <v>0</v>
      </c>
      <c r="H2986" t="s">
        <v>7911</v>
      </c>
      <c r="I2986">
        <v>3383</v>
      </c>
      <c r="J2986" t="str">
        <f>VLOOKUP(E2986,DSSpieler!A:B,2,FALSE)</f>
        <v>Robin.a</v>
      </c>
    </row>
    <row r="2987" spans="1:10" x14ac:dyDescent="0.25">
      <c r="A2987">
        <v>3384</v>
      </c>
      <c r="B2987" t="s">
        <v>531</v>
      </c>
      <c r="C2987">
        <v>536</v>
      </c>
      <c r="D2987">
        <v>487</v>
      </c>
      <c r="E2987">
        <v>0</v>
      </c>
      <c r="F2987">
        <v>261</v>
      </c>
      <c r="G2987">
        <v>0</v>
      </c>
      <c r="H2987" t="s">
        <v>7912</v>
      </c>
      <c r="I2987">
        <v>3384</v>
      </c>
      <c r="J2987" t="e">
        <f>VLOOKUP(E2987,DSSpieler!A:B,2,FALSE)</f>
        <v>#N/A</v>
      </c>
    </row>
    <row r="2988" spans="1:10" x14ac:dyDescent="0.25">
      <c r="A2988">
        <v>3385</v>
      </c>
      <c r="B2988" t="s">
        <v>531</v>
      </c>
      <c r="C2988">
        <v>444</v>
      </c>
      <c r="D2988">
        <v>484</v>
      </c>
      <c r="E2988">
        <v>0</v>
      </c>
      <c r="F2988">
        <v>267</v>
      </c>
      <c r="G2988">
        <v>0</v>
      </c>
      <c r="H2988" t="s">
        <v>7913</v>
      </c>
      <c r="I2988">
        <v>3385</v>
      </c>
      <c r="J2988" t="e">
        <f>VLOOKUP(E2988,DSSpieler!A:B,2,FALSE)</f>
        <v>#N/A</v>
      </c>
    </row>
    <row r="2989" spans="1:10" x14ac:dyDescent="0.25">
      <c r="A2989">
        <v>3386</v>
      </c>
      <c r="B2989" t="s">
        <v>531</v>
      </c>
      <c r="C2989">
        <v>526</v>
      </c>
      <c r="D2989">
        <v>484</v>
      </c>
      <c r="E2989">
        <v>0</v>
      </c>
      <c r="F2989">
        <v>222</v>
      </c>
      <c r="G2989">
        <v>0</v>
      </c>
      <c r="H2989" t="s">
        <v>7914</v>
      </c>
      <c r="I2989">
        <v>3386</v>
      </c>
      <c r="J2989" t="e">
        <f>VLOOKUP(E2989,DSSpieler!A:B,2,FALSE)</f>
        <v>#N/A</v>
      </c>
    </row>
    <row r="2990" spans="1:10" x14ac:dyDescent="0.25">
      <c r="A2990">
        <v>3387</v>
      </c>
      <c r="B2990" t="s">
        <v>31799</v>
      </c>
      <c r="C2990">
        <v>474</v>
      </c>
      <c r="D2990">
        <v>582</v>
      </c>
      <c r="E2990">
        <v>1577160660</v>
      </c>
      <c r="F2990">
        <v>3322</v>
      </c>
      <c r="G2990">
        <v>0</v>
      </c>
      <c r="H2990" t="s">
        <v>7915</v>
      </c>
      <c r="I2990">
        <v>3387</v>
      </c>
      <c r="J2990" t="str">
        <f>VLOOKUP(E2990,DSSpieler!A:B,2,FALSE)</f>
        <v>Muddii</v>
      </c>
    </row>
    <row r="2991" spans="1:10" x14ac:dyDescent="0.25">
      <c r="A2991">
        <v>3388</v>
      </c>
      <c r="B2991" t="s">
        <v>1131</v>
      </c>
      <c r="C2991">
        <v>503</v>
      </c>
      <c r="D2991">
        <v>545</v>
      </c>
      <c r="E2991">
        <v>1577195416</v>
      </c>
      <c r="F2991">
        <v>6141</v>
      </c>
      <c r="G2991">
        <v>0</v>
      </c>
      <c r="H2991" t="s">
        <v>7916</v>
      </c>
      <c r="I2991">
        <v>3388</v>
      </c>
      <c r="J2991" t="str">
        <f>VLOOKUP(E2991,DSSpieler!A:B,2,FALSE)</f>
        <v>Dragonfly</v>
      </c>
    </row>
    <row r="2992" spans="1:10" x14ac:dyDescent="0.25">
      <c r="A2992">
        <v>3389</v>
      </c>
      <c r="B2992" t="s">
        <v>31800</v>
      </c>
      <c r="C2992">
        <v>433</v>
      </c>
      <c r="D2992">
        <v>577</v>
      </c>
      <c r="E2992">
        <v>1577068141</v>
      </c>
      <c r="F2992">
        <v>5763</v>
      </c>
      <c r="G2992">
        <v>0</v>
      </c>
      <c r="H2992" t="s">
        <v>7917</v>
      </c>
      <c r="I2992">
        <v>3389</v>
      </c>
      <c r="J2992" t="str">
        <f>VLOOKUP(E2992,DSSpieler!A:B,2,FALSE)</f>
        <v>Test007</v>
      </c>
    </row>
    <row r="2993" spans="1:10" x14ac:dyDescent="0.25">
      <c r="A2993">
        <v>3390</v>
      </c>
      <c r="B2993" t="s">
        <v>609</v>
      </c>
      <c r="C2993">
        <v>583</v>
      </c>
      <c r="D2993">
        <v>464</v>
      </c>
      <c r="E2993">
        <v>1576945801</v>
      </c>
      <c r="F2993">
        <v>5689</v>
      </c>
      <c r="G2993">
        <v>0</v>
      </c>
      <c r="H2993" t="s">
        <v>7918</v>
      </c>
      <c r="I2993">
        <v>3390</v>
      </c>
      <c r="J2993" t="str">
        <f>VLOOKUP(E2993,DSSpieler!A:B,2,FALSE)</f>
        <v>NoNameFree</v>
      </c>
    </row>
    <row r="2994" spans="1:10" x14ac:dyDescent="0.25">
      <c r="A2994">
        <v>3391</v>
      </c>
      <c r="B2994" t="s">
        <v>31801</v>
      </c>
      <c r="C2994">
        <v>478</v>
      </c>
      <c r="D2994">
        <v>508</v>
      </c>
      <c r="E2994">
        <v>2726958</v>
      </c>
      <c r="F2994">
        <v>4369</v>
      </c>
      <c r="G2994">
        <v>0</v>
      </c>
      <c r="H2994" t="s">
        <v>7919</v>
      </c>
      <c r="I2994">
        <v>3391</v>
      </c>
      <c r="J2994" t="str">
        <f>VLOOKUP(E2994,DSSpieler!A:B,2,FALSE)</f>
        <v>R4zZ0R</v>
      </c>
    </row>
    <row r="2995" spans="1:10" x14ac:dyDescent="0.25">
      <c r="A2995">
        <v>3392</v>
      </c>
      <c r="B2995" t="s">
        <v>31052</v>
      </c>
      <c r="C2995">
        <v>451</v>
      </c>
      <c r="D2995">
        <v>601</v>
      </c>
      <c r="E2995">
        <v>1576661570</v>
      </c>
      <c r="F2995">
        <v>4559</v>
      </c>
      <c r="G2995">
        <v>0</v>
      </c>
      <c r="H2995" t="s">
        <v>7920</v>
      </c>
      <c r="I2995">
        <v>3392</v>
      </c>
      <c r="J2995" t="str">
        <f>VLOOKUP(E2995,DSSpieler!A:B,2,FALSE)</f>
        <v>ASAP-TEDDY</v>
      </c>
    </row>
    <row r="2996" spans="1:10" x14ac:dyDescent="0.25">
      <c r="A2996">
        <v>3393</v>
      </c>
      <c r="B2996" t="s">
        <v>31802</v>
      </c>
      <c r="C2996">
        <v>596</v>
      </c>
      <c r="D2996">
        <v>505</v>
      </c>
      <c r="E2996">
        <v>2917196</v>
      </c>
      <c r="F2996">
        <v>5447</v>
      </c>
      <c r="G2996">
        <v>0</v>
      </c>
      <c r="H2996" t="s">
        <v>7921</v>
      </c>
      <c r="I2996">
        <v>3393</v>
      </c>
      <c r="J2996" t="str">
        <f>VLOOKUP(E2996,DSSpieler!A:B,2,FALSE)</f>
        <v>zelli46</v>
      </c>
    </row>
    <row r="2997" spans="1:10" x14ac:dyDescent="0.25">
      <c r="A2997">
        <v>3394</v>
      </c>
      <c r="B2997" t="s">
        <v>531</v>
      </c>
      <c r="C2997">
        <v>527</v>
      </c>
      <c r="D2997">
        <v>435</v>
      </c>
      <c r="E2997">
        <v>0</v>
      </c>
      <c r="F2997">
        <v>223</v>
      </c>
      <c r="G2997">
        <v>0</v>
      </c>
      <c r="H2997" t="s">
        <v>7922</v>
      </c>
      <c r="I2997">
        <v>3394</v>
      </c>
      <c r="J2997" t="e">
        <f>VLOOKUP(E2997,DSSpieler!A:B,2,FALSE)</f>
        <v>#N/A</v>
      </c>
    </row>
    <row r="2998" spans="1:10" x14ac:dyDescent="0.25">
      <c r="A2998">
        <v>3395</v>
      </c>
      <c r="B2998" t="s">
        <v>681</v>
      </c>
      <c r="C2998">
        <v>494</v>
      </c>
      <c r="D2998">
        <v>401</v>
      </c>
      <c r="E2998">
        <v>7645581</v>
      </c>
      <c r="F2998">
        <v>4719</v>
      </c>
      <c r="G2998">
        <v>0</v>
      </c>
      <c r="H2998" t="s">
        <v>7923</v>
      </c>
      <c r="I2998">
        <v>3395</v>
      </c>
      <c r="J2998" t="str">
        <f>VLOOKUP(E2998,DSSpieler!A:B,2,FALSE)</f>
        <v>zejwa</v>
      </c>
    </row>
    <row r="2999" spans="1:10" x14ac:dyDescent="0.25">
      <c r="A2999">
        <v>3396</v>
      </c>
      <c r="B2999" t="s">
        <v>31803</v>
      </c>
      <c r="C2999">
        <v>429</v>
      </c>
      <c r="D2999">
        <v>477</v>
      </c>
      <c r="E2999">
        <v>1576975878</v>
      </c>
      <c r="F2999">
        <v>3831</v>
      </c>
      <c r="G2999">
        <v>0</v>
      </c>
      <c r="H2999" t="s">
        <v>7924</v>
      </c>
      <c r="I2999">
        <v>3396</v>
      </c>
      <c r="J2999" t="str">
        <f>VLOOKUP(E2999,DSSpieler!A:B,2,FALSE)</f>
        <v>xMaXiMuSx</v>
      </c>
    </row>
    <row r="3000" spans="1:10" x14ac:dyDescent="0.25">
      <c r="A3000">
        <v>3398</v>
      </c>
      <c r="B3000" t="s">
        <v>531</v>
      </c>
      <c r="C3000">
        <v>474</v>
      </c>
      <c r="D3000">
        <v>551</v>
      </c>
      <c r="E3000">
        <v>0</v>
      </c>
      <c r="F3000">
        <v>247</v>
      </c>
      <c r="G3000">
        <v>0</v>
      </c>
      <c r="H3000" t="s">
        <v>7925</v>
      </c>
      <c r="I3000">
        <v>3398</v>
      </c>
      <c r="J3000" t="e">
        <f>VLOOKUP(E3000,DSSpieler!A:B,2,FALSE)</f>
        <v>#N/A</v>
      </c>
    </row>
    <row r="3001" spans="1:10" x14ac:dyDescent="0.25">
      <c r="A3001">
        <v>3399</v>
      </c>
      <c r="B3001" t="s">
        <v>31804</v>
      </c>
      <c r="C3001">
        <v>473</v>
      </c>
      <c r="D3001">
        <v>420</v>
      </c>
      <c r="E3001">
        <v>1576680977</v>
      </c>
      <c r="F3001">
        <v>6336</v>
      </c>
      <c r="G3001">
        <v>0</v>
      </c>
      <c r="H3001" t="s">
        <v>7926</v>
      </c>
      <c r="I3001">
        <v>3399</v>
      </c>
      <c r="J3001" t="str">
        <f>VLOOKUP(E3001,DSSpieler!A:B,2,FALSE)</f>
        <v>HeavenKeeper</v>
      </c>
    </row>
    <row r="3002" spans="1:10" x14ac:dyDescent="0.25">
      <c r="A3002">
        <v>3400</v>
      </c>
      <c r="B3002" t="s">
        <v>531</v>
      </c>
      <c r="C3002">
        <v>526</v>
      </c>
      <c r="D3002">
        <v>539</v>
      </c>
      <c r="E3002">
        <v>0</v>
      </c>
      <c r="F3002">
        <v>227</v>
      </c>
      <c r="G3002">
        <v>0</v>
      </c>
      <c r="H3002" t="s">
        <v>7927</v>
      </c>
      <c r="I3002">
        <v>3400</v>
      </c>
      <c r="J3002" t="e">
        <f>VLOOKUP(E3002,DSSpieler!A:B,2,FALSE)</f>
        <v>#N/A</v>
      </c>
    </row>
    <row r="3003" spans="1:10" x14ac:dyDescent="0.25">
      <c r="A3003">
        <v>3401</v>
      </c>
      <c r="B3003" t="s">
        <v>31805</v>
      </c>
      <c r="C3003">
        <v>480</v>
      </c>
      <c r="D3003">
        <v>498</v>
      </c>
      <c r="E3003">
        <v>1577197836</v>
      </c>
      <c r="F3003">
        <v>3086</v>
      </c>
      <c r="G3003">
        <v>0</v>
      </c>
      <c r="H3003" t="s">
        <v>7928</v>
      </c>
      <c r="I3003">
        <v>3401</v>
      </c>
      <c r="J3003" t="str">
        <f>VLOOKUP(E3003,DSSpieler!A:B,2,FALSE)</f>
        <v>xray66629</v>
      </c>
    </row>
    <row r="3004" spans="1:10" x14ac:dyDescent="0.25">
      <c r="A3004">
        <v>3402</v>
      </c>
      <c r="B3004" t="s">
        <v>531</v>
      </c>
      <c r="C3004">
        <v>470</v>
      </c>
      <c r="D3004">
        <v>446</v>
      </c>
      <c r="E3004">
        <v>0</v>
      </c>
      <c r="F3004">
        <v>317</v>
      </c>
      <c r="G3004">
        <v>0</v>
      </c>
      <c r="H3004" t="s">
        <v>7929</v>
      </c>
      <c r="I3004">
        <v>3402</v>
      </c>
      <c r="J3004" t="e">
        <f>VLOOKUP(E3004,DSSpieler!A:B,2,FALSE)</f>
        <v>#N/A</v>
      </c>
    </row>
    <row r="3005" spans="1:10" x14ac:dyDescent="0.25">
      <c r="A3005">
        <v>3403</v>
      </c>
      <c r="B3005" t="s">
        <v>531</v>
      </c>
      <c r="C3005">
        <v>558</v>
      </c>
      <c r="D3005">
        <v>538</v>
      </c>
      <c r="E3005">
        <v>0</v>
      </c>
      <c r="F3005">
        <v>646</v>
      </c>
      <c r="G3005">
        <v>0</v>
      </c>
      <c r="H3005" t="s">
        <v>7930</v>
      </c>
      <c r="I3005">
        <v>3403</v>
      </c>
      <c r="J3005" t="e">
        <f>VLOOKUP(E3005,DSSpieler!A:B,2,FALSE)</f>
        <v>#N/A</v>
      </c>
    </row>
    <row r="3006" spans="1:10" x14ac:dyDescent="0.25">
      <c r="A3006">
        <v>3404</v>
      </c>
      <c r="B3006" t="s">
        <v>31490</v>
      </c>
      <c r="C3006">
        <v>562</v>
      </c>
      <c r="D3006">
        <v>565</v>
      </c>
      <c r="E3006">
        <v>1577138953</v>
      </c>
      <c r="F3006">
        <v>4718</v>
      </c>
      <c r="G3006">
        <v>0</v>
      </c>
      <c r="H3006" t="s">
        <v>7931</v>
      </c>
      <c r="I3006">
        <v>3404</v>
      </c>
      <c r="J3006" t="str">
        <f>VLOOKUP(E3006,DSSpieler!A:B,2,FALSE)</f>
        <v>ganz entspannt</v>
      </c>
    </row>
    <row r="3007" spans="1:10" x14ac:dyDescent="0.25">
      <c r="A3007">
        <v>3405</v>
      </c>
      <c r="B3007" t="s">
        <v>31806</v>
      </c>
      <c r="C3007">
        <v>506</v>
      </c>
      <c r="D3007">
        <v>572</v>
      </c>
      <c r="E3007">
        <v>1577178389</v>
      </c>
      <c r="F3007">
        <v>7399</v>
      </c>
      <c r="G3007">
        <v>0</v>
      </c>
      <c r="H3007" t="s">
        <v>7932</v>
      </c>
      <c r="I3007">
        <v>3405</v>
      </c>
      <c r="J3007" t="str">
        <f>VLOOKUP(E3007,DSSpieler!A:B,2,FALSE)</f>
        <v>3 Kinder und Kein Geld</v>
      </c>
    </row>
    <row r="3008" spans="1:10" x14ac:dyDescent="0.25">
      <c r="A3008">
        <v>3406</v>
      </c>
      <c r="B3008" t="s">
        <v>531</v>
      </c>
      <c r="C3008">
        <v>469</v>
      </c>
      <c r="D3008">
        <v>512</v>
      </c>
      <c r="E3008">
        <v>0</v>
      </c>
      <c r="F3008">
        <v>302</v>
      </c>
      <c r="G3008">
        <v>0</v>
      </c>
      <c r="H3008" t="s">
        <v>7933</v>
      </c>
      <c r="I3008">
        <v>3406</v>
      </c>
      <c r="J3008" t="e">
        <f>VLOOKUP(E3008,DSSpieler!A:B,2,FALSE)</f>
        <v>#N/A</v>
      </c>
    </row>
    <row r="3009" spans="1:10" x14ac:dyDescent="0.25">
      <c r="A3009">
        <v>3407</v>
      </c>
      <c r="B3009">
        <v>1</v>
      </c>
      <c r="C3009">
        <v>548</v>
      </c>
      <c r="D3009">
        <v>457</v>
      </c>
      <c r="E3009">
        <v>1576083245</v>
      </c>
      <c r="F3009">
        <v>7433</v>
      </c>
      <c r="G3009">
        <v>0</v>
      </c>
      <c r="H3009" t="s">
        <v>7934</v>
      </c>
      <c r="I3009">
        <v>3407</v>
      </c>
      <c r="J3009" t="str">
        <f>VLOOKUP(E3009,DSSpieler!A:B,2,FALSE)</f>
        <v>Dny1893</v>
      </c>
    </row>
    <row r="3010" spans="1:10" x14ac:dyDescent="0.25">
      <c r="A3010">
        <v>3408</v>
      </c>
      <c r="B3010" t="s">
        <v>31807</v>
      </c>
      <c r="C3010">
        <v>573</v>
      </c>
      <c r="D3010">
        <v>553</v>
      </c>
      <c r="E3010">
        <v>1577146042</v>
      </c>
      <c r="F3010">
        <v>2945</v>
      </c>
      <c r="G3010">
        <v>0</v>
      </c>
      <c r="H3010" t="s">
        <v>7935</v>
      </c>
      <c r="I3010">
        <v>3408</v>
      </c>
      <c r="J3010" t="str">
        <f>VLOOKUP(E3010,DSSpieler!A:B,2,FALSE)</f>
        <v>Madara.</v>
      </c>
    </row>
    <row r="3011" spans="1:10" x14ac:dyDescent="0.25">
      <c r="A3011">
        <v>3409</v>
      </c>
      <c r="B3011" t="s">
        <v>937</v>
      </c>
      <c r="C3011">
        <v>543</v>
      </c>
      <c r="D3011">
        <v>584</v>
      </c>
      <c r="E3011">
        <v>9187554</v>
      </c>
      <c r="F3011">
        <v>2048</v>
      </c>
      <c r="G3011">
        <v>0</v>
      </c>
      <c r="H3011" t="s">
        <v>7936</v>
      </c>
      <c r="I3011">
        <v>3409</v>
      </c>
      <c r="J3011" t="str">
        <f>VLOOKUP(E3011,DSSpieler!A:B,2,FALSE)</f>
        <v>NetworXxX</v>
      </c>
    </row>
    <row r="3012" spans="1:10" x14ac:dyDescent="0.25">
      <c r="A3012">
        <v>3411</v>
      </c>
      <c r="B3012" t="s">
        <v>31808</v>
      </c>
      <c r="C3012">
        <v>468</v>
      </c>
      <c r="D3012">
        <v>510</v>
      </c>
      <c r="E3012">
        <v>1577183431</v>
      </c>
      <c r="F3012">
        <v>5595</v>
      </c>
      <c r="G3012">
        <v>0</v>
      </c>
      <c r="H3012" t="s">
        <v>7937</v>
      </c>
      <c r="I3012">
        <v>3411</v>
      </c>
      <c r="J3012" t="str">
        <f>VLOOKUP(E3012,DSSpieler!A:B,2,FALSE)</f>
        <v>senn1d</v>
      </c>
    </row>
    <row r="3013" spans="1:10" x14ac:dyDescent="0.25">
      <c r="A3013">
        <v>3412</v>
      </c>
      <c r="B3013" t="s">
        <v>1132</v>
      </c>
      <c r="C3013">
        <v>548</v>
      </c>
      <c r="D3013">
        <v>584</v>
      </c>
      <c r="E3013">
        <v>1576826515</v>
      </c>
      <c r="F3013">
        <v>5028</v>
      </c>
      <c r="G3013">
        <v>0</v>
      </c>
      <c r="H3013" t="s">
        <v>7938</v>
      </c>
      <c r="I3013">
        <v>3412</v>
      </c>
      <c r="J3013" t="str">
        <f>VLOOKUP(E3013,DSSpieler!A:B,2,FALSE)</f>
        <v>PandaBear</v>
      </c>
    </row>
    <row r="3014" spans="1:10" x14ac:dyDescent="0.25">
      <c r="A3014">
        <v>3413</v>
      </c>
      <c r="B3014" t="s">
        <v>1133</v>
      </c>
      <c r="C3014">
        <v>482</v>
      </c>
      <c r="D3014">
        <v>410</v>
      </c>
      <c r="E3014">
        <v>1577189192</v>
      </c>
      <c r="F3014">
        <v>6798</v>
      </c>
      <c r="G3014">
        <v>0</v>
      </c>
      <c r="H3014" t="s">
        <v>7939</v>
      </c>
      <c r="I3014">
        <v>3413</v>
      </c>
      <c r="J3014" t="str">
        <f>VLOOKUP(E3014,DSSpieler!A:B,2,FALSE)</f>
        <v>Peli</v>
      </c>
    </row>
    <row r="3015" spans="1:10" x14ac:dyDescent="0.25">
      <c r="A3015">
        <v>3414</v>
      </c>
      <c r="B3015" t="s">
        <v>31809</v>
      </c>
      <c r="C3015">
        <v>608</v>
      </c>
      <c r="D3015">
        <v>483</v>
      </c>
      <c r="E3015">
        <v>1577186212</v>
      </c>
      <c r="F3015">
        <v>3806</v>
      </c>
      <c r="G3015">
        <v>0</v>
      </c>
      <c r="H3015" t="s">
        <v>7940</v>
      </c>
      <c r="I3015">
        <v>3414</v>
      </c>
      <c r="J3015" t="str">
        <f>VLOOKUP(E3015,DSSpieler!A:B,2,FALSE)</f>
        <v>HateMyName</v>
      </c>
    </row>
    <row r="3016" spans="1:10" x14ac:dyDescent="0.25">
      <c r="A3016">
        <v>3415</v>
      </c>
      <c r="B3016">
        <v>1</v>
      </c>
      <c r="C3016">
        <v>522</v>
      </c>
      <c r="D3016">
        <v>483</v>
      </c>
      <c r="E3016">
        <v>1577091854</v>
      </c>
      <c r="F3016">
        <v>4479</v>
      </c>
      <c r="G3016">
        <v>0</v>
      </c>
      <c r="H3016" t="s">
        <v>7941</v>
      </c>
      <c r="I3016">
        <v>3415</v>
      </c>
      <c r="J3016" t="str">
        <f>VLOOKUP(E3016,DSSpieler!A:B,2,FALSE)</f>
        <v>Raupe</v>
      </c>
    </row>
    <row r="3017" spans="1:10" x14ac:dyDescent="0.25">
      <c r="A3017">
        <v>3416</v>
      </c>
      <c r="B3017" t="s">
        <v>31810</v>
      </c>
      <c r="C3017">
        <v>482</v>
      </c>
      <c r="D3017">
        <v>556</v>
      </c>
      <c r="E3017">
        <v>10235584</v>
      </c>
      <c r="F3017">
        <v>7877</v>
      </c>
      <c r="G3017">
        <v>0</v>
      </c>
      <c r="H3017" t="s">
        <v>7942</v>
      </c>
      <c r="I3017">
        <v>3416</v>
      </c>
      <c r="J3017" t="str">
        <f>VLOOKUP(E3017,DSSpieler!A:B,2,FALSE)</f>
        <v>LordShivaz</v>
      </c>
    </row>
    <row r="3018" spans="1:10" x14ac:dyDescent="0.25">
      <c r="A3018">
        <v>3417</v>
      </c>
      <c r="B3018" t="s">
        <v>1134</v>
      </c>
      <c r="C3018">
        <v>538</v>
      </c>
      <c r="D3018">
        <v>450</v>
      </c>
      <c r="E3018">
        <v>1577183460</v>
      </c>
      <c r="F3018">
        <v>6415</v>
      </c>
      <c r="G3018">
        <v>0</v>
      </c>
      <c r="H3018" t="s">
        <v>7943</v>
      </c>
      <c r="I3018">
        <v>3417</v>
      </c>
      <c r="J3018" t="str">
        <f>VLOOKUP(E3018,DSSpieler!A:B,2,FALSE)</f>
        <v>TrollPick</v>
      </c>
    </row>
    <row r="3019" spans="1:10" x14ac:dyDescent="0.25">
      <c r="A3019">
        <v>3418</v>
      </c>
      <c r="B3019" t="s">
        <v>1135</v>
      </c>
      <c r="C3019">
        <v>443</v>
      </c>
      <c r="D3019">
        <v>482</v>
      </c>
      <c r="E3019">
        <v>1575957171</v>
      </c>
      <c r="F3019">
        <v>5746</v>
      </c>
      <c r="G3019">
        <v>0</v>
      </c>
      <c r="H3019" t="s">
        <v>7944</v>
      </c>
      <c r="I3019">
        <v>3418</v>
      </c>
      <c r="J3019" t="str">
        <f>VLOOKUP(E3019,DSSpieler!A:B,2,FALSE)</f>
        <v>julesk</v>
      </c>
    </row>
    <row r="3020" spans="1:10" x14ac:dyDescent="0.25">
      <c r="A3020">
        <v>3420</v>
      </c>
      <c r="B3020" t="s">
        <v>1136</v>
      </c>
      <c r="C3020">
        <v>532</v>
      </c>
      <c r="D3020">
        <v>394</v>
      </c>
      <c r="E3020">
        <v>1577035634</v>
      </c>
      <c r="F3020">
        <v>6568</v>
      </c>
      <c r="G3020">
        <v>0</v>
      </c>
      <c r="H3020" t="s">
        <v>7945</v>
      </c>
      <c r="I3020">
        <v>3420</v>
      </c>
      <c r="J3020" t="str">
        <f>VLOOKUP(E3020,DSSpieler!A:B,2,FALSE)</f>
        <v>my1234</v>
      </c>
    </row>
    <row r="3021" spans="1:10" x14ac:dyDescent="0.25">
      <c r="A3021">
        <v>3421</v>
      </c>
      <c r="B3021" t="s">
        <v>31811</v>
      </c>
      <c r="C3021">
        <v>559</v>
      </c>
      <c r="D3021">
        <v>470</v>
      </c>
      <c r="E3021">
        <v>1577197401</v>
      </c>
      <c r="F3021">
        <v>2653</v>
      </c>
      <c r="G3021">
        <v>0</v>
      </c>
      <c r="H3021" t="s">
        <v>7946</v>
      </c>
      <c r="I3021">
        <v>3421</v>
      </c>
      <c r="J3021" t="str">
        <f>VLOOKUP(E3021,DSSpieler!A:B,2,FALSE)</f>
        <v>Rivern</v>
      </c>
    </row>
    <row r="3022" spans="1:10" x14ac:dyDescent="0.25">
      <c r="A3022">
        <v>3422</v>
      </c>
      <c r="B3022" t="s">
        <v>31812</v>
      </c>
      <c r="C3022">
        <v>491</v>
      </c>
      <c r="D3022">
        <v>572</v>
      </c>
      <c r="E3022">
        <v>1577197880</v>
      </c>
      <c r="F3022">
        <v>5090</v>
      </c>
      <c r="G3022">
        <v>0</v>
      </c>
      <c r="H3022" t="s">
        <v>7947</v>
      </c>
      <c r="I3022">
        <v>3422</v>
      </c>
      <c r="J3022" t="str">
        <f>VLOOKUP(E3022,DSSpieler!A:B,2,FALSE)</f>
        <v>jakusizz</v>
      </c>
    </row>
    <row r="3023" spans="1:10" x14ac:dyDescent="0.25">
      <c r="A3023">
        <v>3423</v>
      </c>
      <c r="B3023" t="s">
        <v>531</v>
      </c>
      <c r="C3023">
        <v>545</v>
      </c>
      <c r="D3023">
        <v>536</v>
      </c>
      <c r="E3023">
        <v>0</v>
      </c>
      <c r="F3023">
        <v>380</v>
      </c>
      <c r="G3023">
        <v>0</v>
      </c>
      <c r="H3023" t="s">
        <v>7948</v>
      </c>
      <c r="I3023">
        <v>3423</v>
      </c>
      <c r="J3023" t="e">
        <f>VLOOKUP(E3023,DSSpieler!A:B,2,FALSE)</f>
        <v>#N/A</v>
      </c>
    </row>
    <row r="3024" spans="1:10" x14ac:dyDescent="0.25">
      <c r="A3024">
        <v>3424</v>
      </c>
      <c r="B3024" t="s">
        <v>531</v>
      </c>
      <c r="C3024">
        <v>490</v>
      </c>
      <c r="D3024">
        <v>502</v>
      </c>
      <c r="E3024">
        <v>0</v>
      </c>
      <c r="F3024">
        <v>752</v>
      </c>
      <c r="G3024">
        <v>0</v>
      </c>
      <c r="H3024" t="s">
        <v>7949</v>
      </c>
      <c r="I3024">
        <v>3424</v>
      </c>
      <c r="J3024" t="e">
        <f>VLOOKUP(E3024,DSSpieler!A:B,2,FALSE)</f>
        <v>#N/A</v>
      </c>
    </row>
    <row r="3025" spans="1:10" x14ac:dyDescent="0.25">
      <c r="A3025">
        <v>3425</v>
      </c>
      <c r="B3025" t="s">
        <v>31813</v>
      </c>
      <c r="C3025">
        <v>489</v>
      </c>
      <c r="D3025">
        <v>549</v>
      </c>
      <c r="E3025">
        <v>1576996984</v>
      </c>
      <c r="F3025">
        <v>7963</v>
      </c>
      <c r="G3025">
        <v>0</v>
      </c>
      <c r="H3025" t="s">
        <v>7950</v>
      </c>
      <c r="I3025">
        <v>3425</v>
      </c>
      <c r="J3025" t="str">
        <f>VLOOKUP(E3025,DSSpieler!A:B,2,FALSE)</f>
        <v>Gallone</v>
      </c>
    </row>
    <row r="3026" spans="1:10" x14ac:dyDescent="0.25">
      <c r="A3026">
        <v>3426</v>
      </c>
      <c r="B3026" t="s">
        <v>531</v>
      </c>
      <c r="C3026">
        <v>525</v>
      </c>
      <c r="D3026">
        <v>460</v>
      </c>
      <c r="E3026">
        <v>0</v>
      </c>
      <c r="F3026">
        <v>622</v>
      </c>
      <c r="G3026">
        <v>0</v>
      </c>
      <c r="H3026" t="s">
        <v>7951</v>
      </c>
      <c r="I3026">
        <v>3426</v>
      </c>
      <c r="J3026" t="e">
        <f>VLOOKUP(E3026,DSSpieler!A:B,2,FALSE)</f>
        <v>#N/A</v>
      </c>
    </row>
    <row r="3027" spans="1:10" x14ac:dyDescent="0.25">
      <c r="A3027">
        <v>3427</v>
      </c>
      <c r="B3027" t="s">
        <v>30816</v>
      </c>
      <c r="C3027">
        <v>585</v>
      </c>
      <c r="D3027">
        <v>516</v>
      </c>
      <c r="E3027">
        <v>1577180067</v>
      </c>
      <c r="F3027">
        <v>4687</v>
      </c>
      <c r="G3027">
        <v>0</v>
      </c>
      <c r="H3027" t="s">
        <v>7952</v>
      </c>
      <c r="I3027">
        <v>3427</v>
      </c>
      <c r="J3027" t="str">
        <f>VLOOKUP(E3027,DSSpieler!A:B,2,FALSE)</f>
        <v>T-jag</v>
      </c>
    </row>
    <row r="3028" spans="1:10" x14ac:dyDescent="0.25">
      <c r="A3028">
        <v>3428</v>
      </c>
      <c r="B3028">
        <v>5</v>
      </c>
      <c r="C3028">
        <v>523</v>
      </c>
      <c r="D3028">
        <v>404</v>
      </c>
      <c r="E3028">
        <v>1577174074</v>
      </c>
      <c r="F3028">
        <v>5623</v>
      </c>
      <c r="G3028">
        <v>0</v>
      </c>
      <c r="H3028" t="s">
        <v>7953</v>
      </c>
      <c r="I3028">
        <v>3428</v>
      </c>
      <c r="J3028" t="str">
        <f>VLOOKUP(E3028,DSSpieler!A:B,2,FALSE)</f>
        <v>Jens123</v>
      </c>
    </row>
    <row r="3029" spans="1:10" x14ac:dyDescent="0.25">
      <c r="A3029">
        <v>3429</v>
      </c>
      <c r="B3029" t="s">
        <v>1137</v>
      </c>
      <c r="C3029">
        <v>551</v>
      </c>
      <c r="D3029">
        <v>596</v>
      </c>
      <c r="E3029">
        <v>1577174754</v>
      </c>
      <c r="F3029">
        <v>5041</v>
      </c>
      <c r="G3029">
        <v>0</v>
      </c>
      <c r="H3029" t="s">
        <v>7954</v>
      </c>
      <c r="I3029">
        <v>3429</v>
      </c>
      <c r="J3029" t="str">
        <f>VLOOKUP(E3029,DSSpieler!A:B,2,FALSE)</f>
        <v>Cook1e Dough</v>
      </c>
    </row>
    <row r="3030" spans="1:10" x14ac:dyDescent="0.25">
      <c r="A3030">
        <v>3430</v>
      </c>
      <c r="B3030" t="s">
        <v>1138</v>
      </c>
      <c r="C3030">
        <v>483</v>
      </c>
      <c r="D3030">
        <v>455</v>
      </c>
      <c r="E3030">
        <v>1577200408</v>
      </c>
      <c r="F3030">
        <v>3794</v>
      </c>
      <c r="G3030">
        <v>0</v>
      </c>
      <c r="H3030" t="s">
        <v>7955</v>
      </c>
      <c r="I3030">
        <v>3430</v>
      </c>
      <c r="J3030" t="str">
        <f>VLOOKUP(E3030,DSSpieler!A:B,2,FALSE)</f>
        <v>Crazy-Jo</v>
      </c>
    </row>
    <row r="3031" spans="1:10" x14ac:dyDescent="0.25">
      <c r="A3031">
        <v>3431</v>
      </c>
      <c r="B3031" t="s">
        <v>31814</v>
      </c>
      <c r="C3031">
        <v>586</v>
      </c>
      <c r="D3031">
        <v>489</v>
      </c>
      <c r="E3031">
        <v>9202979</v>
      </c>
      <c r="F3031">
        <v>5338</v>
      </c>
      <c r="G3031">
        <v>0</v>
      </c>
      <c r="H3031" t="s">
        <v>7956</v>
      </c>
      <c r="I3031">
        <v>3431</v>
      </c>
      <c r="J3031" t="str">
        <f>VLOOKUP(E3031,DSSpieler!A:B,2,FALSE)</f>
        <v>HilariousLotus</v>
      </c>
    </row>
    <row r="3032" spans="1:10" x14ac:dyDescent="0.25">
      <c r="A3032">
        <v>3432</v>
      </c>
      <c r="B3032" t="s">
        <v>31815</v>
      </c>
      <c r="C3032">
        <v>469</v>
      </c>
      <c r="D3032">
        <v>497</v>
      </c>
      <c r="E3032">
        <v>9046846</v>
      </c>
      <c r="F3032">
        <v>5391</v>
      </c>
      <c r="G3032">
        <v>0</v>
      </c>
      <c r="H3032" t="s">
        <v>7957</v>
      </c>
      <c r="I3032">
        <v>3432</v>
      </c>
      <c r="J3032" t="str">
        <f>VLOOKUP(E3032,DSSpieler!A:B,2,FALSE)</f>
        <v>006Tom</v>
      </c>
    </row>
    <row r="3033" spans="1:10" x14ac:dyDescent="0.25">
      <c r="A3033">
        <v>3433</v>
      </c>
      <c r="B3033" t="s">
        <v>667</v>
      </c>
      <c r="C3033">
        <v>541</v>
      </c>
      <c r="D3033">
        <v>442</v>
      </c>
      <c r="E3033">
        <v>1576391750</v>
      </c>
      <c r="F3033">
        <v>3810</v>
      </c>
      <c r="G3033">
        <v>0</v>
      </c>
      <c r="H3033" t="s">
        <v>7958</v>
      </c>
      <c r="I3033">
        <v>3433</v>
      </c>
      <c r="J3033" t="str">
        <f>VLOOKUP(E3033,DSSpieler!A:B,2,FALSE)</f>
        <v>sandrovitto</v>
      </c>
    </row>
    <row r="3034" spans="1:10" x14ac:dyDescent="0.25">
      <c r="A3034">
        <v>3435</v>
      </c>
      <c r="B3034" t="s">
        <v>1139</v>
      </c>
      <c r="C3034">
        <v>432</v>
      </c>
      <c r="D3034">
        <v>423</v>
      </c>
      <c r="E3034">
        <v>7761272</v>
      </c>
      <c r="F3034">
        <v>4245</v>
      </c>
      <c r="G3034">
        <v>0</v>
      </c>
      <c r="H3034" t="s">
        <v>7959</v>
      </c>
      <c r="I3034">
        <v>3435</v>
      </c>
      <c r="J3034" t="str">
        <f>VLOOKUP(E3034,DSSpieler!A:B,2,FALSE)</f>
        <v>Hollywood Undead</v>
      </c>
    </row>
    <row r="3035" spans="1:10" x14ac:dyDescent="0.25">
      <c r="A3035">
        <v>3436</v>
      </c>
      <c r="B3035" t="s">
        <v>31816</v>
      </c>
      <c r="C3035">
        <v>579</v>
      </c>
      <c r="D3035">
        <v>573</v>
      </c>
      <c r="E3035">
        <v>3109521</v>
      </c>
      <c r="F3035">
        <v>3676</v>
      </c>
      <c r="G3035">
        <v>0</v>
      </c>
      <c r="H3035" t="s">
        <v>7960</v>
      </c>
      <c r="I3035">
        <v>3436</v>
      </c>
      <c r="J3035" t="str">
        <f>VLOOKUP(E3035,DSSpieler!A:B,2,FALSE)</f>
        <v>bananenfaust</v>
      </c>
    </row>
    <row r="3036" spans="1:10" x14ac:dyDescent="0.25">
      <c r="A3036">
        <v>3437</v>
      </c>
      <c r="B3036" t="e">
        <f>-3-+Stadt</f>
        <v>#NAME?</v>
      </c>
      <c r="C3036">
        <v>527</v>
      </c>
      <c r="D3036">
        <v>567</v>
      </c>
      <c r="E3036">
        <v>1576901589</v>
      </c>
      <c r="F3036">
        <v>6106</v>
      </c>
      <c r="G3036">
        <v>0</v>
      </c>
      <c r="H3036" t="s">
        <v>7961</v>
      </c>
      <c r="I3036">
        <v>3437</v>
      </c>
      <c r="J3036" t="str">
        <f>VLOOKUP(E3036,DSSpieler!A:B,2,FALSE)</f>
        <v>KingKoelln</v>
      </c>
    </row>
    <row r="3037" spans="1:10" x14ac:dyDescent="0.25">
      <c r="A3037">
        <v>3438</v>
      </c>
      <c r="B3037" t="s">
        <v>31817</v>
      </c>
      <c r="C3037">
        <v>423</v>
      </c>
      <c r="D3037">
        <v>508</v>
      </c>
      <c r="E3037">
        <v>8321603</v>
      </c>
      <c r="F3037">
        <v>6059</v>
      </c>
      <c r="G3037">
        <v>0</v>
      </c>
      <c r="H3037" t="s">
        <v>7962</v>
      </c>
      <c r="I3037">
        <v>3438</v>
      </c>
      <c r="J3037">
        <f>VLOOKUP(E3037,DSSpieler!A:B,2,FALSE)</f>
        <v>25262054</v>
      </c>
    </row>
    <row r="3038" spans="1:10" x14ac:dyDescent="0.25">
      <c r="A3038">
        <v>3440</v>
      </c>
      <c r="B3038" t="s">
        <v>31818</v>
      </c>
      <c r="C3038">
        <v>569</v>
      </c>
      <c r="D3038">
        <v>520</v>
      </c>
      <c r="E3038">
        <v>10008893</v>
      </c>
      <c r="F3038">
        <v>6637</v>
      </c>
      <c r="G3038">
        <v>0</v>
      </c>
      <c r="H3038" t="s">
        <v>7963</v>
      </c>
      <c r="I3038">
        <v>3440</v>
      </c>
      <c r="J3038" t="str">
        <f>VLOOKUP(E3038,DSSpieler!A:B,2,FALSE)</f>
        <v>walsi the lord</v>
      </c>
    </row>
    <row r="3039" spans="1:10" x14ac:dyDescent="0.25">
      <c r="A3039">
        <v>3441</v>
      </c>
      <c r="B3039" t="s">
        <v>531</v>
      </c>
      <c r="C3039">
        <v>489</v>
      </c>
      <c r="D3039">
        <v>522</v>
      </c>
      <c r="E3039">
        <v>0</v>
      </c>
      <c r="F3039">
        <v>377</v>
      </c>
      <c r="G3039">
        <v>0</v>
      </c>
      <c r="H3039" t="s">
        <v>7964</v>
      </c>
      <c r="I3039">
        <v>3441</v>
      </c>
      <c r="J3039" t="e">
        <f>VLOOKUP(E3039,DSSpieler!A:B,2,FALSE)</f>
        <v>#N/A</v>
      </c>
    </row>
    <row r="3040" spans="1:10" x14ac:dyDescent="0.25">
      <c r="A3040">
        <v>3442</v>
      </c>
      <c r="B3040" t="s">
        <v>31819</v>
      </c>
      <c r="C3040">
        <v>415</v>
      </c>
      <c r="D3040">
        <v>465</v>
      </c>
      <c r="E3040">
        <v>8758527</v>
      </c>
      <c r="F3040">
        <v>6153</v>
      </c>
      <c r="G3040">
        <v>0</v>
      </c>
      <c r="H3040" t="s">
        <v>7965</v>
      </c>
      <c r="I3040">
        <v>3442</v>
      </c>
      <c r="J3040" t="str">
        <f>VLOOKUP(E3040,DSSpieler!A:B,2,FALSE)</f>
        <v>Kracitshl</v>
      </c>
    </row>
    <row r="3041" spans="1:10" x14ac:dyDescent="0.25">
      <c r="A3041">
        <v>3443</v>
      </c>
      <c r="B3041" t="s">
        <v>35828</v>
      </c>
      <c r="C3041">
        <v>506</v>
      </c>
      <c r="D3041">
        <v>603</v>
      </c>
      <c r="E3041">
        <v>731739</v>
      </c>
      <c r="F3041">
        <v>5550</v>
      </c>
      <c r="G3041">
        <v>0</v>
      </c>
      <c r="H3041" t="s">
        <v>7966</v>
      </c>
      <c r="I3041">
        <v>3443</v>
      </c>
      <c r="J3041" t="str">
        <f>VLOOKUP(E3041,DSSpieler!A:B,2,FALSE)</f>
        <v>BlayGlor</v>
      </c>
    </row>
    <row r="3042" spans="1:10" x14ac:dyDescent="0.25">
      <c r="A3042">
        <v>3444</v>
      </c>
      <c r="B3042" t="s">
        <v>531</v>
      </c>
      <c r="C3042">
        <v>476</v>
      </c>
      <c r="D3042">
        <v>549</v>
      </c>
      <c r="E3042">
        <v>1576749486</v>
      </c>
      <c r="F3042">
        <v>1090</v>
      </c>
      <c r="G3042">
        <v>0</v>
      </c>
      <c r="H3042" t="s">
        <v>7967</v>
      </c>
      <c r="I3042">
        <v>3444</v>
      </c>
      <c r="J3042" t="str">
        <f>VLOOKUP(E3042,DSSpieler!A:B,2,FALSE)</f>
        <v>XBlooDCrusherX</v>
      </c>
    </row>
    <row r="3043" spans="1:10" x14ac:dyDescent="0.25">
      <c r="A3043">
        <v>3445</v>
      </c>
      <c r="B3043">
        <v>1</v>
      </c>
      <c r="C3043">
        <v>567</v>
      </c>
      <c r="D3043">
        <v>537</v>
      </c>
      <c r="E3043">
        <v>1577188356</v>
      </c>
      <c r="F3043">
        <v>5056</v>
      </c>
      <c r="G3043">
        <v>0</v>
      </c>
      <c r="H3043" t="s">
        <v>7968</v>
      </c>
      <c r="I3043">
        <v>3445</v>
      </c>
      <c r="J3043" t="str">
        <f>VLOOKUP(E3043,DSSpieler!A:B,2,FALSE)</f>
        <v>Ted Romato</v>
      </c>
    </row>
    <row r="3044" spans="1:10" x14ac:dyDescent="0.25">
      <c r="A3044">
        <v>3446</v>
      </c>
      <c r="B3044" t="s">
        <v>1140</v>
      </c>
      <c r="C3044">
        <v>433</v>
      </c>
      <c r="D3044">
        <v>414</v>
      </c>
      <c r="E3044">
        <v>1576953927</v>
      </c>
      <c r="F3044">
        <v>6191</v>
      </c>
      <c r="G3044">
        <v>0</v>
      </c>
      <c r="H3044" t="s">
        <v>7969</v>
      </c>
      <c r="I3044">
        <v>3446</v>
      </c>
      <c r="J3044" t="str">
        <f>VLOOKUP(E3044,DSSpieler!A:B,2,FALSE)</f>
        <v>Fürst Finn</v>
      </c>
    </row>
    <row r="3045" spans="1:10" x14ac:dyDescent="0.25">
      <c r="A3045">
        <v>3447</v>
      </c>
      <c r="B3045">
        <v>301</v>
      </c>
      <c r="C3045">
        <v>544</v>
      </c>
      <c r="D3045">
        <v>510</v>
      </c>
      <c r="E3045">
        <v>1577172449</v>
      </c>
      <c r="F3045">
        <v>5230</v>
      </c>
      <c r="G3045">
        <v>0</v>
      </c>
      <c r="H3045" t="s">
        <v>7970</v>
      </c>
      <c r="I3045">
        <v>3447</v>
      </c>
      <c r="J3045" t="str">
        <f>VLOOKUP(E3045,DSSpieler!A:B,2,FALSE)</f>
        <v>maximus1234</v>
      </c>
    </row>
    <row r="3046" spans="1:10" x14ac:dyDescent="0.25">
      <c r="A3046">
        <v>3448</v>
      </c>
      <c r="B3046" t="s">
        <v>31820</v>
      </c>
      <c r="C3046">
        <v>457</v>
      </c>
      <c r="D3046">
        <v>602</v>
      </c>
      <c r="E3046">
        <v>10097263</v>
      </c>
      <c r="F3046">
        <v>3794</v>
      </c>
      <c r="G3046">
        <v>0</v>
      </c>
      <c r="H3046" t="s">
        <v>7971</v>
      </c>
      <c r="I3046">
        <v>3448</v>
      </c>
      <c r="J3046" t="str">
        <f>VLOOKUP(E3046,DSSpieler!A:B,2,FALSE)</f>
        <v>Kili131</v>
      </c>
    </row>
    <row r="3047" spans="1:10" x14ac:dyDescent="0.25">
      <c r="A3047">
        <v>3449</v>
      </c>
      <c r="B3047" t="s">
        <v>1141</v>
      </c>
      <c r="C3047">
        <v>534</v>
      </c>
      <c r="D3047">
        <v>541</v>
      </c>
      <c r="E3047">
        <v>205615</v>
      </c>
      <c r="F3047">
        <v>5677</v>
      </c>
      <c r="G3047">
        <v>0</v>
      </c>
      <c r="H3047" t="s">
        <v>7972</v>
      </c>
      <c r="I3047">
        <v>3449</v>
      </c>
      <c r="J3047" t="str">
        <f>VLOOKUP(E3047,DSSpieler!A:B,2,FALSE)</f>
        <v>hubeno</v>
      </c>
    </row>
    <row r="3048" spans="1:10" x14ac:dyDescent="0.25">
      <c r="A3048">
        <v>3450</v>
      </c>
      <c r="B3048" t="s">
        <v>31821</v>
      </c>
      <c r="C3048">
        <v>531</v>
      </c>
      <c r="D3048">
        <v>538</v>
      </c>
      <c r="E3048">
        <v>1577197187</v>
      </c>
      <c r="F3048">
        <v>5269</v>
      </c>
      <c r="G3048">
        <v>0</v>
      </c>
      <c r="H3048" t="s">
        <v>7973</v>
      </c>
      <c r="I3048">
        <v>3450</v>
      </c>
      <c r="J3048" t="str">
        <f>VLOOKUP(E3048,DSSpieler!A:B,2,FALSE)</f>
        <v>Murasaki-kun</v>
      </c>
    </row>
    <row r="3049" spans="1:10" x14ac:dyDescent="0.25">
      <c r="A3049">
        <v>3451</v>
      </c>
      <c r="B3049" t="s">
        <v>31822</v>
      </c>
      <c r="C3049">
        <v>498</v>
      </c>
      <c r="D3049">
        <v>445</v>
      </c>
      <c r="E3049">
        <v>1577197704</v>
      </c>
      <c r="F3049">
        <v>4478</v>
      </c>
      <c r="G3049">
        <v>0</v>
      </c>
      <c r="H3049" t="s">
        <v>7974</v>
      </c>
      <c r="I3049">
        <v>3451</v>
      </c>
      <c r="J3049" t="str">
        <f>VLOOKUP(E3049,DSSpieler!A:B,2,FALSE)</f>
        <v>Klaus Uhr</v>
      </c>
    </row>
    <row r="3050" spans="1:10" x14ac:dyDescent="0.25">
      <c r="A3050">
        <v>3452</v>
      </c>
      <c r="B3050" t="s">
        <v>31823</v>
      </c>
      <c r="C3050">
        <v>495</v>
      </c>
      <c r="D3050">
        <v>434</v>
      </c>
      <c r="E3050">
        <v>1577068691</v>
      </c>
      <c r="F3050">
        <v>6813</v>
      </c>
      <c r="G3050">
        <v>0</v>
      </c>
      <c r="H3050" t="s">
        <v>7975</v>
      </c>
      <c r="I3050">
        <v>3452</v>
      </c>
      <c r="J3050" t="str">
        <f>VLOOKUP(E3050,DSSpieler!A:B,2,FALSE)</f>
        <v>Schattensoul</v>
      </c>
    </row>
    <row r="3051" spans="1:10" x14ac:dyDescent="0.25">
      <c r="A3051">
        <v>3453</v>
      </c>
      <c r="B3051" t="s">
        <v>31824</v>
      </c>
      <c r="C3051">
        <v>563</v>
      </c>
      <c r="D3051">
        <v>444</v>
      </c>
      <c r="E3051">
        <v>1577133745</v>
      </c>
      <c r="F3051">
        <v>6963</v>
      </c>
      <c r="G3051">
        <v>0</v>
      </c>
      <c r="H3051" t="s">
        <v>7976</v>
      </c>
      <c r="I3051">
        <v>3453</v>
      </c>
      <c r="J3051" t="str">
        <f>VLOOKUP(E3051,DSSpieler!A:B,2,FALSE)</f>
        <v>Phime</v>
      </c>
    </row>
    <row r="3052" spans="1:10" x14ac:dyDescent="0.25">
      <c r="A3052">
        <v>3454</v>
      </c>
      <c r="B3052" t="s">
        <v>979</v>
      </c>
      <c r="C3052">
        <v>512</v>
      </c>
      <c r="D3052">
        <v>603</v>
      </c>
      <c r="E3052">
        <v>1577177565</v>
      </c>
      <c r="F3052">
        <v>5334</v>
      </c>
      <c r="G3052">
        <v>0</v>
      </c>
      <c r="H3052" t="s">
        <v>7977</v>
      </c>
      <c r="I3052">
        <v>3454</v>
      </c>
      <c r="J3052" t="str">
        <f>VLOOKUP(E3052,DSSpieler!A:B,2,FALSE)</f>
        <v>Auschu</v>
      </c>
    </row>
    <row r="3053" spans="1:10" x14ac:dyDescent="0.25">
      <c r="A3053">
        <v>3455</v>
      </c>
      <c r="B3053" t="s">
        <v>531</v>
      </c>
      <c r="C3053">
        <v>450</v>
      </c>
      <c r="D3053">
        <v>553</v>
      </c>
      <c r="E3053">
        <v>0</v>
      </c>
      <c r="F3053">
        <v>339</v>
      </c>
      <c r="G3053">
        <v>0</v>
      </c>
      <c r="H3053" t="s">
        <v>7978</v>
      </c>
      <c r="I3053">
        <v>3455</v>
      </c>
      <c r="J3053" t="e">
        <f>VLOOKUP(E3053,DSSpieler!A:B,2,FALSE)</f>
        <v>#N/A</v>
      </c>
    </row>
    <row r="3054" spans="1:10" x14ac:dyDescent="0.25">
      <c r="A3054">
        <v>3457</v>
      </c>
      <c r="B3054" t="s">
        <v>31687</v>
      </c>
      <c r="C3054">
        <v>482</v>
      </c>
      <c r="D3054">
        <v>576</v>
      </c>
      <c r="E3054">
        <v>1576996406</v>
      </c>
      <c r="F3054">
        <v>5993</v>
      </c>
      <c r="G3054">
        <v>0</v>
      </c>
      <c r="H3054" t="s">
        <v>7979</v>
      </c>
      <c r="I3054">
        <v>3457</v>
      </c>
      <c r="J3054" t="str">
        <f>VLOOKUP(E3054,DSSpieler!A:B,2,FALSE)</f>
        <v>clownsq</v>
      </c>
    </row>
    <row r="3055" spans="1:10" x14ac:dyDescent="0.25">
      <c r="A3055">
        <v>3458</v>
      </c>
      <c r="B3055" t="s">
        <v>531</v>
      </c>
      <c r="C3055">
        <v>452</v>
      </c>
      <c r="D3055">
        <v>490</v>
      </c>
      <c r="E3055">
        <v>0</v>
      </c>
      <c r="F3055">
        <v>416</v>
      </c>
      <c r="G3055">
        <v>0</v>
      </c>
      <c r="H3055" t="s">
        <v>7980</v>
      </c>
      <c r="I3055">
        <v>3458</v>
      </c>
      <c r="J3055" t="e">
        <f>VLOOKUP(E3055,DSSpieler!A:B,2,FALSE)</f>
        <v>#N/A</v>
      </c>
    </row>
    <row r="3056" spans="1:10" x14ac:dyDescent="0.25">
      <c r="A3056">
        <v>3460</v>
      </c>
      <c r="B3056" t="s">
        <v>531</v>
      </c>
      <c r="C3056">
        <v>572</v>
      </c>
      <c r="D3056">
        <v>510</v>
      </c>
      <c r="E3056">
        <v>0</v>
      </c>
      <c r="F3056">
        <v>205</v>
      </c>
      <c r="G3056">
        <v>0</v>
      </c>
      <c r="H3056" t="s">
        <v>7981</v>
      </c>
      <c r="I3056">
        <v>3460</v>
      </c>
      <c r="J3056" t="e">
        <f>VLOOKUP(E3056,DSSpieler!A:B,2,FALSE)</f>
        <v>#N/A</v>
      </c>
    </row>
    <row r="3057" spans="1:10" x14ac:dyDescent="0.25">
      <c r="A3057">
        <v>3461</v>
      </c>
      <c r="B3057" t="s">
        <v>1142</v>
      </c>
      <c r="C3057">
        <v>589</v>
      </c>
      <c r="D3057">
        <v>470</v>
      </c>
      <c r="E3057">
        <v>1577188736</v>
      </c>
      <c r="F3057">
        <v>7154</v>
      </c>
      <c r="G3057">
        <v>0</v>
      </c>
      <c r="H3057" t="s">
        <v>7982</v>
      </c>
      <c r="I3057">
        <v>3461</v>
      </c>
      <c r="J3057" t="str">
        <f>VLOOKUP(E3057,DSSpieler!A:B,2,FALSE)</f>
        <v>WoHinGenau?</v>
      </c>
    </row>
    <row r="3058" spans="1:10" x14ac:dyDescent="0.25">
      <c r="A3058">
        <v>3462</v>
      </c>
      <c r="B3058">
        <v>3</v>
      </c>
      <c r="C3058">
        <v>524</v>
      </c>
      <c r="D3058">
        <v>439</v>
      </c>
      <c r="E3058">
        <v>1577197399</v>
      </c>
      <c r="F3058">
        <v>4085</v>
      </c>
      <c r="G3058">
        <v>0</v>
      </c>
      <c r="H3058" t="s">
        <v>7983</v>
      </c>
      <c r="I3058">
        <v>3462</v>
      </c>
      <c r="J3058" t="str">
        <f>VLOOKUP(E3058,DSSpieler!A:B,2,FALSE)</f>
        <v>Daen1893</v>
      </c>
    </row>
    <row r="3059" spans="1:10" x14ac:dyDescent="0.25">
      <c r="A3059">
        <v>3463</v>
      </c>
      <c r="B3059" t="s">
        <v>531</v>
      </c>
      <c r="C3059">
        <v>507</v>
      </c>
      <c r="D3059">
        <v>489</v>
      </c>
      <c r="E3059">
        <v>0</v>
      </c>
      <c r="F3059">
        <v>344</v>
      </c>
      <c r="G3059">
        <v>0</v>
      </c>
      <c r="H3059" t="s">
        <v>7984</v>
      </c>
      <c r="I3059">
        <v>3463</v>
      </c>
      <c r="J3059" t="e">
        <f>VLOOKUP(E3059,DSSpieler!A:B,2,FALSE)</f>
        <v>#N/A</v>
      </c>
    </row>
    <row r="3060" spans="1:10" x14ac:dyDescent="0.25">
      <c r="A3060">
        <v>3464</v>
      </c>
      <c r="B3060" t="s">
        <v>531</v>
      </c>
      <c r="C3060">
        <v>510</v>
      </c>
      <c r="D3060">
        <v>494</v>
      </c>
      <c r="E3060">
        <v>0</v>
      </c>
      <c r="F3060">
        <v>613</v>
      </c>
      <c r="G3060">
        <v>0</v>
      </c>
      <c r="H3060" t="s">
        <v>7985</v>
      </c>
      <c r="I3060">
        <v>3464</v>
      </c>
      <c r="J3060" t="e">
        <f>VLOOKUP(E3060,DSSpieler!A:B,2,FALSE)</f>
        <v>#N/A</v>
      </c>
    </row>
    <row r="3061" spans="1:10" x14ac:dyDescent="0.25">
      <c r="A3061">
        <v>3465</v>
      </c>
      <c r="B3061" t="s">
        <v>1132</v>
      </c>
      <c r="C3061">
        <v>551</v>
      </c>
      <c r="D3061">
        <v>585</v>
      </c>
      <c r="E3061">
        <v>1576826515</v>
      </c>
      <c r="F3061">
        <v>6657</v>
      </c>
      <c r="G3061">
        <v>0</v>
      </c>
      <c r="H3061" t="s">
        <v>7986</v>
      </c>
      <c r="I3061">
        <v>3465</v>
      </c>
      <c r="J3061" t="str">
        <f>VLOOKUP(E3061,DSSpieler!A:B,2,FALSE)</f>
        <v>PandaBear</v>
      </c>
    </row>
    <row r="3062" spans="1:10" x14ac:dyDescent="0.25">
      <c r="A3062">
        <v>3466</v>
      </c>
      <c r="B3062" t="s">
        <v>1143</v>
      </c>
      <c r="C3062">
        <v>468</v>
      </c>
      <c r="D3062">
        <v>397</v>
      </c>
      <c r="E3062">
        <v>1183177</v>
      </c>
      <c r="F3062">
        <v>2884</v>
      </c>
      <c r="G3062">
        <v>0</v>
      </c>
      <c r="H3062" t="s">
        <v>7987</v>
      </c>
      <c r="I3062">
        <v>3466</v>
      </c>
      <c r="J3062" t="str">
        <f>VLOOKUP(E3062,DSSpieler!A:B,2,FALSE)</f>
        <v>Schaefery</v>
      </c>
    </row>
    <row r="3063" spans="1:10" x14ac:dyDescent="0.25">
      <c r="A3063">
        <v>3467</v>
      </c>
      <c r="B3063" t="s">
        <v>31825</v>
      </c>
      <c r="C3063">
        <v>573</v>
      </c>
      <c r="D3063">
        <v>561</v>
      </c>
      <c r="E3063">
        <v>1577187838</v>
      </c>
      <c r="F3063">
        <v>5762</v>
      </c>
      <c r="G3063">
        <v>0</v>
      </c>
      <c r="H3063" t="s">
        <v>7988</v>
      </c>
      <c r="I3063">
        <v>3467</v>
      </c>
      <c r="J3063" t="str">
        <f>VLOOKUP(E3063,DSSpieler!A:B,2,FALSE)</f>
        <v>RitterRunkel</v>
      </c>
    </row>
    <row r="3064" spans="1:10" x14ac:dyDescent="0.25">
      <c r="A3064">
        <v>3468</v>
      </c>
      <c r="B3064" t="s">
        <v>31826</v>
      </c>
      <c r="C3064">
        <v>548</v>
      </c>
      <c r="D3064">
        <v>589</v>
      </c>
      <c r="E3064">
        <v>1577171368</v>
      </c>
      <c r="F3064">
        <v>7078</v>
      </c>
      <c r="G3064">
        <v>0</v>
      </c>
      <c r="H3064" t="s">
        <v>7989</v>
      </c>
      <c r="I3064">
        <v>3468</v>
      </c>
      <c r="J3064" t="str">
        <f>VLOOKUP(E3064,DSSpieler!A:B,2,FALSE)</f>
        <v>Wenzel IV</v>
      </c>
    </row>
    <row r="3065" spans="1:10" x14ac:dyDescent="0.25">
      <c r="A3065">
        <v>3469</v>
      </c>
      <c r="B3065" t="s">
        <v>1092</v>
      </c>
      <c r="C3065">
        <v>493</v>
      </c>
      <c r="D3065">
        <v>577</v>
      </c>
      <c r="E3065">
        <v>1576918886</v>
      </c>
      <c r="F3065">
        <v>4837</v>
      </c>
      <c r="G3065">
        <v>0</v>
      </c>
      <c r="H3065" t="s">
        <v>7990</v>
      </c>
      <c r="I3065">
        <v>3469</v>
      </c>
      <c r="J3065" t="str">
        <f>VLOOKUP(E3065,DSSpieler!A:B,2,FALSE)</f>
        <v>tuete1</v>
      </c>
    </row>
    <row r="3066" spans="1:10" x14ac:dyDescent="0.25">
      <c r="A3066">
        <v>3470</v>
      </c>
      <c r="B3066" t="s">
        <v>1085</v>
      </c>
      <c r="C3066">
        <v>484</v>
      </c>
      <c r="D3066">
        <v>496</v>
      </c>
      <c r="E3066">
        <v>1577183837</v>
      </c>
      <c r="F3066">
        <v>1218</v>
      </c>
      <c r="G3066">
        <v>0</v>
      </c>
      <c r="H3066" t="s">
        <v>7991</v>
      </c>
      <c r="I3066">
        <v>3470</v>
      </c>
      <c r="J3066" t="str">
        <f>VLOOKUP(E3066,DSSpieler!A:B,2,FALSE)</f>
        <v>tischlermri</v>
      </c>
    </row>
    <row r="3067" spans="1:10" x14ac:dyDescent="0.25">
      <c r="A3067">
        <v>3471</v>
      </c>
      <c r="B3067" t="s">
        <v>31827</v>
      </c>
      <c r="C3067">
        <v>439</v>
      </c>
      <c r="D3067">
        <v>481</v>
      </c>
      <c r="E3067">
        <v>1577196376</v>
      </c>
      <c r="F3067">
        <v>4870</v>
      </c>
      <c r="G3067">
        <v>0</v>
      </c>
      <c r="H3067" t="s">
        <v>7992</v>
      </c>
      <c r="I3067">
        <v>3471</v>
      </c>
      <c r="J3067" t="str">
        <f>VLOOKUP(E3067,DSSpieler!A:B,2,FALSE)</f>
        <v>nExtremo</v>
      </c>
    </row>
    <row r="3068" spans="1:10" x14ac:dyDescent="0.25">
      <c r="A3068">
        <v>3472</v>
      </c>
      <c r="B3068" t="s">
        <v>1144</v>
      </c>
      <c r="C3068">
        <v>425</v>
      </c>
      <c r="D3068">
        <v>473</v>
      </c>
      <c r="E3068">
        <v>1576994636</v>
      </c>
      <c r="F3068">
        <v>5399</v>
      </c>
      <c r="G3068">
        <v>0</v>
      </c>
      <c r="H3068" t="s">
        <v>7993</v>
      </c>
      <c r="I3068">
        <v>3472</v>
      </c>
      <c r="J3068" t="str">
        <f>VLOOKUP(E3068,DSSpieler!A:B,2,FALSE)</f>
        <v>killerbee1986</v>
      </c>
    </row>
    <row r="3069" spans="1:10" x14ac:dyDescent="0.25">
      <c r="A3069">
        <v>3473</v>
      </c>
      <c r="B3069" t="s">
        <v>31687</v>
      </c>
      <c r="C3069">
        <v>479</v>
      </c>
      <c r="D3069">
        <v>579</v>
      </c>
      <c r="E3069">
        <v>1576996406</v>
      </c>
      <c r="F3069">
        <v>8411</v>
      </c>
      <c r="G3069">
        <v>0</v>
      </c>
      <c r="H3069" t="s">
        <v>7994</v>
      </c>
      <c r="I3069">
        <v>3473</v>
      </c>
      <c r="J3069" t="str">
        <f>VLOOKUP(E3069,DSSpieler!A:B,2,FALSE)</f>
        <v>clownsq</v>
      </c>
    </row>
    <row r="3070" spans="1:10" x14ac:dyDescent="0.25">
      <c r="A3070">
        <v>3474</v>
      </c>
      <c r="B3070" t="s">
        <v>31828</v>
      </c>
      <c r="C3070">
        <v>413</v>
      </c>
      <c r="D3070">
        <v>569</v>
      </c>
      <c r="E3070">
        <v>1577184357</v>
      </c>
      <c r="F3070">
        <v>5142</v>
      </c>
      <c r="G3070">
        <v>0</v>
      </c>
      <c r="H3070" t="s">
        <v>7995</v>
      </c>
      <c r="I3070">
        <v>3474</v>
      </c>
      <c r="J3070" t="str">
        <f>VLOOKUP(E3070,DSSpieler!A:B,2,FALSE)</f>
        <v>GlatzenDan</v>
      </c>
    </row>
    <row r="3071" spans="1:10" x14ac:dyDescent="0.25">
      <c r="A3071">
        <v>3475</v>
      </c>
      <c r="B3071" t="s">
        <v>1145</v>
      </c>
      <c r="C3071">
        <v>445</v>
      </c>
      <c r="D3071">
        <v>434</v>
      </c>
      <c r="E3071">
        <v>8563827</v>
      </c>
      <c r="F3071">
        <v>6650</v>
      </c>
      <c r="G3071">
        <v>0</v>
      </c>
      <c r="H3071" t="s">
        <v>7996</v>
      </c>
      <c r="I3071">
        <v>3475</v>
      </c>
      <c r="J3071" t="str">
        <f>VLOOKUP(E3071,DSSpieler!A:B,2,FALSE)</f>
        <v>TheClausii</v>
      </c>
    </row>
    <row r="3072" spans="1:10" x14ac:dyDescent="0.25">
      <c r="A3072">
        <v>3476</v>
      </c>
      <c r="B3072" t="s">
        <v>531</v>
      </c>
      <c r="C3072">
        <v>505</v>
      </c>
      <c r="D3072">
        <v>398</v>
      </c>
      <c r="E3072">
        <v>0</v>
      </c>
      <c r="F3072">
        <v>389</v>
      </c>
      <c r="G3072">
        <v>0</v>
      </c>
      <c r="H3072" t="s">
        <v>7997</v>
      </c>
      <c r="I3072">
        <v>3476</v>
      </c>
      <c r="J3072" t="e">
        <f>VLOOKUP(E3072,DSSpieler!A:B,2,FALSE)</f>
        <v>#N/A</v>
      </c>
    </row>
    <row r="3073" spans="1:10" x14ac:dyDescent="0.25">
      <c r="A3073">
        <v>3477</v>
      </c>
      <c r="B3073" t="s">
        <v>31829</v>
      </c>
      <c r="C3073">
        <v>560</v>
      </c>
      <c r="D3073">
        <v>508</v>
      </c>
      <c r="E3073">
        <v>1577175525</v>
      </c>
      <c r="F3073">
        <v>5473</v>
      </c>
      <c r="G3073">
        <v>0</v>
      </c>
      <c r="H3073" t="s">
        <v>7998</v>
      </c>
      <c r="I3073">
        <v>3477</v>
      </c>
      <c r="J3073" t="str">
        <f>VLOOKUP(E3073,DSSpieler!A:B,2,FALSE)</f>
        <v>tobu97</v>
      </c>
    </row>
    <row r="3074" spans="1:10" x14ac:dyDescent="0.25">
      <c r="A3074">
        <v>3478</v>
      </c>
      <c r="B3074" t="s">
        <v>31830</v>
      </c>
      <c r="C3074">
        <v>434</v>
      </c>
      <c r="D3074">
        <v>575</v>
      </c>
      <c r="E3074">
        <v>1577136017</v>
      </c>
      <c r="F3074">
        <v>4882</v>
      </c>
      <c r="G3074">
        <v>0</v>
      </c>
      <c r="H3074" t="s">
        <v>7999</v>
      </c>
      <c r="I3074">
        <v>3478</v>
      </c>
      <c r="J3074" t="str">
        <f>VLOOKUP(E3074,DSSpieler!A:B,2,FALSE)</f>
        <v>Wallbraker</v>
      </c>
    </row>
    <row r="3075" spans="1:10" x14ac:dyDescent="0.25">
      <c r="A3075">
        <v>3479</v>
      </c>
      <c r="B3075" t="s">
        <v>531</v>
      </c>
      <c r="C3075">
        <v>453</v>
      </c>
      <c r="D3075">
        <v>435</v>
      </c>
      <c r="E3075">
        <v>0</v>
      </c>
      <c r="F3075">
        <v>142</v>
      </c>
      <c r="G3075">
        <v>0</v>
      </c>
      <c r="H3075" t="s">
        <v>8000</v>
      </c>
      <c r="I3075">
        <v>3479</v>
      </c>
      <c r="J3075" t="e">
        <f>VLOOKUP(E3075,DSSpieler!A:B,2,FALSE)</f>
        <v>#N/A</v>
      </c>
    </row>
    <row r="3076" spans="1:10" x14ac:dyDescent="0.25">
      <c r="A3076">
        <v>3480</v>
      </c>
      <c r="B3076" t="s">
        <v>660</v>
      </c>
      <c r="C3076">
        <v>499</v>
      </c>
      <c r="D3076">
        <v>451</v>
      </c>
      <c r="E3076">
        <v>1577040884</v>
      </c>
      <c r="F3076">
        <v>795</v>
      </c>
      <c r="G3076">
        <v>0</v>
      </c>
      <c r="H3076" t="s">
        <v>8001</v>
      </c>
      <c r="I3076">
        <v>3480</v>
      </c>
      <c r="J3076" t="str">
        <f>VLOOKUP(E3076,DSSpieler!A:B,2,FALSE)</f>
        <v>Walze43</v>
      </c>
    </row>
    <row r="3077" spans="1:10" x14ac:dyDescent="0.25">
      <c r="A3077">
        <v>3481</v>
      </c>
      <c r="B3077" t="s">
        <v>1146</v>
      </c>
      <c r="C3077">
        <v>557</v>
      </c>
      <c r="D3077">
        <v>484</v>
      </c>
      <c r="E3077">
        <v>1576962402</v>
      </c>
      <c r="F3077">
        <v>2027</v>
      </c>
      <c r="G3077">
        <v>0</v>
      </c>
      <c r="H3077" t="s">
        <v>8002</v>
      </c>
      <c r="I3077">
        <v>3481</v>
      </c>
      <c r="J3077" t="str">
        <f>VLOOKUP(E3077,DSSpieler!A:B,2,FALSE)</f>
        <v>HerzogTheodoric0305</v>
      </c>
    </row>
    <row r="3078" spans="1:10" x14ac:dyDescent="0.25">
      <c r="A3078">
        <v>3482</v>
      </c>
      <c r="B3078" t="s">
        <v>30501</v>
      </c>
      <c r="C3078">
        <v>452</v>
      </c>
      <c r="D3078">
        <v>598</v>
      </c>
      <c r="E3078">
        <v>9607209</v>
      </c>
      <c r="F3078">
        <v>4245</v>
      </c>
      <c r="G3078">
        <v>0</v>
      </c>
      <c r="H3078" t="s">
        <v>8003</v>
      </c>
      <c r="I3078">
        <v>3482</v>
      </c>
      <c r="J3078" t="str">
        <f>VLOOKUP(E3078,DSSpieler!A:B,2,FALSE)</f>
        <v>Dregonheart</v>
      </c>
    </row>
    <row r="3079" spans="1:10" x14ac:dyDescent="0.25">
      <c r="A3079">
        <v>3483</v>
      </c>
      <c r="B3079">
        <v>1</v>
      </c>
      <c r="C3079">
        <v>564</v>
      </c>
      <c r="D3079">
        <v>452</v>
      </c>
      <c r="E3079">
        <v>3479010</v>
      </c>
      <c r="F3079">
        <v>6488</v>
      </c>
      <c r="G3079">
        <v>0</v>
      </c>
      <c r="H3079" t="s">
        <v>8004</v>
      </c>
      <c r="I3079">
        <v>3483</v>
      </c>
      <c r="J3079" t="str">
        <f>VLOOKUP(E3079,DSSpieler!A:B,2,FALSE)</f>
        <v>Lieskauer</v>
      </c>
    </row>
    <row r="3080" spans="1:10" x14ac:dyDescent="0.25">
      <c r="A3080">
        <v>3484</v>
      </c>
      <c r="B3080" t="s">
        <v>531</v>
      </c>
      <c r="C3080">
        <v>576</v>
      </c>
      <c r="D3080">
        <v>500</v>
      </c>
      <c r="E3080">
        <v>0</v>
      </c>
      <c r="F3080">
        <v>331</v>
      </c>
      <c r="G3080">
        <v>0</v>
      </c>
      <c r="H3080" t="s">
        <v>8005</v>
      </c>
      <c r="I3080">
        <v>3484</v>
      </c>
      <c r="J3080" t="e">
        <f>VLOOKUP(E3080,DSSpieler!A:B,2,FALSE)</f>
        <v>#N/A</v>
      </c>
    </row>
    <row r="3081" spans="1:10" x14ac:dyDescent="0.25">
      <c r="A3081">
        <v>3485</v>
      </c>
      <c r="B3081" t="s">
        <v>780</v>
      </c>
      <c r="C3081">
        <v>580</v>
      </c>
      <c r="D3081">
        <v>556</v>
      </c>
      <c r="E3081">
        <v>1577008291</v>
      </c>
      <c r="F3081">
        <v>7284</v>
      </c>
      <c r="G3081">
        <v>0</v>
      </c>
      <c r="H3081" t="s">
        <v>8006</v>
      </c>
      <c r="I3081">
        <v>3485</v>
      </c>
      <c r="J3081" t="str">
        <f>VLOOKUP(E3081,DSSpieler!A:B,2,FALSE)</f>
        <v>Krebii</v>
      </c>
    </row>
    <row r="3082" spans="1:10" x14ac:dyDescent="0.25">
      <c r="A3082">
        <v>3486</v>
      </c>
      <c r="B3082" t="s">
        <v>31831</v>
      </c>
      <c r="C3082">
        <v>463</v>
      </c>
      <c r="D3082">
        <v>441</v>
      </c>
      <c r="E3082">
        <v>8689006</v>
      </c>
      <c r="F3082">
        <v>5715</v>
      </c>
      <c r="G3082">
        <v>0</v>
      </c>
      <c r="H3082" t="s">
        <v>8007</v>
      </c>
      <c r="I3082">
        <v>3486</v>
      </c>
      <c r="J3082" t="str">
        <f>VLOOKUP(E3082,DSSpieler!A:B,2,FALSE)</f>
        <v>Pecksbyr</v>
      </c>
    </row>
    <row r="3083" spans="1:10" x14ac:dyDescent="0.25">
      <c r="A3083">
        <v>3488</v>
      </c>
      <c r="B3083" t="s">
        <v>31832</v>
      </c>
      <c r="C3083">
        <v>564</v>
      </c>
      <c r="D3083">
        <v>474</v>
      </c>
      <c r="E3083">
        <v>1222990</v>
      </c>
      <c r="F3083">
        <v>3931</v>
      </c>
      <c r="G3083">
        <v>0</v>
      </c>
      <c r="H3083" t="s">
        <v>8008</v>
      </c>
      <c r="I3083">
        <v>3488</v>
      </c>
      <c r="J3083" t="str">
        <f>VLOOKUP(E3083,DSSpieler!A:B,2,FALSE)</f>
        <v>saicxs</v>
      </c>
    </row>
    <row r="3084" spans="1:10" x14ac:dyDescent="0.25">
      <c r="A3084">
        <v>3489</v>
      </c>
      <c r="B3084" t="s">
        <v>1147</v>
      </c>
      <c r="C3084">
        <v>559</v>
      </c>
      <c r="D3084">
        <v>502</v>
      </c>
      <c r="E3084">
        <v>10166667</v>
      </c>
      <c r="F3084">
        <v>3580</v>
      </c>
      <c r="G3084">
        <v>0</v>
      </c>
      <c r="H3084" t="s">
        <v>8009</v>
      </c>
      <c r="I3084">
        <v>3489</v>
      </c>
      <c r="J3084" t="str">
        <f>VLOOKUP(E3084,DSSpieler!A:B,2,FALSE)</f>
        <v>rosatuftuf</v>
      </c>
    </row>
    <row r="3085" spans="1:10" x14ac:dyDescent="0.25">
      <c r="A3085">
        <v>3490</v>
      </c>
      <c r="B3085">
        <v>2</v>
      </c>
      <c r="C3085">
        <v>504</v>
      </c>
      <c r="D3085">
        <v>484</v>
      </c>
      <c r="E3085">
        <v>1577176626</v>
      </c>
      <c r="F3085">
        <v>3235</v>
      </c>
      <c r="G3085">
        <v>0</v>
      </c>
      <c r="H3085" t="s">
        <v>8010</v>
      </c>
      <c r="I3085">
        <v>3490</v>
      </c>
      <c r="J3085" t="str">
        <f>VLOOKUP(E3085,DSSpieler!A:B,2,FALSE)</f>
        <v>PlayOneMaurice</v>
      </c>
    </row>
    <row r="3086" spans="1:10" x14ac:dyDescent="0.25">
      <c r="A3086">
        <v>3491</v>
      </c>
      <c r="B3086" t="s">
        <v>31439</v>
      </c>
      <c r="C3086">
        <v>441</v>
      </c>
      <c r="D3086">
        <v>540</v>
      </c>
      <c r="E3086">
        <v>1576575171</v>
      </c>
      <c r="F3086">
        <v>6070</v>
      </c>
      <c r="G3086">
        <v>0</v>
      </c>
      <c r="H3086" t="s">
        <v>8011</v>
      </c>
      <c r="I3086">
        <v>3491</v>
      </c>
      <c r="J3086" t="str">
        <f>VLOOKUP(E3086,DSSpieler!A:B,2,FALSE)</f>
        <v>2HCL</v>
      </c>
    </row>
    <row r="3087" spans="1:10" x14ac:dyDescent="0.25">
      <c r="A3087">
        <v>3493</v>
      </c>
      <c r="B3087" t="s">
        <v>713</v>
      </c>
      <c r="C3087">
        <v>582</v>
      </c>
      <c r="D3087">
        <v>453</v>
      </c>
      <c r="E3087">
        <v>1577197749</v>
      </c>
      <c r="F3087">
        <v>6067</v>
      </c>
      <c r="G3087">
        <v>0</v>
      </c>
      <c r="H3087" t="s">
        <v>8012</v>
      </c>
      <c r="I3087">
        <v>3493</v>
      </c>
      <c r="J3087" t="str">
        <f>VLOOKUP(E3087,DSSpieler!A:B,2,FALSE)</f>
        <v>Yondu</v>
      </c>
    </row>
    <row r="3088" spans="1:10" x14ac:dyDescent="0.25">
      <c r="A3088">
        <v>3495</v>
      </c>
      <c r="B3088" t="s">
        <v>531</v>
      </c>
      <c r="C3088">
        <v>526</v>
      </c>
      <c r="D3088">
        <v>499</v>
      </c>
      <c r="E3088">
        <v>0</v>
      </c>
      <c r="F3088">
        <v>262</v>
      </c>
      <c r="G3088">
        <v>0</v>
      </c>
      <c r="H3088" t="s">
        <v>8013</v>
      </c>
      <c r="I3088">
        <v>3495</v>
      </c>
      <c r="J3088" t="e">
        <f>VLOOKUP(E3088,DSSpieler!A:B,2,FALSE)</f>
        <v>#N/A</v>
      </c>
    </row>
    <row r="3089" spans="1:10" x14ac:dyDescent="0.25">
      <c r="A3089">
        <v>3496</v>
      </c>
      <c r="B3089" t="s">
        <v>531</v>
      </c>
      <c r="C3089">
        <v>450</v>
      </c>
      <c r="D3089">
        <v>514</v>
      </c>
      <c r="E3089">
        <v>0</v>
      </c>
      <c r="F3089">
        <v>640</v>
      </c>
      <c r="G3089">
        <v>0</v>
      </c>
      <c r="H3089" t="s">
        <v>8014</v>
      </c>
      <c r="I3089">
        <v>3496</v>
      </c>
      <c r="J3089" t="e">
        <f>VLOOKUP(E3089,DSSpieler!A:B,2,FALSE)</f>
        <v>#N/A</v>
      </c>
    </row>
    <row r="3090" spans="1:10" x14ac:dyDescent="0.25">
      <c r="A3090">
        <v>3497</v>
      </c>
      <c r="B3090" t="s">
        <v>31833</v>
      </c>
      <c r="C3090">
        <v>448</v>
      </c>
      <c r="D3090">
        <v>509</v>
      </c>
      <c r="E3090">
        <v>1577181814</v>
      </c>
      <c r="F3090">
        <v>4961</v>
      </c>
      <c r="G3090">
        <v>0</v>
      </c>
      <c r="H3090" t="s">
        <v>8015</v>
      </c>
      <c r="I3090">
        <v>3497</v>
      </c>
      <c r="J3090" t="str">
        <f>VLOOKUP(E3090,DSSpieler!A:B,2,FALSE)</f>
        <v>jack.daniels</v>
      </c>
    </row>
    <row r="3091" spans="1:10" x14ac:dyDescent="0.25">
      <c r="A3091">
        <v>3498</v>
      </c>
      <c r="B3091" t="s">
        <v>31834</v>
      </c>
      <c r="C3091">
        <v>526</v>
      </c>
      <c r="D3091">
        <v>394</v>
      </c>
      <c r="E3091">
        <v>1576373467</v>
      </c>
      <c r="F3091">
        <v>8088</v>
      </c>
      <c r="G3091">
        <v>0</v>
      </c>
      <c r="H3091" t="s">
        <v>8016</v>
      </c>
      <c r="I3091">
        <v>3498</v>
      </c>
      <c r="J3091" t="str">
        <f>VLOOKUP(E3091,DSSpieler!A:B,2,FALSE)</f>
        <v>Askandi</v>
      </c>
    </row>
    <row r="3092" spans="1:10" x14ac:dyDescent="0.25">
      <c r="A3092">
        <v>3499</v>
      </c>
      <c r="B3092" t="s">
        <v>609</v>
      </c>
      <c r="C3092">
        <v>591</v>
      </c>
      <c r="D3092">
        <v>471</v>
      </c>
      <c r="E3092">
        <v>1576945801</v>
      </c>
      <c r="F3092">
        <v>2485</v>
      </c>
      <c r="G3092">
        <v>0</v>
      </c>
      <c r="H3092" t="s">
        <v>8017</v>
      </c>
      <c r="I3092">
        <v>3499</v>
      </c>
      <c r="J3092" t="str">
        <f>VLOOKUP(E3092,DSSpieler!A:B,2,FALSE)</f>
        <v>NoNameFree</v>
      </c>
    </row>
    <row r="3093" spans="1:10" x14ac:dyDescent="0.25">
      <c r="A3093">
        <v>3501</v>
      </c>
      <c r="B3093" t="s">
        <v>31835</v>
      </c>
      <c r="C3093">
        <v>491</v>
      </c>
      <c r="D3093">
        <v>541</v>
      </c>
      <c r="E3093">
        <v>1577197753</v>
      </c>
      <c r="F3093">
        <v>8477</v>
      </c>
      <c r="G3093">
        <v>0</v>
      </c>
      <c r="H3093" t="s">
        <v>8018</v>
      </c>
      <c r="I3093">
        <v>3501</v>
      </c>
      <c r="J3093" t="str">
        <f>VLOOKUP(E3093,DSSpieler!A:B,2,FALSE)</f>
        <v>Dakurlzz</v>
      </c>
    </row>
    <row r="3094" spans="1:10" x14ac:dyDescent="0.25">
      <c r="A3094">
        <v>3502</v>
      </c>
      <c r="B3094" t="s">
        <v>1148</v>
      </c>
      <c r="C3094">
        <v>421</v>
      </c>
      <c r="D3094">
        <v>507</v>
      </c>
      <c r="E3094">
        <v>1577194867</v>
      </c>
      <c r="F3094">
        <v>3833</v>
      </c>
      <c r="G3094">
        <v>0</v>
      </c>
      <c r="H3094" t="s">
        <v>8019</v>
      </c>
      <c r="I3094">
        <v>3502</v>
      </c>
      <c r="J3094" t="str">
        <f>VLOOKUP(E3094,DSSpieler!A:B,2,FALSE)</f>
        <v>Xetas</v>
      </c>
    </row>
    <row r="3095" spans="1:10" x14ac:dyDescent="0.25">
      <c r="A3095">
        <v>3503</v>
      </c>
      <c r="B3095" t="s">
        <v>31836</v>
      </c>
      <c r="C3095">
        <v>457</v>
      </c>
      <c r="D3095">
        <v>549</v>
      </c>
      <c r="E3095">
        <v>8942925</v>
      </c>
      <c r="F3095">
        <v>5095</v>
      </c>
      <c r="G3095">
        <v>0</v>
      </c>
      <c r="H3095" t="s">
        <v>8020</v>
      </c>
      <c r="I3095">
        <v>3503</v>
      </c>
      <c r="J3095" t="str">
        <f>VLOOKUP(E3095,DSSpieler!A:B,2,FALSE)</f>
        <v>Amaterzu</v>
      </c>
    </row>
    <row r="3096" spans="1:10" x14ac:dyDescent="0.25">
      <c r="A3096">
        <v>3504</v>
      </c>
      <c r="B3096" t="s">
        <v>1149</v>
      </c>
      <c r="C3096">
        <v>469</v>
      </c>
      <c r="D3096">
        <v>449</v>
      </c>
      <c r="E3096">
        <v>1577157405</v>
      </c>
      <c r="F3096">
        <v>3170</v>
      </c>
      <c r="G3096">
        <v>0</v>
      </c>
      <c r="H3096" t="s">
        <v>8021</v>
      </c>
      <c r="I3096">
        <v>3504</v>
      </c>
      <c r="J3096" t="str">
        <f>VLOOKUP(E3096,DSSpieler!A:B,2,FALSE)</f>
        <v>dadalu199</v>
      </c>
    </row>
    <row r="3097" spans="1:10" x14ac:dyDescent="0.25">
      <c r="A3097">
        <v>3505</v>
      </c>
      <c r="B3097">
        <v>5</v>
      </c>
      <c r="C3097">
        <v>569</v>
      </c>
      <c r="D3097">
        <v>460</v>
      </c>
      <c r="E3097">
        <v>3479010</v>
      </c>
      <c r="F3097">
        <v>2876</v>
      </c>
      <c r="G3097">
        <v>0</v>
      </c>
      <c r="H3097" t="s">
        <v>8022</v>
      </c>
      <c r="I3097">
        <v>3505</v>
      </c>
      <c r="J3097" t="str">
        <f>VLOOKUP(E3097,DSSpieler!A:B,2,FALSE)</f>
        <v>Lieskauer</v>
      </c>
    </row>
    <row r="3098" spans="1:10" x14ac:dyDescent="0.25">
      <c r="A3098">
        <v>3508</v>
      </c>
      <c r="B3098">
        <v>1</v>
      </c>
      <c r="C3098">
        <v>530</v>
      </c>
      <c r="D3098">
        <v>440</v>
      </c>
      <c r="E3098">
        <v>1577197399</v>
      </c>
      <c r="F3098">
        <v>4999</v>
      </c>
      <c r="G3098">
        <v>0</v>
      </c>
      <c r="H3098" t="s">
        <v>8023</v>
      </c>
      <c r="I3098">
        <v>3508</v>
      </c>
      <c r="J3098" t="str">
        <f>VLOOKUP(E3098,DSSpieler!A:B,2,FALSE)</f>
        <v>Daen1893</v>
      </c>
    </row>
    <row r="3099" spans="1:10" x14ac:dyDescent="0.25">
      <c r="A3099">
        <v>3509</v>
      </c>
      <c r="B3099">
        <v>1</v>
      </c>
      <c r="C3099">
        <v>522</v>
      </c>
      <c r="D3099">
        <v>492</v>
      </c>
      <c r="E3099">
        <v>2651379</v>
      </c>
      <c r="F3099">
        <v>6729</v>
      </c>
      <c r="G3099">
        <v>0</v>
      </c>
      <c r="H3099" t="s">
        <v>8024</v>
      </c>
      <c r="I3099">
        <v>3509</v>
      </c>
      <c r="J3099" t="str">
        <f>VLOOKUP(E3099,DSSpieler!A:B,2,FALSE)</f>
        <v>Gernschi</v>
      </c>
    </row>
    <row r="3100" spans="1:10" x14ac:dyDescent="0.25">
      <c r="A3100">
        <v>3510</v>
      </c>
      <c r="B3100" t="s">
        <v>31837</v>
      </c>
      <c r="C3100">
        <v>481</v>
      </c>
      <c r="D3100">
        <v>452</v>
      </c>
      <c r="E3100">
        <v>1577185691</v>
      </c>
      <c r="F3100">
        <v>4811</v>
      </c>
      <c r="G3100">
        <v>0</v>
      </c>
      <c r="H3100" t="s">
        <v>8025</v>
      </c>
      <c r="I3100">
        <v>3510</v>
      </c>
      <c r="J3100" t="str">
        <f>VLOOKUP(E3100,DSSpieler!A:B,2,FALSE)</f>
        <v>nepf1997</v>
      </c>
    </row>
    <row r="3101" spans="1:10" x14ac:dyDescent="0.25">
      <c r="A3101">
        <v>3512</v>
      </c>
      <c r="B3101" t="s">
        <v>531</v>
      </c>
      <c r="C3101">
        <v>437</v>
      </c>
      <c r="D3101">
        <v>494</v>
      </c>
      <c r="E3101">
        <v>0</v>
      </c>
      <c r="F3101">
        <v>188</v>
      </c>
      <c r="G3101">
        <v>0</v>
      </c>
      <c r="H3101" t="s">
        <v>8026</v>
      </c>
      <c r="I3101">
        <v>3512</v>
      </c>
      <c r="J3101" t="e">
        <f>VLOOKUP(E3101,DSSpieler!A:B,2,FALSE)</f>
        <v>#N/A</v>
      </c>
    </row>
    <row r="3102" spans="1:10" x14ac:dyDescent="0.25">
      <c r="A3102">
        <v>3513</v>
      </c>
      <c r="B3102">
        <v>3</v>
      </c>
      <c r="C3102">
        <v>512</v>
      </c>
      <c r="D3102">
        <v>528</v>
      </c>
      <c r="E3102">
        <v>689047</v>
      </c>
      <c r="F3102">
        <v>5626</v>
      </c>
      <c r="G3102">
        <v>0</v>
      </c>
      <c r="H3102" t="s">
        <v>8027</v>
      </c>
      <c r="I3102">
        <v>3513</v>
      </c>
      <c r="J3102" t="str">
        <f>VLOOKUP(E3102,DSSpieler!A:B,2,FALSE)</f>
        <v>king of gilching</v>
      </c>
    </row>
    <row r="3103" spans="1:10" x14ac:dyDescent="0.25">
      <c r="A3103">
        <v>3514</v>
      </c>
      <c r="B3103" t="s">
        <v>673</v>
      </c>
      <c r="C3103">
        <v>591</v>
      </c>
      <c r="D3103">
        <v>528</v>
      </c>
      <c r="E3103">
        <v>1577112350</v>
      </c>
      <c r="F3103">
        <v>6647</v>
      </c>
      <c r="G3103">
        <v>0</v>
      </c>
      <c r="H3103" t="s">
        <v>8028</v>
      </c>
      <c r="I3103">
        <v>3514</v>
      </c>
      <c r="J3103" t="str">
        <f>VLOOKUP(E3103,DSSpieler!A:B,2,FALSE)</f>
        <v>AtesKangal</v>
      </c>
    </row>
    <row r="3104" spans="1:10" x14ac:dyDescent="0.25">
      <c r="A3104">
        <v>3516</v>
      </c>
      <c r="B3104" t="s">
        <v>31838</v>
      </c>
      <c r="C3104">
        <v>562</v>
      </c>
      <c r="D3104">
        <v>486</v>
      </c>
      <c r="E3104">
        <v>1577075520</v>
      </c>
      <c r="F3104">
        <v>7058</v>
      </c>
      <c r="G3104">
        <v>0</v>
      </c>
      <c r="H3104" t="s">
        <v>8029</v>
      </c>
      <c r="I3104">
        <v>3516</v>
      </c>
      <c r="J3104" t="str">
        <f>VLOOKUP(E3104,DSSpieler!A:B,2,FALSE)</f>
        <v>SirBiedi</v>
      </c>
    </row>
    <row r="3105" spans="1:10" x14ac:dyDescent="0.25">
      <c r="A3105">
        <v>3517</v>
      </c>
      <c r="B3105" t="s">
        <v>531</v>
      </c>
      <c r="C3105">
        <v>477</v>
      </c>
      <c r="D3105">
        <v>441</v>
      </c>
      <c r="E3105">
        <v>0</v>
      </c>
      <c r="F3105">
        <v>416</v>
      </c>
      <c r="G3105">
        <v>0</v>
      </c>
      <c r="H3105" t="s">
        <v>8030</v>
      </c>
      <c r="I3105">
        <v>3517</v>
      </c>
      <c r="J3105" t="e">
        <f>VLOOKUP(E3105,DSSpieler!A:B,2,FALSE)</f>
        <v>#N/A</v>
      </c>
    </row>
    <row r="3106" spans="1:10" x14ac:dyDescent="0.25">
      <c r="A3106">
        <v>3518</v>
      </c>
      <c r="B3106">
        <v>2</v>
      </c>
      <c r="C3106">
        <v>414</v>
      </c>
      <c r="D3106">
        <v>541</v>
      </c>
      <c r="E3106">
        <v>2517318</v>
      </c>
      <c r="F3106">
        <v>3679</v>
      </c>
      <c r="G3106">
        <v>0</v>
      </c>
      <c r="H3106" t="s">
        <v>8031</v>
      </c>
      <c r="I3106">
        <v>3518</v>
      </c>
      <c r="J3106" t="str">
        <f>VLOOKUP(E3106,DSSpieler!A:B,2,FALSE)</f>
        <v>Ritter Gold</v>
      </c>
    </row>
    <row r="3107" spans="1:10" x14ac:dyDescent="0.25">
      <c r="A3107">
        <v>3519</v>
      </c>
      <c r="B3107" t="s">
        <v>31839</v>
      </c>
      <c r="C3107">
        <v>539</v>
      </c>
      <c r="D3107">
        <v>565</v>
      </c>
      <c r="E3107">
        <v>1577011479</v>
      </c>
      <c r="F3107">
        <v>4966</v>
      </c>
      <c r="G3107">
        <v>0</v>
      </c>
      <c r="H3107" t="s">
        <v>8032</v>
      </c>
      <c r="I3107">
        <v>3519</v>
      </c>
      <c r="J3107" t="str">
        <f>VLOOKUP(E3107,DSSpieler!A:B,2,FALSE)</f>
        <v>Dänerys Targaryen</v>
      </c>
    </row>
    <row r="3108" spans="1:10" x14ac:dyDescent="0.25">
      <c r="A3108">
        <v>3520</v>
      </c>
      <c r="B3108" s="111">
        <v>230.02</v>
      </c>
      <c r="C3108">
        <v>504</v>
      </c>
      <c r="D3108">
        <v>424</v>
      </c>
      <c r="E3108">
        <v>1577185564</v>
      </c>
      <c r="F3108">
        <v>5442</v>
      </c>
      <c r="G3108">
        <v>0</v>
      </c>
      <c r="H3108" t="s">
        <v>8033</v>
      </c>
      <c r="I3108">
        <v>3520</v>
      </c>
      <c r="J3108" t="str">
        <f>VLOOKUP(E3108,DSSpieler!A:B,2,FALSE)</f>
        <v>Chrismk7</v>
      </c>
    </row>
    <row r="3109" spans="1:10" x14ac:dyDescent="0.25">
      <c r="A3109">
        <v>3521</v>
      </c>
      <c r="B3109" t="s">
        <v>1150</v>
      </c>
      <c r="C3109">
        <v>431</v>
      </c>
      <c r="D3109">
        <v>510</v>
      </c>
      <c r="E3109">
        <v>1577195605</v>
      </c>
      <c r="F3109">
        <v>6650</v>
      </c>
      <c r="G3109">
        <v>0</v>
      </c>
      <c r="H3109" t="s">
        <v>8034</v>
      </c>
      <c r="I3109">
        <v>3521</v>
      </c>
      <c r="J3109" t="str">
        <f>VLOOKUP(E3109,DSSpieler!A:B,2,FALSE)</f>
        <v>Fusspilz</v>
      </c>
    </row>
    <row r="3110" spans="1:10" x14ac:dyDescent="0.25">
      <c r="A3110">
        <v>3522</v>
      </c>
      <c r="B3110" t="s">
        <v>531</v>
      </c>
      <c r="C3110">
        <v>491</v>
      </c>
      <c r="D3110">
        <v>423</v>
      </c>
      <c r="E3110">
        <v>0</v>
      </c>
      <c r="F3110">
        <v>486</v>
      </c>
      <c r="G3110">
        <v>0</v>
      </c>
      <c r="H3110" t="s">
        <v>8035</v>
      </c>
      <c r="I3110">
        <v>3522</v>
      </c>
      <c r="J3110" t="e">
        <f>VLOOKUP(E3110,DSSpieler!A:B,2,FALSE)</f>
        <v>#N/A</v>
      </c>
    </row>
    <row r="3111" spans="1:10" x14ac:dyDescent="0.25">
      <c r="A3111">
        <v>3524</v>
      </c>
      <c r="B3111" t="s">
        <v>643</v>
      </c>
      <c r="C3111">
        <v>515</v>
      </c>
      <c r="D3111">
        <v>488</v>
      </c>
      <c r="E3111">
        <v>1576546207</v>
      </c>
      <c r="F3111">
        <v>4898</v>
      </c>
      <c r="G3111">
        <v>0</v>
      </c>
      <c r="H3111" t="s">
        <v>8036</v>
      </c>
      <c r="I3111">
        <v>3524</v>
      </c>
      <c r="J3111" t="str">
        <f>VLOOKUP(E3111,DSSpieler!A:B,2,FALSE)</f>
        <v>Russman</v>
      </c>
    </row>
    <row r="3112" spans="1:10" x14ac:dyDescent="0.25">
      <c r="A3112">
        <v>3526</v>
      </c>
      <c r="B3112" t="s">
        <v>31840</v>
      </c>
      <c r="C3112">
        <v>508</v>
      </c>
      <c r="D3112">
        <v>503</v>
      </c>
      <c r="E3112">
        <v>1577152085</v>
      </c>
      <c r="F3112">
        <v>172</v>
      </c>
      <c r="G3112">
        <v>0</v>
      </c>
      <c r="H3112" t="s">
        <v>8037</v>
      </c>
      <c r="I3112">
        <v>3526</v>
      </c>
      <c r="J3112" t="str">
        <f>VLOOKUP(E3112,DSSpieler!A:B,2,FALSE)</f>
        <v>foxracing</v>
      </c>
    </row>
    <row r="3113" spans="1:10" x14ac:dyDescent="0.25">
      <c r="A3113">
        <v>3528</v>
      </c>
      <c r="B3113" t="s">
        <v>531</v>
      </c>
      <c r="C3113">
        <v>580</v>
      </c>
      <c r="D3113">
        <v>563</v>
      </c>
      <c r="E3113">
        <v>0</v>
      </c>
      <c r="F3113">
        <v>909</v>
      </c>
      <c r="G3113">
        <v>0</v>
      </c>
      <c r="H3113" t="s">
        <v>8038</v>
      </c>
      <c r="I3113">
        <v>3528</v>
      </c>
      <c r="J3113" t="e">
        <f>VLOOKUP(E3113,DSSpieler!A:B,2,FALSE)</f>
        <v>#N/A</v>
      </c>
    </row>
    <row r="3114" spans="1:10" x14ac:dyDescent="0.25">
      <c r="A3114">
        <v>3529</v>
      </c>
      <c r="B3114" t="s">
        <v>979</v>
      </c>
      <c r="C3114">
        <v>506</v>
      </c>
      <c r="D3114">
        <v>605</v>
      </c>
      <c r="E3114">
        <v>1576934386</v>
      </c>
      <c r="F3114">
        <v>5299</v>
      </c>
      <c r="G3114">
        <v>0</v>
      </c>
      <c r="H3114" t="s">
        <v>8039</v>
      </c>
      <c r="I3114">
        <v>3529</v>
      </c>
      <c r="J3114" t="str">
        <f>VLOOKUP(E3114,DSSpieler!A:B,2,FALSE)</f>
        <v>Signed1</v>
      </c>
    </row>
    <row r="3115" spans="1:10" x14ac:dyDescent="0.25">
      <c r="A3115">
        <v>3530</v>
      </c>
      <c r="B3115" t="s">
        <v>31841</v>
      </c>
      <c r="C3115">
        <v>456</v>
      </c>
      <c r="D3115">
        <v>603</v>
      </c>
      <c r="E3115">
        <v>9569148</v>
      </c>
      <c r="F3115">
        <v>4765</v>
      </c>
      <c r="G3115">
        <v>0</v>
      </c>
      <c r="H3115" t="s">
        <v>8040</v>
      </c>
      <c r="I3115">
        <v>3530</v>
      </c>
      <c r="J3115" t="str">
        <f>VLOOKUP(E3115,DSSpieler!A:B,2,FALSE)</f>
        <v>079*</v>
      </c>
    </row>
    <row r="3116" spans="1:10" x14ac:dyDescent="0.25">
      <c r="A3116">
        <v>3531</v>
      </c>
      <c r="B3116" t="s">
        <v>556</v>
      </c>
      <c r="C3116">
        <v>520</v>
      </c>
      <c r="D3116">
        <v>453</v>
      </c>
      <c r="E3116">
        <v>1576997544</v>
      </c>
      <c r="F3116">
        <v>6283</v>
      </c>
      <c r="G3116">
        <v>0</v>
      </c>
      <c r="H3116" t="s">
        <v>8041</v>
      </c>
      <c r="I3116">
        <v>3531</v>
      </c>
      <c r="J3116" t="str">
        <f>VLOOKUP(E3116,DSSpieler!A:B,2,FALSE)</f>
        <v>Nordmann73</v>
      </c>
    </row>
    <row r="3117" spans="1:10" x14ac:dyDescent="0.25">
      <c r="A3117">
        <v>3532</v>
      </c>
      <c r="B3117" t="s">
        <v>531</v>
      </c>
      <c r="C3117">
        <v>565</v>
      </c>
      <c r="D3117">
        <v>460</v>
      </c>
      <c r="E3117">
        <v>0</v>
      </c>
      <c r="F3117">
        <v>325</v>
      </c>
      <c r="G3117">
        <v>0</v>
      </c>
      <c r="H3117" t="s">
        <v>8042</v>
      </c>
      <c r="I3117">
        <v>3532</v>
      </c>
      <c r="J3117" t="e">
        <f>VLOOKUP(E3117,DSSpieler!A:B,2,FALSE)</f>
        <v>#N/A</v>
      </c>
    </row>
    <row r="3118" spans="1:10" x14ac:dyDescent="0.25">
      <c r="A3118">
        <v>3533</v>
      </c>
      <c r="B3118" t="s">
        <v>31842</v>
      </c>
      <c r="C3118">
        <v>573</v>
      </c>
      <c r="D3118">
        <v>469</v>
      </c>
      <c r="E3118">
        <v>1577197682</v>
      </c>
      <c r="F3118">
        <v>1534</v>
      </c>
      <c r="G3118">
        <v>0</v>
      </c>
      <c r="H3118" t="s">
        <v>8043</v>
      </c>
      <c r="I3118">
        <v>3533</v>
      </c>
      <c r="J3118" t="str">
        <f>VLOOKUP(E3118,DSSpieler!A:B,2,FALSE)</f>
        <v>Kelar</v>
      </c>
    </row>
    <row r="3119" spans="1:10" x14ac:dyDescent="0.25">
      <c r="A3119">
        <v>3534</v>
      </c>
      <c r="B3119" t="s">
        <v>31843</v>
      </c>
      <c r="C3119">
        <v>534</v>
      </c>
      <c r="D3119">
        <v>427</v>
      </c>
      <c r="E3119">
        <v>1577173457</v>
      </c>
      <c r="F3119">
        <v>3032</v>
      </c>
      <c r="G3119">
        <v>0</v>
      </c>
      <c r="H3119" t="s">
        <v>8044</v>
      </c>
      <c r="I3119">
        <v>3534</v>
      </c>
      <c r="J3119" t="str">
        <f>VLOOKUP(E3119,DSSpieler!A:B,2,FALSE)</f>
        <v>Blacki029ost</v>
      </c>
    </row>
    <row r="3120" spans="1:10" x14ac:dyDescent="0.25">
      <c r="A3120">
        <v>3535</v>
      </c>
      <c r="B3120" t="s">
        <v>1151</v>
      </c>
      <c r="C3120">
        <v>462</v>
      </c>
      <c r="D3120">
        <v>430</v>
      </c>
      <c r="E3120">
        <v>1577186328</v>
      </c>
      <c r="F3120">
        <v>7036</v>
      </c>
      <c r="G3120">
        <v>0</v>
      </c>
      <c r="H3120" t="s">
        <v>8045</v>
      </c>
      <c r="I3120">
        <v>3535</v>
      </c>
      <c r="J3120" t="str">
        <f>VLOOKUP(E3120,DSSpieler!A:B,2,FALSE)</f>
        <v>Sikilation</v>
      </c>
    </row>
    <row r="3121" spans="1:10" x14ac:dyDescent="0.25">
      <c r="A3121">
        <v>3537</v>
      </c>
      <c r="B3121" t="s">
        <v>31844</v>
      </c>
      <c r="C3121">
        <v>471</v>
      </c>
      <c r="D3121">
        <v>487</v>
      </c>
      <c r="E3121">
        <v>1946985</v>
      </c>
      <c r="F3121">
        <v>6717</v>
      </c>
      <c r="G3121">
        <v>0</v>
      </c>
      <c r="H3121" t="s">
        <v>8046</v>
      </c>
      <c r="I3121">
        <v>3537</v>
      </c>
      <c r="J3121" t="str">
        <f>VLOOKUP(E3121,DSSpieler!A:B,2,FALSE)</f>
        <v>StarPointer.1.</v>
      </c>
    </row>
    <row r="3122" spans="1:10" x14ac:dyDescent="0.25">
      <c r="A3122">
        <v>3538</v>
      </c>
      <c r="B3122" t="s">
        <v>31845</v>
      </c>
      <c r="C3122">
        <v>557</v>
      </c>
      <c r="D3122">
        <v>553</v>
      </c>
      <c r="E3122">
        <v>9425598</v>
      </c>
      <c r="F3122">
        <v>4905</v>
      </c>
      <c r="G3122">
        <v>0</v>
      </c>
      <c r="H3122" t="s">
        <v>8047</v>
      </c>
      <c r="I3122">
        <v>3538</v>
      </c>
      <c r="J3122" t="str">
        <f>VLOOKUP(E3122,DSSpieler!A:B,2,FALSE)</f>
        <v>Athcor</v>
      </c>
    </row>
    <row r="3123" spans="1:10" x14ac:dyDescent="0.25">
      <c r="A3123">
        <v>3539</v>
      </c>
      <c r="B3123" t="s">
        <v>1152</v>
      </c>
      <c r="C3123">
        <v>441</v>
      </c>
      <c r="D3123">
        <v>587</v>
      </c>
      <c r="E3123">
        <v>9259563</v>
      </c>
      <c r="F3123">
        <v>7592</v>
      </c>
      <c r="G3123">
        <v>0</v>
      </c>
      <c r="H3123" t="s">
        <v>8048</v>
      </c>
      <c r="I3123">
        <v>3539</v>
      </c>
      <c r="J3123" t="str">
        <f>VLOOKUP(E3123,DSSpieler!A:B,2,FALSE)</f>
        <v>Kontaktverbot</v>
      </c>
    </row>
    <row r="3124" spans="1:10" x14ac:dyDescent="0.25">
      <c r="A3124">
        <v>3540</v>
      </c>
      <c r="B3124">
        <v>2</v>
      </c>
      <c r="C3124">
        <v>516</v>
      </c>
      <c r="D3124">
        <v>406</v>
      </c>
      <c r="E3124">
        <v>9779158</v>
      </c>
      <c r="F3124">
        <v>5039</v>
      </c>
      <c r="G3124">
        <v>0</v>
      </c>
      <c r="H3124" t="s">
        <v>8049</v>
      </c>
      <c r="I3124">
        <v>3540</v>
      </c>
      <c r="J3124" t="str">
        <f>VLOOKUP(E3124,DSSpieler!A:B,2,FALSE)</f>
        <v>HeTrOGraDe</v>
      </c>
    </row>
    <row r="3125" spans="1:10" x14ac:dyDescent="0.25">
      <c r="A3125">
        <v>3541</v>
      </c>
      <c r="B3125" t="s">
        <v>31846</v>
      </c>
      <c r="C3125">
        <v>451</v>
      </c>
      <c r="D3125">
        <v>541</v>
      </c>
      <c r="E3125">
        <v>1576913108</v>
      </c>
      <c r="F3125">
        <v>6099</v>
      </c>
      <c r="G3125">
        <v>0</v>
      </c>
      <c r="H3125" t="s">
        <v>8050</v>
      </c>
      <c r="I3125">
        <v>3541</v>
      </c>
      <c r="J3125" t="str">
        <f>VLOOKUP(E3125,DSSpieler!A:B,2,FALSE)</f>
        <v>bake</v>
      </c>
    </row>
    <row r="3126" spans="1:10" x14ac:dyDescent="0.25">
      <c r="A3126">
        <v>3542</v>
      </c>
      <c r="B3126" t="s">
        <v>30593</v>
      </c>
      <c r="C3126">
        <v>525</v>
      </c>
      <c r="D3126">
        <v>402</v>
      </c>
      <c r="E3126">
        <v>10025388</v>
      </c>
      <c r="F3126">
        <v>4650</v>
      </c>
      <c r="G3126">
        <v>0</v>
      </c>
      <c r="H3126" t="s">
        <v>8051</v>
      </c>
      <c r="I3126">
        <v>3542</v>
      </c>
      <c r="J3126" t="str">
        <f>VLOOKUP(E3126,DSSpieler!A:B,2,FALSE)</f>
        <v>Templaarr</v>
      </c>
    </row>
    <row r="3127" spans="1:10" x14ac:dyDescent="0.25">
      <c r="A3127">
        <v>3543</v>
      </c>
      <c r="B3127" t="s">
        <v>1153</v>
      </c>
      <c r="C3127">
        <v>463</v>
      </c>
      <c r="D3127">
        <v>442</v>
      </c>
      <c r="E3127">
        <v>793981</v>
      </c>
      <c r="F3127">
        <v>5084</v>
      </c>
      <c r="G3127">
        <v>0</v>
      </c>
      <c r="H3127" t="s">
        <v>8052</v>
      </c>
      <c r="I3127">
        <v>3543</v>
      </c>
      <c r="J3127" t="str">
        <f>VLOOKUP(E3127,DSSpieler!A:B,2,FALSE)</f>
        <v>phönix03</v>
      </c>
    </row>
    <row r="3128" spans="1:10" x14ac:dyDescent="0.25">
      <c r="A3128">
        <v>3544</v>
      </c>
      <c r="B3128" t="s">
        <v>31847</v>
      </c>
      <c r="C3128">
        <v>455</v>
      </c>
      <c r="D3128">
        <v>505</v>
      </c>
      <c r="E3128">
        <v>1577094462</v>
      </c>
      <c r="F3128">
        <v>4638</v>
      </c>
      <c r="G3128">
        <v>0</v>
      </c>
      <c r="H3128" t="s">
        <v>8053</v>
      </c>
      <c r="I3128">
        <v>3544</v>
      </c>
      <c r="J3128" t="str">
        <f>VLOOKUP(E3128,DSSpieler!A:B,2,FALSE)</f>
        <v>Cleankan</v>
      </c>
    </row>
    <row r="3129" spans="1:10" x14ac:dyDescent="0.25">
      <c r="A3129">
        <v>3546</v>
      </c>
      <c r="B3129" t="s">
        <v>531</v>
      </c>
      <c r="C3129">
        <v>436</v>
      </c>
      <c r="D3129">
        <v>481</v>
      </c>
      <c r="E3129">
        <v>0</v>
      </c>
      <c r="F3129">
        <v>315</v>
      </c>
      <c r="G3129">
        <v>0</v>
      </c>
      <c r="H3129" t="s">
        <v>8054</v>
      </c>
      <c r="I3129">
        <v>3546</v>
      </c>
      <c r="J3129" t="e">
        <f>VLOOKUP(E3129,DSSpieler!A:B,2,FALSE)</f>
        <v>#N/A</v>
      </c>
    </row>
    <row r="3130" spans="1:10" x14ac:dyDescent="0.25">
      <c r="A3130">
        <v>3547</v>
      </c>
      <c r="B3130">
        <v>1</v>
      </c>
      <c r="C3130">
        <v>552</v>
      </c>
      <c r="D3130">
        <v>578</v>
      </c>
      <c r="E3130">
        <v>1577188575</v>
      </c>
      <c r="F3130">
        <v>4688</v>
      </c>
      <c r="G3130">
        <v>0</v>
      </c>
      <c r="H3130" t="s">
        <v>8055</v>
      </c>
      <c r="I3130">
        <v>3547</v>
      </c>
      <c r="J3130" t="str">
        <f>VLOOKUP(E3130,DSSpieler!A:B,2,FALSE)</f>
        <v>94Norbi</v>
      </c>
    </row>
    <row r="3131" spans="1:10" x14ac:dyDescent="0.25">
      <c r="A3131">
        <v>3548</v>
      </c>
      <c r="B3131" t="s">
        <v>926</v>
      </c>
      <c r="C3131">
        <v>458</v>
      </c>
      <c r="D3131">
        <v>476</v>
      </c>
      <c r="E3131">
        <v>1577187211</v>
      </c>
      <c r="F3131">
        <v>6739</v>
      </c>
      <c r="G3131">
        <v>0</v>
      </c>
      <c r="H3131" t="s">
        <v>8056</v>
      </c>
      <c r="I3131">
        <v>3548</v>
      </c>
      <c r="J3131" t="str">
        <f>VLOOKUP(E3131,DSSpieler!A:B,2,FALSE)</f>
        <v>August.iner</v>
      </c>
    </row>
    <row r="3132" spans="1:10" x14ac:dyDescent="0.25">
      <c r="A3132">
        <v>3549</v>
      </c>
      <c r="B3132" t="s">
        <v>31848</v>
      </c>
      <c r="C3132">
        <v>541</v>
      </c>
      <c r="D3132">
        <v>554</v>
      </c>
      <c r="E3132">
        <v>1575830702</v>
      </c>
      <c r="F3132">
        <v>6544</v>
      </c>
      <c r="G3132">
        <v>0</v>
      </c>
      <c r="H3132" t="s">
        <v>8057</v>
      </c>
      <c r="I3132">
        <v>3549</v>
      </c>
      <c r="J3132" t="str">
        <f>VLOOKUP(E3132,DSSpieler!A:B,2,FALSE)</f>
        <v>PaPaScHuMpF</v>
      </c>
    </row>
    <row r="3133" spans="1:10" x14ac:dyDescent="0.25">
      <c r="A3133">
        <v>3550</v>
      </c>
      <c r="B3133" t="s">
        <v>31849</v>
      </c>
      <c r="C3133">
        <v>455</v>
      </c>
      <c r="D3133">
        <v>600</v>
      </c>
      <c r="E3133">
        <v>9569148</v>
      </c>
      <c r="F3133">
        <v>5025</v>
      </c>
      <c r="G3133">
        <v>0</v>
      </c>
      <c r="H3133" t="s">
        <v>8058</v>
      </c>
      <c r="I3133">
        <v>3550</v>
      </c>
      <c r="J3133" t="str">
        <f>VLOOKUP(E3133,DSSpieler!A:B,2,FALSE)</f>
        <v>079*</v>
      </c>
    </row>
    <row r="3134" spans="1:10" x14ac:dyDescent="0.25">
      <c r="A3134">
        <v>3551</v>
      </c>
      <c r="B3134" t="s">
        <v>531</v>
      </c>
      <c r="C3134">
        <v>568</v>
      </c>
      <c r="D3134">
        <v>571</v>
      </c>
      <c r="E3134">
        <v>1576839703</v>
      </c>
      <c r="F3134">
        <v>1275</v>
      </c>
      <c r="G3134">
        <v>0</v>
      </c>
      <c r="H3134" t="s">
        <v>8059</v>
      </c>
      <c r="I3134">
        <v>3551</v>
      </c>
      <c r="J3134" t="str">
        <f>VLOOKUP(E3134,DSSpieler!A:B,2,FALSE)</f>
        <v>Frantic110</v>
      </c>
    </row>
    <row r="3135" spans="1:10" x14ac:dyDescent="0.25">
      <c r="A3135">
        <v>3552</v>
      </c>
      <c r="B3135" t="s">
        <v>1154</v>
      </c>
      <c r="C3135">
        <v>458</v>
      </c>
      <c r="D3135">
        <v>432</v>
      </c>
      <c r="E3135">
        <v>1577186328</v>
      </c>
      <c r="F3135">
        <v>5205</v>
      </c>
      <c r="G3135">
        <v>0</v>
      </c>
      <c r="H3135" t="s">
        <v>8060</v>
      </c>
      <c r="I3135">
        <v>3552</v>
      </c>
      <c r="J3135" t="str">
        <f>VLOOKUP(E3135,DSSpieler!A:B,2,FALSE)</f>
        <v>Sikilation</v>
      </c>
    </row>
    <row r="3136" spans="1:10" x14ac:dyDescent="0.25">
      <c r="A3136">
        <v>3553</v>
      </c>
      <c r="B3136" t="s">
        <v>31850</v>
      </c>
      <c r="C3136">
        <v>567</v>
      </c>
      <c r="D3136">
        <v>560</v>
      </c>
      <c r="E3136">
        <v>1577146042</v>
      </c>
      <c r="F3136">
        <v>5701</v>
      </c>
      <c r="G3136">
        <v>0</v>
      </c>
      <c r="H3136" t="s">
        <v>8061</v>
      </c>
      <c r="I3136">
        <v>3553</v>
      </c>
      <c r="J3136" t="str">
        <f>VLOOKUP(E3136,DSSpieler!A:B,2,FALSE)</f>
        <v>Madara.</v>
      </c>
    </row>
    <row r="3137" spans="1:10" x14ac:dyDescent="0.25">
      <c r="A3137">
        <v>3554</v>
      </c>
      <c r="B3137" t="s">
        <v>531</v>
      </c>
      <c r="C3137">
        <v>591</v>
      </c>
      <c r="D3137">
        <v>561</v>
      </c>
      <c r="E3137">
        <v>0</v>
      </c>
      <c r="F3137">
        <v>494</v>
      </c>
      <c r="G3137">
        <v>0</v>
      </c>
      <c r="H3137" t="s">
        <v>8062</v>
      </c>
      <c r="I3137">
        <v>3554</v>
      </c>
      <c r="J3137" t="e">
        <f>VLOOKUP(E3137,DSSpieler!A:B,2,FALSE)</f>
        <v>#N/A</v>
      </c>
    </row>
    <row r="3138" spans="1:10" x14ac:dyDescent="0.25">
      <c r="A3138">
        <v>3556</v>
      </c>
      <c r="B3138" t="s">
        <v>531</v>
      </c>
      <c r="C3138">
        <v>540</v>
      </c>
      <c r="D3138">
        <v>582</v>
      </c>
      <c r="E3138">
        <v>0</v>
      </c>
      <c r="F3138">
        <v>888</v>
      </c>
      <c r="G3138">
        <v>0</v>
      </c>
      <c r="H3138" t="s">
        <v>8063</v>
      </c>
      <c r="I3138">
        <v>3556</v>
      </c>
      <c r="J3138" t="e">
        <f>VLOOKUP(E3138,DSSpieler!A:B,2,FALSE)</f>
        <v>#N/A</v>
      </c>
    </row>
    <row r="3139" spans="1:10" x14ac:dyDescent="0.25">
      <c r="A3139">
        <v>3557</v>
      </c>
      <c r="B3139" t="s">
        <v>531</v>
      </c>
      <c r="C3139">
        <v>443</v>
      </c>
      <c r="D3139">
        <v>514</v>
      </c>
      <c r="E3139">
        <v>0</v>
      </c>
      <c r="F3139">
        <v>514</v>
      </c>
      <c r="G3139">
        <v>0</v>
      </c>
      <c r="H3139" t="s">
        <v>8064</v>
      </c>
      <c r="I3139">
        <v>3557</v>
      </c>
      <c r="J3139" t="e">
        <f>VLOOKUP(E3139,DSSpieler!A:B,2,FALSE)</f>
        <v>#N/A</v>
      </c>
    </row>
    <row r="3140" spans="1:10" x14ac:dyDescent="0.25">
      <c r="A3140">
        <v>3558</v>
      </c>
      <c r="B3140" t="s">
        <v>1155</v>
      </c>
      <c r="C3140">
        <v>508</v>
      </c>
      <c r="D3140">
        <v>559</v>
      </c>
      <c r="E3140">
        <v>1576785796</v>
      </c>
      <c r="F3140">
        <v>2347</v>
      </c>
      <c r="G3140">
        <v>0</v>
      </c>
      <c r="H3140" t="s">
        <v>8065</v>
      </c>
      <c r="I3140">
        <v>3558</v>
      </c>
      <c r="J3140" t="str">
        <f>VLOOKUP(E3140,DSSpieler!A:B,2,FALSE)</f>
        <v>Bpic</v>
      </c>
    </row>
    <row r="3141" spans="1:10" x14ac:dyDescent="0.25">
      <c r="A3141">
        <v>3559</v>
      </c>
      <c r="B3141" t="s">
        <v>31851</v>
      </c>
      <c r="C3141">
        <v>415</v>
      </c>
      <c r="D3141">
        <v>567</v>
      </c>
      <c r="E3141">
        <v>1577179523</v>
      </c>
      <c r="F3141">
        <v>5419</v>
      </c>
      <c r="G3141">
        <v>0</v>
      </c>
      <c r="H3141" t="s">
        <v>8066</v>
      </c>
      <c r="I3141">
        <v>3559</v>
      </c>
      <c r="J3141" t="str">
        <f>VLOOKUP(E3141,DSSpieler!A:B,2,FALSE)</f>
        <v>l4330hd</v>
      </c>
    </row>
    <row r="3142" spans="1:10" x14ac:dyDescent="0.25">
      <c r="A3142">
        <v>3560</v>
      </c>
      <c r="B3142" t="s">
        <v>531</v>
      </c>
      <c r="C3142">
        <v>448</v>
      </c>
      <c r="D3142">
        <v>483</v>
      </c>
      <c r="E3142">
        <v>0</v>
      </c>
      <c r="F3142">
        <v>460</v>
      </c>
      <c r="G3142">
        <v>0</v>
      </c>
      <c r="H3142" t="s">
        <v>8067</v>
      </c>
      <c r="I3142">
        <v>3560</v>
      </c>
      <c r="J3142" t="e">
        <f>VLOOKUP(E3142,DSSpieler!A:B,2,FALSE)</f>
        <v>#N/A</v>
      </c>
    </row>
    <row r="3143" spans="1:10" x14ac:dyDescent="0.25">
      <c r="A3143">
        <v>3561</v>
      </c>
      <c r="B3143" t="s">
        <v>31852</v>
      </c>
      <c r="C3143">
        <v>548</v>
      </c>
      <c r="D3143">
        <v>415</v>
      </c>
      <c r="E3143">
        <v>2004534</v>
      </c>
      <c r="F3143">
        <v>4829</v>
      </c>
      <c r="G3143">
        <v>0</v>
      </c>
      <c r="H3143" t="s">
        <v>8068</v>
      </c>
      <c r="I3143">
        <v>3561</v>
      </c>
      <c r="J3143" t="str">
        <f>VLOOKUP(E3143,DSSpieler!A:B,2,FALSE)</f>
        <v>RockyRock</v>
      </c>
    </row>
    <row r="3144" spans="1:10" x14ac:dyDescent="0.25">
      <c r="A3144">
        <v>3562</v>
      </c>
      <c r="B3144">
        <v>1</v>
      </c>
      <c r="C3144">
        <v>568</v>
      </c>
      <c r="D3144">
        <v>567</v>
      </c>
      <c r="E3144">
        <v>1731065</v>
      </c>
      <c r="F3144">
        <v>4901</v>
      </c>
      <c r="G3144">
        <v>0</v>
      </c>
      <c r="H3144" t="s">
        <v>8069</v>
      </c>
      <c r="I3144">
        <v>3562</v>
      </c>
      <c r="J3144" t="str">
        <f>VLOOKUP(E3144,DSSpieler!A:B,2,FALSE)</f>
        <v>voo83</v>
      </c>
    </row>
    <row r="3145" spans="1:10" x14ac:dyDescent="0.25">
      <c r="A3145">
        <v>3563</v>
      </c>
      <c r="B3145" t="s">
        <v>531</v>
      </c>
      <c r="C3145">
        <v>476</v>
      </c>
      <c r="D3145">
        <v>443</v>
      </c>
      <c r="E3145">
        <v>0</v>
      </c>
      <c r="F3145">
        <v>203</v>
      </c>
      <c r="G3145">
        <v>0</v>
      </c>
      <c r="H3145" t="s">
        <v>8070</v>
      </c>
      <c r="I3145">
        <v>3563</v>
      </c>
      <c r="J3145" t="e">
        <f>VLOOKUP(E3145,DSSpieler!A:B,2,FALSE)</f>
        <v>#N/A</v>
      </c>
    </row>
    <row r="3146" spans="1:10" x14ac:dyDescent="0.25">
      <c r="A3146">
        <v>3564</v>
      </c>
      <c r="B3146" t="s">
        <v>531</v>
      </c>
      <c r="C3146">
        <v>606</v>
      </c>
      <c r="D3146">
        <v>520</v>
      </c>
      <c r="E3146">
        <v>0</v>
      </c>
      <c r="F3146">
        <v>4931</v>
      </c>
      <c r="G3146">
        <v>0</v>
      </c>
      <c r="H3146" t="s">
        <v>8071</v>
      </c>
      <c r="I3146">
        <v>3564</v>
      </c>
      <c r="J3146" t="e">
        <f>VLOOKUP(E3146,DSSpieler!A:B,2,FALSE)</f>
        <v>#N/A</v>
      </c>
    </row>
    <row r="3147" spans="1:10" x14ac:dyDescent="0.25">
      <c r="A3147">
        <v>3565</v>
      </c>
      <c r="B3147" t="s">
        <v>31853</v>
      </c>
      <c r="C3147">
        <v>491</v>
      </c>
      <c r="D3147">
        <v>519</v>
      </c>
      <c r="E3147">
        <v>1577182414</v>
      </c>
      <c r="F3147">
        <v>7873</v>
      </c>
      <c r="G3147">
        <v>0</v>
      </c>
      <c r="H3147" t="s">
        <v>8072</v>
      </c>
      <c r="I3147">
        <v>3565</v>
      </c>
      <c r="J3147" t="str">
        <f>VLOOKUP(E3147,DSSpieler!A:B,2,FALSE)</f>
        <v>BigG96</v>
      </c>
    </row>
    <row r="3148" spans="1:10" x14ac:dyDescent="0.25">
      <c r="A3148">
        <v>3566</v>
      </c>
      <c r="B3148" t="s">
        <v>531</v>
      </c>
      <c r="C3148">
        <v>459</v>
      </c>
      <c r="D3148">
        <v>559</v>
      </c>
      <c r="E3148">
        <v>0</v>
      </c>
      <c r="F3148">
        <v>242</v>
      </c>
      <c r="G3148">
        <v>0</v>
      </c>
      <c r="H3148" t="s">
        <v>8073</v>
      </c>
      <c r="I3148">
        <v>3566</v>
      </c>
      <c r="J3148" t="e">
        <f>VLOOKUP(E3148,DSSpieler!A:B,2,FALSE)</f>
        <v>#N/A</v>
      </c>
    </row>
    <row r="3149" spans="1:10" x14ac:dyDescent="0.25">
      <c r="A3149">
        <v>3567</v>
      </c>
      <c r="B3149" t="s">
        <v>974</v>
      </c>
      <c r="C3149">
        <v>576</v>
      </c>
      <c r="D3149">
        <v>562</v>
      </c>
      <c r="E3149">
        <v>1577188486</v>
      </c>
      <c r="F3149">
        <v>4681</v>
      </c>
      <c r="G3149">
        <v>0</v>
      </c>
      <c r="H3149" t="s">
        <v>8074</v>
      </c>
      <c r="I3149">
        <v>3567</v>
      </c>
      <c r="J3149" t="str">
        <f>VLOOKUP(E3149,DSSpieler!A:B,2,FALSE)</f>
        <v>Gzuz von Nazareth</v>
      </c>
    </row>
    <row r="3150" spans="1:10" x14ac:dyDescent="0.25">
      <c r="A3150">
        <v>3568</v>
      </c>
      <c r="B3150" t="s">
        <v>531</v>
      </c>
      <c r="C3150">
        <v>465</v>
      </c>
      <c r="D3150">
        <v>540</v>
      </c>
      <c r="E3150">
        <v>0</v>
      </c>
      <c r="F3150">
        <v>457</v>
      </c>
      <c r="G3150">
        <v>0</v>
      </c>
      <c r="H3150" t="s">
        <v>8075</v>
      </c>
      <c r="I3150">
        <v>3568</v>
      </c>
      <c r="J3150" t="e">
        <f>VLOOKUP(E3150,DSSpieler!A:B,2,FALSE)</f>
        <v>#N/A</v>
      </c>
    </row>
    <row r="3151" spans="1:10" x14ac:dyDescent="0.25">
      <c r="A3151">
        <v>3569</v>
      </c>
      <c r="B3151" t="s">
        <v>35832</v>
      </c>
      <c r="C3151">
        <v>459</v>
      </c>
      <c r="D3151">
        <v>563</v>
      </c>
      <c r="E3151">
        <v>9764565</v>
      </c>
      <c r="F3151">
        <v>5139</v>
      </c>
      <c r="G3151">
        <v>0</v>
      </c>
      <c r="H3151" t="s">
        <v>8076</v>
      </c>
      <c r="I3151">
        <v>3569</v>
      </c>
      <c r="J3151" t="str">
        <f>VLOOKUP(E3151,DSSpieler!A:B,2,FALSE)</f>
        <v>Capt.Bizeps</v>
      </c>
    </row>
    <row r="3152" spans="1:10" x14ac:dyDescent="0.25">
      <c r="A3152">
        <v>3570</v>
      </c>
      <c r="B3152" t="s">
        <v>531</v>
      </c>
      <c r="C3152">
        <v>526</v>
      </c>
      <c r="D3152">
        <v>530</v>
      </c>
      <c r="E3152">
        <v>0</v>
      </c>
      <c r="F3152">
        <v>201</v>
      </c>
      <c r="G3152">
        <v>0</v>
      </c>
      <c r="H3152" t="s">
        <v>8077</v>
      </c>
      <c r="I3152">
        <v>3570</v>
      </c>
      <c r="J3152" t="e">
        <f>VLOOKUP(E3152,DSSpieler!A:B,2,FALSE)</f>
        <v>#N/A</v>
      </c>
    </row>
    <row r="3153" spans="1:10" x14ac:dyDescent="0.25">
      <c r="A3153">
        <v>3571</v>
      </c>
      <c r="B3153" t="s">
        <v>1156</v>
      </c>
      <c r="C3153">
        <v>458</v>
      </c>
      <c r="D3153">
        <v>450</v>
      </c>
      <c r="E3153">
        <v>1577157734</v>
      </c>
      <c r="F3153">
        <v>2321</v>
      </c>
      <c r="G3153">
        <v>0</v>
      </c>
      <c r="H3153" t="s">
        <v>8078</v>
      </c>
      <c r="I3153">
        <v>3571</v>
      </c>
      <c r="J3153" t="str">
        <f>VLOOKUP(E3153,DSSpieler!A:B,2,FALSE)</f>
        <v>Valak</v>
      </c>
    </row>
    <row r="3154" spans="1:10" x14ac:dyDescent="0.25">
      <c r="A3154">
        <v>3572</v>
      </c>
      <c r="B3154">
        <v>2</v>
      </c>
      <c r="C3154">
        <v>438</v>
      </c>
      <c r="D3154">
        <v>565</v>
      </c>
      <c r="E3154">
        <v>1577197805</v>
      </c>
      <c r="F3154">
        <v>5493</v>
      </c>
      <c r="G3154">
        <v>0</v>
      </c>
      <c r="H3154" t="s">
        <v>8079</v>
      </c>
      <c r="I3154">
        <v>3572</v>
      </c>
      <c r="J3154" t="str">
        <f>VLOOKUP(E3154,DSSpieler!A:B,2,FALSE)</f>
        <v>TheOneAndOnly</v>
      </c>
    </row>
    <row r="3155" spans="1:10" x14ac:dyDescent="0.25">
      <c r="A3155">
        <v>3573</v>
      </c>
      <c r="B3155" t="s">
        <v>1157</v>
      </c>
      <c r="C3155">
        <v>570</v>
      </c>
      <c r="D3155">
        <v>474</v>
      </c>
      <c r="E3155">
        <v>1577197727</v>
      </c>
      <c r="F3155">
        <v>3851</v>
      </c>
      <c r="G3155">
        <v>0</v>
      </c>
      <c r="H3155" t="s">
        <v>8080</v>
      </c>
      <c r="I3155">
        <v>3573</v>
      </c>
      <c r="J3155" t="str">
        <f>VLOOKUP(E3155,DSSpieler!A:B,2,FALSE)</f>
        <v>Korir</v>
      </c>
    </row>
    <row r="3156" spans="1:10" x14ac:dyDescent="0.25">
      <c r="A3156">
        <v>3574</v>
      </c>
      <c r="B3156" t="s">
        <v>531</v>
      </c>
      <c r="C3156">
        <v>454</v>
      </c>
      <c r="D3156">
        <v>549</v>
      </c>
      <c r="E3156">
        <v>0</v>
      </c>
      <c r="F3156">
        <v>436</v>
      </c>
      <c r="G3156">
        <v>0</v>
      </c>
      <c r="H3156" t="s">
        <v>8081</v>
      </c>
      <c r="I3156">
        <v>3574</v>
      </c>
      <c r="J3156" t="e">
        <f>VLOOKUP(E3156,DSSpieler!A:B,2,FALSE)</f>
        <v>#N/A</v>
      </c>
    </row>
    <row r="3157" spans="1:10" x14ac:dyDescent="0.25">
      <c r="A3157">
        <v>3575</v>
      </c>
      <c r="B3157" t="s">
        <v>531</v>
      </c>
      <c r="C3157">
        <v>440</v>
      </c>
      <c r="D3157">
        <v>521</v>
      </c>
      <c r="E3157">
        <v>0</v>
      </c>
      <c r="F3157">
        <v>368</v>
      </c>
      <c r="G3157">
        <v>0</v>
      </c>
      <c r="H3157" t="s">
        <v>8082</v>
      </c>
      <c r="I3157">
        <v>3575</v>
      </c>
      <c r="J3157" t="e">
        <f>VLOOKUP(E3157,DSSpieler!A:B,2,FALSE)</f>
        <v>#N/A</v>
      </c>
    </row>
    <row r="3158" spans="1:10" x14ac:dyDescent="0.25">
      <c r="A3158">
        <v>3576</v>
      </c>
      <c r="B3158" t="s">
        <v>31854</v>
      </c>
      <c r="C3158">
        <v>438</v>
      </c>
      <c r="D3158">
        <v>461</v>
      </c>
      <c r="E3158">
        <v>1576889855</v>
      </c>
      <c r="F3158">
        <v>2509</v>
      </c>
      <c r="G3158">
        <v>0</v>
      </c>
      <c r="H3158" t="s">
        <v>8083</v>
      </c>
      <c r="I3158">
        <v>3576</v>
      </c>
      <c r="J3158" t="str">
        <f>VLOOKUP(E3158,DSSpieler!A:B,2,FALSE)</f>
        <v>Harmogy</v>
      </c>
    </row>
    <row r="3159" spans="1:10" x14ac:dyDescent="0.25">
      <c r="A3159">
        <v>3577</v>
      </c>
      <c r="B3159" t="s">
        <v>531</v>
      </c>
      <c r="C3159">
        <v>537</v>
      </c>
      <c r="D3159">
        <v>511</v>
      </c>
      <c r="E3159">
        <v>0</v>
      </c>
      <c r="F3159">
        <v>746</v>
      </c>
      <c r="G3159">
        <v>0</v>
      </c>
      <c r="H3159" t="s">
        <v>8084</v>
      </c>
      <c r="I3159">
        <v>3577</v>
      </c>
      <c r="J3159" t="e">
        <f>VLOOKUP(E3159,DSSpieler!A:B,2,FALSE)</f>
        <v>#N/A</v>
      </c>
    </row>
    <row r="3160" spans="1:10" x14ac:dyDescent="0.25">
      <c r="A3160">
        <v>3579</v>
      </c>
      <c r="B3160" t="s">
        <v>31855</v>
      </c>
      <c r="C3160">
        <v>526</v>
      </c>
      <c r="D3160">
        <v>575</v>
      </c>
      <c r="E3160">
        <v>10229642</v>
      </c>
      <c r="F3160">
        <v>6371</v>
      </c>
      <c r="G3160">
        <v>0</v>
      </c>
      <c r="H3160" t="s">
        <v>8085</v>
      </c>
      <c r="I3160">
        <v>3579</v>
      </c>
      <c r="J3160" t="str">
        <f>VLOOKUP(E3160,DSSpieler!A:B,2,FALSE)</f>
        <v>Tollpatsch 5</v>
      </c>
    </row>
    <row r="3161" spans="1:10" x14ac:dyDescent="0.25">
      <c r="A3161">
        <v>3580</v>
      </c>
      <c r="B3161" t="s">
        <v>531</v>
      </c>
      <c r="C3161">
        <v>544</v>
      </c>
      <c r="D3161">
        <v>541</v>
      </c>
      <c r="E3161">
        <v>0</v>
      </c>
      <c r="F3161">
        <v>299</v>
      </c>
      <c r="G3161">
        <v>0</v>
      </c>
      <c r="H3161" t="s">
        <v>8086</v>
      </c>
      <c r="I3161">
        <v>3580</v>
      </c>
      <c r="J3161" t="e">
        <f>VLOOKUP(E3161,DSSpieler!A:B,2,FALSE)</f>
        <v>#N/A</v>
      </c>
    </row>
    <row r="3162" spans="1:10" x14ac:dyDescent="0.25">
      <c r="A3162">
        <v>3581</v>
      </c>
      <c r="B3162" t="s">
        <v>30947</v>
      </c>
      <c r="C3162">
        <v>584</v>
      </c>
      <c r="D3162">
        <v>438</v>
      </c>
      <c r="E3162">
        <v>1577010127</v>
      </c>
      <c r="F3162">
        <v>4133</v>
      </c>
      <c r="G3162">
        <v>0</v>
      </c>
      <c r="H3162" t="s">
        <v>8087</v>
      </c>
      <c r="I3162">
        <v>3581</v>
      </c>
      <c r="J3162" t="str">
        <f>VLOOKUP(E3162,DSSpieler!A:B,2,FALSE)</f>
        <v>FinallyDark</v>
      </c>
    </row>
    <row r="3163" spans="1:10" x14ac:dyDescent="0.25">
      <c r="A3163">
        <v>3582</v>
      </c>
      <c r="B3163" t="s">
        <v>531</v>
      </c>
      <c r="C3163">
        <v>434</v>
      </c>
      <c r="D3163">
        <v>505</v>
      </c>
      <c r="E3163">
        <v>0</v>
      </c>
      <c r="F3163">
        <v>382</v>
      </c>
      <c r="G3163">
        <v>0</v>
      </c>
      <c r="H3163" t="s">
        <v>8088</v>
      </c>
      <c r="I3163">
        <v>3582</v>
      </c>
      <c r="J3163" t="e">
        <f>VLOOKUP(E3163,DSSpieler!A:B,2,FALSE)</f>
        <v>#N/A</v>
      </c>
    </row>
    <row r="3164" spans="1:10" x14ac:dyDescent="0.25">
      <c r="A3164">
        <v>3583</v>
      </c>
      <c r="B3164" t="s">
        <v>31856</v>
      </c>
      <c r="C3164">
        <v>458</v>
      </c>
      <c r="D3164">
        <v>538</v>
      </c>
      <c r="E3164">
        <v>1576822927</v>
      </c>
      <c r="F3164">
        <v>5589</v>
      </c>
      <c r="G3164">
        <v>0</v>
      </c>
      <c r="H3164" t="s">
        <v>8089</v>
      </c>
      <c r="I3164">
        <v>3583</v>
      </c>
      <c r="J3164" t="str">
        <f>VLOOKUP(E3164,DSSpieler!A:B,2,FALSE)</f>
        <v>PokeTrainer</v>
      </c>
    </row>
    <row r="3165" spans="1:10" x14ac:dyDescent="0.25">
      <c r="A3165">
        <v>3584</v>
      </c>
      <c r="B3165" t="s">
        <v>31857</v>
      </c>
      <c r="C3165">
        <v>478</v>
      </c>
      <c r="D3165">
        <v>414</v>
      </c>
      <c r="E3165">
        <v>1577197317</v>
      </c>
      <c r="F3165">
        <v>5679</v>
      </c>
      <c r="G3165">
        <v>0</v>
      </c>
      <c r="H3165" t="s">
        <v>8090</v>
      </c>
      <c r="I3165">
        <v>3584</v>
      </c>
      <c r="J3165" t="str">
        <f>VLOOKUP(E3165,DSSpieler!A:B,2,FALSE)</f>
        <v>DieWaldfee</v>
      </c>
    </row>
    <row r="3166" spans="1:10" x14ac:dyDescent="0.25">
      <c r="A3166">
        <v>3585</v>
      </c>
      <c r="B3166" t="s">
        <v>31308</v>
      </c>
      <c r="C3166">
        <v>470</v>
      </c>
      <c r="D3166">
        <v>475</v>
      </c>
      <c r="E3166">
        <v>3223549</v>
      </c>
      <c r="F3166">
        <v>8874</v>
      </c>
      <c r="G3166">
        <v>0</v>
      </c>
      <c r="H3166" t="s">
        <v>8091</v>
      </c>
      <c r="I3166">
        <v>3585</v>
      </c>
      <c r="J3166" t="str">
        <f>VLOOKUP(E3166,DSSpieler!A:B,2,FALSE)</f>
        <v>Kifferkatz</v>
      </c>
    </row>
    <row r="3167" spans="1:10" x14ac:dyDescent="0.25">
      <c r="A3167">
        <v>3586</v>
      </c>
      <c r="B3167" t="s">
        <v>31858</v>
      </c>
      <c r="C3167">
        <v>581</v>
      </c>
      <c r="D3167">
        <v>561</v>
      </c>
      <c r="E3167">
        <v>1576706289</v>
      </c>
      <c r="F3167">
        <v>3739</v>
      </c>
      <c r="G3167">
        <v>0</v>
      </c>
      <c r="H3167" t="s">
        <v>8092</v>
      </c>
      <c r="I3167">
        <v>3586</v>
      </c>
      <c r="J3167" t="str">
        <f>VLOOKUP(E3167,DSSpieler!A:B,2,FALSE)</f>
        <v>YellowStrikeLXBG</v>
      </c>
    </row>
    <row r="3168" spans="1:10" x14ac:dyDescent="0.25">
      <c r="A3168">
        <v>3587</v>
      </c>
      <c r="B3168">
        <v>2</v>
      </c>
      <c r="C3168">
        <v>436</v>
      </c>
      <c r="D3168">
        <v>538</v>
      </c>
      <c r="E3168">
        <v>1576517505</v>
      </c>
      <c r="F3168">
        <v>5283</v>
      </c>
      <c r="G3168">
        <v>0</v>
      </c>
      <c r="H3168" t="s">
        <v>8093</v>
      </c>
      <c r="I3168">
        <v>3587</v>
      </c>
      <c r="J3168" t="str">
        <f>VLOOKUP(E3168,DSSpieler!A:B,2,FALSE)</f>
        <v>.g0dlike</v>
      </c>
    </row>
    <row r="3169" spans="1:10" x14ac:dyDescent="0.25">
      <c r="A3169">
        <v>3588</v>
      </c>
      <c r="B3169" t="s">
        <v>1158</v>
      </c>
      <c r="C3169">
        <v>472</v>
      </c>
      <c r="D3169">
        <v>545</v>
      </c>
      <c r="E3169">
        <v>1576823270</v>
      </c>
      <c r="F3169">
        <v>846</v>
      </c>
      <c r="G3169">
        <v>0</v>
      </c>
      <c r="H3169" t="s">
        <v>8094</v>
      </c>
      <c r="I3169">
        <v>3588</v>
      </c>
      <c r="J3169" t="str">
        <f>VLOOKUP(E3169,DSSpieler!A:B,2,FALSE)</f>
        <v>Lmonti</v>
      </c>
    </row>
    <row r="3170" spans="1:10" x14ac:dyDescent="0.25">
      <c r="A3170">
        <v>3589</v>
      </c>
      <c r="B3170" t="s">
        <v>531</v>
      </c>
      <c r="C3170">
        <v>551</v>
      </c>
      <c r="D3170">
        <v>475</v>
      </c>
      <c r="E3170">
        <v>0</v>
      </c>
      <c r="F3170">
        <v>512</v>
      </c>
      <c r="G3170">
        <v>0</v>
      </c>
      <c r="H3170" t="s">
        <v>8095</v>
      </c>
      <c r="I3170">
        <v>3589</v>
      </c>
      <c r="J3170" t="e">
        <f>VLOOKUP(E3170,DSSpieler!A:B,2,FALSE)</f>
        <v>#N/A</v>
      </c>
    </row>
    <row r="3171" spans="1:10" x14ac:dyDescent="0.25">
      <c r="A3171">
        <v>3590</v>
      </c>
      <c r="B3171" t="s">
        <v>641</v>
      </c>
      <c r="C3171">
        <v>407</v>
      </c>
      <c r="D3171">
        <v>452</v>
      </c>
      <c r="E3171">
        <v>8874977</v>
      </c>
      <c r="F3171">
        <v>2666</v>
      </c>
      <c r="G3171">
        <v>0</v>
      </c>
      <c r="H3171" t="s">
        <v>8096</v>
      </c>
      <c r="I3171">
        <v>3590</v>
      </c>
      <c r="J3171" t="str">
        <f>VLOOKUP(E3171,DSSpieler!A:B,2,FALSE)</f>
        <v>hamburg23</v>
      </c>
    </row>
    <row r="3172" spans="1:10" x14ac:dyDescent="0.25">
      <c r="A3172">
        <v>3591</v>
      </c>
      <c r="B3172" t="s">
        <v>1159</v>
      </c>
      <c r="C3172">
        <v>465</v>
      </c>
      <c r="D3172">
        <v>445</v>
      </c>
      <c r="E3172">
        <v>793981</v>
      </c>
      <c r="F3172">
        <v>6161</v>
      </c>
      <c r="G3172">
        <v>0</v>
      </c>
      <c r="H3172" t="s">
        <v>8097</v>
      </c>
      <c r="I3172">
        <v>3591</v>
      </c>
      <c r="J3172" t="str">
        <f>VLOOKUP(E3172,DSSpieler!A:B,2,FALSE)</f>
        <v>phönix03</v>
      </c>
    </row>
    <row r="3173" spans="1:10" x14ac:dyDescent="0.25">
      <c r="A3173">
        <v>3592</v>
      </c>
      <c r="B3173" t="s">
        <v>31859</v>
      </c>
      <c r="C3173">
        <v>503</v>
      </c>
      <c r="D3173">
        <v>567</v>
      </c>
      <c r="E3173">
        <v>9783170</v>
      </c>
      <c r="F3173">
        <v>3669</v>
      </c>
      <c r="G3173">
        <v>0</v>
      </c>
      <c r="H3173" t="s">
        <v>8098</v>
      </c>
      <c r="I3173">
        <v>3592</v>
      </c>
      <c r="J3173" t="str">
        <f>VLOOKUP(E3173,DSSpieler!A:B,2,FALSE)</f>
        <v>kingjerome99</v>
      </c>
    </row>
    <row r="3174" spans="1:10" x14ac:dyDescent="0.25">
      <c r="A3174">
        <v>3593</v>
      </c>
      <c r="B3174">
        <v>2</v>
      </c>
      <c r="C3174">
        <v>470</v>
      </c>
      <c r="D3174">
        <v>454</v>
      </c>
      <c r="E3174">
        <v>1576658335</v>
      </c>
      <c r="F3174">
        <v>6301</v>
      </c>
      <c r="G3174">
        <v>0</v>
      </c>
      <c r="H3174" t="s">
        <v>8099</v>
      </c>
      <c r="I3174">
        <v>3593</v>
      </c>
      <c r="J3174" t="str">
        <f>VLOOKUP(E3174,DSSpieler!A:B,2,FALSE)</f>
        <v>jinro727</v>
      </c>
    </row>
    <row r="3175" spans="1:10" x14ac:dyDescent="0.25">
      <c r="A3175">
        <v>3594</v>
      </c>
      <c r="B3175" t="s">
        <v>1160</v>
      </c>
      <c r="C3175">
        <v>444</v>
      </c>
      <c r="D3175">
        <v>476</v>
      </c>
      <c r="E3175">
        <v>1577196866</v>
      </c>
      <c r="F3175">
        <v>7302</v>
      </c>
      <c r="G3175">
        <v>0</v>
      </c>
      <c r="H3175" t="s">
        <v>8100</v>
      </c>
      <c r="I3175">
        <v>3594</v>
      </c>
      <c r="J3175" t="str">
        <f>VLOOKUP(E3175,DSSpieler!A:B,2,FALSE)</f>
        <v>ihsoh</v>
      </c>
    </row>
    <row r="3176" spans="1:10" x14ac:dyDescent="0.25">
      <c r="A3176">
        <v>3595</v>
      </c>
      <c r="B3176" t="s">
        <v>1161</v>
      </c>
      <c r="C3176">
        <v>562</v>
      </c>
      <c r="D3176">
        <v>460</v>
      </c>
      <c r="E3176">
        <v>1577195504</v>
      </c>
      <c r="F3176">
        <v>5950</v>
      </c>
      <c r="G3176">
        <v>0</v>
      </c>
      <c r="H3176" t="s">
        <v>8101</v>
      </c>
      <c r="I3176">
        <v>3595</v>
      </c>
      <c r="J3176" t="str">
        <f>VLOOKUP(E3176,DSSpieler!A:B,2,FALSE)</f>
        <v>WassilijFukov</v>
      </c>
    </row>
    <row r="3177" spans="1:10" x14ac:dyDescent="0.25">
      <c r="A3177">
        <v>3596</v>
      </c>
      <c r="B3177" t="s">
        <v>673</v>
      </c>
      <c r="C3177">
        <v>573</v>
      </c>
      <c r="D3177">
        <v>555</v>
      </c>
      <c r="E3177">
        <v>7624025</v>
      </c>
      <c r="F3177">
        <v>3789</v>
      </c>
      <c r="G3177">
        <v>0</v>
      </c>
      <c r="H3177" t="s">
        <v>8102</v>
      </c>
      <c r="I3177">
        <v>3596</v>
      </c>
      <c r="J3177" t="str">
        <f>VLOOKUP(E3177,DSSpieler!A:B,2,FALSE)</f>
        <v>yugioh13</v>
      </c>
    </row>
    <row r="3178" spans="1:10" x14ac:dyDescent="0.25">
      <c r="A3178">
        <v>3597</v>
      </c>
      <c r="B3178" t="s">
        <v>531</v>
      </c>
      <c r="C3178">
        <v>492</v>
      </c>
      <c r="D3178">
        <v>427</v>
      </c>
      <c r="E3178">
        <v>0</v>
      </c>
      <c r="F3178">
        <v>462</v>
      </c>
      <c r="G3178">
        <v>0</v>
      </c>
      <c r="H3178" t="s">
        <v>8103</v>
      </c>
      <c r="I3178">
        <v>3597</v>
      </c>
      <c r="J3178" t="e">
        <f>VLOOKUP(E3178,DSSpieler!A:B,2,FALSE)</f>
        <v>#N/A</v>
      </c>
    </row>
    <row r="3179" spans="1:10" x14ac:dyDescent="0.25">
      <c r="A3179">
        <v>3599</v>
      </c>
      <c r="B3179" t="s">
        <v>31860</v>
      </c>
      <c r="C3179">
        <v>575</v>
      </c>
      <c r="D3179">
        <v>479</v>
      </c>
      <c r="E3179">
        <v>1547790</v>
      </c>
      <c r="F3179">
        <v>4552</v>
      </c>
      <c r="G3179">
        <v>0</v>
      </c>
      <c r="H3179" t="s">
        <v>8104</v>
      </c>
      <c r="I3179">
        <v>3599</v>
      </c>
      <c r="J3179" t="str">
        <f>VLOOKUP(E3179,DSSpieler!A:B,2,FALSE)</f>
        <v>aphox</v>
      </c>
    </row>
    <row r="3180" spans="1:10" x14ac:dyDescent="0.25">
      <c r="A3180">
        <v>3600</v>
      </c>
      <c r="B3180" t="s">
        <v>31861</v>
      </c>
      <c r="C3180">
        <v>593</v>
      </c>
      <c r="D3180">
        <v>454</v>
      </c>
      <c r="E3180">
        <v>1577188672</v>
      </c>
      <c r="F3180">
        <v>4835</v>
      </c>
      <c r="G3180">
        <v>0</v>
      </c>
      <c r="H3180" t="s">
        <v>8105</v>
      </c>
      <c r="I3180">
        <v>3600</v>
      </c>
      <c r="J3180" t="str">
        <f>VLOOKUP(E3180,DSSpieler!A:B,2,FALSE)</f>
        <v>Der Haie</v>
      </c>
    </row>
    <row r="3181" spans="1:10" x14ac:dyDescent="0.25">
      <c r="A3181">
        <v>3601</v>
      </c>
      <c r="B3181" t="s">
        <v>531</v>
      </c>
      <c r="C3181">
        <v>518</v>
      </c>
      <c r="D3181">
        <v>451</v>
      </c>
      <c r="E3181">
        <v>0</v>
      </c>
      <c r="F3181">
        <v>174</v>
      </c>
      <c r="G3181">
        <v>0</v>
      </c>
      <c r="H3181" t="s">
        <v>8106</v>
      </c>
      <c r="I3181">
        <v>3601</v>
      </c>
      <c r="J3181" t="e">
        <f>VLOOKUP(E3181,DSSpieler!A:B,2,FALSE)</f>
        <v>#N/A</v>
      </c>
    </row>
    <row r="3182" spans="1:10" x14ac:dyDescent="0.25">
      <c r="A3182">
        <v>3602</v>
      </c>
      <c r="B3182" t="s">
        <v>1162</v>
      </c>
      <c r="C3182">
        <v>555</v>
      </c>
      <c r="D3182">
        <v>527</v>
      </c>
      <c r="E3182">
        <v>1577198287</v>
      </c>
      <c r="F3182">
        <v>2983</v>
      </c>
      <c r="G3182">
        <v>0</v>
      </c>
      <c r="H3182" t="s">
        <v>8107</v>
      </c>
      <c r="I3182">
        <v>3602</v>
      </c>
      <c r="J3182" t="str">
        <f>VLOOKUP(E3182,DSSpieler!A:B,2,FALSE)</f>
        <v>Takki</v>
      </c>
    </row>
    <row r="3183" spans="1:10" x14ac:dyDescent="0.25">
      <c r="A3183">
        <v>3603</v>
      </c>
      <c r="B3183" t="s">
        <v>31619</v>
      </c>
      <c r="C3183">
        <v>521</v>
      </c>
      <c r="D3183">
        <v>429</v>
      </c>
      <c r="E3183">
        <v>1577197561</v>
      </c>
      <c r="F3183">
        <v>5941</v>
      </c>
      <c r="G3183">
        <v>0</v>
      </c>
      <c r="H3183" t="s">
        <v>8108</v>
      </c>
      <c r="I3183">
        <v>3603</v>
      </c>
      <c r="J3183" t="str">
        <f>VLOOKUP(E3183,DSSpieler!A:B,2,FALSE)</f>
        <v>Tim Traitor</v>
      </c>
    </row>
    <row r="3184" spans="1:10" x14ac:dyDescent="0.25">
      <c r="A3184">
        <v>3604</v>
      </c>
      <c r="B3184" t="s">
        <v>31755</v>
      </c>
      <c r="C3184">
        <v>532</v>
      </c>
      <c r="D3184">
        <v>426</v>
      </c>
      <c r="E3184">
        <v>401979</v>
      </c>
      <c r="F3184">
        <v>6491</v>
      </c>
      <c r="G3184">
        <v>0</v>
      </c>
      <c r="H3184" t="s">
        <v>8109</v>
      </c>
      <c r="I3184">
        <v>3604</v>
      </c>
      <c r="J3184" t="str">
        <f>VLOOKUP(E3184,DSSpieler!A:B,2,FALSE)</f>
        <v>nicky butt</v>
      </c>
    </row>
    <row r="3185" spans="1:10" x14ac:dyDescent="0.25">
      <c r="A3185">
        <v>3605</v>
      </c>
      <c r="B3185" t="s">
        <v>31862</v>
      </c>
      <c r="C3185">
        <v>501</v>
      </c>
      <c r="D3185">
        <v>556</v>
      </c>
      <c r="E3185">
        <v>1577147528</v>
      </c>
      <c r="F3185">
        <v>7666</v>
      </c>
      <c r="G3185">
        <v>0</v>
      </c>
      <c r="H3185" t="s">
        <v>8110</v>
      </c>
      <c r="I3185">
        <v>3605</v>
      </c>
      <c r="J3185" t="str">
        <f>VLOOKUP(E3185,DSSpieler!A:B,2,FALSE)</f>
        <v>ClitCommander</v>
      </c>
    </row>
    <row r="3186" spans="1:10" x14ac:dyDescent="0.25">
      <c r="A3186">
        <v>3606</v>
      </c>
      <c r="B3186">
        <v>4</v>
      </c>
      <c r="C3186">
        <v>487</v>
      </c>
      <c r="D3186">
        <v>552</v>
      </c>
      <c r="E3186">
        <v>9962504</v>
      </c>
      <c r="F3186">
        <v>7343</v>
      </c>
      <c r="G3186">
        <v>0</v>
      </c>
      <c r="H3186" t="s">
        <v>8111</v>
      </c>
      <c r="I3186">
        <v>3606</v>
      </c>
      <c r="J3186" t="str">
        <f>VLOOKUP(E3186,DSSpieler!A:B,2,FALSE)</f>
        <v>Robin.a</v>
      </c>
    </row>
    <row r="3187" spans="1:10" x14ac:dyDescent="0.25">
      <c r="A3187">
        <v>3607</v>
      </c>
      <c r="B3187" t="s">
        <v>31863</v>
      </c>
      <c r="C3187">
        <v>512</v>
      </c>
      <c r="D3187">
        <v>558</v>
      </c>
      <c r="E3187">
        <v>9115889</v>
      </c>
      <c r="F3187">
        <v>7852</v>
      </c>
      <c r="G3187">
        <v>0</v>
      </c>
      <c r="H3187" t="s">
        <v>8112</v>
      </c>
      <c r="I3187">
        <v>3607</v>
      </c>
      <c r="J3187" t="str">
        <f>VLOOKUP(E3187,DSSpieler!A:B,2,FALSE)</f>
        <v>Golden*Rose</v>
      </c>
    </row>
    <row r="3188" spans="1:10" x14ac:dyDescent="0.25">
      <c r="A3188">
        <v>3608</v>
      </c>
      <c r="B3188" t="s">
        <v>31864</v>
      </c>
      <c r="C3188">
        <v>462</v>
      </c>
      <c r="D3188">
        <v>428</v>
      </c>
      <c r="E3188">
        <v>1576949733</v>
      </c>
      <c r="F3188">
        <v>6118</v>
      </c>
      <c r="G3188">
        <v>0</v>
      </c>
      <c r="H3188" t="s">
        <v>8113</v>
      </c>
      <c r="I3188">
        <v>3608</v>
      </c>
      <c r="J3188" t="str">
        <f>VLOOKUP(E3188,DSSpieler!A:B,2,FALSE)</f>
        <v>Rengo-</v>
      </c>
    </row>
    <row r="3189" spans="1:10" x14ac:dyDescent="0.25">
      <c r="A3189">
        <v>3610</v>
      </c>
      <c r="B3189" t="s">
        <v>1163</v>
      </c>
      <c r="C3189">
        <v>559</v>
      </c>
      <c r="D3189">
        <v>523</v>
      </c>
      <c r="E3189">
        <v>1576824913</v>
      </c>
      <c r="F3189">
        <v>1785</v>
      </c>
      <c r="G3189">
        <v>0</v>
      </c>
      <c r="H3189" t="s">
        <v>8114</v>
      </c>
      <c r="I3189">
        <v>3610</v>
      </c>
      <c r="J3189" t="str">
        <f>VLOOKUP(E3189,DSSpieler!A:B,2,FALSE)</f>
        <v>McSpargel</v>
      </c>
    </row>
    <row r="3190" spans="1:10" x14ac:dyDescent="0.25">
      <c r="A3190">
        <v>3611</v>
      </c>
      <c r="B3190" t="s">
        <v>1164</v>
      </c>
      <c r="C3190">
        <v>439</v>
      </c>
      <c r="D3190">
        <v>592</v>
      </c>
      <c r="E3190">
        <v>1576610239</v>
      </c>
      <c r="F3190">
        <v>6155</v>
      </c>
      <c r="G3190">
        <v>0</v>
      </c>
      <c r="H3190" t="s">
        <v>8115</v>
      </c>
      <c r="I3190">
        <v>3611</v>
      </c>
      <c r="J3190" t="str">
        <f>VLOOKUP(E3190,DSSpieler!A:B,2,FALSE)</f>
        <v>IMatzeI</v>
      </c>
    </row>
    <row r="3191" spans="1:10" x14ac:dyDescent="0.25">
      <c r="A3191">
        <v>3612</v>
      </c>
      <c r="B3191" t="s">
        <v>1156</v>
      </c>
      <c r="C3191">
        <v>465</v>
      </c>
      <c r="D3191">
        <v>453</v>
      </c>
      <c r="E3191">
        <v>1577157734</v>
      </c>
      <c r="F3191">
        <v>5968</v>
      </c>
      <c r="G3191">
        <v>0</v>
      </c>
      <c r="H3191" t="s">
        <v>8116</v>
      </c>
      <c r="I3191">
        <v>3612</v>
      </c>
      <c r="J3191" t="str">
        <f>VLOOKUP(E3191,DSSpieler!A:B,2,FALSE)</f>
        <v>Valak</v>
      </c>
    </row>
    <row r="3192" spans="1:10" x14ac:dyDescent="0.25">
      <c r="A3192">
        <v>3613</v>
      </c>
      <c r="B3192" t="s">
        <v>31865</v>
      </c>
      <c r="C3192">
        <v>446</v>
      </c>
      <c r="D3192">
        <v>565</v>
      </c>
      <c r="E3192">
        <v>1577185873</v>
      </c>
      <c r="F3192">
        <v>6819</v>
      </c>
      <c r="G3192">
        <v>0</v>
      </c>
      <c r="H3192" t="s">
        <v>8117</v>
      </c>
      <c r="I3192">
        <v>3613</v>
      </c>
      <c r="J3192" t="str">
        <f>VLOOKUP(E3192,DSSpieler!A:B,2,FALSE)</f>
        <v>Asenbluth</v>
      </c>
    </row>
    <row r="3193" spans="1:10" x14ac:dyDescent="0.25">
      <c r="A3193">
        <v>3614</v>
      </c>
      <c r="B3193" t="s">
        <v>865</v>
      </c>
      <c r="C3193">
        <v>580</v>
      </c>
      <c r="D3193">
        <v>428</v>
      </c>
      <c r="E3193">
        <v>1576888493</v>
      </c>
      <c r="F3193">
        <v>4821</v>
      </c>
      <c r="G3193">
        <v>0</v>
      </c>
      <c r="H3193" t="s">
        <v>8118</v>
      </c>
      <c r="I3193">
        <v>3614</v>
      </c>
      <c r="J3193" t="str">
        <f>VLOOKUP(E3193,DSSpieler!A:B,2,FALSE)</f>
        <v>Tunichgut</v>
      </c>
    </row>
    <row r="3194" spans="1:10" x14ac:dyDescent="0.25">
      <c r="A3194">
        <v>3615</v>
      </c>
      <c r="B3194" t="s">
        <v>531</v>
      </c>
      <c r="C3194">
        <v>494</v>
      </c>
      <c r="D3194">
        <v>443</v>
      </c>
      <c r="E3194">
        <v>0</v>
      </c>
      <c r="F3194">
        <v>273</v>
      </c>
      <c r="G3194">
        <v>0</v>
      </c>
      <c r="H3194" t="s">
        <v>8119</v>
      </c>
      <c r="I3194">
        <v>3615</v>
      </c>
      <c r="J3194" t="e">
        <f>VLOOKUP(E3194,DSSpieler!A:B,2,FALSE)</f>
        <v>#N/A</v>
      </c>
    </row>
    <row r="3195" spans="1:10" x14ac:dyDescent="0.25">
      <c r="A3195">
        <v>3616</v>
      </c>
      <c r="B3195" t="s">
        <v>1165</v>
      </c>
      <c r="C3195">
        <v>513</v>
      </c>
      <c r="D3195">
        <v>448</v>
      </c>
      <c r="E3195">
        <v>1576962937</v>
      </c>
      <c r="F3195">
        <v>4180</v>
      </c>
      <c r="G3195">
        <v>0</v>
      </c>
      <c r="H3195" t="s">
        <v>8120</v>
      </c>
      <c r="I3195">
        <v>3616</v>
      </c>
      <c r="J3195" t="str">
        <f>VLOOKUP(E3195,DSSpieler!A:B,2,FALSE)</f>
        <v>huberm88</v>
      </c>
    </row>
    <row r="3196" spans="1:10" x14ac:dyDescent="0.25">
      <c r="A3196">
        <v>3617</v>
      </c>
      <c r="B3196" t="s">
        <v>31866</v>
      </c>
      <c r="C3196">
        <v>572</v>
      </c>
      <c r="D3196">
        <v>503</v>
      </c>
      <c r="E3196">
        <v>9553782</v>
      </c>
      <c r="F3196">
        <v>6214</v>
      </c>
      <c r="G3196">
        <v>0</v>
      </c>
      <c r="H3196" t="s">
        <v>8121</v>
      </c>
      <c r="I3196">
        <v>3617</v>
      </c>
      <c r="J3196" t="str">
        <f>VLOOKUP(E3196,DSSpieler!A:B,2,FALSE)</f>
        <v>panne 1998</v>
      </c>
    </row>
    <row r="3197" spans="1:10" x14ac:dyDescent="0.25">
      <c r="A3197">
        <v>3618</v>
      </c>
      <c r="B3197" t="s">
        <v>31867</v>
      </c>
      <c r="C3197">
        <v>522</v>
      </c>
      <c r="D3197">
        <v>491</v>
      </c>
      <c r="E3197">
        <v>1577179826</v>
      </c>
      <c r="F3197">
        <v>250</v>
      </c>
      <c r="G3197">
        <v>0</v>
      </c>
      <c r="H3197" t="s">
        <v>8122</v>
      </c>
      <c r="I3197">
        <v>3618</v>
      </c>
      <c r="J3197" t="str">
        <f>VLOOKUP(E3197,DSSpieler!A:B,2,FALSE)</f>
        <v>Don-Niere</v>
      </c>
    </row>
    <row r="3198" spans="1:10" x14ac:dyDescent="0.25">
      <c r="A3198">
        <v>3619</v>
      </c>
      <c r="B3198" t="s">
        <v>31868</v>
      </c>
      <c r="C3198">
        <v>488</v>
      </c>
      <c r="D3198">
        <v>608</v>
      </c>
      <c r="E3198">
        <v>1576628882</v>
      </c>
      <c r="F3198">
        <v>5885</v>
      </c>
      <c r="G3198">
        <v>0</v>
      </c>
      <c r="H3198" t="s">
        <v>8123</v>
      </c>
      <c r="I3198">
        <v>3619</v>
      </c>
      <c r="J3198" t="str">
        <f>VLOOKUP(E3198,DSSpieler!A:B,2,FALSE)</f>
        <v>Hirito Yomi</v>
      </c>
    </row>
    <row r="3199" spans="1:10" x14ac:dyDescent="0.25">
      <c r="A3199">
        <v>3621</v>
      </c>
      <c r="B3199" t="s">
        <v>31869</v>
      </c>
      <c r="C3199">
        <v>484</v>
      </c>
      <c r="D3199">
        <v>591</v>
      </c>
      <c r="E3199">
        <v>9964090</v>
      </c>
      <c r="F3199">
        <v>6798</v>
      </c>
      <c r="G3199">
        <v>0</v>
      </c>
      <c r="H3199" t="s">
        <v>8124</v>
      </c>
      <c r="I3199">
        <v>3621</v>
      </c>
      <c r="J3199" t="str">
        <f>VLOOKUP(E3199,DSSpieler!A:B,2,FALSE)</f>
        <v>Abelos</v>
      </c>
    </row>
    <row r="3200" spans="1:10" x14ac:dyDescent="0.25">
      <c r="A3200">
        <v>3622</v>
      </c>
      <c r="B3200" t="s">
        <v>1166</v>
      </c>
      <c r="C3200">
        <v>447</v>
      </c>
      <c r="D3200">
        <v>561</v>
      </c>
      <c r="E3200">
        <v>1577189226</v>
      </c>
      <c r="F3200">
        <v>4023</v>
      </c>
      <c r="G3200">
        <v>0</v>
      </c>
      <c r="H3200" t="s">
        <v>8125</v>
      </c>
      <c r="I3200">
        <v>3622</v>
      </c>
      <c r="J3200" t="str">
        <f>VLOOKUP(E3200,DSSpieler!A:B,2,FALSE)</f>
        <v>Libertador</v>
      </c>
    </row>
    <row r="3201" spans="1:10" x14ac:dyDescent="0.25">
      <c r="A3201">
        <v>3623</v>
      </c>
      <c r="B3201" t="s">
        <v>31870</v>
      </c>
      <c r="C3201">
        <v>446</v>
      </c>
      <c r="D3201">
        <v>454</v>
      </c>
      <c r="E3201">
        <v>1852630</v>
      </c>
      <c r="F3201">
        <v>5078</v>
      </c>
      <c r="G3201">
        <v>0</v>
      </c>
      <c r="H3201" t="s">
        <v>8126</v>
      </c>
      <c r="I3201">
        <v>3623</v>
      </c>
      <c r="J3201" t="str">
        <f>VLOOKUP(E3201,DSSpieler!A:B,2,FALSE)</f>
        <v>playboii aus wersten</v>
      </c>
    </row>
    <row r="3202" spans="1:10" x14ac:dyDescent="0.25">
      <c r="A3202">
        <v>3624</v>
      </c>
      <c r="B3202" t="s">
        <v>531</v>
      </c>
      <c r="C3202">
        <v>530</v>
      </c>
      <c r="D3202">
        <v>575</v>
      </c>
      <c r="E3202">
        <v>0</v>
      </c>
      <c r="F3202">
        <v>539</v>
      </c>
      <c r="G3202">
        <v>0</v>
      </c>
      <c r="H3202" t="s">
        <v>8127</v>
      </c>
      <c r="I3202">
        <v>3624</v>
      </c>
      <c r="J3202" t="e">
        <f>VLOOKUP(E3202,DSSpieler!A:B,2,FALSE)</f>
        <v>#N/A</v>
      </c>
    </row>
    <row r="3203" spans="1:10" x14ac:dyDescent="0.25">
      <c r="A3203">
        <v>3627</v>
      </c>
      <c r="B3203" t="s">
        <v>531</v>
      </c>
      <c r="C3203">
        <v>544</v>
      </c>
      <c r="D3203">
        <v>518</v>
      </c>
      <c r="E3203">
        <v>0</v>
      </c>
      <c r="F3203">
        <v>518</v>
      </c>
      <c r="G3203">
        <v>0</v>
      </c>
      <c r="H3203" t="s">
        <v>8128</v>
      </c>
      <c r="I3203">
        <v>3627</v>
      </c>
      <c r="J3203" t="e">
        <f>VLOOKUP(E3203,DSSpieler!A:B,2,FALSE)</f>
        <v>#N/A</v>
      </c>
    </row>
    <row r="3204" spans="1:10" x14ac:dyDescent="0.25">
      <c r="A3204">
        <v>3628</v>
      </c>
      <c r="B3204" t="s">
        <v>31871</v>
      </c>
      <c r="C3204">
        <v>431</v>
      </c>
      <c r="D3204">
        <v>436</v>
      </c>
      <c r="E3204">
        <v>1577181643</v>
      </c>
      <c r="F3204">
        <v>6484</v>
      </c>
      <c r="G3204">
        <v>0</v>
      </c>
      <c r="H3204" t="s">
        <v>8129</v>
      </c>
      <c r="I3204">
        <v>3628</v>
      </c>
      <c r="J3204" t="str">
        <f>VLOOKUP(E3204,DSSpieler!A:B,2,FALSE)</f>
        <v>MadMaxx</v>
      </c>
    </row>
    <row r="3205" spans="1:10" x14ac:dyDescent="0.25">
      <c r="A3205">
        <v>3629</v>
      </c>
      <c r="B3205" t="s">
        <v>31872</v>
      </c>
      <c r="C3205">
        <v>466</v>
      </c>
      <c r="D3205">
        <v>499</v>
      </c>
      <c r="E3205">
        <v>1442482</v>
      </c>
      <c r="F3205">
        <v>5843</v>
      </c>
      <c r="G3205">
        <v>0</v>
      </c>
      <c r="H3205" t="s">
        <v>8130</v>
      </c>
      <c r="I3205">
        <v>3629</v>
      </c>
      <c r="J3205" t="str">
        <f>VLOOKUP(E3205,DSSpieler!A:B,2,FALSE)</f>
        <v>ThanaTos3k</v>
      </c>
    </row>
    <row r="3206" spans="1:10" x14ac:dyDescent="0.25">
      <c r="A3206">
        <v>3630</v>
      </c>
      <c r="B3206" t="s">
        <v>31873</v>
      </c>
      <c r="C3206">
        <v>515</v>
      </c>
      <c r="D3206">
        <v>566</v>
      </c>
      <c r="E3206">
        <v>1577196724</v>
      </c>
      <c r="F3206">
        <v>5545</v>
      </c>
      <c r="G3206">
        <v>0</v>
      </c>
      <c r="H3206" t="s">
        <v>8131</v>
      </c>
      <c r="I3206">
        <v>3630</v>
      </c>
      <c r="J3206" t="str">
        <f>VLOOKUP(E3206,DSSpieler!A:B,2,FALSE)</f>
        <v>SgtCoward</v>
      </c>
    </row>
    <row r="3207" spans="1:10" x14ac:dyDescent="0.25">
      <c r="A3207">
        <v>3631</v>
      </c>
      <c r="B3207" t="s">
        <v>31874</v>
      </c>
      <c r="C3207">
        <v>409</v>
      </c>
      <c r="D3207">
        <v>442</v>
      </c>
      <c r="E3207">
        <v>9858857</v>
      </c>
      <c r="F3207">
        <v>8663</v>
      </c>
      <c r="G3207">
        <v>0</v>
      </c>
      <c r="H3207" t="s">
        <v>8132</v>
      </c>
      <c r="I3207">
        <v>3631</v>
      </c>
      <c r="J3207" t="str">
        <f>VLOOKUP(E3207,DSSpieler!A:B,2,FALSE)</f>
        <v>griesis</v>
      </c>
    </row>
    <row r="3208" spans="1:10" x14ac:dyDescent="0.25">
      <c r="A3208">
        <v>3632</v>
      </c>
      <c r="B3208" t="s">
        <v>531</v>
      </c>
      <c r="C3208">
        <v>512</v>
      </c>
      <c r="D3208">
        <v>565</v>
      </c>
      <c r="E3208">
        <v>0</v>
      </c>
      <c r="F3208">
        <v>202</v>
      </c>
      <c r="G3208">
        <v>0</v>
      </c>
      <c r="H3208" t="s">
        <v>8133</v>
      </c>
      <c r="I3208">
        <v>3632</v>
      </c>
      <c r="J3208" t="e">
        <f>VLOOKUP(E3208,DSSpieler!A:B,2,FALSE)</f>
        <v>#N/A</v>
      </c>
    </row>
    <row r="3209" spans="1:10" x14ac:dyDescent="0.25">
      <c r="A3209">
        <v>3633</v>
      </c>
      <c r="B3209" t="s">
        <v>531</v>
      </c>
      <c r="C3209">
        <v>529</v>
      </c>
      <c r="D3209">
        <v>485</v>
      </c>
      <c r="E3209">
        <v>0</v>
      </c>
      <c r="F3209">
        <v>514</v>
      </c>
      <c r="G3209">
        <v>0</v>
      </c>
      <c r="H3209" t="s">
        <v>8134</v>
      </c>
      <c r="I3209">
        <v>3633</v>
      </c>
      <c r="J3209" t="e">
        <f>VLOOKUP(E3209,DSSpieler!A:B,2,FALSE)</f>
        <v>#N/A</v>
      </c>
    </row>
    <row r="3210" spans="1:10" x14ac:dyDescent="0.25">
      <c r="A3210">
        <v>3634</v>
      </c>
      <c r="B3210">
        <v>3</v>
      </c>
      <c r="C3210">
        <v>508</v>
      </c>
      <c r="D3210">
        <v>421</v>
      </c>
      <c r="E3210">
        <v>1575881708</v>
      </c>
      <c r="F3210">
        <v>6770</v>
      </c>
      <c r="G3210">
        <v>0</v>
      </c>
      <c r="H3210" t="s">
        <v>8135</v>
      </c>
      <c r="I3210">
        <v>3634</v>
      </c>
      <c r="J3210" t="str">
        <f>VLOOKUP(E3210,DSSpieler!A:B,2,FALSE)</f>
        <v>Akiadis</v>
      </c>
    </row>
    <row r="3211" spans="1:10" x14ac:dyDescent="0.25">
      <c r="A3211">
        <v>3635</v>
      </c>
      <c r="B3211" t="s">
        <v>31875</v>
      </c>
      <c r="C3211">
        <v>463</v>
      </c>
      <c r="D3211">
        <v>427</v>
      </c>
      <c r="E3211">
        <v>1576949733</v>
      </c>
      <c r="F3211">
        <v>4214</v>
      </c>
      <c r="G3211">
        <v>0</v>
      </c>
      <c r="H3211" t="s">
        <v>8136</v>
      </c>
      <c r="I3211">
        <v>3635</v>
      </c>
      <c r="J3211" t="str">
        <f>VLOOKUP(E3211,DSSpieler!A:B,2,FALSE)</f>
        <v>Rengo-</v>
      </c>
    </row>
    <row r="3212" spans="1:10" x14ac:dyDescent="0.25">
      <c r="A3212">
        <v>3636</v>
      </c>
      <c r="B3212" t="s">
        <v>31876</v>
      </c>
      <c r="C3212">
        <v>501</v>
      </c>
      <c r="D3212">
        <v>517</v>
      </c>
      <c r="E3212">
        <v>1577171743</v>
      </c>
      <c r="F3212">
        <v>1686</v>
      </c>
      <c r="G3212">
        <v>0</v>
      </c>
      <c r="H3212" t="s">
        <v>8137</v>
      </c>
      <c r="I3212">
        <v>3636</v>
      </c>
      <c r="J3212" t="str">
        <f>VLOOKUP(E3212,DSSpieler!A:B,2,FALSE)</f>
        <v>Karabat</v>
      </c>
    </row>
    <row r="3213" spans="1:10" x14ac:dyDescent="0.25">
      <c r="A3213">
        <v>3637</v>
      </c>
      <c r="B3213">
        <v>1</v>
      </c>
      <c r="C3213">
        <v>582</v>
      </c>
      <c r="D3213">
        <v>553</v>
      </c>
      <c r="E3213">
        <v>1576613198</v>
      </c>
      <c r="F3213">
        <v>6292</v>
      </c>
      <c r="G3213">
        <v>0</v>
      </c>
      <c r="H3213" t="s">
        <v>8138</v>
      </c>
      <c r="I3213">
        <v>3637</v>
      </c>
      <c r="J3213" t="str">
        <f>VLOOKUP(E3213,DSSpieler!A:B,2,FALSE)</f>
        <v>-Schnee-im-Sommer-</v>
      </c>
    </row>
    <row r="3214" spans="1:10" x14ac:dyDescent="0.25">
      <c r="A3214">
        <v>3638</v>
      </c>
      <c r="B3214" t="s">
        <v>531</v>
      </c>
      <c r="C3214">
        <v>580</v>
      </c>
      <c r="D3214">
        <v>558</v>
      </c>
      <c r="E3214">
        <v>0</v>
      </c>
      <c r="F3214">
        <v>472</v>
      </c>
      <c r="G3214">
        <v>0</v>
      </c>
      <c r="H3214" t="s">
        <v>8139</v>
      </c>
      <c r="I3214">
        <v>3638</v>
      </c>
      <c r="J3214" t="e">
        <f>VLOOKUP(E3214,DSSpieler!A:B,2,FALSE)</f>
        <v>#N/A</v>
      </c>
    </row>
    <row r="3215" spans="1:10" x14ac:dyDescent="0.25">
      <c r="A3215">
        <v>3639</v>
      </c>
      <c r="B3215" t="s">
        <v>1167</v>
      </c>
      <c r="C3215">
        <v>533</v>
      </c>
      <c r="D3215">
        <v>438</v>
      </c>
      <c r="E3215">
        <v>3143028</v>
      </c>
      <c r="F3215">
        <v>6467</v>
      </c>
      <c r="G3215">
        <v>0</v>
      </c>
      <c r="H3215" t="s">
        <v>8140</v>
      </c>
      <c r="I3215">
        <v>3639</v>
      </c>
      <c r="J3215" t="str">
        <f>VLOOKUP(E3215,DSSpieler!A:B,2,FALSE)</f>
        <v>Tom Traitor</v>
      </c>
    </row>
    <row r="3216" spans="1:10" x14ac:dyDescent="0.25">
      <c r="A3216">
        <v>3640</v>
      </c>
      <c r="B3216" t="s">
        <v>31877</v>
      </c>
      <c r="C3216">
        <v>503</v>
      </c>
      <c r="D3216">
        <v>429</v>
      </c>
      <c r="E3216">
        <v>1577195218</v>
      </c>
      <c r="F3216">
        <v>5983</v>
      </c>
      <c r="G3216">
        <v>0</v>
      </c>
      <c r="H3216" t="s">
        <v>8141</v>
      </c>
      <c r="I3216">
        <v>3640</v>
      </c>
      <c r="J3216" t="str">
        <f>VLOOKUP(E3216,DSSpieler!A:B,2,FALSE)</f>
        <v>walujew</v>
      </c>
    </row>
    <row r="3217" spans="1:10" x14ac:dyDescent="0.25">
      <c r="A3217">
        <v>3641</v>
      </c>
      <c r="B3217" t="s">
        <v>531</v>
      </c>
      <c r="C3217">
        <v>514</v>
      </c>
      <c r="D3217">
        <v>507</v>
      </c>
      <c r="E3217">
        <v>0</v>
      </c>
      <c r="F3217">
        <v>265</v>
      </c>
      <c r="G3217">
        <v>0</v>
      </c>
      <c r="H3217" t="s">
        <v>8142</v>
      </c>
      <c r="I3217">
        <v>3641</v>
      </c>
      <c r="J3217" t="e">
        <f>VLOOKUP(E3217,DSSpieler!A:B,2,FALSE)</f>
        <v>#N/A</v>
      </c>
    </row>
    <row r="3218" spans="1:10" x14ac:dyDescent="0.25">
      <c r="A3218">
        <v>3642</v>
      </c>
      <c r="B3218" t="s">
        <v>31878</v>
      </c>
      <c r="C3218">
        <v>460</v>
      </c>
      <c r="D3218">
        <v>450</v>
      </c>
      <c r="E3218">
        <v>8689006</v>
      </c>
      <c r="F3218">
        <v>5289</v>
      </c>
      <c r="G3218">
        <v>0</v>
      </c>
      <c r="H3218" t="s">
        <v>8143</v>
      </c>
      <c r="I3218">
        <v>3642</v>
      </c>
      <c r="J3218" t="str">
        <f>VLOOKUP(E3218,DSSpieler!A:B,2,FALSE)</f>
        <v>Pecksbyr</v>
      </c>
    </row>
    <row r="3219" spans="1:10" x14ac:dyDescent="0.25">
      <c r="A3219">
        <v>3643</v>
      </c>
      <c r="B3219" t="s">
        <v>31879</v>
      </c>
      <c r="C3219">
        <v>490</v>
      </c>
      <c r="D3219">
        <v>556</v>
      </c>
      <c r="E3219">
        <v>1577198684</v>
      </c>
      <c r="F3219">
        <v>4353</v>
      </c>
      <c r="G3219">
        <v>0</v>
      </c>
      <c r="H3219" t="s">
        <v>8144</v>
      </c>
      <c r="I3219">
        <v>3643</v>
      </c>
      <c r="J3219" t="str">
        <f>VLOOKUP(E3219,DSSpieler!A:B,2,FALSE)</f>
        <v>Sgtalex</v>
      </c>
    </row>
    <row r="3220" spans="1:10" x14ac:dyDescent="0.25">
      <c r="A3220">
        <v>3644</v>
      </c>
      <c r="B3220" t="s">
        <v>30979</v>
      </c>
      <c r="C3220">
        <v>418</v>
      </c>
      <c r="D3220">
        <v>439</v>
      </c>
      <c r="E3220">
        <v>503235</v>
      </c>
      <c r="F3220">
        <v>7574</v>
      </c>
      <c r="G3220">
        <v>0</v>
      </c>
      <c r="H3220" t="s">
        <v>8145</v>
      </c>
      <c r="I3220">
        <v>3644</v>
      </c>
      <c r="J3220" t="str">
        <f>VLOOKUP(E3220,DSSpieler!A:B,2,FALSE)</f>
        <v>TizianW</v>
      </c>
    </row>
    <row r="3221" spans="1:10" x14ac:dyDescent="0.25">
      <c r="A3221">
        <v>3645</v>
      </c>
      <c r="B3221" t="s">
        <v>651</v>
      </c>
      <c r="C3221">
        <v>457</v>
      </c>
      <c r="D3221">
        <v>525</v>
      </c>
      <c r="E3221">
        <v>1576104594</v>
      </c>
      <c r="F3221">
        <v>1298</v>
      </c>
      <c r="G3221">
        <v>0</v>
      </c>
      <c r="H3221" t="s">
        <v>8146</v>
      </c>
      <c r="I3221">
        <v>3645</v>
      </c>
      <c r="J3221" t="str">
        <f>VLOOKUP(E3221,DSSpieler!A:B,2,FALSE)</f>
        <v>ReVivE91</v>
      </c>
    </row>
    <row r="3222" spans="1:10" x14ac:dyDescent="0.25">
      <c r="A3222">
        <v>3646</v>
      </c>
      <c r="B3222" t="s">
        <v>31755</v>
      </c>
      <c r="C3222">
        <v>534</v>
      </c>
      <c r="D3222">
        <v>428</v>
      </c>
      <c r="E3222">
        <v>401979</v>
      </c>
      <c r="F3222">
        <v>2802</v>
      </c>
      <c r="G3222">
        <v>0</v>
      </c>
      <c r="H3222" t="s">
        <v>8147</v>
      </c>
      <c r="I3222">
        <v>3646</v>
      </c>
      <c r="J3222" t="str">
        <f>VLOOKUP(E3222,DSSpieler!A:B,2,FALSE)</f>
        <v>nicky butt</v>
      </c>
    </row>
    <row r="3223" spans="1:10" x14ac:dyDescent="0.25">
      <c r="A3223">
        <v>3647</v>
      </c>
      <c r="B3223" t="s">
        <v>31880</v>
      </c>
      <c r="C3223">
        <v>602</v>
      </c>
      <c r="D3223">
        <v>462</v>
      </c>
      <c r="E3223">
        <v>1577195705</v>
      </c>
      <c r="F3223">
        <v>2760</v>
      </c>
      <c r="G3223">
        <v>0</v>
      </c>
      <c r="H3223" t="s">
        <v>8148</v>
      </c>
      <c r="I3223">
        <v>3647</v>
      </c>
      <c r="J3223" t="str">
        <f>VLOOKUP(E3223,DSSpieler!A:B,2,FALSE)</f>
        <v>Schokokuss</v>
      </c>
    </row>
    <row r="3224" spans="1:10" x14ac:dyDescent="0.25">
      <c r="A3224">
        <v>3648</v>
      </c>
      <c r="B3224" t="s">
        <v>31881</v>
      </c>
      <c r="C3224">
        <v>476</v>
      </c>
      <c r="D3224">
        <v>424</v>
      </c>
      <c r="E3224">
        <v>1576680977</v>
      </c>
      <c r="F3224">
        <v>6711</v>
      </c>
      <c r="G3224">
        <v>0</v>
      </c>
      <c r="H3224" t="s">
        <v>8149</v>
      </c>
      <c r="I3224">
        <v>3648</v>
      </c>
      <c r="J3224" t="str">
        <f>VLOOKUP(E3224,DSSpieler!A:B,2,FALSE)</f>
        <v>HeavenKeeper</v>
      </c>
    </row>
    <row r="3225" spans="1:10" x14ac:dyDescent="0.25">
      <c r="A3225">
        <v>3649</v>
      </c>
      <c r="B3225" t="s">
        <v>531</v>
      </c>
      <c r="C3225">
        <v>438</v>
      </c>
      <c r="D3225">
        <v>492</v>
      </c>
      <c r="E3225">
        <v>0</v>
      </c>
      <c r="F3225">
        <v>197</v>
      </c>
      <c r="G3225">
        <v>0</v>
      </c>
      <c r="H3225" t="s">
        <v>8150</v>
      </c>
      <c r="I3225">
        <v>3649</v>
      </c>
      <c r="J3225" t="e">
        <f>VLOOKUP(E3225,DSSpieler!A:B,2,FALSE)</f>
        <v>#N/A</v>
      </c>
    </row>
    <row r="3226" spans="1:10" x14ac:dyDescent="0.25">
      <c r="A3226">
        <v>3650</v>
      </c>
      <c r="B3226" t="s">
        <v>1168</v>
      </c>
      <c r="C3226">
        <v>449</v>
      </c>
      <c r="D3226">
        <v>425</v>
      </c>
      <c r="E3226">
        <v>1577180710</v>
      </c>
      <c r="F3226">
        <v>5017</v>
      </c>
      <c r="G3226">
        <v>0</v>
      </c>
      <c r="H3226" t="s">
        <v>8151</v>
      </c>
      <c r="I3226">
        <v>3650</v>
      </c>
      <c r="J3226" t="str">
        <f>VLOOKUP(E3226,DSSpieler!A:B,2,FALSE)</f>
        <v>MelanieMüller</v>
      </c>
    </row>
    <row r="3227" spans="1:10" x14ac:dyDescent="0.25">
      <c r="A3227">
        <v>3651</v>
      </c>
      <c r="B3227" t="s">
        <v>31882</v>
      </c>
      <c r="C3227">
        <v>565</v>
      </c>
      <c r="D3227">
        <v>521</v>
      </c>
      <c r="E3227">
        <v>1577163731</v>
      </c>
      <c r="F3227">
        <v>863</v>
      </c>
      <c r="G3227">
        <v>0</v>
      </c>
      <c r="H3227" t="s">
        <v>8152</v>
      </c>
      <c r="I3227">
        <v>3651</v>
      </c>
      <c r="J3227" t="str">
        <f>VLOOKUP(E3227,DSSpieler!A:B,2,FALSE)</f>
        <v>Zabum</v>
      </c>
    </row>
    <row r="3228" spans="1:10" x14ac:dyDescent="0.25">
      <c r="A3228">
        <v>3652</v>
      </c>
      <c r="B3228" t="s">
        <v>31883</v>
      </c>
      <c r="C3228">
        <v>574</v>
      </c>
      <c r="D3228">
        <v>551</v>
      </c>
      <c r="E3228">
        <v>1577146042</v>
      </c>
      <c r="F3228">
        <v>5344</v>
      </c>
      <c r="G3228">
        <v>0</v>
      </c>
      <c r="H3228" t="s">
        <v>8153</v>
      </c>
      <c r="I3228">
        <v>3652</v>
      </c>
      <c r="J3228" t="str">
        <f>VLOOKUP(E3228,DSSpieler!A:B,2,FALSE)</f>
        <v>Madara.</v>
      </c>
    </row>
    <row r="3229" spans="1:10" x14ac:dyDescent="0.25">
      <c r="A3229">
        <v>3654</v>
      </c>
      <c r="B3229" t="s">
        <v>31884</v>
      </c>
      <c r="C3229">
        <v>459</v>
      </c>
      <c r="D3229">
        <v>493</v>
      </c>
      <c r="E3229">
        <v>1577181244</v>
      </c>
      <c r="F3229">
        <v>26</v>
      </c>
      <c r="G3229">
        <v>0</v>
      </c>
      <c r="H3229" t="s">
        <v>8154</v>
      </c>
      <c r="I3229">
        <v>3654</v>
      </c>
      <c r="J3229" t="str">
        <f>VLOOKUP(E3229,DSSpieler!A:B,2,FALSE)</f>
        <v>PuuuKY</v>
      </c>
    </row>
    <row r="3230" spans="1:10" x14ac:dyDescent="0.25">
      <c r="A3230">
        <v>3655</v>
      </c>
      <c r="B3230" t="s">
        <v>31885</v>
      </c>
      <c r="C3230">
        <v>566</v>
      </c>
      <c r="D3230">
        <v>560</v>
      </c>
      <c r="E3230">
        <v>8698883</v>
      </c>
      <c r="F3230">
        <v>784</v>
      </c>
      <c r="G3230">
        <v>0</v>
      </c>
      <c r="H3230" t="s">
        <v>8155</v>
      </c>
      <c r="I3230">
        <v>3655</v>
      </c>
      <c r="J3230" t="str">
        <f>VLOOKUP(E3230,DSSpieler!A:B,2,FALSE)</f>
        <v>unowned</v>
      </c>
    </row>
    <row r="3231" spans="1:10" x14ac:dyDescent="0.25">
      <c r="A3231">
        <v>3656</v>
      </c>
      <c r="B3231" t="s">
        <v>1169</v>
      </c>
      <c r="C3231">
        <v>431</v>
      </c>
      <c r="D3231">
        <v>567</v>
      </c>
      <c r="E3231">
        <v>2667871</v>
      </c>
      <c r="F3231">
        <v>5939</v>
      </c>
      <c r="G3231">
        <v>0</v>
      </c>
      <c r="H3231" t="s">
        <v>8156</v>
      </c>
      <c r="I3231">
        <v>3656</v>
      </c>
      <c r="J3231" t="str">
        <f>VLOOKUP(E3231,DSSpieler!A:B,2,FALSE)</f>
        <v>dev.baker</v>
      </c>
    </row>
    <row r="3232" spans="1:10" x14ac:dyDescent="0.25">
      <c r="A3232">
        <v>3657</v>
      </c>
      <c r="B3232" t="s">
        <v>31886</v>
      </c>
      <c r="C3232">
        <v>530</v>
      </c>
      <c r="D3232">
        <v>606</v>
      </c>
      <c r="E3232">
        <v>1576761768</v>
      </c>
      <c r="F3232">
        <v>4334</v>
      </c>
      <c r="G3232">
        <v>0</v>
      </c>
      <c r="H3232" t="s">
        <v>8157</v>
      </c>
      <c r="I3232">
        <v>3657</v>
      </c>
      <c r="J3232" t="str">
        <f>VLOOKUP(E3232,DSSpieler!A:B,2,FALSE)</f>
        <v>lakinho</v>
      </c>
    </row>
    <row r="3233" spans="1:10" x14ac:dyDescent="0.25">
      <c r="A3233">
        <v>3658</v>
      </c>
      <c r="B3233">
        <v>1</v>
      </c>
      <c r="C3233">
        <v>479</v>
      </c>
      <c r="D3233">
        <v>458</v>
      </c>
      <c r="E3233">
        <v>1576178066</v>
      </c>
      <c r="F3233">
        <v>6474</v>
      </c>
      <c r="G3233">
        <v>0</v>
      </c>
      <c r="H3233" t="s">
        <v>8158</v>
      </c>
      <c r="I3233">
        <v>3658</v>
      </c>
      <c r="J3233" t="str">
        <f>VLOOKUP(E3233,DSSpieler!A:B,2,FALSE)</f>
        <v>skaliii</v>
      </c>
    </row>
    <row r="3234" spans="1:10" x14ac:dyDescent="0.25">
      <c r="A3234">
        <v>3659</v>
      </c>
      <c r="B3234" t="s">
        <v>979</v>
      </c>
      <c r="C3234">
        <v>511</v>
      </c>
      <c r="D3234">
        <v>608</v>
      </c>
      <c r="E3234">
        <v>1577056044</v>
      </c>
      <c r="F3234">
        <v>4257</v>
      </c>
      <c r="G3234">
        <v>0</v>
      </c>
      <c r="H3234" t="s">
        <v>8159</v>
      </c>
      <c r="I3234">
        <v>3659</v>
      </c>
      <c r="J3234" t="str">
        <f>VLOOKUP(E3234,DSSpieler!A:B,2,FALSE)</f>
        <v>SerenaMoon</v>
      </c>
    </row>
    <row r="3235" spans="1:10" x14ac:dyDescent="0.25">
      <c r="A3235">
        <v>3660</v>
      </c>
      <c r="B3235" t="s">
        <v>539</v>
      </c>
      <c r="C3235">
        <v>610</v>
      </c>
      <c r="D3235">
        <v>481</v>
      </c>
      <c r="E3235">
        <v>1577197528</v>
      </c>
      <c r="F3235">
        <v>5129</v>
      </c>
      <c r="G3235">
        <v>0</v>
      </c>
      <c r="H3235" t="s">
        <v>8160</v>
      </c>
      <c r="I3235">
        <v>3660</v>
      </c>
      <c r="J3235" t="str">
        <f>VLOOKUP(E3235,DSSpieler!A:B,2,FALSE)</f>
        <v>Schwarzwälderkirschtorte</v>
      </c>
    </row>
    <row r="3236" spans="1:10" x14ac:dyDescent="0.25">
      <c r="A3236">
        <v>3661</v>
      </c>
      <c r="B3236" t="s">
        <v>531</v>
      </c>
      <c r="C3236">
        <v>470</v>
      </c>
      <c r="D3236">
        <v>574</v>
      </c>
      <c r="E3236">
        <v>0</v>
      </c>
      <c r="F3236">
        <v>274</v>
      </c>
      <c r="G3236">
        <v>0</v>
      </c>
      <c r="H3236" t="s">
        <v>8161</v>
      </c>
      <c r="I3236">
        <v>3661</v>
      </c>
      <c r="J3236" t="e">
        <f>VLOOKUP(E3236,DSSpieler!A:B,2,FALSE)</f>
        <v>#N/A</v>
      </c>
    </row>
    <row r="3237" spans="1:10" x14ac:dyDescent="0.25">
      <c r="A3237">
        <v>3662</v>
      </c>
      <c r="B3237" t="s">
        <v>531</v>
      </c>
      <c r="C3237">
        <v>519</v>
      </c>
      <c r="D3237">
        <v>594</v>
      </c>
      <c r="E3237">
        <v>0</v>
      </c>
      <c r="F3237">
        <v>494</v>
      </c>
      <c r="G3237">
        <v>0</v>
      </c>
      <c r="H3237" t="s">
        <v>8162</v>
      </c>
      <c r="I3237">
        <v>3662</v>
      </c>
      <c r="J3237" t="e">
        <f>VLOOKUP(E3237,DSSpieler!A:B,2,FALSE)</f>
        <v>#N/A</v>
      </c>
    </row>
    <row r="3238" spans="1:10" x14ac:dyDescent="0.25">
      <c r="A3238">
        <v>3663</v>
      </c>
      <c r="B3238" t="s">
        <v>1170</v>
      </c>
      <c r="C3238">
        <v>501</v>
      </c>
      <c r="D3238">
        <v>502</v>
      </c>
      <c r="E3238">
        <v>1576891726</v>
      </c>
      <c r="F3238">
        <v>6564</v>
      </c>
      <c r="G3238">
        <v>0</v>
      </c>
      <c r="H3238" t="s">
        <v>8163</v>
      </c>
      <c r="I3238">
        <v>3663</v>
      </c>
      <c r="J3238" t="str">
        <f>VLOOKUP(E3238,DSSpieler!A:B,2,FALSE)</f>
        <v>ultma189</v>
      </c>
    </row>
    <row r="3239" spans="1:10" x14ac:dyDescent="0.25">
      <c r="A3239">
        <v>3664</v>
      </c>
      <c r="B3239" t="s">
        <v>31887</v>
      </c>
      <c r="C3239">
        <v>591</v>
      </c>
      <c r="D3239">
        <v>462</v>
      </c>
      <c r="E3239">
        <v>1576779600</v>
      </c>
      <c r="F3239">
        <v>5219</v>
      </c>
      <c r="G3239">
        <v>0</v>
      </c>
      <c r="H3239" t="s">
        <v>8164</v>
      </c>
      <c r="I3239">
        <v>3664</v>
      </c>
      <c r="J3239" t="str">
        <f>VLOOKUP(E3239,DSSpieler!A:B,2,FALSE)</f>
        <v>Badgirl.1</v>
      </c>
    </row>
    <row r="3240" spans="1:10" x14ac:dyDescent="0.25">
      <c r="A3240">
        <v>3665</v>
      </c>
      <c r="B3240" t="s">
        <v>31888</v>
      </c>
      <c r="C3240">
        <v>507</v>
      </c>
      <c r="D3240">
        <v>433</v>
      </c>
      <c r="E3240">
        <v>1577195688</v>
      </c>
      <c r="F3240">
        <v>6203</v>
      </c>
      <c r="G3240">
        <v>0</v>
      </c>
      <c r="H3240" t="s">
        <v>8165</v>
      </c>
      <c r="I3240">
        <v>3665</v>
      </c>
      <c r="J3240" t="str">
        <f>VLOOKUP(E3240,DSSpieler!A:B,2,FALSE)</f>
        <v>Darano</v>
      </c>
    </row>
    <row r="3241" spans="1:10" x14ac:dyDescent="0.25">
      <c r="A3241">
        <v>3666</v>
      </c>
      <c r="B3241" t="e">
        <f>-OFF4-+IchMagBrianGriffin</f>
        <v>#NAME?</v>
      </c>
      <c r="C3241">
        <v>475</v>
      </c>
      <c r="D3241">
        <v>425</v>
      </c>
      <c r="E3241">
        <v>1577195942</v>
      </c>
      <c r="F3241">
        <v>4027</v>
      </c>
      <c r="G3241">
        <v>0</v>
      </c>
      <c r="H3241" t="s">
        <v>8166</v>
      </c>
      <c r="I3241">
        <v>3666</v>
      </c>
      <c r="J3241" t="str">
        <f>VLOOKUP(E3241,DSSpieler!A:B,2,FALSE)</f>
        <v>Oxiro</v>
      </c>
    </row>
    <row r="3242" spans="1:10" x14ac:dyDescent="0.25">
      <c r="A3242">
        <v>3667</v>
      </c>
      <c r="B3242" t="s">
        <v>31889</v>
      </c>
      <c r="C3242">
        <v>588</v>
      </c>
      <c r="D3242">
        <v>537</v>
      </c>
      <c r="E3242">
        <v>2918209</v>
      </c>
      <c r="F3242">
        <v>1814</v>
      </c>
      <c r="G3242">
        <v>0</v>
      </c>
      <c r="H3242" t="s">
        <v>8167</v>
      </c>
      <c r="I3242">
        <v>3667</v>
      </c>
      <c r="J3242" t="str">
        <f>VLOOKUP(E3242,DSSpieler!A:B,2,FALSE)</f>
        <v>Zeilor</v>
      </c>
    </row>
    <row r="3243" spans="1:10" x14ac:dyDescent="0.25">
      <c r="A3243">
        <v>3668</v>
      </c>
      <c r="B3243" t="s">
        <v>31890</v>
      </c>
      <c r="C3243">
        <v>553</v>
      </c>
      <c r="D3243">
        <v>575</v>
      </c>
      <c r="E3243">
        <v>1577044240</v>
      </c>
      <c r="F3243">
        <v>5918</v>
      </c>
      <c r="G3243">
        <v>0</v>
      </c>
      <c r="H3243" t="s">
        <v>8168</v>
      </c>
      <c r="I3243">
        <v>3668</v>
      </c>
      <c r="J3243" t="str">
        <f>VLOOKUP(E3243,DSSpieler!A:B,2,FALSE)</f>
        <v>Inaktiv-Keine-Zeit</v>
      </c>
    </row>
    <row r="3244" spans="1:10" x14ac:dyDescent="0.25">
      <c r="A3244">
        <v>3669</v>
      </c>
      <c r="B3244" t="s">
        <v>150</v>
      </c>
      <c r="C3244">
        <v>495</v>
      </c>
      <c r="D3244">
        <v>472</v>
      </c>
      <c r="E3244">
        <v>1577176436</v>
      </c>
      <c r="F3244">
        <v>6511</v>
      </c>
      <c r="G3244">
        <v>0</v>
      </c>
      <c r="H3244" t="s">
        <v>8169</v>
      </c>
      <c r="I3244">
        <v>3669</v>
      </c>
      <c r="J3244" t="str">
        <f>VLOOKUP(E3244,DSSpieler!A:B,2,FALSE)</f>
        <v>monadieschöne</v>
      </c>
    </row>
    <row r="3245" spans="1:10" x14ac:dyDescent="0.25">
      <c r="A3245">
        <v>3671</v>
      </c>
      <c r="B3245" t="s">
        <v>531</v>
      </c>
      <c r="C3245">
        <v>487</v>
      </c>
      <c r="D3245">
        <v>554</v>
      </c>
      <c r="E3245">
        <v>0</v>
      </c>
      <c r="F3245">
        <v>467</v>
      </c>
      <c r="G3245">
        <v>0</v>
      </c>
      <c r="H3245" t="s">
        <v>8170</v>
      </c>
      <c r="I3245">
        <v>3671</v>
      </c>
      <c r="J3245" t="e">
        <f>VLOOKUP(E3245,DSSpieler!A:B,2,FALSE)</f>
        <v>#N/A</v>
      </c>
    </row>
    <row r="3246" spans="1:10" x14ac:dyDescent="0.25">
      <c r="A3246">
        <v>3672</v>
      </c>
      <c r="B3246" t="s">
        <v>31891</v>
      </c>
      <c r="C3246">
        <v>481</v>
      </c>
      <c r="D3246">
        <v>411</v>
      </c>
      <c r="E3246">
        <v>319745</v>
      </c>
      <c r="F3246">
        <v>6170</v>
      </c>
      <c r="G3246">
        <v>0</v>
      </c>
      <c r="H3246" t="s">
        <v>8171</v>
      </c>
      <c r="I3246">
        <v>3672</v>
      </c>
      <c r="J3246" t="str">
        <f>VLOOKUP(E3246,DSSpieler!A:B,2,FALSE)</f>
        <v>freenation</v>
      </c>
    </row>
    <row r="3247" spans="1:10" x14ac:dyDescent="0.25">
      <c r="A3247">
        <v>3673</v>
      </c>
      <c r="B3247" t="s">
        <v>531</v>
      </c>
      <c r="C3247">
        <v>523</v>
      </c>
      <c r="D3247">
        <v>568</v>
      </c>
      <c r="E3247">
        <v>0</v>
      </c>
      <c r="F3247">
        <v>335</v>
      </c>
      <c r="G3247">
        <v>0</v>
      </c>
      <c r="H3247" t="s">
        <v>8172</v>
      </c>
      <c r="I3247">
        <v>3673</v>
      </c>
      <c r="J3247" t="e">
        <f>VLOOKUP(E3247,DSSpieler!A:B,2,FALSE)</f>
        <v>#N/A</v>
      </c>
    </row>
    <row r="3248" spans="1:10" x14ac:dyDescent="0.25">
      <c r="A3248">
        <v>3674</v>
      </c>
      <c r="B3248" t="s">
        <v>531</v>
      </c>
      <c r="C3248">
        <v>479</v>
      </c>
      <c r="D3248">
        <v>569</v>
      </c>
      <c r="E3248">
        <v>0</v>
      </c>
      <c r="F3248">
        <v>518</v>
      </c>
      <c r="G3248">
        <v>0</v>
      </c>
      <c r="H3248" t="s">
        <v>8173</v>
      </c>
      <c r="I3248">
        <v>3674</v>
      </c>
      <c r="J3248" t="e">
        <f>VLOOKUP(E3248,DSSpieler!A:B,2,FALSE)</f>
        <v>#N/A</v>
      </c>
    </row>
    <row r="3249" spans="1:10" x14ac:dyDescent="0.25">
      <c r="A3249">
        <v>3675</v>
      </c>
      <c r="B3249">
        <v>4</v>
      </c>
      <c r="C3249">
        <v>482</v>
      </c>
      <c r="D3249">
        <v>603</v>
      </c>
      <c r="E3249">
        <v>9173861</v>
      </c>
      <c r="F3249">
        <v>1791</v>
      </c>
      <c r="G3249">
        <v>0</v>
      </c>
      <c r="H3249" t="s">
        <v>8174</v>
      </c>
      <c r="I3249">
        <v>3675</v>
      </c>
      <c r="J3249" t="str">
        <f>VLOOKUP(E3249,DSSpieler!A:B,2,FALSE)</f>
        <v>dieweltmacht</v>
      </c>
    </row>
    <row r="3250" spans="1:10" x14ac:dyDescent="0.25">
      <c r="A3250">
        <v>3676</v>
      </c>
      <c r="B3250" t="s">
        <v>531</v>
      </c>
      <c r="C3250">
        <v>520</v>
      </c>
      <c r="D3250">
        <v>534</v>
      </c>
      <c r="E3250">
        <v>8806700</v>
      </c>
      <c r="F3250">
        <v>4404</v>
      </c>
      <c r="G3250">
        <v>0</v>
      </c>
      <c r="H3250" t="s">
        <v>8175</v>
      </c>
      <c r="I3250">
        <v>3676</v>
      </c>
      <c r="J3250" t="str">
        <f>VLOOKUP(E3250,DSSpieler!A:B,2,FALSE)</f>
        <v>Eworks</v>
      </c>
    </row>
    <row r="3251" spans="1:10" x14ac:dyDescent="0.25">
      <c r="A3251">
        <v>3677</v>
      </c>
      <c r="B3251" t="s">
        <v>531</v>
      </c>
      <c r="C3251">
        <v>478</v>
      </c>
      <c r="D3251">
        <v>463</v>
      </c>
      <c r="E3251">
        <v>0</v>
      </c>
      <c r="F3251">
        <v>352</v>
      </c>
      <c r="G3251">
        <v>0</v>
      </c>
      <c r="H3251" t="s">
        <v>8176</v>
      </c>
      <c r="I3251">
        <v>3677</v>
      </c>
      <c r="J3251" t="e">
        <f>VLOOKUP(E3251,DSSpieler!A:B,2,FALSE)</f>
        <v>#N/A</v>
      </c>
    </row>
    <row r="3252" spans="1:10" x14ac:dyDescent="0.25">
      <c r="A3252">
        <v>3678</v>
      </c>
      <c r="B3252" t="s">
        <v>30981</v>
      </c>
      <c r="C3252">
        <v>432</v>
      </c>
      <c r="D3252">
        <v>429</v>
      </c>
      <c r="E3252">
        <v>1577197167</v>
      </c>
      <c r="F3252">
        <v>4957</v>
      </c>
      <c r="G3252">
        <v>0</v>
      </c>
      <c r="H3252" t="s">
        <v>8177</v>
      </c>
      <c r="I3252">
        <v>3678</v>
      </c>
      <c r="J3252" t="str">
        <f>VLOOKUP(E3252,DSSpieler!A:B,2,FALSE)</f>
        <v>ToStrikeBack</v>
      </c>
    </row>
    <row r="3253" spans="1:10" x14ac:dyDescent="0.25">
      <c r="A3253">
        <v>3679</v>
      </c>
      <c r="B3253" t="s">
        <v>531</v>
      </c>
      <c r="C3253">
        <v>571</v>
      </c>
      <c r="D3253">
        <v>506</v>
      </c>
      <c r="E3253">
        <v>0</v>
      </c>
      <c r="F3253">
        <v>437</v>
      </c>
      <c r="G3253">
        <v>0</v>
      </c>
      <c r="H3253" t="s">
        <v>8178</v>
      </c>
      <c r="I3253">
        <v>3679</v>
      </c>
      <c r="J3253" t="e">
        <f>VLOOKUP(E3253,DSSpieler!A:B,2,FALSE)</f>
        <v>#N/A</v>
      </c>
    </row>
    <row r="3254" spans="1:10" x14ac:dyDescent="0.25">
      <c r="A3254">
        <v>3680</v>
      </c>
      <c r="B3254" t="s">
        <v>1052</v>
      </c>
      <c r="C3254">
        <v>557</v>
      </c>
      <c r="D3254">
        <v>449</v>
      </c>
      <c r="E3254">
        <v>1576994611</v>
      </c>
      <c r="F3254">
        <v>7114</v>
      </c>
      <c r="G3254">
        <v>0</v>
      </c>
      <c r="H3254" t="s">
        <v>8179</v>
      </c>
      <c r="I3254">
        <v>3680</v>
      </c>
      <c r="J3254" t="str">
        <f>VLOOKUP(E3254,DSSpieler!A:B,2,FALSE)</f>
        <v>derdorftoeter</v>
      </c>
    </row>
    <row r="3255" spans="1:10" x14ac:dyDescent="0.25">
      <c r="A3255">
        <v>3681</v>
      </c>
      <c r="B3255" t="e">
        <f>-4-+Gelddruckerei</f>
        <v>#NAME?</v>
      </c>
      <c r="C3255">
        <v>541</v>
      </c>
      <c r="D3255">
        <v>561</v>
      </c>
      <c r="E3255">
        <v>1577197889</v>
      </c>
      <c r="F3255">
        <v>3953</v>
      </c>
      <c r="G3255">
        <v>0</v>
      </c>
      <c r="H3255" t="s">
        <v>8180</v>
      </c>
      <c r="I3255">
        <v>3681</v>
      </c>
      <c r="J3255" t="str">
        <f>VLOOKUP(E3255,DSSpieler!A:B,2,FALSE)</f>
        <v>Cedii92</v>
      </c>
    </row>
    <row r="3256" spans="1:10" x14ac:dyDescent="0.25">
      <c r="A3256">
        <v>3682</v>
      </c>
      <c r="B3256" t="s">
        <v>31892</v>
      </c>
      <c r="C3256">
        <v>419</v>
      </c>
      <c r="D3256">
        <v>574</v>
      </c>
      <c r="E3256">
        <v>1577180610</v>
      </c>
      <c r="F3256">
        <v>7988</v>
      </c>
      <c r="G3256">
        <v>0</v>
      </c>
      <c r="H3256" t="s">
        <v>8181</v>
      </c>
      <c r="I3256">
        <v>3682</v>
      </c>
      <c r="J3256" t="str">
        <f>VLOOKUP(E3256,DSSpieler!A:B,2,FALSE)</f>
        <v>Mister Mou</v>
      </c>
    </row>
    <row r="3257" spans="1:10" x14ac:dyDescent="0.25">
      <c r="A3257">
        <v>3683</v>
      </c>
      <c r="B3257" t="s">
        <v>31893</v>
      </c>
      <c r="C3257">
        <v>477</v>
      </c>
      <c r="D3257">
        <v>424</v>
      </c>
      <c r="E3257">
        <v>1577068691</v>
      </c>
      <c r="F3257">
        <v>1731</v>
      </c>
      <c r="G3257">
        <v>0</v>
      </c>
      <c r="H3257" t="s">
        <v>8182</v>
      </c>
      <c r="I3257">
        <v>3683</v>
      </c>
      <c r="J3257" t="str">
        <f>VLOOKUP(E3257,DSSpieler!A:B,2,FALSE)</f>
        <v>Schattensoul</v>
      </c>
    </row>
    <row r="3258" spans="1:10" x14ac:dyDescent="0.25">
      <c r="A3258">
        <v>3684</v>
      </c>
      <c r="B3258" t="s">
        <v>556</v>
      </c>
      <c r="C3258">
        <v>512</v>
      </c>
      <c r="D3258">
        <v>473</v>
      </c>
      <c r="E3258">
        <v>1576983569</v>
      </c>
      <c r="F3258">
        <v>4236</v>
      </c>
      <c r="G3258">
        <v>0</v>
      </c>
      <c r="H3258" t="s">
        <v>8183</v>
      </c>
      <c r="I3258">
        <v>3684</v>
      </c>
      <c r="J3258" t="str">
        <f>VLOOKUP(E3258,DSSpieler!A:B,2,FALSE)</f>
        <v>Sgt-Reznov</v>
      </c>
    </row>
    <row r="3259" spans="1:10" x14ac:dyDescent="0.25">
      <c r="A3259">
        <v>3685</v>
      </c>
      <c r="B3259" t="s">
        <v>31894</v>
      </c>
      <c r="C3259">
        <v>577</v>
      </c>
      <c r="D3259">
        <v>570</v>
      </c>
      <c r="E3259">
        <v>1577188803</v>
      </c>
      <c r="F3259">
        <v>6053</v>
      </c>
      <c r="G3259">
        <v>0</v>
      </c>
      <c r="H3259" t="s">
        <v>8184</v>
      </c>
      <c r="I3259">
        <v>3685</v>
      </c>
      <c r="J3259" t="str">
        <f>VLOOKUP(E3259,DSSpieler!A:B,2,FALSE)</f>
        <v>GrrGr</v>
      </c>
    </row>
    <row r="3260" spans="1:10" x14ac:dyDescent="0.25">
      <c r="A3260">
        <v>3686</v>
      </c>
      <c r="B3260" t="s">
        <v>1137</v>
      </c>
      <c r="C3260">
        <v>552</v>
      </c>
      <c r="D3260">
        <v>593</v>
      </c>
      <c r="E3260">
        <v>1577174754</v>
      </c>
      <c r="F3260">
        <v>5538</v>
      </c>
      <c r="G3260">
        <v>0</v>
      </c>
      <c r="H3260" t="s">
        <v>8185</v>
      </c>
      <c r="I3260">
        <v>3686</v>
      </c>
      <c r="J3260" t="str">
        <f>VLOOKUP(E3260,DSSpieler!A:B,2,FALSE)</f>
        <v>Cook1e Dough</v>
      </c>
    </row>
    <row r="3261" spans="1:10" x14ac:dyDescent="0.25">
      <c r="A3261">
        <v>3687</v>
      </c>
      <c r="B3261" t="s">
        <v>31895</v>
      </c>
      <c r="C3261">
        <v>512</v>
      </c>
      <c r="D3261">
        <v>563</v>
      </c>
      <c r="E3261">
        <v>1577171063</v>
      </c>
      <c r="F3261">
        <v>4770</v>
      </c>
      <c r="G3261">
        <v>0</v>
      </c>
      <c r="H3261" t="s">
        <v>8186</v>
      </c>
      <c r="I3261">
        <v>3687</v>
      </c>
      <c r="J3261" t="str">
        <f>VLOOKUP(E3261,DSSpieler!A:B,2,FALSE)</f>
        <v>PhoenixFire</v>
      </c>
    </row>
    <row r="3262" spans="1:10" x14ac:dyDescent="0.25">
      <c r="A3262">
        <v>3688</v>
      </c>
      <c r="B3262" t="s">
        <v>31896</v>
      </c>
      <c r="C3262">
        <v>506</v>
      </c>
      <c r="D3262">
        <v>392</v>
      </c>
      <c r="E3262">
        <v>1577188929</v>
      </c>
      <c r="F3262">
        <v>4135</v>
      </c>
      <c r="G3262">
        <v>0</v>
      </c>
      <c r="H3262" t="s">
        <v>8187</v>
      </c>
      <c r="I3262">
        <v>3688</v>
      </c>
      <c r="J3262" t="str">
        <f>VLOOKUP(E3262,DSSpieler!A:B,2,FALSE)</f>
        <v>KingKoblini</v>
      </c>
    </row>
    <row r="3263" spans="1:10" x14ac:dyDescent="0.25">
      <c r="A3263">
        <v>3689</v>
      </c>
      <c r="B3263" t="s">
        <v>30816</v>
      </c>
      <c r="C3263">
        <v>581</v>
      </c>
      <c r="D3263">
        <v>515</v>
      </c>
      <c r="E3263">
        <v>1577180067</v>
      </c>
      <c r="F3263">
        <v>5320</v>
      </c>
      <c r="G3263">
        <v>0</v>
      </c>
      <c r="H3263" t="s">
        <v>8188</v>
      </c>
      <c r="I3263">
        <v>3689</v>
      </c>
      <c r="J3263" t="str">
        <f>VLOOKUP(E3263,DSSpieler!A:B,2,FALSE)</f>
        <v>T-jag</v>
      </c>
    </row>
    <row r="3264" spans="1:10" x14ac:dyDescent="0.25">
      <c r="A3264">
        <v>3690</v>
      </c>
      <c r="B3264" t="s">
        <v>531</v>
      </c>
      <c r="C3264">
        <v>472</v>
      </c>
      <c r="D3264">
        <v>507</v>
      </c>
      <c r="E3264">
        <v>1428815</v>
      </c>
      <c r="F3264">
        <v>835</v>
      </c>
      <c r="G3264">
        <v>0</v>
      </c>
      <c r="H3264" t="s">
        <v>8189</v>
      </c>
      <c r="I3264">
        <v>3690</v>
      </c>
      <c r="J3264" t="str">
        <f>VLOOKUP(E3264,DSSpieler!A:B,2,FALSE)</f>
        <v>maze*</v>
      </c>
    </row>
    <row r="3265" spans="1:10" x14ac:dyDescent="0.25">
      <c r="A3265">
        <v>3691</v>
      </c>
      <c r="B3265" t="s">
        <v>1171</v>
      </c>
      <c r="C3265">
        <v>437</v>
      </c>
      <c r="D3265">
        <v>513</v>
      </c>
      <c r="E3265">
        <v>1147967</v>
      </c>
      <c r="F3265">
        <v>3552</v>
      </c>
      <c r="G3265">
        <v>0</v>
      </c>
      <c r="H3265" t="s">
        <v>8190</v>
      </c>
      <c r="I3265">
        <v>3691</v>
      </c>
      <c r="J3265" t="str">
        <f>VLOOKUP(E3265,DSSpieler!A:B,2,FALSE)</f>
        <v>Milnox</v>
      </c>
    </row>
    <row r="3266" spans="1:10" x14ac:dyDescent="0.25">
      <c r="A3266">
        <v>3693</v>
      </c>
      <c r="B3266" t="s">
        <v>31897</v>
      </c>
      <c r="C3266">
        <v>550</v>
      </c>
      <c r="D3266">
        <v>452</v>
      </c>
      <c r="E3266">
        <v>1577176014</v>
      </c>
      <c r="F3266">
        <v>5595</v>
      </c>
      <c r="G3266">
        <v>0</v>
      </c>
      <c r="H3266" t="s">
        <v>8191</v>
      </c>
      <c r="I3266">
        <v>3693</v>
      </c>
      <c r="J3266" t="str">
        <f>VLOOKUP(E3266,DSSpieler!A:B,2,FALSE)</f>
        <v>Elaison</v>
      </c>
    </row>
    <row r="3267" spans="1:10" x14ac:dyDescent="0.25">
      <c r="A3267">
        <v>3694</v>
      </c>
      <c r="B3267" t="s">
        <v>1172</v>
      </c>
      <c r="C3267">
        <v>405</v>
      </c>
      <c r="D3267">
        <v>547</v>
      </c>
      <c r="E3267">
        <v>1576477994</v>
      </c>
      <c r="F3267">
        <v>4774</v>
      </c>
      <c r="G3267">
        <v>0</v>
      </c>
      <c r="H3267" t="s">
        <v>8192</v>
      </c>
      <c r="I3267">
        <v>3694</v>
      </c>
      <c r="J3267" t="str">
        <f>VLOOKUP(E3267,DSSpieler!A:B,2,FALSE)</f>
        <v>diegosam1000</v>
      </c>
    </row>
    <row r="3268" spans="1:10" x14ac:dyDescent="0.25">
      <c r="A3268">
        <v>3695</v>
      </c>
      <c r="B3268" t="s">
        <v>31898</v>
      </c>
      <c r="C3268">
        <v>449</v>
      </c>
      <c r="D3268">
        <v>512</v>
      </c>
      <c r="E3268">
        <v>1576870227</v>
      </c>
      <c r="F3268">
        <v>5115</v>
      </c>
      <c r="G3268">
        <v>0</v>
      </c>
      <c r="H3268" t="s">
        <v>8193</v>
      </c>
      <c r="I3268">
        <v>3695</v>
      </c>
      <c r="J3268" t="str">
        <f>VLOOKUP(E3268,DSSpieler!A:B,2,FALSE)</f>
        <v>GREEN.POWER</v>
      </c>
    </row>
    <row r="3269" spans="1:10" x14ac:dyDescent="0.25">
      <c r="A3269">
        <v>3696</v>
      </c>
      <c r="B3269">
        <v>2</v>
      </c>
      <c r="C3269">
        <v>542</v>
      </c>
      <c r="D3269">
        <v>410</v>
      </c>
      <c r="E3269">
        <v>1872639</v>
      </c>
      <c r="F3269">
        <v>7202</v>
      </c>
      <c r="G3269">
        <v>0</v>
      </c>
      <c r="H3269" t="s">
        <v>8194</v>
      </c>
      <c r="I3269">
        <v>3696</v>
      </c>
      <c r="J3269" t="str">
        <f>VLOOKUP(E3269,DSSpieler!A:B,2,FALSE)</f>
        <v>X-er3000</v>
      </c>
    </row>
    <row r="3270" spans="1:10" x14ac:dyDescent="0.25">
      <c r="A3270">
        <v>3697</v>
      </c>
      <c r="B3270" t="s">
        <v>736</v>
      </c>
      <c r="C3270">
        <v>587</v>
      </c>
      <c r="D3270">
        <v>464</v>
      </c>
      <c r="E3270">
        <v>1577188736</v>
      </c>
      <c r="F3270">
        <v>5134</v>
      </c>
      <c r="G3270">
        <v>0</v>
      </c>
      <c r="H3270" t="s">
        <v>8195</v>
      </c>
      <c r="I3270">
        <v>3697</v>
      </c>
      <c r="J3270" t="str">
        <f>VLOOKUP(E3270,DSSpieler!A:B,2,FALSE)</f>
        <v>WoHinGenau?</v>
      </c>
    </row>
    <row r="3271" spans="1:10" x14ac:dyDescent="0.25">
      <c r="A3271">
        <v>3698</v>
      </c>
      <c r="B3271" t="s">
        <v>31138</v>
      </c>
      <c r="C3271">
        <v>460</v>
      </c>
      <c r="D3271">
        <v>399</v>
      </c>
      <c r="E3271">
        <v>1577064445</v>
      </c>
      <c r="F3271">
        <v>6820</v>
      </c>
      <c r="G3271">
        <v>0</v>
      </c>
      <c r="H3271" t="s">
        <v>8196</v>
      </c>
      <c r="I3271">
        <v>3698</v>
      </c>
      <c r="J3271" t="str">
        <f>VLOOKUP(E3271,DSSpieler!A:B,2,FALSE)</f>
        <v>Nightwolf</v>
      </c>
    </row>
    <row r="3272" spans="1:10" x14ac:dyDescent="0.25">
      <c r="A3272">
        <v>3699</v>
      </c>
      <c r="B3272" t="s">
        <v>31899</v>
      </c>
      <c r="C3272">
        <v>538</v>
      </c>
      <c r="D3272">
        <v>437</v>
      </c>
      <c r="E3272">
        <v>1577197828</v>
      </c>
      <c r="F3272">
        <v>4524</v>
      </c>
      <c r="G3272">
        <v>0</v>
      </c>
      <c r="H3272" t="s">
        <v>8197</v>
      </c>
      <c r="I3272">
        <v>3699</v>
      </c>
      <c r="J3272" t="str">
        <f>VLOOKUP(E3272,DSSpieler!A:B,2,FALSE)</f>
        <v>pewpew2000</v>
      </c>
    </row>
    <row r="3273" spans="1:10" x14ac:dyDescent="0.25">
      <c r="A3273">
        <v>3700</v>
      </c>
      <c r="B3273">
        <v>3</v>
      </c>
      <c r="C3273">
        <v>536</v>
      </c>
      <c r="D3273">
        <v>509</v>
      </c>
      <c r="E3273">
        <v>1577175720</v>
      </c>
      <c r="F3273">
        <v>4500</v>
      </c>
      <c r="G3273">
        <v>0</v>
      </c>
      <c r="H3273" t="s">
        <v>8198</v>
      </c>
      <c r="I3273">
        <v>3700</v>
      </c>
      <c r="J3273" t="str">
        <f>VLOOKUP(E3273,DSSpieler!A:B,2,FALSE)</f>
        <v>Domi-92</v>
      </c>
    </row>
    <row r="3274" spans="1:10" x14ac:dyDescent="0.25">
      <c r="A3274">
        <v>3701</v>
      </c>
      <c r="B3274" t="s">
        <v>1173</v>
      </c>
      <c r="C3274">
        <v>474</v>
      </c>
      <c r="D3274">
        <v>445</v>
      </c>
      <c r="E3274">
        <v>1577070261</v>
      </c>
      <c r="F3274">
        <v>6061</v>
      </c>
      <c r="G3274">
        <v>0</v>
      </c>
      <c r="H3274" t="s">
        <v>8199</v>
      </c>
      <c r="I3274">
        <v>3701</v>
      </c>
      <c r="J3274" t="str">
        <f>VLOOKUP(E3274,DSSpieler!A:B,2,FALSE)</f>
        <v>the Godfather</v>
      </c>
    </row>
    <row r="3275" spans="1:10" x14ac:dyDescent="0.25">
      <c r="A3275">
        <v>3702</v>
      </c>
      <c r="B3275" t="s">
        <v>531</v>
      </c>
      <c r="C3275">
        <v>435</v>
      </c>
      <c r="D3275">
        <v>514</v>
      </c>
      <c r="E3275">
        <v>0</v>
      </c>
      <c r="F3275">
        <v>378</v>
      </c>
      <c r="G3275">
        <v>0</v>
      </c>
      <c r="H3275" t="s">
        <v>8200</v>
      </c>
      <c r="I3275">
        <v>3702</v>
      </c>
      <c r="J3275" t="e">
        <f>VLOOKUP(E3275,DSSpieler!A:B,2,FALSE)</f>
        <v>#N/A</v>
      </c>
    </row>
    <row r="3276" spans="1:10" x14ac:dyDescent="0.25">
      <c r="A3276">
        <v>3703</v>
      </c>
      <c r="B3276">
        <v>3</v>
      </c>
      <c r="C3276">
        <v>554</v>
      </c>
      <c r="D3276">
        <v>573</v>
      </c>
      <c r="E3276">
        <v>1577188575</v>
      </c>
      <c r="F3276">
        <v>2221</v>
      </c>
      <c r="G3276">
        <v>0</v>
      </c>
      <c r="H3276" t="s">
        <v>8201</v>
      </c>
      <c r="I3276">
        <v>3703</v>
      </c>
      <c r="J3276" t="str">
        <f>VLOOKUP(E3276,DSSpieler!A:B,2,FALSE)</f>
        <v>94Norbi</v>
      </c>
    </row>
    <row r="3277" spans="1:10" x14ac:dyDescent="0.25">
      <c r="A3277">
        <v>3704</v>
      </c>
      <c r="B3277" t="s">
        <v>531</v>
      </c>
      <c r="C3277">
        <v>552</v>
      </c>
      <c r="D3277">
        <v>462</v>
      </c>
      <c r="E3277">
        <v>0</v>
      </c>
      <c r="F3277">
        <v>371</v>
      </c>
      <c r="G3277">
        <v>0</v>
      </c>
      <c r="H3277" t="s">
        <v>8202</v>
      </c>
      <c r="I3277">
        <v>3704</v>
      </c>
      <c r="J3277" t="e">
        <f>VLOOKUP(E3277,DSSpieler!A:B,2,FALSE)</f>
        <v>#N/A</v>
      </c>
    </row>
    <row r="3278" spans="1:10" x14ac:dyDescent="0.25">
      <c r="A3278">
        <v>3705</v>
      </c>
      <c r="B3278" t="s">
        <v>983</v>
      </c>
      <c r="C3278">
        <v>437</v>
      </c>
      <c r="D3278">
        <v>473</v>
      </c>
      <c r="E3278">
        <v>9432353</v>
      </c>
      <c r="F3278">
        <v>5805</v>
      </c>
      <c r="G3278">
        <v>0</v>
      </c>
      <c r="H3278" t="s">
        <v>8203</v>
      </c>
      <c r="I3278">
        <v>3705</v>
      </c>
      <c r="J3278" t="str">
        <f>VLOOKUP(E3278,DSSpieler!A:B,2,FALSE)</f>
        <v>nOiiSe</v>
      </c>
    </row>
    <row r="3279" spans="1:10" x14ac:dyDescent="0.25">
      <c r="A3279">
        <v>3706</v>
      </c>
      <c r="B3279" t="s">
        <v>31900</v>
      </c>
      <c r="C3279">
        <v>542</v>
      </c>
      <c r="D3279">
        <v>399</v>
      </c>
      <c r="E3279">
        <v>1576662569</v>
      </c>
      <c r="F3279">
        <v>5725</v>
      </c>
      <c r="G3279">
        <v>0</v>
      </c>
      <c r="H3279" t="s">
        <v>8204</v>
      </c>
      <c r="I3279">
        <v>3706</v>
      </c>
      <c r="J3279" t="str">
        <f>VLOOKUP(E3279,DSSpieler!A:B,2,FALSE)</f>
        <v>anolisl</v>
      </c>
    </row>
    <row r="3280" spans="1:10" x14ac:dyDescent="0.25">
      <c r="A3280">
        <v>3707</v>
      </c>
      <c r="B3280" t="s">
        <v>31901</v>
      </c>
      <c r="C3280">
        <v>518</v>
      </c>
      <c r="D3280">
        <v>564</v>
      </c>
      <c r="E3280">
        <v>1576778774</v>
      </c>
      <c r="F3280">
        <v>4019</v>
      </c>
      <c r="G3280">
        <v>0</v>
      </c>
      <c r="H3280" t="s">
        <v>8205</v>
      </c>
      <c r="I3280">
        <v>3707</v>
      </c>
      <c r="J3280" t="str">
        <f>VLOOKUP(E3280,DSSpieler!A:B,2,FALSE)</f>
        <v>colix97</v>
      </c>
    </row>
    <row r="3281" spans="1:10" x14ac:dyDescent="0.25">
      <c r="A3281">
        <v>3709</v>
      </c>
      <c r="B3281" t="s">
        <v>1174</v>
      </c>
      <c r="C3281">
        <v>582</v>
      </c>
      <c r="D3281">
        <v>574</v>
      </c>
      <c r="E3281">
        <v>1577033300</v>
      </c>
      <c r="F3281">
        <v>5180</v>
      </c>
      <c r="G3281">
        <v>0</v>
      </c>
      <c r="H3281" t="s">
        <v>8206</v>
      </c>
      <c r="I3281">
        <v>3709</v>
      </c>
      <c r="J3281" t="str">
        <f>VLOOKUP(E3281,DSSpieler!A:B,2,FALSE)</f>
        <v>Umanic</v>
      </c>
    </row>
    <row r="3282" spans="1:10" x14ac:dyDescent="0.25">
      <c r="A3282">
        <v>3710</v>
      </c>
      <c r="B3282" t="s">
        <v>531</v>
      </c>
      <c r="C3282">
        <v>508</v>
      </c>
      <c r="D3282">
        <v>458</v>
      </c>
      <c r="E3282">
        <v>0</v>
      </c>
      <c r="F3282">
        <v>399</v>
      </c>
      <c r="G3282">
        <v>0</v>
      </c>
      <c r="H3282" t="s">
        <v>8207</v>
      </c>
      <c r="I3282">
        <v>3710</v>
      </c>
      <c r="J3282" t="e">
        <f>VLOOKUP(E3282,DSSpieler!A:B,2,FALSE)</f>
        <v>#N/A</v>
      </c>
    </row>
    <row r="3283" spans="1:10" x14ac:dyDescent="0.25">
      <c r="A3283">
        <v>3711</v>
      </c>
      <c r="B3283" t="s">
        <v>531</v>
      </c>
      <c r="C3283">
        <v>531</v>
      </c>
      <c r="D3283">
        <v>464</v>
      </c>
      <c r="E3283">
        <v>0</v>
      </c>
      <c r="F3283">
        <v>216</v>
      </c>
      <c r="G3283">
        <v>0</v>
      </c>
      <c r="H3283" t="s">
        <v>8208</v>
      </c>
      <c r="I3283">
        <v>3711</v>
      </c>
      <c r="J3283" t="e">
        <f>VLOOKUP(E3283,DSSpieler!A:B,2,FALSE)</f>
        <v>#N/A</v>
      </c>
    </row>
    <row r="3284" spans="1:10" x14ac:dyDescent="0.25">
      <c r="A3284">
        <v>3712</v>
      </c>
      <c r="B3284" t="s">
        <v>1175</v>
      </c>
      <c r="C3284">
        <v>507</v>
      </c>
      <c r="D3284">
        <v>548</v>
      </c>
      <c r="E3284">
        <v>1577196396</v>
      </c>
      <c r="F3284">
        <v>7995</v>
      </c>
      <c r="G3284">
        <v>0</v>
      </c>
      <c r="H3284" t="s">
        <v>8209</v>
      </c>
      <c r="I3284">
        <v>3712</v>
      </c>
      <c r="J3284" t="str">
        <f>VLOOKUP(E3284,DSSpieler!A:B,2,FALSE)</f>
        <v>Gilfchecker</v>
      </c>
    </row>
    <row r="3285" spans="1:10" x14ac:dyDescent="0.25">
      <c r="A3285">
        <v>3713</v>
      </c>
      <c r="B3285" t="s">
        <v>531</v>
      </c>
      <c r="C3285">
        <v>506</v>
      </c>
      <c r="D3285">
        <v>580</v>
      </c>
      <c r="E3285">
        <v>0</v>
      </c>
      <c r="F3285">
        <v>415</v>
      </c>
      <c r="G3285">
        <v>0</v>
      </c>
      <c r="H3285" t="s">
        <v>8210</v>
      </c>
      <c r="I3285">
        <v>3713</v>
      </c>
      <c r="J3285" t="e">
        <f>VLOOKUP(E3285,DSSpieler!A:B,2,FALSE)</f>
        <v>#N/A</v>
      </c>
    </row>
    <row r="3286" spans="1:10" x14ac:dyDescent="0.25">
      <c r="A3286">
        <v>3714</v>
      </c>
      <c r="B3286" t="s">
        <v>1176</v>
      </c>
      <c r="C3286">
        <v>553</v>
      </c>
      <c r="D3286">
        <v>516</v>
      </c>
      <c r="E3286">
        <v>1577196776</v>
      </c>
      <c r="F3286">
        <v>6012</v>
      </c>
      <c r="G3286">
        <v>0</v>
      </c>
      <c r="H3286" t="s">
        <v>8211</v>
      </c>
      <c r="I3286">
        <v>3714</v>
      </c>
      <c r="J3286" t="str">
        <f>VLOOKUP(E3286,DSSpieler!A:B,2,FALSE)</f>
        <v>pörtsch</v>
      </c>
    </row>
    <row r="3287" spans="1:10" x14ac:dyDescent="0.25">
      <c r="A3287">
        <v>3715</v>
      </c>
      <c r="B3287" t="s">
        <v>31902</v>
      </c>
      <c r="C3287">
        <v>474</v>
      </c>
      <c r="D3287">
        <v>555</v>
      </c>
      <c r="E3287">
        <v>9026066</v>
      </c>
      <c r="F3287">
        <v>5454</v>
      </c>
      <c r="G3287">
        <v>0</v>
      </c>
      <c r="H3287" t="s">
        <v>8212</v>
      </c>
      <c r="I3287">
        <v>3715</v>
      </c>
      <c r="J3287" t="str">
        <f>VLOOKUP(E3287,DSSpieler!A:B,2,FALSE)</f>
        <v>thehaaacker</v>
      </c>
    </row>
    <row r="3288" spans="1:10" x14ac:dyDescent="0.25">
      <c r="A3288">
        <v>3716</v>
      </c>
      <c r="B3288">
        <v>2</v>
      </c>
      <c r="C3288">
        <v>604</v>
      </c>
      <c r="D3288">
        <v>468</v>
      </c>
      <c r="E3288">
        <v>9195987</v>
      </c>
      <c r="F3288">
        <v>3019</v>
      </c>
      <c r="G3288">
        <v>0</v>
      </c>
      <c r="H3288" t="s">
        <v>8213</v>
      </c>
      <c r="I3288">
        <v>3716</v>
      </c>
      <c r="J3288" t="str">
        <f>VLOOKUP(E3288,DSSpieler!A:B,2,FALSE)</f>
        <v>-Kobr-</v>
      </c>
    </row>
    <row r="3289" spans="1:10" x14ac:dyDescent="0.25">
      <c r="A3289">
        <v>3717</v>
      </c>
      <c r="B3289">
        <v>1</v>
      </c>
      <c r="C3289">
        <v>512</v>
      </c>
      <c r="D3289">
        <v>526</v>
      </c>
      <c r="E3289">
        <v>10153328</v>
      </c>
      <c r="F3289">
        <v>5240</v>
      </c>
      <c r="G3289">
        <v>0</v>
      </c>
      <c r="H3289" t="s">
        <v>8214</v>
      </c>
      <c r="I3289">
        <v>3717</v>
      </c>
      <c r="J3289" t="str">
        <f>VLOOKUP(E3289,DSSpieler!A:B,2,FALSE)</f>
        <v>ChePrinzessin</v>
      </c>
    </row>
    <row r="3290" spans="1:10" x14ac:dyDescent="0.25">
      <c r="A3290">
        <v>3718</v>
      </c>
      <c r="B3290" t="s">
        <v>1177</v>
      </c>
      <c r="C3290">
        <v>435</v>
      </c>
      <c r="D3290">
        <v>461</v>
      </c>
      <c r="E3290">
        <v>1577109132</v>
      </c>
      <c r="F3290">
        <v>1356</v>
      </c>
      <c r="G3290">
        <v>0</v>
      </c>
      <c r="H3290" t="s">
        <v>8215</v>
      </c>
      <c r="I3290">
        <v>3718</v>
      </c>
      <c r="J3290" t="str">
        <f>VLOOKUP(E3290,DSSpieler!A:B,2,FALSE)</f>
        <v>Schmiddi</v>
      </c>
    </row>
    <row r="3291" spans="1:10" x14ac:dyDescent="0.25">
      <c r="A3291">
        <v>3719</v>
      </c>
      <c r="B3291" t="s">
        <v>31817</v>
      </c>
      <c r="C3291">
        <v>422</v>
      </c>
      <c r="D3291">
        <v>508</v>
      </c>
      <c r="E3291">
        <v>8321603</v>
      </c>
      <c r="F3291">
        <v>4962</v>
      </c>
      <c r="G3291">
        <v>0</v>
      </c>
      <c r="H3291" t="s">
        <v>8216</v>
      </c>
      <c r="I3291">
        <v>3719</v>
      </c>
      <c r="J3291">
        <f>VLOOKUP(E3291,DSSpieler!A:B,2,FALSE)</f>
        <v>25262054</v>
      </c>
    </row>
    <row r="3292" spans="1:10" x14ac:dyDescent="0.25">
      <c r="A3292">
        <v>3720</v>
      </c>
      <c r="B3292" t="s">
        <v>1178</v>
      </c>
      <c r="C3292">
        <v>519</v>
      </c>
      <c r="D3292">
        <v>526</v>
      </c>
      <c r="E3292">
        <v>1577138038</v>
      </c>
      <c r="F3292">
        <v>5319</v>
      </c>
      <c r="G3292">
        <v>0</v>
      </c>
      <c r="H3292" t="s">
        <v>8217</v>
      </c>
      <c r="I3292">
        <v>3720</v>
      </c>
      <c r="J3292" t="str">
        <f>VLOOKUP(E3292,DSSpieler!A:B,2,FALSE)</f>
        <v>XxXSquadXxX</v>
      </c>
    </row>
    <row r="3293" spans="1:10" x14ac:dyDescent="0.25">
      <c r="A3293">
        <v>3721</v>
      </c>
      <c r="B3293" t="s">
        <v>531</v>
      </c>
      <c r="C3293">
        <v>569</v>
      </c>
      <c r="D3293">
        <v>529</v>
      </c>
      <c r="E3293">
        <v>0</v>
      </c>
      <c r="F3293">
        <v>183</v>
      </c>
      <c r="G3293">
        <v>0</v>
      </c>
      <c r="H3293" t="s">
        <v>8218</v>
      </c>
      <c r="I3293">
        <v>3721</v>
      </c>
      <c r="J3293" t="e">
        <f>VLOOKUP(E3293,DSSpieler!A:B,2,FALSE)</f>
        <v>#N/A</v>
      </c>
    </row>
    <row r="3294" spans="1:10" x14ac:dyDescent="0.25">
      <c r="A3294">
        <v>3722</v>
      </c>
      <c r="B3294" t="s">
        <v>31903</v>
      </c>
      <c r="C3294">
        <v>420</v>
      </c>
      <c r="D3294">
        <v>459</v>
      </c>
      <c r="E3294">
        <v>1577197745</v>
      </c>
      <c r="F3294">
        <v>7214</v>
      </c>
      <c r="G3294">
        <v>0</v>
      </c>
      <c r="H3294" t="s">
        <v>8219</v>
      </c>
      <c r="I3294">
        <v>3722</v>
      </c>
      <c r="J3294" t="str">
        <f>VLOOKUP(E3294,DSSpieler!A:B,2,FALSE)</f>
        <v>KingCurrywurst</v>
      </c>
    </row>
    <row r="3295" spans="1:10" x14ac:dyDescent="0.25">
      <c r="A3295">
        <v>3725</v>
      </c>
      <c r="B3295" t="s">
        <v>531</v>
      </c>
      <c r="C3295">
        <v>534</v>
      </c>
      <c r="D3295">
        <v>437</v>
      </c>
      <c r="E3295">
        <v>0</v>
      </c>
      <c r="F3295">
        <v>557</v>
      </c>
      <c r="G3295">
        <v>0</v>
      </c>
      <c r="H3295" t="s">
        <v>8220</v>
      </c>
      <c r="I3295">
        <v>3725</v>
      </c>
      <c r="J3295" t="e">
        <f>VLOOKUP(E3295,DSSpieler!A:B,2,FALSE)</f>
        <v>#N/A</v>
      </c>
    </row>
    <row r="3296" spans="1:10" x14ac:dyDescent="0.25">
      <c r="A3296">
        <v>3726</v>
      </c>
      <c r="B3296" t="s">
        <v>531</v>
      </c>
      <c r="C3296">
        <v>548</v>
      </c>
      <c r="D3296">
        <v>533</v>
      </c>
      <c r="E3296">
        <v>0</v>
      </c>
      <c r="F3296">
        <v>191</v>
      </c>
      <c r="G3296">
        <v>0</v>
      </c>
      <c r="H3296" t="s">
        <v>8221</v>
      </c>
      <c r="I3296">
        <v>3726</v>
      </c>
      <c r="J3296" t="e">
        <f>VLOOKUP(E3296,DSSpieler!A:B,2,FALSE)</f>
        <v>#N/A</v>
      </c>
    </row>
    <row r="3297" spans="1:10" x14ac:dyDescent="0.25">
      <c r="A3297">
        <v>3727</v>
      </c>
      <c r="B3297" t="s">
        <v>1179</v>
      </c>
      <c r="C3297">
        <v>415</v>
      </c>
      <c r="D3297">
        <v>570</v>
      </c>
      <c r="E3297">
        <v>1577010474</v>
      </c>
      <c r="F3297">
        <v>3906</v>
      </c>
      <c r="G3297">
        <v>0</v>
      </c>
      <c r="H3297" t="s">
        <v>8222</v>
      </c>
      <c r="I3297">
        <v>3727</v>
      </c>
      <c r="J3297" t="str">
        <f>VLOOKUP(E3297,DSSpieler!A:B,2,FALSE)</f>
        <v>lord andre xxx</v>
      </c>
    </row>
    <row r="3298" spans="1:10" x14ac:dyDescent="0.25">
      <c r="A3298">
        <v>3728</v>
      </c>
      <c r="B3298" t="s">
        <v>531</v>
      </c>
      <c r="C3298">
        <v>457</v>
      </c>
      <c r="D3298">
        <v>556</v>
      </c>
      <c r="E3298">
        <v>0</v>
      </c>
      <c r="F3298">
        <v>213</v>
      </c>
      <c r="G3298">
        <v>0</v>
      </c>
      <c r="H3298" t="s">
        <v>8223</v>
      </c>
      <c r="I3298">
        <v>3728</v>
      </c>
      <c r="J3298" t="e">
        <f>VLOOKUP(E3298,DSSpieler!A:B,2,FALSE)</f>
        <v>#N/A</v>
      </c>
    </row>
    <row r="3299" spans="1:10" x14ac:dyDescent="0.25">
      <c r="A3299">
        <v>3729</v>
      </c>
      <c r="B3299" t="s">
        <v>531</v>
      </c>
      <c r="C3299">
        <v>453</v>
      </c>
      <c r="D3299">
        <v>449</v>
      </c>
      <c r="E3299">
        <v>0</v>
      </c>
      <c r="F3299">
        <v>335</v>
      </c>
      <c r="G3299">
        <v>0</v>
      </c>
      <c r="H3299" t="s">
        <v>8224</v>
      </c>
      <c r="I3299">
        <v>3729</v>
      </c>
      <c r="J3299" t="e">
        <f>VLOOKUP(E3299,DSSpieler!A:B,2,FALSE)</f>
        <v>#N/A</v>
      </c>
    </row>
    <row r="3300" spans="1:10" x14ac:dyDescent="0.25">
      <c r="A3300">
        <v>3730</v>
      </c>
      <c r="B3300" t="s">
        <v>31904</v>
      </c>
      <c r="C3300">
        <v>451</v>
      </c>
      <c r="D3300">
        <v>528</v>
      </c>
      <c r="E3300">
        <v>1577196227</v>
      </c>
      <c r="F3300">
        <v>4601</v>
      </c>
      <c r="G3300">
        <v>0</v>
      </c>
      <c r="H3300" t="s">
        <v>8225</v>
      </c>
      <c r="I3300">
        <v>3730</v>
      </c>
      <c r="J3300" t="str">
        <f>VLOOKUP(E3300,DSSpieler!A:B,2,FALSE)</f>
        <v>EuPhArDi</v>
      </c>
    </row>
    <row r="3301" spans="1:10" x14ac:dyDescent="0.25">
      <c r="A3301">
        <v>3731</v>
      </c>
      <c r="B3301" t="s">
        <v>31905</v>
      </c>
      <c r="C3301">
        <v>549</v>
      </c>
      <c r="D3301">
        <v>529</v>
      </c>
      <c r="E3301">
        <v>1576860989</v>
      </c>
      <c r="F3301">
        <v>466</v>
      </c>
      <c r="G3301">
        <v>0</v>
      </c>
      <c r="H3301" t="s">
        <v>8226</v>
      </c>
      <c r="I3301">
        <v>3731</v>
      </c>
      <c r="J3301" t="str">
        <f>VLOOKUP(E3301,DSSpieler!A:B,2,FALSE)</f>
        <v>NeHechEret</v>
      </c>
    </row>
    <row r="3302" spans="1:10" x14ac:dyDescent="0.25">
      <c r="A3302">
        <v>3732</v>
      </c>
      <c r="B3302" t="s">
        <v>531</v>
      </c>
      <c r="C3302">
        <v>460</v>
      </c>
      <c r="D3302">
        <v>464</v>
      </c>
      <c r="E3302">
        <v>0</v>
      </c>
      <c r="F3302">
        <v>1032</v>
      </c>
      <c r="G3302">
        <v>0</v>
      </c>
      <c r="H3302" t="s">
        <v>8227</v>
      </c>
      <c r="I3302">
        <v>3732</v>
      </c>
      <c r="J3302" t="e">
        <f>VLOOKUP(E3302,DSSpieler!A:B,2,FALSE)</f>
        <v>#N/A</v>
      </c>
    </row>
    <row r="3303" spans="1:10" x14ac:dyDescent="0.25">
      <c r="A3303">
        <v>3733</v>
      </c>
      <c r="B3303" t="s">
        <v>31906</v>
      </c>
      <c r="C3303">
        <v>590</v>
      </c>
      <c r="D3303">
        <v>456</v>
      </c>
      <c r="E3303">
        <v>1577174546</v>
      </c>
      <c r="F3303">
        <v>5212</v>
      </c>
      <c r="G3303">
        <v>0</v>
      </c>
      <c r="H3303" t="s">
        <v>8228</v>
      </c>
      <c r="I3303">
        <v>3733</v>
      </c>
      <c r="J3303" t="str">
        <f>VLOOKUP(E3303,DSSpieler!A:B,2,FALSE)</f>
        <v>olenhio</v>
      </c>
    </row>
    <row r="3304" spans="1:10" x14ac:dyDescent="0.25">
      <c r="A3304">
        <v>3735</v>
      </c>
      <c r="B3304" t="s">
        <v>531</v>
      </c>
      <c r="C3304">
        <v>577</v>
      </c>
      <c r="D3304">
        <v>432</v>
      </c>
      <c r="E3304">
        <v>0</v>
      </c>
      <c r="F3304">
        <v>1083</v>
      </c>
      <c r="G3304">
        <v>0</v>
      </c>
      <c r="H3304" t="s">
        <v>8229</v>
      </c>
      <c r="I3304">
        <v>3735</v>
      </c>
      <c r="J3304" t="e">
        <f>VLOOKUP(E3304,DSSpieler!A:B,2,FALSE)</f>
        <v>#N/A</v>
      </c>
    </row>
    <row r="3305" spans="1:10" x14ac:dyDescent="0.25">
      <c r="A3305">
        <v>3736</v>
      </c>
      <c r="B3305" t="s">
        <v>531</v>
      </c>
      <c r="C3305">
        <v>519</v>
      </c>
      <c r="D3305">
        <v>443</v>
      </c>
      <c r="E3305">
        <v>0</v>
      </c>
      <c r="F3305">
        <v>437</v>
      </c>
      <c r="G3305">
        <v>0</v>
      </c>
      <c r="H3305" t="s">
        <v>8230</v>
      </c>
      <c r="I3305">
        <v>3736</v>
      </c>
      <c r="J3305" t="e">
        <f>VLOOKUP(E3305,DSSpieler!A:B,2,FALSE)</f>
        <v>#N/A</v>
      </c>
    </row>
    <row r="3306" spans="1:10" x14ac:dyDescent="0.25">
      <c r="A3306">
        <v>3737</v>
      </c>
      <c r="B3306" t="s">
        <v>978</v>
      </c>
      <c r="C3306">
        <v>558</v>
      </c>
      <c r="D3306">
        <v>493</v>
      </c>
      <c r="E3306">
        <v>1731030</v>
      </c>
      <c r="F3306">
        <v>6219</v>
      </c>
      <c r="G3306">
        <v>0</v>
      </c>
      <c r="H3306" t="s">
        <v>8231</v>
      </c>
      <c r="I3306">
        <v>3737</v>
      </c>
      <c r="J3306" t="str">
        <f>VLOOKUP(E3306,DSSpieler!A:B,2,FALSE)</f>
        <v>Keltigun</v>
      </c>
    </row>
    <row r="3307" spans="1:10" x14ac:dyDescent="0.25">
      <c r="A3307">
        <v>3738</v>
      </c>
      <c r="B3307" t="s">
        <v>531</v>
      </c>
      <c r="C3307">
        <v>405</v>
      </c>
      <c r="D3307">
        <v>523</v>
      </c>
      <c r="E3307">
        <v>0</v>
      </c>
      <c r="F3307">
        <v>1105</v>
      </c>
      <c r="G3307">
        <v>0</v>
      </c>
      <c r="H3307" t="s">
        <v>8232</v>
      </c>
      <c r="I3307">
        <v>3738</v>
      </c>
      <c r="J3307" t="e">
        <f>VLOOKUP(E3307,DSSpieler!A:B,2,FALSE)</f>
        <v>#N/A</v>
      </c>
    </row>
    <row r="3308" spans="1:10" x14ac:dyDescent="0.25">
      <c r="A3308">
        <v>3739</v>
      </c>
      <c r="B3308" t="e">
        <f>-5-+Inkassoabteilung</f>
        <v>#NAME?</v>
      </c>
      <c r="C3308">
        <v>544</v>
      </c>
      <c r="D3308">
        <v>559</v>
      </c>
      <c r="E3308">
        <v>1577197889</v>
      </c>
      <c r="F3308">
        <v>4173</v>
      </c>
      <c r="G3308">
        <v>0</v>
      </c>
      <c r="H3308" t="s">
        <v>8233</v>
      </c>
      <c r="I3308">
        <v>3739</v>
      </c>
      <c r="J3308" t="str">
        <f>VLOOKUP(E3308,DSSpieler!A:B,2,FALSE)</f>
        <v>Cedii92</v>
      </c>
    </row>
    <row r="3309" spans="1:10" x14ac:dyDescent="0.25">
      <c r="A3309">
        <v>3740</v>
      </c>
      <c r="B3309" t="s">
        <v>531</v>
      </c>
      <c r="C3309">
        <v>546</v>
      </c>
      <c r="D3309">
        <v>445</v>
      </c>
      <c r="E3309">
        <v>0</v>
      </c>
      <c r="F3309">
        <v>388</v>
      </c>
      <c r="G3309">
        <v>0</v>
      </c>
      <c r="H3309" t="s">
        <v>8234</v>
      </c>
      <c r="I3309">
        <v>3740</v>
      </c>
      <c r="J3309" t="e">
        <f>VLOOKUP(E3309,DSSpieler!A:B,2,FALSE)</f>
        <v>#N/A</v>
      </c>
    </row>
    <row r="3310" spans="1:10" x14ac:dyDescent="0.25">
      <c r="A3310">
        <v>3741</v>
      </c>
      <c r="B3310" t="s">
        <v>531</v>
      </c>
      <c r="C3310">
        <v>441</v>
      </c>
      <c r="D3310">
        <v>502</v>
      </c>
      <c r="E3310">
        <v>0</v>
      </c>
      <c r="F3310">
        <v>238</v>
      </c>
      <c r="G3310">
        <v>0</v>
      </c>
      <c r="H3310" t="s">
        <v>8235</v>
      </c>
      <c r="I3310">
        <v>3741</v>
      </c>
      <c r="J3310" t="e">
        <f>VLOOKUP(E3310,DSSpieler!A:B,2,FALSE)</f>
        <v>#N/A</v>
      </c>
    </row>
    <row r="3311" spans="1:10" x14ac:dyDescent="0.25">
      <c r="A3311">
        <v>3742</v>
      </c>
      <c r="B3311" t="s">
        <v>31907</v>
      </c>
      <c r="C3311">
        <v>490</v>
      </c>
      <c r="D3311">
        <v>599</v>
      </c>
      <c r="E3311">
        <v>1941935</v>
      </c>
      <c r="F3311">
        <v>4660</v>
      </c>
      <c r="G3311">
        <v>0</v>
      </c>
      <c r="H3311" t="s">
        <v>8236</v>
      </c>
      <c r="I3311">
        <v>3742</v>
      </c>
      <c r="J3311" t="str">
        <f>VLOOKUP(E3311,DSSpieler!A:B,2,FALSE)</f>
        <v>King Mater</v>
      </c>
    </row>
    <row r="3312" spans="1:10" x14ac:dyDescent="0.25">
      <c r="A3312">
        <v>3743</v>
      </c>
      <c r="B3312" t="s">
        <v>31908</v>
      </c>
      <c r="C3312">
        <v>576</v>
      </c>
      <c r="D3312">
        <v>567</v>
      </c>
      <c r="E3312">
        <v>7731195</v>
      </c>
      <c r="F3312">
        <v>279</v>
      </c>
      <c r="G3312">
        <v>0</v>
      </c>
      <c r="H3312" t="s">
        <v>8237</v>
      </c>
      <c r="I3312">
        <v>3743</v>
      </c>
      <c r="J3312" t="str">
        <f>VLOOKUP(E3312,DSSpieler!A:B,2,FALSE)</f>
        <v>Brennzelle</v>
      </c>
    </row>
    <row r="3313" spans="1:10" x14ac:dyDescent="0.25">
      <c r="A3313">
        <v>3744</v>
      </c>
      <c r="B3313" t="s">
        <v>531</v>
      </c>
      <c r="C3313">
        <v>553</v>
      </c>
      <c r="D3313">
        <v>534</v>
      </c>
      <c r="E3313">
        <v>0</v>
      </c>
      <c r="F3313">
        <v>683</v>
      </c>
      <c r="G3313">
        <v>0</v>
      </c>
      <c r="H3313" t="s">
        <v>8238</v>
      </c>
      <c r="I3313">
        <v>3744</v>
      </c>
      <c r="J3313" t="e">
        <f>VLOOKUP(E3313,DSSpieler!A:B,2,FALSE)</f>
        <v>#N/A</v>
      </c>
    </row>
    <row r="3314" spans="1:10" x14ac:dyDescent="0.25">
      <c r="A3314">
        <v>3745</v>
      </c>
      <c r="B3314" t="s">
        <v>31909</v>
      </c>
      <c r="C3314">
        <v>581</v>
      </c>
      <c r="D3314">
        <v>572</v>
      </c>
      <c r="E3314">
        <v>1577143632</v>
      </c>
      <c r="F3314">
        <v>5846</v>
      </c>
      <c r="G3314">
        <v>0</v>
      </c>
      <c r="H3314" t="s">
        <v>8239</v>
      </c>
      <c r="I3314">
        <v>3745</v>
      </c>
      <c r="J3314" t="str">
        <f>VLOOKUP(E3314,DSSpieler!A:B,2,FALSE)</f>
        <v>Bl00Dy</v>
      </c>
    </row>
    <row r="3315" spans="1:10" x14ac:dyDescent="0.25">
      <c r="A3315">
        <v>3746</v>
      </c>
      <c r="B3315" t="s">
        <v>1180</v>
      </c>
      <c r="C3315">
        <v>530</v>
      </c>
      <c r="D3315">
        <v>429</v>
      </c>
      <c r="E3315">
        <v>3143028</v>
      </c>
      <c r="F3315">
        <v>6961</v>
      </c>
      <c r="G3315">
        <v>0</v>
      </c>
      <c r="H3315" t="s">
        <v>8240</v>
      </c>
      <c r="I3315">
        <v>3746</v>
      </c>
      <c r="J3315" t="str">
        <f>VLOOKUP(E3315,DSSpieler!A:B,2,FALSE)</f>
        <v>Tom Traitor</v>
      </c>
    </row>
    <row r="3316" spans="1:10" x14ac:dyDescent="0.25">
      <c r="A3316">
        <v>3747</v>
      </c>
      <c r="B3316" t="s">
        <v>31910</v>
      </c>
      <c r="C3316">
        <v>459</v>
      </c>
      <c r="D3316">
        <v>604</v>
      </c>
      <c r="E3316">
        <v>1577197712</v>
      </c>
      <c r="F3316">
        <v>6437</v>
      </c>
      <c r="G3316">
        <v>0</v>
      </c>
      <c r="H3316" t="s">
        <v>8241</v>
      </c>
      <c r="I3316">
        <v>3747</v>
      </c>
      <c r="J3316" t="str">
        <f>VLOOKUP(E3316,DSSpieler!A:B,2,FALSE)</f>
        <v>Revenge is sweet</v>
      </c>
    </row>
    <row r="3317" spans="1:10" x14ac:dyDescent="0.25">
      <c r="A3317">
        <v>3748</v>
      </c>
      <c r="B3317" t="s">
        <v>531</v>
      </c>
      <c r="C3317">
        <v>569</v>
      </c>
      <c r="D3317">
        <v>485</v>
      </c>
      <c r="E3317">
        <v>0</v>
      </c>
      <c r="F3317">
        <v>387</v>
      </c>
      <c r="G3317">
        <v>0</v>
      </c>
      <c r="H3317" t="s">
        <v>8242</v>
      </c>
      <c r="I3317">
        <v>3748</v>
      </c>
      <c r="J3317" t="e">
        <f>VLOOKUP(E3317,DSSpieler!A:B,2,FALSE)</f>
        <v>#N/A</v>
      </c>
    </row>
    <row r="3318" spans="1:10" x14ac:dyDescent="0.25">
      <c r="A3318">
        <v>3749</v>
      </c>
      <c r="B3318" t="s">
        <v>31911</v>
      </c>
      <c r="C3318">
        <v>425</v>
      </c>
      <c r="D3318">
        <v>580</v>
      </c>
      <c r="E3318">
        <v>1576260161</v>
      </c>
      <c r="F3318">
        <v>6774</v>
      </c>
      <c r="G3318">
        <v>0</v>
      </c>
      <c r="H3318" t="s">
        <v>8243</v>
      </c>
      <c r="I3318">
        <v>3749</v>
      </c>
      <c r="J3318" t="str">
        <f>VLOOKUP(E3318,DSSpieler!A:B,2,FALSE)</f>
        <v>Nar Garzhvog</v>
      </c>
    </row>
    <row r="3319" spans="1:10" x14ac:dyDescent="0.25">
      <c r="A3319">
        <v>3750</v>
      </c>
      <c r="B3319" t="s">
        <v>31619</v>
      </c>
      <c r="C3319">
        <v>529</v>
      </c>
      <c r="D3319">
        <v>427</v>
      </c>
      <c r="E3319">
        <v>1577197561</v>
      </c>
      <c r="F3319">
        <v>5457</v>
      </c>
      <c r="G3319">
        <v>0</v>
      </c>
      <c r="H3319" t="s">
        <v>8244</v>
      </c>
      <c r="I3319">
        <v>3750</v>
      </c>
      <c r="J3319" t="str">
        <f>VLOOKUP(E3319,DSSpieler!A:B,2,FALSE)</f>
        <v>Tim Traitor</v>
      </c>
    </row>
    <row r="3320" spans="1:10" x14ac:dyDescent="0.25">
      <c r="A3320">
        <v>3751</v>
      </c>
      <c r="B3320" t="s">
        <v>31912</v>
      </c>
      <c r="C3320">
        <v>539</v>
      </c>
      <c r="D3320">
        <v>493</v>
      </c>
      <c r="E3320">
        <v>1577167569</v>
      </c>
      <c r="F3320">
        <v>3146</v>
      </c>
      <c r="G3320">
        <v>0</v>
      </c>
      <c r="H3320" t="s">
        <v>8245</v>
      </c>
      <c r="I3320">
        <v>3751</v>
      </c>
      <c r="J3320" t="str">
        <f>VLOOKUP(E3320,DSSpieler!A:B,2,FALSE)</f>
        <v>Rave2DaGrave</v>
      </c>
    </row>
    <row r="3321" spans="1:10" x14ac:dyDescent="0.25">
      <c r="A3321">
        <v>3752</v>
      </c>
      <c r="B3321" t="s">
        <v>31913</v>
      </c>
      <c r="C3321">
        <v>434</v>
      </c>
      <c r="D3321">
        <v>423</v>
      </c>
      <c r="E3321">
        <v>1791682</v>
      </c>
      <c r="F3321">
        <v>5335</v>
      </c>
      <c r="G3321">
        <v>0</v>
      </c>
      <c r="H3321" t="s">
        <v>8246</v>
      </c>
      <c r="I3321">
        <v>3752</v>
      </c>
      <c r="J3321" t="str">
        <f>VLOOKUP(E3321,DSSpieler!A:B,2,FALSE)</f>
        <v>Eto1</v>
      </c>
    </row>
    <row r="3322" spans="1:10" x14ac:dyDescent="0.25">
      <c r="A3322">
        <v>3753</v>
      </c>
      <c r="B3322" t="s">
        <v>1085</v>
      </c>
      <c r="C3322">
        <v>483</v>
      </c>
      <c r="D3322">
        <v>537</v>
      </c>
      <c r="E3322">
        <v>1576285716</v>
      </c>
      <c r="F3322">
        <v>2585</v>
      </c>
      <c r="G3322">
        <v>0</v>
      </c>
      <c r="H3322" t="s">
        <v>8247</v>
      </c>
      <c r="I3322">
        <v>3753</v>
      </c>
      <c r="J3322" t="str">
        <f>VLOOKUP(E3322,DSSpieler!A:B,2,FALSE)</f>
        <v>hammuul</v>
      </c>
    </row>
    <row r="3323" spans="1:10" x14ac:dyDescent="0.25">
      <c r="A3323">
        <v>3754</v>
      </c>
      <c r="B3323" t="s">
        <v>531</v>
      </c>
      <c r="C3323">
        <v>420</v>
      </c>
      <c r="D3323">
        <v>497</v>
      </c>
      <c r="E3323">
        <v>0</v>
      </c>
      <c r="F3323">
        <v>272</v>
      </c>
      <c r="G3323">
        <v>0</v>
      </c>
      <c r="H3323" t="s">
        <v>8248</v>
      </c>
      <c r="I3323">
        <v>3754</v>
      </c>
      <c r="J3323" t="e">
        <f>VLOOKUP(E3323,DSSpieler!A:B,2,FALSE)</f>
        <v>#N/A</v>
      </c>
    </row>
    <row r="3324" spans="1:10" x14ac:dyDescent="0.25">
      <c r="A3324">
        <v>3755</v>
      </c>
      <c r="B3324" t="s">
        <v>31914</v>
      </c>
      <c r="C3324">
        <v>457</v>
      </c>
      <c r="D3324">
        <v>542</v>
      </c>
      <c r="E3324">
        <v>8942925</v>
      </c>
      <c r="F3324">
        <v>5003</v>
      </c>
      <c r="G3324">
        <v>0</v>
      </c>
      <c r="H3324" t="s">
        <v>8249</v>
      </c>
      <c r="I3324">
        <v>3755</v>
      </c>
      <c r="J3324" t="str">
        <f>VLOOKUP(E3324,DSSpieler!A:B,2,FALSE)</f>
        <v>Amaterzu</v>
      </c>
    </row>
    <row r="3325" spans="1:10" x14ac:dyDescent="0.25">
      <c r="A3325">
        <v>3756</v>
      </c>
      <c r="B3325" t="s">
        <v>31915</v>
      </c>
      <c r="C3325">
        <v>565</v>
      </c>
      <c r="D3325">
        <v>408</v>
      </c>
      <c r="E3325">
        <v>1576499941</v>
      </c>
      <c r="F3325">
        <v>5679</v>
      </c>
      <c r="G3325">
        <v>0</v>
      </c>
      <c r="H3325" t="s">
        <v>8250</v>
      </c>
      <c r="I3325">
        <v>3756</v>
      </c>
      <c r="J3325" t="str">
        <f>VLOOKUP(E3325,DSSpieler!A:B,2,FALSE)</f>
        <v>KaliTan</v>
      </c>
    </row>
    <row r="3326" spans="1:10" x14ac:dyDescent="0.25">
      <c r="A3326">
        <v>3757</v>
      </c>
      <c r="B3326" t="s">
        <v>31387</v>
      </c>
      <c r="C3326">
        <v>579</v>
      </c>
      <c r="D3326">
        <v>561</v>
      </c>
      <c r="E3326">
        <v>10154907</v>
      </c>
      <c r="F3326">
        <v>5147</v>
      </c>
      <c r="G3326">
        <v>0</v>
      </c>
      <c r="H3326" t="s">
        <v>8251</v>
      </c>
      <c r="I3326">
        <v>3757</v>
      </c>
      <c r="J3326" t="str">
        <f>VLOOKUP(E3326,DSSpieler!A:B,2,FALSE)</f>
        <v>tronten</v>
      </c>
    </row>
    <row r="3327" spans="1:10" x14ac:dyDescent="0.25">
      <c r="A3327">
        <v>3759</v>
      </c>
      <c r="B3327" t="s">
        <v>546</v>
      </c>
      <c r="C3327">
        <v>491</v>
      </c>
      <c r="D3327">
        <v>463</v>
      </c>
      <c r="E3327">
        <v>1576652175</v>
      </c>
      <c r="F3327">
        <v>5804</v>
      </c>
      <c r="G3327">
        <v>0</v>
      </c>
      <c r="H3327" t="s">
        <v>8252</v>
      </c>
      <c r="I3327">
        <v>3759</v>
      </c>
      <c r="J3327" t="str">
        <f>VLOOKUP(E3327,DSSpieler!A:B,2,FALSE)</f>
        <v>zaun04</v>
      </c>
    </row>
    <row r="3328" spans="1:10" x14ac:dyDescent="0.25">
      <c r="A3328">
        <v>3760</v>
      </c>
      <c r="B3328" t="s">
        <v>31916</v>
      </c>
      <c r="C3328">
        <v>529</v>
      </c>
      <c r="D3328">
        <v>581</v>
      </c>
      <c r="E3328">
        <v>1577163324</v>
      </c>
      <c r="F3328">
        <v>6388</v>
      </c>
      <c r="G3328">
        <v>0</v>
      </c>
      <c r="H3328" t="s">
        <v>8253</v>
      </c>
      <c r="I3328">
        <v>3760</v>
      </c>
      <c r="J3328" t="str">
        <f>VLOOKUP(E3328,DSSpieler!A:B,2,FALSE)</f>
        <v>König Remiee</v>
      </c>
    </row>
    <row r="3329" spans="1:10" x14ac:dyDescent="0.25">
      <c r="A3329">
        <v>3761</v>
      </c>
      <c r="B3329" t="s">
        <v>1181</v>
      </c>
      <c r="C3329">
        <v>521</v>
      </c>
      <c r="D3329">
        <v>546</v>
      </c>
      <c r="E3329">
        <v>1577199672</v>
      </c>
      <c r="F3329">
        <v>3541</v>
      </c>
      <c r="G3329">
        <v>0</v>
      </c>
      <c r="H3329" t="s">
        <v>8254</v>
      </c>
      <c r="I3329">
        <v>3761</v>
      </c>
      <c r="J3329" t="str">
        <f>VLOOKUP(E3329,DSSpieler!A:B,2,FALSE)</f>
        <v>Urbanizer1412</v>
      </c>
    </row>
    <row r="3330" spans="1:10" x14ac:dyDescent="0.25">
      <c r="A3330">
        <v>3762</v>
      </c>
      <c r="B3330" t="s">
        <v>31917</v>
      </c>
      <c r="C3330">
        <v>561</v>
      </c>
      <c r="D3330">
        <v>460</v>
      </c>
      <c r="E3330">
        <v>1576629032</v>
      </c>
      <c r="F3330">
        <v>2303</v>
      </c>
      <c r="G3330">
        <v>0</v>
      </c>
      <c r="H3330" t="s">
        <v>8255</v>
      </c>
      <c r="I3330">
        <v>3762</v>
      </c>
      <c r="J3330" t="str">
        <f>VLOOKUP(E3330,DSSpieler!A:B,2,FALSE)</f>
        <v>Der W0lf</v>
      </c>
    </row>
    <row r="3331" spans="1:10" x14ac:dyDescent="0.25">
      <c r="A3331">
        <v>3764</v>
      </c>
      <c r="B3331" t="s">
        <v>531</v>
      </c>
      <c r="C3331">
        <v>450</v>
      </c>
      <c r="D3331">
        <v>523</v>
      </c>
      <c r="E3331">
        <v>0</v>
      </c>
      <c r="F3331">
        <v>725</v>
      </c>
      <c r="G3331">
        <v>0</v>
      </c>
      <c r="H3331" t="s">
        <v>8256</v>
      </c>
      <c r="I3331">
        <v>3764</v>
      </c>
      <c r="J3331" t="e">
        <f>VLOOKUP(E3331,DSSpieler!A:B,2,FALSE)</f>
        <v>#N/A</v>
      </c>
    </row>
    <row r="3332" spans="1:10" x14ac:dyDescent="0.25">
      <c r="A3332">
        <v>3766</v>
      </c>
      <c r="B3332" t="s">
        <v>546</v>
      </c>
      <c r="C3332">
        <v>499</v>
      </c>
      <c r="D3332">
        <v>473</v>
      </c>
      <c r="E3332">
        <v>1577181918</v>
      </c>
      <c r="F3332">
        <v>6447</v>
      </c>
      <c r="G3332">
        <v>0</v>
      </c>
      <c r="H3332" t="s">
        <v>8257</v>
      </c>
      <c r="I3332">
        <v>3766</v>
      </c>
      <c r="J3332" t="str">
        <f>VLOOKUP(E3332,DSSpieler!A:B,2,FALSE)</f>
        <v>haddsn</v>
      </c>
    </row>
    <row r="3333" spans="1:10" x14ac:dyDescent="0.25">
      <c r="A3333">
        <v>3769</v>
      </c>
      <c r="B3333" t="s">
        <v>1182</v>
      </c>
      <c r="C3333">
        <v>606</v>
      </c>
      <c r="D3333">
        <v>470</v>
      </c>
      <c r="E3333">
        <v>1998195</v>
      </c>
      <c r="F3333">
        <v>3967</v>
      </c>
      <c r="G3333">
        <v>0</v>
      </c>
      <c r="H3333" t="s">
        <v>8258</v>
      </c>
      <c r="I3333">
        <v>3769</v>
      </c>
      <c r="J3333" t="str">
        <f>VLOOKUP(E3333,DSSpieler!A:B,2,FALSE)</f>
        <v>Neron D Arc</v>
      </c>
    </row>
    <row r="3334" spans="1:10" x14ac:dyDescent="0.25">
      <c r="A3334">
        <v>3770</v>
      </c>
      <c r="B3334" t="s">
        <v>31918</v>
      </c>
      <c r="C3334">
        <v>515</v>
      </c>
      <c r="D3334">
        <v>465</v>
      </c>
      <c r="E3334">
        <v>1577047378</v>
      </c>
      <c r="F3334">
        <v>5569</v>
      </c>
      <c r="G3334">
        <v>0</v>
      </c>
      <c r="H3334" t="s">
        <v>8259</v>
      </c>
      <c r="I3334">
        <v>3770</v>
      </c>
      <c r="J3334" t="str">
        <f>VLOOKUP(E3334,DSSpieler!A:B,2,FALSE)</f>
        <v>jones24</v>
      </c>
    </row>
    <row r="3335" spans="1:10" x14ac:dyDescent="0.25">
      <c r="A3335">
        <v>3771</v>
      </c>
      <c r="B3335" t="s">
        <v>531</v>
      </c>
      <c r="C3335">
        <v>450</v>
      </c>
      <c r="D3335">
        <v>475</v>
      </c>
      <c r="E3335">
        <v>0</v>
      </c>
      <c r="F3335">
        <v>234</v>
      </c>
      <c r="G3335">
        <v>0</v>
      </c>
      <c r="H3335" t="s">
        <v>8260</v>
      </c>
      <c r="I3335">
        <v>3771</v>
      </c>
      <c r="J3335" t="e">
        <f>VLOOKUP(E3335,DSSpieler!A:B,2,FALSE)</f>
        <v>#N/A</v>
      </c>
    </row>
    <row r="3336" spans="1:10" x14ac:dyDescent="0.25">
      <c r="A3336">
        <v>3773</v>
      </c>
      <c r="B3336" t="s">
        <v>31919</v>
      </c>
      <c r="C3336">
        <v>517</v>
      </c>
      <c r="D3336">
        <v>560</v>
      </c>
      <c r="E3336">
        <v>1576778774</v>
      </c>
      <c r="F3336">
        <v>5846</v>
      </c>
      <c r="G3336">
        <v>0</v>
      </c>
      <c r="H3336" t="s">
        <v>8261</v>
      </c>
      <c r="I3336">
        <v>3773</v>
      </c>
      <c r="J3336" t="str">
        <f>VLOOKUP(E3336,DSSpieler!A:B,2,FALSE)</f>
        <v>colix97</v>
      </c>
    </row>
    <row r="3337" spans="1:10" x14ac:dyDescent="0.25">
      <c r="A3337">
        <v>3774</v>
      </c>
      <c r="B3337" t="s">
        <v>31920</v>
      </c>
      <c r="C3337">
        <v>471</v>
      </c>
      <c r="D3337">
        <v>500</v>
      </c>
      <c r="E3337">
        <v>1576722406</v>
      </c>
      <c r="F3337">
        <v>581</v>
      </c>
      <c r="G3337">
        <v>0</v>
      </c>
      <c r="H3337" t="s">
        <v>8262</v>
      </c>
      <c r="I3337">
        <v>3774</v>
      </c>
      <c r="J3337" t="str">
        <f>VLOOKUP(E3337,DSSpieler!A:B,2,FALSE)</f>
        <v>Kuddel1953</v>
      </c>
    </row>
    <row r="3338" spans="1:10" x14ac:dyDescent="0.25">
      <c r="A3338">
        <v>3775</v>
      </c>
      <c r="B3338" t="s">
        <v>31921</v>
      </c>
      <c r="C3338">
        <v>553</v>
      </c>
      <c r="D3338">
        <v>568</v>
      </c>
      <c r="E3338">
        <v>1577102404</v>
      </c>
      <c r="F3338">
        <v>6065</v>
      </c>
      <c r="G3338">
        <v>0</v>
      </c>
      <c r="H3338" t="s">
        <v>8263</v>
      </c>
      <c r="I3338">
        <v>3775</v>
      </c>
      <c r="J3338" t="str">
        <f>VLOOKUP(E3338,DSSpieler!A:B,2,FALSE)</f>
        <v>Urangutan</v>
      </c>
    </row>
    <row r="3339" spans="1:10" x14ac:dyDescent="0.25">
      <c r="A3339">
        <v>3776</v>
      </c>
      <c r="B3339" t="s">
        <v>31922</v>
      </c>
      <c r="C3339">
        <v>460</v>
      </c>
      <c r="D3339">
        <v>405</v>
      </c>
      <c r="E3339">
        <v>8309212</v>
      </c>
      <c r="F3339">
        <v>6766</v>
      </c>
      <c r="G3339">
        <v>0</v>
      </c>
      <c r="H3339" t="s">
        <v>8264</v>
      </c>
      <c r="I3339">
        <v>3776</v>
      </c>
      <c r="J3339" t="str">
        <f>VLOOKUP(E3339,DSSpieler!A:B,2,FALSE)</f>
        <v>kiing-kasthe</v>
      </c>
    </row>
    <row r="3340" spans="1:10" x14ac:dyDescent="0.25">
      <c r="A3340">
        <v>3777</v>
      </c>
      <c r="B3340" t="s">
        <v>531</v>
      </c>
      <c r="C3340">
        <v>514</v>
      </c>
      <c r="D3340">
        <v>430</v>
      </c>
      <c r="E3340">
        <v>0</v>
      </c>
      <c r="F3340">
        <v>428</v>
      </c>
      <c r="G3340">
        <v>0</v>
      </c>
      <c r="H3340" t="s">
        <v>8265</v>
      </c>
      <c r="I3340">
        <v>3777</v>
      </c>
      <c r="J3340" t="e">
        <f>VLOOKUP(E3340,DSSpieler!A:B,2,FALSE)</f>
        <v>#N/A</v>
      </c>
    </row>
    <row r="3341" spans="1:10" x14ac:dyDescent="0.25">
      <c r="A3341">
        <v>3778</v>
      </c>
      <c r="B3341" t="s">
        <v>31923</v>
      </c>
      <c r="C3341">
        <v>522</v>
      </c>
      <c r="D3341">
        <v>490</v>
      </c>
      <c r="E3341">
        <v>2651379</v>
      </c>
      <c r="F3341">
        <v>336</v>
      </c>
      <c r="G3341">
        <v>0</v>
      </c>
      <c r="H3341" t="s">
        <v>8266</v>
      </c>
      <c r="I3341">
        <v>3778</v>
      </c>
      <c r="J3341" t="str">
        <f>VLOOKUP(E3341,DSSpieler!A:B,2,FALSE)</f>
        <v>Gernschi</v>
      </c>
    </row>
    <row r="3342" spans="1:10" x14ac:dyDescent="0.25">
      <c r="A3342">
        <v>3779</v>
      </c>
      <c r="B3342" t="s">
        <v>687</v>
      </c>
      <c r="C3342">
        <v>458</v>
      </c>
      <c r="D3342">
        <v>434</v>
      </c>
      <c r="E3342">
        <v>1577186381</v>
      </c>
      <c r="F3342">
        <v>5719</v>
      </c>
      <c r="G3342">
        <v>0</v>
      </c>
      <c r="H3342" t="s">
        <v>8267</v>
      </c>
      <c r="I3342">
        <v>3779</v>
      </c>
      <c r="J3342" t="str">
        <f>VLOOKUP(E3342,DSSpieler!A:B,2,FALSE)</f>
        <v>Duby73</v>
      </c>
    </row>
    <row r="3343" spans="1:10" x14ac:dyDescent="0.25">
      <c r="A3343">
        <v>3780</v>
      </c>
      <c r="B3343" t="s">
        <v>1183</v>
      </c>
      <c r="C3343">
        <v>569</v>
      </c>
      <c r="D3343">
        <v>467</v>
      </c>
      <c r="E3343">
        <v>1577197682</v>
      </c>
      <c r="F3343">
        <v>4936</v>
      </c>
      <c r="G3343">
        <v>0</v>
      </c>
      <c r="H3343" t="s">
        <v>8268</v>
      </c>
      <c r="I3343">
        <v>3780</v>
      </c>
      <c r="J3343" t="str">
        <f>VLOOKUP(E3343,DSSpieler!A:B,2,FALSE)</f>
        <v>Kelar</v>
      </c>
    </row>
    <row r="3344" spans="1:10" x14ac:dyDescent="0.25">
      <c r="A3344">
        <v>3781</v>
      </c>
      <c r="B3344" t="s">
        <v>31924</v>
      </c>
      <c r="C3344">
        <v>601</v>
      </c>
      <c r="D3344">
        <v>469</v>
      </c>
      <c r="E3344">
        <v>1577175387</v>
      </c>
      <c r="F3344">
        <v>5370</v>
      </c>
      <c r="G3344">
        <v>0</v>
      </c>
      <c r="H3344" t="s">
        <v>8269</v>
      </c>
      <c r="I3344">
        <v>3781</v>
      </c>
      <c r="J3344" t="str">
        <f>VLOOKUP(E3344,DSSpieler!A:B,2,FALSE)</f>
        <v>Rand*</v>
      </c>
    </row>
    <row r="3345" spans="1:10" x14ac:dyDescent="0.25">
      <c r="A3345">
        <v>3782</v>
      </c>
      <c r="B3345" t="s">
        <v>531</v>
      </c>
      <c r="C3345">
        <v>466</v>
      </c>
      <c r="D3345">
        <v>569</v>
      </c>
      <c r="E3345">
        <v>0</v>
      </c>
      <c r="F3345">
        <v>828</v>
      </c>
      <c r="G3345">
        <v>0</v>
      </c>
      <c r="H3345" t="s">
        <v>8270</v>
      </c>
      <c r="I3345">
        <v>3782</v>
      </c>
      <c r="J3345" t="e">
        <f>VLOOKUP(E3345,DSSpieler!A:B,2,FALSE)</f>
        <v>#N/A</v>
      </c>
    </row>
    <row r="3346" spans="1:10" x14ac:dyDescent="0.25">
      <c r="A3346">
        <v>3783</v>
      </c>
      <c r="B3346" t="s">
        <v>660</v>
      </c>
      <c r="C3346">
        <v>597</v>
      </c>
      <c r="D3346">
        <v>455</v>
      </c>
      <c r="E3346">
        <v>1577064793</v>
      </c>
      <c r="F3346">
        <v>4943</v>
      </c>
      <c r="G3346">
        <v>0</v>
      </c>
      <c r="H3346" t="s">
        <v>8271</v>
      </c>
      <c r="I3346">
        <v>3783</v>
      </c>
      <c r="J3346" t="str">
        <f>VLOOKUP(E3346,DSSpieler!A:B,2,FALSE)</f>
        <v>Thekingisback93</v>
      </c>
    </row>
    <row r="3347" spans="1:10" x14ac:dyDescent="0.25">
      <c r="A3347">
        <v>3784</v>
      </c>
      <c r="B3347" t="s">
        <v>546</v>
      </c>
      <c r="C3347">
        <v>494</v>
      </c>
      <c r="D3347">
        <v>457</v>
      </c>
      <c r="E3347">
        <v>1577197355</v>
      </c>
      <c r="F3347">
        <v>1879</v>
      </c>
      <c r="G3347">
        <v>0</v>
      </c>
      <c r="H3347" t="s">
        <v>8272</v>
      </c>
      <c r="I3347">
        <v>3784</v>
      </c>
      <c r="J3347" t="str">
        <f>VLOOKUP(E3347,DSSpieler!A:B,2,FALSE)</f>
        <v>Oachkazlschwoaf</v>
      </c>
    </row>
    <row r="3348" spans="1:10" x14ac:dyDescent="0.25">
      <c r="A3348">
        <v>3785</v>
      </c>
      <c r="B3348" t="s">
        <v>531</v>
      </c>
      <c r="C3348">
        <v>449</v>
      </c>
      <c r="D3348">
        <v>444</v>
      </c>
      <c r="E3348">
        <v>0</v>
      </c>
      <c r="F3348">
        <v>187</v>
      </c>
      <c r="G3348">
        <v>0</v>
      </c>
      <c r="H3348" t="s">
        <v>8273</v>
      </c>
      <c r="I3348">
        <v>3785</v>
      </c>
      <c r="J3348" t="e">
        <f>VLOOKUP(E3348,DSSpieler!A:B,2,FALSE)</f>
        <v>#N/A</v>
      </c>
    </row>
    <row r="3349" spans="1:10" x14ac:dyDescent="0.25">
      <c r="A3349">
        <v>3786</v>
      </c>
      <c r="B3349" t="s">
        <v>531</v>
      </c>
      <c r="C3349">
        <v>488</v>
      </c>
      <c r="D3349">
        <v>569</v>
      </c>
      <c r="E3349">
        <v>0</v>
      </c>
      <c r="F3349">
        <v>283</v>
      </c>
      <c r="G3349">
        <v>0</v>
      </c>
      <c r="H3349" t="s">
        <v>8274</v>
      </c>
      <c r="I3349">
        <v>3786</v>
      </c>
      <c r="J3349" t="e">
        <f>VLOOKUP(E3349,DSSpieler!A:B,2,FALSE)</f>
        <v>#N/A</v>
      </c>
    </row>
    <row r="3350" spans="1:10" x14ac:dyDescent="0.25">
      <c r="A3350">
        <v>3788</v>
      </c>
      <c r="B3350" t="s">
        <v>1184</v>
      </c>
      <c r="C3350">
        <v>421</v>
      </c>
      <c r="D3350">
        <v>459</v>
      </c>
      <c r="E3350">
        <v>1577197787</v>
      </c>
      <c r="F3350">
        <v>4353</v>
      </c>
      <c r="G3350">
        <v>0</v>
      </c>
      <c r="H3350" t="s">
        <v>8275</v>
      </c>
      <c r="I3350">
        <v>3788</v>
      </c>
      <c r="J3350" t="str">
        <f>VLOOKUP(E3350,DSSpieler!A:B,2,FALSE)</f>
        <v>Leeeeeni</v>
      </c>
    </row>
    <row r="3351" spans="1:10" x14ac:dyDescent="0.25">
      <c r="A3351">
        <v>3790</v>
      </c>
      <c r="B3351" t="s">
        <v>1011</v>
      </c>
      <c r="C3351">
        <v>587</v>
      </c>
      <c r="D3351">
        <v>552</v>
      </c>
      <c r="E3351">
        <v>2679744</v>
      </c>
      <c r="F3351">
        <v>3527</v>
      </c>
      <c r="G3351">
        <v>0</v>
      </c>
      <c r="H3351" t="s">
        <v>8276</v>
      </c>
      <c r="I3351">
        <v>3790</v>
      </c>
      <c r="J3351" t="str">
        <f>VLOOKUP(E3351,DSSpieler!A:B,2,FALSE)</f>
        <v>tortelinie</v>
      </c>
    </row>
    <row r="3352" spans="1:10" x14ac:dyDescent="0.25">
      <c r="A3352">
        <v>3791</v>
      </c>
      <c r="B3352" t="s">
        <v>31925</v>
      </c>
      <c r="C3352">
        <v>512</v>
      </c>
      <c r="D3352">
        <v>412</v>
      </c>
      <c r="E3352">
        <v>8061322</v>
      </c>
      <c r="F3352">
        <v>5615</v>
      </c>
      <c r="G3352">
        <v>0</v>
      </c>
      <c r="H3352" t="s">
        <v>8277</v>
      </c>
      <c r="I3352">
        <v>3791</v>
      </c>
      <c r="J3352" t="str">
        <f>VLOOKUP(E3352,DSSpieler!A:B,2,FALSE)</f>
        <v>sebastil2</v>
      </c>
    </row>
    <row r="3353" spans="1:10" x14ac:dyDescent="0.25">
      <c r="A3353">
        <v>3792</v>
      </c>
      <c r="B3353" t="s">
        <v>531</v>
      </c>
      <c r="C3353">
        <v>521</v>
      </c>
      <c r="D3353">
        <v>554</v>
      </c>
      <c r="E3353">
        <v>0</v>
      </c>
      <c r="F3353">
        <v>222</v>
      </c>
      <c r="G3353">
        <v>0</v>
      </c>
      <c r="H3353" t="s">
        <v>8278</v>
      </c>
      <c r="I3353">
        <v>3792</v>
      </c>
      <c r="J3353" t="e">
        <f>VLOOKUP(E3353,DSSpieler!A:B,2,FALSE)</f>
        <v>#N/A</v>
      </c>
    </row>
    <row r="3354" spans="1:10" x14ac:dyDescent="0.25">
      <c r="A3354">
        <v>3793</v>
      </c>
      <c r="B3354" t="s">
        <v>31926</v>
      </c>
      <c r="C3354">
        <v>573</v>
      </c>
      <c r="D3354">
        <v>510</v>
      </c>
      <c r="E3354">
        <v>1577197931</v>
      </c>
      <c r="F3354">
        <v>5098</v>
      </c>
      <c r="G3354">
        <v>0</v>
      </c>
      <c r="H3354" t="s">
        <v>8279</v>
      </c>
      <c r="I3354">
        <v>3793</v>
      </c>
      <c r="J3354" t="str">
        <f>VLOOKUP(E3354,DSSpieler!A:B,2,FALSE)</f>
        <v>D3nGeR0uZ</v>
      </c>
    </row>
    <row r="3355" spans="1:10" x14ac:dyDescent="0.25">
      <c r="A3355">
        <v>3794</v>
      </c>
      <c r="B3355" t="s">
        <v>531</v>
      </c>
      <c r="C3355">
        <v>568</v>
      </c>
      <c r="D3355">
        <v>565</v>
      </c>
      <c r="E3355">
        <v>0</v>
      </c>
      <c r="F3355">
        <v>471</v>
      </c>
      <c r="G3355">
        <v>0</v>
      </c>
      <c r="H3355" t="s">
        <v>8280</v>
      </c>
      <c r="I3355">
        <v>3794</v>
      </c>
      <c r="J3355" t="e">
        <f>VLOOKUP(E3355,DSSpieler!A:B,2,FALSE)</f>
        <v>#N/A</v>
      </c>
    </row>
    <row r="3356" spans="1:10" x14ac:dyDescent="0.25">
      <c r="A3356">
        <v>3795</v>
      </c>
      <c r="B3356" t="s">
        <v>31927</v>
      </c>
      <c r="C3356">
        <v>460</v>
      </c>
      <c r="D3356">
        <v>500</v>
      </c>
      <c r="E3356">
        <v>1577142604</v>
      </c>
      <c r="F3356">
        <v>1676</v>
      </c>
      <c r="G3356">
        <v>0</v>
      </c>
      <c r="H3356" t="s">
        <v>8281</v>
      </c>
      <c r="I3356">
        <v>3795</v>
      </c>
      <c r="J3356" t="str">
        <f>VLOOKUP(E3356,DSSpieler!A:B,2,FALSE)</f>
        <v>Runenmagier</v>
      </c>
    </row>
    <row r="3357" spans="1:10" x14ac:dyDescent="0.25">
      <c r="A3357">
        <v>3796</v>
      </c>
      <c r="B3357" t="s">
        <v>31928</v>
      </c>
      <c r="C3357">
        <v>469</v>
      </c>
      <c r="D3357">
        <v>457</v>
      </c>
      <c r="E3357">
        <v>1577070902</v>
      </c>
      <c r="F3357">
        <v>4027</v>
      </c>
      <c r="G3357">
        <v>0</v>
      </c>
      <c r="H3357" t="s">
        <v>8282</v>
      </c>
      <c r="I3357">
        <v>3796</v>
      </c>
      <c r="J3357" t="str">
        <f>VLOOKUP(E3357,DSSpieler!A:B,2,FALSE)</f>
        <v>imaanoob</v>
      </c>
    </row>
    <row r="3358" spans="1:10" x14ac:dyDescent="0.25">
      <c r="A3358">
        <v>3797</v>
      </c>
      <c r="B3358" t="s">
        <v>31929</v>
      </c>
      <c r="C3358">
        <v>464</v>
      </c>
      <c r="D3358">
        <v>429</v>
      </c>
      <c r="E3358">
        <v>1576949733</v>
      </c>
      <c r="F3358">
        <v>5070</v>
      </c>
      <c r="G3358">
        <v>0</v>
      </c>
      <c r="H3358" t="s">
        <v>8283</v>
      </c>
      <c r="I3358">
        <v>3797</v>
      </c>
      <c r="J3358" t="str">
        <f>VLOOKUP(E3358,DSSpieler!A:B,2,FALSE)</f>
        <v>Rengo-</v>
      </c>
    </row>
    <row r="3359" spans="1:10" x14ac:dyDescent="0.25">
      <c r="A3359">
        <v>3798</v>
      </c>
      <c r="B3359" t="s">
        <v>31930</v>
      </c>
      <c r="C3359">
        <v>428</v>
      </c>
      <c r="D3359">
        <v>564</v>
      </c>
      <c r="E3359">
        <v>1577195902</v>
      </c>
      <c r="F3359">
        <v>4600</v>
      </c>
      <c r="G3359">
        <v>0</v>
      </c>
      <c r="H3359" t="s">
        <v>8284</v>
      </c>
      <c r="I3359">
        <v>3798</v>
      </c>
      <c r="J3359" t="str">
        <f>VLOOKUP(E3359,DSSpieler!A:B,2,FALSE)</f>
        <v>Nonameder1.</v>
      </c>
    </row>
    <row r="3360" spans="1:10" x14ac:dyDescent="0.25">
      <c r="A3360">
        <v>3800</v>
      </c>
      <c r="B3360" t="s">
        <v>31931</v>
      </c>
      <c r="C3360">
        <v>455</v>
      </c>
      <c r="D3360">
        <v>553</v>
      </c>
      <c r="E3360">
        <v>9251785</v>
      </c>
      <c r="F3360">
        <v>6207</v>
      </c>
      <c r="G3360">
        <v>0</v>
      </c>
      <c r="H3360" t="s">
        <v>8285</v>
      </c>
      <c r="I3360">
        <v>3800</v>
      </c>
      <c r="J3360" t="str">
        <f>VLOOKUP(E3360,DSSpieler!A:B,2,FALSE)</f>
        <v>Ult1maT1V</v>
      </c>
    </row>
    <row r="3361" spans="1:10" x14ac:dyDescent="0.25">
      <c r="A3361">
        <v>3801</v>
      </c>
      <c r="B3361" t="s">
        <v>31932</v>
      </c>
      <c r="C3361">
        <v>459</v>
      </c>
      <c r="D3361">
        <v>553</v>
      </c>
      <c r="E3361">
        <v>1142612</v>
      </c>
      <c r="F3361">
        <v>5913</v>
      </c>
      <c r="G3361">
        <v>0</v>
      </c>
      <c r="H3361" t="s">
        <v>8286</v>
      </c>
      <c r="I3361">
        <v>3801</v>
      </c>
      <c r="J3361" t="str">
        <f>VLOOKUP(E3361,DSSpieler!A:B,2,FALSE)</f>
        <v>Adelsritter95</v>
      </c>
    </row>
    <row r="3362" spans="1:10" x14ac:dyDescent="0.25">
      <c r="A3362">
        <v>3802</v>
      </c>
      <c r="B3362" t="s">
        <v>31933</v>
      </c>
      <c r="C3362">
        <v>453</v>
      </c>
      <c r="D3362">
        <v>453</v>
      </c>
      <c r="E3362">
        <v>1577141786</v>
      </c>
      <c r="F3362">
        <v>8014</v>
      </c>
      <c r="G3362">
        <v>0</v>
      </c>
      <c r="H3362" t="s">
        <v>8287</v>
      </c>
      <c r="I3362">
        <v>3802</v>
      </c>
      <c r="J3362" t="str">
        <f>VLOOKUP(E3362,DSSpieler!A:B,2,FALSE)</f>
        <v>Potm4ever</v>
      </c>
    </row>
    <row r="3363" spans="1:10" x14ac:dyDescent="0.25">
      <c r="A3363">
        <v>3803</v>
      </c>
      <c r="B3363" t="s">
        <v>531</v>
      </c>
      <c r="C3363">
        <v>545</v>
      </c>
      <c r="D3363">
        <v>551</v>
      </c>
      <c r="E3363">
        <v>0</v>
      </c>
      <c r="F3363">
        <v>445</v>
      </c>
      <c r="G3363">
        <v>0</v>
      </c>
      <c r="H3363" t="s">
        <v>8288</v>
      </c>
      <c r="I3363">
        <v>3803</v>
      </c>
      <c r="J3363" t="e">
        <f>VLOOKUP(E3363,DSSpieler!A:B,2,FALSE)</f>
        <v>#N/A</v>
      </c>
    </row>
    <row r="3364" spans="1:10" x14ac:dyDescent="0.25">
      <c r="A3364">
        <v>3804</v>
      </c>
      <c r="B3364" t="s">
        <v>31934</v>
      </c>
      <c r="C3364">
        <v>597</v>
      </c>
      <c r="D3364">
        <v>479</v>
      </c>
      <c r="E3364">
        <v>3240324</v>
      </c>
      <c r="F3364">
        <v>3858</v>
      </c>
      <c r="G3364">
        <v>0</v>
      </c>
      <c r="H3364" t="s">
        <v>8289</v>
      </c>
      <c r="I3364">
        <v>3804</v>
      </c>
      <c r="J3364" t="str">
        <f>VLOOKUP(E3364,DSSpieler!A:B,2,FALSE)</f>
        <v>luckylos3r</v>
      </c>
    </row>
    <row r="3365" spans="1:10" x14ac:dyDescent="0.25">
      <c r="A3365">
        <v>3805</v>
      </c>
      <c r="B3365" t="s">
        <v>31935</v>
      </c>
      <c r="C3365">
        <v>440</v>
      </c>
      <c r="D3365">
        <v>465</v>
      </c>
      <c r="E3365">
        <v>1575953788</v>
      </c>
      <c r="F3365">
        <v>5589</v>
      </c>
      <c r="G3365">
        <v>0</v>
      </c>
      <c r="H3365" t="s">
        <v>8290</v>
      </c>
      <c r="I3365">
        <v>3805</v>
      </c>
      <c r="J3365" t="str">
        <f>VLOOKUP(E3365,DSSpieler!A:B,2,FALSE)</f>
        <v>BruderSamuel</v>
      </c>
    </row>
    <row r="3366" spans="1:10" x14ac:dyDescent="0.25">
      <c r="A3366">
        <v>3806</v>
      </c>
      <c r="B3366" t="s">
        <v>31936</v>
      </c>
      <c r="C3366">
        <v>480</v>
      </c>
      <c r="D3366">
        <v>458</v>
      </c>
      <c r="E3366">
        <v>1576084971</v>
      </c>
      <c r="F3366">
        <v>6981</v>
      </c>
      <c r="G3366">
        <v>0</v>
      </c>
      <c r="H3366" t="s">
        <v>8291</v>
      </c>
      <c r="I3366">
        <v>3806</v>
      </c>
      <c r="J3366" t="str">
        <f>VLOOKUP(E3366,DSSpieler!A:B,2,FALSE)</f>
        <v>Timschka</v>
      </c>
    </row>
    <row r="3367" spans="1:10" x14ac:dyDescent="0.25">
      <c r="A3367">
        <v>3808</v>
      </c>
      <c r="B3367">
        <v>3</v>
      </c>
      <c r="C3367">
        <v>445</v>
      </c>
      <c r="D3367">
        <v>498</v>
      </c>
      <c r="E3367">
        <v>245278</v>
      </c>
      <c r="F3367">
        <v>1164</v>
      </c>
      <c r="G3367">
        <v>0</v>
      </c>
      <c r="H3367" t="s">
        <v>8292</v>
      </c>
      <c r="I3367">
        <v>3808</v>
      </c>
      <c r="J3367" t="str">
        <f>VLOOKUP(E3367,DSSpieler!A:B,2,FALSE)</f>
        <v>Basel86</v>
      </c>
    </row>
    <row r="3368" spans="1:10" x14ac:dyDescent="0.25">
      <c r="A3368">
        <v>3809</v>
      </c>
      <c r="B3368" t="s">
        <v>31565</v>
      </c>
      <c r="C3368">
        <v>499</v>
      </c>
      <c r="D3368">
        <v>574</v>
      </c>
      <c r="E3368">
        <v>1577197733</v>
      </c>
      <c r="F3368">
        <v>8212</v>
      </c>
      <c r="G3368">
        <v>0</v>
      </c>
      <c r="H3368" t="s">
        <v>8293</v>
      </c>
      <c r="I3368">
        <v>3809</v>
      </c>
      <c r="J3368" t="str">
        <f>VLOOKUP(E3368,DSSpieler!A:B,2,FALSE)</f>
        <v>Sheriff Söder</v>
      </c>
    </row>
    <row r="3369" spans="1:10" x14ac:dyDescent="0.25">
      <c r="A3369">
        <v>3810</v>
      </c>
      <c r="B3369" t="s">
        <v>531</v>
      </c>
      <c r="C3369">
        <v>472</v>
      </c>
      <c r="D3369">
        <v>479</v>
      </c>
      <c r="E3369">
        <v>0</v>
      </c>
      <c r="F3369">
        <v>326</v>
      </c>
      <c r="G3369">
        <v>0</v>
      </c>
      <c r="H3369" t="s">
        <v>8294</v>
      </c>
      <c r="I3369">
        <v>3810</v>
      </c>
      <c r="J3369" t="e">
        <f>VLOOKUP(E3369,DSSpieler!A:B,2,FALSE)</f>
        <v>#N/A</v>
      </c>
    </row>
    <row r="3370" spans="1:10" x14ac:dyDescent="0.25">
      <c r="A3370">
        <v>3811</v>
      </c>
      <c r="B3370" t="s">
        <v>1185</v>
      </c>
      <c r="C3370">
        <v>513</v>
      </c>
      <c r="D3370">
        <v>561</v>
      </c>
      <c r="E3370">
        <v>1577186386</v>
      </c>
      <c r="F3370">
        <v>5010</v>
      </c>
      <c r="G3370">
        <v>0</v>
      </c>
      <c r="H3370" t="s">
        <v>8295</v>
      </c>
      <c r="I3370">
        <v>3811</v>
      </c>
      <c r="J3370" t="str">
        <f>VLOOKUP(E3370,DSSpieler!A:B,2,FALSE)</f>
        <v>mike1403</v>
      </c>
    </row>
    <row r="3371" spans="1:10" x14ac:dyDescent="0.25">
      <c r="A3371">
        <v>3813</v>
      </c>
      <c r="B3371" t="s">
        <v>31937</v>
      </c>
      <c r="C3371">
        <v>543</v>
      </c>
      <c r="D3371">
        <v>563</v>
      </c>
      <c r="E3371">
        <v>9837616</v>
      </c>
      <c r="F3371">
        <v>6233</v>
      </c>
      <c r="G3371">
        <v>0</v>
      </c>
      <c r="H3371" t="s">
        <v>8296</v>
      </c>
      <c r="I3371">
        <v>3813</v>
      </c>
      <c r="J3371" t="str">
        <f>VLOOKUP(E3371,DSSpieler!A:B,2,FALSE)</f>
        <v>CheckPrime</v>
      </c>
    </row>
    <row r="3372" spans="1:10" x14ac:dyDescent="0.25">
      <c r="A3372">
        <v>3814</v>
      </c>
      <c r="B3372" t="s">
        <v>1186</v>
      </c>
      <c r="C3372">
        <v>431</v>
      </c>
      <c r="D3372">
        <v>466</v>
      </c>
      <c r="E3372">
        <v>9996245</v>
      </c>
      <c r="F3372">
        <v>5120</v>
      </c>
      <c r="G3372">
        <v>0</v>
      </c>
      <c r="H3372" t="s">
        <v>8297</v>
      </c>
      <c r="I3372">
        <v>3814</v>
      </c>
      <c r="J3372" t="str">
        <f>VLOOKUP(E3372,DSSpieler!A:B,2,FALSE)</f>
        <v>PinguShock</v>
      </c>
    </row>
    <row r="3373" spans="1:10" x14ac:dyDescent="0.25">
      <c r="A3373">
        <v>3815</v>
      </c>
      <c r="B3373" t="s">
        <v>1187</v>
      </c>
      <c r="C3373">
        <v>428</v>
      </c>
      <c r="D3373">
        <v>517</v>
      </c>
      <c r="E3373">
        <v>9868037</v>
      </c>
      <c r="F3373">
        <v>5253</v>
      </c>
      <c r="G3373">
        <v>0</v>
      </c>
      <c r="H3373" t="s">
        <v>8298</v>
      </c>
      <c r="I3373">
        <v>3815</v>
      </c>
      <c r="J3373" t="str">
        <f>VLOOKUP(E3373,DSSpieler!A:B,2,FALSE)</f>
        <v>.Taboo</v>
      </c>
    </row>
    <row r="3374" spans="1:10" x14ac:dyDescent="0.25">
      <c r="A3374">
        <v>3816</v>
      </c>
      <c r="B3374" t="s">
        <v>1188</v>
      </c>
      <c r="C3374">
        <v>454</v>
      </c>
      <c r="D3374">
        <v>562</v>
      </c>
      <c r="E3374">
        <v>1577197803</v>
      </c>
      <c r="F3374">
        <v>5782</v>
      </c>
      <c r="G3374">
        <v>0</v>
      </c>
      <c r="H3374" t="s">
        <v>8299</v>
      </c>
      <c r="I3374">
        <v>3816</v>
      </c>
      <c r="J3374" t="str">
        <f>VLOOKUP(E3374,DSSpieler!A:B,2,FALSE)</f>
        <v>Jasnik</v>
      </c>
    </row>
    <row r="3375" spans="1:10" x14ac:dyDescent="0.25">
      <c r="A3375">
        <v>3817</v>
      </c>
      <c r="B3375" t="s">
        <v>531</v>
      </c>
      <c r="C3375">
        <v>491</v>
      </c>
      <c r="D3375">
        <v>422</v>
      </c>
      <c r="E3375">
        <v>0</v>
      </c>
      <c r="F3375">
        <v>489</v>
      </c>
      <c r="G3375">
        <v>0</v>
      </c>
      <c r="H3375" t="s">
        <v>8300</v>
      </c>
      <c r="I3375">
        <v>3817</v>
      </c>
      <c r="J3375" t="e">
        <f>VLOOKUP(E3375,DSSpieler!A:B,2,FALSE)</f>
        <v>#N/A</v>
      </c>
    </row>
    <row r="3376" spans="1:10" x14ac:dyDescent="0.25">
      <c r="A3376">
        <v>3818</v>
      </c>
      <c r="B3376" t="s">
        <v>531</v>
      </c>
      <c r="C3376">
        <v>539</v>
      </c>
      <c r="D3376">
        <v>582</v>
      </c>
      <c r="E3376">
        <v>0</v>
      </c>
      <c r="F3376">
        <v>562</v>
      </c>
      <c r="G3376">
        <v>0</v>
      </c>
      <c r="H3376" t="s">
        <v>8301</v>
      </c>
      <c r="I3376">
        <v>3818</v>
      </c>
      <c r="J3376" t="e">
        <f>VLOOKUP(E3376,DSSpieler!A:B,2,FALSE)</f>
        <v>#N/A</v>
      </c>
    </row>
    <row r="3377" spans="1:10" x14ac:dyDescent="0.25">
      <c r="A3377">
        <v>3819</v>
      </c>
      <c r="B3377">
        <v>2</v>
      </c>
      <c r="C3377">
        <v>489</v>
      </c>
      <c r="D3377">
        <v>553</v>
      </c>
      <c r="E3377">
        <v>9962504</v>
      </c>
      <c r="F3377">
        <v>7649</v>
      </c>
      <c r="G3377">
        <v>0</v>
      </c>
      <c r="H3377" t="s">
        <v>8302</v>
      </c>
      <c r="I3377">
        <v>3819</v>
      </c>
      <c r="J3377" t="str">
        <f>VLOOKUP(E3377,DSSpieler!A:B,2,FALSE)</f>
        <v>Robin.a</v>
      </c>
    </row>
    <row r="3378" spans="1:10" x14ac:dyDescent="0.25">
      <c r="A3378">
        <v>3820</v>
      </c>
      <c r="B3378" t="s">
        <v>31938</v>
      </c>
      <c r="C3378">
        <v>540</v>
      </c>
      <c r="D3378">
        <v>409</v>
      </c>
      <c r="E3378">
        <v>1577173457</v>
      </c>
      <c r="F3378">
        <v>3647</v>
      </c>
      <c r="G3378">
        <v>0</v>
      </c>
      <c r="H3378" t="s">
        <v>8303</v>
      </c>
      <c r="I3378">
        <v>3820</v>
      </c>
      <c r="J3378" t="str">
        <f>VLOOKUP(E3378,DSSpieler!A:B,2,FALSE)</f>
        <v>Blacki029ost</v>
      </c>
    </row>
    <row r="3379" spans="1:10" x14ac:dyDescent="0.25">
      <c r="A3379">
        <v>3821</v>
      </c>
      <c r="B3379" t="s">
        <v>531</v>
      </c>
      <c r="C3379">
        <v>453</v>
      </c>
      <c r="D3379">
        <v>518</v>
      </c>
      <c r="E3379">
        <v>0</v>
      </c>
      <c r="F3379">
        <v>1166</v>
      </c>
      <c r="G3379">
        <v>0</v>
      </c>
      <c r="H3379" t="s">
        <v>8304</v>
      </c>
      <c r="I3379">
        <v>3821</v>
      </c>
      <c r="J3379" t="e">
        <f>VLOOKUP(E3379,DSSpieler!A:B,2,FALSE)</f>
        <v>#N/A</v>
      </c>
    </row>
    <row r="3380" spans="1:10" x14ac:dyDescent="0.25">
      <c r="A3380">
        <v>3823</v>
      </c>
      <c r="B3380">
        <v>2</v>
      </c>
      <c r="C3380">
        <v>551</v>
      </c>
      <c r="D3380">
        <v>474</v>
      </c>
      <c r="E3380">
        <v>9101768</v>
      </c>
      <c r="F3380">
        <v>4089</v>
      </c>
      <c r="G3380">
        <v>0</v>
      </c>
      <c r="H3380" t="s">
        <v>8305</v>
      </c>
      <c r="I3380">
        <v>3823</v>
      </c>
      <c r="J3380" t="str">
        <f>VLOOKUP(E3380,DSSpieler!A:B,2,FALSE)</f>
        <v>vanhelsink1</v>
      </c>
    </row>
    <row r="3381" spans="1:10" x14ac:dyDescent="0.25">
      <c r="A3381">
        <v>3824</v>
      </c>
      <c r="B3381" t="s">
        <v>546</v>
      </c>
      <c r="C3381">
        <v>500</v>
      </c>
      <c r="D3381">
        <v>470</v>
      </c>
      <c r="E3381">
        <v>10264083</v>
      </c>
      <c r="F3381">
        <v>3707</v>
      </c>
      <c r="G3381">
        <v>0</v>
      </c>
      <c r="H3381" t="s">
        <v>8306</v>
      </c>
      <c r="I3381">
        <v>3824</v>
      </c>
      <c r="J3381" t="str">
        <f>VLOOKUP(E3381,DSSpieler!A:B,2,FALSE)</f>
        <v>Bill Gates</v>
      </c>
    </row>
    <row r="3382" spans="1:10" x14ac:dyDescent="0.25">
      <c r="A3382">
        <v>3825</v>
      </c>
      <c r="B3382" t="s">
        <v>31939</v>
      </c>
      <c r="C3382">
        <v>515</v>
      </c>
      <c r="D3382">
        <v>498</v>
      </c>
      <c r="E3382">
        <v>959593</v>
      </c>
      <c r="F3382">
        <v>3311</v>
      </c>
      <c r="G3382">
        <v>0</v>
      </c>
      <c r="H3382" t="s">
        <v>8307</v>
      </c>
      <c r="I3382">
        <v>3825</v>
      </c>
      <c r="J3382" t="str">
        <f>VLOOKUP(E3382,DSSpieler!A:B,2,FALSE)</f>
        <v>P.und B.</v>
      </c>
    </row>
    <row r="3383" spans="1:10" x14ac:dyDescent="0.25">
      <c r="A3383">
        <v>3827</v>
      </c>
      <c r="B3383" t="s">
        <v>31940</v>
      </c>
      <c r="C3383">
        <v>455</v>
      </c>
      <c r="D3383">
        <v>597</v>
      </c>
      <c r="E3383">
        <v>1577102958</v>
      </c>
      <c r="F3383">
        <v>4898</v>
      </c>
      <c r="G3383">
        <v>0</v>
      </c>
      <c r="H3383" t="s">
        <v>8308</v>
      </c>
      <c r="I3383">
        <v>3827</v>
      </c>
      <c r="J3383" t="str">
        <f>VLOOKUP(E3383,DSSpieler!A:B,2,FALSE)</f>
        <v>Gang01</v>
      </c>
    </row>
    <row r="3384" spans="1:10" x14ac:dyDescent="0.25">
      <c r="A3384">
        <v>3829</v>
      </c>
      <c r="B3384" t="s">
        <v>31941</v>
      </c>
      <c r="C3384">
        <v>584</v>
      </c>
      <c r="D3384">
        <v>567</v>
      </c>
      <c r="E3384">
        <v>1577033300</v>
      </c>
      <c r="F3384">
        <v>4799</v>
      </c>
      <c r="G3384">
        <v>0</v>
      </c>
      <c r="H3384" t="s">
        <v>8309</v>
      </c>
      <c r="I3384">
        <v>3829</v>
      </c>
      <c r="J3384" t="str">
        <f>VLOOKUP(E3384,DSSpieler!A:B,2,FALSE)</f>
        <v>Umanic</v>
      </c>
    </row>
    <row r="3385" spans="1:10" x14ac:dyDescent="0.25">
      <c r="A3385">
        <v>3830</v>
      </c>
      <c r="B3385" t="s">
        <v>681</v>
      </c>
      <c r="C3385">
        <v>466</v>
      </c>
      <c r="D3385">
        <v>483</v>
      </c>
      <c r="E3385">
        <v>1577079050</v>
      </c>
      <c r="F3385">
        <v>2764</v>
      </c>
      <c r="G3385">
        <v>0</v>
      </c>
      <c r="H3385" t="s">
        <v>8310</v>
      </c>
      <c r="I3385">
        <v>3830</v>
      </c>
      <c r="J3385" t="str">
        <f>VLOOKUP(E3385,DSSpieler!A:B,2,FALSE)</f>
        <v>Huskydrive</v>
      </c>
    </row>
    <row r="3386" spans="1:10" x14ac:dyDescent="0.25">
      <c r="A3386">
        <v>3831</v>
      </c>
      <c r="B3386" t="s">
        <v>650</v>
      </c>
      <c r="C3386">
        <v>572</v>
      </c>
      <c r="D3386">
        <v>425</v>
      </c>
      <c r="E3386">
        <v>1577002284</v>
      </c>
      <c r="F3386">
        <v>1681</v>
      </c>
      <c r="G3386">
        <v>0</v>
      </c>
      <c r="H3386" t="s">
        <v>8311</v>
      </c>
      <c r="I3386">
        <v>3831</v>
      </c>
      <c r="J3386" t="str">
        <f>VLOOKUP(E3386,DSSpieler!A:B,2,FALSE)</f>
        <v>Lord Andy444</v>
      </c>
    </row>
    <row r="3387" spans="1:10" x14ac:dyDescent="0.25">
      <c r="A3387">
        <v>3832</v>
      </c>
      <c r="B3387" t="s">
        <v>31942</v>
      </c>
      <c r="C3387">
        <v>469</v>
      </c>
      <c r="D3387">
        <v>534</v>
      </c>
      <c r="E3387">
        <v>1577031384</v>
      </c>
      <c r="F3387">
        <v>6628</v>
      </c>
      <c r="G3387">
        <v>0</v>
      </c>
      <c r="H3387" t="s">
        <v>8312</v>
      </c>
      <c r="I3387">
        <v>3832</v>
      </c>
      <c r="J3387" t="str">
        <f>VLOOKUP(E3387,DSSpieler!A:B,2,FALSE)</f>
        <v>Dorfgeil.</v>
      </c>
    </row>
    <row r="3388" spans="1:10" x14ac:dyDescent="0.25">
      <c r="A3388">
        <v>3833</v>
      </c>
      <c r="B3388" t="s">
        <v>531</v>
      </c>
      <c r="C3388">
        <v>538</v>
      </c>
      <c r="D3388">
        <v>448</v>
      </c>
      <c r="E3388">
        <v>0</v>
      </c>
      <c r="F3388">
        <v>261</v>
      </c>
      <c r="G3388">
        <v>0</v>
      </c>
      <c r="H3388" t="s">
        <v>8313</v>
      </c>
      <c r="I3388">
        <v>3833</v>
      </c>
      <c r="J3388" t="e">
        <f>VLOOKUP(E3388,DSSpieler!A:B,2,FALSE)</f>
        <v>#N/A</v>
      </c>
    </row>
    <row r="3389" spans="1:10" x14ac:dyDescent="0.25">
      <c r="A3389">
        <v>3834</v>
      </c>
      <c r="B3389" t="s">
        <v>1189</v>
      </c>
      <c r="C3389">
        <v>413</v>
      </c>
      <c r="D3389">
        <v>453</v>
      </c>
      <c r="E3389">
        <v>1576184345</v>
      </c>
      <c r="F3389">
        <v>3999</v>
      </c>
      <c r="G3389">
        <v>0</v>
      </c>
      <c r="H3389" t="s">
        <v>8314</v>
      </c>
      <c r="I3389">
        <v>3834</v>
      </c>
      <c r="J3389" t="str">
        <f>VLOOKUP(E3389,DSSpieler!A:B,2,FALSE)</f>
        <v>Mezzokuh</v>
      </c>
    </row>
    <row r="3390" spans="1:10" x14ac:dyDescent="0.25">
      <c r="A3390">
        <v>3835</v>
      </c>
      <c r="B3390" t="s">
        <v>531</v>
      </c>
      <c r="C3390">
        <v>606</v>
      </c>
      <c r="D3390">
        <v>476</v>
      </c>
      <c r="E3390">
        <v>0</v>
      </c>
      <c r="F3390">
        <v>812</v>
      </c>
      <c r="G3390">
        <v>0</v>
      </c>
      <c r="H3390" t="s">
        <v>8315</v>
      </c>
      <c r="I3390">
        <v>3835</v>
      </c>
      <c r="J3390" t="e">
        <f>VLOOKUP(E3390,DSSpieler!A:B,2,FALSE)</f>
        <v>#N/A</v>
      </c>
    </row>
    <row r="3391" spans="1:10" x14ac:dyDescent="0.25">
      <c r="A3391">
        <v>3836</v>
      </c>
      <c r="B3391" t="s">
        <v>31943</v>
      </c>
      <c r="C3391">
        <v>515</v>
      </c>
      <c r="D3391">
        <v>564</v>
      </c>
      <c r="E3391">
        <v>1577196724</v>
      </c>
      <c r="F3391">
        <v>5715</v>
      </c>
      <c r="G3391">
        <v>0</v>
      </c>
      <c r="H3391" t="s">
        <v>8316</v>
      </c>
      <c r="I3391">
        <v>3836</v>
      </c>
      <c r="J3391" t="str">
        <f>VLOOKUP(E3391,DSSpieler!A:B,2,FALSE)</f>
        <v>SgtCoward</v>
      </c>
    </row>
    <row r="3392" spans="1:10" x14ac:dyDescent="0.25">
      <c r="A3392">
        <v>3837</v>
      </c>
      <c r="B3392" t="s">
        <v>31944</v>
      </c>
      <c r="C3392">
        <v>426</v>
      </c>
      <c r="D3392">
        <v>518</v>
      </c>
      <c r="E3392">
        <v>9868037</v>
      </c>
      <c r="F3392">
        <v>7802</v>
      </c>
      <c r="G3392">
        <v>0</v>
      </c>
      <c r="H3392" t="s">
        <v>8317</v>
      </c>
      <c r="I3392">
        <v>3837</v>
      </c>
      <c r="J3392" t="str">
        <f>VLOOKUP(E3392,DSSpieler!A:B,2,FALSE)</f>
        <v>.Taboo</v>
      </c>
    </row>
    <row r="3393" spans="1:10" x14ac:dyDescent="0.25">
      <c r="A3393">
        <v>3838</v>
      </c>
      <c r="B3393" t="s">
        <v>726</v>
      </c>
      <c r="C3393">
        <v>591</v>
      </c>
      <c r="D3393">
        <v>568</v>
      </c>
      <c r="E3393">
        <v>1576814505</v>
      </c>
      <c r="F3393">
        <v>4010</v>
      </c>
      <c r="G3393">
        <v>0</v>
      </c>
      <c r="H3393" t="s">
        <v>8318</v>
      </c>
      <c r="I3393">
        <v>3838</v>
      </c>
      <c r="J3393" t="str">
        <f>VLOOKUP(E3393,DSSpieler!A:B,2,FALSE)</f>
        <v>LeonxD</v>
      </c>
    </row>
    <row r="3394" spans="1:10" x14ac:dyDescent="0.25">
      <c r="A3394">
        <v>3839</v>
      </c>
      <c r="B3394" t="s">
        <v>531</v>
      </c>
      <c r="C3394">
        <v>525</v>
      </c>
      <c r="D3394">
        <v>484</v>
      </c>
      <c r="E3394">
        <v>0</v>
      </c>
      <c r="F3394">
        <v>404</v>
      </c>
      <c r="G3394">
        <v>0</v>
      </c>
      <c r="H3394" t="s">
        <v>8319</v>
      </c>
      <c r="I3394">
        <v>3839</v>
      </c>
      <c r="J3394" t="e">
        <f>VLOOKUP(E3394,DSSpieler!A:B,2,FALSE)</f>
        <v>#N/A</v>
      </c>
    </row>
    <row r="3395" spans="1:10" x14ac:dyDescent="0.25">
      <c r="A3395">
        <v>3840</v>
      </c>
      <c r="B3395" t="s">
        <v>1190</v>
      </c>
      <c r="C3395">
        <v>531</v>
      </c>
      <c r="D3395">
        <v>550</v>
      </c>
      <c r="E3395">
        <v>1577191860</v>
      </c>
      <c r="F3395">
        <v>4674</v>
      </c>
      <c r="G3395">
        <v>0</v>
      </c>
      <c r="H3395" t="s">
        <v>8320</v>
      </c>
      <c r="I3395">
        <v>3840</v>
      </c>
      <c r="J3395" t="str">
        <f>VLOOKUP(E3395,DSSpieler!A:B,2,FALSE)</f>
        <v>Pollhagen</v>
      </c>
    </row>
    <row r="3396" spans="1:10" x14ac:dyDescent="0.25">
      <c r="A3396">
        <v>3841</v>
      </c>
      <c r="B3396" t="s">
        <v>780</v>
      </c>
      <c r="C3396">
        <v>605</v>
      </c>
      <c r="D3396">
        <v>522</v>
      </c>
      <c r="E3396">
        <v>1576864272</v>
      </c>
      <c r="F3396">
        <v>7389</v>
      </c>
      <c r="G3396">
        <v>0</v>
      </c>
      <c r="H3396" t="s">
        <v>8321</v>
      </c>
      <c r="I3396">
        <v>3841</v>
      </c>
      <c r="J3396" t="str">
        <f>VLOOKUP(E3396,DSSpieler!A:B,2,FALSE)</f>
        <v>iToxic</v>
      </c>
    </row>
    <row r="3397" spans="1:10" x14ac:dyDescent="0.25">
      <c r="A3397">
        <v>3842</v>
      </c>
      <c r="B3397" t="s">
        <v>1191</v>
      </c>
      <c r="C3397">
        <v>479</v>
      </c>
      <c r="D3397">
        <v>464</v>
      </c>
      <c r="E3397">
        <v>1577164355</v>
      </c>
      <c r="F3397">
        <v>4782</v>
      </c>
      <c r="G3397">
        <v>0</v>
      </c>
      <c r="H3397" t="s">
        <v>8322</v>
      </c>
      <c r="I3397">
        <v>3842</v>
      </c>
      <c r="J3397" t="str">
        <f>VLOOKUP(E3397,DSSpieler!A:B,2,FALSE)</f>
        <v>saynotoslow</v>
      </c>
    </row>
    <row r="3398" spans="1:10" x14ac:dyDescent="0.25">
      <c r="A3398">
        <v>3844</v>
      </c>
      <c r="B3398" t="s">
        <v>31945</v>
      </c>
      <c r="C3398">
        <v>459</v>
      </c>
      <c r="D3398">
        <v>536</v>
      </c>
      <c r="E3398">
        <v>1576822927</v>
      </c>
      <c r="F3398">
        <v>6362</v>
      </c>
      <c r="G3398">
        <v>0</v>
      </c>
      <c r="H3398" t="s">
        <v>8323</v>
      </c>
      <c r="I3398">
        <v>3844</v>
      </c>
      <c r="J3398" t="str">
        <f>VLOOKUP(E3398,DSSpieler!A:B,2,FALSE)</f>
        <v>PokeTrainer</v>
      </c>
    </row>
    <row r="3399" spans="1:10" x14ac:dyDescent="0.25">
      <c r="A3399">
        <v>3845</v>
      </c>
      <c r="B3399" t="s">
        <v>31946</v>
      </c>
      <c r="C3399">
        <v>505</v>
      </c>
      <c r="D3399">
        <v>497</v>
      </c>
      <c r="E3399">
        <v>2709160</v>
      </c>
      <c r="F3399">
        <v>2699</v>
      </c>
      <c r="G3399">
        <v>0</v>
      </c>
      <c r="H3399" t="s">
        <v>8324</v>
      </c>
      <c r="I3399">
        <v>3845</v>
      </c>
      <c r="J3399" t="str">
        <f>VLOOKUP(E3399,DSSpieler!A:B,2,FALSE)</f>
        <v>karl der klein</v>
      </c>
    </row>
    <row r="3400" spans="1:10" x14ac:dyDescent="0.25">
      <c r="A3400">
        <v>3846</v>
      </c>
      <c r="B3400" t="s">
        <v>31947</v>
      </c>
      <c r="C3400">
        <v>453</v>
      </c>
      <c r="D3400">
        <v>403</v>
      </c>
      <c r="E3400">
        <v>1577164215</v>
      </c>
      <c r="F3400">
        <v>2860</v>
      </c>
      <c r="G3400">
        <v>0</v>
      </c>
      <c r="H3400" t="s">
        <v>8325</v>
      </c>
      <c r="I3400">
        <v>3846</v>
      </c>
      <c r="J3400" t="str">
        <f>VLOOKUP(E3400,DSSpieler!A:B,2,FALSE)</f>
        <v>chrissle</v>
      </c>
    </row>
    <row r="3401" spans="1:10" x14ac:dyDescent="0.25">
      <c r="A3401">
        <v>3847</v>
      </c>
      <c r="B3401" t="s">
        <v>531</v>
      </c>
      <c r="C3401">
        <v>472</v>
      </c>
      <c r="D3401">
        <v>542</v>
      </c>
      <c r="E3401">
        <v>0</v>
      </c>
      <c r="F3401">
        <v>207</v>
      </c>
      <c r="G3401">
        <v>0</v>
      </c>
      <c r="H3401" t="s">
        <v>8326</v>
      </c>
      <c r="I3401">
        <v>3847</v>
      </c>
      <c r="J3401" t="e">
        <f>VLOOKUP(E3401,DSSpieler!A:B,2,FALSE)</f>
        <v>#N/A</v>
      </c>
    </row>
    <row r="3402" spans="1:10" x14ac:dyDescent="0.25">
      <c r="A3402">
        <v>3848</v>
      </c>
      <c r="B3402" t="s">
        <v>31948</v>
      </c>
      <c r="C3402">
        <v>517</v>
      </c>
      <c r="D3402">
        <v>498</v>
      </c>
      <c r="E3402">
        <v>2709160</v>
      </c>
      <c r="F3402">
        <v>6179</v>
      </c>
      <c r="G3402">
        <v>0</v>
      </c>
      <c r="H3402" t="s">
        <v>8327</v>
      </c>
      <c r="I3402">
        <v>3848</v>
      </c>
      <c r="J3402" t="str">
        <f>VLOOKUP(E3402,DSSpieler!A:B,2,FALSE)</f>
        <v>karl der klein</v>
      </c>
    </row>
    <row r="3403" spans="1:10" x14ac:dyDescent="0.25">
      <c r="A3403">
        <v>3849</v>
      </c>
      <c r="B3403" t="s">
        <v>31949</v>
      </c>
      <c r="C3403">
        <v>472</v>
      </c>
      <c r="D3403">
        <v>526</v>
      </c>
      <c r="E3403">
        <v>1577027712</v>
      </c>
      <c r="F3403">
        <v>4171</v>
      </c>
      <c r="G3403">
        <v>0</v>
      </c>
      <c r="H3403" t="s">
        <v>8328</v>
      </c>
      <c r="I3403">
        <v>3849</v>
      </c>
      <c r="J3403" t="str">
        <f>VLOOKUP(E3403,DSSpieler!A:B,2,FALSE)</f>
        <v>Pancake-l3unny</v>
      </c>
    </row>
    <row r="3404" spans="1:10" x14ac:dyDescent="0.25">
      <c r="A3404">
        <v>3850</v>
      </c>
      <c r="B3404" t="s">
        <v>31636</v>
      </c>
      <c r="C3404">
        <v>411</v>
      </c>
      <c r="D3404">
        <v>524</v>
      </c>
      <c r="E3404">
        <v>1576658322</v>
      </c>
      <c r="F3404">
        <v>4359</v>
      </c>
      <c r="G3404">
        <v>0</v>
      </c>
      <c r="H3404" t="s">
        <v>8329</v>
      </c>
      <c r="I3404">
        <v>3850</v>
      </c>
      <c r="J3404" t="str">
        <f>VLOOKUP(E3404,DSSpieler!A:B,2,FALSE)</f>
        <v>stafflv2</v>
      </c>
    </row>
    <row r="3405" spans="1:10" x14ac:dyDescent="0.25">
      <c r="A3405">
        <v>3851</v>
      </c>
      <c r="B3405" t="s">
        <v>1192</v>
      </c>
      <c r="C3405">
        <v>491</v>
      </c>
      <c r="D3405">
        <v>533</v>
      </c>
      <c r="E3405">
        <v>1576491348</v>
      </c>
      <c r="F3405">
        <v>4117</v>
      </c>
      <c r="G3405">
        <v>0</v>
      </c>
      <c r="H3405" t="s">
        <v>8330</v>
      </c>
      <c r="I3405">
        <v>3851</v>
      </c>
      <c r="J3405" t="str">
        <f>VLOOKUP(E3405,DSSpieler!A:B,2,FALSE)</f>
        <v>pannza1899</v>
      </c>
    </row>
    <row r="3406" spans="1:10" x14ac:dyDescent="0.25">
      <c r="A3406">
        <v>3852</v>
      </c>
      <c r="B3406" t="s">
        <v>1193</v>
      </c>
      <c r="C3406">
        <v>427</v>
      </c>
      <c r="D3406">
        <v>532</v>
      </c>
      <c r="E3406">
        <v>1577188071</v>
      </c>
      <c r="F3406">
        <v>4465</v>
      </c>
      <c r="G3406">
        <v>0</v>
      </c>
      <c r="H3406" t="s">
        <v>8331</v>
      </c>
      <c r="I3406">
        <v>3852</v>
      </c>
      <c r="J3406" t="str">
        <f>VLOOKUP(E3406,DSSpieler!A:B,2,FALSE)</f>
        <v>Surculus</v>
      </c>
    </row>
    <row r="3407" spans="1:10" x14ac:dyDescent="0.25">
      <c r="A3407">
        <v>3853</v>
      </c>
      <c r="B3407" t="s">
        <v>531</v>
      </c>
      <c r="C3407">
        <v>492</v>
      </c>
      <c r="D3407">
        <v>428</v>
      </c>
      <c r="E3407">
        <v>0</v>
      </c>
      <c r="F3407">
        <v>56</v>
      </c>
      <c r="G3407">
        <v>0</v>
      </c>
      <c r="H3407" t="s">
        <v>8332</v>
      </c>
      <c r="I3407">
        <v>3853</v>
      </c>
      <c r="J3407" t="e">
        <f>VLOOKUP(E3407,DSSpieler!A:B,2,FALSE)</f>
        <v>#N/A</v>
      </c>
    </row>
    <row r="3408" spans="1:10" x14ac:dyDescent="0.25">
      <c r="A3408">
        <v>3856</v>
      </c>
      <c r="B3408" t="s">
        <v>1194</v>
      </c>
      <c r="C3408">
        <v>438</v>
      </c>
      <c r="D3408">
        <v>501</v>
      </c>
      <c r="E3408">
        <v>1577159431</v>
      </c>
      <c r="F3408">
        <v>2230</v>
      </c>
      <c r="G3408">
        <v>0</v>
      </c>
      <c r="H3408" t="s">
        <v>8333</v>
      </c>
      <c r="I3408">
        <v>3856</v>
      </c>
      <c r="J3408" t="str">
        <f>VLOOKUP(E3408,DSSpieler!A:B,2,FALSE)</f>
        <v>Hydrata</v>
      </c>
    </row>
    <row r="3409" spans="1:10" x14ac:dyDescent="0.25">
      <c r="A3409">
        <v>3857</v>
      </c>
      <c r="B3409" t="s">
        <v>31950</v>
      </c>
      <c r="C3409">
        <v>468</v>
      </c>
      <c r="D3409">
        <v>572</v>
      </c>
      <c r="E3409">
        <v>1369880</v>
      </c>
      <c r="F3409">
        <v>5858</v>
      </c>
      <c r="G3409">
        <v>0</v>
      </c>
      <c r="H3409" t="s">
        <v>8334</v>
      </c>
      <c r="I3409">
        <v>3857</v>
      </c>
      <c r="J3409" t="str">
        <f>VLOOKUP(E3409,DSSpieler!A:B,2,FALSE)</f>
        <v>Cellme</v>
      </c>
    </row>
    <row r="3410" spans="1:10" x14ac:dyDescent="0.25">
      <c r="A3410">
        <v>3858</v>
      </c>
      <c r="B3410" t="s">
        <v>31951</v>
      </c>
      <c r="C3410">
        <v>452</v>
      </c>
      <c r="D3410">
        <v>562</v>
      </c>
      <c r="E3410">
        <v>9327351</v>
      </c>
      <c r="F3410">
        <v>6962</v>
      </c>
      <c r="G3410">
        <v>0</v>
      </c>
      <c r="H3410" t="s">
        <v>8335</v>
      </c>
      <c r="I3410">
        <v>3858</v>
      </c>
      <c r="J3410" t="str">
        <f>VLOOKUP(E3410,DSSpieler!A:B,2,FALSE)</f>
        <v>Lordlebkuchen</v>
      </c>
    </row>
    <row r="3411" spans="1:10" x14ac:dyDescent="0.25">
      <c r="A3411">
        <v>3859</v>
      </c>
      <c r="B3411" t="s">
        <v>531</v>
      </c>
      <c r="C3411">
        <v>539</v>
      </c>
      <c r="D3411">
        <v>538</v>
      </c>
      <c r="E3411">
        <v>0</v>
      </c>
      <c r="F3411">
        <v>529</v>
      </c>
      <c r="G3411">
        <v>0</v>
      </c>
      <c r="H3411" t="s">
        <v>8336</v>
      </c>
      <c r="I3411">
        <v>3859</v>
      </c>
      <c r="J3411" t="e">
        <f>VLOOKUP(E3411,DSSpieler!A:B,2,FALSE)</f>
        <v>#N/A</v>
      </c>
    </row>
    <row r="3412" spans="1:10" x14ac:dyDescent="0.25">
      <c r="A3412">
        <v>3860</v>
      </c>
      <c r="B3412" t="s">
        <v>1195</v>
      </c>
      <c r="C3412">
        <v>522</v>
      </c>
      <c r="D3412">
        <v>424</v>
      </c>
      <c r="E3412">
        <v>9378546</v>
      </c>
      <c r="F3412">
        <v>1648</v>
      </c>
      <c r="G3412">
        <v>0</v>
      </c>
      <c r="H3412" t="s">
        <v>8337</v>
      </c>
      <c r="I3412">
        <v>3860</v>
      </c>
      <c r="J3412" t="str">
        <f>VLOOKUP(E3412,DSSpieler!A:B,2,FALSE)</f>
        <v>dönergang87</v>
      </c>
    </row>
    <row r="3413" spans="1:10" x14ac:dyDescent="0.25">
      <c r="A3413">
        <v>3861</v>
      </c>
      <c r="B3413">
        <v>1</v>
      </c>
      <c r="C3413">
        <v>469</v>
      </c>
      <c r="D3413">
        <v>520</v>
      </c>
      <c r="E3413">
        <v>2135947</v>
      </c>
      <c r="F3413">
        <v>5464</v>
      </c>
      <c r="G3413">
        <v>0</v>
      </c>
      <c r="H3413" t="s">
        <v>8338</v>
      </c>
      <c r="I3413">
        <v>3861</v>
      </c>
      <c r="J3413" t="str">
        <f>VLOOKUP(E3413,DSSpieler!A:B,2,FALSE)</f>
        <v>Tankred Antiochensis</v>
      </c>
    </row>
    <row r="3414" spans="1:10" x14ac:dyDescent="0.25">
      <c r="A3414">
        <v>3862</v>
      </c>
      <c r="B3414" t="s">
        <v>673</v>
      </c>
      <c r="C3414">
        <v>424</v>
      </c>
      <c r="D3414">
        <v>456</v>
      </c>
      <c r="E3414">
        <v>1577190726</v>
      </c>
      <c r="F3414">
        <v>5262</v>
      </c>
      <c r="G3414">
        <v>0</v>
      </c>
      <c r="H3414" t="s">
        <v>8339</v>
      </c>
      <c r="I3414">
        <v>3862</v>
      </c>
      <c r="J3414" t="str">
        <f>VLOOKUP(E3414,DSSpieler!A:B,2,FALSE)</f>
        <v>Karma Baby</v>
      </c>
    </row>
    <row r="3415" spans="1:10" x14ac:dyDescent="0.25">
      <c r="A3415">
        <v>3863</v>
      </c>
      <c r="B3415">
        <v>4</v>
      </c>
      <c r="C3415">
        <v>454</v>
      </c>
      <c r="D3415">
        <v>557</v>
      </c>
      <c r="E3415">
        <v>1577197834</v>
      </c>
      <c r="F3415">
        <v>397</v>
      </c>
      <c r="G3415">
        <v>0</v>
      </c>
      <c r="H3415" t="s">
        <v>8340</v>
      </c>
      <c r="I3415">
        <v>3863</v>
      </c>
      <c r="J3415" t="str">
        <f>VLOOKUP(E3415,DSSpieler!A:B,2,FALSE)</f>
        <v>96slayer</v>
      </c>
    </row>
    <row r="3416" spans="1:10" x14ac:dyDescent="0.25">
      <c r="A3416">
        <v>3865</v>
      </c>
      <c r="B3416" t="s">
        <v>1196</v>
      </c>
      <c r="C3416">
        <v>477</v>
      </c>
      <c r="D3416">
        <v>443</v>
      </c>
      <c r="E3416">
        <v>1576833254</v>
      </c>
      <c r="F3416">
        <v>4438</v>
      </c>
      <c r="G3416">
        <v>0</v>
      </c>
      <c r="H3416" t="s">
        <v>8341</v>
      </c>
      <c r="I3416">
        <v>3865</v>
      </c>
      <c r="J3416" t="str">
        <f>VLOOKUP(E3416,DSSpieler!A:B,2,FALSE)</f>
        <v>Nutzi21</v>
      </c>
    </row>
    <row r="3417" spans="1:10" x14ac:dyDescent="0.25">
      <c r="A3417">
        <v>3866</v>
      </c>
      <c r="B3417" t="s">
        <v>531</v>
      </c>
      <c r="C3417">
        <v>449</v>
      </c>
      <c r="D3417">
        <v>522</v>
      </c>
      <c r="E3417">
        <v>0</v>
      </c>
      <c r="F3417">
        <v>381</v>
      </c>
      <c r="G3417">
        <v>0</v>
      </c>
      <c r="H3417" t="s">
        <v>8342</v>
      </c>
      <c r="I3417">
        <v>3866</v>
      </c>
      <c r="J3417" t="e">
        <f>VLOOKUP(E3417,DSSpieler!A:B,2,FALSE)</f>
        <v>#N/A</v>
      </c>
    </row>
    <row r="3418" spans="1:10" x14ac:dyDescent="0.25">
      <c r="A3418">
        <v>3868</v>
      </c>
      <c r="B3418" t="s">
        <v>31952</v>
      </c>
      <c r="C3418">
        <v>545</v>
      </c>
      <c r="D3418">
        <v>524</v>
      </c>
      <c r="E3418">
        <v>1576872895</v>
      </c>
      <c r="F3418">
        <v>6848</v>
      </c>
      <c r="G3418">
        <v>0</v>
      </c>
      <c r="H3418" t="s">
        <v>8343</v>
      </c>
      <c r="I3418">
        <v>3868</v>
      </c>
      <c r="J3418" t="str">
        <f>VLOOKUP(E3418,DSSpieler!A:B,2,FALSE)</f>
        <v>Strüffler</v>
      </c>
    </row>
    <row r="3419" spans="1:10" x14ac:dyDescent="0.25">
      <c r="A3419">
        <v>3869</v>
      </c>
      <c r="B3419" t="s">
        <v>531</v>
      </c>
      <c r="C3419">
        <v>456</v>
      </c>
      <c r="D3419">
        <v>538</v>
      </c>
      <c r="E3419">
        <v>0</v>
      </c>
      <c r="F3419">
        <v>181</v>
      </c>
      <c r="G3419">
        <v>0</v>
      </c>
      <c r="H3419" t="s">
        <v>8344</v>
      </c>
      <c r="I3419">
        <v>3869</v>
      </c>
      <c r="J3419" t="e">
        <f>VLOOKUP(E3419,DSSpieler!A:B,2,FALSE)</f>
        <v>#N/A</v>
      </c>
    </row>
    <row r="3420" spans="1:10" x14ac:dyDescent="0.25">
      <c r="A3420">
        <v>3870</v>
      </c>
      <c r="B3420" t="s">
        <v>1197</v>
      </c>
      <c r="C3420">
        <v>594</v>
      </c>
      <c r="D3420">
        <v>532</v>
      </c>
      <c r="E3420">
        <v>9448451</v>
      </c>
      <c r="F3420">
        <v>3516</v>
      </c>
      <c r="G3420">
        <v>0</v>
      </c>
      <c r="H3420" t="s">
        <v>8345</v>
      </c>
      <c r="I3420">
        <v>3870</v>
      </c>
      <c r="J3420" t="str">
        <f>VLOOKUP(E3420,DSSpieler!A:B,2,FALSE)</f>
        <v>Turbo-Ghost</v>
      </c>
    </row>
    <row r="3421" spans="1:10" x14ac:dyDescent="0.25">
      <c r="A3421">
        <v>3871</v>
      </c>
      <c r="B3421" t="s">
        <v>31953</v>
      </c>
      <c r="C3421">
        <v>458</v>
      </c>
      <c r="D3421">
        <v>603</v>
      </c>
      <c r="E3421">
        <v>1577197712</v>
      </c>
      <c r="F3421">
        <v>3922</v>
      </c>
      <c r="G3421">
        <v>0</v>
      </c>
      <c r="H3421" t="s">
        <v>8346</v>
      </c>
      <c r="I3421">
        <v>3871</v>
      </c>
      <c r="J3421" t="str">
        <f>VLOOKUP(E3421,DSSpieler!A:B,2,FALSE)</f>
        <v>Revenge is sweet</v>
      </c>
    </row>
    <row r="3422" spans="1:10" x14ac:dyDescent="0.25">
      <c r="A3422">
        <v>3872</v>
      </c>
      <c r="B3422" t="s">
        <v>30948</v>
      </c>
      <c r="C3422">
        <v>589</v>
      </c>
      <c r="D3422">
        <v>455</v>
      </c>
      <c r="E3422">
        <v>8857214</v>
      </c>
      <c r="F3422">
        <v>3025</v>
      </c>
      <c r="G3422">
        <v>0</v>
      </c>
      <c r="H3422" t="s">
        <v>8347</v>
      </c>
      <c r="I3422">
        <v>3872</v>
      </c>
      <c r="J3422" t="str">
        <f>VLOOKUP(E3422,DSSpieler!A:B,2,FALSE)</f>
        <v>TheHardyBoy94</v>
      </c>
    </row>
    <row r="3423" spans="1:10" x14ac:dyDescent="0.25">
      <c r="A3423">
        <v>3873</v>
      </c>
      <c r="B3423" t="s">
        <v>531</v>
      </c>
      <c r="C3423">
        <v>522</v>
      </c>
      <c r="D3423">
        <v>501</v>
      </c>
      <c r="E3423">
        <v>0</v>
      </c>
      <c r="F3423">
        <v>274</v>
      </c>
      <c r="G3423">
        <v>0</v>
      </c>
      <c r="H3423" t="s">
        <v>8348</v>
      </c>
      <c r="I3423">
        <v>3873</v>
      </c>
      <c r="J3423" t="e">
        <f>VLOOKUP(E3423,DSSpieler!A:B,2,FALSE)</f>
        <v>#N/A</v>
      </c>
    </row>
    <row r="3424" spans="1:10" x14ac:dyDescent="0.25">
      <c r="A3424">
        <v>3874</v>
      </c>
      <c r="B3424" t="s">
        <v>31954</v>
      </c>
      <c r="C3424">
        <v>482</v>
      </c>
      <c r="D3424">
        <v>467</v>
      </c>
      <c r="E3424">
        <v>9714561</v>
      </c>
      <c r="F3424">
        <v>3675</v>
      </c>
      <c r="G3424">
        <v>0</v>
      </c>
      <c r="H3424" t="s">
        <v>8349</v>
      </c>
      <c r="I3424">
        <v>3874</v>
      </c>
      <c r="J3424" t="str">
        <f>VLOOKUP(E3424,DSSpieler!A:B,2,FALSE)</f>
        <v>Flipsi777</v>
      </c>
    </row>
    <row r="3425" spans="1:10" x14ac:dyDescent="0.25">
      <c r="A3425">
        <v>3875</v>
      </c>
      <c r="B3425" t="s">
        <v>531</v>
      </c>
      <c r="C3425">
        <v>564</v>
      </c>
      <c r="D3425">
        <v>511</v>
      </c>
      <c r="E3425">
        <v>0</v>
      </c>
      <c r="F3425">
        <v>455</v>
      </c>
      <c r="G3425">
        <v>0</v>
      </c>
      <c r="H3425" t="s">
        <v>8350</v>
      </c>
      <c r="I3425">
        <v>3875</v>
      </c>
      <c r="J3425" t="e">
        <f>VLOOKUP(E3425,DSSpieler!A:B,2,FALSE)</f>
        <v>#N/A</v>
      </c>
    </row>
    <row r="3426" spans="1:10" x14ac:dyDescent="0.25">
      <c r="A3426">
        <v>3876</v>
      </c>
      <c r="B3426" t="s">
        <v>1198</v>
      </c>
      <c r="C3426">
        <v>512</v>
      </c>
      <c r="D3426">
        <v>564</v>
      </c>
      <c r="E3426">
        <v>10085205</v>
      </c>
      <c r="F3426">
        <v>4394</v>
      </c>
      <c r="G3426">
        <v>0</v>
      </c>
      <c r="H3426" t="s">
        <v>8351</v>
      </c>
      <c r="I3426">
        <v>3876</v>
      </c>
      <c r="J3426" t="str">
        <f>VLOOKUP(E3426,DSSpieler!A:B,2,FALSE)</f>
        <v>Floating Coffin</v>
      </c>
    </row>
    <row r="3427" spans="1:10" x14ac:dyDescent="0.25">
      <c r="A3427">
        <v>3878</v>
      </c>
      <c r="B3427" t="s">
        <v>31955</v>
      </c>
      <c r="C3427">
        <v>458</v>
      </c>
      <c r="D3427">
        <v>439</v>
      </c>
      <c r="E3427">
        <v>1577041398</v>
      </c>
      <c r="F3427">
        <v>5156</v>
      </c>
      <c r="G3427">
        <v>0</v>
      </c>
      <c r="H3427" t="s">
        <v>8352</v>
      </c>
      <c r="I3427">
        <v>3878</v>
      </c>
      <c r="J3427" t="str">
        <f>VLOOKUP(E3427,DSSpieler!A:B,2,FALSE)</f>
        <v>Pizzy the deff offer</v>
      </c>
    </row>
    <row r="3428" spans="1:10" x14ac:dyDescent="0.25">
      <c r="A3428">
        <v>3879</v>
      </c>
      <c r="B3428" t="s">
        <v>531</v>
      </c>
      <c r="C3428">
        <v>546</v>
      </c>
      <c r="D3428">
        <v>452</v>
      </c>
      <c r="E3428">
        <v>0</v>
      </c>
      <c r="F3428">
        <v>118</v>
      </c>
      <c r="G3428">
        <v>0</v>
      </c>
      <c r="H3428" t="s">
        <v>8353</v>
      </c>
      <c r="I3428">
        <v>3879</v>
      </c>
      <c r="J3428" t="e">
        <f>VLOOKUP(E3428,DSSpieler!A:B,2,FALSE)</f>
        <v>#N/A</v>
      </c>
    </row>
    <row r="3429" spans="1:10" x14ac:dyDescent="0.25">
      <c r="A3429">
        <v>3880</v>
      </c>
      <c r="B3429" t="s">
        <v>1199</v>
      </c>
      <c r="C3429">
        <v>407</v>
      </c>
      <c r="D3429">
        <v>458</v>
      </c>
      <c r="E3429">
        <v>1576594574</v>
      </c>
      <c r="F3429">
        <v>5760</v>
      </c>
      <c r="G3429">
        <v>0</v>
      </c>
      <c r="H3429" t="s">
        <v>8354</v>
      </c>
      <c r="I3429">
        <v>3880</v>
      </c>
      <c r="J3429" t="str">
        <f>VLOOKUP(E3429,DSSpieler!A:B,2,FALSE)</f>
        <v>FogDog</v>
      </c>
    </row>
    <row r="3430" spans="1:10" x14ac:dyDescent="0.25">
      <c r="A3430">
        <v>3882</v>
      </c>
      <c r="B3430" t="s">
        <v>31956</v>
      </c>
      <c r="C3430">
        <v>470</v>
      </c>
      <c r="D3430">
        <v>438</v>
      </c>
      <c r="E3430">
        <v>8979093</v>
      </c>
      <c r="F3430">
        <v>5352</v>
      </c>
      <c r="G3430">
        <v>0</v>
      </c>
      <c r="H3430" t="s">
        <v>8355</v>
      </c>
      <c r="I3430">
        <v>3882</v>
      </c>
      <c r="J3430" t="str">
        <f>VLOOKUP(E3430,DSSpieler!A:B,2,FALSE)</f>
        <v>colderaser</v>
      </c>
    </row>
    <row r="3431" spans="1:10" x14ac:dyDescent="0.25">
      <c r="A3431">
        <v>3883</v>
      </c>
      <c r="B3431" t="s">
        <v>531</v>
      </c>
      <c r="C3431">
        <v>488</v>
      </c>
      <c r="D3431">
        <v>498</v>
      </c>
      <c r="E3431">
        <v>0</v>
      </c>
      <c r="F3431">
        <v>384</v>
      </c>
      <c r="G3431">
        <v>0</v>
      </c>
      <c r="H3431" t="s">
        <v>8356</v>
      </c>
      <c r="I3431">
        <v>3883</v>
      </c>
      <c r="J3431" t="e">
        <f>VLOOKUP(E3431,DSSpieler!A:B,2,FALSE)</f>
        <v>#N/A</v>
      </c>
    </row>
    <row r="3432" spans="1:10" x14ac:dyDescent="0.25">
      <c r="A3432">
        <v>3884</v>
      </c>
      <c r="B3432" t="s">
        <v>31957</v>
      </c>
      <c r="C3432">
        <v>455</v>
      </c>
      <c r="D3432">
        <v>452</v>
      </c>
      <c r="E3432">
        <v>1576913881</v>
      </c>
      <c r="F3432">
        <v>5997</v>
      </c>
      <c r="G3432">
        <v>0</v>
      </c>
      <c r="H3432" t="s">
        <v>8357</v>
      </c>
      <c r="I3432">
        <v>3884</v>
      </c>
      <c r="J3432" t="str">
        <f>VLOOKUP(E3432,DSSpieler!A:B,2,FALSE)</f>
        <v>Barca4ever</v>
      </c>
    </row>
    <row r="3433" spans="1:10" x14ac:dyDescent="0.25">
      <c r="A3433">
        <v>3886</v>
      </c>
      <c r="B3433" t="s">
        <v>1200</v>
      </c>
      <c r="C3433">
        <v>546</v>
      </c>
      <c r="D3433">
        <v>474</v>
      </c>
      <c r="E3433">
        <v>1577196743</v>
      </c>
      <c r="F3433">
        <v>3212</v>
      </c>
      <c r="G3433">
        <v>0</v>
      </c>
      <c r="H3433" t="s">
        <v>8358</v>
      </c>
      <c r="I3433">
        <v>3886</v>
      </c>
      <c r="J3433" t="str">
        <f>VLOOKUP(E3433,DSSpieler!A:B,2,FALSE)</f>
        <v>Spider902</v>
      </c>
    </row>
    <row r="3434" spans="1:10" x14ac:dyDescent="0.25">
      <c r="A3434">
        <v>3887</v>
      </c>
      <c r="B3434" t="s">
        <v>531</v>
      </c>
      <c r="C3434">
        <v>507</v>
      </c>
      <c r="D3434">
        <v>527</v>
      </c>
      <c r="E3434">
        <v>0</v>
      </c>
      <c r="F3434">
        <v>427</v>
      </c>
      <c r="G3434">
        <v>0</v>
      </c>
      <c r="H3434" t="s">
        <v>8359</v>
      </c>
      <c r="I3434">
        <v>3887</v>
      </c>
      <c r="J3434" t="e">
        <f>VLOOKUP(E3434,DSSpieler!A:B,2,FALSE)</f>
        <v>#N/A</v>
      </c>
    </row>
    <row r="3435" spans="1:10" x14ac:dyDescent="0.25">
      <c r="A3435">
        <v>3888</v>
      </c>
      <c r="B3435" t="s">
        <v>31958</v>
      </c>
      <c r="C3435">
        <v>438</v>
      </c>
      <c r="D3435">
        <v>481</v>
      </c>
      <c r="E3435">
        <v>1577196682</v>
      </c>
      <c r="F3435">
        <v>3958</v>
      </c>
      <c r="G3435">
        <v>0</v>
      </c>
      <c r="H3435" t="s">
        <v>8360</v>
      </c>
      <c r="I3435">
        <v>3888</v>
      </c>
      <c r="J3435" t="str">
        <f>VLOOKUP(E3435,DSSpieler!A:B,2,FALSE)</f>
        <v>schonbesser</v>
      </c>
    </row>
    <row r="3436" spans="1:10" x14ac:dyDescent="0.25">
      <c r="A3436">
        <v>3889</v>
      </c>
      <c r="B3436" t="s">
        <v>31959</v>
      </c>
      <c r="C3436">
        <v>431</v>
      </c>
      <c r="D3436">
        <v>473</v>
      </c>
      <c r="E3436">
        <v>1577197850</v>
      </c>
      <c r="F3436">
        <v>4965</v>
      </c>
      <c r="G3436">
        <v>0</v>
      </c>
      <c r="H3436" t="s">
        <v>8361</v>
      </c>
      <c r="I3436">
        <v>3889</v>
      </c>
      <c r="J3436" t="str">
        <f>VLOOKUP(E3436,DSSpieler!A:B,2,FALSE)</f>
        <v>Benery</v>
      </c>
    </row>
    <row r="3437" spans="1:10" x14ac:dyDescent="0.25">
      <c r="A3437">
        <v>3890</v>
      </c>
      <c r="B3437" t="s">
        <v>31960</v>
      </c>
      <c r="C3437">
        <v>546</v>
      </c>
      <c r="D3437">
        <v>488</v>
      </c>
      <c r="E3437">
        <v>1577194976</v>
      </c>
      <c r="F3437">
        <v>151</v>
      </c>
      <c r="G3437">
        <v>0</v>
      </c>
      <c r="H3437" t="s">
        <v>8362</v>
      </c>
      <c r="I3437">
        <v>3890</v>
      </c>
      <c r="J3437" t="str">
        <f>VLOOKUP(E3437,DSSpieler!A:B,2,FALSE)</f>
        <v>CikeCvit</v>
      </c>
    </row>
    <row r="3438" spans="1:10" x14ac:dyDescent="0.25">
      <c r="A3438">
        <v>3891</v>
      </c>
      <c r="B3438" t="s">
        <v>31961</v>
      </c>
      <c r="C3438">
        <v>526</v>
      </c>
      <c r="D3438">
        <v>398</v>
      </c>
      <c r="E3438">
        <v>1576373467</v>
      </c>
      <c r="F3438">
        <v>5040</v>
      </c>
      <c r="G3438">
        <v>0</v>
      </c>
      <c r="H3438" t="s">
        <v>8363</v>
      </c>
      <c r="I3438">
        <v>3891</v>
      </c>
      <c r="J3438" t="str">
        <f>VLOOKUP(E3438,DSSpieler!A:B,2,FALSE)</f>
        <v>Askandi</v>
      </c>
    </row>
    <row r="3439" spans="1:10" x14ac:dyDescent="0.25">
      <c r="A3439">
        <v>3892</v>
      </c>
      <c r="B3439">
        <v>1</v>
      </c>
      <c r="C3439">
        <v>541</v>
      </c>
      <c r="D3439">
        <v>507</v>
      </c>
      <c r="E3439">
        <v>1577175720</v>
      </c>
      <c r="F3439">
        <v>5497</v>
      </c>
      <c r="G3439">
        <v>0</v>
      </c>
      <c r="H3439" t="s">
        <v>8364</v>
      </c>
      <c r="I3439">
        <v>3892</v>
      </c>
      <c r="J3439" t="str">
        <f>VLOOKUP(E3439,DSSpieler!A:B,2,FALSE)</f>
        <v>Domi-92</v>
      </c>
    </row>
    <row r="3440" spans="1:10" x14ac:dyDescent="0.25">
      <c r="A3440">
        <v>3893</v>
      </c>
      <c r="B3440" t="s">
        <v>30649</v>
      </c>
      <c r="C3440">
        <v>486</v>
      </c>
      <c r="D3440">
        <v>396</v>
      </c>
      <c r="E3440">
        <v>2683003</v>
      </c>
      <c r="F3440">
        <v>2894</v>
      </c>
      <c r="G3440">
        <v>0</v>
      </c>
      <c r="H3440" t="s">
        <v>8365</v>
      </c>
      <c r="I3440">
        <v>3893</v>
      </c>
      <c r="J3440" t="str">
        <f>VLOOKUP(E3440,DSSpieler!A:B,2,FALSE)</f>
        <v>Axt94</v>
      </c>
    </row>
    <row r="3441" spans="1:10" x14ac:dyDescent="0.25">
      <c r="A3441">
        <v>3894</v>
      </c>
      <c r="B3441" t="s">
        <v>31962</v>
      </c>
      <c r="C3441">
        <v>502</v>
      </c>
      <c r="D3441">
        <v>394</v>
      </c>
      <c r="E3441">
        <v>1577139077</v>
      </c>
      <c r="F3441">
        <v>5398</v>
      </c>
      <c r="G3441">
        <v>0</v>
      </c>
      <c r="H3441" t="s">
        <v>8366</v>
      </c>
      <c r="I3441">
        <v>3894</v>
      </c>
      <c r="J3441" t="str">
        <f>VLOOKUP(E3441,DSSpieler!A:B,2,FALSE)</f>
        <v>slinshady</v>
      </c>
    </row>
    <row r="3442" spans="1:10" x14ac:dyDescent="0.25">
      <c r="A3442">
        <v>3895</v>
      </c>
      <c r="B3442" t="s">
        <v>31963</v>
      </c>
      <c r="C3442">
        <v>534</v>
      </c>
      <c r="D3442">
        <v>604</v>
      </c>
      <c r="E3442">
        <v>1577175064</v>
      </c>
      <c r="F3442">
        <v>3985</v>
      </c>
      <c r="G3442">
        <v>0</v>
      </c>
      <c r="H3442" t="s">
        <v>8367</v>
      </c>
      <c r="I3442">
        <v>3895</v>
      </c>
      <c r="J3442" t="str">
        <f>VLOOKUP(E3442,DSSpieler!A:B,2,FALSE)</f>
        <v>Neues Textdokument</v>
      </c>
    </row>
    <row r="3443" spans="1:10" x14ac:dyDescent="0.25">
      <c r="A3443">
        <v>3896</v>
      </c>
      <c r="B3443" t="s">
        <v>1201</v>
      </c>
      <c r="C3443">
        <v>482</v>
      </c>
      <c r="D3443">
        <v>442</v>
      </c>
      <c r="E3443">
        <v>1576822286</v>
      </c>
      <c r="F3443">
        <v>5284</v>
      </c>
      <c r="G3443">
        <v>0</v>
      </c>
      <c r="H3443" t="s">
        <v>8368</v>
      </c>
      <c r="I3443">
        <v>3896</v>
      </c>
      <c r="J3443" t="str">
        <f>VLOOKUP(E3443,DSSpieler!A:B,2,FALSE)</f>
        <v>Hazack</v>
      </c>
    </row>
    <row r="3444" spans="1:10" x14ac:dyDescent="0.25">
      <c r="A3444">
        <v>3897</v>
      </c>
      <c r="B3444" t="s">
        <v>1202</v>
      </c>
      <c r="C3444">
        <v>430</v>
      </c>
      <c r="D3444">
        <v>525</v>
      </c>
      <c r="E3444">
        <v>1515293</v>
      </c>
      <c r="F3444">
        <v>6998</v>
      </c>
      <c r="G3444">
        <v>0</v>
      </c>
      <c r="H3444" t="s">
        <v>8369</v>
      </c>
      <c r="I3444">
        <v>3897</v>
      </c>
      <c r="J3444" t="str">
        <f>VLOOKUP(E3444,DSSpieler!A:B,2,FALSE)</f>
        <v>Hummes</v>
      </c>
    </row>
    <row r="3445" spans="1:10" x14ac:dyDescent="0.25">
      <c r="A3445">
        <v>3898</v>
      </c>
      <c r="B3445" t="s">
        <v>35833</v>
      </c>
      <c r="C3445">
        <v>557</v>
      </c>
      <c r="D3445">
        <v>541</v>
      </c>
      <c r="E3445">
        <v>1577003861</v>
      </c>
      <c r="F3445">
        <v>3127</v>
      </c>
      <c r="G3445">
        <v>0</v>
      </c>
      <c r="H3445" t="s">
        <v>8370</v>
      </c>
      <c r="I3445">
        <v>3898</v>
      </c>
      <c r="J3445" t="str">
        <f>VLOOKUP(E3445,DSSpieler!A:B,2,FALSE)</f>
        <v>nigges204</v>
      </c>
    </row>
    <row r="3446" spans="1:10" x14ac:dyDescent="0.25">
      <c r="A3446">
        <v>3899</v>
      </c>
      <c r="B3446" t="s">
        <v>31964</v>
      </c>
      <c r="C3446">
        <v>556</v>
      </c>
      <c r="D3446">
        <v>476</v>
      </c>
      <c r="E3446">
        <v>1222990</v>
      </c>
      <c r="F3446">
        <v>5304</v>
      </c>
      <c r="G3446">
        <v>0</v>
      </c>
      <c r="H3446" t="s">
        <v>8371</v>
      </c>
      <c r="I3446">
        <v>3899</v>
      </c>
      <c r="J3446" t="str">
        <f>VLOOKUP(E3446,DSSpieler!A:B,2,FALSE)</f>
        <v>saicxs</v>
      </c>
    </row>
    <row r="3447" spans="1:10" x14ac:dyDescent="0.25">
      <c r="A3447">
        <v>3900</v>
      </c>
      <c r="B3447" t="s">
        <v>1203</v>
      </c>
      <c r="C3447">
        <v>435</v>
      </c>
      <c r="D3447">
        <v>538</v>
      </c>
      <c r="E3447">
        <v>1577173890</v>
      </c>
      <c r="F3447">
        <v>3394</v>
      </c>
      <c r="G3447">
        <v>0</v>
      </c>
      <c r="H3447" t="s">
        <v>8372</v>
      </c>
      <c r="I3447">
        <v>3900</v>
      </c>
      <c r="J3447" t="str">
        <f>VLOOKUP(E3447,DSSpieler!A:B,2,FALSE)</f>
        <v>Isolalai</v>
      </c>
    </row>
    <row r="3448" spans="1:10" x14ac:dyDescent="0.25">
      <c r="A3448">
        <v>3901</v>
      </c>
      <c r="B3448" t="s">
        <v>31965</v>
      </c>
      <c r="C3448">
        <v>404</v>
      </c>
      <c r="D3448">
        <v>441</v>
      </c>
      <c r="E3448">
        <v>1576203801</v>
      </c>
      <c r="F3448">
        <v>6473</v>
      </c>
      <c r="G3448">
        <v>0</v>
      </c>
      <c r="H3448" t="s">
        <v>8373</v>
      </c>
      <c r="I3448">
        <v>3901</v>
      </c>
      <c r="J3448" t="str">
        <f>VLOOKUP(E3448,DSSpieler!A:B,2,FALSE)</f>
        <v>X1312</v>
      </c>
    </row>
    <row r="3449" spans="1:10" x14ac:dyDescent="0.25">
      <c r="A3449">
        <v>3902</v>
      </c>
      <c r="B3449" t="s">
        <v>1204</v>
      </c>
      <c r="C3449">
        <v>403</v>
      </c>
      <c r="D3449">
        <v>545</v>
      </c>
      <c r="E3449">
        <v>1576477994</v>
      </c>
      <c r="F3449">
        <v>6860</v>
      </c>
      <c r="G3449">
        <v>0</v>
      </c>
      <c r="H3449" t="s">
        <v>8374</v>
      </c>
      <c r="I3449">
        <v>3902</v>
      </c>
      <c r="J3449" t="str">
        <f>VLOOKUP(E3449,DSSpieler!A:B,2,FALSE)</f>
        <v>diegosam1000</v>
      </c>
    </row>
    <row r="3450" spans="1:10" x14ac:dyDescent="0.25">
      <c r="A3450">
        <v>3903</v>
      </c>
      <c r="B3450" t="s">
        <v>31966</v>
      </c>
      <c r="C3450">
        <v>524</v>
      </c>
      <c r="D3450">
        <v>473</v>
      </c>
      <c r="E3450">
        <v>9522244</v>
      </c>
      <c r="F3450">
        <v>5007</v>
      </c>
      <c r="G3450">
        <v>0</v>
      </c>
      <c r="H3450" t="s">
        <v>8375</v>
      </c>
      <c r="I3450">
        <v>3903</v>
      </c>
      <c r="J3450" t="str">
        <f>VLOOKUP(E3450,DSSpieler!A:B,2,FALSE)</f>
        <v>Masch112</v>
      </c>
    </row>
    <row r="3451" spans="1:10" x14ac:dyDescent="0.25">
      <c r="A3451">
        <v>3904</v>
      </c>
      <c r="B3451" t="s">
        <v>1205</v>
      </c>
      <c r="C3451">
        <v>565</v>
      </c>
      <c r="D3451">
        <v>470</v>
      </c>
      <c r="E3451">
        <v>8334558</v>
      </c>
      <c r="F3451">
        <v>3186</v>
      </c>
      <c r="G3451">
        <v>0</v>
      </c>
      <c r="H3451" t="s">
        <v>8376</v>
      </c>
      <c r="I3451">
        <v>3904</v>
      </c>
      <c r="J3451" t="str">
        <f>VLOOKUP(E3451,DSSpieler!A:B,2,FALSE)</f>
        <v>xHannes</v>
      </c>
    </row>
    <row r="3452" spans="1:10" x14ac:dyDescent="0.25">
      <c r="A3452">
        <v>3905</v>
      </c>
      <c r="B3452" t="s">
        <v>531</v>
      </c>
      <c r="C3452">
        <v>553</v>
      </c>
      <c r="D3452">
        <v>539</v>
      </c>
      <c r="E3452">
        <v>0</v>
      </c>
      <c r="F3452">
        <v>726</v>
      </c>
      <c r="G3452">
        <v>0</v>
      </c>
      <c r="H3452" t="s">
        <v>8377</v>
      </c>
      <c r="I3452">
        <v>3905</v>
      </c>
      <c r="J3452" t="e">
        <f>VLOOKUP(E3452,DSSpieler!A:B,2,FALSE)</f>
        <v>#N/A</v>
      </c>
    </row>
    <row r="3453" spans="1:10" x14ac:dyDescent="0.25">
      <c r="A3453">
        <v>3906</v>
      </c>
      <c r="B3453" t="s">
        <v>30574</v>
      </c>
      <c r="C3453">
        <v>478</v>
      </c>
      <c r="D3453">
        <v>594</v>
      </c>
      <c r="E3453">
        <v>3362710</v>
      </c>
      <c r="F3453">
        <v>3693</v>
      </c>
      <c r="G3453">
        <v>0</v>
      </c>
      <c r="H3453" t="s">
        <v>8378</v>
      </c>
      <c r="I3453">
        <v>3906</v>
      </c>
      <c r="J3453" t="str">
        <f>VLOOKUP(E3453,DSSpieler!A:B,2,FALSE)</f>
        <v>..Headbaenger..</v>
      </c>
    </row>
    <row r="3454" spans="1:10" x14ac:dyDescent="0.25">
      <c r="A3454">
        <v>3907</v>
      </c>
      <c r="B3454" t="s">
        <v>531</v>
      </c>
      <c r="C3454">
        <v>575</v>
      </c>
      <c r="D3454">
        <v>509</v>
      </c>
      <c r="E3454">
        <v>0</v>
      </c>
      <c r="F3454">
        <v>229</v>
      </c>
      <c r="G3454">
        <v>0</v>
      </c>
      <c r="H3454" t="s">
        <v>8379</v>
      </c>
      <c r="I3454">
        <v>3907</v>
      </c>
      <c r="J3454" t="e">
        <f>VLOOKUP(E3454,DSSpieler!A:B,2,FALSE)</f>
        <v>#N/A</v>
      </c>
    </row>
    <row r="3455" spans="1:10" x14ac:dyDescent="0.25">
      <c r="A3455">
        <v>3908</v>
      </c>
      <c r="B3455" t="s">
        <v>31967</v>
      </c>
      <c r="C3455">
        <v>451</v>
      </c>
      <c r="D3455">
        <v>553</v>
      </c>
      <c r="E3455">
        <v>1576348420</v>
      </c>
      <c r="F3455">
        <v>4660</v>
      </c>
      <c r="G3455">
        <v>0</v>
      </c>
      <c r="H3455" t="s">
        <v>8380</v>
      </c>
      <c r="I3455">
        <v>3908</v>
      </c>
      <c r="J3455" t="str">
        <f>VLOOKUP(E3455,DSSpieler!A:B,2,FALSE)</f>
        <v>VfB-xandi</v>
      </c>
    </row>
    <row r="3456" spans="1:10" x14ac:dyDescent="0.25">
      <c r="A3456">
        <v>3909</v>
      </c>
      <c r="B3456" t="s">
        <v>31968</v>
      </c>
      <c r="C3456">
        <v>484</v>
      </c>
      <c r="D3456">
        <v>397</v>
      </c>
      <c r="E3456">
        <v>1577197990</v>
      </c>
      <c r="F3456">
        <v>4510</v>
      </c>
      <c r="G3456">
        <v>0</v>
      </c>
      <c r="H3456" t="s">
        <v>8381</v>
      </c>
      <c r="I3456">
        <v>3909</v>
      </c>
      <c r="J3456" t="str">
        <f>VLOOKUP(E3456,DSSpieler!A:B,2,FALSE)</f>
        <v>haemmy2</v>
      </c>
    </row>
    <row r="3457" spans="1:10" x14ac:dyDescent="0.25">
      <c r="A3457">
        <v>3910</v>
      </c>
      <c r="B3457">
        <v>2</v>
      </c>
      <c r="C3457">
        <v>427</v>
      </c>
      <c r="D3457">
        <v>559</v>
      </c>
      <c r="E3457">
        <v>1576972309</v>
      </c>
      <c r="F3457">
        <v>4913</v>
      </c>
      <c r="G3457">
        <v>0</v>
      </c>
      <c r="H3457" t="s">
        <v>8382</v>
      </c>
      <c r="I3457">
        <v>3910</v>
      </c>
      <c r="J3457" t="str">
        <f>VLOOKUP(E3457,DSSpieler!A:B,2,FALSE)</f>
        <v>xsyx</v>
      </c>
    </row>
    <row r="3458" spans="1:10" x14ac:dyDescent="0.25">
      <c r="A3458">
        <v>3911</v>
      </c>
      <c r="B3458" t="s">
        <v>531</v>
      </c>
      <c r="C3458">
        <v>467</v>
      </c>
      <c r="D3458">
        <v>473</v>
      </c>
      <c r="E3458">
        <v>0</v>
      </c>
      <c r="F3458">
        <v>296</v>
      </c>
      <c r="G3458">
        <v>0</v>
      </c>
      <c r="H3458" t="s">
        <v>8383</v>
      </c>
      <c r="I3458">
        <v>3911</v>
      </c>
      <c r="J3458" t="e">
        <f>VLOOKUP(E3458,DSSpieler!A:B,2,FALSE)</f>
        <v>#N/A</v>
      </c>
    </row>
    <row r="3459" spans="1:10" x14ac:dyDescent="0.25">
      <c r="A3459">
        <v>3912</v>
      </c>
      <c r="B3459" t="s">
        <v>531</v>
      </c>
      <c r="C3459">
        <v>574</v>
      </c>
      <c r="D3459">
        <v>560</v>
      </c>
      <c r="E3459">
        <v>0</v>
      </c>
      <c r="F3459">
        <v>488</v>
      </c>
      <c r="G3459">
        <v>0</v>
      </c>
      <c r="H3459" t="s">
        <v>8384</v>
      </c>
      <c r="I3459">
        <v>3912</v>
      </c>
      <c r="J3459" t="e">
        <f>VLOOKUP(E3459,DSSpieler!A:B,2,FALSE)</f>
        <v>#N/A</v>
      </c>
    </row>
    <row r="3460" spans="1:10" x14ac:dyDescent="0.25">
      <c r="A3460">
        <v>3914</v>
      </c>
      <c r="B3460" t="s">
        <v>531</v>
      </c>
      <c r="C3460">
        <v>489</v>
      </c>
      <c r="D3460">
        <v>519</v>
      </c>
      <c r="E3460">
        <v>0</v>
      </c>
      <c r="F3460">
        <v>231</v>
      </c>
      <c r="G3460">
        <v>0</v>
      </c>
      <c r="H3460" t="s">
        <v>8385</v>
      </c>
      <c r="I3460">
        <v>3914</v>
      </c>
      <c r="J3460" t="e">
        <f>VLOOKUP(E3460,DSSpieler!A:B,2,FALSE)</f>
        <v>#N/A</v>
      </c>
    </row>
    <row r="3461" spans="1:10" x14ac:dyDescent="0.25">
      <c r="A3461">
        <v>3915</v>
      </c>
      <c r="B3461" t="s">
        <v>31969</v>
      </c>
      <c r="C3461">
        <v>445</v>
      </c>
      <c r="D3461">
        <v>593</v>
      </c>
      <c r="E3461">
        <v>9336009</v>
      </c>
      <c r="F3461">
        <v>4346</v>
      </c>
      <c r="G3461">
        <v>0</v>
      </c>
      <c r="H3461" t="s">
        <v>8386</v>
      </c>
      <c r="I3461">
        <v>3915</v>
      </c>
      <c r="J3461" t="str">
        <f>VLOOKUP(E3461,DSSpieler!A:B,2,FALSE)</f>
        <v>Spielmann Lindner</v>
      </c>
    </row>
    <row r="3462" spans="1:10" x14ac:dyDescent="0.25">
      <c r="A3462">
        <v>3916</v>
      </c>
      <c r="B3462" t="s">
        <v>31970</v>
      </c>
      <c r="C3462">
        <v>422</v>
      </c>
      <c r="D3462">
        <v>512</v>
      </c>
      <c r="E3462">
        <v>1576483653</v>
      </c>
      <c r="F3462">
        <v>3275</v>
      </c>
      <c r="G3462">
        <v>0</v>
      </c>
      <c r="H3462" t="s">
        <v>8387</v>
      </c>
      <c r="I3462">
        <v>3916</v>
      </c>
      <c r="J3462" t="str">
        <f>VLOOKUP(E3462,DSSpieler!A:B,2,FALSE)</f>
        <v>Kanubasti</v>
      </c>
    </row>
    <row r="3463" spans="1:10" x14ac:dyDescent="0.25">
      <c r="A3463">
        <v>3917</v>
      </c>
      <c r="B3463">
        <v>4</v>
      </c>
      <c r="C3463">
        <v>520</v>
      </c>
      <c r="D3463">
        <v>389</v>
      </c>
      <c r="E3463">
        <v>9797650</v>
      </c>
      <c r="F3463">
        <v>5590</v>
      </c>
      <c r="G3463">
        <v>0</v>
      </c>
      <c r="H3463" t="s">
        <v>8388</v>
      </c>
      <c r="I3463">
        <v>3917</v>
      </c>
      <c r="J3463" t="str">
        <f>VLOOKUP(E3463,DSSpieler!A:B,2,FALSE)</f>
        <v>robinhood-007</v>
      </c>
    </row>
    <row r="3464" spans="1:10" x14ac:dyDescent="0.25">
      <c r="A3464">
        <v>3918</v>
      </c>
      <c r="B3464" t="s">
        <v>30470</v>
      </c>
      <c r="C3464">
        <v>446</v>
      </c>
      <c r="D3464">
        <v>531</v>
      </c>
      <c r="E3464">
        <v>9551701</v>
      </c>
      <c r="F3464">
        <v>7191</v>
      </c>
      <c r="G3464">
        <v>0</v>
      </c>
      <c r="H3464" t="s">
        <v>8389</v>
      </c>
      <c r="I3464">
        <v>3918</v>
      </c>
      <c r="J3464" t="str">
        <f>VLOOKUP(E3464,DSSpieler!A:B,2,FALSE)</f>
        <v>OJO der Große</v>
      </c>
    </row>
    <row r="3465" spans="1:10" x14ac:dyDescent="0.25">
      <c r="A3465">
        <v>3920</v>
      </c>
      <c r="B3465" t="s">
        <v>546</v>
      </c>
      <c r="C3465">
        <v>509</v>
      </c>
      <c r="D3465">
        <v>447</v>
      </c>
      <c r="E3465">
        <v>1577117841</v>
      </c>
      <c r="F3465">
        <v>4461</v>
      </c>
      <c r="G3465">
        <v>0</v>
      </c>
      <c r="H3465" t="s">
        <v>8390</v>
      </c>
      <c r="I3465">
        <v>3920</v>
      </c>
      <c r="J3465" t="str">
        <f>VLOOKUP(E3465,DSSpieler!A:B,2,FALSE)</f>
        <v>pati89</v>
      </c>
    </row>
    <row r="3466" spans="1:10" x14ac:dyDescent="0.25">
      <c r="A3466">
        <v>3921</v>
      </c>
      <c r="B3466" t="s">
        <v>1206</v>
      </c>
      <c r="C3466">
        <v>498</v>
      </c>
      <c r="D3466">
        <v>518</v>
      </c>
      <c r="E3466">
        <v>1577184447</v>
      </c>
      <c r="F3466">
        <v>2114</v>
      </c>
      <c r="G3466">
        <v>0</v>
      </c>
      <c r="H3466" t="s">
        <v>8391</v>
      </c>
      <c r="I3466">
        <v>3921</v>
      </c>
      <c r="J3466" t="str">
        <f>VLOOKUP(E3466,DSSpieler!A:B,2,FALSE)</f>
        <v>Kopfballungeheuer</v>
      </c>
    </row>
    <row r="3467" spans="1:10" x14ac:dyDescent="0.25">
      <c r="A3467">
        <v>3922</v>
      </c>
      <c r="B3467" t="s">
        <v>31971</v>
      </c>
      <c r="C3467">
        <v>421</v>
      </c>
      <c r="D3467">
        <v>518</v>
      </c>
      <c r="E3467">
        <v>1577002560</v>
      </c>
      <c r="F3467">
        <v>5305</v>
      </c>
      <c r="G3467">
        <v>0</v>
      </c>
      <c r="H3467" t="s">
        <v>8392</v>
      </c>
      <c r="I3467">
        <v>3922</v>
      </c>
      <c r="J3467" t="str">
        <f>VLOOKUP(E3467,DSSpieler!A:B,2,FALSE)</f>
        <v>InstandKiller</v>
      </c>
    </row>
    <row r="3468" spans="1:10" x14ac:dyDescent="0.25">
      <c r="A3468">
        <v>3924</v>
      </c>
      <c r="B3468" t="s">
        <v>31972</v>
      </c>
      <c r="C3468">
        <v>503</v>
      </c>
      <c r="D3468">
        <v>454</v>
      </c>
      <c r="E3468">
        <v>9879935</v>
      </c>
      <c r="F3468">
        <v>4930</v>
      </c>
      <c r="G3468">
        <v>0</v>
      </c>
      <c r="H3468" t="s">
        <v>8393</v>
      </c>
      <c r="I3468">
        <v>3924</v>
      </c>
      <c r="J3468" t="str">
        <f>VLOOKUP(E3468,DSSpieler!A:B,2,FALSE)</f>
        <v>Champp</v>
      </c>
    </row>
    <row r="3469" spans="1:10" x14ac:dyDescent="0.25">
      <c r="A3469">
        <v>3925</v>
      </c>
      <c r="B3469" t="s">
        <v>1207</v>
      </c>
      <c r="C3469">
        <v>528</v>
      </c>
      <c r="D3469">
        <v>440</v>
      </c>
      <c r="E3469">
        <v>1577196872</v>
      </c>
      <c r="F3469">
        <v>336</v>
      </c>
      <c r="G3469">
        <v>0</v>
      </c>
      <c r="H3469" t="s">
        <v>8394</v>
      </c>
      <c r="I3469">
        <v>3925</v>
      </c>
      <c r="J3469" t="str">
        <f>VLOOKUP(E3469,DSSpieler!A:B,2,FALSE)</f>
        <v>iCameForTheBeer</v>
      </c>
    </row>
    <row r="3470" spans="1:10" x14ac:dyDescent="0.25">
      <c r="A3470">
        <v>3926</v>
      </c>
      <c r="B3470" t="s">
        <v>31439</v>
      </c>
      <c r="C3470">
        <v>439</v>
      </c>
      <c r="D3470">
        <v>541</v>
      </c>
      <c r="E3470">
        <v>1576575171</v>
      </c>
      <c r="F3470">
        <v>5582</v>
      </c>
      <c r="G3470">
        <v>0</v>
      </c>
      <c r="H3470" t="s">
        <v>8395</v>
      </c>
      <c r="I3470">
        <v>3926</v>
      </c>
      <c r="J3470" t="str">
        <f>VLOOKUP(E3470,DSSpieler!A:B,2,FALSE)</f>
        <v>2HCL</v>
      </c>
    </row>
    <row r="3471" spans="1:10" x14ac:dyDescent="0.25">
      <c r="A3471">
        <v>3927</v>
      </c>
      <c r="B3471" t="s">
        <v>31973</v>
      </c>
      <c r="C3471">
        <v>411</v>
      </c>
      <c r="D3471">
        <v>551</v>
      </c>
      <c r="E3471">
        <v>1577197544</v>
      </c>
      <c r="F3471">
        <v>3034</v>
      </c>
      <c r="G3471">
        <v>0</v>
      </c>
      <c r="H3471" t="s">
        <v>8396</v>
      </c>
      <c r="I3471">
        <v>3927</v>
      </c>
      <c r="J3471" t="str">
        <f>VLOOKUP(E3471,DSSpieler!A:B,2,FALSE)</f>
        <v>Adelnos</v>
      </c>
    </row>
    <row r="3472" spans="1:10" x14ac:dyDescent="0.25">
      <c r="A3472">
        <v>3928</v>
      </c>
      <c r="B3472" t="s">
        <v>1208</v>
      </c>
      <c r="C3472">
        <v>453</v>
      </c>
      <c r="D3472">
        <v>560</v>
      </c>
      <c r="E3472">
        <v>1577197803</v>
      </c>
      <c r="F3472">
        <v>5346</v>
      </c>
      <c r="G3472">
        <v>0</v>
      </c>
      <c r="H3472" t="s">
        <v>8397</v>
      </c>
      <c r="I3472">
        <v>3928</v>
      </c>
      <c r="J3472" t="str">
        <f>VLOOKUP(E3472,DSSpieler!A:B,2,FALSE)</f>
        <v>Jasnik</v>
      </c>
    </row>
    <row r="3473" spans="1:10" x14ac:dyDescent="0.25">
      <c r="A3473">
        <v>3929</v>
      </c>
      <c r="B3473" t="s">
        <v>31974</v>
      </c>
      <c r="C3473">
        <v>560</v>
      </c>
      <c r="D3473">
        <v>497</v>
      </c>
      <c r="E3473">
        <v>10166667</v>
      </c>
      <c r="F3473">
        <v>6486</v>
      </c>
      <c r="G3473">
        <v>0</v>
      </c>
      <c r="H3473" t="s">
        <v>8398</v>
      </c>
      <c r="I3473">
        <v>3929</v>
      </c>
      <c r="J3473" t="str">
        <f>VLOOKUP(E3473,DSSpieler!A:B,2,FALSE)</f>
        <v>rosatuftuf</v>
      </c>
    </row>
    <row r="3474" spans="1:10" x14ac:dyDescent="0.25">
      <c r="A3474">
        <v>3930</v>
      </c>
      <c r="B3474" t="s">
        <v>31975</v>
      </c>
      <c r="C3474">
        <v>438</v>
      </c>
      <c r="D3474">
        <v>460</v>
      </c>
      <c r="E3474">
        <v>1576889855</v>
      </c>
      <c r="F3474">
        <v>6982</v>
      </c>
      <c r="G3474">
        <v>0</v>
      </c>
      <c r="H3474" t="s">
        <v>8399</v>
      </c>
      <c r="I3474">
        <v>3930</v>
      </c>
      <c r="J3474" t="str">
        <f>VLOOKUP(E3474,DSSpieler!A:B,2,FALSE)</f>
        <v>Harmogy</v>
      </c>
    </row>
    <row r="3475" spans="1:10" x14ac:dyDescent="0.25">
      <c r="A3475">
        <v>3931</v>
      </c>
      <c r="B3475" t="s">
        <v>31976</v>
      </c>
      <c r="C3475">
        <v>562</v>
      </c>
      <c r="D3475">
        <v>510</v>
      </c>
      <c r="E3475">
        <v>1577175525</v>
      </c>
      <c r="F3475">
        <v>2892</v>
      </c>
      <c r="G3475">
        <v>0</v>
      </c>
      <c r="H3475" t="s">
        <v>8400</v>
      </c>
      <c r="I3475">
        <v>3931</v>
      </c>
      <c r="J3475" t="str">
        <f>VLOOKUP(E3475,DSSpieler!A:B,2,FALSE)</f>
        <v>tobu97</v>
      </c>
    </row>
    <row r="3476" spans="1:10" x14ac:dyDescent="0.25">
      <c r="A3476">
        <v>3932</v>
      </c>
      <c r="B3476" t="s">
        <v>31977</v>
      </c>
      <c r="C3476">
        <v>544</v>
      </c>
      <c r="D3476">
        <v>554</v>
      </c>
      <c r="E3476">
        <v>1577185411</v>
      </c>
      <c r="F3476">
        <v>733</v>
      </c>
      <c r="G3476">
        <v>0</v>
      </c>
      <c r="H3476" t="s">
        <v>8401</v>
      </c>
      <c r="I3476">
        <v>3932</v>
      </c>
      <c r="J3476" t="str">
        <f>VLOOKUP(E3476,DSSpieler!A:B,2,FALSE)</f>
        <v>STRNGZ-</v>
      </c>
    </row>
    <row r="3477" spans="1:10" x14ac:dyDescent="0.25">
      <c r="A3477">
        <v>3933</v>
      </c>
      <c r="B3477" t="s">
        <v>31978</v>
      </c>
      <c r="C3477">
        <v>471</v>
      </c>
      <c r="D3477">
        <v>523</v>
      </c>
      <c r="E3477">
        <v>1576950873</v>
      </c>
      <c r="F3477">
        <v>6032</v>
      </c>
      <c r="G3477">
        <v>0</v>
      </c>
      <c r="H3477" t="s">
        <v>8402</v>
      </c>
      <c r="I3477">
        <v>3933</v>
      </c>
      <c r="J3477" t="str">
        <f>VLOOKUP(E3477,DSSpieler!A:B,2,FALSE)</f>
        <v>Rotzen bald dein Dorf</v>
      </c>
    </row>
    <row r="3478" spans="1:10" x14ac:dyDescent="0.25">
      <c r="A3478">
        <v>3935</v>
      </c>
      <c r="B3478" t="s">
        <v>31979</v>
      </c>
      <c r="C3478">
        <v>497</v>
      </c>
      <c r="D3478">
        <v>534</v>
      </c>
      <c r="E3478">
        <v>1577196116</v>
      </c>
      <c r="F3478">
        <v>6629</v>
      </c>
      <c r="G3478">
        <v>0</v>
      </c>
      <c r="H3478" t="s">
        <v>8403</v>
      </c>
      <c r="I3478">
        <v>3935</v>
      </c>
      <c r="J3478" t="str">
        <f>VLOOKUP(E3478,DSSpieler!A:B,2,FALSE)</f>
        <v>Kinglu-N</v>
      </c>
    </row>
    <row r="3479" spans="1:10" x14ac:dyDescent="0.25">
      <c r="A3479">
        <v>3936</v>
      </c>
      <c r="B3479" t="s">
        <v>531</v>
      </c>
      <c r="C3479">
        <v>441</v>
      </c>
      <c r="D3479">
        <v>510</v>
      </c>
      <c r="E3479">
        <v>0</v>
      </c>
      <c r="F3479">
        <v>1133</v>
      </c>
      <c r="G3479">
        <v>0</v>
      </c>
      <c r="H3479" t="s">
        <v>8404</v>
      </c>
      <c r="I3479">
        <v>3936</v>
      </c>
      <c r="J3479" t="e">
        <f>VLOOKUP(E3479,DSSpieler!A:B,2,FALSE)</f>
        <v>#N/A</v>
      </c>
    </row>
    <row r="3480" spans="1:10" x14ac:dyDescent="0.25">
      <c r="A3480">
        <v>3937</v>
      </c>
      <c r="B3480" t="s">
        <v>31980</v>
      </c>
      <c r="C3480">
        <v>512</v>
      </c>
      <c r="D3480">
        <v>416</v>
      </c>
      <c r="E3480">
        <v>1577180967</v>
      </c>
      <c r="F3480">
        <v>3727</v>
      </c>
      <c r="G3480">
        <v>0</v>
      </c>
      <c r="H3480" t="s">
        <v>8405</v>
      </c>
      <c r="I3480">
        <v>3937</v>
      </c>
      <c r="J3480" t="str">
        <f>VLOOKUP(E3480,DSSpieler!A:B,2,FALSE)</f>
        <v>Maxe95</v>
      </c>
    </row>
    <row r="3481" spans="1:10" x14ac:dyDescent="0.25">
      <c r="A3481">
        <v>3939</v>
      </c>
      <c r="B3481" t="s">
        <v>943</v>
      </c>
      <c r="C3481">
        <v>407</v>
      </c>
      <c r="D3481">
        <v>544</v>
      </c>
      <c r="E3481">
        <v>8833591</v>
      </c>
      <c r="F3481">
        <v>7077</v>
      </c>
      <c r="G3481">
        <v>0</v>
      </c>
      <c r="H3481" t="s">
        <v>8406</v>
      </c>
      <c r="I3481">
        <v>3939</v>
      </c>
      <c r="J3481" t="str">
        <f>VLOOKUP(E3481,DSSpieler!A:B,2,FALSE)</f>
        <v>Slytherin1997</v>
      </c>
    </row>
    <row r="3482" spans="1:10" x14ac:dyDescent="0.25">
      <c r="A3482">
        <v>3940</v>
      </c>
      <c r="B3482" t="s">
        <v>531</v>
      </c>
      <c r="C3482">
        <v>445</v>
      </c>
      <c r="D3482">
        <v>506</v>
      </c>
      <c r="E3482">
        <v>0</v>
      </c>
      <c r="F3482">
        <v>80</v>
      </c>
      <c r="G3482">
        <v>0</v>
      </c>
      <c r="H3482" t="s">
        <v>8407</v>
      </c>
      <c r="I3482">
        <v>3940</v>
      </c>
      <c r="J3482" t="e">
        <f>VLOOKUP(E3482,DSSpieler!A:B,2,FALSE)</f>
        <v>#N/A</v>
      </c>
    </row>
    <row r="3483" spans="1:10" x14ac:dyDescent="0.25">
      <c r="A3483">
        <v>3941</v>
      </c>
      <c r="B3483" t="s">
        <v>531</v>
      </c>
      <c r="C3483">
        <v>462</v>
      </c>
      <c r="D3483">
        <v>461</v>
      </c>
      <c r="E3483">
        <v>0</v>
      </c>
      <c r="F3483">
        <v>437</v>
      </c>
      <c r="G3483">
        <v>0</v>
      </c>
      <c r="H3483" t="s">
        <v>8408</v>
      </c>
      <c r="I3483">
        <v>3941</v>
      </c>
      <c r="J3483" t="e">
        <f>VLOOKUP(E3483,DSSpieler!A:B,2,FALSE)</f>
        <v>#N/A</v>
      </c>
    </row>
    <row r="3484" spans="1:10" x14ac:dyDescent="0.25">
      <c r="A3484">
        <v>3943</v>
      </c>
      <c r="B3484" t="s">
        <v>31981</v>
      </c>
      <c r="C3484">
        <v>471</v>
      </c>
      <c r="D3484">
        <v>521</v>
      </c>
      <c r="E3484">
        <v>7866086</v>
      </c>
      <c r="F3484">
        <v>6003</v>
      </c>
      <c r="G3484">
        <v>0</v>
      </c>
      <c r="H3484" t="s">
        <v>8409</v>
      </c>
      <c r="I3484">
        <v>3943</v>
      </c>
      <c r="J3484" t="str">
        <f>VLOOKUP(E3484,DSSpieler!A:B,2,FALSE)</f>
        <v>Torasu</v>
      </c>
    </row>
    <row r="3485" spans="1:10" x14ac:dyDescent="0.25">
      <c r="A3485">
        <v>3945</v>
      </c>
      <c r="B3485" t="s">
        <v>531</v>
      </c>
      <c r="C3485">
        <v>537</v>
      </c>
      <c r="D3485">
        <v>429</v>
      </c>
      <c r="E3485">
        <v>0</v>
      </c>
      <c r="F3485">
        <v>256</v>
      </c>
      <c r="G3485">
        <v>0</v>
      </c>
      <c r="H3485" t="s">
        <v>8410</v>
      </c>
      <c r="I3485">
        <v>3945</v>
      </c>
      <c r="J3485" t="e">
        <f>VLOOKUP(E3485,DSSpieler!A:B,2,FALSE)</f>
        <v>#N/A</v>
      </c>
    </row>
    <row r="3486" spans="1:10" x14ac:dyDescent="0.25">
      <c r="A3486">
        <v>3946</v>
      </c>
      <c r="B3486" t="s">
        <v>1209</v>
      </c>
      <c r="C3486">
        <v>493</v>
      </c>
      <c r="D3486">
        <v>420</v>
      </c>
      <c r="E3486">
        <v>9209997</v>
      </c>
      <c r="F3486">
        <v>6459</v>
      </c>
      <c r="G3486">
        <v>0</v>
      </c>
      <c r="H3486" t="s">
        <v>8411</v>
      </c>
      <c r="I3486">
        <v>3946</v>
      </c>
      <c r="J3486" t="str">
        <f>VLOOKUP(E3486,DSSpieler!A:B,2,FALSE)</f>
        <v>daLUiSeL</v>
      </c>
    </row>
    <row r="3487" spans="1:10" x14ac:dyDescent="0.25">
      <c r="A3487">
        <v>3947</v>
      </c>
      <c r="B3487" t="s">
        <v>30684</v>
      </c>
      <c r="C3487">
        <v>588</v>
      </c>
      <c r="D3487">
        <v>466</v>
      </c>
      <c r="E3487">
        <v>1191670</v>
      </c>
      <c r="F3487">
        <v>5112</v>
      </c>
      <c r="G3487">
        <v>0</v>
      </c>
      <c r="H3487" t="s">
        <v>8412</v>
      </c>
      <c r="I3487">
        <v>3947</v>
      </c>
      <c r="J3487" t="str">
        <f>VLOOKUP(E3487,DSSpieler!A:B,2,FALSE)</f>
        <v>Kazuto Kirigaya</v>
      </c>
    </row>
    <row r="3488" spans="1:10" x14ac:dyDescent="0.25">
      <c r="A3488">
        <v>3948</v>
      </c>
      <c r="B3488" t="s">
        <v>531</v>
      </c>
      <c r="C3488">
        <v>464</v>
      </c>
      <c r="D3488">
        <v>515</v>
      </c>
      <c r="E3488">
        <v>0</v>
      </c>
      <c r="F3488">
        <v>201</v>
      </c>
      <c r="G3488">
        <v>0</v>
      </c>
      <c r="H3488" t="s">
        <v>8413</v>
      </c>
      <c r="I3488">
        <v>3948</v>
      </c>
      <c r="J3488" t="e">
        <f>VLOOKUP(E3488,DSSpieler!A:B,2,FALSE)</f>
        <v>#N/A</v>
      </c>
    </row>
    <row r="3489" spans="1:10" x14ac:dyDescent="0.25">
      <c r="A3489">
        <v>3950</v>
      </c>
      <c r="B3489" t="s">
        <v>31982</v>
      </c>
      <c r="C3489">
        <v>484</v>
      </c>
      <c r="D3489">
        <v>429</v>
      </c>
      <c r="E3489">
        <v>1577128825</v>
      </c>
      <c r="F3489">
        <v>4717</v>
      </c>
      <c r="G3489">
        <v>0</v>
      </c>
      <c r="H3489" t="s">
        <v>8414</v>
      </c>
      <c r="I3489">
        <v>3950</v>
      </c>
      <c r="J3489" t="str">
        <f>VLOOKUP(E3489,DSSpieler!A:B,2,FALSE)</f>
        <v>VikG</v>
      </c>
    </row>
    <row r="3490" spans="1:10" x14ac:dyDescent="0.25">
      <c r="A3490">
        <v>3951</v>
      </c>
      <c r="B3490">
        <v>3</v>
      </c>
      <c r="C3490">
        <v>453</v>
      </c>
      <c r="D3490">
        <v>444</v>
      </c>
      <c r="E3490">
        <v>7935427</v>
      </c>
      <c r="F3490">
        <v>4472</v>
      </c>
      <c r="G3490">
        <v>0</v>
      </c>
      <c r="H3490" t="s">
        <v>8415</v>
      </c>
      <c r="I3490">
        <v>3951</v>
      </c>
      <c r="J3490" t="str">
        <f>VLOOKUP(E3490,DSSpieler!A:B,2,FALSE)</f>
        <v>-Eroberer-</v>
      </c>
    </row>
    <row r="3491" spans="1:10" x14ac:dyDescent="0.25">
      <c r="A3491">
        <v>3952</v>
      </c>
      <c r="B3491" t="s">
        <v>531</v>
      </c>
      <c r="C3491">
        <v>512</v>
      </c>
      <c r="D3491">
        <v>548</v>
      </c>
      <c r="E3491">
        <v>0</v>
      </c>
      <c r="F3491">
        <v>567</v>
      </c>
      <c r="G3491">
        <v>0</v>
      </c>
      <c r="H3491" t="s">
        <v>8416</v>
      </c>
      <c r="I3491">
        <v>3952</v>
      </c>
      <c r="J3491" t="e">
        <f>VLOOKUP(E3491,DSSpieler!A:B,2,FALSE)</f>
        <v>#N/A</v>
      </c>
    </row>
    <row r="3492" spans="1:10" x14ac:dyDescent="0.25">
      <c r="A3492">
        <v>3953</v>
      </c>
      <c r="B3492" t="s">
        <v>1210</v>
      </c>
      <c r="C3492">
        <v>486</v>
      </c>
      <c r="D3492">
        <v>444</v>
      </c>
      <c r="E3492">
        <v>8757542</v>
      </c>
      <c r="F3492">
        <v>2803</v>
      </c>
      <c r="G3492">
        <v>0</v>
      </c>
      <c r="H3492" t="s">
        <v>8417</v>
      </c>
      <c r="I3492">
        <v>3953</v>
      </c>
      <c r="J3492" t="str">
        <f>VLOOKUP(E3492,DSSpieler!A:B,2,FALSE)</f>
        <v>hydra66</v>
      </c>
    </row>
    <row r="3493" spans="1:10" x14ac:dyDescent="0.25">
      <c r="A3493">
        <v>3954</v>
      </c>
      <c r="B3493">
        <v>1</v>
      </c>
      <c r="C3493">
        <v>547</v>
      </c>
      <c r="D3493">
        <v>440</v>
      </c>
      <c r="E3493">
        <v>1577197182</v>
      </c>
      <c r="F3493">
        <v>5443</v>
      </c>
      <c r="G3493">
        <v>0</v>
      </c>
      <c r="H3493" t="s">
        <v>8418</v>
      </c>
      <c r="I3493">
        <v>3954</v>
      </c>
      <c r="J3493" t="str">
        <f>VLOOKUP(E3493,DSSpieler!A:B,2,FALSE)</f>
        <v>Omit0</v>
      </c>
    </row>
    <row r="3494" spans="1:10" x14ac:dyDescent="0.25">
      <c r="A3494">
        <v>3955</v>
      </c>
      <c r="B3494" t="s">
        <v>31983</v>
      </c>
      <c r="C3494">
        <v>507</v>
      </c>
      <c r="D3494">
        <v>577</v>
      </c>
      <c r="E3494">
        <v>1576605487</v>
      </c>
      <c r="F3494">
        <v>5596</v>
      </c>
      <c r="G3494">
        <v>0</v>
      </c>
      <c r="H3494" t="s">
        <v>8419</v>
      </c>
      <c r="I3494">
        <v>3955</v>
      </c>
      <c r="J3494" t="str">
        <f>VLOOKUP(E3494,DSSpieler!A:B,2,FALSE)</f>
        <v>blauespikachu</v>
      </c>
    </row>
    <row r="3495" spans="1:10" x14ac:dyDescent="0.25">
      <c r="A3495">
        <v>3956</v>
      </c>
      <c r="B3495" t="s">
        <v>531</v>
      </c>
      <c r="C3495">
        <v>501</v>
      </c>
      <c r="D3495">
        <v>495</v>
      </c>
      <c r="E3495">
        <v>0</v>
      </c>
      <c r="F3495">
        <v>356</v>
      </c>
      <c r="G3495">
        <v>0</v>
      </c>
      <c r="H3495" t="s">
        <v>8420</v>
      </c>
      <c r="I3495">
        <v>3956</v>
      </c>
      <c r="J3495" t="e">
        <f>VLOOKUP(E3495,DSSpieler!A:B,2,FALSE)</f>
        <v>#N/A</v>
      </c>
    </row>
    <row r="3496" spans="1:10" x14ac:dyDescent="0.25">
      <c r="A3496">
        <v>3957</v>
      </c>
      <c r="B3496" t="s">
        <v>31984</v>
      </c>
      <c r="C3496">
        <v>508</v>
      </c>
      <c r="D3496">
        <v>401</v>
      </c>
      <c r="E3496">
        <v>9490221</v>
      </c>
      <c r="F3496">
        <v>5438</v>
      </c>
      <c r="G3496">
        <v>0</v>
      </c>
      <c r="H3496" t="s">
        <v>8421</v>
      </c>
      <c r="I3496">
        <v>3957</v>
      </c>
      <c r="J3496" t="str">
        <f>VLOOKUP(E3496,DSSpieler!A:B,2,FALSE)</f>
        <v>und alle so yeeow</v>
      </c>
    </row>
    <row r="3497" spans="1:10" x14ac:dyDescent="0.25">
      <c r="A3497">
        <v>3958</v>
      </c>
      <c r="B3497" t="s">
        <v>812</v>
      </c>
      <c r="C3497">
        <v>485</v>
      </c>
      <c r="D3497">
        <v>457</v>
      </c>
      <c r="E3497">
        <v>2100127</v>
      </c>
      <c r="F3497">
        <v>267</v>
      </c>
      <c r="G3497">
        <v>0</v>
      </c>
      <c r="H3497" t="s">
        <v>8422</v>
      </c>
      <c r="I3497">
        <v>3958</v>
      </c>
      <c r="J3497" t="str">
        <f>VLOOKUP(E3497,DSSpieler!A:B,2,FALSE)</f>
        <v>Daisuke222</v>
      </c>
    </row>
    <row r="3498" spans="1:10" x14ac:dyDescent="0.25">
      <c r="A3498">
        <v>3959</v>
      </c>
      <c r="B3498" t="s">
        <v>531</v>
      </c>
      <c r="C3498">
        <v>442</v>
      </c>
      <c r="D3498">
        <v>499</v>
      </c>
      <c r="E3498">
        <v>0</v>
      </c>
      <c r="F3498">
        <v>250</v>
      </c>
      <c r="G3498">
        <v>0</v>
      </c>
      <c r="H3498" t="s">
        <v>8423</v>
      </c>
      <c r="I3498">
        <v>3959</v>
      </c>
      <c r="J3498" t="e">
        <f>VLOOKUP(E3498,DSSpieler!A:B,2,FALSE)</f>
        <v>#N/A</v>
      </c>
    </row>
    <row r="3499" spans="1:10" x14ac:dyDescent="0.25">
      <c r="A3499">
        <v>3960</v>
      </c>
      <c r="B3499" t="s">
        <v>31985</v>
      </c>
      <c r="C3499">
        <v>561</v>
      </c>
      <c r="D3499">
        <v>410</v>
      </c>
      <c r="E3499">
        <v>1577143669</v>
      </c>
      <c r="F3499">
        <v>4997</v>
      </c>
      <c r="G3499">
        <v>0</v>
      </c>
      <c r="H3499" t="s">
        <v>8424</v>
      </c>
      <c r="I3499">
        <v>3960</v>
      </c>
      <c r="J3499" t="str">
        <f>VLOOKUP(E3499,DSSpieler!A:B,2,FALSE)</f>
        <v>Chrisi117</v>
      </c>
    </row>
    <row r="3500" spans="1:10" x14ac:dyDescent="0.25">
      <c r="A3500">
        <v>3961</v>
      </c>
      <c r="B3500" t="s">
        <v>31986</v>
      </c>
      <c r="C3500">
        <v>600</v>
      </c>
      <c r="D3500">
        <v>468</v>
      </c>
      <c r="E3500">
        <v>1577175387</v>
      </c>
      <c r="F3500">
        <v>7653</v>
      </c>
      <c r="G3500">
        <v>0</v>
      </c>
      <c r="H3500" t="s">
        <v>8425</v>
      </c>
      <c r="I3500">
        <v>3961</v>
      </c>
      <c r="J3500" t="str">
        <f>VLOOKUP(E3500,DSSpieler!A:B,2,FALSE)</f>
        <v>Rand*</v>
      </c>
    </row>
    <row r="3501" spans="1:10" x14ac:dyDescent="0.25">
      <c r="A3501">
        <v>3962</v>
      </c>
      <c r="B3501" t="s">
        <v>31987</v>
      </c>
      <c r="C3501">
        <v>405</v>
      </c>
      <c r="D3501">
        <v>462</v>
      </c>
      <c r="E3501">
        <v>1577190085</v>
      </c>
      <c r="F3501">
        <v>5265</v>
      </c>
      <c r="G3501">
        <v>0</v>
      </c>
      <c r="H3501" t="s">
        <v>8426</v>
      </c>
      <c r="I3501">
        <v>3962</v>
      </c>
      <c r="J3501" t="str">
        <f>VLOOKUP(E3501,DSSpieler!A:B,2,FALSE)</f>
        <v>Borstiger Bürstenmann</v>
      </c>
    </row>
    <row r="3502" spans="1:10" x14ac:dyDescent="0.25">
      <c r="A3502">
        <v>3963</v>
      </c>
      <c r="B3502" t="s">
        <v>531</v>
      </c>
      <c r="C3502">
        <v>540</v>
      </c>
      <c r="D3502">
        <v>485</v>
      </c>
      <c r="E3502">
        <v>0</v>
      </c>
      <c r="F3502">
        <v>352</v>
      </c>
      <c r="G3502">
        <v>0</v>
      </c>
      <c r="H3502" t="s">
        <v>8427</v>
      </c>
      <c r="I3502">
        <v>3963</v>
      </c>
      <c r="J3502" t="e">
        <f>VLOOKUP(E3502,DSSpieler!A:B,2,FALSE)</f>
        <v>#N/A</v>
      </c>
    </row>
    <row r="3503" spans="1:10" x14ac:dyDescent="0.25">
      <c r="A3503">
        <v>3964</v>
      </c>
      <c r="B3503" t="s">
        <v>1211</v>
      </c>
      <c r="C3503">
        <v>592</v>
      </c>
      <c r="D3503">
        <v>516</v>
      </c>
      <c r="E3503">
        <v>1576793882</v>
      </c>
      <c r="F3503">
        <v>2192</v>
      </c>
      <c r="G3503">
        <v>0</v>
      </c>
      <c r="H3503" t="s">
        <v>8428</v>
      </c>
      <c r="I3503">
        <v>3964</v>
      </c>
      <c r="J3503" t="str">
        <f>VLOOKUP(E3503,DSSpieler!A:B,2,FALSE)</f>
        <v>leiluck</v>
      </c>
    </row>
    <row r="3504" spans="1:10" x14ac:dyDescent="0.25">
      <c r="A3504">
        <v>3965</v>
      </c>
      <c r="B3504" t="s">
        <v>31988</v>
      </c>
      <c r="C3504">
        <v>506</v>
      </c>
      <c r="D3504">
        <v>435</v>
      </c>
      <c r="E3504">
        <v>1577006772</v>
      </c>
      <c r="F3504">
        <v>7778</v>
      </c>
      <c r="G3504">
        <v>0</v>
      </c>
      <c r="H3504" t="s">
        <v>8429</v>
      </c>
      <c r="I3504">
        <v>3965</v>
      </c>
      <c r="J3504" t="str">
        <f>VLOOKUP(E3504,DSSpieler!A:B,2,FALSE)</f>
        <v>Toolrebel</v>
      </c>
    </row>
    <row r="3505" spans="1:10" x14ac:dyDescent="0.25">
      <c r="A3505">
        <v>3966</v>
      </c>
      <c r="B3505" t="s">
        <v>1166</v>
      </c>
      <c r="C3505">
        <v>427</v>
      </c>
      <c r="D3505">
        <v>535</v>
      </c>
      <c r="E3505">
        <v>1577168646</v>
      </c>
      <c r="F3505">
        <v>1165</v>
      </c>
      <c r="G3505">
        <v>0</v>
      </c>
      <c r="H3505" t="s">
        <v>8430</v>
      </c>
      <c r="I3505">
        <v>3966</v>
      </c>
      <c r="J3505" t="str">
        <f>VLOOKUP(E3505,DSSpieler!A:B,2,FALSE)</f>
        <v>Burgrammler</v>
      </c>
    </row>
    <row r="3506" spans="1:10" x14ac:dyDescent="0.25">
      <c r="A3506">
        <v>3967</v>
      </c>
      <c r="B3506" t="s">
        <v>31989</v>
      </c>
      <c r="C3506">
        <v>576</v>
      </c>
      <c r="D3506">
        <v>445</v>
      </c>
      <c r="E3506">
        <v>1577192471</v>
      </c>
      <c r="F3506">
        <v>5695</v>
      </c>
      <c r="G3506">
        <v>0</v>
      </c>
      <c r="H3506" t="s">
        <v>8431</v>
      </c>
      <c r="I3506">
        <v>3967</v>
      </c>
      <c r="J3506" t="str">
        <f>VLOOKUP(E3506,DSSpieler!A:B,2,FALSE)</f>
        <v>Killerbrot</v>
      </c>
    </row>
    <row r="3507" spans="1:10" x14ac:dyDescent="0.25">
      <c r="A3507">
        <v>3968</v>
      </c>
      <c r="B3507" t="s">
        <v>31990</v>
      </c>
      <c r="C3507">
        <v>589</v>
      </c>
      <c r="D3507">
        <v>447</v>
      </c>
      <c r="E3507">
        <v>1577060953</v>
      </c>
      <c r="F3507">
        <v>5403</v>
      </c>
      <c r="G3507">
        <v>0</v>
      </c>
      <c r="H3507" t="s">
        <v>8432</v>
      </c>
      <c r="I3507">
        <v>3968</v>
      </c>
      <c r="J3507" t="str">
        <f>VLOOKUP(E3507,DSSpieler!A:B,2,FALSE)</f>
        <v>EasySnacks</v>
      </c>
    </row>
    <row r="3508" spans="1:10" x14ac:dyDescent="0.25">
      <c r="A3508">
        <v>3969</v>
      </c>
      <c r="B3508" t="s">
        <v>150</v>
      </c>
      <c r="C3508">
        <v>413</v>
      </c>
      <c r="D3508">
        <v>542</v>
      </c>
      <c r="E3508">
        <v>1576996170</v>
      </c>
      <c r="F3508">
        <v>8457</v>
      </c>
      <c r="G3508">
        <v>0</v>
      </c>
      <c r="H3508" t="s">
        <v>8433</v>
      </c>
      <c r="I3508">
        <v>3969</v>
      </c>
      <c r="J3508" t="str">
        <f>VLOOKUP(E3508,DSSpieler!A:B,2,FALSE)</f>
        <v>Brix05</v>
      </c>
    </row>
    <row r="3509" spans="1:10" x14ac:dyDescent="0.25">
      <c r="A3509">
        <v>3970</v>
      </c>
      <c r="B3509" t="s">
        <v>531</v>
      </c>
      <c r="C3509">
        <v>448</v>
      </c>
      <c r="D3509">
        <v>442</v>
      </c>
      <c r="E3509">
        <v>0</v>
      </c>
      <c r="F3509">
        <v>265</v>
      </c>
      <c r="G3509">
        <v>0</v>
      </c>
      <c r="H3509" t="s">
        <v>8434</v>
      </c>
      <c r="I3509">
        <v>3970</v>
      </c>
      <c r="J3509" t="e">
        <f>VLOOKUP(E3509,DSSpieler!A:B,2,FALSE)</f>
        <v>#N/A</v>
      </c>
    </row>
    <row r="3510" spans="1:10" x14ac:dyDescent="0.25">
      <c r="A3510">
        <v>3971</v>
      </c>
      <c r="B3510" t="s">
        <v>531</v>
      </c>
      <c r="C3510">
        <v>430</v>
      </c>
      <c r="D3510">
        <v>490</v>
      </c>
      <c r="E3510">
        <v>0</v>
      </c>
      <c r="F3510">
        <v>184</v>
      </c>
      <c r="G3510">
        <v>0</v>
      </c>
      <c r="H3510" t="s">
        <v>8435</v>
      </c>
      <c r="I3510">
        <v>3971</v>
      </c>
      <c r="J3510" t="e">
        <f>VLOOKUP(E3510,DSSpieler!A:B,2,FALSE)</f>
        <v>#N/A</v>
      </c>
    </row>
    <row r="3511" spans="1:10" x14ac:dyDescent="0.25">
      <c r="A3511">
        <v>3972</v>
      </c>
      <c r="B3511" t="s">
        <v>31991</v>
      </c>
      <c r="C3511">
        <v>437</v>
      </c>
      <c r="D3511">
        <v>530</v>
      </c>
      <c r="E3511">
        <v>1576755690</v>
      </c>
      <c r="F3511">
        <v>6520</v>
      </c>
      <c r="G3511">
        <v>0</v>
      </c>
      <c r="H3511" t="s">
        <v>8436</v>
      </c>
      <c r="I3511">
        <v>3972</v>
      </c>
      <c r="J3511" t="str">
        <f>VLOOKUP(E3511,DSSpieler!A:B,2,FALSE)</f>
        <v>DownForWhat</v>
      </c>
    </row>
    <row r="3512" spans="1:10" x14ac:dyDescent="0.25">
      <c r="A3512">
        <v>3975</v>
      </c>
      <c r="B3512" t="s">
        <v>31992</v>
      </c>
      <c r="C3512">
        <v>481</v>
      </c>
      <c r="D3512">
        <v>445</v>
      </c>
      <c r="E3512">
        <v>1577196432</v>
      </c>
      <c r="F3512">
        <v>808</v>
      </c>
      <c r="G3512">
        <v>0</v>
      </c>
      <c r="H3512" t="s">
        <v>8437</v>
      </c>
      <c r="I3512">
        <v>3975</v>
      </c>
      <c r="J3512" t="str">
        <f>VLOOKUP(E3512,DSSpieler!A:B,2,FALSE)</f>
        <v>DJ777</v>
      </c>
    </row>
    <row r="3513" spans="1:10" x14ac:dyDescent="0.25">
      <c r="A3513">
        <v>3976</v>
      </c>
      <c r="B3513" t="s">
        <v>1212</v>
      </c>
      <c r="C3513">
        <v>553</v>
      </c>
      <c r="D3513">
        <v>472</v>
      </c>
      <c r="E3513">
        <v>1577196743</v>
      </c>
      <c r="F3513">
        <v>4043</v>
      </c>
      <c r="G3513">
        <v>0</v>
      </c>
      <c r="H3513" t="s">
        <v>8438</v>
      </c>
      <c r="I3513">
        <v>3976</v>
      </c>
      <c r="J3513" t="str">
        <f>VLOOKUP(E3513,DSSpieler!A:B,2,FALSE)</f>
        <v>Spider902</v>
      </c>
    </row>
    <row r="3514" spans="1:10" x14ac:dyDescent="0.25">
      <c r="A3514">
        <v>3977</v>
      </c>
      <c r="B3514" t="s">
        <v>531</v>
      </c>
      <c r="C3514">
        <v>454</v>
      </c>
      <c r="D3514">
        <v>506</v>
      </c>
      <c r="E3514">
        <v>0</v>
      </c>
      <c r="F3514">
        <v>224</v>
      </c>
      <c r="G3514">
        <v>0</v>
      </c>
      <c r="H3514" t="s">
        <v>8439</v>
      </c>
      <c r="I3514">
        <v>3977</v>
      </c>
      <c r="J3514" t="e">
        <f>VLOOKUP(E3514,DSSpieler!A:B,2,FALSE)</f>
        <v>#N/A</v>
      </c>
    </row>
    <row r="3515" spans="1:10" x14ac:dyDescent="0.25">
      <c r="A3515">
        <v>3978</v>
      </c>
      <c r="B3515" t="s">
        <v>31993</v>
      </c>
      <c r="C3515">
        <v>414</v>
      </c>
      <c r="D3515">
        <v>533</v>
      </c>
      <c r="E3515">
        <v>1577197773</v>
      </c>
      <c r="F3515">
        <v>4836</v>
      </c>
      <c r="G3515">
        <v>0</v>
      </c>
      <c r="H3515" t="s">
        <v>8440</v>
      </c>
      <c r="I3515">
        <v>3978</v>
      </c>
      <c r="J3515" t="str">
        <f>VLOOKUP(E3515,DSSpieler!A:B,2,FALSE)</f>
        <v>Wiederlich</v>
      </c>
    </row>
    <row r="3516" spans="1:10" x14ac:dyDescent="0.25">
      <c r="A3516">
        <v>3979</v>
      </c>
      <c r="B3516" t="s">
        <v>31994</v>
      </c>
      <c r="C3516">
        <v>468</v>
      </c>
      <c r="D3516">
        <v>428</v>
      </c>
      <c r="E3516">
        <v>1577188810</v>
      </c>
      <c r="F3516">
        <v>2630</v>
      </c>
      <c r="G3516">
        <v>0</v>
      </c>
      <c r="H3516" t="s">
        <v>8441</v>
      </c>
      <c r="I3516">
        <v>3979</v>
      </c>
      <c r="J3516" t="str">
        <f>VLOOKUP(E3516,DSSpieler!A:B,2,FALSE)</f>
        <v>Taussie</v>
      </c>
    </row>
    <row r="3517" spans="1:10" x14ac:dyDescent="0.25">
      <c r="A3517">
        <v>3980</v>
      </c>
      <c r="B3517" t="s">
        <v>531</v>
      </c>
      <c r="C3517">
        <v>486</v>
      </c>
      <c r="D3517">
        <v>429</v>
      </c>
      <c r="E3517">
        <v>0</v>
      </c>
      <c r="F3517">
        <v>436</v>
      </c>
      <c r="G3517">
        <v>0</v>
      </c>
      <c r="H3517" t="s">
        <v>8442</v>
      </c>
      <c r="I3517">
        <v>3980</v>
      </c>
      <c r="J3517" t="e">
        <f>VLOOKUP(E3517,DSSpieler!A:B,2,FALSE)</f>
        <v>#N/A</v>
      </c>
    </row>
    <row r="3518" spans="1:10" x14ac:dyDescent="0.25">
      <c r="A3518">
        <v>3982</v>
      </c>
      <c r="B3518" t="s">
        <v>31995</v>
      </c>
      <c r="C3518">
        <v>562</v>
      </c>
      <c r="D3518">
        <v>516</v>
      </c>
      <c r="E3518">
        <v>8627192</v>
      </c>
      <c r="F3518">
        <v>3990</v>
      </c>
      <c r="G3518">
        <v>0</v>
      </c>
      <c r="H3518" t="s">
        <v>8443</v>
      </c>
      <c r="I3518">
        <v>3982</v>
      </c>
      <c r="J3518" t="str">
        <f>VLOOKUP(E3518,DSSpieler!A:B,2,FALSE)</f>
        <v>Elektric</v>
      </c>
    </row>
    <row r="3519" spans="1:10" x14ac:dyDescent="0.25">
      <c r="A3519">
        <v>3983</v>
      </c>
      <c r="B3519" t="s">
        <v>31996</v>
      </c>
      <c r="C3519">
        <v>413</v>
      </c>
      <c r="D3519">
        <v>537</v>
      </c>
      <c r="E3519">
        <v>8635827</v>
      </c>
      <c r="F3519">
        <v>4151</v>
      </c>
      <c r="G3519">
        <v>0</v>
      </c>
      <c r="H3519" t="s">
        <v>8444</v>
      </c>
      <c r="I3519">
        <v>3983</v>
      </c>
      <c r="J3519" t="str">
        <f>VLOOKUP(E3519,DSSpieler!A:B,2,FALSE)</f>
        <v>thomaner15</v>
      </c>
    </row>
    <row r="3520" spans="1:10" x14ac:dyDescent="0.25">
      <c r="A3520">
        <v>3984</v>
      </c>
      <c r="B3520" t="s">
        <v>531</v>
      </c>
      <c r="C3520">
        <v>464</v>
      </c>
      <c r="D3520">
        <v>447</v>
      </c>
      <c r="E3520">
        <v>0</v>
      </c>
      <c r="F3520">
        <v>224</v>
      </c>
      <c r="G3520">
        <v>0</v>
      </c>
      <c r="H3520" t="s">
        <v>8445</v>
      </c>
      <c r="I3520">
        <v>3984</v>
      </c>
      <c r="J3520" t="e">
        <f>VLOOKUP(E3520,DSSpieler!A:B,2,FALSE)</f>
        <v>#N/A</v>
      </c>
    </row>
    <row r="3521" spans="1:10" x14ac:dyDescent="0.25">
      <c r="A3521">
        <v>3985</v>
      </c>
      <c r="B3521" t="s">
        <v>1213</v>
      </c>
      <c r="C3521">
        <v>551</v>
      </c>
      <c r="D3521">
        <v>548</v>
      </c>
      <c r="E3521">
        <v>1577170233</v>
      </c>
      <c r="F3521">
        <v>5882</v>
      </c>
      <c r="G3521">
        <v>0</v>
      </c>
      <c r="H3521" t="s">
        <v>8446</v>
      </c>
      <c r="I3521">
        <v>3985</v>
      </c>
      <c r="J3521" t="str">
        <f>VLOOKUP(E3521,DSSpieler!A:B,2,FALSE)</f>
        <v>quaison</v>
      </c>
    </row>
    <row r="3522" spans="1:10" x14ac:dyDescent="0.25">
      <c r="A3522">
        <v>3986</v>
      </c>
      <c r="B3522" t="s">
        <v>531</v>
      </c>
      <c r="C3522">
        <v>469</v>
      </c>
      <c r="D3522">
        <v>446</v>
      </c>
      <c r="E3522">
        <v>0</v>
      </c>
      <c r="F3522">
        <v>349</v>
      </c>
      <c r="G3522">
        <v>0</v>
      </c>
      <c r="H3522" t="s">
        <v>8447</v>
      </c>
      <c r="I3522">
        <v>3986</v>
      </c>
      <c r="J3522" t="e">
        <f>VLOOKUP(E3522,DSSpieler!A:B,2,FALSE)</f>
        <v>#N/A</v>
      </c>
    </row>
    <row r="3523" spans="1:10" x14ac:dyDescent="0.25">
      <c r="A3523">
        <v>3987</v>
      </c>
      <c r="B3523">
        <v>3</v>
      </c>
      <c r="C3523">
        <v>572</v>
      </c>
      <c r="D3523">
        <v>509</v>
      </c>
      <c r="E3523">
        <v>1577197900</v>
      </c>
      <c r="F3523">
        <v>5041</v>
      </c>
      <c r="G3523">
        <v>0</v>
      </c>
      <c r="H3523" t="s">
        <v>8448</v>
      </c>
      <c r="I3523">
        <v>3987</v>
      </c>
      <c r="J3523" t="str">
        <f>VLOOKUP(E3523,DSSpieler!A:B,2,FALSE)</f>
        <v>Hardey17</v>
      </c>
    </row>
    <row r="3524" spans="1:10" x14ac:dyDescent="0.25">
      <c r="A3524">
        <v>3988</v>
      </c>
      <c r="B3524" t="s">
        <v>983</v>
      </c>
      <c r="C3524">
        <v>424</v>
      </c>
      <c r="D3524">
        <v>477</v>
      </c>
      <c r="E3524">
        <v>9432353</v>
      </c>
      <c r="F3524">
        <v>5022</v>
      </c>
      <c r="G3524">
        <v>0</v>
      </c>
      <c r="H3524" t="s">
        <v>8449</v>
      </c>
      <c r="I3524">
        <v>3988</v>
      </c>
      <c r="J3524" t="str">
        <f>VLOOKUP(E3524,DSSpieler!A:B,2,FALSE)</f>
        <v>nOiiSe</v>
      </c>
    </row>
    <row r="3525" spans="1:10" x14ac:dyDescent="0.25">
      <c r="A3525">
        <v>3989</v>
      </c>
      <c r="B3525" t="s">
        <v>531</v>
      </c>
      <c r="C3525">
        <v>521</v>
      </c>
      <c r="D3525">
        <v>432</v>
      </c>
      <c r="E3525">
        <v>0</v>
      </c>
      <c r="F3525">
        <v>271</v>
      </c>
      <c r="G3525">
        <v>0</v>
      </c>
      <c r="H3525" t="s">
        <v>8450</v>
      </c>
      <c r="I3525">
        <v>3989</v>
      </c>
      <c r="J3525" t="e">
        <f>VLOOKUP(E3525,DSSpieler!A:B,2,FALSE)</f>
        <v>#N/A</v>
      </c>
    </row>
    <row r="3526" spans="1:10" x14ac:dyDescent="0.25">
      <c r="A3526">
        <v>3990</v>
      </c>
      <c r="B3526" t="s">
        <v>31997</v>
      </c>
      <c r="C3526">
        <v>506</v>
      </c>
      <c r="D3526">
        <v>396</v>
      </c>
      <c r="E3526">
        <v>1577018397</v>
      </c>
      <c r="F3526">
        <v>5389</v>
      </c>
      <c r="G3526">
        <v>0</v>
      </c>
      <c r="H3526" t="s">
        <v>8451</v>
      </c>
      <c r="I3526">
        <v>3990</v>
      </c>
      <c r="J3526" t="str">
        <f>VLOOKUP(E3526,DSSpieler!A:B,2,FALSE)</f>
        <v>Royale22000</v>
      </c>
    </row>
    <row r="3527" spans="1:10" x14ac:dyDescent="0.25">
      <c r="A3527">
        <v>3991</v>
      </c>
      <c r="B3527" t="s">
        <v>531</v>
      </c>
      <c r="C3527">
        <v>578</v>
      </c>
      <c r="D3527">
        <v>490</v>
      </c>
      <c r="E3527">
        <v>0</v>
      </c>
      <c r="F3527">
        <v>355</v>
      </c>
      <c r="G3527">
        <v>0</v>
      </c>
      <c r="H3527" t="s">
        <v>8452</v>
      </c>
      <c r="I3527">
        <v>3991</v>
      </c>
      <c r="J3527" t="e">
        <f>VLOOKUP(E3527,DSSpieler!A:B,2,FALSE)</f>
        <v>#N/A</v>
      </c>
    </row>
    <row r="3528" spans="1:10" x14ac:dyDescent="0.25">
      <c r="A3528">
        <v>3992</v>
      </c>
      <c r="B3528" t="s">
        <v>31998</v>
      </c>
      <c r="C3528">
        <v>421</v>
      </c>
      <c r="D3528">
        <v>486</v>
      </c>
      <c r="E3528">
        <v>1575971780</v>
      </c>
      <c r="F3528">
        <v>4427</v>
      </c>
      <c r="G3528">
        <v>0</v>
      </c>
      <c r="H3528" t="s">
        <v>8453</v>
      </c>
      <c r="I3528">
        <v>3992</v>
      </c>
      <c r="J3528" t="str">
        <f>VLOOKUP(E3528,DSSpieler!A:B,2,FALSE)</f>
        <v>Finnibear</v>
      </c>
    </row>
    <row r="3529" spans="1:10" x14ac:dyDescent="0.25">
      <c r="A3529">
        <v>3993</v>
      </c>
      <c r="B3529" t="s">
        <v>1214</v>
      </c>
      <c r="C3529">
        <v>407</v>
      </c>
      <c r="D3529">
        <v>462</v>
      </c>
      <c r="E3529">
        <v>1577177448</v>
      </c>
      <c r="F3529">
        <v>5419</v>
      </c>
      <c r="G3529">
        <v>0</v>
      </c>
      <c r="H3529" t="s">
        <v>8454</v>
      </c>
      <c r="I3529">
        <v>3993</v>
      </c>
      <c r="J3529" t="str">
        <f>VLOOKUP(E3529,DSSpieler!A:B,2,FALSE)</f>
        <v>Kyr1ll</v>
      </c>
    </row>
    <row r="3530" spans="1:10" x14ac:dyDescent="0.25">
      <c r="A3530">
        <v>3994</v>
      </c>
      <c r="B3530" t="s">
        <v>31999</v>
      </c>
      <c r="C3530">
        <v>468</v>
      </c>
      <c r="D3530">
        <v>518</v>
      </c>
      <c r="E3530">
        <v>1577165369</v>
      </c>
      <c r="F3530">
        <v>6883</v>
      </c>
      <c r="G3530">
        <v>0</v>
      </c>
      <c r="H3530" t="s">
        <v>8455</v>
      </c>
      <c r="I3530">
        <v>3994</v>
      </c>
      <c r="J3530" t="str">
        <f>VLOOKUP(E3530,DSSpieler!A:B,2,FALSE)</f>
        <v>BlauerOsterhase</v>
      </c>
    </row>
    <row r="3531" spans="1:10" x14ac:dyDescent="0.25">
      <c r="A3531">
        <v>3995</v>
      </c>
      <c r="B3531" t="s">
        <v>31745</v>
      </c>
      <c r="C3531">
        <v>454</v>
      </c>
      <c r="D3531">
        <v>455</v>
      </c>
      <c r="E3531">
        <v>9376750</v>
      </c>
      <c r="F3531">
        <v>5517</v>
      </c>
      <c r="G3531">
        <v>0</v>
      </c>
      <c r="H3531" t="s">
        <v>8456</v>
      </c>
      <c r="I3531">
        <v>3995</v>
      </c>
      <c r="J3531" t="str">
        <f>VLOOKUP(E3531,DSSpieler!A:B,2,FALSE)</f>
        <v>Beisch</v>
      </c>
    </row>
    <row r="3532" spans="1:10" x14ac:dyDescent="0.25">
      <c r="A3532">
        <v>3996</v>
      </c>
      <c r="B3532" t="s">
        <v>31490</v>
      </c>
      <c r="C3532">
        <v>560</v>
      </c>
      <c r="D3532">
        <v>568</v>
      </c>
      <c r="E3532">
        <v>1577138953</v>
      </c>
      <c r="F3532">
        <v>4624</v>
      </c>
      <c r="G3532">
        <v>0</v>
      </c>
      <c r="H3532" t="s">
        <v>8457</v>
      </c>
      <c r="I3532">
        <v>3996</v>
      </c>
      <c r="J3532" t="str">
        <f>VLOOKUP(E3532,DSSpieler!A:B,2,FALSE)</f>
        <v>ganz entspannt</v>
      </c>
    </row>
    <row r="3533" spans="1:10" x14ac:dyDescent="0.25">
      <c r="A3533">
        <v>3997</v>
      </c>
      <c r="B3533" t="s">
        <v>32000</v>
      </c>
      <c r="C3533">
        <v>476</v>
      </c>
      <c r="D3533">
        <v>454</v>
      </c>
      <c r="E3533">
        <v>1576656557</v>
      </c>
      <c r="F3533">
        <v>1940</v>
      </c>
      <c r="G3533">
        <v>0</v>
      </c>
      <c r="H3533" t="s">
        <v>8458</v>
      </c>
      <c r="I3533">
        <v>3997</v>
      </c>
      <c r="J3533" t="str">
        <f>VLOOKUP(E3533,DSSpieler!A:B,2,FALSE)</f>
        <v>AnPa1995</v>
      </c>
    </row>
    <row r="3534" spans="1:10" x14ac:dyDescent="0.25">
      <c r="A3534">
        <v>3998</v>
      </c>
      <c r="B3534" t="s">
        <v>32001</v>
      </c>
      <c r="C3534">
        <v>426</v>
      </c>
      <c r="D3534">
        <v>508</v>
      </c>
      <c r="E3534">
        <v>1576920379</v>
      </c>
      <c r="F3534">
        <v>5958</v>
      </c>
      <c r="G3534">
        <v>0</v>
      </c>
      <c r="H3534" t="s">
        <v>8459</v>
      </c>
      <c r="I3534">
        <v>3998</v>
      </c>
      <c r="J3534" t="str">
        <f>VLOOKUP(E3534,DSSpieler!A:B,2,FALSE)</f>
        <v>holydevil9</v>
      </c>
    </row>
    <row r="3535" spans="1:10" x14ac:dyDescent="0.25">
      <c r="A3535">
        <v>3999</v>
      </c>
      <c r="B3535" t="s">
        <v>32002</v>
      </c>
      <c r="C3535">
        <v>602</v>
      </c>
      <c r="D3535">
        <v>460</v>
      </c>
      <c r="E3535">
        <v>1576874903</v>
      </c>
      <c r="F3535">
        <v>4555</v>
      </c>
      <c r="G3535">
        <v>0</v>
      </c>
      <c r="H3535" t="s">
        <v>8460</v>
      </c>
      <c r="I3535">
        <v>3999</v>
      </c>
      <c r="J3535" t="str">
        <f>VLOOKUP(E3535,DSSpieler!A:B,2,FALSE)</f>
        <v>Mingatobi97</v>
      </c>
    </row>
    <row r="3536" spans="1:10" x14ac:dyDescent="0.25">
      <c r="A3536">
        <v>4000</v>
      </c>
      <c r="B3536" t="s">
        <v>32003</v>
      </c>
      <c r="C3536">
        <v>442</v>
      </c>
      <c r="D3536">
        <v>462</v>
      </c>
      <c r="E3536">
        <v>1575953788</v>
      </c>
      <c r="F3536">
        <v>4035</v>
      </c>
      <c r="G3536">
        <v>0</v>
      </c>
      <c r="H3536" t="s">
        <v>8461</v>
      </c>
      <c r="I3536">
        <v>4000</v>
      </c>
      <c r="J3536" t="str">
        <f>VLOOKUP(E3536,DSSpieler!A:B,2,FALSE)</f>
        <v>BruderSamuel</v>
      </c>
    </row>
    <row r="3537" spans="1:10" x14ac:dyDescent="0.25">
      <c r="A3537">
        <v>4001</v>
      </c>
      <c r="B3537" t="s">
        <v>32004</v>
      </c>
      <c r="C3537">
        <v>464</v>
      </c>
      <c r="D3537">
        <v>437</v>
      </c>
      <c r="E3537">
        <v>1577197809</v>
      </c>
      <c r="F3537">
        <v>6504</v>
      </c>
      <c r="G3537">
        <v>0</v>
      </c>
      <c r="H3537" t="s">
        <v>8462</v>
      </c>
      <c r="I3537">
        <v>4001</v>
      </c>
      <c r="J3537" t="str">
        <f>VLOOKUP(E3537,DSSpieler!A:B,2,FALSE)</f>
        <v>Grotob1</v>
      </c>
    </row>
    <row r="3538" spans="1:10" x14ac:dyDescent="0.25">
      <c r="A3538">
        <v>4002</v>
      </c>
      <c r="B3538" t="s">
        <v>741</v>
      </c>
      <c r="C3538">
        <v>482</v>
      </c>
      <c r="D3538">
        <v>495</v>
      </c>
      <c r="E3538">
        <v>1576991907</v>
      </c>
      <c r="F3538">
        <v>3243</v>
      </c>
      <c r="G3538">
        <v>0</v>
      </c>
      <c r="H3538" t="s">
        <v>8463</v>
      </c>
      <c r="I3538">
        <v>4002</v>
      </c>
      <c r="J3538" t="str">
        <f>VLOOKUP(E3538,DSSpieler!A:B,2,FALSE)</f>
        <v>Wagner1860</v>
      </c>
    </row>
    <row r="3539" spans="1:10" x14ac:dyDescent="0.25">
      <c r="A3539">
        <v>4003</v>
      </c>
      <c r="B3539" t="s">
        <v>1215</v>
      </c>
      <c r="C3539">
        <v>495</v>
      </c>
      <c r="D3539">
        <v>579</v>
      </c>
      <c r="E3539">
        <v>3070187</v>
      </c>
      <c r="F3539">
        <v>2358</v>
      </c>
      <c r="G3539">
        <v>0</v>
      </c>
      <c r="H3539" t="s">
        <v>8464</v>
      </c>
      <c r="I3539">
        <v>4003</v>
      </c>
      <c r="J3539" t="str">
        <f>VLOOKUP(E3539,DSSpieler!A:B,2,FALSE)</f>
        <v>McRio</v>
      </c>
    </row>
    <row r="3540" spans="1:10" x14ac:dyDescent="0.25">
      <c r="A3540">
        <v>4004</v>
      </c>
      <c r="B3540" t="s">
        <v>531</v>
      </c>
      <c r="C3540">
        <v>528</v>
      </c>
      <c r="D3540">
        <v>607</v>
      </c>
      <c r="E3540">
        <v>0</v>
      </c>
      <c r="F3540">
        <v>469</v>
      </c>
      <c r="G3540">
        <v>0</v>
      </c>
      <c r="H3540" t="s">
        <v>8465</v>
      </c>
      <c r="I3540">
        <v>4004</v>
      </c>
      <c r="J3540" t="e">
        <f>VLOOKUP(E3540,DSSpieler!A:B,2,FALSE)</f>
        <v>#N/A</v>
      </c>
    </row>
    <row r="3541" spans="1:10" x14ac:dyDescent="0.25">
      <c r="A3541">
        <v>4005</v>
      </c>
      <c r="B3541" t="s">
        <v>531</v>
      </c>
      <c r="C3541">
        <v>411</v>
      </c>
      <c r="D3541">
        <v>539</v>
      </c>
      <c r="E3541">
        <v>1576996170</v>
      </c>
      <c r="F3541">
        <v>2572</v>
      </c>
      <c r="G3541">
        <v>0</v>
      </c>
      <c r="H3541" t="s">
        <v>8466</v>
      </c>
      <c r="I3541">
        <v>4005</v>
      </c>
      <c r="J3541" t="str">
        <f>VLOOKUP(E3541,DSSpieler!A:B,2,FALSE)</f>
        <v>Brix05</v>
      </c>
    </row>
    <row r="3542" spans="1:10" x14ac:dyDescent="0.25">
      <c r="A3542">
        <v>4006</v>
      </c>
      <c r="B3542" t="s">
        <v>531</v>
      </c>
      <c r="C3542">
        <v>488</v>
      </c>
      <c r="D3542">
        <v>553</v>
      </c>
      <c r="E3542">
        <v>0</v>
      </c>
      <c r="F3542">
        <v>510</v>
      </c>
      <c r="G3542">
        <v>0</v>
      </c>
      <c r="H3542" t="s">
        <v>8467</v>
      </c>
      <c r="I3542">
        <v>4006</v>
      </c>
      <c r="J3542" t="e">
        <f>VLOOKUP(E3542,DSSpieler!A:B,2,FALSE)</f>
        <v>#N/A</v>
      </c>
    </row>
    <row r="3543" spans="1:10" x14ac:dyDescent="0.25">
      <c r="A3543">
        <v>4007</v>
      </c>
      <c r="B3543">
        <v>5</v>
      </c>
      <c r="C3543">
        <v>518</v>
      </c>
      <c r="D3543">
        <v>528</v>
      </c>
      <c r="E3543">
        <v>689047</v>
      </c>
      <c r="F3543">
        <v>4262</v>
      </c>
      <c r="G3543">
        <v>0</v>
      </c>
      <c r="H3543" t="s">
        <v>8468</v>
      </c>
      <c r="I3543">
        <v>4007</v>
      </c>
      <c r="J3543" t="str">
        <f>VLOOKUP(E3543,DSSpieler!A:B,2,FALSE)</f>
        <v>king of gilching</v>
      </c>
    </row>
    <row r="3544" spans="1:10" x14ac:dyDescent="0.25">
      <c r="A3544">
        <v>4009</v>
      </c>
      <c r="B3544" t="s">
        <v>32005</v>
      </c>
      <c r="C3544">
        <v>426</v>
      </c>
      <c r="D3544">
        <v>477</v>
      </c>
      <c r="E3544">
        <v>1577197633</v>
      </c>
      <c r="F3544">
        <v>658</v>
      </c>
      <c r="G3544">
        <v>0</v>
      </c>
      <c r="H3544" t="s">
        <v>8469</v>
      </c>
      <c r="I3544">
        <v>4009</v>
      </c>
      <c r="J3544" t="str">
        <f>VLOOKUP(E3544,DSSpieler!A:B,2,FALSE)</f>
        <v>Bogenschütze</v>
      </c>
    </row>
    <row r="3545" spans="1:10" x14ac:dyDescent="0.25">
      <c r="A3545">
        <v>4010</v>
      </c>
      <c r="B3545" t="s">
        <v>32006</v>
      </c>
      <c r="C3545">
        <v>470</v>
      </c>
      <c r="D3545">
        <v>554</v>
      </c>
      <c r="E3545">
        <v>9026066</v>
      </c>
      <c r="F3545">
        <v>5287</v>
      </c>
      <c r="G3545">
        <v>0</v>
      </c>
      <c r="H3545" t="s">
        <v>8470</v>
      </c>
      <c r="I3545">
        <v>4010</v>
      </c>
      <c r="J3545" t="str">
        <f>VLOOKUP(E3545,DSSpieler!A:B,2,FALSE)</f>
        <v>thehaaacker</v>
      </c>
    </row>
    <row r="3546" spans="1:10" x14ac:dyDescent="0.25">
      <c r="A3546">
        <v>4011</v>
      </c>
      <c r="B3546" t="s">
        <v>32007</v>
      </c>
      <c r="C3546">
        <v>412</v>
      </c>
      <c r="D3546">
        <v>547</v>
      </c>
      <c r="E3546">
        <v>1577182941</v>
      </c>
      <c r="F3546">
        <v>6221</v>
      </c>
      <c r="G3546">
        <v>0</v>
      </c>
      <c r="H3546" t="s">
        <v>8471</v>
      </c>
      <c r="I3546">
        <v>4011</v>
      </c>
      <c r="J3546" t="str">
        <f>VLOOKUP(E3546,DSSpieler!A:B,2,FALSE)</f>
        <v>Daniel47</v>
      </c>
    </row>
    <row r="3547" spans="1:10" x14ac:dyDescent="0.25">
      <c r="A3547">
        <v>4013</v>
      </c>
      <c r="B3547" t="s">
        <v>32008</v>
      </c>
      <c r="C3547">
        <v>491</v>
      </c>
      <c r="D3547">
        <v>557</v>
      </c>
      <c r="E3547">
        <v>1577176017</v>
      </c>
      <c r="F3547">
        <v>7460</v>
      </c>
      <c r="G3547">
        <v>0</v>
      </c>
      <c r="H3547" t="s">
        <v>8472</v>
      </c>
      <c r="I3547">
        <v>4013</v>
      </c>
      <c r="J3547" t="str">
        <f>VLOOKUP(E3547,DSSpieler!A:B,2,FALSE)</f>
        <v>xingo</v>
      </c>
    </row>
    <row r="3548" spans="1:10" x14ac:dyDescent="0.25">
      <c r="A3548">
        <v>4014</v>
      </c>
      <c r="B3548" t="s">
        <v>531</v>
      </c>
      <c r="C3548">
        <v>546</v>
      </c>
      <c r="D3548">
        <v>508</v>
      </c>
      <c r="E3548">
        <v>0</v>
      </c>
      <c r="F3548">
        <v>219</v>
      </c>
      <c r="G3548">
        <v>0</v>
      </c>
      <c r="H3548" t="s">
        <v>8473</v>
      </c>
      <c r="I3548">
        <v>4014</v>
      </c>
      <c r="J3548" t="e">
        <f>VLOOKUP(E3548,DSSpieler!A:B,2,FALSE)</f>
        <v>#N/A</v>
      </c>
    </row>
    <row r="3549" spans="1:10" x14ac:dyDescent="0.25">
      <c r="A3549">
        <v>4015</v>
      </c>
      <c r="B3549" t="s">
        <v>531</v>
      </c>
      <c r="C3549">
        <v>477</v>
      </c>
      <c r="D3549">
        <v>432</v>
      </c>
      <c r="E3549">
        <v>0</v>
      </c>
      <c r="F3549">
        <v>243</v>
      </c>
      <c r="G3549">
        <v>0</v>
      </c>
      <c r="H3549" t="s">
        <v>8474</v>
      </c>
      <c r="I3549">
        <v>4015</v>
      </c>
      <c r="J3549" t="e">
        <f>VLOOKUP(E3549,DSSpieler!A:B,2,FALSE)</f>
        <v>#N/A</v>
      </c>
    </row>
    <row r="3550" spans="1:10" x14ac:dyDescent="0.25">
      <c r="A3550">
        <v>4017</v>
      </c>
      <c r="B3550" t="s">
        <v>531</v>
      </c>
      <c r="C3550">
        <v>538</v>
      </c>
      <c r="D3550">
        <v>441</v>
      </c>
      <c r="E3550">
        <v>0</v>
      </c>
      <c r="F3550">
        <v>291</v>
      </c>
      <c r="G3550">
        <v>0</v>
      </c>
      <c r="H3550" t="s">
        <v>8475</v>
      </c>
      <c r="I3550">
        <v>4017</v>
      </c>
      <c r="J3550" t="e">
        <f>VLOOKUP(E3550,DSSpieler!A:B,2,FALSE)</f>
        <v>#N/A</v>
      </c>
    </row>
    <row r="3551" spans="1:10" x14ac:dyDescent="0.25">
      <c r="A3551">
        <v>4019</v>
      </c>
      <c r="B3551" t="s">
        <v>32009</v>
      </c>
      <c r="C3551">
        <v>478</v>
      </c>
      <c r="D3551">
        <v>560</v>
      </c>
      <c r="E3551">
        <v>9560562</v>
      </c>
      <c r="F3551">
        <v>4330</v>
      </c>
      <c r="G3551">
        <v>0</v>
      </c>
      <c r="H3551" t="s">
        <v>8476</v>
      </c>
      <c r="I3551">
        <v>4019</v>
      </c>
      <c r="J3551" t="str">
        <f>VLOOKUP(E3551,DSSpieler!A:B,2,FALSE)</f>
        <v>Bashimpuls</v>
      </c>
    </row>
    <row r="3552" spans="1:10" x14ac:dyDescent="0.25">
      <c r="A3552">
        <v>4021</v>
      </c>
      <c r="B3552" t="s">
        <v>32010</v>
      </c>
      <c r="C3552">
        <v>568</v>
      </c>
      <c r="D3552">
        <v>575</v>
      </c>
      <c r="E3552">
        <v>7801723</v>
      </c>
      <c r="F3552">
        <v>4298</v>
      </c>
      <c r="G3552">
        <v>0</v>
      </c>
      <c r="H3552" t="s">
        <v>8477</v>
      </c>
      <c r="I3552">
        <v>4021</v>
      </c>
      <c r="J3552" t="str">
        <f>VLOOKUP(E3552,DSSpieler!A:B,2,FALSE)</f>
        <v>Herr des Hasses</v>
      </c>
    </row>
    <row r="3553" spans="1:10" x14ac:dyDescent="0.25">
      <c r="A3553">
        <v>4022</v>
      </c>
      <c r="B3553" t="s">
        <v>660</v>
      </c>
      <c r="C3553">
        <v>563</v>
      </c>
      <c r="D3553">
        <v>509</v>
      </c>
      <c r="E3553">
        <v>1092500</v>
      </c>
      <c r="F3553">
        <v>4621</v>
      </c>
      <c r="G3553">
        <v>0</v>
      </c>
      <c r="H3553" t="s">
        <v>8478</v>
      </c>
      <c r="I3553">
        <v>4022</v>
      </c>
      <c r="J3553" t="str">
        <f>VLOOKUP(E3553,DSSpieler!A:B,2,FALSE)</f>
        <v>Klitschko007</v>
      </c>
    </row>
    <row r="3554" spans="1:10" x14ac:dyDescent="0.25">
      <c r="A3554">
        <v>4024</v>
      </c>
      <c r="B3554" t="s">
        <v>667</v>
      </c>
      <c r="C3554">
        <v>546</v>
      </c>
      <c r="D3554">
        <v>515</v>
      </c>
      <c r="E3554">
        <v>1577179568</v>
      </c>
      <c r="F3554">
        <v>5753</v>
      </c>
      <c r="G3554">
        <v>0</v>
      </c>
      <c r="H3554" t="s">
        <v>8479</v>
      </c>
      <c r="I3554">
        <v>4024</v>
      </c>
      <c r="J3554" t="str">
        <f>VLOOKUP(E3554,DSSpieler!A:B,2,FALSE)</f>
        <v>Bienhardson</v>
      </c>
    </row>
    <row r="3555" spans="1:10" x14ac:dyDescent="0.25">
      <c r="A3555">
        <v>4025</v>
      </c>
      <c r="B3555" t="s">
        <v>531</v>
      </c>
      <c r="C3555">
        <v>508</v>
      </c>
      <c r="D3555">
        <v>584</v>
      </c>
      <c r="E3555">
        <v>0</v>
      </c>
      <c r="F3555">
        <v>334</v>
      </c>
      <c r="G3555">
        <v>0</v>
      </c>
      <c r="H3555" t="s">
        <v>8480</v>
      </c>
      <c r="I3555">
        <v>4025</v>
      </c>
      <c r="J3555" t="e">
        <f>VLOOKUP(E3555,DSSpieler!A:B,2,FALSE)</f>
        <v>#N/A</v>
      </c>
    </row>
    <row r="3556" spans="1:10" x14ac:dyDescent="0.25">
      <c r="A3556">
        <v>4026</v>
      </c>
      <c r="B3556" t="s">
        <v>531</v>
      </c>
      <c r="C3556">
        <v>528</v>
      </c>
      <c r="D3556">
        <v>431</v>
      </c>
      <c r="E3556">
        <v>0</v>
      </c>
      <c r="F3556">
        <v>317</v>
      </c>
      <c r="G3556">
        <v>0</v>
      </c>
      <c r="H3556" t="s">
        <v>8481</v>
      </c>
      <c r="I3556">
        <v>4026</v>
      </c>
      <c r="J3556" t="e">
        <f>VLOOKUP(E3556,DSSpieler!A:B,2,FALSE)</f>
        <v>#N/A</v>
      </c>
    </row>
    <row r="3557" spans="1:10" x14ac:dyDescent="0.25">
      <c r="A3557">
        <v>4027</v>
      </c>
      <c r="B3557" t="s">
        <v>926</v>
      </c>
      <c r="C3557">
        <v>460</v>
      </c>
      <c r="D3557">
        <v>472</v>
      </c>
      <c r="E3557">
        <v>1577187211</v>
      </c>
      <c r="F3557">
        <v>7342</v>
      </c>
      <c r="G3557">
        <v>0</v>
      </c>
      <c r="H3557" t="s">
        <v>8482</v>
      </c>
      <c r="I3557">
        <v>4027</v>
      </c>
      <c r="J3557" t="str">
        <f>VLOOKUP(E3557,DSSpieler!A:B,2,FALSE)</f>
        <v>August.iner</v>
      </c>
    </row>
    <row r="3558" spans="1:10" x14ac:dyDescent="0.25">
      <c r="A3558">
        <v>4028</v>
      </c>
      <c r="B3558" t="s">
        <v>550</v>
      </c>
      <c r="C3558">
        <v>417</v>
      </c>
      <c r="D3558">
        <v>529</v>
      </c>
      <c r="E3558">
        <v>1577162296</v>
      </c>
      <c r="F3558">
        <v>5620</v>
      </c>
      <c r="G3558">
        <v>0</v>
      </c>
      <c r="H3558" t="s">
        <v>8483</v>
      </c>
      <c r="I3558">
        <v>4028</v>
      </c>
      <c r="J3558" t="str">
        <f>VLOOKUP(E3558,DSSpieler!A:B,2,FALSE)</f>
        <v>Tausspaul</v>
      </c>
    </row>
    <row r="3559" spans="1:10" x14ac:dyDescent="0.25">
      <c r="A3559">
        <v>4029</v>
      </c>
      <c r="B3559">
        <v>1</v>
      </c>
      <c r="C3559">
        <v>468</v>
      </c>
      <c r="D3559">
        <v>560</v>
      </c>
      <c r="E3559">
        <v>2639534</v>
      </c>
      <c r="F3559">
        <v>3363</v>
      </c>
      <c r="G3559">
        <v>0</v>
      </c>
      <c r="H3559" t="s">
        <v>8484</v>
      </c>
      <c r="I3559">
        <v>4029</v>
      </c>
      <c r="J3559" t="str">
        <f>VLOOKUP(E3559,DSSpieler!A:B,2,FALSE)</f>
        <v>Wastl 44</v>
      </c>
    </row>
    <row r="3560" spans="1:10" x14ac:dyDescent="0.25">
      <c r="A3560">
        <v>4030</v>
      </c>
      <c r="B3560" t="s">
        <v>1216</v>
      </c>
      <c r="C3560">
        <v>449</v>
      </c>
      <c r="D3560">
        <v>453</v>
      </c>
      <c r="E3560">
        <v>402965</v>
      </c>
      <c r="F3560">
        <v>8298</v>
      </c>
      <c r="G3560">
        <v>0</v>
      </c>
      <c r="H3560" t="s">
        <v>8485</v>
      </c>
      <c r="I3560">
        <v>4030</v>
      </c>
      <c r="J3560" t="str">
        <f>VLOOKUP(E3560,DSSpieler!A:B,2,FALSE)</f>
        <v>magnum11</v>
      </c>
    </row>
    <row r="3561" spans="1:10" x14ac:dyDescent="0.25">
      <c r="A3561">
        <v>4031</v>
      </c>
      <c r="B3561" t="s">
        <v>1217</v>
      </c>
      <c r="C3561">
        <v>415</v>
      </c>
      <c r="D3561">
        <v>438</v>
      </c>
      <c r="E3561">
        <v>1577189274</v>
      </c>
      <c r="F3561">
        <v>4502</v>
      </c>
      <c r="G3561">
        <v>0</v>
      </c>
      <c r="H3561" t="s">
        <v>8486</v>
      </c>
      <c r="I3561">
        <v>4031</v>
      </c>
      <c r="J3561" t="str">
        <f>VLOOKUP(E3561,DSSpieler!A:B,2,FALSE)</f>
        <v>Tanzmarie</v>
      </c>
    </row>
    <row r="3562" spans="1:10" x14ac:dyDescent="0.25">
      <c r="A3562">
        <v>4033</v>
      </c>
      <c r="B3562" t="s">
        <v>531</v>
      </c>
      <c r="C3562">
        <v>496</v>
      </c>
      <c r="D3562">
        <v>441</v>
      </c>
      <c r="E3562">
        <v>0</v>
      </c>
      <c r="F3562">
        <v>416</v>
      </c>
      <c r="G3562">
        <v>0</v>
      </c>
      <c r="H3562" t="s">
        <v>8487</v>
      </c>
      <c r="I3562">
        <v>4033</v>
      </c>
      <c r="J3562" t="e">
        <f>VLOOKUP(E3562,DSSpieler!A:B,2,FALSE)</f>
        <v>#N/A</v>
      </c>
    </row>
    <row r="3563" spans="1:10" x14ac:dyDescent="0.25">
      <c r="A3563">
        <v>4034</v>
      </c>
      <c r="B3563" t="s">
        <v>32011</v>
      </c>
      <c r="C3563">
        <v>515</v>
      </c>
      <c r="D3563">
        <v>471</v>
      </c>
      <c r="E3563">
        <v>9522244</v>
      </c>
      <c r="F3563">
        <v>4362</v>
      </c>
      <c r="G3563">
        <v>0</v>
      </c>
      <c r="H3563" t="s">
        <v>8488</v>
      </c>
      <c r="I3563">
        <v>4034</v>
      </c>
      <c r="J3563" t="str">
        <f>VLOOKUP(E3563,DSSpieler!A:B,2,FALSE)</f>
        <v>Masch112</v>
      </c>
    </row>
    <row r="3564" spans="1:10" x14ac:dyDescent="0.25">
      <c r="A3564">
        <v>4035</v>
      </c>
      <c r="B3564" t="s">
        <v>32012</v>
      </c>
      <c r="C3564">
        <v>405</v>
      </c>
      <c r="D3564">
        <v>503</v>
      </c>
      <c r="E3564">
        <v>1577179388</v>
      </c>
      <c r="F3564">
        <v>4638</v>
      </c>
      <c r="G3564">
        <v>0</v>
      </c>
      <c r="H3564" t="s">
        <v>8489</v>
      </c>
      <c r="I3564">
        <v>4035</v>
      </c>
      <c r="J3564" t="str">
        <f>VLOOKUP(E3564,DSSpieler!A:B,2,FALSE)</f>
        <v>Rücken</v>
      </c>
    </row>
    <row r="3565" spans="1:10" x14ac:dyDescent="0.25">
      <c r="A3565">
        <v>4036</v>
      </c>
      <c r="B3565" t="s">
        <v>32013</v>
      </c>
      <c r="C3565">
        <v>571</v>
      </c>
      <c r="D3565">
        <v>529</v>
      </c>
      <c r="E3565">
        <v>1577165202</v>
      </c>
      <c r="F3565">
        <v>2988</v>
      </c>
      <c r="G3565">
        <v>0</v>
      </c>
      <c r="H3565" t="s">
        <v>8490</v>
      </c>
      <c r="I3565">
        <v>4036</v>
      </c>
      <c r="J3565" t="str">
        <f>VLOOKUP(E3565,DSSpieler!A:B,2,FALSE)</f>
        <v>senorita</v>
      </c>
    </row>
    <row r="3566" spans="1:10" x14ac:dyDescent="0.25">
      <c r="A3566">
        <v>4037</v>
      </c>
      <c r="B3566" t="s">
        <v>531</v>
      </c>
      <c r="C3566">
        <v>569</v>
      </c>
      <c r="D3566">
        <v>461</v>
      </c>
      <c r="E3566">
        <v>0</v>
      </c>
      <c r="F3566">
        <v>287</v>
      </c>
      <c r="G3566">
        <v>0</v>
      </c>
      <c r="H3566" t="s">
        <v>8491</v>
      </c>
      <c r="I3566">
        <v>4037</v>
      </c>
      <c r="J3566" t="e">
        <f>VLOOKUP(E3566,DSSpieler!A:B,2,FALSE)</f>
        <v>#N/A</v>
      </c>
    </row>
    <row r="3567" spans="1:10" x14ac:dyDescent="0.25">
      <c r="A3567">
        <v>4038</v>
      </c>
      <c r="B3567" t="s">
        <v>531</v>
      </c>
      <c r="C3567">
        <v>479</v>
      </c>
      <c r="D3567">
        <v>433</v>
      </c>
      <c r="E3567">
        <v>0</v>
      </c>
      <c r="F3567">
        <v>376</v>
      </c>
      <c r="G3567">
        <v>0</v>
      </c>
      <c r="H3567" t="s">
        <v>8492</v>
      </c>
      <c r="I3567">
        <v>4038</v>
      </c>
      <c r="J3567" t="e">
        <f>VLOOKUP(E3567,DSSpieler!A:B,2,FALSE)</f>
        <v>#N/A</v>
      </c>
    </row>
    <row r="3568" spans="1:10" x14ac:dyDescent="0.25">
      <c r="A3568">
        <v>4039</v>
      </c>
      <c r="B3568" t="s">
        <v>531</v>
      </c>
      <c r="C3568">
        <v>567</v>
      </c>
      <c r="D3568">
        <v>515</v>
      </c>
      <c r="E3568">
        <v>0</v>
      </c>
      <c r="F3568">
        <v>341</v>
      </c>
      <c r="G3568">
        <v>0</v>
      </c>
      <c r="H3568" t="s">
        <v>8493</v>
      </c>
      <c r="I3568">
        <v>4039</v>
      </c>
      <c r="J3568" t="e">
        <f>VLOOKUP(E3568,DSSpieler!A:B,2,FALSE)</f>
        <v>#N/A</v>
      </c>
    </row>
    <row r="3569" spans="1:10" x14ac:dyDescent="0.25">
      <c r="A3569">
        <v>4040</v>
      </c>
      <c r="B3569" t="s">
        <v>31711</v>
      </c>
      <c r="C3569">
        <v>572</v>
      </c>
      <c r="D3569">
        <v>568</v>
      </c>
      <c r="E3569">
        <v>8639312</v>
      </c>
      <c r="F3569">
        <v>5490</v>
      </c>
      <c r="G3569">
        <v>0</v>
      </c>
      <c r="H3569" t="s">
        <v>8494</v>
      </c>
      <c r="I3569">
        <v>4040</v>
      </c>
      <c r="J3569" t="str">
        <f>VLOOKUP(E3569,DSSpieler!A:B,2,FALSE)</f>
        <v>J--O</v>
      </c>
    </row>
    <row r="3570" spans="1:10" x14ac:dyDescent="0.25">
      <c r="A3570">
        <v>4041</v>
      </c>
      <c r="B3570" t="s">
        <v>531</v>
      </c>
      <c r="C3570">
        <v>454</v>
      </c>
      <c r="D3570">
        <v>497</v>
      </c>
      <c r="E3570">
        <v>0</v>
      </c>
      <c r="F3570">
        <v>417</v>
      </c>
      <c r="G3570">
        <v>0</v>
      </c>
      <c r="H3570" t="s">
        <v>8495</v>
      </c>
      <c r="I3570">
        <v>4041</v>
      </c>
      <c r="J3570" t="e">
        <f>VLOOKUP(E3570,DSSpieler!A:B,2,FALSE)</f>
        <v>#N/A</v>
      </c>
    </row>
    <row r="3571" spans="1:10" x14ac:dyDescent="0.25">
      <c r="A3571">
        <v>4042</v>
      </c>
      <c r="B3571" t="s">
        <v>531</v>
      </c>
      <c r="C3571">
        <v>548</v>
      </c>
      <c r="D3571">
        <v>455</v>
      </c>
      <c r="E3571">
        <v>0</v>
      </c>
      <c r="F3571">
        <v>208</v>
      </c>
      <c r="G3571">
        <v>0</v>
      </c>
      <c r="H3571" t="s">
        <v>8496</v>
      </c>
      <c r="I3571">
        <v>4042</v>
      </c>
      <c r="J3571" t="e">
        <f>VLOOKUP(E3571,DSSpieler!A:B,2,FALSE)</f>
        <v>#N/A</v>
      </c>
    </row>
    <row r="3572" spans="1:10" x14ac:dyDescent="0.25">
      <c r="A3572">
        <v>4043</v>
      </c>
      <c r="B3572" t="s">
        <v>673</v>
      </c>
      <c r="C3572">
        <v>546</v>
      </c>
      <c r="D3572">
        <v>527</v>
      </c>
      <c r="E3572">
        <v>1576896284</v>
      </c>
      <c r="F3572">
        <v>2283</v>
      </c>
      <c r="G3572">
        <v>0</v>
      </c>
      <c r="H3572" t="s">
        <v>8497</v>
      </c>
      <c r="I3572">
        <v>4043</v>
      </c>
      <c r="J3572" t="str">
        <f>VLOOKUP(E3572,DSSpieler!A:B,2,FALSE)</f>
        <v>XHighOwnX</v>
      </c>
    </row>
    <row r="3573" spans="1:10" x14ac:dyDescent="0.25">
      <c r="A3573">
        <v>4044</v>
      </c>
      <c r="B3573" t="s">
        <v>531</v>
      </c>
      <c r="C3573">
        <v>441</v>
      </c>
      <c r="D3573">
        <v>490</v>
      </c>
      <c r="E3573">
        <v>0</v>
      </c>
      <c r="F3573">
        <v>268</v>
      </c>
      <c r="G3573">
        <v>0</v>
      </c>
      <c r="H3573" t="s">
        <v>8498</v>
      </c>
      <c r="I3573">
        <v>4044</v>
      </c>
      <c r="J3573" t="e">
        <f>VLOOKUP(E3573,DSSpieler!A:B,2,FALSE)</f>
        <v>#N/A</v>
      </c>
    </row>
    <row r="3574" spans="1:10" x14ac:dyDescent="0.25">
      <c r="A3574">
        <v>4045</v>
      </c>
      <c r="B3574" t="s">
        <v>32014</v>
      </c>
      <c r="C3574">
        <v>437</v>
      </c>
      <c r="D3574">
        <v>540</v>
      </c>
      <c r="E3574">
        <v>9868037</v>
      </c>
      <c r="F3574">
        <v>4150</v>
      </c>
      <c r="G3574">
        <v>0</v>
      </c>
      <c r="H3574" t="s">
        <v>8499</v>
      </c>
      <c r="I3574">
        <v>4045</v>
      </c>
      <c r="J3574" t="str">
        <f>VLOOKUP(E3574,DSSpieler!A:B,2,FALSE)</f>
        <v>.Taboo</v>
      </c>
    </row>
    <row r="3575" spans="1:10" x14ac:dyDescent="0.25">
      <c r="A3575">
        <v>4046</v>
      </c>
      <c r="B3575">
        <v>1</v>
      </c>
      <c r="C3575">
        <v>595</v>
      </c>
      <c r="D3575">
        <v>457</v>
      </c>
      <c r="E3575">
        <v>1576089212</v>
      </c>
      <c r="F3575">
        <v>5340</v>
      </c>
      <c r="G3575">
        <v>0</v>
      </c>
      <c r="H3575" t="s">
        <v>8500</v>
      </c>
      <c r="I3575">
        <v>4046</v>
      </c>
      <c r="J3575" t="str">
        <f>VLOOKUP(E3575,DSSpieler!A:B,2,FALSE)</f>
        <v>mamba1993</v>
      </c>
    </row>
    <row r="3576" spans="1:10" x14ac:dyDescent="0.25">
      <c r="A3576">
        <v>4047</v>
      </c>
      <c r="B3576" t="s">
        <v>32015</v>
      </c>
      <c r="C3576">
        <v>492</v>
      </c>
      <c r="D3576">
        <v>610</v>
      </c>
      <c r="E3576">
        <v>9064505</v>
      </c>
      <c r="F3576">
        <v>5099</v>
      </c>
      <c r="G3576">
        <v>0</v>
      </c>
      <c r="H3576" t="s">
        <v>8501</v>
      </c>
      <c r="I3576">
        <v>4047</v>
      </c>
      <c r="J3576" t="str">
        <f>VLOOKUP(E3576,DSSpieler!A:B,2,FALSE)</f>
        <v>SirLeoDer1</v>
      </c>
    </row>
    <row r="3577" spans="1:10" x14ac:dyDescent="0.25">
      <c r="A3577">
        <v>4048</v>
      </c>
      <c r="B3577" t="s">
        <v>32016</v>
      </c>
      <c r="C3577">
        <v>587</v>
      </c>
      <c r="D3577">
        <v>459</v>
      </c>
      <c r="E3577">
        <v>8106081</v>
      </c>
      <c r="F3577">
        <v>5260</v>
      </c>
      <c r="G3577">
        <v>0</v>
      </c>
      <c r="H3577" t="s">
        <v>8502</v>
      </c>
      <c r="I3577">
        <v>4048</v>
      </c>
      <c r="J3577" t="str">
        <f>VLOOKUP(E3577,DSSpieler!A:B,2,FALSE)</f>
        <v>Vaadi</v>
      </c>
    </row>
    <row r="3578" spans="1:10" x14ac:dyDescent="0.25">
      <c r="A3578">
        <v>4049</v>
      </c>
      <c r="B3578" t="s">
        <v>1218</v>
      </c>
      <c r="C3578">
        <v>426</v>
      </c>
      <c r="D3578">
        <v>523</v>
      </c>
      <c r="E3578">
        <v>1576325</v>
      </c>
      <c r="F3578">
        <v>6617</v>
      </c>
      <c r="G3578">
        <v>0</v>
      </c>
      <c r="H3578" t="s">
        <v>8503</v>
      </c>
      <c r="I3578">
        <v>4049</v>
      </c>
      <c r="J3578" t="str">
        <f>VLOOKUP(E3578,DSSpieler!A:B,2,FALSE)</f>
        <v>DJ SHOCK</v>
      </c>
    </row>
    <row r="3579" spans="1:10" x14ac:dyDescent="0.25">
      <c r="A3579">
        <v>4050</v>
      </c>
      <c r="B3579" t="s">
        <v>1219</v>
      </c>
      <c r="C3579">
        <v>419</v>
      </c>
      <c r="D3579">
        <v>568</v>
      </c>
      <c r="E3579">
        <v>1577188988</v>
      </c>
      <c r="F3579">
        <v>3991</v>
      </c>
      <c r="G3579">
        <v>0</v>
      </c>
      <c r="H3579" t="s">
        <v>8504</v>
      </c>
      <c r="I3579">
        <v>4050</v>
      </c>
      <c r="J3579" t="str">
        <f>VLOOKUP(E3579,DSSpieler!A:B,2,FALSE)</f>
        <v>frangelico</v>
      </c>
    </row>
    <row r="3580" spans="1:10" x14ac:dyDescent="0.25">
      <c r="A3580">
        <v>4051</v>
      </c>
      <c r="B3580" t="s">
        <v>31024</v>
      </c>
      <c r="C3580">
        <v>428</v>
      </c>
      <c r="D3580">
        <v>573</v>
      </c>
      <c r="E3580">
        <v>1576083107</v>
      </c>
      <c r="F3580">
        <v>6084</v>
      </c>
      <c r="G3580">
        <v>0</v>
      </c>
      <c r="H3580" t="s">
        <v>8505</v>
      </c>
      <c r="I3580">
        <v>4051</v>
      </c>
      <c r="J3580" t="str">
        <f>VLOOKUP(E3580,DSSpieler!A:B,2,FALSE)</f>
        <v>Lord Newcastle</v>
      </c>
    </row>
    <row r="3581" spans="1:10" x14ac:dyDescent="0.25">
      <c r="A3581">
        <v>4052</v>
      </c>
      <c r="B3581" t="s">
        <v>556</v>
      </c>
      <c r="C3581">
        <v>514</v>
      </c>
      <c r="D3581">
        <v>458</v>
      </c>
      <c r="E3581">
        <v>9395772</v>
      </c>
      <c r="F3581">
        <v>3466</v>
      </c>
      <c r="G3581">
        <v>0</v>
      </c>
      <c r="H3581" t="s">
        <v>8506</v>
      </c>
      <c r="I3581">
        <v>4052</v>
      </c>
      <c r="J3581">
        <f>VLOOKUP(E3581,DSSpieler!A:B,2,FALSE)</f>
        <v>9182736436</v>
      </c>
    </row>
    <row r="3582" spans="1:10" x14ac:dyDescent="0.25">
      <c r="A3582">
        <v>4053</v>
      </c>
      <c r="B3582" t="s">
        <v>32017</v>
      </c>
      <c r="C3582">
        <v>569</v>
      </c>
      <c r="D3582">
        <v>571</v>
      </c>
      <c r="E3582">
        <v>1577188803</v>
      </c>
      <c r="F3582">
        <v>5522</v>
      </c>
      <c r="G3582">
        <v>0</v>
      </c>
      <c r="H3582" t="s">
        <v>8507</v>
      </c>
      <c r="I3582">
        <v>4053</v>
      </c>
      <c r="J3582" t="str">
        <f>VLOOKUP(E3582,DSSpieler!A:B,2,FALSE)</f>
        <v>GrrGr</v>
      </c>
    </row>
    <row r="3583" spans="1:10" x14ac:dyDescent="0.25">
      <c r="A3583">
        <v>4055</v>
      </c>
      <c r="B3583" t="s">
        <v>32018</v>
      </c>
      <c r="C3583">
        <v>447</v>
      </c>
      <c r="D3583">
        <v>488</v>
      </c>
      <c r="E3583">
        <v>1577171823</v>
      </c>
      <c r="F3583">
        <v>5472</v>
      </c>
      <c r="G3583">
        <v>0</v>
      </c>
      <c r="H3583" t="s">
        <v>8508</v>
      </c>
      <c r="I3583">
        <v>4055</v>
      </c>
      <c r="J3583" t="str">
        <f>VLOOKUP(E3583,DSSpieler!A:B,2,FALSE)</f>
        <v>Blackview39</v>
      </c>
    </row>
    <row r="3584" spans="1:10" x14ac:dyDescent="0.25">
      <c r="A3584">
        <v>4056</v>
      </c>
      <c r="B3584" t="s">
        <v>32019</v>
      </c>
      <c r="C3584">
        <v>551</v>
      </c>
      <c r="D3584">
        <v>521</v>
      </c>
      <c r="E3584">
        <v>1577196139</v>
      </c>
      <c r="F3584">
        <v>4032</v>
      </c>
      <c r="G3584">
        <v>0</v>
      </c>
      <c r="H3584" t="s">
        <v>8509</v>
      </c>
      <c r="I3584">
        <v>4056</v>
      </c>
      <c r="J3584" t="str">
        <f>VLOOKUP(E3584,DSSpieler!A:B,2,FALSE)</f>
        <v>Zwahlen</v>
      </c>
    </row>
    <row r="3585" spans="1:10" x14ac:dyDescent="0.25">
      <c r="A3585">
        <v>4057</v>
      </c>
      <c r="B3585" t="s">
        <v>32020</v>
      </c>
      <c r="C3585">
        <v>445</v>
      </c>
      <c r="D3585">
        <v>535</v>
      </c>
      <c r="E3585">
        <v>1577197458</v>
      </c>
      <c r="F3585">
        <v>5679</v>
      </c>
      <c r="G3585">
        <v>0</v>
      </c>
      <c r="H3585" t="s">
        <v>8510</v>
      </c>
      <c r="I3585">
        <v>4057</v>
      </c>
      <c r="J3585" t="str">
        <f>VLOOKUP(E3585,DSSpieler!A:B,2,FALSE)</f>
        <v>Earny</v>
      </c>
    </row>
    <row r="3586" spans="1:10" x14ac:dyDescent="0.25">
      <c r="A3586">
        <v>4058</v>
      </c>
      <c r="B3586" t="s">
        <v>32021</v>
      </c>
      <c r="C3586">
        <v>491</v>
      </c>
      <c r="D3586">
        <v>413</v>
      </c>
      <c r="E3586">
        <v>1577186534</v>
      </c>
      <c r="F3586">
        <v>6753</v>
      </c>
      <c r="G3586">
        <v>0</v>
      </c>
      <c r="H3586" t="s">
        <v>8511</v>
      </c>
      <c r="I3586">
        <v>4058</v>
      </c>
      <c r="J3586" t="str">
        <f>VLOOKUP(E3586,DSSpieler!A:B,2,FALSE)</f>
        <v>Sir üöä</v>
      </c>
    </row>
    <row r="3587" spans="1:10" x14ac:dyDescent="0.25">
      <c r="A3587">
        <v>4059</v>
      </c>
      <c r="B3587" t="s">
        <v>32022</v>
      </c>
      <c r="C3587">
        <v>526</v>
      </c>
      <c r="D3587">
        <v>601</v>
      </c>
      <c r="E3587">
        <v>1577183490</v>
      </c>
      <c r="F3587">
        <v>7515</v>
      </c>
      <c r="G3587">
        <v>0</v>
      </c>
      <c r="H3587" t="s">
        <v>8512</v>
      </c>
      <c r="I3587">
        <v>4059</v>
      </c>
      <c r="J3587" t="str">
        <f>VLOOKUP(E3587,DSSpieler!A:B,2,FALSE)</f>
        <v>KlabauterKlaus</v>
      </c>
    </row>
    <row r="3588" spans="1:10" x14ac:dyDescent="0.25">
      <c r="A3588">
        <v>4060</v>
      </c>
      <c r="B3588" t="s">
        <v>531</v>
      </c>
      <c r="C3588">
        <v>562</v>
      </c>
      <c r="D3588">
        <v>461</v>
      </c>
      <c r="E3588">
        <v>0</v>
      </c>
      <c r="F3588">
        <v>457</v>
      </c>
      <c r="G3588">
        <v>0</v>
      </c>
      <c r="H3588" t="s">
        <v>8513</v>
      </c>
      <c r="I3588">
        <v>4060</v>
      </c>
      <c r="J3588" t="e">
        <f>VLOOKUP(E3588,DSSpieler!A:B,2,FALSE)</f>
        <v>#N/A</v>
      </c>
    </row>
    <row r="3589" spans="1:10" x14ac:dyDescent="0.25">
      <c r="A3589">
        <v>4061</v>
      </c>
      <c r="B3589">
        <v>1</v>
      </c>
      <c r="C3589">
        <v>603</v>
      </c>
      <c r="D3589">
        <v>469</v>
      </c>
      <c r="E3589">
        <v>9195987</v>
      </c>
      <c r="F3589">
        <v>5236</v>
      </c>
      <c r="G3589">
        <v>0</v>
      </c>
      <c r="H3589" t="s">
        <v>8514</v>
      </c>
      <c r="I3589">
        <v>4061</v>
      </c>
      <c r="J3589" t="str">
        <f>VLOOKUP(E3589,DSSpieler!A:B,2,FALSE)</f>
        <v>-Kobr-</v>
      </c>
    </row>
    <row r="3590" spans="1:10" x14ac:dyDescent="0.25">
      <c r="A3590">
        <v>4062</v>
      </c>
      <c r="B3590" t="s">
        <v>1220</v>
      </c>
      <c r="C3590">
        <v>596</v>
      </c>
      <c r="D3590">
        <v>464</v>
      </c>
      <c r="E3590">
        <v>1577176430</v>
      </c>
      <c r="F3590">
        <v>5792</v>
      </c>
      <c r="G3590">
        <v>0</v>
      </c>
      <c r="H3590" t="s">
        <v>8515</v>
      </c>
      <c r="I3590">
        <v>4062</v>
      </c>
      <c r="J3590" t="str">
        <f>VLOOKUP(E3590,DSSpieler!A:B,2,FALSE)</f>
        <v>Eagle9611</v>
      </c>
    </row>
    <row r="3591" spans="1:10" x14ac:dyDescent="0.25">
      <c r="A3591">
        <v>4063</v>
      </c>
      <c r="B3591" t="s">
        <v>32023</v>
      </c>
      <c r="C3591">
        <v>461</v>
      </c>
      <c r="D3591">
        <v>445</v>
      </c>
      <c r="E3591">
        <v>1577018096</v>
      </c>
      <c r="F3591">
        <v>4743</v>
      </c>
      <c r="G3591">
        <v>0</v>
      </c>
      <c r="H3591" t="s">
        <v>8516</v>
      </c>
      <c r="I3591">
        <v>4063</v>
      </c>
      <c r="J3591" t="str">
        <f>VLOOKUP(E3591,DSSpieler!A:B,2,FALSE)</f>
        <v>veelora</v>
      </c>
    </row>
    <row r="3592" spans="1:10" x14ac:dyDescent="0.25">
      <c r="A3592">
        <v>4064</v>
      </c>
      <c r="B3592" t="s">
        <v>531</v>
      </c>
      <c r="C3592">
        <v>482</v>
      </c>
      <c r="D3592">
        <v>512</v>
      </c>
      <c r="E3592">
        <v>0</v>
      </c>
      <c r="F3592">
        <v>329</v>
      </c>
      <c r="G3592">
        <v>0</v>
      </c>
      <c r="H3592" t="s">
        <v>8517</v>
      </c>
      <c r="I3592">
        <v>4064</v>
      </c>
      <c r="J3592" t="e">
        <f>VLOOKUP(E3592,DSSpieler!A:B,2,FALSE)</f>
        <v>#N/A</v>
      </c>
    </row>
    <row r="3593" spans="1:10" x14ac:dyDescent="0.25">
      <c r="A3593">
        <v>4066</v>
      </c>
      <c r="B3593" t="s">
        <v>32024</v>
      </c>
      <c r="C3593">
        <v>540</v>
      </c>
      <c r="D3593">
        <v>553</v>
      </c>
      <c r="E3593">
        <v>1575830702</v>
      </c>
      <c r="F3593">
        <v>3887</v>
      </c>
      <c r="G3593">
        <v>0</v>
      </c>
      <c r="H3593" t="s">
        <v>8518</v>
      </c>
      <c r="I3593">
        <v>4066</v>
      </c>
      <c r="J3593" t="str">
        <f>VLOOKUP(E3593,DSSpieler!A:B,2,FALSE)</f>
        <v>PaPaScHuMpF</v>
      </c>
    </row>
    <row r="3594" spans="1:10" x14ac:dyDescent="0.25">
      <c r="A3594">
        <v>4067</v>
      </c>
      <c r="B3594" t="s">
        <v>1221</v>
      </c>
      <c r="C3594">
        <v>465</v>
      </c>
      <c r="D3594">
        <v>488</v>
      </c>
      <c r="E3594">
        <v>10202681</v>
      </c>
      <c r="F3594">
        <v>1463</v>
      </c>
      <c r="G3594">
        <v>0</v>
      </c>
      <c r="H3594" t="s">
        <v>8519</v>
      </c>
      <c r="I3594">
        <v>4067</v>
      </c>
      <c r="J3594" t="str">
        <f>VLOOKUP(E3594,DSSpieler!A:B,2,FALSE)</f>
        <v>mitu</v>
      </c>
    </row>
    <row r="3595" spans="1:10" x14ac:dyDescent="0.25">
      <c r="A3595">
        <v>4069</v>
      </c>
      <c r="B3595">
        <v>1</v>
      </c>
      <c r="C3595">
        <v>443</v>
      </c>
      <c r="D3595">
        <v>521</v>
      </c>
      <c r="E3595">
        <v>1577183825</v>
      </c>
      <c r="F3595">
        <v>4350</v>
      </c>
      <c r="G3595">
        <v>0</v>
      </c>
      <c r="H3595" t="s">
        <v>8520</v>
      </c>
      <c r="I3595">
        <v>4069</v>
      </c>
      <c r="J3595" t="str">
        <f>VLOOKUP(E3595,DSSpieler!A:B,2,FALSE)</f>
        <v>Watzinger95</v>
      </c>
    </row>
    <row r="3596" spans="1:10" x14ac:dyDescent="0.25">
      <c r="A3596">
        <v>4071</v>
      </c>
      <c r="B3596" t="s">
        <v>32025</v>
      </c>
      <c r="C3596">
        <v>493</v>
      </c>
      <c r="D3596">
        <v>533</v>
      </c>
      <c r="E3596">
        <v>1576491348</v>
      </c>
      <c r="F3596">
        <v>2006</v>
      </c>
      <c r="G3596">
        <v>0</v>
      </c>
      <c r="H3596" t="s">
        <v>8521</v>
      </c>
      <c r="I3596">
        <v>4071</v>
      </c>
      <c r="J3596" t="str">
        <f>VLOOKUP(E3596,DSSpieler!A:B,2,FALSE)</f>
        <v>pannza1899</v>
      </c>
    </row>
    <row r="3597" spans="1:10" x14ac:dyDescent="0.25">
      <c r="A3597">
        <v>4073</v>
      </c>
      <c r="B3597" t="s">
        <v>32026</v>
      </c>
      <c r="C3597">
        <v>487</v>
      </c>
      <c r="D3597">
        <v>560</v>
      </c>
      <c r="E3597">
        <v>1576469799</v>
      </c>
      <c r="F3597">
        <v>6566</v>
      </c>
      <c r="G3597">
        <v>0</v>
      </c>
      <c r="H3597" t="s">
        <v>8522</v>
      </c>
      <c r="I3597">
        <v>4073</v>
      </c>
      <c r="J3597" t="str">
        <f>VLOOKUP(E3597,DSSpieler!A:B,2,FALSE)</f>
        <v>lokderboss</v>
      </c>
    </row>
    <row r="3598" spans="1:10" x14ac:dyDescent="0.25">
      <c r="A3598">
        <v>4074</v>
      </c>
      <c r="B3598" t="s">
        <v>728</v>
      </c>
      <c r="C3598">
        <v>571</v>
      </c>
      <c r="D3598">
        <v>442</v>
      </c>
      <c r="E3598">
        <v>1577121578</v>
      </c>
      <c r="F3598">
        <v>5461</v>
      </c>
      <c r="G3598">
        <v>0</v>
      </c>
      <c r="H3598" t="s">
        <v>8523</v>
      </c>
      <c r="I3598">
        <v>4074</v>
      </c>
      <c r="J3598" t="str">
        <f>VLOOKUP(E3598,DSSpieler!A:B,2,FALSE)</f>
        <v>PARAsympathikus</v>
      </c>
    </row>
    <row r="3599" spans="1:10" x14ac:dyDescent="0.25">
      <c r="A3599">
        <v>4075</v>
      </c>
      <c r="B3599" t="s">
        <v>32027</v>
      </c>
      <c r="C3599">
        <v>480</v>
      </c>
      <c r="D3599">
        <v>605</v>
      </c>
      <c r="E3599">
        <v>10242175</v>
      </c>
      <c r="F3599">
        <v>5896</v>
      </c>
      <c r="G3599">
        <v>0</v>
      </c>
      <c r="H3599" t="s">
        <v>8524</v>
      </c>
      <c r="I3599">
        <v>4075</v>
      </c>
      <c r="J3599" t="str">
        <f>VLOOKUP(E3599,DSSpieler!A:B,2,FALSE)</f>
        <v>tufiga</v>
      </c>
    </row>
    <row r="3600" spans="1:10" x14ac:dyDescent="0.25">
      <c r="A3600">
        <v>4076</v>
      </c>
      <c r="B3600" t="s">
        <v>31579</v>
      </c>
      <c r="C3600">
        <v>468</v>
      </c>
      <c r="D3600">
        <v>541</v>
      </c>
      <c r="E3600">
        <v>1576823448</v>
      </c>
      <c r="F3600">
        <v>7392</v>
      </c>
      <c r="G3600">
        <v>0</v>
      </c>
      <c r="H3600" t="s">
        <v>8525</v>
      </c>
      <c r="I3600">
        <v>4076</v>
      </c>
      <c r="J3600" t="str">
        <f>VLOOKUP(E3600,DSSpieler!A:B,2,FALSE)</f>
        <v>srmpx</v>
      </c>
    </row>
    <row r="3601" spans="1:10" x14ac:dyDescent="0.25">
      <c r="A3601">
        <v>4077</v>
      </c>
      <c r="B3601" t="s">
        <v>32028</v>
      </c>
      <c r="C3601">
        <v>442</v>
      </c>
      <c r="D3601">
        <v>503</v>
      </c>
      <c r="E3601">
        <v>1577155224</v>
      </c>
      <c r="F3601">
        <v>4033</v>
      </c>
      <c r="G3601">
        <v>0</v>
      </c>
      <c r="H3601" t="s">
        <v>8526</v>
      </c>
      <c r="I3601">
        <v>4077</v>
      </c>
      <c r="J3601" t="str">
        <f>VLOOKUP(E3601,DSSpieler!A:B,2,FALSE)</f>
        <v>Michinhio</v>
      </c>
    </row>
    <row r="3602" spans="1:10" x14ac:dyDescent="0.25">
      <c r="A3602">
        <v>4078</v>
      </c>
      <c r="B3602" t="s">
        <v>32029</v>
      </c>
      <c r="C3602">
        <v>434</v>
      </c>
      <c r="D3602">
        <v>587</v>
      </c>
      <c r="E3602">
        <v>1577106143</v>
      </c>
      <c r="F3602">
        <v>6572</v>
      </c>
      <c r="G3602">
        <v>0</v>
      </c>
      <c r="H3602" t="s">
        <v>8527</v>
      </c>
      <c r="I3602">
        <v>4078</v>
      </c>
      <c r="J3602" t="str">
        <f>VLOOKUP(E3602,DSSpieler!A:B,2,FALSE)</f>
        <v>DonFrodo</v>
      </c>
    </row>
    <row r="3603" spans="1:10" x14ac:dyDescent="0.25">
      <c r="A3603">
        <v>4079</v>
      </c>
      <c r="B3603" t="s">
        <v>31439</v>
      </c>
      <c r="C3603">
        <v>439</v>
      </c>
      <c r="D3603">
        <v>533</v>
      </c>
      <c r="E3603">
        <v>1576575171</v>
      </c>
      <c r="F3603">
        <v>6606</v>
      </c>
      <c r="G3603">
        <v>0</v>
      </c>
      <c r="H3603" t="s">
        <v>8528</v>
      </c>
      <c r="I3603">
        <v>4079</v>
      </c>
      <c r="J3603" t="str">
        <f>VLOOKUP(E3603,DSSpieler!A:B,2,FALSE)</f>
        <v>2HCL</v>
      </c>
    </row>
    <row r="3604" spans="1:10" x14ac:dyDescent="0.25">
      <c r="A3604">
        <v>4081</v>
      </c>
      <c r="B3604" t="s">
        <v>531</v>
      </c>
      <c r="C3604">
        <v>495</v>
      </c>
      <c r="D3604">
        <v>512</v>
      </c>
      <c r="E3604">
        <v>0</v>
      </c>
      <c r="F3604">
        <v>144</v>
      </c>
      <c r="G3604">
        <v>0</v>
      </c>
      <c r="H3604" t="s">
        <v>8529</v>
      </c>
      <c r="I3604">
        <v>4081</v>
      </c>
      <c r="J3604" t="e">
        <f>VLOOKUP(E3604,DSSpieler!A:B,2,FALSE)</f>
        <v>#N/A</v>
      </c>
    </row>
    <row r="3605" spans="1:10" x14ac:dyDescent="0.25">
      <c r="A3605">
        <v>4082</v>
      </c>
      <c r="B3605" t="s">
        <v>531</v>
      </c>
      <c r="C3605">
        <v>474</v>
      </c>
      <c r="D3605">
        <v>443</v>
      </c>
      <c r="E3605">
        <v>0</v>
      </c>
      <c r="F3605">
        <v>313</v>
      </c>
      <c r="G3605">
        <v>0</v>
      </c>
      <c r="H3605" t="s">
        <v>8530</v>
      </c>
      <c r="I3605">
        <v>4082</v>
      </c>
      <c r="J3605" t="e">
        <f>VLOOKUP(E3605,DSSpieler!A:B,2,FALSE)</f>
        <v>#N/A</v>
      </c>
    </row>
    <row r="3606" spans="1:10" x14ac:dyDescent="0.25">
      <c r="A3606">
        <v>4083</v>
      </c>
      <c r="B3606" t="s">
        <v>32030</v>
      </c>
      <c r="C3606">
        <v>510</v>
      </c>
      <c r="D3606">
        <v>501</v>
      </c>
      <c r="E3606">
        <v>96551</v>
      </c>
      <c r="F3606">
        <v>4794</v>
      </c>
      <c r="G3606">
        <v>0</v>
      </c>
      <c r="H3606" t="s">
        <v>8531</v>
      </c>
      <c r="I3606">
        <v>4083</v>
      </c>
      <c r="J3606" t="str">
        <f>VLOOKUP(E3606,DSSpieler!A:B,2,FALSE)</f>
        <v>Lord Bergi</v>
      </c>
    </row>
    <row r="3607" spans="1:10" x14ac:dyDescent="0.25">
      <c r="A3607">
        <v>4084</v>
      </c>
      <c r="B3607" t="s">
        <v>1222</v>
      </c>
      <c r="C3607">
        <v>601</v>
      </c>
      <c r="D3607">
        <v>461</v>
      </c>
      <c r="E3607">
        <v>1577127316</v>
      </c>
      <c r="F3607">
        <v>2103</v>
      </c>
      <c r="G3607">
        <v>0</v>
      </c>
      <c r="H3607" t="s">
        <v>8532</v>
      </c>
      <c r="I3607">
        <v>4084</v>
      </c>
      <c r="J3607" t="str">
        <f>VLOOKUP(E3607,DSSpieler!A:B,2,FALSE)</f>
        <v>Störtebeker I.</v>
      </c>
    </row>
    <row r="3608" spans="1:10" x14ac:dyDescent="0.25">
      <c r="A3608">
        <v>4085</v>
      </c>
      <c r="B3608" t="s">
        <v>531</v>
      </c>
      <c r="C3608">
        <v>536</v>
      </c>
      <c r="D3608">
        <v>569</v>
      </c>
      <c r="E3608">
        <v>0</v>
      </c>
      <c r="F3608">
        <v>567</v>
      </c>
      <c r="G3608">
        <v>0</v>
      </c>
      <c r="H3608" t="s">
        <v>8533</v>
      </c>
      <c r="I3608">
        <v>4085</v>
      </c>
      <c r="J3608" t="e">
        <f>VLOOKUP(E3608,DSSpieler!A:B,2,FALSE)</f>
        <v>#N/A</v>
      </c>
    </row>
    <row r="3609" spans="1:10" x14ac:dyDescent="0.25">
      <c r="A3609">
        <v>4086</v>
      </c>
      <c r="B3609" t="s">
        <v>32031</v>
      </c>
      <c r="C3609">
        <v>587</v>
      </c>
      <c r="D3609">
        <v>549</v>
      </c>
      <c r="E3609">
        <v>1576125761</v>
      </c>
      <c r="F3609">
        <v>4049</v>
      </c>
      <c r="G3609">
        <v>0</v>
      </c>
      <c r="H3609" t="s">
        <v>8534</v>
      </c>
      <c r="I3609">
        <v>4086</v>
      </c>
      <c r="J3609" t="str">
        <f>VLOOKUP(E3609,DSSpieler!A:B,2,FALSE)</f>
        <v>Riotyouth</v>
      </c>
    </row>
    <row r="3610" spans="1:10" x14ac:dyDescent="0.25">
      <c r="A3610">
        <v>4087</v>
      </c>
      <c r="B3610">
        <v>1</v>
      </c>
      <c r="C3610">
        <v>497</v>
      </c>
      <c r="D3610">
        <v>426</v>
      </c>
      <c r="E3610">
        <v>1041015</v>
      </c>
      <c r="F3610">
        <v>6495</v>
      </c>
      <c r="G3610">
        <v>0</v>
      </c>
      <c r="H3610" t="s">
        <v>8535</v>
      </c>
      <c r="I3610">
        <v>4087</v>
      </c>
      <c r="J3610" t="str">
        <f>VLOOKUP(E3610,DSSpieler!A:B,2,FALSE)</f>
        <v>Messi11</v>
      </c>
    </row>
    <row r="3611" spans="1:10" x14ac:dyDescent="0.25">
      <c r="A3611">
        <v>4088</v>
      </c>
      <c r="B3611" t="s">
        <v>531</v>
      </c>
      <c r="C3611">
        <v>576</v>
      </c>
      <c r="D3611">
        <v>529</v>
      </c>
      <c r="E3611">
        <v>0</v>
      </c>
      <c r="F3611">
        <v>231</v>
      </c>
      <c r="G3611">
        <v>0</v>
      </c>
      <c r="H3611" t="s">
        <v>8536</v>
      </c>
      <c r="I3611">
        <v>4088</v>
      </c>
      <c r="J3611" t="e">
        <f>VLOOKUP(E3611,DSSpieler!A:B,2,FALSE)</f>
        <v>#N/A</v>
      </c>
    </row>
    <row r="3612" spans="1:10" x14ac:dyDescent="0.25">
      <c r="A3612">
        <v>4089</v>
      </c>
      <c r="B3612" t="s">
        <v>979</v>
      </c>
      <c r="C3612">
        <v>515</v>
      </c>
      <c r="D3612">
        <v>585</v>
      </c>
      <c r="E3612">
        <v>1577197776</v>
      </c>
      <c r="F3612">
        <v>7348</v>
      </c>
      <c r="G3612">
        <v>0</v>
      </c>
      <c r="H3612" t="s">
        <v>8537</v>
      </c>
      <c r="I3612">
        <v>4089</v>
      </c>
      <c r="J3612" t="str">
        <f>VLOOKUP(E3612,DSSpieler!A:B,2,FALSE)</f>
        <v>Beefky</v>
      </c>
    </row>
    <row r="3613" spans="1:10" x14ac:dyDescent="0.25">
      <c r="A3613">
        <v>4090</v>
      </c>
      <c r="B3613" t="s">
        <v>1223</v>
      </c>
      <c r="C3613">
        <v>462</v>
      </c>
      <c r="D3613">
        <v>436</v>
      </c>
      <c r="E3613">
        <v>1577186327</v>
      </c>
      <c r="F3613">
        <v>6243</v>
      </c>
      <c r="G3613">
        <v>0</v>
      </c>
      <c r="H3613" t="s">
        <v>8538</v>
      </c>
      <c r="I3613">
        <v>4090</v>
      </c>
      <c r="J3613" t="str">
        <f>VLOOKUP(E3613,DSSpieler!A:B,2,FALSE)</f>
        <v>Varothem</v>
      </c>
    </row>
    <row r="3614" spans="1:10" x14ac:dyDescent="0.25">
      <c r="A3614">
        <v>4091</v>
      </c>
      <c r="B3614" t="s">
        <v>1092</v>
      </c>
      <c r="C3614">
        <v>495</v>
      </c>
      <c r="D3614">
        <v>577</v>
      </c>
      <c r="E3614">
        <v>1576918886</v>
      </c>
      <c r="F3614">
        <v>5194</v>
      </c>
      <c r="G3614">
        <v>0</v>
      </c>
      <c r="H3614" t="s">
        <v>8539</v>
      </c>
      <c r="I3614">
        <v>4091</v>
      </c>
      <c r="J3614" t="str">
        <f>VLOOKUP(E3614,DSSpieler!A:B,2,FALSE)</f>
        <v>tuete1</v>
      </c>
    </row>
    <row r="3615" spans="1:10" x14ac:dyDescent="0.25">
      <c r="A3615">
        <v>4092</v>
      </c>
      <c r="B3615" t="s">
        <v>32032</v>
      </c>
      <c r="C3615">
        <v>565</v>
      </c>
      <c r="D3615">
        <v>502</v>
      </c>
      <c r="E3615">
        <v>9369687</v>
      </c>
      <c r="F3615">
        <v>4017</v>
      </c>
      <c r="G3615">
        <v>0</v>
      </c>
      <c r="H3615" t="s">
        <v>8540</v>
      </c>
      <c r="I3615">
        <v>4092</v>
      </c>
      <c r="J3615" t="str">
        <f>VLOOKUP(E3615,DSSpieler!A:B,2,FALSE)</f>
        <v>Scoprionz</v>
      </c>
    </row>
    <row r="3616" spans="1:10" x14ac:dyDescent="0.25">
      <c r="A3616">
        <v>4093</v>
      </c>
      <c r="B3616" t="s">
        <v>531</v>
      </c>
      <c r="C3616">
        <v>473</v>
      </c>
      <c r="D3616">
        <v>477</v>
      </c>
      <c r="E3616">
        <v>0</v>
      </c>
      <c r="F3616">
        <v>215</v>
      </c>
      <c r="G3616">
        <v>0</v>
      </c>
      <c r="H3616" t="s">
        <v>8541</v>
      </c>
      <c r="I3616">
        <v>4093</v>
      </c>
      <c r="J3616" t="e">
        <f>VLOOKUP(E3616,DSSpieler!A:B,2,FALSE)</f>
        <v>#N/A</v>
      </c>
    </row>
    <row r="3617" spans="1:10" x14ac:dyDescent="0.25">
      <c r="A3617">
        <v>4094</v>
      </c>
      <c r="B3617" t="e">
        <f>-OFF2-+IchMagBrianGriffin</f>
        <v>#NAME?</v>
      </c>
      <c r="C3617">
        <v>481</v>
      </c>
      <c r="D3617">
        <v>423</v>
      </c>
      <c r="E3617">
        <v>1577195942</v>
      </c>
      <c r="F3617">
        <v>5570</v>
      </c>
      <c r="G3617">
        <v>0</v>
      </c>
      <c r="H3617" t="s">
        <v>8542</v>
      </c>
      <c r="I3617">
        <v>4094</v>
      </c>
      <c r="J3617" t="str">
        <f>VLOOKUP(E3617,DSSpieler!A:B,2,FALSE)</f>
        <v>Oxiro</v>
      </c>
    </row>
    <row r="3618" spans="1:10" x14ac:dyDescent="0.25">
      <c r="A3618">
        <v>4095</v>
      </c>
      <c r="B3618" t="s">
        <v>32033</v>
      </c>
      <c r="C3618">
        <v>570</v>
      </c>
      <c r="D3618">
        <v>415</v>
      </c>
      <c r="E3618">
        <v>1577155229</v>
      </c>
      <c r="F3618">
        <v>4721</v>
      </c>
      <c r="G3618">
        <v>0</v>
      </c>
      <c r="H3618" t="s">
        <v>8543</v>
      </c>
      <c r="I3618">
        <v>4095</v>
      </c>
      <c r="J3618" t="str">
        <f>VLOOKUP(E3618,DSSpieler!A:B,2,FALSE)</f>
        <v>AffeMitWaffe</v>
      </c>
    </row>
    <row r="3619" spans="1:10" x14ac:dyDescent="0.25">
      <c r="A3619">
        <v>4097</v>
      </c>
      <c r="B3619" t="s">
        <v>531</v>
      </c>
      <c r="C3619">
        <v>492</v>
      </c>
      <c r="D3619">
        <v>547</v>
      </c>
      <c r="E3619">
        <v>0</v>
      </c>
      <c r="F3619">
        <v>217</v>
      </c>
      <c r="G3619">
        <v>0</v>
      </c>
      <c r="H3619" t="s">
        <v>8544</v>
      </c>
      <c r="I3619">
        <v>4097</v>
      </c>
      <c r="J3619" t="e">
        <f>VLOOKUP(E3619,DSSpieler!A:B,2,FALSE)</f>
        <v>#N/A</v>
      </c>
    </row>
    <row r="3620" spans="1:10" x14ac:dyDescent="0.25">
      <c r="A3620">
        <v>4098</v>
      </c>
      <c r="B3620" t="s">
        <v>1224</v>
      </c>
      <c r="C3620">
        <v>446</v>
      </c>
      <c r="D3620">
        <v>537</v>
      </c>
      <c r="E3620">
        <v>9551701</v>
      </c>
      <c r="F3620">
        <v>527</v>
      </c>
      <c r="G3620">
        <v>0</v>
      </c>
      <c r="H3620" t="s">
        <v>8545</v>
      </c>
      <c r="I3620">
        <v>4098</v>
      </c>
      <c r="J3620" t="str">
        <f>VLOOKUP(E3620,DSSpieler!A:B,2,FALSE)</f>
        <v>OJO der Große</v>
      </c>
    </row>
    <row r="3621" spans="1:10" x14ac:dyDescent="0.25">
      <c r="A3621">
        <v>4099</v>
      </c>
      <c r="B3621" t="s">
        <v>1225</v>
      </c>
      <c r="C3621">
        <v>529</v>
      </c>
      <c r="D3621">
        <v>551</v>
      </c>
      <c r="E3621">
        <v>205615</v>
      </c>
      <c r="F3621">
        <v>5438</v>
      </c>
      <c r="G3621">
        <v>0</v>
      </c>
      <c r="H3621" t="s">
        <v>8546</v>
      </c>
      <c r="I3621">
        <v>4099</v>
      </c>
      <c r="J3621" t="str">
        <f>VLOOKUP(E3621,DSSpieler!A:B,2,FALSE)</f>
        <v>hubeno</v>
      </c>
    </row>
    <row r="3622" spans="1:10" x14ac:dyDescent="0.25">
      <c r="A3622">
        <v>4100</v>
      </c>
      <c r="B3622" t="s">
        <v>1226</v>
      </c>
      <c r="C3622">
        <v>510</v>
      </c>
      <c r="D3622">
        <v>542</v>
      </c>
      <c r="E3622">
        <v>1577193545</v>
      </c>
      <c r="F3622">
        <v>1962</v>
      </c>
      <c r="G3622">
        <v>0</v>
      </c>
      <c r="H3622" t="s">
        <v>8547</v>
      </c>
      <c r="I3622">
        <v>4100</v>
      </c>
      <c r="J3622" t="str">
        <f>VLOOKUP(E3622,DSSpieler!A:B,2,FALSE)</f>
        <v>earlyd</v>
      </c>
    </row>
    <row r="3623" spans="1:10" x14ac:dyDescent="0.25">
      <c r="A3623">
        <v>4101</v>
      </c>
      <c r="B3623" t="s">
        <v>531</v>
      </c>
      <c r="C3623">
        <v>518</v>
      </c>
      <c r="D3623">
        <v>438</v>
      </c>
      <c r="E3623">
        <v>0</v>
      </c>
      <c r="F3623">
        <v>446</v>
      </c>
      <c r="G3623">
        <v>0</v>
      </c>
      <c r="H3623" t="s">
        <v>8548</v>
      </c>
      <c r="I3623">
        <v>4101</v>
      </c>
      <c r="J3623" t="e">
        <f>VLOOKUP(E3623,DSSpieler!A:B,2,FALSE)</f>
        <v>#N/A</v>
      </c>
    </row>
    <row r="3624" spans="1:10" x14ac:dyDescent="0.25">
      <c r="A3624">
        <v>4102</v>
      </c>
      <c r="B3624" t="s">
        <v>32034</v>
      </c>
      <c r="C3624">
        <v>421</v>
      </c>
      <c r="D3624">
        <v>576</v>
      </c>
      <c r="E3624">
        <v>1577197462</v>
      </c>
      <c r="F3624">
        <v>5104</v>
      </c>
      <c r="G3624">
        <v>0</v>
      </c>
      <c r="H3624" t="s">
        <v>8549</v>
      </c>
      <c r="I3624">
        <v>4102</v>
      </c>
      <c r="J3624" t="str">
        <f>VLOOKUP(E3624,DSSpieler!A:B,2,FALSE)</f>
        <v>SatansBratan</v>
      </c>
    </row>
    <row r="3625" spans="1:10" x14ac:dyDescent="0.25">
      <c r="A3625">
        <v>4103</v>
      </c>
      <c r="B3625" t="s">
        <v>32035</v>
      </c>
      <c r="C3625">
        <v>443</v>
      </c>
      <c r="D3625">
        <v>445</v>
      </c>
      <c r="E3625">
        <v>2973761</v>
      </c>
      <c r="F3625">
        <v>2616</v>
      </c>
      <c r="G3625">
        <v>0</v>
      </c>
      <c r="H3625" t="s">
        <v>8550</v>
      </c>
      <c r="I3625">
        <v>4103</v>
      </c>
      <c r="J3625" t="str">
        <f>VLOOKUP(E3625,DSSpieler!A:B,2,FALSE)</f>
        <v>altaa</v>
      </c>
    </row>
    <row r="3626" spans="1:10" x14ac:dyDescent="0.25">
      <c r="A3626">
        <v>4104</v>
      </c>
      <c r="B3626" t="s">
        <v>531</v>
      </c>
      <c r="C3626">
        <v>577</v>
      </c>
      <c r="D3626">
        <v>560</v>
      </c>
      <c r="E3626">
        <v>0</v>
      </c>
      <c r="F3626">
        <v>1309</v>
      </c>
      <c r="G3626">
        <v>0</v>
      </c>
      <c r="H3626" t="s">
        <v>8551</v>
      </c>
      <c r="I3626">
        <v>4104</v>
      </c>
      <c r="J3626" t="e">
        <f>VLOOKUP(E3626,DSSpieler!A:B,2,FALSE)</f>
        <v>#N/A</v>
      </c>
    </row>
    <row r="3627" spans="1:10" x14ac:dyDescent="0.25">
      <c r="A3627">
        <v>4105</v>
      </c>
      <c r="B3627" t="s">
        <v>32036</v>
      </c>
      <c r="C3627">
        <v>513</v>
      </c>
      <c r="D3627">
        <v>574</v>
      </c>
      <c r="E3627">
        <v>1576912477</v>
      </c>
      <c r="F3627">
        <v>4395</v>
      </c>
      <c r="G3627">
        <v>0</v>
      </c>
      <c r="H3627" t="s">
        <v>8552</v>
      </c>
      <c r="I3627">
        <v>4105</v>
      </c>
      <c r="J3627" t="str">
        <f>VLOOKUP(E3627,DSSpieler!A:B,2,FALSE)</f>
        <v>MrSponkley</v>
      </c>
    </row>
    <row r="3628" spans="1:10" x14ac:dyDescent="0.25">
      <c r="A3628">
        <v>4106</v>
      </c>
      <c r="B3628">
        <v>4</v>
      </c>
      <c r="C3628">
        <v>578</v>
      </c>
      <c r="D3628">
        <v>505</v>
      </c>
      <c r="E3628">
        <v>1577197900</v>
      </c>
      <c r="F3628">
        <v>3919</v>
      </c>
      <c r="G3628">
        <v>0</v>
      </c>
      <c r="H3628" t="s">
        <v>8553</v>
      </c>
      <c r="I3628">
        <v>4106</v>
      </c>
      <c r="J3628" t="str">
        <f>VLOOKUP(E3628,DSSpieler!A:B,2,FALSE)</f>
        <v>Hardey17</v>
      </c>
    </row>
    <row r="3629" spans="1:10" x14ac:dyDescent="0.25">
      <c r="A3629">
        <v>4107</v>
      </c>
      <c r="B3629" t="s">
        <v>32037</v>
      </c>
      <c r="C3629">
        <v>493</v>
      </c>
      <c r="D3629">
        <v>578</v>
      </c>
      <c r="E3629">
        <v>1577026484</v>
      </c>
      <c r="F3629">
        <v>7133</v>
      </c>
      <c r="G3629">
        <v>0</v>
      </c>
      <c r="H3629" t="s">
        <v>8554</v>
      </c>
      <c r="I3629">
        <v>4107</v>
      </c>
      <c r="J3629" t="str">
        <f>VLOOKUP(E3629,DSSpieler!A:B,2,FALSE)</f>
        <v>Deffnoob</v>
      </c>
    </row>
    <row r="3630" spans="1:10" x14ac:dyDescent="0.25">
      <c r="A3630">
        <v>4109</v>
      </c>
      <c r="B3630" t="s">
        <v>31619</v>
      </c>
      <c r="C3630">
        <v>528</v>
      </c>
      <c r="D3630">
        <v>426</v>
      </c>
      <c r="E3630">
        <v>1577197561</v>
      </c>
      <c r="F3630">
        <v>4971</v>
      </c>
      <c r="G3630">
        <v>0</v>
      </c>
      <c r="H3630" t="s">
        <v>8555</v>
      </c>
      <c r="I3630">
        <v>4109</v>
      </c>
      <c r="J3630" t="str">
        <f>VLOOKUP(E3630,DSSpieler!A:B,2,FALSE)</f>
        <v>Tim Traitor</v>
      </c>
    </row>
    <row r="3631" spans="1:10" x14ac:dyDescent="0.25">
      <c r="A3631">
        <v>4110</v>
      </c>
      <c r="B3631" t="s">
        <v>531</v>
      </c>
      <c r="C3631">
        <v>538</v>
      </c>
      <c r="D3631">
        <v>501</v>
      </c>
      <c r="E3631">
        <v>0</v>
      </c>
      <c r="F3631">
        <v>324</v>
      </c>
      <c r="G3631">
        <v>0</v>
      </c>
      <c r="H3631" t="s">
        <v>8556</v>
      </c>
      <c r="I3631">
        <v>4110</v>
      </c>
      <c r="J3631" t="e">
        <f>VLOOKUP(E3631,DSSpieler!A:B,2,FALSE)</f>
        <v>#N/A</v>
      </c>
    </row>
    <row r="3632" spans="1:10" x14ac:dyDescent="0.25">
      <c r="A3632">
        <v>4111</v>
      </c>
      <c r="B3632" t="s">
        <v>32038</v>
      </c>
      <c r="C3632">
        <v>434</v>
      </c>
      <c r="D3632">
        <v>485</v>
      </c>
      <c r="E3632">
        <v>1577183720</v>
      </c>
      <c r="F3632">
        <v>1020</v>
      </c>
      <c r="G3632">
        <v>0</v>
      </c>
      <c r="H3632" t="s">
        <v>8557</v>
      </c>
      <c r="I3632">
        <v>4111</v>
      </c>
      <c r="J3632" t="str">
        <f>VLOOKUP(E3632,DSSpieler!A:B,2,FALSE)</f>
        <v>StayHome</v>
      </c>
    </row>
    <row r="3633" spans="1:10" x14ac:dyDescent="0.25">
      <c r="A3633">
        <v>4112</v>
      </c>
      <c r="B3633" t="s">
        <v>1227</v>
      </c>
      <c r="C3633">
        <v>453</v>
      </c>
      <c r="D3633">
        <v>545</v>
      </c>
      <c r="E3633">
        <v>3210351</v>
      </c>
      <c r="F3633">
        <v>4745</v>
      </c>
      <c r="G3633">
        <v>0</v>
      </c>
      <c r="H3633" t="s">
        <v>8558</v>
      </c>
      <c r="I3633">
        <v>4112</v>
      </c>
      <c r="J3633" t="str">
        <f>VLOOKUP(E3633,DSSpieler!A:B,2,FALSE)</f>
        <v>qierli</v>
      </c>
    </row>
    <row r="3634" spans="1:10" x14ac:dyDescent="0.25">
      <c r="A3634">
        <v>4113</v>
      </c>
      <c r="B3634" t="s">
        <v>32039</v>
      </c>
      <c r="C3634">
        <v>445</v>
      </c>
      <c r="D3634">
        <v>443</v>
      </c>
      <c r="E3634">
        <v>7627920</v>
      </c>
      <c r="F3634">
        <v>5537</v>
      </c>
      <c r="G3634">
        <v>0</v>
      </c>
      <c r="H3634" t="s">
        <v>8559</v>
      </c>
      <c r="I3634">
        <v>4113</v>
      </c>
      <c r="J3634" t="str">
        <f>VLOOKUP(E3634,DSSpieler!A:B,2,FALSE)</f>
        <v>bekloppter09</v>
      </c>
    </row>
    <row r="3635" spans="1:10" x14ac:dyDescent="0.25">
      <c r="A3635">
        <v>4114</v>
      </c>
      <c r="B3635" t="s">
        <v>32040</v>
      </c>
      <c r="C3635">
        <v>445</v>
      </c>
      <c r="D3635">
        <v>503</v>
      </c>
      <c r="E3635">
        <v>2787421</v>
      </c>
      <c r="F3635">
        <v>2492</v>
      </c>
      <c r="G3635">
        <v>0</v>
      </c>
      <c r="H3635" t="s">
        <v>8560</v>
      </c>
      <c r="I3635">
        <v>4114</v>
      </c>
      <c r="J3635" t="str">
        <f>VLOOKUP(E3635,DSSpieler!A:B,2,FALSE)</f>
        <v>dtgz</v>
      </c>
    </row>
    <row r="3636" spans="1:10" x14ac:dyDescent="0.25">
      <c r="A3636">
        <v>4115</v>
      </c>
      <c r="B3636" t="s">
        <v>531</v>
      </c>
      <c r="C3636">
        <v>430</v>
      </c>
      <c r="D3636">
        <v>470</v>
      </c>
      <c r="E3636">
        <v>0</v>
      </c>
      <c r="F3636">
        <v>99</v>
      </c>
      <c r="G3636">
        <v>0</v>
      </c>
      <c r="H3636" t="s">
        <v>8561</v>
      </c>
      <c r="I3636">
        <v>4115</v>
      </c>
      <c r="J3636" t="e">
        <f>VLOOKUP(E3636,DSSpieler!A:B,2,FALSE)</f>
        <v>#N/A</v>
      </c>
    </row>
    <row r="3637" spans="1:10" x14ac:dyDescent="0.25">
      <c r="A3637">
        <v>4116</v>
      </c>
      <c r="B3637" t="s">
        <v>1228</v>
      </c>
      <c r="C3637">
        <v>442</v>
      </c>
      <c r="D3637">
        <v>539</v>
      </c>
      <c r="E3637">
        <v>2204623</v>
      </c>
      <c r="F3637">
        <v>4515</v>
      </c>
      <c r="G3637">
        <v>0</v>
      </c>
      <c r="H3637" t="s">
        <v>8562</v>
      </c>
      <c r="I3637">
        <v>4116</v>
      </c>
      <c r="J3637" t="str">
        <f>VLOOKUP(E3637,DSSpieler!A:B,2,FALSE)</f>
        <v>h0ly jesiz</v>
      </c>
    </row>
    <row r="3638" spans="1:10" x14ac:dyDescent="0.25">
      <c r="A3638">
        <v>4117</v>
      </c>
      <c r="B3638" t="s">
        <v>1229</v>
      </c>
      <c r="C3638">
        <v>556</v>
      </c>
      <c r="D3638">
        <v>469</v>
      </c>
      <c r="E3638">
        <v>8334558</v>
      </c>
      <c r="F3638">
        <v>6384</v>
      </c>
      <c r="G3638">
        <v>0</v>
      </c>
      <c r="H3638" t="s">
        <v>8563</v>
      </c>
      <c r="I3638">
        <v>4117</v>
      </c>
      <c r="J3638" t="str">
        <f>VLOOKUP(E3638,DSSpieler!A:B,2,FALSE)</f>
        <v>xHannes</v>
      </c>
    </row>
    <row r="3639" spans="1:10" x14ac:dyDescent="0.25">
      <c r="A3639">
        <v>4118</v>
      </c>
      <c r="B3639" t="s">
        <v>531</v>
      </c>
      <c r="C3639">
        <v>481</v>
      </c>
      <c r="D3639">
        <v>438</v>
      </c>
      <c r="E3639">
        <v>0</v>
      </c>
      <c r="F3639">
        <v>282</v>
      </c>
      <c r="G3639">
        <v>0</v>
      </c>
      <c r="H3639" t="s">
        <v>8564</v>
      </c>
      <c r="I3639">
        <v>4118</v>
      </c>
      <c r="J3639" t="e">
        <f>VLOOKUP(E3639,DSSpieler!A:B,2,FALSE)</f>
        <v>#N/A</v>
      </c>
    </row>
    <row r="3640" spans="1:10" x14ac:dyDescent="0.25">
      <c r="A3640">
        <v>4119</v>
      </c>
      <c r="B3640" t="s">
        <v>1230</v>
      </c>
      <c r="C3640">
        <v>586</v>
      </c>
      <c r="D3640">
        <v>473</v>
      </c>
      <c r="E3640">
        <v>1577093738</v>
      </c>
      <c r="F3640">
        <v>6131</v>
      </c>
      <c r="G3640">
        <v>0</v>
      </c>
      <c r="H3640" t="s">
        <v>8565</v>
      </c>
      <c r="I3640">
        <v>4119</v>
      </c>
      <c r="J3640" t="str">
        <f>VLOOKUP(E3640,DSSpieler!A:B,2,FALSE)</f>
        <v>Phildo1</v>
      </c>
    </row>
    <row r="3641" spans="1:10" x14ac:dyDescent="0.25">
      <c r="A3641">
        <v>4121</v>
      </c>
      <c r="B3641" t="s">
        <v>32041</v>
      </c>
      <c r="C3641">
        <v>582</v>
      </c>
      <c r="D3641">
        <v>460</v>
      </c>
      <c r="E3641">
        <v>1576961556</v>
      </c>
      <c r="F3641">
        <v>6710</v>
      </c>
      <c r="G3641">
        <v>0</v>
      </c>
      <c r="H3641" t="s">
        <v>8566</v>
      </c>
      <c r="I3641">
        <v>4121</v>
      </c>
      <c r="J3641" t="str">
        <f>VLOOKUP(E3641,DSSpieler!A:B,2,FALSE)</f>
        <v>TraderJoey2</v>
      </c>
    </row>
    <row r="3642" spans="1:10" x14ac:dyDescent="0.25">
      <c r="A3642">
        <v>4122</v>
      </c>
      <c r="B3642" t="s">
        <v>32042</v>
      </c>
      <c r="C3642">
        <v>528</v>
      </c>
      <c r="D3642">
        <v>471</v>
      </c>
      <c r="E3642">
        <v>1577197813</v>
      </c>
      <c r="F3642">
        <v>5155</v>
      </c>
      <c r="G3642">
        <v>0</v>
      </c>
      <c r="H3642" t="s">
        <v>8567</v>
      </c>
      <c r="I3642">
        <v>4122</v>
      </c>
      <c r="J3642" t="str">
        <f>VLOOKUP(E3642,DSSpieler!A:B,2,FALSE)</f>
        <v>Taaaimz</v>
      </c>
    </row>
    <row r="3643" spans="1:10" x14ac:dyDescent="0.25">
      <c r="A3643">
        <v>4123</v>
      </c>
      <c r="B3643" t="s">
        <v>531</v>
      </c>
      <c r="C3643">
        <v>491</v>
      </c>
      <c r="D3643">
        <v>508</v>
      </c>
      <c r="E3643">
        <v>0</v>
      </c>
      <c r="F3643">
        <v>251</v>
      </c>
      <c r="G3643">
        <v>0</v>
      </c>
      <c r="H3643" t="s">
        <v>8568</v>
      </c>
      <c r="I3643">
        <v>4123</v>
      </c>
      <c r="J3643" t="e">
        <f>VLOOKUP(E3643,DSSpieler!A:B,2,FALSE)</f>
        <v>#N/A</v>
      </c>
    </row>
    <row r="3644" spans="1:10" x14ac:dyDescent="0.25">
      <c r="A3644">
        <v>4124</v>
      </c>
      <c r="B3644" t="s">
        <v>531</v>
      </c>
      <c r="C3644">
        <v>436</v>
      </c>
      <c r="D3644">
        <v>457</v>
      </c>
      <c r="E3644">
        <v>0</v>
      </c>
      <c r="F3644">
        <v>357</v>
      </c>
      <c r="G3644">
        <v>0</v>
      </c>
      <c r="H3644" t="s">
        <v>8569</v>
      </c>
      <c r="I3644">
        <v>4124</v>
      </c>
      <c r="J3644" t="e">
        <f>VLOOKUP(E3644,DSSpieler!A:B,2,FALSE)</f>
        <v>#N/A</v>
      </c>
    </row>
    <row r="3645" spans="1:10" x14ac:dyDescent="0.25">
      <c r="A3645">
        <v>4125</v>
      </c>
      <c r="B3645" t="s">
        <v>531</v>
      </c>
      <c r="C3645">
        <v>477</v>
      </c>
      <c r="D3645">
        <v>439</v>
      </c>
      <c r="E3645">
        <v>0</v>
      </c>
      <c r="F3645">
        <v>165</v>
      </c>
      <c r="G3645">
        <v>0</v>
      </c>
      <c r="H3645" t="s">
        <v>8570</v>
      </c>
      <c r="I3645">
        <v>4125</v>
      </c>
      <c r="J3645" t="e">
        <f>VLOOKUP(E3645,DSSpieler!A:B,2,FALSE)</f>
        <v>#N/A</v>
      </c>
    </row>
    <row r="3646" spans="1:10" x14ac:dyDescent="0.25">
      <c r="A3646">
        <v>4126</v>
      </c>
      <c r="B3646" t="s">
        <v>32043</v>
      </c>
      <c r="C3646">
        <v>405</v>
      </c>
      <c r="D3646">
        <v>466</v>
      </c>
      <c r="E3646">
        <v>1577166960</v>
      </c>
      <c r="F3646">
        <v>2554</v>
      </c>
      <c r="G3646">
        <v>0</v>
      </c>
      <c r="H3646" t="s">
        <v>8571</v>
      </c>
      <c r="I3646">
        <v>4126</v>
      </c>
      <c r="J3646" t="str">
        <f>VLOOKUP(E3646,DSSpieler!A:B,2,FALSE)</f>
        <v>Lord Steinhose</v>
      </c>
    </row>
    <row r="3647" spans="1:10" x14ac:dyDescent="0.25">
      <c r="A3647">
        <v>4127</v>
      </c>
      <c r="B3647" t="s">
        <v>32044</v>
      </c>
      <c r="C3647">
        <v>496</v>
      </c>
      <c r="D3647">
        <v>496</v>
      </c>
      <c r="E3647">
        <v>1576492004</v>
      </c>
      <c r="F3647">
        <v>6282</v>
      </c>
      <c r="G3647">
        <v>0</v>
      </c>
      <c r="H3647" t="s">
        <v>8572</v>
      </c>
      <c r="I3647">
        <v>4127</v>
      </c>
      <c r="J3647" t="str">
        <f>VLOOKUP(E3647,DSSpieler!A:B,2,FALSE)</f>
        <v>Bready96</v>
      </c>
    </row>
    <row r="3648" spans="1:10" x14ac:dyDescent="0.25">
      <c r="A3648">
        <v>4128</v>
      </c>
      <c r="B3648" t="s">
        <v>32045</v>
      </c>
      <c r="C3648">
        <v>467</v>
      </c>
      <c r="D3648">
        <v>557</v>
      </c>
      <c r="E3648">
        <v>2639534</v>
      </c>
      <c r="F3648">
        <v>2517</v>
      </c>
      <c r="G3648">
        <v>0</v>
      </c>
      <c r="H3648" t="s">
        <v>8573</v>
      </c>
      <c r="I3648">
        <v>4128</v>
      </c>
      <c r="J3648" t="str">
        <f>VLOOKUP(E3648,DSSpieler!A:B,2,FALSE)</f>
        <v>Wastl 44</v>
      </c>
    </row>
    <row r="3649" spans="1:10" x14ac:dyDescent="0.25">
      <c r="A3649">
        <v>4129</v>
      </c>
      <c r="B3649" t="s">
        <v>32046</v>
      </c>
      <c r="C3649">
        <v>556</v>
      </c>
      <c r="D3649">
        <v>449</v>
      </c>
      <c r="E3649">
        <v>1577168662</v>
      </c>
      <c r="F3649">
        <v>4446</v>
      </c>
      <c r="G3649">
        <v>0</v>
      </c>
      <c r="H3649" t="s">
        <v>8574</v>
      </c>
      <c r="I3649">
        <v>4129</v>
      </c>
      <c r="J3649" t="str">
        <f>VLOOKUP(E3649,DSSpieler!A:B,2,FALSE)</f>
        <v>Chrissize</v>
      </c>
    </row>
    <row r="3650" spans="1:10" x14ac:dyDescent="0.25">
      <c r="A3650">
        <v>4130</v>
      </c>
      <c r="B3650">
        <v>3</v>
      </c>
      <c r="C3650">
        <v>548</v>
      </c>
      <c r="D3650">
        <v>459</v>
      </c>
      <c r="E3650">
        <v>1576083245</v>
      </c>
      <c r="F3650">
        <v>5447</v>
      </c>
      <c r="G3650">
        <v>0</v>
      </c>
      <c r="H3650" t="s">
        <v>8575</v>
      </c>
      <c r="I3650">
        <v>4130</v>
      </c>
      <c r="J3650" t="str">
        <f>VLOOKUP(E3650,DSSpieler!A:B,2,FALSE)</f>
        <v>Dny1893</v>
      </c>
    </row>
    <row r="3651" spans="1:10" x14ac:dyDescent="0.25">
      <c r="A3651">
        <v>4131</v>
      </c>
      <c r="B3651" t="s">
        <v>32047</v>
      </c>
      <c r="C3651">
        <v>533</v>
      </c>
      <c r="D3651">
        <v>532</v>
      </c>
      <c r="E3651">
        <v>1577086026</v>
      </c>
      <c r="F3651">
        <v>5112</v>
      </c>
      <c r="G3651">
        <v>0</v>
      </c>
      <c r="H3651" t="s">
        <v>8576</v>
      </c>
      <c r="I3651">
        <v>4131</v>
      </c>
      <c r="J3651" t="str">
        <f>VLOOKUP(E3651,DSSpieler!A:B,2,FALSE)</f>
        <v>drvuudo</v>
      </c>
    </row>
    <row r="3652" spans="1:10" x14ac:dyDescent="0.25">
      <c r="A3652">
        <v>4132</v>
      </c>
      <c r="B3652" t="s">
        <v>531</v>
      </c>
      <c r="C3652">
        <v>540</v>
      </c>
      <c r="D3652">
        <v>493</v>
      </c>
      <c r="E3652">
        <v>0</v>
      </c>
      <c r="F3652">
        <v>441</v>
      </c>
      <c r="G3652">
        <v>0</v>
      </c>
      <c r="H3652" t="s">
        <v>8577</v>
      </c>
      <c r="I3652">
        <v>4132</v>
      </c>
      <c r="J3652" t="e">
        <f>VLOOKUP(E3652,DSSpieler!A:B,2,FALSE)</f>
        <v>#N/A</v>
      </c>
    </row>
    <row r="3653" spans="1:10" x14ac:dyDescent="0.25">
      <c r="A3653">
        <v>4133</v>
      </c>
      <c r="B3653" t="s">
        <v>1231</v>
      </c>
      <c r="C3653">
        <v>423</v>
      </c>
      <c r="D3653">
        <v>530</v>
      </c>
      <c r="E3653">
        <v>1577146740</v>
      </c>
      <c r="F3653">
        <v>7598</v>
      </c>
      <c r="G3653">
        <v>0</v>
      </c>
      <c r="H3653" t="s">
        <v>8578</v>
      </c>
      <c r="I3653">
        <v>4133</v>
      </c>
      <c r="J3653" t="str">
        <f>VLOOKUP(E3653,DSSpieler!A:B,2,FALSE)</f>
        <v>MCBlood</v>
      </c>
    </row>
    <row r="3654" spans="1:10" x14ac:dyDescent="0.25">
      <c r="A3654">
        <v>4134</v>
      </c>
      <c r="B3654" t="s">
        <v>1232</v>
      </c>
      <c r="C3654">
        <v>453</v>
      </c>
      <c r="D3654">
        <v>599</v>
      </c>
      <c r="E3654">
        <v>1577195077</v>
      </c>
      <c r="F3654">
        <v>3283</v>
      </c>
      <c r="G3654">
        <v>0</v>
      </c>
      <c r="H3654" t="s">
        <v>8579</v>
      </c>
      <c r="I3654">
        <v>4134</v>
      </c>
      <c r="J3654" t="str">
        <f>VLOOKUP(E3654,DSSpieler!A:B,2,FALSE)</f>
        <v>Nimm2Lachgummis</v>
      </c>
    </row>
    <row r="3655" spans="1:10" x14ac:dyDescent="0.25">
      <c r="A3655">
        <v>4135</v>
      </c>
      <c r="B3655" t="s">
        <v>1233</v>
      </c>
      <c r="C3655">
        <v>462</v>
      </c>
      <c r="D3655">
        <v>540</v>
      </c>
      <c r="E3655">
        <v>1576583180</v>
      </c>
      <c r="F3655">
        <v>5085</v>
      </c>
      <c r="G3655">
        <v>0</v>
      </c>
      <c r="H3655" t="s">
        <v>8580</v>
      </c>
      <c r="I3655">
        <v>4135</v>
      </c>
      <c r="J3655" t="str">
        <f>VLOOKUP(E3655,DSSpieler!A:B,2,FALSE)</f>
        <v>opjeff</v>
      </c>
    </row>
    <row r="3656" spans="1:10" x14ac:dyDescent="0.25">
      <c r="A3656">
        <v>4136</v>
      </c>
      <c r="B3656" t="s">
        <v>531</v>
      </c>
      <c r="C3656">
        <v>578</v>
      </c>
      <c r="D3656">
        <v>506</v>
      </c>
      <c r="E3656">
        <v>0</v>
      </c>
      <c r="F3656">
        <v>331</v>
      </c>
      <c r="G3656">
        <v>0</v>
      </c>
      <c r="H3656" t="s">
        <v>8581</v>
      </c>
      <c r="I3656">
        <v>4136</v>
      </c>
      <c r="J3656" t="e">
        <f>VLOOKUP(E3656,DSSpieler!A:B,2,FALSE)</f>
        <v>#N/A</v>
      </c>
    </row>
    <row r="3657" spans="1:10" x14ac:dyDescent="0.25">
      <c r="A3657">
        <v>4137</v>
      </c>
      <c r="B3657" t="s">
        <v>32048</v>
      </c>
      <c r="C3657">
        <v>591</v>
      </c>
      <c r="D3657">
        <v>540</v>
      </c>
      <c r="E3657">
        <v>1576125761</v>
      </c>
      <c r="F3657">
        <v>4042</v>
      </c>
      <c r="G3657">
        <v>0</v>
      </c>
      <c r="H3657" t="s">
        <v>8582</v>
      </c>
      <c r="I3657">
        <v>4137</v>
      </c>
      <c r="J3657" t="str">
        <f>VLOOKUP(E3657,DSSpieler!A:B,2,FALSE)</f>
        <v>Riotyouth</v>
      </c>
    </row>
    <row r="3658" spans="1:10" x14ac:dyDescent="0.25">
      <c r="A3658">
        <v>4139</v>
      </c>
      <c r="B3658" t="s">
        <v>32049</v>
      </c>
      <c r="C3658">
        <v>554</v>
      </c>
      <c r="D3658">
        <v>552</v>
      </c>
      <c r="E3658">
        <v>1577177778</v>
      </c>
      <c r="F3658">
        <v>7268</v>
      </c>
      <c r="G3658">
        <v>0</v>
      </c>
      <c r="H3658" t="s">
        <v>8583</v>
      </c>
      <c r="I3658">
        <v>4139</v>
      </c>
      <c r="J3658" t="str">
        <f>VLOOKUP(E3658,DSSpieler!A:B,2,FALSE)</f>
        <v>Hormillo</v>
      </c>
    </row>
    <row r="3659" spans="1:10" x14ac:dyDescent="0.25">
      <c r="A3659">
        <v>4140</v>
      </c>
      <c r="B3659">
        <v>4</v>
      </c>
      <c r="C3659">
        <v>533</v>
      </c>
      <c r="D3659">
        <v>493</v>
      </c>
      <c r="E3659">
        <v>1576911285</v>
      </c>
      <c r="F3659">
        <v>4496</v>
      </c>
      <c r="G3659">
        <v>0</v>
      </c>
      <c r="H3659" t="s">
        <v>8584</v>
      </c>
      <c r="I3659">
        <v>4140</v>
      </c>
      <c r="J3659" t="str">
        <f>VLOOKUP(E3659,DSSpieler!A:B,2,FALSE)</f>
        <v>SirAdel</v>
      </c>
    </row>
    <row r="3660" spans="1:10" x14ac:dyDescent="0.25">
      <c r="A3660">
        <v>4141</v>
      </c>
      <c r="B3660" t="s">
        <v>1057</v>
      </c>
      <c r="C3660">
        <v>467</v>
      </c>
      <c r="D3660">
        <v>433</v>
      </c>
      <c r="E3660">
        <v>8897367</v>
      </c>
      <c r="F3660">
        <v>6730</v>
      </c>
      <c r="G3660">
        <v>0</v>
      </c>
      <c r="H3660" t="s">
        <v>8585</v>
      </c>
      <c r="I3660">
        <v>4141</v>
      </c>
      <c r="J3660" t="str">
        <f>VLOOKUP(E3660,DSSpieler!A:B,2,FALSE)</f>
        <v>Zwoogel1</v>
      </c>
    </row>
    <row r="3661" spans="1:10" x14ac:dyDescent="0.25">
      <c r="A3661">
        <v>4142</v>
      </c>
      <c r="B3661" t="s">
        <v>531</v>
      </c>
      <c r="C3661">
        <v>482</v>
      </c>
      <c r="D3661">
        <v>430</v>
      </c>
      <c r="E3661">
        <v>0</v>
      </c>
      <c r="F3661">
        <v>537</v>
      </c>
      <c r="G3661">
        <v>0</v>
      </c>
      <c r="H3661" t="s">
        <v>8586</v>
      </c>
      <c r="I3661">
        <v>4142</v>
      </c>
      <c r="J3661" t="e">
        <f>VLOOKUP(E3661,DSSpieler!A:B,2,FALSE)</f>
        <v>#N/A</v>
      </c>
    </row>
    <row r="3662" spans="1:10" x14ac:dyDescent="0.25">
      <c r="A3662">
        <v>4143</v>
      </c>
      <c r="B3662" t="s">
        <v>32050</v>
      </c>
      <c r="C3662">
        <v>473</v>
      </c>
      <c r="D3662">
        <v>555</v>
      </c>
      <c r="E3662">
        <v>1577196514</v>
      </c>
      <c r="F3662">
        <v>6686</v>
      </c>
      <c r="G3662">
        <v>0</v>
      </c>
      <c r="H3662" t="s">
        <v>8587</v>
      </c>
      <c r="I3662">
        <v>4143</v>
      </c>
      <c r="J3662" t="str">
        <f>VLOOKUP(E3662,DSSpieler!A:B,2,FALSE)</f>
        <v>Thunderus</v>
      </c>
    </row>
    <row r="3663" spans="1:10" x14ac:dyDescent="0.25">
      <c r="A3663">
        <v>4146</v>
      </c>
      <c r="B3663" t="s">
        <v>32051</v>
      </c>
      <c r="C3663">
        <v>448</v>
      </c>
      <c r="D3663">
        <v>446</v>
      </c>
      <c r="E3663">
        <v>2973761</v>
      </c>
      <c r="F3663">
        <v>7127</v>
      </c>
      <c r="G3663">
        <v>0</v>
      </c>
      <c r="H3663" t="s">
        <v>8588</v>
      </c>
      <c r="I3663">
        <v>4146</v>
      </c>
      <c r="J3663" t="str">
        <f>VLOOKUP(E3663,DSSpieler!A:B,2,FALSE)</f>
        <v>altaa</v>
      </c>
    </row>
    <row r="3664" spans="1:10" x14ac:dyDescent="0.25">
      <c r="A3664">
        <v>4147</v>
      </c>
      <c r="B3664" t="s">
        <v>30648</v>
      </c>
      <c r="C3664">
        <v>457</v>
      </c>
      <c r="D3664">
        <v>472</v>
      </c>
      <c r="E3664">
        <v>1577187756</v>
      </c>
      <c r="F3664">
        <v>5552</v>
      </c>
      <c r="G3664">
        <v>0</v>
      </c>
      <c r="H3664" t="s">
        <v>8589</v>
      </c>
      <c r="I3664">
        <v>4147</v>
      </c>
      <c r="J3664" t="str">
        <f>VLOOKUP(E3664,DSSpieler!A:B,2,FALSE)</f>
        <v>xmagical5</v>
      </c>
    </row>
    <row r="3665" spans="1:10" x14ac:dyDescent="0.25">
      <c r="A3665">
        <v>4148</v>
      </c>
      <c r="B3665" t="s">
        <v>1234</v>
      </c>
      <c r="C3665">
        <v>492</v>
      </c>
      <c r="D3665">
        <v>442</v>
      </c>
      <c r="E3665">
        <v>1577188484</v>
      </c>
      <c r="F3665">
        <v>5218</v>
      </c>
      <c r="G3665">
        <v>0</v>
      </c>
      <c r="H3665" t="s">
        <v>8590</v>
      </c>
      <c r="I3665">
        <v>4148</v>
      </c>
      <c r="J3665" t="str">
        <f>VLOOKUP(E3665,DSSpieler!A:B,2,FALSE)</f>
        <v>Wowa20</v>
      </c>
    </row>
    <row r="3666" spans="1:10" x14ac:dyDescent="0.25">
      <c r="A3666">
        <v>4149</v>
      </c>
      <c r="B3666" t="s">
        <v>30648</v>
      </c>
      <c r="C3666">
        <v>462</v>
      </c>
      <c r="D3666">
        <v>464</v>
      </c>
      <c r="E3666">
        <v>1577187756</v>
      </c>
      <c r="F3666">
        <v>4878</v>
      </c>
      <c r="G3666">
        <v>0</v>
      </c>
      <c r="H3666" t="s">
        <v>8591</v>
      </c>
      <c r="I3666">
        <v>4149</v>
      </c>
      <c r="J3666" t="str">
        <f>VLOOKUP(E3666,DSSpieler!A:B,2,FALSE)</f>
        <v>xmagical5</v>
      </c>
    </row>
    <row r="3667" spans="1:10" x14ac:dyDescent="0.25">
      <c r="A3667">
        <v>4150</v>
      </c>
      <c r="B3667">
        <v>1</v>
      </c>
      <c r="C3667">
        <v>453</v>
      </c>
      <c r="D3667">
        <v>410</v>
      </c>
      <c r="E3667">
        <v>1576352386</v>
      </c>
      <c r="F3667">
        <v>3025</v>
      </c>
      <c r="G3667">
        <v>0</v>
      </c>
      <c r="H3667" t="s">
        <v>8592</v>
      </c>
      <c r="I3667">
        <v>4150</v>
      </c>
      <c r="J3667" t="str">
        <f>VLOOKUP(E3667,DSSpieler!A:B,2,FALSE)</f>
        <v>xandrej</v>
      </c>
    </row>
    <row r="3668" spans="1:10" x14ac:dyDescent="0.25">
      <c r="A3668">
        <v>4151</v>
      </c>
      <c r="B3668" t="s">
        <v>531</v>
      </c>
      <c r="C3668">
        <v>569</v>
      </c>
      <c r="D3668">
        <v>484</v>
      </c>
      <c r="E3668">
        <v>0</v>
      </c>
      <c r="F3668">
        <v>392</v>
      </c>
      <c r="G3668">
        <v>0</v>
      </c>
      <c r="H3668" t="s">
        <v>8593</v>
      </c>
      <c r="I3668">
        <v>4151</v>
      </c>
      <c r="J3668" t="e">
        <f>VLOOKUP(E3668,DSSpieler!A:B,2,FALSE)</f>
        <v>#N/A</v>
      </c>
    </row>
    <row r="3669" spans="1:10" x14ac:dyDescent="0.25">
      <c r="A3669">
        <v>4152</v>
      </c>
      <c r="B3669" t="s">
        <v>531</v>
      </c>
      <c r="C3669">
        <v>463</v>
      </c>
      <c r="D3669">
        <v>569</v>
      </c>
      <c r="E3669">
        <v>0</v>
      </c>
      <c r="F3669">
        <v>188</v>
      </c>
      <c r="G3669">
        <v>0</v>
      </c>
      <c r="H3669" t="s">
        <v>8594</v>
      </c>
      <c r="I3669">
        <v>4152</v>
      </c>
      <c r="J3669" t="e">
        <f>VLOOKUP(E3669,DSSpieler!A:B,2,FALSE)</f>
        <v>#N/A</v>
      </c>
    </row>
    <row r="3670" spans="1:10" x14ac:dyDescent="0.25">
      <c r="A3670">
        <v>4153</v>
      </c>
      <c r="B3670" t="s">
        <v>31513</v>
      </c>
      <c r="C3670">
        <v>566</v>
      </c>
      <c r="D3670">
        <v>575</v>
      </c>
      <c r="E3670">
        <v>1577188803</v>
      </c>
      <c r="F3670">
        <v>5620</v>
      </c>
      <c r="G3670">
        <v>0</v>
      </c>
      <c r="H3670" t="s">
        <v>8595</v>
      </c>
      <c r="I3670">
        <v>4153</v>
      </c>
      <c r="J3670" t="str">
        <f>VLOOKUP(E3670,DSSpieler!A:B,2,FALSE)</f>
        <v>GrrGr</v>
      </c>
    </row>
    <row r="3671" spans="1:10" x14ac:dyDescent="0.25">
      <c r="A3671">
        <v>4154</v>
      </c>
      <c r="B3671" t="s">
        <v>531</v>
      </c>
      <c r="C3671">
        <v>526</v>
      </c>
      <c r="D3671">
        <v>480</v>
      </c>
      <c r="E3671">
        <v>0</v>
      </c>
      <c r="F3671">
        <v>437</v>
      </c>
      <c r="G3671">
        <v>0</v>
      </c>
      <c r="H3671" t="s">
        <v>8596</v>
      </c>
      <c r="I3671">
        <v>4154</v>
      </c>
      <c r="J3671" t="e">
        <f>VLOOKUP(E3671,DSSpieler!A:B,2,FALSE)</f>
        <v>#N/A</v>
      </c>
    </row>
    <row r="3672" spans="1:10" x14ac:dyDescent="0.25">
      <c r="A3672">
        <v>4155</v>
      </c>
      <c r="B3672" t="s">
        <v>1235</v>
      </c>
      <c r="C3672">
        <v>537</v>
      </c>
      <c r="D3672">
        <v>450</v>
      </c>
      <c r="E3672">
        <v>1577183460</v>
      </c>
      <c r="F3672">
        <v>4985</v>
      </c>
      <c r="G3672">
        <v>0</v>
      </c>
      <c r="H3672" t="s">
        <v>8597</v>
      </c>
      <c r="I3672">
        <v>4155</v>
      </c>
      <c r="J3672" t="str">
        <f>VLOOKUP(E3672,DSSpieler!A:B,2,FALSE)</f>
        <v>TrollPick</v>
      </c>
    </row>
    <row r="3673" spans="1:10" x14ac:dyDescent="0.25">
      <c r="A3673">
        <v>4156</v>
      </c>
      <c r="B3673" t="s">
        <v>32052</v>
      </c>
      <c r="C3673">
        <v>456</v>
      </c>
      <c r="D3673">
        <v>420</v>
      </c>
      <c r="E3673">
        <v>1577186402</v>
      </c>
      <c r="F3673">
        <v>3389</v>
      </c>
      <c r="G3673">
        <v>0</v>
      </c>
      <c r="H3673" t="s">
        <v>8598</v>
      </c>
      <c r="I3673">
        <v>4156</v>
      </c>
      <c r="J3673" t="str">
        <f>VLOOKUP(E3673,DSSpieler!A:B,2,FALSE)</f>
        <v>kenny.tod</v>
      </c>
    </row>
    <row r="3674" spans="1:10" x14ac:dyDescent="0.25">
      <c r="A3674">
        <v>4157</v>
      </c>
      <c r="B3674" t="s">
        <v>531</v>
      </c>
      <c r="C3674">
        <v>489</v>
      </c>
      <c r="D3674">
        <v>533</v>
      </c>
      <c r="E3674">
        <v>0</v>
      </c>
      <c r="F3674">
        <v>236</v>
      </c>
      <c r="G3674">
        <v>0</v>
      </c>
      <c r="H3674" t="s">
        <v>8599</v>
      </c>
      <c r="I3674">
        <v>4157</v>
      </c>
      <c r="J3674" t="e">
        <f>VLOOKUP(E3674,DSSpieler!A:B,2,FALSE)</f>
        <v>#N/A</v>
      </c>
    </row>
    <row r="3675" spans="1:10" x14ac:dyDescent="0.25">
      <c r="A3675">
        <v>4158</v>
      </c>
      <c r="B3675" t="s">
        <v>1236</v>
      </c>
      <c r="C3675">
        <v>426</v>
      </c>
      <c r="D3675">
        <v>457</v>
      </c>
      <c r="E3675">
        <v>1577196857</v>
      </c>
      <c r="F3675">
        <v>3646</v>
      </c>
      <c r="G3675">
        <v>0</v>
      </c>
      <c r="H3675" t="s">
        <v>8600</v>
      </c>
      <c r="I3675">
        <v>4158</v>
      </c>
      <c r="J3675" t="str">
        <f>VLOOKUP(E3675,DSSpieler!A:B,2,FALSE)</f>
        <v>Gottmarw</v>
      </c>
    </row>
    <row r="3676" spans="1:10" x14ac:dyDescent="0.25">
      <c r="A3676">
        <v>4159</v>
      </c>
      <c r="B3676" t="s">
        <v>31763</v>
      </c>
      <c r="C3676">
        <v>585</v>
      </c>
      <c r="D3676">
        <v>546</v>
      </c>
      <c r="E3676">
        <v>1577171740</v>
      </c>
      <c r="F3676">
        <v>6217</v>
      </c>
      <c r="G3676">
        <v>0</v>
      </c>
      <c r="H3676" t="s">
        <v>8601</v>
      </c>
      <c r="I3676">
        <v>4159</v>
      </c>
      <c r="J3676" t="str">
        <f>VLOOKUP(E3676,DSSpieler!A:B,2,FALSE)</f>
        <v>Kevisback7</v>
      </c>
    </row>
    <row r="3677" spans="1:10" x14ac:dyDescent="0.25">
      <c r="A3677">
        <v>4161</v>
      </c>
      <c r="B3677" t="s">
        <v>531</v>
      </c>
      <c r="C3677">
        <v>449</v>
      </c>
      <c r="D3677">
        <v>555</v>
      </c>
      <c r="E3677">
        <v>0</v>
      </c>
      <c r="F3677">
        <v>423</v>
      </c>
      <c r="G3677">
        <v>0</v>
      </c>
      <c r="H3677" t="s">
        <v>8602</v>
      </c>
      <c r="I3677">
        <v>4161</v>
      </c>
      <c r="J3677" t="e">
        <f>VLOOKUP(E3677,DSSpieler!A:B,2,FALSE)</f>
        <v>#N/A</v>
      </c>
    </row>
    <row r="3678" spans="1:10" x14ac:dyDescent="0.25">
      <c r="A3678">
        <v>4163</v>
      </c>
      <c r="B3678" t="s">
        <v>1237</v>
      </c>
      <c r="C3678">
        <v>551</v>
      </c>
      <c r="D3678">
        <v>529</v>
      </c>
      <c r="E3678">
        <v>1577179568</v>
      </c>
      <c r="F3678">
        <v>5798</v>
      </c>
      <c r="G3678">
        <v>0</v>
      </c>
      <c r="H3678" t="s">
        <v>8603</v>
      </c>
      <c r="I3678">
        <v>4163</v>
      </c>
      <c r="J3678" t="str">
        <f>VLOOKUP(E3678,DSSpieler!A:B,2,FALSE)</f>
        <v>Bienhardson</v>
      </c>
    </row>
    <row r="3679" spans="1:10" x14ac:dyDescent="0.25">
      <c r="A3679">
        <v>4164</v>
      </c>
      <c r="B3679" t="s">
        <v>531</v>
      </c>
      <c r="C3679">
        <v>508</v>
      </c>
      <c r="D3679">
        <v>581</v>
      </c>
      <c r="E3679">
        <v>0</v>
      </c>
      <c r="F3679">
        <v>218</v>
      </c>
      <c r="G3679">
        <v>0</v>
      </c>
      <c r="H3679" t="s">
        <v>8604</v>
      </c>
      <c r="I3679">
        <v>4164</v>
      </c>
      <c r="J3679" t="e">
        <f>VLOOKUP(E3679,DSSpieler!A:B,2,FALSE)</f>
        <v>#N/A</v>
      </c>
    </row>
    <row r="3680" spans="1:10" x14ac:dyDescent="0.25">
      <c r="A3680">
        <v>4165</v>
      </c>
      <c r="B3680">
        <v>1</v>
      </c>
      <c r="C3680">
        <v>403</v>
      </c>
      <c r="D3680">
        <v>517</v>
      </c>
      <c r="E3680">
        <v>1576523771</v>
      </c>
      <c r="F3680">
        <v>6278</v>
      </c>
      <c r="G3680">
        <v>0</v>
      </c>
      <c r="H3680" t="s">
        <v>8605</v>
      </c>
      <c r="I3680">
        <v>4165</v>
      </c>
      <c r="J3680" t="str">
        <f>VLOOKUP(E3680,DSSpieler!A:B,2,FALSE)</f>
        <v>Kev1n</v>
      </c>
    </row>
    <row r="3681" spans="1:10" x14ac:dyDescent="0.25">
      <c r="A3681">
        <v>4167</v>
      </c>
      <c r="B3681" t="s">
        <v>32053</v>
      </c>
      <c r="C3681">
        <v>482</v>
      </c>
      <c r="D3681">
        <v>608</v>
      </c>
      <c r="E3681">
        <v>10242175</v>
      </c>
      <c r="F3681">
        <v>5328</v>
      </c>
      <c r="G3681">
        <v>0</v>
      </c>
      <c r="H3681" t="s">
        <v>8606</v>
      </c>
      <c r="I3681">
        <v>4167</v>
      </c>
      <c r="J3681" t="str">
        <f>VLOOKUP(E3681,DSSpieler!A:B,2,FALSE)</f>
        <v>tufiga</v>
      </c>
    </row>
    <row r="3682" spans="1:10" x14ac:dyDescent="0.25">
      <c r="A3682">
        <v>4168</v>
      </c>
      <c r="B3682" t="s">
        <v>531</v>
      </c>
      <c r="C3682">
        <v>467</v>
      </c>
      <c r="D3682">
        <v>569</v>
      </c>
      <c r="E3682">
        <v>0</v>
      </c>
      <c r="F3682">
        <v>740</v>
      </c>
      <c r="G3682">
        <v>0</v>
      </c>
      <c r="H3682" t="s">
        <v>8607</v>
      </c>
      <c r="I3682">
        <v>4168</v>
      </c>
      <c r="J3682" t="e">
        <f>VLOOKUP(E3682,DSSpieler!A:B,2,FALSE)</f>
        <v>#N/A</v>
      </c>
    </row>
    <row r="3683" spans="1:10" x14ac:dyDescent="0.25">
      <c r="A3683">
        <v>4172</v>
      </c>
      <c r="B3683" t="s">
        <v>531</v>
      </c>
      <c r="C3683">
        <v>569</v>
      </c>
      <c r="D3683">
        <v>531</v>
      </c>
      <c r="E3683">
        <v>0</v>
      </c>
      <c r="F3683">
        <v>400</v>
      </c>
      <c r="G3683">
        <v>0</v>
      </c>
      <c r="H3683" t="s">
        <v>8608</v>
      </c>
      <c r="I3683">
        <v>4172</v>
      </c>
      <c r="J3683" t="e">
        <f>VLOOKUP(E3683,DSSpieler!A:B,2,FALSE)</f>
        <v>#N/A</v>
      </c>
    </row>
    <row r="3684" spans="1:10" x14ac:dyDescent="0.25">
      <c r="A3684">
        <v>4173</v>
      </c>
      <c r="B3684" t="s">
        <v>32054</v>
      </c>
      <c r="C3684">
        <v>543</v>
      </c>
      <c r="D3684">
        <v>550</v>
      </c>
      <c r="E3684">
        <v>1577146592</v>
      </c>
      <c r="F3684">
        <v>4926</v>
      </c>
      <c r="G3684">
        <v>0</v>
      </c>
      <c r="H3684" t="s">
        <v>8609</v>
      </c>
      <c r="I3684">
        <v>4173</v>
      </c>
      <c r="J3684" t="str">
        <f>VLOOKUP(E3684,DSSpieler!A:B,2,FALSE)</f>
        <v>DerDon</v>
      </c>
    </row>
    <row r="3685" spans="1:10" x14ac:dyDescent="0.25">
      <c r="A3685">
        <v>4175</v>
      </c>
      <c r="B3685" t="s">
        <v>863</v>
      </c>
      <c r="C3685">
        <v>531</v>
      </c>
      <c r="D3685">
        <v>460</v>
      </c>
      <c r="E3685">
        <v>2173445</v>
      </c>
      <c r="F3685">
        <v>4181</v>
      </c>
      <c r="G3685">
        <v>0</v>
      </c>
      <c r="H3685" t="s">
        <v>8610</v>
      </c>
      <c r="I3685">
        <v>4175</v>
      </c>
      <c r="J3685" t="str">
        <f>VLOOKUP(E3685,DSSpieler!A:B,2,FALSE)</f>
        <v>Nefprak</v>
      </c>
    </row>
    <row r="3686" spans="1:10" x14ac:dyDescent="0.25">
      <c r="A3686">
        <v>4176</v>
      </c>
      <c r="B3686" t="s">
        <v>32055</v>
      </c>
      <c r="C3686">
        <v>445</v>
      </c>
      <c r="D3686">
        <v>446</v>
      </c>
      <c r="E3686">
        <v>1577175475</v>
      </c>
      <c r="F3686">
        <v>6110</v>
      </c>
      <c r="G3686">
        <v>0</v>
      </c>
      <c r="H3686" t="s">
        <v>8611</v>
      </c>
      <c r="I3686">
        <v>4176</v>
      </c>
      <c r="J3686" t="str">
        <f>VLOOKUP(E3686,DSSpieler!A:B,2,FALSE)</f>
        <v>MikuChan</v>
      </c>
    </row>
    <row r="3687" spans="1:10" x14ac:dyDescent="0.25">
      <c r="A3687">
        <v>4177</v>
      </c>
      <c r="B3687" t="s">
        <v>780</v>
      </c>
      <c r="C3687">
        <v>597</v>
      </c>
      <c r="D3687">
        <v>515</v>
      </c>
      <c r="E3687">
        <v>1577195219</v>
      </c>
      <c r="F3687">
        <v>5947</v>
      </c>
      <c r="G3687">
        <v>0</v>
      </c>
      <c r="H3687" t="s">
        <v>8612</v>
      </c>
      <c r="I3687">
        <v>4177</v>
      </c>
      <c r="J3687" t="str">
        <f>VLOOKUP(E3687,DSSpieler!A:B,2,FALSE)</f>
        <v>Eric Cartman</v>
      </c>
    </row>
    <row r="3688" spans="1:10" x14ac:dyDescent="0.25">
      <c r="A3688">
        <v>4178</v>
      </c>
      <c r="B3688" t="s">
        <v>780</v>
      </c>
      <c r="C3688">
        <v>562</v>
      </c>
      <c r="D3688">
        <v>569</v>
      </c>
      <c r="E3688">
        <v>1577197971</v>
      </c>
      <c r="F3688">
        <v>4382</v>
      </c>
      <c r="G3688">
        <v>0</v>
      </c>
      <c r="H3688" t="s">
        <v>8613</v>
      </c>
      <c r="I3688">
        <v>4178</v>
      </c>
      <c r="J3688" t="str">
        <f>VLOOKUP(E3688,DSSpieler!A:B,2,FALSE)</f>
        <v>-I34SH-</v>
      </c>
    </row>
    <row r="3689" spans="1:10" x14ac:dyDescent="0.25">
      <c r="A3689">
        <v>4179</v>
      </c>
      <c r="B3689" t="s">
        <v>32056</v>
      </c>
      <c r="C3689">
        <v>471</v>
      </c>
      <c r="D3689">
        <v>590</v>
      </c>
      <c r="E3689">
        <v>1576980922</v>
      </c>
      <c r="F3689">
        <v>3454</v>
      </c>
      <c r="G3689">
        <v>0</v>
      </c>
      <c r="H3689" t="s">
        <v>8614</v>
      </c>
      <c r="I3689">
        <v>4179</v>
      </c>
      <c r="J3689" t="str">
        <f>VLOOKUP(E3689,DSSpieler!A:B,2,FALSE)</f>
        <v>darkvieri</v>
      </c>
    </row>
    <row r="3690" spans="1:10" x14ac:dyDescent="0.25">
      <c r="A3690">
        <v>4180</v>
      </c>
      <c r="B3690" t="s">
        <v>1238</v>
      </c>
      <c r="C3690">
        <v>513</v>
      </c>
      <c r="D3690">
        <v>576</v>
      </c>
      <c r="E3690">
        <v>8911791</v>
      </c>
      <c r="F3690">
        <v>1302</v>
      </c>
      <c r="G3690">
        <v>0</v>
      </c>
      <c r="H3690" t="s">
        <v>8615</v>
      </c>
      <c r="I3690">
        <v>4180</v>
      </c>
      <c r="J3690" t="str">
        <f>VLOOKUP(E3690,DSSpieler!A:B,2,FALSE)</f>
        <v>Azerlord</v>
      </c>
    </row>
    <row r="3691" spans="1:10" x14ac:dyDescent="0.25">
      <c r="A3691">
        <v>4181</v>
      </c>
      <c r="B3691" t="s">
        <v>531</v>
      </c>
      <c r="C3691">
        <v>528</v>
      </c>
      <c r="D3691">
        <v>556</v>
      </c>
      <c r="E3691">
        <v>0</v>
      </c>
      <c r="F3691">
        <v>407</v>
      </c>
      <c r="G3691">
        <v>0</v>
      </c>
      <c r="H3691" t="s">
        <v>8616</v>
      </c>
      <c r="I3691">
        <v>4181</v>
      </c>
      <c r="J3691" t="e">
        <f>VLOOKUP(E3691,DSSpieler!A:B,2,FALSE)</f>
        <v>#N/A</v>
      </c>
    </row>
    <row r="3692" spans="1:10" x14ac:dyDescent="0.25">
      <c r="A3692">
        <v>4182</v>
      </c>
      <c r="B3692" t="s">
        <v>1239</v>
      </c>
      <c r="C3692">
        <v>508</v>
      </c>
      <c r="D3692">
        <v>547</v>
      </c>
      <c r="E3692">
        <v>1577196396</v>
      </c>
      <c r="F3692">
        <v>5588</v>
      </c>
      <c r="G3692">
        <v>0</v>
      </c>
      <c r="H3692" t="s">
        <v>8617</v>
      </c>
      <c r="I3692">
        <v>4182</v>
      </c>
      <c r="J3692" t="str">
        <f>VLOOKUP(E3692,DSSpieler!A:B,2,FALSE)</f>
        <v>Gilfchecker</v>
      </c>
    </row>
    <row r="3693" spans="1:10" x14ac:dyDescent="0.25">
      <c r="A3693">
        <v>4183</v>
      </c>
      <c r="B3693" t="s">
        <v>531</v>
      </c>
      <c r="C3693">
        <v>442</v>
      </c>
      <c r="D3693">
        <v>535</v>
      </c>
      <c r="E3693">
        <v>0</v>
      </c>
      <c r="F3693">
        <v>412</v>
      </c>
      <c r="G3693">
        <v>0</v>
      </c>
      <c r="H3693" t="s">
        <v>8618</v>
      </c>
      <c r="I3693">
        <v>4183</v>
      </c>
      <c r="J3693" t="e">
        <f>VLOOKUP(E3693,DSSpieler!A:B,2,FALSE)</f>
        <v>#N/A</v>
      </c>
    </row>
    <row r="3694" spans="1:10" x14ac:dyDescent="0.25">
      <c r="A3694">
        <v>4184</v>
      </c>
      <c r="B3694" t="s">
        <v>32057</v>
      </c>
      <c r="C3694">
        <v>399</v>
      </c>
      <c r="D3694">
        <v>508</v>
      </c>
      <c r="E3694">
        <v>1577177028</v>
      </c>
      <c r="F3694">
        <v>5889</v>
      </c>
      <c r="G3694">
        <v>0</v>
      </c>
      <c r="H3694" t="s">
        <v>8619</v>
      </c>
      <c r="I3694">
        <v>4184</v>
      </c>
      <c r="J3694" t="str">
        <f>VLOOKUP(E3694,DSSpieler!A:B,2,FALSE)</f>
        <v>Held des Kampfes</v>
      </c>
    </row>
    <row r="3695" spans="1:10" x14ac:dyDescent="0.25">
      <c r="A3695">
        <v>4185</v>
      </c>
      <c r="B3695" t="s">
        <v>32058</v>
      </c>
      <c r="C3695">
        <v>545</v>
      </c>
      <c r="D3695">
        <v>560</v>
      </c>
      <c r="E3695">
        <v>10098622</v>
      </c>
      <c r="F3695">
        <v>4144</v>
      </c>
      <c r="G3695">
        <v>0</v>
      </c>
      <c r="H3695" t="s">
        <v>8620</v>
      </c>
      <c r="I3695">
        <v>4185</v>
      </c>
      <c r="J3695" t="str">
        <f>VLOOKUP(E3695,DSSpieler!A:B,2,FALSE)</f>
        <v>Dönerboer</v>
      </c>
    </row>
    <row r="3696" spans="1:10" x14ac:dyDescent="0.25">
      <c r="A3696">
        <v>4186</v>
      </c>
      <c r="B3696">
        <v>1</v>
      </c>
      <c r="C3696">
        <v>538</v>
      </c>
      <c r="D3696">
        <v>599</v>
      </c>
      <c r="E3696">
        <v>1577175064</v>
      </c>
      <c r="F3696">
        <v>4040</v>
      </c>
      <c r="G3696">
        <v>0</v>
      </c>
      <c r="H3696" t="s">
        <v>8621</v>
      </c>
      <c r="I3696">
        <v>4186</v>
      </c>
      <c r="J3696" t="str">
        <f>VLOOKUP(E3696,DSSpieler!A:B,2,FALSE)</f>
        <v>Neues Textdokument</v>
      </c>
    </row>
    <row r="3697" spans="1:10" x14ac:dyDescent="0.25">
      <c r="A3697">
        <v>4187</v>
      </c>
      <c r="B3697" t="s">
        <v>32059</v>
      </c>
      <c r="C3697">
        <v>404</v>
      </c>
      <c r="D3697">
        <v>448</v>
      </c>
      <c r="E3697">
        <v>2389451</v>
      </c>
      <c r="F3697">
        <v>5036</v>
      </c>
      <c r="G3697">
        <v>0</v>
      </c>
      <c r="H3697" t="s">
        <v>8622</v>
      </c>
      <c r="I3697">
        <v>4187</v>
      </c>
      <c r="J3697" t="str">
        <f>VLOOKUP(E3697,DSSpieler!A:B,2,FALSE)</f>
        <v>Jutas</v>
      </c>
    </row>
    <row r="3698" spans="1:10" x14ac:dyDescent="0.25">
      <c r="A3698">
        <v>4188</v>
      </c>
      <c r="B3698" t="s">
        <v>531</v>
      </c>
      <c r="C3698">
        <v>468</v>
      </c>
      <c r="D3698">
        <v>509</v>
      </c>
      <c r="E3698">
        <v>0</v>
      </c>
      <c r="F3698">
        <v>700</v>
      </c>
      <c r="G3698">
        <v>0</v>
      </c>
      <c r="H3698" t="s">
        <v>8623</v>
      </c>
      <c r="I3698">
        <v>4188</v>
      </c>
      <c r="J3698" t="e">
        <f>VLOOKUP(E3698,DSSpieler!A:B,2,FALSE)</f>
        <v>#N/A</v>
      </c>
    </row>
    <row r="3699" spans="1:10" x14ac:dyDescent="0.25">
      <c r="A3699">
        <v>4189</v>
      </c>
      <c r="B3699" t="s">
        <v>32060</v>
      </c>
      <c r="C3699">
        <v>535</v>
      </c>
      <c r="D3699">
        <v>448</v>
      </c>
      <c r="E3699">
        <v>9693466</v>
      </c>
      <c r="F3699">
        <v>4589</v>
      </c>
      <c r="G3699">
        <v>0</v>
      </c>
      <c r="H3699" t="s">
        <v>8624</v>
      </c>
      <c r="I3699">
        <v>4189</v>
      </c>
      <c r="J3699" t="str">
        <f>VLOOKUP(E3699,DSSpieler!A:B,2,FALSE)</f>
        <v>LordNos</v>
      </c>
    </row>
    <row r="3700" spans="1:10" x14ac:dyDescent="0.25">
      <c r="A3700">
        <v>4190</v>
      </c>
      <c r="B3700" t="s">
        <v>780</v>
      </c>
      <c r="C3700">
        <v>606</v>
      </c>
      <c r="D3700">
        <v>511</v>
      </c>
      <c r="E3700">
        <v>1577177113</v>
      </c>
      <c r="F3700">
        <v>5581</v>
      </c>
      <c r="G3700">
        <v>0</v>
      </c>
      <c r="H3700" t="s">
        <v>8625</v>
      </c>
      <c r="I3700">
        <v>4190</v>
      </c>
      <c r="J3700" t="str">
        <f>VLOOKUP(E3700,DSSpieler!A:B,2,FALSE)</f>
        <v>Bulk Biceps</v>
      </c>
    </row>
    <row r="3701" spans="1:10" x14ac:dyDescent="0.25">
      <c r="A3701">
        <v>4191</v>
      </c>
      <c r="B3701" t="s">
        <v>32061</v>
      </c>
      <c r="C3701">
        <v>444</v>
      </c>
      <c r="D3701">
        <v>492</v>
      </c>
      <c r="E3701">
        <v>1577168928</v>
      </c>
      <c r="F3701">
        <v>3661</v>
      </c>
      <c r="G3701">
        <v>0</v>
      </c>
      <c r="H3701" t="s">
        <v>8626</v>
      </c>
      <c r="I3701">
        <v>4191</v>
      </c>
      <c r="J3701" t="str">
        <f>VLOOKUP(E3701,DSSpieler!A:B,2,FALSE)</f>
        <v>Gismo 2007</v>
      </c>
    </row>
    <row r="3702" spans="1:10" x14ac:dyDescent="0.25">
      <c r="A3702">
        <v>4192</v>
      </c>
      <c r="B3702" t="s">
        <v>531</v>
      </c>
      <c r="C3702">
        <v>490</v>
      </c>
      <c r="D3702">
        <v>423</v>
      </c>
      <c r="E3702">
        <v>0</v>
      </c>
      <c r="F3702">
        <v>208</v>
      </c>
      <c r="G3702">
        <v>0</v>
      </c>
      <c r="H3702" t="s">
        <v>8627</v>
      </c>
      <c r="I3702">
        <v>4192</v>
      </c>
      <c r="J3702" t="e">
        <f>VLOOKUP(E3702,DSSpieler!A:B,2,FALSE)</f>
        <v>#N/A</v>
      </c>
    </row>
    <row r="3703" spans="1:10" x14ac:dyDescent="0.25">
      <c r="A3703">
        <v>4193</v>
      </c>
      <c r="B3703" t="s">
        <v>531</v>
      </c>
      <c r="C3703">
        <v>542</v>
      </c>
      <c r="D3703">
        <v>563</v>
      </c>
      <c r="E3703">
        <v>0</v>
      </c>
      <c r="F3703">
        <v>351</v>
      </c>
      <c r="G3703">
        <v>0</v>
      </c>
      <c r="H3703" t="s">
        <v>8628</v>
      </c>
      <c r="I3703">
        <v>4193</v>
      </c>
      <c r="J3703" t="e">
        <f>VLOOKUP(E3703,DSSpieler!A:B,2,FALSE)</f>
        <v>#N/A</v>
      </c>
    </row>
    <row r="3704" spans="1:10" x14ac:dyDescent="0.25">
      <c r="A3704">
        <v>4195</v>
      </c>
      <c r="B3704" t="s">
        <v>32062</v>
      </c>
      <c r="C3704">
        <v>436</v>
      </c>
      <c r="D3704">
        <v>527</v>
      </c>
      <c r="E3704">
        <v>1577127775</v>
      </c>
      <c r="F3704">
        <v>4573</v>
      </c>
      <c r="G3704">
        <v>0</v>
      </c>
      <c r="H3704" t="s">
        <v>8629</v>
      </c>
      <c r="I3704">
        <v>4195</v>
      </c>
      <c r="J3704" t="str">
        <f>VLOOKUP(E3704,DSSpieler!A:B,2,FALSE)</f>
        <v>DeleteFromW168</v>
      </c>
    </row>
    <row r="3705" spans="1:10" x14ac:dyDescent="0.25">
      <c r="A3705">
        <v>4196</v>
      </c>
      <c r="B3705" t="s">
        <v>32063</v>
      </c>
      <c r="C3705">
        <v>594</v>
      </c>
      <c r="D3705">
        <v>446</v>
      </c>
      <c r="E3705">
        <v>1577065529</v>
      </c>
      <c r="F3705">
        <v>5152</v>
      </c>
      <c r="G3705">
        <v>0</v>
      </c>
      <c r="H3705" t="s">
        <v>8630</v>
      </c>
      <c r="I3705">
        <v>4196</v>
      </c>
      <c r="J3705" t="str">
        <f>VLOOKUP(E3705,DSSpieler!A:B,2,FALSE)</f>
        <v>Spanholz</v>
      </c>
    </row>
    <row r="3706" spans="1:10" x14ac:dyDescent="0.25">
      <c r="A3706">
        <v>4197</v>
      </c>
      <c r="B3706" t="s">
        <v>30518</v>
      </c>
      <c r="C3706">
        <v>495</v>
      </c>
      <c r="D3706">
        <v>437</v>
      </c>
      <c r="E3706">
        <v>10107415</v>
      </c>
      <c r="F3706">
        <v>2154</v>
      </c>
      <c r="G3706">
        <v>0</v>
      </c>
      <c r="H3706" t="s">
        <v>8631</v>
      </c>
      <c r="I3706">
        <v>4197</v>
      </c>
      <c r="J3706" t="str">
        <f>VLOOKUP(E3706,DSSpieler!A:B,2,FALSE)</f>
        <v>Phelykz</v>
      </c>
    </row>
    <row r="3707" spans="1:10" x14ac:dyDescent="0.25">
      <c r="A3707">
        <v>4198</v>
      </c>
      <c r="B3707" t="s">
        <v>531</v>
      </c>
      <c r="C3707">
        <v>437</v>
      </c>
      <c r="D3707">
        <v>544</v>
      </c>
      <c r="E3707">
        <v>0</v>
      </c>
      <c r="F3707">
        <v>310</v>
      </c>
      <c r="G3707">
        <v>0</v>
      </c>
      <c r="H3707" t="s">
        <v>8632</v>
      </c>
      <c r="I3707">
        <v>4198</v>
      </c>
      <c r="J3707" t="e">
        <f>VLOOKUP(E3707,DSSpieler!A:B,2,FALSE)</f>
        <v>#N/A</v>
      </c>
    </row>
    <row r="3708" spans="1:10" x14ac:dyDescent="0.25">
      <c r="A3708">
        <v>4199</v>
      </c>
      <c r="B3708" t="s">
        <v>1240</v>
      </c>
      <c r="C3708">
        <v>520</v>
      </c>
      <c r="D3708">
        <v>532</v>
      </c>
      <c r="E3708">
        <v>1577197019</v>
      </c>
      <c r="F3708">
        <v>4549</v>
      </c>
      <c r="G3708">
        <v>0</v>
      </c>
      <c r="H3708" t="s">
        <v>8633</v>
      </c>
      <c r="I3708">
        <v>4199</v>
      </c>
      <c r="J3708" t="str">
        <f>VLOOKUP(E3708,DSSpieler!A:B,2,FALSE)</f>
        <v>jürgenevers</v>
      </c>
    </row>
    <row r="3709" spans="1:10" x14ac:dyDescent="0.25">
      <c r="A3709">
        <v>4200</v>
      </c>
      <c r="B3709" t="s">
        <v>32064</v>
      </c>
      <c r="C3709">
        <v>522</v>
      </c>
      <c r="D3709">
        <v>475</v>
      </c>
      <c r="E3709">
        <v>1577180332</v>
      </c>
      <c r="F3709">
        <v>4396</v>
      </c>
      <c r="G3709">
        <v>0</v>
      </c>
      <c r="H3709" t="s">
        <v>8634</v>
      </c>
      <c r="I3709">
        <v>4200</v>
      </c>
      <c r="J3709" t="str">
        <f>VLOOKUP(E3709,DSSpieler!A:B,2,FALSE)</f>
        <v>Gasmask Terror</v>
      </c>
    </row>
    <row r="3710" spans="1:10" x14ac:dyDescent="0.25">
      <c r="A3710">
        <v>4201</v>
      </c>
      <c r="B3710" t="s">
        <v>32065</v>
      </c>
      <c r="C3710">
        <v>458</v>
      </c>
      <c r="D3710">
        <v>524</v>
      </c>
      <c r="E3710">
        <v>1577150976</v>
      </c>
      <c r="F3710">
        <v>7202</v>
      </c>
      <c r="G3710">
        <v>0</v>
      </c>
      <c r="H3710" t="s">
        <v>8635</v>
      </c>
      <c r="I3710">
        <v>4201</v>
      </c>
      <c r="J3710" t="str">
        <f>VLOOKUP(E3710,DSSpieler!A:B,2,FALSE)</f>
        <v>-Katchan-</v>
      </c>
    </row>
    <row r="3711" spans="1:10" x14ac:dyDescent="0.25">
      <c r="A3711">
        <v>4202</v>
      </c>
      <c r="B3711" t="s">
        <v>32066</v>
      </c>
      <c r="C3711">
        <v>535</v>
      </c>
      <c r="D3711">
        <v>471</v>
      </c>
      <c r="E3711">
        <v>1576837300</v>
      </c>
      <c r="F3711">
        <v>8412</v>
      </c>
      <c r="G3711">
        <v>0</v>
      </c>
      <c r="H3711" t="s">
        <v>8636</v>
      </c>
      <c r="I3711">
        <v>4202</v>
      </c>
      <c r="J3711" t="str">
        <f>VLOOKUP(E3711,DSSpieler!A:B,2,FALSE)</f>
        <v>Traumschwiegersohn</v>
      </c>
    </row>
    <row r="3712" spans="1:10" x14ac:dyDescent="0.25">
      <c r="A3712">
        <v>4203</v>
      </c>
      <c r="B3712" t="s">
        <v>32067</v>
      </c>
      <c r="C3712">
        <v>405</v>
      </c>
      <c r="D3712">
        <v>513</v>
      </c>
      <c r="E3712">
        <v>8315602</v>
      </c>
      <c r="F3712">
        <v>8862</v>
      </c>
      <c r="G3712">
        <v>0</v>
      </c>
      <c r="H3712" t="s">
        <v>8637</v>
      </c>
      <c r="I3712">
        <v>4203</v>
      </c>
      <c r="J3712" t="str">
        <f>VLOOKUP(E3712,DSSpieler!A:B,2,FALSE)</f>
        <v>Maggesch</v>
      </c>
    </row>
    <row r="3713" spans="1:10" x14ac:dyDescent="0.25">
      <c r="A3713">
        <v>4204</v>
      </c>
      <c r="B3713" t="s">
        <v>531</v>
      </c>
      <c r="C3713">
        <v>536</v>
      </c>
      <c r="D3713">
        <v>463</v>
      </c>
      <c r="E3713">
        <v>0</v>
      </c>
      <c r="F3713">
        <v>125</v>
      </c>
      <c r="G3713">
        <v>0</v>
      </c>
      <c r="H3713" t="s">
        <v>8638</v>
      </c>
      <c r="I3713">
        <v>4204</v>
      </c>
      <c r="J3713" t="e">
        <f>VLOOKUP(E3713,DSSpieler!A:B,2,FALSE)</f>
        <v>#N/A</v>
      </c>
    </row>
    <row r="3714" spans="1:10" x14ac:dyDescent="0.25">
      <c r="A3714">
        <v>4205</v>
      </c>
      <c r="B3714" t="s">
        <v>35819</v>
      </c>
      <c r="C3714">
        <v>569</v>
      </c>
      <c r="D3714">
        <v>540</v>
      </c>
      <c r="E3714">
        <v>3335085</v>
      </c>
      <c r="F3714">
        <v>5282</v>
      </c>
      <c r="G3714">
        <v>0</v>
      </c>
      <c r="H3714" t="s">
        <v>8639</v>
      </c>
      <c r="I3714">
        <v>4205</v>
      </c>
      <c r="J3714" t="str">
        <f>VLOOKUP(E3714,DSSpieler!A:B,2,FALSE)</f>
        <v>morbidus cantus</v>
      </c>
    </row>
    <row r="3715" spans="1:10" x14ac:dyDescent="0.25">
      <c r="A3715">
        <v>4206</v>
      </c>
      <c r="B3715" t="s">
        <v>531</v>
      </c>
      <c r="C3715">
        <v>479</v>
      </c>
      <c r="D3715">
        <v>572</v>
      </c>
      <c r="E3715">
        <v>0</v>
      </c>
      <c r="F3715">
        <v>1258</v>
      </c>
      <c r="G3715">
        <v>0</v>
      </c>
      <c r="H3715" t="s">
        <v>8640</v>
      </c>
      <c r="I3715">
        <v>4206</v>
      </c>
      <c r="J3715" t="e">
        <f>VLOOKUP(E3715,DSSpieler!A:B,2,FALSE)</f>
        <v>#N/A</v>
      </c>
    </row>
    <row r="3716" spans="1:10" x14ac:dyDescent="0.25">
      <c r="A3716">
        <v>4207</v>
      </c>
      <c r="B3716" s="111">
        <v>230.02</v>
      </c>
      <c r="C3716">
        <v>443</v>
      </c>
      <c r="D3716">
        <v>481</v>
      </c>
      <c r="E3716">
        <v>1577165876</v>
      </c>
      <c r="F3716">
        <v>2616</v>
      </c>
      <c r="G3716">
        <v>0</v>
      </c>
      <c r="H3716" t="s">
        <v>8641</v>
      </c>
      <c r="I3716">
        <v>4207</v>
      </c>
      <c r="J3716" t="str">
        <f>VLOOKUP(E3716,DSSpieler!A:B,2,FALSE)</f>
        <v>Lord Jon Snow</v>
      </c>
    </row>
    <row r="3717" spans="1:10" x14ac:dyDescent="0.25">
      <c r="A3717">
        <v>4208</v>
      </c>
      <c r="B3717" t="s">
        <v>531</v>
      </c>
      <c r="C3717">
        <v>482</v>
      </c>
      <c r="D3717">
        <v>438</v>
      </c>
      <c r="E3717">
        <v>0</v>
      </c>
      <c r="F3717">
        <v>133</v>
      </c>
      <c r="G3717">
        <v>0</v>
      </c>
      <c r="H3717" t="s">
        <v>8642</v>
      </c>
      <c r="I3717">
        <v>4208</v>
      </c>
      <c r="J3717" t="e">
        <f>VLOOKUP(E3717,DSSpieler!A:B,2,FALSE)</f>
        <v>#N/A</v>
      </c>
    </row>
    <row r="3718" spans="1:10" x14ac:dyDescent="0.25">
      <c r="A3718">
        <v>4210</v>
      </c>
      <c r="B3718" t="s">
        <v>32068</v>
      </c>
      <c r="C3718">
        <v>424</v>
      </c>
      <c r="D3718">
        <v>484</v>
      </c>
      <c r="E3718">
        <v>10199140</v>
      </c>
      <c r="F3718">
        <v>4543</v>
      </c>
      <c r="G3718">
        <v>0</v>
      </c>
      <c r="H3718" t="s">
        <v>8643</v>
      </c>
      <c r="I3718">
        <v>4210</v>
      </c>
      <c r="J3718" t="str">
        <f>VLOOKUP(E3718,DSSpieler!A:B,2,FALSE)</f>
        <v>Sn0ks</v>
      </c>
    </row>
    <row r="3719" spans="1:10" x14ac:dyDescent="0.25">
      <c r="A3719">
        <v>4211</v>
      </c>
      <c r="B3719" t="s">
        <v>32069</v>
      </c>
      <c r="C3719">
        <v>415</v>
      </c>
      <c r="D3719">
        <v>533</v>
      </c>
      <c r="E3719">
        <v>8136159</v>
      </c>
      <c r="F3719">
        <v>5804</v>
      </c>
      <c r="G3719">
        <v>0</v>
      </c>
      <c r="H3719" t="s">
        <v>8644</v>
      </c>
      <c r="I3719">
        <v>4211</v>
      </c>
      <c r="J3719" t="str">
        <f>VLOOKUP(E3719,DSSpieler!A:B,2,FALSE)</f>
        <v>jojo9898</v>
      </c>
    </row>
    <row r="3720" spans="1:10" x14ac:dyDescent="0.25">
      <c r="A3720">
        <v>4212</v>
      </c>
      <c r="B3720" t="s">
        <v>32070</v>
      </c>
      <c r="C3720">
        <v>439</v>
      </c>
      <c r="D3720">
        <v>425</v>
      </c>
      <c r="E3720">
        <v>1577192950</v>
      </c>
      <c r="F3720">
        <v>5296</v>
      </c>
      <c r="G3720">
        <v>0</v>
      </c>
      <c r="H3720" t="s">
        <v>8645</v>
      </c>
      <c r="I3720">
        <v>4212</v>
      </c>
      <c r="J3720" t="str">
        <f>VLOOKUP(E3720,DSSpieler!A:B,2,FALSE)</f>
        <v>Dr4m4</v>
      </c>
    </row>
    <row r="3721" spans="1:10" x14ac:dyDescent="0.25">
      <c r="A3721">
        <v>4213</v>
      </c>
      <c r="B3721" t="s">
        <v>531</v>
      </c>
      <c r="C3721">
        <v>493</v>
      </c>
      <c r="D3721">
        <v>408</v>
      </c>
      <c r="E3721">
        <v>0</v>
      </c>
      <c r="F3721">
        <v>460</v>
      </c>
      <c r="G3721">
        <v>0</v>
      </c>
      <c r="H3721" t="s">
        <v>8646</v>
      </c>
      <c r="I3721">
        <v>4213</v>
      </c>
      <c r="J3721" t="e">
        <f>VLOOKUP(E3721,DSSpieler!A:B,2,FALSE)</f>
        <v>#N/A</v>
      </c>
    </row>
    <row r="3722" spans="1:10" x14ac:dyDescent="0.25">
      <c r="A3722">
        <v>4214</v>
      </c>
      <c r="B3722" t="s">
        <v>32071</v>
      </c>
      <c r="C3722">
        <v>428</v>
      </c>
      <c r="D3722">
        <v>417</v>
      </c>
      <c r="E3722">
        <v>8031071</v>
      </c>
      <c r="F3722">
        <v>5541</v>
      </c>
      <c r="G3722">
        <v>0</v>
      </c>
      <c r="H3722" t="s">
        <v>8647</v>
      </c>
      <c r="I3722">
        <v>4214</v>
      </c>
      <c r="J3722" t="str">
        <f>VLOOKUP(E3722,DSSpieler!A:B,2,FALSE)</f>
        <v>Leitender Wolf</v>
      </c>
    </row>
    <row r="3723" spans="1:10" x14ac:dyDescent="0.25">
      <c r="A3723">
        <v>4215</v>
      </c>
      <c r="B3723">
        <v>913</v>
      </c>
      <c r="C3723">
        <v>417</v>
      </c>
      <c r="D3723">
        <v>466</v>
      </c>
      <c r="E3723">
        <v>1577008722</v>
      </c>
      <c r="F3723">
        <v>3193</v>
      </c>
      <c r="G3723">
        <v>0</v>
      </c>
      <c r="H3723" t="s">
        <v>8648</v>
      </c>
      <c r="I3723">
        <v>4215</v>
      </c>
      <c r="J3723" t="str">
        <f>VLOOKUP(E3723,DSSpieler!A:B,2,FALSE)</f>
        <v>sascha911</v>
      </c>
    </row>
    <row r="3724" spans="1:10" x14ac:dyDescent="0.25">
      <c r="A3724">
        <v>4216</v>
      </c>
      <c r="B3724" t="s">
        <v>531</v>
      </c>
      <c r="C3724">
        <v>522</v>
      </c>
      <c r="D3724">
        <v>422</v>
      </c>
      <c r="E3724">
        <v>0</v>
      </c>
      <c r="F3724">
        <v>326</v>
      </c>
      <c r="G3724">
        <v>0</v>
      </c>
      <c r="H3724" t="s">
        <v>8649</v>
      </c>
      <c r="I3724">
        <v>4216</v>
      </c>
      <c r="J3724" t="e">
        <f>VLOOKUP(E3724,DSSpieler!A:B,2,FALSE)</f>
        <v>#N/A</v>
      </c>
    </row>
    <row r="3725" spans="1:10" x14ac:dyDescent="0.25">
      <c r="A3725">
        <v>4217</v>
      </c>
      <c r="B3725" t="s">
        <v>1241</v>
      </c>
      <c r="C3725">
        <v>592</v>
      </c>
      <c r="D3725">
        <v>487</v>
      </c>
      <c r="E3725">
        <v>1577197351</v>
      </c>
      <c r="F3725">
        <v>6653</v>
      </c>
      <c r="G3725">
        <v>0</v>
      </c>
      <c r="H3725" t="s">
        <v>8650</v>
      </c>
      <c r="I3725">
        <v>4217</v>
      </c>
      <c r="J3725" t="str">
        <f>VLOOKUP(E3725,DSSpieler!A:B,2,FALSE)</f>
        <v>halllloooo</v>
      </c>
    </row>
    <row r="3726" spans="1:10" x14ac:dyDescent="0.25">
      <c r="A3726">
        <v>4218</v>
      </c>
      <c r="B3726" t="s">
        <v>531</v>
      </c>
      <c r="C3726">
        <v>517</v>
      </c>
      <c r="D3726">
        <v>519</v>
      </c>
      <c r="E3726">
        <v>0</v>
      </c>
      <c r="F3726">
        <v>326</v>
      </c>
      <c r="G3726">
        <v>0</v>
      </c>
      <c r="H3726" t="s">
        <v>8651</v>
      </c>
      <c r="I3726">
        <v>4218</v>
      </c>
      <c r="J3726" t="e">
        <f>VLOOKUP(E3726,DSSpieler!A:B,2,FALSE)</f>
        <v>#N/A</v>
      </c>
    </row>
    <row r="3727" spans="1:10" x14ac:dyDescent="0.25">
      <c r="A3727">
        <v>4219</v>
      </c>
      <c r="B3727" t="s">
        <v>32072</v>
      </c>
      <c r="C3727">
        <v>538</v>
      </c>
      <c r="D3727">
        <v>536</v>
      </c>
      <c r="E3727">
        <v>1577164805</v>
      </c>
      <c r="F3727">
        <v>4515</v>
      </c>
      <c r="G3727">
        <v>0</v>
      </c>
      <c r="H3727" t="s">
        <v>8652</v>
      </c>
      <c r="I3727">
        <v>4219</v>
      </c>
      <c r="J3727" t="str">
        <f>VLOOKUP(E3727,DSSpieler!A:B,2,FALSE)</f>
        <v>Boiler</v>
      </c>
    </row>
    <row r="3728" spans="1:10" x14ac:dyDescent="0.25">
      <c r="A3728">
        <v>4220</v>
      </c>
      <c r="B3728" t="s">
        <v>32073</v>
      </c>
      <c r="C3728">
        <v>534</v>
      </c>
      <c r="D3728">
        <v>510</v>
      </c>
      <c r="E3728">
        <v>1577168204</v>
      </c>
      <c r="F3728">
        <v>4360</v>
      </c>
      <c r="G3728">
        <v>0</v>
      </c>
      <c r="H3728" t="s">
        <v>8653</v>
      </c>
      <c r="I3728">
        <v>4220</v>
      </c>
      <c r="J3728" t="str">
        <f>VLOOKUP(E3728,DSSpieler!A:B,2,FALSE)</f>
        <v>Argeast</v>
      </c>
    </row>
    <row r="3729" spans="1:10" x14ac:dyDescent="0.25">
      <c r="A3729">
        <v>4221</v>
      </c>
      <c r="B3729" t="s">
        <v>531</v>
      </c>
      <c r="C3729">
        <v>494</v>
      </c>
      <c r="D3729">
        <v>463</v>
      </c>
      <c r="E3729">
        <v>0</v>
      </c>
      <c r="F3729">
        <v>251</v>
      </c>
      <c r="G3729">
        <v>0</v>
      </c>
      <c r="H3729" t="s">
        <v>8654</v>
      </c>
      <c r="I3729">
        <v>4221</v>
      </c>
      <c r="J3729" t="e">
        <f>VLOOKUP(E3729,DSSpieler!A:B,2,FALSE)</f>
        <v>#N/A</v>
      </c>
    </row>
    <row r="3730" spans="1:10" x14ac:dyDescent="0.25">
      <c r="A3730">
        <v>4222</v>
      </c>
      <c r="B3730" t="s">
        <v>32074</v>
      </c>
      <c r="C3730">
        <v>474</v>
      </c>
      <c r="D3730">
        <v>527</v>
      </c>
      <c r="E3730">
        <v>1577027712</v>
      </c>
      <c r="F3730">
        <v>4794</v>
      </c>
      <c r="G3730">
        <v>0</v>
      </c>
      <c r="H3730" t="s">
        <v>8655</v>
      </c>
      <c r="I3730">
        <v>4222</v>
      </c>
      <c r="J3730" t="str">
        <f>VLOOKUP(E3730,DSSpieler!A:B,2,FALSE)</f>
        <v>Pancake-l3unny</v>
      </c>
    </row>
    <row r="3731" spans="1:10" x14ac:dyDescent="0.25">
      <c r="A3731">
        <v>4223</v>
      </c>
      <c r="B3731" t="s">
        <v>32075</v>
      </c>
      <c r="C3731">
        <v>501</v>
      </c>
      <c r="D3731">
        <v>484</v>
      </c>
      <c r="E3731">
        <v>1577190247</v>
      </c>
      <c r="F3731">
        <v>938</v>
      </c>
      <c r="G3731">
        <v>0</v>
      </c>
      <c r="H3731" t="s">
        <v>8656</v>
      </c>
      <c r="I3731">
        <v>4223</v>
      </c>
      <c r="J3731" t="str">
        <f>VLOOKUP(E3731,DSSpieler!A:B,2,FALSE)</f>
        <v>mikrolai</v>
      </c>
    </row>
    <row r="3732" spans="1:10" x14ac:dyDescent="0.25">
      <c r="A3732">
        <v>4225</v>
      </c>
      <c r="B3732" t="s">
        <v>531</v>
      </c>
      <c r="C3732">
        <v>469</v>
      </c>
      <c r="D3732">
        <v>504</v>
      </c>
      <c r="E3732">
        <v>0</v>
      </c>
      <c r="F3732">
        <v>181</v>
      </c>
      <c r="G3732">
        <v>0</v>
      </c>
      <c r="H3732" t="s">
        <v>8657</v>
      </c>
      <c r="I3732">
        <v>4225</v>
      </c>
      <c r="J3732" t="e">
        <f>VLOOKUP(E3732,DSSpieler!A:B,2,FALSE)</f>
        <v>#N/A</v>
      </c>
    </row>
    <row r="3733" spans="1:10" x14ac:dyDescent="0.25">
      <c r="A3733">
        <v>4226</v>
      </c>
      <c r="B3733" t="s">
        <v>601</v>
      </c>
      <c r="C3733">
        <v>560</v>
      </c>
      <c r="D3733">
        <v>527</v>
      </c>
      <c r="E3733">
        <v>8358719</v>
      </c>
      <c r="F3733">
        <v>6720</v>
      </c>
      <c r="G3733">
        <v>0</v>
      </c>
      <c r="H3733" t="s">
        <v>8658</v>
      </c>
      <c r="I3733">
        <v>4226</v>
      </c>
      <c r="J3733" t="str">
        <f>VLOOKUP(E3733,DSSpieler!A:B,2,FALSE)</f>
        <v>woodi002</v>
      </c>
    </row>
    <row r="3734" spans="1:10" x14ac:dyDescent="0.25">
      <c r="A3734">
        <v>4227</v>
      </c>
      <c r="B3734" t="s">
        <v>531</v>
      </c>
      <c r="C3734">
        <v>563</v>
      </c>
      <c r="D3734">
        <v>459</v>
      </c>
      <c r="E3734">
        <v>0</v>
      </c>
      <c r="F3734">
        <v>256</v>
      </c>
      <c r="G3734">
        <v>0</v>
      </c>
      <c r="H3734" t="s">
        <v>8659</v>
      </c>
      <c r="I3734">
        <v>4227</v>
      </c>
      <c r="J3734" t="e">
        <f>VLOOKUP(E3734,DSSpieler!A:B,2,FALSE)</f>
        <v>#N/A</v>
      </c>
    </row>
    <row r="3735" spans="1:10" x14ac:dyDescent="0.25">
      <c r="A3735">
        <v>4228</v>
      </c>
      <c r="B3735" t="s">
        <v>32076</v>
      </c>
      <c r="C3735">
        <v>447</v>
      </c>
      <c r="D3735">
        <v>448</v>
      </c>
      <c r="E3735">
        <v>1577175475</v>
      </c>
      <c r="F3735">
        <v>6319</v>
      </c>
      <c r="G3735">
        <v>0</v>
      </c>
      <c r="H3735" t="s">
        <v>8660</v>
      </c>
      <c r="I3735">
        <v>4228</v>
      </c>
      <c r="J3735" t="str">
        <f>VLOOKUP(E3735,DSSpieler!A:B,2,FALSE)</f>
        <v>MikuChan</v>
      </c>
    </row>
    <row r="3736" spans="1:10" x14ac:dyDescent="0.25">
      <c r="A3736">
        <v>4229</v>
      </c>
      <c r="B3736" t="s">
        <v>32077</v>
      </c>
      <c r="C3736">
        <v>588</v>
      </c>
      <c r="D3736">
        <v>443</v>
      </c>
      <c r="E3736">
        <v>1577175214</v>
      </c>
      <c r="F3736">
        <v>5971</v>
      </c>
      <c r="G3736">
        <v>0</v>
      </c>
      <c r="H3736" t="s">
        <v>8661</v>
      </c>
      <c r="I3736">
        <v>4229</v>
      </c>
      <c r="J3736" t="str">
        <f>VLOOKUP(E3736,DSSpieler!A:B,2,FALSE)</f>
        <v>Ref422</v>
      </c>
    </row>
    <row r="3737" spans="1:10" x14ac:dyDescent="0.25">
      <c r="A3737">
        <v>4230</v>
      </c>
      <c r="B3737" t="s">
        <v>32078</v>
      </c>
      <c r="C3737">
        <v>445</v>
      </c>
      <c r="D3737">
        <v>551</v>
      </c>
      <c r="E3737">
        <v>1576348420</v>
      </c>
      <c r="F3737">
        <v>6689</v>
      </c>
      <c r="G3737">
        <v>0</v>
      </c>
      <c r="H3737" t="s">
        <v>8662</v>
      </c>
      <c r="I3737">
        <v>4230</v>
      </c>
      <c r="J3737" t="str">
        <f>VLOOKUP(E3737,DSSpieler!A:B,2,FALSE)</f>
        <v>VfB-xandi</v>
      </c>
    </row>
    <row r="3738" spans="1:10" x14ac:dyDescent="0.25">
      <c r="A3738">
        <v>4231</v>
      </c>
      <c r="B3738" t="s">
        <v>979</v>
      </c>
      <c r="C3738">
        <v>500</v>
      </c>
      <c r="D3738">
        <v>606</v>
      </c>
      <c r="E3738">
        <v>8051928</v>
      </c>
      <c r="F3738">
        <v>3282</v>
      </c>
      <c r="G3738">
        <v>0</v>
      </c>
      <c r="H3738" t="s">
        <v>8663</v>
      </c>
      <c r="I3738">
        <v>4231</v>
      </c>
      <c r="J3738" t="str">
        <f>VLOOKUP(E3738,DSSpieler!A:B,2,FALSE)</f>
        <v>Schattenlegionaer</v>
      </c>
    </row>
    <row r="3739" spans="1:10" x14ac:dyDescent="0.25">
      <c r="A3739">
        <v>4232</v>
      </c>
      <c r="B3739" t="s">
        <v>32079</v>
      </c>
      <c r="C3739">
        <v>546</v>
      </c>
      <c r="D3739">
        <v>435</v>
      </c>
      <c r="E3739">
        <v>1576938611</v>
      </c>
      <c r="F3739">
        <v>5614</v>
      </c>
      <c r="G3739">
        <v>0</v>
      </c>
      <c r="H3739" t="s">
        <v>8664</v>
      </c>
      <c r="I3739">
        <v>4232</v>
      </c>
      <c r="J3739" t="str">
        <f>VLOOKUP(E3739,DSSpieler!A:B,2,FALSE)</f>
        <v>Veldor</v>
      </c>
    </row>
    <row r="3740" spans="1:10" x14ac:dyDescent="0.25">
      <c r="A3740">
        <v>4233</v>
      </c>
      <c r="B3740" t="s">
        <v>531</v>
      </c>
      <c r="C3740">
        <v>540</v>
      </c>
      <c r="D3740">
        <v>555</v>
      </c>
      <c r="E3740">
        <v>0</v>
      </c>
      <c r="F3740">
        <v>359</v>
      </c>
      <c r="G3740">
        <v>0</v>
      </c>
      <c r="H3740" t="s">
        <v>8665</v>
      </c>
      <c r="I3740">
        <v>4233</v>
      </c>
      <c r="J3740" t="e">
        <f>VLOOKUP(E3740,DSSpieler!A:B,2,FALSE)</f>
        <v>#N/A</v>
      </c>
    </row>
    <row r="3741" spans="1:10" x14ac:dyDescent="0.25">
      <c r="A3741">
        <v>4235</v>
      </c>
      <c r="B3741" t="s">
        <v>531</v>
      </c>
      <c r="C3741">
        <v>452</v>
      </c>
      <c r="D3741">
        <v>488</v>
      </c>
      <c r="E3741">
        <v>0</v>
      </c>
      <c r="F3741">
        <v>483</v>
      </c>
      <c r="G3741">
        <v>0</v>
      </c>
      <c r="H3741" t="s">
        <v>8666</v>
      </c>
      <c r="I3741">
        <v>4235</v>
      </c>
      <c r="J3741" t="e">
        <f>VLOOKUP(E3741,DSSpieler!A:B,2,FALSE)</f>
        <v>#N/A</v>
      </c>
    </row>
    <row r="3742" spans="1:10" x14ac:dyDescent="0.25">
      <c r="A3742">
        <v>4236</v>
      </c>
      <c r="B3742" t="s">
        <v>32080</v>
      </c>
      <c r="C3742">
        <v>463</v>
      </c>
      <c r="D3742">
        <v>523</v>
      </c>
      <c r="E3742">
        <v>8875414</v>
      </c>
      <c r="F3742">
        <v>3953</v>
      </c>
      <c r="G3742">
        <v>0</v>
      </c>
      <c r="H3742" t="s">
        <v>8667</v>
      </c>
      <c r="I3742">
        <v>4236</v>
      </c>
      <c r="J3742" t="str">
        <f>VLOOKUP(E3742,DSSpieler!A:B,2,FALSE)</f>
        <v>Hammer auf Fresse</v>
      </c>
    </row>
    <row r="3743" spans="1:10" x14ac:dyDescent="0.25">
      <c r="A3743">
        <v>4237</v>
      </c>
      <c r="B3743" t="s">
        <v>937</v>
      </c>
      <c r="C3743">
        <v>509</v>
      </c>
      <c r="D3743">
        <v>568</v>
      </c>
      <c r="E3743">
        <v>1576176852</v>
      </c>
      <c r="F3743">
        <v>7167</v>
      </c>
      <c r="G3743">
        <v>0</v>
      </c>
      <c r="H3743" t="s">
        <v>8668</v>
      </c>
      <c r="I3743">
        <v>4237</v>
      </c>
      <c r="J3743" t="str">
        <f>VLOOKUP(E3743,DSSpieler!A:B,2,FALSE)</f>
        <v>Hoepfner</v>
      </c>
    </row>
    <row r="3744" spans="1:10" x14ac:dyDescent="0.25">
      <c r="A3744">
        <v>4238</v>
      </c>
      <c r="B3744" t="s">
        <v>32081</v>
      </c>
      <c r="C3744">
        <v>437</v>
      </c>
      <c r="D3744">
        <v>490</v>
      </c>
      <c r="E3744">
        <v>1577196376</v>
      </c>
      <c r="F3744">
        <v>4879</v>
      </c>
      <c r="G3744">
        <v>0</v>
      </c>
      <c r="H3744" t="s">
        <v>8669</v>
      </c>
      <c r="I3744">
        <v>4238</v>
      </c>
      <c r="J3744" t="str">
        <f>VLOOKUP(E3744,DSSpieler!A:B,2,FALSE)</f>
        <v>nExtremo</v>
      </c>
    </row>
    <row r="3745" spans="1:10" x14ac:dyDescent="0.25">
      <c r="A3745">
        <v>4240</v>
      </c>
      <c r="B3745" t="s">
        <v>150</v>
      </c>
      <c r="C3745">
        <v>549</v>
      </c>
      <c r="D3745">
        <v>456</v>
      </c>
      <c r="E3745">
        <v>1577174296</v>
      </c>
      <c r="F3745">
        <v>3377</v>
      </c>
      <c r="G3745">
        <v>0</v>
      </c>
      <c r="H3745" t="s">
        <v>8670</v>
      </c>
      <c r="I3745">
        <v>4240</v>
      </c>
      <c r="J3745" t="str">
        <f>VLOOKUP(E3745,DSSpieler!A:B,2,FALSE)</f>
        <v>Herrscher</v>
      </c>
    </row>
    <row r="3746" spans="1:10" x14ac:dyDescent="0.25">
      <c r="A3746">
        <v>4242</v>
      </c>
      <c r="B3746" t="s">
        <v>531</v>
      </c>
      <c r="C3746">
        <v>559</v>
      </c>
      <c r="D3746">
        <v>512</v>
      </c>
      <c r="E3746">
        <v>0</v>
      </c>
      <c r="F3746">
        <v>393</v>
      </c>
      <c r="G3746">
        <v>0</v>
      </c>
      <c r="H3746" t="s">
        <v>8671</v>
      </c>
      <c r="I3746">
        <v>4242</v>
      </c>
      <c r="J3746" t="e">
        <f>VLOOKUP(E3746,DSSpieler!A:B,2,FALSE)</f>
        <v>#N/A</v>
      </c>
    </row>
    <row r="3747" spans="1:10" x14ac:dyDescent="0.25">
      <c r="A3747">
        <v>4243</v>
      </c>
      <c r="B3747" t="s">
        <v>1242</v>
      </c>
      <c r="C3747">
        <v>494</v>
      </c>
      <c r="D3747">
        <v>450</v>
      </c>
      <c r="E3747">
        <v>9436945</v>
      </c>
      <c r="F3747">
        <v>6932</v>
      </c>
      <c r="G3747">
        <v>0</v>
      </c>
      <c r="H3747" t="s">
        <v>8672</v>
      </c>
      <c r="I3747">
        <v>4243</v>
      </c>
      <c r="J3747" t="str">
        <f>VLOOKUP(E3747,DSSpieler!A:B,2,FALSE)</f>
        <v>eslebt</v>
      </c>
    </row>
    <row r="3748" spans="1:10" x14ac:dyDescent="0.25">
      <c r="A3748">
        <v>4244</v>
      </c>
      <c r="B3748" t="s">
        <v>32082</v>
      </c>
      <c r="C3748">
        <v>441</v>
      </c>
      <c r="D3748">
        <v>445</v>
      </c>
      <c r="E3748">
        <v>9769149</v>
      </c>
      <c r="F3748">
        <v>6725</v>
      </c>
      <c r="G3748">
        <v>0</v>
      </c>
      <c r="H3748" t="s">
        <v>8673</v>
      </c>
      <c r="I3748">
        <v>4244</v>
      </c>
      <c r="J3748" t="str">
        <f>VLOOKUP(E3748,DSSpieler!A:B,2,FALSE)</f>
        <v>SpartaBamf</v>
      </c>
    </row>
    <row r="3749" spans="1:10" x14ac:dyDescent="0.25">
      <c r="A3749">
        <v>4245</v>
      </c>
      <c r="B3749" t="s">
        <v>531</v>
      </c>
      <c r="C3749">
        <v>542</v>
      </c>
      <c r="D3749">
        <v>436</v>
      </c>
      <c r="E3749">
        <v>0</v>
      </c>
      <c r="F3749">
        <v>1613</v>
      </c>
      <c r="G3749">
        <v>0</v>
      </c>
      <c r="H3749" t="s">
        <v>8674</v>
      </c>
      <c r="I3749">
        <v>4245</v>
      </c>
      <c r="J3749" t="e">
        <f>VLOOKUP(E3749,DSSpieler!A:B,2,FALSE)</f>
        <v>#N/A</v>
      </c>
    </row>
    <row r="3750" spans="1:10" x14ac:dyDescent="0.25">
      <c r="A3750">
        <v>4246</v>
      </c>
      <c r="B3750" t="s">
        <v>531</v>
      </c>
      <c r="C3750">
        <v>470</v>
      </c>
      <c r="D3750">
        <v>428</v>
      </c>
      <c r="E3750">
        <v>0</v>
      </c>
      <c r="F3750">
        <v>144</v>
      </c>
      <c r="G3750">
        <v>0</v>
      </c>
      <c r="H3750" t="s">
        <v>8675</v>
      </c>
      <c r="I3750">
        <v>4246</v>
      </c>
      <c r="J3750" t="e">
        <f>VLOOKUP(E3750,DSSpieler!A:B,2,FALSE)</f>
        <v>#N/A</v>
      </c>
    </row>
    <row r="3751" spans="1:10" x14ac:dyDescent="0.25">
      <c r="A3751">
        <v>4247</v>
      </c>
      <c r="B3751" t="s">
        <v>1152</v>
      </c>
      <c r="C3751">
        <v>443</v>
      </c>
      <c r="D3751">
        <v>585</v>
      </c>
      <c r="E3751">
        <v>9259563</v>
      </c>
      <c r="F3751">
        <v>5676</v>
      </c>
      <c r="G3751">
        <v>0</v>
      </c>
      <c r="H3751" t="s">
        <v>8676</v>
      </c>
      <c r="I3751">
        <v>4247</v>
      </c>
      <c r="J3751" t="str">
        <f>VLOOKUP(E3751,DSSpieler!A:B,2,FALSE)</f>
        <v>Kontaktverbot</v>
      </c>
    </row>
    <row r="3752" spans="1:10" x14ac:dyDescent="0.25">
      <c r="A3752">
        <v>4250</v>
      </c>
      <c r="B3752" t="s">
        <v>31817</v>
      </c>
      <c r="C3752">
        <v>442</v>
      </c>
      <c r="D3752">
        <v>507</v>
      </c>
      <c r="E3752">
        <v>8321603</v>
      </c>
      <c r="F3752">
        <v>5143</v>
      </c>
      <c r="G3752">
        <v>0</v>
      </c>
      <c r="H3752" t="s">
        <v>8677</v>
      </c>
      <c r="I3752">
        <v>4250</v>
      </c>
      <c r="J3752">
        <f>VLOOKUP(E3752,DSSpieler!A:B,2,FALSE)</f>
        <v>25262054</v>
      </c>
    </row>
    <row r="3753" spans="1:10" x14ac:dyDescent="0.25">
      <c r="A3753">
        <v>4251</v>
      </c>
      <c r="B3753" t="s">
        <v>31942</v>
      </c>
      <c r="C3753">
        <v>405</v>
      </c>
      <c r="D3753">
        <v>497</v>
      </c>
      <c r="E3753">
        <v>1577173009</v>
      </c>
      <c r="F3753">
        <v>6901</v>
      </c>
      <c r="G3753">
        <v>0</v>
      </c>
      <c r="H3753" t="s">
        <v>8678</v>
      </c>
      <c r="I3753">
        <v>4251</v>
      </c>
      <c r="J3753" t="str">
        <f>VLOOKUP(E3753,DSSpieler!A:B,2,FALSE)</f>
        <v>Sultan Selim al Chasid</v>
      </c>
    </row>
    <row r="3754" spans="1:10" x14ac:dyDescent="0.25">
      <c r="A3754">
        <v>4252</v>
      </c>
      <c r="B3754" t="s">
        <v>32083</v>
      </c>
      <c r="C3754">
        <v>467</v>
      </c>
      <c r="D3754">
        <v>606</v>
      </c>
      <c r="E3754">
        <v>1576976198</v>
      </c>
      <c r="F3754">
        <v>3666</v>
      </c>
      <c r="G3754">
        <v>0</v>
      </c>
      <c r="H3754" t="s">
        <v>8679</v>
      </c>
      <c r="I3754">
        <v>4252</v>
      </c>
      <c r="J3754" t="str">
        <f>VLOOKUP(E3754,DSSpieler!A:B,2,FALSE)</f>
        <v>Lyrion Tennister</v>
      </c>
    </row>
    <row r="3755" spans="1:10" x14ac:dyDescent="0.25">
      <c r="A3755">
        <v>4253</v>
      </c>
      <c r="B3755" t="s">
        <v>531</v>
      </c>
      <c r="C3755">
        <v>465</v>
      </c>
      <c r="D3755">
        <v>446</v>
      </c>
      <c r="E3755">
        <v>0</v>
      </c>
      <c r="F3755">
        <v>378</v>
      </c>
      <c r="G3755">
        <v>0</v>
      </c>
      <c r="H3755" t="s">
        <v>8680</v>
      </c>
      <c r="I3755">
        <v>4253</v>
      </c>
      <c r="J3755" t="e">
        <f>VLOOKUP(E3755,DSSpieler!A:B,2,FALSE)</f>
        <v>#N/A</v>
      </c>
    </row>
    <row r="3756" spans="1:10" x14ac:dyDescent="0.25">
      <c r="A3756">
        <v>4254</v>
      </c>
      <c r="B3756" t="s">
        <v>1243</v>
      </c>
      <c r="C3756">
        <v>579</v>
      </c>
      <c r="D3756">
        <v>519</v>
      </c>
      <c r="E3756">
        <v>1577164616</v>
      </c>
      <c r="F3756">
        <v>7652</v>
      </c>
      <c r="G3756">
        <v>0</v>
      </c>
      <c r="H3756" t="s">
        <v>8681</v>
      </c>
      <c r="I3756">
        <v>4254</v>
      </c>
      <c r="J3756" t="str">
        <f>VLOOKUP(E3756,DSSpieler!A:B,2,FALSE)</f>
        <v>Ljubix98</v>
      </c>
    </row>
    <row r="3757" spans="1:10" x14ac:dyDescent="0.25">
      <c r="A3757">
        <v>4255</v>
      </c>
      <c r="B3757" t="s">
        <v>1244</v>
      </c>
      <c r="C3757">
        <v>472</v>
      </c>
      <c r="D3757">
        <v>547</v>
      </c>
      <c r="E3757">
        <v>1576583180</v>
      </c>
      <c r="F3757">
        <v>5401</v>
      </c>
      <c r="G3757">
        <v>0</v>
      </c>
      <c r="H3757" t="s">
        <v>8682</v>
      </c>
      <c r="I3757">
        <v>4255</v>
      </c>
      <c r="J3757" t="str">
        <f>VLOOKUP(E3757,DSSpieler!A:B,2,FALSE)</f>
        <v>opjeff</v>
      </c>
    </row>
    <row r="3758" spans="1:10" x14ac:dyDescent="0.25">
      <c r="A3758">
        <v>4256</v>
      </c>
      <c r="B3758" t="s">
        <v>32084</v>
      </c>
      <c r="C3758">
        <v>531</v>
      </c>
      <c r="D3758">
        <v>404</v>
      </c>
      <c r="E3758">
        <v>1577196253</v>
      </c>
      <c r="F3758">
        <v>5115</v>
      </c>
      <c r="G3758">
        <v>0</v>
      </c>
      <c r="H3758" t="s">
        <v>8683</v>
      </c>
      <c r="I3758">
        <v>4256</v>
      </c>
      <c r="J3758" t="str">
        <f>VLOOKUP(E3758,DSSpieler!A:B,2,FALSE)</f>
        <v>Dracay</v>
      </c>
    </row>
    <row r="3759" spans="1:10" x14ac:dyDescent="0.25">
      <c r="A3759">
        <v>4257</v>
      </c>
      <c r="B3759">
        <v>5</v>
      </c>
      <c r="C3759">
        <v>479</v>
      </c>
      <c r="D3759">
        <v>553</v>
      </c>
      <c r="E3759">
        <v>1577154689</v>
      </c>
      <c r="F3759">
        <v>3760</v>
      </c>
      <c r="G3759">
        <v>0</v>
      </c>
      <c r="H3759" t="s">
        <v>8684</v>
      </c>
      <c r="I3759">
        <v>4257</v>
      </c>
      <c r="J3759" t="str">
        <f>VLOOKUP(E3759,DSSpieler!A:B,2,FALSE)</f>
        <v>butzi 1</v>
      </c>
    </row>
    <row r="3760" spans="1:10" x14ac:dyDescent="0.25">
      <c r="A3760">
        <v>4258</v>
      </c>
      <c r="B3760" t="s">
        <v>1245</v>
      </c>
      <c r="C3760">
        <v>473</v>
      </c>
      <c r="D3760">
        <v>432</v>
      </c>
      <c r="E3760">
        <v>1577197827</v>
      </c>
      <c r="F3760">
        <v>7231</v>
      </c>
      <c r="G3760">
        <v>0</v>
      </c>
      <c r="H3760" t="s">
        <v>8685</v>
      </c>
      <c r="I3760">
        <v>4258</v>
      </c>
      <c r="J3760" t="str">
        <f>VLOOKUP(E3760,DSSpieler!A:B,2,FALSE)</f>
        <v>Beton7</v>
      </c>
    </row>
    <row r="3761" spans="1:10" x14ac:dyDescent="0.25">
      <c r="A3761">
        <v>4259</v>
      </c>
      <c r="B3761">
        <v>1</v>
      </c>
      <c r="C3761">
        <v>401</v>
      </c>
      <c r="D3761">
        <v>472</v>
      </c>
      <c r="E3761">
        <v>10074791</v>
      </c>
      <c r="F3761">
        <v>5474</v>
      </c>
      <c r="G3761">
        <v>0</v>
      </c>
      <c r="H3761" t="s">
        <v>8686</v>
      </c>
      <c r="I3761">
        <v>4259</v>
      </c>
      <c r="J3761" t="str">
        <f>VLOOKUP(E3761,DSSpieler!A:B,2,FALSE)</f>
        <v>Weedstar07</v>
      </c>
    </row>
    <row r="3762" spans="1:10" x14ac:dyDescent="0.25">
      <c r="A3762">
        <v>4260</v>
      </c>
      <c r="B3762" t="s">
        <v>1246</v>
      </c>
      <c r="C3762">
        <v>516</v>
      </c>
      <c r="D3762">
        <v>402</v>
      </c>
      <c r="E3762">
        <v>1577184604</v>
      </c>
      <c r="F3762">
        <v>7774</v>
      </c>
      <c r="G3762">
        <v>0</v>
      </c>
      <c r="H3762" t="s">
        <v>8687</v>
      </c>
      <c r="I3762">
        <v>4260</v>
      </c>
      <c r="J3762" t="str">
        <f>VLOOKUP(E3762,DSSpieler!A:B,2,FALSE)</f>
        <v>sanki D yok</v>
      </c>
    </row>
    <row r="3763" spans="1:10" x14ac:dyDescent="0.25">
      <c r="A3763">
        <v>4261</v>
      </c>
      <c r="B3763" t="s">
        <v>32085</v>
      </c>
      <c r="C3763">
        <v>532</v>
      </c>
      <c r="D3763">
        <v>522</v>
      </c>
      <c r="E3763">
        <v>1577191260</v>
      </c>
      <c r="F3763">
        <v>5388</v>
      </c>
      <c r="G3763">
        <v>0</v>
      </c>
      <c r="H3763" t="s">
        <v>8688</v>
      </c>
      <c r="I3763">
        <v>4261</v>
      </c>
      <c r="J3763" t="str">
        <f>VLOOKUP(E3763,DSSpieler!A:B,2,FALSE)</f>
        <v>Triple Y</v>
      </c>
    </row>
    <row r="3764" spans="1:10" x14ac:dyDescent="0.25">
      <c r="A3764">
        <v>4262</v>
      </c>
      <c r="B3764" t="s">
        <v>32086</v>
      </c>
      <c r="C3764">
        <v>455</v>
      </c>
      <c r="D3764">
        <v>542</v>
      </c>
      <c r="E3764">
        <v>1576822927</v>
      </c>
      <c r="F3764">
        <v>6869</v>
      </c>
      <c r="G3764">
        <v>0</v>
      </c>
      <c r="H3764" t="s">
        <v>8689</v>
      </c>
      <c r="I3764">
        <v>4262</v>
      </c>
      <c r="J3764" t="str">
        <f>VLOOKUP(E3764,DSSpieler!A:B,2,FALSE)</f>
        <v>PokeTrainer</v>
      </c>
    </row>
    <row r="3765" spans="1:10" x14ac:dyDescent="0.25">
      <c r="A3765">
        <v>4263</v>
      </c>
      <c r="B3765" t="s">
        <v>32087</v>
      </c>
      <c r="C3765">
        <v>536</v>
      </c>
      <c r="D3765">
        <v>451</v>
      </c>
      <c r="E3765">
        <v>7765891</v>
      </c>
      <c r="F3765">
        <v>4301</v>
      </c>
      <c r="G3765">
        <v>0</v>
      </c>
      <c r="H3765" t="s">
        <v>8690</v>
      </c>
      <c r="I3765">
        <v>4263</v>
      </c>
      <c r="J3765" t="str">
        <f>VLOOKUP(E3765,DSSpieler!A:B,2,FALSE)</f>
        <v>Rimato</v>
      </c>
    </row>
    <row r="3766" spans="1:10" x14ac:dyDescent="0.25">
      <c r="A3766">
        <v>4264</v>
      </c>
      <c r="B3766" t="s">
        <v>1247</v>
      </c>
      <c r="C3766">
        <v>454</v>
      </c>
      <c r="D3766">
        <v>501</v>
      </c>
      <c r="E3766">
        <v>2884072</v>
      </c>
      <c r="F3766">
        <v>4822</v>
      </c>
      <c r="G3766">
        <v>0</v>
      </c>
      <c r="H3766" t="s">
        <v>8691</v>
      </c>
      <c r="I3766">
        <v>4264</v>
      </c>
      <c r="J3766" t="str">
        <f>VLOOKUP(E3766,DSSpieler!A:B,2,FALSE)</f>
        <v>clubfan96</v>
      </c>
    </row>
    <row r="3767" spans="1:10" x14ac:dyDescent="0.25">
      <c r="A3767">
        <v>4265</v>
      </c>
      <c r="B3767" t="s">
        <v>32088</v>
      </c>
      <c r="C3767">
        <v>513</v>
      </c>
      <c r="D3767">
        <v>535</v>
      </c>
      <c r="E3767">
        <v>2368794</v>
      </c>
      <c r="F3767">
        <v>1499</v>
      </c>
      <c r="G3767">
        <v>0</v>
      </c>
      <c r="H3767" t="s">
        <v>8692</v>
      </c>
      <c r="I3767">
        <v>4265</v>
      </c>
      <c r="J3767" t="str">
        <f>VLOOKUP(E3767,DSSpieler!A:B,2,FALSE)</f>
        <v>Fransl</v>
      </c>
    </row>
    <row r="3768" spans="1:10" x14ac:dyDescent="0.25">
      <c r="A3768">
        <v>4266</v>
      </c>
      <c r="B3768" t="s">
        <v>1248</v>
      </c>
      <c r="C3768">
        <v>546</v>
      </c>
      <c r="D3768">
        <v>551</v>
      </c>
      <c r="E3768">
        <v>1577081317</v>
      </c>
      <c r="F3768">
        <v>7693</v>
      </c>
      <c r="G3768">
        <v>0</v>
      </c>
      <c r="H3768" t="s">
        <v>8693</v>
      </c>
      <c r="I3768">
        <v>4266</v>
      </c>
      <c r="J3768" t="str">
        <f>VLOOKUP(E3768,DSSpieler!A:B,2,FALSE)</f>
        <v>Einstein</v>
      </c>
    </row>
    <row r="3769" spans="1:10" x14ac:dyDescent="0.25">
      <c r="A3769">
        <v>4267</v>
      </c>
      <c r="B3769" t="s">
        <v>1249</v>
      </c>
      <c r="C3769">
        <v>501</v>
      </c>
      <c r="D3769">
        <v>403</v>
      </c>
      <c r="E3769">
        <v>44974</v>
      </c>
      <c r="F3769">
        <v>6641</v>
      </c>
      <c r="G3769">
        <v>0</v>
      </c>
      <c r="H3769" t="s">
        <v>8694</v>
      </c>
      <c r="I3769">
        <v>4267</v>
      </c>
      <c r="J3769" t="str">
        <f>VLOOKUP(E3769,DSSpieler!A:B,2,FALSE)</f>
        <v>Taktiker</v>
      </c>
    </row>
    <row r="3770" spans="1:10" x14ac:dyDescent="0.25">
      <c r="A3770">
        <v>4269</v>
      </c>
      <c r="B3770" t="s">
        <v>531</v>
      </c>
      <c r="C3770">
        <v>562</v>
      </c>
      <c r="D3770">
        <v>539</v>
      </c>
      <c r="E3770">
        <v>0</v>
      </c>
      <c r="F3770">
        <v>378</v>
      </c>
      <c r="G3770">
        <v>0</v>
      </c>
      <c r="H3770" t="s">
        <v>8695</v>
      </c>
      <c r="I3770">
        <v>4269</v>
      </c>
      <c r="J3770" t="e">
        <f>VLOOKUP(E3770,DSSpieler!A:B,2,FALSE)</f>
        <v>#N/A</v>
      </c>
    </row>
    <row r="3771" spans="1:10" x14ac:dyDescent="0.25">
      <c r="A3771">
        <v>4270</v>
      </c>
      <c r="B3771" t="s">
        <v>31565</v>
      </c>
      <c r="C3771">
        <v>498</v>
      </c>
      <c r="D3771">
        <v>576</v>
      </c>
      <c r="E3771">
        <v>1577197733</v>
      </c>
      <c r="F3771">
        <v>7792</v>
      </c>
      <c r="G3771">
        <v>0</v>
      </c>
      <c r="H3771" t="s">
        <v>8696</v>
      </c>
      <c r="I3771">
        <v>4270</v>
      </c>
      <c r="J3771" t="str">
        <f>VLOOKUP(E3771,DSSpieler!A:B,2,FALSE)</f>
        <v>Sheriff Söder</v>
      </c>
    </row>
    <row r="3772" spans="1:10" x14ac:dyDescent="0.25">
      <c r="A3772">
        <v>4271</v>
      </c>
      <c r="B3772" t="s">
        <v>32089</v>
      </c>
      <c r="C3772">
        <v>533</v>
      </c>
      <c r="D3772">
        <v>435</v>
      </c>
      <c r="E3772">
        <v>1577197828</v>
      </c>
      <c r="F3772">
        <v>7531</v>
      </c>
      <c r="G3772">
        <v>0</v>
      </c>
      <c r="H3772" t="s">
        <v>8697</v>
      </c>
      <c r="I3772">
        <v>4271</v>
      </c>
      <c r="J3772" t="str">
        <f>VLOOKUP(E3772,DSSpieler!A:B,2,FALSE)</f>
        <v>pewpew2000</v>
      </c>
    </row>
    <row r="3773" spans="1:10" x14ac:dyDescent="0.25">
      <c r="A3773">
        <v>4272</v>
      </c>
      <c r="B3773" t="s">
        <v>531</v>
      </c>
      <c r="C3773">
        <v>497</v>
      </c>
      <c r="D3773">
        <v>427</v>
      </c>
      <c r="E3773">
        <v>0</v>
      </c>
      <c r="F3773">
        <v>410</v>
      </c>
      <c r="G3773">
        <v>0</v>
      </c>
      <c r="H3773" t="s">
        <v>8698</v>
      </c>
      <c r="I3773">
        <v>4272</v>
      </c>
      <c r="J3773" t="e">
        <f>VLOOKUP(E3773,DSSpieler!A:B,2,FALSE)</f>
        <v>#N/A</v>
      </c>
    </row>
    <row r="3774" spans="1:10" x14ac:dyDescent="0.25">
      <c r="A3774">
        <v>4273</v>
      </c>
      <c r="B3774" t="s">
        <v>1250</v>
      </c>
      <c r="C3774">
        <v>424</v>
      </c>
      <c r="D3774">
        <v>515</v>
      </c>
      <c r="E3774">
        <v>9268817</v>
      </c>
      <c r="F3774">
        <v>5839</v>
      </c>
      <c r="G3774">
        <v>0</v>
      </c>
      <c r="H3774" t="s">
        <v>8699</v>
      </c>
      <c r="I3774">
        <v>4273</v>
      </c>
      <c r="J3774" t="str">
        <f>VLOOKUP(E3774,DSSpieler!A:B,2,FALSE)</f>
        <v>Kätzchen1001</v>
      </c>
    </row>
    <row r="3775" spans="1:10" x14ac:dyDescent="0.25">
      <c r="A3775">
        <v>4274</v>
      </c>
      <c r="B3775">
        <v>3</v>
      </c>
      <c r="C3775">
        <v>541</v>
      </c>
      <c r="D3775">
        <v>401</v>
      </c>
      <c r="E3775">
        <v>2142180</v>
      </c>
      <c r="F3775">
        <v>2299</v>
      </c>
      <c r="G3775">
        <v>0</v>
      </c>
      <c r="H3775" t="s">
        <v>8700</v>
      </c>
      <c r="I3775">
        <v>4274</v>
      </c>
      <c r="J3775" t="str">
        <f>VLOOKUP(E3775,DSSpieler!A:B,2,FALSE)</f>
        <v>Legolas42</v>
      </c>
    </row>
    <row r="3776" spans="1:10" x14ac:dyDescent="0.25">
      <c r="A3776">
        <v>4275</v>
      </c>
      <c r="B3776" t="s">
        <v>32090</v>
      </c>
      <c r="C3776">
        <v>547</v>
      </c>
      <c r="D3776">
        <v>488</v>
      </c>
      <c r="E3776">
        <v>3111455</v>
      </c>
      <c r="F3776">
        <v>4465</v>
      </c>
      <c r="G3776">
        <v>0</v>
      </c>
      <c r="H3776" t="s">
        <v>8701</v>
      </c>
      <c r="I3776">
        <v>4275</v>
      </c>
      <c r="J3776" t="str">
        <f>VLOOKUP(E3776,DSSpieler!A:B,2,FALSE)</f>
        <v>MasterDrake</v>
      </c>
    </row>
    <row r="3777" spans="1:10" x14ac:dyDescent="0.25">
      <c r="A3777">
        <v>4276</v>
      </c>
      <c r="B3777" t="s">
        <v>531</v>
      </c>
      <c r="C3777">
        <v>526</v>
      </c>
      <c r="D3777">
        <v>426</v>
      </c>
      <c r="E3777">
        <v>0</v>
      </c>
      <c r="F3777">
        <v>1002</v>
      </c>
      <c r="G3777">
        <v>0</v>
      </c>
      <c r="H3777" t="s">
        <v>8702</v>
      </c>
      <c r="I3777">
        <v>4276</v>
      </c>
      <c r="J3777" t="e">
        <f>VLOOKUP(E3777,DSSpieler!A:B,2,FALSE)</f>
        <v>#N/A</v>
      </c>
    </row>
    <row r="3778" spans="1:10" x14ac:dyDescent="0.25">
      <c r="A3778">
        <v>4278</v>
      </c>
      <c r="B3778" t="s">
        <v>780</v>
      </c>
      <c r="C3778">
        <v>607</v>
      </c>
      <c r="D3778">
        <v>503</v>
      </c>
      <c r="E3778">
        <v>1576021807</v>
      </c>
      <c r="F3778">
        <v>6813</v>
      </c>
      <c r="G3778">
        <v>0</v>
      </c>
      <c r="H3778" t="s">
        <v>8703</v>
      </c>
      <c r="I3778">
        <v>4278</v>
      </c>
      <c r="J3778" t="str">
        <f>VLOOKUP(E3778,DSSpieler!A:B,2,FALSE)</f>
        <v>Luddiwig</v>
      </c>
    </row>
    <row r="3779" spans="1:10" x14ac:dyDescent="0.25">
      <c r="A3779">
        <v>4279</v>
      </c>
      <c r="B3779" t="s">
        <v>32091</v>
      </c>
      <c r="C3779">
        <v>471</v>
      </c>
      <c r="D3779">
        <v>476</v>
      </c>
      <c r="E3779">
        <v>1576914417</v>
      </c>
      <c r="F3779">
        <v>1980</v>
      </c>
      <c r="G3779">
        <v>0</v>
      </c>
      <c r="H3779" t="s">
        <v>8704</v>
      </c>
      <c r="I3779">
        <v>4279</v>
      </c>
      <c r="J3779" t="str">
        <f>VLOOKUP(E3779,DSSpieler!A:B,2,FALSE)</f>
        <v>Bonemonkey</v>
      </c>
    </row>
    <row r="3780" spans="1:10" x14ac:dyDescent="0.25">
      <c r="A3780">
        <v>4280</v>
      </c>
      <c r="B3780" t="s">
        <v>531</v>
      </c>
      <c r="C3780">
        <v>436</v>
      </c>
      <c r="D3780">
        <v>496</v>
      </c>
      <c r="E3780">
        <v>0</v>
      </c>
      <c r="F3780">
        <v>447</v>
      </c>
      <c r="G3780">
        <v>0</v>
      </c>
      <c r="H3780" t="s">
        <v>8705</v>
      </c>
      <c r="I3780">
        <v>4280</v>
      </c>
      <c r="J3780" t="e">
        <f>VLOOKUP(E3780,DSSpieler!A:B,2,FALSE)</f>
        <v>#N/A</v>
      </c>
    </row>
    <row r="3781" spans="1:10" x14ac:dyDescent="0.25">
      <c r="A3781">
        <v>4281</v>
      </c>
      <c r="B3781" t="s">
        <v>32092</v>
      </c>
      <c r="C3781">
        <v>480</v>
      </c>
      <c r="D3781">
        <v>545</v>
      </c>
      <c r="E3781">
        <v>1577191193</v>
      </c>
      <c r="F3781">
        <v>6903</v>
      </c>
      <c r="G3781">
        <v>0</v>
      </c>
      <c r="H3781" t="s">
        <v>8706</v>
      </c>
      <c r="I3781">
        <v>4281</v>
      </c>
      <c r="J3781" t="str">
        <f>VLOOKUP(E3781,DSSpieler!A:B,2,FALSE)</f>
        <v>Azubie</v>
      </c>
    </row>
    <row r="3782" spans="1:10" x14ac:dyDescent="0.25">
      <c r="A3782">
        <v>4282</v>
      </c>
      <c r="B3782" t="s">
        <v>1251</v>
      </c>
      <c r="C3782">
        <v>571</v>
      </c>
      <c r="D3782">
        <v>470</v>
      </c>
      <c r="E3782">
        <v>1576751873</v>
      </c>
      <c r="F3782">
        <v>4528</v>
      </c>
      <c r="G3782">
        <v>0</v>
      </c>
      <c r="H3782" t="s">
        <v>8707</v>
      </c>
      <c r="I3782">
        <v>4282</v>
      </c>
      <c r="J3782" t="str">
        <f>VLOOKUP(E3782,DSSpieler!A:B,2,FALSE)</f>
        <v>King MKay</v>
      </c>
    </row>
    <row r="3783" spans="1:10" x14ac:dyDescent="0.25">
      <c r="A3783">
        <v>4283</v>
      </c>
      <c r="B3783" t="s">
        <v>32093</v>
      </c>
      <c r="C3783">
        <v>505</v>
      </c>
      <c r="D3783">
        <v>564</v>
      </c>
      <c r="E3783">
        <v>1577017123</v>
      </c>
      <c r="F3783">
        <v>2791</v>
      </c>
      <c r="G3783">
        <v>0</v>
      </c>
      <c r="H3783" t="s">
        <v>8708</v>
      </c>
      <c r="I3783">
        <v>4283</v>
      </c>
      <c r="J3783" t="str">
        <f>VLOOKUP(E3783,DSSpieler!A:B,2,FALSE)</f>
        <v>Kleine Hexe123</v>
      </c>
    </row>
    <row r="3784" spans="1:10" x14ac:dyDescent="0.25">
      <c r="A3784">
        <v>4284</v>
      </c>
      <c r="B3784">
        <v>1</v>
      </c>
      <c r="C3784">
        <v>441</v>
      </c>
      <c r="D3784">
        <v>506</v>
      </c>
      <c r="E3784">
        <v>9433851</v>
      </c>
      <c r="F3784">
        <v>6615</v>
      </c>
      <c r="G3784">
        <v>0</v>
      </c>
      <c r="H3784" t="s">
        <v>8709</v>
      </c>
      <c r="I3784">
        <v>4284</v>
      </c>
      <c r="J3784" t="str">
        <f>VLOOKUP(E3784,DSSpieler!A:B,2,FALSE)</f>
        <v>Kamikaze1986</v>
      </c>
    </row>
    <row r="3785" spans="1:10" x14ac:dyDescent="0.25">
      <c r="A3785">
        <v>4286</v>
      </c>
      <c r="B3785" t="s">
        <v>531</v>
      </c>
      <c r="C3785">
        <v>534</v>
      </c>
      <c r="D3785">
        <v>533</v>
      </c>
      <c r="E3785">
        <v>0</v>
      </c>
      <c r="F3785">
        <v>430</v>
      </c>
      <c r="G3785">
        <v>0</v>
      </c>
      <c r="H3785" t="s">
        <v>8710</v>
      </c>
      <c r="I3785">
        <v>4286</v>
      </c>
      <c r="J3785" t="e">
        <f>VLOOKUP(E3785,DSSpieler!A:B,2,FALSE)</f>
        <v>#N/A</v>
      </c>
    </row>
    <row r="3786" spans="1:10" x14ac:dyDescent="0.25">
      <c r="A3786">
        <v>4287</v>
      </c>
      <c r="B3786" t="s">
        <v>531</v>
      </c>
      <c r="C3786">
        <v>536</v>
      </c>
      <c r="D3786">
        <v>570</v>
      </c>
      <c r="E3786">
        <v>0</v>
      </c>
      <c r="F3786">
        <v>345</v>
      </c>
      <c r="G3786">
        <v>0</v>
      </c>
      <c r="H3786" t="s">
        <v>8711</v>
      </c>
      <c r="I3786">
        <v>4287</v>
      </c>
      <c r="J3786" t="e">
        <f>VLOOKUP(E3786,DSSpieler!A:B,2,FALSE)</f>
        <v>#N/A</v>
      </c>
    </row>
    <row r="3787" spans="1:10" x14ac:dyDescent="0.25">
      <c r="A3787">
        <v>4288</v>
      </c>
      <c r="B3787" t="s">
        <v>32094</v>
      </c>
      <c r="C3787">
        <v>509</v>
      </c>
      <c r="D3787">
        <v>560</v>
      </c>
      <c r="E3787">
        <v>1577175352</v>
      </c>
      <c r="F3787">
        <v>6114</v>
      </c>
      <c r="G3787">
        <v>0</v>
      </c>
      <c r="H3787" t="s">
        <v>8712</v>
      </c>
      <c r="I3787">
        <v>4288</v>
      </c>
      <c r="J3787" t="str">
        <f>VLOOKUP(E3787,DSSpieler!A:B,2,FALSE)</f>
        <v>L4nz3l0b3r</v>
      </c>
    </row>
    <row r="3788" spans="1:10" x14ac:dyDescent="0.25">
      <c r="A3788">
        <v>4290</v>
      </c>
      <c r="B3788" t="s">
        <v>531</v>
      </c>
      <c r="C3788">
        <v>547</v>
      </c>
      <c r="D3788">
        <v>544</v>
      </c>
      <c r="E3788">
        <v>0</v>
      </c>
      <c r="F3788">
        <v>212</v>
      </c>
      <c r="G3788">
        <v>0</v>
      </c>
      <c r="H3788" t="s">
        <v>8713</v>
      </c>
      <c r="I3788">
        <v>4290</v>
      </c>
      <c r="J3788" t="e">
        <f>VLOOKUP(E3788,DSSpieler!A:B,2,FALSE)</f>
        <v>#N/A</v>
      </c>
    </row>
    <row r="3789" spans="1:10" x14ac:dyDescent="0.25">
      <c r="A3789">
        <v>4291</v>
      </c>
      <c r="B3789" t="s">
        <v>32095</v>
      </c>
      <c r="C3789">
        <v>465</v>
      </c>
      <c r="D3789">
        <v>571</v>
      </c>
      <c r="E3789">
        <v>557668</v>
      </c>
      <c r="F3789">
        <v>5439</v>
      </c>
      <c r="G3789">
        <v>0</v>
      </c>
      <c r="H3789" t="s">
        <v>8714</v>
      </c>
      <c r="I3789">
        <v>4291</v>
      </c>
      <c r="J3789" t="str">
        <f>VLOOKUP(E3789,DSSpieler!A:B,2,FALSE)</f>
        <v>Accce</v>
      </c>
    </row>
    <row r="3790" spans="1:10" x14ac:dyDescent="0.25">
      <c r="A3790">
        <v>4292</v>
      </c>
      <c r="B3790" t="s">
        <v>32096</v>
      </c>
      <c r="C3790">
        <v>435</v>
      </c>
      <c r="D3790">
        <v>542</v>
      </c>
      <c r="E3790">
        <v>1577197719</v>
      </c>
      <c r="F3790">
        <v>7107</v>
      </c>
      <c r="G3790">
        <v>0</v>
      </c>
      <c r="H3790" t="s">
        <v>8715</v>
      </c>
      <c r="I3790">
        <v>4292</v>
      </c>
      <c r="J3790" t="str">
        <f>VLOOKUP(E3790,DSSpieler!A:B,2,FALSE)</f>
        <v>ttprofi</v>
      </c>
    </row>
    <row r="3791" spans="1:10" x14ac:dyDescent="0.25">
      <c r="A3791">
        <v>4293</v>
      </c>
      <c r="B3791" t="s">
        <v>32097</v>
      </c>
      <c r="C3791">
        <v>514</v>
      </c>
      <c r="D3791">
        <v>543</v>
      </c>
      <c r="E3791">
        <v>9750091</v>
      </c>
      <c r="F3791">
        <v>4426</v>
      </c>
      <c r="G3791">
        <v>0</v>
      </c>
      <c r="H3791" t="s">
        <v>8716</v>
      </c>
      <c r="I3791">
        <v>4293</v>
      </c>
      <c r="J3791" t="str">
        <f>VLOOKUP(E3791,DSSpieler!A:B,2,FALSE)</f>
        <v>TBCxXSchoppesXx</v>
      </c>
    </row>
    <row r="3792" spans="1:10" x14ac:dyDescent="0.25">
      <c r="A3792">
        <v>4294</v>
      </c>
      <c r="B3792" t="s">
        <v>531</v>
      </c>
      <c r="C3792">
        <v>502</v>
      </c>
      <c r="D3792">
        <v>430</v>
      </c>
      <c r="E3792">
        <v>1577195218</v>
      </c>
      <c r="F3792">
        <v>1702</v>
      </c>
      <c r="G3792">
        <v>0</v>
      </c>
      <c r="H3792" t="s">
        <v>8717</v>
      </c>
      <c r="I3792">
        <v>4294</v>
      </c>
      <c r="J3792" t="str">
        <f>VLOOKUP(E3792,DSSpieler!A:B,2,FALSE)</f>
        <v>walujew</v>
      </c>
    </row>
    <row r="3793" spans="1:10" x14ac:dyDescent="0.25">
      <c r="A3793">
        <v>4295</v>
      </c>
      <c r="B3793" t="s">
        <v>32098</v>
      </c>
      <c r="C3793">
        <v>582</v>
      </c>
      <c r="D3793">
        <v>458</v>
      </c>
      <c r="E3793">
        <v>1577187371</v>
      </c>
      <c r="F3793">
        <v>5468</v>
      </c>
      <c r="G3793">
        <v>0</v>
      </c>
      <c r="H3793" t="s">
        <v>8718</v>
      </c>
      <c r="I3793">
        <v>4295</v>
      </c>
      <c r="J3793" t="str">
        <f>VLOOKUP(E3793,DSSpieler!A:B,2,FALSE)</f>
        <v>Der Tempelritter</v>
      </c>
    </row>
    <row r="3794" spans="1:10" x14ac:dyDescent="0.25">
      <c r="A3794">
        <v>4296</v>
      </c>
      <c r="B3794" t="s">
        <v>531</v>
      </c>
      <c r="C3794">
        <v>506</v>
      </c>
      <c r="D3794">
        <v>542</v>
      </c>
      <c r="E3794">
        <v>0</v>
      </c>
      <c r="F3794">
        <v>231</v>
      </c>
      <c r="G3794">
        <v>0</v>
      </c>
      <c r="H3794" t="s">
        <v>8719</v>
      </c>
      <c r="I3794">
        <v>4296</v>
      </c>
      <c r="J3794" t="e">
        <f>VLOOKUP(E3794,DSSpieler!A:B,2,FALSE)</f>
        <v>#N/A</v>
      </c>
    </row>
    <row r="3795" spans="1:10" x14ac:dyDescent="0.25">
      <c r="A3795">
        <v>4297</v>
      </c>
      <c r="B3795" t="s">
        <v>546</v>
      </c>
      <c r="C3795">
        <v>513</v>
      </c>
      <c r="D3795">
        <v>454</v>
      </c>
      <c r="E3795">
        <v>1577117841</v>
      </c>
      <c r="F3795">
        <v>2546</v>
      </c>
      <c r="G3795">
        <v>0</v>
      </c>
      <c r="H3795" t="s">
        <v>8720</v>
      </c>
      <c r="I3795">
        <v>4297</v>
      </c>
      <c r="J3795" t="str">
        <f>VLOOKUP(E3795,DSSpieler!A:B,2,FALSE)</f>
        <v>pati89</v>
      </c>
    </row>
    <row r="3796" spans="1:10" x14ac:dyDescent="0.25">
      <c r="A3796">
        <v>4298</v>
      </c>
      <c r="B3796">
        <v>4</v>
      </c>
      <c r="C3796">
        <v>455</v>
      </c>
      <c r="D3796">
        <v>566</v>
      </c>
      <c r="E3796">
        <v>1576722945</v>
      </c>
      <c r="F3796">
        <v>1173</v>
      </c>
      <c r="G3796">
        <v>0</v>
      </c>
      <c r="H3796" t="s">
        <v>8721</v>
      </c>
      <c r="I3796">
        <v>4298</v>
      </c>
      <c r="J3796" t="str">
        <f>VLOOKUP(E3796,DSSpieler!A:B,2,FALSE)</f>
        <v>SerpentCrown1</v>
      </c>
    </row>
    <row r="3797" spans="1:10" x14ac:dyDescent="0.25">
      <c r="A3797">
        <v>4300</v>
      </c>
      <c r="B3797" t="s">
        <v>701</v>
      </c>
      <c r="C3797">
        <v>410</v>
      </c>
      <c r="D3797">
        <v>547</v>
      </c>
      <c r="E3797">
        <v>9961010</v>
      </c>
      <c r="F3797">
        <v>5772</v>
      </c>
      <c r="G3797">
        <v>0</v>
      </c>
      <c r="H3797" t="s">
        <v>8722</v>
      </c>
      <c r="I3797">
        <v>4300</v>
      </c>
      <c r="J3797" t="str">
        <f>VLOOKUP(E3797,DSSpieler!A:B,2,FALSE)</f>
        <v>Cpt.Sinep</v>
      </c>
    </row>
    <row r="3798" spans="1:10" x14ac:dyDescent="0.25">
      <c r="A3798">
        <v>4301</v>
      </c>
      <c r="B3798" t="s">
        <v>32099</v>
      </c>
      <c r="C3798">
        <v>455</v>
      </c>
      <c r="D3798">
        <v>507</v>
      </c>
      <c r="E3798">
        <v>1576181376</v>
      </c>
      <c r="F3798">
        <v>5224</v>
      </c>
      <c r="G3798">
        <v>0</v>
      </c>
      <c r="H3798" t="s">
        <v>8723</v>
      </c>
      <c r="I3798">
        <v>4301</v>
      </c>
      <c r="J3798" t="str">
        <f>VLOOKUP(E3798,DSSpieler!A:B,2,FALSE)</f>
        <v>TIOL</v>
      </c>
    </row>
    <row r="3799" spans="1:10" x14ac:dyDescent="0.25">
      <c r="A3799">
        <v>4302</v>
      </c>
      <c r="B3799" t="s">
        <v>32100</v>
      </c>
      <c r="C3799">
        <v>440</v>
      </c>
      <c r="D3799">
        <v>485</v>
      </c>
      <c r="E3799">
        <v>1577191504</v>
      </c>
      <c r="F3799">
        <v>1854</v>
      </c>
      <c r="G3799">
        <v>0</v>
      </c>
      <c r="H3799" t="s">
        <v>8724</v>
      </c>
      <c r="I3799">
        <v>4302</v>
      </c>
      <c r="J3799" t="str">
        <f>VLOOKUP(E3799,DSSpieler!A:B,2,FALSE)</f>
        <v>alcon</v>
      </c>
    </row>
    <row r="3800" spans="1:10" x14ac:dyDescent="0.25">
      <c r="A3800">
        <v>4303</v>
      </c>
      <c r="B3800" t="s">
        <v>531</v>
      </c>
      <c r="C3800">
        <v>427</v>
      </c>
      <c r="D3800">
        <v>481</v>
      </c>
      <c r="E3800">
        <v>0</v>
      </c>
      <c r="F3800">
        <v>1068</v>
      </c>
      <c r="G3800">
        <v>0</v>
      </c>
      <c r="H3800" t="s">
        <v>8725</v>
      </c>
      <c r="I3800">
        <v>4303</v>
      </c>
      <c r="J3800" t="e">
        <f>VLOOKUP(E3800,DSSpieler!A:B,2,FALSE)</f>
        <v>#N/A</v>
      </c>
    </row>
    <row r="3801" spans="1:10" x14ac:dyDescent="0.25">
      <c r="A3801">
        <v>4304</v>
      </c>
      <c r="B3801" t="s">
        <v>531</v>
      </c>
      <c r="C3801">
        <v>519</v>
      </c>
      <c r="D3801">
        <v>450</v>
      </c>
      <c r="E3801">
        <v>0</v>
      </c>
      <c r="F3801">
        <v>1044</v>
      </c>
      <c r="G3801">
        <v>0</v>
      </c>
      <c r="H3801" t="s">
        <v>8726</v>
      </c>
      <c r="I3801">
        <v>4304</v>
      </c>
      <c r="J3801" t="e">
        <f>VLOOKUP(E3801,DSSpieler!A:B,2,FALSE)</f>
        <v>#N/A</v>
      </c>
    </row>
    <row r="3802" spans="1:10" x14ac:dyDescent="0.25">
      <c r="A3802">
        <v>4305</v>
      </c>
      <c r="B3802" t="s">
        <v>31047</v>
      </c>
      <c r="C3802">
        <v>470</v>
      </c>
      <c r="D3802">
        <v>532</v>
      </c>
      <c r="E3802">
        <v>7811335</v>
      </c>
      <c r="F3802">
        <v>6859</v>
      </c>
      <c r="G3802">
        <v>0</v>
      </c>
      <c r="H3802" t="s">
        <v>8727</v>
      </c>
      <c r="I3802">
        <v>4305</v>
      </c>
      <c r="J3802" t="str">
        <f>VLOOKUP(E3802,DSSpieler!A:B,2,FALSE)</f>
        <v>SnakeMountain</v>
      </c>
    </row>
    <row r="3803" spans="1:10" x14ac:dyDescent="0.25">
      <c r="A3803">
        <v>4306</v>
      </c>
      <c r="B3803" t="s">
        <v>32101</v>
      </c>
      <c r="C3803">
        <v>568</v>
      </c>
      <c r="D3803">
        <v>450</v>
      </c>
      <c r="E3803">
        <v>1577192471</v>
      </c>
      <c r="F3803">
        <v>4877</v>
      </c>
      <c r="G3803">
        <v>0</v>
      </c>
      <c r="H3803" t="s">
        <v>8728</v>
      </c>
      <c r="I3803">
        <v>4306</v>
      </c>
      <c r="J3803" t="str">
        <f>VLOOKUP(E3803,DSSpieler!A:B,2,FALSE)</f>
        <v>Killerbrot</v>
      </c>
    </row>
    <row r="3804" spans="1:10" x14ac:dyDescent="0.25">
      <c r="A3804">
        <v>4307</v>
      </c>
      <c r="B3804" t="s">
        <v>1252</v>
      </c>
      <c r="C3804">
        <v>426</v>
      </c>
      <c r="D3804">
        <v>580</v>
      </c>
      <c r="E3804">
        <v>1577193698</v>
      </c>
      <c r="F3804">
        <v>5827</v>
      </c>
      <c r="G3804">
        <v>0</v>
      </c>
      <c r="H3804" t="s">
        <v>8729</v>
      </c>
      <c r="I3804">
        <v>4307</v>
      </c>
      <c r="J3804" t="str">
        <f>VLOOKUP(E3804,DSSpieler!A:B,2,FALSE)</f>
        <v>Max Mustermann</v>
      </c>
    </row>
    <row r="3805" spans="1:10" x14ac:dyDescent="0.25">
      <c r="A3805">
        <v>4308</v>
      </c>
      <c r="B3805" t="s">
        <v>32102</v>
      </c>
      <c r="C3805">
        <v>454</v>
      </c>
      <c r="D3805">
        <v>592</v>
      </c>
      <c r="E3805">
        <v>1378053</v>
      </c>
      <c r="F3805">
        <v>2589</v>
      </c>
      <c r="G3805">
        <v>0</v>
      </c>
      <c r="H3805" t="s">
        <v>8730</v>
      </c>
      <c r="I3805">
        <v>4308</v>
      </c>
      <c r="J3805" t="str">
        <f>VLOOKUP(E3805,DSSpieler!A:B,2,FALSE)</f>
        <v>Fremdius</v>
      </c>
    </row>
    <row r="3806" spans="1:10" x14ac:dyDescent="0.25">
      <c r="A3806">
        <v>4309</v>
      </c>
      <c r="B3806" t="s">
        <v>1253</v>
      </c>
      <c r="C3806">
        <v>404</v>
      </c>
      <c r="D3806">
        <v>498</v>
      </c>
      <c r="E3806">
        <v>8496756</v>
      </c>
      <c r="F3806">
        <v>5948</v>
      </c>
      <c r="G3806">
        <v>0</v>
      </c>
      <c r="H3806" t="s">
        <v>8731</v>
      </c>
      <c r="I3806">
        <v>4309</v>
      </c>
      <c r="J3806" t="str">
        <f>VLOOKUP(E3806,DSSpieler!A:B,2,FALSE)</f>
        <v>kai987321</v>
      </c>
    </row>
    <row r="3807" spans="1:10" x14ac:dyDescent="0.25">
      <c r="A3807">
        <v>4310</v>
      </c>
      <c r="B3807" t="s">
        <v>30817</v>
      </c>
      <c r="C3807">
        <v>591</v>
      </c>
      <c r="D3807">
        <v>522</v>
      </c>
      <c r="E3807">
        <v>1577170716</v>
      </c>
      <c r="F3807">
        <v>5621</v>
      </c>
      <c r="G3807">
        <v>0</v>
      </c>
      <c r="H3807" t="s">
        <v>8732</v>
      </c>
      <c r="I3807">
        <v>4310</v>
      </c>
      <c r="J3807" t="str">
        <f>VLOOKUP(E3807,DSSpieler!A:B,2,FALSE)</f>
        <v>Perser-Krieger</v>
      </c>
    </row>
    <row r="3808" spans="1:10" x14ac:dyDescent="0.25">
      <c r="A3808">
        <v>4311</v>
      </c>
      <c r="B3808" t="s">
        <v>1254</v>
      </c>
      <c r="C3808">
        <v>489</v>
      </c>
      <c r="D3808">
        <v>445</v>
      </c>
      <c r="E3808">
        <v>8757542</v>
      </c>
      <c r="F3808">
        <v>824</v>
      </c>
      <c r="G3808">
        <v>0</v>
      </c>
      <c r="H3808" t="s">
        <v>8733</v>
      </c>
      <c r="I3808">
        <v>4311</v>
      </c>
      <c r="J3808" t="str">
        <f>VLOOKUP(E3808,DSSpieler!A:B,2,FALSE)</f>
        <v>hydra66</v>
      </c>
    </row>
    <row r="3809" spans="1:10" x14ac:dyDescent="0.25">
      <c r="A3809">
        <v>4312</v>
      </c>
      <c r="B3809">
        <v>1</v>
      </c>
      <c r="C3809">
        <v>554</v>
      </c>
      <c r="D3809">
        <v>452</v>
      </c>
      <c r="E3809">
        <v>1577015178</v>
      </c>
      <c r="F3809">
        <v>5373</v>
      </c>
      <c r="G3809">
        <v>0</v>
      </c>
      <c r="H3809" t="s">
        <v>8734</v>
      </c>
      <c r="I3809">
        <v>4312</v>
      </c>
      <c r="J3809" t="str">
        <f>VLOOKUP(E3809,DSSpieler!A:B,2,FALSE)</f>
        <v>CoffeeArsch</v>
      </c>
    </row>
    <row r="3810" spans="1:10" x14ac:dyDescent="0.25">
      <c r="A3810">
        <v>4313</v>
      </c>
      <c r="B3810" t="s">
        <v>1255</v>
      </c>
      <c r="C3810">
        <v>498</v>
      </c>
      <c r="D3810">
        <v>411</v>
      </c>
      <c r="E3810">
        <v>1577176097</v>
      </c>
      <c r="F3810">
        <v>5837</v>
      </c>
      <c r="G3810">
        <v>0</v>
      </c>
      <c r="H3810" t="s">
        <v>8735</v>
      </c>
      <c r="I3810">
        <v>4313</v>
      </c>
      <c r="J3810" t="str">
        <f>VLOOKUP(E3810,DSSpieler!A:B,2,FALSE)</f>
        <v>Nerro12</v>
      </c>
    </row>
    <row r="3811" spans="1:10" x14ac:dyDescent="0.25">
      <c r="A3811">
        <v>4314</v>
      </c>
      <c r="B3811" t="s">
        <v>32103</v>
      </c>
      <c r="C3811">
        <v>560</v>
      </c>
      <c r="D3811">
        <v>476</v>
      </c>
      <c r="E3811">
        <v>2523758</v>
      </c>
      <c r="F3811">
        <v>5157</v>
      </c>
      <c r="G3811">
        <v>0</v>
      </c>
      <c r="H3811" t="s">
        <v>8736</v>
      </c>
      <c r="I3811">
        <v>4314</v>
      </c>
      <c r="J3811" t="str">
        <f>VLOOKUP(E3811,DSSpieler!A:B,2,FALSE)</f>
        <v>Scribby</v>
      </c>
    </row>
    <row r="3812" spans="1:10" x14ac:dyDescent="0.25">
      <c r="A3812">
        <v>4315</v>
      </c>
      <c r="B3812" t="s">
        <v>1256</v>
      </c>
      <c r="C3812">
        <v>457</v>
      </c>
      <c r="D3812">
        <v>560</v>
      </c>
      <c r="E3812">
        <v>9764565</v>
      </c>
      <c r="F3812">
        <v>7107</v>
      </c>
      <c r="G3812">
        <v>0</v>
      </c>
      <c r="H3812" t="s">
        <v>8737</v>
      </c>
      <c r="I3812">
        <v>4315</v>
      </c>
      <c r="J3812" t="str">
        <f>VLOOKUP(E3812,DSSpieler!A:B,2,FALSE)</f>
        <v>Capt.Bizeps</v>
      </c>
    </row>
    <row r="3813" spans="1:10" x14ac:dyDescent="0.25">
      <c r="A3813">
        <v>4317</v>
      </c>
      <c r="B3813" t="s">
        <v>531</v>
      </c>
      <c r="C3813">
        <v>544</v>
      </c>
      <c r="D3813">
        <v>524</v>
      </c>
      <c r="E3813">
        <v>0</v>
      </c>
      <c r="F3813">
        <v>394</v>
      </c>
      <c r="G3813">
        <v>0</v>
      </c>
      <c r="H3813" t="s">
        <v>8738</v>
      </c>
      <c r="I3813">
        <v>4317</v>
      </c>
      <c r="J3813" t="e">
        <f>VLOOKUP(E3813,DSSpieler!A:B,2,FALSE)</f>
        <v>#N/A</v>
      </c>
    </row>
    <row r="3814" spans="1:10" x14ac:dyDescent="0.25">
      <c r="A3814">
        <v>4318</v>
      </c>
      <c r="B3814" t="s">
        <v>32104</v>
      </c>
      <c r="C3814">
        <v>564</v>
      </c>
      <c r="D3814">
        <v>509</v>
      </c>
      <c r="E3814">
        <v>9369687</v>
      </c>
      <c r="F3814">
        <v>5454</v>
      </c>
      <c r="G3814">
        <v>0</v>
      </c>
      <c r="H3814" t="s">
        <v>8739</v>
      </c>
      <c r="I3814">
        <v>4318</v>
      </c>
      <c r="J3814" t="str">
        <f>VLOOKUP(E3814,DSSpieler!A:B,2,FALSE)</f>
        <v>Scoprionz</v>
      </c>
    </row>
    <row r="3815" spans="1:10" x14ac:dyDescent="0.25">
      <c r="A3815">
        <v>4320</v>
      </c>
      <c r="B3815" t="s">
        <v>531</v>
      </c>
      <c r="C3815">
        <v>544</v>
      </c>
      <c r="D3815">
        <v>493</v>
      </c>
      <c r="E3815">
        <v>0</v>
      </c>
      <c r="F3815">
        <v>337</v>
      </c>
      <c r="G3815">
        <v>0</v>
      </c>
      <c r="H3815" t="s">
        <v>8740</v>
      </c>
      <c r="I3815">
        <v>4320</v>
      </c>
      <c r="J3815" t="e">
        <f>VLOOKUP(E3815,DSSpieler!A:B,2,FALSE)</f>
        <v>#N/A</v>
      </c>
    </row>
    <row r="3816" spans="1:10" x14ac:dyDescent="0.25">
      <c r="A3816">
        <v>4321</v>
      </c>
      <c r="B3816" t="s">
        <v>32105</v>
      </c>
      <c r="C3816">
        <v>413</v>
      </c>
      <c r="D3816">
        <v>538</v>
      </c>
      <c r="E3816">
        <v>1576609691</v>
      </c>
      <c r="F3816">
        <v>6978</v>
      </c>
      <c r="G3816">
        <v>0</v>
      </c>
      <c r="H3816" t="s">
        <v>8741</v>
      </c>
      <c r="I3816">
        <v>4321</v>
      </c>
      <c r="J3816" t="str">
        <f>VLOOKUP(E3816,DSSpieler!A:B,2,FALSE)</f>
        <v>ratfighter</v>
      </c>
    </row>
    <row r="3817" spans="1:10" x14ac:dyDescent="0.25">
      <c r="A3817">
        <v>4322</v>
      </c>
      <c r="B3817" t="s">
        <v>531</v>
      </c>
      <c r="C3817">
        <v>531</v>
      </c>
      <c r="D3817">
        <v>517</v>
      </c>
      <c r="E3817">
        <v>0</v>
      </c>
      <c r="F3817">
        <v>261</v>
      </c>
      <c r="G3817">
        <v>0</v>
      </c>
      <c r="H3817" t="s">
        <v>8742</v>
      </c>
      <c r="I3817">
        <v>4322</v>
      </c>
      <c r="J3817" t="e">
        <f>VLOOKUP(E3817,DSSpieler!A:B,2,FALSE)</f>
        <v>#N/A</v>
      </c>
    </row>
    <row r="3818" spans="1:10" x14ac:dyDescent="0.25">
      <c r="A3818">
        <v>4323</v>
      </c>
      <c r="B3818" t="s">
        <v>558</v>
      </c>
      <c r="C3818">
        <v>524</v>
      </c>
      <c r="D3818">
        <v>467</v>
      </c>
      <c r="E3818">
        <v>8077830</v>
      </c>
      <c r="F3818">
        <v>4196</v>
      </c>
      <c r="G3818">
        <v>0</v>
      </c>
      <c r="H3818" t="s">
        <v>8743</v>
      </c>
      <c r="I3818">
        <v>4323</v>
      </c>
      <c r="J3818" t="str">
        <f>VLOOKUP(E3818,DSSpieler!A:B,2,FALSE)</f>
        <v>Venamor</v>
      </c>
    </row>
    <row r="3819" spans="1:10" x14ac:dyDescent="0.25">
      <c r="A3819">
        <v>4324</v>
      </c>
      <c r="B3819" t="s">
        <v>531</v>
      </c>
      <c r="C3819">
        <v>565</v>
      </c>
      <c r="D3819">
        <v>504</v>
      </c>
      <c r="E3819">
        <v>0</v>
      </c>
      <c r="F3819">
        <v>244</v>
      </c>
      <c r="G3819">
        <v>0</v>
      </c>
      <c r="H3819" t="s">
        <v>8744</v>
      </c>
      <c r="I3819">
        <v>4324</v>
      </c>
      <c r="J3819" t="e">
        <f>VLOOKUP(E3819,DSSpieler!A:B,2,FALSE)</f>
        <v>#N/A</v>
      </c>
    </row>
    <row r="3820" spans="1:10" x14ac:dyDescent="0.25">
      <c r="A3820">
        <v>4325</v>
      </c>
      <c r="B3820" t="s">
        <v>531</v>
      </c>
      <c r="C3820">
        <v>463</v>
      </c>
      <c r="D3820">
        <v>462</v>
      </c>
      <c r="E3820">
        <v>0</v>
      </c>
      <c r="F3820">
        <v>304</v>
      </c>
      <c r="G3820">
        <v>0</v>
      </c>
      <c r="H3820" t="s">
        <v>8745</v>
      </c>
      <c r="I3820">
        <v>4325</v>
      </c>
      <c r="J3820" t="e">
        <f>VLOOKUP(E3820,DSSpieler!A:B,2,FALSE)</f>
        <v>#N/A</v>
      </c>
    </row>
    <row r="3821" spans="1:10" x14ac:dyDescent="0.25">
      <c r="A3821">
        <v>4326</v>
      </c>
      <c r="B3821" t="s">
        <v>531</v>
      </c>
      <c r="C3821">
        <v>557</v>
      </c>
      <c r="D3821">
        <v>519</v>
      </c>
      <c r="E3821">
        <v>0</v>
      </c>
      <c r="F3821">
        <v>279</v>
      </c>
      <c r="G3821">
        <v>0</v>
      </c>
      <c r="H3821" t="s">
        <v>8746</v>
      </c>
      <c r="I3821">
        <v>4326</v>
      </c>
      <c r="J3821" t="e">
        <f>VLOOKUP(E3821,DSSpieler!A:B,2,FALSE)</f>
        <v>#N/A</v>
      </c>
    </row>
    <row r="3822" spans="1:10" x14ac:dyDescent="0.25">
      <c r="A3822">
        <v>4327</v>
      </c>
      <c r="B3822" t="s">
        <v>780</v>
      </c>
      <c r="C3822">
        <v>560</v>
      </c>
      <c r="D3822">
        <v>576</v>
      </c>
      <c r="E3822">
        <v>1577197756</v>
      </c>
      <c r="F3822">
        <v>5702</v>
      </c>
      <c r="G3822">
        <v>0</v>
      </c>
      <c r="H3822" t="s">
        <v>8747</v>
      </c>
      <c r="I3822">
        <v>4327</v>
      </c>
      <c r="J3822" t="str">
        <f>VLOOKUP(E3822,DSSpieler!A:B,2,FALSE)</f>
        <v>TyL3R DuRd3N</v>
      </c>
    </row>
    <row r="3823" spans="1:10" x14ac:dyDescent="0.25">
      <c r="A3823">
        <v>4329</v>
      </c>
      <c r="B3823" t="s">
        <v>531</v>
      </c>
      <c r="C3823">
        <v>501</v>
      </c>
      <c r="D3823">
        <v>491</v>
      </c>
      <c r="E3823">
        <v>0</v>
      </c>
      <c r="F3823">
        <v>491</v>
      </c>
      <c r="G3823">
        <v>0</v>
      </c>
      <c r="H3823" t="s">
        <v>8748</v>
      </c>
      <c r="I3823">
        <v>4329</v>
      </c>
      <c r="J3823" t="e">
        <f>VLOOKUP(E3823,DSSpieler!A:B,2,FALSE)</f>
        <v>#N/A</v>
      </c>
    </row>
    <row r="3824" spans="1:10" x14ac:dyDescent="0.25">
      <c r="A3824">
        <v>4330</v>
      </c>
      <c r="B3824" t="s">
        <v>531</v>
      </c>
      <c r="C3824">
        <v>535</v>
      </c>
      <c r="D3824">
        <v>558</v>
      </c>
      <c r="E3824">
        <v>0</v>
      </c>
      <c r="F3824">
        <v>796</v>
      </c>
      <c r="G3824">
        <v>0</v>
      </c>
      <c r="H3824" t="s">
        <v>8749</v>
      </c>
      <c r="I3824">
        <v>4330</v>
      </c>
      <c r="J3824" t="e">
        <f>VLOOKUP(E3824,DSSpieler!A:B,2,FALSE)</f>
        <v>#N/A</v>
      </c>
    </row>
    <row r="3825" spans="1:10" x14ac:dyDescent="0.25">
      <c r="A3825">
        <v>4331</v>
      </c>
      <c r="B3825" t="s">
        <v>32106</v>
      </c>
      <c r="C3825">
        <v>407</v>
      </c>
      <c r="D3825">
        <v>463</v>
      </c>
      <c r="E3825">
        <v>1577180421</v>
      </c>
      <c r="F3825">
        <v>679</v>
      </c>
      <c r="G3825">
        <v>0</v>
      </c>
      <c r="H3825" t="s">
        <v>8750</v>
      </c>
      <c r="I3825">
        <v>4331</v>
      </c>
      <c r="J3825" t="str">
        <f>VLOOKUP(E3825,DSSpieler!A:B,2,FALSE)</f>
        <v>skrival07</v>
      </c>
    </row>
    <row r="3826" spans="1:10" x14ac:dyDescent="0.25">
      <c r="A3826">
        <v>4332</v>
      </c>
      <c r="B3826" t="s">
        <v>150</v>
      </c>
      <c r="C3826">
        <v>460</v>
      </c>
      <c r="D3826">
        <v>465</v>
      </c>
      <c r="E3826">
        <v>10084420</v>
      </c>
      <c r="F3826">
        <v>7356</v>
      </c>
      <c r="G3826">
        <v>0</v>
      </c>
      <c r="H3826" t="s">
        <v>8751</v>
      </c>
      <c r="I3826">
        <v>4332</v>
      </c>
      <c r="J3826" t="str">
        <f>VLOOKUP(E3826,DSSpieler!A:B,2,FALSE)</f>
        <v>Dörfersammler</v>
      </c>
    </row>
    <row r="3827" spans="1:10" x14ac:dyDescent="0.25">
      <c r="A3827">
        <v>4333</v>
      </c>
      <c r="B3827" t="s">
        <v>1257</v>
      </c>
      <c r="C3827">
        <v>522</v>
      </c>
      <c r="D3827">
        <v>485</v>
      </c>
      <c r="E3827">
        <v>10169866</v>
      </c>
      <c r="F3827">
        <v>3559</v>
      </c>
      <c r="G3827">
        <v>0</v>
      </c>
      <c r="H3827" t="s">
        <v>8752</v>
      </c>
      <c r="I3827">
        <v>4333</v>
      </c>
      <c r="J3827" t="str">
        <f>VLOOKUP(E3827,DSSpieler!A:B,2,FALSE)</f>
        <v>kingkong 2013</v>
      </c>
    </row>
    <row r="3828" spans="1:10" x14ac:dyDescent="0.25">
      <c r="A3828">
        <v>4334</v>
      </c>
      <c r="B3828" t="s">
        <v>32107</v>
      </c>
      <c r="C3828">
        <v>427</v>
      </c>
      <c r="D3828">
        <v>536</v>
      </c>
      <c r="E3828">
        <v>1577189119</v>
      </c>
      <c r="F3828">
        <v>1998</v>
      </c>
      <c r="G3828">
        <v>0</v>
      </c>
      <c r="H3828" t="s">
        <v>8753</v>
      </c>
      <c r="I3828">
        <v>4334</v>
      </c>
      <c r="J3828" t="str">
        <f>VLOOKUP(E3828,DSSpieler!A:B,2,FALSE)</f>
        <v>Butterbrezenhannes</v>
      </c>
    </row>
    <row r="3829" spans="1:10" x14ac:dyDescent="0.25">
      <c r="A3829">
        <v>4337</v>
      </c>
      <c r="B3829" t="s">
        <v>1258</v>
      </c>
      <c r="C3829">
        <v>495</v>
      </c>
      <c r="D3829">
        <v>517</v>
      </c>
      <c r="E3829">
        <v>2738358</v>
      </c>
      <c r="F3829">
        <v>3613</v>
      </c>
      <c r="G3829">
        <v>0</v>
      </c>
      <c r="H3829" t="s">
        <v>8754</v>
      </c>
      <c r="I3829">
        <v>4337</v>
      </c>
      <c r="J3829" t="str">
        <f>VLOOKUP(E3829,DSSpieler!A:B,2,FALSE)</f>
        <v>fkhgj</v>
      </c>
    </row>
    <row r="3830" spans="1:10" x14ac:dyDescent="0.25">
      <c r="A3830">
        <v>4338</v>
      </c>
      <c r="B3830" t="s">
        <v>531</v>
      </c>
      <c r="C3830">
        <v>469</v>
      </c>
      <c r="D3830">
        <v>463</v>
      </c>
      <c r="E3830">
        <v>0</v>
      </c>
      <c r="F3830">
        <v>370</v>
      </c>
      <c r="G3830">
        <v>0</v>
      </c>
      <c r="H3830" t="s">
        <v>8755</v>
      </c>
      <c r="I3830">
        <v>4338</v>
      </c>
      <c r="J3830" t="e">
        <f>VLOOKUP(E3830,DSSpieler!A:B,2,FALSE)</f>
        <v>#N/A</v>
      </c>
    </row>
    <row r="3831" spans="1:10" x14ac:dyDescent="0.25">
      <c r="A3831">
        <v>4339</v>
      </c>
      <c r="B3831" t="s">
        <v>1031</v>
      </c>
      <c r="C3831">
        <v>392</v>
      </c>
      <c r="D3831">
        <v>488</v>
      </c>
      <c r="E3831">
        <v>10214231</v>
      </c>
      <c r="F3831">
        <v>3506</v>
      </c>
      <c r="G3831">
        <v>0</v>
      </c>
      <c r="H3831" t="s">
        <v>8756</v>
      </c>
      <c r="I3831">
        <v>4339</v>
      </c>
      <c r="J3831" t="str">
        <f>VLOOKUP(E3831,DSSpieler!A:B,2,FALSE)</f>
        <v>Weizen19</v>
      </c>
    </row>
    <row r="3832" spans="1:10" x14ac:dyDescent="0.25">
      <c r="A3832">
        <v>4340</v>
      </c>
      <c r="B3832" t="s">
        <v>531</v>
      </c>
      <c r="C3832">
        <v>452</v>
      </c>
      <c r="D3832">
        <v>444</v>
      </c>
      <c r="E3832">
        <v>0</v>
      </c>
      <c r="F3832">
        <v>189</v>
      </c>
      <c r="G3832">
        <v>0</v>
      </c>
      <c r="H3832" t="s">
        <v>8757</v>
      </c>
      <c r="I3832">
        <v>4340</v>
      </c>
      <c r="J3832" t="e">
        <f>VLOOKUP(E3832,DSSpieler!A:B,2,FALSE)</f>
        <v>#N/A</v>
      </c>
    </row>
    <row r="3833" spans="1:10" x14ac:dyDescent="0.25">
      <c r="A3833">
        <v>4341</v>
      </c>
      <c r="B3833" t="s">
        <v>31256</v>
      </c>
      <c r="C3833">
        <v>410</v>
      </c>
      <c r="D3833">
        <v>454</v>
      </c>
      <c r="E3833">
        <v>1576703166</v>
      </c>
      <c r="F3833">
        <v>4704</v>
      </c>
      <c r="G3833">
        <v>0</v>
      </c>
      <c r="H3833" t="s">
        <v>8758</v>
      </c>
      <c r="I3833">
        <v>4341</v>
      </c>
      <c r="J3833" t="str">
        <f>VLOOKUP(E3833,DSSpieler!A:B,2,FALSE)</f>
        <v>Brettvormkopp</v>
      </c>
    </row>
    <row r="3834" spans="1:10" x14ac:dyDescent="0.25">
      <c r="A3834">
        <v>4342</v>
      </c>
      <c r="B3834" t="s">
        <v>531</v>
      </c>
      <c r="C3834">
        <v>428</v>
      </c>
      <c r="D3834">
        <v>500</v>
      </c>
      <c r="E3834">
        <v>0</v>
      </c>
      <c r="F3834">
        <v>405</v>
      </c>
      <c r="G3834">
        <v>0</v>
      </c>
      <c r="H3834" t="s">
        <v>8759</v>
      </c>
      <c r="I3834">
        <v>4342</v>
      </c>
      <c r="J3834" t="e">
        <f>VLOOKUP(E3834,DSSpieler!A:B,2,FALSE)</f>
        <v>#N/A</v>
      </c>
    </row>
    <row r="3835" spans="1:10" x14ac:dyDescent="0.25">
      <c r="A3835">
        <v>4343</v>
      </c>
      <c r="B3835" t="s">
        <v>531</v>
      </c>
      <c r="C3835">
        <v>541</v>
      </c>
      <c r="D3835">
        <v>568</v>
      </c>
      <c r="E3835">
        <v>0</v>
      </c>
      <c r="F3835">
        <v>219</v>
      </c>
      <c r="G3835">
        <v>0</v>
      </c>
      <c r="H3835" t="s">
        <v>8760</v>
      </c>
      <c r="I3835">
        <v>4343</v>
      </c>
      <c r="J3835" t="e">
        <f>VLOOKUP(E3835,DSSpieler!A:B,2,FALSE)</f>
        <v>#N/A</v>
      </c>
    </row>
    <row r="3836" spans="1:10" x14ac:dyDescent="0.25">
      <c r="A3836">
        <v>4344</v>
      </c>
      <c r="B3836">
        <v>7</v>
      </c>
      <c r="C3836">
        <v>560</v>
      </c>
      <c r="D3836">
        <v>452</v>
      </c>
      <c r="E3836">
        <v>3479010</v>
      </c>
      <c r="F3836">
        <v>6434</v>
      </c>
      <c r="G3836">
        <v>0</v>
      </c>
      <c r="H3836" t="s">
        <v>8761</v>
      </c>
      <c r="I3836">
        <v>4344</v>
      </c>
      <c r="J3836" t="str">
        <f>VLOOKUP(E3836,DSSpieler!A:B,2,FALSE)</f>
        <v>Lieskauer</v>
      </c>
    </row>
    <row r="3837" spans="1:10" x14ac:dyDescent="0.25">
      <c r="A3837">
        <v>4346</v>
      </c>
      <c r="B3837">
        <v>2</v>
      </c>
      <c r="C3837">
        <v>444</v>
      </c>
      <c r="D3837">
        <v>462</v>
      </c>
      <c r="E3837">
        <v>1576977598</v>
      </c>
      <c r="F3837">
        <v>3254</v>
      </c>
      <c r="G3837">
        <v>0</v>
      </c>
      <c r="H3837" t="s">
        <v>8762</v>
      </c>
      <c r="I3837">
        <v>4346</v>
      </c>
      <c r="J3837" t="str">
        <f>VLOOKUP(E3837,DSSpieler!A:B,2,FALSE)</f>
        <v>locy1900</v>
      </c>
    </row>
    <row r="3838" spans="1:10" x14ac:dyDescent="0.25">
      <c r="A3838">
        <v>4348</v>
      </c>
      <c r="B3838" t="s">
        <v>32108</v>
      </c>
      <c r="C3838">
        <v>456</v>
      </c>
      <c r="D3838">
        <v>491</v>
      </c>
      <c r="E3838">
        <v>9079678</v>
      </c>
      <c r="F3838">
        <v>1077</v>
      </c>
      <c r="G3838">
        <v>0</v>
      </c>
      <c r="H3838" t="s">
        <v>8763</v>
      </c>
      <c r="I3838">
        <v>4348</v>
      </c>
      <c r="J3838" t="str">
        <f>VLOOKUP(E3838,DSSpieler!A:B,2,FALSE)</f>
        <v>Lord Giesen</v>
      </c>
    </row>
    <row r="3839" spans="1:10" x14ac:dyDescent="0.25">
      <c r="A3839">
        <v>4349</v>
      </c>
      <c r="B3839" t="s">
        <v>32109</v>
      </c>
      <c r="C3839">
        <v>554</v>
      </c>
      <c r="D3839">
        <v>526</v>
      </c>
      <c r="E3839">
        <v>1577197427</v>
      </c>
      <c r="F3839">
        <v>5951</v>
      </c>
      <c r="G3839">
        <v>0</v>
      </c>
      <c r="H3839" t="s">
        <v>8764</v>
      </c>
      <c r="I3839">
        <v>4349</v>
      </c>
      <c r="J3839" t="str">
        <f>VLOOKUP(E3839,DSSpieler!A:B,2,FALSE)</f>
        <v>snagghetty</v>
      </c>
    </row>
    <row r="3840" spans="1:10" x14ac:dyDescent="0.25">
      <c r="A3840">
        <v>4350</v>
      </c>
      <c r="B3840" t="s">
        <v>531</v>
      </c>
      <c r="C3840">
        <v>475</v>
      </c>
      <c r="D3840">
        <v>450</v>
      </c>
      <c r="E3840">
        <v>0</v>
      </c>
      <c r="F3840">
        <v>245</v>
      </c>
      <c r="G3840">
        <v>0</v>
      </c>
      <c r="H3840" t="s">
        <v>8765</v>
      </c>
      <c r="I3840">
        <v>4350</v>
      </c>
      <c r="J3840" t="e">
        <f>VLOOKUP(E3840,DSSpieler!A:B,2,FALSE)</f>
        <v>#N/A</v>
      </c>
    </row>
    <row r="3841" spans="1:10" x14ac:dyDescent="0.25">
      <c r="A3841">
        <v>4352</v>
      </c>
      <c r="B3841" t="s">
        <v>32110</v>
      </c>
      <c r="C3841">
        <v>488</v>
      </c>
      <c r="D3841">
        <v>600</v>
      </c>
      <c r="E3841">
        <v>1577196399</v>
      </c>
      <c r="F3841">
        <v>5110</v>
      </c>
      <c r="G3841">
        <v>0</v>
      </c>
      <c r="H3841" t="s">
        <v>8766</v>
      </c>
      <c r="I3841">
        <v>4352</v>
      </c>
      <c r="J3841" t="str">
        <f>VLOOKUP(E3841,DSSpieler!A:B,2,FALSE)</f>
        <v>Stempa20</v>
      </c>
    </row>
    <row r="3842" spans="1:10" x14ac:dyDescent="0.25">
      <c r="A3842">
        <v>4353</v>
      </c>
      <c r="B3842" t="s">
        <v>32111</v>
      </c>
      <c r="C3842">
        <v>427</v>
      </c>
      <c r="D3842">
        <v>579</v>
      </c>
      <c r="E3842">
        <v>10240199</v>
      </c>
      <c r="F3842">
        <v>3063</v>
      </c>
      <c r="G3842">
        <v>0</v>
      </c>
      <c r="H3842" t="s">
        <v>8767</v>
      </c>
      <c r="I3842">
        <v>4353</v>
      </c>
      <c r="J3842" t="str">
        <f>VLOOKUP(E3842,DSSpieler!A:B,2,FALSE)</f>
        <v>J4CzeK</v>
      </c>
    </row>
    <row r="3843" spans="1:10" x14ac:dyDescent="0.25">
      <c r="A3843">
        <v>4354</v>
      </c>
      <c r="B3843" t="s">
        <v>531</v>
      </c>
      <c r="C3843">
        <v>565</v>
      </c>
      <c r="D3843">
        <v>507</v>
      </c>
      <c r="E3843">
        <v>0</v>
      </c>
      <c r="F3843">
        <v>159</v>
      </c>
      <c r="G3843">
        <v>0</v>
      </c>
      <c r="H3843" t="s">
        <v>8768</v>
      </c>
      <c r="I3843">
        <v>4354</v>
      </c>
      <c r="J3843" t="e">
        <f>VLOOKUP(E3843,DSSpieler!A:B,2,FALSE)</f>
        <v>#N/A</v>
      </c>
    </row>
    <row r="3844" spans="1:10" x14ac:dyDescent="0.25">
      <c r="A3844">
        <v>4355</v>
      </c>
      <c r="B3844" t="s">
        <v>827</v>
      </c>
      <c r="C3844">
        <v>494</v>
      </c>
      <c r="D3844">
        <v>473</v>
      </c>
      <c r="E3844">
        <v>1577142577</v>
      </c>
      <c r="F3844">
        <v>1607</v>
      </c>
      <c r="G3844">
        <v>0</v>
      </c>
      <c r="H3844" t="s">
        <v>8769</v>
      </c>
      <c r="I3844">
        <v>4355</v>
      </c>
      <c r="J3844" t="str">
        <f>VLOOKUP(E3844,DSSpieler!A:B,2,FALSE)</f>
        <v>Actionpunzel</v>
      </c>
    </row>
    <row r="3845" spans="1:10" x14ac:dyDescent="0.25">
      <c r="A3845">
        <v>4356</v>
      </c>
      <c r="B3845" t="s">
        <v>32112</v>
      </c>
      <c r="C3845">
        <v>449</v>
      </c>
      <c r="D3845">
        <v>517</v>
      </c>
      <c r="E3845">
        <v>1576870227</v>
      </c>
      <c r="F3845">
        <v>4624</v>
      </c>
      <c r="G3845">
        <v>0</v>
      </c>
      <c r="H3845" t="s">
        <v>8770</v>
      </c>
      <c r="I3845">
        <v>4356</v>
      </c>
      <c r="J3845" t="str">
        <f>VLOOKUP(E3845,DSSpieler!A:B,2,FALSE)</f>
        <v>GREEN.POWER</v>
      </c>
    </row>
    <row r="3846" spans="1:10" x14ac:dyDescent="0.25">
      <c r="A3846">
        <v>4357</v>
      </c>
      <c r="B3846" t="s">
        <v>32113</v>
      </c>
      <c r="C3846">
        <v>514</v>
      </c>
      <c r="D3846">
        <v>429</v>
      </c>
      <c r="E3846">
        <v>1576885647</v>
      </c>
      <c r="F3846">
        <v>2888</v>
      </c>
      <c r="G3846">
        <v>0</v>
      </c>
      <c r="H3846" t="s">
        <v>8771</v>
      </c>
      <c r="I3846">
        <v>4357</v>
      </c>
      <c r="J3846" t="str">
        <f>VLOOKUP(E3846,DSSpieler!A:B,2,FALSE)</f>
        <v>Julliian</v>
      </c>
    </row>
    <row r="3847" spans="1:10" x14ac:dyDescent="0.25">
      <c r="A3847">
        <v>4358</v>
      </c>
      <c r="B3847" t="s">
        <v>531</v>
      </c>
      <c r="C3847">
        <v>423</v>
      </c>
      <c r="D3847">
        <v>513</v>
      </c>
      <c r="E3847">
        <v>0</v>
      </c>
      <c r="F3847">
        <v>405</v>
      </c>
      <c r="G3847">
        <v>0</v>
      </c>
      <c r="H3847" t="s">
        <v>8772</v>
      </c>
      <c r="I3847">
        <v>4358</v>
      </c>
      <c r="J3847" t="e">
        <f>VLOOKUP(E3847,DSSpieler!A:B,2,FALSE)</f>
        <v>#N/A</v>
      </c>
    </row>
    <row r="3848" spans="1:10" x14ac:dyDescent="0.25">
      <c r="A3848">
        <v>4359</v>
      </c>
      <c r="B3848" t="s">
        <v>32114</v>
      </c>
      <c r="C3848">
        <v>417</v>
      </c>
      <c r="D3848">
        <v>540</v>
      </c>
      <c r="E3848">
        <v>1575996788</v>
      </c>
      <c r="F3848">
        <v>8805</v>
      </c>
      <c r="G3848">
        <v>0</v>
      </c>
      <c r="H3848" t="s">
        <v>8773</v>
      </c>
      <c r="I3848">
        <v>4359</v>
      </c>
      <c r="J3848" t="str">
        <f>VLOOKUP(E3848,DSSpieler!A:B,2,FALSE)</f>
        <v>Wolfstter</v>
      </c>
    </row>
    <row r="3849" spans="1:10" x14ac:dyDescent="0.25">
      <c r="A3849">
        <v>4360</v>
      </c>
      <c r="B3849">
        <v>4</v>
      </c>
      <c r="C3849">
        <v>570</v>
      </c>
      <c r="D3849">
        <v>496</v>
      </c>
      <c r="E3849">
        <v>1577197994</v>
      </c>
      <c r="F3849">
        <v>4960</v>
      </c>
      <c r="G3849">
        <v>0</v>
      </c>
      <c r="H3849" t="s">
        <v>8774</v>
      </c>
      <c r="I3849">
        <v>4360</v>
      </c>
      <c r="J3849" t="str">
        <f>VLOOKUP(E3849,DSSpieler!A:B,2,FALSE)</f>
        <v>Spriee</v>
      </c>
    </row>
    <row r="3850" spans="1:10" x14ac:dyDescent="0.25">
      <c r="A3850">
        <v>4361</v>
      </c>
      <c r="B3850" t="s">
        <v>531</v>
      </c>
      <c r="C3850">
        <v>439</v>
      </c>
      <c r="D3850">
        <v>503</v>
      </c>
      <c r="E3850">
        <v>0</v>
      </c>
      <c r="F3850">
        <v>374</v>
      </c>
      <c r="G3850">
        <v>0</v>
      </c>
      <c r="H3850" t="s">
        <v>8775</v>
      </c>
      <c r="I3850">
        <v>4361</v>
      </c>
      <c r="J3850" t="e">
        <f>VLOOKUP(E3850,DSSpieler!A:B,2,FALSE)</f>
        <v>#N/A</v>
      </c>
    </row>
    <row r="3851" spans="1:10" x14ac:dyDescent="0.25">
      <c r="A3851">
        <v>4362</v>
      </c>
      <c r="B3851" t="s">
        <v>32115</v>
      </c>
      <c r="C3851">
        <v>465</v>
      </c>
      <c r="D3851">
        <v>503</v>
      </c>
      <c r="E3851">
        <v>9227861</v>
      </c>
      <c r="F3851">
        <v>5253</v>
      </c>
      <c r="G3851">
        <v>0</v>
      </c>
      <c r="H3851" t="s">
        <v>8776</v>
      </c>
      <c r="I3851">
        <v>4362</v>
      </c>
      <c r="J3851" t="str">
        <f>VLOOKUP(E3851,DSSpieler!A:B,2,FALSE)</f>
        <v>terrorist8</v>
      </c>
    </row>
    <row r="3852" spans="1:10" x14ac:dyDescent="0.25">
      <c r="A3852">
        <v>4363</v>
      </c>
      <c r="B3852" t="s">
        <v>1259</v>
      </c>
      <c r="C3852">
        <v>421</v>
      </c>
      <c r="D3852">
        <v>488</v>
      </c>
      <c r="E3852">
        <v>639</v>
      </c>
      <c r="F3852">
        <v>6481</v>
      </c>
      <c r="G3852">
        <v>0</v>
      </c>
      <c r="H3852" t="s">
        <v>8777</v>
      </c>
      <c r="I3852">
        <v>4363</v>
      </c>
      <c r="J3852" t="str">
        <f>VLOOKUP(E3852,DSSpieler!A:B,2,FALSE)</f>
        <v>Montezuma</v>
      </c>
    </row>
    <row r="3853" spans="1:10" x14ac:dyDescent="0.25">
      <c r="A3853">
        <v>4365</v>
      </c>
      <c r="B3853" t="s">
        <v>531</v>
      </c>
      <c r="C3853">
        <v>466</v>
      </c>
      <c r="D3853">
        <v>458</v>
      </c>
      <c r="E3853">
        <v>0</v>
      </c>
      <c r="F3853">
        <v>354</v>
      </c>
      <c r="G3853">
        <v>0</v>
      </c>
      <c r="H3853" t="s">
        <v>8778</v>
      </c>
      <c r="I3853">
        <v>4365</v>
      </c>
      <c r="J3853" t="e">
        <f>VLOOKUP(E3853,DSSpieler!A:B,2,FALSE)</f>
        <v>#N/A</v>
      </c>
    </row>
    <row r="3854" spans="1:10" x14ac:dyDescent="0.25">
      <c r="A3854">
        <v>4367</v>
      </c>
      <c r="B3854" t="s">
        <v>531</v>
      </c>
      <c r="C3854">
        <v>525</v>
      </c>
      <c r="D3854">
        <v>575</v>
      </c>
      <c r="E3854">
        <v>10099438</v>
      </c>
      <c r="F3854">
        <v>891</v>
      </c>
      <c r="G3854">
        <v>0</v>
      </c>
      <c r="H3854" t="s">
        <v>8779</v>
      </c>
      <c r="I3854">
        <v>4367</v>
      </c>
      <c r="J3854" t="str">
        <f>VLOOKUP(E3854,DSSpieler!A:B,2,FALSE)</f>
        <v>FuSioN87</v>
      </c>
    </row>
    <row r="3855" spans="1:10" x14ac:dyDescent="0.25">
      <c r="A3855">
        <v>4368</v>
      </c>
      <c r="B3855" t="s">
        <v>32116</v>
      </c>
      <c r="C3855">
        <v>399</v>
      </c>
      <c r="D3855">
        <v>522</v>
      </c>
      <c r="E3855">
        <v>9319592</v>
      </c>
      <c r="F3855">
        <v>5589</v>
      </c>
      <c r="G3855">
        <v>0</v>
      </c>
      <c r="H3855" t="s">
        <v>8780</v>
      </c>
      <c r="I3855">
        <v>4368</v>
      </c>
      <c r="J3855" t="str">
        <f>VLOOKUP(E3855,DSSpieler!A:B,2,FALSE)</f>
        <v>DieterVonHinten</v>
      </c>
    </row>
    <row r="3856" spans="1:10" x14ac:dyDescent="0.25">
      <c r="A3856">
        <v>4369</v>
      </c>
      <c r="B3856" t="s">
        <v>531</v>
      </c>
      <c r="C3856">
        <v>448</v>
      </c>
      <c r="D3856">
        <v>459</v>
      </c>
      <c r="E3856">
        <v>1577007804</v>
      </c>
      <c r="F3856">
        <v>3722</v>
      </c>
      <c r="G3856">
        <v>0</v>
      </c>
      <c r="H3856" t="s">
        <v>8781</v>
      </c>
      <c r="I3856">
        <v>4369</v>
      </c>
      <c r="J3856" t="str">
        <f>VLOOKUP(E3856,DSSpieler!A:B,2,FALSE)</f>
        <v>BorussiaFighter</v>
      </c>
    </row>
    <row r="3857" spans="1:10" x14ac:dyDescent="0.25">
      <c r="A3857">
        <v>4370</v>
      </c>
      <c r="B3857" t="s">
        <v>32117</v>
      </c>
      <c r="C3857">
        <v>448</v>
      </c>
      <c r="D3857">
        <v>484</v>
      </c>
      <c r="E3857">
        <v>1577191504</v>
      </c>
      <c r="F3857">
        <v>5098</v>
      </c>
      <c r="G3857">
        <v>0</v>
      </c>
      <c r="H3857" t="s">
        <v>8782</v>
      </c>
      <c r="I3857">
        <v>4370</v>
      </c>
      <c r="J3857" t="str">
        <f>VLOOKUP(E3857,DSSpieler!A:B,2,FALSE)</f>
        <v>alcon</v>
      </c>
    </row>
    <row r="3858" spans="1:10" x14ac:dyDescent="0.25">
      <c r="A3858">
        <v>4371</v>
      </c>
      <c r="B3858" t="s">
        <v>780</v>
      </c>
      <c r="C3858">
        <v>603</v>
      </c>
      <c r="D3858">
        <v>508</v>
      </c>
      <c r="E3858">
        <v>1577177113</v>
      </c>
      <c r="F3858">
        <v>6235</v>
      </c>
      <c r="G3858">
        <v>0</v>
      </c>
      <c r="H3858" t="s">
        <v>8783</v>
      </c>
      <c r="I3858">
        <v>4371</v>
      </c>
      <c r="J3858" t="str">
        <f>VLOOKUP(E3858,DSSpieler!A:B,2,FALSE)</f>
        <v>Bulk Biceps</v>
      </c>
    </row>
    <row r="3859" spans="1:10" x14ac:dyDescent="0.25">
      <c r="A3859">
        <v>4372</v>
      </c>
      <c r="B3859" t="s">
        <v>32118</v>
      </c>
      <c r="C3859">
        <v>470</v>
      </c>
      <c r="D3859">
        <v>455</v>
      </c>
      <c r="E3859">
        <v>3257711</v>
      </c>
      <c r="F3859">
        <v>354</v>
      </c>
      <c r="G3859">
        <v>0</v>
      </c>
      <c r="H3859" t="s">
        <v>8784</v>
      </c>
      <c r="I3859">
        <v>4372</v>
      </c>
      <c r="J3859" t="str">
        <f>VLOOKUP(E3859,DSSpieler!A:B,2,FALSE)</f>
        <v>NAxxxOR</v>
      </c>
    </row>
    <row r="3860" spans="1:10" x14ac:dyDescent="0.25">
      <c r="A3860">
        <v>4373</v>
      </c>
      <c r="B3860" t="s">
        <v>32119</v>
      </c>
      <c r="C3860">
        <v>466</v>
      </c>
      <c r="D3860">
        <v>604</v>
      </c>
      <c r="E3860">
        <v>1576976198</v>
      </c>
      <c r="F3860">
        <v>5722</v>
      </c>
      <c r="G3860">
        <v>0</v>
      </c>
      <c r="H3860" t="s">
        <v>8785</v>
      </c>
      <c r="I3860">
        <v>4373</v>
      </c>
      <c r="J3860" t="str">
        <f>VLOOKUP(E3860,DSSpieler!A:B,2,FALSE)</f>
        <v>Lyrion Tennister</v>
      </c>
    </row>
    <row r="3861" spans="1:10" x14ac:dyDescent="0.25">
      <c r="A3861">
        <v>4374</v>
      </c>
      <c r="B3861" t="s">
        <v>531</v>
      </c>
      <c r="C3861">
        <v>505</v>
      </c>
      <c r="D3861">
        <v>455</v>
      </c>
      <c r="E3861">
        <v>9879935</v>
      </c>
      <c r="F3861">
        <v>1419</v>
      </c>
      <c r="G3861">
        <v>0</v>
      </c>
      <c r="H3861" t="s">
        <v>8786</v>
      </c>
      <c r="I3861">
        <v>4374</v>
      </c>
      <c r="J3861" t="str">
        <f>VLOOKUP(E3861,DSSpieler!A:B,2,FALSE)</f>
        <v>Champp</v>
      </c>
    </row>
    <row r="3862" spans="1:10" x14ac:dyDescent="0.25">
      <c r="A3862">
        <v>4375</v>
      </c>
      <c r="B3862" t="s">
        <v>32120</v>
      </c>
      <c r="C3862">
        <v>543</v>
      </c>
      <c r="D3862">
        <v>417</v>
      </c>
      <c r="E3862">
        <v>2004534</v>
      </c>
      <c r="F3862">
        <v>3755</v>
      </c>
      <c r="G3862">
        <v>0</v>
      </c>
      <c r="H3862" t="s">
        <v>8787</v>
      </c>
      <c r="I3862">
        <v>4375</v>
      </c>
      <c r="J3862" t="str">
        <f>VLOOKUP(E3862,DSSpieler!A:B,2,FALSE)</f>
        <v>RockyRock</v>
      </c>
    </row>
    <row r="3863" spans="1:10" x14ac:dyDescent="0.25">
      <c r="A3863">
        <v>4376</v>
      </c>
      <c r="B3863" t="s">
        <v>32121</v>
      </c>
      <c r="C3863">
        <v>401</v>
      </c>
      <c r="D3863">
        <v>514</v>
      </c>
      <c r="E3863">
        <v>1577159147</v>
      </c>
      <c r="F3863">
        <v>6264</v>
      </c>
      <c r="G3863">
        <v>0</v>
      </c>
      <c r="H3863" t="s">
        <v>8788</v>
      </c>
      <c r="I3863">
        <v>4376</v>
      </c>
      <c r="J3863" t="str">
        <f>VLOOKUP(E3863,DSSpieler!A:B,2,FALSE)</f>
        <v>rallef69</v>
      </c>
    </row>
    <row r="3864" spans="1:10" x14ac:dyDescent="0.25">
      <c r="A3864">
        <v>4377</v>
      </c>
      <c r="B3864" t="s">
        <v>988</v>
      </c>
      <c r="C3864">
        <v>506</v>
      </c>
      <c r="D3864">
        <v>434</v>
      </c>
      <c r="E3864">
        <v>9490545</v>
      </c>
      <c r="F3864">
        <v>3753</v>
      </c>
      <c r="G3864">
        <v>0</v>
      </c>
      <c r="H3864" t="s">
        <v>8789</v>
      </c>
      <c r="I3864">
        <v>4377</v>
      </c>
      <c r="J3864" t="str">
        <f>VLOOKUP(E3864,DSSpieler!A:B,2,FALSE)</f>
        <v>Verräterus 2</v>
      </c>
    </row>
    <row r="3865" spans="1:10" x14ac:dyDescent="0.25">
      <c r="A3865">
        <v>4378</v>
      </c>
      <c r="B3865" t="s">
        <v>32122</v>
      </c>
      <c r="C3865">
        <v>536</v>
      </c>
      <c r="D3865">
        <v>435</v>
      </c>
      <c r="E3865">
        <v>1577197828</v>
      </c>
      <c r="F3865">
        <v>5464</v>
      </c>
      <c r="G3865">
        <v>0</v>
      </c>
      <c r="H3865" t="s">
        <v>8790</v>
      </c>
      <c r="I3865">
        <v>4378</v>
      </c>
      <c r="J3865" t="str">
        <f>VLOOKUP(E3865,DSSpieler!A:B,2,FALSE)</f>
        <v>pewpew2000</v>
      </c>
    </row>
    <row r="3866" spans="1:10" x14ac:dyDescent="0.25">
      <c r="A3866">
        <v>4379</v>
      </c>
      <c r="B3866" t="s">
        <v>32123</v>
      </c>
      <c r="C3866">
        <v>410</v>
      </c>
      <c r="D3866">
        <v>514</v>
      </c>
      <c r="E3866">
        <v>1577180918</v>
      </c>
      <c r="F3866">
        <v>6038</v>
      </c>
      <c r="G3866">
        <v>0</v>
      </c>
      <c r="H3866" t="s">
        <v>8791</v>
      </c>
      <c r="I3866">
        <v>4379</v>
      </c>
      <c r="J3866" t="str">
        <f>VLOOKUP(E3866,DSSpieler!A:B,2,FALSE)</f>
        <v>Elaysia</v>
      </c>
    </row>
    <row r="3867" spans="1:10" x14ac:dyDescent="0.25">
      <c r="A3867">
        <v>4380</v>
      </c>
      <c r="B3867" t="s">
        <v>531</v>
      </c>
      <c r="C3867">
        <v>521</v>
      </c>
      <c r="D3867">
        <v>576</v>
      </c>
      <c r="E3867">
        <v>0</v>
      </c>
      <c r="F3867">
        <v>436</v>
      </c>
      <c r="G3867">
        <v>0</v>
      </c>
      <c r="H3867" t="s">
        <v>8792</v>
      </c>
      <c r="I3867">
        <v>4380</v>
      </c>
      <c r="J3867" t="e">
        <f>VLOOKUP(E3867,DSSpieler!A:B,2,FALSE)</f>
        <v>#N/A</v>
      </c>
    </row>
    <row r="3868" spans="1:10" x14ac:dyDescent="0.25">
      <c r="A3868">
        <v>4382</v>
      </c>
      <c r="B3868" t="s">
        <v>1260</v>
      </c>
      <c r="C3868">
        <v>405</v>
      </c>
      <c r="D3868">
        <v>519</v>
      </c>
      <c r="E3868">
        <v>1577164313</v>
      </c>
      <c r="F3868">
        <v>6467</v>
      </c>
      <c r="G3868">
        <v>0</v>
      </c>
      <c r="H3868" t="s">
        <v>8793</v>
      </c>
      <c r="I3868">
        <v>4382</v>
      </c>
      <c r="J3868" t="str">
        <f>VLOOKUP(E3868,DSSpieler!A:B,2,FALSE)</f>
        <v>plp51</v>
      </c>
    </row>
    <row r="3869" spans="1:10" x14ac:dyDescent="0.25">
      <c r="A3869">
        <v>4383</v>
      </c>
      <c r="B3869" t="s">
        <v>1261</v>
      </c>
      <c r="C3869">
        <v>449</v>
      </c>
      <c r="D3869">
        <v>560</v>
      </c>
      <c r="E3869">
        <v>1577197803</v>
      </c>
      <c r="F3869">
        <v>5385</v>
      </c>
      <c r="G3869">
        <v>0</v>
      </c>
      <c r="H3869" t="s">
        <v>8794</v>
      </c>
      <c r="I3869">
        <v>4383</v>
      </c>
      <c r="J3869" t="str">
        <f>VLOOKUP(E3869,DSSpieler!A:B,2,FALSE)</f>
        <v>Jasnik</v>
      </c>
    </row>
    <row r="3870" spans="1:10" x14ac:dyDescent="0.25">
      <c r="A3870">
        <v>4384</v>
      </c>
      <c r="B3870" t="s">
        <v>32124</v>
      </c>
      <c r="C3870">
        <v>451</v>
      </c>
      <c r="D3870">
        <v>444</v>
      </c>
      <c r="E3870">
        <v>1946237</v>
      </c>
      <c r="F3870">
        <v>4732</v>
      </c>
      <c r="G3870">
        <v>0</v>
      </c>
      <c r="H3870" t="s">
        <v>8795</v>
      </c>
      <c r="I3870">
        <v>4384</v>
      </c>
      <c r="J3870" t="str">
        <f>VLOOKUP(E3870,DSSpieler!A:B,2,FALSE)</f>
        <v>dedlacrio</v>
      </c>
    </row>
    <row r="3871" spans="1:10" x14ac:dyDescent="0.25">
      <c r="A3871">
        <v>4385</v>
      </c>
      <c r="B3871" t="s">
        <v>531</v>
      </c>
      <c r="C3871">
        <v>487</v>
      </c>
      <c r="D3871">
        <v>573</v>
      </c>
      <c r="E3871">
        <v>0</v>
      </c>
      <c r="F3871">
        <v>394</v>
      </c>
      <c r="G3871">
        <v>0</v>
      </c>
      <c r="H3871" t="s">
        <v>8796</v>
      </c>
      <c r="I3871">
        <v>4385</v>
      </c>
      <c r="J3871" t="e">
        <f>VLOOKUP(E3871,DSSpieler!A:B,2,FALSE)</f>
        <v>#N/A</v>
      </c>
    </row>
    <row r="3872" spans="1:10" x14ac:dyDescent="0.25">
      <c r="A3872">
        <v>4386</v>
      </c>
      <c r="B3872" t="s">
        <v>31446</v>
      </c>
      <c r="C3872">
        <v>395</v>
      </c>
      <c r="D3872">
        <v>517</v>
      </c>
      <c r="E3872">
        <v>1667196</v>
      </c>
      <c r="F3872">
        <v>5869</v>
      </c>
      <c r="G3872">
        <v>0</v>
      </c>
      <c r="H3872" t="s">
        <v>8797</v>
      </c>
      <c r="I3872">
        <v>4386</v>
      </c>
      <c r="J3872" t="str">
        <f>VLOOKUP(E3872,DSSpieler!A:B,2,FALSE)</f>
        <v>love.machine</v>
      </c>
    </row>
    <row r="3873" spans="1:10" x14ac:dyDescent="0.25">
      <c r="A3873">
        <v>4389</v>
      </c>
      <c r="B3873" t="s">
        <v>531</v>
      </c>
      <c r="C3873">
        <v>512</v>
      </c>
      <c r="D3873">
        <v>560</v>
      </c>
      <c r="E3873">
        <v>0</v>
      </c>
      <c r="F3873">
        <v>330</v>
      </c>
      <c r="G3873">
        <v>0</v>
      </c>
      <c r="H3873" t="s">
        <v>8798</v>
      </c>
      <c r="I3873">
        <v>4389</v>
      </c>
      <c r="J3873" t="e">
        <f>VLOOKUP(E3873,DSSpieler!A:B,2,FALSE)</f>
        <v>#N/A</v>
      </c>
    </row>
    <row r="3874" spans="1:10" x14ac:dyDescent="0.25">
      <c r="A3874">
        <v>4390</v>
      </c>
      <c r="B3874" t="s">
        <v>30857</v>
      </c>
      <c r="C3874">
        <v>415</v>
      </c>
      <c r="D3874">
        <v>547</v>
      </c>
      <c r="E3874">
        <v>1577183380</v>
      </c>
      <c r="F3874">
        <v>7434</v>
      </c>
      <c r="G3874">
        <v>0</v>
      </c>
      <c r="H3874" t="s">
        <v>8799</v>
      </c>
      <c r="I3874">
        <v>4390</v>
      </c>
      <c r="J3874" t="str">
        <f>VLOOKUP(E3874,DSSpieler!A:B,2,FALSE)</f>
        <v>AntikerPro</v>
      </c>
    </row>
    <row r="3875" spans="1:10" x14ac:dyDescent="0.25">
      <c r="A3875">
        <v>4391</v>
      </c>
      <c r="B3875" t="s">
        <v>32126</v>
      </c>
      <c r="C3875">
        <v>608</v>
      </c>
      <c r="D3875">
        <v>486</v>
      </c>
      <c r="E3875">
        <v>1577186212</v>
      </c>
      <c r="F3875">
        <v>4811</v>
      </c>
      <c r="G3875">
        <v>0</v>
      </c>
      <c r="H3875" t="s">
        <v>8800</v>
      </c>
      <c r="I3875">
        <v>4391</v>
      </c>
      <c r="J3875" t="str">
        <f>VLOOKUP(E3875,DSSpieler!A:B,2,FALSE)</f>
        <v>HateMyName</v>
      </c>
    </row>
    <row r="3876" spans="1:10" x14ac:dyDescent="0.25">
      <c r="A3876">
        <v>4392</v>
      </c>
      <c r="B3876" t="s">
        <v>32127</v>
      </c>
      <c r="C3876">
        <v>524</v>
      </c>
      <c r="D3876">
        <v>421</v>
      </c>
      <c r="E3876">
        <v>1577197838</v>
      </c>
      <c r="F3876">
        <v>4470</v>
      </c>
      <c r="G3876">
        <v>0</v>
      </c>
      <c r="H3876" t="s">
        <v>8801</v>
      </c>
      <c r="I3876">
        <v>4392</v>
      </c>
      <c r="J3876" t="str">
        <f>VLOOKUP(E3876,DSSpieler!A:B,2,FALSE)</f>
        <v>SM69</v>
      </c>
    </row>
    <row r="3877" spans="1:10" x14ac:dyDescent="0.25">
      <c r="A3877">
        <v>4393</v>
      </c>
      <c r="B3877" t="s">
        <v>531</v>
      </c>
      <c r="C3877">
        <v>464</v>
      </c>
      <c r="D3877">
        <v>544</v>
      </c>
      <c r="E3877">
        <v>0</v>
      </c>
      <c r="F3877">
        <v>669</v>
      </c>
      <c r="G3877">
        <v>0</v>
      </c>
      <c r="H3877" t="s">
        <v>8802</v>
      </c>
      <c r="I3877">
        <v>4393</v>
      </c>
      <c r="J3877" t="e">
        <f>VLOOKUP(E3877,DSSpieler!A:B,2,FALSE)</f>
        <v>#N/A</v>
      </c>
    </row>
    <row r="3878" spans="1:10" x14ac:dyDescent="0.25">
      <c r="A3878">
        <v>4394</v>
      </c>
      <c r="B3878" t="s">
        <v>32128</v>
      </c>
      <c r="C3878">
        <v>465</v>
      </c>
      <c r="D3878">
        <v>531</v>
      </c>
      <c r="E3878">
        <v>1577185970</v>
      </c>
      <c r="F3878">
        <v>8857</v>
      </c>
      <c r="G3878">
        <v>0</v>
      </c>
      <c r="H3878" t="s">
        <v>8803</v>
      </c>
      <c r="I3878">
        <v>4394</v>
      </c>
      <c r="J3878" t="str">
        <f>VLOOKUP(E3878,DSSpieler!A:B,2,FALSE)</f>
        <v>Lord Kaktus</v>
      </c>
    </row>
    <row r="3879" spans="1:10" x14ac:dyDescent="0.25">
      <c r="A3879">
        <v>4395</v>
      </c>
      <c r="B3879" t="e">
        <f>-agathe+feeling</f>
        <v>#NAME?</v>
      </c>
      <c r="C3879">
        <v>463</v>
      </c>
      <c r="D3879">
        <v>469</v>
      </c>
      <c r="E3879">
        <v>1577187756</v>
      </c>
      <c r="F3879">
        <v>7949</v>
      </c>
      <c r="G3879">
        <v>0</v>
      </c>
      <c r="H3879" t="s">
        <v>8804</v>
      </c>
      <c r="I3879">
        <v>4395</v>
      </c>
      <c r="J3879" t="str">
        <f>VLOOKUP(E3879,DSSpieler!A:B,2,FALSE)</f>
        <v>xmagical5</v>
      </c>
    </row>
    <row r="3880" spans="1:10" x14ac:dyDescent="0.25">
      <c r="A3880">
        <v>4396</v>
      </c>
      <c r="B3880" t="s">
        <v>546</v>
      </c>
      <c r="C3880">
        <v>505</v>
      </c>
      <c r="D3880">
        <v>477</v>
      </c>
      <c r="E3880">
        <v>1577197597</v>
      </c>
      <c r="F3880">
        <v>4252</v>
      </c>
      <c r="G3880">
        <v>0</v>
      </c>
      <c r="H3880" t="s">
        <v>8805</v>
      </c>
      <c r="I3880">
        <v>4396</v>
      </c>
      <c r="J3880" t="str">
        <f>VLOOKUP(E3880,DSSpieler!A:B,2,FALSE)</f>
        <v>Jimi30</v>
      </c>
    </row>
    <row r="3881" spans="1:10" x14ac:dyDescent="0.25">
      <c r="A3881">
        <v>4397</v>
      </c>
      <c r="B3881" t="s">
        <v>531</v>
      </c>
      <c r="C3881">
        <v>453</v>
      </c>
      <c r="D3881">
        <v>458</v>
      </c>
      <c r="E3881">
        <v>0</v>
      </c>
      <c r="F3881">
        <v>430</v>
      </c>
      <c r="G3881">
        <v>0</v>
      </c>
      <c r="H3881" t="s">
        <v>8806</v>
      </c>
      <c r="I3881">
        <v>4397</v>
      </c>
      <c r="J3881" t="e">
        <f>VLOOKUP(E3881,DSSpieler!A:B,2,FALSE)</f>
        <v>#N/A</v>
      </c>
    </row>
    <row r="3882" spans="1:10" x14ac:dyDescent="0.25">
      <c r="A3882">
        <v>4398</v>
      </c>
      <c r="B3882" t="s">
        <v>1262</v>
      </c>
      <c r="C3882">
        <v>468</v>
      </c>
      <c r="D3882">
        <v>558</v>
      </c>
      <c r="E3882">
        <v>2639534</v>
      </c>
      <c r="F3882">
        <v>4111</v>
      </c>
      <c r="G3882">
        <v>0</v>
      </c>
      <c r="H3882" t="s">
        <v>8807</v>
      </c>
      <c r="I3882">
        <v>4398</v>
      </c>
      <c r="J3882" t="str">
        <f>VLOOKUP(E3882,DSSpieler!A:B,2,FALSE)</f>
        <v>Wastl 44</v>
      </c>
    </row>
    <row r="3883" spans="1:10" x14ac:dyDescent="0.25">
      <c r="A3883">
        <v>4399</v>
      </c>
      <c r="B3883" t="s">
        <v>1263</v>
      </c>
      <c r="C3883">
        <v>484</v>
      </c>
      <c r="D3883">
        <v>407</v>
      </c>
      <c r="E3883">
        <v>1577091894</v>
      </c>
      <c r="F3883">
        <v>3354</v>
      </c>
      <c r="G3883">
        <v>0</v>
      </c>
      <c r="H3883" t="s">
        <v>8808</v>
      </c>
      <c r="I3883">
        <v>4399</v>
      </c>
      <c r="J3883" t="str">
        <f>VLOOKUP(E3883,DSSpieler!A:B,2,FALSE)</f>
        <v>Nord3n88</v>
      </c>
    </row>
    <row r="3884" spans="1:10" x14ac:dyDescent="0.25">
      <c r="A3884">
        <v>4401</v>
      </c>
      <c r="B3884" t="s">
        <v>673</v>
      </c>
      <c r="C3884">
        <v>396</v>
      </c>
      <c r="D3884">
        <v>498</v>
      </c>
      <c r="E3884">
        <v>1577097018</v>
      </c>
      <c r="F3884">
        <v>6102</v>
      </c>
      <c r="G3884">
        <v>0</v>
      </c>
      <c r="H3884" t="s">
        <v>8809</v>
      </c>
      <c r="I3884">
        <v>4401</v>
      </c>
      <c r="J3884" t="str">
        <f>VLOOKUP(E3884,DSSpieler!A:B,2,FALSE)</f>
        <v>DerderohneRammenkommt</v>
      </c>
    </row>
    <row r="3885" spans="1:10" x14ac:dyDescent="0.25">
      <c r="A3885">
        <v>4402</v>
      </c>
      <c r="B3885" t="s">
        <v>531</v>
      </c>
      <c r="C3885">
        <v>528</v>
      </c>
      <c r="D3885">
        <v>563</v>
      </c>
      <c r="E3885">
        <v>0</v>
      </c>
      <c r="F3885">
        <v>376</v>
      </c>
      <c r="G3885">
        <v>0</v>
      </c>
      <c r="H3885" t="s">
        <v>8810</v>
      </c>
      <c r="I3885">
        <v>4402</v>
      </c>
      <c r="J3885" t="e">
        <f>VLOOKUP(E3885,DSSpieler!A:B,2,FALSE)</f>
        <v>#N/A</v>
      </c>
    </row>
    <row r="3886" spans="1:10" x14ac:dyDescent="0.25">
      <c r="A3886">
        <v>4403</v>
      </c>
      <c r="B3886" t="s">
        <v>531</v>
      </c>
      <c r="C3886">
        <v>528</v>
      </c>
      <c r="D3886">
        <v>546</v>
      </c>
      <c r="E3886">
        <v>0</v>
      </c>
      <c r="F3886">
        <v>182</v>
      </c>
      <c r="G3886">
        <v>0</v>
      </c>
      <c r="H3886" t="s">
        <v>8811</v>
      </c>
      <c r="I3886">
        <v>4403</v>
      </c>
      <c r="J3886" t="e">
        <f>VLOOKUP(E3886,DSSpieler!A:B,2,FALSE)</f>
        <v>#N/A</v>
      </c>
    </row>
    <row r="3887" spans="1:10" x14ac:dyDescent="0.25">
      <c r="A3887">
        <v>4404</v>
      </c>
      <c r="B3887" t="s">
        <v>32129</v>
      </c>
      <c r="C3887">
        <v>565</v>
      </c>
      <c r="D3887">
        <v>530</v>
      </c>
      <c r="E3887">
        <v>1576926576</v>
      </c>
      <c r="F3887">
        <v>2503</v>
      </c>
      <c r="G3887">
        <v>0</v>
      </c>
      <c r="H3887" t="s">
        <v>8812</v>
      </c>
      <c r="I3887">
        <v>4404</v>
      </c>
      <c r="J3887" t="str">
        <f>VLOOKUP(E3887,DSSpieler!A:B,2,FALSE)</f>
        <v>Munin*</v>
      </c>
    </row>
    <row r="3888" spans="1:10" x14ac:dyDescent="0.25">
      <c r="A3888">
        <v>4405</v>
      </c>
      <c r="B3888" t="s">
        <v>1264</v>
      </c>
      <c r="C3888">
        <v>592</v>
      </c>
      <c r="D3888">
        <v>466</v>
      </c>
      <c r="E3888">
        <v>1577197668</v>
      </c>
      <c r="F3888">
        <v>3155</v>
      </c>
      <c r="G3888">
        <v>0</v>
      </c>
      <c r="H3888" t="s">
        <v>8813</v>
      </c>
      <c r="I3888">
        <v>4405</v>
      </c>
      <c r="J3888" t="str">
        <f>VLOOKUP(E3888,DSSpieler!A:B,2,FALSE)</f>
        <v>wuRsTwErfeR</v>
      </c>
    </row>
    <row r="3889" spans="1:10" x14ac:dyDescent="0.25">
      <c r="A3889">
        <v>4406</v>
      </c>
      <c r="B3889" t="s">
        <v>531</v>
      </c>
      <c r="C3889">
        <v>481</v>
      </c>
      <c r="D3889">
        <v>494</v>
      </c>
      <c r="E3889">
        <v>0</v>
      </c>
      <c r="F3889">
        <v>288</v>
      </c>
      <c r="G3889">
        <v>0</v>
      </c>
      <c r="H3889" t="s">
        <v>8814</v>
      </c>
      <c r="I3889">
        <v>4406</v>
      </c>
      <c r="J3889" t="e">
        <f>VLOOKUP(E3889,DSSpieler!A:B,2,FALSE)</f>
        <v>#N/A</v>
      </c>
    </row>
    <row r="3890" spans="1:10" x14ac:dyDescent="0.25">
      <c r="A3890">
        <v>4407</v>
      </c>
      <c r="B3890" t="s">
        <v>1265</v>
      </c>
      <c r="C3890">
        <v>516</v>
      </c>
      <c r="D3890">
        <v>523</v>
      </c>
      <c r="E3890">
        <v>1577184058</v>
      </c>
      <c r="F3890">
        <v>6778</v>
      </c>
      <c r="G3890">
        <v>0</v>
      </c>
      <c r="H3890" t="s">
        <v>8815</v>
      </c>
      <c r="I3890">
        <v>4407</v>
      </c>
      <c r="J3890" t="str">
        <f>VLOOKUP(E3890,DSSpieler!A:B,2,FALSE)</f>
        <v>Cpt-Mike</v>
      </c>
    </row>
    <row r="3891" spans="1:10" x14ac:dyDescent="0.25">
      <c r="A3891">
        <v>4408</v>
      </c>
      <c r="B3891" t="s">
        <v>531</v>
      </c>
      <c r="C3891">
        <v>575</v>
      </c>
      <c r="D3891">
        <v>461</v>
      </c>
      <c r="E3891">
        <v>10080535</v>
      </c>
      <c r="F3891">
        <v>1740</v>
      </c>
      <c r="G3891">
        <v>0</v>
      </c>
      <c r="H3891" t="s">
        <v>8816</v>
      </c>
      <c r="I3891">
        <v>4408</v>
      </c>
      <c r="J3891" t="str">
        <f>VLOOKUP(E3891,DSSpieler!A:B,2,FALSE)</f>
        <v>Zakumii</v>
      </c>
    </row>
    <row r="3892" spans="1:10" x14ac:dyDescent="0.25">
      <c r="A3892">
        <v>4410</v>
      </c>
      <c r="B3892" t="s">
        <v>32130</v>
      </c>
      <c r="C3892">
        <v>501</v>
      </c>
      <c r="D3892">
        <v>548</v>
      </c>
      <c r="E3892">
        <v>1577196116</v>
      </c>
      <c r="F3892">
        <v>5613</v>
      </c>
      <c r="G3892">
        <v>0</v>
      </c>
      <c r="H3892" t="s">
        <v>8817</v>
      </c>
      <c r="I3892">
        <v>4410</v>
      </c>
      <c r="J3892" t="str">
        <f>VLOOKUP(E3892,DSSpieler!A:B,2,FALSE)</f>
        <v>Kinglu-N</v>
      </c>
    </row>
    <row r="3893" spans="1:10" x14ac:dyDescent="0.25">
      <c r="A3893">
        <v>4411</v>
      </c>
      <c r="B3893" t="s">
        <v>32131</v>
      </c>
      <c r="C3893">
        <v>433</v>
      </c>
      <c r="D3893">
        <v>497</v>
      </c>
      <c r="E3893">
        <v>1576975878</v>
      </c>
      <c r="F3893">
        <v>4908</v>
      </c>
      <c r="G3893">
        <v>0</v>
      </c>
      <c r="H3893" t="s">
        <v>8818</v>
      </c>
      <c r="I3893">
        <v>4411</v>
      </c>
      <c r="J3893" t="str">
        <f>VLOOKUP(E3893,DSSpieler!A:B,2,FALSE)</f>
        <v>xMaXiMuSx</v>
      </c>
    </row>
    <row r="3894" spans="1:10" x14ac:dyDescent="0.25">
      <c r="A3894">
        <v>4412</v>
      </c>
      <c r="B3894" t="s">
        <v>32132</v>
      </c>
      <c r="C3894">
        <v>417</v>
      </c>
      <c r="D3894">
        <v>532</v>
      </c>
      <c r="E3894">
        <v>10124100</v>
      </c>
      <c r="F3894">
        <v>6256</v>
      </c>
      <c r="G3894">
        <v>0</v>
      </c>
      <c r="H3894" t="s">
        <v>8819</v>
      </c>
      <c r="I3894">
        <v>4412</v>
      </c>
      <c r="J3894" t="str">
        <f>VLOOKUP(E3894,DSSpieler!A:B,2,FALSE)</f>
        <v>SourScr3am</v>
      </c>
    </row>
    <row r="3895" spans="1:10" x14ac:dyDescent="0.25">
      <c r="A3895">
        <v>4413</v>
      </c>
      <c r="B3895" t="s">
        <v>32133</v>
      </c>
      <c r="C3895">
        <v>405</v>
      </c>
      <c r="D3895">
        <v>527</v>
      </c>
      <c r="E3895">
        <v>1577149855</v>
      </c>
      <c r="F3895">
        <v>4860</v>
      </c>
      <c r="G3895">
        <v>0</v>
      </c>
      <c r="H3895" t="s">
        <v>8820</v>
      </c>
      <c r="I3895">
        <v>4413</v>
      </c>
      <c r="J3895" t="str">
        <f>VLOOKUP(E3895,DSSpieler!A:B,2,FALSE)</f>
        <v>Flo1995</v>
      </c>
    </row>
    <row r="3896" spans="1:10" x14ac:dyDescent="0.25">
      <c r="A3896">
        <v>4414</v>
      </c>
      <c r="B3896">
        <v>3</v>
      </c>
      <c r="C3896">
        <v>460</v>
      </c>
      <c r="D3896">
        <v>494</v>
      </c>
      <c r="E3896">
        <v>1577193169</v>
      </c>
      <c r="F3896">
        <v>4108</v>
      </c>
      <c r="G3896">
        <v>0</v>
      </c>
      <c r="H3896" t="s">
        <v>8821</v>
      </c>
      <c r="I3896">
        <v>4414</v>
      </c>
      <c r="J3896" t="str">
        <f>VLOOKUP(E3896,DSSpieler!A:B,2,FALSE)</f>
        <v>Ederson10</v>
      </c>
    </row>
    <row r="3897" spans="1:10" x14ac:dyDescent="0.25">
      <c r="A3897">
        <v>4415</v>
      </c>
      <c r="B3897" t="s">
        <v>732</v>
      </c>
      <c r="C3897">
        <v>548</v>
      </c>
      <c r="D3897">
        <v>510</v>
      </c>
      <c r="E3897">
        <v>1577179568</v>
      </c>
      <c r="F3897">
        <v>6840</v>
      </c>
      <c r="G3897">
        <v>0</v>
      </c>
      <c r="H3897" t="s">
        <v>8822</v>
      </c>
      <c r="I3897">
        <v>4415</v>
      </c>
      <c r="J3897" t="str">
        <f>VLOOKUP(E3897,DSSpieler!A:B,2,FALSE)</f>
        <v>Bienhardson</v>
      </c>
    </row>
    <row r="3898" spans="1:10" x14ac:dyDescent="0.25">
      <c r="A3898">
        <v>4416</v>
      </c>
      <c r="B3898" t="e">
        <f>-DEFF4-+IchMagBrianGriffin</f>
        <v>#NAME?</v>
      </c>
      <c r="C3898">
        <v>478</v>
      </c>
      <c r="D3898">
        <v>428</v>
      </c>
      <c r="E3898">
        <v>1577195942</v>
      </c>
      <c r="F3898">
        <v>6215</v>
      </c>
      <c r="G3898">
        <v>0</v>
      </c>
      <c r="H3898" t="s">
        <v>8823</v>
      </c>
      <c r="I3898">
        <v>4416</v>
      </c>
      <c r="J3898" t="str">
        <f>VLOOKUP(E3898,DSSpieler!A:B,2,FALSE)</f>
        <v>Oxiro</v>
      </c>
    </row>
    <row r="3899" spans="1:10" x14ac:dyDescent="0.25">
      <c r="A3899">
        <v>4417</v>
      </c>
      <c r="B3899" t="s">
        <v>32134</v>
      </c>
      <c r="C3899">
        <v>474</v>
      </c>
      <c r="D3899">
        <v>434</v>
      </c>
      <c r="E3899">
        <v>135780</v>
      </c>
      <c r="F3899">
        <v>7036</v>
      </c>
      <c r="G3899">
        <v>0</v>
      </c>
      <c r="H3899" t="s">
        <v>8824</v>
      </c>
      <c r="I3899">
        <v>4417</v>
      </c>
      <c r="J3899" t="str">
        <f>VLOOKUP(E3899,DSSpieler!A:B,2,FALSE)</f>
        <v>Master Magic</v>
      </c>
    </row>
    <row r="3900" spans="1:10" x14ac:dyDescent="0.25">
      <c r="A3900">
        <v>4418</v>
      </c>
      <c r="B3900">
        <v>1</v>
      </c>
      <c r="C3900">
        <v>527</v>
      </c>
      <c r="D3900">
        <v>422</v>
      </c>
      <c r="E3900">
        <v>1576975968</v>
      </c>
      <c r="F3900">
        <v>7620</v>
      </c>
      <c r="G3900">
        <v>0</v>
      </c>
      <c r="H3900" t="s">
        <v>8825</v>
      </c>
      <c r="I3900">
        <v>4418</v>
      </c>
      <c r="J3900" t="str">
        <f>VLOOKUP(E3900,DSSpieler!A:B,2,FALSE)</f>
        <v>Sir Meldor</v>
      </c>
    </row>
    <row r="3901" spans="1:10" x14ac:dyDescent="0.25">
      <c r="A3901">
        <v>4420</v>
      </c>
      <c r="B3901" t="s">
        <v>32135</v>
      </c>
      <c r="C3901">
        <v>527</v>
      </c>
      <c r="D3901">
        <v>412</v>
      </c>
      <c r="E3901">
        <v>1577141738</v>
      </c>
      <c r="F3901">
        <v>4638</v>
      </c>
      <c r="G3901">
        <v>0</v>
      </c>
      <c r="H3901" t="s">
        <v>8826</v>
      </c>
      <c r="I3901">
        <v>4420</v>
      </c>
      <c r="J3901" t="str">
        <f>VLOOKUP(E3901,DSSpieler!A:B,2,FALSE)</f>
        <v>Knoten</v>
      </c>
    </row>
    <row r="3902" spans="1:10" x14ac:dyDescent="0.25">
      <c r="A3902">
        <v>4421</v>
      </c>
      <c r="B3902" t="s">
        <v>1266</v>
      </c>
      <c r="C3902">
        <v>479</v>
      </c>
      <c r="D3902">
        <v>501</v>
      </c>
      <c r="E3902">
        <v>1577197836</v>
      </c>
      <c r="F3902">
        <v>7242</v>
      </c>
      <c r="G3902">
        <v>0</v>
      </c>
      <c r="H3902" t="s">
        <v>8827</v>
      </c>
      <c r="I3902">
        <v>4421</v>
      </c>
      <c r="J3902" t="str">
        <f>VLOOKUP(E3902,DSSpieler!A:B,2,FALSE)</f>
        <v>xray66629</v>
      </c>
    </row>
    <row r="3903" spans="1:10" x14ac:dyDescent="0.25">
      <c r="A3903">
        <v>4422</v>
      </c>
      <c r="B3903" t="s">
        <v>531</v>
      </c>
      <c r="C3903">
        <v>547</v>
      </c>
      <c r="D3903">
        <v>468</v>
      </c>
      <c r="E3903">
        <v>0</v>
      </c>
      <c r="F3903">
        <v>455</v>
      </c>
      <c r="G3903">
        <v>0</v>
      </c>
      <c r="H3903" t="s">
        <v>8828</v>
      </c>
      <c r="I3903">
        <v>4422</v>
      </c>
      <c r="J3903" t="e">
        <f>VLOOKUP(E3903,DSSpieler!A:B,2,FALSE)</f>
        <v>#N/A</v>
      </c>
    </row>
    <row r="3904" spans="1:10" x14ac:dyDescent="0.25">
      <c r="A3904">
        <v>4424</v>
      </c>
      <c r="B3904" t="s">
        <v>1267</v>
      </c>
      <c r="C3904">
        <v>433</v>
      </c>
      <c r="D3904">
        <v>448</v>
      </c>
      <c r="E3904">
        <v>3225442</v>
      </c>
      <c r="F3904">
        <v>4547</v>
      </c>
      <c r="G3904">
        <v>0</v>
      </c>
      <c r="H3904" t="s">
        <v>8829</v>
      </c>
      <c r="I3904">
        <v>4424</v>
      </c>
      <c r="J3904" t="str">
        <f>VLOOKUP(E3904,DSSpieler!A:B,2,FALSE)</f>
        <v>Halsbandleguan</v>
      </c>
    </row>
    <row r="3905" spans="1:10" x14ac:dyDescent="0.25">
      <c r="A3905">
        <v>4425</v>
      </c>
      <c r="B3905" t="s">
        <v>32136</v>
      </c>
      <c r="C3905">
        <v>458</v>
      </c>
      <c r="D3905">
        <v>431</v>
      </c>
      <c r="E3905">
        <v>1577197767</v>
      </c>
      <c r="F3905">
        <v>2662</v>
      </c>
      <c r="G3905">
        <v>0</v>
      </c>
      <c r="H3905" t="s">
        <v>8830</v>
      </c>
      <c r="I3905">
        <v>4425</v>
      </c>
      <c r="J3905" t="str">
        <f>VLOOKUP(E3905,DSSpieler!A:B,2,FALSE)</f>
        <v>domsen123</v>
      </c>
    </row>
    <row r="3906" spans="1:10" x14ac:dyDescent="0.25">
      <c r="A3906">
        <v>4427</v>
      </c>
      <c r="B3906">
        <v>1</v>
      </c>
      <c r="C3906">
        <v>466</v>
      </c>
      <c r="D3906">
        <v>462</v>
      </c>
      <c r="E3906">
        <v>1577145074</v>
      </c>
      <c r="F3906">
        <v>6622</v>
      </c>
      <c r="G3906">
        <v>0</v>
      </c>
      <c r="H3906" t="s">
        <v>8831</v>
      </c>
      <c r="I3906">
        <v>4427</v>
      </c>
      <c r="J3906" t="str">
        <f>VLOOKUP(E3906,DSSpieler!A:B,2,FALSE)</f>
        <v>ichbinsnur</v>
      </c>
    </row>
    <row r="3907" spans="1:10" x14ac:dyDescent="0.25">
      <c r="A3907">
        <v>4428</v>
      </c>
      <c r="B3907" t="s">
        <v>32137</v>
      </c>
      <c r="C3907">
        <v>600</v>
      </c>
      <c r="D3907">
        <v>534</v>
      </c>
      <c r="E3907">
        <v>9448451</v>
      </c>
      <c r="F3907">
        <v>4490</v>
      </c>
      <c r="G3907">
        <v>0</v>
      </c>
      <c r="H3907" t="s">
        <v>8832</v>
      </c>
      <c r="I3907">
        <v>4428</v>
      </c>
      <c r="J3907" t="str">
        <f>VLOOKUP(E3907,DSSpieler!A:B,2,FALSE)</f>
        <v>Turbo-Ghost</v>
      </c>
    </row>
    <row r="3908" spans="1:10" x14ac:dyDescent="0.25">
      <c r="A3908">
        <v>4429</v>
      </c>
      <c r="B3908">
        <v>4</v>
      </c>
      <c r="C3908">
        <v>471</v>
      </c>
      <c r="D3908">
        <v>454</v>
      </c>
      <c r="E3908">
        <v>1576658335</v>
      </c>
      <c r="F3908">
        <v>4969</v>
      </c>
      <c r="G3908">
        <v>0</v>
      </c>
      <c r="H3908" t="s">
        <v>8833</v>
      </c>
      <c r="I3908">
        <v>4429</v>
      </c>
      <c r="J3908" t="str">
        <f>VLOOKUP(E3908,DSSpieler!A:B,2,FALSE)</f>
        <v>jinro727</v>
      </c>
    </row>
    <row r="3909" spans="1:10" x14ac:dyDescent="0.25">
      <c r="A3909">
        <v>4430</v>
      </c>
      <c r="B3909" t="s">
        <v>546</v>
      </c>
      <c r="C3909">
        <v>504</v>
      </c>
      <c r="D3909">
        <v>451</v>
      </c>
      <c r="E3909">
        <v>890198</v>
      </c>
      <c r="F3909">
        <v>3487</v>
      </c>
      <c r="G3909">
        <v>0</v>
      </c>
      <c r="H3909" t="s">
        <v>8834</v>
      </c>
      <c r="I3909">
        <v>4430</v>
      </c>
      <c r="J3909" t="str">
        <f>VLOOKUP(E3909,DSSpieler!A:B,2,FALSE)</f>
        <v>superkrauss</v>
      </c>
    </row>
    <row r="3910" spans="1:10" x14ac:dyDescent="0.25">
      <c r="A3910">
        <v>4431</v>
      </c>
      <c r="B3910" t="s">
        <v>531</v>
      </c>
      <c r="C3910">
        <v>538</v>
      </c>
      <c r="D3910">
        <v>525</v>
      </c>
      <c r="E3910">
        <v>0</v>
      </c>
      <c r="F3910">
        <v>457</v>
      </c>
      <c r="G3910">
        <v>0</v>
      </c>
      <c r="H3910" t="s">
        <v>8835</v>
      </c>
      <c r="I3910">
        <v>4431</v>
      </c>
      <c r="J3910" t="e">
        <f>VLOOKUP(E3910,DSSpieler!A:B,2,FALSE)</f>
        <v>#N/A</v>
      </c>
    </row>
    <row r="3911" spans="1:10" x14ac:dyDescent="0.25">
      <c r="A3911">
        <v>4432</v>
      </c>
      <c r="B3911" t="s">
        <v>965</v>
      </c>
      <c r="C3911">
        <v>527</v>
      </c>
      <c r="D3911">
        <v>555</v>
      </c>
      <c r="E3911">
        <v>1576715249</v>
      </c>
      <c r="F3911">
        <v>5492</v>
      </c>
      <c r="G3911">
        <v>0</v>
      </c>
      <c r="H3911" t="s">
        <v>8836</v>
      </c>
      <c r="I3911">
        <v>4432</v>
      </c>
      <c r="J3911" t="str">
        <f>VLOOKUP(E3911,DSSpieler!A:B,2,FALSE)</f>
        <v>thorina</v>
      </c>
    </row>
    <row r="3912" spans="1:10" x14ac:dyDescent="0.25">
      <c r="A3912">
        <v>4433</v>
      </c>
      <c r="B3912" t="s">
        <v>593</v>
      </c>
      <c r="C3912">
        <v>398</v>
      </c>
      <c r="D3912">
        <v>521</v>
      </c>
      <c r="E3912">
        <v>1577177037</v>
      </c>
      <c r="F3912">
        <v>7466</v>
      </c>
      <c r="G3912">
        <v>0</v>
      </c>
      <c r="H3912" t="s">
        <v>8837</v>
      </c>
      <c r="I3912">
        <v>4433</v>
      </c>
      <c r="J3912" t="str">
        <f>VLOOKUP(E3912,DSSpieler!A:B,2,FALSE)</f>
        <v>Reaperkill</v>
      </c>
    </row>
    <row r="3913" spans="1:10" x14ac:dyDescent="0.25">
      <c r="A3913">
        <v>4434</v>
      </c>
      <c r="B3913" t="s">
        <v>32138</v>
      </c>
      <c r="C3913">
        <v>478</v>
      </c>
      <c r="D3913">
        <v>451</v>
      </c>
      <c r="E3913">
        <v>1576255757</v>
      </c>
      <c r="F3913">
        <v>5519</v>
      </c>
      <c r="G3913">
        <v>0</v>
      </c>
      <c r="H3913" t="s">
        <v>8838</v>
      </c>
      <c r="I3913">
        <v>4434</v>
      </c>
      <c r="J3913" t="str">
        <f>VLOOKUP(E3913,DSSpieler!A:B,2,FALSE)</f>
        <v>Biest1</v>
      </c>
    </row>
    <row r="3914" spans="1:10" x14ac:dyDescent="0.25">
      <c r="A3914">
        <v>4435</v>
      </c>
      <c r="B3914" t="s">
        <v>531</v>
      </c>
      <c r="C3914">
        <v>578</v>
      </c>
      <c r="D3914">
        <v>555</v>
      </c>
      <c r="E3914">
        <v>0</v>
      </c>
      <c r="F3914">
        <v>539</v>
      </c>
      <c r="G3914">
        <v>0</v>
      </c>
      <c r="H3914" t="s">
        <v>8839</v>
      </c>
      <c r="I3914">
        <v>4435</v>
      </c>
      <c r="J3914" t="e">
        <f>VLOOKUP(E3914,DSSpieler!A:B,2,FALSE)</f>
        <v>#N/A</v>
      </c>
    </row>
    <row r="3915" spans="1:10" x14ac:dyDescent="0.25">
      <c r="A3915">
        <v>4437</v>
      </c>
      <c r="B3915" t="s">
        <v>32139</v>
      </c>
      <c r="C3915">
        <v>589</v>
      </c>
      <c r="D3915">
        <v>464</v>
      </c>
      <c r="E3915">
        <v>1576840291</v>
      </c>
      <c r="F3915">
        <v>6266</v>
      </c>
      <c r="G3915">
        <v>0</v>
      </c>
      <c r="H3915" t="s">
        <v>8840</v>
      </c>
      <c r="I3915">
        <v>4437</v>
      </c>
      <c r="J3915" t="str">
        <f>VLOOKUP(E3915,DSSpieler!A:B,2,FALSE)</f>
        <v>AxelFII</v>
      </c>
    </row>
    <row r="3916" spans="1:10" x14ac:dyDescent="0.25">
      <c r="A3916">
        <v>4438</v>
      </c>
      <c r="B3916">
        <v>1</v>
      </c>
      <c r="C3916">
        <v>509</v>
      </c>
      <c r="D3916">
        <v>567</v>
      </c>
      <c r="E3916">
        <v>9295043</v>
      </c>
      <c r="F3916">
        <v>5099</v>
      </c>
      <c r="G3916">
        <v>0</v>
      </c>
      <c r="H3916" t="s">
        <v>8841</v>
      </c>
      <c r="I3916">
        <v>4438</v>
      </c>
      <c r="J3916" t="str">
        <f>VLOOKUP(E3916,DSSpieler!A:B,2,FALSE)</f>
        <v>Kati **</v>
      </c>
    </row>
    <row r="3917" spans="1:10" x14ac:dyDescent="0.25">
      <c r="A3917">
        <v>4439</v>
      </c>
      <c r="B3917" t="s">
        <v>531</v>
      </c>
      <c r="C3917">
        <v>459</v>
      </c>
      <c r="D3917">
        <v>434</v>
      </c>
      <c r="E3917">
        <v>0</v>
      </c>
      <c r="F3917">
        <v>220</v>
      </c>
      <c r="G3917">
        <v>0</v>
      </c>
      <c r="H3917" t="s">
        <v>8842</v>
      </c>
      <c r="I3917">
        <v>4439</v>
      </c>
      <c r="J3917" t="e">
        <f>VLOOKUP(E3917,DSSpieler!A:B,2,FALSE)</f>
        <v>#N/A</v>
      </c>
    </row>
    <row r="3918" spans="1:10" x14ac:dyDescent="0.25">
      <c r="A3918">
        <v>4440</v>
      </c>
      <c r="B3918">
        <v>3</v>
      </c>
      <c r="C3918">
        <v>428</v>
      </c>
      <c r="D3918">
        <v>465</v>
      </c>
      <c r="E3918">
        <v>8987776</v>
      </c>
      <c r="F3918">
        <v>5733</v>
      </c>
      <c r="G3918">
        <v>0</v>
      </c>
      <c r="H3918" t="s">
        <v>8843</v>
      </c>
      <c r="I3918">
        <v>4440</v>
      </c>
      <c r="J3918" t="str">
        <f>VLOOKUP(E3918,DSSpieler!A:B,2,FALSE)</f>
        <v>yourself2406</v>
      </c>
    </row>
    <row r="3919" spans="1:10" x14ac:dyDescent="0.25">
      <c r="A3919">
        <v>4441</v>
      </c>
      <c r="B3919" t="s">
        <v>32140</v>
      </c>
      <c r="C3919">
        <v>570</v>
      </c>
      <c r="D3919">
        <v>482</v>
      </c>
      <c r="E3919">
        <v>2523758</v>
      </c>
      <c r="F3919">
        <v>4882</v>
      </c>
      <c r="G3919">
        <v>0</v>
      </c>
      <c r="H3919" t="s">
        <v>8844</v>
      </c>
      <c r="I3919">
        <v>4441</v>
      </c>
      <c r="J3919" t="str">
        <f>VLOOKUP(E3919,DSSpieler!A:B,2,FALSE)</f>
        <v>Scribby</v>
      </c>
    </row>
    <row r="3920" spans="1:10" x14ac:dyDescent="0.25">
      <c r="A3920">
        <v>4442</v>
      </c>
      <c r="B3920" t="s">
        <v>1268</v>
      </c>
      <c r="C3920">
        <v>400</v>
      </c>
      <c r="D3920">
        <v>524</v>
      </c>
      <c r="E3920">
        <v>281103</v>
      </c>
      <c r="F3920">
        <v>7217</v>
      </c>
      <c r="G3920">
        <v>0</v>
      </c>
      <c r="H3920" t="s">
        <v>8845</v>
      </c>
      <c r="I3920">
        <v>4442</v>
      </c>
      <c r="J3920" t="str">
        <f>VLOOKUP(E3920,DSSpieler!A:B,2,FALSE)</f>
        <v>Lady Elaine</v>
      </c>
    </row>
    <row r="3921" spans="1:10" x14ac:dyDescent="0.25">
      <c r="A3921">
        <v>4443</v>
      </c>
      <c r="B3921" t="s">
        <v>1269</v>
      </c>
      <c r="C3921">
        <v>450</v>
      </c>
      <c r="D3921">
        <v>455</v>
      </c>
      <c r="E3921">
        <v>1577165097</v>
      </c>
      <c r="F3921">
        <v>1150</v>
      </c>
      <c r="G3921">
        <v>0</v>
      </c>
      <c r="H3921" t="s">
        <v>8846</v>
      </c>
      <c r="I3921">
        <v>4443</v>
      </c>
      <c r="J3921" t="str">
        <f>VLOOKUP(E3921,DSSpieler!A:B,2,FALSE)</f>
        <v>Nikey20</v>
      </c>
    </row>
    <row r="3922" spans="1:10" x14ac:dyDescent="0.25">
      <c r="A3922">
        <v>4444</v>
      </c>
      <c r="B3922" t="s">
        <v>30943</v>
      </c>
      <c r="C3922">
        <v>586</v>
      </c>
      <c r="D3922">
        <v>563</v>
      </c>
      <c r="E3922">
        <v>9846715</v>
      </c>
      <c r="F3922">
        <v>4280</v>
      </c>
      <c r="G3922">
        <v>0</v>
      </c>
      <c r="H3922" t="s">
        <v>8847</v>
      </c>
      <c r="I3922">
        <v>4444</v>
      </c>
      <c r="J3922" t="str">
        <f>VLOOKUP(E3922,DSSpieler!A:B,2,FALSE)</f>
        <v>Cheese03</v>
      </c>
    </row>
    <row r="3923" spans="1:10" x14ac:dyDescent="0.25">
      <c r="A3923">
        <v>4445</v>
      </c>
      <c r="B3923" t="s">
        <v>1270</v>
      </c>
      <c r="C3923">
        <v>445</v>
      </c>
      <c r="D3923">
        <v>423</v>
      </c>
      <c r="E3923">
        <v>1577197332</v>
      </c>
      <c r="F3923">
        <v>5377</v>
      </c>
      <c r="G3923">
        <v>0</v>
      </c>
      <c r="H3923" t="s">
        <v>8848</v>
      </c>
      <c r="I3923">
        <v>4445</v>
      </c>
      <c r="J3923" t="str">
        <f>VLOOKUP(E3923,DSSpieler!A:B,2,FALSE)</f>
        <v>Didavo</v>
      </c>
    </row>
    <row r="3924" spans="1:10" x14ac:dyDescent="0.25">
      <c r="A3924">
        <v>4446</v>
      </c>
      <c r="B3924" t="s">
        <v>32141</v>
      </c>
      <c r="C3924">
        <v>419</v>
      </c>
      <c r="D3924">
        <v>533</v>
      </c>
      <c r="E3924">
        <v>1577180543</v>
      </c>
      <c r="F3924">
        <v>5737</v>
      </c>
      <c r="G3924">
        <v>0</v>
      </c>
      <c r="H3924" t="s">
        <v>8849</v>
      </c>
      <c r="I3924">
        <v>4446</v>
      </c>
      <c r="J3924" t="str">
        <f>VLOOKUP(E3924,DSSpieler!A:B,2,FALSE)</f>
        <v>Stay at Home</v>
      </c>
    </row>
    <row r="3925" spans="1:10" x14ac:dyDescent="0.25">
      <c r="A3925">
        <v>4447</v>
      </c>
      <c r="B3925" t="s">
        <v>531</v>
      </c>
      <c r="C3925">
        <v>448</v>
      </c>
      <c r="D3925">
        <v>510</v>
      </c>
      <c r="E3925">
        <v>0</v>
      </c>
      <c r="F3925">
        <v>289</v>
      </c>
      <c r="G3925">
        <v>0</v>
      </c>
      <c r="H3925" t="s">
        <v>8850</v>
      </c>
      <c r="I3925">
        <v>4447</v>
      </c>
      <c r="J3925" t="e">
        <f>VLOOKUP(E3925,DSSpieler!A:B,2,FALSE)</f>
        <v>#N/A</v>
      </c>
    </row>
    <row r="3926" spans="1:10" x14ac:dyDescent="0.25">
      <c r="A3926">
        <v>4448</v>
      </c>
      <c r="B3926" t="s">
        <v>32142</v>
      </c>
      <c r="C3926">
        <v>532</v>
      </c>
      <c r="D3926">
        <v>545</v>
      </c>
      <c r="E3926">
        <v>1577086173</v>
      </c>
      <c r="F3926">
        <v>6288</v>
      </c>
      <c r="G3926">
        <v>0</v>
      </c>
      <c r="H3926" t="s">
        <v>8851</v>
      </c>
      <c r="I3926">
        <v>4448</v>
      </c>
      <c r="J3926" t="str">
        <f>VLOOKUP(E3926,DSSpieler!A:B,2,FALSE)</f>
        <v>Svobby</v>
      </c>
    </row>
    <row r="3927" spans="1:10" x14ac:dyDescent="0.25">
      <c r="A3927">
        <v>4449</v>
      </c>
      <c r="B3927" t="s">
        <v>32143</v>
      </c>
      <c r="C3927">
        <v>546</v>
      </c>
      <c r="D3927">
        <v>601</v>
      </c>
      <c r="E3927">
        <v>1327189</v>
      </c>
      <c r="F3927">
        <v>5855</v>
      </c>
      <c r="G3927">
        <v>0</v>
      </c>
      <c r="H3927" t="s">
        <v>8852</v>
      </c>
      <c r="I3927">
        <v>4449</v>
      </c>
      <c r="J3927" t="str">
        <f>VLOOKUP(E3927,DSSpieler!A:B,2,FALSE)</f>
        <v>DerBoeseBub</v>
      </c>
    </row>
    <row r="3928" spans="1:10" x14ac:dyDescent="0.25">
      <c r="A3928">
        <v>4450</v>
      </c>
      <c r="B3928" t="e">
        <f>-7-+Kundenabteilung</f>
        <v>#NAME?</v>
      </c>
      <c r="C3928">
        <v>540</v>
      </c>
      <c r="D3928">
        <v>570</v>
      </c>
      <c r="E3928">
        <v>1577197889</v>
      </c>
      <c r="F3928">
        <v>5597</v>
      </c>
      <c r="G3928">
        <v>0</v>
      </c>
      <c r="H3928" t="s">
        <v>8853</v>
      </c>
      <c r="I3928">
        <v>4450</v>
      </c>
      <c r="J3928" t="str">
        <f>VLOOKUP(E3928,DSSpieler!A:B,2,FALSE)</f>
        <v>Cedii92</v>
      </c>
    </row>
    <row r="3929" spans="1:10" x14ac:dyDescent="0.25">
      <c r="A3929">
        <v>4452</v>
      </c>
      <c r="B3929" t="s">
        <v>32144</v>
      </c>
      <c r="C3929">
        <v>466</v>
      </c>
      <c r="D3929">
        <v>560</v>
      </c>
      <c r="E3929">
        <v>9026066</v>
      </c>
      <c r="F3929">
        <v>6580</v>
      </c>
      <c r="G3929">
        <v>0</v>
      </c>
      <c r="H3929" t="s">
        <v>8854</v>
      </c>
      <c r="I3929">
        <v>4452</v>
      </c>
      <c r="J3929" t="str">
        <f>VLOOKUP(E3929,DSSpieler!A:B,2,FALSE)</f>
        <v>thehaaacker</v>
      </c>
    </row>
    <row r="3930" spans="1:10" x14ac:dyDescent="0.25">
      <c r="A3930">
        <v>4453</v>
      </c>
      <c r="B3930" t="s">
        <v>32145</v>
      </c>
      <c r="C3930">
        <v>570</v>
      </c>
      <c r="D3930">
        <v>514</v>
      </c>
      <c r="E3930">
        <v>1576969873</v>
      </c>
      <c r="F3930">
        <v>5306</v>
      </c>
      <c r="G3930">
        <v>0</v>
      </c>
      <c r="H3930" t="s">
        <v>8855</v>
      </c>
      <c r="I3930">
        <v>4453</v>
      </c>
      <c r="J3930" t="str">
        <f>VLOOKUP(E3930,DSSpieler!A:B,2,FALSE)</f>
        <v>Spachris</v>
      </c>
    </row>
    <row r="3931" spans="1:10" x14ac:dyDescent="0.25">
      <c r="A3931">
        <v>4454</v>
      </c>
      <c r="B3931" t="s">
        <v>1271</v>
      </c>
      <c r="C3931">
        <v>546</v>
      </c>
      <c r="D3931">
        <v>438</v>
      </c>
      <c r="E3931">
        <v>9799758</v>
      </c>
      <c r="F3931">
        <v>5231</v>
      </c>
      <c r="G3931">
        <v>0</v>
      </c>
      <c r="H3931" t="s">
        <v>8856</v>
      </c>
      <c r="I3931">
        <v>4454</v>
      </c>
      <c r="J3931" t="str">
        <f>VLOOKUP(E3931,DSSpieler!A:B,2,FALSE)</f>
        <v>Tirao</v>
      </c>
    </row>
    <row r="3932" spans="1:10" x14ac:dyDescent="0.25">
      <c r="A3932">
        <v>4455</v>
      </c>
      <c r="B3932" t="s">
        <v>1272</v>
      </c>
      <c r="C3932">
        <v>577</v>
      </c>
      <c r="D3932">
        <v>430</v>
      </c>
      <c r="E3932">
        <v>1576405643</v>
      </c>
      <c r="F3932">
        <v>7277</v>
      </c>
      <c r="G3932">
        <v>0</v>
      </c>
      <c r="H3932" t="s">
        <v>8857</v>
      </c>
      <c r="I3932">
        <v>4455</v>
      </c>
      <c r="J3932" t="str">
        <f>VLOOKUP(E3932,DSSpieler!A:B,2,FALSE)</f>
        <v>Kuyo04</v>
      </c>
    </row>
    <row r="3933" spans="1:10" x14ac:dyDescent="0.25">
      <c r="A3933">
        <v>4456</v>
      </c>
      <c r="B3933" t="s">
        <v>531</v>
      </c>
      <c r="C3933">
        <v>562</v>
      </c>
      <c r="D3933">
        <v>479</v>
      </c>
      <c r="E3933">
        <v>0</v>
      </c>
      <c r="F3933">
        <v>214</v>
      </c>
      <c r="G3933">
        <v>0</v>
      </c>
      <c r="H3933" t="s">
        <v>8858</v>
      </c>
      <c r="I3933">
        <v>4456</v>
      </c>
      <c r="J3933" t="e">
        <f>VLOOKUP(E3933,DSSpieler!A:B,2,FALSE)</f>
        <v>#N/A</v>
      </c>
    </row>
    <row r="3934" spans="1:10" x14ac:dyDescent="0.25">
      <c r="A3934">
        <v>4457</v>
      </c>
      <c r="B3934" t="s">
        <v>32146</v>
      </c>
      <c r="C3934">
        <v>444</v>
      </c>
      <c r="D3934">
        <v>536</v>
      </c>
      <c r="E3934">
        <v>9868037</v>
      </c>
      <c r="F3934">
        <v>6321</v>
      </c>
      <c r="G3934">
        <v>0</v>
      </c>
      <c r="H3934" t="s">
        <v>8859</v>
      </c>
      <c r="I3934">
        <v>4457</v>
      </c>
      <c r="J3934" t="str">
        <f>VLOOKUP(E3934,DSSpieler!A:B,2,FALSE)</f>
        <v>.Taboo</v>
      </c>
    </row>
    <row r="3935" spans="1:10" x14ac:dyDescent="0.25">
      <c r="A3935">
        <v>4459</v>
      </c>
      <c r="B3935" t="s">
        <v>32147</v>
      </c>
      <c r="C3935">
        <v>539</v>
      </c>
      <c r="D3935">
        <v>442</v>
      </c>
      <c r="E3935">
        <v>10077002</v>
      </c>
      <c r="F3935">
        <v>4780</v>
      </c>
      <c r="G3935">
        <v>0</v>
      </c>
      <c r="H3935" t="s">
        <v>8860</v>
      </c>
      <c r="I3935">
        <v>4459</v>
      </c>
      <c r="J3935" t="str">
        <f>VLOOKUP(E3935,DSSpieler!A:B,2,FALSE)</f>
        <v>HillesXx</v>
      </c>
    </row>
    <row r="3936" spans="1:10" x14ac:dyDescent="0.25">
      <c r="A3936">
        <v>4460</v>
      </c>
      <c r="B3936" t="s">
        <v>32148</v>
      </c>
      <c r="C3936">
        <v>435</v>
      </c>
      <c r="D3936">
        <v>487</v>
      </c>
      <c r="E3936">
        <v>1577183720</v>
      </c>
      <c r="F3936">
        <v>4238</v>
      </c>
      <c r="G3936">
        <v>0</v>
      </c>
      <c r="H3936" t="s">
        <v>8861</v>
      </c>
      <c r="I3936">
        <v>4460</v>
      </c>
      <c r="J3936" t="str">
        <f>VLOOKUP(E3936,DSSpieler!A:B,2,FALSE)</f>
        <v>StayHome</v>
      </c>
    </row>
    <row r="3937" spans="1:10" x14ac:dyDescent="0.25">
      <c r="A3937">
        <v>4461</v>
      </c>
      <c r="B3937" t="s">
        <v>32149</v>
      </c>
      <c r="C3937">
        <v>545</v>
      </c>
      <c r="D3937">
        <v>427</v>
      </c>
      <c r="E3937">
        <v>1576874535</v>
      </c>
      <c r="F3937">
        <v>5840</v>
      </c>
      <c r="G3937">
        <v>0</v>
      </c>
      <c r="H3937" t="s">
        <v>8862</v>
      </c>
      <c r="I3937">
        <v>4461</v>
      </c>
      <c r="J3937" t="str">
        <f>VLOOKUP(E3937,DSSpieler!A:B,2,FALSE)</f>
        <v>gbpAR12</v>
      </c>
    </row>
    <row r="3938" spans="1:10" x14ac:dyDescent="0.25">
      <c r="A3938">
        <v>4462</v>
      </c>
      <c r="B3938" t="s">
        <v>1273</v>
      </c>
      <c r="C3938">
        <v>429</v>
      </c>
      <c r="D3938">
        <v>521</v>
      </c>
      <c r="E3938">
        <v>1577174424</v>
      </c>
      <c r="F3938">
        <v>5212</v>
      </c>
      <c r="G3938">
        <v>0</v>
      </c>
      <c r="H3938" t="s">
        <v>8863</v>
      </c>
      <c r="I3938">
        <v>4462</v>
      </c>
      <c r="J3938" t="str">
        <f>VLOOKUP(E3938,DSSpieler!A:B,2,FALSE)</f>
        <v>Patrick666</v>
      </c>
    </row>
    <row r="3939" spans="1:10" x14ac:dyDescent="0.25">
      <c r="A3939">
        <v>4463</v>
      </c>
      <c r="B3939" t="s">
        <v>32150</v>
      </c>
      <c r="C3939">
        <v>469</v>
      </c>
      <c r="D3939">
        <v>509</v>
      </c>
      <c r="E3939">
        <v>1577183431</v>
      </c>
      <c r="F3939">
        <v>8244</v>
      </c>
      <c r="G3939">
        <v>0</v>
      </c>
      <c r="H3939" t="s">
        <v>8864</v>
      </c>
      <c r="I3939">
        <v>4463</v>
      </c>
      <c r="J3939" t="str">
        <f>VLOOKUP(E3939,DSSpieler!A:B,2,FALSE)</f>
        <v>senn1d</v>
      </c>
    </row>
    <row r="3940" spans="1:10" x14ac:dyDescent="0.25">
      <c r="A3940">
        <v>4464</v>
      </c>
      <c r="B3940" t="s">
        <v>32151</v>
      </c>
      <c r="C3940">
        <v>558</v>
      </c>
      <c r="D3940">
        <v>556</v>
      </c>
      <c r="E3940">
        <v>9425598</v>
      </c>
      <c r="F3940">
        <v>3049</v>
      </c>
      <c r="G3940">
        <v>0</v>
      </c>
      <c r="H3940" t="s">
        <v>8865</v>
      </c>
      <c r="I3940">
        <v>4464</v>
      </c>
      <c r="J3940" t="str">
        <f>VLOOKUP(E3940,DSSpieler!A:B,2,FALSE)</f>
        <v>Athcor</v>
      </c>
    </row>
    <row r="3941" spans="1:10" x14ac:dyDescent="0.25">
      <c r="A3941">
        <v>4465</v>
      </c>
      <c r="B3941" t="s">
        <v>32152</v>
      </c>
      <c r="C3941">
        <v>470</v>
      </c>
      <c r="D3941">
        <v>519</v>
      </c>
      <c r="E3941">
        <v>1577165369</v>
      </c>
      <c r="F3941">
        <v>5305</v>
      </c>
      <c r="G3941">
        <v>0</v>
      </c>
      <c r="H3941" t="s">
        <v>8866</v>
      </c>
      <c r="I3941">
        <v>4465</v>
      </c>
      <c r="J3941" t="str">
        <f>VLOOKUP(E3941,DSSpieler!A:B,2,FALSE)</f>
        <v>BlauerOsterhase</v>
      </c>
    </row>
    <row r="3942" spans="1:10" x14ac:dyDescent="0.25">
      <c r="A3942">
        <v>4466</v>
      </c>
      <c r="B3942" t="s">
        <v>1274</v>
      </c>
      <c r="C3942">
        <v>453</v>
      </c>
      <c r="D3942">
        <v>598</v>
      </c>
      <c r="E3942">
        <v>1576337345</v>
      </c>
      <c r="F3942">
        <v>4641</v>
      </c>
      <c r="G3942">
        <v>0</v>
      </c>
      <c r="H3942" t="s">
        <v>8867</v>
      </c>
      <c r="I3942">
        <v>4466</v>
      </c>
      <c r="J3942" t="str">
        <f>VLOOKUP(E3942,DSSpieler!A:B,2,FALSE)</f>
        <v>Hakuna-Matada</v>
      </c>
    </row>
    <row r="3943" spans="1:10" x14ac:dyDescent="0.25">
      <c r="A3943">
        <v>4467</v>
      </c>
      <c r="B3943" t="s">
        <v>1275</v>
      </c>
      <c r="C3943">
        <v>485</v>
      </c>
      <c r="D3943">
        <v>563</v>
      </c>
      <c r="E3943">
        <v>1577098739</v>
      </c>
      <c r="F3943">
        <v>4855</v>
      </c>
      <c r="G3943">
        <v>0</v>
      </c>
      <c r="H3943" t="s">
        <v>8868</v>
      </c>
      <c r="I3943">
        <v>4467</v>
      </c>
      <c r="J3943" t="str">
        <f>VLOOKUP(E3943,DSSpieler!A:B,2,FALSE)</f>
        <v>GrinGo</v>
      </c>
    </row>
    <row r="3944" spans="1:10" x14ac:dyDescent="0.25">
      <c r="A3944">
        <v>4469</v>
      </c>
      <c r="B3944" t="s">
        <v>531</v>
      </c>
      <c r="C3944">
        <v>455</v>
      </c>
      <c r="D3944">
        <v>563</v>
      </c>
      <c r="E3944">
        <v>0</v>
      </c>
      <c r="F3944">
        <v>362</v>
      </c>
      <c r="G3944">
        <v>0</v>
      </c>
      <c r="H3944" t="s">
        <v>8869</v>
      </c>
      <c r="I3944">
        <v>4469</v>
      </c>
      <c r="J3944" t="e">
        <f>VLOOKUP(E3944,DSSpieler!A:B,2,FALSE)</f>
        <v>#N/A</v>
      </c>
    </row>
    <row r="3945" spans="1:10" x14ac:dyDescent="0.25">
      <c r="A3945">
        <v>4470</v>
      </c>
      <c r="B3945" t="s">
        <v>30979</v>
      </c>
      <c r="C3945">
        <v>420</v>
      </c>
      <c r="D3945">
        <v>439</v>
      </c>
      <c r="E3945">
        <v>503235</v>
      </c>
      <c r="F3945">
        <v>6297</v>
      </c>
      <c r="G3945">
        <v>0</v>
      </c>
      <c r="H3945" t="s">
        <v>8870</v>
      </c>
      <c r="I3945">
        <v>4470</v>
      </c>
      <c r="J3945" t="str">
        <f>VLOOKUP(E3945,DSSpieler!A:B,2,FALSE)</f>
        <v>TizianW</v>
      </c>
    </row>
    <row r="3946" spans="1:10" x14ac:dyDescent="0.25">
      <c r="A3946">
        <v>4471</v>
      </c>
      <c r="B3946" s="111">
        <v>230.02</v>
      </c>
      <c r="C3946">
        <v>460</v>
      </c>
      <c r="D3946">
        <v>583</v>
      </c>
      <c r="E3946">
        <v>1577027447</v>
      </c>
      <c r="F3946">
        <v>7787</v>
      </c>
      <c r="G3946">
        <v>0</v>
      </c>
      <c r="H3946" t="s">
        <v>8871</v>
      </c>
      <c r="I3946">
        <v>4471</v>
      </c>
      <c r="J3946" t="str">
        <f>VLOOKUP(E3946,DSSpieler!A:B,2,FALSE)</f>
        <v>Ynef</v>
      </c>
    </row>
    <row r="3947" spans="1:10" x14ac:dyDescent="0.25">
      <c r="A3947">
        <v>4472</v>
      </c>
      <c r="B3947" t="e">
        <f>-Igors+Dorf</f>
        <v>#NAME?</v>
      </c>
      <c r="C3947">
        <v>498</v>
      </c>
      <c r="D3947">
        <v>574</v>
      </c>
      <c r="E3947">
        <v>1577197733</v>
      </c>
      <c r="F3947">
        <v>3049</v>
      </c>
      <c r="G3947">
        <v>0</v>
      </c>
      <c r="H3947" t="s">
        <v>8872</v>
      </c>
      <c r="I3947">
        <v>4472</v>
      </c>
      <c r="J3947" t="str">
        <f>VLOOKUP(E3947,DSSpieler!A:B,2,FALSE)</f>
        <v>Sheriff Söder</v>
      </c>
    </row>
    <row r="3948" spans="1:10" x14ac:dyDescent="0.25">
      <c r="A3948">
        <v>4473</v>
      </c>
      <c r="B3948" t="s">
        <v>32153</v>
      </c>
      <c r="C3948">
        <v>437</v>
      </c>
      <c r="D3948">
        <v>433</v>
      </c>
      <c r="E3948">
        <v>1577186220</v>
      </c>
      <c r="F3948">
        <v>4054</v>
      </c>
      <c r="G3948">
        <v>0</v>
      </c>
      <c r="H3948" t="s">
        <v>8873</v>
      </c>
      <c r="I3948">
        <v>4473</v>
      </c>
      <c r="J3948" t="str">
        <f>VLOOKUP(E3948,DSSpieler!A:B,2,FALSE)</f>
        <v>Zlatantim</v>
      </c>
    </row>
    <row r="3949" spans="1:10" x14ac:dyDescent="0.25">
      <c r="A3949">
        <v>4476</v>
      </c>
      <c r="B3949" t="s">
        <v>531</v>
      </c>
      <c r="C3949">
        <v>473</v>
      </c>
      <c r="D3949">
        <v>503</v>
      </c>
      <c r="E3949">
        <v>0</v>
      </c>
      <c r="F3949">
        <v>235</v>
      </c>
      <c r="G3949">
        <v>0</v>
      </c>
      <c r="H3949" t="s">
        <v>8874</v>
      </c>
      <c r="I3949">
        <v>4476</v>
      </c>
      <c r="J3949" t="e">
        <f>VLOOKUP(E3949,DSSpieler!A:B,2,FALSE)</f>
        <v>#N/A</v>
      </c>
    </row>
    <row r="3950" spans="1:10" x14ac:dyDescent="0.25">
      <c r="A3950">
        <v>4477</v>
      </c>
      <c r="B3950" t="s">
        <v>1276</v>
      </c>
      <c r="C3950">
        <v>475</v>
      </c>
      <c r="D3950">
        <v>535</v>
      </c>
      <c r="E3950">
        <v>8049397</v>
      </c>
      <c r="F3950">
        <v>4896</v>
      </c>
      <c r="G3950">
        <v>0</v>
      </c>
      <c r="H3950" t="s">
        <v>8875</v>
      </c>
      <c r="I3950">
        <v>4477</v>
      </c>
      <c r="J3950" t="str">
        <f>VLOOKUP(E3950,DSSpieler!A:B,2,FALSE)</f>
        <v>Wasserhund</v>
      </c>
    </row>
    <row r="3951" spans="1:10" x14ac:dyDescent="0.25">
      <c r="A3951">
        <v>4478</v>
      </c>
      <c r="B3951" t="s">
        <v>531</v>
      </c>
      <c r="C3951">
        <v>434</v>
      </c>
      <c r="D3951">
        <v>518</v>
      </c>
      <c r="E3951">
        <v>0</v>
      </c>
      <c r="F3951">
        <v>377</v>
      </c>
      <c r="G3951">
        <v>0</v>
      </c>
      <c r="H3951" t="s">
        <v>8876</v>
      </c>
      <c r="I3951">
        <v>4478</v>
      </c>
      <c r="J3951" t="e">
        <f>VLOOKUP(E3951,DSSpieler!A:B,2,FALSE)</f>
        <v>#N/A</v>
      </c>
    </row>
    <row r="3952" spans="1:10" x14ac:dyDescent="0.25">
      <c r="A3952">
        <v>4479</v>
      </c>
      <c r="B3952" t="s">
        <v>546</v>
      </c>
      <c r="C3952">
        <v>503</v>
      </c>
      <c r="D3952">
        <v>443</v>
      </c>
      <c r="E3952">
        <v>1577162735</v>
      </c>
      <c r="F3952">
        <v>4076</v>
      </c>
      <c r="G3952">
        <v>0</v>
      </c>
      <c r="H3952" t="s">
        <v>8877</v>
      </c>
      <c r="I3952">
        <v>4479</v>
      </c>
      <c r="J3952" t="str">
        <f>VLOOKUP(E3952,DSSpieler!A:B,2,FALSE)</f>
        <v>Rhobar</v>
      </c>
    </row>
    <row r="3953" spans="1:10" x14ac:dyDescent="0.25">
      <c r="A3953">
        <v>4480</v>
      </c>
      <c r="B3953" t="s">
        <v>1277</v>
      </c>
      <c r="C3953">
        <v>489</v>
      </c>
      <c r="D3953">
        <v>439</v>
      </c>
      <c r="E3953">
        <v>1576822286</v>
      </c>
      <c r="F3953">
        <v>4253</v>
      </c>
      <c r="G3953">
        <v>0</v>
      </c>
      <c r="H3953" t="s">
        <v>8878</v>
      </c>
      <c r="I3953">
        <v>4480</v>
      </c>
      <c r="J3953" t="str">
        <f>VLOOKUP(E3953,DSSpieler!A:B,2,FALSE)</f>
        <v>Hazack</v>
      </c>
    </row>
    <row r="3954" spans="1:10" x14ac:dyDescent="0.25">
      <c r="A3954">
        <v>4481</v>
      </c>
      <c r="B3954" t="s">
        <v>32154</v>
      </c>
      <c r="C3954">
        <v>451</v>
      </c>
      <c r="D3954">
        <v>562</v>
      </c>
      <c r="E3954">
        <v>9327351</v>
      </c>
      <c r="F3954">
        <v>5875</v>
      </c>
      <c r="G3954">
        <v>0</v>
      </c>
      <c r="H3954" t="s">
        <v>8879</v>
      </c>
      <c r="I3954">
        <v>4481</v>
      </c>
      <c r="J3954" t="str">
        <f>VLOOKUP(E3954,DSSpieler!A:B,2,FALSE)</f>
        <v>Lordlebkuchen</v>
      </c>
    </row>
    <row r="3955" spans="1:10" x14ac:dyDescent="0.25">
      <c r="A3955">
        <v>4483</v>
      </c>
      <c r="B3955" t="s">
        <v>1278</v>
      </c>
      <c r="C3955">
        <v>479</v>
      </c>
      <c r="D3955">
        <v>443</v>
      </c>
      <c r="E3955">
        <v>1577196432</v>
      </c>
      <c r="F3955">
        <v>2431</v>
      </c>
      <c r="G3955">
        <v>0</v>
      </c>
      <c r="H3955" t="s">
        <v>8880</v>
      </c>
      <c r="I3955">
        <v>4483</v>
      </c>
      <c r="J3955" t="str">
        <f>VLOOKUP(E3955,DSSpieler!A:B,2,FALSE)</f>
        <v>DJ777</v>
      </c>
    </row>
    <row r="3956" spans="1:10" x14ac:dyDescent="0.25">
      <c r="A3956">
        <v>4484</v>
      </c>
      <c r="B3956" t="s">
        <v>32155</v>
      </c>
      <c r="C3956">
        <v>487</v>
      </c>
      <c r="D3956">
        <v>558</v>
      </c>
      <c r="E3956">
        <v>1577176017</v>
      </c>
      <c r="F3956">
        <v>7042</v>
      </c>
      <c r="G3956">
        <v>0</v>
      </c>
      <c r="H3956" t="s">
        <v>8881</v>
      </c>
      <c r="I3956">
        <v>4484</v>
      </c>
      <c r="J3956" t="str">
        <f>VLOOKUP(E3956,DSSpieler!A:B,2,FALSE)</f>
        <v>xingo</v>
      </c>
    </row>
    <row r="3957" spans="1:10" x14ac:dyDescent="0.25">
      <c r="A3957">
        <v>4485</v>
      </c>
      <c r="B3957">
        <v>2</v>
      </c>
      <c r="C3957">
        <v>400</v>
      </c>
      <c r="D3957">
        <v>499</v>
      </c>
      <c r="E3957">
        <v>2384645</v>
      </c>
      <c r="F3957">
        <v>6619</v>
      </c>
      <c r="G3957">
        <v>0</v>
      </c>
      <c r="H3957" t="s">
        <v>8882</v>
      </c>
      <c r="I3957">
        <v>4485</v>
      </c>
      <c r="J3957" t="str">
        <f>VLOOKUP(E3957,DSSpieler!A:B,2,FALSE)</f>
        <v>hasenbär</v>
      </c>
    </row>
    <row r="3958" spans="1:10" x14ac:dyDescent="0.25">
      <c r="A3958">
        <v>4486</v>
      </c>
      <c r="B3958" t="s">
        <v>30796</v>
      </c>
      <c r="C3958">
        <v>567</v>
      </c>
      <c r="D3958">
        <v>563</v>
      </c>
      <c r="E3958">
        <v>1576262323</v>
      </c>
      <c r="F3958">
        <v>4237</v>
      </c>
      <c r="G3958">
        <v>0</v>
      </c>
      <c r="H3958" t="s">
        <v>8883</v>
      </c>
      <c r="I3958">
        <v>4486</v>
      </c>
      <c r="J3958" t="str">
        <f>VLOOKUP(E3958,DSSpieler!A:B,2,FALSE)</f>
        <v>Aweda014</v>
      </c>
    </row>
    <row r="3959" spans="1:10" x14ac:dyDescent="0.25">
      <c r="A3959">
        <v>4487</v>
      </c>
      <c r="B3959" t="s">
        <v>32156</v>
      </c>
      <c r="C3959">
        <v>517</v>
      </c>
      <c r="D3959">
        <v>509</v>
      </c>
      <c r="E3959">
        <v>1576023473</v>
      </c>
      <c r="F3959">
        <v>4514</v>
      </c>
      <c r="G3959">
        <v>0</v>
      </c>
      <c r="H3959" t="s">
        <v>8884</v>
      </c>
      <c r="I3959">
        <v>4487</v>
      </c>
      <c r="J3959" t="str">
        <f>VLOOKUP(E3959,DSSpieler!A:B,2,FALSE)</f>
        <v>sluik10</v>
      </c>
    </row>
    <row r="3960" spans="1:10" x14ac:dyDescent="0.25">
      <c r="A3960">
        <v>4488</v>
      </c>
      <c r="B3960" t="s">
        <v>531</v>
      </c>
      <c r="C3960">
        <v>544</v>
      </c>
      <c r="D3960">
        <v>472</v>
      </c>
      <c r="E3960">
        <v>0</v>
      </c>
      <c r="F3960">
        <v>503</v>
      </c>
      <c r="G3960">
        <v>0</v>
      </c>
      <c r="H3960" t="s">
        <v>8885</v>
      </c>
      <c r="I3960">
        <v>4488</v>
      </c>
      <c r="J3960" t="e">
        <f>VLOOKUP(E3960,DSSpieler!A:B,2,FALSE)</f>
        <v>#N/A</v>
      </c>
    </row>
    <row r="3961" spans="1:10" x14ac:dyDescent="0.25">
      <c r="A3961">
        <v>4489</v>
      </c>
      <c r="B3961" t="s">
        <v>32157</v>
      </c>
      <c r="C3961">
        <v>525</v>
      </c>
      <c r="D3961">
        <v>480</v>
      </c>
      <c r="E3961">
        <v>1577180332</v>
      </c>
      <c r="F3961">
        <v>4509</v>
      </c>
      <c r="G3961">
        <v>0</v>
      </c>
      <c r="H3961" t="s">
        <v>291</v>
      </c>
      <c r="I3961">
        <v>4489</v>
      </c>
      <c r="J3961" t="str">
        <f>VLOOKUP(E3961,DSSpieler!A:B,2,FALSE)</f>
        <v>Gasmask Terror</v>
      </c>
    </row>
    <row r="3962" spans="1:10" x14ac:dyDescent="0.25">
      <c r="A3962">
        <v>4490</v>
      </c>
      <c r="B3962" t="e">
        <f>-2-+Hattenhof</f>
        <v>#NAME?</v>
      </c>
      <c r="C3962">
        <v>406</v>
      </c>
      <c r="D3962">
        <v>505</v>
      </c>
      <c r="E3962">
        <v>1576624271</v>
      </c>
      <c r="F3962">
        <v>3283</v>
      </c>
      <c r="G3962">
        <v>0</v>
      </c>
      <c r="H3962" t="s">
        <v>8886</v>
      </c>
      <c r="I3962">
        <v>4490</v>
      </c>
      <c r="J3962" t="str">
        <f>VLOOKUP(E3962,DSSpieler!A:B,2,FALSE)</f>
        <v>NaphetsTV</v>
      </c>
    </row>
    <row r="3963" spans="1:10" x14ac:dyDescent="0.25">
      <c r="A3963">
        <v>4491</v>
      </c>
      <c r="B3963" t="s">
        <v>32158</v>
      </c>
      <c r="C3963">
        <v>483</v>
      </c>
      <c r="D3963">
        <v>452</v>
      </c>
      <c r="E3963">
        <v>1577195824</v>
      </c>
      <c r="F3963">
        <v>5852</v>
      </c>
      <c r="G3963">
        <v>0</v>
      </c>
      <c r="H3963" t="s">
        <v>8887</v>
      </c>
      <c r="I3963">
        <v>4491</v>
      </c>
      <c r="J3963" t="str">
        <f>VLOOKUP(E3963,DSSpieler!A:B,2,FALSE)</f>
        <v>Islander2</v>
      </c>
    </row>
    <row r="3964" spans="1:10" x14ac:dyDescent="0.25">
      <c r="A3964">
        <v>4492</v>
      </c>
      <c r="B3964" t="s">
        <v>32159</v>
      </c>
      <c r="C3964">
        <v>491</v>
      </c>
      <c r="D3964">
        <v>511</v>
      </c>
      <c r="E3964">
        <v>1577155182</v>
      </c>
      <c r="F3964">
        <v>5215</v>
      </c>
      <c r="G3964">
        <v>0</v>
      </c>
      <c r="H3964" t="s">
        <v>8888</v>
      </c>
      <c r="I3964">
        <v>4492</v>
      </c>
      <c r="J3964" t="str">
        <f>VLOOKUP(E3964,DSSpieler!A:B,2,FALSE)</f>
        <v>DerKlausKleber</v>
      </c>
    </row>
    <row r="3965" spans="1:10" x14ac:dyDescent="0.25">
      <c r="A3965">
        <v>4493</v>
      </c>
      <c r="B3965" t="s">
        <v>30947</v>
      </c>
      <c r="C3965">
        <v>582</v>
      </c>
      <c r="D3965">
        <v>440</v>
      </c>
      <c r="E3965">
        <v>1577010127</v>
      </c>
      <c r="F3965">
        <v>6336</v>
      </c>
      <c r="G3965">
        <v>0</v>
      </c>
      <c r="H3965" t="s">
        <v>8889</v>
      </c>
      <c r="I3965">
        <v>4493</v>
      </c>
      <c r="J3965" t="str">
        <f>VLOOKUP(E3965,DSSpieler!A:B,2,FALSE)</f>
        <v>FinallyDark</v>
      </c>
    </row>
    <row r="3966" spans="1:10" x14ac:dyDescent="0.25">
      <c r="A3966">
        <v>4494</v>
      </c>
      <c r="B3966" t="s">
        <v>32160</v>
      </c>
      <c r="C3966">
        <v>424</v>
      </c>
      <c r="D3966">
        <v>443</v>
      </c>
      <c r="E3966">
        <v>1577195736</v>
      </c>
      <c r="F3966">
        <v>2472</v>
      </c>
      <c r="G3966">
        <v>0</v>
      </c>
      <c r="H3966" t="s">
        <v>8890</v>
      </c>
      <c r="I3966">
        <v>4494</v>
      </c>
      <c r="J3966" t="str">
        <f>VLOOKUP(E3966,DSSpieler!A:B,2,FALSE)</f>
        <v>Tatranka</v>
      </c>
    </row>
    <row r="3967" spans="1:10" x14ac:dyDescent="0.25">
      <c r="A3967">
        <v>4495</v>
      </c>
      <c r="B3967" t="s">
        <v>32161</v>
      </c>
      <c r="C3967">
        <v>403</v>
      </c>
      <c r="D3967">
        <v>518</v>
      </c>
      <c r="E3967">
        <v>1577181197</v>
      </c>
      <c r="F3967">
        <v>6751</v>
      </c>
      <c r="G3967">
        <v>0</v>
      </c>
      <c r="H3967" t="s">
        <v>8891</v>
      </c>
      <c r="I3967">
        <v>4495</v>
      </c>
      <c r="J3967" t="str">
        <f>VLOOKUP(E3967,DSSpieler!A:B,2,FALSE)</f>
        <v>Bausi the best</v>
      </c>
    </row>
    <row r="3968" spans="1:10" x14ac:dyDescent="0.25">
      <c r="A3968">
        <v>4496</v>
      </c>
      <c r="B3968" t="s">
        <v>32162</v>
      </c>
      <c r="C3968">
        <v>428</v>
      </c>
      <c r="D3968">
        <v>513</v>
      </c>
      <c r="E3968">
        <v>1577174426</v>
      </c>
      <c r="F3968">
        <v>4890</v>
      </c>
      <c r="G3968">
        <v>0</v>
      </c>
      <c r="H3968" t="s">
        <v>8892</v>
      </c>
      <c r="I3968">
        <v>4496</v>
      </c>
      <c r="J3968" t="str">
        <f>VLOOKUP(E3968,DSSpieler!A:B,2,FALSE)</f>
        <v>Kevin199602</v>
      </c>
    </row>
    <row r="3969" spans="1:10" x14ac:dyDescent="0.25">
      <c r="A3969">
        <v>4497</v>
      </c>
      <c r="B3969" t="s">
        <v>32163</v>
      </c>
      <c r="C3969">
        <v>403</v>
      </c>
      <c r="D3969">
        <v>521</v>
      </c>
      <c r="E3969">
        <v>1577159152</v>
      </c>
      <c r="F3969">
        <v>4484</v>
      </c>
      <c r="G3969">
        <v>0</v>
      </c>
      <c r="H3969" t="s">
        <v>8893</v>
      </c>
      <c r="I3969">
        <v>4497</v>
      </c>
      <c r="J3969" t="str">
        <f>VLOOKUP(E3969,DSSpieler!A:B,2,FALSE)</f>
        <v>bubiwa13</v>
      </c>
    </row>
    <row r="3970" spans="1:10" x14ac:dyDescent="0.25">
      <c r="A3970">
        <v>4498</v>
      </c>
      <c r="B3970" t="s">
        <v>32164</v>
      </c>
      <c r="C3970">
        <v>534</v>
      </c>
      <c r="D3970">
        <v>394</v>
      </c>
      <c r="E3970">
        <v>1257571</v>
      </c>
      <c r="F3970">
        <v>6678</v>
      </c>
      <c r="G3970">
        <v>0</v>
      </c>
      <c r="H3970" t="s">
        <v>8894</v>
      </c>
      <c r="I3970">
        <v>4498</v>
      </c>
      <c r="J3970" t="str">
        <f>VLOOKUP(E3970,DSSpieler!A:B,2,FALSE)</f>
        <v>Invasion Marc</v>
      </c>
    </row>
    <row r="3971" spans="1:10" x14ac:dyDescent="0.25">
      <c r="A3971">
        <v>4499</v>
      </c>
      <c r="B3971" t="s">
        <v>35834</v>
      </c>
      <c r="C3971">
        <v>584</v>
      </c>
      <c r="D3971">
        <v>551</v>
      </c>
      <c r="E3971">
        <v>1577197503</v>
      </c>
      <c r="F3971">
        <v>5867</v>
      </c>
      <c r="G3971">
        <v>0</v>
      </c>
      <c r="H3971" t="s">
        <v>8895</v>
      </c>
      <c r="I3971">
        <v>4499</v>
      </c>
      <c r="J3971" t="str">
        <f>VLOOKUP(E3971,DSSpieler!A:B,2,FALSE)</f>
        <v>Rapt1le</v>
      </c>
    </row>
    <row r="3972" spans="1:10" x14ac:dyDescent="0.25">
      <c r="A3972">
        <v>4500</v>
      </c>
      <c r="B3972" t="s">
        <v>32165</v>
      </c>
      <c r="C3972">
        <v>400</v>
      </c>
      <c r="D3972">
        <v>521</v>
      </c>
      <c r="E3972">
        <v>9319592</v>
      </c>
      <c r="F3972">
        <v>5182</v>
      </c>
      <c r="G3972">
        <v>0</v>
      </c>
      <c r="H3972" t="s">
        <v>8896</v>
      </c>
      <c r="I3972">
        <v>4500</v>
      </c>
      <c r="J3972" t="str">
        <f>VLOOKUP(E3972,DSSpieler!A:B,2,FALSE)</f>
        <v>DieterVonHinten</v>
      </c>
    </row>
    <row r="3973" spans="1:10" x14ac:dyDescent="0.25">
      <c r="A3973">
        <v>4501</v>
      </c>
      <c r="B3973" t="s">
        <v>32166</v>
      </c>
      <c r="C3973">
        <v>578</v>
      </c>
      <c r="D3973">
        <v>493</v>
      </c>
      <c r="E3973">
        <v>3064189</v>
      </c>
      <c r="F3973">
        <v>4909</v>
      </c>
      <c r="G3973">
        <v>0</v>
      </c>
      <c r="H3973" t="s">
        <v>8897</v>
      </c>
      <c r="I3973">
        <v>4501</v>
      </c>
      <c r="J3973" t="str">
        <f>VLOOKUP(E3973,DSSpieler!A:B,2,FALSE)</f>
        <v>Joszef</v>
      </c>
    </row>
    <row r="3974" spans="1:10" x14ac:dyDescent="0.25">
      <c r="A3974">
        <v>4502</v>
      </c>
      <c r="B3974" t="s">
        <v>531</v>
      </c>
      <c r="C3974">
        <v>425</v>
      </c>
      <c r="D3974">
        <v>427</v>
      </c>
      <c r="E3974">
        <v>0</v>
      </c>
      <c r="F3974">
        <v>322</v>
      </c>
      <c r="G3974">
        <v>0</v>
      </c>
      <c r="H3974" t="s">
        <v>8898</v>
      </c>
      <c r="I3974">
        <v>4502</v>
      </c>
      <c r="J3974" t="e">
        <f>VLOOKUP(E3974,DSSpieler!A:B,2,FALSE)</f>
        <v>#N/A</v>
      </c>
    </row>
    <row r="3975" spans="1:10" x14ac:dyDescent="0.25">
      <c r="A3975">
        <v>4504</v>
      </c>
      <c r="B3975" t="s">
        <v>32167</v>
      </c>
      <c r="C3975">
        <v>572</v>
      </c>
      <c r="D3975">
        <v>582</v>
      </c>
      <c r="E3975">
        <v>9194341</v>
      </c>
      <c r="F3975">
        <v>6413</v>
      </c>
      <c r="G3975">
        <v>0</v>
      </c>
      <c r="H3975" t="s">
        <v>8899</v>
      </c>
      <c r="I3975">
        <v>4504</v>
      </c>
      <c r="J3975" t="str">
        <f>VLOOKUP(E3975,DSSpieler!A:B,2,FALSE)</f>
        <v>Simon der Groooße</v>
      </c>
    </row>
    <row r="3976" spans="1:10" x14ac:dyDescent="0.25">
      <c r="A3976">
        <v>4505</v>
      </c>
      <c r="B3976" t="s">
        <v>531</v>
      </c>
      <c r="C3976">
        <v>424</v>
      </c>
      <c r="D3976">
        <v>508</v>
      </c>
      <c r="E3976">
        <v>0</v>
      </c>
      <c r="F3976">
        <v>339</v>
      </c>
      <c r="G3976">
        <v>0</v>
      </c>
      <c r="H3976" t="s">
        <v>8900</v>
      </c>
      <c r="I3976">
        <v>4505</v>
      </c>
      <c r="J3976" t="e">
        <f>VLOOKUP(E3976,DSSpieler!A:B,2,FALSE)</f>
        <v>#N/A</v>
      </c>
    </row>
    <row r="3977" spans="1:10" x14ac:dyDescent="0.25">
      <c r="A3977">
        <v>4506</v>
      </c>
      <c r="B3977" t="s">
        <v>32168</v>
      </c>
      <c r="C3977">
        <v>477</v>
      </c>
      <c r="D3977">
        <v>444</v>
      </c>
      <c r="E3977">
        <v>1577197704</v>
      </c>
      <c r="F3977">
        <v>5110</v>
      </c>
      <c r="G3977">
        <v>0</v>
      </c>
      <c r="H3977" t="s">
        <v>8901</v>
      </c>
      <c r="I3977">
        <v>4506</v>
      </c>
      <c r="J3977" t="str">
        <f>VLOOKUP(E3977,DSSpieler!A:B,2,FALSE)</f>
        <v>Klaus Uhr</v>
      </c>
    </row>
    <row r="3978" spans="1:10" x14ac:dyDescent="0.25">
      <c r="A3978">
        <v>4507</v>
      </c>
      <c r="B3978" t="s">
        <v>32169</v>
      </c>
      <c r="C3978">
        <v>462</v>
      </c>
      <c r="D3978">
        <v>577</v>
      </c>
      <c r="E3978">
        <v>557668</v>
      </c>
      <c r="F3978">
        <v>5899</v>
      </c>
      <c r="G3978">
        <v>0</v>
      </c>
      <c r="H3978" t="s">
        <v>8902</v>
      </c>
      <c r="I3978">
        <v>4507</v>
      </c>
      <c r="J3978" t="str">
        <f>VLOOKUP(E3978,DSSpieler!A:B,2,FALSE)</f>
        <v>Accce</v>
      </c>
    </row>
    <row r="3979" spans="1:10" x14ac:dyDescent="0.25">
      <c r="A3979">
        <v>4508</v>
      </c>
      <c r="B3979" t="s">
        <v>32170</v>
      </c>
      <c r="C3979">
        <v>445</v>
      </c>
      <c r="D3979">
        <v>428</v>
      </c>
      <c r="E3979">
        <v>1577197972</v>
      </c>
      <c r="F3979">
        <v>3666</v>
      </c>
      <c r="G3979">
        <v>0</v>
      </c>
      <c r="H3979" t="s">
        <v>8903</v>
      </c>
      <c r="I3979">
        <v>4508</v>
      </c>
      <c r="J3979" t="str">
        <f>VLOOKUP(E3979,DSSpieler!A:B,2,FALSE)</f>
        <v>Siloballe</v>
      </c>
    </row>
    <row r="3980" spans="1:10" x14ac:dyDescent="0.25">
      <c r="A3980">
        <v>4509</v>
      </c>
      <c r="B3980" t="s">
        <v>531</v>
      </c>
      <c r="C3980">
        <v>527</v>
      </c>
      <c r="D3980">
        <v>552</v>
      </c>
      <c r="E3980">
        <v>0</v>
      </c>
      <c r="F3980">
        <v>400</v>
      </c>
      <c r="G3980">
        <v>0</v>
      </c>
      <c r="H3980" t="s">
        <v>8904</v>
      </c>
      <c r="I3980">
        <v>4509</v>
      </c>
      <c r="J3980" t="e">
        <f>VLOOKUP(E3980,DSSpieler!A:B,2,FALSE)</f>
        <v>#N/A</v>
      </c>
    </row>
    <row r="3981" spans="1:10" x14ac:dyDescent="0.25">
      <c r="A3981">
        <v>4510</v>
      </c>
      <c r="B3981" t="s">
        <v>32171</v>
      </c>
      <c r="C3981">
        <v>599</v>
      </c>
      <c r="D3981">
        <v>513</v>
      </c>
      <c r="E3981">
        <v>1547124</v>
      </c>
      <c r="F3981">
        <v>5286</v>
      </c>
      <c r="G3981">
        <v>0</v>
      </c>
      <c r="H3981" t="s">
        <v>8905</v>
      </c>
      <c r="I3981">
        <v>4510</v>
      </c>
      <c r="J3981" t="str">
        <f>VLOOKUP(E3981,DSSpieler!A:B,2,FALSE)</f>
        <v>HijaDelFuego</v>
      </c>
    </row>
    <row r="3982" spans="1:10" x14ac:dyDescent="0.25">
      <c r="A3982">
        <v>4511</v>
      </c>
      <c r="B3982">
        <v>-3</v>
      </c>
      <c r="C3982">
        <v>446</v>
      </c>
      <c r="D3982">
        <v>562</v>
      </c>
      <c r="E3982">
        <v>1577185886</v>
      </c>
      <c r="F3982">
        <v>5398</v>
      </c>
      <c r="G3982">
        <v>0</v>
      </c>
      <c r="H3982" t="s">
        <v>8906</v>
      </c>
      <c r="I3982">
        <v>4511</v>
      </c>
      <c r="J3982" t="str">
        <f>VLOOKUP(E3982,DSSpieler!A:B,2,FALSE)</f>
        <v>1Talent</v>
      </c>
    </row>
    <row r="3983" spans="1:10" x14ac:dyDescent="0.25">
      <c r="A3983">
        <v>4512</v>
      </c>
      <c r="B3983" t="s">
        <v>32172</v>
      </c>
      <c r="C3983">
        <v>473</v>
      </c>
      <c r="D3983">
        <v>453</v>
      </c>
      <c r="E3983">
        <v>1577187227</v>
      </c>
      <c r="F3983">
        <v>5723</v>
      </c>
      <c r="G3983">
        <v>0</v>
      </c>
      <c r="H3983" t="s">
        <v>8907</v>
      </c>
      <c r="I3983">
        <v>4512</v>
      </c>
      <c r="J3983" t="str">
        <f>VLOOKUP(E3983,DSSpieler!A:B,2,FALSE)</f>
        <v>Heinz34</v>
      </c>
    </row>
    <row r="3984" spans="1:10" x14ac:dyDescent="0.25">
      <c r="A3984">
        <v>4513</v>
      </c>
      <c r="B3984" t="s">
        <v>32173</v>
      </c>
      <c r="C3984">
        <v>567</v>
      </c>
      <c r="D3984">
        <v>581</v>
      </c>
      <c r="E3984">
        <v>10150018</v>
      </c>
      <c r="F3984">
        <v>6135</v>
      </c>
      <c r="G3984">
        <v>0</v>
      </c>
      <c r="H3984" t="s">
        <v>8908</v>
      </c>
      <c r="I3984">
        <v>4513</v>
      </c>
      <c r="J3984" t="str">
        <f>VLOOKUP(E3984,DSSpieler!A:B,2,FALSE)</f>
        <v>sub-t</v>
      </c>
    </row>
    <row r="3985" spans="1:10" x14ac:dyDescent="0.25">
      <c r="A3985">
        <v>4514</v>
      </c>
      <c r="B3985" t="s">
        <v>32174</v>
      </c>
      <c r="C3985">
        <v>555</v>
      </c>
      <c r="D3985">
        <v>537</v>
      </c>
      <c r="E3985">
        <v>8337313</v>
      </c>
      <c r="F3985">
        <v>6767</v>
      </c>
      <c r="G3985">
        <v>0</v>
      </c>
      <c r="H3985" t="s">
        <v>8909</v>
      </c>
      <c r="I3985">
        <v>4514</v>
      </c>
      <c r="J3985" t="str">
        <f>VLOOKUP(E3985,DSSpieler!A:B,2,FALSE)</f>
        <v>JonesnBones</v>
      </c>
    </row>
    <row r="3986" spans="1:10" x14ac:dyDescent="0.25">
      <c r="A3986">
        <v>4515</v>
      </c>
      <c r="B3986" t="s">
        <v>31494</v>
      </c>
      <c r="C3986">
        <v>563</v>
      </c>
      <c r="D3986">
        <v>583</v>
      </c>
      <c r="E3986">
        <v>10150608</v>
      </c>
      <c r="F3986">
        <v>6788</v>
      </c>
      <c r="G3986">
        <v>0</v>
      </c>
      <c r="H3986" t="s">
        <v>8910</v>
      </c>
      <c r="I3986">
        <v>4515</v>
      </c>
      <c r="J3986" t="str">
        <f>VLOOKUP(E3986,DSSpieler!A:B,2,FALSE)</f>
        <v>L@ser</v>
      </c>
    </row>
    <row r="3987" spans="1:10" x14ac:dyDescent="0.25">
      <c r="A3987">
        <v>4516</v>
      </c>
      <c r="B3987" t="s">
        <v>32175</v>
      </c>
      <c r="C3987">
        <v>441</v>
      </c>
      <c r="D3987">
        <v>514</v>
      </c>
      <c r="E3987">
        <v>1577181814</v>
      </c>
      <c r="F3987">
        <v>5448</v>
      </c>
      <c r="G3987">
        <v>0</v>
      </c>
      <c r="H3987" t="s">
        <v>8911</v>
      </c>
      <c r="I3987">
        <v>4516</v>
      </c>
      <c r="J3987" t="str">
        <f>VLOOKUP(E3987,DSSpieler!A:B,2,FALSE)</f>
        <v>jack.daniels</v>
      </c>
    </row>
    <row r="3988" spans="1:10" x14ac:dyDescent="0.25">
      <c r="A3988">
        <v>4517</v>
      </c>
      <c r="B3988" t="s">
        <v>32176</v>
      </c>
      <c r="C3988">
        <v>440</v>
      </c>
      <c r="D3988">
        <v>484</v>
      </c>
      <c r="E3988">
        <v>1577191504</v>
      </c>
      <c r="F3988">
        <v>6404</v>
      </c>
      <c r="G3988">
        <v>0</v>
      </c>
      <c r="H3988" t="s">
        <v>8912</v>
      </c>
      <c r="I3988">
        <v>4517</v>
      </c>
      <c r="J3988" t="str">
        <f>VLOOKUP(E3988,DSSpieler!A:B,2,FALSE)</f>
        <v>alcon</v>
      </c>
    </row>
    <row r="3989" spans="1:10" x14ac:dyDescent="0.25">
      <c r="A3989">
        <v>4518</v>
      </c>
      <c r="B3989" t="s">
        <v>32177</v>
      </c>
      <c r="C3989">
        <v>486</v>
      </c>
      <c r="D3989">
        <v>426</v>
      </c>
      <c r="E3989">
        <v>1577128825</v>
      </c>
      <c r="F3989">
        <v>5560</v>
      </c>
      <c r="G3989">
        <v>0</v>
      </c>
      <c r="H3989" t="s">
        <v>8913</v>
      </c>
      <c r="I3989">
        <v>4518</v>
      </c>
      <c r="J3989" t="str">
        <f>VLOOKUP(E3989,DSSpieler!A:B,2,FALSE)</f>
        <v>VikG</v>
      </c>
    </row>
    <row r="3990" spans="1:10" x14ac:dyDescent="0.25">
      <c r="A3990">
        <v>4519</v>
      </c>
      <c r="B3990" t="s">
        <v>531</v>
      </c>
      <c r="C3990">
        <v>545</v>
      </c>
      <c r="D3990">
        <v>531</v>
      </c>
      <c r="E3990">
        <v>0</v>
      </c>
      <c r="F3990">
        <v>504</v>
      </c>
      <c r="G3990">
        <v>0</v>
      </c>
      <c r="H3990" t="s">
        <v>8914</v>
      </c>
      <c r="I3990">
        <v>4519</v>
      </c>
      <c r="J3990" t="e">
        <f>VLOOKUP(E3990,DSSpieler!A:B,2,FALSE)</f>
        <v>#N/A</v>
      </c>
    </row>
    <row r="3991" spans="1:10" x14ac:dyDescent="0.25">
      <c r="A3991">
        <v>4520</v>
      </c>
      <c r="B3991" t="s">
        <v>31934</v>
      </c>
      <c r="C3991">
        <v>597</v>
      </c>
      <c r="D3991">
        <v>483</v>
      </c>
      <c r="E3991">
        <v>3240324</v>
      </c>
      <c r="F3991">
        <v>3522</v>
      </c>
      <c r="G3991">
        <v>0</v>
      </c>
      <c r="H3991" t="s">
        <v>8915</v>
      </c>
      <c r="I3991">
        <v>4520</v>
      </c>
      <c r="J3991" t="str">
        <f>VLOOKUP(E3991,DSSpieler!A:B,2,FALSE)</f>
        <v>luckylos3r</v>
      </c>
    </row>
    <row r="3992" spans="1:10" x14ac:dyDescent="0.25">
      <c r="A3992">
        <v>4521</v>
      </c>
      <c r="B3992" t="s">
        <v>531</v>
      </c>
      <c r="C3992">
        <v>592</v>
      </c>
      <c r="D3992">
        <v>468</v>
      </c>
      <c r="E3992">
        <v>0</v>
      </c>
      <c r="F3992">
        <v>915</v>
      </c>
      <c r="G3992">
        <v>0</v>
      </c>
      <c r="H3992" t="s">
        <v>8916</v>
      </c>
      <c r="I3992">
        <v>4521</v>
      </c>
      <c r="J3992" t="e">
        <f>VLOOKUP(E3992,DSSpieler!A:B,2,FALSE)</f>
        <v>#N/A</v>
      </c>
    </row>
    <row r="3993" spans="1:10" x14ac:dyDescent="0.25">
      <c r="A3993">
        <v>4522</v>
      </c>
      <c r="B3993">
        <v>6</v>
      </c>
      <c r="C3993">
        <v>571</v>
      </c>
      <c r="D3993">
        <v>492</v>
      </c>
      <c r="E3993">
        <v>1577197994</v>
      </c>
      <c r="F3993">
        <v>5288</v>
      </c>
      <c r="G3993">
        <v>0</v>
      </c>
      <c r="H3993" t="s">
        <v>8917</v>
      </c>
      <c r="I3993">
        <v>4522</v>
      </c>
      <c r="J3993" t="str">
        <f>VLOOKUP(E3993,DSSpieler!A:B,2,FALSE)</f>
        <v>Spriee</v>
      </c>
    </row>
    <row r="3994" spans="1:10" x14ac:dyDescent="0.25">
      <c r="A3994">
        <v>4523</v>
      </c>
      <c r="B3994" t="s">
        <v>765</v>
      </c>
      <c r="C3994">
        <v>502</v>
      </c>
      <c r="D3994">
        <v>567</v>
      </c>
      <c r="E3994">
        <v>1577147110</v>
      </c>
      <c r="F3994">
        <v>5444</v>
      </c>
      <c r="G3994">
        <v>0</v>
      </c>
      <c r="H3994" t="s">
        <v>8918</v>
      </c>
      <c r="I3994">
        <v>4523</v>
      </c>
      <c r="J3994" t="str">
        <f>VLOOKUP(E3994,DSSpieler!A:B,2,FALSE)</f>
        <v>Sgt.Woody</v>
      </c>
    </row>
    <row r="3995" spans="1:10" x14ac:dyDescent="0.25">
      <c r="A3995">
        <v>4524</v>
      </c>
      <c r="B3995" t="s">
        <v>32178</v>
      </c>
      <c r="C3995">
        <v>413</v>
      </c>
      <c r="D3995">
        <v>429</v>
      </c>
      <c r="E3995">
        <v>1576412944</v>
      </c>
      <c r="F3995">
        <v>5571</v>
      </c>
      <c r="G3995">
        <v>0</v>
      </c>
      <c r="H3995" t="s">
        <v>8919</v>
      </c>
      <c r="I3995">
        <v>4524</v>
      </c>
      <c r="J3995" t="str">
        <f>VLOOKUP(E3995,DSSpieler!A:B,2,FALSE)</f>
        <v>siolo</v>
      </c>
    </row>
    <row r="3996" spans="1:10" x14ac:dyDescent="0.25">
      <c r="A3996">
        <v>4525</v>
      </c>
      <c r="B3996" t="s">
        <v>979</v>
      </c>
      <c r="C3996">
        <v>514</v>
      </c>
      <c r="D3996">
        <v>608</v>
      </c>
      <c r="E3996">
        <v>1577197847</v>
      </c>
      <c r="F3996">
        <v>5667</v>
      </c>
      <c r="G3996">
        <v>0</v>
      </c>
      <c r="H3996" t="s">
        <v>8920</v>
      </c>
      <c r="I3996">
        <v>4525</v>
      </c>
      <c r="J3996" t="str">
        <f>VLOOKUP(E3996,DSSpieler!A:B,2,FALSE)</f>
        <v>Dekk</v>
      </c>
    </row>
    <row r="3997" spans="1:10" x14ac:dyDescent="0.25">
      <c r="A3997">
        <v>4526</v>
      </c>
      <c r="B3997" t="s">
        <v>32179</v>
      </c>
      <c r="C3997">
        <v>605</v>
      </c>
      <c r="D3997">
        <v>489</v>
      </c>
      <c r="E3997">
        <v>8441109</v>
      </c>
      <c r="F3997">
        <v>4972</v>
      </c>
      <c r="G3997">
        <v>0</v>
      </c>
      <c r="H3997" t="s">
        <v>8921</v>
      </c>
      <c r="I3997">
        <v>4526</v>
      </c>
      <c r="J3997" t="str">
        <f>VLOOKUP(E3997,DSSpieler!A:B,2,FALSE)</f>
        <v>lywas</v>
      </c>
    </row>
    <row r="3998" spans="1:10" x14ac:dyDescent="0.25">
      <c r="A3998">
        <v>4527</v>
      </c>
      <c r="B3998" t="s">
        <v>32180</v>
      </c>
      <c r="C3998">
        <v>510</v>
      </c>
      <c r="D3998">
        <v>474</v>
      </c>
      <c r="E3998">
        <v>1577174875</v>
      </c>
      <c r="F3998">
        <v>3928</v>
      </c>
      <c r="G3998">
        <v>0</v>
      </c>
      <c r="H3998" t="s">
        <v>8922</v>
      </c>
      <c r="I3998">
        <v>4527</v>
      </c>
      <c r="J3998" t="str">
        <f>VLOOKUP(E3998,DSSpieler!A:B,2,FALSE)</f>
        <v>Der mit das Gerät</v>
      </c>
    </row>
    <row r="3999" spans="1:10" x14ac:dyDescent="0.25">
      <c r="A3999">
        <v>4528</v>
      </c>
      <c r="B3999" t="s">
        <v>30671</v>
      </c>
      <c r="C3999">
        <v>599</v>
      </c>
      <c r="D3999">
        <v>464</v>
      </c>
      <c r="E3999">
        <v>1577176958</v>
      </c>
      <c r="F3999">
        <v>4772</v>
      </c>
      <c r="G3999">
        <v>0</v>
      </c>
      <c r="H3999" t="s">
        <v>8923</v>
      </c>
      <c r="I3999">
        <v>4528</v>
      </c>
      <c r="J3999" t="str">
        <f>VLOOKUP(E3999,DSSpieler!A:B,2,FALSE)</f>
        <v>MultiCore</v>
      </c>
    </row>
    <row r="4000" spans="1:10" x14ac:dyDescent="0.25">
      <c r="A4000">
        <v>4529</v>
      </c>
      <c r="B4000" t="s">
        <v>32181</v>
      </c>
      <c r="C4000">
        <v>509</v>
      </c>
      <c r="D4000">
        <v>433</v>
      </c>
      <c r="E4000">
        <v>1577195688</v>
      </c>
      <c r="F4000">
        <v>2485</v>
      </c>
      <c r="G4000">
        <v>0</v>
      </c>
      <c r="H4000" t="s">
        <v>8924</v>
      </c>
      <c r="I4000">
        <v>4529</v>
      </c>
      <c r="J4000" t="str">
        <f>VLOOKUP(E4000,DSSpieler!A:B,2,FALSE)</f>
        <v>Darano</v>
      </c>
    </row>
    <row r="4001" spans="1:10" x14ac:dyDescent="0.25">
      <c r="A4001">
        <v>4530</v>
      </c>
      <c r="B4001" t="s">
        <v>30582</v>
      </c>
      <c r="C4001">
        <v>472</v>
      </c>
      <c r="D4001">
        <v>600</v>
      </c>
      <c r="E4001">
        <v>1577174726</v>
      </c>
      <c r="F4001">
        <v>5281</v>
      </c>
      <c r="G4001">
        <v>0</v>
      </c>
      <c r="H4001" t="s">
        <v>8925</v>
      </c>
      <c r="I4001">
        <v>4530</v>
      </c>
      <c r="J4001" t="str">
        <f>VLOOKUP(E4001,DSSpieler!A:B,2,FALSE)</f>
        <v>Nevada.vP</v>
      </c>
    </row>
    <row r="4002" spans="1:10" x14ac:dyDescent="0.25">
      <c r="A4002">
        <v>4531</v>
      </c>
      <c r="B4002" t="s">
        <v>31817</v>
      </c>
      <c r="C4002">
        <v>424</v>
      </c>
      <c r="D4002">
        <v>503</v>
      </c>
      <c r="E4002">
        <v>8321603</v>
      </c>
      <c r="F4002">
        <v>4695</v>
      </c>
      <c r="G4002">
        <v>0</v>
      </c>
      <c r="H4002" t="s">
        <v>8926</v>
      </c>
      <c r="I4002">
        <v>4531</v>
      </c>
      <c r="J4002">
        <f>VLOOKUP(E4002,DSSpieler!A:B,2,FALSE)</f>
        <v>25262054</v>
      </c>
    </row>
    <row r="4003" spans="1:10" x14ac:dyDescent="0.25">
      <c r="A4003">
        <v>4532</v>
      </c>
      <c r="B4003" t="s">
        <v>531</v>
      </c>
      <c r="C4003">
        <v>542</v>
      </c>
      <c r="D4003">
        <v>460</v>
      </c>
      <c r="E4003">
        <v>0</v>
      </c>
      <c r="F4003">
        <v>278</v>
      </c>
      <c r="G4003">
        <v>0</v>
      </c>
      <c r="H4003" t="s">
        <v>8927</v>
      </c>
      <c r="I4003">
        <v>4532</v>
      </c>
      <c r="J4003" t="e">
        <f>VLOOKUP(E4003,DSSpieler!A:B,2,FALSE)</f>
        <v>#N/A</v>
      </c>
    </row>
    <row r="4004" spans="1:10" x14ac:dyDescent="0.25">
      <c r="A4004">
        <v>4533</v>
      </c>
      <c r="B4004" t="s">
        <v>546</v>
      </c>
      <c r="C4004">
        <v>500</v>
      </c>
      <c r="D4004">
        <v>465</v>
      </c>
      <c r="E4004">
        <v>10241896</v>
      </c>
      <c r="F4004">
        <v>6373</v>
      </c>
      <c r="G4004">
        <v>0</v>
      </c>
      <c r="H4004" t="s">
        <v>8928</v>
      </c>
      <c r="I4004">
        <v>4533</v>
      </c>
      <c r="J4004" t="str">
        <f>VLOOKUP(E4004,DSSpieler!A:B,2,FALSE)</f>
        <v>oSiegi</v>
      </c>
    </row>
    <row r="4005" spans="1:10" x14ac:dyDescent="0.25">
      <c r="A4005">
        <v>4534</v>
      </c>
      <c r="B4005" t="s">
        <v>531</v>
      </c>
      <c r="C4005">
        <v>531</v>
      </c>
      <c r="D4005">
        <v>426</v>
      </c>
      <c r="E4005">
        <v>0</v>
      </c>
      <c r="F4005">
        <v>448</v>
      </c>
      <c r="G4005">
        <v>0</v>
      </c>
      <c r="H4005" t="s">
        <v>8929</v>
      </c>
      <c r="I4005">
        <v>4534</v>
      </c>
      <c r="J4005" t="e">
        <f>VLOOKUP(E4005,DSSpieler!A:B,2,FALSE)</f>
        <v>#N/A</v>
      </c>
    </row>
    <row r="4006" spans="1:10" x14ac:dyDescent="0.25">
      <c r="A4006">
        <v>4536</v>
      </c>
      <c r="B4006" t="s">
        <v>32182</v>
      </c>
      <c r="C4006">
        <v>458</v>
      </c>
      <c r="D4006">
        <v>554</v>
      </c>
      <c r="E4006">
        <v>1142612</v>
      </c>
      <c r="F4006">
        <v>7192</v>
      </c>
      <c r="G4006">
        <v>0</v>
      </c>
      <c r="H4006" t="s">
        <v>8930</v>
      </c>
      <c r="I4006">
        <v>4536</v>
      </c>
      <c r="J4006" t="str">
        <f>VLOOKUP(E4006,DSSpieler!A:B,2,FALSE)</f>
        <v>Adelsritter95</v>
      </c>
    </row>
    <row r="4007" spans="1:10" x14ac:dyDescent="0.25">
      <c r="A4007">
        <v>4537</v>
      </c>
      <c r="B4007" t="s">
        <v>32183</v>
      </c>
      <c r="C4007">
        <v>454</v>
      </c>
      <c r="D4007">
        <v>552</v>
      </c>
      <c r="E4007">
        <v>1576348420</v>
      </c>
      <c r="F4007">
        <v>4571</v>
      </c>
      <c r="G4007">
        <v>0</v>
      </c>
      <c r="H4007" t="s">
        <v>8931</v>
      </c>
      <c r="I4007">
        <v>4537</v>
      </c>
      <c r="J4007" t="str">
        <f>VLOOKUP(E4007,DSSpieler!A:B,2,FALSE)</f>
        <v>VfB-xandi</v>
      </c>
    </row>
    <row r="4008" spans="1:10" x14ac:dyDescent="0.25">
      <c r="A4008">
        <v>4538</v>
      </c>
      <c r="B4008" t="s">
        <v>531</v>
      </c>
      <c r="C4008">
        <v>570</v>
      </c>
      <c r="D4008">
        <v>495</v>
      </c>
      <c r="E4008">
        <v>0</v>
      </c>
      <c r="F4008">
        <v>348</v>
      </c>
      <c r="G4008">
        <v>0</v>
      </c>
      <c r="H4008" t="s">
        <v>8932</v>
      </c>
      <c r="I4008">
        <v>4538</v>
      </c>
      <c r="J4008" t="e">
        <f>VLOOKUP(E4008,DSSpieler!A:B,2,FALSE)</f>
        <v>#N/A</v>
      </c>
    </row>
    <row r="4009" spans="1:10" x14ac:dyDescent="0.25">
      <c r="A4009">
        <v>4539</v>
      </c>
      <c r="B4009" t="s">
        <v>30488</v>
      </c>
      <c r="C4009">
        <v>547</v>
      </c>
      <c r="D4009">
        <v>500</v>
      </c>
      <c r="E4009">
        <v>1576072374</v>
      </c>
      <c r="F4009">
        <v>4992</v>
      </c>
      <c r="G4009">
        <v>0</v>
      </c>
      <c r="H4009" t="s">
        <v>8933</v>
      </c>
      <c r="I4009">
        <v>4539</v>
      </c>
      <c r="J4009" t="str">
        <f>VLOOKUP(E4009,DSSpieler!A:B,2,FALSE)</f>
        <v>Oma Wetterwachs</v>
      </c>
    </row>
    <row r="4010" spans="1:10" x14ac:dyDescent="0.25">
      <c r="A4010">
        <v>4540</v>
      </c>
      <c r="B4010" t="s">
        <v>32184</v>
      </c>
      <c r="C4010">
        <v>506</v>
      </c>
      <c r="D4010">
        <v>553</v>
      </c>
      <c r="E4010">
        <v>1577171065</v>
      </c>
      <c r="F4010">
        <v>6879</v>
      </c>
      <c r="G4010">
        <v>0</v>
      </c>
      <c r="H4010" t="s">
        <v>8934</v>
      </c>
      <c r="I4010">
        <v>4540</v>
      </c>
      <c r="J4010" t="str">
        <f>VLOOKUP(E4010,DSSpieler!A:B,2,FALSE)</f>
        <v>Destonix</v>
      </c>
    </row>
    <row r="4011" spans="1:10" x14ac:dyDescent="0.25">
      <c r="A4011">
        <v>4541</v>
      </c>
      <c r="B4011" t="s">
        <v>531</v>
      </c>
      <c r="C4011">
        <v>543</v>
      </c>
      <c r="D4011">
        <v>534</v>
      </c>
      <c r="E4011">
        <v>0</v>
      </c>
      <c r="F4011">
        <v>474</v>
      </c>
      <c r="G4011">
        <v>0</v>
      </c>
      <c r="H4011" t="s">
        <v>8935</v>
      </c>
      <c r="I4011">
        <v>4541</v>
      </c>
      <c r="J4011" t="e">
        <f>VLOOKUP(E4011,DSSpieler!A:B,2,FALSE)</f>
        <v>#N/A</v>
      </c>
    </row>
    <row r="4012" spans="1:10" x14ac:dyDescent="0.25">
      <c r="A4012">
        <v>4542</v>
      </c>
      <c r="B4012" t="s">
        <v>31687</v>
      </c>
      <c r="C4012">
        <v>483</v>
      </c>
      <c r="D4012">
        <v>576</v>
      </c>
      <c r="E4012">
        <v>1576996406</v>
      </c>
      <c r="F4012">
        <v>6236</v>
      </c>
      <c r="G4012">
        <v>0</v>
      </c>
      <c r="H4012" t="s">
        <v>8936</v>
      </c>
      <c r="I4012">
        <v>4542</v>
      </c>
      <c r="J4012" t="str">
        <f>VLOOKUP(E4012,DSSpieler!A:B,2,FALSE)</f>
        <v>clownsq</v>
      </c>
    </row>
    <row r="4013" spans="1:10" x14ac:dyDescent="0.25">
      <c r="A4013">
        <v>4543</v>
      </c>
      <c r="B4013" t="s">
        <v>1279</v>
      </c>
      <c r="C4013">
        <v>546</v>
      </c>
      <c r="D4013">
        <v>541</v>
      </c>
      <c r="E4013">
        <v>1577188778</v>
      </c>
      <c r="F4013">
        <v>1789</v>
      </c>
      <c r="G4013">
        <v>0</v>
      </c>
      <c r="H4013" t="s">
        <v>8937</v>
      </c>
      <c r="I4013">
        <v>4543</v>
      </c>
      <c r="J4013" t="str">
        <f>VLOOKUP(E4013,DSSpieler!A:B,2,FALSE)</f>
        <v>Silv3rh4ze</v>
      </c>
    </row>
    <row r="4014" spans="1:10" x14ac:dyDescent="0.25">
      <c r="A4014">
        <v>4544</v>
      </c>
      <c r="B4014" t="s">
        <v>531</v>
      </c>
      <c r="C4014">
        <v>549</v>
      </c>
      <c r="D4014">
        <v>502</v>
      </c>
      <c r="E4014">
        <v>0</v>
      </c>
      <c r="F4014">
        <v>823</v>
      </c>
      <c r="G4014">
        <v>0</v>
      </c>
      <c r="H4014" t="s">
        <v>8938</v>
      </c>
      <c r="I4014">
        <v>4544</v>
      </c>
      <c r="J4014" t="e">
        <f>VLOOKUP(E4014,DSSpieler!A:B,2,FALSE)</f>
        <v>#N/A</v>
      </c>
    </row>
    <row r="4015" spans="1:10" x14ac:dyDescent="0.25">
      <c r="A4015">
        <v>4545</v>
      </c>
      <c r="B4015" t="s">
        <v>667</v>
      </c>
      <c r="C4015">
        <v>506</v>
      </c>
      <c r="D4015">
        <v>561</v>
      </c>
      <c r="E4015">
        <v>1576785796</v>
      </c>
      <c r="F4015">
        <v>7787</v>
      </c>
      <c r="G4015">
        <v>0</v>
      </c>
      <c r="H4015" t="s">
        <v>8939</v>
      </c>
      <c r="I4015">
        <v>4545</v>
      </c>
      <c r="J4015" t="str">
        <f>VLOOKUP(E4015,DSSpieler!A:B,2,FALSE)</f>
        <v>Bpic</v>
      </c>
    </row>
    <row r="4016" spans="1:10" x14ac:dyDescent="0.25">
      <c r="A4016">
        <v>4546</v>
      </c>
      <c r="B4016" t="s">
        <v>1280</v>
      </c>
      <c r="C4016">
        <v>504</v>
      </c>
      <c r="D4016">
        <v>499</v>
      </c>
      <c r="E4016">
        <v>1577184269</v>
      </c>
      <c r="F4016">
        <v>6449</v>
      </c>
      <c r="G4016">
        <v>0</v>
      </c>
      <c r="H4016" t="s">
        <v>8940</v>
      </c>
      <c r="I4016">
        <v>4546</v>
      </c>
      <c r="J4016" t="str">
        <f>VLOOKUP(E4016,DSSpieler!A:B,2,FALSE)</f>
        <v>JuckiJucki</v>
      </c>
    </row>
    <row r="4017" spans="1:10" x14ac:dyDescent="0.25">
      <c r="A4017">
        <v>4547</v>
      </c>
      <c r="B4017" t="s">
        <v>32185</v>
      </c>
      <c r="C4017">
        <v>451</v>
      </c>
      <c r="D4017">
        <v>557</v>
      </c>
      <c r="E4017">
        <v>9325150</v>
      </c>
      <c r="F4017">
        <v>6793</v>
      </c>
      <c r="G4017">
        <v>0</v>
      </c>
      <c r="H4017" t="s">
        <v>8941</v>
      </c>
      <c r="I4017">
        <v>4547</v>
      </c>
      <c r="J4017" t="str">
        <f>VLOOKUP(E4017,DSSpieler!A:B,2,FALSE)</f>
        <v>Marzipanmann</v>
      </c>
    </row>
    <row r="4018" spans="1:10" x14ac:dyDescent="0.25">
      <c r="A4018">
        <v>4549</v>
      </c>
      <c r="B4018" t="s">
        <v>531</v>
      </c>
      <c r="C4018">
        <v>440</v>
      </c>
      <c r="D4018">
        <v>490</v>
      </c>
      <c r="E4018">
        <v>0</v>
      </c>
      <c r="F4018">
        <v>285</v>
      </c>
      <c r="G4018">
        <v>0</v>
      </c>
      <c r="H4018" t="s">
        <v>8942</v>
      </c>
      <c r="I4018">
        <v>4549</v>
      </c>
      <c r="J4018" t="e">
        <f>VLOOKUP(E4018,DSSpieler!A:B,2,FALSE)</f>
        <v>#N/A</v>
      </c>
    </row>
    <row r="4019" spans="1:10" x14ac:dyDescent="0.25">
      <c r="A4019">
        <v>4550</v>
      </c>
      <c r="B4019" t="s">
        <v>32186</v>
      </c>
      <c r="C4019">
        <v>522</v>
      </c>
      <c r="D4019">
        <v>425</v>
      </c>
      <c r="E4019">
        <v>9132493</v>
      </c>
      <c r="F4019">
        <v>5245</v>
      </c>
      <c r="G4019">
        <v>0</v>
      </c>
      <c r="H4019" t="s">
        <v>8943</v>
      </c>
      <c r="I4019">
        <v>4550</v>
      </c>
      <c r="J4019" t="str">
        <f>VLOOKUP(E4019,DSSpieler!A:B,2,FALSE)</f>
        <v>RaZE pWnz EU</v>
      </c>
    </row>
    <row r="4020" spans="1:10" x14ac:dyDescent="0.25">
      <c r="A4020">
        <v>4551</v>
      </c>
      <c r="B4020" t="s">
        <v>531</v>
      </c>
      <c r="C4020">
        <v>449</v>
      </c>
      <c r="D4020">
        <v>528</v>
      </c>
      <c r="E4020">
        <v>0</v>
      </c>
      <c r="F4020">
        <v>401</v>
      </c>
      <c r="G4020">
        <v>0</v>
      </c>
      <c r="H4020" t="s">
        <v>8944</v>
      </c>
      <c r="I4020">
        <v>4551</v>
      </c>
      <c r="J4020" t="e">
        <f>VLOOKUP(E4020,DSSpieler!A:B,2,FALSE)</f>
        <v>#N/A</v>
      </c>
    </row>
    <row r="4021" spans="1:10" x14ac:dyDescent="0.25">
      <c r="A4021">
        <v>4552</v>
      </c>
      <c r="B4021" t="s">
        <v>32187</v>
      </c>
      <c r="C4021">
        <v>502</v>
      </c>
      <c r="D4021">
        <v>564</v>
      </c>
      <c r="E4021">
        <v>1577017123</v>
      </c>
      <c r="F4021">
        <v>903</v>
      </c>
      <c r="G4021">
        <v>0</v>
      </c>
      <c r="H4021" t="s">
        <v>8945</v>
      </c>
      <c r="I4021">
        <v>4552</v>
      </c>
      <c r="J4021" t="str">
        <f>VLOOKUP(E4021,DSSpieler!A:B,2,FALSE)</f>
        <v>Kleine Hexe123</v>
      </c>
    </row>
    <row r="4022" spans="1:10" x14ac:dyDescent="0.25">
      <c r="A4022">
        <v>4553</v>
      </c>
      <c r="B4022" t="s">
        <v>32188</v>
      </c>
      <c r="C4022">
        <v>446</v>
      </c>
      <c r="D4022">
        <v>428</v>
      </c>
      <c r="E4022">
        <v>1577180767</v>
      </c>
      <c r="F4022">
        <v>1563</v>
      </c>
      <c r="G4022">
        <v>0</v>
      </c>
      <c r="H4022" t="s">
        <v>8946</v>
      </c>
      <c r="I4022">
        <v>4553</v>
      </c>
      <c r="J4022" t="str">
        <f>VLOOKUP(E4022,DSSpieler!A:B,2,FALSE)</f>
        <v>August69Ames</v>
      </c>
    </row>
    <row r="4023" spans="1:10" x14ac:dyDescent="0.25">
      <c r="A4023">
        <v>4554</v>
      </c>
      <c r="B4023" t="s">
        <v>531</v>
      </c>
      <c r="C4023">
        <v>579</v>
      </c>
      <c r="D4023">
        <v>557</v>
      </c>
      <c r="E4023">
        <v>0</v>
      </c>
      <c r="F4023">
        <v>485</v>
      </c>
      <c r="G4023">
        <v>0</v>
      </c>
      <c r="H4023" t="s">
        <v>8947</v>
      </c>
      <c r="I4023">
        <v>4554</v>
      </c>
      <c r="J4023" t="e">
        <f>VLOOKUP(E4023,DSSpieler!A:B,2,FALSE)</f>
        <v>#N/A</v>
      </c>
    </row>
    <row r="4024" spans="1:10" x14ac:dyDescent="0.25">
      <c r="A4024">
        <v>4555</v>
      </c>
      <c r="B4024" t="e">
        <f>-agathe+feeling</f>
        <v>#NAME?</v>
      </c>
      <c r="C4024">
        <v>460</v>
      </c>
      <c r="D4024">
        <v>469</v>
      </c>
      <c r="E4024">
        <v>1577187756</v>
      </c>
      <c r="F4024">
        <v>7053</v>
      </c>
      <c r="G4024">
        <v>0</v>
      </c>
      <c r="H4024" t="s">
        <v>8948</v>
      </c>
      <c r="I4024">
        <v>4555</v>
      </c>
      <c r="J4024" t="str">
        <f>VLOOKUP(E4024,DSSpieler!A:B,2,FALSE)</f>
        <v>xmagical5</v>
      </c>
    </row>
    <row r="4025" spans="1:10" x14ac:dyDescent="0.25">
      <c r="A4025">
        <v>4556</v>
      </c>
      <c r="B4025" t="s">
        <v>32189</v>
      </c>
      <c r="C4025">
        <v>482</v>
      </c>
      <c r="D4025">
        <v>536</v>
      </c>
      <c r="E4025">
        <v>1577178111</v>
      </c>
      <c r="F4025">
        <v>3574</v>
      </c>
      <c r="G4025">
        <v>0</v>
      </c>
      <c r="H4025" t="s">
        <v>8949</v>
      </c>
      <c r="I4025">
        <v>4556</v>
      </c>
      <c r="J4025" t="str">
        <f>VLOOKUP(E4025,DSSpieler!A:B,2,FALSE)</f>
        <v>DoMii</v>
      </c>
    </row>
    <row r="4026" spans="1:10" x14ac:dyDescent="0.25">
      <c r="A4026">
        <v>4557</v>
      </c>
      <c r="B4026" t="s">
        <v>32190</v>
      </c>
      <c r="C4026">
        <v>446</v>
      </c>
      <c r="D4026">
        <v>461</v>
      </c>
      <c r="E4026">
        <v>950620</v>
      </c>
      <c r="F4026">
        <v>8165</v>
      </c>
      <c r="G4026">
        <v>0</v>
      </c>
      <c r="H4026" t="s">
        <v>8950</v>
      </c>
      <c r="I4026">
        <v>4557</v>
      </c>
      <c r="J4026" t="str">
        <f>VLOOKUP(E4026,DSSpieler!A:B,2,FALSE)</f>
        <v>nici55</v>
      </c>
    </row>
    <row r="4027" spans="1:10" x14ac:dyDescent="0.25">
      <c r="A4027">
        <v>4558</v>
      </c>
      <c r="B4027" t="s">
        <v>531</v>
      </c>
      <c r="C4027">
        <v>511</v>
      </c>
      <c r="D4027">
        <v>480</v>
      </c>
      <c r="E4027">
        <v>0</v>
      </c>
      <c r="F4027">
        <v>164</v>
      </c>
      <c r="G4027">
        <v>0</v>
      </c>
      <c r="H4027" t="s">
        <v>8951</v>
      </c>
      <c r="I4027">
        <v>4558</v>
      </c>
      <c r="J4027" t="e">
        <f>VLOOKUP(E4027,DSSpieler!A:B,2,FALSE)</f>
        <v>#N/A</v>
      </c>
    </row>
    <row r="4028" spans="1:10" x14ac:dyDescent="0.25">
      <c r="A4028">
        <v>4559</v>
      </c>
      <c r="B4028" t="s">
        <v>531</v>
      </c>
      <c r="C4028">
        <v>494</v>
      </c>
      <c r="D4028">
        <v>478</v>
      </c>
      <c r="E4028">
        <v>0</v>
      </c>
      <c r="F4028">
        <v>265</v>
      </c>
      <c r="G4028">
        <v>0</v>
      </c>
      <c r="H4028" t="s">
        <v>8952</v>
      </c>
      <c r="I4028">
        <v>4559</v>
      </c>
      <c r="J4028" t="e">
        <f>VLOOKUP(E4028,DSSpieler!A:B,2,FALSE)</f>
        <v>#N/A</v>
      </c>
    </row>
    <row r="4029" spans="1:10" x14ac:dyDescent="0.25">
      <c r="A4029">
        <v>4560</v>
      </c>
      <c r="B4029" t="s">
        <v>35828</v>
      </c>
      <c r="C4029">
        <v>499</v>
      </c>
      <c r="D4029">
        <v>604</v>
      </c>
      <c r="E4029">
        <v>731739</v>
      </c>
      <c r="F4029">
        <v>2175</v>
      </c>
      <c r="G4029">
        <v>0</v>
      </c>
      <c r="H4029" t="s">
        <v>8953</v>
      </c>
      <c r="I4029">
        <v>4560</v>
      </c>
      <c r="J4029" t="str">
        <f>VLOOKUP(E4029,DSSpieler!A:B,2,FALSE)</f>
        <v>BlayGlor</v>
      </c>
    </row>
    <row r="4030" spans="1:10" x14ac:dyDescent="0.25">
      <c r="A4030">
        <v>4561</v>
      </c>
      <c r="B4030" t="s">
        <v>32191</v>
      </c>
      <c r="C4030">
        <v>448</v>
      </c>
      <c r="D4030">
        <v>558</v>
      </c>
      <c r="E4030">
        <v>9325150</v>
      </c>
      <c r="F4030">
        <v>5292</v>
      </c>
      <c r="G4030">
        <v>0</v>
      </c>
      <c r="H4030" t="s">
        <v>8954</v>
      </c>
      <c r="I4030">
        <v>4561</v>
      </c>
      <c r="J4030" t="str">
        <f>VLOOKUP(E4030,DSSpieler!A:B,2,FALSE)</f>
        <v>Marzipanmann</v>
      </c>
    </row>
    <row r="4031" spans="1:10" x14ac:dyDescent="0.25">
      <c r="A4031">
        <v>4562</v>
      </c>
      <c r="B4031" t="s">
        <v>1281</v>
      </c>
      <c r="C4031">
        <v>489</v>
      </c>
      <c r="D4031">
        <v>440</v>
      </c>
      <c r="E4031">
        <v>1577191747</v>
      </c>
      <c r="F4031">
        <v>4423</v>
      </c>
      <c r="G4031">
        <v>0</v>
      </c>
      <c r="H4031" t="s">
        <v>8955</v>
      </c>
      <c r="I4031">
        <v>4562</v>
      </c>
      <c r="J4031" t="str">
        <f>VLOOKUP(E4031,DSSpieler!A:B,2,FALSE)</f>
        <v>Stevie95</v>
      </c>
    </row>
    <row r="4032" spans="1:10" x14ac:dyDescent="0.25">
      <c r="A4032">
        <v>4563</v>
      </c>
      <c r="B4032" t="s">
        <v>1282</v>
      </c>
      <c r="C4032">
        <v>415</v>
      </c>
      <c r="D4032">
        <v>529</v>
      </c>
      <c r="E4032">
        <v>1577190788</v>
      </c>
      <c r="F4032">
        <v>5527</v>
      </c>
      <c r="G4032">
        <v>0</v>
      </c>
      <c r="H4032" t="s">
        <v>8956</v>
      </c>
      <c r="I4032">
        <v>4563</v>
      </c>
      <c r="J4032">
        <f>VLOOKUP(E4032,DSSpieler!A:B,2,FALSE)</f>
        <v>195498</v>
      </c>
    </row>
    <row r="4033" spans="1:10" x14ac:dyDescent="0.25">
      <c r="A4033">
        <v>4564</v>
      </c>
      <c r="B4033" t="s">
        <v>30582</v>
      </c>
      <c r="C4033">
        <v>473</v>
      </c>
      <c r="D4033">
        <v>606</v>
      </c>
      <c r="E4033">
        <v>1577174726</v>
      </c>
      <c r="F4033">
        <v>5137</v>
      </c>
      <c r="G4033">
        <v>0</v>
      </c>
      <c r="H4033" t="s">
        <v>8957</v>
      </c>
      <c r="I4033">
        <v>4564</v>
      </c>
      <c r="J4033" t="str">
        <f>VLOOKUP(E4033,DSSpieler!A:B,2,FALSE)</f>
        <v>Nevada.vP</v>
      </c>
    </row>
    <row r="4034" spans="1:10" x14ac:dyDescent="0.25">
      <c r="A4034">
        <v>4565</v>
      </c>
      <c r="B4034" t="s">
        <v>531</v>
      </c>
      <c r="C4034">
        <v>538</v>
      </c>
      <c r="D4034">
        <v>469</v>
      </c>
      <c r="E4034">
        <v>0</v>
      </c>
      <c r="F4034">
        <v>727</v>
      </c>
      <c r="G4034">
        <v>0</v>
      </c>
      <c r="H4034" t="s">
        <v>8958</v>
      </c>
      <c r="I4034">
        <v>4565</v>
      </c>
      <c r="J4034" t="e">
        <f>VLOOKUP(E4034,DSSpieler!A:B,2,FALSE)</f>
        <v>#N/A</v>
      </c>
    </row>
    <row r="4035" spans="1:10" x14ac:dyDescent="0.25">
      <c r="A4035">
        <v>4566</v>
      </c>
      <c r="B4035" t="s">
        <v>531</v>
      </c>
      <c r="C4035">
        <v>464</v>
      </c>
      <c r="D4035">
        <v>564</v>
      </c>
      <c r="E4035">
        <v>0</v>
      </c>
      <c r="F4035">
        <v>302</v>
      </c>
      <c r="G4035">
        <v>0</v>
      </c>
      <c r="H4035" t="s">
        <v>8959</v>
      </c>
      <c r="I4035">
        <v>4566</v>
      </c>
      <c r="J4035" t="e">
        <f>VLOOKUP(E4035,DSSpieler!A:B,2,FALSE)</f>
        <v>#N/A</v>
      </c>
    </row>
    <row r="4036" spans="1:10" x14ac:dyDescent="0.25">
      <c r="A4036">
        <v>4567</v>
      </c>
      <c r="B4036" t="s">
        <v>32192</v>
      </c>
      <c r="C4036">
        <v>543</v>
      </c>
      <c r="D4036">
        <v>498</v>
      </c>
      <c r="E4036">
        <v>1577168029</v>
      </c>
      <c r="F4036">
        <v>6789</v>
      </c>
      <c r="G4036">
        <v>0</v>
      </c>
      <c r="H4036" t="s">
        <v>8960</v>
      </c>
      <c r="I4036">
        <v>4567</v>
      </c>
      <c r="J4036" t="str">
        <f>VLOOKUP(E4036,DSSpieler!A:B,2,FALSE)</f>
        <v>RustyNail</v>
      </c>
    </row>
    <row r="4037" spans="1:10" x14ac:dyDescent="0.25">
      <c r="A4037">
        <v>4568</v>
      </c>
      <c r="B4037" t="s">
        <v>32193</v>
      </c>
      <c r="C4037">
        <v>463</v>
      </c>
      <c r="D4037">
        <v>403</v>
      </c>
      <c r="E4037">
        <v>1531416</v>
      </c>
      <c r="F4037">
        <v>4680</v>
      </c>
      <c r="G4037">
        <v>0</v>
      </c>
      <c r="H4037" t="s">
        <v>8961</v>
      </c>
      <c r="I4037">
        <v>4568</v>
      </c>
      <c r="J4037" t="str">
        <f>VLOOKUP(E4037,DSSpieler!A:B,2,FALSE)</f>
        <v>Lenni94</v>
      </c>
    </row>
    <row r="4038" spans="1:10" x14ac:dyDescent="0.25">
      <c r="A4038">
        <v>4569</v>
      </c>
      <c r="B4038" t="s">
        <v>32194</v>
      </c>
      <c r="C4038">
        <v>581</v>
      </c>
      <c r="D4038">
        <v>522</v>
      </c>
      <c r="E4038">
        <v>1577168712</v>
      </c>
      <c r="F4038">
        <v>5794</v>
      </c>
      <c r="G4038">
        <v>0</v>
      </c>
      <c r="H4038" t="s">
        <v>8962</v>
      </c>
      <c r="I4038">
        <v>4569</v>
      </c>
      <c r="J4038" t="str">
        <f>VLOOKUP(E4038,DSSpieler!A:B,2,FALSE)</f>
        <v>plsdontbanme</v>
      </c>
    </row>
    <row r="4039" spans="1:10" x14ac:dyDescent="0.25">
      <c r="A4039">
        <v>4570</v>
      </c>
      <c r="B4039" t="s">
        <v>32195</v>
      </c>
      <c r="C4039">
        <v>548</v>
      </c>
      <c r="D4039">
        <v>407</v>
      </c>
      <c r="E4039">
        <v>1577176327</v>
      </c>
      <c r="F4039">
        <v>6077</v>
      </c>
      <c r="G4039">
        <v>0</v>
      </c>
      <c r="H4039" t="s">
        <v>8963</v>
      </c>
      <c r="I4039">
        <v>4570</v>
      </c>
      <c r="J4039" t="str">
        <f>VLOOKUP(E4039,DSSpieler!A:B,2,FALSE)</f>
        <v>DerAnthilope</v>
      </c>
    </row>
    <row r="4040" spans="1:10" x14ac:dyDescent="0.25">
      <c r="A4040">
        <v>4574</v>
      </c>
      <c r="B4040" t="s">
        <v>32196</v>
      </c>
      <c r="C4040">
        <v>465</v>
      </c>
      <c r="D4040">
        <v>574</v>
      </c>
      <c r="E4040">
        <v>1369880</v>
      </c>
      <c r="F4040">
        <v>3025</v>
      </c>
      <c r="G4040">
        <v>0</v>
      </c>
      <c r="H4040" t="s">
        <v>8964</v>
      </c>
      <c r="I4040">
        <v>4574</v>
      </c>
      <c r="J4040" t="str">
        <f>VLOOKUP(E4040,DSSpieler!A:B,2,FALSE)</f>
        <v>Cellme</v>
      </c>
    </row>
    <row r="4041" spans="1:10" x14ac:dyDescent="0.25">
      <c r="A4041">
        <v>4575</v>
      </c>
      <c r="B4041" t="s">
        <v>1283</v>
      </c>
      <c r="C4041">
        <v>604</v>
      </c>
      <c r="D4041">
        <v>466</v>
      </c>
      <c r="E4041">
        <v>8913153</v>
      </c>
      <c r="F4041">
        <v>7257</v>
      </c>
      <c r="G4041">
        <v>0</v>
      </c>
      <c r="H4041" t="s">
        <v>8965</v>
      </c>
      <c r="I4041">
        <v>4575</v>
      </c>
      <c r="J4041" t="str">
        <f>VLOOKUP(E4041,DSSpieler!A:B,2,FALSE)</f>
        <v>ShizzleMaNizzle</v>
      </c>
    </row>
    <row r="4042" spans="1:10" x14ac:dyDescent="0.25">
      <c r="A4042">
        <v>4576</v>
      </c>
      <c r="B4042" t="s">
        <v>32197</v>
      </c>
      <c r="C4042">
        <v>511</v>
      </c>
      <c r="D4042">
        <v>540</v>
      </c>
      <c r="E4042">
        <v>1577188511</v>
      </c>
      <c r="F4042">
        <v>4150</v>
      </c>
      <c r="G4042">
        <v>0</v>
      </c>
      <c r="H4042" t="s">
        <v>8966</v>
      </c>
      <c r="I4042">
        <v>4576</v>
      </c>
      <c r="J4042" t="str">
        <f>VLOOKUP(E4042,DSSpieler!A:B,2,FALSE)</f>
        <v>Diek118</v>
      </c>
    </row>
    <row r="4043" spans="1:10" x14ac:dyDescent="0.25">
      <c r="A4043">
        <v>4577</v>
      </c>
      <c r="B4043" t="s">
        <v>1284</v>
      </c>
      <c r="C4043">
        <v>519</v>
      </c>
      <c r="D4043">
        <v>535</v>
      </c>
      <c r="E4043">
        <v>1576893556</v>
      </c>
      <c r="F4043">
        <v>1031</v>
      </c>
      <c r="G4043">
        <v>0</v>
      </c>
      <c r="H4043" t="s">
        <v>8967</v>
      </c>
      <c r="I4043">
        <v>4577</v>
      </c>
      <c r="J4043" t="str">
        <f>VLOOKUP(E4043,DSSpieler!A:B,2,FALSE)</f>
        <v>Apfel15</v>
      </c>
    </row>
    <row r="4044" spans="1:10" x14ac:dyDescent="0.25">
      <c r="A4044">
        <v>4578</v>
      </c>
      <c r="B4044" t="e">
        <f>-3-+vom</f>
        <v>#NAME?</v>
      </c>
      <c r="C4044">
        <v>564</v>
      </c>
      <c r="D4044">
        <v>523</v>
      </c>
      <c r="E4044">
        <v>1577099191</v>
      </c>
      <c r="F4044">
        <v>4430</v>
      </c>
      <c r="G4044">
        <v>0</v>
      </c>
      <c r="H4044" t="s">
        <v>8968</v>
      </c>
      <c r="I4044">
        <v>4578</v>
      </c>
      <c r="J4044" t="str">
        <f>VLOOKUP(E4044,DSSpieler!A:B,2,FALSE)</f>
        <v>luckum3000</v>
      </c>
    </row>
    <row r="4045" spans="1:10" x14ac:dyDescent="0.25">
      <c r="A4045">
        <v>4579</v>
      </c>
      <c r="B4045" t="s">
        <v>32198</v>
      </c>
      <c r="C4045">
        <v>564</v>
      </c>
      <c r="D4045">
        <v>512</v>
      </c>
      <c r="E4045">
        <v>9369687</v>
      </c>
      <c r="F4045">
        <v>4758</v>
      </c>
      <c r="G4045">
        <v>0</v>
      </c>
      <c r="H4045" t="s">
        <v>8969</v>
      </c>
      <c r="I4045">
        <v>4579</v>
      </c>
      <c r="J4045" t="str">
        <f>VLOOKUP(E4045,DSSpieler!A:B,2,FALSE)</f>
        <v>Scoprionz</v>
      </c>
    </row>
    <row r="4046" spans="1:10" x14ac:dyDescent="0.25">
      <c r="A4046">
        <v>4580</v>
      </c>
      <c r="B4046">
        <v>2</v>
      </c>
      <c r="C4046">
        <v>464</v>
      </c>
      <c r="D4046">
        <v>463</v>
      </c>
      <c r="E4046">
        <v>1577145074</v>
      </c>
      <c r="F4046">
        <v>7396</v>
      </c>
      <c r="G4046">
        <v>0</v>
      </c>
      <c r="H4046" t="s">
        <v>8970</v>
      </c>
      <c r="I4046">
        <v>4580</v>
      </c>
      <c r="J4046" t="str">
        <f>VLOOKUP(E4046,DSSpieler!A:B,2,FALSE)</f>
        <v>ichbinsnur</v>
      </c>
    </row>
    <row r="4047" spans="1:10" x14ac:dyDescent="0.25">
      <c r="A4047">
        <v>4581</v>
      </c>
      <c r="B4047" t="s">
        <v>1285</v>
      </c>
      <c r="C4047">
        <v>539</v>
      </c>
      <c r="D4047">
        <v>508</v>
      </c>
      <c r="E4047">
        <v>1576639107</v>
      </c>
      <c r="F4047">
        <v>4173</v>
      </c>
      <c r="G4047">
        <v>0</v>
      </c>
      <c r="H4047" t="s">
        <v>8971</v>
      </c>
      <c r="I4047">
        <v>4581</v>
      </c>
      <c r="J4047" t="str">
        <f>VLOOKUP(E4047,DSSpieler!A:B,2,FALSE)</f>
        <v>JonnyAlpha</v>
      </c>
    </row>
    <row r="4048" spans="1:10" x14ac:dyDescent="0.25">
      <c r="A4048">
        <v>4582</v>
      </c>
      <c r="B4048">
        <v>6</v>
      </c>
      <c r="C4048">
        <v>485</v>
      </c>
      <c r="D4048">
        <v>600</v>
      </c>
      <c r="E4048">
        <v>9173861</v>
      </c>
      <c r="F4048">
        <v>6882</v>
      </c>
      <c r="G4048">
        <v>0</v>
      </c>
      <c r="H4048" t="s">
        <v>8972</v>
      </c>
      <c r="I4048">
        <v>4582</v>
      </c>
      <c r="J4048" t="str">
        <f>VLOOKUP(E4048,DSSpieler!A:B,2,FALSE)</f>
        <v>dieweltmacht</v>
      </c>
    </row>
    <row r="4049" spans="1:10" x14ac:dyDescent="0.25">
      <c r="A4049">
        <v>4583</v>
      </c>
      <c r="B4049" t="s">
        <v>32199</v>
      </c>
      <c r="C4049">
        <v>398</v>
      </c>
      <c r="D4049">
        <v>512</v>
      </c>
      <c r="E4049">
        <v>1577159152</v>
      </c>
      <c r="F4049">
        <v>5176</v>
      </c>
      <c r="G4049">
        <v>0</v>
      </c>
      <c r="H4049" t="s">
        <v>8973</v>
      </c>
      <c r="I4049">
        <v>4583</v>
      </c>
      <c r="J4049" t="str">
        <f>VLOOKUP(E4049,DSSpieler!A:B,2,FALSE)</f>
        <v>bubiwa13</v>
      </c>
    </row>
    <row r="4050" spans="1:10" x14ac:dyDescent="0.25">
      <c r="A4050">
        <v>4584</v>
      </c>
      <c r="B4050" t="s">
        <v>32200</v>
      </c>
      <c r="C4050">
        <v>422</v>
      </c>
      <c r="D4050">
        <v>421</v>
      </c>
      <c r="E4050">
        <v>1577192950</v>
      </c>
      <c r="F4050">
        <v>6696</v>
      </c>
      <c r="G4050">
        <v>0</v>
      </c>
      <c r="H4050" t="s">
        <v>8974</v>
      </c>
      <c r="I4050">
        <v>4584</v>
      </c>
      <c r="J4050" t="str">
        <f>VLOOKUP(E4050,DSSpieler!A:B,2,FALSE)</f>
        <v>Dr4m4</v>
      </c>
    </row>
    <row r="4051" spans="1:10" x14ac:dyDescent="0.25">
      <c r="A4051">
        <v>4585</v>
      </c>
      <c r="B4051" t="s">
        <v>1249</v>
      </c>
      <c r="C4051">
        <v>567</v>
      </c>
      <c r="D4051">
        <v>430</v>
      </c>
      <c r="E4051">
        <v>2807345</v>
      </c>
      <c r="F4051">
        <v>4420</v>
      </c>
      <c r="G4051">
        <v>0</v>
      </c>
      <c r="H4051" t="s">
        <v>8975</v>
      </c>
      <c r="I4051">
        <v>4585</v>
      </c>
      <c r="J4051" t="str">
        <f>VLOOKUP(E4051,DSSpieler!A:B,2,FALSE)</f>
        <v>Cr00ked</v>
      </c>
    </row>
    <row r="4052" spans="1:10" x14ac:dyDescent="0.25">
      <c r="A4052">
        <v>4586</v>
      </c>
      <c r="B4052" t="s">
        <v>531</v>
      </c>
      <c r="C4052">
        <v>451</v>
      </c>
      <c r="D4052">
        <v>476</v>
      </c>
      <c r="E4052">
        <v>0</v>
      </c>
      <c r="F4052">
        <v>259</v>
      </c>
      <c r="G4052">
        <v>0</v>
      </c>
      <c r="H4052" t="s">
        <v>8976</v>
      </c>
      <c r="I4052">
        <v>4586</v>
      </c>
      <c r="J4052" t="e">
        <f>VLOOKUP(E4052,DSSpieler!A:B,2,FALSE)</f>
        <v>#N/A</v>
      </c>
    </row>
    <row r="4053" spans="1:10" x14ac:dyDescent="0.25">
      <c r="A4053">
        <v>4587</v>
      </c>
      <c r="B4053" t="s">
        <v>32201</v>
      </c>
      <c r="C4053">
        <v>606</v>
      </c>
      <c r="D4053">
        <v>499</v>
      </c>
      <c r="E4053">
        <v>1577187107</v>
      </c>
      <c r="F4053">
        <v>4722</v>
      </c>
      <c r="G4053">
        <v>0</v>
      </c>
      <c r="H4053" t="s">
        <v>8977</v>
      </c>
      <c r="I4053">
        <v>4587</v>
      </c>
      <c r="J4053" t="str">
        <f>VLOOKUP(E4053,DSSpieler!A:B,2,FALSE)</f>
        <v>Smookylein</v>
      </c>
    </row>
    <row r="4054" spans="1:10" x14ac:dyDescent="0.25">
      <c r="A4054">
        <v>4589</v>
      </c>
      <c r="B4054" t="s">
        <v>32202</v>
      </c>
      <c r="C4054">
        <v>421</v>
      </c>
      <c r="D4054">
        <v>538</v>
      </c>
      <c r="E4054">
        <v>10124100</v>
      </c>
      <c r="F4054">
        <v>5601</v>
      </c>
      <c r="G4054">
        <v>0</v>
      </c>
      <c r="H4054" t="s">
        <v>8978</v>
      </c>
      <c r="I4054">
        <v>4589</v>
      </c>
      <c r="J4054" t="str">
        <f>VLOOKUP(E4054,DSSpieler!A:B,2,FALSE)</f>
        <v>SourScr3am</v>
      </c>
    </row>
    <row r="4055" spans="1:10" x14ac:dyDescent="0.25">
      <c r="A4055">
        <v>4590</v>
      </c>
      <c r="B4055" t="s">
        <v>30947</v>
      </c>
      <c r="C4055">
        <v>587</v>
      </c>
      <c r="D4055">
        <v>442</v>
      </c>
      <c r="E4055">
        <v>1577010127</v>
      </c>
      <c r="F4055">
        <v>3299</v>
      </c>
      <c r="G4055">
        <v>0</v>
      </c>
      <c r="H4055" t="s">
        <v>8979</v>
      </c>
      <c r="I4055">
        <v>4590</v>
      </c>
      <c r="J4055" t="str">
        <f>VLOOKUP(E4055,DSSpieler!A:B,2,FALSE)</f>
        <v>FinallyDark</v>
      </c>
    </row>
    <row r="4056" spans="1:10" x14ac:dyDescent="0.25">
      <c r="A4056">
        <v>4591</v>
      </c>
      <c r="B4056" t="s">
        <v>32203</v>
      </c>
      <c r="C4056">
        <v>460</v>
      </c>
      <c r="D4056">
        <v>402</v>
      </c>
      <c r="E4056">
        <v>1531416</v>
      </c>
      <c r="F4056">
        <v>5585</v>
      </c>
      <c r="G4056">
        <v>0</v>
      </c>
      <c r="H4056" t="s">
        <v>8980</v>
      </c>
      <c r="I4056">
        <v>4591</v>
      </c>
      <c r="J4056" t="str">
        <f>VLOOKUP(E4056,DSSpieler!A:B,2,FALSE)</f>
        <v>Lenni94</v>
      </c>
    </row>
    <row r="4057" spans="1:10" x14ac:dyDescent="0.25">
      <c r="A4057">
        <v>4592</v>
      </c>
      <c r="B4057" t="s">
        <v>531</v>
      </c>
      <c r="C4057">
        <v>461</v>
      </c>
      <c r="D4057">
        <v>584</v>
      </c>
      <c r="E4057">
        <v>0</v>
      </c>
      <c r="F4057">
        <v>818</v>
      </c>
      <c r="G4057">
        <v>0</v>
      </c>
      <c r="H4057" t="s">
        <v>8981</v>
      </c>
      <c r="I4057">
        <v>4592</v>
      </c>
      <c r="J4057" t="e">
        <f>VLOOKUP(E4057,DSSpieler!A:B,2,FALSE)</f>
        <v>#N/A</v>
      </c>
    </row>
    <row r="4058" spans="1:10" x14ac:dyDescent="0.25">
      <c r="A4058">
        <v>4593</v>
      </c>
      <c r="B4058" t="s">
        <v>1286</v>
      </c>
      <c r="C4058">
        <v>537</v>
      </c>
      <c r="D4058">
        <v>541</v>
      </c>
      <c r="E4058">
        <v>205615</v>
      </c>
      <c r="F4058">
        <v>5479</v>
      </c>
      <c r="G4058">
        <v>0</v>
      </c>
      <c r="H4058" t="s">
        <v>8982</v>
      </c>
      <c r="I4058">
        <v>4593</v>
      </c>
      <c r="J4058" t="str">
        <f>VLOOKUP(E4058,DSSpieler!A:B,2,FALSE)</f>
        <v>hubeno</v>
      </c>
    </row>
    <row r="4059" spans="1:10" x14ac:dyDescent="0.25">
      <c r="A4059">
        <v>4594</v>
      </c>
      <c r="B4059" t="s">
        <v>32204</v>
      </c>
      <c r="C4059">
        <v>489</v>
      </c>
      <c r="D4059">
        <v>580</v>
      </c>
      <c r="E4059">
        <v>9574714</v>
      </c>
      <c r="F4059">
        <v>5428</v>
      </c>
      <c r="G4059">
        <v>0</v>
      </c>
      <c r="H4059" t="s">
        <v>8983</v>
      </c>
      <c r="I4059">
        <v>4594</v>
      </c>
      <c r="J4059" t="str">
        <f>VLOOKUP(E4059,DSSpieler!A:B,2,FALSE)</f>
        <v>Rest In Peace?</v>
      </c>
    </row>
    <row r="4060" spans="1:10" x14ac:dyDescent="0.25">
      <c r="A4060">
        <v>4595</v>
      </c>
      <c r="B4060" t="e">
        <f>-1-+Hamburg</f>
        <v>#NAME?</v>
      </c>
      <c r="C4060">
        <v>523</v>
      </c>
      <c r="D4060">
        <v>566</v>
      </c>
      <c r="E4060">
        <v>1576901589</v>
      </c>
      <c r="F4060">
        <v>5803</v>
      </c>
      <c r="G4060">
        <v>0</v>
      </c>
      <c r="H4060" t="s">
        <v>8984</v>
      </c>
      <c r="I4060">
        <v>4595</v>
      </c>
      <c r="J4060" t="str">
        <f>VLOOKUP(E4060,DSSpieler!A:B,2,FALSE)</f>
        <v>KingKoelln</v>
      </c>
    </row>
    <row r="4061" spans="1:10" x14ac:dyDescent="0.25">
      <c r="A4061">
        <v>4596</v>
      </c>
      <c r="B4061" t="s">
        <v>32205</v>
      </c>
      <c r="C4061">
        <v>448</v>
      </c>
      <c r="D4061">
        <v>429</v>
      </c>
      <c r="E4061">
        <v>1577181805</v>
      </c>
      <c r="F4061">
        <v>7747</v>
      </c>
      <c r="G4061">
        <v>0</v>
      </c>
      <c r="H4061" t="s">
        <v>8985</v>
      </c>
      <c r="I4061">
        <v>4596</v>
      </c>
      <c r="J4061" t="str">
        <f>VLOOKUP(E4061,DSSpieler!A:B,2,FALSE)</f>
        <v>Schereschleifer</v>
      </c>
    </row>
    <row r="4062" spans="1:10" x14ac:dyDescent="0.25">
      <c r="A4062">
        <v>4597</v>
      </c>
      <c r="B4062" t="s">
        <v>531</v>
      </c>
      <c r="C4062">
        <v>524</v>
      </c>
      <c r="D4062">
        <v>494</v>
      </c>
      <c r="E4062">
        <v>0</v>
      </c>
      <c r="F4062">
        <v>275</v>
      </c>
      <c r="G4062">
        <v>0</v>
      </c>
      <c r="H4062" t="s">
        <v>8986</v>
      </c>
      <c r="I4062">
        <v>4597</v>
      </c>
      <c r="J4062" t="e">
        <f>VLOOKUP(E4062,DSSpieler!A:B,2,FALSE)</f>
        <v>#N/A</v>
      </c>
    </row>
    <row r="4063" spans="1:10" x14ac:dyDescent="0.25">
      <c r="A4063">
        <v>4598</v>
      </c>
      <c r="B4063" t="s">
        <v>32206</v>
      </c>
      <c r="C4063">
        <v>477</v>
      </c>
      <c r="D4063">
        <v>534</v>
      </c>
      <c r="E4063">
        <v>1577185970</v>
      </c>
      <c r="F4063">
        <v>7278</v>
      </c>
      <c r="G4063">
        <v>0</v>
      </c>
      <c r="H4063" t="s">
        <v>8987</v>
      </c>
      <c r="I4063">
        <v>4598</v>
      </c>
      <c r="J4063" t="str">
        <f>VLOOKUP(E4063,DSSpieler!A:B,2,FALSE)</f>
        <v>Lord Kaktus</v>
      </c>
    </row>
    <row r="4064" spans="1:10" x14ac:dyDescent="0.25">
      <c r="A4064">
        <v>4599</v>
      </c>
      <c r="B4064" t="s">
        <v>531</v>
      </c>
      <c r="C4064">
        <v>511</v>
      </c>
      <c r="D4064">
        <v>555</v>
      </c>
      <c r="E4064">
        <v>0</v>
      </c>
      <c r="F4064">
        <v>324</v>
      </c>
      <c r="G4064">
        <v>0</v>
      </c>
      <c r="H4064" t="s">
        <v>8988</v>
      </c>
      <c r="I4064">
        <v>4599</v>
      </c>
      <c r="J4064" t="e">
        <f>VLOOKUP(E4064,DSSpieler!A:B,2,FALSE)</f>
        <v>#N/A</v>
      </c>
    </row>
    <row r="4065" spans="1:10" x14ac:dyDescent="0.25">
      <c r="A4065">
        <v>4600</v>
      </c>
      <c r="B4065" t="s">
        <v>32207</v>
      </c>
      <c r="C4065">
        <v>401</v>
      </c>
      <c r="D4065">
        <v>458</v>
      </c>
      <c r="E4065">
        <v>10270003</v>
      </c>
      <c r="F4065">
        <v>6153</v>
      </c>
      <c r="G4065">
        <v>0</v>
      </c>
      <c r="H4065" t="s">
        <v>8989</v>
      </c>
      <c r="I4065">
        <v>4600</v>
      </c>
      <c r="J4065" t="str">
        <f>VLOOKUP(E4065,DSSpieler!A:B,2,FALSE)</f>
        <v>superhuhn2013</v>
      </c>
    </row>
    <row r="4066" spans="1:10" x14ac:dyDescent="0.25">
      <c r="A4066">
        <v>4601</v>
      </c>
      <c r="B4066" t="s">
        <v>1287</v>
      </c>
      <c r="C4066">
        <v>421</v>
      </c>
      <c r="D4066">
        <v>485</v>
      </c>
      <c r="E4066">
        <v>9934669</v>
      </c>
      <c r="F4066">
        <v>5745</v>
      </c>
      <c r="G4066">
        <v>0</v>
      </c>
      <c r="H4066" t="s">
        <v>8990</v>
      </c>
      <c r="I4066">
        <v>4601</v>
      </c>
      <c r="J4066" t="str">
        <f>VLOOKUP(E4066,DSSpieler!A:B,2,FALSE)</f>
        <v>lucky-punch</v>
      </c>
    </row>
    <row r="4067" spans="1:10" x14ac:dyDescent="0.25">
      <c r="A4067">
        <v>4602</v>
      </c>
      <c r="B4067" t="s">
        <v>32208</v>
      </c>
      <c r="C4067">
        <v>439</v>
      </c>
      <c r="D4067">
        <v>519</v>
      </c>
      <c r="E4067">
        <v>1577181814</v>
      </c>
      <c r="F4067">
        <v>5450</v>
      </c>
      <c r="G4067">
        <v>0</v>
      </c>
      <c r="H4067" t="s">
        <v>8991</v>
      </c>
      <c r="I4067">
        <v>4602</v>
      </c>
      <c r="J4067" t="str">
        <f>VLOOKUP(E4067,DSSpieler!A:B,2,FALSE)</f>
        <v>jack.daniels</v>
      </c>
    </row>
    <row r="4068" spans="1:10" x14ac:dyDescent="0.25">
      <c r="A4068">
        <v>4603</v>
      </c>
      <c r="B4068" t="s">
        <v>32209</v>
      </c>
      <c r="C4068">
        <v>454</v>
      </c>
      <c r="D4068">
        <v>546</v>
      </c>
      <c r="E4068">
        <v>8942925</v>
      </c>
      <c r="F4068">
        <v>5377</v>
      </c>
      <c r="G4068">
        <v>0</v>
      </c>
      <c r="H4068" t="s">
        <v>8992</v>
      </c>
      <c r="I4068">
        <v>4603</v>
      </c>
      <c r="J4068" t="str">
        <f>VLOOKUP(E4068,DSSpieler!A:B,2,FALSE)</f>
        <v>Amaterzu</v>
      </c>
    </row>
    <row r="4069" spans="1:10" x14ac:dyDescent="0.25">
      <c r="A4069">
        <v>4605</v>
      </c>
      <c r="B4069">
        <v>1</v>
      </c>
      <c r="C4069">
        <v>465</v>
      </c>
      <c r="D4069">
        <v>494</v>
      </c>
      <c r="E4069">
        <v>1577066132</v>
      </c>
      <c r="F4069">
        <v>6015</v>
      </c>
      <c r="G4069">
        <v>0</v>
      </c>
      <c r="H4069" t="s">
        <v>8993</v>
      </c>
      <c r="I4069">
        <v>4605</v>
      </c>
      <c r="J4069" t="str">
        <f>VLOOKUP(E4069,DSSpieler!A:B,2,FALSE)</f>
        <v>Mecco</v>
      </c>
    </row>
    <row r="4070" spans="1:10" x14ac:dyDescent="0.25">
      <c r="A4070">
        <v>4606</v>
      </c>
      <c r="B4070" t="s">
        <v>531</v>
      </c>
      <c r="C4070">
        <v>454</v>
      </c>
      <c r="D4070">
        <v>528</v>
      </c>
      <c r="E4070">
        <v>0</v>
      </c>
      <c r="F4070">
        <v>368</v>
      </c>
      <c r="G4070">
        <v>0</v>
      </c>
      <c r="H4070" t="s">
        <v>8994</v>
      </c>
      <c r="I4070">
        <v>4606</v>
      </c>
      <c r="J4070" t="e">
        <f>VLOOKUP(E4070,DSSpieler!A:B,2,FALSE)</f>
        <v>#N/A</v>
      </c>
    </row>
    <row r="4071" spans="1:10" x14ac:dyDescent="0.25">
      <c r="A4071">
        <v>4607</v>
      </c>
      <c r="B4071" t="s">
        <v>531</v>
      </c>
      <c r="C4071">
        <v>601</v>
      </c>
      <c r="D4071">
        <v>554</v>
      </c>
      <c r="E4071">
        <v>0</v>
      </c>
      <c r="F4071">
        <v>972</v>
      </c>
      <c r="G4071">
        <v>0</v>
      </c>
      <c r="H4071" t="s">
        <v>8995</v>
      </c>
      <c r="I4071">
        <v>4607</v>
      </c>
      <c r="J4071" t="e">
        <f>VLOOKUP(E4071,DSSpieler!A:B,2,FALSE)</f>
        <v>#N/A</v>
      </c>
    </row>
    <row r="4072" spans="1:10" x14ac:dyDescent="0.25">
      <c r="A4072">
        <v>4608</v>
      </c>
      <c r="B4072" t="s">
        <v>1288</v>
      </c>
      <c r="C4072">
        <v>443</v>
      </c>
      <c r="D4072">
        <v>506</v>
      </c>
      <c r="E4072">
        <v>1577187041</v>
      </c>
      <c r="F4072">
        <v>6110</v>
      </c>
      <c r="G4072">
        <v>0</v>
      </c>
      <c r="H4072" t="s">
        <v>8996</v>
      </c>
      <c r="I4072">
        <v>4608</v>
      </c>
      <c r="J4072" t="str">
        <f>VLOOKUP(E4072,DSSpieler!A:B,2,FALSE)</f>
        <v>JackyAce</v>
      </c>
    </row>
    <row r="4073" spans="1:10" x14ac:dyDescent="0.25">
      <c r="A4073">
        <v>4609</v>
      </c>
      <c r="B4073" t="s">
        <v>531</v>
      </c>
      <c r="C4073">
        <v>526</v>
      </c>
      <c r="D4073">
        <v>460</v>
      </c>
      <c r="E4073">
        <v>0</v>
      </c>
      <c r="F4073">
        <v>434</v>
      </c>
      <c r="G4073">
        <v>0</v>
      </c>
      <c r="H4073" t="s">
        <v>8997</v>
      </c>
      <c r="I4073">
        <v>4609</v>
      </c>
      <c r="J4073" t="e">
        <f>VLOOKUP(E4073,DSSpieler!A:B,2,FALSE)</f>
        <v>#N/A</v>
      </c>
    </row>
    <row r="4074" spans="1:10" x14ac:dyDescent="0.25">
      <c r="A4074">
        <v>4610</v>
      </c>
      <c r="B4074" s="154">
        <v>178003</v>
      </c>
      <c r="C4074">
        <v>476</v>
      </c>
      <c r="D4074">
        <v>534</v>
      </c>
      <c r="E4074">
        <v>902335</v>
      </c>
      <c r="F4074">
        <v>5494</v>
      </c>
      <c r="G4074">
        <v>0</v>
      </c>
      <c r="H4074" t="s">
        <v>8998</v>
      </c>
      <c r="I4074">
        <v>4610</v>
      </c>
      <c r="J4074" t="str">
        <f>VLOOKUP(E4074,DSSpieler!A:B,2,FALSE)</f>
        <v>luna2</v>
      </c>
    </row>
    <row r="4075" spans="1:10" x14ac:dyDescent="0.25">
      <c r="A4075">
        <v>4611</v>
      </c>
      <c r="B4075" t="s">
        <v>32210</v>
      </c>
      <c r="C4075">
        <v>440</v>
      </c>
      <c r="D4075">
        <v>455</v>
      </c>
      <c r="E4075">
        <v>1577189323</v>
      </c>
      <c r="F4075">
        <v>7287</v>
      </c>
      <c r="G4075">
        <v>0</v>
      </c>
      <c r="H4075" t="s">
        <v>8999</v>
      </c>
      <c r="I4075">
        <v>4611</v>
      </c>
      <c r="J4075" t="str">
        <f>VLOOKUP(E4075,DSSpieler!A:B,2,FALSE)</f>
        <v>Andyann</v>
      </c>
    </row>
    <row r="4076" spans="1:10" x14ac:dyDescent="0.25">
      <c r="A4076">
        <v>4612</v>
      </c>
      <c r="B4076" t="s">
        <v>1289</v>
      </c>
      <c r="C4076">
        <v>462</v>
      </c>
      <c r="D4076">
        <v>513</v>
      </c>
      <c r="E4076">
        <v>1576785741</v>
      </c>
      <c r="F4076">
        <v>5765</v>
      </c>
      <c r="G4076">
        <v>0</v>
      </c>
      <c r="H4076" t="s">
        <v>9000</v>
      </c>
      <c r="I4076">
        <v>4612</v>
      </c>
      <c r="J4076" t="str">
        <f>VLOOKUP(E4076,DSSpieler!A:B,2,FALSE)</f>
        <v>Myforce</v>
      </c>
    </row>
    <row r="4077" spans="1:10" x14ac:dyDescent="0.25">
      <c r="A4077">
        <v>4613</v>
      </c>
      <c r="B4077" t="s">
        <v>1249</v>
      </c>
      <c r="C4077">
        <v>611</v>
      </c>
      <c r="D4077">
        <v>491</v>
      </c>
      <c r="E4077">
        <v>1576842002</v>
      </c>
      <c r="F4077">
        <v>3575</v>
      </c>
      <c r="G4077">
        <v>0</v>
      </c>
      <c r="H4077" t="s">
        <v>9001</v>
      </c>
      <c r="I4077">
        <v>4613</v>
      </c>
      <c r="J4077" t="str">
        <f>VLOOKUP(E4077,DSSpieler!A:B,2,FALSE)</f>
        <v>TAiTO3107</v>
      </c>
    </row>
    <row r="4078" spans="1:10" x14ac:dyDescent="0.25">
      <c r="A4078">
        <v>4614</v>
      </c>
      <c r="B4078" t="s">
        <v>32204</v>
      </c>
      <c r="C4078">
        <v>488</v>
      </c>
      <c r="D4078">
        <v>580</v>
      </c>
      <c r="E4078">
        <v>9574714</v>
      </c>
      <c r="F4078">
        <v>5779</v>
      </c>
      <c r="G4078">
        <v>0</v>
      </c>
      <c r="H4078" t="s">
        <v>9002</v>
      </c>
      <c r="I4078">
        <v>4614</v>
      </c>
      <c r="J4078" t="str">
        <f>VLOOKUP(E4078,DSSpieler!A:B,2,FALSE)</f>
        <v>Rest In Peace?</v>
      </c>
    </row>
    <row r="4079" spans="1:10" x14ac:dyDescent="0.25">
      <c r="A4079">
        <v>4615</v>
      </c>
      <c r="B4079" t="s">
        <v>32211</v>
      </c>
      <c r="C4079">
        <v>409</v>
      </c>
      <c r="D4079">
        <v>496</v>
      </c>
      <c r="E4079">
        <v>1576510718</v>
      </c>
      <c r="F4079">
        <v>7147</v>
      </c>
      <c r="G4079">
        <v>0</v>
      </c>
      <c r="H4079" t="s">
        <v>9003</v>
      </c>
      <c r="I4079">
        <v>4615</v>
      </c>
      <c r="J4079" t="str">
        <f>VLOOKUP(E4079,DSSpieler!A:B,2,FALSE)</f>
        <v>OnlyHD</v>
      </c>
    </row>
    <row r="4080" spans="1:10" x14ac:dyDescent="0.25">
      <c r="A4080">
        <v>4616</v>
      </c>
      <c r="B4080" t="s">
        <v>1290</v>
      </c>
      <c r="C4080">
        <v>471</v>
      </c>
      <c r="D4080">
        <v>418</v>
      </c>
      <c r="E4080">
        <v>1577188010</v>
      </c>
      <c r="F4080">
        <v>6787</v>
      </c>
      <c r="G4080">
        <v>0</v>
      </c>
      <c r="H4080" t="s">
        <v>9004</v>
      </c>
      <c r="I4080">
        <v>4616</v>
      </c>
      <c r="J4080" t="str">
        <f>VLOOKUP(E4080,DSSpieler!A:B,2,FALSE)</f>
        <v>Lord Grapefruit</v>
      </c>
    </row>
    <row r="4081" spans="1:10" x14ac:dyDescent="0.25">
      <c r="A4081">
        <v>4618</v>
      </c>
      <c r="B4081">
        <v>2</v>
      </c>
      <c r="C4081">
        <v>476</v>
      </c>
      <c r="D4081">
        <v>492</v>
      </c>
      <c r="E4081">
        <v>1577142959</v>
      </c>
      <c r="F4081">
        <v>667</v>
      </c>
      <c r="G4081">
        <v>0</v>
      </c>
      <c r="H4081" t="s">
        <v>9005</v>
      </c>
      <c r="I4081">
        <v>4618</v>
      </c>
      <c r="J4081" t="str">
        <f>VLOOKUP(E4081,DSSpieler!A:B,2,FALSE)</f>
        <v>lxmk</v>
      </c>
    </row>
    <row r="4082" spans="1:10" x14ac:dyDescent="0.25">
      <c r="A4082">
        <v>4620</v>
      </c>
      <c r="B4082" t="s">
        <v>32212</v>
      </c>
      <c r="C4082">
        <v>468</v>
      </c>
      <c r="D4082">
        <v>555</v>
      </c>
      <c r="E4082">
        <v>2639534</v>
      </c>
      <c r="F4082">
        <v>4136</v>
      </c>
      <c r="G4082">
        <v>0</v>
      </c>
      <c r="H4082" t="s">
        <v>9006</v>
      </c>
      <c r="I4082">
        <v>4620</v>
      </c>
      <c r="J4082" t="str">
        <f>VLOOKUP(E4082,DSSpieler!A:B,2,FALSE)</f>
        <v>Wastl 44</v>
      </c>
    </row>
    <row r="4083" spans="1:10" x14ac:dyDescent="0.25">
      <c r="A4083">
        <v>4621</v>
      </c>
      <c r="B4083" t="s">
        <v>531</v>
      </c>
      <c r="C4083">
        <v>445</v>
      </c>
      <c r="D4083">
        <v>462</v>
      </c>
      <c r="E4083">
        <v>0</v>
      </c>
      <c r="F4083">
        <v>358</v>
      </c>
      <c r="G4083">
        <v>0</v>
      </c>
      <c r="H4083" t="s">
        <v>9007</v>
      </c>
      <c r="I4083">
        <v>4621</v>
      </c>
      <c r="J4083" t="e">
        <f>VLOOKUP(E4083,DSSpieler!A:B,2,FALSE)</f>
        <v>#N/A</v>
      </c>
    </row>
    <row r="4084" spans="1:10" x14ac:dyDescent="0.25">
      <c r="A4084">
        <v>4622</v>
      </c>
      <c r="B4084" t="s">
        <v>32213</v>
      </c>
      <c r="C4084">
        <v>537</v>
      </c>
      <c r="D4084">
        <v>408</v>
      </c>
      <c r="E4084">
        <v>1577173457</v>
      </c>
      <c r="F4084">
        <v>4160</v>
      </c>
      <c r="G4084">
        <v>0</v>
      </c>
      <c r="H4084" t="s">
        <v>9008</v>
      </c>
      <c r="I4084">
        <v>4622</v>
      </c>
      <c r="J4084" t="str">
        <f>VLOOKUP(E4084,DSSpieler!A:B,2,FALSE)</f>
        <v>Blacki029ost</v>
      </c>
    </row>
    <row r="4085" spans="1:10" x14ac:dyDescent="0.25">
      <c r="A4085">
        <v>4623</v>
      </c>
      <c r="B4085" t="s">
        <v>531</v>
      </c>
      <c r="C4085">
        <v>571</v>
      </c>
      <c r="D4085">
        <v>538</v>
      </c>
      <c r="E4085">
        <v>0</v>
      </c>
      <c r="F4085">
        <v>90</v>
      </c>
      <c r="G4085">
        <v>0</v>
      </c>
      <c r="H4085" t="s">
        <v>9009</v>
      </c>
      <c r="I4085">
        <v>4623</v>
      </c>
      <c r="J4085" t="e">
        <f>VLOOKUP(E4085,DSSpieler!A:B,2,FALSE)</f>
        <v>#N/A</v>
      </c>
    </row>
    <row r="4086" spans="1:10" x14ac:dyDescent="0.25">
      <c r="A4086">
        <v>4625</v>
      </c>
      <c r="B4086" t="s">
        <v>531</v>
      </c>
      <c r="C4086">
        <v>551</v>
      </c>
      <c r="D4086">
        <v>490</v>
      </c>
      <c r="E4086">
        <v>0</v>
      </c>
      <c r="F4086">
        <v>156</v>
      </c>
      <c r="G4086">
        <v>0</v>
      </c>
      <c r="H4086" t="s">
        <v>9010</v>
      </c>
      <c r="I4086">
        <v>4625</v>
      </c>
      <c r="J4086" t="e">
        <f>VLOOKUP(E4086,DSSpieler!A:B,2,FALSE)</f>
        <v>#N/A</v>
      </c>
    </row>
    <row r="4087" spans="1:10" x14ac:dyDescent="0.25">
      <c r="A4087">
        <v>4626</v>
      </c>
      <c r="B4087" t="s">
        <v>531</v>
      </c>
      <c r="C4087">
        <v>490</v>
      </c>
      <c r="D4087">
        <v>486</v>
      </c>
      <c r="E4087">
        <v>0</v>
      </c>
      <c r="F4087">
        <v>408</v>
      </c>
      <c r="G4087">
        <v>0</v>
      </c>
      <c r="H4087" t="s">
        <v>9011</v>
      </c>
      <c r="I4087">
        <v>4626</v>
      </c>
      <c r="J4087" t="e">
        <f>VLOOKUP(E4087,DSSpieler!A:B,2,FALSE)</f>
        <v>#N/A</v>
      </c>
    </row>
    <row r="4088" spans="1:10" x14ac:dyDescent="0.25">
      <c r="A4088">
        <v>4627</v>
      </c>
      <c r="B4088" t="s">
        <v>32214</v>
      </c>
      <c r="C4088">
        <v>566</v>
      </c>
      <c r="D4088">
        <v>507</v>
      </c>
      <c r="E4088">
        <v>9369687</v>
      </c>
      <c r="F4088">
        <v>6324</v>
      </c>
      <c r="G4088">
        <v>0</v>
      </c>
      <c r="H4088" t="s">
        <v>9012</v>
      </c>
      <c r="I4088">
        <v>4627</v>
      </c>
      <c r="J4088" t="str">
        <f>VLOOKUP(E4088,DSSpieler!A:B,2,FALSE)</f>
        <v>Scoprionz</v>
      </c>
    </row>
    <row r="4089" spans="1:10" x14ac:dyDescent="0.25">
      <c r="A4089">
        <v>4630</v>
      </c>
      <c r="B4089" t="s">
        <v>1291</v>
      </c>
      <c r="C4089">
        <v>429</v>
      </c>
      <c r="D4089">
        <v>532</v>
      </c>
      <c r="E4089">
        <v>8744601</v>
      </c>
      <c r="F4089">
        <v>5998</v>
      </c>
      <c r="G4089">
        <v>0</v>
      </c>
      <c r="H4089" t="s">
        <v>9013</v>
      </c>
      <c r="I4089">
        <v>4630</v>
      </c>
      <c r="J4089" t="str">
        <f>VLOOKUP(E4089,DSSpieler!A:B,2,FALSE)</f>
        <v>lumpe95</v>
      </c>
    </row>
    <row r="4090" spans="1:10" x14ac:dyDescent="0.25">
      <c r="A4090">
        <v>4632</v>
      </c>
      <c r="B4090" t="s">
        <v>531</v>
      </c>
      <c r="C4090">
        <v>438</v>
      </c>
      <c r="D4090">
        <v>531</v>
      </c>
      <c r="E4090">
        <v>0</v>
      </c>
      <c r="F4090">
        <v>394</v>
      </c>
      <c r="G4090">
        <v>0</v>
      </c>
      <c r="H4090" t="s">
        <v>9014</v>
      </c>
      <c r="I4090">
        <v>4632</v>
      </c>
      <c r="J4090" t="e">
        <f>VLOOKUP(E4090,DSSpieler!A:B,2,FALSE)</f>
        <v>#N/A</v>
      </c>
    </row>
    <row r="4091" spans="1:10" x14ac:dyDescent="0.25">
      <c r="A4091">
        <v>4633</v>
      </c>
      <c r="B4091" t="s">
        <v>1292</v>
      </c>
      <c r="C4091">
        <v>449</v>
      </c>
      <c r="D4091">
        <v>508</v>
      </c>
      <c r="E4091">
        <v>1576870901</v>
      </c>
      <c r="F4091">
        <v>7205</v>
      </c>
      <c r="G4091">
        <v>0</v>
      </c>
      <c r="H4091" t="s">
        <v>9015</v>
      </c>
      <c r="I4091">
        <v>4633</v>
      </c>
      <c r="J4091" t="str">
        <f>VLOOKUP(E4091,DSSpieler!A:B,2,FALSE)</f>
        <v>I C A R U S</v>
      </c>
    </row>
    <row r="4092" spans="1:10" x14ac:dyDescent="0.25">
      <c r="A4092">
        <v>4634</v>
      </c>
      <c r="B4092" t="s">
        <v>531</v>
      </c>
      <c r="C4092">
        <v>439</v>
      </c>
      <c r="D4092">
        <v>515</v>
      </c>
      <c r="E4092">
        <v>0</v>
      </c>
      <c r="F4092">
        <v>177</v>
      </c>
      <c r="G4092">
        <v>0</v>
      </c>
      <c r="H4092" t="s">
        <v>9016</v>
      </c>
      <c r="I4092">
        <v>4634</v>
      </c>
      <c r="J4092" t="e">
        <f>VLOOKUP(E4092,DSSpieler!A:B,2,FALSE)</f>
        <v>#N/A</v>
      </c>
    </row>
    <row r="4093" spans="1:10" x14ac:dyDescent="0.25">
      <c r="A4093">
        <v>4635</v>
      </c>
      <c r="B4093" t="s">
        <v>531</v>
      </c>
      <c r="C4093">
        <v>475</v>
      </c>
      <c r="D4093">
        <v>527</v>
      </c>
      <c r="E4093">
        <v>0</v>
      </c>
      <c r="F4093">
        <v>591</v>
      </c>
      <c r="G4093">
        <v>0</v>
      </c>
      <c r="H4093" t="s">
        <v>9017</v>
      </c>
      <c r="I4093">
        <v>4635</v>
      </c>
      <c r="J4093" t="e">
        <f>VLOOKUP(E4093,DSSpieler!A:B,2,FALSE)</f>
        <v>#N/A</v>
      </c>
    </row>
    <row r="4094" spans="1:10" x14ac:dyDescent="0.25">
      <c r="A4094">
        <v>4636</v>
      </c>
      <c r="B4094" t="s">
        <v>531</v>
      </c>
      <c r="C4094">
        <v>489</v>
      </c>
      <c r="D4094">
        <v>546</v>
      </c>
      <c r="E4094">
        <v>0</v>
      </c>
      <c r="F4094">
        <v>348</v>
      </c>
      <c r="G4094">
        <v>0</v>
      </c>
      <c r="H4094" t="s">
        <v>9018</v>
      </c>
      <c r="I4094">
        <v>4636</v>
      </c>
      <c r="J4094" t="e">
        <f>VLOOKUP(E4094,DSSpieler!A:B,2,FALSE)</f>
        <v>#N/A</v>
      </c>
    </row>
    <row r="4095" spans="1:10" x14ac:dyDescent="0.25">
      <c r="A4095">
        <v>4637</v>
      </c>
      <c r="B4095" t="s">
        <v>1293</v>
      </c>
      <c r="C4095">
        <v>423</v>
      </c>
      <c r="D4095">
        <v>487</v>
      </c>
      <c r="E4095">
        <v>9934669</v>
      </c>
      <c r="F4095">
        <v>5726</v>
      </c>
      <c r="G4095">
        <v>0</v>
      </c>
      <c r="H4095" t="s">
        <v>9019</v>
      </c>
      <c r="I4095">
        <v>4637</v>
      </c>
      <c r="J4095" t="str">
        <f>VLOOKUP(E4095,DSSpieler!A:B,2,FALSE)</f>
        <v>lucky-punch</v>
      </c>
    </row>
    <row r="4096" spans="1:10" x14ac:dyDescent="0.25">
      <c r="A4096">
        <v>4638</v>
      </c>
      <c r="B4096" t="s">
        <v>150</v>
      </c>
      <c r="C4096">
        <v>498</v>
      </c>
      <c r="D4096">
        <v>597</v>
      </c>
      <c r="E4096">
        <v>1577091639</v>
      </c>
      <c r="F4096">
        <v>3747</v>
      </c>
      <c r="G4096">
        <v>0</v>
      </c>
      <c r="H4096" t="s">
        <v>9020</v>
      </c>
      <c r="I4096">
        <v>4638</v>
      </c>
      <c r="J4096" t="str">
        <f>VLOOKUP(E4096,DSSpieler!A:B,2,FALSE)</f>
        <v>Farmer4Life</v>
      </c>
    </row>
    <row r="4097" spans="1:10" x14ac:dyDescent="0.25">
      <c r="A4097">
        <v>4639</v>
      </c>
      <c r="B4097" t="s">
        <v>32215</v>
      </c>
      <c r="C4097">
        <v>432</v>
      </c>
      <c r="D4097">
        <v>425</v>
      </c>
      <c r="E4097">
        <v>1577071379</v>
      </c>
      <c r="F4097">
        <v>4587</v>
      </c>
      <c r="G4097">
        <v>0</v>
      </c>
      <c r="H4097" t="s">
        <v>9021</v>
      </c>
      <c r="I4097">
        <v>4639</v>
      </c>
      <c r="J4097" t="str">
        <f>VLOOKUP(E4097,DSSpieler!A:B,2,FALSE)</f>
        <v>Blackstone-</v>
      </c>
    </row>
    <row r="4098" spans="1:10" x14ac:dyDescent="0.25">
      <c r="A4098">
        <v>4640</v>
      </c>
      <c r="B4098" t="s">
        <v>531</v>
      </c>
      <c r="C4098">
        <v>416</v>
      </c>
      <c r="D4098">
        <v>473</v>
      </c>
      <c r="E4098">
        <v>0</v>
      </c>
      <c r="F4098">
        <v>498</v>
      </c>
      <c r="G4098">
        <v>0</v>
      </c>
      <c r="H4098" t="s">
        <v>9022</v>
      </c>
      <c r="I4098">
        <v>4640</v>
      </c>
      <c r="J4098" t="e">
        <f>VLOOKUP(E4098,DSSpieler!A:B,2,FALSE)</f>
        <v>#N/A</v>
      </c>
    </row>
    <row r="4099" spans="1:10" x14ac:dyDescent="0.25">
      <c r="A4099">
        <v>4641</v>
      </c>
      <c r="B4099">
        <v>3</v>
      </c>
      <c r="C4099">
        <v>573</v>
      </c>
      <c r="D4099">
        <v>508</v>
      </c>
      <c r="E4099">
        <v>1577191960</v>
      </c>
      <c r="F4099">
        <v>4880</v>
      </c>
      <c r="G4099">
        <v>0</v>
      </c>
      <c r="H4099" t="s">
        <v>9023</v>
      </c>
      <c r="I4099">
        <v>4641</v>
      </c>
      <c r="J4099" t="str">
        <f>VLOOKUP(E4099,DSSpieler!A:B,2,FALSE)</f>
        <v>TTOGOTT</v>
      </c>
    </row>
    <row r="4100" spans="1:10" x14ac:dyDescent="0.25">
      <c r="A4100">
        <v>4642</v>
      </c>
      <c r="B4100" t="s">
        <v>695</v>
      </c>
      <c r="C4100">
        <v>408</v>
      </c>
      <c r="D4100">
        <v>540</v>
      </c>
      <c r="E4100">
        <v>1577184870</v>
      </c>
      <c r="F4100">
        <v>6999</v>
      </c>
      <c r="G4100">
        <v>0</v>
      </c>
      <c r="H4100" t="s">
        <v>9024</v>
      </c>
      <c r="I4100">
        <v>4642</v>
      </c>
      <c r="J4100" t="str">
        <f>VLOOKUP(E4100,DSSpieler!A:B,2,FALSE)</f>
        <v>Toschie</v>
      </c>
    </row>
    <row r="4101" spans="1:10" x14ac:dyDescent="0.25">
      <c r="A4101">
        <v>4644</v>
      </c>
      <c r="B4101" t="s">
        <v>32216</v>
      </c>
      <c r="C4101">
        <v>425</v>
      </c>
      <c r="D4101">
        <v>544</v>
      </c>
      <c r="E4101">
        <v>10036893</v>
      </c>
      <c r="F4101">
        <v>7430</v>
      </c>
      <c r="G4101">
        <v>0</v>
      </c>
      <c r="H4101" t="s">
        <v>9025</v>
      </c>
      <c r="I4101">
        <v>4644</v>
      </c>
      <c r="J4101" t="str">
        <f>VLOOKUP(E4101,DSSpieler!A:B,2,FALSE)</f>
        <v>Dihydrogenmonoxid</v>
      </c>
    </row>
    <row r="4102" spans="1:10" x14ac:dyDescent="0.25">
      <c r="A4102">
        <v>4645</v>
      </c>
      <c r="B4102" t="s">
        <v>531</v>
      </c>
      <c r="C4102">
        <v>431</v>
      </c>
      <c r="D4102">
        <v>478</v>
      </c>
      <c r="E4102">
        <v>0</v>
      </c>
      <c r="F4102">
        <v>462</v>
      </c>
      <c r="G4102">
        <v>0</v>
      </c>
      <c r="H4102" t="s">
        <v>9026</v>
      </c>
      <c r="I4102">
        <v>4645</v>
      </c>
      <c r="J4102" t="e">
        <f>VLOOKUP(E4102,DSSpieler!A:B,2,FALSE)</f>
        <v>#N/A</v>
      </c>
    </row>
    <row r="4103" spans="1:10" x14ac:dyDescent="0.25">
      <c r="A4103">
        <v>4646</v>
      </c>
      <c r="B4103" t="s">
        <v>1294</v>
      </c>
      <c r="C4103">
        <v>504</v>
      </c>
      <c r="D4103">
        <v>471</v>
      </c>
      <c r="E4103">
        <v>8147504</v>
      </c>
      <c r="F4103">
        <v>3035</v>
      </c>
      <c r="G4103">
        <v>0</v>
      </c>
      <c r="H4103" t="s">
        <v>9027</v>
      </c>
      <c r="I4103">
        <v>4646</v>
      </c>
      <c r="J4103" t="str">
        <f>VLOOKUP(E4103,DSSpieler!A:B,2,FALSE)</f>
        <v>Count Urdays</v>
      </c>
    </row>
    <row r="4104" spans="1:10" x14ac:dyDescent="0.25">
      <c r="A4104">
        <v>4647</v>
      </c>
      <c r="B4104" t="s">
        <v>32217</v>
      </c>
      <c r="C4104">
        <v>455</v>
      </c>
      <c r="D4104">
        <v>541</v>
      </c>
      <c r="E4104">
        <v>1576822927</v>
      </c>
      <c r="F4104">
        <v>6027</v>
      </c>
      <c r="G4104">
        <v>0</v>
      </c>
      <c r="H4104" t="s">
        <v>9028</v>
      </c>
      <c r="I4104">
        <v>4647</v>
      </c>
      <c r="J4104" t="str">
        <f>VLOOKUP(E4104,DSSpieler!A:B,2,FALSE)</f>
        <v>PokeTrainer</v>
      </c>
    </row>
    <row r="4105" spans="1:10" x14ac:dyDescent="0.25">
      <c r="A4105">
        <v>4648</v>
      </c>
      <c r="B4105" t="s">
        <v>531</v>
      </c>
      <c r="C4105">
        <v>522</v>
      </c>
      <c r="D4105">
        <v>533</v>
      </c>
      <c r="E4105">
        <v>0</v>
      </c>
      <c r="F4105">
        <v>298</v>
      </c>
      <c r="G4105">
        <v>0</v>
      </c>
      <c r="H4105" t="s">
        <v>9029</v>
      </c>
      <c r="I4105">
        <v>4648</v>
      </c>
      <c r="J4105" t="e">
        <f>VLOOKUP(E4105,DSSpieler!A:B,2,FALSE)</f>
        <v>#N/A</v>
      </c>
    </row>
    <row r="4106" spans="1:10" x14ac:dyDescent="0.25">
      <c r="A4106">
        <v>4649</v>
      </c>
      <c r="B4106" t="s">
        <v>32218</v>
      </c>
      <c r="C4106">
        <v>505</v>
      </c>
      <c r="D4106">
        <v>525</v>
      </c>
      <c r="E4106">
        <v>9887827</v>
      </c>
      <c r="F4106">
        <v>5496</v>
      </c>
      <c r="G4106">
        <v>0</v>
      </c>
      <c r="H4106" t="s">
        <v>9030</v>
      </c>
      <c r="I4106">
        <v>4649</v>
      </c>
      <c r="J4106" t="str">
        <f>VLOOKUP(E4106,DSSpieler!A:B,2,FALSE)</f>
        <v>SonGekko</v>
      </c>
    </row>
    <row r="4107" spans="1:10" x14ac:dyDescent="0.25">
      <c r="A4107">
        <v>4650</v>
      </c>
      <c r="B4107" t="s">
        <v>32219</v>
      </c>
      <c r="C4107">
        <v>514</v>
      </c>
      <c r="D4107">
        <v>453</v>
      </c>
      <c r="E4107">
        <v>10240669</v>
      </c>
      <c r="F4107">
        <v>3628</v>
      </c>
      <c r="G4107">
        <v>0</v>
      </c>
      <c r="H4107" t="s">
        <v>9031</v>
      </c>
      <c r="I4107">
        <v>4650</v>
      </c>
      <c r="J4107" t="str">
        <f>VLOOKUP(E4107,DSSpieler!A:B,2,FALSE)</f>
        <v>MrInvisibleHD</v>
      </c>
    </row>
    <row r="4108" spans="1:10" x14ac:dyDescent="0.25">
      <c r="A4108">
        <v>4651</v>
      </c>
      <c r="B4108" t="s">
        <v>32220</v>
      </c>
      <c r="C4108">
        <v>511</v>
      </c>
      <c r="D4108">
        <v>579</v>
      </c>
      <c r="E4108">
        <v>2696156</v>
      </c>
      <c r="F4108">
        <v>6398</v>
      </c>
      <c r="G4108">
        <v>0</v>
      </c>
      <c r="H4108" t="s">
        <v>9032</v>
      </c>
      <c r="I4108">
        <v>4651</v>
      </c>
      <c r="J4108" t="str">
        <f>VLOOKUP(E4108,DSSpieler!A:B,2,FALSE)</f>
        <v>MoneyHoney</v>
      </c>
    </row>
    <row r="4109" spans="1:10" x14ac:dyDescent="0.25">
      <c r="A4109">
        <v>4652</v>
      </c>
      <c r="B4109" t="s">
        <v>32221</v>
      </c>
      <c r="C4109">
        <v>569</v>
      </c>
      <c r="D4109">
        <v>465</v>
      </c>
      <c r="E4109">
        <v>1577138742</v>
      </c>
      <c r="F4109">
        <v>3945</v>
      </c>
      <c r="G4109">
        <v>0</v>
      </c>
      <c r="H4109" t="s">
        <v>9033</v>
      </c>
      <c r="I4109">
        <v>4652</v>
      </c>
      <c r="J4109" t="str">
        <f>VLOOKUP(E4109,DSSpieler!A:B,2,FALSE)</f>
        <v>Ohaio18</v>
      </c>
    </row>
    <row r="4110" spans="1:10" x14ac:dyDescent="0.25">
      <c r="A4110">
        <v>4653</v>
      </c>
      <c r="B4110" t="s">
        <v>32222</v>
      </c>
      <c r="C4110">
        <v>506</v>
      </c>
      <c r="D4110">
        <v>509</v>
      </c>
      <c r="E4110">
        <v>1577197856</v>
      </c>
      <c r="F4110">
        <v>5145</v>
      </c>
      <c r="G4110">
        <v>0</v>
      </c>
      <c r="H4110" t="s">
        <v>9034</v>
      </c>
      <c r="I4110">
        <v>4653</v>
      </c>
      <c r="J4110" t="str">
        <f>VLOOKUP(E4110,DSSpieler!A:B,2,FALSE)</f>
        <v>oraenv</v>
      </c>
    </row>
    <row r="4111" spans="1:10" x14ac:dyDescent="0.25">
      <c r="A4111">
        <v>4654</v>
      </c>
      <c r="B4111" t="s">
        <v>531</v>
      </c>
      <c r="C4111">
        <v>473</v>
      </c>
      <c r="D4111">
        <v>502</v>
      </c>
      <c r="E4111">
        <v>0</v>
      </c>
      <c r="F4111">
        <v>234</v>
      </c>
      <c r="G4111">
        <v>0</v>
      </c>
      <c r="H4111" t="s">
        <v>9035</v>
      </c>
      <c r="I4111">
        <v>4654</v>
      </c>
      <c r="J4111" t="e">
        <f>VLOOKUP(E4111,DSSpieler!A:B,2,FALSE)</f>
        <v>#N/A</v>
      </c>
    </row>
    <row r="4112" spans="1:10" x14ac:dyDescent="0.25">
      <c r="A4112">
        <v>4655</v>
      </c>
      <c r="B4112" t="s">
        <v>531</v>
      </c>
      <c r="C4112">
        <v>443</v>
      </c>
      <c r="D4112">
        <v>456</v>
      </c>
      <c r="E4112">
        <v>0</v>
      </c>
      <c r="F4112">
        <v>378</v>
      </c>
      <c r="G4112">
        <v>0</v>
      </c>
      <c r="H4112" t="s">
        <v>9036</v>
      </c>
      <c r="I4112">
        <v>4655</v>
      </c>
      <c r="J4112" t="e">
        <f>VLOOKUP(E4112,DSSpieler!A:B,2,FALSE)</f>
        <v>#N/A</v>
      </c>
    </row>
    <row r="4113" spans="1:10" x14ac:dyDescent="0.25">
      <c r="A4113">
        <v>4656</v>
      </c>
      <c r="B4113" t="s">
        <v>32223</v>
      </c>
      <c r="C4113">
        <v>456</v>
      </c>
      <c r="D4113">
        <v>579</v>
      </c>
      <c r="E4113">
        <v>9460687</v>
      </c>
      <c r="F4113">
        <v>5487</v>
      </c>
      <c r="G4113">
        <v>0</v>
      </c>
      <c r="H4113" t="s">
        <v>9037</v>
      </c>
      <c r="I4113">
        <v>4656</v>
      </c>
      <c r="J4113" t="str">
        <f>VLOOKUP(E4113,DSSpieler!A:B,2,FALSE)</f>
        <v>MunichCowboy</v>
      </c>
    </row>
    <row r="4114" spans="1:10" x14ac:dyDescent="0.25">
      <c r="A4114">
        <v>4657</v>
      </c>
      <c r="B4114" t="s">
        <v>1291</v>
      </c>
      <c r="C4114">
        <v>430</v>
      </c>
      <c r="D4114">
        <v>531</v>
      </c>
      <c r="E4114">
        <v>8744601</v>
      </c>
      <c r="F4114">
        <v>5497</v>
      </c>
      <c r="G4114">
        <v>0</v>
      </c>
      <c r="H4114" t="s">
        <v>9038</v>
      </c>
      <c r="I4114">
        <v>4657</v>
      </c>
      <c r="J4114" t="str">
        <f>VLOOKUP(E4114,DSSpieler!A:B,2,FALSE)</f>
        <v>lumpe95</v>
      </c>
    </row>
    <row r="4115" spans="1:10" x14ac:dyDescent="0.25">
      <c r="A4115">
        <v>4658</v>
      </c>
      <c r="B4115" t="s">
        <v>531</v>
      </c>
      <c r="C4115">
        <v>489</v>
      </c>
      <c r="D4115">
        <v>429</v>
      </c>
      <c r="E4115">
        <v>0</v>
      </c>
      <c r="F4115">
        <v>435</v>
      </c>
      <c r="G4115">
        <v>0</v>
      </c>
      <c r="H4115" t="s">
        <v>9039</v>
      </c>
      <c r="I4115">
        <v>4658</v>
      </c>
      <c r="J4115" t="e">
        <f>VLOOKUP(E4115,DSSpieler!A:B,2,FALSE)</f>
        <v>#N/A</v>
      </c>
    </row>
    <row r="4116" spans="1:10" x14ac:dyDescent="0.25">
      <c r="A4116">
        <v>4659</v>
      </c>
      <c r="B4116">
        <v>1900</v>
      </c>
      <c r="C4116">
        <v>590</v>
      </c>
      <c r="D4116">
        <v>439</v>
      </c>
      <c r="E4116">
        <v>1576728689</v>
      </c>
      <c r="F4116">
        <v>6387</v>
      </c>
      <c r="G4116">
        <v>0</v>
      </c>
      <c r="H4116" t="s">
        <v>9040</v>
      </c>
      <c r="I4116">
        <v>4659</v>
      </c>
      <c r="J4116" t="str">
        <f>VLOOKUP(E4116,DSSpieler!A:B,2,FALSE)</f>
        <v>KingKlooz</v>
      </c>
    </row>
    <row r="4117" spans="1:10" x14ac:dyDescent="0.25">
      <c r="A4117">
        <v>4661</v>
      </c>
      <c r="B4117">
        <v>4</v>
      </c>
      <c r="C4117">
        <v>445</v>
      </c>
      <c r="D4117">
        <v>500</v>
      </c>
      <c r="E4117">
        <v>9763935</v>
      </c>
      <c r="F4117">
        <v>4107</v>
      </c>
      <c r="G4117">
        <v>0</v>
      </c>
      <c r="H4117" t="s">
        <v>9041</v>
      </c>
      <c r="I4117">
        <v>4661</v>
      </c>
      <c r="J4117" t="str">
        <f>VLOOKUP(E4117,DSSpieler!A:B,2,FALSE)</f>
        <v>HiidanX</v>
      </c>
    </row>
    <row r="4118" spans="1:10" x14ac:dyDescent="0.25">
      <c r="A4118">
        <v>4662</v>
      </c>
      <c r="B4118" t="s">
        <v>531</v>
      </c>
      <c r="C4118">
        <v>561</v>
      </c>
      <c r="D4118">
        <v>509</v>
      </c>
      <c r="E4118">
        <v>0</v>
      </c>
      <c r="F4118">
        <v>196</v>
      </c>
      <c r="G4118">
        <v>0</v>
      </c>
      <c r="H4118" t="s">
        <v>9042</v>
      </c>
      <c r="I4118">
        <v>4662</v>
      </c>
      <c r="J4118" t="e">
        <f>VLOOKUP(E4118,DSSpieler!A:B,2,FALSE)</f>
        <v>#N/A</v>
      </c>
    </row>
    <row r="4119" spans="1:10" x14ac:dyDescent="0.25">
      <c r="A4119">
        <v>4663</v>
      </c>
      <c r="B4119" t="s">
        <v>1295</v>
      </c>
      <c r="C4119">
        <v>473</v>
      </c>
      <c r="D4119">
        <v>514</v>
      </c>
      <c r="E4119">
        <v>8305777</v>
      </c>
      <c r="F4119">
        <v>5125</v>
      </c>
      <c r="G4119">
        <v>0</v>
      </c>
      <c r="H4119" t="s">
        <v>9043</v>
      </c>
      <c r="I4119">
        <v>4663</v>
      </c>
      <c r="J4119" t="str">
        <f>VLOOKUP(E4119,DSSpieler!A:B,2,FALSE)</f>
        <v>DieSteph</v>
      </c>
    </row>
    <row r="4120" spans="1:10" x14ac:dyDescent="0.25">
      <c r="A4120">
        <v>4665</v>
      </c>
      <c r="B4120" t="s">
        <v>531</v>
      </c>
      <c r="C4120">
        <v>486</v>
      </c>
      <c r="D4120">
        <v>449</v>
      </c>
      <c r="E4120">
        <v>0</v>
      </c>
      <c r="F4120">
        <v>190</v>
      </c>
      <c r="G4120">
        <v>0</v>
      </c>
      <c r="H4120" t="s">
        <v>9044</v>
      </c>
      <c r="I4120">
        <v>4665</v>
      </c>
      <c r="J4120" t="e">
        <f>VLOOKUP(E4120,DSSpieler!A:B,2,FALSE)</f>
        <v>#N/A</v>
      </c>
    </row>
    <row r="4121" spans="1:10" x14ac:dyDescent="0.25">
      <c r="A4121">
        <v>4666</v>
      </c>
      <c r="B4121" t="s">
        <v>32224</v>
      </c>
      <c r="C4121">
        <v>449</v>
      </c>
      <c r="D4121">
        <v>592</v>
      </c>
      <c r="E4121">
        <v>1378053</v>
      </c>
      <c r="F4121">
        <v>3671</v>
      </c>
      <c r="G4121">
        <v>0</v>
      </c>
      <c r="H4121" t="s">
        <v>9045</v>
      </c>
      <c r="I4121">
        <v>4666</v>
      </c>
      <c r="J4121" t="str">
        <f>VLOOKUP(E4121,DSSpieler!A:B,2,FALSE)</f>
        <v>Fremdius</v>
      </c>
    </row>
    <row r="4122" spans="1:10" x14ac:dyDescent="0.25">
      <c r="A4122">
        <v>4667</v>
      </c>
      <c r="B4122" t="s">
        <v>32225</v>
      </c>
      <c r="C4122">
        <v>459</v>
      </c>
      <c r="D4122">
        <v>520</v>
      </c>
      <c r="E4122">
        <v>8875414</v>
      </c>
      <c r="F4122">
        <v>4067</v>
      </c>
      <c r="G4122">
        <v>0</v>
      </c>
      <c r="H4122" t="s">
        <v>9046</v>
      </c>
      <c r="I4122">
        <v>4667</v>
      </c>
      <c r="J4122" t="str">
        <f>VLOOKUP(E4122,DSSpieler!A:B,2,FALSE)</f>
        <v>Hammer auf Fresse</v>
      </c>
    </row>
    <row r="4123" spans="1:10" x14ac:dyDescent="0.25">
      <c r="A4123">
        <v>4668</v>
      </c>
      <c r="B4123" t="s">
        <v>531</v>
      </c>
      <c r="C4123">
        <v>500</v>
      </c>
      <c r="D4123">
        <v>564</v>
      </c>
      <c r="E4123">
        <v>0</v>
      </c>
      <c r="F4123">
        <v>383</v>
      </c>
      <c r="G4123">
        <v>0</v>
      </c>
      <c r="H4123" t="s">
        <v>9047</v>
      </c>
      <c r="I4123">
        <v>4668</v>
      </c>
      <c r="J4123" t="e">
        <f>VLOOKUP(E4123,DSSpieler!A:B,2,FALSE)</f>
        <v>#N/A</v>
      </c>
    </row>
    <row r="4124" spans="1:10" x14ac:dyDescent="0.25">
      <c r="A4124">
        <v>4669</v>
      </c>
      <c r="B4124" t="s">
        <v>1296</v>
      </c>
      <c r="C4124">
        <v>553</v>
      </c>
      <c r="D4124">
        <v>551</v>
      </c>
      <c r="E4124">
        <v>1577170233</v>
      </c>
      <c r="F4124">
        <v>4644</v>
      </c>
      <c r="G4124">
        <v>0</v>
      </c>
      <c r="H4124" t="s">
        <v>9048</v>
      </c>
      <c r="I4124">
        <v>4669</v>
      </c>
      <c r="J4124" t="str">
        <f>VLOOKUP(E4124,DSSpieler!A:B,2,FALSE)</f>
        <v>quaison</v>
      </c>
    </row>
    <row r="4125" spans="1:10" x14ac:dyDescent="0.25">
      <c r="A4125">
        <v>4670</v>
      </c>
      <c r="B4125" t="s">
        <v>32226</v>
      </c>
      <c r="C4125">
        <v>522</v>
      </c>
      <c r="D4125">
        <v>426</v>
      </c>
      <c r="E4125">
        <v>1576428534</v>
      </c>
      <c r="F4125">
        <v>3622</v>
      </c>
      <c r="G4125">
        <v>0</v>
      </c>
      <c r="H4125" t="s">
        <v>9049</v>
      </c>
      <c r="I4125">
        <v>4670</v>
      </c>
      <c r="J4125" t="str">
        <f>VLOOKUP(E4125,DSSpieler!A:B,2,FALSE)</f>
        <v>KhaNickel</v>
      </c>
    </row>
    <row r="4126" spans="1:10" x14ac:dyDescent="0.25">
      <c r="A4126">
        <v>4671</v>
      </c>
      <c r="B4126" t="s">
        <v>32227</v>
      </c>
      <c r="C4126">
        <v>521</v>
      </c>
      <c r="D4126">
        <v>535</v>
      </c>
      <c r="E4126">
        <v>1577049253</v>
      </c>
      <c r="F4126">
        <v>5802</v>
      </c>
      <c r="G4126">
        <v>0</v>
      </c>
      <c r="H4126" t="s">
        <v>9050</v>
      </c>
      <c r="I4126">
        <v>4671</v>
      </c>
      <c r="J4126" t="str">
        <f>VLOOKUP(E4126,DSSpieler!A:B,2,FALSE)</f>
        <v>freshfield</v>
      </c>
    </row>
    <row r="4127" spans="1:10" x14ac:dyDescent="0.25">
      <c r="A4127">
        <v>4672</v>
      </c>
      <c r="B4127" t="s">
        <v>32228</v>
      </c>
      <c r="C4127">
        <v>401</v>
      </c>
      <c r="D4127">
        <v>450</v>
      </c>
      <c r="E4127">
        <v>1577197846</v>
      </c>
      <c r="F4127">
        <v>4392</v>
      </c>
      <c r="G4127">
        <v>0</v>
      </c>
      <c r="H4127" t="s">
        <v>9051</v>
      </c>
      <c r="I4127">
        <v>4672</v>
      </c>
      <c r="J4127" t="str">
        <f>VLOOKUP(E4127,DSSpieler!A:B,2,FALSE)</f>
        <v>KevGoetzi</v>
      </c>
    </row>
    <row r="4128" spans="1:10" x14ac:dyDescent="0.25">
      <c r="A4128">
        <v>4673</v>
      </c>
      <c r="B4128" t="s">
        <v>1297</v>
      </c>
      <c r="C4128">
        <v>464</v>
      </c>
      <c r="D4128">
        <v>553</v>
      </c>
      <c r="E4128">
        <v>9764565</v>
      </c>
      <c r="F4128">
        <v>4406</v>
      </c>
      <c r="G4128">
        <v>0</v>
      </c>
      <c r="H4128" t="s">
        <v>9052</v>
      </c>
      <c r="I4128">
        <v>4673</v>
      </c>
      <c r="J4128" t="str">
        <f>VLOOKUP(E4128,DSSpieler!A:B,2,FALSE)</f>
        <v>Capt.Bizeps</v>
      </c>
    </row>
    <row r="4129" spans="1:10" x14ac:dyDescent="0.25">
      <c r="A4129">
        <v>4674</v>
      </c>
      <c r="B4129" t="s">
        <v>1298</v>
      </c>
      <c r="C4129">
        <v>404</v>
      </c>
      <c r="D4129">
        <v>466</v>
      </c>
      <c r="E4129">
        <v>1577120304</v>
      </c>
      <c r="F4129">
        <v>3068</v>
      </c>
      <c r="G4129">
        <v>0</v>
      </c>
      <c r="H4129" t="s">
        <v>9053</v>
      </c>
      <c r="I4129">
        <v>4674</v>
      </c>
      <c r="J4129" t="str">
        <f>VLOOKUP(E4129,DSSpieler!A:B,2,FALSE)</f>
        <v>Zoapy</v>
      </c>
    </row>
    <row r="4130" spans="1:10" x14ac:dyDescent="0.25">
      <c r="A4130">
        <v>4675</v>
      </c>
      <c r="B4130" t="s">
        <v>32229</v>
      </c>
      <c r="C4130">
        <v>443</v>
      </c>
      <c r="D4130">
        <v>509</v>
      </c>
      <c r="E4130">
        <v>9646096</v>
      </c>
      <c r="F4130">
        <v>4167</v>
      </c>
      <c r="G4130">
        <v>0</v>
      </c>
      <c r="H4130" t="s">
        <v>9054</v>
      </c>
      <c r="I4130">
        <v>4675</v>
      </c>
      <c r="J4130" t="str">
        <f>VLOOKUP(E4130,DSSpieler!A:B,2,FALSE)</f>
        <v>GapG21</v>
      </c>
    </row>
    <row r="4131" spans="1:10" x14ac:dyDescent="0.25">
      <c r="A4131">
        <v>4676</v>
      </c>
      <c r="B4131" t="s">
        <v>31490</v>
      </c>
      <c r="C4131">
        <v>554</v>
      </c>
      <c r="D4131">
        <v>559</v>
      </c>
      <c r="E4131">
        <v>1577138953</v>
      </c>
      <c r="F4131">
        <v>5403</v>
      </c>
      <c r="G4131">
        <v>0</v>
      </c>
      <c r="H4131" t="s">
        <v>9055</v>
      </c>
      <c r="I4131">
        <v>4676</v>
      </c>
      <c r="J4131" t="str">
        <f>VLOOKUP(E4131,DSSpieler!A:B,2,FALSE)</f>
        <v>ganz entspannt</v>
      </c>
    </row>
    <row r="4132" spans="1:10" x14ac:dyDescent="0.25">
      <c r="A4132">
        <v>4677</v>
      </c>
      <c r="B4132" t="s">
        <v>780</v>
      </c>
      <c r="C4132">
        <v>599</v>
      </c>
      <c r="D4132">
        <v>515</v>
      </c>
      <c r="E4132">
        <v>1577195219</v>
      </c>
      <c r="F4132">
        <v>6294</v>
      </c>
      <c r="G4132">
        <v>0</v>
      </c>
      <c r="H4132" t="s">
        <v>9056</v>
      </c>
      <c r="I4132">
        <v>4677</v>
      </c>
      <c r="J4132" t="str">
        <f>VLOOKUP(E4132,DSSpieler!A:B,2,FALSE)</f>
        <v>Eric Cartman</v>
      </c>
    </row>
    <row r="4133" spans="1:10" x14ac:dyDescent="0.25">
      <c r="A4133">
        <v>4678</v>
      </c>
      <c r="B4133" t="s">
        <v>32230</v>
      </c>
      <c r="C4133">
        <v>582</v>
      </c>
      <c r="D4133">
        <v>570</v>
      </c>
      <c r="E4133">
        <v>1577033300</v>
      </c>
      <c r="F4133">
        <v>5448</v>
      </c>
      <c r="G4133">
        <v>0</v>
      </c>
      <c r="H4133" t="s">
        <v>9057</v>
      </c>
      <c r="I4133">
        <v>4678</v>
      </c>
      <c r="J4133" t="str">
        <f>VLOOKUP(E4133,DSSpieler!A:B,2,FALSE)</f>
        <v>Umanic</v>
      </c>
    </row>
    <row r="4134" spans="1:10" x14ac:dyDescent="0.25">
      <c r="A4134">
        <v>4679</v>
      </c>
      <c r="B4134" t="s">
        <v>1299</v>
      </c>
      <c r="C4134">
        <v>485</v>
      </c>
      <c r="D4134">
        <v>441</v>
      </c>
      <c r="E4134">
        <v>1576822286</v>
      </c>
      <c r="F4134">
        <v>5016</v>
      </c>
      <c r="G4134">
        <v>0</v>
      </c>
      <c r="H4134" t="s">
        <v>9058</v>
      </c>
      <c r="I4134">
        <v>4679</v>
      </c>
      <c r="J4134" t="str">
        <f>VLOOKUP(E4134,DSSpieler!A:B,2,FALSE)</f>
        <v>Hazack</v>
      </c>
    </row>
    <row r="4135" spans="1:10" x14ac:dyDescent="0.25">
      <c r="A4135">
        <v>4680</v>
      </c>
      <c r="B4135" t="s">
        <v>1243</v>
      </c>
      <c r="C4135">
        <v>504</v>
      </c>
      <c r="D4135">
        <v>431</v>
      </c>
      <c r="E4135">
        <v>9490545</v>
      </c>
      <c r="F4135">
        <v>5242</v>
      </c>
      <c r="G4135">
        <v>0</v>
      </c>
      <c r="H4135" t="s">
        <v>9059</v>
      </c>
      <c r="I4135">
        <v>4680</v>
      </c>
      <c r="J4135" t="str">
        <f>VLOOKUP(E4135,DSSpieler!A:B,2,FALSE)</f>
        <v>Verräterus 2</v>
      </c>
    </row>
    <row r="4136" spans="1:10" x14ac:dyDescent="0.25">
      <c r="A4136">
        <v>4681</v>
      </c>
      <c r="B4136" t="s">
        <v>1300</v>
      </c>
      <c r="C4136">
        <v>455</v>
      </c>
      <c r="D4136">
        <v>551</v>
      </c>
      <c r="E4136">
        <v>1655762</v>
      </c>
      <c r="F4136">
        <v>6400</v>
      </c>
      <c r="G4136">
        <v>0</v>
      </c>
      <c r="H4136" t="s">
        <v>9060</v>
      </c>
      <c r="I4136">
        <v>4681</v>
      </c>
      <c r="J4136" t="str">
        <f>VLOOKUP(E4136,DSSpieler!A:B,2,FALSE)</f>
        <v>lugi007</v>
      </c>
    </row>
    <row r="4137" spans="1:10" x14ac:dyDescent="0.25">
      <c r="A4137">
        <v>4682</v>
      </c>
      <c r="B4137" t="s">
        <v>1301</v>
      </c>
      <c r="C4137">
        <v>525</v>
      </c>
      <c r="D4137">
        <v>605</v>
      </c>
      <c r="E4137">
        <v>9703535</v>
      </c>
      <c r="F4137">
        <v>5690</v>
      </c>
      <c r="G4137">
        <v>0</v>
      </c>
      <c r="H4137" t="s">
        <v>9061</v>
      </c>
      <c r="I4137">
        <v>4682</v>
      </c>
      <c r="J4137" t="str">
        <f>VLOOKUP(E4137,DSSpieler!A:B,2,FALSE)</f>
        <v>Broda</v>
      </c>
    </row>
    <row r="4138" spans="1:10" x14ac:dyDescent="0.25">
      <c r="A4138">
        <v>4683</v>
      </c>
      <c r="B4138">
        <v>2</v>
      </c>
      <c r="C4138">
        <v>584</v>
      </c>
      <c r="D4138">
        <v>430</v>
      </c>
      <c r="E4138">
        <v>1576974573</v>
      </c>
      <c r="F4138">
        <v>3523</v>
      </c>
      <c r="G4138">
        <v>0</v>
      </c>
      <c r="H4138" t="s">
        <v>9062</v>
      </c>
      <c r="I4138">
        <v>4683</v>
      </c>
      <c r="J4138" t="str">
        <f>VLOOKUP(E4138,DSSpieler!A:B,2,FALSE)</f>
        <v>SCHM%C3%84TTERling</v>
      </c>
    </row>
    <row r="4139" spans="1:10" x14ac:dyDescent="0.25">
      <c r="A4139">
        <v>4684</v>
      </c>
      <c r="B4139" t="s">
        <v>1302</v>
      </c>
      <c r="C4139">
        <v>471</v>
      </c>
      <c r="D4139">
        <v>542</v>
      </c>
      <c r="E4139">
        <v>1576583180</v>
      </c>
      <c r="F4139">
        <v>4243</v>
      </c>
      <c r="G4139">
        <v>0</v>
      </c>
      <c r="H4139" t="s">
        <v>9063</v>
      </c>
      <c r="I4139">
        <v>4684</v>
      </c>
      <c r="J4139" t="str">
        <f>VLOOKUP(E4139,DSSpieler!A:B,2,FALSE)</f>
        <v>opjeff</v>
      </c>
    </row>
    <row r="4140" spans="1:10" x14ac:dyDescent="0.25">
      <c r="A4140">
        <v>4686</v>
      </c>
      <c r="B4140" t="s">
        <v>531</v>
      </c>
      <c r="C4140">
        <v>524</v>
      </c>
      <c r="D4140">
        <v>431</v>
      </c>
      <c r="E4140">
        <v>0</v>
      </c>
      <c r="F4140">
        <v>1681</v>
      </c>
      <c r="G4140">
        <v>0</v>
      </c>
      <c r="H4140" t="s">
        <v>9064</v>
      </c>
      <c r="I4140">
        <v>4686</v>
      </c>
      <c r="J4140" t="e">
        <f>VLOOKUP(E4140,DSSpieler!A:B,2,FALSE)</f>
        <v>#N/A</v>
      </c>
    </row>
    <row r="4141" spans="1:10" x14ac:dyDescent="0.25">
      <c r="A4141">
        <v>4687</v>
      </c>
      <c r="B4141" t="s">
        <v>32231</v>
      </c>
      <c r="C4141">
        <v>425</v>
      </c>
      <c r="D4141">
        <v>512</v>
      </c>
      <c r="E4141">
        <v>9868037</v>
      </c>
      <c r="F4141">
        <v>5075</v>
      </c>
      <c r="G4141">
        <v>0</v>
      </c>
      <c r="H4141" t="s">
        <v>9065</v>
      </c>
      <c r="I4141">
        <v>4687</v>
      </c>
      <c r="J4141" t="str">
        <f>VLOOKUP(E4141,DSSpieler!A:B,2,FALSE)</f>
        <v>.Taboo</v>
      </c>
    </row>
    <row r="4142" spans="1:10" x14ac:dyDescent="0.25">
      <c r="A4142">
        <v>4688</v>
      </c>
      <c r="B4142" t="s">
        <v>32232</v>
      </c>
      <c r="C4142">
        <v>595</v>
      </c>
      <c r="D4142">
        <v>538</v>
      </c>
      <c r="E4142">
        <v>8785138</v>
      </c>
      <c r="F4142">
        <v>4226</v>
      </c>
      <c r="G4142">
        <v>0</v>
      </c>
      <c r="H4142" t="s">
        <v>9066</v>
      </c>
      <c r="I4142">
        <v>4688</v>
      </c>
      <c r="J4142" t="str">
        <f>VLOOKUP(E4142,DSSpieler!A:B,2,FALSE)</f>
        <v>Coer de Lion II</v>
      </c>
    </row>
    <row r="4143" spans="1:10" x14ac:dyDescent="0.25">
      <c r="A4143">
        <v>4689</v>
      </c>
      <c r="B4143" t="s">
        <v>32233</v>
      </c>
      <c r="C4143">
        <v>441</v>
      </c>
      <c r="D4143">
        <v>499</v>
      </c>
      <c r="E4143">
        <v>3049837</v>
      </c>
      <c r="F4143">
        <v>3681</v>
      </c>
      <c r="G4143">
        <v>0</v>
      </c>
      <c r="H4143" t="s">
        <v>9067</v>
      </c>
      <c r="I4143">
        <v>4689</v>
      </c>
      <c r="J4143" t="str">
        <f>VLOOKUP(E4143,DSSpieler!A:B,2,FALSE)</f>
        <v>babross</v>
      </c>
    </row>
    <row r="4144" spans="1:10" x14ac:dyDescent="0.25">
      <c r="A4144">
        <v>4690</v>
      </c>
      <c r="B4144" t="s">
        <v>1303</v>
      </c>
      <c r="C4144">
        <v>415</v>
      </c>
      <c r="D4144">
        <v>471</v>
      </c>
      <c r="E4144">
        <v>8758527</v>
      </c>
      <c r="F4144">
        <v>7025</v>
      </c>
      <c r="G4144">
        <v>0</v>
      </c>
      <c r="H4144" t="s">
        <v>9068</v>
      </c>
      <c r="I4144">
        <v>4690</v>
      </c>
      <c r="J4144" t="str">
        <f>VLOOKUP(E4144,DSSpieler!A:B,2,FALSE)</f>
        <v>Kracitshl</v>
      </c>
    </row>
    <row r="4145" spans="1:10" x14ac:dyDescent="0.25">
      <c r="A4145">
        <v>4691</v>
      </c>
      <c r="B4145" t="s">
        <v>32234</v>
      </c>
      <c r="C4145">
        <v>424</v>
      </c>
      <c r="D4145">
        <v>530</v>
      </c>
      <c r="E4145">
        <v>1577197772</v>
      </c>
      <c r="F4145">
        <v>5345</v>
      </c>
      <c r="G4145">
        <v>0</v>
      </c>
      <c r="H4145" t="s">
        <v>9069</v>
      </c>
      <c r="I4145">
        <v>4691</v>
      </c>
      <c r="J4145" t="str">
        <f>VLOOKUP(E4145,DSSpieler!A:B,2,FALSE)</f>
        <v>*HolladieWaldfee*</v>
      </c>
    </row>
    <row r="4146" spans="1:10" x14ac:dyDescent="0.25">
      <c r="A4146">
        <v>4692</v>
      </c>
      <c r="B4146" t="s">
        <v>531</v>
      </c>
      <c r="C4146">
        <v>473</v>
      </c>
      <c r="D4146">
        <v>527</v>
      </c>
      <c r="E4146">
        <v>0</v>
      </c>
      <c r="F4146">
        <v>314</v>
      </c>
      <c r="G4146">
        <v>0</v>
      </c>
      <c r="H4146" t="s">
        <v>9070</v>
      </c>
      <c r="I4146">
        <v>4692</v>
      </c>
      <c r="J4146" t="e">
        <f>VLOOKUP(E4146,DSSpieler!A:B,2,FALSE)</f>
        <v>#N/A</v>
      </c>
    </row>
    <row r="4147" spans="1:10" x14ac:dyDescent="0.25">
      <c r="A4147">
        <v>4693</v>
      </c>
      <c r="B4147" t="s">
        <v>1304</v>
      </c>
      <c r="C4147">
        <v>411</v>
      </c>
      <c r="D4147">
        <v>460</v>
      </c>
      <c r="E4147">
        <v>1577146568</v>
      </c>
      <c r="F4147">
        <v>3725</v>
      </c>
      <c r="G4147">
        <v>0</v>
      </c>
      <c r="H4147" t="s">
        <v>9071</v>
      </c>
      <c r="I4147">
        <v>4693</v>
      </c>
      <c r="J4147" t="str">
        <f>VLOOKUP(E4147,DSSpieler!A:B,2,FALSE)</f>
        <v>THEGOO</v>
      </c>
    </row>
    <row r="4148" spans="1:10" x14ac:dyDescent="0.25">
      <c r="A4148">
        <v>4695</v>
      </c>
      <c r="B4148" t="s">
        <v>558</v>
      </c>
      <c r="C4148">
        <v>529</v>
      </c>
      <c r="D4148">
        <v>463</v>
      </c>
      <c r="E4148">
        <v>8077830</v>
      </c>
      <c r="F4148">
        <v>5133</v>
      </c>
      <c r="G4148">
        <v>0</v>
      </c>
      <c r="H4148" t="s">
        <v>9072</v>
      </c>
      <c r="I4148">
        <v>4695</v>
      </c>
      <c r="J4148" t="str">
        <f>VLOOKUP(E4148,DSSpieler!A:B,2,FALSE)</f>
        <v>Venamor</v>
      </c>
    </row>
    <row r="4149" spans="1:10" x14ac:dyDescent="0.25">
      <c r="A4149">
        <v>4696</v>
      </c>
      <c r="B4149" t="s">
        <v>32235</v>
      </c>
      <c r="C4149">
        <v>443</v>
      </c>
      <c r="D4149">
        <v>542</v>
      </c>
      <c r="E4149">
        <v>1577197719</v>
      </c>
      <c r="F4149">
        <v>6618</v>
      </c>
      <c r="G4149">
        <v>0</v>
      </c>
      <c r="H4149" t="s">
        <v>9073</v>
      </c>
      <c r="I4149">
        <v>4696</v>
      </c>
      <c r="J4149" t="str">
        <f>VLOOKUP(E4149,DSSpieler!A:B,2,FALSE)</f>
        <v>ttprofi</v>
      </c>
    </row>
    <row r="4150" spans="1:10" x14ac:dyDescent="0.25">
      <c r="A4150">
        <v>4697</v>
      </c>
      <c r="B4150" t="s">
        <v>531</v>
      </c>
      <c r="C4150">
        <v>498</v>
      </c>
      <c r="D4150">
        <v>515</v>
      </c>
      <c r="E4150">
        <v>0</v>
      </c>
      <c r="F4150">
        <v>271</v>
      </c>
      <c r="G4150">
        <v>0</v>
      </c>
      <c r="H4150" t="s">
        <v>9074</v>
      </c>
      <c r="I4150">
        <v>4697</v>
      </c>
      <c r="J4150" t="e">
        <f>VLOOKUP(E4150,DSSpieler!A:B,2,FALSE)</f>
        <v>#N/A</v>
      </c>
    </row>
    <row r="4151" spans="1:10" x14ac:dyDescent="0.25">
      <c r="A4151">
        <v>4698</v>
      </c>
      <c r="B4151" t="s">
        <v>32236</v>
      </c>
      <c r="C4151">
        <v>483</v>
      </c>
      <c r="D4151">
        <v>544</v>
      </c>
      <c r="E4151">
        <v>1576925641</v>
      </c>
      <c r="F4151">
        <v>4454</v>
      </c>
      <c r="G4151">
        <v>0</v>
      </c>
      <c r="H4151" t="s">
        <v>9075</v>
      </c>
      <c r="I4151">
        <v>4698</v>
      </c>
      <c r="J4151" t="str">
        <f>VLOOKUP(E4151,DSSpieler!A:B,2,FALSE)</f>
        <v>John Shelby</v>
      </c>
    </row>
    <row r="4152" spans="1:10" x14ac:dyDescent="0.25">
      <c r="A4152">
        <v>4699</v>
      </c>
      <c r="B4152" t="s">
        <v>531</v>
      </c>
      <c r="C4152">
        <v>434</v>
      </c>
      <c r="D4152">
        <v>462</v>
      </c>
      <c r="E4152">
        <v>0</v>
      </c>
      <c r="F4152">
        <v>429</v>
      </c>
      <c r="G4152">
        <v>0</v>
      </c>
      <c r="H4152" t="s">
        <v>9076</v>
      </c>
      <c r="I4152">
        <v>4699</v>
      </c>
      <c r="J4152" t="e">
        <f>VLOOKUP(E4152,DSSpieler!A:B,2,FALSE)</f>
        <v>#N/A</v>
      </c>
    </row>
    <row r="4153" spans="1:10" x14ac:dyDescent="0.25">
      <c r="A4153">
        <v>4701</v>
      </c>
      <c r="B4153" t="s">
        <v>32237</v>
      </c>
      <c r="C4153">
        <v>505</v>
      </c>
      <c r="D4153">
        <v>561</v>
      </c>
      <c r="E4153">
        <v>1577017123</v>
      </c>
      <c r="F4153">
        <v>5320</v>
      </c>
      <c r="G4153">
        <v>0</v>
      </c>
      <c r="H4153" t="s">
        <v>9077</v>
      </c>
      <c r="I4153">
        <v>4701</v>
      </c>
      <c r="J4153" t="str">
        <f>VLOOKUP(E4153,DSSpieler!A:B,2,FALSE)</f>
        <v>Kleine Hexe123</v>
      </c>
    </row>
    <row r="4154" spans="1:10" x14ac:dyDescent="0.25">
      <c r="A4154">
        <v>4702</v>
      </c>
      <c r="B4154" t="s">
        <v>531</v>
      </c>
      <c r="C4154">
        <v>531</v>
      </c>
      <c r="D4154">
        <v>453</v>
      </c>
      <c r="E4154">
        <v>0</v>
      </c>
      <c r="F4154">
        <v>398</v>
      </c>
      <c r="G4154">
        <v>0</v>
      </c>
      <c r="H4154" t="s">
        <v>9078</v>
      </c>
      <c r="I4154">
        <v>4702</v>
      </c>
      <c r="J4154" t="e">
        <f>VLOOKUP(E4154,DSSpieler!A:B,2,FALSE)</f>
        <v>#N/A</v>
      </c>
    </row>
    <row r="4155" spans="1:10" x14ac:dyDescent="0.25">
      <c r="A4155">
        <v>4703</v>
      </c>
      <c r="B4155" t="s">
        <v>556</v>
      </c>
      <c r="C4155">
        <v>511</v>
      </c>
      <c r="D4155">
        <v>471</v>
      </c>
      <c r="E4155">
        <v>1784298</v>
      </c>
      <c r="F4155">
        <v>6594</v>
      </c>
      <c r="G4155">
        <v>0</v>
      </c>
      <c r="H4155" t="s">
        <v>9079</v>
      </c>
      <c r="I4155">
        <v>4703</v>
      </c>
      <c r="J4155" t="str">
        <f>VLOOKUP(E4155,DSSpieler!A:B,2,FALSE)</f>
        <v>T-Cup</v>
      </c>
    </row>
    <row r="4156" spans="1:10" x14ac:dyDescent="0.25">
      <c r="A4156">
        <v>4704</v>
      </c>
      <c r="B4156">
        <v>2</v>
      </c>
      <c r="C4156">
        <v>596</v>
      </c>
      <c r="D4156">
        <v>469</v>
      </c>
      <c r="E4156">
        <v>8829356</v>
      </c>
      <c r="F4156">
        <v>1053</v>
      </c>
      <c r="G4156">
        <v>0</v>
      </c>
      <c r="H4156" t="s">
        <v>9080</v>
      </c>
      <c r="I4156">
        <v>4704</v>
      </c>
      <c r="J4156" t="str">
        <f>VLOOKUP(E4156,DSSpieler!A:B,2,FALSE)</f>
        <v>Judgement01</v>
      </c>
    </row>
    <row r="4157" spans="1:10" x14ac:dyDescent="0.25">
      <c r="A4157">
        <v>4705</v>
      </c>
      <c r="B4157" t="s">
        <v>32238</v>
      </c>
      <c r="C4157">
        <v>518</v>
      </c>
      <c r="D4157">
        <v>515</v>
      </c>
      <c r="E4157">
        <v>8370596</v>
      </c>
      <c r="F4157">
        <v>7022</v>
      </c>
      <c r="G4157">
        <v>0</v>
      </c>
      <c r="H4157" t="s">
        <v>9081</v>
      </c>
      <c r="I4157">
        <v>4705</v>
      </c>
      <c r="J4157" t="str">
        <f>VLOOKUP(E4157,DSSpieler!A:B,2,FALSE)</f>
        <v>aL3xEy</v>
      </c>
    </row>
    <row r="4158" spans="1:10" x14ac:dyDescent="0.25">
      <c r="A4158">
        <v>4708</v>
      </c>
      <c r="B4158" t="s">
        <v>556</v>
      </c>
      <c r="C4158">
        <v>516</v>
      </c>
      <c r="D4158">
        <v>471</v>
      </c>
      <c r="E4158">
        <v>7943688</v>
      </c>
      <c r="F4158">
        <v>3422</v>
      </c>
      <c r="G4158">
        <v>0</v>
      </c>
      <c r="H4158" t="s">
        <v>9082</v>
      </c>
      <c r="I4158">
        <v>4708</v>
      </c>
      <c r="J4158" t="str">
        <f>VLOOKUP(E4158,DSSpieler!A:B,2,FALSE)</f>
        <v>Löschzwerg10</v>
      </c>
    </row>
    <row r="4159" spans="1:10" x14ac:dyDescent="0.25">
      <c r="A4159">
        <v>4709</v>
      </c>
      <c r="B4159" t="s">
        <v>531</v>
      </c>
      <c r="C4159">
        <v>418</v>
      </c>
      <c r="D4159">
        <v>569</v>
      </c>
      <c r="E4159">
        <v>0</v>
      </c>
      <c r="F4159">
        <v>117</v>
      </c>
      <c r="G4159">
        <v>0</v>
      </c>
      <c r="H4159" t="s">
        <v>9083</v>
      </c>
      <c r="I4159">
        <v>4709</v>
      </c>
      <c r="J4159" t="e">
        <f>VLOOKUP(E4159,DSSpieler!A:B,2,FALSE)</f>
        <v>#N/A</v>
      </c>
    </row>
    <row r="4160" spans="1:10" x14ac:dyDescent="0.25">
      <c r="A4160">
        <v>4711</v>
      </c>
      <c r="B4160" t="s">
        <v>30687</v>
      </c>
      <c r="C4160">
        <v>599</v>
      </c>
      <c r="D4160">
        <v>466</v>
      </c>
      <c r="E4160">
        <v>1576306956</v>
      </c>
      <c r="F4160">
        <v>6241</v>
      </c>
      <c r="G4160">
        <v>0</v>
      </c>
      <c r="H4160" t="s">
        <v>9084</v>
      </c>
      <c r="I4160">
        <v>4711</v>
      </c>
      <c r="J4160" t="str">
        <f>VLOOKUP(E4160,DSSpieler!A:B,2,FALSE)</f>
        <v>Bratze82</v>
      </c>
    </row>
    <row r="4161" spans="1:10" x14ac:dyDescent="0.25">
      <c r="A4161">
        <v>4712</v>
      </c>
      <c r="B4161" t="s">
        <v>1305</v>
      </c>
      <c r="C4161">
        <v>452</v>
      </c>
      <c r="D4161">
        <v>553</v>
      </c>
      <c r="E4161">
        <v>1577189415</v>
      </c>
      <c r="F4161">
        <v>3040</v>
      </c>
      <c r="G4161">
        <v>0</v>
      </c>
      <c r="H4161" t="s">
        <v>9085</v>
      </c>
      <c r="I4161">
        <v>4712</v>
      </c>
      <c r="J4161" t="str">
        <f>VLOOKUP(E4161,DSSpieler!A:B,2,FALSE)</f>
        <v>larasponyhof</v>
      </c>
    </row>
    <row r="4162" spans="1:10" x14ac:dyDescent="0.25">
      <c r="A4162">
        <v>4713</v>
      </c>
      <c r="B4162">
        <v>1</v>
      </c>
      <c r="C4162">
        <v>428</v>
      </c>
      <c r="D4162">
        <v>490</v>
      </c>
      <c r="E4162">
        <v>1576858983</v>
      </c>
      <c r="F4162">
        <v>5147</v>
      </c>
      <c r="G4162">
        <v>0</v>
      </c>
      <c r="H4162" t="s">
        <v>9086</v>
      </c>
      <c r="I4162">
        <v>4713</v>
      </c>
      <c r="J4162" t="str">
        <f>VLOOKUP(E4162,DSSpieler!A:B,2,FALSE)</f>
        <v>KäptenHeftig</v>
      </c>
    </row>
    <row r="4163" spans="1:10" x14ac:dyDescent="0.25">
      <c r="A4163">
        <v>4714</v>
      </c>
      <c r="B4163" t="s">
        <v>32239</v>
      </c>
      <c r="C4163">
        <v>421</v>
      </c>
      <c r="D4163">
        <v>512</v>
      </c>
      <c r="E4163">
        <v>1576968765</v>
      </c>
      <c r="F4163">
        <v>5888</v>
      </c>
      <c r="G4163">
        <v>0</v>
      </c>
      <c r="H4163" t="s">
        <v>9087</v>
      </c>
      <c r="I4163">
        <v>4714</v>
      </c>
      <c r="J4163" t="str">
        <f>VLOOKUP(E4163,DSSpieler!A:B,2,FALSE)</f>
        <v>NoFarmShit</v>
      </c>
    </row>
    <row r="4164" spans="1:10" x14ac:dyDescent="0.25">
      <c r="A4164">
        <v>4716</v>
      </c>
      <c r="B4164" t="s">
        <v>531</v>
      </c>
      <c r="C4164">
        <v>568</v>
      </c>
      <c r="D4164">
        <v>526</v>
      </c>
      <c r="E4164">
        <v>0</v>
      </c>
      <c r="F4164">
        <v>210</v>
      </c>
      <c r="G4164">
        <v>0</v>
      </c>
      <c r="H4164" t="s">
        <v>9088</v>
      </c>
      <c r="I4164">
        <v>4716</v>
      </c>
      <c r="J4164" t="e">
        <f>VLOOKUP(E4164,DSSpieler!A:B,2,FALSE)</f>
        <v>#N/A</v>
      </c>
    </row>
    <row r="4165" spans="1:10" x14ac:dyDescent="0.25">
      <c r="A4165">
        <v>4717</v>
      </c>
      <c r="B4165" t="s">
        <v>32240</v>
      </c>
      <c r="C4165">
        <v>428</v>
      </c>
      <c r="D4165">
        <v>420</v>
      </c>
      <c r="E4165">
        <v>1577192950</v>
      </c>
      <c r="F4165">
        <v>7910</v>
      </c>
      <c r="G4165">
        <v>0</v>
      </c>
      <c r="H4165" t="s">
        <v>9089</v>
      </c>
      <c r="I4165">
        <v>4717</v>
      </c>
      <c r="J4165" t="str">
        <f>VLOOKUP(E4165,DSSpieler!A:B,2,FALSE)</f>
        <v>Dr4m4</v>
      </c>
    </row>
    <row r="4166" spans="1:10" x14ac:dyDescent="0.25">
      <c r="A4166">
        <v>4719</v>
      </c>
      <c r="B4166" t="s">
        <v>32241</v>
      </c>
      <c r="C4166">
        <v>449</v>
      </c>
      <c r="D4166">
        <v>427</v>
      </c>
      <c r="E4166">
        <v>1577197332</v>
      </c>
      <c r="F4166">
        <v>6033</v>
      </c>
      <c r="G4166">
        <v>0</v>
      </c>
      <c r="H4166" t="s">
        <v>9090</v>
      </c>
      <c r="I4166">
        <v>4719</v>
      </c>
      <c r="J4166" t="str">
        <f>VLOOKUP(E4166,DSSpieler!A:B,2,FALSE)</f>
        <v>Didavo</v>
      </c>
    </row>
    <row r="4167" spans="1:10" x14ac:dyDescent="0.25">
      <c r="A4167">
        <v>4720</v>
      </c>
      <c r="B4167" t="s">
        <v>531</v>
      </c>
      <c r="C4167">
        <v>575</v>
      </c>
      <c r="D4167">
        <v>521</v>
      </c>
      <c r="E4167">
        <v>0</v>
      </c>
      <c r="F4167">
        <v>393</v>
      </c>
      <c r="G4167">
        <v>0</v>
      </c>
      <c r="H4167" t="s">
        <v>9091</v>
      </c>
      <c r="I4167">
        <v>4720</v>
      </c>
      <c r="J4167" t="e">
        <f>VLOOKUP(E4167,DSSpieler!A:B,2,FALSE)</f>
        <v>#N/A</v>
      </c>
    </row>
    <row r="4168" spans="1:10" x14ac:dyDescent="0.25">
      <c r="A4168">
        <v>4721</v>
      </c>
      <c r="B4168" t="s">
        <v>531</v>
      </c>
      <c r="C4168">
        <v>480</v>
      </c>
      <c r="D4168">
        <v>435</v>
      </c>
      <c r="E4168">
        <v>0</v>
      </c>
      <c r="F4168">
        <v>325</v>
      </c>
      <c r="G4168">
        <v>0</v>
      </c>
      <c r="H4168" t="s">
        <v>9092</v>
      </c>
      <c r="I4168">
        <v>4721</v>
      </c>
      <c r="J4168" t="e">
        <f>VLOOKUP(E4168,DSSpieler!A:B,2,FALSE)</f>
        <v>#N/A</v>
      </c>
    </row>
    <row r="4169" spans="1:10" x14ac:dyDescent="0.25">
      <c r="A4169">
        <v>4722</v>
      </c>
      <c r="B4169" t="s">
        <v>32242</v>
      </c>
      <c r="C4169">
        <v>475</v>
      </c>
      <c r="D4169">
        <v>506</v>
      </c>
      <c r="E4169">
        <v>1576722406</v>
      </c>
      <c r="F4169">
        <v>994</v>
      </c>
      <c r="G4169">
        <v>0</v>
      </c>
      <c r="H4169" t="s">
        <v>9093</v>
      </c>
      <c r="I4169">
        <v>4722</v>
      </c>
      <c r="J4169" t="str">
        <f>VLOOKUP(E4169,DSSpieler!A:B,2,FALSE)</f>
        <v>Kuddel1953</v>
      </c>
    </row>
    <row r="4170" spans="1:10" x14ac:dyDescent="0.25">
      <c r="A4170">
        <v>4723</v>
      </c>
      <c r="B4170" t="s">
        <v>32243</v>
      </c>
      <c r="C4170">
        <v>460</v>
      </c>
      <c r="D4170">
        <v>507</v>
      </c>
      <c r="E4170">
        <v>1577179717</v>
      </c>
      <c r="F4170">
        <v>6462</v>
      </c>
      <c r="G4170">
        <v>0</v>
      </c>
      <c r="H4170" t="s">
        <v>9094</v>
      </c>
      <c r="I4170">
        <v>4723</v>
      </c>
      <c r="J4170" t="str">
        <f>VLOOKUP(E4170,DSSpieler!A:B,2,FALSE)</f>
        <v>immvp</v>
      </c>
    </row>
    <row r="4171" spans="1:10" x14ac:dyDescent="0.25">
      <c r="A4171">
        <v>4724</v>
      </c>
      <c r="B4171" t="s">
        <v>531</v>
      </c>
      <c r="C4171">
        <v>422</v>
      </c>
      <c r="D4171">
        <v>506</v>
      </c>
      <c r="E4171">
        <v>0</v>
      </c>
      <c r="F4171">
        <v>419</v>
      </c>
      <c r="G4171">
        <v>0</v>
      </c>
      <c r="H4171" t="s">
        <v>9095</v>
      </c>
      <c r="I4171">
        <v>4724</v>
      </c>
      <c r="J4171" t="e">
        <f>VLOOKUP(E4171,DSSpieler!A:B,2,FALSE)</f>
        <v>#N/A</v>
      </c>
    </row>
    <row r="4172" spans="1:10" x14ac:dyDescent="0.25">
      <c r="A4172">
        <v>4725</v>
      </c>
      <c r="B4172" t="s">
        <v>974</v>
      </c>
      <c r="C4172">
        <v>581</v>
      </c>
      <c r="D4172">
        <v>556</v>
      </c>
      <c r="E4172">
        <v>1577188486</v>
      </c>
      <c r="F4172">
        <v>7160</v>
      </c>
      <c r="G4172">
        <v>0</v>
      </c>
      <c r="H4172" t="s">
        <v>9096</v>
      </c>
      <c r="I4172">
        <v>4725</v>
      </c>
      <c r="J4172" t="str">
        <f>VLOOKUP(E4172,DSSpieler!A:B,2,FALSE)</f>
        <v>Gzuz von Nazareth</v>
      </c>
    </row>
    <row r="4173" spans="1:10" x14ac:dyDescent="0.25">
      <c r="A4173">
        <v>4726</v>
      </c>
      <c r="B4173" t="s">
        <v>150</v>
      </c>
      <c r="C4173">
        <v>469</v>
      </c>
      <c r="D4173">
        <v>499</v>
      </c>
      <c r="E4173">
        <v>1442482</v>
      </c>
      <c r="F4173">
        <v>4692</v>
      </c>
      <c r="G4173">
        <v>0</v>
      </c>
      <c r="H4173" t="s">
        <v>9097</v>
      </c>
      <c r="I4173">
        <v>4726</v>
      </c>
      <c r="J4173" t="str">
        <f>VLOOKUP(E4173,DSSpieler!A:B,2,FALSE)</f>
        <v>ThanaTos3k</v>
      </c>
    </row>
    <row r="4174" spans="1:10" x14ac:dyDescent="0.25">
      <c r="A4174">
        <v>4727</v>
      </c>
      <c r="B4174" t="s">
        <v>531</v>
      </c>
      <c r="C4174">
        <v>498</v>
      </c>
      <c r="D4174">
        <v>567</v>
      </c>
      <c r="E4174">
        <v>0</v>
      </c>
      <c r="F4174">
        <v>371</v>
      </c>
      <c r="G4174">
        <v>0</v>
      </c>
      <c r="H4174" t="s">
        <v>9098</v>
      </c>
      <c r="I4174">
        <v>4727</v>
      </c>
      <c r="J4174" t="e">
        <f>VLOOKUP(E4174,DSSpieler!A:B,2,FALSE)</f>
        <v>#N/A</v>
      </c>
    </row>
    <row r="4175" spans="1:10" x14ac:dyDescent="0.25">
      <c r="A4175">
        <v>4728</v>
      </c>
      <c r="B4175" t="s">
        <v>32244</v>
      </c>
      <c r="C4175">
        <v>433</v>
      </c>
      <c r="D4175">
        <v>423</v>
      </c>
      <c r="E4175">
        <v>1791682</v>
      </c>
      <c r="F4175">
        <v>6873</v>
      </c>
      <c r="G4175">
        <v>0</v>
      </c>
      <c r="H4175" t="s">
        <v>9099</v>
      </c>
      <c r="I4175">
        <v>4728</v>
      </c>
      <c r="J4175" t="str">
        <f>VLOOKUP(E4175,DSSpieler!A:B,2,FALSE)</f>
        <v>Eto1</v>
      </c>
    </row>
    <row r="4176" spans="1:10" x14ac:dyDescent="0.25">
      <c r="A4176">
        <v>4729</v>
      </c>
      <c r="B4176" t="s">
        <v>531</v>
      </c>
      <c r="C4176">
        <v>503</v>
      </c>
      <c r="D4176">
        <v>557</v>
      </c>
      <c r="E4176">
        <v>0</v>
      </c>
      <c r="F4176">
        <v>283</v>
      </c>
      <c r="G4176">
        <v>0</v>
      </c>
      <c r="H4176" t="s">
        <v>9100</v>
      </c>
      <c r="I4176">
        <v>4729</v>
      </c>
      <c r="J4176" t="e">
        <f>VLOOKUP(E4176,DSSpieler!A:B,2,FALSE)</f>
        <v>#N/A</v>
      </c>
    </row>
    <row r="4177" spans="1:10" x14ac:dyDescent="0.25">
      <c r="A4177">
        <v>4730</v>
      </c>
      <c r="B4177" t="s">
        <v>1306</v>
      </c>
      <c r="C4177">
        <v>606</v>
      </c>
      <c r="D4177">
        <v>465</v>
      </c>
      <c r="E4177">
        <v>1577193907</v>
      </c>
      <c r="F4177">
        <v>4851</v>
      </c>
      <c r="G4177">
        <v>0</v>
      </c>
      <c r="H4177" t="s">
        <v>9101</v>
      </c>
      <c r="I4177">
        <v>4730</v>
      </c>
      <c r="J4177" t="str">
        <f>VLOOKUP(E4177,DSSpieler!A:B,2,FALSE)</f>
        <v>Scorpo</v>
      </c>
    </row>
    <row r="4178" spans="1:10" x14ac:dyDescent="0.25">
      <c r="A4178">
        <v>4731</v>
      </c>
      <c r="B4178" t="s">
        <v>531</v>
      </c>
      <c r="C4178">
        <v>469</v>
      </c>
      <c r="D4178">
        <v>528</v>
      </c>
      <c r="E4178">
        <v>0</v>
      </c>
      <c r="F4178">
        <v>195</v>
      </c>
      <c r="G4178">
        <v>0</v>
      </c>
      <c r="H4178" t="s">
        <v>9102</v>
      </c>
      <c r="I4178">
        <v>4731</v>
      </c>
      <c r="J4178" t="e">
        <f>VLOOKUP(E4178,DSSpieler!A:B,2,FALSE)</f>
        <v>#N/A</v>
      </c>
    </row>
    <row r="4179" spans="1:10" x14ac:dyDescent="0.25">
      <c r="A4179">
        <v>4732</v>
      </c>
      <c r="B4179" t="s">
        <v>965</v>
      </c>
      <c r="C4179">
        <v>527</v>
      </c>
      <c r="D4179">
        <v>556</v>
      </c>
      <c r="E4179">
        <v>1576715249</v>
      </c>
      <c r="F4179">
        <v>4884</v>
      </c>
      <c r="G4179">
        <v>0</v>
      </c>
      <c r="H4179" t="s">
        <v>9103</v>
      </c>
      <c r="I4179">
        <v>4732</v>
      </c>
      <c r="J4179" t="str">
        <f>VLOOKUP(E4179,DSSpieler!A:B,2,FALSE)</f>
        <v>thorina</v>
      </c>
    </row>
    <row r="4180" spans="1:10" x14ac:dyDescent="0.25">
      <c r="A4180">
        <v>4733</v>
      </c>
      <c r="B4180" t="s">
        <v>531</v>
      </c>
      <c r="C4180">
        <v>504</v>
      </c>
      <c r="D4180">
        <v>580</v>
      </c>
      <c r="E4180">
        <v>0</v>
      </c>
      <c r="F4180">
        <v>371</v>
      </c>
      <c r="G4180">
        <v>0</v>
      </c>
      <c r="H4180" t="s">
        <v>9104</v>
      </c>
      <c r="I4180">
        <v>4733</v>
      </c>
      <c r="J4180" t="e">
        <f>VLOOKUP(E4180,DSSpieler!A:B,2,FALSE)</f>
        <v>#N/A</v>
      </c>
    </row>
    <row r="4181" spans="1:10" x14ac:dyDescent="0.25">
      <c r="A4181">
        <v>4735</v>
      </c>
      <c r="B4181" t="s">
        <v>531</v>
      </c>
      <c r="C4181">
        <v>484</v>
      </c>
      <c r="D4181">
        <v>421</v>
      </c>
      <c r="E4181">
        <v>0</v>
      </c>
      <c r="F4181">
        <v>259</v>
      </c>
      <c r="G4181">
        <v>0</v>
      </c>
      <c r="H4181" t="s">
        <v>9105</v>
      </c>
      <c r="I4181">
        <v>4735</v>
      </c>
      <c r="J4181" t="e">
        <f>VLOOKUP(E4181,DSSpieler!A:B,2,FALSE)</f>
        <v>#N/A</v>
      </c>
    </row>
    <row r="4182" spans="1:10" x14ac:dyDescent="0.25">
      <c r="A4182">
        <v>4736</v>
      </c>
      <c r="B4182" t="s">
        <v>531</v>
      </c>
      <c r="C4182">
        <v>477</v>
      </c>
      <c r="D4182">
        <v>457</v>
      </c>
      <c r="E4182">
        <v>0</v>
      </c>
      <c r="F4182">
        <v>294</v>
      </c>
      <c r="G4182">
        <v>0</v>
      </c>
      <c r="H4182" t="s">
        <v>9106</v>
      </c>
      <c r="I4182">
        <v>4736</v>
      </c>
      <c r="J4182" t="e">
        <f>VLOOKUP(E4182,DSSpieler!A:B,2,FALSE)</f>
        <v>#N/A</v>
      </c>
    </row>
    <row r="4183" spans="1:10" x14ac:dyDescent="0.25">
      <c r="A4183">
        <v>4738</v>
      </c>
      <c r="B4183" t="s">
        <v>32245</v>
      </c>
      <c r="C4183">
        <v>534</v>
      </c>
      <c r="D4183">
        <v>471</v>
      </c>
      <c r="E4183">
        <v>1576837300</v>
      </c>
      <c r="F4183">
        <v>4858</v>
      </c>
      <c r="G4183">
        <v>0</v>
      </c>
      <c r="H4183" t="s">
        <v>9107</v>
      </c>
      <c r="I4183">
        <v>4738</v>
      </c>
      <c r="J4183" t="str">
        <f>VLOOKUP(E4183,DSSpieler!A:B,2,FALSE)</f>
        <v>Traumschwiegersohn</v>
      </c>
    </row>
    <row r="4184" spans="1:10" x14ac:dyDescent="0.25">
      <c r="A4184">
        <v>4739</v>
      </c>
      <c r="B4184" t="s">
        <v>32246</v>
      </c>
      <c r="C4184">
        <v>579</v>
      </c>
      <c r="D4184">
        <v>425</v>
      </c>
      <c r="E4184">
        <v>1577146616</v>
      </c>
      <c r="F4184">
        <v>7423</v>
      </c>
      <c r="G4184">
        <v>0</v>
      </c>
      <c r="H4184" t="s">
        <v>9108</v>
      </c>
      <c r="I4184">
        <v>4739</v>
      </c>
      <c r="J4184" t="str">
        <f>VLOOKUP(E4184,DSSpieler!A:B,2,FALSE)</f>
        <v>flohchen</v>
      </c>
    </row>
    <row r="4185" spans="1:10" x14ac:dyDescent="0.25">
      <c r="A4185">
        <v>4740</v>
      </c>
      <c r="B4185" t="s">
        <v>531</v>
      </c>
      <c r="C4185">
        <v>482</v>
      </c>
      <c r="D4185">
        <v>436</v>
      </c>
      <c r="E4185">
        <v>0</v>
      </c>
      <c r="F4185">
        <v>323</v>
      </c>
      <c r="G4185">
        <v>0</v>
      </c>
      <c r="H4185" t="s">
        <v>9109</v>
      </c>
      <c r="I4185">
        <v>4740</v>
      </c>
      <c r="J4185" t="e">
        <f>VLOOKUP(E4185,DSSpieler!A:B,2,FALSE)</f>
        <v>#N/A</v>
      </c>
    </row>
    <row r="4186" spans="1:10" x14ac:dyDescent="0.25">
      <c r="A4186">
        <v>4741</v>
      </c>
      <c r="B4186" t="s">
        <v>32247</v>
      </c>
      <c r="C4186">
        <v>558</v>
      </c>
      <c r="D4186">
        <v>498</v>
      </c>
      <c r="E4186">
        <v>10166667</v>
      </c>
      <c r="F4186">
        <v>4930</v>
      </c>
      <c r="G4186">
        <v>0</v>
      </c>
      <c r="H4186" t="s">
        <v>9110</v>
      </c>
      <c r="I4186">
        <v>4741</v>
      </c>
      <c r="J4186" t="str">
        <f>VLOOKUP(E4186,DSSpieler!A:B,2,FALSE)</f>
        <v>rosatuftuf</v>
      </c>
    </row>
    <row r="4187" spans="1:10" x14ac:dyDescent="0.25">
      <c r="A4187">
        <v>4742</v>
      </c>
      <c r="B4187">
        <v>4</v>
      </c>
      <c r="C4187">
        <v>447</v>
      </c>
      <c r="D4187">
        <v>595</v>
      </c>
      <c r="E4187">
        <v>1577030247</v>
      </c>
      <c r="F4187">
        <v>5600</v>
      </c>
      <c r="G4187">
        <v>0</v>
      </c>
      <c r="H4187" t="s">
        <v>9111</v>
      </c>
      <c r="I4187">
        <v>4742</v>
      </c>
      <c r="J4187" t="str">
        <f>VLOOKUP(E4187,DSSpieler!A:B,2,FALSE)</f>
        <v>Habemeister</v>
      </c>
    </row>
    <row r="4188" spans="1:10" x14ac:dyDescent="0.25">
      <c r="A4188">
        <v>4743</v>
      </c>
      <c r="B4188" t="s">
        <v>32248</v>
      </c>
      <c r="C4188">
        <v>489</v>
      </c>
      <c r="D4188">
        <v>600</v>
      </c>
      <c r="E4188">
        <v>1576958415</v>
      </c>
      <c r="F4188">
        <v>5780</v>
      </c>
      <c r="G4188">
        <v>0</v>
      </c>
      <c r="H4188" t="s">
        <v>9112</v>
      </c>
      <c r="I4188">
        <v>4743</v>
      </c>
      <c r="J4188" t="str">
        <f>VLOOKUP(E4188,DSSpieler!A:B,2,FALSE)</f>
        <v>JLC.</v>
      </c>
    </row>
    <row r="4189" spans="1:10" x14ac:dyDescent="0.25">
      <c r="A4189">
        <v>4744</v>
      </c>
      <c r="B4189" t="s">
        <v>531</v>
      </c>
      <c r="C4189">
        <v>490</v>
      </c>
      <c r="D4189">
        <v>554</v>
      </c>
      <c r="E4189">
        <v>0</v>
      </c>
      <c r="F4189">
        <v>808</v>
      </c>
      <c r="G4189">
        <v>0</v>
      </c>
      <c r="H4189" t="s">
        <v>9113</v>
      </c>
      <c r="I4189">
        <v>4744</v>
      </c>
      <c r="J4189" t="e">
        <f>VLOOKUP(E4189,DSSpieler!A:B,2,FALSE)</f>
        <v>#N/A</v>
      </c>
    </row>
    <row r="4190" spans="1:10" x14ac:dyDescent="0.25">
      <c r="A4190">
        <v>4745</v>
      </c>
      <c r="B4190" t="s">
        <v>32249</v>
      </c>
      <c r="C4190">
        <v>434</v>
      </c>
      <c r="D4190">
        <v>537</v>
      </c>
      <c r="E4190">
        <v>1515293</v>
      </c>
      <c r="F4190">
        <v>3523</v>
      </c>
      <c r="G4190">
        <v>0</v>
      </c>
      <c r="H4190" t="s">
        <v>9114</v>
      </c>
      <c r="I4190">
        <v>4745</v>
      </c>
      <c r="J4190" t="str">
        <f>VLOOKUP(E4190,DSSpieler!A:B,2,FALSE)</f>
        <v>Hummes</v>
      </c>
    </row>
    <row r="4191" spans="1:10" x14ac:dyDescent="0.25">
      <c r="A4191">
        <v>4746</v>
      </c>
      <c r="B4191" t="s">
        <v>1307</v>
      </c>
      <c r="C4191">
        <v>595</v>
      </c>
      <c r="D4191">
        <v>463</v>
      </c>
      <c r="E4191">
        <v>1577190969</v>
      </c>
      <c r="F4191">
        <v>5656</v>
      </c>
      <c r="G4191">
        <v>0</v>
      </c>
      <c r="H4191" t="s">
        <v>9115</v>
      </c>
      <c r="I4191">
        <v>4746</v>
      </c>
      <c r="J4191" t="str">
        <f>VLOOKUP(E4191,DSSpieler!A:B,2,FALSE)</f>
        <v>sparza1961</v>
      </c>
    </row>
    <row r="4192" spans="1:10" x14ac:dyDescent="0.25">
      <c r="A4192">
        <v>4747</v>
      </c>
      <c r="B4192" t="s">
        <v>32250</v>
      </c>
      <c r="C4192">
        <v>575</v>
      </c>
      <c r="D4192">
        <v>477</v>
      </c>
      <c r="E4192">
        <v>1547790</v>
      </c>
      <c r="F4192">
        <v>5481</v>
      </c>
      <c r="G4192">
        <v>0</v>
      </c>
      <c r="H4192" t="s">
        <v>9116</v>
      </c>
      <c r="I4192">
        <v>4747</v>
      </c>
      <c r="J4192" t="str">
        <f>VLOOKUP(E4192,DSSpieler!A:B,2,FALSE)</f>
        <v>aphox</v>
      </c>
    </row>
    <row r="4193" spans="1:10" x14ac:dyDescent="0.25">
      <c r="A4193">
        <v>4748</v>
      </c>
      <c r="B4193" t="s">
        <v>31619</v>
      </c>
      <c r="C4193">
        <v>516</v>
      </c>
      <c r="D4193">
        <v>417</v>
      </c>
      <c r="E4193">
        <v>1577197561</v>
      </c>
      <c r="F4193">
        <v>5053</v>
      </c>
      <c r="G4193">
        <v>0</v>
      </c>
      <c r="H4193" t="s">
        <v>9117</v>
      </c>
      <c r="I4193">
        <v>4748</v>
      </c>
      <c r="J4193" t="str">
        <f>VLOOKUP(E4193,DSSpieler!A:B,2,FALSE)</f>
        <v>Tim Traitor</v>
      </c>
    </row>
    <row r="4194" spans="1:10" x14ac:dyDescent="0.25">
      <c r="A4194">
        <v>4749</v>
      </c>
      <c r="B4194" t="s">
        <v>531</v>
      </c>
      <c r="C4194">
        <v>477</v>
      </c>
      <c r="D4194">
        <v>568</v>
      </c>
      <c r="E4194">
        <v>0</v>
      </c>
      <c r="F4194">
        <v>378</v>
      </c>
      <c r="G4194">
        <v>0</v>
      </c>
      <c r="H4194" t="s">
        <v>9118</v>
      </c>
      <c r="I4194">
        <v>4749</v>
      </c>
      <c r="J4194" t="e">
        <f>VLOOKUP(E4194,DSSpieler!A:B,2,FALSE)</f>
        <v>#N/A</v>
      </c>
    </row>
    <row r="4195" spans="1:10" x14ac:dyDescent="0.25">
      <c r="A4195">
        <v>4750</v>
      </c>
      <c r="B4195" t="s">
        <v>531</v>
      </c>
      <c r="C4195">
        <v>497</v>
      </c>
      <c r="D4195">
        <v>553</v>
      </c>
      <c r="E4195">
        <v>0</v>
      </c>
      <c r="F4195">
        <v>655</v>
      </c>
      <c r="G4195">
        <v>0</v>
      </c>
      <c r="H4195" t="s">
        <v>9119</v>
      </c>
      <c r="I4195">
        <v>4750</v>
      </c>
      <c r="J4195" t="e">
        <f>VLOOKUP(E4195,DSSpieler!A:B,2,FALSE)</f>
        <v>#N/A</v>
      </c>
    </row>
    <row r="4196" spans="1:10" x14ac:dyDescent="0.25">
      <c r="A4196">
        <v>4751</v>
      </c>
      <c r="B4196" t="s">
        <v>531</v>
      </c>
      <c r="C4196">
        <v>542</v>
      </c>
      <c r="D4196">
        <v>490</v>
      </c>
      <c r="E4196">
        <v>0</v>
      </c>
      <c r="F4196">
        <v>480</v>
      </c>
      <c r="G4196">
        <v>0</v>
      </c>
      <c r="H4196" t="s">
        <v>9120</v>
      </c>
      <c r="I4196">
        <v>4751</v>
      </c>
      <c r="J4196" t="e">
        <f>VLOOKUP(E4196,DSSpieler!A:B,2,FALSE)</f>
        <v>#N/A</v>
      </c>
    </row>
    <row r="4197" spans="1:10" x14ac:dyDescent="0.25">
      <c r="A4197">
        <v>4753</v>
      </c>
      <c r="B4197" t="s">
        <v>31592</v>
      </c>
      <c r="C4197">
        <v>441</v>
      </c>
      <c r="D4197">
        <v>549</v>
      </c>
      <c r="E4197">
        <v>7607937</v>
      </c>
      <c r="F4197">
        <v>2557</v>
      </c>
      <c r="G4197">
        <v>0</v>
      </c>
      <c r="H4197" t="s">
        <v>9121</v>
      </c>
      <c r="I4197">
        <v>4753</v>
      </c>
      <c r="J4197" t="str">
        <f>VLOOKUP(E4197,DSSpieler!A:B,2,FALSE)</f>
        <v>nico943</v>
      </c>
    </row>
    <row r="4198" spans="1:10" x14ac:dyDescent="0.25">
      <c r="A4198">
        <v>4754</v>
      </c>
      <c r="B4198" t="s">
        <v>1057</v>
      </c>
      <c r="C4198">
        <v>466</v>
      </c>
      <c r="D4198">
        <v>435</v>
      </c>
      <c r="E4198">
        <v>8897367</v>
      </c>
      <c r="F4198">
        <v>6416</v>
      </c>
      <c r="G4198">
        <v>0</v>
      </c>
      <c r="H4198" t="s">
        <v>9122</v>
      </c>
      <c r="I4198">
        <v>4754</v>
      </c>
      <c r="J4198" t="str">
        <f>VLOOKUP(E4198,DSSpieler!A:B,2,FALSE)</f>
        <v>Zwoogel1</v>
      </c>
    </row>
    <row r="4199" spans="1:10" x14ac:dyDescent="0.25">
      <c r="A4199">
        <v>4755</v>
      </c>
      <c r="B4199" t="s">
        <v>32251</v>
      </c>
      <c r="C4199">
        <v>472</v>
      </c>
      <c r="D4199">
        <v>606</v>
      </c>
      <c r="E4199">
        <v>1576450468</v>
      </c>
      <c r="F4199">
        <v>6808</v>
      </c>
      <c r="G4199">
        <v>0</v>
      </c>
      <c r="H4199" t="s">
        <v>9123</v>
      </c>
      <c r="I4199">
        <v>4755</v>
      </c>
      <c r="J4199" t="str">
        <f>VLOOKUP(E4199,DSSpieler!A:B,2,FALSE)</f>
        <v>b0nes</v>
      </c>
    </row>
    <row r="4200" spans="1:10" x14ac:dyDescent="0.25">
      <c r="A4200">
        <v>4756</v>
      </c>
      <c r="B4200">
        <v>4</v>
      </c>
      <c r="C4200">
        <v>536</v>
      </c>
      <c r="D4200">
        <v>480</v>
      </c>
      <c r="E4200">
        <v>1577178830</v>
      </c>
      <c r="F4200">
        <v>3941</v>
      </c>
      <c r="G4200">
        <v>0</v>
      </c>
      <c r="H4200" t="s">
        <v>9124</v>
      </c>
      <c r="I4200">
        <v>4756</v>
      </c>
      <c r="J4200" t="str">
        <f>VLOOKUP(E4200,DSSpieler!A:B,2,FALSE)</f>
        <v>jokra</v>
      </c>
    </row>
    <row r="4201" spans="1:10" x14ac:dyDescent="0.25">
      <c r="A4201">
        <v>4757</v>
      </c>
      <c r="B4201" t="s">
        <v>531</v>
      </c>
      <c r="C4201">
        <v>521</v>
      </c>
      <c r="D4201">
        <v>536</v>
      </c>
      <c r="E4201">
        <v>0</v>
      </c>
      <c r="F4201">
        <v>510</v>
      </c>
      <c r="G4201">
        <v>0</v>
      </c>
      <c r="H4201" t="s">
        <v>9125</v>
      </c>
      <c r="I4201">
        <v>4757</v>
      </c>
      <c r="J4201" t="e">
        <f>VLOOKUP(E4201,DSSpieler!A:B,2,FALSE)</f>
        <v>#N/A</v>
      </c>
    </row>
    <row r="4202" spans="1:10" x14ac:dyDescent="0.25">
      <c r="A4202">
        <v>4758</v>
      </c>
      <c r="B4202" t="s">
        <v>32252</v>
      </c>
      <c r="C4202">
        <v>557</v>
      </c>
      <c r="D4202">
        <v>450</v>
      </c>
      <c r="E4202">
        <v>9314373</v>
      </c>
      <c r="F4202">
        <v>6349</v>
      </c>
      <c r="G4202">
        <v>0</v>
      </c>
      <c r="H4202" t="s">
        <v>9126</v>
      </c>
      <c r="I4202">
        <v>4758</v>
      </c>
      <c r="J4202" t="str">
        <f>VLOOKUP(E4202,DSSpieler!A:B,2,FALSE)</f>
        <v>bettydog</v>
      </c>
    </row>
    <row r="4203" spans="1:10" x14ac:dyDescent="0.25">
      <c r="A4203">
        <v>4760</v>
      </c>
      <c r="B4203" t="s">
        <v>531</v>
      </c>
      <c r="C4203">
        <v>549</v>
      </c>
      <c r="D4203">
        <v>518</v>
      </c>
      <c r="E4203">
        <v>0</v>
      </c>
      <c r="F4203">
        <v>246</v>
      </c>
      <c r="G4203">
        <v>0</v>
      </c>
      <c r="H4203" t="s">
        <v>9127</v>
      </c>
      <c r="I4203">
        <v>4760</v>
      </c>
      <c r="J4203" t="e">
        <f>VLOOKUP(E4203,DSSpieler!A:B,2,FALSE)</f>
        <v>#N/A</v>
      </c>
    </row>
    <row r="4204" spans="1:10" x14ac:dyDescent="0.25">
      <c r="A4204">
        <v>4761</v>
      </c>
      <c r="B4204" t="s">
        <v>32253</v>
      </c>
      <c r="C4204">
        <v>560</v>
      </c>
      <c r="D4204">
        <v>515</v>
      </c>
      <c r="E4204">
        <v>8627192</v>
      </c>
      <c r="F4204">
        <v>4303</v>
      </c>
      <c r="G4204">
        <v>0</v>
      </c>
      <c r="H4204" t="s">
        <v>9128</v>
      </c>
      <c r="I4204">
        <v>4761</v>
      </c>
      <c r="J4204" t="str">
        <f>VLOOKUP(E4204,DSSpieler!A:B,2,FALSE)</f>
        <v>Elektric</v>
      </c>
    </row>
    <row r="4205" spans="1:10" x14ac:dyDescent="0.25">
      <c r="A4205">
        <v>4762</v>
      </c>
      <c r="B4205">
        <v>4</v>
      </c>
      <c r="C4205">
        <v>483</v>
      </c>
      <c r="D4205">
        <v>399</v>
      </c>
      <c r="E4205">
        <v>1574742</v>
      </c>
      <c r="F4205">
        <v>4214</v>
      </c>
      <c r="G4205">
        <v>0</v>
      </c>
      <c r="H4205" t="s">
        <v>9129</v>
      </c>
      <c r="I4205">
        <v>4762</v>
      </c>
      <c r="J4205" t="str">
        <f>VLOOKUP(E4205,DSSpieler!A:B,2,FALSE)</f>
        <v>Kurde.</v>
      </c>
    </row>
    <row r="4206" spans="1:10" x14ac:dyDescent="0.25">
      <c r="A4206">
        <v>4763</v>
      </c>
      <c r="B4206" t="s">
        <v>32254</v>
      </c>
      <c r="C4206">
        <v>559</v>
      </c>
      <c r="D4206">
        <v>519</v>
      </c>
      <c r="E4206">
        <v>1577175525</v>
      </c>
      <c r="F4206">
        <v>6196</v>
      </c>
      <c r="G4206">
        <v>0</v>
      </c>
      <c r="H4206" t="s">
        <v>9130</v>
      </c>
      <c r="I4206">
        <v>4763</v>
      </c>
      <c r="J4206" t="str">
        <f>VLOOKUP(E4206,DSSpieler!A:B,2,FALSE)</f>
        <v>tobu97</v>
      </c>
    </row>
    <row r="4207" spans="1:10" x14ac:dyDescent="0.25">
      <c r="A4207">
        <v>4764</v>
      </c>
      <c r="B4207" t="s">
        <v>32255</v>
      </c>
      <c r="C4207">
        <v>426</v>
      </c>
      <c r="D4207">
        <v>417</v>
      </c>
      <c r="E4207">
        <v>1576884345</v>
      </c>
      <c r="F4207">
        <v>6625</v>
      </c>
      <c r="G4207">
        <v>0</v>
      </c>
      <c r="H4207" t="s">
        <v>9131</v>
      </c>
      <c r="I4207">
        <v>4764</v>
      </c>
      <c r="J4207" t="str">
        <f>VLOOKUP(E4207,DSSpieler!A:B,2,FALSE)</f>
        <v>Hakuna-</v>
      </c>
    </row>
    <row r="4208" spans="1:10" x14ac:dyDescent="0.25">
      <c r="A4208">
        <v>4765</v>
      </c>
      <c r="B4208" t="s">
        <v>950</v>
      </c>
      <c r="C4208">
        <v>548</v>
      </c>
      <c r="D4208">
        <v>560</v>
      </c>
      <c r="E4208">
        <v>1576717422</v>
      </c>
      <c r="F4208">
        <v>4599</v>
      </c>
      <c r="G4208">
        <v>0</v>
      </c>
      <c r="H4208" t="s">
        <v>9132</v>
      </c>
      <c r="I4208">
        <v>4765</v>
      </c>
      <c r="J4208" t="str">
        <f>VLOOKUP(E4208,DSSpieler!A:B,2,FALSE)</f>
        <v>Ottloverot</v>
      </c>
    </row>
    <row r="4209" spans="1:10" x14ac:dyDescent="0.25">
      <c r="A4209">
        <v>4766</v>
      </c>
      <c r="B4209" t="s">
        <v>32256</v>
      </c>
      <c r="C4209">
        <v>456</v>
      </c>
      <c r="D4209">
        <v>537</v>
      </c>
      <c r="E4209">
        <v>1576822927</v>
      </c>
      <c r="F4209">
        <v>4575</v>
      </c>
      <c r="G4209">
        <v>0</v>
      </c>
      <c r="H4209" t="s">
        <v>9133</v>
      </c>
      <c r="I4209">
        <v>4766</v>
      </c>
      <c r="J4209" t="str">
        <f>VLOOKUP(E4209,DSSpieler!A:B,2,FALSE)</f>
        <v>PokeTrainer</v>
      </c>
    </row>
    <row r="4210" spans="1:10" x14ac:dyDescent="0.25">
      <c r="A4210">
        <v>4767</v>
      </c>
      <c r="B4210" t="s">
        <v>31763</v>
      </c>
      <c r="C4210">
        <v>578</v>
      </c>
      <c r="D4210">
        <v>554</v>
      </c>
      <c r="E4210">
        <v>1577171740</v>
      </c>
      <c r="F4210">
        <v>7830</v>
      </c>
      <c r="G4210">
        <v>0</v>
      </c>
      <c r="H4210" t="s">
        <v>9134</v>
      </c>
      <c r="I4210">
        <v>4767</v>
      </c>
      <c r="J4210" t="str">
        <f>VLOOKUP(E4210,DSSpieler!A:B,2,FALSE)</f>
        <v>Kevisback7</v>
      </c>
    </row>
    <row r="4211" spans="1:10" x14ac:dyDescent="0.25">
      <c r="A4211">
        <v>4768</v>
      </c>
      <c r="B4211" t="s">
        <v>531</v>
      </c>
      <c r="C4211">
        <v>569</v>
      </c>
      <c r="D4211">
        <v>469</v>
      </c>
      <c r="E4211">
        <v>0</v>
      </c>
      <c r="F4211">
        <v>664</v>
      </c>
      <c r="G4211">
        <v>0</v>
      </c>
      <c r="H4211" t="s">
        <v>9135</v>
      </c>
      <c r="I4211">
        <v>4768</v>
      </c>
      <c r="J4211" t="e">
        <f>VLOOKUP(E4211,DSSpieler!A:B,2,FALSE)</f>
        <v>#N/A</v>
      </c>
    </row>
    <row r="4212" spans="1:10" x14ac:dyDescent="0.25">
      <c r="A4212">
        <v>4770</v>
      </c>
      <c r="B4212" t="s">
        <v>32257</v>
      </c>
      <c r="C4212">
        <v>590</v>
      </c>
      <c r="D4212">
        <v>457</v>
      </c>
      <c r="E4212">
        <v>1576328934</v>
      </c>
      <c r="F4212">
        <v>5901</v>
      </c>
      <c r="G4212">
        <v>0</v>
      </c>
      <c r="H4212" t="s">
        <v>9136</v>
      </c>
      <c r="I4212">
        <v>4770</v>
      </c>
      <c r="J4212" t="str">
        <f>VLOOKUP(E4212,DSSpieler!A:B,2,FALSE)</f>
        <v>Fellow13</v>
      </c>
    </row>
    <row r="4213" spans="1:10" x14ac:dyDescent="0.25">
      <c r="A4213">
        <v>4771</v>
      </c>
      <c r="B4213" t="s">
        <v>32258</v>
      </c>
      <c r="C4213">
        <v>449</v>
      </c>
      <c r="D4213">
        <v>549</v>
      </c>
      <c r="E4213">
        <v>1576379797</v>
      </c>
      <c r="F4213">
        <v>4312</v>
      </c>
      <c r="G4213">
        <v>0</v>
      </c>
      <c r="H4213" t="s">
        <v>9137</v>
      </c>
      <c r="I4213">
        <v>4771</v>
      </c>
      <c r="J4213" t="str">
        <f>VLOOKUP(E4213,DSSpieler!A:B,2,FALSE)</f>
        <v>%C3%96ggi</v>
      </c>
    </row>
    <row r="4214" spans="1:10" x14ac:dyDescent="0.25">
      <c r="A4214">
        <v>4772</v>
      </c>
      <c r="B4214" t="s">
        <v>1308</v>
      </c>
      <c r="C4214">
        <v>433</v>
      </c>
      <c r="D4214">
        <v>464</v>
      </c>
      <c r="E4214">
        <v>1577045102</v>
      </c>
      <c r="F4214">
        <v>6732</v>
      </c>
      <c r="G4214">
        <v>0</v>
      </c>
      <c r="H4214" t="s">
        <v>9138</v>
      </c>
      <c r="I4214">
        <v>4772</v>
      </c>
      <c r="J4214" t="str">
        <f>VLOOKUP(E4214,DSSpieler!A:B,2,FALSE)</f>
        <v>RealNyic</v>
      </c>
    </row>
    <row r="4215" spans="1:10" x14ac:dyDescent="0.25">
      <c r="A4215">
        <v>4773</v>
      </c>
      <c r="B4215" t="s">
        <v>32259</v>
      </c>
      <c r="C4215">
        <v>434</v>
      </c>
      <c r="D4215">
        <v>413</v>
      </c>
      <c r="E4215">
        <v>1576953927</v>
      </c>
      <c r="F4215">
        <v>6466</v>
      </c>
      <c r="G4215">
        <v>0</v>
      </c>
      <c r="H4215" t="s">
        <v>9139</v>
      </c>
      <c r="I4215">
        <v>4773</v>
      </c>
      <c r="J4215" t="str">
        <f>VLOOKUP(E4215,DSSpieler!A:B,2,FALSE)</f>
        <v>Fürst Finn</v>
      </c>
    </row>
    <row r="4216" spans="1:10" x14ac:dyDescent="0.25">
      <c r="A4216">
        <v>4774</v>
      </c>
      <c r="B4216" t="s">
        <v>531</v>
      </c>
      <c r="C4216">
        <v>474</v>
      </c>
      <c r="D4216">
        <v>574</v>
      </c>
      <c r="E4216">
        <v>0</v>
      </c>
      <c r="F4216">
        <v>309</v>
      </c>
      <c r="G4216">
        <v>0</v>
      </c>
      <c r="H4216" t="s">
        <v>9140</v>
      </c>
      <c r="I4216">
        <v>4774</v>
      </c>
      <c r="J4216" t="e">
        <f>VLOOKUP(E4216,DSSpieler!A:B,2,FALSE)</f>
        <v>#N/A</v>
      </c>
    </row>
    <row r="4217" spans="1:10" x14ac:dyDescent="0.25">
      <c r="A4217">
        <v>4775</v>
      </c>
      <c r="B4217" t="s">
        <v>32260</v>
      </c>
      <c r="C4217">
        <v>567</v>
      </c>
      <c r="D4217">
        <v>415</v>
      </c>
      <c r="E4217">
        <v>1577197691</v>
      </c>
      <c r="F4217">
        <v>6070</v>
      </c>
      <c r="G4217">
        <v>0</v>
      </c>
      <c r="H4217" t="s">
        <v>9141</v>
      </c>
      <c r="I4217">
        <v>4775</v>
      </c>
      <c r="J4217" t="str">
        <f>VLOOKUP(E4217,DSSpieler!A:B,2,FALSE)</f>
        <v>McPaolo</v>
      </c>
    </row>
    <row r="4218" spans="1:10" x14ac:dyDescent="0.25">
      <c r="A4218">
        <v>4776</v>
      </c>
      <c r="B4218" t="s">
        <v>1309</v>
      </c>
      <c r="C4218">
        <v>404</v>
      </c>
      <c r="D4218">
        <v>502</v>
      </c>
      <c r="E4218">
        <v>1577162066</v>
      </c>
      <c r="F4218">
        <v>4421</v>
      </c>
      <c r="G4218">
        <v>0</v>
      </c>
      <c r="H4218" t="s">
        <v>9142</v>
      </c>
      <c r="I4218">
        <v>4776</v>
      </c>
      <c r="J4218" t="str">
        <f>VLOOKUP(E4218,DSSpieler!A:B,2,FALSE)</f>
        <v>sascha228</v>
      </c>
    </row>
    <row r="4219" spans="1:10" x14ac:dyDescent="0.25">
      <c r="A4219">
        <v>4777</v>
      </c>
      <c r="B4219" t="s">
        <v>32261</v>
      </c>
      <c r="C4219">
        <v>459</v>
      </c>
      <c r="D4219">
        <v>546</v>
      </c>
      <c r="E4219">
        <v>8942925</v>
      </c>
      <c r="F4219">
        <v>5105</v>
      </c>
      <c r="G4219">
        <v>0</v>
      </c>
      <c r="H4219" t="s">
        <v>9143</v>
      </c>
      <c r="I4219">
        <v>4777</v>
      </c>
      <c r="J4219" t="str">
        <f>VLOOKUP(E4219,DSSpieler!A:B,2,FALSE)</f>
        <v>Amaterzu</v>
      </c>
    </row>
    <row r="4220" spans="1:10" x14ac:dyDescent="0.25">
      <c r="A4220">
        <v>4778</v>
      </c>
      <c r="B4220" t="s">
        <v>32262</v>
      </c>
      <c r="C4220">
        <v>409</v>
      </c>
      <c r="D4220">
        <v>513</v>
      </c>
      <c r="E4220">
        <v>1043194</v>
      </c>
      <c r="F4220">
        <v>6397</v>
      </c>
      <c r="G4220">
        <v>0</v>
      </c>
      <c r="H4220" t="s">
        <v>9144</v>
      </c>
      <c r="I4220">
        <v>4778</v>
      </c>
      <c r="J4220" t="str">
        <f>VLOOKUP(E4220,DSSpieler!A:B,2,FALSE)</f>
        <v>nikollus</v>
      </c>
    </row>
    <row r="4221" spans="1:10" x14ac:dyDescent="0.25">
      <c r="A4221">
        <v>4780</v>
      </c>
      <c r="B4221" t="s">
        <v>32263</v>
      </c>
      <c r="C4221">
        <v>575</v>
      </c>
      <c r="D4221">
        <v>496</v>
      </c>
      <c r="E4221">
        <v>1576795194</v>
      </c>
      <c r="F4221">
        <v>5707</v>
      </c>
      <c r="G4221">
        <v>0</v>
      </c>
      <c r="H4221" t="s">
        <v>9145</v>
      </c>
      <c r="I4221">
        <v>4780</v>
      </c>
      <c r="J4221" t="str">
        <f>VLOOKUP(E4221,DSSpieler!A:B,2,FALSE)</f>
        <v>Genshirou</v>
      </c>
    </row>
    <row r="4222" spans="1:10" x14ac:dyDescent="0.25">
      <c r="A4222">
        <v>4781</v>
      </c>
      <c r="B4222" t="s">
        <v>1310</v>
      </c>
      <c r="C4222">
        <v>427</v>
      </c>
      <c r="D4222">
        <v>570</v>
      </c>
      <c r="E4222">
        <v>1577174416</v>
      </c>
      <c r="F4222">
        <v>7107</v>
      </c>
      <c r="G4222">
        <v>0</v>
      </c>
      <c r="H4222" t="s">
        <v>9146</v>
      </c>
      <c r="I4222">
        <v>4781</v>
      </c>
      <c r="J4222" t="str">
        <f>VLOOKUP(E4222,DSSpieler!A:B,2,FALSE)</f>
        <v>schlummci</v>
      </c>
    </row>
    <row r="4223" spans="1:10" x14ac:dyDescent="0.25">
      <c r="A4223">
        <v>4782</v>
      </c>
      <c r="B4223" t="s">
        <v>531</v>
      </c>
      <c r="C4223">
        <v>408</v>
      </c>
      <c r="D4223">
        <v>451</v>
      </c>
      <c r="E4223">
        <v>0</v>
      </c>
      <c r="F4223">
        <v>341</v>
      </c>
      <c r="G4223">
        <v>0</v>
      </c>
      <c r="H4223" t="s">
        <v>9147</v>
      </c>
      <c r="I4223">
        <v>4782</v>
      </c>
      <c r="J4223" t="e">
        <f>VLOOKUP(E4223,DSSpieler!A:B,2,FALSE)</f>
        <v>#N/A</v>
      </c>
    </row>
    <row r="4224" spans="1:10" x14ac:dyDescent="0.25">
      <c r="A4224">
        <v>4783</v>
      </c>
      <c r="B4224" t="s">
        <v>32264</v>
      </c>
      <c r="C4224">
        <v>583</v>
      </c>
      <c r="D4224">
        <v>467</v>
      </c>
      <c r="E4224">
        <v>1577190280</v>
      </c>
      <c r="F4224">
        <v>4539</v>
      </c>
      <c r="G4224">
        <v>0</v>
      </c>
      <c r="H4224" t="s">
        <v>9148</v>
      </c>
      <c r="I4224">
        <v>4783</v>
      </c>
      <c r="J4224" t="str">
        <f>VLOOKUP(E4224,DSSpieler!A:B,2,FALSE)</f>
        <v>MisterMJ</v>
      </c>
    </row>
    <row r="4225" spans="1:10" x14ac:dyDescent="0.25">
      <c r="A4225">
        <v>4784</v>
      </c>
      <c r="B4225">
        <v>1</v>
      </c>
      <c r="C4225">
        <v>534</v>
      </c>
      <c r="D4225">
        <v>570</v>
      </c>
      <c r="E4225">
        <v>9411745</v>
      </c>
      <c r="F4225">
        <v>4438</v>
      </c>
      <c r="G4225">
        <v>0</v>
      </c>
      <c r="H4225" t="s">
        <v>9149</v>
      </c>
      <c r="I4225">
        <v>4784</v>
      </c>
      <c r="J4225" t="str">
        <f>VLOOKUP(E4225,DSSpieler!A:B,2,FALSE)</f>
        <v>erstyle98</v>
      </c>
    </row>
    <row r="4226" spans="1:10" x14ac:dyDescent="0.25">
      <c r="A4226">
        <v>4786</v>
      </c>
      <c r="B4226" t="s">
        <v>531</v>
      </c>
      <c r="C4226">
        <v>517</v>
      </c>
      <c r="D4226">
        <v>424</v>
      </c>
      <c r="E4226">
        <v>1577043725</v>
      </c>
      <c r="F4226">
        <v>404</v>
      </c>
      <c r="G4226">
        <v>0</v>
      </c>
      <c r="H4226" t="s">
        <v>9150</v>
      </c>
      <c r="I4226">
        <v>4786</v>
      </c>
      <c r="J4226" t="str">
        <f>VLOOKUP(E4226,DSSpieler!A:B,2,FALSE)</f>
        <v>Apored</v>
      </c>
    </row>
    <row r="4227" spans="1:10" x14ac:dyDescent="0.25">
      <c r="A4227">
        <v>4787</v>
      </c>
      <c r="B4227" t="s">
        <v>1311</v>
      </c>
      <c r="C4227">
        <v>408</v>
      </c>
      <c r="D4227">
        <v>466</v>
      </c>
      <c r="E4227">
        <v>1576594574</v>
      </c>
      <c r="F4227">
        <v>6146</v>
      </c>
      <c r="G4227">
        <v>0</v>
      </c>
      <c r="H4227" t="s">
        <v>9151</v>
      </c>
      <c r="I4227">
        <v>4787</v>
      </c>
      <c r="J4227" t="str">
        <f>VLOOKUP(E4227,DSSpieler!A:B,2,FALSE)</f>
        <v>FogDog</v>
      </c>
    </row>
    <row r="4228" spans="1:10" x14ac:dyDescent="0.25">
      <c r="A4228">
        <v>4788</v>
      </c>
      <c r="B4228" t="s">
        <v>31024</v>
      </c>
      <c r="C4228">
        <v>430</v>
      </c>
      <c r="D4228">
        <v>576</v>
      </c>
      <c r="E4228">
        <v>1576083107</v>
      </c>
      <c r="F4228">
        <v>5111</v>
      </c>
      <c r="G4228">
        <v>0</v>
      </c>
      <c r="H4228" t="s">
        <v>9152</v>
      </c>
      <c r="I4228">
        <v>4788</v>
      </c>
      <c r="J4228" t="str">
        <f>VLOOKUP(E4228,DSSpieler!A:B,2,FALSE)</f>
        <v>Lord Newcastle</v>
      </c>
    </row>
    <row r="4229" spans="1:10" x14ac:dyDescent="0.25">
      <c r="A4229">
        <v>4789</v>
      </c>
      <c r="B4229" t="s">
        <v>531</v>
      </c>
      <c r="C4229">
        <v>551</v>
      </c>
      <c r="D4229">
        <v>439</v>
      </c>
      <c r="E4229">
        <v>0</v>
      </c>
      <c r="F4229">
        <v>227</v>
      </c>
      <c r="G4229">
        <v>0</v>
      </c>
      <c r="H4229" t="s">
        <v>9153</v>
      </c>
      <c r="I4229">
        <v>4789</v>
      </c>
      <c r="J4229" t="e">
        <f>VLOOKUP(E4229,DSSpieler!A:B,2,FALSE)</f>
        <v>#N/A</v>
      </c>
    </row>
    <row r="4230" spans="1:10" x14ac:dyDescent="0.25">
      <c r="A4230">
        <v>4791</v>
      </c>
      <c r="B4230" t="s">
        <v>531</v>
      </c>
      <c r="C4230">
        <v>546</v>
      </c>
      <c r="D4230">
        <v>537</v>
      </c>
      <c r="E4230">
        <v>0</v>
      </c>
      <c r="F4230">
        <v>302</v>
      </c>
      <c r="G4230">
        <v>0</v>
      </c>
      <c r="H4230" t="s">
        <v>9154</v>
      </c>
      <c r="I4230">
        <v>4791</v>
      </c>
      <c r="J4230" t="e">
        <f>VLOOKUP(E4230,DSSpieler!A:B,2,FALSE)</f>
        <v>#N/A</v>
      </c>
    </row>
    <row r="4231" spans="1:10" x14ac:dyDescent="0.25">
      <c r="A4231">
        <v>4792</v>
      </c>
      <c r="B4231" t="s">
        <v>979</v>
      </c>
      <c r="C4231">
        <v>507</v>
      </c>
      <c r="D4231">
        <v>608</v>
      </c>
      <c r="E4231">
        <v>1576934386</v>
      </c>
      <c r="F4231">
        <v>4449</v>
      </c>
      <c r="G4231">
        <v>0</v>
      </c>
      <c r="H4231" t="s">
        <v>9155</v>
      </c>
      <c r="I4231">
        <v>4792</v>
      </c>
      <c r="J4231" t="str">
        <f>VLOOKUP(E4231,DSSpieler!A:B,2,FALSE)</f>
        <v>Signed1</v>
      </c>
    </row>
    <row r="4232" spans="1:10" x14ac:dyDescent="0.25">
      <c r="A4232">
        <v>4793</v>
      </c>
      <c r="B4232" t="s">
        <v>32265</v>
      </c>
      <c r="C4232">
        <v>583</v>
      </c>
      <c r="D4232">
        <v>554</v>
      </c>
      <c r="E4232">
        <v>1577149240</v>
      </c>
      <c r="F4232">
        <v>5798</v>
      </c>
      <c r="G4232">
        <v>0</v>
      </c>
      <c r="H4232" t="s">
        <v>9156</v>
      </c>
      <c r="I4232">
        <v>4793</v>
      </c>
      <c r="J4232" t="str">
        <f>VLOOKUP(E4232,DSSpieler!A:B,2,FALSE)</f>
        <v>Cäsar 1970</v>
      </c>
    </row>
    <row r="4233" spans="1:10" x14ac:dyDescent="0.25">
      <c r="A4233">
        <v>4794</v>
      </c>
      <c r="B4233" t="s">
        <v>531</v>
      </c>
      <c r="C4233">
        <v>471</v>
      </c>
      <c r="D4233">
        <v>434</v>
      </c>
      <c r="E4233">
        <v>0</v>
      </c>
      <c r="F4233">
        <v>304</v>
      </c>
      <c r="G4233">
        <v>0</v>
      </c>
      <c r="H4233" t="s">
        <v>9157</v>
      </c>
      <c r="I4233">
        <v>4794</v>
      </c>
      <c r="J4233" t="e">
        <f>VLOOKUP(E4233,DSSpieler!A:B,2,FALSE)</f>
        <v>#N/A</v>
      </c>
    </row>
    <row r="4234" spans="1:10" x14ac:dyDescent="0.25">
      <c r="A4234">
        <v>4795</v>
      </c>
      <c r="B4234" t="s">
        <v>1312</v>
      </c>
      <c r="C4234">
        <v>509</v>
      </c>
      <c r="D4234">
        <v>573</v>
      </c>
      <c r="E4234">
        <v>1576730028</v>
      </c>
      <c r="F4234">
        <v>4734</v>
      </c>
      <c r="G4234">
        <v>0</v>
      </c>
      <c r="H4234" t="s">
        <v>9158</v>
      </c>
      <c r="I4234">
        <v>4795</v>
      </c>
      <c r="J4234" t="str">
        <f>VLOOKUP(E4234,DSSpieler!A:B,2,FALSE)</f>
        <v>-FreSSe-</v>
      </c>
    </row>
    <row r="4235" spans="1:10" x14ac:dyDescent="0.25">
      <c r="A4235">
        <v>4796</v>
      </c>
      <c r="B4235" t="s">
        <v>32266</v>
      </c>
      <c r="C4235">
        <v>541</v>
      </c>
      <c r="D4235">
        <v>413</v>
      </c>
      <c r="E4235">
        <v>1577196253</v>
      </c>
      <c r="F4235">
        <v>7040</v>
      </c>
      <c r="G4235">
        <v>0</v>
      </c>
      <c r="H4235" t="s">
        <v>9159</v>
      </c>
      <c r="I4235">
        <v>4796</v>
      </c>
      <c r="J4235" t="str">
        <f>VLOOKUP(E4235,DSSpieler!A:B,2,FALSE)</f>
        <v>Dracay</v>
      </c>
    </row>
    <row r="4236" spans="1:10" x14ac:dyDescent="0.25">
      <c r="A4236">
        <v>4797</v>
      </c>
      <c r="B4236" t="s">
        <v>1313</v>
      </c>
      <c r="C4236">
        <v>501</v>
      </c>
      <c r="D4236">
        <v>435</v>
      </c>
      <c r="E4236">
        <v>1576029425</v>
      </c>
      <c r="F4236">
        <v>6338</v>
      </c>
      <c r="G4236">
        <v>0</v>
      </c>
      <c r="H4236" t="s">
        <v>9160</v>
      </c>
      <c r="I4236">
        <v>4797</v>
      </c>
      <c r="J4236" t="str">
        <f>VLOOKUP(E4236,DSSpieler!A:B,2,FALSE)</f>
        <v>chefgox89</v>
      </c>
    </row>
    <row r="4237" spans="1:10" x14ac:dyDescent="0.25">
      <c r="A4237">
        <v>4799</v>
      </c>
      <c r="B4237" t="s">
        <v>604</v>
      </c>
      <c r="C4237">
        <v>398</v>
      </c>
      <c r="D4237">
        <v>496</v>
      </c>
      <c r="E4237">
        <v>1577175126</v>
      </c>
      <c r="F4237">
        <v>7714</v>
      </c>
      <c r="G4237">
        <v>0</v>
      </c>
      <c r="H4237" t="s">
        <v>9161</v>
      </c>
      <c r="I4237">
        <v>4799</v>
      </c>
      <c r="J4237" t="str">
        <f>VLOOKUP(E4237,DSSpieler!A:B,2,FALSE)</f>
        <v>Baron Kater</v>
      </c>
    </row>
    <row r="4238" spans="1:10" x14ac:dyDescent="0.25">
      <c r="A4238">
        <v>4800</v>
      </c>
      <c r="B4238" t="s">
        <v>531</v>
      </c>
      <c r="C4238">
        <v>484</v>
      </c>
      <c r="D4238">
        <v>427</v>
      </c>
      <c r="E4238">
        <v>0</v>
      </c>
      <c r="F4238">
        <v>516</v>
      </c>
      <c r="G4238">
        <v>0</v>
      </c>
      <c r="H4238" t="s">
        <v>9162</v>
      </c>
      <c r="I4238">
        <v>4800</v>
      </c>
      <c r="J4238" t="e">
        <f>VLOOKUP(E4238,DSSpieler!A:B,2,FALSE)</f>
        <v>#N/A</v>
      </c>
    </row>
    <row r="4239" spans="1:10" x14ac:dyDescent="0.25">
      <c r="A4239">
        <v>4801</v>
      </c>
      <c r="B4239" t="s">
        <v>32267</v>
      </c>
      <c r="C4239">
        <v>519</v>
      </c>
      <c r="D4239">
        <v>448</v>
      </c>
      <c r="E4239">
        <v>1576123680</v>
      </c>
      <c r="F4239">
        <v>672</v>
      </c>
      <c r="G4239">
        <v>0</v>
      </c>
      <c r="H4239" t="s">
        <v>9163</v>
      </c>
      <c r="I4239">
        <v>4801</v>
      </c>
      <c r="J4239" t="str">
        <f>VLOOKUP(E4239,DSSpieler!A:B,2,FALSE)</f>
        <v>topetoka</v>
      </c>
    </row>
    <row r="4240" spans="1:10" x14ac:dyDescent="0.25">
      <c r="A4240">
        <v>4802</v>
      </c>
      <c r="B4240" t="s">
        <v>531</v>
      </c>
      <c r="C4240">
        <v>458</v>
      </c>
      <c r="D4240">
        <v>433</v>
      </c>
      <c r="E4240">
        <v>0</v>
      </c>
      <c r="F4240">
        <v>288</v>
      </c>
      <c r="G4240">
        <v>0</v>
      </c>
      <c r="H4240" t="s">
        <v>9164</v>
      </c>
      <c r="I4240">
        <v>4802</v>
      </c>
      <c r="J4240" t="e">
        <f>VLOOKUP(E4240,DSSpieler!A:B,2,FALSE)</f>
        <v>#N/A</v>
      </c>
    </row>
    <row r="4241" spans="1:10" x14ac:dyDescent="0.25">
      <c r="A4241">
        <v>4803</v>
      </c>
      <c r="B4241" t="s">
        <v>531</v>
      </c>
      <c r="C4241">
        <v>507</v>
      </c>
      <c r="D4241">
        <v>419</v>
      </c>
      <c r="E4241">
        <v>0</v>
      </c>
      <c r="F4241">
        <v>250</v>
      </c>
      <c r="G4241">
        <v>0</v>
      </c>
      <c r="H4241" t="s">
        <v>9165</v>
      </c>
      <c r="I4241">
        <v>4803</v>
      </c>
      <c r="J4241" t="e">
        <f>VLOOKUP(E4241,DSSpieler!A:B,2,FALSE)</f>
        <v>#N/A</v>
      </c>
    </row>
    <row r="4242" spans="1:10" x14ac:dyDescent="0.25">
      <c r="A4242">
        <v>4804</v>
      </c>
      <c r="B4242" t="s">
        <v>32268</v>
      </c>
      <c r="C4242">
        <v>428</v>
      </c>
      <c r="D4242">
        <v>509</v>
      </c>
      <c r="E4242">
        <v>9868037</v>
      </c>
      <c r="F4242">
        <v>3400</v>
      </c>
      <c r="G4242">
        <v>0</v>
      </c>
      <c r="H4242" t="s">
        <v>9166</v>
      </c>
      <c r="I4242">
        <v>4804</v>
      </c>
      <c r="J4242" t="str">
        <f>VLOOKUP(E4242,DSSpieler!A:B,2,FALSE)</f>
        <v>.Taboo</v>
      </c>
    </row>
    <row r="4243" spans="1:10" x14ac:dyDescent="0.25">
      <c r="A4243">
        <v>4805</v>
      </c>
      <c r="B4243" t="s">
        <v>32269</v>
      </c>
      <c r="C4243">
        <v>561</v>
      </c>
      <c r="D4243">
        <v>507</v>
      </c>
      <c r="E4243">
        <v>9865268</v>
      </c>
      <c r="F4243">
        <v>4681</v>
      </c>
      <c r="G4243">
        <v>0</v>
      </c>
      <c r="H4243" t="s">
        <v>9167</v>
      </c>
      <c r="I4243">
        <v>4805</v>
      </c>
      <c r="J4243" t="str">
        <f>VLOOKUP(E4243,DSSpieler!A:B,2,FALSE)</f>
        <v>R3sG Chiller</v>
      </c>
    </row>
    <row r="4244" spans="1:10" x14ac:dyDescent="0.25">
      <c r="A4244">
        <v>4806</v>
      </c>
      <c r="B4244" t="s">
        <v>32270</v>
      </c>
      <c r="C4244">
        <v>459</v>
      </c>
      <c r="D4244">
        <v>425</v>
      </c>
      <c r="E4244">
        <v>1576840655</v>
      </c>
      <c r="F4244">
        <v>5581</v>
      </c>
      <c r="G4244">
        <v>0</v>
      </c>
      <c r="H4244" t="s">
        <v>9168</v>
      </c>
      <c r="I4244">
        <v>4806</v>
      </c>
      <c r="J4244" t="str">
        <f>VLOOKUP(E4244,DSSpieler!A:B,2,FALSE)</f>
        <v>Kaputus</v>
      </c>
    </row>
    <row r="4245" spans="1:10" x14ac:dyDescent="0.25">
      <c r="A4245">
        <v>4807</v>
      </c>
      <c r="B4245" t="s">
        <v>32271</v>
      </c>
      <c r="C4245">
        <v>502</v>
      </c>
      <c r="D4245">
        <v>569</v>
      </c>
      <c r="E4245">
        <v>2760238</v>
      </c>
      <c r="F4245">
        <v>2030</v>
      </c>
      <c r="G4245">
        <v>0</v>
      </c>
      <c r="H4245" t="s">
        <v>9169</v>
      </c>
      <c r="I4245">
        <v>4807</v>
      </c>
      <c r="J4245" t="str">
        <f>VLOOKUP(E4245,DSSpieler!A:B,2,FALSE)</f>
        <v>Adisch</v>
      </c>
    </row>
    <row r="4246" spans="1:10" x14ac:dyDescent="0.25">
      <c r="A4246">
        <v>4808</v>
      </c>
      <c r="B4246" t="s">
        <v>1314</v>
      </c>
      <c r="C4246">
        <v>569</v>
      </c>
      <c r="D4246">
        <v>468</v>
      </c>
      <c r="E4246">
        <v>1576751873</v>
      </c>
      <c r="F4246">
        <v>6397</v>
      </c>
      <c r="G4246">
        <v>0</v>
      </c>
      <c r="H4246" t="s">
        <v>9170</v>
      </c>
      <c r="I4246">
        <v>4808</v>
      </c>
      <c r="J4246" t="str">
        <f>VLOOKUP(E4246,DSSpieler!A:B,2,FALSE)</f>
        <v>King MKay</v>
      </c>
    </row>
    <row r="4247" spans="1:10" x14ac:dyDescent="0.25">
      <c r="A4247">
        <v>4809</v>
      </c>
      <c r="B4247" t="s">
        <v>531</v>
      </c>
      <c r="C4247">
        <v>479</v>
      </c>
      <c r="D4247">
        <v>542</v>
      </c>
      <c r="E4247">
        <v>0</v>
      </c>
      <c r="F4247">
        <v>245</v>
      </c>
      <c r="G4247">
        <v>0</v>
      </c>
      <c r="H4247" t="s">
        <v>9171</v>
      </c>
      <c r="I4247">
        <v>4809</v>
      </c>
      <c r="J4247" t="e">
        <f>VLOOKUP(E4247,DSSpieler!A:B,2,FALSE)</f>
        <v>#N/A</v>
      </c>
    </row>
    <row r="4248" spans="1:10" x14ac:dyDescent="0.25">
      <c r="A4248">
        <v>4810</v>
      </c>
      <c r="B4248" t="s">
        <v>32272</v>
      </c>
      <c r="C4248">
        <v>489</v>
      </c>
      <c r="D4248">
        <v>425</v>
      </c>
      <c r="E4248">
        <v>9318560</v>
      </c>
      <c r="F4248">
        <v>4565</v>
      </c>
      <c r="G4248">
        <v>0</v>
      </c>
      <c r="H4248" t="s">
        <v>9172</v>
      </c>
      <c r="I4248">
        <v>4810</v>
      </c>
      <c r="J4248" t="str">
        <f>VLOOKUP(E4248,DSSpieler!A:B,2,FALSE)</f>
        <v>Melkin</v>
      </c>
    </row>
    <row r="4249" spans="1:10" x14ac:dyDescent="0.25">
      <c r="A4249">
        <v>4812</v>
      </c>
      <c r="B4249" t="s">
        <v>32273</v>
      </c>
      <c r="C4249">
        <v>405</v>
      </c>
      <c r="D4249">
        <v>443</v>
      </c>
      <c r="E4249">
        <v>1576203801</v>
      </c>
      <c r="F4249">
        <v>5136</v>
      </c>
      <c r="G4249">
        <v>0</v>
      </c>
      <c r="H4249" t="s">
        <v>9173</v>
      </c>
      <c r="I4249">
        <v>4812</v>
      </c>
      <c r="J4249" t="str">
        <f>VLOOKUP(E4249,DSSpieler!A:B,2,FALSE)</f>
        <v>X1312</v>
      </c>
    </row>
    <row r="4250" spans="1:10" x14ac:dyDescent="0.25">
      <c r="A4250">
        <v>4813</v>
      </c>
      <c r="B4250" t="s">
        <v>32274</v>
      </c>
      <c r="C4250">
        <v>535</v>
      </c>
      <c r="D4250">
        <v>397</v>
      </c>
      <c r="E4250">
        <v>1576927352</v>
      </c>
      <c r="F4250">
        <v>5581</v>
      </c>
      <c r="G4250">
        <v>0</v>
      </c>
      <c r="H4250" t="s">
        <v>9174</v>
      </c>
      <c r="I4250">
        <v>4813</v>
      </c>
      <c r="J4250" t="str">
        <f>VLOOKUP(E4250,DSSpieler!A:B,2,FALSE)</f>
        <v>Candide</v>
      </c>
    </row>
    <row r="4251" spans="1:10" x14ac:dyDescent="0.25">
      <c r="A4251">
        <v>4814</v>
      </c>
      <c r="B4251" t="s">
        <v>531</v>
      </c>
      <c r="C4251">
        <v>399</v>
      </c>
      <c r="D4251">
        <v>480</v>
      </c>
      <c r="E4251">
        <v>0</v>
      </c>
      <c r="F4251">
        <v>684</v>
      </c>
      <c r="G4251">
        <v>0</v>
      </c>
      <c r="H4251" t="s">
        <v>9175</v>
      </c>
      <c r="I4251">
        <v>4814</v>
      </c>
      <c r="J4251" t="e">
        <f>VLOOKUP(E4251,DSSpieler!A:B,2,FALSE)</f>
        <v>#N/A</v>
      </c>
    </row>
    <row r="4252" spans="1:10" x14ac:dyDescent="0.25">
      <c r="A4252">
        <v>4815</v>
      </c>
      <c r="B4252" t="s">
        <v>32275</v>
      </c>
      <c r="C4252">
        <v>448</v>
      </c>
      <c r="D4252">
        <v>525</v>
      </c>
      <c r="E4252">
        <v>1576870227</v>
      </c>
      <c r="F4252">
        <v>5814</v>
      </c>
      <c r="G4252">
        <v>0</v>
      </c>
      <c r="H4252" t="s">
        <v>9176</v>
      </c>
      <c r="I4252">
        <v>4815</v>
      </c>
      <c r="J4252" t="str">
        <f>VLOOKUP(E4252,DSSpieler!A:B,2,FALSE)</f>
        <v>GREEN.POWER</v>
      </c>
    </row>
    <row r="4253" spans="1:10" x14ac:dyDescent="0.25">
      <c r="A4253">
        <v>4816</v>
      </c>
      <c r="B4253" t="s">
        <v>531</v>
      </c>
      <c r="C4253">
        <v>543</v>
      </c>
      <c r="D4253">
        <v>531</v>
      </c>
      <c r="E4253">
        <v>0</v>
      </c>
      <c r="F4253">
        <v>491</v>
      </c>
      <c r="G4253">
        <v>0</v>
      </c>
      <c r="H4253" t="s">
        <v>9177</v>
      </c>
      <c r="I4253">
        <v>4816</v>
      </c>
      <c r="J4253" t="e">
        <f>VLOOKUP(E4253,DSSpieler!A:B,2,FALSE)</f>
        <v>#N/A</v>
      </c>
    </row>
    <row r="4254" spans="1:10" x14ac:dyDescent="0.25">
      <c r="A4254">
        <v>4817</v>
      </c>
      <c r="B4254" t="s">
        <v>531</v>
      </c>
      <c r="C4254">
        <v>473</v>
      </c>
      <c r="D4254">
        <v>541</v>
      </c>
      <c r="E4254">
        <v>0</v>
      </c>
      <c r="F4254">
        <v>1962</v>
      </c>
      <c r="G4254">
        <v>0</v>
      </c>
      <c r="H4254" t="s">
        <v>9178</v>
      </c>
      <c r="I4254">
        <v>4817</v>
      </c>
      <c r="J4254" t="e">
        <f>VLOOKUP(E4254,DSSpieler!A:B,2,FALSE)</f>
        <v>#N/A</v>
      </c>
    </row>
    <row r="4255" spans="1:10" x14ac:dyDescent="0.25">
      <c r="A4255">
        <v>4818</v>
      </c>
      <c r="B4255" t="s">
        <v>32276</v>
      </c>
      <c r="C4255">
        <v>457</v>
      </c>
      <c r="D4255">
        <v>522</v>
      </c>
      <c r="E4255">
        <v>1576870227</v>
      </c>
      <c r="F4255">
        <v>4903</v>
      </c>
      <c r="G4255">
        <v>0</v>
      </c>
      <c r="H4255" t="s">
        <v>9179</v>
      </c>
      <c r="I4255">
        <v>4818</v>
      </c>
      <c r="J4255" t="str">
        <f>VLOOKUP(E4255,DSSpieler!A:B,2,FALSE)</f>
        <v>GREEN.POWER</v>
      </c>
    </row>
    <row r="4256" spans="1:10" x14ac:dyDescent="0.25">
      <c r="A4256">
        <v>4819</v>
      </c>
      <c r="B4256" t="s">
        <v>32277</v>
      </c>
      <c r="C4256">
        <v>501</v>
      </c>
      <c r="D4256">
        <v>571</v>
      </c>
      <c r="E4256">
        <v>2760238</v>
      </c>
      <c r="F4256">
        <v>4666</v>
      </c>
      <c r="G4256">
        <v>0</v>
      </c>
      <c r="H4256" t="s">
        <v>9180</v>
      </c>
      <c r="I4256">
        <v>4819</v>
      </c>
      <c r="J4256" t="str">
        <f>VLOOKUP(E4256,DSSpieler!A:B,2,FALSE)</f>
        <v>Adisch</v>
      </c>
    </row>
    <row r="4257" spans="1:10" x14ac:dyDescent="0.25">
      <c r="A4257">
        <v>4820</v>
      </c>
      <c r="B4257" t="s">
        <v>32278</v>
      </c>
      <c r="C4257">
        <v>526</v>
      </c>
      <c r="D4257">
        <v>431</v>
      </c>
      <c r="E4257">
        <v>9291686</v>
      </c>
      <c r="F4257">
        <v>46</v>
      </c>
      <c r="G4257">
        <v>0</v>
      </c>
      <c r="H4257" t="s">
        <v>9181</v>
      </c>
      <c r="I4257">
        <v>4820</v>
      </c>
      <c r="J4257" t="str">
        <f>VLOOKUP(E4257,DSSpieler!A:B,2,FALSE)</f>
        <v>Kriegsdampfer</v>
      </c>
    </row>
    <row r="4258" spans="1:10" x14ac:dyDescent="0.25">
      <c r="A4258">
        <v>4821</v>
      </c>
      <c r="B4258" t="s">
        <v>780</v>
      </c>
      <c r="C4258">
        <v>605</v>
      </c>
      <c r="D4258">
        <v>511</v>
      </c>
      <c r="E4258">
        <v>1577195219</v>
      </c>
      <c r="F4258">
        <v>5059</v>
      </c>
      <c r="G4258">
        <v>0</v>
      </c>
      <c r="H4258" t="s">
        <v>9182</v>
      </c>
      <c r="I4258">
        <v>4821</v>
      </c>
      <c r="J4258" t="str">
        <f>VLOOKUP(E4258,DSSpieler!A:B,2,FALSE)</f>
        <v>Eric Cartman</v>
      </c>
    </row>
    <row r="4259" spans="1:10" x14ac:dyDescent="0.25">
      <c r="A4259">
        <v>4823</v>
      </c>
      <c r="B4259" t="s">
        <v>32279</v>
      </c>
      <c r="C4259">
        <v>571</v>
      </c>
      <c r="D4259">
        <v>582</v>
      </c>
      <c r="E4259">
        <v>9194341</v>
      </c>
      <c r="F4259">
        <v>1559</v>
      </c>
      <c r="G4259">
        <v>0</v>
      </c>
      <c r="H4259" t="s">
        <v>9183</v>
      </c>
      <c r="I4259">
        <v>4823</v>
      </c>
      <c r="J4259" t="str">
        <f>VLOOKUP(E4259,DSSpieler!A:B,2,FALSE)</f>
        <v>Simon der Groooße</v>
      </c>
    </row>
    <row r="4260" spans="1:10" x14ac:dyDescent="0.25">
      <c r="A4260">
        <v>4824</v>
      </c>
      <c r="B4260" t="s">
        <v>531</v>
      </c>
      <c r="C4260">
        <v>461</v>
      </c>
      <c r="D4260">
        <v>503</v>
      </c>
      <c r="E4260">
        <v>0</v>
      </c>
      <c r="F4260">
        <v>102</v>
      </c>
      <c r="G4260">
        <v>0</v>
      </c>
      <c r="H4260" t="s">
        <v>9184</v>
      </c>
      <c r="I4260">
        <v>4824</v>
      </c>
      <c r="J4260" t="e">
        <f>VLOOKUP(E4260,DSSpieler!A:B,2,FALSE)</f>
        <v>#N/A</v>
      </c>
    </row>
    <row r="4261" spans="1:10" x14ac:dyDescent="0.25">
      <c r="A4261">
        <v>4825</v>
      </c>
      <c r="B4261" t="s">
        <v>32280</v>
      </c>
      <c r="C4261">
        <v>404</v>
      </c>
      <c r="D4261">
        <v>501</v>
      </c>
      <c r="E4261">
        <v>8120705</v>
      </c>
      <c r="F4261">
        <v>6249</v>
      </c>
      <c r="G4261">
        <v>0</v>
      </c>
      <c r="H4261" t="s">
        <v>9185</v>
      </c>
      <c r="I4261">
        <v>4825</v>
      </c>
      <c r="J4261" t="str">
        <f>VLOOKUP(E4261,DSSpieler!A:B,2,FALSE)</f>
        <v>Pizzadorf</v>
      </c>
    </row>
    <row r="4262" spans="1:10" x14ac:dyDescent="0.25">
      <c r="A4262">
        <v>4827</v>
      </c>
      <c r="B4262" t="s">
        <v>32281</v>
      </c>
      <c r="C4262">
        <v>545</v>
      </c>
      <c r="D4262">
        <v>444</v>
      </c>
      <c r="E4262">
        <v>1577196842</v>
      </c>
      <c r="F4262">
        <v>1524</v>
      </c>
      <c r="G4262">
        <v>0</v>
      </c>
      <c r="H4262" t="s">
        <v>9186</v>
      </c>
      <c r="I4262">
        <v>4827</v>
      </c>
      <c r="J4262" t="str">
        <f>VLOOKUP(E4262,DSSpieler!A:B,2,FALSE)</f>
        <v>Pumuckel77</v>
      </c>
    </row>
    <row r="4263" spans="1:10" x14ac:dyDescent="0.25">
      <c r="A4263">
        <v>4828</v>
      </c>
      <c r="B4263" t="s">
        <v>32282</v>
      </c>
      <c r="C4263">
        <v>440</v>
      </c>
      <c r="D4263">
        <v>496</v>
      </c>
      <c r="E4263">
        <v>1576835760</v>
      </c>
      <c r="F4263">
        <v>6697</v>
      </c>
      <c r="G4263">
        <v>0</v>
      </c>
      <c r="H4263" t="s">
        <v>9187</v>
      </c>
      <c r="I4263">
        <v>4828</v>
      </c>
      <c r="J4263" t="str">
        <f>VLOOKUP(E4263,DSSpieler!A:B,2,FALSE)</f>
        <v>Hiro Nakamura</v>
      </c>
    </row>
    <row r="4264" spans="1:10" x14ac:dyDescent="0.25">
      <c r="A4264">
        <v>4829</v>
      </c>
      <c r="B4264" t="s">
        <v>531</v>
      </c>
      <c r="C4264">
        <v>438</v>
      </c>
      <c r="D4264">
        <v>520</v>
      </c>
      <c r="E4264">
        <v>0</v>
      </c>
      <c r="F4264">
        <v>326</v>
      </c>
      <c r="G4264">
        <v>0</v>
      </c>
      <c r="H4264" t="s">
        <v>9188</v>
      </c>
      <c r="I4264">
        <v>4829</v>
      </c>
      <c r="J4264" t="e">
        <f>VLOOKUP(E4264,DSSpieler!A:B,2,FALSE)</f>
        <v>#N/A</v>
      </c>
    </row>
    <row r="4265" spans="1:10" x14ac:dyDescent="0.25">
      <c r="A4265">
        <v>4830</v>
      </c>
      <c r="B4265" t="s">
        <v>32283</v>
      </c>
      <c r="C4265">
        <v>511</v>
      </c>
      <c r="D4265">
        <v>472</v>
      </c>
      <c r="E4265">
        <v>1577189971</v>
      </c>
      <c r="F4265">
        <v>5210</v>
      </c>
      <c r="G4265">
        <v>0</v>
      </c>
      <c r="H4265" t="s">
        <v>9189</v>
      </c>
      <c r="I4265">
        <v>4830</v>
      </c>
      <c r="J4265" t="str">
        <f>VLOOKUP(E4265,DSSpieler!A:B,2,FALSE)</f>
        <v>IBasher</v>
      </c>
    </row>
    <row r="4266" spans="1:10" x14ac:dyDescent="0.25">
      <c r="A4266">
        <v>4832</v>
      </c>
      <c r="B4266" t="s">
        <v>31407</v>
      </c>
      <c r="C4266">
        <v>419</v>
      </c>
      <c r="D4266">
        <v>569</v>
      </c>
      <c r="E4266">
        <v>1577197461</v>
      </c>
      <c r="F4266">
        <v>5462</v>
      </c>
      <c r="G4266">
        <v>0</v>
      </c>
      <c r="H4266" t="s">
        <v>9190</v>
      </c>
      <c r="I4266">
        <v>4832</v>
      </c>
      <c r="J4266" t="str">
        <f>VLOOKUP(E4266,DSSpieler!A:B,2,FALSE)</f>
        <v>Chiller-Buraggg</v>
      </c>
    </row>
    <row r="4267" spans="1:10" x14ac:dyDescent="0.25">
      <c r="A4267">
        <v>4833</v>
      </c>
      <c r="B4267" t="s">
        <v>32204</v>
      </c>
      <c r="C4267">
        <v>487</v>
      </c>
      <c r="D4267">
        <v>586</v>
      </c>
      <c r="E4267">
        <v>9574714</v>
      </c>
      <c r="F4267">
        <v>6495</v>
      </c>
      <c r="G4267">
        <v>0</v>
      </c>
      <c r="H4267" t="s">
        <v>9191</v>
      </c>
      <c r="I4267">
        <v>4833</v>
      </c>
      <c r="J4267" t="str">
        <f>VLOOKUP(E4267,DSSpieler!A:B,2,FALSE)</f>
        <v>Rest In Peace?</v>
      </c>
    </row>
    <row r="4268" spans="1:10" x14ac:dyDescent="0.25">
      <c r="A4268">
        <v>4834</v>
      </c>
      <c r="B4268" s="111">
        <v>230.04</v>
      </c>
      <c r="C4268">
        <v>501</v>
      </c>
      <c r="D4268">
        <v>430</v>
      </c>
      <c r="E4268">
        <v>1577185564</v>
      </c>
      <c r="F4268">
        <v>574</v>
      </c>
      <c r="G4268">
        <v>0</v>
      </c>
      <c r="H4268" t="s">
        <v>9192</v>
      </c>
      <c r="I4268">
        <v>4834</v>
      </c>
      <c r="J4268" t="str">
        <f>VLOOKUP(E4268,DSSpieler!A:B,2,FALSE)</f>
        <v>Chrismk7</v>
      </c>
    </row>
    <row r="4269" spans="1:10" x14ac:dyDescent="0.25">
      <c r="A4269">
        <v>4835</v>
      </c>
      <c r="B4269" t="s">
        <v>32284</v>
      </c>
      <c r="C4269">
        <v>537</v>
      </c>
      <c r="D4269">
        <v>442</v>
      </c>
      <c r="E4269">
        <v>10077002</v>
      </c>
      <c r="F4269">
        <v>5978</v>
      </c>
      <c r="G4269">
        <v>0</v>
      </c>
      <c r="H4269" t="s">
        <v>9193</v>
      </c>
      <c r="I4269">
        <v>4835</v>
      </c>
      <c r="J4269" t="str">
        <f>VLOOKUP(E4269,DSSpieler!A:B,2,FALSE)</f>
        <v>HillesXx</v>
      </c>
    </row>
    <row r="4270" spans="1:10" x14ac:dyDescent="0.25">
      <c r="A4270">
        <v>4836</v>
      </c>
      <c r="B4270" t="s">
        <v>1315</v>
      </c>
      <c r="C4270">
        <v>448</v>
      </c>
      <c r="D4270">
        <v>540</v>
      </c>
      <c r="E4270">
        <v>2204623</v>
      </c>
      <c r="F4270">
        <v>6219</v>
      </c>
      <c r="G4270">
        <v>0</v>
      </c>
      <c r="H4270" t="s">
        <v>9194</v>
      </c>
      <c r="I4270">
        <v>4836</v>
      </c>
      <c r="J4270" t="str">
        <f>VLOOKUP(E4270,DSSpieler!A:B,2,FALSE)</f>
        <v>h0ly jesiz</v>
      </c>
    </row>
    <row r="4271" spans="1:10" x14ac:dyDescent="0.25">
      <c r="A4271">
        <v>4837</v>
      </c>
      <c r="B4271" t="s">
        <v>32285</v>
      </c>
      <c r="C4271">
        <v>431</v>
      </c>
      <c r="D4271">
        <v>582</v>
      </c>
      <c r="E4271">
        <v>1577096184</v>
      </c>
      <c r="F4271">
        <v>4219</v>
      </c>
      <c r="G4271">
        <v>0</v>
      </c>
      <c r="H4271" t="s">
        <v>9195</v>
      </c>
      <c r="I4271">
        <v>4837</v>
      </c>
      <c r="J4271" t="str">
        <f>VLOOKUP(E4271,DSSpieler!A:B,2,FALSE)</f>
        <v>Carsten Maschmeyer</v>
      </c>
    </row>
    <row r="4272" spans="1:10" x14ac:dyDescent="0.25">
      <c r="A4272">
        <v>4838</v>
      </c>
      <c r="B4272" t="s">
        <v>531</v>
      </c>
      <c r="C4272">
        <v>515</v>
      </c>
      <c r="D4272">
        <v>574</v>
      </c>
      <c r="E4272">
        <v>0</v>
      </c>
      <c r="F4272">
        <v>385</v>
      </c>
      <c r="G4272">
        <v>0</v>
      </c>
      <c r="H4272" t="s">
        <v>9196</v>
      </c>
      <c r="I4272">
        <v>4838</v>
      </c>
      <c r="J4272" t="e">
        <f>VLOOKUP(E4272,DSSpieler!A:B,2,FALSE)</f>
        <v>#N/A</v>
      </c>
    </row>
    <row r="4273" spans="1:10" x14ac:dyDescent="0.25">
      <c r="A4273">
        <v>4839</v>
      </c>
      <c r="B4273" t="s">
        <v>32286</v>
      </c>
      <c r="C4273">
        <v>570</v>
      </c>
      <c r="D4273">
        <v>574</v>
      </c>
      <c r="E4273">
        <v>7801723</v>
      </c>
      <c r="F4273">
        <v>4349</v>
      </c>
      <c r="G4273">
        <v>0</v>
      </c>
      <c r="H4273" t="s">
        <v>9197</v>
      </c>
      <c r="I4273">
        <v>4839</v>
      </c>
      <c r="J4273" t="str">
        <f>VLOOKUP(E4273,DSSpieler!A:B,2,FALSE)</f>
        <v>Herr des Hasses</v>
      </c>
    </row>
    <row r="4274" spans="1:10" x14ac:dyDescent="0.25">
      <c r="A4274">
        <v>4840</v>
      </c>
      <c r="B4274" t="s">
        <v>531</v>
      </c>
      <c r="C4274">
        <v>581</v>
      </c>
      <c r="D4274">
        <v>463</v>
      </c>
      <c r="E4274">
        <v>0</v>
      </c>
      <c r="F4274">
        <v>557</v>
      </c>
      <c r="G4274">
        <v>0</v>
      </c>
      <c r="H4274" t="s">
        <v>9198</v>
      </c>
      <c r="I4274">
        <v>4840</v>
      </c>
      <c r="J4274" t="e">
        <f>VLOOKUP(E4274,DSSpieler!A:B,2,FALSE)</f>
        <v>#N/A</v>
      </c>
    </row>
    <row r="4275" spans="1:10" x14ac:dyDescent="0.25">
      <c r="A4275">
        <v>4841</v>
      </c>
      <c r="B4275" t="s">
        <v>531</v>
      </c>
      <c r="C4275">
        <v>522</v>
      </c>
      <c r="D4275">
        <v>431</v>
      </c>
      <c r="E4275">
        <v>0</v>
      </c>
      <c r="F4275">
        <v>1136</v>
      </c>
      <c r="G4275">
        <v>0</v>
      </c>
      <c r="H4275" t="s">
        <v>9199</v>
      </c>
      <c r="I4275">
        <v>4841</v>
      </c>
      <c r="J4275" t="e">
        <f>VLOOKUP(E4275,DSSpieler!A:B,2,FALSE)</f>
        <v>#N/A</v>
      </c>
    </row>
    <row r="4276" spans="1:10" x14ac:dyDescent="0.25">
      <c r="A4276">
        <v>4842</v>
      </c>
      <c r="B4276" t="s">
        <v>546</v>
      </c>
      <c r="C4276">
        <v>509</v>
      </c>
      <c r="D4276">
        <v>431</v>
      </c>
      <c r="E4276">
        <v>1577197869</v>
      </c>
      <c r="F4276">
        <v>7462</v>
      </c>
      <c r="G4276">
        <v>0</v>
      </c>
      <c r="H4276" t="s">
        <v>9200</v>
      </c>
      <c r="I4276">
        <v>4842</v>
      </c>
      <c r="J4276" t="str">
        <f>VLOOKUP(E4276,DSSpieler!A:B,2,FALSE)</f>
        <v>Dr.Yäru</v>
      </c>
    </row>
    <row r="4277" spans="1:10" x14ac:dyDescent="0.25">
      <c r="A4277">
        <v>4843</v>
      </c>
      <c r="B4277" t="s">
        <v>531</v>
      </c>
      <c r="C4277">
        <v>516</v>
      </c>
      <c r="D4277">
        <v>443</v>
      </c>
      <c r="E4277">
        <v>0</v>
      </c>
      <c r="F4277">
        <v>457</v>
      </c>
      <c r="G4277">
        <v>0</v>
      </c>
      <c r="H4277" t="s">
        <v>9201</v>
      </c>
      <c r="I4277">
        <v>4843</v>
      </c>
      <c r="J4277" t="e">
        <f>VLOOKUP(E4277,DSSpieler!A:B,2,FALSE)</f>
        <v>#N/A</v>
      </c>
    </row>
    <row r="4278" spans="1:10" x14ac:dyDescent="0.25">
      <c r="A4278">
        <v>4844</v>
      </c>
      <c r="B4278" t="s">
        <v>1316</v>
      </c>
      <c r="C4278">
        <v>510</v>
      </c>
      <c r="D4278">
        <v>410</v>
      </c>
      <c r="E4278">
        <v>1577184786</v>
      </c>
      <c r="F4278">
        <v>7473</v>
      </c>
      <c r="G4278">
        <v>0</v>
      </c>
      <c r="H4278" t="s">
        <v>9202</v>
      </c>
      <c r="I4278">
        <v>4844</v>
      </c>
      <c r="J4278" t="str">
        <f>VLOOKUP(E4278,DSSpieler!A:B,2,FALSE)</f>
        <v>Dann</v>
      </c>
    </row>
    <row r="4279" spans="1:10" x14ac:dyDescent="0.25">
      <c r="A4279">
        <v>4845</v>
      </c>
      <c r="B4279" t="s">
        <v>32287</v>
      </c>
      <c r="C4279">
        <v>543</v>
      </c>
      <c r="D4279">
        <v>564</v>
      </c>
      <c r="E4279">
        <v>1577192716</v>
      </c>
      <c r="F4279">
        <v>3598</v>
      </c>
      <c r="G4279">
        <v>0</v>
      </c>
      <c r="H4279" t="s">
        <v>9203</v>
      </c>
      <c r="I4279">
        <v>4845</v>
      </c>
      <c r="J4279" t="str">
        <f>VLOOKUP(E4279,DSSpieler!A:B,2,FALSE)</f>
        <v>anotherpog</v>
      </c>
    </row>
    <row r="4280" spans="1:10" x14ac:dyDescent="0.25">
      <c r="A4280">
        <v>4846</v>
      </c>
      <c r="B4280" t="s">
        <v>531</v>
      </c>
      <c r="C4280">
        <v>451</v>
      </c>
      <c r="D4280">
        <v>451</v>
      </c>
      <c r="E4280">
        <v>0</v>
      </c>
      <c r="F4280">
        <v>205</v>
      </c>
      <c r="G4280">
        <v>0</v>
      </c>
      <c r="H4280" t="s">
        <v>9204</v>
      </c>
      <c r="I4280">
        <v>4846</v>
      </c>
      <c r="J4280" t="e">
        <f>VLOOKUP(E4280,DSSpieler!A:B,2,FALSE)</f>
        <v>#N/A</v>
      </c>
    </row>
    <row r="4281" spans="1:10" x14ac:dyDescent="0.25">
      <c r="A4281">
        <v>4847</v>
      </c>
      <c r="B4281" t="s">
        <v>32288</v>
      </c>
      <c r="C4281">
        <v>484</v>
      </c>
      <c r="D4281">
        <v>444</v>
      </c>
      <c r="E4281">
        <v>1577186670</v>
      </c>
      <c r="F4281">
        <v>6954</v>
      </c>
      <c r="G4281">
        <v>0</v>
      </c>
      <c r="H4281" t="s">
        <v>9205</v>
      </c>
      <c r="I4281">
        <v>4847</v>
      </c>
      <c r="J4281" t="str">
        <f>VLOOKUP(E4281,DSSpieler!A:B,2,FALSE)</f>
        <v>Nucle4r</v>
      </c>
    </row>
    <row r="4282" spans="1:10" x14ac:dyDescent="0.25">
      <c r="A4282">
        <v>4848</v>
      </c>
      <c r="B4282" t="s">
        <v>32289</v>
      </c>
      <c r="C4282">
        <v>547</v>
      </c>
      <c r="D4282">
        <v>564</v>
      </c>
      <c r="E4282">
        <v>1575830702</v>
      </c>
      <c r="F4282">
        <v>4669</v>
      </c>
      <c r="G4282">
        <v>0</v>
      </c>
      <c r="H4282" t="s">
        <v>9206</v>
      </c>
      <c r="I4282">
        <v>4848</v>
      </c>
      <c r="J4282" t="str">
        <f>VLOOKUP(E4282,DSSpieler!A:B,2,FALSE)</f>
        <v>PaPaScHuMpF</v>
      </c>
    </row>
    <row r="4283" spans="1:10" x14ac:dyDescent="0.25">
      <c r="A4283">
        <v>4849</v>
      </c>
      <c r="B4283" t="s">
        <v>1317</v>
      </c>
      <c r="C4283">
        <v>600</v>
      </c>
      <c r="D4283">
        <v>493</v>
      </c>
      <c r="E4283">
        <v>2019815</v>
      </c>
      <c r="F4283">
        <v>4148</v>
      </c>
      <c r="G4283">
        <v>0</v>
      </c>
      <c r="H4283" t="s">
        <v>9207</v>
      </c>
      <c r="I4283">
        <v>4849</v>
      </c>
      <c r="J4283" t="str">
        <f>VLOOKUP(E4283,DSSpieler!A:B,2,FALSE)</f>
        <v>QUINCY28</v>
      </c>
    </row>
    <row r="4284" spans="1:10" x14ac:dyDescent="0.25">
      <c r="A4284">
        <v>4850</v>
      </c>
      <c r="B4284" t="s">
        <v>32290</v>
      </c>
      <c r="C4284">
        <v>412</v>
      </c>
      <c r="D4284">
        <v>564</v>
      </c>
      <c r="E4284">
        <v>1577184357</v>
      </c>
      <c r="F4284">
        <v>4656</v>
      </c>
      <c r="G4284">
        <v>0</v>
      </c>
      <c r="H4284" t="s">
        <v>9208</v>
      </c>
      <c r="I4284">
        <v>4850</v>
      </c>
      <c r="J4284" t="str">
        <f>VLOOKUP(E4284,DSSpieler!A:B,2,FALSE)</f>
        <v>GlatzenDan</v>
      </c>
    </row>
    <row r="4285" spans="1:10" x14ac:dyDescent="0.25">
      <c r="A4285">
        <v>4851</v>
      </c>
      <c r="B4285">
        <v>1</v>
      </c>
      <c r="C4285">
        <v>568</v>
      </c>
      <c r="D4285">
        <v>493</v>
      </c>
      <c r="E4285">
        <v>1576333645</v>
      </c>
      <c r="F4285">
        <v>2627</v>
      </c>
      <c r="G4285">
        <v>0</v>
      </c>
      <c r="H4285" t="s">
        <v>9209</v>
      </c>
      <c r="I4285">
        <v>4851</v>
      </c>
      <c r="J4285" t="str">
        <f>VLOOKUP(E4285,DSSpieler!A:B,2,FALSE)</f>
        <v>Sir Alexander</v>
      </c>
    </row>
    <row r="4286" spans="1:10" x14ac:dyDescent="0.25">
      <c r="A4286">
        <v>4852</v>
      </c>
      <c r="B4286" t="s">
        <v>531</v>
      </c>
      <c r="C4286">
        <v>527</v>
      </c>
      <c r="D4286">
        <v>445</v>
      </c>
      <c r="E4286">
        <v>0</v>
      </c>
      <c r="F4286">
        <v>221</v>
      </c>
      <c r="G4286">
        <v>0</v>
      </c>
      <c r="H4286" t="s">
        <v>9210</v>
      </c>
      <c r="I4286">
        <v>4852</v>
      </c>
      <c r="J4286" t="e">
        <f>VLOOKUP(E4286,DSSpieler!A:B,2,FALSE)</f>
        <v>#N/A</v>
      </c>
    </row>
    <row r="4287" spans="1:10" x14ac:dyDescent="0.25">
      <c r="A4287">
        <v>4853</v>
      </c>
      <c r="B4287" t="s">
        <v>32291</v>
      </c>
      <c r="C4287">
        <v>523</v>
      </c>
      <c r="D4287">
        <v>594</v>
      </c>
      <c r="E4287">
        <v>9267037</v>
      </c>
      <c r="F4287">
        <v>3654</v>
      </c>
      <c r="G4287">
        <v>0</v>
      </c>
      <c r="H4287" t="s">
        <v>9211</v>
      </c>
      <c r="I4287">
        <v>4853</v>
      </c>
      <c r="J4287" t="str">
        <f>VLOOKUP(E4287,DSSpieler!A:B,2,FALSE)</f>
        <v>DarkShadow5</v>
      </c>
    </row>
    <row r="4288" spans="1:10" x14ac:dyDescent="0.25">
      <c r="A4288">
        <v>4854</v>
      </c>
      <c r="B4288" t="s">
        <v>531</v>
      </c>
      <c r="C4288">
        <v>482</v>
      </c>
      <c r="D4288">
        <v>462</v>
      </c>
      <c r="E4288">
        <v>0</v>
      </c>
      <c r="F4288">
        <v>498</v>
      </c>
      <c r="G4288">
        <v>0</v>
      </c>
      <c r="H4288" t="s">
        <v>9212</v>
      </c>
      <c r="I4288">
        <v>4854</v>
      </c>
      <c r="J4288" t="e">
        <f>VLOOKUP(E4288,DSSpieler!A:B,2,FALSE)</f>
        <v>#N/A</v>
      </c>
    </row>
    <row r="4289" spans="1:10" x14ac:dyDescent="0.25">
      <c r="A4289">
        <v>4855</v>
      </c>
      <c r="B4289" t="s">
        <v>1291</v>
      </c>
      <c r="C4289">
        <v>433</v>
      </c>
      <c r="D4289">
        <v>534</v>
      </c>
      <c r="E4289">
        <v>8744601</v>
      </c>
      <c r="F4289">
        <v>4505</v>
      </c>
      <c r="G4289">
        <v>0</v>
      </c>
      <c r="H4289" t="s">
        <v>9213</v>
      </c>
      <c r="I4289">
        <v>4855</v>
      </c>
      <c r="J4289" t="str">
        <f>VLOOKUP(E4289,DSSpieler!A:B,2,FALSE)</f>
        <v>lumpe95</v>
      </c>
    </row>
    <row r="4290" spans="1:10" x14ac:dyDescent="0.25">
      <c r="A4290">
        <v>4856</v>
      </c>
      <c r="B4290" t="s">
        <v>32292</v>
      </c>
      <c r="C4290">
        <v>420</v>
      </c>
      <c r="D4290">
        <v>578</v>
      </c>
      <c r="E4290">
        <v>1577188514</v>
      </c>
      <c r="F4290">
        <v>3853</v>
      </c>
      <c r="G4290">
        <v>0</v>
      </c>
      <c r="H4290" t="s">
        <v>9214</v>
      </c>
      <c r="I4290">
        <v>4856</v>
      </c>
      <c r="J4290" t="str">
        <f>VLOOKUP(E4290,DSSpieler!A:B,2,FALSE)</f>
        <v>DiesDasKiwi</v>
      </c>
    </row>
    <row r="4291" spans="1:10" x14ac:dyDescent="0.25">
      <c r="A4291">
        <v>4857</v>
      </c>
      <c r="B4291" t="s">
        <v>531</v>
      </c>
      <c r="C4291">
        <v>562</v>
      </c>
      <c r="D4291">
        <v>477</v>
      </c>
      <c r="E4291">
        <v>0</v>
      </c>
      <c r="F4291">
        <v>265</v>
      </c>
      <c r="G4291">
        <v>0</v>
      </c>
      <c r="H4291" t="s">
        <v>9215</v>
      </c>
      <c r="I4291">
        <v>4857</v>
      </c>
      <c r="J4291" t="e">
        <f>VLOOKUP(E4291,DSSpieler!A:B,2,FALSE)</f>
        <v>#N/A</v>
      </c>
    </row>
    <row r="4292" spans="1:10" x14ac:dyDescent="0.25">
      <c r="A4292">
        <v>4858</v>
      </c>
      <c r="B4292" t="s">
        <v>1318</v>
      </c>
      <c r="C4292">
        <v>435</v>
      </c>
      <c r="D4292">
        <v>546</v>
      </c>
      <c r="E4292">
        <v>1577191293</v>
      </c>
      <c r="F4292">
        <v>6805</v>
      </c>
      <c r="G4292">
        <v>0</v>
      </c>
      <c r="H4292" t="s">
        <v>9216</v>
      </c>
      <c r="I4292">
        <v>4858</v>
      </c>
      <c r="J4292" t="str">
        <f>VLOOKUP(E4292,DSSpieler!A:B,2,FALSE)</f>
        <v>Lord Nedib</v>
      </c>
    </row>
    <row r="4293" spans="1:10" x14ac:dyDescent="0.25">
      <c r="A4293">
        <v>4859</v>
      </c>
      <c r="B4293" t="s">
        <v>30622</v>
      </c>
      <c r="C4293">
        <v>550</v>
      </c>
      <c r="D4293">
        <v>465</v>
      </c>
      <c r="E4293">
        <v>1576013529</v>
      </c>
      <c r="F4293">
        <v>5181</v>
      </c>
      <c r="G4293">
        <v>0</v>
      </c>
      <c r="H4293" t="s">
        <v>9217</v>
      </c>
      <c r="I4293">
        <v>4859</v>
      </c>
      <c r="J4293" t="str">
        <f>VLOOKUP(E4293,DSSpieler!A:B,2,FALSE)</f>
        <v>Captn Kaliba</v>
      </c>
    </row>
    <row r="4294" spans="1:10" x14ac:dyDescent="0.25">
      <c r="A4294">
        <v>4860</v>
      </c>
      <c r="B4294" t="s">
        <v>1135</v>
      </c>
      <c r="C4294">
        <v>445</v>
      </c>
      <c r="D4294">
        <v>484</v>
      </c>
      <c r="E4294">
        <v>1575957171</v>
      </c>
      <c r="F4294">
        <v>4369</v>
      </c>
      <c r="G4294">
        <v>0</v>
      </c>
      <c r="H4294" t="s">
        <v>9218</v>
      </c>
      <c r="I4294">
        <v>4860</v>
      </c>
      <c r="J4294" t="str">
        <f>VLOOKUP(E4294,DSSpieler!A:B,2,FALSE)</f>
        <v>julesk</v>
      </c>
    </row>
    <row r="4295" spans="1:10" x14ac:dyDescent="0.25">
      <c r="A4295">
        <v>4861</v>
      </c>
      <c r="B4295" t="s">
        <v>531</v>
      </c>
      <c r="C4295">
        <v>514</v>
      </c>
      <c r="D4295">
        <v>579</v>
      </c>
      <c r="E4295">
        <v>0</v>
      </c>
      <c r="F4295">
        <v>513</v>
      </c>
      <c r="G4295">
        <v>0</v>
      </c>
      <c r="H4295" t="s">
        <v>9219</v>
      </c>
      <c r="I4295">
        <v>4861</v>
      </c>
      <c r="J4295" t="e">
        <f>VLOOKUP(E4295,DSSpieler!A:B,2,FALSE)</f>
        <v>#N/A</v>
      </c>
    </row>
    <row r="4296" spans="1:10" x14ac:dyDescent="0.25">
      <c r="A4296">
        <v>4862</v>
      </c>
      <c r="B4296" t="s">
        <v>32293</v>
      </c>
      <c r="C4296">
        <v>419</v>
      </c>
      <c r="D4296">
        <v>426</v>
      </c>
      <c r="E4296">
        <v>1576942115</v>
      </c>
      <c r="F4296">
        <v>6018</v>
      </c>
      <c r="G4296">
        <v>0</v>
      </c>
      <c r="H4296" t="s">
        <v>9220</v>
      </c>
      <c r="I4296">
        <v>4862</v>
      </c>
      <c r="J4296" t="str">
        <f>VLOOKUP(E4296,DSSpieler!A:B,2,FALSE)</f>
        <v>Espritor2</v>
      </c>
    </row>
    <row r="4297" spans="1:10" x14ac:dyDescent="0.25">
      <c r="A4297">
        <v>4863</v>
      </c>
      <c r="B4297" t="s">
        <v>780</v>
      </c>
      <c r="C4297">
        <v>610</v>
      </c>
      <c r="D4297">
        <v>522</v>
      </c>
      <c r="E4297">
        <v>767751</v>
      </c>
      <c r="F4297">
        <v>6538</v>
      </c>
      <c r="G4297">
        <v>0</v>
      </c>
      <c r="H4297" t="s">
        <v>9221</v>
      </c>
      <c r="I4297">
        <v>4863</v>
      </c>
      <c r="J4297" t="str">
        <f>VLOOKUP(E4297,DSSpieler!A:B,2,FALSE)</f>
        <v>Go D. Usopp</v>
      </c>
    </row>
    <row r="4298" spans="1:10" x14ac:dyDescent="0.25">
      <c r="A4298">
        <v>4864</v>
      </c>
      <c r="B4298" t="s">
        <v>150</v>
      </c>
      <c r="C4298">
        <v>474</v>
      </c>
      <c r="D4298">
        <v>529</v>
      </c>
      <c r="E4298">
        <v>10112850</v>
      </c>
      <c r="F4298">
        <v>3243</v>
      </c>
      <c r="G4298">
        <v>0</v>
      </c>
      <c r="H4298" t="s">
        <v>9222</v>
      </c>
      <c r="I4298">
        <v>4864</v>
      </c>
      <c r="J4298" t="str">
        <f>VLOOKUP(E4298,DSSpieler!A:B,2,FALSE)</f>
        <v>prinz-licht</v>
      </c>
    </row>
    <row r="4299" spans="1:10" x14ac:dyDescent="0.25">
      <c r="A4299">
        <v>4865</v>
      </c>
      <c r="B4299" t="s">
        <v>1319</v>
      </c>
      <c r="C4299">
        <v>581</v>
      </c>
      <c r="D4299">
        <v>523</v>
      </c>
      <c r="E4299">
        <v>1577175090</v>
      </c>
      <c r="F4299">
        <v>5956</v>
      </c>
      <c r="G4299">
        <v>0</v>
      </c>
      <c r="H4299" t="s">
        <v>9223</v>
      </c>
      <c r="I4299">
        <v>4865</v>
      </c>
      <c r="J4299" t="str">
        <f>VLOOKUP(E4299,DSSpieler!A:B,2,FALSE)</f>
        <v>Busovaca</v>
      </c>
    </row>
    <row r="4300" spans="1:10" x14ac:dyDescent="0.25">
      <c r="A4300">
        <v>4866</v>
      </c>
      <c r="B4300" t="s">
        <v>531</v>
      </c>
      <c r="C4300">
        <v>460</v>
      </c>
      <c r="D4300">
        <v>511</v>
      </c>
      <c r="E4300">
        <v>0</v>
      </c>
      <c r="F4300">
        <v>377</v>
      </c>
      <c r="G4300">
        <v>0</v>
      </c>
      <c r="H4300" t="s">
        <v>9224</v>
      </c>
      <c r="I4300">
        <v>4866</v>
      </c>
      <c r="J4300" t="e">
        <f>VLOOKUP(E4300,DSSpieler!A:B,2,FALSE)</f>
        <v>#N/A</v>
      </c>
    </row>
    <row r="4301" spans="1:10" x14ac:dyDescent="0.25">
      <c r="A4301">
        <v>4867</v>
      </c>
      <c r="B4301" t="s">
        <v>31129</v>
      </c>
      <c r="C4301">
        <v>541</v>
      </c>
      <c r="D4301">
        <v>544</v>
      </c>
      <c r="E4301">
        <v>1577180455</v>
      </c>
      <c r="F4301">
        <v>5921</v>
      </c>
      <c r="G4301">
        <v>0</v>
      </c>
      <c r="H4301" t="s">
        <v>9225</v>
      </c>
      <c r="I4301">
        <v>4867</v>
      </c>
      <c r="J4301" t="str">
        <f>VLOOKUP(E4301,DSSpieler!A:B,2,FALSE)</f>
        <v>Wondy</v>
      </c>
    </row>
    <row r="4302" spans="1:10" x14ac:dyDescent="0.25">
      <c r="A4302">
        <v>4868</v>
      </c>
      <c r="B4302" t="s">
        <v>1320</v>
      </c>
      <c r="C4302">
        <v>414</v>
      </c>
      <c r="D4302">
        <v>571</v>
      </c>
      <c r="E4302">
        <v>1577197092</v>
      </c>
      <c r="F4302">
        <v>4255</v>
      </c>
      <c r="G4302">
        <v>0</v>
      </c>
      <c r="H4302" t="s">
        <v>9226</v>
      </c>
      <c r="I4302">
        <v>4868</v>
      </c>
      <c r="J4302" t="str">
        <f>VLOOKUP(E4302,DSSpieler!A:B,2,FALSE)</f>
        <v>.retime?</v>
      </c>
    </row>
    <row r="4303" spans="1:10" x14ac:dyDescent="0.25">
      <c r="A4303">
        <v>4869</v>
      </c>
      <c r="B4303" t="s">
        <v>32294</v>
      </c>
      <c r="C4303">
        <v>418</v>
      </c>
      <c r="D4303">
        <v>564</v>
      </c>
      <c r="E4303">
        <v>9738896</v>
      </c>
      <c r="F4303">
        <v>4478</v>
      </c>
      <c r="G4303">
        <v>0</v>
      </c>
      <c r="H4303" t="s">
        <v>9227</v>
      </c>
      <c r="I4303">
        <v>4869</v>
      </c>
      <c r="J4303" t="str">
        <f>VLOOKUP(E4303,DSSpieler!A:B,2,FALSE)</f>
        <v>TomTom7777777</v>
      </c>
    </row>
    <row r="4304" spans="1:10" x14ac:dyDescent="0.25">
      <c r="A4304">
        <v>4870</v>
      </c>
      <c r="B4304" t="s">
        <v>32295</v>
      </c>
      <c r="C4304">
        <v>430</v>
      </c>
      <c r="D4304">
        <v>578</v>
      </c>
      <c r="E4304">
        <v>10240199</v>
      </c>
      <c r="F4304">
        <v>5086</v>
      </c>
      <c r="G4304">
        <v>0</v>
      </c>
      <c r="H4304" t="s">
        <v>9228</v>
      </c>
      <c r="I4304">
        <v>4870</v>
      </c>
      <c r="J4304" t="str">
        <f>VLOOKUP(E4304,DSSpieler!A:B,2,FALSE)</f>
        <v>J4CzeK</v>
      </c>
    </row>
    <row r="4305" spans="1:10" x14ac:dyDescent="0.25">
      <c r="A4305">
        <v>4871</v>
      </c>
      <c r="B4305" t="s">
        <v>531</v>
      </c>
      <c r="C4305">
        <v>500</v>
      </c>
      <c r="D4305">
        <v>558</v>
      </c>
      <c r="E4305">
        <v>0</v>
      </c>
      <c r="F4305">
        <v>295</v>
      </c>
      <c r="G4305">
        <v>0</v>
      </c>
      <c r="H4305" t="s">
        <v>9229</v>
      </c>
      <c r="I4305">
        <v>4871</v>
      </c>
      <c r="J4305" t="e">
        <f>VLOOKUP(E4305,DSSpieler!A:B,2,FALSE)</f>
        <v>#N/A</v>
      </c>
    </row>
    <row r="4306" spans="1:10" x14ac:dyDescent="0.25">
      <c r="A4306">
        <v>4872</v>
      </c>
      <c r="B4306" t="s">
        <v>1321</v>
      </c>
      <c r="C4306">
        <v>555</v>
      </c>
      <c r="D4306">
        <v>451</v>
      </c>
      <c r="E4306">
        <v>1577088158</v>
      </c>
      <c r="F4306">
        <v>5990</v>
      </c>
      <c r="G4306">
        <v>0</v>
      </c>
      <c r="H4306" t="s">
        <v>9230</v>
      </c>
      <c r="I4306">
        <v>4872</v>
      </c>
      <c r="J4306" t="str">
        <f>VLOOKUP(E4306,DSSpieler!A:B,2,FALSE)</f>
        <v>schoefer93S</v>
      </c>
    </row>
    <row r="4307" spans="1:10" x14ac:dyDescent="0.25">
      <c r="A4307">
        <v>4873</v>
      </c>
      <c r="B4307" t="s">
        <v>32296</v>
      </c>
      <c r="C4307">
        <v>473</v>
      </c>
      <c r="D4307">
        <v>438</v>
      </c>
      <c r="E4307">
        <v>8979093</v>
      </c>
      <c r="F4307">
        <v>6073</v>
      </c>
      <c r="G4307">
        <v>0</v>
      </c>
      <c r="H4307" t="s">
        <v>9231</v>
      </c>
      <c r="I4307">
        <v>4873</v>
      </c>
      <c r="J4307" t="str">
        <f>VLOOKUP(E4307,DSSpieler!A:B,2,FALSE)</f>
        <v>colderaser</v>
      </c>
    </row>
    <row r="4308" spans="1:10" x14ac:dyDescent="0.25">
      <c r="A4308">
        <v>4874</v>
      </c>
      <c r="B4308" t="s">
        <v>531</v>
      </c>
      <c r="C4308">
        <v>479</v>
      </c>
      <c r="D4308">
        <v>495</v>
      </c>
      <c r="E4308">
        <v>0</v>
      </c>
      <c r="F4308">
        <v>358</v>
      </c>
      <c r="G4308">
        <v>0</v>
      </c>
      <c r="H4308" t="s">
        <v>9232</v>
      </c>
      <c r="I4308">
        <v>4874</v>
      </c>
      <c r="J4308" t="e">
        <f>VLOOKUP(E4308,DSSpieler!A:B,2,FALSE)</f>
        <v>#N/A</v>
      </c>
    </row>
    <row r="4309" spans="1:10" x14ac:dyDescent="0.25">
      <c r="A4309">
        <v>4875</v>
      </c>
      <c r="B4309" t="s">
        <v>32297</v>
      </c>
      <c r="C4309">
        <v>536</v>
      </c>
      <c r="D4309">
        <v>430</v>
      </c>
      <c r="E4309">
        <v>401979</v>
      </c>
      <c r="F4309">
        <v>7823</v>
      </c>
      <c r="G4309">
        <v>0</v>
      </c>
      <c r="H4309" t="s">
        <v>9233</v>
      </c>
      <c r="I4309">
        <v>4875</v>
      </c>
      <c r="J4309" t="str">
        <f>VLOOKUP(E4309,DSSpieler!A:B,2,FALSE)</f>
        <v>nicky butt</v>
      </c>
    </row>
    <row r="4310" spans="1:10" x14ac:dyDescent="0.25">
      <c r="A4310">
        <v>4876</v>
      </c>
      <c r="B4310" t="s">
        <v>32298</v>
      </c>
      <c r="C4310">
        <v>574</v>
      </c>
      <c r="D4310">
        <v>517</v>
      </c>
      <c r="E4310">
        <v>1576918595</v>
      </c>
      <c r="F4310">
        <v>1665</v>
      </c>
      <c r="G4310">
        <v>0</v>
      </c>
      <c r="H4310" t="s">
        <v>9234</v>
      </c>
      <c r="I4310">
        <v>4876</v>
      </c>
      <c r="J4310" t="str">
        <f>VLOOKUP(E4310,DSSpieler!A:B,2,FALSE)</f>
        <v>lebuff</v>
      </c>
    </row>
    <row r="4311" spans="1:10" x14ac:dyDescent="0.25">
      <c r="A4311">
        <v>4878</v>
      </c>
      <c r="B4311" t="s">
        <v>1322</v>
      </c>
      <c r="C4311">
        <v>455</v>
      </c>
      <c r="D4311">
        <v>582</v>
      </c>
      <c r="E4311">
        <v>3230894</v>
      </c>
      <c r="F4311">
        <v>7156</v>
      </c>
      <c r="G4311">
        <v>0</v>
      </c>
      <c r="H4311" t="s">
        <v>9235</v>
      </c>
      <c r="I4311">
        <v>4878</v>
      </c>
      <c r="J4311" t="str">
        <f>VLOOKUP(E4311,DSSpieler!A:B,2,FALSE)</f>
        <v>Born2Fight87</v>
      </c>
    </row>
    <row r="4312" spans="1:10" x14ac:dyDescent="0.25">
      <c r="A4312">
        <v>4879</v>
      </c>
      <c r="B4312" t="s">
        <v>32299</v>
      </c>
      <c r="C4312">
        <v>432</v>
      </c>
      <c r="D4312">
        <v>433</v>
      </c>
      <c r="E4312">
        <v>1577181643</v>
      </c>
      <c r="F4312">
        <v>7076</v>
      </c>
      <c r="G4312">
        <v>0</v>
      </c>
      <c r="H4312" t="s">
        <v>9236</v>
      </c>
      <c r="I4312">
        <v>4879</v>
      </c>
      <c r="J4312" t="str">
        <f>VLOOKUP(E4312,DSSpieler!A:B,2,FALSE)</f>
        <v>MadMaxx</v>
      </c>
    </row>
    <row r="4313" spans="1:10" x14ac:dyDescent="0.25">
      <c r="A4313">
        <v>4880</v>
      </c>
      <c r="B4313" t="s">
        <v>531</v>
      </c>
      <c r="C4313">
        <v>531</v>
      </c>
      <c r="D4313">
        <v>425</v>
      </c>
      <c r="E4313">
        <v>0</v>
      </c>
      <c r="F4313">
        <v>347</v>
      </c>
      <c r="G4313">
        <v>0</v>
      </c>
      <c r="H4313" t="s">
        <v>9237</v>
      </c>
      <c r="I4313">
        <v>4880</v>
      </c>
      <c r="J4313" t="e">
        <f>VLOOKUP(E4313,DSSpieler!A:B,2,FALSE)</f>
        <v>#N/A</v>
      </c>
    </row>
    <row r="4314" spans="1:10" x14ac:dyDescent="0.25">
      <c r="A4314">
        <v>4881</v>
      </c>
      <c r="B4314" t="s">
        <v>32300</v>
      </c>
      <c r="C4314">
        <v>458</v>
      </c>
      <c r="D4314">
        <v>596</v>
      </c>
      <c r="E4314">
        <v>9569148</v>
      </c>
      <c r="F4314">
        <v>6280</v>
      </c>
      <c r="G4314">
        <v>0</v>
      </c>
      <c r="H4314" t="s">
        <v>9238</v>
      </c>
      <c r="I4314">
        <v>4881</v>
      </c>
      <c r="J4314" t="str">
        <f>VLOOKUP(E4314,DSSpieler!A:B,2,FALSE)</f>
        <v>079*</v>
      </c>
    </row>
    <row r="4315" spans="1:10" x14ac:dyDescent="0.25">
      <c r="A4315">
        <v>4882</v>
      </c>
      <c r="B4315" t="s">
        <v>32301</v>
      </c>
      <c r="C4315">
        <v>452</v>
      </c>
      <c r="D4315">
        <v>545</v>
      </c>
      <c r="E4315">
        <v>8942925</v>
      </c>
      <c r="F4315">
        <v>5087</v>
      </c>
      <c r="G4315">
        <v>0</v>
      </c>
      <c r="H4315" t="s">
        <v>9239</v>
      </c>
      <c r="I4315">
        <v>4882</v>
      </c>
      <c r="J4315" t="str">
        <f>VLOOKUP(E4315,DSSpieler!A:B,2,FALSE)</f>
        <v>Amaterzu</v>
      </c>
    </row>
    <row r="4316" spans="1:10" x14ac:dyDescent="0.25">
      <c r="A4316">
        <v>4884</v>
      </c>
      <c r="B4316" t="s">
        <v>1323</v>
      </c>
      <c r="C4316">
        <v>422</v>
      </c>
      <c r="D4316">
        <v>580</v>
      </c>
      <c r="E4316">
        <v>8342313</v>
      </c>
      <c r="F4316">
        <v>2590</v>
      </c>
      <c r="G4316">
        <v>0</v>
      </c>
      <c r="H4316" t="s">
        <v>9240</v>
      </c>
      <c r="I4316">
        <v>4884</v>
      </c>
      <c r="J4316" t="str">
        <f>VLOOKUP(E4316,DSSpieler!A:B,2,FALSE)</f>
        <v>Jaqen H ghar</v>
      </c>
    </row>
    <row r="4317" spans="1:10" x14ac:dyDescent="0.25">
      <c r="A4317">
        <v>4885</v>
      </c>
      <c r="B4317" t="s">
        <v>32302</v>
      </c>
      <c r="C4317">
        <v>505</v>
      </c>
      <c r="D4317">
        <v>574</v>
      </c>
      <c r="E4317">
        <v>9783170</v>
      </c>
      <c r="F4317">
        <v>2768</v>
      </c>
      <c r="G4317">
        <v>0</v>
      </c>
      <c r="H4317" t="s">
        <v>9241</v>
      </c>
      <c r="I4317">
        <v>4885</v>
      </c>
      <c r="J4317" t="str">
        <f>VLOOKUP(E4317,DSSpieler!A:B,2,FALSE)</f>
        <v>kingjerome99</v>
      </c>
    </row>
    <row r="4318" spans="1:10" x14ac:dyDescent="0.25">
      <c r="A4318">
        <v>4886</v>
      </c>
      <c r="B4318" t="s">
        <v>531</v>
      </c>
      <c r="C4318">
        <v>491</v>
      </c>
      <c r="D4318">
        <v>556</v>
      </c>
      <c r="E4318">
        <v>0</v>
      </c>
      <c r="F4318">
        <v>490</v>
      </c>
      <c r="G4318">
        <v>0</v>
      </c>
      <c r="H4318" t="s">
        <v>9242</v>
      </c>
      <c r="I4318">
        <v>4886</v>
      </c>
      <c r="J4318" t="e">
        <f>VLOOKUP(E4318,DSSpieler!A:B,2,FALSE)</f>
        <v>#N/A</v>
      </c>
    </row>
    <row r="4319" spans="1:10" x14ac:dyDescent="0.25">
      <c r="A4319">
        <v>4887</v>
      </c>
      <c r="B4319">
        <v>3</v>
      </c>
      <c r="C4319">
        <v>531</v>
      </c>
      <c r="D4319">
        <v>589</v>
      </c>
      <c r="E4319">
        <v>1575951772</v>
      </c>
      <c r="F4319">
        <v>1566</v>
      </c>
      <c r="G4319">
        <v>0</v>
      </c>
      <c r="H4319" t="s">
        <v>9243</v>
      </c>
      <c r="I4319">
        <v>4887</v>
      </c>
      <c r="J4319" t="str">
        <f>VLOOKUP(E4319,DSSpieler!A:B,2,FALSE)</f>
        <v>keylll</v>
      </c>
    </row>
    <row r="4320" spans="1:10" x14ac:dyDescent="0.25">
      <c r="A4320">
        <v>4888</v>
      </c>
      <c r="B4320" t="s">
        <v>1324</v>
      </c>
      <c r="C4320">
        <v>435</v>
      </c>
      <c r="D4320">
        <v>463</v>
      </c>
      <c r="E4320">
        <v>1577045102</v>
      </c>
      <c r="F4320">
        <v>6976</v>
      </c>
      <c r="G4320">
        <v>0</v>
      </c>
      <c r="H4320" t="s">
        <v>9244</v>
      </c>
      <c r="I4320">
        <v>4888</v>
      </c>
      <c r="J4320" t="str">
        <f>VLOOKUP(E4320,DSSpieler!A:B,2,FALSE)</f>
        <v>RealNyic</v>
      </c>
    </row>
    <row r="4321" spans="1:10" x14ac:dyDescent="0.25">
      <c r="A4321">
        <v>4889</v>
      </c>
      <c r="B4321" t="s">
        <v>31138</v>
      </c>
      <c r="C4321">
        <v>458</v>
      </c>
      <c r="D4321">
        <v>406</v>
      </c>
      <c r="E4321">
        <v>1577064445</v>
      </c>
      <c r="F4321">
        <v>3264</v>
      </c>
      <c r="G4321">
        <v>0</v>
      </c>
      <c r="H4321" t="s">
        <v>9245</v>
      </c>
      <c r="I4321">
        <v>4889</v>
      </c>
      <c r="J4321" t="str">
        <f>VLOOKUP(E4321,DSSpieler!A:B,2,FALSE)</f>
        <v>Nightwolf</v>
      </c>
    </row>
    <row r="4322" spans="1:10" x14ac:dyDescent="0.25">
      <c r="A4322">
        <v>4890</v>
      </c>
      <c r="B4322" t="s">
        <v>531</v>
      </c>
      <c r="C4322">
        <v>509</v>
      </c>
      <c r="D4322">
        <v>444</v>
      </c>
      <c r="E4322">
        <v>0</v>
      </c>
      <c r="F4322">
        <v>389</v>
      </c>
      <c r="G4322">
        <v>0</v>
      </c>
      <c r="H4322" t="s">
        <v>9246</v>
      </c>
      <c r="I4322">
        <v>4890</v>
      </c>
      <c r="J4322" t="e">
        <f>VLOOKUP(E4322,DSSpieler!A:B,2,FALSE)</f>
        <v>#N/A</v>
      </c>
    </row>
    <row r="4323" spans="1:10" x14ac:dyDescent="0.25">
      <c r="A4323">
        <v>4891</v>
      </c>
      <c r="B4323" t="s">
        <v>32303</v>
      </c>
      <c r="C4323">
        <v>603</v>
      </c>
      <c r="D4323">
        <v>484</v>
      </c>
      <c r="E4323">
        <v>1576703645</v>
      </c>
      <c r="F4323">
        <v>4953</v>
      </c>
      <c r="G4323">
        <v>0</v>
      </c>
      <c r="H4323" t="s">
        <v>9247</v>
      </c>
      <c r="I4323">
        <v>4891</v>
      </c>
      <c r="J4323" t="str">
        <f>VLOOKUP(E4323,DSSpieler!A:B,2,FALSE)</f>
        <v>VoraXx</v>
      </c>
    </row>
    <row r="4324" spans="1:10" x14ac:dyDescent="0.25">
      <c r="A4324">
        <v>4892</v>
      </c>
      <c r="B4324" t="s">
        <v>1325</v>
      </c>
      <c r="C4324">
        <v>449</v>
      </c>
      <c r="D4324">
        <v>502</v>
      </c>
      <c r="E4324">
        <v>1576871070</v>
      </c>
      <c r="F4324">
        <v>802</v>
      </c>
      <c r="G4324">
        <v>0</v>
      </c>
      <c r="H4324" t="s">
        <v>9248</v>
      </c>
      <c r="I4324">
        <v>4892</v>
      </c>
      <c r="J4324" t="str">
        <f>VLOOKUP(E4324,DSSpieler!A:B,2,FALSE)</f>
        <v>K I N G</v>
      </c>
    </row>
    <row r="4325" spans="1:10" x14ac:dyDescent="0.25">
      <c r="A4325">
        <v>4894</v>
      </c>
      <c r="B4325" t="s">
        <v>32304</v>
      </c>
      <c r="C4325">
        <v>559</v>
      </c>
      <c r="D4325">
        <v>539</v>
      </c>
      <c r="E4325">
        <v>1576200238</v>
      </c>
      <c r="F4325">
        <v>3924</v>
      </c>
      <c r="G4325">
        <v>0</v>
      </c>
      <c r="H4325" t="s">
        <v>9249</v>
      </c>
      <c r="I4325">
        <v>4894</v>
      </c>
      <c r="J4325" t="str">
        <f>VLOOKUP(E4325,DSSpieler!A:B,2,FALSE)</f>
        <v>Player12</v>
      </c>
    </row>
    <row r="4326" spans="1:10" x14ac:dyDescent="0.25">
      <c r="A4326">
        <v>4895</v>
      </c>
      <c r="B4326" t="s">
        <v>32305</v>
      </c>
      <c r="C4326">
        <v>418</v>
      </c>
      <c r="D4326">
        <v>570</v>
      </c>
      <c r="E4326">
        <v>1577187438</v>
      </c>
      <c r="F4326">
        <v>5288</v>
      </c>
      <c r="G4326">
        <v>0</v>
      </c>
      <c r="H4326" t="s">
        <v>9250</v>
      </c>
      <c r="I4326">
        <v>4895</v>
      </c>
      <c r="J4326" t="str">
        <f>VLOOKUP(E4326,DSSpieler!A:B,2,FALSE)</f>
        <v>PregoatnDude69</v>
      </c>
    </row>
    <row r="4327" spans="1:10" x14ac:dyDescent="0.25">
      <c r="A4327">
        <v>4896</v>
      </c>
      <c r="B4327" t="s">
        <v>999</v>
      </c>
      <c r="C4327">
        <v>416</v>
      </c>
      <c r="D4327">
        <v>537</v>
      </c>
      <c r="E4327">
        <v>9705555</v>
      </c>
      <c r="F4327">
        <v>7693</v>
      </c>
      <c r="G4327">
        <v>0</v>
      </c>
      <c r="H4327" t="s">
        <v>9251</v>
      </c>
      <c r="I4327">
        <v>4896</v>
      </c>
      <c r="J4327" t="str">
        <f>VLOOKUP(E4327,DSSpieler!A:B,2,FALSE)</f>
        <v>MarcoUndNils</v>
      </c>
    </row>
    <row r="4328" spans="1:10" x14ac:dyDescent="0.25">
      <c r="A4328">
        <v>4897</v>
      </c>
      <c r="B4328" t="s">
        <v>531</v>
      </c>
      <c r="C4328">
        <v>481</v>
      </c>
      <c r="D4328">
        <v>461</v>
      </c>
      <c r="E4328">
        <v>0</v>
      </c>
      <c r="F4328">
        <v>382</v>
      </c>
      <c r="G4328">
        <v>0</v>
      </c>
      <c r="H4328" t="s">
        <v>9252</v>
      </c>
      <c r="I4328">
        <v>4897</v>
      </c>
      <c r="J4328" t="e">
        <f>VLOOKUP(E4328,DSSpieler!A:B,2,FALSE)</f>
        <v>#N/A</v>
      </c>
    </row>
    <row r="4329" spans="1:10" x14ac:dyDescent="0.25">
      <c r="A4329">
        <v>4898</v>
      </c>
      <c r="B4329" t="s">
        <v>32306</v>
      </c>
      <c r="C4329">
        <v>583</v>
      </c>
      <c r="D4329">
        <v>430</v>
      </c>
      <c r="E4329">
        <v>1576974490</v>
      </c>
      <c r="F4329">
        <v>6650</v>
      </c>
      <c r="G4329">
        <v>0</v>
      </c>
      <c r="H4329" t="s">
        <v>9253</v>
      </c>
      <c r="I4329">
        <v>4898</v>
      </c>
      <c r="J4329" t="str">
        <f>VLOOKUP(E4329,DSSpieler!A:B,2,FALSE)</f>
        <v>Bodinator88</v>
      </c>
    </row>
    <row r="4330" spans="1:10" x14ac:dyDescent="0.25">
      <c r="A4330">
        <v>4899</v>
      </c>
      <c r="B4330" t="s">
        <v>531</v>
      </c>
      <c r="C4330">
        <v>467</v>
      </c>
      <c r="D4330">
        <v>445</v>
      </c>
      <c r="E4330">
        <v>0</v>
      </c>
      <c r="F4330">
        <v>339</v>
      </c>
      <c r="G4330">
        <v>0</v>
      </c>
      <c r="H4330" t="s">
        <v>9254</v>
      </c>
      <c r="I4330">
        <v>4899</v>
      </c>
      <c r="J4330" t="e">
        <f>VLOOKUP(E4330,DSSpieler!A:B,2,FALSE)</f>
        <v>#N/A</v>
      </c>
    </row>
    <row r="4331" spans="1:10" x14ac:dyDescent="0.25">
      <c r="A4331">
        <v>4900</v>
      </c>
      <c r="B4331" t="s">
        <v>531</v>
      </c>
      <c r="C4331">
        <v>427</v>
      </c>
      <c r="D4331">
        <v>501</v>
      </c>
      <c r="E4331">
        <v>0</v>
      </c>
      <c r="F4331">
        <v>176</v>
      </c>
      <c r="G4331">
        <v>0</v>
      </c>
      <c r="H4331" t="s">
        <v>9255</v>
      </c>
      <c r="I4331">
        <v>4900</v>
      </c>
      <c r="J4331" t="e">
        <f>VLOOKUP(E4331,DSSpieler!A:B,2,FALSE)</f>
        <v>#N/A</v>
      </c>
    </row>
    <row r="4332" spans="1:10" x14ac:dyDescent="0.25">
      <c r="A4332">
        <v>4901</v>
      </c>
      <c r="B4332">
        <v>3</v>
      </c>
      <c r="C4332">
        <v>491</v>
      </c>
      <c r="D4332">
        <v>453</v>
      </c>
      <c r="E4332">
        <v>1577057432</v>
      </c>
      <c r="F4332">
        <v>3754</v>
      </c>
      <c r="G4332">
        <v>0</v>
      </c>
      <c r="H4332" t="s">
        <v>9256</v>
      </c>
      <c r="I4332">
        <v>4901</v>
      </c>
      <c r="J4332" t="str">
        <f>VLOOKUP(E4332,DSSpieler!A:B,2,FALSE)</f>
        <v>Chocogasm</v>
      </c>
    </row>
    <row r="4333" spans="1:10" x14ac:dyDescent="0.25">
      <c r="A4333">
        <v>4903</v>
      </c>
      <c r="B4333" t="s">
        <v>531</v>
      </c>
      <c r="C4333">
        <v>576</v>
      </c>
      <c r="D4333">
        <v>485</v>
      </c>
      <c r="E4333">
        <v>0</v>
      </c>
      <c r="F4333">
        <v>191</v>
      </c>
      <c r="G4333">
        <v>0</v>
      </c>
      <c r="H4333" t="s">
        <v>9257</v>
      </c>
      <c r="I4333">
        <v>4903</v>
      </c>
      <c r="J4333" t="e">
        <f>VLOOKUP(E4333,DSSpieler!A:B,2,FALSE)</f>
        <v>#N/A</v>
      </c>
    </row>
    <row r="4334" spans="1:10" x14ac:dyDescent="0.25">
      <c r="A4334">
        <v>4904</v>
      </c>
      <c r="B4334" t="s">
        <v>1326</v>
      </c>
      <c r="C4334">
        <v>422</v>
      </c>
      <c r="D4334">
        <v>540</v>
      </c>
      <c r="E4334">
        <v>1576610785</v>
      </c>
      <c r="F4334">
        <v>6508</v>
      </c>
      <c r="G4334">
        <v>0</v>
      </c>
      <c r="H4334" t="s">
        <v>9258</v>
      </c>
      <c r="I4334">
        <v>4904</v>
      </c>
      <c r="J4334" t="str">
        <f>VLOOKUP(E4334,DSSpieler!A:B,2,FALSE)</f>
        <v>CrystalOps</v>
      </c>
    </row>
    <row r="4335" spans="1:10" x14ac:dyDescent="0.25">
      <c r="A4335">
        <v>4905</v>
      </c>
      <c r="B4335" t="s">
        <v>31934</v>
      </c>
      <c r="C4335">
        <v>597</v>
      </c>
      <c r="D4335">
        <v>482</v>
      </c>
      <c r="E4335">
        <v>3240324</v>
      </c>
      <c r="F4335">
        <v>4998</v>
      </c>
      <c r="G4335">
        <v>0</v>
      </c>
      <c r="H4335" t="s">
        <v>9259</v>
      </c>
      <c r="I4335">
        <v>4905</v>
      </c>
      <c r="J4335" t="str">
        <f>VLOOKUP(E4335,DSSpieler!A:B,2,FALSE)</f>
        <v>luckylos3r</v>
      </c>
    </row>
    <row r="4336" spans="1:10" x14ac:dyDescent="0.25">
      <c r="A4336">
        <v>4906</v>
      </c>
      <c r="B4336" t="s">
        <v>32307</v>
      </c>
      <c r="C4336">
        <v>558</v>
      </c>
      <c r="D4336">
        <v>457</v>
      </c>
      <c r="E4336">
        <v>9596701</v>
      </c>
      <c r="F4336">
        <v>3003</v>
      </c>
      <c r="G4336">
        <v>0</v>
      </c>
      <c r="H4336" t="s">
        <v>9260</v>
      </c>
      <c r="I4336">
        <v>4906</v>
      </c>
      <c r="J4336" t="str">
        <f>VLOOKUP(E4336,DSSpieler!A:B,2,FALSE)</f>
        <v>K3ZU</v>
      </c>
    </row>
    <row r="4337" spans="1:10" x14ac:dyDescent="0.25">
      <c r="A4337">
        <v>4907</v>
      </c>
      <c r="B4337" t="s">
        <v>32308</v>
      </c>
      <c r="C4337">
        <v>570</v>
      </c>
      <c r="D4337">
        <v>524</v>
      </c>
      <c r="E4337">
        <v>10008893</v>
      </c>
      <c r="F4337">
        <v>6735</v>
      </c>
      <c r="G4337">
        <v>0</v>
      </c>
      <c r="H4337" t="s">
        <v>9261</v>
      </c>
      <c r="I4337">
        <v>4907</v>
      </c>
      <c r="J4337" t="str">
        <f>VLOOKUP(E4337,DSSpieler!A:B,2,FALSE)</f>
        <v>walsi the lord</v>
      </c>
    </row>
    <row r="4338" spans="1:10" x14ac:dyDescent="0.25">
      <c r="A4338">
        <v>4908</v>
      </c>
      <c r="B4338" t="s">
        <v>531</v>
      </c>
      <c r="C4338">
        <v>545</v>
      </c>
      <c r="D4338">
        <v>556</v>
      </c>
      <c r="E4338">
        <v>0</v>
      </c>
      <c r="F4338">
        <v>344</v>
      </c>
      <c r="G4338">
        <v>0</v>
      </c>
      <c r="H4338" t="s">
        <v>9262</v>
      </c>
      <c r="I4338">
        <v>4908</v>
      </c>
      <c r="J4338" t="e">
        <f>VLOOKUP(E4338,DSSpieler!A:B,2,FALSE)</f>
        <v>#N/A</v>
      </c>
    </row>
    <row r="4339" spans="1:10" x14ac:dyDescent="0.25">
      <c r="A4339">
        <v>4909</v>
      </c>
      <c r="B4339" t="s">
        <v>1327</v>
      </c>
      <c r="C4339">
        <v>594</v>
      </c>
      <c r="D4339">
        <v>554</v>
      </c>
      <c r="E4339">
        <v>2727215</v>
      </c>
      <c r="F4339">
        <v>3541</v>
      </c>
      <c r="G4339">
        <v>0</v>
      </c>
      <c r="H4339" t="s">
        <v>9263</v>
      </c>
      <c r="I4339">
        <v>4909</v>
      </c>
      <c r="J4339" t="str">
        <f>VLOOKUP(E4339,DSSpieler!A:B,2,FALSE)</f>
        <v>MefoHunter</v>
      </c>
    </row>
    <row r="4340" spans="1:10" x14ac:dyDescent="0.25">
      <c r="A4340">
        <v>4910</v>
      </c>
      <c r="B4340" t="s">
        <v>531</v>
      </c>
      <c r="C4340">
        <v>576</v>
      </c>
      <c r="D4340">
        <v>508</v>
      </c>
      <c r="E4340">
        <v>0</v>
      </c>
      <c r="F4340">
        <v>439</v>
      </c>
      <c r="G4340">
        <v>0</v>
      </c>
      <c r="H4340" t="s">
        <v>9264</v>
      </c>
      <c r="I4340">
        <v>4910</v>
      </c>
      <c r="J4340" t="e">
        <f>VLOOKUP(E4340,DSSpieler!A:B,2,FALSE)</f>
        <v>#N/A</v>
      </c>
    </row>
    <row r="4341" spans="1:10" x14ac:dyDescent="0.25">
      <c r="A4341">
        <v>4911</v>
      </c>
      <c r="B4341" t="s">
        <v>1328</v>
      </c>
      <c r="C4341">
        <v>555</v>
      </c>
      <c r="D4341">
        <v>484</v>
      </c>
      <c r="E4341">
        <v>8783554</v>
      </c>
      <c r="F4341">
        <v>7121</v>
      </c>
      <c r="G4341">
        <v>0</v>
      </c>
      <c r="H4341" t="s">
        <v>9265</v>
      </c>
      <c r="I4341">
        <v>4911</v>
      </c>
      <c r="J4341" t="str">
        <f>VLOOKUP(E4341,DSSpieler!A:B,2,FALSE)</f>
        <v>Fritz70</v>
      </c>
    </row>
    <row r="4342" spans="1:10" x14ac:dyDescent="0.25">
      <c r="A4342">
        <v>4912</v>
      </c>
      <c r="B4342" t="e">
        <f>-2-+Berlin</f>
        <v>#NAME?</v>
      </c>
      <c r="C4342">
        <v>522</v>
      </c>
      <c r="D4342">
        <v>567</v>
      </c>
      <c r="E4342">
        <v>1576901589</v>
      </c>
      <c r="F4342">
        <v>5469</v>
      </c>
      <c r="G4342">
        <v>0</v>
      </c>
      <c r="H4342" t="s">
        <v>9266</v>
      </c>
      <c r="I4342">
        <v>4912</v>
      </c>
      <c r="J4342" t="str">
        <f>VLOOKUP(E4342,DSSpieler!A:B,2,FALSE)</f>
        <v>KingKoelln</v>
      </c>
    </row>
    <row r="4343" spans="1:10" x14ac:dyDescent="0.25">
      <c r="A4343">
        <v>4913</v>
      </c>
      <c r="B4343" t="s">
        <v>1057</v>
      </c>
      <c r="C4343">
        <v>468</v>
      </c>
      <c r="D4343">
        <v>427</v>
      </c>
      <c r="E4343">
        <v>8897367</v>
      </c>
      <c r="F4343">
        <v>6706</v>
      </c>
      <c r="G4343">
        <v>0</v>
      </c>
      <c r="H4343" t="s">
        <v>9267</v>
      </c>
      <c r="I4343">
        <v>4913</v>
      </c>
      <c r="J4343" t="str">
        <f>VLOOKUP(E4343,DSSpieler!A:B,2,FALSE)</f>
        <v>Zwoogel1</v>
      </c>
    </row>
    <row r="4344" spans="1:10" x14ac:dyDescent="0.25">
      <c r="A4344">
        <v>4914</v>
      </c>
      <c r="B4344" t="s">
        <v>32309</v>
      </c>
      <c r="C4344">
        <v>572</v>
      </c>
      <c r="D4344">
        <v>529</v>
      </c>
      <c r="E4344">
        <v>8146001</v>
      </c>
      <c r="F4344">
        <v>5701</v>
      </c>
      <c r="G4344">
        <v>0</v>
      </c>
      <c r="H4344" t="s">
        <v>9268</v>
      </c>
      <c r="I4344">
        <v>4914</v>
      </c>
      <c r="J4344" t="str">
        <f>VLOOKUP(E4344,DSSpieler!A:B,2,FALSE)</f>
        <v>ekaps</v>
      </c>
    </row>
    <row r="4345" spans="1:10" x14ac:dyDescent="0.25">
      <c r="A4345">
        <v>4915</v>
      </c>
      <c r="B4345" t="s">
        <v>531</v>
      </c>
      <c r="C4345">
        <v>527</v>
      </c>
      <c r="D4345">
        <v>548</v>
      </c>
      <c r="E4345">
        <v>0</v>
      </c>
      <c r="F4345">
        <v>320</v>
      </c>
      <c r="G4345">
        <v>0</v>
      </c>
      <c r="H4345" t="s">
        <v>9269</v>
      </c>
      <c r="I4345">
        <v>4915</v>
      </c>
      <c r="J4345" t="e">
        <f>VLOOKUP(E4345,DSSpieler!A:B,2,FALSE)</f>
        <v>#N/A</v>
      </c>
    </row>
    <row r="4346" spans="1:10" x14ac:dyDescent="0.25">
      <c r="A4346">
        <v>4917</v>
      </c>
      <c r="B4346" t="s">
        <v>531</v>
      </c>
      <c r="C4346">
        <v>501</v>
      </c>
      <c r="D4346">
        <v>437</v>
      </c>
      <c r="E4346">
        <v>0</v>
      </c>
      <c r="F4346">
        <v>361</v>
      </c>
      <c r="G4346">
        <v>0</v>
      </c>
      <c r="H4346" t="s">
        <v>9270</v>
      </c>
      <c r="I4346">
        <v>4917</v>
      </c>
      <c r="J4346" t="e">
        <f>VLOOKUP(E4346,DSSpieler!A:B,2,FALSE)</f>
        <v>#N/A</v>
      </c>
    </row>
    <row r="4347" spans="1:10" x14ac:dyDescent="0.25">
      <c r="A4347">
        <v>4918</v>
      </c>
      <c r="B4347" t="s">
        <v>531</v>
      </c>
      <c r="C4347">
        <v>550</v>
      </c>
      <c r="D4347">
        <v>474</v>
      </c>
      <c r="E4347">
        <v>0</v>
      </c>
      <c r="F4347">
        <v>383</v>
      </c>
      <c r="G4347">
        <v>0</v>
      </c>
      <c r="H4347" t="s">
        <v>9271</v>
      </c>
      <c r="I4347">
        <v>4918</v>
      </c>
      <c r="J4347" t="e">
        <f>VLOOKUP(E4347,DSSpieler!A:B,2,FALSE)</f>
        <v>#N/A</v>
      </c>
    </row>
    <row r="4348" spans="1:10" x14ac:dyDescent="0.25">
      <c r="A4348">
        <v>4919</v>
      </c>
      <c r="B4348" t="s">
        <v>31952</v>
      </c>
      <c r="C4348">
        <v>572</v>
      </c>
      <c r="D4348">
        <v>502</v>
      </c>
      <c r="E4348">
        <v>9553782</v>
      </c>
      <c r="F4348">
        <v>6705</v>
      </c>
      <c r="G4348">
        <v>0</v>
      </c>
      <c r="H4348" t="s">
        <v>9272</v>
      </c>
      <c r="I4348">
        <v>4919</v>
      </c>
      <c r="J4348" t="str">
        <f>VLOOKUP(E4348,DSSpieler!A:B,2,FALSE)</f>
        <v>panne 1998</v>
      </c>
    </row>
    <row r="4349" spans="1:10" x14ac:dyDescent="0.25">
      <c r="A4349">
        <v>4920</v>
      </c>
      <c r="B4349" t="s">
        <v>545</v>
      </c>
      <c r="C4349">
        <v>466</v>
      </c>
      <c r="D4349">
        <v>545</v>
      </c>
      <c r="E4349">
        <v>1577188737</v>
      </c>
      <c r="F4349">
        <v>6093</v>
      </c>
      <c r="G4349">
        <v>0</v>
      </c>
      <c r="H4349" t="s">
        <v>9273</v>
      </c>
      <c r="I4349">
        <v>4920</v>
      </c>
      <c r="J4349" t="str">
        <f>VLOOKUP(E4349,DSSpieler!A:B,2,FALSE)</f>
        <v>Ron1604</v>
      </c>
    </row>
    <row r="4350" spans="1:10" x14ac:dyDescent="0.25">
      <c r="A4350">
        <v>4921</v>
      </c>
      <c r="B4350" t="s">
        <v>531</v>
      </c>
      <c r="C4350">
        <v>497</v>
      </c>
      <c r="D4350">
        <v>508</v>
      </c>
      <c r="E4350">
        <v>0</v>
      </c>
      <c r="F4350">
        <v>217</v>
      </c>
      <c r="G4350">
        <v>0</v>
      </c>
      <c r="H4350" t="s">
        <v>9274</v>
      </c>
      <c r="I4350">
        <v>4921</v>
      </c>
      <c r="J4350" t="e">
        <f>VLOOKUP(E4350,DSSpieler!A:B,2,FALSE)</f>
        <v>#N/A</v>
      </c>
    </row>
    <row r="4351" spans="1:10" x14ac:dyDescent="0.25">
      <c r="A4351">
        <v>4922</v>
      </c>
      <c r="B4351" t="s">
        <v>1329</v>
      </c>
      <c r="C4351">
        <v>504</v>
      </c>
      <c r="D4351">
        <v>516</v>
      </c>
      <c r="E4351">
        <v>1577197642</v>
      </c>
      <c r="F4351">
        <v>472</v>
      </c>
      <c r="G4351">
        <v>0</v>
      </c>
      <c r="H4351" t="s">
        <v>9275</v>
      </c>
      <c r="I4351">
        <v>4922</v>
      </c>
      <c r="J4351" t="str">
        <f>VLOOKUP(E4351,DSSpieler!A:B,2,FALSE)</f>
        <v>18Miki</v>
      </c>
    </row>
    <row r="4352" spans="1:10" x14ac:dyDescent="0.25">
      <c r="A4352">
        <v>4923</v>
      </c>
      <c r="B4352">
        <v>2</v>
      </c>
      <c r="C4352">
        <v>454</v>
      </c>
      <c r="D4352">
        <v>566</v>
      </c>
      <c r="E4352">
        <v>1576722945</v>
      </c>
      <c r="F4352">
        <v>4682</v>
      </c>
      <c r="G4352">
        <v>0</v>
      </c>
      <c r="H4352" t="s">
        <v>9276</v>
      </c>
      <c r="I4352">
        <v>4923</v>
      </c>
      <c r="J4352" t="str">
        <f>VLOOKUP(E4352,DSSpieler!A:B,2,FALSE)</f>
        <v>SerpentCrown1</v>
      </c>
    </row>
    <row r="4353" spans="1:10" x14ac:dyDescent="0.25">
      <c r="A4353">
        <v>4924</v>
      </c>
      <c r="B4353" t="s">
        <v>32310</v>
      </c>
      <c r="C4353">
        <v>463</v>
      </c>
      <c r="D4353">
        <v>491</v>
      </c>
      <c r="E4353">
        <v>1576783119</v>
      </c>
      <c r="F4353">
        <v>322</v>
      </c>
      <c r="G4353">
        <v>0</v>
      </c>
      <c r="H4353" t="s">
        <v>9277</v>
      </c>
      <c r="I4353">
        <v>4924</v>
      </c>
      <c r="J4353" t="str">
        <f>VLOOKUP(E4353,DSSpieler!A:B,2,FALSE)</f>
        <v>187forfree</v>
      </c>
    </row>
    <row r="4354" spans="1:10" x14ac:dyDescent="0.25">
      <c r="A4354">
        <v>4925</v>
      </c>
      <c r="B4354" t="s">
        <v>32311</v>
      </c>
      <c r="C4354">
        <v>494</v>
      </c>
      <c r="D4354">
        <v>605</v>
      </c>
      <c r="E4354">
        <v>3210799</v>
      </c>
      <c r="F4354">
        <v>7304</v>
      </c>
      <c r="G4354">
        <v>0</v>
      </c>
      <c r="H4354" t="s">
        <v>9278</v>
      </c>
      <c r="I4354">
        <v>4925</v>
      </c>
      <c r="J4354" t="str">
        <f>VLOOKUP(E4354,DSSpieler!A:B,2,FALSE)</f>
        <v>fekiks</v>
      </c>
    </row>
    <row r="4355" spans="1:10" x14ac:dyDescent="0.25">
      <c r="A4355">
        <v>4926</v>
      </c>
      <c r="B4355" t="s">
        <v>1330</v>
      </c>
      <c r="C4355">
        <v>463</v>
      </c>
      <c r="D4355">
        <v>558</v>
      </c>
      <c r="E4355">
        <v>9764565</v>
      </c>
      <c r="F4355">
        <v>4491</v>
      </c>
      <c r="G4355">
        <v>0</v>
      </c>
      <c r="H4355" t="s">
        <v>9279</v>
      </c>
      <c r="I4355">
        <v>4926</v>
      </c>
      <c r="J4355" t="str">
        <f>VLOOKUP(E4355,DSSpieler!A:B,2,FALSE)</f>
        <v>Capt.Bizeps</v>
      </c>
    </row>
    <row r="4356" spans="1:10" x14ac:dyDescent="0.25">
      <c r="A4356">
        <v>4927</v>
      </c>
      <c r="B4356" t="s">
        <v>32312</v>
      </c>
      <c r="C4356">
        <v>588</v>
      </c>
      <c r="D4356">
        <v>559</v>
      </c>
      <c r="E4356">
        <v>1577149240</v>
      </c>
      <c r="F4356">
        <v>3560</v>
      </c>
      <c r="G4356">
        <v>0</v>
      </c>
      <c r="H4356" t="s">
        <v>9280</v>
      </c>
      <c r="I4356">
        <v>4927</v>
      </c>
      <c r="J4356" t="str">
        <f>VLOOKUP(E4356,DSSpieler!A:B,2,FALSE)</f>
        <v>Cäsar 1970</v>
      </c>
    </row>
    <row r="4357" spans="1:10" x14ac:dyDescent="0.25">
      <c r="A4357">
        <v>4928</v>
      </c>
      <c r="B4357" s="111">
        <v>230.03</v>
      </c>
      <c r="C4357">
        <v>508</v>
      </c>
      <c r="D4357">
        <v>425</v>
      </c>
      <c r="E4357">
        <v>1577185564</v>
      </c>
      <c r="F4357">
        <v>2478</v>
      </c>
      <c r="G4357">
        <v>0</v>
      </c>
      <c r="H4357" t="s">
        <v>9281</v>
      </c>
      <c r="I4357">
        <v>4928</v>
      </c>
      <c r="J4357" t="str">
        <f>VLOOKUP(E4357,DSSpieler!A:B,2,FALSE)</f>
        <v>Chrismk7</v>
      </c>
    </row>
    <row r="4358" spans="1:10" x14ac:dyDescent="0.25">
      <c r="A4358">
        <v>4929</v>
      </c>
      <c r="B4358" t="s">
        <v>32313</v>
      </c>
      <c r="C4358">
        <v>543</v>
      </c>
      <c r="D4358">
        <v>441</v>
      </c>
      <c r="E4358">
        <v>10077002</v>
      </c>
      <c r="F4358">
        <v>3762</v>
      </c>
      <c r="G4358">
        <v>0</v>
      </c>
      <c r="H4358" t="s">
        <v>9282</v>
      </c>
      <c r="I4358">
        <v>4929</v>
      </c>
      <c r="J4358" t="str">
        <f>VLOOKUP(E4358,DSSpieler!A:B,2,FALSE)</f>
        <v>HillesXx</v>
      </c>
    </row>
    <row r="4359" spans="1:10" x14ac:dyDescent="0.25">
      <c r="A4359">
        <v>4930</v>
      </c>
      <c r="B4359">
        <v>2</v>
      </c>
      <c r="C4359">
        <v>521</v>
      </c>
      <c r="D4359">
        <v>492</v>
      </c>
      <c r="E4359">
        <v>2651379</v>
      </c>
      <c r="F4359">
        <v>5441</v>
      </c>
      <c r="G4359">
        <v>0</v>
      </c>
      <c r="H4359" t="s">
        <v>9283</v>
      </c>
      <c r="I4359">
        <v>4930</v>
      </c>
      <c r="J4359" t="str">
        <f>VLOOKUP(E4359,DSSpieler!A:B,2,FALSE)</f>
        <v>Gernschi</v>
      </c>
    </row>
    <row r="4360" spans="1:10" x14ac:dyDescent="0.25">
      <c r="A4360">
        <v>4931</v>
      </c>
      <c r="B4360" t="s">
        <v>32314</v>
      </c>
      <c r="C4360">
        <v>467</v>
      </c>
      <c r="D4360">
        <v>520</v>
      </c>
      <c r="E4360">
        <v>1577165369</v>
      </c>
      <c r="F4360">
        <v>4583</v>
      </c>
      <c r="G4360">
        <v>0</v>
      </c>
      <c r="H4360" t="s">
        <v>9284</v>
      </c>
      <c r="I4360">
        <v>4931</v>
      </c>
      <c r="J4360" t="str">
        <f>VLOOKUP(E4360,DSSpieler!A:B,2,FALSE)</f>
        <v>BlauerOsterhase</v>
      </c>
    </row>
    <row r="4361" spans="1:10" x14ac:dyDescent="0.25">
      <c r="A4361">
        <v>4933</v>
      </c>
      <c r="B4361" t="s">
        <v>1331</v>
      </c>
      <c r="C4361">
        <v>417</v>
      </c>
      <c r="D4361">
        <v>569</v>
      </c>
      <c r="E4361">
        <v>1577187438</v>
      </c>
      <c r="F4361">
        <v>5202</v>
      </c>
      <c r="G4361">
        <v>0</v>
      </c>
      <c r="H4361" t="s">
        <v>9285</v>
      </c>
      <c r="I4361">
        <v>4933</v>
      </c>
      <c r="J4361" t="str">
        <f>VLOOKUP(E4361,DSSpieler!A:B,2,FALSE)</f>
        <v>PregoatnDude69</v>
      </c>
    </row>
    <row r="4362" spans="1:10" x14ac:dyDescent="0.25">
      <c r="A4362">
        <v>4934</v>
      </c>
      <c r="B4362">
        <v>3</v>
      </c>
      <c r="C4362">
        <v>546</v>
      </c>
      <c r="D4362">
        <v>454</v>
      </c>
      <c r="E4362">
        <v>1577015178</v>
      </c>
      <c r="F4362">
        <v>5677</v>
      </c>
      <c r="G4362">
        <v>0</v>
      </c>
      <c r="H4362" t="s">
        <v>9286</v>
      </c>
      <c r="I4362">
        <v>4934</v>
      </c>
      <c r="J4362" t="str">
        <f>VLOOKUP(E4362,DSSpieler!A:B,2,FALSE)</f>
        <v>CoffeeArsch</v>
      </c>
    </row>
    <row r="4363" spans="1:10" x14ac:dyDescent="0.25">
      <c r="A4363">
        <v>4935</v>
      </c>
      <c r="B4363" t="s">
        <v>1047</v>
      </c>
      <c r="C4363">
        <v>469</v>
      </c>
      <c r="D4363">
        <v>487</v>
      </c>
      <c r="E4363">
        <v>1577079050</v>
      </c>
      <c r="F4363">
        <v>1485</v>
      </c>
      <c r="G4363">
        <v>0</v>
      </c>
      <c r="H4363" t="s">
        <v>9287</v>
      </c>
      <c r="I4363">
        <v>4935</v>
      </c>
      <c r="J4363" t="str">
        <f>VLOOKUP(E4363,DSSpieler!A:B,2,FALSE)</f>
        <v>Huskydrive</v>
      </c>
    </row>
    <row r="4364" spans="1:10" x14ac:dyDescent="0.25">
      <c r="A4364">
        <v>4936</v>
      </c>
      <c r="B4364" t="s">
        <v>531</v>
      </c>
      <c r="C4364">
        <v>557</v>
      </c>
      <c r="D4364">
        <v>442</v>
      </c>
      <c r="E4364">
        <v>0</v>
      </c>
      <c r="F4364">
        <v>549</v>
      </c>
      <c r="G4364">
        <v>0</v>
      </c>
      <c r="H4364" t="s">
        <v>9288</v>
      </c>
      <c r="I4364">
        <v>4936</v>
      </c>
      <c r="J4364" t="e">
        <f>VLOOKUP(E4364,DSSpieler!A:B,2,FALSE)</f>
        <v>#N/A</v>
      </c>
    </row>
    <row r="4365" spans="1:10" x14ac:dyDescent="0.25">
      <c r="A4365">
        <v>4937</v>
      </c>
      <c r="B4365" t="s">
        <v>1332</v>
      </c>
      <c r="C4365">
        <v>419</v>
      </c>
      <c r="D4365">
        <v>429</v>
      </c>
      <c r="E4365">
        <v>1577199768</v>
      </c>
      <c r="F4365">
        <v>7274</v>
      </c>
      <c r="G4365">
        <v>0</v>
      </c>
      <c r="H4365" t="s">
        <v>9289</v>
      </c>
      <c r="I4365">
        <v>4937</v>
      </c>
      <c r="J4365" t="str">
        <f>VLOOKUP(E4365,DSSpieler!A:B,2,FALSE)</f>
        <v>Orgasmusmensch</v>
      </c>
    </row>
    <row r="4366" spans="1:10" x14ac:dyDescent="0.25">
      <c r="A4366">
        <v>4938</v>
      </c>
      <c r="B4366" t="s">
        <v>1333</v>
      </c>
      <c r="C4366">
        <v>516</v>
      </c>
      <c r="D4366">
        <v>424</v>
      </c>
      <c r="E4366">
        <v>9132493</v>
      </c>
      <c r="F4366">
        <v>5141</v>
      </c>
      <c r="G4366">
        <v>0</v>
      </c>
      <c r="H4366" t="s">
        <v>9290</v>
      </c>
      <c r="I4366">
        <v>4938</v>
      </c>
      <c r="J4366" t="str">
        <f>VLOOKUP(E4366,DSSpieler!A:B,2,FALSE)</f>
        <v>RaZE pWnz EU</v>
      </c>
    </row>
    <row r="4367" spans="1:10" x14ac:dyDescent="0.25">
      <c r="A4367">
        <v>4939</v>
      </c>
      <c r="B4367" t="s">
        <v>32315</v>
      </c>
      <c r="C4367">
        <v>521</v>
      </c>
      <c r="D4367">
        <v>533</v>
      </c>
      <c r="E4367">
        <v>10158455</v>
      </c>
      <c r="F4367">
        <v>3632</v>
      </c>
      <c r="G4367">
        <v>0</v>
      </c>
      <c r="H4367" t="s">
        <v>9291</v>
      </c>
      <c r="I4367">
        <v>4939</v>
      </c>
      <c r="J4367" t="str">
        <f>VLOOKUP(E4367,DSSpieler!A:B,2,FALSE)</f>
        <v>xJeeff</v>
      </c>
    </row>
    <row r="4368" spans="1:10" x14ac:dyDescent="0.25">
      <c r="A4368">
        <v>4940</v>
      </c>
      <c r="B4368" t="s">
        <v>32316</v>
      </c>
      <c r="C4368">
        <v>460</v>
      </c>
      <c r="D4368">
        <v>462</v>
      </c>
      <c r="E4368">
        <v>1577186290</v>
      </c>
      <c r="F4368">
        <v>4299</v>
      </c>
      <c r="G4368">
        <v>0</v>
      </c>
      <c r="H4368" t="s">
        <v>9292</v>
      </c>
      <c r="I4368">
        <v>4940</v>
      </c>
      <c r="J4368" t="str">
        <f>VLOOKUP(E4368,DSSpieler!A:B,2,FALSE)</f>
        <v>WhyIsThisNull</v>
      </c>
    </row>
    <row r="4369" spans="1:10" x14ac:dyDescent="0.25">
      <c r="A4369">
        <v>4942</v>
      </c>
      <c r="B4369">
        <v>5</v>
      </c>
      <c r="C4369">
        <v>529</v>
      </c>
      <c r="D4369">
        <v>514</v>
      </c>
      <c r="E4369">
        <v>1577175720</v>
      </c>
      <c r="F4369">
        <v>4695</v>
      </c>
      <c r="G4369">
        <v>0</v>
      </c>
      <c r="H4369" t="s">
        <v>9293</v>
      </c>
      <c r="I4369">
        <v>4942</v>
      </c>
      <c r="J4369" t="str">
        <f>VLOOKUP(E4369,DSSpieler!A:B,2,FALSE)</f>
        <v>Domi-92</v>
      </c>
    </row>
    <row r="4370" spans="1:10" x14ac:dyDescent="0.25">
      <c r="A4370">
        <v>4943</v>
      </c>
      <c r="B4370" t="s">
        <v>1334</v>
      </c>
      <c r="C4370">
        <v>419</v>
      </c>
      <c r="D4370">
        <v>453</v>
      </c>
      <c r="E4370">
        <v>9385331</v>
      </c>
      <c r="F4370">
        <v>2557</v>
      </c>
      <c r="G4370">
        <v>0</v>
      </c>
      <c r="H4370" t="s">
        <v>9294</v>
      </c>
      <c r="I4370">
        <v>4943</v>
      </c>
      <c r="J4370" t="str">
        <f>VLOOKUP(E4370,DSSpieler!A:B,2,FALSE)</f>
        <v>Daed12</v>
      </c>
    </row>
    <row r="4371" spans="1:10" x14ac:dyDescent="0.25">
      <c r="A4371">
        <v>4944</v>
      </c>
      <c r="B4371" t="s">
        <v>32317</v>
      </c>
      <c r="C4371">
        <v>561</v>
      </c>
      <c r="D4371">
        <v>456</v>
      </c>
      <c r="E4371">
        <v>9314635</v>
      </c>
      <c r="F4371">
        <v>5023</v>
      </c>
      <c r="G4371">
        <v>0</v>
      </c>
      <c r="H4371" t="s">
        <v>9295</v>
      </c>
      <c r="I4371">
        <v>4944</v>
      </c>
      <c r="J4371" t="str">
        <f>VLOOKUP(E4371,DSSpieler!A:B,2,FALSE)</f>
        <v>nikeid</v>
      </c>
    </row>
    <row r="4372" spans="1:10" x14ac:dyDescent="0.25">
      <c r="A4372">
        <v>4945</v>
      </c>
      <c r="B4372" t="s">
        <v>531</v>
      </c>
      <c r="C4372">
        <v>553</v>
      </c>
      <c r="D4372">
        <v>560</v>
      </c>
      <c r="E4372">
        <v>0</v>
      </c>
      <c r="F4372">
        <v>162</v>
      </c>
      <c r="G4372">
        <v>0</v>
      </c>
      <c r="H4372" t="s">
        <v>9296</v>
      </c>
      <c r="I4372">
        <v>4945</v>
      </c>
      <c r="J4372" t="e">
        <f>VLOOKUP(E4372,DSSpieler!A:B,2,FALSE)</f>
        <v>#N/A</v>
      </c>
    </row>
    <row r="4373" spans="1:10" x14ac:dyDescent="0.25">
      <c r="A4373">
        <v>4947</v>
      </c>
      <c r="B4373" t="s">
        <v>32318</v>
      </c>
      <c r="C4373">
        <v>460</v>
      </c>
      <c r="D4373">
        <v>540</v>
      </c>
      <c r="E4373">
        <v>1576822927</v>
      </c>
      <c r="F4373">
        <v>6601</v>
      </c>
      <c r="G4373">
        <v>0</v>
      </c>
      <c r="H4373" t="s">
        <v>9297</v>
      </c>
      <c r="I4373">
        <v>4947</v>
      </c>
      <c r="J4373" t="str">
        <f>VLOOKUP(E4373,DSSpieler!A:B,2,FALSE)</f>
        <v>PokeTrainer</v>
      </c>
    </row>
    <row r="4374" spans="1:10" x14ac:dyDescent="0.25">
      <c r="A4374">
        <v>4948</v>
      </c>
      <c r="B4374" t="s">
        <v>1335</v>
      </c>
      <c r="C4374">
        <v>458</v>
      </c>
      <c r="D4374">
        <v>564</v>
      </c>
      <c r="E4374">
        <v>1577157063</v>
      </c>
      <c r="F4374">
        <v>4340</v>
      </c>
      <c r="G4374">
        <v>0</v>
      </c>
      <c r="H4374" t="s">
        <v>9298</v>
      </c>
      <c r="I4374">
        <v>4948</v>
      </c>
      <c r="J4374">
        <f>VLOOKUP(E4374,DSSpieler!A:B,2,FALSE)</f>
        <v>44013</v>
      </c>
    </row>
    <row r="4375" spans="1:10" x14ac:dyDescent="0.25">
      <c r="A4375">
        <v>4949</v>
      </c>
      <c r="B4375" t="s">
        <v>1336</v>
      </c>
      <c r="C4375">
        <v>425</v>
      </c>
      <c r="D4375">
        <v>561</v>
      </c>
      <c r="E4375">
        <v>1577174979</v>
      </c>
      <c r="F4375">
        <v>6570</v>
      </c>
      <c r="G4375">
        <v>0</v>
      </c>
      <c r="H4375" t="s">
        <v>9299</v>
      </c>
      <c r="I4375">
        <v>4949</v>
      </c>
      <c r="J4375" t="str">
        <f>VLOOKUP(E4375,DSSpieler!A:B,2,FALSE)</f>
        <v>Azeroth</v>
      </c>
    </row>
    <row r="4376" spans="1:10" x14ac:dyDescent="0.25">
      <c r="A4376">
        <v>4950</v>
      </c>
      <c r="B4376" t="s">
        <v>546</v>
      </c>
      <c r="C4376">
        <v>503</v>
      </c>
      <c r="D4376">
        <v>434</v>
      </c>
      <c r="E4376">
        <v>1577197636</v>
      </c>
      <c r="F4376">
        <v>6067</v>
      </c>
      <c r="G4376">
        <v>0</v>
      </c>
      <c r="H4376" t="s">
        <v>9300</v>
      </c>
      <c r="I4376">
        <v>4950</v>
      </c>
      <c r="J4376" t="str">
        <f>VLOOKUP(E4376,DSSpieler!A:B,2,FALSE)</f>
        <v>Legou</v>
      </c>
    </row>
    <row r="4377" spans="1:10" x14ac:dyDescent="0.25">
      <c r="A4377">
        <v>4951</v>
      </c>
      <c r="B4377" t="s">
        <v>531</v>
      </c>
      <c r="C4377">
        <v>446</v>
      </c>
      <c r="D4377">
        <v>528</v>
      </c>
      <c r="E4377">
        <v>0</v>
      </c>
      <c r="F4377">
        <v>91</v>
      </c>
      <c r="G4377">
        <v>0</v>
      </c>
      <c r="H4377" t="s">
        <v>9301</v>
      </c>
      <c r="I4377">
        <v>4951</v>
      </c>
      <c r="J4377" t="e">
        <f>VLOOKUP(E4377,DSSpieler!A:B,2,FALSE)</f>
        <v>#N/A</v>
      </c>
    </row>
    <row r="4378" spans="1:10" x14ac:dyDescent="0.25">
      <c r="A4378">
        <v>4952</v>
      </c>
      <c r="B4378" t="s">
        <v>32319</v>
      </c>
      <c r="C4378">
        <v>566</v>
      </c>
      <c r="D4378">
        <v>467</v>
      </c>
      <c r="E4378">
        <v>1576122645</v>
      </c>
      <c r="F4378">
        <v>3657</v>
      </c>
      <c r="G4378">
        <v>0</v>
      </c>
      <c r="H4378" t="s">
        <v>9302</v>
      </c>
      <c r="I4378">
        <v>4952</v>
      </c>
      <c r="J4378" t="str">
        <f>VLOOKUP(E4378,DSSpieler!A:B,2,FALSE)</f>
        <v>Lodulo</v>
      </c>
    </row>
    <row r="4379" spans="1:10" x14ac:dyDescent="0.25">
      <c r="A4379">
        <v>4953</v>
      </c>
      <c r="B4379" t="s">
        <v>531</v>
      </c>
      <c r="C4379">
        <v>447</v>
      </c>
      <c r="D4379">
        <v>464</v>
      </c>
      <c r="E4379">
        <v>0</v>
      </c>
      <c r="F4379">
        <v>201</v>
      </c>
      <c r="G4379">
        <v>0</v>
      </c>
      <c r="H4379" t="s">
        <v>9303</v>
      </c>
      <c r="I4379">
        <v>4953</v>
      </c>
      <c r="J4379" t="e">
        <f>VLOOKUP(E4379,DSSpieler!A:B,2,FALSE)</f>
        <v>#N/A</v>
      </c>
    </row>
    <row r="4380" spans="1:10" x14ac:dyDescent="0.25">
      <c r="A4380">
        <v>4954</v>
      </c>
      <c r="B4380" t="s">
        <v>32320</v>
      </c>
      <c r="C4380">
        <v>434</v>
      </c>
      <c r="D4380">
        <v>497</v>
      </c>
      <c r="E4380">
        <v>1576975878</v>
      </c>
      <c r="F4380">
        <v>4759</v>
      </c>
      <c r="G4380">
        <v>0</v>
      </c>
      <c r="H4380" t="s">
        <v>9304</v>
      </c>
      <c r="I4380">
        <v>4954</v>
      </c>
      <c r="J4380" t="str">
        <f>VLOOKUP(E4380,DSSpieler!A:B,2,FALSE)</f>
        <v>xMaXiMuSx</v>
      </c>
    </row>
    <row r="4381" spans="1:10" x14ac:dyDescent="0.25">
      <c r="A4381">
        <v>4955</v>
      </c>
      <c r="B4381" t="s">
        <v>32321</v>
      </c>
      <c r="C4381">
        <v>571</v>
      </c>
      <c r="D4381">
        <v>507</v>
      </c>
      <c r="E4381">
        <v>1577203648</v>
      </c>
      <c r="F4381">
        <v>863</v>
      </c>
      <c r="G4381">
        <v>0</v>
      </c>
      <c r="H4381" t="s">
        <v>9305</v>
      </c>
      <c r="I4381">
        <v>4955</v>
      </c>
      <c r="J4381" t="str">
        <f>VLOOKUP(E4381,DSSpieler!A:B,2,FALSE)</f>
        <v>MyphisTheKing</v>
      </c>
    </row>
    <row r="4382" spans="1:10" x14ac:dyDescent="0.25">
      <c r="A4382">
        <v>4956</v>
      </c>
      <c r="B4382" t="s">
        <v>32017</v>
      </c>
      <c r="C4382">
        <v>572</v>
      </c>
      <c r="D4382">
        <v>571</v>
      </c>
      <c r="E4382">
        <v>1577188803</v>
      </c>
      <c r="F4382">
        <v>5949</v>
      </c>
      <c r="G4382">
        <v>0</v>
      </c>
      <c r="H4382" t="s">
        <v>9306</v>
      </c>
      <c r="I4382">
        <v>4956</v>
      </c>
      <c r="J4382" t="str">
        <f>VLOOKUP(E4382,DSSpieler!A:B,2,FALSE)</f>
        <v>GrrGr</v>
      </c>
    </row>
    <row r="4383" spans="1:10" x14ac:dyDescent="0.25">
      <c r="A4383">
        <v>4957</v>
      </c>
      <c r="B4383" t="s">
        <v>531</v>
      </c>
      <c r="C4383">
        <v>466</v>
      </c>
      <c r="D4383">
        <v>426</v>
      </c>
      <c r="E4383">
        <v>0</v>
      </c>
      <c r="F4383">
        <v>2103</v>
      </c>
      <c r="G4383">
        <v>0</v>
      </c>
      <c r="H4383" t="s">
        <v>9307</v>
      </c>
      <c r="I4383">
        <v>4957</v>
      </c>
      <c r="J4383" t="e">
        <f>VLOOKUP(E4383,DSSpieler!A:B,2,FALSE)</f>
        <v>#N/A</v>
      </c>
    </row>
    <row r="4384" spans="1:10" x14ac:dyDescent="0.25">
      <c r="A4384">
        <v>4958</v>
      </c>
      <c r="B4384" t="s">
        <v>32322</v>
      </c>
      <c r="C4384">
        <v>440</v>
      </c>
      <c r="D4384">
        <v>514</v>
      </c>
      <c r="E4384">
        <v>9646096</v>
      </c>
      <c r="F4384">
        <v>4580</v>
      </c>
      <c r="G4384">
        <v>0</v>
      </c>
      <c r="H4384" t="s">
        <v>9308</v>
      </c>
      <c r="I4384">
        <v>4958</v>
      </c>
      <c r="J4384" t="str">
        <f>VLOOKUP(E4384,DSSpieler!A:B,2,FALSE)</f>
        <v>GapG21</v>
      </c>
    </row>
    <row r="4385" spans="1:10" x14ac:dyDescent="0.25">
      <c r="A4385">
        <v>4960</v>
      </c>
      <c r="B4385" t="s">
        <v>1337</v>
      </c>
      <c r="C4385">
        <v>418</v>
      </c>
      <c r="D4385">
        <v>471</v>
      </c>
      <c r="E4385">
        <v>8758527</v>
      </c>
      <c r="F4385">
        <v>5116</v>
      </c>
      <c r="G4385">
        <v>0</v>
      </c>
      <c r="H4385" t="s">
        <v>9309</v>
      </c>
      <c r="I4385">
        <v>4960</v>
      </c>
      <c r="J4385" t="str">
        <f>VLOOKUP(E4385,DSSpieler!A:B,2,FALSE)</f>
        <v>Kracitshl</v>
      </c>
    </row>
    <row r="4386" spans="1:10" x14ac:dyDescent="0.25">
      <c r="A4386">
        <v>4961</v>
      </c>
      <c r="B4386" t="s">
        <v>32323</v>
      </c>
      <c r="C4386">
        <v>589</v>
      </c>
      <c r="D4386">
        <v>487</v>
      </c>
      <c r="E4386">
        <v>1577194428</v>
      </c>
      <c r="F4386">
        <v>6044</v>
      </c>
      <c r="G4386">
        <v>0</v>
      </c>
      <c r="H4386" t="s">
        <v>9310</v>
      </c>
      <c r="I4386">
        <v>4961</v>
      </c>
      <c r="J4386" t="str">
        <f>VLOOKUP(E4386,DSSpieler!A:B,2,FALSE)</f>
        <v>kleineLotti</v>
      </c>
    </row>
    <row r="4387" spans="1:10" x14ac:dyDescent="0.25">
      <c r="A4387">
        <v>4962</v>
      </c>
      <c r="B4387" t="s">
        <v>32324</v>
      </c>
      <c r="C4387">
        <v>523</v>
      </c>
      <c r="D4387">
        <v>552</v>
      </c>
      <c r="E4387">
        <v>1577198800</v>
      </c>
      <c r="F4387">
        <v>4563</v>
      </c>
      <c r="G4387">
        <v>0</v>
      </c>
      <c r="H4387" t="s">
        <v>9311</v>
      </c>
      <c r="I4387">
        <v>4962</v>
      </c>
      <c r="J4387" t="str">
        <f>VLOOKUP(E4387,DSSpieler!A:B,2,FALSE)</f>
        <v>Ulbanizer1412</v>
      </c>
    </row>
    <row r="4388" spans="1:10" x14ac:dyDescent="0.25">
      <c r="A4388">
        <v>4964</v>
      </c>
      <c r="B4388" t="s">
        <v>531</v>
      </c>
      <c r="C4388">
        <v>594</v>
      </c>
      <c r="D4388">
        <v>557</v>
      </c>
      <c r="E4388">
        <v>0</v>
      </c>
      <c r="F4388">
        <v>605</v>
      </c>
      <c r="G4388">
        <v>0</v>
      </c>
      <c r="H4388" t="s">
        <v>9312</v>
      </c>
      <c r="I4388">
        <v>4964</v>
      </c>
      <c r="J4388" t="e">
        <f>VLOOKUP(E4388,DSSpieler!A:B,2,FALSE)</f>
        <v>#N/A</v>
      </c>
    </row>
    <row r="4389" spans="1:10" x14ac:dyDescent="0.25">
      <c r="A4389">
        <v>4966</v>
      </c>
      <c r="B4389" t="s">
        <v>531</v>
      </c>
      <c r="C4389">
        <v>493</v>
      </c>
      <c r="D4389">
        <v>506</v>
      </c>
      <c r="E4389">
        <v>0</v>
      </c>
      <c r="F4389">
        <v>310</v>
      </c>
      <c r="G4389">
        <v>0</v>
      </c>
      <c r="H4389" t="s">
        <v>9313</v>
      </c>
      <c r="I4389">
        <v>4966</v>
      </c>
      <c r="J4389" t="e">
        <f>VLOOKUP(E4389,DSSpieler!A:B,2,FALSE)</f>
        <v>#N/A</v>
      </c>
    </row>
    <row r="4390" spans="1:10" x14ac:dyDescent="0.25">
      <c r="A4390">
        <v>4967</v>
      </c>
      <c r="B4390" t="s">
        <v>1338</v>
      </c>
      <c r="C4390">
        <v>518</v>
      </c>
      <c r="D4390">
        <v>560</v>
      </c>
      <c r="E4390">
        <v>1577176791</v>
      </c>
      <c r="F4390">
        <v>6509</v>
      </c>
      <c r="G4390">
        <v>0</v>
      </c>
      <c r="H4390" t="s">
        <v>9314</v>
      </c>
      <c r="I4390">
        <v>4967</v>
      </c>
      <c r="J4390" t="str">
        <f>VLOOKUP(E4390,DSSpieler!A:B,2,FALSE)</f>
        <v>Finn334</v>
      </c>
    </row>
    <row r="4391" spans="1:10" x14ac:dyDescent="0.25">
      <c r="A4391">
        <v>4968</v>
      </c>
      <c r="B4391" t="s">
        <v>531</v>
      </c>
      <c r="C4391">
        <v>539</v>
      </c>
      <c r="D4391">
        <v>443</v>
      </c>
      <c r="E4391">
        <v>0</v>
      </c>
      <c r="F4391">
        <v>1226</v>
      </c>
      <c r="G4391">
        <v>0</v>
      </c>
      <c r="H4391" t="s">
        <v>9315</v>
      </c>
      <c r="I4391">
        <v>4968</v>
      </c>
      <c r="J4391" t="e">
        <f>VLOOKUP(E4391,DSSpieler!A:B,2,FALSE)</f>
        <v>#N/A</v>
      </c>
    </row>
    <row r="4392" spans="1:10" x14ac:dyDescent="0.25">
      <c r="A4392">
        <v>4969</v>
      </c>
      <c r="B4392" t="s">
        <v>531</v>
      </c>
      <c r="C4392">
        <v>488</v>
      </c>
      <c r="D4392">
        <v>547</v>
      </c>
      <c r="E4392">
        <v>0</v>
      </c>
      <c r="F4392">
        <v>407</v>
      </c>
      <c r="G4392">
        <v>0</v>
      </c>
      <c r="H4392" t="s">
        <v>9316</v>
      </c>
      <c r="I4392">
        <v>4969</v>
      </c>
      <c r="J4392" t="e">
        <f>VLOOKUP(E4392,DSSpieler!A:B,2,FALSE)</f>
        <v>#N/A</v>
      </c>
    </row>
    <row r="4393" spans="1:10" x14ac:dyDescent="0.25">
      <c r="A4393">
        <v>4970</v>
      </c>
      <c r="B4393" t="s">
        <v>1339</v>
      </c>
      <c r="C4393">
        <v>554</v>
      </c>
      <c r="D4393">
        <v>504</v>
      </c>
      <c r="E4393">
        <v>10166667</v>
      </c>
      <c r="F4393">
        <v>4348</v>
      </c>
      <c r="G4393">
        <v>0</v>
      </c>
      <c r="H4393" t="s">
        <v>9317</v>
      </c>
      <c r="I4393">
        <v>4970</v>
      </c>
      <c r="J4393" t="str">
        <f>VLOOKUP(E4393,DSSpieler!A:B,2,FALSE)</f>
        <v>rosatuftuf</v>
      </c>
    </row>
    <row r="4394" spans="1:10" x14ac:dyDescent="0.25">
      <c r="A4394">
        <v>4971</v>
      </c>
      <c r="B4394" t="s">
        <v>531</v>
      </c>
      <c r="C4394">
        <v>432</v>
      </c>
      <c r="D4394">
        <v>462</v>
      </c>
      <c r="E4394">
        <v>0</v>
      </c>
      <c r="F4394">
        <v>447</v>
      </c>
      <c r="G4394">
        <v>0</v>
      </c>
      <c r="H4394" t="s">
        <v>9318</v>
      </c>
      <c r="I4394">
        <v>4971</v>
      </c>
      <c r="J4394" t="e">
        <f>VLOOKUP(E4394,DSSpieler!A:B,2,FALSE)</f>
        <v>#N/A</v>
      </c>
    </row>
    <row r="4395" spans="1:10" x14ac:dyDescent="0.25">
      <c r="A4395">
        <v>4973</v>
      </c>
      <c r="B4395" t="s">
        <v>32325</v>
      </c>
      <c r="C4395">
        <v>589</v>
      </c>
      <c r="D4395">
        <v>440</v>
      </c>
      <c r="E4395">
        <v>1577198140</v>
      </c>
      <c r="F4395">
        <v>3714</v>
      </c>
      <c r="G4395">
        <v>0</v>
      </c>
      <c r="H4395" t="s">
        <v>9319</v>
      </c>
      <c r="I4395">
        <v>4973</v>
      </c>
      <c r="J4395" t="str">
        <f>VLOOKUP(E4395,DSSpieler!A:B,2,FALSE)</f>
        <v>FuchsTrix</v>
      </c>
    </row>
    <row r="4396" spans="1:10" x14ac:dyDescent="0.25">
      <c r="A4396">
        <v>4974</v>
      </c>
      <c r="B4396" t="s">
        <v>150</v>
      </c>
      <c r="C4396">
        <v>556</v>
      </c>
      <c r="D4396">
        <v>438</v>
      </c>
      <c r="E4396">
        <v>1577114452</v>
      </c>
      <c r="F4396">
        <v>5969</v>
      </c>
      <c r="G4396">
        <v>0</v>
      </c>
      <c r="H4396" t="s">
        <v>9320</v>
      </c>
      <c r="I4396">
        <v>4974</v>
      </c>
      <c r="J4396" t="str">
        <f>VLOOKUP(E4396,DSSpieler!A:B,2,FALSE)</f>
        <v>Reza</v>
      </c>
    </row>
    <row r="4397" spans="1:10" x14ac:dyDescent="0.25">
      <c r="A4397">
        <v>4975</v>
      </c>
      <c r="B4397" t="s">
        <v>32326</v>
      </c>
      <c r="C4397">
        <v>457</v>
      </c>
      <c r="D4397">
        <v>523</v>
      </c>
      <c r="E4397">
        <v>1576493863</v>
      </c>
      <c r="F4397">
        <v>4443</v>
      </c>
      <c r="G4397">
        <v>0</v>
      </c>
      <c r="H4397" t="s">
        <v>9321</v>
      </c>
      <c r="I4397">
        <v>4975</v>
      </c>
      <c r="J4397" t="str">
        <f>VLOOKUP(E4397,DSSpieler!A:B,2,FALSE)</f>
        <v>hasispatzi</v>
      </c>
    </row>
    <row r="4398" spans="1:10" x14ac:dyDescent="0.25">
      <c r="A4398">
        <v>4976</v>
      </c>
      <c r="B4398" t="s">
        <v>1340</v>
      </c>
      <c r="C4398">
        <v>430</v>
      </c>
      <c r="D4398">
        <v>533</v>
      </c>
      <c r="E4398">
        <v>1577173890</v>
      </c>
      <c r="F4398">
        <v>4823</v>
      </c>
      <c r="G4398">
        <v>0</v>
      </c>
      <c r="H4398" t="s">
        <v>9322</v>
      </c>
      <c r="I4398">
        <v>4976</v>
      </c>
      <c r="J4398" t="str">
        <f>VLOOKUP(E4398,DSSpieler!A:B,2,FALSE)</f>
        <v>Isolalai</v>
      </c>
    </row>
    <row r="4399" spans="1:10" x14ac:dyDescent="0.25">
      <c r="A4399">
        <v>4978</v>
      </c>
      <c r="B4399" t="s">
        <v>531</v>
      </c>
      <c r="C4399">
        <v>429</v>
      </c>
      <c r="D4399">
        <v>535</v>
      </c>
      <c r="E4399">
        <v>0</v>
      </c>
      <c r="F4399">
        <v>242</v>
      </c>
      <c r="G4399">
        <v>0</v>
      </c>
      <c r="H4399" t="s">
        <v>9323</v>
      </c>
      <c r="I4399">
        <v>4978</v>
      </c>
      <c r="J4399" t="e">
        <f>VLOOKUP(E4399,DSSpieler!A:B,2,FALSE)</f>
        <v>#N/A</v>
      </c>
    </row>
    <row r="4400" spans="1:10" x14ac:dyDescent="0.25">
      <c r="A4400">
        <v>4980</v>
      </c>
      <c r="B4400" t="s">
        <v>32327</v>
      </c>
      <c r="C4400">
        <v>422</v>
      </c>
      <c r="D4400">
        <v>569</v>
      </c>
      <c r="E4400">
        <v>1577069351</v>
      </c>
      <c r="F4400">
        <v>4865</v>
      </c>
      <c r="G4400">
        <v>0</v>
      </c>
      <c r="H4400" t="s">
        <v>9324</v>
      </c>
      <c r="I4400">
        <v>4980</v>
      </c>
      <c r="J4400" t="str">
        <f>VLOOKUP(E4400,DSSpieler!A:B,2,FALSE)</f>
        <v>User-LD</v>
      </c>
    </row>
    <row r="4401" spans="1:10" x14ac:dyDescent="0.25">
      <c r="A4401">
        <v>4981</v>
      </c>
      <c r="B4401" t="s">
        <v>32328</v>
      </c>
      <c r="C4401">
        <v>428</v>
      </c>
      <c r="D4401">
        <v>574</v>
      </c>
      <c r="E4401">
        <v>3351920</v>
      </c>
      <c r="F4401">
        <v>1987</v>
      </c>
      <c r="G4401">
        <v>0</v>
      </c>
      <c r="H4401" t="s">
        <v>9325</v>
      </c>
      <c r="I4401">
        <v>4981</v>
      </c>
      <c r="J4401" t="str">
        <f>VLOOKUP(E4401,DSSpieler!A:B,2,FALSE)</f>
        <v>clemi222</v>
      </c>
    </row>
    <row r="4402" spans="1:10" x14ac:dyDescent="0.25">
      <c r="A4402">
        <v>4982</v>
      </c>
      <c r="B4402" t="s">
        <v>531</v>
      </c>
      <c r="C4402">
        <v>520</v>
      </c>
      <c r="D4402">
        <v>434</v>
      </c>
      <c r="E4402">
        <v>0</v>
      </c>
      <c r="F4402">
        <v>320</v>
      </c>
      <c r="G4402">
        <v>0</v>
      </c>
      <c r="H4402" t="s">
        <v>9326</v>
      </c>
      <c r="I4402">
        <v>4982</v>
      </c>
      <c r="J4402" t="e">
        <f>VLOOKUP(E4402,DSSpieler!A:B,2,FALSE)</f>
        <v>#N/A</v>
      </c>
    </row>
    <row r="4403" spans="1:10" x14ac:dyDescent="0.25">
      <c r="A4403">
        <v>4983</v>
      </c>
      <c r="B4403" t="s">
        <v>32329</v>
      </c>
      <c r="C4403">
        <v>407</v>
      </c>
      <c r="D4403">
        <v>459</v>
      </c>
      <c r="E4403">
        <v>10233928</v>
      </c>
      <c r="F4403">
        <v>6771</v>
      </c>
      <c r="G4403">
        <v>0</v>
      </c>
      <c r="H4403" t="s">
        <v>9327</v>
      </c>
      <c r="I4403">
        <v>4983</v>
      </c>
      <c r="J4403" t="str">
        <f>VLOOKUP(E4403,DSSpieler!A:B,2,FALSE)</f>
        <v>Tesserac</v>
      </c>
    </row>
    <row r="4404" spans="1:10" x14ac:dyDescent="0.25">
      <c r="A4404">
        <v>4984</v>
      </c>
      <c r="B4404" t="s">
        <v>531</v>
      </c>
      <c r="C4404">
        <v>476</v>
      </c>
      <c r="D4404">
        <v>452</v>
      </c>
      <c r="E4404">
        <v>0</v>
      </c>
      <c r="F4404">
        <v>388</v>
      </c>
      <c r="G4404">
        <v>0</v>
      </c>
      <c r="H4404" t="s">
        <v>9328</v>
      </c>
      <c r="I4404">
        <v>4984</v>
      </c>
      <c r="J4404" t="e">
        <f>VLOOKUP(E4404,DSSpieler!A:B,2,FALSE)</f>
        <v>#N/A</v>
      </c>
    </row>
    <row r="4405" spans="1:10" x14ac:dyDescent="0.25">
      <c r="A4405">
        <v>4985</v>
      </c>
      <c r="B4405" t="s">
        <v>32330</v>
      </c>
      <c r="C4405">
        <v>404</v>
      </c>
      <c r="D4405">
        <v>452</v>
      </c>
      <c r="E4405">
        <v>1577140251</v>
      </c>
      <c r="F4405">
        <v>5017</v>
      </c>
      <c r="G4405">
        <v>0</v>
      </c>
      <c r="H4405" t="s">
        <v>9329</v>
      </c>
      <c r="I4405">
        <v>4985</v>
      </c>
      <c r="J4405" t="str">
        <f>VLOOKUP(E4405,DSSpieler!A:B,2,FALSE)</f>
        <v>Dohan</v>
      </c>
    </row>
    <row r="4406" spans="1:10" x14ac:dyDescent="0.25">
      <c r="A4406">
        <v>4986</v>
      </c>
      <c r="B4406" t="s">
        <v>32331</v>
      </c>
      <c r="C4406">
        <v>510</v>
      </c>
      <c r="D4406">
        <v>463</v>
      </c>
      <c r="E4406">
        <v>1576471055</v>
      </c>
      <c r="F4406">
        <v>4555</v>
      </c>
      <c r="G4406">
        <v>0</v>
      </c>
      <c r="H4406" t="s">
        <v>9330</v>
      </c>
      <c r="I4406">
        <v>4986</v>
      </c>
      <c r="J4406" t="str">
        <f>VLOOKUP(E4406,DSSpieler!A:B,2,FALSE)</f>
        <v>Wonderboy-</v>
      </c>
    </row>
    <row r="4407" spans="1:10" x14ac:dyDescent="0.25">
      <c r="A4407">
        <v>4987</v>
      </c>
      <c r="B4407" t="s">
        <v>32332</v>
      </c>
      <c r="C4407">
        <v>509</v>
      </c>
      <c r="D4407">
        <v>427</v>
      </c>
      <c r="E4407">
        <v>1577198980</v>
      </c>
      <c r="F4407">
        <v>1220</v>
      </c>
      <c r="G4407">
        <v>0</v>
      </c>
      <c r="H4407" t="s">
        <v>9331</v>
      </c>
      <c r="I4407">
        <v>4987</v>
      </c>
      <c r="J4407" t="str">
        <f>VLOOKUP(E4407,DSSpieler!A:B,2,FALSE)</f>
        <v>Maunschl jr</v>
      </c>
    </row>
    <row r="4408" spans="1:10" x14ac:dyDescent="0.25">
      <c r="A4408">
        <v>4988</v>
      </c>
      <c r="B4408" t="s">
        <v>32333</v>
      </c>
      <c r="C4408">
        <v>485</v>
      </c>
      <c r="D4408">
        <v>560</v>
      </c>
      <c r="E4408">
        <v>140127</v>
      </c>
      <c r="F4408">
        <v>1368</v>
      </c>
      <c r="G4408">
        <v>0</v>
      </c>
      <c r="H4408" t="s">
        <v>9332</v>
      </c>
      <c r="I4408">
        <v>4988</v>
      </c>
      <c r="J4408" t="str">
        <f>VLOOKUP(E4408,DSSpieler!A:B,2,FALSE)</f>
        <v>tandem 270</v>
      </c>
    </row>
    <row r="4409" spans="1:10" x14ac:dyDescent="0.25">
      <c r="A4409">
        <v>4989</v>
      </c>
      <c r="B4409" t="s">
        <v>643</v>
      </c>
      <c r="C4409">
        <v>552</v>
      </c>
      <c r="D4409">
        <v>470</v>
      </c>
      <c r="E4409">
        <v>1577195586</v>
      </c>
      <c r="F4409">
        <v>7371</v>
      </c>
      <c r="G4409">
        <v>0</v>
      </c>
      <c r="H4409" t="s">
        <v>9333</v>
      </c>
      <c r="I4409">
        <v>4989</v>
      </c>
      <c r="J4409" t="str">
        <f>VLOOKUP(E4409,DSSpieler!A:B,2,FALSE)</f>
        <v>snoop2810</v>
      </c>
    </row>
    <row r="4410" spans="1:10" x14ac:dyDescent="0.25">
      <c r="A4410">
        <v>4990</v>
      </c>
      <c r="B4410" t="s">
        <v>546</v>
      </c>
      <c r="C4410">
        <v>503</v>
      </c>
      <c r="D4410">
        <v>428</v>
      </c>
      <c r="E4410">
        <v>1576876614</v>
      </c>
      <c r="F4410">
        <v>2492</v>
      </c>
      <c r="G4410">
        <v>0</v>
      </c>
      <c r="H4410" t="s">
        <v>9334</v>
      </c>
      <c r="I4410">
        <v>4990</v>
      </c>
      <c r="J4410" t="str">
        <f>VLOOKUP(E4410,DSSpieler!A:B,2,FALSE)</f>
        <v>Matzetutu</v>
      </c>
    </row>
    <row r="4411" spans="1:10" x14ac:dyDescent="0.25">
      <c r="A4411">
        <v>4991</v>
      </c>
      <c r="B4411" t="s">
        <v>1321</v>
      </c>
      <c r="C4411">
        <v>472</v>
      </c>
      <c r="D4411">
        <v>433</v>
      </c>
      <c r="E4411">
        <v>1577176338</v>
      </c>
      <c r="F4411">
        <v>5226</v>
      </c>
      <c r="G4411">
        <v>0</v>
      </c>
      <c r="H4411" t="s">
        <v>9335</v>
      </c>
      <c r="I4411">
        <v>4991</v>
      </c>
      <c r="J4411" t="str">
        <f>VLOOKUP(E4411,DSSpieler!A:B,2,FALSE)</f>
        <v>ausska</v>
      </c>
    </row>
    <row r="4412" spans="1:10" x14ac:dyDescent="0.25">
      <c r="A4412">
        <v>4992</v>
      </c>
      <c r="B4412" t="s">
        <v>1341</v>
      </c>
      <c r="C4412">
        <v>569</v>
      </c>
      <c r="D4412">
        <v>432</v>
      </c>
      <c r="E4412">
        <v>1577197881</v>
      </c>
      <c r="F4412">
        <v>4896</v>
      </c>
      <c r="G4412">
        <v>0</v>
      </c>
      <c r="H4412" t="s">
        <v>9336</v>
      </c>
      <c r="I4412">
        <v>4992</v>
      </c>
      <c r="J4412" t="str">
        <f>VLOOKUP(E4412,DSSpieler!A:B,2,FALSE)</f>
        <v>HappyFisherman</v>
      </c>
    </row>
    <row r="4413" spans="1:10" x14ac:dyDescent="0.25">
      <c r="A4413">
        <v>4993</v>
      </c>
      <c r="B4413" t="s">
        <v>32334</v>
      </c>
      <c r="C4413">
        <v>507</v>
      </c>
      <c r="D4413">
        <v>487</v>
      </c>
      <c r="E4413">
        <v>1577037782</v>
      </c>
      <c r="F4413">
        <v>3299</v>
      </c>
      <c r="G4413">
        <v>0</v>
      </c>
      <c r="H4413" t="s">
        <v>9337</v>
      </c>
      <c r="I4413">
        <v>4993</v>
      </c>
      <c r="J4413" t="str">
        <f>VLOOKUP(E4413,DSSpieler!A:B,2,FALSE)</f>
        <v>tommy2016</v>
      </c>
    </row>
    <row r="4414" spans="1:10" x14ac:dyDescent="0.25">
      <c r="A4414">
        <v>4994</v>
      </c>
      <c r="B4414" t="s">
        <v>531</v>
      </c>
      <c r="C4414">
        <v>556</v>
      </c>
      <c r="D4414">
        <v>466</v>
      </c>
      <c r="E4414">
        <v>0</v>
      </c>
      <c r="F4414">
        <v>341</v>
      </c>
      <c r="G4414">
        <v>0</v>
      </c>
      <c r="H4414" t="s">
        <v>9338</v>
      </c>
      <c r="I4414">
        <v>4994</v>
      </c>
      <c r="J4414" t="e">
        <f>VLOOKUP(E4414,DSSpieler!A:B,2,FALSE)</f>
        <v>#N/A</v>
      </c>
    </row>
    <row r="4415" spans="1:10" x14ac:dyDescent="0.25">
      <c r="A4415">
        <v>4997</v>
      </c>
      <c r="B4415" t="s">
        <v>32335</v>
      </c>
      <c r="C4415">
        <v>575</v>
      </c>
      <c r="D4415">
        <v>520</v>
      </c>
      <c r="E4415">
        <v>1576772564</v>
      </c>
      <c r="F4415">
        <v>6882</v>
      </c>
      <c r="G4415">
        <v>0</v>
      </c>
      <c r="H4415" t="s">
        <v>9339</v>
      </c>
      <c r="I4415">
        <v>4997</v>
      </c>
      <c r="J4415" t="str">
        <f>VLOOKUP(E4415,DSSpieler!A:B,2,FALSE)</f>
        <v>derbessere</v>
      </c>
    </row>
    <row r="4416" spans="1:10" x14ac:dyDescent="0.25">
      <c r="A4416">
        <v>4998</v>
      </c>
      <c r="B4416" t="s">
        <v>531</v>
      </c>
      <c r="C4416">
        <v>516</v>
      </c>
      <c r="D4416">
        <v>457</v>
      </c>
      <c r="E4416">
        <v>0</v>
      </c>
      <c r="F4416">
        <v>405</v>
      </c>
      <c r="G4416">
        <v>0</v>
      </c>
      <c r="H4416" t="s">
        <v>9340</v>
      </c>
      <c r="I4416">
        <v>4998</v>
      </c>
      <c r="J4416" t="e">
        <f>VLOOKUP(E4416,DSSpieler!A:B,2,FALSE)</f>
        <v>#N/A</v>
      </c>
    </row>
    <row r="4417" spans="1:10" x14ac:dyDescent="0.25">
      <c r="A4417">
        <v>4999</v>
      </c>
      <c r="B4417" t="s">
        <v>546</v>
      </c>
      <c r="C4417">
        <v>505</v>
      </c>
      <c r="D4417">
        <v>424</v>
      </c>
      <c r="E4417">
        <v>1577197882</v>
      </c>
      <c r="F4417">
        <v>5741</v>
      </c>
      <c r="G4417">
        <v>0</v>
      </c>
      <c r="H4417" t="s">
        <v>9341</v>
      </c>
      <c r="I4417">
        <v>4999</v>
      </c>
      <c r="J4417" t="str">
        <f>VLOOKUP(E4417,DSSpieler!A:B,2,FALSE)</f>
        <v>Papi Chulo</v>
      </c>
    </row>
    <row r="4418" spans="1:10" x14ac:dyDescent="0.25">
      <c r="A4418">
        <v>5000</v>
      </c>
      <c r="B4418" t="s">
        <v>1342</v>
      </c>
      <c r="C4418">
        <v>421</v>
      </c>
      <c r="D4418">
        <v>577</v>
      </c>
      <c r="E4418">
        <v>1577197462</v>
      </c>
      <c r="F4418">
        <v>4674</v>
      </c>
      <c r="G4418">
        <v>0</v>
      </c>
      <c r="H4418" t="s">
        <v>9342</v>
      </c>
      <c r="I4418">
        <v>5000</v>
      </c>
      <c r="J4418" t="str">
        <f>VLOOKUP(E4418,DSSpieler!A:B,2,FALSE)</f>
        <v>SatansBratan</v>
      </c>
    </row>
    <row r="4419" spans="1:10" x14ac:dyDescent="0.25">
      <c r="A4419">
        <v>5001</v>
      </c>
      <c r="B4419">
        <v>7</v>
      </c>
      <c r="C4419">
        <v>566</v>
      </c>
      <c r="D4419">
        <v>500</v>
      </c>
      <c r="E4419">
        <v>1577197994</v>
      </c>
      <c r="F4419">
        <v>6128</v>
      </c>
      <c r="G4419">
        <v>0</v>
      </c>
      <c r="H4419" t="s">
        <v>9343</v>
      </c>
      <c r="I4419">
        <v>5001</v>
      </c>
      <c r="J4419" t="str">
        <f>VLOOKUP(E4419,DSSpieler!A:B,2,FALSE)</f>
        <v>Spriee</v>
      </c>
    </row>
    <row r="4420" spans="1:10" x14ac:dyDescent="0.25">
      <c r="A4420">
        <v>5002</v>
      </c>
      <c r="B4420" t="s">
        <v>556</v>
      </c>
      <c r="C4420">
        <v>515</v>
      </c>
      <c r="D4420">
        <v>476</v>
      </c>
      <c r="E4420">
        <v>1577184672</v>
      </c>
      <c r="F4420">
        <v>2927</v>
      </c>
      <c r="G4420">
        <v>0</v>
      </c>
      <c r="H4420" t="s">
        <v>9344</v>
      </c>
      <c r="I4420">
        <v>5002</v>
      </c>
      <c r="J4420" t="str">
        <f>VLOOKUP(E4420,DSSpieler!A:B,2,FALSE)</f>
        <v>maxidiekleine</v>
      </c>
    </row>
    <row r="4421" spans="1:10" x14ac:dyDescent="0.25">
      <c r="A4421">
        <v>5003</v>
      </c>
      <c r="B4421" t="s">
        <v>32336</v>
      </c>
      <c r="C4421">
        <v>602</v>
      </c>
      <c r="D4421">
        <v>461</v>
      </c>
      <c r="E4421">
        <v>1577196890</v>
      </c>
      <c r="F4421">
        <v>1891</v>
      </c>
      <c r="G4421">
        <v>0</v>
      </c>
      <c r="H4421" t="s">
        <v>9345</v>
      </c>
      <c r="I4421">
        <v>5003</v>
      </c>
      <c r="J4421" t="str">
        <f>VLOOKUP(E4421,DSSpieler!A:B,2,FALSE)</f>
        <v>Quarktasche</v>
      </c>
    </row>
    <row r="4422" spans="1:10" x14ac:dyDescent="0.25">
      <c r="A4422">
        <v>5004</v>
      </c>
      <c r="B4422" t="s">
        <v>1343</v>
      </c>
      <c r="C4422">
        <v>510</v>
      </c>
      <c r="D4422">
        <v>609</v>
      </c>
      <c r="E4422">
        <v>1577183540</v>
      </c>
      <c r="F4422">
        <v>4054</v>
      </c>
      <c r="G4422">
        <v>0</v>
      </c>
      <c r="H4422" t="s">
        <v>9346</v>
      </c>
      <c r="I4422">
        <v>5004</v>
      </c>
      <c r="J4422" t="str">
        <f>VLOOKUP(E4422,DSSpieler!A:B,2,FALSE)</f>
        <v>Kartenrand</v>
      </c>
    </row>
    <row r="4423" spans="1:10" x14ac:dyDescent="0.25">
      <c r="A4423">
        <v>5005</v>
      </c>
      <c r="B4423" t="s">
        <v>32337</v>
      </c>
      <c r="C4423">
        <v>407</v>
      </c>
      <c r="D4423">
        <v>492</v>
      </c>
      <c r="E4423">
        <v>9807006</v>
      </c>
      <c r="F4423">
        <v>6221</v>
      </c>
      <c r="G4423">
        <v>0</v>
      </c>
      <c r="H4423" t="s">
        <v>9347</v>
      </c>
      <c r="I4423">
        <v>5005</v>
      </c>
      <c r="J4423" t="str">
        <f>VLOOKUP(E4423,DSSpieler!A:B,2,FALSE)</f>
        <v>CyserixXx</v>
      </c>
    </row>
    <row r="4424" spans="1:10" x14ac:dyDescent="0.25">
      <c r="A4424">
        <v>5006</v>
      </c>
      <c r="B4424" t="s">
        <v>1344</v>
      </c>
      <c r="C4424">
        <v>508</v>
      </c>
      <c r="D4424">
        <v>520</v>
      </c>
      <c r="E4424">
        <v>1577185051</v>
      </c>
      <c r="F4424">
        <v>1400</v>
      </c>
      <c r="G4424">
        <v>0</v>
      </c>
      <c r="H4424" t="s">
        <v>9348</v>
      </c>
      <c r="I4424">
        <v>5006</v>
      </c>
      <c r="J4424" t="str">
        <f>VLOOKUP(E4424,DSSpieler!A:B,2,FALSE)</f>
        <v>road992</v>
      </c>
    </row>
    <row r="4425" spans="1:10" x14ac:dyDescent="0.25">
      <c r="A4425">
        <v>5007</v>
      </c>
      <c r="B4425" t="s">
        <v>1345</v>
      </c>
      <c r="C4425">
        <v>594</v>
      </c>
      <c r="D4425">
        <v>475</v>
      </c>
      <c r="E4425">
        <v>1577173034</v>
      </c>
      <c r="F4425">
        <v>5401</v>
      </c>
      <c r="G4425">
        <v>0</v>
      </c>
      <c r="H4425" t="s">
        <v>9349</v>
      </c>
      <c r="I4425">
        <v>5007</v>
      </c>
      <c r="J4425" t="str">
        <f>VLOOKUP(E4425,DSSpieler!A:B,2,FALSE)</f>
        <v>LORD R3BORN</v>
      </c>
    </row>
    <row r="4426" spans="1:10" x14ac:dyDescent="0.25">
      <c r="A4426">
        <v>5008</v>
      </c>
      <c r="B4426" t="s">
        <v>32338</v>
      </c>
      <c r="C4426">
        <v>466</v>
      </c>
      <c r="D4426">
        <v>431</v>
      </c>
      <c r="E4426">
        <v>1577188810</v>
      </c>
      <c r="F4426">
        <v>5924</v>
      </c>
      <c r="G4426">
        <v>0</v>
      </c>
      <c r="H4426" t="s">
        <v>9350</v>
      </c>
      <c r="I4426">
        <v>5008</v>
      </c>
      <c r="J4426" t="str">
        <f>VLOOKUP(E4426,DSSpieler!A:B,2,FALSE)</f>
        <v>Taussie</v>
      </c>
    </row>
    <row r="4427" spans="1:10" x14ac:dyDescent="0.25">
      <c r="A4427">
        <v>5009</v>
      </c>
      <c r="B4427" t="s">
        <v>32339</v>
      </c>
      <c r="C4427">
        <v>429</v>
      </c>
      <c r="D4427">
        <v>522</v>
      </c>
      <c r="E4427">
        <v>1577138821</v>
      </c>
      <c r="F4427">
        <v>6131</v>
      </c>
      <c r="G4427">
        <v>0</v>
      </c>
      <c r="H4427" t="s">
        <v>9351</v>
      </c>
      <c r="I4427">
        <v>5009</v>
      </c>
      <c r="J4427" t="str">
        <f>VLOOKUP(E4427,DSSpieler!A:B,2,FALSE)</f>
        <v>DSEhrenmann93</v>
      </c>
    </row>
    <row r="4428" spans="1:10" x14ac:dyDescent="0.25">
      <c r="A4428">
        <v>5010</v>
      </c>
      <c r="B4428" t="s">
        <v>32340</v>
      </c>
      <c r="C4428">
        <v>425</v>
      </c>
      <c r="D4428">
        <v>572</v>
      </c>
      <c r="E4428">
        <v>1577187911</v>
      </c>
      <c r="F4428">
        <v>4664</v>
      </c>
      <c r="G4428">
        <v>0</v>
      </c>
      <c r="H4428" t="s">
        <v>9352</v>
      </c>
      <c r="I4428">
        <v>5010</v>
      </c>
      <c r="J4428" t="str">
        <f>VLOOKUP(E4428,DSSpieler!A:B,2,FALSE)</f>
        <v>icloud</v>
      </c>
    </row>
    <row r="4429" spans="1:10" x14ac:dyDescent="0.25">
      <c r="A4429">
        <v>5011</v>
      </c>
      <c r="B4429" t="s">
        <v>32341</v>
      </c>
      <c r="C4429">
        <v>475</v>
      </c>
      <c r="D4429">
        <v>542</v>
      </c>
      <c r="E4429">
        <v>1577178111</v>
      </c>
      <c r="F4429">
        <v>4429</v>
      </c>
      <c r="G4429">
        <v>0</v>
      </c>
      <c r="H4429" t="s">
        <v>9353</v>
      </c>
      <c r="I4429">
        <v>5011</v>
      </c>
      <c r="J4429" t="str">
        <f>VLOOKUP(E4429,DSSpieler!A:B,2,FALSE)</f>
        <v>DoMii</v>
      </c>
    </row>
    <row r="4430" spans="1:10" x14ac:dyDescent="0.25">
      <c r="A4430">
        <v>5013</v>
      </c>
      <c r="B4430" t="s">
        <v>772</v>
      </c>
      <c r="C4430">
        <v>499</v>
      </c>
      <c r="D4430">
        <v>488</v>
      </c>
      <c r="E4430">
        <v>1577034825</v>
      </c>
      <c r="F4430">
        <v>5274</v>
      </c>
      <c r="G4430">
        <v>0</v>
      </c>
      <c r="H4430" t="s">
        <v>9354</v>
      </c>
      <c r="I4430">
        <v>5013</v>
      </c>
      <c r="J4430" t="str">
        <f>VLOOKUP(E4430,DSSpieler!A:B,2,FALSE)</f>
        <v>Schnuckenack Reinhardt</v>
      </c>
    </row>
    <row r="4431" spans="1:10" x14ac:dyDescent="0.25">
      <c r="A4431">
        <v>5014</v>
      </c>
      <c r="B4431" t="s">
        <v>32342</v>
      </c>
      <c r="C4431">
        <v>446</v>
      </c>
      <c r="D4431">
        <v>475</v>
      </c>
      <c r="E4431">
        <v>1576928876</v>
      </c>
      <c r="F4431">
        <v>4553</v>
      </c>
      <c r="G4431">
        <v>0</v>
      </c>
      <c r="H4431" t="s">
        <v>9355</v>
      </c>
      <c r="I4431">
        <v>5014</v>
      </c>
      <c r="J4431" t="str">
        <f>VLOOKUP(E4431,DSSpieler!A:B,2,FALSE)</f>
        <v>Grummel7</v>
      </c>
    </row>
    <row r="4432" spans="1:10" x14ac:dyDescent="0.25">
      <c r="A4432">
        <v>5015</v>
      </c>
      <c r="B4432" t="s">
        <v>531</v>
      </c>
      <c r="C4432">
        <v>496</v>
      </c>
      <c r="D4432">
        <v>488</v>
      </c>
      <c r="E4432">
        <v>0</v>
      </c>
      <c r="F4432">
        <v>230</v>
      </c>
      <c r="G4432">
        <v>0</v>
      </c>
      <c r="H4432" t="s">
        <v>9356</v>
      </c>
      <c r="I4432">
        <v>5015</v>
      </c>
      <c r="J4432" t="e">
        <f>VLOOKUP(E4432,DSSpieler!A:B,2,FALSE)</f>
        <v>#N/A</v>
      </c>
    </row>
    <row r="4433" spans="1:10" x14ac:dyDescent="0.25">
      <c r="A4433">
        <v>5016</v>
      </c>
      <c r="B4433" t="s">
        <v>32343</v>
      </c>
      <c r="C4433">
        <v>511</v>
      </c>
      <c r="D4433">
        <v>560</v>
      </c>
      <c r="E4433">
        <v>1577175352</v>
      </c>
      <c r="F4433">
        <v>6690</v>
      </c>
      <c r="G4433">
        <v>0</v>
      </c>
      <c r="H4433" t="s">
        <v>9357</v>
      </c>
      <c r="I4433">
        <v>5016</v>
      </c>
      <c r="J4433" t="str">
        <f>VLOOKUP(E4433,DSSpieler!A:B,2,FALSE)</f>
        <v>L4nz3l0b3r</v>
      </c>
    </row>
    <row r="4434" spans="1:10" x14ac:dyDescent="0.25">
      <c r="A4434">
        <v>5017</v>
      </c>
      <c r="B4434" t="s">
        <v>32344</v>
      </c>
      <c r="C4434">
        <v>422</v>
      </c>
      <c r="D4434">
        <v>535</v>
      </c>
      <c r="E4434">
        <v>1577180543</v>
      </c>
      <c r="F4434">
        <v>5841</v>
      </c>
      <c r="G4434">
        <v>0</v>
      </c>
      <c r="H4434" t="s">
        <v>9358</v>
      </c>
      <c r="I4434">
        <v>5017</v>
      </c>
      <c r="J4434" t="str">
        <f>VLOOKUP(E4434,DSSpieler!A:B,2,FALSE)</f>
        <v>Stay at Home</v>
      </c>
    </row>
    <row r="4435" spans="1:10" x14ac:dyDescent="0.25">
      <c r="A4435">
        <v>5018</v>
      </c>
      <c r="B4435" t="s">
        <v>1346</v>
      </c>
      <c r="C4435">
        <v>490</v>
      </c>
      <c r="D4435">
        <v>451</v>
      </c>
      <c r="E4435">
        <v>1577179440</v>
      </c>
      <c r="F4435">
        <v>6818</v>
      </c>
      <c r="G4435">
        <v>0</v>
      </c>
      <c r="H4435" t="s">
        <v>9359</v>
      </c>
      <c r="I4435">
        <v>5018</v>
      </c>
      <c r="J4435" t="str">
        <f>VLOOKUP(E4435,DSSpieler!A:B,2,FALSE)</f>
        <v>König David</v>
      </c>
    </row>
    <row r="4436" spans="1:10" x14ac:dyDescent="0.25">
      <c r="A4436">
        <v>5019</v>
      </c>
      <c r="B4436" t="s">
        <v>741</v>
      </c>
      <c r="C4436">
        <v>576</v>
      </c>
      <c r="D4436">
        <v>502</v>
      </c>
      <c r="E4436">
        <v>1576333645</v>
      </c>
      <c r="F4436">
        <v>2435</v>
      </c>
      <c r="G4436">
        <v>0</v>
      </c>
      <c r="H4436" t="s">
        <v>9360</v>
      </c>
      <c r="I4436">
        <v>5019</v>
      </c>
      <c r="J4436" t="str">
        <f>VLOOKUP(E4436,DSSpieler!A:B,2,FALSE)</f>
        <v>Sir Alexander</v>
      </c>
    </row>
    <row r="4437" spans="1:10" x14ac:dyDescent="0.25">
      <c r="A4437">
        <v>5020</v>
      </c>
      <c r="B4437" t="s">
        <v>32345</v>
      </c>
      <c r="C4437">
        <v>503</v>
      </c>
      <c r="D4437">
        <v>394</v>
      </c>
      <c r="E4437">
        <v>2910580</v>
      </c>
      <c r="F4437">
        <v>7086</v>
      </c>
      <c r="G4437">
        <v>0</v>
      </c>
      <c r="H4437" t="s">
        <v>9361</v>
      </c>
      <c r="I4437">
        <v>5020</v>
      </c>
      <c r="J4437" t="str">
        <f>VLOOKUP(E4437,DSSpieler!A:B,2,FALSE)</f>
        <v>Desiel</v>
      </c>
    </row>
    <row r="4438" spans="1:10" x14ac:dyDescent="0.25">
      <c r="A4438">
        <v>5021</v>
      </c>
      <c r="B4438" t="s">
        <v>672</v>
      </c>
      <c r="C4438">
        <v>596</v>
      </c>
      <c r="D4438">
        <v>530</v>
      </c>
      <c r="E4438">
        <v>1577117790</v>
      </c>
      <c r="F4438">
        <v>4611</v>
      </c>
      <c r="G4438">
        <v>0</v>
      </c>
      <c r="H4438" t="s">
        <v>9362</v>
      </c>
      <c r="I4438">
        <v>5021</v>
      </c>
      <c r="J4438" t="str">
        <f>VLOOKUP(E4438,DSSpieler!A:B,2,FALSE)</f>
        <v>philandfred</v>
      </c>
    </row>
    <row r="4439" spans="1:10" x14ac:dyDescent="0.25">
      <c r="A4439">
        <v>5022</v>
      </c>
      <c r="B4439" t="s">
        <v>31942</v>
      </c>
      <c r="C4439">
        <v>404</v>
      </c>
      <c r="D4439">
        <v>500</v>
      </c>
      <c r="E4439">
        <v>1577173009</v>
      </c>
      <c r="F4439">
        <v>6645</v>
      </c>
      <c r="G4439">
        <v>0</v>
      </c>
      <c r="H4439" t="s">
        <v>9363</v>
      </c>
      <c r="I4439">
        <v>5022</v>
      </c>
      <c r="J4439" t="str">
        <f>VLOOKUP(E4439,DSSpieler!A:B,2,FALSE)</f>
        <v>Sultan Selim al Chasid</v>
      </c>
    </row>
    <row r="4440" spans="1:10" x14ac:dyDescent="0.25">
      <c r="A4440">
        <v>5024</v>
      </c>
      <c r="B4440" t="s">
        <v>531</v>
      </c>
      <c r="C4440">
        <v>561</v>
      </c>
      <c r="D4440">
        <v>500</v>
      </c>
      <c r="E4440">
        <v>0</v>
      </c>
      <c r="F4440">
        <v>811</v>
      </c>
      <c r="G4440">
        <v>0</v>
      </c>
      <c r="H4440" t="s">
        <v>9364</v>
      </c>
      <c r="I4440">
        <v>5024</v>
      </c>
      <c r="J4440" t="e">
        <f>VLOOKUP(E4440,DSSpieler!A:B,2,FALSE)</f>
        <v>#N/A</v>
      </c>
    </row>
    <row r="4441" spans="1:10" x14ac:dyDescent="0.25">
      <c r="A4441">
        <v>5025</v>
      </c>
      <c r="B4441" t="s">
        <v>1347</v>
      </c>
      <c r="C4441">
        <v>604</v>
      </c>
      <c r="D4441">
        <v>525</v>
      </c>
      <c r="E4441">
        <v>1577197883</v>
      </c>
      <c r="F4441">
        <v>5926</v>
      </c>
      <c r="G4441">
        <v>0</v>
      </c>
      <c r="H4441" t="s">
        <v>9365</v>
      </c>
      <c r="I4441">
        <v>5025</v>
      </c>
      <c r="J4441" t="str">
        <f>VLOOKUP(E4441,DSSpieler!A:B,2,FALSE)</f>
        <v>Zoox</v>
      </c>
    </row>
    <row r="4442" spans="1:10" x14ac:dyDescent="0.25">
      <c r="A4442">
        <v>5026</v>
      </c>
      <c r="B4442" t="s">
        <v>32346</v>
      </c>
      <c r="C4442">
        <v>465</v>
      </c>
      <c r="D4442">
        <v>491</v>
      </c>
      <c r="E4442">
        <v>1575884681</v>
      </c>
      <c r="F4442">
        <v>8502</v>
      </c>
      <c r="G4442">
        <v>0</v>
      </c>
      <c r="H4442" t="s">
        <v>9366</v>
      </c>
      <c r="I4442">
        <v>5026</v>
      </c>
      <c r="J4442" t="str">
        <f>VLOOKUP(E4442,DSSpieler!A:B,2,FALSE)</f>
        <v>owndbyced</v>
      </c>
    </row>
    <row r="4443" spans="1:10" x14ac:dyDescent="0.25">
      <c r="A4443">
        <v>5027</v>
      </c>
      <c r="B4443" t="s">
        <v>1348</v>
      </c>
      <c r="C4443">
        <v>501</v>
      </c>
      <c r="D4443">
        <v>560</v>
      </c>
      <c r="E4443">
        <v>1577147528</v>
      </c>
      <c r="F4443">
        <v>4578</v>
      </c>
      <c r="G4443">
        <v>0</v>
      </c>
      <c r="H4443" t="s">
        <v>9367</v>
      </c>
      <c r="I4443">
        <v>5027</v>
      </c>
      <c r="J4443" t="str">
        <f>VLOOKUP(E4443,DSSpieler!A:B,2,FALSE)</f>
        <v>ClitCommander</v>
      </c>
    </row>
    <row r="4444" spans="1:10" x14ac:dyDescent="0.25">
      <c r="A4444">
        <v>5028</v>
      </c>
      <c r="B4444" t="s">
        <v>32347</v>
      </c>
      <c r="C4444">
        <v>452</v>
      </c>
      <c r="D4444">
        <v>591</v>
      </c>
      <c r="E4444">
        <v>667174</v>
      </c>
      <c r="F4444">
        <v>4651</v>
      </c>
      <c r="G4444">
        <v>0</v>
      </c>
      <c r="H4444" t="s">
        <v>9368</v>
      </c>
      <c r="I4444">
        <v>5028</v>
      </c>
      <c r="J4444">
        <f>VLOOKUP(E4444,DSSpieler!A:B,2,FALSE)</f>
        <v>61</v>
      </c>
    </row>
    <row r="4445" spans="1:10" x14ac:dyDescent="0.25">
      <c r="A4445">
        <v>5029</v>
      </c>
      <c r="B4445" t="s">
        <v>1349</v>
      </c>
      <c r="C4445">
        <v>435</v>
      </c>
      <c r="D4445">
        <v>521</v>
      </c>
      <c r="E4445">
        <v>9646096</v>
      </c>
      <c r="F4445">
        <v>6197</v>
      </c>
      <c r="G4445">
        <v>0</v>
      </c>
      <c r="H4445" t="s">
        <v>9369</v>
      </c>
      <c r="I4445">
        <v>5029</v>
      </c>
      <c r="J4445" t="str">
        <f>VLOOKUP(E4445,DSSpieler!A:B,2,FALSE)</f>
        <v>GapG21</v>
      </c>
    </row>
    <row r="4446" spans="1:10" x14ac:dyDescent="0.25">
      <c r="A4446">
        <v>5030</v>
      </c>
      <c r="B4446" t="s">
        <v>1350</v>
      </c>
      <c r="C4446">
        <v>424</v>
      </c>
      <c r="D4446">
        <v>524</v>
      </c>
      <c r="E4446">
        <v>1577163404</v>
      </c>
      <c r="F4446">
        <v>4444</v>
      </c>
      <c r="G4446">
        <v>0</v>
      </c>
      <c r="H4446" t="s">
        <v>9370</v>
      </c>
      <c r="I4446">
        <v>5030</v>
      </c>
      <c r="J4446" t="str">
        <f>VLOOKUP(E4446,DSSpieler!A:B,2,FALSE)</f>
        <v>Dany6</v>
      </c>
    </row>
    <row r="4447" spans="1:10" x14ac:dyDescent="0.25">
      <c r="A4447">
        <v>5032</v>
      </c>
      <c r="B4447" t="s">
        <v>531</v>
      </c>
      <c r="C4447">
        <v>580</v>
      </c>
      <c r="D4447">
        <v>555</v>
      </c>
      <c r="E4447">
        <v>0</v>
      </c>
      <c r="F4447">
        <v>1194</v>
      </c>
      <c r="G4447">
        <v>0</v>
      </c>
      <c r="H4447" t="s">
        <v>9371</v>
      </c>
      <c r="I4447">
        <v>5032</v>
      </c>
      <c r="J4447" t="e">
        <f>VLOOKUP(E4447,DSSpieler!A:B,2,FALSE)</f>
        <v>#N/A</v>
      </c>
    </row>
    <row r="4448" spans="1:10" x14ac:dyDescent="0.25">
      <c r="A4448">
        <v>5033</v>
      </c>
      <c r="B4448">
        <v>6</v>
      </c>
      <c r="C4448">
        <v>410</v>
      </c>
      <c r="D4448">
        <v>451</v>
      </c>
      <c r="E4448">
        <v>9768664</v>
      </c>
      <c r="F4448">
        <v>5418</v>
      </c>
      <c r="G4448">
        <v>0</v>
      </c>
      <c r="H4448" t="s">
        <v>9372</v>
      </c>
      <c r="I4448">
        <v>5033</v>
      </c>
      <c r="J4448" t="str">
        <f>VLOOKUP(E4448,DSSpieler!A:B,2,FALSE)</f>
        <v>tobinator2345</v>
      </c>
    </row>
    <row r="4449" spans="1:10" x14ac:dyDescent="0.25">
      <c r="A4449">
        <v>5034</v>
      </c>
      <c r="B4449" t="s">
        <v>531</v>
      </c>
      <c r="C4449">
        <v>542</v>
      </c>
      <c r="D4449">
        <v>433</v>
      </c>
      <c r="E4449">
        <v>0</v>
      </c>
      <c r="F4449">
        <v>911</v>
      </c>
      <c r="G4449">
        <v>0</v>
      </c>
      <c r="H4449" t="s">
        <v>9373</v>
      </c>
      <c r="I4449">
        <v>5034</v>
      </c>
      <c r="J4449" t="e">
        <f>VLOOKUP(E4449,DSSpieler!A:B,2,FALSE)</f>
        <v>#N/A</v>
      </c>
    </row>
    <row r="4450" spans="1:10" x14ac:dyDescent="0.25">
      <c r="A4450">
        <v>5036</v>
      </c>
      <c r="B4450" t="s">
        <v>1351</v>
      </c>
      <c r="C4450">
        <v>465</v>
      </c>
      <c r="D4450">
        <v>482</v>
      </c>
      <c r="E4450">
        <v>9938723</v>
      </c>
      <c r="F4450">
        <v>7689</v>
      </c>
      <c r="G4450">
        <v>0</v>
      </c>
      <c r="H4450" t="s">
        <v>9374</v>
      </c>
      <c r="I4450">
        <v>5036</v>
      </c>
      <c r="J4450" t="str">
        <f>VLOOKUP(E4450,DSSpieler!A:B,2,FALSE)</f>
        <v>EnoxAUT</v>
      </c>
    </row>
    <row r="4451" spans="1:10" x14ac:dyDescent="0.25">
      <c r="A4451">
        <v>5038</v>
      </c>
      <c r="B4451" t="s">
        <v>1352</v>
      </c>
      <c r="C4451">
        <v>502</v>
      </c>
      <c r="D4451">
        <v>519</v>
      </c>
      <c r="E4451">
        <v>1577197886</v>
      </c>
      <c r="F4451">
        <v>5795</v>
      </c>
      <c r="G4451">
        <v>0</v>
      </c>
      <c r="H4451" t="s">
        <v>9375</v>
      </c>
      <c r="I4451">
        <v>5038</v>
      </c>
      <c r="J4451" t="str">
        <f>VLOOKUP(E4451,DSSpieler!A:B,2,FALSE)</f>
        <v>Wolfgang85</v>
      </c>
    </row>
    <row r="4452" spans="1:10" x14ac:dyDescent="0.25">
      <c r="A4452">
        <v>5039</v>
      </c>
      <c r="B4452" t="s">
        <v>32348</v>
      </c>
      <c r="C4452">
        <v>465</v>
      </c>
      <c r="D4452">
        <v>524</v>
      </c>
      <c r="E4452">
        <v>8875414</v>
      </c>
      <c r="F4452">
        <v>3889</v>
      </c>
      <c r="G4452">
        <v>0</v>
      </c>
      <c r="H4452" t="s">
        <v>9376</v>
      </c>
      <c r="I4452">
        <v>5039</v>
      </c>
      <c r="J4452" t="str">
        <f>VLOOKUP(E4452,DSSpieler!A:B,2,FALSE)</f>
        <v>Hammer auf Fresse</v>
      </c>
    </row>
    <row r="4453" spans="1:10" x14ac:dyDescent="0.25">
      <c r="A4453">
        <v>5040</v>
      </c>
      <c r="B4453" t="s">
        <v>1353</v>
      </c>
      <c r="C4453">
        <v>606</v>
      </c>
      <c r="D4453">
        <v>479</v>
      </c>
      <c r="E4453">
        <v>1576784013</v>
      </c>
      <c r="F4453">
        <v>2160</v>
      </c>
      <c r="G4453">
        <v>0</v>
      </c>
      <c r="H4453" t="s">
        <v>9377</v>
      </c>
      <c r="I4453">
        <v>5040</v>
      </c>
      <c r="J4453" t="str">
        <f>VLOOKUP(E4453,DSSpieler!A:B,2,FALSE)</f>
        <v>Anti-HFC</v>
      </c>
    </row>
    <row r="4454" spans="1:10" x14ac:dyDescent="0.25">
      <c r="A4454">
        <v>5041</v>
      </c>
      <c r="B4454" t="s">
        <v>531</v>
      </c>
      <c r="C4454">
        <v>515</v>
      </c>
      <c r="D4454">
        <v>518</v>
      </c>
      <c r="E4454">
        <v>0</v>
      </c>
      <c r="F4454">
        <v>259</v>
      </c>
      <c r="G4454">
        <v>0</v>
      </c>
      <c r="H4454" t="s">
        <v>9378</v>
      </c>
      <c r="I4454">
        <v>5041</v>
      </c>
      <c r="J4454" t="e">
        <f>VLOOKUP(E4454,DSSpieler!A:B,2,FALSE)</f>
        <v>#N/A</v>
      </c>
    </row>
    <row r="4455" spans="1:10" x14ac:dyDescent="0.25">
      <c r="A4455">
        <v>5045</v>
      </c>
      <c r="B4455" t="s">
        <v>1354</v>
      </c>
      <c r="C4455">
        <v>479</v>
      </c>
      <c r="D4455">
        <v>571</v>
      </c>
      <c r="E4455">
        <v>1575903481</v>
      </c>
      <c r="F4455">
        <v>5676</v>
      </c>
      <c r="G4455">
        <v>0</v>
      </c>
      <c r="H4455" t="s">
        <v>9379</v>
      </c>
      <c r="I4455">
        <v>5045</v>
      </c>
      <c r="J4455" t="str">
        <f>VLOOKUP(E4455,DSSpieler!A:B,2,FALSE)</f>
        <v>Cyriten</v>
      </c>
    </row>
    <row r="4456" spans="1:10" x14ac:dyDescent="0.25">
      <c r="A4456">
        <v>5046</v>
      </c>
      <c r="B4456" t="s">
        <v>32349</v>
      </c>
      <c r="C4456">
        <v>490</v>
      </c>
      <c r="D4456">
        <v>572</v>
      </c>
      <c r="E4456">
        <v>1577197880</v>
      </c>
      <c r="F4456">
        <v>7155</v>
      </c>
      <c r="G4456">
        <v>0</v>
      </c>
      <c r="H4456" t="s">
        <v>9380</v>
      </c>
      <c r="I4456">
        <v>5046</v>
      </c>
      <c r="J4456" t="str">
        <f>VLOOKUP(E4456,DSSpieler!A:B,2,FALSE)</f>
        <v>jakusizz</v>
      </c>
    </row>
    <row r="4457" spans="1:10" x14ac:dyDescent="0.25">
      <c r="A4457">
        <v>5047</v>
      </c>
      <c r="B4457" t="s">
        <v>546</v>
      </c>
      <c r="C4457">
        <v>500</v>
      </c>
      <c r="D4457">
        <v>446</v>
      </c>
      <c r="E4457">
        <v>9961160</v>
      </c>
      <c r="F4457">
        <v>6345</v>
      </c>
      <c r="G4457">
        <v>0</v>
      </c>
      <c r="H4457" t="s">
        <v>9381</v>
      </c>
      <c r="I4457">
        <v>5047</v>
      </c>
      <c r="J4457" t="str">
        <f>VLOOKUP(E4457,DSSpieler!A:B,2,FALSE)</f>
        <v>konkom</v>
      </c>
    </row>
    <row r="4458" spans="1:10" x14ac:dyDescent="0.25">
      <c r="A4458">
        <v>5048</v>
      </c>
      <c r="B4458" t="s">
        <v>1355</v>
      </c>
      <c r="C4458">
        <v>533</v>
      </c>
      <c r="D4458">
        <v>491</v>
      </c>
      <c r="E4458">
        <v>1577150811</v>
      </c>
      <c r="F4458">
        <v>944</v>
      </c>
      <c r="G4458">
        <v>0</v>
      </c>
      <c r="H4458" t="s">
        <v>9382</v>
      </c>
      <c r="I4458">
        <v>5048</v>
      </c>
      <c r="J4458" t="str">
        <f>VLOOKUP(E4458,DSSpieler!A:B,2,FALSE)</f>
        <v>DrTheo</v>
      </c>
    </row>
    <row r="4459" spans="1:10" x14ac:dyDescent="0.25">
      <c r="A4459">
        <v>5049</v>
      </c>
      <c r="B4459" t="s">
        <v>531</v>
      </c>
      <c r="C4459">
        <v>556</v>
      </c>
      <c r="D4459">
        <v>462</v>
      </c>
      <c r="E4459">
        <v>0</v>
      </c>
      <c r="F4459">
        <v>477</v>
      </c>
      <c r="G4459">
        <v>0</v>
      </c>
      <c r="H4459" t="s">
        <v>9383</v>
      </c>
      <c r="I4459">
        <v>5049</v>
      </c>
      <c r="J4459" t="e">
        <f>VLOOKUP(E4459,DSSpieler!A:B,2,FALSE)</f>
        <v>#N/A</v>
      </c>
    </row>
    <row r="4460" spans="1:10" x14ac:dyDescent="0.25">
      <c r="A4460">
        <v>5050</v>
      </c>
      <c r="B4460" t="s">
        <v>32350</v>
      </c>
      <c r="C4460">
        <v>463</v>
      </c>
      <c r="D4460">
        <v>415</v>
      </c>
      <c r="E4460">
        <v>1576828154</v>
      </c>
      <c r="F4460">
        <v>4778</v>
      </c>
      <c r="G4460">
        <v>0</v>
      </c>
      <c r="H4460" t="s">
        <v>9384</v>
      </c>
      <c r="I4460">
        <v>5050</v>
      </c>
      <c r="J4460" t="str">
        <f>VLOOKUP(E4460,DSSpieler!A:B,2,FALSE)</f>
        <v>HighEndNoob</v>
      </c>
    </row>
    <row r="4461" spans="1:10" x14ac:dyDescent="0.25">
      <c r="A4461">
        <v>5051</v>
      </c>
      <c r="B4461" t="s">
        <v>32351</v>
      </c>
      <c r="C4461">
        <v>510</v>
      </c>
      <c r="D4461">
        <v>443</v>
      </c>
      <c r="E4461">
        <v>3376139</v>
      </c>
      <c r="F4461">
        <v>8277</v>
      </c>
      <c r="G4461">
        <v>0</v>
      </c>
      <c r="H4461" t="s">
        <v>9385</v>
      </c>
      <c r="I4461">
        <v>5051</v>
      </c>
      <c r="J4461" t="str">
        <f>VLOOKUP(E4461,DSSpieler!A:B,2,FALSE)</f>
        <v>ufoman444</v>
      </c>
    </row>
    <row r="4462" spans="1:10" x14ac:dyDescent="0.25">
      <c r="A4462">
        <v>5052</v>
      </c>
      <c r="B4462">
        <v>2</v>
      </c>
      <c r="C4462">
        <v>469</v>
      </c>
      <c r="D4462">
        <v>559</v>
      </c>
      <c r="E4462">
        <v>2639534</v>
      </c>
      <c r="F4462">
        <v>5242</v>
      </c>
      <c r="G4462">
        <v>0</v>
      </c>
      <c r="H4462" t="s">
        <v>9386</v>
      </c>
      <c r="I4462">
        <v>5052</v>
      </c>
      <c r="J4462" t="str">
        <f>VLOOKUP(E4462,DSSpieler!A:B,2,FALSE)</f>
        <v>Wastl 44</v>
      </c>
    </row>
    <row r="4463" spans="1:10" x14ac:dyDescent="0.25">
      <c r="A4463">
        <v>5053</v>
      </c>
      <c r="B4463" t="e">
        <f>-1-+Thorin+Bois</f>
        <v>#NAME?</v>
      </c>
      <c r="C4463">
        <v>425</v>
      </c>
      <c r="D4463">
        <v>420</v>
      </c>
      <c r="E4463">
        <v>1577188841</v>
      </c>
      <c r="F4463">
        <v>6690</v>
      </c>
      <c r="G4463">
        <v>0</v>
      </c>
      <c r="H4463" t="s">
        <v>9387</v>
      </c>
      <c r="I4463">
        <v>5053</v>
      </c>
      <c r="J4463" t="str">
        <f>VLOOKUP(E4463,DSSpieler!A:B,2,FALSE)</f>
        <v>drodo</v>
      </c>
    </row>
    <row r="4464" spans="1:10" x14ac:dyDescent="0.25">
      <c r="A4464">
        <v>5055</v>
      </c>
      <c r="B4464" t="s">
        <v>32352</v>
      </c>
      <c r="C4464">
        <v>556</v>
      </c>
      <c r="D4464">
        <v>575</v>
      </c>
      <c r="E4464">
        <v>1576064169</v>
      </c>
      <c r="F4464">
        <v>3677</v>
      </c>
      <c r="G4464">
        <v>0</v>
      </c>
      <c r="H4464" t="s">
        <v>9388</v>
      </c>
      <c r="I4464">
        <v>5055</v>
      </c>
      <c r="J4464" t="str">
        <f>VLOOKUP(E4464,DSSpieler!A:B,2,FALSE)</f>
        <v>MySkillNoSkill</v>
      </c>
    </row>
    <row r="4465" spans="1:10" x14ac:dyDescent="0.25">
      <c r="A4465">
        <v>5056</v>
      </c>
      <c r="B4465">
        <v>6</v>
      </c>
      <c r="C4465">
        <v>479</v>
      </c>
      <c r="D4465">
        <v>440</v>
      </c>
      <c r="E4465">
        <v>1577057432</v>
      </c>
      <c r="F4465">
        <v>5093</v>
      </c>
      <c r="G4465">
        <v>0</v>
      </c>
      <c r="H4465" t="s">
        <v>9389</v>
      </c>
      <c r="I4465">
        <v>5056</v>
      </c>
      <c r="J4465" t="str">
        <f>VLOOKUP(E4465,DSSpieler!A:B,2,FALSE)</f>
        <v>Chocogasm</v>
      </c>
    </row>
    <row r="4466" spans="1:10" x14ac:dyDescent="0.25">
      <c r="A4466">
        <v>5057</v>
      </c>
      <c r="B4466" t="s">
        <v>150</v>
      </c>
      <c r="C4466">
        <v>459</v>
      </c>
      <c r="D4466">
        <v>464</v>
      </c>
      <c r="E4466">
        <v>10084420</v>
      </c>
      <c r="F4466">
        <v>6470</v>
      </c>
      <c r="G4466">
        <v>0</v>
      </c>
      <c r="H4466" t="s">
        <v>9390</v>
      </c>
      <c r="I4466">
        <v>5057</v>
      </c>
      <c r="J4466" t="str">
        <f>VLOOKUP(E4466,DSSpieler!A:B,2,FALSE)</f>
        <v>Dörfersammler</v>
      </c>
    </row>
    <row r="4467" spans="1:10" x14ac:dyDescent="0.25">
      <c r="A4467">
        <v>5058</v>
      </c>
      <c r="B4467" t="s">
        <v>531</v>
      </c>
      <c r="C4467">
        <v>561</v>
      </c>
      <c r="D4467">
        <v>548</v>
      </c>
      <c r="E4467">
        <v>0</v>
      </c>
      <c r="F4467">
        <v>385</v>
      </c>
      <c r="G4467">
        <v>0</v>
      </c>
      <c r="H4467" t="s">
        <v>9391</v>
      </c>
      <c r="I4467">
        <v>5058</v>
      </c>
      <c r="J4467" t="e">
        <f>VLOOKUP(E4467,DSSpieler!A:B,2,FALSE)</f>
        <v>#N/A</v>
      </c>
    </row>
    <row r="4468" spans="1:10" x14ac:dyDescent="0.25">
      <c r="A4468">
        <v>5059</v>
      </c>
      <c r="B4468" t="s">
        <v>1356</v>
      </c>
      <c r="C4468">
        <v>467</v>
      </c>
      <c r="D4468">
        <v>396</v>
      </c>
      <c r="E4468">
        <v>1577085607</v>
      </c>
      <c r="F4468">
        <v>4279</v>
      </c>
      <c r="G4468">
        <v>0</v>
      </c>
      <c r="H4468" t="s">
        <v>9392</v>
      </c>
      <c r="I4468">
        <v>5059</v>
      </c>
      <c r="J4468" t="str">
        <f>VLOOKUP(E4468,DSSpieler!A:B,2,FALSE)</f>
        <v>Königin Jinxor</v>
      </c>
    </row>
    <row r="4469" spans="1:10" x14ac:dyDescent="0.25">
      <c r="A4469">
        <v>5060</v>
      </c>
      <c r="B4469" t="s">
        <v>531</v>
      </c>
      <c r="C4469">
        <v>515</v>
      </c>
      <c r="D4469">
        <v>429</v>
      </c>
      <c r="E4469">
        <v>0</v>
      </c>
      <c r="F4469">
        <v>449</v>
      </c>
      <c r="G4469">
        <v>0</v>
      </c>
      <c r="H4469" t="s">
        <v>9393</v>
      </c>
      <c r="I4469">
        <v>5060</v>
      </c>
      <c r="J4469" t="e">
        <f>VLOOKUP(E4469,DSSpieler!A:B,2,FALSE)</f>
        <v>#N/A</v>
      </c>
    </row>
    <row r="4470" spans="1:10" x14ac:dyDescent="0.25">
      <c r="A4470">
        <v>5061</v>
      </c>
      <c r="B4470" t="s">
        <v>32353</v>
      </c>
      <c r="C4470">
        <v>438</v>
      </c>
      <c r="D4470">
        <v>458</v>
      </c>
      <c r="E4470">
        <v>1577197850</v>
      </c>
      <c r="F4470">
        <v>6071</v>
      </c>
      <c r="G4470">
        <v>0</v>
      </c>
      <c r="H4470" t="s">
        <v>9394</v>
      </c>
      <c r="I4470">
        <v>5061</v>
      </c>
      <c r="J4470" t="str">
        <f>VLOOKUP(E4470,DSSpieler!A:B,2,FALSE)</f>
        <v>Benery</v>
      </c>
    </row>
    <row r="4471" spans="1:10" x14ac:dyDescent="0.25">
      <c r="A4471">
        <v>5062</v>
      </c>
      <c r="B4471" t="s">
        <v>31916</v>
      </c>
      <c r="C4471">
        <v>530</v>
      </c>
      <c r="D4471">
        <v>581</v>
      </c>
      <c r="E4471">
        <v>1577163324</v>
      </c>
      <c r="F4471">
        <v>7788</v>
      </c>
      <c r="G4471">
        <v>0</v>
      </c>
      <c r="H4471" t="s">
        <v>9395</v>
      </c>
      <c r="I4471">
        <v>5062</v>
      </c>
      <c r="J4471" t="str">
        <f>VLOOKUP(E4471,DSSpieler!A:B,2,FALSE)</f>
        <v>König Remiee</v>
      </c>
    </row>
    <row r="4472" spans="1:10" x14ac:dyDescent="0.25">
      <c r="A4472">
        <v>5063</v>
      </c>
      <c r="B4472" t="s">
        <v>979</v>
      </c>
      <c r="C4472">
        <v>513</v>
      </c>
      <c r="D4472">
        <v>595</v>
      </c>
      <c r="E4472">
        <v>9589757</v>
      </c>
      <c r="F4472">
        <v>6409</v>
      </c>
      <c r="G4472">
        <v>0</v>
      </c>
      <c r="H4472" t="s">
        <v>9396</v>
      </c>
      <c r="I4472">
        <v>5063</v>
      </c>
      <c r="J4472" t="str">
        <f>VLOOKUP(E4472,DSSpieler!A:B,2,FALSE)</f>
        <v>Bluddeux</v>
      </c>
    </row>
    <row r="4473" spans="1:10" x14ac:dyDescent="0.25">
      <c r="A4473">
        <v>5064</v>
      </c>
      <c r="B4473" t="s">
        <v>531</v>
      </c>
      <c r="C4473">
        <v>500</v>
      </c>
      <c r="D4473">
        <v>445</v>
      </c>
      <c r="E4473">
        <v>0</v>
      </c>
      <c r="F4473">
        <v>237</v>
      </c>
      <c r="G4473">
        <v>0</v>
      </c>
      <c r="H4473" t="s">
        <v>9397</v>
      </c>
      <c r="I4473">
        <v>5064</v>
      </c>
      <c r="J4473" t="e">
        <f>VLOOKUP(E4473,DSSpieler!A:B,2,FALSE)</f>
        <v>#N/A</v>
      </c>
    </row>
    <row r="4474" spans="1:10" x14ac:dyDescent="0.25">
      <c r="A4474">
        <v>5065</v>
      </c>
      <c r="B4474" t="s">
        <v>31817</v>
      </c>
      <c r="C4474">
        <v>422</v>
      </c>
      <c r="D4474">
        <v>511</v>
      </c>
      <c r="E4474">
        <v>8321603</v>
      </c>
      <c r="F4474">
        <v>7288</v>
      </c>
      <c r="G4474">
        <v>0</v>
      </c>
      <c r="H4474" t="s">
        <v>9398</v>
      </c>
      <c r="I4474">
        <v>5065</v>
      </c>
      <c r="J4474">
        <f>VLOOKUP(E4474,DSSpieler!A:B,2,FALSE)</f>
        <v>25262054</v>
      </c>
    </row>
    <row r="4475" spans="1:10" x14ac:dyDescent="0.25">
      <c r="A4475">
        <v>5066</v>
      </c>
      <c r="B4475" t="s">
        <v>32354</v>
      </c>
      <c r="C4475">
        <v>496</v>
      </c>
      <c r="D4475">
        <v>584</v>
      </c>
      <c r="E4475">
        <v>1577026484</v>
      </c>
      <c r="F4475">
        <v>7926</v>
      </c>
      <c r="G4475">
        <v>0</v>
      </c>
      <c r="H4475" t="s">
        <v>9399</v>
      </c>
      <c r="I4475">
        <v>5066</v>
      </c>
      <c r="J4475" t="str">
        <f>VLOOKUP(E4475,DSSpieler!A:B,2,FALSE)</f>
        <v>Deffnoob</v>
      </c>
    </row>
    <row r="4476" spans="1:10" x14ac:dyDescent="0.25">
      <c r="A4476">
        <v>5068</v>
      </c>
      <c r="B4476" t="s">
        <v>32355</v>
      </c>
      <c r="C4476">
        <v>465</v>
      </c>
      <c r="D4476">
        <v>423</v>
      </c>
      <c r="E4476">
        <v>1577190694</v>
      </c>
      <c r="F4476">
        <v>4526</v>
      </c>
      <c r="G4476">
        <v>0</v>
      </c>
      <c r="H4476" t="s">
        <v>9400</v>
      </c>
      <c r="I4476">
        <v>5068</v>
      </c>
      <c r="J4476" t="str">
        <f>VLOOKUP(E4476,DSSpieler!A:B,2,FALSE)</f>
        <v>Lord 3raZor</v>
      </c>
    </row>
    <row r="4477" spans="1:10" x14ac:dyDescent="0.25">
      <c r="A4477">
        <v>5069</v>
      </c>
      <c r="B4477" t="s">
        <v>546</v>
      </c>
      <c r="C4477">
        <v>501</v>
      </c>
      <c r="D4477">
        <v>446</v>
      </c>
      <c r="E4477">
        <v>8489593</v>
      </c>
      <c r="F4477">
        <v>5091</v>
      </c>
      <c r="G4477">
        <v>0</v>
      </c>
      <c r="H4477" t="s">
        <v>9401</v>
      </c>
      <c r="I4477">
        <v>5069</v>
      </c>
      <c r="J4477" t="str">
        <f>VLOOKUP(E4477,DSSpieler!A:B,2,FALSE)</f>
        <v>Nairolf 2000</v>
      </c>
    </row>
    <row r="4478" spans="1:10" x14ac:dyDescent="0.25">
      <c r="A4478">
        <v>5070</v>
      </c>
      <c r="B4478" t="s">
        <v>531</v>
      </c>
      <c r="C4478">
        <v>476</v>
      </c>
      <c r="D4478">
        <v>591</v>
      </c>
      <c r="E4478">
        <v>0</v>
      </c>
      <c r="F4478">
        <v>630</v>
      </c>
      <c r="G4478">
        <v>0</v>
      </c>
      <c r="H4478" t="s">
        <v>9402</v>
      </c>
      <c r="I4478">
        <v>5070</v>
      </c>
      <c r="J4478" t="e">
        <f>VLOOKUP(E4478,DSSpieler!A:B,2,FALSE)</f>
        <v>#N/A</v>
      </c>
    </row>
    <row r="4479" spans="1:10" x14ac:dyDescent="0.25">
      <c r="A4479">
        <v>5072</v>
      </c>
      <c r="B4479" t="s">
        <v>32356</v>
      </c>
      <c r="C4479">
        <v>465</v>
      </c>
      <c r="D4479">
        <v>428</v>
      </c>
      <c r="E4479">
        <v>1577186328</v>
      </c>
      <c r="F4479">
        <v>5721</v>
      </c>
      <c r="G4479">
        <v>0</v>
      </c>
      <c r="H4479" t="s">
        <v>9403</v>
      </c>
      <c r="I4479">
        <v>5072</v>
      </c>
      <c r="J4479" t="str">
        <f>VLOOKUP(E4479,DSSpieler!A:B,2,FALSE)</f>
        <v>Sikilation</v>
      </c>
    </row>
    <row r="4480" spans="1:10" x14ac:dyDescent="0.25">
      <c r="A4480">
        <v>5073</v>
      </c>
      <c r="B4480" t="s">
        <v>32357</v>
      </c>
      <c r="C4480">
        <v>460</v>
      </c>
      <c r="D4480">
        <v>426</v>
      </c>
      <c r="E4480">
        <v>1576840655</v>
      </c>
      <c r="F4480">
        <v>5463</v>
      </c>
      <c r="G4480">
        <v>0</v>
      </c>
      <c r="H4480" t="s">
        <v>9404</v>
      </c>
      <c r="I4480">
        <v>5073</v>
      </c>
      <c r="J4480" t="str">
        <f>VLOOKUP(E4480,DSSpieler!A:B,2,FALSE)</f>
        <v>Kaputus</v>
      </c>
    </row>
    <row r="4481" spans="1:10" x14ac:dyDescent="0.25">
      <c r="A4481">
        <v>5075</v>
      </c>
      <c r="B4481" t="s">
        <v>531</v>
      </c>
      <c r="C4481">
        <v>517</v>
      </c>
      <c r="D4481">
        <v>486</v>
      </c>
      <c r="E4481">
        <v>0</v>
      </c>
      <c r="F4481">
        <v>294</v>
      </c>
      <c r="G4481">
        <v>0</v>
      </c>
      <c r="H4481" t="s">
        <v>9405</v>
      </c>
      <c r="I4481">
        <v>5075</v>
      </c>
      <c r="J4481" t="e">
        <f>VLOOKUP(E4481,DSSpieler!A:B,2,FALSE)</f>
        <v>#N/A</v>
      </c>
    </row>
    <row r="4482" spans="1:10" x14ac:dyDescent="0.25">
      <c r="A4482">
        <v>5076</v>
      </c>
      <c r="B4482" t="s">
        <v>1357</v>
      </c>
      <c r="C4482">
        <v>568</v>
      </c>
      <c r="D4482">
        <v>563</v>
      </c>
      <c r="E4482">
        <v>2874877</v>
      </c>
      <c r="F4482">
        <v>4561</v>
      </c>
      <c r="G4482">
        <v>0</v>
      </c>
      <c r="H4482" t="s">
        <v>9406</v>
      </c>
      <c r="I4482">
        <v>5076</v>
      </c>
      <c r="J4482" t="str">
        <f>VLOOKUP(E4482,DSSpieler!A:B,2,FALSE)</f>
        <v>ICHKILLDICH1</v>
      </c>
    </row>
    <row r="4483" spans="1:10" x14ac:dyDescent="0.25">
      <c r="A4483">
        <v>5077</v>
      </c>
      <c r="B4483" t="s">
        <v>531</v>
      </c>
      <c r="C4483">
        <v>577</v>
      </c>
      <c r="D4483">
        <v>494</v>
      </c>
      <c r="E4483">
        <v>0</v>
      </c>
      <c r="F4483">
        <v>326</v>
      </c>
      <c r="G4483">
        <v>0</v>
      </c>
      <c r="H4483" t="s">
        <v>9407</v>
      </c>
      <c r="I4483">
        <v>5077</v>
      </c>
      <c r="J4483" t="e">
        <f>VLOOKUP(E4483,DSSpieler!A:B,2,FALSE)</f>
        <v>#N/A</v>
      </c>
    </row>
    <row r="4484" spans="1:10" x14ac:dyDescent="0.25">
      <c r="A4484">
        <v>5078</v>
      </c>
      <c r="B4484" t="s">
        <v>32358</v>
      </c>
      <c r="C4484">
        <v>569</v>
      </c>
      <c r="D4484">
        <v>443</v>
      </c>
      <c r="E4484">
        <v>1577192471</v>
      </c>
      <c r="F4484">
        <v>5649</v>
      </c>
      <c r="G4484">
        <v>0</v>
      </c>
      <c r="H4484" t="s">
        <v>9408</v>
      </c>
      <c r="I4484">
        <v>5078</v>
      </c>
      <c r="J4484" t="str">
        <f>VLOOKUP(E4484,DSSpieler!A:B,2,FALSE)</f>
        <v>Killerbrot</v>
      </c>
    </row>
    <row r="4485" spans="1:10" x14ac:dyDescent="0.25">
      <c r="A4485">
        <v>5079</v>
      </c>
      <c r="B4485" t="e">
        <f>-1-+Investitionabteilung</f>
        <v>#NAME?</v>
      </c>
      <c r="C4485">
        <v>540</v>
      </c>
      <c r="D4485">
        <v>556</v>
      </c>
      <c r="E4485">
        <v>1577197889</v>
      </c>
      <c r="F4485">
        <v>5763</v>
      </c>
      <c r="G4485">
        <v>0</v>
      </c>
      <c r="H4485" t="s">
        <v>9409</v>
      </c>
      <c r="I4485">
        <v>5079</v>
      </c>
      <c r="J4485" t="str">
        <f>VLOOKUP(E4485,DSSpieler!A:B,2,FALSE)</f>
        <v>Cedii92</v>
      </c>
    </row>
    <row r="4486" spans="1:10" x14ac:dyDescent="0.25">
      <c r="A4486">
        <v>5080</v>
      </c>
      <c r="B4486" t="s">
        <v>1358</v>
      </c>
      <c r="C4486">
        <v>543</v>
      </c>
      <c r="D4486">
        <v>477</v>
      </c>
      <c r="E4486">
        <v>8334558</v>
      </c>
      <c r="F4486">
        <v>5314</v>
      </c>
      <c r="G4486">
        <v>0</v>
      </c>
      <c r="H4486" t="s">
        <v>9410</v>
      </c>
      <c r="I4486">
        <v>5080</v>
      </c>
      <c r="J4486" t="str">
        <f>VLOOKUP(E4486,DSSpieler!A:B,2,FALSE)</f>
        <v>xHannes</v>
      </c>
    </row>
    <row r="4487" spans="1:10" x14ac:dyDescent="0.25">
      <c r="A4487">
        <v>5081</v>
      </c>
      <c r="B4487" t="s">
        <v>32359</v>
      </c>
      <c r="C4487">
        <v>551</v>
      </c>
      <c r="D4487">
        <v>524</v>
      </c>
      <c r="E4487">
        <v>9956098</v>
      </c>
      <c r="F4487">
        <v>3401</v>
      </c>
      <c r="G4487">
        <v>0</v>
      </c>
      <c r="H4487" t="s">
        <v>9411</v>
      </c>
      <c r="I4487">
        <v>5081</v>
      </c>
      <c r="J4487" t="str">
        <f>VLOOKUP(E4487,DSSpieler!A:B,2,FALSE)</f>
        <v>Hasselberry-Fin</v>
      </c>
    </row>
    <row r="4488" spans="1:10" x14ac:dyDescent="0.25">
      <c r="A4488">
        <v>5082</v>
      </c>
      <c r="B4488" t="s">
        <v>1359</v>
      </c>
      <c r="C4488">
        <v>420</v>
      </c>
      <c r="D4488">
        <v>569</v>
      </c>
      <c r="E4488">
        <v>1577189505</v>
      </c>
      <c r="F4488">
        <v>5995</v>
      </c>
      <c r="G4488">
        <v>0</v>
      </c>
      <c r="H4488" t="s">
        <v>9412</v>
      </c>
      <c r="I4488">
        <v>5082</v>
      </c>
      <c r="J4488" t="str">
        <f>VLOOKUP(E4488,DSSpieler!A:B,2,FALSE)</f>
        <v>optiPre</v>
      </c>
    </row>
    <row r="4489" spans="1:10" x14ac:dyDescent="0.25">
      <c r="A4489">
        <v>5083</v>
      </c>
      <c r="B4489" t="s">
        <v>30722</v>
      </c>
      <c r="C4489">
        <v>517</v>
      </c>
      <c r="D4489">
        <v>406</v>
      </c>
      <c r="E4489">
        <v>373867</v>
      </c>
      <c r="F4489">
        <v>6169</v>
      </c>
      <c r="G4489">
        <v>0</v>
      </c>
      <c r="H4489" t="s">
        <v>9413</v>
      </c>
      <c r="I4489">
        <v>5083</v>
      </c>
      <c r="J4489" t="str">
        <f>VLOOKUP(E4489,DSSpieler!A:B,2,FALSE)</f>
        <v>Broiler22</v>
      </c>
    </row>
    <row r="4490" spans="1:10" x14ac:dyDescent="0.25">
      <c r="A4490">
        <v>5084</v>
      </c>
      <c r="B4490" t="s">
        <v>32360</v>
      </c>
      <c r="C4490">
        <v>572</v>
      </c>
      <c r="D4490">
        <v>471</v>
      </c>
      <c r="E4490">
        <v>1577191257</v>
      </c>
      <c r="F4490">
        <v>5305</v>
      </c>
      <c r="G4490">
        <v>0</v>
      </c>
      <c r="H4490" t="s">
        <v>9414</v>
      </c>
      <c r="I4490">
        <v>5084</v>
      </c>
      <c r="J4490" t="str">
        <f>VLOOKUP(E4490,DSSpieler!A:B,2,FALSE)</f>
        <v>Ostsee-Dude</v>
      </c>
    </row>
    <row r="4491" spans="1:10" x14ac:dyDescent="0.25">
      <c r="A4491">
        <v>5085</v>
      </c>
      <c r="B4491">
        <v>1</v>
      </c>
      <c r="C4491">
        <v>584</v>
      </c>
      <c r="D4491">
        <v>437</v>
      </c>
      <c r="E4491">
        <v>319909</v>
      </c>
      <c r="F4491">
        <v>3176</v>
      </c>
      <c r="G4491">
        <v>0</v>
      </c>
      <c r="H4491" t="s">
        <v>9415</v>
      </c>
      <c r="I4491">
        <v>5085</v>
      </c>
      <c r="J4491" t="str">
        <f>VLOOKUP(E4491,DSSpieler!A:B,2,FALSE)</f>
        <v>Der Held schlecht hin</v>
      </c>
    </row>
    <row r="4492" spans="1:10" x14ac:dyDescent="0.25">
      <c r="A4492">
        <v>5086</v>
      </c>
      <c r="B4492">
        <v>6</v>
      </c>
      <c r="C4492">
        <v>453</v>
      </c>
      <c r="D4492">
        <v>557</v>
      </c>
      <c r="E4492">
        <v>1576722945</v>
      </c>
      <c r="F4492">
        <v>1770</v>
      </c>
      <c r="G4492">
        <v>0</v>
      </c>
      <c r="H4492" t="s">
        <v>9416</v>
      </c>
      <c r="I4492">
        <v>5086</v>
      </c>
      <c r="J4492" t="str">
        <f>VLOOKUP(E4492,DSSpieler!A:B,2,FALSE)</f>
        <v>SerpentCrown1</v>
      </c>
    </row>
    <row r="4493" spans="1:10" x14ac:dyDescent="0.25">
      <c r="A4493">
        <v>5089</v>
      </c>
      <c r="B4493" t="s">
        <v>681</v>
      </c>
      <c r="C4493">
        <v>599</v>
      </c>
      <c r="D4493">
        <v>522</v>
      </c>
      <c r="E4493">
        <v>1577099646</v>
      </c>
      <c r="F4493">
        <v>5541</v>
      </c>
      <c r="G4493">
        <v>0</v>
      </c>
      <c r="H4493" t="s">
        <v>9417</v>
      </c>
      <c r="I4493">
        <v>5089</v>
      </c>
      <c r="J4493" t="str">
        <f>VLOOKUP(E4493,DSSpieler!A:B,2,FALSE)</f>
        <v>Lady Shado</v>
      </c>
    </row>
    <row r="4494" spans="1:10" x14ac:dyDescent="0.25">
      <c r="A4494">
        <v>5090</v>
      </c>
      <c r="B4494" t="s">
        <v>531</v>
      </c>
      <c r="C4494">
        <v>492</v>
      </c>
      <c r="D4494">
        <v>558</v>
      </c>
      <c r="E4494">
        <v>0</v>
      </c>
      <c r="F4494">
        <v>346</v>
      </c>
      <c r="G4494">
        <v>0</v>
      </c>
      <c r="H4494" t="s">
        <v>9418</v>
      </c>
      <c r="I4494">
        <v>5090</v>
      </c>
      <c r="J4494" t="e">
        <f>VLOOKUP(E4494,DSSpieler!A:B,2,FALSE)</f>
        <v>#N/A</v>
      </c>
    </row>
    <row r="4495" spans="1:10" x14ac:dyDescent="0.25">
      <c r="A4495">
        <v>5091</v>
      </c>
      <c r="B4495" t="s">
        <v>30506</v>
      </c>
      <c r="C4495">
        <v>601</v>
      </c>
      <c r="D4495">
        <v>479</v>
      </c>
      <c r="E4495">
        <v>1577178468</v>
      </c>
      <c r="F4495">
        <v>5329</v>
      </c>
      <c r="G4495">
        <v>0</v>
      </c>
      <c r="H4495" t="s">
        <v>9419</v>
      </c>
      <c r="I4495">
        <v>5091</v>
      </c>
      <c r="J4495" t="str">
        <f>VLOOKUP(E4495,DSSpieler!A:B,2,FALSE)</f>
        <v>Popolius Maier</v>
      </c>
    </row>
    <row r="4496" spans="1:10" x14ac:dyDescent="0.25">
      <c r="A4496">
        <v>5092</v>
      </c>
      <c r="B4496" t="s">
        <v>1360</v>
      </c>
      <c r="C4496">
        <v>427</v>
      </c>
      <c r="D4496">
        <v>477</v>
      </c>
      <c r="E4496">
        <v>9934669</v>
      </c>
      <c r="F4496">
        <v>7486</v>
      </c>
      <c r="G4496">
        <v>0</v>
      </c>
      <c r="H4496" t="s">
        <v>9420</v>
      </c>
      <c r="I4496">
        <v>5092</v>
      </c>
      <c r="J4496" t="str">
        <f>VLOOKUP(E4496,DSSpieler!A:B,2,FALSE)</f>
        <v>lucky-punch</v>
      </c>
    </row>
    <row r="4497" spans="1:10" x14ac:dyDescent="0.25">
      <c r="A4497">
        <v>5093</v>
      </c>
      <c r="B4497" t="s">
        <v>32361</v>
      </c>
      <c r="C4497">
        <v>466</v>
      </c>
      <c r="D4497">
        <v>504</v>
      </c>
      <c r="E4497">
        <v>1576123873</v>
      </c>
      <c r="F4497">
        <v>2227</v>
      </c>
      <c r="G4497">
        <v>0</v>
      </c>
      <c r="H4497" t="s">
        <v>9421</v>
      </c>
      <c r="I4497">
        <v>5093</v>
      </c>
      <c r="J4497" t="str">
        <f>VLOOKUP(E4497,DSSpieler!A:B,2,FALSE)</f>
        <v>Lord Multan</v>
      </c>
    </row>
    <row r="4498" spans="1:10" x14ac:dyDescent="0.25">
      <c r="A4498">
        <v>5094</v>
      </c>
      <c r="B4498" t="s">
        <v>32307</v>
      </c>
      <c r="C4498">
        <v>564</v>
      </c>
      <c r="D4498">
        <v>458</v>
      </c>
      <c r="E4498">
        <v>9596701</v>
      </c>
      <c r="F4498">
        <v>3966</v>
      </c>
      <c r="G4498">
        <v>0</v>
      </c>
      <c r="H4498" t="s">
        <v>9422</v>
      </c>
      <c r="I4498">
        <v>5094</v>
      </c>
      <c r="J4498" t="str">
        <f>VLOOKUP(E4498,DSSpieler!A:B,2,FALSE)</f>
        <v>K3ZU</v>
      </c>
    </row>
    <row r="4499" spans="1:10" x14ac:dyDescent="0.25">
      <c r="A4499">
        <v>5095</v>
      </c>
      <c r="B4499" t="s">
        <v>531</v>
      </c>
      <c r="C4499">
        <v>514</v>
      </c>
      <c r="D4499">
        <v>571</v>
      </c>
      <c r="E4499">
        <v>0</v>
      </c>
      <c r="F4499">
        <v>224</v>
      </c>
      <c r="G4499">
        <v>0</v>
      </c>
      <c r="H4499" t="s">
        <v>9423</v>
      </c>
      <c r="I4499">
        <v>5095</v>
      </c>
      <c r="J4499" t="e">
        <f>VLOOKUP(E4499,DSSpieler!A:B,2,FALSE)</f>
        <v>#N/A</v>
      </c>
    </row>
    <row r="4500" spans="1:10" x14ac:dyDescent="0.25">
      <c r="A4500">
        <v>5096</v>
      </c>
      <c r="B4500" t="s">
        <v>32362</v>
      </c>
      <c r="C4500">
        <v>537</v>
      </c>
      <c r="D4500">
        <v>584</v>
      </c>
      <c r="E4500">
        <v>1576975883</v>
      </c>
      <c r="F4500">
        <v>3890</v>
      </c>
      <c r="G4500">
        <v>0</v>
      </c>
      <c r="H4500" t="s">
        <v>9424</v>
      </c>
      <c r="I4500">
        <v>5096</v>
      </c>
      <c r="J4500" t="str">
        <f>VLOOKUP(E4500,DSSpieler!A:B,2,FALSE)</f>
        <v>Burggeist123</v>
      </c>
    </row>
    <row r="4501" spans="1:10" x14ac:dyDescent="0.25">
      <c r="A4501">
        <v>5097</v>
      </c>
      <c r="B4501" t="s">
        <v>1361</v>
      </c>
      <c r="C4501">
        <v>532</v>
      </c>
      <c r="D4501">
        <v>558</v>
      </c>
      <c r="E4501">
        <v>1577191393</v>
      </c>
      <c r="F4501">
        <v>6459</v>
      </c>
      <c r="G4501">
        <v>0</v>
      </c>
      <c r="H4501" t="s">
        <v>9425</v>
      </c>
      <c r="I4501">
        <v>5097</v>
      </c>
      <c r="J4501" t="str">
        <f>VLOOKUP(E4501,DSSpieler!A:B,2,FALSE)</f>
        <v>Mann mit Axt</v>
      </c>
    </row>
    <row r="4502" spans="1:10" x14ac:dyDescent="0.25">
      <c r="A4502">
        <v>5098</v>
      </c>
      <c r="B4502" t="s">
        <v>531</v>
      </c>
      <c r="C4502">
        <v>581</v>
      </c>
      <c r="D4502">
        <v>490</v>
      </c>
      <c r="E4502">
        <v>0</v>
      </c>
      <c r="F4502">
        <v>475</v>
      </c>
      <c r="G4502">
        <v>0</v>
      </c>
      <c r="H4502" t="s">
        <v>9426</v>
      </c>
      <c r="I4502">
        <v>5098</v>
      </c>
      <c r="J4502" t="e">
        <f>VLOOKUP(E4502,DSSpieler!A:B,2,FALSE)</f>
        <v>#N/A</v>
      </c>
    </row>
    <row r="4503" spans="1:10" x14ac:dyDescent="0.25">
      <c r="A4503">
        <v>5099</v>
      </c>
      <c r="B4503" t="s">
        <v>32363</v>
      </c>
      <c r="C4503">
        <v>572</v>
      </c>
      <c r="D4503">
        <v>456</v>
      </c>
      <c r="E4503">
        <v>1576465907</v>
      </c>
      <c r="F4503">
        <v>3983</v>
      </c>
      <c r="G4503">
        <v>0</v>
      </c>
      <c r="H4503" t="s">
        <v>9427</v>
      </c>
      <c r="I4503">
        <v>5099</v>
      </c>
      <c r="J4503" t="str">
        <f>VLOOKUP(E4503,DSSpieler!A:B,2,FALSE)</f>
        <v>momo1417</v>
      </c>
    </row>
    <row r="4504" spans="1:10" x14ac:dyDescent="0.25">
      <c r="A4504">
        <v>5100</v>
      </c>
      <c r="B4504" t="s">
        <v>32364</v>
      </c>
      <c r="C4504">
        <v>473</v>
      </c>
      <c r="D4504">
        <v>575</v>
      </c>
      <c r="E4504">
        <v>1575903481</v>
      </c>
      <c r="F4504">
        <v>7614</v>
      </c>
      <c r="G4504">
        <v>0</v>
      </c>
      <c r="H4504" t="s">
        <v>9428</v>
      </c>
      <c r="I4504">
        <v>5100</v>
      </c>
      <c r="J4504" t="str">
        <f>VLOOKUP(E4504,DSSpieler!A:B,2,FALSE)</f>
        <v>Cyriten</v>
      </c>
    </row>
    <row r="4505" spans="1:10" x14ac:dyDescent="0.25">
      <c r="A4505">
        <v>5101</v>
      </c>
      <c r="B4505" t="s">
        <v>531</v>
      </c>
      <c r="C4505">
        <v>569</v>
      </c>
      <c r="D4505">
        <v>494</v>
      </c>
      <c r="E4505">
        <v>0</v>
      </c>
      <c r="F4505">
        <v>449</v>
      </c>
      <c r="G4505">
        <v>0</v>
      </c>
      <c r="H4505" t="s">
        <v>9429</v>
      </c>
      <c r="I4505">
        <v>5101</v>
      </c>
      <c r="J4505" t="e">
        <f>VLOOKUP(E4505,DSSpieler!A:B,2,FALSE)</f>
        <v>#N/A</v>
      </c>
    </row>
    <row r="4506" spans="1:10" x14ac:dyDescent="0.25">
      <c r="A4506">
        <v>5102</v>
      </c>
      <c r="B4506" t="s">
        <v>774</v>
      </c>
      <c r="C4506">
        <v>412</v>
      </c>
      <c r="D4506">
        <v>559</v>
      </c>
      <c r="E4506">
        <v>1576754381</v>
      </c>
      <c r="F4506">
        <v>3828</v>
      </c>
      <c r="G4506">
        <v>0</v>
      </c>
      <c r="H4506" t="s">
        <v>9430</v>
      </c>
      <c r="I4506">
        <v>5102</v>
      </c>
      <c r="J4506" t="str">
        <f>VLOOKUP(E4506,DSSpieler!A:B,2,FALSE)</f>
        <v>xLamko</v>
      </c>
    </row>
    <row r="4507" spans="1:10" x14ac:dyDescent="0.25">
      <c r="A4507">
        <v>5103</v>
      </c>
      <c r="B4507" t="s">
        <v>32365</v>
      </c>
      <c r="C4507">
        <v>443</v>
      </c>
      <c r="D4507">
        <v>596</v>
      </c>
      <c r="E4507">
        <v>1576882233</v>
      </c>
      <c r="F4507">
        <v>4182</v>
      </c>
      <c r="G4507">
        <v>0</v>
      </c>
      <c r="H4507" t="s">
        <v>9431</v>
      </c>
      <c r="I4507">
        <v>5103</v>
      </c>
      <c r="J4507" t="str">
        <f>VLOOKUP(E4507,DSSpieler!A:B,2,FALSE)</f>
        <v>JasperSt.iNCt</v>
      </c>
    </row>
    <row r="4508" spans="1:10" x14ac:dyDescent="0.25">
      <c r="A4508">
        <v>5104</v>
      </c>
      <c r="B4508" t="s">
        <v>30671</v>
      </c>
      <c r="C4508">
        <v>601</v>
      </c>
      <c r="D4508">
        <v>467</v>
      </c>
      <c r="E4508">
        <v>1577176958</v>
      </c>
      <c r="F4508">
        <v>5890</v>
      </c>
      <c r="G4508">
        <v>0</v>
      </c>
      <c r="H4508" t="s">
        <v>9432</v>
      </c>
      <c r="I4508">
        <v>5104</v>
      </c>
      <c r="J4508" t="str">
        <f>VLOOKUP(E4508,DSSpieler!A:B,2,FALSE)</f>
        <v>MultiCore</v>
      </c>
    </row>
    <row r="4509" spans="1:10" x14ac:dyDescent="0.25">
      <c r="A4509">
        <v>5105</v>
      </c>
      <c r="B4509">
        <v>1</v>
      </c>
      <c r="C4509">
        <v>428</v>
      </c>
      <c r="D4509">
        <v>488</v>
      </c>
      <c r="E4509">
        <v>9880626</v>
      </c>
      <c r="F4509">
        <v>3955</v>
      </c>
      <c r="G4509">
        <v>0</v>
      </c>
      <c r="H4509" t="s">
        <v>9433</v>
      </c>
      <c r="I4509">
        <v>5105</v>
      </c>
      <c r="J4509" t="str">
        <f>VLOOKUP(E4509,DSSpieler!A:B,2,FALSE)</f>
        <v>heinzicr</v>
      </c>
    </row>
    <row r="4510" spans="1:10" x14ac:dyDescent="0.25">
      <c r="A4510">
        <v>5106</v>
      </c>
      <c r="B4510" t="s">
        <v>531</v>
      </c>
      <c r="C4510">
        <v>498</v>
      </c>
      <c r="D4510">
        <v>457</v>
      </c>
      <c r="E4510">
        <v>0</v>
      </c>
      <c r="F4510">
        <v>278</v>
      </c>
      <c r="G4510">
        <v>0</v>
      </c>
      <c r="H4510" t="s">
        <v>9434</v>
      </c>
      <c r="I4510">
        <v>5106</v>
      </c>
      <c r="J4510" t="e">
        <f>VLOOKUP(E4510,DSSpieler!A:B,2,FALSE)</f>
        <v>#N/A</v>
      </c>
    </row>
    <row r="4511" spans="1:10" x14ac:dyDescent="0.25">
      <c r="A4511">
        <v>5107</v>
      </c>
      <c r="B4511" t="s">
        <v>780</v>
      </c>
      <c r="C4511">
        <v>603</v>
      </c>
      <c r="D4511">
        <v>515</v>
      </c>
      <c r="E4511">
        <v>1577195219</v>
      </c>
      <c r="F4511">
        <v>6145</v>
      </c>
      <c r="G4511">
        <v>0</v>
      </c>
      <c r="H4511" t="s">
        <v>9435</v>
      </c>
      <c r="I4511">
        <v>5107</v>
      </c>
      <c r="J4511" t="str">
        <f>VLOOKUP(E4511,DSSpieler!A:B,2,FALSE)</f>
        <v>Eric Cartman</v>
      </c>
    </row>
    <row r="4512" spans="1:10" x14ac:dyDescent="0.25">
      <c r="A4512">
        <v>5108</v>
      </c>
      <c r="B4512" t="s">
        <v>32366</v>
      </c>
      <c r="C4512">
        <v>455</v>
      </c>
      <c r="D4512">
        <v>454</v>
      </c>
      <c r="E4512">
        <v>1576913881</v>
      </c>
      <c r="F4512">
        <v>6590</v>
      </c>
      <c r="G4512">
        <v>0</v>
      </c>
      <c r="H4512" t="s">
        <v>9436</v>
      </c>
      <c r="I4512">
        <v>5108</v>
      </c>
      <c r="J4512" t="str">
        <f>VLOOKUP(E4512,DSSpieler!A:B,2,FALSE)</f>
        <v>Barca4ever</v>
      </c>
    </row>
    <row r="4513" spans="1:10" x14ac:dyDescent="0.25">
      <c r="A4513">
        <v>5109</v>
      </c>
      <c r="B4513" t="s">
        <v>546</v>
      </c>
      <c r="C4513">
        <v>506</v>
      </c>
      <c r="D4513">
        <v>432</v>
      </c>
      <c r="E4513">
        <v>1577197890</v>
      </c>
      <c r="F4513">
        <v>5502</v>
      </c>
      <c r="G4513">
        <v>0</v>
      </c>
      <c r="H4513" t="s">
        <v>9437</v>
      </c>
      <c r="I4513">
        <v>5109</v>
      </c>
      <c r="J4513" t="str">
        <f>VLOOKUP(E4513,DSSpieler!A:B,2,FALSE)</f>
        <v>Flexeer</v>
      </c>
    </row>
    <row r="4514" spans="1:10" x14ac:dyDescent="0.25">
      <c r="A4514">
        <v>5110</v>
      </c>
      <c r="B4514">
        <v>8</v>
      </c>
      <c r="C4514">
        <v>554</v>
      </c>
      <c r="D4514">
        <v>441</v>
      </c>
      <c r="E4514">
        <v>1577197919</v>
      </c>
      <c r="F4514">
        <v>4148</v>
      </c>
      <c r="G4514">
        <v>0</v>
      </c>
      <c r="H4514" t="s">
        <v>9438</v>
      </c>
      <c r="I4514">
        <v>5110</v>
      </c>
      <c r="J4514" t="str">
        <f>VLOOKUP(E4514,DSSpieler!A:B,2,FALSE)</f>
        <v>3RorR1</v>
      </c>
    </row>
    <row r="4515" spans="1:10" x14ac:dyDescent="0.25">
      <c r="A4515">
        <v>5111</v>
      </c>
      <c r="B4515" t="s">
        <v>32367</v>
      </c>
      <c r="C4515">
        <v>591</v>
      </c>
      <c r="D4515">
        <v>447</v>
      </c>
      <c r="E4515">
        <v>1577182339</v>
      </c>
      <c r="F4515">
        <v>6538</v>
      </c>
      <c r="G4515">
        <v>0</v>
      </c>
      <c r="H4515" t="s">
        <v>9439</v>
      </c>
      <c r="I4515">
        <v>5111</v>
      </c>
      <c r="J4515" t="str">
        <f>VLOOKUP(E4515,DSSpieler!A:B,2,FALSE)</f>
        <v>OG BananaJoe</v>
      </c>
    </row>
    <row r="4516" spans="1:10" x14ac:dyDescent="0.25">
      <c r="A4516">
        <v>5112</v>
      </c>
      <c r="B4516" t="s">
        <v>32368</v>
      </c>
      <c r="C4516">
        <v>560</v>
      </c>
      <c r="D4516">
        <v>456</v>
      </c>
      <c r="E4516">
        <v>8534857</v>
      </c>
      <c r="F4516">
        <v>7269</v>
      </c>
      <c r="G4516">
        <v>0</v>
      </c>
      <c r="H4516" t="s">
        <v>9440</v>
      </c>
      <c r="I4516">
        <v>5112</v>
      </c>
      <c r="J4516" t="str">
        <f>VLOOKUP(E4516,DSSpieler!A:B,2,FALSE)</f>
        <v>commandt speed</v>
      </c>
    </row>
    <row r="4517" spans="1:10" x14ac:dyDescent="0.25">
      <c r="A4517">
        <v>5113</v>
      </c>
      <c r="B4517" t="s">
        <v>531</v>
      </c>
      <c r="C4517">
        <v>450</v>
      </c>
      <c r="D4517">
        <v>452</v>
      </c>
      <c r="E4517">
        <v>0</v>
      </c>
      <c r="F4517">
        <v>274</v>
      </c>
      <c r="G4517">
        <v>0</v>
      </c>
      <c r="H4517" t="s">
        <v>9441</v>
      </c>
      <c r="I4517">
        <v>5113</v>
      </c>
      <c r="J4517" t="e">
        <f>VLOOKUP(E4517,DSSpieler!A:B,2,FALSE)</f>
        <v>#N/A</v>
      </c>
    </row>
    <row r="4518" spans="1:10" x14ac:dyDescent="0.25">
      <c r="A4518">
        <v>5114</v>
      </c>
      <c r="B4518" t="s">
        <v>1362</v>
      </c>
      <c r="C4518">
        <v>522</v>
      </c>
      <c r="D4518">
        <v>518</v>
      </c>
      <c r="E4518">
        <v>1577196134</v>
      </c>
      <c r="F4518">
        <v>6095</v>
      </c>
      <c r="G4518">
        <v>0</v>
      </c>
      <c r="H4518" t="s">
        <v>9442</v>
      </c>
      <c r="I4518">
        <v>5114</v>
      </c>
      <c r="J4518" t="str">
        <f>VLOOKUP(E4518,DSSpieler!A:B,2,FALSE)</f>
        <v>Grössenwahnsinnig</v>
      </c>
    </row>
    <row r="4519" spans="1:10" x14ac:dyDescent="0.25">
      <c r="A4519">
        <v>5115</v>
      </c>
      <c r="B4519" t="s">
        <v>32369</v>
      </c>
      <c r="C4519">
        <v>437</v>
      </c>
      <c r="D4519">
        <v>414</v>
      </c>
      <c r="E4519">
        <v>1577190002</v>
      </c>
      <c r="F4519">
        <v>6568</v>
      </c>
      <c r="G4519">
        <v>0</v>
      </c>
      <c r="H4519" t="s">
        <v>9443</v>
      </c>
      <c r="I4519">
        <v>5115</v>
      </c>
      <c r="J4519" t="str">
        <f>VLOOKUP(E4519,DSSpieler!A:B,2,FALSE)</f>
        <v>FürstVelten</v>
      </c>
    </row>
    <row r="4520" spans="1:10" x14ac:dyDescent="0.25">
      <c r="A4520">
        <v>5116</v>
      </c>
      <c r="B4520" t="s">
        <v>32370</v>
      </c>
      <c r="C4520">
        <v>467</v>
      </c>
      <c r="D4520">
        <v>565</v>
      </c>
      <c r="E4520">
        <v>557668</v>
      </c>
      <c r="F4520">
        <v>5084</v>
      </c>
      <c r="G4520">
        <v>0</v>
      </c>
      <c r="H4520" t="s">
        <v>9444</v>
      </c>
      <c r="I4520">
        <v>5116</v>
      </c>
      <c r="J4520" t="str">
        <f>VLOOKUP(E4520,DSSpieler!A:B,2,FALSE)</f>
        <v>Accce</v>
      </c>
    </row>
    <row r="4521" spans="1:10" x14ac:dyDescent="0.25">
      <c r="A4521">
        <v>5117</v>
      </c>
      <c r="B4521" t="s">
        <v>1057</v>
      </c>
      <c r="C4521">
        <v>472</v>
      </c>
      <c r="D4521">
        <v>426</v>
      </c>
      <c r="E4521">
        <v>8897367</v>
      </c>
      <c r="F4521">
        <v>4399</v>
      </c>
      <c r="G4521">
        <v>0</v>
      </c>
      <c r="H4521" t="s">
        <v>9445</v>
      </c>
      <c r="I4521">
        <v>5117</v>
      </c>
      <c r="J4521" t="str">
        <f>VLOOKUP(E4521,DSSpieler!A:B,2,FALSE)</f>
        <v>Zwoogel1</v>
      </c>
    </row>
    <row r="4522" spans="1:10" x14ac:dyDescent="0.25">
      <c r="A4522">
        <v>5119</v>
      </c>
      <c r="B4522" t="s">
        <v>713</v>
      </c>
      <c r="C4522">
        <v>585</v>
      </c>
      <c r="D4522">
        <v>457</v>
      </c>
      <c r="E4522">
        <v>1577197749</v>
      </c>
      <c r="F4522">
        <v>6119</v>
      </c>
      <c r="G4522">
        <v>0</v>
      </c>
      <c r="H4522" t="s">
        <v>9446</v>
      </c>
      <c r="I4522">
        <v>5119</v>
      </c>
      <c r="J4522" t="str">
        <f>VLOOKUP(E4522,DSSpieler!A:B,2,FALSE)</f>
        <v>Yondu</v>
      </c>
    </row>
    <row r="4523" spans="1:10" x14ac:dyDescent="0.25">
      <c r="A4523">
        <v>5120</v>
      </c>
      <c r="B4523" t="s">
        <v>1363</v>
      </c>
      <c r="C4523">
        <v>433</v>
      </c>
      <c r="D4523">
        <v>539</v>
      </c>
      <c r="E4523">
        <v>1577129612</v>
      </c>
      <c r="F4523">
        <v>3448</v>
      </c>
      <c r="G4523">
        <v>0</v>
      </c>
      <c r="H4523" t="s">
        <v>9447</v>
      </c>
      <c r="I4523">
        <v>5120</v>
      </c>
      <c r="J4523" t="str">
        <f>VLOOKUP(E4523,DSSpieler!A:B,2,FALSE)</f>
        <v>Mqce</v>
      </c>
    </row>
    <row r="4524" spans="1:10" x14ac:dyDescent="0.25">
      <c r="A4524">
        <v>5121</v>
      </c>
      <c r="B4524" t="s">
        <v>531</v>
      </c>
      <c r="C4524">
        <v>485</v>
      </c>
      <c r="D4524">
        <v>513</v>
      </c>
      <c r="E4524">
        <v>0</v>
      </c>
      <c r="F4524">
        <v>524</v>
      </c>
      <c r="G4524">
        <v>0</v>
      </c>
      <c r="H4524" t="s">
        <v>9448</v>
      </c>
      <c r="I4524">
        <v>5121</v>
      </c>
      <c r="J4524" t="e">
        <f>VLOOKUP(E4524,DSSpieler!A:B,2,FALSE)</f>
        <v>#N/A</v>
      </c>
    </row>
    <row r="4525" spans="1:10" x14ac:dyDescent="0.25">
      <c r="A4525">
        <v>5122</v>
      </c>
      <c r="B4525" t="s">
        <v>531</v>
      </c>
      <c r="C4525">
        <v>502</v>
      </c>
      <c r="D4525">
        <v>396</v>
      </c>
      <c r="E4525">
        <v>0</v>
      </c>
      <c r="F4525">
        <v>946</v>
      </c>
      <c r="G4525">
        <v>0</v>
      </c>
      <c r="H4525" t="s">
        <v>9449</v>
      </c>
      <c r="I4525">
        <v>5122</v>
      </c>
      <c r="J4525" t="e">
        <f>VLOOKUP(E4525,DSSpieler!A:B,2,FALSE)</f>
        <v>#N/A</v>
      </c>
    </row>
    <row r="4526" spans="1:10" x14ac:dyDescent="0.25">
      <c r="A4526">
        <v>5123</v>
      </c>
      <c r="B4526" t="s">
        <v>32371</v>
      </c>
      <c r="C4526">
        <v>397</v>
      </c>
      <c r="D4526">
        <v>460</v>
      </c>
      <c r="E4526">
        <v>1577197893</v>
      </c>
      <c r="F4526">
        <v>3659</v>
      </c>
      <c r="G4526">
        <v>0</v>
      </c>
      <c r="H4526" t="s">
        <v>448</v>
      </c>
      <c r="I4526">
        <v>5123</v>
      </c>
      <c r="J4526" t="str">
        <f>VLOOKUP(E4526,DSSpieler!A:B,2,FALSE)</f>
        <v>Greidl</v>
      </c>
    </row>
    <row r="4527" spans="1:10" x14ac:dyDescent="0.25">
      <c r="A4527">
        <v>5124</v>
      </c>
      <c r="B4527" t="s">
        <v>1321</v>
      </c>
      <c r="C4527">
        <v>428</v>
      </c>
      <c r="D4527">
        <v>533</v>
      </c>
      <c r="E4527">
        <v>1577186435</v>
      </c>
      <c r="F4527">
        <v>4040</v>
      </c>
      <c r="G4527">
        <v>0</v>
      </c>
      <c r="H4527" t="s">
        <v>9450</v>
      </c>
      <c r="I4527">
        <v>5124</v>
      </c>
      <c r="J4527" t="str">
        <f>VLOOKUP(E4527,DSSpieler!A:B,2,FALSE)</f>
        <v>Gatzlord</v>
      </c>
    </row>
    <row r="4528" spans="1:10" x14ac:dyDescent="0.25">
      <c r="A4528">
        <v>5125</v>
      </c>
      <c r="B4528" t="s">
        <v>531</v>
      </c>
      <c r="C4528">
        <v>498</v>
      </c>
      <c r="D4528">
        <v>563</v>
      </c>
      <c r="E4528">
        <v>0</v>
      </c>
      <c r="F4528">
        <v>358</v>
      </c>
      <c r="G4528">
        <v>0</v>
      </c>
      <c r="H4528" t="s">
        <v>9451</v>
      </c>
      <c r="I4528">
        <v>5125</v>
      </c>
      <c r="J4528" t="e">
        <f>VLOOKUP(E4528,DSSpieler!A:B,2,FALSE)</f>
        <v>#N/A</v>
      </c>
    </row>
    <row r="4529" spans="1:10" x14ac:dyDescent="0.25">
      <c r="A4529">
        <v>5126</v>
      </c>
      <c r="B4529" t="s">
        <v>32372</v>
      </c>
      <c r="C4529">
        <v>408</v>
      </c>
      <c r="D4529">
        <v>502</v>
      </c>
      <c r="E4529">
        <v>1577173243</v>
      </c>
      <c r="F4529">
        <v>5672</v>
      </c>
      <c r="G4529">
        <v>0</v>
      </c>
      <c r="H4529" t="s">
        <v>9452</v>
      </c>
      <c r="I4529">
        <v>5126</v>
      </c>
      <c r="J4529" t="str">
        <f>VLOOKUP(E4529,DSSpieler!A:B,2,FALSE)</f>
        <v>rathhunter</v>
      </c>
    </row>
    <row r="4530" spans="1:10" x14ac:dyDescent="0.25">
      <c r="A4530">
        <v>5128</v>
      </c>
      <c r="B4530" t="s">
        <v>531</v>
      </c>
      <c r="C4530">
        <v>483</v>
      </c>
      <c r="D4530">
        <v>446</v>
      </c>
      <c r="E4530">
        <v>0</v>
      </c>
      <c r="F4530">
        <v>390</v>
      </c>
      <c r="G4530">
        <v>0</v>
      </c>
      <c r="H4530" t="s">
        <v>9453</v>
      </c>
      <c r="I4530">
        <v>5128</v>
      </c>
      <c r="J4530" t="e">
        <f>VLOOKUP(E4530,DSSpieler!A:B,2,FALSE)</f>
        <v>#N/A</v>
      </c>
    </row>
    <row r="4531" spans="1:10" x14ac:dyDescent="0.25">
      <c r="A4531">
        <v>5129</v>
      </c>
      <c r="B4531" t="s">
        <v>31839</v>
      </c>
      <c r="C4531">
        <v>534</v>
      </c>
      <c r="D4531">
        <v>568</v>
      </c>
      <c r="E4531">
        <v>1577011479</v>
      </c>
      <c r="F4531">
        <v>4310</v>
      </c>
      <c r="G4531">
        <v>0</v>
      </c>
      <c r="H4531" t="s">
        <v>9454</v>
      </c>
      <c r="I4531">
        <v>5129</v>
      </c>
      <c r="J4531" t="str">
        <f>VLOOKUP(E4531,DSSpieler!A:B,2,FALSE)</f>
        <v>Dänerys Targaryen</v>
      </c>
    </row>
    <row r="4532" spans="1:10" x14ac:dyDescent="0.25">
      <c r="A4532">
        <v>5130</v>
      </c>
      <c r="B4532" t="s">
        <v>32373</v>
      </c>
      <c r="C4532">
        <v>575</v>
      </c>
      <c r="D4532">
        <v>580</v>
      </c>
      <c r="E4532">
        <v>670684</v>
      </c>
      <c r="F4532">
        <v>3941</v>
      </c>
      <c r="G4532">
        <v>0</v>
      </c>
      <c r="H4532" t="s">
        <v>9455</v>
      </c>
      <c r="I4532">
        <v>5130</v>
      </c>
      <c r="J4532" t="str">
        <f>VLOOKUP(E4532,DSSpieler!A:B,2,FALSE)</f>
        <v>boosterkilla</v>
      </c>
    </row>
    <row r="4533" spans="1:10" x14ac:dyDescent="0.25">
      <c r="A4533">
        <v>5131</v>
      </c>
      <c r="B4533" t="s">
        <v>31691</v>
      </c>
      <c r="C4533">
        <v>574</v>
      </c>
      <c r="D4533">
        <v>480</v>
      </c>
      <c r="E4533">
        <v>1577176189</v>
      </c>
      <c r="F4533">
        <v>6908</v>
      </c>
      <c r="G4533">
        <v>0</v>
      </c>
      <c r="H4533" t="s">
        <v>9456</v>
      </c>
      <c r="I4533">
        <v>5131</v>
      </c>
      <c r="J4533" t="str">
        <f>VLOOKUP(E4533,DSSpieler!A:B,2,FALSE)</f>
        <v>24hrs</v>
      </c>
    </row>
    <row r="4534" spans="1:10" x14ac:dyDescent="0.25">
      <c r="A4534">
        <v>5132</v>
      </c>
      <c r="B4534" t="s">
        <v>32374</v>
      </c>
      <c r="C4534">
        <v>554</v>
      </c>
      <c r="D4534">
        <v>486</v>
      </c>
      <c r="E4534">
        <v>1577180642</v>
      </c>
      <c r="F4534">
        <v>4765</v>
      </c>
      <c r="G4534">
        <v>0</v>
      </c>
      <c r="H4534" t="s">
        <v>9457</v>
      </c>
      <c r="I4534">
        <v>5132</v>
      </c>
      <c r="J4534" t="str">
        <f>VLOOKUP(E4534,DSSpieler!A:B,2,FALSE)</f>
        <v>PatiPato</v>
      </c>
    </row>
    <row r="4535" spans="1:10" x14ac:dyDescent="0.25">
      <c r="A4535">
        <v>5133</v>
      </c>
      <c r="B4535" t="s">
        <v>30817</v>
      </c>
      <c r="C4535">
        <v>591</v>
      </c>
      <c r="D4535">
        <v>520</v>
      </c>
      <c r="E4535">
        <v>1577170716</v>
      </c>
      <c r="F4535">
        <v>5932</v>
      </c>
      <c r="G4535">
        <v>0</v>
      </c>
      <c r="H4535" t="s">
        <v>9458</v>
      </c>
      <c r="I4535">
        <v>5133</v>
      </c>
      <c r="J4535" t="str">
        <f>VLOOKUP(E4535,DSSpieler!A:B,2,FALSE)</f>
        <v>Perser-Krieger</v>
      </c>
    </row>
    <row r="4536" spans="1:10" x14ac:dyDescent="0.25">
      <c r="A4536">
        <v>5134</v>
      </c>
      <c r="B4536" t="s">
        <v>32375</v>
      </c>
      <c r="C4536">
        <v>436</v>
      </c>
      <c r="D4536">
        <v>486</v>
      </c>
      <c r="E4536">
        <v>1577196376</v>
      </c>
      <c r="F4536">
        <v>5852</v>
      </c>
      <c r="G4536">
        <v>0</v>
      </c>
      <c r="H4536" t="s">
        <v>9459</v>
      </c>
      <c r="I4536">
        <v>5134</v>
      </c>
      <c r="J4536" t="str">
        <f>VLOOKUP(E4536,DSSpieler!A:B,2,FALSE)</f>
        <v>nExtremo</v>
      </c>
    </row>
    <row r="4537" spans="1:10" x14ac:dyDescent="0.25">
      <c r="A4537">
        <v>5135</v>
      </c>
      <c r="B4537" t="s">
        <v>780</v>
      </c>
      <c r="C4537">
        <v>603</v>
      </c>
      <c r="D4537">
        <v>511</v>
      </c>
      <c r="E4537">
        <v>1577195219</v>
      </c>
      <c r="F4537">
        <v>6371</v>
      </c>
      <c r="G4537">
        <v>0</v>
      </c>
      <c r="H4537" t="s">
        <v>9460</v>
      </c>
      <c r="I4537">
        <v>5135</v>
      </c>
      <c r="J4537" t="str">
        <f>VLOOKUP(E4537,DSSpieler!A:B,2,FALSE)</f>
        <v>Eric Cartman</v>
      </c>
    </row>
    <row r="4538" spans="1:10" x14ac:dyDescent="0.25">
      <c r="A4538">
        <v>5136</v>
      </c>
      <c r="B4538" t="s">
        <v>32376</v>
      </c>
      <c r="C4538">
        <v>438</v>
      </c>
      <c r="D4538">
        <v>486</v>
      </c>
      <c r="E4538">
        <v>1577196376</v>
      </c>
      <c r="F4538">
        <v>1407</v>
      </c>
      <c r="G4538">
        <v>0</v>
      </c>
      <c r="H4538" t="s">
        <v>9461</v>
      </c>
      <c r="I4538">
        <v>5136</v>
      </c>
      <c r="J4538" t="str">
        <f>VLOOKUP(E4538,DSSpieler!A:B,2,FALSE)</f>
        <v>nExtremo</v>
      </c>
    </row>
    <row r="4539" spans="1:10" x14ac:dyDescent="0.25">
      <c r="A4539">
        <v>5137</v>
      </c>
      <c r="B4539" t="s">
        <v>531</v>
      </c>
      <c r="C4539">
        <v>547</v>
      </c>
      <c r="D4539">
        <v>517</v>
      </c>
      <c r="E4539">
        <v>0</v>
      </c>
      <c r="F4539">
        <v>185</v>
      </c>
      <c r="G4539">
        <v>0</v>
      </c>
      <c r="H4539" t="s">
        <v>9462</v>
      </c>
      <c r="I4539">
        <v>5137</v>
      </c>
      <c r="J4539" t="e">
        <f>VLOOKUP(E4539,DSSpieler!A:B,2,FALSE)</f>
        <v>#N/A</v>
      </c>
    </row>
    <row r="4540" spans="1:10" x14ac:dyDescent="0.25">
      <c r="A4540">
        <v>5139</v>
      </c>
      <c r="B4540" t="s">
        <v>32377</v>
      </c>
      <c r="C4540">
        <v>473</v>
      </c>
      <c r="D4540">
        <v>425</v>
      </c>
      <c r="E4540">
        <v>8979093</v>
      </c>
      <c r="F4540">
        <v>4481</v>
      </c>
      <c r="G4540">
        <v>0</v>
      </c>
      <c r="H4540" t="s">
        <v>9463</v>
      </c>
      <c r="I4540">
        <v>5139</v>
      </c>
      <c r="J4540" t="str">
        <f>VLOOKUP(E4540,DSSpieler!A:B,2,FALSE)</f>
        <v>colderaser</v>
      </c>
    </row>
    <row r="4541" spans="1:10" x14ac:dyDescent="0.25">
      <c r="A4541">
        <v>5140</v>
      </c>
      <c r="B4541" t="s">
        <v>32378</v>
      </c>
      <c r="C4541">
        <v>563</v>
      </c>
      <c r="D4541">
        <v>452</v>
      </c>
      <c r="E4541">
        <v>9510108</v>
      </c>
      <c r="F4541">
        <v>5529</v>
      </c>
      <c r="G4541">
        <v>0</v>
      </c>
      <c r="H4541" t="s">
        <v>9464</v>
      </c>
      <c r="I4541">
        <v>5140</v>
      </c>
      <c r="J4541" t="str">
        <f>VLOOKUP(E4541,DSSpieler!A:B,2,FALSE)</f>
        <v>Wexx124</v>
      </c>
    </row>
    <row r="4542" spans="1:10" x14ac:dyDescent="0.25">
      <c r="A4542">
        <v>5141</v>
      </c>
      <c r="B4542" t="s">
        <v>32379</v>
      </c>
      <c r="C4542">
        <v>415</v>
      </c>
      <c r="D4542">
        <v>434</v>
      </c>
      <c r="E4542">
        <v>9168836</v>
      </c>
      <c r="F4542">
        <v>8224</v>
      </c>
      <c r="G4542">
        <v>0</v>
      </c>
      <c r="H4542" t="s">
        <v>9465</v>
      </c>
      <c r="I4542">
        <v>5141</v>
      </c>
      <c r="J4542" t="str">
        <f>VLOOKUP(E4542,DSSpieler!A:B,2,FALSE)</f>
        <v>Fortunator96</v>
      </c>
    </row>
    <row r="4543" spans="1:10" x14ac:dyDescent="0.25">
      <c r="A4543">
        <v>5142</v>
      </c>
      <c r="B4543" t="s">
        <v>32380</v>
      </c>
      <c r="C4543">
        <v>449</v>
      </c>
      <c r="D4543">
        <v>547</v>
      </c>
      <c r="E4543">
        <v>1576992563</v>
      </c>
      <c r="F4543">
        <v>5925</v>
      </c>
      <c r="G4543">
        <v>0</v>
      </c>
      <c r="H4543" t="s">
        <v>9466</v>
      </c>
      <c r="I4543">
        <v>5142</v>
      </c>
      <c r="J4543" t="str">
        <f>VLOOKUP(E4543,DSSpieler!A:B,2,FALSE)</f>
        <v>Flay</v>
      </c>
    </row>
    <row r="4544" spans="1:10" x14ac:dyDescent="0.25">
      <c r="A4544">
        <v>5143</v>
      </c>
      <c r="B4544" t="s">
        <v>1057</v>
      </c>
      <c r="C4544">
        <v>469</v>
      </c>
      <c r="D4544">
        <v>424</v>
      </c>
      <c r="E4544">
        <v>8897367</v>
      </c>
      <c r="F4544">
        <v>6250</v>
      </c>
      <c r="G4544">
        <v>0</v>
      </c>
      <c r="H4544" t="s">
        <v>9467</v>
      </c>
      <c r="I4544">
        <v>5143</v>
      </c>
      <c r="J4544" t="str">
        <f>VLOOKUP(E4544,DSSpieler!A:B,2,FALSE)</f>
        <v>Zwoogel1</v>
      </c>
    </row>
    <row r="4545" spans="1:10" x14ac:dyDescent="0.25">
      <c r="A4545">
        <v>5144</v>
      </c>
      <c r="B4545" t="s">
        <v>32017</v>
      </c>
      <c r="C4545">
        <v>570</v>
      </c>
      <c r="D4545">
        <v>571</v>
      </c>
      <c r="E4545">
        <v>1577188803</v>
      </c>
      <c r="F4545">
        <v>4859</v>
      </c>
      <c r="G4545">
        <v>0</v>
      </c>
      <c r="H4545" t="s">
        <v>9468</v>
      </c>
      <c r="I4545">
        <v>5144</v>
      </c>
      <c r="J4545" t="str">
        <f>VLOOKUP(E4545,DSSpieler!A:B,2,FALSE)</f>
        <v>GrrGr</v>
      </c>
    </row>
    <row r="4546" spans="1:10" x14ac:dyDescent="0.25">
      <c r="A4546">
        <v>5145</v>
      </c>
      <c r="B4546" t="s">
        <v>531</v>
      </c>
      <c r="C4546">
        <v>561</v>
      </c>
      <c r="D4546">
        <v>483</v>
      </c>
      <c r="E4546">
        <v>2372606</v>
      </c>
      <c r="F4546">
        <v>475</v>
      </c>
      <c r="G4546">
        <v>0</v>
      </c>
      <c r="H4546" t="s">
        <v>9469</v>
      </c>
      <c r="I4546">
        <v>5145</v>
      </c>
      <c r="J4546" t="str">
        <f>VLOOKUP(E4546,DSSpieler!A:B,2,FALSE)</f>
        <v>dodona</v>
      </c>
    </row>
    <row r="4547" spans="1:10" x14ac:dyDescent="0.25">
      <c r="A4547">
        <v>5146</v>
      </c>
      <c r="B4547" t="s">
        <v>531</v>
      </c>
      <c r="C4547">
        <v>474</v>
      </c>
      <c r="D4547">
        <v>435</v>
      </c>
      <c r="E4547">
        <v>0</v>
      </c>
      <c r="F4547">
        <v>247</v>
      </c>
      <c r="G4547">
        <v>0</v>
      </c>
      <c r="H4547" t="s">
        <v>9470</v>
      </c>
      <c r="I4547">
        <v>5146</v>
      </c>
      <c r="J4547" t="e">
        <f>VLOOKUP(E4547,DSSpieler!A:B,2,FALSE)</f>
        <v>#N/A</v>
      </c>
    </row>
    <row r="4548" spans="1:10" x14ac:dyDescent="0.25">
      <c r="A4548">
        <v>5147</v>
      </c>
      <c r="B4548" t="s">
        <v>32381</v>
      </c>
      <c r="C4548">
        <v>554</v>
      </c>
      <c r="D4548">
        <v>506</v>
      </c>
      <c r="E4548">
        <v>1577134982</v>
      </c>
      <c r="F4548">
        <v>1872</v>
      </c>
      <c r="G4548">
        <v>0</v>
      </c>
      <c r="H4548" t="s">
        <v>9471</v>
      </c>
      <c r="I4548">
        <v>5147</v>
      </c>
      <c r="J4548" t="str">
        <f>VLOOKUP(E4548,DSSpieler!A:B,2,FALSE)</f>
        <v>Karnage Tyrant</v>
      </c>
    </row>
    <row r="4549" spans="1:10" x14ac:dyDescent="0.25">
      <c r="A4549">
        <v>5149</v>
      </c>
      <c r="B4549" t="s">
        <v>32382</v>
      </c>
      <c r="C4549">
        <v>610</v>
      </c>
      <c r="D4549">
        <v>499</v>
      </c>
      <c r="E4549">
        <v>1577106802</v>
      </c>
      <c r="F4549">
        <v>6248</v>
      </c>
      <c r="G4549">
        <v>0</v>
      </c>
      <c r="H4549" t="s">
        <v>9472</v>
      </c>
      <c r="I4549">
        <v>5149</v>
      </c>
      <c r="J4549" t="str">
        <f>VLOOKUP(E4549,DSSpieler!A:B,2,FALSE)</f>
        <v>Gimli der Zwerg</v>
      </c>
    </row>
    <row r="4550" spans="1:10" x14ac:dyDescent="0.25">
      <c r="A4550">
        <v>5150</v>
      </c>
      <c r="B4550" t="s">
        <v>32383</v>
      </c>
      <c r="C4550">
        <v>471</v>
      </c>
      <c r="D4550">
        <v>426</v>
      </c>
      <c r="E4550">
        <v>8979093</v>
      </c>
      <c r="F4550">
        <v>6455</v>
      </c>
      <c r="G4550">
        <v>0</v>
      </c>
      <c r="H4550" t="s">
        <v>9473</v>
      </c>
      <c r="I4550">
        <v>5150</v>
      </c>
      <c r="J4550" t="str">
        <f>VLOOKUP(E4550,DSSpieler!A:B,2,FALSE)</f>
        <v>colderaser</v>
      </c>
    </row>
    <row r="4551" spans="1:10" x14ac:dyDescent="0.25">
      <c r="A4551">
        <v>5151</v>
      </c>
      <c r="B4551" t="s">
        <v>32384</v>
      </c>
      <c r="C4551">
        <v>432</v>
      </c>
      <c r="D4551">
        <v>565</v>
      </c>
      <c r="E4551">
        <v>1577173551</v>
      </c>
      <c r="F4551">
        <v>5432</v>
      </c>
      <c r="G4551">
        <v>0</v>
      </c>
      <c r="H4551" t="s">
        <v>9474</v>
      </c>
      <c r="I4551">
        <v>5151</v>
      </c>
      <c r="J4551" t="str">
        <f>VLOOKUP(E4551,DSSpieler!A:B,2,FALSE)</f>
        <v>Mergimtar</v>
      </c>
    </row>
    <row r="4552" spans="1:10" x14ac:dyDescent="0.25">
      <c r="A4552">
        <v>5152</v>
      </c>
      <c r="B4552" t="s">
        <v>32385</v>
      </c>
      <c r="C4552">
        <v>463</v>
      </c>
      <c r="D4552">
        <v>417</v>
      </c>
      <c r="E4552">
        <v>1576828154</v>
      </c>
      <c r="F4552">
        <v>5344</v>
      </c>
      <c r="G4552">
        <v>0</v>
      </c>
      <c r="H4552" t="s">
        <v>9475</v>
      </c>
      <c r="I4552">
        <v>5152</v>
      </c>
      <c r="J4552" t="str">
        <f>VLOOKUP(E4552,DSSpieler!A:B,2,FALSE)</f>
        <v>HighEndNoob</v>
      </c>
    </row>
    <row r="4553" spans="1:10" x14ac:dyDescent="0.25">
      <c r="A4553">
        <v>5154</v>
      </c>
      <c r="B4553" t="s">
        <v>1364</v>
      </c>
      <c r="C4553">
        <v>571</v>
      </c>
      <c r="D4553">
        <v>476</v>
      </c>
      <c r="E4553">
        <v>1577197727</v>
      </c>
      <c r="F4553">
        <v>7316</v>
      </c>
      <c r="G4553">
        <v>0</v>
      </c>
      <c r="H4553" t="s">
        <v>9476</v>
      </c>
      <c r="I4553">
        <v>5154</v>
      </c>
      <c r="J4553" t="str">
        <f>VLOOKUP(E4553,DSSpieler!A:B,2,FALSE)</f>
        <v>Korir</v>
      </c>
    </row>
    <row r="4554" spans="1:10" x14ac:dyDescent="0.25">
      <c r="A4554">
        <v>5155</v>
      </c>
      <c r="B4554" t="s">
        <v>30505</v>
      </c>
      <c r="C4554">
        <v>601</v>
      </c>
      <c r="D4554">
        <v>477</v>
      </c>
      <c r="E4554">
        <v>1575991722</v>
      </c>
      <c r="F4554">
        <v>1500</v>
      </c>
      <c r="G4554">
        <v>0</v>
      </c>
      <c r="H4554" t="s">
        <v>9477</v>
      </c>
      <c r="I4554">
        <v>5155</v>
      </c>
      <c r="J4554" t="str">
        <f>VLOOKUP(E4554,DSSpieler!A:B,2,FALSE)</f>
        <v>-Fabi*</v>
      </c>
    </row>
    <row r="4555" spans="1:10" x14ac:dyDescent="0.25">
      <c r="A4555">
        <v>5157</v>
      </c>
      <c r="B4555" t="s">
        <v>531</v>
      </c>
      <c r="C4555">
        <v>471</v>
      </c>
      <c r="D4555">
        <v>538</v>
      </c>
      <c r="E4555">
        <v>0</v>
      </c>
      <c r="F4555">
        <v>338</v>
      </c>
      <c r="G4555">
        <v>0</v>
      </c>
      <c r="H4555" t="s">
        <v>9478</v>
      </c>
      <c r="I4555">
        <v>5157</v>
      </c>
      <c r="J4555" t="e">
        <f>VLOOKUP(E4555,DSSpieler!A:B,2,FALSE)</f>
        <v>#N/A</v>
      </c>
    </row>
    <row r="4556" spans="1:10" x14ac:dyDescent="0.25">
      <c r="A4556">
        <v>5158</v>
      </c>
      <c r="B4556" t="s">
        <v>30665</v>
      </c>
      <c r="C4556">
        <v>556</v>
      </c>
      <c r="D4556">
        <v>580</v>
      </c>
      <c r="E4556">
        <v>1576064169</v>
      </c>
      <c r="F4556">
        <v>6274</v>
      </c>
      <c r="G4556">
        <v>0</v>
      </c>
      <c r="H4556" t="s">
        <v>9479</v>
      </c>
      <c r="I4556">
        <v>5158</v>
      </c>
      <c r="J4556" t="str">
        <f>VLOOKUP(E4556,DSSpieler!A:B,2,FALSE)</f>
        <v>MySkillNoSkill</v>
      </c>
    </row>
    <row r="4557" spans="1:10" x14ac:dyDescent="0.25">
      <c r="A4557">
        <v>5159</v>
      </c>
      <c r="B4557" t="s">
        <v>32386</v>
      </c>
      <c r="C4557">
        <v>455</v>
      </c>
      <c r="D4557">
        <v>483</v>
      </c>
      <c r="E4557">
        <v>1576720097</v>
      </c>
      <c r="F4557">
        <v>6059</v>
      </c>
      <c r="G4557">
        <v>0</v>
      </c>
      <c r="H4557" t="s">
        <v>9480</v>
      </c>
      <c r="I4557">
        <v>5159</v>
      </c>
      <c r="J4557" t="str">
        <f>VLOOKUP(E4557,DSSpieler!A:B,2,FALSE)</f>
        <v>wortoc</v>
      </c>
    </row>
    <row r="4558" spans="1:10" x14ac:dyDescent="0.25">
      <c r="A4558">
        <v>5160</v>
      </c>
      <c r="B4558">
        <v>2</v>
      </c>
      <c r="C4558">
        <v>461</v>
      </c>
      <c r="D4558">
        <v>495</v>
      </c>
      <c r="E4558">
        <v>1577193169</v>
      </c>
      <c r="F4558">
        <v>1640</v>
      </c>
      <c r="G4558">
        <v>0</v>
      </c>
      <c r="H4558" t="s">
        <v>9481</v>
      </c>
      <c r="I4558">
        <v>5160</v>
      </c>
      <c r="J4558" t="str">
        <f>VLOOKUP(E4558,DSSpieler!A:B,2,FALSE)</f>
        <v>Ederson10</v>
      </c>
    </row>
    <row r="4559" spans="1:10" x14ac:dyDescent="0.25">
      <c r="A4559">
        <v>5161</v>
      </c>
      <c r="B4559" t="s">
        <v>531</v>
      </c>
      <c r="C4559">
        <v>448</v>
      </c>
      <c r="D4559">
        <v>471</v>
      </c>
      <c r="E4559">
        <v>0</v>
      </c>
      <c r="F4559">
        <v>357</v>
      </c>
      <c r="G4559">
        <v>0</v>
      </c>
      <c r="H4559" t="s">
        <v>9482</v>
      </c>
      <c r="I4559">
        <v>5161</v>
      </c>
      <c r="J4559" t="e">
        <f>VLOOKUP(E4559,DSSpieler!A:B,2,FALSE)</f>
        <v>#N/A</v>
      </c>
    </row>
    <row r="4560" spans="1:10" x14ac:dyDescent="0.25">
      <c r="A4560">
        <v>5162</v>
      </c>
      <c r="B4560" t="s">
        <v>1365</v>
      </c>
      <c r="C4560">
        <v>458</v>
      </c>
      <c r="D4560">
        <v>435</v>
      </c>
      <c r="E4560">
        <v>1576265517</v>
      </c>
      <c r="F4560">
        <v>3081</v>
      </c>
      <c r="G4560">
        <v>0</v>
      </c>
      <c r="H4560" t="s">
        <v>9483</v>
      </c>
      <c r="I4560">
        <v>5162</v>
      </c>
      <c r="J4560" t="str">
        <f>VLOOKUP(E4560,DSSpieler!A:B,2,FALSE)</f>
        <v>ekaan</v>
      </c>
    </row>
    <row r="4561" spans="1:10" x14ac:dyDescent="0.25">
      <c r="A4561">
        <v>5164</v>
      </c>
      <c r="B4561" t="s">
        <v>30816</v>
      </c>
      <c r="C4561">
        <v>578</v>
      </c>
      <c r="D4561">
        <v>518</v>
      </c>
      <c r="E4561">
        <v>1576770406</v>
      </c>
      <c r="F4561">
        <v>5797</v>
      </c>
      <c r="G4561">
        <v>0</v>
      </c>
      <c r="H4561" t="s">
        <v>9484</v>
      </c>
      <c r="I4561">
        <v>5164</v>
      </c>
      <c r="J4561" t="str">
        <f>VLOOKUP(E4561,DSSpieler!A:B,2,FALSE)</f>
        <v>boxbox</v>
      </c>
    </row>
    <row r="4562" spans="1:10" x14ac:dyDescent="0.25">
      <c r="A4562">
        <v>5165</v>
      </c>
      <c r="B4562" t="s">
        <v>1366</v>
      </c>
      <c r="C4562">
        <v>441</v>
      </c>
      <c r="D4562">
        <v>467</v>
      </c>
      <c r="E4562">
        <v>1577163762</v>
      </c>
      <c r="F4562">
        <v>5275</v>
      </c>
      <c r="G4562">
        <v>0</v>
      </c>
      <c r="H4562" t="s">
        <v>9485</v>
      </c>
      <c r="I4562">
        <v>5165</v>
      </c>
      <c r="J4562" t="str">
        <f>VLOOKUP(E4562,DSSpieler!A:B,2,FALSE)</f>
        <v>Ioreth</v>
      </c>
    </row>
    <row r="4563" spans="1:10" x14ac:dyDescent="0.25">
      <c r="A4563">
        <v>5166</v>
      </c>
      <c r="B4563" t="s">
        <v>32387</v>
      </c>
      <c r="C4563">
        <v>551</v>
      </c>
      <c r="D4563">
        <v>562</v>
      </c>
      <c r="E4563">
        <v>10098622</v>
      </c>
      <c r="F4563">
        <v>3186</v>
      </c>
      <c r="G4563">
        <v>0</v>
      </c>
      <c r="H4563" t="s">
        <v>9486</v>
      </c>
      <c r="I4563">
        <v>5166</v>
      </c>
      <c r="J4563" t="str">
        <f>VLOOKUP(E4563,DSSpieler!A:B,2,FALSE)</f>
        <v>Dönerboer</v>
      </c>
    </row>
    <row r="4564" spans="1:10" x14ac:dyDescent="0.25">
      <c r="A4564">
        <v>5167</v>
      </c>
      <c r="B4564" t="s">
        <v>32204</v>
      </c>
      <c r="C4564">
        <v>494</v>
      </c>
      <c r="D4564">
        <v>572</v>
      </c>
      <c r="E4564">
        <v>9574714</v>
      </c>
      <c r="F4564">
        <v>8820</v>
      </c>
      <c r="G4564">
        <v>0</v>
      </c>
      <c r="H4564" t="s">
        <v>9487</v>
      </c>
      <c r="I4564">
        <v>5167</v>
      </c>
      <c r="J4564" t="str">
        <f>VLOOKUP(E4564,DSSpieler!A:B,2,FALSE)</f>
        <v>Rest In Peace?</v>
      </c>
    </row>
    <row r="4565" spans="1:10" x14ac:dyDescent="0.25">
      <c r="A4565">
        <v>5168</v>
      </c>
      <c r="B4565" t="s">
        <v>765</v>
      </c>
      <c r="C4565">
        <v>501</v>
      </c>
      <c r="D4565">
        <v>567</v>
      </c>
      <c r="E4565">
        <v>1577147110</v>
      </c>
      <c r="F4565">
        <v>4643</v>
      </c>
      <c r="G4565">
        <v>0</v>
      </c>
      <c r="H4565" t="s">
        <v>9488</v>
      </c>
      <c r="I4565">
        <v>5168</v>
      </c>
      <c r="J4565" t="str">
        <f>VLOOKUP(E4565,DSSpieler!A:B,2,FALSE)</f>
        <v>Sgt.Woody</v>
      </c>
    </row>
    <row r="4566" spans="1:10" x14ac:dyDescent="0.25">
      <c r="A4566">
        <v>5169</v>
      </c>
      <c r="B4566" t="s">
        <v>531</v>
      </c>
      <c r="C4566">
        <v>477</v>
      </c>
      <c r="D4566">
        <v>524</v>
      </c>
      <c r="E4566">
        <v>0</v>
      </c>
      <c r="F4566">
        <v>444</v>
      </c>
      <c r="G4566">
        <v>0</v>
      </c>
      <c r="H4566" t="s">
        <v>9489</v>
      </c>
      <c r="I4566">
        <v>5169</v>
      </c>
      <c r="J4566" t="e">
        <f>VLOOKUP(E4566,DSSpieler!A:B,2,FALSE)</f>
        <v>#N/A</v>
      </c>
    </row>
    <row r="4567" spans="1:10" x14ac:dyDescent="0.25">
      <c r="A4567">
        <v>5170</v>
      </c>
      <c r="B4567" t="s">
        <v>780</v>
      </c>
      <c r="C4567">
        <v>612</v>
      </c>
      <c r="D4567">
        <v>519</v>
      </c>
      <c r="E4567">
        <v>1576110914</v>
      </c>
      <c r="F4567">
        <v>2078</v>
      </c>
      <c r="G4567">
        <v>0</v>
      </c>
      <c r="H4567" t="s">
        <v>9490</v>
      </c>
      <c r="I4567">
        <v>5170</v>
      </c>
      <c r="J4567" t="str">
        <f>VLOOKUP(E4567,DSSpieler!A:B,2,FALSE)</f>
        <v>Graf Sinus</v>
      </c>
    </row>
    <row r="4568" spans="1:10" x14ac:dyDescent="0.25">
      <c r="A4568">
        <v>5171</v>
      </c>
      <c r="B4568" t="s">
        <v>32388</v>
      </c>
      <c r="C4568">
        <v>412</v>
      </c>
      <c r="D4568">
        <v>531</v>
      </c>
      <c r="E4568">
        <v>8136159</v>
      </c>
      <c r="F4568">
        <v>3040</v>
      </c>
      <c r="G4568">
        <v>0</v>
      </c>
      <c r="H4568" t="s">
        <v>9491</v>
      </c>
      <c r="I4568">
        <v>5171</v>
      </c>
      <c r="J4568" t="str">
        <f>VLOOKUP(E4568,DSSpieler!A:B,2,FALSE)</f>
        <v>jojo9898</v>
      </c>
    </row>
    <row r="4569" spans="1:10" x14ac:dyDescent="0.25">
      <c r="A4569">
        <v>5172</v>
      </c>
      <c r="B4569" t="s">
        <v>32389</v>
      </c>
      <c r="C4569">
        <v>537</v>
      </c>
      <c r="D4569">
        <v>524</v>
      </c>
      <c r="E4569">
        <v>1577193842</v>
      </c>
      <c r="F4569">
        <v>823</v>
      </c>
      <c r="G4569">
        <v>0</v>
      </c>
      <c r="H4569" t="s">
        <v>9492</v>
      </c>
      <c r="I4569">
        <v>5172</v>
      </c>
      <c r="J4569" t="str">
        <f>VLOOKUP(E4569,DSSpieler!A:B,2,FALSE)</f>
        <v>Mikasa-Schleicher</v>
      </c>
    </row>
    <row r="4570" spans="1:10" x14ac:dyDescent="0.25">
      <c r="A4570">
        <v>5173</v>
      </c>
      <c r="B4570" t="s">
        <v>1367</v>
      </c>
      <c r="C4570">
        <v>427</v>
      </c>
      <c r="D4570">
        <v>521</v>
      </c>
      <c r="E4570">
        <v>1577174424</v>
      </c>
      <c r="F4570">
        <v>4677</v>
      </c>
      <c r="G4570">
        <v>0</v>
      </c>
      <c r="H4570" t="s">
        <v>9493</v>
      </c>
      <c r="I4570">
        <v>5173</v>
      </c>
      <c r="J4570" t="str">
        <f>VLOOKUP(E4570,DSSpieler!A:B,2,FALSE)</f>
        <v>Patrick666</v>
      </c>
    </row>
    <row r="4571" spans="1:10" x14ac:dyDescent="0.25">
      <c r="A4571">
        <v>5174</v>
      </c>
      <c r="B4571" t="s">
        <v>1368</v>
      </c>
      <c r="C4571">
        <v>461</v>
      </c>
      <c r="D4571">
        <v>604</v>
      </c>
      <c r="E4571">
        <v>1577197712</v>
      </c>
      <c r="F4571">
        <v>4983</v>
      </c>
      <c r="G4571">
        <v>0</v>
      </c>
      <c r="H4571" t="s">
        <v>9494</v>
      </c>
      <c r="I4571">
        <v>5174</v>
      </c>
      <c r="J4571" t="str">
        <f>VLOOKUP(E4571,DSSpieler!A:B,2,FALSE)</f>
        <v>Revenge is sweet</v>
      </c>
    </row>
    <row r="4572" spans="1:10" x14ac:dyDescent="0.25">
      <c r="A4572">
        <v>5175</v>
      </c>
      <c r="B4572" t="s">
        <v>32390</v>
      </c>
      <c r="C4572">
        <v>473</v>
      </c>
      <c r="D4572">
        <v>408</v>
      </c>
      <c r="E4572">
        <v>1577197317</v>
      </c>
      <c r="F4572">
        <v>4128</v>
      </c>
      <c r="G4572">
        <v>0</v>
      </c>
      <c r="H4572" t="s">
        <v>9495</v>
      </c>
      <c r="I4572">
        <v>5175</v>
      </c>
      <c r="J4572" t="str">
        <f>VLOOKUP(E4572,DSSpieler!A:B,2,FALSE)</f>
        <v>DieWaldfee</v>
      </c>
    </row>
    <row r="4573" spans="1:10" x14ac:dyDescent="0.25">
      <c r="A4573">
        <v>5176</v>
      </c>
      <c r="B4573" t="s">
        <v>531</v>
      </c>
      <c r="C4573">
        <v>481</v>
      </c>
      <c r="D4573">
        <v>504</v>
      </c>
      <c r="E4573">
        <v>0</v>
      </c>
      <c r="F4573">
        <v>458</v>
      </c>
      <c r="G4573">
        <v>0</v>
      </c>
      <c r="H4573" t="s">
        <v>9496</v>
      </c>
      <c r="I4573">
        <v>5176</v>
      </c>
      <c r="J4573" t="e">
        <f>VLOOKUP(E4573,DSSpieler!A:B,2,FALSE)</f>
        <v>#N/A</v>
      </c>
    </row>
    <row r="4574" spans="1:10" x14ac:dyDescent="0.25">
      <c r="A4574">
        <v>5177</v>
      </c>
      <c r="B4574" t="s">
        <v>32391</v>
      </c>
      <c r="C4574">
        <v>456</v>
      </c>
      <c r="D4574">
        <v>584</v>
      </c>
      <c r="E4574">
        <v>9460687</v>
      </c>
      <c r="F4574">
        <v>7661</v>
      </c>
      <c r="G4574">
        <v>0</v>
      </c>
      <c r="H4574" t="s">
        <v>9497</v>
      </c>
      <c r="I4574">
        <v>5177</v>
      </c>
      <c r="J4574" t="str">
        <f>VLOOKUP(E4574,DSSpieler!A:B,2,FALSE)</f>
        <v>MunichCowboy</v>
      </c>
    </row>
    <row r="4575" spans="1:10" x14ac:dyDescent="0.25">
      <c r="A4575">
        <v>5178</v>
      </c>
      <c r="B4575" t="s">
        <v>32392</v>
      </c>
      <c r="C4575">
        <v>553</v>
      </c>
      <c r="D4575">
        <v>576</v>
      </c>
      <c r="E4575">
        <v>1577044240</v>
      </c>
      <c r="F4575">
        <v>7366</v>
      </c>
      <c r="G4575">
        <v>0</v>
      </c>
      <c r="H4575" t="s">
        <v>9498</v>
      </c>
      <c r="I4575">
        <v>5178</v>
      </c>
      <c r="J4575" t="str">
        <f>VLOOKUP(E4575,DSSpieler!A:B,2,FALSE)</f>
        <v>Inaktiv-Keine-Zeit</v>
      </c>
    </row>
    <row r="4576" spans="1:10" x14ac:dyDescent="0.25">
      <c r="A4576">
        <v>5179</v>
      </c>
      <c r="B4576" t="s">
        <v>531</v>
      </c>
      <c r="C4576">
        <v>498</v>
      </c>
      <c r="D4576">
        <v>573</v>
      </c>
      <c r="E4576">
        <v>0</v>
      </c>
      <c r="F4576">
        <v>343</v>
      </c>
      <c r="G4576">
        <v>0</v>
      </c>
      <c r="H4576" t="s">
        <v>9499</v>
      </c>
      <c r="I4576">
        <v>5179</v>
      </c>
      <c r="J4576" t="e">
        <f>VLOOKUP(E4576,DSSpieler!A:B,2,FALSE)</f>
        <v>#N/A</v>
      </c>
    </row>
    <row r="4577" spans="1:10" x14ac:dyDescent="0.25">
      <c r="A4577">
        <v>5180</v>
      </c>
      <c r="B4577" t="s">
        <v>32393</v>
      </c>
      <c r="C4577">
        <v>411</v>
      </c>
      <c r="D4577">
        <v>452</v>
      </c>
      <c r="E4577">
        <v>374429</v>
      </c>
      <c r="F4577">
        <v>2934</v>
      </c>
      <c r="G4577">
        <v>0</v>
      </c>
      <c r="H4577" t="s">
        <v>9500</v>
      </c>
      <c r="I4577">
        <v>5180</v>
      </c>
      <c r="J4577" t="str">
        <f>VLOOKUP(E4577,DSSpieler!A:B,2,FALSE)</f>
        <v>socca</v>
      </c>
    </row>
    <row r="4578" spans="1:10" x14ac:dyDescent="0.25">
      <c r="A4578">
        <v>5181</v>
      </c>
      <c r="B4578" t="s">
        <v>531</v>
      </c>
      <c r="C4578">
        <v>483</v>
      </c>
      <c r="D4578">
        <v>575</v>
      </c>
      <c r="E4578">
        <v>0</v>
      </c>
      <c r="F4578">
        <v>848</v>
      </c>
      <c r="G4578">
        <v>0</v>
      </c>
      <c r="H4578" t="s">
        <v>9501</v>
      </c>
      <c r="I4578">
        <v>5181</v>
      </c>
      <c r="J4578" t="e">
        <f>VLOOKUP(E4578,DSSpieler!A:B,2,FALSE)</f>
        <v>#N/A</v>
      </c>
    </row>
    <row r="4579" spans="1:10" x14ac:dyDescent="0.25">
      <c r="A4579">
        <v>5182</v>
      </c>
      <c r="B4579" t="s">
        <v>32394</v>
      </c>
      <c r="C4579">
        <v>519</v>
      </c>
      <c r="D4579">
        <v>593</v>
      </c>
      <c r="E4579">
        <v>8229715</v>
      </c>
      <c r="F4579">
        <v>5324</v>
      </c>
      <c r="G4579">
        <v>0</v>
      </c>
      <c r="H4579" t="s">
        <v>9502</v>
      </c>
      <c r="I4579">
        <v>5182</v>
      </c>
      <c r="J4579" t="str">
        <f>VLOOKUP(E4579,DSSpieler!A:B,2,FALSE)</f>
        <v>Orschlochwattn</v>
      </c>
    </row>
    <row r="4580" spans="1:10" x14ac:dyDescent="0.25">
      <c r="A4580">
        <v>5183</v>
      </c>
      <c r="B4580" t="s">
        <v>32395</v>
      </c>
      <c r="C4580">
        <v>607</v>
      </c>
      <c r="D4580">
        <v>490</v>
      </c>
      <c r="E4580">
        <v>8861779</v>
      </c>
      <c r="F4580">
        <v>4376</v>
      </c>
      <c r="G4580">
        <v>0</v>
      </c>
      <c r="H4580" t="s">
        <v>9503</v>
      </c>
      <c r="I4580">
        <v>5183</v>
      </c>
      <c r="J4580" t="str">
        <f>VLOOKUP(E4580,DSSpieler!A:B,2,FALSE)</f>
        <v>Gut96</v>
      </c>
    </row>
    <row r="4581" spans="1:10" x14ac:dyDescent="0.25">
      <c r="A4581">
        <v>5184</v>
      </c>
      <c r="B4581" t="s">
        <v>531</v>
      </c>
      <c r="C4581">
        <v>447</v>
      </c>
      <c r="D4581">
        <v>463</v>
      </c>
      <c r="E4581">
        <v>1576820196</v>
      </c>
      <c r="F4581">
        <v>1110</v>
      </c>
      <c r="G4581">
        <v>0</v>
      </c>
      <c r="H4581" t="s">
        <v>9504</v>
      </c>
      <c r="I4581">
        <v>5184</v>
      </c>
      <c r="J4581" t="str">
        <f>VLOOKUP(E4581,DSSpieler!A:B,2,FALSE)</f>
        <v>Lord von Namor</v>
      </c>
    </row>
    <row r="4582" spans="1:10" x14ac:dyDescent="0.25">
      <c r="A4582">
        <v>5185</v>
      </c>
      <c r="B4582" t="s">
        <v>531</v>
      </c>
      <c r="C4582">
        <v>471</v>
      </c>
      <c r="D4582">
        <v>437</v>
      </c>
      <c r="E4582">
        <v>0</v>
      </c>
      <c r="F4582">
        <v>271</v>
      </c>
      <c r="G4582">
        <v>0</v>
      </c>
      <c r="H4582" t="s">
        <v>9505</v>
      </c>
      <c r="I4582">
        <v>5185</v>
      </c>
      <c r="J4582" t="e">
        <f>VLOOKUP(E4582,DSSpieler!A:B,2,FALSE)</f>
        <v>#N/A</v>
      </c>
    </row>
    <row r="4583" spans="1:10" x14ac:dyDescent="0.25">
      <c r="A4583">
        <v>5186</v>
      </c>
      <c r="B4583" t="s">
        <v>1369</v>
      </c>
      <c r="C4583">
        <v>426</v>
      </c>
      <c r="D4583">
        <v>497</v>
      </c>
      <c r="E4583">
        <v>73245</v>
      </c>
      <c r="F4583">
        <v>5895</v>
      </c>
      <c r="G4583">
        <v>0</v>
      </c>
      <c r="H4583" t="s">
        <v>9506</v>
      </c>
      <c r="I4583">
        <v>5186</v>
      </c>
      <c r="J4583" t="str">
        <f>VLOOKUP(E4583,DSSpieler!A:B,2,FALSE)</f>
        <v>Nullpicker</v>
      </c>
    </row>
    <row r="4584" spans="1:10" x14ac:dyDescent="0.25">
      <c r="A4584">
        <v>5187</v>
      </c>
      <c r="B4584" t="s">
        <v>31494</v>
      </c>
      <c r="C4584">
        <v>568</v>
      </c>
      <c r="D4584">
        <v>569</v>
      </c>
      <c r="E4584">
        <v>1576311875</v>
      </c>
      <c r="F4584">
        <v>4573</v>
      </c>
      <c r="G4584">
        <v>0</v>
      </c>
      <c r="H4584" t="s">
        <v>9507</v>
      </c>
      <c r="I4584">
        <v>5187</v>
      </c>
      <c r="J4584" t="str">
        <f>VLOOKUP(E4584,DSSpieler!A:B,2,FALSE)</f>
        <v>Animus95</v>
      </c>
    </row>
    <row r="4585" spans="1:10" x14ac:dyDescent="0.25">
      <c r="A4585">
        <v>5189</v>
      </c>
      <c r="B4585">
        <v>5</v>
      </c>
      <c r="C4585">
        <v>449</v>
      </c>
      <c r="D4585">
        <v>518</v>
      </c>
      <c r="E4585">
        <v>1577183825</v>
      </c>
      <c r="F4585">
        <v>3004</v>
      </c>
      <c r="G4585">
        <v>0</v>
      </c>
      <c r="H4585" t="s">
        <v>9508</v>
      </c>
      <c r="I4585">
        <v>5189</v>
      </c>
      <c r="J4585" t="str">
        <f>VLOOKUP(E4585,DSSpieler!A:B,2,FALSE)</f>
        <v>Watzinger95</v>
      </c>
    </row>
    <row r="4586" spans="1:10" x14ac:dyDescent="0.25">
      <c r="A4586">
        <v>5190</v>
      </c>
      <c r="B4586" t="s">
        <v>32396</v>
      </c>
      <c r="C4586">
        <v>426</v>
      </c>
      <c r="D4586">
        <v>505</v>
      </c>
      <c r="E4586">
        <v>1577197928</v>
      </c>
      <c r="F4586">
        <v>5655</v>
      </c>
      <c r="G4586">
        <v>0</v>
      </c>
      <c r="H4586" t="s">
        <v>9509</v>
      </c>
      <c r="I4586">
        <v>5190</v>
      </c>
      <c r="J4586" t="str">
        <f>VLOOKUP(E4586,DSSpieler!A:B,2,FALSE)</f>
        <v>Seriöses Wasser</v>
      </c>
    </row>
    <row r="4587" spans="1:10" x14ac:dyDescent="0.25">
      <c r="A4587">
        <v>5191</v>
      </c>
      <c r="B4587" t="s">
        <v>32397</v>
      </c>
      <c r="C4587">
        <v>590</v>
      </c>
      <c r="D4587">
        <v>466</v>
      </c>
      <c r="E4587">
        <v>1575891872</v>
      </c>
      <c r="F4587">
        <v>3211</v>
      </c>
      <c r="G4587">
        <v>0</v>
      </c>
      <c r="H4587" t="s">
        <v>9510</v>
      </c>
      <c r="I4587">
        <v>5191</v>
      </c>
      <c r="J4587" t="str">
        <f>VLOOKUP(E4587,DSSpieler!A:B,2,FALSE)</f>
        <v>Angsthasen 2.0</v>
      </c>
    </row>
    <row r="4588" spans="1:10" x14ac:dyDescent="0.25">
      <c r="A4588">
        <v>5193</v>
      </c>
      <c r="B4588" t="s">
        <v>1370</v>
      </c>
      <c r="C4588">
        <v>586</v>
      </c>
      <c r="D4588">
        <v>469</v>
      </c>
      <c r="E4588">
        <v>1577000486</v>
      </c>
      <c r="F4588">
        <v>994</v>
      </c>
      <c r="G4588">
        <v>0</v>
      </c>
      <c r="H4588" t="s">
        <v>9511</v>
      </c>
      <c r="I4588">
        <v>5193</v>
      </c>
      <c r="J4588" t="str">
        <f>VLOOKUP(E4588,DSSpieler!A:B,2,FALSE)</f>
        <v>Nordlord</v>
      </c>
    </row>
    <row r="4589" spans="1:10" x14ac:dyDescent="0.25">
      <c r="A4589">
        <v>5194</v>
      </c>
      <c r="B4589" t="s">
        <v>32398</v>
      </c>
      <c r="C4589">
        <v>569</v>
      </c>
      <c r="D4589">
        <v>421</v>
      </c>
      <c r="E4589">
        <v>3362946</v>
      </c>
      <c r="F4589">
        <v>5158</v>
      </c>
      <c r="G4589">
        <v>0</v>
      </c>
      <c r="H4589" t="s">
        <v>9512</v>
      </c>
      <c r="I4589">
        <v>5194</v>
      </c>
      <c r="J4589" t="str">
        <f>VLOOKUP(E4589,DSSpieler!A:B,2,FALSE)</f>
        <v>GsC BloodWar</v>
      </c>
    </row>
    <row r="4590" spans="1:10" x14ac:dyDescent="0.25">
      <c r="A4590">
        <v>5195</v>
      </c>
      <c r="B4590" t="s">
        <v>531</v>
      </c>
      <c r="C4590">
        <v>570</v>
      </c>
      <c r="D4590">
        <v>503</v>
      </c>
      <c r="E4590">
        <v>0</v>
      </c>
      <c r="F4590">
        <v>413</v>
      </c>
      <c r="G4590">
        <v>0</v>
      </c>
      <c r="H4590" t="s">
        <v>9513</v>
      </c>
      <c r="I4590">
        <v>5195</v>
      </c>
      <c r="J4590" t="e">
        <f>VLOOKUP(E4590,DSSpieler!A:B,2,FALSE)</f>
        <v>#N/A</v>
      </c>
    </row>
    <row r="4591" spans="1:10" x14ac:dyDescent="0.25">
      <c r="A4591">
        <v>5196</v>
      </c>
      <c r="B4591" t="s">
        <v>32399</v>
      </c>
      <c r="C4591">
        <v>531</v>
      </c>
      <c r="D4591">
        <v>439</v>
      </c>
      <c r="E4591">
        <v>2708826</v>
      </c>
      <c r="F4591">
        <v>7458</v>
      </c>
      <c r="G4591">
        <v>0</v>
      </c>
      <c r="H4591" t="s">
        <v>9514</v>
      </c>
      <c r="I4591">
        <v>5196</v>
      </c>
      <c r="J4591" t="str">
        <f>VLOOKUP(E4591,DSSpieler!A:B,2,FALSE)</f>
        <v>sim001</v>
      </c>
    </row>
    <row r="4592" spans="1:10" x14ac:dyDescent="0.25">
      <c r="A4592">
        <v>5197</v>
      </c>
      <c r="B4592" t="s">
        <v>1371</v>
      </c>
      <c r="C4592">
        <v>566</v>
      </c>
      <c r="D4592">
        <v>489</v>
      </c>
      <c r="E4592">
        <v>8783554</v>
      </c>
      <c r="F4592">
        <v>6080</v>
      </c>
      <c r="G4592">
        <v>0</v>
      </c>
      <c r="H4592" t="s">
        <v>9515</v>
      </c>
      <c r="I4592">
        <v>5197</v>
      </c>
      <c r="J4592" t="str">
        <f>VLOOKUP(E4592,DSSpieler!A:B,2,FALSE)</f>
        <v>Fritz70</v>
      </c>
    </row>
    <row r="4593" spans="1:10" x14ac:dyDescent="0.25">
      <c r="A4593">
        <v>5198</v>
      </c>
      <c r="B4593" t="s">
        <v>1372</v>
      </c>
      <c r="C4593">
        <v>451</v>
      </c>
      <c r="D4593">
        <v>564</v>
      </c>
      <c r="E4593">
        <v>1577189226</v>
      </c>
      <c r="F4593">
        <v>5874</v>
      </c>
      <c r="G4593">
        <v>0</v>
      </c>
      <c r="H4593" t="s">
        <v>9516</v>
      </c>
      <c r="I4593">
        <v>5198</v>
      </c>
      <c r="J4593" t="str">
        <f>VLOOKUP(E4593,DSSpieler!A:B,2,FALSE)</f>
        <v>Libertador</v>
      </c>
    </row>
    <row r="4594" spans="1:10" x14ac:dyDescent="0.25">
      <c r="A4594">
        <v>5199</v>
      </c>
      <c r="B4594" t="s">
        <v>1373</v>
      </c>
      <c r="C4594">
        <v>543</v>
      </c>
      <c r="D4594">
        <v>400</v>
      </c>
      <c r="E4594">
        <v>1577197899</v>
      </c>
      <c r="F4594">
        <v>5501</v>
      </c>
      <c r="G4594">
        <v>0</v>
      </c>
      <c r="H4594" t="s">
        <v>9517</v>
      </c>
      <c r="I4594">
        <v>5199</v>
      </c>
      <c r="J4594" t="str">
        <f>VLOOKUP(E4594,DSSpieler!A:B,2,FALSE)</f>
        <v>HjalmarT</v>
      </c>
    </row>
    <row r="4595" spans="1:10" x14ac:dyDescent="0.25">
      <c r="A4595">
        <v>5200</v>
      </c>
      <c r="B4595" t="s">
        <v>32400</v>
      </c>
      <c r="C4595">
        <v>436</v>
      </c>
      <c r="D4595">
        <v>452</v>
      </c>
      <c r="E4595">
        <v>8459448</v>
      </c>
      <c r="F4595">
        <v>5103</v>
      </c>
      <c r="G4595">
        <v>0</v>
      </c>
      <c r="H4595" t="s">
        <v>9518</v>
      </c>
      <c r="I4595">
        <v>5200</v>
      </c>
      <c r="J4595" t="str">
        <f>VLOOKUP(E4595,DSSpieler!A:B,2,FALSE)</f>
        <v>DarkDarco</v>
      </c>
    </row>
    <row r="4596" spans="1:10" x14ac:dyDescent="0.25">
      <c r="A4596">
        <v>5201</v>
      </c>
      <c r="B4596" t="s">
        <v>1374</v>
      </c>
      <c r="C4596">
        <v>520</v>
      </c>
      <c r="D4596">
        <v>459</v>
      </c>
      <c r="E4596">
        <v>1577180924</v>
      </c>
      <c r="F4596">
        <v>4156</v>
      </c>
      <c r="G4596">
        <v>0</v>
      </c>
      <c r="H4596" t="s">
        <v>9519</v>
      </c>
      <c r="I4596">
        <v>5201</v>
      </c>
      <c r="J4596" t="str">
        <f>VLOOKUP(E4596,DSSpieler!A:B,2,FALSE)</f>
        <v>La84</v>
      </c>
    </row>
    <row r="4597" spans="1:10" x14ac:dyDescent="0.25">
      <c r="A4597">
        <v>5203</v>
      </c>
      <c r="B4597" t="s">
        <v>30468</v>
      </c>
      <c r="C4597">
        <v>519</v>
      </c>
      <c r="D4597">
        <v>428</v>
      </c>
      <c r="E4597">
        <v>9132493</v>
      </c>
      <c r="F4597">
        <v>7622</v>
      </c>
      <c r="G4597">
        <v>0</v>
      </c>
      <c r="H4597" t="s">
        <v>9520</v>
      </c>
      <c r="I4597">
        <v>5203</v>
      </c>
      <c r="J4597" t="str">
        <f>VLOOKUP(E4597,DSSpieler!A:B,2,FALSE)</f>
        <v>RaZE pWnz EU</v>
      </c>
    </row>
    <row r="4598" spans="1:10" x14ac:dyDescent="0.25">
      <c r="A4598">
        <v>5204</v>
      </c>
      <c r="B4598" t="s">
        <v>32401</v>
      </c>
      <c r="C4598">
        <v>562</v>
      </c>
      <c r="D4598">
        <v>547</v>
      </c>
      <c r="E4598">
        <v>1577192997</v>
      </c>
      <c r="F4598">
        <v>139</v>
      </c>
      <c r="G4598">
        <v>0</v>
      </c>
      <c r="H4598" t="s">
        <v>9521</v>
      </c>
      <c r="I4598">
        <v>5204</v>
      </c>
      <c r="J4598" t="str">
        <f>VLOOKUP(E4598,DSSpieler!A:B,2,FALSE)</f>
        <v>NightWolf15</v>
      </c>
    </row>
    <row r="4599" spans="1:10" x14ac:dyDescent="0.25">
      <c r="A4599">
        <v>5205</v>
      </c>
      <c r="B4599" t="s">
        <v>531</v>
      </c>
      <c r="C4599">
        <v>577</v>
      </c>
      <c r="D4599">
        <v>484</v>
      </c>
      <c r="E4599">
        <v>0</v>
      </c>
      <c r="F4599">
        <v>559</v>
      </c>
      <c r="G4599">
        <v>0</v>
      </c>
      <c r="H4599" t="s">
        <v>9522</v>
      </c>
      <c r="I4599">
        <v>5205</v>
      </c>
      <c r="J4599" t="e">
        <f>VLOOKUP(E4599,DSSpieler!A:B,2,FALSE)</f>
        <v>#N/A</v>
      </c>
    </row>
    <row r="4600" spans="1:10" x14ac:dyDescent="0.25">
      <c r="A4600">
        <v>5206</v>
      </c>
      <c r="B4600">
        <v>1</v>
      </c>
      <c r="C4600">
        <v>402</v>
      </c>
      <c r="D4600">
        <v>502</v>
      </c>
      <c r="E4600">
        <v>1577173526</v>
      </c>
      <c r="F4600">
        <v>7116</v>
      </c>
      <c r="G4600">
        <v>0</v>
      </c>
      <c r="H4600" t="s">
        <v>9523</v>
      </c>
      <c r="I4600">
        <v>5206</v>
      </c>
      <c r="J4600" t="str">
        <f>VLOOKUP(E4600,DSSpieler!A:B,2,FALSE)</f>
        <v>Dexter17</v>
      </c>
    </row>
    <row r="4601" spans="1:10" x14ac:dyDescent="0.25">
      <c r="A4601">
        <v>5207</v>
      </c>
      <c r="B4601" t="s">
        <v>32402</v>
      </c>
      <c r="C4601">
        <v>464</v>
      </c>
      <c r="D4601">
        <v>478</v>
      </c>
      <c r="E4601">
        <v>1576589979</v>
      </c>
      <c r="F4601">
        <v>297</v>
      </c>
      <c r="G4601">
        <v>0</v>
      </c>
      <c r="H4601" t="s">
        <v>9524</v>
      </c>
      <c r="I4601">
        <v>5207</v>
      </c>
      <c r="J4601" t="str">
        <f>VLOOKUP(E4601,DSSpieler!A:B,2,FALSE)</f>
        <v>thermos007</v>
      </c>
    </row>
    <row r="4602" spans="1:10" x14ac:dyDescent="0.25">
      <c r="A4602">
        <v>5209</v>
      </c>
      <c r="B4602" t="s">
        <v>32161</v>
      </c>
      <c r="C4602">
        <v>402</v>
      </c>
      <c r="D4602">
        <v>518</v>
      </c>
      <c r="E4602">
        <v>1577181197</v>
      </c>
      <c r="F4602">
        <v>3971</v>
      </c>
      <c r="G4602">
        <v>0</v>
      </c>
      <c r="H4602" t="s">
        <v>9525</v>
      </c>
      <c r="I4602">
        <v>5209</v>
      </c>
      <c r="J4602" t="str">
        <f>VLOOKUP(E4602,DSSpieler!A:B,2,FALSE)</f>
        <v>Bausi the best</v>
      </c>
    </row>
    <row r="4603" spans="1:10" x14ac:dyDescent="0.25">
      <c r="A4603">
        <v>5210</v>
      </c>
      <c r="B4603" t="s">
        <v>531</v>
      </c>
      <c r="C4603">
        <v>542</v>
      </c>
      <c r="D4603">
        <v>496</v>
      </c>
      <c r="E4603">
        <v>0</v>
      </c>
      <c r="F4603">
        <v>488</v>
      </c>
      <c r="G4603">
        <v>0</v>
      </c>
      <c r="H4603" t="s">
        <v>9526</v>
      </c>
      <c r="I4603">
        <v>5210</v>
      </c>
      <c r="J4603" t="e">
        <f>VLOOKUP(E4603,DSSpieler!A:B,2,FALSE)</f>
        <v>#N/A</v>
      </c>
    </row>
    <row r="4604" spans="1:10" x14ac:dyDescent="0.25">
      <c r="A4604">
        <v>5211</v>
      </c>
      <c r="B4604" t="s">
        <v>32403</v>
      </c>
      <c r="C4604">
        <v>459</v>
      </c>
      <c r="D4604">
        <v>416</v>
      </c>
      <c r="E4604">
        <v>1576828154</v>
      </c>
      <c r="F4604">
        <v>6001</v>
      </c>
      <c r="G4604">
        <v>0</v>
      </c>
      <c r="H4604" t="s">
        <v>9527</v>
      </c>
      <c r="I4604">
        <v>5211</v>
      </c>
      <c r="J4604" t="str">
        <f>VLOOKUP(E4604,DSSpieler!A:B,2,FALSE)</f>
        <v>HighEndNoob</v>
      </c>
    </row>
    <row r="4605" spans="1:10" x14ac:dyDescent="0.25">
      <c r="A4605">
        <v>5212</v>
      </c>
      <c r="B4605" t="s">
        <v>32404</v>
      </c>
      <c r="C4605">
        <v>433</v>
      </c>
      <c r="D4605">
        <v>563</v>
      </c>
      <c r="E4605">
        <v>1576615155</v>
      </c>
      <c r="F4605">
        <v>2483</v>
      </c>
      <c r="G4605">
        <v>0</v>
      </c>
      <c r="H4605" t="s">
        <v>9528</v>
      </c>
      <c r="I4605">
        <v>5212</v>
      </c>
      <c r="J4605" t="str">
        <f>VLOOKUP(E4605,DSSpieler!A:B,2,FALSE)</f>
        <v>König putin</v>
      </c>
    </row>
    <row r="4606" spans="1:10" x14ac:dyDescent="0.25">
      <c r="A4606">
        <v>5213</v>
      </c>
      <c r="B4606" t="s">
        <v>32405</v>
      </c>
      <c r="C4606">
        <v>441</v>
      </c>
      <c r="D4606">
        <v>496</v>
      </c>
      <c r="E4606">
        <v>1576835760</v>
      </c>
      <c r="F4606">
        <v>2088</v>
      </c>
      <c r="G4606">
        <v>0</v>
      </c>
      <c r="H4606" t="s">
        <v>9529</v>
      </c>
      <c r="I4606">
        <v>5213</v>
      </c>
      <c r="J4606" t="str">
        <f>VLOOKUP(E4606,DSSpieler!A:B,2,FALSE)</f>
        <v>Hiro Nakamura</v>
      </c>
    </row>
    <row r="4607" spans="1:10" x14ac:dyDescent="0.25">
      <c r="A4607">
        <v>5214</v>
      </c>
      <c r="B4607" t="s">
        <v>1375</v>
      </c>
      <c r="C4607">
        <v>486</v>
      </c>
      <c r="D4607">
        <v>575</v>
      </c>
      <c r="E4607">
        <v>1577192177</v>
      </c>
      <c r="F4607">
        <v>1584</v>
      </c>
      <c r="G4607">
        <v>0</v>
      </c>
      <c r="H4607" t="s">
        <v>9530</v>
      </c>
      <c r="I4607">
        <v>5214</v>
      </c>
      <c r="J4607" t="str">
        <f>VLOOKUP(E4607,DSSpieler!A:B,2,FALSE)</f>
        <v>mk1093</v>
      </c>
    </row>
    <row r="4608" spans="1:10" x14ac:dyDescent="0.25">
      <c r="A4608">
        <v>5215</v>
      </c>
      <c r="B4608" t="s">
        <v>30816</v>
      </c>
      <c r="C4608">
        <v>590</v>
      </c>
      <c r="D4608">
        <v>513</v>
      </c>
      <c r="E4608">
        <v>1577180067</v>
      </c>
      <c r="F4608">
        <v>6338</v>
      </c>
      <c r="G4608">
        <v>0</v>
      </c>
      <c r="H4608" t="s">
        <v>9531</v>
      </c>
      <c r="I4608">
        <v>5215</v>
      </c>
      <c r="J4608" t="str">
        <f>VLOOKUP(E4608,DSSpieler!A:B,2,FALSE)</f>
        <v>T-jag</v>
      </c>
    </row>
    <row r="4609" spans="1:10" x14ac:dyDescent="0.25">
      <c r="A4609">
        <v>5216</v>
      </c>
      <c r="B4609" t="s">
        <v>531</v>
      </c>
      <c r="C4609">
        <v>506</v>
      </c>
      <c r="D4609">
        <v>502</v>
      </c>
      <c r="E4609">
        <v>0</v>
      </c>
      <c r="F4609">
        <v>191</v>
      </c>
      <c r="G4609">
        <v>0</v>
      </c>
      <c r="H4609" t="s">
        <v>9532</v>
      </c>
      <c r="I4609">
        <v>5216</v>
      </c>
      <c r="J4609" t="e">
        <f>VLOOKUP(E4609,DSSpieler!A:B,2,FALSE)</f>
        <v>#N/A</v>
      </c>
    </row>
    <row r="4610" spans="1:10" x14ac:dyDescent="0.25">
      <c r="A4610">
        <v>5217</v>
      </c>
      <c r="B4610" t="s">
        <v>1376</v>
      </c>
      <c r="C4610">
        <v>468</v>
      </c>
      <c r="D4610">
        <v>406</v>
      </c>
      <c r="E4610">
        <v>214667</v>
      </c>
      <c r="F4610">
        <v>5156</v>
      </c>
      <c r="G4610">
        <v>0</v>
      </c>
      <c r="H4610" t="s">
        <v>9533</v>
      </c>
      <c r="I4610">
        <v>5217</v>
      </c>
      <c r="J4610" t="str">
        <f>VLOOKUP(E4610,DSSpieler!A:B,2,FALSE)</f>
        <v>N-Key</v>
      </c>
    </row>
    <row r="4611" spans="1:10" x14ac:dyDescent="0.25">
      <c r="A4611">
        <v>5219</v>
      </c>
      <c r="B4611" t="s">
        <v>531</v>
      </c>
      <c r="C4611">
        <v>452</v>
      </c>
      <c r="D4611">
        <v>471</v>
      </c>
      <c r="E4611">
        <v>0</v>
      </c>
      <c r="F4611">
        <v>257</v>
      </c>
      <c r="G4611">
        <v>0</v>
      </c>
      <c r="H4611" t="s">
        <v>9534</v>
      </c>
      <c r="I4611">
        <v>5219</v>
      </c>
      <c r="J4611" t="e">
        <f>VLOOKUP(E4611,DSSpieler!A:B,2,FALSE)</f>
        <v>#N/A</v>
      </c>
    </row>
    <row r="4612" spans="1:10" x14ac:dyDescent="0.25">
      <c r="A4612">
        <v>5220</v>
      </c>
      <c r="B4612" t="s">
        <v>32406</v>
      </c>
      <c r="C4612">
        <v>435</v>
      </c>
      <c r="D4612">
        <v>417</v>
      </c>
      <c r="E4612">
        <v>9849940</v>
      </c>
      <c r="F4612">
        <v>6864</v>
      </c>
      <c r="G4612">
        <v>0</v>
      </c>
      <c r="H4612" t="s">
        <v>9535</v>
      </c>
      <c r="I4612">
        <v>5220</v>
      </c>
      <c r="J4612" t="str">
        <f>VLOOKUP(E4612,DSSpieler!A:B,2,FALSE)</f>
        <v>Lord Aarben</v>
      </c>
    </row>
    <row r="4613" spans="1:10" x14ac:dyDescent="0.25">
      <c r="A4613">
        <v>5221</v>
      </c>
      <c r="B4613" t="s">
        <v>32407</v>
      </c>
      <c r="C4613">
        <v>454</v>
      </c>
      <c r="D4613">
        <v>556</v>
      </c>
      <c r="E4613">
        <v>9325150</v>
      </c>
      <c r="F4613">
        <v>6842</v>
      </c>
      <c r="G4613">
        <v>0</v>
      </c>
      <c r="H4613" t="s">
        <v>9536</v>
      </c>
      <c r="I4613">
        <v>5221</v>
      </c>
      <c r="J4613" t="str">
        <f>VLOOKUP(E4613,DSSpieler!A:B,2,FALSE)</f>
        <v>Marzipanmann</v>
      </c>
    </row>
    <row r="4614" spans="1:10" x14ac:dyDescent="0.25">
      <c r="A4614">
        <v>5222</v>
      </c>
      <c r="B4614" t="s">
        <v>32408</v>
      </c>
      <c r="C4614">
        <v>600</v>
      </c>
      <c r="D4614">
        <v>467</v>
      </c>
      <c r="E4614">
        <v>1577175387</v>
      </c>
      <c r="F4614">
        <v>4706</v>
      </c>
      <c r="G4614">
        <v>0</v>
      </c>
      <c r="H4614" t="s">
        <v>9537</v>
      </c>
      <c r="I4614">
        <v>5222</v>
      </c>
      <c r="J4614" t="str">
        <f>VLOOKUP(E4614,DSSpieler!A:B,2,FALSE)</f>
        <v>Rand*</v>
      </c>
    </row>
    <row r="4615" spans="1:10" x14ac:dyDescent="0.25">
      <c r="A4615">
        <v>5223</v>
      </c>
      <c r="B4615" t="s">
        <v>1377</v>
      </c>
      <c r="C4615">
        <v>423</v>
      </c>
      <c r="D4615">
        <v>434</v>
      </c>
      <c r="E4615">
        <v>1577199768</v>
      </c>
      <c r="F4615">
        <v>4776</v>
      </c>
      <c r="G4615">
        <v>0</v>
      </c>
      <c r="H4615" t="s">
        <v>9538</v>
      </c>
      <c r="I4615">
        <v>5223</v>
      </c>
      <c r="J4615" t="str">
        <f>VLOOKUP(E4615,DSSpieler!A:B,2,FALSE)</f>
        <v>Orgasmusmensch</v>
      </c>
    </row>
    <row r="4616" spans="1:10" x14ac:dyDescent="0.25">
      <c r="A4616">
        <v>5224</v>
      </c>
      <c r="B4616" t="s">
        <v>1378</v>
      </c>
      <c r="C4616">
        <v>471</v>
      </c>
      <c r="D4616">
        <v>467</v>
      </c>
      <c r="E4616">
        <v>1577180729</v>
      </c>
      <c r="F4616">
        <v>3747</v>
      </c>
      <c r="G4616">
        <v>0</v>
      </c>
      <c r="H4616" t="s">
        <v>9539</v>
      </c>
      <c r="I4616">
        <v>5224</v>
      </c>
      <c r="J4616" t="str">
        <f>VLOOKUP(E4616,DSSpieler!A:B,2,FALSE)</f>
        <v>FunkTheTank88</v>
      </c>
    </row>
    <row r="4617" spans="1:10" x14ac:dyDescent="0.25">
      <c r="A4617">
        <v>5225</v>
      </c>
      <c r="B4617" t="s">
        <v>1379</v>
      </c>
      <c r="C4617">
        <v>398</v>
      </c>
      <c r="D4617">
        <v>501</v>
      </c>
      <c r="E4617">
        <v>1577164462</v>
      </c>
      <c r="F4617">
        <v>6762</v>
      </c>
      <c r="G4617">
        <v>0</v>
      </c>
      <c r="H4617" t="s">
        <v>9540</v>
      </c>
      <c r="I4617">
        <v>5225</v>
      </c>
      <c r="J4617" t="str">
        <f>VLOOKUP(E4617,DSSpieler!A:B,2,FALSE)</f>
        <v>azog83</v>
      </c>
    </row>
    <row r="4618" spans="1:10" x14ac:dyDescent="0.25">
      <c r="A4618">
        <v>5226</v>
      </c>
      <c r="B4618" t="s">
        <v>546</v>
      </c>
      <c r="C4618">
        <v>503</v>
      </c>
      <c r="D4618">
        <v>473</v>
      </c>
      <c r="E4618">
        <v>1577197597</v>
      </c>
      <c r="F4618">
        <v>4821</v>
      </c>
      <c r="G4618">
        <v>0</v>
      </c>
      <c r="H4618" t="s">
        <v>9541</v>
      </c>
      <c r="I4618">
        <v>5226</v>
      </c>
      <c r="J4618" t="str">
        <f>VLOOKUP(E4618,DSSpieler!A:B,2,FALSE)</f>
        <v>Jimi30</v>
      </c>
    </row>
    <row r="4619" spans="1:10" x14ac:dyDescent="0.25">
      <c r="A4619">
        <v>5227</v>
      </c>
      <c r="B4619" t="s">
        <v>531</v>
      </c>
      <c r="C4619">
        <v>416</v>
      </c>
      <c r="D4619">
        <v>551</v>
      </c>
      <c r="E4619">
        <v>0</v>
      </c>
      <c r="F4619">
        <v>180</v>
      </c>
      <c r="G4619">
        <v>0</v>
      </c>
      <c r="H4619" t="s">
        <v>9542</v>
      </c>
      <c r="I4619">
        <v>5227</v>
      </c>
      <c r="J4619" t="e">
        <f>VLOOKUP(E4619,DSSpieler!A:B,2,FALSE)</f>
        <v>#N/A</v>
      </c>
    </row>
    <row r="4620" spans="1:10" x14ac:dyDescent="0.25">
      <c r="A4620">
        <v>5228</v>
      </c>
      <c r="B4620" t="s">
        <v>531</v>
      </c>
      <c r="C4620">
        <v>517</v>
      </c>
      <c r="D4620">
        <v>421</v>
      </c>
      <c r="E4620">
        <v>0</v>
      </c>
      <c r="F4620">
        <v>1017</v>
      </c>
      <c r="G4620">
        <v>0</v>
      </c>
      <c r="H4620" t="s">
        <v>9543</v>
      </c>
      <c r="I4620">
        <v>5228</v>
      </c>
      <c r="J4620" t="e">
        <f>VLOOKUP(E4620,DSSpieler!A:B,2,FALSE)</f>
        <v>#N/A</v>
      </c>
    </row>
    <row r="4621" spans="1:10" x14ac:dyDescent="0.25">
      <c r="A4621">
        <v>5229</v>
      </c>
      <c r="B4621" t="s">
        <v>31839</v>
      </c>
      <c r="C4621">
        <v>537</v>
      </c>
      <c r="D4621">
        <v>565</v>
      </c>
      <c r="E4621">
        <v>1577011479</v>
      </c>
      <c r="F4621">
        <v>4408</v>
      </c>
      <c r="G4621">
        <v>0</v>
      </c>
      <c r="H4621" t="s">
        <v>9544</v>
      </c>
      <c r="I4621">
        <v>5229</v>
      </c>
      <c r="J4621" t="str">
        <f>VLOOKUP(E4621,DSSpieler!A:B,2,FALSE)</f>
        <v>Dänerys Targaryen</v>
      </c>
    </row>
    <row r="4622" spans="1:10" x14ac:dyDescent="0.25">
      <c r="A4622">
        <v>5230</v>
      </c>
      <c r="B4622" t="s">
        <v>780</v>
      </c>
      <c r="C4622">
        <v>600</v>
      </c>
      <c r="D4622">
        <v>509</v>
      </c>
      <c r="E4622">
        <v>1577177113</v>
      </c>
      <c r="F4622">
        <v>5042</v>
      </c>
      <c r="G4622">
        <v>0</v>
      </c>
      <c r="H4622" t="s">
        <v>9545</v>
      </c>
      <c r="I4622">
        <v>5230</v>
      </c>
      <c r="J4622" t="str">
        <f>VLOOKUP(E4622,DSSpieler!A:B,2,FALSE)</f>
        <v>Bulk Biceps</v>
      </c>
    </row>
    <row r="4623" spans="1:10" x14ac:dyDescent="0.25">
      <c r="A4623">
        <v>5231</v>
      </c>
      <c r="B4623" t="s">
        <v>32409</v>
      </c>
      <c r="C4623">
        <v>471</v>
      </c>
      <c r="D4623">
        <v>448</v>
      </c>
      <c r="E4623">
        <v>1577018096</v>
      </c>
      <c r="F4623">
        <v>4123</v>
      </c>
      <c r="G4623">
        <v>0</v>
      </c>
      <c r="H4623" t="s">
        <v>9546</v>
      </c>
      <c r="I4623">
        <v>5231</v>
      </c>
      <c r="J4623" t="str">
        <f>VLOOKUP(E4623,DSSpieler!A:B,2,FALSE)</f>
        <v>veelora</v>
      </c>
    </row>
    <row r="4624" spans="1:10" x14ac:dyDescent="0.25">
      <c r="A4624">
        <v>5232</v>
      </c>
      <c r="B4624" t="s">
        <v>31490</v>
      </c>
      <c r="C4624">
        <v>558</v>
      </c>
      <c r="D4624">
        <v>565</v>
      </c>
      <c r="E4624">
        <v>1577138953</v>
      </c>
      <c r="F4624">
        <v>6578</v>
      </c>
      <c r="G4624">
        <v>0</v>
      </c>
      <c r="H4624" t="s">
        <v>9547</v>
      </c>
      <c r="I4624">
        <v>5232</v>
      </c>
      <c r="J4624" t="str">
        <f>VLOOKUP(E4624,DSSpieler!A:B,2,FALSE)</f>
        <v>ganz entspannt</v>
      </c>
    </row>
    <row r="4625" spans="1:10" x14ac:dyDescent="0.25">
      <c r="A4625">
        <v>5233</v>
      </c>
      <c r="B4625" t="s">
        <v>531</v>
      </c>
      <c r="C4625">
        <v>485</v>
      </c>
      <c r="D4625">
        <v>543</v>
      </c>
      <c r="E4625">
        <v>0</v>
      </c>
      <c r="F4625">
        <v>277</v>
      </c>
      <c r="G4625">
        <v>0</v>
      </c>
      <c r="H4625" t="s">
        <v>9548</v>
      </c>
      <c r="I4625">
        <v>5233</v>
      </c>
      <c r="J4625" t="e">
        <f>VLOOKUP(E4625,DSSpieler!A:B,2,FALSE)</f>
        <v>#N/A</v>
      </c>
    </row>
    <row r="4626" spans="1:10" x14ac:dyDescent="0.25">
      <c r="A4626">
        <v>5234</v>
      </c>
      <c r="B4626" t="s">
        <v>531</v>
      </c>
      <c r="C4626">
        <v>555</v>
      </c>
      <c r="D4626">
        <v>508</v>
      </c>
      <c r="E4626">
        <v>0</v>
      </c>
      <c r="F4626">
        <v>538</v>
      </c>
      <c r="G4626">
        <v>0</v>
      </c>
      <c r="H4626" t="s">
        <v>9549</v>
      </c>
      <c r="I4626">
        <v>5234</v>
      </c>
      <c r="J4626" t="e">
        <f>VLOOKUP(E4626,DSSpieler!A:B,2,FALSE)</f>
        <v>#N/A</v>
      </c>
    </row>
    <row r="4627" spans="1:10" x14ac:dyDescent="0.25">
      <c r="A4627">
        <v>5235</v>
      </c>
      <c r="B4627" t="s">
        <v>32410</v>
      </c>
      <c r="C4627">
        <v>508</v>
      </c>
      <c r="D4627">
        <v>441</v>
      </c>
      <c r="E4627">
        <v>7984887</v>
      </c>
      <c r="F4627">
        <v>135</v>
      </c>
      <c r="G4627">
        <v>0</v>
      </c>
      <c r="H4627" t="s">
        <v>9550</v>
      </c>
      <c r="I4627">
        <v>5235</v>
      </c>
      <c r="J4627" t="str">
        <f>VLOOKUP(E4627,DSSpieler!A:B,2,FALSE)</f>
        <v>lucas04</v>
      </c>
    </row>
    <row r="4628" spans="1:10" x14ac:dyDescent="0.25">
      <c r="A4628">
        <v>5236</v>
      </c>
      <c r="B4628" t="s">
        <v>32411</v>
      </c>
      <c r="C4628">
        <v>508</v>
      </c>
      <c r="D4628">
        <v>390</v>
      </c>
      <c r="E4628">
        <v>1577181266</v>
      </c>
      <c r="F4628">
        <v>5482</v>
      </c>
      <c r="G4628">
        <v>0</v>
      </c>
      <c r="H4628" t="s">
        <v>9551</v>
      </c>
      <c r="I4628">
        <v>5236</v>
      </c>
      <c r="J4628" t="str">
        <f>VLOOKUP(E4628,DSSpieler!A:B,2,FALSE)</f>
        <v>Vumas</v>
      </c>
    </row>
    <row r="4629" spans="1:10" x14ac:dyDescent="0.25">
      <c r="A4629">
        <v>5237</v>
      </c>
      <c r="B4629" t="s">
        <v>531</v>
      </c>
      <c r="C4629">
        <v>583</v>
      </c>
      <c r="D4629">
        <v>562</v>
      </c>
      <c r="E4629">
        <v>0</v>
      </c>
      <c r="F4629">
        <v>722</v>
      </c>
      <c r="G4629">
        <v>0</v>
      </c>
      <c r="H4629" t="s">
        <v>9552</v>
      </c>
      <c r="I4629">
        <v>5237</v>
      </c>
      <c r="J4629" t="e">
        <f>VLOOKUP(E4629,DSSpieler!A:B,2,FALSE)</f>
        <v>#N/A</v>
      </c>
    </row>
    <row r="4630" spans="1:10" x14ac:dyDescent="0.25">
      <c r="A4630">
        <v>5238</v>
      </c>
      <c r="B4630">
        <v>4</v>
      </c>
      <c r="C4630">
        <v>429</v>
      </c>
      <c r="D4630">
        <v>539</v>
      </c>
      <c r="E4630">
        <v>8227539</v>
      </c>
      <c r="F4630">
        <v>2000</v>
      </c>
      <c r="G4630">
        <v>0</v>
      </c>
      <c r="H4630" t="s">
        <v>9553</v>
      </c>
      <c r="I4630">
        <v>5238</v>
      </c>
      <c r="J4630" t="str">
        <f>VLOOKUP(E4630,DSSpieler!A:B,2,FALSE)</f>
        <v>mathis996</v>
      </c>
    </row>
    <row r="4631" spans="1:10" x14ac:dyDescent="0.25">
      <c r="A4631">
        <v>5239</v>
      </c>
      <c r="B4631" t="s">
        <v>780</v>
      </c>
      <c r="C4631">
        <v>606</v>
      </c>
      <c r="D4631">
        <v>515</v>
      </c>
      <c r="E4631">
        <v>1577177113</v>
      </c>
      <c r="F4631">
        <v>5710</v>
      </c>
      <c r="G4631">
        <v>0</v>
      </c>
      <c r="H4631" t="s">
        <v>9554</v>
      </c>
      <c r="I4631">
        <v>5239</v>
      </c>
      <c r="J4631" t="str">
        <f>VLOOKUP(E4631,DSSpieler!A:B,2,FALSE)</f>
        <v>Bulk Biceps</v>
      </c>
    </row>
    <row r="4632" spans="1:10" x14ac:dyDescent="0.25">
      <c r="A4632">
        <v>5241</v>
      </c>
      <c r="B4632" t="s">
        <v>1380</v>
      </c>
      <c r="C4632">
        <v>431</v>
      </c>
      <c r="D4632">
        <v>472</v>
      </c>
      <c r="E4632">
        <v>1576844674</v>
      </c>
      <c r="F4632">
        <v>5161</v>
      </c>
      <c r="G4632">
        <v>0</v>
      </c>
      <c r="H4632" t="s">
        <v>9555</v>
      </c>
      <c r="I4632">
        <v>5241</v>
      </c>
      <c r="J4632" t="str">
        <f>VLOOKUP(E4632,DSSpieler!A:B,2,FALSE)</f>
        <v>Schnitzel88</v>
      </c>
    </row>
    <row r="4633" spans="1:10" x14ac:dyDescent="0.25">
      <c r="A4633">
        <v>5242</v>
      </c>
      <c r="B4633">
        <v>2</v>
      </c>
      <c r="C4633">
        <v>482</v>
      </c>
      <c r="D4633">
        <v>443</v>
      </c>
      <c r="E4633">
        <v>1577057432</v>
      </c>
      <c r="F4633">
        <v>3764</v>
      </c>
      <c r="G4633">
        <v>0</v>
      </c>
      <c r="H4633" t="s">
        <v>9556</v>
      </c>
      <c r="I4633">
        <v>5242</v>
      </c>
      <c r="J4633" t="str">
        <f>VLOOKUP(E4633,DSSpieler!A:B,2,FALSE)</f>
        <v>Chocogasm</v>
      </c>
    </row>
    <row r="4634" spans="1:10" x14ac:dyDescent="0.25">
      <c r="A4634">
        <v>5243</v>
      </c>
      <c r="B4634" t="s">
        <v>1381</v>
      </c>
      <c r="C4634">
        <v>567</v>
      </c>
      <c r="D4634">
        <v>545</v>
      </c>
      <c r="E4634">
        <v>2874877</v>
      </c>
      <c r="F4634">
        <v>6879</v>
      </c>
      <c r="G4634">
        <v>0</v>
      </c>
      <c r="H4634" t="s">
        <v>9557</v>
      </c>
      <c r="I4634">
        <v>5243</v>
      </c>
      <c r="J4634" t="str">
        <f>VLOOKUP(E4634,DSSpieler!A:B,2,FALSE)</f>
        <v>ICHKILLDICH1</v>
      </c>
    </row>
    <row r="4635" spans="1:10" x14ac:dyDescent="0.25">
      <c r="A4635">
        <v>5244</v>
      </c>
      <c r="B4635" t="s">
        <v>32412</v>
      </c>
      <c r="C4635">
        <v>532</v>
      </c>
      <c r="D4635">
        <v>519</v>
      </c>
      <c r="E4635">
        <v>1577197494</v>
      </c>
      <c r="F4635">
        <v>3694</v>
      </c>
      <c r="G4635">
        <v>0</v>
      </c>
      <c r="H4635" t="s">
        <v>9558</v>
      </c>
      <c r="I4635">
        <v>5244</v>
      </c>
      <c r="J4635" t="str">
        <f>VLOOKUP(E4635,DSSpieler!A:B,2,FALSE)</f>
        <v>roger98</v>
      </c>
    </row>
    <row r="4636" spans="1:10" x14ac:dyDescent="0.25">
      <c r="A4636">
        <v>5245</v>
      </c>
      <c r="B4636" t="s">
        <v>32413</v>
      </c>
      <c r="C4636">
        <v>461</v>
      </c>
      <c r="D4636">
        <v>539</v>
      </c>
      <c r="E4636">
        <v>1576822927</v>
      </c>
      <c r="F4636">
        <v>4065</v>
      </c>
      <c r="G4636">
        <v>0</v>
      </c>
      <c r="H4636" t="s">
        <v>9559</v>
      </c>
      <c r="I4636">
        <v>5245</v>
      </c>
      <c r="J4636" t="str">
        <f>VLOOKUP(E4636,DSSpieler!A:B,2,FALSE)</f>
        <v>PokeTrainer</v>
      </c>
    </row>
    <row r="4637" spans="1:10" x14ac:dyDescent="0.25">
      <c r="A4637">
        <v>5246</v>
      </c>
      <c r="B4637" t="s">
        <v>531</v>
      </c>
      <c r="C4637">
        <v>440</v>
      </c>
      <c r="D4637">
        <v>540</v>
      </c>
      <c r="E4637">
        <v>0</v>
      </c>
      <c r="F4637">
        <v>154</v>
      </c>
      <c r="G4637">
        <v>0</v>
      </c>
      <c r="H4637" t="s">
        <v>9560</v>
      </c>
      <c r="I4637">
        <v>5246</v>
      </c>
      <c r="J4637" t="e">
        <f>VLOOKUP(E4637,DSSpieler!A:B,2,FALSE)</f>
        <v>#N/A</v>
      </c>
    </row>
    <row r="4638" spans="1:10" x14ac:dyDescent="0.25">
      <c r="A4638">
        <v>5247</v>
      </c>
      <c r="B4638" t="s">
        <v>32414</v>
      </c>
      <c r="C4638">
        <v>473</v>
      </c>
      <c r="D4638">
        <v>426</v>
      </c>
      <c r="E4638">
        <v>8979093</v>
      </c>
      <c r="F4638">
        <v>8382</v>
      </c>
      <c r="G4638">
        <v>0</v>
      </c>
      <c r="H4638" t="s">
        <v>9561</v>
      </c>
      <c r="I4638">
        <v>5247</v>
      </c>
      <c r="J4638" t="str">
        <f>VLOOKUP(E4638,DSSpieler!A:B,2,FALSE)</f>
        <v>colderaser</v>
      </c>
    </row>
    <row r="4639" spans="1:10" x14ac:dyDescent="0.25">
      <c r="A4639">
        <v>5248</v>
      </c>
      <c r="B4639" t="s">
        <v>780</v>
      </c>
      <c r="C4639">
        <v>609</v>
      </c>
      <c r="D4639">
        <v>523</v>
      </c>
      <c r="E4639">
        <v>1577127763</v>
      </c>
      <c r="F4639">
        <v>6401</v>
      </c>
      <c r="G4639">
        <v>0</v>
      </c>
      <c r="H4639" t="s">
        <v>9562</v>
      </c>
      <c r="I4639">
        <v>5248</v>
      </c>
      <c r="J4639" t="str">
        <f>VLOOKUP(E4639,DSSpieler!A:B,2,FALSE)</f>
        <v>Lord PickleRick</v>
      </c>
    </row>
    <row r="4640" spans="1:10" x14ac:dyDescent="0.25">
      <c r="A4640">
        <v>5249</v>
      </c>
      <c r="B4640" t="s">
        <v>32415</v>
      </c>
      <c r="C4640">
        <v>414</v>
      </c>
      <c r="D4640">
        <v>507</v>
      </c>
      <c r="E4640">
        <v>1577174186</v>
      </c>
      <c r="F4640">
        <v>4675</v>
      </c>
      <c r="G4640">
        <v>0</v>
      </c>
      <c r="H4640" t="s">
        <v>9563</v>
      </c>
      <c r="I4640">
        <v>5249</v>
      </c>
      <c r="J4640" t="str">
        <f>VLOOKUP(E4640,DSSpieler!A:B,2,FALSE)</f>
        <v>TuTsckin Dark</v>
      </c>
    </row>
    <row r="4641" spans="1:10" x14ac:dyDescent="0.25">
      <c r="A4641">
        <v>5250</v>
      </c>
      <c r="B4641" t="s">
        <v>32416</v>
      </c>
      <c r="C4641">
        <v>428</v>
      </c>
      <c r="D4641">
        <v>529</v>
      </c>
      <c r="E4641">
        <v>1577180157</v>
      </c>
      <c r="F4641">
        <v>5452</v>
      </c>
      <c r="G4641">
        <v>0</v>
      </c>
      <c r="H4641" t="s">
        <v>9564</v>
      </c>
      <c r="I4641">
        <v>5250</v>
      </c>
      <c r="J4641" t="str">
        <f>VLOOKUP(E4641,DSSpieler!A:B,2,FALSE)</f>
        <v>kardalon</v>
      </c>
    </row>
    <row r="4642" spans="1:10" x14ac:dyDescent="0.25">
      <c r="A4642">
        <v>5251</v>
      </c>
      <c r="B4642" t="s">
        <v>1382</v>
      </c>
      <c r="C4642">
        <v>553</v>
      </c>
      <c r="D4642">
        <v>454</v>
      </c>
      <c r="E4642">
        <v>8589054</v>
      </c>
      <c r="F4642">
        <v>1282</v>
      </c>
      <c r="G4642">
        <v>0</v>
      </c>
      <c r="H4642" t="s">
        <v>9565</v>
      </c>
      <c r="I4642">
        <v>5251</v>
      </c>
      <c r="J4642" t="str">
        <f>VLOOKUP(E4642,DSSpieler!A:B,2,FALSE)</f>
        <v>NILSTER</v>
      </c>
    </row>
    <row r="4643" spans="1:10" x14ac:dyDescent="0.25">
      <c r="A4643">
        <v>5252</v>
      </c>
      <c r="B4643" t="s">
        <v>531</v>
      </c>
      <c r="C4643">
        <v>575</v>
      </c>
      <c r="D4643">
        <v>490</v>
      </c>
      <c r="E4643">
        <v>0</v>
      </c>
      <c r="F4643">
        <v>546</v>
      </c>
      <c r="G4643">
        <v>0</v>
      </c>
      <c r="H4643" t="s">
        <v>9566</v>
      </c>
      <c r="I4643">
        <v>5252</v>
      </c>
      <c r="J4643" t="e">
        <f>VLOOKUP(E4643,DSSpieler!A:B,2,FALSE)</f>
        <v>#N/A</v>
      </c>
    </row>
    <row r="4644" spans="1:10" x14ac:dyDescent="0.25">
      <c r="A4644">
        <v>5253</v>
      </c>
      <c r="B4644" t="s">
        <v>32417</v>
      </c>
      <c r="C4644">
        <v>460</v>
      </c>
      <c r="D4644">
        <v>539</v>
      </c>
      <c r="E4644">
        <v>1576822927</v>
      </c>
      <c r="F4644">
        <v>4988</v>
      </c>
      <c r="G4644">
        <v>0</v>
      </c>
      <c r="H4644" t="s">
        <v>9567</v>
      </c>
      <c r="I4644">
        <v>5253</v>
      </c>
      <c r="J4644" t="str">
        <f>VLOOKUP(E4644,DSSpieler!A:B,2,FALSE)</f>
        <v>PokeTrainer</v>
      </c>
    </row>
    <row r="4645" spans="1:10" x14ac:dyDescent="0.25">
      <c r="A4645">
        <v>5254</v>
      </c>
      <c r="B4645" t="s">
        <v>32418</v>
      </c>
      <c r="C4645">
        <v>567</v>
      </c>
      <c r="D4645">
        <v>507</v>
      </c>
      <c r="E4645">
        <v>8627192</v>
      </c>
      <c r="F4645">
        <v>6932</v>
      </c>
      <c r="G4645">
        <v>0</v>
      </c>
      <c r="H4645" t="s">
        <v>9568</v>
      </c>
      <c r="I4645">
        <v>5254</v>
      </c>
      <c r="J4645" t="str">
        <f>VLOOKUP(E4645,DSSpieler!A:B,2,FALSE)</f>
        <v>Elektric</v>
      </c>
    </row>
    <row r="4646" spans="1:10" x14ac:dyDescent="0.25">
      <c r="A4646">
        <v>5255</v>
      </c>
      <c r="B4646">
        <v>1</v>
      </c>
      <c r="C4646">
        <v>554</v>
      </c>
      <c r="D4646">
        <v>488</v>
      </c>
      <c r="E4646">
        <v>1577068066</v>
      </c>
      <c r="F4646">
        <v>6489</v>
      </c>
      <c r="G4646">
        <v>0</v>
      </c>
      <c r="H4646" t="s">
        <v>9569</v>
      </c>
      <c r="I4646">
        <v>5255</v>
      </c>
      <c r="J4646" t="str">
        <f>VLOOKUP(E4646,DSSpieler!A:B,2,FALSE)</f>
        <v>takeuchi</v>
      </c>
    </row>
    <row r="4647" spans="1:10" x14ac:dyDescent="0.25">
      <c r="A4647">
        <v>5256</v>
      </c>
      <c r="B4647" t="s">
        <v>32419</v>
      </c>
      <c r="C4647">
        <v>436</v>
      </c>
      <c r="D4647">
        <v>455</v>
      </c>
      <c r="E4647">
        <v>8459448</v>
      </c>
      <c r="F4647">
        <v>5985</v>
      </c>
      <c r="G4647">
        <v>0</v>
      </c>
      <c r="H4647" t="s">
        <v>9570</v>
      </c>
      <c r="I4647">
        <v>5256</v>
      </c>
      <c r="J4647" t="str">
        <f>VLOOKUP(E4647,DSSpieler!A:B,2,FALSE)</f>
        <v>DarkDarco</v>
      </c>
    </row>
    <row r="4648" spans="1:10" x14ac:dyDescent="0.25">
      <c r="A4648">
        <v>5257</v>
      </c>
      <c r="B4648" t="s">
        <v>32420</v>
      </c>
      <c r="C4648">
        <v>461</v>
      </c>
      <c r="D4648">
        <v>507</v>
      </c>
      <c r="E4648">
        <v>1576181376</v>
      </c>
      <c r="F4648">
        <v>5624</v>
      </c>
      <c r="G4648">
        <v>0</v>
      </c>
      <c r="H4648" t="s">
        <v>9571</v>
      </c>
      <c r="I4648">
        <v>5257</v>
      </c>
      <c r="J4648" t="str">
        <f>VLOOKUP(E4648,DSSpieler!A:B,2,FALSE)</f>
        <v>TIOL</v>
      </c>
    </row>
    <row r="4649" spans="1:10" x14ac:dyDescent="0.25">
      <c r="A4649">
        <v>5258</v>
      </c>
      <c r="B4649" t="s">
        <v>1383</v>
      </c>
      <c r="C4649">
        <v>460</v>
      </c>
      <c r="D4649">
        <v>557</v>
      </c>
      <c r="E4649">
        <v>9764565</v>
      </c>
      <c r="F4649">
        <v>6897</v>
      </c>
      <c r="G4649">
        <v>0</v>
      </c>
      <c r="H4649" t="s">
        <v>9572</v>
      </c>
      <c r="I4649">
        <v>5258</v>
      </c>
      <c r="J4649" t="str">
        <f>VLOOKUP(E4649,DSSpieler!A:B,2,FALSE)</f>
        <v>Capt.Bizeps</v>
      </c>
    </row>
    <row r="4650" spans="1:10" x14ac:dyDescent="0.25">
      <c r="A4650">
        <v>5259</v>
      </c>
      <c r="B4650" t="s">
        <v>32421</v>
      </c>
      <c r="C4650">
        <v>516</v>
      </c>
      <c r="D4650">
        <v>501</v>
      </c>
      <c r="E4650">
        <v>959593</v>
      </c>
      <c r="F4650">
        <v>1466</v>
      </c>
      <c r="G4650">
        <v>0</v>
      </c>
      <c r="H4650" t="s">
        <v>9573</v>
      </c>
      <c r="I4650">
        <v>5259</v>
      </c>
      <c r="J4650" t="str">
        <f>VLOOKUP(E4650,DSSpieler!A:B,2,FALSE)</f>
        <v>P.und B.</v>
      </c>
    </row>
    <row r="4651" spans="1:10" x14ac:dyDescent="0.25">
      <c r="A4651">
        <v>5260</v>
      </c>
      <c r="B4651" t="s">
        <v>540</v>
      </c>
      <c r="C4651">
        <v>604</v>
      </c>
      <c r="D4651">
        <v>460</v>
      </c>
      <c r="E4651">
        <v>1576218773</v>
      </c>
      <c r="F4651">
        <v>5929</v>
      </c>
      <c r="G4651">
        <v>0</v>
      </c>
      <c r="H4651" t="s">
        <v>9574</v>
      </c>
      <c r="I4651">
        <v>5260</v>
      </c>
      <c r="J4651" t="str">
        <f>VLOOKUP(E4651,DSSpieler!A:B,2,FALSE)</f>
        <v>Putinsrechtehand</v>
      </c>
    </row>
    <row r="4652" spans="1:10" x14ac:dyDescent="0.25">
      <c r="A4652">
        <v>5261</v>
      </c>
      <c r="B4652">
        <v>0</v>
      </c>
      <c r="C4652">
        <v>443</v>
      </c>
      <c r="D4652">
        <v>455</v>
      </c>
      <c r="E4652">
        <v>1576730474</v>
      </c>
      <c r="F4652">
        <v>8486</v>
      </c>
      <c r="G4652">
        <v>0</v>
      </c>
      <c r="H4652" t="s">
        <v>9575</v>
      </c>
      <c r="I4652">
        <v>5261</v>
      </c>
      <c r="J4652" t="str">
        <f>VLOOKUP(E4652,DSSpieler!A:B,2,FALSE)</f>
        <v>Cookilie</v>
      </c>
    </row>
    <row r="4653" spans="1:10" x14ac:dyDescent="0.25">
      <c r="A4653">
        <v>5262</v>
      </c>
      <c r="B4653" t="s">
        <v>32422</v>
      </c>
      <c r="C4653">
        <v>472</v>
      </c>
      <c r="D4653">
        <v>420</v>
      </c>
      <c r="E4653">
        <v>1576680977</v>
      </c>
      <c r="F4653">
        <v>6635</v>
      </c>
      <c r="G4653">
        <v>0</v>
      </c>
      <c r="H4653" t="s">
        <v>9576</v>
      </c>
      <c r="I4653">
        <v>5262</v>
      </c>
      <c r="J4653" t="str">
        <f>VLOOKUP(E4653,DSSpieler!A:B,2,FALSE)</f>
        <v>HeavenKeeper</v>
      </c>
    </row>
    <row r="4654" spans="1:10" x14ac:dyDescent="0.25">
      <c r="A4654">
        <v>5263</v>
      </c>
      <c r="B4654" t="s">
        <v>32423</v>
      </c>
      <c r="C4654">
        <v>475</v>
      </c>
      <c r="D4654">
        <v>459</v>
      </c>
      <c r="E4654">
        <v>3164121</v>
      </c>
      <c r="F4654">
        <v>5386</v>
      </c>
      <c r="G4654">
        <v>0</v>
      </c>
      <c r="H4654" t="s">
        <v>9577</v>
      </c>
      <c r="I4654">
        <v>5263</v>
      </c>
      <c r="J4654" t="str">
        <f>VLOOKUP(E4654,DSSpieler!A:B,2,FALSE)</f>
        <v>Barmbeckham</v>
      </c>
    </row>
    <row r="4655" spans="1:10" x14ac:dyDescent="0.25">
      <c r="A4655">
        <v>5264</v>
      </c>
      <c r="B4655" t="s">
        <v>531</v>
      </c>
      <c r="C4655">
        <v>559</v>
      </c>
      <c r="D4655">
        <v>492</v>
      </c>
      <c r="E4655">
        <v>0</v>
      </c>
      <c r="F4655">
        <v>185</v>
      </c>
      <c r="G4655">
        <v>0</v>
      </c>
      <c r="H4655" t="s">
        <v>9578</v>
      </c>
      <c r="I4655">
        <v>5264</v>
      </c>
      <c r="J4655" t="e">
        <f>VLOOKUP(E4655,DSSpieler!A:B,2,FALSE)</f>
        <v>#N/A</v>
      </c>
    </row>
    <row r="4656" spans="1:10" x14ac:dyDescent="0.25">
      <c r="A4656">
        <v>5265</v>
      </c>
      <c r="B4656" t="s">
        <v>531</v>
      </c>
      <c r="C4656">
        <v>483</v>
      </c>
      <c r="D4656">
        <v>499</v>
      </c>
      <c r="E4656">
        <v>0</v>
      </c>
      <c r="F4656">
        <v>255</v>
      </c>
      <c r="G4656">
        <v>0</v>
      </c>
      <c r="H4656" t="s">
        <v>9579</v>
      </c>
      <c r="I4656">
        <v>5265</v>
      </c>
      <c r="J4656" t="e">
        <f>VLOOKUP(E4656,DSSpieler!A:B,2,FALSE)</f>
        <v>#N/A</v>
      </c>
    </row>
    <row r="4657" spans="1:10" x14ac:dyDescent="0.25">
      <c r="A4657">
        <v>5266</v>
      </c>
      <c r="B4657" t="s">
        <v>531</v>
      </c>
      <c r="C4657">
        <v>433</v>
      </c>
      <c r="D4657">
        <v>421</v>
      </c>
      <c r="E4657">
        <v>0</v>
      </c>
      <c r="F4657">
        <v>307</v>
      </c>
      <c r="G4657">
        <v>0</v>
      </c>
      <c r="H4657" t="s">
        <v>9580</v>
      </c>
      <c r="I4657">
        <v>5266</v>
      </c>
      <c r="J4657" t="e">
        <f>VLOOKUP(E4657,DSSpieler!A:B,2,FALSE)</f>
        <v>#N/A</v>
      </c>
    </row>
    <row r="4658" spans="1:10" x14ac:dyDescent="0.25">
      <c r="A4658">
        <v>5267</v>
      </c>
      <c r="B4658" t="s">
        <v>531</v>
      </c>
      <c r="C4658">
        <v>581</v>
      </c>
      <c r="D4658">
        <v>500</v>
      </c>
      <c r="E4658">
        <v>0</v>
      </c>
      <c r="F4658">
        <v>217</v>
      </c>
      <c r="G4658">
        <v>0</v>
      </c>
      <c r="H4658" t="s">
        <v>9581</v>
      </c>
      <c r="I4658">
        <v>5267</v>
      </c>
      <c r="J4658" t="e">
        <f>VLOOKUP(E4658,DSSpieler!A:B,2,FALSE)</f>
        <v>#N/A</v>
      </c>
    </row>
    <row r="4659" spans="1:10" x14ac:dyDescent="0.25">
      <c r="A4659">
        <v>5268</v>
      </c>
      <c r="B4659">
        <v>2</v>
      </c>
      <c r="C4659">
        <v>598</v>
      </c>
      <c r="D4659">
        <v>449</v>
      </c>
      <c r="E4659">
        <v>10196539</v>
      </c>
      <c r="F4659">
        <v>5182</v>
      </c>
      <c r="G4659">
        <v>0</v>
      </c>
      <c r="H4659" t="s">
        <v>9582</v>
      </c>
      <c r="I4659">
        <v>5268</v>
      </c>
      <c r="J4659" t="str">
        <f>VLOOKUP(E4659,DSSpieler!A:B,2,FALSE)</f>
        <v>leaguezok</v>
      </c>
    </row>
    <row r="4660" spans="1:10" x14ac:dyDescent="0.25">
      <c r="A4660">
        <v>5269</v>
      </c>
      <c r="B4660" t="s">
        <v>531</v>
      </c>
      <c r="C4660">
        <v>517</v>
      </c>
      <c r="D4660">
        <v>470</v>
      </c>
      <c r="E4660">
        <v>0</v>
      </c>
      <c r="F4660">
        <v>467</v>
      </c>
      <c r="G4660">
        <v>0</v>
      </c>
      <c r="H4660" t="s">
        <v>9583</v>
      </c>
      <c r="I4660">
        <v>5269</v>
      </c>
      <c r="J4660" t="e">
        <f>VLOOKUP(E4660,DSSpieler!A:B,2,FALSE)</f>
        <v>#N/A</v>
      </c>
    </row>
    <row r="4661" spans="1:10" x14ac:dyDescent="0.25">
      <c r="A4661">
        <v>5270</v>
      </c>
      <c r="B4661" t="s">
        <v>32424</v>
      </c>
      <c r="C4661">
        <v>460</v>
      </c>
      <c r="D4661">
        <v>601</v>
      </c>
      <c r="E4661">
        <v>1577197817</v>
      </c>
      <c r="F4661">
        <v>5608</v>
      </c>
      <c r="G4661">
        <v>0</v>
      </c>
      <c r="H4661" t="s">
        <v>9584</v>
      </c>
      <c r="I4661">
        <v>5270</v>
      </c>
      <c r="J4661" t="str">
        <f>VLOOKUP(E4661,DSSpieler!A:B,2,FALSE)</f>
        <v>Gang06</v>
      </c>
    </row>
    <row r="4662" spans="1:10" x14ac:dyDescent="0.25">
      <c r="A4662">
        <v>5271</v>
      </c>
      <c r="B4662" t="s">
        <v>1384</v>
      </c>
      <c r="C4662">
        <v>566</v>
      </c>
      <c r="D4662">
        <v>414</v>
      </c>
      <c r="E4662">
        <v>1576957697</v>
      </c>
      <c r="F4662">
        <v>5274</v>
      </c>
      <c r="G4662">
        <v>0</v>
      </c>
      <c r="H4662" t="s">
        <v>9585</v>
      </c>
      <c r="I4662">
        <v>5271</v>
      </c>
      <c r="J4662" t="str">
        <f>VLOOKUP(E4662,DSSpieler!A:B,2,FALSE)</f>
        <v>MrJunior23</v>
      </c>
    </row>
    <row r="4663" spans="1:10" x14ac:dyDescent="0.25">
      <c r="A4663">
        <v>5272</v>
      </c>
      <c r="B4663" t="s">
        <v>1385</v>
      </c>
      <c r="C4663">
        <v>514</v>
      </c>
      <c r="D4663">
        <v>515</v>
      </c>
      <c r="E4663">
        <v>8945393</v>
      </c>
      <c r="F4663">
        <v>5430</v>
      </c>
      <c r="G4663">
        <v>0</v>
      </c>
      <c r="H4663" t="s">
        <v>9586</v>
      </c>
      <c r="I4663">
        <v>5272</v>
      </c>
      <c r="J4663" t="str">
        <f>VLOOKUP(E4663,DSSpieler!A:B,2,FALSE)</f>
        <v>Maus-15</v>
      </c>
    </row>
    <row r="4664" spans="1:10" x14ac:dyDescent="0.25">
      <c r="A4664">
        <v>5273</v>
      </c>
      <c r="B4664" t="s">
        <v>31619</v>
      </c>
      <c r="C4664">
        <v>528</v>
      </c>
      <c r="D4664">
        <v>424</v>
      </c>
      <c r="E4664">
        <v>1577197561</v>
      </c>
      <c r="F4664">
        <v>5513</v>
      </c>
      <c r="G4664">
        <v>0</v>
      </c>
      <c r="H4664" t="s">
        <v>9587</v>
      </c>
      <c r="I4664">
        <v>5273</v>
      </c>
      <c r="J4664" t="str">
        <f>VLOOKUP(E4664,DSSpieler!A:B,2,FALSE)</f>
        <v>Tim Traitor</v>
      </c>
    </row>
    <row r="4665" spans="1:10" x14ac:dyDescent="0.25">
      <c r="A4665">
        <v>5274</v>
      </c>
      <c r="B4665" t="s">
        <v>32425</v>
      </c>
      <c r="C4665">
        <v>441</v>
      </c>
      <c r="D4665">
        <v>469</v>
      </c>
      <c r="E4665">
        <v>1575953788</v>
      </c>
      <c r="F4665">
        <v>4123</v>
      </c>
      <c r="G4665">
        <v>0</v>
      </c>
      <c r="H4665" t="s">
        <v>9588</v>
      </c>
      <c r="I4665">
        <v>5274</v>
      </c>
      <c r="J4665" t="str">
        <f>VLOOKUP(E4665,DSSpieler!A:B,2,FALSE)</f>
        <v>BruderSamuel</v>
      </c>
    </row>
    <row r="4666" spans="1:10" x14ac:dyDescent="0.25">
      <c r="A4666">
        <v>5275</v>
      </c>
      <c r="B4666" t="s">
        <v>32426</v>
      </c>
      <c r="C4666">
        <v>486</v>
      </c>
      <c r="D4666">
        <v>452</v>
      </c>
      <c r="E4666">
        <v>1577172941</v>
      </c>
      <c r="F4666">
        <v>6973</v>
      </c>
      <c r="G4666">
        <v>0</v>
      </c>
      <c r="H4666" t="s">
        <v>9589</v>
      </c>
      <c r="I4666">
        <v>5275</v>
      </c>
      <c r="J4666" t="str">
        <f>VLOOKUP(E4666,DSSpieler!A:B,2,FALSE)</f>
        <v>Breuninger</v>
      </c>
    </row>
    <row r="4667" spans="1:10" x14ac:dyDescent="0.25">
      <c r="A4667">
        <v>5276</v>
      </c>
      <c r="B4667" t="s">
        <v>531</v>
      </c>
      <c r="C4667">
        <v>544</v>
      </c>
      <c r="D4667">
        <v>483</v>
      </c>
      <c r="E4667">
        <v>0</v>
      </c>
      <c r="F4667">
        <v>375</v>
      </c>
      <c r="G4667">
        <v>0</v>
      </c>
      <c r="H4667" t="s">
        <v>9590</v>
      </c>
      <c r="I4667">
        <v>5276</v>
      </c>
      <c r="J4667" t="e">
        <f>VLOOKUP(E4667,DSSpieler!A:B,2,FALSE)</f>
        <v>#N/A</v>
      </c>
    </row>
    <row r="4668" spans="1:10" x14ac:dyDescent="0.25">
      <c r="A4668">
        <v>5277</v>
      </c>
      <c r="B4668" t="s">
        <v>32427</v>
      </c>
      <c r="C4668">
        <v>529</v>
      </c>
      <c r="D4668">
        <v>438</v>
      </c>
      <c r="E4668">
        <v>2708826</v>
      </c>
      <c r="F4668">
        <v>5733</v>
      </c>
      <c r="G4668">
        <v>0</v>
      </c>
      <c r="H4668" t="s">
        <v>9591</v>
      </c>
      <c r="I4668">
        <v>5277</v>
      </c>
      <c r="J4668" t="str">
        <f>VLOOKUP(E4668,DSSpieler!A:B,2,FALSE)</f>
        <v>sim001</v>
      </c>
    </row>
    <row r="4669" spans="1:10" x14ac:dyDescent="0.25">
      <c r="A4669">
        <v>5278</v>
      </c>
      <c r="B4669" t="s">
        <v>894</v>
      </c>
      <c r="C4669">
        <v>474</v>
      </c>
      <c r="D4669">
        <v>492</v>
      </c>
      <c r="E4669">
        <v>1577075103</v>
      </c>
      <c r="F4669">
        <v>2896</v>
      </c>
      <c r="G4669">
        <v>0</v>
      </c>
      <c r="H4669" t="s">
        <v>9592</v>
      </c>
      <c r="I4669">
        <v>5278</v>
      </c>
      <c r="J4669" t="str">
        <f>VLOOKUP(E4669,DSSpieler!A:B,2,FALSE)</f>
        <v>TopalOsman</v>
      </c>
    </row>
    <row r="4670" spans="1:10" x14ac:dyDescent="0.25">
      <c r="A4670">
        <v>5279</v>
      </c>
      <c r="B4670" t="s">
        <v>531</v>
      </c>
      <c r="C4670">
        <v>426</v>
      </c>
      <c r="D4670">
        <v>503</v>
      </c>
      <c r="E4670">
        <v>0</v>
      </c>
      <c r="F4670">
        <v>259</v>
      </c>
      <c r="G4670">
        <v>0</v>
      </c>
      <c r="H4670" t="s">
        <v>9593</v>
      </c>
      <c r="I4670">
        <v>5279</v>
      </c>
      <c r="J4670" t="e">
        <f>VLOOKUP(E4670,DSSpieler!A:B,2,FALSE)</f>
        <v>#N/A</v>
      </c>
    </row>
    <row r="4671" spans="1:10" x14ac:dyDescent="0.25">
      <c r="A4671">
        <v>5280</v>
      </c>
      <c r="B4671" t="s">
        <v>531</v>
      </c>
      <c r="C4671">
        <v>570</v>
      </c>
      <c r="D4671">
        <v>477</v>
      </c>
      <c r="E4671">
        <v>0</v>
      </c>
      <c r="F4671">
        <v>256</v>
      </c>
      <c r="G4671">
        <v>0</v>
      </c>
      <c r="H4671" t="s">
        <v>9594</v>
      </c>
      <c r="I4671">
        <v>5280</v>
      </c>
      <c r="J4671" t="e">
        <f>VLOOKUP(E4671,DSSpieler!A:B,2,FALSE)</f>
        <v>#N/A</v>
      </c>
    </row>
    <row r="4672" spans="1:10" x14ac:dyDescent="0.25">
      <c r="A4672">
        <v>5281</v>
      </c>
      <c r="B4672" t="s">
        <v>531</v>
      </c>
      <c r="C4672">
        <v>487</v>
      </c>
      <c r="D4672">
        <v>494</v>
      </c>
      <c r="E4672">
        <v>0</v>
      </c>
      <c r="F4672">
        <v>321</v>
      </c>
      <c r="G4672">
        <v>0</v>
      </c>
      <c r="H4672" t="s">
        <v>9595</v>
      </c>
      <c r="I4672">
        <v>5281</v>
      </c>
      <c r="J4672" t="e">
        <f>VLOOKUP(E4672,DSSpieler!A:B,2,FALSE)</f>
        <v>#N/A</v>
      </c>
    </row>
    <row r="4673" spans="1:10" x14ac:dyDescent="0.25">
      <c r="A4673">
        <v>5282</v>
      </c>
      <c r="B4673" t="s">
        <v>32428</v>
      </c>
      <c r="C4673">
        <v>489</v>
      </c>
      <c r="D4673">
        <v>417</v>
      </c>
      <c r="E4673">
        <v>1577186342</v>
      </c>
      <c r="F4673">
        <v>5742</v>
      </c>
      <c r="G4673">
        <v>0</v>
      </c>
      <c r="H4673" t="s">
        <v>9596</v>
      </c>
      <c r="I4673">
        <v>5282</v>
      </c>
      <c r="J4673" t="str">
        <f>VLOOKUP(E4673,DSSpieler!A:B,2,FALSE)</f>
        <v>ichundmeinvolk</v>
      </c>
    </row>
    <row r="4674" spans="1:10" x14ac:dyDescent="0.25">
      <c r="A4674">
        <v>5283</v>
      </c>
      <c r="B4674">
        <v>8</v>
      </c>
      <c r="C4674">
        <v>563</v>
      </c>
      <c r="D4674">
        <v>499</v>
      </c>
      <c r="E4674">
        <v>1577197994</v>
      </c>
      <c r="F4674">
        <v>6305</v>
      </c>
      <c r="G4674">
        <v>0</v>
      </c>
      <c r="H4674" t="s">
        <v>9597</v>
      </c>
      <c r="I4674">
        <v>5283</v>
      </c>
      <c r="J4674" t="str">
        <f>VLOOKUP(E4674,DSSpieler!A:B,2,FALSE)</f>
        <v>Spriee</v>
      </c>
    </row>
    <row r="4675" spans="1:10" x14ac:dyDescent="0.25">
      <c r="A4675">
        <v>5284</v>
      </c>
      <c r="B4675" t="s">
        <v>31439</v>
      </c>
      <c r="C4675">
        <v>438</v>
      </c>
      <c r="D4675">
        <v>532</v>
      </c>
      <c r="E4675">
        <v>1576575171</v>
      </c>
      <c r="F4675">
        <v>4804</v>
      </c>
      <c r="G4675">
        <v>0</v>
      </c>
      <c r="H4675" t="s">
        <v>9598</v>
      </c>
      <c r="I4675">
        <v>5284</v>
      </c>
      <c r="J4675" t="str">
        <f>VLOOKUP(E4675,DSSpieler!A:B,2,FALSE)</f>
        <v>2HCL</v>
      </c>
    </row>
    <row r="4676" spans="1:10" x14ac:dyDescent="0.25">
      <c r="A4676">
        <v>5285</v>
      </c>
      <c r="B4676">
        <v>1</v>
      </c>
      <c r="C4676">
        <v>566</v>
      </c>
      <c r="D4676">
        <v>498</v>
      </c>
      <c r="E4676">
        <v>1577197994</v>
      </c>
      <c r="F4676">
        <v>5222</v>
      </c>
      <c r="G4676">
        <v>0</v>
      </c>
      <c r="H4676" t="s">
        <v>9599</v>
      </c>
      <c r="I4676">
        <v>5285</v>
      </c>
      <c r="J4676" t="str">
        <f>VLOOKUP(E4676,DSSpieler!A:B,2,FALSE)</f>
        <v>Spriee</v>
      </c>
    </row>
    <row r="4677" spans="1:10" x14ac:dyDescent="0.25">
      <c r="A4677">
        <v>5287</v>
      </c>
      <c r="B4677" t="s">
        <v>32429</v>
      </c>
      <c r="C4677">
        <v>435</v>
      </c>
      <c r="D4677">
        <v>412</v>
      </c>
      <c r="E4677">
        <v>1576953927</v>
      </c>
      <c r="F4677">
        <v>5949</v>
      </c>
      <c r="G4677">
        <v>0</v>
      </c>
      <c r="H4677" t="s">
        <v>9600</v>
      </c>
      <c r="I4677">
        <v>5287</v>
      </c>
      <c r="J4677" t="str">
        <f>VLOOKUP(E4677,DSSpieler!A:B,2,FALSE)</f>
        <v>Fürst Finn</v>
      </c>
    </row>
    <row r="4678" spans="1:10" x14ac:dyDescent="0.25">
      <c r="A4678">
        <v>5289</v>
      </c>
      <c r="B4678" t="s">
        <v>32430</v>
      </c>
      <c r="C4678">
        <v>564</v>
      </c>
      <c r="D4678">
        <v>508</v>
      </c>
      <c r="E4678">
        <v>1577167230</v>
      </c>
      <c r="F4678">
        <v>26</v>
      </c>
      <c r="G4678">
        <v>0</v>
      </c>
      <c r="H4678" t="s">
        <v>9601</v>
      </c>
      <c r="I4678">
        <v>5289</v>
      </c>
      <c r="J4678" t="str">
        <f>VLOOKUP(E4678,DSSpieler!A:B,2,FALSE)</f>
        <v>brotzeit</v>
      </c>
    </row>
    <row r="4679" spans="1:10" x14ac:dyDescent="0.25">
      <c r="A4679">
        <v>5290</v>
      </c>
      <c r="B4679" t="s">
        <v>1386</v>
      </c>
      <c r="C4679">
        <v>502</v>
      </c>
      <c r="D4679">
        <v>511</v>
      </c>
      <c r="E4679">
        <v>1577198083</v>
      </c>
      <c r="F4679">
        <v>1298</v>
      </c>
      <c r="G4679">
        <v>0</v>
      </c>
      <c r="H4679" t="s">
        <v>9602</v>
      </c>
      <c r="I4679">
        <v>5290</v>
      </c>
      <c r="J4679" t="str">
        <f>VLOOKUP(E4679,DSSpieler!A:B,2,FALSE)</f>
        <v>10Noah10</v>
      </c>
    </row>
    <row r="4680" spans="1:10" x14ac:dyDescent="0.25">
      <c r="A4680">
        <v>5291</v>
      </c>
      <c r="B4680" t="s">
        <v>531</v>
      </c>
      <c r="C4680">
        <v>470</v>
      </c>
      <c r="D4680">
        <v>567</v>
      </c>
      <c r="E4680">
        <v>0</v>
      </c>
      <c r="F4680">
        <v>483</v>
      </c>
      <c r="G4680">
        <v>0</v>
      </c>
      <c r="H4680" t="s">
        <v>9603</v>
      </c>
      <c r="I4680">
        <v>5291</v>
      </c>
      <c r="J4680" t="e">
        <f>VLOOKUP(E4680,DSSpieler!A:B,2,FALSE)</f>
        <v>#N/A</v>
      </c>
    </row>
    <row r="4681" spans="1:10" x14ac:dyDescent="0.25">
      <c r="A4681">
        <v>5292</v>
      </c>
      <c r="B4681" t="s">
        <v>531</v>
      </c>
      <c r="C4681">
        <v>556</v>
      </c>
      <c r="D4681">
        <v>519</v>
      </c>
      <c r="E4681">
        <v>0</v>
      </c>
      <c r="F4681">
        <v>341</v>
      </c>
      <c r="G4681">
        <v>0</v>
      </c>
      <c r="H4681" t="s">
        <v>9604</v>
      </c>
      <c r="I4681">
        <v>5292</v>
      </c>
      <c r="J4681" t="e">
        <f>VLOOKUP(E4681,DSSpieler!A:B,2,FALSE)</f>
        <v>#N/A</v>
      </c>
    </row>
    <row r="4682" spans="1:10" x14ac:dyDescent="0.25">
      <c r="A4682">
        <v>5293</v>
      </c>
      <c r="B4682" t="s">
        <v>32431</v>
      </c>
      <c r="C4682">
        <v>543</v>
      </c>
      <c r="D4682">
        <v>445</v>
      </c>
      <c r="E4682">
        <v>8951253</v>
      </c>
      <c r="F4682">
        <v>5219</v>
      </c>
      <c r="G4682">
        <v>0</v>
      </c>
      <c r="H4682" t="s">
        <v>9605</v>
      </c>
      <c r="I4682">
        <v>5293</v>
      </c>
      <c r="J4682" t="str">
        <f>VLOOKUP(E4682,DSSpieler!A:B,2,FALSE)</f>
        <v>Fr@nky1</v>
      </c>
    </row>
    <row r="4683" spans="1:10" x14ac:dyDescent="0.25">
      <c r="A4683">
        <v>5294</v>
      </c>
      <c r="B4683" t="e">
        <f>-DEFF2-+IchMagBrianGriffin</f>
        <v>#NAME?</v>
      </c>
      <c r="C4683">
        <v>475</v>
      </c>
      <c r="D4683">
        <v>427</v>
      </c>
      <c r="E4683">
        <v>1577195942</v>
      </c>
      <c r="F4683">
        <v>6074</v>
      </c>
      <c r="G4683">
        <v>0</v>
      </c>
      <c r="H4683" t="s">
        <v>9606</v>
      </c>
      <c r="I4683">
        <v>5294</v>
      </c>
      <c r="J4683" t="str">
        <f>VLOOKUP(E4683,DSSpieler!A:B,2,FALSE)</f>
        <v>Oxiro</v>
      </c>
    </row>
    <row r="4684" spans="1:10" x14ac:dyDescent="0.25">
      <c r="A4684">
        <v>5296</v>
      </c>
      <c r="B4684" t="s">
        <v>32432</v>
      </c>
      <c r="C4684">
        <v>539</v>
      </c>
      <c r="D4684">
        <v>539</v>
      </c>
      <c r="E4684">
        <v>9768241</v>
      </c>
      <c r="F4684">
        <v>3005</v>
      </c>
      <c r="G4684">
        <v>0</v>
      </c>
      <c r="H4684" t="s">
        <v>9607</v>
      </c>
      <c r="I4684">
        <v>5296</v>
      </c>
      <c r="J4684" t="str">
        <f>VLOOKUP(E4684,DSSpieler!A:B,2,FALSE)</f>
        <v>huligen3</v>
      </c>
    </row>
    <row r="4685" spans="1:10" x14ac:dyDescent="0.25">
      <c r="A4685">
        <v>5297</v>
      </c>
      <c r="B4685" t="s">
        <v>32433</v>
      </c>
      <c r="C4685">
        <v>573</v>
      </c>
      <c r="D4685">
        <v>491</v>
      </c>
      <c r="E4685">
        <v>1576333645</v>
      </c>
      <c r="F4685">
        <v>8188</v>
      </c>
      <c r="G4685">
        <v>0</v>
      </c>
      <c r="H4685" t="s">
        <v>9608</v>
      </c>
      <c r="I4685">
        <v>5297</v>
      </c>
      <c r="J4685" t="str">
        <f>VLOOKUP(E4685,DSSpieler!A:B,2,FALSE)</f>
        <v>Sir Alexander</v>
      </c>
    </row>
    <row r="4686" spans="1:10" x14ac:dyDescent="0.25">
      <c r="A4686">
        <v>5298</v>
      </c>
      <c r="B4686" t="e">
        <f>-7-+QKundenabteilung</f>
        <v>#NAME?</v>
      </c>
      <c r="C4686">
        <v>536</v>
      </c>
      <c r="D4686">
        <v>562</v>
      </c>
      <c r="E4686">
        <v>1577197889</v>
      </c>
      <c r="F4686">
        <v>6046</v>
      </c>
      <c r="G4686">
        <v>0</v>
      </c>
      <c r="H4686" t="s">
        <v>9609</v>
      </c>
      <c r="I4686">
        <v>5298</v>
      </c>
      <c r="J4686" t="str">
        <f>VLOOKUP(E4686,DSSpieler!A:B,2,FALSE)</f>
        <v>Cedii92</v>
      </c>
    </row>
    <row r="4687" spans="1:10" x14ac:dyDescent="0.25">
      <c r="A4687">
        <v>5299</v>
      </c>
      <c r="B4687">
        <v>3</v>
      </c>
      <c r="C4687">
        <v>479</v>
      </c>
      <c r="D4687">
        <v>460</v>
      </c>
      <c r="E4687">
        <v>1576178066</v>
      </c>
      <c r="F4687">
        <v>2488</v>
      </c>
      <c r="G4687">
        <v>0</v>
      </c>
      <c r="H4687" t="s">
        <v>9610</v>
      </c>
      <c r="I4687">
        <v>5299</v>
      </c>
      <c r="J4687" t="str">
        <f>VLOOKUP(E4687,DSSpieler!A:B,2,FALSE)</f>
        <v>skaliii</v>
      </c>
    </row>
    <row r="4688" spans="1:10" x14ac:dyDescent="0.25">
      <c r="A4688">
        <v>5301</v>
      </c>
      <c r="B4688" t="s">
        <v>32434</v>
      </c>
      <c r="C4688">
        <v>584</v>
      </c>
      <c r="D4688">
        <v>475</v>
      </c>
      <c r="E4688">
        <v>378401</v>
      </c>
      <c r="F4688">
        <v>7631</v>
      </c>
      <c r="G4688">
        <v>0</v>
      </c>
      <c r="H4688" t="s">
        <v>9611</v>
      </c>
      <c r="I4688">
        <v>5301</v>
      </c>
      <c r="J4688" t="str">
        <f>VLOOKUP(E4688,DSSpieler!A:B,2,FALSE)</f>
        <v>DerChucky</v>
      </c>
    </row>
    <row r="4689" spans="1:10" x14ac:dyDescent="0.25">
      <c r="A4689">
        <v>5302</v>
      </c>
      <c r="B4689">
        <v>1</v>
      </c>
      <c r="C4689">
        <v>504</v>
      </c>
      <c r="D4689">
        <v>490</v>
      </c>
      <c r="E4689">
        <v>1576879196</v>
      </c>
      <c r="F4689">
        <v>5386</v>
      </c>
      <c r="G4689">
        <v>0</v>
      </c>
      <c r="H4689" t="s">
        <v>9612</v>
      </c>
      <c r="I4689">
        <v>5302</v>
      </c>
      <c r="J4689" t="str">
        <f>VLOOKUP(E4689,DSSpieler!A:B,2,FALSE)</f>
        <v>Grünkohl90</v>
      </c>
    </row>
    <row r="4690" spans="1:10" x14ac:dyDescent="0.25">
      <c r="A4690">
        <v>5303</v>
      </c>
      <c r="B4690" t="s">
        <v>32435</v>
      </c>
      <c r="C4690">
        <v>402</v>
      </c>
      <c r="D4690">
        <v>527</v>
      </c>
      <c r="E4690">
        <v>1577164313</v>
      </c>
      <c r="F4690">
        <v>6893</v>
      </c>
      <c r="G4690">
        <v>0</v>
      </c>
      <c r="H4690" t="s">
        <v>9613</v>
      </c>
      <c r="I4690">
        <v>5303</v>
      </c>
      <c r="J4690" t="str">
        <f>VLOOKUP(E4690,DSSpieler!A:B,2,FALSE)</f>
        <v>plp51</v>
      </c>
    </row>
    <row r="4691" spans="1:10" x14ac:dyDescent="0.25">
      <c r="A4691">
        <v>5304</v>
      </c>
      <c r="B4691" t="s">
        <v>983</v>
      </c>
      <c r="C4691">
        <v>435</v>
      </c>
      <c r="D4691">
        <v>477</v>
      </c>
      <c r="E4691">
        <v>9432353</v>
      </c>
      <c r="F4691">
        <v>3385</v>
      </c>
      <c r="G4691">
        <v>0</v>
      </c>
      <c r="H4691" t="s">
        <v>9614</v>
      </c>
      <c r="I4691">
        <v>5304</v>
      </c>
      <c r="J4691" t="str">
        <f>VLOOKUP(E4691,DSSpieler!A:B,2,FALSE)</f>
        <v>nOiiSe</v>
      </c>
    </row>
    <row r="4692" spans="1:10" x14ac:dyDescent="0.25">
      <c r="A4692">
        <v>5305</v>
      </c>
      <c r="B4692" t="s">
        <v>32436</v>
      </c>
      <c r="C4692">
        <v>451</v>
      </c>
      <c r="D4692">
        <v>477</v>
      </c>
      <c r="E4692">
        <v>1576962997</v>
      </c>
      <c r="F4692">
        <v>2604</v>
      </c>
      <c r="G4692">
        <v>0</v>
      </c>
      <c r="H4692" t="s">
        <v>9615</v>
      </c>
      <c r="I4692">
        <v>5305</v>
      </c>
      <c r="J4692" t="str">
        <f>VLOOKUP(E4692,DSSpieler!A:B,2,FALSE)</f>
        <v>farmer 5</v>
      </c>
    </row>
    <row r="4693" spans="1:10" x14ac:dyDescent="0.25">
      <c r="A4693">
        <v>5306</v>
      </c>
      <c r="B4693" t="s">
        <v>604</v>
      </c>
      <c r="C4693">
        <v>501</v>
      </c>
      <c r="D4693">
        <v>505</v>
      </c>
      <c r="E4693">
        <v>1576502340</v>
      </c>
      <c r="F4693">
        <v>4513</v>
      </c>
      <c r="G4693">
        <v>0</v>
      </c>
      <c r="H4693" t="s">
        <v>9616</v>
      </c>
      <c r="I4693">
        <v>5306</v>
      </c>
      <c r="J4693" t="str">
        <f>VLOOKUP(E4693,DSSpieler!A:B,2,FALSE)</f>
        <v>Arctic-Soldier</v>
      </c>
    </row>
    <row r="4694" spans="1:10" x14ac:dyDescent="0.25">
      <c r="A4694">
        <v>5307</v>
      </c>
      <c r="B4694" t="s">
        <v>31579</v>
      </c>
      <c r="C4694">
        <v>467</v>
      </c>
      <c r="D4694">
        <v>541</v>
      </c>
      <c r="E4694">
        <v>1576823448</v>
      </c>
      <c r="F4694">
        <v>5572</v>
      </c>
      <c r="G4694">
        <v>0</v>
      </c>
      <c r="H4694" t="s">
        <v>9617</v>
      </c>
      <c r="I4694">
        <v>5307</v>
      </c>
      <c r="J4694" t="str">
        <f>VLOOKUP(E4694,DSSpieler!A:B,2,FALSE)</f>
        <v>srmpx</v>
      </c>
    </row>
    <row r="4695" spans="1:10" x14ac:dyDescent="0.25">
      <c r="A4695">
        <v>5308</v>
      </c>
      <c r="B4695" t="s">
        <v>531</v>
      </c>
      <c r="C4695">
        <v>574</v>
      </c>
      <c r="D4695">
        <v>479</v>
      </c>
      <c r="E4695">
        <v>0</v>
      </c>
      <c r="F4695">
        <v>604</v>
      </c>
      <c r="G4695">
        <v>0</v>
      </c>
      <c r="H4695" t="s">
        <v>9618</v>
      </c>
      <c r="I4695">
        <v>5308</v>
      </c>
      <c r="J4695" t="e">
        <f>VLOOKUP(E4695,DSSpieler!A:B,2,FALSE)</f>
        <v>#N/A</v>
      </c>
    </row>
    <row r="4696" spans="1:10" x14ac:dyDescent="0.25">
      <c r="A4696">
        <v>5309</v>
      </c>
      <c r="B4696" t="s">
        <v>531</v>
      </c>
      <c r="C4696">
        <v>545</v>
      </c>
      <c r="D4696">
        <v>450</v>
      </c>
      <c r="E4696">
        <v>0</v>
      </c>
      <c r="F4696">
        <v>413</v>
      </c>
      <c r="G4696">
        <v>0</v>
      </c>
      <c r="H4696" t="s">
        <v>9619</v>
      </c>
      <c r="I4696">
        <v>5309</v>
      </c>
      <c r="J4696" t="e">
        <f>VLOOKUP(E4696,DSSpieler!A:B,2,FALSE)</f>
        <v>#N/A</v>
      </c>
    </row>
    <row r="4697" spans="1:10" x14ac:dyDescent="0.25">
      <c r="A4697">
        <v>5310</v>
      </c>
      <c r="B4697" t="s">
        <v>531</v>
      </c>
      <c r="C4697">
        <v>541</v>
      </c>
      <c r="D4697">
        <v>457</v>
      </c>
      <c r="E4697">
        <v>0</v>
      </c>
      <c r="F4697">
        <v>153</v>
      </c>
      <c r="G4697">
        <v>0</v>
      </c>
      <c r="H4697" t="s">
        <v>9620</v>
      </c>
      <c r="I4697">
        <v>5310</v>
      </c>
      <c r="J4697" t="e">
        <f>VLOOKUP(E4697,DSSpieler!A:B,2,FALSE)</f>
        <v>#N/A</v>
      </c>
    </row>
    <row r="4698" spans="1:10" x14ac:dyDescent="0.25">
      <c r="A4698">
        <v>5311</v>
      </c>
      <c r="B4698" t="s">
        <v>1387</v>
      </c>
      <c r="C4698">
        <v>440</v>
      </c>
      <c r="D4698">
        <v>447</v>
      </c>
      <c r="E4698">
        <v>1575840647</v>
      </c>
      <c r="F4698">
        <v>7841</v>
      </c>
      <c r="G4698">
        <v>0</v>
      </c>
      <c r="H4698" t="s">
        <v>9621</v>
      </c>
      <c r="I4698">
        <v>5311</v>
      </c>
      <c r="J4698" t="str">
        <f>VLOOKUP(E4698,DSSpieler!A:B,2,FALSE)</f>
        <v>Fuschl0815</v>
      </c>
    </row>
    <row r="4699" spans="1:10" x14ac:dyDescent="0.25">
      <c r="A4699">
        <v>5312</v>
      </c>
      <c r="B4699">
        <v>7</v>
      </c>
      <c r="C4699">
        <v>556</v>
      </c>
      <c r="D4699">
        <v>442</v>
      </c>
      <c r="E4699">
        <v>1577197919</v>
      </c>
      <c r="F4699">
        <v>4707</v>
      </c>
      <c r="G4699">
        <v>0</v>
      </c>
      <c r="H4699" t="s">
        <v>9622</v>
      </c>
      <c r="I4699">
        <v>5312</v>
      </c>
      <c r="J4699" t="str">
        <f>VLOOKUP(E4699,DSSpieler!A:B,2,FALSE)</f>
        <v>3RorR1</v>
      </c>
    </row>
    <row r="4700" spans="1:10" x14ac:dyDescent="0.25">
      <c r="A4700">
        <v>5313</v>
      </c>
      <c r="B4700" t="s">
        <v>32437</v>
      </c>
      <c r="C4700">
        <v>489</v>
      </c>
      <c r="D4700">
        <v>410</v>
      </c>
      <c r="E4700">
        <v>1577104598</v>
      </c>
      <c r="F4700">
        <v>3670</v>
      </c>
      <c r="G4700">
        <v>0</v>
      </c>
      <c r="H4700" t="s">
        <v>9623</v>
      </c>
      <c r="I4700">
        <v>5313</v>
      </c>
      <c r="J4700" t="str">
        <f>VLOOKUP(E4700,DSSpieler!A:B,2,FALSE)</f>
        <v>boehmi</v>
      </c>
    </row>
    <row r="4701" spans="1:10" x14ac:dyDescent="0.25">
      <c r="A4701">
        <v>5314</v>
      </c>
      <c r="B4701" t="s">
        <v>531</v>
      </c>
      <c r="C4701">
        <v>442</v>
      </c>
      <c r="D4701">
        <v>422</v>
      </c>
      <c r="E4701">
        <v>0</v>
      </c>
      <c r="F4701">
        <v>772</v>
      </c>
      <c r="G4701">
        <v>0</v>
      </c>
      <c r="H4701" t="s">
        <v>9624</v>
      </c>
      <c r="I4701">
        <v>5314</v>
      </c>
      <c r="J4701" t="e">
        <f>VLOOKUP(E4701,DSSpieler!A:B,2,FALSE)</f>
        <v>#N/A</v>
      </c>
    </row>
    <row r="4702" spans="1:10" x14ac:dyDescent="0.25">
      <c r="A4702">
        <v>5315</v>
      </c>
      <c r="B4702" t="s">
        <v>1388</v>
      </c>
      <c r="C4702">
        <v>436</v>
      </c>
      <c r="D4702">
        <v>446</v>
      </c>
      <c r="E4702">
        <v>1575840647</v>
      </c>
      <c r="F4702">
        <v>7487</v>
      </c>
      <c r="G4702">
        <v>0</v>
      </c>
      <c r="H4702" t="s">
        <v>9625</v>
      </c>
      <c r="I4702">
        <v>5315</v>
      </c>
      <c r="J4702" t="str">
        <f>VLOOKUP(E4702,DSSpieler!A:B,2,FALSE)</f>
        <v>Fuschl0815</v>
      </c>
    </row>
    <row r="4703" spans="1:10" x14ac:dyDescent="0.25">
      <c r="A4703">
        <v>5316</v>
      </c>
      <c r="B4703" t="e">
        <f>-2-+Avalon</f>
        <v>#NAME?</v>
      </c>
      <c r="C4703">
        <v>534</v>
      </c>
      <c r="D4703">
        <v>576</v>
      </c>
      <c r="E4703">
        <v>1576885823</v>
      </c>
      <c r="F4703">
        <v>3824</v>
      </c>
      <c r="G4703">
        <v>0</v>
      </c>
      <c r="H4703" t="s">
        <v>9626</v>
      </c>
      <c r="I4703">
        <v>5316</v>
      </c>
      <c r="J4703" t="str">
        <f>VLOOKUP(E4703,DSSpieler!A:B,2,FALSE)</f>
        <v>Greyback</v>
      </c>
    </row>
    <row r="4704" spans="1:10" x14ac:dyDescent="0.25">
      <c r="A4704">
        <v>5317</v>
      </c>
      <c r="B4704" t="s">
        <v>32438</v>
      </c>
      <c r="C4704">
        <v>489</v>
      </c>
      <c r="D4704">
        <v>524</v>
      </c>
      <c r="E4704">
        <v>2495798</v>
      </c>
      <c r="F4704">
        <v>8233</v>
      </c>
      <c r="G4704">
        <v>0</v>
      </c>
      <c r="H4704" t="s">
        <v>9627</v>
      </c>
      <c r="I4704">
        <v>5317</v>
      </c>
      <c r="J4704" t="str">
        <f>VLOOKUP(E4704,DSSpieler!A:B,2,FALSE)</f>
        <v>slater107</v>
      </c>
    </row>
    <row r="4705" spans="1:10" x14ac:dyDescent="0.25">
      <c r="A4705">
        <v>5318</v>
      </c>
      <c r="B4705" t="s">
        <v>32439</v>
      </c>
      <c r="C4705">
        <v>512</v>
      </c>
      <c r="D4705">
        <v>482</v>
      </c>
      <c r="E4705">
        <v>1577197911</v>
      </c>
      <c r="F4705">
        <v>5419</v>
      </c>
      <c r="G4705">
        <v>0</v>
      </c>
      <c r="H4705" t="s">
        <v>9628</v>
      </c>
      <c r="I4705">
        <v>5318</v>
      </c>
      <c r="J4705" t="str">
        <f>VLOOKUP(E4705,DSSpieler!A:B,2,FALSE)</f>
        <v>ZuWildhrrr</v>
      </c>
    </row>
    <row r="4706" spans="1:10" x14ac:dyDescent="0.25">
      <c r="A4706">
        <v>5319</v>
      </c>
      <c r="B4706" t="s">
        <v>531</v>
      </c>
      <c r="C4706">
        <v>423</v>
      </c>
      <c r="D4706">
        <v>479</v>
      </c>
      <c r="E4706">
        <v>0</v>
      </c>
      <c r="F4706">
        <v>456</v>
      </c>
      <c r="G4706">
        <v>0</v>
      </c>
      <c r="H4706" t="s">
        <v>9629</v>
      </c>
      <c r="I4706">
        <v>5319</v>
      </c>
      <c r="J4706" t="e">
        <f>VLOOKUP(E4706,DSSpieler!A:B,2,FALSE)</f>
        <v>#N/A</v>
      </c>
    </row>
    <row r="4707" spans="1:10" x14ac:dyDescent="0.25">
      <c r="A4707">
        <v>5320</v>
      </c>
      <c r="B4707" t="s">
        <v>32440</v>
      </c>
      <c r="C4707">
        <v>475</v>
      </c>
      <c r="D4707">
        <v>435</v>
      </c>
      <c r="E4707">
        <v>135780</v>
      </c>
      <c r="F4707">
        <v>5319</v>
      </c>
      <c r="G4707">
        <v>0</v>
      </c>
      <c r="H4707" t="s">
        <v>9630</v>
      </c>
      <c r="I4707">
        <v>5320</v>
      </c>
      <c r="J4707" t="str">
        <f>VLOOKUP(E4707,DSSpieler!A:B,2,FALSE)</f>
        <v>Master Magic</v>
      </c>
    </row>
    <row r="4708" spans="1:10" x14ac:dyDescent="0.25">
      <c r="A4708">
        <v>5321</v>
      </c>
      <c r="B4708" t="s">
        <v>32441</v>
      </c>
      <c r="C4708">
        <v>427</v>
      </c>
      <c r="D4708">
        <v>510</v>
      </c>
      <c r="E4708">
        <v>1577174426</v>
      </c>
      <c r="F4708">
        <v>3134</v>
      </c>
      <c r="G4708">
        <v>0</v>
      </c>
      <c r="H4708" t="s">
        <v>9631</v>
      </c>
      <c r="I4708">
        <v>5321</v>
      </c>
      <c r="J4708" t="str">
        <f>VLOOKUP(E4708,DSSpieler!A:B,2,FALSE)</f>
        <v>Kevin199602</v>
      </c>
    </row>
    <row r="4709" spans="1:10" x14ac:dyDescent="0.25">
      <c r="A4709">
        <v>5322</v>
      </c>
      <c r="B4709" t="s">
        <v>1389</v>
      </c>
      <c r="C4709">
        <v>574</v>
      </c>
      <c r="D4709">
        <v>472</v>
      </c>
      <c r="E4709">
        <v>1576751873</v>
      </c>
      <c r="F4709">
        <v>4527</v>
      </c>
      <c r="G4709">
        <v>0</v>
      </c>
      <c r="H4709" t="s">
        <v>9632</v>
      </c>
      <c r="I4709">
        <v>5322</v>
      </c>
      <c r="J4709" t="str">
        <f>VLOOKUP(E4709,DSSpieler!A:B,2,FALSE)</f>
        <v>King MKay</v>
      </c>
    </row>
    <row r="4710" spans="1:10" x14ac:dyDescent="0.25">
      <c r="A4710">
        <v>5323</v>
      </c>
      <c r="B4710" t="s">
        <v>531</v>
      </c>
      <c r="C4710">
        <v>592</v>
      </c>
      <c r="D4710">
        <v>451</v>
      </c>
      <c r="E4710">
        <v>0</v>
      </c>
      <c r="F4710">
        <v>257</v>
      </c>
      <c r="G4710">
        <v>0</v>
      </c>
      <c r="H4710" t="s">
        <v>9633</v>
      </c>
      <c r="I4710">
        <v>5323</v>
      </c>
      <c r="J4710" t="e">
        <f>VLOOKUP(E4710,DSSpieler!A:B,2,FALSE)</f>
        <v>#N/A</v>
      </c>
    </row>
    <row r="4711" spans="1:10" x14ac:dyDescent="0.25">
      <c r="A4711">
        <v>5324</v>
      </c>
      <c r="B4711" t="s">
        <v>531</v>
      </c>
      <c r="C4711">
        <v>482</v>
      </c>
      <c r="D4711">
        <v>427</v>
      </c>
      <c r="E4711">
        <v>0</v>
      </c>
      <c r="F4711">
        <v>410</v>
      </c>
      <c r="G4711">
        <v>0</v>
      </c>
      <c r="H4711" t="s">
        <v>9634</v>
      </c>
      <c r="I4711">
        <v>5324</v>
      </c>
      <c r="J4711" t="e">
        <f>VLOOKUP(E4711,DSSpieler!A:B,2,FALSE)</f>
        <v>#N/A</v>
      </c>
    </row>
    <row r="4712" spans="1:10" x14ac:dyDescent="0.25">
      <c r="A4712">
        <v>5325</v>
      </c>
      <c r="B4712" t="s">
        <v>32442</v>
      </c>
      <c r="C4712">
        <v>570</v>
      </c>
      <c r="D4712">
        <v>428</v>
      </c>
      <c r="E4712">
        <v>1577140723</v>
      </c>
      <c r="F4712">
        <v>4176</v>
      </c>
      <c r="G4712">
        <v>0</v>
      </c>
      <c r="H4712" t="s">
        <v>9635</v>
      </c>
      <c r="I4712">
        <v>5325</v>
      </c>
      <c r="J4712" t="str">
        <f>VLOOKUP(E4712,DSSpieler!A:B,2,FALSE)</f>
        <v>nic214</v>
      </c>
    </row>
    <row r="4713" spans="1:10" x14ac:dyDescent="0.25">
      <c r="A4713">
        <v>5326</v>
      </c>
      <c r="B4713" t="s">
        <v>30796</v>
      </c>
      <c r="C4713">
        <v>428</v>
      </c>
      <c r="D4713">
        <v>469</v>
      </c>
      <c r="E4713">
        <v>1576994636</v>
      </c>
      <c r="F4713">
        <v>7287</v>
      </c>
      <c r="G4713">
        <v>0</v>
      </c>
      <c r="H4713" t="s">
        <v>9636</v>
      </c>
      <c r="I4713">
        <v>5326</v>
      </c>
      <c r="J4713" t="str">
        <f>VLOOKUP(E4713,DSSpieler!A:B,2,FALSE)</f>
        <v>killerbee1986</v>
      </c>
    </row>
    <row r="4714" spans="1:10" x14ac:dyDescent="0.25">
      <c r="A4714">
        <v>5327</v>
      </c>
      <c r="B4714" t="s">
        <v>531</v>
      </c>
      <c r="C4714">
        <v>571</v>
      </c>
      <c r="D4714">
        <v>478</v>
      </c>
      <c r="E4714">
        <v>0</v>
      </c>
      <c r="F4714">
        <v>456</v>
      </c>
      <c r="G4714">
        <v>0</v>
      </c>
      <c r="H4714" t="s">
        <v>9637</v>
      </c>
      <c r="I4714">
        <v>5327</v>
      </c>
      <c r="J4714" t="e">
        <f>VLOOKUP(E4714,DSSpieler!A:B,2,FALSE)</f>
        <v>#N/A</v>
      </c>
    </row>
    <row r="4715" spans="1:10" x14ac:dyDescent="0.25">
      <c r="A4715">
        <v>5329</v>
      </c>
      <c r="B4715" t="s">
        <v>531</v>
      </c>
      <c r="C4715">
        <v>516</v>
      </c>
      <c r="D4715">
        <v>433</v>
      </c>
      <c r="E4715">
        <v>0</v>
      </c>
      <c r="F4715">
        <v>363</v>
      </c>
      <c r="G4715">
        <v>0</v>
      </c>
      <c r="H4715" t="s">
        <v>9638</v>
      </c>
      <c r="I4715">
        <v>5329</v>
      </c>
      <c r="J4715" t="e">
        <f>VLOOKUP(E4715,DSSpieler!A:B,2,FALSE)</f>
        <v>#N/A</v>
      </c>
    </row>
    <row r="4716" spans="1:10" x14ac:dyDescent="0.25">
      <c r="A4716">
        <v>5330</v>
      </c>
      <c r="B4716" t="s">
        <v>1390</v>
      </c>
      <c r="C4716">
        <v>467</v>
      </c>
      <c r="D4716">
        <v>471</v>
      </c>
      <c r="E4716">
        <v>1577173851</v>
      </c>
      <c r="F4716">
        <v>1582</v>
      </c>
      <c r="G4716">
        <v>0</v>
      </c>
      <c r="H4716" t="s">
        <v>9639</v>
      </c>
      <c r="I4716">
        <v>5330</v>
      </c>
      <c r="J4716" t="str">
        <f>VLOOKUP(E4716,DSSpieler!A:B,2,FALSE)</f>
        <v>Viiiana</v>
      </c>
    </row>
    <row r="4717" spans="1:10" x14ac:dyDescent="0.25">
      <c r="A4717">
        <v>5331</v>
      </c>
      <c r="B4717" t="s">
        <v>531</v>
      </c>
      <c r="C4717">
        <v>546</v>
      </c>
      <c r="D4717">
        <v>529</v>
      </c>
      <c r="E4717">
        <v>0</v>
      </c>
      <c r="F4717">
        <v>393</v>
      </c>
      <c r="G4717">
        <v>0</v>
      </c>
      <c r="H4717" t="s">
        <v>9640</v>
      </c>
      <c r="I4717">
        <v>5331</v>
      </c>
      <c r="J4717" t="e">
        <f>VLOOKUP(E4717,DSSpieler!A:B,2,FALSE)</f>
        <v>#N/A</v>
      </c>
    </row>
    <row r="4718" spans="1:10" x14ac:dyDescent="0.25">
      <c r="A4718">
        <v>5332</v>
      </c>
      <c r="B4718" t="s">
        <v>1391</v>
      </c>
      <c r="C4718">
        <v>406</v>
      </c>
      <c r="D4718">
        <v>496</v>
      </c>
      <c r="E4718">
        <v>9025593</v>
      </c>
      <c r="F4718">
        <v>5965</v>
      </c>
      <c r="G4718">
        <v>0</v>
      </c>
      <c r="H4718" t="s">
        <v>9641</v>
      </c>
      <c r="I4718">
        <v>5332</v>
      </c>
      <c r="J4718" t="str">
        <f>VLOOKUP(E4718,DSSpieler!A:B,2,FALSE)</f>
        <v>blvm3ng43rtn3r</v>
      </c>
    </row>
    <row r="4719" spans="1:10" x14ac:dyDescent="0.25">
      <c r="A4719">
        <v>5333</v>
      </c>
      <c r="B4719" t="s">
        <v>32443</v>
      </c>
      <c r="C4719">
        <v>481</v>
      </c>
      <c r="D4719">
        <v>545</v>
      </c>
      <c r="E4719">
        <v>1577191193</v>
      </c>
      <c r="F4719">
        <v>6935</v>
      </c>
      <c r="G4719">
        <v>0</v>
      </c>
      <c r="H4719" t="s">
        <v>9642</v>
      </c>
      <c r="I4719">
        <v>5333</v>
      </c>
      <c r="J4719" t="str">
        <f>VLOOKUP(E4719,DSSpieler!A:B,2,FALSE)</f>
        <v>Azubie</v>
      </c>
    </row>
    <row r="4720" spans="1:10" x14ac:dyDescent="0.25">
      <c r="A4720">
        <v>5336</v>
      </c>
      <c r="B4720" t="s">
        <v>32444</v>
      </c>
      <c r="C4720">
        <v>502</v>
      </c>
      <c r="D4720">
        <v>439</v>
      </c>
      <c r="E4720">
        <v>1577197892</v>
      </c>
      <c r="F4720">
        <v>6130</v>
      </c>
      <c r="G4720">
        <v>0</v>
      </c>
      <c r="H4720" t="s">
        <v>9643</v>
      </c>
      <c r="I4720">
        <v>5336</v>
      </c>
      <c r="J4720" t="str">
        <f>VLOOKUP(E4720,DSSpieler!A:B,2,FALSE)</f>
        <v>fruitisiert</v>
      </c>
    </row>
    <row r="4721" spans="1:10" x14ac:dyDescent="0.25">
      <c r="A4721">
        <v>5337</v>
      </c>
      <c r="B4721" t="s">
        <v>32445</v>
      </c>
      <c r="C4721">
        <v>495</v>
      </c>
      <c r="D4721">
        <v>416</v>
      </c>
      <c r="E4721">
        <v>1577020544</v>
      </c>
      <c r="F4721">
        <v>5460</v>
      </c>
      <c r="G4721">
        <v>0</v>
      </c>
      <c r="H4721" t="s">
        <v>9644</v>
      </c>
      <c r="I4721">
        <v>5337</v>
      </c>
      <c r="J4721" t="str">
        <f>VLOOKUP(E4721,DSSpieler!A:B,2,FALSE)</f>
        <v>darkcommander1</v>
      </c>
    </row>
    <row r="4722" spans="1:10" x14ac:dyDescent="0.25">
      <c r="A4722">
        <v>5338</v>
      </c>
      <c r="B4722">
        <v>4</v>
      </c>
      <c r="C4722">
        <v>520</v>
      </c>
      <c r="D4722">
        <v>489</v>
      </c>
      <c r="E4722">
        <v>2651379</v>
      </c>
      <c r="F4722">
        <v>2195</v>
      </c>
      <c r="G4722">
        <v>0</v>
      </c>
      <c r="H4722" t="s">
        <v>9645</v>
      </c>
      <c r="I4722">
        <v>5338</v>
      </c>
      <c r="J4722" t="str">
        <f>VLOOKUP(E4722,DSSpieler!A:B,2,FALSE)</f>
        <v>Gernschi</v>
      </c>
    </row>
    <row r="4723" spans="1:10" x14ac:dyDescent="0.25">
      <c r="A4723">
        <v>5339</v>
      </c>
      <c r="B4723" t="s">
        <v>1392</v>
      </c>
      <c r="C4723">
        <v>573</v>
      </c>
      <c r="D4723">
        <v>474</v>
      </c>
      <c r="E4723">
        <v>1577197727</v>
      </c>
      <c r="F4723">
        <v>4338</v>
      </c>
      <c r="G4723">
        <v>0</v>
      </c>
      <c r="H4723" t="s">
        <v>9646</v>
      </c>
      <c r="I4723">
        <v>5339</v>
      </c>
      <c r="J4723" t="str">
        <f>VLOOKUP(E4723,DSSpieler!A:B,2,FALSE)</f>
        <v>Korir</v>
      </c>
    </row>
    <row r="4724" spans="1:10" x14ac:dyDescent="0.25">
      <c r="A4724">
        <v>5340</v>
      </c>
      <c r="B4724" t="s">
        <v>32446</v>
      </c>
      <c r="C4724">
        <v>572</v>
      </c>
      <c r="D4724">
        <v>458</v>
      </c>
      <c r="E4724">
        <v>1577197984</v>
      </c>
      <c r="F4724">
        <v>2799</v>
      </c>
      <c r="G4724">
        <v>0</v>
      </c>
      <c r="H4724" t="s">
        <v>9647</v>
      </c>
      <c r="I4724">
        <v>5340</v>
      </c>
      <c r="J4724" t="str">
        <f>VLOOKUP(E4724,DSSpieler!A:B,2,FALSE)</f>
        <v>Morgomar</v>
      </c>
    </row>
    <row r="4725" spans="1:10" x14ac:dyDescent="0.25">
      <c r="A4725">
        <v>5341</v>
      </c>
      <c r="B4725" t="s">
        <v>1393</v>
      </c>
      <c r="C4725">
        <v>445</v>
      </c>
      <c r="D4725">
        <v>510</v>
      </c>
      <c r="E4725">
        <v>1577193299</v>
      </c>
      <c r="F4725">
        <v>1990</v>
      </c>
      <c r="G4725">
        <v>0</v>
      </c>
      <c r="H4725" t="s">
        <v>9648</v>
      </c>
      <c r="I4725">
        <v>5341</v>
      </c>
      <c r="J4725" t="str">
        <f>VLOOKUP(E4725,DSSpieler!A:B,2,FALSE)</f>
        <v>Manuellsen92</v>
      </c>
    </row>
    <row r="4726" spans="1:10" x14ac:dyDescent="0.25">
      <c r="A4726">
        <v>5343</v>
      </c>
      <c r="B4726" t="s">
        <v>1394</v>
      </c>
      <c r="C4726">
        <v>476</v>
      </c>
      <c r="D4726">
        <v>552</v>
      </c>
      <c r="E4726">
        <v>2639534</v>
      </c>
      <c r="F4726">
        <v>3627</v>
      </c>
      <c r="G4726">
        <v>0</v>
      </c>
      <c r="H4726" t="s">
        <v>9649</v>
      </c>
      <c r="I4726">
        <v>5343</v>
      </c>
      <c r="J4726" t="str">
        <f>VLOOKUP(E4726,DSSpieler!A:B,2,FALSE)</f>
        <v>Wastl 44</v>
      </c>
    </row>
    <row r="4727" spans="1:10" x14ac:dyDescent="0.25">
      <c r="A4727">
        <v>5344</v>
      </c>
      <c r="B4727" t="s">
        <v>537</v>
      </c>
      <c r="C4727">
        <v>539</v>
      </c>
      <c r="D4727">
        <v>581</v>
      </c>
      <c r="E4727">
        <v>9187554</v>
      </c>
      <c r="F4727">
        <v>5915</v>
      </c>
      <c r="G4727">
        <v>0</v>
      </c>
      <c r="H4727" t="s">
        <v>9650</v>
      </c>
      <c r="I4727">
        <v>5344</v>
      </c>
      <c r="J4727" t="str">
        <f>VLOOKUP(E4727,DSSpieler!A:B,2,FALSE)</f>
        <v>NetworXxX</v>
      </c>
    </row>
    <row r="4728" spans="1:10" x14ac:dyDescent="0.25">
      <c r="A4728">
        <v>5345</v>
      </c>
      <c r="B4728" t="s">
        <v>32447</v>
      </c>
      <c r="C4728">
        <v>434</v>
      </c>
      <c r="D4728">
        <v>548</v>
      </c>
      <c r="E4728">
        <v>1577183279</v>
      </c>
      <c r="F4728">
        <v>6988</v>
      </c>
      <c r="G4728">
        <v>0</v>
      </c>
      <c r="H4728" t="s">
        <v>9651</v>
      </c>
      <c r="I4728">
        <v>5345</v>
      </c>
      <c r="J4728" t="str">
        <f>VLOOKUP(E4728,DSSpieler!A:B,2,FALSE)</f>
        <v>bengel008</v>
      </c>
    </row>
    <row r="4729" spans="1:10" x14ac:dyDescent="0.25">
      <c r="A4729">
        <v>5346</v>
      </c>
      <c r="B4729" t="s">
        <v>32448</v>
      </c>
      <c r="C4729">
        <v>452</v>
      </c>
      <c r="D4729">
        <v>458</v>
      </c>
      <c r="E4729">
        <v>9139676</v>
      </c>
      <c r="F4729">
        <v>6998</v>
      </c>
      <c r="G4729">
        <v>0</v>
      </c>
      <c r="H4729" t="s">
        <v>9652</v>
      </c>
      <c r="I4729">
        <v>5346</v>
      </c>
      <c r="J4729" t="str">
        <f>VLOOKUP(E4729,DSSpieler!A:B,2,FALSE)</f>
        <v>Maxutaurus</v>
      </c>
    </row>
    <row r="4730" spans="1:10" x14ac:dyDescent="0.25">
      <c r="A4730">
        <v>5347</v>
      </c>
      <c r="B4730" t="s">
        <v>32449</v>
      </c>
      <c r="C4730">
        <v>463</v>
      </c>
      <c r="D4730">
        <v>601</v>
      </c>
      <c r="E4730">
        <v>9569148</v>
      </c>
      <c r="F4730">
        <v>4388</v>
      </c>
      <c r="G4730">
        <v>0</v>
      </c>
      <c r="H4730" t="s">
        <v>9653</v>
      </c>
      <c r="I4730">
        <v>5347</v>
      </c>
      <c r="J4730" t="str">
        <f>VLOOKUP(E4730,DSSpieler!A:B,2,FALSE)</f>
        <v>079*</v>
      </c>
    </row>
    <row r="4731" spans="1:10" x14ac:dyDescent="0.25">
      <c r="A4731">
        <v>5348</v>
      </c>
      <c r="B4731" t="s">
        <v>30501</v>
      </c>
      <c r="C4731">
        <v>449</v>
      </c>
      <c r="D4731">
        <v>594</v>
      </c>
      <c r="E4731">
        <v>9607209</v>
      </c>
      <c r="F4731">
        <v>4271</v>
      </c>
      <c r="G4731">
        <v>0</v>
      </c>
      <c r="H4731" t="s">
        <v>9654</v>
      </c>
      <c r="I4731">
        <v>5348</v>
      </c>
      <c r="J4731" t="str">
        <f>VLOOKUP(E4731,DSSpieler!A:B,2,FALSE)</f>
        <v>Dregonheart</v>
      </c>
    </row>
    <row r="4732" spans="1:10" x14ac:dyDescent="0.25">
      <c r="A4732">
        <v>5349</v>
      </c>
      <c r="B4732">
        <v>6</v>
      </c>
      <c r="C4732">
        <v>417</v>
      </c>
      <c r="D4732">
        <v>430</v>
      </c>
      <c r="E4732">
        <v>1577085651</v>
      </c>
      <c r="F4732">
        <v>6769</v>
      </c>
      <c r="G4732">
        <v>0</v>
      </c>
      <c r="H4732" t="s">
        <v>9655</v>
      </c>
      <c r="I4732">
        <v>5349</v>
      </c>
      <c r="J4732" t="str">
        <f>VLOOKUP(E4732,DSSpieler!A:B,2,FALSE)</f>
        <v>-schpider *</v>
      </c>
    </row>
    <row r="4733" spans="1:10" x14ac:dyDescent="0.25">
      <c r="A4733">
        <v>5351</v>
      </c>
      <c r="B4733" t="s">
        <v>780</v>
      </c>
      <c r="C4733">
        <v>601</v>
      </c>
      <c r="D4733">
        <v>512</v>
      </c>
      <c r="E4733">
        <v>1577195219</v>
      </c>
      <c r="F4733">
        <v>5929</v>
      </c>
      <c r="G4733">
        <v>0</v>
      </c>
      <c r="H4733" t="s">
        <v>9656</v>
      </c>
      <c r="I4733">
        <v>5351</v>
      </c>
      <c r="J4733" t="str">
        <f>VLOOKUP(E4733,DSSpieler!A:B,2,FALSE)</f>
        <v>Eric Cartman</v>
      </c>
    </row>
    <row r="4734" spans="1:10" x14ac:dyDescent="0.25">
      <c r="A4734">
        <v>5352</v>
      </c>
      <c r="B4734" t="s">
        <v>32450</v>
      </c>
      <c r="C4734">
        <v>582</v>
      </c>
      <c r="D4734">
        <v>441</v>
      </c>
      <c r="E4734">
        <v>1576878148</v>
      </c>
      <c r="F4734">
        <v>355</v>
      </c>
      <c r="G4734">
        <v>0</v>
      </c>
      <c r="H4734" t="s">
        <v>9657</v>
      </c>
      <c r="I4734">
        <v>5352</v>
      </c>
      <c r="J4734" t="str">
        <f>VLOOKUP(E4734,DSSpieler!A:B,2,FALSE)</f>
        <v>4seasons.</v>
      </c>
    </row>
    <row r="4735" spans="1:10" x14ac:dyDescent="0.25">
      <c r="A4735">
        <v>5353</v>
      </c>
      <c r="B4735" t="s">
        <v>531</v>
      </c>
      <c r="C4735">
        <v>459</v>
      </c>
      <c r="D4735">
        <v>513</v>
      </c>
      <c r="E4735">
        <v>0</v>
      </c>
      <c r="F4735">
        <v>261</v>
      </c>
      <c r="G4735">
        <v>0</v>
      </c>
      <c r="H4735" t="s">
        <v>9658</v>
      </c>
      <c r="I4735">
        <v>5353</v>
      </c>
      <c r="J4735" t="e">
        <f>VLOOKUP(E4735,DSSpieler!A:B,2,FALSE)</f>
        <v>#N/A</v>
      </c>
    </row>
    <row r="4736" spans="1:10" x14ac:dyDescent="0.25">
      <c r="A4736">
        <v>5354</v>
      </c>
      <c r="B4736" t="s">
        <v>531</v>
      </c>
      <c r="C4736">
        <v>511</v>
      </c>
      <c r="D4736">
        <v>534</v>
      </c>
      <c r="E4736">
        <v>0</v>
      </c>
      <c r="F4736">
        <v>397</v>
      </c>
      <c r="G4736">
        <v>0</v>
      </c>
      <c r="H4736" t="s">
        <v>9659</v>
      </c>
      <c r="I4736">
        <v>5354</v>
      </c>
      <c r="J4736" t="e">
        <f>VLOOKUP(E4736,DSSpieler!A:B,2,FALSE)</f>
        <v>#N/A</v>
      </c>
    </row>
    <row r="4737" spans="1:10" x14ac:dyDescent="0.25">
      <c r="A4737">
        <v>5355</v>
      </c>
      <c r="B4737" t="s">
        <v>1395</v>
      </c>
      <c r="C4737">
        <v>573</v>
      </c>
      <c r="D4737">
        <v>523</v>
      </c>
      <c r="E4737">
        <v>1577197711</v>
      </c>
      <c r="F4737">
        <v>2098</v>
      </c>
      <c r="G4737">
        <v>0</v>
      </c>
      <c r="H4737" t="s">
        <v>9660</v>
      </c>
      <c r="I4737">
        <v>5355</v>
      </c>
      <c r="J4737" t="str">
        <f>VLOOKUP(E4737,DSSpieler!A:B,2,FALSE)</f>
        <v>schuessel</v>
      </c>
    </row>
    <row r="4738" spans="1:10" x14ac:dyDescent="0.25">
      <c r="A4738">
        <v>5356</v>
      </c>
      <c r="B4738" t="s">
        <v>626</v>
      </c>
      <c r="C4738">
        <v>523</v>
      </c>
      <c r="D4738">
        <v>399</v>
      </c>
      <c r="E4738">
        <v>1577069277</v>
      </c>
      <c r="F4738">
        <v>5976</v>
      </c>
      <c r="G4738">
        <v>0</v>
      </c>
      <c r="H4738" t="s">
        <v>9661</v>
      </c>
      <c r="I4738">
        <v>5356</v>
      </c>
      <c r="J4738" t="str">
        <f>VLOOKUP(E4738,DSSpieler!A:B,2,FALSE)</f>
        <v>Bauer sucht Sau</v>
      </c>
    </row>
    <row r="4739" spans="1:10" x14ac:dyDescent="0.25">
      <c r="A4739">
        <v>5357</v>
      </c>
      <c r="B4739" t="s">
        <v>531</v>
      </c>
      <c r="C4739">
        <v>606</v>
      </c>
      <c r="D4739">
        <v>514</v>
      </c>
      <c r="E4739">
        <v>0</v>
      </c>
      <c r="F4739">
        <v>596</v>
      </c>
      <c r="G4739">
        <v>0</v>
      </c>
      <c r="H4739" t="s">
        <v>9662</v>
      </c>
      <c r="I4739">
        <v>5357</v>
      </c>
      <c r="J4739" t="e">
        <f>VLOOKUP(E4739,DSSpieler!A:B,2,FALSE)</f>
        <v>#N/A</v>
      </c>
    </row>
    <row r="4740" spans="1:10" x14ac:dyDescent="0.25">
      <c r="A4740">
        <v>5358</v>
      </c>
      <c r="B4740" t="s">
        <v>601</v>
      </c>
      <c r="C4740">
        <v>530</v>
      </c>
      <c r="D4740">
        <v>506</v>
      </c>
      <c r="E4740">
        <v>1577175309</v>
      </c>
      <c r="F4740">
        <v>4823</v>
      </c>
      <c r="G4740">
        <v>0</v>
      </c>
      <c r="H4740" t="s">
        <v>9663</v>
      </c>
      <c r="I4740">
        <v>5358</v>
      </c>
      <c r="J4740" t="str">
        <f>VLOOKUP(E4740,DSSpieler!A:B,2,FALSE)</f>
        <v>Ferran</v>
      </c>
    </row>
    <row r="4741" spans="1:10" x14ac:dyDescent="0.25">
      <c r="A4741">
        <v>5359</v>
      </c>
      <c r="B4741">
        <v>1</v>
      </c>
      <c r="C4741">
        <v>538</v>
      </c>
      <c r="D4741">
        <v>401</v>
      </c>
      <c r="E4741">
        <v>2142180</v>
      </c>
      <c r="F4741">
        <v>6564</v>
      </c>
      <c r="G4741">
        <v>0</v>
      </c>
      <c r="H4741" t="s">
        <v>9664</v>
      </c>
      <c r="I4741">
        <v>5359</v>
      </c>
      <c r="J4741" t="str">
        <f>VLOOKUP(E4741,DSSpieler!A:B,2,FALSE)</f>
        <v>Legolas42</v>
      </c>
    </row>
    <row r="4742" spans="1:10" x14ac:dyDescent="0.25">
      <c r="A4742">
        <v>5360</v>
      </c>
      <c r="B4742" t="s">
        <v>32451</v>
      </c>
      <c r="C4742">
        <v>484</v>
      </c>
      <c r="D4742">
        <v>526</v>
      </c>
      <c r="E4742">
        <v>8607972</v>
      </c>
      <c r="F4742">
        <v>7844</v>
      </c>
      <c r="G4742">
        <v>0</v>
      </c>
      <c r="H4742" t="s">
        <v>9665</v>
      </c>
      <c r="I4742">
        <v>5360</v>
      </c>
      <c r="J4742" t="str">
        <f>VLOOKUP(E4742,DSSpieler!A:B,2,FALSE)</f>
        <v>Goldraven</v>
      </c>
    </row>
    <row r="4743" spans="1:10" x14ac:dyDescent="0.25">
      <c r="A4743">
        <v>5361</v>
      </c>
      <c r="B4743" t="s">
        <v>531</v>
      </c>
      <c r="C4743">
        <v>516</v>
      </c>
      <c r="D4743">
        <v>467</v>
      </c>
      <c r="E4743">
        <v>0</v>
      </c>
      <c r="F4743">
        <v>351</v>
      </c>
      <c r="G4743">
        <v>0</v>
      </c>
      <c r="H4743" t="s">
        <v>9666</v>
      </c>
      <c r="I4743">
        <v>5361</v>
      </c>
      <c r="J4743" t="e">
        <f>VLOOKUP(E4743,DSSpieler!A:B,2,FALSE)</f>
        <v>#N/A</v>
      </c>
    </row>
    <row r="4744" spans="1:10" x14ac:dyDescent="0.25">
      <c r="A4744">
        <v>5362</v>
      </c>
      <c r="B4744" t="s">
        <v>531</v>
      </c>
      <c r="C4744">
        <v>479</v>
      </c>
      <c r="D4744">
        <v>469</v>
      </c>
      <c r="E4744">
        <v>0</v>
      </c>
      <c r="F4744">
        <v>558</v>
      </c>
      <c r="G4744">
        <v>0</v>
      </c>
      <c r="H4744" t="s">
        <v>9667</v>
      </c>
      <c r="I4744">
        <v>5362</v>
      </c>
      <c r="J4744" t="e">
        <f>VLOOKUP(E4744,DSSpieler!A:B,2,FALSE)</f>
        <v>#N/A</v>
      </c>
    </row>
    <row r="4745" spans="1:10" x14ac:dyDescent="0.25">
      <c r="A4745">
        <v>5363</v>
      </c>
      <c r="B4745" t="s">
        <v>531</v>
      </c>
      <c r="C4745">
        <v>511</v>
      </c>
      <c r="D4745">
        <v>509</v>
      </c>
      <c r="E4745">
        <v>0</v>
      </c>
      <c r="F4745">
        <v>396</v>
      </c>
      <c r="G4745">
        <v>0</v>
      </c>
      <c r="H4745" t="s">
        <v>9668</v>
      </c>
      <c r="I4745">
        <v>5363</v>
      </c>
      <c r="J4745" t="e">
        <f>VLOOKUP(E4745,DSSpieler!A:B,2,FALSE)</f>
        <v>#N/A</v>
      </c>
    </row>
    <row r="4746" spans="1:10" x14ac:dyDescent="0.25">
      <c r="A4746">
        <v>5364</v>
      </c>
      <c r="B4746" t="s">
        <v>32452</v>
      </c>
      <c r="C4746">
        <v>488</v>
      </c>
      <c r="D4746">
        <v>396</v>
      </c>
      <c r="E4746">
        <v>1577197990</v>
      </c>
      <c r="F4746">
        <v>2291</v>
      </c>
      <c r="G4746">
        <v>0</v>
      </c>
      <c r="H4746" t="s">
        <v>9669</v>
      </c>
      <c r="I4746">
        <v>5364</v>
      </c>
      <c r="J4746" t="str">
        <f>VLOOKUP(E4746,DSSpieler!A:B,2,FALSE)</f>
        <v>haemmy2</v>
      </c>
    </row>
    <row r="4747" spans="1:10" x14ac:dyDescent="0.25">
      <c r="A4747">
        <v>5365</v>
      </c>
      <c r="B4747" t="s">
        <v>32453</v>
      </c>
      <c r="C4747">
        <v>471</v>
      </c>
      <c r="D4747">
        <v>573</v>
      </c>
      <c r="E4747">
        <v>557668</v>
      </c>
      <c r="F4747">
        <v>6331</v>
      </c>
      <c r="G4747">
        <v>0</v>
      </c>
      <c r="H4747" t="s">
        <v>9670</v>
      </c>
      <c r="I4747">
        <v>5365</v>
      </c>
      <c r="J4747" t="str">
        <f>VLOOKUP(E4747,DSSpieler!A:B,2,FALSE)</f>
        <v>Accce</v>
      </c>
    </row>
    <row r="4748" spans="1:10" x14ac:dyDescent="0.25">
      <c r="A4748">
        <v>5367</v>
      </c>
      <c r="B4748" t="s">
        <v>32454</v>
      </c>
      <c r="C4748">
        <v>490</v>
      </c>
      <c r="D4748">
        <v>396</v>
      </c>
      <c r="E4748">
        <v>10241426</v>
      </c>
      <c r="F4748">
        <v>4335</v>
      </c>
      <c r="G4748">
        <v>0</v>
      </c>
      <c r="H4748" t="s">
        <v>9671</v>
      </c>
      <c r="I4748">
        <v>5367</v>
      </c>
      <c r="J4748" t="str">
        <f>VLOOKUP(E4748,DSSpieler!A:B,2,FALSE)</f>
        <v>Sir Eric Cartman</v>
      </c>
    </row>
    <row r="4749" spans="1:10" x14ac:dyDescent="0.25">
      <c r="A4749">
        <v>5369</v>
      </c>
      <c r="B4749" t="s">
        <v>531</v>
      </c>
      <c r="C4749">
        <v>503</v>
      </c>
      <c r="D4749">
        <v>596</v>
      </c>
      <c r="E4749">
        <v>0</v>
      </c>
      <c r="F4749">
        <v>219</v>
      </c>
      <c r="G4749">
        <v>0</v>
      </c>
      <c r="H4749" t="s">
        <v>9672</v>
      </c>
      <c r="I4749">
        <v>5369</v>
      </c>
      <c r="J4749" t="e">
        <f>VLOOKUP(E4749,DSSpieler!A:B,2,FALSE)</f>
        <v>#N/A</v>
      </c>
    </row>
    <row r="4750" spans="1:10" x14ac:dyDescent="0.25">
      <c r="A4750">
        <v>5370</v>
      </c>
      <c r="B4750" t="s">
        <v>531</v>
      </c>
      <c r="C4750">
        <v>516</v>
      </c>
      <c r="D4750">
        <v>470</v>
      </c>
      <c r="E4750">
        <v>0</v>
      </c>
      <c r="F4750">
        <v>367</v>
      </c>
      <c r="G4750">
        <v>0</v>
      </c>
      <c r="H4750" t="s">
        <v>9673</v>
      </c>
      <c r="I4750">
        <v>5370</v>
      </c>
      <c r="J4750" t="e">
        <f>VLOOKUP(E4750,DSSpieler!A:B,2,FALSE)</f>
        <v>#N/A</v>
      </c>
    </row>
    <row r="4751" spans="1:10" x14ac:dyDescent="0.25">
      <c r="A4751">
        <v>5371</v>
      </c>
      <c r="B4751" t="s">
        <v>32455</v>
      </c>
      <c r="C4751">
        <v>508</v>
      </c>
      <c r="D4751">
        <v>495</v>
      </c>
      <c r="E4751">
        <v>1576459834</v>
      </c>
      <c r="F4751">
        <v>6436</v>
      </c>
      <c r="G4751">
        <v>0</v>
      </c>
      <c r="H4751" t="s">
        <v>9674</v>
      </c>
      <c r="I4751">
        <v>5371</v>
      </c>
      <c r="J4751" t="str">
        <f>VLOOKUP(E4751,DSSpieler!A:B,2,FALSE)</f>
        <v>coolermanyes</v>
      </c>
    </row>
    <row r="4752" spans="1:10" x14ac:dyDescent="0.25">
      <c r="A4752">
        <v>5372</v>
      </c>
      <c r="B4752" t="s">
        <v>531</v>
      </c>
      <c r="C4752">
        <v>536</v>
      </c>
      <c r="D4752">
        <v>515</v>
      </c>
      <c r="E4752">
        <v>0</v>
      </c>
      <c r="F4752">
        <v>978</v>
      </c>
      <c r="G4752">
        <v>0</v>
      </c>
      <c r="H4752" t="s">
        <v>9675</v>
      </c>
      <c r="I4752">
        <v>5372</v>
      </c>
      <c r="J4752" t="e">
        <f>VLOOKUP(E4752,DSSpieler!A:B,2,FALSE)</f>
        <v>#N/A</v>
      </c>
    </row>
    <row r="4753" spans="1:10" x14ac:dyDescent="0.25">
      <c r="A4753">
        <v>5373</v>
      </c>
      <c r="B4753" t="s">
        <v>531</v>
      </c>
      <c r="C4753">
        <v>547</v>
      </c>
      <c r="D4753">
        <v>512</v>
      </c>
      <c r="E4753">
        <v>0</v>
      </c>
      <c r="F4753">
        <v>313</v>
      </c>
      <c r="G4753">
        <v>0</v>
      </c>
      <c r="H4753" t="s">
        <v>9676</v>
      </c>
      <c r="I4753">
        <v>5373</v>
      </c>
      <c r="J4753" t="e">
        <f>VLOOKUP(E4753,DSSpieler!A:B,2,FALSE)</f>
        <v>#N/A</v>
      </c>
    </row>
    <row r="4754" spans="1:10" x14ac:dyDescent="0.25">
      <c r="A4754">
        <v>5374</v>
      </c>
      <c r="B4754" t="s">
        <v>32456</v>
      </c>
      <c r="C4754">
        <v>440</v>
      </c>
      <c r="D4754">
        <v>449</v>
      </c>
      <c r="E4754">
        <v>9769149</v>
      </c>
      <c r="F4754">
        <v>6128</v>
      </c>
      <c r="G4754">
        <v>0</v>
      </c>
      <c r="H4754" t="s">
        <v>9677</v>
      </c>
      <c r="I4754">
        <v>5374</v>
      </c>
      <c r="J4754" t="str">
        <f>VLOOKUP(E4754,DSSpieler!A:B,2,FALSE)</f>
        <v>SpartaBamf</v>
      </c>
    </row>
    <row r="4755" spans="1:10" x14ac:dyDescent="0.25">
      <c r="A4755">
        <v>5375</v>
      </c>
      <c r="B4755" t="s">
        <v>32457</v>
      </c>
      <c r="C4755">
        <v>526</v>
      </c>
      <c r="D4755">
        <v>464</v>
      </c>
      <c r="E4755">
        <v>1577108749</v>
      </c>
      <c r="F4755">
        <v>6282</v>
      </c>
      <c r="G4755">
        <v>0</v>
      </c>
      <c r="H4755" t="s">
        <v>9678</v>
      </c>
      <c r="I4755">
        <v>5375</v>
      </c>
      <c r="J4755" t="str">
        <f>VLOOKUP(E4755,DSSpieler!A:B,2,FALSE)</f>
        <v>IVVI</v>
      </c>
    </row>
    <row r="4756" spans="1:10" x14ac:dyDescent="0.25">
      <c r="A4756">
        <v>5377</v>
      </c>
      <c r="B4756" t="s">
        <v>32458</v>
      </c>
      <c r="C4756">
        <v>438</v>
      </c>
      <c r="D4756">
        <v>575</v>
      </c>
      <c r="E4756">
        <v>10080976</v>
      </c>
      <c r="F4756">
        <v>6445</v>
      </c>
      <c r="G4756">
        <v>0</v>
      </c>
      <c r="H4756" t="s">
        <v>9679</v>
      </c>
      <c r="I4756">
        <v>5377</v>
      </c>
      <c r="J4756" t="str">
        <f>VLOOKUP(E4756,DSSpieler!A:B,2,FALSE)</f>
        <v>Kagawa09</v>
      </c>
    </row>
    <row r="4757" spans="1:10" x14ac:dyDescent="0.25">
      <c r="A4757">
        <v>5378</v>
      </c>
      <c r="B4757" t="s">
        <v>32459</v>
      </c>
      <c r="C4757">
        <v>579</v>
      </c>
      <c r="D4757">
        <v>492</v>
      </c>
      <c r="E4757">
        <v>1576815963</v>
      </c>
      <c r="F4757">
        <v>413</v>
      </c>
      <c r="G4757">
        <v>0</v>
      </c>
      <c r="H4757" t="s">
        <v>9680</v>
      </c>
      <c r="I4757">
        <v>5378</v>
      </c>
      <c r="J4757" t="str">
        <f>VLOOKUP(E4757,DSSpieler!A:B,2,FALSE)</f>
        <v>Caligula-Minus</v>
      </c>
    </row>
    <row r="4758" spans="1:10" x14ac:dyDescent="0.25">
      <c r="A4758">
        <v>5379</v>
      </c>
      <c r="B4758" t="s">
        <v>32460</v>
      </c>
      <c r="C4758">
        <v>463</v>
      </c>
      <c r="D4758">
        <v>540</v>
      </c>
      <c r="E4758">
        <v>1577188737</v>
      </c>
      <c r="F4758">
        <v>5261</v>
      </c>
      <c r="G4758">
        <v>0</v>
      </c>
      <c r="H4758" t="s">
        <v>9681</v>
      </c>
      <c r="I4758">
        <v>5379</v>
      </c>
      <c r="J4758" t="str">
        <f>VLOOKUP(E4758,DSSpieler!A:B,2,FALSE)</f>
        <v>Ron1604</v>
      </c>
    </row>
    <row r="4759" spans="1:10" x14ac:dyDescent="0.25">
      <c r="A4759">
        <v>5380</v>
      </c>
      <c r="B4759" t="s">
        <v>1396</v>
      </c>
      <c r="C4759">
        <v>399</v>
      </c>
      <c r="D4759">
        <v>529</v>
      </c>
      <c r="E4759">
        <v>281103</v>
      </c>
      <c r="F4759">
        <v>4614</v>
      </c>
      <c r="G4759">
        <v>0</v>
      </c>
      <c r="H4759" t="s">
        <v>9682</v>
      </c>
      <c r="I4759">
        <v>5380</v>
      </c>
      <c r="J4759" t="str">
        <f>VLOOKUP(E4759,DSSpieler!A:B,2,FALSE)</f>
        <v>Lady Elaine</v>
      </c>
    </row>
    <row r="4760" spans="1:10" x14ac:dyDescent="0.25">
      <c r="A4760">
        <v>5381</v>
      </c>
      <c r="B4760" t="s">
        <v>531</v>
      </c>
      <c r="C4760">
        <v>434</v>
      </c>
      <c r="D4760">
        <v>460</v>
      </c>
      <c r="E4760">
        <v>0</v>
      </c>
      <c r="F4760">
        <v>471</v>
      </c>
      <c r="G4760">
        <v>0</v>
      </c>
      <c r="H4760" t="s">
        <v>9683</v>
      </c>
      <c r="I4760">
        <v>5381</v>
      </c>
      <c r="J4760" t="e">
        <f>VLOOKUP(E4760,DSSpieler!A:B,2,FALSE)</f>
        <v>#N/A</v>
      </c>
    </row>
    <row r="4761" spans="1:10" x14ac:dyDescent="0.25">
      <c r="A4761">
        <v>5382</v>
      </c>
      <c r="B4761" t="s">
        <v>32461</v>
      </c>
      <c r="C4761">
        <v>504</v>
      </c>
      <c r="D4761">
        <v>549</v>
      </c>
      <c r="E4761">
        <v>8271863</v>
      </c>
      <c r="F4761">
        <v>6113</v>
      </c>
      <c r="G4761">
        <v>0</v>
      </c>
      <c r="H4761" t="s">
        <v>9684</v>
      </c>
      <c r="I4761">
        <v>5382</v>
      </c>
      <c r="J4761" t="str">
        <f>VLOOKUP(E4761,DSSpieler!A:B,2,FALSE)</f>
        <v>x3rikx</v>
      </c>
    </row>
    <row r="4762" spans="1:10" x14ac:dyDescent="0.25">
      <c r="A4762">
        <v>5383</v>
      </c>
      <c r="B4762" t="s">
        <v>32462</v>
      </c>
      <c r="C4762">
        <v>444</v>
      </c>
      <c r="D4762">
        <v>538</v>
      </c>
      <c r="E4762">
        <v>9868037</v>
      </c>
      <c r="F4762">
        <v>5267</v>
      </c>
      <c r="G4762">
        <v>0</v>
      </c>
      <c r="H4762" t="s">
        <v>9685</v>
      </c>
      <c r="I4762">
        <v>5383</v>
      </c>
      <c r="J4762" t="str">
        <f>VLOOKUP(E4762,DSSpieler!A:B,2,FALSE)</f>
        <v>.Taboo</v>
      </c>
    </row>
    <row r="4763" spans="1:10" x14ac:dyDescent="0.25">
      <c r="A4763">
        <v>5384</v>
      </c>
      <c r="B4763" t="s">
        <v>531</v>
      </c>
      <c r="C4763">
        <v>578</v>
      </c>
      <c r="D4763">
        <v>557</v>
      </c>
      <c r="E4763">
        <v>0</v>
      </c>
      <c r="F4763">
        <v>934</v>
      </c>
      <c r="G4763">
        <v>0</v>
      </c>
      <c r="H4763" t="s">
        <v>9686</v>
      </c>
      <c r="I4763">
        <v>5384</v>
      </c>
      <c r="J4763" t="e">
        <f>VLOOKUP(E4763,DSSpieler!A:B,2,FALSE)</f>
        <v>#N/A</v>
      </c>
    </row>
    <row r="4764" spans="1:10" x14ac:dyDescent="0.25">
      <c r="A4764">
        <v>5385</v>
      </c>
      <c r="B4764" t="s">
        <v>32463</v>
      </c>
      <c r="C4764">
        <v>468</v>
      </c>
      <c r="D4764">
        <v>419</v>
      </c>
      <c r="E4764">
        <v>1576680977</v>
      </c>
      <c r="F4764">
        <v>4684</v>
      </c>
      <c r="G4764">
        <v>0</v>
      </c>
      <c r="H4764" t="s">
        <v>9687</v>
      </c>
      <c r="I4764">
        <v>5385</v>
      </c>
      <c r="J4764" t="str">
        <f>VLOOKUP(E4764,DSSpieler!A:B,2,FALSE)</f>
        <v>HeavenKeeper</v>
      </c>
    </row>
    <row r="4765" spans="1:10" x14ac:dyDescent="0.25">
      <c r="A4765">
        <v>5386</v>
      </c>
      <c r="B4765" t="s">
        <v>531</v>
      </c>
      <c r="C4765">
        <v>499</v>
      </c>
      <c r="D4765">
        <v>516</v>
      </c>
      <c r="E4765">
        <v>1576663664</v>
      </c>
      <c r="F4765">
        <v>529</v>
      </c>
      <c r="G4765">
        <v>0</v>
      </c>
      <c r="H4765" t="s">
        <v>9688</v>
      </c>
      <c r="I4765">
        <v>5386</v>
      </c>
      <c r="J4765" t="str">
        <f>VLOOKUP(E4765,DSSpieler!A:B,2,FALSE)</f>
        <v>gyoparlol</v>
      </c>
    </row>
    <row r="4766" spans="1:10" x14ac:dyDescent="0.25">
      <c r="A4766">
        <v>5387</v>
      </c>
      <c r="B4766" t="s">
        <v>32464</v>
      </c>
      <c r="C4766">
        <v>524</v>
      </c>
      <c r="D4766">
        <v>591</v>
      </c>
      <c r="E4766">
        <v>1577183490</v>
      </c>
      <c r="F4766">
        <v>4690</v>
      </c>
      <c r="G4766">
        <v>0</v>
      </c>
      <c r="H4766" t="s">
        <v>9689</v>
      </c>
      <c r="I4766">
        <v>5387</v>
      </c>
      <c r="J4766" t="str">
        <f>VLOOKUP(E4766,DSSpieler!A:B,2,FALSE)</f>
        <v>KlabauterKlaus</v>
      </c>
    </row>
    <row r="4767" spans="1:10" x14ac:dyDescent="0.25">
      <c r="A4767">
        <v>5388</v>
      </c>
      <c r="B4767" t="s">
        <v>32465</v>
      </c>
      <c r="C4767">
        <v>420</v>
      </c>
      <c r="D4767">
        <v>551</v>
      </c>
      <c r="E4767">
        <v>10235585</v>
      </c>
      <c r="F4767">
        <v>6039</v>
      </c>
      <c r="G4767">
        <v>0</v>
      </c>
      <c r="H4767" t="s">
        <v>9690</v>
      </c>
      <c r="I4767">
        <v>5388</v>
      </c>
      <c r="J4767" t="str">
        <f>VLOOKUP(E4767,DSSpieler!A:B,2,FALSE)</f>
        <v>Destroyl</v>
      </c>
    </row>
    <row r="4768" spans="1:10" x14ac:dyDescent="0.25">
      <c r="A4768">
        <v>5389</v>
      </c>
      <c r="B4768" t="s">
        <v>531</v>
      </c>
      <c r="C4768">
        <v>506</v>
      </c>
      <c r="D4768">
        <v>471</v>
      </c>
      <c r="E4768">
        <v>0</v>
      </c>
      <c r="F4768">
        <v>533</v>
      </c>
      <c r="G4768">
        <v>0</v>
      </c>
      <c r="H4768" t="s">
        <v>9691</v>
      </c>
      <c r="I4768">
        <v>5389</v>
      </c>
      <c r="J4768" t="e">
        <f>VLOOKUP(E4768,DSSpieler!A:B,2,FALSE)</f>
        <v>#N/A</v>
      </c>
    </row>
    <row r="4769" spans="1:10" x14ac:dyDescent="0.25">
      <c r="A4769">
        <v>5390</v>
      </c>
      <c r="B4769" t="s">
        <v>30558</v>
      </c>
      <c r="C4769">
        <v>463</v>
      </c>
      <c r="D4769">
        <v>537</v>
      </c>
      <c r="E4769">
        <v>8198979</v>
      </c>
      <c r="F4769">
        <v>5876</v>
      </c>
      <c r="G4769">
        <v>0</v>
      </c>
      <c r="H4769" t="s">
        <v>9692</v>
      </c>
      <c r="I4769">
        <v>5390</v>
      </c>
      <c r="J4769" t="str">
        <f>VLOOKUP(E4769,DSSpieler!A:B,2,FALSE)</f>
        <v>Feel my Hardstyle Spirit</v>
      </c>
    </row>
    <row r="4770" spans="1:10" x14ac:dyDescent="0.25">
      <c r="A4770">
        <v>5391</v>
      </c>
      <c r="B4770" t="s">
        <v>546</v>
      </c>
      <c r="C4770">
        <v>491</v>
      </c>
      <c r="D4770">
        <v>454</v>
      </c>
      <c r="E4770">
        <v>1577197355</v>
      </c>
      <c r="F4770">
        <v>7284</v>
      </c>
      <c r="G4770">
        <v>0</v>
      </c>
      <c r="H4770" t="s">
        <v>9693</v>
      </c>
      <c r="I4770">
        <v>5391</v>
      </c>
      <c r="J4770" t="str">
        <f>VLOOKUP(E4770,DSSpieler!A:B,2,FALSE)</f>
        <v>Oachkazlschwoaf</v>
      </c>
    </row>
    <row r="4771" spans="1:10" x14ac:dyDescent="0.25">
      <c r="A4771">
        <v>5392</v>
      </c>
      <c r="B4771" t="s">
        <v>609</v>
      </c>
      <c r="C4771">
        <v>590</v>
      </c>
      <c r="D4771">
        <v>467</v>
      </c>
      <c r="E4771">
        <v>1576945801</v>
      </c>
      <c r="F4771">
        <v>4558</v>
      </c>
      <c r="G4771">
        <v>0</v>
      </c>
      <c r="H4771" t="s">
        <v>9694</v>
      </c>
      <c r="I4771">
        <v>5392</v>
      </c>
      <c r="J4771" t="str">
        <f>VLOOKUP(E4771,DSSpieler!A:B,2,FALSE)</f>
        <v>NoNameFree</v>
      </c>
    </row>
    <row r="4772" spans="1:10" x14ac:dyDescent="0.25">
      <c r="A4772">
        <v>5394</v>
      </c>
      <c r="B4772" t="s">
        <v>774</v>
      </c>
      <c r="C4772">
        <v>564</v>
      </c>
      <c r="D4772">
        <v>486</v>
      </c>
      <c r="E4772">
        <v>1576962402</v>
      </c>
      <c r="F4772">
        <v>4788</v>
      </c>
      <c r="G4772">
        <v>0</v>
      </c>
      <c r="H4772" t="s">
        <v>9695</v>
      </c>
      <c r="I4772">
        <v>5394</v>
      </c>
      <c r="J4772" t="str">
        <f>VLOOKUP(E4772,DSSpieler!A:B,2,FALSE)</f>
        <v>HerzogTheodoric0305</v>
      </c>
    </row>
    <row r="4773" spans="1:10" x14ac:dyDescent="0.25">
      <c r="A4773">
        <v>5395</v>
      </c>
      <c r="B4773" t="s">
        <v>32466</v>
      </c>
      <c r="C4773">
        <v>485</v>
      </c>
      <c r="D4773">
        <v>525</v>
      </c>
      <c r="E4773">
        <v>8607972</v>
      </c>
      <c r="F4773">
        <v>6832</v>
      </c>
      <c r="G4773">
        <v>0</v>
      </c>
      <c r="H4773" t="s">
        <v>9696</v>
      </c>
      <c r="I4773">
        <v>5395</v>
      </c>
      <c r="J4773" t="str">
        <f>VLOOKUP(E4773,DSSpieler!A:B,2,FALSE)</f>
        <v>Goldraven</v>
      </c>
    </row>
    <row r="4774" spans="1:10" x14ac:dyDescent="0.25">
      <c r="A4774">
        <v>5396</v>
      </c>
      <c r="B4774" t="s">
        <v>1397</v>
      </c>
      <c r="C4774">
        <v>586</v>
      </c>
      <c r="D4774">
        <v>488</v>
      </c>
      <c r="E4774">
        <v>1577197531</v>
      </c>
      <c r="F4774">
        <v>4225</v>
      </c>
      <c r="G4774">
        <v>0</v>
      </c>
      <c r="H4774" t="s">
        <v>9697</v>
      </c>
      <c r="I4774">
        <v>5396</v>
      </c>
      <c r="J4774" t="str">
        <f>VLOOKUP(E4774,DSSpieler!A:B,2,FALSE)</f>
        <v>V4p3X</v>
      </c>
    </row>
    <row r="4775" spans="1:10" x14ac:dyDescent="0.25">
      <c r="A4775">
        <v>5397</v>
      </c>
      <c r="B4775" t="s">
        <v>32467</v>
      </c>
      <c r="C4775">
        <v>415</v>
      </c>
      <c r="D4775">
        <v>564</v>
      </c>
      <c r="E4775">
        <v>1577179523</v>
      </c>
      <c r="F4775">
        <v>4249</v>
      </c>
      <c r="G4775">
        <v>0</v>
      </c>
      <c r="H4775" t="s">
        <v>9698</v>
      </c>
      <c r="I4775">
        <v>5397</v>
      </c>
      <c r="J4775" t="str">
        <f>VLOOKUP(E4775,DSSpieler!A:B,2,FALSE)</f>
        <v>l4330hd</v>
      </c>
    </row>
    <row r="4776" spans="1:10" x14ac:dyDescent="0.25">
      <c r="A4776">
        <v>5398</v>
      </c>
      <c r="B4776" t="s">
        <v>629</v>
      </c>
      <c r="C4776">
        <v>463</v>
      </c>
      <c r="D4776">
        <v>561</v>
      </c>
      <c r="E4776">
        <v>1577184740</v>
      </c>
      <c r="F4776">
        <v>8557</v>
      </c>
      <c r="G4776">
        <v>0</v>
      </c>
      <c r="H4776" t="s">
        <v>9699</v>
      </c>
      <c r="I4776">
        <v>5398</v>
      </c>
      <c r="J4776" t="str">
        <f>VLOOKUP(E4776,DSSpieler!A:B,2,FALSE)</f>
        <v>kinnaj92</v>
      </c>
    </row>
    <row r="4777" spans="1:10" x14ac:dyDescent="0.25">
      <c r="A4777">
        <v>5399</v>
      </c>
      <c r="B4777" t="s">
        <v>1398</v>
      </c>
      <c r="C4777">
        <v>427</v>
      </c>
      <c r="D4777">
        <v>496</v>
      </c>
      <c r="E4777">
        <v>9268817</v>
      </c>
      <c r="F4777">
        <v>4159</v>
      </c>
      <c r="G4777">
        <v>0</v>
      </c>
      <c r="H4777" t="s">
        <v>9700</v>
      </c>
      <c r="I4777">
        <v>5399</v>
      </c>
      <c r="J4777" t="str">
        <f>VLOOKUP(E4777,DSSpieler!A:B,2,FALSE)</f>
        <v>Kätzchen1001</v>
      </c>
    </row>
    <row r="4778" spans="1:10" x14ac:dyDescent="0.25">
      <c r="A4778">
        <v>5400</v>
      </c>
      <c r="B4778" t="s">
        <v>32468</v>
      </c>
      <c r="C4778">
        <v>577</v>
      </c>
      <c r="D4778">
        <v>485</v>
      </c>
      <c r="E4778">
        <v>9647614</v>
      </c>
      <c r="F4778">
        <v>4722</v>
      </c>
      <c r="G4778">
        <v>0</v>
      </c>
      <c r="H4778" t="s">
        <v>9701</v>
      </c>
      <c r="I4778">
        <v>5400</v>
      </c>
      <c r="J4778" t="str">
        <f>VLOOKUP(E4778,DSSpieler!A:B,2,FALSE)</f>
        <v>Riefenstahl</v>
      </c>
    </row>
    <row r="4779" spans="1:10" x14ac:dyDescent="0.25">
      <c r="A4779">
        <v>5401</v>
      </c>
      <c r="B4779" t="s">
        <v>32469</v>
      </c>
      <c r="C4779">
        <v>608</v>
      </c>
      <c r="D4779">
        <v>496</v>
      </c>
      <c r="E4779">
        <v>1577192749</v>
      </c>
      <c r="F4779">
        <v>4872</v>
      </c>
      <c r="G4779">
        <v>0</v>
      </c>
      <c r="H4779" t="s">
        <v>9702</v>
      </c>
      <c r="I4779">
        <v>5401</v>
      </c>
      <c r="J4779" t="str">
        <f>VLOOKUP(E4779,DSSpieler!A:B,2,FALSE)</f>
        <v>Mikael</v>
      </c>
    </row>
    <row r="4780" spans="1:10" x14ac:dyDescent="0.25">
      <c r="A4780">
        <v>5402</v>
      </c>
      <c r="B4780" t="s">
        <v>32470</v>
      </c>
      <c r="C4780">
        <v>449</v>
      </c>
      <c r="D4780">
        <v>440</v>
      </c>
      <c r="E4780">
        <v>3449535</v>
      </c>
      <c r="F4780">
        <v>5358</v>
      </c>
      <c r="G4780">
        <v>0</v>
      </c>
      <c r="H4780" t="s">
        <v>9703</v>
      </c>
      <c r="I4780">
        <v>5402</v>
      </c>
      <c r="J4780" t="str">
        <f>VLOOKUP(E4780,DSSpieler!A:B,2,FALSE)</f>
        <v>Melniebone</v>
      </c>
    </row>
    <row r="4781" spans="1:10" x14ac:dyDescent="0.25">
      <c r="A4781">
        <v>5403</v>
      </c>
      <c r="B4781" t="s">
        <v>32471</v>
      </c>
      <c r="C4781">
        <v>428</v>
      </c>
      <c r="D4781">
        <v>425</v>
      </c>
      <c r="E4781">
        <v>1577180780</v>
      </c>
      <c r="F4781">
        <v>7327</v>
      </c>
      <c r="G4781">
        <v>0</v>
      </c>
      <c r="H4781" t="s">
        <v>9704</v>
      </c>
      <c r="I4781">
        <v>5403</v>
      </c>
      <c r="J4781" t="str">
        <f>VLOOKUP(E4781,DSSpieler!A:B,2,FALSE)</f>
        <v>richamster</v>
      </c>
    </row>
    <row r="4782" spans="1:10" x14ac:dyDescent="0.25">
      <c r="A4782">
        <v>5404</v>
      </c>
      <c r="B4782" t="s">
        <v>989</v>
      </c>
      <c r="C4782">
        <v>595</v>
      </c>
      <c r="D4782">
        <v>469</v>
      </c>
      <c r="E4782">
        <v>1173632</v>
      </c>
      <c r="F4782">
        <v>4595</v>
      </c>
      <c r="G4782">
        <v>0</v>
      </c>
      <c r="H4782" t="s">
        <v>9705</v>
      </c>
      <c r="I4782">
        <v>5404</v>
      </c>
      <c r="J4782" t="str">
        <f>VLOOKUP(E4782,DSSpieler!A:B,2,FALSE)</f>
        <v>General Dima</v>
      </c>
    </row>
    <row r="4783" spans="1:10" x14ac:dyDescent="0.25">
      <c r="A4783">
        <v>5405</v>
      </c>
      <c r="B4783" t="s">
        <v>32472</v>
      </c>
      <c r="C4783">
        <v>409</v>
      </c>
      <c r="D4783">
        <v>526</v>
      </c>
      <c r="E4783">
        <v>1577149855</v>
      </c>
      <c r="F4783">
        <v>3325</v>
      </c>
      <c r="G4783">
        <v>0</v>
      </c>
      <c r="H4783" t="s">
        <v>9706</v>
      </c>
      <c r="I4783">
        <v>5405</v>
      </c>
      <c r="J4783" t="str">
        <f>VLOOKUP(E4783,DSSpieler!A:B,2,FALSE)</f>
        <v>Flo1995</v>
      </c>
    </row>
    <row r="4784" spans="1:10" x14ac:dyDescent="0.25">
      <c r="A4784">
        <v>5406</v>
      </c>
      <c r="B4784" t="s">
        <v>1399</v>
      </c>
      <c r="C4784">
        <v>415</v>
      </c>
      <c r="D4784">
        <v>561</v>
      </c>
      <c r="E4784">
        <v>1577180228</v>
      </c>
      <c r="F4784">
        <v>4750</v>
      </c>
      <c r="G4784">
        <v>0</v>
      </c>
      <c r="H4784" t="s">
        <v>9707</v>
      </c>
      <c r="I4784">
        <v>5406</v>
      </c>
      <c r="J4784" t="str">
        <f>VLOOKUP(E4784,DSSpieler!A:B,2,FALSE)</f>
        <v>YottwaldAG</v>
      </c>
    </row>
    <row r="4785" spans="1:10" x14ac:dyDescent="0.25">
      <c r="A4785">
        <v>5407</v>
      </c>
      <c r="B4785" t="s">
        <v>32473</v>
      </c>
      <c r="C4785">
        <v>447</v>
      </c>
      <c r="D4785">
        <v>410</v>
      </c>
      <c r="E4785">
        <v>1577182894</v>
      </c>
      <c r="F4785">
        <v>3925</v>
      </c>
      <c r="G4785">
        <v>0</v>
      </c>
      <c r="H4785" t="s">
        <v>9708</v>
      </c>
      <c r="I4785">
        <v>5407</v>
      </c>
      <c r="J4785" t="str">
        <f>VLOOKUP(E4785,DSSpieler!A:B,2,FALSE)</f>
        <v>.Cookie.</v>
      </c>
    </row>
    <row r="4786" spans="1:10" x14ac:dyDescent="0.25">
      <c r="A4786">
        <v>5408</v>
      </c>
      <c r="B4786" t="s">
        <v>32474</v>
      </c>
      <c r="C4786">
        <v>444</v>
      </c>
      <c r="D4786">
        <v>459</v>
      </c>
      <c r="E4786">
        <v>950620</v>
      </c>
      <c r="F4786">
        <v>4254</v>
      </c>
      <c r="G4786">
        <v>0</v>
      </c>
      <c r="H4786" t="s">
        <v>9709</v>
      </c>
      <c r="I4786">
        <v>5408</v>
      </c>
      <c r="J4786" t="str">
        <f>VLOOKUP(E4786,DSSpieler!A:B,2,FALSE)</f>
        <v>nici55</v>
      </c>
    </row>
    <row r="4787" spans="1:10" x14ac:dyDescent="0.25">
      <c r="A4787">
        <v>5409</v>
      </c>
      <c r="B4787" t="s">
        <v>32475</v>
      </c>
      <c r="C4787">
        <v>452</v>
      </c>
      <c r="D4787">
        <v>431</v>
      </c>
      <c r="E4787">
        <v>1577186381</v>
      </c>
      <c r="F4787">
        <v>4935</v>
      </c>
      <c r="G4787">
        <v>0</v>
      </c>
      <c r="H4787" t="s">
        <v>9710</v>
      </c>
      <c r="I4787">
        <v>5409</v>
      </c>
      <c r="J4787" t="str">
        <f>VLOOKUP(E4787,DSSpieler!A:B,2,FALSE)</f>
        <v>Duby73</v>
      </c>
    </row>
    <row r="4788" spans="1:10" x14ac:dyDescent="0.25">
      <c r="A4788">
        <v>5410</v>
      </c>
      <c r="B4788" t="s">
        <v>531</v>
      </c>
      <c r="C4788">
        <v>492</v>
      </c>
      <c r="D4788">
        <v>556</v>
      </c>
      <c r="E4788">
        <v>0</v>
      </c>
      <c r="F4788">
        <v>364</v>
      </c>
      <c r="G4788">
        <v>0</v>
      </c>
      <c r="H4788" t="s">
        <v>9711</v>
      </c>
      <c r="I4788">
        <v>5410</v>
      </c>
      <c r="J4788" t="e">
        <f>VLOOKUP(E4788,DSSpieler!A:B,2,FALSE)</f>
        <v>#N/A</v>
      </c>
    </row>
    <row r="4789" spans="1:10" x14ac:dyDescent="0.25">
      <c r="A4789">
        <v>5411</v>
      </c>
      <c r="B4789" t="s">
        <v>1400</v>
      </c>
      <c r="C4789">
        <v>557</v>
      </c>
      <c r="D4789">
        <v>585</v>
      </c>
      <c r="E4789">
        <v>1576816643</v>
      </c>
      <c r="F4789">
        <v>852</v>
      </c>
      <c r="G4789">
        <v>0</v>
      </c>
      <c r="H4789" t="s">
        <v>9712</v>
      </c>
      <c r="I4789">
        <v>5411</v>
      </c>
      <c r="J4789" t="str">
        <f>VLOOKUP(E4789,DSSpieler!A:B,2,FALSE)</f>
        <v>ihi7</v>
      </c>
    </row>
    <row r="4790" spans="1:10" x14ac:dyDescent="0.25">
      <c r="A4790">
        <v>5412</v>
      </c>
      <c r="B4790" t="s">
        <v>30817</v>
      </c>
      <c r="C4790">
        <v>589</v>
      </c>
      <c r="D4790">
        <v>518</v>
      </c>
      <c r="E4790">
        <v>1577170716</v>
      </c>
      <c r="F4790">
        <v>3323</v>
      </c>
      <c r="G4790">
        <v>0</v>
      </c>
      <c r="H4790" t="s">
        <v>9713</v>
      </c>
      <c r="I4790">
        <v>5412</v>
      </c>
      <c r="J4790" t="str">
        <f>VLOOKUP(E4790,DSSpieler!A:B,2,FALSE)</f>
        <v>Perser-Krieger</v>
      </c>
    </row>
    <row r="4791" spans="1:10" x14ac:dyDescent="0.25">
      <c r="A4791">
        <v>5413</v>
      </c>
      <c r="B4791" t="s">
        <v>1401</v>
      </c>
      <c r="C4791">
        <v>540</v>
      </c>
      <c r="D4791">
        <v>447</v>
      </c>
      <c r="E4791">
        <v>9203662</v>
      </c>
      <c r="F4791">
        <v>3162</v>
      </c>
      <c r="G4791">
        <v>0</v>
      </c>
      <c r="H4791" t="s">
        <v>9714</v>
      </c>
      <c r="I4791">
        <v>5413</v>
      </c>
      <c r="J4791" t="str">
        <f>VLOOKUP(E4791,DSSpieler!A:B,2,FALSE)</f>
        <v>Flachskopf</v>
      </c>
    </row>
    <row r="4792" spans="1:10" x14ac:dyDescent="0.25">
      <c r="A4792">
        <v>5415</v>
      </c>
      <c r="B4792" t="s">
        <v>32476</v>
      </c>
      <c r="C4792">
        <v>518</v>
      </c>
      <c r="D4792">
        <v>429</v>
      </c>
      <c r="E4792">
        <v>1576428534</v>
      </c>
      <c r="F4792">
        <v>5263</v>
      </c>
      <c r="G4792">
        <v>0</v>
      </c>
      <c r="H4792" t="s">
        <v>9715</v>
      </c>
      <c r="I4792">
        <v>5415</v>
      </c>
      <c r="J4792" t="str">
        <f>VLOOKUP(E4792,DSSpieler!A:B,2,FALSE)</f>
        <v>KhaNickel</v>
      </c>
    </row>
    <row r="4793" spans="1:10" x14ac:dyDescent="0.25">
      <c r="A4793">
        <v>5416</v>
      </c>
      <c r="B4793" t="s">
        <v>1402</v>
      </c>
      <c r="C4793">
        <v>545</v>
      </c>
      <c r="D4793">
        <v>485</v>
      </c>
      <c r="E4793">
        <v>1577180324</v>
      </c>
      <c r="F4793">
        <v>8092</v>
      </c>
      <c r="G4793">
        <v>0</v>
      </c>
      <c r="H4793" t="s">
        <v>9716</v>
      </c>
      <c r="I4793">
        <v>5416</v>
      </c>
      <c r="J4793" t="str">
        <f>VLOOKUP(E4793,DSSpieler!A:B,2,FALSE)</f>
        <v>XTfg3ZAbO</v>
      </c>
    </row>
    <row r="4794" spans="1:10" x14ac:dyDescent="0.25">
      <c r="A4794">
        <v>5417</v>
      </c>
      <c r="B4794" t="s">
        <v>1403</v>
      </c>
      <c r="C4794">
        <v>467</v>
      </c>
      <c r="D4794">
        <v>488</v>
      </c>
      <c r="E4794">
        <v>1577190679</v>
      </c>
      <c r="F4794">
        <v>3541</v>
      </c>
      <c r="G4794">
        <v>0</v>
      </c>
      <c r="H4794" t="s">
        <v>9717</v>
      </c>
      <c r="I4794">
        <v>5417</v>
      </c>
      <c r="J4794" t="str">
        <f>VLOOKUP(E4794,DSSpieler!A:B,2,FALSE)</f>
        <v>Austriangrizzly</v>
      </c>
    </row>
    <row r="4795" spans="1:10" x14ac:dyDescent="0.25">
      <c r="A4795">
        <v>5418</v>
      </c>
      <c r="B4795" t="s">
        <v>531</v>
      </c>
      <c r="C4795">
        <v>512</v>
      </c>
      <c r="D4795">
        <v>451</v>
      </c>
      <c r="E4795">
        <v>0</v>
      </c>
      <c r="F4795">
        <v>345</v>
      </c>
      <c r="G4795">
        <v>0</v>
      </c>
      <c r="H4795" t="s">
        <v>9718</v>
      </c>
      <c r="I4795">
        <v>5418</v>
      </c>
      <c r="J4795" t="e">
        <f>VLOOKUP(E4795,DSSpieler!A:B,2,FALSE)</f>
        <v>#N/A</v>
      </c>
    </row>
    <row r="4796" spans="1:10" x14ac:dyDescent="0.25">
      <c r="A4796">
        <v>5419</v>
      </c>
      <c r="B4796" t="s">
        <v>32477</v>
      </c>
      <c r="C4796">
        <v>453</v>
      </c>
      <c r="D4796">
        <v>482</v>
      </c>
      <c r="E4796">
        <v>1577197025</v>
      </c>
      <c r="F4796">
        <v>7114</v>
      </c>
      <c r="G4796">
        <v>0</v>
      </c>
      <c r="H4796" t="s">
        <v>9719</v>
      </c>
      <c r="I4796">
        <v>5419</v>
      </c>
      <c r="J4796" t="str">
        <f>VLOOKUP(E4796,DSSpieler!A:B,2,FALSE)</f>
        <v>baumeister39</v>
      </c>
    </row>
    <row r="4797" spans="1:10" x14ac:dyDescent="0.25">
      <c r="A4797">
        <v>5420</v>
      </c>
      <c r="B4797" t="s">
        <v>32478</v>
      </c>
      <c r="C4797">
        <v>407</v>
      </c>
      <c r="D4797">
        <v>461</v>
      </c>
      <c r="E4797">
        <v>1576813734</v>
      </c>
      <c r="F4797">
        <v>2826</v>
      </c>
      <c r="G4797">
        <v>0</v>
      </c>
      <c r="H4797" t="s">
        <v>9720</v>
      </c>
      <c r="I4797">
        <v>5420</v>
      </c>
      <c r="J4797" t="str">
        <f>VLOOKUP(E4797,DSSpieler!A:B,2,FALSE)</f>
        <v>Dr.Axel-Stoll</v>
      </c>
    </row>
    <row r="4798" spans="1:10" x14ac:dyDescent="0.25">
      <c r="A4798">
        <v>5421</v>
      </c>
      <c r="B4798" t="s">
        <v>1404</v>
      </c>
      <c r="C4798">
        <v>593</v>
      </c>
      <c r="D4798">
        <v>477</v>
      </c>
      <c r="E4798">
        <v>1577186055</v>
      </c>
      <c r="F4798">
        <v>5271</v>
      </c>
      <c r="G4798">
        <v>0</v>
      </c>
      <c r="H4798" t="s">
        <v>9721</v>
      </c>
      <c r="I4798">
        <v>5421</v>
      </c>
      <c r="J4798" t="str">
        <f>VLOOKUP(E4798,DSSpieler!A:B,2,FALSE)</f>
        <v>Motueka</v>
      </c>
    </row>
    <row r="4799" spans="1:10" x14ac:dyDescent="0.25">
      <c r="A4799">
        <v>5422</v>
      </c>
      <c r="B4799" t="s">
        <v>531</v>
      </c>
      <c r="C4799">
        <v>558</v>
      </c>
      <c r="D4799">
        <v>546</v>
      </c>
      <c r="E4799">
        <v>0</v>
      </c>
      <c r="F4799">
        <v>319</v>
      </c>
      <c r="G4799">
        <v>0</v>
      </c>
      <c r="H4799" t="s">
        <v>9722</v>
      </c>
      <c r="I4799">
        <v>5422</v>
      </c>
      <c r="J4799" t="e">
        <f>VLOOKUP(E4799,DSSpieler!A:B,2,FALSE)</f>
        <v>#N/A</v>
      </c>
    </row>
    <row r="4800" spans="1:10" x14ac:dyDescent="0.25">
      <c r="A4800">
        <v>5423</v>
      </c>
      <c r="B4800" t="s">
        <v>32479</v>
      </c>
      <c r="C4800">
        <v>533</v>
      </c>
      <c r="D4800">
        <v>449</v>
      </c>
      <c r="E4800">
        <v>9693466</v>
      </c>
      <c r="F4800">
        <v>3979</v>
      </c>
      <c r="G4800">
        <v>0</v>
      </c>
      <c r="H4800" t="s">
        <v>9723</v>
      </c>
      <c r="I4800">
        <v>5423</v>
      </c>
      <c r="J4800" t="str">
        <f>VLOOKUP(E4800,DSSpieler!A:B,2,FALSE)</f>
        <v>LordNos</v>
      </c>
    </row>
    <row r="4801" spans="1:10" x14ac:dyDescent="0.25">
      <c r="A4801">
        <v>5424</v>
      </c>
      <c r="B4801" t="s">
        <v>32480</v>
      </c>
      <c r="C4801">
        <v>438</v>
      </c>
      <c r="D4801">
        <v>515</v>
      </c>
      <c r="E4801">
        <v>9594338</v>
      </c>
      <c r="F4801">
        <v>5821</v>
      </c>
      <c r="G4801">
        <v>0</v>
      </c>
      <c r="H4801" t="s">
        <v>9724</v>
      </c>
      <c r="I4801">
        <v>5424</v>
      </c>
      <c r="J4801" t="str">
        <f>VLOOKUP(E4801,DSSpieler!A:B,2,FALSE)</f>
        <v>andi97912</v>
      </c>
    </row>
    <row r="4802" spans="1:10" x14ac:dyDescent="0.25">
      <c r="A4802">
        <v>5425</v>
      </c>
      <c r="B4802">
        <v>1</v>
      </c>
      <c r="C4802">
        <v>564</v>
      </c>
      <c r="D4802">
        <v>447</v>
      </c>
      <c r="E4802">
        <v>1577197919</v>
      </c>
      <c r="F4802">
        <v>4189</v>
      </c>
      <c r="G4802">
        <v>0</v>
      </c>
      <c r="H4802" t="s">
        <v>9725</v>
      </c>
      <c r="I4802">
        <v>5425</v>
      </c>
      <c r="J4802" t="str">
        <f>VLOOKUP(E4802,DSSpieler!A:B,2,FALSE)</f>
        <v>3RorR1</v>
      </c>
    </row>
    <row r="4803" spans="1:10" x14ac:dyDescent="0.25">
      <c r="A4803">
        <v>5426</v>
      </c>
      <c r="B4803" t="s">
        <v>32481</v>
      </c>
      <c r="C4803">
        <v>570</v>
      </c>
      <c r="D4803">
        <v>510</v>
      </c>
      <c r="E4803">
        <v>1577197931</v>
      </c>
      <c r="F4803">
        <v>5484</v>
      </c>
      <c r="G4803">
        <v>0</v>
      </c>
      <c r="H4803" t="s">
        <v>9726</v>
      </c>
      <c r="I4803">
        <v>5426</v>
      </c>
      <c r="J4803" t="str">
        <f>VLOOKUP(E4803,DSSpieler!A:B,2,FALSE)</f>
        <v>D3nGeR0uZ</v>
      </c>
    </row>
    <row r="4804" spans="1:10" x14ac:dyDescent="0.25">
      <c r="A4804">
        <v>5427</v>
      </c>
      <c r="B4804" t="s">
        <v>1405</v>
      </c>
      <c r="C4804">
        <v>467</v>
      </c>
      <c r="D4804">
        <v>544</v>
      </c>
      <c r="E4804">
        <v>1576583180</v>
      </c>
      <c r="F4804">
        <v>6970</v>
      </c>
      <c r="G4804">
        <v>0</v>
      </c>
      <c r="H4804" t="s">
        <v>9727</v>
      </c>
      <c r="I4804">
        <v>5427</v>
      </c>
      <c r="J4804" t="str">
        <f>VLOOKUP(E4804,DSSpieler!A:B,2,FALSE)</f>
        <v>opjeff</v>
      </c>
    </row>
    <row r="4805" spans="1:10" x14ac:dyDescent="0.25">
      <c r="A4805">
        <v>5428</v>
      </c>
      <c r="B4805" t="s">
        <v>32482</v>
      </c>
      <c r="C4805">
        <v>547</v>
      </c>
      <c r="D4805">
        <v>445</v>
      </c>
      <c r="E4805">
        <v>8951253</v>
      </c>
      <c r="F4805">
        <v>6685</v>
      </c>
      <c r="G4805">
        <v>0</v>
      </c>
      <c r="H4805" t="s">
        <v>9728</v>
      </c>
      <c r="I4805">
        <v>5428</v>
      </c>
      <c r="J4805" t="str">
        <f>VLOOKUP(E4805,DSSpieler!A:B,2,FALSE)</f>
        <v>Fr@nky1</v>
      </c>
    </row>
    <row r="4806" spans="1:10" x14ac:dyDescent="0.25">
      <c r="A4806">
        <v>5429</v>
      </c>
      <c r="B4806" t="s">
        <v>31177</v>
      </c>
      <c r="C4806">
        <v>452</v>
      </c>
      <c r="D4806">
        <v>516</v>
      </c>
      <c r="E4806">
        <v>8311997</v>
      </c>
      <c r="F4806">
        <v>2256</v>
      </c>
      <c r="G4806">
        <v>0</v>
      </c>
      <c r="H4806" t="s">
        <v>9729</v>
      </c>
      <c r="I4806">
        <v>5429</v>
      </c>
      <c r="J4806" t="str">
        <f>VLOOKUP(E4806,DSSpieler!A:B,2,FALSE)</f>
        <v>Herzog Uli</v>
      </c>
    </row>
    <row r="4807" spans="1:10" x14ac:dyDescent="0.25">
      <c r="A4807">
        <v>5430</v>
      </c>
      <c r="B4807" t="s">
        <v>1406</v>
      </c>
      <c r="C4807">
        <v>559</v>
      </c>
      <c r="D4807">
        <v>425</v>
      </c>
      <c r="E4807">
        <v>1577196839</v>
      </c>
      <c r="F4807">
        <v>5158</v>
      </c>
      <c r="G4807">
        <v>0</v>
      </c>
      <c r="H4807" t="s">
        <v>9730</v>
      </c>
      <c r="I4807">
        <v>5430</v>
      </c>
      <c r="J4807" t="str">
        <f>VLOOKUP(E4807,DSSpieler!A:B,2,FALSE)</f>
        <v>heissi</v>
      </c>
    </row>
    <row r="4808" spans="1:10" x14ac:dyDescent="0.25">
      <c r="A4808">
        <v>5431</v>
      </c>
      <c r="B4808" t="s">
        <v>32483</v>
      </c>
      <c r="C4808">
        <v>398</v>
      </c>
      <c r="D4808">
        <v>464</v>
      </c>
      <c r="E4808">
        <v>10184986</v>
      </c>
      <c r="F4808">
        <v>2988</v>
      </c>
      <c r="G4808">
        <v>0</v>
      </c>
      <c r="H4808" t="s">
        <v>9731</v>
      </c>
      <c r="I4808">
        <v>5431</v>
      </c>
      <c r="J4808" t="str">
        <f>VLOOKUP(E4808,DSSpieler!A:B,2,FALSE)</f>
        <v>König Marcelinho 1992</v>
      </c>
    </row>
    <row r="4809" spans="1:10" x14ac:dyDescent="0.25">
      <c r="A4809">
        <v>5432</v>
      </c>
      <c r="B4809" t="e">
        <f>-2-+Graveyard</f>
        <v>#NAME?</v>
      </c>
      <c r="C4809">
        <v>498</v>
      </c>
      <c r="D4809">
        <v>505</v>
      </c>
      <c r="E4809">
        <v>1577192207</v>
      </c>
      <c r="F4809">
        <v>1143</v>
      </c>
      <c r="G4809">
        <v>0</v>
      </c>
      <c r="H4809" t="s">
        <v>9732</v>
      </c>
      <c r="I4809">
        <v>5432</v>
      </c>
      <c r="J4809" t="str">
        <f>VLOOKUP(E4809,DSSpieler!A:B,2,FALSE)</f>
        <v>Placebokordel</v>
      </c>
    </row>
    <row r="4810" spans="1:10" x14ac:dyDescent="0.25">
      <c r="A4810">
        <v>5433</v>
      </c>
      <c r="B4810" t="s">
        <v>32484</v>
      </c>
      <c r="C4810">
        <v>533</v>
      </c>
      <c r="D4810">
        <v>599</v>
      </c>
      <c r="E4810">
        <v>9994877</v>
      </c>
      <c r="F4810">
        <v>4343</v>
      </c>
      <c r="G4810">
        <v>0</v>
      </c>
      <c r="H4810" t="s">
        <v>9733</v>
      </c>
      <c r="I4810">
        <v>5433</v>
      </c>
      <c r="J4810" t="str">
        <f>VLOOKUP(E4810,DSSpieler!A:B,2,FALSE)</f>
        <v>Shad0wjumper</v>
      </c>
    </row>
    <row r="4811" spans="1:10" x14ac:dyDescent="0.25">
      <c r="A4811">
        <v>5434</v>
      </c>
      <c r="B4811" t="s">
        <v>531</v>
      </c>
      <c r="C4811">
        <v>519</v>
      </c>
      <c r="D4811">
        <v>482</v>
      </c>
      <c r="E4811">
        <v>0</v>
      </c>
      <c r="F4811">
        <v>422</v>
      </c>
      <c r="G4811">
        <v>0</v>
      </c>
      <c r="H4811" t="s">
        <v>9734</v>
      </c>
      <c r="I4811">
        <v>5434</v>
      </c>
      <c r="J4811" t="e">
        <f>VLOOKUP(E4811,DSSpieler!A:B,2,FALSE)</f>
        <v>#N/A</v>
      </c>
    </row>
    <row r="4812" spans="1:10" x14ac:dyDescent="0.25">
      <c r="A4812">
        <v>5435</v>
      </c>
      <c r="B4812">
        <v>1</v>
      </c>
      <c r="C4812">
        <v>427</v>
      </c>
      <c r="D4812">
        <v>534</v>
      </c>
      <c r="E4812">
        <v>1577188071</v>
      </c>
      <c r="F4812">
        <v>2355</v>
      </c>
      <c r="G4812">
        <v>0</v>
      </c>
      <c r="H4812" t="s">
        <v>9735</v>
      </c>
      <c r="I4812">
        <v>5435</v>
      </c>
      <c r="J4812" t="str">
        <f>VLOOKUP(E4812,DSSpieler!A:B,2,FALSE)</f>
        <v>Surculus</v>
      </c>
    </row>
    <row r="4813" spans="1:10" x14ac:dyDescent="0.25">
      <c r="A4813">
        <v>5436</v>
      </c>
      <c r="B4813" t="s">
        <v>531</v>
      </c>
      <c r="C4813">
        <v>476</v>
      </c>
      <c r="D4813">
        <v>555</v>
      </c>
      <c r="E4813">
        <v>0</v>
      </c>
      <c r="F4813">
        <v>357</v>
      </c>
      <c r="G4813">
        <v>0</v>
      </c>
      <c r="H4813" t="s">
        <v>9736</v>
      </c>
      <c r="I4813">
        <v>5436</v>
      </c>
      <c r="J4813" t="e">
        <f>VLOOKUP(E4813,DSSpieler!A:B,2,FALSE)</f>
        <v>#N/A</v>
      </c>
    </row>
    <row r="4814" spans="1:10" x14ac:dyDescent="0.25">
      <c r="A4814">
        <v>5437</v>
      </c>
      <c r="B4814" t="s">
        <v>32485</v>
      </c>
      <c r="C4814">
        <v>565</v>
      </c>
      <c r="D4814">
        <v>546</v>
      </c>
      <c r="E4814">
        <v>2890598</v>
      </c>
      <c r="F4814">
        <v>412</v>
      </c>
      <c r="G4814">
        <v>0</v>
      </c>
      <c r="H4814" t="s">
        <v>9737</v>
      </c>
      <c r="I4814">
        <v>5437</v>
      </c>
      <c r="J4814" t="str">
        <f>VLOOKUP(E4814,DSSpieler!A:B,2,FALSE)</f>
        <v>Teddybaer1253</v>
      </c>
    </row>
    <row r="4815" spans="1:10" x14ac:dyDescent="0.25">
      <c r="A4815">
        <v>5438</v>
      </c>
      <c r="B4815">
        <v>6</v>
      </c>
      <c r="C4815">
        <v>484</v>
      </c>
      <c r="D4815">
        <v>423</v>
      </c>
      <c r="E4815">
        <v>1041015</v>
      </c>
      <c r="F4815">
        <v>6450</v>
      </c>
      <c r="G4815">
        <v>0</v>
      </c>
      <c r="H4815" t="s">
        <v>9738</v>
      </c>
      <c r="I4815">
        <v>5438</v>
      </c>
      <c r="J4815" t="str">
        <f>VLOOKUP(E4815,DSSpieler!A:B,2,FALSE)</f>
        <v>Messi11</v>
      </c>
    </row>
    <row r="4816" spans="1:10" x14ac:dyDescent="0.25">
      <c r="A4816">
        <v>5439</v>
      </c>
      <c r="B4816" t="s">
        <v>32486</v>
      </c>
      <c r="C4816">
        <v>517</v>
      </c>
      <c r="D4816">
        <v>555</v>
      </c>
      <c r="E4816">
        <v>9115889</v>
      </c>
      <c r="F4816">
        <v>4238</v>
      </c>
      <c r="G4816">
        <v>0</v>
      </c>
      <c r="H4816" t="s">
        <v>9739</v>
      </c>
      <c r="I4816">
        <v>5439</v>
      </c>
      <c r="J4816" t="str">
        <f>VLOOKUP(E4816,DSSpieler!A:B,2,FALSE)</f>
        <v>Golden*Rose</v>
      </c>
    </row>
    <row r="4817" spans="1:10" x14ac:dyDescent="0.25">
      <c r="A4817">
        <v>5440</v>
      </c>
      <c r="B4817" t="s">
        <v>531</v>
      </c>
      <c r="C4817">
        <v>447</v>
      </c>
      <c r="D4817">
        <v>484</v>
      </c>
      <c r="E4817">
        <v>0</v>
      </c>
      <c r="F4817">
        <v>507</v>
      </c>
      <c r="G4817">
        <v>0</v>
      </c>
      <c r="H4817" t="s">
        <v>9740</v>
      </c>
      <c r="I4817">
        <v>5440</v>
      </c>
      <c r="J4817" t="e">
        <f>VLOOKUP(E4817,DSSpieler!A:B,2,FALSE)</f>
        <v>#N/A</v>
      </c>
    </row>
    <row r="4818" spans="1:10" x14ac:dyDescent="0.25">
      <c r="A4818">
        <v>5441</v>
      </c>
      <c r="B4818" t="s">
        <v>1407</v>
      </c>
      <c r="C4818">
        <v>593</v>
      </c>
      <c r="D4818">
        <v>548</v>
      </c>
      <c r="E4818">
        <v>1576125761</v>
      </c>
      <c r="F4818">
        <v>6583</v>
      </c>
      <c r="G4818">
        <v>0</v>
      </c>
      <c r="H4818" t="s">
        <v>9741</v>
      </c>
      <c r="I4818">
        <v>5441</v>
      </c>
      <c r="J4818" t="str">
        <f>VLOOKUP(E4818,DSSpieler!A:B,2,FALSE)</f>
        <v>Riotyouth</v>
      </c>
    </row>
    <row r="4819" spans="1:10" x14ac:dyDescent="0.25">
      <c r="A4819">
        <v>5442</v>
      </c>
      <c r="B4819" t="s">
        <v>531</v>
      </c>
      <c r="C4819">
        <v>531</v>
      </c>
      <c r="D4819">
        <v>561</v>
      </c>
      <c r="E4819">
        <v>0</v>
      </c>
      <c r="F4819">
        <v>554</v>
      </c>
      <c r="G4819">
        <v>0</v>
      </c>
      <c r="H4819" t="s">
        <v>9742</v>
      </c>
      <c r="I4819">
        <v>5442</v>
      </c>
      <c r="J4819" t="e">
        <f>VLOOKUP(E4819,DSSpieler!A:B,2,FALSE)</f>
        <v>#N/A</v>
      </c>
    </row>
    <row r="4820" spans="1:10" x14ac:dyDescent="0.25">
      <c r="A4820">
        <v>5444</v>
      </c>
      <c r="B4820" t="s">
        <v>979</v>
      </c>
      <c r="C4820">
        <v>497</v>
      </c>
      <c r="D4820">
        <v>605</v>
      </c>
      <c r="E4820">
        <v>1576934386</v>
      </c>
      <c r="F4820">
        <v>3919</v>
      </c>
      <c r="G4820">
        <v>0</v>
      </c>
      <c r="H4820" t="s">
        <v>9743</v>
      </c>
      <c r="I4820">
        <v>5444</v>
      </c>
      <c r="J4820" t="str">
        <f>VLOOKUP(E4820,DSSpieler!A:B,2,FALSE)</f>
        <v>Signed1</v>
      </c>
    </row>
    <row r="4821" spans="1:10" x14ac:dyDescent="0.25">
      <c r="A4821">
        <v>5445</v>
      </c>
      <c r="B4821" t="s">
        <v>531</v>
      </c>
      <c r="C4821">
        <v>575</v>
      </c>
      <c r="D4821">
        <v>484</v>
      </c>
      <c r="E4821">
        <v>0</v>
      </c>
      <c r="F4821">
        <v>475</v>
      </c>
      <c r="G4821">
        <v>0</v>
      </c>
      <c r="H4821" t="s">
        <v>9744</v>
      </c>
      <c r="I4821">
        <v>5445</v>
      </c>
      <c r="J4821" t="e">
        <f>VLOOKUP(E4821,DSSpieler!A:B,2,FALSE)</f>
        <v>#N/A</v>
      </c>
    </row>
    <row r="4822" spans="1:10" x14ac:dyDescent="0.25">
      <c r="A4822">
        <v>5446</v>
      </c>
      <c r="B4822" t="s">
        <v>1408</v>
      </c>
      <c r="C4822">
        <v>565</v>
      </c>
      <c r="D4822">
        <v>418</v>
      </c>
      <c r="E4822">
        <v>1289804</v>
      </c>
      <c r="F4822">
        <v>5698</v>
      </c>
      <c r="G4822">
        <v>0</v>
      </c>
      <c r="H4822" t="s">
        <v>9745</v>
      </c>
      <c r="I4822">
        <v>5446</v>
      </c>
      <c r="J4822" t="str">
        <f>VLOOKUP(E4822,DSSpieler!A:B,2,FALSE)</f>
        <v>cenko94</v>
      </c>
    </row>
    <row r="4823" spans="1:10" x14ac:dyDescent="0.25">
      <c r="A4823">
        <v>5447</v>
      </c>
      <c r="B4823" t="s">
        <v>531</v>
      </c>
      <c r="C4823">
        <v>459</v>
      </c>
      <c r="D4823">
        <v>510</v>
      </c>
      <c r="E4823">
        <v>0</v>
      </c>
      <c r="F4823">
        <v>289</v>
      </c>
      <c r="G4823">
        <v>0</v>
      </c>
      <c r="H4823" t="s">
        <v>9746</v>
      </c>
      <c r="I4823">
        <v>5447</v>
      </c>
      <c r="J4823" t="e">
        <f>VLOOKUP(E4823,DSSpieler!A:B,2,FALSE)</f>
        <v>#N/A</v>
      </c>
    </row>
    <row r="4824" spans="1:10" x14ac:dyDescent="0.25">
      <c r="A4824">
        <v>5448</v>
      </c>
      <c r="B4824">
        <v>2</v>
      </c>
      <c r="C4824">
        <v>520</v>
      </c>
      <c r="D4824">
        <v>407</v>
      </c>
      <c r="E4824">
        <v>1577174074</v>
      </c>
      <c r="F4824">
        <v>6981</v>
      </c>
      <c r="G4824">
        <v>0</v>
      </c>
      <c r="H4824" t="s">
        <v>9747</v>
      </c>
      <c r="I4824">
        <v>5448</v>
      </c>
      <c r="J4824" t="str">
        <f>VLOOKUP(E4824,DSSpieler!A:B,2,FALSE)</f>
        <v>Jens123</v>
      </c>
    </row>
    <row r="4825" spans="1:10" x14ac:dyDescent="0.25">
      <c r="A4825">
        <v>5449</v>
      </c>
      <c r="B4825" t="s">
        <v>32487</v>
      </c>
      <c r="C4825">
        <v>527</v>
      </c>
      <c r="D4825">
        <v>502</v>
      </c>
      <c r="E4825">
        <v>8328748</v>
      </c>
      <c r="F4825">
        <v>396</v>
      </c>
      <c r="G4825">
        <v>0</v>
      </c>
      <c r="H4825" t="s">
        <v>9748</v>
      </c>
      <c r="I4825">
        <v>5449</v>
      </c>
      <c r="J4825" t="str">
        <f>VLOOKUP(E4825,DSSpieler!A:B,2,FALSE)</f>
        <v>wowka85</v>
      </c>
    </row>
    <row r="4826" spans="1:10" x14ac:dyDescent="0.25">
      <c r="A4826">
        <v>5450</v>
      </c>
      <c r="B4826">
        <v>178</v>
      </c>
      <c r="C4826">
        <v>505</v>
      </c>
      <c r="D4826">
        <v>578</v>
      </c>
      <c r="E4826">
        <v>1576554122</v>
      </c>
      <c r="F4826">
        <v>202</v>
      </c>
      <c r="G4826">
        <v>0</v>
      </c>
      <c r="H4826" t="s">
        <v>9749</v>
      </c>
      <c r="I4826">
        <v>5450</v>
      </c>
      <c r="J4826" t="str">
        <f>VLOOKUP(E4826,DSSpieler!A:B,2,FALSE)</f>
        <v>Bomber3991</v>
      </c>
    </row>
    <row r="4827" spans="1:10" x14ac:dyDescent="0.25">
      <c r="A4827">
        <v>5451</v>
      </c>
      <c r="B4827" t="s">
        <v>1409</v>
      </c>
      <c r="C4827">
        <v>437</v>
      </c>
      <c r="D4827">
        <v>591</v>
      </c>
      <c r="E4827">
        <v>1576610239</v>
      </c>
      <c r="F4827">
        <v>6801</v>
      </c>
      <c r="G4827">
        <v>0</v>
      </c>
      <c r="H4827" t="s">
        <v>9750</v>
      </c>
      <c r="I4827">
        <v>5451</v>
      </c>
      <c r="J4827" t="str">
        <f>VLOOKUP(E4827,DSSpieler!A:B,2,FALSE)</f>
        <v>IMatzeI</v>
      </c>
    </row>
    <row r="4828" spans="1:10" x14ac:dyDescent="0.25">
      <c r="A4828">
        <v>5452</v>
      </c>
      <c r="B4828" t="s">
        <v>150</v>
      </c>
      <c r="C4828">
        <v>441</v>
      </c>
      <c r="D4828">
        <v>477</v>
      </c>
      <c r="E4828">
        <v>1577196866</v>
      </c>
      <c r="F4828">
        <v>7414</v>
      </c>
      <c r="G4828">
        <v>0</v>
      </c>
      <c r="H4828" t="s">
        <v>9751</v>
      </c>
      <c r="I4828">
        <v>5452</v>
      </c>
      <c r="J4828" t="str">
        <f>VLOOKUP(E4828,DSSpieler!A:B,2,FALSE)</f>
        <v>ihsoh</v>
      </c>
    </row>
    <row r="4829" spans="1:10" x14ac:dyDescent="0.25">
      <c r="A4829">
        <v>5453</v>
      </c>
      <c r="B4829" t="s">
        <v>1410</v>
      </c>
      <c r="C4829">
        <v>431</v>
      </c>
      <c r="D4829">
        <v>538</v>
      </c>
      <c r="E4829">
        <v>351599</v>
      </c>
      <c r="F4829">
        <v>4421</v>
      </c>
      <c r="G4829">
        <v>0</v>
      </c>
      <c r="H4829" t="s">
        <v>9752</v>
      </c>
      <c r="I4829">
        <v>5453</v>
      </c>
      <c r="J4829" t="str">
        <f>VLOOKUP(E4829,DSSpieler!A:B,2,FALSE)</f>
        <v>Van Dan</v>
      </c>
    </row>
    <row r="4830" spans="1:10" x14ac:dyDescent="0.25">
      <c r="A4830">
        <v>5454</v>
      </c>
      <c r="B4830" t="e">
        <f>-OFF3-+IchMagBrianGriffin</f>
        <v>#NAME?</v>
      </c>
      <c r="C4830">
        <v>478</v>
      </c>
      <c r="D4830">
        <v>426</v>
      </c>
      <c r="E4830">
        <v>1577195942</v>
      </c>
      <c r="F4830">
        <v>5017</v>
      </c>
      <c r="G4830">
        <v>0</v>
      </c>
      <c r="H4830" t="s">
        <v>9753</v>
      </c>
      <c r="I4830">
        <v>5454</v>
      </c>
      <c r="J4830" t="str">
        <f>VLOOKUP(E4830,DSSpieler!A:B,2,FALSE)</f>
        <v>Oxiro</v>
      </c>
    </row>
    <row r="4831" spans="1:10" x14ac:dyDescent="0.25">
      <c r="A4831">
        <v>5456</v>
      </c>
      <c r="B4831" t="s">
        <v>32488</v>
      </c>
      <c r="C4831">
        <v>509</v>
      </c>
      <c r="D4831">
        <v>576</v>
      </c>
      <c r="E4831">
        <v>1576605487</v>
      </c>
      <c r="F4831">
        <v>4196</v>
      </c>
      <c r="G4831">
        <v>0</v>
      </c>
      <c r="H4831" t="s">
        <v>9754</v>
      </c>
      <c r="I4831">
        <v>5456</v>
      </c>
      <c r="J4831" t="str">
        <f>VLOOKUP(E4831,DSSpieler!A:B,2,FALSE)</f>
        <v>blauespikachu</v>
      </c>
    </row>
    <row r="4832" spans="1:10" x14ac:dyDescent="0.25">
      <c r="A4832">
        <v>5458</v>
      </c>
      <c r="B4832" t="s">
        <v>1182</v>
      </c>
      <c r="C4832">
        <v>403</v>
      </c>
      <c r="D4832">
        <v>489</v>
      </c>
      <c r="E4832">
        <v>1575935262</v>
      </c>
      <c r="F4832">
        <v>6087</v>
      </c>
      <c r="G4832">
        <v>0</v>
      </c>
      <c r="H4832" t="s">
        <v>9755</v>
      </c>
      <c r="I4832">
        <v>5458</v>
      </c>
      <c r="J4832" t="str">
        <f>VLOOKUP(E4832,DSSpieler!A:B,2,FALSE)</f>
        <v>reipser18</v>
      </c>
    </row>
    <row r="4833" spans="1:10" x14ac:dyDescent="0.25">
      <c r="A4833">
        <v>5459</v>
      </c>
      <c r="B4833" t="s">
        <v>531</v>
      </c>
      <c r="C4833">
        <v>535</v>
      </c>
      <c r="D4833">
        <v>407</v>
      </c>
      <c r="E4833">
        <v>0</v>
      </c>
      <c r="F4833">
        <v>676</v>
      </c>
      <c r="G4833">
        <v>0</v>
      </c>
      <c r="H4833" t="s">
        <v>9756</v>
      </c>
      <c r="I4833">
        <v>5459</v>
      </c>
      <c r="J4833" t="e">
        <f>VLOOKUP(E4833,DSSpieler!A:B,2,FALSE)</f>
        <v>#N/A</v>
      </c>
    </row>
    <row r="4834" spans="1:10" x14ac:dyDescent="0.25">
      <c r="A4834">
        <v>5460</v>
      </c>
      <c r="B4834" t="s">
        <v>1135</v>
      </c>
      <c r="C4834">
        <v>444</v>
      </c>
      <c r="D4834">
        <v>480</v>
      </c>
      <c r="E4834">
        <v>1575957171</v>
      </c>
      <c r="F4834">
        <v>3916</v>
      </c>
      <c r="G4834">
        <v>0</v>
      </c>
      <c r="H4834" t="s">
        <v>9757</v>
      </c>
      <c r="I4834">
        <v>5460</v>
      </c>
      <c r="J4834" t="str">
        <f>VLOOKUP(E4834,DSSpieler!A:B,2,FALSE)</f>
        <v>julesk</v>
      </c>
    </row>
    <row r="4835" spans="1:10" x14ac:dyDescent="0.25">
      <c r="A4835">
        <v>5461</v>
      </c>
      <c r="B4835" t="s">
        <v>32489</v>
      </c>
      <c r="C4835">
        <v>398</v>
      </c>
      <c r="D4835">
        <v>467</v>
      </c>
      <c r="E4835">
        <v>10270003</v>
      </c>
      <c r="F4835">
        <v>4904</v>
      </c>
      <c r="G4835">
        <v>0</v>
      </c>
      <c r="H4835" t="s">
        <v>9758</v>
      </c>
      <c r="I4835">
        <v>5461</v>
      </c>
      <c r="J4835" t="str">
        <f>VLOOKUP(E4835,DSSpieler!A:B,2,FALSE)</f>
        <v>superhuhn2013</v>
      </c>
    </row>
    <row r="4836" spans="1:10" x14ac:dyDescent="0.25">
      <c r="A4836">
        <v>5462</v>
      </c>
      <c r="B4836" t="s">
        <v>1411</v>
      </c>
      <c r="C4836">
        <v>554</v>
      </c>
      <c r="D4836">
        <v>535</v>
      </c>
      <c r="E4836">
        <v>1577170233</v>
      </c>
      <c r="F4836">
        <v>3068</v>
      </c>
      <c r="G4836">
        <v>0</v>
      </c>
      <c r="H4836" t="s">
        <v>9759</v>
      </c>
      <c r="I4836">
        <v>5462</v>
      </c>
      <c r="J4836" t="str">
        <f>VLOOKUP(E4836,DSSpieler!A:B,2,FALSE)</f>
        <v>quaison</v>
      </c>
    </row>
    <row r="4837" spans="1:10" x14ac:dyDescent="0.25">
      <c r="A4837">
        <v>5464</v>
      </c>
      <c r="B4837" t="s">
        <v>32490</v>
      </c>
      <c r="C4837">
        <v>454</v>
      </c>
      <c r="D4837">
        <v>558</v>
      </c>
      <c r="E4837">
        <v>9325150</v>
      </c>
      <c r="F4837">
        <v>7268</v>
      </c>
      <c r="G4837">
        <v>0</v>
      </c>
      <c r="H4837" t="s">
        <v>9760</v>
      </c>
      <c r="I4837">
        <v>5464</v>
      </c>
      <c r="J4837" t="str">
        <f>VLOOKUP(E4837,DSSpieler!A:B,2,FALSE)</f>
        <v>Marzipanmann</v>
      </c>
    </row>
    <row r="4838" spans="1:10" x14ac:dyDescent="0.25">
      <c r="A4838">
        <v>5465</v>
      </c>
      <c r="B4838" t="s">
        <v>32491</v>
      </c>
      <c r="C4838">
        <v>507</v>
      </c>
      <c r="D4838">
        <v>555</v>
      </c>
      <c r="E4838">
        <v>1576984901</v>
      </c>
      <c r="F4838">
        <v>1353</v>
      </c>
      <c r="G4838">
        <v>0</v>
      </c>
      <c r="H4838" t="s">
        <v>9761</v>
      </c>
      <c r="I4838">
        <v>5465</v>
      </c>
      <c r="J4838" t="str">
        <f>VLOOKUP(E4838,DSSpieler!A:B,2,FALSE)</f>
        <v>Pedro1</v>
      </c>
    </row>
    <row r="4839" spans="1:10" x14ac:dyDescent="0.25">
      <c r="A4839">
        <v>5466</v>
      </c>
      <c r="B4839" t="s">
        <v>32492</v>
      </c>
      <c r="C4839">
        <v>459</v>
      </c>
      <c r="D4839">
        <v>428</v>
      </c>
      <c r="E4839">
        <v>1577155231</v>
      </c>
      <c r="F4839">
        <v>6734</v>
      </c>
      <c r="G4839">
        <v>0</v>
      </c>
      <c r="H4839" t="s">
        <v>9762</v>
      </c>
      <c r="I4839">
        <v>5466</v>
      </c>
      <c r="J4839" t="str">
        <f>VLOOKUP(E4839,DSSpieler!A:B,2,FALSE)</f>
        <v>KarateKurt</v>
      </c>
    </row>
    <row r="4840" spans="1:10" x14ac:dyDescent="0.25">
      <c r="A4840">
        <v>5467</v>
      </c>
      <c r="B4840" t="s">
        <v>32493</v>
      </c>
      <c r="C4840">
        <v>443</v>
      </c>
      <c r="D4840">
        <v>477</v>
      </c>
      <c r="E4840">
        <v>1577186399</v>
      </c>
      <c r="F4840">
        <v>5057</v>
      </c>
      <c r="G4840">
        <v>0</v>
      </c>
      <c r="H4840" t="s">
        <v>9763</v>
      </c>
      <c r="I4840">
        <v>5467</v>
      </c>
      <c r="J4840" t="str">
        <f>VLOOKUP(E4840,DSSpieler!A:B,2,FALSE)</f>
        <v>syroc</v>
      </c>
    </row>
    <row r="4841" spans="1:10" x14ac:dyDescent="0.25">
      <c r="A4841">
        <v>5468</v>
      </c>
      <c r="B4841" t="s">
        <v>1412</v>
      </c>
      <c r="C4841">
        <v>437</v>
      </c>
      <c r="D4841">
        <v>587</v>
      </c>
      <c r="E4841">
        <v>1576610239</v>
      </c>
      <c r="F4841">
        <v>5921</v>
      </c>
      <c r="G4841">
        <v>0</v>
      </c>
      <c r="H4841" t="s">
        <v>9764</v>
      </c>
      <c r="I4841">
        <v>5468</v>
      </c>
      <c r="J4841" t="str">
        <f>VLOOKUP(E4841,DSSpieler!A:B,2,FALSE)</f>
        <v>IMatzeI</v>
      </c>
    </row>
    <row r="4842" spans="1:10" x14ac:dyDescent="0.25">
      <c r="A4842">
        <v>5469</v>
      </c>
      <c r="B4842" t="s">
        <v>531</v>
      </c>
      <c r="C4842">
        <v>464</v>
      </c>
      <c r="D4842">
        <v>436</v>
      </c>
      <c r="E4842">
        <v>0</v>
      </c>
      <c r="F4842">
        <v>451</v>
      </c>
      <c r="G4842">
        <v>0</v>
      </c>
      <c r="H4842" t="s">
        <v>9765</v>
      </c>
      <c r="I4842">
        <v>5469</v>
      </c>
      <c r="J4842" t="e">
        <f>VLOOKUP(E4842,DSSpieler!A:B,2,FALSE)</f>
        <v>#N/A</v>
      </c>
    </row>
    <row r="4843" spans="1:10" x14ac:dyDescent="0.25">
      <c r="A4843">
        <v>5470</v>
      </c>
      <c r="B4843">
        <v>3</v>
      </c>
      <c r="C4843">
        <v>451</v>
      </c>
      <c r="D4843">
        <v>602</v>
      </c>
      <c r="E4843">
        <v>1577198803</v>
      </c>
      <c r="F4843">
        <v>4750</v>
      </c>
      <c r="G4843">
        <v>0</v>
      </c>
      <c r="H4843" t="s">
        <v>9766</v>
      </c>
      <c r="I4843">
        <v>5470</v>
      </c>
      <c r="J4843" t="str">
        <f>VLOOKUP(E4843,DSSpieler!A:B,2,FALSE)</f>
        <v>Gilsandro</v>
      </c>
    </row>
    <row r="4844" spans="1:10" x14ac:dyDescent="0.25">
      <c r="A4844">
        <v>5471</v>
      </c>
      <c r="B4844">
        <v>4</v>
      </c>
      <c r="C4844">
        <v>572</v>
      </c>
      <c r="D4844">
        <v>508</v>
      </c>
      <c r="E4844">
        <v>1577191960</v>
      </c>
      <c r="F4844">
        <v>4562</v>
      </c>
      <c r="G4844">
        <v>0</v>
      </c>
      <c r="H4844" t="s">
        <v>9767</v>
      </c>
      <c r="I4844">
        <v>5471</v>
      </c>
      <c r="J4844" t="str">
        <f>VLOOKUP(E4844,DSSpieler!A:B,2,FALSE)</f>
        <v>TTOGOTT</v>
      </c>
    </row>
    <row r="4845" spans="1:10" x14ac:dyDescent="0.25">
      <c r="A4845">
        <v>5472</v>
      </c>
      <c r="B4845" t="s">
        <v>531</v>
      </c>
      <c r="C4845">
        <v>425</v>
      </c>
      <c r="D4845">
        <v>509</v>
      </c>
      <c r="E4845">
        <v>0</v>
      </c>
      <c r="F4845">
        <v>110</v>
      </c>
      <c r="G4845">
        <v>0</v>
      </c>
      <c r="H4845" t="s">
        <v>9768</v>
      </c>
      <c r="I4845">
        <v>5472</v>
      </c>
      <c r="J4845" t="e">
        <f>VLOOKUP(E4845,DSSpieler!A:B,2,FALSE)</f>
        <v>#N/A</v>
      </c>
    </row>
    <row r="4846" spans="1:10" x14ac:dyDescent="0.25">
      <c r="A4846">
        <v>5473</v>
      </c>
      <c r="B4846">
        <v>3</v>
      </c>
      <c r="C4846">
        <v>428</v>
      </c>
      <c r="D4846">
        <v>559</v>
      </c>
      <c r="E4846">
        <v>1576972309</v>
      </c>
      <c r="F4846">
        <v>4772</v>
      </c>
      <c r="G4846">
        <v>0</v>
      </c>
      <c r="H4846" t="s">
        <v>9769</v>
      </c>
      <c r="I4846">
        <v>5473</v>
      </c>
      <c r="J4846" t="str">
        <f>VLOOKUP(E4846,DSSpieler!A:B,2,FALSE)</f>
        <v>xsyx</v>
      </c>
    </row>
    <row r="4847" spans="1:10" x14ac:dyDescent="0.25">
      <c r="A4847">
        <v>5474</v>
      </c>
      <c r="B4847" t="s">
        <v>531</v>
      </c>
      <c r="C4847">
        <v>424</v>
      </c>
      <c r="D4847">
        <v>472</v>
      </c>
      <c r="E4847">
        <v>0</v>
      </c>
      <c r="F4847">
        <v>256</v>
      </c>
      <c r="G4847">
        <v>0</v>
      </c>
      <c r="H4847" t="s">
        <v>9770</v>
      </c>
      <c r="I4847">
        <v>5474</v>
      </c>
      <c r="J4847" t="e">
        <f>VLOOKUP(E4847,DSSpieler!A:B,2,FALSE)</f>
        <v>#N/A</v>
      </c>
    </row>
    <row r="4848" spans="1:10" x14ac:dyDescent="0.25">
      <c r="A4848">
        <v>5475</v>
      </c>
      <c r="B4848" t="s">
        <v>531</v>
      </c>
      <c r="C4848">
        <v>424</v>
      </c>
      <c r="D4848">
        <v>507</v>
      </c>
      <c r="E4848">
        <v>0</v>
      </c>
      <c r="F4848">
        <v>340</v>
      </c>
      <c r="G4848">
        <v>0</v>
      </c>
      <c r="H4848" t="s">
        <v>9771</v>
      </c>
      <c r="I4848">
        <v>5475</v>
      </c>
      <c r="J4848" t="e">
        <f>VLOOKUP(E4848,DSSpieler!A:B,2,FALSE)</f>
        <v>#N/A</v>
      </c>
    </row>
    <row r="4849" spans="1:10" x14ac:dyDescent="0.25">
      <c r="A4849">
        <v>5476</v>
      </c>
      <c r="B4849" t="s">
        <v>531</v>
      </c>
      <c r="C4849">
        <v>467</v>
      </c>
      <c r="D4849">
        <v>438</v>
      </c>
      <c r="E4849">
        <v>0</v>
      </c>
      <c r="F4849">
        <v>583</v>
      </c>
      <c r="G4849">
        <v>0</v>
      </c>
      <c r="H4849" t="s">
        <v>9772</v>
      </c>
      <c r="I4849">
        <v>5476</v>
      </c>
      <c r="J4849" t="e">
        <f>VLOOKUP(E4849,DSSpieler!A:B,2,FALSE)</f>
        <v>#N/A</v>
      </c>
    </row>
    <row r="4850" spans="1:10" x14ac:dyDescent="0.25">
      <c r="A4850">
        <v>5477</v>
      </c>
      <c r="B4850" t="s">
        <v>546</v>
      </c>
      <c r="C4850">
        <v>522</v>
      </c>
      <c r="D4850">
        <v>440</v>
      </c>
      <c r="E4850">
        <v>1577164431</v>
      </c>
      <c r="F4850">
        <v>7227</v>
      </c>
      <c r="G4850">
        <v>0</v>
      </c>
      <c r="H4850" t="s">
        <v>9773</v>
      </c>
      <c r="I4850">
        <v>5477</v>
      </c>
      <c r="J4850" t="str">
        <f>VLOOKUP(E4850,DSSpieler!A:B,2,FALSE)</f>
        <v>Xain</v>
      </c>
    </row>
    <row r="4851" spans="1:10" x14ac:dyDescent="0.25">
      <c r="A4851">
        <v>5478</v>
      </c>
      <c r="B4851">
        <v>3</v>
      </c>
      <c r="C4851">
        <v>435</v>
      </c>
      <c r="D4851">
        <v>475</v>
      </c>
      <c r="E4851">
        <v>8217959</v>
      </c>
      <c r="F4851">
        <v>1223</v>
      </c>
      <c r="G4851">
        <v>0</v>
      </c>
      <c r="H4851" t="s">
        <v>9774</v>
      </c>
      <c r="I4851">
        <v>5478</v>
      </c>
      <c r="J4851" t="str">
        <f>VLOOKUP(E4851,DSSpieler!A:B,2,FALSE)</f>
        <v>seppl0410</v>
      </c>
    </row>
    <row r="4852" spans="1:10" x14ac:dyDescent="0.25">
      <c r="A4852">
        <v>5479</v>
      </c>
      <c r="B4852">
        <v>178</v>
      </c>
      <c r="C4852">
        <v>520</v>
      </c>
      <c r="D4852">
        <v>524</v>
      </c>
      <c r="E4852">
        <v>9923874</v>
      </c>
      <c r="F4852">
        <v>1293</v>
      </c>
      <c r="G4852">
        <v>0</v>
      </c>
      <c r="H4852" t="s">
        <v>9775</v>
      </c>
      <c r="I4852">
        <v>5479</v>
      </c>
      <c r="J4852" t="str">
        <f>VLOOKUP(E4852,DSSpieler!A:B,2,FALSE)</f>
        <v>Cr1meZ</v>
      </c>
    </row>
    <row r="4853" spans="1:10" x14ac:dyDescent="0.25">
      <c r="A4853">
        <v>5480</v>
      </c>
      <c r="B4853" t="s">
        <v>32494</v>
      </c>
      <c r="C4853">
        <v>585</v>
      </c>
      <c r="D4853">
        <v>523</v>
      </c>
      <c r="E4853">
        <v>1577196880</v>
      </c>
      <c r="F4853">
        <v>5112</v>
      </c>
      <c r="G4853">
        <v>0</v>
      </c>
      <c r="H4853" t="s">
        <v>9776</v>
      </c>
      <c r="I4853">
        <v>5480</v>
      </c>
      <c r="J4853" t="str">
        <f>VLOOKUP(E4853,DSSpieler!A:B,2,FALSE)</f>
        <v>criox</v>
      </c>
    </row>
    <row r="4854" spans="1:10" x14ac:dyDescent="0.25">
      <c r="A4854">
        <v>5481</v>
      </c>
      <c r="B4854" t="s">
        <v>32495</v>
      </c>
      <c r="C4854">
        <v>435</v>
      </c>
      <c r="D4854">
        <v>434</v>
      </c>
      <c r="E4854">
        <v>1577180780</v>
      </c>
      <c r="F4854">
        <v>4488</v>
      </c>
      <c r="G4854">
        <v>0</v>
      </c>
      <c r="H4854" t="s">
        <v>9777</v>
      </c>
      <c r="I4854">
        <v>5481</v>
      </c>
      <c r="J4854" t="str">
        <f>VLOOKUP(E4854,DSSpieler!A:B,2,FALSE)</f>
        <v>richamster</v>
      </c>
    </row>
    <row r="4855" spans="1:10" x14ac:dyDescent="0.25">
      <c r="A4855">
        <v>5483</v>
      </c>
      <c r="B4855" t="s">
        <v>32496</v>
      </c>
      <c r="C4855">
        <v>562</v>
      </c>
      <c r="D4855">
        <v>552</v>
      </c>
      <c r="E4855">
        <v>1577193699</v>
      </c>
      <c r="F4855">
        <v>4403</v>
      </c>
      <c r="G4855">
        <v>0</v>
      </c>
      <c r="H4855" t="s">
        <v>9778</v>
      </c>
      <c r="I4855">
        <v>5483</v>
      </c>
      <c r="J4855" t="str">
        <f>VLOOKUP(E4855,DSSpieler!A:B,2,FALSE)</f>
        <v>Yasei</v>
      </c>
    </row>
    <row r="4856" spans="1:10" x14ac:dyDescent="0.25">
      <c r="A4856">
        <v>5484</v>
      </c>
      <c r="B4856" t="s">
        <v>531</v>
      </c>
      <c r="C4856">
        <v>557</v>
      </c>
      <c r="D4856">
        <v>493</v>
      </c>
      <c r="E4856">
        <v>0</v>
      </c>
      <c r="F4856">
        <v>108</v>
      </c>
      <c r="G4856">
        <v>0</v>
      </c>
      <c r="H4856" t="s">
        <v>9779</v>
      </c>
      <c r="I4856">
        <v>5484</v>
      </c>
      <c r="J4856" t="e">
        <f>VLOOKUP(E4856,DSSpieler!A:B,2,FALSE)</f>
        <v>#N/A</v>
      </c>
    </row>
    <row r="4857" spans="1:10" x14ac:dyDescent="0.25">
      <c r="A4857">
        <v>5485</v>
      </c>
      <c r="B4857" t="s">
        <v>531</v>
      </c>
      <c r="C4857">
        <v>489</v>
      </c>
      <c r="D4857">
        <v>565</v>
      </c>
      <c r="E4857">
        <v>0</v>
      </c>
      <c r="F4857">
        <v>309</v>
      </c>
      <c r="G4857">
        <v>0</v>
      </c>
      <c r="H4857" t="s">
        <v>9780</v>
      </c>
      <c r="I4857">
        <v>5485</v>
      </c>
      <c r="J4857" t="e">
        <f>VLOOKUP(E4857,DSSpieler!A:B,2,FALSE)</f>
        <v>#N/A</v>
      </c>
    </row>
    <row r="4858" spans="1:10" x14ac:dyDescent="0.25">
      <c r="A4858">
        <v>5486</v>
      </c>
      <c r="B4858" t="s">
        <v>1413</v>
      </c>
      <c r="C4858">
        <v>549</v>
      </c>
      <c r="D4858">
        <v>460</v>
      </c>
      <c r="E4858">
        <v>1576626963</v>
      </c>
      <c r="F4858">
        <v>3208</v>
      </c>
      <c r="G4858">
        <v>0</v>
      </c>
      <c r="H4858" t="s">
        <v>9781</v>
      </c>
      <c r="I4858">
        <v>5486</v>
      </c>
      <c r="J4858" t="str">
        <f>VLOOKUP(E4858,DSSpieler!A:B,2,FALSE)</f>
        <v>jonas27</v>
      </c>
    </row>
    <row r="4859" spans="1:10" x14ac:dyDescent="0.25">
      <c r="A4859">
        <v>5487</v>
      </c>
      <c r="B4859" t="s">
        <v>32497</v>
      </c>
      <c r="C4859">
        <v>497</v>
      </c>
      <c r="D4859">
        <v>562</v>
      </c>
      <c r="E4859">
        <v>1577176017</v>
      </c>
      <c r="F4859">
        <v>5106</v>
      </c>
      <c r="G4859">
        <v>0</v>
      </c>
      <c r="H4859" t="s">
        <v>9782</v>
      </c>
      <c r="I4859">
        <v>5487</v>
      </c>
      <c r="J4859" t="str">
        <f>VLOOKUP(E4859,DSSpieler!A:B,2,FALSE)</f>
        <v>xingo</v>
      </c>
    </row>
    <row r="4860" spans="1:10" x14ac:dyDescent="0.25">
      <c r="A4860">
        <v>5488</v>
      </c>
      <c r="B4860" t="s">
        <v>32498</v>
      </c>
      <c r="C4860">
        <v>527</v>
      </c>
      <c r="D4860">
        <v>561</v>
      </c>
      <c r="E4860">
        <v>1577196687</v>
      </c>
      <c r="F4860">
        <v>1116</v>
      </c>
      <c r="G4860">
        <v>0</v>
      </c>
      <c r="H4860" t="s">
        <v>9783</v>
      </c>
      <c r="I4860">
        <v>5488</v>
      </c>
      <c r="J4860" t="str">
        <f>VLOOKUP(E4860,DSSpieler!A:B,2,FALSE)</f>
        <v>lolpop4</v>
      </c>
    </row>
    <row r="4861" spans="1:10" x14ac:dyDescent="0.25">
      <c r="A4861">
        <v>5489</v>
      </c>
      <c r="B4861" t="s">
        <v>32499</v>
      </c>
      <c r="C4861">
        <v>435</v>
      </c>
      <c r="D4861">
        <v>528</v>
      </c>
      <c r="E4861">
        <v>1515293</v>
      </c>
      <c r="F4861">
        <v>5986</v>
      </c>
      <c r="G4861">
        <v>0</v>
      </c>
      <c r="H4861" t="s">
        <v>9784</v>
      </c>
      <c r="I4861">
        <v>5489</v>
      </c>
      <c r="J4861" t="str">
        <f>VLOOKUP(E4861,DSSpieler!A:B,2,FALSE)</f>
        <v>Hummes</v>
      </c>
    </row>
    <row r="4862" spans="1:10" x14ac:dyDescent="0.25">
      <c r="A4862">
        <v>5490</v>
      </c>
      <c r="B4862" t="s">
        <v>32500</v>
      </c>
      <c r="C4862">
        <v>526</v>
      </c>
      <c r="D4862">
        <v>525</v>
      </c>
      <c r="E4862">
        <v>8819786</v>
      </c>
      <c r="F4862">
        <v>3122</v>
      </c>
      <c r="G4862">
        <v>0</v>
      </c>
      <c r="H4862" t="s">
        <v>9785</v>
      </c>
      <c r="I4862">
        <v>5490</v>
      </c>
      <c r="J4862" t="str">
        <f>VLOOKUP(E4862,DSSpieler!A:B,2,FALSE)</f>
        <v>Prinz-11</v>
      </c>
    </row>
    <row r="4863" spans="1:10" x14ac:dyDescent="0.25">
      <c r="A4863">
        <v>5491</v>
      </c>
      <c r="B4863" t="s">
        <v>32501</v>
      </c>
      <c r="C4863">
        <v>482</v>
      </c>
      <c r="D4863">
        <v>538</v>
      </c>
      <c r="E4863">
        <v>1577178111</v>
      </c>
      <c r="F4863">
        <v>4943</v>
      </c>
      <c r="G4863">
        <v>0</v>
      </c>
      <c r="H4863" t="s">
        <v>9786</v>
      </c>
      <c r="I4863">
        <v>5491</v>
      </c>
      <c r="J4863" t="str">
        <f>VLOOKUP(E4863,DSSpieler!A:B,2,FALSE)</f>
        <v>DoMii</v>
      </c>
    </row>
    <row r="4864" spans="1:10" x14ac:dyDescent="0.25">
      <c r="A4864">
        <v>5492</v>
      </c>
      <c r="B4864" t="s">
        <v>1414</v>
      </c>
      <c r="C4864">
        <v>545</v>
      </c>
      <c r="D4864">
        <v>484</v>
      </c>
      <c r="E4864">
        <v>1577180324</v>
      </c>
      <c r="F4864">
        <v>4731</v>
      </c>
      <c r="G4864">
        <v>0</v>
      </c>
      <c r="H4864" t="s">
        <v>9787</v>
      </c>
      <c r="I4864">
        <v>5492</v>
      </c>
      <c r="J4864" t="str">
        <f>VLOOKUP(E4864,DSSpieler!A:B,2,FALSE)</f>
        <v>XTfg3ZAbO</v>
      </c>
    </row>
    <row r="4865" spans="1:10" x14ac:dyDescent="0.25">
      <c r="A4865">
        <v>5493</v>
      </c>
      <c r="B4865" t="s">
        <v>1415</v>
      </c>
      <c r="C4865">
        <v>516</v>
      </c>
      <c r="D4865">
        <v>445</v>
      </c>
      <c r="E4865">
        <v>1576962937</v>
      </c>
      <c r="F4865">
        <v>3963</v>
      </c>
      <c r="G4865">
        <v>0</v>
      </c>
      <c r="H4865" t="s">
        <v>9788</v>
      </c>
      <c r="I4865">
        <v>5493</v>
      </c>
      <c r="J4865" t="str">
        <f>VLOOKUP(E4865,DSSpieler!A:B,2,FALSE)</f>
        <v>huberm88</v>
      </c>
    </row>
    <row r="4866" spans="1:10" x14ac:dyDescent="0.25">
      <c r="A4866">
        <v>5494</v>
      </c>
      <c r="B4866" t="s">
        <v>31511</v>
      </c>
      <c r="C4866">
        <v>520</v>
      </c>
      <c r="D4866">
        <v>432</v>
      </c>
      <c r="E4866">
        <v>1577177125</v>
      </c>
      <c r="F4866">
        <v>3238</v>
      </c>
      <c r="G4866">
        <v>0</v>
      </c>
      <c r="H4866" t="s">
        <v>9789</v>
      </c>
      <c r="I4866">
        <v>5494</v>
      </c>
      <c r="J4866" t="str">
        <f>VLOOKUP(E4866,DSSpieler!A:B,2,FALSE)</f>
        <v>DeffBot</v>
      </c>
    </row>
    <row r="4867" spans="1:10" x14ac:dyDescent="0.25">
      <c r="A4867">
        <v>5495</v>
      </c>
      <c r="B4867">
        <v>5</v>
      </c>
      <c r="C4867">
        <v>462</v>
      </c>
      <c r="D4867">
        <v>429</v>
      </c>
      <c r="E4867">
        <v>7935427</v>
      </c>
      <c r="F4867">
        <v>5975</v>
      </c>
      <c r="G4867">
        <v>0</v>
      </c>
      <c r="H4867" t="s">
        <v>9790</v>
      </c>
      <c r="I4867">
        <v>5495</v>
      </c>
      <c r="J4867" t="str">
        <f>VLOOKUP(E4867,DSSpieler!A:B,2,FALSE)</f>
        <v>-Eroberer-</v>
      </c>
    </row>
    <row r="4868" spans="1:10" x14ac:dyDescent="0.25">
      <c r="A4868">
        <v>5496</v>
      </c>
      <c r="B4868" t="s">
        <v>32502</v>
      </c>
      <c r="C4868">
        <v>490</v>
      </c>
      <c r="D4868">
        <v>562</v>
      </c>
      <c r="E4868">
        <v>1577176017</v>
      </c>
      <c r="F4868">
        <v>5291</v>
      </c>
      <c r="G4868">
        <v>0</v>
      </c>
      <c r="H4868" t="s">
        <v>9791</v>
      </c>
      <c r="I4868">
        <v>5496</v>
      </c>
      <c r="J4868" t="str">
        <f>VLOOKUP(E4868,DSSpieler!A:B,2,FALSE)</f>
        <v>xingo</v>
      </c>
    </row>
    <row r="4869" spans="1:10" x14ac:dyDescent="0.25">
      <c r="A4869">
        <v>5497</v>
      </c>
      <c r="B4869" t="s">
        <v>32503</v>
      </c>
      <c r="C4869">
        <v>450</v>
      </c>
      <c r="D4869">
        <v>551</v>
      </c>
      <c r="E4869">
        <v>1577172847</v>
      </c>
      <c r="F4869">
        <v>89</v>
      </c>
      <c r="G4869">
        <v>0</v>
      </c>
      <c r="H4869" t="s">
        <v>9792</v>
      </c>
      <c r="I4869">
        <v>5497</v>
      </c>
      <c r="J4869" t="str">
        <f>VLOOKUP(E4869,DSSpieler!A:B,2,FALSE)</f>
        <v>Prinz Ludwig</v>
      </c>
    </row>
    <row r="4870" spans="1:10" x14ac:dyDescent="0.25">
      <c r="A4870">
        <v>5498</v>
      </c>
      <c r="B4870" t="s">
        <v>32504</v>
      </c>
      <c r="C4870">
        <v>471</v>
      </c>
      <c r="D4870">
        <v>461</v>
      </c>
      <c r="E4870">
        <v>1577185502</v>
      </c>
      <c r="F4870">
        <v>5094</v>
      </c>
      <c r="G4870">
        <v>0</v>
      </c>
      <c r="H4870" t="s">
        <v>9793</v>
      </c>
      <c r="I4870">
        <v>5498</v>
      </c>
      <c r="J4870" t="str">
        <f>VLOOKUP(E4870,DSSpieler!A:B,2,FALSE)</f>
        <v>fabian1221</v>
      </c>
    </row>
    <row r="4871" spans="1:10" x14ac:dyDescent="0.25">
      <c r="A4871">
        <v>5499</v>
      </c>
      <c r="B4871" t="s">
        <v>531</v>
      </c>
      <c r="C4871">
        <v>517</v>
      </c>
      <c r="D4871">
        <v>489</v>
      </c>
      <c r="E4871">
        <v>0</v>
      </c>
      <c r="F4871">
        <v>174</v>
      </c>
      <c r="G4871">
        <v>0</v>
      </c>
      <c r="H4871" t="s">
        <v>9794</v>
      </c>
      <c r="I4871">
        <v>5499</v>
      </c>
      <c r="J4871" t="e">
        <f>VLOOKUP(E4871,DSSpieler!A:B,2,FALSE)</f>
        <v>#N/A</v>
      </c>
    </row>
    <row r="4872" spans="1:10" x14ac:dyDescent="0.25">
      <c r="A4872">
        <v>5500</v>
      </c>
      <c r="B4872" t="s">
        <v>32505</v>
      </c>
      <c r="C4872">
        <v>475</v>
      </c>
      <c r="D4872">
        <v>457</v>
      </c>
      <c r="E4872">
        <v>3164121</v>
      </c>
      <c r="F4872">
        <v>4270</v>
      </c>
      <c r="G4872">
        <v>0</v>
      </c>
      <c r="H4872" t="s">
        <v>9795</v>
      </c>
      <c r="I4872">
        <v>5500</v>
      </c>
      <c r="J4872" t="str">
        <f>VLOOKUP(E4872,DSSpieler!A:B,2,FALSE)</f>
        <v>Barmbeckham</v>
      </c>
    </row>
    <row r="4873" spans="1:10" x14ac:dyDescent="0.25">
      <c r="A4873">
        <v>5502</v>
      </c>
      <c r="B4873" t="s">
        <v>32506</v>
      </c>
      <c r="C4873">
        <v>429</v>
      </c>
      <c r="D4873">
        <v>531</v>
      </c>
      <c r="E4873">
        <v>1577168646</v>
      </c>
      <c r="F4873">
        <v>6701</v>
      </c>
      <c r="G4873">
        <v>0</v>
      </c>
      <c r="H4873" t="s">
        <v>9796</v>
      </c>
      <c r="I4873">
        <v>5502</v>
      </c>
      <c r="J4873" t="str">
        <f>VLOOKUP(E4873,DSSpieler!A:B,2,FALSE)</f>
        <v>Burgrammler</v>
      </c>
    </row>
    <row r="4874" spans="1:10" x14ac:dyDescent="0.25">
      <c r="A4874">
        <v>5503</v>
      </c>
      <c r="B4874" t="s">
        <v>32507</v>
      </c>
      <c r="C4874">
        <v>523</v>
      </c>
      <c r="D4874">
        <v>509</v>
      </c>
      <c r="E4874">
        <v>1577127657</v>
      </c>
      <c r="F4874">
        <v>4713</v>
      </c>
      <c r="G4874">
        <v>0</v>
      </c>
      <c r="H4874" t="s">
        <v>9797</v>
      </c>
      <c r="I4874">
        <v>5503</v>
      </c>
      <c r="J4874" t="str">
        <f>VLOOKUP(E4874,DSSpieler!A:B,2,FALSE)</f>
        <v>GTRixe</v>
      </c>
    </row>
    <row r="4875" spans="1:10" x14ac:dyDescent="0.25">
      <c r="A4875">
        <v>5504</v>
      </c>
      <c r="B4875" t="s">
        <v>531</v>
      </c>
      <c r="C4875">
        <v>398</v>
      </c>
      <c r="D4875">
        <v>537</v>
      </c>
      <c r="E4875">
        <v>0</v>
      </c>
      <c r="F4875">
        <v>594</v>
      </c>
      <c r="G4875">
        <v>0</v>
      </c>
      <c r="H4875" t="s">
        <v>9798</v>
      </c>
      <c r="I4875">
        <v>5504</v>
      </c>
      <c r="J4875" t="e">
        <f>VLOOKUP(E4875,DSSpieler!A:B,2,FALSE)</f>
        <v>#N/A</v>
      </c>
    </row>
    <row r="4876" spans="1:10" x14ac:dyDescent="0.25">
      <c r="A4876">
        <v>5505</v>
      </c>
      <c r="B4876" t="s">
        <v>531</v>
      </c>
      <c r="C4876">
        <v>515</v>
      </c>
      <c r="D4876">
        <v>605</v>
      </c>
      <c r="E4876">
        <v>0</v>
      </c>
      <c r="F4876">
        <v>1239</v>
      </c>
      <c r="G4876">
        <v>0</v>
      </c>
      <c r="H4876" t="s">
        <v>9799</v>
      </c>
      <c r="I4876">
        <v>5505</v>
      </c>
      <c r="J4876" t="e">
        <f>VLOOKUP(E4876,DSSpieler!A:B,2,FALSE)</f>
        <v>#N/A</v>
      </c>
    </row>
    <row r="4877" spans="1:10" x14ac:dyDescent="0.25">
      <c r="A4877">
        <v>5506</v>
      </c>
      <c r="B4877" t="s">
        <v>30501</v>
      </c>
      <c r="C4877">
        <v>455</v>
      </c>
      <c r="D4877">
        <v>595</v>
      </c>
      <c r="E4877">
        <v>9607209</v>
      </c>
      <c r="F4877">
        <v>5174</v>
      </c>
      <c r="G4877">
        <v>0</v>
      </c>
      <c r="H4877" t="s">
        <v>9800</v>
      </c>
      <c r="I4877">
        <v>5506</v>
      </c>
      <c r="J4877" t="str">
        <f>VLOOKUP(E4877,DSSpieler!A:B,2,FALSE)</f>
        <v>Dregonheart</v>
      </c>
    </row>
    <row r="4878" spans="1:10" x14ac:dyDescent="0.25">
      <c r="A4878">
        <v>5507</v>
      </c>
      <c r="B4878" t="s">
        <v>32508</v>
      </c>
      <c r="C4878">
        <v>547</v>
      </c>
      <c r="D4878">
        <v>494</v>
      </c>
      <c r="E4878">
        <v>1577198100</v>
      </c>
      <c r="F4878">
        <v>4865</v>
      </c>
      <c r="G4878">
        <v>0</v>
      </c>
      <c r="H4878" t="s">
        <v>9801</v>
      </c>
      <c r="I4878">
        <v>5507</v>
      </c>
      <c r="J4878" t="str">
        <f>VLOOKUP(E4878,DSSpieler!A:B,2,FALSE)</f>
        <v>JamesBompf</v>
      </c>
    </row>
    <row r="4879" spans="1:10" x14ac:dyDescent="0.25">
      <c r="A4879">
        <v>5508</v>
      </c>
      <c r="B4879" t="s">
        <v>531</v>
      </c>
      <c r="C4879">
        <v>470</v>
      </c>
      <c r="D4879">
        <v>425</v>
      </c>
      <c r="E4879">
        <v>0</v>
      </c>
      <c r="F4879">
        <v>439</v>
      </c>
      <c r="G4879">
        <v>0</v>
      </c>
      <c r="H4879" t="s">
        <v>9802</v>
      </c>
      <c r="I4879">
        <v>5508</v>
      </c>
      <c r="J4879" t="e">
        <f>VLOOKUP(E4879,DSSpieler!A:B,2,FALSE)</f>
        <v>#N/A</v>
      </c>
    </row>
    <row r="4880" spans="1:10" x14ac:dyDescent="0.25">
      <c r="A4880">
        <v>5509</v>
      </c>
      <c r="B4880" t="s">
        <v>1416</v>
      </c>
      <c r="C4880">
        <v>555</v>
      </c>
      <c r="D4880">
        <v>514</v>
      </c>
      <c r="E4880">
        <v>1577196776</v>
      </c>
      <c r="F4880">
        <v>3880</v>
      </c>
      <c r="G4880">
        <v>0</v>
      </c>
      <c r="H4880" t="s">
        <v>9803</v>
      </c>
      <c r="I4880">
        <v>5509</v>
      </c>
      <c r="J4880" t="str">
        <f>VLOOKUP(E4880,DSSpieler!A:B,2,FALSE)</f>
        <v>pörtsch</v>
      </c>
    </row>
    <row r="4881" spans="1:10" x14ac:dyDescent="0.25">
      <c r="A4881">
        <v>5510</v>
      </c>
      <c r="B4881" t="s">
        <v>32509</v>
      </c>
      <c r="C4881">
        <v>523</v>
      </c>
      <c r="D4881">
        <v>543</v>
      </c>
      <c r="E4881">
        <v>1577198800</v>
      </c>
      <c r="F4881">
        <v>3915</v>
      </c>
      <c r="G4881">
        <v>0</v>
      </c>
      <c r="H4881" t="s">
        <v>9804</v>
      </c>
      <c r="I4881">
        <v>5510</v>
      </c>
      <c r="J4881" t="str">
        <f>VLOOKUP(E4881,DSSpieler!A:B,2,FALSE)</f>
        <v>Ulbanizer1412</v>
      </c>
    </row>
    <row r="4882" spans="1:10" x14ac:dyDescent="0.25">
      <c r="A4882">
        <v>5511</v>
      </c>
      <c r="B4882" t="s">
        <v>593</v>
      </c>
      <c r="C4882">
        <v>510</v>
      </c>
      <c r="D4882">
        <v>484</v>
      </c>
      <c r="E4882">
        <v>1577174217</v>
      </c>
      <c r="F4882">
        <v>6060</v>
      </c>
      <c r="G4882">
        <v>0</v>
      </c>
      <c r="H4882" t="s">
        <v>9805</v>
      </c>
      <c r="I4882">
        <v>5511</v>
      </c>
      <c r="J4882" t="str">
        <f>VLOOKUP(E4882,DSSpieler!A:B,2,FALSE)</f>
        <v>Goovy12</v>
      </c>
    </row>
    <row r="4883" spans="1:10" x14ac:dyDescent="0.25">
      <c r="A4883">
        <v>5512</v>
      </c>
      <c r="B4883" t="s">
        <v>32510</v>
      </c>
      <c r="C4883">
        <v>449</v>
      </c>
      <c r="D4883">
        <v>536</v>
      </c>
      <c r="E4883">
        <v>1576913108</v>
      </c>
      <c r="F4883">
        <v>4194</v>
      </c>
      <c r="G4883">
        <v>0</v>
      </c>
      <c r="H4883" t="s">
        <v>9806</v>
      </c>
      <c r="I4883">
        <v>5512</v>
      </c>
      <c r="J4883" t="str">
        <f>VLOOKUP(E4883,DSSpieler!A:B,2,FALSE)</f>
        <v>bake</v>
      </c>
    </row>
    <row r="4884" spans="1:10" x14ac:dyDescent="0.25">
      <c r="A4884">
        <v>5513</v>
      </c>
      <c r="B4884" t="s">
        <v>531</v>
      </c>
      <c r="C4884">
        <v>436</v>
      </c>
      <c r="D4884">
        <v>465</v>
      </c>
      <c r="E4884">
        <v>0</v>
      </c>
      <c r="F4884">
        <v>284</v>
      </c>
      <c r="G4884">
        <v>0</v>
      </c>
      <c r="H4884" t="s">
        <v>9807</v>
      </c>
      <c r="I4884">
        <v>5513</v>
      </c>
      <c r="J4884" t="e">
        <f>VLOOKUP(E4884,DSSpieler!A:B,2,FALSE)</f>
        <v>#N/A</v>
      </c>
    </row>
    <row r="4885" spans="1:10" x14ac:dyDescent="0.25">
      <c r="A4885">
        <v>5515</v>
      </c>
      <c r="B4885" t="s">
        <v>31584</v>
      </c>
      <c r="C4885">
        <v>481</v>
      </c>
      <c r="D4885">
        <v>586</v>
      </c>
      <c r="E4885">
        <v>1577163047</v>
      </c>
      <c r="F4885">
        <v>6547</v>
      </c>
      <c r="G4885">
        <v>0</v>
      </c>
      <c r="H4885" t="s">
        <v>9808</v>
      </c>
      <c r="I4885">
        <v>5515</v>
      </c>
      <c r="J4885" t="str">
        <f>VLOOKUP(E4885,DSSpieler!A:B,2,FALSE)</f>
        <v>Ina Instabil</v>
      </c>
    </row>
    <row r="4886" spans="1:10" x14ac:dyDescent="0.25">
      <c r="A4886">
        <v>5516</v>
      </c>
      <c r="B4886" t="s">
        <v>1417</v>
      </c>
      <c r="C4886">
        <v>582</v>
      </c>
      <c r="D4886">
        <v>424</v>
      </c>
      <c r="E4886">
        <v>1577183278</v>
      </c>
      <c r="F4886">
        <v>5826</v>
      </c>
      <c r="G4886">
        <v>0</v>
      </c>
      <c r="H4886" t="s">
        <v>9809</v>
      </c>
      <c r="I4886">
        <v>5516</v>
      </c>
      <c r="J4886" t="str">
        <f>VLOOKUP(E4886,DSSpieler!A:B,2,FALSE)</f>
        <v>haltdieFresse-Ingo</v>
      </c>
    </row>
    <row r="4887" spans="1:10" x14ac:dyDescent="0.25">
      <c r="A4887">
        <v>5517</v>
      </c>
      <c r="B4887" t="s">
        <v>32511</v>
      </c>
      <c r="C4887">
        <v>506</v>
      </c>
      <c r="D4887">
        <v>438</v>
      </c>
      <c r="E4887">
        <v>1577006772</v>
      </c>
      <c r="F4887">
        <v>5394</v>
      </c>
      <c r="G4887">
        <v>0</v>
      </c>
      <c r="H4887" t="s">
        <v>9810</v>
      </c>
      <c r="I4887">
        <v>5517</v>
      </c>
      <c r="J4887" t="str">
        <f>VLOOKUP(E4887,DSSpieler!A:B,2,FALSE)</f>
        <v>Toolrebel</v>
      </c>
    </row>
    <row r="4888" spans="1:10" x14ac:dyDescent="0.25">
      <c r="A4888">
        <v>5518</v>
      </c>
      <c r="B4888" t="s">
        <v>32512</v>
      </c>
      <c r="C4888">
        <v>421</v>
      </c>
      <c r="D4888">
        <v>531</v>
      </c>
      <c r="E4888">
        <v>1577180543</v>
      </c>
      <c r="F4888">
        <v>4472</v>
      </c>
      <c r="G4888">
        <v>0</v>
      </c>
      <c r="H4888" t="s">
        <v>9811</v>
      </c>
      <c r="I4888">
        <v>5518</v>
      </c>
      <c r="J4888" t="str">
        <f>VLOOKUP(E4888,DSSpieler!A:B,2,FALSE)</f>
        <v>Stay at Home</v>
      </c>
    </row>
    <row r="4889" spans="1:10" x14ac:dyDescent="0.25">
      <c r="A4889">
        <v>5519</v>
      </c>
      <c r="B4889" t="s">
        <v>32513</v>
      </c>
      <c r="C4889">
        <v>518</v>
      </c>
      <c r="D4889">
        <v>561</v>
      </c>
      <c r="E4889">
        <v>1576778774</v>
      </c>
      <c r="F4889">
        <v>4007</v>
      </c>
      <c r="G4889">
        <v>0</v>
      </c>
      <c r="H4889" t="s">
        <v>9812</v>
      </c>
      <c r="I4889">
        <v>5519</v>
      </c>
      <c r="J4889" t="str">
        <f>VLOOKUP(E4889,DSSpieler!A:B,2,FALSE)</f>
        <v>colix97</v>
      </c>
    </row>
    <row r="4890" spans="1:10" x14ac:dyDescent="0.25">
      <c r="A4890">
        <v>5520</v>
      </c>
      <c r="B4890" t="s">
        <v>30980</v>
      </c>
      <c r="C4890">
        <v>431</v>
      </c>
      <c r="D4890">
        <v>446</v>
      </c>
      <c r="E4890">
        <v>1576923004</v>
      </c>
      <c r="F4890">
        <v>2039</v>
      </c>
      <c r="G4890">
        <v>0</v>
      </c>
      <c r="H4890" t="s">
        <v>9813</v>
      </c>
      <c r="I4890">
        <v>5520</v>
      </c>
      <c r="J4890" t="str">
        <f>VLOOKUP(E4890,DSSpieler!A:B,2,FALSE)</f>
        <v>Ahaleks</v>
      </c>
    </row>
    <row r="4891" spans="1:10" x14ac:dyDescent="0.25">
      <c r="A4891">
        <v>5521</v>
      </c>
      <c r="B4891" t="s">
        <v>660</v>
      </c>
      <c r="C4891">
        <v>510</v>
      </c>
      <c r="D4891">
        <v>487</v>
      </c>
      <c r="E4891">
        <v>8862374</v>
      </c>
      <c r="F4891">
        <v>6300</v>
      </c>
      <c r="G4891">
        <v>0</v>
      </c>
      <c r="H4891" t="s">
        <v>9814</v>
      </c>
      <c r="I4891">
        <v>5521</v>
      </c>
      <c r="J4891" t="str">
        <f>VLOOKUP(E4891,DSSpieler!A:B,2,FALSE)</f>
        <v>Gut0</v>
      </c>
    </row>
    <row r="4892" spans="1:10" x14ac:dyDescent="0.25">
      <c r="A4892">
        <v>5522</v>
      </c>
      <c r="B4892" t="s">
        <v>531</v>
      </c>
      <c r="C4892">
        <v>532</v>
      </c>
      <c r="D4892">
        <v>463</v>
      </c>
      <c r="E4892">
        <v>0</v>
      </c>
      <c r="F4892">
        <v>519</v>
      </c>
      <c r="G4892">
        <v>0</v>
      </c>
      <c r="H4892" t="s">
        <v>9815</v>
      </c>
      <c r="I4892">
        <v>5522</v>
      </c>
      <c r="J4892" t="e">
        <f>VLOOKUP(E4892,DSSpieler!A:B,2,FALSE)</f>
        <v>#N/A</v>
      </c>
    </row>
    <row r="4893" spans="1:10" x14ac:dyDescent="0.25">
      <c r="A4893">
        <v>5523</v>
      </c>
      <c r="B4893" t="s">
        <v>531</v>
      </c>
      <c r="C4893">
        <v>553</v>
      </c>
      <c r="D4893">
        <v>462</v>
      </c>
      <c r="E4893">
        <v>0</v>
      </c>
      <c r="F4893">
        <v>450</v>
      </c>
      <c r="G4893">
        <v>0</v>
      </c>
      <c r="H4893" t="s">
        <v>9816</v>
      </c>
      <c r="I4893">
        <v>5523</v>
      </c>
      <c r="J4893" t="e">
        <f>VLOOKUP(E4893,DSSpieler!A:B,2,FALSE)</f>
        <v>#N/A</v>
      </c>
    </row>
    <row r="4894" spans="1:10" x14ac:dyDescent="0.25">
      <c r="A4894">
        <v>5524</v>
      </c>
      <c r="B4894" t="s">
        <v>531</v>
      </c>
      <c r="C4894">
        <v>508</v>
      </c>
      <c r="D4894">
        <v>467</v>
      </c>
      <c r="E4894">
        <v>0</v>
      </c>
      <c r="F4894">
        <v>395</v>
      </c>
      <c r="G4894">
        <v>0</v>
      </c>
      <c r="H4894" t="s">
        <v>9817</v>
      </c>
      <c r="I4894">
        <v>5524</v>
      </c>
      <c r="J4894" t="e">
        <f>VLOOKUP(E4894,DSSpieler!A:B,2,FALSE)</f>
        <v>#N/A</v>
      </c>
    </row>
    <row r="4895" spans="1:10" x14ac:dyDescent="0.25">
      <c r="A4895">
        <v>5526</v>
      </c>
      <c r="B4895" t="e">
        <f>-3-+Hypothekenabteilung</f>
        <v>#NAME?</v>
      </c>
      <c r="C4895">
        <v>540</v>
      </c>
      <c r="D4895">
        <v>560</v>
      </c>
      <c r="E4895">
        <v>1577197889</v>
      </c>
      <c r="F4895">
        <v>5228</v>
      </c>
      <c r="G4895">
        <v>0</v>
      </c>
      <c r="H4895" t="s">
        <v>9818</v>
      </c>
      <c r="I4895">
        <v>5526</v>
      </c>
      <c r="J4895" t="str">
        <f>VLOOKUP(E4895,DSSpieler!A:B,2,FALSE)</f>
        <v>Cedii92</v>
      </c>
    </row>
    <row r="4896" spans="1:10" x14ac:dyDescent="0.25">
      <c r="A4896">
        <v>5528</v>
      </c>
      <c r="B4896" t="s">
        <v>531</v>
      </c>
      <c r="C4896">
        <v>533</v>
      </c>
      <c r="D4896">
        <v>420</v>
      </c>
      <c r="E4896">
        <v>0</v>
      </c>
      <c r="F4896">
        <v>134</v>
      </c>
      <c r="G4896">
        <v>0</v>
      </c>
      <c r="H4896" t="s">
        <v>9819</v>
      </c>
      <c r="I4896">
        <v>5528</v>
      </c>
      <c r="J4896" t="e">
        <f>VLOOKUP(E4896,DSSpieler!A:B,2,FALSE)</f>
        <v>#N/A</v>
      </c>
    </row>
    <row r="4897" spans="1:10" x14ac:dyDescent="0.25">
      <c r="A4897">
        <v>5529</v>
      </c>
      <c r="B4897" t="s">
        <v>32514</v>
      </c>
      <c r="C4897">
        <v>494</v>
      </c>
      <c r="D4897">
        <v>552</v>
      </c>
      <c r="E4897">
        <v>1577184638</v>
      </c>
      <c r="F4897">
        <v>5946</v>
      </c>
      <c r="G4897">
        <v>0</v>
      </c>
      <c r="H4897" t="s">
        <v>9820</v>
      </c>
      <c r="I4897">
        <v>5529</v>
      </c>
      <c r="J4897" t="str">
        <f>VLOOKUP(E4897,DSSpieler!A:B,2,FALSE)</f>
        <v>filme</v>
      </c>
    </row>
    <row r="4898" spans="1:10" x14ac:dyDescent="0.25">
      <c r="A4898">
        <v>5530</v>
      </c>
      <c r="B4898" t="s">
        <v>531</v>
      </c>
      <c r="C4898">
        <v>468</v>
      </c>
      <c r="D4898">
        <v>449</v>
      </c>
      <c r="E4898">
        <v>0</v>
      </c>
      <c r="F4898">
        <v>305</v>
      </c>
      <c r="G4898">
        <v>0</v>
      </c>
      <c r="H4898" t="s">
        <v>9821</v>
      </c>
      <c r="I4898">
        <v>5530</v>
      </c>
      <c r="J4898" t="e">
        <f>VLOOKUP(E4898,DSSpieler!A:B,2,FALSE)</f>
        <v>#N/A</v>
      </c>
    </row>
    <row r="4899" spans="1:10" x14ac:dyDescent="0.25">
      <c r="A4899">
        <v>5531</v>
      </c>
      <c r="B4899" t="s">
        <v>531</v>
      </c>
      <c r="C4899">
        <v>485</v>
      </c>
      <c r="D4899">
        <v>575</v>
      </c>
      <c r="E4899">
        <v>0</v>
      </c>
      <c r="F4899">
        <v>431</v>
      </c>
      <c r="G4899">
        <v>0</v>
      </c>
      <c r="H4899" t="s">
        <v>9822</v>
      </c>
      <c r="I4899">
        <v>5531</v>
      </c>
      <c r="J4899" t="e">
        <f>VLOOKUP(E4899,DSSpieler!A:B,2,FALSE)</f>
        <v>#N/A</v>
      </c>
    </row>
    <row r="4900" spans="1:10" x14ac:dyDescent="0.25">
      <c r="A4900">
        <v>5532</v>
      </c>
      <c r="B4900" t="s">
        <v>32515</v>
      </c>
      <c r="C4900">
        <v>553</v>
      </c>
      <c r="D4900">
        <v>557</v>
      </c>
      <c r="E4900">
        <v>9425598</v>
      </c>
      <c r="F4900">
        <v>4789</v>
      </c>
      <c r="G4900">
        <v>0</v>
      </c>
      <c r="H4900" t="s">
        <v>9823</v>
      </c>
      <c r="I4900">
        <v>5532</v>
      </c>
      <c r="J4900" t="str">
        <f>VLOOKUP(E4900,DSSpieler!A:B,2,FALSE)</f>
        <v>Athcor</v>
      </c>
    </row>
    <row r="4901" spans="1:10" x14ac:dyDescent="0.25">
      <c r="A4901">
        <v>5534</v>
      </c>
      <c r="B4901">
        <v>2</v>
      </c>
      <c r="C4901">
        <v>543</v>
      </c>
      <c r="D4901">
        <v>501</v>
      </c>
      <c r="E4901">
        <v>9862117</v>
      </c>
      <c r="F4901">
        <v>2559</v>
      </c>
      <c r="G4901">
        <v>0</v>
      </c>
      <c r="H4901" t="s">
        <v>9824</v>
      </c>
      <c r="I4901">
        <v>5534</v>
      </c>
      <c r="J4901" t="str">
        <f>VLOOKUP(E4901,DSSpieler!A:B,2,FALSE)</f>
        <v>michi1887</v>
      </c>
    </row>
    <row r="4902" spans="1:10" x14ac:dyDescent="0.25">
      <c r="A4902">
        <v>5535</v>
      </c>
      <c r="B4902">
        <v>1</v>
      </c>
      <c r="C4902">
        <v>440</v>
      </c>
      <c r="D4902">
        <v>427</v>
      </c>
      <c r="E4902">
        <v>1577175546</v>
      </c>
      <c r="F4902">
        <v>7973</v>
      </c>
      <c r="G4902">
        <v>0</v>
      </c>
      <c r="H4902" t="s">
        <v>9825</v>
      </c>
      <c r="I4902">
        <v>5535</v>
      </c>
      <c r="J4902" t="str">
        <f>VLOOKUP(E4902,DSSpieler!A:B,2,FALSE)</f>
        <v>Leenz1</v>
      </c>
    </row>
    <row r="4903" spans="1:10" x14ac:dyDescent="0.25">
      <c r="A4903">
        <v>5536</v>
      </c>
      <c r="B4903" t="s">
        <v>531</v>
      </c>
      <c r="C4903">
        <v>550</v>
      </c>
      <c r="D4903">
        <v>525</v>
      </c>
      <c r="E4903">
        <v>0</v>
      </c>
      <c r="F4903">
        <v>297</v>
      </c>
      <c r="G4903">
        <v>0</v>
      </c>
      <c r="H4903" t="s">
        <v>9826</v>
      </c>
      <c r="I4903">
        <v>5536</v>
      </c>
      <c r="J4903" t="e">
        <f>VLOOKUP(E4903,DSSpieler!A:B,2,FALSE)</f>
        <v>#N/A</v>
      </c>
    </row>
    <row r="4904" spans="1:10" x14ac:dyDescent="0.25">
      <c r="A4904">
        <v>5537</v>
      </c>
      <c r="B4904" t="s">
        <v>32516</v>
      </c>
      <c r="C4904">
        <v>437</v>
      </c>
      <c r="D4904">
        <v>484</v>
      </c>
      <c r="E4904">
        <v>1576975878</v>
      </c>
      <c r="F4904">
        <v>3950</v>
      </c>
      <c r="G4904">
        <v>0</v>
      </c>
      <c r="H4904" t="s">
        <v>9827</v>
      </c>
      <c r="I4904">
        <v>5537</v>
      </c>
      <c r="J4904" t="str">
        <f>VLOOKUP(E4904,DSSpieler!A:B,2,FALSE)</f>
        <v>xMaXiMuSx</v>
      </c>
    </row>
    <row r="4905" spans="1:10" x14ac:dyDescent="0.25">
      <c r="A4905">
        <v>5538</v>
      </c>
      <c r="B4905">
        <v>2</v>
      </c>
      <c r="C4905">
        <v>446</v>
      </c>
      <c r="D4905">
        <v>438</v>
      </c>
      <c r="E4905">
        <v>9878022</v>
      </c>
      <c r="F4905">
        <v>4891</v>
      </c>
      <c r="G4905">
        <v>0</v>
      </c>
      <c r="H4905" t="s">
        <v>9828</v>
      </c>
      <c r="I4905">
        <v>5538</v>
      </c>
      <c r="J4905" t="str">
        <f>VLOOKUP(E4905,DSSpieler!A:B,2,FALSE)</f>
        <v>König Alex13</v>
      </c>
    </row>
    <row r="4906" spans="1:10" x14ac:dyDescent="0.25">
      <c r="A4906">
        <v>5540</v>
      </c>
      <c r="B4906" t="e">
        <f>-OFF1-+IchMagBrianGriffin</f>
        <v>#NAME?</v>
      </c>
      <c r="C4906">
        <v>477</v>
      </c>
      <c r="D4906">
        <v>428</v>
      </c>
      <c r="E4906">
        <v>1577195942</v>
      </c>
      <c r="F4906">
        <v>8390</v>
      </c>
      <c r="G4906">
        <v>0</v>
      </c>
      <c r="H4906" t="s">
        <v>9829</v>
      </c>
      <c r="I4906">
        <v>5540</v>
      </c>
      <c r="J4906" t="str">
        <f>VLOOKUP(E4906,DSSpieler!A:B,2,FALSE)</f>
        <v>Oxiro</v>
      </c>
    </row>
    <row r="4907" spans="1:10" x14ac:dyDescent="0.25">
      <c r="A4907">
        <v>5541</v>
      </c>
      <c r="B4907" t="s">
        <v>1418</v>
      </c>
      <c r="C4907">
        <v>435</v>
      </c>
      <c r="D4907">
        <v>512</v>
      </c>
      <c r="E4907">
        <v>1147967</v>
      </c>
      <c r="F4907">
        <v>4061</v>
      </c>
      <c r="G4907">
        <v>0</v>
      </c>
      <c r="H4907" t="s">
        <v>9830</v>
      </c>
      <c r="I4907">
        <v>5541</v>
      </c>
      <c r="J4907" t="str">
        <f>VLOOKUP(E4907,DSSpieler!A:B,2,FALSE)</f>
        <v>Milnox</v>
      </c>
    </row>
    <row r="4908" spans="1:10" x14ac:dyDescent="0.25">
      <c r="A4908">
        <v>5542</v>
      </c>
      <c r="B4908" t="s">
        <v>32517</v>
      </c>
      <c r="C4908">
        <v>504</v>
      </c>
      <c r="D4908">
        <v>554</v>
      </c>
      <c r="E4908">
        <v>1577123026</v>
      </c>
      <c r="F4908">
        <v>7221</v>
      </c>
      <c r="G4908">
        <v>0</v>
      </c>
      <c r="H4908" t="s">
        <v>9831</v>
      </c>
      <c r="I4908">
        <v>5542</v>
      </c>
      <c r="J4908" t="str">
        <f>VLOOKUP(E4908,DSSpieler!A:B,2,FALSE)</f>
        <v>Fr34k</v>
      </c>
    </row>
    <row r="4909" spans="1:10" x14ac:dyDescent="0.25">
      <c r="A4909">
        <v>5543</v>
      </c>
      <c r="B4909" t="s">
        <v>32518</v>
      </c>
      <c r="C4909">
        <v>557</v>
      </c>
      <c r="D4909">
        <v>512</v>
      </c>
      <c r="E4909">
        <v>1577198014</v>
      </c>
      <c r="F4909">
        <v>3999</v>
      </c>
      <c r="G4909">
        <v>0</v>
      </c>
      <c r="H4909" t="s">
        <v>9832</v>
      </c>
      <c r="I4909">
        <v>5543</v>
      </c>
      <c r="J4909" t="str">
        <f>VLOOKUP(E4909,DSSpieler!A:B,2,FALSE)</f>
        <v>BaumeisterBob</v>
      </c>
    </row>
    <row r="4910" spans="1:10" x14ac:dyDescent="0.25">
      <c r="A4910">
        <v>5544</v>
      </c>
      <c r="B4910" t="s">
        <v>531</v>
      </c>
      <c r="C4910">
        <v>474</v>
      </c>
      <c r="D4910">
        <v>441</v>
      </c>
      <c r="E4910">
        <v>0</v>
      </c>
      <c r="F4910">
        <v>562</v>
      </c>
      <c r="G4910">
        <v>0</v>
      </c>
      <c r="H4910" t="s">
        <v>9833</v>
      </c>
      <c r="I4910">
        <v>5544</v>
      </c>
      <c r="J4910" t="e">
        <f>VLOOKUP(E4910,DSSpieler!A:B,2,FALSE)</f>
        <v>#N/A</v>
      </c>
    </row>
    <row r="4911" spans="1:10" x14ac:dyDescent="0.25">
      <c r="A4911">
        <v>5545</v>
      </c>
      <c r="B4911" t="s">
        <v>643</v>
      </c>
      <c r="C4911">
        <v>496</v>
      </c>
      <c r="D4911">
        <v>509</v>
      </c>
      <c r="E4911">
        <v>1577003629</v>
      </c>
      <c r="F4911">
        <v>3941</v>
      </c>
      <c r="G4911">
        <v>0</v>
      </c>
      <c r="H4911" t="s">
        <v>9834</v>
      </c>
      <c r="I4911">
        <v>5545</v>
      </c>
      <c r="J4911" t="str">
        <f>VLOOKUP(E4911,DSSpieler!A:B,2,FALSE)</f>
        <v>KingJango</v>
      </c>
    </row>
    <row r="4912" spans="1:10" x14ac:dyDescent="0.25">
      <c r="A4912">
        <v>5547</v>
      </c>
      <c r="B4912" t="s">
        <v>531</v>
      </c>
      <c r="C4912">
        <v>533</v>
      </c>
      <c r="D4912">
        <v>427</v>
      </c>
      <c r="E4912">
        <v>0</v>
      </c>
      <c r="F4912">
        <v>340</v>
      </c>
      <c r="G4912">
        <v>0</v>
      </c>
      <c r="H4912" t="s">
        <v>9835</v>
      </c>
      <c r="I4912">
        <v>5547</v>
      </c>
      <c r="J4912" t="e">
        <f>VLOOKUP(E4912,DSSpieler!A:B,2,FALSE)</f>
        <v>#N/A</v>
      </c>
    </row>
    <row r="4913" spans="1:10" x14ac:dyDescent="0.25">
      <c r="A4913">
        <v>5548</v>
      </c>
      <c r="B4913" t="s">
        <v>32519</v>
      </c>
      <c r="C4913">
        <v>586</v>
      </c>
      <c r="D4913">
        <v>459</v>
      </c>
      <c r="E4913">
        <v>1577198806</v>
      </c>
      <c r="F4913">
        <v>4985</v>
      </c>
      <c r="G4913">
        <v>0</v>
      </c>
      <c r="H4913" t="s">
        <v>9836</v>
      </c>
      <c r="I4913">
        <v>5548</v>
      </c>
      <c r="J4913" t="str">
        <f>VLOOKUP(E4913,DSSpieler!A:B,2,FALSE)</f>
        <v>ForbiddenChild</v>
      </c>
    </row>
    <row r="4914" spans="1:10" x14ac:dyDescent="0.25">
      <c r="A4914">
        <v>5549</v>
      </c>
      <c r="B4914" t="s">
        <v>1419</v>
      </c>
      <c r="C4914">
        <v>575</v>
      </c>
      <c r="D4914">
        <v>513</v>
      </c>
      <c r="E4914">
        <v>1577164616</v>
      </c>
      <c r="F4914">
        <v>5122</v>
      </c>
      <c r="G4914">
        <v>0</v>
      </c>
      <c r="H4914" t="s">
        <v>9837</v>
      </c>
      <c r="I4914">
        <v>5549</v>
      </c>
      <c r="J4914" t="str">
        <f>VLOOKUP(E4914,DSSpieler!A:B,2,FALSE)</f>
        <v>Ljubix98</v>
      </c>
    </row>
    <row r="4915" spans="1:10" x14ac:dyDescent="0.25">
      <c r="A4915">
        <v>5550</v>
      </c>
      <c r="B4915" t="s">
        <v>32520</v>
      </c>
      <c r="C4915">
        <v>434</v>
      </c>
      <c r="D4915">
        <v>510</v>
      </c>
      <c r="E4915">
        <v>1576964247</v>
      </c>
      <c r="F4915">
        <v>4171</v>
      </c>
      <c r="G4915">
        <v>0</v>
      </c>
      <c r="H4915" t="s">
        <v>9838</v>
      </c>
      <c r="I4915">
        <v>5550</v>
      </c>
      <c r="J4915" t="str">
        <f>VLOOKUP(E4915,DSSpieler!A:B,2,FALSE)</f>
        <v>xRollstuhlcowboy</v>
      </c>
    </row>
    <row r="4916" spans="1:10" x14ac:dyDescent="0.25">
      <c r="A4916">
        <v>5551</v>
      </c>
      <c r="B4916" t="s">
        <v>1420</v>
      </c>
      <c r="C4916">
        <v>473</v>
      </c>
      <c r="D4916">
        <v>574</v>
      </c>
      <c r="E4916">
        <v>1577192177</v>
      </c>
      <c r="F4916">
        <v>5950</v>
      </c>
      <c r="G4916">
        <v>0</v>
      </c>
      <c r="H4916" t="s">
        <v>9839</v>
      </c>
      <c r="I4916">
        <v>5551</v>
      </c>
      <c r="J4916" t="str">
        <f>VLOOKUP(E4916,DSSpieler!A:B,2,FALSE)</f>
        <v>mk1093</v>
      </c>
    </row>
    <row r="4917" spans="1:10" x14ac:dyDescent="0.25">
      <c r="A4917">
        <v>5552</v>
      </c>
      <c r="B4917" t="s">
        <v>531</v>
      </c>
      <c r="C4917">
        <v>512</v>
      </c>
      <c r="D4917">
        <v>425</v>
      </c>
      <c r="E4917">
        <v>0</v>
      </c>
      <c r="F4917">
        <v>193</v>
      </c>
      <c r="G4917">
        <v>0</v>
      </c>
      <c r="H4917" t="s">
        <v>9840</v>
      </c>
      <c r="I4917">
        <v>5552</v>
      </c>
      <c r="J4917" t="e">
        <f>VLOOKUP(E4917,DSSpieler!A:B,2,FALSE)</f>
        <v>#N/A</v>
      </c>
    </row>
    <row r="4918" spans="1:10" x14ac:dyDescent="0.25">
      <c r="A4918">
        <v>5553</v>
      </c>
      <c r="B4918" t="s">
        <v>32521</v>
      </c>
      <c r="C4918">
        <v>464</v>
      </c>
      <c r="D4918">
        <v>494</v>
      </c>
      <c r="E4918">
        <v>1576718136</v>
      </c>
      <c r="F4918">
        <v>4241</v>
      </c>
      <c r="G4918">
        <v>0</v>
      </c>
      <c r="H4918" t="s">
        <v>9841</v>
      </c>
      <c r="I4918">
        <v>5553</v>
      </c>
      <c r="J4918" t="str">
        <f>VLOOKUP(E4918,DSSpieler!A:B,2,FALSE)</f>
        <v>lenker der schlachten96</v>
      </c>
    </row>
    <row r="4919" spans="1:10" x14ac:dyDescent="0.25">
      <c r="A4919">
        <v>5554</v>
      </c>
      <c r="B4919" t="s">
        <v>32522</v>
      </c>
      <c r="C4919">
        <v>459</v>
      </c>
      <c r="D4919">
        <v>406</v>
      </c>
      <c r="E4919">
        <v>8309212</v>
      </c>
      <c r="F4919">
        <v>6776</v>
      </c>
      <c r="G4919">
        <v>0</v>
      </c>
      <c r="H4919" t="s">
        <v>9842</v>
      </c>
      <c r="I4919">
        <v>5554</v>
      </c>
      <c r="J4919" t="str">
        <f>VLOOKUP(E4919,DSSpieler!A:B,2,FALSE)</f>
        <v>kiing-kasthe</v>
      </c>
    </row>
    <row r="4920" spans="1:10" x14ac:dyDescent="0.25">
      <c r="A4920">
        <v>5555</v>
      </c>
      <c r="B4920" t="s">
        <v>531</v>
      </c>
      <c r="C4920">
        <v>533</v>
      </c>
      <c r="D4920">
        <v>552</v>
      </c>
      <c r="E4920">
        <v>0</v>
      </c>
      <c r="F4920">
        <v>356</v>
      </c>
      <c r="G4920">
        <v>0</v>
      </c>
      <c r="H4920" t="s">
        <v>9843</v>
      </c>
      <c r="I4920">
        <v>5555</v>
      </c>
      <c r="J4920" t="e">
        <f>VLOOKUP(E4920,DSSpieler!A:B,2,FALSE)</f>
        <v>#N/A</v>
      </c>
    </row>
    <row r="4921" spans="1:10" x14ac:dyDescent="0.25">
      <c r="A4921">
        <v>5556</v>
      </c>
      <c r="B4921" t="s">
        <v>1421</v>
      </c>
      <c r="C4921">
        <v>498</v>
      </c>
      <c r="D4921">
        <v>389</v>
      </c>
      <c r="E4921">
        <v>7719918</v>
      </c>
      <c r="F4921">
        <v>5339</v>
      </c>
      <c r="G4921">
        <v>0</v>
      </c>
      <c r="H4921" t="s">
        <v>9844</v>
      </c>
      <c r="I4921">
        <v>5556</v>
      </c>
      <c r="J4921" t="str">
        <f>VLOOKUP(E4921,DSSpieler!A:B,2,FALSE)</f>
        <v>julien the king</v>
      </c>
    </row>
    <row r="4922" spans="1:10" x14ac:dyDescent="0.25">
      <c r="A4922">
        <v>5557</v>
      </c>
      <c r="B4922" t="s">
        <v>1422</v>
      </c>
      <c r="C4922">
        <v>503</v>
      </c>
      <c r="D4922">
        <v>546</v>
      </c>
      <c r="E4922">
        <v>1577197576</v>
      </c>
      <c r="F4922">
        <v>4750</v>
      </c>
      <c r="G4922">
        <v>0</v>
      </c>
      <c r="H4922" t="s">
        <v>9845</v>
      </c>
      <c r="I4922">
        <v>5557</v>
      </c>
      <c r="J4922" t="str">
        <f>VLOOKUP(E4922,DSSpieler!A:B,2,FALSE)</f>
        <v>Timbosliceee</v>
      </c>
    </row>
    <row r="4923" spans="1:10" x14ac:dyDescent="0.25">
      <c r="A4923">
        <v>5558</v>
      </c>
      <c r="B4923" t="s">
        <v>546</v>
      </c>
      <c r="C4923">
        <v>517</v>
      </c>
      <c r="D4923">
        <v>441</v>
      </c>
      <c r="E4923">
        <v>700859</v>
      </c>
      <c r="F4923">
        <v>3408</v>
      </c>
      <c r="G4923">
        <v>0</v>
      </c>
      <c r="H4923" t="s">
        <v>9846</v>
      </c>
      <c r="I4923">
        <v>5558</v>
      </c>
      <c r="J4923" t="str">
        <f>VLOOKUP(E4923,DSSpieler!A:B,2,FALSE)</f>
        <v>Bond120294</v>
      </c>
    </row>
    <row r="4924" spans="1:10" x14ac:dyDescent="0.25">
      <c r="A4924">
        <v>5559</v>
      </c>
      <c r="B4924">
        <v>1</v>
      </c>
      <c r="C4924">
        <v>559</v>
      </c>
      <c r="D4924">
        <v>533</v>
      </c>
      <c r="E4924">
        <v>1577195873</v>
      </c>
      <c r="F4924">
        <v>718</v>
      </c>
      <c r="G4924">
        <v>0</v>
      </c>
      <c r="H4924" t="s">
        <v>9847</v>
      </c>
      <c r="I4924">
        <v>5559</v>
      </c>
      <c r="J4924" t="str">
        <f>VLOOKUP(E4924,DSSpieler!A:B,2,FALSE)</f>
        <v>robotov</v>
      </c>
    </row>
    <row r="4925" spans="1:10" x14ac:dyDescent="0.25">
      <c r="A4925">
        <v>5560</v>
      </c>
      <c r="B4925" t="s">
        <v>531</v>
      </c>
      <c r="C4925">
        <v>406</v>
      </c>
      <c r="D4925">
        <v>458</v>
      </c>
      <c r="E4925">
        <v>0</v>
      </c>
      <c r="F4925">
        <v>298</v>
      </c>
      <c r="G4925">
        <v>0</v>
      </c>
      <c r="H4925" t="s">
        <v>9848</v>
      </c>
      <c r="I4925">
        <v>5560</v>
      </c>
      <c r="J4925" t="e">
        <f>VLOOKUP(E4925,DSSpieler!A:B,2,FALSE)</f>
        <v>#N/A</v>
      </c>
    </row>
    <row r="4926" spans="1:10" x14ac:dyDescent="0.25">
      <c r="A4926">
        <v>5561</v>
      </c>
      <c r="B4926">
        <v>1</v>
      </c>
      <c r="C4926">
        <v>435</v>
      </c>
      <c r="D4926">
        <v>517</v>
      </c>
      <c r="E4926">
        <v>1577176944</v>
      </c>
      <c r="F4926">
        <v>5682</v>
      </c>
      <c r="G4926">
        <v>0</v>
      </c>
      <c r="H4926" t="s">
        <v>9849</v>
      </c>
      <c r="I4926">
        <v>5561</v>
      </c>
      <c r="J4926" t="str">
        <f>VLOOKUP(E4926,DSSpieler!A:B,2,FALSE)</f>
        <v>Jassen</v>
      </c>
    </row>
    <row r="4927" spans="1:10" x14ac:dyDescent="0.25">
      <c r="A4927">
        <v>5562</v>
      </c>
      <c r="B4927" t="s">
        <v>531</v>
      </c>
      <c r="C4927">
        <v>448</v>
      </c>
      <c r="D4927">
        <v>493</v>
      </c>
      <c r="E4927">
        <v>0</v>
      </c>
      <c r="F4927">
        <v>550</v>
      </c>
      <c r="G4927">
        <v>0</v>
      </c>
      <c r="H4927" t="s">
        <v>9850</v>
      </c>
      <c r="I4927">
        <v>5562</v>
      </c>
      <c r="J4927" t="e">
        <f>VLOOKUP(E4927,DSSpieler!A:B,2,FALSE)</f>
        <v>#N/A</v>
      </c>
    </row>
    <row r="4928" spans="1:10" x14ac:dyDescent="0.25">
      <c r="A4928">
        <v>5563</v>
      </c>
      <c r="B4928" t="s">
        <v>32523</v>
      </c>
      <c r="C4928">
        <v>402</v>
      </c>
      <c r="D4928">
        <v>531</v>
      </c>
      <c r="E4928">
        <v>1577164111</v>
      </c>
      <c r="F4928">
        <v>6051</v>
      </c>
      <c r="G4928">
        <v>0</v>
      </c>
      <c r="H4928" t="s">
        <v>9851</v>
      </c>
      <c r="I4928">
        <v>5563</v>
      </c>
      <c r="J4928" t="str">
        <f>VLOOKUP(E4928,DSSpieler!A:B,2,FALSE)</f>
        <v>Lord wankelhoden</v>
      </c>
    </row>
    <row r="4929" spans="1:10" x14ac:dyDescent="0.25">
      <c r="A4929">
        <v>5564</v>
      </c>
      <c r="B4929" t="s">
        <v>1423</v>
      </c>
      <c r="C4929">
        <v>564</v>
      </c>
      <c r="D4929">
        <v>478</v>
      </c>
      <c r="E4929">
        <v>1577027330</v>
      </c>
      <c r="F4929">
        <v>1642</v>
      </c>
      <c r="G4929">
        <v>0</v>
      </c>
      <c r="H4929" t="s">
        <v>9852</v>
      </c>
      <c r="I4929">
        <v>5564</v>
      </c>
      <c r="J4929" t="str">
        <f>VLOOKUP(E4929,DSSpieler!A:B,2,FALSE)</f>
        <v>Prinz Fallobst</v>
      </c>
    </row>
    <row r="4930" spans="1:10" x14ac:dyDescent="0.25">
      <c r="A4930">
        <v>5565</v>
      </c>
      <c r="B4930">
        <v>1</v>
      </c>
      <c r="C4930">
        <v>445</v>
      </c>
      <c r="D4930">
        <v>547</v>
      </c>
      <c r="E4930">
        <v>9186810</v>
      </c>
      <c r="F4930">
        <v>224</v>
      </c>
      <c r="G4930">
        <v>0</v>
      </c>
      <c r="H4930" t="s">
        <v>9853</v>
      </c>
      <c r="I4930">
        <v>5565</v>
      </c>
      <c r="J4930" t="str">
        <f>VLOOKUP(E4930,DSSpieler!A:B,2,FALSE)</f>
        <v>AllnMcDelluxe</v>
      </c>
    </row>
    <row r="4931" spans="1:10" x14ac:dyDescent="0.25">
      <c r="A4931">
        <v>5566</v>
      </c>
      <c r="B4931" t="s">
        <v>32524</v>
      </c>
      <c r="C4931">
        <v>548</v>
      </c>
      <c r="D4931">
        <v>421</v>
      </c>
      <c r="E4931">
        <v>1576197248</v>
      </c>
      <c r="F4931">
        <v>2695</v>
      </c>
      <c r="G4931">
        <v>0</v>
      </c>
      <c r="H4931" t="s">
        <v>9854</v>
      </c>
      <c r="I4931">
        <v>5566</v>
      </c>
      <c r="J4931" t="str">
        <f>VLOOKUP(E4931,DSSpieler!A:B,2,FALSE)</f>
        <v>BlackDestroyers</v>
      </c>
    </row>
    <row r="4932" spans="1:10" x14ac:dyDescent="0.25">
      <c r="A4932">
        <v>5567</v>
      </c>
      <c r="B4932" t="s">
        <v>531</v>
      </c>
      <c r="C4932">
        <v>536</v>
      </c>
      <c r="D4932">
        <v>453</v>
      </c>
      <c r="E4932">
        <v>0</v>
      </c>
      <c r="F4932">
        <v>343</v>
      </c>
      <c r="G4932">
        <v>0</v>
      </c>
      <c r="H4932" t="s">
        <v>9855</v>
      </c>
      <c r="I4932">
        <v>5567</v>
      </c>
      <c r="J4932" t="e">
        <f>VLOOKUP(E4932,DSSpieler!A:B,2,FALSE)</f>
        <v>#N/A</v>
      </c>
    </row>
    <row r="4933" spans="1:10" x14ac:dyDescent="0.25">
      <c r="A4933">
        <v>5568</v>
      </c>
      <c r="B4933" t="s">
        <v>32525</v>
      </c>
      <c r="C4933">
        <v>463</v>
      </c>
      <c r="D4933">
        <v>498</v>
      </c>
      <c r="E4933">
        <v>1442482</v>
      </c>
      <c r="F4933">
        <v>3381</v>
      </c>
      <c r="G4933">
        <v>0</v>
      </c>
      <c r="H4933" t="s">
        <v>9856</v>
      </c>
      <c r="I4933">
        <v>5568</v>
      </c>
      <c r="J4933" t="str">
        <f>VLOOKUP(E4933,DSSpieler!A:B,2,FALSE)</f>
        <v>ThanaTos3k</v>
      </c>
    </row>
    <row r="4934" spans="1:10" x14ac:dyDescent="0.25">
      <c r="A4934">
        <v>5569</v>
      </c>
      <c r="B4934">
        <v>5</v>
      </c>
      <c r="C4934">
        <v>494</v>
      </c>
      <c r="D4934">
        <v>554</v>
      </c>
      <c r="E4934">
        <v>9962504</v>
      </c>
      <c r="F4934">
        <v>4835</v>
      </c>
      <c r="G4934">
        <v>0</v>
      </c>
      <c r="H4934" t="s">
        <v>9857</v>
      </c>
      <c r="I4934">
        <v>5569</v>
      </c>
      <c r="J4934" t="str">
        <f>VLOOKUP(E4934,DSSpieler!A:B,2,FALSE)</f>
        <v>Robin.a</v>
      </c>
    </row>
    <row r="4935" spans="1:10" x14ac:dyDescent="0.25">
      <c r="A4935">
        <v>5570</v>
      </c>
      <c r="B4935" t="s">
        <v>32526</v>
      </c>
      <c r="C4935">
        <v>495</v>
      </c>
      <c r="D4935">
        <v>550</v>
      </c>
      <c r="E4935">
        <v>1577184638</v>
      </c>
      <c r="F4935">
        <v>3218</v>
      </c>
      <c r="G4935">
        <v>0</v>
      </c>
      <c r="H4935" t="s">
        <v>9858</v>
      </c>
      <c r="I4935">
        <v>5570</v>
      </c>
      <c r="J4935" t="str">
        <f>VLOOKUP(E4935,DSSpieler!A:B,2,FALSE)</f>
        <v>filme</v>
      </c>
    </row>
    <row r="4936" spans="1:10" x14ac:dyDescent="0.25">
      <c r="A4936">
        <v>5571</v>
      </c>
      <c r="B4936" t="s">
        <v>531</v>
      </c>
      <c r="C4936">
        <v>541</v>
      </c>
      <c r="D4936">
        <v>439</v>
      </c>
      <c r="E4936">
        <v>0</v>
      </c>
      <c r="F4936">
        <v>278</v>
      </c>
      <c r="G4936">
        <v>0</v>
      </c>
      <c r="H4936" t="s">
        <v>9859</v>
      </c>
      <c r="I4936">
        <v>5571</v>
      </c>
      <c r="J4936" t="e">
        <f>VLOOKUP(E4936,DSSpieler!A:B,2,FALSE)</f>
        <v>#N/A</v>
      </c>
    </row>
    <row r="4937" spans="1:10" x14ac:dyDescent="0.25">
      <c r="A4937">
        <v>5573</v>
      </c>
      <c r="B4937" t="s">
        <v>32527</v>
      </c>
      <c r="C4937">
        <v>598</v>
      </c>
      <c r="D4937">
        <v>446</v>
      </c>
      <c r="E4937">
        <v>1577182339</v>
      </c>
      <c r="F4937">
        <v>5338</v>
      </c>
      <c r="G4937">
        <v>0</v>
      </c>
      <c r="H4937" t="s">
        <v>9860</v>
      </c>
      <c r="I4937">
        <v>5573</v>
      </c>
      <c r="J4937" t="str">
        <f>VLOOKUP(E4937,DSSpieler!A:B,2,FALSE)</f>
        <v>OG BananaJoe</v>
      </c>
    </row>
    <row r="4938" spans="1:10" x14ac:dyDescent="0.25">
      <c r="A4938">
        <v>5574</v>
      </c>
      <c r="B4938" t="s">
        <v>32528</v>
      </c>
      <c r="C4938">
        <v>475</v>
      </c>
      <c r="D4938">
        <v>561</v>
      </c>
      <c r="E4938">
        <v>9026066</v>
      </c>
      <c r="F4938">
        <v>4273</v>
      </c>
      <c r="G4938">
        <v>0</v>
      </c>
      <c r="H4938" t="s">
        <v>9861</v>
      </c>
      <c r="I4938">
        <v>5574</v>
      </c>
      <c r="J4938" t="str">
        <f>VLOOKUP(E4938,DSSpieler!A:B,2,FALSE)</f>
        <v>thehaaacker</v>
      </c>
    </row>
    <row r="4939" spans="1:10" x14ac:dyDescent="0.25">
      <c r="A4939">
        <v>5576</v>
      </c>
      <c r="B4939" t="s">
        <v>32529</v>
      </c>
      <c r="C4939">
        <v>603</v>
      </c>
      <c r="D4939">
        <v>463</v>
      </c>
      <c r="E4939">
        <v>1576473817</v>
      </c>
      <c r="F4939">
        <v>5857</v>
      </c>
      <c r="G4939">
        <v>0</v>
      </c>
      <c r="H4939" t="s">
        <v>9862</v>
      </c>
      <c r="I4939">
        <v>5576</v>
      </c>
      <c r="J4939" t="str">
        <f>VLOOKUP(E4939,DSSpieler!A:B,2,FALSE)</f>
        <v>Robert9663</v>
      </c>
    </row>
    <row r="4940" spans="1:10" x14ac:dyDescent="0.25">
      <c r="A4940">
        <v>5577</v>
      </c>
      <c r="B4940" t="s">
        <v>531</v>
      </c>
      <c r="C4940">
        <v>472</v>
      </c>
      <c r="D4940">
        <v>440</v>
      </c>
      <c r="E4940">
        <v>0</v>
      </c>
      <c r="F4940">
        <v>505</v>
      </c>
      <c r="G4940">
        <v>0</v>
      </c>
      <c r="H4940" t="s">
        <v>9863</v>
      </c>
      <c r="I4940">
        <v>5577</v>
      </c>
      <c r="J4940" t="e">
        <f>VLOOKUP(E4940,DSSpieler!A:B,2,FALSE)</f>
        <v>#N/A</v>
      </c>
    </row>
    <row r="4941" spans="1:10" x14ac:dyDescent="0.25">
      <c r="A4941">
        <v>5578</v>
      </c>
      <c r="B4941">
        <v>1</v>
      </c>
      <c r="C4941">
        <v>497</v>
      </c>
      <c r="D4941">
        <v>424</v>
      </c>
      <c r="E4941">
        <v>1576872907</v>
      </c>
      <c r="F4941">
        <v>3404</v>
      </c>
      <c r="G4941">
        <v>0</v>
      </c>
      <c r="H4941" t="s">
        <v>9864</v>
      </c>
      <c r="I4941">
        <v>5578</v>
      </c>
      <c r="J4941" t="str">
        <f>VLOOKUP(E4941,DSSpieler!A:B,2,FALSE)</f>
        <v>KingOfAustria</v>
      </c>
    </row>
    <row r="4942" spans="1:10" x14ac:dyDescent="0.25">
      <c r="A4942">
        <v>5579</v>
      </c>
      <c r="B4942" t="s">
        <v>30532</v>
      </c>
      <c r="C4942">
        <v>461</v>
      </c>
      <c r="D4942">
        <v>520</v>
      </c>
      <c r="E4942">
        <v>1576704931</v>
      </c>
      <c r="F4942">
        <v>5024</v>
      </c>
      <c r="G4942">
        <v>0</v>
      </c>
      <c r="H4942" t="s">
        <v>9865</v>
      </c>
      <c r="I4942">
        <v>5579</v>
      </c>
      <c r="J4942" t="str">
        <f>VLOOKUP(E4942,DSSpieler!A:B,2,FALSE)</f>
        <v>Phyton1</v>
      </c>
    </row>
    <row r="4943" spans="1:10" x14ac:dyDescent="0.25">
      <c r="A4943">
        <v>5581</v>
      </c>
      <c r="B4943" t="s">
        <v>1424</v>
      </c>
      <c r="C4943">
        <v>551</v>
      </c>
      <c r="D4943">
        <v>569</v>
      </c>
      <c r="E4943">
        <v>1577102404</v>
      </c>
      <c r="F4943">
        <v>5300</v>
      </c>
      <c r="G4943">
        <v>0</v>
      </c>
      <c r="H4943" t="s">
        <v>9866</v>
      </c>
      <c r="I4943">
        <v>5581</v>
      </c>
      <c r="J4943" t="str">
        <f>VLOOKUP(E4943,DSSpieler!A:B,2,FALSE)</f>
        <v>Urangutan</v>
      </c>
    </row>
    <row r="4944" spans="1:10" x14ac:dyDescent="0.25">
      <c r="A4944">
        <v>5582</v>
      </c>
      <c r="B4944" t="s">
        <v>30980</v>
      </c>
      <c r="C4944">
        <v>428</v>
      </c>
      <c r="D4944">
        <v>448</v>
      </c>
      <c r="E4944">
        <v>1576923004</v>
      </c>
      <c r="F4944">
        <v>6849</v>
      </c>
      <c r="G4944">
        <v>0</v>
      </c>
      <c r="H4944" t="s">
        <v>9867</v>
      </c>
      <c r="I4944">
        <v>5582</v>
      </c>
      <c r="J4944" t="str">
        <f>VLOOKUP(E4944,DSSpieler!A:B,2,FALSE)</f>
        <v>Ahaleks</v>
      </c>
    </row>
    <row r="4945" spans="1:10" x14ac:dyDescent="0.25">
      <c r="A4945">
        <v>5584</v>
      </c>
      <c r="B4945" t="s">
        <v>32530</v>
      </c>
      <c r="C4945">
        <v>519</v>
      </c>
      <c r="D4945">
        <v>572</v>
      </c>
      <c r="E4945">
        <v>1576220378</v>
      </c>
      <c r="F4945">
        <v>5449</v>
      </c>
      <c r="G4945">
        <v>0</v>
      </c>
      <c r="H4945" t="s">
        <v>9868</v>
      </c>
      <c r="I4945">
        <v>5584</v>
      </c>
      <c r="J4945" t="str">
        <f>VLOOKUP(E4945,DSSpieler!A:B,2,FALSE)</f>
        <v>Octesh</v>
      </c>
    </row>
    <row r="4946" spans="1:10" x14ac:dyDescent="0.25">
      <c r="A4946">
        <v>5585</v>
      </c>
      <c r="B4946" t="s">
        <v>32531</v>
      </c>
      <c r="C4946">
        <v>523</v>
      </c>
      <c r="D4946">
        <v>489</v>
      </c>
      <c r="E4946">
        <v>1577113865</v>
      </c>
      <c r="F4946">
        <v>886</v>
      </c>
      <c r="G4946">
        <v>0</v>
      </c>
      <c r="H4946" t="s">
        <v>9869</v>
      </c>
      <c r="I4946">
        <v>5585</v>
      </c>
      <c r="J4946" t="str">
        <f>VLOOKUP(E4946,DSSpieler!A:B,2,FALSE)</f>
        <v>GammelFaul</v>
      </c>
    </row>
    <row r="4947" spans="1:10" x14ac:dyDescent="0.25">
      <c r="A4947">
        <v>5586</v>
      </c>
      <c r="B4947" t="s">
        <v>1425</v>
      </c>
      <c r="C4947">
        <v>538</v>
      </c>
      <c r="D4947">
        <v>434</v>
      </c>
      <c r="E4947">
        <v>3143028</v>
      </c>
      <c r="F4947">
        <v>6007</v>
      </c>
      <c r="G4947">
        <v>0</v>
      </c>
      <c r="H4947" t="s">
        <v>9870</v>
      </c>
      <c r="I4947">
        <v>5586</v>
      </c>
      <c r="J4947" t="str">
        <f>VLOOKUP(E4947,DSSpieler!A:B,2,FALSE)</f>
        <v>Tom Traitor</v>
      </c>
    </row>
    <row r="4948" spans="1:10" x14ac:dyDescent="0.25">
      <c r="A4948">
        <v>5587</v>
      </c>
      <c r="B4948" t="s">
        <v>32532</v>
      </c>
      <c r="C4948">
        <v>593</v>
      </c>
      <c r="D4948">
        <v>464</v>
      </c>
      <c r="E4948">
        <v>1576749432</v>
      </c>
      <c r="F4948">
        <v>5237</v>
      </c>
      <c r="G4948">
        <v>0</v>
      </c>
      <c r="H4948" t="s">
        <v>9871</v>
      </c>
      <c r="I4948">
        <v>5587</v>
      </c>
      <c r="J4948" t="str">
        <f>VLOOKUP(E4948,DSSpieler!A:B,2,FALSE)</f>
        <v>erdush97</v>
      </c>
    </row>
    <row r="4949" spans="1:10" x14ac:dyDescent="0.25">
      <c r="A4949">
        <v>5588</v>
      </c>
      <c r="B4949" t="s">
        <v>30511</v>
      </c>
      <c r="C4949">
        <v>538</v>
      </c>
      <c r="D4949">
        <v>506</v>
      </c>
      <c r="E4949">
        <v>10244114</v>
      </c>
      <c r="F4949">
        <v>6225</v>
      </c>
      <c r="G4949">
        <v>0</v>
      </c>
      <c r="H4949" t="s">
        <v>9872</v>
      </c>
      <c r="I4949">
        <v>5588</v>
      </c>
      <c r="J4949" t="str">
        <f>VLOOKUP(E4949,DSSpieler!A:B,2,FALSE)</f>
        <v>stammph</v>
      </c>
    </row>
    <row r="4950" spans="1:10" x14ac:dyDescent="0.25">
      <c r="A4950">
        <v>5589</v>
      </c>
      <c r="B4950" t="s">
        <v>1426</v>
      </c>
      <c r="C4950">
        <v>426</v>
      </c>
      <c r="D4950">
        <v>506</v>
      </c>
      <c r="E4950">
        <v>1577194867</v>
      </c>
      <c r="F4950">
        <v>2134</v>
      </c>
      <c r="G4950">
        <v>0</v>
      </c>
      <c r="H4950" t="s">
        <v>9873</v>
      </c>
      <c r="I4950">
        <v>5589</v>
      </c>
      <c r="J4950" t="str">
        <f>VLOOKUP(E4950,DSSpieler!A:B,2,FALSE)</f>
        <v>Xetas</v>
      </c>
    </row>
    <row r="4951" spans="1:10" x14ac:dyDescent="0.25">
      <c r="A4951">
        <v>5590</v>
      </c>
      <c r="B4951" t="s">
        <v>32533</v>
      </c>
      <c r="C4951">
        <v>445</v>
      </c>
      <c r="D4951">
        <v>459</v>
      </c>
      <c r="E4951">
        <v>950620</v>
      </c>
      <c r="F4951">
        <v>5533</v>
      </c>
      <c r="G4951">
        <v>0</v>
      </c>
      <c r="H4951" t="s">
        <v>9874</v>
      </c>
      <c r="I4951">
        <v>5590</v>
      </c>
      <c r="J4951" t="str">
        <f>VLOOKUP(E4951,DSSpieler!A:B,2,FALSE)</f>
        <v>nici55</v>
      </c>
    </row>
    <row r="4952" spans="1:10" x14ac:dyDescent="0.25">
      <c r="A4952">
        <v>5591</v>
      </c>
      <c r="B4952">
        <v>5</v>
      </c>
      <c r="C4952">
        <v>572</v>
      </c>
      <c r="D4952">
        <v>498</v>
      </c>
      <c r="E4952">
        <v>1577197994</v>
      </c>
      <c r="F4952">
        <v>5049</v>
      </c>
      <c r="G4952">
        <v>0</v>
      </c>
      <c r="H4952" t="s">
        <v>9875</v>
      </c>
      <c r="I4952">
        <v>5591</v>
      </c>
      <c r="J4952" t="str">
        <f>VLOOKUP(E4952,DSSpieler!A:B,2,FALSE)</f>
        <v>Spriee</v>
      </c>
    </row>
    <row r="4953" spans="1:10" x14ac:dyDescent="0.25">
      <c r="A4953">
        <v>5592</v>
      </c>
      <c r="B4953" t="s">
        <v>673</v>
      </c>
      <c r="C4953">
        <v>395</v>
      </c>
      <c r="D4953">
        <v>492</v>
      </c>
      <c r="E4953">
        <v>1577097018</v>
      </c>
      <c r="F4953">
        <v>5161</v>
      </c>
      <c r="G4953">
        <v>0</v>
      </c>
      <c r="H4953" t="s">
        <v>437</v>
      </c>
      <c r="I4953">
        <v>5592</v>
      </c>
      <c r="J4953" t="str">
        <f>VLOOKUP(E4953,DSSpieler!A:B,2,FALSE)</f>
        <v>DerderohneRammenkommt</v>
      </c>
    </row>
    <row r="4954" spans="1:10" x14ac:dyDescent="0.25">
      <c r="A4954">
        <v>5594</v>
      </c>
      <c r="B4954" t="s">
        <v>32534</v>
      </c>
      <c r="C4954">
        <v>488</v>
      </c>
      <c r="D4954">
        <v>561</v>
      </c>
      <c r="E4954">
        <v>10235584</v>
      </c>
      <c r="F4954">
        <v>5070</v>
      </c>
      <c r="G4954">
        <v>0</v>
      </c>
      <c r="H4954" t="s">
        <v>9876</v>
      </c>
      <c r="I4954">
        <v>5594</v>
      </c>
      <c r="J4954" t="str">
        <f>VLOOKUP(E4954,DSSpieler!A:B,2,FALSE)</f>
        <v>LordShivaz</v>
      </c>
    </row>
    <row r="4955" spans="1:10" x14ac:dyDescent="0.25">
      <c r="A4955">
        <v>5595</v>
      </c>
      <c r="B4955" t="s">
        <v>32535</v>
      </c>
      <c r="C4955">
        <v>470</v>
      </c>
      <c r="D4955">
        <v>440</v>
      </c>
      <c r="E4955">
        <v>1928966</v>
      </c>
      <c r="F4955">
        <v>1934</v>
      </c>
      <c r="G4955">
        <v>0</v>
      </c>
      <c r="H4955" t="s">
        <v>9877</v>
      </c>
      <c r="I4955">
        <v>5595</v>
      </c>
      <c r="J4955" t="str">
        <f>VLOOKUP(E4955,DSSpieler!A:B,2,FALSE)</f>
        <v>svandy</v>
      </c>
    </row>
    <row r="4956" spans="1:10" x14ac:dyDescent="0.25">
      <c r="A4956">
        <v>5596</v>
      </c>
      <c r="B4956" t="s">
        <v>32536</v>
      </c>
      <c r="C4956">
        <v>548</v>
      </c>
      <c r="D4956">
        <v>565</v>
      </c>
      <c r="E4956">
        <v>1576943454</v>
      </c>
      <c r="F4956">
        <v>4421</v>
      </c>
      <c r="G4956">
        <v>0</v>
      </c>
      <c r="H4956" t="s">
        <v>9878</v>
      </c>
      <c r="I4956">
        <v>5596</v>
      </c>
      <c r="J4956" t="str">
        <f>VLOOKUP(E4956,DSSpieler!A:B,2,FALSE)</f>
        <v>ciWie</v>
      </c>
    </row>
    <row r="4957" spans="1:10" x14ac:dyDescent="0.25">
      <c r="A4957">
        <v>5598</v>
      </c>
      <c r="B4957">
        <v>2</v>
      </c>
      <c r="C4957">
        <v>557</v>
      </c>
      <c r="D4957">
        <v>458</v>
      </c>
      <c r="E4957">
        <v>7591160</v>
      </c>
      <c r="F4957">
        <v>5190</v>
      </c>
      <c r="G4957">
        <v>0</v>
      </c>
      <c r="H4957" t="s">
        <v>9879</v>
      </c>
      <c r="I4957">
        <v>5598</v>
      </c>
      <c r="J4957" t="str">
        <f>VLOOKUP(E4957,DSSpieler!A:B,2,FALSE)</f>
        <v>Schmunzelmonster</v>
      </c>
    </row>
    <row r="4958" spans="1:10" x14ac:dyDescent="0.25">
      <c r="A4958">
        <v>5599</v>
      </c>
      <c r="B4958" t="s">
        <v>32537</v>
      </c>
      <c r="C4958">
        <v>454</v>
      </c>
      <c r="D4958">
        <v>551</v>
      </c>
      <c r="E4958">
        <v>9251785</v>
      </c>
      <c r="F4958">
        <v>7565</v>
      </c>
      <c r="G4958">
        <v>0</v>
      </c>
      <c r="H4958" t="s">
        <v>9880</v>
      </c>
      <c r="I4958">
        <v>5599</v>
      </c>
      <c r="J4958" t="str">
        <f>VLOOKUP(E4958,DSSpieler!A:B,2,FALSE)</f>
        <v>Ult1maT1V</v>
      </c>
    </row>
    <row r="4959" spans="1:10" x14ac:dyDescent="0.25">
      <c r="A4959">
        <v>5600</v>
      </c>
      <c r="B4959" t="s">
        <v>774</v>
      </c>
      <c r="C4959">
        <v>593</v>
      </c>
      <c r="D4959">
        <v>473</v>
      </c>
      <c r="E4959">
        <v>1577173034</v>
      </c>
      <c r="F4959">
        <v>4410</v>
      </c>
      <c r="G4959">
        <v>0</v>
      </c>
      <c r="H4959" t="s">
        <v>9881</v>
      </c>
      <c r="I4959">
        <v>5600</v>
      </c>
      <c r="J4959" t="str">
        <f>VLOOKUP(E4959,DSSpieler!A:B,2,FALSE)</f>
        <v>LORD R3BORN</v>
      </c>
    </row>
    <row r="4960" spans="1:10" x14ac:dyDescent="0.25">
      <c r="A4960">
        <v>5601</v>
      </c>
      <c r="B4960" t="s">
        <v>531</v>
      </c>
      <c r="C4960">
        <v>501</v>
      </c>
      <c r="D4960">
        <v>483</v>
      </c>
      <c r="E4960">
        <v>0</v>
      </c>
      <c r="F4960">
        <v>227</v>
      </c>
      <c r="G4960">
        <v>0</v>
      </c>
      <c r="H4960" t="s">
        <v>9882</v>
      </c>
      <c r="I4960">
        <v>5601</v>
      </c>
      <c r="J4960" t="e">
        <f>VLOOKUP(E4960,DSSpieler!A:B,2,FALSE)</f>
        <v>#N/A</v>
      </c>
    </row>
    <row r="4961" spans="1:10" x14ac:dyDescent="0.25">
      <c r="A4961">
        <v>5602</v>
      </c>
      <c r="B4961">
        <v>1</v>
      </c>
      <c r="C4961">
        <v>532</v>
      </c>
      <c r="D4961">
        <v>518</v>
      </c>
      <c r="E4961">
        <v>822120</v>
      </c>
      <c r="F4961">
        <v>1807</v>
      </c>
      <c r="G4961">
        <v>0</v>
      </c>
      <c r="H4961" t="s">
        <v>9883</v>
      </c>
      <c r="I4961">
        <v>5602</v>
      </c>
      <c r="J4961" t="str">
        <f>VLOOKUP(E4961,DSSpieler!A:B,2,FALSE)</f>
        <v>Nikeboy2</v>
      </c>
    </row>
    <row r="4962" spans="1:10" x14ac:dyDescent="0.25">
      <c r="A4962">
        <v>5603</v>
      </c>
      <c r="B4962" t="s">
        <v>32538</v>
      </c>
      <c r="C4962">
        <v>525</v>
      </c>
      <c r="D4962">
        <v>588</v>
      </c>
      <c r="E4962">
        <v>8229715</v>
      </c>
      <c r="F4962">
        <v>5677</v>
      </c>
      <c r="G4962">
        <v>0</v>
      </c>
      <c r="H4962" t="s">
        <v>9884</v>
      </c>
      <c r="I4962">
        <v>5603</v>
      </c>
      <c r="J4962" t="str">
        <f>VLOOKUP(E4962,DSSpieler!A:B,2,FALSE)</f>
        <v>Orschlochwattn</v>
      </c>
    </row>
    <row r="4963" spans="1:10" x14ac:dyDescent="0.25">
      <c r="A4963">
        <v>5604</v>
      </c>
      <c r="B4963" t="s">
        <v>531</v>
      </c>
      <c r="C4963">
        <v>531</v>
      </c>
      <c r="D4963">
        <v>440</v>
      </c>
      <c r="E4963">
        <v>0</v>
      </c>
      <c r="F4963">
        <v>352</v>
      </c>
      <c r="G4963">
        <v>0</v>
      </c>
      <c r="H4963" t="s">
        <v>9885</v>
      </c>
      <c r="I4963">
        <v>5604</v>
      </c>
      <c r="J4963" t="e">
        <f>VLOOKUP(E4963,DSSpieler!A:B,2,FALSE)</f>
        <v>#N/A</v>
      </c>
    </row>
    <row r="4964" spans="1:10" x14ac:dyDescent="0.25">
      <c r="A4964">
        <v>5605</v>
      </c>
      <c r="B4964" t="s">
        <v>531</v>
      </c>
      <c r="C4964">
        <v>441</v>
      </c>
      <c r="D4964">
        <v>491</v>
      </c>
      <c r="E4964">
        <v>0</v>
      </c>
      <c r="F4964">
        <v>787</v>
      </c>
      <c r="G4964">
        <v>0</v>
      </c>
      <c r="H4964" t="s">
        <v>9886</v>
      </c>
      <c r="I4964">
        <v>5605</v>
      </c>
      <c r="J4964" t="e">
        <f>VLOOKUP(E4964,DSSpieler!A:B,2,FALSE)</f>
        <v>#N/A</v>
      </c>
    </row>
    <row r="4965" spans="1:10" x14ac:dyDescent="0.25">
      <c r="A4965">
        <v>5606</v>
      </c>
      <c r="B4965" t="s">
        <v>1427</v>
      </c>
      <c r="C4965">
        <v>439</v>
      </c>
      <c r="D4965">
        <v>505</v>
      </c>
      <c r="E4965">
        <v>1577187041</v>
      </c>
      <c r="F4965">
        <v>4604</v>
      </c>
      <c r="G4965">
        <v>0</v>
      </c>
      <c r="H4965" t="s">
        <v>9887</v>
      </c>
      <c r="I4965">
        <v>5606</v>
      </c>
      <c r="J4965" t="str">
        <f>VLOOKUP(E4965,DSSpieler!A:B,2,FALSE)</f>
        <v>JackyAce</v>
      </c>
    </row>
    <row r="4966" spans="1:10" x14ac:dyDescent="0.25">
      <c r="A4966">
        <v>5607</v>
      </c>
      <c r="B4966" t="s">
        <v>32539</v>
      </c>
      <c r="C4966">
        <v>410</v>
      </c>
      <c r="D4966">
        <v>560</v>
      </c>
      <c r="E4966">
        <v>1577190635</v>
      </c>
      <c r="F4966">
        <v>5564</v>
      </c>
      <c r="G4966">
        <v>0</v>
      </c>
      <c r="H4966" t="s">
        <v>9888</v>
      </c>
      <c r="I4966">
        <v>5607</v>
      </c>
      <c r="J4966" t="str">
        <f>VLOOKUP(E4966,DSSpieler!A:B,2,FALSE)</f>
        <v>Launga</v>
      </c>
    </row>
    <row r="4967" spans="1:10" x14ac:dyDescent="0.25">
      <c r="A4967">
        <v>5608</v>
      </c>
      <c r="B4967" t="s">
        <v>1428</v>
      </c>
      <c r="C4967">
        <v>496</v>
      </c>
      <c r="D4967">
        <v>443</v>
      </c>
      <c r="E4967">
        <v>1576029425</v>
      </c>
      <c r="F4967">
        <v>2301</v>
      </c>
      <c r="G4967">
        <v>0</v>
      </c>
      <c r="H4967" t="s">
        <v>9889</v>
      </c>
      <c r="I4967">
        <v>5608</v>
      </c>
      <c r="J4967" t="str">
        <f>VLOOKUP(E4967,DSSpieler!A:B,2,FALSE)</f>
        <v>chefgox89</v>
      </c>
    </row>
    <row r="4968" spans="1:10" x14ac:dyDescent="0.25">
      <c r="A4968">
        <v>5609</v>
      </c>
      <c r="B4968" t="s">
        <v>531</v>
      </c>
      <c r="C4968">
        <v>525</v>
      </c>
      <c r="D4968">
        <v>458</v>
      </c>
      <c r="E4968">
        <v>0</v>
      </c>
      <c r="F4968">
        <v>305</v>
      </c>
      <c r="G4968">
        <v>0</v>
      </c>
      <c r="H4968" t="s">
        <v>9890</v>
      </c>
      <c r="I4968">
        <v>5609</v>
      </c>
      <c r="J4968" t="e">
        <f>VLOOKUP(E4968,DSSpieler!A:B,2,FALSE)</f>
        <v>#N/A</v>
      </c>
    </row>
    <row r="4969" spans="1:10" x14ac:dyDescent="0.25">
      <c r="A4969">
        <v>5610</v>
      </c>
      <c r="B4969" t="s">
        <v>32540</v>
      </c>
      <c r="C4969">
        <v>494</v>
      </c>
      <c r="D4969">
        <v>440</v>
      </c>
      <c r="E4969">
        <v>1577195997</v>
      </c>
      <c r="F4969">
        <v>4566</v>
      </c>
      <c r="G4969">
        <v>0</v>
      </c>
      <c r="H4969" t="s">
        <v>9891</v>
      </c>
      <c r="I4969">
        <v>5610</v>
      </c>
      <c r="J4969" t="str">
        <f>VLOOKUP(E4969,DSSpieler!A:B,2,FALSE)</f>
        <v>Schneeleopard</v>
      </c>
    </row>
    <row r="4970" spans="1:10" x14ac:dyDescent="0.25">
      <c r="A4970">
        <v>5611</v>
      </c>
      <c r="B4970">
        <v>2</v>
      </c>
      <c r="C4970">
        <v>435</v>
      </c>
      <c r="D4970">
        <v>471</v>
      </c>
      <c r="E4970">
        <v>8217959</v>
      </c>
      <c r="F4970">
        <v>4690</v>
      </c>
      <c r="G4970">
        <v>0</v>
      </c>
      <c r="H4970" t="s">
        <v>9892</v>
      </c>
      <c r="I4970">
        <v>5611</v>
      </c>
      <c r="J4970" t="str">
        <f>VLOOKUP(E4970,DSSpieler!A:B,2,FALSE)</f>
        <v>seppl0410</v>
      </c>
    </row>
    <row r="4971" spans="1:10" x14ac:dyDescent="0.25">
      <c r="A4971">
        <v>5612</v>
      </c>
      <c r="B4971" t="s">
        <v>1429</v>
      </c>
      <c r="C4971">
        <v>467</v>
      </c>
      <c r="D4971">
        <v>538</v>
      </c>
      <c r="E4971">
        <v>1577183911</v>
      </c>
      <c r="F4971">
        <v>4613</v>
      </c>
      <c r="G4971">
        <v>0</v>
      </c>
      <c r="H4971" t="s">
        <v>9893</v>
      </c>
      <c r="I4971">
        <v>5612</v>
      </c>
      <c r="J4971" t="str">
        <f>VLOOKUP(E4971,DSSpieler!A:B,2,FALSE)</f>
        <v>PenithbartDerGrobe</v>
      </c>
    </row>
    <row r="4972" spans="1:10" x14ac:dyDescent="0.25">
      <c r="A4972">
        <v>5613</v>
      </c>
      <c r="B4972" t="s">
        <v>531</v>
      </c>
      <c r="C4972">
        <v>563</v>
      </c>
      <c r="D4972">
        <v>472</v>
      </c>
      <c r="E4972">
        <v>0</v>
      </c>
      <c r="F4972">
        <v>307</v>
      </c>
      <c r="G4972">
        <v>0</v>
      </c>
      <c r="H4972" t="s">
        <v>9894</v>
      </c>
      <c r="I4972">
        <v>5613</v>
      </c>
      <c r="J4972" t="e">
        <f>VLOOKUP(E4972,DSSpieler!A:B,2,FALSE)</f>
        <v>#N/A</v>
      </c>
    </row>
    <row r="4973" spans="1:10" x14ac:dyDescent="0.25">
      <c r="A4973">
        <v>5614</v>
      </c>
      <c r="B4973">
        <v>3</v>
      </c>
      <c r="C4973">
        <v>528</v>
      </c>
      <c r="D4973">
        <v>413</v>
      </c>
      <c r="E4973">
        <v>1577171560</v>
      </c>
      <c r="F4973">
        <v>5855</v>
      </c>
      <c r="G4973">
        <v>0</v>
      </c>
      <c r="H4973" t="s">
        <v>9895</v>
      </c>
      <c r="I4973">
        <v>5614</v>
      </c>
      <c r="J4973" t="str">
        <f>VLOOKUP(E4973,DSSpieler!A:B,2,FALSE)</f>
        <v>Tomla</v>
      </c>
    </row>
    <row r="4974" spans="1:10" x14ac:dyDescent="0.25">
      <c r="A4974">
        <v>5615</v>
      </c>
      <c r="B4974" t="s">
        <v>32541</v>
      </c>
      <c r="C4974">
        <v>458</v>
      </c>
      <c r="D4974">
        <v>507</v>
      </c>
      <c r="E4974">
        <v>1577179717</v>
      </c>
      <c r="F4974">
        <v>3998</v>
      </c>
      <c r="G4974">
        <v>0</v>
      </c>
      <c r="H4974" t="s">
        <v>9896</v>
      </c>
      <c r="I4974">
        <v>5615</v>
      </c>
      <c r="J4974" t="str">
        <f>VLOOKUP(E4974,DSSpieler!A:B,2,FALSE)</f>
        <v>immvp</v>
      </c>
    </row>
    <row r="4975" spans="1:10" x14ac:dyDescent="0.25">
      <c r="A4975">
        <v>5616</v>
      </c>
      <c r="B4975" t="s">
        <v>667</v>
      </c>
      <c r="C4975">
        <v>516</v>
      </c>
      <c r="D4975">
        <v>485</v>
      </c>
      <c r="E4975">
        <v>8862374</v>
      </c>
      <c r="F4975">
        <v>5906</v>
      </c>
      <c r="G4975">
        <v>0</v>
      </c>
      <c r="H4975" t="s">
        <v>9897</v>
      </c>
      <c r="I4975">
        <v>5616</v>
      </c>
      <c r="J4975" t="str">
        <f>VLOOKUP(E4975,DSSpieler!A:B,2,FALSE)</f>
        <v>Gut0</v>
      </c>
    </row>
    <row r="4976" spans="1:10" x14ac:dyDescent="0.25">
      <c r="A4976">
        <v>5617</v>
      </c>
      <c r="B4976" t="s">
        <v>531</v>
      </c>
      <c r="C4976">
        <v>497</v>
      </c>
      <c r="D4976">
        <v>522</v>
      </c>
      <c r="E4976">
        <v>0</v>
      </c>
      <c r="F4976">
        <v>477</v>
      </c>
      <c r="G4976">
        <v>0</v>
      </c>
      <c r="H4976" t="s">
        <v>9898</v>
      </c>
      <c r="I4976">
        <v>5617</v>
      </c>
      <c r="J4976" t="e">
        <f>VLOOKUP(E4976,DSSpieler!A:B,2,FALSE)</f>
        <v>#N/A</v>
      </c>
    </row>
    <row r="4977" spans="1:10" x14ac:dyDescent="0.25">
      <c r="A4977">
        <v>5619</v>
      </c>
      <c r="B4977">
        <v>4</v>
      </c>
      <c r="C4977">
        <v>409</v>
      </c>
      <c r="D4977">
        <v>523</v>
      </c>
      <c r="E4977">
        <v>1576523771</v>
      </c>
      <c r="F4977">
        <v>5227</v>
      </c>
      <c r="G4977">
        <v>0</v>
      </c>
      <c r="H4977" t="s">
        <v>9899</v>
      </c>
      <c r="I4977">
        <v>5619</v>
      </c>
      <c r="J4977" t="str">
        <f>VLOOKUP(E4977,DSSpieler!A:B,2,FALSE)</f>
        <v>Kev1n</v>
      </c>
    </row>
    <row r="4978" spans="1:10" x14ac:dyDescent="0.25">
      <c r="A4978">
        <v>5620</v>
      </c>
      <c r="B4978" t="s">
        <v>531</v>
      </c>
      <c r="C4978">
        <v>527</v>
      </c>
      <c r="D4978">
        <v>542</v>
      </c>
      <c r="E4978">
        <v>0</v>
      </c>
      <c r="F4978">
        <v>213</v>
      </c>
      <c r="G4978">
        <v>0</v>
      </c>
      <c r="H4978" t="s">
        <v>9900</v>
      </c>
      <c r="I4978">
        <v>5620</v>
      </c>
      <c r="J4978" t="e">
        <f>VLOOKUP(E4978,DSSpieler!A:B,2,FALSE)</f>
        <v>#N/A</v>
      </c>
    </row>
    <row r="4979" spans="1:10" x14ac:dyDescent="0.25">
      <c r="A4979">
        <v>5621</v>
      </c>
      <c r="B4979" t="s">
        <v>531</v>
      </c>
      <c r="C4979">
        <v>536</v>
      </c>
      <c r="D4979">
        <v>466</v>
      </c>
      <c r="E4979">
        <v>0</v>
      </c>
      <c r="F4979">
        <v>330</v>
      </c>
      <c r="G4979">
        <v>0</v>
      </c>
      <c r="H4979" t="s">
        <v>9901</v>
      </c>
      <c r="I4979">
        <v>5621</v>
      </c>
      <c r="J4979" t="e">
        <f>VLOOKUP(E4979,DSSpieler!A:B,2,FALSE)</f>
        <v>#N/A</v>
      </c>
    </row>
    <row r="4980" spans="1:10" x14ac:dyDescent="0.25">
      <c r="A4980">
        <v>5623</v>
      </c>
      <c r="B4980" t="s">
        <v>35835</v>
      </c>
      <c r="C4980">
        <v>604</v>
      </c>
      <c r="D4980">
        <v>492</v>
      </c>
      <c r="E4980">
        <v>8441109</v>
      </c>
      <c r="F4980">
        <v>4265</v>
      </c>
      <c r="G4980">
        <v>0</v>
      </c>
      <c r="H4980" t="s">
        <v>9902</v>
      </c>
      <c r="I4980">
        <v>5623</v>
      </c>
      <c r="J4980" t="str">
        <f>VLOOKUP(E4980,DSSpieler!A:B,2,FALSE)</f>
        <v>lywas</v>
      </c>
    </row>
    <row r="4981" spans="1:10" x14ac:dyDescent="0.25">
      <c r="A4981">
        <v>5624</v>
      </c>
      <c r="B4981" t="s">
        <v>1430</v>
      </c>
      <c r="C4981">
        <v>475</v>
      </c>
      <c r="D4981">
        <v>447</v>
      </c>
      <c r="E4981">
        <v>1576851644</v>
      </c>
      <c r="F4981">
        <v>1598</v>
      </c>
      <c r="G4981">
        <v>0</v>
      </c>
      <c r="H4981" t="s">
        <v>9903</v>
      </c>
      <c r="I4981">
        <v>5624</v>
      </c>
      <c r="J4981" t="str">
        <f>VLOOKUP(E4981,DSSpieler!A:B,2,FALSE)</f>
        <v>VamosJoe</v>
      </c>
    </row>
    <row r="4982" spans="1:10" x14ac:dyDescent="0.25">
      <c r="A4982">
        <v>5625</v>
      </c>
      <c r="B4982" t="s">
        <v>30461</v>
      </c>
      <c r="C4982">
        <v>602</v>
      </c>
      <c r="D4982">
        <v>497</v>
      </c>
      <c r="E4982">
        <v>1666326</v>
      </c>
      <c r="F4982">
        <v>4830</v>
      </c>
      <c r="G4982">
        <v>0</v>
      </c>
      <c r="H4982" t="s">
        <v>9904</v>
      </c>
      <c r="I4982">
        <v>5625</v>
      </c>
      <c r="J4982" t="str">
        <f>VLOOKUP(E4982,DSSpieler!A:B,2,FALSE)</f>
        <v>Wendell Bud White</v>
      </c>
    </row>
    <row r="4983" spans="1:10" x14ac:dyDescent="0.25">
      <c r="A4983">
        <v>5626</v>
      </c>
      <c r="B4983" t="s">
        <v>780</v>
      </c>
      <c r="C4983">
        <v>560</v>
      </c>
      <c r="D4983">
        <v>570</v>
      </c>
      <c r="E4983">
        <v>1577197756</v>
      </c>
      <c r="F4983">
        <v>7290</v>
      </c>
      <c r="G4983">
        <v>0</v>
      </c>
      <c r="H4983" t="s">
        <v>9905</v>
      </c>
      <c r="I4983">
        <v>5626</v>
      </c>
      <c r="J4983" t="str">
        <f>VLOOKUP(E4983,DSSpieler!A:B,2,FALSE)</f>
        <v>TyL3R DuRd3N</v>
      </c>
    </row>
    <row r="4984" spans="1:10" x14ac:dyDescent="0.25">
      <c r="A4984">
        <v>5627</v>
      </c>
      <c r="B4984" t="s">
        <v>1431</v>
      </c>
      <c r="C4984">
        <v>473</v>
      </c>
      <c r="D4984">
        <v>509</v>
      </c>
      <c r="E4984">
        <v>1428815</v>
      </c>
      <c r="F4984">
        <v>5288</v>
      </c>
      <c r="G4984">
        <v>0</v>
      </c>
      <c r="H4984" t="s">
        <v>9906</v>
      </c>
      <c r="I4984">
        <v>5627</v>
      </c>
      <c r="J4984" t="str">
        <f>VLOOKUP(E4984,DSSpieler!A:B,2,FALSE)</f>
        <v>maze*</v>
      </c>
    </row>
    <row r="4985" spans="1:10" x14ac:dyDescent="0.25">
      <c r="A4985">
        <v>5628</v>
      </c>
      <c r="B4985" t="s">
        <v>32542</v>
      </c>
      <c r="C4985">
        <v>445</v>
      </c>
      <c r="D4985">
        <v>466</v>
      </c>
      <c r="E4985">
        <v>1577197850</v>
      </c>
      <c r="F4985">
        <v>5042</v>
      </c>
      <c r="G4985">
        <v>0</v>
      </c>
      <c r="H4985" t="s">
        <v>9907</v>
      </c>
      <c r="I4985">
        <v>5628</v>
      </c>
      <c r="J4985" t="str">
        <f>VLOOKUP(E4985,DSSpieler!A:B,2,FALSE)</f>
        <v>Benery</v>
      </c>
    </row>
    <row r="4986" spans="1:10" x14ac:dyDescent="0.25">
      <c r="A4986">
        <v>5629</v>
      </c>
      <c r="B4986" t="e">
        <f>-1-+Camelot</f>
        <v>#NAME?</v>
      </c>
      <c r="C4986">
        <v>538</v>
      </c>
      <c r="D4986">
        <v>576</v>
      </c>
      <c r="E4986">
        <v>1576885823</v>
      </c>
      <c r="F4986">
        <v>5363</v>
      </c>
      <c r="G4986">
        <v>0</v>
      </c>
      <c r="H4986" t="s">
        <v>9908</v>
      </c>
      <c r="I4986">
        <v>5629</v>
      </c>
      <c r="J4986" t="str">
        <f>VLOOKUP(E4986,DSSpieler!A:B,2,FALSE)</f>
        <v>Greyback</v>
      </c>
    </row>
    <row r="4987" spans="1:10" x14ac:dyDescent="0.25">
      <c r="A4987">
        <v>5630</v>
      </c>
      <c r="B4987" t="s">
        <v>1432</v>
      </c>
      <c r="C4987">
        <v>449</v>
      </c>
      <c r="D4987">
        <v>455</v>
      </c>
      <c r="E4987">
        <v>1577165097</v>
      </c>
      <c r="F4987">
        <v>2245</v>
      </c>
      <c r="G4987">
        <v>0</v>
      </c>
      <c r="H4987" t="s">
        <v>9909</v>
      </c>
      <c r="I4987">
        <v>5630</v>
      </c>
      <c r="J4987" t="str">
        <f>VLOOKUP(E4987,DSSpieler!A:B,2,FALSE)</f>
        <v>Nikey20</v>
      </c>
    </row>
    <row r="4988" spans="1:10" x14ac:dyDescent="0.25">
      <c r="A4988">
        <v>5631</v>
      </c>
      <c r="B4988">
        <v>1</v>
      </c>
      <c r="C4988">
        <v>419</v>
      </c>
      <c r="D4988">
        <v>525</v>
      </c>
      <c r="E4988">
        <v>1577174432</v>
      </c>
      <c r="F4988">
        <v>5911</v>
      </c>
      <c r="G4988">
        <v>0</v>
      </c>
      <c r="H4988" t="s">
        <v>9910</v>
      </c>
      <c r="I4988">
        <v>5631</v>
      </c>
      <c r="J4988" t="str">
        <f>VLOOKUP(E4988,DSSpieler!A:B,2,FALSE)</f>
        <v>buchee</v>
      </c>
    </row>
    <row r="4989" spans="1:10" x14ac:dyDescent="0.25">
      <c r="A4989">
        <v>5632</v>
      </c>
      <c r="B4989" t="s">
        <v>531</v>
      </c>
      <c r="C4989">
        <v>476</v>
      </c>
      <c r="D4989">
        <v>528</v>
      </c>
      <c r="E4989">
        <v>0</v>
      </c>
      <c r="F4989">
        <v>227</v>
      </c>
      <c r="G4989">
        <v>0</v>
      </c>
      <c r="H4989" t="s">
        <v>9911</v>
      </c>
      <c r="I4989">
        <v>5632</v>
      </c>
      <c r="J4989" t="e">
        <f>VLOOKUP(E4989,DSSpieler!A:B,2,FALSE)</f>
        <v>#N/A</v>
      </c>
    </row>
    <row r="4990" spans="1:10" x14ac:dyDescent="0.25">
      <c r="A4990">
        <v>5633</v>
      </c>
      <c r="B4990" t="s">
        <v>531</v>
      </c>
      <c r="C4990">
        <v>527</v>
      </c>
      <c r="D4990">
        <v>472</v>
      </c>
      <c r="E4990">
        <v>0</v>
      </c>
      <c r="F4990">
        <v>322</v>
      </c>
      <c r="G4990">
        <v>0</v>
      </c>
      <c r="H4990" t="s">
        <v>9912</v>
      </c>
      <c r="I4990">
        <v>5633</v>
      </c>
      <c r="J4990" t="e">
        <f>VLOOKUP(E4990,DSSpieler!A:B,2,FALSE)</f>
        <v>#N/A</v>
      </c>
    </row>
    <row r="4991" spans="1:10" x14ac:dyDescent="0.25">
      <c r="A4991">
        <v>5634</v>
      </c>
      <c r="B4991" t="s">
        <v>32543</v>
      </c>
      <c r="C4991">
        <v>409</v>
      </c>
      <c r="D4991">
        <v>536</v>
      </c>
      <c r="E4991">
        <v>1577195923</v>
      </c>
      <c r="F4991">
        <v>3004</v>
      </c>
      <c r="G4991">
        <v>0</v>
      </c>
      <c r="H4991" t="s">
        <v>9913</v>
      </c>
      <c r="I4991">
        <v>5634</v>
      </c>
      <c r="J4991" t="str">
        <f>VLOOKUP(E4991,DSSpieler!A:B,2,FALSE)</f>
        <v>Juligon93</v>
      </c>
    </row>
    <row r="4992" spans="1:10" x14ac:dyDescent="0.25">
      <c r="A4992">
        <v>5635</v>
      </c>
      <c r="B4992" t="s">
        <v>1433</v>
      </c>
      <c r="C4992">
        <v>550</v>
      </c>
      <c r="D4992">
        <v>448</v>
      </c>
      <c r="E4992">
        <v>1577088158</v>
      </c>
      <c r="F4992">
        <v>3023</v>
      </c>
      <c r="G4992">
        <v>0</v>
      </c>
      <c r="H4992" t="s">
        <v>9914</v>
      </c>
      <c r="I4992">
        <v>5635</v>
      </c>
      <c r="J4992" t="str">
        <f>VLOOKUP(E4992,DSSpieler!A:B,2,FALSE)</f>
        <v>schoefer93S</v>
      </c>
    </row>
    <row r="4993" spans="1:10" x14ac:dyDescent="0.25">
      <c r="A4993">
        <v>5636</v>
      </c>
      <c r="B4993" t="s">
        <v>32544</v>
      </c>
      <c r="C4993">
        <v>456</v>
      </c>
      <c r="D4993">
        <v>590</v>
      </c>
      <c r="E4993">
        <v>908297</v>
      </c>
      <c r="F4993">
        <v>5201</v>
      </c>
      <c r="G4993">
        <v>0</v>
      </c>
      <c r="H4993" t="s">
        <v>9915</v>
      </c>
      <c r="I4993">
        <v>5636</v>
      </c>
      <c r="J4993" t="str">
        <f>VLOOKUP(E4993,DSSpieler!A:B,2,FALSE)</f>
        <v>toni 5900</v>
      </c>
    </row>
    <row r="4994" spans="1:10" x14ac:dyDescent="0.25">
      <c r="A4994">
        <v>5637</v>
      </c>
      <c r="B4994" t="s">
        <v>32545</v>
      </c>
      <c r="C4994">
        <v>452</v>
      </c>
      <c r="D4994">
        <v>554</v>
      </c>
      <c r="E4994">
        <v>1576348420</v>
      </c>
      <c r="F4994">
        <v>3314</v>
      </c>
      <c r="G4994">
        <v>0</v>
      </c>
      <c r="H4994" t="s">
        <v>9916</v>
      </c>
      <c r="I4994">
        <v>5637</v>
      </c>
      <c r="J4994" t="str">
        <f>VLOOKUP(E4994,DSSpieler!A:B,2,FALSE)</f>
        <v>VfB-xandi</v>
      </c>
    </row>
    <row r="4995" spans="1:10" x14ac:dyDescent="0.25">
      <c r="A4995">
        <v>5638</v>
      </c>
      <c r="B4995" t="s">
        <v>32546</v>
      </c>
      <c r="C4995">
        <v>530</v>
      </c>
      <c r="D4995">
        <v>453</v>
      </c>
      <c r="E4995">
        <v>9693466</v>
      </c>
      <c r="F4995">
        <v>2913</v>
      </c>
      <c r="G4995">
        <v>0</v>
      </c>
      <c r="H4995" t="s">
        <v>9917</v>
      </c>
      <c r="I4995">
        <v>5638</v>
      </c>
      <c r="J4995" t="str">
        <f>VLOOKUP(E4995,DSSpieler!A:B,2,FALSE)</f>
        <v>LordNos</v>
      </c>
    </row>
    <row r="4996" spans="1:10" x14ac:dyDescent="0.25">
      <c r="A4996">
        <v>5639</v>
      </c>
      <c r="B4996" t="s">
        <v>531</v>
      </c>
      <c r="C4996">
        <v>513</v>
      </c>
      <c r="D4996">
        <v>534</v>
      </c>
      <c r="E4996">
        <v>0</v>
      </c>
      <c r="F4996">
        <v>266</v>
      </c>
      <c r="G4996">
        <v>0</v>
      </c>
      <c r="H4996" t="s">
        <v>9918</v>
      </c>
      <c r="I4996">
        <v>5639</v>
      </c>
      <c r="J4996" t="e">
        <f>VLOOKUP(E4996,DSSpieler!A:B,2,FALSE)</f>
        <v>#N/A</v>
      </c>
    </row>
    <row r="4997" spans="1:10" x14ac:dyDescent="0.25">
      <c r="A4997">
        <v>5640</v>
      </c>
      <c r="B4997" t="s">
        <v>32547</v>
      </c>
      <c r="C4997">
        <v>501</v>
      </c>
      <c r="D4997">
        <v>429</v>
      </c>
      <c r="E4997">
        <v>1577128825</v>
      </c>
      <c r="F4997">
        <v>5219</v>
      </c>
      <c r="G4997">
        <v>0</v>
      </c>
      <c r="H4997" t="s">
        <v>9919</v>
      </c>
      <c r="I4997">
        <v>5640</v>
      </c>
      <c r="J4997" t="str">
        <f>VLOOKUP(E4997,DSSpieler!A:B,2,FALSE)</f>
        <v>VikG</v>
      </c>
    </row>
    <row r="4998" spans="1:10" x14ac:dyDescent="0.25">
      <c r="A4998">
        <v>5642</v>
      </c>
      <c r="B4998" t="s">
        <v>698</v>
      </c>
      <c r="C4998">
        <v>515</v>
      </c>
      <c r="D4998">
        <v>568</v>
      </c>
      <c r="E4998">
        <v>8911791</v>
      </c>
      <c r="F4998">
        <v>4037</v>
      </c>
      <c r="G4998">
        <v>0</v>
      </c>
      <c r="H4998" t="s">
        <v>9920</v>
      </c>
      <c r="I4998">
        <v>5642</v>
      </c>
      <c r="J4998" t="str">
        <f>VLOOKUP(E4998,DSSpieler!A:B,2,FALSE)</f>
        <v>Azerlord</v>
      </c>
    </row>
    <row r="4999" spans="1:10" x14ac:dyDescent="0.25">
      <c r="A4999">
        <v>5643</v>
      </c>
      <c r="B4999" t="s">
        <v>31636</v>
      </c>
      <c r="C4999">
        <v>411</v>
      </c>
      <c r="D4999">
        <v>528</v>
      </c>
      <c r="E4999">
        <v>1576658322</v>
      </c>
      <c r="F4999">
        <v>6683</v>
      </c>
      <c r="G4999">
        <v>0</v>
      </c>
      <c r="H4999" t="s">
        <v>9921</v>
      </c>
      <c r="I4999">
        <v>5643</v>
      </c>
      <c r="J4999" t="str">
        <f>VLOOKUP(E4999,DSSpieler!A:B,2,FALSE)</f>
        <v>stafflv2</v>
      </c>
    </row>
    <row r="5000" spans="1:10" x14ac:dyDescent="0.25">
      <c r="A5000">
        <v>5644</v>
      </c>
      <c r="B5000" t="s">
        <v>32548</v>
      </c>
      <c r="C5000">
        <v>546</v>
      </c>
      <c r="D5000">
        <v>397</v>
      </c>
      <c r="E5000">
        <v>1576189514</v>
      </c>
      <c r="F5000">
        <v>6384</v>
      </c>
      <c r="G5000">
        <v>0</v>
      </c>
      <c r="H5000" t="s">
        <v>9922</v>
      </c>
      <c r="I5000">
        <v>5644</v>
      </c>
      <c r="J5000" t="str">
        <f>VLOOKUP(E5000,DSSpieler!A:B,2,FALSE)</f>
        <v>Skellofraktur</v>
      </c>
    </row>
    <row r="5001" spans="1:10" x14ac:dyDescent="0.25">
      <c r="A5001">
        <v>5645</v>
      </c>
      <c r="B5001" t="s">
        <v>531</v>
      </c>
      <c r="C5001">
        <v>457</v>
      </c>
      <c r="D5001">
        <v>433</v>
      </c>
      <c r="E5001">
        <v>0</v>
      </c>
      <c r="F5001">
        <v>376</v>
      </c>
      <c r="G5001">
        <v>0</v>
      </c>
      <c r="H5001" t="s">
        <v>9923</v>
      </c>
      <c r="I5001">
        <v>5645</v>
      </c>
      <c r="J5001" t="e">
        <f>VLOOKUP(E5001,DSSpieler!A:B,2,FALSE)</f>
        <v>#N/A</v>
      </c>
    </row>
    <row r="5002" spans="1:10" x14ac:dyDescent="0.25">
      <c r="A5002">
        <v>5646</v>
      </c>
      <c r="B5002" t="s">
        <v>531</v>
      </c>
      <c r="C5002">
        <v>582</v>
      </c>
      <c r="D5002">
        <v>449</v>
      </c>
      <c r="E5002">
        <v>0</v>
      </c>
      <c r="F5002">
        <v>262</v>
      </c>
      <c r="G5002">
        <v>0</v>
      </c>
      <c r="H5002" t="s">
        <v>9924</v>
      </c>
      <c r="I5002">
        <v>5646</v>
      </c>
      <c r="J5002" t="e">
        <f>VLOOKUP(E5002,DSSpieler!A:B,2,FALSE)</f>
        <v>#N/A</v>
      </c>
    </row>
    <row r="5003" spans="1:10" x14ac:dyDescent="0.25">
      <c r="A5003">
        <v>5647</v>
      </c>
      <c r="B5003" t="s">
        <v>32549</v>
      </c>
      <c r="C5003">
        <v>507</v>
      </c>
      <c r="D5003">
        <v>488</v>
      </c>
      <c r="E5003">
        <v>1576737548</v>
      </c>
      <c r="F5003">
        <v>46</v>
      </c>
      <c r="G5003">
        <v>0</v>
      </c>
      <c r="H5003" t="s">
        <v>9925</v>
      </c>
      <c r="I5003">
        <v>5647</v>
      </c>
      <c r="J5003" t="str">
        <f>VLOOKUP(E5003,DSSpieler!A:B,2,FALSE)</f>
        <v>Schallke</v>
      </c>
    </row>
    <row r="5004" spans="1:10" x14ac:dyDescent="0.25">
      <c r="A5004">
        <v>5648</v>
      </c>
      <c r="B5004" t="s">
        <v>32550</v>
      </c>
      <c r="C5004">
        <v>425</v>
      </c>
      <c r="D5004">
        <v>511</v>
      </c>
      <c r="E5004">
        <v>1576483653</v>
      </c>
      <c r="F5004">
        <v>1238</v>
      </c>
      <c r="G5004">
        <v>0</v>
      </c>
      <c r="H5004" t="s">
        <v>9926</v>
      </c>
      <c r="I5004">
        <v>5648</v>
      </c>
      <c r="J5004" t="str">
        <f>VLOOKUP(E5004,DSSpieler!A:B,2,FALSE)</f>
        <v>Kanubasti</v>
      </c>
    </row>
    <row r="5005" spans="1:10" x14ac:dyDescent="0.25">
      <c r="A5005">
        <v>5649</v>
      </c>
      <c r="B5005" t="s">
        <v>32551</v>
      </c>
      <c r="C5005">
        <v>534</v>
      </c>
      <c r="D5005">
        <v>590</v>
      </c>
      <c r="E5005">
        <v>1575951772</v>
      </c>
      <c r="F5005">
        <v>2528</v>
      </c>
      <c r="G5005">
        <v>0</v>
      </c>
      <c r="H5005" t="s">
        <v>9927</v>
      </c>
      <c r="I5005">
        <v>5649</v>
      </c>
      <c r="J5005" t="str">
        <f>VLOOKUP(E5005,DSSpieler!A:B,2,FALSE)</f>
        <v>keylll</v>
      </c>
    </row>
    <row r="5006" spans="1:10" x14ac:dyDescent="0.25">
      <c r="A5006">
        <v>5650</v>
      </c>
      <c r="B5006" t="s">
        <v>531</v>
      </c>
      <c r="C5006">
        <v>441</v>
      </c>
      <c r="D5006">
        <v>534</v>
      </c>
      <c r="E5006">
        <v>0</v>
      </c>
      <c r="F5006">
        <v>322</v>
      </c>
      <c r="G5006">
        <v>0</v>
      </c>
      <c r="H5006" t="s">
        <v>9928</v>
      </c>
      <c r="I5006">
        <v>5650</v>
      </c>
      <c r="J5006" t="e">
        <f>VLOOKUP(E5006,DSSpieler!A:B,2,FALSE)</f>
        <v>#N/A</v>
      </c>
    </row>
    <row r="5007" spans="1:10" x14ac:dyDescent="0.25">
      <c r="A5007">
        <v>5652</v>
      </c>
      <c r="B5007" t="s">
        <v>31447</v>
      </c>
      <c r="C5007">
        <v>572</v>
      </c>
      <c r="D5007">
        <v>501</v>
      </c>
      <c r="E5007">
        <v>9553782</v>
      </c>
      <c r="F5007">
        <v>6901</v>
      </c>
      <c r="G5007">
        <v>0</v>
      </c>
      <c r="H5007" t="s">
        <v>9929</v>
      </c>
      <c r="I5007">
        <v>5652</v>
      </c>
      <c r="J5007" t="str">
        <f>VLOOKUP(E5007,DSSpieler!A:B,2,FALSE)</f>
        <v>panne 1998</v>
      </c>
    </row>
    <row r="5008" spans="1:10" x14ac:dyDescent="0.25">
      <c r="A5008">
        <v>5653</v>
      </c>
      <c r="B5008" t="s">
        <v>531</v>
      </c>
      <c r="C5008">
        <v>561</v>
      </c>
      <c r="D5008">
        <v>473</v>
      </c>
      <c r="E5008">
        <v>0</v>
      </c>
      <c r="F5008">
        <v>190</v>
      </c>
      <c r="G5008">
        <v>0</v>
      </c>
      <c r="H5008" t="s">
        <v>9930</v>
      </c>
      <c r="I5008">
        <v>5653</v>
      </c>
      <c r="J5008" t="e">
        <f>VLOOKUP(E5008,DSSpieler!A:B,2,FALSE)</f>
        <v>#N/A</v>
      </c>
    </row>
    <row r="5009" spans="1:10" x14ac:dyDescent="0.25">
      <c r="A5009">
        <v>5654</v>
      </c>
      <c r="B5009" t="s">
        <v>32552</v>
      </c>
      <c r="C5009">
        <v>450</v>
      </c>
      <c r="D5009">
        <v>591</v>
      </c>
      <c r="E5009">
        <v>1576503740</v>
      </c>
      <c r="F5009">
        <v>4938</v>
      </c>
      <c r="G5009">
        <v>0</v>
      </c>
      <c r="H5009" t="s">
        <v>9931</v>
      </c>
      <c r="I5009">
        <v>5654</v>
      </c>
      <c r="J5009" t="str">
        <f>VLOOKUP(E5009,DSSpieler!A:B,2,FALSE)</f>
        <v>papa5443</v>
      </c>
    </row>
    <row r="5010" spans="1:10" x14ac:dyDescent="0.25">
      <c r="A5010">
        <v>5656</v>
      </c>
      <c r="B5010" t="s">
        <v>32553</v>
      </c>
      <c r="C5010">
        <v>420</v>
      </c>
      <c r="D5010">
        <v>504</v>
      </c>
      <c r="E5010">
        <v>1577197928</v>
      </c>
      <c r="F5010">
        <v>3898</v>
      </c>
      <c r="G5010">
        <v>0</v>
      </c>
      <c r="H5010" t="s">
        <v>9932</v>
      </c>
      <c r="I5010">
        <v>5656</v>
      </c>
      <c r="J5010" t="str">
        <f>VLOOKUP(E5010,DSSpieler!A:B,2,FALSE)</f>
        <v>Seriöses Wasser</v>
      </c>
    </row>
    <row r="5011" spans="1:10" x14ac:dyDescent="0.25">
      <c r="A5011">
        <v>5657</v>
      </c>
      <c r="B5011">
        <v>2</v>
      </c>
      <c r="C5011">
        <v>409</v>
      </c>
      <c r="D5011">
        <v>443</v>
      </c>
      <c r="E5011">
        <v>1576924717</v>
      </c>
      <c r="F5011">
        <v>4223</v>
      </c>
      <c r="G5011">
        <v>0</v>
      </c>
      <c r="H5011" t="s">
        <v>9933</v>
      </c>
      <c r="I5011">
        <v>5657</v>
      </c>
      <c r="J5011" t="str">
        <f>VLOOKUP(E5011,DSSpieler!A:B,2,FALSE)</f>
        <v>P0nza</v>
      </c>
    </row>
    <row r="5012" spans="1:10" x14ac:dyDescent="0.25">
      <c r="A5012">
        <v>5659</v>
      </c>
      <c r="B5012" t="s">
        <v>32554</v>
      </c>
      <c r="C5012">
        <v>489</v>
      </c>
      <c r="D5012">
        <v>563</v>
      </c>
      <c r="E5012">
        <v>1576469799</v>
      </c>
      <c r="F5012">
        <v>4779</v>
      </c>
      <c r="G5012">
        <v>0</v>
      </c>
      <c r="H5012" t="s">
        <v>9934</v>
      </c>
      <c r="I5012">
        <v>5659</v>
      </c>
      <c r="J5012" t="str">
        <f>VLOOKUP(E5012,DSSpieler!A:B,2,FALSE)</f>
        <v>lokderboss</v>
      </c>
    </row>
    <row r="5013" spans="1:10" x14ac:dyDescent="0.25">
      <c r="A5013">
        <v>5660</v>
      </c>
      <c r="B5013" t="s">
        <v>30649</v>
      </c>
      <c r="C5013">
        <v>505</v>
      </c>
      <c r="D5013">
        <v>533</v>
      </c>
      <c r="E5013">
        <v>9913167</v>
      </c>
      <c r="F5013">
        <v>4707</v>
      </c>
      <c r="G5013">
        <v>0</v>
      </c>
      <c r="H5013" t="s">
        <v>9935</v>
      </c>
      <c r="I5013">
        <v>5660</v>
      </c>
      <c r="J5013" t="str">
        <f>VLOOKUP(E5013,DSSpieler!A:B,2,FALSE)</f>
        <v>MkAvenger</v>
      </c>
    </row>
    <row r="5014" spans="1:10" x14ac:dyDescent="0.25">
      <c r="A5014">
        <v>5661</v>
      </c>
      <c r="B5014" t="s">
        <v>32555</v>
      </c>
      <c r="C5014">
        <v>569</v>
      </c>
      <c r="D5014">
        <v>477</v>
      </c>
      <c r="E5014">
        <v>1576795194</v>
      </c>
      <c r="F5014">
        <v>7072</v>
      </c>
      <c r="G5014">
        <v>0</v>
      </c>
      <c r="H5014" t="s">
        <v>9936</v>
      </c>
      <c r="I5014">
        <v>5661</v>
      </c>
      <c r="J5014" t="str">
        <f>VLOOKUP(E5014,DSSpieler!A:B,2,FALSE)</f>
        <v>Genshirou</v>
      </c>
    </row>
    <row r="5015" spans="1:10" x14ac:dyDescent="0.25">
      <c r="A5015">
        <v>5662</v>
      </c>
      <c r="B5015" t="s">
        <v>932</v>
      </c>
      <c r="C5015">
        <v>502</v>
      </c>
      <c r="D5015">
        <v>604</v>
      </c>
      <c r="E5015">
        <v>1577183540</v>
      </c>
      <c r="F5015">
        <v>6529</v>
      </c>
      <c r="G5015">
        <v>0</v>
      </c>
      <c r="H5015" t="s">
        <v>9937</v>
      </c>
      <c r="I5015">
        <v>5662</v>
      </c>
      <c r="J5015" t="str">
        <f>VLOOKUP(E5015,DSSpieler!A:B,2,FALSE)</f>
        <v>Kartenrand</v>
      </c>
    </row>
    <row r="5016" spans="1:10" x14ac:dyDescent="0.25">
      <c r="A5016">
        <v>5663</v>
      </c>
      <c r="B5016" t="s">
        <v>32556</v>
      </c>
      <c r="C5016">
        <v>496</v>
      </c>
      <c r="D5016">
        <v>425</v>
      </c>
      <c r="E5016">
        <v>1577152208</v>
      </c>
      <c r="F5016">
        <v>4297</v>
      </c>
      <c r="G5016">
        <v>0</v>
      </c>
      <c r="H5016" t="s">
        <v>9938</v>
      </c>
      <c r="I5016">
        <v>5663</v>
      </c>
      <c r="J5016" t="str">
        <f>VLOOKUP(E5016,DSSpieler!A:B,2,FALSE)</f>
        <v>Soulfood90</v>
      </c>
    </row>
    <row r="5017" spans="1:10" x14ac:dyDescent="0.25">
      <c r="A5017">
        <v>5664</v>
      </c>
      <c r="B5017" t="s">
        <v>531</v>
      </c>
      <c r="C5017">
        <v>557</v>
      </c>
      <c r="D5017">
        <v>496</v>
      </c>
      <c r="E5017">
        <v>0</v>
      </c>
      <c r="F5017">
        <v>209</v>
      </c>
      <c r="G5017">
        <v>0</v>
      </c>
      <c r="H5017" t="s">
        <v>9939</v>
      </c>
      <c r="I5017">
        <v>5664</v>
      </c>
      <c r="J5017" t="e">
        <f>VLOOKUP(E5017,DSSpieler!A:B,2,FALSE)</f>
        <v>#N/A</v>
      </c>
    </row>
    <row r="5018" spans="1:10" x14ac:dyDescent="0.25">
      <c r="A5018">
        <v>5665</v>
      </c>
      <c r="B5018">
        <v>3</v>
      </c>
      <c r="C5018">
        <v>423</v>
      </c>
      <c r="D5018">
        <v>480</v>
      </c>
      <c r="E5018">
        <v>1577184180</v>
      </c>
      <c r="F5018">
        <v>2230</v>
      </c>
      <c r="G5018">
        <v>0</v>
      </c>
      <c r="H5018" t="s">
        <v>9940</v>
      </c>
      <c r="I5018">
        <v>5665</v>
      </c>
      <c r="J5018" t="str">
        <f>VLOOKUP(E5018,DSSpieler!A:B,2,FALSE)</f>
        <v>Saiyuki</v>
      </c>
    </row>
    <row r="5019" spans="1:10" x14ac:dyDescent="0.25">
      <c r="A5019">
        <v>5666</v>
      </c>
      <c r="B5019" t="s">
        <v>531</v>
      </c>
      <c r="C5019">
        <v>502</v>
      </c>
      <c r="D5019">
        <v>557</v>
      </c>
      <c r="E5019">
        <v>0</v>
      </c>
      <c r="F5019">
        <v>178</v>
      </c>
      <c r="G5019">
        <v>0</v>
      </c>
      <c r="H5019" t="s">
        <v>9941</v>
      </c>
      <c r="I5019">
        <v>5666</v>
      </c>
      <c r="J5019" t="e">
        <f>VLOOKUP(E5019,DSSpieler!A:B,2,FALSE)</f>
        <v>#N/A</v>
      </c>
    </row>
    <row r="5020" spans="1:10" x14ac:dyDescent="0.25">
      <c r="A5020">
        <v>5667</v>
      </c>
      <c r="B5020" t="s">
        <v>1434</v>
      </c>
      <c r="C5020">
        <v>573</v>
      </c>
      <c r="D5020">
        <v>427</v>
      </c>
      <c r="E5020">
        <v>1576405643</v>
      </c>
      <c r="F5020">
        <v>5469</v>
      </c>
      <c r="G5020">
        <v>0</v>
      </c>
      <c r="H5020" t="s">
        <v>9942</v>
      </c>
      <c r="I5020">
        <v>5667</v>
      </c>
      <c r="J5020" t="str">
        <f>VLOOKUP(E5020,DSSpieler!A:B,2,FALSE)</f>
        <v>Kuyo04</v>
      </c>
    </row>
    <row r="5021" spans="1:10" x14ac:dyDescent="0.25">
      <c r="A5021">
        <v>5669</v>
      </c>
      <c r="B5021" t="s">
        <v>531</v>
      </c>
      <c r="C5021">
        <v>445</v>
      </c>
      <c r="D5021">
        <v>559</v>
      </c>
      <c r="E5021">
        <v>0</v>
      </c>
      <c r="F5021">
        <v>436</v>
      </c>
      <c r="G5021">
        <v>0</v>
      </c>
      <c r="H5021" t="s">
        <v>9943</v>
      </c>
      <c r="I5021">
        <v>5669</v>
      </c>
      <c r="J5021" t="e">
        <f>VLOOKUP(E5021,DSSpieler!A:B,2,FALSE)</f>
        <v>#N/A</v>
      </c>
    </row>
    <row r="5022" spans="1:10" x14ac:dyDescent="0.25">
      <c r="A5022">
        <v>5671</v>
      </c>
      <c r="B5022" t="s">
        <v>531</v>
      </c>
      <c r="C5022">
        <v>552</v>
      </c>
      <c r="D5022">
        <v>550</v>
      </c>
      <c r="E5022">
        <v>0</v>
      </c>
      <c r="F5022">
        <v>882</v>
      </c>
      <c r="G5022">
        <v>0</v>
      </c>
      <c r="H5022" t="s">
        <v>9944</v>
      </c>
      <c r="I5022">
        <v>5671</v>
      </c>
      <c r="J5022" t="e">
        <f>VLOOKUP(E5022,DSSpieler!A:B,2,FALSE)</f>
        <v>#N/A</v>
      </c>
    </row>
    <row r="5023" spans="1:10" x14ac:dyDescent="0.25">
      <c r="A5023">
        <v>5673</v>
      </c>
      <c r="B5023" t="s">
        <v>30820</v>
      </c>
      <c r="C5023">
        <v>580</v>
      </c>
      <c r="D5023">
        <v>545</v>
      </c>
      <c r="E5023">
        <v>1577178554</v>
      </c>
      <c r="F5023">
        <v>5343</v>
      </c>
      <c r="G5023">
        <v>0</v>
      </c>
      <c r="H5023" t="s">
        <v>9945</v>
      </c>
      <c r="I5023">
        <v>5673</v>
      </c>
      <c r="J5023" t="str">
        <f>VLOOKUP(E5023,DSSpieler!A:B,2,FALSE)</f>
        <v>Nicer Dude</v>
      </c>
    </row>
    <row r="5024" spans="1:10" x14ac:dyDescent="0.25">
      <c r="A5024">
        <v>5674</v>
      </c>
      <c r="B5024" t="s">
        <v>531</v>
      </c>
      <c r="C5024">
        <v>500</v>
      </c>
      <c r="D5024">
        <v>493</v>
      </c>
      <c r="E5024">
        <v>0</v>
      </c>
      <c r="F5024">
        <v>327</v>
      </c>
      <c r="G5024">
        <v>0</v>
      </c>
      <c r="H5024" t="s">
        <v>9946</v>
      </c>
      <c r="I5024">
        <v>5674</v>
      </c>
      <c r="J5024" t="e">
        <f>VLOOKUP(E5024,DSSpieler!A:B,2,FALSE)</f>
        <v>#N/A</v>
      </c>
    </row>
    <row r="5025" spans="1:10" x14ac:dyDescent="0.25">
      <c r="A5025">
        <v>5675</v>
      </c>
      <c r="B5025" t="s">
        <v>32557</v>
      </c>
      <c r="C5025">
        <v>442</v>
      </c>
      <c r="D5025">
        <v>454</v>
      </c>
      <c r="E5025">
        <v>1576477166</v>
      </c>
      <c r="F5025">
        <v>2510</v>
      </c>
      <c r="G5025">
        <v>0</v>
      </c>
      <c r="H5025" t="s">
        <v>9947</v>
      </c>
      <c r="I5025">
        <v>5675</v>
      </c>
      <c r="J5025" t="str">
        <f>VLOOKUP(E5025,DSSpieler!A:B,2,FALSE)</f>
        <v>Cataclysmus</v>
      </c>
    </row>
    <row r="5026" spans="1:10" x14ac:dyDescent="0.25">
      <c r="A5026">
        <v>5676</v>
      </c>
      <c r="B5026" t="s">
        <v>734</v>
      </c>
      <c r="C5026">
        <v>482</v>
      </c>
      <c r="D5026">
        <v>519</v>
      </c>
      <c r="E5026">
        <v>1577101723</v>
      </c>
      <c r="F5026">
        <v>5487</v>
      </c>
      <c r="G5026">
        <v>0</v>
      </c>
      <c r="H5026" t="s">
        <v>9948</v>
      </c>
      <c r="I5026">
        <v>5676</v>
      </c>
      <c r="J5026" t="str">
        <f>VLOOKUP(E5026,DSSpieler!A:B,2,FALSE)</f>
        <v>Pistol D</v>
      </c>
    </row>
    <row r="5027" spans="1:10" x14ac:dyDescent="0.25">
      <c r="A5027">
        <v>5677</v>
      </c>
      <c r="B5027" t="s">
        <v>32558</v>
      </c>
      <c r="C5027">
        <v>432</v>
      </c>
      <c r="D5027">
        <v>426</v>
      </c>
      <c r="E5027">
        <v>1577180806</v>
      </c>
      <c r="F5027">
        <v>6754</v>
      </c>
      <c r="G5027">
        <v>0</v>
      </c>
      <c r="H5027" t="s">
        <v>9949</v>
      </c>
      <c r="I5027">
        <v>5677</v>
      </c>
      <c r="J5027" t="str">
        <f>VLOOKUP(E5027,DSSpieler!A:B,2,FALSE)</f>
        <v>Jordi El Nino66</v>
      </c>
    </row>
    <row r="5028" spans="1:10" x14ac:dyDescent="0.25">
      <c r="A5028">
        <v>5678</v>
      </c>
      <c r="B5028" t="s">
        <v>32559</v>
      </c>
      <c r="C5028">
        <v>573</v>
      </c>
      <c r="D5028">
        <v>511</v>
      </c>
      <c r="E5028">
        <v>1577197931</v>
      </c>
      <c r="F5028">
        <v>5633</v>
      </c>
      <c r="G5028">
        <v>0</v>
      </c>
      <c r="H5028" t="s">
        <v>9950</v>
      </c>
      <c r="I5028">
        <v>5678</v>
      </c>
      <c r="J5028" t="str">
        <f>VLOOKUP(E5028,DSSpieler!A:B,2,FALSE)</f>
        <v>D3nGeR0uZ</v>
      </c>
    </row>
    <row r="5029" spans="1:10" x14ac:dyDescent="0.25">
      <c r="A5029">
        <v>5679</v>
      </c>
      <c r="B5029" t="s">
        <v>32560</v>
      </c>
      <c r="C5029">
        <v>558</v>
      </c>
      <c r="D5029">
        <v>526</v>
      </c>
      <c r="E5029">
        <v>1577182501</v>
      </c>
      <c r="F5029">
        <v>5450</v>
      </c>
      <c r="G5029">
        <v>0</v>
      </c>
      <c r="H5029" t="s">
        <v>9951</v>
      </c>
      <c r="I5029">
        <v>5679</v>
      </c>
      <c r="J5029" t="str">
        <f>VLOOKUP(E5029,DSSpieler!A:B,2,FALSE)</f>
        <v>Lord Traliwatsch</v>
      </c>
    </row>
    <row r="5030" spans="1:10" x14ac:dyDescent="0.25">
      <c r="A5030">
        <v>5680</v>
      </c>
      <c r="B5030" t="s">
        <v>1435</v>
      </c>
      <c r="C5030">
        <v>487</v>
      </c>
      <c r="D5030">
        <v>553</v>
      </c>
      <c r="E5030">
        <v>1577098739</v>
      </c>
      <c r="F5030">
        <v>5054</v>
      </c>
      <c r="G5030">
        <v>0</v>
      </c>
      <c r="H5030" t="s">
        <v>9952</v>
      </c>
      <c r="I5030">
        <v>5680</v>
      </c>
      <c r="J5030" t="str">
        <f>VLOOKUP(E5030,DSSpieler!A:B,2,FALSE)</f>
        <v>GrinGo</v>
      </c>
    </row>
    <row r="5031" spans="1:10" x14ac:dyDescent="0.25">
      <c r="A5031">
        <v>5682</v>
      </c>
      <c r="B5031" t="s">
        <v>32561</v>
      </c>
      <c r="C5031">
        <v>446</v>
      </c>
      <c r="D5031">
        <v>452</v>
      </c>
      <c r="E5031">
        <v>1852630</v>
      </c>
      <c r="F5031">
        <v>4829</v>
      </c>
      <c r="G5031">
        <v>0</v>
      </c>
      <c r="H5031" t="s">
        <v>9953</v>
      </c>
      <c r="I5031">
        <v>5682</v>
      </c>
      <c r="J5031" t="str">
        <f>VLOOKUP(E5031,DSSpieler!A:B,2,FALSE)</f>
        <v>playboii aus wersten</v>
      </c>
    </row>
    <row r="5032" spans="1:10" x14ac:dyDescent="0.25">
      <c r="A5032">
        <v>5683</v>
      </c>
      <c r="B5032" t="s">
        <v>32562</v>
      </c>
      <c r="C5032">
        <v>448</v>
      </c>
      <c r="D5032">
        <v>534</v>
      </c>
      <c r="E5032">
        <v>9551701</v>
      </c>
      <c r="F5032">
        <v>6921</v>
      </c>
      <c r="G5032">
        <v>0</v>
      </c>
      <c r="H5032" t="s">
        <v>9954</v>
      </c>
      <c r="I5032">
        <v>5683</v>
      </c>
      <c r="J5032" t="str">
        <f>VLOOKUP(E5032,DSSpieler!A:B,2,FALSE)</f>
        <v>OJO der Große</v>
      </c>
    </row>
    <row r="5033" spans="1:10" x14ac:dyDescent="0.25">
      <c r="A5033">
        <v>5684</v>
      </c>
      <c r="B5033" t="s">
        <v>531</v>
      </c>
      <c r="C5033">
        <v>538</v>
      </c>
      <c r="D5033">
        <v>556</v>
      </c>
      <c r="E5033">
        <v>0</v>
      </c>
      <c r="F5033">
        <v>571</v>
      </c>
      <c r="G5033">
        <v>0</v>
      </c>
      <c r="H5033" t="s">
        <v>9955</v>
      </c>
      <c r="I5033">
        <v>5684</v>
      </c>
      <c r="J5033" t="e">
        <f>VLOOKUP(E5033,DSSpieler!A:B,2,FALSE)</f>
        <v>#N/A</v>
      </c>
    </row>
    <row r="5034" spans="1:10" x14ac:dyDescent="0.25">
      <c r="A5034">
        <v>5685</v>
      </c>
      <c r="B5034" t="s">
        <v>531</v>
      </c>
      <c r="C5034">
        <v>580</v>
      </c>
      <c r="D5034">
        <v>488</v>
      </c>
      <c r="E5034">
        <v>0</v>
      </c>
      <c r="F5034">
        <v>211</v>
      </c>
      <c r="G5034">
        <v>0</v>
      </c>
      <c r="H5034" t="s">
        <v>9956</v>
      </c>
      <c r="I5034">
        <v>5685</v>
      </c>
      <c r="J5034" t="e">
        <f>VLOOKUP(E5034,DSSpieler!A:B,2,FALSE)</f>
        <v>#N/A</v>
      </c>
    </row>
    <row r="5035" spans="1:10" x14ac:dyDescent="0.25">
      <c r="A5035">
        <v>5686</v>
      </c>
      <c r="B5035" t="s">
        <v>531</v>
      </c>
      <c r="C5035">
        <v>573</v>
      </c>
      <c r="D5035">
        <v>522</v>
      </c>
      <c r="E5035">
        <v>0</v>
      </c>
      <c r="F5035">
        <v>313</v>
      </c>
      <c r="G5035">
        <v>0</v>
      </c>
      <c r="H5035" t="s">
        <v>9957</v>
      </c>
      <c r="I5035">
        <v>5686</v>
      </c>
      <c r="J5035" t="e">
        <f>VLOOKUP(E5035,DSSpieler!A:B,2,FALSE)</f>
        <v>#N/A</v>
      </c>
    </row>
    <row r="5036" spans="1:10" x14ac:dyDescent="0.25">
      <c r="A5036">
        <v>5687</v>
      </c>
      <c r="B5036" t="s">
        <v>32563</v>
      </c>
      <c r="C5036">
        <v>487</v>
      </c>
      <c r="D5036">
        <v>506</v>
      </c>
      <c r="E5036">
        <v>1576570181</v>
      </c>
      <c r="F5036">
        <v>4839</v>
      </c>
      <c r="G5036">
        <v>0</v>
      </c>
      <c r="H5036" t="s">
        <v>9958</v>
      </c>
      <c r="I5036">
        <v>5687</v>
      </c>
      <c r="J5036" t="str">
        <f>VLOOKUP(E5036,DSSpieler!A:B,2,FALSE)</f>
        <v>T y F e a T</v>
      </c>
    </row>
    <row r="5037" spans="1:10" x14ac:dyDescent="0.25">
      <c r="A5037">
        <v>5688</v>
      </c>
      <c r="B5037" t="s">
        <v>32564</v>
      </c>
      <c r="C5037">
        <v>506</v>
      </c>
      <c r="D5037">
        <v>598</v>
      </c>
      <c r="E5037">
        <v>1577114766</v>
      </c>
      <c r="F5037">
        <v>7593</v>
      </c>
      <c r="G5037">
        <v>0</v>
      </c>
      <c r="H5037" t="s">
        <v>9959</v>
      </c>
      <c r="I5037">
        <v>5688</v>
      </c>
      <c r="J5037" t="str">
        <f>VLOOKUP(E5037,DSSpieler!A:B,2,FALSE)</f>
        <v>save.maschine</v>
      </c>
    </row>
    <row r="5038" spans="1:10" x14ac:dyDescent="0.25">
      <c r="A5038">
        <v>5689</v>
      </c>
      <c r="B5038" t="s">
        <v>769</v>
      </c>
      <c r="C5038">
        <v>434</v>
      </c>
      <c r="D5038">
        <v>571</v>
      </c>
      <c r="E5038">
        <v>9841263</v>
      </c>
      <c r="F5038">
        <v>5364</v>
      </c>
      <c r="G5038">
        <v>0</v>
      </c>
      <c r="H5038" t="s">
        <v>9960</v>
      </c>
      <c r="I5038">
        <v>5689</v>
      </c>
      <c r="J5038" t="str">
        <f>VLOOKUP(E5038,DSSpieler!A:B,2,FALSE)</f>
        <v>Paimon</v>
      </c>
    </row>
    <row r="5039" spans="1:10" x14ac:dyDescent="0.25">
      <c r="A5039">
        <v>5690</v>
      </c>
      <c r="B5039" t="s">
        <v>32565</v>
      </c>
      <c r="C5039">
        <v>393</v>
      </c>
      <c r="D5039">
        <v>490</v>
      </c>
      <c r="E5039">
        <v>1576382522</v>
      </c>
      <c r="F5039">
        <v>3860</v>
      </c>
      <c r="G5039">
        <v>0</v>
      </c>
      <c r="H5039" t="s">
        <v>9961</v>
      </c>
      <c r="I5039">
        <v>5690</v>
      </c>
      <c r="J5039" t="str">
        <f>VLOOKUP(E5039,DSSpieler!A:B,2,FALSE)</f>
        <v>90sKid</v>
      </c>
    </row>
    <row r="5040" spans="1:10" x14ac:dyDescent="0.25">
      <c r="A5040">
        <v>5691</v>
      </c>
      <c r="B5040" t="s">
        <v>32566</v>
      </c>
      <c r="C5040">
        <v>566</v>
      </c>
      <c r="D5040">
        <v>521</v>
      </c>
      <c r="E5040">
        <v>1577162617</v>
      </c>
      <c r="F5040">
        <v>5225</v>
      </c>
      <c r="G5040">
        <v>0</v>
      </c>
      <c r="H5040" t="s">
        <v>9962</v>
      </c>
      <c r="I5040">
        <v>5691</v>
      </c>
      <c r="J5040" t="str">
        <f>VLOOKUP(E5040,DSSpieler!A:B,2,FALSE)</f>
        <v>-FinnTheHuman*</v>
      </c>
    </row>
    <row r="5041" spans="1:10" x14ac:dyDescent="0.25">
      <c r="A5041">
        <v>5693</v>
      </c>
      <c r="B5041" t="s">
        <v>531</v>
      </c>
      <c r="C5041">
        <v>541</v>
      </c>
      <c r="D5041">
        <v>564</v>
      </c>
      <c r="E5041">
        <v>0</v>
      </c>
      <c r="F5041">
        <v>160</v>
      </c>
      <c r="G5041">
        <v>0</v>
      </c>
      <c r="H5041" t="s">
        <v>9963</v>
      </c>
      <c r="I5041">
        <v>5693</v>
      </c>
      <c r="J5041" t="e">
        <f>VLOOKUP(E5041,DSSpieler!A:B,2,FALSE)</f>
        <v>#N/A</v>
      </c>
    </row>
    <row r="5042" spans="1:10" x14ac:dyDescent="0.25">
      <c r="A5042">
        <v>5694</v>
      </c>
      <c r="B5042" t="s">
        <v>32567</v>
      </c>
      <c r="C5042">
        <v>569</v>
      </c>
      <c r="D5042">
        <v>478</v>
      </c>
      <c r="E5042">
        <v>1576888271</v>
      </c>
      <c r="F5042">
        <v>5421</v>
      </c>
      <c r="G5042">
        <v>0</v>
      </c>
      <c r="H5042" t="s">
        <v>9964</v>
      </c>
      <c r="I5042">
        <v>5694</v>
      </c>
      <c r="J5042" t="str">
        <f>VLOOKUP(E5042,DSSpieler!A:B,2,FALSE)</f>
        <v>ExiiL</v>
      </c>
    </row>
    <row r="5043" spans="1:10" x14ac:dyDescent="0.25">
      <c r="A5043">
        <v>5696</v>
      </c>
      <c r="B5043" t="s">
        <v>32568</v>
      </c>
      <c r="C5043">
        <v>531</v>
      </c>
      <c r="D5043">
        <v>409</v>
      </c>
      <c r="E5043">
        <v>1577131626</v>
      </c>
      <c r="F5043">
        <v>5145</v>
      </c>
      <c r="G5043">
        <v>0</v>
      </c>
      <c r="H5043" t="s">
        <v>9965</v>
      </c>
      <c r="I5043">
        <v>5696</v>
      </c>
      <c r="J5043" t="str">
        <f>VLOOKUP(E5043,DSSpieler!A:B,2,FALSE)</f>
        <v>sins</v>
      </c>
    </row>
    <row r="5044" spans="1:10" x14ac:dyDescent="0.25">
      <c r="A5044">
        <v>5697</v>
      </c>
      <c r="B5044" t="s">
        <v>31687</v>
      </c>
      <c r="C5044">
        <v>481</v>
      </c>
      <c r="D5044">
        <v>567</v>
      </c>
      <c r="E5044">
        <v>1576996406</v>
      </c>
      <c r="F5044">
        <v>5821</v>
      </c>
      <c r="G5044">
        <v>0</v>
      </c>
      <c r="H5044" t="s">
        <v>9966</v>
      </c>
      <c r="I5044">
        <v>5697</v>
      </c>
      <c r="J5044" t="str">
        <f>VLOOKUP(E5044,DSSpieler!A:B,2,FALSE)</f>
        <v>clownsq</v>
      </c>
    </row>
    <row r="5045" spans="1:10" x14ac:dyDescent="0.25">
      <c r="A5045">
        <v>5698</v>
      </c>
      <c r="B5045">
        <v>5</v>
      </c>
      <c r="C5045">
        <v>495</v>
      </c>
      <c r="D5045">
        <v>427</v>
      </c>
      <c r="E5045">
        <v>1041015</v>
      </c>
      <c r="F5045">
        <v>5816</v>
      </c>
      <c r="G5045">
        <v>0</v>
      </c>
      <c r="H5045" t="s">
        <v>9967</v>
      </c>
      <c r="I5045">
        <v>5698</v>
      </c>
      <c r="J5045" t="str">
        <f>VLOOKUP(E5045,DSSpieler!A:B,2,FALSE)</f>
        <v>Messi11</v>
      </c>
    </row>
    <row r="5046" spans="1:10" x14ac:dyDescent="0.25">
      <c r="A5046">
        <v>5700</v>
      </c>
      <c r="B5046" t="s">
        <v>32569</v>
      </c>
      <c r="C5046">
        <v>393</v>
      </c>
      <c r="D5046">
        <v>491</v>
      </c>
      <c r="E5046">
        <v>1576699542</v>
      </c>
      <c r="F5046">
        <v>5158</v>
      </c>
      <c r="G5046">
        <v>0</v>
      </c>
      <c r="H5046" t="s">
        <v>9968</v>
      </c>
      <c r="I5046">
        <v>5700</v>
      </c>
      <c r="J5046" t="str">
        <f>VLOOKUP(E5046,DSSpieler!A:B,2,FALSE)</f>
        <v>Froztea</v>
      </c>
    </row>
    <row r="5047" spans="1:10" x14ac:dyDescent="0.25">
      <c r="A5047">
        <v>5703</v>
      </c>
      <c r="B5047" t="s">
        <v>531</v>
      </c>
      <c r="C5047">
        <v>532</v>
      </c>
      <c r="D5047">
        <v>533</v>
      </c>
      <c r="E5047">
        <v>0</v>
      </c>
      <c r="F5047">
        <v>442</v>
      </c>
      <c r="G5047">
        <v>0</v>
      </c>
      <c r="H5047" t="s">
        <v>9969</v>
      </c>
      <c r="I5047">
        <v>5703</v>
      </c>
      <c r="J5047" t="e">
        <f>VLOOKUP(E5047,DSSpieler!A:B,2,FALSE)</f>
        <v>#N/A</v>
      </c>
    </row>
    <row r="5048" spans="1:10" x14ac:dyDescent="0.25">
      <c r="A5048">
        <v>5705</v>
      </c>
      <c r="B5048" t="s">
        <v>32570</v>
      </c>
      <c r="C5048">
        <v>402</v>
      </c>
      <c r="D5048">
        <v>482</v>
      </c>
      <c r="E5048">
        <v>10025340</v>
      </c>
      <c r="F5048">
        <v>5828</v>
      </c>
      <c r="G5048">
        <v>0</v>
      </c>
      <c r="H5048" t="s">
        <v>9970</v>
      </c>
      <c r="I5048">
        <v>5705</v>
      </c>
      <c r="J5048" t="str">
        <f>VLOOKUP(E5048,DSSpieler!A:B,2,FALSE)</f>
        <v>Bambus-Mensch</v>
      </c>
    </row>
    <row r="5049" spans="1:10" x14ac:dyDescent="0.25">
      <c r="A5049">
        <v>5708</v>
      </c>
      <c r="B5049" t="s">
        <v>31129</v>
      </c>
      <c r="C5049">
        <v>537</v>
      </c>
      <c r="D5049">
        <v>544</v>
      </c>
      <c r="E5049">
        <v>1577180455</v>
      </c>
      <c r="F5049">
        <v>6601</v>
      </c>
      <c r="G5049">
        <v>0</v>
      </c>
      <c r="H5049" t="s">
        <v>9971</v>
      </c>
      <c r="I5049">
        <v>5708</v>
      </c>
      <c r="J5049" t="str">
        <f>VLOOKUP(E5049,DSSpieler!A:B,2,FALSE)</f>
        <v>Wondy</v>
      </c>
    </row>
    <row r="5050" spans="1:10" x14ac:dyDescent="0.25">
      <c r="A5050">
        <v>5709</v>
      </c>
      <c r="B5050" t="s">
        <v>1436</v>
      </c>
      <c r="C5050">
        <v>449</v>
      </c>
      <c r="D5050">
        <v>507</v>
      </c>
      <c r="E5050">
        <v>1576870901</v>
      </c>
      <c r="F5050">
        <v>7949</v>
      </c>
      <c r="G5050">
        <v>0</v>
      </c>
      <c r="H5050" t="s">
        <v>9972</v>
      </c>
      <c r="I5050">
        <v>5709</v>
      </c>
      <c r="J5050" t="str">
        <f>VLOOKUP(E5050,DSSpieler!A:B,2,FALSE)</f>
        <v>I C A R U S</v>
      </c>
    </row>
    <row r="5051" spans="1:10" x14ac:dyDescent="0.25">
      <c r="A5051">
        <v>5710</v>
      </c>
      <c r="B5051" t="s">
        <v>531</v>
      </c>
      <c r="C5051">
        <v>441</v>
      </c>
      <c r="D5051">
        <v>482</v>
      </c>
      <c r="E5051">
        <v>0</v>
      </c>
      <c r="F5051">
        <v>286</v>
      </c>
      <c r="G5051">
        <v>0</v>
      </c>
      <c r="H5051" t="s">
        <v>9973</v>
      </c>
      <c r="I5051">
        <v>5710</v>
      </c>
      <c r="J5051" t="e">
        <f>VLOOKUP(E5051,DSSpieler!A:B,2,FALSE)</f>
        <v>#N/A</v>
      </c>
    </row>
    <row r="5052" spans="1:10" x14ac:dyDescent="0.25">
      <c r="A5052">
        <v>5711</v>
      </c>
      <c r="B5052" t="s">
        <v>32571</v>
      </c>
      <c r="C5052">
        <v>581</v>
      </c>
      <c r="D5052">
        <v>458</v>
      </c>
      <c r="E5052">
        <v>1577172923</v>
      </c>
      <c r="F5052">
        <v>4554</v>
      </c>
      <c r="G5052">
        <v>0</v>
      </c>
      <c r="H5052" t="s">
        <v>9974</v>
      </c>
      <c r="I5052">
        <v>5711</v>
      </c>
      <c r="J5052" t="str">
        <f>VLOOKUP(E5052,DSSpieler!A:B,2,FALSE)</f>
        <v>Kemperatze</v>
      </c>
    </row>
    <row r="5053" spans="1:10" x14ac:dyDescent="0.25">
      <c r="A5053">
        <v>5713</v>
      </c>
      <c r="B5053" t="s">
        <v>593</v>
      </c>
      <c r="C5053">
        <v>432</v>
      </c>
      <c r="D5053">
        <v>566</v>
      </c>
      <c r="E5053">
        <v>1481312</v>
      </c>
      <c r="F5053">
        <v>4528</v>
      </c>
      <c r="G5053">
        <v>0</v>
      </c>
      <c r="H5053" t="s">
        <v>9975</v>
      </c>
      <c r="I5053">
        <v>5713</v>
      </c>
      <c r="J5053" t="str">
        <f>VLOOKUP(E5053,DSSpieler!A:B,2,FALSE)</f>
        <v>Pipimanns</v>
      </c>
    </row>
    <row r="5054" spans="1:10" x14ac:dyDescent="0.25">
      <c r="A5054">
        <v>5714</v>
      </c>
      <c r="B5054" t="s">
        <v>1437</v>
      </c>
      <c r="C5054">
        <v>549</v>
      </c>
      <c r="D5054">
        <v>478</v>
      </c>
      <c r="E5054">
        <v>8295473</v>
      </c>
      <c r="F5054">
        <v>2630</v>
      </c>
      <c r="G5054">
        <v>0</v>
      </c>
      <c r="H5054" t="s">
        <v>9976</v>
      </c>
      <c r="I5054">
        <v>5714</v>
      </c>
      <c r="J5054" t="str">
        <f>VLOOKUP(E5054,DSSpieler!A:B,2,FALSE)</f>
        <v>huberni</v>
      </c>
    </row>
    <row r="5055" spans="1:10" x14ac:dyDescent="0.25">
      <c r="A5055">
        <v>5715</v>
      </c>
      <c r="B5055" t="s">
        <v>531</v>
      </c>
      <c r="C5055">
        <v>485</v>
      </c>
      <c r="D5055">
        <v>568</v>
      </c>
      <c r="E5055">
        <v>0</v>
      </c>
      <c r="F5055">
        <v>367</v>
      </c>
      <c r="G5055">
        <v>0</v>
      </c>
      <c r="H5055" t="s">
        <v>9977</v>
      </c>
      <c r="I5055">
        <v>5715</v>
      </c>
      <c r="J5055" t="e">
        <f>VLOOKUP(E5055,DSSpieler!A:B,2,FALSE)</f>
        <v>#N/A</v>
      </c>
    </row>
    <row r="5056" spans="1:10" x14ac:dyDescent="0.25">
      <c r="A5056">
        <v>5716</v>
      </c>
      <c r="B5056" t="s">
        <v>531</v>
      </c>
      <c r="C5056">
        <v>520</v>
      </c>
      <c r="D5056">
        <v>562</v>
      </c>
      <c r="E5056">
        <v>0</v>
      </c>
      <c r="F5056">
        <v>366</v>
      </c>
      <c r="G5056">
        <v>0</v>
      </c>
      <c r="H5056" t="s">
        <v>9978</v>
      </c>
      <c r="I5056">
        <v>5716</v>
      </c>
      <c r="J5056" t="e">
        <f>VLOOKUP(E5056,DSSpieler!A:B,2,FALSE)</f>
        <v>#N/A</v>
      </c>
    </row>
    <row r="5057" spans="1:10" x14ac:dyDescent="0.25">
      <c r="A5057">
        <v>5717</v>
      </c>
      <c r="B5057" t="s">
        <v>531</v>
      </c>
      <c r="C5057">
        <v>537</v>
      </c>
      <c r="D5057">
        <v>463</v>
      </c>
      <c r="E5057">
        <v>0</v>
      </c>
      <c r="F5057">
        <v>435</v>
      </c>
      <c r="G5057">
        <v>0</v>
      </c>
      <c r="H5057" t="s">
        <v>9979</v>
      </c>
      <c r="I5057">
        <v>5717</v>
      </c>
      <c r="J5057" t="e">
        <f>VLOOKUP(E5057,DSSpieler!A:B,2,FALSE)</f>
        <v>#N/A</v>
      </c>
    </row>
    <row r="5058" spans="1:10" x14ac:dyDescent="0.25">
      <c r="A5058">
        <v>5718</v>
      </c>
      <c r="B5058" t="s">
        <v>531</v>
      </c>
      <c r="C5058">
        <v>516</v>
      </c>
      <c r="D5058">
        <v>547</v>
      </c>
      <c r="E5058">
        <v>0</v>
      </c>
      <c r="F5058">
        <v>545</v>
      </c>
      <c r="G5058">
        <v>0</v>
      </c>
      <c r="H5058" t="s">
        <v>9980</v>
      </c>
      <c r="I5058">
        <v>5718</v>
      </c>
      <c r="J5058" t="e">
        <f>VLOOKUP(E5058,DSSpieler!A:B,2,FALSE)</f>
        <v>#N/A</v>
      </c>
    </row>
    <row r="5059" spans="1:10" x14ac:dyDescent="0.25">
      <c r="A5059">
        <v>5719</v>
      </c>
      <c r="B5059" t="s">
        <v>1438</v>
      </c>
      <c r="C5059">
        <v>444</v>
      </c>
      <c r="D5059">
        <v>414</v>
      </c>
      <c r="E5059">
        <v>1577183207</v>
      </c>
      <c r="F5059">
        <v>5139</v>
      </c>
      <c r="G5059">
        <v>0</v>
      </c>
      <c r="H5059" t="s">
        <v>9981</v>
      </c>
      <c r="I5059">
        <v>5719</v>
      </c>
      <c r="J5059" t="str">
        <f>VLOOKUP(E5059,DSSpieler!A:B,2,FALSE)</f>
        <v>dubfried</v>
      </c>
    </row>
    <row r="5060" spans="1:10" x14ac:dyDescent="0.25">
      <c r="A5060">
        <v>5720</v>
      </c>
      <c r="B5060" t="s">
        <v>539</v>
      </c>
      <c r="C5060">
        <v>610</v>
      </c>
      <c r="D5060">
        <v>486</v>
      </c>
      <c r="E5060">
        <v>1577197528</v>
      </c>
      <c r="F5060">
        <v>5715</v>
      </c>
      <c r="G5060">
        <v>0</v>
      </c>
      <c r="H5060" t="s">
        <v>9982</v>
      </c>
      <c r="I5060">
        <v>5720</v>
      </c>
      <c r="J5060" t="str">
        <f>VLOOKUP(E5060,DSSpieler!A:B,2,FALSE)</f>
        <v>Schwarzwälderkirschtorte</v>
      </c>
    </row>
    <row r="5061" spans="1:10" x14ac:dyDescent="0.25">
      <c r="A5061">
        <v>5721</v>
      </c>
      <c r="B5061" t="s">
        <v>32572</v>
      </c>
      <c r="C5061">
        <v>606</v>
      </c>
      <c r="D5061">
        <v>512</v>
      </c>
      <c r="E5061">
        <v>8741798</v>
      </c>
      <c r="F5061">
        <v>5474</v>
      </c>
      <c r="G5061">
        <v>0</v>
      </c>
      <c r="H5061" t="s">
        <v>9983</v>
      </c>
      <c r="I5061">
        <v>5721</v>
      </c>
      <c r="J5061" t="str">
        <f>VLOOKUP(E5061,DSSpieler!A:B,2,FALSE)</f>
        <v>Schlumpfinchen</v>
      </c>
    </row>
    <row r="5062" spans="1:10" x14ac:dyDescent="0.25">
      <c r="A5062">
        <v>5722</v>
      </c>
      <c r="B5062" t="s">
        <v>32573</v>
      </c>
      <c r="C5062">
        <v>423</v>
      </c>
      <c r="D5062">
        <v>526</v>
      </c>
      <c r="E5062">
        <v>9790630</v>
      </c>
      <c r="F5062">
        <v>3572</v>
      </c>
      <c r="G5062">
        <v>0</v>
      </c>
      <c r="H5062" t="s">
        <v>9984</v>
      </c>
      <c r="I5062">
        <v>5722</v>
      </c>
      <c r="J5062" t="str">
        <f>VLOOKUP(E5062,DSSpieler!A:B,2,FALSE)</f>
        <v>l22lBandito</v>
      </c>
    </row>
    <row r="5063" spans="1:10" x14ac:dyDescent="0.25">
      <c r="A5063">
        <v>5723</v>
      </c>
      <c r="B5063" t="s">
        <v>531</v>
      </c>
      <c r="C5063">
        <v>496</v>
      </c>
      <c r="D5063">
        <v>507</v>
      </c>
      <c r="E5063">
        <v>0</v>
      </c>
      <c r="F5063">
        <v>271</v>
      </c>
      <c r="G5063">
        <v>0</v>
      </c>
      <c r="H5063" t="s">
        <v>9985</v>
      </c>
      <c r="I5063">
        <v>5723</v>
      </c>
      <c r="J5063" t="e">
        <f>VLOOKUP(E5063,DSSpieler!A:B,2,FALSE)</f>
        <v>#N/A</v>
      </c>
    </row>
    <row r="5064" spans="1:10" x14ac:dyDescent="0.25">
      <c r="A5064">
        <v>5724</v>
      </c>
      <c r="B5064" t="s">
        <v>32574</v>
      </c>
      <c r="C5064">
        <v>517</v>
      </c>
      <c r="D5064">
        <v>400</v>
      </c>
      <c r="E5064">
        <v>1577169844</v>
      </c>
      <c r="F5064">
        <v>4449</v>
      </c>
      <c r="G5064">
        <v>0</v>
      </c>
      <c r="H5064" t="s">
        <v>9986</v>
      </c>
      <c r="I5064">
        <v>5724</v>
      </c>
      <c r="J5064" t="str">
        <f>VLOOKUP(E5064,DSSpieler!A:B,2,FALSE)</f>
        <v>knight0014</v>
      </c>
    </row>
    <row r="5065" spans="1:10" x14ac:dyDescent="0.25">
      <c r="A5065">
        <v>5725</v>
      </c>
      <c r="B5065" t="s">
        <v>1439</v>
      </c>
      <c r="C5065">
        <v>601</v>
      </c>
      <c r="D5065">
        <v>464</v>
      </c>
      <c r="E5065">
        <v>1577127316</v>
      </c>
      <c r="F5065">
        <v>4521</v>
      </c>
      <c r="G5065">
        <v>0</v>
      </c>
      <c r="H5065" t="s">
        <v>9987</v>
      </c>
      <c r="I5065">
        <v>5725</v>
      </c>
      <c r="J5065" t="str">
        <f>VLOOKUP(E5065,DSSpieler!A:B,2,FALSE)</f>
        <v>Störtebeker I.</v>
      </c>
    </row>
    <row r="5066" spans="1:10" x14ac:dyDescent="0.25">
      <c r="A5066">
        <v>5727</v>
      </c>
      <c r="B5066">
        <v>4</v>
      </c>
      <c r="C5066">
        <v>457</v>
      </c>
      <c r="D5066">
        <v>441</v>
      </c>
      <c r="E5066">
        <v>7935427</v>
      </c>
      <c r="F5066">
        <v>6008</v>
      </c>
      <c r="G5066">
        <v>0</v>
      </c>
      <c r="H5066" t="s">
        <v>9988</v>
      </c>
      <c r="I5066">
        <v>5727</v>
      </c>
      <c r="J5066" t="str">
        <f>VLOOKUP(E5066,DSSpieler!A:B,2,FALSE)</f>
        <v>-Eroberer-</v>
      </c>
    </row>
    <row r="5067" spans="1:10" x14ac:dyDescent="0.25">
      <c r="A5067">
        <v>5728</v>
      </c>
      <c r="B5067" t="s">
        <v>613</v>
      </c>
      <c r="C5067">
        <v>547</v>
      </c>
      <c r="D5067">
        <v>510</v>
      </c>
      <c r="E5067">
        <v>1577179568</v>
      </c>
      <c r="F5067">
        <v>4439</v>
      </c>
      <c r="G5067">
        <v>0</v>
      </c>
      <c r="H5067" t="s">
        <v>9989</v>
      </c>
      <c r="I5067">
        <v>5728</v>
      </c>
      <c r="J5067" t="str">
        <f>VLOOKUP(E5067,DSSpieler!A:B,2,FALSE)</f>
        <v>Bienhardson</v>
      </c>
    </row>
    <row r="5068" spans="1:10" x14ac:dyDescent="0.25">
      <c r="A5068">
        <v>5729</v>
      </c>
      <c r="B5068" t="s">
        <v>32575</v>
      </c>
      <c r="C5068">
        <v>465</v>
      </c>
      <c r="D5068">
        <v>441</v>
      </c>
      <c r="E5068">
        <v>1577119536</v>
      </c>
      <c r="F5068">
        <v>2766</v>
      </c>
      <c r="G5068">
        <v>0</v>
      </c>
      <c r="H5068" t="s">
        <v>9990</v>
      </c>
      <c r="I5068">
        <v>5729</v>
      </c>
      <c r="J5068" t="str">
        <f>VLOOKUP(E5068,DSSpieler!A:B,2,FALSE)</f>
        <v>xihu</v>
      </c>
    </row>
    <row r="5069" spans="1:10" x14ac:dyDescent="0.25">
      <c r="A5069">
        <v>5730</v>
      </c>
      <c r="B5069" t="s">
        <v>32576</v>
      </c>
      <c r="C5069">
        <v>549</v>
      </c>
      <c r="D5069">
        <v>552</v>
      </c>
      <c r="E5069">
        <v>372778</v>
      </c>
      <c r="F5069">
        <v>5321</v>
      </c>
      <c r="G5069">
        <v>0</v>
      </c>
      <c r="H5069" t="s">
        <v>9991</v>
      </c>
      <c r="I5069">
        <v>5730</v>
      </c>
      <c r="J5069" t="str">
        <f>VLOOKUP(E5069,DSSpieler!A:B,2,FALSE)</f>
        <v>Metanman</v>
      </c>
    </row>
    <row r="5070" spans="1:10" x14ac:dyDescent="0.25">
      <c r="A5070">
        <v>5732</v>
      </c>
      <c r="B5070" t="s">
        <v>32577</v>
      </c>
      <c r="C5070">
        <v>555</v>
      </c>
      <c r="D5070">
        <v>577</v>
      </c>
      <c r="E5070">
        <v>1576064169</v>
      </c>
      <c r="F5070">
        <v>4301</v>
      </c>
      <c r="G5070">
        <v>0</v>
      </c>
      <c r="H5070" t="s">
        <v>9992</v>
      </c>
      <c r="I5070">
        <v>5732</v>
      </c>
      <c r="J5070" t="str">
        <f>VLOOKUP(E5070,DSSpieler!A:B,2,FALSE)</f>
        <v>MySkillNoSkill</v>
      </c>
    </row>
    <row r="5071" spans="1:10" x14ac:dyDescent="0.25">
      <c r="A5071">
        <v>5734</v>
      </c>
      <c r="B5071" t="s">
        <v>531</v>
      </c>
      <c r="C5071">
        <v>487</v>
      </c>
      <c r="D5071">
        <v>486</v>
      </c>
      <c r="E5071">
        <v>0</v>
      </c>
      <c r="F5071">
        <v>321</v>
      </c>
      <c r="G5071">
        <v>0</v>
      </c>
      <c r="H5071" t="s">
        <v>9993</v>
      </c>
      <c r="I5071">
        <v>5734</v>
      </c>
      <c r="J5071" t="e">
        <f>VLOOKUP(E5071,DSSpieler!A:B,2,FALSE)</f>
        <v>#N/A</v>
      </c>
    </row>
    <row r="5072" spans="1:10" x14ac:dyDescent="0.25">
      <c r="A5072">
        <v>5735</v>
      </c>
      <c r="B5072" t="s">
        <v>32578</v>
      </c>
      <c r="C5072">
        <v>502</v>
      </c>
      <c r="D5072">
        <v>484</v>
      </c>
      <c r="E5072">
        <v>1577190247</v>
      </c>
      <c r="F5072">
        <v>5520</v>
      </c>
      <c r="G5072">
        <v>0</v>
      </c>
      <c r="H5072" t="s">
        <v>9994</v>
      </c>
      <c r="I5072">
        <v>5735</v>
      </c>
      <c r="J5072" t="str">
        <f>VLOOKUP(E5072,DSSpieler!A:B,2,FALSE)</f>
        <v>mikrolai</v>
      </c>
    </row>
    <row r="5073" spans="1:10" x14ac:dyDescent="0.25">
      <c r="A5073">
        <v>5736</v>
      </c>
      <c r="B5073">
        <v>1</v>
      </c>
      <c r="C5073">
        <v>476</v>
      </c>
      <c r="D5073">
        <v>494</v>
      </c>
      <c r="E5073">
        <v>1577142959</v>
      </c>
      <c r="F5073">
        <v>6413</v>
      </c>
      <c r="G5073">
        <v>0</v>
      </c>
      <c r="H5073" t="s">
        <v>9995</v>
      </c>
      <c r="I5073">
        <v>5736</v>
      </c>
      <c r="J5073" t="str">
        <f>VLOOKUP(E5073,DSSpieler!A:B,2,FALSE)</f>
        <v>lxmk</v>
      </c>
    </row>
    <row r="5074" spans="1:10" x14ac:dyDescent="0.25">
      <c r="A5074">
        <v>5738</v>
      </c>
      <c r="B5074" t="s">
        <v>531</v>
      </c>
      <c r="C5074">
        <v>460</v>
      </c>
      <c r="D5074">
        <v>434</v>
      </c>
      <c r="E5074">
        <v>0</v>
      </c>
      <c r="F5074">
        <v>760</v>
      </c>
      <c r="G5074">
        <v>0</v>
      </c>
      <c r="H5074" t="s">
        <v>9996</v>
      </c>
      <c r="I5074">
        <v>5738</v>
      </c>
      <c r="J5074" t="e">
        <f>VLOOKUP(E5074,DSSpieler!A:B,2,FALSE)</f>
        <v>#N/A</v>
      </c>
    </row>
    <row r="5075" spans="1:10" x14ac:dyDescent="0.25">
      <c r="A5075">
        <v>5739</v>
      </c>
      <c r="B5075" t="s">
        <v>1440</v>
      </c>
      <c r="C5075">
        <v>427</v>
      </c>
      <c r="D5075">
        <v>518</v>
      </c>
      <c r="E5075">
        <v>1576964247</v>
      </c>
      <c r="F5075">
        <v>6188</v>
      </c>
      <c r="G5075">
        <v>0</v>
      </c>
      <c r="H5075" t="s">
        <v>9997</v>
      </c>
      <c r="I5075">
        <v>5739</v>
      </c>
      <c r="J5075" t="str">
        <f>VLOOKUP(E5075,DSSpieler!A:B,2,FALSE)</f>
        <v>xRollstuhlcowboy</v>
      </c>
    </row>
    <row r="5076" spans="1:10" x14ac:dyDescent="0.25">
      <c r="A5076">
        <v>5740</v>
      </c>
      <c r="B5076" t="s">
        <v>546</v>
      </c>
      <c r="C5076">
        <v>497</v>
      </c>
      <c r="D5076">
        <v>445</v>
      </c>
      <c r="E5076">
        <v>1576977795</v>
      </c>
      <c r="F5076">
        <v>5281</v>
      </c>
      <c r="G5076">
        <v>0</v>
      </c>
      <c r="H5076" t="s">
        <v>9998</v>
      </c>
      <c r="I5076">
        <v>5740</v>
      </c>
      <c r="J5076" t="str">
        <f>VLOOKUP(E5076,DSSpieler!A:B,2,FALSE)</f>
        <v>-0815-</v>
      </c>
    </row>
    <row r="5077" spans="1:10" x14ac:dyDescent="0.25">
      <c r="A5077">
        <v>5741</v>
      </c>
      <c r="B5077" t="s">
        <v>531</v>
      </c>
      <c r="C5077">
        <v>542</v>
      </c>
      <c r="D5077">
        <v>530</v>
      </c>
      <c r="E5077">
        <v>0</v>
      </c>
      <c r="F5077">
        <v>328</v>
      </c>
      <c r="G5077">
        <v>0</v>
      </c>
      <c r="H5077" t="s">
        <v>9999</v>
      </c>
      <c r="I5077">
        <v>5741</v>
      </c>
      <c r="J5077" t="e">
        <f>VLOOKUP(E5077,DSSpieler!A:B,2,FALSE)</f>
        <v>#N/A</v>
      </c>
    </row>
    <row r="5078" spans="1:10" x14ac:dyDescent="0.25">
      <c r="A5078">
        <v>5742</v>
      </c>
      <c r="B5078" t="s">
        <v>1135</v>
      </c>
      <c r="C5078">
        <v>440</v>
      </c>
      <c r="D5078">
        <v>483</v>
      </c>
      <c r="E5078">
        <v>1577196682</v>
      </c>
      <c r="F5078">
        <v>5114</v>
      </c>
      <c r="G5078">
        <v>0</v>
      </c>
      <c r="H5078" t="s">
        <v>10000</v>
      </c>
      <c r="I5078">
        <v>5742</v>
      </c>
      <c r="J5078" t="str">
        <f>VLOOKUP(E5078,DSSpieler!A:B,2,FALSE)</f>
        <v>schonbesser</v>
      </c>
    </row>
    <row r="5079" spans="1:10" x14ac:dyDescent="0.25">
      <c r="A5079">
        <v>5743</v>
      </c>
      <c r="B5079" t="s">
        <v>531</v>
      </c>
      <c r="C5079">
        <v>540</v>
      </c>
      <c r="D5079">
        <v>522</v>
      </c>
      <c r="E5079">
        <v>0</v>
      </c>
      <c r="F5079">
        <v>918</v>
      </c>
      <c r="G5079">
        <v>0</v>
      </c>
      <c r="H5079" t="s">
        <v>10001</v>
      </c>
      <c r="I5079">
        <v>5743</v>
      </c>
      <c r="J5079" t="e">
        <f>VLOOKUP(E5079,DSSpieler!A:B,2,FALSE)</f>
        <v>#N/A</v>
      </c>
    </row>
    <row r="5080" spans="1:10" x14ac:dyDescent="0.25">
      <c r="A5080">
        <v>5744</v>
      </c>
      <c r="B5080" t="s">
        <v>32579</v>
      </c>
      <c r="C5080">
        <v>508</v>
      </c>
      <c r="D5080">
        <v>558</v>
      </c>
      <c r="E5080">
        <v>1577017123</v>
      </c>
      <c r="F5080">
        <v>2492</v>
      </c>
      <c r="G5080">
        <v>0</v>
      </c>
      <c r="H5080" t="s">
        <v>10002</v>
      </c>
      <c r="I5080">
        <v>5744</v>
      </c>
      <c r="J5080" t="str">
        <f>VLOOKUP(E5080,DSSpieler!A:B,2,FALSE)</f>
        <v>Kleine Hexe123</v>
      </c>
    </row>
    <row r="5081" spans="1:10" x14ac:dyDescent="0.25">
      <c r="A5081">
        <v>5745</v>
      </c>
      <c r="B5081" t="s">
        <v>531</v>
      </c>
      <c r="C5081">
        <v>505</v>
      </c>
      <c r="D5081">
        <v>496</v>
      </c>
      <c r="E5081">
        <v>0</v>
      </c>
      <c r="F5081">
        <v>116</v>
      </c>
      <c r="G5081">
        <v>0</v>
      </c>
      <c r="H5081" t="s">
        <v>10003</v>
      </c>
      <c r="I5081">
        <v>5745</v>
      </c>
      <c r="J5081" t="e">
        <f>VLOOKUP(E5081,DSSpieler!A:B,2,FALSE)</f>
        <v>#N/A</v>
      </c>
    </row>
    <row r="5082" spans="1:10" x14ac:dyDescent="0.25">
      <c r="A5082">
        <v>5746</v>
      </c>
      <c r="B5082" t="s">
        <v>531</v>
      </c>
      <c r="C5082">
        <v>484</v>
      </c>
      <c r="D5082">
        <v>509</v>
      </c>
      <c r="E5082">
        <v>0</v>
      </c>
      <c r="F5082">
        <v>720</v>
      </c>
      <c r="G5082">
        <v>0</v>
      </c>
      <c r="H5082" t="s">
        <v>10004</v>
      </c>
      <c r="I5082">
        <v>5746</v>
      </c>
      <c r="J5082" t="e">
        <f>VLOOKUP(E5082,DSSpieler!A:B,2,FALSE)</f>
        <v>#N/A</v>
      </c>
    </row>
    <row r="5083" spans="1:10" x14ac:dyDescent="0.25">
      <c r="A5083">
        <v>5747</v>
      </c>
      <c r="B5083" t="s">
        <v>30962</v>
      </c>
      <c r="C5083">
        <v>467</v>
      </c>
      <c r="D5083">
        <v>500</v>
      </c>
      <c r="E5083">
        <v>1577197191</v>
      </c>
      <c r="F5083">
        <v>1730</v>
      </c>
      <c r="G5083">
        <v>0</v>
      </c>
      <c r="H5083" t="s">
        <v>10005</v>
      </c>
      <c r="I5083">
        <v>5747</v>
      </c>
      <c r="J5083" t="str">
        <f>VLOOKUP(E5083,DSSpieler!A:B,2,FALSE)</f>
        <v>SeppGustl</v>
      </c>
    </row>
    <row r="5084" spans="1:10" x14ac:dyDescent="0.25">
      <c r="A5084">
        <v>5748</v>
      </c>
      <c r="B5084" t="s">
        <v>531</v>
      </c>
      <c r="C5084">
        <v>530</v>
      </c>
      <c r="D5084">
        <v>521</v>
      </c>
      <c r="E5084">
        <v>0</v>
      </c>
      <c r="F5084">
        <v>239</v>
      </c>
      <c r="G5084">
        <v>0</v>
      </c>
      <c r="H5084" t="s">
        <v>10006</v>
      </c>
      <c r="I5084">
        <v>5748</v>
      </c>
      <c r="J5084" t="e">
        <f>VLOOKUP(E5084,DSSpieler!A:B,2,FALSE)</f>
        <v>#N/A</v>
      </c>
    </row>
    <row r="5085" spans="1:10" x14ac:dyDescent="0.25">
      <c r="A5085">
        <v>5749</v>
      </c>
      <c r="B5085" t="s">
        <v>32580</v>
      </c>
      <c r="C5085">
        <v>546</v>
      </c>
      <c r="D5085">
        <v>468</v>
      </c>
      <c r="E5085">
        <v>1577195586</v>
      </c>
      <c r="F5085">
        <v>5740</v>
      </c>
      <c r="G5085">
        <v>0</v>
      </c>
      <c r="H5085" t="s">
        <v>10007</v>
      </c>
      <c r="I5085">
        <v>5749</v>
      </c>
      <c r="J5085" t="str">
        <f>VLOOKUP(E5085,DSSpieler!A:B,2,FALSE)</f>
        <v>snoop2810</v>
      </c>
    </row>
    <row r="5086" spans="1:10" x14ac:dyDescent="0.25">
      <c r="A5086">
        <v>5750</v>
      </c>
      <c r="B5086" t="s">
        <v>531</v>
      </c>
      <c r="C5086">
        <v>557</v>
      </c>
      <c r="D5086">
        <v>507</v>
      </c>
      <c r="E5086">
        <v>0</v>
      </c>
      <c r="F5086">
        <v>292</v>
      </c>
      <c r="G5086">
        <v>0</v>
      </c>
      <c r="H5086" t="s">
        <v>10008</v>
      </c>
      <c r="I5086">
        <v>5750</v>
      </c>
      <c r="J5086" t="e">
        <f>VLOOKUP(E5086,DSSpieler!A:B,2,FALSE)</f>
        <v>#N/A</v>
      </c>
    </row>
    <row r="5087" spans="1:10" x14ac:dyDescent="0.25">
      <c r="A5087">
        <v>5751</v>
      </c>
      <c r="B5087" t="s">
        <v>531</v>
      </c>
      <c r="C5087">
        <v>542</v>
      </c>
      <c r="D5087">
        <v>450</v>
      </c>
      <c r="E5087">
        <v>0</v>
      </c>
      <c r="F5087">
        <v>350</v>
      </c>
      <c r="G5087">
        <v>0</v>
      </c>
      <c r="H5087" t="s">
        <v>10009</v>
      </c>
      <c r="I5087">
        <v>5751</v>
      </c>
      <c r="J5087" t="e">
        <f>VLOOKUP(E5087,DSSpieler!A:B,2,FALSE)</f>
        <v>#N/A</v>
      </c>
    </row>
    <row r="5088" spans="1:10" x14ac:dyDescent="0.25">
      <c r="A5088">
        <v>5752</v>
      </c>
      <c r="B5088" t="s">
        <v>32581</v>
      </c>
      <c r="C5088">
        <v>459</v>
      </c>
      <c r="D5088">
        <v>440</v>
      </c>
      <c r="E5088">
        <v>8689006</v>
      </c>
      <c r="F5088">
        <v>3121</v>
      </c>
      <c r="G5088">
        <v>0</v>
      </c>
      <c r="H5088" t="s">
        <v>10010</v>
      </c>
      <c r="I5088">
        <v>5752</v>
      </c>
      <c r="J5088" t="str">
        <f>VLOOKUP(E5088,DSSpieler!A:B,2,FALSE)</f>
        <v>Pecksbyr</v>
      </c>
    </row>
    <row r="5089" spans="1:10" x14ac:dyDescent="0.25">
      <c r="A5089">
        <v>5753</v>
      </c>
      <c r="B5089" t="s">
        <v>780</v>
      </c>
      <c r="C5089">
        <v>604</v>
      </c>
      <c r="D5089">
        <v>520</v>
      </c>
      <c r="E5089">
        <v>1576864272</v>
      </c>
      <c r="F5089">
        <v>3894</v>
      </c>
      <c r="G5089">
        <v>0</v>
      </c>
      <c r="H5089" t="s">
        <v>10011</v>
      </c>
      <c r="I5089">
        <v>5753</v>
      </c>
      <c r="J5089" t="str">
        <f>VLOOKUP(E5089,DSSpieler!A:B,2,FALSE)</f>
        <v>iToxic</v>
      </c>
    </row>
    <row r="5090" spans="1:10" x14ac:dyDescent="0.25">
      <c r="A5090">
        <v>5754</v>
      </c>
      <c r="B5090" t="s">
        <v>531</v>
      </c>
      <c r="C5090">
        <v>448</v>
      </c>
      <c r="D5090">
        <v>518</v>
      </c>
      <c r="E5090">
        <v>0</v>
      </c>
      <c r="F5090">
        <v>242</v>
      </c>
      <c r="G5090">
        <v>0</v>
      </c>
      <c r="H5090" t="s">
        <v>10012</v>
      </c>
      <c r="I5090">
        <v>5754</v>
      </c>
      <c r="J5090" t="e">
        <f>VLOOKUP(E5090,DSSpieler!A:B,2,FALSE)</f>
        <v>#N/A</v>
      </c>
    </row>
    <row r="5091" spans="1:10" x14ac:dyDescent="0.25">
      <c r="A5091">
        <v>5755</v>
      </c>
      <c r="B5091" t="s">
        <v>30525</v>
      </c>
      <c r="C5091">
        <v>465</v>
      </c>
      <c r="D5091">
        <v>518</v>
      </c>
      <c r="E5091">
        <v>8198259</v>
      </c>
      <c r="F5091">
        <v>4290</v>
      </c>
      <c r="G5091">
        <v>0</v>
      </c>
      <c r="H5091" t="s">
        <v>10013</v>
      </c>
      <c r="I5091">
        <v>5755</v>
      </c>
      <c r="J5091" t="str">
        <f>VLOOKUP(E5091,DSSpieler!A:B,2,FALSE)</f>
        <v>Tiger1896</v>
      </c>
    </row>
    <row r="5092" spans="1:10" x14ac:dyDescent="0.25">
      <c r="A5092">
        <v>5756</v>
      </c>
      <c r="B5092">
        <v>2</v>
      </c>
      <c r="C5092">
        <v>402</v>
      </c>
      <c r="D5092">
        <v>449</v>
      </c>
      <c r="E5092">
        <v>1576705864</v>
      </c>
      <c r="F5092">
        <v>4302</v>
      </c>
      <c r="G5092">
        <v>0</v>
      </c>
      <c r="H5092" t="s">
        <v>10014</v>
      </c>
      <c r="I5092">
        <v>5756</v>
      </c>
      <c r="J5092" t="str">
        <f>VLOOKUP(E5092,DSSpieler!A:B,2,FALSE)</f>
        <v>.FaulPilz</v>
      </c>
    </row>
    <row r="5093" spans="1:10" x14ac:dyDescent="0.25">
      <c r="A5093">
        <v>5757</v>
      </c>
      <c r="B5093" t="s">
        <v>1441</v>
      </c>
      <c r="C5093">
        <v>553</v>
      </c>
      <c r="D5093">
        <v>567</v>
      </c>
      <c r="E5093">
        <v>1577102404</v>
      </c>
      <c r="F5093">
        <v>6022</v>
      </c>
      <c r="G5093">
        <v>0</v>
      </c>
      <c r="H5093" t="s">
        <v>10015</v>
      </c>
      <c r="I5093">
        <v>5757</v>
      </c>
      <c r="J5093" t="str">
        <f>VLOOKUP(E5093,DSSpieler!A:B,2,FALSE)</f>
        <v>Urangutan</v>
      </c>
    </row>
    <row r="5094" spans="1:10" x14ac:dyDescent="0.25">
      <c r="A5094">
        <v>5758</v>
      </c>
      <c r="B5094" t="s">
        <v>32582</v>
      </c>
      <c r="C5094">
        <v>545</v>
      </c>
      <c r="D5094">
        <v>479</v>
      </c>
      <c r="E5094">
        <v>1577196464</v>
      </c>
      <c r="F5094">
        <v>325</v>
      </c>
      <c r="G5094">
        <v>0</v>
      </c>
      <c r="H5094" t="s">
        <v>10016</v>
      </c>
      <c r="I5094">
        <v>5758</v>
      </c>
      <c r="J5094" t="str">
        <f>VLOOKUP(E5094,DSSpieler!A:B,2,FALSE)</f>
        <v>N3verlucky</v>
      </c>
    </row>
    <row r="5095" spans="1:10" x14ac:dyDescent="0.25">
      <c r="A5095">
        <v>5759</v>
      </c>
      <c r="B5095" t="s">
        <v>32583</v>
      </c>
      <c r="C5095">
        <v>467</v>
      </c>
      <c r="D5095">
        <v>533</v>
      </c>
      <c r="E5095">
        <v>1576938835</v>
      </c>
      <c r="F5095">
        <v>409</v>
      </c>
      <c r="G5095">
        <v>0</v>
      </c>
      <c r="H5095" t="s">
        <v>10017</v>
      </c>
      <c r="I5095">
        <v>5759</v>
      </c>
      <c r="J5095" t="str">
        <f>VLOOKUP(E5095,DSSpieler!A:B,2,FALSE)</f>
        <v>2Hasis</v>
      </c>
    </row>
    <row r="5096" spans="1:10" x14ac:dyDescent="0.25">
      <c r="A5096">
        <v>5760</v>
      </c>
      <c r="B5096" t="s">
        <v>531</v>
      </c>
      <c r="C5096">
        <v>534</v>
      </c>
      <c r="D5096">
        <v>484</v>
      </c>
      <c r="E5096">
        <v>0</v>
      </c>
      <c r="F5096">
        <v>260</v>
      </c>
      <c r="G5096">
        <v>0</v>
      </c>
      <c r="H5096" t="s">
        <v>10018</v>
      </c>
      <c r="I5096">
        <v>5760</v>
      </c>
      <c r="J5096" t="e">
        <f>VLOOKUP(E5096,DSSpieler!A:B,2,FALSE)</f>
        <v>#N/A</v>
      </c>
    </row>
    <row r="5097" spans="1:10" x14ac:dyDescent="0.25">
      <c r="A5097">
        <v>5761</v>
      </c>
      <c r="B5097" t="s">
        <v>1442</v>
      </c>
      <c r="C5097">
        <v>435</v>
      </c>
      <c r="D5097">
        <v>499</v>
      </c>
      <c r="E5097">
        <v>8117207</v>
      </c>
      <c r="F5097">
        <v>5392</v>
      </c>
      <c r="G5097">
        <v>0</v>
      </c>
      <c r="H5097" t="s">
        <v>10019</v>
      </c>
      <c r="I5097">
        <v>5761</v>
      </c>
      <c r="J5097" t="str">
        <f>VLOOKUP(E5097,DSSpieler!A:B,2,FALSE)</f>
        <v>morphyn</v>
      </c>
    </row>
    <row r="5098" spans="1:10" x14ac:dyDescent="0.25">
      <c r="A5098">
        <v>5762</v>
      </c>
      <c r="B5098" t="s">
        <v>32584</v>
      </c>
      <c r="C5098">
        <v>584</v>
      </c>
      <c r="D5098">
        <v>523</v>
      </c>
      <c r="E5098">
        <v>1577197839</v>
      </c>
      <c r="F5098">
        <v>6708</v>
      </c>
      <c r="G5098">
        <v>0</v>
      </c>
      <c r="H5098" t="s">
        <v>10020</v>
      </c>
      <c r="I5098">
        <v>5762</v>
      </c>
      <c r="J5098" t="str">
        <f>VLOOKUP(E5098,DSSpieler!A:B,2,FALSE)</f>
        <v>Anto</v>
      </c>
    </row>
    <row r="5099" spans="1:10" x14ac:dyDescent="0.25">
      <c r="A5099">
        <v>5763</v>
      </c>
      <c r="B5099" t="s">
        <v>32585</v>
      </c>
      <c r="C5099">
        <v>574</v>
      </c>
      <c r="D5099">
        <v>420</v>
      </c>
      <c r="E5099">
        <v>1576379303</v>
      </c>
      <c r="F5099">
        <v>5108</v>
      </c>
      <c r="G5099">
        <v>0</v>
      </c>
      <c r="H5099" t="s">
        <v>10021</v>
      </c>
      <c r="I5099">
        <v>5763</v>
      </c>
      <c r="J5099" t="str">
        <f>VLOOKUP(E5099,DSSpieler!A:B,2,FALSE)</f>
        <v>EnjoY</v>
      </c>
    </row>
    <row r="5100" spans="1:10" x14ac:dyDescent="0.25">
      <c r="A5100">
        <v>5764</v>
      </c>
      <c r="B5100" t="s">
        <v>1443</v>
      </c>
      <c r="C5100">
        <v>572</v>
      </c>
      <c r="D5100">
        <v>517</v>
      </c>
      <c r="E5100">
        <v>1577175090</v>
      </c>
      <c r="F5100">
        <v>9323</v>
      </c>
      <c r="G5100">
        <v>0</v>
      </c>
      <c r="H5100" t="s">
        <v>10022</v>
      </c>
      <c r="I5100">
        <v>5764</v>
      </c>
      <c r="J5100" t="str">
        <f>VLOOKUP(E5100,DSSpieler!A:B,2,FALSE)</f>
        <v>Busovaca</v>
      </c>
    </row>
    <row r="5101" spans="1:10" x14ac:dyDescent="0.25">
      <c r="A5101">
        <v>5765</v>
      </c>
      <c r="B5101" t="s">
        <v>32586</v>
      </c>
      <c r="C5101">
        <v>437</v>
      </c>
      <c r="D5101">
        <v>515</v>
      </c>
      <c r="E5101">
        <v>9646096</v>
      </c>
      <c r="F5101">
        <v>5168</v>
      </c>
      <c r="G5101">
        <v>0</v>
      </c>
      <c r="H5101" t="s">
        <v>10023</v>
      </c>
      <c r="I5101">
        <v>5765</v>
      </c>
      <c r="J5101" t="str">
        <f>VLOOKUP(E5101,DSSpieler!A:B,2,FALSE)</f>
        <v>GapG21</v>
      </c>
    </row>
    <row r="5102" spans="1:10" x14ac:dyDescent="0.25">
      <c r="A5102">
        <v>5766</v>
      </c>
      <c r="B5102" t="s">
        <v>32587</v>
      </c>
      <c r="C5102">
        <v>434</v>
      </c>
      <c r="D5102">
        <v>459</v>
      </c>
      <c r="E5102">
        <v>1577197850</v>
      </c>
      <c r="F5102">
        <v>4409</v>
      </c>
      <c r="G5102">
        <v>0</v>
      </c>
      <c r="H5102" t="s">
        <v>10024</v>
      </c>
      <c r="I5102">
        <v>5766</v>
      </c>
      <c r="J5102" t="str">
        <f>VLOOKUP(E5102,DSSpieler!A:B,2,FALSE)</f>
        <v>Benery</v>
      </c>
    </row>
    <row r="5103" spans="1:10" x14ac:dyDescent="0.25">
      <c r="A5103">
        <v>5767</v>
      </c>
      <c r="B5103" t="s">
        <v>31439</v>
      </c>
      <c r="C5103">
        <v>441</v>
      </c>
      <c r="D5103">
        <v>539</v>
      </c>
      <c r="E5103">
        <v>1576575171</v>
      </c>
      <c r="F5103">
        <v>2640</v>
      </c>
      <c r="G5103">
        <v>0</v>
      </c>
      <c r="H5103" t="s">
        <v>10025</v>
      </c>
      <c r="I5103">
        <v>5767</v>
      </c>
      <c r="J5103" t="str">
        <f>VLOOKUP(E5103,DSSpieler!A:B,2,FALSE)</f>
        <v>2HCL</v>
      </c>
    </row>
    <row r="5104" spans="1:10" x14ac:dyDescent="0.25">
      <c r="A5104">
        <v>5768</v>
      </c>
      <c r="B5104" t="s">
        <v>32588</v>
      </c>
      <c r="C5104">
        <v>411</v>
      </c>
      <c r="D5104">
        <v>532</v>
      </c>
      <c r="E5104">
        <v>1576032609</v>
      </c>
      <c r="F5104">
        <v>3340</v>
      </c>
      <c r="G5104">
        <v>0</v>
      </c>
      <c r="H5104" t="s">
        <v>10026</v>
      </c>
      <c r="I5104">
        <v>5768</v>
      </c>
      <c r="J5104" t="str">
        <f>VLOOKUP(E5104,DSSpieler!A:B,2,FALSE)</f>
        <v>Sceentic</v>
      </c>
    </row>
    <row r="5105" spans="1:10" x14ac:dyDescent="0.25">
      <c r="A5105">
        <v>5769</v>
      </c>
      <c r="B5105" t="s">
        <v>35836</v>
      </c>
      <c r="C5105">
        <v>568</v>
      </c>
      <c r="D5105">
        <v>535</v>
      </c>
      <c r="E5105">
        <v>1577197503</v>
      </c>
      <c r="F5105">
        <v>4040</v>
      </c>
      <c r="G5105">
        <v>0</v>
      </c>
      <c r="H5105" t="s">
        <v>10027</v>
      </c>
      <c r="I5105">
        <v>5769</v>
      </c>
      <c r="J5105" t="str">
        <f>VLOOKUP(E5105,DSSpieler!A:B,2,FALSE)</f>
        <v>Rapt1le</v>
      </c>
    </row>
    <row r="5106" spans="1:10" x14ac:dyDescent="0.25">
      <c r="A5106">
        <v>5770</v>
      </c>
      <c r="B5106" t="s">
        <v>531</v>
      </c>
      <c r="C5106">
        <v>440</v>
      </c>
      <c r="D5106">
        <v>522</v>
      </c>
      <c r="E5106">
        <v>0</v>
      </c>
      <c r="F5106">
        <v>231</v>
      </c>
      <c r="G5106">
        <v>0</v>
      </c>
      <c r="H5106" t="s">
        <v>10028</v>
      </c>
      <c r="I5106">
        <v>5770</v>
      </c>
      <c r="J5106" t="e">
        <f>VLOOKUP(E5106,DSSpieler!A:B,2,FALSE)</f>
        <v>#N/A</v>
      </c>
    </row>
    <row r="5107" spans="1:10" x14ac:dyDescent="0.25">
      <c r="A5107">
        <v>5771</v>
      </c>
      <c r="B5107" t="s">
        <v>531</v>
      </c>
      <c r="C5107">
        <v>550</v>
      </c>
      <c r="D5107">
        <v>533</v>
      </c>
      <c r="E5107">
        <v>0</v>
      </c>
      <c r="F5107">
        <v>668</v>
      </c>
      <c r="G5107">
        <v>0</v>
      </c>
      <c r="H5107" t="s">
        <v>10029</v>
      </c>
      <c r="I5107">
        <v>5771</v>
      </c>
      <c r="J5107" t="e">
        <f>VLOOKUP(E5107,DSSpieler!A:B,2,FALSE)</f>
        <v>#N/A</v>
      </c>
    </row>
    <row r="5108" spans="1:10" x14ac:dyDescent="0.25">
      <c r="A5108">
        <v>5772</v>
      </c>
      <c r="B5108" t="s">
        <v>531</v>
      </c>
      <c r="C5108">
        <v>443</v>
      </c>
      <c r="D5108">
        <v>454</v>
      </c>
      <c r="E5108">
        <v>0</v>
      </c>
      <c r="F5108">
        <v>341</v>
      </c>
      <c r="G5108">
        <v>0</v>
      </c>
      <c r="H5108" t="s">
        <v>10030</v>
      </c>
      <c r="I5108">
        <v>5772</v>
      </c>
      <c r="J5108" t="e">
        <f>VLOOKUP(E5108,DSSpieler!A:B,2,FALSE)</f>
        <v>#N/A</v>
      </c>
    </row>
    <row r="5109" spans="1:10" x14ac:dyDescent="0.25">
      <c r="A5109">
        <v>5773</v>
      </c>
      <c r="B5109" t="s">
        <v>531</v>
      </c>
      <c r="C5109">
        <v>452</v>
      </c>
      <c r="D5109">
        <v>442</v>
      </c>
      <c r="E5109">
        <v>0</v>
      </c>
      <c r="F5109">
        <v>515</v>
      </c>
      <c r="G5109">
        <v>0</v>
      </c>
      <c r="H5109" t="s">
        <v>10031</v>
      </c>
      <c r="I5109">
        <v>5773</v>
      </c>
      <c r="J5109" t="e">
        <f>VLOOKUP(E5109,DSSpieler!A:B,2,FALSE)</f>
        <v>#N/A</v>
      </c>
    </row>
    <row r="5110" spans="1:10" x14ac:dyDescent="0.25">
      <c r="A5110">
        <v>5774</v>
      </c>
      <c r="B5110" t="s">
        <v>32589</v>
      </c>
      <c r="C5110">
        <v>508</v>
      </c>
      <c r="D5110">
        <v>394</v>
      </c>
      <c r="E5110">
        <v>1577181266</v>
      </c>
      <c r="F5110">
        <v>5704</v>
      </c>
      <c r="G5110">
        <v>0</v>
      </c>
      <c r="H5110" t="s">
        <v>10032</v>
      </c>
      <c r="I5110">
        <v>5774</v>
      </c>
      <c r="J5110" t="str">
        <f>VLOOKUP(E5110,DSSpieler!A:B,2,FALSE)</f>
        <v>Vumas</v>
      </c>
    </row>
    <row r="5111" spans="1:10" x14ac:dyDescent="0.25">
      <c r="A5111">
        <v>5775</v>
      </c>
      <c r="B5111" t="s">
        <v>32590</v>
      </c>
      <c r="C5111">
        <v>493</v>
      </c>
      <c r="D5111">
        <v>606</v>
      </c>
      <c r="E5111">
        <v>3210799</v>
      </c>
      <c r="F5111">
        <v>5438</v>
      </c>
      <c r="G5111">
        <v>0</v>
      </c>
      <c r="H5111" t="s">
        <v>10033</v>
      </c>
      <c r="I5111">
        <v>5775</v>
      </c>
      <c r="J5111" t="str">
        <f>VLOOKUP(E5111,DSSpieler!A:B,2,FALSE)</f>
        <v>fekiks</v>
      </c>
    </row>
    <row r="5112" spans="1:10" x14ac:dyDescent="0.25">
      <c r="A5112">
        <v>5776</v>
      </c>
      <c r="B5112" t="s">
        <v>531</v>
      </c>
      <c r="C5112">
        <v>427</v>
      </c>
      <c r="D5112">
        <v>502</v>
      </c>
      <c r="E5112">
        <v>0</v>
      </c>
      <c r="F5112">
        <v>413</v>
      </c>
      <c r="G5112">
        <v>0</v>
      </c>
      <c r="H5112" t="s">
        <v>10034</v>
      </c>
      <c r="I5112">
        <v>5776</v>
      </c>
      <c r="J5112" t="e">
        <f>VLOOKUP(E5112,DSSpieler!A:B,2,FALSE)</f>
        <v>#N/A</v>
      </c>
    </row>
    <row r="5113" spans="1:10" x14ac:dyDescent="0.25">
      <c r="A5113">
        <v>5777</v>
      </c>
      <c r="B5113" t="s">
        <v>32591</v>
      </c>
      <c r="C5113">
        <v>533</v>
      </c>
      <c r="D5113">
        <v>597</v>
      </c>
      <c r="E5113">
        <v>1691328</v>
      </c>
      <c r="F5113">
        <v>4166</v>
      </c>
      <c r="G5113">
        <v>0</v>
      </c>
      <c r="H5113" t="s">
        <v>10035</v>
      </c>
      <c r="I5113">
        <v>5777</v>
      </c>
      <c r="J5113" t="str">
        <f>VLOOKUP(E5113,DSSpieler!A:B,2,FALSE)</f>
        <v>hummler68</v>
      </c>
    </row>
    <row r="5114" spans="1:10" x14ac:dyDescent="0.25">
      <c r="A5114">
        <v>5779</v>
      </c>
      <c r="B5114" t="s">
        <v>32592</v>
      </c>
      <c r="C5114">
        <v>441</v>
      </c>
      <c r="D5114">
        <v>460</v>
      </c>
      <c r="E5114">
        <v>9607859</v>
      </c>
      <c r="F5114">
        <v>5041</v>
      </c>
      <c r="G5114">
        <v>0</v>
      </c>
      <c r="H5114" t="s">
        <v>10036</v>
      </c>
      <c r="I5114">
        <v>5779</v>
      </c>
      <c r="J5114" t="str">
        <f>VLOOKUP(E5114,DSSpieler!A:B,2,FALSE)</f>
        <v>Silicon</v>
      </c>
    </row>
    <row r="5115" spans="1:10" x14ac:dyDescent="0.25">
      <c r="A5115">
        <v>5780</v>
      </c>
      <c r="B5115" t="s">
        <v>601</v>
      </c>
      <c r="C5115">
        <v>534</v>
      </c>
      <c r="D5115">
        <v>455</v>
      </c>
      <c r="E5115">
        <v>1577190367</v>
      </c>
      <c r="F5115">
        <v>2283</v>
      </c>
      <c r="G5115">
        <v>0</v>
      </c>
      <c r="H5115" t="s">
        <v>10037</v>
      </c>
      <c r="I5115">
        <v>5780</v>
      </c>
      <c r="J5115" t="str">
        <f>VLOOKUP(E5115,DSSpieler!A:B,2,FALSE)</f>
        <v>schalker1904</v>
      </c>
    </row>
    <row r="5116" spans="1:10" x14ac:dyDescent="0.25">
      <c r="A5116">
        <v>5781</v>
      </c>
      <c r="B5116" t="s">
        <v>32593</v>
      </c>
      <c r="C5116">
        <v>433</v>
      </c>
      <c r="D5116">
        <v>512</v>
      </c>
      <c r="E5116">
        <v>1576964247</v>
      </c>
      <c r="F5116">
        <v>6876</v>
      </c>
      <c r="G5116">
        <v>0</v>
      </c>
      <c r="H5116" t="s">
        <v>10038</v>
      </c>
      <c r="I5116">
        <v>5781</v>
      </c>
      <c r="J5116" t="str">
        <f>VLOOKUP(E5116,DSSpieler!A:B,2,FALSE)</f>
        <v>xRollstuhlcowboy</v>
      </c>
    </row>
    <row r="5117" spans="1:10" x14ac:dyDescent="0.25">
      <c r="A5117">
        <v>5783</v>
      </c>
      <c r="B5117" t="e">
        <f>-1-+Oberthal</f>
        <v>#NAME?</v>
      </c>
      <c r="C5117">
        <v>482</v>
      </c>
      <c r="D5117">
        <v>518</v>
      </c>
      <c r="E5117">
        <v>867156</v>
      </c>
      <c r="F5117">
        <v>6510</v>
      </c>
      <c r="G5117">
        <v>0</v>
      </c>
      <c r="H5117" t="s">
        <v>10039</v>
      </c>
      <c r="I5117">
        <v>5783</v>
      </c>
      <c r="J5117" t="str">
        <f>VLOOKUP(E5117,DSSpieler!A:B,2,FALSE)</f>
        <v>Murno</v>
      </c>
    </row>
    <row r="5118" spans="1:10" x14ac:dyDescent="0.25">
      <c r="A5118">
        <v>5784</v>
      </c>
      <c r="B5118" t="s">
        <v>32594</v>
      </c>
      <c r="C5118">
        <v>517</v>
      </c>
      <c r="D5118">
        <v>426</v>
      </c>
      <c r="E5118">
        <v>9132493</v>
      </c>
      <c r="F5118">
        <v>5183</v>
      </c>
      <c r="G5118">
        <v>0</v>
      </c>
      <c r="H5118" t="s">
        <v>10040</v>
      </c>
      <c r="I5118">
        <v>5784</v>
      </c>
      <c r="J5118" t="str">
        <f>VLOOKUP(E5118,DSSpieler!A:B,2,FALSE)</f>
        <v>RaZE pWnz EU</v>
      </c>
    </row>
    <row r="5119" spans="1:10" x14ac:dyDescent="0.25">
      <c r="A5119">
        <v>5785</v>
      </c>
      <c r="B5119" t="s">
        <v>531</v>
      </c>
      <c r="C5119">
        <v>455</v>
      </c>
      <c r="D5119">
        <v>540</v>
      </c>
      <c r="E5119">
        <v>0</v>
      </c>
      <c r="F5119">
        <v>334</v>
      </c>
      <c r="G5119">
        <v>0</v>
      </c>
      <c r="H5119" t="s">
        <v>10041</v>
      </c>
      <c r="I5119">
        <v>5785</v>
      </c>
      <c r="J5119" t="e">
        <f>VLOOKUP(E5119,DSSpieler!A:B,2,FALSE)</f>
        <v>#N/A</v>
      </c>
    </row>
    <row r="5120" spans="1:10" x14ac:dyDescent="0.25">
      <c r="A5120">
        <v>5786</v>
      </c>
      <c r="B5120" t="s">
        <v>1444</v>
      </c>
      <c r="C5120">
        <v>472</v>
      </c>
      <c r="D5120">
        <v>560</v>
      </c>
      <c r="E5120">
        <v>1576839794</v>
      </c>
      <c r="F5120">
        <v>992</v>
      </c>
      <c r="G5120">
        <v>0</v>
      </c>
      <c r="H5120" t="s">
        <v>10042</v>
      </c>
      <c r="I5120">
        <v>5786</v>
      </c>
      <c r="J5120" t="str">
        <f>VLOOKUP(E5120,DSSpieler!A:B,2,FALSE)</f>
        <v>Lady Sanni</v>
      </c>
    </row>
    <row r="5121" spans="1:10" x14ac:dyDescent="0.25">
      <c r="A5121">
        <v>5787</v>
      </c>
      <c r="B5121" t="s">
        <v>31799</v>
      </c>
      <c r="C5121">
        <v>474</v>
      </c>
      <c r="D5121">
        <v>583</v>
      </c>
      <c r="E5121">
        <v>1577160660</v>
      </c>
      <c r="F5121">
        <v>6186</v>
      </c>
      <c r="G5121">
        <v>0</v>
      </c>
      <c r="H5121" t="s">
        <v>10043</v>
      </c>
      <c r="I5121">
        <v>5787</v>
      </c>
      <c r="J5121" t="str">
        <f>VLOOKUP(E5121,DSSpieler!A:B,2,FALSE)</f>
        <v>Muddii</v>
      </c>
    </row>
    <row r="5122" spans="1:10" x14ac:dyDescent="0.25">
      <c r="A5122">
        <v>5788</v>
      </c>
      <c r="B5122" t="s">
        <v>531</v>
      </c>
      <c r="C5122">
        <v>428</v>
      </c>
      <c r="D5122">
        <v>493</v>
      </c>
      <c r="E5122">
        <v>0</v>
      </c>
      <c r="F5122">
        <v>358</v>
      </c>
      <c r="G5122">
        <v>0</v>
      </c>
      <c r="H5122" t="s">
        <v>10044</v>
      </c>
      <c r="I5122">
        <v>5788</v>
      </c>
      <c r="J5122" t="e">
        <f>VLOOKUP(E5122,DSSpieler!A:B,2,FALSE)</f>
        <v>#N/A</v>
      </c>
    </row>
    <row r="5123" spans="1:10" x14ac:dyDescent="0.25">
      <c r="A5123">
        <v>5789</v>
      </c>
      <c r="B5123" t="s">
        <v>32595</v>
      </c>
      <c r="C5123">
        <v>435</v>
      </c>
      <c r="D5123">
        <v>525</v>
      </c>
      <c r="E5123">
        <v>9646096</v>
      </c>
      <c r="F5123">
        <v>4663</v>
      </c>
      <c r="G5123">
        <v>0</v>
      </c>
      <c r="H5123" t="s">
        <v>10045</v>
      </c>
      <c r="I5123">
        <v>5789</v>
      </c>
      <c r="J5123" t="str">
        <f>VLOOKUP(E5123,DSSpieler!A:B,2,FALSE)</f>
        <v>GapG21</v>
      </c>
    </row>
    <row r="5124" spans="1:10" x14ac:dyDescent="0.25">
      <c r="A5124">
        <v>5790</v>
      </c>
      <c r="B5124" t="s">
        <v>32596</v>
      </c>
      <c r="C5124">
        <v>603</v>
      </c>
      <c r="D5124">
        <v>480</v>
      </c>
      <c r="E5124">
        <v>1577182081</v>
      </c>
      <c r="F5124">
        <v>6828</v>
      </c>
      <c r="G5124">
        <v>0</v>
      </c>
      <c r="H5124" t="s">
        <v>10046</v>
      </c>
      <c r="I5124">
        <v>5790</v>
      </c>
      <c r="J5124" t="str">
        <f>VLOOKUP(E5124,DSSpieler!A:B,2,FALSE)</f>
        <v>Br4inD4m4ge</v>
      </c>
    </row>
    <row r="5125" spans="1:10" x14ac:dyDescent="0.25">
      <c r="A5125">
        <v>5791</v>
      </c>
      <c r="B5125" t="s">
        <v>1445</v>
      </c>
      <c r="C5125">
        <v>492</v>
      </c>
      <c r="D5125">
        <v>424</v>
      </c>
      <c r="E5125">
        <v>1577186534</v>
      </c>
      <c r="F5125">
        <v>5117</v>
      </c>
      <c r="G5125">
        <v>0</v>
      </c>
      <c r="H5125" t="s">
        <v>10047</v>
      </c>
      <c r="I5125">
        <v>5791</v>
      </c>
      <c r="J5125" t="str">
        <f>VLOOKUP(E5125,DSSpieler!A:B,2,FALSE)</f>
        <v>Sir üöä</v>
      </c>
    </row>
    <row r="5126" spans="1:10" x14ac:dyDescent="0.25">
      <c r="A5126">
        <v>5792</v>
      </c>
      <c r="B5126" t="s">
        <v>1057</v>
      </c>
      <c r="C5126">
        <v>466</v>
      </c>
      <c r="D5126">
        <v>432</v>
      </c>
      <c r="E5126">
        <v>8897367</v>
      </c>
      <c r="F5126">
        <v>6205</v>
      </c>
      <c r="G5126">
        <v>0</v>
      </c>
      <c r="H5126" t="s">
        <v>10048</v>
      </c>
      <c r="I5126">
        <v>5792</v>
      </c>
      <c r="J5126" t="str">
        <f>VLOOKUP(E5126,DSSpieler!A:B,2,FALSE)</f>
        <v>Zwoogel1</v>
      </c>
    </row>
    <row r="5127" spans="1:10" x14ac:dyDescent="0.25">
      <c r="A5127">
        <v>5794</v>
      </c>
      <c r="B5127" t="s">
        <v>32597</v>
      </c>
      <c r="C5127">
        <v>480</v>
      </c>
      <c r="D5127">
        <v>597</v>
      </c>
      <c r="E5127">
        <v>1577153052</v>
      </c>
      <c r="F5127">
        <v>8055</v>
      </c>
      <c r="G5127">
        <v>0</v>
      </c>
      <c r="H5127" t="s">
        <v>10049</v>
      </c>
      <c r="I5127">
        <v>5794</v>
      </c>
      <c r="J5127" t="str">
        <f>VLOOKUP(E5127,DSSpieler!A:B,2,FALSE)</f>
        <v>Schatten99</v>
      </c>
    </row>
    <row r="5128" spans="1:10" x14ac:dyDescent="0.25">
      <c r="A5128">
        <v>5795</v>
      </c>
      <c r="B5128" t="s">
        <v>32598</v>
      </c>
      <c r="C5128">
        <v>472</v>
      </c>
      <c r="D5128">
        <v>429</v>
      </c>
      <c r="E5128">
        <v>8979093</v>
      </c>
      <c r="F5128">
        <v>7573</v>
      </c>
      <c r="G5128">
        <v>0</v>
      </c>
      <c r="H5128" t="s">
        <v>10050</v>
      </c>
      <c r="I5128">
        <v>5795</v>
      </c>
      <c r="J5128" t="str">
        <f>VLOOKUP(E5128,DSSpieler!A:B,2,FALSE)</f>
        <v>colderaser</v>
      </c>
    </row>
    <row r="5129" spans="1:10" x14ac:dyDescent="0.25">
      <c r="A5129">
        <v>5796</v>
      </c>
      <c r="B5129" t="s">
        <v>32599</v>
      </c>
      <c r="C5129">
        <v>451</v>
      </c>
      <c r="D5129">
        <v>580</v>
      </c>
      <c r="E5129">
        <v>10283391</v>
      </c>
      <c r="F5129">
        <v>6718</v>
      </c>
      <c r="G5129">
        <v>0</v>
      </c>
      <c r="H5129" t="s">
        <v>10051</v>
      </c>
      <c r="I5129">
        <v>5796</v>
      </c>
      <c r="J5129" t="str">
        <f>VLOOKUP(E5129,DSSpieler!A:B,2,FALSE)</f>
        <v>Br0 I Altair</v>
      </c>
    </row>
    <row r="5130" spans="1:10" x14ac:dyDescent="0.25">
      <c r="A5130">
        <v>5797</v>
      </c>
      <c r="B5130" t="s">
        <v>1446</v>
      </c>
      <c r="C5130">
        <v>506</v>
      </c>
      <c r="D5130">
        <v>430</v>
      </c>
      <c r="E5130">
        <v>1577197934</v>
      </c>
      <c r="F5130">
        <v>4678</v>
      </c>
      <c r="G5130">
        <v>0</v>
      </c>
      <c r="H5130" t="s">
        <v>10052</v>
      </c>
      <c r="I5130">
        <v>5797</v>
      </c>
      <c r="J5130" t="str">
        <f>VLOOKUP(E5130,DSSpieler!A:B,2,FALSE)</f>
        <v>ialbix3</v>
      </c>
    </row>
    <row r="5131" spans="1:10" x14ac:dyDescent="0.25">
      <c r="A5131">
        <v>5798</v>
      </c>
      <c r="B5131" t="s">
        <v>32600</v>
      </c>
      <c r="C5131">
        <v>476</v>
      </c>
      <c r="D5131">
        <v>433</v>
      </c>
      <c r="E5131">
        <v>8877809</v>
      </c>
      <c r="F5131">
        <v>2975</v>
      </c>
      <c r="G5131">
        <v>0</v>
      </c>
      <c r="H5131" t="s">
        <v>10053</v>
      </c>
      <c r="I5131">
        <v>5798</v>
      </c>
      <c r="J5131" t="str">
        <f>VLOOKUP(E5131,DSSpieler!A:B,2,FALSE)</f>
        <v>Schlangenkämpfer</v>
      </c>
    </row>
    <row r="5132" spans="1:10" x14ac:dyDescent="0.25">
      <c r="A5132">
        <v>5799</v>
      </c>
      <c r="B5132" t="s">
        <v>32601</v>
      </c>
      <c r="C5132">
        <v>533</v>
      </c>
      <c r="D5132">
        <v>579</v>
      </c>
      <c r="E5132">
        <v>1577198234</v>
      </c>
      <c r="F5132">
        <v>6175</v>
      </c>
      <c r="G5132">
        <v>0</v>
      </c>
      <c r="H5132" t="s">
        <v>10054</v>
      </c>
      <c r="I5132">
        <v>5799</v>
      </c>
      <c r="J5132" t="str">
        <f>VLOOKUP(E5132,DSSpieler!A:B,2,FALSE)</f>
        <v>AdrianH96</v>
      </c>
    </row>
    <row r="5133" spans="1:10" x14ac:dyDescent="0.25">
      <c r="A5133">
        <v>5801</v>
      </c>
      <c r="B5133" t="s">
        <v>32602</v>
      </c>
      <c r="C5133">
        <v>496</v>
      </c>
      <c r="D5133">
        <v>505</v>
      </c>
      <c r="E5133">
        <v>1577190877</v>
      </c>
      <c r="F5133">
        <v>3961</v>
      </c>
      <c r="G5133">
        <v>0</v>
      </c>
      <c r="H5133" t="s">
        <v>10055</v>
      </c>
      <c r="I5133">
        <v>5801</v>
      </c>
      <c r="J5133" t="str">
        <f>VLOOKUP(E5133,DSSpieler!A:B,2,FALSE)</f>
        <v>laloco</v>
      </c>
    </row>
    <row r="5134" spans="1:10" x14ac:dyDescent="0.25">
      <c r="A5134">
        <v>5802</v>
      </c>
      <c r="B5134" t="s">
        <v>531</v>
      </c>
      <c r="C5134">
        <v>483</v>
      </c>
      <c r="D5134">
        <v>444</v>
      </c>
      <c r="E5134">
        <v>0</v>
      </c>
      <c r="F5134">
        <v>149</v>
      </c>
      <c r="G5134">
        <v>0</v>
      </c>
      <c r="H5134" t="s">
        <v>10056</v>
      </c>
      <c r="I5134">
        <v>5802</v>
      </c>
      <c r="J5134" t="e">
        <f>VLOOKUP(E5134,DSSpieler!A:B,2,FALSE)</f>
        <v>#N/A</v>
      </c>
    </row>
    <row r="5135" spans="1:10" x14ac:dyDescent="0.25">
      <c r="A5135">
        <v>5803</v>
      </c>
      <c r="B5135" t="s">
        <v>531</v>
      </c>
      <c r="C5135">
        <v>548</v>
      </c>
      <c r="D5135">
        <v>504</v>
      </c>
      <c r="E5135">
        <v>0</v>
      </c>
      <c r="F5135">
        <v>38</v>
      </c>
      <c r="G5135">
        <v>0</v>
      </c>
      <c r="H5135" t="s">
        <v>10057</v>
      </c>
      <c r="I5135">
        <v>5803</v>
      </c>
      <c r="J5135" t="e">
        <f>VLOOKUP(E5135,DSSpieler!A:B,2,FALSE)</f>
        <v>#N/A</v>
      </c>
    </row>
    <row r="5136" spans="1:10" x14ac:dyDescent="0.25">
      <c r="A5136">
        <v>5804</v>
      </c>
      <c r="B5136" t="s">
        <v>32603</v>
      </c>
      <c r="C5136">
        <v>533</v>
      </c>
      <c r="D5136">
        <v>447</v>
      </c>
      <c r="E5136">
        <v>1576842625</v>
      </c>
      <c r="F5136">
        <v>538</v>
      </c>
      <c r="G5136">
        <v>0</v>
      </c>
      <c r="H5136" t="s">
        <v>10058</v>
      </c>
      <c r="I5136">
        <v>5804</v>
      </c>
      <c r="J5136" t="str">
        <f>VLOOKUP(E5136,DSSpieler!A:B,2,FALSE)</f>
        <v>bayerrene</v>
      </c>
    </row>
    <row r="5137" spans="1:10" x14ac:dyDescent="0.25">
      <c r="A5137">
        <v>5805</v>
      </c>
      <c r="B5137" t="s">
        <v>32604</v>
      </c>
      <c r="C5137">
        <v>534</v>
      </c>
      <c r="D5137">
        <v>519</v>
      </c>
      <c r="E5137">
        <v>1576973217</v>
      </c>
      <c r="F5137">
        <v>1466</v>
      </c>
      <c r="G5137">
        <v>0</v>
      </c>
      <c r="H5137" t="s">
        <v>10059</v>
      </c>
      <c r="I5137">
        <v>5805</v>
      </c>
      <c r="J5137" t="str">
        <f>VLOOKUP(E5137,DSSpieler!A:B,2,FALSE)</f>
        <v>jobi B.</v>
      </c>
    </row>
    <row r="5138" spans="1:10" x14ac:dyDescent="0.25">
      <c r="A5138">
        <v>5806</v>
      </c>
      <c r="B5138" t="s">
        <v>32605</v>
      </c>
      <c r="C5138">
        <v>457</v>
      </c>
      <c r="D5138">
        <v>458</v>
      </c>
      <c r="E5138">
        <v>1577007804</v>
      </c>
      <c r="F5138">
        <v>7220</v>
      </c>
      <c r="G5138">
        <v>0</v>
      </c>
      <c r="H5138" t="s">
        <v>10060</v>
      </c>
      <c r="I5138">
        <v>5806</v>
      </c>
      <c r="J5138" t="str">
        <f>VLOOKUP(E5138,DSSpieler!A:B,2,FALSE)</f>
        <v>BorussiaFighter</v>
      </c>
    </row>
    <row r="5139" spans="1:10" x14ac:dyDescent="0.25">
      <c r="A5139">
        <v>5807</v>
      </c>
      <c r="B5139" t="s">
        <v>32606</v>
      </c>
      <c r="C5139">
        <v>437</v>
      </c>
      <c r="D5139">
        <v>510</v>
      </c>
      <c r="E5139">
        <v>1576829510</v>
      </c>
      <c r="F5139">
        <v>5661</v>
      </c>
      <c r="G5139">
        <v>0</v>
      </c>
      <c r="H5139" t="s">
        <v>10061</v>
      </c>
      <c r="I5139">
        <v>5807</v>
      </c>
      <c r="J5139" t="str">
        <f>VLOOKUP(E5139,DSSpieler!A:B,2,FALSE)</f>
        <v>IgnisHelios</v>
      </c>
    </row>
    <row r="5140" spans="1:10" x14ac:dyDescent="0.25">
      <c r="A5140">
        <v>5808</v>
      </c>
      <c r="B5140" t="s">
        <v>531</v>
      </c>
      <c r="C5140">
        <v>559</v>
      </c>
      <c r="D5140">
        <v>455</v>
      </c>
      <c r="E5140">
        <v>0</v>
      </c>
      <c r="F5140">
        <v>396</v>
      </c>
      <c r="G5140">
        <v>0</v>
      </c>
      <c r="H5140" t="s">
        <v>10062</v>
      </c>
      <c r="I5140">
        <v>5808</v>
      </c>
      <c r="J5140" t="e">
        <f>VLOOKUP(E5140,DSSpieler!A:B,2,FALSE)</f>
        <v>#N/A</v>
      </c>
    </row>
    <row r="5141" spans="1:10" x14ac:dyDescent="0.25">
      <c r="A5141">
        <v>5809</v>
      </c>
      <c r="B5141" t="s">
        <v>31389</v>
      </c>
      <c r="C5141">
        <v>559</v>
      </c>
      <c r="D5141">
        <v>575</v>
      </c>
      <c r="E5141">
        <v>1575956362</v>
      </c>
      <c r="F5141">
        <v>5047</v>
      </c>
      <c r="G5141">
        <v>0</v>
      </c>
      <c r="H5141" t="s">
        <v>10063</v>
      </c>
      <c r="I5141">
        <v>5809</v>
      </c>
      <c r="J5141" t="str">
        <f>VLOOKUP(E5141,DSSpieler!A:B,2,FALSE)</f>
        <v>TheFQx</v>
      </c>
    </row>
    <row r="5142" spans="1:10" x14ac:dyDescent="0.25">
      <c r="A5142">
        <v>5810</v>
      </c>
      <c r="B5142" t="s">
        <v>1447</v>
      </c>
      <c r="C5142">
        <v>522</v>
      </c>
      <c r="D5142">
        <v>551</v>
      </c>
      <c r="E5142">
        <v>7953081</v>
      </c>
      <c r="F5142">
        <v>4758</v>
      </c>
      <c r="G5142">
        <v>0</v>
      </c>
      <c r="H5142" t="s">
        <v>10064</v>
      </c>
      <c r="I5142">
        <v>5810</v>
      </c>
      <c r="J5142" t="str">
        <f>VLOOKUP(E5142,DSSpieler!A:B,2,FALSE)</f>
        <v>circe01</v>
      </c>
    </row>
    <row r="5143" spans="1:10" x14ac:dyDescent="0.25">
      <c r="A5143">
        <v>5811</v>
      </c>
      <c r="B5143" t="s">
        <v>32607</v>
      </c>
      <c r="C5143">
        <v>575</v>
      </c>
      <c r="D5143">
        <v>445</v>
      </c>
      <c r="E5143">
        <v>3363691</v>
      </c>
      <c r="F5143">
        <v>4174</v>
      </c>
      <c r="G5143">
        <v>0</v>
      </c>
      <c r="H5143" t="s">
        <v>10065</v>
      </c>
      <c r="I5143">
        <v>5811</v>
      </c>
      <c r="J5143" t="str">
        <f>VLOOKUP(E5143,DSSpieler!A:B,2,FALSE)</f>
        <v>LOK3</v>
      </c>
    </row>
    <row r="5144" spans="1:10" x14ac:dyDescent="0.25">
      <c r="A5144">
        <v>5812</v>
      </c>
      <c r="B5144" t="s">
        <v>32608</v>
      </c>
      <c r="C5144">
        <v>524</v>
      </c>
      <c r="D5144">
        <v>558</v>
      </c>
      <c r="E5144">
        <v>1577189905</v>
      </c>
      <c r="F5144">
        <v>5102</v>
      </c>
      <c r="G5144">
        <v>0</v>
      </c>
      <c r="H5144" t="s">
        <v>10066</v>
      </c>
      <c r="I5144">
        <v>5812</v>
      </c>
      <c r="J5144" t="str">
        <f>VLOOKUP(E5144,DSSpieler!A:B,2,FALSE)</f>
        <v>Dorge</v>
      </c>
    </row>
    <row r="5145" spans="1:10" x14ac:dyDescent="0.25">
      <c r="A5145">
        <v>5813</v>
      </c>
      <c r="B5145" t="s">
        <v>650</v>
      </c>
      <c r="C5145">
        <v>487</v>
      </c>
      <c r="D5145">
        <v>495</v>
      </c>
      <c r="E5145">
        <v>1577183837</v>
      </c>
      <c r="F5145">
        <v>6523</v>
      </c>
      <c r="G5145">
        <v>0</v>
      </c>
      <c r="H5145" t="s">
        <v>10067</v>
      </c>
      <c r="I5145">
        <v>5813</v>
      </c>
      <c r="J5145" t="str">
        <f>VLOOKUP(E5145,DSSpieler!A:B,2,FALSE)</f>
        <v>tischlermri</v>
      </c>
    </row>
    <row r="5146" spans="1:10" x14ac:dyDescent="0.25">
      <c r="A5146">
        <v>5814</v>
      </c>
      <c r="B5146" t="s">
        <v>531</v>
      </c>
      <c r="C5146">
        <v>475</v>
      </c>
      <c r="D5146">
        <v>522</v>
      </c>
      <c r="E5146">
        <v>0</v>
      </c>
      <c r="F5146">
        <v>380</v>
      </c>
      <c r="G5146">
        <v>0</v>
      </c>
      <c r="H5146" t="s">
        <v>10068</v>
      </c>
      <c r="I5146">
        <v>5814</v>
      </c>
      <c r="J5146" t="e">
        <f>VLOOKUP(E5146,DSSpieler!A:B,2,FALSE)</f>
        <v>#N/A</v>
      </c>
    </row>
    <row r="5147" spans="1:10" x14ac:dyDescent="0.25">
      <c r="A5147">
        <v>5815</v>
      </c>
      <c r="B5147" t="s">
        <v>32609</v>
      </c>
      <c r="C5147">
        <v>417</v>
      </c>
      <c r="D5147">
        <v>571</v>
      </c>
      <c r="E5147">
        <v>1577127484</v>
      </c>
      <c r="F5147">
        <v>6341</v>
      </c>
      <c r="G5147">
        <v>0</v>
      </c>
      <c r="H5147" t="s">
        <v>10069</v>
      </c>
      <c r="I5147">
        <v>5815</v>
      </c>
      <c r="J5147" t="str">
        <f>VLOOKUP(E5147,DSSpieler!A:B,2,FALSE)</f>
        <v>El Pharao</v>
      </c>
    </row>
    <row r="5148" spans="1:10" x14ac:dyDescent="0.25">
      <c r="A5148">
        <v>5816</v>
      </c>
      <c r="B5148" t="s">
        <v>32610</v>
      </c>
      <c r="C5148">
        <v>420</v>
      </c>
      <c r="D5148">
        <v>467</v>
      </c>
      <c r="E5148">
        <v>343092</v>
      </c>
      <c r="F5148">
        <v>5721</v>
      </c>
      <c r="G5148">
        <v>0</v>
      </c>
      <c r="H5148" t="s">
        <v>10070</v>
      </c>
      <c r="I5148">
        <v>5816</v>
      </c>
      <c r="J5148" t="str">
        <f>VLOOKUP(E5148,DSSpieler!A:B,2,FALSE)</f>
        <v>RTW-93</v>
      </c>
    </row>
    <row r="5149" spans="1:10" x14ac:dyDescent="0.25">
      <c r="A5149">
        <v>5817</v>
      </c>
      <c r="B5149" t="s">
        <v>1448</v>
      </c>
      <c r="C5149">
        <v>600</v>
      </c>
      <c r="D5149">
        <v>476</v>
      </c>
      <c r="E5149">
        <v>9834184</v>
      </c>
      <c r="F5149">
        <v>6537</v>
      </c>
      <c r="G5149">
        <v>0</v>
      </c>
      <c r="H5149" t="s">
        <v>10071</v>
      </c>
      <c r="I5149">
        <v>5817</v>
      </c>
      <c r="J5149" t="str">
        <f>VLOOKUP(E5149,DSSpieler!A:B,2,FALSE)</f>
        <v>Fraentah</v>
      </c>
    </row>
    <row r="5150" spans="1:10" x14ac:dyDescent="0.25">
      <c r="A5150">
        <v>5818</v>
      </c>
      <c r="B5150">
        <v>-1</v>
      </c>
      <c r="C5150">
        <v>573</v>
      </c>
      <c r="D5150">
        <v>505</v>
      </c>
      <c r="E5150">
        <v>1577197900</v>
      </c>
      <c r="F5150">
        <v>5392</v>
      </c>
      <c r="G5150">
        <v>0</v>
      </c>
      <c r="H5150" t="s">
        <v>10072</v>
      </c>
      <c r="I5150">
        <v>5818</v>
      </c>
      <c r="J5150" t="str">
        <f>VLOOKUP(E5150,DSSpieler!A:B,2,FALSE)</f>
        <v>Hardey17</v>
      </c>
    </row>
    <row r="5151" spans="1:10" x14ac:dyDescent="0.25">
      <c r="A5151">
        <v>5819</v>
      </c>
      <c r="B5151" t="s">
        <v>32611</v>
      </c>
      <c r="C5151">
        <v>520</v>
      </c>
      <c r="D5151">
        <v>566</v>
      </c>
      <c r="E5151">
        <v>9849432</v>
      </c>
      <c r="F5151">
        <v>5846</v>
      </c>
      <c r="G5151">
        <v>0</v>
      </c>
      <c r="H5151" t="s">
        <v>10073</v>
      </c>
      <c r="I5151">
        <v>5819</v>
      </c>
      <c r="J5151" t="str">
        <f>VLOOKUP(E5151,DSSpieler!A:B,2,FALSE)</f>
        <v>Lord H3iland</v>
      </c>
    </row>
    <row r="5152" spans="1:10" x14ac:dyDescent="0.25">
      <c r="A5152">
        <v>5821</v>
      </c>
      <c r="B5152" t="s">
        <v>32612</v>
      </c>
      <c r="C5152">
        <v>450</v>
      </c>
      <c r="D5152">
        <v>547</v>
      </c>
      <c r="E5152">
        <v>1577177324</v>
      </c>
      <c r="F5152">
        <v>398</v>
      </c>
      <c r="G5152">
        <v>0</v>
      </c>
      <c r="H5152" t="s">
        <v>10074</v>
      </c>
      <c r="I5152">
        <v>5821</v>
      </c>
      <c r="J5152" t="str">
        <f>VLOOKUP(E5152,DSSpieler!A:B,2,FALSE)</f>
        <v>feli</v>
      </c>
    </row>
    <row r="5153" spans="1:10" x14ac:dyDescent="0.25">
      <c r="A5153">
        <v>5822</v>
      </c>
      <c r="B5153" t="s">
        <v>32613</v>
      </c>
      <c r="C5153">
        <v>561</v>
      </c>
      <c r="D5153">
        <v>499</v>
      </c>
      <c r="E5153">
        <v>10166667</v>
      </c>
      <c r="F5153">
        <v>2414</v>
      </c>
      <c r="G5153">
        <v>0</v>
      </c>
      <c r="H5153" t="s">
        <v>10075</v>
      </c>
      <c r="I5153">
        <v>5822</v>
      </c>
      <c r="J5153" t="str">
        <f>VLOOKUP(E5153,DSSpieler!A:B,2,FALSE)</f>
        <v>rosatuftuf</v>
      </c>
    </row>
    <row r="5154" spans="1:10" x14ac:dyDescent="0.25">
      <c r="A5154">
        <v>5823</v>
      </c>
      <c r="B5154" t="s">
        <v>531</v>
      </c>
      <c r="C5154">
        <v>511</v>
      </c>
      <c r="D5154">
        <v>432</v>
      </c>
      <c r="E5154">
        <v>0</v>
      </c>
      <c r="F5154">
        <v>117</v>
      </c>
      <c r="G5154">
        <v>0</v>
      </c>
      <c r="H5154" t="s">
        <v>10076</v>
      </c>
      <c r="I5154">
        <v>5823</v>
      </c>
      <c r="J5154" t="e">
        <f>VLOOKUP(E5154,DSSpieler!A:B,2,FALSE)</f>
        <v>#N/A</v>
      </c>
    </row>
    <row r="5155" spans="1:10" x14ac:dyDescent="0.25">
      <c r="A5155">
        <v>5824</v>
      </c>
      <c r="B5155" t="s">
        <v>32614</v>
      </c>
      <c r="C5155">
        <v>531</v>
      </c>
      <c r="D5155">
        <v>411</v>
      </c>
      <c r="E5155">
        <v>1576039632</v>
      </c>
      <c r="F5155">
        <v>4381</v>
      </c>
      <c r="G5155">
        <v>0</v>
      </c>
      <c r="H5155" t="s">
        <v>10077</v>
      </c>
      <c r="I5155">
        <v>5824</v>
      </c>
      <c r="J5155" t="str">
        <f>VLOOKUP(E5155,DSSpieler!A:B,2,FALSE)</f>
        <v>PaulPdG</v>
      </c>
    </row>
    <row r="5156" spans="1:10" x14ac:dyDescent="0.25">
      <c r="A5156">
        <v>5825</v>
      </c>
      <c r="B5156" t="s">
        <v>32577</v>
      </c>
      <c r="C5156">
        <v>518</v>
      </c>
      <c r="D5156">
        <v>567</v>
      </c>
      <c r="E5156">
        <v>1577163137</v>
      </c>
      <c r="F5156">
        <v>5503</v>
      </c>
      <c r="G5156">
        <v>0</v>
      </c>
      <c r="H5156" t="s">
        <v>10078</v>
      </c>
      <c r="I5156">
        <v>5825</v>
      </c>
      <c r="J5156" t="str">
        <f>VLOOKUP(E5156,DSSpieler!A:B,2,FALSE)</f>
        <v>Lord Herkulles4444</v>
      </c>
    </row>
    <row r="5157" spans="1:10" x14ac:dyDescent="0.25">
      <c r="A5157">
        <v>5827</v>
      </c>
      <c r="B5157" t="s">
        <v>32297</v>
      </c>
      <c r="C5157">
        <v>535</v>
      </c>
      <c r="D5157">
        <v>430</v>
      </c>
      <c r="E5157">
        <v>401979</v>
      </c>
      <c r="F5157">
        <v>6951</v>
      </c>
      <c r="G5157">
        <v>0</v>
      </c>
      <c r="H5157" t="s">
        <v>10079</v>
      </c>
      <c r="I5157">
        <v>5827</v>
      </c>
      <c r="J5157" t="str">
        <f>VLOOKUP(E5157,DSSpieler!A:B,2,FALSE)</f>
        <v>nicky butt</v>
      </c>
    </row>
    <row r="5158" spans="1:10" x14ac:dyDescent="0.25">
      <c r="A5158">
        <v>5828</v>
      </c>
      <c r="B5158" t="s">
        <v>31446</v>
      </c>
      <c r="C5158">
        <v>402</v>
      </c>
      <c r="D5158">
        <v>516</v>
      </c>
      <c r="E5158">
        <v>1667196</v>
      </c>
      <c r="F5158">
        <v>8544</v>
      </c>
      <c r="G5158">
        <v>0</v>
      </c>
      <c r="H5158" t="s">
        <v>10080</v>
      </c>
      <c r="I5158">
        <v>5828</v>
      </c>
      <c r="J5158" t="str">
        <f>VLOOKUP(E5158,DSSpieler!A:B,2,FALSE)</f>
        <v>love.machine</v>
      </c>
    </row>
    <row r="5159" spans="1:10" x14ac:dyDescent="0.25">
      <c r="A5159">
        <v>5829</v>
      </c>
      <c r="B5159" t="s">
        <v>32615</v>
      </c>
      <c r="C5159">
        <v>562</v>
      </c>
      <c r="D5159">
        <v>411</v>
      </c>
      <c r="E5159">
        <v>1577143669</v>
      </c>
      <c r="F5159">
        <v>4409</v>
      </c>
      <c r="G5159">
        <v>0</v>
      </c>
      <c r="H5159" t="s">
        <v>10081</v>
      </c>
      <c r="I5159">
        <v>5829</v>
      </c>
      <c r="J5159" t="str">
        <f>VLOOKUP(E5159,DSSpieler!A:B,2,FALSE)</f>
        <v>Chrisi117</v>
      </c>
    </row>
    <row r="5160" spans="1:10" x14ac:dyDescent="0.25">
      <c r="A5160">
        <v>5830</v>
      </c>
      <c r="B5160" t="s">
        <v>531</v>
      </c>
      <c r="C5160">
        <v>555</v>
      </c>
      <c r="D5160">
        <v>531</v>
      </c>
      <c r="E5160">
        <v>0</v>
      </c>
      <c r="F5160">
        <v>145</v>
      </c>
      <c r="G5160">
        <v>0</v>
      </c>
      <c r="H5160" t="s">
        <v>10082</v>
      </c>
      <c r="I5160">
        <v>5830</v>
      </c>
      <c r="J5160" t="e">
        <f>VLOOKUP(E5160,DSSpieler!A:B,2,FALSE)</f>
        <v>#N/A</v>
      </c>
    </row>
    <row r="5161" spans="1:10" x14ac:dyDescent="0.25">
      <c r="A5161">
        <v>5831</v>
      </c>
      <c r="B5161" t="s">
        <v>1449</v>
      </c>
      <c r="C5161">
        <v>503</v>
      </c>
      <c r="D5161">
        <v>547</v>
      </c>
      <c r="E5161">
        <v>1577188511</v>
      </c>
      <c r="F5161">
        <v>575</v>
      </c>
      <c r="G5161">
        <v>0</v>
      </c>
      <c r="H5161" t="s">
        <v>10083</v>
      </c>
      <c r="I5161">
        <v>5831</v>
      </c>
      <c r="J5161" t="str">
        <f>VLOOKUP(E5161,DSSpieler!A:B,2,FALSE)</f>
        <v>Diek118</v>
      </c>
    </row>
    <row r="5162" spans="1:10" x14ac:dyDescent="0.25">
      <c r="A5162">
        <v>5833</v>
      </c>
      <c r="B5162" t="s">
        <v>1450</v>
      </c>
      <c r="C5162">
        <v>605</v>
      </c>
      <c r="D5162">
        <v>533</v>
      </c>
      <c r="E5162">
        <v>1576612700</v>
      </c>
      <c r="F5162">
        <v>6160</v>
      </c>
      <c r="G5162">
        <v>0</v>
      </c>
      <c r="H5162" t="s">
        <v>10084</v>
      </c>
      <c r="I5162">
        <v>5833</v>
      </c>
      <c r="J5162" t="str">
        <f>VLOOKUP(E5162,DSSpieler!A:B,2,FALSE)</f>
        <v>Minusman</v>
      </c>
    </row>
    <row r="5163" spans="1:10" x14ac:dyDescent="0.25">
      <c r="A5163">
        <v>5834</v>
      </c>
      <c r="B5163" t="s">
        <v>32616</v>
      </c>
      <c r="C5163">
        <v>591</v>
      </c>
      <c r="D5163">
        <v>469</v>
      </c>
      <c r="E5163">
        <v>1577197941</v>
      </c>
      <c r="F5163">
        <v>4434</v>
      </c>
      <c r="G5163">
        <v>0</v>
      </c>
      <c r="H5163" t="s">
        <v>10085</v>
      </c>
      <c r="I5163">
        <v>5834</v>
      </c>
      <c r="J5163" t="str">
        <f>VLOOKUP(E5163,DSSpieler!A:B,2,FALSE)</f>
        <v>Copter</v>
      </c>
    </row>
    <row r="5164" spans="1:10" x14ac:dyDescent="0.25">
      <c r="A5164">
        <v>5835</v>
      </c>
      <c r="B5164" t="s">
        <v>1451</v>
      </c>
      <c r="C5164">
        <v>469</v>
      </c>
      <c r="D5164">
        <v>550</v>
      </c>
      <c r="E5164">
        <v>1576583180</v>
      </c>
      <c r="F5164">
        <v>5371</v>
      </c>
      <c r="G5164">
        <v>0</v>
      </c>
      <c r="H5164" t="s">
        <v>10086</v>
      </c>
      <c r="I5164">
        <v>5835</v>
      </c>
      <c r="J5164" t="str">
        <f>VLOOKUP(E5164,DSSpieler!A:B,2,FALSE)</f>
        <v>opjeff</v>
      </c>
    </row>
    <row r="5165" spans="1:10" x14ac:dyDescent="0.25">
      <c r="A5165">
        <v>5836</v>
      </c>
      <c r="B5165" t="s">
        <v>531</v>
      </c>
      <c r="C5165">
        <v>526</v>
      </c>
      <c r="D5165">
        <v>456</v>
      </c>
      <c r="E5165">
        <v>0</v>
      </c>
      <c r="F5165">
        <v>2003</v>
      </c>
      <c r="G5165">
        <v>0</v>
      </c>
      <c r="H5165" t="s">
        <v>10087</v>
      </c>
      <c r="I5165">
        <v>5836</v>
      </c>
      <c r="J5165" t="e">
        <f>VLOOKUP(E5165,DSSpieler!A:B,2,FALSE)</f>
        <v>#N/A</v>
      </c>
    </row>
    <row r="5166" spans="1:10" x14ac:dyDescent="0.25">
      <c r="A5166">
        <v>5837</v>
      </c>
      <c r="B5166" t="s">
        <v>644</v>
      </c>
      <c r="C5166">
        <v>481</v>
      </c>
      <c r="D5166">
        <v>593</v>
      </c>
      <c r="E5166">
        <v>9835495</v>
      </c>
      <c r="F5166">
        <v>2909</v>
      </c>
      <c r="G5166">
        <v>0</v>
      </c>
      <c r="H5166" t="s">
        <v>10088</v>
      </c>
      <c r="I5166">
        <v>5837</v>
      </c>
      <c r="J5166" t="str">
        <f>VLOOKUP(E5166,DSSpieler!A:B,2,FALSE)</f>
        <v>MrFreakeffect</v>
      </c>
    </row>
    <row r="5167" spans="1:10" x14ac:dyDescent="0.25">
      <c r="A5167">
        <v>5838</v>
      </c>
      <c r="B5167" t="s">
        <v>1452</v>
      </c>
      <c r="C5167">
        <v>533</v>
      </c>
      <c r="D5167">
        <v>469</v>
      </c>
      <c r="E5167">
        <v>1577041400</v>
      </c>
      <c r="F5167">
        <v>4509</v>
      </c>
      <c r="G5167">
        <v>0</v>
      </c>
      <c r="H5167" t="s">
        <v>10089</v>
      </c>
      <c r="I5167">
        <v>5838</v>
      </c>
      <c r="J5167" t="str">
        <f>VLOOKUP(E5167,DSSpieler!A:B,2,FALSE)</f>
        <v>JJ2002</v>
      </c>
    </row>
    <row r="5168" spans="1:10" x14ac:dyDescent="0.25">
      <c r="A5168">
        <v>5839</v>
      </c>
      <c r="B5168" t="s">
        <v>546</v>
      </c>
      <c r="C5168">
        <v>516</v>
      </c>
      <c r="D5168">
        <v>441</v>
      </c>
      <c r="E5168">
        <v>7614516</v>
      </c>
      <c r="F5168">
        <v>4994</v>
      </c>
      <c r="G5168">
        <v>0</v>
      </c>
      <c r="H5168" t="s">
        <v>10090</v>
      </c>
      <c r="I5168">
        <v>5839</v>
      </c>
      <c r="J5168" t="str">
        <f>VLOOKUP(E5168,DSSpieler!A:B,2,FALSE)</f>
        <v>S H V</v>
      </c>
    </row>
    <row r="5169" spans="1:10" x14ac:dyDescent="0.25">
      <c r="A5169">
        <v>5840</v>
      </c>
      <c r="B5169" t="s">
        <v>32617</v>
      </c>
      <c r="C5169">
        <v>543</v>
      </c>
      <c r="D5169">
        <v>567</v>
      </c>
      <c r="E5169">
        <v>1577192716</v>
      </c>
      <c r="F5169">
        <v>6241</v>
      </c>
      <c r="G5169">
        <v>0</v>
      </c>
      <c r="H5169" t="s">
        <v>10091</v>
      </c>
      <c r="I5169">
        <v>5840</v>
      </c>
      <c r="J5169" t="str">
        <f>VLOOKUP(E5169,DSSpieler!A:B,2,FALSE)</f>
        <v>anotherpog</v>
      </c>
    </row>
    <row r="5170" spans="1:10" x14ac:dyDescent="0.25">
      <c r="A5170">
        <v>5841</v>
      </c>
      <c r="B5170" t="s">
        <v>32618</v>
      </c>
      <c r="C5170">
        <v>407</v>
      </c>
      <c r="D5170">
        <v>553</v>
      </c>
      <c r="E5170">
        <v>1576876853</v>
      </c>
      <c r="F5170">
        <v>7354</v>
      </c>
      <c r="G5170">
        <v>0</v>
      </c>
      <c r="H5170" t="s">
        <v>10092</v>
      </c>
      <c r="I5170">
        <v>5841</v>
      </c>
      <c r="J5170" t="str">
        <f>VLOOKUP(E5170,DSSpieler!A:B,2,FALSE)</f>
        <v>Butcher007</v>
      </c>
    </row>
    <row r="5171" spans="1:10" x14ac:dyDescent="0.25">
      <c r="A5171">
        <v>5842</v>
      </c>
      <c r="B5171" t="s">
        <v>531</v>
      </c>
      <c r="C5171">
        <v>565</v>
      </c>
      <c r="D5171">
        <v>503</v>
      </c>
      <c r="E5171">
        <v>0</v>
      </c>
      <c r="F5171">
        <v>391</v>
      </c>
      <c r="G5171">
        <v>0</v>
      </c>
      <c r="H5171" t="s">
        <v>10093</v>
      </c>
      <c r="I5171">
        <v>5842</v>
      </c>
      <c r="J5171" t="e">
        <f>VLOOKUP(E5171,DSSpieler!A:B,2,FALSE)</f>
        <v>#N/A</v>
      </c>
    </row>
    <row r="5172" spans="1:10" x14ac:dyDescent="0.25">
      <c r="A5172">
        <v>5843</v>
      </c>
      <c r="B5172" t="s">
        <v>780</v>
      </c>
      <c r="C5172">
        <v>571</v>
      </c>
      <c r="D5172">
        <v>570</v>
      </c>
      <c r="E5172">
        <v>1577197756</v>
      </c>
      <c r="F5172">
        <v>4398</v>
      </c>
      <c r="G5172">
        <v>0</v>
      </c>
      <c r="H5172" t="s">
        <v>10094</v>
      </c>
      <c r="I5172">
        <v>5843</v>
      </c>
      <c r="J5172" t="str">
        <f>VLOOKUP(E5172,DSSpieler!A:B,2,FALSE)</f>
        <v>TyL3R DuRd3N</v>
      </c>
    </row>
    <row r="5173" spans="1:10" x14ac:dyDescent="0.25">
      <c r="A5173">
        <v>5844</v>
      </c>
      <c r="B5173" t="s">
        <v>32204</v>
      </c>
      <c r="C5173">
        <v>496</v>
      </c>
      <c r="D5173">
        <v>567</v>
      </c>
      <c r="E5173">
        <v>9574714</v>
      </c>
      <c r="F5173">
        <v>4444</v>
      </c>
      <c r="G5173">
        <v>0</v>
      </c>
      <c r="H5173" t="s">
        <v>10095</v>
      </c>
      <c r="I5173">
        <v>5844</v>
      </c>
      <c r="J5173" t="str">
        <f>VLOOKUP(E5173,DSSpieler!A:B,2,FALSE)</f>
        <v>Rest In Peace?</v>
      </c>
    </row>
    <row r="5174" spans="1:10" x14ac:dyDescent="0.25">
      <c r="A5174">
        <v>5845</v>
      </c>
      <c r="B5174">
        <v>1</v>
      </c>
      <c r="C5174">
        <v>596</v>
      </c>
      <c r="D5174">
        <v>471</v>
      </c>
      <c r="E5174">
        <v>8829356</v>
      </c>
      <c r="F5174">
        <v>5169</v>
      </c>
      <c r="G5174">
        <v>0</v>
      </c>
      <c r="H5174" t="s">
        <v>10096</v>
      </c>
      <c r="I5174">
        <v>5845</v>
      </c>
      <c r="J5174" t="str">
        <f>VLOOKUP(E5174,DSSpieler!A:B,2,FALSE)</f>
        <v>Judgement01</v>
      </c>
    </row>
    <row r="5175" spans="1:10" x14ac:dyDescent="0.25">
      <c r="A5175">
        <v>5846</v>
      </c>
      <c r="B5175" t="s">
        <v>531</v>
      </c>
      <c r="C5175">
        <v>556</v>
      </c>
      <c r="D5175">
        <v>503</v>
      </c>
      <c r="E5175">
        <v>0</v>
      </c>
      <c r="F5175">
        <v>421</v>
      </c>
      <c r="G5175">
        <v>0</v>
      </c>
      <c r="H5175" t="s">
        <v>10097</v>
      </c>
      <c r="I5175">
        <v>5846</v>
      </c>
      <c r="J5175" t="e">
        <f>VLOOKUP(E5175,DSSpieler!A:B,2,FALSE)</f>
        <v>#N/A</v>
      </c>
    </row>
    <row r="5176" spans="1:10" x14ac:dyDescent="0.25">
      <c r="A5176">
        <v>5847</v>
      </c>
      <c r="B5176" t="s">
        <v>1453</v>
      </c>
      <c r="C5176">
        <v>426</v>
      </c>
      <c r="D5176">
        <v>501</v>
      </c>
      <c r="E5176">
        <v>1577174424</v>
      </c>
      <c r="F5176">
        <v>3710</v>
      </c>
      <c r="G5176">
        <v>0</v>
      </c>
      <c r="H5176" t="s">
        <v>10098</v>
      </c>
      <c r="I5176">
        <v>5847</v>
      </c>
      <c r="J5176" t="str">
        <f>VLOOKUP(E5176,DSSpieler!A:B,2,FALSE)</f>
        <v>Patrick666</v>
      </c>
    </row>
    <row r="5177" spans="1:10" x14ac:dyDescent="0.25">
      <c r="A5177">
        <v>5848</v>
      </c>
      <c r="B5177" t="s">
        <v>531</v>
      </c>
      <c r="C5177">
        <v>517</v>
      </c>
      <c r="D5177">
        <v>394</v>
      </c>
      <c r="E5177">
        <v>0</v>
      </c>
      <c r="F5177">
        <v>643</v>
      </c>
      <c r="G5177">
        <v>0</v>
      </c>
      <c r="H5177" t="s">
        <v>10099</v>
      </c>
      <c r="I5177">
        <v>5848</v>
      </c>
      <c r="J5177" t="e">
        <f>VLOOKUP(E5177,DSSpieler!A:B,2,FALSE)</f>
        <v>#N/A</v>
      </c>
    </row>
    <row r="5178" spans="1:10" x14ac:dyDescent="0.25">
      <c r="A5178">
        <v>5849</v>
      </c>
      <c r="B5178" t="s">
        <v>1454</v>
      </c>
      <c r="C5178">
        <v>443</v>
      </c>
      <c r="D5178">
        <v>592</v>
      </c>
      <c r="E5178">
        <v>1577192052</v>
      </c>
      <c r="F5178">
        <v>5000</v>
      </c>
      <c r="G5178">
        <v>0</v>
      </c>
      <c r="H5178" t="s">
        <v>10100</v>
      </c>
      <c r="I5178">
        <v>5849</v>
      </c>
      <c r="J5178" t="str">
        <f>VLOOKUP(E5178,DSSpieler!A:B,2,FALSE)</f>
        <v>-Albi-</v>
      </c>
    </row>
    <row r="5179" spans="1:10" x14ac:dyDescent="0.25">
      <c r="A5179">
        <v>5850</v>
      </c>
      <c r="B5179" t="s">
        <v>32619</v>
      </c>
      <c r="C5179">
        <v>444</v>
      </c>
      <c r="D5179">
        <v>546</v>
      </c>
      <c r="E5179">
        <v>1577197618</v>
      </c>
      <c r="F5179">
        <v>4498</v>
      </c>
      <c r="G5179">
        <v>0</v>
      </c>
      <c r="H5179" t="s">
        <v>10101</v>
      </c>
      <c r="I5179">
        <v>5850</v>
      </c>
      <c r="J5179" t="str">
        <f>VLOOKUP(E5179,DSSpieler!A:B,2,FALSE)</f>
        <v>Hypax</v>
      </c>
    </row>
    <row r="5180" spans="1:10" x14ac:dyDescent="0.25">
      <c r="A5180">
        <v>5851</v>
      </c>
      <c r="B5180">
        <v>2</v>
      </c>
      <c r="C5180">
        <v>485</v>
      </c>
      <c r="D5180">
        <v>421</v>
      </c>
      <c r="E5180">
        <v>1041015</v>
      </c>
      <c r="F5180">
        <v>7377</v>
      </c>
      <c r="G5180">
        <v>0</v>
      </c>
      <c r="H5180" t="s">
        <v>10102</v>
      </c>
      <c r="I5180">
        <v>5851</v>
      </c>
      <c r="J5180" t="str">
        <f>VLOOKUP(E5180,DSSpieler!A:B,2,FALSE)</f>
        <v>Messi11</v>
      </c>
    </row>
    <row r="5181" spans="1:10" x14ac:dyDescent="0.25">
      <c r="A5181">
        <v>5852</v>
      </c>
      <c r="B5181" t="s">
        <v>32620</v>
      </c>
      <c r="C5181">
        <v>419</v>
      </c>
      <c r="D5181">
        <v>518</v>
      </c>
      <c r="E5181">
        <v>1576968765</v>
      </c>
      <c r="F5181">
        <v>5786</v>
      </c>
      <c r="G5181">
        <v>0</v>
      </c>
      <c r="H5181" t="s">
        <v>10103</v>
      </c>
      <c r="I5181">
        <v>5852</v>
      </c>
      <c r="J5181" t="str">
        <f>VLOOKUP(E5181,DSSpieler!A:B,2,FALSE)</f>
        <v>NoFarmShit</v>
      </c>
    </row>
    <row r="5182" spans="1:10" x14ac:dyDescent="0.25">
      <c r="A5182">
        <v>5854</v>
      </c>
      <c r="B5182" t="e">
        <f>-3-+Stuttgart</f>
        <v>#NAME?</v>
      </c>
      <c r="C5182">
        <v>464</v>
      </c>
      <c r="D5182">
        <v>532</v>
      </c>
      <c r="E5182">
        <v>230810</v>
      </c>
      <c r="F5182">
        <v>1786</v>
      </c>
      <c r="G5182">
        <v>0</v>
      </c>
      <c r="H5182" t="s">
        <v>10104</v>
      </c>
      <c r="I5182">
        <v>5854</v>
      </c>
      <c r="J5182" t="str">
        <f>VLOOKUP(E5182,DSSpieler!A:B,2,FALSE)</f>
        <v>Black Terror</v>
      </c>
    </row>
    <row r="5183" spans="1:10" x14ac:dyDescent="0.25">
      <c r="A5183">
        <v>5855</v>
      </c>
      <c r="B5183" t="s">
        <v>531</v>
      </c>
      <c r="C5183">
        <v>543</v>
      </c>
      <c r="D5183">
        <v>528</v>
      </c>
      <c r="E5183">
        <v>0</v>
      </c>
      <c r="F5183">
        <v>250</v>
      </c>
      <c r="G5183">
        <v>0</v>
      </c>
      <c r="H5183" t="s">
        <v>10105</v>
      </c>
      <c r="I5183">
        <v>5855</v>
      </c>
      <c r="J5183" t="e">
        <f>VLOOKUP(E5183,DSSpieler!A:B,2,FALSE)</f>
        <v>#N/A</v>
      </c>
    </row>
    <row r="5184" spans="1:10" x14ac:dyDescent="0.25">
      <c r="A5184">
        <v>5856</v>
      </c>
      <c r="B5184" t="s">
        <v>32621</v>
      </c>
      <c r="C5184">
        <v>544</v>
      </c>
      <c r="D5184">
        <v>447</v>
      </c>
      <c r="E5184">
        <v>1577195512</v>
      </c>
      <c r="F5184">
        <v>587</v>
      </c>
      <c r="G5184">
        <v>0</v>
      </c>
      <c r="H5184" t="s">
        <v>10106</v>
      </c>
      <c r="I5184">
        <v>5856</v>
      </c>
      <c r="J5184" t="str">
        <f>VLOOKUP(E5184,DSSpieler!A:B,2,FALSE)</f>
        <v>PaChrEd</v>
      </c>
    </row>
    <row r="5185" spans="1:10" x14ac:dyDescent="0.25">
      <c r="A5185">
        <v>5857</v>
      </c>
      <c r="B5185" t="s">
        <v>30531</v>
      </c>
      <c r="C5185">
        <v>452</v>
      </c>
      <c r="D5185">
        <v>502</v>
      </c>
      <c r="E5185">
        <v>8663413</v>
      </c>
      <c r="F5185">
        <v>2554</v>
      </c>
      <c r="G5185">
        <v>0</v>
      </c>
      <c r="H5185" t="s">
        <v>10107</v>
      </c>
      <c r="I5185">
        <v>5857</v>
      </c>
      <c r="J5185" t="str">
        <f>VLOOKUP(E5185,DSSpieler!A:B,2,FALSE)</f>
        <v>SquoX</v>
      </c>
    </row>
    <row r="5186" spans="1:10" x14ac:dyDescent="0.25">
      <c r="A5186">
        <v>5858</v>
      </c>
      <c r="B5186" t="s">
        <v>32622</v>
      </c>
      <c r="C5186">
        <v>561</v>
      </c>
      <c r="D5186">
        <v>437</v>
      </c>
      <c r="E5186">
        <v>1577195970</v>
      </c>
      <c r="F5186">
        <v>5972</v>
      </c>
      <c r="G5186">
        <v>0</v>
      </c>
      <c r="H5186" t="s">
        <v>10108</v>
      </c>
      <c r="I5186">
        <v>5858</v>
      </c>
      <c r="J5186" t="str">
        <f>VLOOKUP(E5186,DSSpieler!A:B,2,FALSE)</f>
        <v>bpm-junk</v>
      </c>
    </row>
    <row r="5187" spans="1:10" x14ac:dyDescent="0.25">
      <c r="A5187">
        <v>5859</v>
      </c>
      <c r="B5187" t="s">
        <v>32623</v>
      </c>
      <c r="C5187">
        <v>532</v>
      </c>
      <c r="D5187">
        <v>412</v>
      </c>
      <c r="E5187">
        <v>8076591</v>
      </c>
      <c r="F5187">
        <v>2025</v>
      </c>
      <c r="G5187">
        <v>0</v>
      </c>
      <c r="H5187" t="s">
        <v>10109</v>
      </c>
      <c r="I5187">
        <v>5859</v>
      </c>
      <c r="J5187" t="str">
        <f>VLOOKUP(E5187,DSSpieler!A:B,2,FALSE)</f>
        <v>Hinsel</v>
      </c>
    </row>
    <row r="5188" spans="1:10" x14ac:dyDescent="0.25">
      <c r="A5188">
        <v>5860</v>
      </c>
      <c r="B5188" t="s">
        <v>32624</v>
      </c>
      <c r="C5188">
        <v>451</v>
      </c>
      <c r="D5188">
        <v>480</v>
      </c>
      <c r="E5188">
        <v>1576890084</v>
      </c>
      <c r="F5188">
        <v>4261</v>
      </c>
      <c r="G5188">
        <v>0</v>
      </c>
      <c r="H5188" t="s">
        <v>10110</v>
      </c>
      <c r="I5188">
        <v>5860</v>
      </c>
      <c r="J5188" t="str">
        <f>VLOOKUP(E5188,DSSpieler!A:B,2,FALSE)</f>
        <v>stickman4848</v>
      </c>
    </row>
    <row r="5189" spans="1:10" x14ac:dyDescent="0.25">
      <c r="A5189">
        <v>5861</v>
      </c>
      <c r="B5189" t="s">
        <v>32625</v>
      </c>
      <c r="C5189">
        <v>447</v>
      </c>
      <c r="D5189">
        <v>447</v>
      </c>
      <c r="E5189">
        <v>1577175475</v>
      </c>
      <c r="F5189">
        <v>5979</v>
      </c>
      <c r="G5189">
        <v>0</v>
      </c>
      <c r="H5189" t="s">
        <v>10111</v>
      </c>
      <c r="I5189">
        <v>5861</v>
      </c>
      <c r="J5189" t="str">
        <f>VLOOKUP(E5189,DSSpieler!A:B,2,FALSE)</f>
        <v>MikuChan</v>
      </c>
    </row>
    <row r="5190" spans="1:10" x14ac:dyDescent="0.25">
      <c r="A5190">
        <v>5862</v>
      </c>
      <c r="B5190" t="s">
        <v>31308</v>
      </c>
      <c r="C5190">
        <v>401</v>
      </c>
      <c r="D5190">
        <v>523</v>
      </c>
      <c r="E5190">
        <v>1577055127</v>
      </c>
      <c r="F5190">
        <v>7539</v>
      </c>
      <c r="G5190">
        <v>0</v>
      </c>
      <c r="H5190" t="s">
        <v>10112</v>
      </c>
      <c r="I5190">
        <v>5862</v>
      </c>
      <c r="J5190" t="str">
        <f>VLOOKUP(E5190,DSSpieler!A:B,2,FALSE)</f>
        <v>Karnalos</v>
      </c>
    </row>
    <row r="5191" spans="1:10" x14ac:dyDescent="0.25">
      <c r="A5191">
        <v>5863</v>
      </c>
      <c r="B5191" t="s">
        <v>531</v>
      </c>
      <c r="C5191">
        <v>517</v>
      </c>
      <c r="D5191">
        <v>549</v>
      </c>
      <c r="E5191">
        <v>0</v>
      </c>
      <c r="F5191">
        <v>300</v>
      </c>
      <c r="G5191">
        <v>0</v>
      </c>
      <c r="H5191" t="s">
        <v>10113</v>
      </c>
      <c r="I5191">
        <v>5863</v>
      </c>
      <c r="J5191" t="e">
        <f>VLOOKUP(E5191,DSSpieler!A:B,2,FALSE)</f>
        <v>#N/A</v>
      </c>
    </row>
    <row r="5192" spans="1:10" x14ac:dyDescent="0.25">
      <c r="A5192">
        <v>5864</v>
      </c>
      <c r="B5192" t="s">
        <v>32626</v>
      </c>
      <c r="C5192">
        <v>440</v>
      </c>
      <c r="D5192">
        <v>470</v>
      </c>
      <c r="E5192">
        <v>1575953788</v>
      </c>
      <c r="F5192">
        <v>3905</v>
      </c>
      <c r="G5192">
        <v>0</v>
      </c>
      <c r="H5192" t="s">
        <v>10114</v>
      </c>
      <c r="I5192">
        <v>5864</v>
      </c>
      <c r="J5192" t="str">
        <f>VLOOKUP(E5192,DSSpieler!A:B,2,FALSE)</f>
        <v>BruderSamuel</v>
      </c>
    </row>
    <row r="5193" spans="1:10" x14ac:dyDescent="0.25">
      <c r="A5193">
        <v>5866</v>
      </c>
      <c r="B5193" t="s">
        <v>1455</v>
      </c>
      <c r="C5193">
        <v>434</v>
      </c>
      <c r="D5193">
        <v>536</v>
      </c>
      <c r="E5193">
        <v>1576575171</v>
      </c>
      <c r="F5193">
        <v>3938</v>
      </c>
      <c r="G5193">
        <v>0</v>
      </c>
      <c r="H5193" t="s">
        <v>10115</v>
      </c>
      <c r="I5193">
        <v>5866</v>
      </c>
      <c r="J5193" t="str">
        <f>VLOOKUP(E5193,DSSpieler!A:B,2,FALSE)</f>
        <v>2HCL</v>
      </c>
    </row>
    <row r="5194" spans="1:10" x14ac:dyDescent="0.25">
      <c r="A5194">
        <v>5868</v>
      </c>
      <c r="B5194" t="s">
        <v>1456</v>
      </c>
      <c r="C5194">
        <v>532</v>
      </c>
      <c r="D5194">
        <v>450</v>
      </c>
      <c r="E5194">
        <v>1192855</v>
      </c>
      <c r="F5194">
        <v>3202</v>
      </c>
      <c r="G5194">
        <v>0</v>
      </c>
      <c r="H5194" t="s">
        <v>10116</v>
      </c>
      <c r="I5194">
        <v>5868</v>
      </c>
      <c r="J5194" t="str">
        <f>VLOOKUP(E5194,DSSpieler!A:B,2,FALSE)</f>
        <v>Randy Orton32</v>
      </c>
    </row>
    <row r="5195" spans="1:10" x14ac:dyDescent="0.25">
      <c r="A5195">
        <v>5869</v>
      </c>
      <c r="B5195" t="s">
        <v>32627</v>
      </c>
      <c r="C5195">
        <v>519</v>
      </c>
      <c r="D5195">
        <v>571</v>
      </c>
      <c r="E5195">
        <v>9849432</v>
      </c>
      <c r="F5195">
        <v>5918</v>
      </c>
      <c r="G5195">
        <v>0</v>
      </c>
      <c r="H5195" t="s">
        <v>10117</v>
      </c>
      <c r="I5195">
        <v>5869</v>
      </c>
      <c r="J5195" t="str">
        <f>VLOOKUP(E5195,DSSpieler!A:B,2,FALSE)</f>
        <v>Lord H3iland</v>
      </c>
    </row>
    <row r="5196" spans="1:10" x14ac:dyDescent="0.25">
      <c r="A5196">
        <v>5870</v>
      </c>
      <c r="B5196" t="s">
        <v>531</v>
      </c>
      <c r="C5196">
        <v>491</v>
      </c>
      <c r="D5196">
        <v>484</v>
      </c>
      <c r="E5196">
        <v>0</v>
      </c>
      <c r="F5196">
        <v>332</v>
      </c>
      <c r="G5196">
        <v>0</v>
      </c>
      <c r="H5196" t="s">
        <v>10118</v>
      </c>
      <c r="I5196">
        <v>5870</v>
      </c>
      <c r="J5196" t="e">
        <f>VLOOKUP(E5196,DSSpieler!A:B,2,FALSE)</f>
        <v>#N/A</v>
      </c>
    </row>
    <row r="5197" spans="1:10" x14ac:dyDescent="0.25">
      <c r="A5197">
        <v>5871</v>
      </c>
      <c r="B5197" t="s">
        <v>32628</v>
      </c>
      <c r="C5197">
        <v>481</v>
      </c>
      <c r="D5197">
        <v>476</v>
      </c>
      <c r="E5197">
        <v>1577186679</v>
      </c>
      <c r="F5197">
        <v>5206</v>
      </c>
      <c r="G5197">
        <v>0</v>
      </c>
      <c r="H5197" t="s">
        <v>10119</v>
      </c>
      <c r="I5197">
        <v>5871</v>
      </c>
      <c r="J5197" t="str">
        <f>VLOOKUP(E5197,DSSpieler!A:B,2,FALSE)</f>
        <v>H8erboy</v>
      </c>
    </row>
    <row r="5198" spans="1:10" x14ac:dyDescent="0.25">
      <c r="A5198">
        <v>5874</v>
      </c>
      <c r="B5198" t="s">
        <v>1457</v>
      </c>
      <c r="C5198">
        <v>527</v>
      </c>
      <c r="D5198">
        <v>406</v>
      </c>
      <c r="E5198">
        <v>1575910986</v>
      </c>
      <c r="F5198">
        <v>5518</v>
      </c>
      <c r="G5198">
        <v>0</v>
      </c>
      <c r="H5198" t="s">
        <v>10120</v>
      </c>
      <c r="I5198">
        <v>5874</v>
      </c>
      <c r="J5198" t="str">
        <f>VLOOKUP(E5198,DSSpieler!A:B,2,FALSE)</f>
        <v>funplayer1</v>
      </c>
    </row>
    <row r="5199" spans="1:10" x14ac:dyDescent="0.25">
      <c r="A5199">
        <v>5875</v>
      </c>
      <c r="B5199" t="s">
        <v>1458</v>
      </c>
      <c r="C5199">
        <v>410</v>
      </c>
      <c r="D5199">
        <v>516</v>
      </c>
      <c r="E5199">
        <v>1576189675</v>
      </c>
      <c r="F5199">
        <v>5427</v>
      </c>
      <c r="G5199">
        <v>0</v>
      </c>
      <c r="H5199" t="s">
        <v>10121</v>
      </c>
      <c r="I5199">
        <v>5875</v>
      </c>
      <c r="J5199" t="str">
        <f>VLOOKUP(E5199,DSSpieler!A:B,2,FALSE)</f>
        <v>-.Sylar</v>
      </c>
    </row>
    <row r="5200" spans="1:10" x14ac:dyDescent="0.25">
      <c r="A5200">
        <v>5876</v>
      </c>
      <c r="B5200" t="s">
        <v>531</v>
      </c>
      <c r="C5200">
        <v>486</v>
      </c>
      <c r="D5200">
        <v>432</v>
      </c>
      <c r="E5200">
        <v>0</v>
      </c>
      <c r="F5200">
        <v>456</v>
      </c>
      <c r="G5200">
        <v>0</v>
      </c>
      <c r="H5200" t="s">
        <v>10122</v>
      </c>
      <c r="I5200">
        <v>5876</v>
      </c>
      <c r="J5200" t="e">
        <f>VLOOKUP(E5200,DSSpieler!A:B,2,FALSE)</f>
        <v>#N/A</v>
      </c>
    </row>
    <row r="5201" spans="1:10" x14ac:dyDescent="0.25">
      <c r="A5201">
        <v>5877</v>
      </c>
      <c r="B5201" t="s">
        <v>32629</v>
      </c>
      <c r="C5201">
        <v>598</v>
      </c>
      <c r="D5201">
        <v>485</v>
      </c>
      <c r="E5201">
        <v>1138743</v>
      </c>
      <c r="F5201">
        <v>8532</v>
      </c>
      <c r="G5201">
        <v>0</v>
      </c>
      <c r="H5201" t="s">
        <v>10123</v>
      </c>
      <c r="I5201">
        <v>5877</v>
      </c>
      <c r="J5201" t="str">
        <f>VLOOKUP(E5201,DSSpieler!A:B,2,FALSE)</f>
        <v>siztachiqz</v>
      </c>
    </row>
    <row r="5202" spans="1:10" x14ac:dyDescent="0.25">
      <c r="A5202">
        <v>5878</v>
      </c>
      <c r="B5202" t="e">
        <f>-1-+Bogota</f>
        <v>#NAME?</v>
      </c>
      <c r="C5202">
        <v>502</v>
      </c>
      <c r="D5202">
        <v>402</v>
      </c>
      <c r="E5202">
        <v>1577185946</v>
      </c>
      <c r="F5202">
        <v>4454</v>
      </c>
      <c r="G5202">
        <v>0</v>
      </c>
      <c r="H5202" t="s">
        <v>10124</v>
      </c>
      <c r="I5202">
        <v>5878</v>
      </c>
      <c r="J5202" t="str">
        <f>VLOOKUP(E5202,DSSpieler!A:B,2,FALSE)</f>
        <v>Milcharbeiter</v>
      </c>
    </row>
    <row r="5203" spans="1:10" x14ac:dyDescent="0.25">
      <c r="A5203">
        <v>5879</v>
      </c>
      <c r="B5203" t="s">
        <v>1459</v>
      </c>
      <c r="C5203">
        <v>454</v>
      </c>
      <c r="D5203">
        <v>548</v>
      </c>
      <c r="E5203">
        <v>3210351</v>
      </c>
      <c r="F5203">
        <v>944</v>
      </c>
      <c r="G5203">
        <v>0</v>
      </c>
      <c r="H5203" t="s">
        <v>10125</v>
      </c>
      <c r="I5203">
        <v>5879</v>
      </c>
      <c r="J5203" t="str">
        <f>VLOOKUP(E5203,DSSpieler!A:B,2,FALSE)</f>
        <v>qierli</v>
      </c>
    </row>
    <row r="5204" spans="1:10" x14ac:dyDescent="0.25">
      <c r="A5204">
        <v>5880</v>
      </c>
      <c r="B5204" t="s">
        <v>531</v>
      </c>
      <c r="C5204">
        <v>479</v>
      </c>
      <c r="D5204">
        <v>502</v>
      </c>
      <c r="E5204">
        <v>0</v>
      </c>
      <c r="F5204">
        <v>395</v>
      </c>
      <c r="G5204">
        <v>0</v>
      </c>
      <c r="H5204" t="s">
        <v>10126</v>
      </c>
      <c r="I5204">
        <v>5880</v>
      </c>
      <c r="J5204" t="e">
        <f>VLOOKUP(E5204,DSSpieler!A:B,2,FALSE)</f>
        <v>#N/A</v>
      </c>
    </row>
    <row r="5205" spans="1:10" x14ac:dyDescent="0.25">
      <c r="A5205">
        <v>5881</v>
      </c>
      <c r="B5205" t="s">
        <v>32630</v>
      </c>
      <c r="C5205">
        <v>569</v>
      </c>
      <c r="D5205">
        <v>514</v>
      </c>
      <c r="E5205">
        <v>1576956193</v>
      </c>
      <c r="F5205">
        <v>7718</v>
      </c>
      <c r="G5205">
        <v>0</v>
      </c>
      <c r="H5205" t="s">
        <v>10127</v>
      </c>
      <c r="I5205">
        <v>5881</v>
      </c>
      <c r="J5205" t="str">
        <f>VLOOKUP(E5205,DSSpieler!A:B,2,FALSE)</f>
        <v>Pyrotiger86</v>
      </c>
    </row>
    <row r="5206" spans="1:10" x14ac:dyDescent="0.25">
      <c r="A5206">
        <v>5882</v>
      </c>
      <c r="B5206" t="s">
        <v>630</v>
      </c>
      <c r="C5206">
        <v>398</v>
      </c>
      <c r="D5206">
        <v>476</v>
      </c>
      <c r="E5206">
        <v>1576917406</v>
      </c>
      <c r="F5206">
        <v>7489</v>
      </c>
      <c r="G5206">
        <v>0</v>
      </c>
      <c r="H5206" t="s">
        <v>10128</v>
      </c>
      <c r="I5206">
        <v>5882</v>
      </c>
      <c r="J5206" t="str">
        <f>VLOOKUP(E5206,DSSpieler!A:B,2,FALSE)</f>
        <v>BerserkX</v>
      </c>
    </row>
    <row r="5207" spans="1:10" x14ac:dyDescent="0.25">
      <c r="A5207">
        <v>5883</v>
      </c>
      <c r="B5207" t="s">
        <v>32631</v>
      </c>
      <c r="C5207">
        <v>550</v>
      </c>
      <c r="D5207">
        <v>564</v>
      </c>
      <c r="E5207">
        <v>10098622</v>
      </c>
      <c r="F5207">
        <v>2002</v>
      </c>
      <c r="G5207">
        <v>0</v>
      </c>
      <c r="H5207" t="s">
        <v>10129</v>
      </c>
      <c r="I5207">
        <v>5883</v>
      </c>
      <c r="J5207" t="str">
        <f>VLOOKUP(E5207,DSSpieler!A:B,2,FALSE)</f>
        <v>Dönerboer</v>
      </c>
    </row>
    <row r="5208" spans="1:10" x14ac:dyDescent="0.25">
      <c r="A5208">
        <v>5884</v>
      </c>
      <c r="B5208" t="s">
        <v>32632</v>
      </c>
      <c r="C5208">
        <v>594</v>
      </c>
      <c r="D5208">
        <v>466</v>
      </c>
      <c r="E5208">
        <v>1577195841</v>
      </c>
      <c r="F5208">
        <v>6494</v>
      </c>
      <c r="G5208">
        <v>0</v>
      </c>
      <c r="H5208" t="s">
        <v>10130</v>
      </c>
      <c r="I5208">
        <v>5884</v>
      </c>
      <c r="J5208" t="str">
        <f>VLOOKUP(E5208,DSSpieler!A:B,2,FALSE)</f>
        <v>Arsix</v>
      </c>
    </row>
    <row r="5209" spans="1:10" x14ac:dyDescent="0.25">
      <c r="A5209">
        <v>5885</v>
      </c>
      <c r="B5209" t="s">
        <v>531</v>
      </c>
      <c r="C5209">
        <v>536</v>
      </c>
      <c r="D5209">
        <v>496</v>
      </c>
      <c r="E5209">
        <v>0</v>
      </c>
      <c r="F5209">
        <v>349</v>
      </c>
      <c r="G5209">
        <v>0</v>
      </c>
      <c r="H5209" t="s">
        <v>10131</v>
      </c>
      <c r="I5209">
        <v>5885</v>
      </c>
      <c r="J5209" t="e">
        <f>VLOOKUP(E5209,DSSpieler!A:B,2,FALSE)</f>
        <v>#N/A</v>
      </c>
    </row>
    <row r="5210" spans="1:10" x14ac:dyDescent="0.25">
      <c r="A5210">
        <v>5886</v>
      </c>
      <c r="B5210" t="s">
        <v>32633</v>
      </c>
      <c r="C5210">
        <v>501</v>
      </c>
      <c r="D5210">
        <v>578</v>
      </c>
      <c r="E5210">
        <v>9629783</v>
      </c>
      <c r="F5210">
        <v>2729</v>
      </c>
      <c r="G5210">
        <v>0</v>
      </c>
      <c r="H5210" t="s">
        <v>10132</v>
      </c>
      <c r="I5210">
        <v>5886</v>
      </c>
      <c r="J5210" t="str">
        <f>VLOOKUP(E5210,DSSpieler!A:B,2,FALSE)</f>
        <v>wersus10</v>
      </c>
    </row>
    <row r="5211" spans="1:10" x14ac:dyDescent="0.25">
      <c r="A5211">
        <v>5888</v>
      </c>
      <c r="B5211" t="s">
        <v>32634</v>
      </c>
      <c r="C5211">
        <v>426</v>
      </c>
      <c r="D5211">
        <v>524</v>
      </c>
      <c r="E5211">
        <v>1577138821</v>
      </c>
      <c r="F5211">
        <v>5325</v>
      </c>
      <c r="G5211">
        <v>0</v>
      </c>
      <c r="H5211" t="s">
        <v>10133</v>
      </c>
      <c r="I5211">
        <v>5888</v>
      </c>
      <c r="J5211" t="str">
        <f>VLOOKUP(E5211,DSSpieler!A:B,2,FALSE)</f>
        <v>DSEhrenmann93</v>
      </c>
    </row>
    <row r="5212" spans="1:10" x14ac:dyDescent="0.25">
      <c r="A5212">
        <v>5889</v>
      </c>
      <c r="B5212" t="s">
        <v>32635</v>
      </c>
      <c r="C5212">
        <v>502</v>
      </c>
      <c r="D5212">
        <v>401</v>
      </c>
      <c r="E5212">
        <v>1577193955</v>
      </c>
      <c r="F5212">
        <v>5807</v>
      </c>
      <c r="G5212">
        <v>0</v>
      </c>
      <c r="H5212" t="s">
        <v>10134</v>
      </c>
      <c r="I5212">
        <v>5889</v>
      </c>
      <c r="J5212" t="str">
        <f>VLOOKUP(E5212,DSSpieler!A:B,2,FALSE)</f>
        <v>Tigger.</v>
      </c>
    </row>
    <row r="5213" spans="1:10" x14ac:dyDescent="0.25">
      <c r="A5213">
        <v>5890</v>
      </c>
      <c r="B5213" t="s">
        <v>32636</v>
      </c>
      <c r="C5213">
        <v>561</v>
      </c>
      <c r="D5213">
        <v>461</v>
      </c>
      <c r="E5213">
        <v>8334558</v>
      </c>
      <c r="F5213">
        <v>5438</v>
      </c>
      <c r="G5213">
        <v>0</v>
      </c>
      <c r="H5213" t="s">
        <v>10135</v>
      </c>
      <c r="I5213">
        <v>5890</v>
      </c>
      <c r="J5213" t="str">
        <f>VLOOKUP(E5213,DSSpieler!A:B,2,FALSE)</f>
        <v>xHannes</v>
      </c>
    </row>
    <row r="5214" spans="1:10" x14ac:dyDescent="0.25">
      <c r="A5214">
        <v>5891</v>
      </c>
      <c r="B5214" t="s">
        <v>531</v>
      </c>
      <c r="C5214">
        <v>470</v>
      </c>
      <c r="D5214">
        <v>447</v>
      </c>
      <c r="E5214">
        <v>0</v>
      </c>
      <c r="F5214">
        <v>657</v>
      </c>
      <c r="G5214">
        <v>0</v>
      </c>
      <c r="H5214" t="s">
        <v>10136</v>
      </c>
      <c r="I5214">
        <v>5891</v>
      </c>
      <c r="J5214" t="e">
        <f>VLOOKUP(E5214,DSSpieler!A:B,2,FALSE)</f>
        <v>#N/A</v>
      </c>
    </row>
    <row r="5215" spans="1:10" x14ac:dyDescent="0.25">
      <c r="A5215">
        <v>5892</v>
      </c>
      <c r="B5215" t="s">
        <v>32637</v>
      </c>
      <c r="C5215">
        <v>600</v>
      </c>
      <c r="D5215">
        <v>466</v>
      </c>
      <c r="E5215">
        <v>1577175443</v>
      </c>
      <c r="F5215">
        <v>5965</v>
      </c>
      <c r="G5215">
        <v>0</v>
      </c>
      <c r="H5215" t="s">
        <v>10137</v>
      </c>
      <c r="I5215">
        <v>5892</v>
      </c>
      <c r="J5215" t="str">
        <f>VLOOKUP(E5215,DSSpieler!A:B,2,FALSE)</f>
        <v>HilloGames</v>
      </c>
    </row>
    <row r="5216" spans="1:10" x14ac:dyDescent="0.25">
      <c r="A5216">
        <v>5893</v>
      </c>
      <c r="B5216" t="s">
        <v>531</v>
      </c>
      <c r="C5216">
        <v>471</v>
      </c>
      <c r="D5216">
        <v>431</v>
      </c>
      <c r="E5216">
        <v>0</v>
      </c>
      <c r="F5216">
        <v>381</v>
      </c>
      <c r="G5216">
        <v>0</v>
      </c>
      <c r="H5216" t="s">
        <v>10138</v>
      </c>
      <c r="I5216">
        <v>5893</v>
      </c>
      <c r="J5216" t="e">
        <f>VLOOKUP(E5216,DSSpieler!A:B,2,FALSE)</f>
        <v>#N/A</v>
      </c>
    </row>
    <row r="5217" spans="1:10" x14ac:dyDescent="0.25">
      <c r="A5217">
        <v>5894</v>
      </c>
      <c r="B5217" t="s">
        <v>32638</v>
      </c>
      <c r="C5217">
        <v>574</v>
      </c>
      <c r="D5217">
        <v>515</v>
      </c>
      <c r="E5217">
        <v>1576772564</v>
      </c>
      <c r="F5217">
        <v>5746</v>
      </c>
      <c r="G5217">
        <v>0</v>
      </c>
      <c r="H5217" t="s">
        <v>10139</v>
      </c>
      <c r="I5217">
        <v>5894</v>
      </c>
      <c r="J5217" t="str">
        <f>VLOOKUP(E5217,DSSpieler!A:B,2,FALSE)</f>
        <v>derbessere</v>
      </c>
    </row>
    <row r="5218" spans="1:10" x14ac:dyDescent="0.25">
      <c r="A5218">
        <v>5895</v>
      </c>
      <c r="B5218" t="s">
        <v>531</v>
      </c>
      <c r="C5218">
        <v>568</v>
      </c>
      <c r="D5218">
        <v>536</v>
      </c>
      <c r="E5218">
        <v>0</v>
      </c>
      <c r="F5218">
        <v>423</v>
      </c>
      <c r="G5218">
        <v>0</v>
      </c>
      <c r="H5218" t="s">
        <v>10140</v>
      </c>
      <c r="I5218">
        <v>5895</v>
      </c>
      <c r="J5218" t="e">
        <f>VLOOKUP(E5218,DSSpieler!A:B,2,FALSE)</f>
        <v>#N/A</v>
      </c>
    </row>
    <row r="5219" spans="1:10" x14ac:dyDescent="0.25">
      <c r="A5219">
        <v>5896</v>
      </c>
      <c r="B5219" t="s">
        <v>32639</v>
      </c>
      <c r="C5219">
        <v>507</v>
      </c>
      <c r="D5219">
        <v>439</v>
      </c>
      <c r="E5219">
        <v>1577006772</v>
      </c>
      <c r="F5219">
        <v>6116</v>
      </c>
      <c r="G5219">
        <v>0</v>
      </c>
      <c r="H5219" t="s">
        <v>10141</v>
      </c>
      <c r="I5219">
        <v>5896</v>
      </c>
      <c r="J5219" t="str">
        <f>VLOOKUP(E5219,DSSpieler!A:B,2,FALSE)</f>
        <v>Toolrebel</v>
      </c>
    </row>
    <row r="5220" spans="1:10" x14ac:dyDescent="0.25">
      <c r="A5220">
        <v>5897</v>
      </c>
      <c r="B5220" t="s">
        <v>32640</v>
      </c>
      <c r="C5220">
        <v>551</v>
      </c>
      <c r="D5220">
        <v>424</v>
      </c>
      <c r="E5220">
        <v>9422279</v>
      </c>
      <c r="F5220">
        <v>4986</v>
      </c>
      <c r="G5220">
        <v>0</v>
      </c>
      <c r="H5220" t="s">
        <v>10142</v>
      </c>
      <c r="I5220">
        <v>5897</v>
      </c>
      <c r="J5220" t="str">
        <f>VLOOKUP(E5220,DSSpieler!A:B,2,FALSE)</f>
        <v>Castro</v>
      </c>
    </row>
    <row r="5221" spans="1:10" x14ac:dyDescent="0.25">
      <c r="A5221">
        <v>5899</v>
      </c>
      <c r="B5221" t="e">
        <f>-1-+Kun+Aguero</f>
        <v>#NAME?</v>
      </c>
      <c r="C5221">
        <v>405</v>
      </c>
      <c r="D5221">
        <v>471</v>
      </c>
      <c r="E5221">
        <v>10267140</v>
      </c>
      <c r="F5221">
        <v>6198</v>
      </c>
      <c r="G5221">
        <v>0</v>
      </c>
      <c r="H5221" t="s">
        <v>10143</v>
      </c>
      <c r="I5221">
        <v>5899</v>
      </c>
      <c r="J5221" t="str">
        <f>VLOOKUP(E5221,DSSpieler!A:B,2,FALSE)</f>
        <v>Gudanggaram</v>
      </c>
    </row>
    <row r="5222" spans="1:10" x14ac:dyDescent="0.25">
      <c r="A5222">
        <v>5900</v>
      </c>
      <c r="B5222" t="s">
        <v>32641</v>
      </c>
      <c r="C5222">
        <v>435</v>
      </c>
      <c r="D5222">
        <v>531</v>
      </c>
      <c r="E5222">
        <v>1576755690</v>
      </c>
      <c r="F5222">
        <v>5645</v>
      </c>
      <c r="G5222">
        <v>0</v>
      </c>
      <c r="H5222" t="s">
        <v>10144</v>
      </c>
      <c r="I5222">
        <v>5900</v>
      </c>
      <c r="J5222" t="str">
        <f>VLOOKUP(E5222,DSSpieler!A:B,2,FALSE)</f>
        <v>DownForWhat</v>
      </c>
    </row>
    <row r="5223" spans="1:10" x14ac:dyDescent="0.25">
      <c r="A5223">
        <v>5901</v>
      </c>
      <c r="B5223" t="s">
        <v>32642</v>
      </c>
      <c r="C5223">
        <v>528</v>
      </c>
      <c r="D5223">
        <v>402</v>
      </c>
      <c r="E5223">
        <v>1577168166</v>
      </c>
      <c r="F5223">
        <v>4137</v>
      </c>
      <c r="G5223">
        <v>0</v>
      </c>
      <c r="H5223" t="s">
        <v>10145</v>
      </c>
      <c r="I5223">
        <v>5901</v>
      </c>
      <c r="J5223" t="str">
        <f>VLOOKUP(E5223,DSSpieler!A:B,2,FALSE)</f>
        <v>Konstantin II</v>
      </c>
    </row>
    <row r="5224" spans="1:10" x14ac:dyDescent="0.25">
      <c r="A5224">
        <v>5902</v>
      </c>
      <c r="B5224" t="s">
        <v>556</v>
      </c>
      <c r="C5224">
        <v>511</v>
      </c>
      <c r="D5224">
        <v>455</v>
      </c>
      <c r="E5224">
        <v>9395772</v>
      </c>
      <c r="F5224">
        <v>4780</v>
      </c>
      <c r="G5224">
        <v>0</v>
      </c>
      <c r="H5224" t="s">
        <v>10146</v>
      </c>
      <c r="I5224">
        <v>5902</v>
      </c>
      <c r="J5224">
        <f>VLOOKUP(E5224,DSSpieler!A:B,2,FALSE)</f>
        <v>9182736436</v>
      </c>
    </row>
    <row r="5225" spans="1:10" x14ac:dyDescent="0.25">
      <c r="A5225">
        <v>5903</v>
      </c>
      <c r="B5225" t="s">
        <v>531</v>
      </c>
      <c r="C5225">
        <v>534</v>
      </c>
      <c r="D5225">
        <v>434</v>
      </c>
      <c r="E5225">
        <v>0</v>
      </c>
      <c r="F5225">
        <v>316</v>
      </c>
      <c r="G5225">
        <v>0</v>
      </c>
      <c r="H5225" t="s">
        <v>10147</v>
      </c>
      <c r="I5225">
        <v>5903</v>
      </c>
      <c r="J5225" t="e">
        <f>VLOOKUP(E5225,DSSpieler!A:B,2,FALSE)</f>
        <v>#N/A</v>
      </c>
    </row>
    <row r="5226" spans="1:10" x14ac:dyDescent="0.25">
      <c r="A5226">
        <v>5906</v>
      </c>
      <c r="B5226" t="s">
        <v>1460</v>
      </c>
      <c r="C5226">
        <v>486</v>
      </c>
      <c r="D5226">
        <v>605</v>
      </c>
      <c r="E5226">
        <v>10073152</v>
      </c>
      <c r="F5226">
        <v>659</v>
      </c>
      <c r="G5226">
        <v>0</v>
      </c>
      <c r="H5226" t="s">
        <v>10148</v>
      </c>
      <c r="I5226">
        <v>5906</v>
      </c>
      <c r="J5226" t="str">
        <f>VLOOKUP(E5226,DSSpieler!A:B,2,FALSE)</f>
        <v>-363-</v>
      </c>
    </row>
    <row r="5227" spans="1:10" x14ac:dyDescent="0.25">
      <c r="A5227">
        <v>5907</v>
      </c>
      <c r="B5227" t="s">
        <v>531</v>
      </c>
      <c r="C5227">
        <v>505</v>
      </c>
      <c r="D5227">
        <v>442</v>
      </c>
      <c r="E5227">
        <v>0</v>
      </c>
      <c r="F5227">
        <v>375</v>
      </c>
      <c r="G5227">
        <v>0</v>
      </c>
      <c r="H5227" t="s">
        <v>10149</v>
      </c>
      <c r="I5227">
        <v>5907</v>
      </c>
      <c r="J5227" t="e">
        <f>VLOOKUP(E5227,DSSpieler!A:B,2,FALSE)</f>
        <v>#N/A</v>
      </c>
    </row>
    <row r="5228" spans="1:10" x14ac:dyDescent="0.25">
      <c r="A5228">
        <v>5908</v>
      </c>
      <c r="B5228" t="s">
        <v>531</v>
      </c>
      <c r="C5228">
        <v>438</v>
      </c>
      <c r="D5228">
        <v>539</v>
      </c>
      <c r="E5228">
        <v>0</v>
      </c>
      <c r="F5228">
        <v>420</v>
      </c>
      <c r="G5228">
        <v>0</v>
      </c>
      <c r="H5228" t="s">
        <v>10150</v>
      </c>
      <c r="I5228">
        <v>5908</v>
      </c>
      <c r="J5228" t="e">
        <f>VLOOKUP(E5228,DSSpieler!A:B,2,FALSE)</f>
        <v>#N/A</v>
      </c>
    </row>
    <row r="5229" spans="1:10" x14ac:dyDescent="0.25">
      <c r="A5229">
        <v>5909</v>
      </c>
      <c r="B5229" t="s">
        <v>32643</v>
      </c>
      <c r="C5229">
        <v>558</v>
      </c>
      <c r="D5229">
        <v>518</v>
      </c>
      <c r="E5229">
        <v>1577162617</v>
      </c>
      <c r="F5229">
        <v>5679</v>
      </c>
      <c r="G5229">
        <v>0</v>
      </c>
      <c r="H5229" t="s">
        <v>10151</v>
      </c>
      <c r="I5229">
        <v>5909</v>
      </c>
      <c r="J5229" t="str">
        <f>VLOOKUP(E5229,DSSpieler!A:B,2,FALSE)</f>
        <v>-FinnTheHuman*</v>
      </c>
    </row>
    <row r="5230" spans="1:10" x14ac:dyDescent="0.25">
      <c r="A5230">
        <v>5910</v>
      </c>
      <c r="B5230" t="s">
        <v>32644</v>
      </c>
      <c r="C5230">
        <v>485</v>
      </c>
      <c r="D5230">
        <v>396</v>
      </c>
      <c r="E5230">
        <v>1577153597</v>
      </c>
      <c r="F5230">
        <v>5353</v>
      </c>
      <c r="G5230">
        <v>0</v>
      </c>
      <c r="H5230" t="s">
        <v>10152</v>
      </c>
      <c r="I5230">
        <v>5910</v>
      </c>
      <c r="J5230" t="str">
        <f>VLOOKUP(E5230,DSSpieler!A:B,2,FALSE)</f>
        <v>Schermo</v>
      </c>
    </row>
    <row r="5231" spans="1:10" x14ac:dyDescent="0.25">
      <c r="A5231">
        <v>5912</v>
      </c>
      <c r="B5231" t="s">
        <v>531</v>
      </c>
      <c r="C5231">
        <v>467</v>
      </c>
      <c r="D5231">
        <v>539</v>
      </c>
      <c r="E5231">
        <v>0</v>
      </c>
      <c r="F5231">
        <v>886</v>
      </c>
      <c r="G5231">
        <v>0</v>
      </c>
      <c r="H5231" t="s">
        <v>10153</v>
      </c>
      <c r="I5231">
        <v>5912</v>
      </c>
      <c r="J5231" t="e">
        <f>VLOOKUP(E5231,DSSpieler!A:B,2,FALSE)</f>
        <v>#N/A</v>
      </c>
    </row>
    <row r="5232" spans="1:10" x14ac:dyDescent="0.25">
      <c r="A5232">
        <v>5913</v>
      </c>
      <c r="B5232" t="s">
        <v>766</v>
      </c>
      <c r="C5232">
        <v>471</v>
      </c>
      <c r="D5232">
        <v>535</v>
      </c>
      <c r="E5232">
        <v>1577031384</v>
      </c>
      <c r="F5232">
        <v>5661</v>
      </c>
      <c r="G5232">
        <v>0</v>
      </c>
      <c r="H5232" t="s">
        <v>10154</v>
      </c>
      <c r="I5232">
        <v>5913</v>
      </c>
      <c r="J5232" t="str">
        <f>VLOOKUP(E5232,DSSpieler!A:B,2,FALSE)</f>
        <v>Dorfgeil.</v>
      </c>
    </row>
    <row r="5233" spans="1:10" x14ac:dyDescent="0.25">
      <c r="A5233">
        <v>5914</v>
      </c>
      <c r="B5233" t="s">
        <v>30953</v>
      </c>
      <c r="C5233">
        <v>587</v>
      </c>
      <c r="D5233">
        <v>447</v>
      </c>
      <c r="E5233">
        <v>1576282380</v>
      </c>
      <c r="F5233">
        <v>3661</v>
      </c>
      <c r="G5233">
        <v>0</v>
      </c>
      <c r="H5233" t="s">
        <v>10155</v>
      </c>
      <c r="I5233">
        <v>5914</v>
      </c>
      <c r="J5233" t="str">
        <f>VLOOKUP(E5233,DSSpieler!A:B,2,FALSE)</f>
        <v>d empire</v>
      </c>
    </row>
    <row r="5234" spans="1:10" x14ac:dyDescent="0.25">
      <c r="A5234">
        <v>5916</v>
      </c>
      <c r="B5234" t="s">
        <v>32645</v>
      </c>
      <c r="C5234">
        <v>500</v>
      </c>
      <c r="D5234">
        <v>402</v>
      </c>
      <c r="E5234">
        <v>9308033</v>
      </c>
      <c r="F5234">
        <v>4678</v>
      </c>
      <c r="G5234">
        <v>0</v>
      </c>
      <c r="H5234" t="s">
        <v>10156</v>
      </c>
      <c r="I5234">
        <v>5916</v>
      </c>
      <c r="J5234" t="str">
        <f>VLOOKUP(E5234,DSSpieler!A:B,2,FALSE)</f>
        <v>Kenneth5</v>
      </c>
    </row>
    <row r="5235" spans="1:10" x14ac:dyDescent="0.25">
      <c r="A5235">
        <v>5917</v>
      </c>
      <c r="B5235" t="s">
        <v>531</v>
      </c>
      <c r="C5235">
        <v>516</v>
      </c>
      <c r="D5235">
        <v>432</v>
      </c>
      <c r="E5235">
        <v>0</v>
      </c>
      <c r="F5235">
        <v>157</v>
      </c>
      <c r="G5235">
        <v>0</v>
      </c>
      <c r="H5235" t="s">
        <v>10157</v>
      </c>
      <c r="I5235">
        <v>5917</v>
      </c>
      <c r="J5235" t="e">
        <f>VLOOKUP(E5235,DSSpieler!A:B,2,FALSE)</f>
        <v>#N/A</v>
      </c>
    </row>
    <row r="5236" spans="1:10" x14ac:dyDescent="0.25">
      <c r="A5236">
        <v>5918</v>
      </c>
      <c r="B5236" t="s">
        <v>32646</v>
      </c>
      <c r="C5236">
        <v>412</v>
      </c>
      <c r="D5236">
        <v>550</v>
      </c>
      <c r="E5236">
        <v>9942630</v>
      </c>
      <c r="F5236">
        <v>5461</v>
      </c>
      <c r="G5236">
        <v>0</v>
      </c>
      <c r="H5236" t="s">
        <v>10158</v>
      </c>
      <c r="I5236">
        <v>5918</v>
      </c>
      <c r="J5236" t="str">
        <f>VLOOKUP(E5236,DSSpieler!A:B,2,FALSE)</f>
        <v>Dr. med. Räscher</v>
      </c>
    </row>
    <row r="5237" spans="1:10" x14ac:dyDescent="0.25">
      <c r="A5237">
        <v>5920</v>
      </c>
      <c r="B5237" t="s">
        <v>32647</v>
      </c>
      <c r="C5237">
        <v>524</v>
      </c>
      <c r="D5237">
        <v>537</v>
      </c>
      <c r="E5237">
        <v>1577049253</v>
      </c>
      <c r="F5237">
        <v>4089</v>
      </c>
      <c r="G5237">
        <v>0</v>
      </c>
      <c r="H5237" t="s">
        <v>10159</v>
      </c>
      <c r="I5237">
        <v>5920</v>
      </c>
      <c r="J5237" t="str">
        <f>VLOOKUP(E5237,DSSpieler!A:B,2,FALSE)</f>
        <v>freshfield</v>
      </c>
    </row>
    <row r="5238" spans="1:10" x14ac:dyDescent="0.25">
      <c r="A5238">
        <v>5921</v>
      </c>
      <c r="B5238" t="s">
        <v>1461</v>
      </c>
      <c r="C5238">
        <v>518</v>
      </c>
      <c r="D5238">
        <v>490</v>
      </c>
      <c r="E5238">
        <v>1576603742</v>
      </c>
      <c r="F5238">
        <v>3350</v>
      </c>
      <c r="G5238">
        <v>0</v>
      </c>
      <c r="H5238" t="s">
        <v>10160</v>
      </c>
      <c r="I5238">
        <v>5921</v>
      </c>
      <c r="J5238" t="str">
        <f>VLOOKUP(E5238,DSSpieler!A:B,2,FALSE)</f>
        <v>alter-mann</v>
      </c>
    </row>
    <row r="5239" spans="1:10" x14ac:dyDescent="0.25">
      <c r="A5239">
        <v>5922</v>
      </c>
      <c r="B5239" t="s">
        <v>32648</v>
      </c>
      <c r="C5239">
        <v>603</v>
      </c>
      <c r="D5239">
        <v>512</v>
      </c>
      <c r="E5239">
        <v>1577199977</v>
      </c>
      <c r="F5239">
        <v>1113</v>
      </c>
      <c r="G5239">
        <v>0</v>
      </c>
      <c r="H5239" t="s">
        <v>10161</v>
      </c>
      <c r="I5239">
        <v>5922</v>
      </c>
      <c r="J5239" t="str">
        <f>VLOOKUP(E5239,DSSpieler!A:B,2,FALSE)</f>
        <v>S1qube</v>
      </c>
    </row>
    <row r="5240" spans="1:10" x14ac:dyDescent="0.25">
      <c r="A5240">
        <v>5923</v>
      </c>
      <c r="B5240" t="s">
        <v>32649</v>
      </c>
      <c r="C5240">
        <v>559</v>
      </c>
      <c r="D5240">
        <v>446</v>
      </c>
      <c r="E5240">
        <v>1577158666</v>
      </c>
      <c r="F5240">
        <v>5757</v>
      </c>
      <c r="G5240">
        <v>0</v>
      </c>
      <c r="H5240" t="s">
        <v>10162</v>
      </c>
      <c r="I5240">
        <v>5923</v>
      </c>
      <c r="J5240" t="str">
        <f>VLOOKUP(E5240,DSSpieler!A:B,2,FALSE)</f>
        <v>Grounded</v>
      </c>
    </row>
    <row r="5241" spans="1:10" x14ac:dyDescent="0.25">
      <c r="A5241">
        <v>5924</v>
      </c>
      <c r="B5241" t="s">
        <v>32650</v>
      </c>
      <c r="C5241">
        <v>487</v>
      </c>
      <c r="D5241">
        <v>508</v>
      </c>
      <c r="E5241">
        <v>1577187154</v>
      </c>
      <c r="F5241">
        <v>882</v>
      </c>
      <c r="G5241">
        <v>0</v>
      </c>
      <c r="H5241" t="s">
        <v>10163</v>
      </c>
      <c r="I5241">
        <v>5924</v>
      </c>
      <c r="J5241" t="str">
        <f>VLOOKUP(E5241,DSSpieler!A:B,2,FALSE)</f>
        <v>TheBiteStorm</v>
      </c>
    </row>
    <row r="5242" spans="1:10" x14ac:dyDescent="0.25">
      <c r="A5242">
        <v>5925</v>
      </c>
      <c r="B5242" t="s">
        <v>32651</v>
      </c>
      <c r="C5242">
        <v>558</v>
      </c>
      <c r="D5242">
        <v>524</v>
      </c>
      <c r="E5242">
        <v>10214391</v>
      </c>
      <c r="F5242">
        <v>426</v>
      </c>
      <c r="G5242">
        <v>0</v>
      </c>
      <c r="H5242" t="s">
        <v>10164</v>
      </c>
      <c r="I5242">
        <v>5925</v>
      </c>
      <c r="J5242" t="str">
        <f>VLOOKUP(E5242,DSSpieler!A:B,2,FALSE)</f>
        <v>parawhore</v>
      </c>
    </row>
    <row r="5243" spans="1:10" x14ac:dyDescent="0.25">
      <c r="A5243">
        <v>5926</v>
      </c>
      <c r="B5243" t="s">
        <v>531</v>
      </c>
      <c r="C5243">
        <v>531</v>
      </c>
      <c r="D5243">
        <v>548</v>
      </c>
      <c r="E5243">
        <v>0</v>
      </c>
      <c r="F5243">
        <v>225</v>
      </c>
      <c r="G5243">
        <v>0</v>
      </c>
      <c r="H5243" t="s">
        <v>10165</v>
      </c>
      <c r="I5243">
        <v>5926</v>
      </c>
      <c r="J5243" t="e">
        <f>VLOOKUP(E5243,DSSpieler!A:B,2,FALSE)</f>
        <v>#N/A</v>
      </c>
    </row>
    <row r="5244" spans="1:10" x14ac:dyDescent="0.25">
      <c r="A5244">
        <v>5927</v>
      </c>
      <c r="B5244" t="s">
        <v>32652</v>
      </c>
      <c r="C5244">
        <v>456</v>
      </c>
      <c r="D5244">
        <v>533</v>
      </c>
      <c r="E5244">
        <v>1576913108</v>
      </c>
      <c r="F5244">
        <v>4978</v>
      </c>
      <c r="G5244">
        <v>0</v>
      </c>
      <c r="H5244" t="s">
        <v>10166</v>
      </c>
      <c r="I5244">
        <v>5927</v>
      </c>
      <c r="J5244" t="str">
        <f>VLOOKUP(E5244,DSSpieler!A:B,2,FALSE)</f>
        <v>bake</v>
      </c>
    </row>
    <row r="5245" spans="1:10" x14ac:dyDescent="0.25">
      <c r="A5245">
        <v>5928</v>
      </c>
      <c r="B5245" t="s">
        <v>32653</v>
      </c>
      <c r="C5245">
        <v>538</v>
      </c>
      <c r="D5245">
        <v>522</v>
      </c>
      <c r="E5245">
        <v>1577191260</v>
      </c>
      <c r="F5245">
        <v>4812</v>
      </c>
      <c r="G5245">
        <v>0</v>
      </c>
      <c r="H5245" t="s">
        <v>10167</v>
      </c>
      <c r="I5245">
        <v>5928</v>
      </c>
      <c r="J5245" t="str">
        <f>VLOOKUP(E5245,DSSpieler!A:B,2,FALSE)</f>
        <v>Triple Y</v>
      </c>
    </row>
    <row r="5246" spans="1:10" x14ac:dyDescent="0.25">
      <c r="A5246">
        <v>5929</v>
      </c>
      <c r="B5246" t="s">
        <v>32654</v>
      </c>
      <c r="C5246">
        <v>477</v>
      </c>
      <c r="D5246">
        <v>434</v>
      </c>
      <c r="E5246">
        <v>1577171011</v>
      </c>
      <c r="F5246">
        <v>3317</v>
      </c>
      <c r="G5246">
        <v>0</v>
      </c>
      <c r="H5246" t="s">
        <v>10168</v>
      </c>
      <c r="I5246">
        <v>5929</v>
      </c>
      <c r="J5246" t="str">
        <f>VLOOKUP(E5246,DSSpieler!A:B,2,FALSE)</f>
        <v>nobbyk</v>
      </c>
    </row>
    <row r="5247" spans="1:10" x14ac:dyDescent="0.25">
      <c r="A5247">
        <v>5930</v>
      </c>
      <c r="B5247" t="s">
        <v>32655</v>
      </c>
      <c r="C5247">
        <v>492</v>
      </c>
      <c r="D5247">
        <v>420</v>
      </c>
      <c r="E5247">
        <v>1577186342</v>
      </c>
      <c r="F5247">
        <v>5748</v>
      </c>
      <c r="G5247">
        <v>0</v>
      </c>
      <c r="H5247" t="s">
        <v>10169</v>
      </c>
      <c r="I5247">
        <v>5930</v>
      </c>
      <c r="J5247" t="str">
        <f>VLOOKUP(E5247,DSSpieler!A:B,2,FALSE)</f>
        <v>ichundmeinvolk</v>
      </c>
    </row>
    <row r="5248" spans="1:10" x14ac:dyDescent="0.25">
      <c r="A5248">
        <v>5932</v>
      </c>
      <c r="B5248">
        <v>3</v>
      </c>
      <c r="C5248">
        <v>506</v>
      </c>
      <c r="D5248">
        <v>531</v>
      </c>
      <c r="E5248">
        <v>1577198815</v>
      </c>
      <c r="F5248">
        <v>1795</v>
      </c>
      <c r="G5248">
        <v>0</v>
      </c>
      <c r="H5248" t="s">
        <v>10170</v>
      </c>
      <c r="I5248">
        <v>5932</v>
      </c>
      <c r="J5248" t="str">
        <f>VLOOKUP(E5248,DSSpieler!A:B,2,FALSE)</f>
        <v>mivoch</v>
      </c>
    </row>
    <row r="5249" spans="1:10" x14ac:dyDescent="0.25">
      <c r="A5249">
        <v>5933</v>
      </c>
      <c r="B5249">
        <v>2</v>
      </c>
      <c r="C5249">
        <v>420</v>
      </c>
      <c r="D5249">
        <v>513</v>
      </c>
      <c r="E5249">
        <v>1577018427</v>
      </c>
      <c r="F5249">
        <v>3228</v>
      </c>
      <c r="G5249">
        <v>0</v>
      </c>
      <c r="H5249" t="s">
        <v>10171</v>
      </c>
      <c r="I5249">
        <v>5933</v>
      </c>
      <c r="J5249" t="str">
        <f>VLOOKUP(E5249,DSSpieler!A:B,2,FALSE)</f>
        <v>Zottel96</v>
      </c>
    </row>
    <row r="5250" spans="1:10" x14ac:dyDescent="0.25">
      <c r="A5250">
        <v>5934</v>
      </c>
      <c r="B5250">
        <v>3</v>
      </c>
      <c r="C5250">
        <v>450</v>
      </c>
      <c r="D5250">
        <v>557</v>
      </c>
      <c r="E5250">
        <v>1577197834</v>
      </c>
      <c r="F5250">
        <v>624</v>
      </c>
      <c r="G5250">
        <v>0</v>
      </c>
      <c r="H5250" t="s">
        <v>10172</v>
      </c>
      <c r="I5250">
        <v>5934</v>
      </c>
      <c r="J5250" t="str">
        <f>VLOOKUP(E5250,DSSpieler!A:B,2,FALSE)</f>
        <v>96slayer</v>
      </c>
    </row>
    <row r="5251" spans="1:10" x14ac:dyDescent="0.25">
      <c r="A5251">
        <v>5935</v>
      </c>
      <c r="B5251" t="e">
        <f>-1-+Eschenbach+i.d.Opf.</f>
        <v>#NAME?</v>
      </c>
      <c r="C5251">
        <v>417</v>
      </c>
      <c r="D5251">
        <v>424</v>
      </c>
      <c r="E5251">
        <v>1577106611</v>
      </c>
      <c r="F5251">
        <v>6073</v>
      </c>
      <c r="G5251">
        <v>0</v>
      </c>
      <c r="H5251" t="s">
        <v>10173</v>
      </c>
      <c r="I5251">
        <v>5935</v>
      </c>
      <c r="J5251" t="str">
        <f>VLOOKUP(E5251,DSSpieler!A:B,2,FALSE)</f>
        <v>elkernaso</v>
      </c>
    </row>
    <row r="5252" spans="1:10" x14ac:dyDescent="0.25">
      <c r="A5252">
        <v>5936</v>
      </c>
      <c r="B5252" t="s">
        <v>32656</v>
      </c>
      <c r="C5252">
        <v>491</v>
      </c>
      <c r="D5252">
        <v>595</v>
      </c>
      <c r="E5252">
        <v>1576958415</v>
      </c>
      <c r="F5252">
        <v>4966</v>
      </c>
      <c r="G5252">
        <v>0</v>
      </c>
      <c r="H5252" t="s">
        <v>10174</v>
      </c>
      <c r="I5252">
        <v>5936</v>
      </c>
      <c r="J5252" t="str">
        <f>VLOOKUP(E5252,DSSpieler!A:B,2,FALSE)</f>
        <v>JLC.</v>
      </c>
    </row>
    <row r="5253" spans="1:10" x14ac:dyDescent="0.25">
      <c r="A5253">
        <v>5937</v>
      </c>
      <c r="B5253" t="s">
        <v>531</v>
      </c>
      <c r="C5253">
        <v>543</v>
      </c>
      <c r="D5253">
        <v>452</v>
      </c>
      <c r="E5253">
        <v>0</v>
      </c>
      <c r="F5253">
        <v>297</v>
      </c>
      <c r="G5253">
        <v>0</v>
      </c>
      <c r="H5253" t="s">
        <v>10175</v>
      </c>
      <c r="I5253">
        <v>5937</v>
      </c>
      <c r="J5253" t="e">
        <f>VLOOKUP(E5253,DSSpieler!A:B,2,FALSE)</f>
        <v>#N/A</v>
      </c>
    </row>
    <row r="5254" spans="1:10" x14ac:dyDescent="0.25">
      <c r="A5254">
        <v>5938</v>
      </c>
      <c r="B5254" t="s">
        <v>1462</v>
      </c>
      <c r="C5254">
        <v>536</v>
      </c>
      <c r="D5254">
        <v>534</v>
      </c>
      <c r="E5254">
        <v>205615</v>
      </c>
      <c r="F5254">
        <v>6307</v>
      </c>
      <c r="G5254">
        <v>0</v>
      </c>
      <c r="H5254" t="s">
        <v>10176</v>
      </c>
      <c r="I5254">
        <v>5938</v>
      </c>
      <c r="J5254" t="str">
        <f>VLOOKUP(E5254,DSSpieler!A:B,2,FALSE)</f>
        <v>hubeno</v>
      </c>
    </row>
    <row r="5255" spans="1:10" x14ac:dyDescent="0.25">
      <c r="A5255">
        <v>5939</v>
      </c>
      <c r="B5255" t="s">
        <v>32657</v>
      </c>
      <c r="C5255">
        <v>464</v>
      </c>
      <c r="D5255">
        <v>582</v>
      </c>
      <c r="E5255">
        <v>1577087474</v>
      </c>
      <c r="F5255">
        <v>7914</v>
      </c>
      <c r="G5255">
        <v>0</v>
      </c>
      <c r="H5255" t="s">
        <v>10177</v>
      </c>
      <c r="I5255">
        <v>5939</v>
      </c>
      <c r="J5255" t="str">
        <f>VLOOKUP(E5255,DSSpieler!A:B,2,FALSE)</f>
        <v>Defferfürheffner</v>
      </c>
    </row>
    <row r="5256" spans="1:10" x14ac:dyDescent="0.25">
      <c r="A5256">
        <v>5940</v>
      </c>
      <c r="B5256" t="s">
        <v>1463</v>
      </c>
      <c r="C5256">
        <v>484</v>
      </c>
      <c r="D5256">
        <v>453</v>
      </c>
      <c r="E5256">
        <v>1576084971</v>
      </c>
      <c r="F5256">
        <v>4989</v>
      </c>
      <c r="G5256">
        <v>0</v>
      </c>
      <c r="H5256" t="s">
        <v>10178</v>
      </c>
      <c r="I5256">
        <v>5940</v>
      </c>
      <c r="J5256" t="str">
        <f>VLOOKUP(E5256,DSSpieler!A:B,2,FALSE)</f>
        <v>Timschka</v>
      </c>
    </row>
    <row r="5257" spans="1:10" x14ac:dyDescent="0.25">
      <c r="A5257">
        <v>5941</v>
      </c>
      <c r="B5257" t="s">
        <v>531</v>
      </c>
      <c r="C5257">
        <v>549</v>
      </c>
      <c r="D5257">
        <v>560</v>
      </c>
      <c r="E5257">
        <v>0</v>
      </c>
      <c r="F5257">
        <v>247</v>
      </c>
      <c r="G5257">
        <v>0</v>
      </c>
      <c r="H5257" t="s">
        <v>10179</v>
      </c>
      <c r="I5257">
        <v>5941</v>
      </c>
      <c r="J5257" t="e">
        <f>VLOOKUP(E5257,DSSpieler!A:B,2,FALSE)</f>
        <v>#N/A</v>
      </c>
    </row>
    <row r="5258" spans="1:10" x14ac:dyDescent="0.25">
      <c r="A5258">
        <v>5942</v>
      </c>
      <c r="B5258" t="s">
        <v>780</v>
      </c>
      <c r="C5258">
        <v>573</v>
      </c>
      <c r="D5258">
        <v>567</v>
      </c>
      <c r="E5258">
        <v>1577008291</v>
      </c>
      <c r="F5258">
        <v>4523</v>
      </c>
      <c r="G5258">
        <v>0</v>
      </c>
      <c r="H5258" t="s">
        <v>10180</v>
      </c>
      <c r="I5258">
        <v>5942</v>
      </c>
      <c r="J5258" t="str">
        <f>VLOOKUP(E5258,DSSpieler!A:B,2,FALSE)</f>
        <v>Krebii</v>
      </c>
    </row>
    <row r="5259" spans="1:10" x14ac:dyDescent="0.25">
      <c r="A5259">
        <v>5943</v>
      </c>
      <c r="B5259" t="s">
        <v>32658</v>
      </c>
      <c r="C5259">
        <v>483</v>
      </c>
      <c r="D5259">
        <v>407</v>
      </c>
      <c r="E5259">
        <v>1577174131</v>
      </c>
      <c r="F5259">
        <v>5073</v>
      </c>
      <c r="G5259">
        <v>0</v>
      </c>
      <c r="H5259" t="s">
        <v>10181</v>
      </c>
      <c r="I5259">
        <v>5943</v>
      </c>
      <c r="J5259" t="str">
        <f>VLOOKUP(E5259,DSSpieler!A:B,2,FALSE)</f>
        <v>Schäuferla Vernichter</v>
      </c>
    </row>
    <row r="5260" spans="1:10" x14ac:dyDescent="0.25">
      <c r="A5260">
        <v>5944</v>
      </c>
      <c r="B5260" t="s">
        <v>1464</v>
      </c>
      <c r="C5260">
        <v>463</v>
      </c>
      <c r="D5260">
        <v>394</v>
      </c>
      <c r="E5260">
        <v>1577197660</v>
      </c>
      <c r="F5260">
        <v>5250</v>
      </c>
      <c r="G5260">
        <v>0</v>
      </c>
      <c r="H5260" t="s">
        <v>10182</v>
      </c>
      <c r="I5260">
        <v>5944</v>
      </c>
      <c r="J5260" t="str">
        <f>VLOOKUP(E5260,DSSpieler!A:B,2,FALSE)</f>
        <v>Capipizza</v>
      </c>
    </row>
    <row r="5261" spans="1:10" x14ac:dyDescent="0.25">
      <c r="A5261">
        <v>5946</v>
      </c>
      <c r="B5261">
        <v>2</v>
      </c>
      <c r="C5261">
        <v>438</v>
      </c>
      <c r="D5261">
        <v>504</v>
      </c>
      <c r="E5261">
        <v>9433851</v>
      </c>
      <c r="F5261">
        <v>5987</v>
      </c>
      <c r="G5261">
        <v>0</v>
      </c>
      <c r="H5261" t="s">
        <v>10183</v>
      </c>
      <c r="I5261">
        <v>5946</v>
      </c>
      <c r="J5261" t="str">
        <f>VLOOKUP(E5261,DSSpieler!A:B,2,FALSE)</f>
        <v>Kamikaze1986</v>
      </c>
    </row>
    <row r="5262" spans="1:10" x14ac:dyDescent="0.25">
      <c r="A5262">
        <v>5947</v>
      </c>
      <c r="B5262" t="s">
        <v>30515</v>
      </c>
      <c r="C5262">
        <v>607</v>
      </c>
      <c r="D5262">
        <v>477</v>
      </c>
      <c r="E5262">
        <v>9736677</v>
      </c>
      <c r="F5262">
        <v>5941</v>
      </c>
      <c r="G5262">
        <v>0</v>
      </c>
      <c r="H5262" t="s">
        <v>10184</v>
      </c>
      <c r="I5262">
        <v>5947</v>
      </c>
      <c r="J5262" t="str">
        <f>VLOOKUP(E5262,DSSpieler!A:B,2,FALSE)</f>
        <v>Querschläger1903</v>
      </c>
    </row>
    <row r="5263" spans="1:10" x14ac:dyDescent="0.25">
      <c r="A5263">
        <v>5948</v>
      </c>
      <c r="B5263" t="s">
        <v>31636</v>
      </c>
      <c r="C5263">
        <v>412</v>
      </c>
      <c r="D5263">
        <v>524</v>
      </c>
      <c r="E5263">
        <v>1577198432</v>
      </c>
      <c r="F5263">
        <v>3717</v>
      </c>
      <c r="G5263">
        <v>0</v>
      </c>
      <c r="H5263" t="s">
        <v>10185</v>
      </c>
      <c r="I5263">
        <v>5948</v>
      </c>
      <c r="J5263" t="str">
        <f>VLOOKUP(E5263,DSSpieler!A:B,2,FALSE)</f>
        <v>WC-Ente</v>
      </c>
    </row>
    <row r="5264" spans="1:10" x14ac:dyDescent="0.25">
      <c r="A5264">
        <v>5950</v>
      </c>
      <c r="B5264" t="s">
        <v>531</v>
      </c>
      <c r="C5264">
        <v>425</v>
      </c>
      <c r="D5264">
        <v>493</v>
      </c>
      <c r="E5264">
        <v>0</v>
      </c>
      <c r="F5264">
        <v>523</v>
      </c>
      <c r="G5264">
        <v>0</v>
      </c>
      <c r="H5264" t="s">
        <v>10186</v>
      </c>
      <c r="I5264">
        <v>5950</v>
      </c>
      <c r="J5264" t="e">
        <f>VLOOKUP(E5264,DSSpieler!A:B,2,FALSE)</f>
        <v>#N/A</v>
      </c>
    </row>
    <row r="5265" spans="1:10" x14ac:dyDescent="0.25">
      <c r="A5265">
        <v>5951</v>
      </c>
      <c r="B5265" t="s">
        <v>531</v>
      </c>
      <c r="C5265">
        <v>412</v>
      </c>
      <c r="D5265">
        <v>542</v>
      </c>
      <c r="E5265">
        <v>9815148</v>
      </c>
      <c r="F5265">
        <v>945</v>
      </c>
      <c r="G5265">
        <v>0</v>
      </c>
      <c r="H5265" t="s">
        <v>10187</v>
      </c>
      <c r="I5265">
        <v>5951</v>
      </c>
      <c r="J5265" t="str">
        <f>VLOOKUP(E5265,DSSpieler!A:B,2,FALSE)</f>
        <v>FightersXD</v>
      </c>
    </row>
    <row r="5266" spans="1:10" x14ac:dyDescent="0.25">
      <c r="A5266">
        <v>5952</v>
      </c>
      <c r="B5266" t="s">
        <v>32659</v>
      </c>
      <c r="C5266">
        <v>462</v>
      </c>
      <c r="D5266">
        <v>485</v>
      </c>
      <c r="E5266">
        <v>1946985</v>
      </c>
      <c r="F5266">
        <v>4319</v>
      </c>
      <c r="G5266">
        <v>0</v>
      </c>
      <c r="H5266" t="s">
        <v>10188</v>
      </c>
      <c r="I5266">
        <v>5952</v>
      </c>
      <c r="J5266" t="str">
        <f>VLOOKUP(E5266,DSSpieler!A:B,2,FALSE)</f>
        <v>StarPointer.1.</v>
      </c>
    </row>
    <row r="5267" spans="1:10" x14ac:dyDescent="0.25">
      <c r="A5267">
        <v>5953</v>
      </c>
      <c r="B5267" t="s">
        <v>531</v>
      </c>
      <c r="C5267">
        <v>464</v>
      </c>
      <c r="D5267">
        <v>460</v>
      </c>
      <c r="E5267">
        <v>0</v>
      </c>
      <c r="F5267">
        <v>398</v>
      </c>
      <c r="G5267">
        <v>0</v>
      </c>
      <c r="H5267" t="s">
        <v>10189</v>
      </c>
      <c r="I5267">
        <v>5953</v>
      </c>
      <c r="J5267" t="e">
        <f>VLOOKUP(E5267,DSSpieler!A:B,2,FALSE)</f>
        <v>#N/A</v>
      </c>
    </row>
    <row r="5268" spans="1:10" x14ac:dyDescent="0.25">
      <c r="A5268">
        <v>5954</v>
      </c>
      <c r="B5268" t="s">
        <v>32660</v>
      </c>
      <c r="C5268">
        <v>560</v>
      </c>
      <c r="D5268">
        <v>545</v>
      </c>
      <c r="E5268">
        <v>1577177778</v>
      </c>
      <c r="F5268">
        <v>5549</v>
      </c>
      <c r="G5268">
        <v>0</v>
      </c>
      <c r="H5268" t="s">
        <v>10190</v>
      </c>
      <c r="I5268">
        <v>5954</v>
      </c>
      <c r="J5268" t="str">
        <f>VLOOKUP(E5268,DSSpieler!A:B,2,FALSE)</f>
        <v>Hormillo</v>
      </c>
    </row>
    <row r="5269" spans="1:10" x14ac:dyDescent="0.25">
      <c r="A5269">
        <v>5955</v>
      </c>
      <c r="B5269" t="s">
        <v>32661</v>
      </c>
      <c r="C5269">
        <v>566</v>
      </c>
      <c r="D5269">
        <v>479</v>
      </c>
      <c r="E5269">
        <v>1577161751</v>
      </c>
      <c r="F5269">
        <v>6166</v>
      </c>
      <c r="G5269">
        <v>0</v>
      </c>
      <c r="H5269" t="s">
        <v>10191</v>
      </c>
      <c r="I5269">
        <v>5955</v>
      </c>
      <c r="J5269" t="str">
        <f>VLOOKUP(E5269,DSSpieler!A:B,2,FALSE)</f>
        <v>thedarklordrises</v>
      </c>
    </row>
    <row r="5270" spans="1:10" x14ac:dyDescent="0.25">
      <c r="A5270">
        <v>5956</v>
      </c>
      <c r="B5270" t="s">
        <v>1465</v>
      </c>
      <c r="C5270">
        <v>458</v>
      </c>
      <c r="D5270">
        <v>552</v>
      </c>
      <c r="E5270">
        <v>1577189415</v>
      </c>
      <c r="F5270">
        <v>6978</v>
      </c>
      <c r="G5270">
        <v>0</v>
      </c>
      <c r="H5270" t="s">
        <v>10192</v>
      </c>
      <c r="I5270">
        <v>5956</v>
      </c>
      <c r="J5270" t="str">
        <f>VLOOKUP(E5270,DSSpieler!A:B,2,FALSE)</f>
        <v>larasponyhof</v>
      </c>
    </row>
    <row r="5271" spans="1:10" x14ac:dyDescent="0.25">
      <c r="A5271">
        <v>5958</v>
      </c>
      <c r="B5271" t="s">
        <v>32662</v>
      </c>
      <c r="C5271">
        <v>435</v>
      </c>
      <c r="D5271">
        <v>583</v>
      </c>
      <c r="E5271">
        <v>1577190629</v>
      </c>
      <c r="F5271">
        <v>5902</v>
      </c>
      <c r="G5271">
        <v>0</v>
      </c>
      <c r="H5271" t="s">
        <v>10193</v>
      </c>
      <c r="I5271">
        <v>5958</v>
      </c>
      <c r="J5271" t="str">
        <f>VLOOKUP(E5271,DSSpieler!A:B,2,FALSE)</f>
        <v>Chrison</v>
      </c>
    </row>
    <row r="5272" spans="1:10" x14ac:dyDescent="0.25">
      <c r="A5272">
        <v>5959</v>
      </c>
      <c r="B5272">
        <v>2</v>
      </c>
      <c r="C5272">
        <v>599</v>
      </c>
      <c r="D5272">
        <v>456</v>
      </c>
      <c r="E5272">
        <v>1576089212</v>
      </c>
      <c r="F5272">
        <v>4140</v>
      </c>
      <c r="G5272">
        <v>0</v>
      </c>
      <c r="H5272" t="s">
        <v>10194</v>
      </c>
      <c r="I5272">
        <v>5959</v>
      </c>
      <c r="J5272" t="str">
        <f>VLOOKUP(E5272,DSSpieler!A:B,2,FALSE)</f>
        <v>mamba1993</v>
      </c>
    </row>
    <row r="5273" spans="1:10" x14ac:dyDescent="0.25">
      <c r="A5273">
        <v>5961</v>
      </c>
      <c r="B5273" t="s">
        <v>32663</v>
      </c>
      <c r="C5273">
        <v>507</v>
      </c>
      <c r="D5273">
        <v>501</v>
      </c>
      <c r="E5273">
        <v>1576495333</v>
      </c>
      <c r="F5273">
        <v>4951</v>
      </c>
      <c r="G5273">
        <v>0</v>
      </c>
      <c r="H5273" t="s">
        <v>10195</v>
      </c>
      <c r="I5273">
        <v>5961</v>
      </c>
      <c r="J5273" t="str">
        <f>VLOOKUP(E5273,DSSpieler!A:B,2,FALSE)</f>
        <v>Michakopter</v>
      </c>
    </row>
    <row r="5274" spans="1:10" x14ac:dyDescent="0.25">
      <c r="A5274">
        <v>5962</v>
      </c>
      <c r="B5274" t="s">
        <v>32664</v>
      </c>
      <c r="C5274">
        <v>532</v>
      </c>
      <c r="D5274">
        <v>580</v>
      </c>
      <c r="E5274">
        <v>1576838265</v>
      </c>
      <c r="F5274">
        <v>6701</v>
      </c>
      <c r="G5274">
        <v>0</v>
      </c>
      <c r="H5274" t="s">
        <v>10196</v>
      </c>
      <c r="I5274">
        <v>5962</v>
      </c>
      <c r="J5274" t="str">
        <f>VLOOKUP(E5274,DSSpieler!A:B,2,FALSE)</f>
        <v>NeTsRaK3107</v>
      </c>
    </row>
    <row r="5275" spans="1:10" x14ac:dyDescent="0.25">
      <c r="A5275">
        <v>5963</v>
      </c>
      <c r="B5275" t="s">
        <v>32665</v>
      </c>
      <c r="C5275">
        <v>475</v>
      </c>
      <c r="D5275">
        <v>564</v>
      </c>
      <c r="E5275">
        <v>1577185776</v>
      </c>
      <c r="F5275">
        <v>4410</v>
      </c>
      <c r="G5275">
        <v>0</v>
      </c>
      <c r="H5275" t="s">
        <v>10197</v>
      </c>
      <c r="I5275">
        <v>5963</v>
      </c>
      <c r="J5275" t="str">
        <f>VLOOKUP(E5275,DSSpieler!A:B,2,FALSE)</f>
        <v>ritnik3</v>
      </c>
    </row>
    <row r="5276" spans="1:10" x14ac:dyDescent="0.25">
      <c r="A5276">
        <v>5964</v>
      </c>
      <c r="B5276" t="s">
        <v>1163</v>
      </c>
      <c r="C5276">
        <v>568</v>
      </c>
      <c r="D5276">
        <v>540</v>
      </c>
      <c r="E5276">
        <v>2874877</v>
      </c>
      <c r="F5276">
        <v>7581</v>
      </c>
      <c r="G5276">
        <v>0</v>
      </c>
      <c r="H5276" t="s">
        <v>10198</v>
      </c>
      <c r="I5276">
        <v>5964</v>
      </c>
      <c r="J5276" t="str">
        <f>VLOOKUP(E5276,DSSpieler!A:B,2,FALSE)</f>
        <v>ICHKILLDICH1</v>
      </c>
    </row>
    <row r="5277" spans="1:10" x14ac:dyDescent="0.25">
      <c r="A5277">
        <v>5966</v>
      </c>
      <c r="B5277">
        <v>2</v>
      </c>
      <c r="C5277">
        <v>554</v>
      </c>
      <c r="D5277">
        <v>490</v>
      </c>
      <c r="E5277">
        <v>1577068066</v>
      </c>
      <c r="F5277">
        <v>4145</v>
      </c>
      <c r="G5277">
        <v>0</v>
      </c>
      <c r="H5277" t="s">
        <v>10199</v>
      </c>
      <c r="I5277">
        <v>5966</v>
      </c>
      <c r="J5277" t="str">
        <f>VLOOKUP(E5277,DSSpieler!A:B,2,FALSE)</f>
        <v>takeuchi</v>
      </c>
    </row>
    <row r="5278" spans="1:10" x14ac:dyDescent="0.25">
      <c r="A5278">
        <v>5967</v>
      </c>
      <c r="B5278" t="s">
        <v>531</v>
      </c>
      <c r="C5278">
        <v>429</v>
      </c>
      <c r="D5278">
        <v>502</v>
      </c>
      <c r="E5278">
        <v>0</v>
      </c>
      <c r="F5278">
        <v>425</v>
      </c>
      <c r="G5278">
        <v>0</v>
      </c>
      <c r="H5278" t="s">
        <v>10200</v>
      </c>
      <c r="I5278">
        <v>5967</v>
      </c>
      <c r="J5278" t="e">
        <f>VLOOKUP(E5278,DSSpieler!A:B,2,FALSE)</f>
        <v>#N/A</v>
      </c>
    </row>
    <row r="5279" spans="1:10" x14ac:dyDescent="0.25">
      <c r="A5279">
        <v>5968</v>
      </c>
      <c r="B5279" t="s">
        <v>1466</v>
      </c>
      <c r="C5279">
        <v>419</v>
      </c>
      <c r="D5279">
        <v>570</v>
      </c>
      <c r="E5279">
        <v>1577197958</v>
      </c>
      <c r="F5279">
        <v>6454</v>
      </c>
      <c r="G5279">
        <v>0</v>
      </c>
      <c r="H5279" t="s">
        <v>10201</v>
      </c>
      <c r="I5279">
        <v>5968</v>
      </c>
      <c r="J5279" t="str">
        <f>VLOOKUP(E5279,DSSpieler!A:B,2,FALSE)</f>
        <v>Elastris</v>
      </c>
    </row>
    <row r="5280" spans="1:10" x14ac:dyDescent="0.25">
      <c r="A5280">
        <v>5969</v>
      </c>
      <c r="B5280" t="s">
        <v>32666</v>
      </c>
      <c r="C5280">
        <v>609</v>
      </c>
      <c r="D5280">
        <v>487</v>
      </c>
      <c r="E5280">
        <v>1577186212</v>
      </c>
      <c r="F5280">
        <v>5565</v>
      </c>
      <c r="G5280">
        <v>0</v>
      </c>
      <c r="H5280" t="s">
        <v>10202</v>
      </c>
      <c r="I5280">
        <v>5969</v>
      </c>
      <c r="J5280" t="str">
        <f>VLOOKUP(E5280,DSSpieler!A:B,2,FALSE)</f>
        <v>HateMyName</v>
      </c>
    </row>
    <row r="5281" spans="1:10" x14ac:dyDescent="0.25">
      <c r="A5281">
        <v>5970</v>
      </c>
      <c r="B5281" t="s">
        <v>531</v>
      </c>
      <c r="C5281">
        <v>449</v>
      </c>
      <c r="D5281">
        <v>526</v>
      </c>
      <c r="E5281">
        <v>0</v>
      </c>
      <c r="F5281">
        <v>467</v>
      </c>
      <c r="G5281">
        <v>0</v>
      </c>
      <c r="H5281" t="s">
        <v>10203</v>
      </c>
      <c r="I5281">
        <v>5970</v>
      </c>
      <c r="J5281" t="e">
        <f>VLOOKUP(E5281,DSSpieler!A:B,2,FALSE)</f>
        <v>#N/A</v>
      </c>
    </row>
    <row r="5282" spans="1:10" x14ac:dyDescent="0.25">
      <c r="A5282">
        <v>5971</v>
      </c>
      <c r="B5282" t="s">
        <v>531</v>
      </c>
      <c r="C5282">
        <v>494</v>
      </c>
      <c r="D5282">
        <v>493</v>
      </c>
      <c r="E5282">
        <v>0</v>
      </c>
      <c r="F5282">
        <v>112</v>
      </c>
      <c r="G5282">
        <v>0</v>
      </c>
      <c r="H5282" t="s">
        <v>10204</v>
      </c>
      <c r="I5282">
        <v>5971</v>
      </c>
      <c r="J5282" t="e">
        <f>VLOOKUP(E5282,DSSpieler!A:B,2,FALSE)</f>
        <v>#N/A</v>
      </c>
    </row>
    <row r="5283" spans="1:10" x14ac:dyDescent="0.25">
      <c r="A5283">
        <v>5972</v>
      </c>
      <c r="B5283" t="s">
        <v>30574</v>
      </c>
      <c r="C5283">
        <v>463</v>
      </c>
      <c r="D5283">
        <v>595</v>
      </c>
      <c r="E5283">
        <v>3362710</v>
      </c>
      <c r="F5283">
        <v>5793</v>
      </c>
      <c r="G5283">
        <v>0</v>
      </c>
      <c r="H5283" t="s">
        <v>10205</v>
      </c>
      <c r="I5283">
        <v>5972</v>
      </c>
      <c r="J5283" t="str">
        <f>VLOOKUP(E5283,DSSpieler!A:B,2,FALSE)</f>
        <v>..Headbaenger..</v>
      </c>
    </row>
    <row r="5284" spans="1:10" x14ac:dyDescent="0.25">
      <c r="A5284">
        <v>5973</v>
      </c>
      <c r="B5284" t="e">
        <f>-1-+Charming</f>
        <v>#NAME?</v>
      </c>
      <c r="C5284">
        <v>460</v>
      </c>
      <c r="D5284">
        <v>448</v>
      </c>
      <c r="E5284">
        <v>1577114941</v>
      </c>
      <c r="F5284">
        <v>5791</v>
      </c>
      <c r="G5284">
        <v>0</v>
      </c>
      <c r="H5284" t="s">
        <v>10206</v>
      </c>
      <c r="I5284">
        <v>5973</v>
      </c>
      <c r="J5284" t="str">
        <f>VLOOKUP(E5284,DSSpieler!A:B,2,FALSE)</f>
        <v>OpiWinston</v>
      </c>
    </row>
    <row r="5285" spans="1:10" x14ac:dyDescent="0.25">
      <c r="A5285">
        <v>5974</v>
      </c>
      <c r="B5285" t="s">
        <v>673</v>
      </c>
      <c r="C5285">
        <v>424</v>
      </c>
      <c r="D5285">
        <v>457</v>
      </c>
      <c r="E5285">
        <v>1577190726</v>
      </c>
      <c r="F5285">
        <v>5596</v>
      </c>
      <c r="G5285">
        <v>0</v>
      </c>
      <c r="H5285" t="s">
        <v>10207</v>
      </c>
      <c r="I5285">
        <v>5974</v>
      </c>
      <c r="J5285" t="str">
        <f>VLOOKUP(E5285,DSSpieler!A:B,2,FALSE)</f>
        <v>Karma Baby</v>
      </c>
    </row>
    <row r="5286" spans="1:10" x14ac:dyDescent="0.25">
      <c r="A5286">
        <v>5975</v>
      </c>
      <c r="B5286" t="s">
        <v>1467</v>
      </c>
      <c r="C5286">
        <v>559</v>
      </c>
      <c r="D5286">
        <v>482</v>
      </c>
      <c r="E5286">
        <v>1576962402</v>
      </c>
      <c r="F5286">
        <v>6478</v>
      </c>
      <c r="G5286">
        <v>0</v>
      </c>
      <c r="H5286" t="s">
        <v>10208</v>
      </c>
      <c r="I5286">
        <v>5975</v>
      </c>
      <c r="J5286" t="str">
        <f>VLOOKUP(E5286,DSSpieler!A:B,2,FALSE)</f>
        <v>HerzogTheodoric0305</v>
      </c>
    </row>
    <row r="5287" spans="1:10" x14ac:dyDescent="0.25">
      <c r="A5287">
        <v>5976</v>
      </c>
      <c r="B5287" t="s">
        <v>531</v>
      </c>
      <c r="C5287">
        <v>440</v>
      </c>
      <c r="D5287">
        <v>539</v>
      </c>
      <c r="E5287">
        <v>0</v>
      </c>
      <c r="F5287">
        <v>470</v>
      </c>
      <c r="G5287">
        <v>0</v>
      </c>
      <c r="H5287" t="s">
        <v>10209</v>
      </c>
      <c r="I5287">
        <v>5976</v>
      </c>
      <c r="J5287" t="e">
        <f>VLOOKUP(E5287,DSSpieler!A:B,2,FALSE)</f>
        <v>#N/A</v>
      </c>
    </row>
    <row r="5288" spans="1:10" x14ac:dyDescent="0.25">
      <c r="A5288">
        <v>5977</v>
      </c>
      <c r="B5288" t="e">
        <f>-Igors+Dorf</f>
        <v>#NAME?</v>
      </c>
      <c r="C5288">
        <v>499</v>
      </c>
      <c r="D5288">
        <v>578</v>
      </c>
      <c r="E5288">
        <v>1577197733</v>
      </c>
      <c r="F5288">
        <v>5591</v>
      </c>
      <c r="G5288">
        <v>0</v>
      </c>
      <c r="H5288" t="s">
        <v>10210</v>
      </c>
      <c r="I5288">
        <v>5977</v>
      </c>
      <c r="J5288" t="str">
        <f>VLOOKUP(E5288,DSSpieler!A:B,2,FALSE)</f>
        <v>Sheriff Söder</v>
      </c>
    </row>
    <row r="5289" spans="1:10" x14ac:dyDescent="0.25">
      <c r="A5289">
        <v>5978</v>
      </c>
      <c r="B5289" t="s">
        <v>32667</v>
      </c>
      <c r="C5289">
        <v>552</v>
      </c>
      <c r="D5289">
        <v>559</v>
      </c>
      <c r="E5289">
        <v>1576943454</v>
      </c>
      <c r="F5289">
        <v>3894</v>
      </c>
      <c r="G5289">
        <v>0</v>
      </c>
      <c r="H5289" t="s">
        <v>10211</v>
      </c>
      <c r="I5289">
        <v>5978</v>
      </c>
      <c r="J5289" t="str">
        <f>VLOOKUP(E5289,DSSpieler!A:B,2,FALSE)</f>
        <v>ciWie</v>
      </c>
    </row>
    <row r="5290" spans="1:10" x14ac:dyDescent="0.25">
      <c r="A5290">
        <v>5979</v>
      </c>
      <c r="B5290" t="s">
        <v>31311</v>
      </c>
      <c r="C5290">
        <v>482</v>
      </c>
      <c r="D5290">
        <v>424</v>
      </c>
      <c r="E5290">
        <v>1625165</v>
      </c>
      <c r="F5290">
        <v>3655</v>
      </c>
      <c r="G5290">
        <v>0</v>
      </c>
      <c r="H5290" t="s">
        <v>10212</v>
      </c>
      <c r="I5290">
        <v>5979</v>
      </c>
      <c r="J5290" t="str">
        <f>VLOOKUP(E5290,DSSpieler!A:B,2,FALSE)</f>
        <v>kev-king</v>
      </c>
    </row>
    <row r="5291" spans="1:10" x14ac:dyDescent="0.25">
      <c r="A5291">
        <v>5981</v>
      </c>
      <c r="B5291" t="s">
        <v>32668</v>
      </c>
      <c r="C5291">
        <v>402</v>
      </c>
      <c r="D5291">
        <v>484</v>
      </c>
      <c r="E5291">
        <v>10025340</v>
      </c>
      <c r="F5291">
        <v>7152</v>
      </c>
      <c r="G5291">
        <v>0</v>
      </c>
      <c r="H5291" t="s">
        <v>10213</v>
      </c>
      <c r="I5291">
        <v>5981</v>
      </c>
      <c r="J5291" t="str">
        <f>VLOOKUP(E5291,DSSpieler!A:B,2,FALSE)</f>
        <v>Bambus-Mensch</v>
      </c>
    </row>
    <row r="5292" spans="1:10" x14ac:dyDescent="0.25">
      <c r="A5292">
        <v>5982</v>
      </c>
      <c r="B5292" t="s">
        <v>32669</v>
      </c>
      <c r="C5292">
        <v>451</v>
      </c>
      <c r="D5292">
        <v>422</v>
      </c>
      <c r="E5292">
        <v>1577181805</v>
      </c>
      <c r="F5292">
        <v>6182</v>
      </c>
      <c r="G5292">
        <v>0</v>
      </c>
      <c r="H5292" t="s">
        <v>10214</v>
      </c>
      <c r="I5292">
        <v>5982</v>
      </c>
      <c r="J5292" t="str">
        <f>VLOOKUP(E5292,DSSpieler!A:B,2,FALSE)</f>
        <v>Schereschleifer</v>
      </c>
    </row>
    <row r="5293" spans="1:10" x14ac:dyDescent="0.25">
      <c r="A5293">
        <v>5983</v>
      </c>
      <c r="B5293" t="s">
        <v>1468</v>
      </c>
      <c r="C5293">
        <v>463</v>
      </c>
      <c r="D5293">
        <v>505</v>
      </c>
      <c r="E5293">
        <v>9415506</v>
      </c>
      <c r="F5293">
        <v>4359</v>
      </c>
      <c r="G5293">
        <v>0</v>
      </c>
      <c r="H5293" t="s">
        <v>10215</v>
      </c>
      <c r="I5293">
        <v>5983</v>
      </c>
      <c r="J5293" t="str">
        <f>VLOOKUP(E5293,DSSpieler!A:B,2,FALSE)</f>
        <v>AvalonFee</v>
      </c>
    </row>
    <row r="5294" spans="1:10" x14ac:dyDescent="0.25">
      <c r="A5294">
        <v>5984</v>
      </c>
      <c r="B5294" t="s">
        <v>31839</v>
      </c>
      <c r="C5294">
        <v>534</v>
      </c>
      <c r="D5294">
        <v>572</v>
      </c>
      <c r="E5294">
        <v>1577011479</v>
      </c>
      <c r="F5294">
        <v>4595</v>
      </c>
      <c r="G5294">
        <v>0</v>
      </c>
      <c r="H5294" t="s">
        <v>10216</v>
      </c>
      <c r="I5294">
        <v>5984</v>
      </c>
      <c r="J5294" t="str">
        <f>VLOOKUP(E5294,DSSpieler!A:B,2,FALSE)</f>
        <v>Dänerys Targaryen</v>
      </c>
    </row>
    <row r="5295" spans="1:10" x14ac:dyDescent="0.25">
      <c r="A5295">
        <v>5985</v>
      </c>
      <c r="B5295" t="s">
        <v>32670</v>
      </c>
      <c r="C5295">
        <v>434</v>
      </c>
      <c r="D5295">
        <v>503</v>
      </c>
      <c r="E5295">
        <v>1576975878</v>
      </c>
      <c r="F5295">
        <v>6255</v>
      </c>
      <c r="G5295">
        <v>0</v>
      </c>
      <c r="H5295" t="s">
        <v>10217</v>
      </c>
      <c r="I5295">
        <v>5985</v>
      </c>
      <c r="J5295" t="str">
        <f>VLOOKUP(E5295,DSSpieler!A:B,2,FALSE)</f>
        <v>xMaXiMuSx</v>
      </c>
    </row>
    <row r="5296" spans="1:10" x14ac:dyDescent="0.25">
      <c r="A5296">
        <v>5986</v>
      </c>
      <c r="B5296">
        <v>2</v>
      </c>
      <c r="C5296">
        <v>423</v>
      </c>
      <c r="D5296">
        <v>481</v>
      </c>
      <c r="E5296">
        <v>1577184180</v>
      </c>
      <c r="F5296">
        <v>4144</v>
      </c>
      <c r="G5296">
        <v>0</v>
      </c>
      <c r="H5296" t="s">
        <v>10218</v>
      </c>
      <c r="I5296">
        <v>5986</v>
      </c>
      <c r="J5296" t="str">
        <f>VLOOKUP(E5296,DSSpieler!A:B,2,FALSE)</f>
        <v>Saiyuki</v>
      </c>
    </row>
    <row r="5297" spans="1:10" x14ac:dyDescent="0.25">
      <c r="A5297">
        <v>5988</v>
      </c>
      <c r="B5297" t="s">
        <v>1469</v>
      </c>
      <c r="C5297">
        <v>457</v>
      </c>
      <c r="D5297">
        <v>492</v>
      </c>
      <c r="E5297">
        <v>1577193514</v>
      </c>
      <c r="F5297">
        <v>4928</v>
      </c>
      <c r="G5297">
        <v>0</v>
      </c>
      <c r="H5297" t="s">
        <v>10219</v>
      </c>
      <c r="I5297">
        <v>5988</v>
      </c>
      <c r="J5297" t="str">
        <f>VLOOKUP(E5297,DSSpieler!A:B,2,FALSE)</f>
        <v>Havock</v>
      </c>
    </row>
    <row r="5298" spans="1:10" x14ac:dyDescent="0.25">
      <c r="A5298">
        <v>5989</v>
      </c>
      <c r="B5298" t="s">
        <v>531</v>
      </c>
      <c r="C5298">
        <v>539</v>
      </c>
      <c r="D5298">
        <v>457</v>
      </c>
      <c r="E5298">
        <v>0</v>
      </c>
      <c r="F5298">
        <v>300</v>
      </c>
      <c r="G5298">
        <v>0</v>
      </c>
      <c r="H5298" t="s">
        <v>10220</v>
      </c>
      <c r="I5298">
        <v>5989</v>
      </c>
      <c r="J5298" t="e">
        <f>VLOOKUP(E5298,DSSpieler!A:B,2,FALSE)</f>
        <v>#N/A</v>
      </c>
    </row>
    <row r="5299" spans="1:10" x14ac:dyDescent="0.25">
      <c r="A5299">
        <v>5991</v>
      </c>
      <c r="B5299" t="s">
        <v>531</v>
      </c>
      <c r="C5299">
        <v>524</v>
      </c>
      <c r="D5299">
        <v>508</v>
      </c>
      <c r="E5299">
        <v>0</v>
      </c>
      <c r="F5299">
        <v>190</v>
      </c>
      <c r="G5299">
        <v>0</v>
      </c>
      <c r="H5299" t="s">
        <v>10221</v>
      </c>
      <c r="I5299">
        <v>5991</v>
      </c>
      <c r="J5299" t="e">
        <f>VLOOKUP(E5299,DSSpieler!A:B,2,FALSE)</f>
        <v>#N/A</v>
      </c>
    </row>
    <row r="5300" spans="1:10" x14ac:dyDescent="0.25">
      <c r="A5300">
        <v>5992</v>
      </c>
      <c r="B5300" t="s">
        <v>531</v>
      </c>
      <c r="C5300">
        <v>567</v>
      </c>
      <c r="D5300">
        <v>463</v>
      </c>
      <c r="E5300">
        <v>0</v>
      </c>
      <c r="F5300">
        <v>327</v>
      </c>
      <c r="G5300">
        <v>0</v>
      </c>
      <c r="H5300" t="s">
        <v>10222</v>
      </c>
      <c r="I5300">
        <v>5992</v>
      </c>
      <c r="J5300" t="e">
        <f>VLOOKUP(E5300,DSSpieler!A:B,2,FALSE)</f>
        <v>#N/A</v>
      </c>
    </row>
    <row r="5301" spans="1:10" x14ac:dyDescent="0.25">
      <c r="A5301">
        <v>5993</v>
      </c>
      <c r="B5301" t="s">
        <v>32671</v>
      </c>
      <c r="C5301">
        <v>607</v>
      </c>
      <c r="D5301">
        <v>483</v>
      </c>
      <c r="E5301">
        <v>1577186212</v>
      </c>
      <c r="F5301">
        <v>6685</v>
      </c>
      <c r="G5301">
        <v>0</v>
      </c>
      <c r="H5301" t="s">
        <v>10223</v>
      </c>
      <c r="I5301">
        <v>5993</v>
      </c>
      <c r="J5301" t="str">
        <f>VLOOKUP(E5301,DSSpieler!A:B,2,FALSE)</f>
        <v>HateMyName</v>
      </c>
    </row>
    <row r="5302" spans="1:10" x14ac:dyDescent="0.25">
      <c r="A5302">
        <v>5994</v>
      </c>
      <c r="B5302" t="s">
        <v>531</v>
      </c>
      <c r="C5302">
        <v>442</v>
      </c>
      <c r="D5302">
        <v>504</v>
      </c>
      <c r="E5302">
        <v>0</v>
      </c>
      <c r="F5302">
        <v>171</v>
      </c>
      <c r="G5302">
        <v>0</v>
      </c>
      <c r="H5302" t="s">
        <v>10224</v>
      </c>
      <c r="I5302">
        <v>5994</v>
      </c>
      <c r="J5302" t="e">
        <f>VLOOKUP(E5302,DSSpieler!A:B,2,FALSE)</f>
        <v>#N/A</v>
      </c>
    </row>
    <row r="5303" spans="1:10" x14ac:dyDescent="0.25">
      <c r="A5303">
        <v>5995</v>
      </c>
      <c r="B5303" t="s">
        <v>32672</v>
      </c>
      <c r="C5303">
        <v>569</v>
      </c>
      <c r="D5303">
        <v>511</v>
      </c>
      <c r="E5303">
        <v>1576969873</v>
      </c>
      <c r="F5303">
        <v>3302</v>
      </c>
      <c r="G5303">
        <v>0</v>
      </c>
      <c r="H5303" t="s">
        <v>10225</v>
      </c>
      <c r="I5303">
        <v>5995</v>
      </c>
      <c r="J5303" t="str">
        <f>VLOOKUP(E5303,DSSpieler!A:B,2,FALSE)</f>
        <v>Spachris</v>
      </c>
    </row>
    <row r="5304" spans="1:10" x14ac:dyDescent="0.25">
      <c r="A5304">
        <v>5996</v>
      </c>
      <c r="B5304" t="s">
        <v>531</v>
      </c>
      <c r="C5304">
        <v>523</v>
      </c>
      <c r="D5304">
        <v>506</v>
      </c>
      <c r="E5304">
        <v>0</v>
      </c>
      <c r="F5304">
        <v>468</v>
      </c>
      <c r="G5304">
        <v>0</v>
      </c>
      <c r="H5304" t="s">
        <v>10226</v>
      </c>
      <c r="I5304">
        <v>5996</v>
      </c>
      <c r="J5304" t="e">
        <f>VLOOKUP(E5304,DSSpieler!A:B,2,FALSE)</f>
        <v>#N/A</v>
      </c>
    </row>
    <row r="5305" spans="1:10" x14ac:dyDescent="0.25">
      <c r="A5305">
        <v>5997</v>
      </c>
      <c r="B5305" t="s">
        <v>1470</v>
      </c>
      <c r="C5305">
        <v>567</v>
      </c>
      <c r="D5305">
        <v>492</v>
      </c>
      <c r="E5305">
        <v>1577163011</v>
      </c>
      <c r="F5305">
        <v>4467</v>
      </c>
      <c r="G5305">
        <v>0</v>
      </c>
      <c r="H5305" t="s">
        <v>10227</v>
      </c>
      <c r="I5305">
        <v>5997</v>
      </c>
      <c r="J5305" t="str">
        <f>VLOOKUP(E5305,DSSpieler!A:B,2,FALSE)</f>
        <v>sirpeter</v>
      </c>
    </row>
    <row r="5306" spans="1:10" x14ac:dyDescent="0.25">
      <c r="A5306">
        <v>5998</v>
      </c>
      <c r="B5306" t="s">
        <v>1471</v>
      </c>
      <c r="C5306">
        <v>453</v>
      </c>
      <c r="D5306">
        <v>455</v>
      </c>
      <c r="E5306">
        <v>1577165097</v>
      </c>
      <c r="F5306">
        <v>2274</v>
      </c>
      <c r="G5306">
        <v>0</v>
      </c>
      <c r="H5306" t="s">
        <v>10228</v>
      </c>
      <c r="I5306">
        <v>5998</v>
      </c>
      <c r="J5306" t="str">
        <f>VLOOKUP(E5306,DSSpieler!A:B,2,FALSE)</f>
        <v>Nikey20</v>
      </c>
    </row>
    <row r="5307" spans="1:10" x14ac:dyDescent="0.25">
      <c r="A5307">
        <v>5999</v>
      </c>
      <c r="B5307">
        <v>3</v>
      </c>
      <c r="C5307">
        <v>517</v>
      </c>
      <c r="D5307">
        <v>533</v>
      </c>
      <c r="E5307">
        <v>1575880662</v>
      </c>
      <c r="F5307">
        <v>1353</v>
      </c>
      <c r="G5307">
        <v>0</v>
      </c>
      <c r="H5307" t="s">
        <v>10229</v>
      </c>
      <c r="I5307">
        <v>5999</v>
      </c>
      <c r="J5307" t="str">
        <f>VLOOKUP(E5307,DSSpieler!A:B,2,FALSE)</f>
        <v>Nosferas</v>
      </c>
    </row>
    <row r="5308" spans="1:10" x14ac:dyDescent="0.25">
      <c r="A5308">
        <v>6000</v>
      </c>
      <c r="B5308" t="s">
        <v>32673</v>
      </c>
      <c r="C5308">
        <v>464</v>
      </c>
      <c r="D5308">
        <v>459</v>
      </c>
      <c r="E5308">
        <v>1577197647</v>
      </c>
      <c r="F5308">
        <v>4871</v>
      </c>
      <c r="G5308">
        <v>0</v>
      </c>
      <c r="H5308" t="s">
        <v>10230</v>
      </c>
      <c r="I5308">
        <v>6000</v>
      </c>
      <c r="J5308" t="str">
        <f>VLOOKUP(E5308,DSSpieler!A:B,2,FALSE)</f>
        <v>hardknorr</v>
      </c>
    </row>
    <row r="5309" spans="1:10" x14ac:dyDescent="0.25">
      <c r="A5309">
        <v>6002</v>
      </c>
      <c r="B5309" t="s">
        <v>531</v>
      </c>
      <c r="C5309">
        <v>565</v>
      </c>
      <c r="D5309">
        <v>458</v>
      </c>
      <c r="E5309">
        <v>0</v>
      </c>
      <c r="F5309">
        <v>469</v>
      </c>
      <c r="G5309">
        <v>0</v>
      </c>
      <c r="H5309" t="s">
        <v>10231</v>
      </c>
      <c r="I5309">
        <v>6002</v>
      </c>
      <c r="J5309" t="e">
        <f>VLOOKUP(E5309,DSSpieler!A:B,2,FALSE)</f>
        <v>#N/A</v>
      </c>
    </row>
    <row r="5310" spans="1:10" x14ac:dyDescent="0.25">
      <c r="A5310">
        <v>6004</v>
      </c>
      <c r="B5310" t="s">
        <v>1472</v>
      </c>
      <c r="C5310">
        <v>413</v>
      </c>
      <c r="D5310">
        <v>445</v>
      </c>
      <c r="E5310">
        <v>1576125906</v>
      </c>
      <c r="F5310">
        <v>6115</v>
      </c>
      <c r="G5310">
        <v>0</v>
      </c>
      <c r="H5310" t="s">
        <v>10232</v>
      </c>
      <c r="I5310">
        <v>6004</v>
      </c>
      <c r="J5310" t="str">
        <f>VLOOKUP(E5310,DSSpieler!A:B,2,FALSE)</f>
        <v>Tinca12</v>
      </c>
    </row>
    <row r="5311" spans="1:10" x14ac:dyDescent="0.25">
      <c r="A5311">
        <v>6005</v>
      </c>
      <c r="B5311" t="s">
        <v>531</v>
      </c>
      <c r="C5311">
        <v>591</v>
      </c>
      <c r="D5311">
        <v>535</v>
      </c>
      <c r="E5311">
        <v>0</v>
      </c>
      <c r="F5311">
        <v>655</v>
      </c>
      <c r="G5311">
        <v>0</v>
      </c>
      <c r="H5311" t="s">
        <v>10233</v>
      </c>
      <c r="I5311">
        <v>6005</v>
      </c>
      <c r="J5311" t="e">
        <f>VLOOKUP(E5311,DSSpieler!A:B,2,FALSE)</f>
        <v>#N/A</v>
      </c>
    </row>
    <row r="5312" spans="1:10" x14ac:dyDescent="0.25">
      <c r="A5312">
        <v>6006</v>
      </c>
      <c r="B5312" t="s">
        <v>31839</v>
      </c>
      <c r="C5312">
        <v>536</v>
      </c>
      <c r="D5312">
        <v>567</v>
      </c>
      <c r="E5312">
        <v>1577011479</v>
      </c>
      <c r="F5312">
        <v>6364</v>
      </c>
      <c r="G5312">
        <v>0</v>
      </c>
      <c r="H5312" t="s">
        <v>10234</v>
      </c>
      <c r="I5312">
        <v>6006</v>
      </c>
      <c r="J5312" t="str">
        <f>VLOOKUP(E5312,DSSpieler!A:B,2,FALSE)</f>
        <v>Dänerys Targaryen</v>
      </c>
    </row>
    <row r="5313" spans="1:10" x14ac:dyDescent="0.25">
      <c r="A5313">
        <v>6007</v>
      </c>
      <c r="B5313" t="s">
        <v>531</v>
      </c>
      <c r="C5313">
        <v>456</v>
      </c>
      <c r="D5313">
        <v>451</v>
      </c>
      <c r="E5313">
        <v>0</v>
      </c>
      <c r="F5313">
        <v>479</v>
      </c>
      <c r="G5313">
        <v>0</v>
      </c>
      <c r="H5313" t="s">
        <v>10235</v>
      </c>
      <c r="I5313">
        <v>6007</v>
      </c>
      <c r="J5313" t="e">
        <f>VLOOKUP(E5313,DSSpieler!A:B,2,FALSE)</f>
        <v>#N/A</v>
      </c>
    </row>
    <row r="5314" spans="1:10" x14ac:dyDescent="0.25">
      <c r="A5314">
        <v>6008</v>
      </c>
      <c r="B5314">
        <v>4</v>
      </c>
      <c r="C5314">
        <v>569</v>
      </c>
      <c r="D5314">
        <v>568</v>
      </c>
      <c r="E5314">
        <v>1731065</v>
      </c>
      <c r="F5314">
        <v>3005</v>
      </c>
      <c r="G5314">
        <v>0</v>
      </c>
      <c r="H5314" t="s">
        <v>10236</v>
      </c>
      <c r="I5314">
        <v>6008</v>
      </c>
      <c r="J5314" t="str">
        <f>VLOOKUP(E5314,DSSpieler!A:B,2,FALSE)</f>
        <v>voo83</v>
      </c>
    </row>
    <row r="5315" spans="1:10" x14ac:dyDescent="0.25">
      <c r="A5315">
        <v>6009</v>
      </c>
      <c r="B5315" t="s">
        <v>531</v>
      </c>
      <c r="C5315">
        <v>524</v>
      </c>
      <c r="D5315">
        <v>430</v>
      </c>
      <c r="E5315">
        <v>0</v>
      </c>
      <c r="F5315">
        <v>371</v>
      </c>
      <c r="G5315">
        <v>0</v>
      </c>
      <c r="H5315" t="s">
        <v>10237</v>
      </c>
      <c r="I5315">
        <v>6009</v>
      </c>
      <c r="J5315" t="e">
        <f>VLOOKUP(E5315,DSSpieler!A:B,2,FALSE)</f>
        <v>#N/A</v>
      </c>
    </row>
    <row r="5316" spans="1:10" x14ac:dyDescent="0.25">
      <c r="A5316">
        <v>6010</v>
      </c>
      <c r="B5316" t="s">
        <v>35837</v>
      </c>
      <c r="C5316">
        <v>550</v>
      </c>
      <c r="D5316">
        <v>524</v>
      </c>
      <c r="E5316">
        <v>205615</v>
      </c>
      <c r="F5316">
        <v>6263</v>
      </c>
      <c r="G5316">
        <v>0</v>
      </c>
      <c r="H5316" t="s">
        <v>10238</v>
      </c>
      <c r="I5316">
        <v>6010</v>
      </c>
      <c r="J5316" t="str">
        <f>VLOOKUP(E5316,DSSpieler!A:B,2,FALSE)</f>
        <v>hubeno</v>
      </c>
    </row>
    <row r="5317" spans="1:10" x14ac:dyDescent="0.25">
      <c r="A5317">
        <v>6011</v>
      </c>
      <c r="B5317" t="s">
        <v>531</v>
      </c>
      <c r="C5317">
        <v>559</v>
      </c>
      <c r="D5317">
        <v>534</v>
      </c>
      <c r="E5317">
        <v>0</v>
      </c>
      <c r="F5317">
        <v>608</v>
      </c>
      <c r="G5317">
        <v>0</v>
      </c>
      <c r="H5317" t="s">
        <v>10239</v>
      </c>
      <c r="I5317">
        <v>6011</v>
      </c>
      <c r="J5317" t="e">
        <f>VLOOKUP(E5317,DSSpieler!A:B,2,FALSE)</f>
        <v>#N/A</v>
      </c>
    </row>
    <row r="5318" spans="1:10" x14ac:dyDescent="0.25">
      <c r="A5318">
        <v>6012</v>
      </c>
      <c r="B5318" t="s">
        <v>561</v>
      </c>
      <c r="C5318">
        <v>530</v>
      </c>
      <c r="D5318">
        <v>459</v>
      </c>
      <c r="E5318">
        <v>10125255</v>
      </c>
      <c r="F5318">
        <v>4800</v>
      </c>
      <c r="G5318">
        <v>0</v>
      </c>
      <c r="H5318" t="s">
        <v>10240</v>
      </c>
      <c r="I5318">
        <v>6012</v>
      </c>
      <c r="J5318" t="e">
        <f>VLOOKUP(E5318,DSSpieler!A:B,2,FALSE)</f>
        <v>#NAME?</v>
      </c>
    </row>
    <row r="5319" spans="1:10" x14ac:dyDescent="0.25">
      <c r="A5319">
        <v>6013</v>
      </c>
      <c r="B5319" t="s">
        <v>531</v>
      </c>
      <c r="C5319">
        <v>574</v>
      </c>
      <c r="D5319">
        <v>561</v>
      </c>
      <c r="E5319">
        <v>0</v>
      </c>
      <c r="F5319">
        <v>381</v>
      </c>
      <c r="G5319">
        <v>0</v>
      </c>
      <c r="H5319" t="s">
        <v>10241</v>
      </c>
      <c r="I5319">
        <v>6013</v>
      </c>
      <c r="J5319" t="e">
        <f>VLOOKUP(E5319,DSSpieler!A:B,2,FALSE)</f>
        <v>#N/A</v>
      </c>
    </row>
    <row r="5320" spans="1:10" x14ac:dyDescent="0.25">
      <c r="A5320">
        <v>6014</v>
      </c>
      <c r="B5320" t="s">
        <v>531</v>
      </c>
      <c r="C5320">
        <v>495</v>
      </c>
      <c r="D5320">
        <v>500</v>
      </c>
      <c r="E5320">
        <v>0</v>
      </c>
      <c r="F5320">
        <v>347</v>
      </c>
      <c r="G5320">
        <v>0</v>
      </c>
      <c r="H5320" t="s">
        <v>10242</v>
      </c>
      <c r="I5320">
        <v>6014</v>
      </c>
      <c r="J5320" t="e">
        <f>VLOOKUP(E5320,DSSpieler!A:B,2,FALSE)</f>
        <v>#N/A</v>
      </c>
    </row>
    <row r="5321" spans="1:10" x14ac:dyDescent="0.25">
      <c r="A5321">
        <v>6016</v>
      </c>
      <c r="B5321" t="s">
        <v>780</v>
      </c>
      <c r="C5321">
        <v>597</v>
      </c>
      <c r="D5321">
        <v>517</v>
      </c>
      <c r="E5321">
        <v>1577195219</v>
      </c>
      <c r="F5321">
        <v>7775</v>
      </c>
      <c r="G5321">
        <v>0</v>
      </c>
      <c r="H5321" t="s">
        <v>10243</v>
      </c>
      <c r="I5321">
        <v>6016</v>
      </c>
      <c r="J5321" t="str">
        <f>VLOOKUP(E5321,DSSpieler!A:B,2,FALSE)</f>
        <v>Eric Cartman</v>
      </c>
    </row>
    <row r="5322" spans="1:10" x14ac:dyDescent="0.25">
      <c r="A5322">
        <v>6017</v>
      </c>
      <c r="B5322" t="s">
        <v>531</v>
      </c>
      <c r="C5322">
        <v>544</v>
      </c>
      <c r="D5322">
        <v>545</v>
      </c>
      <c r="E5322">
        <v>0</v>
      </c>
      <c r="F5322">
        <v>405</v>
      </c>
      <c r="G5322">
        <v>0</v>
      </c>
      <c r="H5322" t="s">
        <v>10244</v>
      </c>
      <c r="I5322">
        <v>6017</v>
      </c>
      <c r="J5322" t="e">
        <f>VLOOKUP(E5322,DSSpieler!A:B,2,FALSE)</f>
        <v>#N/A</v>
      </c>
    </row>
    <row r="5323" spans="1:10" x14ac:dyDescent="0.25">
      <c r="A5323">
        <v>6019</v>
      </c>
      <c r="B5323" t="s">
        <v>1473</v>
      </c>
      <c r="C5323">
        <v>473</v>
      </c>
      <c r="D5323">
        <v>441</v>
      </c>
      <c r="E5323">
        <v>1577070261</v>
      </c>
      <c r="F5323">
        <v>6324</v>
      </c>
      <c r="G5323">
        <v>0</v>
      </c>
      <c r="H5323" t="s">
        <v>10245</v>
      </c>
      <c r="I5323">
        <v>6019</v>
      </c>
      <c r="J5323" t="str">
        <f>VLOOKUP(E5323,DSSpieler!A:B,2,FALSE)</f>
        <v>the Godfather</v>
      </c>
    </row>
    <row r="5324" spans="1:10" x14ac:dyDescent="0.25">
      <c r="A5324">
        <v>6020</v>
      </c>
      <c r="B5324" t="s">
        <v>1474</v>
      </c>
      <c r="C5324">
        <v>535</v>
      </c>
      <c r="D5324">
        <v>463</v>
      </c>
      <c r="E5324">
        <v>1577041400</v>
      </c>
      <c r="F5324">
        <v>3923</v>
      </c>
      <c r="G5324">
        <v>0</v>
      </c>
      <c r="H5324" t="s">
        <v>10246</v>
      </c>
      <c r="I5324">
        <v>6020</v>
      </c>
      <c r="J5324" t="str">
        <f>VLOOKUP(E5324,DSSpieler!A:B,2,FALSE)</f>
        <v>JJ2002</v>
      </c>
    </row>
    <row r="5325" spans="1:10" x14ac:dyDescent="0.25">
      <c r="A5325">
        <v>6021</v>
      </c>
      <c r="B5325" t="s">
        <v>32674</v>
      </c>
      <c r="C5325">
        <v>443</v>
      </c>
      <c r="D5325">
        <v>517</v>
      </c>
      <c r="E5325">
        <v>9488089</v>
      </c>
      <c r="F5325">
        <v>3292</v>
      </c>
      <c r="G5325">
        <v>0</v>
      </c>
      <c r="H5325" t="s">
        <v>10247</v>
      </c>
      <c r="I5325">
        <v>6021</v>
      </c>
      <c r="J5325" t="str">
        <f>VLOOKUP(E5325,DSSpieler!A:B,2,FALSE)</f>
        <v>RealLegolas</v>
      </c>
    </row>
    <row r="5326" spans="1:10" x14ac:dyDescent="0.25">
      <c r="A5326">
        <v>6022</v>
      </c>
      <c r="B5326" t="s">
        <v>531</v>
      </c>
      <c r="C5326">
        <v>535</v>
      </c>
      <c r="D5326">
        <v>498</v>
      </c>
      <c r="E5326">
        <v>0</v>
      </c>
      <c r="F5326">
        <v>191</v>
      </c>
      <c r="G5326">
        <v>0</v>
      </c>
      <c r="H5326" t="s">
        <v>10248</v>
      </c>
      <c r="I5326">
        <v>6022</v>
      </c>
      <c r="J5326" t="e">
        <f>VLOOKUP(E5326,DSSpieler!A:B,2,FALSE)</f>
        <v>#N/A</v>
      </c>
    </row>
    <row r="5327" spans="1:10" x14ac:dyDescent="0.25">
      <c r="A5327">
        <v>6023</v>
      </c>
      <c r="B5327" t="s">
        <v>1475</v>
      </c>
      <c r="C5327">
        <v>496</v>
      </c>
      <c r="D5327">
        <v>421</v>
      </c>
      <c r="E5327">
        <v>1577186337</v>
      </c>
      <c r="F5327">
        <v>5197</v>
      </c>
      <c r="G5327">
        <v>0</v>
      </c>
      <c r="H5327" t="s">
        <v>10249</v>
      </c>
      <c r="I5327">
        <v>6023</v>
      </c>
      <c r="J5327" t="str">
        <f>VLOOKUP(E5327,DSSpieler!A:B,2,FALSE)</f>
        <v>Yanman10</v>
      </c>
    </row>
    <row r="5328" spans="1:10" x14ac:dyDescent="0.25">
      <c r="A5328">
        <v>6024</v>
      </c>
      <c r="B5328" t="s">
        <v>1476</v>
      </c>
      <c r="C5328">
        <v>454</v>
      </c>
      <c r="D5328">
        <v>581</v>
      </c>
      <c r="E5328">
        <v>9864236</v>
      </c>
      <c r="F5328">
        <v>3291</v>
      </c>
      <c r="G5328">
        <v>0</v>
      </c>
      <c r="H5328" t="s">
        <v>10250</v>
      </c>
      <c r="I5328">
        <v>6024</v>
      </c>
      <c r="J5328" t="str">
        <f>VLOOKUP(E5328,DSSpieler!A:B,2,FALSE)</f>
        <v>SoeSide</v>
      </c>
    </row>
    <row r="5329" spans="1:10" x14ac:dyDescent="0.25">
      <c r="A5329">
        <v>6025</v>
      </c>
      <c r="B5329" t="s">
        <v>531</v>
      </c>
      <c r="C5329">
        <v>440</v>
      </c>
      <c r="D5329">
        <v>532</v>
      </c>
      <c r="E5329">
        <v>0</v>
      </c>
      <c r="F5329">
        <v>605</v>
      </c>
      <c r="G5329">
        <v>0</v>
      </c>
      <c r="H5329" t="s">
        <v>10251</v>
      </c>
      <c r="I5329">
        <v>6025</v>
      </c>
      <c r="J5329" t="e">
        <f>VLOOKUP(E5329,DSSpieler!A:B,2,FALSE)</f>
        <v>#N/A</v>
      </c>
    </row>
    <row r="5330" spans="1:10" x14ac:dyDescent="0.25">
      <c r="A5330">
        <v>6026</v>
      </c>
      <c r="B5330" t="s">
        <v>32675</v>
      </c>
      <c r="C5330">
        <v>425</v>
      </c>
      <c r="D5330">
        <v>566</v>
      </c>
      <c r="E5330">
        <v>8803403</v>
      </c>
      <c r="F5330">
        <v>5721</v>
      </c>
      <c r="G5330">
        <v>0</v>
      </c>
      <c r="H5330" t="s">
        <v>10252</v>
      </c>
      <c r="I5330">
        <v>6026</v>
      </c>
      <c r="J5330" t="str">
        <f>VLOOKUP(E5330,DSSpieler!A:B,2,FALSE)</f>
        <v>paulsener</v>
      </c>
    </row>
    <row r="5331" spans="1:10" x14ac:dyDescent="0.25">
      <c r="A5331">
        <v>6027</v>
      </c>
      <c r="B5331" t="s">
        <v>32676</v>
      </c>
      <c r="C5331">
        <v>425</v>
      </c>
      <c r="D5331">
        <v>468</v>
      </c>
      <c r="E5331">
        <v>1576502624</v>
      </c>
      <c r="F5331">
        <v>7100</v>
      </c>
      <c r="G5331">
        <v>0</v>
      </c>
      <c r="H5331" t="s">
        <v>10253</v>
      </c>
      <c r="I5331">
        <v>6027</v>
      </c>
      <c r="J5331" t="str">
        <f>VLOOKUP(E5331,DSSpieler!A:B,2,FALSE)</f>
        <v>MJ.White</v>
      </c>
    </row>
    <row r="5332" spans="1:10" x14ac:dyDescent="0.25">
      <c r="A5332">
        <v>6029</v>
      </c>
      <c r="B5332" t="s">
        <v>32677</v>
      </c>
      <c r="C5332">
        <v>508</v>
      </c>
      <c r="D5332">
        <v>398</v>
      </c>
      <c r="E5332">
        <v>1577149945</v>
      </c>
      <c r="F5332">
        <v>4620</v>
      </c>
      <c r="G5332">
        <v>0</v>
      </c>
      <c r="H5332" t="s">
        <v>10254</v>
      </c>
      <c r="I5332">
        <v>6029</v>
      </c>
      <c r="J5332" t="str">
        <f>VLOOKUP(E5332,DSSpieler!A:B,2,FALSE)</f>
        <v>frostibs</v>
      </c>
    </row>
    <row r="5333" spans="1:10" x14ac:dyDescent="0.25">
      <c r="A5333">
        <v>6030</v>
      </c>
      <c r="B5333" t="s">
        <v>1477</v>
      </c>
      <c r="C5333">
        <v>533</v>
      </c>
      <c r="D5333">
        <v>554</v>
      </c>
      <c r="E5333">
        <v>1577191393</v>
      </c>
      <c r="F5333">
        <v>4951</v>
      </c>
      <c r="G5333">
        <v>0</v>
      </c>
      <c r="H5333" t="s">
        <v>10255</v>
      </c>
      <c r="I5333">
        <v>6030</v>
      </c>
      <c r="J5333" t="str">
        <f>VLOOKUP(E5333,DSSpieler!A:B,2,FALSE)</f>
        <v>Mann mit Axt</v>
      </c>
    </row>
    <row r="5334" spans="1:10" x14ac:dyDescent="0.25">
      <c r="A5334">
        <v>6031</v>
      </c>
      <c r="B5334" t="s">
        <v>32678</v>
      </c>
      <c r="C5334">
        <v>469</v>
      </c>
      <c r="D5334">
        <v>551</v>
      </c>
      <c r="E5334">
        <v>2639534</v>
      </c>
      <c r="F5334">
        <v>3620</v>
      </c>
      <c r="G5334">
        <v>0</v>
      </c>
      <c r="H5334" t="s">
        <v>10256</v>
      </c>
      <c r="I5334">
        <v>6031</v>
      </c>
      <c r="J5334" t="str">
        <f>VLOOKUP(E5334,DSSpieler!A:B,2,FALSE)</f>
        <v>Wastl 44</v>
      </c>
    </row>
    <row r="5335" spans="1:10" x14ac:dyDescent="0.25">
      <c r="A5335">
        <v>6032</v>
      </c>
      <c r="B5335" t="s">
        <v>1478</v>
      </c>
      <c r="C5335">
        <v>456</v>
      </c>
      <c r="D5335">
        <v>486</v>
      </c>
      <c r="E5335">
        <v>1577069487</v>
      </c>
      <c r="F5335">
        <v>728</v>
      </c>
      <c r="G5335">
        <v>0</v>
      </c>
      <c r="H5335" t="s">
        <v>10257</v>
      </c>
      <c r="I5335">
        <v>6032</v>
      </c>
      <c r="J5335" t="str">
        <f>VLOOKUP(E5335,DSSpieler!A:B,2,FALSE)</f>
        <v>Stirbus</v>
      </c>
    </row>
    <row r="5336" spans="1:10" x14ac:dyDescent="0.25">
      <c r="A5336">
        <v>6033</v>
      </c>
      <c r="B5336" t="s">
        <v>1479</v>
      </c>
      <c r="C5336">
        <v>409</v>
      </c>
      <c r="D5336">
        <v>563</v>
      </c>
      <c r="E5336">
        <v>1577187434</v>
      </c>
      <c r="F5336">
        <v>6165</v>
      </c>
      <c r="G5336">
        <v>0</v>
      </c>
      <c r="H5336" t="s">
        <v>10258</v>
      </c>
      <c r="I5336">
        <v>6033</v>
      </c>
      <c r="J5336" t="str">
        <f>VLOOKUP(E5336,DSSpieler!A:B,2,FALSE)</f>
        <v>EyeSpy</v>
      </c>
    </row>
    <row r="5337" spans="1:10" x14ac:dyDescent="0.25">
      <c r="A5337">
        <v>6034</v>
      </c>
      <c r="B5337" t="s">
        <v>32679</v>
      </c>
      <c r="C5337">
        <v>459</v>
      </c>
      <c r="D5337">
        <v>452</v>
      </c>
      <c r="E5337">
        <v>1577007804</v>
      </c>
      <c r="F5337">
        <v>1314</v>
      </c>
      <c r="G5337">
        <v>0</v>
      </c>
      <c r="H5337" t="s">
        <v>10259</v>
      </c>
      <c r="I5337">
        <v>6034</v>
      </c>
      <c r="J5337" t="str">
        <f>VLOOKUP(E5337,DSSpieler!A:B,2,FALSE)</f>
        <v>BorussiaFighter</v>
      </c>
    </row>
    <row r="5338" spans="1:10" x14ac:dyDescent="0.25">
      <c r="A5338">
        <v>6035</v>
      </c>
      <c r="B5338" t="s">
        <v>32680</v>
      </c>
      <c r="C5338">
        <v>412</v>
      </c>
      <c r="D5338">
        <v>439</v>
      </c>
      <c r="E5338">
        <v>1577188135</v>
      </c>
      <c r="F5338">
        <v>6612</v>
      </c>
      <c r="G5338">
        <v>0</v>
      </c>
      <c r="H5338" t="s">
        <v>10260</v>
      </c>
      <c r="I5338">
        <v>6035</v>
      </c>
      <c r="J5338" t="str">
        <f>VLOOKUP(E5338,DSSpieler!A:B,2,FALSE)</f>
        <v>s1m199</v>
      </c>
    </row>
    <row r="5339" spans="1:10" x14ac:dyDescent="0.25">
      <c r="A5339">
        <v>6036</v>
      </c>
      <c r="B5339" t="s">
        <v>531</v>
      </c>
      <c r="C5339">
        <v>546</v>
      </c>
      <c r="D5339">
        <v>440</v>
      </c>
      <c r="E5339">
        <v>0</v>
      </c>
      <c r="F5339">
        <v>385</v>
      </c>
      <c r="G5339">
        <v>0</v>
      </c>
      <c r="H5339" t="s">
        <v>10261</v>
      </c>
      <c r="I5339">
        <v>6036</v>
      </c>
      <c r="J5339" t="e">
        <f>VLOOKUP(E5339,DSSpieler!A:B,2,FALSE)</f>
        <v>#N/A</v>
      </c>
    </row>
    <row r="5340" spans="1:10" x14ac:dyDescent="0.25">
      <c r="A5340">
        <v>6037</v>
      </c>
      <c r="B5340" t="s">
        <v>32681</v>
      </c>
      <c r="C5340">
        <v>527</v>
      </c>
      <c r="D5340">
        <v>459</v>
      </c>
      <c r="E5340">
        <v>1577190895</v>
      </c>
      <c r="F5340">
        <v>3223</v>
      </c>
      <c r="G5340">
        <v>0</v>
      </c>
      <c r="H5340" t="s">
        <v>10262</v>
      </c>
      <c r="I5340">
        <v>6037</v>
      </c>
      <c r="J5340" t="str">
        <f>VLOOKUP(E5340,DSSpieler!A:B,2,FALSE)</f>
        <v>Knorktoffel</v>
      </c>
    </row>
    <row r="5341" spans="1:10" x14ac:dyDescent="0.25">
      <c r="A5341">
        <v>6038</v>
      </c>
      <c r="B5341" t="s">
        <v>32682</v>
      </c>
      <c r="C5341">
        <v>544</v>
      </c>
      <c r="D5341">
        <v>505</v>
      </c>
      <c r="E5341">
        <v>1577197968</v>
      </c>
      <c r="F5341">
        <v>7648</v>
      </c>
      <c r="G5341">
        <v>0</v>
      </c>
      <c r="H5341" t="s">
        <v>10263</v>
      </c>
      <c r="I5341">
        <v>6038</v>
      </c>
      <c r="J5341" t="str">
        <f>VLOOKUP(E5341,DSSpieler!A:B,2,FALSE)</f>
        <v>Tomatenmonster</v>
      </c>
    </row>
    <row r="5342" spans="1:10" x14ac:dyDescent="0.25">
      <c r="A5342">
        <v>6039</v>
      </c>
      <c r="B5342" t="s">
        <v>673</v>
      </c>
      <c r="C5342">
        <v>466</v>
      </c>
      <c r="D5342">
        <v>444</v>
      </c>
      <c r="E5342">
        <v>1577026810</v>
      </c>
      <c r="F5342">
        <v>5952</v>
      </c>
      <c r="G5342">
        <v>0</v>
      </c>
      <c r="H5342" t="s">
        <v>10264</v>
      </c>
      <c r="I5342">
        <v>6039</v>
      </c>
      <c r="J5342" t="str">
        <f>VLOOKUP(E5342,DSSpieler!A:B,2,FALSE)</f>
        <v>.FAITH.</v>
      </c>
    </row>
    <row r="5343" spans="1:10" x14ac:dyDescent="0.25">
      <c r="A5343">
        <v>6040</v>
      </c>
      <c r="B5343" t="s">
        <v>531</v>
      </c>
      <c r="C5343">
        <v>570</v>
      </c>
      <c r="D5343">
        <v>511</v>
      </c>
      <c r="E5343">
        <v>0</v>
      </c>
      <c r="F5343">
        <v>853</v>
      </c>
      <c r="G5343">
        <v>0</v>
      </c>
      <c r="H5343" t="s">
        <v>10265</v>
      </c>
      <c r="I5343">
        <v>6040</v>
      </c>
      <c r="J5343" t="e">
        <f>VLOOKUP(E5343,DSSpieler!A:B,2,FALSE)</f>
        <v>#N/A</v>
      </c>
    </row>
    <row r="5344" spans="1:10" x14ac:dyDescent="0.25">
      <c r="A5344">
        <v>6041</v>
      </c>
      <c r="B5344" t="s">
        <v>531</v>
      </c>
      <c r="C5344">
        <v>493</v>
      </c>
      <c r="D5344">
        <v>544</v>
      </c>
      <c r="E5344">
        <v>0</v>
      </c>
      <c r="F5344">
        <v>160</v>
      </c>
      <c r="G5344">
        <v>0</v>
      </c>
      <c r="H5344" t="s">
        <v>10266</v>
      </c>
      <c r="I5344">
        <v>6041</v>
      </c>
      <c r="J5344" t="e">
        <f>VLOOKUP(E5344,DSSpieler!A:B,2,FALSE)</f>
        <v>#N/A</v>
      </c>
    </row>
    <row r="5345" spans="1:10" x14ac:dyDescent="0.25">
      <c r="A5345">
        <v>6043</v>
      </c>
      <c r="B5345" t="s">
        <v>32683</v>
      </c>
      <c r="C5345">
        <v>477</v>
      </c>
      <c r="D5345">
        <v>571</v>
      </c>
      <c r="E5345">
        <v>1577087474</v>
      </c>
      <c r="F5345">
        <v>2952</v>
      </c>
      <c r="G5345">
        <v>0</v>
      </c>
      <c r="H5345" t="s">
        <v>10267</v>
      </c>
      <c r="I5345">
        <v>6043</v>
      </c>
      <c r="J5345" t="str">
        <f>VLOOKUP(E5345,DSSpieler!A:B,2,FALSE)</f>
        <v>Defferfürheffner</v>
      </c>
    </row>
    <row r="5346" spans="1:10" x14ac:dyDescent="0.25">
      <c r="A5346">
        <v>6044</v>
      </c>
      <c r="B5346" t="s">
        <v>32684</v>
      </c>
      <c r="C5346">
        <v>427</v>
      </c>
      <c r="D5346">
        <v>514</v>
      </c>
      <c r="E5346">
        <v>1576964247</v>
      </c>
      <c r="F5346">
        <v>4805</v>
      </c>
      <c r="G5346">
        <v>0</v>
      </c>
      <c r="H5346" t="s">
        <v>10268</v>
      </c>
      <c r="I5346">
        <v>6044</v>
      </c>
      <c r="J5346" t="str">
        <f>VLOOKUP(E5346,DSSpieler!A:B,2,FALSE)</f>
        <v>xRollstuhlcowboy</v>
      </c>
    </row>
    <row r="5347" spans="1:10" x14ac:dyDescent="0.25">
      <c r="A5347">
        <v>6045</v>
      </c>
      <c r="B5347" t="s">
        <v>546</v>
      </c>
      <c r="C5347">
        <v>516</v>
      </c>
      <c r="D5347">
        <v>440</v>
      </c>
      <c r="E5347">
        <v>7614516</v>
      </c>
      <c r="F5347">
        <v>2272</v>
      </c>
      <c r="G5347">
        <v>0</v>
      </c>
      <c r="H5347" t="s">
        <v>10269</v>
      </c>
      <c r="I5347">
        <v>6045</v>
      </c>
      <c r="J5347" t="str">
        <f>VLOOKUP(E5347,DSSpieler!A:B,2,FALSE)</f>
        <v>S H V</v>
      </c>
    </row>
    <row r="5348" spans="1:10" x14ac:dyDescent="0.25">
      <c r="A5348">
        <v>6046</v>
      </c>
      <c r="B5348" t="s">
        <v>556</v>
      </c>
      <c r="C5348">
        <v>511</v>
      </c>
      <c r="D5348">
        <v>465</v>
      </c>
      <c r="E5348">
        <v>1577047378</v>
      </c>
      <c r="F5348">
        <v>4736</v>
      </c>
      <c r="G5348">
        <v>0</v>
      </c>
      <c r="H5348" t="s">
        <v>10270</v>
      </c>
      <c r="I5348">
        <v>6046</v>
      </c>
      <c r="J5348" t="str">
        <f>VLOOKUP(E5348,DSSpieler!A:B,2,FALSE)</f>
        <v>jones24</v>
      </c>
    </row>
    <row r="5349" spans="1:10" x14ac:dyDescent="0.25">
      <c r="A5349">
        <v>6047</v>
      </c>
      <c r="B5349" t="s">
        <v>32685</v>
      </c>
      <c r="C5349">
        <v>555</v>
      </c>
      <c r="D5349">
        <v>549</v>
      </c>
      <c r="E5349">
        <v>1577193699</v>
      </c>
      <c r="F5349">
        <v>6408</v>
      </c>
      <c r="G5349">
        <v>0</v>
      </c>
      <c r="H5349" t="s">
        <v>10271</v>
      </c>
      <c r="I5349">
        <v>6047</v>
      </c>
      <c r="J5349" t="str">
        <f>VLOOKUP(E5349,DSSpieler!A:B,2,FALSE)</f>
        <v>Yasei</v>
      </c>
    </row>
    <row r="5350" spans="1:10" x14ac:dyDescent="0.25">
      <c r="A5350">
        <v>6048</v>
      </c>
      <c r="B5350" t="s">
        <v>32686</v>
      </c>
      <c r="C5350">
        <v>436</v>
      </c>
      <c r="D5350">
        <v>588</v>
      </c>
      <c r="E5350">
        <v>1576605405</v>
      </c>
      <c r="F5350">
        <v>4101</v>
      </c>
      <c r="G5350">
        <v>0</v>
      </c>
      <c r="H5350" t="s">
        <v>10272</v>
      </c>
      <c r="I5350">
        <v>6048</v>
      </c>
      <c r="J5350" t="str">
        <f>VLOOKUP(E5350,DSSpieler!A:B,2,FALSE)</f>
        <v>klaver61</v>
      </c>
    </row>
    <row r="5351" spans="1:10" x14ac:dyDescent="0.25">
      <c r="A5351">
        <v>6049</v>
      </c>
      <c r="B5351" t="s">
        <v>32687</v>
      </c>
      <c r="C5351">
        <v>558</v>
      </c>
      <c r="D5351">
        <v>525</v>
      </c>
      <c r="E5351">
        <v>1577182501</v>
      </c>
      <c r="F5351">
        <v>612</v>
      </c>
      <c r="G5351">
        <v>0</v>
      </c>
      <c r="H5351" t="s">
        <v>10273</v>
      </c>
      <c r="I5351">
        <v>6049</v>
      </c>
      <c r="J5351" t="str">
        <f>VLOOKUP(E5351,DSSpieler!A:B,2,FALSE)</f>
        <v>Lord Traliwatsch</v>
      </c>
    </row>
    <row r="5352" spans="1:10" x14ac:dyDescent="0.25">
      <c r="A5352">
        <v>6050</v>
      </c>
      <c r="B5352" t="s">
        <v>32688</v>
      </c>
      <c r="C5352">
        <v>451</v>
      </c>
      <c r="D5352">
        <v>565</v>
      </c>
      <c r="E5352">
        <v>1577185478</v>
      </c>
      <c r="F5352">
        <v>4737</v>
      </c>
      <c r="G5352">
        <v>0</v>
      </c>
      <c r="H5352" t="s">
        <v>10274</v>
      </c>
      <c r="I5352">
        <v>6050</v>
      </c>
      <c r="J5352" t="str">
        <f>VLOOKUP(E5352,DSSpieler!A:B,2,FALSE)</f>
        <v>DiebrauneWurst</v>
      </c>
    </row>
    <row r="5353" spans="1:10" x14ac:dyDescent="0.25">
      <c r="A5353">
        <v>6051</v>
      </c>
      <c r="B5353" t="s">
        <v>780</v>
      </c>
      <c r="C5353">
        <v>604</v>
      </c>
      <c r="D5353">
        <v>536</v>
      </c>
      <c r="E5353">
        <v>8645048</v>
      </c>
      <c r="F5353">
        <v>6017</v>
      </c>
      <c r="G5353">
        <v>0</v>
      </c>
      <c r="H5353" t="s">
        <v>10275</v>
      </c>
      <c r="I5353">
        <v>6051</v>
      </c>
      <c r="J5353" t="str">
        <f>VLOOKUP(E5353,DSSpieler!A:B,2,FALSE)</f>
        <v>HeinBlöd</v>
      </c>
    </row>
    <row r="5354" spans="1:10" x14ac:dyDescent="0.25">
      <c r="A5354">
        <v>6052</v>
      </c>
      <c r="B5354" t="s">
        <v>531</v>
      </c>
      <c r="C5354">
        <v>510</v>
      </c>
      <c r="D5354">
        <v>525</v>
      </c>
      <c r="E5354">
        <v>0</v>
      </c>
      <c r="F5354">
        <v>327</v>
      </c>
      <c r="G5354">
        <v>0</v>
      </c>
      <c r="H5354" t="s">
        <v>10276</v>
      </c>
      <c r="I5354">
        <v>6052</v>
      </c>
      <c r="J5354" t="e">
        <f>VLOOKUP(E5354,DSSpieler!A:B,2,FALSE)</f>
        <v>#N/A</v>
      </c>
    </row>
    <row r="5355" spans="1:10" x14ac:dyDescent="0.25">
      <c r="A5355">
        <v>6053</v>
      </c>
      <c r="B5355" t="s">
        <v>32689</v>
      </c>
      <c r="C5355">
        <v>465</v>
      </c>
      <c r="D5355">
        <v>429</v>
      </c>
      <c r="E5355">
        <v>1576949733</v>
      </c>
      <c r="F5355">
        <v>5054</v>
      </c>
      <c r="G5355">
        <v>0</v>
      </c>
      <c r="H5355" t="s">
        <v>10277</v>
      </c>
      <c r="I5355">
        <v>6053</v>
      </c>
      <c r="J5355" t="str">
        <f>VLOOKUP(E5355,DSSpieler!A:B,2,FALSE)</f>
        <v>Rengo-</v>
      </c>
    </row>
    <row r="5356" spans="1:10" x14ac:dyDescent="0.25">
      <c r="A5356">
        <v>6055</v>
      </c>
      <c r="B5356" t="s">
        <v>531</v>
      </c>
      <c r="C5356">
        <v>512</v>
      </c>
      <c r="D5356">
        <v>575</v>
      </c>
      <c r="E5356">
        <v>0</v>
      </c>
      <c r="F5356">
        <v>233</v>
      </c>
      <c r="G5356">
        <v>0</v>
      </c>
      <c r="H5356" t="s">
        <v>10278</v>
      </c>
      <c r="I5356">
        <v>6055</v>
      </c>
      <c r="J5356" t="e">
        <f>VLOOKUP(E5356,DSSpieler!A:B,2,FALSE)</f>
        <v>#N/A</v>
      </c>
    </row>
    <row r="5357" spans="1:10" x14ac:dyDescent="0.25">
      <c r="A5357">
        <v>6056</v>
      </c>
      <c r="B5357" t="s">
        <v>32690</v>
      </c>
      <c r="C5357">
        <v>524</v>
      </c>
      <c r="D5357">
        <v>575</v>
      </c>
      <c r="E5357">
        <v>10229642</v>
      </c>
      <c r="F5357">
        <v>5300</v>
      </c>
      <c r="G5357">
        <v>0</v>
      </c>
      <c r="H5357" t="s">
        <v>10279</v>
      </c>
      <c r="I5357">
        <v>6056</v>
      </c>
      <c r="J5357" t="str">
        <f>VLOOKUP(E5357,DSSpieler!A:B,2,FALSE)</f>
        <v>Tollpatsch 5</v>
      </c>
    </row>
    <row r="5358" spans="1:10" x14ac:dyDescent="0.25">
      <c r="A5358">
        <v>6058</v>
      </c>
      <c r="B5358">
        <v>2</v>
      </c>
      <c r="C5358">
        <v>527</v>
      </c>
      <c r="D5358">
        <v>466</v>
      </c>
      <c r="E5358">
        <v>1974764</v>
      </c>
      <c r="F5358">
        <v>5415</v>
      </c>
      <c r="G5358">
        <v>0</v>
      </c>
      <c r="H5358" t="s">
        <v>10280</v>
      </c>
      <c r="I5358">
        <v>6058</v>
      </c>
      <c r="J5358" t="str">
        <f>VLOOKUP(E5358,DSSpieler!A:B,2,FALSE)</f>
        <v>ajax der III</v>
      </c>
    </row>
    <row r="5359" spans="1:10" x14ac:dyDescent="0.25">
      <c r="A5359">
        <v>6059</v>
      </c>
      <c r="B5359" t="s">
        <v>32691</v>
      </c>
      <c r="C5359">
        <v>449</v>
      </c>
      <c r="D5359">
        <v>550</v>
      </c>
      <c r="E5359">
        <v>9849079</v>
      </c>
      <c r="F5359">
        <v>5196</v>
      </c>
      <c r="G5359">
        <v>0</v>
      </c>
      <c r="H5359" t="s">
        <v>10281</v>
      </c>
      <c r="I5359">
        <v>6059</v>
      </c>
      <c r="J5359" t="str">
        <f>VLOOKUP(E5359,DSSpieler!A:B,2,FALSE)</f>
        <v>jagru15</v>
      </c>
    </row>
    <row r="5360" spans="1:10" x14ac:dyDescent="0.25">
      <c r="A5360">
        <v>6060</v>
      </c>
      <c r="B5360" t="s">
        <v>1480</v>
      </c>
      <c r="C5360">
        <v>416</v>
      </c>
      <c r="D5360">
        <v>468</v>
      </c>
      <c r="E5360">
        <v>8758527</v>
      </c>
      <c r="F5360">
        <v>2495</v>
      </c>
      <c r="G5360">
        <v>0</v>
      </c>
      <c r="H5360" t="s">
        <v>10282</v>
      </c>
      <c r="I5360">
        <v>6060</v>
      </c>
      <c r="J5360" t="str">
        <f>VLOOKUP(E5360,DSSpieler!A:B,2,FALSE)</f>
        <v>Kracitshl</v>
      </c>
    </row>
    <row r="5361" spans="1:10" x14ac:dyDescent="0.25">
      <c r="A5361">
        <v>6061</v>
      </c>
      <c r="B5361" t="s">
        <v>531</v>
      </c>
      <c r="C5361">
        <v>477</v>
      </c>
      <c r="D5361">
        <v>578</v>
      </c>
      <c r="E5361">
        <v>0</v>
      </c>
      <c r="F5361">
        <v>264</v>
      </c>
      <c r="G5361">
        <v>0</v>
      </c>
      <c r="H5361" t="s">
        <v>10283</v>
      </c>
      <c r="I5361">
        <v>6061</v>
      </c>
      <c r="J5361" t="e">
        <f>VLOOKUP(E5361,DSSpieler!A:B,2,FALSE)</f>
        <v>#N/A</v>
      </c>
    </row>
    <row r="5362" spans="1:10" x14ac:dyDescent="0.25">
      <c r="A5362">
        <v>6062</v>
      </c>
      <c r="B5362" t="s">
        <v>531</v>
      </c>
      <c r="C5362">
        <v>526</v>
      </c>
      <c r="D5362">
        <v>555</v>
      </c>
      <c r="E5362">
        <v>0</v>
      </c>
      <c r="F5362">
        <v>2240</v>
      </c>
      <c r="G5362">
        <v>0</v>
      </c>
      <c r="H5362" t="s">
        <v>10284</v>
      </c>
      <c r="I5362">
        <v>6062</v>
      </c>
      <c r="J5362" t="e">
        <f>VLOOKUP(E5362,DSSpieler!A:B,2,FALSE)</f>
        <v>#N/A</v>
      </c>
    </row>
    <row r="5363" spans="1:10" x14ac:dyDescent="0.25">
      <c r="A5363">
        <v>6063</v>
      </c>
      <c r="B5363">
        <v>1</v>
      </c>
      <c r="C5363">
        <v>455</v>
      </c>
      <c r="D5363">
        <v>446</v>
      </c>
      <c r="E5363">
        <v>7935427</v>
      </c>
      <c r="F5363">
        <v>7794</v>
      </c>
      <c r="G5363">
        <v>0</v>
      </c>
      <c r="H5363" t="s">
        <v>10285</v>
      </c>
      <c r="I5363">
        <v>6063</v>
      </c>
      <c r="J5363" t="str">
        <f>VLOOKUP(E5363,DSSpieler!A:B,2,FALSE)</f>
        <v>-Eroberer-</v>
      </c>
    </row>
    <row r="5364" spans="1:10" x14ac:dyDescent="0.25">
      <c r="A5364">
        <v>6064</v>
      </c>
      <c r="B5364" t="s">
        <v>31387</v>
      </c>
      <c r="C5364">
        <v>571</v>
      </c>
      <c r="D5364">
        <v>567</v>
      </c>
      <c r="E5364">
        <v>10154907</v>
      </c>
      <c r="F5364">
        <v>5095</v>
      </c>
      <c r="G5364">
        <v>0</v>
      </c>
      <c r="H5364" t="s">
        <v>10286</v>
      </c>
      <c r="I5364">
        <v>6064</v>
      </c>
      <c r="J5364" t="str">
        <f>VLOOKUP(E5364,DSSpieler!A:B,2,FALSE)</f>
        <v>tronten</v>
      </c>
    </row>
    <row r="5365" spans="1:10" x14ac:dyDescent="0.25">
      <c r="A5365">
        <v>6065</v>
      </c>
      <c r="B5365" t="s">
        <v>30469</v>
      </c>
      <c r="C5365">
        <v>448</v>
      </c>
      <c r="D5365">
        <v>452</v>
      </c>
      <c r="E5365">
        <v>1577165248</v>
      </c>
      <c r="F5365">
        <v>5152</v>
      </c>
      <c r="G5365">
        <v>0</v>
      </c>
      <c r="H5365" t="s">
        <v>10287</v>
      </c>
      <c r="I5365">
        <v>6065</v>
      </c>
      <c r="J5365" t="str">
        <f>VLOOKUP(E5365,DSSpieler!A:B,2,FALSE)</f>
        <v>AlfDerVierzweinullste</v>
      </c>
    </row>
    <row r="5366" spans="1:10" x14ac:dyDescent="0.25">
      <c r="A5366">
        <v>6066</v>
      </c>
      <c r="B5366" t="s">
        <v>32692</v>
      </c>
      <c r="C5366">
        <v>480</v>
      </c>
      <c r="D5366">
        <v>586</v>
      </c>
      <c r="E5366">
        <v>1577163047</v>
      </c>
      <c r="F5366">
        <v>4970</v>
      </c>
      <c r="G5366">
        <v>0</v>
      </c>
      <c r="H5366" t="s">
        <v>10288</v>
      </c>
      <c r="I5366">
        <v>6066</v>
      </c>
      <c r="J5366" t="str">
        <f>VLOOKUP(E5366,DSSpieler!A:B,2,FALSE)</f>
        <v>Ina Instabil</v>
      </c>
    </row>
    <row r="5367" spans="1:10" x14ac:dyDescent="0.25">
      <c r="A5367">
        <v>6067</v>
      </c>
      <c r="B5367" t="s">
        <v>32693</v>
      </c>
      <c r="C5367">
        <v>430</v>
      </c>
      <c r="D5367">
        <v>586</v>
      </c>
      <c r="E5367">
        <v>1577193502</v>
      </c>
      <c r="F5367">
        <v>5881</v>
      </c>
      <c r="G5367">
        <v>0</v>
      </c>
      <c r="H5367" t="s">
        <v>10289</v>
      </c>
      <c r="I5367">
        <v>6067</v>
      </c>
      <c r="J5367" t="str">
        <f>VLOOKUP(E5367,DSSpieler!A:B,2,FALSE)</f>
        <v>Tomczio</v>
      </c>
    </row>
    <row r="5368" spans="1:10" x14ac:dyDescent="0.25">
      <c r="A5368">
        <v>6068</v>
      </c>
      <c r="B5368" t="s">
        <v>531</v>
      </c>
      <c r="C5368">
        <v>491</v>
      </c>
      <c r="D5368">
        <v>433</v>
      </c>
      <c r="E5368">
        <v>0</v>
      </c>
      <c r="F5368">
        <v>364</v>
      </c>
      <c r="G5368">
        <v>0</v>
      </c>
      <c r="H5368" t="s">
        <v>10290</v>
      </c>
      <c r="I5368">
        <v>6068</v>
      </c>
      <c r="J5368" t="e">
        <f>VLOOKUP(E5368,DSSpieler!A:B,2,FALSE)</f>
        <v>#N/A</v>
      </c>
    </row>
    <row r="5369" spans="1:10" x14ac:dyDescent="0.25">
      <c r="A5369">
        <v>6069</v>
      </c>
      <c r="B5369" t="s">
        <v>32694</v>
      </c>
      <c r="C5369">
        <v>504</v>
      </c>
      <c r="D5369">
        <v>607</v>
      </c>
      <c r="E5369">
        <v>1577100364</v>
      </c>
      <c r="F5369">
        <v>7825</v>
      </c>
      <c r="G5369">
        <v>0</v>
      </c>
      <c r="H5369" t="s">
        <v>10291</v>
      </c>
      <c r="I5369">
        <v>6069</v>
      </c>
      <c r="J5369" t="str">
        <f>VLOOKUP(E5369,DSSpieler!A:B,2,FALSE)</f>
        <v>Olga24humorlos</v>
      </c>
    </row>
    <row r="5370" spans="1:10" x14ac:dyDescent="0.25">
      <c r="A5370">
        <v>6070</v>
      </c>
      <c r="B5370" t="s">
        <v>1481</v>
      </c>
      <c r="C5370">
        <v>605</v>
      </c>
      <c r="D5370">
        <v>468</v>
      </c>
      <c r="E5370">
        <v>1577197969</v>
      </c>
      <c r="F5370">
        <v>8505</v>
      </c>
      <c r="G5370">
        <v>0</v>
      </c>
      <c r="H5370" t="s">
        <v>10292</v>
      </c>
      <c r="I5370">
        <v>6070</v>
      </c>
      <c r="J5370" t="str">
        <f>VLOOKUP(E5370,DSSpieler!A:B,2,FALSE)</f>
        <v>c.ronaldo-17</v>
      </c>
    </row>
    <row r="5371" spans="1:10" x14ac:dyDescent="0.25">
      <c r="A5371">
        <v>6071</v>
      </c>
      <c r="B5371" t="s">
        <v>531</v>
      </c>
      <c r="C5371">
        <v>435</v>
      </c>
      <c r="D5371">
        <v>474</v>
      </c>
      <c r="E5371">
        <v>0</v>
      </c>
      <c r="F5371">
        <v>280</v>
      </c>
      <c r="G5371">
        <v>0</v>
      </c>
      <c r="H5371" t="s">
        <v>10293</v>
      </c>
      <c r="I5371">
        <v>6071</v>
      </c>
      <c r="J5371" t="e">
        <f>VLOOKUP(E5371,DSSpieler!A:B,2,FALSE)</f>
        <v>#N/A</v>
      </c>
    </row>
    <row r="5372" spans="1:10" x14ac:dyDescent="0.25">
      <c r="A5372">
        <v>6072</v>
      </c>
      <c r="B5372">
        <v>3</v>
      </c>
      <c r="C5372">
        <v>509</v>
      </c>
      <c r="D5372">
        <v>529</v>
      </c>
      <c r="E5372">
        <v>10153328</v>
      </c>
      <c r="F5372">
        <v>5604</v>
      </c>
      <c r="G5372">
        <v>0</v>
      </c>
      <c r="H5372" t="s">
        <v>10294</v>
      </c>
      <c r="I5372">
        <v>6072</v>
      </c>
      <c r="J5372" t="str">
        <f>VLOOKUP(E5372,DSSpieler!A:B,2,FALSE)</f>
        <v>ChePrinzessin</v>
      </c>
    </row>
    <row r="5373" spans="1:10" x14ac:dyDescent="0.25">
      <c r="A5373">
        <v>6073</v>
      </c>
      <c r="B5373" t="s">
        <v>1482</v>
      </c>
      <c r="C5373">
        <v>545</v>
      </c>
      <c r="D5373">
        <v>532</v>
      </c>
      <c r="E5373">
        <v>205615</v>
      </c>
      <c r="F5373">
        <v>5360</v>
      </c>
      <c r="G5373">
        <v>0</v>
      </c>
      <c r="H5373" t="s">
        <v>10295</v>
      </c>
      <c r="I5373">
        <v>6073</v>
      </c>
      <c r="J5373" t="str">
        <f>VLOOKUP(E5373,DSSpieler!A:B,2,FALSE)</f>
        <v>hubeno</v>
      </c>
    </row>
    <row r="5374" spans="1:10" x14ac:dyDescent="0.25">
      <c r="A5374">
        <v>6074</v>
      </c>
      <c r="B5374" t="s">
        <v>780</v>
      </c>
      <c r="C5374">
        <v>564</v>
      </c>
      <c r="D5374">
        <v>563</v>
      </c>
      <c r="E5374">
        <v>1577197971</v>
      </c>
      <c r="F5374">
        <v>4606</v>
      </c>
      <c r="G5374">
        <v>0</v>
      </c>
      <c r="H5374" t="s">
        <v>10296</v>
      </c>
      <c r="I5374">
        <v>6074</v>
      </c>
      <c r="J5374" t="str">
        <f>VLOOKUP(E5374,DSSpieler!A:B,2,FALSE)</f>
        <v>-I34SH-</v>
      </c>
    </row>
    <row r="5375" spans="1:10" x14ac:dyDescent="0.25">
      <c r="A5375">
        <v>6075</v>
      </c>
      <c r="B5375" t="s">
        <v>32695</v>
      </c>
      <c r="C5375">
        <v>542</v>
      </c>
      <c r="D5375">
        <v>539</v>
      </c>
      <c r="E5375">
        <v>1577188924</v>
      </c>
      <c r="F5375">
        <v>3360</v>
      </c>
      <c r="G5375">
        <v>0</v>
      </c>
      <c r="H5375" t="s">
        <v>10297</v>
      </c>
      <c r="I5375">
        <v>6075</v>
      </c>
      <c r="J5375" t="str">
        <f>VLOOKUP(E5375,DSSpieler!A:B,2,FALSE)</f>
        <v>Mammr0n</v>
      </c>
    </row>
    <row r="5376" spans="1:10" x14ac:dyDescent="0.25">
      <c r="A5376">
        <v>6076</v>
      </c>
      <c r="B5376" t="s">
        <v>32696</v>
      </c>
      <c r="C5376">
        <v>571</v>
      </c>
      <c r="D5376">
        <v>482</v>
      </c>
      <c r="E5376">
        <v>9647614</v>
      </c>
      <c r="F5376">
        <v>5656</v>
      </c>
      <c r="G5376">
        <v>0</v>
      </c>
      <c r="H5376" t="s">
        <v>10298</v>
      </c>
      <c r="I5376">
        <v>6076</v>
      </c>
      <c r="J5376" t="str">
        <f>VLOOKUP(E5376,DSSpieler!A:B,2,FALSE)</f>
        <v>Riefenstahl</v>
      </c>
    </row>
    <row r="5377" spans="1:10" x14ac:dyDescent="0.25">
      <c r="A5377">
        <v>6077</v>
      </c>
      <c r="B5377" t="s">
        <v>35838</v>
      </c>
      <c r="C5377">
        <v>591</v>
      </c>
      <c r="D5377">
        <v>516</v>
      </c>
      <c r="E5377">
        <v>1576969873</v>
      </c>
      <c r="F5377">
        <v>6638</v>
      </c>
      <c r="G5377">
        <v>0</v>
      </c>
      <c r="H5377" t="s">
        <v>10299</v>
      </c>
      <c r="I5377">
        <v>6077</v>
      </c>
      <c r="J5377" t="str">
        <f>VLOOKUP(E5377,DSSpieler!A:B,2,FALSE)</f>
        <v>Spachris</v>
      </c>
    </row>
    <row r="5378" spans="1:10" x14ac:dyDescent="0.25">
      <c r="A5378">
        <v>6078</v>
      </c>
      <c r="B5378" t="s">
        <v>32697</v>
      </c>
      <c r="C5378">
        <v>454</v>
      </c>
      <c r="D5378">
        <v>484</v>
      </c>
      <c r="E5378">
        <v>8963542</v>
      </c>
      <c r="F5378">
        <v>2033</v>
      </c>
      <c r="G5378">
        <v>0</v>
      </c>
      <c r="H5378" t="s">
        <v>10300</v>
      </c>
      <c r="I5378">
        <v>6078</v>
      </c>
      <c r="J5378" t="str">
        <f>VLOOKUP(E5378,DSSpieler!A:B,2,FALSE)</f>
        <v>Kamerad1</v>
      </c>
    </row>
    <row r="5379" spans="1:10" x14ac:dyDescent="0.25">
      <c r="A5379">
        <v>6079</v>
      </c>
      <c r="B5379" t="s">
        <v>531</v>
      </c>
      <c r="C5379">
        <v>556</v>
      </c>
      <c r="D5379">
        <v>556</v>
      </c>
      <c r="E5379">
        <v>0</v>
      </c>
      <c r="F5379">
        <v>569</v>
      </c>
      <c r="G5379">
        <v>0</v>
      </c>
      <c r="H5379" t="s">
        <v>10301</v>
      </c>
      <c r="I5379">
        <v>6079</v>
      </c>
      <c r="J5379" t="e">
        <f>VLOOKUP(E5379,DSSpieler!A:B,2,FALSE)</f>
        <v>#N/A</v>
      </c>
    </row>
    <row r="5380" spans="1:10" x14ac:dyDescent="0.25">
      <c r="A5380">
        <v>6080</v>
      </c>
      <c r="B5380" t="s">
        <v>32698</v>
      </c>
      <c r="C5380">
        <v>486</v>
      </c>
      <c r="D5380">
        <v>424</v>
      </c>
      <c r="E5380">
        <v>9318560</v>
      </c>
      <c r="F5380">
        <v>4356</v>
      </c>
      <c r="G5380">
        <v>0</v>
      </c>
      <c r="H5380" t="s">
        <v>10302</v>
      </c>
      <c r="I5380">
        <v>6080</v>
      </c>
      <c r="J5380" t="str">
        <f>VLOOKUP(E5380,DSSpieler!A:B,2,FALSE)</f>
        <v>Melkin</v>
      </c>
    </row>
    <row r="5381" spans="1:10" x14ac:dyDescent="0.25">
      <c r="A5381">
        <v>6081</v>
      </c>
      <c r="B5381" t="s">
        <v>32699</v>
      </c>
      <c r="C5381">
        <v>584</v>
      </c>
      <c r="D5381">
        <v>555</v>
      </c>
      <c r="E5381">
        <v>1577198547</v>
      </c>
      <c r="F5381">
        <v>4665</v>
      </c>
      <c r="G5381">
        <v>0</v>
      </c>
      <c r="H5381" t="s">
        <v>10303</v>
      </c>
      <c r="I5381">
        <v>6081</v>
      </c>
      <c r="J5381" t="str">
        <f>VLOOKUP(E5381,DSSpieler!A:B,2,FALSE)</f>
        <v>blackout.</v>
      </c>
    </row>
    <row r="5382" spans="1:10" x14ac:dyDescent="0.25">
      <c r="A5382">
        <v>6082</v>
      </c>
      <c r="B5382" t="s">
        <v>32700</v>
      </c>
      <c r="C5382">
        <v>485</v>
      </c>
      <c r="D5382">
        <v>473</v>
      </c>
      <c r="E5382">
        <v>1576455813</v>
      </c>
      <c r="F5382">
        <v>5900</v>
      </c>
      <c r="G5382">
        <v>0</v>
      </c>
      <c r="H5382" t="s">
        <v>10304</v>
      </c>
      <c r="I5382">
        <v>6082</v>
      </c>
      <c r="J5382" t="str">
        <f>VLOOKUP(E5382,DSSpieler!A:B,2,FALSE)</f>
        <v>linerider15</v>
      </c>
    </row>
    <row r="5383" spans="1:10" x14ac:dyDescent="0.25">
      <c r="A5383">
        <v>6084</v>
      </c>
      <c r="B5383" t="s">
        <v>32701</v>
      </c>
      <c r="C5383">
        <v>489</v>
      </c>
      <c r="D5383">
        <v>602</v>
      </c>
      <c r="E5383">
        <v>3210799</v>
      </c>
      <c r="F5383">
        <v>5393</v>
      </c>
      <c r="G5383">
        <v>0</v>
      </c>
      <c r="H5383" t="s">
        <v>10305</v>
      </c>
      <c r="I5383">
        <v>6084</v>
      </c>
      <c r="J5383" t="str">
        <f>VLOOKUP(E5383,DSSpieler!A:B,2,FALSE)</f>
        <v>fekiks</v>
      </c>
    </row>
    <row r="5384" spans="1:10" x14ac:dyDescent="0.25">
      <c r="A5384">
        <v>6085</v>
      </c>
      <c r="B5384" t="s">
        <v>1483</v>
      </c>
      <c r="C5384">
        <v>501</v>
      </c>
      <c r="D5384">
        <v>568</v>
      </c>
      <c r="E5384">
        <v>1576785796</v>
      </c>
      <c r="F5384">
        <v>4257</v>
      </c>
      <c r="G5384">
        <v>0</v>
      </c>
      <c r="H5384" t="s">
        <v>10306</v>
      </c>
      <c r="I5384">
        <v>6085</v>
      </c>
      <c r="J5384" t="str">
        <f>VLOOKUP(E5384,DSSpieler!A:B,2,FALSE)</f>
        <v>Bpic</v>
      </c>
    </row>
    <row r="5385" spans="1:10" x14ac:dyDescent="0.25">
      <c r="A5385">
        <v>6086</v>
      </c>
      <c r="B5385" t="s">
        <v>32702</v>
      </c>
      <c r="C5385">
        <v>554</v>
      </c>
      <c r="D5385">
        <v>581</v>
      </c>
      <c r="E5385">
        <v>1577044240</v>
      </c>
      <c r="F5385">
        <v>6398</v>
      </c>
      <c r="G5385">
        <v>0</v>
      </c>
      <c r="H5385" t="s">
        <v>10307</v>
      </c>
      <c r="I5385">
        <v>6086</v>
      </c>
      <c r="J5385" t="str">
        <f>VLOOKUP(E5385,DSSpieler!A:B,2,FALSE)</f>
        <v>Inaktiv-Keine-Zeit</v>
      </c>
    </row>
    <row r="5386" spans="1:10" x14ac:dyDescent="0.25">
      <c r="A5386">
        <v>6087</v>
      </c>
      <c r="B5386" t="s">
        <v>531</v>
      </c>
      <c r="C5386">
        <v>542</v>
      </c>
      <c r="D5386">
        <v>455</v>
      </c>
      <c r="E5386">
        <v>0</v>
      </c>
      <c r="F5386">
        <v>178</v>
      </c>
      <c r="G5386">
        <v>0</v>
      </c>
      <c r="H5386" t="s">
        <v>10308</v>
      </c>
      <c r="I5386">
        <v>6087</v>
      </c>
      <c r="J5386" t="e">
        <f>VLOOKUP(E5386,DSSpieler!A:B,2,FALSE)</f>
        <v>#N/A</v>
      </c>
    </row>
    <row r="5387" spans="1:10" x14ac:dyDescent="0.25">
      <c r="A5387">
        <v>6088</v>
      </c>
      <c r="B5387" t="s">
        <v>531</v>
      </c>
      <c r="C5387">
        <v>547</v>
      </c>
      <c r="D5387">
        <v>551</v>
      </c>
      <c r="E5387">
        <v>0</v>
      </c>
      <c r="F5387">
        <v>234</v>
      </c>
      <c r="G5387">
        <v>0</v>
      </c>
      <c r="H5387" t="s">
        <v>10309</v>
      </c>
      <c r="I5387">
        <v>6088</v>
      </c>
      <c r="J5387" t="e">
        <f>VLOOKUP(E5387,DSSpieler!A:B,2,FALSE)</f>
        <v>#N/A</v>
      </c>
    </row>
    <row r="5388" spans="1:10" x14ac:dyDescent="0.25">
      <c r="A5388">
        <v>6089</v>
      </c>
      <c r="B5388" t="s">
        <v>531</v>
      </c>
      <c r="C5388">
        <v>512</v>
      </c>
      <c r="D5388">
        <v>453</v>
      </c>
      <c r="E5388">
        <v>0</v>
      </c>
      <c r="F5388">
        <v>387</v>
      </c>
      <c r="G5388">
        <v>0</v>
      </c>
      <c r="H5388" t="s">
        <v>10310</v>
      </c>
      <c r="I5388">
        <v>6089</v>
      </c>
      <c r="J5388" t="e">
        <f>VLOOKUP(E5388,DSSpieler!A:B,2,FALSE)</f>
        <v>#N/A</v>
      </c>
    </row>
    <row r="5389" spans="1:10" x14ac:dyDescent="0.25">
      <c r="A5389">
        <v>6090</v>
      </c>
      <c r="B5389" t="s">
        <v>531</v>
      </c>
      <c r="C5389">
        <v>575</v>
      </c>
      <c r="D5389">
        <v>493</v>
      </c>
      <c r="E5389">
        <v>0</v>
      </c>
      <c r="F5389">
        <v>309</v>
      </c>
      <c r="G5389">
        <v>0</v>
      </c>
      <c r="H5389" t="s">
        <v>10311</v>
      </c>
      <c r="I5389">
        <v>6090</v>
      </c>
      <c r="J5389" t="e">
        <f>VLOOKUP(E5389,DSSpieler!A:B,2,FALSE)</f>
        <v>#N/A</v>
      </c>
    </row>
    <row r="5390" spans="1:10" x14ac:dyDescent="0.25">
      <c r="A5390">
        <v>6092</v>
      </c>
      <c r="B5390" t="s">
        <v>531</v>
      </c>
      <c r="C5390">
        <v>569</v>
      </c>
      <c r="D5390">
        <v>509</v>
      </c>
      <c r="E5390">
        <v>0</v>
      </c>
      <c r="F5390">
        <v>331</v>
      </c>
      <c r="G5390">
        <v>0</v>
      </c>
      <c r="H5390" t="s">
        <v>10312</v>
      </c>
      <c r="I5390">
        <v>6092</v>
      </c>
      <c r="J5390" t="e">
        <f>VLOOKUP(E5390,DSSpieler!A:B,2,FALSE)</f>
        <v>#N/A</v>
      </c>
    </row>
    <row r="5391" spans="1:10" x14ac:dyDescent="0.25">
      <c r="A5391">
        <v>6093</v>
      </c>
      <c r="B5391" t="s">
        <v>1469</v>
      </c>
      <c r="C5391">
        <v>512</v>
      </c>
      <c r="D5391">
        <v>566</v>
      </c>
      <c r="E5391">
        <v>10085205</v>
      </c>
      <c r="F5391">
        <v>5386</v>
      </c>
      <c r="G5391">
        <v>0</v>
      </c>
      <c r="H5391" t="s">
        <v>10313</v>
      </c>
      <c r="I5391">
        <v>6093</v>
      </c>
      <c r="J5391" t="str">
        <f>VLOOKUP(E5391,DSSpieler!A:B,2,FALSE)</f>
        <v>Floating Coffin</v>
      </c>
    </row>
    <row r="5392" spans="1:10" x14ac:dyDescent="0.25">
      <c r="A5392">
        <v>6094</v>
      </c>
      <c r="B5392" t="s">
        <v>531</v>
      </c>
      <c r="C5392">
        <v>507</v>
      </c>
      <c r="D5392">
        <v>511</v>
      </c>
      <c r="E5392">
        <v>1577159174</v>
      </c>
      <c r="F5392">
        <v>463</v>
      </c>
      <c r="G5392">
        <v>0</v>
      </c>
      <c r="H5392" t="s">
        <v>10314</v>
      </c>
      <c r="I5392">
        <v>6094</v>
      </c>
      <c r="J5392" t="str">
        <f>VLOOKUP(E5392,DSSpieler!A:B,2,FALSE)</f>
        <v>Freiherr von Licht</v>
      </c>
    </row>
    <row r="5393" spans="1:10" x14ac:dyDescent="0.25">
      <c r="A5393">
        <v>6096</v>
      </c>
      <c r="B5393" t="e">
        <f>-3-+Tod</f>
        <v>#NAME?</v>
      </c>
      <c r="C5393">
        <v>493</v>
      </c>
      <c r="D5393">
        <v>424</v>
      </c>
      <c r="E5393">
        <v>1575904868</v>
      </c>
      <c r="F5393">
        <v>2151</v>
      </c>
      <c r="G5393">
        <v>0</v>
      </c>
      <c r="H5393" t="s">
        <v>10315</v>
      </c>
      <c r="I5393">
        <v>6096</v>
      </c>
      <c r="J5393" t="str">
        <f>VLOOKUP(E5393,DSSpieler!A:B,2,FALSE)</f>
        <v>Djar1806</v>
      </c>
    </row>
    <row r="5394" spans="1:10" x14ac:dyDescent="0.25">
      <c r="A5394">
        <v>6097</v>
      </c>
      <c r="B5394" t="s">
        <v>32703</v>
      </c>
      <c r="C5394">
        <v>595</v>
      </c>
      <c r="D5394">
        <v>511</v>
      </c>
      <c r="E5394">
        <v>1577126159</v>
      </c>
      <c r="F5394">
        <v>5863</v>
      </c>
      <c r="G5394">
        <v>0</v>
      </c>
      <c r="H5394" t="s">
        <v>10316</v>
      </c>
      <c r="I5394">
        <v>6097</v>
      </c>
      <c r="J5394" t="str">
        <f>VLOOKUP(E5394,DSSpieler!A:B,2,FALSE)</f>
        <v>Bohnski</v>
      </c>
    </row>
    <row r="5395" spans="1:10" x14ac:dyDescent="0.25">
      <c r="A5395">
        <v>6098</v>
      </c>
      <c r="B5395" t="s">
        <v>1484</v>
      </c>
      <c r="C5395">
        <v>460</v>
      </c>
      <c r="D5395">
        <v>495</v>
      </c>
      <c r="E5395">
        <v>1577171823</v>
      </c>
      <c r="F5395">
        <v>5427</v>
      </c>
      <c r="G5395">
        <v>0</v>
      </c>
      <c r="H5395" t="s">
        <v>10317</v>
      </c>
      <c r="I5395">
        <v>6098</v>
      </c>
      <c r="J5395" t="str">
        <f>VLOOKUP(E5395,DSSpieler!A:B,2,FALSE)</f>
        <v>Blackview39</v>
      </c>
    </row>
    <row r="5396" spans="1:10" x14ac:dyDescent="0.25">
      <c r="A5396">
        <v>6099</v>
      </c>
      <c r="B5396" t="s">
        <v>531</v>
      </c>
      <c r="C5396">
        <v>536</v>
      </c>
      <c r="D5396">
        <v>446</v>
      </c>
      <c r="E5396">
        <v>0</v>
      </c>
      <c r="F5396">
        <v>588</v>
      </c>
      <c r="G5396">
        <v>0</v>
      </c>
      <c r="H5396" t="s">
        <v>10318</v>
      </c>
      <c r="I5396">
        <v>6099</v>
      </c>
      <c r="J5396" t="e">
        <f>VLOOKUP(E5396,DSSpieler!A:B,2,FALSE)</f>
        <v>#N/A</v>
      </c>
    </row>
    <row r="5397" spans="1:10" x14ac:dyDescent="0.25">
      <c r="A5397">
        <v>6100</v>
      </c>
      <c r="B5397" t="s">
        <v>32704</v>
      </c>
      <c r="C5397">
        <v>541</v>
      </c>
      <c r="D5397">
        <v>470</v>
      </c>
      <c r="E5397">
        <v>1576975086</v>
      </c>
      <c r="F5397">
        <v>3435</v>
      </c>
      <c r="G5397">
        <v>0</v>
      </c>
      <c r="H5397" t="s">
        <v>10319</v>
      </c>
      <c r="I5397">
        <v>6100</v>
      </c>
      <c r="J5397" t="str">
        <f>VLOOKUP(E5397,DSSpieler!A:B,2,FALSE)</f>
        <v>Homer7</v>
      </c>
    </row>
    <row r="5398" spans="1:10" x14ac:dyDescent="0.25">
      <c r="A5398">
        <v>6101</v>
      </c>
      <c r="B5398" t="s">
        <v>531</v>
      </c>
      <c r="C5398">
        <v>496</v>
      </c>
      <c r="D5398">
        <v>480</v>
      </c>
      <c r="E5398">
        <v>0</v>
      </c>
      <c r="F5398">
        <v>124</v>
      </c>
      <c r="G5398">
        <v>0</v>
      </c>
      <c r="H5398" t="s">
        <v>10320</v>
      </c>
      <c r="I5398">
        <v>6101</v>
      </c>
      <c r="J5398" t="e">
        <f>VLOOKUP(E5398,DSSpieler!A:B,2,FALSE)</f>
        <v>#N/A</v>
      </c>
    </row>
    <row r="5399" spans="1:10" x14ac:dyDescent="0.25">
      <c r="A5399">
        <v>6102</v>
      </c>
      <c r="B5399" t="s">
        <v>531</v>
      </c>
      <c r="C5399">
        <v>538</v>
      </c>
      <c r="D5399">
        <v>570</v>
      </c>
      <c r="E5399">
        <v>0</v>
      </c>
      <c r="F5399">
        <v>940</v>
      </c>
      <c r="G5399">
        <v>0</v>
      </c>
      <c r="H5399" t="s">
        <v>10321</v>
      </c>
      <c r="I5399">
        <v>6102</v>
      </c>
      <c r="J5399" t="e">
        <f>VLOOKUP(E5399,DSSpieler!A:B,2,FALSE)</f>
        <v>#N/A</v>
      </c>
    </row>
    <row r="5400" spans="1:10" x14ac:dyDescent="0.25">
      <c r="A5400">
        <v>6103</v>
      </c>
      <c r="B5400" t="s">
        <v>531</v>
      </c>
      <c r="C5400">
        <v>504</v>
      </c>
      <c r="D5400">
        <v>436</v>
      </c>
      <c r="E5400">
        <v>0</v>
      </c>
      <c r="F5400">
        <v>474</v>
      </c>
      <c r="G5400">
        <v>0</v>
      </c>
      <c r="H5400" t="s">
        <v>10322</v>
      </c>
      <c r="I5400">
        <v>6103</v>
      </c>
      <c r="J5400" t="e">
        <f>VLOOKUP(E5400,DSSpieler!A:B,2,FALSE)</f>
        <v>#N/A</v>
      </c>
    </row>
    <row r="5401" spans="1:10" x14ac:dyDescent="0.25">
      <c r="A5401">
        <v>6104</v>
      </c>
      <c r="B5401" t="s">
        <v>32705</v>
      </c>
      <c r="C5401">
        <v>578</v>
      </c>
      <c r="D5401">
        <v>562</v>
      </c>
      <c r="E5401">
        <v>1576706289</v>
      </c>
      <c r="F5401">
        <v>3261</v>
      </c>
      <c r="G5401">
        <v>0</v>
      </c>
      <c r="H5401" t="s">
        <v>10323</v>
      </c>
      <c r="I5401">
        <v>6104</v>
      </c>
      <c r="J5401" t="str">
        <f>VLOOKUP(E5401,DSSpieler!A:B,2,FALSE)</f>
        <v>YellowStrikeLXBG</v>
      </c>
    </row>
    <row r="5402" spans="1:10" x14ac:dyDescent="0.25">
      <c r="A5402">
        <v>6105</v>
      </c>
      <c r="B5402" t="s">
        <v>32706</v>
      </c>
      <c r="C5402">
        <v>451</v>
      </c>
      <c r="D5402">
        <v>491</v>
      </c>
      <c r="E5402">
        <v>2619870</v>
      </c>
      <c r="F5402">
        <v>524</v>
      </c>
      <c r="G5402">
        <v>0</v>
      </c>
      <c r="H5402" t="s">
        <v>10324</v>
      </c>
      <c r="I5402">
        <v>6105</v>
      </c>
      <c r="J5402" t="str">
        <f>VLOOKUP(E5402,DSSpieler!A:B,2,FALSE)</f>
        <v>cpu-007</v>
      </c>
    </row>
    <row r="5403" spans="1:10" x14ac:dyDescent="0.25">
      <c r="A5403">
        <v>6106</v>
      </c>
      <c r="B5403" t="s">
        <v>32707</v>
      </c>
      <c r="C5403">
        <v>469</v>
      </c>
      <c r="D5403">
        <v>598</v>
      </c>
      <c r="E5403">
        <v>9449355</v>
      </c>
      <c r="F5403">
        <v>5773</v>
      </c>
      <c r="G5403">
        <v>0</v>
      </c>
      <c r="H5403" t="s">
        <v>10325</v>
      </c>
      <c r="I5403">
        <v>6106</v>
      </c>
      <c r="J5403" t="str">
        <f>VLOOKUP(E5403,DSSpieler!A:B,2,FALSE)</f>
        <v>PapageiKatze941</v>
      </c>
    </row>
    <row r="5404" spans="1:10" x14ac:dyDescent="0.25">
      <c r="A5404">
        <v>6107</v>
      </c>
      <c r="B5404" t="s">
        <v>32708</v>
      </c>
      <c r="C5404">
        <v>447</v>
      </c>
      <c r="D5404">
        <v>537</v>
      </c>
      <c r="E5404">
        <v>9551701</v>
      </c>
      <c r="F5404">
        <v>6226</v>
      </c>
      <c r="G5404">
        <v>0</v>
      </c>
      <c r="H5404" t="s">
        <v>10326</v>
      </c>
      <c r="I5404">
        <v>6107</v>
      </c>
      <c r="J5404" t="str">
        <f>VLOOKUP(E5404,DSSpieler!A:B,2,FALSE)</f>
        <v>OJO der Große</v>
      </c>
    </row>
    <row r="5405" spans="1:10" x14ac:dyDescent="0.25">
      <c r="A5405">
        <v>6108</v>
      </c>
      <c r="B5405" t="s">
        <v>531</v>
      </c>
      <c r="C5405">
        <v>494</v>
      </c>
      <c r="D5405">
        <v>576</v>
      </c>
      <c r="E5405">
        <v>0</v>
      </c>
      <c r="F5405">
        <v>941</v>
      </c>
      <c r="G5405">
        <v>0</v>
      </c>
      <c r="H5405" t="s">
        <v>10327</v>
      </c>
      <c r="I5405">
        <v>6108</v>
      </c>
      <c r="J5405" t="e">
        <f>VLOOKUP(E5405,DSSpieler!A:B,2,FALSE)</f>
        <v>#N/A</v>
      </c>
    </row>
    <row r="5406" spans="1:10" x14ac:dyDescent="0.25">
      <c r="A5406">
        <v>6109</v>
      </c>
      <c r="B5406" t="s">
        <v>30816</v>
      </c>
      <c r="C5406">
        <v>583</v>
      </c>
      <c r="D5406">
        <v>519</v>
      </c>
      <c r="E5406">
        <v>9816501</v>
      </c>
      <c r="F5406">
        <v>4504</v>
      </c>
      <c r="G5406">
        <v>0</v>
      </c>
      <c r="H5406" t="s">
        <v>10328</v>
      </c>
      <c r="I5406">
        <v>6109</v>
      </c>
      <c r="J5406" t="str">
        <f>VLOOKUP(E5406,DSSpieler!A:B,2,FALSE)</f>
        <v>Lord 777</v>
      </c>
    </row>
    <row r="5407" spans="1:10" x14ac:dyDescent="0.25">
      <c r="A5407">
        <v>6110</v>
      </c>
      <c r="B5407" t="s">
        <v>531</v>
      </c>
      <c r="C5407">
        <v>527</v>
      </c>
      <c r="D5407">
        <v>452</v>
      </c>
      <c r="E5407">
        <v>0</v>
      </c>
      <c r="F5407">
        <v>425</v>
      </c>
      <c r="G5407">
        <v>0</v>
      </c>
      <c r="H5407" t="s">
        <v>10329</v>
      </c>
      <c r="I5407">
        <v>6110</v>
      </c>
      <c r="J5407" t="e">
        <f>VLOOKUP(E5407,DSSpieler!A:B,2,FALSE)</f>
        <v>#N/A</v>
      </c>
    </row>
    <row r="5408" spans="1:10" x14ac:dyDescent="0.25">
      <c r="A5408">
        <v>6111</v>
      </c>
      <c r="B5408" t="s">
        <v>32709</v>
      </c>
      <c r="C5408">
        <v>437</v>
      </c>
      <c r="D5408">
        <v>524</v>
      </c>
      <c r="E5408">
        <v>1577165369</v>
      </c>
      <c r="F5408">
        <v>3455</v>
      </c>
      <c r="G5408">
        <v>0</v>
      </c>
      <c r="H5408" t="s">
        <v>10330</v>
      </c>
      <c r="I5408">
        <v>6111</v>
      </c>
      <c r="J5408" t="str">
        <f>VLOOKUP(E5408,DSSpieler!A:B,2,FALSE)</f>
        <v>BlauerOsterhase</v>
      </c>
    </row>
    <row r="5409" spans="1:10" x14ac:dyDescent="0.25">
      <c r="A5409">
        <v>6112</v>
      </c>
      <c r="B5409" t="s">
        <v>32710</v>
      </c>
      <c r="C5409">
        <v>498</v>
      </c>
      <c r="D5409">
        <v>396</v>
      </c>
      <c r="E5409">
        <v>1577196536</v>
      </c>
      <c r="F5409">
        <v>6478</v>
      </c>
      <c r="G5409">
        <v>0</v>
      </c>
      <c r="H5409" t="s">
        <v>10331</v>
      </c>
      <c r="I5409">
        <v>6112</v>
      </c>
      <c r="J5409" t="str">
        <f>VLOOKUP(E5409,DSSpieler!A:B,2,FALSE)</f>
        <v>TrQ Deqoutee</v>
      </c>
    </row>
    <row r="5410" spans="1:10" x14ac:dyDescent="0.25">
      <c r="A5410">
        <v>6113</v>
      </c>
      <c r="B5410" t="s">
        <v>32711</v>
      </c>
      <c r="C5410">
        <v>474</v>
      </c>
      <c r="D5410">
        <v>429</v>
      </c>
      <c r="E5410">
        <v>8979093</v>
      </c>
      <c r="F5410">
        <v>7975</v>
      </c>
      <c r="G5410">
        <v>0</v>
      </c>
      <c r="H5410" t="s">
        <v>10332</v>
      </c>
      <c r="I5410">
        <v>6113</v>
      </c>
      <c r="J5410" t="str">
        <f>VLOOKUP(E5410,DSSpieler!A:B,2,FALSE)</f>
        <v>colderaser</v>
      </c>
    </row>
    <row r="5411" spans="1:10" x14ac:dyDescent="0.25">
      <c r="A5411">
        <v>6114</v>
      </c>
      <c r="B5411" t="s">
        <v>1485</v>
      </c>
      <c r="C5411">
        <v>555</v>
      </c>
      <c r="D5411">
        <v>446</v>
      </c>
      <c r="E5411">
        <v>1577184716</v>
      </c>
      <c r="F5411">
        <v>4361</v>
      </c>
      <c r="G5411">
        <v>0</v>
      </c>
      <c r="H5411" t="s">
        <v>10333</v>
      </c>
      <c r="I5411">
        <v>6114</v>
      </c>
      <c r="J5411" t="str">
        <f>VLOOKUP(E5411,DSSpieler!A:B,2,FALSE)</f>
        <v>timbo322</v>
      </c>
    </row>
    <row r="5412" spans="1:10" x14ac:dyDescent="0.25">
      <c r="A5412">
        <v>6115</v>
      </c>
      <c r="B5412" t="s">
        <v>531</v>
      </c>
      <c r="C5412">
        <v>564</v>
      </c>
      <c r="D5412">
        <v>503</v>
      </c>
      <c r="E5412">
        <v>0</v>
      </c>
      <c r="F5412">
        <v>773</v>
      </c>
      <c r="G5412">
        <v>0</v>
      </c>
      <c r="H5412" t="s">
        <v>10334</v>
      </c>
      <c r="I5412">
        <v>6115</v>
      </c>
      <c r="J5412" t="e">
        <f>VLOOKUP(E5412,DSSpieler!A:B,2,FALSE)</f>
        <v>#N/A</v>
      </c>
    </row>
    <row r="5413" spans="1:10" x14ac:dyDescent="0.25">
      <c r="A5413">
        <v>6116</v>
      </c>
      <c r="B5413">
        <v>3</v>
      </c>
      <c r="C5413">
        <v>571</v>
      </c>
      <c r="D5413">
        <v>473</v>
      </c>
      <c r="E5413">
        <v>9101768</v>
      </c>
      <c r="F5413">
        <v>5476</v>
      </c>
      <c r="G5413">
        <v>0</v>
      </c>
      <c r="H5413" t="s">
        <v>10335</v>
      </c>
      <c r="I5413">
        <v>6116</v>
      </c>
      <c r="J5413" t="str">
        <f>VLOOKUP(E5413,DSSpieler!A:B,2,FALSE)</f>
        <v>vanhelsink1</v>
      </c>
    </row>
    <row r="5414" spans="1:10" x14ac:dyDescent="0.25">
      <c r="A5414">
        <v>6117</v>
      </c>
      <c r="B5414" t="s">
        <v>531</v>
      </c>
      <c r="C5414">
        <v>498</v>
      </c>
      <c r="D5414">
        <v>440</v>
      </c>
      <c r="E5414">
        <v>0</v>
      </c>
      <c r="F5414">
        <v>178</v>
      </c>
      <c r="G5414">
        <v>0</v>
      </c>
      <c r="H5414" t="s">
        <v>10336</v>
      </c>
      <c r="I5414">
        <v>6117</v>
      </c>
      <c r="J5414" t="e">
        <f>VLOOKUP(E5414,DSSpieler!A:B,2,FALSE)</f>
        <v>#N/A</v>
      </c>
    </row>
    <row r="5415" spans="1:10" x14ac:dyDescent="0.25">
      <c r="A5415">
        <v>6118</v>
      </c>
      <c r="B5415" t="s">
        <v>1486</v>
      </c>
      <c r="C5415">
        <v>534</v>
      </c>
      <c r="D5415">
        <v>473</v>
      </c>
      <c r="E5415">
        <v>1576740778</v>
      </c>
      <c r="F5415">
        <v>263</v>
      </c>
      <c r="G5415">
        <v>0</v>
      </c>
      <c r="H5415" t="s">
        <v>10337</v>
      </c>
      <c r="I5415">
        <v>6118</v>
      </c>
      <c r="J5415" t="str">
        <f>VLOOKUP(E5415,DSSpieler!A:B,2,FALSE)</f>
        <v>renardon</v>
      </c>
    </row>
    <row r="5416" spans="1:10" x14ac:dyDescent="0.25">
      <c r="A5416">
        <v>6119</v>
      </c>
      <c r="B5416" t="s">
        <v>531</v>
      </c>
      <c r="C5416">
        <v>491</v>
      </c>
      <c r="D5416">
        <v>503</v>
      </c>
      <c r="E5416">
        <v>0</v>
      </c>
      <c r="F5416">
        <v>343</v>
      </c>
      <c r="G5416">
        <v>0</v>
      </c>
      <c r="H5416" t="s">
        <v>10338</v>
      </c>
      <c r="I5416">
        <v>6119</v>
      </c>
      <c r="J5416" t="e">
        <f>VLOOKUP(E5416,DSSpieler!A:B,2,FALSE)</f>
        <v>#N/A</v>
      </c>
    </row>
    <row r="5417" spans="1:10" x14ac:dyDescent="0.25">
      <c r="A5417">
        <v>6120</v>
      </c>
      <c r="B5417" t="s">
        <v>1487</v>
      </c>
      <c r="C5417">
        <v>473</v>
      </c>
      <c r="D5417">
        <v>462</v>
      </c>
      <c r="E5417">
        <v>1576861081</v>
      </c>
      <c r="F5417">
        <v>6292</v>
      </c>
      <c r="G5417">
        <v>0</v>
      </c>
      <c r="H5417" t="s">
        <v>10339</v>
      </c>
      <c r="I5417">
        <v>6120</v>
      </c>
      <c r="J5417" t="str">
        <f>VLOOKUP(E5417,DSSpieler!A:B,2,FALSE)</f>
        <v>Eisblumme1996</v>
      </c>
    </row>
    <row r="5418" spans="1:10" x14ac:dyDescent="0.25">
      <c r="A5418">
        <v>6121</v>
      </c>
      <c r="B5418" t="s">
        <v>32712</v>
      </c>
      <c r="C5418">
        <v>442</v>
      </c>
      <c r="D5418">
        <v>478</v>
      </c>
      <c r="E5418">
        <v>1577186399</v>
      </c>
      <c r="F5418">
        <v>5736</v>
      </c>
      <c r="G5418">
        <v>0</v>
      </c>
      <c r="H5418" t="s">
        <v>10340</v>
      </c>
      <c r="I5418">
        <v>6121</v>
      </c>
      <c r="J5418" t="str">
        <f>VLOOKUP(E5418,DSSpieler!A:B,2,FALSE)</f>
        <v>syroc</v>
      </c>
    </row>
    <row r="5419" spans="1:10" x14ac:dyDescent="0.25">
      <c r="A5419">
        <v>6122</v>
      </c>
      <c r="B5419" t="s">
        <v>531</v>
      </c>
      <c r="C5419">
        <v>540</v>
      </c>
      <c r="D5419">
        <v>442</v>
      </c>
      <c r="E5419">
        <v>0</v>
      </c>
      <c r="F5419">
        <v>1149</v>
      </c>
      <c r="G5419">
        <v>0</v>
      </c>
      <c r="H5419" t="s">
        <v>10341</v>
      </c>
      <c r="I5419">
        <v>6122</v>
      </c>
      <c r="J5419" t="e">
        <f>VLOOKUP(E5419,DSSpieler!A:B,2,FALSE)</f>
        <v>#N/A</v>
      </c>
    </row>
    <row r="5420" spans="1:10" x14ac:dyDescent="0.25">
      <c r="A5420">
        <v>6123</v>
      </c>
      <c r="B5420" t="s">
        <v>531</v>
      </c>
      <c r="C5420">
        <v>426</v>
      </c>
      <c r="D5420">
        <v>516</v>
      </c>
      <c r="E5420">
        <v>0</v>
      </c>
      <c r="F5420">
        <v>790</v>
      </c>
      <c r="G5420">
        <v>0</v>
      </c>
      <c r="H5420" t="s">
        <v>10342</v>
      </c>
      <c r="I5420">
        <v>6123</v>
      </c>
      <c r="J5420" t="e">
        <f>VLOOKUP(E5420,DSSpieler!A:B,2,FALSE)</f>
        <v>#N/A</v>
      </c>
    </row>
    <row r="5421" spans="1:10" x14ac:dyDescent="0.25">
      <c r="A5421">
        <v>6124</v>
      </c>
      <c r="B5421" t="s">
        <v>32713</v>
      </c>
      <c r="C5421">
        <v>441</v>
      </c>
      <c r="D5421">
        <v>422</v>
      </c>
      <c r="E5421">
        <v>1577045668</v>
      </c>
      <c r="F5421">
        <v>3422</v>
      </c>
      <c r="G5421">
        <v>0</v>
      </c>
      <c r="H5421" t="s">
        <v>10343</v>
      </c>
      <c r="I5421">
        <v>6124</v>
      </c>
      <c r="J5421" t="str">
        <f>VLOOKUP(E5421,DSSpieler!A:B,2,FALSE)</f>
        <v>Maxim98</v>
      </c>
    </row>
    <row r="5422" spans="1:10" x14ac:dyDescent="0.25">
      <c r="A5422">
        <v>6125</v>
      </c>
      <c r="B5422" t="e">
        <f>-1-+Stuttgart</f>
        <v>#NAME?</v>
      </c>
      <c r="C5422">
        <v>462</v>
      </c>
      <c r="D5422">
        <v>529</v>
      </c>
      <c r="E5422">
        <v>230810</v>
      </c>
      <c r="F5422">
        <v>5348</v>
      </c>
      <c r="G5422">
        <v>0</v>
      </c>
      <c r="H5422" t="s">
        <v>10344</v>
      </c>
      <c r="I5422">
        <v>6125</v>
      </c>
      <c r="J5422" t="str">
        <f>VLOOKUP(E5422,DSSpieler!A:B,2,FALSE)</f>
        <v>Black Terror</v>
      </c>
    </row>
    <row r="5423" spans="1:10" x14ac:dyDescent="0.25">
      <c r="A5423">
        <v>6126</v>
      </c>
      <c r="B5423" t="s">
        <v>926</v>
      </c>
      <c r="C5423">
        <v>449</v>
      </c>
      <c r="D5423">
        <v>469</v>
      </c>
      <c r="E5423">
        <v>1577187211</v>
      </c>
      <c r="F5423">
        <v>6568</v>
      </c>
      <c r="G5423">
        <v>0</v>
      </c>
      <c r="H5423" t="s">
        <v>10345</v>
      </c>
      <c r="I5423">
        <v>6126</v>
      </c>
      <c r="J5423" t="str">
        <f>VLOOKUP(E5423,DSSpieler!A:B,2,FALSE)</f>
        <v>August.iner</v>
      </c>
    </row>
    <row r="5424" spans="1:10" x14ac:dyDescent="0.25">
      <c r="A5424">
        <v>6127</v>
      </c>
      <c r="B5424" t="s">
        <v>32714</v>
      </c>
      <c r="C5424">
        <v>575</v>
      </c>
      <c r="D5424">
        <v>422</v>
      </c>
      <c r="E5424">
        <v>1577194527</v>
      </c>
      <c r="F5424">
        <v>4546</v>
      </c>
      <c r="G5424">
        <v>0</v>
      </c>
      <c r="H5424" t="s">
        <v>10346</v>
      </c>
      <c r="I5424">
        <v>6127</v>
      </c>
      <c r="J5424" t="str">
        <f>VLOOKUP(E5424,DSSpieler!A:B,2,FALSE)</f>
        <v>cheesy94</v>
      </c>
    </row>
    <row r="5425" spans="1:10" x14ac:dyDescent="0.25">
      <c r="A5425">
        <v>6128</v>
      </c>
      <c r="B5425" t="s">
        <v>1488</v>
      </c>
      <c r="C5425">
        <v>448</v>
      </c>
      <c r="D5425">
        <v>423</v>
      </c>
      <c r="E5425">
        <v>1577187159</v>
      </c>
      <c r="F5425">
        <v>5029</v>
      </c>
      <c r="G5425">
        <v>0</v>
      </c>
      <c r="H5425" t="s">
        <v>10347</v>
      </c>
      <c r="I5425">
        <v>6128</v>
      </c>
      <c r="J5425" t="str">
        <f>VLOOKUP(E5425,DSSpieler!A:B,2,FALSE)</f>
        <v>Jimbo97</v>
      </c>
    </row>
    <row r="5426" spans="1:10" x14ac:dyDescent="0.25">
      <c r="A5426">
        <v>6129</v>
      </c>
      <c r="B5426" t="s">
        <v>531</v>
      </c>
      <c r="C5426">
        <v>450</v>
      </c>
      <c r="D5426">
        <v>515</v>
      </c>
      <c r="E5426">
        <v>0</v>
      </c>
      <c r="F5426">
        <v>264</v>
      </c>
      <c r="G5426">
        <v>0</v>
      </c>
      <c r="H5426" t="s">
        <v>10348</v>
      </c>
      <c r="I5426">
        <v>6129</v>
      </c>
      <c r="J5426" t="e">
        <f>VLOOKUP(E5426,DSSpieler!A:B,2,FALSE)</f>
        <v>#N/A</v>
      </c>
    </row>
    <row r="5427" spans="1:10" x14ac:dyDescent="0.25">
      <c r="A5427">
        <v>6130</v>
      </c>
      <c r="B5427" t="s">
        <v>531</v>
      </c>
      <c r="C5427">
        <v>479</v>
      </c>
      <c r="D5427">
        <v>427</v>
      </c>
      <c r="E5427">
        <v>0</v>
      </c>
      <c r="F5427">
        <v>419</v>
      </c>
      <c r="G5427">
        <v>0</v>
      </c>
      <c r="H5427" t="s">
        <v>10349</v>
      </c>
      <c r="I5427">
        <v>6130</v>
      </c>
      <c r="J5427" t="e">
        <f>VLOOKUP(E5427,DSSpieler!A:B,2,FALSE)</f>
        <v>#N/A</v>
      </c>
    </row>
    <row r="5428" spans="1:10" x14ac:dyDescent="0.25">
      <c r="A5428">
        <v>6131</v>
      </c>
      <c r="B5428">
        <v>4</v>
      </c>
      <c r="C5428">
        <v>537</v>
      </c>
      <c r="D5428">
        <v>566</v>
      </c>
      <c r="E5428">
        <v>9411745</v>
      </c>
      <c r="F5428">
        <v>5317</v>
      </c>
      <c r="G5428">
        <v>0</v>
      </c>
      <c r="H5428" t="s">
        <v>10350</v>
      </c>
      <c r="I5428">
        <v>6131</v>
      </c>
      <c r="J5428" t="str">
        <f>VLOOKUP(E5428,DSSpieler!A:B,2,FALSE)</f>
        <v>erstyle98</v>
      </c>
    </row>
    <row r="5429" spans="1:10" x14ac:dyDescent="0.25">
      <c r="A5429">
        <v>6132</v>
      </c>
      <c r="B5429" t="s">
        <v>531</v>
      </c>
      <c r="C5429">
        <v>576</v>
      </c>
      <c r="D5429">
        <v>556</v>
      </c>
      <c r="E5429">
        <v>0</v>
      </c>
      <c r="F5429">
        <v>1007</v>
      </c>
      <c r="G5429">
        <v>0</v>
      </c>
      <c r="H5429" t="s">
        <v>10351</v>
      </c>
      <c r="I5429">
        <v>6132</v>
      </c>
      <c r="J5429" t="e">
        <f>VLOOKUP(E5429,DSSpieler!A:B,2,FALSE)</f>
        <v>#N/A</v>
      </c>
    </row>
    <row r="5430" spans="1:10" x14ac:dyDescent="0.25">
      <c r="A5430">
        <v>6133</v>
      </c>
      <c r="B5430" t="s">
        <v>531</v>
      </c>
      <c r="C5430">
        <v>537</v>
      </c>
      <c r="D5430">
        <v>451</v>
      </c>
      <c r="E5430">
        <v>0</v>
      </c>
      <c r="F5430">
        <v>301</v>
      </c>
      <c r="G5430">
        <v>0</v>
      </c>
      <c r="H5430" t="s">
        <v>10352</v>
      </c>
      <c r="I5430">
        <v>6133</v>
      </c>
      <c r="J5430" t="e">
        <f>VLOOKUP(E5430,DSSpieler!A:B,2,FALSE)</f>
        <v>#N/A</v>
      </c>
    </row>
    <row r="5431" spans="1:10" x14ac:dyDescent="0.25">
      <c r="A5431">
        <v>6134</v>
      </c>
      <c r="B5431" t="s">
        <v>32715</v>
      </c>
      <c r="C5431">
        <v>400</v>
      </c>
      <c r="D5431">
        <v>504</v>
      </c>
      <c r="E5431">
        <v>1577177028</v>
      </c>
      <c r="F5431">
        <v>5738</v>
      </c>
      <c r="G5431">
        <v>0</v>
      </c>
      <c r="H5431" t="s">
        <v>10353</v>
      </c>
      <c r="I5431">
        <v>6134</v>
      </c>
      <c r="J5431" t="str">
        <f>VLOOKUP(E5431,DSSpieler!A:B,2,FALSE)</f>
        <v>Held des Kampfes</v>
      </c>
    </row>
    <row r="5432" spans="1:10" x14ac:dyDescent="0.25">
      <c r="A5432">
        <v>6135</v>
      </c>
      <c r="B5432" t="s">
        <v>531</v>
      </c>
      <c r="C5432">
        <v>475</v>
      </c>
      <c r="D5432">
        <v>528</v>
      </c>
      <c r="E5432">
        <v>0</v>
      </c>
      <c r="F5432">
        <v>305</v>
      </c>
      <c r="G5432">
        <v>0</v>
      </c>
      <c r="H5432" t="s">
        <v>10354</v>
      </c>
      <c r="I5432">
        <v>6135</v>
      </c>
      <c r="J5432" t="e">
        <f>VLOOKUP(E5432,DSSpieler!A:B,2,FALSE)</f>
        <v>#N/A</v>
      </c>
    </row>
    <row r="5433" spans="1:10" x14ac:dyDescent="0.25">
      <c r="A5433">
        <v>6136</v>
      </c>
      <c r="B5433" t="s">
        <v>545</v>
      </c>
      <c r="C5433">
        <v>470</v>
      </c>
      <c r="D5433">
        <v>552</v>
      </c>
      <c r="E5433">
        <v>1577188737</v>
      </c>
      <c r="F5433">
        <v>2434</v>
      </c>
      <c r="G5433">
        <v>0</v>
      </c>
      <c r="H5433" t="s">
        <v>10355</v>
      </c>
      <c r="I5433">
        <v>6136</v>
      </c>
      <c r="J5433" t="str">
        <f>VLOOKUP(E5433,DSSpieler!A:B,2,FALSE)</f>
        <v>Ron1604</v>
      </c>
    </row>
    <row r="5434" spans="1:10" x14ac:dyDescent="0.25">
      <c r="A5434">
        <v>6137</v>
      </c>
      <c r="B5434" t="s">
        <v>531</v>
      </c>
      <c r="C5434">
        <v>540</v>
      </c>
      <c r="D5434">
        <v>540</v>
      </c>
      <c r="E5434">
        <v>0</v>
      </c>
      <c r="F5434">
        <v>286</v>
      </c>
      <c r="G5434">
        <v>0</v>
      </c>
      <c r="H5434" t="s">
        <v>10356</v>
      </c>
      <c r="I5434">
        <v>6137</v>
      </c>
      <c r="J5434" t="e">
        <f>VLOOKUP(E5434,DSSpieler!A:B,2,FALSE)</f>
        <v>#N/A</v>
      </c>
    </row>
    <row r="5435" spans="1:10" x14ac:dyDescent="0.25">
      <c r="A5435">
        <v>6138</v>
      </c>
      <c r="B5435" t="s">
        <v>32716</v>
      </c>
      <c r="C5435">
        <v>603</v>
      </c>
      <c r="D5435">
        <v>509</v>
      </c>
      <c r="E5435">
        <v>1577194819</v>
      </c>
      <c r="F5435">
        <v>3045</v>
      </c>
      <c r="G5435">
        <v>0</v>
      </c>
      <c r="H5435" t="s">
        <v>10357</v>
      </c>
      <c r="I5435">
        <v>6138</v>
      </c>
      <c r="J5435" t="str">
        <f>VLOOKUP(E5435,DSSpieler!A:B,2,FALSE)</f>
        <v>Ordensk1ll3r</v>
      </c>
    </row>
    <row r="5436" spans="1:10" x14ac:dyDescent="0.25">
      <c r="A5436">
        <v>6139</v>
      </c>
      <c r="B5436" t="s">
        <v>32717</v>
      </c>
      <c r="C5436">
        <v>487</v>
      </c>
      <c r="D5436">
        <v>428</v>
      </c>
      <c r="E5436">
        <v>9318560</v>
      </c>
      <c r="F5436">
        <v>2068</v>
      </c>
      <c r="G5436">
        <v>0</v>
      </c>
      <c r="H5436" t="s">
        <v>10358</v>
      </c>
      <c r="I5436">
        <v>6139</v>
      </c>
      <c r="J5436" t="str">
        <f>VLOOKUP(E5436,DSSpieler!A:B,2,FALSE)</f>
        <v>Melkin</v>
      </c>
    </row>
    <row r="5437" spans="1:10" x14ac:dyDescent="0.25">
      <c r="A5437">
        <v>6140</v>
      </c>
      <c r="B5437" t="s">
        <v>32718</v>
      </c>
      <c r="C5437">
        <v>468</v>
      </c>
      <c r="D5437">
        <v>469</v>
      </c>
      <c r="E5437">
        <v>1577166880</v>
      </c>
      <c r="F5437">
        <v>2862</v>
      </c>
      <c r="G5437">
        <v>0</v>
      </c>
      <c r="H5437" t="s">
        <v>10359</v>
      </c>
      <c r="I5437">
        <v>6140</v>
      </c>
      <c r="J5437" t="str">
        <f>VLOOKUP(E5437,DSSpieler!A:B,2,FALSE)</f>
        <v>Berserker18</v>
      </c>
    </row>
    <row r="5438" spans="1:10" x14ac:dyDescent="0.25">
      <c r="A5438">
        <v>6141</v>
      </c>
      <c r="B5438">
        <v>2</v>
      </c>
      <c r="C5438">
        <v>550</v>
      </c>
      <c r="D5438">
        <v>498</v>
      </c>
      <c r="E5438">
        <v>3241642</v>
      </c>
      <c r="F5438">
        <v>4561</v>
      </c>
      <c r="G5438">
        <v>0</v>
      </c>
      <c r="H5438" t="s">
        <v>10360</v>
      </c>
      <c r="I5438">
        <v>6141</v>
      </c>
      <c r="J5438" t="str">
        <f>VLOOKUP(E5438,DSSpieler!A:B,2,FALSE)</f>
        <v>ZeraMorpheus</v>
      </c>
    </row>
    <row r="5439" spans="1:10" x14ac:dyDescent="0.25">
      <c r="A5439">
        <v>6142</v>
      </c>
      <c r="B5439" t="s">
        <v>32719</v>
      </c>
      <c r="C5439">
        <v>568</v>
      </c>
      <c r="D5439">
        <v>423</v>
      </c>
      <c r="E5439">
        <v>10139402</v>
      </c>
      <c r="F5439">
        <v>6225</v>
      </c>
      <c r="G5439">
        <v>0</v>
      </c>
      <c r="H5439" t="s">
        <v>10361</v>
      </c>
      <c r="I5439">
        <v>6142</v>
      </c>
      <c r="J5439" t="str">
        <f>VLOOKUP(E5439,DSSpieler!A:B,2,FALSE)</f>
        <v>LocalDogs</v>
      </c>
    </row>
    <row r="5440" spans="1:10" x14ac:dyDescent="0.25">
      <c r="A5440">
        <v>6143</v>
      </c>
      <c r="B5440" t="s">
        <v>32720</v>
      </c>
      <c r="C5440">
        <v>447</v>
      </c>
      <c r="D5440">
        <v>429</v>
      </c>
      <c r="E5440">
        <v>1577197972</v>
      </c>
      <c r="F5440">
        <v>4898</v>
      </c>
      <c r="G5440">
        <v>0</v>
      </c>
      <c r="H5440" t="s">
        <v>10362</v>
      </c>
      <c r="I5440">
        <v>6143</v>
      </c>
      <c r="J5440" t="str">
        <f>VLOOKUP(E5440,DSSpieler!A:B,2,FALSE)</f>
        <v>Siloballe</v>
      </c>
    </row>
    <row r="5441" spans="1:10" x14ac:dyDescent="0.25">
      <c r="A5441">
        <v>6144</v>
      </c>
      <c r="B5441" t="s">
        <v>31002</v>
      </c>
      <c r="C5441">
        <v>489</v>
      </c>
      <c r="D5441">
        <v>421</v>
      </c>
      <c r="E5441">
        <v>9318560</v>
      </c>
      <c r="F5441">
        <v>2300</v>
      </c>
      <c r="G5441">
        <v>0</v>
      </c>
      <c r="H5441" t="s">
        <v>10363</v>
      </c>
      <c r="I5441">
        <v>6144</v>
      </c>
      <c r="J5441" t="str">
        <f>VLOOKUP(E5441,DSSpieler!A:B,2,FALSE)</f>
        <v>Melkin</v>
      </c>
    </row>
    <row r="5442" spans="1:10" x14ac:dyDescent="0.25">
      <c r="A5442">
        <v>6145</v>
      </c>
      <c r="B5442" t="e">
        <f>-2-#NAME?</f>
        <v>#NAME?</v>
      </c>
      <c r="C5442">
        <v>454</v>
      </c>
      <c r="D5442">
        <v>521</v>
      </c>
      <c r="E5442">
        <v>1577160741</v>
      </c>
      <c r="F5442">
        <v>293</v>
      </c>
      <c r="G5442">
        <v>0</v>
      </c>
      <c r="H5442" t="s">
        <v>10364</v>
      </c>
      <c r="I5442">
        <v>6145</v>
      </c>
      <c r="J5442" t="str">
        <f>VLOOKUP(E5442,DSSpieler!A:B,2,FALSE)</f>
        <v>Baron-Zimtstern</v>
      </c>
    </row>
    <row r="5443" spans="1:10" x14ac:dyDescent="0.25">
      <c r="A5443">
        <v>6146</v>
      </c>
      <c r="B5443" t="s">
        <v>35839</v>
      </c>
      <c r="C5443">
        <v>439</v>
      </c>
      <c r="D5443">
        <v>417</v>
      </c>
      <c r="E5443">
        <v>1577181847</v>
      </c>
      <c r="F5443">
        <v>6640</v>
      </c>
      <c r="G5443">
        <v>0</v>
      </c>
      <c r="H5443" t="s">
        <v>10365</v>
      </c>
      <c r="I5443">
        <v>6146</v>
      </c>
      <c r="J5443" t="str">
        <f>VLOOKUP(E5443,DSSpieler!A:B,2,FALSE)</f>
        <v>Parge Lenis73</v>
      </c>
    </row>
    <row r="5444" spans="1:10" x14ac:dyDescent="0.25">
      <c r="A5444">
        <v>6147</v>
      </c>
      <c r="B5444" t="s">
        <v>1489</v>
      </c>
      <c r="C5444">
        <v>602</v>
      </c>
      <c r="D5444">
        <v>486</v>
      </c>
      <c r="E5444">
        <v>1576838043</v>
      </c>
      <c r="F5444">
        <v>3821</v>
      </c>
      <c r="G5444">
        <v>0</v>
      </c>
      <c r="H5444" t="s">
        <v>10366</v>
      </c>
      <c r="I5444">
        <v>6147</v>
      </c>
      <c r="J5444" t="str">
        <f>VLOOKUP(E5444,DSSpieler!A:B,2,FALSE)</f>
        <v>HotnCold4You</v>
      </c>
    </row>
    <row r="5445" spans="1:10" x14ac:dyDescent="0.25">
      <c r="A5445">
        <v>6148</v>
      </c>
      <c r="B5445" t="s">
        <v>531</v>
      </c>
      <c r="C5445">
        <v>520</v>
      </c>
      <c r="D5445">
        <v>482</v>
      </c>
      <c r="E5445">
        <v>0</v>
      </c>
      <c r="F5445">
        <v>356</v>
      </c>
      <c r="G5445">
        <v>0</v>
      </c>
      <c r="H5445" t="s">
        <v>10367</v>
      </c>
      <c r="I5445">
        <v>6148</v>
      </c>
      <c r="J5445" t="e">
        <f>VLOOKUP(E5445,DSSpieler!A:B,2,FALSE)</f>
        <v>#N/A</v>
      </c>
    </row>
    <row r="5446" spans="1:10" x14ac:dyDescent="0.25">
      <c r="A5446">
        <v>6149</v>
      </c>
      <c r="B5446" t="s">
        <v>32721</v>
      </c>
      <c r="C5446">
        <v>591</v>
      </c>
      <c r="D5446">
        <v>476</v>
      </c>
      <c r="E5446">
        <v>1577021364</v>
      </c>
      <c r="F5446">
        <v>4632</v>
      </c>
      <c r="G5446">
        <v>0</v>
      </c>
      <c r="H5446" t="s">
        <v>10368</v>
      </c>
      <c r="I5446">
        <v>6149</v>
      </c>
      <c r="J5446" t="str">
        <f>VLOOKUP(E5446,DSSpieler!A:B,2,FALSE)</f>
        <v>kungfupandamaster</v>
      </c>
    </row>
    <row r="5447" spans="1:10" x14ac:dyDescent="0.25">
      <c r="A5447">
        <v>6150</v>
      </c>
      <c r="B5447" t="s">
        <v>531</v>
      </c>
      <c r="C5447">
        <v>464</v>
      </c>
      <c r="D5447">
        <v>555</v>
      </c>
      <c r="E5447">
        <v>0</v>
      </c>
      <c r="F5447">
        <v>1016</v>
      </c>
      <c r="G5447">
        <v>0</v>
      </c>
      <c r="H5447" t="s">
        <v>10369</v>
      </c>
      <c r="I5447">
        <v>6150</v>
      </c>
      <c r="J5447" t="e">
        <f>VLOOKUP(E5447,DSSpieler!A:B,2,FALSE)</f>
        <v>#N/A</v>
      </c>
    </row>
    <row r="5448" spans="1:10" x14ac:dyDescent="0.25">
      <c r="A5448">
        <v>6151</v>
      </c>
      <c r="B5448" t="s">
        <v>979</v>
      </c>
      <c r="C5448">
        <v>495</v>
      </c>
      <c r="D5448">
        <v>592</v>
      </c>
      <c r="E5448">
        <v>1577198205</v>
      </c>
      <c r="F5448">
        <v>6563</v>
      </c>
      <c r="G5448">
        <v>0</v>
      </c>
      <c r="H5448" t="s">
        <v>10370</v>
      </c>
      <c r="I5448">
        <v>6151</v>
      </c>
      <c r="J5448" t="str">
        <f>VLOOKUP(E5448,DSSpieler!A:B,2,FALSE)</f>
        <v>.Streuselcake</v>
      </c>
    </row>
    <row r="5449" spans="1:10" x14ac:dyDescent="0.25">
      <c r="A5449">
        <v>6152</v>
      </c>
      <c r="B5449" t="s">
        <v>32722</v>
      </c>
      <c r="C5449">
        <v>477</v>
      </c>
      <c r="D5449">
        <v>404</v>
      </c>
      <c r="E5449">
        <v>10157742</v>
      </c>
      <c r="F5449">
        <v>4774</v>
      </c>
      <c r="G5449">
        <v>0</v>
      </c>
      <c r="H5449" t="s">
        <v>10371</v>
      </c>
      <c r="I5449">
        <v>6152</v>
      </c>
      <c r="J5449" t="str">
        <f>VLOOKUP(E5449,DSSpieler!A:B,2,FALSE)</f>
        <v>46erWaden</v>
      </c>
    </row>
    <row r="5450" spans="1:10" x14ac:dyDescent="0.25">
      <c r="A5450">
        <v>6153</v>
      </c>
      <c r="B5450" t="s">
        <v>531</v>
      </c>
      <c r="C5450">
        <v>467</v>
      </c>
      <c r="D5450">
        <v>456</v>
      </c>
      <c r="E5450">
        <v>0</v>
      </c>
      <c r="F5450">
        <v>206</v>
      </c>
      <c r="G5450">
        <v>0</v>
      </c>
      <c r="H5450" t="s">
        <v>10372</v>
      </c>
      <c r="I5450">
        <v>6153</v>
      </c>
      <c r="J5450" t="e">
        <f>VLOOKUP(E5450,DSSpieler!A:B,2,FALSE)</f>
        <v>#N/A</v>
      </c>
    </row>
    <row r="5451" spans="1:10" x14ac:dyDescent="0.25">
      <c r="A5451">
        <v>6154</v>
      </c>
      <c r="B5451" t="s">
        <v>32723</v>
      </c>
      <c r="C5451">
        <v>478</v>
      </c>
      <c r="D5451">
        <v>410</v>
      </c>
      <c r="E5451">
        <v>10157742</v>
      </c>
      <c r="F5451">
        <v>5747</v>
      </c>
      <c r="G5451">
        <v>0</v>
      </c>
      <c r="H5451" t="s">
        <v>10373</v>
      </c>
      <c r="I5451">
        <v>6154</v>
      </c>
      <c r="J5451" t="str">
        <f>VLOOKUP(E5451,DSSpieler!A:B,2,FALSE)</f>
        <v>46erWaden</v>
      </c>
    </row>
    <row r="5452" spans="1:10" x14ac:dyDescent="0.25">
      <c r="A5452">
        <v>6155</v>
      </c>
      <c r="B5452" t="s">
        <v>1135</v>
      </c>
      <c r="C5452">
        <v>442</v>
      </c>
      <c r="D5452">
        <v>482</v>
      </c>
      <c r="E5452">
        <v>1575957171</v>
      </c>
      <c r="F5452">
        <v>4333</v>
      </c>
      <c r="G5452">
        <v>0</v>
      </c>
      <c r="H5452" t="s">
        <v>10374</v>
      </c>
      <c r="I5452">
        <v>6155</v>
      </c>
      <c r="J5452" t="str">
        <f>VLOOKUP(E5452,DSSpieler!A:B,2,FALSE)</f>
        <v>julesk</v>
      </c>
    </row>
    <row r="5453" spans="1:10" x14ac:dyDescent="0.25">
      <c r="A5453">
        <v>6156</v>
      </c>
      <c r="B5453">
        <v>2</v>
      </c>
      <c r="C5453">
        <v>447</v>
      </c>
      <c r="D5453">
        <v>519</v>
      </c>
      <c r="E5453">
        <v>1577183825</v>
      </c>
      <c r="F5453">
        <v>3145</v>
      </c>
      <c r="G5453">
        <v>0</v>
      </c>
      <c r="H5453" t="s">
        <v>10375</v>
      </c>
      <c r="I5453">
        <v>6156</v>
      </c>
      <c r="J5453" t="str">
        <f>VLOOKUP(E5453,DSSpieler!A:B,2,FALSE)</f>
        <v>Watzinger95</v>
      </c>
    </row>
    <row r="5454" spans="1:10" x14ac:dyDescent="0.25">
      <c r="A5454">
        <v>6157</v>
      </c>
      <c r="B5454" t="s">
        <v>531</v>
      </c>
      <c r="C5454">
        <v>403</v>
      </c>
      <c r="D5454">
        <v>527</v>
      </c>
      <c r="E5454">
        <v>0</v>
      </c>
      <c r="F5454">
        <v>498</v>
      </c>
      <c r="G5454">
        <v>0</v>
      </c>
      <c r="H5454" t="s">
        <v>10376</v>
      </c>
      <c r="I5454">
        <v>6157</v>
      </c>
      <c r="J5454" t="e">
        <f>VLOOKUP(E5454,DSSpieler!A:B,2,FALSE)</f>
        <v>#N/A</v>
      </c>
    </row>
    <row r="5455" spans="1:10" x14ac:dyDescent="0.25">
      <c r="A5455">
        <v>6158</v>
      </c>
      <c r="B5455" t="s">
        <v>32724</v>
      </c>
      <c r="C5455">
        <v>494</v>
      </c>
      <c r="D5455">
        <v>573</v>
      </c>
      <c r="E5455">
        <v>1785224</v>
      </c>
      <c r="F5455">
        <v>1494</v>
      </c>
      <c r="G5455">
        <v>0</v>
      </c>
      <c r="H5455" t="s">
        <v>10377</v>
      </c>
      <c r="I5455">
        <v>6158</v>
      </c>
      <c r="J5455" t="str">
        <f>VLOOKUP(E5455,DSSpieler!A:B,2,FALSE)</f>
        <v>looch</v>
      </c>
    </row>
    <row r="5456" spans="1:10" x14ac:dyDescent="0.25">
      <c r="A5456">
        <v>6159</v>
      </c>
      <c r="B5456" t="s">
        <v>32725</v>
      </c>
      <c r="C5456">
        <v>562</v>
      </c>
      <c r="D5456">
        <v>576</v>
      </c>
      <c r="E5456">
        <v>1577138953</v>
      </c>
      <c r="F5456">
        <v>7549</v>
      </c>
      <c r="G5456">
        <v>0</v>
      </c>
      <c r="H5456" t="s">
        <v>10378</v>
      </c>
      <c r="I5456">
        <v>6159</v>
      </c>
      <c r="J5456" t="str">
        <f>VLOOKUP(E5456,DSSpieler!A:B,2,FALSE)</f>
        <v>ganz entspannt</v>
      </c>
    </row>
    <row r="5457" spans="1:10" x14ac:dyDescent="0.25">
      <c r="A5457">
        <v>6160</v>
      </c>
      <c r="B5457" t="s">
        <v>32726</v>
      </c>
      <c r="C5457">
        <v>421</v>
      </c>
      <c r="D5457">
        <v>449</v>
      </c>
      <c r="E5457">
        <v>8835520</v>
      </c>
      <c r="F5457">
        <v>7608</v>
      </c>
      <c r="G5457">
        <v>0</v>
      </c>
      <c r="H5457" t="s">
        <v>10379</v>
      </c>
      <c r="I5457">
        <v>6160</v>
      </c>
      <c r="J5457" t="str">
        <f>VLOOKUP(E5457,DSSpieler!A:B,2,FALSE)</f>
        <v>miles96</v>
      </c>
    </row>
    <row r="5458" spans="1:10" x14ac:dyDescent="0.25">
      <c r="A5458">
        <v>6161</v>
      </c>
      <c r="B5458" t="s">
        <v>531</v>
      </c>
      <c r="C5458">
        <v>521</v>
      </c>
      <c r="D5458">
        <v>477</v>
      </c>
      <c r="E5458">
        <v>0</v>
      </c>
      <c r="F5458">
        <v>212</v>
      </c>
      <c r="G5458">
        <v>0</v>
      </c>
      <c r="H5458" t="s">
        <v>10380</v>
      </c>
      <c r="I5458">
        <v>6161</v>
      </c>
      <c r="J5458" t="e">
        <f>VLOOKUP(E5458,DSSpieler!A:B,2,FALSE)</f>
        <v>#N/A</v>
      </c>
    </row>
    <row r="5459" spans="1:10" x14ac:dyDescent="0.25">
      <c r="A5459">
        <v>6162</v>
      </c>
      <c r="B5459" t="s">
        <v>32727</v>
      </c>
      <c r="C5459">
        <v>586</v>
      </c>
      <c r="D5459">
        <v>492</v>
      </c>
      <c r="E5459">
        <v>1576565552</v>
      </c>
      <c r="F5459">
        <v>1579</v>
      </c>
      <c r="G5459">
        <v>0</v>
      </c>
      <c r="H5459" t="s">
        <v>10381</v>
      </c>
      <c r="I5459">
        <v>6162</v>
      </c>
      <c r="J5459" t="str">
        <f>VLOOKUP(E5459,DSSpieler!A:B,2,FALSE)</f>
        <v>Scubo123</v>
      </c>
    </row>
    <row r="5460" spans="1:10" x14ac:dyDescent="0.25">
      <c r="A5460">
        <v>6163</v>
      </c>
      <c r="B5460" t="s">
        <v>644</v>
      </c>
      <c r="C5460">
        <v>511</v>
      </c>
      <c r="D5460">
        <v>566</v>
      </c>
      <c r="E5460">
        <v>8318735</v>
      </c>
      <c r="F5460">
        <v>5641</v>
      </c>
      <c r="G5460">
        <v>0</v>
      </c>
      <c r="H5460" t="s">
        <v>10382</v>
      </c>
      <c r="I5460">
        <v>6163</v>
      </c>
      <c r="J5460">
        <f>VLOOKUP(E5460,DSSpieler!A:B,2,FALSE)</f>
        <v>5362</v>
      </c>
    </row>
    <row r="5461" spans="1:10" x14ac:dyDescent="0.25">
      <c r="A5461">
        <v>6164</v>
      </c>
      <c r="B5461" t="e">
        <f>-1-+Lodi</f>
        <v>#NAME?</v>
      </c>
      <c r="C5461">
        <v>456</v>
      </c>
      <c r="D5461">
        <v>456</v>
      </c>
      <c r="E5461">
        <v>1577197983</v>
      </c>
      <c r="F5461">
        <v>4734</v>
      </c>
      <c r="G5461">
        <v>0</v>
      </c>
      <c r="H5461" t="s">
        <v>10383</v>
      </c>
      <c r="I5461">
        <v>6164</v>
      </c>
      <c r="J5461" t="str">
        <f>VLOOKUP(E5461,DSSpieler!A:B,2,FALSE)</f>
        <v>Seasonxhd</v>
      </c>
    </row>
    <row r="5462" spans="1:10" x14ac:dyDescent="0.25">
      <c r="A5462">
        <v>6165</v>
      </c>
      <c r="B5462" t="s">
        <v>32728</v>
      </c>
      <c r="C5462">
        <v>470</v>
      </c>
      <c r="D5462">
        <v>421</v>
      </c>
      <c r="E5462">
        <v>1576680977</v>
      </c>
      <c r="F5462">
        <v>6861</v>
      </c>
      <c r="G5462">
        <v>0</v>
      </c>
      <c r="H5462" t="s">
        <v>10384</v>
      </c>
      <c r="I5462">
        <v>6165</v>
      </c>
      <c r="J5462" t="str">
        <f>VLOOKUP(E5462,DSSpieler!A:B,2,FALSE)</f>
        <v>HeavenKeeper</v>
      </c>
    </row>
    <row r="5463" spans="1:10" x14ac:dyDescent="0.25">
      <c r="A5463">
        <v>6166</v>
      </c>
      <c r="B5463" t="s">
        <v>32729</v>
      </c>
      <c r="C5463">
        <v>488</v>
      </c>
      <c r="D5463">
        <v>461</v>
      </c>
      <c r="E5463">
        <v>1577198021</v>
      </c>
      <c r="F5463">
        <v>5691</v>
      </c>
      <c r="G5463">
        <v>0</v>
      </c>
      <c r="H5463" t="s">
        <v>10385</v>
      </c>
      <c r="I5463">
        <v>6166</v>
      </c>
      <c r="J5463" t="str">
        <f>VLOOKUP(E5463,DSSpieler!A:B,2,FALSE)</f>
        <v>Bierstattskill</v>
      </c>
    </row>
    <row r="5464" spans="1:10" x14ac:dyDescent="0.25">
      <c r="A5464">
        <v>6168</v>
      </c>
      <c r="B5464" t="s">
        <v>1490</v>
      </c>
      <c r="C5464">
        <v>508</v>
      </c>
      <c r="D5464">
        <v>545</v>
      </c>
      <c r="E5464">
        <v>1577156865</v>
      </c>
      <c r="F5464">
        <v>3616</v>
      </c>
      <c r="G5464">
        <v>0</v>
      </c>
      <c r="H5464" t="s">
        <v>10386</v>
      </c>
      <c r="I5464">
        <v>6168</v>
      </c>
      <c r="J5464" t="str">
        <f>VLOOKUP(E5464,DSSpieler!A:B,2,FALSE)</f>
        <v>BigMorty</v>
      </c>
    </row>
    <row r="5465" spans="1:10" x14ac:dyDescent="0.25">
      <c r="A5465">
        <v>6170</v>
      </c>
      <c r="B5465" t="s">
        <v>32730</v>
      </c>
      <c r="C5465">
        <v>565</v>
      </c>
      <c r="D5465">
        <v>456</v>
      </c>
      <c r="E5465">
        <v>1576629032</v>
      </c>
      <c r="F5465">
        <v>4894</v>
      </c>
      <c r="G5465">
        <v>0</v>
      </c>
      <c r="H5465" t="s">
        <v>10387</v>
      </c>
      <c r="I5465">
        <v>6170</v>
      </c>
      <c r="J5465" t="str">
        <f>VLOOKUP(E5465,DSSpieler!A:B,2,FALSE)</f>
        <v>Der W0lf</v>
      </c>
    </row>
    <row r="5466" spans="1:10" x14ac:dyDescent="0.25">
      <c r="A5466">
        <v>6171</v>
      </c>
      <c r="B5466" t="s">
        <v>531</v>
      </c>
      <c r="C5466">
        <v>482</v>
      </c>
      <c r="D5466">
        <v>596</v>
      </c>
      <c r="E5466">
        <v>0</v>
      </c>
      <c r="F5466">
        <v>289</v>
      </c>
      <c r="G5466">
        <v>0</v>
      </c>
      <c r="H5466" t="s">
        <v>10388</v>
      </c>
      <c r="I5466">
        <v>6171</v>
      </c>
      <c r="J5466" t="e">
        <f>VLOOKUP(E5466,DSSpieler!A:B,2,FALSE)</f>
        <v>#N/A</v>
      </c>
    </row>
    <row r="5467" spans="1:10" x14ac:dyDescent="0.25">
      <c r="A5467">
        <v>6172</v>
      </c>
      <c r="B5467" t="s">
        <v>1491</v>
      </c>
      <c r="C5467">
        <v>457</v>
      </c>
      <c r="D5467">
        <v>435</v>
      </c>
      <c r="E5467">
        <v>1577186381</v>
      </c>
      <c r="F5467">
        <v>4899</v>
      </c>
      <c r="G5467">
        <v>0</v>
      </c>
      <c r="H5467" t="s">
        <v>10389</v>
      </c>
      <c r="I5467">
        <v>6172</v>
      </c>
      <c r="J5467" t="str">
        <f>VLOOKUP(E5467,DSSpieler!A:B,2,FALSE)</f>
        <v>Duby73</v>
      </c>
    </row>
    <row r="5468" spans="1:10" x14ac:dyDescent="0.25">
      <c r="A5468">
        <v>6173</v>
      </c>
      <c r="B5468" t="s">
        <v>32731</v>
      </c>
      <c r="C5468">
        <v>483</v>
      </c>
      <c r="D5468">
        <v>563</v>
      </c>
      <c r="E5468">
        <v>10235584</v>
      </c>
      <c r="F5468">
        <v>4876</v>
      </c>
      <c r="G5468">
        <v>0</v>
      </c>
      <c r="H5468" t="s">
        <v>10390</v>
      </c>
      <c r="I5468">
        <v>6173</v>
      </c>
      <c r="J5468" t="str">
        <f>VLOOKUP(E5468,DSSpieler!A:B,2,FALSE)</f>
        <v>LordShivaz</v>
      </c>
    </row>
    <row r="5469" spans="1:10" x14ac:dyDescent="0.25">
      <c r="A5469">
        <v>6174</v>
      </c>
      <c r="B5469" t="s">
        <v>531</v>
      </c>
      <c r="C5469">
        <v>547</v>
      </c>
      <c r="D5469">
        <v>543</v>
      </c>
      <c r="E5469">
        <v>0</v>
      </c>
      <c r="F5469">
        <v>241</v>
      </c>
      <c r="G5469">
        <v>0</v>
      </c>
      <c r="H5469" t="s">
        <v>10391</v>
      </c>
      <c r="I5469">
        <v>6174</v>
      </c>
      <c r="J5469" t="e">
        <f>VLOOKUP(E5469,DSSpieler!A:B,2,FALSE)</f>
        <v>#N/A</v>
      </c>
    </row>
    <row r="5470" spans="1:10" x14ac:dyDescent="0.25">
      <c r="A5470">
        <v>6175</v>
      </c>
      <c r="B5470" t="s">
        <v>32732</v>
      </c>
      <c r="C5470">
        <v>510</v>
      </c>
      <c r="D5470">
        <v>517</v>
      </c>
      <c r="E5470">
        <v>9819781</v>
      </c>
      <c r="F5470">
        <v>5435</v>
      </c>
      <c r="G5470">
        <v>0</v>
      </c>
      <c r="H5470" t="s">
        <v>10392</v>
      </c>
      <c r="I5470">
        <v>6175</v>
      </c>
      <c r="J5470" t="str">
        <f>VLOOKUP(E5470,DSSpieler!A:B,2,FALSE)</f>
        <v>Lady TIMbaland89</v>
      </c>
    </row>
    <row r="5471" spans="1:10" x14ac:dyDescent="0.25">
      <c r="A5471">
        <v>6176</v>
      </c>
      <c r="B5471" t="s">
        <v>32733</v>
      </c>
      <c r="C5471">
        <v>563</v>
      </c>
      <c r="D5471">
        <v>512</v>
      </c>
      <c r="E5471">
        <v>1577175525</v>
      </c>
      <c r="F5471">
        <v>3605</v>
      </c>
      <c r="G5471">
        <v>0</v>
      </c>
      <c r="H5471" t="s">
        <v>10393</v>
      </c>
      <c r="I5471">
        <v>6176</v>
      </c>
      <c r="J5471" t="str">
        <f>VLOOKUP(E5471,DSSpieler!A:B,2,FALSE)</f>
        <v>tobu97</v>
      </c>
    </row>
    <row r="5472" spans="1:10" x14ac:dyDescent="0.25">
      <c r="A5472">
        <v>6177</v>
      </c>
      <c r="B5472" t="s">
        <v>1476</v>
      </c>
      <c r="C5472">
        <v>450</v>
      </c>
      <c r="D5472">
        <v>586</v>
      </c>
      <c r="E5472">
        <v>9864236</v>
      </c>
      <c r="F5472">
        <v>9329</v>
      </c>
      <c r="G5472">
        <v>0</v>
      </c>
      <c r="H5472" t="s">
        <v>10394</v>
      </c>
      <c r="I5472">
        <v>6177</v>
      </c>
      <c r="J5472" t="str">
        <f>VLOOKUP(E5472,DSSpieler!A:B,2,FALSE)</f>
        <v>SoeSide</v>
      </c>
    </row>
    <row r="5473" spans="1:10" x14ac:dyDescent="0.25">
      <c r="A5473">
        <v>6178</v>
      </c>
      <c r="B5473" t="s">
        <v>1492</v>
      </c>
      <c r="C5473">
        <v>490</v>
      </c>
      <c r="D5473">
        <v>443</v>
      </c>
      <c r="E5473">
        <v>8757542</v>
      </c>
      <c r="F5473">
        <v>6395</v>
      </c>
      <c r="G5473">
        <v>0</v>
      </c>
      <c r="H5473" t="s">
        <v>10395</v>
      </c>
      <c r="I5473">
        <v>6178</v>
      </c>
      <c r="J5473" t="str">
        <f>VLOOKUP(E5473,DSSpieler!A:B,2,FALSE)</f>
        <v>hydra66</v>
      </c>
    </row>
    <row r="5474" spans="1:10" x14ac:dyDescent="0.25">
      <c r="A5474">
        <v>6179</v>
      </c>
      <c r="B5474" t="s">
        <v>32734</v>
      </c>
      <c r="C5474">
        <v>455</v>
      </c>
      <c r="D5474">
        <v>460</v>
      </c>
      <c r="E5474">
        <v>7728544</v>
      </c>
      <c r="F5474">
        <v>5521</v>
      </c>
      <c r="G5474">
        <v>0</v>
      </c>
      <c r="H5474" t="s">
        <v>10396</v>
      </c>
      <c r="I5474">
        <v>6179</v>
      </c>
      <c r="J5474" t="str">
        <f>VLOOKUP(E5474,DSSpieler!A:B,2,FALSE)</f>
        <v>Krypto666</v>
      </c>
    </row>
    <row r="5475" spans="1:10" x14ac:dyDescent="0.25">
      <c r="A5475">
        <v>6180</v>
      </c>
      <c r="B5475">
        <v>3</v>
      </c>
      <c r="C5475">
        <v>420</v>
      </c>
      <c r="D5475">
        <v>454</v>
      </c>
      <c r="E5475">
        <v>1577004821</v>
      </c>
      <c r="F5475">
        <v>2592</v>
      </c>
      <c r="G5475">
        <v>0</v>
      </c>
      <c r="H5475" t="s">
        <v>10397</v>
      </c>
      <c r="I5475">
        <v>6180</v>
      </c>
      <c r="J5475" t="str">
        <f>VLOOKUP(E5475,DSSpieler!A:B,2,FALSE)</f>
        <v>Bastel20</v>
      </c>
    </row>
    <row r="5476" spans="1:10" x14ac:dyDescent="0.25">
      <c r="A5476">
        <v>6181</v>
      </c>
      <c r="B5476" t="s">
        <v>1493</v>
      </c>
      <c r="C5476">
        <v>478</v>
      </c>
      <c r="D5476">
        <v>468</v>
      </c>
      <c r="E5476">
        <v>1577166921</v>
      </c>
      <c r="F5476">
        <v>4258</v>
      </c>
      <c r="G5476">
        <v>0</v>
      </c>
      <c r="H5476" t="s">
        <v>10398</v>
      </c>
      <c r="I5476">
        <v>6181</v>
      </c>
      <c r="J5476" t="str">
        <f>VLOOKUP(E5476,DSSpieler!A:B,2,FALSE)</f>
        <v>Paxi-Lexi-Fixi</v>
      </c>
    </row>
    <row r="5477" spans="1:10" x14ac:dyDescent="0.25">
      <c r="A5477">
        <v>6182</v>
      </c>
      <c r="B5477" t="s">
        <v>32735</v>
      </c>
      <c r="C5477">
        <v>440</v>
      </c>
      <c r="D5477">
        <v>471</v>
      </c>
      <c r="E5477">
        <v>1577045102</v>
      </c>
      <c r="F5477">
        <v>5960</v>
      </c>
      <c r="G5477">
        <v>0</v>
      </c>
      <c r="H5477" t="s">
        <v>10399</v>
      </c>
      <c r="I5477">
        <v>6182</v>
      </c>
      <c r="J5477" t="str">
        <f>VLOOKUP(E5477,DSSpieler!A:B,2,FALSE)</f>
        <v>RealNyic</v>
      </c>
    </row>
    <row r="5478" spans="1:10" x14ac:dyDescent="0.25">
      <c r="A5478">
        <v>6183</v>
      </c>
      <c r="B5478" t="s">
        <v>32736</v>
      </c>
      <c r="C5478">
        <v>448</v>
      </c>
      <c r="D5478">
        <v>543</v>
      </c>
      <c r="E5478">
        <v>1576348420</v>
      </c>
      <c r="F5478">
        <v>5064</v>
      </c>
      <c r="G5478">
        <v>0</v>
      </c>
      <c r="H5478" t="s">
        <v>10400</v>
      </c>
      <c r="I5478">
        <v>6183</v>
      </c>
      <c r="J5478" t="str">
        <f>VLOOKUP(E5478,DSSpieler!A:B,2,FALSE)</f>
        <v>VfB-xandi</v>
      </c>
    </row>
    <row r="5479" spans="1:10" x14ac:dyDescent="0.25">
      <c r="A5479">
        <v>6184</v>
      </c>
      <c r="B5479" t="s">
        <v>531</v>
      </c>
      <c r="C5479">
        <v>530</v>
      </c>
      <c r="D5479">
        <v>520</v>
      </c>
      <c r="E5479">
        <v>0</v>
      </c>
      <c r="F5479">
        <v>381</v>
      </c>
      <c r="G5479">
        <v>0</v>
      </c>
      <c r="H5479" t="s">
        <v>10401</v>
      </c>
      <c r="I5479">
        <v>6184</v>
      </c>
      <c r="J5479" t="e">
        <f>VLOOKUP(E5479,DSSpieler!A:B,2,FALSE)</f>
        <v>#N/A</v>
      </c>
    </row>
    <row r="5480" spans="1:10" x14ac:dyDescent="0.25">
      <c r="A5480">
        <v>6185</v>
      </c>
      <c r="B5480">
        <v>178</v>
      </c>
      <c r="C5480">
        <v>521</v>
      </c>
      <c r="D5480">
        <v>542</v>
      </c>
      <c r="E5480">
        <v>9978884</v>
      </c>
      <c r="F5480">
        <v>4178</v>
      </c>
      <c r="G5480">
        <v>0</v>
      </c>
      <c r="H5480" t="s">
        <v>10402</v>
      </c>
      <c r="I5480">
        <v>6185</v>
      </c>
      <c r="J5480" t="str">
        <f>VLOOKUP(E5480,DSSpieler!A:B,2,FALSE)</f>
        <v>nexuspremium</v>
      </c>
    </row>
    <row r="5481" spans="1:10" x14ac:dyDescent="0.25">
      <c r="A5481">
        <v>6186</v>
      </c>
      <c r="B5481" t="s">
        <v>531</v>
      </c>
      <c r="C5481">
        <v>516</v>
      </c>
      <c r="D5481">
        <v>557</v>
      </c>
      <c r="E5481">
        <v>0</v>
      </c>
      <c r="F5481">
        <v>286</v>
      </c>
      <c r="G5481">
        <v>0</v>
      </c>
      <c r="H5481" t="s">
        <v>10403</v>
      </c>
      <c r="I5481">
        <v>6186</v>
      </c>
      <c r="J5481" t="e">
        <f>VLOOKUP(E5481,DSSpieler!A:B,2,FALSE)</f>
        <v>#N/A</v>
      </c>
    </row>
    <row r="5482" spans="1:10" x14ac:dyDescent="0.25">
      <c r="A5482">
        <v>6187</v>
      </c>
      <c r="B5482" t="s">
        <v>32737</v>
      </c>
      <c r="C5482">
        <v>569</v>
      </c>
      <c r="D5482">
        <v>457</v>
      </c>
      <c r="E5482">
        <v>1577197984</v>
      </c>
      <c r="F5482">
        <v>4314</v>
      </c>
      <c r="G5482">
        <v>0</v>
      </c>
      <c r="H5482" t="s">
        <v>10404</v>
      </c>
      <c r="I5482">
        <v>6187</v>
      </c>
      <c r="J5482" t="str">
        <f>VLOOKUP(E5482,DSSpieler!A:B,2,FALSE)</f>
        <v>Morgomar</v>
      </c>
    </row>
    <row r="5483" spans="1:10" x14ac:dyDescent="0.25">
      <c r="A5483">
        <v>6188</v>
      </c>
      <c r="B5483" t="s">
        <v>32738</v>
      </c>
      <c r="C5483">
        <v>433</v>
      </c>
      <c r="D5483">
        <v>477</v>
      </c>
      <c r="E5483">
        <v>1577183720</v>
      </c>
      <c r="F5483">
        <v>5321</v>
      </c>
      <c r="G5483">
        <v>0</v>
      </c>
      <c r="H5483" t="s">
        <v>10405</v>
      </c>
      <c r="I5483">
        <v>6188</v>
      </c>
      <c r="J5483" t="str">
        <f>VLOOKUP(E5483,DSSpieler!A:B,2,FALSE)</f>
        <v>StayHome</v>
      </c>
    </row>
    <row r="5484" spans="1:10" x14ac:dyDescent="0.25">
      <c r="A5484">
        <v>6189</v>
      </c>
      <c r="B5484" t="s">
        <v>32739</v>
      </c>
      <c r="C5484">
        <v>495</v>
      </c>
      <c r="D5484">
        <v>443</v>
      </c>
      <c r="E5484">
        <v>1577197892</v>
      </c>
      <c r="F5484">
        <v>5364</v>
      </c>
      <c r="G5484">
        <v>0</v>
      </c>
      <c r="H5484" t="s">
        <v>10406</v>
      </c>
      <c r="I5484">
        <v>6189</v>
      </c>
      <c r="J5484" t="str">
        <f>VLOOKUP(E5484,DSSpieler!A:B,2,FALSE)</f>
        <v>fruitisiert</v>
      </c>
    </row>
    <row r="5485" spans="1:10" x14ac:dyDescent="0.25">
      <c r="A5485">
        <v>6190</v>
      </c>
      <c r="B5485" t="s">
        <v>32740</v>
      </c>
      <c r="C5485">
        <v>546</v>
      </c>
      <c r="D5485">
        <v>465</v>
      </c>
      <c r="E5485">
        <v>1576975086</v>
      </c>
      <c r="F5485">
        <v>4407</v>
      </c>
      <c r="G5485">
        <v>0</v>
      </c>
      <c r="H5485" t="s">
        <v>10407</v>
      </c>
      <c r="I5485">
        <v>6190</v>
      </c>
      <c r="J5485" t="str">
        <f>VLOOKUP(E5485,DSSpieler!A:B,2,FALSE)</f>
        <v>Homer7</v>
      </c>
    </row>
    <row r="5486" spans="1:10" x14ac:dyDescent="0.25">
      <c r="A5486">
        <v>6191</v>
      </c>
      <c r="B5486" t="s">
        <v>1494</v>
      </c>
      <c r="C5486">
        <v>480</v>
      </c>
      <c r="D5486">
        <v>401</v>
      </c>
      <c r="E5486">
        <v>1577190654</v>
      </c>
      <c r="F5486">
        <v>2827</v>
      </c>
      <c r="G5486">
        <v>0</v>
      </c>
      <c r="H5486" t="s">
        <v>10408</v>
      </c>
      <c r="I5486">
        <v>6191</v>
      </c>
      <c r="J5486" t="str">
        <f>VLOOKUP(E5486,DSSpieler!A:B,2,FALSE)</f>
        <v>MovesLikeJäger</v>
      </c>
    </row>
    <row r="5487" spans="1:10" x14ac:dyDescent="0.25">
      <c r="A5487">
        <v>6192</v>
      </c>
      <c r="B5487" t="s">
        <v>531</v>
      </c>
      <c r="C5487">
        <v>516</v>
      </c>
      <c r="D5487">
        <v>574</v>
      </c>
      <c r="E5487">
        <v>0</v>
      </c>
      <c r="F5487">
        <v>165</v>
      </c>
      <c r="G5487">
        <v>0</v>
      </c>
      <c r="H5487" t="s">
        <v>10409</v>
      </c>
      <c r="I5487">
        <v>6192</v>
      </c>
      <c r="J5487" t="e">
        <f>VLOOKUP(E5487,DSSpieler!A:B,2,FALSE)</f>
        <v>#N/A</v>
      </c>
    </row>
    <row r="5488" spans="1:10" x14ac:dyDescent="0.25">
      <c r="A5488">
        <v>6194</v>
      </c>
      <c r="B5488" t="s">
        <v>32741</v>
      </c>
      <c r="C5488">
        <v>575</v>
      </c>
      <c r="D5488">
        <v>444</v>
      </c>
      <c r="E5488">
        <v>1577195531</v>
      </c>
      <c r="F5488">
        <v>4080</v>
      </c>
      <c r="G5488">
        <v>0</v>
      </c>
      <c r="H5488" t="s">
        <v>10410</v>
      </c>
      <c r="I5488">
        <v>6194</v>
      </c>
      <c r="J5488" t="str">
        <f>VLOOKUP(E5488,DSSpieler!A:B,2,FALSE)</f>
        <v>Cloud17</v>
      </c>
    </row>
    <row r="5489" spans="1:10" x14ac:dyDescent="0.25">
      <c r="A5489">
        <v>6195</v>
      </c>
      <c r="B5489" t="s">
        <v>1495</v>
      </c>
      <c r="C5489">
        <v>475</v>
      </c>
      <c r="D5489">
        <v>572</v>
      </c>
      <c r="E5489">
        <v>1577192177</v>
      </c>
      <c r="F5489">
        <v>3461</v>
      </c>
      <c r="G5489">
        <v>0</v>
      </c>
      <c r="H5489" t="s">
        <v>10411</v>
      </c>
      <c r="I5489">
        <v>6195</v>
      </c>
      <c r="J5489" t="str">
        <f>VLOOKUP(E5489,DSSpieler!A:B,2,FALSE)</f>
        <v>mk1093</v>
      </c>
    </row>
    <row r="5490" spans="1:10" x14ac:dyDescent="0.25">
      <c r="A5490">
        <v>6196</v>
      </c>
      <c r="B5490" t="s">
        <v>531</v>
      </c>
      <c r="C5490">
        <v>527</v>
      </c>
      <c r="D5490">
        <v>491</v>
      </c>
      <c r="E5490">
        <v>0</v>
      </c>
      <c r="F5490">
        <v>480</v>
      </c>
      <c r="G5490">
        <v>0</v>
      </c>
      <c r="H5490" t="s">
        <v>10412</v>
      </c>
      <c r="I5490">
        <v>6196</v>
      </c>
      <c r="J5490" t="e">
        <f>VLOOKUP(E5490,DSSpieler!A:B,2,FALSE)</f>
        <v>#N/A</v>
      </c>
    </row>
    <row r="5491" spans="1:10" x14ac:dyDescent="0.25">
      <c r="A5491">
        <v>6197</v>
      </c>
      <c r="B5491" t="s">
        <v>1496</v>
      </c>
      <c r="C5491">
        <v>442</v>
      </c>
      <c r="D5491">
        <v>449</v>
      </c>
      <c r="E5491">
        <v>1575840647</v>
      </c>
      <c r="F5491">
        <v>4099</v>
      </c>
      <c r="G5491">
        <v>0</v>
      </c>
      <c r="H5491" t="s">
        <v>10413</v>
      </c>
      <c r="I5491">
        <v>6197</v>
      </c>
      <c r="J5491" t="str">
        <f>VLOOKUP(E5491,DSSpieler!A:B,2,FALSE)</f>
        <v>Fuschl0815</v>
      </c>
    </row>
    <row r="5492" spans="1:10" x14ac:dyDescent="0.25">
      <c r="A5492">
        <v>6198</v>
      </c>
      <c r="B5492" t="e">
        <f>-2-+Heat</f>
        <v>#NAME?</v>
      </c>
      <c r="C5492">
        <v>560</v>
      </c>
      <c r="D5492">
        <v>410</v>
      </c>
      <c r="E5492">
        <v>8333854</v>
      </c>
      <c r="F5492">
        <v>5506</v>
      </c>
      <c r="G5492">
        <v>0</v>
      </c>
      <c r="H5492" t="s">
        <v>10414</v>
      </c>
      <c r="I5492">
        <v>6198</v>
      </c>
      <c r="J5492" t="str">
        <f>VLOOKUP(E5492,DSSpieler!A:B,2,FALSE)</f>
        <v>Tutuvina</v>
      </c>
    </row>
    <row r="5493" spans="1:10" x14ac:dyDescent="0.25">
      <c r="A5493">
        <v>6199</v>
      </c>
      <c r="B5493" t="s">
        <v>531</v>
      </c>
      <c r="C5493">
        <v>465</v>
      </c>
      <c r="D5493">
        <v>470</v>
      </c>
      <c r="E5493">
        <v>0</v>
      </c>
      <c r="F5493">
        <v>509</v>
      </c>
      <c r="G5493">
        <v>0</v>
      </c>
      <c r="H5493" t="s">
        <v>10415</v>
      </c>
      <c r="I5493">
        <v>6199</v>
      </c>
      <c r="J5493" t="e">
        <f>VLOOKUP(E5493,DSSpieler!A:B,2,FALSE)</f>
        <v>#N/A</v>
      </c>
    </row>
    <row r="5494" spans="1:10" x14ac:dyDescent="0.25">
      <c r="A5494">
        <v>6200</v>
      </c>
      <c r="B5494" t="s">
        <v>32742</v>
      </c>
      <c r="C5494">
        <v>467</v>
      </c>
      <c r="D5494">
        <v>444</v>
      </c>
      <c r="E5494">
        <v>1577159175</v>
      </c>
      <c r="F5494">
        <v>51</v>
      </c>
      <c r="G5494">
        <v>0</v>
      </c>
      <c r="H5494" t="s">
        <v>10416</v>
      </c>
      <c r="I5494">
        <v>6200</v>
      </c>
      <c r="J5494" t="str">
        <f>VLOOKUP(E5494,DSSpieler!A:B,2,FALSE)</f>
        <v>eissi 123</v>
      </c>
    </row>
    <row r="5495" spans="1:10" x14ac:dyDescent="0.25">
      <c r="A5495">
        <v>6201</v>
      </c>
      <c r="B5495" t="s">
        <v>32743</v>
      </c>
      <c r="C5495">
        <v>434</v>
      </c>
      <c r="D5495">
        <v>452</v>
      </c>
      <c r="E5495">
        <v>1577045102</v>
      </c>
      <c r="F5495">
        <v>6886</v>
      </c>
      <c r="G5495">
        <v>0</v>
      </c>
      <c r="H5495" t="s">
        <v>10417</v>
      </c>
      <c r="I5495">
        <v>6201</v>
      </c>
      <c r="J5495" t="str">
        <f>VLOOKUP(E5495,DSSpieler!A:B,2,FALSE)</f>
        <v>RealNyic</v>
      </c>
    </row>
    <row r="5496" spans="1:10" x14ac:dyDescent="0.25">
      <c r="A5496">
        <v>6202</v>
      </c>
      <c r="B5496" t="s">
        <v>32744</v>
      </c>
      <c r="C5496">
        <v>449</v>
      </c>
      <c r="D5496">
        <v>524</v>
      </c>
      <c r="E5496">
        <v>1576548173</v>
      </c>
      <c r="F5496">
        <v>1405</v>
      </c>
      <c r="G5496">
        <v>0</v>
      </c>
      <c r="H5496" t="s">
        <v>10418</v>
      </c>
      <c r="I5496">
        <v>6202</v>
      </c>
      <c r="J5496" t="str">
        <f>VLOOKUP(E5496,DSSpieler!A:B,2,FALSE)</f>
        <v>attila53</v>
      </c>
    </row>
    <row r="5497" spans="1:10" x14ac:dyDescent="0.25">
      <c r="A5497">
        <v>6203</v>
      </c>
      <c r="B5497" t="s">
        <v>32745</v>
      </c>
      <c r="C5497">
        <v>488</v>
      </c>
      <c r="D5497">
        <v>395</v>
      </c>
      <c r="E5497">
        <v>1577197990</v>
      </c>
      <c r="F5497">
        <v>4087</v>
      </c>
      <c r="G5497">
        <v>0</v>
      </c>
      <c r="H5497" t="s">
        <v>10419</v>
      </c>
      <c r="I5497">
        <v>6203</v>
      </c>
      <c r="J5497" t="str">
        <f>VLOOKUP(E5497,DSSpieler!A:B,2,FALSE)</f>
        <v>haemmy2</v>
      </c>
    </row>
    <row r="5498" spans="1:10" x14ac:dyDescent="0.25">
      <c r="A5498">
        <v>6204</v>
      </c>
      <c r="B5498" t="s">
        <v>32746</v>
      </c>
      <c r="C5498">
        <v>410</v>
      </c>
      <c r="D5498">
        <v>436</v>
      </c>
      <c r="E5498">
        <v>1577188135</v>
      </c>
      <c r="F5498">
        <v>4421</v>
      </c>
      <c r="G5498">
        <v>0</v>
      </c>
      <c r="H5498" t="s">
        <v>10420</v>
      </c>
      <c r="I5498">
        <v>6204</v>
      </c>
      <c r="J5498" t="str">
        <f>VLOOKUP(E5498,DSSpieler!A:B,2,FALSE)</f>
        <v>s1m199</v>
      </c>
    </row>
    <row r="5499" spans="1:10" x14ac:dyDescent="0.25">
      <c r="A5499">
        <v>6205</v>
      </c>
      <c r="B5499" t="s">
        <v>32747</v>
      </c>
      <c r="C5499">
        <v>570</v>
      </c>
      <c r="D5499">
        <v>518</v>
      </c>
      <c r="E5499">
        <v>1576969873</v>
      </c>
      <c r="F5499">
        <v>5368</v>
      </c>
      <c r="G5499">
        <v>0</v>
      </c>
      <c r="H5499" t="s">
        <v>10421</v>
      </c>
      <c r="I5499">
        <v>6205</v>
      </c>
      <c r="J5499" t="str">
        <f>VLOOKUP(E5499,DSSpieler!A:B,2,FALSE)</f>
        <v>Spachris</v>
      </c>
    </row>
    <row r="5500" spans="1:10" x14ac:dyDescent="0.25">
      <c r="A5500">
        <v>6207</v>
      </c>
      <c r="B5500" t="s">
        <v>531</v>
      </c>
      <c r="C5500">
        <v>489</v>
      </c>
      <c r="D5500">
        <v>428</v>
      </c>
      <c r="E5500">
        <v>0</v>
      </c>
      <c r="F5500">
        <v>677</v>
      </c>
      <c r="G5500">
        <v>0</v>
      </c>
      <c r="H5500" t="s">
        <v>10422</v>
      </c>
      <c r="I5500">
        <v>6207</v>
      </c>
      <c r="J5500" t="e">
        <f>VLOOKUP(E5500,DSSpieler!A:B,2,FALSE)</f>
        <v>#N/A</v>
      </c>
    </row>
    <row r="5501" spans="1:10" x14ac:dyDescent="0.25">
      <c r="A5501">
        <v>6208</v>
      </c>
      <c r="B5501" t="s">
        <v>531</v>
      </c>
      <c r="C5501">
        <v>538</v>
      </c>
      <c r="D5501">
        <v>470</v>
      </c>
      <c r="E5501">
        <v>0</v>
      </c>
      <c r="F5501">
        <v>227</v>
      </c>
      <c r="G5501">
        <v>0</v>
      </c>
      <c r="H5501" t="s">
        <v>10423</v>
      </c>
      <c r="I5501">
        <v>6208</v>
      </c>
      <c r="J5501" t="e">
        <f>VLOOKUP(E5501,DSSpieler!A:B,2,FALSE)</f>
        <v>#N/A</v>
      </c>
    </row>
    <row r="5502" spans="1:10" x14ac:dyDescent="0.25">
      <c r="A5502">
        <v>6210</v>
      </c>
      <c r="B5502" t="s">
        <v>32748</v>
      </c>
      <c r="C5502">
        <v>573</v>
      </c>
      <c r="D5502">
        <v>458</v>
      </c>
      <c r="E5502">
        <v>1577138742</v>
      </c>
      <c r="F5502">
        <v>4664</v>
      </c>
      <c r="G5502">
        <v>0</v>
      </c>
      <c r="H5502" t="s">
        <v>10424</v>
      </c>
      <c r="I5502">
        <v>6210</v>
      </c>
      <c r="J5502" t="str">
        <f>VLOOKUP(E5502,DSSpieler!A:B,2,FALSE)</f>
        <v>Ohaio18</v>
      </c>
    </row>
    <row r="5503" spans="1:10" x14ac:dyDescent="0.25">
      <c r="A5503">
        <v>6211</v>
      </c>
      <c r="B5503" t="s">
        <v>531</v>
      </c>
      <c r="C5503">
        <v>577</v>
      </c>
      <c r="D5503">
        <v>499</v>
      </c>
      <c r="E5503">
        <v>0</v>
      </c>
      <c r="F5503">
        <v>374</v>
      </c>
      <c r="G5503">
        <v>0</v>
      </c>
      <c r="H5503" t="s">
        <v>10425</v>
      </c>
      <c r="I5503">
        <v>6211</v>
      </c>
      <c r="J5503" t="e">
        <f>VLOOKUP(E5503,DSSpieler!A:B,2,FALSE)</f>
        <v>#N/A</v>
      </c>
    </row>
    <row r="5504" spans="1:10" x14ac:dyDescent="0.25">
      <c r="A5504">
        <v>6212</v>
      </c>
      <c r="B5504" t="s">
        <v>32749</v>
      </c>
      <c r="C5504">
        <v>494</v>
      </c>
      <c r="D5504">
        <v>556</v>
      </c>
      <c r="E5504">
        <v>1577198684</v>
      </c>
      <c r="F5504">
        <v>5328</v>
      </c>
      <c r="G5504">
        <v>0</v>
      </c>
      <c r="H5504" t="s">
        <v>10426</v>
      </c>
      <c r="I5504">
        <v>6212</v>
      </c>
      <c r="J5504" t="str">
        <f>VLOOKUP(E5504,DSSpieler!A:B,2,FALSE)</f>
        <v>Sgtalex</v>
      </c>
    </row>
    <row r="5505" spans="1:10" x14ac:dyDescent="0.25">
      <c r="A5505">
        <v>6214</v>
      </c>
      <c r="B5505" t="s">
        <v>32750</v>
      </c>
      <c r="C5505">
        <v>466</v>
      </c>
      <c r="D5505">
        <v>497</v>
      </c>
      <c r="E5505">
        <v>1576593978</v>
      </c>
      <c r="F5505">
        <v>4417</v>
      </c>
      <c r="G5505">
        <v>0</v>
      </c>
      <c r="H5505" t="s">
        <v>10427</v>
      </c>
      <c r="I5505">
        <v>6214</v>
      </c>
      <c r="J5505" t="str">
        <f>VLOOKUP(E5505,DSSpieler!A:B,2,FALSE)</f>
        <v>Lavalia</v>
      </c>
    </row>
    <row r="5506" spans="1:10" x14ac:dyDescent="0.25">
      <c r="A5506">
        <v>6215</v>
      </c>
      <c r="B5506" t="s">
        <v>32751</v>
      </c>
      <c r="C5506">
        <v>417</v>
      </c>
      <c r="D5506">
        <v>507</v>
      </c>
      <c r="E5506">
        <v>8525385</v>
      </c>
      <c r="F5506">
        <v>6946</v>
      </c>
      <c r="G5506">
        <v>0</v>
      </c>
      <c r="H5506" t="s">
        <v>10428</v>
      </c>
      <c r="I5506">
        <v>6215</v>
      </c>
      <c r="J5506" t="str">
        <f>VLOOKUP(E5506,DSSpieler!A:B,2,FALSE)</f>
        <v>DieBonze</v>
      </c>
    </row>
    <row r="5507" spans="1:10" x14ac:dyDescent="0.25">
      <c r="A5507">
        <v>6216</v>
      </c>
      <c r="B5507" t="s">
        <v>32752</v>
      </c>
      <c r="C5507">
        <v>558</v>
      </c>
      <c r="D5507">
        <v>545</v>
      </c>
      <c r="E5507">
        <v>1577146592</v>
      </c>
      <c r="F5507">
        <v>4670</v>
      </c>
      <c r="G5507">
        <v>0</v>
      </c>
      <c r="H5507" t="s">
        <v>10429</v>
      </c>
      <c r="I5507">
        <v>6216</v>
      </c>
      <c r="J5507" t="str">
        <f>VLOOKUP(E5507,DSSpieler!A:B,2,FALSE)</f>
        <v>DerDon</v>
      </c>
    </row>
    <row r="5508" spans="1:10" x14ac:dyDescent="0.25">
      <c r="A5508">
        <v>6217</v>
      </c>
      <c r="B5508" t="s">
        <v>531</v>
      </c>
      <c r="C5508">
        <v>464</v>
      </c>
      <c r="D5508">
        <v>567</v>
      </c>
      <c r="E5508">
        <v>0</v>
      </c>
      <c r="F5508">
        <v>272</v>
      </c>
      <c r="G5508">
        <v>0</v>
      </c>
      <c r="H5508" t="s">
        <v>10430</v>
      </c>
      <c r="I5508">
        <v>6217</v>
      </c>
      <c r="J5508" t="e">
        <f>VLOOKUP(E5508,DSSpieler!A:B,2,FALSE)</f>
        <v>#N/A</v>
      </c>
    </row>
    <row r="5509" spans="1:10" x14ac:dyDescent="0.25">
      <c r="A5509">
        <v>6218</v>
      </c>
      <c r="B5509" t="s">
        <v>1497</v>
      </c>
      <c r="C5509">
        <v>517</v>
      </c>
      <c r="D5509">
        <v>458</v>
      </c>
      <c r="E5509">
        <v>1577180924</v>
      </c>
      <c r="F5509">
        <v>5437</v>
      </c>
      <c r="G5509">
        <v>0</v>
      </c>
      <c r="H5509" t="s">
        <v>10431</v>
      </c>
      <c r="I5509">
        <v>6218</v>
      </c>
      <c r="J5509" t="str">
        <f>VLOOKUP(E5509,DSSpieler!A:B,2,FALSE)</f>
        <v>La84</v>
      </c>
    </row>
    <row r="5510" spans="1:10" x14ac:dyDescent="0.25">
      <c r="A5510">
        <v>6219</v>
      </c>
      <c r="B5510" t="s">
        <v>741</v>
      </c>
      <c r="C5510">
        <v>579</v>
      </c>
      <c r="D5510">
        <v>464</v>
      </c>
      <c r="E5510">
        <v>1576465907</v>
      </c>
      <c r="F5510">
        <v>4048</v>
      </c>
      <c r="G5510">
        <v>0</v>
      </c>
      <c r="H5510" t="s">
        <v>10432</v>
      </c>
      <c r="I5510">
        <v>6219</v>
      </c>
      <c r="J5510" t="str">
        <f>VLOOKUP(E5510,DSSpieler!A:B,2,FALSE)</f>
        <v>momo1417</v>
      </c>
    </row>
    <row r="5511" spans="1:10" x14ac:dyDescent="0.25">
      <c r="A5511">
        <v>6220</v>
      </c>
      <c r="B5511" t="s">
        <v>32753</v>
      </c>
      <c r="C5511">
        <v>455</v>
      </c>
      <c r="D5511">
        <v>565</v>
      </c>
      <c r="E5511">
        <v>9871295</v>
      </c>
      <c r="F5511">
        <v>7134</v>
      </c>
      <c r="G5511">
        <v>0</v>
      </c>
      <c r="H5511" t="s">
        <v>10433</v>
      </c>
      <c r="I5511">
        <v>6220</v>
      </c>
      <c r="J5511" t="str">
        <f>VLOOKUP(E5511,DSSpieler!A:B,2,FALSE)</f>
        <v>Michael2502</v>
      </c>
    </row>
    <row r="5512" spans="1:10" x14ac:dyDescent="0.25">
      <c r="A5512">
        <v>6221</v>
      </c>
      <c r="B5512" t="s">
        <v>32754</v>
      </c>
      <c r="C5512">
        <v>432</v>
      </c>
      <c r="D5512">
        <v>418</v>
      </c>
      <c r="E5512">
        <v>9849940</v>
      </c>
      <c r="F5512">
        <v>4836</v>
      </c>
      <c r="G5512">
        <v>0</v>
      </c>
      <c r="H5512" t="s">
        <v>10434</v>
      </c>
      <c r="I5512">
        <v>6221</v>
      </c>
      <c r="J5512" t="str">
        <f>VLOOKUP(E5512,DSSpieler!A:B,2,FALSE)</f>
        <v>Lord Aarben</v>
      </c>
    </row>
    <row r="5513" spans="1:10" x14ac:dyDescent="0.25">
      <c r="A5513">
        <v>6222</v>
      </c>
      <c r="B5513" t="s">
        <v>531</v>
      </c>
      <c r="C5513">
        <v>541</v>
      </c>
      <c r="D5513">
        <v>555</v>
      </c>
      <c r="E5513">
        <v>0</v>
      </c>
      <c r="F5513">
        <v>1042</v>
      </c>
      <c r="G5513">
        <v>0</v>
      </c>
      <c r="H5513" t="s">
        <v>10435</v>
      </c>
      <c r="I5513">
        <v>6222</v>
      </c>
      <c r="J5513" t="e">
        <f>VLOOKUP(E5513,DSSpieler!A:B,2,FALSE)</f>
        <v>#N/A</v>
      </c>
    </row>
    <row r="5514" spans="1:10" x14ac:dyDescent="0.25">
      <c r="A5514">
        <v>6223</v>
      </c>
      <c r="B5514" t="s">
        <v>950</v>
      </c>
      <c r="C5514">
        <v>551</v>
      </c>
      <c r="D5514">
        <v>556</v>
      </c>
      <c r="E5514">
        <v>1576717422</v>
      </c>
      <c r="F5514">
        <v>4192</v>
      </c>
      <c r="G5514">
        <v>0</v>
      </c>
      <c r="H5514" t="s">
        <v>10436</v>
      </c>
      <c r="I5514">
        <v>6223</v>
      </c>
      <c r="J5514" t="str">
        <f>VLOOKUP(E5514,DSSpieler!A:B,2,FALSE)</f>
        <v>Ottloverot</v>
      </c>
    </row>
    <row r="5515" spans="1:10" x14ac:dyDescent="0.25">
      <c r="A5515">
        <v>6224</v>
      </c>
      <c r="B5515" t="s">
        <v>531</v>
      </c>
      <c r="C5515">
        <v>494</v>
      </c>
      <c r="D5515">
        <v>437</v>
      </c>
      <c r="E5515">
        <v>0</v>
      </c>
      <c r="F5515">
        <v>199</v>
      </c>
      <c r="G5515">
        <v>0</v>
      </c>
      <c r="H5515" t="s">
        <v>10437</v>
      </c>
      <c r="I5515">
        <v>6224</v>
      </c>
      <c r="J5515" t="e">
        <f>VLOOKUP(E5515,DSSpieler!A:B,2,FALSE)</f>
        <v>#N/A</v>
      </c>
    </row>
    <row r="5516" spans="1:10" x14ac:dyDescent="0.25">
      <c r="A5516">
        <v>6225</v>
      </c>
      <c r="B5516" t="s">
        <v>32755</v>
      </c>
      <c r="C5516">
        <v>555</v>
      </c>
      <c r="D5516">
        <v>505</v>
      </c>
      <c r="E5516">
        <v>3241642</v>
      </c>
      <c r="F5516">
        <v>6907</v>
      </c>
      <c r="G5516">
        <v>0</v>
      </c>
      <c r="H5516" t="s">
        <v>10438</v>
      </c>
      <c r="I5516">
        <v>6225</v>
      </c>
      <c r="J5516" t="str">
        <f>VLOOKUP(E5516,DSSpieler!A:B,2,FALSE)</f>
        <v>ZeraMorpheus</v>
      </c>
    </row>
    <row r="5517" spans="1:10" x14ac:dyDescent="0.25">
      <c r="A5517">
        <v>6226</v>
      </c>
      <c r="B5517" t="s">
        <v>1498</v>
      </c>
      <c r="C5517">
        <v>465</v>
      </c>
      <c r="D5517">
        <v>404</v>
      </c>
      <c r="E5517">
        <v>214667</v>
      </c>
      <c r="F5517">
        <v>5592</v>
      </c>
      <c r="G5517">
        <v>0</v>
      </c>
      <c r="H5517" t="s">
        <v>10439</v>
      </c>
      <c r="I5517">
        <v>6226</v>
      </c>
      <c r="J5517" t="str">
        <f>VLOOKUP(E5517,DSSpieler!A:B,2,FALSE)</f>
        <v>N-Key</v>
      </c>
    </row>
    <row r="5518" spans="1:10" x14ac:dyDescent="0.25">
      <c r="A5518">
        <v>6227</v>
      </c>
      <c r="B5518" t="s">
        <v>531</v>
      </c>
      <c r="C5518">
        <v>550</v>
      </c>
      <c r="D5518">
        <v>549</v>
      </c>
      <c r="E5518">
        <v>0</v>
      </c>
      <c r="F5518">
        <v>246</v>
      </c>
      <c r="G5518">
        <v>0</v>
      </c>
      <c r="H5518" t="s">
        <v>10440</v>
      </c>
      <c r="I5518">
        <v>6227</v>
      </c>
      <c r="J5518" t="e">
        <f>VLOOKUP(E5518,DSSpieler!A:B,2,FALSE)</f>
        <v>#N/A</v>
      </c>
    </row>
    <row r="5519" spans="1:10" x14ac:dyDescent="0.25">
      <c r="A5519">
        <v>6228</v>
      </c>
      <c r="B5519" t="s">
        <v>531</v>
      </c>
      <c r="C5519">
        <v>568</v>
      </c>
      <c r="D5519">
        <v>482</v>
      </c>
      <c r="E5519">
        <v>0</v>
      </c>
      <c r="F5519">
        <v>415</v>
      </c>
      <c r="G5519">
        <v>0</v>
      </c>
      <c r="H5519" t="s">
        <v>10441</v>
      </c>
      <c r="I5519">
        <v>6228</v>
      </c>
      <c r="J5519" t="e">
        <f>VLOOKUP(E5519,DSSpieler!A:B,2,FALSE)</f>
        <v>#N/A</v>
      </c>
    </row>
    <row r="5520" spans="1:10" x14ac:dyDescent="0.25">
      <c r="A5520">
        <v>6229</v>
      </c>
      <c r="B5520" t="s">
        <v>32756</v>
      </c>
      <c r="C5520">
        <v>592</v>
      </c>
      <c r="D5520">
        <v>436</v>
      </c>
      <c r="E5520">
        <v>1577065529</v>
      </c>
      <c r="F5520">
        <v>5223</v>
      </c>
      <c r="G5520">
        <v>0</v>
      </c>
      <c r="H5520" t="s">
        <v>10442</v>
      </c>
      <c r="I5520">
        <v>6229</v>
      </c>
      <c r="J5520" t="str">
        <f>VLOOKUP(E5520,DSSpieler!A:B,2,FALSE)</f>
        <v>Spanholz</v>
      </c>
    </row>
    <row r="5521" spans="1:10" x14ac:dyDescent="0.25">
      <c r="A5521">
        <v>6230</v>
      </c>
      <c r="B5521" t="s">
        <v>531</v>
      </c>
      <c r="C5521">
        <v>609</v>
      </c>
      <c r="D5521">
        <v>510</v>
      </c>
      <c r="E5521">
        <v>0</v>
      </c>
      <c r="F5521">
        <v>466</v>
      </c>
      <c r="G5521">
        <v>0</v>
      </c>
      <c r="H5521" t="s">
        <v>10443</v>
      </c>
      <c r="I5521">
        <v>6230</v>
      </c>
      <c r="J5521" t="e">
        <f>VLOOKUP(E5521,DSSpieler!A:B,2,FALSE)</f>
        <v>#N/A</v>
      </c>
    </row>
    <row r="5522" spans="1:10" x14ac:dyDescent="0.25">
      <c r="A5522">
        <v>6231</v>
      </c>
      <c r="B5522" t="s">
        <v>32757</v>
      </c>
      <c r="C5522">
        <v>516</v>
      </c>
      <c r="D5522">
        <v>476</v>
      </c>
      <c r="E5522">
        <v>1577174875</v>
      </c>
      <c r="F5522">
        <v>5427</v>
      </c>
      <c r="G5522">
        <v>0</v>
      </c>
      <c r="H5522" t="s">
        <v>10444</v>
      </c>
      <c r="I5522">
        <v>6231</v>
      </c>
      <c r="J5522" t="str">
        <f>VLOOKUP(E5522,DSSpieler!A:B,2,FALSE)</f>
        <v>Der mit das Gerät</v>
      </c>
    </row>
    <row r="5523" spans="1:10" x14ac:dyDescent="0.25">
      <c r="A5523">
        <v>6232</v>
      </c>
      <c r="B5523" t="s">
        <v>531</v>
      </c>
      <c r="C5523">
        <v>453</v>
      </c>
      <c r="D5523">
        <v>492</v>
      </c>
      <c r="E5523">
        <v>0</v>
      </c>
      <c r="F5523">
        <v>411</v>
      </c>
      <c r="G5523">
        <v>0</v>
      </c>
      <c r="H5523" t="s">
        <v>10445</v>
      </c>
      <c r="I5523">
        <v>6232</v>
      </c>
      <c r="J5523" t="e">
        <f>VLOOKUP(E5523,DSSpieler!A:B,2,FALSE)</f>
        <v>#N/A</v>
      </c>
    </row>
    <row r="5524" spans="1:10" x14ac:dyDescent="0.25">
      <c r="A5524">
        <v>6233</v>
      </c>
      <c r="B5524" t="s">
        <v>531</v>
      </c>
      <c r="C5524">
        <v>553</v>
      </c>
      <c r="D5524">
        <v>446</v>
      </c>
      <c r="E5524">
        <v>0</v>
      </c>
      <c r="F5524">
        <v>164</v>
      </c>
      <c r="G5524">
        <v>0</v>
      </c>
      <c r="H5524" t="s">
        <v>10446</v>
      </c>
      <c r="I5524">
        <v>6233</v>
      </c>
      <c r="J5524" t="e">
        <f>VLOOKUP(E5524,DSSpieler!A:B,2,FALSE)</f>
        <v>#N/A</v>
      </c>
    </row>
    <row r="5525" spans="1:10" x14ac:dyDescent="0.25">
      <c r="A5525">
        <v>6234</v>
      </c>
      <c r="B5525" t="s">
        <v>531</v>
      </c>
      <c r="C5525">
        <v>578</v>
      </c>
      <c r="D5525">
        <v>558</v>
      </c>
      <c r="E5525">
        <v>0</v>
      </c>
      <c r="F5525">
        <v>739</v>
      </c>
      <c r="G5525">
        <v>0</v>
      </c>
      <c r="H5525" t="s">
        <v>10447</v>
      </c>
      <c r="I5525">
        <v>6234</v>
      </c>
      <c r="J5525" t="e">
        <f>VLOOKUP(E5525,DSSpieler!A:B,2,FALSE)</f>
        <v>#N/A</v>
      </c>
    </row>
    <row r="5526" spans="1:10" x14ac:dyDescent="0.25">
      <c r="A5526">
        <v>6236</v>
      </c>
      <c r="B5526">
        <v>4</v>
      </c>
      <c r="C5526">
        <v>448</v>
      </c>
      <c r="D5526">
        <v>501</v>
      </c>
      <c r="E5526">
        <v>1577197425</v>
      </c>
      <c r="F5526">
        <v>3280</v>
      </c>
      <c r="G5526">
        <v>0</v>
      </c>
      <c r="H5526" t="s">
        <v>10448</v>
      </c>
      <c r="I5526">
        <v>6236</v>
      </c>
      <c r="J5526" t="str">
        <f>VLOOKUP(E5526,DSSpieler!A:B,2,FALSE)</f>
        <v>Körnivasall</v>
      </c>
    </row>
    <row r="5527" spans="1:10" x14ac:dyDescent="0.25">
      <c r="A5527">
        <v>6238</v>
      </c>
      <c r="B5527" t="s">
        <v>32758</v>
      </c>
      <c r="C5527">
        <v>408</v>
      </c>
      <c r="D5527">
        <v>531</v>
      </c>
      <c r="E5527">
        <v>1576295300</v>
      </c>
      <c r="F5527">
        <v>5158</v>
      </c>
      <c r="G5527">
        <v>0</v>
      </c>
      <c r="H5527" t="s">
        <v>10449</v>
      </c>
      <c r="I5527">
        <v>6238</v>
      </c>
      <c r="J5527" t="str">
        <f>VLOOKUP(E5527,DSSpieler!A:B,2,FALSE)</f>
        <v>Lord TeRRoRsOldier</v>
      </c>
    </row>
    <row r="5528" spans="1:10" x14ac:dyDescent="0.25">
      <c r="A5528">
        <v>6239</v>
      </c>
      <c r="B5528" t="s">
        <v>32759</v>
      </c>
      <c r="C5528">
        <v>551</v>
      </c>
      <c r="D5528">
        <v>417</v>
      </c>
      <c r="E5528">
        <v>3140559</v>
      </c>
      <c r="F5528">
        <v>47</v>
      </c>
      <c r="G5528">
        <v>0</v>
      </c>
      <c r="H5528" t="s">
        <v>10450</v>
      </c>
      <c r="I5528">
        <v>6239</v>
      </c>
      <c r="J5528" t="str">
        <f>VLOOKUP(E5528,DSSpieler!A:B,2,FALSE)</f>
        <v>master@all</v>
      </c>
    </row>
    <row r="5529" spans="1:10" x14ac:dyDescent="0.25">
      <c r="A5529">
        <v>6240</v>
      </c>
      <c r="B5529" t="e">
        <f>-3-+you</f>
        <v>#NAME?</v>
      </c>
      <c r="C5529">
        <v>592</v>
      </c>
      <c r="D5529">
        <v>456</v>
      </c>
      <c r="E5529">
        <v>1577195851</v>
      </c>
      <c r="F5529">
        <v>4338</v>
      </c>
      <c r="G5529">
        <v>0</v>
      </c>
      <c r="H5529" t="s">
        <v>10451</v>
      </c>
      <c r="I5529">
        <v>6240</v>
      </c>
      <c r="J5529" t="str">
        <f>VLOOKUP(E5529,DSSpieler!A:B,2,FALSE)</f>
        <v>Vermicelles</v>
      </c>
    </row>
    <row r="5530" spans="1:10" x14ac:dyDescent="0.25">
      <c r="A5530">
        <v>6241</v>
      </c>
      <c r="B5530" t="s">
        <v>32760</v>
      </c>
      <c r="C5530">
        <v>517</v>
      </c>
      <c r="D5530">
        <v>538</v>
      </c>
      <c r="E5530">
        <v>1424191</v>
      </c>
      <c r="F5530">
        <v>1712</v>
      </c>
      <c r="G5530">
        <v>0</v>
      </c>
      <c r="H5530" t="s">
        <v>10452</v>
      </c>
      <c r="I5530">
        <v>6241</v>
      </c>
      <c r="J5530" t="str">
        <f>VLOOKUP(E5530,DSSpieler!A:B,2,FALSE)</f>
        <v>maxtin96</v>
      </c>
    </row>
    <row r="5531" spans="1:10" x14ac:dyDescent="0.25">
      <c r="A5531">
        <v>6242</v>
      </c>
      <c r="B5531" t="s">
        <v>1499</v>
      </c>
      <c r="C5531">
        <v>427</v>
      </c>
      <c r="D5531">
        <v>571</v>
      </c>
      <c r="E5531">
        <v>1577174416</v>
      </c>
      <c r="F5531">
        <v>4599</v>
      </c>
      <c r="G5531">
        <v>0</v>
      </c>
      <c r="H5531" t="s">
        <v>10453</v>
      </c>
      <c r="I5531">
        <v>6242</v>
      </c>
      <c r="J5531" t="str">
        <f>VLOOKUP(E5531,DSSpieler!A:B,2,FALSE)</f>
        <v>schlummci</v>
      </c>
    </row>
    <row r="5532" spans="1:10" x14ac:dyDescent="0.25">
      <c r="A5532">
        <v>6244</v>
      </c>
      <c r="B5532" t="s">
        <v>32761</v>
      </c>
      <c r="C5532">
        <v>453</v>
      </c>
      <c r="D5532">
        <v>595</v>
      </c>
      <c r="E5532">
        <v>8884440</v>
      </c>
      <c r="F5532">
        <v>5758</v>
      </c>
      <c r="G5532">
        <v>0</v>
      </c>
      <c r="H5532" t="s">
        <v>10454</v>
      </c>
      <c r="I5532">
        <v>6244</v>
      </c>
      <c r="J5532">
        <f>VLOOKUP(E5532,DSSpieler!A:B,2,FALSE)</f>
        <v>24242</v>
      </c>
    </row>
    <row r="5533" spans="1:10" x14ac:dyDescent="0.25">
      <c r="A5533">
        <v>6245</v>
      </c>
      <c r="B5533">
        <v>1</v>
      </c>
      <c r="C5533">
        <v>501</v>
      </c>
      <c r="D5533">
        <v>493</v>
      </c>
      <c r="E5533">
        <v>1576796739</v>
      </c>
      <c r="F5533">
        <v>6792</v>
      </c>
      <c r="G5533">
        <v>0</v>
      </c>
      <c r="H5533" t="s">
        <v>10455</v>
      </c>
      <c r="I5533">
        <v>6245</v>
      </c>
      <c r="J5533" t="str">
        <f>VLOOKUP(E5533,DSSpieler!A:B,2,FALSE)</f>
        <v>Kick-Ass</v>
      </c>
    </row>
    <row r="5534" spans="1:10" x14ac:dyDescent="0.25">
      <c r="A5534">
        <v>6246</v>
      </c>
      <c r="B5534" t="s">
        <v>1500</v>
      </c>
      <c r="C5534">
        <v>395</v>
      </c>
      <c r="D5534">
        <v>488</v>
      </c>
      <c r="E5534">
        <v>1577188085</v>
      </c>
      <c r="F5534">
        <v>5478</v>
      </c>
      <c r="G5534">
        <v>0</v>
      </c>
      <c r="H5534" t="s">
        <v>436</v>
      </c>
      <c r="I5534">
        <v>6246</v>
      </c>
      <c r="J5534" t="str">
        <f>VLOOKUP(E5534,DSSpieler!A:B,2,FALSE)</f>
        <v>Nico211</v>
      </c>
    </row>
    <row r="5535" spans="1:10" x14ac:dyDescent="0.25">
      <c r="A5535">
        <v>6247</v>
      </c>
      <c r="B5535" t="s">
        <v>531</v>
      </c>
      <c r="C5535">
        <v>436</v>
      </c>
      <c r="D5535">
        <v>454</v>
      </c>
      <c r="E5535">
        <v>0</v>
      </c>
      <c r="F5535">
        <v>337</v>
      </c>
      <c r="G5535">
        <v>0</v>
      </c>
      <c r="H5535" t="s">
        <v>10456</v>
      </c>
      <c r="I5535">
        <v>6247</v>
      </c>
      <c r="J5535" t="e">
        <f>VLOOKUP(E5535,DSSpieler!A:B,2,FALSE)</f>
        <v>#N/A</v>
      </c>
    </row>
    <row r="5536" spans="1:10" x14ac:dyDescent="0.25">
      <c r="A5536">
        <v>6248</v>
      </c>
      <c r="B5536" t="s">
        <v>32762</v>
      </c>
      <c r="C5536">
        <v>563</v>
      </c>
      <c r="D5536">
        <v>536</v>
      </c>
      <c r="E5536">
        <v>9643314</v>
      </c>
      <c r="F5536">
        <v>5822</v>
      </c>
      <c r="G5536">
        <v>0</v>
      </c>
      <c r="H5536" t="s">
        <v>10457</v>
      </c>
      <c r="I5536">
        <v>6248</v>
      </c>
      <c r="J5536" t="str">
        <f>VLOOKUP(E5536,DSSpieler!A:B,2,FALSE)</f>
        <v>.Gulaschkanonier.</v>
      </c>
    </row>
    <row r="5537" spans="1:10" x14ac:dyDescent="0.25">
      <c r="A5537">
        <v>6249</v>
      </c>
      <c r="B5537" t="s">
        <v>531</v>
      </c>
      <c r="C5537">
        <v>528</v>
      </c>
      <c r="D5537">
        <v>536</v>
      </c>
      <c r="E5537">
        <v>0</v>
      </c>
      <c r="F5537">
        <v>341</v>
      </c>
      <c r="G5537">
        <v>0</v>
      </c>
      <c r="H5537" t="s">
        <v>10458</v>
      </c>
      <c r="I5537">
        <v>6249</v>
      </c>
      <c r="J5537" t="e">
        <f>VLOOKUP(E5537,DSSpieler!A:B,2,FALSE)</f>
        <v>#N/A</v>
      </c>
    </row>
    <row r="5538" spans="1:10" x14ac:dyDescent="0.25">
      <c r="A5538">
        <v>6250</v>
      </c>
      <c r="B5538" t="s">
        <v>531</v>
      </c>
      <c r="C5538">
        <v>423</v>
      </c>
      <c r="D5538">
        <v>518</v>
      </c>
      <c r="E5538">
        <v>0</v>
      </c>
      <c r="F5538">
        <v>324</v>
      </c>
      <c r="G5538">
        <v>0</v>
      </c>
      <c r="H5538" t="s">
        <v>10459</v>
      </c>
      <c r="I5538">
        <v>6250</v>
      </c>
      <c r="J5538" t="e">
        <f>VLOOKUP(E5538,DSSpieler!A:B,2,FALSE)</f>
        <v>#N/A</v>
      </c>
    </row>
    <row r="5539" spans="1:10" x14ac:dyDescent="0.25">
      <c r="A5539">
        <v>6251</v>
      </c>
      <c r="B5539" t="s">
        <v>531</v>
      </c>
      <c r="C5539">
        <v>476</v>
      </c>
      <c r="D5539">
        <v>427</v>
      </c>
      <c r="E5539">
        <v>0</v>
      </c>
      <c r="F5539">
        <v>339</v>
      </c>
      <c r="G5539">
        <v>0</v>
      </c>
      <c r="H5539" t="s">
        <v>10460</v>
      </c>
      <c r="I5539">
        <v>6251</v>
      </c>
      <c r="J5539" t="e">
        <f>VLOOKUP(E5539,DSSpieler!A:B,2,FALSE)</f>
        <v>#N/A</v>
      </c>
    </row>
    <row r="5540" spans="1:10" x14ac:dyDescent="0.25">
      <c r="A5540">
        <v>6252</v>
      </c>
      <c r="B5540" t="s">
        <v>32763</v>
      </c>
      <c r="C5540">
        <v>438</v>
      </c>
      <c r="D5540">
        <v>459</v>
      </c>
      <c r="E5540">
        <v>1577189323</v>
      </c>
      <c r="F5540">
        <v>1149</v>
      </c>
      <c r="G5540">
        <v>0</v>
      </c>
      <c r="H5540" t="s">
        <v>10461</v>
      </c>
      <c r="I5540">
        <v>6252</v>
      </c>
      <c r="J5540" t="str">
        <f>VLOOKUP(E5540,DSSpieler!A:B,2,FALSE)</f>
        <v>Andyann</v>
      </c>
    </row>
    <row r="5541" spans="1:10" x14ac:dyDescent="0.25">
      <c r="A5541">
        <v>6253</v>
      </c>
      <c r="B5541">
        <v>2</v>
      </c>
      <c r="C5541">
        <v>573</v>
      </c>
      <c r="D5541">
        <v>506</v>
      </c>
      <c r="E5541">
        <v>1577191960</v>
      </c>
      <c r="F5541">
        <v>5352</v>
      </c>
      <c r="G5541">
        <v>0</v>
      </c>
      <c r="H5541" t="s">
        <v>10462</v>
      </c>
      <c r="I5541">
        <v>6253</v>
      </c>
      <c r="J5541" t="str">
        <f>VLOOKUP(E5541,DSSpieler!A:B,2,FALSE)</f>
        <v>TTOGOTT</v>
      </c>
    </row>
    <row r="5542" spans="1:10" x14ac:dyDescent="0.25">
      <c r="A5542">
        <v>6254</v>
      </c>
      <c r="B5542" t="s">
        <v>32764</v>
      </c>
      <c r="C5542">
        <v>574</v>
      </c>
      <c r="D5542">
        <v>481</v>
      </c>
      <c r="E5542">
        <v>1577175543</v>
      </c>
      <c r="F5542">
        <v>7779</v>
      </c>
      <c r="G5542">
        <v>0</v>
      </c>
      <c r="H5542" t="s">
        <v>10463</v>
      </c>
      <c r="I5542">
        <v>6254</v>
      </c>
      <c r="J5542" t="str">
        <f>VLOOKUP(E5542,DSSpieler!A:B,2,FALSE)</f>
        <v>xOberyn</v>
      </c>
    </row>
    <row r="5543" spans="1:10" x14ac:dyDescent="0.25">
      <c r="A5543">
        <v>6255</v>
      </c>
      <c r="B5543" t="s">
        <v>1501</v>
      </c>
      <c r="C5543">
        <v>587</v>
      </c>
      <c r="D5543">
        <v>476</v>
      </c>
      <c r="E5543">
        <v>1577197351</v>
      </c>
      <c r="F5543">
        <v>5405</v>
      </c>
      <c r="G5543">
        <v>0</v>
      </c>
      <c r="H5543" t="s">
        <v>10464</v>
      </c>
      <c r="I5543">
        <v>6255</v>
      </c>
      <c r="J5543" t="str">
        <f>VLOOKUP(E5543,DSSpieler!A:B,2,FALSE)</f>
        <v>halllloooo</v>
      </c>
    </row>
    <row r="5544" spans="1:10" x14ac:dyDescent="0.25">
      <c r="A5544">
        <v>6256</v>
      </c>
      <c r="B5544" t="s">
        <v>531</v>
      </c>
      <c r="C5544">
        <v>502</v>
      </c>
      <c r="D5544">
        <v>554</v>
      </c>
      <c r="E5544">
        <v>0</v>
      </c>
      <c r="F5544">
        <v>202</v>
      </c>
      <c r="G5544">
        <v>0</v>
      </c>
      <c r="H5544" t="s">
        <v>10465</v>
      </c>
      <c r="I5544">
        <v>6256</v>
      </c>
      <c r="J5544" t="e">
        <f>VLOOKUP(E5544,DSSpieler!A:B,2,FALSE)</f>
        <v>#N/A</v>
      </c>
    </row>
    <row r="5545" spans="1:10" x14ac:dyDescent="0.25">
      <c r="A5545">
        <v>6257</v>
      </c>
      <c r="B5545" t="s">
        <v>32765</v>
      </c>
      <c r="C5545">
        <v>605</v>
      </c>
      <c r="D5545">
        <v>487</v>
      </c>
      <c r="E5545">
        <v>1577192749</v>
      </c>
      <c r="F5545">
        <v>4744</v>
      </c>
      <c r="G5545">
        <v>0</v>
      </c>
      <c r="H5545" t="s">
        <v>10466</v>
      </c>
      <c r="I5545">
        <v>6257</v>
      </c>
      <c r="J5545" t="str">
        <f>VLOOKUP(E5545,DSSpieler!A:B,2,FALSE)</f>
        <v>Mikael</v>
      </c>
    </row>
    <row r="5546" spans="1:10" x14ac:dyDescent="0.25">
      <c r="A5546">
        <v>6258</v>
      </c>
      <c r="B5546" t="s">
        <v>1502</v>
      </c>
      <c r="C5546">
        <v>452</v>
      </c>
      <c r="D5546">
        <v>517</v>
      </c>
      <c r="E5546">
        <v>1577163676</v>
      </c>
      <c r="F5546">
        <v>2136</v>
      </c>
      <c r="G5546">
        <v>0</v>
      </c>
      <c r="H5546" t="s">
        <v>10467</v>
      </c>
      <c r="I5546">
        <v>6258</v>
      </c>
      <c r="J5546" t="str">
        <f>VLOOKUP(E5546,DSSpieler!A:B,2,FALSE)</f>
        <v>Naddel37</v>
      </c>
    </row>
    <row r="5547" spans="1:10" x14ac:dyDescent="0.25">
      <c r="A5547">
        <v>6259</v>
      </c>
      <c r="B5547" t="s">
        <v>531</v>
      </c>
      <c r="C5547">
        <v>438</v>
      </c>
      <c r="D5547">
        <v>518</v>
      </c>
      <c r="E5547">
        <v>0</v>
      </c>
      <c r="F5547">
        <v>50</v>
      </c>
      <c r="G5547">
        <v>0</v>
      </c>
      <c r="H5547" t="s">
        <v>10468</v>
      </c>
      <c r="I5547">
        <v>6259</v>
      </c>
      <c r="J5547" t="e">
        <f>VLOOKUP(E5547,DSSpieler!A:B,2,FALSE)</f>
        <v>#N/A</v>
      </c>
    </row>
    <row r="5548" spans="1:10" x14ac:dyDescent="0.25">
      <c r="A5548">
        <v>6260</v>
      </c>
      <c r="B5548" t="s">
        <v>32766</v>
      </c>
      <c r="C5548">
        <v>500</v>
      </c>
      <c r="D5548">
        <v>430</v>
      </c>
      <c r="E5548">
        <v>1577128825</v>
      </c>
      <c r="F5548">
        <v>6365</v>
      </c>
      <c r="G5548">
        <v>0</v>
      </c>
      <c r="H5548" t="s">
        <v>10469</v>
      </c>
      <c r="I5548">
        <v>6260</v>
      </c>
      <c r="J5548" t="str">
        <f>VLOOKUP(E5548,DSSpieler!A:B,2,FALSE)</f>
        <v>VikG</v>
      </c>
    </row>
    <row r="5549" spans="1:10" x14ac:dyDescent="0.25">
      <c r="A5549">
        <v>6261</v>
      </c>
      <c r="B5549" t="s">
        <v>531</v>
      </c>
      <c r="C5549">
        <v>487</v>
      </c>
      <c r="D5549">
        <v>496</v>
      </c>
      <c r="E5549">
        <v>0</v>
      </c>
      <c r="F5549">
        <v>310</v>
      </c>
      <c r="G5549">
        <v>0</v>
      </c>
      <c r="H5549" t="s">
        <v>10470</v>
      </c>
      <c r="I5549">
        <v>6261</v>
      </c>
      <c r="J5549" t="e">
        <f>VLOOKUP(E5549,DSSpieler!A:B,2,FALSE)</f>
        <v>#N/A</v>
      </c>
    </row>
    <row r="5550" spans="1:10" x14ac:dyDescent="0.25">
      <c r="A5550">
        <v>6262</v>
      </c>
      <c r="B5550" t="s">
        <v>531</v>
      </c>
      <c r="C5550">
        <v>465</v>
      </c>
      <c r="D5550">
        <v>464</v>
      </c>
      <c r="E5550">
        <v>0</v>
      </c>
      <c r="F5550">
        <v>974</v>
      </c>
      <c r="G5550">
        <v>0</v>
      </c>
      <c r="H5550" t="s">
        <v>10471</v>
      </c>
      <c r="I5550">
        <v>6262</v>
      </c>
      <c r="J5550" t="e">
        <f>VLOOKUP(E5550,DSSpieler!A:B,2,FALSE)</f>
        <v>#N/A</v>
      </c>
    </row>
    <row r="5551" spans="1:10" x14ac:dyDescent="0.25">
      <c r="A5551">
        <v>6263</v>
      </c>
      <c r="B5551" t="s">
        <v>531</v>
      </c>
      <c r="C5551">
        <v>516</v>
      </c>
      <c r="D5551">
        <v>533</v>
      </c>
      <c r="E5551">
        <v>0</v>
      </c>
      <c r="F5551">
        <v>357</v>
      </c>
      <c r="G5551">
        <v>0</v>
      </c>
      <c r="H5551" t="s">
        <v>10472</v>
      </c>
      <c r="I5551">
        <v>6263</v>
      </c>
      <c r="J5551" t="e">
        <f>VLOOKUP(E5551,DSSpieler!A:B,2,FALSE)</f>
        <v>#N/A</v>
      </c>
    </row>
    <row r="5552" spans="1:10" x14ac:dyDescent="0.25">
      <c r="A5552">
        <v>6264</v>
      </c>
      <c r="B5552" t="s">
        <v>780</v>
      </c>
      <c r="C5552">
        <v>606</v>
      </c>
      <c r="D5552">
        <v>523</v>
      </c>
      <c r="E5552">
        <v>1576864272</v>
      </c>
      <c r="F5552">
        <v>6433</v>
      </c>
      <c r="G5552">
        <v>0</v>
      </c>
      <c r="H5552" t="s">
        <v>10473</v>
      </c>
      <c r="I5552">
        <v>6264</v>
      </c>
      <c r="J5552" t="str">
        <f>VLOOKUP(E5552,DSSpieler!A:B,2,FALSE)</f>
        <v>iToxic</v>
      </c>
    </row>
    <row r="5553" spans="1:10" x14ac:dyDescent="0.25">
      <c r="A5553">
        <v>6265</v>
      </c>
      <c r="B5553" t="s">
        <v>32767</v>
      </c>
      <c r="C5553">
        <v>430</v>
      </c>
      <c r="D5553">
        <v>467</v>
      </c>
      <c r="E5553">
        <v>9996245</v>
      </c>
      <c r="F5553">
        <v>5509</v>
      </c>
      <c r="G5553">
        <v>0</v>
      </c>
      <c r="H5553" t="s">
        <v>10474</v>
      </c>
      <c r="I5553">
        <v>6265</v>
      </c>
      <c r="J5553" t="str">
        <f>VLOOKUP(E5553,DSSpieler!A:B,2,FALSE)</f>
        <v>PinguShock</v>
      </c>
    </row>
    <row r="5554" spans="1:10" x14ac:dyDescent="0.25">
      <c r="A5554">
        <v>6266</v>
      </c>
      <c r="B5554">
        <v>1</v>
      </c>
      <c r="C5554">
        <v>525</v>
      </c>
      <c r="D5554">
        <v>405</v>
      </c>
      <c r="E5554">
        <v>1577172721</v>
      </c>
      <c r="F5554">
        <v>5714</v>
      </c>
      <c r="G5554">
        <v>0</v>
      </c>
      <c r="H5554" t="s">
        <v>10475</v>
      </c>
      <c r="I5554">
        <v>6266</v>
      </c>
      <c r="J5554" t="str">
        <f>VLOOKUP(E5554,DSSpieler!A:B,2,FALSE)</f>
        <v>traineee</v>
      </c>
    </row>
    <row r="5555" spans="1:10" x14ac:dyDescent="0.25">
      <c r="A5555">
        <v>6267</v>
      </c>
      <c r="B5555" t="s">
        <v>531</v>
      </c>
      <c r="C5555">
        <v>526</v>
      </c>
      <c r="D5555">
        <v>442</v>
      </c>
      <c r="E5555">
        <v>0</v>
      </c>
      <c r="F5555">
        <v>417</v>
      </c>
      <c r="G5555">
        <v>0</v>
      </c>
      <c r="H5555" t="s">
        <v>10476</v>
      </c>
      <c r="I5555">
        <v>6267</v>
      </c>
      <c r="J5555" t="e">
        <f>VLOOKUP(E5555,DSSpieler!A:B,2,FALSE)</f>
        <v>#N/A</v>
      </c>
    </row>
    <row r="5556" spans="1:10" x14ac:dyDescent="0.25">
      <c r="A5556">
        <v>6268</v>
      </c>
      <c r="B5556" t="s">
        <v>32768</v>
      </c>
      <c r="C5556">
        <v>451</v>
      </c>
      <c r="D5556">
        <v>456</v>
      </c>
      <c r="E5556">
        <v>1577141786</v>
      </c>
      <c r="F5556">
        <v>4641</v>
      </c>
      <c r="G5556">
        <v>0</v>
      </c>
      <c r="H5556" t="s">
        <v>10477</v>
      </c>
      <c r="I5556">
        <v>6268</v>
      </c>
      <c r="J5556" t="str">
        <f>VLOOKUP(E5556,DSSpieler!A:B,2,FALSE)</f>
        <v>Potm4ever</v>
      </c>
    </row>
    <row r="5557" spans="1:10" x14ac:dyDescent="0.25">
      <c r="A5557">
        <v>6269</v>
      </c>
      <c r="B5557" t="s">
        <v>531</v>
      </c>
      <c r="C5557">
        <v>463</v>
      </c>
      <c r="D5557">
        <v>460</v>
      </c>
      <c r="E5557">
        <v>0</v>
      </c>
      <c r="F5557">
        <v>886</v>
      </c>
      <c r="G5557">
        <v>0</v>
      </c>
      <c r="H5557" t="s">
        <v>10478</v>
      </c>
      <c r="I5557">
        <v>6269</v>
      </c>
      <c r="J5557" t="e">
        <f>VLOOKUP(E5557,DSSpieler!A:B,2,FALSE)</f>
        <v>#N/A</v>
      </c>
    </row>
    <row r="5558" spans="1:10" x14ac:dyDescent="0.25">
      <c r="A5558">
        <v>6270</v>
      </c>
      <c r="B5558">
        <v>2</v>
      </c>
      <c r="C5558">
        <v>510</v>
      </c>
      <c r="D5558">
        <v>436</v>
      </c>
      <c r="E5558">
        <v>1576623509</v>
      </c>
      <c r="F5558">
        <v>3567</v>
      </c>
      <c r="G5558">
        <v>0</v>
      </c>
      <c r="H5558" t="s">
        <v>10479</v>
      </c>
      <c r="I5558">
        <v>6270</v>
      </c>
      <c r="J5558" t="str">
        <f>VLOOKUP(E5558,DSSpieler!A:B,2,FALSE)</f>
        <v>Bumaye.</v>
      </c>
    </row>
    <row r="5559" spans="1:10" x14ac:dyDescent="0.25">
      <c r="A5559">
        <v>6271</v>
      </c>
      <c r="B5559">
        <v>2</v>
      </c>
      <c r="C5559">
        <v>584</v>
      </c>
      <c r="D5559">
        <v>553</v>
      </c>
      <c r="E5559">
        <v>1576613198</v>
      </c>
      <c r="F5559">
        <v>6538</v>
      </c>
      <c r="G5559">
        <v>0</v>
      </c>
      <c r="H5559" t="s">
        <v>10480</v>
      </c>
      <c r="I5559">
        <v>6271</v>
      </c>
      <c r="J5559" t="str">
        <f>VLOOKUP(E5559,DSSpieler!A:B,2,FALSE)</f>
        <v>-Schnee-im-Sommer-</v>
      </c>
    </row>
    <row r="5560" spans="1:10" x14ac:dyDescent="0.25">
      <c r="A5560">
        <v>6272</v>
      </c>
      <c r="B5560" t="s">
        <v>531</v>
      </c>
      <c r="C5560">
        <v>556</v>
      </c>
      <c r="D5560">
        <v>570</v>
      </c>
      <c r="E5560">
        <v>0</v>
      </c>
      <c r="F5560">
        <v>862</v>
      </c>
      <c r="G5560">
        <v>0</v>
      </c>
      <c r="H5560" t="s">
        <v>10481</v>
      </c>
      <c r="I5560">
        <v>6272</v>
      </c>
      <c r="J5560" t="e">
        <f>VLOOKUP(E5560,DSSpieler!A:B,2,FALSE)</f>
        <v>#N/A</v>
      </c>
    </row>
    <row r="5561" spans="1:10" x14ac:dyDescent="0.25">
      <c r="A5561">
        <v>6273</v>
      </c>
      <c r="B5561" t="s">
        <v>32769</v>
      </c>
      <c r="C5561">
        <v>439</v>
      </c>
      <c r="D5561">
        <v>470</v>
      </c>
      <c r="E5561">
        <v>1577176587</v>
      </c>
      <c r="F5561">
        <v>582</v>
      </c>
      <c r="G5561">
        <v>0</v>
      </c>
      <c r="H5561" t="s">
        <v>10482</v>
      </c>
      <c r="I5561">
        <v>6273</v>
      </c>
      <c r="J5561" t="str">
        <f>VLOOKUP(E5561,DSSpieler!A:B,2,FALSE)</f>
        <v>Vindi</v>
      </c>
    </row>
    <row r="5562" spans="1:10" x14ac:dyDescent="0.25">
      <c r="A5562">
        <v>6274</v>
      </c>
      <c r="B5562" t="s">
        <v>1503</v>
      </c>
      <c r="C5562">
        <v>487</v>
      </c>
      <c r="D5562">
        <v>561</v>
      </c>
      <c r="E5562">
        <v>1577098739</v>
      </c>
      <c r="F5562">
        <v>4103</v>
      </c>
      <c r="G5562">
        <v>0</v>
      </c>
      <c r="H5562" t="s">
        <v>10483</v>
      </c>
      <c r="I5562">
        <v>6274</v>
      </c>
      <c r="J5562" t="str">
        <f>VLOOKUP(E5562,DSSpieler!A:B,2,FALSE)</f>
        <v>GrinGo</v>
      </c>
    </row>
    <row r="5563" spans="1:10" x14ac:dyDescent="0.25">
      <c r="A5563">
        <v>6275</v>
      </c>
      <c r="B5563">
        <v>2</v>
      </c>
      <c r="C5563">
        <v>564</v>
      </c>
      <c r="D5563">
        <v>499</v>
      </c>
      <c r="E5563">
        <v>1577197994</v>
      </c>
      <c r="F5563">
        <v>5178</v>
      </c>
      <c r="G5563">
        <v>0</v>
      </c>
      <c r="H5563" t="s">
        <v>10484</v>
      </c>
      <c r="I5563">
        <v>6275</v>
      </c>
      <c r="J5563" t="str">
        <f>VLOOKUP(E5563,DSSpieler!A:B,2,FALSE)</f>
        <v>Spriee</v>
      </c>
    </row>
    <row r="5564" spans="1:10" x14ac:dyDescent="0.25">
      <c r="A5564">
        <v>6276</v>
      </c>
      <c r="B5564" t="s">
        <v>726</v>
      </c>
      <c r="C5564">
        <v>592</v>
      </c>
      <c r="D5564">
        <v>560</v>
      </c>
      <c r="E5564">
        <v>1576814505</v>
      </c>
      <c r="F5564">
        <v>6726</v>
      </c>
      <c r="G5564">
        <v>0</v>
      </c>
      <c r="H5564" t="s">
        <v>10485</v>
      </c>
      <c r="I5564">
        <v>6276</v>
      </c>
      <c r="J5564" t="str">
        <f>VLOOKUP(E5564,DSSpieler!A:B,2,FALSE)</f>
        <v>LeonxD</v>
      </c>
    </row>
    <row r="5565" spans="1:10" x14ac:dyDescent="0.25">
      <c r="A5565">
        <v>6277</v>
      </c>
      <c r="B5565" t="s">
        <v>531</v>
      </c>
      <c r="C5565">
        <v>543</v>
      </c>
      <c r="D5565">
        <v>518</v>
      </c>
      <c r="E5565">
        <v>0</v>
      </c>
      <c r="F5565">
        <v>259</v>
      </c>
      <c r="G5565">
        <v>0</v>
      </c>
      <c r="H5565" t="s">
        <v>10486</v>
      </c>
      <c r="I5565">
        <v>6277</v>
      </c>
      <c r="J5565" t="e">
        <f>VLOOKUP(E5565,DSSpieler!A:B,2,FALSE)</f>
        <v>#N/A</v>
      </c>
    </row>
    <row r="5566" spans="1:10" x14ac:dyDescent="0.25">
      <c r="A5566">
        <v>6278</v>
      </c>
      <c r="B5566" t="s">
        <v>32770</v>
      </c>
      <c r="C5566">
        <v>481</v>
      </c>
      <c r="D5566">
        <v>603</v>
      </c>
      <c r="E5566">
        <v>9064505</v>
      </c>
      <c r="F5566">
        <v>7956</v>
      </c>
      <c r="G5566">
        <v>0</v>
      </c>
      <c r="H5566" t="s">
        <v>10487</v>
      </c>
      <c r="I5566">
        <v>6278</v>
      </c>
      <c r="J5566" t="str">
        <f>VLOOKUP(E5566,DSSpieler!A:B,2,FALSE)</f>
        <v>SirLeoDer1</v>
      </c>
    </row>
    <row r="5567" spans="1:10" x14ac:dyDescent="0.25">
      <c r="A5567">
        <v>6279</v>
      </c>
      <c r="B5567" t="s">
        <v>31934</v>
      </c>
      <c r="C5567">
        <v>596</v>
      </c>
      <c r="D5567">
        <v>483</v>
      </c>
      <c r="E5567">
        <v>3240324</v>
      </c>
      <c r="F5567">
        <v>4767</v>
      </c>
      <c r="G5567">
        <v>0</v>
      </c>
      <c r="H5567" t="s">
        <v>10488</v>
      </c>
      <c r="I5567">
        <v>6279</v>
      </c>
      <c r="J5567" t="str">
        <f>VLOOKUP(E5567,DSSpieler!A:B,2,FALSE)</f>
        <v>luckylos3r</v>
      </c>
    </row>
    <row r="5568" spans="1:10" x14ac:dyDescent="0.25">
      <c r="A5568">
        <v>6280</v>
      </c>
      <c r="B5568" t="e">
        <f>-2-+Veni</f>
        <v>#NAME?</v>
      </c>
      <c r="C5568">
        <v>440</v>
      </c>
      <c r="D5568">
        <v>516</v>
      </c>
      <c r="E5568">
        <v>1576708182</v>
      </c>
      <c r="F5568">
        <v>2676</v>
      </c>
      <c r="G5568">
        <v>0</v>
      </c>
      <c r="H5568" t="s">
        <v>10489</v>
      </c>
      <c r="I5568">
        <v>6280</v>
      </c>
      <c r="J5568" t="str">
        <f>VLOOKUP(E5568,DSSpieler!A:B,2,FALSE)</f>
        <v>Lord Raphnix</v>
      </c>
    </row>
    <row r="5569" spans="1:10" x14ac:dyDescent="0.25">
      <c r="A5569">
        <v>6281</v>
      </c>
      <c r="B5569" t="s">
        <v>531</v>
      </c>
      <c r="C5569">
        <v>537</v>
      </c>
      <c r="D5569">
        <v>554</v>
      </c>
      <c r="E5569">
        <v>0</v>
      </c>
      <c r="F5569">
        <v>1194</v>
      </c>
      <c r="G5569">
        <v>0</v>
      </c>
      <c r="H5569" t="s">
        <v>10490</v>
      </c>
      <c r="I5569">
        <v>6281</v>
      </c>
      <c r="J5569" t="e">
        <f>VLOOKUP(E5569,DSSpieler!A:B,2,FALSE)</f>
        <v>#N/A</v>
      </c>
    </row>
    <row r="5570" spans="1:10" x14ac:dyDescent="0.25">
      <c r="A5570">
        <v>6282</v>
      </c>
      <c r="B5570">
        <v>3</v>
      </c>
      <c r="C5570">
        <v>440</v>
      </c>
      <c r="D5570">
        <v>436</v>
      </c>
      <c r="E5570">
        <v>1577175546</v>
      </c>
      <c r="F5570">
        <v>4392</v>
      </c>
      <c r="G5570">
        <v>0</v>
      </c>
      <c r="H5570" t="s">
        <v>10491</v>
      </c>
      <c r="I5570">
        <v>6282</v>
      </c>
      <c r="J5570" t="str">
        <f>VLOOKUP(E5570,DSSpieler!A:B,2,FALSE)</f>
        <v>Leenz1</v>
      </c>
    </row>
    <row r="5571" spans="1:10" x14ac:dyDescent="0.25">
      <c r="A5571">
        <v>6283</v>
      </c>
      <c r="B5571" t="s">
        <v>32771</v>
      </c>
      <c r="C5571">
        <v>500</v>
      </c>
      <c r="D5571">
        <v>562</v>
      </c>
      <c r="E5571">
        <v>1577123026</v>
      </c>
      <c r="F5571">
        <v>5881</v>
      </c>
      <c r="G5571">
        <v>0</v>
      </c>
      <c r="H5571" t="s">
        <v>10492</v>
      </c>
      <c r="I5571">
        <v>6283</v>
      </c>
      <c r="J5571" t="str">
        <f>VLOOKUP(E5571,DSSpieler!A:B,2,FALSE)</f>
        <v>Fr34k</v>
      </c>
    </row>
    <row r="5572" spans="1:10" x14ac:dyDescent="0.25">
      <c r="A5572">
        <v>6284</v>
      </c>
      <c r="B5572" t="s">
        <v>1504</v>
      </c>
      <c r="C5572">
        <v>563</v>
      </c>
      <c r="D5572">
        <v>479</v>
      </c>
      <c r="E5572">
        <v>1577027330</v>
      </c>
      <c r="F5572">
        <v>5268</v>
      </c>
      <c r="G5572">
        <v>0</v>
      </c>
      <c r="H5572" t="s">
        <v>10493</v>
      </c>
      <c r="I5572">
        <v>6284</v>
      </c>
      <c r="J5572" t="str">
        <f>VLOOKUP(E5572,DSSpieler!A:B,2,FALSE)</f>
        <v>Prinz Fallobst</v>
      </c>
    </row>
    <row r="5573" spans="1:10" x14ac:dyDescent="0.25">
      <c r="A5573">
        <v>6285</v>
      </c>
      <c r="B5573" t="s">
        <v>32356</v>
      </c>
      <c r="C5573">
        <v>554</v>
      </c>
      <c r="D5573">
        <v>455</v>
      </c>
      <c r="E5573">
        <v>1577193727</v>
      </c>
      <c r="F5573">
        <v>3613</v>
      </c>
      <c r="G5573">
        <v>0</v>
      </c>
      <c r="H5573" t="s">
        <v>10494</v>
      </c>
      <c r="I5573">
        <v>6285</v>
      </c>
      <c r="J5573" t="str">
        <f>VLOOKUP(E5573,DSSpieler!A:B,2,FALSE)</f>
        <v>Dunkelzwerg</v>
      </c>
    </row>
    <row r="5574" spans="1:10" x14ac:dyDescent="0.25">
      <c r="A5574">
        <v>6286</v>
      </c>
      <c r="B5574" t="s">
        <v>531</v>
      </c>
      <c r="C5574">
        <v>527</v>
      </c>
      <c r="D5574">
        <v>574</v>
      </c>
      <c r="E5574">
        <v>0</v>
      </c>
      <c r="F5574">
        <v>181</v>
      </c>
      <c r="G5574">
        <v>0</v>
      </c>
      <c r="H5574" t="s">
        <v>10495</v>
      </c>
      <c r="I5574">
        <v>6286</v>
      </c>
      <c r="J5574" t="e">
        <f>VLOOKUP(E5574,DSSpieler!A:B,2,FALSE)</f>
        <v>#N/A</v>
      </c>
    </row>
    <row r="5575" spans="1:10" x14ac:dyDescent="0.25">
      <c r="A5575">
        <v>6287</v>
      </c>
      <c r="B5575" t="s">
        <v>1505</v>
      </c>
      <c r="C5575">
        <v>526</v>
      </c>
      <c r="D5575">
        <v>522</v>
      </c>
      <c r="E5575">
        <v>8545785</v>
      </c>
      <c r="F5575">
        <v>3463</v>
      </c>
      <c r="G5575">
        <v>0</v>
      </c>
      <c r="H5575" t="s">
        <v>10496</v>
      </c>
      <c r="I5575">
        <v>6287</v>
      </c>
      <c r="J5575" t="str">
        <f>VLOOKUP(E5575,DSSpieler!A:B,2,FALSE)</f>
        <v>Nairolflol</v>
      </c>
    </row>
    <row r="5576" spans="1:10" x14ac:dyDescent="0.25">
      <c r="A5576">
        <v>6288</v>
      </c>
      <c r="B5576" t="s">
        <v>531</v>
      </c>
      <c r="C5576">
        <v>583</v>
      </c>
      <c r="D5576">
        <v>475</v>
      </c>
      <c r="E5576">
        <v>0</v>
      </c>
      <c r="F5576">
        <v>118</v>
      </c>
      <c r="G5576">
        <v>0</v>
      </c>
      <c r="H5576" t="s">
        <v>10497</v>
      </c>
      <c r="I5576">
        <v>6288</v>
      </c>
      <c r="J5576" t="e">
        <f>VLOOKUP(E5576,DSSpieler!A:B,2,FALSE)</f>
        <v>#N/A</v>
      </c>
    </row>
    <row r="5577" spans="1:10" x14ac:dyDescent="0.25">
      <c r="A5577">
        <v>6290</v>
      </c>
      <c r="B5577" t="s">
        <v>32772</v>
      </c>
      <c r="C5577">
        <v>455</v>
      </c>
      <c r="D5577">
        <v>490</v>
      </c>
      <c r="E5577">
        <v>9079678</v>
      </c>
      <c r="F5577">
        <v>5128</v>
      </c>
      <c r="G5577">
        <v>0</v>
      </c>
      <c r="H5577" t="s">
        <v>10498</v>
      </c>
      <c r="I5577">
        <v>6290</v>
      </c>
      <c r="J5577" t="str">
        <f>VLOOKUP(E5577,DSSpieler!A:B,2,FALSE)</f>
        <v>Lord Giesen</v>
      </c>
    </row>
    <row r="5578" spans="1:10" x14ac:dyDescent="0.25">
      <c r="A5578">
        <v>6291</v>
      </c>
      <c r="B5578" t="s">
        <v>32773</v>
      </c>
      <c r="C5578">
        <v>401</v>
      </c>
      <c r="D5578">
        <v>505</v>
      </c>
      <c r="E5578">
        <v>1577177028</v>
      </c>
      <c r="F5578">
        <v>5973</v>
      </c>
      <c r="G5578">
        <v>0</v>
      </c>
      <c r="H5578" t="s">
        <v>10499</v>
      </c>
      <c r="I5578">
        <v>6291</v>
      </c>
      <c r="J5578" t="str">
        <f>VLOOKUP(E5578,DSSpieler!A:B,2,FALSE)</f>
        <v>Held des Kampfes</v>
      </c>
    </row>
    <row r="5579" spans="1:10" x14ac:dyDescent="0.25">
      <c r="A5579">
        <v>6292</v>
      </c>
      <c r="B5579" t="s">
        <v>31439</v>
      </c>
      <c r="C5579">
        <v>439</v>
      </c>
      <c r="D5579">
        <v>532</v>
      </c>
      <c r="E5579">
        <v>1576575171</v>
      </c>
      <c r="F5579">
        <v>4460</v>
      </c>
      <c r="G5579">
        <v>0</v>
      </c>
      <c r="H5579" t="s">
        <v>10500</v>
      </c>
      <c r="I5579">
        <v>6292</v>
      </c>
      <c r="J5579" t="str">
        <f>VLOOKUP(E5579,DSSpieler!A:B,2,FALSE)</f>
        <v>2HCL</v>
      </c>
    </row>
    <row r="5580" spans="1:10" x14ac:dyDescent="0.25">
      <c r="A5580">
        <v>6293</v>
      </c>
      <c r="B5580" t="s">
        <v>32774</v>
      </c>
      <c r="C5580">
        <v>556</v>
      </c>
      <c r="D5580">
        <v>528</v>
      </c>
      <c r="E5580">
        <v>9956098</v>
      </c>
      <c r="F5580">
        <v>4954</v>
      </c>
      <c r="G5580">
        <v>0</v>
      </c>
      <c r="H5580" t="s">
        <v>10501</v>
      </c>
      <c r="I5580">
        <v>6293</v>
      </c>
      <c r="J5580" t="str">
        <f>VLOOKUP(E5580,DSSpieler!A:B,2,FALSE)</f>
        <v>Hasselberry-Fin</v>
      </c>
    </row>
    <row r="5581" spans="1:10" x14ac:dyDescent="0.25">
      <c r="A5581">
        <v>6294</v>
      </c>
      <c r="B5581" t="s">
        <v>32775</v>
      </c>
      <c r="C5581">
        <v>404</v>
      </c>
      <c r="D5581">
        <v>453</v>
      </c>
      <c r="E5581">
        <v>1577091188</v>
      </c>
      <c r="F5581">
        <v>5845</v>
      </c>
      <c r="G5581">
        <v>0</v>
      </c>
      <c r="H5581" t="s">
        <v>10502</v>
      </c>
      <c r="I5581">
        <v>6294</v>
      </c>
      <c r="J5581" t="str">
        <f>VLOOKUP(E5581,DSSpieler!A:B,2,FALSE)</f>
        <v>Tidus</v>
      </c>
    </row>
    <row r="5582" spans="1:10" x14ac:dyDescent="0.25">
      <c r="A5582">
        <v>6295</v>
      </c>
      <c r="B5582">
        <v>4</v>
      </c>
      <c r="C5582">
        <v>540</v>
      </c>
      <c r="D5582">
        <v>411</v>
      </c>
      <c r="E5582">
        <v>1872639</v>
      </c>
      <c r="F5582">
        <v>6653</v>
      </c>
      <c r="G5582">
        <v>0</v>
      </c>
      <c r="H5582" t="s">
        <v>10503</v>
      </c>
      <c r="I5582">
        <v>6295</v>
      </c>
      <c r="J5582" t="str">
        <f>VLOOKUP(E5582,DSSpieler!A:B,2,FALSE)</f>
        <v>X-er3000</v>
      </c>
    </row>
    <row r="5583" spans="1:10" x14ac:dyDescent="0.25">
      <c r="A5583">
        <v>6296</v>
      </c>
      <c r="B5583" t="s">
        <v>531</v>
      </c>
      <c r="C5583">
        <v>524</v>
      </c>
      <c r="D5583">
        <v>449</v>
      </c>
      <c r="E5583">
        <v>0</v>
      </c>
      <c r="F5583">
        <v>515</v>
      </c>
      <c r="G5583">
        <v>0</v>
      </c>
      <c r="H5583" t="s">
        <v>10504</v>
      </c>
      <c r="I5583">
        <v>6296</v>
      </c>
      <c r="J5583" t="e">
        <f>VLOOKUP(E5583,DSSpieler!A:B,2,FALSE)</f>
        <v>#N/A</v>
      </c>
    </row>
    <row r="5584" spans="1:10" x14ac:dyDescent="0.25">
      <c r="A5584">
        <v>6297</v>
      </c>
      <c r="B5584" t="s">
        <v>1506</v>
      </c>
      <c r="C5584">
        <v>483</v>
      </c>
      <c r="D5584">
        <v>573</v>
      </c>
      <c r="E5584">
        <v>1575903481</v>
      </c>
      <c r="F5584">
        <v>7012</v>
      </c>
      <c r="G5584">
        <v>0</v>
      </c>
      <c r="H5584" t="s">
        <v>10505</v>
      </c>
      <c r="I5584">
        <v>6297</v>
      </c>
      <c r="J5584" t="str">
        <f>VLOOKUP(E5584,DSSpieler!A:B,2,FALSE)</f>
        <v>Cyriten</v>
      </c>
    </row>
    <row r="5585" spans="1:10" x14ac:dyDescent="0.25">
      <c r="A5585">
        <v>6298</v>
      </c>
      <c r="B5585" t="s">
        <v>1507</v>
      </c>
      <c r="C5585">
        <v>481</v>
      </c>
      <c r="D5585">
        <v>472</v>
      </c>
      <c r="E5585">
        <v>1577183749</v>
      </c>
      <c r="F5585">
        <v>4108</v>
      </c>
      <c r="G5585">
        <v>0</v>
      </c>
      <c r="H5585" t="s">
        <v>10506</v>
      </c>
      <c r="I5585">
        <v>6298</v>
      </c>
      <c r="J5585" t="str">
        <f>VLOOKUP(E5585,DSSpieler!A:B,2,FALSE)</f>
        <v>OnkelHip</v>
      </c>
    </row>
    <row r="5586" spans="1:10" x14ac:dyDescent="0.25">
      <c r="A5586">
        <v>6299</v>
      </c>
      <c r="B5586" t="s">
        <v>1508</v>
      </c>
      <c r="C5586">
        <v>491</v>
      </c>
      <c r="D5586">
        <v>487</v>
      </c>
      <c r="E5586">
        <v>1577197045</v>
      </c>
      <c r="F5586">
        <v>4738</v>
      </c>
      <c r="G5586">
        <v>0</v>
      </c>
      <c r="H5586" t="s">
        <v>10507</v>
      </c>
      <c r="I5586">
        <v>6299</v>
      </c>
      <c r="J5586" t="str">
        <f>VLOOKUP(E5586,DSSpieler!A:B,2,FALSE)</f>
        <v>Horst2000</v>
      </c>
    </row>
    <row r="5587" spans="1:10" x14ac:dyDescent="0.25">
      <c r="A5587">
        <v>6300</v>
      </c>
      <c r="B5587" t="s">
        <v>1509</v>
      </c>
      <c r="C5587">
        <v>433</v>
      </c>
      <c r="D5587">
        <v>492</v>
      </c>
      <c r="E5587">
        <v>1577196386</v>
      </c>
      <c r="F5587">
        <v>2946</v>
      </c>
      <c r="G5587">
        <v>0</v>
      </c>
      <c r="H5587" t="s">
        <v>10508</v>
      </c>
      <c r="I5587">
        <v>6300</v>
      </c>
      <c r="J5587" t="str">
        <f>VLOOKUP(E5587,DSSpieler!A:B,2,FALSE)</f>
        <v>UntoldKing</v>
      </c>
    </row>
    <row r="5588" spans="1:10" x14ac:dyDescent="0.25">
      <c r="A5588">
        <v>6301</v>
      </c>
      <c r="B5588" t="s">
        <v>32776</v>
      </c>
      <c r="C5588">
        <v>463</v>
      </c>
      <c r="D5588">
        <v>454</v>
      </c>
      <c r="E5588">
        <v>8689006</v>
      </c>
      <c r="F5588">
        <v>5634</v>
      </c>
      <c r="G5588">
        <v>0</v>
      </c>
      <c r="H5588" t="s">
        <v>10509</v>
      </c>
      <c r="I5588">
        <v>6301</v>
      </c>
      <c r="J5588" t="str">
        <f>VLOOKUP(E5588,DSSpieler!A:B,2,FALSE)</f>
        <v>Pecksbyr</v>
      </c>
    </row>
    <row r="5589" spans="1:10" x14ac:dyDescent="0.25">
      <c r="A5589">
        <v>6302</v>
      </c>
      <c r="B5589" t="s">
        <v>150</v>
      </c>
      <c r="C5589">
        <v>497</v>
      </c>
      <c r="D5589">
        <v>430</v>
      </c>
      <c r="E5589">
        <v>1577186534</v>
      </c>
      <c r="F5589">
        <v>5904</v>
      </c>
      <c r="G5589">
        <v>0</v>
      </c>
      <c r="H5589" t="s">
        <v>10510</v>
      </c>
      <c r="I5589">
        <v>6302</v>
      </c>
      <c r="J5589" t="str">
        <f>VLOOKUP(E5589,DSSpieler!A:B,2,FALSE)</f>
        <v>Sir üöä</v>
      </c>
    </row>
    <row r="5590" spans="1:10" x14ac:dyDescent="0.25">
      <c r="A5590">
        <v>6303</v>
      </c>
      <c r="B5590" t="s">
        <v>32777</v>
      </c>
      <c r="C5590">
        <v>565</v>
      </c>
      <c r="D5590">
        <v>422</v>
      </c>
      <c r="E5590">
        <v>1575990065</v>
      </c>
      <c r="F5590">
        <v>5531</v>
      </c>
      <c r="G5590">
        <v>0</v>
      </c>
      <c r="H5590" t="s">
        <v>10511</v>
      </c>
      <c r="I5590">
        <v>6303</v>
      </c>
      <c r="J5590" t="str">
        <f>VLOOKUP(E5590,DSSpieler!A:B,2,FALSE)</f>
        <v>King Dom</v>
      </c>
    </row>
    <row r="5591" spans="1:10" x14ac:dyDescent="0.25">
      <c r="A5591">
        <v>6305</v>
      </c>
      <c r="B5591" t="s">
        <v>531</v>
      </c>
      <c r="C5591">
        <v>534</v>
      </c>
      <c r="D5591">
        <v>462</v>
      </c>
      <c r="E5591">
        <v>0</v>
      </c>
      <c r="F5591">
        <v>326</v>
      </c>
      <c r="G5591">
        <v>0</v>
      </c>
      <c r="H5591" t="s">
        <v>10512</v>
      </c>
      <c r="I5591">
        <v>6305</v>
      </c>
      <c r="J5591" t="e">
        <f>VLOOKUP(E5591,DSSpieler!A:B,2,FALSE)</f>
        <v>#N/A</v>
      </c>
    </row>
    <row r="5592" spans="1:10" x14ac:dyDescent="0.25">
      <c r="A5592">
        <v>6306</v>
      </c>
      <c r="B5592" t="s">
        <v>1510</v>
      </c>
      <c r="C5592">
        <v>555</v>
      </c>
      <c r="D5592">
        <v>452</v>
      </c>
      <c r="E5592">
        <v>1577088158</v>
      </c>
      <c r="F5592">
        <v>713</v>
      </c>
      <c r="G5592">
        <v>0</v>
      </c>
      <c r="H5592" t="s">
        <v>10513</v>
      </c>
      <c r="I5592">
        <v>6306</v>
      </c>
      <c r="J5592" t="str">
        <f>VLOOKUP(E5592,DSSpieler!A:B,2,FALSE)</f>
        <v>schoefer93S</v>
      </c>
    </row>
    <row r="5593" spans="1:10" x14ac:dyDescent="0.25">
      <c r="A5593">
        <v>6307</v>
      </c>
      <c r="B5593">
        <v>1</v>
      </c>
      <c r="C5593">
        <v>426</v>
      </c>
      <c r="D5593">
        <v>537</v>
      </c>
      <c r="E5593">
        <v>1576517505</v>
      </c>
      <c r="F5593">
        <v>5232</v>
      </c>
      <c r="G5593">
        <v>0</v>
      </c>
      <c r="H5593" t="s">
        <v>10514</v>
      </c>
      <c r="I5593">
        <v>6307</v>
      </c>
      <c r="J5593" t="str">
        <f>VLOOKUP(E5593,DSSpieler!A:B,2,FALSE)</f>
        <v>.g0dlike</v>
      </c>
    </row>
    <row r="5594" spans="1:10" x14ac:dyDescent="0.25">
      <c r="A5594">
        <v>6308</v>
      </c>
      <c r="B5594" t="s">
        <v>1511</v>
      </c>
      <c r="C5594">
        <v>428</v>
      </c>
      <c r="D5594">
        <v>532</v>
      </c>
      <c r="E5594">
        <v>1577186435</v>
      </c>
      <c r="F5594">
        <v>6329</v>
      </c>
      <c r="G5594">
        <v>0</v>
      </c>
      <c r="H5594" t="s">
        <v>10515</v>
      </c>
      <c r="I5594">
        <v>6308</v>
      </c>
      <c r="J5594" t="str">
        <f>VLOOKUP(E5594,DSSpieler!A:B,2,FALSE)</f>
        <v>Gatzlord</v>
      </c>
    </row>
    <row r="5595" spans="1:10" x14ac:dyDescent="0.25">
      <c r="A5595">
        <v>6309</v>
      </c>
      <c r="B5595" t="s">
        <v>32778</v>
      </c>
      <c r="C5595">
        <v>580</v>
      </c>
      <c r="D5595">
        <v>500</v>
      </c>
      <c r="E5595">
        <v>1577203648</v>
      </c>
      <c r="F5595">
        <v>3199</v>
      </c>
      <c r="G5595">
        <v>0</v>
      </c>
      <c r="H5595" t="s">
        <v>10516</v>
      </c>
      <c r="I5595">
        <v>6309</v>
      </c>
      <c r="J5595" t="str">
        <f>VLOOKUP(E5595,DSSpieler!A:B,2,FALSE)</f>
        <v>MyphisTheKing</v>
      </c>
    </row>
    <row r="5596" spans="1:10" x14ac:dyDescent="0.25">
      <c r="A5596">
        <v>6310</v>
      </c>
      <c r="B5596">
        <v>1</v>
      </c>
      <c r="C5596">
        <v>444</v>
      </c>
      <c r="D5596">
        <v>463</v>
      </c>
      <c r="E5596">
        <v>1576977598</v>
      </c>
      <c r="F5596">
        <v>7522</v>
      </c>
      <c r="G5596">
        <v>0</v>
      </c>
      <c r="H5596" t="s">
        <v>10517</v>
      </c>
      <c r="I5596">
        <v>6310</v>
      </c>
      <c r="J5596" t="str">
        <f>VLOOKUP(E5596,DSSpieler!A:B,2,FALSE)</f>
        <v>locy1900</v>
      </c>
    </row>
    <row r="5597" spans="1:10" x14ac:dyDescent="0.25">
      <c r="A5597">
        <v>6313</v>
      </c>
      <c r="B5597" t="s">
        <v>531</v>
      </c>
      <c r="C5597">
        <v>453</v>
      </c>
      <c r="D5597">
        <v>561</v>
      </c>
      <c r="E5597">
        <v>0</v>
      </c>
      <c r="F5597">
        <v>379</v>
      </c>
      <c r="G5597">
        <v>0</v>
      </c>
      <c r="H5597" t="s">
        <v>10518</v>
      </c>
      <c r="I5597">
        <v>6313</v>
      </c>
      <c r="J5597" t="e">
        <f>VLOOKUP(E5597,DSSpieler!A:B,2,FALSE)</f>
        <v>#N/A</v>
      </c>
    </row>
    <row r="5598" spans="1:10" x14ac:dyDescent="0.25">
      <c r="A5598">
        <v>6314</v>
      </c>
      <c r="B5598" t="s">
        <v>31511</v>
      </c>
      <c r="C5598">
        <v>517</v>
      </c>
      <c r="D5598">
        <v>432</v>
      </c>
      <c r="E5598">
        <v>1577177125</v>
      </c>
      <c r="F5598">
        <v>8415</v>
      </c>
      <c r="G5598">
        <v>0</v>
      </c>
      <c r="H5598" t="s">
        <v>10519</v>
      </c>
      <c r="I5598">
        <v>6314</v>
      </c>
      <c r="J5598" t="str">
        <f>VLOOKUP(E5598,DSSpieler!A:B,2,FALSE)</f>
        <v>DeffBot</v>
      </c>
    </row>
    <row r="5599" spans="1:10" x14ac:dyDescent="0.25">
      <c r="A5599">
        <v>6315</v>
      </c>
      <c r="B5599" t="s">
        <v>32779</v>
      </c>
      <c r="C5599">
        <v>435</v>
      </c>
      <c r="D5599">
        <v>454</v>
      </c>
      <c r="E5599">
        <v>8459448</v>
      </c>
      <c r="F5599">
        <v>4491</v>
      </c>
      <c r="G5599">
        <v>0</v>
      </c>
      <c r="H5599" t="s">
        <v>10520</v>
      </c>
      <c r="I5599">
        <v>6315</v>
      </c>
      <c r="J5599" t="str">
        <f>VLOOKUP(E5599,DSSpieler!A:B,2,FALSE)</f>
        <v>DarkDarco</v>
      </c>
    </row>
    <row r="5600" spans="1:10" x14ac:dyDescent="0.25">
      <c r="A5600">
        <v>6316</v>
      </c>
      <c r="B5600">
        <v>3</v>
      </c>
      <c r="C5600">
        <v>512</v>
      </c>
      <c r="D5600">
        <v>568</v>
      </c>
      <c r="E5600">
        <v>9295043</v>
      </c>
      <c r="F5600">
        <v>3583</v>
      </c>
      <c r="G5600">
        <v>0</v>
      </c>
      <c r="H5600" t="s">
        <v>10521</v>
      </c>
      <c r="I5600">
        <v>6316</v>
      </c>
      <c r="J5600" t="str">
        <f>VLOOKUP(E5600,DSSpieler!A:B,2,FALSE)</f>
        <v>Kati **</v>
      </c>
    </row>
    <row r="5601" spans="1:10" x14ac:dyDescent="0.25">
      <c r="A5601">
        <v>6317</v>
      </c>
      <c r="B5601" t="s">
        <v>32780</v>
      </c>
      <c r="C5601">
        <v>526</v>
      </c>
      <c r="D5601">
        <v>543</v>
      </c>
      <c r="E5601">
        <v>1577160294</v>
      </c>
      <c r="F5601">
        <v>472</v>
      </c>
      <c r="G5601">
        <v>0</v>
      </c>
      <c r="H5601" t="s">
        <v>10522</v>
      </c>
      <c r="I5601">
        <v>6317</v>
      </c>
      <c r="J5601" t="str">
        <f>VLOOKUP(E5601,DSSpieler!A:B,2,FALSE)</f>
        <v>Navarro</v>
      </c>
    </row>
    <row r="5602" spans="1:10" x14ac:dyDescent="0.25">
      <c r="A5602">
        <v>6318</v>
      </c>
      <c r="B5602" t="s">
        <v>780</v>
      </c>
      <c r="C5602">
        <v>563</v>
      </c>
      <c r="D5602">
        <v>565</v>
      </c>
      <c r="E5602">
        <v>1577197971</v>
      </c>
      <c r="F5602">
        <v>5425</v>
      </c>
      <c r="G5602">
        <v>0</v>
      </c>
      <c r="H5602" t="s">
        <v>10523</v>
      </c>
      <c r="I5602">
        <v>6318</v>
      </c>
      <c r="J5602" t="str">
        <f>VLOOKUP(E5602,DSSpieler!A:B,2,FALSE)</f>
        <v>-I34SH-</v>
      </c>
    </row>
    <row r="5603" spans="1:10" x14ac:dyDescent="0.25">
      <c r="A5603">
        <v>6319</v>
      </c>
      <c r="B5603" t="s">
        <v>32781</v>
      </c>
      <c r="C5603">
        <v>435</v>
      </c>
      <c r="D5603">
        <v>534</v>
      </c>
      <c r="E5603">
        <v>1577138710</v>
      </c>
      <c r="F5603">
        <v>6263</v>
      </c>
      <c r="G5603">
        <v>0</v>
      </c>
      <c r="H5603" t="s">
        <v>10524</v>
      </c>
      <c r="I5603">
        <v>6319</v>
      </c>
      <c r="J5603" t="str">
        <f>VLOOKUP(E5603,DSSpieler!A:B,2,FALSE)</f>
        <v>Archibow</v>
      </c>
    </row>
    <row r="5604" spans="1:10" x14ac:dyDescent="0.25">
      <c r="A5604">
        <v>6320</v>
      </c>
      <c r="B5604" t="s">
        <v>531</v>
      </c>
      <c r="C5604">
        <v>469</v>
      </c>
      <c r="D5604">
        <v>427</v>
      </c>
      <c r="E5604">
        <v>0</v>
      </c>
      <c r="F5604">
        <v>339</v>
      </c>
      <c r="G5604">
        <v>0</v>
      </c>
      <c r="H5604" t="s">
        <v>10525</v>
      </c>
      <c r="I5604">
        <v>6320</v>
      </c>
      <c r="J5604" t="e">
        <f>VLOOKUP(E5604,DSSpieler!A:B,2,FALSE)</f>
        <v>#N/A</v>
      </c>
    </row>
    <row r="5605" spans="1:10" x14ac:dyDescent="0.25">
      <c r="A5605">
        <v>6321</v>
      </c>
      <c r="B5605">
        <v>1</v>
      </c>
      <c r="C5605">
        <v>602</v>
      </c>
      <c r="D5605">
        <v>449</v>
      </c>
      <c r="E5605">
        <v>10196539</v>
      </c>
      <c r="F5605">
        <v>4801</v>
      </c>
      <c r="G5605">
        <v>0</v>
      </c>
      <c r="H5605" t="s">
        <v>10526</v>
      </c>
      <c r="I5605">
        <v>6321</v>
      </c>
      <c r="J5605" t="str">
        <f>VLOOKUP(E5605,DSSpieler!A:B,2,FALSE)</f>
        <v>leaguezok</v>
      </c>
    </row>
    <row r="5606" spans="1:10" x14ac:dyDescent="0.25">
      <c r="A5606">
        <v>6322</v>
      </c>
      <c r="B5606" t="s">
        <v>1512</v>
      </c>
      <c r="C5606">
        <v>494</v>
      </c>
      <c r="D5606">
        <v>474</v>
      </c>
      <c r="E5606">
        <v>1577176436</v>
      </c>
      <c r="F5606">
        <v>2330</v>
      </c>
      <c r="G5606">
        <v>0</v>
      </c>
      <c r="H5606" t="s">
        <v>10527</v>
      </c>
      <c r="I5606">
        <v>6322</v>
      </c>
      <c r="J5606" t="str">
        <f>VLOOKUP(E5606,DSSpieler!A:B,2,FALSE)</f>
        <v>monadieschöne</v>
      </c>
    </row>
    <row r="5607" spans="1:10" x14ac:dyDescent="0.25">
      <c r="A5607">
        <v>6323</v>
      </c>
      <c r="B5607" t="s">
        <v>32782</v>
      </c>
      <c r="C5607">
        <v>495</v>
      </c>
      <c r="D5607">
        <v>445</v>
      </c>
      <c r="E5607">
        <v>1577197704</v>
      </c>
      <c r="F5607">
        <v>2093</v>
      </c>
      <c r="G5607">
        <v>0</v>
      </c>
      <c r="H5607" t="s">
        <v>10528</v>
      </c>
      <c r="I5607">
        <v>6323</v>
      </c>
      <c r="J5607" t="str">
        <f>VLOOKUP(E5607,DSSpieler!A:B,2,FALSE)</f>
        <v>Klaus Uhr</v>
      </c>
    </row>
    <row r="5608" spans="1:10" x14ac:dyDescent="0.25">
      <c r="A5608">
        <v>6324</v>
      </c>
      <c r="B5608" t="s">
        <v>32783</v>
      </c>
      <c r="C5608">
        <v>446</v>
      </c>
      <c r="D5608">
        <v>412</v>
      </c>
      <c r="E5608">
        <v>1577053358</v>
      </c>
      <c r="F5608">
        <v>5867</v>
      </c>
      <c r="G5608">
        <v>0</v>
      </c>
      <c r="H5608" t="s">
        <v>10529</v>
      </c>
      <c r="I5608">
        <v>6324</v>
      </c>
      <c r="J5608" t="str">
        <f>VLOOKUP(E5608,DSSpieler!A:B,2,FALSE)</f>
        <v>Catenaccio</v>
      </c>
    </row>
    <row r="5609" spans="1:10" x14ac:dyDescent="0.25">
      <c r="A5609">
        <v>6326</v>
      </c>
      <c r="B5609" t="s">
        <v>531</v>
      </c>
      <c r="C5609">
        <v>453</v>
      </c>
      <c r="D5609">
        <v>533</v>
      </c>
      <c r="E5609">
        <v>0</v>
      </c>
      <c r="F5609">
        <v>175</v>
      </c>
      <c r="G5609">
        <v>0</v>
      </c>
      <c r="H5609" t="s">
        <v>10530</v>
      </c>
      <c r="I5609">
        <v>6326</v>
      </c>
      <c r="J5609" t="e">
        <f>VLOOKUP(E5609,DSSpieler!A:B,2,FALSE)</f>
        <v>#N/A</v>
      </c>
    </row>
    <row r="5610" spans="1:10" x14ac:dyDescent="0.25">
      <c r="A5610">
        <v>6327</v>
      </c>
      <c r="B5610" t="s">
        <v>1513</v>
      </c>
      <c r="C5610">
        <v>497</v>
      </c>
      <c r="D5610">
        <v>481</v>
      </c>
      <c r="E5610">
        <v>1577186788</v>
      </c>
      <c r="F5610">
        <v>7987</v>
      </c>
      <c r="G5610">
        <v>0</v>
      </c>
      <c r="H5610" t="s">
        <v>10531</v>
      </c>
      <c r="I5610">
        <v>6327</v>
      </c>
      <c r="J5610" t="str">
        <f>VLOOKUP(E5610,DSSpieler!A:B,2,FALSE)</f>
        <v>HerbyKill</v>
      </c>
    </row>
    <row r="5611" spans="1:10" x14ac:dyDescent="0.25">
      <c r="A5611">
        <v>6328</v>
      </c>
      <c r="B5611" t="s">
        <v>32784</v>
      </c>
      <c r="C5611">
        <v>445</v>
      </c>
      <c r="D5611">
        <v>425</v>
      </c>
      <c r="E5611">
        <v>1577181823</v>
      </c>
      <c r="F5611">
        <v>5766</v>
      </c>
      <c r="G5611">
        <v>0</v>
      </c>
      <c r="H5611" t="s">
        <v>10532</v>
      </c>
      <c r="I5611">
        <v>6328</v>
      </c>
      <c r="J5611" t="str">
        <f>VLOOKUP(E5611,DSSpieler!A:B,2,FALSE)</f>
        <v>Robin217</v>
      </c>
    </row>
    <row r="5612" spans="1:10" x14ac:dyDescent="0.25">
      <c r="A5612">
        <v>6329</v>
      </c>
      <c r="B5612" t="s">
        <v>32785</v>
      </c>
      <c r="C5612">
        <v>490</v>
      </c>
      <c r="D5612">
        <v>441</v>
      </c>
      <c r="E5612">
        <v>8499266</v>
      </c>
      <c r="F5612">
        <v>3404</v>
      </c>
      <c r="G5612">
        <v>0</v>
      </c>
      <c r="H5612" t="s">
        <v>10533</v>
      </c>
      <c r="I5612">
        <v>6329</v>
      </c>
      <c r="J5612" t="str">
        <f>VLOOKUP(E5612,DSSpieler!A:B,2,FALSE)</f>
        <v>Lordmatze33</v>
      </c>
    </row>
    <row r="5613" spans="1:10" x14ac:dyDescent="0.25">
      <c r="A5613">
        <v>6331</v>
      </c>
      <c r="B5613" t="s">
        <v>531</v>
      </c>
      <c r="C5613">
        <v>558</v>
      </c>
      <c r="D5613">
        <v>571</v>
      </c>
      <c r="E5613">
        <v>0</v>
      </c>
      <c r="F5613">
        <v>877</v>
      </c>
      <c r="G5613">
        <v>0</v>
      </c>
      <c r="H5613" t="s">
        <v>10534</v>
      </c>
      <c r="I5613">
        <v>6331</v>
      </c>
      <c r="J5613" t="e">
        <f>VLOOKUP(E5613,DSSpieler!A:B,2,FALSE)</f>
        <v>#N/A</v>
      </c>
    </row>
    <row r="5614" spans="1:10" x14ac:dyDescent="0.25">
      <c r="A5614">
        <v>6332</v>
      </c>
      <c r="B5614" t="s">
        <v>1514</v>
      </c>
      <c r="C5614">
        <v>490</v>
      </c>
      <c r="D5614">
        <v>480</v>
      </c>
      <c r="E5614">
        <v>1577183297</v>
      </c>
      <c r="F5614">
        <v>3462</v>
      </c>
      <c r="G5614">
        <v>0</v>
      </c>
      <c r="H5614" t="s">
        <v>10535</v>
      </c>
      <c r="I5614">
        <v>6332</v>
      </c>
      <c r="J5614" t="str">
        <f>VLOOKUP(E5614,DSSpieler!A:B,2,FALSE)</f>
        <v>Tandox</v>
      </c>
    </row>
    <row r="5615" spans="1:10" x14ac:dyDescent="0.25">
      <c r="A5615">
        <v>6333</v>
      </c>
      <c r="B5615" t="s">
        <v>531</v>
      </c>
      <c r="C5615">
        <v>557</v>
      </c>
      <c r="D5615">
        <v>509</v>
      </c>
      <c r="E5615">
        <v>0</v>
      </c>
      <c r="F5615">
        <v>228</v>
      </c>
      <c r="G5615">
        <v>0</v>
      </c>
      <c r="H5615" t="s">
        <v>10536</v>
      </c>
      <c r="I5615">
        <v>6333</v>
      </c>
      <c r="J5615" t="e">
        <f>VLOOKUP(E5615,DSSpieler!A:B,2,FALSE)</f>
        <v>#N/A</v>
      </c>
    </row>
    <row r="5616" spans="1:10" x14ac:dyDescent="0.25">
      <c r="A5616">
        <v>6334</v>
      </c>
      <c r="B5616" t="s">
        <v>32786</v>
      </c>
      <c r="C5616">
        <v>495</v>
      </c>
      <c r="D5616">
        <v>421</v>
      </c>
      <c r="E5616">
        <v>1577186342</v>
      </c>
      <c r="F5616">
        <v>6606</v>
      </c>
      <c r="G5616">
        <v>0</v>
      </c>
      <c r="H5616" t="s">
        <v>10537</v>
      </c>
      <c r="I5616">
        <v>6334</v>
      </c>
      <c r="J5616" t="str">
        <f>VLOOKUP(E5616,DSSpieler!A:B,2,FALSE)</f>
        <v>ichundmeinvolk</v>
      </c>
    </row>
    <row r="5617" spans="1:10" x14ac:dyDescent="0.25">
      <c r="A5617">
        <v>6335</v>
      </c>
      <c r="B5617" t="s">
        <v>531</v>
      </c>
      <c r="C5617">
        <v>440</v>
      </c>
      <c r="D5617">
        <v>450</v>
      </c>
      <c r="E5617">
        <v>0</v>
      </c>
      <c r="F5617">
        <v>420</v>
      </c>
      <c r="G5617">
        <v>0</v>
      </c>
      <c r="H5617" t="s">
        <v>10538</v>
      </c>
      <c r="I5617">
        <v>6335</v>
      </c>
      <c r="J5617" t="e">
        <f>VLOOKUP(E5617,DSSpieler!A:B,2,FALSE)</f>
        <v>#N/A</v>
      </c>
    </row>
    <row r="5618" spans="1:10" x14ac:dyDescent="0.25">
      <c r="A5618">
        <v>6336</v>
      </c>
      <c r="B5618" t="s">
        <v>1321</v>
      </c>
      <c r="C5618">
        <v>428</v>
      </c>
      <c r="D5618">
        <v>474</v>
      </c>
      <c r="E5618">
        <v>1576844674</v>
      </c>
      <c r="F5618">
        <v>5804</v>
      </c>
      <c r="G5618">
        <v>0</v>
      </c>
      <c r="H5618" t="s">
        <v>10539</v>
      </c>
      <c r="I5618">
        <v>6336</v>
      </c>
      <c r="J5618" t="str">
        <f>VLOOKUP(E5618,DSSpieler!A:B,2,FALSE)</f>
        <v>Schnitzel88</v>
      </c>
    </row>
    <row r="5619" spans="1:10" x14ac:dyDescent="0.25">
      <c r="A5619">
        <v>6337</v>
      </c>
      <c r="B5619" t="s">
        <v>531</v>
      </c>
      <c r="C5619">
        <v>496</v>
      </c>
      <c r="D5619">
        <v>568</v>
      </c>
      <c r="E5619">
        <v>0</v>
      </c>
      <c r="F5619">
        <v>620</v>
      </c>
      <c r="G5619">
        <v>0</v>
      </c>
      <c r="H5619" t="s">
        <v>10540</v>
      </c>
      <c r="I5619">
        <v>6337</v>
      </c>
      <c r="J5619" t="e">
        <f>VLOOKUP(E5619,DSSpieler!A:B,2,FALSE)</f>
        <v>#N/A</v>
      </c>
    </row>
    <row r="5620" spans="1:10" x14ac:dyDescent="0.25">
      <c r="A5620">
        <v>6339</v>
      </c>
      <c r="B5620" t="s">
        <v>1515</v>
      </c>
      <c r="C5620">
        <v>496</v>
      </c>
      <c r="D5620">
        <v>418</v>
      </c>
      <c r="E5620">
        <v>1577197977</v>
      </c>
      <c r="F5620">
        <v>6042</v>
      </c>
      <c r="G5620">
        <v>0</v>
      </c>
      <c r="H5620" t="s">
        <v>10541</v>
      </c>
      <c r="I5620">
        <v>6339</v>
      </c>
      <c r="J5620" t="str">
        <f>VLOOKUP(E5620,DSSpieler!A:B,2,FALSE)</f>
        <v>Lord Nicken 1</v>
      </c>
    </row>
    <row r="5621" spans="1:10" x14ac:dyDescent="0.25">
      <c r="A5621">
        <v>6340</v>
      </c>
      <c r="B5621" t="s">
        <v>32787</v>
      </c>
      <c r="C5621">
        <v>450</v>
      </c>
      <c r="D5621">
        <v>536</v>
      </c>
      <c r="E5621">
        <v>1576913108</v>
      </c>
      <c r="F5621">
        <v>6432</v>
      </c>
      <c r="G5621">
        <v>0</v>
      </c>
      <c r="H5621" t="s">
        <v>10542</v>
      </c>
      <c r="I5621">
        <v>6340</v>
      </c>
      <c r="J5621" t="str">
        <f>VLOOKUP(E5621,DSSpieler!A:B,2,FALSE)</f>
        <v>bake</v>
      </c>
    </row>
    <row r="5622" spans="1:10" x14ac:dyDescent="0.25">
      <c r="A5622">
        <v>6342</v>
      </c>
      <c r="B5622" t="s">
        <v>531</v>
      </c>
      <c r="C5622">
        <v>521</v>
      </c>
      <c r="D5622">
        <v>498</v>
      </c>
      <c r="E5622">
        <v>0</v>
      </c>
      <c r="F5622">
        <v>501</v>
      </c>
      <c r="G5622">
        <v>0</v>
      </c>
      <c r="H5622" t="s">
        <v>299</v>
      </c>
      <c r="I5622">
        <v>6342</v>
      </c>
      <c r="J5622" t="e">
        <f>VLOOKUP(E5622,DSSpieler!A:B,2,FALSE)</f>
        <v>#N/A</v>
      </c>
    </row>
    <row r="5623" spans="1:10" x14ac:dyDescent="0.25">
      <c r="A5623">
        <v>6343</v>
      </c>
      <c r="B5623" t="s">
        <v>983</v>
      </c>
      <c r="C5623">
        <v>421</v>
      </c>
      <c r="D5623">
        <v>475</v>
      </c>
      <c r="E5623">
        <v>9432353</v>
      </c>
      <c r="F5623">
        <v>5011</v>
      </c>
      <c r="G5623">
        <v>0</v>
      </c>
      <c r="H5623" t="s">
        <v>10543</v>
      </c>
      <c r="I5623">
        <v>6343</v>
      </c>
      <c r="J5623" t="str">
        <f>VLOOKUP(E5623,DSSpieler!A:B,2,FALSE)</f>
        <v>nOiiSe</v>
      </c>
    </row>
    <row r="5624" spans="1:10" x14ac:dyDescent="0.25">
      <c r="A5624">
        <v>6344</v>
      </c>
      <c r="B5624" t="s">
        <v>531</v>
      </c>
      <c r="C5624">
        <v>445</v>
      </c>
      <c r="D5624">
        <v>519</v>
      </c>
      <c r="E5624">
        <v>0</v>
      </c>
      <c r="F5624">
        <v>296</v>
      </c>
      <c r="G5624">
        <v>0</v>
      </c>
      <c r="H5624" t="s">
        <v>10544</v>
      </c>
      <c r="I5624">
        <v>6344</v>
      </c>
      <c r="J5624" t="e">
        <f>VLOOKUP(E5624,DSSpieler!A:B,2,FALSE)</f>
        <v>#N/A</v>
      </c>
    </row>
    <row r="5625" spans="1:10" x14ac:dyDescent="0.25">
      <c r="A5625">
        <v>6345</v>
      </c>
      <c r="B5625" t="s">
        <v>1516</v>
      </c>
      <c r="C5625">
        <v>571</v>
      </c>
      <c r="D5625">
        <v>471</v>
      </c>
      <c r="E5625">
        <v>1577191257</v>
      </c>
      <c r="F5625">
        <v>1389</v>
      </c>
      <c r="G5625">
        <v>0</v>
      </c>
      <c r="H5625" t="s">
        <v>10545</v>
      </c>
      <c r="I5625">
        <v>6345</v>
      </c>
      <c r="J5625" t="str">
        <f>VLOOKUP(E5625,DSSpieler!A:B,2,FALSE)</f>
        <v>Ostsee-Dude</v>
      </c>
    </row>
    <row r="5626" spans="1:10" x14ac:dyDescent="0.25">
      <c r="A5626">
        <v>6347</v>
      </c>
      <c r="B5626">
        <v>3</v>
      </c>
      <c r="C5626">
        <v>464</v>
      </c>
      <c r="D5626">
        <v>559</v>
      </c>
      <c r="E5626">
        <v>7943883</v>
      </c>
      <c r="F5626">
        <v>2360</v>
      </c>
      <c r="G5626">
        <v>0</v>
      </c>
      <c r="H5626" t="s">
        <v>10546</v>
      </c>
      <c r="I5626">
        <v>6347</v>
      </c>
      <c r="J5626" t="str">
        <f>VLOOKUP(E5626,DSSpieler!A:B,2,FALSE)</f>
        <v>baua sucht frau</v>
      </c>
    </row>
    <row r="5627" spans="1:10" x14ac:dyDescent="0.25">
      <c r="A5627">
        <v>6348</v>
      </c>
      <c r="B5627" t="s">
        <v>546</v>
      </c>
      <c r="C5627">
        <v>508</v>
      </c>
      <c r="D5627">
        <v>456</v>
      </c>
      <c r="E5627">
        <v>1576881890</v>
      </c>
      <c r="F5627">
        <v>7233</v>
      </c>
      <c r="G5627">
        <v>0</v>
      </c>
      <c r="H5627" t="s">
        <v>10547</v>
      </c>
      <c r="I5627">
        <v>6348</v>
      </c>
      <c r="J5627" t="str">
        <f>VLOOKUP(E5627,DSSpieler!A:B,2,FALSE)</f>
        <v>Pigles</v>
      </c>
    </row>
    <row r="5628" spans="1:10" x14ac:dyDescent="0.25">
      <c r="A5628">
        <v>6350</v>
      </c>
      <c r="B5628" t="s">
        <v>531</v>
      </c>
      <c r="C5628">
        <v>529</v>
      </c>
      <c r="D5628">
        <v>524</v>
      </c>
      <c r="E5628">
        <v>0</v>
      </c>
      <c r="F5628">
        <v>436</v>
      </c>
      <c r="G5628">
        <v>0</v>
      </c>
      <c r="H5628" t="s">
        <v>10548</v>
      </c>
      <c r="I5628">
        <v>6350</v>
      </c>
      <c r="J5628" t="e">
        <f>VLOOKUP(E5628,DSSpieler!A:B,2,FALSE)</f>
        <v>#N/A</v>
      </c>
    </row>
    <row r="5629" spans="1:10" x14ac:dyDescent="0.25">
      <c r="A5629">
        <v>6351</v>
      </c>
      <c r="B5629" t="s">
        <v>531</v>
      </c>
      <c r="C5629">
        <v>586</v>
      </c>
      <c r="D5629">
        <v>562</v>
      </c>
      <c r="E5629">
        <v>0</v>
      </c>
      <c r="F5629">
        <v>721</v>
      </c>
      <c r="G5629">
        <v>0</v>
      </c>
      <c r="H5629" t="s">
        <v>10549</v>
      </c>
      <c r="I5629">
        <v>6351</v>
      </c>
      <c r="J5629" t="e">
        <f>VLOOKUP(E5629,DSSpieler!A:B,2,FALSE)</f>
        <v>#N/A</v>
      </c>
    </row>
    <row r="5630" spans="1:10" x14ac:dyDescent="0.25">
      <c r="A5630">
        <v>6352</v>
      </c>
      <c r="B5630" t="s">
        <v>32788</v>
      </c>
      <c r="C5630">
        <v>465</v>
      </c>
      <c r="D5630">
        <v>502</v>
      </c>
      <c r="E5630">
        <v>1577175435</v>
      </c>
      <c r="F5630">
        <v>517</v>
      </c>
      <c r="G5630">
        <v>0</v>
      </c>
      <c r="H5630" t="s">
        <v>10550</v>
      </c>
      <c r="I5630">
        <v>6352</v>
      </c>
      <c r="J5630" t="str">
        <f>VLOOKUP(E5630,DSSpieler!A:B,2,FALSE)</f>
        <v>Sleeker</v>
      </c>
    </row>
    <row r="5631" spans="1:10" x14ac:dyDescent="0.25">
      <c r="A5631">
        <v>6355</v>
      </c>
      <c r="B5631" t="s">
        <v>1517</v>
      </c>
      <c r="C5631">
        <v>490</v>
      </c>
      <c r="D5631">
        <v>450</v>
      </c>
      <c r="E5631">
        <v>1576778462</v>
      </c>
      <c r="F5631">
        <v>3751</v>
      </c>
      <c r="G5631">
        <v>0</v>
      </c>
      <c r="H5631" t="s">
        <v>10551</v>
      </c>
      <c r="I5631">
        <v>6355</v>
      </c>
      <c r="J5631" t="str">
        <f>VLOOKUP(E5631,DSSpieler!A:B,2,FALSE)</f>
        <v>PinkPumpkin</v>
      </c>
    </row>
    <row r="5632" spans="1:10" x14ac:dyDescent="0.25">
      <c r="A5632">
        <v>6356</v>
      </c>
      <c r="B5632" t="s">
        <v>531</v>
      </c>
      <c r="C5632">
        <v>450</v>
      </c>
      <c r="D5632">
        <v>539</v>
      </c>
      <c r="E5632">
        <v>0</v>
      </c>
      <c r="F5632">
        <v>330</v>
      </c>
      <c r="G5632">
        <v>0</v>
      </c>
      <c r="H5632" t="s">
        <v>10552</v>
      </c>
      <c r="I5632">
        <v>6356</v>
      </c>
      <c r="J5632" t="e">
        <f>VLOOKUP(E5632,DSSpieler!A:B,2,FALSE)</f>
        <v>#N/A</v>
      </c>
    </row>
    <row r="5633" spans="1:10" x14ac:dyDescent="0.25">
      <c r="A5633">
        <v>6357</v>
      </c>
      <c r="B5633" t="s">
        <v>531</v>
      </c>
      <c r="C5633">
        <v>502</v>
      </c>
      <c r="D5633">
        <v>529</v>
      </c>
      <c r="E5633">
        <v>0</v>
      </c>
      <c r="F5633">
        <v>211</v>
      </c>
      <c r="G5633">
        <v>0</v>
      </c>
      <c r="H5633" t="s">
        <v>10553</v>
      </c>
      <c r="I5633">
        <v>6357</v>
      </c>
      <c r="J5633" t="e">
        <f>VLOOKUP(E5633,DSSpieler!A:B,2,FALSE)</f>
        <v>#N/A</v>
      </c>
    </row>
    <row r="5634" spans="1:10" x14ac:dyDescent="0.25">
      <c r="A5634">
        <v>6358</v>
      </c>
      <c r="B5634" t="s">
        <v>531</v>
      </c>
      <c r="C5634">
        <v>485</v>
      </c>
      <c r="D5634">
        <v>531</v>
      </c>
      <c r="E5634">
        <v>0</v>
      </c>
      <c r="F5634">
        <v>377</v>
      </c>
      <c r="G5634">
        <v>0</v>
      </c>
      <c r="H5634" t="s">
        <v>10554</v>
      </c>
      <c r="I5634">
        <v>6358</v>
      </c>
      <c r="J5634" t="e">
        <f>VLOOKUP(E5634,DSSpieler!A:B,2,FALSE)</f>
        <v>#N/A</v>
      </c>
    </row>
    <row r="5635" spans="1:10" x14ac:dyDescent="0.25">
      <c r="A5635">
        <v>6360</v>
      </c>
      <c r="B5635">
        <v>3</v>
      </c>
      <c r="C5635">
        <v>447</v>
      </c>
      <c r="D5635">
        <v>500</v>
      </c>
      <c r="E5635">
        <v>9763935</v>
      </c>
      <c r="F5635">
        <v>2948</v>
      </c>
      <c r="G5635">
        <v>0</v>
      </c>
      <c r="H5635" t="s">
        <v>10555</v>
      </c>
      <c r="I5635">
        <v>6360</v>
      </c>
      <c r="J5635" t="str">
        <f>VLOOKUP(E5635,DSSpieler!A:B,2,FALSE)</f>
        <v>HiidanX</v>
      </c>
    </row>
    <row r="5636" spans="1:10" x14ac:dyDescent="0.25">
      <c r="A5636">
        <v>6361</v>
      </c>
      <c r="B5636" t="s">
        <v>32789</v>
      </c>
      <c r="C5636">
        <v>568</v>
      </c>
      <c r="D5636">
        <v>472</v>
      </c>
      <c r="E5636">
        <v>1123668</v>
      </c>
      <c r="F5636">
        <v>3372</v>
      </c>
      <c r="G5636">
        <v>0</v>
      </c>
      <c r="H5636" t="s">
        <v>10556</v>
      </c>
      <c r="I5636">
        <v>6361</v>
      </c>
      <c r="J5636" t="str">
        <f>VLOOKUP(E5636,DSSpieler!A:B,2,FALSE)</f>
        <v>0815kh</v>
      </c>
    </row>
    <row r="5637" spans="1:10" x14ac:dyDescent="0.25">
      <c r="A5637">
        <v>6362</v>
      </c>
      <c r="B5637" t="s">
        <v>1518</v>
      </c>
      <c r="C5637">
        <v>524</v>
      </c>
      <c r="D5637">
        <v>560</v>
      </c>
      <c r="E5637">
        <v>1577191393</v>
      </c>
      <c r="F5637">
        <v>5364</v>
      </c>
      <c r="G5637">
        <v>0</v>
      </c>
      <c r="H5637" t="s">
        <v>10557</v>
      </c>
      <c r="I5637">
        <v>6362</v>
      </c>
      <c r="J5637" t="str">
        <f>VLOOKUP(E5637,DSSpieler!A:B,2,FALSE)</f>
        <v>Mann mit Axt</v>
      </c>
    </row>
    <row r="5638" spans="1:10" x14ac:dyDescent="0.25">
      <c r="A5638">
        <v>6363</v>
      </c>
      <c r="B5638" t="s">
        <v>673</v>
      </c>
      <c r="C5638">
        <v>457</v>
      </c>
      <c r="D5638">
        <v>505</v>
      </c>
      <c r="E5638">
        <v>1577187878</v>
      </c>
      <c r="F5638">
        <v>2131</v>
      </c>
      <c r="G5638">
        <v>0</v>
      </c>
      <c r="H5638" t="s">
        <v>10558</v>
      </c>
      <c r="I5638">
        <v>6363</v>
      </c>
      <c r="J5638" t="str">
        <f>VLOOKUP(E5638,DSSpieler!A:B,2,FALSE)</f>
        <v>Ilovemyskills</v>
      </c>
    </row>
    <row r="5639" spans="1:10" x14ac:dyDescent="0.25">
      <c r="A5639">
        <v>6364</v>
      </c>
      <c r="B5639" t="s">
        <v>531</v>
      </c>
      <c r="C5639">
        <v>435</v>
      </c>
      <c r="D5639">
        <v>498</v>
      </c>
      <c r="E5639">
        <v>0</v>
      </c>
      <c r="F5639">
        <v>184</v>
      </c>
      <c r="G5639">
        <v>0</v>
      </c>
      <c r="H5639" t="s">
        <v>10559</v>
      </c>
      <c r="I5639">
        <v>6364</v>
      </c>
      <c r="J5639" t="e">
        <f>VLOOKUP(E5639,DSSpieler!A:B,2,FALSE)</f>
        <v>#N/A</v>
      </c>
    </row>
    <row r="5640" spans="1:10" x14ac:dyDescent="0.25">
      <c r="A5640">
        <v>6365</v>
      </c>
      <c r="B5640" t="s">
        <v>32790</v>
      </c>
      <c r="C5640">
        <v>576</v>
      </c>
      <c r="D5640">
        <v>477</v>
      </c>
      <c r="E5640">
        <v>1576888271</v>
      </c>
      <c r="F5640">
        <v>6002</v>
      </c>
      <c r="G5640">
        <v>0</v>
      </c>
      <c r="H5640" t="s">
        <v>10560</v>
      </c>
      <c r="I5640">
        <v>6365</v>
      </c>
      <c r="J5640" t="str">
        <f>VLOOKUP(E5640,DSSpieler!A:B,2,FALSE)</f>
        <v>ExiiL</v>
      </c>
    </row>
    <row r="5641" spans="1:10" x14ac:dyDescent="0.25">
      <c r="A5641">
        <v>6367</v>
      </c>
      <c r="B5641">
        <v>1</v>
      </c>
      <c r="C5641">
        <v>430</v>
      </c>
      <c r="D5641">
        <v>573</v>
      </c>
      <c r="E5641">
        <v>8015832</v>
      </c>
      <c r="F5641">
        <v>8395</v>
      </c>
      <c r="G5641">
        <v>0</v>
      </c>
      <c r="H5641" t="s">
        <v>10561</v>
      </c>
      <c r="I5641">
        <v>6367</v>
      </c>
      <c r="J5641" t="str">
        <f>VLOOKUP(E5641,DSSpieler!A:B,2,FALSE)</f>
        <v>El C@pitano</v>
      </c>
    </row>
    <row r="5642" spans="1:10" x14ac:dyDescent="0.25">
      <c r="A5642">
        <v>6368</v>
      </c>
      <c r="B5642" t="s">
        <v>32791</v>
      </c>
      <c r="C5642">
        <v>460</v>
      </c>
      <c r="D5642">
        <v>443</v>
      </c>
      <c r="E5642">
        <v>1577141786</v>
      </c>
      <c r="F5642">
        <v>1939</v>
      </c>
      <c r="G5642">
        <v>0</v>
      </c>
      <c r="H5642" t="s">
        <v>10562</v>
      </c>
      <c r="I5642">
        <v>6368</v>
      </c>
      <c r="J5642" t="str">
        <f>VLOOKUP(E5642,DSSpieler!A:B,2,FALSE)</f>
        <v>Potm4ever</v>
      </c>
    </row>
    <row r="5643" spans="1:10" x14ac:dyDescent="0.25">
      <c r="A5643">
        <v>6369</v>
      </c>
      <c r="B5643" t="s">
        <v>531</v>
      </c>
      <c r="C5643">
        <v>429</v>
      </c>
      <c r="D5643">
        <v>500</v>
      </c>
      <c r="E5643">
        <v>0</v>
      </c>
      <c r="F5643">
        <v>535</v>
      </c>
      <c r="G5643">
        <v>0</v>
      </c>
      <c r="H5643" t="s">
        <v>10563</v>
      </c>
      <c r="I5643">
        <v>6369</v>
      </c>
      <c r="J5643" t="e">
        <f>VLOOKUP(E5643,DSSpieler!A:B,2,FALSE)</f>
        <v>#N/A</v>
      </c>
    </row>
    <row r="5644" spans="1:10" x14ac:dyDescent="0.25">
      <c r="A5644">
        <v>6370</v>
      </c>
      <c r="B5644" t="s">
        <v>1519</v>
      </c>
      <c r="C5644">
        <v>425</v>
      </c>
      <c r="D5644">
        <v>497</v>
      </c>
      <c r="E5644">
        <v>1577174424</v>
      </c>
      <c r="F5644">
        <v>4483</v>
      </c>
      <c r="G5644">
        <v>0</v>
      </c>
      <c r="H5644" t="s">
        <v>10564</v>
      </c>
      <c r="I5644">
        <v>6370</v>
      </c>
      <c r="J5644" t="str">
        <f>VLOOKUP(E5644,DSSpieler!A:B,2,FALSE)</f>
        <v>Patrick666</v>
      </c>
    </row>
    <row r="5645" spans="1:10" x14ac:dyDescent="0.25">
      <c r="A5645">
        <v>6371</v>
      </c>
      <c r="B5645" t="s">
        <v>32792</v>
      </c>
      <c r="C5645">
        <v>483</v>
      </c>
      <c r="D5645">
        <v>414</v>
      </c>
      <c r="E5645">
        <v>9476482</v>
      </c>
      <c r="F5645">
        <v>5797</v>
      </c>
      <c r="G5645">
        <v>0</v>
      </c>
      <c r="H5645" t="s">
        <v>10565</v>
      </c>
      <c r="I5645">
        <v>6371</v>
      </c>
      <c r="J5645" t="str">
        <f>VLOOKUP(E5645,DSSpieler!A:B,2,FALSE)</f>
        <v>MRDriver</v>
      </c>
    </row>
    <row r="5646" spans="1:10" x14ac:dyDescent="0.25">
      <c r="A5646">
        <v>6372</v>
      </c>
      <c r="B5646" t="s">
        <v>32793</v>
      </c>
      <c r="C5646">
        <v>491</v>
      </c>
      <c r="D5646">
        <v>575</v>
      </c>
      <c r="E5646">
        <v>1577197880</v>
      </c>
      <c r="F5646">
        <v>3034</v>
      </c>
      <c r="G5646">
        <v>0</v>
      </c>
      <c r="H5646" t="s">
        <v>10566</v>
      </c>
      <c r="I5646">
        <v>6372</v>
      </c>
      <c r="J5646" t="str">
        <f>VLOOKUP(E5646,DSSpieler!A:B,2,FALSE)</f>
        <v>jakusizz</v>
      </c>
    </row>
    <row r="5647" spans="1:10" x14ac:dyDescent="0.25">
      <c r="A5647">
        <v>6373</v>
      </c>
      <c r="B5647" t="s">
        <v>30649</v>
      </c>
      <c r="C5647">
        <v>552</v>
      </c>
      <c r="D5647">
        <v>600</v>
      </c>
      <c r="E5647">
        <v>1327189</v>
      </c>
      <c r="F5647">
        <v>4801</v>
      </c>
      <c r="G5647">
        <v>0</v>
      </c>
      <c r="H5647" t="s">
        <v>10567</v>
      </c>
      <c r="I5647">
        <v>6373</v>
      </c>
      <c r="J5647" t="str">
        <f>VLOOKUP(E5647,DSSpieler!A:B,2,FALSE)</f>
        <v>DerBoeseBub</v>
      </c>
    </row>
    <row r="5648" spans="1:10" x14ac:dyDescent="0.25">
      <c r="A5648">
        <v>6374</v>
      </c>
      <c r="B5648" t="s">
        <v>531</v>
      </c>
      <c r="C5648">
        <v>425</v>
      </c>
      <c r="D5648">
        <v>476</v>
      </c>
      <c r="E5648">
        <v>9050389</v>
      </c>
      <c r="F5648">
        <v>1241</v>
      </c>
      <c r="G5648">
        <v>0</v>
      </c>
      <c r="H5648" t="s">
        <v>10568</v>
      </c>
      <c r="I5648">
        <v>6374</v>
      </c>
      <c r="J5648" t="str">
        <f>VLOOKUP(E5648,DSSpieler!A:B,2,FALSE)</f>
        <v>easywin</v>
      </c>
    </row>
    <row r="5649" spans="1:10" x14ac:dyDescent="0.25">
      <c r="A5649">
        <v>6375</v>
      </c>
      <c r="B5649" t="s">
        <v>32794</v>
      </c>
      <c r="C5649">
        <v>542</v>
      </c>
      <c r="D5649">
        <v>602</v>
      </c>
      <c r="E5649">
        <v>1577062790</v>
      </c>
      <c r="F5649">
        <v>1976</v>
      </c>
      <c r="G5649">
        <v>0</v>
      </c>
      <c r="H5649" t="s">
        <v>10569</v>
      </c>
      <c r="I5649">
        <v>6375</v>
      </c>
      <c r="J5649" t="str">
        <f>VLOOKUP(E5649,DSSpieler!A:B,2,FALSE)</f>
        <v>Werner</v>
      </c>
    </row>
    <row r="5650" spans="1:10" x14ac:dyDescent="0.25">
      <c r="A5650">
        <v>6376</v>
      </c>
      <c r="B5650" t="s">
        <v>32795</v>
      </c>
      <c r="C5650">
        <v>454</v>
      </c>
      <c r="D5650">
        <v>471</v>
      </c>
      <c r="E5650">
        <v>1577135656</v>
      </c>
      <c r="F5650">
        <v>38</v>
      </c>
      <c r="G5650">
        <v>0</v>
      </c>
      <c r="H5650" t="s">
        <v>10570</v>
      </c>
      <c r="I5650">
        <v>6376</v>
      </c>
      <c r="J5650" t="str">
        <f>VLOOKUP(E5650,DSSpieler!A:B,2,FALSE)</f>
        <v>Niggi97</v>
      </c>
    </row>
    <row r="5651" spans="1:10" x14ac:dyDescent="0.25">
      <c r="A5651">
        <v>6377</v>
      </c>
      <c r="B5651" t="s">
        <v>30558</v>
      </c>
      <c r="C5651">
        <v>463</v>
      </c>
      <c r="D5651">
        <v>538</v>
      </c>
      <c r="E5651">
        <v>8198979</v>
      </c>
      <c r="F5651">
        <v>5556</v>
      </c>
      <c r="G5651">
        <v>0</v>
      </c>
      <c r="H5651" t="s">
        <v>10571</v>
      </c>
      <c r="I5651">
        <v>6377</v>
      </c>
      <c r="J5651" t="str">
        <f>VLOOKUP(E5651,DSSpieler!A:B,2,FALSE)</f>
        <v>Feel my Hardstyle Spirit</v>
      </c>
    </row>
    <row r="5652" spans="1:10" x14ac:dyDescent="0.25">
      <c r="A5652">
        <v>6379</v>
      </c>
      <c r="B5652" t="s">
        <v>32796</v>
      </c>
      <c r="C5652">
        <v>458</v>
      </c>
      <c r="D5652">
        <v>462</v>
      </c>
      <c r="E5652">
        <v>9139676</v>
      </c>
      <c r="F5652">
        <v>4980</v>
      </c>
      <c r="G5652">
        <v>0</v>
      </c>
      <c r="H5652" t="s">
        <v>10572</v>
      </c>
      <c r="I5652">
        <v>6379</v>
      </c>
      <c r="J5652" t="str">
        <f>VLOOKUP(E5652,DSSpieler!A:B,2,FALSE)</f>
        <v>Maxutaurus</v>
      </c>
    </row>
    <row r="5653" spans="1:10" x14ac:dyDescent="0.25">
      <c r="A5653">
        <v>6380</v>
      </c>
      <c r="B5653" t="s">
        <v>35819</v>
      </c>
      <c r="C5653">
        <v>572</v>
      </c>
      <c r="D5653">
        <v>579</v>
      </c>
      <c r="E5653">
        <v>1576318052</v>
      </c>
      <c r="F5653">
        <v>5735</v>
      </c>
      <c r="G5653">
        <v>0</v>
      </c>
      <c r="H5653" t="s">
        <v>10573</v>
      </c>
      <c r="I5653">
        <v>6380</v>
      </c>
      <c r="J5653" t="str">
        <f>VLOOKUP(E5653,DSSpieler!A:B,2,FALSE)</f>
        <v>Broxas</v>
      </c>
    </row>
    <row r="5654" spans="1:10" x14ac:dyDescent="0.25">
      <c r="A5654">
        <v>6381</v>
      </c>
      <c r="B5654" t="s">
        <v>32797</v>
      </c>
      <c r="C5654">
        <v>448</v>
      </c>
      <c r="D5654">
        <v>566</v>
      </c>
      <c r="E5654">
        <v>1577185478</v>
      </c>
      <c r="F5654">
        <v>5828</v>
      </c>
      <c r="G5654">
        <v>0</v>
      </c>
      <c r="H5654" t="s">
        <v>10574</v>
      </c>
      <c r="I5654">
        <v>6381</v>
      </c>
      <c r="J5654" t="str">
        <f>VLOOKUP(E5654,DSSpieler!A:B,2,FALSE)</f>
        <v>DiebrauneWurst</v>
      </c>
    </row>
    <row r="5655" spans="1:10" x14ac:dyDescent="0.25">
      <c r="A5655">
        <v>6383</v>
      </c>
      <c r="B5655">
        <v>1</v>
      </c>
      <c r="C5655">
        <v>457</v>
      </c>
      <c r="D5655">
        <v>589</v>
      </c>
      <c r="E5655">
        <v>125807</v>
      </c>
      <c r="F5655">
        <v>8850</v>
      </c>
      <c r="G5655">
        <v>0</v>
      </c>
      <c r="H5655" t="s">
        <v>10575</v>
      </c>
      <c r="I5655">
        <v>6383</v>
      </c>
      <c r="J5655" t="str">
        <f>VLOOKUP(E5655,DSSpieler!A:B,2,FALSE)</f>
        <v>kampffalke</v>
      </c>
    </row>
    <row r="5656" spans="1:10" x14ac:dyDescent="0.25">
      <c r="A5656">
        <v>6384</v>
      </c>
      <c r="B5656" t="s">
        <v>31691</v>
      </c>
      <c r="C5656">
        <v>574</v>
      </c>
      <c r="D5656">
        <v>498</v>
      </c>
      <c r="E5656">
        <v>1577176189</v>
      </c>
      <c r="F5656">
        <v>4304</v>
      </c>
      <c r="G5656">
        <v>0</v>
      </c>
      <c r="H5656" t="s">
        <v>10576</v>
      </c>
      <c r="I5656">
        <v>6384</v>
      </c>
      <c r="J5656" t="str">
        <f>VLOOKUP(E5656,DSSpieler!A:B,2,FALSE)</f>
        <v>24hrs</v>
      </c>
    </row>
    <row r="5657" spans="1:10" x14ac:dyDescent="0.25">
      <c r="A5657">
        <v>6385</v>
      </c>
      <c r="B5657" t="s">
        <v>1520</v>
      </c>
      <c r="C5657">
        <v>475</v>
      </c>
      <c r="D5657">
        <v>452</v>
      </c>
      <c r="E5657">
        <v>9535697</v>
      </c>
      <c r="F5657">
        <v>4615</v>
      </c>
      <c r="G5657">
        <v>0</v>
      </c>
      <c r="H5657" t="s">
        <v>10577</v>
      </c>
      <c r="I5657">
        <v>6385</v>
      </c>
      <c r="J5657" t="str">
        <f>VLOOKUP(E5657,DSSpieler!A:B,2,FALSE)</f>
        <v>DaveRida</v>
      </c>
    </row>
    <row r="5658" spans="1:10" x14ac:dyDescent="0.25">
      <c r="A5658">
        <v>6386</v>
      </c>
      <c r="B5658" t="s">
        <v>531</v>
      </c>
      <c r="C5658">
        <v>474</v>
      </c>
      <c r="D5658">
        <v>526</v>
      </c>
      <c r="E5658">
        <v>0</v>
      </c>
      <c r="F5658">
        <v>382</v>
      </c>
      <c r="G5658">
        <v>0</v>
      </c>
      <c r="H5658" t="s">
        <v>10578</v>
      </c>
      <c r="I5658">
        <v>6386</v>
      </c>
      <c r="J5658" t="e">
        <f>VLOOKUP(E5658,DSSpieler!A:B,2,FALSE)</f>
        <v>#N/A</v>
      </c>
    </row>
    <row r="5659" spans="1:10" x14ac:dyDescent="0.25">
      <c r="A5659">
        <v>6387</v>
      </c>
      <c r="B5659" t="s">
        <v>32798</v>
      </c>
      <c r="C5659">
        <v>570</v>
      </c>
      <c r="D5659">
        <v>567</v>
      </c>
      <c r="E5659">
        <v>1577198408</v>
      </c>
      <c r="F5659">
        <v>4139</v>
      </c>
      <c r="G5659">
        <v>0</v>
      </c>
      <c r="H5659" t="s">
        <v>10579</v>
      </c>
      <c r="I5659">
        <v>6387</v>
      </c>
      <c r="J5659" t="str">
        <f>VLOOKUP(E5659,DSSpieler!A:B,2,FALSE)</f>
        <v>AtomAtze 9</v>
      </c>
    </row>
    <row r="5660" spans="1:10" x14ac:dyDescent="0.25">
      <c r="A5660">
        <v>6388</v>
      </c>
      <c r="B5660" t="s">
        <v>32799</v>
      </c>
      <c r="C5660">
        <v>564</v>
      </c>
      <c r="D5660">
        <v>530</v>
      </c>
      <c r="E5660">
        <v>1577177190</v>
      </c>
      <c r="F5660">
        <v>6430</v>
      </c>
      <c r="G5660">
        <v>0</v>
      </c>
      <c r="H5660" t="s">
        <v>10580</v>
      </c>
      <c r="I5660">
        <v>6388</v>
      </c>
      <c r="J5660" t="str">
        <f>VLOOKUP(E5660,DSSpieler!A:B,2,FALSE)</f>
        <v>SörenHagen</v>
      </c>
    </row>
    <row r="5661" spans="1:10" x14ac:dyDescent="0.25">
      <c r="A5661">
        <v>6389</v>
      </c>
      <c r="B5661" t="s">
        <v>32800</v>
      </c>
      <c r="C5661">
        <v>598</v>
      </c>
      <c r="D5661">
        <v>504</v>
      </c>
      <c r="E5661">
        <v>1577187109</v>
      </c>
      <c r="F5661">
        <v>6090</v>
      </c>
      <c r="G5661">
        <v>0</v>
      </c>
      <c r="H5661" t="s">
        <v>10581</v>
      </c>
      <c r="I5661">
        <v>6389</v>
      </c>
      <c r="J5661" t="str">
        <f>VLOOKUP(E5661,DSSpieler!A:B,2,FALSE)</f>
        <v>scotty422</v>
      </c>
    </row>
    <row r="5662" spans="1:10" x14ac:dyDescent="0.25">
      <c r="A5662">
        <v>6390</v>
      </c>
      <c r="B5662" t="s">
        <v>1521</v>
      </c>
      <c r="C5662">
        <v>434</v>
      </c>
      <c r="D5662">
        <v>528</v>
      </c>
      <c r="E5662">
        <v>1577186528</v>
      </c>
      <c r="F5662">
        <v>2341</v>
      </c>
      <c r="G5662">
        <v>0</v>
      </c>
      <c r="H5662" t="s">
        <v>10582</v>
      </c>
      <c r="I5662">
        <v>6390</v>
      </c>
      <c r="J5662" t="str">
        <f>VLOOKUP(E5662,DSSpieler!A:B,2,FALSE)</f>
        <v>Hippogryph</v>
      </c>
    </row>
    <row r="5663" spans="1:10" x14ac:dyDescent="0.25">
      <c r="A5663">
        <v>6391</v>
      </c>
      <c r="B5663" t="s">
        <v>1522</v>
      </c>
      <c r="C5663">
        <v>519</v>
      </c>
      <c r="D5663">
        <v>564</v>
      </c>
      <c r="E5663">
        <v>1576730028</v>
      </c>
      <c r="F5663">
        <v>1829</v>
      </c>
      <c r="G5663">
        <v>0</v>
      </c>
      <c r="H5663" t="s">
        <v>10583</v>
      </c>
      <c r="I5663">
        <v>6391</v>
      </c>
      <c r="J5663" t="str">
        <f>VLOOKUP(E5663,DSSpieler!A:B,2,FALSE)</f>
        <v>-FreSSe-</v>
      </c>
    </row>
    <row r="5664" spans="1:10" x14ac:dyDescent="0.25">
      <c r="A5664">
        <v>6392</v>
      </c>
      <c r="B5664" t="s">
        <v>32801</v>
      </c>
      <c r="C5664">
        <v>523</v>
      </c>
      <c r="D5664">
        <v>451</v>
      </c>
      <c r="E5664">
        <v>10045116</v>
      </c>
      <c r="F5664">
        <v>8034</v>
      </c>
      <c r="G5664">
        <v>0</v>
      </c>
      <c r="H5664" t="s">
        <v>10584</v>
      </c>
      <c r="I5664">
        <v>6392</v>
      </c>
      <c r="J5664" t="str">
        <f>VLOOKUP(E5664,DSSpieler!A:B,2,FALSE)</f>
        <v>Teletubbieman</v>
      </c>
    </row>
    <row r="5665" spans="1:10" x14ac:dyDescent="0.25">
      <c r="A5665">
        <v>6393</v>
      </c>
      <c r="B5665" t="s">
        <v>1523</v>
      </c>
      <c r="C5665">
        <v>552</v>
      </c>
      <c r="D5665">
        <v>459</v>
      </c>
      <c r="E5665">
        <v>8589054</v>
      </c>
      <c r="F5665">
        <v>3751</v>
      </c>
      <c r="G5665">
        <v>0</v>
      </c>
      <c r="H5665" t="s">
        <v>10585</v>
      </c>
      <c r="I5665">
        <v>6393</v>
      </c>
      <c r="J5665" t="str">
        <f>VLOOKUP(E5665,DSSpieler!A:B,2,FALSE)</f>
        <v>NILSTER</v>
      </c>
    </row>
    <row r="5666" spans="1:10" x14ac:dyDescent="0.25">
      <c r="A5666">
        <v>6394</v>
      </c>
      <c r="B5666" t="s">
        <v>1524</v>
      </c>
      <c r="C5666">
        <v>433</v>
      </c>
      <c r="D5666">
        <v>520</v>
      </c>
      <c r="E5666">
        <v>1577174424</v>
      </c>
      <c r="F5666">
        <v>2813</v>
      </c>
      <c r="G5666">
        <v>0</v>
      </c>
      <c r="H5666" t="s">
        <v>10586</v>
      </c>
      <c r="I5666">
        <v>6394</v>
      </c>
      <c r="J5666" t="str">
        <f>VLOOKUP(E5666,DSSpieler!A:B,2,FALSE)</f>
        <v>Patrick666</v>
      </c>
    </row>
    <row r="5667" spans="1:10" x14ac:dyDescent="0.25">
      <c r="A5667">
        <v>6395</v>
      </c>
      <c r="B5667" t="s">
        <v>531</v>
      </c>
      <c r="C5667">
        <v>534</v>
      </c>
      <c r="D5667">
        <v>561</v>
      </c>
      <c r="E5667">
        <v>0</v>
      </c>
      <c r="F5667">
        <v>345</v>
      </c>
      <c r="G5667">
        <v>0</v>
      </c>
      <c r="H5667" t="s">
        <v>10587</v>
      </c>
      <c r="I5667">
        <v>6395</v>
      </c>
      <c r="J5667" t="e">
        <f>VLOOKUP(E5667,DSSpieler!A:B,2,FALSE)</f>
        <v>#N/A</v>
      </c>
    </row>
    <row r="5668" spans="1:10" x14ac:dyDescent="0.25">
      <c r="A5668">
        <v>6396</v>
      </c>
      <c r="B5668" t="s">
        <v>531</v>
      </c>
      <c r="C5668">
        <v>479</v>
      </c>
      <c r="D5668">
        <v>558</v>
      </c>
      <c r="E5668">
        <v>0</v>
      </c>
      <c r="F5668">
        <v>480</v>
      </c>
      <c r="G5668">
        <v>0</v>
      </c>
      <c r="H5668" t="s">
        <v>10588</v>
      </c>
      <c r="I5668">
        <v>6396</v>
      </c>
      <c r="J5668" t="e">
        <f>VLOOKUP(E5668,DSSpieler!A:B,2,FALSE)</f>
        <v>#N/A</v>
      </c>
    </row>
    <row r="5669" spans="1:10" x14ac:dyDescent="0.25">
      <c r="A5669">
        <v>6397</v>
      </c>
      <c r="B5669" t="s">
        <v>32802</v>
      </c>
      <c r="C5669">
        <v>439</v>
      </c>
      <c r="D5669">
        <v>435</v>
      </c>
      <c r="E5669">
        <v>1576216931</v>
      </c>
      <c r="F5669">
        <v>1614</v>
      </c>
      <c r="G5669">
        <v>0</v>
      </c>
      <c r="H5669" t="s">
        <v>10589</v>
      </c>
      <c r="I5669">
        <v>6397</v>
      </c>
      <c r="J5669" t="str">
        <f>VLOOKUP(E5669,DSSpieler!A:B,2,FALSE)</f>
        <v>Emarek</v>
      </c>
    </row>
    <row r="5670" spans="1:10" x14ac:dyDescent="0.25">
      <c r="A5670">
        <v>6398</v>
      </c>
      <c r="B5670" t="s">
        <v>531</v>
      </c>
      <c r="C5670">
        <v>584</v>
      </c>
      <c r="D5670">
        <v>552</v>
      </c>
      <c r="E5670">
        <v>0</v>
      </c>
      <c r="F5670">
        <v>835</v>
      </c>
      <c r="G5670">
        <v>0</v>
      </c>
      <c r="H5670" t="s">
        <v>10590</v>
      </c>
      <c r="I5670">
        <v>6398</v>
      </c>
      <c r="J5670" t="e">
        <f>VLOOKUP(E5670,DSSpieler!A:B,2,FALSE)</f>
        <v>#N/A</v>
      </c>
    </row>
    <row r="5671" spans="1:10" x14ac:dyDescent="0.25">
      <c r="A5671">
        <v>6399</v>
      </c>
      <c r="B5671" t="s">
        <v>32803</v>
      </c>
      <c r="C5671">
        <v>497</v>
      </c>
      <c r="D5671">
        <v>448</v>
      </c>
      <c r="E5671">
        <v>8499266</v>
      </c>
      <c r="F5671">
        <v>605</v>
      </c>
      <c r="G5671">
        <v>0</v>
      </c>
      <c r="H5671" t="s">
        <v>10591</v>
      </c>
      <c r="I5671">
        <v>6399</v>
      </c>
      <c r="J5671" t="str">
        <f>VLOOKUP(E5671,DSSpieler!A:B,2,FALSE)</f>
        <v>Lordmatze33</v>
      </c>
    </row>
    <row r="5672" spans="1:10" x14ac:dyDescent="0.25">
      <c r="A5672">
        <v>6400</v>
      </c>
      <c r="B5672" t="s">
        <v>31511</v>
      </c>
      <c r="C5672">
        <v>521</v>
      </c>
      <c r="D5672">
        <v>425</v>
      </c>
      <c r="E5672">
        <v>1577177125</v>
      </c>
      <c r="F5672">
        <v>6882</v>
      </c>
      <c r="G5672">
        <v>0</v>
      </c>
      <c r="H5672" t="s">
        <v>10592</v>
      </c>
      <c r="I5672">
        <v>6400</v>
      </c>
      <c r="J5672" t="str">
        <f>VLOOKUP(E5672,DSSpieler!A:B,2,FALSE)</f>
        <v>DeffBot</v>
      </c>
    </row>
    <row r="5673" spans="1:10" x14ac:dyDescent="0.25">
      <c r="A5673">
        <v>6401</v>
      </c>
      <c r="B5673" t="s">
        <v>32804</v>
      </c>
      <c r="C5673">
        <v>485</v>
      </c>
      <c r="D5673">
        <v>432</v>
      </c>
      <c r="E5673">
        <v>10235841</v>
      </c>
      <c r="F5673">
        <v>603</v>
      </c>
      <c r="G5673">
        <v>0</v>
      </c>
      <c r="H5673" t="s">
        <v>10593</v>
      </c>
      <c r="I5673">
        <v>6401</v>
      </c>
      <c r="J5673" t="str">
        <f>VLOOKUP(E5673,DSSpieler!A:B,2,FALSE)</f>
        <v>Drachenelfe</v>
      </c>
    </row>
    <row r="5674" spans="1:10" x14ac:dyDescent="0.25">
      <c r="A5674">
        <v>6402</v>
      </c>
      <c r="B5674" t="s">
        <v>531</v>
      </c>
      <c r="C5674">
        <v>504</v>
      </c>
      <c r="D5674">
        <v>475</v>
      </c>
      <c r="E5674">
        <v>0</v>
      </c>
      <c r="F5674">
        <v>376</v>
      </c>
      <c r="G5674">
        <v>0</v>
      </c>
      <c r="H5674" t="s">
        <v>10594</v>
      </c>
      <c r="I5674">
        <v>6402</v>
      </c>
      <c r="J5674" t="e">
        <f>VLOOKUP(E5674,DSSpieler!A:B,2,FALSE)</f>
        <v>#N/A</v>
      </c>
    </row>
    <row r="5675" spans="1:10" x14ac:dyDescent="0.25">
      <c r="A5675">
        <v>6403</v>
      </c>
      <c r="B5675" t="s">
        <v>531</v>
      </c>
      <c r="C5675">
        <v>546</v>
      </c>
      <c r="D5675">
        <v>553</v>
      </c>
      <c r="E5675">
        <v>0</v>
      </c>
      <c r="F5675">
        <v>687</v>
      </c>
      <c r="G5675">
        <v>0</v>
      </c>
      <c r="H5675" t="s">
        <v>10595</v>
      </c>
      <c r="I5675">
        <v>6403</v>
      </c>
      <c r="J5675" t="e">
        <f>VLOOKUP(E5675,DSSpieler!A:B,2,FALSE)</f>
        <v>#N/A</v>
      </c>
    </row>
    <row r="5676" spans="1:10" x14ac:dyDescent="0.25">
      <c r="A5676">
        <v>6404</v>
      </c>
      <c r="B5676" t="s">
        <v>1525</v>
      </c>
      <c r="C5676">
        <v>512</v>
      </c>
      <c r="D5676">
        <v>399</v>
      </c>
      <c r="E5676">
        <v>10010272</v>
      </c>
      <c r="F5676">
        <v>5650</v>
      </c>
      <c r="G5676">
        <v>0</v>
      </c>
      <c r="H5676" t="s">
        <v>10596</v>
      </c>
      <c r="I5676">
        <v>6404</v>
      </c>
      <c r="J5676" t="str">
        <f>VLOOKUP(E5676,DSSpieler!A:B,2,FALSE)</f>
        <v>STQFFEL</v>
      </c>
    </row>
    <row r="5677" spans="1:10" x14ac:dyDescent="0.25">
      <c r="A5677">
        <v>6405</v>
      </c>
      <c r="B5677" t="s">
        <v>531</v>
      </c>
      <c r="C5677">
        <v>431</v>
      </c>
      <c r="D5677">
        <v>493</v>
      </c>
      <c r="E5677">
        <v>0</v>
      </c>
      <c r="F5677">
        <v>620</v>
      </c>
      <c r="G5677">
        <v>0</v>
      </c>
      <c r="H5677" t="s">
        <v>10597</v>
      </c>
      <c r="I5677">
        <v>6405</v>
      </c>
      <c r="J5677" t="e">
        <f>VLOOKUP(E5677,DSSpieler!A:B,2,FALSE)</f>
        <v>#N/A</v>
      </c>
    </row>
    <row r="5678" spans="1:10" x14ac:dyDescent="0.25">
      <c r="A5678">
        <v>6406</v>
      </c>
      <c r="B5678" t="s">
        <v>32805</v>
      </c>
      <c r="C5678">
        <v>458</v>
      </c>
      <c r="D5678">
        <v>534</v>
      </c>
      <c r="E5678">
        <v>1577162823</v>
      </c>
      <c r="F5678">
        <v>1198</v>
      </c>
      <c r="G5678">
        <v>0</v>
      </c>
      <c r="H5678" t="s">
        <v>10598</v>
      </c>
      <c r="I5678">
        <v>6406</v>
      </c>
      <c r="J5678" t="str">
        <f>VLOOKUP(E5678,DSSpieler!A:B,2,FALSE)</f>
        <v>Ruffy61</v>
      </c>
    </row>
    <row r="5679" spans="1:10" x14ac:dyDescent="0.25">
      <c r="A5679">
        <v>6408</v>
      </c>
      <c r="B5679" t="s">
        <v>1526</v>
      </c>
      <c r="C5679">
        <v>486</v>
      </c>
      <c r="D5679">
        <v>555</v>
      </c>
      <c r="E5679">
        <v>1577098739</v>
      </c>
      <c r="F5679">
        <v>5646</v>
      </c>
      <c r="G5679">
        <v>0</v>
      </c>
      <c r="H5679" t="s">
        <v>10599</v>
      </c>
      <c r="I5679">
        <v>6408</v>
      </c>
      <c r="J5679" t="str">
        <f>VLOOKUP(E5679,DSSpieler!A:B,2,FALSE)</f>
        <v>GrinGo</v>
      </c>
    </row>
    <row r="5680" spans="1:10" x14ac:dyDescent="0.25">
      <c r="A5680">
        <v>6409</v>
      </c>
      <c r="B5680" t="s">
        <v>32806</v>
      </c>
      <c r="C5680">
        <v>586</v>
      </c>
      <c r="D5680">
        <v>454</v>
      </c>
      <c r="E5680">
        <v>1577198229</v>
      </c>
      <c r="F5680">
        <v>4562</v>
      </c>
      <c r="G5680">
        <v>0</v>
      </c>
      <c r="H5680" t="s">
        <v>10600</v>
      </c>
      <c r="I5680">
        <v>6409</v>
      </c>
      <c r="J5680" t="str">
        <f>VLOOKUP(E5680,DSSpieler!A:B,2,FALSE)</f>
        <v>QueenKlaus461</v>
      </c>
    </row>
    <row r="5681" spans="1:10" x14ac:dyDescent="0.25">
      <c r="A5681">
        <v>6410</v>
      </c>
      <c r="B5681" t="s">
        <v>1135</v>
      </c>
      <c r="C5681">
        <v>427</v>
      </c>
      <c r="D5681">
        <v>474</v>
      </c>
      <c r="E5681">
        <v>1575957171</v>
      </c>
      <c r="F5681">
        <v>6327</v>
      </c>
      <c r="G5681">
        <v>0</v>
      </c>
      <c r="H5681" t="s">
        <v>10601</v>
      </c>
      <c r="I5681">
        <v>6410</v>
      </c>
      <c r="J5681" t="str">
        <f>VLOOKUP(E5681,DSSpieler!A:B,2,FALSE)</f>
        <v>julesk</v>
      </c>
    </row>
    <row r="5682" spans="1:10" x14ac:dyDescent="0.25">
      <c r="A5682">
        <v>6411</v>
      </c>
      <c r="B5682" t="s">
        <v>531</v>
      </c>
      <c r="C5682">
        <v>555</v>
      </c>
      <c r="D5682">
        <v>525</v>
      </c>
      <c r="E5682">
        <v>0</v>
      </c>
      <c r="F5682">
        <v>440</v>
      </c>
      <c r="G5682">
        <v>0</v>
      </c>
      <c r="H5682" t="s">
        <v>10602</v>
      </c>
      <c r="I5682">
        <v>6411</v>
      </c>
      <c r="J5682" t="e">
        <f>VLOOKUP(E5682,DSSpieler!A:B,2,FALSE)</f>
        <v>#N/A</v>
      </c>
    </row>
    <row r="5683" spans="1:10" x14ac:dyDescent="0.25">
      <c r="A5683">
        <v>6412</v>
      </c>
      <c r="B5683" t="s">
        <v>32807</v>
      </c>
      <c r="C5683">
        <v>459</v>
      </c>
      <c r="D5683">
        <v>458</v>
      </c>
      <c r="E5683">
        <v>9139676</v>
      </c>
      <c r="F5683">
        <v>7425</v>
      </c>
      <c r="G5683">
        <v>0</v>
      </c>
      <c r="H5683" t="s">
        <v>10603</v>
      </c>
      <c r="I5683">
        <v>6412</v>
      </c>
      <c r="J5683" t="str">
        <f>VLOOKUP(E5683,DSSpieler!A:B,2,FALSE)</f>
        <v>Maxutaurus</v>
      </c>
    </row>
    <row r="5684" spans="1:10" x14ac:dyDescent="0.25">
      <c r="A5684">
        <v>6413</v>
      </c>
      <c r="B5684" t="s">
        <v>774</v>
      </c>
      <c r="C5684">
        <v>584</v>
      </c>
      <c r="D5684">
        <v>472</v>
      </c>
      <c r="E5684">
        <v>8682164</v>
      </c>
      <c r="F5684">
        <v>5083</v>
      </c>
      <c r="G5684">
        <v>0</v>
      </c>
      <c r="H5684" t="s">
        <v>10604</v>
      </c>
      <c r="I5684">
        <v>6413</v>
      </c>
      <c r="J5684" t="str">
        <f>VLOOKUP(E5684,DSSpieler!A:B,2,FALSE)</f>
        <v>erztttt</v>
      </c>
    </row>
    <row r="5685" spans="1:10" x14ac:dyDescent="0.25">
      <c r="A5685">
        <v>6414</v>
      </c>
      <c r="B5685" t="s">
        <v>1527</v>
      </c>
      <c r="C5685">
        <v>431</v>
      </c>
      <c r="D5685">
        <v>469</v>
      </c>
      <c r="E5685">
        <v>1576844674</v>
      </c>
      <c r="F5685">
        <v>2337</v>
      </c>
      <c r="G5685">
        <v>0</v>
      </c>
      <c r="H5685" t="s">
        <v>10605</v>
      </c>
      <c r="I5685">
        <v>6414</v>
      </c>
      <c r="J5685" t="str">
        <f>VLOOKUP(E5685,DSSpieler!A:B,2,FALSE)</f>
        <v>Schnitzel88</v>
      </c>
    </row>
    <row r="5686" spans="1:10" x14ac:dyDescent="0.25">
      <c r="A5686">
        <v>6415</v>
      </c>
      <c r="B5686" t="s">
        <v>531</v>
      </c>
      <c r="C5686">
        <v>538</v>
      </c>
      <c r="D5686">
        <v>455</v>
      </c>
      <c r="E5686">
        <v>0</v>
      </c>
      <c r="F5686">
        <v>399</v>
      </c>
      <c r="G5686">
        <v>0</v>
      </c>
      <c r="H5686" t="s">
        <v>10606</v>
      </c>
      <c r="I5686">
        <v>6415</v>
      </c>
      <c r="J5686" t="e">
        <f>VLOOKUP(E5686,DSSpieler!A:B,2,FALSE)</f>
        <v>#N/A</v>
      </c>
    </row>
    <row r="5687" spans="1:10" x14ac:dyDescent="0.25">
      <c r="A5687">
        <v>6416</v>
      </c>
      <c r="B5687" t="s">
        <v>531</v>
      </c>
      <c r="C5687">
        <v>534</v>
      </c>
      <c r="D5687">
        <v>438</v>
      </c>
      <c r="E5687">
        <v>0</v>
      </c>
      <c r="F5687">
        <v>314</v>
      </c>
      <c r="G5687">
        <v>0</v>
      </c>
      <c r="H5687" t="s">
        <v>10607</v>
      </c>
      <c r="I5687">
        <v>6416</v>
      </c>
      <c r="J5687" t="e">
        <f>VLOOKUP(E5687,DSSpieler!A:B,2,FALSE)</f>
        <v>#N/A</v>
      </c>
    </row>
    <row r="5688" spans="1:10" x14ac:dyDescent="0.25">
      <c r="A5688">
        <v>6417</v>
      </c>
      <c r="B5688">
        <v>2</v>
      </c>
      <c r="C5688">
        <v>576</v>
      </c>
      <c r="D5688">
        <v>505</v>
      </c>
      <c r="E5688">
        <v>1577197900</v>
      </c>
      <c r="F5688">
        <v>5197</v>
      </c>
      <c r="G5688">
        <v>0</v>
      </c>
      <c r="H5688" t="s">
        <v>10608</v>
      </c>
      <c r="I5688">
        <v>6417</v>
      </c>
      <c r="J5688" t="str">
        <f>VLOOKUP(E5688,DSSpieler!A:B,2,FALSE)</f>
        <v>Hardey17</v>
      </c>
    </row>
    <row r="5689" spans="1:10" x14ac:dyDescent="0.25">
      <c r="A5689">
        <v>6418</v>
      </c>
      <c r="B5689" t="s">
        <v>32808</v>
      </c>
      <c r="C5689">
        <v>482</v>
      </c>
      <c r="D5689">
        <v>546</v>
      </c>
      <c r="E5689">
        <v>1576925641</v>
      </c>
      <c r="F5689">
        <v>2491</v>
      </c>
      <c r="G5689">
        <v>0</v>
      </c>
      <c r="H5689" t="s">
        <v>10609</v>
      </c>
      <c r="I5689">
        <v>6418</v>
      </c>
      <c r="J5689" t="str">
        <f>VLOOKUP(E5689,DSSpieler!A:B,2,FALSE)</f>
        <v>John Shelby</v>
      </c>
    </row>
    <row r="5690" spans="1:10" x14ac:dyDescent="0.25">
      <c r="A5690">
        <v>6419</v>
      </c>
      <c r="B5690" t="s">
        <v>32809</v>
      </c>
      <c r="C5690">
        <v>491</v>
      </c>
      <c r="D5690">
        <v>559</v>
      </c>
      <c r="E5690">
        <v>1576469799</v>
      </c>
      <c r="F5690">
        <v>7307</v>
      </c>
      <c r="G5690">
        <v>0</v>
      </c>
      <c r="H5690" t="s">
        <v>10610</v>
      </c>
      <c r="I5690">
        <v>6419</v>
      </c>
      <c r="J5690" t="str">
        <f>VLOOKUP(E5690,DSSpieler!A:B,2,FALSE)</f>
        <v>lokderboss</v>
      </c>
    </row>
    <row r="5691" spans="1:10" x14ac:dyDescent="0.25">
      <c r="A5691">
        <v>6421</v>
      </c>
      <c r="B5691" t="s">
        <v>32810</v>
      </c>
      <c r="C5691">
        <v>571</v>
      </c>
      <c r="D5691">
        <v>465</v>
      </c>
      <c r="E5691">
        <v>1577195635</v>
      </c>
      <c r="F5691">
        <v>6910</v>
      </c>
      <c r="G5691">
        <v>0</v>
      </c>
      <c r="H5691" t="s">
        <v>10611</v>
      </c>
      <c r="I5691">
        <v>6421</v>
      </c>
      <c r="J5691" t="str">
        <f>VLOOKUP(E5691,DSSpieler!A:B,2,FALSE)</f>
        <v>Jonnybanana</v>
      </c>
    </row>
    <row r="5692" spans="1:10" x14ac:dyDescent="0.25">
      <c r="A5692">
        <v>6422</v>
      </c>
      <c r="B5692" t="s">
        <v>32811</v>
      </c>
      <c r="C5692">
        <v>453</v>
      </c>
      <c r="D5692">
        <v>427</v>
      </c>
      <c r="E5692">
        <v>1577182078</v>
      </c>
      <c r="F5692">
        <v>5521</v>
      </c>
      <c r="G5692">
        <v>0</v>
      </c>
      <c r="H5692" t="s">
        <v>10612</v>
      </c>
      <c r="I5692">
        <v>6422</v>
      </c>
      <c r="J5692" t="str">
        <f>VLOOKUP(E5692,DSSpieler!A:B,2,FALSE)</f>
        <v>Hugo66</v>
      </c>
    </row>
    <row r="5693" spans="1:10" x14ac:dyDescent="0.25">
      <c r="A5693">
        <v>6423</v>
      </c>
      <c r="B5693" t="s">
        <v>546</v>
      </c>
      <c r="C5693">
        <v>520</v>
      </c>
      <c r="D5693">
        <v>449</v>
      </c>
      <c r="E5693">
        <v>1577164472</v>
      </c>
      <c r="F5693">
        <v>4239</v>
      </c>
      <c r="G5693">
        <v>0</v>
      </c>
      <c r="H5693" t="s">
        <v>10613</v>
      </c>
      <c r="I5693">
        <v>6423</v>
      </c>
      <c r="J5693" t="str">
        <f>VLOOKUP(E5693,DSSpieler!A:B,2,FALSE)</f>
        <v>TommyB</v>
      </c>
    </row>
    <row r="5694" spans="1:10" x14ac:dyDescent="0.25">
      <c r="A5694">
        <v>6424</v>
      </c>
      <c r="B5694" t="s">
        <v>1528</v>
      </c>
      <c r="C5694">
        <v>605</v>
      </c>
      <c r="D5694">
        <v>470</v>
      </c>
      <c r="E5694">
        <v>1577196233</v>
      </c>
      <c r="F5694">
        <v>5805</v>
      </c>
      <c r="G5694">
        <v>0</v>
      </c>
      <c r="H5694" t="s">
        <v>10614</v>
      </c>
      <c r="I5694">
        <v>6424</v>
      </c>
      <c r="J5694" t="str">
        <f>VLOOKUP(E5694,DSSpieler!A:B,2,FALSE)</f>
        <v>Bakeroll</v>
      </c>
    </row>
    <row r="5695" spans="1:10" x14ac:dyDescent="0.25">
      <c r="A5695">
        <v>6425</v>
      </c>
      <c r="B5695" t="s">
        <v>32812</v>
      </c>
      <c r="C5695">
        <v>462</v>
      </c>
      <c r="D5695">
        <v>533</v>
      </c>
      <c r="E5695">
        <v>1577146825</v>
      </c>
      <c r="F5695">
        <v>3994</v>
      </c>
      <c r="G5695">
        <v>0</v>
      </c>
      <c r="H5695" t="s">
        <v>10615</v>
      </c>
      <c r="I5695">
        <v>6425</v>
      </c>
      <c r="J5695" t="str">
        <f>VLOOKUP(E5695,DSSpieler!A:B,2,FALSE)</f>
        <v>Flexen93</v>
      </c>
    </row>
    <row r="5696" spans="1:10" x14ac:dyDescent="0.25">
      <c r="A5696">
        <v>6426</v>
      </c>
      <c r="B5696">
        <v>1</v>
      </c>
      <c r="C5696">
        <v>396</v>
      </c>
      <c r="D5696">
        <v>490</v>
      </c>
      <c r="E5696">
        <v>1577188539</v>
      </c>
      <c r="F5696">
        <v>4252</v>
      </c>
      <c r="G5696">
        <v>0</v>
      </c>
      <c r="H5696" t="s">
        <v>439</v>
      </c>
      <c r="I5696">
        <v>6426</v>
      </c>
      <c r="J5696" t="str">
        <f>VLOOKUP(E5696,DSSpieler!A:B,2,FALSE)</f>
        <v>sabbanajones</v>
      </c>
    </row>
    <row r="5697" spans="1:10" x14ac:dyDescent="0.25">
      <c r="A5697">
        <v>6427</v>
      </c>
      <c r="B5697" t="s">
        <v>531</v>
      </c>
      <c r="C5697">
        <v>440</v>
      </c>
      <c r="D5697">
        <v>547</v>
      </c>
      <c r="E5697">
        <v>0</v>
      </c>
      <c r="F5697">
        <v>426</v>
      </c>
      <c r="G5697">
        <v>0</v>
      </c>
      <c r="H5697" t="s">
        <v>10616</v>
      </c>
      <c r="I5697">
        <v>6427</v>
      </c>
      <c r="J5697" t="e">
        <f>VLOOKUP(E5697,DSSpieler!A:B,2,FALSE)</f>
        <v>#N/A</v>
      </c>
    </row>
    <row r="5698" spans="1:10" x14ac:dyDescent="0.25">
      <c r="A5698">
        <v>6428</v>
      </c>
      <c r="B5698" t="s">
        <v>32813</v>
      </c>
      <c r="C5698">
        <v>485</v>
      </c>
      <c r="D5698">
        <v>481</v>
      </c>
      <c r="E5698">
        <v>1577075768</v>
      </c>
      <c r="F5698">
        <v>2763</v>
      </c>
      <c r="G5698">
        <v>0</v>
      </c>
      <c r="H5698" t="s">
        <v>10617</v>
      </c>
      <c r="I5698">
        <v>6428</v>
      </c>
      <c r="J5698" t="str">
        <f>VLOOKUP(E5698,DSSpieler!A:B,2,FALSE)</f>
        <v>Janischare28</v>
      </c>
    </row>
    <row r="5699" spans="1:10" x14ac:dyDescent="0.25">
      <c r="A5699">
        <v>6429</v>
      </c>
      <c r="B5699" t="s">
        <v>636</v>
      </c>
      <c r="C5699">
        <v>515</v>
      </c>
      <c r="D5699">
        <v>563</v>
      </c>
      <c r="E5699">
        <v>1576730028</v>
      </c>
      <c r="F5699">
        <v>6080</v>
      </c>
      <c r="G5699">
        <v>0</v>
      </c>
      <c r="H5699" t="s">
        <v>10618</v>
      </c>
      <c r="I5699">
        <v>6429</v>
      </c>
      <c r="J5699" t="str">
        <f>VLOOKUP(E5699,DSSpieler!A:B,2,FALSE)</f>
        <v>-FreSSe-</v>
      </c>
    </row>
    <row r="5700" spans="1:10" x14ac:dyDescent="0.25">
      <c r="A5700">
        <v>6430</v>
      </c>
      <c r="B5700">
        <v>5</v>
      </c>
      <c r="C5700">
        <v>482</v>
      </c>
      <c r="D5700">
        <v>437</v>
      </c>
      <c r="E5700">
        <v>1577057432</v>
      </c>
      <c r="F5700">
        <v>4998</v>
      </c>
      <c r="G5700">
        <v>0</v>
      </c>
      <c r="H5700" t="s">
        <v>10619</v>
      </c>
      <c r="I5700">
        <v>6430</v>
      </c>
      <c r="J5700" t="str">
        <f>VLOOKUP(E5700,DSSpieler!A:B,2,FALSE)</f>
        <v>Chocogasm</v>
      </c>
    </row>
    <row r="5701" spans="1:10" x14ac:dyDescent="0.25">
      <c r="A5701">
        <v>6432</v>
      </c>
      <c r="B5701" t="s">
        <v>531</v>
      </c>
      <c r="C5701">
        <v>513</v>
      </c>
      <c r="D5701">
        <v>450</v>
      </c>
      <c r="E5701">
        <v>0</v>
      </c>
      <c r="F5701">
        <v>367</v>
      </c>
      <c r="G5701">
        <v>0</v>
      </c>
      <c r="H5701" t="s">
        <v>10620</v>
      </c>
      <c r="I5701">
        <v>6432</v>
      </c>
      <c r="J5701" t="e">
        <f>VLOOKUP(E5701,DSSpieler!A:B,2,FALSE)</f>
        <v>#N/A</v>
      </c>
    </row>
    <row r="5702" spans="1:10" x14ac:dyDescent="0.25">
      <c r="A5702">
        <v>6434</v>
      </c>
      <c r="B5702" t="s">
        <v>32814</v>
      </c>
      <c r="C5702">
        <v>517</v>
      </c>
      <c r="D5702">
        <v>512</v>
      </c>
      <c r="E5702">
        <v>9374247</v>
      </c>
      <c r="F5702">
        <v>2588</v>
      </c>
      <c r="G5702">
        <v>0</v>
      </c>
      <c r="H5702" t="s">
        <v>10621</v>
      </c>
      <c r="I5702">
        <v>6434</v>
      </c>
      <c r="J5702" t="str">
        <f>VLOOKUP(E5702,DSSpieler!A:B,2,FALSE)</f>
        <v>tik99</v>
      </c>
    </row>
    <row r="5703" spans="1:10" x14ac:dyDescent="0.25">
      <c r="A5703">
        <v>6435</v>
      </c>
      <c r="B5703" t="s">
        <v>1529</v>
      </c>
      <c r="C5703">
        <v>488</v>
      </c>
      <c r="D5703">
        <v>477</v>
      </c>
      <c r="E5703">
        <v>1577142577</v>
      </c>
      <c r="F5703">
        <v>2237</v>
      </c>
      <c r="G5703">
        <v>0</v>
      </c>
      <c r="H5703" t="s">
        <v>10622</v>
      </c>
      <c r="I5703">
        <v>6435</v>
      </c>
      <c r="J5703" t="str">
        <f>VLOOKUP(E5703,DSSpieler!A:B,2,FALSE)</f>
        <v>Actionpunzel</v>
      </c>
    </row>
    <row r="5704" spans="1:10" x14ac:dyDescent="0.25">
      <c r="A5704">
        <v>6437</v>
      </c>
      <c r="B5704" t="s">
        <v>531</v>
      </c>
      <c r="C5704">
        <v>526</v>
      </c>
      <c r="D5704">
        <v>455</v>
      </c>
      <c r="E5704">
        <v>0</v>
      </c>
      <c r="F5704">
        <v>299</v>
      </c>
      <c r="G5704">
        <v>0</v>
      </c>
      <c r="H5704" t="s">
        <v>10623</v>
      </c>
      <c r="I5704">
        <v>6437</v>
      </c>
      <c r="J5704" t="e">
        <f>VLOOKUP(E5704,DSSpieler!A:B,2,FALSE)</f>
        <v>#N/A</v>
      </c>
    </row>
    <row r="5705" spans="1:10" x14ac:dyDescent="0.25">
      <c r="A5705">
        <v>6438</v>
      </c>
      <c r="B5705" t="s">
        <v>32815</v>
      </c>
      <c r="C5705">
        <v>469</v>
      </c>
      <c r="D5705">
        <v>408</v>
      </c>
      <c r="E5705">
        <v>9639579</v>
      </c>
      <c r="F5705">
        <v>1356</v>
      </c>
      <c r="G5705">
        <v>0</v>
      </c>
      <c r="H5705" t="s">
        <v>10624</v>
      </c>
      <c r="I5705">
        <v>6438</v>
      </c>
      <c r="J5705" t="str">
        <f>VLOOKUP(E5705,DSSpieler!A:B,2,FALSE)</f>
        <v>M@giXx</v>
      </c>
    </row>
    <row r="5706" spans="1:10" x14ac:dyDescent="0.25">
      <c r="A5706">
        <v>6439</v>
      </c>
      <c r="B5706" t="s">
        <v>531</v>
      </c>
      <c r="C5706">
        <v>518</v>
      </c>
      <c r="D5706">
        <v>575</v>
      </c>
      <c r="E5706">
        <v>0</v>
      </c>
      <c r="F5706">
        <v>545</v>
      </c>
      <c r="G5706">
        <v>0</v>
      </c>
      <c r="H5706" t="s">
        <v>10625</v>
      </c>
      <c r="I5706">
        <v>6439</v>
      </c>
      <c r="J5706" t="e">
        <f>VLOOKUP(E5706,DSSpieler!A:B,2,FALSE)</f>
        <v>#N/A</v>
      </c>
    </row>
    <row r="5707" spans="1:10" x14ac:dyDescent="0.25">
      <c r="A5707">
        <v>6440</v>
      </c>
      <c r="B5707" t="s">
        <v>31052</v>
      </c>
      <c r="C5707">
        <v>454</v>
      </c>
      <c r="D5707">
        <v>600</v>
      </c>
      <c r="E5707">
        <v>1576661570</v>
      </c>
      <c r="F5707">
        <v>4313</v>
      </c>
      <c r="G5707">
        <v>0</v>
      </c>
      <c r="H5707" t="s">
        <v>10626</v>
      </c>
      <c r="I5707">
        <v>6440</v>
      </c>
      <c r="J5707" t="str">
        <f>VLOOKUP(E5707,DSSpieler!A:B,2,FALSE)</f>
        <v>ASAP-TEDDY</v>
      </c>
    </row>
    <row r="5708" spans="1:10" x14ac:dyDescent="0.25">
      <c r="A5708">
        <v>6441</v>
      </c>
      <c r="B5708" t="s">
        <v>32816</v>
      </c>
      <c r="C5708">
        <v>591</v>
      </c>
      <c r="D5708">
        <v>503</v>
      </c>
      <c r="E5708">
        <v>1577126159</v>
      </c>
      <c r="F5708">
        <v>6560</v>
      </c>
      <c r="G5708">
        <v>0</v>
      </c>
      <c r="H5708" t="s">
        <v>10627</v>
      </c>
      <c r="I5708">
        <v>6441</v>
      </c>
      <c r="J5708" t="str">
        <f>VLOOKUP(E5708,DSSpieler!A:B,2,FALSE)</f>
        <v>Bohnski</v>
      </c>
    </row>
    <row r="5709" spans="1:10" x14ac:dyDescent="0.25">
      <c r="A5709">
        <v>6442</v>
      </c>
      <c r="B5709" t="s">
        <v>32817</v>
      </c>
      <c r="C5709">
        <v>601</v>
      </c>
      <c r="D5709">
        <v>517</v>
      </c>
      <c r="E5709">
        <v>1576996845</v>
      </c>
      <c r="F5709">
        <v>2582</v>
      </c>
      <c r="G5709">
        <v>0</v>
      </c>
      <c r="H5709" t="s">
        <v>10628</v>
      </c>
      <c r="I5709">
        <v>6442</v>
      </c>
      <c r="J5709" t="str">
        <f>VLOOKUP(E5709,DSSpieler!A:B,2,FALSE)</f>
        <v>Feel0Good0Inc</v>
      </c>
    </row>
    <row r="5710" spans="1:10" x14ac:dyDescent="0.25">
      <c r="A5710">
        <v>6445</v>
      </c>
      <c r="B5710" t="s">
        <v>32818</v>
      </c>
      <c r="C5710">
        <v>469</v>
      </c>
      <c r="D5710">
        <v>569</v>
      </c>
      <c r="E5710">
        <v>557668</v>
      </c>
      <c r="F5710">
        <v>5798</v>
      </c>
      <c r="G5710">
        <v>0</v>
      </c>
      <c r="H5710" t="s">
        <v>10629</v>
      </c>
      <c r="I5710">
        <v>6445</v>
      </c>
      <c r="J5710" t="str">
        <f>VLOOKUP(E5710,DSSpieler!A:B,2,FALSE)</f>
        <v>Accce</v>
      </c>
    </row>
    <row r="5711" spans="1:10" x14ac:dyDescent="0.25">
      <c r="A5711">
        <v>6446</v>
      </c>
      <c r="B5711" t="s">
        <v>31687</v>
      </c>
      <c r="C5711">
        <v>479</v>
      </c>
      <c r="D5711">
        <v>574</v>
      </c>
      <c r="E5711">
        <v>1576996406</v>
      </c>
      <c r="F5711">
        <v>5382</v>
      </c>
      <c r="G5711">
        <v>0</v>
      </c>
      <c r="H5711" t="s">
        <v>10630</v>
      </c>
      <c r="I5711">
        <v>6446</v>
      </c>
      <c r="J5711" t="str">
        <f>VLOOKUP(E5711,DSSpieler!A:B,2,FALSE)</f>
        <v>clownsq</v>
      </c>
    </row>
    <row r="5712" spans="1:10" x14ac:dyDescent="0.25">
      <c r="A5712">
        <v>6447</v>
      </c>
      <c r="B5712" t="s">
        <v>531</v>
      </c>
      <c r="C5712">
        <v>475</v>
      </c>
      <c r="D5712">
        <v>434</v>
      </c>
      <c r="E5712">
        <v>0</v>
      </c>
      <c r="F5712">
        <v>368</v>
      </c>
      <c r="G5712">
        <v>0</v>
      </c>
      <c r="H5712" t="s">
        <v>10631</v>
      </c>
      <c r="I5712">
        <v>6447</v>
      </c>
      <c r="J5712" t="e">
        <f>VLOOKUP(E5712,DSSpieler!A:B,2,FALSE)</f>
        <v>#N/A</v>
      </c>
    </row>
    <row r="5713" spans="1:10" x14ac:dyDescent="0.25">
      <c r="A5713">
        <v>6448</v>
      </c>
      <c r="B5713" t="s">
        <v>1530</v>
      </c>
      <c r="C5713">
        <v>441</v>
      </c>
      <c r="D5713">
        <v>484</v>
      </c>
      <c r="E5713">
        <v>1577194414</v>
      </c>
      <c r="F5713">
        <v>3130</v>
      </c>
      <c r="G5713">
        <v>0</v>
      </c>
      <c r="H5713" t="s">
        <v>10632</v>
      </c>
      <c r="I5713">
        <v>6448</v>
      </c>
      <c r="J5713" t="str">
        <f>VLOOKUP(E5713,DSSpieler!A:B,2,FALSE)</f>
        <v>Milo90</v>
      </c>
    </row>
    <row r="5714" spans="1:10" x14ac:dyDescent="0.25">
      <c r="A5714">
        <v>6450</v>
      </c>
      <c r="B5714">
        <v>2</v>
      </c>
      <c r="C5714">
        <v>527</v>
      </c>
      <c r="D5714">
        <v>414</v>
      </c>
      <c r="E5714">
        <v>1577171560</v>
      </c>
      <c r="F5714">
        <v>6864</v>
      </c>
      <c r="G5714">
        <v>0</v>
      </c>
      <c r="H5714" t="s">
        <v>10633</v>
      </c>
      <c r="I5714">
        <v>6450</v>
      </c>
      <c r="J5714" t="str">
        <f>VLOOKUP(E5714,DSSpieler!A:B,2,FALSE)</f>
        <v>Tomla</v>
      </c>
    </row>
    <row r="5715" spans="1:10" x14ac:dyDescent="0.25">
      <c r="A5715">
        <v>6451</v>
      </c>
      <c r="B5715" t="s">
        <v>32819</v>
      </c>
      <c r="C5715">
        <v>469</v>
      </c>
      <c r="D5715">
        <v>429</v>
      </c>
      <c r="E5715">
        <v>8388232</v>
      </c>
      <c r="F5715">
        <v>3339</v>
      </c>
      <c r="G5715">
        <v>0</v>
      </c>
      <c r="H5715" t="s">
        <v>10634</v>
      </c>
      <c r="I5715">
        <v>6451</v>
      </c>
      <c r="J5715" t="str">
        <f>VLOOKUP(E5715,DSSpieler!A:B,2,FALSE)</f>
        <v>Grisu14</v>
      </c>
    </row>
    <row r="5716" spans="1:10" x14ac:dyDescent="0.25">
      <c r="A5716">
        <v>6452</v>
      </c>
      <c r="B5716" t="s">
        <v>32820</v>
      </c>
      <c r="C5716">
        <v>418</v>
      </c>
      <c r="D5716">
        <v>466</v>
      </c>
      <c r="E5716">
        <v>1576435797</v>
      </c>
      <c r="F5716">
        <v>1853</v>
      </c>
      <c r="G5716">
        <v>0</v>
      </c>
      <c r="H5716" t="s">
        <v>10635</v>
      </c>
      <c r="I5716">
        <v>6452</v>
      </c>
      <c r="J5716" t="str">
        <f>VLOOKUP(E5716,DSSpieler!A:B,2,FALSE)</f>
        <v>Behexe</v>
      </c>
    </row>
    <row r="5717" spans="1:10" x14ac:dyDescent="0.25">
      <c r="A5717">
        <v>6453</v>
      </c>
      <c r="B5717" t="s">
        <v>531</v>
      </c>
      <c r="C5717">
        <v>430</v>
      </c>
      <c r="D5717">
        <v>515</v>
      </c>
      <c r="E5717">
        <v>0</v>
      </c>
      <c r="F5717">
        <v>206</v>
      </c>
      <c r="G5717">
        <v>0</v>
      </c>
      <c r="H5717" t="s">
        <v>10636</v>
      </c>
      <c r="I5717">
        <v>6453</v>
      </c>
      <c r="J5717" t="e">
        <f>VLOOKUP(E5717,DSSpieler!A:B,2,FALSE)</f>
        <v>#N/A</v>
      </c>
    </row>
    <row r="5718" spans="1:10" x14ac:dyDescent="0.25">
      <c r="A5718">
        <v>6454</v>
      </c>
      <c r="B5718" t="s">
        <v>32821</v>
      </c>
      <c r="C5718">
        <v>586</v>
      </c>
      <c r="D5718">
        <v>429</v>
      </c>
      <c r="E5718">
        <v>9287099</v>
      </c>
      <c r="F5718">
        <v>5336</v>
      </c>
      <c r="G5718">
        <v>0</v>
      </c>
      <c r="H5718" t="s">
        <v>10637</v>
      </c>
      <c r="I5718">
        <v>6454</v>
      </c>
      <c r="J5718" t="str">
        <f>VLOOKUP(E5718,DSSpieler!A:B,2,FALSE)</f>
        <v>Dango37</v>
      </c>
    </row>
    <row r="5719" spans="1:10" x14ac:dyDescent="0.25">
      <c r="A5719">
        <v>6455</v>
      </c>
      <c r="B5719" t="s">
        <v>1531</v>
      </c>
      <c r="C5719">
        <v>533</v>
      </c>
      <c r="D5719">
        <v>551</v>
      </c>
      <c r="E5719">
        <v>1577197583</v>
      </c>
      <c r="F5719">
        <v>2788</v>
      </c>
      <c r="G5719">
        <v>0</v>
      </c>
      <c r="H5719" t="s">
        <v>10638</v>
      </c>
      <c r="I5719">
        <v>6455</v>
      </c>
      <c r="J5719" t="str">
        <f>VLOOKUP(E5719,DSSpieler!A:B,2,FALSE)</f>
        <v>Kriegsfürst Vurtne</v>
      </c>
    </row>
    <row r="5720" spans="1:10" x14ac:dyDescent="0.25">
      <c r="A5720">
        <v>6456</v>
      </c>
      <c r="B5720" t="s">
        <v>32822</v>
      </c>
      <c r="C5720">
        <v>505</v>
      </c>
      <c r="D5720">
        <v>575</v>
      </c>
      <c r="E5720">
        <v>1576605487</v>
      </c>
      <c r="F5720">
        <v>5416</v>
      </c>
      <c r="G5720">
        <v>0</v>
      </c>
      <c r="H5720" t="s">
        <v>10639</v>
      </c>
      <c r="I5720">
        <v>6456</v>
      </c>
      <c r="J5720" t="str">
        <f>VLOOKUP(E5720,DSSpieler!A:B,2,FALSE)</f>
        <v>blauespikachu</v>
      </c>
    </row>
    <row r="5721" spans="1:10" x14ac:dyDescent="0.25">
      <c r="A5721">
        <v>6457</v>
      </c>
      <c r="B5721" t="s">
        <v>31052</v>
      </c>
      <c r="C5721">
        <v>495</v>
      </c>
      <c r="D5721">
        <v>601</v>
      </c>
      <c r="E5721">
        <v>1576661570</v>
      </c>
      <c r="F5721">
        <v>3312</v>
      </c>
      <c r="G5721">
        <v>0</v>
      </c>
      <c r="H5721" t="s">
        <v>10640</v>
      </c>
      <c r="I5721">
        <v>6457</v>
      </c>
      <c r="J5721" t="str">
        <f>VLOOKUP(E5721,DSSpieler!A:B,2,FALSE)</f>
        <v>ASAP-TEDDY</v>
      </c>
    </row>
    <row r="5722" spans="1:10" x14ac:dyDescent="0.25">
      <c r="A5722">
        <v>6458</v>
      </c>
      <c r="B5722" t="s">
        <v>531</v>
      </c>
      <c r="C5722">
        <v>526</v>
      </c>
      <c r="D5722">
        <v>479</v>
      </c>
      <c r="E5722">
        <v>0</v>
      </c>
      <c r="F5722">
        <v>328</v>
      </c>
      <c r="G5722">
        <v>0</v>
      </c>
      <c r="H5722" t="s">
        <v>10641</v>
      </c>
      <c r="I5722">
        <v>6458</v>
      </c>
      <c r="J5722" t="e">
        <f>VLOOKUP(E5722,DSSpieler!A:B,2,FALSE)</f>
        <v>#N/A</v>
      </c>
    </row>
    <row r="5723" spans="1:10" x14ac:dyDescent="0.25">
      <c r="A5723">
        <v>6460</v>
      </c>
      <c r="B5723" t="s">
        <v>32823</v>
      </c>
      <c r="C5723">
        <v>460</v>
      </c>
      <c r="D5723">
        <v>596</v>
      </c>
      <c r="E5723">
        <v>10012713</v>
      </c>
      <c r="F5723">
        <v>7396</v>
      </c>
      <c r="G5723">
        <v>0</v>
      </c>
      <c r="H5723" t="s">
        <v>10642</v>
      </c>
      <c r="I5723">
        <v>6460</v>
      </c>
      <c r="J5723" t="str">
        <f>VLOOKUP(E5723,DSSpieler!A:B,2,FALSE)</f>
        <v>jutschiin2</v>
      </c>
    </row>
    <row r="5724" spans="1:10" x14ac:dyDescent="0.25">
      <c r="A5724">
        <v>6462</v>
      </c>
      <c r="B5724" t="s">
        <v>1532</v>
      </c>
      <c r="C5724">
        <v>546</v>
      </c>
      <c r="D5724">
        <v>471</v>
      </c>
      <c r="E5724">
        <v>8996017</v>
      </c>
      <c r="F5724">
        <v>756</v>
      </c>
      <c r="G5724">
        <v>0</v>
      </c>
      <c r="H5724" t="s">
        <v>10643</v>
      </c>
      <c r="I5724">
        <v>6462</v>
      </c>
      <c r="J5724" t="str">
        <f>VLOOKUP(E5724,DSSpieler!A:B,2,FALSE)</f>
        <v>rittervomseckenpferd</v>
      </c>
    </row>
    <row r="5725" spans="1:10" x14ac:dyDescent="0.25">
      <c r="A5725">
        <v>6464</v>
      </c>
      <c r="B5725" t="s">
        <v>32824</v>
      </c>
      <c r="C5725">
        <v>433</v>
      </c>
      <c r="D5725">
        <v>483</v>
      </c>
      <c r="E5725">
        <v>1577183720</v>
      </c>
      <c r="F5725">
        <v>7235</v>
      </c>
      <c r="G5725">
        <v>0</v>
      </c>
      <c r="H5725" t="s">
        <v>10644</v>
      </c>
      <c r="I5725">
        <v>6464</v>
      </c>
      <c r="J5725" t="str">
        <f>VLOOKUP(E5725,DSSpieler!A:B,2,FALSE)</f>
        <v>StayHome</v>
      </c>
    </row>
    <row r="5726" spans="1:10" x14ac:dyDescent="0.25">
      <c r="A5726">
        <v>6465</v>
      </c>
      <c r="B5726" t="s">
        <v>1533</v>
      </c>
      <c r="C5726">
        <v>423</v>
      </c>
      <c r="D5726">
        <v>444</v>
      </c>
      <c r="E5726">
        <v>1577191829</v>
      </c>
      <c r="F5726">
        <v>1689</v>
      </c>
      <c r="G5726">
        <v>0</v>
      </c>
      <c r="H5726" t="s">
        <v>10645</v>
      </c>
      <c r="I5726">
        <v>6465</v>
      </c>
      <c r="J5726" t="str">
        <f>VLOOKUP(E5726,DSSpieler!A:B,2,FALSE)</f>
        <v>derbeweiss</v>
      </c>
    </row>
    <row r="5727" spans="1:10" x14ac:dyDescent="0.25">
      <c r="A5727">
        <v>6466</v>
      </c>
      <c r="B5727" t="s">
        <v>32825</v>
      </c>
      <c r="C5727">
        <v>469</v>
      </c>
      <c r="D5727">
        <v>587</v>
      </c>
      <c r="E5727">
        <v>8903359</v>
      </c>
      <c r="F5727">
        <v>2440</v>
      </c>
      <c r="G5727">
        <v>0</v>
      </c>
      <c r="H5727" t="s">
        <v>10646</v>
      </c>
      <c r="I5727">
        <v>6466</v>
      </c>
      <c r="J5727" t="str">
        <f>VLOOKUP(E5727,DSSpieler!A:B,2,FALSE)</f>
        <v>PyramediX</v>
      </c>
    </row>
    <row r="5728" spans="1:10" x14ac:dyDescent="0.25">
      <c r="A5728">
        <v>6467</v>
      </c>
      <c r="B5728" t="s">
        <v>32826</v>
      </c>
      <c r="C5728">
        <v>420</v>
      </c>
      <c r="D5728">
        <v>537</v>
      </c>
      <c r="E5728">
        <v>1577070657</v>
      </c>
      <c r="F5728">
        <v>5393</v>
      </c>
      <c r="G5728">
        <v>0</v>
      </c>
      <c r="H5728" t="s">
        <v>10647</v>
      </c>
      <c r="I5728">
        <v>6467</v>
      </c>
      <c r="J5728" t="str">
        <f>VLOOKUP(E5728,DSSpieler!A:B,2,FALSE)</f>
        <v>A.M.F.</v>
      </c>
    </row>
    <row r="5729" spans="1:10" x14ac:dyDescent="0.25">
      <c r="A5729">
        <v>6468</v>
      </c>
      <c r="B5729" t="s">
        <v>32827</v>
      </c>
      <c r="C5729">
        <v>444</v>
      </c>
      <c r="D5729">
        <v>420</v>
      </c>
      <c r="E5729">
        <v>1577182403</v>
      </c>
      <c r="F5729">
        <v>5471</v>
      </c>
      <c r="G5729">
        <v>0</v>
      </c>
      <c r="H5729" t="s">
        <v>10648</v>
      </c>
      <c r="I5729">
        <v>6468</v>
      </c>
      <c r="J5729" t="str">
        <f>VLOOKUP(E5729,DSSpieler!A:B,2,FALSE)</f>
        <v>Hoffi93</v>
      </c>
    </row>
    <row r="5730" spans="1:10" x14ac:dyDescent="0.25">
      <c r="A5730">
        <v>6469</v>
      </c>
      <c r="B5730" t="s">
        <v>32828</v>
      </c>
      <c r="C5730">
        <v>441</v>
      </c>
      <c r="D5730">
        <v>470</v>
      </c>
      <c r="E5730">
        <v>1577193493</v>
      </c>
      <c r="F5730">
        <v>5128</v>
      </c>
      <c r="G5730">
        <v>0</v>
      </c>
      <c r="H5730" t="s">
        <v>10649</v>
      </c>
      <c r="I5730">
        <v>6469</v>
      </c>
      <c r="J5730" t="str">
        <f>VLOOKUP(E5730,DSSpieler!A:B,2,FALSE)</f>
        <v>Tr3x0r420</v>
      </c>
    </row>
    <row r="5731" spans="1:10" x14ac:dyDescent="0.25">
      <c r="A5731">
        <v>6470</v>
      </c>
      <c r="B5731" t="s">
        <v>32829</v>
      </c>
      <c r="C5731">
        <v>519</v>
      </c>
      <c r="D5731">
        <v>399</v>
      </c>
      <c r="E5731">
        <v>1577139691</v>
      </c>
      <c r="F5731">
        <v>4812</v>
      </c>
      <c r="G5731">
        <v>0</v>
      </c>
      <c r="H5731" t="s">
        <v>10650</v>
      </c>
      <c r="I5731">
        <v>6470</v>
      </c>
      <c r="J5731" t="str">
        <f>VLOOKUP(E5731,DSSpieler!A:B,2,FALSE)</f>
        <v>tom00saltu</v>
      </c>
    </row>
    <row r="5732" spans="1:10" x14ac:dyDescent="0.25">
      <c r="A5732">
        <v>6471</v>
      </c>
      <c r="B5732" t="s">
        <v>32830</v>
      </c>
      <c r="C5732">
        <v>486</v>
      </c>
      <c r="D5732">
        <v>419</v>
      </c>
      <c r="E5732">
        <v>1576272402</v>
      </c>
      <c r="F5732">
        <v>4852</v>
      </c>
      <c r="G5732">
        <v>0</v>
      </c>
      <c r="H5732" t="s">
        <v>10651</v>
      </c>
      <c r="I5732">
        <v>6471</v>
      </c>
      <c r="J5732" t="str">
        <f>VLOOKUP(E5732,DSSpieler!A:B,2,FALSE)</f>
        <v>Zecplus</v>
      </c>
    </row>
    <row r="5733" spans="1:10" x14ac:dyDescent="0.25">
      <c r="A5733">
        <v>6472</v>
      </c>
      <c r="B5733" t="s">
        <v>32831</v>
      </c>
      <c r="C5733">
        <v>445</v>
      </c>
      <c r="D5733">
        <v>424</v>
      </c>
      <c r="E5733">
        <v>1577181911</v>
      </c>
      <c r="F5733">
        <v>5068</v>
      </c>
      <c r="G5733">
        <v>0</v>
      </c>
      <c r="H5733" t="s">
        <v>10652</v>
      </c>
      <c r="I5733">
        <v>6472</v>
      </c>
      <c r="J5733" t="str">
        <f>VLOOKUP(E5733,DSSpieler!A:B,2,FALSE)</f>
        <v>Seffle</v>
      </c>
    </row>
    <row r="5734" spans="1:10" x14ac:dyDescent="0.25">
      <c r="A5734">
        <v>6473</v>
      </c>
      <c r="B5734" t="s">
        <v>30648</v>
      </c>
      <c r="C5734">
        <v>452</v>
      </c>
      <c r="D5734">
        <v>469</v>
      </c>
      <c r="E5734">
        <v>1577187756</v>
      </c>
      <c r="F5734">
        <v>5115</v>
      </c>
      <c r="G5734">
        <v>0</v>
      </c>
      <c r="H5734" t="s">
        <v>10653</v>
      </c>
      <c r="I5734">
        <v>6473</v>
      </c>
      <c r="J5734" t="str">
        <f>VLOOKUP(E5734,DSSpieler!A:B,2,FALSE)</f>
        <v>xmagical5</v>
      </c>
    </row>
    <row r="5735" spans="1:10" x14ac:dyDescent="0.25">
      <c r="A5735">
        <v>6474</v>
      </c>
      <c r="B5735" t="s">
        <v>31511</v>
      </c>
      <c r="C5735">
        <v>511</v>
      </c>
      <c r="D5735">
        <v>441</v>
      </c>
      <c r="E5735">
        <v>1577177125</v>
      </c>
      <c r="F5735">
        <v>6629</v>
      </c>
      <c r="G5735">
        <v>0</v>
      </c>
      <c r="H5735" t="s">
        <v>10654</v>
      </c>
      <c r="I5735">
        <v>6474</v>
      </c>
      <c r="J5735" t="str">
        <f>VLOOKUP(E5735,DSSpieler!A:B,2,FALSE)</f>
        <v>DeffBot</v>
      </c>
    </row>
    <row r="5736" spans="1:10" x14ac:dyDescent="0.25">
      <c r="A5736">
        <v>6475</v>
      </c>
      <c r="B5736">
        <v>1</v>
      </c>
      <c r="C5736">
        <v>442</v>
      </c>
      <c r="D5736">
        <v>545</v>
      </c>
      <c r="E5736">
        <v>1577197792</v>
      </c>
      <c r="F5736">
        <v>10561</v>
      </c>
      <c r="G5736">
        <v>0</v>
      </c>
      <c r="H5736" t="s">
        <v>10655</v>
      </c>
      <c r="I5736">
        <v>6475</v>
      </c>
      <c r="J5736" t="str">
        <f>VLOOKUP(E5736,DSSpieler!A:B,2,FALSE)</f>
        <v>Kine84</v>
      </c>
    </row>
    <row r="5737" spans="1:10" x14ac:dyDescent="0.25">
      <c r="A5737">
        <v>6476</v>
      </c>
      <c r="B5737" t="s">
        <v>32832</v>
      </c>
      <c r="C5737">
        <v>562</v>
      </c>
      <c r="D5737">
        <v>535</v>
      </c>
      <c r="E5737">
        <v>9643314</v>
      </c>
      <c r="F5737">
        <v>3762</v>
      </c>
      <c r="G5737">
        <v>0</v>
      </c>
      <c r="H5737" t="s">
        <v>10656</v>
      </c>
      <c r="I5737">
        <v>6476</v>
      </c>
      <c r="J5737" t="str">
        <f>VLOOKUP(E5737,DSSpieler!A:B,2,FALSE)</f>
        <v>.Gulaschkanonier.</v>
      </c>
    </row>
    <row r="5738" spans="1:10" x14ac:dyDescent="0.25">
      <c r="A5738">
        <v>6477</v>
      </c>
      <c r="B5738" t="s">
        <v>531</v>
      </c>
      <c r="C5738">
        <v>547</v>
      </c>
      <c r="D5738">
        <v>529</v>
      </c>
      <c r="E5738">
        <v>0</v>
      </c>
      <c r="F5738">
        <v>839</v>
      </c>
      <c r="G5738">
        <v>0</v>
      </c>
      <c r="H5738" t="s">
        <v>10657</v>
      </c>
      <c r="I5738">
        <v>6477</v>
      </c>
      <c r="J5738" t="e">
        <f>VLOOKUP(E5738,DSSpieler!A:B,2,FALSE)</f>
        <v>#N/A</v>
      </c>
    </row>
    <row r="5739" spans="1:10" x14ac:dyDescent="0.25">
      <c r="A5739">
        <v>6478</v>
      </c>
      <c r="B5739" t="s">
        <v>32833</v>
      </c>
      <c r="C5739">
        <v>447</v>
      </c>
      <c r="D5739">
        <v>414</v>
      </c>
      <c r="E5739">
        <v>2400442</v>
      </c>
      <c r="F5739">
        <v>4080</v>
      </c>
      <c r="G5739">
        <v>0</v>
      </c>
      <c r="H5739" t="s">
        <v>10658</v>
      </c>
      <c r="I5739">
        <v>6478</v>
      </c>
      <c r="J5739" t="str">
        <f>VLOOKUP(E5739,DSSpieler!A:B,2,FALSE)</f>
        <v>Ogapushu</v>
      </c>
    </row>
    <row r="5740" spans="1:10" x14ac:dyDescent="0.25">
      <c r="A5740">
        <v>6479</v>
      </c>
      <c r="B5740" t="s">
        <v>1534</v>
      </c>
      <c r="C5740">
        <v>445</v>
      </c>
      <c r="D5740">
        <v>477</v>
      </c>
      <c r="E5740">
        <v>1576928876</v>
      </c>
      <c r="F5740">
        <v>2469</v>
      </c>
      <c r="G5740">
        <v>0</v>
      </c>
      <c r="H5740" t="s">
        <v>10659</v>
      </c>
      <c r="I5740">
        <v>6479</v>
      </c>
      <c r="J5740" t="str">
        <f>VLOOKUP(E5740,DSSpieler!A:B,2,FALSE)</f>
        <v>Grummel7</v>
      </c>
    </row>
    <row r="5741" spans="1:10" x14ac:dyDescent="0.25">
      <c r="A5741">
        <v>6480</v>
      </c>
      <c r="B5741" t="s">
        <v>1535</v>
      </c>
      <c r="C5741">
        <v>454</v>
      </c>
      <c r="D5741">
        <v>510</v>
      </c>
      <c r="E5741">
        <v>9674526</v>
      </c>
      <c r="F5741">
        <v>4220</v>
      </c>
      <c r="G5741">
        <v>0</v>
      </c>
      <c r="H5741" t="s">
        <v>10660</v>
      </c>
      <c r="I5741">
        <v>6480</v>
      </c>
      <c r="J5741" t="str">
        <f>VLOOKUP(E5741,DSSpieler!A:B,2,FALSE)</f>
        <v>MyNameIst</v>
      </c>
    </row>
    <row r="5742" spans="1:10" x14ac:dyDescent="0.25">
      <c r="A5742">
        <v>6481</v>
      </c>
      <c r="B5742">
        <v>1</v>
      </c>
      <c r="C5742">
        <v>458</v>
      </c>
      <c r="D5742">
        <v>591</v>
      </c>
      <c r="E5742">
        <v>1577198013</v>
      </c>
      <c r="F5742">
        <v>7317</v>
      </c>
      <c r="G5742">
        <v>0</v>
      </c>
      <c r="H5742" t="s">
        <v>10661</v>
      </c>
      <c r="I5742">
        <v>6481</v>
      </c>
      <c r="J5742" t="str">
        <f>VLOOKUP(E5742,DSSpieler!A:B,2,FALSE)</f>
        <v>Anstrum7</v>
      </c>
    </row>
    <row r="5743" spans="1:10" x14ac:dyDescent="0.25">
      <c r="A5743">
        <v>6482</v>
      </c>
      <c r="B5743" t="s">
        <v>32834</v>
      </c>
      <c r="C5743">
        <v>497</v>
      </c>
      <c r="D5743">
        <v>440</v>
      </c>
      <c r="E5743">
        <v>1577195997</v>
      </c>
      <c r="F5743">
        <v>3156</v>
      </c>
      <c r="G5743">
        <v>0</v>
      </c>
      <c r="H5743" t="s">
        <v>10662</v>
      </c>
      <c r="I5743">
        <v>6482</v>
      </c>
      <c r="J5743" t="str">
        <f>VLOOKUP(E5743,DSSpieler!A:B,2,FALSE)</f>
        <v>Schneeleopard</v>
      </c>
    </row>
    <row r="5744" spans="1:10" x14ac:dyDescent="0.25">
      <c r="A5744">
        <v>6483</v>
      </c>
      <c r="B5744" t="s">
        <v>32835</v>
      </c>
      <c r="C5744">
        <v>549</v>
      </c>
      <c r="D5744">
        <v>494</v>
      </c>
      <c r="E5744">
        <v>1493164</v>
      </c>
      <c r="F5744">
        <v>4645</v>
      </c>
      <c r="G5744">
        <v>0</v>
      </c>
      <c r="H5744" t="s">
        <v>10663</v>
      </c>
      <c r="I5744">
        <v>6483</v>
      </c>
      <c r="J5744" t="str">
        <f>VLOOKUP(E5744,DSSpieler!A:B,2,FALSE)</f>
        <v>RINGLER</v>
      </c>
    </row>
    <row r="5745" spans="1:10" x14ac:dyDescent="0.25">
      <c r="A5745">
        <v>6484</v>
      </c>
      <c r="B5745" t="s">
        <v>32836</v>
      </c>
      <c r="C5745">
        <v>475</v>
      </c>
      <c r="D5745">
        <v>590</v>
      </c>
      <c r="E5745">
        <v>1577160660</v>
      </c>
      <c r="F5745">
        <v>4589</v>
      </c>
      <c r="G5745">
        <v>0</v>
      </c>
      <c r="H5745" t="s">
        <v>10664</v>
      </c>
      <c r="I5745">
        <v>6484</v>
      </c>
      <c r="J5745" t="str">
        <f>VLOOKUP(E5745,DSSpieler!A:B,2,FALSE)</f>
        <v>Muddii</v>
      </c>
    </row>
    <row r="5746" spans="1:10" x14ac:dyDescent="0.25">
      <c r="A5746">
        <v>6485</v>
      </c>
      <c r="B5746" t="s">
        <v>531</v>
      </c>
      <c r="C5746">
        <v>531</v>
      </c>
      <c r="D5746">
        <v>516</v>
      </c>
      <c r="E5746">
        <v>0</v>
      </c>
      <c r="F5746">
        <v>244</v>
      </c>
      <c r="G5746">
        <v>0</v>
      </c>
      <c r="H5746" t="s">
        <v>10665</v>
      </c>
      <c r="I5746">
        <v>6485</v>
      </c>
      <c r="J5746" t="e">
        <f>VLOOKUP(E5746,DSSpieler!A:B,2,FALSE)</f>
        <v>#N/A</v>
      </c>
    </row>
    <row r="5747" spans="1:10" x14ac:dyDescent="0.25">
      <c r="A5747">
        <v>6486</v>
      </c>
      <c r="B5747" t="s">
        <v>32837</v>
      </c>
      <c r="C5747">
        <v>490</v>
      </c>
      <c r="D5747">
        <v>429</v>
      </c>
      <c r="E5747">
        <v>1576272402</v>
      </c>
      <c r="F5747">
        <v>7496</v>
      </c>
      <c r="G5747">
        <v>0</v>
      </c>
      <c r="H5747" t="s">
        <v>10666</v>
      </c>
      <c r="I5747">
        <v>6486</v>
      </c>
      <c r="J5747" t="str">
        <f>VLOOKUP(E5747,DSSpieler!A:B,2,FALSE)</f>
        <v>Zecplus</v>
      </c>
    </row>
    <row r="5748" spans="1:10" x14ac:dyDescent="0.25">
      <c r="A5748">
        <v>6487</v>
      </c>
      <c r="B5748" t="s">
        <v>32838</v>
      </c>
      <c r="C5748">
        <v>531</v>
      </c>
      <c r="D5748">
        <v>584</v>
      </c>
      <c r="E5748">
        <v>1576838265</v>
      </c>
      <c r="F5748">
        <v>6148</v>
      </c>
      <c r="G5748">
        <v>0</v>
      </c>
      <c r="H5748" t="s">
        <v>10667</v>
      </c>
      <c r="I5748">
        <v>6487</v>
      </c>
      <c r="J5748" t="str">
        <f>VLOOKUP(E5748,DSSpieler!A:B,2,FALSE)</f>
        <v>NeTsRaK3107</v>
      </c>
    </row>
    <row r="5749" spans="1:10" x14ac:dyDescent="0.25">
      <c r="A5749">
        <v>6490</v>
      </c>
      <c r="B5749" t="s">
        <v>32839</v>
      </c>
      <c r="C5749">
        <v>562</v>
      </c>
      <c r="D5749">
        <v>418</v>
      </c>
      <c r="E5749">
        <v>1577194527</v>
      </c>
      <c r="F5749">
        <v>6763</v>
      </c>
      <c r="G5749">
        <v>0</v>
      </c>
      <c r="H5749" t="s">
        <v>10668</v>
      </c>
      <c r="I5749">
        <v>6490</v>
      </c>
      <c r="J5749" t="str">
        <f>VLOOKUP(E5749,DSSpieler!A:B,2,FALSE)</f>
        <v>cheesy94</v>
      </c>
    </row>
    <row r="5750" spans="1:10" x14ac:dyDescent="0.25">
      <c r="A5750">
        <v>6491</v>
      </c>
      <c r="B5750" t="s">
        <v>531</v>
      </c>
      <c r="C5750">
        <v>520</v>
      </c>
      <c r="D5750">
        <v>460</v>
      </c>
      <c r="E5750">
        <v>0</v>
      </c>
      <c r="F5750">
        <v>347</v>
      </c>
      <c r="G5750">
        <v>0</v>
      </c>
      <c r="H5750" t="s">
        <v>10669</v>
      </c>
      <c r="I5750">
        <v>6491</v>
      </c>
      <c r="J5750" t="e">
        <f>VLOOKUP(E5750,DSSpieler!A:B,2,FALSE)</f>
        <v>#N/A</v>
      </c>
    </row>
    <row r="5751" spans="1:10" x14ac:dyDescent="0.25">
      <c r="A5751">
        <v>6492</v>
      </c>
      <c r="B5751" t="s">
        <v>32840</v>
      </c>
      <c r="C5751">
        <v>548</v>
      </c>
      <c r="D5751">
        <v>566</v>
      </c>
      <c r="E5751">
        <v>1576943454</v>
      </c>
      <c r="F5751">
        <v>4343</v>
      </c>
      <c r="G5751">
        <v>0</v>
      </c>
      <c r="H5751" t="s">
        <v>10670</v>
      </c>
      <c r="I5751">
        <v>6492</v>
      </c>
      <c r="J5751" t="str">
        <f>VLOOKUP(E5751,DSSpieler!A:B,2,FALSE)</f>
        <v>ciWie</v>
      </c>
    </row>
    <row r="5752" spans="1:10" x14ac:dyDescent="0.25">
      <c r="A5752">
        <v>6493</v>
      </c>
      <c r="B5752" t="s">
        <v>1536</v>
      </c>
      <c r="C5752">
        <v>564</v>
      </c>
      <c r="D5752">
        <v>421</v>
      </c>
      <c r="E5752">
        <v>1576103544</v>
      </c>
      <c r="F5752">
        <v>5569</v>
      </c>
      <c r="G5752">
        <v>0</v>
      </c>
      <c r="H5752" t="s">
        <v>10671</v>
      </c>
      <c r="I5752">
        <v>6493</v>
      </c>
      <c r="J5752" t="str">
        <f>VLOOKUP(E5752,DSSpieler!A:B,2,FALSE)</f>
        <v>base2299</v>
      </c>
    </row>
    <row r="5753" spans="1:10" x14ac:dyDescent="0.25">
      <c r="A5753">
        <v>6494</v>
      </c>
      <c r="B5753" t="s">
        <v>32841</v>
      </c>
      <c r="C5753">
        <v>464</v>
      </c>
      <c r="D5753">
        <v>566</v>
      </c>
      <c r="E5753">
        <v>557668</v>
      </c>
      <c r="F5753">
        <v>4808</v>
      </c>
      <c r="G5753">
        <v>0</v>
      </c>
      <c r="H5753" t="s">
        <v>10672</v>
      </c>
      <c r="I5753">
        <v>6494</v>
      </c>
      <c r="J5753" t="str">
        <f>VLOOKUP(E5753,DSSpieler!A:B,2,FALSE)</f>
        <v>Accce</v>
      </c>
    </row>
    <row r="5754" spans="1:10" x14ac:dyDescent="0.25">
      <c r="A5754">
        <v>6495</v>
      </c>
      <c r="B5754" t="s">
        <v>32842</v>
      </c>
      <c r="C5754">
        <v>525</v>
      </c>
      <c r="D5754">
        <v>442</v>
      </c>
      <c r="E5754">
        <v>2333111</v>
      </c>
      <c r="F5754">
        <v>5296</v>
      </c>
      <c r="G5754">
        <v>0</v>
      </c>
      <c r="H5754" t="s">
        <v>10673</v>
      </c>
      <c r="I5754">
        <v>6495</v>
      </c>
      <c r="J5754">
        <f>VLOOKUP(E5754,DSSpieler!A:B,2,FALSE)</f>
        <v>34669</v>
      </c>
    </row>
    <row r="5755" spans="1:10" x14ac:dyDescent="0.25">
      <c r="A5755">
        <v>6496</v>
      </c>
      <c r="B5755" t="s">
        <v>531</v>
      </c>
      <c r="C5755">
        <v>433</v>
      </c>
      <c r="D5755">
        <v>503</v>
      </c>
      <c r="E5755">
        <v>0</v>
      </c>
      <c r="F5755">
        <v>301</v>
      </c>
      <c r="G5755">
        <v>0</v>
      </c>
      <c r="H5755" t="s">
        <v>10674</v>
      </c>
      <c r="I5755">
        <v>6496</v>
      </c>
      <c r="J5755" t="e">
        <f>VLOOKUP(E5755,DSSpieler!A:B,2,FALSE)</f>
        <v>#N/A</v>
      </c>
    </row>
    <row r="5756" spans="1:10" x14ac:dyDescent="0.25">
      <c r="A5756">
        <v>6497</v>
      </c>
      <c r="B5756" t="s">
        <v>531</v>
      </c>
      <c r="C5756">
        <v>465</v>
      </c>
      <c r="D5756">
        <v>598</v>
      </c>
      <c r="E5756">
        <v>0</v>
      </c>
      <c r="F5756">
        <v>415</v>
      </c>
      <c r="G5756">
        <v>0</v>
      </c>
      <c r="H5756" t="s">
        <v>10675</v>
      </c>
      <c r="I5756">
        <v>6497</v>
      </c>
      <c r="J5756" t="e">
        <f>VLOOKUP(E5756,DSSpieler!A:B,2,FALSE)</f>
        <v>#N/A</v>
      </c>
    </row>
    <row r="5757" spans="1:10" x14ac:dyDescent="0.25">
      <c r="A5757">
        <v>6500</v>
      </c>
      <c r="B5757" t="s">
        <v>32843</v>
      </c>
      <c r="C5757">
        <v>440</v>
      </c>
      <c r="D5757">
        <v>509</v>
      </c>
      <c r="E5757">
        <v>1577195605</v>
      </c>
      <c r="F5757">
        <v>3142</v>
      </c>
      <c r="G5757">
        <v>0</v>
      </c>
      <c r="H5757" t="s">
        <v>10676</v>
      </c>
      <c r="I5757">
        <v>6500</v>
      </c>
      <c r="J5757" t="str">
        <f>VLOOKUP(E5757,DSSpieler!A:B,2,FALSE)</f>
        <v>Fusspilz</v>
      </c>
    </row>
    <row r="5758" spans="1:10" x14ac:dyDescent="0.25">
      <c r="A5758">
        <v>6501</v>
      </c>
      <c r="B5758" t="s">
        <v>531</v>
      </c>
      <c r="C5758">
        <v>455</v>
      </c>
      <c r="D5758">
        <v>459</v>
      </c>
      <c r="E5758">
        <v>0</v>
      </c>
      <c r="F5758">
        <v>92</v>
      </c>
      <c r="G5758">
        <v>0</v>
      </c>
      <c r="H5758" t="s">
        <v>10677</v>
      </c>
      <c r="I5758">
        <v>6501</v>
      </c>
      <c r="J5758" t="e">
        <f>VLOOKUP(E5758,DSSpieler!A:B,2,FALSE)</f>
        <v>#N/A</v>
      </c>
    </row>
    <row r="5759" spans="1:10" x14ac:dyDescent="0.25">
      <c r="A5759">
        <v>6502</v>
      </c>
      <c r="B5759" t="s">
        <v>531</v>
      </c>
      <c r="C5759">
        <v>474</v>
      </c>
      <c r="D5759">
        <v>428</v>
      </c>
      <c r="E5759">
        <v>0</v>
      </c>
      <c r="F5759">
        <v>741</v>
      </c>
      <c r="G5759">
        <v>0</v>
      </c>
      <c r="H5759" t="s">
        <v>10678</v>
      </c>
      <c r="I5759">
        <v>6502</v>
      </c>
      <c r="J5759" t="e">
        <f>VLOOKUP(E5759,DSSpieler!A:B,2,FALSE)</f>
        <v>#N/A</v>
      </c>
    </row>
    <row r="5760" spans="1:10" x14ac:dyDescent="0.25">
      <c r="A5760">
        <v>6503</v>
      </c>
      <c r="B5760">
        <v>2</v>
      </c>
      <c r="C5760">
        <v>446</v>
      </c>
      <c r="D5760">
        <v>493</v>
      </c>
      <c r="E5760">
        <v>245278</v>
      </c>
      <c r="F5760">
        <v>3830</v>
      </c>
      <c r="G5760">
        <v>0</v>
      </c>
      <c r="H5760" t="s">
        <v>10679</v>
      </c>
      <c r="I5760">
        <v>6503</v>
      </c>
      <c r="J5760" t="str">
        <f>VLOOKUP(E5760,DSSpieler!A:B,2,FALSE)</f>
        <v>Basel86</v>
      </c>
    </row>
    <row r="5761" spans="1:10" x14ac:dyDescent="0.25">
      <c r="A5761">
        <v>6504</v>
      </c>
      <c r="B5761" t="s">
        <v>1537</v>
      </c>
      <c r="C5761">
        <v>422</v>
      </c>
      <c r="D5761">
        <v>564</v>
      </c>
      <c r="E5761">
        <v>1577186787</v>
      </c>
      <c r="F5761">
        <v>3519</v>
      </c>
      <c r="G5761">
        <v>0</v>
      </c>
      <c r="H5761" t="s">
        <v>10680</v>
      </c>
      <c r="I5761">
        <v>6504</v>
      </c>
      <c r="J5761" t="str">
        <f>VLOOKUP(E5761,DSSpieler!A:B,2,FALSE)</f>
        <v>Malz77</v>
      </c>
    </row>
    <row r="5762" spans="1:10" x14ac:dyDescent="0.25">
      <c r="A5762">
        <v>6505</v>
      </c>
      <c r="B5762" t="s">
        <v>1538</v>
      </c>
      <c r="C5762">
        <v>532</v>
      </c>
      <c r="D5762">
        <v>396</v>
      </c>
      <c r="E5762">
        <v>1576944316</v>
      </c>
      <c r="F5762">
        <v>4111</v>
      </c>
      <c r="G5762">
        <v>0</v>
      </c>
      <c r="H5762" t="s">
        <v>10681</v>
      </c>
      <c r="I5762">
        <v>6505</v>
      </c>
      <c r="J5762" t="str">
        <f>VLOOKUP(E5762,DSSpieler!A:B,2,FALSE)</f>
        <v>Andenkarakara</v>
      </c>
    </row>
    <row r="5763" spans="1:10" x14ac:dyDescent="0.25">
      <c r="A5763">
        <v>6506</v>
      </c>
      <c r="B5763" t="s">
        <v>531</v>
      </c>
      <c r="C5763">
        <v>573</v>
      </c>
      <c r="D5763">
        <v>464</v>
      </c>
      <c r="E5763">
        <v>1577197682</v>
      </c>
      <c r="F5763">
        <v>6260</v>
      </c>
      <c r="G5763">
        <v>0</v>
      </c>
      <c r="H5763" t="s">
        <v>10682</v>
      </c>
      <c r="I5763">
        <v>6506</v>
      </c>
      <c r="J5763" t="str">
        <f>VLOOKUP(E5763,DSSpieler!A:B,2,FALSE)</f>
        <v>Kelar</v>
      </c>
    </row>
    <row r="5764" spans="1:10" x14ac:dyDescent="0.25">
      <c r="A5764">
        <v>6507</v>
      </c>
      <c r="B5764" t="s">
        <v>31308</v>
      </c>
      <c r="C5764">
        <v>558</v>
      </c>
      <c r="D5764">
        <v>465</v>
      </c>
      <c r="E5764">
        <v>1576013529</v>
      </c>
      <c r="F5764">
        <v>6798</v>
      </c>
      <c r="G5764">
        <v>0</v>
      </c>
      <c r="H5764" t="s">
        <v>10683</v>
      </c>
      <c r="I5764">
        <v>6507</v>
      </c>
      <c r="J5764" t="str">
        <f>VLOOKUP(E5764,DSSpieler!A:B,2,FALSE)</f>
        <v>Captn Kaliba</v>
      </c>
    </row>
    <row r="5765" spans="1:10" x14ac:dyDescent="0.25">
      <c r="A5765">
        <v>6508</v>
      </c>
      <c r="B5765">
        <v>2</v>
      </c>
      <c r="C5765">
        <v>507</v>
      </c>
      <c r="D5765">
        <v>567</v>
      </c>
      <c r="E5765">
        <v>9295043</v>
      </c>
      <c r="F5765">
        <v>3429</v>
      </c>
      <c r="G5765">
        <v>0</v>
      </c>
      <c r="H5765" t="s">
        <v>10684</v>
      </c>
      <c r="I5765">
        <v>6508</v>
      </c>
      <c r="J5765" t="str">
        <f>VLOOKUP(E5765,DSSpieler!A:B,2,FALSE)</f>
        <v>Kati **</v>
      </c>
    </row>
    <row r="5766" spans="1:10" x14ac:dyDescent="0.25">
      <c r="A5766">
        <v>6509</v>
      </c>
      <c r="B5766" t="s">
        <v>35840</v>
      </c>
      <c r="C5766">
        <v>573</v>
      </c>
      <c r="D5766">
        <v>539</v>
      </c>
      <c r="E5766">
        <v>1577197503</v>
      </c>
      <c r="F5766">
        <v>6555</v>
      </c>
      <c r="G5766">
        <v>0</v>
      </c>
      <c r="H5766" t="s">
        <v>10685</v>
      </c>
      <c r="I5766">
        <v>6509</v>
      </c>
      <c r="J5766" t="str">
        <f>VLOOKUP(E5766,DSSpieler!A:B,2,FALSE)</f>
        <v>Rapt1le</v>
      </c>
    </row>
    <row r="5767" spans="1:10" x14ac:dyDescent="0.25">
      <c r="A5767">
        <v>6510</v>
      </c>
      <c r="B5767" t="s">
        <v>32844</v>
      </c>
      <c r="C5767">
        <v>546</v>
      </c>
      <c r="D5767">
        <v>413</v>
      </c>
      <c r="E5767">
        <v>1576654615</v>
      </c>
      <c r="F5767">
        <v>5216</v>
      </c>
      <c r="G5767">
        <v>0</v>
      </c>
      <c r="H5767" t="s">
        <v>10686</v>
      </c>
      <c r="I5767">
        <v>6510</v>
      </c>
      <c r="J5767" t="str">
        <f>VLOOKUP(E5767,DSSpieler!A:B,2,FALSE)</f>
        <v>bimmeldings</v>
      </c>
    </row>
    <row r="5768" spans="1:10" x14ac:dyDescent="0.25">
      <c r="A5768">
        <v>6511</v>
      </c>
      <c r="B5768" t="s">
        <v>1539</v>
      </c>
      <c r="C5768">
        <v>452</v>
      </c>
      <c r="D5768">
        <v>429</v>
      </c>
      <c r="E5768">
        <v>1577182645</v>
      </c>
      <c r="F5768">
        <v>6213</v>
      </c>
      <c r="G5768">
        <v>0</v>
      </c>
      <c r="H5768" t="s">
        <v>10687</v>
      </c>
      <c r="I5768">
        <v>6511</v>
      </c>
      <c r="J5768" t="str">
        <f>VLOOKUP(E5768,DSSpieler!A:B,2,FALSE)</f>
        <v>Butcher1887</v>
      </c>
    </row>
    <row r="5769" spans="1:10" x14ac:dyDescent="0.25">
      <c r="A5769">
        <v>6512</v>
      </c>
      <c r="B5769" t="s">
        <v>32845</v>
      </c>
      <c r="C5769">
        <v>444</v>
      </c>
      <c r="D5769">
        <v>474</v>
      </c>
      <c r="E5769">
        <v>1576545999</v>
      </c>
      <c r="F5769">
        <v>97</v>
      </c>
      <c r="G5769">
        <v>0</v>
      </c>
      <c r="H5769" t="s">
        <v>10688</v>
      </c>
      <c r="I5769">
        <v>6512</v>
      </c>
      <c r="J5769" t="str">
        <f>VLOOKUP(E5769,DSSpieler!A:B,2,FALSE)</f>
        <v>Chekky</v>
      </c>
    </row>
    <row r="5770" spans="1:10" x14ac:dyDescent="0.25">
      <c r="A5770">
        <v>6513</v>
      </c>
      <c r="B5770" t="s">
        <v>531</v>
      </c>
      <c r="C5770">
        <v>423</v>
      </c>
      <c r="D5770">
        <v>478</v>
      </c>
      <c r="E5770">
        <v>0</v>
      </c>
      <c r="F5770">
        <v>438</v>
      </c>
      <c r="G5770">
        <v>0</v>
      </c>
      <c r="H5770" t="s">
        <v>10689</v>
      </c>
      <c r="I5770">
        <v>6513</v>
      </c>
      <c r="J5770" t="e">
        <f>VLOOKUP(E5770,DSSpieler!A:B,2,FALSE)</f>
        <v>#N/A</v>
      </c>
    </row>
    <row r="5771" spans="1:10" x14ac:dyDescent="0.25">
      <c r="A5771">
        <v>6514</v>
      </c>
      <c r="B5771" t="s">
        <v>1540</v>
      </c>
      <c r="C5771">
        <v>559</v>
      </c>
      <c r="D5771">
        <v>508</v>
      </c>
      <c r="E5771">
        <v>1577198014</v>
      </c>
      <c r="F5771">
        <v>4033</v>
      </c>
      <c r="G5771">
        <v>0</v>
      </c>
      <c r="H5771" t="s">
        <v>10690</v>
      </c>
      <c r="I5771">
        <v>6514</v>
      </c>
      <c r="J5771" t="str">
        <f>VLOOKUP(E5771,DSSpieler!A:B,2,FALSE)</f>
        <v>BaumeisterBob</v>
      </c>
    </row>
    <row r="5772" spans="1:10" x14ac:dyDescent="0.25">
      <c r="A5772">
        <v>6515</v>
      </c>
      <c r="B5772" t="s">
        <v>32846</v>
      </c>
      <c r="C5772">
        <v>533</v>
      </c>
      <c r="D5772">
        <v>445</v>
      </c>
      <c r="E5772">
        <v>1577197828</v>
      </c>
      <c r="F5772">
        <v>5123</v>
      </c>
      <c r="G5772">
        <v>0</v>
      </c>
      <c r="H5772" t="s">
        <v>10691</v>
      </c>
      <c r="I5772">
        <v>6515</v>
      </c>
      <c r="J5772" t="str">
        <f>VLOOKUP(E5772,DSSpieler!A:B,2,FALSE)</f>
        <v>pewpew2000</v>
      </c>
    </row>
    <row r="5773" spans="1:10" x14ac:dyDescent="0.25">
      <c r="A5773">
        <v>6516</v>
      </c>
      <c r="B5773" t="s">
        <v>35819</v>
      </c>
      <c r="C5773">
        <v>569</v>
      </c>
      <c r="D5773">
        <v>542</v>
      </c>
      <c r="E5773">
        <v>3335085</v>
      </c>
      <c r="F5773">
        <v>6246</v>
      </c>
      <c r="G5773">
        <v>0</v>
      </c>
      <c r="H5773" t="s">
        <v>10692</v>
      </c>
      <c r="I5773">
        <v>6516</v>
      </c>
      <c r="J5773" t="str">
        <f>VLOOKUP(E5773,DSSpieler!A:B,2,FALSE)</f>
        <v>morbidus cantus</v>
      </c>
    </row>
    <row r="5774" spans="1:10" x14ac:dyDescent="0.25">
      <c r="A5774">
        <v>6517</v>
      </c>
      <c r="B5774" t="s">
        <v>531</v>
      </c>
      <c r="C5774">
        <v>516</v>
      </c>
      <c r="D5774">
        <v>473</v>
      </c>
      <c r="E5774">
        <v>0</v>
      </c>
      <c r="F5774">
        <v>224</v>
      </c>
      <c r="G5774">
        <v>0</v>
      </c>
      <c r="H5774" t="s">
        <v>10693</v>
      </c>
      <c r="I5774">
        <v>6517</v>
      </c>
      <c r="J5774" t="e">
        <f>VLOOKUP(E5774,DSSpieler!A:B,2,FALSE)</f>
        <v>#N/A</v>
      </c>
    </row>
    <row r="5775" spans="1:10" x14ac:dyDescent="0.25">
      <c r="A5775">
        <v>6518</v>
      </c>
      <c r="B5775">
        <v>1</v>
      </c>
      <c r="C5775">
        <v>514</v>
      </c>
      <c r="D5775">
        <v>558</v>
      </c>
      <c r="E5775">
        <v>1577198009</v>
      </c>
      <c r="F5775">
        <v>6362</v>
      </c>
      <c r="G5775">
        <v>0</v>
      </c>
      <c r="H5775" t="s">
        <v>10694</v>
      </c>
      <c r="I5775">
        <v>6518</v>
      </c>
      <c r="J5775" t="str">
        <f>VLOOKUP(E5775,DSSpieler!A:B,2,FALSE)</f>
        <v>Bierserker88</v>
      </c>
    </row>
    <row r="5776" spans="1:10" x14ac:dyDescent="0.25">
      <c r="A5776">
        <v>6519</v>
      </c>
      <c r="B5776" t="s">
        <v>32847</v>
      </c>
      <c r="C5776">
        <v>466</v>
      </c>
      <c r="D5776">
        <v>510</v>
      </c>
      <c r="E5776">
        <v>1577182010</v>
      </c>
      <c r="F5776">
        <v>1354</v>
      </c>
      <c r="G5776">
        <v>0</v>
      </c>
      <c r="H5776" t="s">
        <v>10695</v>
      </c>
      <c r="I5776">
        <v>6519</v>
      </c>
      <c r="J5776" t="str">
        <f>VLOOKUP(E5776,DSSpieler!A:B,2,FALSE)</f>
        <v>Eisern14</v>
      </c>
    </row>
    <row r="5777" spans="1:10" x14ac:dyDescent="0.25">
      <c r="A5777">
        <v>6520</v>
      </c>
      <c r="B5777" t="s">
        <v>32848</v>
      </c>
      <c r="C5777">
        <v>417</v>
      </c>
      <c r="D5777">
        <v>567</v>
      </c>
      <c r="E5777">
        <v>1577181741</v>
      </c>
      <c r="F5777">
        <v>7444</v>
      </c>
      <c r="G5777">
        <v>0</v>
      </c>
      <c r="H5777" t="s">
        <v>10696</v>
      </c>
      <c r="I5777">
        <v>6520</v>
      </c>
      <c r="J5777" t="str">
        <f>VLOOKUP(E5777,DSSpieler!A:B,2,FALSE)</f>
        <v>Jannooo</v>
      </c>
    </row>
    <row r="5778" spans="1:10" x14ac:dyDescent="0.25">
      <c r="A5778">
        <v>6521</v>
      </c>
      <c r="B5778" t="s">
        <v>32849</v>
      </c>
      <c r="C5778">
        <v>550</v>
      </c>
      <c r="D5778">
        <v>421</v>
      </c>
      <c r="E5778">
        <v>1576654615</v>
      </c>
      <c r="F5778">
        <v>4509</v>
      </c>
      <c r="G5778">
        <v>0</v>
      </c>
      <c r="H5778" t="s">
        <v>10697</v>
      </c>
      <c r="I5778">
        <v>6521</v>
      </c>
      <c r="J5778" t="str">
        <f>VLOOKUP(E5778,DSSpieler!A:B,2,FALSE)</f>
        <v>bimmeldings</v>
      </c>
    </row>
    <row r="5779" spans="1:10" x14ac:dyDescent="0.25">
      <c r="A5779">
        <v>6522</v>
      </c>
      <c r="B5779" t="s">
        <v>32850</v>
      </c>
      <c r="C5779">
        <v>603</v>
      </c>
      <c r="D5779">
        <v>486</v>
      </c>
      <c r="E5779">
        <v>2933285</v>
      </c>
      <c r="F5779">
        <v>4153</v>
      </c>
      <c r="G5779">
        <v>0</v>
      </c>
      <c r="H5779" t="s">
        <v>10698</v>
      </c>
      <c r="I5779">
        <v>6522</v>
      </c>
      <c r="J5779" t="str">
        <f>VLOOKUP(E5779,DSSpieler!A:B,2,FALSE)</f>
        <v>Luftbahn</v>
      </c>
    </row>
    <row r="5780" spans="1:10" x14ac:dyDescent="0.25">
      <c r="A5780">
        <v>6523</v>
      </c>
      <c r="B5780" t="s">
        <v>32851</v>
      </c>
      <c r="C5780">
        <v>493</v>
      </c>
      <c r="D5780">
        <v>570</v>
      </c>
      <c r="E5780">
        <v>9982083</v>
      </c>
      <c r="F5780">
        <v>4573</v>
      </c>
      <c r="G5780">
        <v>0</v>
      </c>
      <c r="H5780" t="s">
        <v>10699</v>
      </c>
      <c r="I5780">
        <v>6523</v>
      </c>
      <c r="J5780" t="str">
        <f>VLOOKUP(E5780,DSSpieler!A:B,2,FALSE)</f>
        <v>Fischei15</v>
      </c>
    </row>
    <row r="5781" spans="1:10" x14ac:dyDescent="0.25">
      <c r="A5781">
        <v>6524</v>
      </c>
      <c r="B5781" t="s">
        <v>1541</v>
      </c>
      <c r="C5781">
        <v>553</v>
      </c>
      <c r="D5781">
        <v>474</v>
      </c>
      <c r="E5781">
        <v>1577196743</v>
      </c>
      <c r="F5781">
        <v>3762</v>
      </c>
      <c r="G5781">
        <v>0</v>
      </c>
      <c r="H5781" t="s">
        <v>10700</v>
      </c>
      <c r="I5781">
        <v>6524</v>
      </c>
      <c r="J5781" t="str">
        <f>VLOOKUP(E5781,DSSpieler!A:B,2,FALSE)</f>
        <v>Spider902</v>
      </c>
    </row>
    <row r="5782" spans="1:10" x14ac:dyDescent="0.25">
      <c r="A5782">
        <v>6525</v>
      </c>
      <c r="B5782" t="s">
        <v>32852</v>
      </c>
      <c r="C5782">
        <v>545</v>
      </c>
      <c r="D5782">
        <v>449</v>
      </c>
      <c r="E5782">
        <v>1577176014</v>
      </c>
      <c r="F5782">
        <v>4397</v>
      </c>
      <c r="G5782">
        <v>0</v>
      </c>
      <c r="H5782" t="s">
        <v>10701</v>
      </c>
      <c r="I5782">
        <v>6525</v>
      </c>
      <c r="J5782" t="str">
        <f>VLOOKUP(E5782,DSSpieler!A:B,2,FALSE)</f>
        <v>Elaison</v>
      </c>
    </row>
    <row r="5783" spans="1:10" x14ac:dyDescent="0.25">
      <c r="A5783">
        <v>6526</v>
      </c>
      <c r="B5783" t="s">
        <v>32853</v>
      </c>
      <c r="C5783">
        <v>545</v>
      </c>
      <c r="D5783">
        <v>552</v>
      </c>
      <c r="E5783">
        <v>1575830702</v>
      </c>
      <c r="F5783">
        <v>8909</v>
      </c>
      <c r="G5783">
        <v>0</v>
      </c>
      <c r="H5783" t="s">
        <v>10702</v>
      </c>
      <c r="I5783">
        <v>6526</v>
      </c>
      <c r="J5783" t="str">
        <f>VLOOKUP(E5783,DSSpieler!A:B,2,FALSE)</f>
        <v>PaPaScHuMpF</v>
      </c>
    </row>
    <row r="5784" spans="1:10" x14ac:dyDescent="0.25">
      <c r="A5784">
        <v>6527</v>
      </c>
      <c r="B5784" t="s">
        <v>1542</v>
      </c>
      <c r="C5784">
        <v>551</v>
      </c>
      <c r="D5784">
        <v>481</v>
      </c>
      <c r="E5784">
        <v>1577196743</v>
      </c>
      <c r="F5784">
        <v>4910</v>
      </c>
      <c r="G5784">
        <v>0</v>
      </c>
      <c r="H5784" t="s">
        <v>10703</v>
      </c>
      <c r="I5784">
        <v>6527</v>
      </c>
      <c r="J5784" t="str">
        <f>VLOOKUP(E5784,DSSpieler!A:B,2,FALSE)</f>
        <v>Spider902</v>
      </c>
    </row>
    <row r="5785" spans="1:10" x14ac:dyDescent="0.25">
      <c r="A5785">
        <v>6528</v>
      </c>
      <c r="B5785">
        <v>2</v>
      </c>
      <c r="C5785">
        <v>448</v>
      </c>
      <c r="D5785">
        <v>592</v>
      </c>
      <c r="E5785">
        <v>1577030247</v>
      </c>
      <c r="F5785">
        <v>4843</v>
      </c>
      <c r="G5785">
        <v>0</v>
      </c>
      <c r="H5785" t="s">
        <v>10704</v>
      </c>
      <c r="I5785">
        <v>6528</v>
      </c>
      <c r="J5785" t="str">
        <f>VLOOKUP(E5785,DSSpieler!A:B,2,FALSE)</f>
        <v>Habemeister</v>
      </c>
    </row>
    <row r="5786" spans="1:10" x14ac:dyDescent="0.25">
      <c r="A5786">
        <v>6529</v>
      </c>
      <c r="B5786" t="s">
        <v>32854</v>
      </c>
      <c r="C5786">
        <v>509</v>
      </c>
      <c r="D5786">
        <v>402</v>
      </c>
      <c r="E5786">
        <v>1576276798</v>
      </c>
      <c r="F5786">
        <v>5637</v>
      </c>
      <c r="G5786">
        <v>0</v>
      </c>
      <c r="H5786" t="s">
        <v>10705</v>
      </c>
      <c r="I5786">
        <v>6529</v>
      </c>
      <c r="J5786" t="str">
        <f>VLOOKUP(E5786,DSSpieler!A:B,2,FALSE)</f>
        <v>Placebo25</v>
      </c>
    </row>
    <row r="5787" spans="1:10" x14ac:dyDescent="0.25">
      <c r="A5787">
        <v>6530</v>
      </c>
      <c r="B5787" t="s">
        <v>1543</v>
      </c>
      <c r="C5787">
        <v>482</v>
      </c>
      <c r="D5787">
        <v>435</v>
      </c>
      <c r="E5787">
        <v>1576822286</v>
      </c>
      <c r="F5787">
        <v>4135</v>
      </c>
      <c r="G5787">
        <v>0</v>
      </c>
      <c r="H5787" t="s">
        <v>10706</v>
      </c>
      <c r="I5787">
        <v>6530</v>
      </c>
      <c r="J5787" t="str">
        <f>VLOOKUP(E5787,DSSpieler!A:B,2,FALSE)</f>
        <v>Hazack</v>
      </c>
    </row>
    <row r="5788" spans="1:10" x14ac:dyDescent="0.25">
      <c r="A5788">
        <v>6531</v>
      </c>
      <c r="B5788" t="s">
        <v>928</v>
      </c>
      <c r="C5788">
        <v>538</v>
      </c>
      <c r="D5788">
        <v>461</v>
      </c>
      <c r="E5788">
        <v>1577169612</v>
      </c>
      <c r="F5788">
        <v>3252</v>
      </c>
      <c r="G5788">
        <v>0</v>
      </c>
      <c r="H5788" t="s">
        <v>10707</v>
      </c>
      <c r="I5788">
        <v>6531</v>
      </c>
      <c r="J5788" t="str">
        <f>VLOOKUP(E5788,DSSpieler!A:B,2,FALSE)</f>
        <v>Pnemesis93</v>
      </c>
    </row>
    <row r="5789" spans="1:10" x14ac:dyDescent="0.25">
      <c r="A5789">
        <v>6533</v>
      </c>
      <c r="B5789" t="s">
        <v>546</v>
      </c>
      <c r="C5789">
        <v>503</v>
      </c>
      <c r="D5789">
        <v>426</v>
      </c>
      <c r="E5789">
        <v>1577197882</v>
      </c>
      <c r="F5789">
        <v>3197</v>
      </c>
      <c r="G5789">
        <v>0</v>
      </c>
      <c r="H5789" t="s">
        <v>10708</v>
      </c>
      <c r="I5789">
        <v>6533</v>
      </c>
      <c r="J5789" t="str">
        <f>VLOOKUP(E5789,DSSpieler!A:B,2,FALSE)</f>
        <v>Papi Chulo</v>
      </c>
    </row>
    <row r="5790" spans="1:10" x14ac:dyDescent="0.25">
      <c r="A5790">
        <v>6534</v>
      </c>
      <c r="B5790" t="s">
        <v>32855</v>
      </c>
      <c r="C5790">
        <v>407</v>
      </c>
      <c r="D5790">
        <v>515</v>
      </c>
      <c r="E5790">
        <v>1577197544</v>
      </c>
      <c r="F5790">
        <v>4274</v>
      </c>
      <c r="G5790">
        <v>0</v>
      </c>
      <c r="H5790" t="s">
        <v>10709</v>
      </c>
      <c r="I5790">
        <v>6534</v>
      </c>
      <c r="J5790" t="str">
        <f>VLOOKUP(E5790,DSSpieler!A:B,2,FALSE)</f>
        <v>Adelnos</v>
      </c>
    </row>
    <row r="5791" spans="1:10" x14ac:dyDescent="0.25">
      <c r="A5791">
        <v>6535</v>
      </c>
      <c r="B5791" t="s">
        <v>32856</v>
      </c>
      <c r="C5791">
        <v>470</v>
      </c>
      <c r="D5791">
        <v>489</v>
      </c>
      <c r="E5791">
        <v>1576914417</v>
      </c>
      <c r="F5791">
        <v>4946</v>
      </c>
      <c r="G5791">
        <v>0</v>
      </c>
      <c r="H5791" t="s">
        <v>10710</v>
      </c>
      <c r="I5791">
        <v>6535</v>
      </c>
      <c r="J5791" t="str">
        <f>VLOOKUP(E5791,DSSpieler!A:B,2,FALSE)</f>
        <v>Bonemonkey</v>
      </c>
    </row>
    <row r="5792" spans="1:10" x14ac:dyDescent="0.25">
      <c r="A5792">
        <v>6536</v>
      </c>
      <c r="B5792" t="s">
        <v>531</v>
      </c>
      <c r="C5792">
        <v>563</v>
      </c>
      <c r="D5792">
        <v>465</v>
      </c>
      <c r="E5792">
        <v>0</v>
      </c>
      <c r="F5792">
        <v>256</v>
      </c>
      <c r="G5792">
        <v>0</v>
      </c>
      <c r="H5792" t="s">
        <v>10711</v>
      </c>
      <c r="I5792">
        <v>6536</v>
      </c>
      <c r="J5792" t="e">
        <f>VLOOKUP(E5792,DSSpieler!A:B,2,FALSE)</f>
        <v>#N/A</v>
      </c>
    </row>
    <row r="5793" spans="1:10" x14ac:dyDescent="0.25">
      <c r="A5793">
        <v>6537</v>
      </c>
      <c r="B5793" t="s">
        <v>531</v>
      </c>
      <c r="C5793">
        <v>465</v>
      </c>
      <c r="D5793">
        <v>434</v>
      </c>
      <c r="E5793">
        <v>0</v>
      </c>
      <c r="F5793">
        <v>1625</v>
      </c>
      <c r="G5793">
        <v>0</v>
      </c>
      <c r="H5793" t="s">
        <v>10712</v>
      </c>
      <c r="I5793">
        <v>6537</v>
      </c>
      <c r="J5793" t="e">
        <f>VLOOKUP(E5793,DSSpieler!A:B,2,FALSE)</f>
        <v>#N/A</v>
      </c>
    </row>
    <row r="5794" spans="1:10" x14ac:dyDescent="0.25">
      <c r="A5794">
        <v>6538</v>
      </c>
      <c r="B5794" t="s">
        <v>30462</v>
      </c>
      <c r="C5794">
        <v>528</v>
      </c>
      <c r="D5794">
        <v>500</v>
      </c>
      <c r="E5794">
        <v>9340699</v>
      </c>
      <c r="F5794">
        <v>3065</v>
      </c>
      <c r="G5794">
        <v>0</v>
      </c>
      <c r="H5794" t="s">
        <v>10713</v>
      </c>
      <c r="I5794">
        <v>6538</v>
      </c>
      <c r="J5794" t="str">
        <f>VLOOKUP(E5794,DSSpieler!A:B,2,FALSE)</f>
        <v>Bernd1901</v>
      </c>
    </row>
    <row r="5795" spans="1:10" x14ac:dyDescent="0.25">
      <c r="A5795">
        <v>6540</v>
      </c>
      <c r="B5795" t="s">
        <v>1544</v>
      </c>
      <c r="C5795">
        <v>571</v>
      </c>
      <c r="D5795">
        <v>436</v>
      </c>
      <c r="E5795">
        <v>1577198392</v>
      </c>
      <c r="F5795">
        <v>6518</v>
      </c>
      <c r="G5795">
        <v>0</v>
      </c>
      <c r="H5795" t="s">
        <v>10714</v>
      </c>
      <c r="I5795">
        <v>6540</v>
      </c>
      <c r="J5795" t="str">
        <f>VLOOKUP(E5795,DSSpieler!A:B,2,FALSE)</f>
        <v>argon.</v>
      </c>
    </row>
    <row r="5796" spans="1:10" x14ac:dyDescent="0.25">
      <c r="A5796">
        <v>6541</v>
      </c>
      <c r="B5796" t="s">
        <v>531</v>
      </c>
      <c r="C5796">
        <v>478</v>
      </c>
      <c r="D5796">
        <v>498</v>
      </c>
      <c r="E5796">
        <v>0</v>
      </c>
      <c r="F5796">
        <v>311</v>
      </c>
      <c r="G5796">
        <v>0</v>
      </c>
      <c r="H5796" t="s">
        <v>10715</v>
      </c>
      <c r="I5796">
        <v>6541</v>
      </c>
      <c r="J5796" t="e">
        <f>VLOOKUP(E5796,DSSpieler!A:B,2,FALSE)</f>
        <v>#N/A</v>
      </c>
    </row>
    <row r="5797" spans="1:10" x14ac:dyDescent="0.25">
      <c r="A5797">
        <v>6542</v>
      </c>
      <c r="B5797" t="s">
        <v>32857</v>
      </c>
      <c r="C5797">
        <v>461</v>
      </c>
      <c r="D5797">
        <v>523</v>
      </c>
      <c r="E5797">
        <v>8875414</v>
      </c>
      <c r="F5797">
        <v>4757</v>
      </c>
      <c r="G5797">
        <v>0</v>
      </c>
      <c r="H5797" t="s">
        <v>10716</v>
      </c>
      <c r="I5797">
        <v>6542</v>
      </c>
      <c r="J5797" t="str">
        <f>VLOOKUP(E5797,DSSpieler!A:B,2,FALSE)</f>
        <v>Hammer auf Fresse</v>
      </c>
    </row>
    <row r="5798" spans="1:10" x14ac:dyDescent="0.25">
      <c r="A5798">
        <v>6544</v>
      </c>
      <c r="B5798" t="s">
        <v>531</v>
      </c>
      <c r="C5798">
        <v>571</v>
      </c>
      <c r="D5798">
        <v>511</v>
      </c>
      <c r="E5798">
        <v>0</v>
      </c>
      <c r="F5798">
        <v>387</v>
      </c>
      <c r="G5798">
        <v>0</v>
      </c>
      <c r="H5798" t="s">
        <v>10717</v>
      </c>
      <c r="I5798">
        <v>6544</v>
      </c>
      <c r="J5798" t="e">
        <f>VLOOKUP(E5798,DSSpieler!A:B,2,FALSE)</f>
        <v>#N/A</v>
      </c>
    </row>
    <row r="5799" spans="1:10" x14ac:dyDescent="0.25">
      <c r="A5799">
        <v>6545</v>
      </c>
      <c r="B5799" t="s">
        <v>1545</v>
      </c>
      <c r="C5799">
        <v>420</v>
      </c>
      <c r="D5799">
        <v>566</v>
      </c>
      <c r="E5799">
        <v>1577183418</v>
      </c>
      <c r="F5799">
        <v>5413</v>
      </c>
      <c r="G5799">
        <v>0</v>
      </c>
      <c r="H5799" t="s">
        <v>10718</v>
      </c>
      <c r="I5799">
        <v>6545</v>
      </c>
      <c r="J5799" t="str">
        <f>VLOOKUP(E5799,DSSpieler!A:B,2,FALSE)</f>
        <v>klempnerklaus</v>
      </c>
    </row>
    <row r="5800" spans="1:10" x14ac:dyDescent="0.25">
      <c r="A5800">
        <v>6546</v>
      </c>
      <c r="B5800" t="s">
        <v>32858</v>
      </c>
      <c r="C5800">
        <v>562</v>
      </c>
      <c r="D5800">
        <v>478</v>
      </c>
      <c r="E5800">
        <v>1576795194</v>
      </c>
      <c r="F5800">
        <v>8320</v>
      </c>
      <c r="G5800">
        <v>0</v>
      </c>
      <c r="H5800" t="s">
        <v>10719</v>
      </c>
      <c r="I5800">
        <v>6546</v>
      </c>
      <c r="J5800" t="str">
        <f>VLOOKUP(E5800,DSSpieler!A:B,2,FALSE)</f>
        <v>Genshirou</v>
      </c>
    </row>
    <row r="5801" spans="1:10" x14ac:dyDescent="0.25">
      <c r="A5801">
        <v>6547</v>
      </c>
      <c r="B5801" t="s">
        <v>32859</v>
      </c>
      <c r="C5801">
        <v>453</v>
      </c>
      <c r="D5801">
        <v>535</v>
      </c>
      <c r="E5801">
        <v>2550247</v>
      </c>
      <c r="F5801">
        <v>2330</v>
      </c>
      <c r="G5801">
        <v>0</v>
      </c>
      <c r="H5801" t="s">
        <v>10720</v>
      </c>
      <c r="I5801">
        <v>6547</v>
      </c>
      <c r="J5801" t="str">
        <f>VLOOKUP(E5801,DSSpieler!A:B,2,FALSE)</f>
        <v>Cipolla</v>
      </c>
    </row>
    <row r="5802" spans="1:10" x14ac:dyDescent="0.25">
      <c r="A5802">
        <v>6548</v>
      </c>
      <c r="B5802" t="s">
        <v>531</v>
      </c>
      <c r="C5802">
        <v>533</v>
      </c>
      <c r="D5802">
        <v>564</v>
      </c>
      <c r="E5802">
        <v>0</v>
      </c>
      <c r="F5802">
        <v>402</v>
      </c>
      <c r="G5802">
        <v>0</v>
      </c>
      <c r="H5802" t="s">
        <v>10721</v>
      </c>
      <c r="I5802">
        <v>6548</v>
      </c>
      <c r="J5802" t="e">
        <f>VLOOKUP(E5802,DSSpieler!A:B,2,FALSE)</f>
        <v>#N/A</v>
      </c>
    </row>
    <row r="5803" spans="1:10" x14ac:dyDescent="0.25">
      <c r="A5803">
        <v>6549</v>
      </c>
      <c r="B5803" t="s">
        <v>531</v>
      </c>
      <c r="C5803">
        <v>489</v>
      </c>
      <c r="D5803">
        <v>404</v>
      </c>
      <c r="E5803">
        <v>0</v>
      </c>
      <c r="F5803">
        <v>244</v>
      </c>
      <c r="G5803">
        <v>0</v>
      </c>
      <c r="H5803" t="s">
        <v>10722</v>
      </c>
      <c r="I5803">
        <v>6549</v>
      </c>
      <c r="J5803" t="e">
        <f>VLOOKUP(E5803,DSSpieler!A:B,2,FALSE)</f>
        <v>#N/A</v>
      </c>
    </row>
    <row r="5804" spans="1:10" x14ac:dyDescent="0.25">
      <c r="A5804">
        <v>6550</v>
      </c>
      <c r="B5804" t="s">
        <v>32860</v>
      </c>
      <c r="C5804">
        <v>456</v>
      </c>
      <c r="D5804">
        <v>507</v>
      </c>
      <c r="E5804">
        <v>9674526</v>
      </c>
      <c r="F5804">
        <v>4642</v>
      </c>
      <c r="G5804">
        <v>0</v>
      </c>
      <c r="H5804" t="s">
        <v>10723</v>
      </c>
      <c r="I5804">
        <v>6550</v>
      </c>
      <c r="J5804" t="str">
        <f>VLOOKUP(E5804,DSSpieler!A:B,2,FALSE)</f>
        <v>MyNameIst</v>
      </c>
    </row>
    <row r="5805" spans="1:10" x14ac:dyDescent="0.25">
      <c r="A5805">
        <v>6551</v>
      </c>
      <c r="B5805" t="s">
        <v>531</v>
      </c>
      <c r="C5805">
        <v>540</v>
      </c>
      <c r="D5805">
        <v>521</v>
      </c>
      <c r="E5805">
        <v>0</v>
      </c>
      <c r="F5805">
        <v>389</v>
      </c>
      <c r="G5805">
        <v>0</v>
      </c>
      <c r="H5805" t="s">
        <v>10724</v>
      </c>
      <c r="I5805">
        <v>6551</v>
      </c>
      <c r="J5805" t="e">
        <f>VLOOKUP(E5805,DSSpieler!A:B,2,FALSE)</f>
        <v>#N/A</v>
      </c>
    </row>
    <row r="5806" spans="1:10" x14ac:dyDescent="0.25">
      <c r="A5806">
        <v>6552</v>
      </c>
      <c r="B5806" t="s">
        <v>643</v>
      </c>
      <c r="C5806">
        <v>427</v>
      </c>
      <c r="D5806">
        <v>515</v>
      </c>
      <c r="E5806">
        <v>1576022930</v>
      </c>
      <c r="F5806">
        <v>4109</v>
      </c>
      <c r="G5806">
        <v>0</v>
      </c>
      <c r="H5806" t="s">
        <v>10725</v>
      </c>
      <c r="I5806">
        <v>6552</v>
      </c>
      <c r="J5806" t="str">
        <f>VLOOKUP(E5806,DSSpieler!A:B,2,FALSE)</f>
        <v>Schyro</v>
      </c>
    </row>
    <row r="5807" spans="1:10" x14ac:dyDescent="0.25">
      <c r="A5807">
        <v>6553</v>
      </c>
      <c r="B5807" t="s">
        <v>32861</v>
      </c>
      <c r="C5807">
        <v>488</v>
      </c>
      <c r="D5807">
        <v>542</v>
      </c>
      <c r="E5807">
        <v>1576996984</v>
      </c>
      <c r="F5807">
        <v>5494</v>
      </c>
      <c r="G5807">
        <v>0</v>
      </c>
      <c r="H5807" t="s">
        <v>10726</v>
      </c>
      <c r="I5807">
        <v>6553</v>
      </c>
      <c r="J5807" t="str">
        <f>VLOOKUP(E5807,DSSpieler!A:B,2,FALSE)</f>
        <v>Gallone</v>
      </c>
    </row>
    <row r="5808" spans="1:10" x14ac:dyDescent="0.25">
      <c r="A5808">
        <v>6554</v>
      </c>
      <c r="B5808" t="s">
        <v>1067</v>
      </c>
      <c r="C5808">
        <v>595</v>
      </c>
      <c r="D5808">
        <v>503</v>
      </c>
      <c r="E5808">
        <v>8393437</v>
      </c>
      <c r="F5808">
        <v>4702</v>
      </c>
      <c r="G5808">
        <v>0</v>
      </c>
      <c r="H5808" t="s">
        <v>10727</v>
      </c>
      <c r="I5808">
        <v>6554</v>
      </c>
      <c r="J5808" t="str">
        <f>VLOOKUP(E5808,DSSpieler!A:B,2,FALSE)</f>
        <v>Dein Tödchen</v>
      </c>
    </row>
    <row r="5809" spans="1:10" x14ac:dyDescent="0.25">
      <c r="A5809">
        <v>6556</v>
      </c>
      <c r="B5809" t="s">
        <v>1546</v>
      </c>
      <c r="C5809">
        <v>599</v>
      </c>
      <c r="D5809">
        <v>488</v>
      </c>
      <c r="E5809">
        <v>1577188598</v>
      </c>
      <c r="F5809">
        <v>6255</v>
      </c>
      <c r="G5809">
        <v>0</v>
      </c>
      <c r="H5809" t="s">
        <v>10728</v>
      </c>
      <c r="I5809">
        <v>6556</v>
      </c>
      <c r="J5809" t="str">
        <f>VLOOKUP(E5809,DSSpieler!A:B,2,FALSE)</f>
        <v>Visang1506</v>
      </c>
    </row>
    <row r="5810" spans="1:10" x14ac:dyDescent="0.25">
      <c r="A5810">
        <v>6557</v>
      </c>
      <c r="B5810" t="s">
        <v>531</v>
      </c>
      <c r="C5810">
        <v>421</v>
      </c>
      <c r="D5810">
        <v>501</v>
      </c>
      <c r="E5810">
        <v>1577187807</v>
      </c>
      <c r="F5810">
        <v>1163</v>
      </c>
      <c r="G5810">
        <v>0</v>
      </c>
      <c r="H5810" t="s">
        <v>10729</v>
      </c>
      <c r="I5810">
        <v>6557</v>
      </c>
      <c r="J5810" t="str">
        <f>VLOOKUP(E5810,DSSpieler!A:B,2,FALSE)</f>
        <v>joker52</v>
      </c>
    </row>
    <row r="5811" spans="1:10" x14ac:dyDescent="0.25">
      <c r="A5811">
        <v>6558</v>
      </c>
      <c r="B5811" t="s">
        <v>1547</v>
      </c>
      <c r="C5811">
        <v>480</v>
      </c>
      <c r="D5811">
        <v>536</v>
      </c>
      <c r="E5811">
        <v>1577196742</v>
      </c>
      <c r="F5811">
        <v>3364</v>
      </c>
      <c r="G5811">
        <v>0</v>
      </c>
      <c r="H5811" t="s">
        <v>10730</v>
      </c>
      <c r="I5811">
        <v>6558</v>
      </c>
      <c r="J5811" t="str">
        <f>VLOOKUP(E5811,DSSpieler!A:B,2,FALSE)</f>
        <v>herzn</v>
      </c>
    </row>
    <row r="5812" spans="1:10" x14ac:dyDescent="0.25">
      <c r="A5812">
        <v>6559</v>
      </c>
      <c r="B5812" t="s">
        <v>32862</v>
      </c>
      <c r="C5812">
        <v>480</v>
      </c>
      <c r="D5812">
        <v>547</v>
      </c>
      <c r="E5812">
        <v>1577196514</v>
      </c>
      <c r="F5812">
        <v>5872</v>
      </c>
      <c r="G5812">
        <v>0</v>
      </c>
      <c r="H5812" t="s">
        <v>10731</v>
      </c>
      <c r="I5812">
        <v>6559</v>
      </c>
      <c r="J5812" t="str">
        <f>VLOOKUP(E5812,DSSpieler!A:B,2,FALSE)</f>
        <v>Thunderus</v>
      </c>
    </row>
    <row r="5813" spans="1:10" x14ac:dyDescent="0.25">
      <c r="A5813">
        <v>6560</v>
      </c>
      <c r="B5813" t="s">
        <v>531</v>
      </c>
      <c r="C5813">
        <v>476</v>
      </c>
      <c r="D5813">
        <v>466</v>
      </c>
      <c r="E5813">
        <v>0</v>
      </c>
      <c r="F5813">
        <v>155</v>
      </c>
      <c r="G5813">
        <v>0</v>
      </c>
      <c r="H5813" t="s">
        <v>10732</v>
      </c>
      <c r="I5813">
        <v>6560</v>
      </c>
      <c r="J5813" t="e">
        <f>VLOOKUP(E5813,DSSpieler!A:B,2,FALSE)</f>
        <v>#N/A</v>
      </c>
    </row>
    <row r="5814" spans="1:10" x14ac:dyDescent="0.25">
      <c r="A5814">
        <v>6561</v>
      </c>
      <c r="B5814" t="s">
        <v>531</v>
      </c>
      <c r="C5814">
        <v>491</v>
      </c>
      <c r="D5814">
        <v>506</v>
      </c>
      <c r="E5814">
        <v>0</v>
      </c>
      <c r="F5814">
        <v>412</v>
      </c>
      <c r="G5814">
        <v>0</v>
      </c>
      <c r="H5814" t="s">
        <v>10733</v>
      </c>
      <c r="I5814">
        <v>6561</v>
      </c>
      <c r="J5814" t="e">
        <f>VLOOKUP(E5814,DSSpieler!A:B,2,FALSE)</f>
        <v>#N/A</v>
      </c>
    </row>
    <row r="5815" spans="1:10" x14ac:dyDescent="0.25">
      <c r="A5815">
        <v>6563</v>
      </c>
      <c r="B5815" t="s">
        <v>32863</v>
      </c>
      <c r="C5815">
        <v>460</v>
      </c>
      <c r="D5815">
        <v>571</v>
      </c>
      <c r="E5815">
        <v>557668</v>
      </c>
      <c r="F5815">
        <v>3878</v>
      </c>
      <c r="G5815">
        <v>0</v>
      </c>
      <c r="H5815" t="s">
        <v>10734</v>
      </c>
      <c r="I5815">
        <v>6563</v>
      </c>
      <c r="J5815" t="str">
        <f>VLOOKUP(E5815,DSSpieler!A:B,2,FALSE)</f>
        <v>Accce</v>
      </c>
    </row>
    <row r="5816" spans="1:10" x14ac:dyDescent="0.25">
      <c r="A5816">
        <v>6564</v>
      </c>
      <c r="B5816" t="s">
        <v>1548</v>
      </c>
      <c r="C5816">
        <v>452</v>
      </c>
      <c r="D5816">
        <v>546</v>
      </c>
      <c r="E5816">
        <v>1577177324</v>
      </c>
      <c r="F5816">
        <v>6253</v>
      </c>
      <c r="G5816">
        <v>0</v>
      </c>
      <c r="H5816" t="s">
        <v>10735</v>
      </c>
      <c r="I5816">
        <v>6564</v>
      </c>
      <c r="J5816" t="str">
        <f>VLOOKUP(E5816,DSSpieler!A:B,2,FALSE)</f>
        <v>feli</v>
      </c>
    </row>
    <row r="5817" spans="1:10" x14ac:dyDescent="0.25">
      <c r="A5817">
        <v>6565</v>
      </c>
      <c r="B5817" t="s">
        <v>32864</v>
      </c>
      <c r="C5817">
        <v>565</v>
      </c>
      <c r="D5817">
        <v>531</v>
      </c>
      <c r="E5817">
        <v>1577162617</v>
      </c>
      <c r="F5817">
        <v>4664</v>
      </c>
      <c r="G5817">
        <v>0</v>
      </c>
      <c r="H5817" t="s">
        <v>10736</v>
      </c>
      <c r="I5817">
        <v>6565</v>
      </c>
      <c r="J5817" t="str">
        <f>VLOOKUP(E5817,DSSpieler!A:B,2,FALSE)</f>
        <v>-FinnTheHuman*</v>
      </c>
    </row>
    <row r="5818" spans="1:10" x14ac:dyDescent="0.25">
      <c r="A5818">
        <v>6566</v>
      </c>
      <c r="B5818" t="s">
        <v>531</v>
      </c>
      <c r="C5818">
        <v>433</v>
      </c>
      <c r="D5818">
        <v>462</v>
      </c>
      <c r="E5818">
        <v>0</v>
      </c>
      <c r="F5818">
        <v>515</v>
      </c>
      <c r="G5818">
        <v>0</v>
      </c>
      <c r="H5818" t="s">
        <v>10737</v>
      </c>
      <c r="I5818">
        <v>6566</v>
      </c>
      <c r="J5818" t="e">
        <f>VLOOKUP(E5818,DSSpieler!A:B,2,FALSE)</f>
        <v>#N/A</v>
      </c>
    </row>
    <row r="5819" spans="1:10" x14ac:dyDescent="0.25">
      <c r="A5819">
        <v>6567</v>
      </c>
      <c r="B5819" t="s">
        <v>1549</v>
      </c>
      <c r="C5819">
        <v>541</v>
      </c>
      <c r="D5819">
        <v>569</v>
      </c>
      <c r="E5819">
        <v>1576838265</v>
      </c>
      <c r="F5819">
        <v>3469</v>
      </c>
      <c r="G5819">
        <v>0</v>
      </c>
      <c r="H5819" t="s">
        <v>10738</v>
      </c>
      <c r="I5819">
        <v>6567</v>
      </c>
      <c r="J5819" t="str">
        <f>VLOOKUP(E5819,DSSpieler!A:B,2,FALSE)</f>
        <v>NeTsRaK3107</v>
      </c>
    </row>
    <row r="5820" spans="1:10" x14ac:dyDescent="0.25">
      <c r="A5820">
        <v>6568</v>
      </c>
      <c r="B5820" t="s">
        <v>531</v>
      </c>
      <c r="C5820">
        <v>479</v>
      </c>
      <c r="D5820">
        <v>528</v>
      </c>
      <c r="E5820">
        <v>0</v>
      </c>
      <c r="F5820">
        <v>209</v>
      </c>
      <c r="G5820">
        <v>0</v>
      </c>
      <c r="H5820" t="s">
        <v>10739</v>
      </c>
      <c r="I5820">
        <v>6568</v>
      </c>
      <c r="J5820" t="e">
        <f>VLOOKUP(E5820,DSSpieler!A:B,2,FALSE)</f>
        <v>#N/A</v>
      </c>
    </row>
    <row r="5821" spans="1:10" x14ac:dyDescent="0.25">
      <c r="A5821">
        <v>6569</v>
      </c>
      <c r="B5821" t="s">
        <v>32865</v>
      </c>
      <c r="C5821">
        <v>502</v>
      </c>
      <c r="D5821">
        <v>417</v>
      </c>
      <c r="E5821">
        <v>1577101143</v>
      </c>
      <c r="F5821">
        <v>6287</v>
      </c>
      <c r="G5821">
        <v>0</v>
      </c>
      <c r="H5821" t="s">
        <v>10740</v>
      </c>
      <c r="I5821">
        <v>6569</v>
      </c>
      <c r="J5821" t="str">
        <f>VLOOKUP(E5821,DSSpieler!A:B,2,FALSE)</f>
        <v>untoldplayer</v>
      </c>
    </row>
    <row r="5822" spans="1:10" x14ac:dyDescent="0.25">
      <c r="A5822">
        <v>6571</v>
      </c>
      <c r="B5822" t="s">
        <v>32204</v>
      </c>
      <c r="C5822">
        <v>497</v>
      </c>
      <c r="D5822">
        <v>568</v>
      </c>
      <c r="E5822">
        <v>9574714</v>
      </c>
      <c r="F5822">
        <v>6796</v>
      </c>
      <c r="G5822">
        <v>0</v>
      </c>
      <c r="H5822" t="s">
        <v>10741</v>
      </c>
      <c r="I5822">
        <v>6571</v>
      </c>
      <c r="J5822" t="str">
        <f>VLOOKUP(E5822,DSSpieler!A:B,2,FALSE)</f>
        <v>Rest In Peace?</v>
      </c>
    </row>
    <row r="5823" spans="1:10" x14ac:dyDescent="0.25">
      <c r="A5823">
        <v>6572</v>
      </c>
      <c r="B5823" t="s">
        <v>531</v>
      </c>
      <c r="C5823">
        <v>463</v>
      </c>
      <c r="D5823">
        <v>546</v>
      </c>
      <c r="E5823">
        <v>0</v>
      </c>
      <c r="F5823">
        <v>301</v>
      </c>
      <c r="G5823">
        <v>0</v>
      </c>
      <c r="H5823" t="s">
        <v>10742</v>
      </c>
      <c r="I5823">
        <v>6572</v>
      </c>
      <c r="J5823" t="e">
        <f>VLOOKUP(E5823,DSSpieler!A:B,2,FALSE)</f>
        <v>#N/A</v>
      </c>
    </row>
    <row r="5824" spans="1:10" x14ac:dyDescent="0.25">
      <c r="A5824">
        <v>6573</v>
      </c>
      <c r="B5824" t="s">
        <v>32866</v>
      </c>
      <c r="C5824">
        <v>464</v>
      </c>
      <c r="D5824">
        <v>533</v>
      </c>
      <c r="E5824">
        <v>1577185970</v>
      </c>
      <c r="F5824">
        <v>6175</v>
      </c>
      <c r="G5824">
        <v>0</v>
      </c>
      <c r="H5824" t="s">
        <v>10743</v>
      </c>
      <c r="I5824">
        <v>6573</v>
      </c>
      <c r="J5824" t="str">
        <f>VLOOKUP(E5824,DSSpieler!A:B,2,FALSE)</f>
        <v>Lord Kaktus</v>
      </c>
    </row>
    <row r="5825" spans="1:10" x14ac:dyDescent="0.25">
      <c r="A5825">
        <v>6574</v>
      </c>
      <c r="B5825" t="s">
        <v>1550</v>
      </c>
      <c r="C5825">
        <v>421</v>
      </c>
      <c r="D5825">
        <v>505</v>
      </c>
      <c r="E5825">
        <v>1324412</v>
      </c>
      <c r="F5825">
        <v>5308</v>
      </c>
      <c r="G5825">
        <v>0</v>
      </c>
      <c r="H5825" t="s">
        <v>10744</v>
      </c>
      <c r="I5825">
        <v>6574</v>
      </c>
      <c r="J5825" t="str">
        <f>VLOOKUP(E5825,DSSpieler!A:B,2,FALSE)</f>
        <v>Chico99</v>
      </c>
    </row>
    <row r="5826" spans="1:10" x14ac:dyDescent="0.25">
      <c r="A5826">
        <v>6576</v>
      </c>
      <c r="B5826" t="s">
        <v>32867</v>
      </c>
      <c r="C5826">
        <v>435</v>
      </c>
      <c r="D5826">
        <v>543</v>
      </c>
      <c r="E5826">
        <v>1577197719</v>
      </c>
      <c r="F5826">
        <v>4566</v>
      </c>
      <c r="G5826">
        <v>0</v>
      </c>
      <c r="H5826" t="s">
        <v>10745</v>
      </c>
      <c r="I5826">
        <v>6576</v>
      </c>
      <c r="J5826" t="str">
        <f>VLOOKUP(E5826,DSSpieler!A:B,2,FALSE)</f>
        <v>ttprofi</v>
      </c>
    </row>
    <row r="5827" spans="1:10" x14ac:dyDescent="0.25">
      <c r="A5827">
        <v>6577</v>
      </c>
      <c r="B5827" t="s">
        <v>531</v>
      </c>
      <c r="C5827">
        <v>436</v>
      </c>
      <c r="D5827">
        <v>498</v>
      </c>
      <c r="E5827">
        <v>0</v>
      </c>
      <c r="F5827">
        <v>280</v>
      </c>
      <c r="G5827">
        <v>0</v>
      </c>
      <c r="H5827" t="s">
        <v>10746</v>
      </c>
      <c r="I5827">
        <v>6577</v>
      </c>
      <c r="J5827" t="e">
        <f>VLOOKUP(E5827,DSSpieler!A:B,2,FALSE)</f>
        <v>#N/A</v>
      </c>
    </row>
    <row r="5828" spans="1:10" x14ac:dyDescent="0.25">
      <c r="A5828">
        <v>6578</v>
      </c>
      <c r="B5828" t="s">
        <v>32868</v>
      </c>
      <c r="C5828">
        <v>495</v>
      </c>
      <c r="D5828">
        <v>461</v>
      </c>
      <c r="E5828">
        <v>1576907335</v>
      </c>
      <c r="F5828">
        <v>4801</v>
      </c>
      <c r="G5828">
        <v>0</v>
      </c>
      <c r="H5828" t="s">
        <v>10747</v>
      </c>
      <c r="I5828">
        <v>6578</v>
      </c>
      <c r="J5828" t="str">
        <f>VLOOKUP(E5828,DSSpieler!A:B,2,FALSE)</f>
        <v>hokahe</v>
      </c>
    </row>
    <row r="5829" spans="1:10" x14ac:dyDescent="0.25">
      <c r="A5829">
        <v>6579</v>
      </c>
      <c r="B5829" t="s">
        <v>531</v>
      </c>
      <c r="C5829">
        <v>470</v>
      </c>
      <c r="D5829">
        <v>535</v>
      </c>
      <c r="E5829">
        <v>0</v>
      </c>
      <c r="F5829">
        <v>330</v>
      </c>
      <c r="G5829">
        <v>0</v>
      </c>
      <c r="H5829" t="s">
        <v>10748</v>
      </c>
      <c r="I5829">
        <v>6579</v>
      </c>
      <c r="J5829" t="e">
        <f>VLOOKUP(E5829,DSSpieler!A:B,2,FALSE)</f>
        <v>#N/A</v>
      </c>
    </row>
    <row r="5830" spans="1:10" x14ac:dyDescent="0.25">
      <c r="A5830">
        <v>6580</v>
      </c>
      <c r="B5830" t="s">
        <v>32869</v>
      </c>
      <c r="C5830">
        <v>450</v>
      </c>
      <c r="D5830">
        <v>555</v>
      </c>
      <c r="E5830">
        <v>418742</v>
      </c>
      <c r="F5830">
        <v>6313</v>
      </c>
      <c r="G5830">
        <v>0</v>
      </c>
      <c r="H5830" t="s">
        <v>10749</v>
      </c>
      <c r="I5830">
        <v>6580</v>
      </c>
      <c r="J5830" t="str">
        <f>VLOOKUP(E5830,DSSpieler!A:B,2,FALSE)</f>
        <v>barbiegirl</v>
      </c>
    </row>
    <row r="5831" spans="1:10" x14ac:dyDescent="0.25">
      <c r="A5831">
        <v>6581</v>
      </c>
      <c r="B5831" t="s">
        <v>32870</v>
      </c>
      <c r="C5831">
        <v>547</v>
      </c>
      <c r="D5831">
        <v>525</v>
      </c>
      <c r="E5831">
        <v>1577186673</v>
      </c>
      <c r="F5831">
        <v>819</v>
      </c>
      <c r="G5831">
        <v>0</v>
      </c>
      <c r="H5831" t="s">
        <v>10750</v>
      </c>
      <c r="I5831">
        <v>6581</v>
      </c>
      <c r="J5831" t="str">
        <f>VLOOKUP(E5831,DSSpieler!A:B,2,FALSE)</f>
        <v>Mot1</v>
      </c>
    </row>
    <row r="5832" spans="1:10" x14ac:dyDescent="0.25">
      <c r="A5832">
        <v>6582</v>
      </c>
      <c r="B5832" t="s">
        <v>32871</v>
      </c>
      <c r="C5832">
        <v>580</v>
      </c>
      <c r="D5832">
        <v>561</v>
      </c>
      <c r="E5832">
        <v>1576706289</v>
      </c>
      <c r="F5832">
        <v>6299</v>
      </c>
      <c r="G5832">
        <v>0</v>
      </c>
      <c r="H5832" t="s">
        <v>10751</v>
      </c>
      <c r="I5832">
        <v>6582</v>
      </c>
      <c r="J5832" t="str">
        <f>VLOOKUP(E5832,DSSpieler!A:B,2,FALSE)</f>
        <v>YellowStrikeLXBG</v>
      </c>
    </row>
    <row r="5833" spans="1:10" x14ac:dyDescent="0.25">
      <c r="A5833">
        <v>6583</v>
      </c>
      <c r="B5833" t="s">
        <v>32872</v>
      </c>
      <c r="C5833">
        <v>450</v>
      </c>
      <c r="D5833">
        <v>569</v>
      </c>
      <c r="E5833">
        <v>1577154995</v>
      </c>
      <c r="F5833">
        <v>3683</v>
      </c>
      <c r="G5833">
        <v>0</v>
      </c>
      <c r="H5833" t="s">
        <v>10752</v>
      </c>
      <c r="I5833">
        <v>6583</v>
      </c>
      <c r="J5833" t="str">
        <f>VLOOKUP(E5833,DSSpieler!A:B,2,FALSE)</f>
        <v>Lucy-fer</v>
      </c>
    </row>
    <row r="5834" spans="1:10" x14ac:dyDescent="0.25">
      <c r="A5834">
        <v>6584</v>
      </c>
      <c r="B5834" t="s">
        <v>531</v>
      </c>
      <c r="C5834">
        <v>436</v>
      </c>
      <c r="D5834">
        <v>537</v>
      </c>
      <c r="E5834">
        <v>0</v>
      </c>
      <c r="F5834">
        <v>176</v>
      </c>
      <c r="G5834">
        <v>0</v>
      </c>
      <c r="H5834" t="s">
        <v>10753</v>
      </c>
      <c r="I5834">
        <v>6584</v>
      </c>
      <c r="J5834" t="e">
        <f>VLOOKUP(E5834,DSSpieler!A:B,2,FALSE)</f>
        <v>#N/A</v>
      </c>
    </row>
    <row r="5835" spans="1:10" x14ac:dyDescent="0.25">
      <c r="A5835">
        <v>6586</v>
      </c>
      <c r="B5835" t="s">
        <v>531</v>
      </c>
      <c r="C5835">
        <v>425</v>
      </c>
      <c r="D5835">
        <v>485</v>
      </c>
      <c r="E5835">
        <v>0</v>
      </c>
      <c r="F5835">
        <v>279</v>
      </c>
      <c r="G5835">
        <v>0</v>
      </c>
      <c r="H5835" t="s">
        <v>10754</v>
      </c>
      <c r="I5835">
        <v>6586</v>
      </c>
      <c r="J5835" t="e">
        <f>VLOOKUP(E5835,DSSpieler!A:B,2,FALSE)</f>
        <v>#N/A</v>
      </c>
    </row>
    <row r="5836" spans="1:10" x14ac:dyDescent="0.25">
      <c r="A5836">
        <v>6587</v>
      </c>
      <c r="B5836" t="s">
        <v>32696</v>
      </c>
      <c r="C5836">
        <v>566</v>
      </c>
      <c r="D5836">
        <v>416</v>
      </c>
      <c r="E5836">
        <v>1577045326</v>
      </c>
      <c r="F5836">
        <v>5754</v>
      </c>
      <c r="G5836">
        <v>0</v>
      </c>
      <c r="H5836" t="s">
        <v>10755</v>
      </c>
      <c r="I5836">
        <v>6587</v>
      </c>
      <c r="J5836" t="str">
        <f>VLOOKUP(E5836,DSSpieler!A:B,2,FALSE)</f>
        <v>Lunula</v>
      </c>
    </row>
    <row r="5837" spans="1:10" x14ac:dyDescent="0.25">
      <c r="A5837">
        <v>6588</v>
      </c>
      <c r="B5837" t="s">
        <v>531</v>
      </c>
      <c r="C5837">
        <v>492</v>
      </c>
      <c r="D5837">
        <v>527</v>
      </c>
      <c r="E5837">
        <v>0</v>
      </c>
      <c r="F5837">
        <v>265</v>
      </c>
      <c r="G5837">
        <v>0</v>
      </c>
      <c r="H5837" t="s">
        <v>10756</v>
      </c>
      <c r="I5837">
        <v>6588</v>
      </c>
      <c r="J5837" t="e">
        <f>VLOOKUP(E5837,DSSpieler!A:B,2,FALSE)</f>
        <v>#N/A</v>
      </c>
    </row>
    <row r="5838" spans="1:10" x14ac:dyDescent="0.25">
      <c r="A5838">
        <v>6590</v>
      </c>
      <c r="B5838" t="s">
        <v>1551</v>
      </c>
      <c r="C5838">
        <v>404</v>
      </c>
      <c r="D5838">
        <v>524</v>
      </c>
      <c r="E5838">
        <v>281103</v>
      </c>
      <c r="F5838">
        <v>4782</v>
      </c>
      <c r="G5838">
        <v>0</v>
      </c>
      <c r="H5838" t="s">
        <v>10757</v>
      </c>
      <c r="I5838">
        <v>6590</v>
      </c>
      <c r="J5838" t="str">
        <f>VLOOKUP(E5838,DSSpieler!A:B,2,FALSE)</f>
        <v>Lady Elaine</v>
      </c>
    </row>
    <row r="5839" spans="1:10" x14ac:dyDescent="0.25">
      <c r="A5839">
        <v>6593</v>
      </c>
      <c r="B5839" t="s">
        <v>531</v>
      </c>
      <c r="C5839">
        <v>415</v>
      </c>
      <c r="D5839">
        <v>426</v>
      </c>
      <c r="E5839">
        <v>0</v>
      </c>
      <c r="F5839">
        <v>2020</v>
      </c>
      <c r="G5839">
        <v>0</v>
      </c>
      <c r="H5839" t="s">
        <v>10758</v>
      </c>
      <c r="I5839">
        <v>6593</v>
      </c>
      <c r="J5839" t="e">
        <f>VLOOKUP(E5839,DSSpieler!A:B,2,FALSE)</f>
        <v>#N/A</v>
      </c>
    </row>
    <row r="5840" spans="1:10" x14ac:dyDescent="0.25">
      <c r="A5840">
        <v>6594</v>
      </c>
      <c r="B5840" t="s">
        <v>32873</v>
      </c>
      <c r="C5840">
        <v>486</v>
      </c>
      <c r="D5840">
        <v>571</v>
      </c>
      <c r="E5840">
        <v>1577197880</v>
      </c>
      <c r="F5840">
        <v>5887</v>
      </c>
      <c r="G5840">
        <v>0</v>
      </c>
      <c r="H5840" t="s">
        <v>10759</v>
      </c>
      <c r="I5840">
        <v>6594</v>
      </c>
      <c r="J5840" t="str">
        <f>VLOOKUP(E5840,DSSpieler!A:B,2,FALSE)</f>
        <v>jakusizz</v>
      </c>
    </row>
    <row r="5841" spans="1:10" x14ac:dyDescent="0.25">
      <c r="A5841">
        <v>6595</v>
      </c>
      <c r="B5841">
        <v>420</v>
      </c>
      <c r="C5841">
        <v>438</v>
      </c>
      <c r="D5841">
        <v>542</v>
      </c>
      <c r="E5841">
        <v>9868037</v>
      </c>
      <c r="F5841">
        <v>2364</v>
      </c>
      <c r="G5841">
        <v>0</v>
      </c>
      <c r="H5841" t="s">
        <v>10760</v>
      </c>
      <c r="I5841">
        <v>6595</v>
      </c>
      <c r="J5841" t="str">
        <f>VLOOKUP(E5841,DSSpieler!A:B,2,FALSE)</f>
        <v>.Taboo</v>
      </c>
    </row>
    <row r="5842" spans="1:10" x14ac:dyDescent="0.25">
      <c r="A5842">
        <v>6596</v>
      </c>
      <c r="B5842" t="s">
        <v>531</v>
      </c>
      <c r="C5842">
        <v>473</v>
      </c>
      <c r="D5842">
        <v>571</v>
      </c>
      <c r="E5842">
        <v>0</v>
      </c>
      <c r="F5842">
        <v>369</v>
      </c>
      <c r="G5842">
        <v>0</v>
      </c>
      <c r="H5842" t="s">
        <v>10761</v>
      </c>
      <c r="I5842">
        <v>6596</v>
      </c>
      <c r="J5842" t="e">
        <f>VLOOKUP(E5842,DSSpieler!A:B,2,FALSE)</f>
        <v>#N/A</v>
      </c>
    </row>
    <row r="5843" spans="1:10" x14ac:dyDescent="0.25">
      <c r="A5843">
        <v>6597</v>
      </c>
      <c r="B5843">
        <v>178</v>
      </c>
      <c r="C5843">
        <v>519</v>
      </c>
      <c r="D5843">
        <v>542</v>
      </c>
      <c r="E5843">
        <v>9978884</v>
      </c>
      <c r="F5843">
        <v>5559</v>
      </c>
      <c r="G5843">
        <v>0</v>
      </c>
      <c r="H5843" t="s">
        <v>10762</v>
      </c>
      <c r="I5843">
        <v>6597</v>
      </c>
      <c r="J5843" t="str">
        <f>VLOOKUP(E5843,DSSpieler!A:B,2,FALSE)</f>
        <v>nexuspremium</v>
      </c>
    </row>
    <row r="5844" spans="1:10" x14ac:dyDescent="0.25">
      <c r="A5844">
        <v>6598</v>
      </c>
      <c r="B5844" t="s">
        <v>32874</v>
      </c>
      <c r="C5844">
        <v>566</v>
      </c>
      <c r="D5844">
        <v>462</v>
      </c>
      <c r="E5844">
        <v>1577075520</v>
      </c>
      <c r="F5844">
        <v>3724</v>
      </c>
      <c r="G5844">
        <v>0</v>
      </c>
      <c r="H5844" t="s">
        <v>10763</v>
      </c>
      <c r="I5844">
        <v>6598</v>
      </c>
      <c r="J5844" t="str">
        <f>VLOOKUP(E5844,DSSpieler!A:B,2,FALSE)</f>
        <v>SirBiedi</v>
      </c>
    </row>
    <row r="5845" spans="1:10" x14ac:dyDescent="0.25">
      <c r="A5845">
        <v>6599</v>
      </c>
      <c r="B5845" t="s">
        <v>32875</v>
      </c>
      <c r="C5845">
        <v>445</v>
      </c>
      <c r="D5845">
        <v>553</v>
      </c>
      <c r="E5845">
        <v>1577174428</v>
      </c>
      <c r="F5845">
        <v>5489</v>
      </c>
      <c r="G5845">
        <v>0</v>
      </c>
      <c r="H5845" t="s">
        <v>10764</v>
      </c>
      <c r="I5845">
        <v>6599</v>
      </c>
      <c r="J5845" t="str">
        <f>VLOOKUP(E5845,DSSpieler!A:B,2,FALSE)</f>
        <v>felu</v>
      </c>
    </row>
    <row r="5846" spans="1:10" x14ac:dyDescent="0.25">
      <c r="A5846">
        <v>6600</v>
      </c>
      <c r="B5846" t="s">
        <v>1552</v>
      </c>
      <c r="C5846">
        <v>556</v>
      </c>
      <c r="D5846">
        <v>522</v>
      </c>
      <c r="E5846">
        <v>1576846722</v>
      </c>
      <c r="F5846">
        <v>8363</v>
      </c>
      <c r="G5846">
        <v>0</v>
      </c>
      <c r="H5846" t="s">
        <v>10765</v>
      </c>
      <c r="I5846">
        <v>6600</v>
      </c>
      <c r="J5846" t="str">
        <f>VLOOKUP(E5846,DSSpieler!A:B,2,FALSE)</f>
        <v>Lokist2003</v>
      </c>
    </row>
    <row r="5847" spans="1:10" x14ac:dyDescent="0.25">
      <c r="A5847">
        <v>6601</v>
      </c>
      <c r="B5847" t="s">
        <v>531</v>
      </c>
      <c r="C5847">
        <v>492</v>
      </c>
      <c r="D5847">
        <v>532</v>
      </c>
      <c r="E5847">
        <v>0</v>
      </c>
      <c r="F5847">
        <v>311</v>
      </c>
      <c r="G5847">
        <v>0</v>
      </c>
      <c r="H5847" t="s">
        <v>10766</v>
      </c>
      <c r="I5847">
        <v>6601</v>
      </c>
      <c r="J5847" t="e">
        <f>VLOOKUP(E5847,DSSpieler!A:B,2,FALSE)</f>
        <v>#N/A</v>
      </c>
    </row>
    <row r="5848" spans="1:10" x14ac:dyDescent="0.25">
      <c r="A5848">
        <v>6603</v>
      </c>
      <c r="B5848" t="s">
        <v>979</v>
      </c>
      <c r="C5848">
        <v>509</v>
      </c>
      <c r="D5848">
        <v>610</v>
      </c>
      <c r="E5848">
        <v>1577177565</v>
      </c>
      <c r="F5848">
        <v>5600</v>
      </c>
      <c r="G5848">
        <v>0</v>
      </c>
      <c r="H5848" t="s">
        <v>10767</v>
      </c>
      <c r="I5848">
        <v>6603</v>
      </c>
      <c r="J5848" t="str">
        <f>VLOOKUP(E5848,DSSpieler!A:B,2,FALSE)</f>
        <v>Auschu</v>
      </c>
    </row>
    <row r="5849" spans="1:10" x14ac:dyDescent="0.25">
      <c r="A5849">
        <v>6604</v>
      </c>
      <c r="B5849" t="s">
        <v>531</v>
      </c>
      <c r="C5849">
        <v>528</v>
      </c>
      <c r="D5849">
        <v>457</v>
      </c>
      <c r="E5849">
        <v>0</v>
      </c>
      <c r="F5849">
        <v>556</v>
      </c>
      <c r="G5849">
        <v>0</v>
      </c>
      <c r="H5849" t="s">
        <v>10768</v>
      </c>
      <c r="I5849">
        <v>6604</v>
      </c>
      <c r="J5849" t="e">
        <f>VLOOKUP(E5849,DSSpieler!A:B,2,FALSE)</f>
        <v>#N/A</v>
      </c>
    </row>
    <row r="5850" spans="1:10" x14ac:dyDescent="0.25">
      <c r="A5850">
        <v>6605</v>
      </c>
      <c r="B5850" t="s">
        <v>531</v>
      </c>
      <c r="C5850">
        <v>527</v>
      </c>
      <c r="D5850">
        <v>563</v>
      </c>
      <c r="E5850">
        <v>0</v>
      </c>
      <c r="F5850">
        <v>199</v>
      </c>
      <c r="G5850">
        <v>0</v>
      </c>
      <c r="H5850" t="s">
        <v>10769</v>
      </c>
      <c r="I5850">
        <v>6605</v>
      </c>
      <c r="J5850" t="e">
        <f>VLOOKUP(E5850,DSSpieler!A:B,2,FALSE)</f>
        <v>#N/A</v>
      </c>
    </row>
    <row r="5851" spans="1:10" x14ac:dyDescent="0.25">
      <c r="A5851">
        <v>6606</v>
      </c>
      <c r="B5851" t="s">
        <v>32876</v>
      </c>
      <c r="C5851">
        <v>439</v>
      </c>
      <c r="D5851">
        <v>567</v>
      </c>
      <c r="E5851">
        <v>1388</v>
      </c>
      <c r="F5851">
        <v>4548</v>
      </c>
      <c r="G5851">
        <v>0</v>
      </c>
      <c r="H5851" t="s">
        <v>10770</v>
      </c>
      <c r="I5851">
        <v>6606</v>
      </c>
      <c r="J5851" t="str">
        <f>VLOOKUP(E5851,DSSpieler!A:B,2,FALSE)</f>
        <v>schmutzhund</v>
      </c>
    </row>
    <row r="5852" spans="1:10" x14ac:dyDescent="0.25">
      <c r="A5852">
        <v>6607</v>
      </c>
      <c r="B5852" t="s">
        <v>531</v>
      </c>
      <c r="C5852">
        <v>545</v>
      </c>
      <c r="D5852">
        <v>442</v>
      </c>
      <c r="E5852">
        <v>0</v>
      </c>
      <c r="F5852">
        <v>408</v>
      </c>
      <c r="G5852">
        <v>0</v>
      </c>
      <c r="H5852" t="s">
        <v>10771</v>
      </c>
      <c r="I5852">
        <v>6607</v>
      </c>
      <c r="J5852" t="e">
        <f>VLOOKUP(E5852,DSSpieler!A:B,2,FALSE)</f>
        <v>#N/A</v>
      </c>
    </row>
    <row r="5853" spans="1:10" x14ac:dyDescent="0.25">
      <c r="A5853">
        <v>6608</v>
      </c>
      <c r="B5853" t="s">
        <v>531</v>
      </c>
      <c r="C5853">
        <v>550</v>
      </c>
      <c r="D5853">
        <v>447</v>
      </c>
      <c r="E5853">
        <v>0</v>
      </c>
      <c r="F5853">
        <v>296</v>
      </c>
      <c r="G5853">
        <v>0</v>
      </c>
      <c r="H5853" t="s">
        <v>10772</v>
      </c>
      <c r="I5853">
        <v>6608</v>
      </c>
      <c r="J5853" t="e">
        <f>VLOOKUP(E5853,DSSpieler!A:B,2,FALSE)</f>
        <v>#N/A</v>
      </c>
    </row>
    <row r="5854" spans="1:10" x14ac:dyDescent="0.25">
      <c r="A5854">
        <v>6609</v>
      </c>
      <c r="B5854" t="s">
        <v>32877</v>
      </c>
      <c r="C5854">
        <v>476</v>
      </c>
      <c r="D5854">
        <v>525</v>
      </c>
      <c r="E5854">
        <v>1577027712</v>
      </c>
      <c r="F5854">
        <v>5395</v>
      </c>
      <c r="G5854">
        <v>0</v>
      </c>
      <c r="H5854" t="s">
        <v>10773</v>
      </c>
      <c r="I5854">
        <v>6609</v>
      </c>
      <c r="J5854" t="str">
        <f>VLOOKUP(E5854,DSSpieler!A:B,2,FALSE)</f>
        <v>Pancake-l3unny</v>
      </c>
    </row>
    <row r="5855" spans="1:10" x14ac:dyDescent="0.25">
      <c r="A5855">
        <v>6610</v>
      </c>
      <c r="B5855" t="s">
        <v>32878</v>
      </c>
      <c r="C5855">
        <v>433</v>
      </c>
      <c r="D5855">
        <v>516</v>
      </c>
      <c r="E5855">
        <v>1575968781</v>
      </c>
      <c r="F5855">
        <v>4223</v>
      </c>
      <c r="G5855">
        <v>0</v>
      </c>
      <c r="H5855" t="s">
        <v>10774</v>
      </c>
      <c r="I5855">
        <v>6610</v>
      </c>
      <c r="J5855" t="str">
        <f>VLOOKUP(E5855,DSSpieler!A:B,2,FALSE)</f>
        <v>Mondguggerin</v>
      </c>
    </row>
    <row r="5856" spans="1:10" x14ac:dyDescent="0.25">
      <c r="A5856">
        <v>6611</v>
      </c>
      <c r="B5856" t="s">
        <v>32879</v>
      </c>
      <c r="C5856">
        <v>549</v>
      </c>
      <c r="D5856">
        <v>453</v>
      </c>
      <c r="E5856">
        <v>1577176014</v>
      </c>
      <c r="F5856">
        <v>5554</v>
      </c>
      <c r="G5856">
        <v>0</v>
      </c>
      <c r="H5856" t="s">
        <v>10775</v>
      </c>
      <c r="I5856">
        <v>6611</v>
      </c>
      <c r="J5856" t="str">
        <f>VLOOKUP(E5856,DSSpieler!A:B,2,FALSE)</f>
        <v>Elaison</v>
      </c>
    </row>
    <row r="5857" spans="1:10" x14ac:dyDescent="0.25">
      <c r="A5857">
        <v>6612</v>
      </c>
      <c r="B5857" t="s">
        <v>32880</v>
      </c>
      <c r="C5857">
        <v>444</v>
      </c>
      <c r="D5857">
        <v>589</v>
      </c>
      <c r="E5857">
        <v>9336009</v>
      </c>
      <c r="F5857">
        <v>1315</v>
      </c>
      <c r="G5857">
        <v>0</v>
      </c>
      <c r="H5857" t="s">
        <v>10776</v>
      </c>
      <c r="I5857">
        <v>6612</v>
      </c>
      <c r="J5857" t="str">
        <f>VLOOKUP(E5857,DSSpieler!A:B,2,FALSE)</f>
        <v>Spielmann Lindner</v>
      </c>
    </row>
    <row r="5858" spans="1:10" x14ac:dyDescent="0.25">
      <c r="A5858">
        <v>6614</v>
      </c>
      <c r="B5858" t="s">
        <v>32881</v>
      </c>
      <c r="C5858">
        <v>507</v>
      </c>
      <c r="D5858">
        <v>554</v>
      </c>
      <c r="E5858">
        <v>1576984901</v>
      </c>
      <c r="F5858">
        <v>7320</v>
      </c>
      <c r="G5858">
        <v>0</v>
      </c>
      <c r="H5858" t="s">
        <v>10777</v>
      </c>
      <c r="I5858">
        <v>6614</v>
      </c>
      <c r="J5858" t="str">
        <f>VLOOKUP(E5858,DSSpieler!A:B,2,FALSE)</f>
        <v>Pedro1</v>
      </c>
    </row>
    <row r="5859" spans="1:10" x14ac:dyDescent="0.25">
      <c r="A5859">
        <v>6615</v>
      </c>
      <c r="B5859" t="s">
        <v>32882</v>
      </c>
      <c r="C5859">
        <v>566</v>
      </c>
      <c r="D5859">
        <v>523</v>
      </c>
      <c r="E5859">
        <v>1576926576</v>
      </c>
      <c r="F5859">
        <v>2823</v>
      </c>
      <c r="G5859">
        <v>0</v>
      </c>
      <c r="H5859" t="s">
        <v>10778</v>
      </c>
      <c r="I5859">
        <v>6615</v>
      </c>
      <c r="J5859" t="str">
        <f>VLOOKUP(E5859,DSSpieler!A:B,2,FALSE)</f>
        <v>Munin*</v>
      </c>
    </row>
    <row r="5860" spans="1:10" x14ac:dyDescent="0.25">
      <c r="A5860">
        <v>6617</v>
      </c>
      <c r="B5860" t="s">
        <v>531</v>
      </c>
      <c r="C5860">
        <v>533</v>
      </c>
      <c r="D5860">
        <v>518</v>
      </c>
      <c r="E5860">
        <v>0</v>
      </c>
      <c r="F5860">
        <v>272</v>
      </c>
      <c r="G5860">
        <v>0</v>
      </c>
      <c r="H5860" t="s">
        <v>10779</v>
      </c>
      <c r="I5860">
        <v>6617</v>
      </c>
      <c r="J5860" t="e">
        <f>VLOOKUP(E5860,DSSpieler!A:B,2,FALSE)</f>
        <v>#N/A</v>
      </c>
    </row>
    <row r="5861" spans="1:10" x14ac:dyDescent="0.25">
      <c r="A5861">
        <v>6618</v>
      </c>
      <c r="B5861" t="s">
        <v>531</v>
      </c>
      <c r="C5861">
        <v>460</v>
      </c>
      <c r="D5861">
        <v>467</v>
      </c>
      <c r="E5861">
        <v>0</v>
      </c>
      <c r="F5861">
        <v>431</v>
      </c>
      <c r="G5861">
        <v>0</v>
      </c>
      <c r="H5861" t="s">
        <v>10780</v>
      </c>
      <c r="I5861">
        <v>6618</v>
      </c>
      <c r="J5861" t="e">
        <f>VLOOKUP(E5861,DSSpieler!A:B,2,FALSE)</f>
        <v>#N/A</v>
      </c>
    </row>
    <row r="5862" spans="1:10" x14ac:dyDescent="0.25">
      <c r="A5862">
        <v>6619</v>
      </c>
      <c r="B5862">
        <v>2</v>
      </c>
      <c r="C5862">
        <v>505</v>
      </c>
      <c r="D5862">
        <v>488</v>
      </c>
      <c r="E5862">
        <v>1576879196</v>
      </c>
      <c r="F5862">
        <v>3425</v>
      </c>
      <c r="G5862">
        <v>0</v>
      </c>
      <c r="H5862" t="s">
        <v>10781</v>
      </c>
      <c r="I5862">
        <v>6619</v>
      </c>
      <c r="J5862" t="str">
        <f>VLOOKUP(E5862,DSSpieler!A:B,2,FALSE)</f>
        <v>Grünkohl90</v>
      </c>
    </row>
    <row r="5863" spans="1:10" x14ac:dyDescent="0.25">
      <c r="A5863">
        <v>6620</v>
      </c>
      <c r="B5863" t="e">
        <f>-Igors+Dorf</f>
        <v>#NAME?</v>
      </c>
      <c r="C5863">
        <v>503</v>
      </c>
      <c r="D5863">
        <v>579</v>
      </c>
      <c r="E5863">
        <v>1577197733</v>
      </c>
      <c r="F5863">
        <v>3030</v>
      </c>
      <c r="G5863">
        <v>0</v>
      </c>
      <c r="H5863" t="s">
        <v>10782</v>
      </c>
      <c r="I5863">
        <v>6620</v>
      </c>
      <c r="J5863" t="str">
        <f>VLOOKUP(E5863,DSSpieler!A:B,2,FALSE)</f>
        <v>Sheriff Söder</v>
      </c>
    </row>
    <row r="5864" spans="1:10" x14ac:dyDescent="0.25">
      <c r="A5864">
        <v>6622</v>
      </c>
      <c r="B5864" t="s">
        <v>531</v>
      </c>
      <c r="C5864">
        <v>489</v>
      </c>
      <c r="D5864">
        <v>534</v>
      </c>
      <c r="E5864">
        <v>0</v>
      </c>
      <c r="F5864">
        <v>277</v>
      </c>
      <c r="G5864">
        <v>0</v>
      </c>
      <c r="H5864" t="s">
        <v>10783</v>
      </c>
      <c r="I5864">
        <v>6622</v>
      </c>
      <c r="J5864" t="e">
        <f>VLOOKUP(E5864,DSSpieler!A:B,2,FALSE)</f>
        <v>#N/A</v>
      </c>
    </row>
    <row r="5865" spans="1:10" x14ac:dyDescent="0.25">
      <c r="A5865">
        <v>6623</v>
      </c>
      <c r="B5865" t="s">
        <v>1553</v>
      </c>
      <c r="C5865">
        <v>461</v>
      </c>
      <c r="D5865">
        <v>489</v>
      </c>
      <c r="E5865">
        <v>1577190679</v>
      </c>
      <c r="F5865">
        <v>3897</v>
      </c>
      <c r="G5865">
        <v>0</v>
      </c>
      <c r="H5865" t="s">
        <v>10784</v>
      </c>
      <c r="I5865">
        <v>6623</v>
      </c>
      <c r="J5865" t="str">
        <f>VLOOKUP(E5865,DSSpieler!A:B,2,FALSE)</f>
        <v>Austriangrizzly</v>
      </c>
    </row>
    <row r="5866" spans="1:10" x14ac:dyDescent="0.25">
      <c r="A5866">
        <v>6624</v>
      </c>
      <c r="B5866" t="s">
        <v>946</v>
      </c>
      <c r="C5866">
        <v>576</v>
      </c>
      <c r="D5866">
        <v>486</v>
      </c>
      <c r="E5866">
        <v>1577197531</v>
      </c>
      <c r="F5866">
        <v>5601</v>
      </c>
      <c r="G5866">
        <v>0</v>
      </c>
      <c r="H5866" t="s">
        <v>10785</v>
      </c>
      <c r="I5866">
        <v>6624</v>
      </c>
      <c r="J5866" t="str">
        <f>VLOOKUP(E5866,DSSpieler!A:B,2,FALSE)</f>
        <v>V4p3X</v>
      </c>
    </row>
    <row r="5867" spans="1:10" x14ac:dyDescent="0.25">
      <c r="A5867">
        <v>6627</v>
      </c>
      <c r="B5867" t="s">
        <v>32883</v>
      </c>
      <c r="C5867">
        <v>401</v>
      </c>
      <c r="D5867">
        <v>531</v>
      </c>
      <c r="E5867">
        <v>1577164111</v>
      </c>
      <c r="F5867">
        <v>2332</v>
      </c>
      <c r="G5867">
        <v>0</v>
      </c>
      <c r="H5867" t="s">
        <v>10786</v>
      </c>
      <c r="I5867">
        <v>6627</v>
      </c>
      <c r="J5867" t="str">
        <f>VLOOKUP(E5867,DSSpieler!A:B,2,FALSE)</f>
        <v>Lord wankelhoden</v>
      </c>
    </row>
    <row r="5868" spans="1:10" x14ac:dyDescent="0.25">
      <c r="A5868">
        <v>6628</v>
      </c>
      <c r="B5868" t="s">
        <v>32884</v>
      </c>
      <c r="C5868">
        <v>564</v>
      </c>
      <c r="D5868">
        <v>504</v>
      </c>
      <c r="E5868">
        <v>1092500</v>
      </c>
      <c r="F5868">
        <v>6909</v>
      </c>
      <c r="G5868">
        <v>0</v>
      </c>
      <c r="H5868" t="s">
        <v>10787</v>
      </c>
      <c r="I5868">
        <v>6628</v>
      </c>
      <c r="J5868" t="str">
        <f>VLOOKUP(E5868,DSSpieler!A:B,2,FALSE)</f>
        <v>Klitschko007</v>
      </c>
    </row>
    <row r="5869" spans="1:10" x14ac:dyDescent="0.25">
      <c r="A5869">
        <v>6629</v>
      </c>
      <c r="B5869" t="s">
        <v>531</v>
      </c>
      <c r="C5869">
        <v>432</v>
      </c>
      <c r="D5869">
        <v>493</v>
      </c>
      <c r="E5869">
        <v>0</v>
      </c>
      <c r="F5869">
        <v>516</v>
      </c>
      <c r="G5869">
        <v>0</v>
      </c>
      <c r="H5869" t="s">
        <v>10788</v>
      </c>
      <c r="I5869">
        <v>6629</v>
      </c>
      <c r="J5869" t="e">
        <f>VLOOKUP(E5869,DSSpieler!A:B,2,FALSE)</f>
        <v>#N/A</v>
      </c>
    </row>
    <row r="5870" spans="1:10" x14ac:dyDescent="0.25">
      <c r="A5870">
        <v>6631</v>
      </c>
      <c r="B5870" t="e">
        <f>-2-+Fukuyama</f>
        <v>#NAME?</v>
      </c>
      <c r="C5870">
        <v>599</v>
      </c>
      <c r="D5870">
        <v>458</v>
      </c>
      <c r="E5870">
        <v>1577195851</v>
      </c>
      <c r="F5870">
        <v>4670</v>
      </c>
      <c r="G5870">
        <v>0</v>
      </c>
      <c r="H5870" t="s">
        <v>10789</v>
      </c>
      <c r="I5870">
        <v>6631</v>
      </c>
      <c r="J5870" t="str">
        <f>VLOOKUP(E5870,DSSpieler!A:B,2,FALSE)</f>
        <v>Vermicelles</v>
      </c>
    </row>
    <row r="5871" spans="1:10" x14ac:dyDescent="0.25">
      <c r="A5871">
        <v>6632</v>
      </c>
      <c r="B5871" t="s">
        <v>1554</v>
      </c>
      <c r="C5871">
        <v>595</v>
      </c>
      <c r="D5871">
        <v>472</v>
      </c>
      <c r="E5871">
        <v>1575913262</v>
      </c>
      <c r="F5871">
        <v>4173</v>
      </c>
      <c r="G5871">
        <v>0</v>
      </c>
      <c r="H5871" t="s">
        <v>10790</v>
      </c>
      <c r="I5871">
        <v>6632</v>
      </c>
      <c r="J5871" t="str">
        <f>VLOOKUP(E5871,DSSpieler!A:B,2,FALSE)</f>
        <v>timobau</v>
      </c>
    </row>
    <row r="5872" spans="1:10" x14ac:dyDescent="0.25">
      <c r="A5872">
        <v>6633</v>
      </c>
      <c r="B5872" t="s">
        <v>531</v>
      </c>
      <c r="C5872">
        <v>444</v>
      </c>
      <c r="D5872">
        <v>532</v>
      </c>
      <c r="E5872">
        <v>0</v>
      </c>
      <c r="F5872">
        <v>401</v>
      </c>
      <c r="G5872">
        <v>0</v>
      </c>
      <c r="H5872" t="s">
        <v>10791</v>
      </c>
      <c r="I5872">
        <v>6633</v>
      </c>
      <c r="J5872" t="e">
        <f>VLOOKUP(E5872,DSSpieler!A:B,2,FALSE)</f>
        <v>#N/A</v>
      </c>
    </row>
    <row r="5873" spans="1:10" x14ac:dyDescent="0.25">
      <c r="A5873">
        <v>6634</v>
      </c>
      <c r="B5873" t="s">
        <v>32885</v>
      </c>
      <c r="C5873">
        <v>529</v>
      </c>
      <c r="D5873">
        <v>409</v>
      </c>
      <c r="E5873">
        <v>9710676</v>
      </c>
      <c r="F5873">
        <v>3294</v>
      </c>
      <c r="G5873">
        <v>0</v>
      </c>
      <c r="H5873" t="s">
        <v>10792</v>
      </c>
      <c r="I5873">
        <v>6634</v>
      </c>
      <c r="J5873" t="str">
        <f>VLOOKUP(E5873,DSSpieler!A:B,2,FALSE)</f>
        <v>BigL1</v>
      </c>
    </row>
    <row r="5874" spans="1:10" x14ac:dyDescent="0.25">
      <c r="A5874">
        <v>6635</v>
      </c>
      <c r="B5874" t="s">
        <v>531</v>
      </c>
      <c r="C5874">
        <v>455</v>
      </c>
      <c r="D5874">
        <v>450</v>
      </c>
      <c r="E5874">
        <v>0</v>
      </c>
      <c r="F5874">
        <v>397</v>
      </c>
      <c r="G5874">
        <v>0</v>
      </c>
      <c r="H5874" t="s">
        <v>10793</v>
      </c>
      <c r="I5874">
        <v>6635</v>
      </c>
      <c r="J5874" t="e">
        <f>VLOOKUP(E5874,DSSpieler!A:B,2,FALSE)</f>
        <v>#N/A</v>
      </c>
    </row>
    <row r="5875" spans="1:10" x14ac:dyDescent="0.25">
      <c r="A5875">
        <v>6638</v>
      </c>
      <c r="B5875" t="s">
        <v>531</v>
      </c>
      <c r="C5875">
        <v>554</v>
      </c>
      <c r="D5875">
        <v>525</v>
      </c>
      <c r="E5875">
        <v>0</v>
      </c>
      <c r="F5875">
        <v>497</v>
      </c>
      <c r="G5875">
        <v>0</v>
      </c>
      <c r="H5875" t="s">
        <v>10794</v>
      </c>
      <c r="I5875">
        <v>6638</v>
      </c>
      <c r="J5875" t="e">
        <f>VLOOKUP(E5875,DSSpieler!A:B,2,FALSE)</f>
        <v>#N/A</v>
      </c>
    </row>
    <row r="5876" spans="1:10" x14ac:dyDescent="0.25">
      <c r="A5876">
        <v>6640</v>
      </c>
      <c r="B5876" t="s">
        <v>32886</v>
      </c>
      <c r="C5876">
        <v>462</v>
      </c>
      <c r="D5876">
        <v>448</v>
      </c>
      <c r="E5876">
        <v>1576460031</v>
      </c>
      <c r="F5876">
        <v>5312</v>
      </c>
      <c r="G5876">
        <v>0</v>
      </c>
      <c r="H5876" t="s">
        <v>10795</v>
      </c>
      <c r="I5876">
        <v>6640</v>
      </c>
      <c r="J5876" t="str">
        <f>VLOOKUP(E5876,DSSpieler!A:B,2,FALSE)</f>
        <v>Elevenith</v>
      </c>
    </row>
    <row r="5877" spans="1:10" x14ac:dyDescent="0.25">
      <c r="A5877">
        <v>6641</v>
      </c>
      <c r="B5877" t="s">
        <v>32887</v>
      </c>
      <c r="C5877">
        <v>531</v>
      </c>
      <c r="D5877">
        <v>491</v>
      </c>
      <c r="E5877">
        <v>1577072307</v>
      </c>
      <c r="F5877">
        <v>4632</v>
      </c>
      <c r="G5877">
        <v>0</v>
      </c>
      <c r="H5877" t="s">
        <v>10796</v>
      </c>
      <c r="I5877">
        <v>6641</v>
      </c>
      <c r="J5877" t="str">
        <f>VLOOKUP(E5877,DSSpieler!A:B,2,FALSE)</f>
        <v>Schwertfisch</v>
      </c>
    </row>
    <row r="5878" spans="1:10" x14ac:dyDescent="0.25">
      <c r="A5878">
        <v>6642</v>
      </c>
      <c r="B5878" t="s">
        <v>32888</v>
      </c>
      <c r="C5878">
        <v>500</v>
      </c>
      <c r="D5878">
        <v>509</v>
      </c>
      <c r="E5878">
        <v>1577186103</v>
      </c>
      <c r="F5878">
        <v>908</v>
      </c>
      <c r="G5878">
        <v>0</v>
      </c>
      <c r="H5878" t="s">
        <v>10797</v>
      </c>
      <c r="I5878">
        <v>6642</v>
      </c>
      <c r="J5878" t="str">
        <f>VLOOKUP(E5878,DSSpieler!A:B,2,FALSE)</f>
        <v>Pelamon</v>
      </c>
    </row>
    <row r="5879" spans="1:10" x14ac:dyDescent="0.25">
      <c r="A5879">
        <v>6643</v>
      </c>
      <c r="B5879" t="e">
        <f>-Igors+Dorf</f>
        <v>#NAME?</v>
      </c>
      <c r="C5879">
        <v>500</v>
      </c>
      <c r="D5879">
        <v>576</v>
      </c>
      <c r="E5879">
        <v>1577197733</v>
      </c>
      <c r="F5879">
        <v>6315</v>
      </c>
      <c r="G5879">
        <v>0</v>
      </c>
      <c r="H5879" t="s">
        <v>10798</v>
      </c>
      <c r="I5879">
        <v>6643</v>
      </c>
      <c r="J5879" t="str">
        <f>VLOOKUP(E5879,DSSpieler!A:B,2,FALSE)</f>
        <v>Sheriff Söder</v>
      </c>
    </row>
    <row r="5880" spans="1:10" x14ac:dyDescent="0.25">
      <c r="A5880">
        <v>6644</v>
      </c>
      <c r="B5880" t="s">
        <v>32889</v>
      </c>
      <c r="C5880">
        <v>488</v>
      </c>
      <c r="D5880">
        <v>459</v>
      </c>
      <c r="E5880">
        <v>1577198021</v>
      </c>
      <c r="F5880">
        <v>7456</v>
      </c>
      <c r="G5880">
        <v>0</v>
      </c>
      <c r="H5880" t="s">
        <v>10799</v>
      </c>
      <c r="I5880">
        <v>6644</v>
      </c>
      <c r="J5880" t="str">
        <f>VLOOKUP(E5880,DSSpieler!A:B,2,FALSE)</f>
        <v>Bierstattskill</v>
      </c>
    </row>
    <row r="5881" spans="1:10" x14ac:dyDescent="0.25">
      <c r="A5881">
        <v>6645</v>
      </c>
      <c r="B5881" t="s">
        <v>531</v>
      </c>
      <c r="C5881">
        <v>558</v>
      </c>
      <c r="D5881">
        <v>514</v>
      </c>
      <c r="E5881">
        <v>0</v>
      </c>
      <c r="F5881">
        <v>567</v>
      </c>
      <c r="G5881">
        <v>0</v>
      </c>
      <c r="H5881" t="s">
        <v>10800</v>
      </c>
      <c r="I5881">
        <v>6645</v>
      </c>
      <c r="J5881" t="e">
        <f>VLOOKUP(E5881,DSSpieler!A:B,2,FALSE)</f>
        <v>#N/A</v>
      </c>
    </row>
    <row r="5882" spans="1:10" x14ac:dyDescent="0.25">
      <c r="A5882">
        <v>6646</v>
      </c>
      <c r="B5882" t="s">
        <v>531</v>
      </c>
      <c r="C5882">
        <v>537</v>
      </c>
      <c r="D5882">
        <v>452</v>
      </c>
      <c r="E5882">
        <v>0</v>
      </c>
      <c r="F5882">
        <v>1290</v>
      </c>
      <c r="G5882">
        <v>0</v>
      </c>
      <c r="H5882" t="s">
        <v>10801</v>
      </c>
      <c r="I5882">
        <v>6646</v>
      </c>
      <c r="J5882" t="e">
        <f>VLOOKUP(E5882,DSSpieler!A:B,2,FALSE)</f>
        <v>#N/A</v>
      </c>
    </row>
    <row r="5883" spans="1:10" x14ac:dyDescent="0.25">
      <c r="A5883">
        <v>6647</v>
      </c>
      <c r="B5883" t="s">
        <v>32890</v>
      </c>
      <c r="C5883">
        <v>509</v>
      </c>
      <c r="D5883">
        <v>500</v>
      </c>
      <c r="E5883">
        <v>9805933</v>
      </c>
      <c r="F5883">
        <v>5999</v>
      </c>
      <c r="G5883">
        <v>0</v>
      </c>
      <c r="H5883" t="s">
        <v>10802</v>
      </c>
      <c r="I5883">
        <v>6647</v>
      </c>
      <c r="J5883" t="str">
        <f>VLOOKUP(E5883,DSSpieler!A:B,2,FALSE)</f>
        <v>mambuso</v>
      </c>
    </row>
    <row r="5884" spans="1:10" x14ac:dyDescent="0.25">
      <c r="A5884">
        <v>6648</v>
      </c>
      <c r="B5884" t="s">
        <v>32891</v>
      </c>
      <c r="C5884">
        <v>578</v>
      </c>
      <c r="D5884">
        <v>435</v>
      </c>
      <c r="E5884">
        <v>1577197559</v>
      </c>
      <c r="F5884">
        <v>5229</v>
      </c>
      <c r="G5884">
        <v>0</v>
      </c>
      <c r="H5884" t="s">
        <v>10803</v>
      </c>
      <c r="I5884">
        <v>6648</v>
      </c>
      <c r="J5884" t="str">
        <f>VLOOKUP(E5884,DSSpieler!A:B,2,FALSE)</f>
        <v>Amaterasu-o-mi-kami</v>
      </c>
    </row>
    <row r="5885" spans="1:10" x14ac:dyDescent="0.25">
      <c r="A5885">
        <v>6649</v>
      </c>
      <c r="B5885">
        <v>3</v>
      </c>
      <c r="C5885">
        <v>568</v>
      </c>
      <c r="D5885">
        <v>496</v>
      </c>
      <c r="E5885">
        <v>1577197994</v>
      </c>
      <c r="F5885">
        <v>5662</v>
      </c>
      <c r="G5885">
        <v>0</v>
      </c>
      <c r="H5885" t="s">
        <v>10804</v>
      </c>
      <c r="I5885">
        <v>6649</v>
      </c>
      <c r="J5885" t="str">
        <f>VLOOKUP(E5885,DSSpieler!A:B,2,FALSE)</f>
        <v>Spriee</v>
      </c>
    </row>
    <row r="5886" spans="1:10" x14ac:dyDescent="0.25">
      <c r="A5886">
        <v>6650</v>
      </c>
      <c r="B5886" t="s">
        <v>531</v>
      </c>
      <c r="C5886">
        <v>493</v>
      </c>
      <c r="D5886">
        <v>547</v>
      </c>
      <c r="E5886">
        <v>0</v>
      </c>
      <c r="F5886">
        <v>434</v>
      </c>
      <c r="G5886">
        <v>0</v>
      </c>
      <c r="H5886" t="s">
        <v>10805</v>
      </c>
      <c r="I5886">
        <v>6650</v>
      </c>
      <c r="J5886" t="e">
        <f>VLOOKUP(E5886,DSSpieler!A:B,2,FALSE)</f>
        <v>#N/A</v>
      </c>
    </row>
    <row r="5887" spans="1:10" x14ac:dyDescent="0.25">
      <c r="A5887">
        <v>6651</v>
      </c>
      <c r="B5887" t="s">
        <v>32892</v>
      </c>
      <c r="C5887">
        <v>432</v>
      </c>
      <c r="D5887">
        <v>505</v>
      </c>
      <c r="E5887">
        <v>1576920379</v>
      </c>
      <c r="F5887">
        <v>3218</v>
      </c>
      <c r="G5887">
        <v>0</v>
      </c>
      <c r="H5887" t="s">
        <v>10806</v>
      </c>
      <c r="I5887">
        <v>6651</v>
      </c>
      <c r="J5887" t="str">
        <f>VLOOKUP(E5887,DSSpieler!A:B,2,FALSE)</f>
        <v>holydevil9</v>
      </c>
    </row>
    <row r="5888" spans="1:10" x14ac:dyDescent="0.25">
      <c r="A5888">
        <v>6652</v>
      </c>
      <c r="B5888" t="s">
        <v>32893</v>
      </c>
      <c r="C5888">
        <v>434</v>
      </c>
      <c r="D5888">
        <v>463</v>
      </c>
      <c r="E5888">
        <v>9354820</v>
      </c>
      <c r="F5888">
        <v>7062</v>
      </c>
      <c r="G5888">
        <v>0</v>
      </c>
      <c r="H5888" t="s">
        <v>10807</v>
      </c>
      <c r="I5888">
        <v>6652</v>
      </c>
      <c r="J5888" t="str">
        <f>VLOOKUP(E5888,DSSpieler!A:B,2,FALSE)</f>
        <v>Meisterknecht001</v>
      </c>
    </row>
    <row r="5889" spans="1:10" x14ac:dyDescent="0.25">
      <c r="A5889">
        <v>6653</v>
      </c>
      <c r="B5889" t="s">
        <v>531</v>
      </c>
      <c r="C5889">
        <v>448</v>
      </c>
      <c r="D5889">
        <v>458</v>
      </c>
      <c r="E5889">
        <v>0</v>
      </c>
      <c r="F5889">
        <v>385</v>
      </c>
      <c r="G5889">
        <v>0</v>
      </c>
      <c r="H5889" t="s">
        <v>10808</v>
      </c>
      <c r="I5889">
        <v>6653</v>
      </c>
      <c r="J5889" t="e">
        <f>VLOOKUP(E5889,DSSpieler!A:B,2,FALSE)</f>
        <v>#N/A</v>
      </c>
    </row>
    <row r="5890" spans="1:10" x14ac:dyDescent="0.25">
      <c r="A5890">
        <v>6655</v>
      </c>
      <c r="B5890" t="s">
        <v>1555</v>
      </c>
      <c r="C5890">
        <v>492</v>
      </c>
      <c r="D5890">
        <v>470</v>
      </c>
      <c r="E5890">
        <v>7914761</v>
      </c>
      <c r="F5890">
        <v>4264</v>
      </c>
      <c r="G5890">
        <v>0</v>
      </c>
      <c r="H5890" t="s">
        <v>10809</v>
      </c>
      <c r="I5890">
        <v>6655</v>
      </c>
      <c r="J5890">
        <f>VLOOKUP(E5890,DSSpieler!A:B,2,FALSE)</f>
        <v>22011966</v>
      </c>
    </row>
    <row r="5891" spans="1:10" x14ac:dyDescent="0.25">
      <c r="A5891">
        <v>6656</v>
      </c>
      <c r="B5891" t="s">
        <v>32894</v>
      </c>
      <c r="C5891">
        <v>579</v>
      </c>
      <c r="D5891">
        <v>524</v>
      </c>
      <c r="E5891">
        <v>1577193234</v>
      </c>
      <c r="F5891">
        <v>7114</v>
      </c>
      <c r="G5891">
        <v>0</v>
      </c>
      <c r="H5891" t="s">
        <v>10810</v>
      </c>
      <c r="I5891">
        <v>6656</v>
      </c>
      <c r="J5891" t="str">
        <f>VLOOKUP(E5891,DSSpieler!A:B,2,FALSE)</f>
        <v>Gergl15</v>
      </c>
    </row>
    <row r="5892" spans="1:10" x14ac:dyDescent="0.25">
      <c r="A5892">
        <v>6657</v>
      </c>
      <c r="B5892" t="s">
        <v>32895</v>
      </c>
      <c r="C5892">
        <v>510</v>
      </c>
      <c r="D5892">
        <v>439</v>
      </c>
      <c r="E5892">
        <v>3376139</v>
      </c>
      <c r="F5892">
        <v>6042</v>
      </c>
      <c r="G5892">
        <v>0</v>
      </c>
      <c r="H5892" t="s">
        <v>10811</v>
      </c>
      <c r="I5892">
        <v>6657</v>
      </c>
      <c r="J5892" t="str">
        <f>VLOOKUP(E5892,DSSpieler!A:B,2,FALSE)</f>
        <v>ufoman444</v>
      </c>
    </row>
    <row r="5893" spans="1:10" x14ac:dyDescent="0.25">
      <c r="A5893">
        <v>6658</v>
      </c>
      <c r="B5893" t="s">
        <v>531</v>
      </c>
      <c r="C5893">
        <v>536</v>
      </c>
      <c r="D5893">
        <v>434</v>
      </c>
      <c r="E5893">
        <v>0</v>
      </c>
      <c r="F5893">
        <v>292</v>
      </c>
      <c r="G5893">
        <v>0</v>
      </c>
      <c r="H5893" t="s">
        <v>10812</v>
      </c>
      <c r="I5893">
        <v>6658</v>
      </c>
      <c r="J5893" t="e">
        <f>VLOOKUP(E5893,DSSpieler!A:B,2,FALSE)</f>
        <v>#N/A</v>
      </c>
    </row>
    <row r="5894" spans="1:10" x14ac:dyDescent="0.25">
      <c r="A5894">
        <v>6659</v>
      </c>
      <c r="B5894" t="s">
        <v>1556</v>
      </c>
      <c r="C5894">
        <v>541</v>
      </c>
      <c r="D5894">
        <v>435</v>
      </c>
      <c r="E5894">
        <v>3143028</v>
      </c>
      <c r="F5894">
        <v>6917</v>
      </c>
      <c r="G5894">
        <v>0</v>
      </c>
      <c r="H5894" t="s">
        <v>10813</v>
      </c>
      <c r="I5894">
        <v>6659</v>
      </c>
      <c r="J5894" t="str">
        <f>VLOOKUP(E5894,DSSpieler!A:B,2,FALSE)</f>
        <v>Tom Traitor</v>
      </c>
    </row>
    <row r="5895" spans="1:10" x14ac:dyDescent="0.25">
      <c r="A5895">
        <v>6660</v>
      </c>
      <c r="B5895" t="s">
        <v>531</v>
      </c>
      <c r="C5895">
        <v>523</v>
      </c>
      <c r="D5895">
        <v>555</v>
      </c>
      <c r="E5895">
        <v>0</v>
      </c>
      <c r="F5895">
        <v>306</v>
      </c>
      <c r="G5895">
        <v>0</v>
      </c>
      <c r="H5895" t="s">
        <v>10814</v>
      </c>
      <c r="I5895">
        <v>6660</v>
      </c>
      <c r="J5895" t="e">
        <f>VLOOKUP(E5895,DSSpieler!A:B,2,FALSE)</f>
        <v>#N/A</v>
      </c>
    </row>
    <row r="5896" spans="1:10" x14ac:dyDescent="0.25">
      <c r="A5896">
        <v>6661</v>
      </c>
      <c r="B5896" t="s">
        <v>1557</v>
      </c>
      <c r="C5896">
        <v>513</v>
      </c>
      <c r="D5896">
        <v>493</v>
      </c>
      <c r="E5896">
        <v>1577196897</v>
      </c>
      <c r="F5896">
        <v>5360</v>
      </c>
      <c r="G5896">
        <v>0</v>
      </c>
      <c r="H5896" t="s">
        <v>10815</v>
      </c>
      <c r="I5896">
        <v>6661</v>
      </c>
      <c r="J5896" t="str">
        <f>VLOOKUP(E5896,DSSpieler!A:B,2,FALSE)</f>
        <v>SturmHans</v>
      </c>
    </row>
    <row r="5897" spans="1:10" x14ac:dyDescent="0.25">
      <c r="A5897">
        <v>6664</v>
      </c>
      <c r="B5897" t="s">
        <v>32896</v>
      </c>
      <c r="C5897">
        <v>539</v>
      </c>
      <c r="D5897">
        <v>429</v>
      </c>
      <c r="E5897">
        <v>2004534</v>
      </c>
      <c r="F5897">
        <v>3088</v>
      </c>
      <c r="G5897">
        <v>0</v>
      </c>
      <c r="H5897" t="s">
        <v>10816</v>
      </c>
      <c r="I5897">
        <v>6664</v>
      </c>
      <c r="J5897" t="str">
        <f>VLOOKUP(E5897,DSSpieler!A:B,2,FALSE)</f>
        <v>RockyRock</v>
      </c>
    </row>
    <row r="5898" spans="1:10" x14ac:dyDescent="0.25">
      <c r="A5898">
        <v>6665</v>
      </c>
      <c r="B5898" t="s">
        <v>531</v>
      </c>
      <c r="C5898">
        <v>497</v>
      </c>
      <c r="D5898">
        <v>536</v>
      </c>
      <c r="E5898">
        <v>0</v>
      </c>
      <c r="F5898">
        <v>379</v>
      </c>
      <c r="G5898">
        <v>0</v>
      </c>
      <c r="H5898" t="s">
        <v>10817</v>
      </c>
      <c r="I5898">
        <v>6665</v>
      </c>
      <c r="J5898" t="e">
        <f>VLOOKUP(E5898,DSSpieler!A:B,2,FALSE)</f>
        <v>#N/A</v>
      </c>
    </row>
    <row r="5899" spans="1:10" x14ac:dyDescent="0.25">
      <c r="A5899">
        <v>6666</v>
      </c>
      <c r="B5899" t="s">
        <v>32897</v>
      </c>
      <c r="C5899">
        <v>521</v>
      </c>
      <c r="D5899">
        <v>408</v>
      </c>
      <c r="E5899">
        <v>1577198089</v>
      </c>
      <c r="F5899">
        <v>5808</v>
      </c>
      <c r="G5899">
        <v>0</v>
      </c>
      <c r="H5899" t="s">
        <v>10818</v>
      </c>
      <c r="I5899">
        <v>6666</v>
      </c>
      <c r="J5899" t="str">
        <f>VLOOKUP(E5899,DSSpieler!A:B,2,FALSE)</f>
        <v>Panschu</v>
      </c>
    </row>
    <row r="5900" spans="1:10" x14ac:dyDescent="0.25">
      <c r="A5900">
        <v>6667</v>
      </c>
      <c r="B5900" t="s">
        <v>32898</v>
      </c>
      <c r="C5900">
        <v>525</v>
      </c>
      <c r="D5900">
        <v>592</v>
      </c>
      <c r="E5900">
        <v>1577183490</v>
      </c>
      <c r="F5900">
        <v>4911</v>
      </c>
      <c r="G5900">
        <v>0</v>
      </c>
      <c r="H5900" t="s">
        <v>10819</v>
      </c>
      <c r="I5900">
        <v>6667</v>
      </c>
      <c r="J5900" t="str">
        <f>VLOOKUP(E5900,DSSpieler!A:B,2,FALSE)</f>
        <v>KlabauterKlaus</v>
      </c>
    </row>
    <row r="5901" spans="1:10" x14ac:dyDescent="0.25">
      <c r="A5901">
        <v>6668</v>
      </c>
      <c r="B5901" t="s">
        <v>531</v>
      </c>
      <c r="C5901">
        <v>556</v>
      </c>
      <c r="D5901">
        <v>453</v>
      </c>
      <c r="E5901">
        <v>0</v>
      </c>
      <c r="F5901">
        <v>286</v>
      </c>
      <c r="G5901">
        <v>0</v>
      </c>
      <c r="H5901" t="s">
        <v>10820</v>
      </c>
      <c r="I5901">
        <v>6668</v>
      </c>
      <c r="J5901" t="e">
        <f>VLOOKUP(E5901,DSSpieler!A:B,2,FALSE)</f>
        <v>#N/A</v>
      </c>
    </row>
    <row r="5902" spans="1:10" x14ac:dyDescent="0.25">
      <c r="A5902">
        <v>6669</v>
      </c>
      <c r="B5902" t="s">
        <v>32899</v>
      </c>
      <c r="C5902">
        <v>543</v>
      </c>
      <c r="D5902">
        <v>446</v>
      </c>
      <c r="E5902">
        <v>8951253</v>
      </c>
      <c r="F5902">
        <v>7102</v>
      </c>
      <c r="G5902">
        <v>0</v>
      </c>
      <c r="H5902" t="s">
        <v>10821</v>
      </c>
      <c r="I5902">
        <v>6669</v>
      </c>
      <c r="J5902" t="str">
        <f>VLOOKUP(E5902,DSSpieler!A:B,2,FALSE)</f>
        <v>Fr@nky1</v>
      </c>
    </row>
    <row r="5903" spans="1:10" x14ac:dyDescent="0.25">
      <c r="A5903">
        <v>6670</v>
      </c>
      <c r="B5903" t="s">
        <v>32900</v>
      </c>
      <c r="C5903">
        <v>577</v>
      </c>
      <c r="D5903">
        <v>492</v>
      </c>
      <c r="E5903">
        <v>1577175543</v>
      </c>
      <c r="F5903">
        <v>1872</v>
      </c>
      <c r="G5903">
        <v>0</v>
      </c>
      <c r="H5903" t="s">
        <v>10822</v>
      </c>
      <c r="I5903">
        <v>6670</v>
      </c>
      <c r="J5903" t="str">
        <f>VLOOKUP(E5903,DSSpieler!A:B,2,FALSE)</f>
        <v>xOberyn</v>
      </c>
    </row>
    <row r="5904" spans="1:10" x14ac:dyDescent="0.25">
      <c r="A5904">
        <v>6671</v>
      </c>
      <c r="B5904" t="s">
        <v>32901</v>
      </c>
      <c r="C5904">
        <v>458</v>
      </c>
      <c r="D5904">
        <v>597</v>
      </c>
      <c r="E5904">
        <v>1577197817</v>
      </c>
      <c r="F5904">
        <v>6071</v>
      </c>
      <c r="G5904">
        <v>0</v>
      </c>
      <c r="H5904" t="s">
        <v>10823</v>
      </c>
      <c r="I5904">
        <v>6671</v>
      </c>
      <c r="J5904" t="str">
        <f>VLOOKUP(E5904,DSSpieler!A:B,2,FALSE)</f>
        <v>Gang06</v>
      </c>
    </row>
    <row r="5905" spans="1:10" x14ac:dyDescent="0.25">
      <c r="A5905">
        <v>6672</v>
      </c>
      <c r="B5905" t="s">
        <v>32204</v>
      </c>
      <c r="C5905">
        <v>497</v>
      </c>
      <c r="D5905">
        <v>569</v>
      </c>
      <c r="E5905">
        <v>9574714</v>
      </c>
      <c r="F5905">
        <v>5477</v>
      </c>
      <c r="G5905">
        <v>0</v>
      </c>
      <c r="H5905" t="s">
        <v>10824</v>
      </c>
      <c r="I5905">
        <v>6672</v>
      </c>
      <c r="J5905" t="str">
        <f>VLOOKUP(E5905,DSSpieler!A:B,2,FALSE)</f>
        <v>Rest In Peace?</v>
      </c>
    </row>
    <row r="5906" spans="1:10" x14ac:dyDescent="0.25">
      <c r="A5906">
        <v>6673</v>
      </c>
      <c r="B5906" t="s">
        <v>32902</v>
      </c>
      <c r="C5906">
        <v>555</v>
      </c>
      <c r="D5906">
        <v>423</v>
      </c>
      <c r="E5906">
        <v>1547719</v>
      </c>
      <c r="F5906">
        <v>5709</v>
      </c>
      <c r="G5906">
        <v>0</v>
      </c>
      <c r="H5906" t="s">
        <v>10825</v>
      </c>
      <c r="I5906">
        <v>6673</v>
      </c>
      <c r="J5906" t="str">
        <f>VLOOKUP(E5906,DSSpieler!A:B,2,FALSE)</f>
        <v>FCKFREAK</v>
      </c>
    </row>
    <row r="5907" spans="1:10" x14ac:dyDescent="0.25">
      <c r="A5907">
        <v>6674</v>
      </c>
      <c r="B5907" t="s">
        <v>1558</v>
      </c>
      <c r="C5907">
        <v>422</v>
      </c>
      <c r="D5907">
        <v>563</v>
      </c>
      <c r="E5907">
        <v>1577187434</v>
      </c>
      <c r="F5907">
        <v>5081</v>
      </c>
      <c r="G5907">
        <v>0</v>
      </c>
      <c r="H5907" t="s">
        <v>10826</v>
      </c>
      <c r="I5907">
        <v>6674</v>
      </c>
      <c r="J5907" t="str">
        <f>VLOOKUP(E5907,DSSpieler!A:B,2,FALSE)</f>
        <v>EyeSpy</v>
      </c>
    </row>
    <row r="5908" spans="1:10" x14ac:dyDescent="0.25">
      <c r="A5908">
        <v>6675</v>
      </c>
      <c r="B5908" t="s">
        <v>531</v>
      </c>
      <c r="C5908">
        <v>437</v>
      </c>
      <c r="D5908">
        <v>528</v>
      </c>
      <c r="E5908">
        <v>1577091835</v>
      </c>
      <c r="F5908">
        <v>332</v>
      </c>
      <c r="G5908">
        <v>0</v>
      </c>
      <c r="H5908" t="s">
        <v>10827</v>
      </c>
      <c r="I5908">
        <v>6675</v>
      </c>
      <c r="J5908" t="str">
        <f>VLOOKUP(E5908,DSSpieler!A:B,2,FALSE)</f>
        <v>Shedid21</v>
      </c>
    </row>
    <row r="5909" spans="1:10" x14ac:dyDescent="0.25">
      <c r="A5909">
        <v>6676</v>
      </c>
      <c r="B5909" t="s">
        <v>31687</v>
      </c>
      <c r="C5909">
        <v>481</v>
      </c>
      <c r="D5909">
        <v>575</v>
      </c>
      <c r="E5909">
        <v>1576996406</v>
      </c>
      <c r="F5909">
        <v>6527</v>
      </c>
      <c r="G5909">
        <v>0</v>
      </c>
      <c r="H5909" t="s">
        <v>10828</v>
      </c>
      <c r="I5909">
        <v>6676</v>
      </c>
      <c r="J5909" t="str">
        <f>VLOOKUP(E5909,DSSpieler!A:B,2,FALSE)</f>
        <v>clownsq</v>
      </c>
    </row>
    <row r="5910" spans="1:10" x14ac:dyDescent="0.25">
      <c r="A5910">
        <v>6677</v>
      </c>
      <c r="B5910" t="s">
        <v>531</v>
      </c>
      <c r="C5910">
        <v>479</v>
      </c>
      <c r="D5910">
        <v>515</v>
      </c>
      <c r="E5910">
        <v>0</v>
      </c>
      <c r="F5910">
        <v>114</v>
      </c>
      <c r="G5910">
        <v>0</v>
      </c>
      <c r="H5910" t="s">
        <v>10829</v>
      </c>
      <c r="I5910">
        <v>6677</v>
      </c>
      <c r="J5910" t="e">
        <f>VLOOKUP(E5910,DSSpieler!A:B,2,FALSE)</f>
        <v>#N/A</v>
      </c>
    </row>
    <row r="5911" spans="1:10" x14ac:dyDescent="0.25">
      <c r="A5911">
        <v>6678</v>
      </c>
      <c r="B5911" t="s">
        <v>32903</v>
      </c>
      <c r="C5911">
        <v>419</v>
      </c>
      <c r="D5911">
        <v>535</v>
      </c>
      <c r="E5911">
        <v>1577180543</v>
      </c>
      <c r="F5911">
        <v>6521</v>
      </c>
      <c r="G5911">
        <v>0</v>
      </c>
      <c r="H5911" t="s">
        <v>10830</v>
      </c>
      <c r="I5911">
        <v>6678</v>
      </c>
      <c r="J5911" t="str">
        <f>VLOOKUP(E5911,DSSpieler!A:B,2,FALSE)</f>
        <v>Stay at Home</v>
      </c>
    </row>
    <row r="5912" spans="1:10" x14ac:dyDescent="0.25">
      <c r="A5912">
        <v>6679</v>
      </c>
      <c r="B5912" t="s">
        <v>531</v>
      </c>
      <c r="C5912">
        <v>409</v>
      </c>
      <c r="D5912">
        <v>555</v>
      </c>
      <c r="E5912">
        <v>0</v>
      </c>
      <c r="F5912">
        <v>493</v>
      </c>
      <c r="G5912">
        <v>0</v>
      </c>
      <c r="H5912" t="s">
        <v>10831</v>
      </c>
      <c r="I5912">
        <v>6679</v>
      </c>
      <c r="J5912" t="e">
        <f>VLOOKUP(E5912,DSSpieler!A:B,2,FALSE)</f>
        <v>#N/A</v>
      </c>
    </row>
    <row r="5913" spans="1:10" x14ac:dyDescent="0.25">
      <c r="A5913">
        <v>6680</v>
      </c>
      <c r="B5913" t="s">
        <v>32904</v>
      </c>
      <c r="C5913">
        <v>552</v>
      </c>
      <c r="D5913">
        <v>487</v>
      </c>
      <c r="E5913">
        <v>1577036114</v>
      </c>
      <c r="F5913">
        <v>2587</v>
      </c>
      <c r="G5913">
        <v>0</v>
      </c>
      <c r="H5913" t="s">
        <v>10832</v>
      </c>
      <c r="I5913">
        <v>6680</v>
      </c>
      <c r="J5913" t="str">
        <f>VLOOKUP(E5913,DSSpieler!A:B,2,FALSE)</f>
        <v>ZeeroxTV</v>
      </c>
    </row>
    <row r="5914" spans="1:10" x14ac:dyDescent="0.25">
      <c r="A5914">
        <v>6681</v>
      </c>
      <c r="B5914" t="s">
        <v>32905</v>
      </c>
      <c r="C5914">
        <v>460</v>
      </c>
      <c r="D5914">
        <v>574</v>
      </c>
      <c r="E5914">
        <v>557668</v>
      </c>
      <c r="F5914">
        <v>5231</v>
      </c>
      <c r="G5914">
        <v>0</v>
      </c>
      <c r="H5914" t="s">
        <v>10833</v>
      </c>
      <c r="I5914">
        <v>6681</v>
      </c>
      <c r="J5914" t="str">
        <f>VLOOKUP(E5914,DSSpieler!A:B,2,FALSE)</f>
        <v>Accce</v>
      </c>
    </row>
    <row r="5915" spans="1:10" x14ac:dyDescent="0.25">
      <c r="A5915">
        <v>6682</v>
      </c>
      <c r="B5915" t="s">
        <v>32906</v>
      </c>
      <c r="C5915">
        <v>429</v>
      </c>
      <c r="D5915">
        <v>487</v>
      </c>
      <c r="E5915">
        <v>10079265</v>
      </c>
      <c r="F5915">
        <v>104</v>
      </c>
      <c r="G5915">
        <v>0</v>
      </c>
      <c r="H5915" t="s">
        <v>10834</v>
      </c>
      <c r="I5915">
        <v>6682</v>
      </c>
      <c r="J5915" t="str">
        <f>VLOOKUP(E5915,DSSpieler!A:B,2,FALSE)</f>
        <v>LuckyPunch11</v>
      </c>
    </row>
    <row r="5916" spans="1:10" x14ac:dyDescent="0.25">
      <c r="A5916">
        <v>6683</v>
      </c>
      <c r="B5916" t="s">
        <v>32907</v>
      </c>
      <c r="C5916">
        <v>421</v>
      </c>
      <c r="D5916">
        <v>455</v>
      </c>
      <c r="E5916">
        <v>1576220948</v>
      </c>
      <c r="F5916">
        <v>3558</v>
      </c>
      <c r="G5916">
        <v>0</v>
      </c>
      <c r="H5916" t="s">
        <v>10835</v>
      </c>
      <c r="I5916">
        <v>6683</v>
      </c>
      <c r="J5916" t="str">
        <f>VLOOKUP(E5916,DSSpieler!A:B,2,FALSE)</f>
        <v>BoostedBonobos</v>
      </c>
    </row>
    <row r="5917" spans="1:10" x14ac:dyDescent="0.25">
      <c r="A5917">
        <v>6684</v>
      </c>
      <c r="B5917" t="s">
        <v>531</v>
      </c>
      <c r="C5917">
        <v>503</v>
      </c>
      <c r="D5917">
        <v>555</v>
      </c>
      <c r="E5917">
        <v>0</v>
      </c>
      <c r="F5917">
        <v>333</v>
      </c>
      <c r="G5917">
        <v>0</v>
      </c>
      <c r="H5917" t="s">
        <v>10836</v>
      </c>
      <c r="I5917">
        <v>6684</v>
      </c>
      <c r="J5917" t="e">
        <f>VLOOKUP(E5917,DSSpieler!A:B,2,FALSE)</f>
        <v>#N/A</v>
      </c>
    </row>
    <row r="5918" spans="1:10" x14ac:dyDescent="0.25">
      <c r="A5918">
        <v>6685</v>
      </c>
      <c r="B5918" t="s">
        <v>1559</v>
      </c>
      <c r="C5918">
        <v>422</v>
      </c>
      <c r="D5918">
        <v>571</v>
      </c>
      <c r="E5918">
        <v>1577186787</v>
      </c>
      <c r="F5918">
        <v>4969</v>
      </c>
      <c r="G5918">
        <v>0</v>
      </c>
      <c r="H5918" t="s">
        <v>10837</v>
      </c>
      <c r="I5918">
        <v>6685</v>
      </c>
      <c r="J5918" t="str">
        <f>VLOOKUP(E5918,DSSpieler!A:B,2,FALSE)</f>
        <v>Malz77</v>
      </c>
    </row>
    <row r="5919" spans="1:10" x14ac:dyDescent="0.25">
      <c r="A5919">
        <v>6686</v>
      </c>
      <c r="B5919" t="s">
        <v>531</v>
      </c>
      <c r="C5919">
        <v>567</v>
      </c>
      <c r="D5919">
        <v>543</v>
      </c>
      <c r="E5919">
        <v>0</v>
      </c>
      <c r="F5919">
        <v>441</v>
      </c>
      <c r="G5919">
        <v>0</v>
      </c>
      <c r="H5919" t="s">
        <v>10838</v>
      </c>
      <c r="I5919">
        <v>6686</v>
      </c>
      <c r="J5919" t="e">
        <f>VLOOKUP(E5919,DSSpieler!A:B,2,FALSE)</f>
        <v>#N/A</v>
      </c>
    </row>
    <row r="5920" spans="1:10" x14ac:dyDescent="0.25">
      <c r="A5920">
        <v>6687</v>
      </c>
      <c r="B5920" t="s">
        <v>35841</v>
      </c>
      <c r="C5920">
        <v>454</v>
      </c>
      <c r="D5920">
        <v>486</v>
      </c>
      <c r="E5920">
        <v>9696060</v>
      </c>
      <c r="F5920">
        <v>4984</v>
      </c>
      <c r="G5920">
        <v>0</v>
      </c>
      <c r="H5920" t="s">
        <v>10839</v>
      </c>
      <c r="I5920">
        <v>6687</v>
      </c>
      <c r="J5920" t="str">
        <f>VLOOKUP(E5920,DSSpieler!A:B,2,FALSE)</f>
        <v>dresden0101</v>
      </c>
    </row>
    <row r="5921" spans="1:10" x14ac:dyDescent="0.25">
      <c r="A5921">
        <v>6688</v>
      </c>
      <c r="B5921" t="s">
        <v>31429</v>
      </c>
      <c r="C5921">
        <v>580</v>
      </c>
      <c r="D5921">
        <v>499</v>
      </c>
      <c r="E5921">
        <v>9553782</v>
      </c>
      <c r="F5921">
        <v>5728</v>
      </c>
      <c r="G5921">
        <v>0</v>
      </c>
      <c r="H5921" t="s">
        <v>10840</v>
      </c>
      <c r="I5921">
        <v>6688</v>
      </c>
      <c r="J5921" t="str">
        <f>VLOOKUP(E5921,DSSpieler!A:B,2,FALSE)</f>
        <v>panne 1998</v>
      </c>
    </row>
    <row r="5922" spans="1:10" x14ac:dyDescent="0.25">
      <c r="A5922">
        <v>6689</v>
      </c>
      <c r="B5922" t="s">
        <v>531</v>
      </c>
      <c r="C5922">
        <v>440</v>
      </c>
      <c r="D5922">
        <v>543</v>
      </c>
      <c r="E5922">
        <v>0</v>
      </c>
      <c r="F5922">
        <v>387</v>
      </c>
      <c r="G5922">
        <v>0</v>
      </c>
      <c r="H5922" t="s">
        <v>10841</v>
      </c>
      <c r="I5922">
        <v>6689</v>
      </c>
      <c r="J5922" t="e">
        <f>VLOOKUP(E5922,DSSpieler!A:B,2,FALSE)</f>
        <v>#N/A</v>
      </c>
    </row>
    <row r="5923" spans="1:10" x14ac:dyDescent="0.25">
      <c r="A5923">
        <v>6690</v>
      </c>
      <c r="B5923">
        <v>1</v>
      </c>
      <c r="C5923">
        <v>557</v>
      </c>
      <c r="D5923">
        <v>435</v>
      </c>
      <c r="E5923">
        <v>1577168667</v>
      </c>
      <c r="F5923">
        <v>7053</v>
      </c>
      <c r="G5923">
        <v>0</v>
      </c>
      <c r="H5923" t="s">
        <v>10842</v>
      </c>
      <c r="I5923">
        <v>6690</v>
      </c>
      <c r="J5923" t="str">
        <f>VLOOKUP(E5923,DSSpieler!A:B,2,FALSE)</f>
        <v>CeeJayzn</v>
      </c>
    </row>
    <row r="5924" spans="1:10" x14ac:dyDescent="0.25">
      <c r="A5924">
        <v>6691</v>
      </c>
      <c r="B5924" t="s">
        <v>1560</v>
      </c>
      <c r="C5924">
        <v>529</v>
      </c>
      <c r="D5924">
        <v>516</v>
      </c>
      <c r="E5924">
        <v>1577197494</v>
      </c>
      <c r="F5924">
        <v>5728</v>
      </c>
      <c r="G5924">
        <v>0</v>
      </c>
      <c r="H5924" t="s">
        <v>10843</v>
      </c>
      <c r="I5924">
        <v>6691</v>
      </c>
      <c r="J5924" t="str">
        <f>VLOOKUP(E5924,DSSpieler!A:B,2,FALSE)</f>
        <v>roger98</v>
      </c>
    </row>
    <row r="5925" spans="1:10" x14ac:dyDescent="0.25">
      <c r="A5925">
        <v>6692</v>
      </c>
      <c r="B5925">
        <v>4</v>
      </c>
      <c r="C5925">
        <v>458</v>
      </c>
      <c r="D5925">
        <v>582</v>
      </c>
      <c r="E5925">
        <v>125807</v>
      </c>
      <c r="F5925">
        <v>8789</v>
      </c>
      <c r="G5925">
        <v>0</v>
      </c>
      <c r="H5925" t="s">
        <v>10844</v>
      </c>
      <c r="I5925">
        <v>6692</v>
      </c>
      <c r="J5925" t="str">
        <f>VLOOKUP(E5925,DSSpieler!A:B,2,FALSE)</f>
        <v>kampffalke</v>
      </c>
    </row>
    <row r="5926" spans="1:10" x14ac:dyDescent="0.25">
      <c r="A5926">
        <v>6693</v>
      </c>
      <c r="B5926" t="s">
        <v>32908</v>
      </c>
      <c r="C5926">
        <v>452</v>
      </c>
      <c r="D5926">
        <v>452</v>
      </c>
      <c r="E5926">
        <v>1577141786</v>
      </c>
      <c r="F5926">
        <v>1955</v>
      </c>
      <c r="G5926">
        <v>0</v>
      </c>
      <c r="H5926" t="s">
        <v>10845</v>
      </c>
      <c r="I5926">
        <v>6693</v>
      </c>
      <c r="J5926" t="str">
        <f>VLOOKUP(E5926,DSSpieler!A:B,2,FALSE)</f>
        <v>Potm4ever</v>
      </c>
    </row>
    <row r="5927" spans="1:10" x14ac:dyDescent="0.25">
      <c r="A5927">
        <v>6694</v>
      </c>
      <c r="B5927" t="s">
        <v>531</v>
      </c>
      <c r="C5927">
        <v>509</v>
      </c>
      <c r="D5927">
        <v>589</v>
      </c>
      <c r="E5927">
        <v>1576692459</v>
      </c>
      <c r="F5927">
        <v>1320</v>
      </c>
      <c r="G5927">
        <v>0</v>
      </c>
      <c r="H5927" t="s">
        <v>10846</v>
      </c>
      <c r="I5927">
        <v>6694</v>
      </c>
      <c r="J5927" t="str">
        <f>VLOOKUP(E5927,DSSpieler!A:B,2,FALSE)</f>
        <v>Sir Hendriks</v>
      </c>
    </row>
    <row r="5928" spans="1:10" x14ac:dyDescent="0.25">
      <c r="A5928">
        <v>6695</v>
      </c>
      <c r="B5928" t="s">
        <v>531</v>
      </c>
      <c r="C5928">
        <v>410</v>
      </c>
      <c r="D5928">
        <v>469</v>
      </c>
      <c r="E5928">
        <v>0</v>
      </c>
      <c r="F5928">
        <v>259</v>
      </c>
      <c r="G5928">
        <v>0</v>
      </c>
      <c r="H5928" t="s">
        <v>10847</v>
      </c>
      <c r="I5928">
        <v>6695</v>
      </c>
      <c r="J5928" t="e">
        <f>VLOOKUP(E5928,DSSpieler!A:B,2,FALSE)</f>
        <v>#N/A</v>
      </c>
    </row>
    <row r="5929" spans="1:10" x14ac:dyDescent="0.25">
      <c r="A5929">
        <v>6696</v>
      </c>
      <c r="B5929" t="s">
        <v>32909</v>
      </c>
      <c r="C5929">
        <v>591</v>
      </c>
      <c r="D5929">
        <v>454</v>
      </c>
      <c r="E5929">
        <v>1577197349</v>
      </c>
      <c r="F5929">
        <v>4274</v>
      </c>
      <c r="G5929">
        <v>0</v>
      </c>
      <c r="H5929" t="s">
        <v>10848</v>
      </c>
      <c r="I5929">
        <v>6696</v>
      </c>
      <c r="J5929" t="str">
        <f>VLOOKUP(E5929,DSSpieler!A:B,2,FALSE)</f>
        <v>d0ppelkeks</v>
      </c>
    </row>
    <row r="5930" spans="1:10" x14ac:dyDescent="0.25">
      <c r="A5930">
        <v>6697</v>
      </c>
      <c r="B5930" t="s">
        <v>1561</v>
      </c>
      <c r="C5930">
        <v>549</v>
      </c>
      <c r="D5930">
        <v>475</v>
      </c>
      <c r="E5930">
        <v>8295473</v>
      </c>
      <c r="F5930">
        <v>5725</v>
      </c>
      <c r="G5930">
        <v>0</v>
      </c>
      <c r="H5930" t="s">
        <v>10849</v>
      </c>
      <c r="I5930">
        <v>6697</v>
      </c>
      <c r="J5930" t="str">
        <f>VLOOKUP(E5930,DSSpieler!A:B,2,FALSE)</f>
        <v>huberni</v>
      </c>
    </row>
    <row r="5931" spans="1:10" x14ac:dyDescent="0.25">
      <c r="A5931">
        <v>6698</v>
      </c>
      <c r="B5931" t="s">
        <v>1562</v>
      </c>
      <c r="C5931">
        <v>514</v>
      </c>
      <c r="D5931">
        <v>392</v>
      </c>
      <c r="E5931">
        <v>1577094527</v>
      </c>
      <c r="F5931">
        <v>4767</v>
      </c>
      <c r="G5931">
        <v>0</v>
      </c>
      <c r="H5931" t="s">
        <v>10850</v>
      </c>
      <c r="I5931">
        <v>6698</v>
      </c>
      <c r="J5931" t="str">
        <f>VLOOKUP(E5931,DSSpieler!A:B,2,FALSE)</f>
        <v>Albozz</v>
      </c>
    </row>
    <row r="5932" spans="1:10" x14ac:dyDescent="0.25">
      <c r="A5932">
        <v>6699</v>
      </c>
      <c r="B5932" t="s">
        <v>32910</v>
      </c>
      <c r="C5932">
        <v>422</v>
      </c>
      <c r="D5932">
        <v>457</v>
      </c>
      <c r="E5932">
        <v>8835520</v>
      </c>
      <c r="F5932">
        <v>7506</v>
      </c>
      <c r="G5932">
        <v>0</v>
      </c>
      <c r="H5932" t="s">
        <v>10851</v>
      </c>
      <c r="I5932">
        <v>6699</v>
      </c>
      <c r="J5932" t="str">
        <f>VLOOKUP(E5932,DSSpieler!A:B,2,FALSE)</f>
        <v>miles96</v>
      </c>
    </row>
    <row r="5933" spans="1:10" x14ac:dyDescent="0.25">
      <c r="A5933">
        <v>6700</v>
      </c>
      <c r="B5933" t="s">
        <v>531</v>
      </c>
      <c r="C5933">
        <v>546</v>
      </c>
      <c r="D5933">
        <v>552</v>
      </c>
      <c r="E5933">
        <v>0</v>
      </c>
      <c r="F5933">
        <v>399</v>
      </c>
      <c r="G5933">
        <v>0</v>
      </c>
      <c r="H5933" t="s">
        <v>10852</v>
      </c>
      <c r="I5933">
        <v>6700</v>
      </c>
      <c r="J5933" t="e">
        <f>VLOOKUP(E5933,DSSpieler!A:B,2,FALSE)</f>
        <v>#N/A</v>
      </c>
    </row>
    <row r="5934" spans="1:10" x14ac:dyDescent="0.25">
      <c r="A5934">
        <v>6701</v>
      </c>
      <c r="B5934" t="s">
        <v>32911</v>
      </c>
      <c r="C5934">
        <v>531</v>
      </c>
      <c r="D5934">
        <v>595</v>
      </c>
      <c r="E5934">
        <v>1577198027</v>
      </c>
      <c r="F5934">
        <v>5358</v>
      </c>
      <c r="G5934">
        <v>0</v>
      </c>
      <c r="H5934" t="s">
        <v>10853</v>
      </c>
      <c r="I5934">
        <v>6701</v>
      </c>
      <c r="J5934" t="str">
        <f>VLOOKUP(E5934,DSSpieler!A:B,2,FALSE)</f>
        <v>Gargoyle123</v>
      </c>
    </row>
    <row r="5935" spans="1:10" x14ac:dyDescent="0.25">
      <c r="A5935">
        <v>6703</v>
      </c>
      <c r="B5935" t="s">
        <v>531</v>
      </c>
      <c r="C5935">
        <v>489</v>
      </c>
      <c r="D5935">
        <v>579</v>
      </c>
      <c r="E5935">
        <v>0</v>
      </c>
      <c r="F5935">
        <v>221</v>
      </c>
      <c r="G5935">
        <v>0</v>
      </c>
      <c r="H5935" t="s">
        <v>10854</v>
      </c>
      <c r="I5935">
        <v>6703</v>
      </c>
      <c r="J5935" t="e">
        <f>VLOOKUP(E5935,DSSpieler!A:B,2,FALSE)</f>
        <v>#N/A</v>
      </c>
    </row>
    <row r="5936" spans="1:10" x14ac:dyDescent="0.25">
      <c r="A5936">
        <v>6704</v>
      </c>
      <c r="B5936" t="s">
        <v>1145</v>
      </c>
      <c r="C5936">
        <v>571</v>
      </c>
      <c r="D5936">
        <v>534</v>
      </c>
      <c r="E5936">
        <v>1577188356</v>
      </c>
      <c r="F5936">
        <v>7005</v>
      </c>
      <c r="G5936">
        <v>0</v>
      </c>
      <c r="H5936" t="s">
        <v>10855</v>
      </c>
      <c r="I5936">
        <v>6704</v>
      </c>
      <c r="J5936" t="str">
        <f>VLOOKUP(E5936,DSSpieler!A:B,2,FALSE)</f>
        <v>Ted Romato</v>
      </c>
    </row>
    <row r="5937" spans="1:10" x14ac:dyDescent="0.25">
      <c r="A5937">
        <v>6705</v>
      </c>
      <c r="B5937" t="s">
        <v>1563</v>
      </c>
      <c r="C5937">
        <v>504</v>
      </c>
      <c r="D5937">
        <v>537</v>
      </c>
      <c r="E5937">
        <v>1577192340</v>
      </c>
      <c r="F5937">
        <v>1344</v>
      </c>
      <c r="G5937">
        <v>0</v>
      </c>
      <c r="H5937" t="s">
        <v>10856</v>
      </c>
      <c r="I5937">
        <v>6705</v>
      </c>
      <c r="J5937" t="str">
        <f>VLOOKUP(E5937,DSSpieler!A:B,2,FALSE)</f>
        <v>Halbe1008</v>
      </c>
    </row>
    <row r="5938" spans="1:10" x14ac:dyDescent="0.25">
      <c r="A5938">
        <v>6706</v>
      </c>
      <c r="B5938" t="s">
        <v>32912</v>
      </c>
      <c r="C5938">
        <v>460</v>
      </c>
      <c r="D5938">
        <v>445</v>
      </c>
      <c r="E5938">
        <v>1577018096</v>
      </c>
      <c r="F5938">
        <v>4788</v>
      </c>
      <c r="G5938">
        <v>0</v>
      </c>
      <c r="H5938" t="s">
        <v>10857</v>
      </c>
      <c r="I5938">
        <v>6706</v>
      </c>
      <c r="J5938" t="str">
        <f>VLOOKUP(E5938,DSSpieler!A:B,2,FALSE)</f>
        <v>veelora</v>
      </c>
    </row>
    <row r="5939" spans="1:10" x14ac:dyDescent="0.25">
      <c r="A5939">
        <v>6707</v>
      </c>
      <c r="B5939" t="e">
        <f>-Geisteskrank</f>
        <v>#NAME?</v>
      </c>
      <c r="C5939">
        <v>582</v>
      </c>
      <c r="D5939">
        <v>558</v>
      </c>
      <c r="E5939">
        <v>1577188486</v>
      </c>
      <c r="F5939">
        <v>6630</v>
      </c>
      <c r="G5939">
        <v>0</v>
      </c>
      <c r="H5939" t="s">
        <v>10858</v>
      </c>
      <c r="I5939">
        <v>6707</v>
      </c>
      <c r="J5939" t="str">
        <f>VLOOKUP(E5939,DSSpieler!A:B,2,FALSE)</f>
        <v>Gzuz von Nazareth</v>
      </c>
    </row>
    <row r="5940" spans="1:10" x14ac:dyDescent="0.25">
      <c r="A5940">
        <v>6708</v>
      </c>
      <c r="B5940" t="s">
        <v>32913</v>
      </c>
      <c r="C5940">
        <v>486</v>
      </c>
      <c r="D5940">
        <v>591</v>
      </c>
      <c r="E5940">
        <v>1576958415</v>
      </c>
      <c r="F5940">
        <v>5220</v>
      </c>
      <c r="G5940">
        <v>0</v>
      </c>
      <c r="H5940" t="s">
        <v>10859</v>
      </c>
      <c r="I5940">
        <v>6708</v>
      </c>
      <c r="J5940" t="str">
        <f>VLOOKUP(E5940,DSSpieler!A:B,2,FALSE)</f>
        <v>JLC.</v>
      </c>
    </row>
    <row r="5941" spans="1:10" x14ac:dyDescent="0.25">
      <c r="A5941">
        <v>6709</v>
      </c>
      <c r="B5941" t="s">
        <v>32914</v>
      </c>
      <c r="C5941">
        <v>417</v>
      </c>
      <c r="D5941">
        <v>463</v>
      </c>
      <c r="E5941">
        <v>1577175519</v>
      </c>
      <c r="F5941">
        <v>4279</v>
      </c>
      <c r="G5941">
        <v>0</v>
      </c>
      <c r="H5941" t="s">
        <v>10860</v>
      </c>
      <c r="I5941">
        <v>6709</v>
      </c>
      <c r="J5941" t="str">
        <f>VLOOKUP(E5941,DSSpieler!A:B,2,FALSE)</f>
        <v>Lord Dr.Joker</v>
      </c>
    </row>
    <row r="5942" spans="1:10" x14ac:dyDescent="0.25">
      <c r="A5942">
        <v>6710</v>
      </c>
      <c r="B5942" t="s">
        <v>32915</v>
      </c>
      <c r="C5942">
        <v>584</v>
      </c>
      <c r="D5942">
        <v>462</v>
      </c>
      <c r="E5942">
        <v>1577187371</v>
      </c>
      <c r="F5942">
        <v>4074</v>
      </c>
      <c r="G5942">
        <v>0</v>
      </c>
      <c r="H5942" t="s">
        <v>10861</v>
      </c>
      <c r="I5942">
        <v>6710</v>
      </c>
      <c r="J5942" t="str">
        <f>VLOOKUP(E5942,DSSpieler!A:B,2,FALSE)</f>
        <v>Der Tempelritter</v>
      </c>
    </row>
    <row r="5943" spans="1:10" x14ac:dyDescent="0.25">
      <c r="A5943">
        <v>6711</v>
      </c>
      <c r="B5943" t="s">
        <v>531</v>
      </c>
      <c r="C5943">
        <v>499</v>
      </c>
      <c r="D5943">
        <v>581</v>
      </c>
      <c r="E5943">
        <v>0</v>
      </c>
      <c r="F5943">
        <v>1403</v>
      </c>
      <c r="G5943">
        <v>0</v>
      </c>
      <c r="H5943" t="s">
        <v>10862</v>
      </c>
      <c r="I5943">
        <v>6711</v>
      </c>
      <c r="J5943" t="e">
        <f>VLOOKUP(E5943,DSSpieler!A:B,2,FALSE)</f>
        <v>#N/A</v>
      </c>
    </row>
    <row r="5944" spans="1:10" x14ac:dyDescent="0.25">
      <c r="A5944">
        <v>6712</v>
      </c>
      <c r="B5944" t="s">
        <v>531</v>
      </c>
      <c r="C5944">
        <v>572</v>
      </c>
      <c r="D5944">
        <v>538</v>
      </c>
      <c r="E5944">
        <v>0</v>
      </c>
      <c r="F5944">
        <v>458</v>
      </c>
      <c r="G5944">
        <v>0</v>
      </c>
      <c r="H5944" t="s">
        <v>10863</v>
      </c>
      <c r="I5944">
        <v>6712</v>
      </c>
      <c r="J5944" t="e">
        <f>VLOOKUP(E5944,DSSpieler!A:B,2,FALSE)</f>
        <v>#N/A</v>
      </c>
    </row>
    <row r="5945" spans="1:10" x14ac:dyDescent="0.25">
      <c r="A5945">
        <v>6713</v>
      </c>
      <c r="B5945" t="s">
        <v>31687</v>
      </c>
      <c r="C5945">
        <v>480</v>
      </c>
      <c r="D5945">
        <v>579</v>
      </c>
      <c r="E5945">
        <v>1576996406</v>
      </c>
      <c r="F5945">
        <v>7109</v>
      </c>
      <c r="G5945">
        <v>0</v>
      </c>
      <c r="H5945" t="s">
        <v>10864</v>
      </c>
      <c r="I5945">
        <v>6713</v>
      </c>
      <c r="J5945" t="str">
        <f>VLOOKUP(E5945,DSSpieler!A:B,2,FALSE)</f>
        <v>clownsq</v>
      </c>
    </row>
    <row r="5946" spans="1:10" x14ac:dyDescent="0.25">
      <c r="A5946">
        <v>6714</v>
      </c>
      <c r="B5946" t="s">
        <v>32916</v>
      </c>
      <c r="C5946">
        <v>408</v>
      </c>
      <c r="D5946">
        <v>498</v>
      </c>
      <c r="E5946">
        <v>1577198028</v>
      </c>
      <c r="F5946">
        <v>7389</v>
      </c>
      <c r="G5946">
        <v>0</v>
      </c>
      <c r="H5946" t="s">
        <v>10865</v>
      </c>
      <c r="I5946">
        <v>6714</v>
      </c>
      <c r="J5946" t="str">
        <f>VLOOKUP(E5946,DSSpieler!A:B,2,FALSE)</f>
        <v>Sleepy Joe</v>
      </c>
    </row>
    <row r="5947" spans="1:10" x14ac:dyDescent="0.25">
      <c r="A5947">
        <v>6715</v>
      </c>
      <c r="B5947" t="s">
        <v>32917</v>
      </c>
      <c r="C5947">
        <v>520</v>
      </c>
      <c r="D5947">
        <v>592</v>
      </c>
      <c r="E5947">
        <v>10203648</v>
      </c>
      <c r="F5947">
        <v>5683</v>
      </c>
      <c r="G5947">
        <v>0</v>
      </c>
      <c r="H5947" t="s">
        <v>10866</v>
      </c>
      <c r="I5947">
        <v>6715</v>
      </c>
      <c r="J5947" t="str">
        <f>VLOOKUP(E5947,DSSpieler!A:B,2,FALSE)</f>
        <v>Sirfider</v>
      </c>
    </row>
    <row r="5948" spans="1:10" x14ac:dyDescent="0.25">
      <c r="A5948">
        <v>6716</v>
      </c>
      <c r="B5948" t="s">
        <v>531</v>
      </c>
      <c r="C5948">
        <v>407</v>
      </c>
      <c r="D5948">
        <v>483</v>
      </c>
      <c r="E5948">
        <v>0</v>
      </c>
      <c r="F5948">
        <v>274</v>
      </c>
      <c r="G5948">
        <v>0</v>
      </c>
      <c r="H5948" t="s">
        <v>10867</v>
      </c>
      <c r="I5948">
        <v>6716</v>
      </c>
      <c r="J5948" t="e">
        <f>VLOOKUP(E5948,DSSpieler!A:B,2,FALSE)</f>
        <v>#N/A</v>
      </c>
    </row>
    <row r="5949" spans="1:10" x14ac:dyDescent="0.25">
      <c r="A5949">
        <v>6717</v>
      </c>
      <c r="B5949" t="s">
        <v>32918</v>
      </c>
      <c r="C5949">
        <v>484</v>
      </c>
      <c r="D5949">
        <v>484</v>
      </c>
      <c r="E5949">
        <v>1577197270</v>
      </c>
      <c r="F5949">
        <v>5552</v>
      </c>
      <c r="G5949">
        <v>0</v>
      </c>
      <c r="H5949" t="s">
        <v>10868</v>
      </c>
      <c r="I5949">
        <v>6717</v>
      </c>
      <c r="J5949" t="str">
        <f>VLOOKUP(E5949,DSSpieler!A:B,2,FALSE)</f>
        <v>sanchezz.</v>
      </c>
    </row>
    <row r="5950" spans="1:10" x14ac:dyDescent="0.25">
      <c r="A5950">
        <v>6718</v>
      </c>
      <c r="B5950" t="s">
        <v>32919</v>
      </c>
      <c r="C5950">
        <v>574</v>
      </c>
      <c r="D5950">
        <v>475</v>
      </c>
      <c r="E5950">
        <v>9647614</v>
      </c>
      <c r="F5950">
        <v>5285</v>
      </c>
      <c r="G5950">
        <v>0</v>
      </c>
      <c r="H5950" t="s">
        <v>10869</v>
      </c>
      <c r="I5950">
        <v>6718</v>
      </c>
      <c r="J5950" t="str">
        <f>VLOOKUP(E5950,DSSpieler!A:B,2,FALSE)</f>
        <v>Riefenstahl</v>
      </c>
    </row>
    <row r="5951" spans="1:10" x14ac:dyDescent="0.25">
      <c r="A5951">
        <v>6719</v>
      </c>
      <c r="B5951" t="s">
        <v>32920</v>
      </c>
      <c r="C5951">
        <v>477</v>
      </c>
      <c r="D5951">
        <v>397</v>
      </c>
      <c r="E5951">
        <v>1577188055</v>
      </c>
      <c r="F5951">
        <v>7446</v>
      </c>
      <c r="G5951">
        <v>0</v>
      </c>
      <c r="H5951" t="s">
        <v>10870</v>
      </c>
      <c r="I5951">
        <v>6719</v>
      </c>
      <c r="J5951" t="str">
        <f>VLOOKUP(E5951,DSSpieler!A:B,2,FALSE)</f>
        <v>Strobeeel</v>
      </c>
    </row>
    <row r="5952" spans="1:10" x14ac:dyDescent="0.25">
      <c r="A5952">
        <v>6720</v>
      </c>
      <c r="B5952" t="s">
        <v>531</v>
      </c>
      <c r="C5952">
        <v>567</v>
      </c>
      <c r="D5952">
        <v>511</v>
      </c>
      <c r="E5952">
        <v>0</v>
      </c>
      <c r="F5952">
        <v>489</v>
      </c>
      <c r="G5952">
        <v>0</v>
      </c>
      <c r="H5952" t="s">
        <v>10871</v>
      </c>
      <c r="I5952">
        <v>6720</v>
      </c>
      <c r="J5952" t="e">
        <f>VLOOKUP(E5952,DSSpieler!A:B,2,FALSE)</f>
        <v>#N/A</v>
      </c>
    </row>
    <row r="5953" spans="1:10" x14ac:dyDescent="0.25">
      <c r="A5953">
        <v>6721</v>
      </c>
      <c r="B5953" t="e">
        <f>-1-+Rammstein</f>
        <v>#NAME?</v>
      </c>
      <c r="C5953">
        <v>575</v>
      </c>
      <c r="D5953">
        <v>434</v>
      </c>
      <c r="E5953">
        <v>142049</v>
      </c>
      <c r="F5953">
        <v>6092</v>
      </c>
      <c r="G5953">
        <v>0</v>
      </c>
      <c r="H5953" t="s">
        <v>10872</v>
      </c>
      <c r="I5953">
        <v>6721</v>
      </c>
      <c r="J5953" t="str">
        <f>VLOOKUP(E5953,DSSpieler!A:B,2,FALSE)</f>
        <v>theillnes</v>
      </c>
    </row>
    <row r="5954" spans="1:10" x14ac:dyDescent="0.25">
      <c r="A5954">
        <v>6722</v>
      </c>
      <c r="B5954" t="s">
        <v>978</v>
      </c>
      <c r="C5954">
        <v>555</v>
      </c>
      <c r="D5954">
        <v>495</v>
      </c>
      <c r="E5954">
        <v>1731030</v>
      </c>
      <c r="F5954">
        <v>3818</v>
      </c>
      <c r="G5954">
        <v>0</v>
      </c>
      <c r="H5954" t="s">
        <v>10873</v>
      </c>
      <c r="I5954">
        <v>6722</v>
      </c>
      <c r="J5954" t="str">
        <f>VLOOKUP(E5954,DSSpieler!A:B,2,FALSE)</f>
        <v>Keltigun</v>
      </c>
    </row>
    <row r="5955" spans="1:10" x14ac:dyDescent="0.25">
      <c r="A5955">
        <v>6723</v>
      </c>
      <c r="B5955" t="s">
        <v>1564</v>
      </c>
      <c r="C5955">
        <v>501</v>
      </c>
      <c r="D5955">
        <v>445</v>
      </c>
      <c r="E5955">
        <v>1577174183</v>
      </c>
      <c r="F5955">
        <v>5762</v>
      </c>
      <c r="G5955">
        <v>0</v>
      </c>
      <c r="H5955" t="s">
        <v>10874</v>
      </c>
      <c r="I5955">
        <v>6723</v>
      </c>
      <c r="J5955" t="str">
        <f>VLOOKUP(E5955,DSSpieler!A:B,2,FALSE)</f>
        <v>Samwise</v>
      </c>
    </row>
    <row r="5956" spans="1:10" x14ac:dyDescent="0.25">
      <c r="A5956">
        <v>6724</v>
      </c>
      <c r="B5956" t="s">
        <v>32921</v>
      </c>
      <c r="C5956">
        <v>460</v>
      </c>
      <c r="D5956">
        <v>401</v>
      </c>
      <c r="E5956">
        <v>1577182814</v>
      </c>
      <c r="F5956">
        <v>2111</v>
      </c>
      <c r="G5956">
        <v>0</v>
      </c>
      <c r="H5956" t="s">
        <v>10875</v>
      </c>
      <c r="I5956">
        <v>6724</v>
      </c>
      <c r="J5956" t="str">
        <f>VLOOKUP(E5956,DSSpieler!A:B,2,FALSE)</f>
        <v>EggeHeiza</v>
      </c>
    </row>
    <row r="5957" spans="1:10" x14ac:dyDescent="0.25">
      <c r="A5957">
        <v>6725</v>
      </c>
      <c r="B5957" t="s">
        <v>1565</v>
      </c>
      <c r="C5957">
        <v>497</v>
      </c>
      <c r="D5957">
        <v>417</v>
      </c>
      <c r="E5957">
        <v>1577190229</v>
      </c>
      <c r="F5957">
        <v>7306</v>
      </c>
      <c r="G5957">
        <v>0</v>
      </c>
      <c r="H5957" t="s">
        <v>10876</v>
      </c>
      <c r="I5957">
        <v>6725</v>
      </c>
      <c r="J5957" t="str">
        <f>VLOOKUP(E5957,DSSpieler!A:B,2,FALSE)</f>
        <v>Wolle09</v>
      </c>
    </row>
    <row r="5958" spans="1:10" x14ac:dyDescent="0.25">
      <c r="A5958">
        <v>6726</v>
      </c>
      <c r="B5958" t="s">
        <v>1566</v>
      </c>
      <c r="C5958">
        <v>467</v>
      </c>
      <c r="D5958">
        <v>537</v>
      </c>
      <c r="E5958">
        <v>1577035327</v>
      </c>
      <c r="F5958">
        <v>7454</v>
      </c>
      <c r="G5958">
        <v>0</v>
      </c>
      <c r="H5958" t="s">
        <v>10877</v>
      </c>
      <c r="I5958">
        <v>6726</v>
      </c>
      <c r="J5958" t="str">
        <f>VLOOKUP(E5958,DSSpieler!A:B,2,FALSE)</f>
        <v>Lord Elron McBong</v>
      </c>
    </row>
    <row r="5959" spans="1:10" x14ac:dyDescent="0.25">
      <c r="A5959">
        <v>6727</v>
      </c>
      <c r="B5959">
        <v>178</v>
      </c>
      <c r="C5959">
        <v>519</v>
      </c>
      <c r="D5959">
        <v>499</v>
      </c>
      <c r="E5959">
        <v>1576084016</v>
      </c>
      <c r="F5959">
        <v>6844</v>
      </c>
      <c r="G5959">
        <v>0</v>
      </c>
      <c r="H5959" t="s">
        <v>10878</v>
      </c>
      <c r="I5959">
        <v>6727</v>
      </c>
      <c r="J5959" t="str">
        <f>VLOOKUP(E5959,DSSpieler!A:B,2,FALSE)</f>
        <v>threeplayer</v>
      </c>
    </row>
    <row r="5960" spans="1:10" x14ac:dyDescent="0.25">
      <c r="A5960">
        <v>6728</v>
      </c>
      <c r="B5960" t="s">
        <v>531</v>
      </c>
      <c r="C5960">
        <v>504</v>
      </c>
      <c r="D5960">
        <v>479</v>
      </c>
      <c r="E5960">
        <v>0</v>
      </c>
      <c r="F5960">
        <v>436</v>
      </c>
      <c r="G5960">
        <v>0</v>
      </c>
      <c r="H5960" t="s">
        <v>10879</v>
      </c>
      <c r="I5960">
        <v>6728</v>
      </c>
      <c r="J5960" t="e">
        <f>VLOOKUP(E5960,DSSpieler!A:B,2,FALSE)</f>
        <v>#N/A</v>
      </c>
    </row>
    <row r="5961" spans="1:10" x14ac:dyDescent="0.25">
      <c r="A5961">
        <v>6729</v>
      </c>
      <c r="B5961" t="s">
        <v>32922</v>
      </c>
      <c r="C5961">
        <v>545</v>
      </c>
      <c r="D5961">
        <v>499</v>
      </c>
      <c r="E5961">
        <v>1577198031</v>
      </c>
      <c r="F5961">
        <v>5904</v>
      </c>
      <c r="G5961">
        <v>0</v>
      </c>
      <c r="H5961" t="s">
        <v>10880</v>
      </c>
      <c r="I5961">
        <v>6729</v>
      </c>
      <c r="J5961" t="str">
        <f>VLOOKUP(E5961,DSSpieler!A:B,2,FALSE)</f>
        <v>Doodlebrot</v>
      </c>
    </row>
    <row r="5962" spans="1:10" x14ac:dyDescent="0.25">
      <c r="A5962">
        <v>6730</v>
      </c>
      <c r="B5962" t="s">
        <v>1567</v>
      </c>
      <c r="C5962">
        <v>439</v>
      </c>
      <c r="D5962">
        <v>509</v>
      </c>
      <c r="E5962">
        <v>1577195605</v>
      </c>
      <c r="F5962">
        <v>4445</v>
      </c>
      <c r="G5962">
        <v>0</v>
      </c>
      <c r="H5962" t="s">
        <v>10881</v>
      </c>
      <c r="I5962">
        <v>6730</v>
      </c>
      <c r="J5962" t="str">
        <f>VLOOKUP(E5962,DSSpieler!A:B,2,FALSE)</f>
        <v>Fusspilz</v>
      </c>
    </row>
    <row r="5963" spans="1:10" x14ac:dyDescent="0.25">
      <c r="A5963">
        <v>6731</v>
      </c>
      <c r="B5963" t="s">
        <v>531</v>
      </c>
      <c r="C5963">
        <v>432</v>
      </c>
      <c r="D5963">
        <v>524</v>
      </c>
      <c r="E5963">
        <v>0</v>
      </c>
      <c r="F5963">
        <v>483</v>
      </c>
      <c r="G5963">
        <v>0</v>
      </c>
      <c r="H5963" t="s">
        <v>10882</v>
      </c>
      <c r="I5963">
        <v>6731</v>
      </c>
      <c r="J5963" t="e">
        <f>VLOOKUP(E5963,DSSpieler!A:B,2,FALSE)</f>
        <v>#N/A</v>
      </c>
    </row>
    <row r="5964" spans="1:10" x14ac:dyDescent="0.25">
      <c r="A5964">
        <v>6732</v>
      </c>
      <c r="B5964" t="s">
        <v>531</v>
      </c>
      <c r="C5964">
        <v>508</v>
      </c>
      <c r="D5964">
        <v>579</v>
      </c>
      <c r="E5964">
        <v>0</v>
      </c>
      <c r="F5964">
        <v>274</v>
      </c>
      <c r="G5964">
        <v>0</v>
      </c>
      <c r="H5964" t="s">
        <v>10883</v>
      </c>
      <c r="I5964">
        <v>6732</v>
      </c>
      <c r="J5964" t="e">
        <f>VLOOKUP(E5964,DSSpieler!A:B,2,FALSE)</f>
        <v>#N/A</v>
      </c>
    </row>
    <row r="5965" spans="1:10" x14ac:dyDescent="0.25">
      <c r="A5965">
        <v>6733</v>
      </c>
      <c r="B5965" t="s">
        <v>1568</v>
      </c>
      <c r="C5965">
        <v>476</v>
      </c>
      <c r="D5965">
        <v>393</v>
      </c>
      <c r="E5965">
        <v>9825755</v>
      </c>
      <c r="F5965">
        <v>5071</v>
      </c>
      <c r="G5965">
        <v>0</v>
      </c>
      <c r="H5965" t="s">
        <v>10884</v>
      </c>
      <c r="I5965">
        <v>6733</v>
      </c>
      <c r="J5965" t="str">
        <f>VLOOKUP(E5965,DSSpieler!A:B,2,FALSE)</f>
        <v>Ray Runner</v>
      </c>
    </row>
    <row r="5966" spans="1:10" x14ac:dyDescent="0.25">
      <c r="A5966">
        <v>6734</v>
      </c>
      <c r="B5966" t="s">
        <v>531</v>
      </c>
      <c r="C5966">
        <v>508</v>
      </c>
      <c r="D5966">
        <v>551</v>
      </c>
      <c r="E5966">
        <v>0</v>
      </c>
      <c r="F5966">
        <v>327</v>
      </c>
      <c r="G5966">
        <v>0</v>
      </c>
      <c r="H5966" t="s">
        <v>10885</v>
      </c>
      <c r="I5966">
        <v>6734</v>
      </c>
      <c r="J5966" t="e">
        <f>VLOOKUP(E5966,DSSpieler!A:B,2,FALSE)</f>
        <v>#N/A</v>
      </c>
    </row>
    <row r="5967" spans="1:10" x14ac:dyDescent="0.25">
      <c r="A5967">
        <v>6735</v>
      </c>
      <c r="B5967" t="s">
        <v>32923</v>
      </c>
      <c r="C5967">
        <v>494</v>
      </c>
      <c r="D5967">
        <v>538</v>
      </c>
      <c r="E5967">
        <v>1577197753</v>
      </c>
      <c r="F5967">
        <v>1379</v>
      </c>
      <c r="G5967">
        <v>0</v>
      </c>
      <c r="H5967" t="s">
        <v>10886</v>
      </c>
      <c r="I5967">
        <v>6735</v>
      </c>
      <c r="J5967" t="str">
        <f>VLOOKUP(E5967,DSSpieler!A:B,2,FALSE)</f>
        <v>Dakurlzz</v>
      </c>
    </row>
    <row r="5968" spans="1:10" x14ac:dyDescent="0.25">
      <c r="A5968">
        <v>6736</v>
      </c>
      <c r="B5968" t="e">
        <f>-1-+SpielerUpdate+mir+das+Lied+Walhalla+Undercity</f>
        <v>#NAME?</v>
      </c>
      <c r="C5968">
        <v>562</v>
      </c>
      <c r="D5968">
        <v>408</v>
      </c>
      <c r="E5968">
        <v>8333854</v>
      </c>
      <c r="F5968">
        <v>7179</v>
      </c>
      <c r="G5968">
        <v>0</v>
      </c>
      <c r="H5968" t="s">
        <v>10887</v>
      </c>
      <c r="I5968">
        <v>6736</v>
      </c>
      <c r="J5968" t="str">
        <f>VLOOKUP(E5968,DSSpieler!A:B,2,FALSE)</f>
        <v>Tutuvina</v>
      </c>
    </row>
    <row r="5969" spans="1:10" x14ac:dyDescent="0.25">
      <c r="A5969">
        <v>6737</v>
      </c>
      <c r="B5969" t="s">
        <v>32924</v>
      </c>
      <c r="C5969">
        <v>522</v>
      </c>
      <c r="D5969">
        <v>569</v>
      </c>
      <c r="E5969">
        <v>9849432</v>
      </c>
      <c r="F5969">
        <v>2121</v>
      </c>
      <c r="G5969">
        <v>0</v>
      </c>
      <c r="H5969" t="s">
        <v>10888</v>
      </c>
      <c r="I5969">
        <v>6737</v>
      </c>
      <c r="J5969" t="str">
        <f>VLOOKUP(E5969,DSSpieler!A:B,2,FALSE)</f>
        <v>Lord H3iland</v>
      </c>
    </row>
    <row r="5970" spans="1:10" x14ac:dyDescent="0.25">
      <c r="A5970">
        <v>6738</v>
      </c>
      <c r="B5970" t="s">
        <v>32925</v>
      </c>
      <c r="C5970">
        <v>593</v>
      </c>
      <c r="D5970">
        <v>453</v>
      </c>
      <c r="E5970">
        <v>1576189880</v>
      </c>
      <c r="F5970">
        <v>4142</v>
      </c>
      <c r="G5970">
        <v>0</v>
      </c>
      <c r="H5970" t="s">
        <v>10889</v>
      </c>
      <c r="I5970">
        <v>6738</v>
      </c>
      <c r="J5970" t="str">
        <f>VLOOKUP(E5970,DSSpieler!A:B,2,FALSE)</f>
        <v>aksaid</v>
      </c>
    </row>
    <row r="5971" spans="1:10" x14ac:dyDescent="0.25">
      <c r="A5971">
        <v>6739</v>
      </c>
      <c r="B5971" t="s">
        <v>1569</v>
      </c>
      <c r="C5971">
        <v>432</v>
      </c>
      <c r="D5971">
        <v>465</v>
      </c>
      <c r="E5971">
        <v>1577045102</v>
      </c>
      <c r="F5971">
        <v>5329</v>
      </c>
      <c r="G5971">
        <v>0</v>
      </c>
      <c r="H5971" t="s">
        <v>10890</v>
      </c>
      <c r="I5971">
        <v>6739</v>
      </c>
      <c r="J5971" t="str">
        <f>VLOOKUP(E5971,DSSpieler!A:B,2,FALSE)</f>
        <v>RealNyic</v>
      </c>
    </row>
    <row r="5972" spans="1:10" x14ac:dyDescent="0.25">
      <c r="A5972">
        <v>6740</v>
      </c>
      <c r="B5972" t="s">
        <v>32926</v>
      </c>
      <c r="C5972">
        <v>475</v>
      </c>
      <c r="D5972">
        <v>429</v>
      </c>
      <c r="E5972">
        <v>8979093</v>
      </c>
      <c r="F5972">
        <v>5631</v>
      </c>
      <c r="G5972">
        <v>0</v>
      </c>
      <c r="H5972" t="s">
        <v>10891</v>
      </c>
      <c r="I5972">
        <v>6740</v>
      </c>
      <c r="J5972" t="str">
        <f>VLOOKUP(E5972,DSSpieler!A:B,2,FALSE)</f>
        <v>colderaser</v>
      </c>
    </row>
    <row r="5973" spans="1:10" x14ac:dyDescent="0.25">
      <c r="A5973">
        <v>6741</v>
      </c>
      <c r="B5973" t="s">
        <v>32927</v>
      </c>
      <c r="C5973">
        <v>434</v>
      </c>
      <c r="D5973">
        <v>517</v>
      </c>
      <c r="E5973">
        <v>1577054001</v>
      </c>
      <c r="F5973">
        <v>5386</v>
      </c>
      <c r="G5973">
        <v>0</v>
      </c>
      <c r="H5973" t="s">
        <v>10892</v>
      </c>
      <c r="I5973">
        <v>6741</v>
      </c>
      <c r="J5973" t="str">
        <f>VLOOKUP(E5973,DSSpieler!A:B,2,FALSE)</f>
        <v>Giagl99</v>
      </c>
    </row>
    <row r="5974" spans="1:10" x14ac:dyDescent="0.25">
      <c r="A5974">
        <v>6742</v>
      </c>
      <c r="B5974" t="s">
        <v>1570</v>
      </c>
      <c r="C5974">
        <v>405</v>
      </c>
      <c r="D5974">
        <v>530</v>
      </c>
      <c r="E5974">
        <v>9806947</v>
      </c>
      <c r="F5974">
        <v>5796</v>
      </c>
      <c r="G5974">
        <v>0</v>
      </c>
      <c r="H5974" t="s">
        <v>10893</v>
      </c>
      <c r="I5974">
        <v>6742</v>
      </c>
      <c r="J5974" t="str">
        <f>VLOOKUP(E5974,DSSpieler!A:B,2,FALSE)</f>
        <v>TTinglE</v>
      </c>
    </row>
    <row r="5975" spans="1:10" x14ac:dyDescent="0.25">
      <c r="A5975">
        <v>6743</v>
      </c>
      <c r="B5975" t="s">
        <v>531</v>
      </c>
      <c r="C5975">
        <v>535</v>
      </c>
      <c r="D5975">
        <v>510</v>
      </c>
      <c r="E5975">
        <v>0</v>
      </c>
      <c r="F5975">
        <v>427</v>
      </c>
      <c r="G5975">
        <v>0</v>
      </c>
      <c r="H5975" t="s">
        <v>10894</v>
      </c>
      <c r="I5975">
        <v>6743</v>
      </c>
      <c r="J5975" t="e">
        <f>VLOOKUP(E5975,DSSpieler!A:B,2,FALSE)</f>
        <v>#N/A</v>
      </c>
    </row>
    <row r="5976" spans="1:10" x14ac:dyDescent="0.25">
      <c r="A5976">
        <v>6744</v>
      </c>
      <c r="B5976" t="s">
        <v>32928</v>
      </c>
      <c r="C5976">
        <v>555</v>
      </c>
      <c r="D5976">
        <v>539</v>
      </c>
      <c r="E5976">
        <v>1577193819</v>
      </c>
      <c r="F5976">
        <v>4411</v>
      </c>
      <c r="G5976">
        <v>0</v>
      </c>
      <c r="H5976" t="s">
        <v>10895</v>
      </c>
      <c r="I5976">
        <v>6744</v>
      </c>
      <c r="J5976" t="str">
        <f>VLOOKUP(E5976,DSSpieler!A:B,2,FALSE)</f>
        <v>Deal94</v>
      </c>
    </row>
    <row r="5977" spans="1:10" x14ac:dyDescent="0.25">
      <c r="A5977">
        <v>6745</v>
      </c>
      <c r="B5977" t="s">
        <v>531</v>
      </c>
      <c r="C5977">
        <v>519</v>
      </c>
      <c r="D5977">
        <v>567</v>
      </c>
      <c r="E5977">
        <v>0</v>
      </c>
      <c r="F5977">
        <v>199</v>
      </c>
      <c r="G5977">
        <v>0</v>
      </c>
      <c r="H5977" t="s">
        <v>10896</v>
      </c>
      <c r="I5977">
        <v>6745</v>
      </c>
      <c r="J5977" t="e">
        <f>VLOOKUP(E5977,DSSpieler!A:B,2,FALSE)</f>
        <v>#N/A</v>
      </c>
    </row>
    <row r="5978" spans="1:10" x14ac:dyDescent="0.25">
      <c r="A5978">
        <v>6746</v>
      </c>
      <c r="B5978" t="s">
        <v>32929</v>
      </c>
      <c r="C5978">
        <v>576</v>
      </c>
      <c r="D5978">
        <v>484</v>
      </c>
      <c r="E5978">
        <v>9853438</v>
      </c>
      <c r="F5978">
        <v>4101</v>
      </c>
      <c r="G5978">
        <v>0</v>
      </c>
      <c r="H5978" t="s">
        <v>10897</v>
      </c>
      <c r="I5978">
        <v>6746</v>
      </c>
      <c r="J5978" t="str">
        <f>VLOOKUP(E5978,DSSpieler!A:B,2,FALSE)</f>
        <v>-Oni-</v>
      </c>
    </row>
    <row r="5979" spans="1:10" x14ac:dyDescent="0.25">
      <c r="A5979">
        <v>6747</v>
      </c>
      <c r="B5979" t="s">
        <v>1571</v>
      </c>
      <c r="C5979">
        <v>420</v>
      </c>
      <c r="D5979">
        <v>565</v>
      </c>
      <c r="E5979">
        <v>1577181383</v>
      </c>
      <c r="F5979">
        <v>4194</v>
      </c>
      <c r="G5979">
        <v>0</v>
      </c>
      <c r="H5979" t="s">
        <v>10898</v>
      </c>
      <c r="I5979">
        <v>6747</v>
      </c>
      <c r="J5979" t="str">
        <f>VLOOKUP(E5979,DSSpieler!A:B,2,FALSE)</f>
        <v>lakipom</v>
      </c>
    </row>
    <row r="5980" spans="1:10" x14ac:dyDescent="0.25">
      <c r="A5980">
        <v>6749</v>
      </c>
      <c r="B5980" t="s">
        <v>1572</v>
      </c>
      <c r="C5980">
        <v>555</v>
      </c>
      <c r="D5980">
        <v>498</v>
      </c>
      <c r="E5980">
        <v>8947656</v>
      </c>
      <c r="F5980">
        <v>2027</v>
      </c>
      <c r="G5980">
        <v>0</v>
      </c>
      <c r="H5980" t="s">
        <v>10899</v>
      </c>
      <c r="I5980">
        <v>6749</v>
      </c>
      <c r="J5980" t="str">
        <f>VLOOKUP(E5980,DSSpieler!A:B,2,FALSE)</f>
        <v>Lorenz Ha.</v>
      </c>
    </row>
    <row r="5981" spans="1:10" x14ac:dyDescent="0.25">
      <c r="A5981">
        <v>6750</v>
      </c>
      <c r="B5981" t="s">
        <v>32930</v>
      </c>
      <c r="C5981">
        <v>577</v>
      </c>
      <c r="D5981">
        <v>425</v>
      </c>
      <c r="E5981">
        <v>1735219</v>
      </c>
      <c r="F5981">
        <v>5110</v>
      </c>
      <c r="G5981">
        <v>0</v>
      </c>
      <c r="H5981" t="s">
        <v>10900</v>
      </c>
      <c r="I5981">
        <v>6750</v>
      </c>
      <c r="J5981" t="str">
        <f>VLOOKUP(E5981,DSSpieler!A:B,2,FALSE)</f>
        <v>Kämpfer Darans</v>
      </c>
    </row>
    <row r="5982" spans="1:10" x14ac:dyDescent="0.25">
      <c r="A5982">
        <v>6751</v>
      </c>
      <c r="B5982" t="s">
        <v>32931</v>
      </c>
      <c r="C5982">
        <v>500</v>
      </c>
      <c r="D5982">
        <v>434</v>
      </c>
      <c r="E5982">
        <v>9190648</v>
      </c>
      <c r="F5982">
        <v>5855</v>
      </c>
      <c r="G5982">
        <v>0</v>
      </c>
      <c r="H5982" t="s">
        <v>10901</v>
      </c>
      <c r="I5982">
        <v>6751</v>
      </c>
      <c r="J5982" t="str">
        <f>VLOOKUP(E5982,DSSpieler!A:B,2,FALSE)</f>
        <v>Zoker204</v>
      </c>
    </row>
    <row r="5983" spans="1:10" x14ac:dyDescent="0.25">
      <c r="A5983">
        <v>6752</v>
      </c>
      <c r="B5983" t="s">
        <v>32932</v>
      </c>
      <c r="C5983">
        <v>443</v>
      </c>
      <c r="D5983">
        <v>527</v>
      </c>
      <c r="E5983">
        <v>1577175305</v>
      </c>
      <c r="F5983">
        <v>2224</v>
      </c>
      <c r="G5983">
        <v>0</v>
      </c>
      <c r="H5983" t="s">
        <v>10902</v>
      </c>
      <c r="I5983">
        <v>6752</v>
      </c>
      <c r="J5983" t="str">
        <f>VLOOKUP(E5983,DSSpieler!A:B,2,FALSE)</f>
        <v>thedfh</v>
      </c>
    </row>
    <row r="5984" spans="1:10" x14ac:dyDescent="0.25">
      <c r="A5984">
        <v>6753</v>
      </c>
      <c r="B5984" t="s">
        <v>32933</v>
      </c>
      <c r="C5984">
        <v>535</v>
      </c>
      <c r="D5984">
        <v>538</v>
      </c>
      <c r="E5984">
        <v>1577077214</v>
      </c>
      <c r="F5984">
        <v>3294</v>
      </c>
      <c r="G5984">
        <v>0</v>
      </c>
      <c r="H5984" t="s">
        <v>10903</v>
      </c>
      <c r="I5984">
        <v>6753</v>
      </c>
      <c r="J5984" t="str">
        <f>VLOOKUP(E5984,DSSpieler!A:B,2,FALSE)</f>
        <v>JoEck55</v>
      </c>
    </row>
    <row r="5985" spans="1:10" x14ac:dyDescent="0.25">
      <c r="A5985">
        <v>6754</v>
      </c>
      <c r="B5985" t="s">
        <v>1573</v>
      </c>
      <c r="C5985">
        <v>531</v>
      </c>
      <c r="D5985">
        <v>473</v>
      </c>
      <c r="E5985">
        <v>1577187225</v>
      </c>
      <c r="F5985">
        <v>1880</v>
      </c>
      <c r="G5985">
        <v>0</v>
      </c>
      <c r="H5985" t="s">
        <v>10904</v>
      </c>
      <c r="I5985">
        <v>6754</v>
      </c>
      <c r="J5985" t="str">
        <f>VLOOKUP(E5985,DSSpieler!A:B,2,FALSE)</f>
        <v>haciiosman</v>
      </c>
    </row>
    <row r="5986" spans="1:10" x14ac:dyDescent="0.25">
      <c r="A5986">
        <v>6755</v>
      </c>
      <c r="B5986" t="s">
        <v>32934</v>
      </c>
      <c r="C5986">
        <v>561</v>
      </c>
      <c r="D5986">
        <v>493</v>
      </c>
      <c r="E5986">
        <v>1576795194</v>
      </c>
      <c r="F5986">
        <v>7310</v>
      </c>
      <c r="G5986">
        <v>0</v>
      </c>
      <c r="H5986" t="s">
        <v>10905</v>
      </c>
      <c r="I5986">
        <v>6755</v>
      </c>
      <c r="J5986" t="str">
        <f>VLOOKUP(E5986,DSSpieler!A:B,2,FALSE)</f>
        <v>Genshirou</v>
      </c>
    </row>
    <row r="5987" spans="1:10" x14ac:dyDescent="0.25">
      <c r="A5987">
        <v>6756</v>
      </c>
      <c r="B5987" t="s">
        <v>531</v>
      </c>
      <c r="C5987">
        <v>511</v>
      </c>
      <c r="D5987">
        <v>558</v>
      </c>
      <c r="E5987">
        <v>0</v>
      </c>
      <c r="F5987">
        <v>443</v>
      </c>
      <c r="G5987">
        <v>0</v>
      </c>
      <c r="H5987" t="s">
        <v>10906</v>
      </c>
      <c r="I5987">
        <v>6756</v>
      </c>
      <c r="J5987" t="e">
        <f>VLOOKUP(E5987,DSSpieler!A:B,2,FALSE)</f>
        <v>#N/A</v>
      </c>
    </row>
    <row r="5988" spans="1:10" x14ac:dyDescent="0.25">
      <c r="A5988">
        <v>6757</v>
      </c>
      <c r="B5988" t="s">
        <v>32935</v>
      </c>
      <c r="C5988">
        <v>552</v>
      </c>
      <c r="D5988">
        <v>432</v>
      </c>
      <c r="E5988">
        <v>22858</v>
      </c>
      <c r="F5988">
        <v>7438</v>
      </c>
      <c r="G5988">
        <v>0</v>
      </c>
      <c r="H5988" t="s">
        <v>10907</v>
      </c>
      <c r="I5988">
        <v>6757</v>
      </c>
      <c r="J5988" t="str">
        <f>VLOOKUP(E5988,DSSpieler!A:B,2,FALSE)</f>
        <v>Hzombi</v>
      </c>
    </row>
    <row r="5989" spans="1:10" x14ac:dyDescent="0.25">
      <c r="A5989">
        <v>6758</v>
      </c>
      <c r="B5989" t="s">
        <v>32936</v>
      </c>
      <c r="C5989">
        <v>451</v>
      </c>
      <c r="D5989">
        <v>447</v>
      </c>
      <c r="E5989">
        <v>1946237</v>
      </c>
      <c r="F5989">
        <v>6496</v>
      </c>
      <c r="G5989">
        <v>0</v>
      </c>
      <c r="H5989" t="s">
        <v>10908</v>
      </c>
      <c r="I5989">
        <v>6758</v>
      </c>
      <c r="J5989" t="str">
        <f>VLOOKUP(E5989,DSSpieler!A:B,2,FALSE)</f>
        <v>dedlacrio</v>
      </c>
    </row>
    <row r="5990" spans="1:10" x14ac:dyDescent="0.25">
      <c r="A5990">
        <v>6759</v>
      </c>
      <c r="B5990">
        <v>3</v>
      </c>
      <c r="C5990">
        <v>460</v>
      </c>
      <c r="D5990">
        <v>587</v>
      </c>
      <c r="E5990">
        <v>125807</v>
      </c>
      <c r="F5990">
        <v>8860</v>
      </c>
      <c r="G5990">
        <v>0</v>
      </c>
      <c r="H5990" t="s">
        <v>10909</v>
      </c>
      <c r="I5990">
        <v>6759</v>
      </c>
      <c r="J5990" t="str">
        <f>VLOOKUP(E5990,DSSpieler!A:B,2,FALSE)</f>
        <v>kampffalke</v>
      </c>
    </row>
    <row r="5991" spans="1:10" x14ac:dyDescent="0.25">
      <c r="A5991">
        <v>6760</v>
      </c>
      <c r="B5991" t="s">
        <v>531</v>
      </c>
      <c r="C5991">
        <v>545</v>
      </c>
      <c r="D5991">
        <v>533</v>
      </c>
      <c r="E5991">
        <v>1577164805</v>
      </c>
      <c r="F5991">
        <v>1381</v>
      </c>
      <c r="G5991">
        <v>0</v>
      </c>
      <c r="H5991" t="s">
        <v>10910</v>
      </c>
      <c r="I5991">
        <v>6760</v>
      </c>
      <c r="J5991" t="str">
        <f>VLOOKUP(E5991,DSSpieler!A:B,2,FALSE)</f>
        <v>Boiler</v>
      </c>
    </row>
    <row r="5992" spans="1:10" x14ac:dyDescent="0.25">
      <c r="A5992">
        <v>6761</v>
      </c>
      <c r="B5992" t="s">
        <v>32937</v>
      </c>
      <c r="C5992">
        <v>446</v>
      </c>
      <c r="D5992">
        <v>549</v>
      </c>
      <c r="E5992">
        <v>1577174428</v>
      </c>
      <c r="F5992">
        <v>321</v>
      </c>
      <c r="G5992">
        <v>0</v>
      </c>
      <c r="H5992" t="s">
        <v>10911</v>
      </c>
      <c r="I5992">
        <v>6761</v>
      </c>
      <c r="J5992" t="str">
        <f>VLOOKUP(E5992,DSSpieler!A:B,2,FALSE)</f>
        <v>felu</v>
      </c>
    </row>
    <row r="5993" spans="1:10" x14ac:dyDescent="0.25">
      <c r="A5993">
        <v>6763</v>
      </c>
      <c r="B5993" t="s">
        <v>32938</v>
      </c>
      <c r="C5993">
        <v>473</v>
      </c>
      <c r="D5993">
        <v>418</v>
      </c>
      <c r="E5993">
        <v>9318560</v>
      </c>
      <c r="F5993">
        <v>2588</v>
      </c>
      <c r="G5993">
        <v>0</v>
      </c>
      <c r="H5993" t="s">
        <v>10912</v>
      </c>
      <c r="I5993">
        <v>6763</v>
      </c>
      <c r="J5993" t="str">
        <f>VLOOKUP(E5993,DSSpieler!A:B,2,FALSE)</f>
        <v>Melkin</v>
      </c>
    </row>
    <row r="5994" spans="1:10" x14ac:dyDescent="0.25">
      <c r="A5994">
        <v>6764</v>
      </c>
      <c r="B5994" t="s">
        <v>1574</v>
      </c>
      <c r="C5994">
        <v>451</v>
      </c>
      <c r="D5994">
        <v>507</v>
      </c>
      <c r="E5994">
        <v>1576870901</v>
      </c>
      <c r="F5994">
        <v>1337</v>
      </c>
      <c r="G5994">
        <v>0</v>
      </c>
      <c r="H5994" t="s">
        <v>10913</v>
      </c>
      <c r="I5994">
        <v>6764</v>
      </c>
      <c r="J5994" t="str">
        <f>VLOOKUP(E5994,DSSpieler!A:B,2,FALSE)</f>
        <v>I C A R U S</v>
      </c>
    </row>
    <row r="5995" spans="1:10" x14ac:dyDescent="0.25">
      <c r="A5995">
        <v>6765</v>
      </c>
      <c r="B5995" t="s">
        <v>31869</v>
      </c>
      <c r="C5995">
        <v>489</v>
      </c>
      <c r="D5995">
        <v>450</v>
      </c>
      <c r="E5995">
        <v>1577179440</v>
      </c>
      <c r="F5995">
        <v>2987</v>
      </c>
      <c r="G5995">
        <v>0</v>
      </c>
      <c r="H5995" t="s">
        <v>10914</v>
      </c>
      <c r="I5995">
        <v>6765</v>
      </c>
      <c r="J5995" t="str">
        <f>VLOOKUP(E5995,DSSpieler!A:B,2,FALSE)</f>
        <v>König David</v>
      </c>
    </row>
    <row r="5996" spans="1:10" x14ac:dyDescent="0.25">
      <c r="A5996">
        <v>6766</v>
      </c>
      <c r="B5996" t="s">
        <v>531</v>
      </c>
      <c r="C5996">
        <v>432</v>
      </c>
      <c r="D5996">
        <v>542</v>
      </c>
      <c r="E5996">
        <v>0</v>
      </c>
      <c r="F5996">
        <v>569</v>
      </c>
      <c r="G5996">
        <v>0</v>
      </c>
      <c r="H5996" t="s">
        <v>10915</v>
      </c>
      <c r="I5996">
        <v>6766</v>
      </c>
      <c r="J5996" t="e">
        <f>VLOOKUP(E5996,DSSpieler!A:B,2,FALSE)</f>
        <v>#N/A</v>
      </c>
    </row>
    <row r="5997" spans="1:10" x14ac:dyDescent="0.25">
      <c r="A5997">
        <v>6767</v>
      </c>
      <c r="B5997">
        <v>3</v>
      </c>
      <c r="C5997">
        <v>470</v>
      </c>
      <c r="D5997">
        <v>599</v>
      </c>
      <c r="E5997">
        <v>8392517</v>
      </c>
      <c r="F5997">
        <v>1740</v>
      </c>
      <c r="G5997">
        <v>0</v>
      </c>
      <c r="H5997" t="s">
        <v>10916</v>
      </c>
      <c r="I5997">
        <v>6767</v>
      </c>
      <c r="J5997" t="str">
        <f>VLOOKUP(E5997,DSSpieler!A:B,2,FALSE)</f>
        <v>JayX</v>
      </c>
    </row>
    <row r="5998" spans="1:10" x14ac:dyDescent="0.25">
      <c r="A5998">
        <v>6768</v>
      </c>
      <c r="B5998" t="s">
        <v>31434</v>
      </c>
      <c r="C5998">
        <v>477</v>
      </c>
      <c r="D5998">
        <v>602</v>
      </c>
      <c r="E5998">
        <v>337584</v>
      </c>
      <c r="F5998">
        <v>6828</v>
      </c>
      <c r="G5998">
        <v>0</v>
      </c>
      <c r="H5998" t="s">
        <v>10917</v>
      </c>
      <c r="I5998">
        <v>6768</v>
      </c>
      <c r="J5998" t="str">
        <f>VLOOKUP(E5998,DSSpieler!A:B,2,FALSE)</f>
        <v>der letzte hashishin</v>
      </c>
    </row>
    <row r="5999" spans="1:10" x14ac:dyDescent="0.25">
      <c r="A5999">
        <v>6769</v>
      </c>
      <c r="B5999" t="s">
        <v>734</v>
      </c>
      <c r="C5999">
        <v>589</v>
      </c>
      <c r="D5999">
        <v>485</v>
      </c>
      <c r="E5999">
        <v>9638311</v>
      </c>
      <c r="F5999">
        <v>8877</v>
      </c>
      <c r="G5999">
        <v>0</v>
      </c>
      <c r="H5999" t="s">
        <v>10918</v>
      </c>
      <c r="I5999">
        <v>6769</v>
      </c>
      <c r="J5999" t="str">
        <f>VLOOKUP(E5999,DSSpieler!A:B,2,FALSE)</f>
        <v>Vodka</v>
      </c>
    </row>
    <row r="6000" spans="1:10" x14ac:dyDescent="0.25">
      <c r="A6000">
        <v>6770</v>
      </c>
      <c r="B6000" t="s">
        <v>35842</v>
      </c>
      <c r="C6000">
        <v>584</v>
      </c>
      <c r="D6000">
        <v>550</v>
      </c>
      <c r="E6000">
        <v>1577197503</v>
      </c>
      <c r="F6000">
        <v>6574</v>
      </c>
      <c r="G6000">
        <v>0</v>
      </c>
      <c r="H6000" t="s">
        <v>10919</v>
      </c>
      <c r="I6000">
        <v>6770</v>
      </c>
      <c r="J6000" t="str">
        <f>VLOOKUP(E6000,DSSpieler!A:B,2,FALSE)</f>
        <v>Rapt1le</v>
      </c>
    </row>
    <row r="6001" spans="1:10" x14ac:dyDescent="0.25">
      <c r="A6001">
        <v>6771</v>
      </c>
      <c r="B6001" t="s">
        <v>32939</v>
      </c>
      <c r="C6001">
        <v>565</v>
      </c>
      <c r="D6001">
        <v>461</v>
      </c>
      <c r="E6001">
        <v>1577197002</v>
      </c>
      <c r="F6001">
        <v>7642</v>
      </c>
      <c r="G6001">
        <v>0</v>
      </c>
      <c r="H6001" t="s">
        <v>10920</v>
      </c>
      <c r="I6001">
        <v>6771</v>
      </c>
      <c r="J6001" t="str">
        <f>VLOOKUP(E6001,DSSpieler!A:B,2,FALSE)</f>
        <v>Squatusalem</v>
      </c>
    </row>
    <row r="6002" spans="1:10" x14ac:dyDescent="0.25">
      <c r="A6002">
        <v>6772</v>
      </c>
      <c r="B6002" t="s">
        <v>32940</v>
      </c>
      <c r="C6002">
        <v>417</v>
      </c>
      <c r="D6002">
        <v>575</v>
      </c>
      <c r="E6002">
        <v>8839915</v>
      </c>
      <c r="F6002">
        <v>7114</v>
      </c>
      <c r="G6002">
        <v>0</v>
      </c>
      <c r="H6002" t="s">
        <v>10921</v>
      </c>
      <c r="I6002">
        <v>6772</v>
      </c>
      <c r="J6002" t="str">
        <f>VLOOKUP(E6002,DSSpieler!A:B,2,FALSE)</f>
        <v>BierBaron.</v>
      </c>
    </row>
    <row r="6003" spans="1:10" x14ac:dyDescent="0.25">
      <c r="A6003">
        <v>6773</v>
      </c>
      <c r="B6003" t="s">
        <v>32941</v>
      </c>
      <c r="C6003">
        <v>564</v>
      </c>
      <c r="D6003">
        <v>416</v>
      </c>
      <c r="E6003">
        <v>1577045139</v>
      </c>
      <c r="F6003">
        <v>4869</v>
      </c>
      <c r="G6003">
        <v>0</v>
      </c>
      <c r="H6003" t="s">
        <v>10922</v>
      </c>
      <c r="I6003">
        <v>6773</v>
      </c>
      <c r="J6003" t="str">
        <f>VLOOKUP(E6003,DSSpieler!A:B,2,FALSE)</f>
        <v>Ice and Fire</v>
      </c>
    </row>
    <row r="6004" spans="1:10" x14ac:dyDescent="0.25">
      <c r="A6004">
        <v>6774</v>
      </c>
      <c r="B6004" t="s">
        <v>32942</v>
      </c>
      <c r="C6004">
        <v>564</v>
      </c>
      <c r="D6004">
        <v>521</v>
      </c>
      <c r="E6004">
        <v>1576824913</v>
      </c>
      <c r="F6004">
        <v>8067</v>
      </c>
      <c r="G6004">
        <v>0</v>
      </c>
      <c r="H6004" t="s">
        <v>10923</v>
      </c>
      <c r="I6004">
        <v>6774</v>
      </c>
      <c r="J6004" t="str">
        <f>VLOOKUP(E6004,DSSpieler!A:B,2,FALSE)</f>
        <v>McSpargel</v>
      </c>
    </row>
    <row r="6005" spans="1:10" x14ac:dyDescent="0.25">
      <c r="A6005">
        <v>6775</v>
      </c>
      <c r="B6005" t="s">
        <v>32943</v>
      </c>
      <c r="C6005">
        <v>395</v>
      </c>
      <c r="D6005">
        <v>528</v>
      </c>
      <c r="E6005">
        <v>1577055127</v>
      </c>
      <c r="F6005">
        <v>7044</v>
      </c>
      <c r="G6005">
        <v>0</v>
      </c>
      <c r="H6005" t="s">
        <v>10924</v>
      </c>
      <c r="I6005">
        <v>6775</v>
      </c>
      <c r="J6005" t="str">
        <f>VLOOKUP(E6005,DSSpieler!A:B,2,FALSE)</f>
        <v>Karnalos</v>
      </c>
    </row>
    <row r="6006" spans="1:10" x14ac:dyDescent="0.25">
      <c r="A6006">
        <v>6777</v>
      </c>
      <c r="B6006" t="s">
        <v>31511</v>
      </c>
      <c r="C6006">
        <v>520</v>
      </c>
      <c r="D6006">
        <v>437</v>
      </c>
      <c r="E6006">
        <v>1577177125</v>
      </c>
      <c r="F6006">
        <v>5280</v>
      </c>
      <c r="G6006">
        <v>0</v>
      </c>
      <c r="H6006" t="s">
        <v>10925</v>
      </c>
      <c r="I6006">
        <v>6777</v>
      </c>
      <c r="J6006" t="str">
        <f>VLOOKUP(E6006,DSSpieler!A:B,2,FALSE)</f>
        <v>DeffBot</v>
      </c>
    </row>
    <row r="6007" spans="1:10" x14ac:dyDescent="0.25">
      <c r="A6007">
        <v>6780</v>
      </c>
      <c r="B6007" t="s">
        <v>32944</v>
      </c>
      <c r="C6007">
        <v>582</v>
      </c>
      <c r="D6007">
        <v>485</v>
      </c>
      <c r="E6007">
        <v>9853438</v>
      </c>
      <c r="F6007">
        <v>4808</v>
      </c>
      <c r="G6007">
        <v>0</v>
      </c>
      <c r="H6007" t="s">
        <v>10926</v>
      </c>
      <c r="I6007">
        <v>6780</v>
      </c>
      <c r="J6007" t="str">
        <f>VLOOKUP(E6007,DSSpieler!A:B,2,FALSE)</f>
        <v>-Oni-</v>
      </c>
    </row>
    <row r="6008" spans="1:10" x14ac:dyDescent="0.25">
      <c r="A6008">
        <v>6781</v>
      </c>
      <c r="B6008" t="s">
        <v>32945</v>
      </c>
      <c r="C6008">
        <v>459</v>
      </c>
      <c r="D6008">
        <v>446</v>
      </c>
      <c r="E6008">
        <v>1577119536</v>
      </c>
      <c r="F6008">
        <v>5420</v>
      </c>
      <c r="G6008">
        <v>0</v>
      </c>
      <c r="H6008" t="s">
        <v>10927</v>
      </c>
      <c r="I6008">
        <v>6781</v>
      </c>
      <c r="J6008" t="str">
        <f>VLOOKUP(E6008,DSSpieler!A:B,2,FALSE)</f>
        <v>xihu</v>
      </c>
    </row>
    <row r="6009" spans="1:10" x14ac:dyDescent="0.25">
      <c r="A6009">
        <v>6784</v>
      </c>
      <c r="B6009" t="s">
        <v>531</v>
      </c>
      <c r="C6009">
        <v>541</v>
      </c>
      <c r="D6009">
        <v>460</v>
      </c>
      <c r="E6009">
        <v>0</v>
      </c>
      <c r="F6009">
        <v>113</v>
      </c>
      <c r="G6009">
        <v>0</v>
      </c>
      <c r="H6009" t="s">
        <v>10928</v>
      </c>
      <c r="I6009">
        <v>6784</v>
      </c>
      <c r="J6009" t="e">
        <f>VLOOKUP(E6009,DSSpieler!A:B,2,FALSE)</f>
        <v>#N/A</v>
      </c>
    </row>
    <row r="6010" spans="1:10" x14ac:dyDescent="0.25">
      <c r="A6010">
        <v>6785</v>
      </c>
      <c r="B6010" t="s">
        <v>32946</v>
      </c>
      <c r="C6010">
        <v>565</v>
      </c>
      <c r="D6010">
        <v>517</v>
      </c>
      <c r="E6010">
        <v>8627192</v>
      </c>
      <c r="F6010">
        <v>4314</v>
      </c>
      <c r="G6010">
        <v>0</v>
      </c>
      <c r="H6010" t="s">
        <v>10929</v>
      </c>
      <c r="I6010">
        <v>6785</v>
      </c>
      <c r="J6010" t="str">
        <f>VLOOKUP(E6010,DSSpieler!A:B,2,FALSE)</f>
        <v>Elektric</v>
      </c>
    </row>
    <row r="6011" spans="1:10" x14ac:dyDescent="0.25">
      <c r="A6011">
        <v>6786</v>
      </c>
      <c r="B6011" t="s">
        <v>1575</v>
      </c>
      <c r="C6011">
        <v>512</v>
      </c>
      <c r="D6011">
        <v>535</v>
      </c>
      <c r="E6011">
        <v>1577197019</v>
      </c>
      <c r="F6011">
        <v>5117</v>
      </c>
      <c r="G6011">
        <v>0</v>
      </c>
      <c r="H6011" t="s">
        <v>10930</v>
      </c>
      <c r="I6011">
        <v>6786</v>
      </c>
      <c r="J6011" t="str">
        <f>VLOOKUP(E6011,DSSpieler!A:B,2,FALSE)</f>
        <v>jürgenevers</v>
      </c>
    </row>
    <row r="6012" spans="1:10" x14ac:dyDescent="0.25">
      <c r="A6012">
        <v>6788</v>
      </c>
      <c r="B6012" t="s">
        <v>531</v>
      </c>
      <c r="C6012">
        <v>484</v>
      </c>
      <c r="D6012">
        <v>450</v>
      </c>
      <c r="E6012">
        <v>0</v>
      </c>
      <c r="F6012">
        <v>346</v>
      </c>
      <c r="G6012">
        <v>0</v>
      </c>
      <c r="H6012" t="s">
        <v>10931</v>
      </c>
      <c r="I6012">
        <v>6788</v>
      </c>
      <c r="J6012" t="e">
        <f>VLOOKUP(E6012,DSSpieler!A:B,2,FALSE)</f>
        <v>#N/A</v>
      </c>
    </row>
    <row r="6013" spans="1:10" x14ac:dyDescent="0.25">
      <c r="A6013">
        <v>6789</v>
      </c>
      <c r="B6013" t="s">
        <v>531</v>
      </c>
      <c r="C6013">
        <v>475</v>
      </c>
      <c r="D6013">
        <v>433</v>
      </c>
      <c r="E6013">
        <v>0</v>
      </c>
      <c r="F6013">
        <v>523</v>
      </c>
      <c r="G6013">
        <v>0</v>
      </c>
      <c r="H6013" t="s">
        <v>10932</v>
      </c>
      <c r="I6013">
        <v>6789</v>
      </c>
      <c r="J6013" t="e">
        <f>VLOOKUP(E6013,DSSpieler!A:B,2,FALSE)</f>
        <v>#N/A</v>
      </c>
    </row>
    <row r="6014" spans="1:10" x14ac:dyDescent="0.25">
      <c r="A6014">
        <v>6790</v>
      </c>
      <c r="B6014" t="s">
        <v>32947</v>
      </c>
      <c r="C6014">
        <v>464</v>
      </c>
      <c r="D6014">
        <v>455</v>
      </c>
      <c r="E6014">
        <v>1577039301</v>
      </c>
      <c r="F6014">
        <v>5812</v>
      </c>
      <c r="G6014">
        <v>0</v>
      </c>
      <c r="H6014" t="s">
        <v>10933</v>
      </c>
      <c r="I6014">
        <v>6790</v>
      </c>
      <c r="J6014" t="str">
        <f>VLOOKUP(E6014,DSSpieler!A:B,2,FALSE)</f>
        <v>Yuled54</v>
      </c>
    </row>
    <row r="6015" spans="1:10" x14ac:dyDescent="0.25">
      <c r="A6015">
        <v>6791</v>
      </c>
      <c r="B6015" t="s">
        <v>32948</v>
      </c>
      <c r="C6015">
        <v>442</v>
      </c>
      <c r="D6015">
        <v>516</v>
      </c>
      <c r="E6015">
        <v>1577181814</v>
      </c>
      <c r="F6015">
        <v>4915</v>
      </c>
      <c r="G6015">
        <v>0</v>
      </c>
      <c r="H6015" t="s">
        <v>10934</v>
      </c>
      <c r="I6015">
        <v>6791</v>
      </c>
      <c r="J6015" t="str">
        <f>VLOOKUP(E6015,DSSpieler!A:B,2,FALSE)</f>
        <v>jack.daniels</v>
      </c>
    </row>
    <row r="6016" spans="1:10" x14ac:dyDescent="0.25">
      <c r="A6016">
        <v>6792</v>
      </c>
      <c r="B6016" t="s">
        <v>531</v>
      </c>
      <c r="C6016">
        <v>464</v>
      </c>
      <c r="D6016">
        <v>461</v>
      </c>
      <c r="E6016">
        <v>0</v>
      </c>
      <c r="F6016">
        <v>291</v>
      </c>
      <c r="G6016">
        <v>0</v>
      </c>
      <c r="H6016" t="s">
        <v>10935</v>
      </c>
      <c r="I6016">
        <v>6792</v>
      </c>
      <c r="J6016" t="e">
        <f>VLOOKUP(E6016,DSSpieler!A:B,2,FALSE)</f>
        <v>#N/A</v>
      </c>
    </row>
    <row r="6017" spans="1:10" x14ac:dyDescent="0.25">
      <c r="A6017">
        <v>6793</v>
      </c>
      <c r="B6017" t="s">
        <v>32949</v>
      </c>
      <c r="C6017">
        <v>510</v>
      </c>
      <c r="D6017">
        <v>537</v>
      </c>
      <c r="E6017">
        <v>1577170488</v>
      </c>
      <c r="F6017">
        <v>4265</v>
      </c>
      <c r="G6017">
        <v>0</v>
      </c>
      <c r="H6017" t="s">
        <v>10936</v>
      </c>
      <c r="I6017">
        <v>6793</v>
      </c>
      <c r="J6017" t="str">
        <f>VLOOKUP(E6017,DSSpieler!A:B,2,FALSE)</f>
        <v>Nexo96</v>
      </c>
    </row>
    <row r="6018" spans="1:10" x14ac:dyDescent="0.25">
      <c r="A6018">
        <v>6794</v>
      </c>
      <c r="B6018">
        <v>4802</v>
      </c>
      <c r="C6018">
        <v>609</v>
      </c>
      <c r="D6018">
        <v>509</v>
      </c>
      <c r="E6018">
        <v>7973746</v>
      </c>
      <c r="F6018">
        <v>5328</v>
      </c>
      <c r="G6018">
        <v>0</v>
      </c>
      <c r="H6018" t="s">
        <v>10937</v>
      </c>
      <c r="I6018">
        <v>6794</v>
      </c>
      <c r="J6018" t="str">
        <f>VLOOKUP(E6018,DSSpieler!A:B,2,FALSE)</f>
        <v>Laky1222</v>
      </c>
    </row>
    <row r="6019" spans="1:10" x14ac:dyDescent="0.25">
      <c r="A6019">
        <v>6795</v>
      </c>
      <c r="B6019">
        <v>4</v>
      </c>
      <c r="C6019">
        <v>548</v>
      </c>
      <c r="D6019">
        <v>492</v>
      </c>
      <c r="E6019">
        <v>1577068066</v>
      </c>
      <c r="F6019">
        <v>3222</v>
      </c>
      <c r="G6019">
        <v>0</v>
      </c>
      <c r="H6019" t="s">
        <v>10938</v>
      </c>
      <c r="I6019">
        <v>6795</v>
      </c>
      <c r="J6019" t="str">
        <f>VLOOKUP(E6019,DSSpieler!A:B,2,FALSE)</f>
        <v>takeuchi</v>
      </c>
    </row>
    <row r="6020" spans="1:10" x14ac:dyDescent="0.25">
      <c r="A6020">
        <v>6796</v>
      </c>
      <c r="B6020" t="s">
        <v>531</v>
      </c>
      <c r="C6020">
        <v>564</v>
      </c>
      <c r="D6020">
        <v>454</v>
      </c>
      <c r="E6020">
        <v>0</v>
      </c>
      <c r="F6020">
        <v>415</v>
      </c>
      <c r="G6020">
        <v>0</v>
      </c>
      <c r="H6020" t="s">
        <v>10939</v>
      </c>
      <c r="I6020">
        <v>6796</v>
      </c>
      <c r="J6020" t="e">
        <f>VLOOKUP(E6020,DSSpieler!A:B,2,FALSE)</f>
        <v>#N/A</v>
      </c>
    </row>
    <row r="6021" spans="1:10" x14ac:dyDescent="0.25">
      <c r="A6021">
        <v>6799</v>
      </c>
      <c r="B6021" t="s">
        <v>32950</v>
      </c>
      <c r="C6021">
        <v>411</v>
      </c>
      <c r="D6021">
        <v>548</v>
      </c>
      <c r="E6021">
        <v>1577197544</v>
      </c>
      <c r="F6021">
        <v>7642</v>
      </c>
      <c r="G6021">
        <v>0</v>
      </c>
      <c r="H6021" t="s">
        <v>10940</v>
      </c>
      <c r="I6021">
        <v>6799</v>
      </c>
      <c r="J6021" t="str">
        <f>VLOOKUP(E6021,DSSpieler!A:B,2,FALSE)</f>
        <v>Adelnos</v>
      </c>
    </row>
    <row r="6022" spans="1:10" x14ac:dyDescent="0.25">
      <c r="A6022">
        <v>6800</v>
      </c>
      <c r="B6022" t="s">
        <v>1576</v>
      </c>
      <c r="C6022">
        <v>424</v>
      </c>
      <c r="D6022">
        <v>502</v>
      </c>
      <c r="E6022">
        <v>1577194867</v>
      </c>
      <c r="F6022">
        <v>2274</v>
      </c>
      <c r="G6022">
        <v>0</v>
      </c>
      <c r="H6022" t="s">
        <v>10941</v>
      </c>
      <c r="I6022">
        <v>6800</v>
      </c>
      <c r="J6022" t="str">
        <f>VLOOKUP(E6022,DSSpieler!A:B,2,FALSE)</f>
        <v>Xetas</v>
      </c>
    </row>
    <row r="6023" spans="1:10" x14ac:dyDescent="0.25">
      <c r="A6023">
        <v>6801</v>
      </c>
      <c r="B6023" t="s">
        <v>1577</v>
      </c>
      <c r="C6023">
        <v>444</v>
      </c>
      <c r="D6023">
        <v>595</v>
      </c>
      <c r="E6023">
        <v>1577198037</v>
      </c>
      <c r="F6023">
        <v>5840</v>
      </c>
      <c r="G6023">
        <v>0</v>
      </c>
      <c r="H6023" t="s">
        <v>10942</v>
      </c>
      <c r="I6023">
        <v>6801</v>
      </c>
      <c r="J6023" t="str">
        <f>VLOOKUP(E6023,DSSpieler!A:B,2,FALSE)</f>
        <v>Schlewis</v>
      </c>
    </row>
    <row r="6024" spans="1:10" x14ac:dyDescent="0.25">
      <c r="A6024">
        <v>6802</v>
      </c>
      <c r="B6024" t="s">
        <v>32951</v>
      </c>
      <c r="C6024">
        <v>431</v>
      </c>
      <c r="D6024">
        <v>426</v>
      </c>
      <c r="E6024">
        <v>1577071379</v>
      </c>
      <c r="F6024">
        <v>6290</v>
      </c>
      <c r="G6024">
        <v>0</v>
      </c>
      <c r="H6024" t="s">
        <v>10943</v>
      </c>
      <c r="I6024">
        <v>6802</v>
      </c>
      <c r="J6024" t="str">
        <f>VLOOKUP(E6024,DSSpieler!A:B,2,FALSE)</f>
        <v>Blackstone-</v>
      </c>
    </row>
    <row r="6025" spans="1:10" x14ac:dyDescent="0.25">
      <c r="A6025">
        <v>6803</v>
      </c>
      <c r="B6025" t="s">
        <v>1578</v>
      </c>
      <c r="C6025">
        <v>502</v>
      </c>
      <c r="D6025">
        <v>425</v>
      </c>
      <c r="E6025">
        <v>9490545</v>
      </c>
      <c r="F6025">
        <v>2659</v>
      </c>
      <c r="G6025">
        <v>0</v>
      </c>
      <c r="H6025" t="s">
        <v>10944</v>
      </c>
      <c r="I6025">
        <v>6803</v>
      </c>
      <c r="J6025" t="str">
        <f>VLOOKUP(E6025,DSSpieler!A:B,2,FALSE)</f>
        <v>Verräterus 2</v>
      </c>
    </row>
    <row r="6026" spans="1:10" x14ac:dyDescent="0.25">
      <c r="A6026">
        <v>6804</v>
      </c>
      <c r="B6026" t="s">
        <v>1579</v>
      </c>
      <c r="C6026">
        <v>471</v>
      </c>
      <c r="D6026">
        <v>482</v>
      </c>
      <c r="E6026">
        <v>10202681</v>
      </c>
      <c r="F6026">
        <v>530</v>
      </c>
      <c r="G6026">
        <v>0</v>
      </c>
      <c r="H6026" t="s">
        <v>10945</v>
      </c>
      <c r="I6026">
        <v>6804</v>
      </c>
      <c r="J6026" t="str">
        <f>VLOOKUP(E6026,DSSpieler!A:B,2,FALSE)</f>
        <v>mitu</v>
      </c>
    </row>
    <row r="6027" spans="1:10" x14ac:dyDescent="0.25">
      <c r="A6027">
        <v>6805</v>
      </c>
      <c r="B6027" t="s">
        <v>32952</v>
      </c>
      <c r="C6027">
        <v>481</v>
      </c>
      <c r="D6027">
        <v>559</v>
      </c>
      <c r="E6027">
        <v>10235584</v>
      </c>
      <c r="F6027">
        <v>5474</v>
      </c>
      <c r="G6027">
        <v>0</v>
      </c>
      <c r="H6027" t="s">
        <v>10946</v>
      </c>
      <c r="I6027">
        <v>6805</v>
      </c>
      <c r="J6027" t="str">
        <f>VLOOKUP(E6027,DSSpieler!A:B,2,FALSE)</f>
        <v>LordShivaz</v>
      </c>
    </row>
    <row r="6028" spans="1:10" x14ac:dyDescent="0.25">
      <c r="A6028">
        <v>6806</v>
      </c>
      <c r="B6028" t="s">
        <v>31584</v>
      </c>
      <c r="C6028">
        <v>477</v>
      </c>
      <c r="D6028">
        <v>588</v>
      </c>
      <c r="E6028">
        <v>1577163047</v>
      </c>
      <c r="F6028">
        <v>6505</v>
      </c>
      <c r="G6028">
        <v>0</v>
      </c>
      <c r="H6028" t="s">
        <v>10947</v>
      </c>
      <c r="I6028">
        <v>6806</v>
      </c>
      <c r="J6028" t="str">
        <f>VLOOKUP(E6028,DSSpieler!A:B,2,FALSE)</f>
        <v>Ina Instabil</v>
      </c>
    </row>
    <row r="6029" spans="1:10" x14ac:dyDescent="0.25">
      <c r="A6029">
        <v>6807</v>
      </c>
      <c r="B6029" t="s">
        <v>32953</v>
      </c>
      <c r="C6029">
        <v>512</v>
      </c>
      <c r="D6029">
        <v>465</v>
      </c>
      <c r="E6029">
        <v>1577047378</v>
      </c>
      <c r="F6029">
        <v>5849</v>
      </c>
      <c r="G6029">
        <v>0</v>
      </c>
      <c r="H6029" t="s">
        <v>10948</v>
      </c>
      <c r="I6029">
        <v>6807</v>
      </c>
      <c r="J6029" t="str">
        <f>VLOOKUP(E6029,DSSpieler!A:B,2,FALSE)</f>
        <v>jones24</v>
      </c>
    </row>
    <row r="6030" spans="1:10" x14ac:dyDescent="0.25">
      <c r="A6030">
        <v>6808</v>
      </c>
      <c r="B6030" t="s">
        <v>32954</v>
      </c>
      <c r="C6030">
        <v>461</v>
      </c>
      <c r="D6030">
        <v>504</v>
      </c>
      <c r="E6030">
        <v>9122692</v>
      </c>
      <c r="F6030">
        <v>4277</v>
      </c>
      <c r="G6030">
        <v>0</v>
      </c>
      <c r="H6030" t="s">
        <v>10949</v>
      </c>
      <c r="I6030">
        <v>6808</v>
      </c>
      <c r="J6030" t="str">
        <f>VLOOKUP(E6030,DSSpieler!A:B,2,FALSE)</f>
        <v>Wiesel 1</v>
      </c>
    </row>
    <row r="6031" spans="1:10" x14ac:dyDescent="0.25">
      <c r="A6031">
        <v>6809</v>
      </c>
      <c r="B6031" t="s">
        <v>32955</v>
      </c>
      <c r="C6031">
        <v>438</v>
      </c>
      <c r="D6031">
        <v>566</v>
      </c>
      <c r="E6031">
        <v>8776383</v>
      </c>
      <c r="F6031">
        <v>4961</v>
      </c>
      <c r="G6031">
        <v>0</v>
      </c>
      <c r="H6031" t="s">
        <v>10950</v>
      </c>
      <c r="I6031">
        <v>6809</v>
      </c>
      <c r="J6031" t="str">
        <f>VLOOKUP(E6031,DSSpieler!A:B,2,FALSE)</f>
        <v>Super Fabio</v>
      </c>
    </row>
    <row r="6032" spans="1:10" x14ac:dyDescent="0.25">
      <c r="A6032">
        <v>6811</v>
      </c>
      <c r="B6032" t="s">
        <v>32956</v>
      </c>
      <c r="C6032">
        <v>575</v>
      </c>
      <c r="D6032">
        <v>419</v>
      </c>
      <c r="E6032">
        <v>1576847484</v>
      </c>
      <c r="F6032">
        <v>5297</v>
      </c>
      <c r="G6032">
        <v>0</v>
      </c>
      <c r="H6032" t="s">
        <v>10951</v>
      </c>
      <c r="I6032">
        <v>6811</v>
      </c>
      <c r="J6032" t="str">
        <f>VLOOKUP(E6032,DSSpieler!A:B,2,FALSE)</f>
        <v>blackicetea3</v>
      </c>
    </row>
    <row r="6033" spans="1:10" x14ac:dyDescent="0.25">
      <c r="A6033">
        <v>6812</v>
      </c>
      <c r="B6033" t="s">
        <v>531</v>
      </c>
      <c r="C6033">
        <v>461</v>
      </c>
      <c r="D6033">
        <v>432</v>
      </c>
      <c r="E6033">
        <v>0</v>
      </c>
      <c r="F6033">
        <v>229</v>
      </c>
      <c r="G6033">
        <v>0</v>
      </c>
      <c r="H6033" t="s">
        <v>10952</v>
      </c>
      <c r="I6033">
        <v>6812</v>
      </c>
      <c r="J6033" t="e">
        <f>VLOOKUP(E6033,DSSpieler!A:B,2,FALSE)</f>
        <v>#N/A</v>
      </c>
    </row>
    <row r="6034" spans="1:10" x14ac:dyDescent="0.25">
      <c r="A6034">
        <v>6814</v>
      </c>
      <c r="B6034" t="s">
        <v>32957</v>
      </c>
      <c r="C6034">
        <v>458</v>
      </c>
      <c r="D6034">
        <v>496</v>
      </c>
      <c r="E6034">
        <v>1577150472</v>
      </c>
      <c r="F6034">
        <v>6723</v>
      </c>
      <c r="G6034">
        <v>0</v>
      </c>
      <c r="H6034" t="s">
        <v>10953</v>
      </c>
      <c r="I6034">
        <v>6814</v>
      </c>
      <c r="J6034" t="str">
        <f>VLOOKUP(E6034,DSSpieler!A:B,2,FALSE)</f>
        <v>Jerry3005</v>
      </c>
    </row>
    <row r="6035" spans="1:10" x14ac:dyDescent="0.25">
      <c r="A6035">
        <v>6815</v>
      </c>
      <c r="B6035" t="s">
        <v>1565</v>
      </c>
      <c r="C6035">
        <v>410</v>
      </c>
      <c r="D6035">
        <v>541</v>
      </c>
      <c r="E6035">
        <v>8833591</v>
      </c>
      <c r="F6035">
        <v>6499</v>
      </c>
      <c r="G6035">
        <v>0</v>
      </c>
      <c r="H6035" t="s">
        <v>10954</v>
      </c>
      <c r="I6035">
        <v>6815</v>
      </c>
      <c r="J6035" t="str">
        <f>VLOOKUP(E6035,DSSpieler!A:B,2,FALSE)</f>
        <v>Slytherin1997</v>
      </c>
    </row>
    <row r="6036" spans="1:10" x14ac:dyDescent="0.25">
      <c r="A6036">
        <v>6816</v>
      </c>
      <c r="B6036" t="s">
        <v>32958</v>
      </c>
      <c r="C6036">
        <v>520</v>
      </c>
      <c r="D6036">
        <v>491</v>
      </c>
      <c r="E6036">
        <v>1577122731</v>
      </c>
      <c r="F6036">
        <v>4170</v>
      </c>
      <c r="G6036">
        <v>0</v>
      </c>
      <c r="H6036" t="s">
        <v>10955</v>
      </c>
      <c r="I6036">
        <v>6816</v>
      </c>
      <c r="J6036" t="str">
        <f>VLOOKUP(E6036,DSSpieler!A:B,2,FALSE)</f>
        <v>Toaster</v>
      </c>
    </row>
    <row r="6037" spans="1:10" x14ac:dyDescent="0.25">
      <c r="A6037">
        <v>6817</v>
      </c>
      <c r="B6037" t="s">
        <v>32959</v>
      </c>
      <c r="C6037">
        <v>513</v>
      </c>
      <c r="D6037">
        <v>571</v>
      </c>
      <c r="E6037">
        <v>1576605487</v>
      </c>
      <c r="F6037">
        <v>5873</v>
      </c>
      <c r="G6037">
        <v>0</v>
      </c>
      <c r="H6037" t="s">
        <v>10956</v>
      </c>
      <c r="I6037">
        <v>6817</v>
      </c>
      <c r="J6037" t="str">
        <f>VLOOKUP(E6037,DSSpieler!A:B,2,FALSE)</f>
        <v>blauespikachu</v>
      </c>
    </row>
    <row r="6038" spans="1:10" x14ac:dyDescent="0.25">
      <c r="A6038">
        <v>6819</v>
      </c>
      <c r="B6038" t="s">
        <v>546</v>
      </c>
      <c r="C6038">
        <v>503</v>
      </c>
      <c r="D6038">
        <v>451</v>
      </c>
      <c r="E6038">
        <v>1576977795</v>
      </c>
      <c r="F6038">
        <v>5949</v>
      </c>
      <c r="G6038">
        <v>0</v>
      </c>
      <c r="H6038" t="s">
        <v>10957</v>
      </c>
      <c r="I6038">
        <v>6819</v>
      </c>
      <c r="J6038" t="str">
        <f>VLOOKUP(E6038,DSSpieler!A:B,2,FALSE)</f>
        <v>-0815-</v>
      </c>
    </row>
    <row r="6039" spans="1:10" x14ac:dyDescent="0.25">
      <c r="A6039">
        <v>6820</v>
      </c>
      <c r="B6039" t="s">
        <v>31447</v>
      </c>
      <c r="C6039">
        <v>408</v>
      </c>
      <c r="D6039">
        <v>510</v>
      </c>
      <c r="E6039">
        <v>1576436373</v>
      </c>
      <c r="F6039">
        <v>5615</v>
      </c>
      <c r="G6039">
        <v>0</v>
      </c>
      <c r="H6039" t="s">
        <v>10958</v>
      </c>
      <c r="I6039">
        <v>6820</v>
      </c>
      <c r="J6039" t="str">
        <f>VLOOKUP(E6039,DSSpieler!A:B,2,FALSE)</f>
        <v>Ds-Koryphäe</v>
      </c>
    </row>
    <row r="6040" spans="1:10" x14ac:dyDescent="0.25">
      <c r="A6040">
        <v>6821</v>
      </c>
      <c r="B6040" t="s">
        <v>32960</v>
      </c>
      <c r="C6040">
        <v>587</v>
      </c>
      <c r="D6040">
        <v>451</v>
      </c>
      <c r="E6040">
        <v>1577060953</v>
      </c>
      <c r="F6040">
        <v>4176</v>
      </c>
      <c r="G6040">
        <v>0</v>
      </c>
      <c r="H6040" t="s">
        <v>10959</v>
      </c>
      <c r="I6040">
        <v>6821</v>
      </c>
      <c r="J6040" t="str">
        <f>VLOOKUP(E6040,DSSpieler!A:B,2,FALSE)</f>
        <v>EasySnacks</v>
      </c>
    </row>
    <row r="6041" spans="1:10" x14ac:dyDescent="0.25">
      <c r="A6041">
        <v>6822</v>
      </c>
      <c r="B6041" t="s">
        <v>1580</v>
      </c>
      <c r="C6041">
        <v>520</v>
      </c>
      <c r="D6041">
        <v>533</v>
      </c>
      <c r="E6041">
        <v>8806700</v>
      </c>
      <c r="F6041">
        <v>5231</v>
      </c>
      <c r="G6041">
        <v>0</v>
      </c>
      <c r="H6041" t="s">
        <v>10960</v>
      </c>
      <c r="I6041">
        <v>6822</v>
      </c>
      <c r="J6041" t="str">
        <f>VLOOKUP(E6041,DSSpieler!A:B,2,FALSE)</f>
        <v>Eworks</v>
      </c>
    </row>
    <row r="6042" spans="1:10" x14ac:dyDescent="0.25">
      <c r="A6042">
        <v>6823</v>
      </c>
      <c r="B6042" t="s">
        <v>32961</v>
      </c>
      <c r="C6042">
        <v>492</v>
      </c>
      <c r="D6042">
        <v>429</v>
      </c>
      <c r="E6042">
        <v>1577195225</v>
      </c>
      <c r="F6042">
        <v>3785</v>
      </c>
      <c r="G6042">
        <v>0</v>
      </c>
      <c r="H6042" t="s">
        <v>10961</v>
      </c>
      <c r="I6042">
        <v>6823</v>
      </c>
      <c r="J6042" t="str">
        <f>VLOOKUP(E6042,DSSpieler!A:B,2,FALSE)</f>
        <v>Xandna</v>
      </c>
    </row>
    <row r="6043" spans="1:10" x14ac:dyDescent="0.25">
      <c r="A6043">
        <v>6824</v>
      </c>
      <c r="B6043" t="s">
        <v>32962</v>
      </c>
      <c r="C6043">
        <v>430</v>
      </c>
      <c r="D6043">
        <v>420</v>
      </c>
      <c r="E6043">
        <v>1577192950</v>
      </c>
      <c r="F6043">
        <v>7283</v>
      </c>
      <c r="G6043">
        <v>0</v>
      </c>
      <c r="H6043" t="s">
        <v>10962</v>
      </c>
      <c r="I6043">
        <v>6824</v>
      </c>
      <c r="J6043" t="str">
        <f>VLOOKUP(E6043,DSSpieler!A:B,2,FALSE)</f>
        <v>Dr4m4</v>
      </c>
    </row>
    <row r="6044" spans="1:10" x14ac:dyDescent="0.25">
      <c r="A6044">
        <v>6825</v>
      </c>
      <c r="B6044" t="s">
        <v>531</v>
      </c>
      <c r="C6044">
        <v>525</v>
      </c>
      <c r="D6044">
        <v>496</v>
      </c>
      <c r="E6044">
        <v>0</v>
      </c>
      <c r="F6044">
        <v>411</v>
      </c>
      <c r="G6044">
        <v>0</v>
      </c>
      <c r="H6044" t="s">
        <v>10963</v>
      </c>
      <c r="I6044">
        <v>6825</v>
      </c>
      <c r="J6044" t="e">
        <f>VLOOKUP(E6044,DSSpieler!A:B,2,FALSE)</f>
        <v>#N/A</v>
      </c>
    </row>
    <row r="6045" spans="1:10" x14ac:dyDescent="0.25">
      <c r="A6045">
        <v>6826</v>
      </c>
      <c r="B6045" t="s">
        <v>32963</v>
      </c>
      <c r="C6045">
        <v>494</v>
      </c>
      <c r="D6045">
        <v>458</v>
      </c>
      <c r="E6045">
        <v>9590681</v>
      </c>
      <c r="F6045">
        <v>5493</v>
      </c>
      <c r="G6045">
        <v>0</v>
      </c>
      <c r="H6045" t="s">
        <v>10964</v>
      </c>
      <c r="I6045">
        <v>6826</v>
      </c>
      <c r="J6045" t="str">
        <f>VLOOKUP(E6045,DSSpieler!A:B,2,FALSE)</f>
        <v>HSVSuchti</v>
      </c>
    </row>
    <row r="6046" spans="1:10" x14ac:dyDescent="0.25">
      <c r="A6046">
        <v>6827</v>
      </c>
      <c r="B6046" t="s">
        <v>531</v>
      </c>
      <c r="C6046">
        <v>485</v>
      </c>
      <c r="D6046">
        <v>434</v>
      </c>
      <c r="E6046">
        <v>0</v>
      </c>
      <c r="F6046">
        <v>1113</v>
      </c>
      <c r="G6046">
        <v>0</v>
      </c>
      <c r="H6046" t="s">
        <v>10965</v>
      </c>
      <c r="I6046">
        <v>6827</v>
      </c>
      <c r="J6046" t="e">
        <f>VLOOKUP(E6046,DSSpieler!A:B,2,FALSE)</f>
        <v>#N/A</v>
      </c>
    </row>
    <row r="6047" spans="1:10" x14ac:dyDescent="0.25">
      <c r="A6047">
        <v>6828</v>
      </c>
      <c r="B6047" t="s">
        <v>578</v>
      </c>
      <c r="C6047">
        <v>580</v>
      </c>
      <c r="D6047">
        <v>429</v>
      </c>
      <c r="E6047">
        <v>1577019379</v>
      </c>
      <c r="F6047">
        <v>6128</v>
      </c>
      <c r="G6047">
        <v>0</v>
      </c>
      <c r="H6047" t="s">
        <v>10966</v>
      </c>
      <c r="I6047">
        <v>6828</v>
      </c>
      <c r="J6047" t="str">
        <f>VLOOKUP(E6047,DSSpieler!A:B,2,FALSE)</f>
        <v>I Xailu I</v>
      </c>
    </row>
    <row r="6048" spans="1:10" x14ac:dyDescent="0.25">
      <c r="A6048">
        <v>6830</v>
      </c>
      <c r="B6048" t="s">
        <v>32964</v>
      </c>
      <c r="C6048">
        <v>549</v>
      </c>
      <c r="D6048">
        <v>421</v>
      </c>
      <c r="E6048">
        <v>1576197248</v>
      </c>
      <c r="F6048">
        <v>5696</v>
      </c>
      <c r="G6048">
        <v>0</v>
      </c>
      <c r="H6048" t="s">
        <v>10967</v>
      </c>
      <c r="I6048">
        <v>6830</v>
      </c>
      <c r="J6048" t="str">
        <f>VLOOKUP(E6048,DSSpieler!A:B,2,FALSE)</f>
        <v>BlackDestroyers</v>
      </c>
    </row>
    <row r="6049" spans="1:10" x14ac:dyDescent="0.25">
      <c r="A6049">
        <v>6831</v>
      </c>
      <c r="B6049" t="s">
        <v>32965</v>
      </c>
      <c r="C6049">
        <v>511</v>
      </c>
      <c r="D6049">
        <v>559</v>
      </c>
      <c r="E6049">
        <v>1577175352</v>
      </c>
      <c r="F6049">
        <v>5688</v>
      </c>
      <c r="G6049">
        <v>0</v>
      </c>
      <c r="H6049" t="s">
        <v>10968</v>
      </c>
      <c r="I6049">
        <v>6831</v>
      </c>
      <c r="J6049" t="str">
        <f>VLOOKUP(E6049,DSSpieler!A:B,2,FALSE)</f>
        <v>L4nz3l0b3r</v>
      </c>
    </row>
    <row r="6050" spans="1:10" x14ac:dyDescent="0.25">
      <c r="A6050">
        <v>6833</v>
      </c>
      <c r="B6050" t="s">
        <v>531</v>
      </c>
      <c r="C6050">
        <v>507</v>
      </c>
      <c r="D6050">
        <v>443</v>
      </c>
      <c r="E6050">
        <v>0</v>
      </c>
      <c r="F6050">
        <v>490</v>
      </c>
      <c r="G6050">
        <v>0</v>
      </c>
      <c r="H6050" t="s">
        <v>10969</v>
      </c>
      <c r="I6050">
        <v>6833</v>
      </c>
      <c r="J6050" t="e">
        <f>VLOOKUP(E6050,DSSpieler!A:B,2,FALSE)</f>
        <v>#N/A</v>
      </c>
    </row>
    <row r="6051" spans="1:10" x14ac:dyDescent="0.25">
      <c r="A6051">
        <v>6834</v>
      </c>
      <c r="B6051" t="s">
        <v>78</v>
      </c>
      <c r="C6051">
        <v>594</v>
      </c>
      <c r="D6051">
        <v>507</v>
      </c>
      <c r="E6051">
        <v>9284860</v>
      </c>
      <c r="F6051">
        <v>6982</v>
      </c>
      <c r="G6051">
        <v>0</v>
      </c>
      <c r="H6051" t="s">
        <v>10970</v>
      </c>
      <c r="I6051">
        <v>6834</v>
      </c>
      <c r="J6051" t="str">
        <f>VLOOKUP(E6051,DSSpieler!A:B,2,FALSE)</f>
        <v>Nextwe</v>
      </c>
    </row>
    <row r="6052" spans="1:10" x14ac:dyDescent="0.25">
      <c r="A6052">
        <v>6835</v>
      </c>
      <c r="B6052" t="s">
        <v>32966</v>
      </c>
      <c r="C6052">
        <v>426</v>
      </c>
      <c r="D6052">
        <v>527</v>
      </c>
      <c r="E6052">
        <v>1577180157</v>
      </c>
      <c r="F6052">
        <v>4882</v>
      </c>
      <c r="G6052">
        <v>0</v>
      </c>
      <c r="H6052" t="s">
        <v>10971</v>
      </c>
      <c r="I6052">
        <v>6835</v>
      </c>
      <c r="J6052" t="str">
        <f>VLOOKUP(E6052,DSSpieler!A:B,2,FALSE)</f>
        <v>kardalon</v>
      </c>
    </row>
    <row r="6053" spans="1:10" x14ac:dyDescent="0.25">
      <c r="A6053">
        <v>6836</v>
      </c>
      <c r="B6053" t="s">
        <v>32967</v>
      </c>
      <c r="C6053">
        <v>486</v>
      </c>
      <c r="D6053">
        <v>422</v>
      </c>
      <c r="E6053">
        <v>1576272402</v>
      </c>
      <c r="F6053">
        <v>4136</v>
      </c>
      <c r="G6053">
        <v>0</v>
      </c>
      <c r="H6053" t="s">
        <v>10972</v>
      </c>
      <c r="I6053">
        <v>6836</v>
      </c>
      <c r="J6053" t="str">
        <f>VLOOKUP(E6053,DSSpieler!A:B,2,FALSE)</f>
        <v>Zecplus</v>
      </c>
    </row>
    <row r="6054" spans="1:10" x14ac:dyDescent="0.25">
      <c r="A6054">
        <v>6837</v>
      </c>
      <c r="B6054" t="s">
        <v>1581</v>
      </c>
      <c r="C6054">
        <v>473</v>
      </c>
      <c r="D6054">
        <v>414</v>
      </c>
      <c r="E6054">
        <v>2249768</v>
      </c>
      <c r="F6054">
        <v>4912</v>
      </c>
      <c r="G6054">
        <v>0</v>
      </c>
      <c r="H6054" t="s">
        <v>10973</v>
      </c>
      <c r="I6054">
        <v>6837</v>
      </c>
      <c r="J6054" t="str">
        <f>VLOOKUP(E6054,DSSpieler!A:B,2,FALSE)</f>
        <v>Kelevra</v>
      </c>
    </row>
    <row r="6055" spans="1:10" x14ac:dyDescent="0.25">
      <c r="A6055">
        <v>6838</v>
      </c>
      <c r="B6055" t="s">
        <v>32968</v>
      </c>
      <c r="C6055">
        <v>589</v>
      </c>
      <c r="D6055">
        <v>551</v>
      </c>
      <c r="E6055">
        <v>1576125761</v>
      </c>
      <c r="F6055">
        <v>4683</v>
      </c>
      <c r="G6055">
        <v>0</v>
      </c>
      <c r="H6055" t="s">
        <v>10974</v>
      </c>
      <c r="I6055">
        <v>6838</v>
      </c>
      <c r="J6055" t="str">
        <f>VLOOKUP(E6055,DSSpieler!A:B,2,FALSE)</f>
        <v>Riotyouth</v>
      </c>
    </row>
    <row r="6056" spans="1:10" x14ac:dyDescent="0.25">
      <c r="A6056">
        <v>6839</v>
      </c>
      <c r="B6056" t="s">
        <v>1582</v>
      </c>
      <c r="C6056">
        <v>433</v>
      </c>
      <c r="D6056">
        <v>526</v>
      </c>
      <c r="E6056">
        <v>10214630</v>
      </c>
      <c r="F6056">
        <v>1997</v>
      </c>
      <c r="G6056">
        <v>0</v>
      </c>
      <c r="H6056" t="s">
        <v>10975</v>
      </c>
      <c r="I6056">
        <v>6839</v>
      </c>
      <c r="J6056" t="str">
        <f>VLOOKUP(E6056,DSSpieler!A:B,2,FALSE)</f>
        <v>Provide</v>
      </c>
    </row>
    <row r="6057" spans="1:10" x14ac:dyDescent="0.25">
      <c r="A6057">
        <v>6840</v>
      </c>
      <c r="B6057" t="s">
        <v>531</v>
      </c>
      <c r="C6057">
        <v>523</v>
      </c>
      <c r="D6057">
        <v>448</v>
      </c>
      <c r="E6057">
        <v>0</v>
      </c>
      <c r="F6057">
        <v>1618</v>
      </c>
      <c r="G6057">
        <v>0</v>
      </c>
      <c r="H6057" t="s">
        <v>10976</v>
      </c>
      <c r="I6057">
        <v>6840</v>
      </c>
      <c r="J6057" t="e">
        <f>VLOOKUP(E6057,DSSpieler!A:B,2,FALSE)</f>
        <v>#N/A</v>
      </c>
    </row>
    <row r="6058" spans="1:10" x14ac:dyDescent="0.25">
      <c r="A6058">
        <v>6841</v>
      </c>
      <c r="B6058" t="s">
        <v>32969</v>
      </c>
      <c r="C6058">
        <v>497</v>
      </c>
      <c r="D6058">
        <v>579</v>
      </c>
      <c r="E6058">
        <v>2038810</v>
      </c>
      <c r="F6058">
        <v>1333</v>
      </c>
      <c r="G6058">
        <v>0</v>
      </c>
      <c r="H6058" t="s">
        <v>10977</v>
      </c>
      <c r="I6058">
        <v>6841</v>
      </c>
      <c r="J6058" t="str">
        <f>VLOOKUP(E6058,DSSpieler!A:B,2,FALSE)</f>
        <v>Stellonyus</v>
      </c>
    </row>
    <row r="6059" spans="1:10" x14ac:dyDescent="0.25">
      <c r="A6059">
        <v>6842</v>
      </c>
      <c r="B6059" t="s">
        <v>1583</v>
      </c>
      <c r="C6059">
        <v>607</v>
      </c>
      <c r="D6059">
        <v>495</v>
      </c>
      <c r="E6059">
        <v>1576941620</v>
      </c>
      <c r="F6059">
        <v>7159</v>
      </c>
      <c r="G6059">
        <v>0</v>
      </c>
      <c r="H6059" t="s">
        <v>10978</v>
      </c>
      <c r="I6059">
        <v>6842</v>
      </c>
      <c r="J6059" t="str">
        <f>VLOOKUP(E6059,DSSpieler!A:B,2,FALSE)</f>
        <v>gottimperator</v>
      </c>
    </row>
    <row r="6060" spans="1:10" x14ac:dyDescent="0.25">
      <c r="A6060">
        <v>6843</v>
      </c>
      <c r="B6060" t="s">
        <v>687</v>
      </c>
      <c r="C6060">
        <v>420</v>
      </c>
      <c r="D6060">
        <v>448</v>
      </c>
      <c r="E6060">
        <v>1576885344</v>
      </c>
      <c r="F6060">
        <v>7283</v>
      </c>
      <c r="G6060">
        <v>0</v>
      </c>
      <c r="H6060" t="s">
        <v>10979</v>
      </c>
      <c r="I6060">
        <v>6843</v>
      </c>
      <c r="J6060" t="str">
        <f>VLOOKUP(E6060,DSSpieler!A:B,2,FALSE)</f>
        <v>fe08</v>
      </c>
    </row>
    <row r="6061" spans="1:10" x14ac:dyDescent="0.25">
      <c r="A6061">
        <v>6844</v>
      </c>
      <c r="B6061" t="s">
        <v>531</v>
      </c>
      <c r="C6061">
        <v>431</v>
      </c>
      <c r="D6061">
        <v>537</v>
      </c>
      <c r="E6061">
        <v>0</v>
      </c>
      <c r="F6061">
        <v>325</v>
      </c>
      <c r="G6061">
        <v>0</v>
      </c>
      <c r="H6061" t="s">
        <v>10980</v>
      </c>
      <c r="I6061">
        <v>6844</v>
      </c>
      <c r="J6061" t="e">
        <f>VLOOKUP(E6061,DSSpieler!A:B,2,FALSE)</f>
        <v>#N/A</v>
      </c>
    </row>
    <row r="6062" spans="1:10" x14ac:dyDescent="0.25">
      <c r="A6062">
        <v>6845</v>
      </c>
      <c r="B6062" t="s">
        <v>710</v>
      </c>
      <c r="C6062">
        <v>585</v>
      </c>
      <c r="D6062">
        <v>446</v>
      </c>
      <c r="E6062">
        <v>1576947159</v>
      </c>
      <c r="F6062">
        <v>4992</v>
      </c>
      <c r="G6062">
        <v>0</v>
      </c>
      <c r="H6062" t="s">
        <v>10981</v>
      </c>
      <c r="I6062">
        <v>6845</v>
      </c>
      <c r="J6062" t="str">
        <f>VLOOKUP(E6062,DSSpieler!A:B,2,FALSE)</f>
        <v>TodescooI</v>
      </c>
    </row>
    <row r="6063" spans="1:10" x14ac:dyDescent="0.25">
      <c r="A6063">
        <v>6847</v>
      </c>
      <c r="B6063" t="s">
        <v>1198</v>
      </c>
      <c r="C6063">
        <v>462</v>
      </c>
      <c r="D6063">
        <v>483</v>
      </c>
      <c r="E6063">
        <v>1577193514</v>
      </c>
      <c r="F6063">
        <v>4688</v>
      </c>
      <c r="G6063">
        <v>0</v>
      </c>
      <c r="H6063" t="s">
        <v>10982</v>
      </c>
      <c r="I6063">
        <v>6847</v>
      </c>
      <c r="J6063" t="str">
        <f>VLOOKUP(E6063,DSSpieler!A:B,2,FALSE)</f>
        <v>Havock</v>
      </c>
    </row>
    <row r="6064" spans="1:10" x14ac:dyDescent="0.25">
      <c r="A6064">
        <v>6848</v>
      </c>
      <c r="B6064" t="s">
        <v>1584</v>
      </c>
      <c r="C6064">
        <v>513</v>
      </c>
      <c r="D6064">
        <v>455</v>
      </c>
      <c r="E6064">
        <v>261877</v>
      </c>
      <c r="F6064">
        <v>4072</v>
      </c>
      <c r="G6064">
        <v>0</v>
      </c>
      <c r="H6064" t="s">
        <v>10983</v>
      </c>
      <c r="I6064">
        <v>6848</v>
      </c>
      <c r="J6064" t="str">
        <f>VLOOKUP(E6064,DSSpieler!A:B,2,FALSE)</f>
        <v>Tante Nein-Nein</v>
      </c>
    </row>
    <row r="6065" spans="1:10" x14ac:dyDescent="0.25">
      <c r="A6065">
        <v>6849</v>
      </c>
      <c r="B6065" t="s">
        <v>531</v>
      </c>
      <c r="C6065">
        <v>584</v>
      </c>
      <c r="D6065">
        <v>566</v>
      </c>
      <c r="E6065">
        <v>1577133129</v>
      </c>
      <c r="F6065">
        <v>3678</v>
      </c>
      <c r="G6065">
        <v>0</v>
      </c>
      <c r="H6065" t="s">
        <v>10984</v>
      </c>
      <c r="I6065">
        <v>6849</v>
      </c>
      <c r="J6065" t="str">
        <f>VLOOKUP(E6065,DSSpieler!A:B,2,FALSE)</f>
        <v>Domi-ubb</v>
      </c>
    </row>
    <row r="6066" spans="1:10" x14ac:dyDescent="0.25">
      <c r="A6066">
        <v>6850</v>
      </c>
      <c r="B6066" t="s">
        <v>32970</v>
      </c>
      <c r="C6066">
        <v>422</v>
      </c>
      <c r="D6066">
        <v>505</v>
      </c>
      <c r="E6066">
        <v>9268817</v>
      </c>
      <c r="F6066">
        <v>3600</v>
      </c>
      <c r="G6066">
        <v>0</v>
      </c>
      <c r="H6066" t="s">
        <v>10985</v>
      </c>
      <c r="I6066">
        <v>6850</v>
      </c>
      <c r="J6066" t="str">
        <f>VLOOKUP(E6066,DSSpieler!A:B,2,FALSE)</f>
        <v>Kätzchen1001</v>
      </c>
    </row>
    <row r="6067" spans="1:10" x14ac:dyDescent="0.25">
      <c r="A6067">
        <v>6851</v>
      </c>
      <c r="B6067" t="s">
        <v>32971</v>
      </c>
      <c r="C6067">
        <v>437</v>
      </c>
      <c r="D6067">
        <v>585</v>
      </c>
      <c r="E6067">
        <v>1069861</v>
      </c>
      <c r="F6067">
        <v>4076</v>
      </c>
      <c r="G6067">
        <v>0</v>
      </c>
      <c r="H6067" t="s">
        <v>10986</v>
      </c>
      <c r="I6067">
        <v>6851</v>
      </c>
      <c r="J6067" t="str">
        <f>VLOOKUP(E6067,DSSpieler!A:B,2,FALSE)</f>
        <v>Brom95</v>
      </c>
    </row>
    <row r="6068" spans="1:10" x14ac:dyDescent="0.25">
      <c r="A6068">
        <v>6852</v>
      </c>
      <c r="B6068" t="s">
        <v>1585</v>
      </c>
      <c r="C6068">
        <v>477</v>
      </c>
      <c r="D6068">
        <v>593</v>
      </c>
      <c r="E6068">
        <v>3269983</v>
      </c>
      <c r="F6068">
        <v>5810</v>
      </c>
      <c r="G6068">
        <v>0</v>
      </c>
      <c r="H6068" t="s">
        <v>10987</v>
      </c>
      <c r="I6068">
        <v>6852</v>
      </c>
      <c r="J6068" t="str">
        <f>VLOOKUP(E6068,DSSpieler!A:B,2,FALSE)</f>
        <v>SvenC@</v>
      </c>
    </row>
    <row r="6069" spans="1:10" x14ac:dyDescent="0.25">
      <c r="A6069">
        <v>6853</v>
      </c>
      <c r="B6069" t="s">
        <v>531</v>
      </c>
      <c r="C6069">
        <v>530</v>
      </c>
      <c r="D6069">
        <v>512</v>
      </c>
      <c r="E6069">
        <v>0</v>
      </c>
      <c r="F6069">
        <v>310</v>
      </c>
      <c r="G6069">
        <v>0</v>
      </c>
      <c r="H6069" t="s">
        <v>10988</v>
      </c>
      <c r="I6069">
        <v>6853</v>
      </c>
      <c r="J6069" t="e">
        <f>VLOOKUP(E6069,DSSpieler!A:B,2,FALSE)</f>
        <v>#N/A</v>
      </c>
    </row>
    <row r="6070" spans="1:10" x14ac:dyDescent="0.25">
      <c r="A6070">
        <v>6854</v>
      </c>
      <c r="B6070" t="s">
        <v>531</v>
      </c>
      <c r="C6070">
        <v>568</v>
      </c>
      <c r="D6070">
        <v>533</v>
      </c>
      <c r="E6070">
        <v>1577165202</v>
      </c>
      <c r="F6070">
        <v>500</v>
      </c>
      <c r="G6070">
        <v>0</v>
      </c>
      <c r="H6070" t="s">
        <v>10989</v>
      </c>
      <c r="I6070">
        <v>6854</v>
      </c>
      <c r="J6070" t="str">
        <f>VLOOKUP(E6070,DSSpieler!A:B,2,FALSE)</f>
        <v>senorita</v>
      </c>
    </row>
    <row r="6071" spans="1:10" x14ac:dyDescent="0.25">
      <c r="A6071">
        <v>6855</v>
      </c>
      <c r="B6071" t="s">
        <v>32972</v>
      </c>
      <c r="C6071">
        <v>421</v>
      </c>
      <c r="D6071">
        <v>520</v>
      </c>
      <c r="E6071">
        <v>1576968765</v>
      </c>
      <c r="F6071">
        <v>6315</v>
      </c>
      <c r="G6071">
        <v>0</v>
      </c>
      <c r="H6071" t="s">
        <v>10990</v>
      </c>
      <c r="I6071">
        <v>6855</v>
      </c>
      <c r="J6071" t="str">
        <f>VLOOKUP(E6071,DSSpieler!A:B,2,FALSE)</f>
        <v>NoFarmShit</v>
      </c>
    </row>
    <row r="6072" spans="1:10" x14ac:dyDescent="0.25">
      <c r="A6072">
        <v>6856</v>
      </c>
      <c r="B6072" t="s">
        <v>32973</v>
      </c>
      <c r="C6072">
        <v>449</v>
      </c>
      <c r="D6072">
        <v>481</v>
      </c>
      <c r="E6072">
        <v>1576890084</v>
      </c>
      <c r="F6072">
        <v>474</v>
      </c>
      <c r="G6072">
        <v>0</v>
      </c>
      <c r="H6072" t="s">
        <v>10991</v>
      </c>
      <c r="I6072">
        <v>6856</v>
      </c>
      <c r="J6072" t="str">
        <f>VLOOKUP(E6072,DSSpieler!A:B,2,FALSE)</f>
        <v>stickman4848</v>
      </c>
    </row>
    <row r="6073" spans="1:10" x14ac:dyDescent="0.25">
      <c r="A6073">
        <v>6857</v>
      </c>
      <c r="B6073" t="s">
        <v>30684</v>
      </c>
      <c r="C6073">
        <v>585</v>
      </c>
      <c r="D6073">
        <v>467</v>
      </c>
      <c r="E6073">
        <v>1191670</v>
      </c>
      <c r="F6073">
        <v>5783</v>
      </c>
      <c r="G6073">
        <v>0</v>
      </c>
      <c r="H6073" t="s">
        <v>10992</v>
      </c>
      <c r="I6073">
        <v>6857</v>
      </c>
      <c r="J6073" t="str">
        <f>VLOOKUP(E6073,DSSpieler!A:B,2,FALSE)</f>
        <v>Kazuto Kirigaya</v>
      </c>
    </row>
    <row r="6074" spans="1:10" x14ac:dyDescent="0.25">
      <c r="A6074">
        <v>6858</v>
      </c>
      <c r="B6074" t="s">
        <v>531</v>
      </c>
      <c r="C6074">
        <v>446</v>
      </c>
      <c r="D6074">
        <v>501</v>
      </c>
      <c r="E6074">
        <v>0</v>
      </c>
      <c r="F6074">
        <v>535</v>
      </c>
      <c r="G6074">
        <v>0</v>
      </c>
      <c r="H6074" t="s">
        <v>10993</v>
      </c>
      <c r="I6074">
        <v>6858</v>
      </c>
      <c r="J6074" t="e">
        <f>VLOOKUP(E6074,DSSpieler!A:B,2,FALSE)</f>
        <v>#N/A</v>
      </c>
    </row>
    <row r="6075" spans="1:10" x14ac:dyDescent="0.25">
      <c r="A6075">
        <v>6859</v>
      </c>
      <c r="B6075" t="s">
        <v>32974</v>
      </c>
      <c r="C6075">
        <v>427</v>
      </c>
      <c r="D6075">
        <v>459</v>
      </c>
      <c r="E6075">
        <v>1576502624</v>
      </c>
      <c r="F6075">
        <v>4677</v>
      </c>
      <c r="G6075">
        <v>0</v>
      </c>
      <c r="H6075" t="s">
        <v>10994</v>
      </c>
      <c r="I6075">
        <v>6859</v>
      </c>
      <c r="J6075" t="str">
        <f>VLOOKUP(E6075,DSSpieler!A:B,2,FALSE)</f>
        <v>MJ.White</v>
      </c>
    </row>
    <row r="6076" spans="1:10" x14ac:dyDescent="0.25">
      <c r="A6076">
        <v>6860</v>
      </c>
      <c r="B6076" t="s">
        <v>32975</v>
      </c>
      <c r="C6076">
        <v>453</v>
      </c>
      <c r="D6076">
        <v>529</v>
      </c>
      <c r="E6076">
        <v>1577196227</v>
      </c>
      <c r="F6076">
        <v>4417</v>
      </c>
      <c r="G6076">
        <v>0</v>
      </c>
      <c r="H6076" t="s">
        <v>10995</v>
      </c>
      <c r="I6076">
        <v>6860</v>
      </c>
      <c r="J6076" t="str">
        <f>VLOOKUP(E6076,DSSpieler!A:B,2,FALSE)</f>
        <v>EuPhArDi</v>
      </c>
    </row>
    <row r="6077" spans="1:10" x14ac:dyDescent="0.25">
      <c r="A6077">
        <v>6861</v>
      </c>
      <c r="B6077" t="s">
        <v>32976</v>
      </c>
      <c r="C6077">
        <v>478</v>
      </c>
      <c r="D6077">
        <v>599</v>
      </c>
      <c r="E6077">
        <v>9064505</v>
      </c>
      <c r="F6077">
        <v>5994</v>
      </c>
      <c r="G6077">
        <v>0</v>
      </c>
      <c r="H6077" t="s">
        <v>10996</v>
      </c>
      <c r="I6077">
        <v>6861</v>
      </c>
      <c r="J6077" t="str">
        <f>VLOOKUP(E6077,DSSpieler!A:B,2,FALSE)</f>
        <v>SirLeoDer1</v>
      </c>
    </row>
    <row r="6078" spans="1:10" x14ac:dyDescent="0.25">
      <c r="A6078">
        <v>6862</v>
      </c>
      <c r="B6078" t="s">
        <v>780</v>
      </c>
      <c r="C6078">
        <v>607</v>
      </c>
      <c r="D6078">
        <v>512</v>
      </c>
      <c r="E6078">
        <v>1577177113</v>
      </c>
      <c r="F6078">
        <v>4972</v>
      </c>
      <c r="G6078">
        <v>0</v>
      </c>
      <c r="H6078" t="s">
        <v>10997</v>
      </c>
      <c r="I6078">
        <v>6862</v>
      </c>
      <c r="J6078" t="str">
        <f>VLOOKUP(E6078,DSSpieler!A:B,2,FALSE)</f>
        <v>Bulk Biceps</v>
      </c>
    </row>
    <row r="6079" spans="1:10" x14ac:dyDescent="0.25">
      <c r="A6079">
        <v>6863</v>
      </c>
      <c r="B6079" t="s">
        <v>32977</v>
      </c>
      <c r="C6079">
        <v>596</v>
      </c>
      <c r="D6079">
        <v>509</v>
      </c>
      <c r="E6079">
        <v>1577126159</v>
      </c>
      <c r="F6079">
        <v>5283</v>
      </c>
      <c r="G6079">
        <v>0</v>
      </c>
      <c r="H6079" t="s">
        <v>10998</v>
      </c>
      <c r="I6079">
        <v>6863</v>
      </c>
      <c r="J6079" t="str">
        <f>VLOOKUP(E6079,DSSpieler!A:B,2,FALSE)</f>
        <v>Bohnski</v>
      </c>
    </row>
    <row r="6080" spans="1:10" x14ac:dyDescent="0.25">
      <c r="A6080">
        <v>6864</v>
      </c>
      <c r="B6080" t="s">
        <v>32978</v>
      </c>
      <c r="C6080">
        <v>541</v>
      </c>
      <c r="D6080">
        <v>405</v>
      </c>
      <c r="E6080">
        <v>1577173457</v>
      </c>
      <c r="F6080">
        <v>5471</v>
      </c>
      <c r="G6080">
        <v>0</v>
      </c>
      <c r="H6080" t="s">
        <v>10999</v>
      </c>
      <c r="I6080">
        <v>6864</v>
      </c>
      <c r="J6080" t="str">
        <f>VLOOKUP(E6080,DSSpieler!A:B,2,FALSE)</f>
        <v>Blacki029ost</v>
      </c>
    </row>
    <row r="6081" spans="1:10" x14ac:dyDescent="0.25">
      <c r="A6081">
        <v>6865</v>
      </c>
      <c r="B6081" t="e">
        <f>-Igors+Dorf</f>
        <v>#NAME?</v>
      </c>
      <c r="C6081">
        <v>503</v>
      </c>
      <c r="D6081">
        <v>576</v>
      </c>
      <c r="E6081">
        <v>1577197733</v>
      </c>
      <c r="F6081">
        <v>4033</v>
      </c>
      <c r="G6081">
        <v>0</v>
      </c>
      <c r="H6081" t="s">
        <v>11000</v>
      </c>
      <c r="I6081">
        <v>6865</v>
      </c>
      <c r="J6081" t="str">
        <f>VLOOKUP(E6081,DSSpieler!A:B,2,FALSE)</f>
        <v>Sheriff Söder</v>
      </c>
    </row>
    <row r="6082" spans="1:10" x14ac:dyDescent="0.25">
      <c r="A6082">
        <v>6866</v>
      </c>
      <c r="B6082" t="s">
        <v>32979</v>
      </c>
      <c r="C6082">
        <v>474</v>
      </c>
      <c r="D6082">
        <v>433</v>
      </c>
      <c r="E6082">
        <v>135780</v>
      </c>
      <c r="F6082">
        <v>3632</v>
      </c>
      <c r="G6082">
        <v>0</v>
      </c>
      <c r="H6082" t="s">
        <v>11001</v>
      </c>
      <c r="I6082">
        <v>6866</v>
      </c>
      <c r="J6082" t="str">
        <f>VLOOKUP(E6082,DSSpieler!A:B,2,FALSE)</f>
        <v>Master Magic</v>
      </c>
    </row>
    <row r="6083" spans="1:10" x14ac:dyDescent="0.25">
      <c r="A6083">
        <v>6867</v>
      </c>
      <c r="B6083" t="s">
        <v>32980</v>
      </c>
      <c r="C6083">
        <v>449</v>
      </c>
      <c r="D6083">
        <v>558</v>
      </c>
      <c r="E6083">
        <v>1576625972</v>
      </c>
      <c r="F6083">
        <v>1047</v>
      </c>
      <c r="G6083">
        <v>0</v>
      </c>
      <c r="H6083" t="s">
        <v>11002</v>
      </c>
      <c r="I6083">
        <v>6867</v>
      </c>
      <c r="J6083" t="str">
        <f>VLOOKUP(E6083,DSSpieler!A:B,2,FALSE)</f>
        <v>warkill</v>
      </c>
    </row>
    <row r="6084" spans="1:10" x14ac:dyDescent="0.25">
      <c r="A6084">
        <v>6868</v>
      </c>
      <c r="B6084">
        <v>1</v>
      </c>
      <c r="C6084">
        <v>604</v>
      </c>
      <c r="D6084">
        <v>489</v>
      </c>
      <c r="E6084">
        <v>1576511583</v>
      </c>
      <c r="F6084">
        <v>5435</v>
      </c>
      <c r="G6084">
        <v>0</v>
      </c>
      <c r="H6084" t="s">
        <v>11003</v>
      </c>
      <c r="I6084">
        <v>6868</v>
      </c>
      <c r="J6084" t="str">
        <f>VLOOKUP(E6084,DSSpieler!A:B,2,FALSE)</f>
        <v>Schwachsinn1909</v>
      </c>
    </row>
    <row r="6085" spans="1:10" x14ac:dyDescent="0.25">
      <c r="A6085">
        <v>6869</v>
      </c>
      <c r="B6085" t="s">
        <v>1586</v>
      </c>
      <c r="C6085">
        <v>535</v>
      </c>
      <c r="D6085">
        <v>596</v>
      </c>
      <c r="E6085">
        <v>1577175064</v>
      </c>
      <c r="F6085">
        <v>5039</v>
      </c>
      <c r="G6085">
        <v>0</v>
      </c>
      <c r="H6085" t="s">
        <v>11004</v>
      </c>
      <c r="I6085">
        <v>6869</v>
      </c>
      <c r="J6085" t="str">
        <f>VLOOKUP(E6085,DSSpieler!A:B,2,FALSE)</f>
        <v>Neues Textdokument</v>
      </c>
    </row>
    <row r="6086" spans="1:10" x14ac:dyDescent="0.25">
      <c r="A6086">
        <v>6870</v>
      </c>
      <c r="B6086" t="s">
        <v>30486</v>
      </c>
      <c r="C6086">
        <v>505</v>
      </c>
      <c r="D6086">
        <v>546</v>
      </c>
      <c r="E6086">
        <v>1577197576</v>
      </c>
      <c r="F6086">
        <v>4286</v>
      </c>
      <c r="G6086">
        <v>0</v>
      </c>
      <c r="H6086" t="s">
        <v>11005</v>
      </c>
      <c r="I6086">
        <v>6870</v>
      </c>
      <c r="J6086" t="str">
        <f>VLOOKUP(E6086,DSSpieler!A:B,2,FALSE)</f>
        <v>Timbosliceee</v>
      </c>
    </row>
    <row r="6087" spans="1:10" x14ac:dyDescent="0.25">
      <c r="A6087">
        <v>6871</v>
      </c>
      <c r="B6087" t="s">
        <v>863</v>
      </c>
      <c r="C6087">
        <v>532</v>
      </c>
      <c r="D6087">
        <v>462</v>
      </c>
      <c r="E6087">
        <v>2173445</v>
      </c>
      <c r="F6087">
        <v>4153</v>
      </c>
      <c r="G6087">
        <v>0</v>
      </c>
      <c r="H6087" t="s">
        <v>11006</v>
      </c>
      <c r="I6087">
        <v>6871</v>
      </c>
      <c r="J6087" t="str">
        <f>VLOOKUP(E6087,DSSpieler!A:B,2,FALSE)</f>
        <v>Nefprak</v>
      </c>
    </row>
    <row r="6088" spans="1:10" x14ac:dyDescent="0.25">
      <c r="A6088">
        <v>6872</v>
      </c>
      <c r="B6088" t="s">
        <v>1587</v>
      </c>
      <c r="C6088">
        <v>511</v>
      </c>
      <c r="D6088">
        <v>508</v>
      </c>
      <c r="E6088">
        <v>1577167240</v>
      </c>
      <c r="F6088">
        <v>5029</v>
      </c>
      <c r="G6088">
        <v>0</v>
      </c>
      <c r="H6088" t="s">
        <v>11007</v>
      </c>
      <c r="I6088">
        <v>6872</v>
      </c>
      <c r="J6088" t="str">
        <f>VLOOKUP(E6088,DSSpieler!A:B,2,FALSE)</f>
        <v>Old Witcher</v>
      </c>
    </row>
    <row r="6089" spans="1:10" x14ac:dyDescent="0.25">
      <c r="A6089">
        <v>6873</v>
      </c>
      <c r="B6089" t="s">
        <v>531</v>
      </c>
      <c r="C6089">
        <v>518</v>
      </c>
      <c r="D6089">
        <v>570</v>
      </c>
      <c r="E6089">
        <v>0</v>
      </c>
      <c r="F6089">
        <v>361</v>
      </c>
      <c r="G6089">
        <v>0</v>
      </c>
      <c r="H6089" t="s">
        <v>11008</v>
      </c>
      <c r="I6089">
        <v>6873</v>
      </c>
      <c r="J6089" t="e">
        <f>VLOOKUP(E6089,DSSpieler!A:B,2,FALSE)</f>
        <v>#N/A</v>
      </c>
    </row>
    <row r="6090" spans="1:10" x14ac:dyDescent="0.25">
      <c r="A6090">
        <v>6874</v>
      </c>
      <c r="B6090" t="s">
        <v>531</v>
      </c>
      <c r="C6090">
        <v>455</v>
      </c>
      <c r="D6090">
        <v>499</v>
      </c>
      <c r="E6090">
        <v>0</v>
      </c>
      <c r="F6090">
        <v>188</v>
      </c>
      <c r="G6090">
        <v>0</v>
      </c>
      <c r="H6090" t="s">
        <v>11009</v>
      </c>
      <c r="I6090">
        <v>6874</v>
      </c>
      <c r="J6090" t="e">
        <f>VLOOKUP(E6090,DSSpieler!A:B,2,FALSE)</f>
        <v>#N/A</v>
      </c>
    </row>
    <row r="6091" spans="1:10" x14ac:dyDescent="0.25">
      <c r="A6091">
        <v>6875</v>
      </c>
      <c r="B6091" t="s">
        <v>1588</v>
      </c>
      <c r="C6091">
        <v>560</v>
      </c>
      <c r="D6091">
        <v>446</v>
      </c>
      <c r="E6091">
        <v>1577191594</v>
      </c>
      <c r="F6091">
        <v>6234</v>
      </c>
      <c r="G6091">
        <v>0</v>
      </c>
      <c r="H6091" t="s">
        <v>11010</v>
      </c>
      <c r="I6091">
        <v>6875</v>
      </c>
      <c r="J6091" t="str">
        <f>VLOOKUP(E6091,DSSpieler!A:B,2,FALSE)</f>
        <v>PirayaRay</v>
      </c>
    </row>
    <row r="6092" spans="1:10" x14ac:dyDescent="0.25">
      <c r="A6092">
        <v>6877</v>
      </c>
      <c r="B6092" t="s">
        <v>150</v>
      </c>
      <c r="C6092">
        <v>428</v>
      </c>
      <c r="D6092">
        <v>566</v>
      </c>
      <c r="E6092">
        <v>7987483</v>
      </c>
      <c r="F6092">
        <v>4505</v>
      </c>
      <c r="G6092">
        <v>0</v>
      </c>
      <c r="H6092" t="s">
        <v>11011</v>
      </c>
      <c r="I6092">
        <v>6877</v>
      </c>
      <c r="J6092" t="str">
        <f>VLOOKUP(E6092,DSSpieler!A:B,2,FALSE)</f>
        <v>ARCHIVAL</v>
      </c>
    </row>
    <row r="6093" spans="1:10" x14ac:dyDescent="0.25">
      <c r="A6093">
        <v>6878</v>
      </c>
      <c r="B6093" t="s">
        <v>32981</v>
      </c>
      <c r="C6093">
        <v>559</v>
      </c>
      <c r="D6093">
        <v>456</v>
      </c>
      <c r="E6093">
        <v>1577168662</v>
      </c>
      <c r="F6093">
        <v>3777</v>
      </c>
      <c r="G6093">
        <v>0</v>
      </c>
      <c r="H6093" t="s">
        <v>11012</v>
      </c>
      <c r="I6093">
        <v>6878</v>
      </c>
      <c r="J6093" t="str">
        <f>VLOOKUP(E6093,DSSpieler!A:B,2,FALSE)</f>
        <v>Chrissize</v>
      </c>
    </row>
    <row r="6094" spans="1:10" x14ac:dyDescent="0.25">
      <c r="A6094">
        <v>6879</v>
      </c>
      <c r="B6094" t="s">
        <v>1589</v>
      </c>
      <c r="C6094">
        <v>575</v>
      </c>
      <c r="D6094">
        <v>483</v>
      </c>
      <c r="E6094">
        <v>8041203</v>
      </c>
      <c r="F6094">
        <v>5638</v>
      </c>
      <c r="G6094">
        <v>0</v>
      </c>
      <c r="H6094" t="s">
        <v>11013</v>
      </c>
      <c r="I6094">
        <v>6879</v>
      </c>
      <c r="J6094" t="str">
        <f>VLOOKUP(E6094,DSSpieler!A:B,2,FALSE)</f>
        <v>Jack191995</v>
      </c>
    </row>
    <row r="6095" spans="1:10" x14ac:dyDescent="0.25">
      <c r="A6095">
        <v>6880</v>
      </c>
      <c r="B6095" t="s">
        <v>531</v>
      </c>
      <c r="C6095">
        <v>462</v>
      </c>
      <c r="D6095">
        <v>414</v>
      </c>
      <c r="E6095">
        <v>0</v>
      </c>
      <c r="F6095">
        <v>1707</v>
      </c>
      <c r="G6095">
        <v>0</v>
      </c>
      <c r="H6095" t="s">
        <v>11014</v>
      </c>
      <c r="I6095">
        <v>6880</v>
      </c>
      <c r="J6095" t="e">
        <f>VLOOKUP(E6095,DSSpieler!A:B,2,FALSE)</f>
        <v>#N/A</v>
      </c>
    </row>
    <row r="6096" spans="1:10" x14ac:dyDescent="0.25">
      <c r="A6096">
        <v>6881</v>
      </c>
      <c r="B6096" t="s">
        <v>1590</v>
      </c>
      <c r="C6096">
        <v>468</v>
      </c>
      <c r="D6096">
        <v>480</v>
      </c>
      <c r="E6096">
        <v>9938723</v>
      </c>
      <c r="F6096">
        <v>793</v>
      </c>
      <c r="G6096">
        <v>0</v>
      </c>
      <c r="H6096" t="s">
        <v>11015</v>
      </c>
      <c r="I6096">
        <v>6881</v>
      </c>
      <c r="J6096" t="str">
        <f>VLOOKUP(E6096,DSSpieler!A:B,2,FALSE)</f>
        <v>EnoxAUT</v>
      </c>
    </row>
    <row r="6097" spans="1:10" x14ac:dyDescent="0.25">
      <c r="A6097">
        <v>6882</v>
      </c>
      <c r="B6097" t="s">
        <v>32982</v>
      </c>
      <c r="C6097">
        <v>550</v>
      </c>
      <c r="D6097">
        <v>426</v>
      </c>
      <c r="E6097">
        <v>9422279</v>
      </c>
      <c r="F6097">
        <v>4069</v>
      </c>
      <c r="G6097">
        <v>0</v>
      </c>
      <c r="H6097" t="s">
        <v>11016</v>
      </c>
      <c r="I6097">
        <v>6882</v>
      </c>
      <c r="J6097" t="str">
        <f>VLOOKUP(E6097,DSSpieler!A:B,2,FALSE)</f>
        <v>Castro</v>
      </c>
    </row>
    <row r="6098" spans="1:10" x14ac:dyDescent="0.25">
      <c r="A6098">
        <v>6883</v>
      </c>
      <c r="B6098" t="s">
        <v>32983</v>
      </c>
      <c r="C6098">
        <v>412</v>
      </c>
      <c r="D6098">
        <v>496</v>
      </c>
      <c r="E6098">
        <v>1576510718</v>
      </c>
      <c r="F6098">
        <v>9133</v>
      </c>
      <c r="G6098">
        <v>0</v>
      </c>
      <c r="H6098" t="s">
        <v>11017</v>
      </c>
      <c r="I6098">
        <v>6883</v>
      </c>
      <c r="J6098" t="str">
        <f>VLOOKUP(E6098,DSSpieler!A:B,2,FALSE)</f>
        <v>OnlyHD</v>
      </c>
    </row>
    <row r="6099" spans="1:10" x14ac:dyDescent="0.25">
      <c r="A6099">
        <v>6885</v>
      </c>
      <c r="B6099" t="s">
        <v>1591</v>
      </c>
      <c r="C6099">
        <v>604</v>
      </c>
      <c r="D6099">
        <v>470</v>
      </c>
      <c r="E6099">
        <v>1406771</v>
      </c>
      <c r="F6099">
        <v>1131</v>
      </c>
      <c r="G6099">
        <v>0</v>
      </c>
      <c r="H6099" t="s">
        <v>11018</v>
      </c>
      <c r="I6099">
        <v>6885</v>
      </c>
      <c r="J6099" t="str">
        <f>VLOOKUP(E6099,DSSpieler!A:B,2,FALSE)</f>
        <v>Powergirl 4ever</v>
      </c>
    </row>
    <row r="6100" spans="1:10" x14ac:dyDescent="0.25">
      <c r="A6100">
        <v>6886</v>
      </c>
      <c r="B6100" t="s">
        <v>32984</v>
      </c>
      <c r="C6100">
        <v>538</v>
      </c>
      <c r="D6100">
        <v>532</v>
      </c>
      <c r="E6100">
        <v>1577086026</v>
      </c>
      <c r="F6100">
        <v>3325</v>
      </c>
      <c r="G6100">
        <v>0</v>
      </c>
      <c r="H6100" t="s">
        <v>11019</v>
      </c>
      <c r="I6100">
        <v>6886</v>
      </c>
      <c r="J6100" t="str">
        <f>VLOOKUP(E6100,DSSpieler!A:B,2,FALSE)</f>
        <v>drvuudo</v>
      </c>
    </row>
    <row r="6101" spans="1:10" x14ac:dyDescent="0.25">
      <c r="A6101">
        <v>6887</v>
      </c>
      <c r="B6101" t="s">
        <v>32985</v>
      </c>
      <c r="C6101">
        <v>578</v>
      </c>
      <c r="D6101">
        <v>513</v>
      </c>
      <c r="E6101">
        <v>1577192706</v>
      </c>
      <c r="F6101">
        <v>51</v>
      </c>
      <c r="G6101">
        <v>0</v>
      </c>
      <c r="H6101" t="s">
        <v>11020</v>
      </c>
      <c r="I6101">
        <v>6887</v>
      </c>
      <c r="J6101" t="str">
        <f>VLOOKUP(E6101,DSSpieler!A:B,2,FALSE)</f>
        <v>Aranya</v>
      </c>
    </row>
    <row r="6102" spans="1:10" x14ac:dyDescent="0.25">
      <c r="A6102">
        <v>6888</v>
      </c>
      <c r="B6102" t="s">
        <v>1592</v>
      </c>
      <c r="C6102">
        <v>500</v>
      </c>
      <c r="D6102">
        <v>420</v>
      </c>
      <c r="E6102">
        <v>1577186337</v>
      </c>
      <c r="F6102">
        <v>5023</v>
      </c>
      <c r="G6102">
        <v>0</v>
      </c>
      <c r="H6102" t="s">
        <v>11021</v>
      </c>
      <c r="I6102">
        <v>6888</v>
      </c>
      <c r="J6102" t="str">
        <f>VLOOKUP(E6102,DSSpieler!A:B,2,FALSE)</f>
        <v>Yanman10</v>
      </c>
    </row>
    <row r="6103" spans="1:10" x14ac:dyDescent="0.25">
      <c r="A6103">
        <v>6889</v>
      </c>
      <c r="B6103" t="s">
        <v>1593</v>
      </c>
      <c r="C6103">
        <v>435</v>
      </c>
      <c r="D6103">
        <v>548</v>
      </c>
      <c r="E6103">
        <v>1577183279</v>
      </c>
      <c r="F6103">
        <v>5646</v>
      </c>
      <c r="G6103">
        <v>0</v>
      </c>
      <c r="H6103" t="s">
        <v>11022</v>
      </c>
      <c r="I6103">
        <v>6889</v>
      </c>
      <c r="J6103" t="str">
        <f>VLOOKUP(E6103,DSSpieler!A:B,2,FALSE)</f>
        <v>bengel008</v>
      </c>
    </row>
    <row r="6104" spans="1:10" x14ac:dyDescent="0.25">
      <c r="A6104">
        <v>6890</v>
      </c>
      <c r="B6104" t="s">
        <v>32986</v>
      </c>
      <c r="C6104">
        <v>498</v>
      </c>
      <c r="D6104">
        <v>511</v>
      </c>
      <c r="E6104">
        <v>1576993593</v>
      </c>
      <c r="F6104">
        <v>3925</v>
      </c>
      <c r="G6104">
        <v>0</v>
      </c>
      <c r="H6104" t="s">
        <v>11023</v>
      </c>
      <c r="I6104">
        <v>6890</v>
      </c>
      <c r="J6104" t="str">
        <f>VLOOKUP(E6104,DSSpieler!A:B,2,FALSE)</f>
        <v>keay</v>
      </c>
    </row>
    <row r="6105" spans="1:10" x14ac:dyDescent="0.25">
      <c r="A6105">
        <v>6891</v>
      </c>
      <c r="B6105" t="s">
        <v>32987</v>
      </c>
      <c r="C6105">
        <v>572</v>
      </c>
      <c r="D6105">
        <v>524</v>
      </c>
      <c r="E6105">
        <v>1577003861</v>
      </c>
      <c r="F6105">
        <v>4666</v>
      </c>
      <c r="G6105">
        <v>0</v>
      </c>
      <c r="H6105" t="s">
        <v>11024</v>
      </c>
      <c r="I6105">
        <v>6891</v>
      </c>
      <c r="J6105" t="str">
        <f>VLOOKUP(E6105,DSSpieler!A:B,2,FALSE)</f>
        <v>nigges204</v>
      </c>
    </row>
    <row r="6106" spans="1:10" x14ac:dyDescent="0.25">
      <c r="A6106">
        <v>6892</v>
      </c>
      <c r="B6106" t="s">
        <v>732</v>
      </c>
      <c r="C6106">
        <v>562</v>
      </c>
      <c r="D6106">
        <v>509</v>
      </c>
      <c r="E6106">
        <v>1092500</v>
      </c>
      <c r="F6106">
        <v>2916</v>
      </c>
      <c r="G6106">
        <v>0</v>
      </c>
      <c r="H6106" t="s">
        <v>11025</v>
      </c>
      <c r="I6106">
        <v>6892</v>
      </c>
      <c r="J6106" t="str">
        <f>VLOOKUP(E6106,DSSpieler!A:B,2,FALSE)</f>
        <v>Klitschko007</v>
      </c>
    </row>
    <row r="6107" spans="1:10" x14ac:dyDescent="0.25">
      <c r="A6107">
        <v>6893</v>
      </c>
      <c r="B6107" t="s">
        <v>30816</v>
      </c>
      <c r="C6107">
        <v>569</v>
      </c>
      <c r="D6107">
        <v>528</v>
      </c>
      <c r="E6107">
        <v>1576770406</v>
      </c>
      <c r="F6107">
        <v>5335</v>
      </c>
      <c r="G6107">
        <v>0</v>
      </c>
      <c r="H6107" t="s">
        <v>11026</v>
      </c>
      <c r="I6107">
        <v>6893</v>
      </c>
      <c r="J6107" t="str">
        <f>VLOOKUP(E6107,DSSpieler!A:B,2,FALSE)</f>
        <v>boxbox</v>
      </c>
    </row>
    <row r="6108" spans="1:10" x14ac:dyDescent="0.25">
      <c r="A6108">
        <v>6894</v>
      </c>
      <c r="B6108" t="s">
        <v>32988</v>
      </c>
      <c r="C6108">
        <v>432</v>
      </c>
      <c r="D6108">
        <v>437</v>
      </c>
      <c r="E6108">
        <v>1577180780</v>
      </c>
      <c r="F6108">
        <v>6752</v>
      </c>
      <c r="G6108">
        <v>0</v>
      </c>
      <c r="H6108" t="s">
        <v>11027</v>
      </c>
      <c r="I6108">
        <v>6894</v>
      </c>
      <c r="J6108" t="str">
        <f>VLOOKUP(E6108,DSSpieler!A:B,2,FALSE)</f>
        <v>richamster</v>
      </c>
    </row>
    <row r="6109" spans="1:10" x14ac:dyDescent="0.25">
      <c r="A6109">
        <v>6895</v>
      </c>
      <c r="B6109" t="s">
        <v>531</v>
      </c>
      <c r="C6109">
        <v>459</v>
      </c>
      <c r="D6109">
        <v>528</v>
      </c>
      <c r="E6109">
        <v>0</v>
      </c>
      <c r="F6109">
        <v>227</v>
      </c>
      <c r="G6109">
        <v>0</v>
      </c>
      <c r="H6109" t="s">
        <v>11028</v>
      </c>
      <c r="I6109">
        <v>6895</v>
      </c>
      <c r="J6109" t="e">
        <f>VLOOKUP(E6109,DSSpieler!A:B,2,FALSE)</f>
        <v>#N/A</v>
      </c>
    </row>
    <row r="6110" spans="1:10" x14ac:dyDescent="0.25">
      <c r="A6110">
        <v>6896</v>
      </c>
      <c r="B6110" t="s">
        <v>32989</v>
      </c>
      <c r="C6110">
        <v>468</v>
      </c>
      <c r="D6110">
        <v>444</v>
      </c>
      <c r="E6110">
        <v>1576867448</v>
      </c>
      <c r="F6110">
        <v>7791</v>
      </c>
      <c r="G6110">
        <v>0</v>
      </c>
      <c r="H6110" t="s">
        <v>11029</v>
      </c>
      <c r="I6110">
        <v>6896</v>
      </c>
      <c r="J6110" t="str">
        <f>VLOOKUP(E6110,DSSpieler!A:B,2,FALSE)</f>
        <v>ondyyy</v>
      </c>
    </row>
    <row r="6111" spans="1:10" x14ac:dyDescent="0.25">
      <c r="A6111">
        <v>6898</v>
      </c>
      <c r="B6111" t="s">
        <v>1594</v>
      </c>
      <c r="C6111">
        <v>447</v>
      </c>
      <c r="D6111">
        <v>433</v>
      </c>
      <c r="E6111">
        <v>1577141707</v>
      </c>
      <c r="F6111">
        <v>4002</v>
      </c>
      <c r="G6111">
        <v>0</v>
      </c>
      <c r="H6111" t="s">
        <v>11030</v>
      </c>
      <c r="I6111">
        <v>6898</v>
      </c>
      <c r="J6111" t="str">
        <f>VLOOKUP(E6111,DSSpieler!A:B,2,FALSE)</f>
        <v>Mouschder</v>
      </c>
    </row>
    <row r="6112" spans="1:10" x14ac:dyDescent="0.25">
      <c r="A6112">
        <v>6899</v>
      </c>
      <c r="B6112" t="s">
        <v>531</v>
      </c>
      <c r="C6112">
        <v>516</v>
      </c>
      <c r="D6112">
        <v>596</v>
      </c>
      <c r="E6112">
        <v>0</v>
      </c>
      <c r="F6112">
        <v>418</v>
      </c>
      <c r="G6112">
        <v>0</v>
      </c>
      <c r="H6112" t="s">
        <v>11031</v>
      </c>
      <c r="I6112">
        <v>6899</v>
      </c>
      <c r="J6112" t="e">
        <f>VLOOKUP(E6112,DSSpieler!A:B,2,FALSE)</f>
        <v>#N/A</v>
      </c>
    </row>
    <row r="6113" spans="1:10" x14ac:dyDescent="0.25">
      <c r="A6113">
        <v>6900</v>
      </c>
      <c r="B6113" t="s">
        <v>30466</v>
      </c>
      <c r="C6113">
        <v>442</v>
      </c>
      <c r="D6113">
        <v>571</v>
      </c>
      <c r="E6113">
        <v>8457813</v>
      </c>
      <c r="F6113">
        <v>7744</v>
      </c>
      <c r="G6113">
        <v>0</v>
      </c>
      <c r="H6113" t="s">
        <v>11032</v>
      </c>
      <c r="I6113">
        <v>6900</v>
      </c>
      <c r="J6113" t="str">
        <f>VLOOKUP(E6113,DSSpieler!A:B,2,FALSE)</f>
        <v>little Lotschi</v>
      </c>
    </row>
    <row r="6114" spans="1:10" x14ac:dyDescent="0.25">
      <c r="A6114">
        <v>6901</v>
      </c>
      <c r="B6114" t="s">
        <v>32990</v>
      </c>
      <c r="C6114">
        <v>560</v>
      </c>
      <c r="D6114">
        <v>439</v>
      </c>
      <c r="E6114">
        <v>1577195970</v>
      </c>
      <c r="F6114">
        <v>4249</v>
      </c>
      <c r="G6114">
        <v>0</v>
      </c>
      <c r="H6114" t="s">
        <v>11033</v>
      </c>
      <c r="I6114">
        <v>6901</v>
      </c>
      <c r="J6114" t="str">
        <f>VLOOKUP(E6114,DSSpieler!A:B,2,FALSE)</f>
        <v>bpm-junk</v>
      </c>
    </row>
    <row r="6115" spans="1:10" x14ac:dyDescent="0.25">
      <c r="A6115">
        <v>6902</v>
      </c>
      <c r="B6115" t="s">
        <v>1595</v>
      </c>
      <c r="C6115">
        <v>427</v>
      </c>
      <c r="D6115">
        <v>479</v>
      </c>
      <c r="E6115">
        <v>9050389</v>
      </c>
      <c r="F6115">
        <v>4792</v>
      </c>
      <c r="G6115">
        <v>0</v>
      </c>
      <c r="H6115" t="s">
        <v>11034</v>
      </c>
      <c r="I6115">
        <v>6902</v>
      </c>
      <c r="J6115" t="str">
        <f>VLOOKUP(E6115,DSSpieler!A:B,2,FALSE)</f>
        <v>easywin</v>
      </c>
    </row>
    <row r="6116" spans="1:10" x14ac:dyDescent="0.25">
      <c r="A6116">
        <v>6903</v>
      </c>
      <c r="B6116" t="s">
        <v>780</v>
      </c>
      <c r="C6116">
        <v>560</v>
      </c>
      <c r="D6116">
        <v>569</v>
      </c>
      <c r="E6116">
        <v>1577197756</v>
      </c>
      <c r="F6116">
        <v>4746</v>
      </c>
      <c r="G6116">
        <v>0</v>
      </c>
      <c r="H6116" t="s">
        <v>11035</v>
      </c>
      <c r="I6116">
        <v>6903</v>
      </c>
      <c r="J6116" t="str">
        <f>VLOOKUP(E6116,DSSpieler!A:B,2,FALSE)</f>
        <v>TyL3R DuRd3N</v>
      </c>
    </row>
    <row r="6117" spans="1:10" x14ac:dyDescent="0.25">
      <c r="A6117">
        <v>6904</v>
      </c>
      <c r="B6117" t="s">
        <v>531</v>
      </c>
      <c r="C6117">
        <v>572</v>
      </c>
      <c r="D6117">
        <v>482</v>
      </c>
      <c r="E6117">
        <v>0</v>
      </c>
      <c r="F6117">
        <v>457</v>
      </c>
      <c r="G6117">
        <v>0</v>
      </c>
      <c r="H6117" t="s">
        <v>11036</v>
      </c>
      <c r="I6117">
        <v>6904</v>
      </c>
      <c r="J6117" t="e">
        <f>VLOOKUP(E6117,DSSpieler!A:B,2,FALSE)</f>
        <v>#N/A</v>
      </c>
    </row>
    <row r="6118" spans="1:10" x14ac:dyDescent="0.25">
      <c r="A6118">
        <v>6905</v>
      </c>
      <c r="B6118" t="s">
        <v>1596</v>
      </c>
      <c r="C6118">
        <v>450</v>
      </c>
      <c r="D6118">
        <v>424</v>
      </c>
      <c r="E6118">
        <v>1577197332</v>
      </c>
      <c r="F6118">
        <v>7474</v>
      </c>
      <c r="G6118">
        <v>0</v>
      </c>
      <c r="H6118" t="s">
        <v>11037</v>
      </c>
      <c r="I6118">
        <v>6905</v>
      </c>
      <c r="J6118" t="str">
        <f>VLOOKUP(E6118,DSSpieler!A:B,2,FALSE)</f>
        <v>Didavo</v>
      </c>
    </row>
    <row r="6119" spans="1:10" x14ac:dyDescent="0.25">
      <c r="A6119">
        <v>6906</v>
      </c>
      <c r="B6119" t="s">
        <v>1597</v>
      </c>
      <c r="C6119">
        <v>438</v>
      </c>
      <c r="D6119">
        <v>450</v>
      </c>
      <c r="E6119">
        <v>3225442</v>
      </c>
      <c r="F6119">
        <v>5059</v>
      </c>
      <c r="G6119">
        <v>0</v>
      </c>
      <c r="H6119" t="s">
        <v>11038</v>
      </c>
      <c r="I6119">
        <v>6906</v>
      </c>
      <c r="J6119" t="str">
        <f>VLOOKUP(E6119,DSSpieler!A:B,2,FALSE)</f>
        <v>Halsbandleguan</v>
      </c>
    </row>
    <row r="6120" spans="1:10" x14ac:dyDescent="0.25">
      <c r="A6120">
        <v>6907</v>
      </c>
      <c r="B6120" t="s">
        <v>32991</v>
      </c>
      <c r="C6120">
        <v>496</v>
      </c>
      <c r="D6120">
        <v>493</v>
      </c>
      <c r="E6120">
        <v>1576492004</v>
      </c>
      <c r="F6120">
        <v>4995</v>
      </c>
      <c r="G6120">
        <v>0</v>
      </c>
      <c r="H6120" t="s">
        <v>11039</v>
      </c>
      <c r="I6120">
        <v>6907</v>
      </c>
      <c r="J6120" t="str">
        <f>VLOOKUP(E6120,DSSpieler!A:B,2,FALSE)</f>
        <v>Bready96</v>
      </c>
    </row>
    <row r="6121" spans="1:10" x14ac:dyDescent="0.25">
      <c r="A6121">
        <v>6909</v>
      </c>
      <c r="B6121" t="s">
        <v>1598</v>
      </c>
      <c r="C6121">
        <v>572</v>
      </c>
      <c r="D6121">
        <v>432</v>
      </c>
      <c r="E6121">
        <v>1577197529</v>
      </c>
      <c r="F6121">
        <v>1414</v>
      </c>
      <c r="G6121">
        <v>0</v>
      </c>
      <c r="H6121" t="s">
        <v>11040</v>
      </c>
      <c r="I6121">
        <v>6909</v>
      </c>
      <c r="J6121" t="str">
        <f>VLOOKUP(E6121,DSSpieler!A:B,2,FALSE)</f>
        <v>Obronko</v>
      </c>
    </row>
    <row r="6122" spans="1:10" x14ac:dyDescent="0.25">
      <c r="A6122">
        <v>6911</v>
      </c>
      <c r="B6122">
        <v>2</v>
      </c>
      <c r="C6122">
        <v>453</v>
      </c>
      <c r="D6122">
        <v>451</v>
      </c>
      <c r="E6122">
        <v>7935427</v>
      </c>
      <c r="F6122">
        <v>6103</v>
      </c>
      <c r="G6122">
        <v>0</v>
      </c>
      <c r="H6122" t="s">
        <v>11041</v>
      </c>
      <c r="I6122">
        <v>6911</v>
      </c>
      <c r="J6122" t="str">
        <f>VLOOKUP(E6122,DSSpieler!A:B,2,FALSE)</f>
        <v>-Eroberer-</v>
      </c>
    </row>
    <row r="6123" spans="1:10" x14ac:dyDescent="0.25">
      <c r="A6123">
        <v>6912</v>
      </c>
      <c r="B6123" t="s">
        <v>32992</v>
      </c>
      <c r="C6123">
        <v>587</v>
      </c>
      <c r="D6123">
        <v>436</v>
      </c>
      <c r="E6123">
        <v>1577060953</v>
      </c>
      <c r="F6123">
        <v>4611</v>
      </c>
      <c r="G6123">
        <v>0</v>
      </c>
      <c r="H6123" t="s">
        <v>11042</v>
      </c>
      <c r="I6123">
        <v>6912</v>
      </c>
      <c r="J6123" t="str">
        <f>VLOOKUP(E6123,DSSpieler!A:B,2,FALSE)</f>
        <v>EasySnacks</v>
      </c>
    </row>
    <row r="6124" spans="1:10" x14ac:dyDescent="0.25">
      <c r="A6124">
        <v>6913</v>
      </c>
      <c r="B6124" t="s">
        <v>1599</v>
      </c>
      <c r="C6124">
        <v>596</v>
      </c>
      <c r="D6124">
        <v>468</v>
      </c>
      <c r="E6124">
        <v>1577127354</v>
      </c>
      <c r="F6124">
        <v>5404</v>
      </c>
      <c r="G6124">
        <v>0</v>
      </c>
      <c r="H6124" t="s">
        <v>11043</v>
      </c>
      <c r="I6124">
        <v>6913</v>
      </c>
      <c r="J6124" t="str">
        <f>VLOOKUP(E6124,DSSpieler!A:B,2,FALSE)</f>
        <v>Pullover</v>
      </c>
    </row>
    <row r="6125" spans="1:10" x14ac:dyDescent="0.25">
      <c r="A6125">
        <v>6914</v>
      </c>
      <c r="B6125" t="s">
        <v>32993</v>
      </c>
      <c r="C6125">
        <v>580</v>
      </c>
      <c r="D6125">
        <v>456</v>
      </c>
      <c r="E6125">
        <v>1577198806</v>
      </c>
      <c r="F6125">
        <v>5897</v>
      </c>
      <c r="G6125">
        <v>0</v>
      </c>
      <c r="H6125" t="s">
        <v>11044</v>
      </c>
      <c r="I6125">
        <v>6914</v>
      </c>
      <c r="J6125" t="str">
        <f>VLOOKUP(E6125,DSSpieler!A:B,2,FALSE)</f>
        <v>ForbiddenChild</v>
      </c>
    </row>
    <row r="6126" spans="1:10" x14ac:dyDescent="0.25">
      <c r="A6126">
        <v>6915</v>
      </c>
      <c r="B6126" t="s">
        <v>32994</v>
      </c>
      <c r="C6126">
        <v>531</v>
      </c>
      <c r="D6126">
        <v>500</v>
      </c>
      <c r="E6126">
        <v>1577197318</v>
      </c>
      <c r="F6126">
        <v>4746</v>
      </c>
      <c r="G6126">
        <v>0</v>
      </c>
      <c r="H6126" t="s">
        <v>11045</v>
      </c>
      <c r="I6126">
        <v>6915</v>
      </c>
      <c r="J6126" t="str">
        <f>VLOOKUP(E6126,DSSpieler!A:B,2,FALSE)</f>
        <v>Doodlemonster</v>
      </c>
    </row>
    <row r="6127" spans="1:10" x14ac:dyDescent="0.25">
      <c r="A6127">
        <v>6918</v>
      </c>
      <c r="B6127" t="s">
        <v>32995</v>
      </c>
      <c r="C6127">
        <v>545</v>
      </c>
      <c r="D6127">
        <v>521</v>
      </c>
      <c r="E6127">
        <v>1577196954</v>
      </c>
      <c r="F6127">
        <v>5243</v>
      </c>
      <c r="G6127">
        <v>0</v>
      </c>
      <c r="H6127" t="s">
        <v>11046</v>
      </c>
      <c r="I6127">
        <v>6918</v>
      </c>
      <c r="J6127" t="str">
        <f>VLOOKUP(E6127,DSSpieler!A:B,2,FALSE)</f>
        <v>SirLanzeloterus</v>
      </c>
    </row>
    <row r="6128" spans="1:10" x14ac:dyDescent="0.25">
      <c r="A6128">
        <v>6919</v>
      </c>
      <c r="B6128" t="s">
        <v>150</v>
      </c>
      <c r="C6128">
        <v>538</v>
      </c>
      <c r="D6128">
        <v>597</v>
      </c>
      <c r="E6128">
        <v>1577175064</v>
      </c>
      <c r="F6128">
        <v>4636</v>
      </c>
      <c r="G6128">
        <v>0</v>
      </c>
      <c r="H6128" t="s">
        <v>11047</v>
      </c>
      <c r="I6128">
        <v>6919</v>
      </c>
      <c r="J6128" t="str">
        <f>VLOOKUP(E6128,DSSpieler!A:B,2,FALSE)</f>
        <v>Neues Textdokument</v>
      </c>
    </row>
    <row r="6129" spans="1:10" x14ac:dyDescent="0.25">
      <c r="A6129">
        <v>6920</v>
      </c>
      <c r="B6129" t="s">
        <v>531</v>
      </c>
      <c r="C6129">
        <v>464</v>
      </c>
      <c r="D6129">
        <v>551</v>
      </c>
      <c r="E6129">
        <v>0</v>
      </c>
      <c r="F6129">
        <v>248</v>
      </c>
      <c r="G6129">
        <v>0</v>
      </c>
      <c r="H6129" t="s">
        <v>11048</v>
      </c>
      <c r="I6129">
        <v>6920</v>
      </c>
      <c r="J6129" t="e">
        <f>VLOOKUP(E6129,DSSpieler!A:B,2,FALSE)</f>
        <v>#N/A</v>
      </c>
    </row>
    <row r="6130" spans="1:10" x14ac:dyDescent="0.25">
      <c r="A6130">
        <v>6921</v>
      </c>
      <c r="B6130" t="s">
        <v>531</v>
      </c>
      <c r="C6130">
        <v>563</v>
      </c>
      <c r="D6130">
        <v>464</v>
      </c>
      <c r="E6130">
        <v>0</v>
      </c>
      <c r="F6130">
        <v>401</v>
      </c>
      <c r="G6130">
        <v>0</v>
      </c>
      <c r="H6130" t="s">
        <v>11049</v>
      </c>
      <c r="I6130">
        <v>6921</v>
      </c>
      <c r="J6130" t="e">
        <f>VLOOKUP(E6130,DSSpieler!A:B,2,FALSE)</f>
        <v>#N/A</v>
      </c>
    </row>
    <row r="6131" spans="1:10" x14ac:dyDescent="0.25">
      <c r="A6131">
        <v>6922</v>
      </c>
      <c r="B6131" t="s">
        <v>531</v>
      </c>
      <c r="C6131">
        <v>537</v>
      </c>
      <c r="D6131">
        <v>433</v>
      </c>
      <c r="E6131">
        <v>0</v>
      </c>
      <c r="F6131">
        <v>642</v>
      </c>
      <c r="G6131">
        <v>0</v>
      </c>
      <c r="H6131" t="s">
        <v>11050</v>
      </c>
      <c r="I6131">
        <v>6922</v>
      </c>
      <c r="J6131" t="e">
        <f>VLOOKUP(E6131,DSSpieler!A:B,2,FALSE)</f>
        <v>#N/A</v>
      </c>
    </row>
    <row r="6132" spans="1:10" x14ac:dyDescent="0.25">
      <c r="A6132">
        <v>6923</v>
      </c>
      <c r="B6132" t="s">
        <v>531</v>
      </c>
      <c r="C6132">
        <v>567</v>
      </c>
      <c r="D6132">
        <v>487</v>
      </c>
      <c r="E6132">
        <v>0</v>
      </c>
      <c r="F6132">
        <v>333</v>
      </c>
      <c r="G6132">
        <v>0</v>
      </c>
      <c r="H6132" t="s">
        <v>11051</v>
      </c>
      <c r="I6132">
        <v>6923</v>
      </c>
      <c r="J6132" t="e">
        <f>VLOOKUP(E6132,DSSpieler!A:B,2,FALSE)</f>
        <v>#N/A</v>
      </c>
    </row>
    <row r="6133" spans="1:10" x14ac:dyDescent="0.25">
      <c r="A6133">
        <v>6925</v>
      </c>
      <c r="B6133" t="s">
        <v>728</v>
      </c>
      <c r="C6133">
        <v>573</v>
      </c>
      <c r="D6133">
        <v>441</v>
      </c>
      <c r="E6133">
        <v>1577121578</v>
      </c>
      <c r="F6133">
        <v>5583</v>
      </c>
      <c r="G6133">
        <v>0</v>
      </c>
      <c r="H6133" t="s">
        <v>11052</v>
      </c>
      <c r="I6133">
        <v>6925</v>
      </c>
      <c r="J6133" t="str">
        <f>VLOOKUP(E6133,DSSpieler!A:B,2,FALSE)</f>
        <v>PARAsympathikus</v>
      </c>
    </row>
    <row r="6134" spans="1:10" x14ac:dyDescent="0.25">
      <c r="A6134">
        <v>6926</v>
      </c>
      <c r="B6134" t="s">
        <v>32996</v>
      </c>
      <c r="C6134">
        <v>436</v>
      </c>
      <c r="D6134">
        <v>525</v>
      </c>
      <c r="E6134">
        <v>1577091835</v>
      </c>
      <c r="F6134">
        <v>3780</v>
      </c>
      <c r="G6134">
        <v>0</v>
      </c>
      <c r="H6134" t="s">
        <v>11053</v>
      </c>
      <c r="I6134">
        <v>6926</v>
      </c>
      <c r="J6134" t="str">
        <f>VLOOKUP(E6134,DSSpieler!A:B,2,FALSE)</f>
        <v>Shedid21</v>
      </c>
    </row>
    <row r="6135" spans="1:10" x14ac:dyDescent="0.25">
      <c r="A6135">
        <v>6927</v>
      </c>
      <c r="B6135">
        <v>7</v>
      </c>
      <c r="C6135">
        <v>488</v>
      </c>
      <c r="D6135">
        <v>537</v>
      </c>
      <c r="E6135">
        <v>9962504</v>
      </c>
      <c r="F6135">
        <v>3077</v>
      </c>
      <c r="G6135">
        <v>0</v>
      </c>
      <c r="H6135" t="s">
        <v>11054</v>
      </c>
      <c r="I6135">
        <v>6927</v>
      </c>
      <c r="J6135" t="str">
        <f>VLOOKUP(E6135,DSSpieler!A:B,2,FALSE)</f>
        <v>Robin.a</v>
      </c>
    </row>
    <row r="6136" spans="1:10" x14ac:dyDescent="0.25">
      <c r="A6136">
        <v>6928</v>
      </c>
      <c r="B6136" t="s">
        <v>531</v>
      </c>
      <c r="C6136">
        <v>570</v>
      </c>
      <c r="D6136">
        <v>461</v>
      </c>
      <c r="E6136">
        <v>0</v>
      </c>
      <c r="F6136">
        <v>312</v>
      </c>
      <c r="G6136">
        <v>0</v>
      </c>
      <c r="H6136" t="s">
        <v>11055</v>
      </c>
      <c r="I6136">
        <v>6928</v>
      </c>
      <c r="J6136" t="e">
        <f>VLOOKUP(E6136,DSSpieler!A:B,2,FALSE)</f>
        <v>#N/A</v>
      </c>
    </row>
    <row r="6137" spans="1:10" x14ac:dyDescent="0.25">
      <c r="A6137">
        <v>6930</v>
      </c>
      <c r="B6137" t="s">
        <v>32997</v>
      </c>
      <c r="C6137">
        <v>453</v>
      </c>
      <c r="D6137">
        <v>450</v>
      </c>
      <c r="E6137">
        <v>1576460031</v>
      </c>
      <c r="F6137">
        <v>4806</v>
      </c>
      <c r="G6137">
        <v>0</v>
      </c>
      <c r="H6137" t="s">
        <v>11056</v>
      </c>
      <c r="I6137">
        <v>6930</v>
      </c>
      <c r="J6137" t="str">
        <f>VLOOKUP(E6137,DSSpieler!A:B,2,FALSE)</f>
        <v>Elevenith</v>
      </c>
    </row>
    <row r="6138" spans="1:10" x14ac:dyDescent="0.25">
      <c r="A6138">
        <v>6931</v>
      </c>
      <c r="B6138" t="s">
        <v>1366</v>
      </c>
      <c r="C6138">
        <v>442</v>
      </c>
      <c r="D6138">
        <v>464</v>
      </c>
      <c r="E6138">
        <v>1577163762</v>
      </c>
      <c r="F6138">
        <v>899</v>
      </c>
      <c r="G6138">
        <v>0</v>
      </c>
      <c r="H6138" t="s">
        <v>11057</v>
      </c>
      <c r="I6138">
        <v>6931</v>
      </c>
      <c r="J6138" t="str">
        <f>VLOOKUP(E6138,DSSpieler!A:B,2,FALSE)</f>
        <v>Ioreth</v>
      </c>
    </row>
    <row r="6139" spans="1:10" x14ac:dyDescent="0.25">
      <c r="A6139">
        <v>6932</v>
      </c>
      <c r="B6139" t="s">
        <v>32998</v>
      </c>
      <c r="C6139">
        <v>571</v>
      </c>
      <c r="D6139">
        <v>517</v>
      </c>
      <c r="E6139">
        <v>1576969873</v>
      </c>
      <c r="F6139">
        <v>3981</v>
      </c>
      <c r="G6139">
        <v>0</v>
      </c>
      <c r="H6139" t="s">
        <v>11058</v>
      </c>
      <c r="I6139">
        <v>6932</v>
      </c>
      <c r="J6139" t="str">
        <f>VLOOKUP(E6139,DSSpieler!A:B,2,FALSE)</f>
        <v>Spachris</v>
      </c>
    </row>
    <row r="6140" spans="1:10" x14ac:dyDescent="0.25">
      <c r="A6140">
        <v>6933</v>
      </c>
      <c r="B6140" t="s">
        <v>531</v>
      </c>
      <c r="C6140">
        <v>414</v>
      </c>
      <c r="D6140">
        <v>465</v>
      </c>
      <c r="E6140">
        <v>0</v>
      </c>
      <c r="F6140">
        <v>461</v>
      </c>
      <c r="G6140">
        <v>0</v>
      </c>
      <c r="H6140" t="s">
        <v>11059</v>
      </c>
      <c r="I6140">
        <v>6933</v>
      </c>
      <c r="J6140" t="e">
        <f>VLOOKUP(E6140,DSSpieler!A:B,2,FALSE)</f>
        <v>#N/A</v>
      </c>
    </row>
    <row r="6141" spans="1:10" x14ac:dyDescent="0.25">
      <c r="A6141">
        <v>6934</v>
      </c>
      <c r="B6141" t="s">
        <v>687</v>
      </c>
      <c r="C6141">
        <v>417</v>
      </c>
      <c r="D6141">
        <v>446</v>
      </c>
      <c r="E6141">
        <v>1576885344</v>
      </c>
      <c r="F6141">
        <v>6169</v>
      </c>
      <c r="G6141">
        <v>0</v>
      </c>
      <c r="H6141" t="s">
        <v>11060</v>
      </c>
      <c r="I6141">
        <v>6934</v>
      </c>
      <c r="J6141" t="str">
        <f>VLOOKUP(E6141,DSSpieler!A:B,2,FALSE)</f>
        <v>fe08</v>
      </c>
    </row>
    <row r="6142" spans="1:10" x14ac:dyDescent="0.25">
      <c r="A6142">
        <v>6935</v>
      </c>
      <c r="B6142" t="s">
        <v>1600</v>
      </c>
      <c r="C6142">
        <v>579</v>
      </c>
      <c r="D6142">
        <v>572</v>
      </c>
      <c r="E6142">
        <v>3109521</v>
      </c>
      <c r="F6142">
        <v>6376</v>
      </c>
      <c r="G6142">
        <v>0</v>
      </c>
      <c r="H6142" t="s">
        <v>11061</v>
      </c>
      <c r="I6142">
        <v>6935</v>
      </c>
      <c r="J6142" t="str">
        <f>VLOOKUP(E6142,DSSpieler!A:B,2,FALSE)</f>
        <v>bananenfaust</v>
      </c>
    </row>
    <row r="6143" spans="1:10" x14ac:dyDescent="0.25">
      <c r="A6143">
        <v>6937</v>
      </c>
      <c r="B6143" t="s">
        <v>32999</v>
      </c>
      <c r="C6143">
        <v>595</v>
      </c>
      <c r="D6143">
        <v>441</v>
      </c>
      <c r="E6143">
        <v>1577162901</v>
      </c>
      <c r="F6143">
        <v>5661</v>
      </c>
      <c r="G6143">
        <v>0</v>
      </c>
      <c r="H6143" t="s">
        <v>11062</v>
      </c>
      <c r="I6143">
        <v>6937</v>
      </c>
      <c r="J6143" t="str">
        <f>VLOOKUP(E6143,DSSpieler!A:B,2,FALSE)</f>
        <v>fourth try</v>
      </c>
    </row>
    <row r="6144" spans="1:10" x14ac:dyDescent="0.25">
      <c r="A6144">
        <v>6938</v>
      </c>
      <c r="B6144" t="s">
        <v>531</v>
      </c>
      <c r="C6144">
        <v>468</v>
      </c>
      <c r="D6144">
        <v>441</v>
      </c>
      <c r="E6144">
        <v>1575978261</v>
      </c>
      <c r="F6144">
        <v>933</v>
      </c>
      <c r="G6144">
        <v>0</v>
      </c>
      <c r="H6144" t="s">
        <v>11063</v>
      </c>
      <c r="I6144">
        <v>6938</v>
      </c>
      <c r="J6144" t="str">
        <f>VLOOKUP(E6144,DSSpieler!A:B,2,FALSE)</f>
        <v>Zefnix</v>
      </c>
    </row>
    <row r="6145" spans="1:10" x14ac:dyDescent="0.25">
      <c r="A6145">
        <v>6939</v>
      </c>
      <c r="B6145" t="s">
        <v>1601</v>
      </c>
      <c r="C6145">
        <v>502</v>
      </c>
      <c r="D6145">
        <v>500</v>
      </c>
      <c r="E6145">
        <v>1576891726</v>
      </c>
      <c r="F6145">
        <v>5064</v>
      </c>
      <c r="G6145">
        <v>0</v>
      </c>
      <c r="H6145" t="s">
        <v>11064</v>
      </c>
      <c r="I6145">
        <v>6939</v>
      </c>
      <c r="J6145" t="str">
        <f>VLOOKUP(E6145,DSSpieler!A:B,2,FALSE)</f>
        <v>ultma189</v>
      </c>
    </row>
    <row r="6146" spans="1:10" x14ac:dyDescent="0.25">
      <c r="A6146">
        <v>6940</v>
      </c>
      <c r="B6146" t="s">
        <v>531</v>
      </c>
      <c r="C6146">
        <v>500</v>
      </c>
      <c r="D6146">
        <v>577</v>
      </c>
      <c r="E6146">
        <v>0</v>
      </c>
      <c r="F6146">
        <v>445</v>
      </c>
      <c r="G6146">
        <v>0</v>
      </c>
      <c r="H6146" t="s">
        <v>11065</v>
      </c>
      <c r="I6146">
        <v>6940</v>
      </c>
      <c r="J6146" t="e">
        <f>VLOOKUP(E6146,DSSpieler!A:B,2,FALSE)</f>
        <v>#N/A</v>
      </c>
    </row>
    <row r="6147" spans="1:10" x14ac:dyDescent="0.25">
      <c r="A6147">
        <v>6942</v>
      </c>
      <c r="B6147" t="s">
        <v>31052</v>
      </c>
      <c r="C6147">
        <v>451</v>
      </c>
      <c r="D6147">
        <v>599</v>
      </c>
      <c r="E6147">
        <v>1576661570</v>
      </c>
      <c r="F6147">
        <v>6658</v>
      </c>
      <c r="G6147">
        <v>0</v>
      </c>
      <c r="H6147" t="s">
        <v>11066</v>
      </c>
      <c r="I6147">
        <v>6942</v>
      </c>
      <c r="J6147" t="str">
        <f>VLOOKUP(E6147,DSSpieler!A:B,2,FALSE)</f>
        <v>ASAP-TEDDY</v>
      </c>
    </row>
    <row r="6148" spans="1:10" x14ac:dyDescent="0.25">
      <c r="A6148">
        <v>6943</v>
      </c>
      <c r="B6148" t="s">
        <v>33000</v>
      </c>
      <c r="C6148">
        <v>509</v>
      </c>
      <c r="D6148">
        <v>565</v>
      </c>
      <c r="E6148">
        <v>1577175352</v>
      </c>
      <c r="F6148">
        <v>6119</v>
      </c>
      <c r="G6148">
        <v>0</v>
      </c>
      <c r="H6148" t="s">
        <v>11067</v>
      </c>
      <c r="I6148">
        <v>6943</v>
      </c>
      <c r="J6148" t="str">
        <f>VLOOKUP(E6148,DSSpieler!A:B,2,FALSE)</f>
        <v>L4nz3l0b3r</v>
      </c>
    </row>
    <row r="6149" spans="1:10" x14ac:dyDescent="0.25">
      <c r="A6149">
        <v>6944</v>
      </c>
      <c r="B6149" t="s">
        <v>1602</v>
      </c>
      <c r="C6149">
        <v>487</v>
      </c>
      <c r="D6149">
        <v>489</v>
      </c>
      <c r="E6149">
        <v>1577188101</v>
      </c>
      <c r="F6149">
        <v>4654</v>
      </c>
      <c r="G6149">
        <v>0</v>
      </c>
      <c r="H6149" t="s">
        <v>11068</v>
      </c>
      <c r="I6149">
        <v>6944</v>
      </c>
      <c r="J6149" t="str">
        <f>VLOOKUP(E6149,DSSpieler!A:B,2,FALSE)</f>
        <v>Osman der Erste</v>
      </c>
    </row>
    <row r="6150" spans="1:10" x14ac:dyDescent="0.25">
      <c r="A6150">
        <v>6945</v>
      </c>
      <c r="B6150" t="s">
        <v>673</v>
      </c>
      <c r="C6150">
        <v>545</v>
      </c>
      <c r="D6150">
        <v>519</v>
      </c>
      <c r="E6150">
        <v>1576896284</v>
      </c>
      <c r="F6150">
        <v>6396</v>
      </c>
      <c r="G6150">
        <v>0</v>
      </c>
      <c r="H6150" t="s">
        <v>11069</v>
      </c>
      <c r="I6150">
        <v>6945</v>
      </c>
      <c r="J6150" t="str">
        <f>VLOOKUP(E6150,DSSpieler!A:B,2,FALSE)</f>
        <v>XHighOwnX</v>
      </c>
    </row>
    <row r="6151" spans="1:10" x14ac:dyDescent="0.25">
      <c r="A6151">
        <v>6946</v>
      </c>
      <c r="B6151" t="s">
        <v>673</v>
      </c>
      <c r="C6151">
        <v>400</v>
      </c>
      <c r="D6151">
        <v>492</v>
      </c>
      <c r="E6151">
        <v>1577097018</v>
      </c>
      <c r="F6151">
        <v>5866</v>
      </c>
      <c r="G6151">
        <v>0</v>
      </c>
      <c r="H6151" t="s">
        <v>11070</v>
      </c>
      <c r="I6151">
        <v>6946</v>
      </c>
      <c r="J6151" t="str">
        <f>VLOOKUP(E6151,DSSpieler!A:B,2,FALSE)</f>
        <v>DerderohneRammenkommt</v>
      </c>
    </row>
    <row r="6152" spans="1:10" x14ac:dyDescent="0.25">
      <c r="A6152">
        <v>6948</v>
      </c>
      <c r="B6152" t="s">
        <v>531</v>
      </c>
      <c r="C6152">
        <v>455</v>
      </c>
      <c r="D6152">
        <v>568</v>
      </c>
      <c r="E6152">
        <v>0</v>
      </c>
      <c r="F6152">
        <v>282</v>
      </c>
      <c r="G6152">
        <v>0</v>
      </c>
      <c r="H6152" t="s">
        <v>11071</v>
      </c>
      <c r="I6152">
        <v>6948</v>
      </c>
      <c r="J6152" t="e">
        <f>VLOOKUP(E6152,DSSpieler!A:B,2,FALSE)</f>
        <v>#N/A</v>
      </c>
    </row>
    <row r="6153" spans="1:10" x14ac:dyDescent="0.25">
      <c r="A6153">
        <v>6949</v>
      </c>
      <c r="B6153" t="s">
        <v>33001</v>
      </c>
      <c r="C6153">
        <v>574</v>
      </c>
      <c r="D6153">
        <v>529</v>
      </c>
      <c r="E6153">
        <v>1577193234</v>
      </c>
      <c r="F6153">
        <v>4885</v>
      </c>
      <c r="G6153">
        <v>0</v>
      </c>
      <c r="H6153" t="s">
        <v>11072</v>
      </c>
      <c r="I6153">
        <v>6949</v>
      </c>
      <c r="J6153" t="str">
        <f>VLOOKUP(E6153,DSSpieler!A:B,2,FALSE)</f>
        <v>Gergl15</v>
      </c>
    </row>
    <row r="6154" spans="1:10" x14ac:dyDescent="0.25">
      <c r="A6154">
        <v>6950</v>
      </c>
      <c r="B6154" t="s">
        <v>33002</v>
      </c>
      <c r="C6154">
        <v>479</v>
      </c>
      <c r="D6154">
        <v>566</v>
      </c>
      <c r="E6154">
        <v>8610936</v>
      </c>
      <c r="F6154">
        <v>3138</v>
      </c>
      <c r="G6154">
        <v>0</v>
      </c>
      <c r="H6154" t="s">
        <v>11073</v>
      </c>
      <c r="I6154">
        <v>6950</v>
      </c>
      <c r="J6154" t="str">
        <f>VLOOKUP(E6154,DSSpieler!A:B,2,FALSE)</f>
        <v>*jacky chan*</v>
      </c>
    </row>
    <row r="6155" spans="1:10" x14ac:dyDescent="0.25">
      <c r="A6155">
        <v>6951</v>
      </c>
      <c r="B6155" t="s">
        <v>538</v>
      </c>
      <c r="C6155">
        <v>551</v>
      </c>
      <c r="D6155">
        <v>499</v>
      </c>
      <c r="E6155">
        <v>514223</v>
      </c>
      <c r="F6155">
        <v>4123</v>
      </c>
      <c r="G6155">
        <v>0</v>
      </c>
      <c r="H6155" t="s">
        <v>11074</v>
      </c>
      <c r="I6155">
        <v>6951</v>
      </c>
      <c r="J6155" t="str">
        <f>VLOOKUP(E6155,DSSpieler!A:B,2,FALSE)</f>
        <v>monno</v>
      </c>
    </row>
    <row r="6156" spans="1:10" x14ac:dyDescent="0.25">
      <c r="A6156">
        <v>6953</v>
      </c>
      <c r="B6156" t="s">
        <v>531</v>
      </c>
      <c r="C6156">
        <v>501</v>
      </c>
      <c r="D6156">
        <v>557</v>
      </c>
      <c r="E6156">
        <v>0</v>
      </c>
      <c r="F6156">
        <v>476</v>
      </c>
      <c r="G6156">
        <v>0</v>
      </c>
      <c r="H6156" t="s">
        <v>11075</v>
      </c>
      <c r="I6156">
        <v>6953</v>
      </c>
      <c r="J6156" t="e">
        <f>VLOOKUP(E6156,DSSpieler!A:B,2,FALSE)</f>
        <v>#N/A</v>
      </c>
    </row>
    <row r="6157" spans="1:10" x14ac:dyDescent="0.25">
      <c r="A6157">
        <v>6954</v>
      </c>
      <c r="B6157">
        <v>6</v>
      </c>
      <c r="C6157">
        <v>557</v>
      </c>
      <c r="D6157">
        <v>444</v>
      </c>
      <c r="E6157">
        <v>1577197919</v>
      </c>
      <c r="F6157">
        <v>3433</v>
      </c>
      <c r="G6157">
        <v>0</v>
      </c>
      <c r="H6157" t="s">
        <v>11076</v>
      </c>
      <c r="I6157">
        <v>6954</v>
      </c>
      <c r="J6157" t="str">
        <f>VLOOKUP(E6157,DSSpieler!A:B,2,FALSE)</f>
        <v>3RorR1</v>
      </c>
    </row>
    <row r="6158" spans="1:10" x14ac:dyDescent="0.25">
      <c r="A6158">
        <v>6955</v>
      </c>
      <c r="B6158" t="s">
        <v>31536</v>
      </c>
      <c r="C6158">
        <v>593</v>
      </c>
      <c r="D6158">
        <v>434</v>
      </c>
      <c r="E6158">
        <v>1577127638</v>
      </c>
      <c r="F6158">
        <v>6430</v>
      </c>
      <c r="G6158">
        <v>0</v>
      </c>
      <c r="H6158" t="s">
        <v>11077</v>
      </c>
      <c r="I6158">
        <v>6955</v>
      </c>
      <c r="J6158" t="str">
        <f>VLOOKUP(E6158,DSSpieler!A:B,2,FALSE)</f>
        <v>dirtymonkey</v>
      </c>
    </row>
    <row r="6159" spans="1:10" x14ac:dyDescent="0.25">
      <c r="A6159">
        <v>6956</v>
      </c>
      <c r="B6159" t="s">
        <v>531</v>
      </c>
      <c r="C6159">
        <v>564</v>
      </c>
      <c r="D6159">
        <v>585</v>
      </c>
      <c r="E6159">
        <v>0</v>
      </c>
      <c r="F6159">
        <v>942</v>
      </c>
      <c r="G6159">
        <v>0</v>
      </c>
      <c r="H6159" t="s">
        <v>11078</v>
      </c>
      <c r="I6159">
        <v>6956</v>
      </c>
      <c r="J6159" t="e">
        <f>VLOOKUP(E6159,DSSpieler!A:B,2,FALSE)</f>
        <v>#N/A</v>
      </c>
    </row>
    <row r="6160" spans="1:10" x14ac:dyDescent="0.25">
      <c r="A6160">
        <v>6957</v>
      </c>
      <c r="B6160" t="s">
        <v>1603</v>
      </c>
      <c r="C6160">
        <v>515</v>
      </c>
      <c r="D6160">
        <v>565</v>
      </c>
      <c r="E6160">
        <v>8318735</v>
      </c>
      <c r="F6160">
        <v>7084</v>
      </c>
      <c r="G6160">
        <v>0</v>
      </c>
      <c r="H6160" t="s">
        <v>11079</v>
      </c>
      <c r="I6160">
        <v>6957</v>
      </c>
      <c r="J6160">
        <f>VLOOKUP(E6160,DSSpieler!A:B,2,FALSE)</f>
        <v>5362</v>
      </c>
    </row>
    <row r="6161" spans="1:10" x14ac:dyDescent="0.25">
      <c r="A6161">
        <v>6959</v>
      </c>
      <c r="B6161" t="s">
        <v>33003</v>
      </c>
      <c r="C6161">
        <v>604</v>
      </c>
      <c r="D6161">
        <v>487</v>
      </c>
      <c r="E6161">
        <v>9814361</v>
      </c>
      <c r="F6161">
        <v>4602</v>
      </c>
      <c r="G6161">
        <v>0</v>
      </c>
      <c r="H6161" t="s">
        <v>11080</v>
      </c>
      <c r="I6161">
        <v>6959</v>
      </c>
      <c r="J6161" t="str">
        <f>VLOOKUP(E6161,DSSpieler!A:B,2,FALSE)</f>
        <v>Ursl</v>
      </c>
    </row>
    <row r="6162" spans="1:10" x14ac:dyDescent="0.25">
      <c r="A6162">
        <v>6960</v>
      </c>
      <c r="B6162" t="s">
        <v>531</v>
      </c>
      <c r="C6162">
        <v>433</v>
      </c>
      <c r="D6162">
        <v>567</v>
      </c>
      <c r="E6162">
        <v>0</v>
      </c>
      <c r="F6162">
        <v>214</v>
      </c>
      <c r="G6162">
        <v>0</v>
      </c>
      <c r="H6162" t="s">
        <v>11081</v>
      </c>
      <c r="I6162">
        <v>6960</v>
      </c>
      <c r="J6162" t="e">
        <f>VLOOKUP(E6162,DSSpieler!A:B,2,FALSE)</f>
        <v>#N/A</v>
      </c>
    </row>
    <row r="6163" spans="1:10" x14ac:dyDescent="0.25">
      <c r="A6163">
        <v>6961</v>
      </c>
      <c r="B6163" t="s">
        <v>546</v>
      </c>
      <c r="C6163">
        <v>507</v>
      </c>
      <c r="D6163">
        <v>459</v>
      </c>
      <c r="E6163">
        <v>1576944585</v>
      </c>
      <c r="F6163">
        <v>5753</v>
      </c>
      <c r="G6163">
        <v>0</v>
      </c>
      <c r="H6163" t="s">
        <v>11082</v>
      </c>
      <c r="I6163">
        <v>6961</v>
      </c>
      <c r="J6163" t="str">
        <f>VLOOKUP(E6163,DSSpieler!A:B,2,FALSE)</f>
        <v>KnallerXx</v>
      </c>
    </row>
    <row r="6164" spans="1:10" x14ac:dyDescent="0.25">
      <c r="A6164">
        <v>6962</v>
      </c>
      <c r="B6164" t="s">
        <v>33004</v>
      </c>
      <c r="C6164">
        <v>444</v>
      </c>
      <c r="D6164">
        <v>517</v>
      </c>
      <c r="E6164">
        <v>1577181814</v>
      </c>
      <c r="F6164">
        <v>5958</v>
      </c>
      <c r="G6164">
        <v>0</v>
      </c>
      <c r="H6164" t="s">
        <v>11083</v>
      </c>
      <c r="I6164">
        <v>6962</v>
      </c>
      <c r="J6164" t="str">
        <f>VLOOKUP(E6164,DSSpieler!A:B,2,FALSE)</f>
        <v>jack.daniels</v>
      </c>
    </row>
    <row r="6165" spans="1:10" x14ac:dyDescent="0.25">
      <c r="A6165">
        <v>6963</v>
      </c>
      <c r="B6165" t="s">
        <v>33005</v>
      </c>
      <c r="C6165">
        <v>478</v>
      </c>
      <c r="D6165">
        <v>470</v>
      </c>
      <c r="E6165">
        <v>1576027028</v>
      </c>
      <c r="F6165">
        <v>5110</v>
      </c>
      <c r="G6165">
        <v>0</v>
      </c>
      <c r="H6165" t="s">
        <v>11084</v>
      </c>
      <c r="I6165">
        <v>6963</v>
      </c>
      <c r="J6165" t="str">
        <f>VLOOKUP(E6165,DSSpieler!A:B,2,FALSE)</f>
        <v>vkvipper1</v>
      </c>
    </row>
    <row r="6166" spans="1:10" x14ac:dyDescent="0.25">
      <c r="A6166">
        <v>6964</v>
      </c>
      <c r="B6166" t="s">
        <v>531</v>
      </c>
      <c r="C6166">
        <v>557</v>
      </c>
      <c r="D6166">
        <v>500</v>
      </c>
      <c r="E6166">
        <v>0</v>
      </c>
      <c r="F6166">
        <v>222</v>
      </c>
      <c r="G6166">
        <v>0</v>
      </c>
      <c r="H6166" t="s">
        <v>11085</v>
      </c>
      <c r="I6166">
        <v>6964</v>
      </c>
      <c r="J6166" t="e">
        <f>VLOOKUP(E6166,DSSpieler!A:B,2,FALSE)</f>
        <v>#N/A</v>
      </c>
    </row>
    <row r="6167" spans="1:10" x14ac:dyDescent="0.25">
      <c r="A6167">
        <v>6965</v>
      </c>
      <c r="B6167" t="s">
        <v>33006</v>
      </c>
      <c r="C6167">
        <v>443</v>
      </c>
      <c r="D6167">
        <v>525</v>
      </c>
      <c r="E6167">
        <v>9646096</v>
      </c>
      <c r="F6167">
        <v>5976</v>
      </c>
      <c r="G6167">
        <v>0</v>
      </c>
      <c r="H6167" t="s">
        <v>11086</v>
      </c>
      <c r="I6167">
        <v>6965</v>
      </c>
      <c r="J6167" t="str">
        <f>VLOOKUP(E6167,DSSpieler!A:B,2,FALSE)</f>
        <v>GapG21</v>
      </c>
    </row>
    <row r="6168" spans="1:10" x14ac:dyDescent="0.25">
      <c r="A6168">
        <v>6966</v>
      </c>
      <c r="B6168" t="s">
        <v>1604</v>
      </c>
      <c r="C6168">
        <v>485</v>
      </c>
      <c r="D6168">
        <v>574</v>
      </c>
      <c r="E6168">
        <v>3107331</v>
      </c>
      <c r="F6168">
        <v>4362</v>
      </c>
      <c r="G6168">
        <v>0</v>
      </c>
      <c r="H6168" t="s">
        <v>11087</v>
      </c>
      <c r="I6168">
        <v>6966</v>
      </c>
      <c r="J6168" t="str">
        <f>VLOOKUP(E6168,DSSpieler!A:B,2,FALSE)</f>
        <v>hallo-gisela</v>
      </c>
    </row>
    <row r="6169" spans="1:10" x14ac:dyDescent="0.25">
      <c r="A6169">
        <v>6967</v>
      </c>
      <c r="B6169" t="s">
        <v>531</v>
      </c>
      <c r="C6169">
        <v>459</v>
      </c>
      <c r="D6169">
        <v>481</v>
      </c>
      <c r="E6169">
        <v>0</v>
      </c>
      <c r="F6169">
        <v>436</v>
      </c>
      <c r="G6169">
        <v>0</v>
      </c>
      <c r="H6169" t="s">
        <v>11088</v>
      </c>
      <c r="I6169">
        <v>6967</v>
      </c>
      <c r="J6169" t="e">
        <f>VLOOKUP(E6169,DSSpieler!A:B,2,FALSE)</f>
        <v>#N/A</v>
      </c>
    </row>
    <row r="6170" spans="1:10" x14ac:dyDescent="0.25">
      <c r="A6170">
        <v>6968</v>
      </c>
      <c r="B6170" t="s">
        <v>31351</v>
      </c>
      <c r="C6170">
        <v>517</v>
      </c>
      <c r="D6170">
        <v>455</v>
      </c>
      <c r="E6170">
        <v>9281141</v>
      </c>
      <c r="F6170">
        <v>5341</v>
      </c>
      <c r="G6170">
        <v>0</v>
      </c>
      <c r="H6170" t="s">
        <v>11089</v>
      </c>
      <c r="I6170">
        <v>6968</v>
      </c>
      <c r="J6170" t="str">
        <f>VLOOKUP(E6170,DSSpieler!A:B,2,FALSE)</f>
        <v>B4ShM4ST3R</v>
      </c>
    </row>
    <row r="6171" spans="1:10" x14ac:dyDescent="0.25">
      <c r="A6171">
        <v>6969</v>
      </c>
      <c r="B6171" t="s">
        <v>782</v>
      </c>
      <c r="C6171">
        <v>474</v>
      </c>
      <c r="D6171">
        <v>603</v>
      </c>
      <c r="E6171">
        <v>1577180871</v>
      </c>
      <c r="F6171">
        <v>6458</v>
      </c>
      <c r="G6171">
        <v>0</v>
      </c>
      <c r="H6171" t="s">
        <v>11090</v>
      </c>
      <c r="I6171">
        <v>6969</v>
      </c>
      <c r="J6171" t="str">
        <f>VLOOKUP(E6171,DSSpieler!A:B,2,FALSE)</f>
        <v>T0TI</v>
      </c>
    </row>
    <row r="6172" spans="1:10" x14ac:dyDescent="0.25">
      <c r="A6172">
        <v>6970</v>
      </c>
      <c r="B6172" t="s">
        <v>531</v>
      </c>
      <c r="C6172">
        <v>573</v>
      </c>
      <c r="D6172">
        <v>534</v>
      </c>
      <c r="E6172">
        <v>0</v>
      </c>
      <c r="F6172">
        <v>289</v>
      </c>
      <c r="G6172">
        <v>0</v>
      </c>
      <c r="H6172" t="s">
        <v>11091</v>
      </c>
      <c r="I6172">
        <v>6970</v>
      </c>
      <c r="J6172" t="e">
        <f>VLOOKUP(E6172,DSSpieler!A:B,2,FALSE)</f>
        <v>#N/A</v>
      </c>
    </row>
    <row r="6173" spans="1:10" x14ac:dyDescent="0.25">
      <c r="A6173">
        <v>6971</v>
      </c>
      <c r="B6173" t="s">
        <v>1605</v>
      </c>
      <c r="C6173">
        <v>471</v>
      </c>
      <c r="D6173">
        <v>449</v>
      </c>
      <c r="E6173">
        <v>1577157405</v>
      </c>
      <c r="F6173">
        <v>5451</v>
      </c>
      <c r="G6173">
        <v>0</v>
      </c>
      <c r="H6173" t="s">
        <v>11092</v>
      </c>
      <c r="I6173">
        <v>6971</v>
      </c>
      <c r="J6173" t="str">
        <f>VLOOKUP(E6173,DSSpieler!A:B,2,FALSE)</f>
        <v>dadalu199</v>
      </c>
    </row>
    <row r="6174" spans="1:10" x14ac:dyDescent="0.25">
      <c r="A6174">
        <v>6972</v>
      </c>
      <c r="B6174" t="s">
        <v>33007</v>
      </c>
      <c r="C6174">
        <v>602</v>
      </c>
      <c r="D6174">
        <v>468</v>
      </c>
      <c r="E6174">
        <v>8187043</v>
      </c>
      <c r="F6174">
        <v>3703</v>
      </c>
      <c r="G6174">
        <v>0</v>
      </c>
      <c r="H6174" t="s">
        <v>11093</v>
      </c>
      <c r="I6174">
        <v>6972</v>
      </c>
      <c r="J6174" t="str">
        <f>VLOOKUP(E6174,DSSpieler!A:B,2,FALSE)</f>
        <v>dullus</v>
      </c>
    </row>
    <row r="6175" spans="1:10" x14ac:dyDescent="0.25">
      <c r="A6175">
        <v>6973</v>
      </c>
      <c r="B6175" t="s">
        <v>531</v>
      </c>
      <c r="C6175">
        <v>491</v>
      </c>
      <c r="D6175">
        <v>489</v>
      </c>
      <c r="E6175">
        <v>0</v>
      </c>
      <c r="F6175">
        <v>244</v>
      </c>
      <c r="G6175">
        <v>0</v>
      </c>
      <c r="H6175" t="s">
        <v>11094</v>
      </c>
      <c r="I6175">
        <v>6973</v>
      </c>
      <c r="J6175" t="e">
        <f>VLOOKUP(E6175,DSSpieler!A:B,2,FALSE)</f>
        <v>#N/A</v>
      </c>
    </row>
    <row r="6176" spans="1:10" x14ac:dyDescent="0.25">
      <c r="A6176">
        <v>6974</v>
      </c>
      <c r="B6176" t="s">
        <v>531</v>
      </c>
      <c r="C6176">
        <v>429</v>
      </c>
      <c r="D6176">
        <v>434</v>
      </c>
      <c r="E6176">
        <v>0</v>
      </c>
      <c r="F6176">
        <v>526</v>
      </c>
      <c r="G6176">
        <v>0</v>
      </c>
      <c r="H6176" t="s">
        <v>11095</v>
      </c>
      <c r="I6176">
        <v>6974</v>
      </c>
      <c r="J6176" t="e">
        <f>VLOOKUP(E6176,DSSpieler!A:B,2,FALSE)</f>
        <v>#N/A</v>
      </c>
    </row>
    <row r="6177" spans="1:10" x14ac:dyDescent="0.25">
      <c r="A6177">
        <v>6975</v>
      </c>
      <c r="B6177" t="s">
        <v>33008</v>
      </c>
      <c r="C6177">
        <v>532</v>
      </c>
      <c r="D6177">
        <v>454</v>
      </c>
      <c r="E6177">
        <v>9693466</v>
      </c>
      <c r="F6177">
        <v>7164</v>
      </c>
      <c r="G6177">
        <v>0</v>
      </c>
      <c r="H6177" t="s">
        <v>11096</v>
      </c>
      <c r="I6177">
        <v>6975</v>
      </c>
      <c r="J6177" t="str">
        <f>VLOOKUP(E6177,DSSpieler!A:B,2,FALSE)</f>
        <v>LordNos</v>
      </c>
    </row>
    <row r="6178" spans="1:10" x14ac:dyDescent="0.25">
      <c r="A6178">
        <v>6976</v>
      </c>
      <c r="B6178" t="s">
        <v>1606</v>
      </c>
      <c r="C6178">
        <v>555</v>
      </c>
      <c r="D6178">
        <v>444</v>
      </c>
      <c r="E6178">
        <v>1577184716</v>
      </c>
      <c r="F6178">
        <v>3623</v>
      </c>
      <c r="G6178">
        <v>0</v>
      </c>
      <c r="H6178" t="s">
        <v>11097</v>
      </c>
      <c r="I6178">
        <v>6976</v>
      </c>
      <c r="J6178" t="str">
        <f>VLOOKUP(E6178,DSSpieler!A:B,2,FALSE)</f>
        <v>timbo322</v>
      </c>
    </row>
    <row r="6179" spans="1:10" x14ac:dyDescent="0.25">
      <c r="A6179">
        <v>6977</v>
      </c>
      <c r="B6179">
        <v>3</v>
      </c>
      <c r="C6179">
        <v>515</v>
      </c>
      <c r="D6179">
        <v>490</v>
      </c>
      <c r="E6179">
        <v>1577193798</v>
      </c>
      <c r="F6179">
        <v>1280</v>
      </c>
      <c r="G6179">
        <v>0</v>
      </c>
      <c r="H6179" t="s">
        <v>11098</v>
      </c>
      <c r="I6179">
        <v>6977</v>
      </c>
      <c r="J6179" t="str">
        <f>VLOOKUP(E6179,DSSpieler!A:B,2,FALSE)</f>
        <v>Fenerium</v>
      </c>
    </row>
    <row r="6180" spans="1:10" x14ac:dyDescent="0.25">
      <c r="A6180">
        <v>6978</v>
      </c>
      <c r="B6180" t="s">
        <v>33009</v>
      </c>
      <c r="C6180">
        <v>443</v>
      </c>
      <c r="D6180">
        <v>546</v>
      </c>
      <c r="E6180">
        <v>1577185062</v>
      </c>
      <c r="F6180">
        <v>5615</v>
      </c>
      <c r="G6180">
        <v>0</v>
      </c>
      <c r="H6180" t="s">
        <v>11099</v>
      </c>
      <c r="I6180">
        <v>6978</v>
      </c>
      <c r="J6180" t="str">
        <f>VLOOKUP(E6180,DSSpieler!A:B,2,FALSE)</f>
        <v>Lardshe</v>
      </c>
    </row>
    <row r="6181" spans="1:10" x14ac:dyDescent="0.25">
      <c r="A6181">
        <v>6979</v>
      </c>
      <c r="B6181" t="s">
        <v>531</v>
      </c>
      <c r="C6181">
        <v>470</v>
      </c>
      <c r="D6181">
        <v>545</v>
      </c>
      <c r="E6181">
        <v>0</v>
      </c>
      <c r="F6181">
        <v>322</v>
      </c>
      <c r="G6181">
        <v>0</v>
      </c>
      <c r="H6181" t="s">
        <v>11100</v>
      </c>
      <c r="I6181">
        <v>6979</v>
      </c>
      <c r="J6181" t="e">
        <f>VLOOKUP(E6181,DSSpieler!A:B,2,FALSE)</f>
        <v>#N/A</v>
      </c>
    </row>
    <row r="6182" spans="1:10" x14ac:dyDescent="0.25">
      <c r="A6182">
        <v>6980</v>
      </c>
      <c r="B6182" t="s">
        <v>33010</v>
      </c>
      <c r="C6182">
        <v>508</v>
      </c>
      <c r="D6182">
        <v>502</v>
      </c>
      <c r="E6182">
        <v>1576495333</v>
      </c>
      <c r="F6182">
        <v>5696</v>
      </c>
      <c r="G6182">
        <v>0</v>
      </c>
      <c r="H6182" t="s">
        <v>11101</v>
      </c>
      <c r="I6182">
        <v>6980</v>
      </c>
      <c r="J6182" t="str">
        <f>VLOOKUP(E6182,DSSpieler!A:B,2,FALSE)</f>
        <v>Michakopter</v>
      </c>
    </row>
    <row r="6183" spans="1:10" x14ac:dyDescent="0.25">
      <c r="A6183">
        <v>6983</v>
      </c>
      <c r="B6183" t="s">
        <v>531</v>
      </c>
      <c r="C6183">
        <v>480</v>
      </c>
      <c r="D6183">
        <v>534</v>
      </c>
      <c r="E6183">
        <v>9766429</v>
      </c>
      <c r="F6183">
        <v>604</v>
      </c>
      <c r="G6183">
        <v>0</v>
      </c>
      <c r="H6183" t="s">
        <v>11102</v>
      </c>
      <c r="I6183">
        <v>6983</v>
      </c>
      <c r="J6183" t="str">
        <f>VLOOKUP(E6183,DSSpieler!A:B,2,FALSE)</f>
        <v>Roger1313</v>
      </c>
    </row>
    <row r="6184" spans="1:10" x14ac:dyDescent="0.25">
      <c r="A6184">
        <v>6984</v>
      </c>
      <c r="B6184" t="s">
        <v>33011</v>
      </c>
      <c r="C6184">
        <v>543</v>
      </c>
      <c r="D6184">
        <v>582</v>
      </c>
      <c r="E6184">
        <v>9742133</v>
      </c>
      <c r="F6184">
        <v>7388</v>
      </c>
      <c r="G6184">
        <v>0</v>
      </c>
      <c r="H6184" t="s">
        <v>11103</v>
      </c>
      <c r="I6184">
        <v>6984</v>
      </c>
      <c r="J6184" t="str">
        <f>VLOOKUP(E6184,DSSpieler!A:B,2,FALSE)</f>
        <v>Pvt.First</v>
      </c>
    </row>
    <row r="6185" spans="1:10" x14ac:dyDescent="0.25">
      <c r="A6185">
        <v>6985</v>
      </c>
      <c r="B6185" t="s">
        <v>1607</v>
      </c>
      <c r="C6185">
        <v>595</v>
      </c>
      <c r="D6185">
        <v>488</v>
      </c>
      <c r="E6185">
        <v>1576604234</v>
      </c>
      <c r="F6185">
        <v>892</v>
      </c>
      <c r="G6185">
        <v>0</v>
      </c>
      <c r="H6185" t="s">
        <v>11104</v>
      </c>
      <c r="I6185">
        <v>6985</v>
      </c>
      <c r="J6185" t="str">
        <f>VLOOKUP(E6185,DSSpieler!A:B,2,FALSE)</f>
        <v>Gods Angel79</v>
      </c>
    </row>
    <row r="6186" spans="1:10" x14ac:dyDescent="0.25">
      <c r="A6186">
        <v>6986</v>
      </c>
      <c r="B6186" t="s">
        <v>33012</v>
      </c>
      <c r="C6186">
        <v>515</v>
      </c>
      <c r="D6186">
        <v>560</v>
      </c>
      <c r="E6186">
        <v>8342200</v>
      </c>
      <c r="F6186">
        <v>7305</v>
      </c>
      <c r="G6186">
        <v>0</v>
      </c>
      <c r="H6186" t="s">
        <v>11105</v>
      </c>
      <c r="I6186">
        <v>6986</v>
      </c>
      <c r="J6186" t="str">
        <f>VLOOKUP(E6186,DSSpieler!A:B,2,FALSE)</f>
        <v>Boboboba</v>
      </c>
    </row>
    <row r="6187" spans="1:10" x14ac:dyDescent="0.25">
      <c r="A6187">
        <v>6987</v>
      </c>
      <c r="B6187" t="s">
        <v>780</v>
      </c>
      <c r="C6187">
        <v>560</v>
      </c>
      <c r="D6187">
        <v>575</v>
      </c>
      <c r="E6187">
        <v>1577197756</v>
      </c>
      <c r="F6187">
        <v>4947</v>
      </c>
      <c r="G6187">
        <v>0</v>
      </c>
      <c r="H6187" t="s">
        <v>11106</v>
      </c>
      <c r="I6187">
        <v>6987</v>
      </c>
      <c r="J6187" t="str">
        <f>VLOOKUP(E6187,DSSpieler!A:B,2,FALSE)</f>
        <v>TyL3R DuRd3N</v>
      </c>
    </row>
    <row r="6188" spans="1:10" x14ac:dyDescent="0.25">
      <c r="A6188">
        <v>6988</v>
      </c>
      <c r="B6188" t="s">
        <v>531</v>
      </c>
      <c r="C6188">
        <v>543</v>
      </c>
      <c r="D6188">
        <v>464</v>
      </c>
      <c r="E6188">
        <v>0</v>
      </c>
      <c r="F6188">
        <v>482</v>
      </c>
      <c r="G6188">
        <v>0</v>
      </c>
      <c r="H6188" t="s">
        <v>11107</v>
      </c>
      <c r="I6188">
        <v>6988</v>
      </c>
      <c r="J6188" t="e">
        <f>VLOOKUP(E6188,DSSpieler!A:B,2,FALSE)</f>
        <v>#N/A</v>
      </c>
    </row>
    <row r="6189" spans="1:10" x14ac:dyDescent="0.25">
      <c r="A6189">
        <v>6990</v>
      </c>
      <c r="B6189" t="s">
        <v>33013</v>
      </c>
      <c r="C6189">
        <v>570</v>
      </c>
      <c r="D6189">
        <v>515</v>
      </c>
      <c r="E6189">
        <v>1576969873</v>
      </c>
      <c r="F6189">
        <v>5688</v>
      </c>
      <c r="G6189">
        <v>0</v>
      </c>
      <c r="H6189" t="s">
        <v>11108</v>
      </c>
      <c r="I6189">
        <v>6990</v>
      </c>
      <c r="J6189" t="str">
        <f>VLOOKUP(E6189,DSSpieler!A:B,2,FALSE)</f>
        <v>Spachris</v>
      </c>
    </row>
    <row r="6190" spans="1:10" x14ac:dyDescent="0.25">
      <c r="A6190">
        <v>6991</v>
      </c>
      <c r="B6190" t="s">
        <v>1092</v>
      </c>
      <c r="C6190">
        <v>492</v>
      </c>
      <c r="D6190">
        <v>580</v>
      </c>
      <c r="E6190">
        <v>1576918886</v>
      </c>
      <c r="F6190">
        <v>6485</v>
      </c>
      <c r="G6190">
        <v>0</v>
      </c>
      <c r="H6190" t="s">
        <v>11109</v>
      </c>
      <c r="I6190">
        <v>6991</v>
      </c>
      <c r="J6190" t="str">
        <f>VLOOKUP(E6190,DSSpieler!A:B,2,FALSE)</f>
        <v>tuete1</v>
      </c>
    </row>
    <row r="6191" spans="1:10" x14ac:dyDescent="0.25">
      <c r="A6191">
        <v>6992</v>
      </c>
      <c r="B6191" t="s">
        <v>33014</v>
      </c>
      <c r="C6191">
        <v>489</v>
      </c>
      <c r="D6191">
        <v>422</v>
      </c>
      <c r="E6191">
        <v>9318560</v>
      </c>
      <c r="F6191">
        <v>1304</v>
      </c>
      <c r="G6191">
        <v>0</v>
      </c>
      <c r="H6191" t="s">
        <v>11110</v>
      </c>
      <c r="I6191">
        <v>6992</v>
      </c>
      <c r="J6191" t="str">
        <f>VLOOKUP(E6191,DSSpieler!A:B,2,FALSE)</f>
        <v>Melkin</v>
      </c>
    </row>
    <row r="6192" spans="1:10" x14ac:dyDescent="0.25">
      <c r="A6192">
        <v>6993</v>
      </c>
      <c r="B6192" t="s">
        <v>33015</v>
      </c>
      <c r="C6192">
        <v>444</v>
      </c>
      <c r="D6192">
        <v>422</v>
      </c>
      <c r="E6192">
        <v>1576950154</v>
      </c>
      <c r="F6192">
        <v>5424</v>
      </c>
      <c r="G6192">
        <v>0</v>
      </c>
      <c r="H6192" t="s">
        <v>11111</v>
      </c>
      <c r="I6192">
        <v>6993</v>
      </c>
      <c r="J6192" t="str">
        <f>VLOOKUP(E6192,DSSpieler!A:B,2,FALSE)</f>
        <v>Lord Burnsens</v>
      </c>
    </row>
    <row r="6193" spans="1:10" x14ac:dyDescent="0.25">
      <c r="A6193">
        <v>6994</v>
      </c>
      <c r="B6193" t="s">
        <v>33016</v>
      </c>
      <c r="C6193">
        <v>473</v>
      </c>
      <c r="D6193">
        <v>486</v>
      </c>
      <c r="E6193">
        <v>1576472084</v>
      </c>
      <c r="F6193">
        <v>4031</v>
      </c>
      <c r="G6193">
        <v>0</v>
      </c>
      <c r="H6193" t="s">
        <v>11112</v>
      </c>
      <c r="I6193">
        <v>6994</v>
      </c>
      <c r="J6193" t="str">
        <f>VLOOKUP(E6193,DSSpieler!A:B,2,FALSE)</f>
        <v>War2014</v>
      </c>
    </row>
    <row r="6194" spans="1:10" x14ac:dyDescent="0.25">
      <c r="A6194">
        <v>6995</v>
      </c>
      <c r="B6194" t="s">
        <v>531</v>
      </c>
      <c r="C6194">
        <v>469</v>
      </c>
      <c r="D6194">
        <v>566</v>
      </c>
      <c r="E6194">
        <v>0</v>
      </c>
      <c r="F6194">
        <v>394</v>
      </c>
      <c r="G6194">
        <v>0</v>
      </c>
      <c r="H6194" t="s">
        <v>11113</v>
      </c>
      <c r="I6194">
        <v>6995</v>
      </c>
      <c r="J6194" t="e">
        <f>VLOOKUP(E6194,DSSpieler!A:B,2,FALSE)</f>
        <v>#N/A</v>
      </c>
    </row>
    <row r="6195" spans="1:10" x14ac:dyDescent="0.25">
      <c r="A6195">
        <v>6996</v>
      </c>
      <c r="B6195" t="s">
        <v>33017</v>
      </c>
      <c r="C6195">
        <v>535</v>
      </c>
      <c r="D6195">
        <v>544</v>
      </c>
      <c r="E6195">
        <v>205615</v>
      </c>
      <c r="F6195">
        <v>4786</v>
      </c>
      <c r="G6195">
        <v>0</v>
      </c>
      <c r="H6195" t="s">
        <v>11114</v>
      </c>
      <c r="I6195">
        <v>6996</v>
      </c>
      <c r="J6195" t="str">
        <f>VLOOKUP(E6195,DSSpieler!A:B,2,FALSE)</f>
        <v>hubeno</v>
      </c>
    </row>
    <row r="6196" spans="1:10" x14ac:dyDescent="0.25">
      <c r="A6196">
        <v>6997</v>
      </c>
      <c r="B6196" t="s">
        <v>33018</v>
      </c>
      <c r="C6196">
        <v>433</v>
      </c>
      <c r="D6196">
        <v>510</v>
      </c>
      <c r="E6196">
        <v>1576920379</v>
      </c>
      <c r="F6196">
        <v>4687</v>
      </c>
      <c r="G6196">
        <v>0</v>
      </c>
      <c r="H6196" t="s">
        <v>11115</v>
      </c>
      <c r="I6196">
        <v>6997</v>
      </c>
      <c r="J6196" t="str">
        <f>VLOOKUP(E6196,DSSpieler!A:B,2,FALSE)</f>
        <v>holydevil9</v>
      </c>
    </row>
    <row r="6197" spans="1:10" x14ac:dyDescent="0.25">
      <c r="A6197">
        <v>6998</v>
      </c>
      <c r="B6197" t="s">
        <v>531</v>
      </c>
      <c r="C6197">
        <v>437</v>
      </c>
      <c r="D6197">
        <v>511</v>
      </c>
      <c r="E6197">
        <v>0</v>
      </c>
      <c r="F6197">
        <v>264</v>
      </c>
      <c r="G6197">
        <v>0</v>
      </c>
      <c r="H6197" t="s">
        <v>11116</v>
      </c>
      <c r="I6197">
        <v>6998</v>
      </c>
      <c r="J6197" t="e">
        <f>VLOOKUP(E6197,DSSpieler!A:B,2,FALSE)</f>
        <v>#N/A</v>
      </c>
    </row>
    <row r="6198" spans="1:10" x14ac:dyDescent="0.25">
      <c r="A6198">
        <v>6999</v>
      </c>
      <c r="B6198" t="s">
        <v>765</v>
      </c>
      <c r="C6198">
        <v>519</v>
      </c>
      <c r="D6198">
        <v>423</v>
      </c>
      <c r="E6198">
        <v>1576600402</v>
      </c>
      <c r="F6198">
        <v>3554</v>
      </c>
      <c r="G6198">
        <v>0</v>
      </c>
      <c r="H6198" t="s">
        <v>11117</v>
      </c>
      <c r="I6198">
        <v>6999</v>
      </c>
      <c r="J6198" t="str">
        <f>VLOOKUP(E6198,DSSpieler!A:B,2,FALSE)</f>
        <v>DEgatRon</v>
      </c>
    </row>
    <row r="6199" spans="1:10" x14ac:dyDescent="0.25">
      <c r="A6199">
        <v>7000</v>
      </c>
      <c r="B6199" t="s">
        <v>33019</v>
      </c>
      <c r="C6199">
        <v>499</v>
      </c>
      <c r="D6199">
        <v>430</v>
      </c>
      <c r="E6199">
        <v>1577123713</v>
      </c>
      <c r="F6199">
        <v>5725</v>
      </c>
      <c r="G6199">
        <v>0</v>
      </c>
      <c r="H6199" t="s">
        <v>11118</v>
      </c>
      <c r="I6199">
        <v>7000</v>
      </c>
      <c r="J6199" t="str">
        <f>VLOOKUP(E6199,DSSpieler!A:B,2,FALSE)</f>
        <v>Spukulus</v>
      </c>
    </row>
    <row r="6200" spans="1:10" x14ac:dyDescent="0.25">
      <c r="A6200">
        <v>7001</v>
      </c>
      <c r="B6200" t="s">
        <v>531</v>
      </c>
      <c r="C6200">
        <v>452</v>
      </c>
      <c r="D6200">
        <v>561</v>
      </c>
      <c r="E6200">
        <v>0</v>
      </c>
      <c r="F6200">
        <v>649</v>
      </c>
      <c r="G6200">
        <v>0</v>
      </c>
      <c r="H6200" t="s">
        <v>11119</v>
      </c>
      <c r="I6200">
        <v>7001</v>
      </c>
      <c r="J6200" t="e">
        <f>VLOOKUP(E6200,DSSpieler!A:B,2,FALSE)</f>
        <v>#N/A</v>
      </c>
    </row>
    <row r="6201" spans="1:10" x14ac:dyDescent="0.25">
      <c r="A6201">
        <v>7002</v>
      </c>
      <c r="B6201" t="s">
        <v>33020</v>
      </c>
      <c r="C6201">
        <v>475</v>
      </c>
      <c r="D6201">
        <v>426</v>
      </c>
      <c r="E6201">
        <v>1577068691</v>
      </c>
      <c r="F6201">
        <v>3174</v>
      </c>
      <c r="G6201">
        <v>0</v>
      </c>
      <c r="H6201" t="s">
        <v>11120</v>
      </c>
      <c r="I6201">
        <v>7002</v>
      </c>
      <c r="J6201" t="str">
        <f>VLOOKUP(E6201,DSSpieler!A:B,2,FALSE)</f>
        <v>Schattensoul</v>
      </c>
    </row>
    <row r="6202" spans="1:10" x14ac:dyDescent="0.25">
      <c r="A6202">
        <v>7003</v>
      </c>
      <c r="B6202" t="s">
        <v>780</v>
      </c>
      <c r="C6202">
        <v>598</v>
      </c>
      <c r="D6202">
        <v>514</v>
      </c>
      <c r="E6202">
        <v>1577195219</v>
      </c>
      <c r="F6202">
        <v>6025</v>
      </c>
      <c r="G6202">
        <v>0</v>
      </c>
      <c r="H6202" t="s">
        <v>11121</v>
      </c>
      <c r="I6202">
        <v>7003</v>
      </c>
      <c r="J6202" t="str">
        <f>VLOOKUP(E6202,DSSpieler!A:B,2,FALSE)</f>
        <v>Eric Cartman</v>
      </c>
    </row>
    <row r="6203" spans="1:10" x14ac:dyDescent="0.25">
      <c r="A6203">
        <v>7004</v>
      </c>
      <c r="B6203" t="s">
        <v>546</v>
      </c>
      <c r="C6203">
        <v>504</v>
      </c>
      <c r="D6203">
        <v>459</v>
      </c>
      <c r="E6203">
        <v>1576944585</v>
      </c>
      <c r="F6203">
        <v>6284</v>
      </c>
      <c r="G6203">
        <v>0</v>
      </c>
      <c r="H6203" t="s">
        <v>11122</v>
      </c>
      <c r="I6203">
        <v>7004</v>
      </c>
      <c r="J6203" t="str">
        <f>VLOOKUP(E6203,DSSpieler!A:B,2,FALSE)</f>
        <v>KnallerXx</v>
      </c>
    </row>
    <row r="6204" spans="1:10" x14ac:dyDescent="0.25">
      <c r="A6204">
        <v>7005</v>
      </c>
      <c r="B6204" t="s">
        <v>33021</v>
      </c>
      <c r="C6204">
        <v>470</v>
      </c>
      <c r="D6204">
        <v>597</v>
      </c>
      <c r="E6204">
        <v>1576181692</v>
      </c>
      <c r="F6204">
        <v>6346</v>
      </c>
      <c r="G6204">
        <v>0</v>
      </c>
      <c r="H6204" t="s">
        <v>11123</v>
      </c>
      <c r="I6204">
        <v>7005</v>
      </c>
      <c r="J6204" t="str">
        <f>VLOOKUP(E6204,DSSpieler!A:B,2,FALSE)</f>
        <v>Branterra der Große</v>
      </c>
    </row>
    <row r="6205" spans="1:10" x14ac:dyDescent="0.25">
      <c r="A6205">
        <v>7006</v>
      </c>
      <c r="B6205" t="s">
        <v>531</v>
      </c>
      <c r="C6205">
        <v>525</v>
      </c>
      <c r="D6205">
        <v>448</v>
      </c>
      <c r="E6205">
        <v>0</v>
      </c>
      <c r="F6205">
        <v>1435</v>
      </c>
      <c r="G6205">
        <v>0</v>
      </c>
      <c r="H6205" t="s">
        <v>11124</v>
      </c>
      <c r="I6205">
        <v>7006</v>
      </c>
      <c r="J6205" t="e">
        <f>VLOOKUP(E6205,DSSpieler!A:B,2,FALSE)</f>
        <v>#N/A</v>
      </c>
    </row>
    <row r="6206" spans="1:10" x14ac:dyDescent="0.25">
      <c r="A6206">
        <v>7007</v>
      </c>
      <c r="B6206">
        <v>3</v>
      </c>
      <c r="C6206">
        <v>441</v>
      </c>
      <c r="D6206">
        <v>478</v>
      </c>
      <c r="E6206">
        <v>9985386</v>
      </c>
      <c r="F6206">
        <v>3361</v>
      </c>
      <c r="G6206">
        <v>0</v>
      </c>
      <c r="H6206" t="s">
        <v>11125</v>
      </c>
      <c r="I6206">
        <v>7007</v>
      </c>
      <c r="J6206" t="str">
        <f>VLOOKUP(E6206,DSSpieler!A:B,2,FALSE)</f>
        <v>Lord PrinzPI</v>
      </c>
    </row>
    <row r="6207" spans="1:10" x14ac:dyDescent="0.25">
      <c r="A6207">
        <v>7008</v>
      </c>
      <c r="B6207" t="s">
        <v>33022</v>
      </c>
      <c r="C6207">
        <v>507</v>
      </c>
      <c r="D6207">
        <v>506</v>
      </c>
      <c r="E6207">
        <v>1576079298</v>
      </c>
      <c r="F6207">
        <v>4249</v>
      </c>
      <c r="G6207">
        <v>0</v>
      </c>
      <c r="H6207" t="s">
        <v>11126</v>
      </c>
      <c r="I6207">
        <v>7008</v>
      </c>
      <c r="J6207" t="str">
        <f>VLOOKUP(E6207,DSSpieler!A:B,2,FALSE)</f>
        <v>TEDx</v>
      </c>
    </row>
    <row r="6208" spans="1:10" x14ac:dyDescent="0.25">
      <c r="A6208">
        <v>7009</v>
      </c>
      <c r="B6208" t="s">
        <v>531</v>
      </c>
      <c r="C6208">
        <v>436</v>
      </c>
      <c r="D6208">
        <v>478</v>
      </c>
      <c r="E6208">
        <v>1577196682</v>
      </c>
      <c r="F6208">
        <v>4161</v>
      </c>
      <c r="G6208">
        <v>0</v>
      </c>
      <c r="H6208" t="s">
        <v>11127</v>
      </c>
      <c r="I6208">
        <v>7009</v>
      </c>
      <c r="J6208" t="str">
        <f>VLOOKUP(E6208,DSSpieler!A:B,2,FALSE)</f>
        <v>schonbesser</v>
      </c>
    </row>
    <row r="6209" spans="1:10" x14ac:dyDescent="0.25">
      <c r="A6209">
        <v>7010</v>
      </c>
      <c r="B6209" t="s">
        <v>33023</v>
      </c>
      <c r="C6209">
        <v>461</v>
      </c>
      <c r="D6209">
        <v>569</v>
      </c>
      <c r="E6209">
        <v>557668</v>
      </c>
      <c r="F6209">
        <v>5916</v>
      </c>
      <c r="G6209">
        <v>0</v>
      </c>
      <c r="H6209" t="s">
        <v>11128</v>
      </c>
      <c r="I6209">
        <v>7010</v>
      </c>
      <c r="J6209" t="str">
        <f>VLOOKUP(E6209,DSSpieler!A:B,2,FALSE)</f>
        <v>Accce</v>
      </c>
    </row>
    <row r="6210" spans="1:10" x14ac:dyDescent="0.25">
      <c r="A6210">
        <v>7011</v>
      </c>
      <c r="B6210" t="s">
        <v>33024</v>
      </c>
      <c r="C6210">
        <v>531</v>
      </c>
      <c r="D6210">
        <v>403</v>
      </c>
      <c r="E6210">
        <v>1576198931</v>
      </c>
      <c r="F6210">
        <v>1594</v>
      </c>
      <c r="G6210">
        <v>0</v>
      </c>
      <c r="H6210" t="s">
        <v>11129</v>
      </c>
      <c r="I6210">
        <v>7011</v>
      </c>
      <c r="J6210" t="str">
        <f>VLOOKUP(E6210,DSSpieler!A:B,2,FALSE)</f>
        <v>Blue Haze</v>
      </c>
    </row>
    <row r="6211" spans="1:10" x14ac:dyDescent="0.25">
      <c r="A6211">
        <v>7012</v>
      </c>
      <c r="B6211" t="s">
        <v>33025</v>
      </c>
      <c r="C6211">
        <v>439</v>
      </c>
      <c r="D6211">
        <v>453</v>
      </c>
      <c r="E6211">
        <v>1577197850</v>
      </c>
      <c r="F6211">
        <v>5152</v>
      </c>
      <c r="G6211">
        <v>0</v>
      </c>
      <c r="H6211" t="s">
        <v>11130</v>
      </c>
      <c r="I6211">
        <v>7012</v>
      </c>
      <c r="J6211" t="str">
        <f>VLOOKUP(E6211,DSSpieler!A:B,2,FALSE)</f>
        <v>Benery</v>
      </c>
    </row>
    <row r="6212" spans="1:10" x14ac:dyDescent="0.25">
      <c r="A6212">
        <v>7013</v>
      </c>
      <c r="B6212" t="s">
        <v>531</v>
      </c>
      <c r="C6212">
        <v>450</v>
      </c>
      <c r="D6212">
        <v>468</v>
      </c>
      <c r="E6212">
        <v>0</v>
      </c>
      <c r="F6212">
        <v>390</v>
      </c>
      <c r="G6212">
        <v>0</v>
      </c>
      <c r="H6212" t="s">
        <v>11131</v>
      </c>
      <c r="I6212">
        <v>7013</v>
      </c>
      <c r="J6212" t="e">
        <f>VLOOKUP(E6212,DSSpieler!A:B,2,FALSE)</f>
        <v>#N/A</v>
      </c>
    </row>
    <row r="6213" spans="1:10" x14ac:dyDescent="0.25">
      <c r="A6213">
        <v>7014</v>
      </c>
      <c r="B6213" t="s">
        <v>531</v>
      </c>
      <c r="C6213">
        <v>579</v>
      </c>
      <c r="D6213">
        <v>483</v>
      </c>
      <c r="E6213">
        <v>0</v>
      </c>
      <c r="F6213">
        <v>476</v>
      </c>
      <c r="G6213">
        <v>0</v>
      </c>
      <c r="H6213" t="s">
        <v>11132</v>
      </c>
      <c r="I6213">
        <v>7014</v>
      </c>
      <c r="J6213" t="e">
        <f>VLOOKUP(E6213,DSSpieler!A:B,2,FALSE)</f>
        <v>#N/A</v>
      </c>
    </row>
    <row r="6214" spans="1:10" x14ac:dyDescent="0.25">
      <c r="A6214">
        <v>7015</v>
      </c>
      <c r="B6214" t="s">
        <v>31490</v>
      </c>
      <c r="C6214">
        <v>561</v>
      </c>
      <c r="D6214">
        <v>564</v>
      </c>
      <c r="E6214">
        <v>1577138953</v>
      </c>
      <c r="F6214">
        <v>4012</v>
      </c>
      <c r="G6214">
        <v>0</v>
      </c>
      <c r="H6214" t="s">
        <v>11133</v>
      </c>
      <c r="I6214">
        <v>7015</v>
      </c>
      <c r="J6214" t="str">
        <f>VLOOKUP(E6214,DSSpieler!A:B,2,FALSE)</f>
        <v>ganz entspannt</v>
      </c>
    </row>
    <row r="6215" spans="1:10" x14ac:dyDescent="0.25">
      <c r="A6215">
        <v>7017</v>
      </c>
      <c r="B6215" t="s">
        <v>531</v>
      </c>
      <c r="C6215">
        <v>461</v>
      </c>
      <c r="D6215">
        <v>570</v>
      </c>
      <c r="E6215">
        <v>0</v>
      </c>
      <c r="F6215">
        <v>312</v>
      </c>
      <c r="G6215">
        <v>0</v>
      </c>
      <c r="H6215" t="s">
        <v>11134</v>
      </c>
      <c r="I6215">
        <v>7017</v>
      </c>
      <c r="J6215" t="e">
        <f>VLOOKUP(E6215,DSSpieler!A:B,2,FALSE)</f>
        <v>#N/A</v>
      </c>
    </row>
    <row r="6216" spans="1:10" x14ac:dyDescent="0.25">
      <c r="A6216">
        <v>7018</v>
      </c>
      <c r="B6216" t="s">
        <v>1608</v>
      </c>
      <c r="C6216">
        <v>438</v>
      </c>
      <c r="D6216">
        <v>550</v>
      </c>
      <c r="E6216">
        <v>1577079017</v>
      </c>
      <c r="F6216">
        <v>4535</v>
      </c>
      <c r="G6216">
        <v>0</v>
      </c>
      <c r="H6216" t="s">
        <v>11135</v>
      </c>
      <c r="I6216">
        <v>7018</v>
      </c>
      <c r="J6216" t="str">
        <f>VLOOKUP(E6216,DSSpieler!A:B,2,FALSE)</f>
        <v>Germane1910</v>
      </c>
    </row>
    <row r="6217" spans="1:10" x14ac:dyDescent="0.25">
      <c r="A6217">
        <v>7019</v>
      </c>
      <c r="B6217" t="s">
        <v>531</v>
      </c>
      <c r="C6217">
        <v>471</v>
      </c>
      <c r="D6217">
        <v>477</v>
      </c>
      <c r="E6217">
        <v>0</v>
      </c>
      <c r="F6217">
        <v>375</v>
      </c>
      <c r="G6217">
        <v>0</v>
      </c>
      <c r="H6217" t="s">
        <v>11136</v>
      </c>
      <c r="I6217">
        <v>7019</v>
      </c>
      <c r="J6217" t="e">
        <f>VLOOKUP(E6217,DSSpieler!A:B,2,FALSE)</f>
        <v>#N/A</v>
      </c>
    </row>
    <row r="6218" spans="1:10" x14ac:dyDescent="0.25">
      <c r="A6218">
        <v>7020</v>
      </c>
      <c r="B6218" t="s">
        <v>531</v>
      </c>
      <c r="C6218">
        <v>507</v>
      </c>
      <c r="D6218">
        <v>564</v>
      </c>
      <c r="E6218">
        <v>0</v>
      </c>
      <c r="F6218">
        <v>383</v>
      </c>
      <c r="G6218">
        <v>0</v>
      </c>
      <c r="H6218" t="s">
        <v>11137</v>
      </c>
      <c r="I6218">
        <v>7020</v>
      </c>
      <c r="J6218" t="e">
        <f>VLOOKUP(E6218,DSSpieler!A:B,2,FALSE)</f>
        <v>#N/A</v>
      </c>
    </row>
    <row r="6219" spans="1:10" x14ac:dyDescent="0.25">
      <c r="A6219">
        <v>7021</v>
      </c>
      <c r="B6219" t="s">
        <v>33026</v>
      </c>
      <c r="C6219">
        <v>497</v>
      </c>
      <c r="D6219">
        <v>420</v>
      </c>
      <c r="E6219">
        <v>9573659</v>
      </c>
      <c r="F6219">
        <v>2169</v>
      </c>
      <c r="G6219">
        <v>0</v>
      </c>
      <c r="H6219" t="s">
        <v>11138</v>
      </c>
      <c r="I6219">
        <v>7021</v>
      </c>
      <c r="J6219" t="str">
        <f>VLOOKUP(E6219,DSSpieler!A:B,2,FALSE)</f>
        <v>iW0X</v>
      </c>
    </row>
    <row r="6220" spans="1:10" x14ac:dyDescent="0.25">
      <c r="A6220">
        <v>7022</v>
      </c>
      <c r="B6220" t="s">
        <v>1609</v>
      </c>
      <c r="C6220">
        <v>464</v>
      </c>
      <c r="D6220">
        <v>592</v>
      </c>
      <c r="E6220">
        <v>1577163935</v>
      </c>
      <c r="F6220">
        <v>6129</v>
      </c>
      <c r="G6220">
        <v>0</v>
      </c>
      <c r="H6220" t="s">
        <v>11139</v>
      </c>
      <c r="I6220">
        <v>7022</v>
      </c>
      <c r="J6220" t="str">
        <f>VLOOKUP(E6220,DSSpieler!A:B,2,FALSE)</f>
        <v>PeaceBRo159</v>
      </c>
    </row>
    <row r="6221" spans="1:10" x14ac:dyDescent="0.25">
      <c r="A6221">
        <v>7023</v>
      </c>
      <c r="B6221" t="s">
        <v>531</v>
      </c>
      <c r="C6221">
        <v>490</v>
      </c>
      <c r="D6221">
        <v>560</v>
      </c>
      <c r="E6221">
        <v>0</v>
      </c>
      <c r="F6221">
        <v>518</v>
      </c>
      <c r="G6221">
        <v>0</v>
      </c>
      <c r="H6221" t="s">
        <v>11140</v>
      </c>
      <c r="I6221">
        <v>7023</v>
      </c>
      <c r="J6221" t="e">
        <f>VLOOKUP(E6221,DSSpieler!A:B,2,FALSE)</f>
        <v>#N/A</v>
      </c>
    </row>
    <row r="6222" spans="1:10" x14ac:dyDescent="0.25">
      <c r="A6222">
        <v>7024</v>
      </c>
      <c r="B6222" t="s">
        <v>1610</v>
      </c>
      <c r="C6222">
        <v>507</v>
      </c>
      <c r="D6222">
        <v>430</v>
      </c>
      <c r="E6222">
        <v>1577198057</v>
      </c>
      <c r="F6222">
        <v>4458</v>
      </c>
      <c r="G6222">
        <v>0</v>
      </c>
      <c r="H6222" t="s">
        <v>11141</v>
      </c>
      <c r="I6222">
        <v>7024</v>
      </c>
      <c r="J6222" t="str">
        <f>VLOOKUP(E6222,DSSpieler!A:B,2,FALSE)</f>
        <v>ToadsWut</v>
      </c>
    </row>
    <row r="6223" spans="1:10" x14ac:dyDescent="0.25">
      <c r="A6223">
        <v>7025</v>
      </c>
      <c r="B6223" t="s">
        <v>531</v>
      </c>
      <c r="C6223">
        <v>581</v>
      </c>
      <c r="D6223">
        <v>560</v>
      </c>
      <c r="E6223">
        <v>0</v>
      </c>
      <c r="F6223">
        <v>782</v>
      </c>
      <c r="G6223">
        <v>0</v>
      </c>
      <c r="H6223" t="s">
        <v>11142</v>
      </c>
      <c r="I6223">
        <v>7025</v>
      </c>
      <c r="J6223" t="e">
        <f>VLOOKUP(E6223,DSSpieler!A:B,2,FALSE)</f>
        <v>#N/A</v>
      </c>
    </row>
    <row r="6224" spans="1:10" x14ac:dyDescent="0.25">
      <c r="A6224">
        <v>7026</v>
      </c>
      <c r="B6224" t="s">
        <v>31755</v>
      </c>
      <c r="C6224">
        <v>539</v>
      </c>
      <c r="D6224">
        <v>434</v>
      </c>
      <c r="E6224">
        <v>401979</v>
      </c>
      <c r="F6224">
        <v>5504</v>
      </c>
      <c r="G6224">
        <v>0</v>
      </c>
      <c r="H6224" t="s">
        <v>11143</v>
      </c>
      <c r="I6224">
        <v>7026</v>
      </c>
      <c r="J6224" t="str">
        <f>VLOOKUP(E6224,DSSpieler!A:B,2,FALSE)</f>
        <v>nicky butt</v>
      </c>
    </row>
    <row r="6225" spans="1:10" x14ac:dyDescent="0.25">
      <c r="A6225">
        <v>7027</v>
      </c>
      <c r="B6225" t="s">
        <v>531</v>
      </c>
      <c r="C6225">
        <v>428</v>
      </c>
      <c r="D6225">
        <v>507</v>
      </c>
      <c r="E6225">
        <v>0</v>
      </c>
      <c r="F6225">
        <v>371</v>
      </c>
      <c r="G6225">
        <v>0</v>
      </c>
      <c r="H6225" t="s">
        <v>11144</v>
      </c>
      <c r="I6225">
        <v>7027</v>
      </c>
      <c r="J6225" t="e">
        <f>VLOOKUP(E6225,DSSpieler!A:B,2,FALSE)</f>
        <v>#N/A</v>
      </c>
    </row>
    <row r="6226" spans="1:10" x14ac:dyDescent="0.25">
      <c r="A6226">
        <v>7028</v>
      </c>
      <c r="B6226" t="s">
        <v>531</v>
      </c>
      <c r="C6226">
        <v>471</v>
      </c>
      <c r="D6226">
        <v>480</v>
      </c>
      <c r="E6226">
        <v>0</v>
      </c>
      <c r="F6226">
        <v>371</v>
      </c>
      <c r="G6226">
        <v>0</v>
      </c>
      <c r="H6226" t="s">
        <v>11145</v>
      </c>
      <c r="I6226">
        <v>7028</v>
      </c>
      <c r="J6226" t="e">
        <f>VLOOKUP(E6226,DSSpieler!A:B,2,FALSE)</f>
        <v>#N/A</v>
      </c>
    </row>
    <row r="6227" spans="1:10" x14ac:dyDescent="0.25">
      <c r="A6227">
        <v>7029</v>
      </c>
      <c r="B6227" t="s">
        <v>531</v>
      </c>
      <c r="C6227">
        <v>540</v>
      </c>
      <c r="D6227">
        <v>530</v>
      </c>
      <c r="E6227">
        <v>0</v>
      </c>
      <c r="F6227">
        <v>425</v>
      </c>
      <c r="G6227">
        <v>0</v>
      </c>
      <c r="H6227" t="s">
        <v>11146</v>
      </c>
      <c r="I6227">
        <v>7029</v>
      </c>
      <c r="J6227" t="e">
        <f>VLOOKUP(E6227,DSSpieler!A:B,2,FALSE)</f>
        <v>#N/A</v>
      </c>
    </row>
    <row r="6228" spans="1:10" x14ac:dyDescent="0.25">
      <c r="A6228">
        <v>7030</v>
      </c>
      <c r="B6228" t="s">
        <v>1611</v>
      </c>
      <c r="C6228">
        <v>488</v>
      </c>
      <c r="D6228">
        <v>445</v>
      </c>
      <c r="E6228">
        <v>1577188252</v>
      </c>
      <c r="F6228">
        <v>2347</v>
      </c>
      <c r="G6228">
        <v>0</v>
      </c>
      <c r="H6228" t="s">
        <v>11147</v>
      </c>
      <c r="I6228">
        <v>7030</v>
      </c>
      <c r="J6228" t="str">
        <f>VLOOKUP(E6228,DSSpieler!A:B,2,FALSE)</f>
        <v>Dave98</v>
      </c>
    </row>
    <row r="6229" spans="1:10" x14ac:dyDescent="0.25">
      <c r="A6229">
        <v>7031</v>
      </c>
      <c r="B6229" t="s">
        <v>33027</v>
      </c>
      <c r="C6229">
        <v>481</v>
      </c>
      <c r="D6229">
        <v>471</v>
      </c>
      <c r="E6229">
        <v>1577186679</v>
      </c>
      <c r="F6229">
        <v>7016</v>
      </c>
      <c r="G6229">
        <v>0</v>
      </c>
      <c r="H6229" t="s">
        <v>11148</v>
      </c>
      <c r="I6229">
        <v>7031</v>
      </c>
      <c r="J6229" t="str">
        <f>VLOOKUP(E6229,DSSpieler!A:B,2,FALSE)</f>
        <v>H8erboy</v>
      </c>
    </row>
    <row r="6230" spans="1:10" x14ac:dyDescent="0.25">
      <c r="A6230">
        <v>7032</v>
      </c>
      <c r="B6230" t="s">
        <v>33028</v>
      </c>
      <c r="C6230">
        <v>549</v>
      </c>
      <c r="D6230">
        <v>427</v>
      </c>
      <c r="E6230">
        <v>1576874535</v>
      </c>
      <c r="F6230">
        <v>7013</v>
      </c>
      <c r="G6230">
        <v>0</v>
      </c>
      <c r="H6230" t="s">
        <v>11149</v>
      </c>
      <c r="I6230">
        <v>7032</v>
      </c>
      <c r="J6230" t="str">
        <f>VLOOKUP(E6230,DSSpieler!A:B,2,FALSE)</f>
        <v>gbpAR12</v>
      </c>
    </row>
    <row r="6231" spans="1:10" x14ac:dyDescent="0.25">
      <c r="A6231">
        <v>7033</v>
      </c>
      <c r="B6231" t="s">
        <v>33029</v>
      </c>
      <c r="C6231">
        <v>555</v>
      </c>
      <c r="D6231">
        <v>485</v>
      </c>
      <c r="E6231">
        <v>1577036114</v>
      </c>
      <c r="F6231">
        <v>5217</v>
      </c>
      <c r="G6231">
        <v>0</v>
      </c>
      <c r="H6231" t="s">
        <v>11150</v>
      </c>
      <c r="I6231">
        <v>7033</v>
      </c>
      <c r="J6231" t="str">
        <f>VLOOKUP(E6231,DSSpieler!A:B,2,FALSE)</f>
        <v>ZeeroxTV</v>
      </c>
    </row>
    <row r="6232" spans="1:10" x14ac:dyDescent="0.25">
      <c r="A6232">
        <v>7034</v>
      </c>
      <c r="B6232" t="s">
        <v>531</v>
      </c>
      <c r="C6232">
        <v>481</v>
      </c>
      <c r="D6232">
        <v>473</v>
      </c>
      <c r="E6232">
        <v>0</v>
      </c>
      <c r="F6232">
        <v>205</v>
      </c>
      <c r="G6232">
        <v>0</v>
      </c>
      <c r="H6232" t="s">
        <v>11151</v>
      </c>
      <c r="I6232">
        <v>7034</v>
      </c>
      <c r="J6232" t="e">
        <f>VLOOKUP(E6232,DSSpieler!A:B,2,FALSE)</f>
        <v>#N/A</v>
      </c>
    </row>
    <row r="6233" spans="1:10" x14ac:dyDescent="0.25">
      <c r="A6233">
        <v>7035</v>
      </c>
      <c r="B6233" t="s">
        <v>531</v>
      </c>
      <c r="C6233">
        <v>444</v>
      </c>
      <c r="D6233">
        <v>501</v>
      </c>
      <c r="E6233">
        <v>0</v>
      </c>
      <c r="F6233">
        <v>297</v>
      </c>
      <c r="G6233">
        <v>0</v>
      </c>
      <c r="H6233" t="s">
        <v>11152</v>
      </c>
      <c r="I6233">
        <v>7035</v>
      </c>
      <c r="J6233" t="e">
        <f>VLOOKUP(E6233,DSSpieler!A:B,2,FALSE)</f>
        <v>#N/A</v>
      </c>
    </row>
    <row r="6234" spans="1:10" x14ac:dyDescent="0.25">
      <c r="A6234">
        <v>7038</v>
      </c>
      <c r="B6234">
        <v>2</v>
      </c>
      <c r="C6234">
        <v>457</v>
      </c>
      <c r="D6234">
        <v>483</v>
      </c>
      <c r="E6234">
        <v>1577197025</v>
      </c>
      <c r="F6234">
        <v>3158</v>
      </c>
      <c r="G6234">
        <v>0</v>
      </c>
      <c r="H6234" t="s">
        <v>11153</v>
      </c>
      <c r="I6234">
        <v>7038</v>
      </c>
      <c r="J6234" t="str">
        <f>VLOOKUP(E6234,DSSpieler!A:B,2,FALSE)</f>
        <v>baumeister39</v>
      </c>
    </row>
    <row r="6235" spans="1:10" x14ac:dyDescent="0.25">
      <c r="A6235">
        <v>7039</v>
      </c>
      <c r="B6235" t="s">
        <v>531</v>
      </c>
      <c r="C6235">
        <v>537</v>
      </c>
      <c r="D6235">
        <v>597</v>
      </c>
      <c r="E6235">
        <v>0</v>
      </c>
      <c r="F6235">
        <v>675</v>
      </c>
      <c r="G6235">
        <v>0</v>
      </c>
      <c r="H6235" t="s">
        <v>11154</v>
      </c>
      <c r="I6235">
        <v>7039</v>
      </c>
      <c r="J6235" t="e">
        <f>VLOOKUP(E6235,DSSpieler!A:B,2,FALSE)</f>
        <v>#N/A</v>
      </c>
    </row>
    <row r="6236" spans="1:10" x14ac:dyDescent="0.25">
      <c r="A6236">
        <v>7040</v>
      </c>
      <c r="B6236" t="s">
        <v>30506</v>
      </c>
      <c r="C6236">
        <v>601</v>
      </c>
      <c r="D6236">
        <v>476</v>
      </c>
      <c r="E6236">
        <v>1577178468</v>
      </c>
      <c r="F6236">
        <v>5957</v>
      </c>
      <c r="G6236">
        <v>0</v>
      </c>
      <c r="H6236" t="s">
        <v>11155</v>
      </c>
      <c r="I6236">
        <v>7040</v>
      </c>
      <c r="J6236" t="str">
        <f>VLOOKUP(E6236,DSSpieler!A:B,2,FALSE)</f>
        <v>Popolius Maier</v>
      </c>
    </row>
    <row r="6237" spans="1:10" x14ac:dyDescent="0.25">
      <c r="A6237">
        <v>7041</v>
      </c>
      <c r="B6237" t="s">
        <v>33030</v>
      </c>
      <c r="C6237">
        <v>495</v>
      </c>
      <c r="D6237">
        <v>573</v>
      </c>
      <c r="E6237">
        <v>1577197880</v>
      </c>
      <c r="F6237">
        <v>4431</v>
      </c>
      <c r="G6237">
        <v>0</v>
      </c>
      <c r="H6237" t="s">
        <v>11156</v>
      </c>
      <c r="I6237">
        <v>7041</v>
      </c>
      <c r="J6237" t="str">
        <f>VLOOKUP(E6237,DSSpieler!A:B,2,FALSE)</f>
        <v>jakusizz</v>
      </c>
    </row>
    <row r="6238" spans="1:10" x14ac:dyDescent="0.25">
      <c r="A6238">
        <v>7042</v>
      </c>
      <c r="B6238">
        <v>3</v>
      </c>
      <c r="C6238">
        <v>446</v>
      </c>
      <c r="D6238">
        <v>522</v>
      </c>
      <c r="E6238">
        <v>1577183825</v>
      </c>
      <c r="F6238">
        <v>4521</v>
      </c>
      <c r="G6238">
        <v>0</v>
      </c>
      <c r="H6238" t="s">
        <v>11157</v>
      </c>
      <c r="I6238">
        <v>7042</v>
      </c>
      <c r="J6238" t="str">
        <f>VLOOKUP(E6238,DSSpieler!A:B,2,FALSE)</f>
        <v>Watzinger95</v>
      </c>
    </row>
    <row r="6239" spans="1:10" x14ac:dyDescent="0.25">
      <c r="A6239">
        <v>7043</v>
      </c>
      <c r="B6239" t="s">
        <v>33031</v>
      </c>
      <c r="C6239">
        <v>601</v>
      </c>
      <c r="D6239">
        <v>463</v>
      </c>
      <c r="E6239">
        <v>1577197349</v>
      </c>
      <c r="F6239">
        <v>5616</v>
      </c>
      <c r="G6239">
        <v>0</v>
      </c>
      <c r="H6239" t="s">
        <v>11158</v>
      </c>
      <c r="I6239">
        <v>7043</v>
      </c>
      <c r="J6239" t="str">
        <f>VLOOKUP(E6239,DSSpieler!A:B,2,FALSE)</f>
        <v>d0ppelkeks</v>
      </c>
    </row>
    <row r="6240" spans="1:10" x14ac:dyDescent="0.25">
      <c r="A6240">
        <v>7044</v>
      </c>
      <c r="B6240" t="s">
        <v>1612</v>
      </c>
      <c r="C6240">
        <v>554</v>
      </c>
      <c r="D6240">
        <v>477</v>
      </c>
      <c r="E6240">
        <v>1576944462</v>
      </c>
      <c r="F6240">
        <v>6057</v>
      </c>
      <c r="G6240">
        <v>0</v>
      </c>
      <c r="H6240" t="s">
        <v>11159</v>
      </c>
      <c r="I6240">
        <v>7044</v>
      </c>
      <c r="J6240" t="str">
        <f>VLOOKUP(E6240,DSSpieler!A:B,2,FALSE)</f>
        <v>Dragenball12</v>
      </c>
    </row>
    <row r="6241" spans="1:10" x14ac:dyDescent="0.25">
      <c r="A6241">
        <v>7045</v>
      </c>
      <c r="B6241" t="s">
        <v>33032</v>
      </c>
      <c r="C6241">
        <v>600</v>
      </c>
      <c r="D6241">
        <v>477</v>
      </c>
      <c r="E6241">
        <v>9834184</v>
      </c>
      <c r="F6241">
        <v>5013</v>
      </c>
      <c r="G6241">
        <v>0</v>
      </c>
      <c r="H6241" t="s">
        <v>11160</v>
      </c>
      <c r="I6241">
        <v>7045</v>
      </c>
      <c r="J6241" t="str">
        <f>VLOOKUP(E6241,DSSpieler!A:B,2,FALSE)</f>
        <v>Fraentah</v>
      </c>
    </row>
    <row r="6242" spans="1:10" x14ac:dyDescent="0.25">
      <c r="A6242">
        <v>7046</v>
      </c>
      <c r="B6242" t="s">
        <v>531</v>
      </c>
      <c r="C6242">
        <v>441</v>
      </c>
      <c r="D6242">
        <v>475</v>
      </c>
      <c r="E6242">
        <v>0</v>
      </c>
      <c r="F6242">
        <v>160</v>
      </c>
      <c r="G6242">
        <v>0</v>
      </c>
      <c r="H6242" t="s">
        <v>11161</v>
      </c>
      <c r="I6242">
        <v>7046</v>
      </c>
      <c r="J6242" t="e">
        <f>VLOOKUP(E6242,DSSpieler!A:B,2,FALSE)</f>
        <v>#N/A</v>
      </c>
    </row>
    <row r="6243" spans="1:10" x14ac:dyDescent="0.25">
      <c r="A6243">
        <v>7048</v>
      </c>
      <c r="B6243" t="e">
        <f>-DEFF3-+IchMagBrianGriffin</f>
        <v>#NAME?</v>
      </c>
      <c r="C6243">
        <v>478</v>
      </c>
      <c r="D6243">
        <v>431</v>
      </c>
      <c r="E6243">
        <v>1577195942</v>
      </c>
      <c r="F6243">
        <v>4709</v>
      </c>
      <c r="G6243">
        <v>0</v>
      </c>
      <c r="H6243" t="s">
        <v>11162</v>
      </c>
      <c r="I6243">
        <v>7048</v>
      </c>
      <c r="J6243" t="str">
        <f>VLOOKUP(E6243,DSSpieler!A:B,2,FALSE)</f>
        <v>Oxiro</v>
      </c>
    </row>
    <row r="6244" spans="1:10" x14ac:dyDescent="0.25">
      <c r="A6244">
        <v>7049</v>
      </c>
      <c r="B6244" t="s">
        <v>33033</v>
      </c>
      <c r="C6244">
        <v>510</v>
      </c>
      <c r="D6244">
        <v>578</v>
      </c>
      <c r="E6244">
        <v>220051</v>
      </c>
      <c r="F6244">
        <v>835</v>
      </c>
      <c r="G6244">
        <v>0</v>
      </c>
      <c r="H6244" t="s">
        <v>11163</v>
      </c>
      <c r="I6244">
        <v>7049</v>
      </c>
      <c r="J6244" t="str">
        <f>VLOOKUP(E6244,DSSpieler!A:B,2,FALSE)</f>
        <v>udo0</v>
      </c>
    </row>
    <row r="6245" spans="1:10" x14ac:dyDescent="0.25">
      <c r="A6245">
        <v>7050</v>
      </c>
      <c r="B6245" t="s">
        <v>531</v>
      </c>
      <c r="C6245">
        <v>513</v>
      </c>
      <c r="D6245">
        <v>489</v>
      </c>
      <c r="E6245">
        <v>0</v>
      </c>
      <c r="F6245">
        <v>226</v>
      </c>
      <c r="G6245">
        <v>0</v>
      </c>
      <c r="H6245" t="s">
        <v>11164</v>
      </c>
      <c r="I6245">
        <v>7050</v>
      </c>
      <c r="J6245" t="e">
        <f>VLOOKUP(E6245,DSSpieler!A:B,2,FALSE)</f>
        <v>#N/A</v>
      </c>
    </row>
    <row r="6246" spans="1:10" x14ac:dyDescent="0.25">
      <c r="A6246">
        <v>7051</v>
      </c>
      <c r="B6246" t="s">
        <v>33034</v>
      </c>
      <c r="C6246">
        <v>529</v>
      </c>
      <c r="D6246">
        <v>411</v>
      </c>
      <c r="E6246">
        <v>1576698432</v>
      </c>
      <c r="F6246">
        <v>4387</v>
      </c>
      <c r="G6246">
        <v>0</v>
      </c>
      <c r="H6246" t="s">
        <v>11165</v>
      </c>
      <c r="I6246">
        <v>7051</v>
      </c>
      <c r="J6246" t="str">
        <f>VLOOKUP(E6246,DSSpieler!A:B,2,FALSE)</f>
        <v>Einmal mit Profis</v>
      </c>
    </row>
    <row r="6247" spans="1:10" x14ac:dyDescent="0.25">
      <c r="A6247">
        <v>7052</v>
      </c>
      <c r="B6247">
        <v>4</v>
      </c>
      <c r="C6247">
        <v>558</v>
      </c>
      <c r="D6247">
        <v>414</v>
      </c>
      <c r="E6247">
        <v>1576899646</v>
      </c>
      <c r="F6247">
        <v>6162</v>
      </c>
      <c r="G6247">
        <v>0</v>
      </c>
      <c r="H6247" t="s">
        <v>11166</v>
      </c>
      <c r="I6247">
        <v>7052</v>
      </c>
      <c r="J6247" t="str">
        <f>VLOOKUP(E6247,DSSpieler!A:B,2,FALSE)</f>
        <v>Rabauk1</v>
      </c>
    </row>
    <row r="6248" spans="1:10" x14ac:dyDescent="0.25">
      <c r="A6248">
        <v>7053</v>
      </c>
      <c r="B6248" t="s">
        <v>1249</v>
      </c>
      <c r="C6248">
        <v>479</v>
      </c>
      <c r="D6248">
        <v>431</v>
      </c>
      <c r="E6248">
        <v>1577196109</v>
      </c>
      <c r="F6248">
        <v>6909</v>
      </c>
      <c r="G6248">
        <v>0</v>
      </c>
      <c r="H6248" t="s">
        <v>11167</v>
      </c>
      <c r="I6248">
        <v>7053</v>
      </c>
      <c r="J6248" t="str">
        <f>VLOOKUP(E6248,DSSpieler!A:B,2,FALSE)</f>
        <v>DerMorich</v>
      </c>
    </row>
    <row r="6249" spans="1:10" x14ac:dyDescent="0.25">
      <c r="A6249">
        <v>7054</v>
      </c>
      <c r="B6249">
        <v>8</v>
      </c>
      <c r="C6249">
        <v>559</v>
      </c>
      <c r="D6249">
        <v>588</v>
      </c>
      <c r="E6249">
        <v>1577188575</v>
      </c>
      <c r="F6249">
        <v>4335</v>
      </c>
      <c r="G6249">
        <v>0</v>
      </c>
      <c r="H6249" t="s">
        <v>11168</v>
      </c>
      <c r="I6249">
        <v>7054</v>
      </c>
      <c r="J6249" t="str">
        <f>VLOOKUP(E6249,DSSpieler!A:B,2,FALSE)</f>
        <v>94Norbi</v>
      </c>
    </row>
    <row r="6250" spans="1:10" x14ac:dyDescent="0.25">
      <c r="A6250">
        <v>7055</v>
      </c>
      <c r="B6250" t="s">
        <v>33035</v>
      </c>
      <c r="C6250">
        <v>473</v>
      </c>
      <c r="D6250">
        <v>558</v>
      </c>
      <c r="E6250">
        <v>9026066</v>
      </c>
      <c r="F6250">
        <v>5905</v>
      </c>
      <c r="G6250">
        <v>0</v>
      </c>
      <c r="H6250" t="s">
        <v>11169</v>
      </c>
      <c r="I6250">
        <v>7055</v>
      </c>
      <c r="J6250" t="str">
        <f>VLOOKUP(E6250,DSSpieler!A:B,2,FALSE)</f>
        <v>thehaaacker</v>
      </c>
    </row>
    <row r="6251" spans="1:10" x14ac:dyDescent="0.25">
      <c r="A6251">
        <v>7056</v>
      </c>
      <c r="B6251" t="s">
        <v>531</v>
      </c>
      <c r="C6251">
        <v>494</v>
      </c>
      <c r="D6251">
        <v>580</v>
      </c>
      <c r="E6251">
        <v>0</v>
      </c>
      <c r="F6251">
        <v>411</v>
      </c>
      <c r="G6251">
        <v>0</v>
      </c>
      <c r="H6251" t="s">
        <v>11170</v>
      </c>
      <c r="I6251">
        <v>7056</v>
      </c>
      <c r="J6251" t="e">
        <f>VLOOKUP(E6251,DSSpieler!A:B,2,FALSE)</f>
        <v>#N/A</v>
      </c>
    </row>
    <row r="6252" spans="1:10" x14ac:dyDescent="0.25">
      <c r="A6252">
        <v>7057</v>
      </c>
      <c r="B6252" t="s">
        <v>531</v>
      </c>
      <c r="C6252">
        <v>525</v>
      </c>
      <c r="D6252">
        <v>599</v>
      </c>
      <c r="E6252">
        <v>0</v>
      </c>
      <c r="F6252">
        <v>908</v>
      </c>
      <c r="G6252">
        <v>0</v>
      </c>
      <c r="H6252" t="s">
        <v>11171</v>
      </c>
      <c r="I6252">
        <v>7057</v>
      </c>
      <c r="J6252" t="e">
        <f>VLOOKUP(E6252,DSSpieler!A:B,2,FALSE)</f>
        <v>#N/A</v>
      </c>
    </row>
    <row r="6253" spans="1:10" x14ac:dyDescent="0.25">
      <c r="A6253">
        <v>7058</v>
      </c>
      <c r="B6253" t="s">
        <v>33036</v>
      </c>
      <c r="C6253">
        <v>494</v>
      </c>
      <c r="D6253">
        <v>568</v>
      </c>
      <c r="E6253">
        <v>1577197880</v>
      </c>
      <c r="F6253">
        <v>4779</v>
      </c>
      <c r="G6253">
        <v>0</v>
      </c>
      <c r="H6253" t="s">
        <v>11172</v>
      </c>
      <c r="I6253">
        <v>7058</v>
      </c>
      <c r="J6253" t="str">
        <f>VLOOKUP(E6253,DSSpieler!A:B,2,FALSE)</f>
        <v>jakusizz</v>
      </c>
    </row>
    <row r="6254" spans="1:10" x14ac:dyDescent="0.25">
      <c r="A6254">
        <v>7059</v>
      </c>
      <c r="B6254" t="s">
        <v>33037</v>
      </c>
      <c r="C6254">
        <v>541</v>
      </c>
      <c r="D6254">
        <v>547</v>
      </c>
      <c r="E6254">
        <v>1575830702</v>
      </c>
      <c r="F6254">
        <v>4679</v>
      </c>
      <c r="G6254">
        <v>0</v>
      </c>
      <c r="H6254" t="s">
        <v>11173</v>
      </c>
      <c r="I6254">
        <v>7059</v>
      </c>
      <c r="J6254" t="str">
        <f>VLOOKUP(E6254,DSSpieler!A:B,2,FALSE)</f>
        <v>PaPaScHuMpF</v>
      </c>
    </row>
    <row r="6255" spans="1:10" x14ac:dyDescent="0.25">
      <c r="A6255">
        <v>7060</v>
      </c>
      <c r="B6255" t="s">
        <v>1613</v>
      </c>
      <c r="C6255">
        <v>429</v>
      </c>
      <c r="D6255">
        <v>533</v>
      </c>
      <c r="E6255">
        <v>1576999160</v>
      </c>
      <c r="F6255">
        <v>2685</v>
      </c>
      <c r="G6255">
        <v>0</v>
      </c>
      <c r="H6255" t="s">
        <v>11174</v>
      </c>
      <c r="I6255">
        <v>7060</v>
      </c>
      <c r="J6255" t="str">
        <f>VLOOKUP(E6255,DSSpieler!A:B,2,FALSE)</f>
        <v>böserbub89</v>
      </c>
    </row>
    <row r="6256" spans="1:10" x14ac:dyDescent="0.25">
      <c r="A6256">
        <v>7061</v>
      </c>
      <c r="B6256" t="s">
        <v>1614</v>
      </c>
      <c r="C6256">
        <v>593</v>
      </c>
      <c r="D6256">
        <v>441</v>
      </c>
      <c r="E6256">
        <v>9842736</v>
      </c>
      <c r="F6256">
        <v>5836</v>
      </c>
      <c r="G6256">
        <v>0</v>
      </c>
      <c r="H6256" t="s">
        <v>11175</v>
      </c>
      <c r="I6256">
        <v>7061</v>
      </c>
      <c r="J6256" t="str">
        <f>VLOOKUP(E6256,DSSpieler!A:B,2,FALSE)</f>
        <v>NakedPanda</v>
      </c>
    </row>
    <row r="6257" spans="1:10" x14ac:dyDescent="0.25">
      <c r="A6257">
        <v>7062</v>
      </c>
      <c r="B6257" t="s">
        <v>33038</v>
      </c>
      <c r="C6257">
        <v>487</v>
      </c>
      <c r="D6257">
        <v>512</v>
      </c>
      <c r="E6257">
        <v>1576570181</v>
      </c>
      <c r="F6257">
        <v>4011</v>
      </c>
      <c r="G6257">
        <v>0</v>
      </c>
      <c r="H6257" t="s">
        <v>11176</v>
      </c>
      <c r="I6257">
        <v>7062</v>
      </c>
      <c r="J6257" t="str">
        <f>VLOOKUP(E6257,DSSpieler!A:B,2,FALSE)</f>
        <v>T y F e a T</v>
      </c>
    </row>
    <row r="6258" spans="1:10" x14ac:dyDescent="0.25">
      <c r="A6258">
        <v>7065</v>
      </c>
      <c r="B6258" t="s">
        <v>33039</v>
      </c>
      <c r="C6258">
        <v>427</v>
      </c>
      <c r="D6258">
        <v>490</v>
      </c>
      <c r="E6258">
        <v>1576544035</v>
      </c>
      <c r="F6258">
        <v>5295</v>
      </c>
      <c r="G6258">
        <v>0</v>
      </c>
      <c r="H6258" t="s">
        <v>11177</v>
      </c>
      <c r="I6258">
        <v>7065</v>
      </c>
      <c r="J6258" t="str">
        <f>VLOOKUP(E6258,DSSpieler!A:B,2,FALSE)</f>
        <v>FGO1</v>
      </c>
    </row>
    <row r="6259" spans="1:10" x14ac:dyDescent="0.25">
      <c r="A6259">
        <v>7066</v>
      </c>
      <c r="B6259" t="s">
        <v>33040</v>
      </c>
      <c r="C6259">
        <v>428</v>
      </c>
      <c r="D6259">
        <v>496</v>
      </c>
      <c r="E6259">
        <v>1577174426</v>
      </c>
      <c r="F6259">
        <v>3377</v>
      </c>
      <c r="G6259">
        <v>0</v>
      </c>
      <c r="H6259" t="s">
        <v>11178</v>
      </c>
      <c r="I6259">
        <v>7066</v>
      </c>
      <c r="J6259" t="str">
        <f>VLOOKUP(E6259,DSSpieler!A:B,2,FALSE)</f>
        <v>Kevin199602</v>
      </c>
    </row>
    <row r="6260" spans="1:10" x14ac:dyDescent="0.25">
      <c r="A6260">
        <v>7068</v>
      </c>
      <c r="B6260" t="s">
        <v>531</v>
      </c>
      <c r="C6260">
        <v>432</v>
      </c>
      <c r="D6260">
        <v>540</v>
      </c>
      <c r="E6260">
        <v>0</v>
      </c>
      <c r="F6260">
        <v>287</v>
      </c>
      <c r="G6260">
        <v>0</v>
      </c>
      <c r="H6260" t="s">
        <v>11179</v>
      </c>
      <c r="I6260">
        <v>7068</v>
      </c>
      <c r="J6260" t="e">
        <f>VLOOKUP(E6260,DSSpieler!A:B,2,FALSE)</f>
        <v>#N/A</v>
      </c>
    </row>
    <row r="6261" spans="1:10" x14ac:dyDescent="0.25">
      <c r="A6261">
        <v>7069</v>
      </c>
      <c r="B6261" t="s">
        <v>33041</v>
      </c>
      <c r="C6261">
        <v>424</v>
      </c>
      <c r="D6261">
        <v>426</v>
      </c>
      <c r="E6261">
        <v>1576883247</v>
      </c>
      <c r="F6261">
        <v>4565</v>
      </c>
      <c r="G6261">
        <v>0</v>
      </c>
      <c r="H6261" t="s">
        <v>11180</v>
      </c>
      <c r="I6261">
        <v>7069</v>
      </c>
      <c r="J6261" t="str">
        <f>VLOOKUP(E6261,DSSpieler!A:B,2,FALSE)</f>
        <v>NiggoH</v>
      </c>
    </row>
    <row r="6262" spans="1:10" x14ac:dyDescent="0.25">
      <c r="A6262">
        <v>7070</v>
      </c>
      <c r="B6262" t="s">
        <v>33042</v>
      </c>
      <c r="C6262">
        <v>496</v>
      </c>
      <c r="D6262">
        <v>502</v>
      </c>
      <c r="E6262">
        <v>1576940166</v>
      </c>
      <c r="F6262">
        <v>2089</v>
      </c>
      <c r="G6262">
        <v>0</v>
      </c>
      <c r="H6262" t="s">
        <v>11181</v>
      </c>
      <c r="I6262">
        <v>7070</v>
      </c>
      <c r="J6262" t="str">
        <f>VLOOKUP(E6262,DSSpieler!A:B,2,FALSE)</f>
        <v>TimJJ</v>
      </c>
    </row>
    <row r="6263" spans="1:10" x14ac:dyDescent="0.25">
      <c r="A6263">
        <v>7071</v>
      </c>
      <c r="B6263" t="s">
        <v>33043</v>
      </c>
      <c r="C6263">
        <v>507</v>
      </c>
      <c r="D6263">
        <v>545</v>
      </c>
      <c r="E6263">
        <v>1577193491</v>
      </c>
      <c r="F6263">
        <v>1214</v>
      </c>
      <c r="G6263">
        <v>0</v>
      </c>
      <c r="H6263" t="s">
        <v>11182</v>
      </c>
      <c r="I6263">
        <v>7071</v>
      </c>
      <c r="J6263" t="str">
        <f>VLOOKUP(E6263,DSSpieler!A:B,2,FALSE)</f>
        <v>RRwoody</v>
      </c>
    </row>
    <row r="6264" spans="1:10" x14ac:dyDescent="0.25">
      <c r="A6264">
        <v>7073</v>
      </c>
      <c r="B6264" t="s">
        <v>812</v>
      </c>
      <c r="C6264">
        <v>482</v>
      </c>
      <c r="D6264">
        <v>456</v>
      </c>
      <c r="E6264">
        <v>2100127</v>
      </c>
      <c r="F6264">
        <v>879</v>
      </c>
      <c r="G6264">
        <v>0</v>
      </c>
      <c r="H6264" t="s">
        <v>11183</v>
      </c>
      <c r="I6264">
        <v>7073</v>
      </c>
      <c r="J6264" t="str">
        <f>VLOOKUP(E6264,DSSpieler!A:B,2,FALSE)</f>
        <v>Daisuke222</v>
      </c>
    </row>
    <row r="6265" spans="1:10" x14ac:dyDescent="0.25">
      <c r="A6265">
        <v>7074</v>
      </c>
      <c r="B6265" t="s">
        <v>33044</v>
      </c>
      <c r="C6265">
        <v>577</v>
      </c>
      <c r="D6265">
        <v>493</v>
      </c>
      <c r="E6265">
        <v>1577162500</v>
      </c>
      <c r="F6265">
        <v>3676</v>
      </c>
      <c r="G6265">
        <v>0</v>
      </c>
      <c r="H6265" t="s">
        <v>11184</v>
      </c>
      <c r="I6265">
        <v>7074</v>
      </c>
      <c r="J6265" t="str">
        <f>VLOOKUP(E6265,DSSpieler!A:B,2,FALSE)</f>
        <v>Mosas Reloaded</v>
      </c>
    </row>
    <row r="6266" spans="1:10" x14ac:dyDescent="0.25">
      <c r="A6266">
        <v>7075</v>
      </c>
      <c r="B6266" t="s">
        <v>33045</v>
      </c>
      <c r="C6266">
        <v>452</v>
      </c>
      <c r="D6266">
        <v>401</v>
      </c>
      <c r="E6266">
        <v>9225710</v>
      </c>
      <c r="F6266">
        <v>7314</v>
      </c>
      <c r="G6266">
        <v>0</v>
      </c>
      <c r="H6266" t="s">
        <v>11185</v>
      </c>
      <c r="I6266">
        <v>7075</v>
      </c>
      <c r="J6266" t="str">
        <f>VLOOKUP(E6266,DSSpieler!A:B,2,FALSE)</f>
        <v>MantanaJuniors</v>
      </c>
    </row>
    <row r="6267" spans="1:10" x14ac:dyDescent="0.25">
      <c r="A6267">
        <v>7076</v>
      </c>
      <c r="B6267" t="s">
        <v>33046</v>
      </c>
      <c r="C6267">
        <v>439</v>
      </c>
      <c r="D6267">
        <v>454</v>
      </c>
      <c r="E6267">
        <v>1577189323</v>
      </c>
      <c r="F6267">
        <v>2803</v>
      </c>
      <c r="G6267">
        <v>0</v>
      </c>
      <c r="H6267" t="s">
        <v>11186</v>
      </c>
      <c r="I6267">
        <v>7076</v>
      </c>
      <c r="J6267" t="str">
        <f>VLOOKUP(E6267,DSSpieler!A:B,2,FALSE)</f>
        <v>Andyann</v>
      </c>
    </row>
    <row r="6268" spans="1:10" x14ac:dyDescent="0.25">
      <c r="A6268">
        <v>7077</v>
      </c>
      <c r="B6268" t="s">
        <v>33047</v>
      </c>
      <c r="C6268">
        <v>479</v>
      </c>
      <c r="D6268">
        <v>507</v>
      </c>
      <c r="E6268">
        <v>1577150215</v>
      </c>
      <c r="F6268">
        <v>4463</v>
      </c>
      <c r="G6268">
        <v>0</v>
      </c>
      <c r="H6268" t="s">
        <v>11187</v>
      </c>
      <c r="I6268">
        <v>7077</v>
      </c>
      <c r="J6268" t="str">
        <f>VLOOKUP(E6268,DSSpieler!A:B,2,FALSE)</f>
        <v>giulu</v>
      </c>
    </row>
    <row r="6269" spans="1:10" x14ac:dyDescent="0.25">
      <c r="A6269">
        <v>7078</v>
      </c>
      <c r="B6269" t="s">
        <v>531</v>
      </c>
      <c r="C6269">
        <v>535</v>
      </c>
      <c r="D6269">
        <v>514</v>
      </c>
      <c r="E6269">
        <v>0</v>
      </c>
      <c r="F6269">
        <v>365</v>
      </c>
      <c r="G6269">
        <v>0</v>
      </c>
      <c r="H6269" t="s">
        <v>11188</v>
      </c>
      <c r="I6269">
        <v>7078</v>
      </c>
      <c r="J6269" t="e">
        <f>VLOOKUP(E6269,DSSpieler!A:B,2,FALSE)</f>
        <v>#N/A</v>
      </c>
    </row>
    <row r="6270" spans="1:10" x14ac:dyDescent="0.25">
      <c r="A6270">
        <v>7079</v>
      </c>
      <c r="B6270" t="s">
        <v>33048</v>
      </c>
      <c r="C6270">
        <v>587</v>
      </c>
      <c r="D6270">
        <v>463</v>
      </c>
      <c r="E6270">
        <v>1576779600</v>
      </c>
      <c r="F6270">
        <v>3691</v>
      </c>
      <c r="G6270">
        <v>0</v>
      </c>
      <c r="H6270" t="s">
        <v>11189</v>
      </c>
      <c r="I6270">
        <v>7079</v>
      </c>
      <c r="J6270" t="str">
        <f>VLOOKUP(E6270,DSSpieler!A:B,2,FALSE)</f>
        <v>Badgirl.1</v>
      </c>
    </row>
    <row r="6271" spans="1:10" x14ac:dyDescent="0.25">
      <c r="A6271">
        <v>7080</v>
      </c>
      <c r="B6271" t="s">
        <v>33049</v>
      </c>
      <c r="C6271">
        <v>522</v>
      </c>
      <c r="D6271">
        <v>482</v>
      </c>
      <c r="E6271">
        <v>1577193798</v>
      </c>
      <c r="F6271">
        <v>5368</v>
      </c>
      <c r="G6271">
        <v>0</v>
      </c>
      <c r="H6271" t="s">
        <v>11190</v>
      </c>
      <c r="I6271">
        <v>7080</v>
      </c>
      <c r="J6271" t="str">
        <f>VLOOKUP(E6271,DSSpieler!A:B,2,FALSE)</f>
        <v>Fenerium</v>
      </c>
    </row>
    <row r="6272" spans="1:10" x14ac:dyDescent="0.25">
      <c r="A6272">
        <v>7081</v>
      </c>
      <c r="B6272" t="s">
        <v>33050</v>
      </c>
      <c r="C6272">
        <v>536</v>
      </c>
      <c r="D6272">
        <v>470</v>
      </c>
      <c r="E6272">
        <v>1577051514</v>
      </c>
      <c r="F6272">
        <v>534</v>
      </c>
      <c r="G6272">
        <v>0</v>
      </c>
      <c r="H6272" t="s">
        <v>11191</v>
      </c>
      <c r="I6272">
        <v>7081</v>
      </c>
      <c r="J6272" t="str">
        <f>VLOOKUP(E6272,DSSpieler!A:B,2,FALSE)</f>
        <v>auran90</v>
      </c>
    </row>
    <row r="6273" spans="1:10" x14ac:dyDescent="0.25">
      <c r="A6273">
        <v>7082</v>
      </c>
      <c r="B6273" t="s">
        <v>531</v>
      </c>
      <c r="C6273">
        <v>517</v>
      </c>
      <c r="D6273">
        <v>557</v>
      </c>
      <c r="E6273">
        <v>0</v>
      </c>
      <c r="F6273">
        <v>318</v>
      </c>
      <c r="G6273">
        <v>0</v>
      </c>
      <c r="H6273" t="s">
        <v>11192</v>
      </c>
      <c r="I6273">
        <v>7082</v>
      </c>
      <c r="J6273" t="e">
        <f>VLOOKUP(E6273,DSSpieler!A:B,2,FALSE)</f>
        <v>#N/A</v>
      </c>
    </row>
    <row r="6274" spans="1:10" x14ac:dyDescent="0.25">
      <c r="A6274">
        <v>7083</v>
      </c>
      <c r="B6274" t="s">
        <v>531</v>
      </c>
      <c r="C6274">
        <v>425</v>
      </c>
      <c r="D6274">
        <v>532</v>
      </c>
      <c r="E6274">
        <v>0</v>
      </c>
      <c r="F6274">
        <v>189</v>
      </c>
      <c r="G6274">
        <v>0</v>
      </c>
      <c r="H6274" t="s">
        <v>11193</v>
      </c>
      <c r="I6274">
        <v>7083</v>
      </c>
      <c r="J6274" t="e">
        <f>VLOOKUP(E6274,DSSpieler!A:B,2,FALSE)</f>
        <v>#N/A</v>
      </c>
    </row>
    <row r="6275" spans="1:10" x14ac:dyDescent="0.25">
      <c r="A6275">
        <v>7084</v>
      </c>
      <c r="B6275" t="s">
        <v>531</v>
      </c>
      <c r="C6275">
        <v>541</v>
      </c>
      <c r="D6275">
        <v>434</v>
      </c>
      <c r="E6275">
        <v>0</v>
      </c>
      <c r="F6275">
        <v>515</v>
      </c>
      <c r="G6275">
        <v>0</v>
      </c>
      <c r="H6275" t="s">
        <v>11194</v>
      </c>
      <c r="I6275">
        <v>7084</v>
      </c>
      <c r="J6275" t="e">
        <f>VLOOKUP(E6275,DSSpieler!A:B,2,FALSE)</f>
        <v>#N/A</v>
      </c>
    </row>
    <row r="6276" spans="1:10" x14ac:dyDescent="0.25">
      <c r="A6276">
        <v>7085</v>
      </c>
      <c r="B6276" t="s">
        <v>1615</v>
      </c>
      <c r="C6276">
        <v>469</v>
      </c>
      <c r="D6276">
        <v>436</v>
      </c>
      <c r="E6276">
        <v>1577196112</v>
      </c>
      <c r="F6276">
        <v>7619</v>
      </c>
      <c r="G6276">
        <v>0</v>
      </c>
      <c r="H6276" t="s">
        <v>11195</v>
      </c>
      <c r="I6276">
        <v>7085</v>
      </c>
      <c r="J6276" t="str">
        <f>VLOOKUP(E6276,DSSpieler!A:B,2,FALSE)</f>
        <v>klaus4</v>
      </c>
    </row>
    <row r="6277" spans="1:10" x14ac:dyDescent="0.25">
      <c r="A6277">
        <v>7086</v>
      </c>
      <c r="B6277" t="s">
        <v>33051</v>
      </c>
      <c r="C6277">
        <v>527</v>
      </c>
      <c r="D6277">
        <v>575</v>
      </c>
      <c r="E6277">
        <v>10229642</v>
      </c>
      <c r="F6277">
        <v>7554</v>
      </c>
      <c r="G6277">
        <v>0</v>
      </c>
      <c r="H6277" t="s">
        <v>11196</v>
      </c>
      <c r="I6277">
        <v>7086</v>
      </c>
      <c r="J6277" t="str">
        <f>VLOOKUP(E6277,DSSpieler!A:B,2,FALSE)</f>
        <v>Tollpatsch 5</v>
      </c>
    </row>
    <row r="6278" spans="1:10" x14ac:dyDescent="0.25">
      <c r="A6278">
        <v>7088</v>
      </c>
      <c r="B6278" t="s">
        <v>531</v>
      </c>
      <c r="C6278">
        <v>410</v>
      </c>
      <c r="D6278">
        <v>455</v>
      </c>
      <c r="E6278">
        <v>9980505</v>
      </c>
      <c r="F6278">
        <v>1547</v>
      </c>
      <c r="G6278">
        <v>0</v>
      </c>
      <c r="H6278" t="s">
        <v>11197</v>
      </c>
      <c r="I6278">
        <v>7088</v>
      </c>
      <c r="J6278" t="str">
        <f>VLOOKUP(E6278,DSSpieler!A:B,2,FALSE)</f>
        <v>joesef</v>
      </c>
    </row>
    <row r="6279" spans="1:10" x14ac:dyDescent="0.25">
      <c r="A6279">
        <v>7089</v>
      </c>
      <c r="B6279" t="s">
        <v>33052</v>
      </c>
      <c r="C6279">
        <v>553</v>
      </c>
      <c r="D6279">
        <v>443</v>
      </c>
      <c r="E6279">
        <v>1577133745</v>
      </c>
      <c r="F6279">
        <v>6112</v>
      </c>
      <c r="G6279">
        <v>0</v>
      </c>
      <c r="H6279" t="s">
        <v>11198</v>
      </c>
      <c r="I6279">
        <v>7089</v>
      </c>
      <c r="J6279" t="str">
        <f>VLOOKUP(E6279,DSSpieler!A:B,2,FALSE)</f>
        <v>Phime</v>
      </c>
    </row>
    <row r="6280" spans="1:10" x14ac:dyDescent="0.25">
      <c r="A6280">
        <v>7090</v>
      </c>
      <c r="B6280" t="s">
        <v>33053</v>
      </c>
      <c r="C6280">
        <v>572</v>
      </c>
      <c r="D6280">
        <v>460</v>
      </c>
      <c r="E6280">
        <v>1577138742</v>
      </c>
      <c r="F6280">
        <v>6815</v>
      </c>
      <c r="G6280">
        <v>0</v>
      </c>
      <c r="H6280" t="s">
        <v>11199</v>
      </c>
      <c r="I6280">
        <v>7090</v>
      </c>
      <c r="J6280" t="str">
        <f>VLOOKUP(E6280,DSSpieler!A:B,2,FALSE)</f>
        <v>Ohaio18</v>
      </c>
    </row>
    <row r="6281" spans="1:10" x14ac:dyDescent="0.25">
      <c r="A6281">
        <v>7091</v>
      </c>
      <c r="B6281" t="s">
        <v>531</v>
      </c>
      <c r="C6281">
        <v>515</v>
      </c>
      <c r="D6281">
        <v>420</v>
      </c>
      <c r="E6281">
        <v>0</v>
      </c>
      <c r="F6281">
        <v>1302</v>
      </c>
      <c r="G6281">
        <v>0</v>
      </c>
      <c r="H6281" t="s">
        <v>11200</v>
      </c>
      <c r="I6281">
        <v>7091</v>
      </c>
      <c r="J6281" t="e">
        <f>VLOOKUP(E6281,DSSpieler!A:B,2,FALSE)</f>
        <v>#N/A</v>
      </c>
    </row>
    <row r="6282" spans="1:10" x14ac:dyDescent="0.25">
      <c r="A6282">
        <v>7092</v>
      </c>
      <c r="B6282" t="s">
        <v>531</v>
      </c>
      <c r="C6282">
        <v>456</v>
      </c>
      <c r="D6282">
        <v>431</v>
      </c>
      <c r="E6282">
        <v>0</v>
      </c>
      <c r="F6282">
        <v>404</v>
      </c>
      <c r="G6282">
        <v>0</v>
      </c>
      <c r="H6282" t="s">
        <v>11201</v>
      </c>
      <c r="I6282">
        <v>7092</v>
      </c>
      <c r="J6282" t="e">
        <f>VLOOKUP(E6282,DSSpieler!A:B,2,FALSE)</f>
        <v>#N/A</v>
      </c>
    </row>
    <row r="6283" spans="1:10" x14ac:dyDescent="0.25">
      <c r="A6283">
        <v>7093</v>
      </c>
      <c r="B6283" t="s">
        <v>1616</v>
      </c>
      <c r="C6283">
        <v>469</v>
      </c>
      <c r="D6283">
        <v>426</v>
      </c>
      <c r="E6283">
        <v>1577190423</v>
      </c>
      <c r="F6283">
        <v>1138</v>
      </c>
      <c r="G6283">
        <v>0</v>
      </c>
      <c r="H6283" t="s">
        <v>11202</v>
      </c>
      <c r="I6283">
        <v>7093</v>
      </c>
      <c r="J6283" t="str">
        <f>VLOOKUP(E6283,DSSpieler!A:B,2,FALSE)</f>
        <v>F.KoppJunior</v>
      </c>
    </row>
    <row r="6284" spans="1:10" x14ac:dyDescent="0.25">
      <c r="A6284">
        <v>7094</v>
      </c>
      <c r="B6284" t="s">
        <v>33054</v>
      </c>
      <c r="C6284">
        <v>469</v>
      </c>
      <c r="D6284">
        <v>604</v>
      </c>
      <c r="E6284">
        <v>1577164263</v>
      </c>
      <c r="F6284">
        <v>5779</v>
      </c>
      <c r="G6284">
        <v>0</v>
      </c>
      <c r="H6284" t="s">
        <v>11203</v>
      </c>
      <c r="I6284">
        <v>7094</v>
      </c>
      <c r="J6284" t="str">
        <f>VLOOKUP(E6284,DSSpieler!A:B,2,FALSE)</f>
        <v>Hoaler91</v>
      </c>
    </row>
    <row r="6285" spans="1:10" x14ac:dyDescent="0.25">
      <c r="A6285">
        <v>7095</v>
      </c>
      <c r="B6285" t="s">
        <v>33055</v>
      </c>
      <c r="C6285">
        <v>482</v>
      </c>
      <c r="D6285">
        <v>406</v>
      </c>
      <c r="E6285">
        <v>1577166214</v>
      </c>
      <c r="F6285">
        <v>8302</v>
      </c>
      <c r="G6285">
        <v>0</v>
      </c>
      <c r="H6285" t="s">
        <v>11204</v>
      </c>
      <c r="I6285">
        <v>7095</v>
      </c>
      <c r="J6285" t="str">
        <f>VLOOKUP(E6285,DSSpieler!A:B,2,FALSE)</f>
        <v>RAT IRL</v>
      </c>
    </row>
    <row r="6286" spans="1:10" x14ac:dyDescent="0.25">
      <c r="A6286">
        <v>7096</v>
      </c>
      <c r="B6286" t="s">
        <v>531</v>
      </c>
      <c r="C6286">
        <v>511</v>
      </c>
      <c r="D6286">
        <v>418</v>
      </c>
      <c r="E6286">
        <v>0</v>
      </c>
      <c r="F6286">
        <v>695</v>
      </c>
      <c r="G6286">
        <v>0</v>
      </c>
      <c r="H6286" t="s">
        <v>11205</v>
      </c>
      <c r="I6286">
        <v>7096</v>
      </c>
      <c r="J6286" t="e">
        <f>VLOOKUP(E6286,DSSpieler!A:B,2,FALSE)</f>
        <v>#N/A</v>
      </c>
    </row>
    <row r="6287" spans="1:10" x14ac:dyDescent="0.25">
      <c r="A6287">
        <v>7097</v>
      </c>
      <c r="B6287" t="s">
        <v>33056</v>
      </c>
      <c r="C6287">
        <v>442</v>
      </c>
      <c r="D6287">
        <v>465</v>
      </c>
      <c r="E6287">
        <v>9354820</v>
      </c>
      <c r="F6287">
        <v>3820</v>
      </c>
      <c r="G6287">
        <v>0</v>
      </c>
      <c r="H6287" t="s">
        <v>11206</v>
      </c>
      <c r="I6287">
        <v>7097</v>
      </c>
      <c r="J6287" t="str">
        <f>VLOOKUP(E6287,DSSpieler!A:B,2,FALSE)</f>
        <v>Meisterknecht001</v>
      </c>
    </row>
    <row r="6288" spans="1:10" x14ac:dyDescent="0.25">
      <c r="A6288">
        <v>7098</v>
      </c>
      <c r="B6288" t="s">
        <v>531</v>
      </c>
      <c r="C6288">
        <v>566</v>
      </c>
      <c r="D6288">
        <v>452</v>
      </c>
      <c r="E6288">
        <v>0</v>
      </c>
      <c r="F6288">
        <v>211</v>
      </c>
      <c r="G6288">
        <v>0</v>
      </c>
      <c r="H6288" t="s">
        <v>11207</v>
      </c>
      <c r="I6288">
        <v>7098</v>
      </c>
      <c r="J6288" t="e">
        <f>VLOOKUP(E6288,DSSpieler!A:B,2,FALSE)</f>
        <v>#N/A</v>
      </c>
    </row>
    <row r="6289" spans="1:10" x14ac:dyDescent="0.25">
      <c r="A6289">
        <v>7099</v>
      </c>
      <c r="B6289" t="s">
        <v>33057</v>
      </c>
      <c r="C6289">
        <v>419</v>
      </c>
      <c r="D6289">
        <v>509</v>
      </c>
      <c r="E6289">
        <v>1577174186</v>
      </c>
      <c r="F6289">
        <v>4696</v>
      </c>
      <c r="G6289">
        <v>0</v>
      </c>
      <c r="H6289" t="s">
        <v>11208</v>
      </c>
      <c r="I6289">
        <v>7099</v>
      </c>
      <c r="J6289" t="str">
        <f>VLOOKUP(E6289,DSSpieler!A:B,2,FALSE)</f>
        <v>TuTsckin Dark</v>
      </c>
    </row>
    <row r="6290" spans="1:10" x14ac:dyDescent="0.25">
      <c r="A6290">
        <v>7100</v>
      </c>
      <c r="B6290" t="s">
        <v>531</v>
      </c>
      <c r="C6290">
        <v>468</v>
      </c>
      <c r="D6290">
        <v>418</v>
      </c>
      <c r="E6290">
        <v>0</v>
      </c>
      <c r="F6290">
        <v>447</v>
      </c>
      <c r="G6290">
        <v>0</v>
      </c>
      <c r="H6290" t="s">
        <v>11209</v>
      </c>
      <c r="I6290">
        <v>7100</v>
      </c>
      <c r="J6290" t="e">
        <f>VLOOKUP(E6290,DSSpieler!A:B,2,FALSE)</f>
        <v>#N/A</v>
      </c>
    </row>
    <row r="6291" spans="1:10" x14ac:dyDescent="0.25">
      <c r="A6291">
        <v>7101</v>
      </c>
      <c r="B6291" t="s">
        <v>531</v>
      </c>
      <c r="C6291">
        <v>398</v>
      </c>
      <c r="D6291">
        <v>536</v>
      </c>
      <c r="E6291">
        <v>0</v>
      </c>
      <c r="F6291">
        <v>658</v>
      </c>
      <c r="G6291">
        <v>0</v>
      </c>
      <c r="H6291" t="s">
        <v>11210</v>
      </c>
      <c r="I6291">
        <v>7101</v>
      </c>
      <c r="J6291" t="e">
        <f>VLOOKUP(E6291,DSSpieler!A:B,2,FALSE)</f>
        <v>#N/A</v>
      </c>
    </row>
    <row r="6292" spans="1:10" x14ac:dyDescent="0.25">
      <c r="A6292">
        <v>7102</v>
      </c>
      <c r="B6292" t="s">
        <v>1617</v>
      </c>
      <c r="C6292">
        <v>440</v>
      </c>
      <c r="D6292">
        <v>544</v>
      </c>
      <c r="E6292">
        <v>1577191291</v>
      </c>
      <c r="F6292">
        <v>1769</v>
      </c>
      <c r="G6292">
        <v>0</v>
      </c>
      <c r="H6292" t="s">
        <v>11211</v>
      </c>
      <c r="I6292">
        <v>7102</v>
      </c>
      <c r="J6292" t="str">
        <f>VLOOKUP(E6292,DSSpieler!A:B,2,FALSE)</f>
        <v>TheDope</v>
      </c>
    </row>
    <row r="6293" spans="1:10" x14ac:dyDescent="0.25">
      <c r="A6293">
        <v>7103</v>
      </c>
      <c r="B6293" t="s">
        <v>531</v>
      </c>
      <c r="C6293">
        <v>505</v>
      </c>
      <c r="D6293">
        <v>419</v>
      </c>
      <c r="E6293">
        <v>0</v>
      </c>
      <c r="F6293">
        <v>134</v>
      </c>
      <c r="G6293">
        <v>0</v>
      </c>
      <c r="H6293" t="s">
        <v>11212</v>
      </c>
      <c r="I6293">
        <v>7103</v>
      </c>
      <c r="J6293" t="e">
        <f>VLOOKUP(E6293,DSSpieler!A:B,2,FALSE)</f>
        <v>#N/A</v>
      </c>
    </row>
    <row r="6294" spans="1:10" x14ac:dyDescent="0.25">
      <c r="A6294">
        <v>7104</v>
      </c>
      <c r="B6294" t="s">
        <v>33058</v>
      </c>
      <c r="C6294">
        <v>598</v>
      </c>
      <c r="D6294">
        <v>511</v>
      </c>
      <c r="E6294">
        <v>1577126159</v>
      </c>
      <c r="F6294">
        <v>5072</v>
      </c>
      <c r="G6294">
        <v>0</v>
      </c>
      <c r="H6294" t="s">
        <v>11213</v>
      </c>
      <c r="I6294">
        <v>7104</v>
      </c>
      <c r="J6294" t="str">
        <f>VLOOKUP(E6294,DSSpieler!A:B,2,FALSE)</f>
        <v>Bohnski</v>
      </c>
    </row>
    <row r="6295" spans="1:10" x14ac:dyDescent="0.25">
      <c r="A6295">
        <v>7106</v>
      </c>
      <c r="B6295">
        <v>3</v>
      </c>
      <c r="C6295">
        <v>539</v>
      </c>
      <c r="D6295">
        <v>414</v>
      </c>
      <c r="E6295">
        <v>1872639</v>
      </c>
      <c r="F6295">
        <v>4801</v>
      </c>
      <c r="G6295">
        <v>0</v>
      </c>
      <c r="H6295" t="s">
        <v>11214</v>
      </c>
      <c r="I6295">
        <v>7106</v>
      </c>
      <c r="J6295" t="str">
        <f>VLOOKUP(E6295,DSSpieler!A:B,2,FALSE)</f>
        <v>X-er3000</v>
      </c>
    </row>
    <row r="6296" spans="1:10" x14ac:dyDescent="0.25">
      <c r="A6296">
        <v>7107</v>
      </c>
      <c r="B6296" t="s">
        <v>531</v>
      </c>
      <c r="C6296">
        <v>460</v>
      </c>
      <c r="D6296">
        <v>570</v>
      </c>
      <c r="E6296">
        <v>0</v>
      </c>
      <c r="F6296">
        <v>317</v>
      </c>
      <c r="G6296">
        <v>0</v>
      </c>
      <c r="H6296" t="s">
        <v>11215</v>
      </c>
      <c r="I6296">
        <v>7107</v>
      </c>
      <c r="J6296" t="e">
        <f>VLOOKUP(E6296,DSSpieler!A:B,2,FALSE)</f>
        <v>#N/A</v>
      </c>
    </row>
    <row r="6297" spans="1:10" x14ac:dyDescent="0.25">
      <c r="A6297">
        <v>7108</v>
      </c>
      <c r="B6297" t="s">
        <v>531</v>
      </c>
      <c r="C6297">
        <v>572</v>
      </c>
      <c r="D6297">
        <v>491</v>
      </c>
      <c r="E6297">
        <v>1576333645</v>
      </c>
      <c r="F6297">
        <v>4938</v>
      </c>
      <c r="G6297">
        <v>0</v>
      </c>
      <c r="H6297" t="s">
        <v>11216</v>
      </c>
      <c r="I6297">
        <v>7108</v>
      </c>
      <c r="J6297" t="str">
        <f>VLOOKUP(E6297,DSSpieler!A:B,2,FALSE)</f>
        <v>Sir Alexander</v>
      </c>
    </row>
    <row r="6298" spans="1:10" x14ac:dyDescent="0.25">
      <c r="A6298">
        <v>7110</v>
      </c>
      <c r="B6298" t="s">
        <v>33059</v>
      </c>
      <c r="C6298">
        <v>581</v>
      </c>
      <c r="D6298">
        <v>499</v>
      </c>
      <c r="E6298">
        <v>9553782</v>
      </c>
      <c r="F6298">
        <v>5618</v>
      </c>
      <c r="G6298">
        <v>0</v>
      </c>
      <c r="H6298" t="s">
        <v>11217</v>
      </c>
      <c r="I6298">
        <v>7110</v>
      </c>
      <c r="J6298" t="str">
        <f>VLOOKUP(E6298,DSSpieler!A:B,2,FALSE)</f>
        <v>panne 1998</v>
      </c>
    </row>
    <row r="6299" spans="1:10" x14ac:dyDescent="0.25">
      <c r="A6299">
        <v>7111</v>
      </c>
      <c r="B6299" t="s">
        <v>531</v>
      </c>
      <c r="C6299">
        <v>440</v>
      </c>
      <c r="D6299">
        <v>558</v>
      </c>
      <c r="E6299">
        <v>0</v>
      </c>
      <c r="F6299">
        <v>258</v>
      </c>
      <c r="G6299">
        <v>0</v>
      </c>
      <c r="H6299" t="s">
        <v>11218</v>
      </c>
      <c r="I6299">
        <v>7111</v>
      </c>
      <c r="J6299" t="e">
        <f>VLOOKUP(E6299,DSSpieler!A:B,2,FALSE)</f>
        <v>#N/A</v>
      </c>
    </row>
    <row r="6300" spans="1:10" x14ac:dyDescent="0.25">
      <c r="A6300">
        <v>7112</v>
      </c>
      <c r="B6300" t="s">
        <v>33060</v>
      </c>
      <c r="C6300">
        <v>556</v>
      </c>
      <c r="D6300">
        <v>439</v>
      </c>
      <c r="E6300">
        <v>1577168662</v>
      </c>
      <c r="F6300">
        <v>3802</v>
      </c>
      <c r="G6300">
        <v>0</v>
      </c>
      <c r="H6300" t="s">
        <v>11219</v>
      </c>
      <c r="I6300">
        <v>7112</v>
      </c>
      <c r="J6300" t="str">
        <f>VLOOKUP(E6300,DSSpieler!A:B,2,FALSE)</f>
        <v>Chrissize</v>
      </c>
    </row>
    <row r="6301" spans="1:10" x14ac:dyDescent="0.25">
      <c r="A6301">
        <v>7113</v>
      </c>
      <c r="B6301" t="s">
        <v>1618</v>
      </c>
      <c r="C6301">
        <v>526</v>
      </c>
      <c r="D6301">
        <v>408</v>
      </c>
      <c r="E6301">
        <v>1576079033</v>
      </c>
      <c r="F6301">
        <v>7560</v>
      </c>
      <c r="G6301">
        <v>0</v>
      </c>
      <c r="H6301" t="s">
        <v>11220</v>
      </c>
      <c r="I6301">
        <v>7113</v>
      </c>
      <c r="J6301" t="str">
        <f>VLOOKUP(E6301,DSSpieler!A:B,2,FALSE)</f>
        <v>UfBeX</v>
      </c>
    </row>
    <row r="6302" spans="1:10" x14ac:dyDescent="0.25">
      <c r="A6302">
        <v>7114</v>
      </c>
      <c r="B6302" t="s">
        <v>531</v>
      </c>
      <c r="C6302">
        <v>439</v>
      </c>
      <c r="D6302">
        <v>557</v>
      </c>
      <c r="E6302">
        <v>0</v>
      </c>
      <c r="F6302">
        <v>314</v>
      </c>
      <c r="G6302">
        <v>0</v>
      </c>
      <c r="H6302" t="s">
        <v>11221</v>
      </c>
      <c r="I6302">
        <v>7114</v>
      </c>
      <c r="J6302" t="e">
        <f>VLOOKUP(E6302,DSSpieler!A:B,2,FALSE)</f>
        <v>#N/A</v>
      </c>
    </row>
    <row r="6303" spans="1:10" x14ac:dyDescent="0.25">
      <c r="A6303">
        <v>7115</v>
      </c>
      <c r="B6303" t="s">
        <v>33061</v>
      </c>
      <c r="C6303">
        <v>419</v>
      </c>
      <c r="D6303">
        <v>487</v>
      </c>
      <c r="E6303">
        <v>1575971780</v>
      </c>
      <c r="F6303">
        <v>7491</v>
      </c>
      <c r="G6303">
        <v>0</v>
      </c>
      <c r="H6303" t="s">
        <v>11222</v>
      </c>
      <c r="I6303">
        <v>7115</v>
      </c>
      <c r="J6303" t="str">
        <f>VLOOKUP(E6303,DSSpieler!A:B,2,FALSE)</f>
        <v>Finnibear</v>
      </c>
    </row>
    <row r="6304" spans="1:10" x14ac:dyDescent="0.25">
      <c r="A6304">
        <v>7117</v>
      </c>
      <c r="B6304" t="s">
        <v>1619</v>
      </c>
      <c r="C6304">
        <v>452</v>
      </c>
      <c r="D6304">
        <v>568</v>
      </c>
      <c r="E6304">
        <v>693727</v>
      </c>
      <c r="F6304">
        <v>6410</v>
      </c>
      <c r="G6304">
        <v>0</v>
      </c>
      <c r="H6304" t="s">
        <v>11223</v>
      </c>
      <c r="I6304">
        <v>7117</v>
      </c>
      <c r="J6304" t="str">
        <f>VLOOKUP(E6304,DSSpieler!A:B,2,FALSE)</f>
        <v>joshear</v>
      </c>
    </row>
    <row r="6305" spans="1:10" x14ac:dyDescent="0.25">
      <c r="A6305">
        <v>7118</v>
      </c>
      <c r="B6305" t="s">
        <v>531</v>
      </c>
      <c r="C6305">
        <v>570</v>
      </c>
      <c r="D6305">
        <v>544</v>
      </c>
      <c r="E6305">
        <v>0</v>
      </c>
      <c r="F6305">
        <v>278</v>
      </c>
      <c r="G6305">
        <v>0</v>
      </c>
      <c r="H6305" t="s">
        <v>11224</v>
      </c>
      <c r="I6305">
        <v>7118</v>
      </c>
      <c r="J6305" t="e">
        <f>VLOOKUP(E6305,DSSpieler!A:B,2,FALSE)</f>
        <v>#N/A</v>
      </c>
    </row>
    <row r="6306" spans="1:10" x14ac:dyDescent="0.25">
      <c r="A6306">
        <v>7119</v>
      </c>
      <c r="B6306" t="s">
        <v>33062</v>
      </c>
      <c r="C6306">
        <v>558</v>
      </c>
      <c r="D6306">
        <v>441</v>
      </c>
      <c r="E6306">
        <v>1576023454</v>
      </c>
      <c r="F6306">
        <v>2041</v>
      </c>
      <c r="G6306">
        <v>0</v>
      </c>
      <c r="H6306" t="s">
        <v>11225</v>
      </c>
      <c r="I6306">
        <v>7119</v>
      </c>
      <c r="J6306" t="str">
        <f>VLOOKUP(E6306,DSSpieler!A:B,2,FALSE)</f>
        <v>Suizidfisch</v>
      </c>
    </row>
    <row r="6307" spans="1:10" x14ac:dyDescent="0.25">
      <c r="A6307">
        <v>7120</v>
      </c>
      <c r="B6307" t="s">
        <v>33063</v>
      </c>
      <c r="C6307">
        <v>545</v>
      </c>
      <c r="D6307">
        <v>430</v>
      </c>
      <c r="E6307">
        <v>1576874535</v>
      </c>
      <c r="F6307">
        <v>3608</v>
      </c>
      <c r="G6307">
        <v>0</v>
      </c>
      <c r="H6307" t="s">
        <v>11226</v>
      </c>
      <c r="I6307">
        <v>7120</v>
      </c>
      <c r="J6307" t="str">
        <f>VLOOKUP(E6307,DSSpieler!A:B,2,FALSE)</f>
        <v>gbpAR12</v>
      </c>
    </row>
    <row r="6308" spans="1:10" x14ac:dyDescent="0.25">
      <c r="A6308">
        <v>7121</v>
      </c>
      <c r="B6308" t="s">
        <v>31177</v>
      </c>
      <c r="C6308">
        <v>452</v>
      </c>
      <c r="D6308">
        <v>518</v>
      </c>
      <c r="E6308">
        <v>8311997</v>
      </c>
      <c r="F6308">
        <v>4250</v>
      </c>
      <c r="G6308">
        <v>0</v>
      </c>
      <c r="H6308" t="s">
        <v>11227</v>
      </c>
      <c r="I6308">
        <v>7121</v>
      </c>
      <c r="J6308" t="str">
        <f>VLOOKUP(E6308,DSSpieler!A:B,2,FALSE)</f>
        <v>Herzog Uli</v>
      </c>
    </row>
    <row r="6309" spans="1:10" x14ac:dyDescent="0.25">
      <c r="A6309">
        <v>7122</v>
      </c>
      <c r="B6309" t="s">
        <v>33064</v>
      </c>
      <c r="C6309">
        <v>577</v>
      </c>
      <c r="D6309">
        <v>468</v>
      </c>
      <c r="E6309">
        <v>1577198063</v>
      </c>
      <c r="F6309">
        <v>5852</v>
      </c>
      <c r="G6309">
        <v>0</v>
      </c>
      <c r="H6309" t="s">
        <v>11228</v>
      </c>
      <c r="I6309">
        <v>7122</v>
      </c>
      <c r="J6309" t="str">
        <f>VLOOKUP(E6309,DSSpieler!A:B,2,FALSE)</f>
        <v>Pinguin168</v>
      </c>
    </row>
    <row r="6310" spans="1:10" x14ac:dyDescent="0.25">
      <c r="A6310">
        <v>7123</v>
      </c>
      <c r="B6310" t="s">
        <v>33065</v>
      </c>
      <c r="C6310">
        <v>407</v>
      </c>
      <c r="D6310">
        <v>455</v>
      </c>
      <c r="E6310">
        <v>1576833722</v>
      </c>
      <c r="F6310">
        <v>2577</v>
      </c>
      <c r="G6310">
        <v>0</v>
      </c>
      <c r="H6310" t="s">
        <v>11229</v>
      </c>
      <c r="I6310">
        <v>7123</v>
      </c>
      <c r="J6310" t="str">
        <f>VLOOKUP(E6310,DSSpieler!A:B,2,FALSE)</f>
        <v>Alex31</v>
      </c>
    </row>
    <row r="6311" spans="1:10" x14ac:dyDescent="0.25">
      <c r="A6311">
        <v>7124</v>
      </c>
      <c r="B6311" t="s">
        <v>33066</v>
      </c>
      <c r="C6311">
        <v>461</v>
      </c>
      <c r="D6311">
        <v>429</v>
      </c>
      <c r="E6311">
        <v>1577198420</v>
      </c>
      <c r="F6311">
        <v>422</v>
      </c>
      <c r="G6311">
        <v>0</v>
      </c>
      <c r="H6311" t="s">
        <v>11230</v>
      </c>
      <c r="I6311">
        <v>7124</v>
      </c>
      <c r="J6311" t="str">
        <f>VLOOKUP(E6311,DSSpieler!A:B,2,FALSE)</f>
        <v>Merkur Fazzel</v>
      </c>
    </row>
    <row r="6312" spans="1:10" x14ac:dyDescent="0.25">
      <c r="A6312">
        <v>7125</v>
      </c>
      <c r="B6312" t="s">
        <v>531</v>
      </c>
      <c r="C6312">
        <v>595</v>
      </c>
      <c r="D6312">
        <v>529</v>
      </c>
      <c r="E6312">
        <v>0</v>
      </c>
      <c r="F6312">
        <v>594</v>
      </c>
      <c r="G6312">
        <v>0</v>
      </c>
      <c r="H6312" t="s">
        <v>11231</v>
      </c>
      <c r="I6312">
        <v>7125</v>
      </c>
      <c r="J6312" t="e">
        <f>VLOOKUP(E6312,DSSpieler!A:B,2,FALSE)</f>
        <v>#N/A</v>
      </c>
    </row>
    <row r="6313" spans="1:10" x14ac:dyDescent="0.25">
      <c r="A6313">
        <v>7127</v>
      </c>
      <c r="B6313" t="s">
        <v>780</v>
      </c>
      <c r="C6313">
        <v>608</v>
      </c>
      <c r="D6313">
        <v>521</v>
      </c>
      <c r="E6313">
        <v>1576221095</v>
      </c>
      <c r="F6313">
        <v>5587</v>
      </c>
      <c r="G6313">
        <v>0</v>
      </c>
      <c r="H6313" t="s">
        <v>11232</v>
      </c>
      <c r="I6313">
        <v>7127</v>
      </c>
      <c r="J6313" t="str">
        <f>VLOOKUP(E6313,DSSpieler!A:B,2,FALSE)</f>
        <v>WarumDefen?</v>
      </c>
    </row>
    <row r="6314" spans="1:10" x14ac:dyDescent="0.25">
      <c r="A6314">
        <v>7128</v>
      </c>
      <c r="B6314" t="s">
        <v>531</v>
      </c>
      <c r="C6314">
        <v>458</v>
      </c>
      <c r="D6314">
        <v>430</v>
      </c>
      <c r="E6314">
        <v>0</v>
      </c>
      <c r="F6314">
        <v>248</v>
      </c>
      <c r="G6314">
        <v>0</v>
      </c>
      <c r="H6314" t="s">
        <v>11233</v>
      </c>
      <c r="I6314">
        <v>7128</v>
      </c>
      <c r="J6314" t="e">
        <f>VLOOKUP(E6314,DSSpieler!A:B,2,FALSE)</f>
        <v>#N/A</v>
      </c>
    </row>
    <row r="6315" spans="1:10" x14ac:dyDescent="0.25">
      <c r="A6315">
        <v>7129</v>
      </c>
      <c r="B6315" t="s">
        <v>33067</v>
      </c>
      <c r="C6315">
        <v>453</v>
      </c>
      <c r="D6315">
        <v>452</v>
      </c>
      <c r="E6315">
        <v>1577141786</v>
      </c>
      <c r="F6315">
        <v>5316</v>
      </c>
      <c r="G6315">
        <v>0</v>
      </c>
      <c r="H6315" t="s">
        <v>11234</v>
      </c>
      <c r="I6315">
        <v>7129</v>
      </c>
      <c r="J6315" t="str">
        <f>VLOOKUP(E6315,DSSpieler!A:B,2,FALSE)</f>
        <v>Potm4ever</v>
      </c>
    </row>
    <row r="6316" spans="1:10" x14ac:dyDescent="0.25">
      <c r="A6316">
        <v>7130</v>
      </c>
      <c r="B6316" t="s">
        <v>531</v>
      </c>
      <c r="C6316">
        <v>580</v>
      </c>
      <c r="D6316">
        <v>485</v>
      </c>
      <c r="E6316">
        <v>0</v>
      </c>
      <c r="F6316">
        <v>409</v>
      </c>
      <c r="G6316">
        <v>0</v>
      </c>
      <c r="H6316" t="s">
        <v>11235</v>
      </c>
      <c r="I6316">
        <v>7130</v>
      </c>
      <c r="J6316" t="e">
        <f>VLOOKUP(E6316,DSSpieler!A:B,2,FALSE)</f>
        <v>#N/A</v>
      </c>
    </row>
    <row r="6317" spans="1:10" x14ac:dyDescent="0.25">
      <c r="A6317">
        <v>7131</v>
      </c>
      <c r="B6317" t="s">
        <v>33068</v>
      </c>
      <c r="C6317">
        <v>584</v>
      </c>
      <c r="D6317">
        <v>491</v>
      </c>
      <c r="E6317">
        <v>9202979</v>
      </c>
      <c r="F6317">
        <v>5960</v>
      </c>
      <c r="G6317">
        <v>0</v>
      </c>
      <c r="H6317" t="s">
        <v>11236</v>
      </c>
      <c r="I6317">
        <v>7131</v>
      </c>
      <c r="J6317" t="str">
        <f>VLOOKUP(E6317,DSSpieler!A:B,2,FALSE)</f>
        <v>HilariousLotus</v>
      </c>
    </row>
    <row r="6318" spans="1:10" x14ac:dyDescent="0.25">
      <c r="A6318">
        <v>7132</v>
      </c>
      <c r="B6318" t="s">
        <v>780</v>
      </c>
      <c r="C6318">
        <v>607</v>
      </c>
      <c r="D6318">
        <v>506</v>
      </c>
      <c r="E6318">
        <v>1577177113</v>
      </c>
      <c r="F6318">
        <v>6723</v>
      </c>
      <c r="G6318">
        <v>0</v>
      </c>
      <c r="H6318" t="s">
        <v>11237</v>
      </c>
      <c r="I6318">
        <v>7132</v>
      </c>
      <c r="J6318" t="str">
        <f>VLOOKUP(E6318,DSSpieler!A:B,2,FALSE)</f>
        <v>Bulk Biceps</v>
      </c>
    </row>
    <row r="6319" spans="1:10" x14ac:dyDescent="0.25">
      <c r="A6319">
        <v>7133</v>
      </c>
      <c r="B6319" t="s">
        <v>1620</v>
      </c>
      <c r="C6319">
        <v>560</v>
      </c>
      <c r="D6319">
        <v>466</v>
      </c>
      <c r="E6319">
        <v>8334558</v>
      </c>
      <c r="F6319">
        <v>4541</v>
      </c>
      <c r="G6319">
        <v>0</v>
      </c>
      <c r="H6319" t="s">
        <v>11238</v>
      </c>
      <c r="I6319">
        <v>7133</v>
      </c>
      <c r="J6319" t="str">
        <f>VLOOKUP(E6319,DSSpieler!A:B,2,FALSE)</f>
        <v>xHannes</v>
      </c>
    </row>
    <row r="6320" spans="1:10" x14ac:dyDescent="0.25">
      <c r="A6320">
        <v>7134</v>
      </c>
      <c r="B6320" t="s">
        <v>531</v>
      </c>
      <c r="C6320">
        <v>536</v>
      </c>
      <c r="D6320">
        <v>455</v>
      </c>
      <c r="E6320">
        <v>0</v>
      </c>
      <c r="F6320">
        <v>1341</v>
      </c>
      <c r="G6320">
        <v>0</v>
      </c>
      <c r="H6320" t="s">
        <v>11239</v>
      </c>
      <c r="I6320">
        <v>7134</v>
      </c>
      <c r="J6320" t="e">
        <f>VLOOKUP(E6320,DSSpieler!A:B,2,FALSE)</f>
        <v>#N/A</v>
      </c>
    </row>
    <row r="6321" spans="1:10" x14ac:dyDescent="0.25">
      <c r="A6321">
        <v>7135</v>
      </c>
      <c r="B6321" t="s">
        <v>1621</v>
      </c>
      <c r="C6321">
        <v>474</v>
      </c>
      <c r="D6321">
        <v>444</v>
      </c>
      <c r="E6321">
        <v>1577157734</v>
      </c>
      <c r="F6321">
        <v>1621</v>
      </c>
      <c r="G6321">
        <v>0</v>
      </c>
      <c r="H6321" t="s">
        <v>11240</v>
      </c>
      <c r="I6321">
        <v>7135</v>
      </c>
      <c r="J6321" t="str">
        <f>VLOOKUP(E6321,DSSpieler!A:B,2,FALSE)</f>
        <v>Valak</v>
      </c>
    </row>
    <row r="6322" spans="1:10" x14ac:dyDescent="0.25">
      <c r="A6322">
        <v>7136</v>
      </c>
      <c r="B6322">
        <v>3</v>
      </c>
      <c r="C6322">
        <v>569</v>
      </c>
      <c r="D6322">
        <v>459</v>
      </c>
      <c r="E6322">
        <v>1577197919</v>
      </c>
      <c r="F6322">
        <v>3059</v>
      </c>
      <c r="G6322">
        <v>0</v>
      </c>
      <c r="H6322" t="s">
        <v>11241</v>
      </c>
      <c r="I6322">
        <v>7136</v>
      </c>
      <c r="J6322" t="str">
        <f>VLOOKUP(E6322,DSSpieler!A:B,2,FALSE)</f>
        <v>3RorR1</v>
      </c>
    </row>
    <row r="6323" spans="1:10" x14ac:dyDescent="0.25">
      <c r="A6323">
        <v>7137</v>
      </c>
      <c r="B6323" t="s">
        <v>531</v>
      </c>
      <c r="C6323">
        <v>544</v>
      </c>
      <c r="D6323">
        <v>578</v>
      </c>
      <c r="E6323">
        <v>0</v>
      </c>
      <c r="F6323">
        <v>866</v>
      </c>
      <c r="G6323">
        <v>0</v>
      </c>
      <c r="H6323" t="s">
        <v>11242</v>
      </c>
      <c r="I6323">
        <v>7137</v>
      </c>
      <c r="J6323" t="e">
        <f>VLOOKUP(E6323,DSSpieler!A:B,2,FALSE)</f>
        <v>#N/A</v>
      </c>
    </row>
    <row r="6324" spans="1:10" x14ac:dyDescent="0.25">
      <c r="A6324">
        <v>7138</v>
      </c>
      <c r="B6324" t="s">
        <v>1622</v>
      </c>
      <c r="C6324">
        <v>583</v>
      </c>
      <c r="D6324">
        <v>492</v>
      </c>
      <c r="E6324">
        <v>1576516425</v>
      </c>
      <c r="F6324">
        <v>414</v>
      </c>
      <c r="G6324">
        <v>0</v>
      </c>
      <c r="H6324" t="s">
        <v>11243</v>
      </c>
      <c r="I6324">
        <v>7138</v>
      </c>
      <c r="J6324" t="str">
        <f>VLOOKUP(E6324,DSSpieler!A:B,2,FALSE)</f>
        <v>steinbock10</v>
      </c>
    </row>
    <row r="6325" spans="1:10" x14ac:dyDescent="0.25">
      <c r="A6325">
        <v>7139</v>
      </c>
      <c r="B6325" t="e">
        <f>-2-+Baltimore</f>
        <v>#NAME?</v>
      </c>
      <c r="C6325">
        <v>484</v>
      </c>
      <c r="D6325">
        <v>420</v>
      </c>
      <c r="E6325">
        <v>1575904868</v>
      </c>
      <c r="F6325">
        <v>1947</v>
      </c>
      <c r="G6325">
        <v>0</v>
      </c>
      <c r="H6325" t="s">
        <v>11244</v>
      </c>
      <c r="I6325">
        <v>7139</v>
      </c>
      <c r="J6325" t="str">
        <f>VLOOKUP(E6325,DSSpieler!A:B,2,FALSE)</f>
        <v>Djar1806</v>
      </c>
    </row>
    <row r="6326" spans="1:10" x14ac:dyDescent="0.25">
      <c r="A6326">
        <v>7140</v>
      </c>
      <c r="B6326" t="s">
        <v>33069</v>
      </c>
      <c r="C6326">
        <v>590</v>
      </c>
      <c r="D6326">
        <v>538</v>
      </c>
      <c r="E6326">
        <v>1576125761</v>
      </c>
      <c r="F6326">
        <v>5153</v>
      </c>
      <c r="G6326">
        <v>0</v>
      </c>
      <c r="H6326" t="s">
        <v>11245</v>
      </c>
      <c r="I6326">
        <v>7140</v>
      </c>
      <c r="J6326" t="str">
        <f>VLOOKUP(E6326,DSSpieler!A:B,2,FALSE)</f>
        <v>Riotyouth</v>
      </c>
    </row>
    <row r="6327" spans="1:10" x14ac:dyDescent="0.25">
      <c r="A6327">
        <v>7141</v>
      </c>
      <c r="B6327" t="s">
        <v>33070</v>
      </c>
      <c r="C6327">
        <v>494</v>
      </c>
      <c r="D6327">
        <v>418</v>
      </c>
      <c r="E6327">
        <v>1577186342</v>
      </c>
      <c r="F6327">
        <v>5515</v>
      </c>
      <c r="G6327">
        <v>0</v>
      </c>
      <c r="H6327" t="s">
        <v>11246</v>
      </c>
      <c r="I6327">
        <v>7141</v>
      </c>
      <c r="J6327" t="str">
        <f>VLOOKUP(E6327,DSSpieler!A:B,2,FALSE)</f>
        <v>ichundmeinvolk</v>
      </c>
    </row>
    <row r="6328" spans="1:10" x14ac:dyDescent="0.25">
      <c r="A6328">
        <v>7142</v>
      </c>
      <c r="B6328" t="s">
        <v>33071</v>
      </c>
      <c r="C6328">
        <v>549</v>
      </c>
      <c r="D6328">
        <v>523</v>
      </c>
      <c r="E6328">
        <v>8983119</v>
      </c>
      <c r="F6328">
        <v>1344</v>
      </c>
      <c r="G6328">
        <v>0</v>
      </c>
      <c r="H6328" t="s">
        <v>11247</v>
      </c>
      <c r="I6328">
        <v>7142</v>
      </c>
      <c r="J6328" t="str">
        <f>VLOOKUP(E6328,DSSpieler!A:B,2,FALSE)</f>
        <v>Miss-Persidrall</v>
      </c>
    </row>
    <row r="6329" spans="1:10" x14ac:dyDescent="0.25">
      <c r="A6329">
        <v>7144</v>
      </c>
      <c r="B6329" t="s">
        <v>531</v>
      </c>
      <c r="C6329">
        <v>573</v>
      </c>
      <c r="D6329">
        <v>463</v>
      </c>
      <c r="E6329">
        <v>0</v>
      </c>
      <c r="F6329">
        <v>1107</v>
      </c>
      <c r="G6329">
        <v>0</v>
      </c>
      <c r="H6329" t="s">
        <v>11248</v>
      </c>
      <c r="I6329">
        <v>7144</v>
      </c>
      <c r="J6329" t="e">
        <f>VLOOKUP(E6329,DSSpieler!A:B,2,FALSE)</f>
        <v>#N/A</v>
      </c>
    </row>
    <row r="6330" spans="1:10" x14ac:dyDescent="0.25">
      <c r="A6330">
        <v>7145</v>
      </c>
      <c r="B6330" t="s">
        <v>33072</v>
      </c>
      <c r="C6330">
        <v>464</v>
      </c>
      <c r="D6330">
        <v>575</v>
      </c>
      <c r="E6330">
        <v>1369880</v>
      </c>
      <c r="F6330">
        <v>6698</v>
      </c>
      <c r="G6330">
        <v>0</v>
      </c>
      <c r="H6330" t="s">
        <v>11249</v>
      </c>
      <c r="I6330">
        <v>7145</v>
      </c>
      <c r="J6330" t="str">
        <f>VLOOKUP(E6330,DSSpieler!A:B,2,FALSE)</f>
        <v>Cellme</v>
      </c>
    </row>
    <row r="6331" spans="1:10" x14ac:dyDescent="0.25">
      <c r="A6331">
        <v>7146</v>
      </c>
      <c r="B6331" t="s">
        <v>531</v>
      </c>
      <c r="C6331">
        <v>579</v>
      </c>
      <c r="D6331">
        <v>480</v>
      </c>
      <c r="E6331">
        <v>0</v>
      </c>
      <c r="F6331">
        <v>380</v>
      </c>
      <c r="G6331">
        <v>0</v>
      </c>
      <c r="H6331" t="s">
        <v>11250</v>
      </c>
      <c r="I6331">
        <v>7146</v>
      </c>
      <c r="J6331" t="e">
        <f>VLOOKUP(E6331,DSSpieler!A:B,2,FALSE)</f>
        <v>#N/A</v>
      </c>
    </row>
    <row r="6332" spans="1:10" x14ac:dyDescent="0.25">
      <c r="A6332">
        <v>7147</v>
      </c>
      <c r="B6332" t="s">
        <v>531</v>
      </c>
      <c r="C6332">
        <v>539</v>
      </c>
      <c r="D6332">
        <v>427</v>
      </c>
      <c r="E6332">
        <v>0</v>
      </c>
      <c r="F6332">
        <v>242</v>
      </c>
      <c r="G6332">
        <v>0</v>
      </c>
      <c r="H6332" t="s">
        <v>11251</v>
      </c>
      <c r="I6332">
        <v>7147</v>
      </c>
      <c r="J6332" t="e">
        <f>VLOOKUP(E6332,DSSpieler!A:B,2,FALSE)</f>
        <v>#N/A</v>
      </c>
    </row>
    <row r="6333" spans="1:10" x14ac:dyDescent="0.25">
      <c r="A6333">
        <v>7148</v>
      </c>
      <c r="B6333" t="s">
        <v>531</v>
      </c>
      <c r="C6333">
        <v>543</v>
      </c>
      <c r="D6333">
        <v>579</v>
      </c>
      <c r="E6333">
        <v>0</v>
      </c>
      <c r="F6333">
        <v>1114</v>
      </c>
      <c r="G6333">
        <v>0</v>
      </c>
      <c r="H6333" t="s">
        <v>11252</v>
      </c>
      <c r="I6333">
        <v>7148</v>
      </c>
      <c r="J6333" t="e">
        <f>VLOOKUP(E6333,DSSpieler!A:B,2,FALSE)</f>
        <v>#N/A</v>
      </c>
    </row>
    <row r="6334" spans="1:10" x14ac:dyDescent="0.25">
      <c r="A6334">
        <v>7149</v>
      </c>
      <c r="B6334" t="s">
        <v>531</v>
      </c>
      <c r="C6334">
        <v>500</v>
      </c>
      <c r="D6334">
        <v>582</v>
      </c>
      <c r="E6334">
        <v>0</v>
      </c>
      <c r="F6334">
        <v>407</v>
      </c>
      <c r="G6334">
        <v>0</v>
      </c>
      <c r="H6334" t="s">
        <v>11253</v>
      </c>
      <c r="I6334">
        <v>7149</v>
      </c>
      <c r="J6334" t="e">
        <f>VLOOKUP(E6334,DSSpieler!A:B,2,FALSE)</f>
        <v>#N/A</v>
      </c>
    </row>
    <row r="6335" spans="1:10" x14ac:dyDescent="0.25">
      <c r="A6335">
        <v>7150</v>
      </c>
      <c r="B6335" t="s">
        <v>531</v>
      </c>
      <c r="C6335">
        <v>463</v>
      </c>
      <c r="D6335">
        <v>571</v>
      </c>
      <c r="E6335">
        <v>0</v>
      </c>
      <c r="F6335">
        <v>905</v>
      </c>
      <c r="G6335">
        <v>0</v>
      </c>
      <c r="H6335" t="s">
        <v>11254</v>
      </c>
      <c r="I6335">
        <v>7150</v>
      </c>
      <c r="J6335" t="e">
        <f>VLOOKUP(E6335,DSSpieler!A:B,2,FALSE)</f>
        <v>#N/A</v>
      </c>
    </row>
    <row r="6336" spans="1:10" x14ac:dyDescent="0.25">
      <c r="A6336">
        <v>7151</v>
      </c>
      <c r="B6336" t="s">
        <v>33073</v>
      </c>
      <c r="C6336">
        <v>412</v>
      </c>
      <c r="D6336">
        <v>536</v>
      </c>
      <c r="E6336">
        <v>1577195923</v>
      </c>
      <c r="F6336">
        <v>4669</v>
      </c>
      <c r="G6336">
        <v>0</v>
      </c>
      <c r="H6336" t="s">
        <v>11255</v>
      </c>
      <c r="I6336">
        <v>7151</v>
      </c>
      <c r="J6336" t="str">
        <f>VLOOKUP(E6336,DSSpieler!A:B,2,FALSE)</f>
        <v>Juligon93</v>
      </c>
    </row>
    <row r="6337" spans="1:10" x14ac:dyDescent="0.25">
      <c r="A6337">
        <v>7152</v>
      </c>
      <c r="B6337" t="s">
        <v>33074</v>
      </c>
      <c r="C6337">
        <v>466</v>
      </c>
      <c r="D6337">
        <v>466</v>
      </c>
      <c r="E6337">
        <v>1577186290</v>
      </c>
      <c r="F6337">
        <v>5030</v>
      </c>
      <c r="G6337">
        <v>0</v>
      </c>
      <c r="H6337" t="s">
        <v>11256</v>
      </c>
      <c r="I6337">
        <v>7152</v>
      </c>
      <c r="J6337" t="str">
        <f>VLOOKUP(E6337,DSSpieler!A:B,2,FALSE)</f>
        <v>WhyIsThisNull</v>
      </c>
    </row>
    <row r="6338" spans="1:10" x14ac:dyDescent="0.25">
      <c r="A6338">
        <v>7153</v>
      </c>
      <c r="B6338" t="s">
        <v>531</v>
      </c>
      <c r="C6338">
        <v>473</v>
      </c>
      <c r="D6338">
        <v>577</v>
      </c>
      <c r="E6338">
        <v>0</v>
      </c>
      <c r="F6338">
        <v>443</v>
      </c>
      <c r="G6338">
        <v>0</v>
      </c>
      <c r="H6338" t="s">
        <v>11257</v>
      </c>
      <c r="I6338">
        <v>7153</v>
      </c>
      <c r="J6338" t="e">
        <f>VLOOKUP(E6338,DSSpieler!A:B,2,FALSE)</f>
        <v>#N/A</v>
      </c>
    </row>
    <row r="6339" spans="1:10" x14ac:dyDescent="0.25">
      <c r="A6339">
        <v>7154</v>
      </c>
      <c r="B6339" t="s">
        <v>531</v>
      </c>
      <c r="C6339">
        <v>581</v>
      </c>
      <c r="D6339">
        <v>510</v>
      </c>
      <c r="E6339">
        <v>0</v>
      </c>
      <c r="F6339">
        <v>303</v>
      </c>
      <c r="G6339">
        <v>0</v>
      </c>
      <c r="H6339" t="s">
        <v>11258</v>
      </c>
      <c r="I6339">
        <v>7154</v>
      </c>
      <c r="J6339" t="e">
        <f>VLOOKUP(E6339,DSSpieler!A:B,2,FALSE)</f>
        <v>#N/A</v>
      </c>
    </row>
    <row r="6340" spans="1:10" x14ac:dyDescent="0.25">
      <c r="A6340">
        <v>7155</v>
      </c>
      <c r="B6340" t="s">
        <v>31916</v>
      </c>
      <c r="C6340">
        <v>527</v>
      </c>
      <c r="D6340">
        <v>580</v>
      </c>
      <c r="E6340">
        <v>1577163324</v>
      </c>
      <c r="F6340">
        <v>2862</v>
      </c>
      <c r="G6340">
        <v>0</v>
      </c>
      <c r="H6340" t="s">
        <v>11259</v>
      </c>
      <c r="I6340">
        <v>7155</v>
      </c>
      <c r="J6340" t="str">
        <f>VLOOKUP(E6340,DSSpieler!A:B,2,FALSE)</f>
        <v>König Remiee</v>
      </c>
    </row>
    <row r="6341" spans="1:10" x14ac:dyDescent="0.25">
      <c r="A6341">
        <v>7156</v>
      </c>
      <c r="B6341" t="s">
        <v>33075</v>
      </c>
      <c r="C6341">
        <v>504</v>
      </c>
      <c r="D6341">
        <v>400</v>
      </c>
      <c r="E6341">
        <v>1150935</v>
      </c>
      <c r="F6341">
        <v>6529</v>
      </c>
      <c r="G6341">
        <v>0</v>
      </c>
      <c r="H6341" t="s">
        <v>11260</v>
      </c>
      <c r="I6341">
        <v>7156</v>
      </c>
      <c r="J6341" t="str">
        <f>VLOOKUP(E6341,DSSpieler!A:B,2,FALSE)</f>
        <v>Darmstadt2</v>
      </c>
    </row>
    <row r="6342" spans="1:10" x14ac:dyDescent="0.25">
      <c r="A6342">
        <v>7157</v>
      </c>
      <c r="B6342" t="s">
        <v>531</v>
      </c>
      <c r="C6342">
        <v>491</v>
      </c>
      <c r="D6342">
        <v>582</v>
      </c>
      <c r="E6342">
        <v>0</v>
      </c>
      <c r="F6342">
        <v>848</v>
      </c>
      <c r="G6342">
        <v>0</v>
      </c>
      <c r="H6342" t="s">
        <v>11261</v>
      </c>
      <c r="I6342">
        <v>7157</v>
      </c>
      <c r="J6342" t="e">
        <f>VLOOKUP(E6342,DSSpieler!A:B,2,FALSE)</f>
        <v>#N/A</v>
      </c>
    </row>
    <row r="6343" spans="1:10" x14ac:dyDescent="0.25">
      <c r="A6343">
        <v>7158</v>
      </c>
      <c r="B6343" t="s">
        <v>33076</v>
      </c>
      <c r="C6343">
        <v>534</v>
      </c>
      <c r="D6343">
        <v>417</v>
      </c>
      <c r="E6343">
        <v>7653905</v>
      </c>
      <c r="F6343">
        <v>4975</v>
      </c>
      <c r="G6343">
        <v>0</v>
      </c>
      <c r="H6343" t="s">
        <v>11262</v>
      </c>
      <c r="I6343">
        <v>7158</v>
      </c>
      <c r="J6343" t="str">
        <f>VLOOKUP(E6343,DSSpieler!A:B,2,FALSE)</f>
        <v>Us934</v>
      </c>
    </row>
    <row r="6344" spans="1:10" x14ac:dyDescent="0.25">
      <c r="A6344">
        <v>7159</v>
      </c>
      <c r="B6344" t="s">
        <v>531</v>
      </c>
      <c r="C6344">
        <v>536</v>
      </c>
      <c r="D6344">
        <v>410</v>
      </c>
      <c r="E6344">
        <v>0</v>
      </c>
      <c r="F6344">
        <v>412</v>
      </c>
      <c r="G6344">
        <v>0</v>
      </c>
      <c r="H6344" t="s">
        <v>11263</v>
      </c>
      <c r="I6344">
        <v>7159</v>
      </c>
      <c r="J6344" t="e">
        <f>VLOOKUP(E6344,DSSpieler!A:B,2,FALSE)</f>
        <v>#N/A</v>
      </c>
    </row>
    <row r="6345" spans="1:10" x14ac:dyDescent="0.25">
      <c r="A6345">
        <v>7160</v>
      </c>
      <c r="B6345" t="s">
        <v>531</v>
      </c>
      <c r="C6345">
        <v>423</v>
      </c>
      <c r="D6345">
        <v>523</v>
      </c>
      <c r="E6345">
        <v>0</v>
      </c>
      <c r="F6345">
        <v>338</v>
      </c>
      <c r="G6345">
        <v>0</v>
      </c>
      <c r="H6345" t="s">
        <v>11264</v>
      </c>
      <c r="I6345">
        <v>7160</v>
      </c>
      <c r="J6345" t="e">
        <f>VLOOKUP(E6345,DSSpieler!A:B,2,FALSE)</f>
        <v>#N/A</v>
      </c>
    </row>
    <row r="6346" spans="1:10" x14ac:dyDescent="0.25">
      <c r="A6346">
        <v>7161</v>
      </c>
      <c r="B6346" t="s">
        <v>780</v>
      </c>
      <c r="C6346">
        <v>600</v>
      </c>
      <c r="D6346">
        <v>522</v>
      </c>
      <c r="E6346">
        <v>1576864272</v>
      </c>
      <c r="F6346">
        <v>5993</v>
      </c>
      <c r="G6346">
        <v>0</v>
      </c>
      <c r="H6346" t="s">
        <v>11265</v>
      </c>
      <c r="I6346">
        <v>7161</v>
      </c>
      <c r="J6346" t="str">
        <f>VLOOKUP(E6346,DSSpieler!A:B,2,FALSE)</f>
        <v>iToxic</v>
      </c>
    </row>
    <row r="6347" spans="1:10" x14ac:dyDescent="0.25">
      <c r="A6347">
        <v>7162</v>
      </c>
      <c r="B6347" t="s">
        <v>33077</v>
      </c>
      <c r="C6347">
        <v>531</v>
      </c>
      <c r="D6347">
        <v>568</v>
      </c>
      <c r="E6347">
        <v>9581476</v>
      </c>
      <c r="F6347">
        <v>1975</v>
      </c>
      <c r="G6347">
        <v>0</v>
      </c>
      <c r="H6347" t="s">
        <v>11266</v>
      </c>
      <c r="I6347">
        <v>7162</v>
      </c>
      <c r="J6347" t="str">
        <f>VLOOKUP(E6347,DSSpieler!A:B,2,FALSE)</f>
        <v>Wow4ik21</v>
      </c>
    </row>
    <row r="6348" spans="1:10" x14ac:dyDescent="0.25">
      <c r="A6348">
        <v>7163</v>
      </c>
      <c r="B6348" t="s">
        <v>531</v>
      </c>
      <c r="C6348">
        <v>570</v>
      </c>
      <c r="D6348">
        <v>541</v>
      </c>
      <c r="E6348">
        <v>0</v>
      </c>
      <c r="F6348">
        <v>648</v>
      </c>
      <c r="G6348">
        <v>0</v>
      </c>
      <c r="H6348" t="s">
        <v>11267</v>
      </c>
      <c r="I6348">
        <v>7163</v>
      </c>
      <c r="J6348" t="e">
        <f>VLOOKUP(E6348,DSSpieler!A:B,2,FALSE)</f>
        <v>#N/A</v>
      </c>
    </row>
    <row r="6349" spans="1:10" x14ac:dyDescent="0.25">
      <c r="A6349">
        <v>7164</v>
      </c>
      <c r="B6349" t="s">
        <v>33078</v>
      </c>
      <c r="C6349">
        <v>591</v>
      </c>
      <c r="D6349">
        <v>436</v>
      </c>
      <c r="E6349">
        <v>1577165540</v>
      </c>
      <c r="F6349">
        <v>7459</v>
      </c>
      <c r="G6349">
        <v>0</v>
      </c>
      <c r="H6349" t="s">
        <v>11268</v>
      </c>
      <c r="I6349">
        <v>7164</v>
      </c>
      <c r="J6349" t="str">
        <f>VLOOKUP(E6349,DSSpieler!A:B,2,FALSE)</f>
        <v>EyLeude</v>
      </c>
    </row>
    <row r="6350" spans="1:10" x14ac:dyDescent="0.25">
      <c r="A6350">
        <v>7165</v>
      </c>
      <c r="B6350" t="s">
        <v>531</v>
      </c>
      <c r="C6350">
        <v>533</v>
      </c>
      <c r="D6350">
        <v>575</v>
      </c>
      <c r="E6350">
        <v>0</v>
      </c>
      <c r="F6350">
        <v>226</v>
      </c>
      <c r="G6350">
        <v>0</v>
      </c>
      <c r="H6350" t="s">
        <v>11269</v>
      </c>
      <c r="I6350">
        <v>7165</v>
      </c>
      <c r="J6350" t="e">
        <f>VLOOKUP(E6350,DSSpieler!A:B,2,FALSE)</f>
        <v>#N/A</v>
      </c>
    </row>
    <row r="6351" spans="1:10" x14ac:dyDescent="0.25">
      <c r="A6351">
        <v>7166</v>
      </c>
      <c r="B6351" t="s">
        <v>31687</v>
      </c>
      <c r="C6351">
        <v>482</v>
      </c>
      <c r="D6351">
        <v>582</v>
      </c>
      <c r="E6351">
        <v>1576996406</v>
      </c>
      <c r="F6351">
        <v>5058</v>
      </c>
      <c r="G6351">
        <v>0</v>
      </c>
      <c r="H6351" t="s">
        <v>11270</v>
      </c>
      <c r="I6351">
        <v>7166</v>
      </c>
      <c r="J6351" t="str">
        <f>VLOOKUP(E6351,DSSpieler!A:B,2,FALSE)</f>
        <v>clownsq</v>
      </c>
    </row>
    <row r="6352" spans="1:10" x14ac:dyDescent="0.25">
      <c r="A6352">
        <v>7167</v>
      </c>
      <c r="B6352" t="s">
        <v>1623</v>
      </c>
      <c r="C6352">
        <v>595</v>
      </c>
      <c r="D6352">
        <v>444</v>
      </c>
      <c r="E6352">
        <v>9842736</v>
      </c>
      <c r="F6352">
        <v>5757</v>
      </c>
      <c r="G6352">
        <v>0</v>
      </c>
      <c r="H6352" t="s">
        <v>11271</v>
      </c>
      <c r="I6352">
        <v>7167</v>
      </c>
      <c r="J6352" t="str">
        <f>VLOOKUP(E6352,DSSpieler!A:B,2,FALSE)</f>
        <v>NakedPanda</v>
      </c>
    </row>
    <row r="6353" spans="1:10" x14ac:dyDescent="0.25">
      <c r="A6353">
        <v>7168</v>
      </c>
      <c r="B6353">
        <v>4</v>
      </c>
      <c r="C6353">
        <v>480</v>
      </c>
      <c r="D6353">
        <v>417</v>
      </c>
      <c r="E6353">
        <v>1041015</v>
      </c>
      <c r="F6353">
        <v>5229</v>
      </c>
      <c r="G6353">
        <v>0</v>
      </c>
      <c r="H6353" t="s">
        <v>11272</v>
      </c>
      <c r="I6353">
        <v>7168</v>
      </c>
      <c r="J6353" t="str">
        <f>VLOOKUP(E6353,DSSpieler!A:B,2,FALSE)</f>
        <v>Messi11</v>
      </c>
    </row>
    <row r="6354" spans="1:10" x14ac:dyDescent="0.25">
      <c r="A6354">
        <v>7169</v>
      </c>
      <c r="B6354" t="s">
        <v>1624</v>
      </c>
      <c r="C6354">
        <v>398</v>
      </c>
      <c r="D6354">
        <v>498</v>
      </c>
      <c r="E6354">
        <v>1577165469</v>
      </c>
      <c r="F6354">
        <v>4796</v>
      </c>
      <c r="G6354">
        <v>0</v>
      </c>
      <c r="H6354" t="s">
        <v>11273</v>
      </c>
      <c r="I6354">
        <v>7169</v>
      </c>
      <c r="J6354" t="str">
        <f>VLOOKUP(E6354,DSSpieler!A:B,2,FALSE)</f>
        <v>eXistence</v>
      </c>
    </row>
    <row r="6355" spans="1:10" x14ac:dyDescent="0.25">
      <c r="A6355">
        <v>7170</v>
      </c>
      <c r="B6355" t="s">
        <v>33079</v>
      </c>
      <c r="C6355">
        <v>583</v>
      </c>
      <c r="D6355">
        <v>572</v>
      </c>
      <c r="E6355">
        <v>1577133129</v>
      </c>
      <c r="F6355">
        <v>4281</v>
      </c>
      <c r="G6355">
        <v>0</v>
      </c>
      <c r="H6355" t="s">
        <v>11274</v>
      </c>
      <c r="I6355">
        <v>7170</v>
      </c>
      <c r="J6355" t="str">
        <f>VLOOKUP(E6355,DSSpieler!A:B,2,FALSE)</f>
        <v>Domi-ubb</v>
      </c>
    </row>
    <row r="6356" spans="1:10" x14ac:dyDescent="0.25">
      <c r="A6356">
        <v>7171</v>
      </c>
      <c r="B6356" t="s">
        <v>33080</v>
      </c>
      <c r="C6356">
        <v>485</v>
      </c>
      <c r="D6356">
        <v>606</v>
      </c>
      <c r="E6356">
        <v>3210799</v>
      </c>
      <c r="F6356">
        <v>5130</v>
      </c>
      <c r="G6356">
        <v>0</v>
      </c>
      <c r="H6356" t="s">
        <v>11275</v>
      </c>
      <c r="I6356">
        <v>7171</v>
      </c>
      <c r="J6356" t="str">
        <f>VLOOKUP(E6356,DSSpieler!A:B,2,FALSE)</f>
        <v>fekiks</v>
      </c>
    </row>
    <row r="6357" spans="1:10" x14ac:dyDescent="0.25">
      <c r="A6357">
        <v>7172</v>
      </c>
      <c r="B6357" t="s">
        <v>531</v>
      </c>
      <c r="C6357">
        <v>521</v>
      </c>
      <c r="D6357">
        <v>597</v>
      </c>
      <c r="E6357">
        <v>1577198435</v>
      </c>
      <c r="F6357">
        <v>6340</v>
      </c>
      <c r="G6357">
        <v>0</v>
      </c>
      <c r="H6357" t="s">
        <v>11276</v>
      </c>
      <c r="I6357">
        <v>7172</v>
      </c>
      <c r="J6357" t="str">
        <f>VLOOKUP(E6357,DSSpieler!A:B,2,FALSE)</f>
        <v>redien</v>
      </c>
    </row>
    <row r="6358" spans="1:10" x14ac:dyDescent="0.25">
      <c r="A6358">
        <v>7173</v>
      </c>
      <c r="B6358" t="s">
        <v>31490</v>
      </c>
      <c r="C6358">
        <v>552</v>
      </c>
      <c r="D6358">
        <v>562</v>
      </c>
      <c r="E6358">
        <v>1577138953</v>
      </c>
      <c r="F6358">
        <v>3351</v>
      </c>
      <c r="G6358">
        <v>0</v>
      </c>
      <c r="H6358" t="s">
        <v>11277</v>
      </c>
      <c r="I6358">
        <v>7173</v>
      </c>
      <c r="J6358" t="str">
        <f>VLOOKUP(E6358,DSSpieler!A:B,2,FALSE)</f>
        <v>ganz entspannt</v>
      </c>
    </row>
    <row r="6359" spans="1:10" x14ac:dyDescent="0.25">
      <c r="A6359">
        <v>7174</v>
      </c>
      <c r="B6359" t="s">
        <v>531</v>
      </c>
      <c r="C6359">
        <v>419</v>
      </c>
      <c r="D6359">
        <v>517</v>
      </c>
      <c r="E6359">
        <v>0</v>
      </c>
      <c r="F6359">
        <v>173</v>
      </c>
      <c r="G6359">
        <v>0</v>
      </c>
      <c r="H6359" t="s">
        <v>11278</v>
      </c>
      <c r="I6359">
        <v>7174</v>
      </c>
      <c r="J6359" t="e">
        <f>VLOOKUP(E6359,DSSpieler!A:B,2,FALSE)</f>
        <v>#N/A</v>
      </c>
    </row>
    <row r="6360" spans="1:10" x14ac:dyDescent="0.25">
      <c r="A6360">
        <v>7175</v>
      </c>
      <c r="B6360" t="s">
        <v>531</v>
      </c>
      <c r="C6360">
        <v>476</v>
      </c>
      <c r="D6360">
        <v>579</v>
      </c>
      <c r="E6360">
        <v>0</v>
      </c>
      <c r="F6360">
        <v>246</v>
      </c>
      <c r="G6360">
        <v>0</v>
      </c>
      <c r="H6360" t="s">
        <v>11279</v>
      </c>
      <c r="I6360">
        <v>7175</v>
      </c>
      <c r="J6360" t="e">
        <f>VLOOKUP(E6360,DSSpieler!A:B,2,FALSE)</f>
        <v>#N/A</v>
      </c>
    </row>
    <row r="6361" spans="1:10" x14ac:dyDescent="0.25">
      <c r="A6361">
        <v>7176</v>
      </c>
      <c r="B6361" t="s">
        <v>33081</v>
      </c>
      <c r="C6361">
        <v>571</v>
      </c>
      <c r="D6361">
        <v>456</v>
      </c>
      <c r="E6361">
        <v>1576465907</v>
      </c>
      <c r="F6361">
        <v>3502</v>
      </c>
      <c r="G6361">
        <v>0</v>
      </c>
      <c r="H6361" t="s">
        <v>11280</v>
      </c>
      <c r="I6361">
        <v>7176</v>
      </c>
      <c r="J6361" t="str">
        <f>VLOOKUP(E6361,DSSpieler!A:B,2,FALSE)</f>
        <v>momo1417</v>
      </c>
    </row>
    <row r="6362" spans="1:10" x14ac:dyDescent="0.25">
      <c r="A6362">
        <v>7177</v>
      </c>
      <c r="B6362" t="s">
        <v>31584</v>
      </c>
      <c r="C6362">
        <v>473</v>
      </c>
      <c r="D6362">
        <v>579</v>
      </c>
      <c r="E6362">
        <v>1577163047</v>
      </c>
      <c r="F6362">
        <v>4413</v>
      </c>
      <c r="G6362">
        <v>0</v>
      </c>
      <c r="H6362" t="s">
        <v>11281</v>
      </c>
      <c r="I6362">
        <v>7177</v>
      </c>
      <c r="J6362" t="str">
        <f>VLOOKUP(E6362,DSSpieler!A:B,2,FALSE)</f>
        <v>Ina Instabil</v>
      </c>
    </row>
    <row r="6363" spans="1:10" x14ac:dyDescent="0.25">
      <c r="A6363">
        <v>7178</v>
      </c>
      <c r="B6363" t="s">
        <v>531</v>
      </c>
      <c r="C6363">
        <v>560</v>
      </c>
      <c r="D6363">
        <v>447</v>
      </c>
      <c r="E6363">
        <v>0</v>
      </c>
      <c r="F6363">
        <v>94</v>
      </c>
      <c r="G6363">
        <v>0</v>
      </c>
      <c r="H6363" t="s">
        <v>11282</v>
      </c>
      <c r="I6363">
        <v>7178</v>
      </c>
      <c r="J6363" t="e">
        <f>VLOOKUP(E6363,DSSpieler!A:B,2,FALSE)</f>
        <v>#N/A</v>
      </c>
    </row>
    <row r="6364" spans="1:10" x14ac:dyDescent="0.25">
      <c r="A6364">
        <v>7179</v>
      </c>
      <c r="B6364" t="s">
        <v>531</v>
      </c>
      <c r="C6364">
        <v>538</v>
      </c>
      <c r="D6364">
        <v>429</v>
      </c>
      <c r="E6364">
        <v>0</v>
      </c>
      <c r="F6364">
        <v>238</v>
      </c>
      <c r="G6364">
        <v>0</v>
      </c>
      <c r="H6364" t="s">
        <v>11283</v>
      </c>
      <c r="I6364">
        <v>7179</v>
      </c>
      <c r="J6364" t="e">
        <f>VLOOKUP(E6364,DSSpieler!A:B,2,FALSE)</f>
        <v>#N/A</v>
      </c>
    </row>
    <row r="6365" spans="1:10" x14ac:dyDescent="0.25">
      <c r="A6365">
        <v>7180</v>
      </c>
      <c r="B6365" t="s">
        <v>33082</v>
      </c>
      <c r="C6365">
        <v>453</v>
      </c>
      <c r="D6365">
        <v>568</v>
      </c>
      <c r="E6365">
        <v>204035</v>
      </c>
      <c r="F6365">
        <v>203</v>
      </c>
      <c r="G6365">
        <v>0</v>
      </c>
      <c r="H6365" t="s">
        <v>11284</v>
      </c>
      <c r="I6365">
        <v>7180</v>
      </c>
      <c r="J6365" t="str">
        <f>VLOOKUP(E6365,DSSpieler!A:B,2,FALSE)</f>
        <v>Engel desTodes</v>
      </c>
    </row>
    <row r="6366" spans="1:10" x14ac:dyDescent="0.25">
      <c r="A6366">
        <v>7181</v>
      </c>
      <c r="B6366" t="s">
        <v>1625</v>
      </c>
      <c r="C6366">
        <v>493</v>
      </c>
      <c r="D6366">
        <v>419</v>
      </c>
      <c r="E6366">
        <v>9209997</v>
      </c>
      <c r="F6366">
        <v>3038</v>
      </c>
      <c r="G6366">
        <v>0</v>
      </c>
      <c r="H6366" t="s">
        <v>11285</v>
      </c>
      <c r="I6366">
        <v>7181</v>
      </c>
      <c r="J6366" t="str">
        <f>VLOOKUP(E6366,DSSpieler!A:B,2,FALSE)</f>
        <v>daLUiSeL</v>
      </c>
    </row>
    <row r="6367" spans="1:10" x14ac:dyDescent="0.25">
      <c r="A6367">
        <v>7182</v>
      </c>
      <c r="B6367" t="s">
        <v>33083</v>
      </c>
      <c r="C6367">
        <v>498</v>
      </c>
      <c r="D6367">
        <v>583</v>
      </c>
      <c r="E6367">
        <v>1577026484</v>
      </c>
      <c r="F6367">
        <v>4986</v>
      </c>
      <c r="G6367">
        <v>0</v>
      </c>
      <c r="H6367" t="s">
        <v>11286</v>
      </c>
      <c r="I6367">
        <v>7182</v>
      </c>
      <c r="J6367" t="str">
        <f>VLOOKUP(E6367,DSSpieler!A:B,2,FALSE)</f>
        <v>Deffnoob</v>
      </c>
    </row>
    <row r="6368" spans="1:10" x14ac:dyDescent="0.25">
      <c r="A6368">
        <v>7185</v>
      </c>
      <c r="B6368" t="s">
        <v>33084</v>
      </c>
      <c r="C6368">
        <v>438</v>
      </c>
      <c r="D6368">
        <v>553</v>
      </c>
      <c r="E6368">
        <v>300973</v>
      </c>
      <c r="F6368">
        <v>3791</v>
      </c>
      <c r="G6368">
        <v>0</v>
      </c>
      <c r="H6368" t="s">
        <v>11287</v>
      </c>
      <c r="I6368">
        <v>7185</v>
      </c>
      <c r="J6368" t="str">
        <f>VLOOKUP(E6368,DSSpieler!A:B,2,FALSE)</f>
        <v>Dragon Warrior</v>
      </c>
    </row>
    <row r="6369" spans="1:10" x14ac:dyDescent="0.25">
      <c r="A6369">
        <v>7186</v>
      </c>
      <c r="B6369" t="s">
        <v>531</v>
      </c>
      <c r="C6369">
        <v>470</v>
      </c>
      <c r="D6369">
        <v>578</v>
      </c>
      <c r="E6369">
        <v>0</v>
      </c>
      <c r="F6369">
        <v>318</v>
      </c>
      <c r="G6369">
        <v>0</v>
      </c>
      <c r="H6369" t="s">
        <v>11288</v>
      </c>
      <c r="I6369">
        <v>7186</v>
      </c>
      <c r="J6369" t="e">
        <f>VLOOKUP(E6369,DSSpieler!A:B,2,FALSE)</f>
        <v>#N/A</v>
      </c>
    </row>
    <row r="6370" spans="1:10" x14ac:dyDescent="0.25">
      <c r="A6370">
        <v>7187</v>
      </c>
      <c r="B6370" t="s">
        <v>531</v>
      </c>
      <c r="C6370">
        <v>460</v>
      </c>
      <c r="D6370">
        <v>572</v>
      </c>
      <c r="E6370">
        <v>0</v>
      </c>
      <c r="F6370">
        <v>354</v>
      </c>
      <c r="G6370">
        <v>0</v>
      </c>
      <c r="H6370" t="s">
        <v>11289</v>
      </c>
      <c r="I6370">
        <v>7187</v>
      </c>
      <c r="J6370" t="e">
        <f>VLOOKUP(E6370,DSSpieler!A:B,2,FALSE)</f>
        <v>#N/A</v>
      </c>
    </row>
    <row r="6371" spans="1:10" x14ac:dyDescent="0.25">
      <c r="A6371">
        <v>7188</v>
      </c>
      <c r="B6371" t="s">
        <v>33085</v>
      </c>
      <c r="C6371">
        <v>582</v>
      </c>
      <c r="D6371">
        <v>496</v>
      </c>
      <c r="E6371">
        <v>324718</v>
      </c>
      <c r="F6371">
        <v>96</v>
      </c>
      <c r="G6371">
        <v>0</v>
      </c>
      <c r="H6371" t="s">
        <v>11290</v>
      </c>
      <c r="I6371">
        <v>7188</v>
      </c>
      <c r="J6371" t="str">
        <f>VLOOKUP(E6371,DSSpieler!A:B,2,FALSE)</f>
        <v>Braco</v>
      </c>
    </row>
    <row r="6372" spans="1:10" x14ac:dyDescent="0.25">
      <c r="A6372">
        <v>7189</v>
      </c>
      <c r="B6372" t="s">
        <v>531</v>
      </c>
      <c r="C6372">
        <v>459</v>
      </c>
      <c r="D6372">
        <v>431</v>
      </c>
      <c r="E6372">
        <v>0</v>
      </c>
      <c r="F6372">
        <v>297</v>
      </c>
      <c r="G6372">
        <v>0</v>
      </c>
      <c r="H6372" t="s">
        <v>11291</v>
      </c>
      <c r="I6372">
        <v>7189</v>
      </c>
      <c r="J6372" t="e">
        <f>VLOOKUP(E6372,DSSpieler!A:B,2,FALSE)</f>
        <v>#N/A</v>
      </c>
    </row>
    <row r="6373" spans="1:10" x14ac:dyDescent="0.25">
      <c r="A6373">
        <v>7190</v>
      </c>
      <c r="B6373" t="s">
        <v>33086</v>
      </c>
      <c r="C6373">
        <v>463</v>
      </c>
      <c r="D6373">
        <v>573</v>
      </c>
      <c r="E6373">
        <v>1369880</v>
      </c>
      <c r="F6373">
        <v>5625</v>
      </c>
      <c r="G6373">
        <v>0</v>
      </c>
      <c r="H6373" t="s">
        <v>11292</v>
      </c>
      <c r="I6373">
        <v>7190</v>
      </c>
      <c r="J6373" t="str">
        <f>VLOOKUP(E6373,DSSpieler!A:B,2,FALSE)</f>
        <v>Cellme</v>
      </c>
    </row>
    <row r="6374" spans="1:10" x14ac:dyDescent="0.25">
      <c r="A6374">
        <v>7191</v>
      </c>
      <c r="B6374" t="s">
        <v>1626</v>
      </c>
      <c r="C6374">
        <v>532</v>
      </c>
      <c r="D6374">
        <v>576</v>
      </c>
      <c r="E6374">
        <v>7958886</v>
      </c>
      <c r="F6374">
        <v>4286</v>
      </c>
      <c r="G6374">
        <v>0</v>
      </c>
      <c r="H6374" t="s">
        <v>11293</v>
      </c>
      <c r="I6374">
        <v>7191</v>
      </c>
      <c r="J6374" t="str">
        <f>VLOOKUP(E6374,DSSpieler!A:B,2,FALSE)</f>
        <v>Normannenfels</v>
      </c>
    </row>
    <row r="6375" spans="1:10" x14ac:dyDescent="0.25">
      <c r="A6375">
        <v>7192</v>
      </c>
      <c r="B6375" t="s">
        <v>531</v>
      </c>
      <c r="C6375">
        <v>422</v>
      </c>
      <c r="D6375">
        <v>530</v>
      </c>
      <c r="E6375">
        <v>0</v>
      </c>
      <c r="F6375">
        <v>337</v>
      </c>
      <c r="G6375">
        <v>0</v>
      </c>
      <c r="H6375" t="s">
        <v>11294</v>
      </c>
      <c r="I6375">
        <v>7192</v>
      </c>
      <c r="J6375" t="e">
        <f>VLOOKUP(E6375,DSSpieler!A:B,2,FALSE)</f>
        <v>#N/A</v>
      </c>
    </row>
    <row r="6376" spans="1:10" x14ac:dyDescent="0.25">
      <c r="A6376">
        <v>7193</v>
      </c>
      <c r="B6376" t="s">
        <v>33087</v>
      </c>
      <c r="C6376">
        <v>540</v>
      </c>
      <c r="D6376">
        <v>428</v>
      </c>
      <c r="E6376">
        <v>1577197746</v>
      </c>
      <c r="F6376">
        <v>4727</v>
      </c>
      <c r="G6376">
        <v>0</v>
      </c>
      <c r="H6376" t="s">
        <v>11295</v>
      </c>
      <c r="I6376">
        <v>7193</v>
      </c>
      <c r="J6376" t="str">
        <f>VLOOKUP(E6376,DSSpieler!A:B,2,FALSE)</f>
        <v>Treece</v>
      </c>
    </row>
    <row r="6377" spans="1:10" x14ac:dyDescent="0.25">
      <c r="A6377">
        <v>7194</v>
      </c>
      <c r="B6377" t="s">
        <v>31584</v>
      </c>
      <c r="C6377">
        <v>473</v>
      </c>
      <c r="D6377">
        <v>578</v>
      </c>
      <c r="E6377">
        <v>1577163047</v>
      </c>
      <c r="F6377">
        <v>5774</v>
      </c>
      <c r="G6377">
        <v>0</v>
      </c>
      <c r="H6377" t="s">
        <v>11296</v>
      </c>
      <c r="I6377">
        <v>7194</v>
      </c>
      <c r="J6377" t="str">
        <f>VLOOKUP(E6377,DSSpieler!A:B,2,FALSE)</f>
        <v>Ina Instabil</v>
      </c>
    </row>
    <row r="6378" spans="1:10" x14ac:dyDescent="0.25">
      <c r="A6378">
        <v>7195</v>
      </c>
      <c r="B6378" t="s">
        <v>531</v>
      </c>
      <c r="C6378">
        <v>421</v>
      </c>
      <c r="D6378">
        <v>528</v>
      </c>
      <c r="E6378">
        <v>0</v>
      </c>
      <c r="F6378">
        <v>464</v>
      </c>
      <c r="G6378">
        <v>0</v>
      </c>
      <c r="H6378" t="s">
        <v>11297</v>
      </c>
      <c r="I6378">
        <v>7195</v>
      </c>
      <c r="J6378" t="e">
        <f>VLOOKUP(E6378,DSSpieler!A:B,2,FALSE)</f>
        <v>#N/A</v>
      </c>
    </row>
    <row r="6379" spans="1:10" x14ac:dyDescent="0.25">
      <c r="A6379">
        <v>7196</v>
      </c>
      <c r="B6379" t="s">
        <v>1627</v>
      </c>
      <c r="C6379">
        <v>581</v>
      </c>
      <c r="D6379">
        <v>483</v>
      </c>
      <c r="E6379">
        <v>8041203</v>
      </c>
      <c r="F6379">
        <v>2582</v>
      </c>
      <c r="G6379">
        <v>0</v>
      </c>
      <c r="H6379" t="s">
        <v>11298</v>
      </c>
      <c r="I6379">
        <v>7196</v>
      </c>
      <c r="J6379" t="str">
        <f>VLOOKUP(E6379,DSSpieler!A:B,2,FALSE)</f>
        <v>Jack191995</v>
      </c>
    </row>
    <row r="6380" spans="1:10" x14ac:dyDescent="0.25">
      <c r="A6380">
        <v>7197</v>
      </c>
      <c r="B6380" t="s">
        <v>33088</v>
      </c>
      <c r="C6380">
        <v>544</v>
      </c>
      <c r="D6380">
        <v>432</v>
      </c>
      <c r="E6380">
        <v>1576938611</v>
      </c>
      <c r="F6380">
        <v>3941</v>
      </c>
      <c r="G6380">
        <v>0</v>
      </c>
      <c r="H6380" t="s">
        <v>11299</v>
      </c>
      <c r="I6380">
        <v>7197</v>
      </c>
      <c r="J6380" t="str">
        <f>VLOOKUP(E6380,DSSpieler!A:B,2,FALSE)</f>
        <v>Veldor</v>
      </c>
    </row>
    <row r="6381" spans="1:10" x14ac:dyDescent="0.25">
      <c r="A6381">
        <v>7198</v>
      </c>
      <c r="B6381" t="s">
        <v>1628</v>
      </c>
      <c r="C6381">
        <v>528</v>
      </c>
      <c r="D6381">
        <v>421</v>
      </c>
      <c r="E6381">
        <v>3143028</v>
      </c>
      <c r="F6381">
        <v>5645</v>
      </c>
      <c r="G6381">
        <v>0</v>
      </c>
      <c r="H6381" t="s">
        <v>11300</v>
      </c>
      <c r="I6381">
        <v>7198</v>
      </c>
      <c r="J6381" t="str">
        <f>VLOOKUP(E6381,DSSpieler!A:B,2,FALSE)</f>
        <v>Tom Traitor</v>
      </c>
    </row>
    <row r="6382" spans="1:10" x14ac:dyDescent="0.25">
      <c r="A6382">
        <v>7199</v>
      </c>
      <c r="B6382" t="s">
        <v>531</v>
      </c>
      <c r="C6382">
        <v>438</v>
      </c>
      <c r="D6382">
        <v>443</v>
      </c>
      <c r="E6382">
        <v>0</v>
      </c>
      <c r="F6382">
        <v>254</v>
      </c>
      <c r="G6382">
        <v>0</v>
      </c>
      <c r="H6382" t="s">
        <v>11301</v>
      </c>
      <c r="I6382">
        <v>7199</v>
      </c>
      <c r="J6382" t="e">
        <f>VLOOKUP(E6382,DSSpieler!A:B,2,FALSE)</f>
        <v>#N/A</v>
      </c>
    </row>
    <row r="6383" spans="1:10" x14ac:dyDescent="0.25">
      <c r="A6383">
        <v>7201</v>
      </c>
      <c r="B6383" t="s">
        <v>531</v>
      </c>
      <c r="C6383">
        <v>580</v>
      </c>
      <c r="D6383">
        <v>518</v>
      </c>
      <c r="E6383">
        <v>0</v>
      </c>
      <c r="F6383">
        <v>253</v>
      </c>
      <c r="G6383">
        <v>0</v>
      </c>
      <c r="H6383" t="s">
        <v>11302</v>
      </c>
      <c r="I6383">
        <v>7201</v>
      </c>
      <c r="J6383" t="e">
        <f>VLOOKUP(E6383,DSSpieler!A:B,2,FALSE)</f>
        <v>#N/A</v>
      </c>
    </row>
    <row r="6384" spans="1:10" x14ac:dyDescent="0.25">
      <c r="A6384">
        <v>7202</v>
      </c>
      <c r="B6384" t="s">
        <v>531</v>
      </c>
      <c r="C6384">
        <v>418</v>
      </c>
      <c r="D6384">
        <v>514</v>
      </c>
      <c r="E6384">
        <v>0</v>
      </c>
      <c r="F6384">
        <v>224</v>
      </c>
      <c r="G6384">
        <v>0</v>
      </c>
      <c r="H6384" t="s">
        <v>11303</v>
      </c>
      <c r="I6384">
        <v>7202</v>
      </c>
      <c r="J6384" t="e">
        <f>VLOOKUP(E6384,DSSpieler!A:B,2,FALSE)</f>
        <v>#N/A</v>
      </c>
    </row>
    <row r="6385" spans="1:10" x14ac:dyDescent="0.25">
      <c r="A6385">
        <v>7203</v>
      </c>
      <c r="B6385" t="s">
        <v>531</v>
      </c>
      <c r="C6385">
        <v>573</v>
      </c>
      <c r="D6385">
        <v>538</v>
      </c>
      <c r="E6385">
        <v>0</v>
      </c>
      <c r="F6385">
        <v>216</v>
      </c>
      <c r="G6385">
        <v>0</v>
      </c>
      <c r="H6385" t="s">
        <v>11304</v>
      </c>
      <c r="I6385">
        <v>7203</v>
      </c>
      <c r="J6385" t="e">
        <f>VLOOKUP(E6385,DSSpieler!A:B,2,FALSE)</f>
        <v>#N/A</v>
      </c>
    </row>
    <row r="6386" spans="1:10" x14ac:dyDescent="0.25">
      <c r="A6386">
        <v>7204</v>
      </c>
      <c r="B6386" t="s">
        <v>31687</v>
      </c>
      <c r="C6386">
        <v>483</v>
      </c>
      <c r="D6386">
        <v>582</v>
      </c>
      <c r="E6386">
        <v>1576996406</v>
      </c>
      <c r="F6386">
        <v>4749</v>
      </c>
      <c r="G6386">
        <v>0</v>
      </c>
      <c r="H6386" t="s">
        <v>11305</v>
      </c>
      <c r="I6386">
        <v>7204</v>
      </c>
      <c r="J6386" t="str">
        <f>VLOOKUP(E6386,DSSpieler!A:B,2,FALSE)</f>
        <v>clownsq</v>
      </c>
    </row>
    <row r="6387" spans="1:10" x14ac:dyDescent="0.25">
      <c r="A6387">
        <v>7205</v>
      </c>
      <c r="B6387" t="s">
        <v>531</v>
      </c>
      <c r="C6387">
        <v>571</v>
      </c>
      <c r="D6387">
        <v>542</v>
      </c>
      <c r="E6387">
        <v>0</v>
      </c>
      <c r="F6387">
        <v>327</v>
      </c>
      <c r="G6387">
        <v>0</v>
      </c>
      <c r="H6387" t="s">
        <v>11306</v>
      </c>
      <c r="I6387">
        <v>7205</v>
      </c>
      <c r="J6387" t="e">
        <f>VLOOKUP(E6387,DSSpieler!A:B,2,FALSE)</f>
        <v>#N/A</v>
      </c>
    </row>
    <row r="6388" spans="1:10" x14ac:dyDescent="0.25">
      <c r="A6388">
        <v>7206</v>
      </c>
      <c r="B6388" t="s">
        <v>33089</v>
      </c>
      <c r="C6388">
        <v>444</v>
      </c>
      <c r="D6388">
        <v>434</v>
      </c>
      <c r="E6388">
        <v>1577197972</v>
      </c>
      <c r="F6388">
        <v>5395</v>
      </c>
      <c r="G6388">
        <v>0</v>
      </c>
      <c r="H6388" t="s">
        <v>11307</v>
      </c>
      <c r="I6388">
        <v>7206</v>
      </c>
      <c r="J6388" t="str">
        <f>VLOOKUP(E6388,DSSpieler!A:B,2,FALSE)</f>
        <v>Siloballe</v>
      </c>
    </row>
    <row r="6389" spans="1:10" x14ac:dyDescent="0.25">
      <c r="A6389">
        <v>7207</v>
      </c>
      <c r="B6389" t="s">
        <v>531</v>
      </c>
      <c r="C6389">
        <v>538</v>
      </c>
      <c r="D6389">
        <v>426</v>
      </c>
      <c r="E6389">
        <v>0</v>
      </c>
      <c r="F6389">
        <v>384</v>
      </c>
      <c r="G6389">
        <v>0</v>
      </c>
      <c r="H6389" t="s">
        <v>11308</v>
      </c>
      <c r="I6389">
        <v>7207</v>
      </c>
      <c r="J6389" t="e">
        <f>VLOOKUP(E6389,DSSpieler!A:B,2,FALSE)</f>
        <v>#N/A</v>
      </c>
    </row>
    <row r="6390" spans="1:10" x14ac:dyDescent="0.25">
      <c r="A6390">
        <v>7208</v>
      </c>
      <c r="B6390" t="s">
        <v>531</v>
      </c>
      <c r="C6390">
        <v>512</v>
      </c>
      <c r="D6390">
        <v>581</v>
      </c>
      <c r="E6390">
        <v>0</v>
      </c>
      <c r="F6390">
        <v>385</v>
      </c>
      <c r="G6390">
        <v>0</v>
      </c>
      <c r="H6390" t="s">
        <v>11309</v>
      </c>
      <c r="I6390">
        <v>7208</v>
      </c>
      <c r="J6390" t="e">
        <f>VLOOKUP(E6390,DSSpieler!A:B,2,FALSE)</f>
        <v>#N/A</v>
      </c>
    </row>
    <row r="6391" spans="1:10" x14ac:dyDescent="0.25">
      <c r="A6391">
        <v>7209</v>
      </c>
      <c r="B6391" t="s">
        <v>531</v>
      </c>
      <c r="C6391">
        <v>493</v>
      </c>
      <c r="D6391">
        <v>417</v>
      </c>
      <c r="E6391">
        <v>0</v>
      </c>
      <c r="F6391">
        <v>99</v>
      </c>
      <c r="G6391">
        <v>0</v>
      </c>
      <c r="H6391" t="s">
        <v>11310</v>
      </c>
      <c r="I6391">
        <v>7209</v>
      </c>
      <c r="J6391" t="e">
        <f>VLOOKUP(E6391,DSSpieler!A:B,2,FALSE)</f>
        <v>#N/A</v>
      </c>
    </row>
    <row r="6392" spans="1:10" x14ac:dyDescent="0.25">
      <c r="A6392">
        <v>7210</v>
      </c>
      <c r="B6392" t="s">
        <v>531</v>
      </c>
      <c r="C6392">
        <v>429</v>
      </c>
      <c r="D6392">
        <v>455</v>
      </c>
      <c r="E6392">
        <v>0</v>
      </c>
      <c r="F6392">
        <v>381</v>
      </c>
      <c r="G6392">
        <v>0</v>
      </c>
      <c r="H6392" t="s">
        <v>11311</v>
      </c>
      <c r="I6392">
        <v>7210</v>
      </c>
      <c r="J6392" t="e">
        <f>VLOOKUP(E6392,DSSpieler!A:B,2,FALSE)</f>
        <v>#N/A</v>
      </c>
    </row>
    <row r="6393" spans="1:10" x14ac:dyDescent="0.25">
      <c r="A6393">
        <v>7212</v>
      </c>
      <c r="B6393" t="s">
        <v>33090</v>
      </c>
      <c r="C6393">
        <v>576</v>
      </c>
      <c r="D6393">
        <v>531</v>
      </c>
      <c r="E6393">
        <v>8146001</v>
      </c>
      <c r="F6393">
        <v>5859</v>
      </c>
      <c r="G6393">
        <v>0</v>
      </c>
      <c r="H6393" t="s">
        <v>11312</v>
      </c>
      <c r="I6393">
        <v>7212</v>
      </c>
      <c r="J6393" t="str">
        <f>VLOOKUP(E6393,DSSpieler!A:B,2,FALSE)</f>
        <v>ekaps</v>
      </c>
    </row>
    <row r="6394" spans="1:10" x14ac:dyDescent="0.25">
      <c r="A6394">
        <v>7213</v>
      </c>
      <c r="B6394" t="s">
        <v>33091</v>
      </c>
      <c r="C6394">
        <v>473</v>
      </c>
      <c r="D6394">
        <v>490</v>
      </c>
      <c r="E6394">
        <v>845508</v>
      </c>
      <c r="F6394">
        <v>4720</v>
      </c>
      <c r="G6394">
        <v>0</v>
      </c>
      <c r="H6394" t="s">
        <v>11313</v>
      </c>
      <c r="I6394">
        <v>7213</v>
      </c>
      <c r="J6394" t="str">
        <f>VLOOKUP(E6394,DSSpieler!A:B,2,FALSE)</f>
        <v>Lovag</v>
      </c>
    </row>
    <row r="6395" spans="1:10" x14ac:dyDescent="0.25">
      <c r="A6395">
        <v>7214</v>
      </c>
      <c r="B6395" t="s">
        <v>531</v>
      </c>
      <c r="C6395">
        <v>420</v>
      </c>
      <c r="D6395">
        <v>522</v>
      </c>
      <c r="E6395">
        <v>0</v>
      </c>
      <c r="F6395">
        <v>257</v>
      </c>
      <c r="G6395">
        <v>0</v>
      </c>
      <c r="H6395" t="s">
        <v>11314</v>
      </c>
      <c r="I6395">
        <v>7214</v>
      </c>
      <c r="J6395" t="e">
        <f>VLOOKUP(E6395,DSSpieler!A:B,2,FALSE)</f>
        <v>#N/A</v>
      </c>
    </row>
    <row r="6396" spans="1:10" x14ac:dyDescent="0.25">
      <c r="A6396">
        <v>7216</v>
      </c>
      <c r="B6396" t="s">
        <v>33092</v>
      </c>
      <c r="C6396">
        <v>582</v>
      </c>
      <c r="D6396">
        <v>490</v>
      </c>
      <c r="E6396">
        <v>1577162500</v>
      </c>
      <c r="F6396">
        <v>4422</v>
      </c>
      <c r="G6396">
        <v>0</v>
      </c>
      <c r="H6396" t="s">
        <v>11315</v>
      </c>
      <c r="I6396">
        <v>7216</v>
      </c>
      <c r="J6396" t="str">
        <f>VLOOKUP(E6396,DSSpieler!A:B,2,FALSE)</f>
        <v>Mosas Reloaded</v>
      </c>
    </row>
    <row r="6397" spans="1:10" x14ac:dyDescent="0.25">
      <c r="A6397">
        <v>7217</v>
      </c>
      <c r="B6397">
        <v>3</v>
      </c>
      <c r="C6397">
        <v>426</v>
      </c>
      <c r="D6397">
        <v>539</v>
      </c>
      <c r="E6397">
        <v>8227539</v>
      </c>
      <c r="F6397">
        <v>2194</v>
      </c>
      <c r="G6397">
        <v>0</v>
      </c>
      <c r="H6397" t="s">
        <v>11316</v>
      </c>
      <c r="I6397">
        <v>7217</v>
      </c>
      <c r="J6397" t="str">
        <f>VLOOKUP(E6397,DSSpieler!A:B,2,FALSE)</f>
        <v>mathis996</v>
      </c>
    </row>
    <row r="6398" spans="1:10" x14ac:dyDescent="0.25">
      <c r="A6398">
        <v>7218</v>
      </c>
      <c r="B6398" t="s">
        <v>31490</v>
      </c>
      <c r="C6398">
        <v>562</v>
      </c>
      <c r="D6398">
        <v>567</v>
      </c>
      <c r="E6398">
        <v>1577138953</v>
      </c>
      <c r="F6398">
        <v>4866</v>
      </c>
      <c r="G6398">
        <v>0</v>
      </c>
      <c r="H6398" t="s">
        <v>11317</v>
      </c>
      <c r="I6398">
        <v>7218</v>
      </c>
      <c r="J6398" t="str">
        <f>VLOOKUP(E6398,DSSpieler!A:B,2,FALSE)</f>
        <v>ganz entspannt</v>
      </c>
    </row>
    <row r="6399" spans="1:10" x14ac:dyDescent="0.25">
      <c r="A6399">
        <v>7219</v>
      </c>
      <c r="B6399" t="s">
        <v>531</v>
      </c>
      <c r="C6399">
        <v>544</v>
      </c>
      <c r="D6399">
        <v>425</v>
      </c>
      <c r="E6399">
        <v>0</v>
      </c>
      <c r="F6399">
        <v>1671</v>
      </c>
      <c r="G6399">
        <v>0</v>
      </c>
      <c r="H6399" t="s">
        <v>11318</v>
      </c>
      <c r="I6399">
        <v>7219</v>
      </c>
      <c r="J6399" t="e">
        <f>VLOOKUP(E6399,DSSpieler!A:B,2,FALSE)</f>
        <v>#N/A</v>
      </c>
    </row>
    <row r="6400" spans="1:10" x14ac:dyDescent="0.25">
      <c r="A6400">
        <v>7220</v>
      </c>
      <c r="B6400" t="s">
        <v>531</v>
      </c>
      <c r="C6400">
        <v>527</v>
      </c>
      <c r="D6400">
        <v>424</v>
      </c>
      <c r="E6400">
        <v>1576532829</v>
      </c>
      <c r="F6400">
        <v>930</v>
      </c>
      <c r="G6400">
        <v>0</v>
      </c>
      <c r="H6400" t="s">
        <v>11319</v>
      </c>
      <c r="I6400">
        <v>7220</v>
      </c>
      <c r="J6400" t="str">
        <f>VLOOKUP(E6400,DSSpieler!A:B,2,FALSE)</f>
        <v>Hikala</v>
      </c>
    </row>
    <row r="6401" spans="1:10" x14ac:dyDescent="0.25">
      <c r="A6401">
        <v>7221</v>
      </c>
      <c r="B6401" t="s">
        <v>531</v>
      </c>
      <c r="C6401">
        <v>579</v>
      </c>
      <c r="D6401">
        <v>474</v>
      </c>
      <c r="E6401">
        <v>0</v>
      </c>
      <c r="F6401">
        <v>241</v>
      </c>
      <c r="G6401">
        <v>0</v>
      </c>
      <c r="H6401" t="s">
        <v>11320</v>
      </c>
      <c r="I6401">
        <v>7221</v>
      </c>
      <c r="J6401" t="e">
        <f>VLOOKUP(E6401,DSSpieler!A:B,2,FALSE)</f>
        <v>#N/A</v>
      </c>
    </row>
    <row r="6402" spans="1:10" x14ac:dyDescent="0.25">
      <c r="A6402">
        <v>7223</v>
      </c>
      <c r="B6402" t="s">
        <v>531</v>
      </c>
      <c r="C6402">
        <v>542</v>
      </c>
      <c r="D6402">
        <v>429</v>
      </c>
      <c r="E6402">
        <v>0</v>
      </c>
      <c r="F6402">
        <v>226</v>
      </c>
      <c r="G6402">
        <v>0</v>
      </c>
      <c r="H6402" t="s">
        <v>11321</v>
      </c>
      <c r="I6402">
        <v>7223</v>
      </c>
      <c r="J6402" t="e">
        <f>VLOOKUP(E6402,DSSpieler!A:B,2,FALSE)</f>
        <v>#N/A</v>
      </c>
    </row>
    <row r="6403" spans="1:10" x14ac:dyDescent="0.25">
      <c r="A6403">
        <v>7224</v>
      </c>
      <c r="B6403">
        <v>4</v>
      </c>
      <c r="C6403">
        <v>434</v>
      </c>
      <c r="D6403">
        <v>449</v>
      </c>
      <c r="E6403">
        <v>1575903781</v>
      </c>
      <c r="F6403">
        <v>3974</v>
      </c>
      <c r="G6403">
        <v>0</v>
      </c>
      <c r="H6403" t="s">
        <v>11322</v>
      </c>
      <c r="I6403">
        <v>7224</v>
      </c>
      <c r="J6403" t="str">
        <f>VLOOKUP(E6403,DSSpieler!A:B,2,FALSE)</f>
        <v>Black Trinity</v>
      </c>
    </row>
    <row r="6404" spans="1:10" x14ac:dyDescent="0.25">
      <c r="A6404">
        <v>7225</v>
      </c>
      <c r="B6404" t="s">
        <v>531</v>
      </c>
      <c r="C6404">
        <v>419</v>
      </c>
      <c r="D6404">
        <v>522</v>
      </c>
      <c r="E6404">
        <v>0</v>
      </c>
      <c r="F6404">
        <v>236</v>
      </c>
      <c r="G6404">
        <v>0</v>
      </c>
      <c r="H6404" t="s">
        <v>11323</v>
      </c>
      <c r="I6404">
        <v>7225</v>
      </c>
      <c r="J6404" t="e">
        <f>VLOOKUP(E6404,DSSpieler!A:B,2,FALSE)</f>
        <v>#N/A</v>
      </c>
    </row>
    <row r="6405" spans="1:10" x14ac:dyDescent="0.25">
      <c r="A6405">
        <v>7226</v>
      </c>
      <c r="B6405" t="s">
        <v>673</v>
      </c>
      <c r="C6405">
        <v>418</v>
      </c>
      <c r="D6405">
        <v>507</v>
      </c>
      <c r="E6405">
        <v>1117588</v>
      </c>
      <c r="F6405">
        <v>5289</v>
      </c>
      <c r="G6405">
        <v>0</v>
      </c>
      <c r="H6405" t="s">
        <v>11324</v>
      </c>
      <c r="I6405">
        <v>7226</v>
      </c>
      <c r="J6405" t="str">
        <f>VLOOKUP(E6405,DSSpieler!A:B,2,FALSE)</f>
        <v>MandM</v>
      </c>
    </row>
    <row r="6406" spans="1:10" x14ac:dyDescent="0.25">
      <c r="A6406">
        <v>7227</v>
      </c>
      <c r="B6406" t="s">
        <v>531</v>
      </c>
      <c r="C6406">
        <v>547</v>
      </c>
      <c r="D6406">
        <v>431</v>
      </c>
      <c r="E6406">
        <v>0</v>
      </c>
      <c r="F6406">
        <v>195</v>
      </c>
      <c r="G6406">
        <v>0</v>
      </c>
      <c r="H6406" t="s">
        <v>11325</v>
      </c>
      <c r="I6406">
        <v>7227</v>
      </c>
      <c r="J6406" t="e">
        <f>VLOOKUP(E6406,DSSpieler!A:B,2,FALSE)</f>
        <v>#N/A</v>
      </c>
    </row>
    <row r="6407" spans="1:10" x14ac:dyDescent="0.25">
      <c r="A6407">
        <v>7229</v>
      </c>
      <c r="B6407" t="s">
        <v>33093</v>
      </c>
      <c r="C6407">
        <v>417</v>
      </c>
      <c r="D6407">
        <v>506</v>
      </c>
      <c r="E6407">
        <v>8525385</v>
      </c>
      <c r="F6407">
        <v>4863</v>
      </c>
      <c r="G6407">
        <v>0</v>
      </c>
      <c r="H6407" t="s">
        <v>11326</v>
      </c>
      <c r="I6407">
        <v>7229</v>
      </c>
      <c r="J6407" t="str">
        <f>VLOOKUP(E6407,DSSpieler!A:B,2,FALSE)</f>
        <v>DieBonze</v>
      </c>
    </row>
    <row r="6408" spans="1:10" x14ac:dyDescent="0.25">
      <c r="A6408">
        <v>7230</v>
      </c>
      <c r="B6408" t="s">
        <v>531</v>
      </c>
      <c r="C6408">
        <v>416</v>
      </c>
      <c r="D6408">
        <v>505</v>
      </c>
      <c r="E6408">
        <v>0</v>
      </c>
      <c r="F6408">
        <v>369</v>
      </c>
      <c r="G6408">
        <v>0</v>
      </c>
      <c r="H6408" t="s">
        <v>11327</v>
      </c>
      <c r="I6408">
        <v>7230</v>
      </c>
      <c r="J6408" t="e">
        <f>VLOOKUP(E6408,DSSpieler!A:B,2,FALSE)</f>
        <v>#N/A</v>
      </c>
    </row>
    <row r="6409" spans="1:10" x14ac:dyDescent="0.25">
      <c r="A6409">
        <v>7231</v>
      </c>
      <c r="B6409" t="s">
        <v>531</v>
      </c>
      <c r="C6409">
        <v>601</v>
      </c>
      <c r="D6409">
        <v>513</v>
      </c>
      <c r="E6409">
        <v>0</v>
      </c>
      <c r="F6409">
        <v>119</v>
      </c>
      <c r="G6409">
        <v>0</v>
      </c>
      <c r="H6409" t="s">
        <v>11328</v>
      </c>
      <c r="I6409">
        <v>7231</v>
      </c>
      <c r="J6409" t="e">
        <f>VLOOKUP(E6409,DSSpieler!A:B,2,FALSE)</f>
        <v>#N/A</v>
      </c>
    </row>
    <row r="6410" spans="1:10" x14ac:dyDescent="0.25">
      <c r="A6410">
        <v>7232</v>
      </c>
      <c r="B6410" t="s">
        <v>33094</v>
      </c>
      <c r="C6410">
        <v>580</v>
      </c>
      <c r="D6410">
        <v>484</v>
      </c>
      <c r="E6410">
        <v>1184529</v>
      </c>
      <c r="F6410">
        <v>1111</v>
      </c>
      <c r="G6410">
        <v>0</v>
      </c>
      <c r="H6410" t="s">
        <v>11329</v>
      </c>
      <c r="I6410">
        <v>7232</v>
      </c>
      <c r="J6410" t="str">
        <f>VLOOKUP(E6410,DSSpieler!A:B,2,FALSE)</f>
        <v>Flatussi</v>
      </c>
    </row>
    <row r="6411" spans="1:10" x14ac:dyDescent="0.25">
      <c r="A6411">
        <v>7233</v>
      </c>
      <c r="B6411" t="s">
        <v>31755</v>
      </c>
      <c r="C6411">
        <v>542</v>
      </c>
      <c r="D6411">
        <v>438</v>
      </c>
      <c r="E6411">
        <v>401979</v>
      </c>
      <c r="F6411">
        <v>5643</v>
      </c>
      <c r="G6411">
        <v>0</v>
      </c>
      <c r="H6411" t="s">
        <v>11330</v>
      </c>
      <c r="I6411">
        <v>7233</v>
      </c>
      <c r="J6411" t="str">
        <f>VLOOKUP(E6411,DSSpieler!A:B,2,FALSE)</f>
        <v>nicky butt</v>
      </c>
    </row>
    <row r="6412" spans="1:10" x14ac:dyDescent="0.25">
      <c r="A6412">
        <v>7234</v>
      </c>
      <c r="B6412" t="s">
        <v>780</v>
      </c>
      <c r="C6412">
        <v>598</v>
      </c>
      <c r="D6412">
        <v>545</v>
      </c>
      <c r="E6412">
        <v>1577123742</v>
      </c>
      <c r="F6412">
        <v>4389</v>
      </c>
      <c r="G6412">
        <v>0</v>
      </c>
      <c r="H6412" t="s">
        <v>11331</v>
      </c>
      <c r="I6412">
        <v>7234</v>
      </c>
      <c r="J6412" t="str">
        <f>VLOOKUP(E6412,DSSpieler!A:B,2,FALSE)</f>
        <v>KäptnBlaubär</v>
      </c>
    </row>
    <row r="6413" spans="1:10" x14ac:dyDescent="0.25">
      <c r="A6413">
        <v>7236</v>
      </c>
      <c r="B6413" t="s">
        <v>33095</v>
      </c>
      <c r="C6413">
        <v>582</v>
      </c>
      <c r="D6413">
        <v>491</v>
      </c>
      <c r="E6413">
        <v>1337938</v>
      </c>
      <c r="F6413">
        <v>914</v>
      </c>
      <c r="G6413">
        <v>0</v>
      </c>
      <c r="H6413" t="s">
        <v>11332</v>
      </c>
      <c r="I6413">
        <v>7236</v>
      </c>
      <c r="J6413" t="str">
        <f>VLOOKUP(E6413,DSSpieler!A:B,2,FALSE)</f>
        <v>diphinila</v>
      </c>
    </row>
    <row r="6414" spans="1:10" x14ac:dyDescent="0.25">
      <c r="A6414">
        <v>7237</v>
      </c>
      <c r="B6414" t="s">
        <v>531</v>
      </c>
      <c r="C6414">
        <v>417</v>
      </c>
      <c r="D6414">
        <v>501</v>
      </c>
      <c r="E6414">
        <v>0</v>
      </c>
      <c r="F6414">
        <v>281</v>
      </c>
      <c r="G6414">
        <v>0</v>
      </c>
      <c r="H6414" t="s">
        <v>11333</v>
      </c>
      <c r="I6414">
        <v>7237</v>
      </c>
      <c r="J6414" t="e">
        <f>VLOOKUP(E6414,DSSpieler!A:B,2,FALSE)</f>
        <v>#N/A</v>
      </c>
    </row>
    <row r="6415" spans="1:10" x14ac:dyDescent="0.25">
      <c r="A6415">
        <v>7238</v>
      </c>
      <c r="B6415" t="s">
        <v>33096</v>
      </c>
      <c r="C6415">
        <v>547</v>
      </c>
      <c r="D6415">
        <v>567</v>
      </c>
      <c r="E6415">
        <v>1576943454</v>
      </c>
      <c r="F6415">
        <v>2280</v>
      </c>
      <c r="G6415">
        <v>0</v>
      </c>
      <c r="H6415" t="s">
        <v>11334</v>
      </c>
      <c r="I6415">
        <v>7238</v>
      </c>
      <c r="J6415" t="str">
        <f>VLOOKUP(E6415,DSSpieler!A:B,2,FALSE)</f>
        <v>ciWie</v>
      </c>
    </row>
    <row r="6416" spans="1:10" x14ac:dyDescent="0.25">
      <c r="A6416">
        <v>7239</v>
      </c>
      <c r="B6416" t="s">
        <v>531</v>
      </c>
      <c r="C6416">
        <v>432</v>
      </c>
      <c r="D6416">
        <v>450</v>
      </c>
      <c r="E6416">
        <v>0</v>
      </c>
      <c r="F6416">
        <v>721</v>
      </c>
      <c r="G6416">
        <v>0</v>
      </c>
      <c r="H6416" t="s">
        <v>11335</v>
      </c>
      <c r="I6416">
        <v>7239</v>
      </c>
      <c r="J6416" t="e">
        <f>VLOOKUP(E6416,DSSpieler!A:B,2,FALSE)</f>
        <v>#N/A</v>
      </c>
    </row>
    <row r="6417" spans="1:10" x14ac:dyDescent="0.25">
      <c r="A6417">
        <v>7240</v>
      </c>
      <c r="B6417" t="s">
        <v>531</v>
      </c>
      <c r="C6417">
        <v>416</v>
      </c>
      <c r="D6417">
        <v>492</v>
      </c>
      <c r="E6417">
        <v>0</v>
      </c>
      <c r="F6417">
        <v>304</v>
      </c>
      <c r="G6417">
        <v>0</v>
      </c>
      <c r="H6417" t="s">
        <v>11336</v>
      </c>
      <c r="I6417">
        <v>7240</v>
      </c>
      <c r="J6417" t="e">
        <f>VLOOKUP(E6417,DSSpieler!A:B,2,FALSE)</f>
        <v>#N/A</v>
      </c>
    </row>
    <row r="6418" spans="1:10" x14ac:dyDescent="0.25">
      <c r="A6418">
        <v>7241</v>
      </c>
      <c r="B6418" t="s">
        <v>531</v>
      </c>
      <c r="C6418">
        <v>494</v>
      </c>
      <c r="D6418">
        <v>416</v>
      </c>
      <c r="E6418">
        <v>0</v>
      </c>
      <c r="F6418">
        <v>510</v>
      </c>
      <c r="G6418">
        <v>0</v>
      </c>
      <c r="H6418" t="s">
        <v>11337</v>
      </c>
      <c r="I6418">
        <v>7241</v>
      </c>
      <c r="J6418" t="e">
        <f>VLOOKUP(E6418,DSSpieler!A:B,2,FALSE)</f>
        <v>#N/A</v>
      </c>
    </row>
    <row r="6419" spans="1:10" x14ac:dyDescent="0.25">
      <c r="A6419">
        <v>7243</v>
      </c>
      <c r="B6419">
        <v>6</v>
      </c>
      <c r="C6419">
        <v>566</v>
      </c>
      <c r="D6419">
        <v>449</v>
      </c>
      <c r="E6419">
        <v>3479010</v>
      </c>
      <c r="F6419">
        <v>4300</v>
      </c>
      <c r="G6419">
        <v>0</v>
      </c>
      <c r="H6419" t="s">
        <v>11338</v>
      </c>
      <c r="I6419">
        <v>7243</v>
      </c>
      <c r="J6419" t="str">
        <f>VLOOKUP(E6419,DSSpieler!A:B,2,FALSE)</f>
        <v>Lieskauer</v>
      </c>
    </row>
    <row r="6420" spans="1:10" x14ac:dyDescent="0.25">
      <c r="A6420">
        <v>7244</v>
      </c>
      <c r="B6420" t="s">
        <v>531</v>
      </c>
      <c r="C6420">
        <v>577</v>
      </c>
      <c r="D6420">
        <v>473</v>
      </c>
      <c r="E6420">
        <v>0</v>
      </c>
      <c r="F6420">
        <v>228</v>
      </c>
      <c r="G6420">
        <v>0</v>
      </c>
      <c r="H6420" t="s">
        <v>11339</v>
      </c>
      <c r="I6420">
        <v>7244</v>
      </c>
      <c r="J6420" t="e">
        <f>VLOOKUP(E6420,DSSpieler!A:B,2,FALSE)</f>
        <v>#N/A</v>
      </c>
    </row>
    <row r="6421" spans="1:10" x14ac:dyDescent="0.25">
      <c r="A6421">
        <v>7245</v>
      </c>
      <c r="B6421" t="s">
        <v>988</v>
      </c>
      <c r="C6421">
        <v>580</v>
      </c>
      <c r="D6421">
        <v>519</v>
      </c>
      <c r="E6421">
        <v>1577164616</v>
      </c>
      <c r="F6421">
        <v>6530</v>
      </c>
      <c r="G6421">
        <v>0</v>
      </c>
      <c r="H6421" t="s">
        <v>11340</v>
      </c>
      <c r="I6421">
        <v>7245</v>
      </c>
      <c r="J6421" t="str">
        <f>VLOOKUP(E6421,DSSpieler!A:B,2,FALSE)</f>
        <v>Ljubix98</v>
      </c>
    </row>
    <row r="6422" spans="1:10" x14ac:dyDescent="0.25">
      <c r="A6422">
        <v>7246</v>
      </c>
      <c r="B6422" t="s">
        <v>33097</v>
      </c>
      <c r="C6422">
        <v>518</v>
      </c>
      <c r="D6422">
        <v>396</v>
      </c>
      <c r="E6422">
        <v>1577134032</v>
      </c>
      <c r="F6422">
        <v>4741</v>
      </c>
      <c r="G6422">
        <v>0</v>
      </c>
      <c r="H6422" t="s">
        <v>11341</v>
      </c>
      <c r="I6422">
        <v>7246</v>
      </c>
      <c r="J6422" t="str">
        <f>VLOOKUP(E6422,DSSpieler!A:B,2,FALSE)</f>
        <v>Chroneston</v>
      </c>
    </row>
    <row r="6423" spans="1:10" x14ac:dyDescent="0.25">
      <c r="A6423">
        <v>7247</v>
      </c>
      <c r="B6423" t="s">
        <v>33098</v>
      </c>
      <c r="C6423">
        <v>466</v>
      </c>
      <c r="D6423">
        <v>575</v>
      </c>
      <c r="E6423">
        <v>1577194670</v>
      </c>
      <c r="F6423">
        <v>5064</v>
      </c>
      <c r="G6423">
        <v>0</v>
      </c>
      <c r="H6423" t="s">
        <v>11342</v>
      </c>
      <c r="I6423">
        <v>7247</v>
      </c>
      <c r="J6423" t="str">
        <f>VLOOKUP(E6423,DSSpieler!A:B,2,FALSE)</f>
        <v>Angelo Merte</v>
      </c>
    </row>
    <row r="6424" spans="1:10" x14ac:dyDescent="0.25">
      <c r="A6424">
        <v>7248</v>
      </c>
      <c r="B6424" t="s">
        <v>531</v>
      </c>
      <c r="C6424">
        <v>504</v>
      </c>
      <c r="D6424">
        <v>419</v>
      </c>
      <c r="E6424">
        <v>0</v>
      </c>
      <c r="F6424">
        <v>208</v>
      </c>
      <c r="G6424">
        <v>0</v>
      </c>
      <c r="H6424" t="s">
        <v>11343</v>
      </c>
      <c r="I6424">
        <v>7248</v>
      </c>
      <c r="J6424" t="e">
        <f>VLOOKUP(E6424,DSSpieler!A:B,2,FALSE)</f>
        <v>#N/A</v>
      </c>
    </row>
    <row r="6425" spans="1:10" x14ac:dyDescent="0.25">
      <c r="A6425">
        <v>7249</v>
      </c>
      <c r="B6425" t="s">
        <v>33099</v>
      </c>
      <c r="C6425">
        <v>452</v>
      </c>
      <c r="D6425">
        <v>432</v>
      </c>
      <c r="E6425">
        <v>1518022</v>
      </c>
      <c r="F6425">
        <v>6995</v>
      </c>
      <c r="G6425">
        <v>0</v>
      </c>
      <c r="H6425" t="s">
        <v>11344</v>
      </c>
      <c r="I6425">
        <v>7249</v>
      </c>
      <c r="J6425" t="str">
        <f>VLOOKUP(E6425,DSSpieler!A:B,2,FALSE)</f>
        <v>Dorek</v>
      </c>
    </row>
    <row r="6426" spans="1:10" x14ac:dyDescent="0.25">
      <c r="A6426">
        <v>7251</v>
      </c>
      <c r="B6426" t="s">
        <v>33100</v>
      </c>
      <c r="C6426">
        <v>551</v>
      </c>
      <c r="D6426">
        <v>566</v>
      </c>
      <c r="E6426">
        <v>1577102404</v>
      </c>
      <c r="F6426">
        <v>838</v>
      </c>
      <c r="G6426">
        <v>0</v>
      </c>
      <c r="H6426" t="s">
        <v>11345</v>
      </c>
      <c r="I6426">
        <v>7251</v>
      </c>
      <c r="J6426" t="str">
        <f>VLOOKUP(E6426,DSSpieler!A:B,2,FALSE)</f>
        <v>Urangutan</v>
      </c>
    </row>
    <row r="6427" spans="1:10" x14ac:dyDescent="0.25">
      <c r="A6427">
        <v>7252</v>
      </c>
      <c r="B6427" t="s">
        <v>33101</v>
      </c>
      <c r="C6427">
        <v>580</v>
      </c>
      <c r="D6427">
        <v>481</v>
      </c>
      <c r="E6427">
        <v>9647614</v>
      </c>
      <c r="F6427">
        <v>7214</v>
      </c>
      <c r="G6427">
        <v>0</v>
      </c>
      <c r="H6427" t="s">
        <v>11346</v>
      </c>
      <c r="I6427">
        <v>7252</v>
      </c>
      <c r="J6427" t="str">
        <f>VLOOKUP(E6427,DSSpieler!A:B,2,FALSE)</f>
        <v>Riefenstahl</v>
      </c>
    </row>
    <row r="6428" spans="1:10" x14ac:dyDescent="0.25">
      <c r="A6428">
        <v>7253</v>
      </c>
      <c r="B6428" t="s">
        <v>33102</v>
      </c>
      <c r="C6428">
        <v>525</v>
      </c>
      <c r="D6428">
        <v>420</v>
      </c>
      <c r="E6428">
        <v>1655589</v>
      </c>
      <c r="F6428">
        <v>454</v>
      </c>
      <c r="G6428">
        <v>0</v>
      </c>
      <c r="H6428" t="s">
        <v>11347</v>
      </c>
      <c r="I6428">
        <v>7253</v>
      </c>
      <c r="J6428" t="str">
        <f>VLOOKUP(E6428,DSSpieler!A:B,2,FALSE)</f>
        <v>wild nobby</v>
      </c>
    </row>
    <row r="6429" spans="1:10" x14ac:dyDescent="0.25">
      <c r="A6429">
        <v>7254</v>
      </c>
      <c r="B6429" t="s">
        <v>33103</v>
      </c>
      <c r="C6429">
        <v>550</v>
      </c>
      <c r="D6429">
        <v>568</v>
      </c>
      <c r="E6429">
        <v>1677602</v>
      </c>
      <c r="F6429">
        <v>364</v>
      </c>
      <c r="G6429">
        <v>0</v>
      </c>
      <c r="H6429" t="s">
        <v>11348</v>
      </c>
      <c r="I6429">
        <v>7254</v>
      </c>
      <c r="J6429" t="str">
        <f>VLOOKUP(E6429,DSSpieler!A:B,2,FALSE)</f>
        <v>SirLelalot</v>
      </c>
    </row>
    <row r="6430" spans="1:10" x14ac:dyDescent="0.25">
      <c r="A6430">
        <v>7255</v>
      </c>
      <c r="B6430" t="s">
        <v>531</v>
      </c>
      <c r="C6430">
        <v>453</v>
      </c>
      <c r="D6430">
        <v>431</v>
      </c>
      <c r="E6430">
        <v>0</v>
      </c>
      <c r="F6430">
        <v>200</v>
      </c>
      <c r="G6430">
        <v>0</v>
      </c>
      <c r="H6430" t="s">
        <v>11349</v>
      </c>
      <c r="I6430">
        <v>7255</v>
      </c>
      <c r="J6430" t="e">
        <f>VLOOKUP(E6430,DSSpieler!A:B,2,FALSE)</f>
        <v>#N/A</v>
      </c>
    </row>
    <row r="6431" spans="1:10" x14ac:dyDescent="0.25">
      <c r="A6431">
        <v>7256</v>
      </c>
      <c r="B6431" t="s">
        <v>531</v>
      </c>
      <c r="C6431">
        <v>583</v>
      </c>
      <c r="D6431">
        <v>493</v>
      </c>
      <c r="E6431">
        <v>0</v>
      </c>
      <c r="F6431">
        <v>162</v>
      </c>
      <c r="G6431">
        <v>0</v>
      </c>
      <c r="H6431" t="s">
        <v>11350</v>
      </c>
      <c r="I6431">
        <v>7256</v>
      </c>
      <c r="J6431" t="e">
        <f>VLOOKUP(E6431,DSSpieler!A:B,2,FALSE)</f>
        <v>#N/A</v>
      </c>
    </row>
    <row r="6432" spans="1:10" x14ac:dyDescent="0.25">
      <c r="A6432">
        <v>7257</v>
      </c>
      <c r="B6432" t="s">
        <v>531</v>
      </c>
      <c r="C6432">
        <v>536</v>
      </c>
      <c r="D6432">
        <v>427</v>
      </c>
      <c r="E6432">
        <v>0</v>
      </c>
      <c r="F6432">
        <v>610</v>
      </c>
      <c r="G6432">
        <v>0</v>
      </c>
      <c r="H6432" t="s">
        <v>11351</v>
      </c>
      <c r="I6432">
        <v>7257</v>
      </c>
      <c r="J6432" t="e">
        <f>VLOOKUP(E6432,DSSpieler!A:B,2,FALSE)</f>
        <v>#N/A</v>
      </c>
    </row>
    <row r="6433" spans="1:10" x14ac:dyDescent="0.25">
      <c r="A6433">
        <v>7258</v>
      </c>
      <c r="B6433" t="s">
        <v>30915</v>
      </c>
      <c r="C6433">
        <v>586</v>
      </c>
      <c r="D6433">
        <v>450</v>
      </c>
      <c r="E6433">
        <v>9764098</v>
      </c>
      <c r="F6433">
        <v>4380</v>
      </c>
      <c r="G6433">
        <v>0</v>
      </c>
      <c r="H6433" t="s">
        <v>11352</v>
      </c>
      <c r="I6433">
        <v>7258</v>
      </c>
      <c r="J6433" t="str">
        <f>VLOOKUP(E6433,DSSpieler!A:B,2,FALSE)</f>
        <v>lichtstrahl1408</v>
      </c>
    </row>
    <row r="6434" spans="1:10" x14ac:dyDescent="0.25">
      <c r="A6434">
        <v>7259</v>
      </c>
      <c r="B6434" t="s">
        <v>33104</v>
      </c>
      <c r="C6434">
        <v>423</v>
      </c>
      <c r="D6434">
        <v>532</v>
      </c>
      <c r="E6434">
        <v>1577197772</v>
      </c>
      <c r="F6434">
        <v>4974</v>
      </c>
      <c r="G6434">
        <v>0</v>
      </c>
      <c r="H6434" t="s">
        <v>11353</v>
      </c>
      <c r="I6434">
        <v>7259</v>
      </c>
      <c r="J6434" t="str">
        <f>VLOOKUP(E6434,DSSpieler!A:B,2,FALSE)</f>
        <v>*HolladieWaldfee*</v>
      </c>
    </row>
    <row r="6435" spans="1:10" x14ac:dyDescent="0.25">
      <c r="A6435">
        <v>7260</v>
      </c>
      <c r="B6435" t="s">
        <v>33105</v>
      </c>
      <c r="C6435">
        <v>419</v>
      </c>
      <c r="D6435">
        <v>484</v>
      </c>
      <c r="E6435">
        <v>1821774</v>
      </c>
      <c r="F6435">
        <v>4876</v>
      </c>
      <c r="G6435">
        <v>0</v>
      </c>
      <c r="H6435" t="s">
        <v>11354</v>
      </c>
      <c r="I6435">
        <v>7260</v>
      </c>
      <c r="J6435" t="str">
        <f>VLOOKUP(E6435,DSSpieler!A:B,2,FALSE)</f>
        <v>ADA09</v>
      </c>
    </row>
    <row r="6436" spans="1:10" x14ac:dyDescent="0.25">
      <c r="A6436">
        <v>7261</v>
      </c>
      <c r="B6436" t="s">
        <v>33106</v>
      </c>
      <c r="C6436">
        <v>420</v>
      </c>
      <c r="D6436">
        <v>491</v>
      </c>
      <c r="E6436">
        <v>1577125689</v>
      </c>
      <c r="F6436">
        <v>4595</v>
      </c>
      <c r="G6436">
        <v>0</v>
      </c>
      <c r="H6436" t="s">
        <v>11355</v>
      </c>
      <c r="I6436">
        <v>7261</v>
      </c>
      <c r="J6436" t="str">
        <f>VLOOKUP(E6436,DSSpieler!A:B,2,FALSE)</f>
        <v>GoffyAufCrack</v>
      </c>
    </row>
    <row r="6437" spans="1:10" x14ac:dyDescent="0.25">
      <c r="A6437">
        <v>7263</v>
      </c>
      <c r="B6437" t="s">
        <v>33107</v>
      </c>
      <c r="C6437">
        <v>440</v>
      </c>
      <c r="D6437">
        <v>555</v>
      </c>
      <c r="E6437">
        <v>9553379</v>
      </c>
      <c r="F6437">
        <v>877</v>
      </c>
      <c r="G6437">
        <v>0</v>
      </c>
      <c r="H6437" t="s">
        <v>11356</v>
      </c>
      <c r="I6437">
        <v>7263</v>
      </c>
      <c r="J6437" t="str">
        <f>VLOOKUP(E6437,DSSpieler!A:B,2,FALSE)</f>
        <v>stahlprofi9</v>
      </c>
    </row>
    <row r="6438" spans="1:10" x14ac:dyDescent="0.25">
      <c r="A6438">
        <v>7264</v>
      </c>
      <c r="B6438" t="s">
        <v>1629</v>
      </c>
      <c r="C6438">
        <v>419</v>
      </c>
      <c r="D6438">
        <v>498</v>
      </c>
      <c r="E6438">
        <v>1577187807</v>
      </c>
      <c r="F6438">
        <v>5300</v>
      </c>
      <c r="G6438">
        <v>0</v>
      </c>
      <c r="H6438" t="s">
        <v>11357</v>
      </c>
      <c r="I6438">
        <v>7264</v>
      </c>
      <c r="J6438" t="str">
        <f>VLOOKUP(E6438,DSSpieler!A:B,2,FALSE)</f>
        <v>joker52</v>
      </c>
    </row>
    <row r="6439" spans="1:10" x14ac:dyDescent="0.25">
      <c r="A6439">
        <v>7265</v>
      </c>
      <c r="B6439" t="s">
        <v>1630</v>
      </c>
      <c r="C6439">
        <v>450</v>
      </c>
      <c r="D6439">
        <v>568</v>
      </c>
      <c r="E6439">
        <v>693727</v>
      </c>
      <c r="F6439">
        <v>6016</v>
      </c>
      <c r="G6439">
        <v>0</v>
      </c>
      <c r="H6439" t="s">
        <v>11358</v>
      </c>
      <c r="I6439">
        <v>7265</v>
      </c>
      <c r="J6439" t="str">
        <f>VLOOKUP(E6439,DSSpieler!A:B,2,FALSE)</f>
        <v>joshear</v>
      </c>
    </row>
    <row r="6440" spans="1:10" x14ac:dyDescent="0.25">
      <c r="A6440">
        <v>7266</v>
      </c>
      <c r="B6440">
        <v>1</v>
      </c>
      <c r="C6440">
        <v>539</v>
      </c>
      <c r="D6440">
        <v>412</v>
      </c>
      <c r="E6440">
        <v>1872639</v>
      </c>
      <c r="F6440">
        <v>7886</v>
      </c>
      <c r="G6440">
        <v>0</v>
      </c>
      <c r="H6440" t="s">
        <v>11359</v>
      </c>
      <c r="I6440">
        <v>7266</v>
      </c>
      <c r="J6440" t="str">
        <f>VLOOKUP(E6440,DSSpieler!A:B,2,FALSE)</f>
        <v>X-er3000</v>
      </c>
    </row>
    <row r="6441" spans="1:10" x14ac:dyDescent="0.25">
      <c r="A6441">
        <v>7267</v>
      </c>
      <c r="B6441" t="s">
        <v>31184</v>
      </c>
      <c r="C6441">
        <v>480</v>
      </c>
      <c r="D6441">
        <v>420</v>
      </c>
      <c r="E6441">
        <v>1885495</v>
      </c>
      <c r="F6441">
        <v>581</v>
      </c>
      <c r="G6441">
        <v>0</v>
      </c>
      <c r="H6441" t="s">
        <v>11360</v>
      </c>
      <c r="I6441">
        <v>7267</v>
      </c>
      <c r="J6441" t="str">
        <f>VLOOKUP(E6441,DSSpieler!A:B,2,FALSE)</f>
        <v>Leon1992</v>
      </c>
    </row>
    <row r="6442" spans="1:10" x14ac:dyDescent="0.25">
      <c r="A6442">
        <v>7268</v>
      </c>
      <c r="B6442" t="s">
        <v>33108</v>
      </c>
      <c r="C6442">
        <v>559</v>
      </c>
      <c r="D6442">
        <v>415</v>
      </c>
      <c r="E6442">
        <v>1577045326</v>
      </c>
      <c r="F6442">
        <v>1621</v>
      </c>
      <c r="G6442">
        <v>0</v>
      </c>
      <c r="H6442" t="s">
        <v>11361</v>
      </c>
      <c r="I6442">
        <v>7268</v>
      </c>
      <c r="J6442" t="str">
        <f>VLOOKUP(E6442,DSSpieler!A:B,2,FALSE)</f>
        <v>Lunula</v>
      </c>
    </row>
    <row r="6443" spans="1:10" x14ac:dyDescent="0.25">
      <c r="A6443">
        <v>7269</v>
      </c>
      <c r="B6443" t="s">
        <v>531</v>
      </c>
      <c r="C6443">
        <v>424</v>
      </c>
      <c r="D6443">
        <v>466</v>
      </c>
      <c r="E6443">
        <v>0</v>
      </c>
      <c r="F6443">
        <v>280</v>
      </c>
      <c r="G6443">
        <v>0</v>
      </c>
      <c r="H6443" t="s">
        <v>11362</v>
      </c>
      <c r="I6443">
        <v>7269</v>
      </c>
      <c r="J6443" t="e">
        <f>VLOOKUP(E6443,DSSpieler!A:B,2,FALSE)</f>
        <v>#N/A</v>
      </c>
    </row>
    <row r="6444" spans="1:10" x14ac:dyDescent="0.25">
      <c r="A6444">
        <v>7270</v>
      </c>
      <c r="B6444" t="s">
        <v>608</v>
      </c>
      <c r="C6444">
        <v>524</v>
      </c>
      <c r="D6444">
        <v>579</v>
      </c>
      <c r="E6444">
        <v>1445693</v>
      </c>
      <c r="F6444">
        <v>4431</v>
      </c>
      <c r="G6444">
        <v>0</v>
      </c>
      <c r="H6444" t="s">
        <v>11363</v>
      </c>
      <c r="I6444">
        <v>7270</v>
      </c>
      <c r="J6444" t="str">
        <f>VLOOKUP(E6444,DSSpieler!A:B,2,FALSE)</f>
        <v>master jpm</v>
      </c>
    </row>
    <row r="6445" spans="1:10" x14ac:dyDescent="0.25">
      <c r="A6445">
        <v>7271</v>
      </c>
      <c r="B6445" t="s">
        <v>33109</v>
      </c>
      <c r="C6445">
        <v>474</v>
      </c>
      <c r="D6445">
        <v>420</v>
      </c>
      <c r="E6445">
        <v>1577202101</v>
      </c>
      <c r="F6445">
        <v>1269</v>
      </c>
      <c r="G6445">
        <v>0</v>
      </c>
      <c r="H6445" t="s">
        <v>11364</v>
      </c>
      <c r="I6445">
        <v>7271</v>
      </c>
      <c r="J6445" t="str">
        <f>VLOOKUP(E6445,DSSpieler!A:B,2,FALSE)</f>
        <v>Der Afrikaner</v>
      </c>
    </row>
    <row r="6446" spans="1:10" x14ac:dyDescent="0.25">
      <c r="A6446">
        <v>7272</v>
      </c>
      <c r="B6446" t="s">
        <v>1100</v>
      </c>
      <c r="C6446">
        <v>578</v>
      </c>
      <c r="D6446">
        <v>579</v>
      </c>
      <c r="E6446">
        <v>8703971</v>
      </c>
      <c r="F6446">
        <v>4304</v>
      </c>
      <c r="G6446">
        <v>0</v>
      </c>
      <c r="H6446" t="s">
        <v>11365</v>
      </c>
      <c r="I6446">
        <v>7272</v>
      </c>
      <c r="J6446" t="str">
        <f>VLOOKUP(E6446,DSSpieler!A:B,2,FALSE)</f>
        <v>WaBoUnleashed</v>
      </c>
    </row>
    <row r="6447" spans="1:10" x14ac:dyDescent="0.25">
      <c r="A6447">
        <v>7273</v>
      </c>
      <c r="B6447" t="s">
        <v>531</v>
      </c>
      <c r="C6447">
        <v>570</v>
      </c>
      <c r="D6447">
        <v>547</v>
      </c>
      <c r="E6447">
        <v>0</v>
      </c>
      <c r="F6447">
        <v>240</v>
      </c>
      <c r="G6447">
        <v>0</v>
      </c>
      <c r="H6447" t="s">
        <v>11366</v>
      </c>
      <c r="I6447">
        <v>7273</v>
      </c>
      <c r="J6447" t="e">
        <f>VLOOKUP(E6447,DSSpieler!A:B,2,FALSE)</f>
        <v>#N/A</v>
      </c>
    </row>
    <row r="6448" spans="1:10" x14ac:dyDescent="0.25">
      <c r="A6448">
        <v>7274</v>
      </c>
      <c r="B6448" t="s">
        <v>531</v>
      </c>
      <c r="C6448">
        <v>471</v>
      </c>
      <c r="D6448">
        <v>421</v>
      </c>
      <c r="E6448">
        <v>0</v>
      </c>
      <c r="F6448">
        <v>1082</v>
      </c>
      <c r="G6448">
        <v>0</v>
      </c>
      <c r="H6448" t="s">
        <v>11367</v>
      </c>
      <c r="I6448">
        <v>7274</v>
      </c>
      <c r="J6448" t="e">
        <f>VLOOKUP(E6448,DSSpieler!A:B,2,FALSE)</f>
        <v>#N/A</v>
      </c>
    </row>
    <row r="6449" spans="1:10" x14ac:dyDescent="0.25">
      <c r="A6449">
        <v>7275</v>
      </c>
      <c r="B6449" t="s">
        <v>531</v>
      </c>
      <c r="C6449">
        <v>584</v>
      </c>
      <c r="D6449">
        <v>503</v>
      </c>
      <c r="E6449">
        <v>0</v>
      </c>
      <c r="F6449">
        <v>358</v>
      </c>
      <c r="G6449">
        <v>0</v>
      </c>
      <c r="H6449" t="s">
        <v>11368</v>
      </c>
      <c r="I6449">
        <v>7275</v>
      </c>
      <c r="J6449" t="e">
        <f>VLOOKUP(E6449,DSSpieler!A:B,2,FALSE)</f>
        <v>#N/A</v>
      </c>
    </row>
    <row r="6450" spans="1:10" x14ac:dyDescent="0.25">
      <c r="A6450">
        <v>7276</v>
      </c>
      <c r="B6450" t="s">
        <v>531</v>
      </c>
      <c r="C6450">
        <v>475</v>
      </c>
      <c r="D6450">
        <v>581</v>
      </c>
      <c r="E6450">
        <v>0</v>
      </c>
      <c r="F6450">
        <v>147</v>
      </c>
      <c r="G6450">
        <v>0</v>
      </c>
      <c r="H6450" t="s">
        <v>11369</v>
      </c>
      <c r="I6450">
        <v>7276</v>
      </c>
      <c r="J6450" t="e">
        <f>VLOOKUP(E6450,DSSpieler!A:B,2,FALSE)</f>
        <v>#N/A</v>
      </c>
    </row>
    <row r="6451" spans="1:10" x14ac:dyDescent="0.25">
      <c r="A6451">
        <v>7278</v>
      </c>
      <c r="B6451" t="s">
        <v>31691</v>
      </c>
      <c r="C6451">
        <v>578</v>
      </c>
      <c r="D6451">
        <v>475</v>
      </c>
      <c r="E6451">
        <v>1577176189</v>
      </c>
      <c r="F6451">
        <v>3195</v>
      </c>
      <c r="G6451">
        <v>0</v>
      </c>
      <c r="H6451" t="s">
        <v>11370</v>
      </c>
      <c r="I6451">
        <v>7278</v>
      </c>
      <c r="J6451" t="str">
        <f>VLOOKUP(E6451,DSSpieler!A:B,2,FALSE)</f>
        <v>24hrs</v>
      </c>
    </row>
    <row r="6452" spans="1:10" x14ac:dyDescent="0.25">
      <c r="A6452">
        <v>7279</v>
      </c>
      <c r="B6452" t="s">
        <v>531</v>
      </c>
      <c r="C6452">
        <v>471</v>
      </c>
      <c r="D6452">
        <v>577</v>
      </c>
      <c r="E6452">
        <v>0</v>
      </c>
      <c r="F6452">
        <v>160</v>
      </c>
      <c r="G6452">
        <v>0</v>
      </c>
      <c r="H6452" t="s">
        <v>11371</v>
      </c>
      <c r="I6452">
        <v>7279</v>
      </c>
      <c r="J6452" t="e">
        <f>VLOOKUP(E6452,DSSpieler!A:B,2,FALSE)</f>
        <v>#N/A</v>
      </c>
    </row>
    <row r="6453" spans="1:10" x14ac:dyDescent="0.25">
      <c r="A6453">
        <v>7280</v>
      </c>
      <c r="B6453" t="s">
        <v>531</v>
      </c>
      <c r="C6453">
        <v>539</v>
      </c>
      <c r="D6453">
        <v>574</v>
      </c>
      <c r="E6453">
        <v>0</v>
      </c>
      <c r="F6453">
        <v>257</v>
      </c>
      <c r="G6453">
        <v>0</v>
      </c>
      <c r="H6453" t="s">
        <v>11372</v>
      </c>
      <c r="I6453">
        <v>7280</v>
      </c>
      <c r="J6453" t="e">
        <f>VLOOKUP(E6453,DSSpieler!A:B,2,FALSE)</f>
        <v>#N/A</v>
      </c>
    </row>
    <row r="6454" spans="1:10" x14ac:dyDescent="0.25">
      <c r="A6454">
        <v>7282</v>
      </c>
      <c r="B6454" t="s">
        <v>531</v>
      </c>
      <c r="C6454">
        <v>563</v>
      </c>
      <c r="D6454">
        <v>447</v>
      </c>
      <c r="E6454">
        <v>0</v>
      </c>
      <c r="F6454">
        <v>470</v>
      </c>
      <c r="G6454">
        <v>0</v>
      </c>
      <c r="H6454" t="s">
        <v>11373</v>
      </c>
      <c r="I6454">
        <v>7282</v>
      </c>
      <c r="J6454" t="e">
        <f>VLOOKUP(E6454,DSSpieler!A:B,2,FALSE)</f>
        <v>#N/A</v>
      </c>
    </row>
    <row r="6455" spans="1:10" x14ac:dyDescent="0.25">
      <c r="A6455">
        <v>7283</v>
      </c>
      <c r="B6455" t="s">
        <v>1631</v>
      </c>
      <c r="C6455">
        <v>423</v>
      </c>
      <c r="D6455">
        <v>524</v>
      </c>
      <c r="E6455">
        <v>1576325</v>
      </c>
      <c r="F6455">
        <v>1178</v>
      </c>
      <c r="G6455">
        <v>0</v>
      </c>
      <c r="H6455" t="s">
        <v>11374</v>
      </c>
      <c r="I6455">
        <v>7283</v>
      </c>
      <c r="J6455" t="str">
        <f>VLOOKUP(E6455,DSSpieler!A:B,2,FALSE)</f>
        <v>DJ SHOCK</v>
      </c>
    </row>
    <row r="6456" spans="1:10" x14ac:dyDescent="0.25">
      <c r="A6456">
        <v>7284</v>
      </c>
      <c r="B6456" t="s">
        <v>531</v>
      </c>
      <c r="C6456">
        <v>526</v>
      </c>
      <c r="D6456">
        <v>421</v>
      </c>
      <c r="E6456">
        <v>0</v>
      </c>
      <c r="F6456">
        <v>132</v>
      </c>
      <c r="G6456">
        <v>0</v>
      </c>
      <c r="H6456" t="s">
        <v>11375</v>
      </c>
      <c r="I6456">
        <v>7284</v>
      </c>
      <c r="J6456" t="e">
        <f>VLOOKUP(E6456,DSSpieler!A:B,2,FALSE)</f>
        <v>#N/A</v>
      </c>
    </row>
    <row r="6457" spans="1:10" x14ac:dyDescent="0.25">
      <c r="A6457">
        <v>7285</v>
      </c>
      <c r="B6457" t="s">
        <v>531</v>
      </c>
      <c r="C6457">
        <v>542</v>
      </c>
      <c r="D6457">
        <v>572</v>
      </c>
      <c r="E6457">
        <v>0</v>
      </c>
      <c r="F6457">
        <v>255</v>
      </c>
      <c r="G6457">
        <v>0</v>
      </c>
      <c r="H6457" t="s">
        <v>11376</v>
      </c>
      <c r="I6457">
        <v>7285</v>
      </c>
      <c r="J6457" t="e">
        <f>VLOOKUP(E6457,DSSpieler!A:B,2,FALSE)</f>
        <v>#N/A</v>
      </c>
    </row>
    <row r="6458" spans="1:10" x14ac:dyDescent="0.25">
      <c r="A6458">
        <v>7287</v>
      </c>
      <c r="B6458" t="s">
        <v>33110</v>
      </c>
      <c r="C6458">
        <v>416</v>
      </c>
      <c r="D6458">
        <v>503</v>
      </c>
      <c r="E6458">
        <v>2493089</v>
      </c>
      <c r="F6458">
        <v>6062</v>
      </c>
      <c r="G6458">
        <v>0</v>
      </c>
      <c r="H6458" t="s">
        <v>11377</v>
      </c>
      <c r="I6458">
        <v>7287</v>
      </c>
      <c r="J6458" t="str">
        <f>VLOOKUP(E6458,DSSpieler!A:B,2,FALSE)</f>
        <v>Spidersponge</v>
      </c>
    </row>
    <row r="6459" spans="1:10" x14ac:dyDescent="0.25">
      <c r="A6459">
        <v>7288</v>
      </c>
      <c r="B6459" t="s">
        <v>33111</v>
      </c>
      <c r="C6459">
        <v>455</v>
      </c>
      <c r="D6459">
        <v>538</v>
      </c>
      <c r="E6459">
        <v>1576822927</v>
      </c>
      <c r="F6459">
        <v>4497</v>
      </c>
      <c r="G6459">
        <v>0</v>
      </c>
      <c r="H6459" t="s">
        <v>11378</v>
      </c>
      <c r="I6459">
        <v>7288</v>
      </c>
      <c r="J6459" t="str">
        <f>VLOOKUP(E6459,DSSpieler!A:B,2,FALSE)</f>
        <v>PokeTrainer</v>
      </c>
    </row>
    <row r="6460" spans="1:10" x14ac:dyDescent="0.25">
      <c r="A6460">
        <v>7289</v>
      </c>
      <c r="B6460" t="s">
        <v>531</v>
      </c>
      <c r="C6460">
        <v>489</v>
      </c>
      <c r="D6460">
        <v>584</v>
      </c>
      <c r="E6460">
        <v>0</v>
      </c>
      <c r="F6460">
        <v>819</v>
      </c>
      <c r="G6460">
        <v>0</v>
      </c>
      <c r="H6460" t="s">
        <v>11379</v>
      </c>
      <c r="I6460">
        <v>7289</v>
      </c>
      <c r="J6460" t="e">
        <f>VLOOKUP(E6460,DSSpieler!A:B,2,FALSE)</f>
        <v>#N/A</v>
      </c>
    </row>
    <row r="6461" spans="1:10" x14ac:dyDescent="0.25">
      <c r="A6461">
        <v>7290</v>
      </c>
      <c r="B6461" t="s">
        <v>1632</v>
      </c>
      <c r="C6461">
        <v>419</v>
      </c>
      <c r="D6461">
        <v>515</v>
      </c>
      <c r="E6461">
        <v>2507918</v>
      </c>
      <c r="F6461">
        <v>5510</v>
      </c>
      <c r="G6461">
        <v>0</v>
      </c>
      <c r="H6461" t="s">
        <v>11380</v>
      </c>
      <c r="I6461">
        <v>7290</v>
      </c>
      <c r="J6461" t="str">
        <f>VLOOKUP(E6461,DSSpieler!A:B,2,FALSE)</f>
        <v>demessa</v>
      </c>
    </row>
    <row r="6462" spans="1:10" x14ac:dyDescent="0.25">
      <c r="A6462">
        <v>7291</v>
      </c>
      <c r="B6462" t="s">
        <v>531</v>
      </c>
      <c r="C6462">
        <v>450</v>
      </c>
      <c r="D6462">
        <v>565</v>
      </c>
      <c r="E6462">
        <v>0</v>
      </c>
      <c r="F6462">
        <v>387</v>
      </c>
      <c r="G6462">
        <v>0</v>
      </c>
      <c r="H6462" t="s">
        <v>11381</v>
      </c>
      <c r="I6462">
        <v>7291</v>
      </c>
      <c r="J6462" t="e">
        <f>VLOOKUP(E6462,DSSpieler!A:B,2,FALSE)</f>
        <v>#N/A</v>
      </c>
    </row>
    <row r="6463" spans="1:10" x14ac:dyDescent="0.25">
      <c r="A6463">
        <v>7292</v>
      </c>
      <c r="B6463" t="s">
        <v>531</v>
      </c>
      <c r="C6463">
        <v>574</v>
      </c>
      <c r="D6463">
        <v>464</v>
      </c>
      <c r="E6463">
        <v>0</v>
      </c>
      <c r="F6463">
        <v>273</v>
      </c>
      <c r="G6463">
        <v>0</v>
      </c>
      <c r="H6463" t="s">
        <v>11382</v>
      </c>
      <c r="I6463">
        <v>7292</v>
      </c>
      <c r="J6463" t="e">
        <f>VLOOKUP(E6463,DSSpieler!A:B,2,FALSE)</f>
        <v>#N/A</v>
      </c>
    </row>
    <row r="6464" spans="1:10" x14ac:dyDescent="0.25">
      <c r="A6464">
        <v>7293</v>
      </c>
      <c r="B6464" t="s">
        <v>1633</v>
      </c>
      <c r="C6464">
        <v>572</v>
      </c>
      <c r="D6464">
        <v>543</v>
      </c>
      <c r="E6464">
        <v>2874877</v>
      </c>
      <c r="F6464">
        <v>4784</v>
      </c>
      <c r="G6464">
        <v>0</v>
      </c>
      <c r="H6464" t="s">
        <v>11383</v>
      </c>
      <c r="I6464">
        <v>7293</v>
      </c>
      <c r="J6464" t="str">
        <f>VLOOKUP(E6464,DSSpieler!A:B,2,FALSE)</f>
        <v>ICHKILLDICH1</v>
      </c>
    </row>
    <row r="6465" spans="1:10" x14ac:dyDescent="0.25">
      <c r="A6465">
        <v>7294</v>
      </c>
      <c r="B6465" t="s">
        <v>531</v>
      </c>
      <c r="C6465">
        <v>481</v>
      </c>
      <c r="D6465">
        <v>421</v>
      </c>
      <c r="E6465">
        <v>0</v>
      </c>
      <c r="F6465">
        <v>443</v>
      </c>
      <c r="G6465">
        <v>0</v>
      </c>
      <c r="H6465" t="s">
        <v>11384</v>
      </c>
      <c r="I6465">
        <v>7294</v>
      </c>
      <c r="J6465" t="e">
        <f>VLOOKUP(E6465,DSSpieler!A:B,2,FALSE)</f>
        <v>#N/A</v>
      </c>
    </row>
    <row r="6466" spans="1:10" x14ac:dyDescent="0.25">
      <c r="A6466">
        <v>7295</v>
      </c>
      <c r="B6466" t="s">
        <v>531</v>
      </c>
      <c r="C6466">
        <v>579</v>
      </c>
      <c r="D6466">
        <v>522</v>
      </c>
      <c r="E6466">
        <v>0</v>
      </c>
      <c r="F6466">
        <v>421</v>
      </c>
      <c r="G6466">
        <v>0</v>
      </c>
      <c r="H6466" t="s">
        <v>11385</v>
      </c>
      <c r="I6466">
        <v>7295</v>
      </c>
      <c r="J6466" t="e">
        <f>VLOOKUP(E6466,DSSpieler!A:B,2,FALSE)</f>
        <v>#N/A</v>
      </c>
    </row>
    <row r="6467" spans="1:10" x14ac:dyDescent="0.25">
      <c r="A6467">
        <v>7297</v>
      </c>
      <c r="B6467" t="s">
        <v>531</v>
      </c>
      <c r="C6467">
        <v>454</v>
      </c>
      <c r="D6467">
        <v>429</v>
      </c>
      <c r="E6467">
        <v>0</v>
      </c>
      <c r="F6467">
        <v>229</v>
      </c>
      <c r="G6467">
        <v>0</v>
      </c>
      <c r="H6467" t="s">
        <v>11386</v>
      </c>
      <c r="I6467">
        <v>7297</v>
      </c>
      <c r="J6467" t="e">
        <f>VLOOKUP(E6467,DSSpieler!A:B,2,FALSE)</f>
        <v>#N/A</v>
      </c>
    </row>
    <row r="6468" spans="1:10" x14ac:dyDescent="0.25">
      <c r="A6468">
        <v>7298</v>
      </c>
      <c r="B6468" t="s">
        <v>33112</v>
      </c>
      <c r="C6468">
        <v>433</v>
      </c>
      <c r="D6468">
        <v>450</v>
      </c>
      <c r="E6468">
        <v>9350607</v>
      </c>
      <c r="F6468">
        <v>4174</v>
      </c>
      <c r="G6468">
        <v>0</v>
      </c>
      <c r="H6468" t="s">
        <v>11387</v>
      </c>
      <c r="I6468">
        <v>7298</v>
      </c>
      <c r="J6468" t="str">
        <f>VLOOKUP(E6468,DSSpieler!A:B,2,FALSE)</f>
        <v>Fidor23</v>
      </c>
    </row>
    <row r="6469" spans="1:10" x14ac:dyDescent="0.25">
      <c r="A6469">
        <v>7299</v>
      </c>
      <c r="B6469" t="s">
        <v>531</v>
      </c>
      <c r="C6469">
        <v>567</v>
      </c>
      <c r="D6469">
        <v>452</v>
      </c>
      <c r="E6469">
        <v>0</v>
      </c>
      <c r="F6469">
        <v>242</v>
      </c>
      <c r="G6469">
        <v>0</v>
      </c>
      <c r="H6469" t="s">
        <v>11388</v>
      </c>
      <c r="I6469">
        <v>7299</v>
      </c>
      <c r="J6469" t="e">
        <f>VLOOKUP(E6469,DSSpieler!A:B,2,FALSE)</f>
        <v>#N/A</v>
      </c>
    </row>
    <row r="6470" spans="1:10" x14ac:dyDescent="0.25">
      <c r="A6470">
        <v>7300</v>
      </c>
      <c r="B6470" t="s">
        <v>531</v>
      </c>
      <c r="C6470">
        <v>559</v>
      </c>
      <c r="D6470">
        <v>556</v>
      </c>
      <c r="E6470">
        <v>0</v>
      </c>
      <c r="F6470">
        <v>815</v>
      </c>
      <c r="G6470">
        <v>0</v>
      </c>
      <c r="H6470" t="s">
        <v>11389</v>
      </c>
      <c r="I6470">
        <v>7300</v>
      </c>
      <c r="J6470" t="e">
        <f>VLOOKUP(E6470,DSSpieler!A:B,2,FALSE)</f>
        <v>#N/A</v>
      </c>
    </row>
    <row r="6471" spans="1:10" x14ac:dyDescent="0.25">
      <c r="A6471">
        <v>7301</v>
      </c>
      <c r="B6471" t="s">
        <v>531</v>
      </c>
      <c r="C6471">
        <v>419</v>
      </c>
      <c r="D6471">
        <v>512</v>
      </c>
      <c r="E6471">
        <v>0</v>
      </c>
      <c r="F6471">
        <v>290</v>
      </c>
      <c r="G6471">
        <v>0</v>
      </c>
      <c r="H6471" t="s">
        <v>11390</v>
      </c>
      <c r="I6471">
        <v>7301</v>
      </c>
      <c r="J6471" t="e">
        <f>VLOOKUP(E6471,DSSpieler!A:B,2,FALSE)</f>
        <v>#N/A</v>
      </c>
    </row>
    <row r="6472" spans="1:10" x14ac:dyDescent="0.25">
      <c r="A6472">
        <v>7302</v>
      </c>
      <c r="B6472" t="s">
        <v>531</v>
      </c>
      <c r="C6472">
        <v>556</v>
      </c>
      <c r="D6472">
        <v>561</v>
      </c>
      <c r="E6472">
        <v>0</v>
      </c>
      <c r="F6472">
        <v>231</v>
      </c>
      <c r="G6472">
        <v>0</v>
      </c>
      <c r="H6472" t="s">
        <v>11391</v>
      </c>
      <c r="I6472">
        <v>7302</v>
      </c>
      <c r="J6472" t="e">
        <f>VLOOKUP(E6472,DSSpieler!A:B,2,FALSE)</f>
        <v>#N/A</v>
      </c>
    </row>
    <row r="6473" spans="1:10" x14ac:dyDescent="0.25">
      <c r="A6473">
        <v>7303</v>
      </c>
      <c r="B6473" t="s">
        <v>531</v>
      </c>
      <c r="C6473">
        <v>577</v>
      </c>
      <c r="D6473">
        <v>465</v>
      </c>
      <c r="E6473">
        <v>0</v>
      </c>
      <c r="F6473">
        <v>249</v>
      </c>
      <c r="G6473">
        <v>0</v>
      </c>
      <c r="H6473" t="s">
        <v>11392</v>
      </c>
      <c r="I6473">
        <v>7303</v>
      </c>
      <c r="J6473" t="e">
        <f>VLOOKUP(E6473,DSSpieler!A:B,2,FALSE)</f>
        <v>#N/A</v>
      </c>
    </row>
    <row r="6474" spans="1:10" x14ac:dyDescent="0.25">
      <c r="A6474">
        <v>7305</v>
      </c>
      <c r="B6474" t="s">
        <v>33113</v>
      </c>
      <c r="C6474">
        <v>438</v>
      </c>
      <c r="D6474">
        <v>557</v>
      </c>
      <c r="E6474">
        <v>9416029</v>
      </c>
      <c r="F6474">
        <v>5480</v>
      </c>
      <c r="G6474">
        <v>0</v>
      </c>
      <c r="H6474" t="s">
        <v>11393</v>
      </c>
      <c r="I6474">
        <v>7305</v>
      </c>
      <c r="J6474" t="str">
        <f>VLOOKUP(E6474,DSSpieler!A:B,2,FALSE)</f>
        <v>zwin</v>
      </c>
    </row>
    <row r="6475" spans="1:10" x14ac:dyDescent="0.25">
      <c r="A6475">
        <v>7306</v>
      </c>
      <c r="B6475" t="s">
        <v>531</v>
      </c>
      <c r="C6475">
        <v>581</v>
      </c>
      <c r="D6475">
        <v>504</v>
      </c>
      <c r="E6475">
        <v>0</v>
      </c>
      <c r="F6475">
        <v>337</v>
      </c>
      <c r="G6475">
        <v>0</v>
      </c>
      <c r="H6475" t="s">
        <v>11394</v>
      </c>
      <c r="I6475">
        <v>7306</v>
      </c>
      <c r="J6475" t="e">
        <f>VLOOKUP(E6475,DSSpieler!A:B,2,FALSE)</f>
        <v>#N/A</v>
      </c>
    </row>
    <row r="6476" spans="1:10" x14ac:dyDescent="0.25">
      <c r="A6476">
        <v>7307</v>
      </c>
      <c r="B6476" t="s">
        <v>531</v>
      </c>
      <c r="C6476">
        <v>452</v>
      </c>
      <c r="D6476">
        <v>414</v>
      </c>
      <c r="E6476">
        <v>0</v>
      </c>
      <c r="F6476">
        <v>253</v>
      </c>
      <c r="G6476">
        <v>0</v>
      </c>
      <c r="H6476" t="s">
        <v>11395</v>
      </c>
      <c r="I6476">
        <v>7307</v>
      </c>
      <c r="J6476" t="e">
        <f>VLOOKUP(E6476,DSSpieler!A:B,2,FALSE)</f>
        <v>#N/A</v>
      </c>
    </row>
    <row r="6477" spans="1:10" x14ac:dyDescent="0.25">
      <c r="A6477">
        <v>7308</v>
      </c>
      <c r="B6477" t="s">
        <v>531</v>
      </c>
      <c r="C6477">
        <v>568</v>
      </c>
      <c r="D6477">
        <v>454</v>
      </c>
      <c r="E6477">
        <v>0</v>
      </c>
      <c r="F6477">
        <v>288</v>
      </c>
      <c r="G6477">
        <v>0</v>
      </c>
      <c r="H6477" t="s">
        <v>11396</v>
      </c>
      <c r="I6477">
        <v>7308</v>
      </c>
      <c r="J6477" t="e">
        <f>VLOOKUP(E6477,DSSpieler!A:B,2,FALSE)</f>
        <v>#N/A</v>
      </c>
    </row>
    <row r="6478" spans="1:10" x14ac:dyDescent="0.25">
      <c r="A6478">
        <v>7309</v>
      </c>
      <c r="B6478" t="s">
        <v>531</v>
      </c>
      <c r="C6478">
        <v>416</v>
      </c>
      <c r="D6478">
        <v>512</v>
      </c>
      <c r="E6478">
        <v>0</v>
      </c>
      <c r="F6478">
        <v>284</v>
      </c>
      <c r="G6478">
        <v>0</v>
      </c>
      <c r="H6478" t="s">
        <v>11397</v>
      </c>
      <c r="I6478">
        <v>7309</v>
      </c>
      <c r="J6478" t="e">
        <f>VLOOKUP(E6478,DSSpieler!A:B,2,FALSE)</f>
        <v>#N/A</v>
      </c>
    </row>
    <row r="6479" spans="1:10" x14ac:dyDescent="0.25">
      <c r="A6479">
        <v>7311</v>
      </c>
      <c r="B6479" t="s">
        <v>31490</v>
      </c>
      <c r="C6479">
        <v>561</v>
      </c>
      <c r="D6479">
        <v>557</v>
      </c>
      <c r="E6479">
        <v>1577138953</v>
      </c>
      <c r="F6479">
        <v>5878</v>
      </c>
      <c r="G6479">
        <v>0</v>
      </c>
      <c r="H6479" t="s">
        <v>11398</v>
      </c>
      <c r="I6479">
        <v>7311</v>
      </c>
      <c r="J6479" t="str">
        <f>VLOOKUP(E6479,DSSpieler!A:B,2,FALSE)</f>
        <v>ganz entspannt</v>
      </c>
    </row>
    <row r="6480" spans="1:10" x14ac:dyDescent="0.25">
      <c r="A6480">
        <v>7312</v>
      </c>
      <c r="B6480" t="s">
        <v>1634</v>
      </c>
      <c r="C6480">
        <v>431</v>
      </c>
      <c r="D6480">
        <v>546</v>
      </c>
      <c r="E6480">
        <v>1577191291</v>
      </c>
      <c r="F6480">
        <v>706</v>
      </c>
      <c r="G6480">
        <v>0</v>
      </c>
      <c r="H6480" t="s">
        <v>11399</v>
      </c>
      <c r="I6480">
        <v>7312</v>
      </c>
      <c r="J6480" t="str">
        <f>VLOOKUP(E6480,DSSpieler!A:B,2,FALSE)</f>
        <v>TheDope</v>
      </c>
    </row>
    <row r="6481" spans="1:10" x14ac:dyDescent="0.25">
      <c r="A6481">
        <v>7313</v>
      </c>
      <c r="B6481" t="s">
        <v>531</v>
      </c>
      <c r="C6481">
        <v>534</v>
      </c>
      <c r="D6481">
        <v>423</v>
      </c>
      <c r="E6481">
        <v>0</v>
      </c>
      <c r="F6481">
        <v>366</v>
      </c>
      <c r="G6481">
        <v>0</v>
      </c>
      <c r="H6481" t="s">
        <v>11400</v>
      </c>
      <c r="I6481">
        <v>7313</v>
      </c>
      <c r="J6481" t="e">
        <f>VLOOKUP(E6481,DSSpieler!A:B,2,FALSE)</f>
        <v>#N/A</v>
      </c>
    </row>
    <row r="6482" spans="1:10" x14ac:dyDescent="0.25">
      <c r="A6482">
        <v>7314</v>
      </c>
      <c r="B6482" t="s">
        <v>531</v>
      </c>
      <c r="C6482">
        <v>569</v>
      </c>
      <c r="D6482">
        <v>543</v>
      </c>
      <c r="E6482">
        <v>0</v>
      </c>
      <c r="F6482">
        <v>521</v>
      </c>
      <c r="G6482">
        <v>0</v>
      </c>
      <c r="H6482" t="s">
        <v>11401</v>
      </c>
      <c r="I6482">
        <v>7314</v>
      </c>
      <c r="J6482" t="e">
        <f>VLOOKUP(E6482,DSSpieler!A:B,2,FALSE)</f>
        <v>#N/A</v>
      </c>
    </row>
    <row r="6483" spans="1:10" x14ac:dyDescent="0.25">
      <c r="A6483">
        <v>7315</v>
      </c>
      <c r="B6483" t="s">
        <v>33114</v>
      </c>
      <c r="C6483">
        <v>586</v>
      </c>
      <c r="D6483">
        <v>545</v>
      </c>
      <c r="E6483">
        <v>2918209</v>
      </c>
      <c r="F6483">
        <v>6985</v>
      </c>
      <c r="G6483">
        <v>0</v>
      </c>
      <c r="H6483" t="s">
        <v>11402</v>
      </c>
      <c r="I6483">
        <v>7315</v>
      </c>
      <c r="J6483" t="str">
        <f>VLOOKUP(E6483,DSSpieler!A:B,2,FALSE)</f>
        <v>Zeilor</v>
      </c>
    </row>
    <row r="6484" spans="1:10" x14ac:dyDescent="0.25">
      <c r="A6484">
        <v>7316</v>
      </c>
      <c r="B6484" t="s">
        <v>33115</v>
      </c>
      <c r="C6484">
        <v>585</v>
      </c>
      <c r="D6484">
        <v>455</v>
      </c>
      <c r="E6484">
        <v>1577198806</v>
      </c>
      <c r="F6484">
        <v>5710</v>
      </c>
      <c r="G6484">
        <v>0</v>
      </c>
      <c r="H6484" t="s">
        <v>11403</v>
      </c>
      <c r="I6484">
        <v>7316</v>
      </c>
      <c r="J6484" t="str">
        <f>VLOOKUP(E6484,DSSpieler!A:B,2,FALSE)</f>
        <v>ForbiddenChild</v>
      </c>
    </row>
    <row r="6485" spans="1:10" x14ac:dyDescent="0.25">
      <c r="A6485">
        <v>7317</v>
      </c>
      <c r="B6485" t="s">
        <v>31087</v>
      </c>
      <c r="C6485">
        <v>602</v>
      </c>
      <c r="D6485">
        <v>534</v>
      </c>
      <c r="E6485">
        <v>1577199105</v>
      </c>
      <c r="F6485">
        <v>4369</v>
      </c>
      <c r="G6485">
        <v>0</v>
      </c>
      <c r="H6485" t="s">
        <v>11404</v>
      </c>
      <c r="I6485">
        <v>7317</v>
      </c>
      <c r="J6485" t="str">
        <f>VLOOKUP(E6485,DSSpieler!A:B,2,FALSE)</f>
        <v>xBergbaron</v>
      </c>
    </row>
    <row r="6486" spans="1:10" x14ac:dyDescent="0.25">
      <c r="A6486">
        <v>7318</v>
      </c>
      <c r="B6486" t="s">
        <v>531</v>
      </c>
      <c r="C6486">
        <v>563</v>
      </c>
      <c r="D6486">
        <v>448</v>
      </c>
      <c r="E6486">
        <v>0</v>
      </c>
      <c r="F6486">
        <v>525</v>
      </c>
      <c r="G6486">
        <v>0</v>
      </c>
      <c r="H6486" t="s">
        <v>11405</v>
      </c>
      <c r="I6486">
        <v>7318</v>
      </c>
      <c r="J6486" t="e">
        <f>VLOOKUP(E6486,DSSpieler!A:B,2,FALSE)</f>
        <v>#N/A</v>
      </c>
    </row>
    <row r="6487" spans="1:10" x14ac:dyDescent="0.25">
      <c r="A6487">
        <v>7319</v>
      </c>
      <c r="B6487" t="s">
        <v>31839</v>
      </c>
      <c r="C6487">
        <v>540</v>
      </c>
      <c r="D6487">
        <v>566</v>
      </c>
      <c r="E6487">
        <v>1577011479</v>
      </c>
      <c r="F6487">
        <v>4658</v>
      </c>
      <c r="G6487">
        <v>0</v>
      </c>
      <c r="H6487" t="s">
        <v>11406</v>
      </c>
      <c r="I6487">
        <v>7319</v>
      </c>
      <c r="J6487" t="str">
        <f>VLOOKUP(E6487,DSSpieler!A:B,2,FALSE)</f>
        <v>Dänerys Targaryen</v>
      </c>
    </row>
    <row r="6488" spans="1:10" x14ac:dyDescent="0.25">
      <c r="A6488">
        <v>7320</v>
      </c>
      <c r="B6488" t="s">
        <v>35819</v>
      </c>
      <c r="C6488">
        <v>569</v>
      </c>
      <c r="D6488">
        <v>544</v>
      </c>
      <c r="E6488">
        <v>3335085</v>
      </c>
      <c r="F6488">
        <v>3735</v>
      </c>
      <c r="G6488">
        <v>0</v>
      </c>
      <c r="H6488" t="s">
        <v>11407</v>
      </c>
      <c r="I6488">
        <v>7320</v>
      </c>
      <c r="J6488" t="str">
        <f>VLOOKUP(E6488,DSSpieler!A:B,2,FALSE)</f>
        <v>morbidus cantus</v>
      </c>
    </row>
    <row r="6489" spans="1:10" x14ac:dyDescent="0.25">
      <c r="A6489">
        <v>7321</v>
      </c>
      <c r="B6489" t="s">
        <v>531</v>
      </c>
      <c r="C6489">
        <v>583</v>
      </c>
      <c r="D6489">
        <v>497</v>
      </c>
      <c r="E6489">
        <v>0</v>
      </c>
      <c r="F6489">
        <v>113</v>
      </c>
      <c r="G6489">
        <v>0</v>
      </c>
      <c r="H6489" t="s">
        <v>11408</v>
      </c>
      <c r="I6489">
        <v>7321</v>
      </c>
      <c r="J6489" t="e">
        <f>VLOOKUP(E6489,DSSpieler!A:B,2,FALSE)</f>
        <v>#N/A</v>
      </c>
    </row>
    <row r="6490" spans="1:10" x14ac:dyDescent="0.25">
      <c r="A6490">
        <v>7322</v>
      </c>
      <c r="B6490" t="s">
        <v>1635</v>
      </c>
      <c r="C6490">
        <v>435</v>
      </c>
      <c r="D6490">
        <v>550</v>
      </c>
      <c r="E6490">
        <v>1577197615</v>
      </c>
      <c r="F6490">
        <v>6434</v>
      </c>
      <c r="G6490">
        <v>0</v>
      </c>
      <c r="H6490" t="s">
        <v>11409</v>
      </c>
      <c r="I6490">
        <v>7322</v>
      </c>
      <c r="J6490" t="str">
        <f>VLOOKUP(E6490,DSSpieler!A:B,2,FALSE)</f>
        <v>Tsume</v>
      </c>
    </row>
    <row r="6491" spans="1:10" x14ac:dyDescent="0.25">
      <c r="A6491">
        <v>7323</v>
      </c>
      <c r="B6491" t="s">
        <v>531</v>
      </c>
      <c r="C6491">
        <v>430</v>
      </c>
      <c r="D6491">
        <v>455</v>
      </c>
      <c r="E6491">
        <v>0</v>
      </c>
      <c r="F6491">
        <v>144</v>
      </c>
      <c r="G6491">
        <v>0</v>
      </c>
      <c r="H6491" t="s">
        <v>11410</v>
      </c>
      <c r="I6491">
        <v>7323</v>
      </c>
      <c r="J6491" t="e">
        <f>VLOOKUP(E6491,DSSpieler!A:B,2,FALSE)</f>
        <v>#N/A</v>
      </c>
    </row>
    <row r="6492" spans="1:10" x14ac:dyDescent="0.25">
      <c r="A6492">
        <v>7324</v>
      </c>
      <c r="B6492" t="s">
        <v>33116</v>
      </c>
      <c r="C6492">
        <v>450</v>
      </c>
      <c r="D6492">
        <v>563</v>
      </c>
      <c r="E6492">
        <v>1577154995</v>
      </c>
      <c r="F6492">
        <v>1083</v>
      </c>
      <c r="G6492">
        <v>0</v>
      </c>
      <c r="H6492" t="s">
        <v>11411</v>
      </c>
      <c r="I6492">
        <v>7324</v>
      </c>
      <c r="J6492" t="str">
        <f>VLOOKUP(E6492,DSSpieler!A:B,2,FALSE)</f>
        <v>Lucy-fer</v>
      </c>
    </row>
    <row r="6493" spans="1:10" x14ac:dyDescent="0.25">
      <c r="A6493">
        <v>7325</v>
      </c>
      <c r="B6493" t="s">
        <v>1636</v>
      </c>
      <c r="C6493">
        <v>578</v>
      </c>
      <c r="D6493">
        <v>531</v>
      </c>
      <c r="E6493">
        <v>9918583</v>
      </c>
      <c r="F6493">
        <v>641</v>
      </c>
      <c r="G6493">
        <v>0</v>
      </c>
      <c r="H6493" t="s">
        <v>11412</v>
      </c>
      <c r="I6493">
        <v>7325</v>
      </c>
      <c r="J6493" t="str">
        <f>VLOOKUP(E6493,DSSpieler!A:B,2,FALSE)</f>
        <v>Millepora</v>
      </c>
    </row>
    <row r="6494" spans="1:10" x14ac:dyDescent="0.25">
      <c r="A6494">
        <v>7327</v>
      </c>
      <c r="B6494" t="s">
        <v>531</v>
      </c>
      <c r="C6494">
        <v>416</v>
      </c>
      <c r="D6494">
        <v>510</v>
      </c>
      <c r="E6494">
        <v>0</v>
      </c>
      <c r="F6494">
        <v>273</v>
      </c>
      <c r="G6494">
        <v>0</v>
      </c>
      <c r="H6494" t="s">
        <v>11413</v>
      </c>
      <c r="I6494">
        <v>7327</v>
      </c>
      <c r="J6494" t="e">
        <f>VLOOKUP(E6494,DSSpieler!A:B,2,FALSE)</f>
        <v>#N/A</v>
      </c>
    </row>
    <row r="6495" spans="1:10" x14ac:dyDescent="0.25">
      <c r="A6495">
        <v>7328</v>
      </c>
      <c r="B6495" t="s">
        <v>531</v>
      </c>
      <c r="C6495">
        <v>557</v>
      </c>
      <c r="D6495">
        <v>440</v>
      </c>
      <c r="E6495">
        <v>0</v>
      </c>
      <c r="F6495">
        <v>446</v>
      </c>
      <c r="G6495">
        <v>0</v>
      </c>
      <c r="H6495" t="s">
        <v>11414</v>
      </c>
      <c r="I6495">
        <v>7328</v>
      </c>
      <c r="J6495" t="e">
        <f>VLOOKUP(E6495,DSSpieler!A:B,2,FALSE)</f>
        <v>#N/A</v>
      </c>
    </row>
    <row r="6496" spans="1:10" x14ac:dyDescent="0.25">
      <c r="A6496">
        <v>7329</v>
      </c>
      <c r="B6496" t="s">
        <v>583</v>
      </c>
      <c r="C6496">
        <v>457</v>
      </c>
      <c r="D6496">
        <v>430</v>
      </c>
      <c r="E6496">
        <v>1577186327</v>
      </c>
      <c r="F6496">
        <v>5081</v>
      </c>
      <c r="G6496">
        <v>0</v>
      </c>
      <c r="H6496" t="s">
        <v>11415</v>
      </c>
      <c r="I6496">
        <v>7329</v>
      </c>
      <c r="J6496" t="str">
        <f>VLOOKUP(E6496,DSSpieler!A:B,2,FALSE)</f>
        <v>Varothem</v>
      </c>
    </row>
    <row r="6497" spans="1:10" x14ac:dyDescent="0.25">
      <c r="A6497">
        <v>7330</v>
      </c>
      <c r="B6497" t="s">
        <v>33117</v>
      </c>
      <c r="C6497">
        <v>541</v>
      </c>
      <c r="D6497">
        <v>416</v>
      </c>
      <c r="E6497">
        <v>1577196253</v>
      </c>
      <c r="F6497">
        <v>6043</v>
      </c>
      <c r="G6497">
        <v>0</v>
      </c>
      <c r="H6497" t="s">
        <v>11416</v>
      </c>
      <c r="I6497">
        <v>7330</v>
      </c>
      <c r="J6497" t="str">
        <f>VLOOKUP(E6497,DSSpieler!A:B,2,FALSE)</f>
        <v>Dracay</v>
      </c>
    </row>
    <row r="6498" spans="1:10" x14ac:dyDescent="0.25">
      <c r="A6498">
        <v>7331</v>
      </c>
      <c r="B6498" t="s">
        <v>531</v>
      </c>
      <c r="C6498">
        <v>419</v>
      </c>
      <c r="D6498">
        <v>494</v>
      </c>
      <c r="E6498">
        <v>0</v>
      </c>
      <c r="F6498">
        <v>410</v>
      </c>
      <c r="G6498">
        <v>0</v>
      </c>
      <c r="H6498" t="s">
        <v>11417</v>
      </c>
      <c r="I6498">
        <v>7331</v>
      </c>
      <c r="J6498" t="e">
        <f>VLOOKUP(E6498,DSSpieler!A:B,2,FALSE)</f>
        <v>#N/A</v>
      </c>
    </row>
    <row r="6499" spans="1:10" x14ac:dyDescent="0.25">
      <c r="A6499">
        <v>7332</v>
      </c>
      <c r="B6499" t="s">
        <v>1637</v>
      </c>
      <c r="C6499">
        <v>438</v>
      </c>
      <c r="D6499">
        <v>556</v>
      </c>
      <c r="E6499">
        <v>1577197803</v>
      </c>
      <c r="F6499">
        <v>4292</v>
      </c>
      <c r="G6499">
        <v>0</v>
      </c>
      <c r="H6499" t="s">
        <v>11418</v>
      </c>
      <c r="I6499">
        <v>7332</v>
      </c>
      <c r="J6499" t="str">
        <f>VLOOKUP(E6499,DSSpieler!A:B,2,FALSE)</f>
        <v>Jasnik</v>
      </c>
    </row>
    <row r="6500" spans="1:10" x14ac:dyDescent="0.25">
      <c r="A6500">
        <v>7333</v>
      </c>
      <c r="B6500" t="s">
        <v>33118</v>
      </c>
      <c r="C6500">
        <v>484</v>
      </c>
      <c r="D6500">
        <v>417</v>
      </c>
      <c r="E6500">
        <v>3162596</v>
      </c>
      <c r="F6500">
        <v>927</v>
      </c>
      <c r="G6500">
        <v>0</v>
      </c>
      <c r="H6500" t="s">
        <v>11419</v>
      </c>
      <c r="I6500">
        <v>7333</v>
      </c>
      <c r="J6500" t="str">
        <f>VLOOKUP(E6500,DSSpieler!A:B,2,FALSE)</f>
        <v>Robert P.</v>
      </c>
    </row>
    <row r="6501" spans="1:10" x14ac:dyDescent="0.25">
      <c r="A6501">
        <v>7334</v>
      </c>
      <c r="B6501" t="s">
        <v>531</v>
      </c>
      <c r="C6501">
        <v>563</v>
      </c>
      <c r="D6501">
        <v>551</v>
      </c>
      <c r="E6501">
        <v>0</v>
      </c>
      <c r="F6501">
        <v>228</v>
      </c>
      <c r="G6501">
        <v>0</v>
      </c>
      <c r="H6501" t="s">
        <v>11420</v>
      </c>
      <c r="I6501">
        <v>7334</v>
      </c>
      <c r="J6501" t="e">
        <f>VLOOKUP(E6501,DSSpieler!A:B,2,FALSE)</f>
        <v>#N/A</v>
      </c>
    </row>
    <row r="6502" spans="1:10" x14ac:dyDescent="0.25">
      <c r="A6502">
        <v>7335</v>
      </c>
      <c r="B6502">
        <v>4</v>
      </c>
      <c r="C6502">
        <v>503</v>
      </c>
      <c r="D6502">
        <v>417</v>
      </c>
      <c r="E6502">
        <v>1575881708</v>
      </c>
      <c r="F6502">
        <v>3338</v>
      </c>
      <c r="G6502">
        <v>0</v>
      </c>
      <c r="H6502" t="s">
        <v>11421</v>
      </c>
      <c r="I6502">
        <v>7335</v>
      </c>
      <c r="J6502" t="str">
        <f>VLOOKUP(E6502,DSSpieler!A:B,2,FALSE)</f>
        <v>Akiadis</v>
      </c>
    </row>
    <row r="6503" spans="1:10" x14ac:dyDescent="0.25">
      <c r="A6503">
        <v>7336</v>
      </c>
      <c r="B6503" t="s">
        <v>531</v>
      </c>
      <c r="C6503">
        <v>474</v>
      </c>
      <c r="D6503">
        <v>579</v>
      </c>
      <c r="E6503">
        <v>0</v>
      </c>
      <c r="F6503">
        <v>156</v>
      </c>
      <c r="G6503">
        <v>0</v>
      </c>
      <c r="H6503" t="s">
        <v>11422</v>
      </c>
      <c r="I6503">
        <v>7336</v>
      </c>
      <c r="J6503" t="e">
        <f>VLOOKUP(E6503,DSSpieler!A:B,2,FALSE)</f>
        <v>#N/A</v>
      </c>
    </row>
    <row r="6504" spans="1:10" x14ac:dyDescent="0.25">
      <c r="A6504">
        <v>7337</v>
      </c>
      <c r="B6504" t="s">
        <v>531</v>
      </c>
      <c r="C6504">
        <v>501</v>
      </c>
      <c r="D6504">
        <v>417</v>
      </c>
      <c r="E6504">
        <v>0</v>
      </c>
      <c r="F6504">
        <v>91</v>
      </c>
      <c r="G6504">
        <v>0</v>
      </c>
      <c r="H6504" t="s">
        <v>11423</v>
      </c>
      <c r="I6504">
        <v>7337</v>
      </c>
      <c r="J6504" t="e">
        <f>VLOOKUP(E6504,DSSpieler!A:B,2,FALSE)</f>
        <v>#N/A</v>
      </c>
    </row>
    <row r="6505" spans="1:10" x14ac:dyDescent="0.25">
      <c r="A6505">
        <v>7338</v>
      </c>
      <c r="B6505" t="s">
        <v>531</v>
      </c>
      <c r="C6505">
        <v>519</v>
      </c>
      <c r="D6505">
        <v>579</v>
      </c>
      <c r="E6505">
        <v>0</v>
      </c>
      <c r="F6505">
        <v>362</v>
      </c>
      <c r="G6505">
        <v>0</v>
      </c>
      <c r="H6505" t="s">
        <v>11424</v>
      </c>
      <c r="I6505">
        <v>7338</v>
      </c>
      <c r="J6505" t="e">
        <f>VLOOKUP(E6505,DSSpieler!A:B,2,FALSE)</f>
        <v>#N/A</v>
      </c>
    </row>
    <row r="6506" spans="1:10" x14ac:dyDescent="0.25">
      <c r="A6506">
        <v>7339</v>
      </c>
      <c r="B6506" t="s">
        <v>531</v>
      </c>
      <c r="C6506">
        <v>555</v>
      </c>
      <c r="D6506">
        <v>437</v>
      </c>
      <c r="E6506">
        <v>0</v>
      </c>
      <c r="F6506">
        <v>311</v>
      </c>
      <c r="G6506">
        <v>0</v>
      </c>
      <c r="H6506" t="s">
        <v>11425</v>
      </c>
      <c r="I6506">
        <v>7339</v>
      </c>
      <c r="J6506" t="e">
        <f>VLOOKUP(E6506,DSSpieler!A:B,2,FALSE)</f>
        <v>#N/A</v>
      </c>
    </row>
    <row r="6507" spans="1:10" x14ac:dyDescent="0.25">
      <c r="A6507">
        <v>7340</v>
      </c>
      <c r="B6507" t="s">
        <v>531</v>
      </c>
      <c r="C6507">
        <v>552</v>
      </c>
      <c r="D6507">
        <v>565</v>
      </c>
      <c r="E6507">
        <v>0</v>
      </c>
      <c r="F6507">
        <v>259</v>
      </c>
      <c r="G6507">
        <v>0</v>
      </c>
      <c r="H6507" t="s">
        <v>11426</v>
      </c>
      <c r="I6507">
        <v>7340</v>
      </c>
      <c r="J6507" t="e">
        <f>VLOOKUP(E6507,DSSpieler!A:B,2,FALSE)</f>
        <v>#N/A</v>
      </c>
    </row>
    <row r="6508" spans="1:10" x14ac:dyDescent="0.25">
      <c r="A6508">
        <v>7341</v>
      </c>
      <c r="B6508" t="s">
        <v>531</v>
      </c>
      <c r="C6508">
        <v>448</v>
      </c>
      <c r="D6508">
        <v>435</v>
      </c>
      <c r="E6508">
        <v>0</v>
      </c>
      <c r="F6508">
        <v>389</v>
      </c>
      <c r="G6508">
        <v>0</v>
      </c>
      <c r="H6508" t="s">
        <v>11427</v>
      </c>
      <c r="I6508">
        <v>7341</v>
      </c>
      <c r="J6508" t="e">
        <f>VLOOKUP(E6508,DSSpieler!A:B,2,FALSE)</f>
        <v>#N/A</v>
      </c>
    </row>
    <row r="6509" spans="1:10" x14ac:dyDescent="0.25">
      <c r="A6509">
        <v>7342</v>
      </c>
      <c r="B6509" t="s">
        <v>531</v>
      </c>
      <c r="C6509">
        <v>467</v>
      </c>
      <c r="D6509">
        <v>422</v>
      </c>
      <c r="E6509">
        <v>0</v>
      </c>
      <c r="F6509">
        <v>338</v>
      </c>
      <c r="G6509">
        <v>0</v>
      </c>
      <c r="H6509" t="s">
        <v>11428</v>
      </c>
      <c r="I6509">
        <v>7342</v>
      </c>
      <c r="J6509" t="e">
        <f>VLOOKUP(E6509,DSSpieler!A:B,2,FALSE)</f>
        <v>#N/A</v>
      </c>
    </row>
    <row r="6510" spans="1:10" x14ac:dyDescent="0.25">
      <c r="A6510">
        <v>7344</v>
      </c>
      <c r="B6510" t="s">
        <v>1638</v>
      </c>
      <c r="C6510">
        <v>427</v>
      </c>
      <c r="D6510">
        <v>537</v>
      </c>
      <c r="E6510">
        <v>1577173890</v>
      </c>
      <c r="F6510">
        <v>4650</v>
      </c>
      <c r="G6510">
        <v>0</v>
      </c>
      <c r="H6510" t="s">
        <v>11429</v>
      </c>
      <c r="I6510">
        <v>7344</v>
      </c>
      <c r="J6510" t="str">
        <f>VLOOKUP(E6510,DSSpieler!A:B,2,FALSE)</f>
        <v>Isolalai</v>
      </c>
    </row>
    <row r="6511" spans="1:10" x14ac:dyDescent="0.25">
      <c r="A6511">
        <v>7345</v>
      </c>
      <c r="B6511" t="s">
        <v>30574</v>
      </c>
      <c r="C6511">
        <v>482</v>
      </c>
      <c r="D6511">
        <v>595</v>
      </c>
      <c r="E6511">
        <v>3362710</v>
      </c>
      <c r="F6511">
        <v>4989</v>
      </c>
      <c r="G6511">
        <v>0</v>
      </c>
      <c r="H6511" t="s">
        <v>11430</v>
      </c>
      <c r="I6511">
        <v>7345</v>
      </c>
      <c r="J6511" t="str">
        <f>VLOOKUP(E6511,DSSpieler!A:B,2,FALSE)</f>
        <v>..Headbaenger..</v>
      </c>
    </row>
    <row r="6512" spans="1:10" x14ac:dyDescent="0.25">
      <c r="A6512">
        <v>7346</v>
      </c>
      <c r="B6512" t="s">
        <v>531</v>
      </c>
      <c r="C6512">
        <v>507</v>
      </c>
      <c r="D6512">
        <v>416</v>
      </c>
      <c r="E6512">
        <v>0</v>
      </c>
      <c r="F6512">
        <v>385</v>
      </c>
      <c r="G6512">
        <v>0</v>
      </c>
      <c r="H6512" t="s">
        <v>11431</v>
      </c>
      <c r="I6512">
        <v>7346</v>
      </c>
      <c r="J6512" t="e">
        <f>VLOOKUP(E6512,DSSpieler!A:B,2,FALSE)</f>
        <v>#N/A</v>
      </c>
    </row>
    <row r="6513" spans="1:10" x14ac:dyDescent="0.25">
      <c r="A6513">
        <v>7349</v>
      </c>
      <c r="B6513">
        <v>2</v>
      </c>
      <c r="C6513">
        <v>399</v>
      </c>
      <c r="D6513">
        <v>511</v>
      </c>
      <c r="E6513">
        <v>9907962</v>
      </c>
      <c r="F6513">
        <v>5505</v>
      </c>
      <c r="G6513">
        <v>0</v>
      </c>
      <c r="H6513" t="s">
        <v>11432</v>
      </c>
      <c r="I6513">
        <v>7349</v>
      </c>
      <c r="J6513" t="str">
        <f>VLOOKUP(E6513,DSSpieler!A:B,2,FALSE)</f>
        <v>florator</v>
      </c>
    </row>
    <row r="6514" spans="1:10" x14ac:dyDescent="0.25">
      <c r="A6514">
        <v>7350</v>
      </c>
      <c r="B6514" t="s">
        <v>33119</v>
      </c>
      <c r="C6514">
        <v>569</v>
      </c>
      <c r="D6514">
        <v>549</v>
      </c>
      <c r="E6514">
        <v>3466771</v>
      </c>
      <c r="F6514">
        <v>458</v>
      </c>
      <c r="G6514">
        <v>0</v>
      </c>
      <c r="H6514" t="s">
        <v>11433</v>
      </c>
      <c r="I6514">
        <v>7350</v>
      </c>
      <c r="J6514" t="str">
        <f>VLOOKUP(E6514,DSSpieler!A:B,2,FALSE)</f>
        <v>Tallanvor</v>
      </c>
    </row>
    <row r="6515" spans="1:10" x14ac:dyDescent="0.25">
      <c r="A6515">
        <v>7351</v>
      </c>
      <c r="B6515" t="s">
        <v>531</v>
      </c>
      <c r="C6515">
        <v>488</v>
      </c>
      <c r="D6515">
        <v>582</v>
      </c>
      <c r="E6515">
        <v>0</v>
      </c>
      <c r="F6515">
        <v>251</v>
      </c>
      <c r="G6515">
        <v>0</v>
      </c>
      <c r="H6515" t="s">
        <v>11434</v>
      </c>
      <c r="I6515">
        <v>7351</v>
      </c>
      <c r="J6515" t="e">
        <f>VLOOKUP(E6515,DSSpieler!A:B,2,FALSE)</f>
        <v>#N/A</v>
      </c>
    </row>
    <row r="6516" spans="1:10" x14ac:dyDescent="0.25">
      <c r="A6516">
        <v>7352</v>
      </c>
      <c r="B6516">
        <v>2</v>
      </c>
      <c r="C6516">
        <v>554</v>
      </c>
      <c r="D6516">
        <v>575</v>
      </c>
      <c r="E6516">
        <v>1577188575</v>
      </c>
      <c r="F6516">
        <v>2064</v>
      </c>
      <c r="G6516">
        <v>0</v>
      </c>
      <c r="H6516" t="s">
        <v>11435</v>
      </c>
      <c r="I6516">
        <v>7352</v>
      </c>
      <c r="J6516" t="str">
        <f>VLOOKUP(E6516,DSSpieler!A:B,2,FALSE)</f>
        <v>94Norbi</v>
      </c>
    </row>
    <row r="6517" spans="1:10" x14ac:dyDescent="0.25">
      <c r="A6517">
        <v>7353</v>
      </c>
      <c r="B6517" t="s">
        <v>33120</v>
      </c>
      <c r="C6517">
        <v>568</v>
      </c>
      <c r="D6517">
        <v>551</v>
      </c>
      <c r="E6517">
        <v>7624025</v>
      </c>
      <c r="F6517">
        <v>4959</v>
      </c>
      <c r="G6517">
        <v>0</v>
      </c>
      <c r="H6517" t="s">
        <v>11436</v>
      </c>
      <c r="I6517">
        <v>7353</v>
      </c>
      <c r="J6517" t="str">
        <f>VLOOKUP(E6517,DSSpieler!A:B,2,FALSE)</f>
        <v>yugioh13</v>
      </c>
    </row>
    <row r="6518" spans="1:10" x14ac:dyDescent="0.25">
      <c r="A6518">
        <v>7354</v>
      </c>
      <c r="B6518" t="s">
        <v>33121</v>
      </c>
      <c r="C6518">
        <v>566</v>
      </c>
      <c r="D6518">
        <v>561</v>
      </c>
      <c r="E6518">
        <v>1577115905</v>
      </c>
      <c r="F6518">
        <v>4064</v>
      </c>
      <c r="G6518">
        <v>0</v>
      </c>
      <c r="H6518" t="s">
        <v>11437</v>
      </c>
      <c r="I6518">
        <v>7354</v>
      </c>
      <c r="J6518" t="str">
        <f>VLOOKUP(E6518,DSSpieler!A:B,2,FALSE)</f>
        <v>Bateman</v>
      </c>
    </row>
    <row r="6519" spans="1:10" x14ac:dyDescent="0.25">
      <c r="A6519">
        <v>7355</v>
      </c>
      <c r="B6519" t="s">
        <v>1639</v>
      </c>
      <c r="C6519">
        <v>453</v>
      </c>
      <c r="D6519">
        <v>430</v>
      </c>
      <c r="E6519">
        <v>8563827</v>
      </c>
      <c r="F6519">
        <v>7148</v>
      </c>
      <c r="G6519">
        <v>0</v>
      </c>
      <c r="H6519" t="s">
        <v>11438</v>
      </c>
      <c r="I6519">
        <v>7355</v>
      </c>
      <c r="J6519" t="str">
        <f>VLOOKUP(E6519,DSSpieler!A:B,2,FALSE)</f>
        <v>TheClausii</v>
      </c>
    </row>
    <row r="6520" spans="1:10" x14ac:dyDescent="0.25">
      <c r="A6520">
        <v>7356</v>
      </c>
      <c r="B6520" t="s">
        <v>531</v>
      </c>
      <c r="C6520">
        <v>571</v>
      </c>
      <c r="D6520">
        <v>455</v>
      </c>
      <c r="E6520">
        <v>0</v>
      </c>
      <c r="F6520">
        <v>323</v>
      </c>
      <c r="G6520">
        <v>0</v>
      </c>
      <c r="H6520" t="s">
        <v>11439</v>
      </c>
      <c r="I6520">
        <v>7356</v>
      </c>
      <c r="J6520" t="e">
        <f>VLOOKUP(E6520,DSSpieler!A:B,2,FALSE)</f>
        <v>#N/A</v>
      </c>
    </row>
    <row r="6521" spans="1:10" x14ac:dyDescent="0.25">
      <c r="A6521">
        <v>7357</v>
      </c>
      <c r="B6521" t="s">
        <v>531</v>
      </c>
      <c r="C6521">
        <v>535</v>
      </c>
      <c r="D6521">
        <v>575</v>
      </c>
      <c r="E6521">
        <v>0</v>
      </c>
      <c r="F6521">
        <v>320</v>
      </c>
      <c r="G6521">
        <v>0</v>
      </c>
      <c r="H6521" t="s">
        <v>11440</v>
      </c>
      <c r="I6521">
        <v>7357</v>
      </c>
      <c r="J6521" t="e">
        <f>VLOOKUP(E6521,DSSpieler!A:B,2,FALSE)</f>
        <v>#N/A</v>
      </c>
    </row>
    <row r="6522" spans="1:10" x14ac:dyDescent="0.25">
      <c r="A6522">
        <v>7358</v>
      </c>
      <c r="B6522" t="s">
        <v>30464</v>
      </c>
      <c r="C6522">
        <v>571</v>
      </c>
      <c r="D6522">
        <v>459</v>
      </c>
      <c r="E6522">
        <v>1576751873</v>
      </c>
      <c r="F6522">
        <v>6341</v>
      </c>
      <c r="G6522">
        <v>0</v>
      </c>
      <c r="H6522" t="s">
        <v>11441</v>
      </c>
      <c r="I6522">
        <v>7358</v>
      </c>
      <c r="J6522" t="str">
        <f>VLOOKUP(E6522,DSSpieler!A:B,2,FALSE)</f>
        <v>King MKay</v>
      </c>
    </row>
    <row r="6523" spans="1:10" x14ac:dyDescent="0.25">
      <c r="A6523">
        <v>7359</v>
      </c>
      <c r="B6523" t="s">
        <v>531</v>
      </c>
      <c r="C6523">
        <v>574</v>
      </c>
      <c r="D6523">
        <v>533</v>
      </c>
      <c r="E6523">
        <v>0</v>
      </c>
      <c r="F6523">
        <v>313</v>
      </c>
      <c r="G6523">
        <v>0</v>
      </c>
      <c r="H6523" t="s">
        <v>11442</v>
      </c>
      <c r="I6523">
        <v>7359</v>
      </c>
      <c r="J6523" t="e">
        <f>VLOOKUP(E6523,DSSpieler!A:B,2,FALSE)</f>
        <v>#N/A</v>
      </c>
    </row>
    <row r="6524" spans="1:10" x14ac:dyDescent="0.25">
      <c r="A6524">
        <v>7360</v>
      </c>
      <c r="B6524" t="s">
        <v>33122</v>
      </c>
      <c r="C6524">
        <v>425</v>
      </c>
      <c r="D6524">
        <v>461</v>
      </c>
      <c r="E6524">
        <v>1576502624</v>
      </c>
      <c r="F6524">
        <v>4624</v>
      </c>
      <c r="G6524">
        <v>0</v>
      </c>
      <c r="H6524" t="s">
        <v>11443</v>
      </c>
      <c r="I6524">
        <v>7360</v>
      </c>
      <c r="J6524" t="str">
        <f>VLOOKUP(E6524,DSSpieler!A:B,2,FALSE)</f>
        <v>MJ.White</v>
      </c>
    </row>
    <row r="6525" spans="1:10" x14ac:dyDescent="0.25">
      <c r="A6525">
        <v>7361</v>
      </c>
      <c r="B6525" t="s">
        <v>33123</v>
      </c>
      <c r="C6525">
        <v>492</v>
      </c>
      <c r="D6525">
        <v>586</v>
      </c>
      <c r="E6525">
        <v>2641220</v>
      </c>
      <c r="F6525">
        <v>4385</v>
      </c>
      <c r="G6525">
        <v>0</v>
      </c>
      <c r="H6525" t="s">
        <v>11444</v>
      </c>
      <c r="I6525">
        <v>7361</v>
      </c>
      <c r="J6525" t="str">
        <f>VLOOKUP(E6525,DSSpieler!A:B,2,FALSE)</f>
        <v>Plug in Baby</v>
      </c>
    </row>
    <row r="6526" spans="1:10" x14ac:dyDescent="0.25">
      <c r="A6526">
        <v>7362</v>
      </c>
      <c r="B6526" t="s">
        <v>531</v>
      </c>
      <c r="C6526">
        <v>435</v>
      </c>
      <c r="D6526">
        <v>446</v>
      </c>
      <c r="E6526">
        <v>0</v>
      </c>
      <c r="F6526">
        <v>177</v>
      </c>
      <c r="G6526">
        <v>0</v>
      </c>
      <c r="H6526" t="s">
        <v>11445</v>
      </c>
      <c r="I6526">
        <v>7362</v>
      </c>
      <c r="J6526" t="e">
        <f>VLOOKUP(E6526,DSSpieler!A:B,2,FALSE)</f>
        <v>#N/A</v>
      </c>
    </row>
    <row r="6527" spans="1:10" x14ac:dyDescent="0.25">
      <c r="A6527">
        <v>7363</v>
      </c>
      <c r="B6527" t="s">
        <v>33124</v>
      </c>
      <c r="C6527">
        <v>493</v>
      </c>
      <c r="D6527">
        <v>416</v>
      </c>
      <c r="E6527">
        <v>1577186605</v>
      </c>
      <c r="F6527">
        <v>3875</v>
      </c>
      <c r="G6527">
        <v>0</v>
      </c>
      <c r="H6527" t="s">
        <v>11446</v>
      </c>
      <c r="I6527">
        <v>7363</v>
      </c>
      <c r="J6527" t="str">
        <f>VLOOKUP(E6527,DSSpieler!A:B,2,FALSE)</f>
        <v>FlowRyan2012</v>
      </c>
    </row>
    <row r="6528" spans="1:10" x14ac:dyDescent="0.25">
      <c r="A6528">
        <v>7364</v>
      </c>
      <c r="B6528" t="s">
        <v>531</v>
      </c>
      <c r="C6528">
        <v>487</v>
      </c>
      <c r="D6528">
        <v>418</v>
      </c>
      <c r="E6528">
        <v>0</v>
      </c>
      <c r="F6528">
        <v>451</v>
      </c>
      <c r="G6528">
        <v>0</v>
      </c>
      <c r="H6528" t="s">
        <v>11447</v>
      </c>
      <c r="I6528">
        <v>7364</v>
      </c>
      <c r="J6528" t="e">
        <f>VLOOKUP(E6528,DSSpieler!A:B,2,FALSE)</f>
        <v>#N/A</v>
      </c>
    </row>
    <row r="6529" spans="1:10" x14ac:dyDescent="0.25">
      <c r="A6529">
        <v>7365</v>
      </c>
      <c r="B6529" t="s">
        <v>531</v>
      </c>
      <c r="C6529">
        <v>455</v>
      </c>
      <c r="D6529">
        <v>571</v>
      </c>
      <c r="E6529">
        <v>0</v>
      </c>
      <c r="F6529">
        <v>392</v>
      </c>
      <c r="G6529">
        <v>0</v>
      </c>
      <c r="H6529" t="s">
        <v>11448</v>
      </c>
      <c r="I6529">
        <v>7365</v>
      </c>
      <c r="J6529" t="e">
        <f>VLOOKUP(E6529,DSSpieler!A:B,2,FALSE)</f>
        <v>#N/A</v>
      </c>
    </row>
    <row r="6530" spans="1:10" x14ac:dyDescent="0.25">
      <c r="A6530">
        <v>7366</v>
      </c>
      <c r="B6530" t="s">
        <v>531</v>
      </c>
      <c r="C6530">
        <v>396</v>
      </c>
      <c r="D6530">
        <v>465</v>
      </c>
      <c r="E6530">
        <v>0</v>
      </c>
      <c r="F6530">
        <v>332</v>
      </c>
      <c r="G6530">
        <v>0</v>
      </c>
      <c r="H6530" t="s">
        <v>11449</v>
      </c>
      <c r="I6530">
        <v>7366</v>
      </c>
      <c r="J6530" t="e">
        <f>VLOOKUP(E6530,DSSpieler!A:B,2,FALSE)</f>
        <v>#N/A</v>
      </c>
    </row>
    <row r="6531" spans="1:10" x14ac:dyDescent="0.25">
      <c r="A6531">
        <v>7367</v>
      </c>
      <c r="B6531" t="s">
        <v>531</v>
      </c>
      <c r="C6531">
        <v>441</v>
      </c>
      <c r="D6531">
        <v>443</v>
      </c>
      <c r="E6531">
        <v>0</v>
      </c>
      <c r="F6531">
        <v>126</v>
      </c>
      <c r="G6531">
        <v>0</v>
      </c>
      <c r="H6531" t="s">
        <v>11450</v>
      </c>
      <c r="I6531">
        <v>7367</v>
      </c>
      <c r="J6531" t="e">
        <f>VLOOKUP(E6531,DSSpieler!A:B,2,FALSE)</f>
        <v>#N/A</v>
      </c>
    </row>
    <row r="6532" spans="1:10" x14ac:dyDescent="0.25">
      <c r="A6532">
        <v>7368</v>
      </c>
      <c r="B6532" t="s">
        <v>531</v>
      </c>
      <c r="C6532">
        <v>533</v>
      </c>
      <c r="D6532">
        <v>578</v>
      </c>
      <c r="E6532">
        <v>0</v>
      </c>
      <c r="F6532">
        <v>274</v>
      </c>
      <c r="G6532">
        <v>0</v>
      </c>
      <c r="H6532" t="s">
        <v>11451</v>
      </c>
      <c r="I6532">
        <v>7368</v>
      </c>
      <c r="J6532" t="e">
        <f>VLOOKUP(E6532,DSSpieler!A:B,2,FALSE)</f>
        <v>#N/A</v>
      </c>
    </row>
    <row r="6533" spans="1:10" x14ac:dyDescent="0.25">
      <c r="A6533">
        <v>7369</v>
      </c>
      <c r="B6533">
        <v>1</v>
      </c>
      <c r="C6533">
        <v>567</v>
      </c>
      <c r="D6533">
        <v>451</v>
      </c>
      <c r="E6533">
        <v>7890127</v>
      </c>
      <c r="F6533">
        <v>7385</v>
      </c>
      <c r="G6533">
        <v>0</v>
      </c>
      <c r="H6533" t="s">
        <v>11452</v>
      </c>
      <c r="I6533">
        <v>7369</v>
      </c>
      <c r="J6533" t="str">
        <f>VLOOKUP(E6533,DSSpieler!A:B,2,FALSE)</f>
        <v>rb001</v>
      </c>
    </row>
    <row r="6534" spans="1:10" x14ac:dyDescent="0.25">
      <c r="A6534">
        <v>7370</v>
      </c>
      <c r="B6534" t="s">
        <v>33125</v>
      </c>
      <c r="C6534">
        <v>526</v>
      </c>
      <c r="D6534">
        <v>420</v>
      </c>
      <c r="E6534">
        <v>7894942</v>
      </c>
      <c r="F6534">
        <v>4044</v>
      </c>
      <c r="G6534">
        <v>0</v>
      </c>
      <c r="H6534" t="s">
        <v>11453</v>
      </c>
      <c r="I6534">
        <v>7370</v>
      </c>
      <c r="J6534" t="str">
        <f>VLOOKUP(E6534,DSSpieler!A:B,2,FALSE)</f>
        <v>Mythos-GTI</v>
      </c>
    </row>
    <row r="6535" spans="1:10" x14ac:dyDescent="0.25">
      <c r="A6535">
        <v>7371</v>
      </c>
      <c r="B6535" t="s">
        <v>531</v>
      </c>
      <c r="C6535">
        <v>502</v>
      </c>
      <c r="D6535">
        <v>415</v>
      </c>
      <c r="E6535">
        <v>0</v>
      </c>
      <c r="F6535">
        <v>185</v>
      </c>
      <c r="G6535">
        <v>0</v>
      </c>
      <c r="H6535" t="s">
        <v>11454</v>
      </c>
      <c r="I6535">
        <v>7371</v>
      </c>
      <c r="J6535" t="e">
        <f>VLOOKUP(E6535,DSSpieler!A:B,2,FALSE)</f>
        <v>#N/A</v>
      </c>
    </row>
    <row r="6536" spans="1:10" x14ac:dyDescent="0.25">
      <c r="A6536">
        <v>7372</v>
      </c>
      <c r="B6536" t="s">
        <v>33126</v>
      </c>
      <c r="C6536">
        <v>433</v>
      </c>
      <c r="D6536">
        <v>547</v>
      </c>
      <c r="E6536">
        <v>7916545</v>
      </c>
      <c r="F6536">
        <v>26</v>
      </c>
      <c r="G6536">
        <v>0</v>
      </c>
      <c r="H6536" t="s">
        <v>11455</v>
      </c>
      <c r="I6536">
        <v>7372</v>
      </c>
      <c r="J6536" t="str">
        <f>VLOOKUP(E6536,DSSpieler!A:B,2,FALSE)</f>
        <v>Sire93</v>
      </c>
    </row>
    <row r="6537" spans="1:10" x14ac:dyDescent="0.25">
      <c r="A6537">
        <v>7373</v>
      </c>
      <c r="B6537" t="s">
        <v>531</v>
      </c>
      <c r="C6537">
        <v>492</v>
      </c>
      <c r="D6537">
        <v>417</v>
      </c>
      <c r="E6537">
        <v>0</v>
      </c>
      <c r="F6537">
        <v>423</v>
      </c>
      <c r="G6537">
        <v>0</v>
      </c>
      <c r="H6537" t="s">
        <v>11456</v>
      </c>
      <c r="I6537">
        <v>7373</v>
      </c>
      <c r="J6537" t="e">
        <f>VLOOKUP(E6537,DSSpieler!A:B,2,FALSE)</f>
        <v>#N/A</v>
      </c>
    </row>
    <row r="6538" spans="1:10" x14ac:dyDescent="0.25">
      <c r="A6538">
        <v>7374</v>
      </c>
      <c r="B6538" t="e">
        <f>-1-+Graffiti</f>
        <v>#NAME?</v>
      </c>
      <c r="C6538">
        <v>590</v>
      </c>
      <c r="D6538">
        <v>479</v>
      </c>
      <c r="E6538">
        <v>7928000</v>
      </c>
      <c r="F6538">
        <v>5870</v>
      </c>
      <c r="G6538">
        <v>0</v>
      </c>
      <c r="H6538" t="s">
        <v>11457</v>
      </c>
      <c r="I6538">
        <v>7374</v>
      </c>
      <c r="J6538" t="str">
        <f>VLOOKUP(E6538,DSSpieler!A:B,2,FALSE)</f>
        <v>Chiller-boy1</v>
      </c>
    </row>
    <row r="6539" spans="1:10" x14ac:dyDescent="0.25">
      <c r="A6539">
        <v>7375</v>
      </c>
      <c r="B6539" t="s">
        <v>1626</v>
      </c>
      <c r="C6539">
        <v>532</v>
      </c>
      <c r="D6539">
        <v>577</v>
      </c>
      <c r="E6539">
        <v>7958886</v>
      </c>
      <c r="F6539">
        <v>7825</v>
      </c>
      <c r="G6539">
        <v>0</v>
      </c>
      <c r="H6539" t="s">
        <v>11458</v>
      </c>
      <c r="I6539">
        <v>7375</v>
      </c>
      <c r="J6539" t="str">
        <f>VLOOKUP(E6539,DSSpieler!A:B,2,FALSE)</f>
        <v>Normannenfels</v>
      </c>
    </row>
    <row r="6540" spans="1:10" x14ac:dyDescent="0.25">
      <c r="A6540">
        <v>7376</v>
      </c>
      <c r="B6540" t="s">
        <v>531</v>
      </c>
      <c r="C6540">
        <v>576</v>
      </c>
      <c r="D6540">
        <v>464</v>
      </c>
      <c r="E6540">
        <v>0</v>
      </c>
      <c r="F6540">
        <v>376</v>
      </c>
      <c r="G6540">
        <v>0</v>
      </c>
      <c r="H6540" t="s">
        <v>11459</v>
      </c>
      <c r="I6540">
        <v>7376</v>
      </c>
      <c r="J6540" t="e">
        <f>VLOOKUP(E6540,DSSpieler!A:B,2,FALSE)</f>
        <v>#N/A</v>
      </c>
    </row>
    <row r="6541" spans="1:10" x14ac:dyDescent="0.25">
      <c r="A6541">
        <v>7377</v>
      </c>
      <c r="B6541" t="s">
        <v>1640</v>
      </c>
      <c r="C6541">
        <v>580</v>
      </c>
      <c r="D6541">
        <v>482</v>
      </c>
      <c r="E6541">
        <v>1577197531</v>
      </c>
      <c r="F6541">
        <v>5339</v>
      </c>
      <c r="G6541">
        <v>0</v>
      </c>
      <c r="H6541" t="s">
        <v>11460</v>
      </c>
      <c r="I6541">
        <v>7377</v>
      </c>
      <c r="J6541" t="str">
        <f>VLOOKUP(E6541,DSSpieler!A:B,2,FALSE)</f>
        <v>V4p3X</v>
      </c>
    </row>
    <row r="6542" spans="1:10" x14ac:dyDescent="0.25">
      <c r="A6542">
        <v>7378</v>
      </c>
      <c r="B6542" t="s">
        <v>531</v>
      </c>
      <c r="C6542">
        <v>579</v>
      </c>
      <c r="D6542">
        <v>477</v>
      </c>
      <c r="E6542">
        <v>0</v>
      </c>
      <c r="F6542">
        <v>784</v>
      </c>
      <c r="G6542">
        <v>0</v>
      </c>
      <c r="H6542" t="s">
        <v>11461</v>
      </c>
      <c r="I6542">
        <v>7378</v>
      </c>
      <c r="J6542" t="e">
        <f>VLOOKUP(E6542,DSSpieler!A:B,2,FALSE)</f>
        <v>#N/A</v>
      </c>
    </row>
    <row r="6543" spans="1:10" x14ac:dyDescent="0.25">
      <c r="A6543">
        <v>7379</v>
      </c>
      <c r="B6543" t="s">
        <v>33127</v>
      </c>
      <c r="C6543">
        <v>540</v>
      </c>
      <c r="D6543">
        <v>542</v>
      </c>
      <c r="E6543">
        <v>1577185475</v>
      </c>
      <c r="F6543">
        <v>3550</v>
      </c>
      <c r="G6543">
        <v>0</v>
      </c>
      <c r="H6543" t="s">
        <v>11462</v>
      </c>
      <c r="I6543">
        <v>7379</v>
      </c>
      <c r="J6543" t="str">
        <f>VLOOKUP(E6543,DSSpieler!A:B,2,FALSE)</f>
        <v>DonAld</v>
      </c>
    </row>
    <row r="6544" spans="1:10" x14ac:dyDescent="0.25">
      <c r="A6544">
        <v>7380</v>
      </c>
      <c r="B6544" t="s">
        <v>531</v>
      </c>
      <c r="C6544">
        <v>585</v>
      </c>
      <c r="D6544">
        <v>504</v>
      </c>
      <c r="E6544">
        <v>0</v>
      </c>
      <c r="F6544">
        <v>885</v>
      </c>
      <c r="G6544">
        <v>0</v>
      </c>
      <c r="H6544" t="s">
        <v>11463</v>
      </c>
      <c r="I6544">
        <v>7380</v>
      </c>
      <c r="J6544" t="e">
        <f>VLOOKUP(E6544,DSSpieler!A:B,2,FALSE)</f>
        <v>#N/A</v>
      </c>
    </row>
    <row r="6545" spans="1:10" x14ac:dyDescent="0.25">
      <c r="A6545">
        <v>7381</v>
      </c>
      <c r="B6545" t="s">
        <v>531</v>
      </c>
      <c r="C6545">
        <v>489</v>
      </c>
      <c r="D6545">
        <v>419</v>
      </c>
      <c r="E6545">
        <v>0</v>
      </c>
      <c r="F6545">
        <v>224</v>
      </c>
      <c r="G6545">
        <v>0</v>
      </c>
      <c r="H6545" t="s">
        <v>11464</v>
      </c>
      <c r="I6545">
        <v>7381</v>
      </c>
      <c r="J6545" t="e">
        <f>VLOOKUP(E6545,DSSpieler!A:B,2,FALSE)</f>
        <v>#N/A</v>
      </c>
    </row>
    <row r="6546" spans="1:10" x14ac:dyDescent="0.25">
      <c r="A6546">
        <v>7382</v>
      </c>
      <c r="B6546">
        <v>2</v>
      </c>
      <c r="C6546">
        <v>529</v>
      </c>
      <c r="D6546">
        <v>421</v>
      </c>
      <c r="E6546">
        <v>1576975968</v>
      </c>
      <c r="F6546">
        <v>4342</v>
      </c>
      <c r="G6546">
        <v>0</v>
      </c>
      <c r="H6546" t="s">
        <v>11465</v>
      </c>
      <c r="I6546">
        <v>7382</v>
      </c>
      <c r="J6546" t="str">
        <f>VLOOKUP(E6546,DSSpieler!A:B,2,FALSE)</f>
        <v>Sir Meldor</v>
      </c>
    </row>
    <row r="6547" spans="1:10" x14ac:dyDescent="0.25">
      <c r="A6547">
        <v>7383</v>
      </c>
      <c r="B6547" t="s">
        <v>33128</v>
      </c>
      <c r="C6547">
        <v>556</v>
      </c>
      <c r="D6547">
        <v>441</v>
      </c>
      <c r="E6547">
        <v>1577011771</v>
      </c>
      <c r="F6547">
        <v>1025</v>
      </c>
      <c r="G6547">
        <v>0</v>
      </c>
      <c r="H6547" t="s">
        <v>11466</v>
      </c>
      <c r="I6547">
        <v>7383</v>
      </c>
      <c r="J6547" t="str">
        <f>VLOOKUP(E6547,DSSpieler!A:B,2,FALSE)</f>
        <v>Raegge80</v>
      </c>
    </row>
    <row r="6548" spans="1:10" x14ac:dyDescent="0.25">
      <c r="A6548">
        <v>7384</v>
      </c>
      <c r="B6548" t="s">
        <v>33129</v>
      </c>
      <c r="C6548">
        <v>469</v>
      </c>
      <c r="D6548">
        <v>421</v>
      </c>
      <c r="E6548">
        <v>1576680977</v>
      </c>
      <c r="F6548">
        <v>5898</v>
      </c>
      <c r="G6548">
        <v>0</v>
      </c>
      <c r="H6548" t="s">
        <v>11467</v>
      </c>
      <c r="I6548">
        <v>7384</v>
      </c>
      <c r="J6548" t="str">
        <f>VLOOKUP(E6548,DSSpieler!A:B,2,FALSE)</f>
        <v>HeavenKeeper</v>
      </c>
    </row>
    <row r="6549" spans="1:10" x14ac:dyDescent="0.25">
      <c r="A6549">
        <v>7385</v>
      </c>
      <c r="B6549" t="s">
        <v>531</v>
      </c>
      <c r="C6549">
        <v>425</v>
      </c>
      <c r="D6549">
        <v>465</v>
      </c>
      <c r="E6549">
        <v>0</v>
      </c>
      <c r="F6549">
        <v>101</v>
      </c>
      <c r="G6549">
        <v>0</v>
      </c>
      <c r="H6549" t="s">
        <v>11468</v>
      </c>
      <c r="I6549">
        <v>7385</v>
      </c>
      <c r="J6549" t="e">
        <f>VLOOKUP(E6549,DSSpieler!A:B,2,FALSE)</f>
        <v>#N/A</v>
      </c>
    </row>
    <row r="6550" spans="1:10" x14ac:dyDescent="0.25">
      <c r="A6550">
        <v>7386</v>
      </c>
      <c r="B6550" t="s">
        <v>33130</v>
      </c>
      <c r="C6550">
        <v>581</v>
      </c>
      <c r="D6550">
        <v>495</v>
      </c>
      <c r="E6550">
        <v>2523758</v>
      </c>
      <c r="F6550">
        <v>2176</v>
      </c>
      <c r="G6550">
        <v>0</v>
      </c>
      <c r="H6550" t="s">
        <v>11469</v>
      </c>
      <c r="I6550">
        <v>7386</v>
      </c>
      <c r="J6550" t="str">
        <f>VLOOKUP(E6550,DSSpieler!A:B,2,FALSE)</f>
        <v>Scribby</v>
      </c>
    </row>
    <row r="6551" spans="1:10" x14ac:dyDescent="0.25">
      <c r="A6551">
        <v>7387</v>
      </c>
      <c r="B6551" t="s">
        <v>531</v>
      </c>
      <c r="C6551">
        <v>431</v>
      </c>
      <c r="D6551">
        <v>544</v>
      </c>
      <c r="E6551">
        <v>0</v>
      </c>
      <c r="F6551">
        <v>578</v>
      </c>
      <c r="G6551">
        <v>0</v>
      </c>
      <c r="H6551" t="s">
        <v>11470</v>
      </c>
      <c r="I6551">
        <v>7387</v>
      </c>
      <c r="J6551" t="e">
        <f>VLOOKUP(E6551,DSSpieler!A:B,2,FALSE)</f>
        <v>#N/A</v>
      </c>
    </row>
    <row r="6552" spans="1:10" x14ac:dyDescent="0.25">
      <c r="A6552">
        <v>7388</v>
      </c>
      <c r="B6552" t="s">
        <v>33131</v>
      </c>
      <c r="C6552">
        <v>401</v>
      </c>
      <c r="D6552">
        <v>518</v>
      </c>
      <c r="E6552">
        <v>8108790</v>
      </c>
      <c r="F6552">
        <v>232</v>
      </c>
      <c r="G6552">
        <v>0</v>
      </c>
      <c r="H6552" t="s">
        <v>11471</v>
      </c>
      <c r="I6552">
        <v>7388</v>
      </c>
      <c r="J6552" t="str">
        <f>VLOOKUP(E6552,DSSpieler!A:B,2,FALSE)</f>
        <v>Killer .Monster</v>
      </c>
    </row>
    <row r="6553" spans="1:10" x14ac:dyDescent="0.25">
      <c r="A6553">
        <v>7389</v>
      </c>
      <c r="B6553" t="s">
        <v>33132</v>
      </c>
      <c r="C6553">
        <v>464</v>
      </c>
      <c r="D6553">
        <v>508</v>
      </c>
      <c r="E6553">
        <v>8110776</v>
      </c>
      <c r="F6553">
        <v>5691</v>
      </c>
      <c r="G6553">
        <v>0</v>
      </c>
      <c r="H6553" t="s">
        <v>11472</v>
      </c>
      <c r="I6553">
        <v>7389</v>
      </c>
      <c r="J6553" t="str">
        <f>VLOOKUP(E6553,DSSpieler!A:B,2,FALSE)</f>
        <v>Xului</v>
      </c>
    </row>
    <row r="6554" spans="1:10" x14ac:dyDescent="0.25">
      <c r="A6554">
        <v>7390</v>
      </c>
      <c r="B6554" t="s">
        <v>531</v>
      </c>
      <c r="C6554">
        <v>417</v>
      </c>
      <c r="D6554">
        <v>488</v>
      </c>
      <c r="E6554">
        <v>0</v>
      </c>
      <c r="F6554">
        <v>474</v>
      </c>
      <c r="G6554">
        <v>0</v>
      </c>
      <c r="H6554" t="s">
        <v>11473</v>
      </c>
      <c r="I6554">
        <v>7390</v>
      </c>
      <c r="J6554" t="e">
        <f>VLOOKUP(E6554,DSSpieler!A:B,2,FALSE)</f>
        <v>#N/A</v>
      </c>
    </row>
    <row r="6555" spans="1:10" x14ac:dyDescent="0.25">
      <c r="A6555">
        <v>7391</v>
      </c>
      <c r="B6555" t="s">
        <v>531</v>
      </c>
      <c r="C6555">
        <v>569</v>
      </c>
      <c r="D6555">
        <v>547</v>
      </c>
      <c r="E6555">
        <v>0</v>
      </c>
      <c r="F6555">
        <v>1003</v>
      </c>
      <c r="G6555">
        <v>0</v>
      </c>
      <c r="H6555" t="s">
        <v>11474</v>
      </c>
      <c r="I6555">
        <v>7391</v>
      </c>
      <c r="J6555" t="e">
        <f>VLOOKUP(E6555,DSSpieler!A:B,2,FALSE)</f>
        <v>#N/A</v>
      </c>
    </row>
    <row r="6556" spans="1:10" x14ac:dyDescent="0.25">
      <c r="A6556">
        <v>7392</v>
      </c>
      <c r="B6556" t="s">
        <v>531</v>
      </c>
      <c r="C6556">
        <v>505</v>
      </c>
      <c r="D6556">
        <v>418</v>
      </c>
      <c r="E6556">
        <v>0</v>
      </c>
      <c r="F6556">
        <v>194</v>
      </c>
      <c r="G6556">
        <v>0</v>
      </c>
      <c r="H6556" t="s">
        <v>11475</v>
      </c>
      <c r="I6556">
        <v>7392</v>
      </c>
      <c r="J6556" t="e">
        <f>VLOOKUP(E6556,DSSpieler!A:B,2,FALSE)</f>
        <v>#N/A</v>
      </c>
    </row>
    <row r="6557" spans="1:10" x14ac:dyDescent="0.25">
      <c r="A6557">
        <v>7393</v>
      </c>
      <c r="B6557" t="s">
        <v>33133</v>
      </c>
      <c r="C6557">
        <v>582</v>
      </c>
      <c r="D6557">
        <v>494</v>
      </c>
      <c r="E6557">
        <v>1576795194</v>
      </c>
      <c r="F6557">
        <v>5277</v>
      </c>
      <c r="G6557">
        <v>0</v>
      </c>
      <c r="H6557" t="s">
        <v>11476</v>
      </c>
      <c r="I6557">
        <v>7393</v>
      </c>
      <c r="J6557" t="str">
        <f>VLOOKUP(E6557,DSSpieler!A:B,2,FALSE)</f>
        <v>Genshirou</v>
      </c>
    </row>
    <row r="6558" spans="1:10" x14ac:dyDescent="0.25">
      <c r="A6558">
        <v>7394</v>
      </c>
      <c r="B6558" t="s">
        <v>33134</v>
      </c>
      <c r="C6558">
        <v>422</v>
      </c>
      <c r="D6558">
        <v>532</v>
      </c>
      <c r="E6558">
        <v>8136159</v>
      </c>
      <c r="F6558">
        <v>5200</v>
      </c>
      <c r="G6558">
        <v>0</v>
      </c>
      <c r="H6558" t="s">
        <v>11477</v>
      </c>
      <c r="I6558">
        <v>7394</v>
      </c>
      <c r="J6558" t="str">
        <f>VLOOKUP(E6558,DSSpieler!A:B,2,FALSE)</f>
        <v>jojo9898</v>
      </c>
    </row>
    <row r="6559" spans="1:10" x14ac:dyDescent="0.25">
      <c r="A6559">
        <v>7395</v>
      </c>
      <c r="B6559" t="s">
        <v>531</v>
      </c>
      <c r="C6559">
        <v>572</v>
      </c>
      <c r="D6559">
        <v>540</v>
      </c>
      <c r="E6559">
        <v>0</v>
      </c>
      <c r="F6559">
        <v>440</v>
      </c>
      <c r="G6559">
        <v>0</v>
      </c>
      <c r="H6559" t="s">
        <v>11478</v>
      </c>
      <c r="I6559">
        <v>7395</v>
      </c>
      <c r="J6559" t="e">
        <f>VLOOKUP(E6559,DSSpieler!A:B,2,FALSE)</f>
        <v>#N/A</v>
      </c>
    </row>
    <row r="6560" spans="1:10" x14ac:dyDescent="0.25">
      <c r="A6560">
        <v>7396</v>
      </c>
      <c r="B6560" t="s">
        <v>33135</v>
      </c>
      <c r="C6560">
        <v>467</v>
      </c>
      <c r="D6560">
        <v>423</v>
      </c>
      <c r="E6560">
        <v>1577190694</v>
      </c>
      <c r="F6560">
        <v>5220</v>
      </c>
      <c r="G6560">
        <v>0</v>
      </c>
      <c r="H6560" t="s">
        <v>11479</v>
      </c>
      <c r="I6560">
        <v>7396</v>
      </c>
      <c r="J6560" t="str">
        <f>VLOOKUP(E6560,DSSpieler!A:B,2,FALSE)</f>
        <v>Lord 3raZor</v>
      </c>
    </row>
    <row r="6561" spans="1:10" x14ac:dyDescent="0.25">
      <c r="A6561">
        <v>7397</v>
      </c>
      <c r="B6561" t="s">
        <v>531</v>
      </c>
      <c r="C6561">
        <v>432</v>
      </c>
      <c r="D6561">
        <v>454</v>
      </c>
      <c r="E6561">
        <v>1577196964</v>
      </c>
      <c r="F6561">
        <v>834</v>
      </c>
      <c r="G6561">
        <v>0</v>
      </c>
      <c r="H6561" t="s">
        <v>11480</v>
      </c>
      <c r="I6561">
        <v>7397</v>
      </c>
      <c r="J6561" t="str">
        <f>VLOOKUP(E6561,DSSpieler!A:B,2,FALSE)</f>
        <v>Jibbolo</v>
      </c>
    </row>
    <row r="6562" spans="1:10" x14ac:dyDescent="0.25">
      <c r="A6562">
        <v>7398</v>
      </c>
      <c r="B6562" t="s">
        <v>531</v>
      </c>
      <c r="C6562">
        <v>511</v>
      </c>
      <c r="D6562">
        <v>582</v>
      </c>
      <c r="E6562">
        <v>0</v>
      </c>
      <c r="F6562">
        <v>441</v>
      </c>
      <c r="G6562">
        <v>0</v>
      </c>
      <c r="H6562" t="s">
        <v>11481</v>
      </c>
      <c r="I6562">
        <v>7398</v>
      </c>
      <c r="J6562" t="e">
        <f>VLOOKUP(E6562,DSSpieler!A:B,2,FALSE)</f>
        <v>#N/A</v>
      </c>
    </row>
    <row r="6563" spans="1:10" x14ac:dyDescent="0.25">
      <c r="A6563">
        <v>7399</v>
      </c>
      <c r="B6563" t="s">
        <v>33136</v>
      </c>
      <c r="C6563">
        <v>462</v>
      </c>
      <c r="D6563">
        <v>574</v>
      </c>
      <c r="E6563">
        <v>1369880</v>
      </c>
      <c r="F6563">
        <v>3550</v>
      </c>
      <c r="G6563">
        <v>0</v>
      </c>
      <c r="H6563" t="s">
        <v>11482</v>
      </c>
      <c r="I6563">
        <v>7399</v>
      </c>
      <c r="J6563" t="str">
        <f>VLOOKUP(E6563,DSSpieler!A:B,2,FALSE)</f>
        <v>Cellme</v>
      </c>
    </row>
    <row r="6564" spans="1:10" x14ac:dyDescent="0.25">
      <c r="A6564">
        <v>7401</v>
      </c>
      <c r="B6564" t="s">
        <v>531</v>
      </c>
      <c r="C6564">
        <v>522</v>
      </c>
      <c r="D6564">
        <v>581</v>
      </c>
      <c r="E6564">
        <v>0</v>
      </c>
      <c r="F6564">
        <v>433</v>
      </c>
      <c r="G6564">
        <v>0</v>
      </c>
      <c r="H6564" t="s">
        <v>11483</v>
      </c>
      <c r="I6564">
        <v>7401</v>
      </c>
      <c r="J6564" t="e">
        <f>VLOOKUP(E6564,DSSpieler!A:B,2,FALSE)</f>
        <v>#N/A</v>
      </c>
    </row>
    <row r="6565" spans="1:10" x14ac:dyDescent="0.25">
      <c r="A6565">
        <v>7402</v>
      </c>
      <c r="B6565" t="s">
        <v>33137</v>
      </c>
      <c r="C6565">
        <v>466</v>
      </c>
      <c r="D6565">
        <v>423</v>
      </c>
      <c r="E6565">
        <v>1577178060</v>
      </c>
      <c r="F6565">
        <v>1646</v>
      </c>
      <c r="G6565">
        <v>0</v>
      </c>
      <c r="H6565" t="s">
        <v>11484</v>
      </c>
      <c r="I6565">
        <v>7402</v>
      </c>
      <c r="J6565" t="str">
        <f>VLOOKUP(E6565,DSSpieler!A:B,2,FALSE)</f>
        <v>Horseman17</v>
      </c>
    </row>
    <row r="6566" spans="1:10" x14ac:dyDescent="0.25">
      <c r="A6566">
        <v>7403</v>
      </c>
      <c r="B6566" t="s">
        <v>531</v>
      </c>
      <c r="C6566">
        <v>438</v>
      </c>
      <c r="D6566">
        <v>446</v>
      </c>
      <c r="E6566">
        <v>0</v>
      </c>
      <c r="F6566">
        <v>229</v>
      </c>
      <c r="G6566">
        <v>0</v>
      </c>
      <c r="H6566" t="s">
        <v>11485</v>
      </c>
      <c r="I6566">
        <v>7403</v>
      </c>
      <c r="J6566" t="e">
        <f>VLOOKUP(E6566,DSSpieler!A:B,2,FALSE)</f>
        <v>#N/A</v>
      </c>
    </row>
    <row r="6567" spans="1:10" x14ac:dyDescent="0.25">
      <c r="A6567">
        <v>7404</v>
      </c>
      <c r="B6567" t="s">
        <v>531</v>
      </c>
      <c r="C6567">
        <v>416</v>
      </c>
      <c r="D6567">
        <v>501</v>
      </c>
      <c r="E6567">
        <v>0</v>
      </c>
      <c r="F6567">
        <v>493</v>
      </c>
      <c r="G6567">
        <v>0</v>
      </c>
      <c r="H6567" t="s">
        <v>11486</v>
      </c>
      <c r="I6567">
        <v>7404</v>
      </c>
      <c r="J6567" t="e">
        <f>VLOOKUP(E6567,DSSpieler!A:B,2,FALSE)</f>
        <v>#N/A</v>
      </c>
    </row>
    <row r="6568" spans="1:10" x14ac:dyDescent="0.25">
      <c r="A6568">
        <v>7405</v>
      </c>
      <c r="B6568" t="s">
        <v>33138</v>
      </c>
      <c r="C6568">
        <v>422</v>
      </c>
      <c r="D6568">
        <v>528</v>
      </c>
      <c r="E6568">
        <v>9790630</v>
      </c>
      <c r="F6568">
        <v>4409</v>
      </c>
      <c r="G6568">
        <v>0</v>
      </c>
      <c r="H6568" t="s">
        <v>11487</v>
      </c>
      <c r="I6568">
        <v>7405</v>
      </c>
      <c r="J6568" t="str">
        <f>VLOOKUP(E6568,DSSpieler!A:B,2,FALSE)</f>
        <v>l22lBandito</v>
      </c>
    </row>
    <row r="6569" spans="1:10" x14ac:dyDescent="0.25">
      <c r="A6569">
        <v>7406</v>
      </c>
      <c r="B6569" t="s">
        <v>531</v>
      </c>
      <c r="C6569">
        <v>572</v>
      </c>
      <c r="D6569">
        <v>455</v>
      </c>
      <c r="E6569">
        <v>1577025745</v>
      </c>
      <c r="F6569">
        <v>278</v>
      </c>
      <c r="G6569">
        <v>0</v>
      </c>
      <c r="H6569" t="s">
        <v>11488</v>
      </c>
      <c r="I6569">
        <v>7406</v>
      </c>
      <c r="J6569" t="str">
        <f>VLOOKUP(E6569,DSSpieler!A:B,2,FALSE)</f>
        <v>hubnor101</v>
      </c>
    </row>
    <row r="6570" spans="1:10" x14ac:dyDescent="0.25">
      <c r="A6570">
        <v>7407</v>
      </c>
      <c r="B6570" t="s">
        <v>979</v>
      </c>
      <c r="C6570">
        <v>521</v>
      </c>
      <c r="D6570">
        <v>593</v>
      </c>
      <c r="E6570">
        <v>9875916</v>
      </c>
      <c r="F6570">
        <v>6703</v>
      </c>
      <c r="G6570">
        <v>0</v>
      </c>
      <c r="H6570" t="s">
        <v>11489</v>
      </c>
      <c r="I6570">
        <v>7407</v>
      </c>
      <c r="J6570" t="str">
        <f>VLOOKUP(E6570,DSSpieler!A:B,2,FALSE)</f>
        <v>Tassos81</v>
      </c>
    </row>
    <row r="6571" spans="1:10" x14ac:dyDescent="0.25">
      <c r="A6571">
        <v>7408</v>
      </c>
      <c r="B6571" t="s">
        <v>1641</v>
      </c>
      <c r="C6571">
        <v>577</v>
      </c>
      <c r="D6571">
        <v>534</v>
      </c>
      <c r="E6571">
        <v>8318485</v>
      </c>
      <c r="F6571">
        <v>5883</v>
      </c>
      <c r="G6571">
        <v>0</v>
      </c>
      <c r="H6571" t="s">
        <v>11490</v>
      </c>
      <c r="I6571">
        <v>7408</v>
      </c>
      <c r="J6571" t="str">
        <f>VLOOKUP(E6571,DSSpieler!A:B,2,FALSE)</f>
        <v>kreutzriter</v>
      </c>
    </row>
    <row r="6572" spans="1:10" x14ac:dyDescent="0.25">
      <c r="A6572">
        <v>7409</v>
      </c>
      <c r="B6572" t="s">
        <v>33139</v>
      </c>
      <c r="C6572">
        <v>474</v>
      </c>
      <c r="D6572">
        <v>419</v>
      </c>
      <c r="E6572">
        <v>8331904</v>
      </c>
      <c r="F6572">
        <v>4128</v>
      </c>
      <c r="G6572">
        <v>0</v>
      </c>
      <c r="H6572" t="s">
        <v>11491</v>
      </c>
      <c r="I6572">
        <v>7409</v>
      </c>
      <c r="J6572" t="str">
        <f>VLOOKUP(E6572,DSSpieler!A:B,2,FALSE)</f>
        <v>satanrego</v>
      </c>
    </row>
    <row r="6573" spans="1:10" x14ac:dyDescent="0.25">
      <c r="A6573">
        <v>7410</v>
      </c>
      <c r="B6573" t="s">
        <v>531</v>
      </c>
      <c r="C6573">
        <v>578</v>
      </c>
      <c r="D6573">
        <v>535</v>
      </c>
      <c r="E6573">
        <v>0</v>
      </c>
      <c r="F6573">
        <v>357</v>
      </c>
      <c r="G6573">
        <v>0</v>
      </c>
      <c r="H6573" t="s">
        <v>11492</v>
      </c>
      <c r="I6573">
        <v>7410</v>
      </c>
      <c r="J6573" t="e">
        <f>VLOOKUP(E6573,DSSpieler!A:B,2,FALSE)</f>
        <v>#N/A</v>
      </c>
    </row>
    <row r="6574" spans="1:10" x14ac:dyDescent="0.25">
      <c r="A6574">
        <v>7411</v>
      </c>
      <c r="B6574" t="s">
        <v>31687</v>
      </c>
      <c r="C6574">
        <v>483</v>
      </c>
      <c r="D6574">
        <v>580</v>
      </c>
      <c r="E6574">
        <v>1576996406</v>
      </c>
      <c r="F6574">
        <v>3646</v>
      </c>
      <c r="G6574">
        <v>0</v>
      </c>
      <c r="H6574" t="s">
        <v>11493</v>
      </c>
      <c r="I6574">
        <v>7411</v>
      </c>
      <c r="J6574" t="str">
        <f>VLOOKUP(E6574,DSSpieler!A:B,2,FALSE)</f>
        <v>clownsq</v>
      </c>
    </row>
    <row r="6575" spans="1:10" x14ac:dyDescent="0.25">
      <c r="A6575">
        <v>7412</v>
      </c>
      <c r="B6575" t="s">
        <v>531</v>
      </c>
      <c r="C6575">
        <v>410</v>
      </c>
      <c r="D6575">
        <v>475</v>
      </c>
      <c r="E6575">
        <v>0</v>
      </c>
      <c r="F6575">
        <v>434</v>
      </c>
      <c r="G6575">
        <v>0</v>
      </c>
      <c r="H6575" t="s">
        <v>11494</v>
      </c>
      <c r="I6575">
        <v>7412</v>
      </c>
      <c r="J6575" t="e">
        <f>VLOOKUP(E6575,DSSpieler!A:B,2,FALSE)</f>
        <v>#N/A</v>
      </c>
    </row>
    <row r="6576" spans="1:10" x14ac:dyDescent="0.25">
      <c r="A6576">
        <v>7413</v>
      </c>
      <c r="B6576" t="s">
        <v>33140</v>
      </c>
      <c r="C6576">
        <v>546</v>
      </c>
      <c r="D6576">
        <v>432</v>
      </c>
      <c r="E6576">
        <v>1576874535</v>
      </c>
      <c r="F6576">
        <v>2266</v>
      </c>
      <c r="G6576">
        <v>0</v>
      </c>
      <c r="H6576" t="s">
        <v>11495</v>
      </c>
      <c r="I6576">
        <v>7413</v>
      </c>
      <c r="J6576" t="str">
        <f>VLOOKUP(E6576,DSSpieler!A:B,2,FALSE)</f>
        <v>gbpAR12</v>
      </c>
    </row>
    <row r="6577" spans="1:10" x14ac:dyDescent="0.25">
      <c r="A6577">
        <v>7415</v>
      </c>
      <c r="B6577" t="s">
        <v>531</v>
      </c>
      <c r="C6577">
        <v>560</v>
      </c>
      <c r="D6577">
        <v>441</v>
      </c>
      <c r="E6577">
        <v>0</v>
      </c>
      <c r="F6577">
        <v>180</v>
      </c>
      <c r="G6577">
        <v>0</v>
      </c>
      <c r="H6577" t="s">
        <v>11496</v>
      </c>
      <c r="I6577">
        <v>7415</v>
      </c>
      <c r="J6577" t="e">
        <f>VLOOKUP(E6577,DSSpieler!A:B,2,FALSE)</f>
        <v>#N/A</v>
      </c>
    </row>
    <row r="6578" spans="1:10" x14ac:dyDescent="0.25">
      <c r="A6578">
        <v>7416</v>
      </c>
      <c r="B6578" t="s">
        <v>33141</v>
      </c>
      <c r="C6578">
        <v>561</v>
      </c>
      <c r="D6578">
        <v>558</v>
      </c>
      <c r="E6578">
        <v>8487021</v>
      </c>
      <c r="F6578">
        <v>3325</v>
      </c>
      <c r="G6578">
        <v>0</v>
      </c>
      <c r="H6578" t="s">
        <v>11497</v>
      </c>
      <c r="I6578">
        <v>7416</v>
      </c>
      <c r="J6578" t="str">
        <f>VLOOKUP(E6578,DSSpieler!A:B,2,FALSE)</f>
        <v>graf pit</v>
      </c>
    </row>
    <row r="6579" spans="1:10" x14ac:dyDescent="0.25">
      <c r="A6579">
        <v>7417</v>
      </c>
      <c r="B6579">
        <v>2</v>
      </c>
      <c r="C6579">
        <v>564</v>
      </c>
      <c r="D6579">
        <v>446</v>
      </c>
      <c r="E6579">
        <v>1577197919</v>
      </c>
      <c r="F6579">
        <v>3204</v>
      </c>
      <c r="G6579">
        <v>0</v>
      </c>
      <c r="H6579" t="s">
        <v>11498</v>
      </c>
      <c r="I6579">
        <v>7417</v>
      </c>
      <c r="J6579" t="str">
        <f>VLOOKUP(E6579,DSSpieler!A:B,2,FALSE)</f>
        <v>3RorR1</v>
      </c>
    </row>
    <row r="6580" spans="1:10" x14ac:dyDescent="0.25">
      <c r="A6580">
        <v>7418</v>
      </c>
      <c r="B6580" t="s">
        <v>33142</v>
      </c>
      <c r="C6580">
        <v>509</v>
      </c>
      <c r="D6580">
        <v>456</v>
      </c>
      <c r="E6580">
        <v>8515428</v>
      </c>
      <c r="F6580">
        <v>4105</v>
      </c>
      <c r="G6580">
        <v>0</v>
      </c>
      <c r="H6580" t="s">
        <v>11499</v>
      </c>
      <c r="I6580">
        <v>7418</v>
      </c>
      <c r="J6580" t="str">
        <f>VLOOKUP(E6580,DSSpieler!A:B,2,FALSE)</f>
        <v>ZZacharias</v>
      </c>
    </row>
    <row r="6581" spans="1:10" x14ac:dyDescent="0.25">
      <c r="A6581">
        <v>7419</v>
      </c>
      <c r="B6581" t="s">
        <v>33143</v>
      </c>
      <c r="C6581">
        <v>480</v>
      </c>
      <c r="D6581">
        <v>419</v>
      </c>
      <c r="E6581">
        <v>8591922</v>
      </c>
      <c r="F6581">
        <v>99</v>
      </c>
      <c r="G6581">
        <v>0</v>
      </c>
      <c r="H6581" t="s">
        <v>11500</v>
      </c>
      <c r="I6581">
        <v>7419</v>
      </c>
      <c r="J6581" t="str">
        <f>VLOOKUP(E6581,DSSpieler!A:B,2,FALSE)</f>
        <v>shadowlich</v>
      </c>
    </row>
    <row r="6582" spans="1:10" x14ac:dyDescent="0.25">
      <c r="A6582">
        <v>7420</v>
      </c>
      <c r="B6582" t="s">
        <v>531</v>
      </c>
      <c r="C6582">
        <v>543</v>
      </c>
      <c r="D6582">
        <v>430</v>
      </c>
      <c r="E6582">
        <v>0</v>
      </c>
      <c r="F6582">
        <v>714</v>
      </c>
      <c r="G6582">
        <v>0</v>
      </c>
      <c r="H6582" t="s">
        <v>11501</v>
      </c>
      <c r="I6582">
        <v>7420</v>
      </c>
      <c r="J6582" t="e">
        <f>VLOOKUP(E6582,DSSpieler!A:B,2,FALSE)</f>
        <v>#N/A</v>
      </c>
    </row>
    <row r="6583" spans="1:10" x14ac:dyDescent="0.25">
      <c r="A6583">
        <v>7421</v>
      </c>
      <c r="B6583" t="s">
        <v>33144</v>
      </c>
      <c r="C6583">
        <v>582</v>
      </c>
      <c r="D6583">
        <v>505</v>
      </c>
      <c r="E6583">
        <v>8605089</v>
      </c>
      <c r="F6583">
        <v>4089</v>
      </c>
      <c r="G6583">
        <v>0</v>
      </c>
      <c r="H6583" t="s">
        <v>11502</v>
      </c>
      <c r="I6583">
        <v>7421</v>
      </c>
      <c r="J6583" t="str">
        <f>VLOOKUP(E6583,DSSpieler!A:B,2,FALSE)</f>
        <v>samba olek</v>
      </c>
    </row>
    <row r="6584" spans="1:10" x14ac:dyDescent="0.25">
      <c r="A6584">
        <v>7422</v>
      </c>
      <c r="B6584" t="s">
        <v>531</v>
      </c>
      <c r="C6584">
        <v>467</v>
      </c>
      <c r="D6584">
        <v>575</v>
      </c>
      <c r="E6584">
        <v>0</v>
      </c>
      <c r="F6584">
        <v>306</v>
      </c>
      <c r="G6584">
        <v>0</v>
      </c>
      <c r="H6584" t="s">
        <v>11503</v>
      </c>
      <c r="I6584">
        <v>7422</v>
      </c>
      <c r="J6584" t="e">
        <f>VLOOKUP(E6584,DSSpieler!A:B,2,FALSE)</f>
        <v>#N/A</v>
      </c>
    </row>
    <row r="6585" spans="1:10" x14ac:dyDescent="0.25">
      <c r="A6585">
        <v>7425</v>
      </c>
      <c r="B6585" t="s">
        <v>531</v>
      </c>
      <c r="C6585">
        <v>417</v>
      </c>
      <c r="D6585">
        <v>505</v>
      </c>
      <c r="E6585">
        <v>0</v>
      </c>
      <c r="F6585">
        <v>375</v>
      </c>
      <c r="G6585">
        <v>0</v>
      </c>
      <c r="H6585" t="s">
        <v>11504</v>
      </c>
      <c r="I6585">
        <v>7425</v>
      </c>
      <c r="J6585" t="e">
        <f>VLOOKUP(E6585,DSSpieler!A:B,2,FALSE)</f>
        <v>#N/A</v>
      </c>
    </row>
    <row r="6586" spans="1:10" x14ac:dyDescent="0.25">
      <c r="A6586">
        <v>7427</v>
      </c>
      <c r="B6586" t="s">
        <v>33145</v>
      </c>
      <c r="C6586">
        <v>416</v>
      </c>
      <c r="D6586">
        <v>483</v>
      </c>
      <c r="E6586">
        <v>1575971780</v>
      </c>
      <c r="F6586">
        <v>5109</v>
      </c>
      <c r="G6586">
        <v>0</v>
      </c>
      <c r="H6586" t="s">
        <v>11505</v>
      </c>
      <c r="I6586">
        <v>7427</v>
      </c>
      <c r="J6586" t="str">
        <f>VLOOKUP(E6586,DSSpieler!A:B,2,FALSE)</f>
        <v>Finnibear</v>
      </c>
    </row>
    <row r="6587" spans="1:10" x14ac:dyDescent="0.25">
      <c r="A6587">
        <v>7428</v>
      </c>
      <c r="B6587" t="s">
        <v>33146</v>
      </c>
      <c r="C6587">
        <v>570</v>
      </c>
      <c r="D6587">
        <v>454</v>
      </c>
      <c r="E6587">
        <v>8660651</v>
      </c>
      <c r="F6587">
        <v>2547</v>
      </c>
      <c r="G6587">
        <v>0</v>
      </c>
      <c r="H6587" t="s">
        <v>11506</v>
      </c>
      <c r="I6587">
        <v>7428</v>
      </c>
      <c r="J6587" t="str">
        <f>VLOOKUP(E6587,DSSpieler!A:B,2,FALSE)</f>
        <v>XM414</v>
      </c>
    </row>
    <row r="6588" spans="1:10" x14ac:dyDescent="0.25">
      <c r="A6588">
        <v>7429</v>
      </c>
      <c r="B6588">
        <v>5</v>
      </c>
      <c r="C6588">
        <v>457</v>
      </c>
      <c r="D6588">
        <v>572</v>
      </c>
      <c r="E6588">
        <v>1576722945</v>
      </c>
      <c r="F6588">
        <v>1336</v>
      </c>
      <c r="G6588">
        <v>0</v>
      </c>
      <c r="H6588" t="s">
        <v>11507</v>
      </c>
      <c r="I6588">
        <v>7429</v>
      </c>
      <c r="J6588" t="str">
        <f>VLOOKUP(E6588,DSSpieler!A:B,2,FALSE)</f>
        <v>SerpentCrown1</v>
      </c>
    </row>
    <row r="6589" spans="1:10" x14ac:dyDescent="0.25">
      <c r="A6589">
        <v>7432</v>
      </c>
      <c r="B6589" t="s">
        <v>33147</v>
      </c>
      <c r="C6589">
        <v>502</v>
      </c>
      <c r="D6589">
        <v>495</v>
      </c>
      <c r="E6589">
        <v>1577193754</v>
      </c>
      <c r="F6589">
        <v>2883</v>
      </c>
      <c r="G6589">
        <v>0</v>
      </c>
      <c r="H6589" t="s">
        <v>11508</v>
      </c>
      <c r="I6589">
        <v>7432</v>
      </c>
      <c r="J6589" t="str">
        <f>VLOOKUP(E6589,DSSpieler!A:B,2,FALSE)</f>
        <v>Mischamalist</v>
      </c>
    </row>
    <row r="6590" spans="1:10" x14ac:dyDescent="0.25">
      <c r="A6590">
        <v>7433</v>
      </c>
      <c r="B6590" t="s">
        <v>531</v>
      </c>
      <c r="C6590">
        <v>445</v>
      </c>
      <c r="D6590">
        <v>586</v>
      </c>
      <c r="E6590">
        <v>0</v>
      </c>
      <c r="F6590">
        <v>238</v>
      </c>
      <c r="G6590">
        <v>0</v>
      </c>
      <c r="H6590" t="s">
        <v>11509</v>
      </c>
      <c r="I6590">
        <v>7433</v>
      </c>
      <c r="J6590" t="e">
        <f>VLOOKUP(E6590,DSSpieler!A:B,2,FALSE)</f>
        <v>#N/A</v>
      </c>
    </row>
    <row r="6591" spans="1:10" x14ac:dyDescent="0.25">
      <c r="A6591">
        <v>7434</v>
      </c>
      <c r="B6591" t="s">
        <v>531</v>
      </c>
      <c r="C6591">
        <v>546</v>
      </c>
      <c r="D6591">
        <v>430</v>
      </c>
      <c r="E6591">
        <v>0</v>
      </c>
      <c r="F6591">
        <v>845</v>
      </c>
      <c r="G6591">
        <v>0</v>
      </c>
      <c r="H6591" t="s">
        <v>11510</v>
      </c>
      <c r="I6591">
        <v>7434</v>
      </c>
      <c r="J6591" t="e">
        <f>VLOOKUP(E6591,DSSpieler!A:B,2,FALSE)</f>
        <v>#N/A</v>
      </c>
    </row>
    <row r="6592" spans="1:10" x14ac:dyDescent="0.25">
      <c r="A6592">
        <v>7435</v>
      </c>
      <c r="B6592" t="s">
        <v>32955</v>
      </c>
      <c r="C6592">
        <v>435</v>
      </c>
      <c r="D6592">
        <v>568</v>
      </c>
      <c r="E6592">
        <v>8776383</v>
      </c>
      <c r="F6592">
        <v>5044</v>
      </c>
      <c r="G6592">
        <v>0</v>
      </c>
      <c r="H6592" t="s">
        <v>11511</v>
      </c>
      <c r="I6592">
        <v>7435</v>
      </c>
      <c r="J6592" t="str">
        <f>VLOOKUP(E6592,DSSpieler!A:B,2,FALSE)</f>
        <v>Super Fabio</v>
      </c>
    </row>
    <row r="6593" spans="1:10" x14ac:dyDescent="0.25">
      <c r="A6593">
        <v>7437</v>
      </c>
      <c r="B6593" t="s">
        <v>531</v>
      </c>
      <c r="C6593">
        <v>546</v>
      </c>
      <c r="D6593">
        <v>428</v>
      </c>
      <c r="E6593">
        <v>0</v>
      </c>
      <c r="F6593">
        <v>195</v>
      </c>
      <c r="G6593">
        <v>0</v>
      </c>
      <c r="H6593" t="s">
        <v>11512</v>
      </c>
      <c r="I6593">
        <v>7437</v>
      </c>
      <c r="J6593" t="e">
        <f>VLOOKUP(E6593,DSSpieler!A:B,2,FALSE)</f>
        <v>#N/A</v>
      </c>
    </row>
    <row r="6594" spans="1:10" x14ac:dyDescent="0.25">
      <c r="A6594">
        <v>7438</v>
      </c>
      <c r="B6594" t="s">
        <v>33148</v>
      </c>
      <c r="C6594">
        <v>449</v>
      </c>
      <c r="D6594">
        <v>565</v>
      </c>
      <c r="E6594">
        <v>1577191177</v>
      </c>
      <c r="F6594">
        <v>1178</v>
      </c>
      <c r="G6594">
        <v>0</v>
      </c>
      <c r="H6594" t="s">
        <v>11513</v>
      </c>
      <c r="I6594">
        <v>7438</v>
      </c>
      <c r="J6594" t="str">
        <f>VLOOKUP(E6594,DSSpieler!A:B,2,FALSE)</f>
        <v>TheOwnageZero</v>
      </c>
    </row>
    <row r="6595" spans="1:10" x14ac:dyDescent="0.25">
      <c r="A6595">
        <v>7439</v>
      </c>
      <c r="B6595" t="s">
        <v>33149</v>
      </c>
      <c r="C6595">
        <v>518</v>
      </c>
      <c r="D6595">
        <v>582</v>
      </c>
      <c r="E6595">
        <v>8797397</v>
      </c>
      <c r="F6595">
        <v>68</v>
      </c>
      <c r="G6595">
        <v>0</v>
      </c>
      <c r="H6595" t="s">
        <v>11514</v>
      </c>
      <c r="I6595">
        <v>7439</v>
      </c>
      <c r="J6595" t="str">
        <f>VLOOKUP(E6595,DSSpieler!A:B,2,FALSE)</f>
        <v>franzjup</v>
      </c>
    </row>
    <row r="6596" spans="1:10" x14ac:dyDescent="0.25">
      <c r="A6596">
        <v>7440</v>
      </c>
      <c r="B6596" t="s">
        <v>30841</v>
      </c>
      <c r="C6596">
        <v>482</v>
      </c>
      <c r="D6596">
        <v>419</v>
      </c>
      <c r="E6596">
        <v>1576583632</v>
      </c>
      <c r="F6596">
        <v>4999</v>
      </c>
      <c r="G6596">
        <v>0</v>
      </c>
      <c r="H6596" t="s">
        <v>11515</v>
      </c>
      <c r="I6596">
        <v>7440</v>
      </c>
      <c r="J6596" t="str">
        <f>VLOOKUP(E6596,DSSpieler!A:B,2,FALSE)</f>
        <v>Sunber</v>
      </c>
    </row>
    <row r="6597" spans="1:10" x14ac:dyDescent="0.25">
      <c r="A6597">
        <v>7441</v>
      </c>
      <c r="B6597" t="s">
        <v>531</v>
      </c>
      <c r="C6597">
        <v>517</v>
      </c>
      <c r="D6597">
        <v>419</v>
      </c>
      <c r="E6597">
        <v>0</v>
      </c>
      <c r="F6597">
        <v>253</v>
      </c>
      <c r="G6597">
        <v>0</v>
      </c>
      <c r="H6597" t="s">
        <v>11516</v>
      </c>
      <c r="I6597">
        <v>7441</v>
      </c>
      <c r="J6597" t="e">
        <f>VLOOKUP(E6597,DSSpieler!A:B,2,FALSE)</f>
        <v>#N/A</v>
      </c>
    </row>
    <row r="6598" spans="1:10" x14ac:dyDescent="0.25">
      <c r="A6598">
        <v>7442</v>
      </c>
      <c r="B6598" t="s">
        <v>531</v>
      </c>
      <c r="C6598">
        <v>506</v>
      </c>
      <c r="D6598">
        <v>416</v>
      </c>
      <c r="E6598">
        <v>0</v>
      </c>
      <c r="F6598">
        <v>129</v>
      </c>
      <c r="G6598">
        <v>0</v>
      </c>
      <c r="H6598" t="s">
        <v>11517</v>
      </c>
      <c r="I6598">
        <v>7442</v>
      </c>
      <c r="J6598" t="e">
        <f>VLOOKUP(E6598,DSSpieler!A:B,2,FALSE)</f>
        <v>#N/A</v>
      </c>
    </row>
    <row r="6599" spans="1:10" x14ac:dyDescent="0.25">
      <c r="A6599">
        <v>7443</v>
      </c>
      <c r="B6599" t="s">
        <v>531</v>
      </c>
      <c r="C6599">
        <v>417</v>
      </c>
      <c r="D6599">
        <v>483</v>
      </c>
      <c r="E6599">
        <v>0</v>
      </c>
      <c r="F6599">
        <v>260</v>
      </c>
      <c r="G6599">
        <v>0</v>
      </c>
      <c r="H6599" t="s">
        <v>11518</v>
      </c>
      <c r="I6599">
        <v>7443</v>
      </c>
      <c r="J6599" t="e">
        <f>VLOOKUP(E6599,DSSpieler!A:B,2,FALSE)</f>
        <v>#N/A</v>
      </c>
    </row>
    <row r="6600" spans="1:10" x14ac:dyDescent="0.25">
      <c r="A6600">
        <v>7444</v>
      </c>
      <c r="B6600" t="s">
        <v>33144</v>
      </c>
      <c r="C6600">
        <v>582</v>
      </c>
      <c r="D6600">
        <v>507</v>
      </c>
      <c r="E6600">
        <v>8605089</v>
      </c>
      <c r="F6600">
        <v>5323</v>
      </c>
      <c r="G6600">
        <v>0</v>
      </c>
      <c r="H6600" t="s">
        <v>11519</v>
      </c>
      <c r="I6600">
        <v>7444</v>
      </c>
      <c r="J6600" t="str">
        <f>VLOOKUP(E6600,DSSpieler!A:B,2,FALSE)</f>
        <v>samba olek</v>
      </c>
    </row>
    <row r="6601" spans="1:10" x14ac:dyDescent="0.25">
      <c r="A6601">
        <v>7445</v>
      </c>
      <c r="B6601" t="s">
        <v>1642</v>
      </c>
      <c r="C6601">
        <v>419</v>
      </c>
      <c r="D6601">
        <v>519</v>
      </c>
      <c r="E6601">
        <v>2507918</v>
      </c>
      <c r="F6601">
        <v>2130</v>
      </c>
      <c r="G6601">
        <v>0</v>
      </c>
      <c r="H6601" t="s">
        <v>11520</v>
      </c>
      <c r="I6601">
        <v>7445</v>
      </c>
      <c r="J6601" t="str">
        <f>VLOOKUP(E6601,DSSpieler!A:B,2,FALSE)</f>
        <v>demessa</v>
      </c>
    </row>
    <row r="6602" spans="1:10" x14ac:dyDescent="0.25">
      <c r="A6602">
        <v>7446</v>
      </c>
      <c r="B6602" t="s">
        <v>531</v>
      </c>
      <c r="C6602">
        <v>420</v>
      </c>
      <c r="D6602">
        <v>517</v>
      </c>
      <c r="E6602">
        <v>0</v>
      </c>
      <c r="F6602">
        <v>417</v>
      </c>
      <c r="G6602">
        <v>0</v>
      </c>
      <c r="H6602" t="s">
        <v>11521</v>
      </c>
      <c r="I6602">
        <v>7446</v>
      </c>
      <c r="J6602" t="e">
        <f>VLOOKUP(E6602,DSSpieler!A:B,2,FALSE)</f>
        <v>#N/A</v>
      </c>
    </row>
    <row r="6603" spans="1:10" x14ac:dyDescent="0.25">
      <c r="A6603">
        <v>7447</v>
      </c>
      <c r="B6603" t="s">
        <v>33150</v>
      </c>
      <c r="C6603">
        <v>534</v>
      </c>
      <c r="D6603">
        <v>601</v>
      </c>
      <c r="E6603">
        <v>8860225</v>
      </c>
      <c r="F6603">
        <v>1890</v>
      </c>
      <c r="G6603">
        <v>0</v>
      </c>
      <c r="H6603" t="s">
        <v>11522</v>
      </c>
      <c r="I6603">
        <v>7447</v>
      </c>
      <c r="J6603" t="str">
        <f>VLOOKUP(E6603,DSSpieler!A:B,2,FALSE)</f>
        <v>scirocco09</v>
      </c>
    </row>
    <row r="6604" spans="1:10" x14ac:dyDescent="0.25">
      <c r="A6604">
        <v>7448</v>
      </c>
      <c r="B6604" t="s">
        <v>531</v>
      </c>
      <c r="C6604">
        <v>418</v>
      </c>
      <c r="D6604">
        <v>475</v>
      </c>
      <c r="E6604">
        <v>0</v>
      </c>
      <c r="F6604">
        <v>234</v>
      </c>
      <c r="G6604">
        <v>0</v>
      </c>
      <c r="H6604" t="s">
        <v>11523</v>
      </c>
      <c r="I6604">
        <v>7448</v>
      </c>
      <c r="J6604" t="e">
        <f>VLOOKUP(E6604,DSSpieler!A:B,2,FALSE)</f>
        <v>#N/A</v>
      </c>
    </row>
    <row r="6605" spans="1:10" x14ac:dyDescent="0.25">
      <c r="A6605">
        <v>7449</v>
      </c>
      <c r="B6605" t="s">
        <v>33151</v>
      </c>
      <c r="C6605">
        <v>574</v>
      </c>
      <c r="D6605">
        <v>543</v>
      </c>
      <c r="E6605">
        <v>8879522</v>
      </c>
      <c r="F6605">
        <v>6346</v>
      </c>
      <c r="G6605">
        <v>0</v>
      </c>
      <c r="H6605" t="s">
        <v>11524</v>
      </c>
      <c r="I6605">
        <v>7449</v>
      </c>
      <c r="J6605" t="str">
        <f>VLOOKUP(E6605,DSSpieler!A:B,2,FALSE)</f>
        <v>20Hanzi02</v>
      </c>
    </row>
    <row r="6606" spans="1:10" x14ac:dyDescent="0.25">
      <c r="A6606">
        <v>7451</v>
      </c>
      <c r="B6606" t="s">
        <v>531</v>
      </c>
      <c r="C6606">
        <v>494</v>
      </c>
      <c r="D6606">
        <v>585</v>
      </c>
      <c r="E6606">
        <v>1577088799</v>
      </c>
      <c r="F6606">
        <v>5358</v>
      </c>
      <c r="G6606">
        <v>0</v>
      </c>
      <c r="H6606" t="s">
        <v>11525</v>
      </c>
      <c r="I6606">
        <v>7451</v>
      </c>
      <c r="J6606" t="str">
        <f>VLOOKUP(E6606,DSSpieler!A:B,2,FALSE)</f>
        <v>nalp-niok</v>
      </c>
    </row>
    <row r="6607" spans="1:10" x14ac:dyDescent="0.25">
      <c r="A6607">
        <v>7452</v>
      </c>
      <c r="B6607" t="s">
        <v>531</v>
      </c>
      <c r="C6607">
        <v>485</v>
      </c>
      <c r="D6607">
        <v>419</v>
      </c>
      <c r="E6607">
        <v>0</v>
      </c>
      <c r="F6607">
        <v>271</v>
      </c>
      <c r="G6607">
        <v>0</v>
      </c>
      <c r="H6607" t="s">
        <v>11526</v>
      </c>
      <c r="I6607">
        <v>7452</v>
      </c>
      <c r="J6607" t="e">
        <f>VLOOKUP(E6607,DSSpieler!A:B,2,FALSE)</f>
        <v>#N/A</v>
      </c>
    </row>
    <row r="6608" spans="1:10" x14ac:dyDescent="0.25">
      <c r="A6608">
        <v>7453</v>
      </c>
      <c r="B6608" t="s">
        <v>531</v>
      </c>
      <c r="C6608">
        <v>418</v>
      </c>
      <c r="D6608">
        <v>489</v>
      </c>
      <c r="E6608">
        <v>0</v>
      </c>
      <c r="F6608">
        <v>283</v>
      </c>
      <c r="G6608">
        <v>0</v>
      </c>
      <c r="H6608" t="s">
        <v>11527</v>
      </c>
      <c r="I6608">
        <v>7453</v>
      </c>
      <c r="J6608" t="e">
        <f>VLOOKUP(E6608,DSSpieler!A:B,2,FALSE)</f>
        <v>#N/A</v>
      </c>
    </row>
    <row r="6609" spans="1:10" x14ac:dyDescent="0.25">
      <c r="A6609">
        <v>7454</v>
      </c>
      <c r="B6609" t="s">
        <v>531</v>
      </c>
      <c r="C6609">
        <v>432</v>
      </c>
      <c r="D6609">
        <v>549</v>
      </c>
      <c r="E6609">
        <v>0</v>
      </c>
      <c r="F6609">
        <v>343</v>
      </c>
      <c r="G6609">
        <v>0</v>
      </c>
      <c r="H6609" t="s">
        <v>11528</v>
      </c>
      <c r="I6609">
        <v>7454</v>
      </c>
      <c r="J6609" t="e">
        <f>VLOOKUP(E6609,DSSpieler!A:B,2,FALSE)</f>
        <v>#N/A</v>
      </c>
    </row>
    <row r="6610" spans="1:10" x14ac:dyDescent="0.25">
      <c r="A6610">
        <v>7456</v>
      </c>
      <c r="B6610" t="s">
        <v>33152</v>
      </c>
      <c r="C6610">
        <v>584</v>
      </c>
      <c r="D6610">
        <v>494</v>
      </c>
      <c r="E6610">
        <v>1577197727</v>
      </c>
      <c r="F6610">
        <v>2816</v>
      </c>
      <c r="G6610">
        <v>0</v>
      </c>
      <c r="H6610" t="s">
        <v>11529</v>
      </c>
      <c r="I6610">
        <v>7456</v>
      </c>
      <c r="J6610" t="str">
        <f>VLOOKUP(E6610,DSSpieler!A:B,2,FALSE)</f>
        <v>Korir</v>
      </c>
    </row>
    <row r="6611" spans="1:10" x14ac:dyDescent="0.25">
      <c r="A6611">
        <v>7457</v>
      </c>
      <c r="B6611" t="s">
        <v>531</v>
      </c>
      <c r="C6611">
        <v>576</v>
      </c>
      <c r="D6611">
        <v>530</v>
      </c>
      <c r="E6611">
        <v>0</v>
      </c>
      <c r="F6611">
        <v>255</v>
      </c>
      <c r="G6611">
        <v>0</v>
      </c>
      <c r="H6611" t="s">
        <v>11530</v>
      </c>
      <c r="I6611">
        <v>7457</v>
      </c>
      <c r="J6611" t="e">
        <f>VLOOKUP(E6611,DSSpieler!A:B,2,FALSE)</f>
        <v>#N/A</v>
      </c>
    </row>
    <row r="6612" spans="1:10" x14ac:dyDescent="0.25">
      <c r="A6612">
        <v>7458</v>
      </c>
      <c r="B6612" t="s">
        <v>33153</v>
      </c>
      <c r="C6612">
        <v>422</v>
      </c>
      <c r="D6612">
        <v>468</v>
      </c>
      <c r="E6612">
        <v>1576994636</v>
      </c>
      <c r="F6612">
        <v>7604</v>
      </c>
      <c r="G6612">
        <v>0</v>
      </c>
      <c r="H6612" t="s">
        <v>11531</v>
      </c>
      <c r="I6612">
        <v>7458</v>
      </c>
      <c r="J6612" t="str">
        <f>VLOOKUP(E6612,DSSpieler!A:B,2,FALSE)</f>
        <v>killerbee1986</v>
      </c>
    </row>
    <row r="6613" spans="1:10" x14ac:dyDescent="0.25">
      <c r="A6613">
        <v>7459</v>
      </c>
      <c r="B6613" t="s">
        <v>1643</v>
      </c>
      <c r="C6613">
        <v>552</v>
      </c>
      <c r="D6613">
        <v>435</v>
      </c>
      <c r="E6613">
        <v>9019208</v>
      </c>
      <c r="F6613">
        <v>988</v>
      </c>
      <c r="G6613">
        <v>0</v>
      </c>
      <c r="H6613" t="s">
        <v>11532</v>
      </c>
      <c r="I6613">
        <v>7459</v>
      </c>
      <c r="J6613" t="str">
        <f>VLOOKUP(E6613,DSSpieler!A:B,2,FALSE)</f>
        <v>Lukasato</v>
      </c>
    </row>
    <row r="6614" spans="1:10" x14ac:dyDescent="0.25">
      <c r="A6614">
        <v>7460</v>
      </c>
      <c r="B6614" t="s">
        <v>531</v>
      </c>
      <c r="C6614">
        <v>471</v>
      </c>
      <c r="D6614">
        <v>578</v>
      </c>
      <c r="E6614">
        <v>0</v>
      </c>
      <c r="F6614">
        <v>264</v>
      </c>
      <c r="G6614">
        <v>0</v>
      </c>
      <c r="H6614" t="s">
        <v>11533</v>
      </c>
      <c r="I6614">
        <v>7460</v>
      </c>
      <c r="J6614" t="e">
        <f>VLOOKUP(E6614,DSSpieler!A:B,2,FALSE)</f>
        <v>#N/A</v>
      </c>
    </row>
    <row r="6615" spans="1:10" x14ac:dyDescent="0.25">
      <c r="A6615">
        <v>7462</v>
      </c>
      <c r="B6615" t="s">
        <v>33154</v>
      </c>
      <c r="C6615">
        <v>571</v>
      </c>
      <c r="D6615">
        <v>460</v>
      </c>
      <c r="E6615">
        <v>1577138742</v>
      </c>
      <c r="F6615">
        <v>7210</v>
      </c>
      <c r="G6615">
        <v>0</v>
      </c>
      <c r="H6615" t="s">
        <v>11534</v>
      </c>
      <c r="I6615">
        <v>7462</v>
      </c>
      <c r="J6615" t="str">
        <f>VLOOKUP(E6615,DSSpieler!A:B,2,FALSE)</f>
        <v>Ohaio18</v>
      </c>
    </row>
    <row r="6616" spans="1:10" x14ac:dyDescent="0.25">
      <c r="A6616">
        <v>7463</v>
      </c>
      <c r="B6616" t="s">
        <v>33155</v>
      </c>
      <c r="C6616">
        <v>488</v>
      </c>
      <c r="D6616">
        <v>581</v>
      </c>
      <c r="E6616">
        <v>2641220</v>
      </c>
      <c r="F6616">
        <v>2072</v>
      </c>
      <c r="G6616">
        <v>0</v>
      </c>
      <c r="H6616" t="s">
        <v>11535</v>
      </c>
      <c r="I6616">
        <v>7463</v>
      </c>
      <c r="J6616" t="str">
        <f>VLOOKUP(E6616,DSSpieler!A:B,2,FALSE)</f>
        <v>Plug in Baby</v>
      </c>
    </row>
    <row r="6617" spans="1:10" x14ac:dyDescent="0.25">
      <c r="A6617">
        <v>7464</v>
      </c>
      <c r="B6617" t="s">
        <v>33156</v>
      </c>
      <c r="C6617">
        <v>582</v>
      </c>
      <c r="D6617">
        <v>518</v>
      </c>
      <c r="E6617">
        <v>10008893</v>
      </c>
      <c r="F6617">
        <v>4034</v>
      </c>
      <c r="G6617">
        <v>0</v>
      </c>
      <c r="H6617" t="s">
        <v>11536</v>
      </c>
      <c r="I6617">
        <v>7464</v>
      </c>
      <c r="J6617" t="str">
        <f>VLOOKUP(E6617,DSSpieler!A:B,2,FALSE)</f>
        <v>walsi the lord</v>
      </c>
    </row>
    <row r="6618" spans="1:10" x14ac:dyDescent="0.25">
      <c r="A6618">
        <v>7465</v>
      </c>
      <c r="B6618" t="s">
        <v>531</v>
      </c>
      <c r="C6618">
        <v>583</v>
      </c>
      <c r="D6618">
        <v>491</v>
      </c>
      <c r="E6618">
        <v>0</v>
      </c>
      <c r="F6618">
        <v>152</v>
      </c>
      <c r="G6618">
        <v>0</v>
      </c>
      <c r="H6618" t="s">
        <v>11537</v>
      </c>
      <c r="I6618">
        <v>7465</v>
      </c>
      <c r="J6618" t="e">
        <f>VLOOKUP(E6618,DSSpieler!A:B,2,FALSE)</f>
        <v>#N/A</v>
      </c>
    </row>
    <row r="6619" spans="1:10" x14ac:dyDescent="0.25">
      <c r="A6619">
        <v>7466</v>
      </c>
      <c r="B6619" t="s">
        <v>33157</v>
      </c>
      <c r="C6619">
        <v>604</v>
      </c>
      <c r="D6619">
        <v>478</v>
      </c>
      <c r="E6619">
        <v>1577195698</v>
      </c>
      <c r="F6619">
        <v>5652</v>
      </c>
      <c r="G6619">
        <v>0</v>
      </c>
      <c r="H6619" t="s">
        <v>11538</v>
      </c>
      <c r="I6619">
        <v>7466</v>
      </c>
      <c r="J6619" t="str">
        <f>VLOOKUP(E6619,DSSpieler!A:B,2,FALSE)</f>
        <v>Tiramisu</v>
      </c>
    </row>
    <row r="6620" spans="1:10" x14ac:dyDescent="0.25">
      <c r="A6620">
        <v>7467</v>
      </c>
      <c r="B6620" t="s">
        <v>33158</v>
      </c>
      <c r="C6620">
        <v>481</v>
      </c>
      <c r="D6620">
        <v>418</v>
      </c>
      <c r="E6620">
        <v>9318560</v>
      </c>
      <c r="F6620">
        <v>1652</v>
      </c>
      <c r="G6620">
        <v>0</v>
      </c>
      <c r="H6620" t="s">
        <v>11539</v>
      </c>
      <c r="I6620">
        <v>7467</v>
      </c>
      <c r="J6620" t="str">
        <f>VLOOKUP(E6620,DSSpieler!A:B,2,FALSE)</f>
        <v>Melkin</v>
      </c>
    </row>
    <row r="6621" spans="1:10" x14ac:dyDescent="0.25">
      <c r="A6621">
        <v>7468</v>
      </c>
      <c r="B6621" t="s">
        <v>531</v>
      </c>
      <c r="C6621">
        <v>488</v>
      </c>
      <c r="D6621">
        <v>416</v>
      </c>
      <c r="E6621">
        <v>0</v>
      </c>
      <c r="F6621">
        <v>304</v>
      </c>
      <c r="G6621">
        <v>0</v>
      </c>
      <c r="H6621" t="s">
        <v>11540</v>
      </c>
      <c r="I6621">
        <v>7468</v>
      </c>
      <c r="J6621" t="e">
        <f>VLOOKUP(E6621,DSSpieler!A:B,2,FALSE)</f>
        <v>#N/A</v>
      </c>
    </row>
    <row r="6622" spans="1:10" x14ac:dyDescent="0.25">
      <c r="A6622">
        <v>7469</v>
      </c>
      <c r="B6622">
        <v>2</v>
      </c>
      <c r="C6622">
        <v>574</v>
      </c>
      <c r="D6622">
        <v>459</v>
      </c>
      <c r="E6622">
        <v>10080535</v>
      </c>
      <c r="F6622">
        <v>2174</v>
      </c>
      <c r="G6622">
        <v>0</v>
      </c>
      <c r="H6622" t="s">
        <v>11541</v>
      </c>
      <c r="I6622">
        <v>7469</v>
      </c>
      <c r="J6622" t="str">
        <f>VLOOKUP(E6622,DSSpieler!A:B,2,FALSE)</f>
        <v>Zakumii</v>
      </c>
    </row>
    <row r="6623" spans="1:10" x14ac:dyDescent="0.25">
      <c r="A6623">
        <v>7470</v>
      </c>
      <c r="B6623" t="s">
        <v>531</v>
      </c>
      <c r="C6623">
        <v>438</v>
      </c>
      <c r="D6623">
        <v>442</v>
      </c>
      <c r="E6623">
        <v>0</v>
      </c>
      <c r="F6623">
        <v>288</v>
      </c>
      <c r="G6623">
        <v>0</v>
      </c>
      <c r="H6623" t="s">
        <v>11542</v>
      </c>
      <c r="I6623">
        <v>7470</v>
      </c>
      <c r="J6623" t="e">
        <f>VLOOKUP(E6623,DSSpieler!A:B,2,FALSE)</f>
        <v>#N/A</v>
      </c>
    </row>
    <row r="6624" spans="1:10" x14ac:dyDescent="0.25">
      <c r="A6624">
        <v>7471</v>
      </c>
      <c r="B6624" t="s">
        <v>33159</v>
      </c>
      <c r="C6624">
        <v>468</v>
      </c>
      <c r="D6624">
        <v>400</v>
      </c>
      <c r="E6624">
        <v>1577186291</v>
      </c>
      <c r="F6624">
        <v>829</v>
      </c>
      <c r="G6624">
        <v>0</v>
      </c>
      <c r="H6624" t="s">
        <v>11543</v>
      </c>
      <c r="I6624">
        <v>7471</v>
      </c>
      <c r="J6624" t="str">
        <f>VLOOKUP(E6624,DSSpieler!A:B,2,FALSE)</f>
        <v>-WeedorMeth?.</v>
      </c>
    </row>
    <row r="6625" spans="1:10" x14ac:dyDescent="0.25">
      <c r="A6625">
        <v>7472</v>
      </c>
      <c r="B6625" t="s">
        <v>531</v>
      </c>
      <c r="C6625">
        <v>545</v>
      </c>
      <c r="D6625">
        <v>569</v>
      </c>
      <c r="E6625">
        <v>0</v>
      </c>
      <c r="F6625">
        <v>289</v>
      </c>
      <c r="G6625">
        <v>0</v>
      </c>
      <c r="H6625" t="s">
        <v>11544</v>
      </c>
      <c r="I6625">
        <v>7472</v>
      </c>
      <c r="J6625" t="e">
        <f>VLOOKUP(E6625,DSSpieler!A:B,2,FALSE)</f>
        <v>#N/A</v>
      </c>
    </row>
    <row r="6626" spans="1:10" x14ac:dyDescent="0.25">
      <c r="A6626">
        <v>7473</v>
      </c>
      <c r="B6626" t="s">
        <v>531</v>
      </c>
      <c r="C6626">
        <v>504</v>
      </c>
      <c r="D6626">
        <v>583</v>
      </c>
      <c r="E6626">
        <v>0</v>
      </c>
      <c r="F6626">
        <v>276</v>
      </c>
      <c r="G6626">
        <v>0</v>
      </c>
      <c r="H6626" t="s">
        <v>11545</v>
      </c>
      <c r="I6626">
        <v>7473</v>
      </c>
      <c r="J6626" t="e">
        <f>VLOOKUP(E6626,DSSpieler!A:B,2,FALSE)</f>
        <v>#N/A</v>
      </c>
    </row>
    <row r="6627" spans="1:10" x14ac:dyDescent="0.25">
      <c r="A6627">
        <v>7475</v>
      </c>
      <c r="B6627">
        <v>5</v>
      </c>
      <c r="C6627">
        <v>489</v>
      </c>
      <c r="D6627">
        <v>585</v>
      </c>
      <c r="E6627">
        <v>9364534</v>
      </c>
      <c r="F6627">
        <v>4815</v>
      </c>
      <c r="G6627">
        <v>0</v>
      </c>
      <c r="H6627" t="s">
        <v>11546</v>
      </c>
      <c r="I6627">
        <v>7475</v>
      </c>
      <c r="J6627" t="str">
        <f>VLOOKUP(E6627,DSSpieler!A:B,2,FALSE)</f>
        <v>Aemok</v>
      </c>
    </row>
    <row r="6628" spans="1:10" x14ac:dyDescent="0.25">
      <c r="A6628">
        <v>7476</v>
      </c>
      <c r="B6628" t="s">
        <v>531</v>
      </c>
      <c r="C6628">
        <v>493</v>
      </c>
      <c r="D6628">
        <v>582</v>
      </c>
      <c r="E6628">
        <v>0</v>
      </c>
      <c r="F6628">
        <v>273</v>
      </c>
      <c r="G6628">
        <v>0</v>
      </c>
      <c r="H6628" t="s">
        <v>11547</v>
      </c>
      <c r="I6628">
        <v>7476</v>
      </c>
      <c r="J6628" t="e">
        <f>VLOOKUP(E6628,DSSpieler!A:B,2,FALSE)</f>
        <v>#N/A</v>
      </c>
    </row>
    <row r="6629" spans="1:10" x14ac:dyDescent="0.25">
      <c r="A6629">
        <v>7477</v>
      </c>
      <c r="B6629" t="s">
        <v>531</v>
      </c>
      <c r="C6629">
        <v>420</v>
      </c>
      <c r="D6629">
        <v>477</v>
      </c>
      <c r="E6629">
        <v>0</v>
      </c>
      <c r="F6629">
        <v>101</v>
      </c>
      <c r="G6629">
        <v>0</v>
      </c>
      <c r="H6629" t="s">
        <v>11548</v>
      </c>
      <c r="I6629">
        <v>7477</v>
      </c>
      <c r="J6629" t="e">
        <f>VLOOKUP(E6629,DSSpieler!A:B,2,FALSE)</f>
        <v>#N/A</v>
      </c>
    </row>
    <row r="6630" spans="1:10" x14ac:dyDescent="0.25">
      <c r="A6630">
        <v>7478</v>
      </c>
      <c r="B6630" t="s">
        <v>31619</v>
      </c>
      <c r="C6630">
        <v>519</v>
      </c>
      <c r="D6630">
        <v>419</v>
      </c>
      <c r="E6630">
        <v>1577197561</v>
      </c>
      <c r="F6630">
        <v>4888</v>
      </c>
      <c r="G6630">
        <v>0</v>
      </c>
      <c r="H6630" t="s">
        <v>11549</v>
      </c>
      <c r="I6630">
        <v>7478</v>
      </c>
      <c r="J6630" t="str">
        <f>VLOOKUP(E6630,DSSpieler!A:B,2,FALSE)</f>
        <v>Tim Traitor</v>
      </c>
    </row>
    <row r="6631" spans="1:10" x14ac:dyDescent="0.25">
      <c r="A6631">
        <v>7479</v>
      </c>
      <c r="B6631" t="s">
        <v>33160</v>
      </c>
      <c r="C6631">
        <v>438</v>
      </c>
      <c r="D6631">
        <v>554</v>
      </c>
      <c r="E6631">
        <v>1577198152</v>
      </c>
      <c r="F6631">
        <v>4242</v>
      </c>
      <c r="G6631">
        <v>0</v>
      </c>
      <c r="H6631" t="s">
        <v>11550</v>
      </c>
      <c r="I6631">
        <v>7479</v>
      </c>
      <c r="J6631" t="str">
        <f>VLOOKUP(E6631,DSSpieler!A:B,2,FALSE)</f>
        <v>Purete</v>
      </c>
    </row>
    <row r="6632" spans="1:10" x14ac:dyDescent="0.25">
      <c r="A6632">
        <v>7480</v>
      </c>
      <c r="B6632" t="s">
        <v>33161</v>
      </c>
      <c r="C6632">
        <v>543</v>
      </c>
      <c r="D6632">
        <v>428</v>
      </c>
      <c r="E6632">
        <v>1576938611</v>
      </c>
      <c r="F6632">
        <v>5420</v>
      </c>
      <c r="G6632">
        <v>0</v>
      </c>
      <c r="H6632" t="s">
        <v>11551</v>
      </c>
      <c r="I6632">
        <v>7480</v>
      </c>
      <c r="J6632" t="str">
        <f>VLOOKUP(E6632,DSSpieler!A:B,2,FALSE)</f>
        <v>Veldor</v>
      </c>
    </row>
    <row r="6633" spans="1:10" x14ac:dyDescent="0.25">
      <c r="A6633">
        <v>7481</v>
      </c>
      <c r="B6633" t="s">
        <v>33162</v>
      </c>
      <c r="C6633">
        <v>583</v>
      </c>
      <c r="D6633">
        <v>487</v>
      </c>
      <c r="E6633">
        <v>9202979</v>
      </c>
      <c r="F6633">
        <v>6306</v>
      </c>
      <c r="G6633">
        <v>0</v>
      </c>
      <c r="H6633" t="s">
        <v>11552</v>
      </c>
      <c r="I6633">
        <v>7481</v>
      </c>
      <c r="J6633" t="str">
        <f>VLOOKUP(E6633,DSSpieler!A:B,2,FALSE)</f>
        <v>HilariousLotus</v>
      </c>
    </row>
    <row r="6634" spans="1:10" x14ac:dyDescent="0.25">
      <c r="A6634">
        <v>7482</v>
      </c>
      <c r="B6634" t="s">
        <v>531</v>
      </c>
      <c r="C6634">
        <v>427</v>
      </c>
      <c r="D6634">
        <v>458</v>
      </c>
      <c r="E6634">
        <v>0</v>
      </c>
      <c r="F6634">
        <v>144</v>
      </c>
      <c r="G6634">
        <v>0</v>
      </c>
      <c r="H6634" t="s">
        <v>11553</v>
      </c>
      <c r="I6634">
        <v>7482</v>
      </c>
      <c r="J6634" t="e">
        <f>VLOOKUP(E6634,DSSpieler!A:B,2,FALSE)</f>
        <v>#N/A</v>
      </c>
    </row>
    <row r="6635" spans="1:10" x14ac:dyDescent="0.25">
      <c r="A6635">
        <v>7483</v>
      </c>
      <c r="B6635" t="s">
        <v>1644</v>
      </c>
      <c r="C6635">
        <v>479</v>
      </c>
      <c r="D6635">
        <v>417</v>
      </c>
      <c r="E6635">
        <v>1577197588</v>
      </c>
      <c r="F6635">
        <v>2475</v>
      </c>
      <c r="G6635">
        <v>0</v>
      </c>
      <c r="H6635" t="s">
        <v>11554</v>
      </c>
      <c r="I6635">
        <v>7483</v>
      </c>
      <c r="J6635" t="str">
        <f>VLOOKUP(E6635,DSSpieler!A:B,2,FALSE)</f>
        <v>Spitzkopflarryyy</v>
      </c>
    </row>
    <row r="6636" spans="1:10" x14ac:dyDescent="0.25">
      <c r="A6636">
        <v>7485</v>
      </c>
      <c r="B6636" t="s">
        <v>33163</v>
      </c>
      <c r="C6636">
        <v>428</v>
      </c>
      <c r="D6636">
        <v>545</v>
      </c>
      <c r="E6636">
        <v>1575996788</v>
      </c>
      <c r="F6636">
        <v>1714</v>
      </c>
      <c r="G6636">
        <v>0</v>
      </c>
      <c r="H6636" t="s">
        <v>11555</v>
      </c>
      <c r="I6636">
        <v>7485</v>
      </c>
      <c r="J6636" t="str">
        <f>VLOOKUP(E6636,DSSpieler!A:B,2,FALSE)</f>
        <v>Wolfstter</v>
      </c>
    </row>
    <row r="6637" spans="1:10" x14ac:dyDescent="0.25">
      <c r="A6637">
        <v>7486</v>
      </c>
      <c r="B6637" t="s">
        <v>531</v>
      </c>
      <c r="C6637">
        <v>520</v>
      </c>
      <c r="D6637">
        <v>581</v>
      </c>
      <c r="E6637">
        <v>0</v>
      </c>
      <c r="F6637">
        <v>424</v>
      </c>
      <c r="G6637">
        <v>0</v>
      </c>
      <c r="H6637" t="s">
        <v>11556</v>
      </c>
      <c r="I6637">
        <v>7486</v>
      </c>
      <c r="J6637" t="e">
        <f>VLOOKUP(E6637,DSSpieler!A:B,2,FALSE)</f>
        <v>#N/A</v>
      </c>
    </row>
    <row r="6638" spans="1:10" x14ac:dyDescent="0.25">
      <c r="A6638">
        <v>7487</v>
      </c>
      <c r="B6638" t="s">
        <v>546</v>
      </c>
      <c r="C6638">
        <v>488</v>
      </c>
      <c r="D6638">
        <v>469</v>
      </c>
      <c r="E6638">
        <v>1576652175</v>
      </c>
      <c r="F6638">
        <v>5711</v>
      </c>
      <c r="G6638">
        <v>0</v>
      </c>
      <c r="H6638" t="s">
        <v>11557</v>
      </c>
      <c r="I6638">
        <v>7487</v>
      </c>
      <c r="J6638" t="str">
        <f>VLOOKUP(E6638,DSSpieler!A:B,2,FALSE)</f>
        <v>zaun04</v>
      </c>
    </row>
    <row r="6639" spans="1:10" x14ac:dyDescent="0.25">
      <c r="A6639">
        <v>7488</v>
      </c>
      <c r="B6639" t="s">
        <v>531</v>
      </c>
      <c r="C6639">
        <v>420</v>
      </c>
      <c r="D6639">
        <v>480</v>
      </c>
      <c r="E6639">
        <v>0</v>
      </c>
      <c r="F6639">
        <v>188</v>
      </c>
      <c r="G6639">
        <v>0</v>
      </c>
      <c r="H6639" t="s">
        <v>11558</v>
      </c>
      <c r="I6639">
        <v>7488</v>
      </c>
      <c r="J6639" t="e">
        <f>VLOOKUP(E6639,DSSpieler!A:B,2,FALSE)</f>
        <v>#N/A</v>
      </c>
    </row>
    <row r="6640" spans="1:10" x14ac:dyDescent="0.25">
      <c r="A6640">
        <v>7489</v>
      </c>
      <c r="B6640" t="s">
        <v>531</v>
      </c>
      <c r="C6640">
        <v>453</v>
      </c>
      <c r="D6640">
        <v>428</v>
      </c>
      <c r="E6640">
        <v>0</v>
      </c>
      <c r="F6640">
        <v>336</v>
      </c>
      <c r="G6640">
        <v>0</v>
      </c>
      <c r="H6640" t="s">
        <v>11559</v>
      </c>
      <c r="I6640">
        <v>7489</v>
      </c>
      <c r="J6640" t="e">
        <f>VLOOKUP(E6640,DSSpieler!A:B,2,FALSE)</f>
        <v>#N/A</v>
      </c>
    </row>
    <row r="6641" spans="1:10" x14ac:dyDescent="0.25">
      <c r="A6641">
        <v>7490</v>
      </c>
      <c r="B6641" t="s">
        <v>531</v>
      </c>
      <c r="C6641">
        <v>419</v>
      </c>
      <c r="D6641">
        <v>480</v>
      </c>
      <c r="E6641">
        <v>0</v>
      </c>
      <c r="F6641">
        <v>356</v>
      </c>
      <c r="G6641">
        <v>0</v>
      </c>
      <c r="H6641" t="s">
        <v>11560</v>
      </c>
      <c r="I6641">
        <v>7490</v>
      </c>
      <c r="J6641" t="e">
        <f>VLOOKUP(E6641,DSSpieler!A:B,2,FALSE)</f>
        <v>#N/A</v>
      </c>
    </row>
    <row r="6642" spans="1:10" x14ac:dyDescent="0.25">
      <c r="A6642">
        <v>7491</v>
      </c>
      <c r="B6642" t="s">
        <v>1645</v>
      </c>
      <c r="C6642">
        <v>428</v>
      </c>
      <c r="D6642">
        <v>458</v>
      </c>
      <c r="E6642">
        <v>1577197787</v>
      </c>
      <c r="F6642">
        <v>2362</v>
      </c>
      <c r="G6642">
        <v>0</v>
      </c>
      <c r="H6642" t="s">
        <v>11561</v>
      </c>
      <c r="I6642">
        <v>7491</v>
      </c>
      <c r="J6642" t="str">
        <f>VLOOKUP(E6642,DSSpieler!A:B,2,FALSE)</f>
        <v>Leeeeeni</v>
      </c>
    </row>
    <row r="6643" spans="1:10" x14ac:dyDescent="0.25">
      <c r="A6643">
        <v>7492</v>
      </c>
      <c r="B6643" t="s">
        <v>531</v>
      </c>
      <c r="C6643">
        <v>594</v>
      </c>
      <c r="D6643">
        <v>485</v>
      </c>
      <c r="E6643">
        <v>3409026</v>
      </c>
      <c r="F6643">
        <v>923</v>
      </c>
      <c r="G6643">
        <v>0</v>
      </c>
      <c r="H6643" t="s">
        <v>11562</v>
      </c>
      <c r="I6643">
        <v>7492</v>
      </c>
      <c r="J6643" t="str">
        <f>VLOOKUP(E6643,DSSpieler!A:B,2,FALSE)</f>
        <v>Bullay</v>
      </c>
    </row>
    <row r="6644" spans="1:10" x14ac:dyDescent="0.25">
      <c r="A6644">
        <v>7493</v>
      </c>
      <c r="B6644" t="s">
        <v>531</v>
      </c>
      <c r="C6644">
        <v>430</v>
      </c>
      <c r="D6644">
        <v>453</v>
      </c>
      <c r="E6644">
        <v>0</v>
      </c>
      <c r="F6644">
        <v>456</v>
      </c>
      <c r="G6644">
        <v>0</v>
      </c>
      <c r="H6644" t="s">
        <v>11563</v>
      </c>
      <c r="I6644">
        <v>7493</v>
      </c>
      <c r="J6644" t="e">
        <f>VLOOKUP(E6644,DSSpieler!A:B,2,FALSE)</f>
        <v>#N/A</v>
      </c>
    </row>
    <row r="6645" spans="1:10" x14ac:dyDescent="0.25">
      <c r="A6645">
        <v>7494</v>
      </c>
      <c r="B6645" t="s">
        <v>531</v>
      </c>
      <c r="C6645">
        <v>559</v>
      </c>
      <c r="D6645">
        <v>560</v>
      </c>
      <c r="E6645">
        <v>0</v>
      </c>
      <c r="F6645">
        <v>491</v>
      </c>
      <c r="G6645">
        <v>0</v>
      </c>
      <c r="H6645" t="s">
        <v>11564</v>
      </c>
      <c r="I6645">
        <v>7494</v>
      </c>
      <c r="J6645" t="e">
        <f>VLOOKUP(E6645,DSSpieler!A:B,2,FALSE)</f>
        <v>#N/A</v>
      </c>
    </row>
    <row r="6646" spans="1:10" x14ac:dyDescent="0.25">
      <c r="A6646">
        <v>7495</v>
      </c>
      <c r="B6646" t="s">
        <v>531</v>
      </c>
      <c r="C6646">
        <v>417</v>
      </c>
      <c r="D6646">
        <v>516</v>
      </c>
      <c r="E6646">
        <v>0</v>
      </c>
      <c r="F6646">
        <v>152</v>
      </c>
      <c r="G6646">
        <v>0</v>
      </c>
      <c r="H6646" t="s">
        <v>11565</v>
      </c>
      <c r="I6646">
        <v>7495</v>
      </c>
      <c r="J6646" t="e">
        <f>VLOOKUP(E6646,DSSpieler!A:B,2,FALSE)</f>
        <v>#N/A</v>
      </c>
    </row>
    <row r="6647" spans="1:10" x14ac:dyDescent="0.25">
      <c r="A6647">
        <v>7497</v>
      </c>
      <c r="B6647" t="s">
        <v>531</v>
      </c>
      <c r="C6647">
        <v>506</v>
      </c>
      <c r="D6647">
        <v>414</v>
      </c>
      <c r="E6647">
        <v>0</v>
      </c>
      <c r="F6647">
        <v>272</v>
      </c>
      <c r="G6647">
        <v>0</v>
      </c>
      <c r="H6647" t="s">
        <v>11566</v>
      </c>
      <c r="I6647">
        <v>7497</v>
      </c>
      <c r="J6647" t="e">
        <f>VLOOKUP(E6647,DSSpieler!A:B,2,FALSE)</f>
        <v>#N/A</v>
      </c>
    </row>
    <row r="6648" spans="1:10" x14ac:dyDescent="0.25">
      <c r="A6648">
        <v>7498</v>
      </c>
      <c r="B6648" t="s">
        <v>33164</v>
      </c>
      <c r="C6648">
        <v>415</v>
      </c>
      <c r="D6648">
        <v>503</v>
      </c>
      <c r="E6648">
        <v>2493089</v>
      </c>
      <c r="F6648">
        <v>2191</v>
      </c>
      <c r="G6648">
        <v>0</v>
      </c>
      <c r="H6648" t="s">
        <v>11567</v>
      </c>
      <c r="I6648">
        <v>7498</v>
      </c>
      <c r="J6648" t="str">
        <f>VLOOKUP(E6648,DSSpieler!A:B,2,FALSE)</f>
        <v>Spidersponge</v>
      </c>
    </row>
    <row r="6649" spans="1:10" x14ac:dyDescent="0.25">
      <c r="A6649">
        <v>7499</v>
      </c>
      <c r="B6649" t="s">
        <v>531</v>
      </c>
      <c r="C6649">
        <v>583</v>
      </c>
      <c r="D6649">
        <v>502</v>
      </c>
      <c r="E6649">
        <v>0</v>
      </c>
      <c r="F6649">
        <v>204</v>
      </c>
      <c r="G6649">
        <v>0</v>
      </c>
      <c r="H6649" t="s">
        <v>11568</v>
      </c>
      <c r="I6649">
        <v>7499</v>
      </c>
      <c r="J6649" t="e">
        <f>VLOOKUP(E6649,DSSpieler!A:B,2,FALSE)</f>
        <v>#N/A</v>
      </c>
    </row>
    <row r="6650" spans="1:10" x14ac:dyDescent="0.25">
      <c r="A6650">
        <v>7500</v>
      </c>
      <c r="B6650" t="s">
        <v>531</v>
      </c>
      <c r="C6650">
        <v>481</v>
      </c>
      <c r="D6650">
        <v>581</v>
      </c>
      <c r="E6650">
        <v>0</v>
      </c>
      <c r="F6650">
        <v>246</v>
      </c>
      <c r="G6650">
        <v>0</v>
      </c>
      <c r="H6650" t="s">
        <v>11569</v>
      </c>
      <c r="I6650">
        <v>7500</v>
      </c>
      <c r="J6650" t="e">
        <f>VLOOKUP(E6650,DSSpieler!A:B,2,FALSE)</f>
        <v>#N/A</v>
      </c>
    </row>
    <row r="6651" spans="1:10" x14ac:dyDescent="0.25">
      <c r="A6651">
        <v>7501</v>
      </c>
      <c r="B6651" t="s">
        <v>531</v>
      </c>
      <c r="C6651">
        <v>569</v>
      </c>
      <c r="D6651">
        <v>548</v>
      </c>
      <c r="E6651">
        <v>0</v>
      </c>
      <c r="F6651">
        <v>208</v>
      </c>
      <c r="G6651">
        <v>0</v>
      </c>
      <c r="H6651" t="s">
        <v>11570</v>
      </c>
      <c r="I6651">
        <v>7501</v>
      </c>
      <c r="J6651" t="e">
        <f>VLOOKUP(E6651,DSSpieler!A:B,2,FALSE)</f>
        <v>#N/A</v>
      </c>
    </row>
    <row r="6652" spans="1:10" x14ac:dyDescent="0.25">
      <c r="A6652">
        <v>7502</v>
      </c>
      <c r="B6652" t="s">
        <v>33165</v>
      </c>
      <c r="C6652">
        <v>566</v>
      </c>
      <c r="D6652">
        <v>426</v>
      </c>
      <c r="E6652">
        <v>9362012</v>
      </c>
      <c r="F6652">
        <v>3638</v>
      </c>
      <c r="G6652">
        <v>0</v>
      </c>
      <c r="H6652" t="s">
        <v>11571</v>
      </c>
      <c r="I6652">
        <v>7502</v>
      </c>
      <c r="J6652" t="str">
        <f>VLOOKUP(E6652,DSSpieler!A:B,2,FALSE)</f>
        <v>-kleine-ulla-</v>
      </c>
    </row>
    <row r="6653" spans="1:10" x14ac:dyDescent="0.25">
      <c r="A6653">
        <v>7503</v>
      </c>
      <c r="B6653">
        <v>2</v>
      </c>
      <c r="C6653">
        <v>524</v>
      </c>
      <c r="D6653">
        <v>481</v>
      </c>
      <c r="E6653">
        <v>1577193798</v>
      </c>
      <c r="F6653">
        <v>2292</v>
      </c>
      <c r="G6653">
        <v>0</v>
      </c>
      <c r="H6653" t="s">
        <v>11572</v>
      </c>
      <c r="I6653">
        <v>7503</v>
      </c>
      <c r="J6653" t="str">
        <f>VLOOKUP(E6653,DSSpieler!A:B,2,FALSE)</f>
        <v>Fenerium</v>
      </c>
    </row>
    <row r="6654" spans="1:10" x14ac:dyDescent="0.25">
      <c r="A6654">
        <v>7504</v>
      </c>
      <c r="B6654" t="s">
        <v>531</v>
      </c>
      <c r="C6654">
        <v>460</v>
      </c>
      <c r="D6654">
        <v>425</v>
      </c>
      <c r="E6654">
        <v>0</v>
      </c>
      <c r="F6654">
        <v>404</v>
      </c>
      <c r="G6654">
        <v>0</v>
      </c>
      <c r="H6654" t="s">
        <v>11573</v>
      </c>
      <c r="I6654">
        <v>7504</v>
      </c>
      <c r="J6654" t="e">
        <f>VLOOKUP(E6654,DSSpieler!A:B,2,FALSE)</f>
        <v>#N/A</v>
      </c>
    </row>
    <row r="6655" spans="1:10" x14ac:dyDescent="0.25">
      <c r="A6655">
        <v>7505</v>
      </c>
      <c r="B6655" t="s">
        <v>1646</v>
      </c>
      <c r="C6655">
        <v>433</v>
      </c>
      <c r="D6655">
        <v>425</v>
      </c>
      <c r="E6655">
        <v>1577180806</v>
      </c>
      <c r="F6655">
        <v>2407</v>
      </c>
      <c r="G6655">
        <v>0</v>
      </c>
      <c r="H6655" t="s">
        <v>11574</v>
      </c>
      <c r="I6655">
        <v>7505</v>
      </c>
      <c r="J6655" t="str">
        <f>VLOOKUP(E6655,DSSpieler!A:B,2,FALSE)</f>
        <v>Jordi El Nino66</v>
      </c>
    </row>
    <row r="6656" spans="1:10" x14ac:dyDescent="0.25">
      <c r="A6656">
        <v>7506</v>
      </c>
      <c r="B6656" t="s">
        <v>30980</v>
      </c>
      <c r="C6656">
        <v>430</v>
      </c>
      <c r="D6656">
        <v>450</v>
      </c>
      <c r="E6656">
        <v>1576923004</v>
      </c>
      <c r="F6656">
        <v>4260</v>
      </c>
      <c r="G6656">
        <v>0</v>
      </c>
      <c r="H6656" t="s">
        <v>11575</v>
      </c>
      <c r="I6656">
        <v>7506</v>
      </c>
      <c r="J6656" t="str">
        <f>VLOOKUP(E6656,DSSpieler!A:B,2,FALSE)</f>
        <v>Ahaleks</v>
      </c>
    </row>
    <row r="6657" spans="1:10" x14ac:dyDescent="0.25">
      <c r="A6657">
        <v>7507</v>
      </c>
      <c r="B6657" t="s">
        <v>531</v>
      </c>
      <c r="C6657">
        <v>430</v>
      </c>
      <c r="D6657">
        <v>550</v>
      </c>
      <c r="E6657">
        <v>0</v>
      </c>
      <c r="F6657">
        <v>256</v>
      </c>
      <c r="G6657">
        <v>0</v>
      </c>
      <c r="H6657" t="s">
        <v>11576</v>
      </c>
      <c r="I6657">
        <v>7507</v>
      </c>
      <c r="J6657" t="e">
        <f>VLOOKUP(E6657,DSSpieler!A:B,2,FALSE)</f>
        <v>#N/A</v>
      </c>
    </row>
    <row r="6658" spans="1:10" x14ac:dyDescent="0.25">
      <c r="A6658">
        <v>7508</v>
      </c>
      <c r="B6658" t="s">
        <v>531</v>
      </c>
      <c r="C6658">
        <v>445</v>
      </c>
      <c r="D6658">
        <v>563</v>
      </c>
      <c r="E6658">
        <v>0</v>
      </c>
      <c r="F6658">
        <v>248</v>
      </c>
      <c r="G6658">
        <v>0</v>
      </c>
      <c r="H6658" t="s">
        <v>11577</v>
      </c>
      <c r="I6658">
        <v>7508</v>
      </c>
      <c r="J6658" t="e">
        <f>VLOOKUP(E6658,DSSpieler!A:B,2,FALSE)</f>
        <v>#N/A</v>
      </c>
    </row>
    <row r="6659" spans="1:10" x14ac:dyDescent="0.25">
      <c r="A6659">
        <v>7509</v>
      </c>
      <c r="B6659" t="s">
        <v>531</v>
      </c>
      <c r="C6659">
        <v>486</v>
      </c>
      <c r="D6659">
        <v>581</v>
      </c>
      <c r="E6659">
        <v>0</v>
      </c>
      <c r="F6659">
        <v>1098</v>
      </c>
      <c r="G6659">
        <v>0</v>
      </c>
      <c r="H6659" t="s">
        <v>11578</v>
      </c>
      <c r="I6659">
        <v>7509</v>
      </c>
      <c r="J6659" t="e">
        <f>VLOOKUP(E6659,DSSpieler!A:B,2,FALSE)</f>
        <v>#N/A</v>
      </c>
    </row>
    <row r="6660" spans="1:10" x14ac:dyDescent="0.25">
      <c r="A6660">
        <v>7511</v>
      </c>
      <c r="B6660" t="s">
        <v>531</v>
      </c>
      <c r="C6660">
        <v>579</v>
      </c>
      <c r="D6660">
        <v>476</v>
      </c>
      <c r="E6660">
        <v>0</v>
      </c>
      <c r="F6660">
        <v>304</v>
      </c>
      <c r="G6660">
        <v>0</v>
      </c>
      <c r="H6660" t="s">
        <v>11579</v>
      </c>
      <c r="I6660">
        <v>7511</v>
      </c>
      <c r="J6660" t="e">
        <f>VLOOKUP(E6660,DSSpieler!A:B,2,FALSE)</f>
        <v>#N/A</v>
      </c>
    </row>
    <row r="6661" spans="1:10" x14ac:dyDescent="0.25">
      <c r="A6661">
        <v>7512</v>
      </c>
      <c r="B6661" t="s">
        <v>531</v>
      </c>
      <c r="C6661">
        <v>420</v>
      </c>
      <c r="D6661">
        <v>479</v>
      </c>
      <c r="E6661">
        <v>9050389</v>
      </c>
      <c r="F6661">
        <v>2369</v>
      </c>
      <c r="G6661">
        <v>0</v>
      </c>
      <c r="H6661" t="s">
        <v>11580</v>
      </c>
      <c r="I6661">
        <v>7512</v>
      </c>
      <c r="J6661" t="str">
        <f>VLOOKUP(E6661,DSSpieler!A:B,2,FALSE)</f>
        <v>easywin</v>
      </c>
    </row>
    <row r="6662" spans="1:10" x14ac:dyDescent="0.25">
      <c r="A6662">
        <v>7513</v>
      </c>
      <c r="B6662" t="s">
        <v>1647</v>
      </c>
      <c r="C6662">
        <v>489</v>
      </c>
      <c r="D6662">
        <v>416</v>
      </c>
      <c r="E6662">
        <v>9435943</v>
      </c>
      <c r="F6662">
        <v>829</v>
      </c>
      <c r="G6662">
        <v>0</v>
      </c>
      <c r="H6662" t="s">
        <v>11581</v>
      </c>
      <c r="I6662">
        <v>7513</v>
      </c>
      <c r="J6662" t="str">
        <f>VLOOKUP(E6662,DSSpieler!A:B,2,FALSE)</f>
        <v>Turmwacht</v>
      </c>
    </row>
    <row r="6663" spans="1:10" x14ac:dyDescent="0.25">
      <c r="A6663">
        <v>7514</v>
      </c>
      <c r="B6663" t="s">
        <v>531</v>
      </c>
      <c r="C6663">
        <v>419</v>
      </c>
      <c r="D6663">
        <v>523</v>
      </c>
      <c r="E6663">
        <v>0</v>
      </c>
      <c r="F6663">
        <v>312</v>
      </c>
      <c r="G6663">
        <v>0</v>
      </c>
      <c r="H6663" t="s">
        <v>11582</v>
      </c>
      <c r="I6663">
        <v>7514</v>
      </c>
      <c r="J6663" t="e">
        <f>VLOOKUP(E6663,DSSpieler!A:B,2,FALSE)</f>
        <v>#N/A</v>
      </c>
    </row>
    <row r="6664" spans="1:10" x14ac:dyDescent="0.25">
      <c r="A6664">
        <v>7515</v>
      </c>
      <c r="B6664" t="s">
        <v>33166</v>
      </c>
      <c r="C6664">
        <v>417</v>
      </c>
      <c r="D6664">
        <v>441</v>
      </c>
      <c r="E6664">
        <v>1577188135</v>
      </c>
      <c r="F6664">
        <v>5286</v>
      </c>
      <c r="G6664">
        <v>0</v>
      </c>
      <c r="H6664" t="s">
        <v>11583</v>
      </c>
      <c r="I6664">
        <v>7515</v>
      </c>
      <c r="J6664" t="str">
        <f>VLOOKUP(E6664,DSSpieler!A:B,2,FALSE)</f>
        <v>s1m199</v>
      </c>
    </row>
    <row r="6665" spans="1:10" x14ac:dyDescent="0.25">
      <c r="A6665">
        <v>7516</v>
      </c>
      <c r="B6665" t="s">
        <v>531</v>
      </c>
      <c r="C6665">
        <v>453</v>
      </c>
      <c r="D6665">
        <v>432</v>
      </c>
      <c r="E6665">
        <v>0</v>
      </c>
      <c r="F6665">
        <v>1117</v>
      </c>
      <c r="G6665">
        <v>0</v>
      </c>
      <c r="H6665" t="s">
        <v>11584</v>
      </c>
      <c r="I6665">
        <v>7516</v>
      </c>
      <c r="J6665" t="e">
        <f>VLOOKUP(E6665,DSSpieler!A:B,2,FALSE)</f>
        <v>#N/A</v>
      </c>
    </row>
    <row r="6666" spans="1:10" x14ac:dyDescent="0.25">
      <c r="A6666">
        <v>7517</v>
      </c>
      <c r="B6666" t="s">
        <v>531</v>
      </c>
      <c r="C6666">
        <v>575</v>
      </c>
      <c r="D6666">
        <v>458</v>
      </c>
      <c r="E6666">
        <v>0</v>
      </c>
      <c r="F6666">
        <v>78</v>
      </c>
      <c r="G6666">
        <v>0</v>
      </c>
      <c r="H6666" t="s">
        <v>11585</v>
      </c>
      <c r="I6666">
        <v>7517</v>
      </c>
      <c r="J6666" t="e">
        <f>VLOOKUP(E6666,DSSpieler!A:B,2,FALSE)</f>
        <v>#N/A</v>
      </c>
    </row>
    <row r="6667" spans="1:10" x14ac:dyDescent="0.25">
      <c r="A6667">
        <v>7518</v>
      </c>
      <c r="B6667" t="s">
        <v>531</v>
      </c>
      <c r="C6667">
        <v>455</v>
      </c>
      <c r="D6667">
        <v>431</v>
      </c>
      <c r="E6667">
        <v>0</v>
      </c>
      <c r="F6667">
        <v>273</v>
      </c>
      <c r="G6667">
        <v>0</v>
      </c>
      <c r="H6667" t="s">
        <v>11586</v>
      </c>
      <c r="I6667">
        <v>7518</v>
      </c>
      <c r="J6667" t="e">
        <f>VLOOKUP(E6667,DSSpieler!A:B,2,FALSE)</f>
        <v>#N/A</v>
      </c>
    </row>
    <row r="6668" spans="1:10" x14ac:dyDescent="0.25">
      <c r="A6668">
        <v>7519</v>
      </c>
      <c r="B6668" t="s">
        <v>33167</v>
      </c>
      <c r="C6668">
        <v>428</v>
      </c>
      <c r="D6668">
        <v>457</v>
      </c>
      <c r="E6668">
        <v>9512975</v>
      </c>
      <c r="F6668">
        <v>26</v>
      </c>
      <c r="G6668">
        <v>0</v>
      </c>
      <c r="H6668" t="s">
        <v>11587</v>
      </c>
      <c r="I6668">
        <v>7519</v>
      </c>
      <c r="J6668" t="str">
        <f>VLOOKUP(E6668,DSSpieler!A:B,2,FALSE)</f>
        <v>Wander16</v>
      </c>
    </row>
    <row r="6669" spans="1:10" x14ac:dyDescent="0.25">
      <c r="A6669">
        <v>7520</v>
      </c>
      <c r="B6669" t="s">
        <v>33168</v>
      </c>
      <c r="C6669">
        <v>515</v>
      </c>
      <c r="D6669">
        <v>584</v>
      </c>
      <c r="E6669">
        <v>1576962684</v>
      </c>
      <c r="F6669">
        <v>3227</v>
      </c>
      <c r="G6669">
        <v>0</v>
      </c>
      <c r="H6669" t="s">
        <v>11588</v>
      </c>
      <c r="I6669">
        <v>7520</v>
      </c>
      <c r="J6669" t="str">
        <f>VLOOKUP(E6669,DSSpieler!A:B,2,FALSE)</f>
        <v>nukeex</v>
      </c>
    </row>
    <row r="6670" spans="1:10" x14ac:dyDescent="0.25">
      <c r="A6670">
        <v>7521</v>
      </c>
      <c r="B6670" t="s">
        <v>33169</v>
      </c>
      <c r="C6670">
        <v>549</v>
      </c>
      <c r="D6670">
        <v>570</v>
      </c>
      <c r="E6670">
        <v>9519677</v>
      </c>
      <c r="F6670">
        <v>181</v>
      </c>
      <c r="G6670">
        <v>0</v>
      </c>
      <c r="H6670" t="s">
        <v>11589</v>
      </c>
      <c r="I6670">
        <v>7521</v>
      </c>
      <c r="J6670" t="str">
        <f>VLOOKUP(E6670,DSSpieler!A:B,2,FALSE)</f>
        <v>zimmerer20</v>
      </c>
    </row>
    <row r="6671" spans="1:10" x14ac:dyDescent="0.25">
      <c r="A6671">
        <v>7522</v>
      </c>
      <c r="B6671" t="s">
        <v>531</v>
      </c>
      <c r="C6671">
        <v>534</v>
      </c>
      <c r="D6671">
        <v>403</v>
      </c>
      <c r="E6671">
        <v>0</v>
      </c>
      <c r="F6671">
        <v>249</v>
      </c>
      <c r="G6671">
        <v>0</v>
      </c>
      <c r="H6671" t="s">
        <v>11590</v>
      </c>
      <c r="I6671">
        <v>7522</v>
      </c>
      <c r="J6671" t="e">
        <f>VLOOKUP(E6671,DSSpieler!A:B,2,FALSE)</f>
        <v>#N/A</v>
      </c>
    </row>
    <row r="6672" spans="1:10" x14ac:dyDescent="0.25">
      <c r="A6672">
        <v>7523</v>
      </c>
      <c r="B6672" t="s">
        <v>33170</v>
      </c>
      <c r="C6672">
        <v>581</v>
      </c>
      <c r="D6672">
        <v>488</v>
      </c>
      <c r="E6672">
        <v>1576888271</v>
      </c>
      <c r="F6672">
        <v>6478</v>
      </c>
      <c r="G6672">
        <v>0</v>
      </c>
      <c r="H6672" t="s">
        <v>11591</v>
      </c>
      <c r="I6672">
        <v>7523</v>
      </c>
      <c r="J6672" t="str">
        <f>VLOOKUP(E6672,DSSpieler!A:B,2,FALSE)</f>
        <v>ExiiL</v>
      </c>
    </row>
    <row r="6673" spans="1:10" x14ac:dyDescent="0.25">
      <c r="A6673">
        <v>7524</v>
      </c>
      <c r="B6673" t="s">
        <v>531</v>
      </c>
      <c r="C6673">
        <v>421</v>
      </c>
      <c r="D6673">
        <v>466</v>
      </c>
      <c r="E6673">
        <v>0</v>
      </c>
      <c r="F6673">
        <v>418</v>
      </c>
      <c r="G6673">
        <v>0</v>
      </c>
      <c r="H6673" t="s">
        <v>11592</v>
      </c>
      <c r="I6673">
        <v>7524</v>
      </c>
      <c r="J6673" t="e">
        <f>VLOOKUP(E6673,DSSpieler!A:B,2,FALSE)</f>
        <v>#N/A</v>
      </c>
    </row>
    <row r="6674" spans="1:10" x14ac:dyDescent="0.25">
      <c r="A6674">
        <v>7525</v>
      </c>
      <c r="B6674" t="s">
        <v>531</v>
      </c>
      <c r="C6674">
        <v>458</v>
      </c>
      <c r="D6674">
        <v>426</v>
      </c>
      <c r="E6674">
        <v>0</v>
      </c>
      <c r="F6674">
        <v>222</v>
      </c>
      <c r="G6674">
        <v>0</v>
      </c>
      <c r="H6674" t="s">
        <v>11593</v>
      </c>
      <c r="I6674">
        <v>7525</v>
      </c>
      <c r="J6674" t="e">
        <f>VLOOKUP(E6674,DSSpieler!A:B,2,FALSE)</f>
        <v>#N/A</v>
      </c>
    </row>
    <row r="6675" spans="1:10" x14ac:dyDescent="0.25">
      <c r="A6675">
        <v>7526</v>
      </c>
      <c r="B6675" t="s">
        <v>531</v>
      </c>
      <c r="C6675">
        <v>558</v>
      </c>
      <c r="D6675">
        <v>440</v>
      </c>
      <c r="E6675">
        <v>0</v>
      </c>
      <c r="F6675">
        <v>288</v>
      </c>
      <c r="G6675">
        <v>0</v>
      </c>
      <c r="H6675" t="s">
        <v>11594</v>
      </c>
      <c r="I6675">
        <v>7526</v>
      </c>
      <c r="J6675" t="e">
        <f>VLOOKUP(E6675,DSSpieler!A:B,2,FALSE)</f>
        <v>#N/A</v>
      </c>
    </row>
    <row r="6676" spans="1:10" x14ac:dyDescent="0.25">
      <c r="A6676">
        <v>7527</v>
      </c>
      <c r="B6676" t="s">
        <v>33171</v>
      </c>
      <c r="C6676">
        <v>420</v>
      </c>
      <c r="D6676">
        <v>528</v>
      </c>
      <c r="E6676">
        <v>1577180543</v>
      </c>
      <c r="F6676">
        <v>1537</v>
      </c>
      <c r="G6676">
        <v>0</v>
      </c>
      <c r="H6676" t="s">
        <v>11595</v>
      </c>
      <c r="I6676">
        <v>7527</v>
      </c>
      <c r="J6676" t="str">
        <f>VLOOKUP(E6676,DSSpieler!A:B,2,FALSE)</f>
        <v>Stay at Home</v>
      </c>
    </row>
    <row r="6677" spans="1:10" x14ac:dyDescent="0.25">
      <c r="A6677">
        <v>7528</v>
      </c>
      <c r="B6677">
        <v>-2</v>
      </c>
      <c r="C6677">
        <v>456</v>
      </c>
      <c r="D6677">
        <v>558</v>
      </c>
      <c r="E6677">
        <v>1577185886</v>
      </c>
      <c r="F6677">
        <v>6765</v>
      </c>
      <c r="G6677">
        <v>0</v>
      </c>
      <c r="H6677" t="s">
        <v>11596</v>
      </c>
      <c r="I6677">
        <v>7528</v>
      </c>
      <c r="J6677" t="str">
        <f>VLOOKUP(E6677,DSSpieler!A:B,2,FALSE)</f>
        <v>1Talent</v>
      </c>
    </row>
    <row r="6678" spans="1:10" x14ac:dyDescent="0.25">
      <c r="A6678">
        <v>7529</v>
      </c>
      <c r="B6678" t="s">
        <v>1648</v>
      </c>
      <c r="C6678">
        <v>498</v>
      </c>
      <c r="D6678">
        <v>600</v>
      </c>
      <c r="E6678">
        <v>9563580</v>
      </c>
      <c r="F6678">
        <v>4565</v>
      </c>
      <c r="G6678">
        <v>0</v>
      </c>
      <c r="H6678" t="s">
        <v>11597</v>
      </c>
      <c r="I6678">
        <v>7529</v>
      </c>
      <c r="J6678" t="str">
        <f>VLOOKUP(E6678,DSSpieler!A:B,2,FALSE)</f>
        <v>-Leito-</v>
      </c>
    </row>
    <row r="6679" spans="1:10" x14ac:dyDescent="0.25">
      <c r="A6679">
        <v>7530</v>
      </c>
      <c r="B6679" t="s">
        <v>1649</v>
      </c>
      <c r="C6679">
        <v>432</v>
      </c>
      <c r="D6679">
        <v>548</v>
      </c>
      <c r="E6679">
        <v>1577129612</v>
      </c>
      <c r="F6679">
        <v>5868</v>
      </c>
      <c r="G6679">
        <v>0</v>
      </c>
      <c r="H6679" t="s">
        <v>11598</v>
      </c>
      <c r="I6679">
        <v>7530</v>
      </c>
      <c r="J6679" t="str">
        <f>VLOOKUP(E6679,DSSpieler!A:B,2,FALSE)</f>
        <v>Mqce</v>
      </c>
    </row>
    <row r="6680" spans="1:10" x14ac:dyDescent="0.25">
      <c r="A6680">
        <v>7532</v>
      </c>
      <c r="B6680" t="s">
        <v>33172</v>
      </c>
      <c r="C6680">
        <v>583</v>
      </c>
      <c r="D6680">
        <v>511</v>
      </c>
      <c r="E6680">
        <v>1577197931</v>
      </c>
      <c r="F6680">
        <v>2710</v>
      </c>
      <c r="G6680">
        <v>0</v>
      </c>
      <c r="H6680" t="s">
        <v>11599</v>
      </c>
      <c r="I6680">
        <v>7532</v>
      </c>
      <c r="J6680" t="str">
        <f>VLOOKUP(E6680,DSSpieler!A:B,2,FALSE)</f>
        <v>D3nGeR0uZ</v>
      </c>
    </row>
    <row r="6681" spans="1:10" x14ac:dyDescent="0.25">
      <c r="A6681">
        <v>7533</v>
      </c>
      <c r="B6681" t="s">
        <v>531</v>
      </c>
      <c r="C6681">
        <v>497</v>
      </c>
      <c r="D6681">
        <v>585</v>
      </c>
      <c r="E6681">
        <v>0</v>
      </c>
      <c r="F6681">
        <v>389</v>
      </c>
      <c r="G6681">
        <v>0</v>
      </c>
      <c r="H6681" t="s">
        <v>11600</v>
      </c>
      <c r="I6681">
        <v>7533</v>
      </c>
      <c r="J6681" t="e">
        <f>VLOOKUP(E6681,DSSpieler!A:B,2,FALSE)</f>
        <v>#N/A</v>
      </c>
    </row>
    <row r="6682" spans="1:10" x14ac:dyDescent="0.25">
      <c r="A6682">
        <v>7534</v>
      </c>
      <c r="B6682" t="s">
        <v>780</v>
      </c>
      <c r="C6682">
        <v>581</v>
      </c>
      <c r="D6682">
        <v>518</v>
      </c>
      <c r="E6682">
        <v>9763267</v>
      </c>
      <c r="F6682">
        <v>3134</v>
      </c>
      <c r="G6682">
        <v>0</v>
      </c>
      <c r="H6682" t="s">
        <v>11601</v>
      </c>
      <c r="I6682">
        <v>7534</v>
      </c>
      <c r="J6682" t="str">
        <f>VLOOKUP(E6682,DSSpieler!A:B,2,FALSE)</f>
        <v>hagenxd</v>
      </c>
    </row>
    <row r="6683" spans="1:10" x14ac:dyDescent="0.25">
      <c r="A6683">
        <v>7535</v>
      </c>
      <c r="B6683" t="s">
        <v>33173</v>
      </c>
      <c r="C6683">
        <v>465</v>
      </c>
      <c r="D6683">
        <v>594</v>
      </c>
      <c r="E6683">
        <v>1577181431</v>
      </c>
      <c r="F6683">
        <v>5169</v>
      </c>
      <c r="G6683">
        <v>0</v>
      </c>
      <c r="H6683" t="s">
        <v>11602</v>
      </c>
      <c r="I6683">
        <v>7535</v>
      </c>
      <c r="J6683" t="str">
        <f>VLOOKUP(E6683,DSSpieler!A:B,2,FALSE)</f>
        <v>XYJYX</v>
      </c>
    </row>
    <row r="6684" spans="1:10" x14ac:dyDescent="0.25">
      <c r="A6684">
        <v>7536</v>
      </c>
      <c r="B6684" t="s">
        <v>33174</v>
      </c>
      <c r="C6684">
        <v>498</v>
      </c>
      <c r="D6684">
        <v>417</v>
      </c>
      <c r="E6684">
        <v>9573659</v>
      </c>
      <c r="F6684">
        <v>6391</v>
      </c>
      <c r="G6684">
        <v>0</v>
      </c>
      <c r="H6684" t="s">
        <v>11603</v>
      </c>
      <c r="I6684">
        <v>7536</v>
      </c>
      <c r="J6684" t="str">
        <f>VLOOKUP(E6684,DSSpieler!A:B,2,FALSE)</f>
        <v>iW0X</v>
      </c>
    </row>
    <row r="6685" spans="1:10" x14ac:dyDescent="0.25">
      <c r="A6685">
        <v>7537</v>
      </c>
      <c r="B6685" t="s">
        <v>33175</v>
      </c>
      <c r="C6685">
        <v>415</v>
      </c>
      <c r="D6685">
        <v>492</v>
      </c>
      <c r="E6685">
        <v>1576510718</v>
      </c>
      <c r="F6685">
        <v>7018</v>
      </c>
      <c r="G6685">
        <v>0</v>
      </c>
      <c r="H6685" t="s">
        <v>11604</v>
      </c>
      <c r="I6685">
        <v>7537</v>
      </c>
      <c r="J6685" t="str">
        <f>VLOOKUP(E6685,DSSpieler!A:B,2,FALSE)</f>
        <v>OnlyHD</v>
      </c>
    </row>
    <row r="6686" spans="1:10" x14ac:dyDescent="0.25">
      <c r="A6686">
        <v>7539</v>
      </c>
      <c r="B6686" t="s">
        <v>531</v>
      </c>
      <c r="C6686">
        <v>432</v>
      </c>
      <c r="D6686">
        <v>552</v>
      </c>
      <c r="E6686">
        <v>0</v>
      </c>
      <c r="F6686">
        <v>387</v>
      </c>
      <c r="G6686">
        <v>0</v>
      </c>
      <c r="H6686" t="s">
        <v>11605</v>
      </c>
      <c r="I6686">
        <v>7539</v>
      </c>
      <c r="J6686" t="e">
        <f>VLOOKUP(E6686,DSSpieler!A:B,2,FALSE)</f>
        <v>#N/A</v>
      </c>
    </row>
    <row r="6687" spans="1:10" x14ac:dyDescent="0.25">
      <c r="A6687">
        <v>7540</v>
      </c>
      <c r="B6687" t="s">
        <v>33176</v>
      </c>
      <c r="C6687">
        <v>416</v>
      </c>
      <c r="D6687">
        <v>458</v>
      </c>
      <c r="E6687">
        <v>1576220948</v>
      </c>
      <c r="F6687">
        <v>5753</v>
      </c>
      <c r="G6687">
        <v>0</v>
      </c>
      <c r="H6687" t="s">
        <v>11606</v>
      </c>
      <c r="I6687">
        <v>7540</v>
      </c>
      <c r="J6687" t="str">
        <f>VLOOKUP(E6687,DSSpieler!A:B,2,FALSE)</f>
        <v>BoostedBonobos</v>
      </c>
    </row>
    <row r="6688" spans="1:10" x14ac:dyDescent="0.25">
      <c r="A6688">
        <v>7541</v>
      </c>
      <c r="B6688" t="s">
        <v>531</v>
      </c>
      <c r="C6688">
        <v>556</v>
      </c>
      <c r="D6688">
        <v>436</v>
      </c>
      <c r="E6688">
        <v>0</v>
      </c>
      <c r="F6688">
        <v>277</v>
      </c>
      <c r="G6688">
        <v>0</v>
      </c>
      <c r="H6688" t="s">
        <v>11607</v>
      </c>
      <c r="I6688">
        <v>7541</v>
      </c>
      <c r="J6688" t="e">
        <f>VLOOKUP(E6688,DSSpieler!A:B,2,FALSE)</f>
        <v>#N/A</v>
      </c>
    </row>
    <row r="6689" spans="1:10" x14ac:dyDescent="0.25">
      <c r="A6689">
        <v>7542</v>
      </c>
      <c r="B6689" t="s">
        <v>32307</v>
      </c>
      <c r="C6689">
        <v>560</v>
      </c>
      <c r="D6689">
        <v>455</v>
      </c>
      <c r="E6689">
        <v>9596701</v>
      </c>
      <c r="F6689">
        <v>4073</v>
      </c>
      <c r="G6689">
        <v>0</v>
      </c>
      <c r="H6689" t="s">
        <v>11608</v>
      </c>
      <c r="I6689">
        <v>7542</v>
      </c>
      <c r="J6689" t="str">
        <f>VLOOKUP(E6689,DSSpieler!A:B,2,FALSE)</f>
        <v>K3ZU</v>
      </c>
    </row>
    <row r="6690" spans="1:10" x14ac:dyDescent="0.25">
      <c r="A6690">
        <v>7543</v>
      </c>
      <c r="B6690" t="s">
        <v>531</v>
      </c>
      <c r="C6690">
        <v>539</v>
      </c>
      <c r="D6690">
        <v>426</v>
      </c>
      <c r="E6690">
        <v>0</v>
      </c>
      <c r="F6690">
        <v>260</v>
      </c>
      <c r="G6690">
        <v>0</v>
      </c>
      <c r="H6690" t="s">
        <v>11609</v>
      </c>
      <c r="I6690">
        <v>7543</v>
      </c>
      <c r="J6690" t="e">
        <f>VLOOKUP(E6690,DSSpieler!A:B,2,FALSE)</f>
        <v>#N/A</v>
      </c>
    </row>
    <row r="6691" spans="1:10" x14ac:dyDescent="0.25">
      <c r="A6691">
        <v>7544</v>
      </c>
      <c r="B6691" t="s">
        <v>531</v>
      </c>
      <c r="C6691">
        <v>458</v>
      </c>
      <c r="D6691">
        <v>574</v>
      </c>
      <c r="E6691">
        <v>0</v>
      </c>
      <c r="F6691">
        <v>263</v>
      </c>
      <c r="G6691">
        <v>0</v>
      </c>
      <c r="H6691" t="s">
        <v>11610</v>
      </c>
      <c r="I6691">
        <v>7544</v>
      </c>
      <c r="J6691" t="e">
        <f>VLOOKUP(E6691,DSSpieler!A:B,2,FALSE)</f>
        <v>#N/A</v>
      </c>
    </row>
    <row r="6692" spans="1:10" x14ac:dyDescent="0.25">
      <c r="A6692">
        <v>7545</v>
      </c>
      <c r="B6692" t="s">
        <v>531</v>
      </c>
      <c r="C6692">
        <v>423</v>
      </c>
      <c r="D6692">
        <v>531</v>
      </c>
      <c r="E6692">
        <v>0</v>
      </c>
      <c r="F6692">
        <v>161</v>
      </c>
      <c r="G6692">
        <v>0</v>
      </c>
      <c r="H6692" t="s">
        <v>11611</v>
      </c>
      <c r="I6692">
        <v>7545</v>
      </c>
      <c r="J6692" t="e">
        <f>VLOOKUP(E6692,DSSpieler!A:B,2,FALSE)</f>
        <v>#N/A</v>
      </c>
    </row>
    <row r="6693" spans="1:10" x14ac:dyDescent="0.25">
      <c r="A6693">
        <v>7546</v>
      </c>
      <c r="B6693" t="s">
        <v>33177</v>
      </c>
      <c r="C6693">
        <v>560</v>
      </c>
      <c r="D6693">
        <v>560</v>
      </c>
      <c r="E6693">
        <v>9621124</v>
      </c>
      <c r="F6693">
        <v>677</v>
      </c>
      <c r="G6693">
        <v>0</v>
      </c>
      <c r="H6693" t="s">
        <v>11612</v>
      </c>
      <c r="I6693">
        <v>7546</v>
      </c>
      <c r="J6693" t="str">
        <f>VLOOKUP(E6693,DSSpieler!A:B,2,FALSE)</f>
        <v>blacky564</v>
      </c>
    </row>
    <row r="6694" spans="1:10" x14ac:dyDescent="0.25">
      <c r="A6694">
        <v>7548</v>
      </c>
      <c r="B6694" t="s">
        <v>531</v>
      </c>
      <c r="C6694">
        <v>470</v>
      </c>
      <c r="D6694">
        <v>576</v>
      </c>
      <c r="E6694">
        <v>0</v>
      </c>
      <c r="F6694">
        <v>382</v>
      </c>
      <c r="G6694">
        <v>0</v>
      </c>
      <c r="H6694" t="s">
        <v>11613</v>
      </c>
      <c r="I6694">
        <v>7548</v>
      </c>
      <c r="J6694" t="e">
        <f>VLOOKUP(E6694,DSSpieler!A:B,2,FALSE)</f>
        <v>#N/A</v>
      </c>
    </row>
    <row r="6695" spans="1:10" x14ac:dyDescent="0.25">
      <c r="A6695">
        <v>7549</v>
      </c>
      <c r="B6695" t="s">
        <v>33178</v>
      </c>
      <c r="C6695">
        <v>555</v>
      </c>
      <c r="D6695">
        <v>564</v>
      </c>
      <c r="E6695">
        <v>9659252</v>
      </c>
      <c r="F6695">
        <v>957</v>
      </c>
      <c r="G6695">
        <v>0</v>
      </c>
      <c r="H6695" t="s">
        <v>11614</v>
      </c>
      <c r="I6695">
        <v>7549</v>
      </c>
      <c r="J6695" t="str">
        <f>VLOOKUP(E6695,DSSpieler!A:B,2,FALSE)</f>
        <v>DarkWoman15</v>
      </c>
    </row>
    <row r="6696" spans="1:10" x14ac:dyDescent="0.25">
      <c r="A6696">
        <v>7550</v>
      </c>
      <c r="B6696" t="s">
        <v>531</v>
      </c>
      <c r="C6696">
        <v>580</v>
      </c>
      <c r="D6696">
        <v>479</v>
      </c>
      <c r="E6696">
        <v>0</v>
      </c>
      <c r="F6696">
        <v>654</v>
      </c>
      <c r="G6696">
        <v>0</v>
      </c>
      <c r="H6696" t="s">
        <v>11615</v>
      </c>
      <c r="I6696">
        <v>7550</v>
      </c>
      <c r="J6696" t="e">
        <f>VLOOKUP(E6696,DSSpieler!A:B,2,FALSE)</f>
        <v>#N/A</v>
      </c>
    </row>
    <row r="6697" spans="1:10" x14ac:dyDescent="0.25">
      <c r="A6697">
        <v>7551</v>
      </c>
      <c r="B6697" t="s">
        <v>531</v>
      </c>
      <c r="C6697">
        <v>479</v>
      </c>
      <c r="D6697">
        <v>582</v>
      </c>
      <c r="E6697">
        <v>0</v>
      </c>
      <c r="F6697">
        <v>1086</v>
      </c>
      <c r="G6697">
        <v>0</v>
      </c>
      <c r="H6697" t="s">
        <v>11616</v>
      </c>
      <c r="I6697">
        <v>7551</v>
      </c>
      <c r="J6697" t="e">
        <f>VLOOKUP(E6697,DSSpieler!A:B,2,FALSE)</f>
        <v>#N/A</v>
      </c>
    </row>
    <row r="6698" spans="1:10" x14ac:dyDescent="0.25">
      <c r="A6698">
        <v>7552</v>
      </c>
      <c r="B6698" t="s">
        <v>531</v>
      </c>
      <c r="C6698">
        <v>460</v>
      </c>
      <c r="D6698">
        <v>576</v>
      </c>
      <c r="E6698">
        <v>0</v>
      </c>
      <c r="F6698">
        <v>666</v>
      </c>
      <c r="G6698">
        <v>0</v>
      </c>
      <c r="H6698" t="s">
        <v>11617</v>
      </c>
      <c r="I6698">
        <v>7552</v>
      </c>
      <c r="J6698" t="e">
        <f>VLOOKUP(E6698,DSSpieler!A:B,2,FALSE)</f>
        <v>#N/A</v>
      </c>
    </row>
    <row r="6699" spans="1:10" x14ac:dyDescent="0.25">
      <c r="A6699">
        <v>7554</v>
      </c>
      <c r="B6699" t="s">
        <v>531</v>
      </c>
      <c r="C6699">
        <v>518</v>
      </c>
      <c r="D6699">
        <v>417</v>
      </c>
      <c r="E6699">
        <v>0</v>
      </c>
      <c r="F6699">
        <v>921</v>
      </c>
      <c r="G6699">
        <v>0</v>
      </c>
      <c r="H6699" t="s">
        <v>11618</v>
      </c>
      <c r="I6699">
        <v>7554</v>
      </c>
      <c r="J6699" t="e">
        <f>VLOOKUP(E6699,DSSpieler!A:B,2,FALSE)</f>
        <v>#N/A</v>
      </c>
    </row>
    <row r="6700" spans="1:10" x14ac:dyDescent="0.25">
      <c r="A6700">
        <v>7555</v>
      </c>
      <c r="B6700" t="s">
        <v>531</v>
      </c>
      <c r="C6700">
        <v>443</v>
      </c>
      <c r="D6700">
        <v>436</v>
      </c>
      <c r="E6700">
        <v>0</v>
      </c>
      <c r="F6700">
        <v>369</v>
      </c>
      <c r="G6700">
        <v>0</v>
      </c>
      <c r="H6700" t="s">
        <v>11619</v>
      </c>
      <c r="I6700">
        <v>7555</v>
      </c>
      <c r="J6700" t="e">
        <f>VLOOKUP(E6700,DSSpieler!A:B,2,FALSE)</f>
        <v>#N/A</v>
      </c>
    </row>
    <row r="6701" spans="1:10" x14ac:dyDescent="0.25">
      <c r="A6701">
        <v>7556</v>
      </c>
      <c r="B6701" t="s">
        <v>531</v>
      </c>
      <c r="C6701">
        <v>536</v>
      </c>
      <c r="D6701">
        <v>422</v>
      </c>
      <c r="E6701">
        <v>0</v>
      </c>
      <c r="F6701">
        <v>217</v>
      </c>
      <c r="G6701">
        <v>0</v>
      </c>
      <c r="H6701" t="s">
        <v>11620</v>
      </c>
      <c r="I6701">
        <v>7556</v>
      </c>
      <c r="J6701" t="e">
        <f>VLOOKUP(E6701,DSSpieler!A:B,2,FALSE)</f>
        <v>#N/A</v>
      </c>
    </row>
    <row r="6702" spans="1:10" x14ac:dyDescent="0.25">
      <c r="A6702">
        <v>7557</v>
      </c>
      <c r="B6702" t="s">
        <v>33179</v>
      </c>
      <c r="C6702">
        <v>428</v>
      </c>
      <c r="D6702">
        <v>459</v>
      </c>
      <c r="E6702">
        <v>9720376</v>
      </c>
      <c r="F6702">
        <v>188</v>
      </c>
      <c r="G6702">
        <v>0</v>
      </c>
      <c r="H6702" t="s">
        <v>11621</v>
      </c>
      <c r="I6702">
        <v>7557</v>
      </c>
      <c r="J6702" t="str">
        <f>VLOOKUP(E6702,DSSpieler!A:B,2,FALSE)</f>
        <v>AWolf33</v>
      </c>
    </row>
    <row r="6703" spans="1:10" x14ac:dyDescent="0.25">
      <c r="A6703">
        <v>7559</v>
      </c>
      <c r="B6703" t="s">
        <v>531</v>
      </c>
      <c r="C6703">
        <v>556</v>
      </c>
      <c r="D6703">
        <v>437</v>
      </c>
      <c r="E6703">
        <v>0</v>
      </c>
      <c r="F6703">
        <v>113</v>
      </c>
      <c r="G6703">
        <v>0</v>
      </c>
      <c r="H6703" t="s">
        <v>11622</v>
      </c>
      <c r="I6703">
        <v>7559</v>
      </c>
      <c r="J6703" t="e">
        <f>VLOOKUP(E6703,DSSpieler!A:B,2,FALSE)</f>
        <v>#N/A</v>
      </c>
    </row>
    <row r="6704" spans="1:10" x14ac:dyDescent="0.25">
      <c r="A6704">
        <v>7560</v>
      </c>
      <c r="B6704" t="s">
        <v>531</v>
      </c>
      <c r="C6704">
        <v>554</v>
      </c>
      <c r="D6704">
        <v>566</v>
      </c>
      <c r="E6704">
        <v>0</v>
      </c>
      <c r="F6704">
        <v>188</v>
      </c>
      <c r="G6704">
        <v>0</v>
      </c>
      <c r="H6704" t="s">
        <v>11623</v>
      </c>
      <c r="I6704">
        <v>7560</v>
      </c>
      <c r="J6704" t="e">
        <f>VLOOKUP(E6704,DSSpieler!A:B,2,FALSE)</f>
        <v>#N/A</v>
      </c>
    </row>
    <row r="6705" spans="1:10" x14ac:dyDescent="0.25">
      <c r="A6705">
        <v>7561</v>
      </c>
      <c r="B6705" t="s">
        <v>780</v>
      </c>
      <c r="C6705">
        <v>584</v>
      </c>
      <c r="D6705">
        <v>514</v>
      </c>
      <c r="E6705">
        <v>9763267</v>
      </c>
      <c r="F6705">
        <v>8252</v>
      </c>
      <c r="G6705">
        <v>0</v>
      </c>
      <c r="H6705" t="s">
        <v>11624</v>
      </c>
      <c r="I6705">
        <v>7561</v>
      </c>
      <c r="J6705" t="str">
        <f>VLOOKUP(E6705,DSSpieler!A:B,2,FALSE)</f>
        <v>hagenxd</v>
      </c>
    </row>
    <row r="6706" spans="1:10" x14ac:dyDescent="0.25">
      <c r="A6706">
        <v>7562</v>
      </c>
      <c r="B6706" t="s">
        <v>531</v>
      </c>
      <c r="C6706">
        <v>460</v>
      </c>
      <c r="D6706">
        <v>575</v>
      </c>
      <c r="E6706">
        <v>0</v>
      </c>
      <c r="F6706">
        <v>274</v>
      </c>
      <c r="G6706">
        <v>0</v>
      </c>
      <c r="H6706" t="s">
        <v>11625</v>
      </c>
      <c r="I6706">
        <v>7562</v>
      </c>
      <c r="J6706" t="e">
        <f>VLOOKUP(E6706,DSSpieler!A:B,2,FALSE)</f>
        <v>#N/A</v>
      </c>
    </row>
    <row r="6707" spans="1:10" x14ac:dyDescent="0.25">
      <c r="A6707">
        <v>7563</v>
      </c>
      <c r="B6707" t="s">
        <v>780</v>
      </c>
      <c r="C6707">
        <v>585</v>
      </c>
      <c r="D6707">
        <v>513</v>
      </c>
      <c r="E6707">
        <v>9763267</v>
      </c>
      <c r="F6707">
        <v>1870</v>
      </c>
      <c r="G6707">
        <v>0</v>
      </c>
      <c r="H6707" t="s">
        <v>11626</v>
      </c>
      <c r="I6707">
        <v>7563</v>
      </c>
      <c r="J6707" t="str">
        <f>VLOOKUP(E6707,DSSpieler!A:B,2,FALSE)</f>
        <v>hagenxd</v>
      </c>
    </row>
    <row r="6708" spans="1:10" x14ac:dyDescent="0.25">
      <c r="A6708">
        <v>7564</v>
      </c>
      <c r="B6708" t="s">
        <v>531</v>
      </c>
      <c r="C6708">
        <v>515</v>
      </c>
      <c r="D6708">
        <v>418</v>
      </c>
      <c r="E6708">
        <v>0</v>
      </c>
      <c r="F6708">
        <v>375</v>
      </c>
      <c r="G6708">
        <v>0</v>
      </c>
      <c r="H6708" t="s">
        <v>11627</v>
      </c>
      <c r="I6708">
        <v>7564</v>
      </c>
      <c r="J6708" t="e">
        <f>VLOOKUP(E6708,DSSpieler!A:B,2,FALSE)</f>
        <v>#N/A</v>
      </c>
    </row>
    <row r="6709" spans="1:10" x14ac:dyDescent="0.25">
      <c r="A6709">
        <v>7565</v>
      </c>
      <c r="B6709" t="s">
        <v>33180</v>
      </c>
      <c r="C6709">
        <v>546</v>
      </c>
      <c r="D6709">
        <v>427</v>
      </c>
      <c r="E6709">
        <v>9784338</v>
      </c>
      <c r="F6709">
        <v>26</v>
      </c>
      <c r="G6709">
        <v>0</v>
      </c>
      <c r="H6709" t="s">
        <v>11628</v>
      </c>
      <c r="I6709">
        <v>7565</v>
      </c>
      <c r="J6709" t="str">
        <f>VLOOKUP(E6709,DSSpieler!A:B,2,FALSE)</f>
        <v>jolennyjo123</v>
      </c>
    </row>
    <row r="6710" spans="1:10" x14ac:dyDescent="0.25">
      <c r="A6710">
        <v>7566</v>
      </c>
      <c r="B6710" t="s">
        <v>531</v>
      </c>
      <c r="C6710">
        <v>460</v>
      </c>
      <c r="D6710">
        <v>427</v>
      </c>
      <c r="E6710">
        <v>0</v>
      </c>
      <c r="F6710">
        <v>456</v>
      </c>
      <c r="G6710">
        <v>0</v>
      </c>
      <c r="H6710" t="s">
        <v>11629</v>
      </c>
      <c r="I6710">
        <v>7566</v>
      </c>
      <c r="J6710" t="e">
        <f>VLOOKUP(E6710,DSSpieler!A:B,2,FALSE)</f>
        <v>#N/A</v>
      </c>
    </row>
    <row r="6711" spans="1:10" x14ac:dyDescent="0.25">
      <c r="A6711">
        <v>7567</v>
      </c>
      <c r="B6711" t="s">
        <v>531</v>
      </c>
      <c r="C6711">
        <v>449</v>
      </c>
      <c r="D6711">
        <v>566</v>
      </c>
      <c r="E6711">
        <v>1577191177</v>
      </c>
      <c r="F6711">
        <v>2144</v>
      </c>
      <c r="G6711">
        <v>0</v>
      </c>
      <c r="H6711" t="s">
        <v>11630</v>
      </c>
      <c r="I6711">
        <v>7567</v>
      </c>
      <c r="J6711" t="str">
        <f>VLOOKUP(E6711,DSSpieler!A:B,2,FALSE)</f>
        <v>TheOwnageZero</v>
      </c>
    </row>
    <row r="6712" spans="1:10" x14ac:dyDescent="0.25">
      <c r="A6712">
        <v>7568</v>
      </c>
      <c r="B6712" t="s">
        <v>33181</v>
      </c>
      <c r="C6712">
        <v>505</v>
      </c>
      <c r="D6712">
        <v>586</v>
      </c>
      <c r="E6712">
        <v>1577198777</v>
      </c>
      <c r="F6712">
        <v>2944</v>
      </c>
      <c r="G6712">
        <v>0</v>
      </c>
      <c r="H6712" t="s">
        <v>11631</v>
      </c>
      <c r="I6712">
        <v>7568</v>
      </c>
      <c r="J6712" t="str">
        <f>VLOOKUP(E6712,DSSpieler!A:B,2,FALSE)</f>
        <v>Sepp Star</v>
      </c>
    </row>
    <row r="6713" spans="1:10" x14ac:dyDescent="0.25">
      <c r="A6713">
        <v>7569</v>
      </c>
      <c r="B6713" t="s">
        <v>531</v>
      </c>
      <c r="C6713">
        <v>434</v>
      </c>
      <c r="D6713">
        <v>551</v>
      </c>
      <c r="E6713">
        <v>0</v>
      </c>
      <c r="F6713">
        <v>443</v>
      </c>
      <c r="G6713">
        <v>0</v>
      </c>
      <c r="H6713" t="s">
        <v>11632</v>
      </c>
      <c r="I6713">
        <v>7569</v>
      </c>
      <c r="J6713" t="e">
        <f>VLOOKUP(E6713,DSSpieler!A:B,2,FALSE)</f>
        <v>#N/A</v>
      </c>
    </row>
    <row r="6714" spans="1:10" x14ac:dyDescent="0.25">
      <c r="A6714">
        <v>7570</v>
      </c>
      <c r="B6714" t="s">
        <v>531</v>
      </c>
      <c r="C6714">
        <v>499</v>
      </c>
      <c r="D6714">
        <v>583</v>
      </c>
      <c r="E6714">
        <v>0</v>
      </c>
      <c r="F6714">
        <v>143</v>
      </c>
      <c r="G6714">
        <v>0</v>
      </c>
      <c r="H6714" t="s">
        <v>11633</v>
      </c>
      <c r="I6714">
        <v>7570</v>
      </c>
      <c r="J6714" t="e">
        <f>VLOOKUP(E6714,DSSpieler!A:B,2,FALSE)</f>
        <v>#N/A</v>
      </c>
    </row>
    <row r="6715" spans="1:10" x14ac:dyDescent="0.25">
      <c r="A6715">
        <v>7572</v>
      </c>
      <c r="B6715" t="s">
        <v>33182</v>
      </c>
      <c r="C6715">
        <v>560</v>
      </c>
      <c r="D6715">
        <v>443</v>
      </c>
      <c r="E6715">
        <v>9809468</v>
      </c>
      <c r="F6715">
        <v>5784</v>
      </c>
      <c r="G6715">
        <v>0</v>
      </c>
      <c r="H6715" t="s">
        <v>11634</v>
      </c>
      <c r="I6715">
        <v>7572</v>
      </c>
      <c r="J6715" t="str">
        <f>VLOOKUP(E6715,DSSpieler!A:B,2,FALSE)</f>
        <v>King charly88</v>
      </c>
    </row>
    <row r="6716" spans="1:10" x14ac:dyDescent="0.25">
      <c r="A6716">
        <v>7573</v>
      </c>
      <c r="B6716" t="s">
        <v>33183</v>
      </c>
      <c r="C6716">
        <v>414</v>
      </c>
      <c r="D6716">
        <v>506</v>
      </c>
      <c r="E6716">
        <v>1577174186</v>
      </c>
      <c r="F6716">
        <v>2608</v>
      </c>
      <c r="G6716">
        <v>0</v>
      </c>
      <c r="H6716" t="s">
        <v>11635</v>
      </c>
      <c r="I6716">
        <v>7573</v>
      </c>
      <c r="J6716" t="str">
        <f>VLOOKUP(E6716,DSSpieler!A:B,2,FALSE)</f>
        <v>TuTsckin Dark</v>
      </c>
    </row>
    <row r="6717" spans="1:10" x14ac:dyDescent="0.25">
      <c r="A6717">
        <v>7574</v>
      </c>
      <c r="B6717" t="s">
        <v>31962</v>
      </c>
      <c r="C6717">
        <v>496</v>
      </c>
      <c r="D6717">
        <v>491</v>
      </c>
      <c r="E6717">
        <v>9813287</v>
      </c>
      <c r="F6717">
        <v>5948</v>
      </c>
      <c r="G6717">
        <v>0</v>
      </c>
      <c r="H6717" t="s">
        <v>11636</v>
      </c>
      <c r="I6717">
        <v>7574</v>
      </c>
      <c r="J6717" t="str">
        <f>VLOOKUP(E6717,DSSpieler!A:B,2,FALSE)</f>
        <v>Klopapierrollenschütze</v>
      </c>
    </row>
    <row r="6718" spans="1:10" x14ac:dyDescent="0.25">
      <c r="A6718">
        <v>7575</v>
      </c>
      <c r="B6718" t="s">
        <v>33184</v>
      </c>
      <c r="C6718">
        <v>414</v>
      </c>
      <c r="D6718">
        <v>461</v>
      </c>
      <c r="E6718">
        <v>343092</v>
      </c>
      <c r="F6718">
        <v>4468</v>
      </c>
      <c r="G6718">
        <v>0</v>
      </c>
      <c r="H6718" t="s">
        <v>11637</v>
      </c>
      <c r="I6718">
        <v>7575</v>
      </c>
      <c r="J6718" t="str">
        <f>VLOOKUP(E6718,DSSpieler!A:B,2,FALSE)</f>
        <v>RTW-93</v>
      </c>
    </row>
    <row r="6719" spans="1:10" x14ac:dyDescent="0.25">
      <c r="A6719">
        <v>7576</v>
      </c>
      <c r="B6719" t="s">
        <v>531</v>
      </c>
      <c r="C6719">
        <v>431</v>
      </c>
      <c r="D6719">
        <v>549</v>
      </c>
      <c r="E6719">
        <v>0</v>
      </c>
      <c r="F6719">
        <v>234</v>
      </c>
      <c r="G6719">
        <v>0</v>
      </c>
      <c r="H6719" t="s">
        <v>11638</v>
      </c>
      <c r="I6719">
        <v>7576</v>
      </c>
      <c r="J6719" t="e">
        <f>VLOOKUP(E6719,DSSpieler!A:B,2,FALSE)</f>
        <v>#N/A</v>
      </c>
    </row>
    <row r="6720" spans="1:10" x14ac:dyDescent="0.25">
      <c r="A6720">
        <v>7577</v>
      </c>
      <c r="B6720" t="s">
        <v>32826</v>
      </c>
      <c r="C6720">
        <v>398</v>
      </c>
      <c r="D6720">
        <v>535</v>
      </c>
      <c r="E6720">
        <v>1577070657</v>
      </c>
      <c r="F6720">
        <v>4909</v>
      </c>
      <c r="G6720">
        <v>0</v>
      </c>
      <c r="H6720" t="s">
        <v>11639</v>
      </c>
      <c r="I6720">
        <v>7577</v>
      </c>
      <c r="J6720" t="str">
        <f>VLOOKUP(E6720,DSSpieler!A:B,2,FALSE)</f>
        <v>A.M.F.</v>
      </c>
    </row>
    <row r="6721" spans="1:10" x14ac:dyDescent="0.25">
      <c r="A6721">
        <v>7578</v>
      </c>
      <c r="B6721" t="s">
        <v>531</v>
      </c>
      <c r="C6721">
        <v>418</v>
      </c>
      <c r="D6721">
        <v>482</v>
      </c>
      <c r="E6721">
        <v>0</v>
      </c>
      <c r="F6721">
        <v>219</v>
      </c>
      <c r="G6721">
        <v>0</v>
      </c>
      <c r="H6721" t="s">
        <v>11640</v>
      </c>
      <c r="I6721">
        <v>7578</v>
      </c>
      <c r="J6721" t="e">
        <f>VLOOKUP(E6721,DSSpieler!A:B,2,FALSE)</f>
        <v>#N/A</v>
      </c>
    </row>
    <row r="6722" spans="1:10" x14ac:dyDescent="0.25">
      <c r="A6722">
        <v>7579</v>
      </c>
      <c r="B6722" t="s">
        <v>531</v>
      </c>
      <c r="C6722">
        <v>474</v>
      </c>
      <c r="D6722">
        <v>421</v>
      </c>
      <c r="E6722">
        <v>0</v>
      </c>
      <c r="F6722">
        <v>392</v>
      </c>
      <c r="G6722">
        <v>0</v>
      </c>
      <c r="H6722" t="s">
        <v>11641</v>
      </c>
      <c r="I6722">
        <v>7579</v>
      </c>
      <c r="J6722" t="e">
        <f>VLOOKUP(E6722,DSSpieler!A:B,2,FALSE)</f>
        <v>#N/A</v>
      </c>
    </row>
    <row r="6723" spans="1:10" x14ac:dyDescent="0.25">
      <c r="A6723">
        <v>7580</v>
      </c>
      <c r="B6723" t="s">
        <v>531</v>
      </c>
      <c r="C6723">
        <v>425</v>
      </c>
      <c r="D6723">
        <v>534</v>
      </c>
      <c r="E6723">
        <v>0</v>
      </c>
      <c r="F6723">
        <v>260</v>
      </c>
      <c r="G6723">
        <v>0</v>
      </c>
      <c r="H6723" t="s">
        <v>11642</v>
      </c>
      <c r="I6723">
        <v>7580</v>
      </c>
      <c r="J6723" t="e">
        <f>VLOOKUP(E6723,DSSpieler!A:B,2,FALSE)</f>
        <v>#N/A</v>
      </c>
    </row>
    <row r="6724" spans="1:10" x14ac:dyDescent="0.25">
      <c r="A6724">
        <v>7581</v>
      </c>
      <c r="B6724" t="s">
        <v>531</v>
      </c>
      <c r="C6724">
        <v>584</v>
      </c>
      <c r="D6724">
        <v>512</v>
      </c>
      <c r="E6724">
        <v>0</v>
      </c>
      <c r="F6724">
        <v>153</v>
      </c>
      <c r="G6724">
        <v>0</v>
      </c>
      <c r="H6724" t="s">
        <v>11643</v>
      </c>
      <c r="I6724">
        <v>7581</v>
      </c>
      <c r="J6724" t="e">
        <f>VLOOKUP(E6724,DSSpieler!A:B,2,FALSE)</f>
        <v>#N/A</v>
      </c>
    </row>
    <row r="6725" spans="1:10" x14ac:dyDescent="0.25">
      <c r="A6725">
        <v>7582</v>
      </c>
      <c r="B6725" t="s">
        <v>150</v>
      </c>
      <c r="C6725">
        <v>605</v>
      </c>
      <c r="D6725">
        <v>524</v>
      </c>
      <c r="E6725">
        <v>9834965</v>
      </c>
      <c r="F6725">
        <v>2363</v>
      </c>
      <c r="G6725">
        <v>0</v>
      </c>
      <c r="H6725" t="s">
        <v>11644</v>
      </c>
      <c r="I6725">
        <v>7582</v>
      </c>
      <c r="J6725" t="str">
        <f>VLOOKUP(E6725,DSSpieler!A:B,2,FALSE)</f>
        <v>theLIONxx</v>
      </c>
    </row>
    <row r="6726" spans="1:10" x14ac:dyDescent="0.25">
      <c r="A6726">
        <v>7583</v>
      </c>
      <c r="B6726" t="s">
        <v>531</v>
      </c>
      <c r="C6726">
        <v>575</v>
      </c>
      <c r="D6726">
        <v>534</v>
      </c>
      <c r="E6726">
        <v>0</v>
      </c>
      <c r="F6726">
        <v>217</v>
      </c>
      <c r="G6726">
        <v>0</v>
      </c>
      <c r="H6726" t="s">
        <v>11645</v>
      </c>
      <c r="I6726">
        <v>7583</v>
      </c>
      <c r="J6726" t="e">
        <f>VLOOKUP(E6726,DSSpieler!A:B,2,FALSE)</f>
        <v>#N/A</v>
      </c>
    </row>
    <row r="6727" spans="1:10" x14ac:dyDescent="0.25">
      <c r="A6727">
        <v>7584</v>
      </c>
      <c r="B6727" t="s">
        <v>531</v>
      </c>
      <c r="C6727">
        <v>455</v>
      </c>
      <c r="D6727">
        <v>569</v>
      </c>
      <c r="E6727">
        <v>0</v>
      </c>
      <c r="F6727">
        <v>246</v>
      </c>
      <c r="G6727">
        <v>0</v>
      </c>
      <c r="H6727" t="s">
        <v>11646</v>
      </c>
      <c r="I6727">
        <v>7584</v>
      </c>
      <c r="J6727" t="e">
        <f>VLOOKUP(E6727,DSSpieler!A:B,2,FALSE)</f>
        <v>#N/A</v>
      </c>
    </row>
    <row r="6728" spans="1:10" x14ac:dyDescent="0.25">
      <c r="A6728">
        <v>7585</v>
      </c>
      <c r="B6728" t="s">
        <v>33185</v>
      </c>
      <c r="C6728">
        <v>584</v>
      </c>
      <c r="D6728">
        <v>521</v>
      </c>
      <c r="E6728">
        <v>1576772564</v>
      </c>
      <c r="F6728">
        <v>5670</v>
      </c>
      <c r="G6728">
        <v>0</v>
      </c>
      <c r="H6728" t="s">
        <v>11647</v>
      </c>
      <c r="I6728">
        <v>7585</v>
      </c>
      <c r="J6728" t="str">
        <f>VLOOKUP(E6728,DSSpieler!A:B,2,FALSE)</f>
        <v>derbessere</v>
      </c>
    </row>
    <row r="6729" spans="1:10" x14ac:dyDescent="0.25">
      <c r="A6729">
        <v>7586</v>
      </c>
      <c r="B6729" t="s">
        <v>531</v>
      </c>
      <c r="C6729">
        <v>420</v>
      </c>
      <c r="D6729">
        <v>518</v>
      </c>
      <c r="E6729">
        <v>0</v>
      </c>
      <c r="F6729">
        <v>345</v>
      </c>
      <c r="G6729">
        <v>0</v>
      </c>
      <c r="H6729" t="s">
        <v>11648</v>
      </c>
      <c r="I6729">
        <v>7586</v>
      </c>
      <c r="J6729" t="e">
        <f>VLOOKUP(E6729,DSSpieler!A:B,2,FALSE)</f>
        <v>#N/A</v>
      </c>
    </row>
    <row r="6730" spans="1:10" x14ac:dyDescent="0.25">
      <c r="A6730">
        <v>7588</v>
      </c>
      <c r="B6730" t="s">
        <v>33186</v>
      </c>
      <c r="C6730">
        <v>540</v>
      </c>
      <c r="D6730">
        <v>600</v>
      </c>
      <c r="E6730">
        <v>9866672</v>
      </c>
      <c r="F6730">
        <v>6832</v>
      </c>
      <c r="G6730">
        <v>0</v>
      </c>
      <c r="H6730" t="s">
        <v>11649</v>
      </c>
      <c r="I6730">
        <v>7588</v>
      </c>
      <c r="J6730" t="str">
        <f>VLOOKUP(E6730,DSSpieler!A:B,2,FALSE)</f>
        <v>b4yer1</v>
      </c>
    </row>
    <row r="6731" spans="1:10" x14ac:dyDescent="0.25">
      <c r="A6731">
        <v>7589</v>
      </c>
      <c r="B6731" t="s">
        <v>531</v>
      </c>
      <c r="C6731">
        <v>576</v>
      </c>
      <c r="D6731">
        <v>538</v>
      </c>
      <c r="E6731">
        <v>0</v>
      </c>
      <c r="F6731">
        <v>360</v>
      </c>
      <c r="G6731">
        <v>0</v>
      </c>
      <c r="H6731" t="s">
        <v>11650</v>
      </c>
      <c r="I6731">
        <v>7589</v>
      </c>
      <c r="J6731" t="e">
        <f>VLOOKUP(E6731,DSSpieler!A:B,2,FALSE)</f>
        <v>#N/A</v>
      </c>
    </row>
    <row r="6732" spans="1:10" x14ac:dyDescent="0.25">
      <c r="A6732">
        <v>7590</v>
      </c>
      <c r="B6732" t="s">
        <v>33187</v>
      </c>
      <c r="C6732">
        <v>525</v>
      </c>
      <c r="D6732">
        <v>587</v>
      </c>
      <c r="E6732">
        <v>9267037</v>
      </c>
      <c r="F6732">
        <v>4728</v>
      </c>
      <c r="G6732">
        <v>0</v>
      </c>
      <c r="H6732" t="s">
        <v>11651</v>
      </c>
      <c r="I6732">
        <v>7590</v>
      </c>
      <c r="J6732" t="str">
        <f>VLOOKUP(E6732,DSSpieler!A:B,2,FALSE)</f>
        <v>DarkShadow5</v>
      </c>
    </row>
    <row r="6733" spans="1:10" x14ac:dyDescent="0.25">
      <c r="A6733">
        <v>7591</v>
      </c>
      <c r="B6733" t="s">
        <v>979</v>
      </c>
      <c r="C6733">
        <v>513</v>
      </c>
      <c r="D6733">
        <v>596</v>
      </c>
      <c r="E6733">
        <v>9875916</v>
      </c>
      <c r="F6733">
        <v>5850</v>
      </c>
      <c r="G6733">
        <v>0</v>
      </c>
      <c r="H6733" t="s">
        <v>11652</v>
      </c>
      <c r="I6733">
        <v>7591</v>
      </c>
      <c r="J6733" t="str">
        <f>VLOOKUP(E6733,DSSpieler!A:B,2,FALSE)</f>
        <v>Tassos81</v>
      </c>
    </row>
    <row r="6734" spans="1:10" x14ac:dyDescent="0.25">
      <c r="A6734">
        <v>7592</v>
      </c>
      <c r="B6734" t="s">
        <v>774</v>
      </c>
      <c r="C6734">
        <v>434</v>
      </c>
      <c r="D6734">
        <v>552</v>
      </c>
      <c r="E6734">
        <v>1577079017</v>
      </c>
      <c r="F6734">
        <v>992</v>
      </c>
      <c r="G6734">
        <v>0</v>
      </c>
      <c r="H6734" t="s">
        <v>11653</v>
      </c>
      <c r="I6734">
        <v>7592</v>
      </c>
      <c r="J6734" t="str">
        <f>VLOOKUP(E6734,DSSpieler!A:B,2,FALSE)</f>
        <v>Germane1910</v>
      </c>
    </row>
    <row r="6735" spans="1:10" x14ac:dyDescent="0.25">
      <c r="A6735">
        <v>7593</v>
      </c>
      <c r="B6735" t="s">
        <v>33188</v>
      </c>
      <c r="C6735">
        <v>575</v>
      </c>
      <c r="D6735">
        <v>525</v>
      </c>
      <c r="E6735">
        <v>1577198350</v>
      </c>
      <c r="F6735">
        <v>3462</v>
      </c>
      <c r="G6735">
        <v>0</v>
      </c>
      <c r="H6735" t="s">
        <v>11654</v>
      </c>
      <c r="I6735">
        <v>7593</v>
      </c>
      <c r="J6735" t="str">
        <f>VLOOKUP(E6735,DSSpieler!A:B,2,FALSE)</f>
        <v>Paul der 3.</v>
      </c>
    </row>
    <row r="6736" spans="1:10" x14ac:dyDescent="0.25">
      <c r="A6736">
        <v>7594</v>
      </c>
      <c r="B6736" t="s">
        <v>33189</v>
      </c>
      <c r="C6736">
        <v>534</v>
      </c>
      <c r="D6736">
        <v>397</v>
      </c>
      <c r="E6736">
        <v>1577178516</v>
      </c>
      <c r="F6736">
        <v>5531</v>
      </c>
      <c r="G6736">
        <v>0</v>
      </c>
      <c r="H6736" t="s">
        <v>11655</v>
      </c>
      <c r="I6736">
        <v>7594</v>
      </c>
      <c r="J6736" t="str">
        <f>VLOOKUP(E6736,DSSpieler!A:B,2,FALSE)</f>
        <v>Maxi0109</v>
      </c>
    </row>
    <row r="6737" spans="1:10" x14ac:dyDescent="0.25">
      <c r="A6737">
        <v>7595</v>
      </c>
      <c r="B6737" t="s">
        <v>531</v>
      </c>
      <c r="C6737">
        <v>526</v>
      </c>
      <c r="D6737">
        <v>419</v>
      </c>
      <c r="E6737">
        <v>0</v>
      </c>
      <c r="F6737">
        <v>272</v>
      </c>
      <c r="G6737">
        <v>0</v>
      </c>
      <c r="H6737" t="s">
        <v>11656</v>
      </c>
      <c r="I6737">
        <v>7595</v>
      </c>
      <c r="J6737" t="e">
        <f>VLOOKUP(E6737,DSSpieler!A:B,2,FALSE)</f>
        <v>#N/A</v>
      </c>
    </row>
    <row r="6738" spans="1:10" x14ac:dyDescent="0.25">
      <c r="A6738">
        <v>7596</v>
      </c>
      <c r="B6738" t="s">
        <v>1650</v>
      </c>
      <c r="C6738">
        <v>580</v>
      </c>
      <c r="D6738">
        <v>550</v>
      </c>
      <c r="E6738">
        <v>9910762</v>
      </c>
      <c r="F6738">
        <v>6627</v>
      </c>
      <c r="G6738">
        <v>0</v>
      </c>
      <c r="H6738" t="s">
        <v>11657</v>
      </c>
      <c r="I6738">
        <v>7596</v>
      </c>
      <c r="J6738" t="str">
        <f>VLOOKUP(E6738,DSSpieler!A:B,2,FALSE)</f>
        <v>glane13</v>
      </c>
    </row>
    <row r="6739" spans="1:10" x14ac:dyDescent="0.25">
      <c r="A6739">
        <v>7597</v>
      </c>
      <c r="B6739" t="s">
        <v>531</v>
      </c>
      <c r="C6739">
        <v>570</v>
      </c>
      <c r="D6739">
        <v>449</v>
      </c>
      <c r="E6739">
        <v>0</v>
      </c>
      <c r="F6739">
        <v>252</v>
      </c>
      <c r="G6739">
        <v>0</v>
      </c>
      <c r="H6739" t="s">
        <v>11658</v>
      </c>
      <c r="I6739">
        <v>7597</v>
      </c>
      <c r="J6739" t="e">
        <f>VLOOKUP(E6739,DSSpieler!A:B,2,FALSE)</f>
        <v>#N/A</v>
      </c>
    </row>
    <row r="6740" spans="1:10" x14ac:dyDescent="0.25">
      <c r="A6740">
        <v>7598</v>
      </c>
      <c r="B6740" t="s">
        <v>33190</v>
      </c>
      <c r="C6740">
        <v>573</v>
      </c>
      <c r="D6740">
        <v>448</v>
      </c>
      <c r="E6740">
        <v>1575884360</v>
      </c>
      <c r="F6740">
        <v>4518</v>
      </c>
      <c r="G6740">
        <v>0</v>
      </c>
      <c r="H6740" t="s">
        <v>11659</v>
      </c>
      <c r="I6740">
        <v>7598</v>
      </c>
      <c r="J6740" t="str">
        <f>VLOOKUP(E6740,DSSpieler!A:B,2,FALSE)</f>
        <v>Moulan</v>
      </c>
    </row>
    <row r="6741" spans="1:10" x14ac:dyDescent="0.25">
      <c r="A6741">
        <v>7599</v>
      </c>
      <c r="B6741" t="s">
        <v>531</v>
      </c>
      <c r="C6741">
        <v>442</v>
      </c>
      <c r="D6741">
        <v>436</v>
      </c>
      <c r="E6741">
        <v>0</v>
      </c>
      <c r="F6741">
        <v>153</v>
      </c>
      <c r="G6741">
        <v>0</v>
      </c>
      <c r="H6741" t="s">
        <v>11660</v>
      </c>
      <c r="I6741">
        <v>7599</v>
      </c>
      <c r="J6741" t="e">
        <f>VLOOKUP(E6741,DSSpieler!A:B,2,FALSE)</f>
        <v>#N/A</v>
      </c>
    </row>
    <row r="6742" spans="1:10" x14ac:dyDescent="0.25">
      <c r="A6742">
        <v>7600</v>
      </c>
      <c r="B6742" t="s">
        <v>531</v>
      </c>
      <c r="C6742">
        <v>556</v>
      </c>
      <c r="D6742">
        <v>434</v>
      </c>
      <c r="E6742">
        <v>0</v>
      </c>
      <c r="F6742">
        <v>517</v>
      </c>
      <c r="G6742">
        <v>0</v>
      </c>
      <c r="H6742" t="s">
        <v>11661</v>
      </c>
      <c r="I6742">
        <v>7600</v>
      </c>
      <c r="J6742" t="e">
        <f>VLOOKUP(E6742,DSSpieler!A:B,2,FALSE)</f>
        <v>#N/A</v>
      </c>
    </row>
    <row r="6743" spans="1:10" x14ac:dyDescent="0.25">
      <c r="A6743">
        <v>7601</v>
      </c>
      <c r="B6743" t="s">
        <v>531</v>
      </c>
      <c r="C6743">
        <v>505</v>
      </c>
      <c r="D6743">
        <v>411</v>
      </c>
      <c r="E6743">
        <v>0</v>
      </c>
      <c r="F6743">
        <v>315</v>
      </c>
      <c r="G6743">
        <v>0</v>
      </c>
      <c r="H6743" t="s">
        <v>11662</v>
      </c>
      <c r="I6743">
        <v>7601</v>
      </c>
      <c r="J6743" t="e">
        <f>VLOOKUP(E6743,DSSpieler!A:B,2,FALSE)</f>
        <v>#N/A</v>
      </c>
    </row>
    <row r="6744" spans="1:10" x14ac:dyDescent="0.25">
      <c r="A6744">
        <v>7602</v>
      </c>
      <c r="B6744" t="s">
        <v>531</v>
      </c>
      <c r="C6744">
        <v>570</v>
      </c>
      <c r="D6744">
        <v>455</v>
      </c>
      <c r="E6744">
        <v>0</v>
      </c>
      <c r="F6744">
        <v>200</v>
      </c>
      <c r="G6744">
        <v>0</v>
      </c>
      <c r="H6744" t="s">
        <v>11663</v>
      </c>
      <c r="I6744">
        <v>7602</v>
      </c>
      <c r="J6744" t="e">
        <f>VLOOKUP(E6744,DSSpieler!A:B,2,FALSE)</f>
        <v>#N/A</v>
      </c>
    </row>
    <row r="6745" spans="1:10" x14ac:dyDescent="0.25">
      <c r="A6745">
        <v>7603</v>
      </c>
      <c r="B6745" t="s">
        <v>1651</v>
      </c>
      <c r="C6745">
        <v>417</v>
      </c>
      <c r="D6745">
        <v>481</v>
      </c>
      <c r="E6745">
        <v>9971807</v>
      </c>
      <c r="F6745">
        <v>4943</v>
      </c>
      <c r="G6745">
        <v>0</v>
      </c>
      <c r="H6745" t="s">
        <v>11664</v>
      </c>
      <c r="I6745">
        <v>7603</v>
      </c>
      <c r="J6745" t="str">
        <f>VLOOKUP(E6745,DSSpieler!A:B,2,FALSE)</f>
        <v>d.fox</v>
      </c>
    </row>
    <row r="6746" spans="1:10" x14ac:dyDescent="0.25">
      <c r="A6746">
        <v>7604</v>
      </c>
      <c r="B6746" t="s">
        <v>531</v>
      </c>
      <c r="C6746">
        <v>495</v>
      </c>
      <c r="D6746">
        <v>586</v>
      </c>
      <c r="E6746">
        <v>0</v>
      </c>
      <c r="F6746">
        <v>336</v>
      </c>
      <c r="G6746">
        <v>0</v>
      </c>
      <c r="H6746" t="s">
        <v>11665</v>
      </c>
      <c r="I6746">
        <v>7604</v>
      </c>
      <c r="J6746" t="e">
        <f>VLOOKUP(E6746,DSSpieler!A:B,2,FALSE)</f>
        <v>#N/A</v>
      </c>
    </row>
    <row r="6747" spans="1:10" x14ac:dyDescent="0.25">
      <c r="A6747">
        <v>7605</v>
      </c>
      <c r="B6747" t="s">
        <v>1652</v>
      </c>
      <c r="C6747">
        <v>415</v>
      </c>
      <c r="D6747">
        <v>491</v>
      </c>
      <c r="E6747">
        <v>9974825</v>
      </c>
      <c r="F6747">
        <v>995</v>
      </c>
      <c r="G6747">
        <v>0</v>
      </c>
      <c r="H6747" t="s">
        <v>11666</v>
      </c>
      <c r="I6747">
        <v>7605</v>
      </c>
      <c r="J6747" t="str">
        <f>VLOOKUP(E6747,DSSpieler!A:B,2,FALSE)</f>
        <v>Der Verbannte</v>
      </c>
    </row>
    <row r="6748" spans="1:10" x14ac:dyDescent="0.25">
      <c r="A6748">
        <v>7606</v>
      </c>
      <c r="B6748" t="s">
        <v>531</v>
      </c>
      <c r="C6748">
        <v>418</v>
      </c>
      <c r="D6748">
        <v>485</v>
      </c>
      <c r="E6748">
        <v>0</v>
      </c>
      <c r="F6748">
        <v>355</v>
      </c>
      <c r="G6748">
        <v>0</v>
      </c>
      <c r="H6748" t="s">
        <v>11667</v>
      </c>
      <c r="I6748">
        <v>7606</v>
      </c>
      <c r="J6748" t="e">
        <f>VLOOKUP(E6748,DSSpieler!A:B,2,FALSE)</f>
        <v>#N/A</v>
      </c>
    </row>
    <row r="6749" spans="1:10" x14ac:dyDescent="0.25">
      <c r="A6749">
        <v>7607</v>
      </c>
      <c r="B6749" t="s">
        <v>33191</v>
      </c>
      <c r="C6749">
        <v>544</v>
      </c>
      <c r="D6749">
        <v>427</v>
      </c>
      <c r="E6749">
        <v>9976796</v>
      </c>
      <c r="F6749">
        <v>723</v>
      </c>
      <c r="G6749">
        <v>0</v>
      </c>
      <c r="H6749" t="s">
        <v>11668</v>
      </c>
      <c r="I6749">
        <v>7607</v>
      </c>
      <c r="J6749" t="str">
        <f>VLOOKUP(E6749,DSSpieler!A:B,2,FALSE)</f>
        <v>Gringonymous</v>
      </c>
    </row>
    <row r="6750" spans="1:10" x14ac:dyDescent="0.25">
      <c r="A6750">
        <v>7608</v>
      </c>
      <c r="B6750" t="s">
        <v>531</v>
      </c>
      <c r="C6750">
        <v>415</v>
      </c>
      <c r="D6750">
        <v>485</v>
      </c>
      <c r="E6750">
        <v>0</v>
      </c>
      <c r="F6750">
        <v>561</v>
      </c>
      <c r="G6750">
        <v>0</v>
      </c>
      <c r="H6750" t="s">
        <v>11669</v>
      </c>
      <c r="I6750">
        <v>7608</v>
      </c>
      <c r="J6750" t="e">
        <f>VLOOKUP(E6750,DSSpieler!A:B,2,FALSE)</f>
        <v>#N/A</v>
      </c>
    </row>
    <row r="6751" spans="1:10" x14ac:dyDescent="0.25">
      <c r="A6751">
        <v>7609</v>
      </c>
      <c r="B6751" t="s">
        <v>531</v>
      </c>
      <c r="C6751">
        <v>476</v>
      </c>
      <c r="D6751">
        <v>419</v>
      </c>
      <c r="E6751">
        <v>0</v>
      </c>
      <c r="F6751">
        <v>197</v>
      </c>
      <c r="G6751">
        <v>0</v>
      </c>
      <c r="H6751" t="s">
        <v>11670</v>
      </c>
      <c r="I6751">
        <v>7609</v>
      </c>
      <c r="J6751" t="e">
        <f>VLOOKUP(E6751,DSSpieler!A:B,2,FALSE)</f>
        <v>#N/A</v>
      </c>
    </row>
    <row r="6752" spans="1:10" x14ac:dyDescent="0.25">
      <c r="A6752">
        <v>7610</v>
      </c>
      <c r="B6752" t="s">
        <v>531</v>
      </c>
      <c r="C6752">
        <v>439</v>
      </c>
      <c r="D6752">
        <v>560</v>
      </c>
      <c r="E6752">
        <v>0</v>
      </c>
      <c r="F6752">
        <v>270</v>
      </c>
      <c r="G6752">
        <v>0</v>
      </c>
      <c r="H6752" t="s">
        <v>11671</v>
      </c>
      <c r="I6752">
        <v>7610</v>
      </c>
      <c r="J6752" t="e">
        <f>VLOOKUP(E6752,DSSpieler!A:B,2,FALSE)</f>
        <v>#N/A</v>
      </c>
    </row>
    <row r="6753" spans="1:10" x14ac:dyDescent="0.25">
      <c r="A6753">
        <v>7611</v>
      </c>
      <c r="B6753">
        <v>1</v>
      </c>
      <c r="C6753">
        <v>398</v>
      </c>
      <c r="D6753">
        <v>543</v>
      </c>
      <c r="E6753">
        <v>1576807256</v>
      </c>
      <c r="F6753">
        <v>6056</v>
      </c>
      <c r="G6753">
        <v>0</v>
      </c>
      <c r="H6753" t="s">
        <v>11672</v>
      </c>
      <c r="I6753">
        <v>7611</v>
      </c>
      <c r="J6753" t="str">
        <f>VLOOKUP(E6753,DSSpieler!A:B,2,FALSE)</f>
        <v>Tänkeplatsen</v>
      </c>
    </row>
    <row r="6754" spans="1:10" x14ac:dyDescent="0.25">
      <c r="A6754">
        <v>7612</v>
      </c>
      <c r="B6754" t="s">
        <v>33192</v>
      </c>
      <c r="C6754">
        <v>563</v>
      </c>
      <c r="D6754">
        <v>560</v>
      </c>
      <c r="E6754">
        <v>9995750</v>
      </c>
      <c r="F6754">
        <v>87</v>
      </c>
      <c r="G6754">
        <v>0</v>
      </c>
      <c r="H6754" t="s">
        <v>11673</v>
      </c>
      <c r="I6754">
        <v>7612</v>
      </c>
      <c r="J6754" t="str">
        <f>VLOOKUP(E6754,DSSpieler!A:B,2,FALSE)</f>
        <v>rockstarXD</v>
      </c>
    </row>
    <row r="6755" spans="1:10" x14ac:dyDescent="0.25">
      <c r="A6755">
        <v>7613</v>
      </c>
      <c r="B6755" t="s">
        <v>33193</v>
      </c>
      <c r="C6755">
        <v>439</v>
      </c>
      <c r="D6755">
        <v>439</v>
      </c>
      <c r="E6755">
        <v>7627920</v>
      </c>
      <c r="F6755">
        <v>2359</v>
      </c>
      <c r="G6755">
        <v>0</v>
      </c>
      <c r="H6755" t="s">
        <v>11674</v>
      </c>
      <c r="I6755">
        <v>7613</v>
      </c>
      <c r="J6755" t="str">
        <f>VLOOKUP(E6755,DSSpieler!A:B,2,FALSE)</f>
        <v>bekloppter09</v>
      </c>
    </row>
    <row r="6756" spans="1:10" x14ac:dyDescent="0.25">
      <c r="A6756">
        <v>7614</v>
      </c>
      <c r="B6756" t="s">
        <v>1653</v>
      </c>
      <c r="C6756">
        <v>605</v>
      </c>
      <c r="D6756">
        <v>474</v>
      </c>
      <c r="E6756">
        <v>10001525</v>
      </c>
      <c r="F6756">
        <v>6894</v>
      </c>
      <c r="G6756">
        <v>0</v>
      </c>
      <c r="H6756" t="s">
        <v>11675</v>
      </c>
      <c r="I6756">
        <v>7614</v>
      </c>
      <c r="J6756" t="str">
        <f>VLOOKUP(E6756,DSSpieler!A:B,2,FALSE)</f>
        <v>SirVendetta</v>
      </c>
    </row>
    <row r="6757" spans="1:10" x14ac:dyDescent="0.25">
      <c r="A6757">
        <v>7615</v>
      </c>
      <c r="B6757" t="s">
        <v>1654</v>
      </c>
      <c r="C6757">
        <v>605</v>
      </c>
      <c r="D6757">
        <v>471</v>
      </c>
      <c r="E6757">
        <v>10007206</v>
      </c>
      <c r="F6757">
        <v>6641</v>
      </c>
      <c r="G6757">
        <v>0</v>
      </c>
      <c r="H6757" t="s">
        <v>11676</v>
      </c>
      <c r="I6757">
        <v>7615</v>
      </c>
      <c r="J6757" t="str">
        <f>VLOOKUP(E6757,DSSpieler!A:B,2,FALSE)</f>
        <v>Pr3stig3</v>
      </c>
    </row>
    <row r="6758" spans="1:10" x14ac:dyDescent="0.25">
      <c r="A6758">
        <v>7616</v>
      </c>
      <c r="B6758" t="s">
        <v>31619</v>
      </c>
      <c r="C6758">
        <v>525</v>
      </c>
      <c r="D6758">
        <v>417</v>
      </c>
      <c r="E6758">
        <v>1577197561</v>
      </c>
      <c r="F6758">
        <v>5090</v>
      </c>
      <c r="G6758">
        <v>0</v>
      </c>
      <c r="H6758" t="s">
        <v>11677</v>
      </c>
      <c r="I6758">
        <v>7616</v>
      </c>
      <c r="J6758" t="str">
        <f>VLOOKUP(E6758,DSSpieler!A:B,2,FALSE)</f>
        <v>Tim Traitor</v>
      </c>
    </row>
    <row r="6759" spans="1:10" x14ac:dyDescent="0.25">
      <c r="A6759">
        <v>7617</v>
      </c>
      <c r="B6759" t="s">
        <v>531</v>
      </c>
      <c r="C6759">
        <v>550</v>
      </c>
      <c r="D6759">
        <v>430</v>
      </c>
      <c r="E6759">
        <v>0</v>
      </c>
      <c r="F6759">
        <v>511</v>
      </c>
      <c r="G6759">
        <v>0</v>
      </c>
      <c r="H6759" t="s">
        <v>11678</v>
      </c>
      <c r="I6759">
        <v>7617</v>
      </c>
      <c r="J6759" t="e">
        <f>VLOOKUP(E6759,DSSpieler!A:B,2,FALSE)</f>
        <v>#N/A</v>
      </c>
    </row>
    <row r="6760" spans="1:10" x14ac:dyDescent="0.25">
      <c r="A6760">
        <v>7618</v>
      </c>
      <c r="B6760" t="s">
        <v>33194</v>
      </c>
      <c r="C6760">
        <v>550</v>
      </c>
      <c r="D6760">
        <v>403</v>
      </c>
      <c r="E6760">
        <v>1576189514</v>
      </c>
      <c r="F6760">
        <v>3356</v>
      </c>
      <c r="G6760">
        <v>0</v>
      </c>
      <c r="H6760" t="s">
        <v>11679</v>
      </c>
      <c r="I6760">
        <v>7618</v>
      </c>
      <c r="J6760" t="str">
        <f>VLOOKUP(E6760,DSSpieler!A:B,2,FALSE)</f>
        <v>Skellofraktur</v>
      </c>
    </row>
    <row r="6761" spans="1:10" x14ac:dyDescent="0.25">
      <c r="A6761">
        <v>7619</v>
      </c>
      <c r="B6761" t="s">
        <v>531</v>
      </c>
      <c r="C6761">
        <v>538</v>
      </c>
      <c r="D6761">
        <v>427</v>
      </c>
      <c r="E6761">
        <v>0</v>
      </c>
      <c r="F6761">
        <v>145</v>
      </c>
      <c r="G6761">
        <v>0</v>
      </c>
      <c r="H6761" t="s">
        <v>11680</v>
      </c>
      <c r="I6761">
        <v>7619</v>
      </c>
      <c r="J6761" t="e">
        <f>VLOOKUP(E6761,DSSpieler!A:B,2,FALSE)</f>
        <v>#N/A</v>
      </c>
    </row>
    <row r="6762" spans="1:10" x14ac:dyDescent="0.25">
      <c r="A6762">
        <v>7620</v>
      </c>
      <c r="B6762" t="s">
        <v>531</v>
      </c>
      <c r="C6762">
        <v>475</v>
      </c>
      <c r="D6762">
        <v>420</v>
      </c>
      <c r="E6762">
        <v>0</v>
      </c>
      <c r="F6762">
        <v>202</v>
      </c>
      <c r="G6762">
        <v>0</v>
      </c>
      <c r="H6762" t="s">
        <v>11681</v>
      </c>
      <c r="I6762">
        <v>7620</v>
      </c>
      <c r="J6762" t="e">
        <f>VLOOKUP(E6762,DSSpieler!A:B,2,FALSE)</f>
        <v>#N/A</v>
      </c>
    </row>
    <row r="6763" spans="1:10" x14ac:dyDescent="0.25">
      <c r="A6763">
        <v>7621</v>
      </c>
      <c r="B6763" t="s">
        <v>1655</v>
      </c>
      <c r="C6763">
        <v>420</v>
      </c>
      <c r="D6763">
        <v>541</v>
      </c>
      <c r="E6763">
        <v>10036893</v>
      </c>
      <c r="F6763">
        <v>8138</v>
      </c>
      <c r="G6763">
        <v>0</v>
      </c>
      <c r="H6763" t="s">
        <v>11682</v>
      </c>
      <c r="I6763">
        <v>7621</v>
      </c>
      <c r="J6763" t="str">
        <f>VLOOKUP(E6763,DSSpieler!A:B,2,FALSE)</f>
        <v>Dihydrogenmonoxid</v>
      </c>
    </row>
    <row r="6764" spans="1:10" x14ac:dyDescent="0.25">
      <c r="A6764">
        <v>7622</v>
      </c>
      <c r="B6764" t="s">
        <v>33195</v>
      </c>
      <c r="C6764">
        <v>582</v>
      </c>
      <c r="D6764">
        <v>524</v>
      </c>
      <c r="E6764">
        <v>10040524</v>
      </c>
      <c r="F6764">
        <v>168</v>
      </c>
      <c r="G6764">
        <v>0</v>
      </c>
      <c r="H6764" t="s">
        <v>11683</v>
      </c>
      <c r="I6764">
        <v>7622</v>
      </c>
      <c r="J6764" t="str">
        <f>VLOOKUP(E6764,DSSpieler!A:B,2,FALSE)</f>
        <v>MoskitoVier80</v>
      </c>
    </row>
    <row r="6765" spans="1:10" x14ac:dyDescent="0.25">
      <c r="A6765">
        <v>7623</v>
      </c>
      <c r="B6765" t="s">
        <v>1595</v>
      </c>
      <c r="C6765">
        <v>419</v>
      </c>
      <c r="D6765">
        <v>471</v>
      </c>
      <c r="E6765">
        <v>9050389</v>
      </c>
      <c r="F6765">
        <v>3224</v>
      </c>
      <c r="G6765">
        <v>0</v>
      </c>
      <c r="H6765" t="s">
        <v>11684</v>
      </c>
      <c r="I6765">
        <v>7623</v>
      </c>
      <c r="J6765" t="str">
        <f>VLOOKUP(E6765,DSSpieler!A:B,2,FALSE)</f>
        <v>easywin</v>
      </c>
    </row>
    <row r="6766" spans="1:10" x14ac:dyDescent="0.25">
      <c r="A6766">
        <v>7624</v>
      </c>
      <c r="B6766" t="s">
        <v>33196</v>
      </c>
      <c r="C6766">
        <v>570</v>
      </c>
      <c r="D6766">
        <v>426</v>
      </c>
      <c r="E6766">
        <v>10053939</v>
      </c>
      <c r="F6766">
        <v>5629</v>
      </c>
      <c r="G6766">
        <v>0</v>
      </c>
      <c r="H6766" t="s">
        <v>11685</v>
      </c>
      <c r="I6766">
        <v>7624</v>
      </c>
      <c r="J6766" t="str">
        <f>VLOOKUP(E6766,DSSpieler!A:B,2,FALSE)</f>
        <v>King Walz</v>
      </c>
    </row>
    <row r="6767" spans="1:10" x14ac:dyDescent="0.25">
      <c r="A6767">
        <v>7625</v>
      </c>
      <c r="B6767" t="s">
        <v>673</v>
      </c>
      <c r="C6767">
        <v>417</v>
      </c>
      <c r="D6767">
        <v>509</v>
      </c>
      <c r="E6767">
        <v>1117588</v>
      </c>
      <c r="F6767">
        <v>858</v>
      </c>
      <c r="G6767">
        <v>0</v>
      </c>
      <c r="H6767" t="s">
        <v>11686</v>
      </c>
      <c r="I6767">
        <v>7625</v>
      </c>
      <c r="J6767" t="str">
        <f>VLOOKUP(E6767,DSSpieler!A:B,2,FALSE)</f>
        <v>MandM</v>
      </c>
    </row>
    <row r="6768" spans="1:10" x14ac:dyDescent="0.25">
      <c r="A6768">
        <v>7626</v>
      </c>
      <c r="B6768" t="s">
        <v>531</v>
      </c>
      <c r="C6768">
        <v>420</v>
      </c>
      <c r="D6768">
        <v>478</v>
      </c>
      <c r="E6768">
        <v>0</v>
      </c>
      <c r="F6768">
        <v>187</v>
      </c>
      <c r="G6768">
        <v>0</v>
      </c>
      <c r="H6768" t="s">
        <v>11687</v>
      </c>
      <c r="I6768">
        <v>7626</v>
      </c>
      <c r="J6768" t="e">
        <f>VLOOKUP(E6768,DSSpieler!A:B,2,FALSE)</f>
        <v>#N/A</v>
      </c>
    </row>
    <row r="6769" spans="1:10" x14ac:dyDescent="0.25">
      <c r="A6769">
        <v>7627</v>
      </c>
      <c r="B6769" t="s">
        <v>531</v>
      </c>
      <c r="C6769">
        <v>414</v>
      </c>
      <c r="D6769">
        <v>499</v>
      </c>
      <c r="E6769">
        <v>0</v>
      </c>
      <c r="F6769">
        <v>455</v>
      </c>
      <c r="G6769">
        <v>0</v>
      </c>
      <c r="H6769" t="s">
        <v>11688</v>
      </c>
      <c r="I6769">
        <v>7627</v>
      </c>
      <c r="J6769" t="e">
        <f>VLOOKUP(E6769,DSSpieler!A:B,2,FALSE)</f>
        <v>#N/A</v>
      </c>
    </row>
    <row r="6770" spans="1:10" x14ac:dyDescent="0.25">
      <c r="A6770">
        <v>7628</v>
      </c>
      <c r="B6770" t="s">
        <v>531</v>
      </c>
      <c r="C6770">
        <v>567</v>
      </c>
      <c r="D6770">
        <v>554</v>
      </c>
      <c r="E6770">
        <v>0</v>
      </c>
      <c r="F6770">
        <v>115</v>
      </c>
      <c r="G6770">
        <v>0</v>
      </c>
      <c r="H6770" t="s">
        <v>11689</v>
      </c>
      <c r="I6770">
        <v>7628</v>
      </c>
      <c r="J6770" t="e">
        <f>VLOOKUP(E6770,DSSpieler!A:B,2,FALSE)</f>
        <v>#N/A</v>
      </c>
    </row>
    <row r="6771" spans="1:10" x14ac:dyDescent="0.25">
      <c r="A6771">
        <v>7629</v>
      </c>
      <c r="B6771" t="s">
        <v>33197</v>
      </c>
      <c r="C6771">
        <v>608</v>
      </c>
      <c r="D6771">
        <v>500</v>
      </c>
      <c r="E6771">
        <v>10089720</v>
      </c>
      <c r="F6771">
        <v>5921</v>
      </c>
      <c r="G6771">
        <v>0</v>
      </c>
      <c r="H6771" t="s">
        <v>11690</v>
      </c>
      <c r="I6771">
        <v>7629</v>
      </c>
      <c r="J6771" t="str">
        <f>VLOOKUP(E6771,DSSpieler!A:B,2,FALSE)</f>
        <v>Dawul</v>
      </c>
    </row>
    <row r="6772" spans="1:10" x14ac:dyDescent="0.25">
      <c r="A6772">
        <v>7630</v>
      </c>
      <c r="B6772">
        <v>3</v>
      </c>
      <c r="C6772">
        <v>418</v>
      </c>
      <c r="D6772">
        <v>517</v>
      </c>
      <c r="E6772">
        <v>1577018450</v>
      </c>
      <c r="F6772">
        <v>2728</v>
      </c>
      <c r="G6772">
        <v>0</v>
      </c>
      <c r="H6772" t="s">
        <v>11691</v>
      </c>
      <c r="I6772">
        <v>7630</v>
      </c>
      <c r="J6772" t="str">
        <f>VLOOKUP(E6772,DSSpieler!A:B,2,FALSE)</f>
        <v>Karpfen96</v>
      </c>
    </row>
    <row r="6773" spans="1:10" x14ac:dyDescent="0.25">
      <c r="A6773">
        <v>7631</v>
      </c>
      <c r="B6773" t="s">
        <v>531</v>
      </c>
      <c r="C6773">
        <v>416</v>
      </c>
      <c r="D6773">
        <v>484</v>
      </c>
      <c r="E6773">
        <v>0</v>
      </c>
      <c r="F6773">
        <v>378</v>
      </c>
      <c r="G6773">
        <v>0</v>
      </c>
      <c r="H6773" t="s">
        <v>11692</v>
      </c>
      <c r="I6773">
        <v>7631</v>
      </c>
      <c r="J6773" t="e">
        <f>VLOOKUP(E6773,DSSpieler!A:B,2,FALSE)</f>
        <v>#N/A</v>
      </c>
    </row>
    <row r="6774" spans="1:10" x14ac:dyDescent="0.25">
      <c r="A6774">
        <v>7632</v>
      </c>
      <c r="B6774" t="s">
        <v>531</v>
      </c>
      <c r="C6774">
        <v>451</v>
      </c>
      <c r="D6774">
        <v>572</v>
      </c>
      <c r="E6774">
        <v>1576830431</v>
      </c>
      <c r="F6774">
        <v>842</v>
      </c>
      <c r="G6774">
        <v>0</v>
      </c>
      <c r="H6774" t="s">
        <v>11693</v>
      </c>
      <c r="I6774">
        <v>7632</v>
      </c>
      <c r="J6774" t="str">
        <f>VLOOKUP(E6774,DSSpieler!A:B,2,FALSE)</f>
        <v>Steinadler16</v>
      </c>
    </row>
    <row r="6775" spans="1:10" x14ac:dyDescent="0.25">
      <c r="A6775">
        <v>7633</v>
      </c>
      <c r="B6775" t="s">
        <v>31031</v>
      </c>
      <c r="C6775">
        <v>494</v>
      </c>
      <c r="D6775">
        <v>435</v>
      </c>
      <c r="E6775">
        <v>10107415</v>
      </c>
      <c r="F6775">
        <v>7150</v>
      </c>
      <c r="G6775">
        <v>0</v>
      </c>
      <c r="H6775" t="s">
        <v>11694</v>
      </c>
      <c r="I6775">
        <v>7633</v>
      </c>
      <c r="J6775" t="str">
        <f>VLOOKUP(E6775,DSSpieler!A:B,2,FALSE)</f>
        <v>Phelykz</v>
      </c>
    </row>
    <row r="6776" spans="1:10" x14ac:dyDescent="0.25">
      <c r="A6776">
        <v>7634</v>
      </c>
      <c r="B6776" t="s">
        <v>531</v>
      </c>
      <c r="C6776">
        <v>554</v>
      </c>
      <c r="D6776">
        <v>433</v>
      </c>
      <c r="E6776">
        <v>0</v>
      </c>
      <c r="F6776">
        <v>479</v>
      </c>
      <c r="G6776">
        <v>0</v>
      </c>
      <c r="H6776" t="s">
        <v>11695</v>
      </c>
      <c r="I6776">
        <v>7634</v>
      </c>
      <c r="J6776" t="e">
        <f>VLOOKUP(E6776,DSSpieler!A:B,2,FALSE)</f>
        <v>#N/A</v>
      </c>
    </row>
    <row r="6777" spans="1:10" x14ac:dyDescent="0.25">
      <c r="A6777">
        <v>7635</v>
      </c>
      <c r="B6777" t="s">
        <v>531</v>
      </c>
      <c r="C6777">
        <v>483</v>
      </c>
      <c r="D6777">
        <v>418</v>
      </c>
      <c r="E6777">
        <v>0</v>
      </c>
      <c r="F6777">
        <v>382</v>
      </c>
      <c r="G6777">
        <v>0</v>
      </c>
      <c r="H6777" t="s">
        <v>11696</v>
      </c>
      <c r="I6777">
        <v>7635</v>
      </c>
      <c r="J6777" t="e">
        <f>VLOOKUP(E6777,DSSpieler!A:B,2,FALSE)</f>
        <v>#N/A</v>
      </c>
    </row>
    <row r="6778" spans="1:10" x14ac:dyDescent="0.25">
      <c r="A6778">
        <v>7636</v>
      </c>
      <c r="B6778">
        <v>2</v>
      </c>
      <c r="C6778">
        <v>424</v>
      </c>
      <c r="D6778">
        <v>534</v>
      </c>
      <c r="E6778">
        <v>1577188071</v>
      </c>
      <c r="F6778">
        <v>920</v>
      </c>
      <c r="G6778">
        <v>0</v>
      </c>
      <c r="H6778" t="s">
        <v>11697</v>
      </c>
      <c r="I6778">
        <v>7636</v>
      </c>
      <c r="J6778" t="str">
        <f>VLOOKUP(E6778,DSSpieler!A:B,2,FALSE)</f>
        <v>Surculus</v>
      </c>
    </row>
    <row r="6779" spans="1:10" x14ac:dyDescent="0.25">
      <c r="A6779">
        <v>7638</v>
      </c>
      <c r="B6779" t="s">
        <v>531</v>
      </c>
      <c r="C6779">
        <v>458</v>
      </c>
      <c r="D6779">
        <v>575</v>
      </c>
      <c r="E6779">
        <v>0</v>
      </c>
      <c r="F6779">
        <v>117</v>
      </c>
      <c r="G6779">
        <v>0</v>
      </c>
      <c r="H6779" t="s">
        <v>11698</v>
      </c>
      <c r="I6779">
        <v>7638</v>
      </c>
      <c r="J6779" t="e">
        <f>VLOOKUP(E6779,DSSpieler!A:B,2,FALSE)</f>
        <v>#N/A</v>
      </c>
    </row>
    <row r="6780" spans="1:10" x14ac:dyDescent="0.25">
      <c r="A6780">
        <v>7639</v>
      </c>
      <c r="B6780" t="s">
        <v>531</v>
      </c>
      <c r="C6780">
        <v>418</v>
      </c>
      <c r="D6780">
        <v>480</v>
      </c>
      <c r="E6780">
        <v>0</v>
      </c>
      <c r="F6780">
        <v>225</v>
      </c>
      <c r="G6780">
        <v>0</v>
      </c>
      <c r="H6780" t="s">
        <v>11699</v>
      </c>
      <c r="I6780">
        <v>7639</v>
      </c>
      <c r="J6780" t="e">
        <f>VLOOKUP(E6780,DSSpieler!A:B,2,FALSE)</f>
        <v>#N/A</v>
      </c>
    </row>
    <row r="6781" spans="1:10" x14ac:dyDescent="0.25">
      <c r="A6781">
        <v>7640</v>
      </c>
      <c r="B6781" t="s">
        <v>531</v>
      </c>
      <c r="C6781">
        <v>433</v>
      </c>
      <c r="D6781">
        <v>552</v>
      </c>
      <c r="E6781">
        <v>0</v>
      </c>
      <c r="F6781">
        <v>293</v>
      </c>
      <c r="G6781">
        <v>0</v>
      </c>
      <c r="H6781" t="s">
        <v>11700</v>
      </c>
      <c r="I6781">
        <v>7640</v>
      </c>
      <c r="J6781" t="e">
        <f>VLOOKUP(E6781,DSSpieler!A:B,2,FALSE)</f>
        <v>#N/A</v>
      </c>
    </row>
    <row r="6782" spans="1:10" x14ac:dyDescent="0.25">
      <c r="A6782">
        <v>7641</v>
      </c>
      <c r="B6782" t="s">
        <v>1656</v>
      </c>
      <c r="C6782">
        <v>582</v>
      </c>
      <c r="D6782">
        <v>560</v>
      </c>
      <c r="E6782">
        <v>10139615</v>
      </c>
      <c r="F6782">
        <v>273</v>
      </c>
      <c r="G6782">
        <v>0</v>
      </c>
      <c r="H6782" t="s">
        <v>11701</v>
      </c>
      <c r="I6782">
        <v>7641</v>
      </c>
      <c r="J6782" t="str">
        <f>VLOOKUP(E6782,DSSpieler!A:B,2,FALSE)</f>
        <v>Xxgoodstar98Xx</v>
      </c>
    </row>
    <row r="6783" spans="1:10" x14ac:dyDescent="0.25">
      <c r="A6783">
        <v>7642</v>
      </c>
      <c r="B6783" t="s">
        <v>33198</v>
      </c>
      <c r="C6783">
        <v>558</v>
      </c>
      <c r="D6783">
        <v>437</v>
      </c>
      <c r="E6783">
        <v>1577011771</v>
      </c>
      <c r="F6783">
        <v>2320</v>
      </c>
      <c r="G6783">
        <v>0</v>
      </c>
      <c r="H6783" t="s">
        <v>11702</v>
      </c>
      <c r="I6783">
        <v>7642</v>
      </c>
      <c r="J6783" t="str">
        <f>VLOOKUP(E6783,DSSpieler!A:B,2,FALSE)</f>
        <v>Raegge80</v>
      </c>
    </row>
    <row r="6784" spans="1:10" x14ac:dyDescent="0.25">
      <c r="A6784">
        <v>7643</v>
      </c>
      <c r="B6784" t="s">
        <v>33199</v>
      </c>
      <c r="C6784">
        <v>453</v>
      </c>
      <c r="D6784">
        <v>429</v>
      </c>
      <c r="E6784">
        <v>10175716</v>
      </c>
      <c r="F6784">
        <v>267</v>
      </c>
      <c r="G6784">
        <v>0</v>
      </c>
      <c r="H6784" t="s">
        <v>11703</v>
      </c>
      <c r="I6784">
        <v>7643</v>
      </c>
      <c r="J6784" t="str">
        <f>VLOOKUP(E6784,DSSpieler!A:B,2,FALSE)</f>
        <v>Baldor01</v>
      </c>
    </row>
    <row r="6785" spans="1:10" x14ac:dyDescent="0.25">
      <c r="A6785">
        <v>7644</v>
      </c>
      <c r="B6785" t="s">
        <v>531</v>
      </c>
      <c r="C6785">
        <v>422</v>
      </c>
      <c r="D6785">
        <v>531</v>
      </c>
      <c r="E6785">
        <v>0</v>
      </c>
      <c r="F6785">
        <v>205</v>
      </c>
      <c r="G6785">
        <v>0</v>
      </c>
      <c r="H6785" t="s">
        <v>11704</v>
      </c>
      <c r="I6785">
        <v>7644</v>
      </c>
      <c r="J6785" t="e">
        <f>VLOOKUP(E6785,DSSpieler!A:B,2,FALSE)</f>
        <v>#N/A</v>
      </c>
    </row>
    <row r="6786" spans="1:10" x14ac:dyDescent="0.25">
      <c r="A6786">
        <v>7646</v>
      </c>
      <c r="B6786" t="s">
        <v>1657</v>
      </c>
      <c r="C6786">
        <v>568</v>
      </c>
      <c r="D6786">
        <v>447</v>
      </c>
      <c r="E6786">
        <v>1576326703</v>
      </c>
      <c r="F6786">
        <v>2427</v>
      </c>
      <c r="G6786">
        <v>0</v>
      </c>
      <c r="H6786" t="s">
        <v>11705</v>
      </c>
      <c r="I6786">
        <v>7646</v>
      </c>
      <c r="J6786" t="str">
        <f>VLOOKUP(E6786,DSSpieler!A:B,2,FALSE)</f>
        <v>masai93</v>
      </c>
    </row>
    <row r="6787" spans="1:10" x14ac:dyDescent="0.25">
      <c r="A6787">
        <v>7647</v>
      </c>
      <c r="B6787" t="s">
        <v>531</v>
      </c>
      <c r="C6787">
        <v>470</v>
      </c>
      <c r="D6787">
        <v>581</v>
      </c>
      <c r="E6787">
        <v>0</v>
      </c>
      <c r="F6787">
        <v>257</v>
      </c>
      <c r="G6787">
        <v>0</v>
      </c>
      <c r="H6787" t="s">
        <v>11706</v>
      </c>
      <c r="I6787">
        <v>7647</v>
      </c>
      <c r="J6787" t="e">
        <f>VLOOKUP(E6787,DSSpieler!A:B,2,FALSE)</f>
        <v>#N/A</v>
      </c>
    </row>
    <row r="6788" spans="1:10" x14ac:dyDescent="0.25">
      <c r="A6788">
        <v>7649</v>
      </c>
      <c r="B6788" t="s">
        <v>531</v>
      </c>
      <c r="C6788">
        <v>547</v>
      </c>
      <c r="D6788">
        <v>568</v>
      </c>
      <c r="E6788">
        <v>0</v>
      </c>
      <c r="F6788">
        <v>255</v>
      </c>
      <c r="G6788">
        <v>0</v>
      </c>
      <c r="H6788" t="s">
        <v>11707</v>
      </c>
      <c r="I6788">
        <v>7649</v>
      </c>
      <c r="J6788" t="e">
        <f>VLOOKUP(E6788,DSSpieler!A:B,2,FALSE)</f>
        <v>#N/A</v>
      </c>
    </row>
    <row r="6789" spans="1:10" x14ac:dyDescent="0.25">
      <c r="A6789">
        <v>7650</v>
      </c>
      <c r="B6789" t="s">
        <v>531</v>
      </c>
      <c r="C6789">
        <v>573</v>
      </c>
      <c r="D6789">
        <v>546</v>
      </c>
      <c r="E6789">
        <v>0</v>
      </c>
      <c r="F6789">
        <v>399</v>
      </c>
      <c r="G6789">
        <v>0</v>
      </c>
      <c r="H6789" t="s">
        <v>11708</v>
      </c>
      <c r="I6789">
        <v>7650</v>
      </c>
      <c r="J6789" t="e">
        <f>VLOOKUP(E6789,DSSpieler!A:B,2,FALSE)</f>
        <v>#N/A</v>
      </c>
    </row>
    <row r="6790" spans="1:10" x14ac:dyDescent="0.25">
      <c r="A6790">
        <v>7651</v>
      </c>
      <c r="B6790" t="s">
        <v>33200</v>
      </c>
      <c r="C6790">
        <v>396</v>
      </c>
      <c r="D6790">
        <v>532</v>
      </c>
      <c r="E6790">
        <v>10230585</v>
      </c>
      <c r="F6790">
        <v>5280</v>
      </c>
      <c r="G6790">
        <v>0</v>
      </c>
      <c r="H6790" t="s">
        <v>11709</v>
      </c>
      <c r="I6790">
        <v>7651</v>
      </c>
      <c r="J6790" t="str">
        <f>VLOOKUP(E6790,DSSpieler!A:B,2,FALSE)</f>
        <v>Candysh0p</v>
      </c>
    </row>
    <row r="6791" spans="1:10" x14ac:dyDescent="0.25">
      <c r="A6791">
        <v>7652</v>
      </c>
      <c r="B6791" t="s">
        <v>33201</v>
      </c>
      <c r="C6791">
        <v>583</v>
      </c>
      <c r="D6791">
        <v>494</v>
      </c>
      <c r="E6791">
        <v>2523758</v>
      </c>
      <c r="F6791">
        <v>2106</v>
      </c>
      <c r="G6791">
        <v>0</v>
      </c>
      <c r="H6791" t="s">
        <v>11710</v>
      </c>
      <c r="I6791">
        <v>7652</v>
      </c>
      <c r="J6791" t="str">
        <f>VLOOKUP(E6791,DSSpieler!A:B,2,FALSE)</f>
        <v>Scribby</v>
      </c>
    </row>
    <row r="6792" spans="1:10" x14ac:dyDescent="0.25">
      <c r="A6792">
        <v>7653</v>
      </c>
      <c r="B6792" t="s">
        <v>531</v>
      </c>
      <c r="C6792">
        <v>543</v>
      </c>
      <c r="D6792">
        <v>427</v>
      </c>
      <c r="E6792">
        <v>0</v>
      </c>
      <c r="F6792">
        <v>300</v>
      </c>
      <c r="G6792">
        <v>0</v>
      </c>
      <c r="H6792" t="s">
        <v>11711</v>
      </c>
      <c r="I6792">
        <v>7653</v>
      </c>
      <c r="J6792" t="e">
        <f>VLOOKUP(E6792,DSSpieler!A:B,2,FALSE)</f>
        <v>#N/A</v>
      </c>
    </row>
    <row r="6793" spans="1:10" x14ac:dyDescent="0.25">
      <c r="A6793">
        <v>7654</v>
      </c>
      <c r="B6793" t="s">
        <v>531</v>
      </c>
      <c r="C6793">
        <v>583</v>
      </c>
      <c r="D6793">
        <v>478</v>
      </c>
      <c r="E6793">
        <v>0</v>
      </c>
      <c r="F6793">
        <v>289</v>
      </c>
      <c r="G6793">
        <v>0</v>
      </c>
      <c r="H6793" t="s">
        <v>11712</v>
      </c>
      <c r="I6793">
        <v>7654</v>
      </c>
      <c r="J6793" t="e">
        <f>VLOOKUP(E6793,DSSpieler!A:B,2,FALSE)</f>
        <v>#N/A</v>
      </c>
    </row>
    <row r="6794" spans="1:10" x14ac:dyDescent="0.25">
      <c r="A6794">
        <v>7655</v>
      </c>
      <c r="B6794" t="s">
        <v>531</v>
      </c>
      <c r="C6794">
        <v>447</v>
      </c>
      <c r="D6794">
        <v>567</v>
      </c>
      <c r="E6794">
        <v>0</v>
      </c>
      <c r="F6794">
        <v>305</v>
      </c>
      <c r="G6794">
        <v>0</v>
      </c>
      <c r="H6794" t="s">
        <v>11713</v>
      </c>
      <c r="I6794">
        <v>7655</v>
      </c>
      <c r="J6794" t="e">
        <f>VLOOKUP(E6794,DSSpieler!A:B,2,FALSE)</f>
        <v>#N/A</v>
      </c>
    </row>
    <row r="6795" spans="1:10" x14ac:dyDescent="0.25">
      <c r="A6795">
        <v>7656</v>
      </c>
      <c r="B6795">
        <v>4</v>
      </c>
      <c r="C6795">
        <v>425</v>
      </c>
      <c r="D6795">
        <v>538</v>
      </c>
      <c r="E6795">
        <v>1576517505</v>
      </c>
      <c r="F6795">
        <v>4008</v>
      </c>
      <c r="G6795">
        <v>0</v>
      </c>
      <c r="H6795" t="s">
        <v>11714</v>
      </c>
      <c r="I6795">
        <v>7656</v>
      </c>
      <c r="J6795" t="str">
        <f>VLOOKUP(E6795,DSSpieler!A:B,2,FALSE)</f>
        <v>.g0dlike</v>
      </c>
    </row>
    <row r="6796" spans="1:10" x14ac:dyDescent="0.25">
      <c r="A6796">
        <v>7659</v>
      </c>
      <c r="B6796" t="s">
        <v>531</v>
      </c>
      <c r="C6796">
        <v>520</v>
      </c>
      <c r="D6796">
        <v>584</v>
      </c>
      <c r="E6796">
        <v>0</v>
      </c>
      <c r="F6796">
        <v>68</v>
      </c>
      <c r="G6796">
        <v>0</v>
      </c>
      <c r="H6796" t="s">
        <v>11715</v>
      </c>
      <c r="I6796">
        <v>7659</v>
      </c>
      <c r="J6796" t="e">
        <f>VLOOKUP(E6796,DSSpieler!A:B,2,FALSE)</f>
        <v>#N/A</v>
      </c>
    </row>
    <row r="6797" spans="1:10" x14ac:dyDescent="0.25">
      <c r="A6797">
        <v>7660</v>
      </c>
      <c r="B6797" t="s">
        <v>531</v>
      </c>
      <c r="C6797">
        <v>566</v>
      </c>
      <c r="D6797">
        <v>556</v>
      </c>
      <c r="E6797">
        <v>0</v>
      </c>
      <c r="F6797">
        <v>458</v>
      </c>
      <c r="G6797">
        <v>0</v>
      </c>
      <c r="H6797" t="s">
        <v>11716</v>
      </c>
      <c r="I6797">
        <v>7660</v>
      </c>
      <c r="J6797" t="e">
        <f>VLOOKUP(E6797,DSSpieler!A:B,2,FALSE)</f>
        <v>#N/A</v>
      </c>
    </row>
    <row r="6798" spans="1:10" x14ac:dyDescent="0.25">
      <c r="A6798">
        <v>7661</v>
      </c>
      <c r="B6798" t="s">
        <v>531</v>
      </c>
      <c r="C6798">
        <v>554</v>
      </c>
      <c r="D6798">
        <v>567</v>
      </c>
      <c r="E6798">
        <v>0</v>
      </c>
      <c r="F6798">
        <v>128</v>
      </c>
      <c r="G6798">
        <v>0</v>
      </c>
      <c r="H6798" t="s">
        <v>11717</v>
      </c>
      <c r="I6798">
        <v>7661</v>
      </c>
      <c r="J6798" t="e">
        <f>VLOOKUP(E6798,DSSpieler!A:B,2,FALSE)</f>
        <v>#N/A</v>
      </c>
    </row>
    <row r="6799" spans="1:10" x14ac:dyDescent="0.25">
      <c r="A6799">
        <v>7662</v>
      </c>
      <c r="B6799">
        <v>2</v>
      </c>
      <c r="C6799">
        <v>576</v>
      </c>
      <c r="D6799">
        <v>465</v>
      </c>
      <c r="E6799">
        <v>1577198063</v>
      </c>
      <c r="F6799">
        <v>2258</v>
      </c>
      <c r="G6799">
        <v>0</v>
      </c>
      <c r="H6799" t="s">
        <v>11718</v>
      </c>
      <c r="I6799">
        <v>7662</v>
      </c>
      <c r="J6799" t="str">
        <f>VLOOKUP(E6799,DSSpieler!A:B,2,FALSE)</f>
        <v>Pinguin168</v>
      </c>
    </row>
    <row r="6800" spans="1:10" x14ac:dyDescent="0.25">
      <c r="A6800">
        <v>7663</v>
      </c>
      <c r="B6800" t="s">
        <v>33202</v>
      </c>
      <c r="C6800">
        <v>560</v>
      </c>
      <c r="D6800">
        <v>426</v>
      </c>
      <c r="E6800">
        <v>1577196839</v>
      </c>
      <c r="F6800">
        <v>3403</v>
      </c>
      <c r="G6800">
        <v>0</v>
      </c>
      <c r="H6800" t="s">
        <v>11719</v>
      </c>
      <c r="I6800">
        <v>7663</v>
      </c>
      <c r="J6800" t="str">
        <f>VLOOKUP(E6800,DSSpieler!A:B,2,FALSE)</f>
        <v>heissi</v>
      </c>
    </row>
    <row r="6801" spans="1:10" x14ac:dyDescent="0.25">
      <c r="A6801">
        <v>7664</v>
      </c>
      <c r="B6801" t="s">
        <v>33203</v>
      </c>
      <c r="C6801">
        <v>578</v>
      </c>
      <c r="D6801">
        <v>536</v>
      </c>
      <c r="E6801">
        <v>1575877996</v>
      </c>
      <c r="F6801">
        <v>363</v>
      </c>
      <c r="G6801">
        <v>0</v>
      </c>
      <c r="H6801" t="s">
        <v>11720</v>
      </c>
      <c r="I6801">
        <v>7664</v>
      </c>
      <c r="J6801" t="str">
        <f>VLOOKUP(E6801,DSSpieler!A:B,2,FALSE)</f>
        <v>ms9969</v>
      </c>
    </row>
    <row r="6802" spans="1:10" x14ac:dyDescent="0.25">
      <c r="A6802">
        <v>7665</v>
      </c>
      <c r="B6802" t="s">
        <v>33204</v>
      </c>
      <c r="C6802">
        <v>585</v>
      </c>
      <c r="D6802">
        <v>489</v>
      </c>
      <c r="E6802">
        <v>1577162500</v>
      </c>
      <c r="F6802">
        <v>2708</v>
      </c>
      <c r="G6802">
        <v>0</v>
      </c>
      <c r="H6802" t="s">
        <v>11721</v>
      </c>
      <c r="I6802">
        <v>7665</v>
      </c>
      <c r="J6802" t="str">
        <f>VLOOKUP(E6802,DSSpieler!A:B,2,FALSE)</f>
        <v>Mosas Reloaded</v>
      </c>
    </row>
    <row r="6803" spans="1:10" x14ac:dyDescent="0.25">
      <c r="A6803">
        <v>7666</v>
      </c>
      <c r="B6803" t="s">
        <v>1658</v>
      </c>
      <c r="C6803">
        <v>572</v>
      </c>
      <c r="D6803">
        <v>541</v>
      </c>
      <c r="E6803">
        <v>1577130480</v>
      </c>
      <c r="F6803">
        <v>2030</v>
      </c>
      <c r="G6803">
        <v>0</v>
      </c>
      <c r="H6803" t="s">
        <v>11722</v>
      </c>
      <c r="I6803">
        <v>7666</v>
      </c>
      <c r="J6803" t="str">
        <f>VLOOKUP(E6803,DSSpieler!A:B,2,FALSE)</f>
        <v>Kri1003</v>
      </c>
    </row>
    <row r="6804" spans="1:10" x14ac:dyDescent="0.25">
      <c r="A6804">
        <v>7667</v>
      </c>
      <c r="B6804" t="s">
        <v>531</v>
      </c>
      <c r="C6804">
        <v>416</v>
      </c>
      <c r="D6804">
        <v>482</v>
      </c>
      <c r="E6804">
        <v>0</v>
      </c>
      <c r="F6804">
        <v>472</v>
      </c>
      <c r="G6804">
        <v>0</v>
      </c>
      <c r="H6804" t="s">
        <v>11723</v>
      </c>
      <c r="I6804">
        <v>7667</v>
      </c>
      <c r="J6804" t="e">
        <f>VLOOKUP(E6804,DSSpieler!A:B,2,FALSE)</f>
        <v>#N/A</v>
      </c>
    </row>
    <row r="6805" spans="1:10" x14ac:dyDescent="0.25">
      <c r="A6805">
        <v>7668</v>
      </c>
      <c r="B6805" t="s">
        <v>33205</v>
      </c>
      <c r="C6805">
        <v>549</v>
      </c>
      <c r="D6805">
        <v>428</v>
      </c>
      <c r="E6805">
        <v>1576938611</v>
      </c>
      <c r="F6805">
        <v>2632</v>
      </c>
      <c r="G6805">
        <v>0</v>
      </c>
      <c r="H6805" t="s">
        <v>11724</v>
      </c>
      <c r="I6805">
        <v>7668</v>
      </c>
      <c r="J6805" t="str">
        <f>VLOOKUP(E6805,DSSpieler!A:B,2,FALSE)</f>
        <v>Veldor</v>
      </c>
    </row>
    <row r="6806" spans="1:10" x14ac:dyDescent="0.25">
      <c r="A6806">
        <v>7669</v>
      </c>
      <c r="B6806" t="s">
        <v>531</v>
      </c>
      <c r="C6806">
        <v>507</v>
      </c>
      <c r="D6806">
        <v>418</v>
      </c>
      <c r="E6806">
        <v>0</v>
      </c>
      <c r="F6806">
        <v>415</v>
      </c>
      <c r="G6806">
        <v>0</v>
      </c>
      <c r="H6806" t="s">
        <v>11725</v>
      </c>
      <c r="I6806">
        <v>7669</v>
      </c>
      <c r="J6806" t="e">
        <f>VLOOKUP(E6806,DSSpieler!A:B,2,FALSE)</f>
        <v>#N/A</v>
      </c>
    </row>
    <row r="6807" spans="1:10" x14ac:dyDescent="0.25">
      <c r="A6807">
        <v>7670</v>
      </c>
      <c r="B6807" t="s">
        <v>531</v>
      </c>
      <c r="C6807">
        <v>511</v>
      </c>
      <c r="D6807">
        <v>415</v>
      </c>
      <c r="E6807">
        <v>0</v>
      </c>
      <c r="F6807">
        <v>210</v>
      </c>
      <c r="G6807">
        <v>0</v>
      </c>
      <c r="H6807" t="s">
        <v>11726</v>
      </c>
      <c r="I6807">
        <v>7670</v>
      </c>
      <c r="J6807" t="e">
        <f>VLOOKUP(E6807,DSSpieler!A:B,2,FALSE)</f>
        <v>#N/A</v>
      </c>
    </row>
    <row r="6808" spans="1:10" x14ac:dyDescent="0.25">
      <c r="A6808">
        <v>7671</v>
      </c>
      <c r="B6808" t="s">
        <v>1659</v>
      </c>
      <c r="C6808">
        <v>424</v>
      </c>
      <c r="D6808">
        <v>464</v>
      </c>
      <c r="E6808">
        <v>1576435797</v>
      </c>
      <c r="F6808">
        <v>2138</v>
      </c>
      <c r="G6808">
        <v>0</v>
      </c>
      <c r="H6808" t="s">
        <v>11727</v>
      </c>
      <c r="I6808">
        <v>7671</v>
      </c>
      <c r="J6808" t="str">
        <f>VLOOKUP(E6808,DSSpieler!A:B,2,FALSE)</f>
        <v>Behexe</v>
      </c>
    </row>
    <row r="6809" spans="1:10" x14ac:dyDescent="0.25">
      <c r="A6809">
        <v>7672</v>
      </c>
      <c r="B6809" t="s">
        <v>1660</v>
      </c>
      <c r="C6809">
        <v>434</v>
      </c>
      <c r="D6809">
        <v>416</v>
      </c>
      <c r="E6809">
        <v>1575914765</v>
      </c>
      <c r="F6809">
        <v>5152</v>
      </c>
      <c r="G6809">
        <v>0</v>
      </c>
      <c r="H6809" t="s">
        <v>11728</v>
      </c>
      <c r="I6809">
        <v>7672</v>
      </c>
      <c r="J6809" t="str">
        <f>VLOOKUP(E6809,DSSpieler!A:B,2,FALSE)</f>
        <v>nacktschnecke69</v>
      </c>
    </row>
    <row r="6810" spans="1:10" x14ac:dyDescent="0.25">
      <c r="A6810">
        <v>7674</v>
      </c>
      <c r="B6810" t="s">
        <v>531</v>
      </c>
      <c r="C6810">
        <v>424</v>
      </c>
      <c r="D6810">
        <v>463</v>
      </c>
      <c r="E6810">
        <v>0</v>
      </c>
      <c r="F6810">
        <v>194</v>
      </c>
      <c r="G6810">
        <v>0</v>
      </c>
      <c r="H6810" t="s">
        <v>11729</v>
      </c>
      <c r="I6810">
        <v>7674</v>
      </c>
      <c r="J6810" t="e">
        <f>VLOOKUP(E6810,DSSpieler!A:B,2,FALSE)</f>
        <v>#N/A</v>
      </c>
    </row>
    <row r="6811" spans="1:10" x14ac:dyDescent="0.25">
      <c r="A6811">
        <v>7675</v>
      </c>
      <c r="B6811" t="s">
        <v>531</v>
      </c>
      <c r="C6811">
        <v>428</v>
      </c>
      <c r="D6811">
        <v>547</v>
      </c>
      <c r="E6811">
        <v>0</v>
      </c>
      <c r="F6811">
        <v>276</v>
      </c>
      <c r="G6811">
        <v>0</v>
      </c>
      <c r="H6811" t="s">
        <v>11730</v>
      </c>
      <c r="I6811">
        <v>7675</v>
      </c>
      <c r="J6811" t="e">
        <f>VLOOKUP(E6811,DSSpieler!A:B,2,FALSE)</f>
        <v>#N/A</v>
      </c>
    </row>
    <row r="6812" spans="1:10" x14ac:dyDescent="0.25">
      <c r="A6812">
        <v>7676</v>
      </c>
      <c r="B6812" t="s">
        <v>531</v>
      </c>
      <c r="C6812">
        <v>564</v>
      </c>
      <c r="D6812">
        <v>558</v>
      </c>
      <c r="E6812">
        <v>0</v>
      </c>
      <c r="F6812">
        <v>181</v>
      </c>
      <c r="G6812">
        <v>0</v>
      </c>
      <c r="H6812" t="s">
        <v>11731</v>
      </c>
      <c r="I6812">
        <v>7676</v>
      </c>
      <c r="J6812" t="e">
        <f>VLOOKUP(E6812,DSSpieler!A:B,2,FALSE)</f>
        <v>#N/A</v>
      </c>
    </row>
    <row r="6813" spans="1:10" x14ac:dyDescent="0.25">
      <c r="A6813">
        <v>7677</v>
      </c>
      <c r="B6813" t="s">
        <v>33496</v>
      </c>
      <c r="C6813">
        <v>428</v>
      </c>
      <c r="D6813">
        <v>549</v>
      </c>
      <c r="E6813">
        <v>1577183380</v>
      </c>
      <c r="F6813">
        <v>4957</v>
      </c>
      <c r="G6813">
        <v>0</v>
      </c>
      <c r="H6813" t="s">
        <v>11732</v>
      </c>
      <c r="I6813">
        <v>7677</v>
      </c>
      <c r="J6813" t="str">
        <f>VLOOKUP(E6813,DSSpieler!A:B,2,FALSE)</f>
        <v>AntikerPro</v>
      </c>
    </row>
    <row r="6814" spans="1:10" x14ac:dyDescent="0.25">
      <c r="A6814">
        <v>7678</v>
      </c>
      <c r="B6814" t="s">
        <v>531</v>
      </c>
      <c r="C6814">
        <v>434</v>
      </c>
      <c r="D6814">
        <v>555</v>
      </c>
      <c r="E6814">
        <v>0</v>
      </c>
      <c r="F6814">
        <v>305</v>
      </c>
      <c r="G6814">
        <v>0</v>
      </c>
      <c r="H6814" t="s">
        <v>11733</v>
      </c>
      <c r="I6814">
        <v>7678</v>
      </c>
      <c r="J6814" t="e">
        <f>VLOOKUP(E6814,DSSpieler!A:B,2,FALSE)</f>
        <v>#N/A</v>
      </c>
    </row>
    <row r="6815" spans="1:10" x14ac:dyDescent="0.25">
      <c r="A6815">
        <v>7679</v>
      </c>
      <c r="B6815" t="s">
        <v>531</v>
      </c>
      <c r="C6815">
        <v>505</v>
      </c>
      <c r="D6815">
        <v>583</v>
      </c>
      <c r="E6815">
        <v>0</v>
      </c>
      <c r="F6815">
        <v>158</v>
      </c>
      <c r="G6815">
        <v>0</v>
      </c>
      <c r="H6815" t="s">
        <v>11734</v>
      </c>
      <c r="I6815">
        <v>7679</v>
      </c>
      <c r="J6815" t="e">
        <f>VLOOKUP(E6815,DSSpieler!A:B,2,FALSE)</f>
        <v>#N/A</v>
      </c>
    </row>
    <row r="6816" spans="1:10" x14ac:dyDescent="0.25">
      <c r="A6816">
        <v>7680</v>
      </c>
      <c r="B6816" t="s">
        <v>531</v>
      </c>
      <c r="C6816">
        <v>515</v>
      </c>
      <c r="D6816">
        <v>583</v>
      </c>
      <c r="E6816">
        <v>0</v>
      </c>
      <c r="F6816">
        <v>274</v>
      </c>
      <c r="G6816">
        <v>0</v>
      </c>
      <c r="H6816" t="s">
        <v>11735</v>
      </c>
      <c r="I6816">
        <v>7680</v>
      </c>
      <c r="J6816" t="e">
        <f>VLOOKUP(E6816,DSSpieler!A:B,2,FALSE)</f>
        <v>#N/A</v>
      </c>
    </row>
    <row r="6817" spans="1:10" x14ac:dyDescent="0.25">
      <c r="A6817">
        <v>7681</v>
      </c>
      <c r="B6817" t="s">
        <v>531</v>
      </c>
      <c r="C6817">
        <v>496</v>
      </c>
      <c r="D6817">
        <v>557</v>
      </c>
      <c r="E6817">
        <v>0</v>
      </c>
      <c r="F6817">
        <v>827</v>
      </c>
      <c r="G6817">
        <v>0</v>
      </c>
      <c r="H6817" t="s">
        <v>11736</v>
      </c>
      <c r="I6817">
        <v>7681</v>
      </c>
      <c r="J6817" t="e">
        <f>VLOOKUP(E6817,DSSpieler!A:B,2,FALSE)</f>
        <v>#N/A</v>
      </c>
    </row>
    <row r="6818" spans="1:10" x14ac:dyDescent="0.25">
      <c r="A6818">
        <v>7682</v>
      </c>
      <c r="B6818" t="s">
        <v>531</v>
      </c>
      <c r="C6818">
        <v>585</v>
      </c>
      <c r="D6818">
        <v>518</v>
      </c>
      <c r="E6818">
        <v>0</v>
      </c>
      <c r="F6818">
        <v>439</v>
      </c>
      <c r="G6818">
        <v>0</v>
      </c>
      <c r="H6818" t="s">
        <v>11737</v>
      </c>
      <c r="I6818">
        <v>7682</v>
      </c>
      <c r="J6818" t="e">
        <f>VLOOKUP(E6818,DSSpieler!A:B,2,FALSE)</f>
        <v>#N/A</v>
      </c>
    </row>
    <row r="6819" spans="1:10" x14ac:dyDescent="0.25">
      <c r="A6819">
        <v>7683</v>
      </c>
      <c r="B6819" t="s">
        <v>531</v>
      </c>
      <c r="C6819">
        <v>581</v>
      </c>
      <c r="D6819">
        <v>528</v>
      </c>
      <c r="E6819">
        <v>0</v>
      </c>
      <c r="F6819">
        <v>287</v>
      </c>
      <c r="G6819">
        <v>0</v>
      </c>
      <c r="H6819" t="s">
        <v>11738</v>
      </c>
      <c r="I6819">
        <v>7683</v>
      </c>
      <c r="J6819" t="e">
        <f>VLOOKUP(E6819,DSSpieler!A:B,2,FALSE)</f>
        <v>#N/A</v>
      </c>
    </row>
    <row r="6820" spans="1:10" x14ac:dyDescent="0.25">
      <c r="A6820">
        <v>7684</v>
      </c>
      <c r="B6820" t="s">
        <v>531</v>
      </c>
      <c r="C6820">
        <v>533</v>
      </c>
      <c r="D6820">
        <v>421</v>
      </c>
      <c r="E6820">
        <v>0</v>
      </c>
      <c r="F6820">
        <v>189</v>
      </c>
      <c r="G6820">
        <v>0</v>
      </c>
      <c r="H6820" t="s">
        <v>11739</v>
      </c>
      <c r="I6820">
        <v>7684</v>
      </c>
      <c r="J6820" t="e">
        <f>VLOOKUP(E6820,DSSpieler!A:B,2,FALSE)</f>
        <v>#N/A</v>
      </c>
    </row>
    <row r="6821" spans="1:10" x14ac:dyDescent="0.25">
      <c r="A6821">
        <v>7686</v>
      </c>
      <c r="B6821" t="s">
        <v>531</v>
      </c>
      <c r="C6821">
        <v>523</v>
      </c>
      <c r="D6821">
        <v>583</v>
      </c>
      <c r="E6821">
        <v>0</v>
      </c>
      <c r="F6821">
        <v>272</v>
      </c>
      <c r="G6821">
        <v>0</v>
      </c>
      <c r="H6821" t="s">
        <v>11740</v>
      </c>
      <c r="I6821">
        <v>7686</v>
      </c>
      <c r="J6821" t="e">
        <f>VLOOKUP(E6821,DSSpieler!A:B,2,FALSE)</f>
        <v>#N/A</v>
      </c>
    </row>
    <row r="6822" spans="1:10" x14ac:dyDescent="0.25">
      <c r="A6822">
        <v>7687</v>
      </c>
      <c r="B6822" t="s">
        <v>33207</v>
      </c>
      <c r="C6822">
        <v>417</v>
      </c>
      <c r="D6822">
        <v>525</v>
      </c>
      <c r="E6822">
        <v>1577180543</v>
      </c>
      <c r="F6822">
        <v>2909</v>
      </c>
      <c r="G6822">
        <v>0</v>
      </c>
      <c r="H6822" t="s">
        <v>11741</v>
      </c>
      <c r="I6822">
        <v>7687</v>
      </c>
      <c r="J6822" t="str">
        <f>VLOOKUP(E6822,DSSpieler!A:B,2,FALSE)</f>
        <v>Stay at Home</v>
      </c>
    </row>
    <row r="6823" spans="1:10" x14ac:dyDescent="0.25">
      <c r="A6823">
        <v>7688</v>
      </c>
      <c r="B6823" t="s">
        <v>1661</v>
      </c>
      <c r="C6823">
        <v>518</v>
      </c>
      <c r="D6823">
        <v>584</v>
      </c>
      <c r="E6823">
        <v>1577196710</v>
      </c>
      <c r="F6823">
        <v>321</v>
      </c>
      <c r="G6823">
        <v>0</v>
      </c>
      <c r="H6823" t="s">
        <v>11742</v>
      </c>
      <c r="I6823">
        <v>7688</v>
      </c>
      <c r="J6823" t="str">
        <f>VLOOKUP(E6823,DSSpieler!A:B,2,FALSE)</f>
        <v>Harz4Hubi</v>
      </c>
    </row>
    <row r="6824" spans="1:10" x14ac:dyDescent="0.25">
      <c r="A6824">
        <v>7689</v>
      </c>
      <c r="B6824" t="s">
        <v>531</v>
      </c>
      <c r="C6824">
        <v>418</v>
      </c>
      <c r="D6824">
        <v>519</v>
      </c>
      <c r="E6824">
        <v>0</v>
      </c>
      <c r="F6824">
        <v>319</v>
      </c>
      <c r="G6824">
        <v>0</v>
      </c>
      <c r="H6824" t="s">
        <v>11743</v>
      </c>
      <c r="I6824">
        <v>7689</v>
      </c>
      <c r="J6824" t="e">
        <f>VLOOKUP(E6824,DSSpieler!A:B,2,FALSE)</f>
        <v>#N/A</v>
      </c>
    </row>
    <row r="6825" spans="1:10" x14ac:dyDescent="0.25">
      <c r="A6825">
        <v>7690</v>
      </c>
      <c r="B6825" t="s">
        <v>31691</v>
      </c>
      <c r="C6825">
        <v>580</v>
      </c>
      <c r="D6825">
        <v>474</v>
      </c>
      <c r="E6825">
        <v>1577176189</v>
      </c>
      <c r="F6825">
        <v>7668</v>
      </c>
      <c r="G6825">
        <v>0</v>
      </c>
      <c r="H6825" t="s">
        <v>11744</v>
      </c>
      <c r="I6825">
        <v>7690</v>
      </c>
      <c r="J6825" t="str">
        <f>VLOOKUP(E6825,DSSpieler!A:B,2,FALSE)</f>
        <v>24hrs</v>
      </c>
    </row>
    <row r="6826" spans="1:10" x14ac:dyDescent="0.25">
      <c r="A6826">
        <v>7692</v>
      </c>
      <c r="B6826" t="s">
        <v>1662</v>
      </c>
      <c r="C6826">
        <v>499</v>
      </c>
      <c r="D6826">
        <v>489</v>
      </c>
      <c r="E6826">
        <v>1576073744</v>
      </c>
      <c r="F6826">
        <v>4360</v>
      </c>
      <c r="G6826">
        <v>0</v>
      </c>
      <c r="H6826" t="s">
        <v>11745</v>
      </c>
      <c r="I6826">
        <v>7692</v>
      </c>
      <c r="J6826" t="str">
        <f>VLOOKUP(E6826,DSSpieler!A:B,2,FALSE)</f>
        <v>Eritjan</v>
      </c>
    </row>
    <row r="6827" spans="1:10" x14ac:dyDescent="0.25">
      <c r="A6827">
        <v>7693</v>
      </c>
      <c r="B6827" t="s">
        <v>33208</v>
      </c>
      <c r="C6827">
        <v>414</v>
      </c>
      <c r="D6827">
        <v>504</v>
      </c>
      <c r="E6827">
        <v>1577174186</v>
      </c>
      <c r="F6827">
        <v>4631</v>
      </c>
      <c r="G6827">
        <v>0</v>
      </c>
      <c r="H6827" t="s">
        <v>11746</v>
      </c>
      <c r="I6827">
        <v>7693</v>
      </c>
      <c r="J6827" t="str">
        <f>VLOOKUP(E6827,DSSpieler!A:B,2,FALSE)</f>
        <v>TuTsckin Dark</v>
      </c>
    </row>
    <row r="6828" spans="1:10" x14ac:dyDescent="0.25">
      <c r="A6828">
        <v>7694</v>
      </c>
      <c r="B6828" t="s">
        <v>531</v>
      </c>
      <c r="C6828">
        <v>540</v>
      </c>
      <c r="D6828">
        <v>574</v>
      </c>
      <c r="E6828">
        <v>0</v>
      </c>
      <c r="F6828">
        <v>359</v>
      </c>
      <c r="G6828">
        <v>0</v>
      </c>
      <c r="H6828" t="s">
        <v>11747</v>
      </c>
      <c r="I6828">
        <v>7694</v>
      </c>
      <c r="J6828" t="e">
        <f>VLOOKUP(E6828,DSSpieler!A:B,2,FALSE)</f>
        <v>#N/A</v>
      </c>
    </row>
    <row r="6829" spans="1:10" x14ac:dyDescent="0.25">
      <c r="A6829">
        <v>7695</v>
      </c>
      <c r="B6829" t="s">
        <v>531</v>
      </c>
      <c r="C6829">
        <v>418</v>
      </c>
      <c r="D6829">
        <v>474</v>
      </c>
      <c r="E6829">
        <v>0</v>
      </c>
      <c r="F6829">
        <v>388</v>
      </c>
      <c r="G6829">
        <v>0</v>
      </c>
      <c r="H6829" t="s">
        <v>11748</v>
      </c>
      <c r="I6829">
        <v>7695</v>
      </c>
      <c r="J6829" t="e">
        <f>VLOOKUP(E6829,DSSpieler!A:B,2,FALSE)</f>
        <v>#N/A</v>
      </c>
    </row>
    <row r="6830" spans="1:10" x14ac:dyDescent="0.25">
      <c r="A6830">
        <v>7696</v>
      </c>
      <c r="B6830" t="s">
        <v>33209</v>
      </c>
      <c r="C6830">
        <v>504</v>
      </c>
      <c r="D6830">
        <v>584</v>
      </c>
      <c r="E6830">
        <v>1576082007</v>
      </c>
      <c r="F6830">
        <v>4142</v>
      </c>
      <c r="G6830">
        <v>0</v>
      </c>
      <c r="H6830" t="s">
        <v>11749</v>
      </c>
      <c r="I6830">
        <v>7696</v>
      </c>
      <c r="J6830" t="str">
        <f>VLOOKUP(E6830,DSSpieler!A:B,2,FALSE)</f>
        <v>Der Bekloppte Barnabas</v>
      </c>
    </row>
    <row r="6831" spans="1:10" x14ac:dyDescent="0.25">
      <c r="A6831">
        <v>7697</v>
      </c>
      <c r="B6831" t="s">
        <v>531</v>
      </c>
      <c r="C6831">
        <v>492</v>
      </c>
      <c r="D6831">
        <v>414</v>
      </c>
      <c r="E6831">
        <v>0</v>
      </c>
      <c r="F6831">
        <v>782</v>
      </c>
      <c r="G6831">
        <v>0</v>
      </c>
      <c r="H6831" t="s">
        <v>11750</v>
      </c>
      <c r="I6831">
        <v>7697</v>
      </c>
      <c r="J6831" t="e">
        <f>VLOOKUP(E6831,DSSpieler!A:B,2,FALSE)</f>
        <v>#N/A</v>
      </c>
    </row>
    <row r="6832" spans="1:10" x14ac:dyDescent="0.25">
      <c r="A6832">
        <v>7698</v>
      </c>
      <c r="B6832" t="s">
        <v>531</v>
      </c>
      <c r="C6832">
        <v>442</v>
      </c>
      <c r="D6832">
        <v>561</v>
      </c>
      <c r="E6832">
        <v>0</v>
      </c>
      <c r="F6832">
        <v>192</v>
      </c>
      <c r="G6832">
        <v>0</v>
      </c>
      <c r="H6832" t="s">
        <v>11751</v>
      </c>
      <c r="I6832">
        <v>7698</v>
      </c>
      <c r="J6832" t="e">
        <f>VLOOKUP(E6832,DSSpieler!A:B,2,FALSE)</f>
        <v>#N/A</v>
      </c>
    </row>
    <row r="6833" spans="1:10" x14ac:dyDescent="0.25">
      <c r="A6833">
        <v>7700</v>
      </c>
      <c r="B6833" t="s">
        <v>33210</v>
      </c>
      <c r="C6833">
        <v>568</v>
      </c>
      <c r="D6833">
        <v>552</v>
      </c>
      <c r="E6833">
        <v>1577115905</v>
      </c>
      <c r="F6833">
        <v>3290</v>
      </c>
      <c r="G6833">
        <v>0</v>
      </c>
      <c r="H6833" t="s">
        <v>11752</v>
      </c>
      <c r="I6833">
        <v>7700</v>
      </c>
      <c r="J6833" t="str">
        <f>VLOOKUP(E6833,DSSpieler!A:B,2,FALSE)</f>
        <v>Bateman</v>
      </c>
    </row>
    <row r="6834" spans="1:10" x14ac:dyDescent="0.25">
      <c r="A6834">
        <v>7701</v>
      </c>
      <c r="B6834" t="s">
        <v>31691</v>
      </c>
      <c r="C6834">
        <v>581</v>
      </c>
      <c r="D6834">
        <v>479</v>
      </c>
      <c r="E6834">
        <v>1577176189</v>
      </c>
      <c r="F6834">
        <v>3492</v>
      </c>
      <c r="G6834">
        <v>0</v>
      </c>
      <c r="H6834" t="s">
        <v>11753</v>
      </c>
      <c r="I6834">
        <v>7701</v>
      </c>
      <c r="J6834" t="str">
        <f>VLOOKUP(E6834,DSSpieler!A:B,2,FALSE)</f>
        <v>24hrs</v>
      </c>
    </row>
    <row r="6835" spans="1:10" x14ac:dyDescent="0.25">
      <c r="A6835">
        <v>7702</v>
      </c>
      <c r="B6835" t="s">
        <v>1100</v>
      </c>
      <c r="C6835">
        <v>580</v>
      </c>
      <c r="D6835">
        <v>575</v>
      </c>
      <c r="E6835">
        <v>8703971</v>
      </c>
      <c r="F6835">
        <v>5039</v>
      </c>
      <c r="G6835">
        <v>0</v>
      </c>
      <c r="H6835" t="s">
        <v>11754</v>
      </c>
      <c r="I6835">
        <v>7702</v>
      </c>
      <c r="J6835" t="str">
        <f>VLOOKUP(E6835,DSSpieler!A:B,2,FALSE)</f>
        <v>WaBoUnleashed</v>
      </c>
    </row>
    <row r="6836" spans="1:10" x14ac:dyDescent="0.25">
      <c r="A6836">
        <v>7703</v>
      </c>
      <c r="B6836" t="s">
        <v>33211</v>
      </c>
      <c r="C6836">
        <v>417</v>
      </c>
      <c r="D6836">
        <v>520</v>
      </c>
      <c r="E6836">
        <v>1577002560</v>
      </c>
      <c r="F6836">
        <v>2360</v>
      </c>
      <c r="G6836">
        <v>0</v>
      </c>
      <c r="H6836" t="s">
        <v>11755</v>
      </c>
      <c r="I6836">
        <v>7703</v>
      </c>
      <c r="J6836" t="str">
        <f>VLOOKUP(E6836,DSSpieler!A:B,2,FALSE)</f>
        <v>InstandKiller</v>
      </c>
    </row>
    <row r="6837" spans="1:10" x14ac:dyDescent="0.25">
      <c r="A6837">
        <v>7704</v>
      </c>
      <c r="B6837" t="s">
        <v>531</v>
      </c>
      <c r="C6837">
        <v>586</v>
      </c>
      <c r="D6837">
        <v>503</v>
      </c>
      <c r="E6837">
        <v>0</v>
      </c>
      <c r="F6837">
        <v>121</v>
      </c>
      <c r="G6837">
        <v>0</v>
      </c>
      <c r="H6837" t="s">
        <v>11756</v>
      </c>
      <c r="I6837">
        <v>7704</v>
      </c>
      <c r="J6837" t="e">
        <f>VLOOKUP(E6837,DSSpieler!A:B,2,FALSE)</f>
        <v>#N/A</v>
      </c>
    </row>
    <row r="6838" spans="1:10" x14ac:dyDescent="0.25">
      <c r="A6838">
        <v>7705</v>
      </c>
      <c r="B6838" t="s">
        <v>531</v>
      </c>
      <c r="C6838">
        <v>585</v>
      </c>
      <c r="D6838">
        <v>482</v>
      </c>
      <c r="E6838">
        <v>0</v>
      </c>
      <c r="F6838">
        <v>293</v>
      </c>
      <c r="G6838">
        <v>0</v>
      </c>
      <c r="H6838" t="s">
        <v>11757</v>
      </c>
      <c r="I6838">
        <v>7705</v>
      </c>
      <c r="J6838" t="e">
        <f>VLOOKUP(E6838,DSSpieler!A:B,2,FALSE)</f>
        <v>#N/A</v>
      </c>
    </row>
    <row r="6839" spans="1:10" x14ac:dyDescent="0.25">
      <c r="A6839">
        <v>7706</v>
      </c>
      <c r="B6839" t="s">
        <v>33212</v>
      </c>
      <c r="C6839">
        <v>579</v>
      </c>
      <c r="D6839">
        <v>466</v>
      </c>
      <c r="E6839">
        <v>1576161306</v>
      </c>
      <c r="F6839">
        <v>142</v>
      </c>
      <c r="G6839">
        <v>0</v>
      </c>
      <c r="H6839" t="s">
        <v>11758</v>
      </c>
      <c r="I6839">
        <v>7706</v>
      </c>
      <c r="J6839" t="str">
        <f>VLOOKUP(E6839,DSSpieler!A:B,2,FALSE)</f>
        <v>BlackHorse24</v>
      </c>
    </row>
    <row r="6840" spans="1:10" x14ac:dyDescent="0.25">
      <c r="A6840">
        <v>7707</v>
      </c>
      <c r="B6840" t="s">
        <v>33213</v>
      </c>
      <c r="C6840">
        <v>397</v>
      </c>
      <c r="D6840">
        <v>476</v>
      </c>
      <c r="E6840">
        <v>1576164063</v>
      </c>
      <c r="F6840">
        <v>4356</v>
      </c>
      <c r="G6840">
        <v>0</v>
      </c>
      <c r="H6840" t="s">
        <v>11759</v>
      </c>
      <c r="I6840">
        <v>7707</v>
      </c>
      <c r="J6840" t="str">
        <f>VLOOKUP(E6840,DSSpieler!A:B,2,FALSE)</f>
        <v>pr0gam3r0ne</v>
      </c>
    </row>
    <row r="6841" spans="1:10" x14ac:dyDescent="0.25">
      <c r="A6841">
        <v>7708</v>
      </c>
      <c r="B6841" t="s">
        <v>33214</v>
      </c>
      <c r="C6841">
        <v>403</v>
      </c>
      <c r="D6841">
        <v>471</v>
      </c>
      <c r="E6841">
        <v>10267140</v>
      </c>
      <c r="F6841">
        <v>4947</v>
      </c>
      <c r="G6841">
        <v>0</v>
      </c>
      <c r="H6841" t="s">
        <v>11760</v>
      </c>
      <c r="I6841">
        <v>7708</v>
      </c>
      <c r="J6841" t="str">
        <f>VLOOKUP(E6841,DSSpieler!A:B,2,FALSE)</f>
        <v>Gudanggaram</v>
      </c>
    </row>
    <row r="6842" spans="1:10" x14ac:dyDescent="0.25">
      <c r="A6842">
        <v>7709</v>
      </c>
      <c r="B6842" t="s">
        <v>979</v>
      </c>
      <c r="C6842">
        <v>506</v>
      </c>
      <c r="D6842">
        <v>584</v>
      </c>
      <c r="E6842">
        <v>2660493</v>
      </c>
      <c r="F6842">
        <v>3954</v>
      </c>
      <c r="G6842">
        <v>0</v>
      </c>
      <c r="H6842" t="s">
        <v>11761</v>
      </c>
      <c r="I6842">
        <v>7709</v>
      </c>
      <c r="J6842" t="str">
        <f>VLOOKUP(E6842,DSSpieler!A:B,2,FALSE)</f>
        <v>homer 681</v>
      </c>
    </row>
    <row r="6843" spans="1:10" x14ac:dyDescent="0.25">
      <c r="A6843">
        <v>7710</v>
      </c>
      <c r="B6843" t="s">
        <v>531</v>
      </c>
      <c r="C6843">
        <v>510</v>
      </c>
      <c r="D6843">
        <v>414</v>
      </c>
      <c r="E6843">
        <v>0</v>
      </c>
      <c r="F6843">
        <v>239</v>
      </c>
      <c r="G6843">
        <v>0</v>
      </c>
      <c r="H6843" t="s">
        <v>11762</v>
      </c>
      <c r="I6843">
        <v>7710</v>
      </c>
      <c r="J6843" t="e">
        <f>VLOOKUP(E6843,DSSpieler!A:B,2,FALSE)</f>
        <v>#N/A</v>
      </c>
    </row>
    <row r="6844" spans="1:10" x14ac:dyDescent="0.25">
      <c r="A6844">
        <v>7711</v>
      </c>
      <c r="B6844" t="s">
        <v>531</v>
      </c>
      <c r="C6844">
        <v>563</v>
      </c>
      <c r="D6844">
        <v>558</v>
      </c>
      <c r="E6844">
        <v>0</v>
      </c>
      <c r="F6844">
        <v>569</v>
      </c>
      <c r="G6844">
        <v>0</v>
      </c>
      <c r="H6844" t="s">
        <v>11763</v>
      </c>
      <c r="I6844">
        <v>7711</v>
      </c>
      <c r="J6844" t="e">
        <f>VLOOKUP(E6844,DSSpieler!A:B,2,FALSE)</f>
        <v>#N/A</v>
      </c>
    </row>
    <row r="6845" spans="1:10" x14ac:dyDescent="0.25">
      <c r="A6845">
        <v>7712</v>
      </c>
      <c r="B6845" t="s">
        <v>1663</v>
      </c>
      <c r="C6845">
        <v>526</v>
      </c>
      <c r="D6845">
        <v>580</v>
      </c>
      <c r="E6845">
        <v>1576183317</v>
      </c>
      <c r="F6845">
        <v>1837</v>
      </c>
      <c r="G6845">
        <v>0</v>
      </c>
      <c r="H6845" t="s">
        <v>11764</v>
      </c>
      <c r="I6845">
        <v>7712</v>
      </c>
      <c r="J6845" t="str">
        <f>VLOOKUP(E6845,DSSpieler!A:B,2,FALSE)</f>
        <v>ralfom</v>
      </c>
    </row>
    <row r="6846" spans="1:10" x14ac:dyDescent="0.25">
      <c r="A6846">
        <v>7714</v>
      </c>
      <c r="B6846" t="s">
        <v>531</v>
      </c>
      <c r="C6846">
        <v>412</v>
      </c>
      <c r="D6846">
        <v>498</v>
      </c>
      <c r="E6846">
        <v>0</v>
      </c>
      <c r="F6846">
        <v>754</v>
      </c>
      <c r="G6846">
        <v>0</v>
      </c>
      <c r="H6846" t="s">
        <v>11765</v>
      </c>
      <c r="I6846">
        <v>7714</v>
      </c>
      <c r="J6846" t="e">
        <f>VLOOKUP(E6846,DSSpieler!A:B,2,FALSE)</f>
        <v>#N/A</v>
      </c>
    </row>
    <row r="6847" spans="1:10" x14ac:dyDescent="0.25">
      <c r="A6847">
        <v>7715</v>
      </c>
      <c r="B6847" t="s">
        <v>531</v>
      </c>
      <c r="C6847">
        <v>416</v>
      </c>
      <c r="D6847">
        <v>506</v>
      </c>
      <c r="E6847">
        <v>0</v>
      </c>
      <c r="F6847">
        <v>215</v>
      </c>
      <c r="G6847">
        <v>0</v>
      </c>
      <c r="H6847" t="s">
        <v>11766</v>
      </c>
      <c r="I6847">
        <v>7715</v>
      </c>
      <c r="J6847" t="e">
        <f>VLOOKUP(E6847,DSSpieler!A:B,2,FALSE)</f>
        <v>#N/A</v>
      </c>
    </row>
    <row r="6848" spans="1:10" x14ac:dyDescent="0.25">
      <c r="A6848">
        <v>7716</v>
      </c>
      <c r="B6848" t="s">
        <v>531</v>
      </c>
      <c r="C6848">
        <v>483</v>
      </c>
      <c r="D6848">
        <v>415</v>
      </c>
      <c r="E6848">
        <v>0</v>
      </c>
      <c r="F6848">
        <v>423</v>
      </c>
      <c r="G6848">
        <v>0</v>
      </c>
      <c r="H6848" t="s">
        <v>11767</v>
      </c>
      <c r="I6848">
        <v>7716</v>
      </c>
      <c r="J6848" t="e">
        <f>VLOOKUP(E6848,DSSpieler!A:B,2,FALSE)</f>
        <v>#N/A</v>
      </c>
    </row>
    <row r="6849" spans="1:10" x14ac:dyDescent="0.25">
      <c r="A6849">
        <v>7717</v>
      </c>
      <c r="B6849" t="s">
        <v>531</v>
      </c>
      <c r="C6849">
        <v>573</v>
      </c>
      <c r="D6849">
        <v>459</v>
      </c>
      <c r="E6849">
        <v>0</v>
      </c>
      <c r="F6849">
        <v>199</v>
      </c>
      <c r="G6849">
        <v>0</v>
      </c>
      <c r="H6849" t="s">
        <v>11768</v>
      </c>
      <c r="I6849">
        <v>7717</v>
      </c>
      <c r="J6849" t="e">
        <f>VLOOKUP(E6849,DSSpieler!A:B,2,FALSE)</f>
        <v>#N/A</v>
      </c>
    </row>
    <row r="6850" spans="1:10" x14ac:dyDescent="0.25">
      <c r="A6850">
        <v>7718</v>
      </c>
      <c r="B6850" t="s">
        <v>33215</v>
      </c>
      <c r="C6850">
        <v>537</v>
      </c>
      <c r="D6850">
        <v>577</v>
      </c>
      <c r="E6850">
        <v>7873819</v>
      </c>
      <c r="F6850">
        <v>487</v>
      </c>
      <c r="G6850">
        <v>0</v>
      </c>
      <c r="H6850" t="s">
        <v>11769</v>
      </c>
      <c r="I6850">
        <v>7718</v>
      </c>
      <c r="J6850" t="str">
        <f>VLOOKUP(E6850,DSSpieler!A:B,2,FALSE)</f>
        <v>Gerhard1950</v>
      </c>
    </row>
    <row r="6851" spans="1:10" x14ac:dyDescent="0.25">
      <c r="A6851">
        <v>7719</v>
      </c>
      <c r="B6851" t="s">
        <v>531</v>
      </c>
      <c r="C6851">
        <v>444</v>
      </c>
      <c r="D6851">
        <v>564</v>
      </c>
      <c r="E6851">
        <v>0</v>
      </c>
      <c r="F6851">
        <v>81</v>
      </c>
      <c r="G6851">
        <v>0</v>
      </c>
      <c r="H6851" t="s">
        <v>11770</v>
      </c>
      <c r="I6851">
        <v>7719</v>
      </c>
      <c r="J6851" t="e">
        <f>VLOOKUP(E6851,DSSpieler!A:B,2,FALSE)</f>
        <v>#N/A</v>
      </c>
    </row>
    <row r="6852" spans="1:10" x14ac:dyDescent="0.25">
      <c r="A6852">
        <v>7720</v>
      </c>
      <c r="B6852" t="s">
        <v>531</v>
      </c>
      <c r="C6852">
        <v>525</v>
      </c>
      <c r="D6852">
        <v>582</v>
      </c>
      <c r="E6852">
        <v>0</v>
      </c>
      <c r="F6852">
        <v>230</v>
      </c>
      <c r="G6852">
        <v>0</v>
      </c>
      <c r="H6852" t="s">
        <v>11771</v>
      </c>
      <c r="I6852">
        <v>7720</v>
      </c>
      <c r="J6852" t="e">
        <f>VLOOKUP(E6852,DSSpieler!A:B,2,FALSE)</f>
        <v>#N/A</v>
      </c>
    </row>
    <row r="6853" spans="1:10" x14ac:dyDescent="0.25">
      <c r="A6853">
        <v>7721</v>
      </c>
      <c r="B6853" t="s">
        <v>1243</v>
      </c>
      <c r="C6853">
        <v>580</v>
      </c>
      <c r="D6853">
        <v>533</v>
      </c>
      <c r="E6853">
        <v>1577168712</v>
      </c>
      <c r="F6853">
        <v>2876</v>
      </c>
      <c r="G6853">
        <v>0</v>
      </c>
      <c r="H6853" t="s">
        <v>11772</v>
      </c>
      <c r="I6853">
        <v>7721</v>
      </c>
      <c r="J6853" t="str">
        <f>VLOOKUP(E6853,DSSpieler!A:B,2,FALSE)</f>
        <v>plsdontbanme</v>
      </c>
    </row>
    <row r="6854" spans="1:10" x14ac:dyDescent="0.25">
      <c r="A6854">
        <v>7722</v>
      </c>
      <c r="B6854" t="s">
        <v>531</v>
      </c>
      <c r="C6854">
        <v>522</v>
      </c>
      <c r="D6854">
        <v>416</v>
      </c>
      <c r="E6854">
        <v>0</v>
      </c>
      <c r="F6854">
        <v>168</v>
      </c>
      <c r="G6854">
        <v>0</v>
      </c>
      <c r="H6854" t="s">
        <v>11773</v>
      </c>
      <c r="I6854">
        <v>7722</v>
      </c>
      <c r="J6854" t="e">
        <f>VLOOKUP(E6854,DSSpieler!A:B,2,FALSE)</f>
        <v>#N/A</v>
      </c>
    </row>
    <row r="6855" spans="1:10" x14ac:dyDescent="0.25">
      <c r="A6855">
        <v>7723</v>
      </c>
      <c r="B6855" t="s">
        <v>33216</v>
      </c>
      <c r="C6855">
        <v>437</v>
      </c>
      <c r="D6855">
        <v>442</v>
      </c>
      <c r="E6855">
        <v>1576272508</v>
      </c>
      <c r="F6855">
        <v>256</v>
      </c>
      <c r="G6855">
        <v>0</v>
      </c>
      <c r="H6855" t="s">
        <v>11774</v>
      </c>
      <c r="I6855">
        <v>7723</v>
      </c>
      <c r="J6855" t="str">
        <f>VLOOKUP(E6855,DSSpieler!A:B,2,FALSE)</f>
        <v>DanjePetzold</v>
      </c>
    </row>
    <row r="6856" spans="1:10" x14ac:dyDescent="0.25">
      <c r="A6856">
        <v>7724</v>
      </c>
      <c r="B6856" t="s">
        <v>531</v>
      </c>
      <c r="C6856">
        <v>559</v>
      </c>
      <c r="D6856">
        <v>436</v>
      </c>
      <c r="E6856">
        <v>0</v>
      </c>
      <c r="F6856">
        <v>349</v>
      </c>
      <c r="G6856">
        <v>0</v>
      </c>
      <c r="H6856" t="s">
        <v>11775</v>
      </c>
      <c r="I6856">
        <v>7724</v>
      </c>
      <c r="J6856" t="e">
        <f>VLOOKUP(E6856,DSSpieler!A:B,2,FALSE)</f>
        <v>#N/A</v>
      </c>
    </row>
    <row r="6857" spans="1:10" x14ac:dyDescent="0.25">
      <c r="A6857">
        <v>7725</v>
      </c>
      <c r="B6857" t="s">
        <v>33217</v>
      </c>
      <c r="C6857">
        <v>479</v>
      </c>
      <c r="D6857">
        <v>581</v>
      </c>
      <c r="E6857">
        <v>1576281272</v>
      </c>
      <c r="F6857">
        <v>3652</v>
      </c>
      <c r="G6857">
        <v>0</v>
      </c>
      <c r="H6857" t="s">
        <v>11776</v>
      </c>
      <c r="I6857">
        <v>7725</v>
      </c>
      <c r="J6857" t="str">
        <f>VLOOKUP(E6857,DSSpieler!A:B,2,FALSE)</f>
        <v>leng10</v>
      </c>
    </row>
    <row r="6858" spans="1:10" x14ac:dyDescent="0.25">
      <c r="A6858">
        <v>7726</v>
      </c>
      <c r="B6858" t="s">
        <v>531</v>
      </c>
      <c r="C6858">
        <v>414</v>
      </c>
      <c r="D6858">
        <v>498</v>
      </c>
      <c r="E6858">
        <v>0</v>
      </c>
      <c r="F6858">
        <v>420</v>
      </c>
      <c r="G6858">
        <v>0</v>
      </c>
      <c r="H6858" t="s">
        <v>11777</v>
      </c>
      <c r="I6858">
        <v>7726</v>
      </c>
      <c r="J6858" t="e">
        <f>VLOOKUP(E6858,DSSpieler!A:B,2,FALSE)</f>
        <v>#N/A</v>
      </c>
    </row>
    <row r="6859" spans="1:10" x14ac:dyDescent="0.25">
      <c r="A6859">
        <v>7727</v>
      </c>
      <c r="B6859" t="s">
        <v>33218</v>
      </c>
      <c r="C6859">
        <v>549</v>
      </c>
      <c r="D6859">
        <v>431</v>
      </c>
      <c r="E6859">
        <v>9953901</v>
      </c>
      <c r="F6859">
        <v>6555</v>
      </c>
      <c r="G6859">
        <v>0</v>
      </c>
      <c r="H6859" t="s">
        <v>11778</v>
      </c>
      <c r="I6859">
        <v>7727</v>
      </c>
      <c r="J6859" t="str">
        <f>VLOOKUP(E6859,DSSpieler!A:B,2,FALSE)</f>
        <v>sVraCer</v>
      </c>
    </row>
    <row r="6860" spans="1:10" x14ac:dyDescent="0.25">
      <c r="A6860">
        <v>7728</v>
      </c>
      <c r="B6860" t="s">
        <v>33219</v>
      </c>
      <c r="C6860">
        <v>573</v>
      </c>
      <c r="D6860">
        <v>544</v>
      </c>
      <c r="E6860">
        <v>1576824008</v>
      </c>
      <c r="F6860">
        <v>4844</v>
      </c>
      <c r="G6860">
        <v>0</v>
      </c>
      <c r="H6860" t="s">
        <v>11779</v>
      </c>
      <c r="I6860">
        <v>7728</v>
      </c>
      <c r="J6860" t="str">
        <f>VLOOKUP(E6860,DSSpieler!A:B,2,FALSE)</f>
        <v>Mengez89</v>
      </c>
    </row>
    <row r="6861" spans="1:10" x14ac:dyDescent="0.25">
      <c r="A6861">
        <v>7729</v>
      </c>
      <c r="B6861">
        <v>6</v>
      </c>
      <c r="C6861">
        <v>435</v>
      </c>
      <c r="D6861">
        <v>444</v>
      </c>
      <c r="E6861">
        <v>1575903781</v>
      </c>
      <c r="F6861">
        <v>3074</v>
      </c>
      <c r="G6861">
        <v>0</v>
      </c>
      <c r="H6861" t="s">
        <v>11780</v>
      </c>
      <c r="I6861">
        <v>7729</v>
      </c>
      <c r="J6861" t="str">
        <f>VLOOKUP(E6861,DSSpieler!A:B,2,FALSE)</f>
        <v>Black Trinity</v>
      </c>
    </row>
    <row r="6862" spans="1:10" x14ac:dyDescent="0.25">
      <c r="A6862">
        <v>7730</v>
      </c>
      <c r="B6862" t="s">
        <v>531</v>
      </c>
      <c r="C6862">
        <v>560</v>
      </c>
      <c r="D6862">
        <v>559</v>
      </c>
      <c r="E6862">
        <v>0</v>
      </c>
      <c r="F6862">
        <v>271</v>
      </c>
      <c r="G6862">
        <v>0</v>
      </c>
      <c r="H6862" t="s">
        <v>11781</v>
      </c>
      <c r="I6862">
        <v>7730</v>
      </c>
      <c r="J6862" t="e">
        <f>VLOOKUP(E6862,DSSpieler!A:B,2,FALSE)</f>
        <v>#N/A</v>
      </c>
    </row>
    <row r="6863" spans="1:10" x14ac:dyDescent="0.25">
      <c r="A6863">
        <v>7731</v>
      </c>
      <c r="B6863" t="s">
        <v>531</v>
      </c>
      <c r="C6863">
        <v>580</v>
      </c>
      <c r="D6863">
        <v>524</v>
      </c>
      <c r="E6863">
        <v>0</v>
      </c>
      <c r="F6863">
        <v>179</v>
      </c>
      <c r="G6863">
        <v>0</v>
      </c>
      <c r="H6863" t="s">
        <v>11782</v>
      </c>
      <c r="I6863">
        <v>7731</v>
      </c>
      <c r="J6863" t="e">
        <f>VLOOKUP(E6863,DSSpieler!A:B,2,FALSE)</f>
        <v>#N/A</v>
      </c>
    </row>
    <row r="6864" spans="1:10" x14ac:dyDescent="0.25">
      <c r="A6864">
        <v>7732</v>
      </c>
      <c r="B6864" t="s">
        <v>531</v>
      </c>
      <c r="C6864">
        <v>521</v>
      </c>
      <c r="D6864">
        <v>582</v>
      </c>
      <c r="E6864">
        <v>0</v>
      </c>
      <c r="F6864">
        <v>361</v>
      </c>
      <c r="G6864">
        <v>0</v>
      </c>
      <c r="H6864" t="s">
        <v>11783</v>
      </c>
      <c r="I6864">
        <v>7732</v>
      </c>
      <c r="J6864" t="e">
        <f>VLOOKUP(E6864,DSSpieler!A:B,2,FALSE)</f>
        <v>#N/A</v>
      </c>
    </row>
    <row r="6865" spans="1:10" x14ac:dyDescent="0.25">
      <c r="A6865">
        <v>7733</v>
      </c>
      <c r="B6865" t="s">
        <v>531</v>
      </c>
      <c r="C6865">
        <v>580</v>
      </c>
      <c r="D6865">
        <v>478</v>
      </c>
      <c r="E6865">
        <v>0</v>
      </c>
      <c r="F6865">
        <v>830</v>
      </c>
      <c r="G6865">
        <v>0</v>
      </c>
      <c r="H6865" t="s">
        <v>11784</v>
      </c>
      <c r="I6865">
        <v>7733</v>
      </c>
      <c r="J6865" t="e">
        <f>VLOOKUP(E6865,DSSpieler!A:B,2,FALSE)</f>
        <v>#N/A</v>
      </c>
    </row>
    <row r="6866" spans="1:10" x14ac:dyDescent="0.25">
      <c r="A6866">
        <v>7734</v>
      </c>
      <c r="B6866" t="s">
        <v>531</v>
      </c>
      <c r="C6866">
        <v>575</v>
      </c>
      <c r="D6866">
        <v>539</v>
      </c>
      <c r="E6866">
        <v>0</v>
      </c>
      <c r="F6866">
        <v>144</v>
      </c>
      <c r="G6866">
        <v>0</v>
      </c>
      <c r="H6866" t="s">
        <v>11785</v>
      </c>
      <c r="I6866">
        <v>7734</v>
      </c>
      <c r="J6866" t="e">
        <f>VLOOKUP(E6866,DSSpieler!A:B,2,FALSE)</f>
        <v>#N/A</v>
      </c>
    </row>
    <row r="6867" spans="1:10" x14ac:dyDescent="0.25">
      <c r="A6867">
        <v>7735</v>
      </c>
      <c r="B6867">
        <v>11</v>
      </c>
      <c r="C6867">
        <v>447</v>
      </c>
      <c r="D6867">
        <v>568</v>
      </c>
      <c r="E6867">
        <v>1577178280</v>
      </c>
      <c r="F6867">
        <v>1531</v>
      </c>
      <c r="G6867">
        <v>0</v>
      </c>
      <c r="H6867" t="s">
        <v>11786</v>
      </c>
      <c r="I6867">
        <v>7735</v>
      </c>
      <c r="J6867" t="str">
        <f>VLOOKUP(E6867,DSSpieler!A:B,2,FALSE)</f>
        <v>Tactic</v>
      </c>
    </row>
    <row r="6868" spans="1:10" x14ac:dyDescent="0.25">
      <c r="A6868">
        <v>7736</v>
      </c>
      <c r="B6868" t="s">
        <v>531</v>
      </c>
      <c r="C6868">
        <v>435</v>
      </c>
      <c r="D6868">
        <v>555</v>
      </c>
      <c r="E6868">
        <v>0</v>
      </c>
      <c r="F6868">
        <v>328</v>
      </c>
      <c r="G6868">
        <v>0</v>
      </c>
      <c r="H6868" t="s">
        <v>11787</v>
      </c>
      <c r="I6868">
        <v>7736</v>
      </c>
      <c r="J6868" t="e">
        <f>VLOOKUP(E6868,DSSpieler!A:B,2,FALSE)</f>
        <v>#N/A</v>
      </c>
    </row>
    <row r="6869" spans="1:10" x14ac:dyDescent="0.25">
      <c r="A6869">
        <v>7737</v>
      </c>
      <c r="B6869" t="s">
        <v>33220</v>
      </c>
      <c r="C6869">
        <v>567</v>
      </c>
      <c r="D6869">
        <v>446</v>
      </c>
      <c r="E6869">
        <v>1575884360</v>
      </c>
      <c r="F6869">
        <v>1376</v>
      </c>
      <c r="G6869">
        <v>0</v>
      </c>
      <c r="H6869" t="s">
        <v>11788</v>
      </c>
      <c r="I6869">
        <v>7737</v>
      </c>
      <c r="J6869" t="str">
        <f>VLOOKUP(E6869,DSSpieler!A:B,2,FALSE)</f>
        <v>Moulan</v>
      </c>
    </row>
    <row r="6870" spans="1:10" x14ac:dyDescent="0.25">
      <c r="A6870">
        <v>7738</v>
      </c>
      <c r="B6870" t="s">
        <v>33221</v>
      </c>
      <c r="C6870">
        <v>499</v>
      </c>
      <c r="D6870">
        <v>587</v>
      </c>
      <c r="E6870">
        <v>10095044</v>
      </c>
      <c r="F6870">
        <v>5045</v>
      </c>
      <c r="G6870">
        <v>0</v>
      </c>
      <c r="H6870" t="s">
        <v>11789</v>
      </c>
      <c r="I6870">
        <v>7738</v>
      </c>
      <c r="J6870" t="str">
        <f>VLOOKUP(E6870,DSSpieler!A:B,2,FALSE)</f>
        <v>-I3lack-</v>
      </c>
    </row>
    <row r="6871" spans="1:10" x14ac:dyDescent="0.25">
      <c r="A6871">
        <v>7739</v>
      </c>
      <c r="B6871" t="s">
        <v>33222</v>
      </c>
      <c r="C6871">
        <v>522</v>
      </c>
      <c r="D6871">
        <v>417</v>
      </c>
      <c r="E6871">
        <v>1576363407</v>
      </c>
      <c r="F6871">
        <v>4655</v>
      </c>
      <c r="G6871">
        <v>0</v>
      </c>
      <c r="H6871" t="s">
        <v>11790</v>
      </c>
      <c r="I6871">
        <v>7739</v>
      </c>
      <c r="J6871" t="str">
        <f>VLOOKUP(E6871,DSSpieler!A:B,2,FALSE)</f>
        <v>Weili25</v>
      </c>
    </row>
    <row r="6872" spans="1:10" x14ac:dyDescent="0.25">
      <c r="A6872">
        <v>7740</v>
      </c>
      <c r="B6872" t="s">
        <v>531</v>
      </c>
      <c r="C6872">
        <v>480</v>
      </c>
      <c r="D6872">
        <v>584</v>
      </c>
      <c r="E6872">
        <v>0</v>
      </c>
      <c r="F6872">
        <v>180</v>
      </c>
      <c r="G6872">
        <v>0</v>
      </c>
      <c r="H6872" t="s">
        <v>11791</v>
      </c>
      <c r="I6872">
        <v>7740</v>
      </c>
      <c r="J6872" t="e">
        <f>VLOOKUP(E6872,DSSpieler!A:B,2,FALSE)</f>
        <v>#N/A</v>
      </c>
    </row>
    <row r="6873" spans="1:10" x14ac:dyDescent="0.25">
      <c r="A6873">
        <v>7741</v>
      </c>
      <c r="B6873" t="s">
        <v>531</v>
      </c>
      <c r="C6873">
        <v>528</v>
      </c>
      <c r="D6873">
        <v>420</v>
      </c>
      <c r="E6873">
        <v>0</v>
      </c>
      <c r="F6873">
        <v>169</v>
      </c>
      <c r="G6873">
        <v>0</v>
      </c>
      <c r="H6873" t="s">
        <v>11792</v>
      </c>
      <c r="I6873">
        <v>7741</v>
      </c>
      <c r="J6873" t="e">
        <f>VLOOKUP(E6873,DSSpieler!A:B,2,FALSE)</f>
        <v>#N/A</v>
      </c>
    </row>
    <row r="6874" spans="1:10" x14ac:dyDescent="0.25">
      <c r="A6874">
        <v>7742</v>
      </c>
      <c r="B6874" t="s">
        <v>531</v>
      </c>
      <c r="C6874">
        <v>436</v>
      </c>
      <c r="D6874">
        <v>558</v>
      </c>
      <c r="E6874">
        <v>0</v>
      </c>
      <c r="F6874">
        <v>422</v>
      </c>
      <c r="G6874">
        <v>0</v>
      </c>
      <c r="H6874" t="s">
        <v>11793</v>
      </c>
      <c r="I6874">
        <v>7742</v>
      </c>
      <c r="J6874" t="e">
        <f>VLOOKUP(E6874,DSSpieler!A:B,2,FALSE)</f>
        <v>#N/A</v>
      </c>
    </row>
    <row r="6875" spans="1:10" x14ac:dyDescent="0.25">
      <c r="A6875">
        <v>7743</v>
      </c>
      <c r="B6875" t="s">
        <v>531</v>
      </c>
      <c r="C6875">
        <v>578</v>
      </c>
      <c r="D6875">
        <v>465</v>
      </c>
      <c r="E6875">
        <v>0</v>
      </c>
      <c r="F6875">
        <v>262</v>
      </c>
      <c r="G6875">
        <v>0</v>
      </c>
      <c r="H6875" t="s">
        <v>11794</v>
      </c>
      <c r="I6875">
        <v>7743</v>
      </c>
      <c r="J6875" t="e">
        <f>VLOOKUP(E6875,DSSpieler!A:B,2,FALSE)</f>
        <v>#N/A</v>
      </c>
    </row>
    <row r="6876" spans="1:10" x14ac:dyDescent="0.25">
      <c r="A6876">
        <v>7745</v>
      </c>
      <c r="B6876" t="s">
        <v>531</v>
      </c>
      <c r="C6876">
        <v>433</v>
      </c>
      <c r="D6876">
        <v>444</v>
      </c>
      <c r="E6876">
        <v>0</v>
      </c>
      <c r="F6876">
        <v>563</v>
      </c>
      <c r="G6876">
        <v>0</v>
      </c>
      <c r="H6876" t="s">
        <v>11795</v>
      </c>
      <c r="I6876">
        <v>7745</v>
      </c>
      <c r="J6876" t="e">
        <f>VLOOKUP(E6876,DSSpieler!A:B,2,FALSE)</f>
        <v>#N/A</v>
      </c>
    </row>
    <row r="6877" spans="1:10" x14ac:dyDescent="0.25">
      <c r="A6877">
        <v>7746</v>
      </c>
      <c r="B6877" t="s">
        <v>531</v>
      </c>
      <c r="C6877">
        <v>562</v>
      </c>
      <c r="D6877">
        <v>561</v>
      </c>
      <c r="E6877">
        <v>0</v>
      </c>
      <c r="F6877">
        <v>217</v>
      </c>
      <c r="G6877">
        <v>0</v>
      </c>
      <c r="H6877" t="s">
        <v>11796</v>
      </c>
      <c r="I6877">
        <v>7746</v>
      </c>
      <c r="J6877" t="e">
        <f>VLOOKUP(E6877,DSSpieler!A:B,2,FALSE)</f>
        <v>#N/A</v>
      </c>
    </row>
    <row r="6878" spans="1:10" x14ac:dyDescent="0.25">
      <c r="A6878">
        <v>7747</v>
      </c>
      <c r="B6878" t="s">
        <v>1664</v>
      </c>
      <c r="C6878">
        <v>551</v>
      </c>
      <c r="D6878">
        <v>414</v>
      </c>
      <c r="E6878">
        <v>9259027</v>
      </c>
      <c r="F6878">
        <v>5521</v>
      </c>
      <c r="G6878">
        <v>0</v>
      </c>
      <c r="H6878" t="s">
        <v>11797</v>
      </c>
      <c r="I6878">
        <v>7747</v>
      </c>
      <c r="J6878" t="str">
        <f>VLOOKUP(E6878,DSSpieler!A:B,2,FALSE)</f>
        <v>Stahl669</v>
      </c>
    </row>
    <row r="6879" spans="1:10" x14ac:dyDescent="0.25">
      <c r="A6879">
        <v>7748</v>
      </c>
      <c r="B6879" t="s">
        <v>33223</v>
      </c>
      <c r="C6879">
        <v>534</v>
      </c>
      <c r="D6879">
        <v>421</v>
      </c>
      <c r="E6879">
        <v>1576392496</v>
      </c>
      <c r="F6879">
        <v>796</v>
      </c>
      <c r="G6879">
        <v>0</v>
      </c>
      <c r="H6879" t="s">
        <v>11798</v>
      </c>
      <c r="I6879">
        <v>7748</v>
      </c>
      <c r="J6879" t="str">
        <f>VLOOKUP(E6879,DSSpieler!A:B,2,FALSE)</f>
        <v>König Raa</v>
      </c>
    </row>
    <row r="6880" spans="1:10" x14ac:dyDescent="0.25">
      <c r="A6880">
        <v>7749</v>
      </c>
      <c r="B6880" t="s">
        <v>531</v>
      </c>
      <c r="C6880">
        <v>476</v>
      </c>
      <c r="D6880">
        <v>416</v>
      </c>
      <c r="E6880">
        <v>0</v>
      </c>
      <c r="F6880">
        <v>139</v>
      </c>
      <c r="G6880">
        <v>0</v>
      </c>
      <c r="H6880" t="s">
        <v>11799</v>
      </c>
      <c r="I6880">
        <v>7749</v>
      </c>
      <c r="J6880" t="e">
        <f>VLOOKUP(E6880,DSSpieler!A:B,2,FALSE)</f>
        <v>#N/A</v>
      </c>
    </row>
    <row r="6881" spans="1:10" x14ac:dyDescent="0.25">
      <c r="A6881">
        <v>7750</v>
      </c>
      <c r="B6881">
        <v>4</v>
      </c>
      <c r="C6881">
        <v>433</v>
      </c>
      <c r="D6881">
        <v>550</v>
      </c>
      <c r="E6881">
        <v>2517318</v>
      </c>
      <c r="F6881">
        <v>5766</v>
      </c>
      <c r="G6881">
        <v>0</v>
      </c>
      <c r="H6881" t="s">
        <v>11800</v>
      </c>
      <c r="I6881">
        <v>7750</v>
      </c>
      <c r="J6881" t="str">
        <f>VLOOKUP(E6881,DSSpieler!A:B,2,FALSE)</f>
        <v>Ritter Gold</v>
      </c>
    </row>
    <row r="6882" spans="1:10" x14ac:dyDescent="0.25">
      <c r="A6882">
        <v>7751</v>
      </c>
      <c r="B6882" t="s">
        <v>531</v>
      </c>
      <c r="C6882">
        <v>417</v>
      </c>
      <c r="D6882">
        <v>492</v>
      </c>
      <c r="E6882">
        <v>0</v>
      </c>
      <c r="F6882">
        <v>328</v>
      </c>
      <c r="G6882">
        <v>0</v>
      </c>
      <c r="H6882" t="s">
        <v>11801</v>
      </c>
      <c r="I6882">
        <v>7751</v>
      </c>
      <c r="J6882" t="e">
        <f>VLOOKUP(E6882,DSSpieler!A:B,2,FALSE)</f>
        <v>#N/A</v>
      </c>
    </row>
    <row r="6883" spans="1:10" x14ac:dyDescent="0.25">
      <c r="A6883">
        <v>7752</v>
      </c>
      <c r="B6883" t="s">
        <v>33224</v>
      </c>
      <c r="C6883">
        <v>546</v>
      </c>
      <c r="D6883">
        <v>572</v>
      </c>
      <c r="E6883">
        <v>1577198234</v>
      </c>
      <c r="F6883">
        <v>4087</v>
      </c>
      <c r="G6883">
        <v>0</v>
      </c>
      <c r="H6883" t="s">
        <v>11802</v>
      </c>
      <c r="I6883">
        <v>7752</v>
      </c>
      <c r="J6883" t="str">
        <f>VLOOKUP(E6883,DSSpieler!A:B,2,FALSE)</f>
        <v>AdrianH96</v>
      </c>
    </row>
    <row r="6884" spans="1:10" x14ac:dyDescent="0.25">
      <c r="A6884">
        <v>7753</v>
      </c>
      <c r="B6884" t="s">
        <v>531</v>
      </c>
      <c r="C6884">
        <v>459</v>
      </c>
      <c r="D6884">
        <v>577</v>
      </c>
      <c r="E6884">
        <v>0</v>
      </c>
      <c r="F6884">
        <v>310</v>
      </c>
      <c r="G6884">
        <v>0</v>
      </c>
      <c r="H6884" t="s">
        <v>11803</v>
      </c>
      <c r="I6884">
        <v>7753</v>
      </c>
      <c r="J6884" t="e">
        <f>VLOOKUP(E6884,DSSpieler!A:B,2,FALSE)</f>
        <v>#N/A</v>
      </c>
    </row>
    <row r="6885" spans="1:10" x14ac:dyDescent="0.25">
      <c r="A6885">
        <v>7754</v>
      </c>
      <c r="B6885" t="s">
        <v>531</v>
      </c>
      <c r="C6885">
        <v>558</v>
      </c>
      <c r="D6885">
        <v>562</v>
      </c>
      <c r="E6885">
        <v>0</v>
      </c>
      <c r="F6885">
        <v>130</v>
      </c>
      <c r="G6885">
        <v>0</v>
      </c>
      <c r="H6885" t="s">
        <v>11804</v>
      </c>
      <c r="I6885">
        <v>7754</v>
      </c>
      <c r="J6885" t="e">
        <f>VLOOKUP(E6885,DSSpieler!A:B,2,FALSE)</f>
        <v>#N/A</v>
      </c>
    </row>
    <row r="6886" spans="1:10" x14ac:dyDescent="0.25">
      <c r="A6886">
        <v>7755</v>
      </c>
      <c r="B6886" t="s">
        <v>33225</v>
      </c>
      <c r="C6886">
        <v>541</v>
      </c>
      <c r="D6886">
        <v>577</v>
      </c>
      <c r="E6886">
        <v>1576455458</v>
      </c>
      <c r="F6886">
        <v>661</v>
      </c>
      <c r="G6886">
        <v>0</v>
      </c>
      <c r="H6886" t="s">
        <v>11805</v>
      </c>
      <c r="I6886">
        <v>7755</v>
      </c>
      <c r="J6886" t="str">
        <f>VLOOKUP(E6886,DSSpieler!A:B,2,FALSE)</f>
        <v>König Eisenherz</v>
      </c>
    </row>
    <row r="6887" spans="1:10" x14ac:dyDescent="0.25">
      <c r="A6887">
        <v>7756</v>
      </c>
      <c r="B6887" t="s">
        <v>1665</v>
      </c>
      <c r="C6887">
        <v>491</v>
      </c>
      <c r="D6887">
        <v>417</v>
      </c>
      <c r="E6887">
        <v>9209997</v>
      </c>
      <c r="F6887">
        <v>3651</v>
      </c>
      <c r="G6887">
        <v>0</v>
      </c>
      <c r="H6887" t="s">
        <v>11806</v>
      </c>
      <c r="I6887">
        <v>7756</v>
      </c>
      <c r="J6887" t="str">
        <f>VLOOKUP(E6887,DSSpieler!A:B,2,FALSE)</f>
        <v>daLUiSeL</v>
      </c>
    </row>
    <row r="6888" spans="1:10" x14ac:dyDescent="0.25">
      <c r="A6888">
        <v>7758</v>
      </c>
      <c r="B6888" t="s">
        <v>531</v>
      </c>
      <c r="C6888">
        <v>459</v>
      </c>
      <c r="D6888">
        <v>574</v>
      </c>
      <c r="E6888">
        <v>0</v>
      </c>
      <c r="F6888">
        <v>236</v>
      </c>
      <c r="G6888">
        <v>0</v>
      </c>
      <c r="H6888" t="s">
        <v>11807</v>
      </c>
      <c r="I6888">
        <v>7758</v>
      </c>
      <c r="J6888" t="e">
        <f>VLOOKUP(E6888,DSSpieler!A:B,2,FALSE)</f>
        <v>#N/A</v>
      </c>
    </row>
    <row r="6889" spans="1:10" x14ac:dyDescent="0.25">
      <c r="A6889">
        <v>7759</v>
      </c>
      <c r="B6889" t="s">
        <v>33226</v>
      </c>
      <c r="C6889">
        <v>442</v>
      </c>
      <c r="D6889">
        <v>563</v>
      </c>
      <c r="E6889">
        <v>1576485060</v>
      </c>
      <c r="F6889">
        <v>4650</v>
      </c>
      <c r="G6889">
        <v>0</v>
      </c>
      <c r="H6889" t="s">
        <v>11808</v>
      </c>
      <c r="I6889">
        <v>7759</v>
      </c>
      <c r="J6889" t="str">
        <f>VLOOKUP(E6889,DSSpieler!A:B,2,FALSE)</f>
        <v>Flowag</v>
      </c>
    </row>
    <row r="6890" spans="1:10" x14ac:dyDescent="0.25">
      <c r="A6890">
        <v>7761</v>
      </c>
      <c r="B6890" t="s">
        <v>531</v>
      </c>
      <c r="C6890">
        <v>572</v>
      </c>
      <c r="D6890">
        <v>452</v>
      </c>
      <c r="E6890">
        <v>0</v>
      </c>
      <c r="F6890">
        <v>142</v>
      </c>
      <c r="G6890">
        <v>0</v>
      </c>
      <c r="H6890" t="s">
        <v>11809</v>
      </c>
      <c r="I6890">
        <v>7761</v>
      </c>
      <c r="J6890" t="e">
        <f>VLOOKUP(E6890,DSSpieler!A:B,2,FALSE)</f>
        <v>#N/A</v>
      </c>
    </row>
    <row r="6891" spans="1:10" x14ac:dyDescent="0.25">
      <c r="A6891">
        <v>7762</v>
      </c>
      <c r="B6891" t="s">
        <v>531</v>
      </c>
      <c r="C6891">
        <v>534</v>
      </c>
      <c r="D6891">
        <v>579</v>
      </c>
      <c r="E6891">
        <v>0</v>
      </c>
      <c r="F6891">
        <v>254</v>
      </c>
      <c r="G6891">
        <v>0</v>
      </c>
      <c r="H6891" t="s">
        <v>11810</v>
      </c>
      <c r="I6891">
        <v>7762</v>
      </c>
      <c r="J6891" t="e">
        <f>VLOOKUP(E6891,DSSpieler!A:B,2,FALSE)</f>
        <v>#N/A</v>
      </c>
    </row>
    <row r="6892" spans="1:10" x14ac:dyDescent="0.25">
      <c r="A6892">
        <v>7763</v>
      </c>
      <c r="B6892" t="s">
        <v>531</v>
      </c>
      <c r="C6892">
        <v>419</v>
      </c>
      <c r="D6892">
        <v>470</v>
      </c>
      <c r="E6892">
        <v>0</v>
      </c>
      <c r="F6892">
        <v>225</v>
      </c>
      <c r="G6892">
        <v>0</v>
      </c>
      <c r="H6892" t="s">
        <v>11811</v>
      </c>
      <c r="I6892">
        <v>7763</v>
      </c>
      <c r="J6892" t="e">
        <f>VLOOKUP(E6892,DSSpieler!A:B,2,FALSE)</f>
        <v>#N/A</v>
      </c>
    </row>
    <row r="6893" spans="1:10" x14ac:dyDescent="0.25">
      <c r="A6893">
        <v>7764</v>
      </c>
      <c r="B6893" t="s">
        <v>531</v>
      </c>
      <c r="C6893">
        <v>484</v>
      </c>
      <c r="D6893">
        <v>582</v>
      </c>
      <c r="E6893">
        <v>0</v>
      </c>
      <c r="F6893">
        <v>314</v>
      </c>
      <c r="G6893">
        <v>0</v>
      </c>
      <c r="H6893" t="s">
        <v>11812</v>
      </c>
      <c r="I6893">
        <v>7764</v>
      </c>
      <c r="J6893" t="e">
        <f>VLOOKUP(E6893,DSSpieler!A:B,2,FALSE)</f>
        <v>#N/A</v>
      </c>
    </row>
    <row r="6894" spans="1:10" x14ac:dyDescent="0.25">
      <c r="A6894">
        <v>7765</v>
      </c>
      <c r="B6894" t="s">
        <v>531</v>
      </c>
      <c r="C6894">
        <v>414</v>
      </c>
      <c r="D6894">
        <v>516</v>
      </c>
      <c r="E6894">
        <v>0</v>
      </c>
      <c r="F6894">
        <v>340</v>
      </c>
      <c r="G6894">
        <v>0</v>
      </c>
      <c r="H6894" t="s">
        <v>11813</v>
      </c>
      <c r="I6894">
        <v>7765</v>
      </c>
      <c r="J6894" t="e">
        <f>VLOOKUP(E6894,DSSpieler!A:B,2,FALSE)</f>
        <v>#N/A</v>
      </c>
    </row>
    <row r="6895" spans="1:10" x14ac:dyDescent="0.25">
      <c r="A6895">
        <v>7766</v>
      </c>
      <c r="B6895" t="s">
        <v>531</v>
      </c>
      <c r="C6895">
        <v>428</v>
      </c>
      <c r="D6895">
        <v>546</v>
      </c>
      <c r="E6895">
        <v>0</v>
      </c>
      <c r="F6895">
        <v>503</v>
      </c>
      <c r="G6895">
        <v>0</v>
      </c>
      <c r="H6895" t="s">
        <v>11814</v>
      </c>
      <c r="I6895">
        <v>7766</v>
      </c>
      <c r="J6895" t="e">
        <f>VLOOKUP(E6895,DSSpieler!A:B,2,FALSE)</f>
        <v>#N/A</v>
      </c>
    </row>
    <row r="6896" spans="1:10" x14ac:dyDescent="0.25">
      <c r="A6896">
        <v>7767</v>
      </c>
      <c r="B6896" t="s">
        <v>33227</v>
      </c>
      <c r="C6896">
        <v>544</v>
      </c>
      <c r="D6896">
        <v>426</v>
      </c>
      <c r="E6896">
        <v>1576874535</v>
      </c>
      <c r="F6896">
        <v>5013</v>
      </c>
      <c r="G6896">
        <v>0</v>
      </c>
      <c r="H6896" t="s">
        <v>11815</v>
      </c>
      <c r="I6896">
        <v>7767</v>
      </c>
      <c r="J6896" t="str">
        <f>VLOOKUP(E6896,DSSpieler!A:B,2,FALSE)</f>
        <v>gbpAR12</v>
      </c>
    </row>
    <row r="6897" spans="1:10" x14ac:dyDescent="0.25">
      <c r="A6897">
        <v>7768</v>
      </c>
      <c r="B6897" t="s">
        <v>33228</v>
      </c>
      <c r="C6897">
        <v>477</v>
      </c>
      <c r="D6897">
        <v>594</v>
      </c>
      <c r="E6897">
        <v>1576450468</v>
      </c>
      <c r="F6897">
        <v>7291</v>
      </c>
      <c r="G6897">
        <v>0</v>
      </c>
      <c r="H6897" t="s">
        <v>11816</v>
      </c>
      <c r="I6897">
        <v>7768</v>
      </c>
      <c r="J6897" t="str">
        <f>VLOOKUP(E6897,DSSpieler!A:B,2,FALSE)</f>
        <v>b0nes</v>
      </c>
    </row>
    <row r="6898" spans="1:10" x14ac:dyDescent="0.25">
      <c r="A6898">
        <v>7769</v>
      </c>
      <c r="B6898">
        <v>4</v>
      </c>
      <c r="C6898">
        <v>415</v>
      </c>
      <c r="D6898">
        <v>516</v>
      </c>
      <c r="E6898">
        <v>1577018450</v>
      </c>
      <c r="F6898">
        <v>4652</v>
      </c>
      <c r="G6898">
        <v>0</v>
      </c>
      <c r="H6898" t="s">
        <v>11817</v>
      </c>
      <c r="I6898">
        <v>7769</v>
      </c>
      <c r="J6898" t="str">
        <f>VLOOKUP(E6898,DSSpieler!A:B,2,FALSE)</f>
        <v>Karpfen96</v>
      </c>
    </row>
    <row r="6899" spans="1:10" x14ac:dyDescent="0.25">
      <c r="A6899">
        <v>7770</v>
      </c>
      <c r="B6899" t="s">
        <v>531</v>
      </c>
      <c r="C6899">
        <v>465</v>
      </c>
      <c r="D6899">
        <v>576</v>
      </c>
      <c r="E6899">
        <v>0</v>
      </c>
      <c r="F6899">
        <v>250</v>
      </c>
      <c r="G6899">
        <v>0</v>
      </c>
      <c r="H6899" t="s">
        <v>11818</v>
      </c>
      <c r="I6899">
        <v>7770</v>
      </c>
      <c r="J6899" t="e">
        <f>VLOOKUP(E6899,DSSpieler!A:B,2,FALSE)</f>
        <v>#N/A</v>
      </c>
    </row>
    <row r="6900" spans="1:10" x14ac:dyDescent="0.25">
      <c r="A6900">
        <v>7771</v>
      </c>
      <c r="B6900" t="s">
        <v>30980</v>
      </c>
      <c r="C6900">
        <v>429</v>
      </c>
      <c r="D6900">
        <v>452</v>
      </c>
      <c r="E6900">
        <v>1576923004</v>
      </c>
      <c r="F6900">
        <v>5638</v>
      </c>
      <c r="G6900">
        <v>0</v>
      </c>
      <c r="H6900" t="s">
        <v>11819</v>
      </c>
      <c r="I6900">
        <v>7771</v>
      </c>
      <c r="J6900" t="str">
        <f>VLOOKUP(E6900,DSSpieler!A:B,2,FALSE)</f>
        <v>Ahaleks</v>
      </c>
    </row>
    <row r="6901" spans="1:10" x14ac:dyDescent="0.25">
      <c r="A6901">
        <v>7772</v>
      </c>
      <c r="B6901" t="s">
        <v>531</v>
      </c>
      <c r="C6901">
        <v>436</v>
      </c>
      <c r="D6901">
        <v>557</v>
      </c>
      <c r="E6901">
        <v>0</v>
      </c>
      <c r="F6901">
        <v>337</v>
      </c>
      <c r="G6901">
        <v>0</v>
      </c>
      <c r="H6901" t="s">
        <v>11820</v>
      </c>
      <c r="I6901">
        <v>7772</v>
      </c>
      <c r="J6901" t="e">
        <f>VLOOKUP(E6901,DSSpieler!A:B,2,FALSE)</f>
        <v>#N/A</v>
      </c>
    </row>
    <row r="6902" spans="1:10" x14ac:dyDescent="0.25">
      <c r="A6902">
        <v>7774</v>
      </c>
      <c r="B6902" t="s">
        <v>531</v>
      </c>
      <c r="C6902">
        <v>517</v>
      </c>
      <c r="D6902">
        <v>417</v>
      </c>
      <c r="E6902">
        <v>0</v>
      </c>
      <c r="F6902">
        <v>284</v>
      </c>
      <c r="G6902">
        <v>0</v>
      </c>
      <c r="H6902" t="s">
        <v>11821</v>
      </c>
      <c r="I6902">
        <v>7774</v>
      </c>
      <c r="J6902" t="e">
        <f>VLOOKUP(E6902,DSSpieler!A:B,2,FALSE)</f>
        <v>#N/A</v>
      </c>
    </row>
    <row r="6903" spans="1:10" x14ac:dyDescent="0.25">
      <c r="A6903">
        <v>7775</v>
      </c>
      <c r="B6903" t="s">
        <v>531</v>
      </c>
      <c r="C6903">
        <v>480</v>
      </c>
      <c r="D6903">
        <v>418</v>
      </c>
      <c r="E6903">
        <v>0</v>
      </c>
      <c r="F6903">
        <v>121</v>
      </c>
      <c r="G6903">
        <v>0</v>
      </c>
      <c r="H6903" t="s">
        <v>11822</v>
      </c>
      <c r="I6903">
        <v>7775</v>
      </c>
      <c r="J6903" t="e">
        <f>VLOOKUP(E6903,DSSpieler!A:B,2,FALSE)</f>
        <v>#N/A</v>
      </c>
    </row>
    <row r="6904" spans="1:10" x14ac:dyDescent="0.25">
      <c r="A6904">
        <v>7776</v>
      </c>
      <c r="B6904" t="s">
        <v>531</v>
      </c>
      <c r="C6904">
        <v>536</v>
      </c>
      <c r="D6904">
        <v>424</v>
      </c>
      <c r="E6904">
        <v>0</v>
      </c>
      <c r="F6904">
        <v>244</v>
      </c>
      <c r="G6904">
        <v>0</v>
      </c>
      <c r="H6904" t="s">
        <v>11823</v>
      </c>
      <c r="I6904">
        <v>7776</v>
      </c>
      <c r="J6904" t="e">
        <f>VLOOKUP(E6904,DSSpieler!A:B,2,FALSE)</f>
        <v>#N/A</v>
      </c>
    </row>
    <row r="6905" spans="1:10" x14ac:dyDescent="0.25">
      <c r="A6905">
        <v>7777</v>
      </c>
      <c r="B6905" t="s">
        <v>531</v>
      </c>
      <c r="C6905">
        <v>494</v>
      </c>
      <c r="D6905">
        <v>415</v>
      </c>
      <c r="E6905">
        <v>0</v>
      </c>
      <c r="F6905">
        <v>205</v>
      </c>
      <c r="G6905">
        <v>0</v>
      </c>
      <c r="H6905" t="s">
        <v>11824</v>
      </c>
      <c r="I6905">
        <v>7777</v>
      </c>
      <c r="J6905" t="e">
        <f>VLOOKUP(E6905,DSSpieler!A:B,2,FALSE)</f>
        <v>#N/A</v>
      </c>
    </row>
    <row r="6906" spans="1:10" x14ac:dyDescent="0.25">
      <c r="A6906">
        <v>7778</v>
      </c>
      <c r="B6906" t="s">
        <v>33229</v>
      </c>
      <c r="C6906">
        <v>586</v>
      </c>
      <c r="D6906">
        <v>494</v>
      </c>
      <c r="E6906">
        <v>1576565552</v>
      </c>
      <c r="F6906">
        <v>4472</v>
      </c>
      <c r="G6906">
        <v>0</v>
      </c>
      <c r="H6906" t="s">
        <v>11825</v>
      </c>
      <c r="I6906">
        <v>7778</v>
      </c>
      <c r="J6906" t="str">
        <f>VLOOKUP(E6906,DSSpieler!A:B,2,FALSE)</f>
        <v>Scubo123</v>
      </c>
    </row>
    <row r="6907" spans="1:10" x14ac:dyDescent="0.25">
      <c r="A6907">
        <v>7780</v>
      </c>
      <c r="B6907" t="s">
        <v>33230</v>
      </c>
      <c r="C6907">
        <v>406</v>
      </c>
      <c r="D6907">
        <v>457</v>
      </c>
      <c r="E6907">
        <v>1577140251</v>
      </c>
      <c r="F6907">
        <v>3848</v>
      </c>
      <c r="G6907">
        <v>0</v>
      </c>
      <c r="H6907" t="s">
        <v>11826</v>
      </c>
      <c r="I6907">
        <v>7780</v>
      </c>
      <c r="J6907" t="str">
        <f>VLOOKUP(E6907,DSSpieler!A:B,2,FALSE)</f>
        <v>Dohan</v>
      </c>
    </row>
    <row r="6908" spans="1:10" x14ac:dyDescent="0.25">
      <c r="A6908">
        <v>7781</v>
      </c>
      <c r="B6908" t="s">
        <v>988</v>
      </c>
      <c r="C6908">
        <v>584</v>
      </c>
      <c r="D6908">
        <v>524</v>
      </c>
      <c r="E6908">
        <v>1577168712</v>
      </c>
      <c r="F6908">
        <v>4448</v>
      </c>
      <c r="G6908">
        <v>0</v>
      </c>
      <c r="H6908" t="s">
        <v>11827</v>
      </c>
      <c r="I6908">
        <v>7781</v>
      </c>
      <c r="J6908" t="str">
        <f>VLOOKUP(E6908,DSSpieler!A:B,2,FALSE)</f>
        <v>plsdontbanme</v>
      </c>
    </row>
    <row r="6909" spans="1:10" x14ac:dyDescent="0.25">
      <c r="A6909">
        <v>7782</v>
      </c>
      <c r="B6909" t="s">
        <v>531</v>
      </c>
      <c r="C6909">
        <v>473</v>
      </c>
      <c r="D6909">
        <v>581</v>
      </c>
      <c r="E6909">
        <v>0</v>
      </c>
      <c r="F6909">
        <v>396</v>
      </c>
      <c r="G6909">
        <v>0</v>
      </c>
      <c r="H6909" t="s">
        <v>11828</v>
      </c>
      <c r="I6909">
        <v>7782</v>
      </c>
      <c r="J6909" t="e">
        <f>VLOOKUP(E6909,DSSpieler!A:B,2,FALSE)</f>
        <v>#N/A</v>
      </c>
    </row>
    <row r="6910" spans="1:10" x14ac:dyDescent="0.25">
      <c r="A6910">
        <v>7783</v>
      </c>
      <c r="B6910" t="s">
        <v>531</v>
      </c>
      <c r="C6910">
        <v>575</v>
      </c>
      <c r="D6910">
        <v>553</v>
      </c>
      <c r="E6910">
        <v>0</v>
      </c>
      <c r="F6910">
        <v>445</v>
      </c>
      <c r="G6910">
        <v>0</v>
      </c>
      <c r="H6910" t="s">
        <v>11829</v>
      </c>
      <c r="I6910">
        <v>7783</v>
      </c>
      <c r="J6910" t="e">
        <f>VLOOKUP(E6910,DSSpieler!A:B,2,FALSE)</f>
        <v>#N/A</v>
      </c>
    </row>
    <row r="6911" spans="1:10" x14ac:dyDescent="0.25">
      <c r="A6911">
        <v>7784</v>
      </c>
      <c r="B6911" t="s">
        <v>531</v>
      </c>
      <c r="C6911">
        <v>578</v>
      </c>
      <c r="D6911">
        <v>468</v>
      </c>
      <c r="E6911">
        <v>0</v>
      </c>
      <c r="F6911">
        <v>230</v>
      </c>
      <c r="G6911">
        <v>0</v>
      </c>
      <c r="H6911" t="s">
        <v>11830</v>
      </c>
      <c r="I6911">
        <v>7784</v>
      </c>
      <c r="J6911" t="e">
        <f>VLOOKUP(E6911,DSSpieler!A:B,2,FALSE)</f>
        <v>#N/A</v>
      </c>
    </row>
    <row r="6912" spans="1:10" x14ac:dyDescent="0.25">
      <c r="A6912">
        <v>7786</v>
      </c>
      <c r="B6912" t="s">
        <v>531</v>
      </c>
      <c r="C6912">
        <v>414</v>
      </c>
      <c r="D6912">
        <v>493</v>
      </c>
      <c r="E6912">
        <v>0</v>
      </c>
      <c r="F6912">
        <v>288</v>
      </c>
      <c r="G6912">
        <v>0</v>
      </c>
      <c r="H6912" t="s">
        <v>11831</v>
      </c>
      <c r="I6912">
        <v>7786</v>
      </c>
      <c r="J6912" t="e">
        <f>VLOOKUP(E6912,DSSpieler!A:B,2,FALSE)</f>
        <v>#N/A</v>
      </c>
    </row>
    <row r="6913" spans="1:10" x14ac:dyDescent="0.25">
      <c r="A6913">
        <v>7787</v>
      </c>
      <c r="B6913" t="s">
        <v>531</v>
      </c>
      <c r="C6913">
        <v>519</v>
      </c>
      <c r="D6913">
        <v>470</v>
      </c>
      <c r="E6913">
        <v>0</v>
      </c>
      <c r="F6913">
        <v>646</v>
      </c>
      <c r="G6913">
        <v>0</v>
      </c>
      <c r="H6913" t="s">
        <v>11832</v>
      </c>
      <c r="I6913">
        <v>7787</v>
      </c>
      <c r="J6913" t="e">
        <f>VLOOKUP(E6913,DSSpieler!A:B,2,FALSE)</f>
        <v>#N/A</v>
      </c>
    </row>
    <row r="6914" spans="1:10" x14ac:dyDescent="0.25">
      <c r="A6914">
        <v>7788</v>
      </c>
      <c r="B6914" t="s">
        <v>33144</v>
      </c>
      <c r="C6914">
        <v>585</v>
      </c>
      <c r="D6914">
        <v>502</v>
      </c>
      <c r="E6914">
        <v>8605089</v>
      </c>
      <c r="F6914">
        <v>4264</v>
      </c>
      <c r="G6914">
        <v>0</v>
      </c>
      <c r="H6914" t="s">
        <v>11833</v>
      </c>
      <c r="I6914">
        <v>7788</v>
      </c>
      <c r="J6914" t="str">
        <f>VLOOKUP(E6914,DSSpieler!A:B,2,FALSE)</f>
        <v>samba olek</v>
      </c>
    </row>
    <row r="6915" spans="1:10" x14ac:dyDescent="0.25">
      <c r="A6915">
        <v>7789</v>
      </c>
      <c r="B6915" t="s">
        <v>531</v>
      </c>
      <c r="C6915">
        <v>452</v>
      </c>
      <c r="D6915">
        <v>572</v>
      </c>
      <c r="E6915">
        <v>0</v>
      </c>
      <c r="F6915">
        <v>223</v>
      </c>
      <c r="G6915">
        <v>0</v>
      </c>
      <c r="H6915" t="s">
        <v>11834</v>
      </c>
      <c r="I6915">
        <v>7789</v>
      </c>
      <c r="J6915" t="e">
        <f>VLOOKUP(E6915,DSSpieler!A:B,2,FALSE)</f>
        <v>#N/A</v>
      </c>
    </row>
    <row r="6916" spans="1:10" x14ac:dyDescent="0.25">
      <c r="A6916">
        <v>7790</v>
      </c>
      <c r="B6916">
        <v>10</v>
      </c>
      <c r="C6916">
        <v>446</v>
      </c>
      <c r="D6916">
        <v>568</v>
      </c>
      <c r="E6916">
        <v>1577178280</v>
      </c>
      <c r="F6916">
        <v>1770</v>
      </c>
      <c r="G6916">
        <v>0</v>
      </c>
      <c r="H6916" t="s">
        <v>11835</v>
      </c>
      <c r="I6916">
        <v>7790</v>
      </c>
      <c r="J6916" t="str">
        <f>VLOOKUP(E6916,DSSpieler!A:B,2,FALSE)</f>
        <v>Tactic</v>
      </c>
    </row>
    <row r="6917" spans="1:10" x14ac:dyDescent="0.25">
      <c r="A6917">
        <v>7791</v>
      </c>
      <c r="B6917" t="s">
        <v>531</v>
      </c>
      <c r="C6917">
        <v>522</v>
      </c>
      <c r="D6917">
        <v>582</v>
      </c>
      <c r="E6917">
        <v>0</v>
      </c>
      <c r="F6917">
        <v>484</v>
      </c>
      <c r="G6917">
        <v>0</v>
      </c>
      <c r="H6917" t="s">
        <v>11836</v>
      </c>
      <c r="I6917">
        <v>7791</v>
      </c>
      <c r="J6917" t="e">
        <f>VLOOKUP(E6917,DSSpieler!A:B,2,FALSE)</f>
        <v>#N/A</v>
      </c>
    </row>
    <row r="6918" spans="1:10" x14ac:dyDescent="0.25">
      <c r="A6918">
        <v>7792</v>
      </c>
      <c r="B6918" t="s">
        <v>33231</v>
      </c>
      <c r="C6918">
        <v>459</v>
      </c>
      <c r="D6918">
        <v>427</v>
      </c>
      <c r="E6918">
        <v>1577155231</v>
      </c>
      <c r="F6918">
        <v>4967</v>
      </c>
      <c r="G6918">
        <v>0</v>
      </c>
      <c r="H6918" t="s">
        <v>11837</v>
      </c>
      <c r="I6918">
        <v>7792</v>
      </c>
      <c r="J6918" t="str">
        <f>VLOOKUP(E6918,DSSpieler!A:B,2,FALSE)</f>
        <v>KarateKurt</v>
      </c>
    </row>
    <row r="6919" spans="1:10" x14ac:dyDescent="0.25">
      <c r="A6919">
        <v>7793</v>
      </c>
      <c r="B6919" t="s">
        <v>1666</v>
      </c>
      <c r="C6919">
        <v>597</v>
      </c>
      <c r="D6919">
        <v>467</v>
      </c>
      <c r="E6919">
        <v>1173632</v>
      </c>
      <c r="F6919">
        <v>4304</v>
      </c>
      <c r="G6919">
        <v>0</v>
      </c>
      <c r="H6919" t="s">
        <v>11838</v>
      </c>
      <c r="I6919">
        <v>7793</v>
      </c>
      <c r="J6919" t="str">
        <f>VLOOKUP(E6919,DSSpieler!A:B,2,FALSE)</f>
        <v>General Dima</v>
      </c>
    </row>
    <row r="6920" spans="1:10" x14ac:dyDescent="0.25">
      <c r="A6920">
        <v>7794</v>
      </c>
      <c r="B6920" t="s">
        <v>531</v>
      </c>
      <c r="C6920">
        <v>583</v>
      </c>
      <c r="D6920">
        <v>528</v>
      </c>
      <c r="E6920">
        <v>0</v>
      </c>
      <c r="F6920">
        <v>228</v>
      </c>
      <c r="G6920">
        <v>0</v>
      </c>
      <c r="H6920" t="s">
        <v>11839</v>
      </c>
      <c r="I6920">
        <v>7794</v>
      </c>
      <c r="J6920" t="e">
        <f>VLOOKUP(E6920,DSSpieler!A:B,2,FALSE)</f>
        <v>#N/A</v>
      </c>
    </row>
    <row r="6921" spans="1:10" x14ac:dyDescent="0.25">
      <c r="A6921">
        <v>7795</v>
      </c>
      <c r="B6921" t="s">
        <v>531</v>
      </c>
      <c r="C6921">
        <v>498</v>
      </c>
      <c r="D6921">
        <v>413</v>
      </c>
      <c r="E6921">
        <v>0</v>
      </c>
      <c r="F6921">
        <v>169</v>
      </c>
      <c r="G6921">
        <v>0</v>
      </c>
      <c r="H6921" t="s">
        <v>11840</v>
      </c>
      <c r="I6921">
        <v>7795</v>
      </c>
      <c r="J6921" t="e">
        <f>VLOOKUP(E6921,DSSpieler!A:B,2,FALSE)</f>
        <v>#N/A</v>
      </c>
    </row>
    <row r="6922" spans="1:10" x14ac:dyDescent="0.25">
      <c r="A6922">
        <v>7796</v>
      </c>
      <c r="B6922" t="s">
        <v>33232</v>
      </c>
      <c r="C6922">
        <v>433</v>
      </c>
      <c r="D6922">
        <v>556</v>
      </c>
      <c r="E6922">
        <v>1577198152</v>
      </c>
      <c r="F6922">
        <v>4511</v>
      </c>
      <c r="G6922">
        <v>0</v>
      </c>
      <c r="H6922" t="s">
        <v>11841</v>
      </c>
      <c r="I6922">
        <v>7796</v>
      </c>
      <c r="J6922" t="str">
        <f>VLOOKUP(E6922,DSSpieler!A:B,2,FALSE)</f>
        <v>Purete</v>
      </c>
    </row>
    <row r="6923" spans="1:10" x14ac:dyDescent="0.25">
      <c r="A6923">
        <v>7797</v>
      </c>
      <c r="B6923" t="s">
        <v>33233</v>
      </c>
      <c r="C6923">
        <v>578</v>
      </c>
      <c r="D6923">
        <v>533</v>
      </c>
      <c r="E6923">
        <v>1576703780</v>
      </c>
      <c r="F6923">
        <v>6263</v>
      </c>
      <c r="G6923">
        <v>0</v>
      </c>
      <c r="H6923" t="s">
        <v>11842</v>
      </c>
      <c r="I6923">
        <v>7797</v>
      </c>
      <c r="J6923" t="str">
        <f>VLOOKUP(E6923,DSSpieler!A:B,2,FALSE)</f>
        <v>preuse66</v>
      </c>
    </row>
    <row r="6924" spans="1:10" x14ac:dyDescent="0.25">
      <c r="A6924">
        <v>7798</v>
      </c>
      <c r="B6924" t="s">
        <v>531</v>
      </c>
      <c r="C6924">
        <v>440</v>
      </c>
      <c r="D6924">
        <v>559</v>
      </c>
      <c r="E6924">
        <v>0</v>
      </c>
      <c r="F6924">
        <v>300</v>
      </c>
      <c r="G6924">
        <v>0</v>
      </c>
      <c r="H6924" t="s">
        <v>11843</v>
      </c>
      <c r="I6924">
        <v>7798</v>
      </c>
      <c r="J6924" t="e">
        <f>VLOOKUP(E6924,DSSpieler!A:B,2,FALSE)</f>
        <v>#N/A</v>
      </c>
    </row>
    <row r="6925" spans="1:10" x14ac:dyDescent="0.25">
      <c r="A6925">
        <v>7800</v>
      </c>
      <c r="B6925" t="s">
        <v>1667</v>
      </c>
      <c r="C6925">
        <v>472</v>
      </c>
      <c r="D6925">
        <v>501</v>
      </c>
      <c r="E6925">
        <v>1577141690</v>
      </c>
      <c r="F6925">
        <v>7972</v>
      </c>
      <c r="G6925">
        <v>0</v>
      </c>
      <c r="H6925" t="s">
        <v>11844</v>
      </c>
      <c r="I6925">
        <v>7800</v>
      </c>
      <c r="J6925" t="str">
        <f>VLOOKUP(E6925,DSSpieler!A:B,2,FALSE)</f>
        <v>Loka1s</v>
      </c>
    </row>
    <row r="6926" spans="1:10" x14ac:dyDescent="0.25">
      <c r="A6926">
        <v>7801</v>
      </c>
      <c r="B6926" t="s">
        <v>531</v>
      </c>
      <c r="C6926">
        <v>582</v>
      </c>
      <c r="D6926">
        <v>475</v>
      </c>
      <c r="E6926">
        <v>0</v>
      </c>
      <c r="F6926">
        <v>191</v>
      </c>
      <c r="G6926">
        <v>0</v>
      </c>
      <c r="H6926" t="s">
        <v>11845</v>
      </c>
      <c r="I6926">
        <v>7801</v>
      </c>
      <c r="J6926" t="e">
        <f>VLOOKUP(E6926,DSSpieler!A:B,2,FALSE)</f>
        <v>#N/A</v>
      </c>
    </row>
    <row r="6927" spans="1:10" x14ac:dyDescent="0.25">
      <c r="A6927">
        <v>7802</v>
      </c>
      <c r="B6927" t="s">
        <v>33234</v>
      </c>
      <c r="C6927">
        <v>581</v>
      </c>
      <c r="D6927">
        <v>567</v>
      </c>
      <c r="E6927">
        <v>1576739058</v>
      </c>
      <c r="F6927">
        <v>659</v>
      </c>
      <c r="G6927">
        <v>0</v>
      </c>
      <c r="H6927" t="s">
        <v>11846</v>
      </c>
      <c r="I6927">
        <v>7802</v>
      </c>
      <c r="J6927" t="str">
        <f>VLOOKUP(E6927,DSSpieler!A:B,2,FALSE)</f>
        <v>gruborg</v>
      </c>
    </row>
    <row r="6928" spans="1:10" x14ac:dyDescent="0.25">
      <c r="A6928">
        <v>7803</v>
      </c>
      <c r="B6928" t="s">
        <v>531</v>
      </c>
      <c r="C6928">
        <v>477</v>
      </c>
      <c r="D6928">
        <v>419</v>
      </c>
      <c r="E6928">
        <v>0</v>
      </c>
      <c r="F6928">
        <v>304</v>
      </c>
      <c r="G6928">
        <v>0</v>
      </c>
      <c r="H6928" t="s">
        <v>11847</v>
      </c>
      <c r="I6928">
        <v>7803</v>
      </c>
      <c r="J6928" t="e">
        <f>VLOOKUP(E6928,DSSpieler!A:B,2,FALSE)</f>
        <v>#N/A</v>
      </c>
    </row>
    <row r="6929" spans="1:10" x14ac:dyDescent="0.25">
      <c r="A6929">
        <v>7804</v>
      </c>
      <c r="B6929" t="s">
        <v>531</v>
      </c>
      <c r="C6929">
        <v>488</v>
      </c>
      <c r="D6929">
        <v>583</v>
      </c>
      <c r="E6929">
        <v>0</v>
      </c>
      <c r="F6929">
        <v>719</v>
      </c>
      <c r="G6929">
        <v>0</v>
      </c>
      <c r="H6929" t="s">
        <v>11848</v>
      </c>
      <c r="I6929">
        <v>7804</v>
      </c>
      <c r="J6929" t="e">
        <f>VLOOKUP(E6929,DSSpieler!A:B,2,FALSE)</f>
        <v>#N/A</v>
      </c>
    </row>
    <row r="6930" spans="1:10" x14ac:dyDescent="0.25">
      <c r="A6930">
        <v>7805</v>
      </c>
      <c r="B6930" t="s">
        <v>531</v>
      </c>
      <c r="C6930">
        <v>474</v>
      </c>
      <c r="D6930">
        <v>417</v>
      </c>
      <c r="E6930">
        <v>0</v>
      </c>
      <c r="F6930">
        <v>429</v>
      </c>
      <c r="G6930">
        <v>0</v>
      </c>
      <c r="H6930" t="s">
        <v>11849</v>
      </c>
      <c r="I6930">
        <v>7805</v>
      </c>
      <c r="J6930" t="e">
        <f>VLOOKUP(E6930,DSSpieler!A:B,2,FALSE)</f>
        <v>#N/A</v>
      </c>
    </row>
    <row r="6931" spans="1:10" x14ac:dyDescent="0.25">
      <c r="A6931">
        <v>7806</v>
      </c>
      <c r="B6931" t="s">
        <v>531</v>
      </c>
      <c r="C6931">
        <v>525</v>
      </c>
      <c r="D6931">
        <v>416</v>
      </c>
      <c r="E6931">
        <v>0</v>
      </c>
      <c r="F6931">
        <v>314</v>
      </c>
      <c r="G6931">
        <v>0</v>
      </c>
      <c r="H6931" t="s">
        <v>11850</v>
      </c>
      <c r="I6931">
        <v>7806</v>
      </c>
      <c r="J6931" t="e">
        <f>VLOOKUP(E6931,DSSpieler!A:B,2,FALSE)</f>
        <v>#N/A</v>
      </c>
    </row>
    <row r="6932" spans="1:10" x14ac:dyDescent="0.25">
      <c r="A6932">
        <v>7808</v>
      </c>
      <c r="B6932" t="s">
        <v>531</v>
      </c>
      <c r="C6932">
        <v>462</v>
      </c>
      <c r="D6932">
        <v>425</v>
      </c>
      <c r="E6932">
        <v>0</v>
      </c>
      <c r="F6932">
        <v>304</v>
      </c>
      <c r="G6932">
        <v>0</v>
      </c>
      <c r="H6932" t="s">
        <v>11851</v>
      </c>
      <c r="I6932">
        <v>7808</v>
      </c>
      <c r="J6932" t="e">
        <f>VLOOKUP(E6932,DSSpieler!A:B,2,FALSE)</f>
        <v>#N/A</v>
      </c>
    </row>
    <row r="6933" spans="1:10" x14ac:dyDescent="0.25">
      <c r="A6933">
        <v>7809</v>
      </c>
      <c r="B6933" t="s">
        <v>33235</v>
      </c>
      <c r="C6933">
        <v>495</v>
      </c>
      <c r="D6933">
        <v>587</v>
      </c>
      <c r="E6933">
        <v>10095044</v>
      </c>
      <c r="F6933">
        <v>2894</v>
      </c>
      <c r="G6933">
        <v>0</v>
      </c>
      <c r="H6933" t="s">
        <v>11852</v>
      </c>
      <c r="I6933">
        <v>7809</v>
      </c>
      <c r="J6933" t="str">
        <f>VLOOKUP(E6933,DSSpieler!A:B,2,FALSE)</f>
        <v>-I3lack-</v>
      </c>
    </row>
    <row r="6934" spans="1:10" x14ac:dyDescent="0.25">
      <c r="A6934">
        <v>7810</v>
      </c>
      <c r="B6934" t="s">
        <v>33236</v>
      </c>
      <c r="C6934">
        <v>566</v>
      </c>
      <c r="D6934">
        <v>444</v>
      </c>
      <c r="E6934">
        <v>9510108</v>
      </c>
      <c r="F6934">
        <v>4722</v>
      </c>
      <c r="G6934">
        <v>0</v>
      </c>
      <c r="H6934" t="s">
        <v>11853</v>
      </c>
      <c r="I6934">
        <v>7810</v>
      </c>
      <c r="J6934" t="str">
        <f>VLOOKUP(E6934,DSSpieler!A:B,2,FALSE)</f>
        <v>Wexx124</v>
      </c>
    </row>
    <row r="6935" spans="1:10" x14ac:dyDescent="0.25">
      <c r="A6935">
        <v>7811</v>
      </c>
      <c r="B6935" t="s">
        <v>531</v>
      </c>
      <c r="C6935">
        <v>574</v>
      </c>
      <c r="D6935">
        <v>457</v>
      </c>
      <c r="E6935">
        <v>0</v>
      </c>
      <c r="F6935">
        <v>118</v>
      </c>
      <c r="G6935">
        <v>0</v>
      </c>
      <c r="H6935" t="s">
        <v>11854</v>
      </c>
      <c r="I6935">
        <v>7811</v>
      </c>
      <c r="J6935" t="e">
        <f>VLOOKUP(E6935,DSSpieler!A:B,2,FALSE)</f>
        <v>#N/A</v>
      </c>
    </row>
    <row r="6936" spans="1:10" x14ac:dyDescent="0.25">
      <c r="A6936">
        <v>7812</v>
      </c>
      <c r="B6936" t="s">
        <v>531</v>
      </c>
      <c r="C6936">
        <v>551</v>
      </c>
      <c r="D6936">
        <v>429</v>
      </c>
      <c r="E6936">
        <v>0</v>
      </c>
      <c r="F6936">
        <v>307</v>
      </c>
      <c r="G6936">
        <v>0</v>
      </c>
      <c r="H6936" t="s">
        <v>11855</v>
      </c>
      <c r="I6936">
        <v>7812</v>
      </c>
      <c r="J6936" t="e">
        <f>VLOOKUP(E6936,DSSpieler!A:B,2,FALSE)</f>
        <v>#N/A</v>
      </c>
    </row>
    <row r="6937" spans="1:10" x14ac:dyDescent="0.25">
      <c r="A6937">
        <v>7813</v>
      </c>
      <c r="B6937" t="s">
        <v>531</v>
      </c>
      <c r="C6937">
        <v>517</v>
      </c>
      <c r="D6937">
        <v>415</v>
      </c>
      <c r="E6937">
        <v>0</v>
      </c>
      <c r="F6937">
        <v>232</v>
      </c>
      <c r="G6937">
        <v>0</v>
      </c>
      <c r="H6937" t="s">
        <v>11856</v>
      </c>
      <c r="I6937">
        <v>7813</v>
      </c>
      <c r="J6937" t="e">
        <f>VLOOKUP(E6937,DSSpieler!A:B,2,FALSE)</f>
        <v>#N/A</v>
      </c>
    </row>
    <row r="6938" spans="1:10" x14ac:dyDescent="0.25">
      <c r="A6938">
        <v>7815</v>
      </c>
      <c r="B6938" t="s">
        <v>33237</v>
      </c>
      <c r="C6938">
        <v>486</v>
      </c>
      <c r="D6938">
        <v>583</v>
      </c>
      <c r="E6938">
        <v>1576785045</v>
      </c>
      <c r="F6938">
        <v>1560</v>
      </c>
      <c r="G6938">
        <v>0</v>
      </c>
      <c r="H6938" t="s">
        <v>11857</v>
      </c>
      <c r="I6938">
        <v>7815</v>
      </c>
      <c r="J6938" t="str">
        <f>VLOOKUP(E6938,DSSpieler!A:B,2,FALSE)</f>
        <v>Lady-Lord</v>
      </c>
    </row>
    <row r="6939" spans="1:10" x14ac:dyDescent="0.25">
      <c r="A6939">
        <v>7816</v>
      </c>
      <c r="B6939" t="s">
        <v>1668</v>
      </c>
      <c r="C6939">
        <v>487</v>
      </c>
      <c r="D6939">
        <v>492</v>
      </c>
      <c r="E6939">
        <v>1577073003</v>
      </c>
      <c r="F6939">
        <v>3239</v>
      </c>
      <c r="G6939">
        <v>0</v>
      </c>
      <c r="H6939" t="s">
        <v>11858</v>
      </c>
      <c r="I6939">
        <v>7816</v>
      </c>
      <c r="J6939" t="str">
        <f>VLOOKUP(E6939,DSSpieler!A:B,2,FALSE)</f>
        <v>CommanderAli</v>
      </c>
    </row>
    <row r="6940" spans="1:10" x14ac:dyDescent="0.25">
      <c r="A6940">
        <v>7819</v>
      </c>
      <c r="B6940" t="s">
        <v>531</v>
      </c>
      <c r="C6940">
        <v>446</v>
      </c>
      <c r="D6940">
        <v>434</v>
      </c>
      <c r="E6940">
        <v>0</v>
      </c>
      <c r="F6940">
        <v>289</v>
      </c>
      <c r="G6940">
        <v>0</v>
      </c>
      <c r="H6940" t="s">
        <v>11859</v>
      </c>
      <c r="I6940">
        <v>7819</v>
      </c>
      <c r="J6940" t="e">
        <f>VLOOKUP(E6940,DSSpieler!A:B,2,FALSE)</f>
        <v>#N/A</v>
      </c>
    </row>
    <row r="6941" spans="1:10" x14ac:dyDescent="0.25">
      <c r="A6941">
        <v>7820</v>
      </c>
      <c r="B6941" t="s">
        <v>33238</v>
      </c>
      <c r="C6941">
        <v>551</v>
      </c>
      <c r="D6941">
        <v>421</v>
      </c>
      <c r="E6941">
        <v>2004534</v>
      </c>
      <c r="F6941">
        <v>4378</v>
      </c>
      <c r="G6941">
        <v>0</v>
      </c>
      <c r="H6941" t="s">
        <v>11860</v>
      </c>
      <c r="I6941">
        <v>7820</v>
      </c>
      <c r="J6941" t="str">
        <f>VLOOKUP(E6941,DSSpieler!A:B,2,FALSE)</f>
        <v>RockyRock</v>
      </c>
    </row>
    <row r="6942" spans="1:10" x14ac:dyDescent="0.25">
      <c r="A6942">
        <v>7821</v>
      </c>
      <c r="B6942" t="s">
        <v>32692</v>
      </c>
      <c r="C6942">
        <v>473</v>
      </c>
      <c r="D6942">
        <v>583</v>
      </c>
      <c r="E6942">
        <v>1577163047</v>
      </c>
      <c r="F6942">
        <v>5299</v>
      </c>
      <c r="G6942">
        <v>0</v>
      </c>
      <c r="H6942" t="s">
        <v>11861</v>
      </c>
      <c r="I6942">
        <v>7821</v>
      </c>
      <c r="J6942" t="str">
        <f>VLOOKUP(E6942,DSSpieler!A:B,2,FALSE)</f>
        <v>Ina Instabil</v>
      </c>
    </row>
    <row r="6943" spans="1:10" x14ac:dyDescent="0.25">
      <c r="A6943">
        <v>7822</v>
      </c>
      <c r="B6943" t="s">
        <v>531</v>
      </c>
      <c r="C6943">
        <v>565</v>
      </c>
      <c r="D6943">
        <v>444</v>
      </c>
      <c r="E6943">
        <v>0</v>
      </c>
      <c r="F6943">
        <v>319</v>
      </c>
      <c r="G6943">
        <v>0</v>
      </c>
      <c r="H6943" t="s">
        <v>11862</v>
      </c>
      <c r="I6943">
        <v>7822</v>
      </c>
      <c r="J6943" t="e">
        <f>VLOOKUP(E6943,DSSpieler!A:B,2,FALSE)</f>
        <v>#N/A</v>
      </c>
    </row>
    <row r="6944" spans="1:10" x14ac:dyDescent="0.25">
      <c r="A6944">
        <v>7823</v>
      </c>
      <c r="B6944" t="s">
        <v>531</v>
      </c>
      <c r="C6944">
        <v>542</v>
      </c>
      <c r="D6944">
        <v>574</v>
      </c>
      <c r="E6944">
        <v>0</v>
      </c>
      <c r="F6944">
        <v>276</v>
      </c>
      <c r="G6944">
        <v>0</v>
      </c>
      <c r="H6944" t="s">
        <v>11863</v>
      </c>
      <c r="I6944">
        <v>7823</v>
      </c>
      <c r="J6944" t="e">
        <f>VLOOKUP(E6944,DSSpieler!A:B,2,FALSE)</f>
        <v>#N/A</v>
      </c>
    </row>
    <row r="6945" spans="1:10" x14ac:dyDescent="0.25">
      <c r="A6945">
        <v>7824</v>
      </c>
      <c r="B6945" t="s">
        <v>531</v>
      </c>
      <c r="C6945">
        <v>581</v>
      </c>
      <c r="D6945">
        <v>473</v>
      </c>
      <c r="E6945">
        <v>0</v>
      </c>
      <c r="F6945">
        <v>275</v>
      </c>
      <c r="G6945">
        <v>0</v>
      </c>
      <c r="H6945" t="s">
        <v>11864</v>
      </c>
      <c r="I6945">
        <v>7824</v>
      </c>
      <c r="J6945" t="e">
        <f>VLOOKUP(E6945,DSSpieler!A:B,2,FALSE)</f>
        <v>#N/A</v>
      </c>
    </row>
    <row r="6946" spans="1:10" x14ac:dyDescent="0.25">
      <c r="A6946">
        <v>7825</v>
      </c>
      <c r="B6946" t="s">
        <v>531</v>
      </c>
      <c r="C6946">
        <v>553</v>
      </c>
      <c r="D6946">
        <v>432</v>
      </c>
      <c r="E6946">
        <v>0</v>
      </c>
      <c r="F6946">
        <v>342</v>
      </c>
      <c r="G6946">
        <v>0</v>
      </c>
      <c r="H6946" t="s">
        <v>11865</v>
      </c>
      <c r="I6946">
        <v>7825</v>
      </c>
      <c r="J6946" t="e">
        <f>VLOOKUP(E6946,DSSpieler!A:B,2,FALSE)</f>
        <v>#N/A</v>
      </c>
    </row>
    <row r="6947" spans="1:10" x14ac:dyDescent="0.25">
      <c r="A6947">
        <v>7827</v>
      </c>
      <c r="B6947" t="s">
        <v>531</v>
      </c>
      <c r="C6947">
        <v>583</v>
      </c>
      <c r="D6947">
        <v>477</v>
      </c>
      <c r="E6947">
        <v>0</v>
      </c>
      <c r="F6947">
        <v>932</v>
      </c>
      <c r="G6947">
        <v>0</v>
      </c>
      <c r="H6947" t="s">
        <v>11866</v>
      </c>
      <c r="I6947">
        <v>7827</v>
      </c>
      <c r="J6947" t="e">
        <f>VLOOKUP(E6947,DSSpieler!A:B,2,FALSE)</f>
        <v>#N/A</v>
      </c>
    </row>
    <row r="6948" spans="1:10" x14ac:dyDescent="0.25">
      <c r="A6948">
        <v>7829</v>
      </c>
      <c r="B6948" t="s">
        <v>531</v>
      </c>
      <c r="C6948">
        <v>528</v>
      </c>
      <c r="D6948">
        <v>583</v>
      </c>
      <c r="E6948">
        <v>0</v>
      </c>
      <c r="F6948">
        <v>268</v>
      </c>
      <c r="G6948">
        <v>0</v>
      </c>
      <c r="H6948" t="s">
        <v>11867</v>
      </c>
      <c r="I6948">
        <v>7829</v>
      </c>
      <c r="J6948" t="e">
        <f>VLOOKUP(E6948,DSSpieler!A:B,2,FALSE)</f>
        <v>#N/A</v>
      </c>
    </row>
    <row r="6949" spans="1:10" x14ac:dyDescent="0.25">
      <c r="A6949">
        <v>7830</v>
      </c>
      <c r="B6949" t="s">
        <v>531</v>
      </c>
      <c r="C6949">
        <v>525</v>
      </c>
      <c r="D6949">
        <v>583</v>
      </c>
      <c r="E6949">
        <v>0</v>
      </c>
      <c r="F6949">
        <v>220</v>
      </c>
      <c r="G6949">
        <v>0</v>
      </c>
      <c r="H6949" t="s">
        <v>11868</v>
      </c>
      <c r="I6949">
        <v>7830</v>
      </c>
      <c r="J6949" t="e">
        <f>VLOOKUP(E6949,DSSpieler!A:B,2,FALSE)</f>
        <v>#N/A</v>
      </c>
    </row>
    <row r="6950" spans="1:10" x14ac:dyDescent="0.25">
      <c r="A6950">
        <v>7831</v>
      </c>
      <c r="B6950" t="s">
        <v>531</v>
      </c>
      <c r="C6950">
        <v>552</v>
      </c>
      <c r="D6950">
        <v>567</v>
      </c>
      <c r="E6950">
        <v>0</v>
      </c>
      <c r="F6950">
        <v>181</v>
      </c>
      <c r="G6950">
        <v>0</v>
      </c>
      <c r="H6950" t="s">
        <v>11869</v>
      </c>
      <c r="I6950">
        <v>7831</v>
      </c>
      <c r="J6950" t="e">
        <f>VLOOKUP(E6950,DSSpieler!A:B,2,FALSE)</f>
        <v>#N/A</v>
      </c>
    </row>
    <row r="6951" spans="1:10" x14ac:dyDescent="0.25">
      <c r="A6951">
        <v>7832</v>
      </c>
      <c r="B6951" t="s">
        <v>531</v>
      </c>
      <c r="C6951">
        <v>424</v>
      </c>
      <c r="D6951">
        <v>458</v>
      </c>
      <c r="E6951">
        <v>0</v>
      </c>
      <c r="F6951">
        <v>162</v>
      </c>
      <c r="G6951">
        <v>0</v>
      </c>
      <c r="H6951" t="s">
        <v>11870</v>
      </c>
      <c r="I6951">
        <v>7832</v>
      </c>
      <c r="J6951" t="e">
        <f>VLOOKUP(E6951,DSSpieler!A:B,2,FALSE)</f>
        <v>#N/A</v>
      </c>
    </row>
    <row r="6952" spans="1:10" x14ac:dyDescent="0.25">
      <c r="A6952">
        <v>7833</v>
      </c>
      <c r="B6952" t="s">
        <v>33239</v>
      </c>
      <c r="C6952">
        <v>569</v>
      </c>
      <c r="D6952">
        <v>553</v>
      </c>
      <c r="E6952">
        <v>532123</v>
      </c>
      <c r="F6952">
        <v>5472</v>
      </c>
      <c r="G6952">
        <v>0</v>
      </c>
      <c r="H6952" t="s">
        <v>11871</v>
      </c>
      <c r="I6952">
        <v>7833</v>
      </c>
      <c r="J6952" t="str">
        <f>VLOOKUP(E6952,DSSpieler!A:B,2,FALSE)</f>
        <v>doenges-team</v>
      </c>
    </row>
    <row r="6953" spans="1:10" x14ac:dyDescent="0.25">
      <c r="A6953">
        <v>7834</v>
      </c>
      <c r="B6953" t="s">
        <v>1669</v>
      </c>
      <c r="C6953">
        <v>586</v>
      </c>
      <c r="D6953">
        <v>498</v>
      </c>
      <c r="E6953">
        <v>1576821170</v>
      </c>
      <c r="F6953">
        <v>7107</v>
      </c>
      <c r="G6953">
        <v>0</v>
      </c>
      <c r="H6953" t="s">
        <v>11872</v>
      </c>
      <c r="I6953">
        <v>7834</v>
      </c>
      <c r="J6953" t="str">
        <f>VLOOKUP(E6953,DSSpieler!A:B,2,FALSE)</f>
        <v>SirHiglod</v>
      </c>
    </row>
    <row r="6954" spans="1:10" x14ac:dyDescent="0.25">
      <c r="A6954">
        <v>7835</v>
      </c>
      <c r="B6954" t="s">
        <v>979</v>
      </c>
      <c r="C6954">
        <v>505</v>
      </c>
      <c r="D6954">
        <v>584</v>
      </c>
      <c r="E6954">
        <v>9589757</v>
      </c>
      <c r="F6954">
        <v>5575</v>
      </c>
      <c r="G6954">
        <v>0</v>
      </c>
      <c r="H6954" t="s">
        <v>11873</v>
      </c>
      <c r="I6954">
        <v>7835</v>
      </c>
      <c r="J6954" t="str">
        <f>VLOOKUP(E6954,DSSpieler!A:B,2,FALSE)</f>
        <v>Bluddeux</v>
      </c>
    </row>
    <row r="6955" spans="1:10" x14ac:dyDescent="0.25">
      <c r="A6955">
        <v>7836</v>
      </c>
      <c r="B6955" t="s">
        <v>1670</v>
      </c>
      <c r="C6955">
        <v>433</v>
      </c>
      <c r="D6955">
        <v>566</v>
      </c>
      <c r="E6955">
        <v>1576822543</v>
      </c>
      <c r="F6955">
        <v>5346</v>
      </c>
      <c r="G6955">
        <v>0</v>
      </c>
      <c r="H6955" t="s">
        <v>11874</v>
      </c>
      <c r="I6955">
        <v>7836</v>
      </c>
      <c r="J6955" t="str">
        <f>VLOOKUP(E6955,DSSpieler!A:B,2,FALSE)</f>
        <v>MannyDasGrimmigeMamut</v>
      </c>
    </row>
    <row r="6956" spans="1:10" x14ac:dyDescent="0.25">
      <c r="A6956">
        <v>7837</v>
      </c>
      <c r="B6956" t="s">
        <v>30474</v>
      </c>
      <c r="C6956">
        <v>416</v>
      </c>
      <c r="D6956">
        <v>434</v>
      </c>
      <c r="E6956">
        <v>1576826598</v>
      </c>
      <c r="F6956">
        <v>8076</v>
      </c>
      <c r="G6956">
        <v>0</v>
      </c>
      <c r="H6956" t="s">
        <v>11875</v>
      </c>
      <c r="I6956">
        <v>7837</v>
      </c>
      <c r="J6956" t="str">
        <f>VLOOKUP(E6956,DSSpieler!A:B,2,FALSE)</f>
        <v>Rainer Wahnsinn</v>
      </c>
    </row>
    <row r="6957" spans="1:10" x14ac:dyDescent="0.25">
      <c r="A6957">
        <v>7838</v>
      </c>
      <c r="B6957" t="s">
        <v>33240</v>
      </c>
      <c r="C6957">
        <v>531</v>
      </c>
      <c r="D6957">
        <v>602</v>
      </c>
      <c r="E6957">
        <v>1577183490</v>
      </c>
      <c r="F6957">
        <v>3647</v>
      </c>
      <c r="G6957">
        <v>0</v>
      </c>
      <c r="H6957" t="s">
        <v>11876</v>
      </c>
      <c r="I6957">
        <v>7838</v>
      </c>
      <c r="J6957" t="str">
        <f>VLOOKUP(E6957,DSSpieler!A:B,2,FALSE)</f>
        <v>KlabauterKlaus</v>
      </c>
    </row>
    <row r="6958" spans="1:10" x14ac:dyDescent="0.25">
      <c r="A6958">
        <v>7839</v>
      </c>
      <c r="B6958" t="s">
        <v>33241</v>
      </c>
      <c r="C6958">
        <v>451</v>
      </c>
      <c r="D6958">
        <v>573</v>
      </c>
      <c r="E6958">
        <v>1576830431</v>
      </c>
      <c r="F6958">
        <v>5486</v>
      </c>
      <c r="G6958">
        <v>0</v>
      </c>
      <c r="H6958" t="s">
        <v>11877</v>
      </c>
      <c r="I6958">
        <v>7839</v>
      </c>
      <c r="J6958" t="str">
        <f>VLOOKUP(E6958,DSSpieler!A:B,2,FALSE)</f>
        <v>Steinadler16</v>
      </c>
    </row>
    <row r="6959" spans="1:10" x14ac:dyDescent="0.25">
      <c r="A6959">
        <v>7840</v>
      </c>
      <c r="B6959" t="s">
        <v>531</v>
      </c>
      <c r="C6959">
        <v>582</v>
      </c>
      <c r="D6959">
        <v>470</v>
      </c>
      <c r="E6959">
        <v>0</v>
      </c>
      <c r="F6959">
        <v>459</v>
      </c>
      <c r="G6959">
        <v>0</v>
      </c>
      <c r="H6959" t="s">
        <v>11878</v>
      </c>
      <c r="I6959">
        <v>7840</v>
      </c>
      <c r="J6959" t="e">
        <f>VLOOKUP(E6959,DSSpieler!A:B,2,FALSE)</f>
        <v>#N/A</v>
      </c>
    </row>
    <row r="6960" spans="1:10" x14ac:dyDescent="0.25">
      <c r="A6960">
        <v>7841</v>
      </c>
      <c r="B6960" t="s">
        <v>531</v>
      </c>
      <c r="C6960">
        <v>420</v>
      </c>
      <c r="D6960">
        <v>525</v>
      </c>
      <c r="E6960">
        <v>0</v>
      </c>
      <c r="F6960">
        <v>248</v>
      </c>
      <c r="G6960">
        <v>0</v>
      </c>
      <c r="H6960" t="s">
        <v>11879</v>
      </c>
      <c r="I6960">
        <v>7841</v>
      </c>
      <c r="J6960" t="e">
        <f>VLOOKUP(E6960,DSSpieler!A:B,2,FALSE)</f>
        <v>#N/A</v>
      </c>
    </row>
    <row r="6961" spans="1:10" x14ac:dyDescent="0.25">
      <c r="A6961">
        <v>7842</v>
      </c>
      <c r="B6961" t="s">
        <v>33242</v>
      </c>
      <c r="C6961">
        <v>508</v>
      </c>
      <c r="D6961">
        <v>414</v>
      </c>
      <c r="E6961">
        <v>1577198979</v>
      </c>
      <c r="F6961">
        <v>2947</v>
      </c>
      <c r="G6961">
        <v>0</v>
      </c>
      <c r="H6961" t="s">
        <v>11880</v>
      </c>
      <c r="I6961">
        <v>7842</v>
      </c>
      <c r="J6961" t="str">
        <f>VLOOKUP(E6961,DSSpieler!A:B,2,FALSE)</f>
        <v>Asswin</v>
      </c>
    </row>
    <row r="6962" spans="1:10" x14ac:dyDescent="0.25">
      <c r="A6962">
        <v>7843</v>
      </c>
      <c r="B6962" t="s">
        <v>780</v>
      </c>
      <c r="C6962">
        <v>563</v>
      </c>
      <c r="D6962">
        <v>568</v>
      </c>
      <c r="E6962">
        <v>1577197971</v>
      </c>
      <c r="F6962">
        <v>5727</v>
      </c>
      <c r="G6962">
        <v>0</v>
      </c>
      <c r="H6962" t="s">
        <v>11881</v>
      </c>
      <c r="I6962">
        <v>7843</v>
      </c>
      <c r="J6962" t="str">
        <f>VLOOKUP(E6962,DSSpieler!A:B,2,FALSE)</f>
        <v>-I34SH-</v>
      </c>
    </row>
    <row r="6963" spans="1:10" x14ac:dyDescent="0.25">
      <c r="A6963">
        <v>7844</v>
      </c>
      <c r="B6963" t="s">
        <v>1671</v>
      </c>
      <c r="C6963">
        <v>491</v>
      </c>
      <c r="D6963">
        <v>398</v>
      </c>
      <c r="E6963">
        <v>1576840362</v>
      </c>
      <c r="F6963">
        <v>4738</v>
      </c>
      <c r="G6963">
        <v>0</v>
      </c>
      <c r="H6963" t="s">
        <v>11882</v>
      </c>
      <c r="I6963">
        <v>7844</v>
      </c>
      <c r="J6963" t="str">
        <f>VLOOKUP(E6963,DSSpieler!A:B,2,FALSE)</f>
        <v>birano62</v>
      </c>
    </row>
    <row r="6964" spans="1:10" x14ac:dyDescent="0.25">
      <c r="A6964">
        <v>7845</v>
      </c>
      <c r="B6964" t="s">
        <v>531</v>
      </c>
      <c r="C6964">
        <v>421</v>
      </c>
      <c r="D6964">
        <v>463</v>
      </c>
      <c r="E6964">
        <v>0</v>
      </c>
      <c r="F6964">
        <v>169</v>
      </c>
      <c r="G6964">
        <v>0</v>
      </c>
      <c r="H6964" t="s">
        <v>11883</v>
      </c>
      <c r="I6964">
        <v>7845</v>
      </c>
      <c r="J6964" t="e">
        <f>VLOOKUP(E6964,DSSpieler!A:B,2,FALSE)</f>
        <v>#N/A</v>
      </c>
    </row>
    <row r="6965" spans="1:10" x14ac:dyDescent="0.25">
      <c r="A6965">
        <v>7846</v>
      </c>
      <c r="B6965" t="s">
        <v>1672</v>
      </c>
      <c r="C6965">
        <v>481</v>
      </c>
      <c r="D6965">
        <v>585</v>
      </c>
      <c r="E6965">
        <v>1576843431</v>
      </c>
      <c r="F6965">
        <v>325</v>
      </c>
      <c r="G6965">
        <v>0</v>
      </c>
      <c r="H6965" t="s">
        <v>11884</v>
      </c>
      <c r="I6965">
        <v>7846</v>
      </c>
      <c r="J6965" t="str">
        <f>VLOOKUP(E6965,DSSpieler!A:B,2,FALSE)</f>
        <v>borken1997</v>
      </c>
    </row>
    <row r="6966" spans="1:10" x14ac:dyDescent="0.25">
      <c r="A6966">
        <v>7847</v>
      </c>
      <c r="B6966">
        <v>1</v>
      </c>
      <c r="C6966">
        <v>444</v>
      </c>
      <c r="D6966">
        <v>453</v>
      </c>
      <c r="E6966">
        <v>1576730474</v>
      </c>
      <c r="F6966">
        <v>6045</v>
      </c>
      <c r="G6966">
        <v>0</v>
      </c>
      <c r="H6966" t="s">
        <v>11885</v>
      </c>
      <c r="I6966">
        <v>7847</v>
      </c>
      <c r="J6966" t="str">
        <f>VLOOKUP(E6966,DSSpieler!A:B,2,FALSE)</f>
        <v>Cookilie</v>
      </c>
    </row>
    <row r="6967" spans="1:10" x14ac:dyDescent="0.25">
      <c r="A6967">
        <v>7848</v>
      </c>
      <c r="B6967" t="s">
        <v>531</v>
      </c>
      <c r="C6967">
        <v>540</v>
      </c>
      <c r="D6967">
        <v>424</v>
      </c>
      <c r="E6967">
        <v>0</v>
      </c>
      <c r="F6967">
        <v>316</v>
      </c>
      <c r="G6967">
        <v>0</v>
      </c>
      <c r="H6967" t="s">
        <v>11886</v>
      </c>
      <c r="I6967">
        <v>7848</v>
      </c>
      <c r="J6967" t="e">
        <f>VLOOKUP(E6967,DSSpieler!A:B,2,FALSE)</f>
        <v>#N/A</v>
      </c>
    </row>
    <row r="6968" spans="1:10" x14ac:dyDescent="0.25">
      <c r="A6968">
        <v>7849</v>
      </c>
      <c r="B6968" t="s">
        <v>531</v>
      </c>
      <c r="C6968">
        <v>441</v>
      </c>
      <c r="D6968">
        <v>561</v>
      </c>
      <c r="E6968">
        <v>0</v>
      </c>
      <c r="F6968">
        <v>262</v>
      </c>
      <c r="G6968">
        <v>0</v>
      </c>
      <c r="H6968" t="s">
        <v>11887</v>
      </c>
      <c r="I6968">
        <v>7849</v>
      </c>
      <c r="J6968" t="e">
        <f>VLOOKUP(E6968,DSSpieler!A:B,2,FALSE)</f>
        <v>#N/A</v>
      </c>
    </row>
    <row r="6969" spans="1:10" x14ac:dyDescent="0.25">
      <c r="A6969">
        <v>7850</v>
      </c>
      <c r="B6969" t="s">
        <v>531</v>
      </c>
      <c r="C6969">
        <v>421</v>
      </c>
      <c r="D6969">
        <v>467</v>
      </c>
      <c r="E6969">
        <v>0</v>
      </c>
      <c r="F6969">
        <v>241</v>
      </c>
      <c r="G6969">
        <v>0</v>
      </c>
      <c r="H6969" t="s">
        <v>11888</v>
      </c>
      <c r="I6969">
        <v>7850</v>
      </c>
      <c r="J6969" t="e">
        <f>VLOOKUP(E6969,DSSpieler!A:B,2,FALSE)</f>
        <v>#N/A</v>
      </c>
    </row>
    <row r="6970" spans="1:10" x14ac:dyDescent="0.25">
      <c r="A6970">
        <v>7851</v>
      </c>
      <c r="B6970" t="s">
        <v>531</v>
      </c>
      <c r="C6970">
        <v>514</v>
      </c>
      <c r="D6970">
        <v>417</v>
      </c>
      <c r="E6970">
        <v>0</v>
      </c>
      <c r="F6970">
        <v>587</v>
      </c>
      <c r="G6970">
        <v>0</v>
      </c>
      <c r="H6970" t="s">
        <v>11889</v>
      </c>
      <c r="I6970">
        <v>7851</v>
      </c>
      <c r="J6970" t="e">
        <f>VLOOKUP(E6970,DSSpieler!A:B,2,FALSE)</f>
        <v>#N/A</v>
      </c>
    </row>
    <row r="6971" spans="1:10" x14ac:dyDescent="0.25">
      <c r="A6971">
        <v>7852</v>
      </c>
      <c r="B6971" t="s">
        <v>531</v>
      </c>
      <c r="C6971">
        <v>416</v>
      </c>
      <c r="D6971">
        <v>485</v>
      </c>
      <c r="E6971">
        <v>0</v>
      </c>
      <c r="F6971">
        <v>341</v>
      </c>
      <c r="G6971">
        <v>0</v>
      </c>
      <c r="H6971" t="s">
        <v>11890</v>
      </c>
      <c r="I6971">
        <v>7852</v>
      </c>
      <c r="J6971" t="e">
        <f>VLOOKUP(E6971,DSSpieler!A:B,2,FALSE)</f>
        <v>#N/A</v>
      </c>
    </row>
    <row r="6972" spans="1:10" x14ac:dyDescent="0.25">
      <c r="A6972">
        <v>7854</v>
      </c>
      <c r="B6972" t="s">
        <v>531</v>
      </c>
      <c r="C6972">
        <v>552</v>
      </c>
      <c r="D6972">
        <v>568</v>
      </c>
      <c r="E6972">
        <v>0</v>
      </c>
      <c r="F6972">
        <v>149</v>
      </c>
      <c r="G6972">
        <v>0</v>
      </c>
      <c r="H6972" t="s">
        <v>11891</v>
      </c>
      <c r="I6972">
        <v>7854</v>
      </c>
      <c r="J6972" t="e">
        <f>VLOOKUP(E6972,DSSpieler!A:B,2,FALSE)</f>
        <v>#N/A</v>
      </c>
    </row>
    <row r="6973" spans="1:10" x14ac:dyDescent="0.25">
      <c r="A6973">
        <v>7855</v>
      </c>
      <c r="B6973" t="s">
        <v>1673</v>
      </c>
      <c r="C6973">
        <v>494</v>
      </c>
      <c r="D6973">
        <v>588</v>
      </c>
      <c r="E6973">
        <v>1577088799</v>
      </c>
      <c r="F6973">
        <v>2950</v>
      </c>
      <c r="G6973">
        <v>0</v>
      </c>
      <c r="H6973" t="s">
        <v>11892</v>
      </c>
      <c r="I6973">
        <v>7855</v>
      </c>
      <c r="J6973" t="str">
        <f>VLOOKUP(E6973,DSSpieler!A:B,2,FALSE)</f>
        <v>nalp-niok</v>
      </c>
    </row>
    <row r="6974" spans="1:10" x14ac:dyDescent="0.25">
      <c r="A6974">
        <v>7856</v>
      </c>
      <c r="B6974" t="s">
        <v>531</v>
      </c>
      <c r="C6974">
        <v>443</v>
      </c>
      <c r="D6974">
        <v>433</v>
      </c>
      <c r="E6974">
        <v>0</v>
      </c>
      <c r="F6974">
        <v>239</v>
      </c>
      <c r="G6974">
        <v>0</v>
      </c>
      <c r="H6974" t="s">
        <v>11893</v>
      </c>
      <c r="I6974">
        <v>7856</v>
      </c>
      <c r="J6974" t="e">
        <f>VLOOKUP(E6974,DSSpieler!A:B,2,FALSE)</f>
        <v>#N/A</v>
      </c>
    </row>
    <row r="6975" spans="1:10" x14ac:dyDescent="0.25">
      <c r="A6975">
        <v>7857</v>
      </c>
      <c r="B6975" t="s">
        <v>531</v>
      </c>
      <c r="C6975">
        <v>569</v>
      </c>
      <c r="D6975">
        <v>446</v>
      </c>
      <c r="E6975">
        <v>0</v>
      </c>
      <c r="F6975">
        <v>268</v>
      </c>
      <c r="G6975">
        <v>0</v>
      </c>
      <c r="H6975" t="s">
        <v>11894</v>
      </c>
      <c r="I6975">
        <v>7857</v>
      </c>
      <c r="J6975" t="e">
        <f>VLOOKUP(E6975,DSSpieler!A:B,2,FALSE)</f>
        <v>#N/A</v>
      </c>
    </row>
    <row r="6976" spans="1:10" x14ac:dyDescent="0.25">
      <c r="A6976">
        <v>7858</v>
      </c>
      <c r="B6976" t="s">
        <v>33243</v>
      </c>
      <c r="C6976">
        <v>415</v>
      </c>
      <c r="D6976">
        <v>480</v>
      </c>
      <c r="E6976">
        <v>1576858983</v>
      </c>
      <c r="F6976">
        <v>6538</v>
      </c>
      <c r="G6976">
        <v>0</v>
      </c>
      <c r="H6976" t="s">
        <v>11895</v>
      </c>
      <c r="I6976">
        <v>7858</v>
      </c>
      <c r="J6976" t="str">
        <f>VLOOKUP(E6976,DSSpieler!A:B,2,FALSE)</f>
        <v>KäptenHeftig</v>
      </c>
    </row>
    <row r="6977" spans="1:10" x14ac:dyDescent="0.25">
      <c r="A6977">
        <v>7859</v>
      </c>
      <c r="B6977" t="s">
        <v>531</v>
      </c>
      <c r="C6977">
        <v>416</v>
      </c>
      <c r="D6977">
        <v>494</v>
      </c>
      <c r="E6977">
        <v>0</v>
      </c>
      <c r="F6977">
        <v>251</v>
      </c>
      <c r="G6977">
        <v>0</v>
      </c>
      <c r="H6977" t="s">
        <v>11896</v>
      </c>
      <c r="I6977">
        <v>7859</v>
      </c>
      <c r="J6977" t="e">
        <f>VLOOKUP(E6977,DSSpieler!A:B,2,FALSE)</f>
        <v>#N/A</v>
      </c>
    </row>
    <row r="6978" spans="1:10" x14ac:dyDescent="0.25">
      <c r="A6978">
        <v>7861</v>
      </c>
      <c r="B6978">
        <v>4</v>
      </c>
      <c r="C6978">
        <v>514</v>
      </c>
      <c r="D6978">
        <v>413</v>
      </c>
      <c r="E6978">
        <v>1577193787</v>
      </c>
      <c r="F6978">
        <v>4503</v>
      </c>
      <c r="G6978">
        <v>0</v>
      </c>
      <c r="H6978" t="s">
        <v>11897</v>
      </c>
      <c r="I6978">
        <v>7861</v>
      </c>
      <c r="J6978" t="str">
        <f>VLOOKUP(E6978,DSSpieler!A:B,2,FALSE)</f>
        <v>dapeter</v>
      </c>
    </row>
    <row r="6979" spans="1:10" x14ac:dyDescent="0.25">
      <c r="A6979">
        <v>7863</v>
      </c>
      <c r="B6979" t="s">
        <v>531</v>
      </c>
      <c r="C6979">
        <v>586</v>
      </c>
      <c r="D6979">
        <v>484</v>
      </c>
      <c r="E6979">
        <v>0</v>
      </c>
      <c r="F6979">
        <v>107</v>
      </c>
      <c r="G6979">
        <v>0</v>
      </c>
      <c r="H6979" t="s">
        <v>11898</v>
      </c>
      <c r="I6979">
        <v>7863</v>
      </c>
      <c r="J6979" t="e">
        <f>VLOOKUP(E6979,DSSpieler!A:B,2,FALSE)</f>
        <v>#N/A</v>
      </c>
    </row>
    <row r="6980" spans="1:10" x14ac:dyDescent="0.25">
      <c r="A6980">
        <v>7864</v>
      </c>
      <c r="B6980" t="s">
        <v>33244</v>
      </c>
      <c r="C6980">
        <v>470</v>
      </c>
      <c r="D6980">
        <v>444</v>
      </c>
      <c r="E6980">
        <v>1576867448</v>
      </c>
      <c r="F6980">
        <v>6068</v>
      </c>
      <c r="G6980">
        <v>0</v>
      </c>
      <c r="H6980" t="s">
        <v>11899</v>
      </c>
      <c r="I6980">
        <v>7864</v>
      </c>
      <c r="J6980" t="str">
        <f>VLOOKUP(E6980,DSSpieler!A:B,2,FALSE)</f>
        <v>ondyyy</v>
      </c>
    </row>
    <row r="6981" spans="1:10" x14ac:dyDescent="0.25">
      <c r="A6981">
        <v>7865</v>
      </c>
      <c r="B6981" t="s">
        <v>531</v>
      </c>
      <c r="C6981">
        <v>560</v>
      </c>
      <c r="D6981">
        <v>562</v>
      </c>
      <c r="E6981">
        <v>0</v>
      </c>
      <c r="F6981">
        <v>220</v>
      </c>
      <c r="G6981">
        <v>0</v>
      </c>
      <c r="H6981" t="s">
        <v>11900</v>
      </c>
      <c r="I6981">
        <v>7865</v>
      </c>
      <c r="J6981" t="e">
        <f>VLOOKUP(E6981,DSSpieler!A:B,2,FALSE)</f>
        <v>#N/A</v>
      </c>
    </row>
    <row r="6982" spans="1:10" x14ac:dyDescent="0.25">
      <c r="A6982">
        <v>7866</v>
      </c>
      <c r="B6982" t="s">
        <v>33245</v>
      </c>
      <c r="C6982">
        <v>500</v>
      </c>
      <c r="D6982">
        <v>499</v>
      </c>
      <c r="E6982">
        <v>1576960694</v>
      </c>
      <c r="F6982">
        <v>5338</v>
      </c>
      <c r="G6982">
        <v>0</v>
      </c>
      <c r="H6982" t="s">
        <v>11901</v>
      </c>
      <c r="I6982">
        <v>7866</v>
      </c>
      <c r="J6982" t="str">
        <f>VLOOKUP(E6982,DSSpieler!A:B,2,FALSE)</f>
        <v>nils005</v>
      </c>
    </row>
    <row r="6983" spans="1:10" x14ac:dyDescent="0.25">
      <c r="A6983">
        <v>7867</v>
      </c>
      <c r="B6983" t="s">
        <v>531</v>
      </c>
      <c r="C6983">
        <v>467</v>
      </c>
      <c r="D6983">
        <v>418</v>
      </c>
      <c r="E6983">
        <v>0</v>
      </c>
      <c r="F6983">
        <v>356</v>
      </c>
      <c r="G6983">
        <v>0</v>
      </c>
      <c r="H6983" t="s">
        <v>11902</v>
      </c>
      <c r="I6983">
        <v>7867</v>
      </c>
      <c r="J6983" t="e">
        <f>VLOOKUP(E6983,DSSpieler!A:B,2,FALSE)</f>
        <v>#N/A</v>
      </c>
    </row>
    <row r="6984" spans="1:10" x14ac:dyDescent="0.25">
      <c r="A6984">
        <v>7868</v>
      </c>
      <c r="B6984" t="s">
        <v>33246</v>
      </c>
      <c r="C6984">
        <v>449</v>
      </c>
      <c r="D6984">
        <v>504</v>
      </c>
      <c r="E6984">
        <v>1576871070</v>
      </c>
      <c r="F6984">
        <v>8070</v>
      </c>
      <c r="G6984">
        <v>0</v>
      </c>
      <c r="H6984" t="s">
        <v>11903</v>
      </c>
      <c r="I6984">
        <v>7868</v>
      </c>
      <c r="J6984" t="str">
        <f>VLOOKUP(E6984,DSSpieler!A:B,2,FALSE)</f>
        <v>K I N G</v>
      </c>
    </row>
    <row r="6985" spans="1:10" x14ac:dyDescent="0.25">
      <c r="A6985">
        <v>7869</v>
      </c>
      <c r="B6985" t="s">
        <v>531</v>
      </c>
      <c r="C6985">
        <v>535</v>
      </c>
      <c r="D6985">
        <v>581</v>
      </c>
      <c r="E6985">
        <v>0</v>
      </c>
      <c r="F6985">
        <v>270</v>
      </c>
      <c r="G6985">
        <v>0</v>
      </c>
      <c r="H6985" t="s">
        <v>11904</v>
      </c>
      <c r="I6985">
        <v>7869</v>
      </c>
      <c r="J6985" t="e">
        <f>VLOOKUP(E6985,DSSpieler!A:B,2,FALSE)</f>
        <v>#N/A</v>
      </c>
    </row>
    <row r="6986" spans="1:10" x14ac:dyDescent="0.25">
      <c r="A6986">
        <v>7870</v>
      </c>
      <c r="B6986" t="s">
        <v>531</v>
      </c>
      <c r="C6986">
        <v>416</v>
      </c>
      <c r="D6986">
        <v>513</v>
      </c>
      <c r="E6986">
        <v>0</v>
      </c>
      <c r="F6986">
        <v>171</v>
      </c>
      <c r="G6986">
        <v>0</v>
      </c>
      <c r="H6986" t="s">
        <v>11905</v>
      </c>
      <c r="I6986">
        <v>7870</v>
      </c>
      <c r="J6986" t="e">
        <f>VLOOKUP(E6986,DSSpieler!A:B,2,FALSE)</f>
        <v>#N/A</v>
      </c>
    </row>
    <row r="6987" spans="1:10" x14ac:dyDescent="0.25">
      <c r="A6987">
        <v>7871</v>
      </c>
      <c r="B6987" t="s">
        <v>1674</v>
      </c>
      <c r="C6987">
        <v>482</v>
      </c>
      <c r="D6987">
        <v>583</v>
      </c>
      <c r="E6987">
        <v>9964090</v>
      </c>
      <c r="F6987">
        <v>2840</v>
      </c>
      <c r="G6987">
        <v>0</v>
      </c>
      <c r="H6987" t="s">
        <v>11906</v>
      </c>
      <c r="I6987">
        <v>7871</v>
      </c>
      <c r="J6987" t="str">
        <f>VLOOKUP(E6987,DSSpieler!A:B,2,FALSE)</f>
        <v>Abelos</v>
      </c>
    </row>
    <row r="6988" spans="1:10" x14ac:dyDescent="0.25">
      <c r="A6988">
        <v>7872</v>
      </c>
      <c r="B6988" t="s">
        <v>1675</v>
      </c>
      <c r="C6988">
        <v>568</v>
      </c>
      <c r="D6988">
        <v>448</v>
      </c>
      <c r="E6988">
        <v>1577191594</v>
      </c>
      <c r="F6988">
        <v>1532</v>
      </c>
      <c r="G6988">
        <v>0</v>
      </c>
      <c r="H6988" t="s">
        <v>11907</v>
      </c>
      <c r="I6988">
        <v>7872</v>
      </c>
      <c r="J6988" t="str">
        <f>VLOOKUP(E6988,DSSpieler!A:B,2,FALSE)</f>
        <v>PirayaRay</v>
      </c>
    </row>
    <row r="6989" spans="1:10" x14ac:dyDescent="0.25">
      <c r="A6989">
        <v>7873</v>
      </c>
      <c r="B6989" t="s">
        <v>33247</v>
      </c>
      <c r="C6989">
        <v>483</v>
      </c>
      <c r="D6989">
        <v>417</v>
      </c>
      <c r="E6989">
        <v>1576880392</v>
      </c>
      <c r="F6989">
        <v>1211</v>
      </c>
      <c r="G6989">
        <v>0</v>
      </c>
      <c r="H6989" t="s">
        <v>11908</v>
      </c>
      <c r="I6989">
        <v>7873</v>
      </c>
      <c r="J6989" t="str">
        <f>VLOOKUP(E6989,DSSpieler!A:B,2,FALSE)</f>
        <v>stefan1809</v>
      </c>
    </row>
    <row r="6990" spans="1:10" x14ac:dyDescent="0.25">
      <c r="A6990">
        <v>7874</v>
      </c>
      <c r="B6990" t="s">
        <v>531</v>
      </c>
      <c r="C6990">
        <v>576</v>
      </c>
      <c r="D6990">
        <v>458</v>
      </c>
      <c r="E6990">
        <v>0</v>
      </c>
      <c r="F6990">
        <v>281</v>
      </c>
      <c r="G6990">
        <v>0</v>
      </c>
      <c r="H6990" t="s">
        <v>11909</v>
      </c>
      <c r="I6990">
        <v>7874</v>
      </c>
      <c r="J6990" t="e">
        <f>VLOOKUP(E6990,DSSpieler!A:B,2,FALSE)</f>
        <v>#N/A</v>
      </c>
    </row>
    <row r="6991" spans="1:10" x14ac:dyDescent="0.25">
      <c r="A6991">
        <v>7875</v>
      </c>
      <c r="B6991" t="s">
        <v>531</v>
      </c>
      <c r="C6991">
        <v>607</v>
      </c>
      <c r="D6991">
        <v>504</v>
      </c>
      <c r="E6991">
        <v>0</v>
      </c>
      <c r="F6991">
        <v>221</v>
      </c>
      <c r="G6991">
        <v>0</v>
      </c>
      <c r="H6991" t="s">
        <v>11910</v>
      </c>
      <c r="I6991">
        <v>7875</v>
      </c>
      <c r="J6991" t="e">
        <f>VLOOKUP(E6991,DSSpieler!A:B,2,FALSE)</f>
        <v>#N/A</v>
      </c>
    </row>
    <row r="6992" spans="1:10" x14ac:dyDescent="0.25">
      <c r="A6992">
        <v>7876</v>
      </c>
      <c r="B6992" t="s">
        <v>531</v>
      </c>
      <c r="C6992">
        <v>434</v>
      </c>
      <c r="D6992">
        <v>557</v>
      </c>
      <c r="E6992">
        <v>0</v>
      </c>
      <c r="F6992">
        <v>279</v>
      </c>
      <c r="G6992">
        <v>0</v>
      </c>
      <c r="H6992" t="s">
        <v>11911</v>
      </c>
      <c r="I6992">
        <v>7876</v>
      </c>
      <c r="J6992" t="e">
        <f>VLOOKUP(E6992,DSSpieler!A:B,2,FALSE)</f>
        <v>#N/A</v>
      </c>
    </row>
    <row r="6993" spans="1:10" x14ac:dyDescent="0.25">
      <c r="A6993">
        <v>7877</v>
      </c>
      <c r="B6993" t="s">
        <v>33248</v>
      </c>
      <c r="C6993">
        <v>543</v>
      </c>
      <c r="D6993">
        <v>425</v>
      </c>
      <c r="E6993">
        <v>1577176327</v>
      </c>
      <c r="F6993">
        <v>1384</v>
      </c>
      <c r="G6993">
        <v>0</v>
      </c>
      <c r="H6993" t="s">
        <v>11912</v>
      </c>
      <c r="I6993">
        <v>7877</v>
      </c>
      <c r="J6993" t="str">
        <f>VLOOKUP(E6993,DSSpieler!A:B,2,FALSE)</f>
        <v>DerAnthilope</v>
      </c>
    </row>
    <row r="6994" spans="1:10" x14ac:dyDescent="0.25">
      <c r="A6994">
        <v>7878</v>
      </c>
      <c r="B6994">
        <v>3</v>
      </c>
      <c r="C6994">
        <v>441</v>
      </c>
      <c r="D6994">
        <v>564</v>
      </c>
      <c r="E6994">
        <v>1577197805</v>
      </c>
      <c r="F6994">
        <v>5714</v>
      </c>
      <c r="G6994">
        <v>0</v>
      </c>
      <c r="H6994" t="s">
        <v>11913</v>
      </c>
      <c r="I6994">
        <v>7878</v>
      </c>
      <c r="J6994" t="str">
        <f>VLOOKUP(E6994,DSSpieler!A:B,2,FALSE)</f>
        <v>TheOneAndOnly</v>
      </c>
    </row>
    <row r="6995" spans="1:10" x14ac:dyDescent="0.25">
      <c r="A6995">
        <v>7879</v>
      </c>
      <c r="B6995" t="s">
        <v>33249</v>
      </c>
      <c r="C6995">
        <v>539</v>
      </c>
      <c r="D6995">
        <v>575</v>
      </c>
      <c r="E6995">
        <v>1576886619</v>
      </c>
      <c r="F6995">
        <v>5534</v>
      </c>
      <c r="G6995">
        <v>0</v>
      </c>
      <c r="H6995" t="s">
        <v>11914</v>
      </c>
      <c r="I6995">
        <v>7879</v>
      </c>
      <c r="J6995" t="str">
        <f>VLOOKUP(E6995,DSSpieler!A:B,2,FALSE)</f>
        <v>xJoniOmi</v>
      </c>
    </row>
    <row r="6996" spans="1:10" x14ac:dyDescent="0.25">
      <c r="A6996">
        <v>7880</v>
      </c>
      <c r="B6996" t="s">
        <v>33250</v>
      </c>
      <c r="C6996">
        <v>467</v>
      </c>
      <c r="D6996">
        <v>588</v>
      </c>
      <c r="E6996">
        <v>1577016565</v>
      </c>
      <c r="F6996">
        <v>5721</v>
      </c>
      <c r="G6996">
        <v>0</v>
      </c>
      <c r="H6996" t="s">
        <v>11915</v>
      </c>
      <c r="I6996">
        <v>7880</v>
      </c>
      <c r="J6996" t="str">
        <f>VLOOKUP(E6996,DSSpieler!A:B,2,FALSE)</f>
        <v>Inditex</v>
      </c>
    </row>
    <row r="6997" spans="1:10" x14ac:dyDescent="0.25">
      <c r="A6997">
        <v>7881</v>
      </c>
      <c r="B6997" t="s">
        <v>33251</v>
      </c>
      <c r="C6997">
        <v>405</v>
      </c>
      <c r="D6997">
        <v>516</v>
      </c>
      <c r="E6997">
        <v>1577164313</v>
      </c>
      <c r="F6997">
        <v>3931</v>
      </c>
      <c r="G6997">
        <v>0</v>
      </c>
      <c r="H6997" t="s">
        <v>11916</v>
      </c>
      <c r="I6997">
        <v>7881</v>
      </c>
      <c r="J6997" t="str">
        <f>VLOOKUP(E6997,DSSpieler!A:B,2,FALSE)</f>
        <v>plp51</v>
      </c>
    </row>
    <row r="6998" spans="1:10" x14ac:dyDescent="0.25">
      <c r="A6998">
        <v>7882</v>
      </c>
      <c r="B6998" t="s">
        <v>33252</v>
      </c>
      <c r="C6998">
        <v>492</v>
      </c>
      <c r="D6998">
        <v>416</v>
      </c>
      <c r="E6998">
        <v>1576897590</v>
      </c>
      <c r="F6998">
        <v>2737</v>
      </c>
      <c r="G6998">
        <v>0</v>
      </c>
      <c r="H6998" t="s">
        <v>11917</v>
      </c>
      <c r="I6998">
        <v>7882</v>
      </c>
      <c r="J6998" t="str">
        <f>VLOOKUP(E6998,DSSpieler!A:B,2,FALSE)</f>
        <v>dumdudel</v>
      </c>
    </row>
    <row r="6999" spans="1:10" x14ac:dyDescent="0.25">
      <c r="A6999">
        <v>7883</v>
      </c>
      <c r="B6999" t="s">
        <v>531</v>
      </c>
      <c r="C6999">
        <v>584</v>
      </c>
      <c r="D6999">
        <v>525</v>
      </c>
      <c r="E6999">
        <v>0</v>
      </c>
      <c r="F6999">
        <v>268</v>
      </c>
      <c r="G6999">
        <v>0</v>
      </c>
      <c r="H6999" t="s">
        <v>11918</v>
      </c>
      <c r="I6999">
        <v>7883</v>
      </c>
      <c r="J6999" t="e">
        <f>VLOOKUP(E6999,DSSpieler!A:B,2,FALSE)</f>
        <v>#N/A</v>
      </c>
    </row>
    <row r="7000" spans="1:10" x14ac:dyDescent="0.25">
      <c r="A7000">
        <v>7884</v>
      </c>
      <c r="B7000" t="s">
        <v>1676</v>
      </c>
      <c r="C7000">
        <v>518</v>
      </c>
      <c r="D7000">
        <v>583</v>
      </c>
      <c r="E7000">
        <v>1577157270</v>
      </c>
      <c r="F7000">
        <v>4613</v>
      </c>
      <c r="G7000">
        <v>0</v>
      </c>
      <c r="H7000" t="s">
        <v>11919</v>
      </c>
      <c r="I7000">
        <v>7884</v>
      </c>
      <c r="J7000" t="str">
        <f>VLOOKUP(E7000,DSSpieler!A:B,2,FALSE)</f>
        <v>Aufguss582</v>
      </c>
    </row>
    <row r="7001" spans="1:10" x14ac:dyDescent="0.25">
      <c r="A7001">
        <v>7885</v>
      </c>
      <c r="B7001" t="s">
        <v>30980</v>
      </c>
      <c r="C7001">
        <v>432</v>
      </c>
      <c r="D7001">
        <v>448</v>
      </c>
      <c r="E7001">
        <v>1576923004</v>
      </c>
      <c r="F7001">
        <v>6273</v>
      </c>
      <c r="G7001">
        <v>0</v>
      </c>
      <c r="H7001" t="s">
        <v>11920</v>
      </c>
      <c r="I7001">
        <v>7885</v>
      </c>
      <c r="J7001" t="str">
        <f>VLOOKUP(E7001,DSSpieler!A:B,2,FALSE)</f>
        <v>Ahaleks</v>
      </c>
    </row>
    <row r="7002" spans="1:10" x14ac:dyDescent="0.25">
      <c r="A7002">
        <v>7886</v>
      </c>
      <c r="B7002" t="s">
        <v>531</v>
      </c>
      <c r="C7002">
        <v>414</v>
      </c>
      <c r="D7002">
        <v>484</v>
      </c>
      <c r="E7002">
        <v>0</v>
      </c>
      <c r="F7002">
        <v>406</v>
      </c>
      <c r="G7002">
        <v>0</v>
      </c>
      <c r="H7002" t="s">
        <v>11921</v>
      </c>
      <c r="I7002">
        <v>7886</v>
      </c>
      <c r="J7002" t="e">
        <f>VLOOKUP(E7002,DSSpieler!A:B,2,FALSE)</f>
        <v>#N/A</v>
      </c>
    </row>
    <row r="7003" spans="1:10" x14ac:dyDescent="0.25">
      <c r="A7003">
        <v>7887</v>
      </c>
      <c r="B7003" t="s">
        <v>33253</v>
      </c>
      <c r="C7003">
        <v>520</v>
      </c>
      <c r="D7003">
        <v>417</v>
      </c>
      <c r="E7003">
        <v>1576902757</v>
      </c>
      <c r="F7003">
        <v>253</v>
      </c>
      <c r="G7003">
        <v>0</v>
      </c>
      <c r="H7003" t="s">
        <v>11922</v>
      </c>
      <c r="I7003">
        <v>7887</v>
      </c>
      <c r="J7003" t="str">
        <f>VLOOKUP(E7003,DSSpieler!A:B,2,FALSE)</f>
        <v>vorletzter</v>
      </c>
    </row>
    <row r="7004" spans="1:10" x14ac:dyDescent="0.25">
      <c r="A7004">
        <v>7888</v>
      </c>
      <c r="B7004">
        <v>2</v>
      </c>
      <c r="C7004">
        <v>444</v>
      </c>
      <c r="D7004">
        <v>435</v>
      </c>
      <c r="E7004">
        <v>1577190723</v>
      </c>
      <c r="F7004">
        <v>2116</v>
      </c>
      <c r="G7004">
        <v>0</v>
      </c>
      <c r="H7004" t="s">
        <v>11923</v>
      </c>
      <c r="I7004">
        <v>7888</v>
      </c>
      <c r="J7004" t="str">
        <f>VLOOKUP(E7004,DSSpieler!A:B,2,FALSE)</f>
        <v>Enno73</v>
      </c>
    </row>
    <row r="7005" spans="1:10" x14ac:dyDescent="0.25">
      <c r="A7005">
        <v>7889</v>
      </c>
      <c r="B7005" t="s">
        <v>531</v>
      </c>
      <c r="C7005">
        <v>557</v>
      </c>
      <c r="D7005">
        <v>433</v>
      </c>
      <c r="E7005">
        <v>0</v>
      </c>
      <c r="F7005">
        <v>216</v>
      </c>
      <c r="G7005">
        <v>0</v>
      </c>
      <c r="H7005" t="s">
        <v>11924</v>
      </c>
      <c r="I7005">
        <v>7889</v>
      </c>
      <c r="J7005" t="e">
        <f>VLOOKUP(E7005,DSSpieler!A:B,2,FALSE)</f>
        <v>#N/A</v>
      </c>
    </row>
    <row r="7006" spans="1:10" x14ac:dyDescent="0.25">
      <c r="A7006">
        <v>7890</v>
      </c>
      <c r="B7006" t="s">
        <v>531</v>
      </c>
      <c r="C7006">
        <v>527</v>
      </c>
      <c r="D7006">
        <v>584</v>
      </c>
      <c r="E7006">
        <v>0</v>
      </c>
      <c r="F7006">
        <v>240</v>
      </c>
      <c r="G7006">
        <v>0</v>
      </c>
      <c r="H7006" t="s">
        <v>11925</v>
      </c>
      <c r="I7006">
        <v>7890</v>
      </c>
      <c r="J7006" t="e">
        <f>VLOOKUP(E7006,DSSpieler!A:B,2,FALSE)</f>
        <v>#N/A</v>
      </c>
    </row>
    <row r="7007" spans="1:10" x14ac:dyDescent="0.25">
      <c r="A7007">
        <v>7891</v>
      </c>
      <c r="B7007" t="s">
        <v>33254</v>
      </c>
      <c r="C7007">
        <v>579</v>
      </c>
      <c r="D7007">
        <v>463</v>
      </c>
      <c r="E7007">
        <v>1576911683</v>
      </c>
      <c r="F7007">
        <v>338</v>
      </c>
      <c r="G7007">
        <v>0</v>
      </c>
      <c r="H7007" t="s">
        <v>11926</v>
      </c>
      <c r="I7007">
        <v>7891</v>
      </c>
      <c r="J7007" t="str">
        <f>VLOOKUP(E7007,DSSpieler!A:B,2,FALSE)</f>
        <v>thimmex</v>
      </c>
    </row>
    <row r="7008" spans="1:10" x14ac:dyDescent="0.25">
      <c r="A7008">
        <v>7892</v>
      </c>
      <c r="B7008" t="s">
        <v>531</v>
      </c>
      <c r="C7008">
        <v>566</v>
      </c>
      <c r="D7008">
        <v>448</v>
      </c>
      <c r="E7008">
        <v>0</v>
      </c>
      <c r="F7008">
        <v>532</v>
      </c>
      <c r="G7008">
        <v>0</v>
      </c>
      <c r="H7008" t="s">
        <v>11927</v>
      </c>
      <c r="I7008">
        <v>7892</v>
      </c>
      <c r="J7008" t="e">
        <f>VLOOKUP(E7008,DSSpieler!A:B,2,FALSE)</f>
        <v>#N/A</v>
      </c>
    </row>
    <row r="7009" spans="1:10" x14ac:dyDescent="0.25">
      <c r="A7009">
        <v>7893</v>
      </c>
      <c r="B7009" t="s">
        <v>531</v>
      </c>
      <c r="C7009">
        <v>536</v>
      </c>
      <c r="D7009">
        <v>577</v>
      </c>
      <c r="E7009">
        <v>0</v>
      </c>
      <c r="F7009">
        <v>171</v>
      </c>
      <c r="G7009">
        <v>0</v>
      </c>
      <c r="H7009" t="s">
        <v>11928</v>
      </c>
      <c r="I7009">
        <v>7893</v>
      </c>
      <c r="J7009" t="e">
        <f>VLOOKUP(E7009,DSSpieler!A:B,2,FALSE)</f>
        <v>#N/A</v>
      </c>
    </row>
    <row r="7010" spans="1:10" x14ac:dyDescent="0.25">
      <c r="A7010">
        <v>7894</v>
      </c>
      <c r="B7010" t="s">
        <v>1677</v>
      </c>
      <c r="C7010">
        <v>559</v>
      </c>
      <c r="D7010">
        <v>426</v>
      </c>
      <c r="E7010">
        <v>9704633</v>
      </c>
      <c r="F7010">
        <v>2354</v>
      </c>
      <c r="G7010">
        <v>0</v>
      </c>
      <c r="H7010" t="s">
        <v>11929</v>
      </c>
      <c r="I7010">
        <v>7894</v>
      </c>
      <c r="J7010" t="str">
        <f>VLOOKUP(E7010,DSSpieler!A:B,2,FALSE)</f>
        <v>GamePri</v>
      </c>
    </row>
    <row r="7011" spans="1:10" x14ac:dyDescent="0.25">
      <c r="A7011">
        <v>7895</v>
      </c>
      <c r="B7011" t="s">
        <v>33255</v>
      </c>
      <c r="C7011">
        <v>471</v>
      </c>
      <c r="D7011">
        <v>583</v>
      </c>
      <c r="E7011">
        <v>1576913376</v>
      </c>
      <c r="F7011">
        <v>455</v>
      </c>
      <c r="G7011">
        <v>0</v>
      </c>
      <c r="H7011" t="s">
        <v>11930</v>
      </c>
      <c r="I7011">
        <v>7895</v>
      </c>
      <c r="J7011" t="str">
        <f>VLOOKUP(E7011,DSSpieler!A:B,2,FALSE)</f>
        <v>9Csaba9</v>
      </c>
    </row>
    <row r="7012" spans="1:10" x14ac:dyDescent="0.25">
      <c r="A7012">
        <v>7896</v>
      </c>
      <c r="B7012" t="s">
        <v>1550</v>
      </c>
      <c r="C7012">
        <v>485</v>
      </c>
      <c r="D7012">
        <v>415</v>
      </c>
      <c r="E7012">
        <v>2642692</v>
      </c>
      <c r="F7012">
        <v>4545</v>
      </c>
      <c r="G7012">
        <v>0</v>
      </c>
      <c r="H7012" t="s">
        <v>11931</v>
      </c>
      <c r="I7012">
        <v>7896</v>
      </c>
      <c r="J7012" t="str">
        <f>VLOOKUP(E7012,DSSpieler!A:B,2,FALSE)</f>
        <v>Amydala32</v>
      </c>
    </row>
    <row r="7013" spans="1:10" x14ac:dyDescent="0.25">
      <c r="A7013">
        <v>7898</v>
      </c>
      <c r="B7013" t="s">
        <v>33256</v>
      </c>
      <c r="C7013">
        <v>559</v>
      </c>
      <c r="D7013">
        <v>419</v>
      </c>
      <c r="E7013">
        <v>1577197691</v>
      </c>
      <c r="F7013">
        <v>5668</v>
      </c>
      <c r="G7013">
        <v>0</v>
      </c>
      <c r="H7013" t="s">
        <v>11932</v>
      </c>
      <c r="I7013">
        <v>7898</v>
      </c>
      <c r="J7013" t="str">
        <f>VLOOKUP(E7013,DSSpieler!A:B,2,FALSE)</f>
        <v>McPaolo</v>
      </c>
    </row>
    <row r="7014" spans="1:10" x14ac:dyDescent="0.25">
      <c r="A7014">
        <v>7899</v>
      </c>
      <c r="B7014" t="s">
        <v>33257</v>
      </c>
      <c r="C7014">
        <v>555</v>
      </c>
      <c r="D7014">
        <v>434</v>
      </c>
      <c r="E7014">
        <v>1577195970</v>
      </c>
      <c r="F7014">
        <v>3870</v>
      </c>
      <c r="G7014">
        <v>0</v>
      </c>
      <c r="H7014" t="s">
        <v>11933</v>
      </c>
      <c r="I7014">
        <v>7899</v>
      </c>
      <c r="J7014" t="str">
        <f>VLOOKUP(E7014,DSSpieler!A:B,2,FALSE)</f>
        <v>bpm-junk</v>
      </c>
    </row>
    <row r="7015" spans="1:10" x14ac:dyDescent="0.25">
      <c r="A7015">
        <v>7900</v>
      </c>
      <c r="B7015" t="s">
        <v>531</v>
      </c>
      <c r="C7015">
        <v>584</v>
      </c>
      <c r="D7015">
        <v>480</v>
      </c>
      <c r="E7015">
        <v>0</v>
      </c>
      <c r="F7015">
        <v>841</v>
      </c>
      <c r="G7015">
        <v>0</v>
      </c>
      <c r="H7015" t="s">
        <v>11934</v>
      </c>
      <c r="I7015">
        <v>7900</v>
      </c>
      <c r="J7015" t="e">
        <f>VLOOKUP(E7015,DSSpieler!A:B,2,FALSE)</f>
        <v>#N/A</v>
      </c>
    </row>
    <row r="7016" spans="1:10" x14ac:dyDescent="0.25">
      <c r="A7016">
        <v>7901</v>
      </c>
      <c r="B7016" t="s">
        <v>33258</v>
      </c>
      <c r="C7016">
        <v>569</v>
      </c>
      <c r="D7016">
        <v>444</v>
      </c>
      <c r="E7016">
        <v>1576910880</v>
      </c>
      <c r="F7016">
        <v>2125</v>
      </c>
      <c r="G7016">
        <v>0</v>
      </c>
      <c r="H7016" t="s">
        <v>11935</v>
      </c>
      <c r="I7016">
        <v>7901</v>
      </c>
      <c r="J7016" t="str">
        <f>VLOOKUP(E7016,DSSpieler!A:B,2,FALSE)</f>
        <v>Quarantino*</v>
      </c>
    </row>
    <row r="7017" spans="1:10" x14ac:dyDescent="0.25">
      <c r="A7017">
        <v>7902</v>
      </c>
      <c r="B7017" t="s">
        <v>33259</v>
      </c>
      <c r="C7017">
        <v>461</v>
      </c>
      <c r="D7017">
        <v>572</v>
      </c>
      <c r="E7017">
        <v>1369880</v>
      </c>
      <c r="F7017">
        <v>5189</v>
      </c>
      <c r="G7017">
        <v>0</v>
      </c>
      <c r="H7017" t="s">
        <v>11936</v>
      </c>
      <c r="I7017">
        <v>7902</v>
      </c>
      <c r="J7017" t="str">
        <f>VLOOKUP(E7017,DSSpieler!A:B,2,FALSE)</f>
        <v>Cellme</v>
      </c>
    </row>
    <row r="7018" spans="1:10" x14ac:dyDescent="0.25">
      <c r="A7018">
        <v>7903</v>
      </c>
      <c r="B7018" t="s">
        <v>33260</v>
      </c>
      <c r="C7018">
        <v>426</v>
      </c>
      <c r="D7018">
        <v>550</v>
      </c>
      <c r="E7018">
        <v>1577183380</v>
      </c>
      <c r="F7018">
        <v>2494</v>
      </c>
      <c r="G7018">
        <v>0</v>
      </c>
      <c r="H7018" t="s">
        <v>11937</v>
      </c>
      <c r="I7018">
        <v>7903</v>
      </c>
      <c r="J7018" t="str">
        <f>VLOOKUP(E7018,DSSpieler!A:B,2,FALSE)</f>
        <v>AntikerPro</v>
      </c>
    </row>
    <row r="7019" spans="1:10" x14ac:dyDescent="0.25">
      <c r="A7019">
        <v>7904</v>
      </c>
      <c r="B7019" t="s">
        <v>531</v>
      </c>
      <c r="C7019">
        <v>407</v>
      </c>
      <c r="D7019">
        <v>525</v>
      </c>
      <c r="E7019">
        <v>0</v>
      </c>
      <c r="F7019">
        <v>713</v>
      </c>
      <c r="G7019">
        <v>0</v>
      </c>
      <c r="H7019" t="s">
        <v>11938</v>
      </c>
      <c r="I7019">
        <v>7904</v>
      </c>
      <c r="J7019" t="e">
        <f>VLOOKUP(E7019,DSSpieler!A:B,2,FALSE)</f>
        <v>#N/A</v>
      </c>
    </row>
    <row r="7020" spans="1:10" x14ac:dyDescent="0.25">
      <c r="A7020">
        <v>7905</v>
      </c>
      <c r="B7020" t="s">
        <v>531</v>
      </c>
      <c r="C7020">
        <v>420</v>
      </c>
      <c r="D7020">
        <v>526</v>
      </c>
      <c r="E7020">
        <v>0</v>
      </c>
      <c r="F7020">
        <v>317</v>
      </c>
      <c r="G7020">
        <v>0</v>
      </c>
      <c r="H7020" t="s">
        <v>11939</v>
      </c>
      <c r="I7020">
        <v>7905</v>
      </c>
      <c r="J7020" t="e">
        <f>VLOOKUP(E7020,DSSpieler!A:B,2,FALSE)</f>
        <v>#N/A</v>
      </c>
    </row>
    <row r="7021" spans="1:10" x14ac:dyDescent="0.25">
      <c r="A7021">
        <v>7906</v>
      </c>
      <c r="B7021" t="s">
        <v>531</v>
      </c>
      <c r="C7021">
        <v>430</v>
      </c>
      <c r="D7021">
        <v>549</v>
      </c>
      <c r="E7021">
        <v>0</v>
      </c>
      <c r="F7021">
        <v>351</v>
      </c>
      <c r="G7021">
        <v>0</v>
      </c>
      <c r="H7021" t="s">
        <v>11940</v>
      </c>
      <c r="I7021">
        <v>7906</v>
      </c>
      <c r="J7021" t="e">
        <f>VLOOKUP(E7021,DSSpieler!A:B,2,FALSE)</f>
        <v>#N/A</v>
      </c>
    </row>
    <row r="7022" spans="1:10" x14ac:dyDescent="0.25">
      <c r="A7022">
        <v>7908</v>
      </c>
      <c r="B7022" t="s">
        <v>33261</v>
      </c>
      <c r="C7022">
        <v>456</v>
      </c>
      <c r="D7022">
        <v>574</v>
      </c>
      <c r="E7022">
        <v>1576947542</v>
      </c>
      <c r="F7022">
        <v>454</v>
      </c>
      <c r="G7022">
        <v>0</v>
      </c>
      <c r="H7022" t="s">
        <v>11941</v>
      </c>
      <c r="I7022">
        <v>7908</v>
      </c>
      <c r="J7022" t="str">
        <f>VLOOKUP(E7022,DSSpieler!A:B,2,FALSE)</f>
        <v>Lord Schnee77</v>
      </c>
    </row>
    <row r="7023" spans="1:10" x14ac:dyDescent="0.25">
      <c r="A7023">
        <v>7909</v>
      </c>
      <c r="B7023" t="s">
        <v>531</v>
      </c>
      <c r="C7023">
        <v>413</v>
      </c>
      <c r="D7023">
        <v>499</v>
      </c>
      <c r="E7023">
        <v>0</v>
      </c>
      <c r="F7023">
        <v>93</v>
      </c>
      <c r="G7023">
        <v>0</v>
      </c>
      <c r="H7023" t="s">
        <v>11942</v>
      </c>
      <c r="I7023">
        <v>7909</v>
      </c>
      <c r="J7023" t="e">
        <f>VLOOKUP(E7023,DSSpieler!A:B,2,FALSE)</f>
        <v>#N/A</v>
      </c>
    </row>
    <row r="7024" spans="1:10" x14ac:dyDescent="0.25">
      <c r="A7024">
        <v>7910</v>
      </c>
      <c r="B7024" t="s">
        <v>531</v>
      </c>
      <c r="C7024">
        <v>487</v>
      </c>
      <c r="D7024">
        <v>585</v>
      </c>
      <c r="E7024">
        <v>0</v>
      </c>
      <c r="F7024">
        <v>383</v>
      </c>
      <c r="G7024">
        <v>0</v>
      </c>
      <c r="H7024" t="s">
        <v>11943</v>
      </c>
      <c r="I7024">
        <v>7910</v>
      </c>
      <c r="J7024" t="e">
        <f>VLOOKUP(E7024,DSSpieler!A:B,2,FALSE)</f>
        <v>#N/A</v>
      </c>
    </row>
    <row r="7025" spans="1:10" x14ac:dyDescent="0.25">
      <c r="A7025">
        <v>7911</v>
      </c>
      <c r="B7025" t="s">
        <v>531</v>
      </c>
      <c r="C7025">
        <v>516</v>
      </c>
      <c r="D7025">
        <v>414</v>
      </c>
      <c r="E7025">
        <v>0</v>
      </c>
      <c r="F7025">
        <v>492</v>
      </c>
      <c r="G7025">
        <v>0</v>
      </c>
      <c r="H7025" t="s">
        <v>11944</v>
      </c>
      <c r="I7025">
        <v>7911</v>
      </c>
      <c r="J7025" t="e">
        <f>VLOOKUP(E7025,DSSpieler!A:B,2,FALSE)</f>
        <v>#N/A</v>
      </c>
    </row>
    <row r="7026" spans="1:10" x14ac:dyDescent="0.25">
      <c r="A7026">
        <v>7913</v>
      </c>
      <c r="B7026" t="s">
        <v>531</v>
      </c>
      <c r="C7026">
        <v>470</v>
      </c>
      <c r="D7026">
        <v>419</v>
      </c>
      <c r="E7026">
        <v>0</v>
      </c>
      <c r="F7026">
        <v>222</v>
      </c>
      <c r="G7026">
        <v>0</v>
      </c>
      <c r="H7026" t="s">
        <v>11945</v>
      </c>
      <c r="I7026">
        <v>7913</v>
      </c>
      <c r="J7026" t="e">
        <f>VLOOKUP(E7026,DSSpieler!A:B,2,FALSE)</f>
        <v>#N/A</v>
      </c>
    </row>
    <row r="7027" spans="1:10" x14ac:dyDescent="0.25">
      <c r="A7027">
        <v>7914</v>
      </c>
      <c r="B7027" t="s">
        <v>33262</v>
      </c>
      <c r="C7027">
        <v>423</v>
      </c>
      <c r="D7027">
        <v>542</v>
      </c>
      <c r="E7027">
        <v>10036893</v>
      </c>
      <c r="F7027">
        <v>5908</v>
      </c>
      <c r="G7027">
        <v>0</v>
      </c>
      <c r="H7027" t="s">
        <v>11946</v>
      </c>
      <c r="I7027">
        <v>7914</v>
      </c>
      <c r="J7027" t="str">
        <f>VLOOKUP(E7027,DSSpieler!A:B,2,FALSE)</f>
        <v>Dihydrogenmonoxid</v>
      </c>
    </row>
    <row r="7028" spans="1:10" x14ac:dyDescent="0.25">
      <c r="A7028">
        <v>7915</v>
      </c>
      <c r="B7028" t="s">
        <v>546</v>
      </c>
      <c r="C7028">
        <v>494</v>
      </c>
      <c r="D7028">
        <v>470</v>
      </c>
      <c r="E7028">
        <v>10264083</v>
      </c>
      <c r="F7028">
        <v>6119</v>
      </c>
      <c r="G7028">
        <v>0</v>
      </c>
      <c r="H7028" t="s">
        <v>11947</v>
      </c>
      <c r="I7028">
        <v>7915</v>
      </c>
      <c r="J7028" t="str">
        <f>VLOOKUP(E7028,DSSpieler!A:B,2,FALSE)</f>
        <v>Bill Gates</v>
      </c>
    </row>
    <row r="7029" spans="1:10" x14ac:dyDescent="0.25">
      <c r="A7029">
        <v>7916</v>
      </c>
      <c r="B7029" t="s">
        <v>1678</v>
      </c>
      <c r="C7029">
        <v>587</v>
      </c>
      <c r="D7029">
        <v>487</v>
      </c>
      <c r="E7029">
        <v>1576938782</v>
      </c>
      <c r="F7029">
        <v>143</v>
      </c>
      <c r="G7029">
        <v>0</v>
      </c>
      <c r="H7029" t="s">
        <v>11948</v>
      </c>
      <c r="I7029">
        <v>7916</v>
      </c>
      <c r="J7029" t="str">
        <f>VLOOKUP(E7029,DSSpieler!A:B,2,FALSE)</f>
        <v>König Günther1</v>
      </c>
    </row>
    <row r="7030" spans="1:10" x14ac:dyDescent="0.25">
      <c r="A7030">
        <v>7917</v>
      </c>
      <c r="B7030" t="s">
        <v>33263</v>
      </c>
      <c r="C7030">
        <v>572</v>
      </c>
      <c r="D7030">
        <v>420</v>
      </c>
      <c r="E7030">
        <v>1577155229</v>
      </c>
      <c r="F7030">
        <v>5081</v>
      </c>
      <c r="G7030">
        <v>0</v>
      </c>
      <c r="H7030" t="s">
        <v>11949</v>
      </c>
      <c r="I7030">
        <v>7917</v>
      </c>
      <c r="J7030" t="str">
        <f>VLOOKUP(E7030,DSSpieler!A:B,2,FALSE)</f>
        <v>AffeMitWaffe</v>
      </c>
    </row>
    <row r="7031" spans="1:10" x14ac:dyDescent="0.25">
      <c r="A7031">
        <v>7918</v>
      </c>
      <c r="B7031" t="s">
        <v>531</v>
      </c>
      <c r="C7031">
        <v>414</v>
      </c>
      <c r="D7031">
        <v>511</v>
      </c>
      <c r="E7031">
        <v>0</v>
      </c>
      <c r="F7031">
        <v>274</v>
      </c>
      <c r="G7031">
        <v>0</v>
      </c>
      <c r="H7031" t="s">
        <v>11950</v>
      </c>
      <c r="I7031">
        <v>7918</v>
      </c>
      <c r="J7031" t="e">
        <f>VLOOKUP(E7031,DSSpieler!A:B,2,FALSE)</f>
        <v>#N/A</v>
      </c>
    </row>
    <row r="7032" spans="1:10" x14ac:dyDescent="0.25">
      <c r="A7032">
        <v>7919</v>
      </c>
      <c r="B7032" t="s">
        <v>33264</v>
      </c>
      <c r="C7032">
        <v>455</v>
      </c>
      <c r="D7032">
        <v>574</v>
      </c>
      <c r="E7032">
        <v>1576947542</v>
      </c>
      <c r="F7032">
        <v>4936</v>
      </c>
      <c r="G7032">
        <v>0</v>
      </c>
      <c r="H7032" t="s">
        <v>11951</v>
      </c>
      <c r="I7032">
        <v>7919</v>
      </c>
      <c r="J7032" t="str">
        <f>VLOOKUP(E7032,DSSpieler!A:B,2,FALSE)</f>
        <v>Lord Schnee77</v>
      </c>
    </row>
    <row r="7033" spans="1:10" x14ac:dyDescent="0.25">
      <c r="A7033">
        <v>7920</v>
      </c>
      <c r="B7033" t="s">
        <v>531</v>
      </c>
      <c r="C7033">
        <v>586</v>
      </c>
      <c r="D7033">
        <v>511</v>
      </c>
      <c r="E7033">
        <v>0</v>
      </c>
      <c r="F7033">
        <v>375</v>
      </c>
      <c r="G7033">
        <v>0</v>
      </c>
      <c r="H7033" t="s">
        <v>11952</v>
      </c>
      <c r="I7033">
        <v>7920</v>
      </c>
      <c r="J7033" t="e">
        <f>VLOOKUP(E7033,DSSpieler!A:B,2,FALSE)</f>
        <v>#N/A</v>
      </c>
    </row>
    <row r="7034" spans="1:10" x14ac:dyDescent="0.25">
      <c r="A7034">
        <v>7921</v>
      </c>
      <c r="B7034" t="s">
        <v>33265</v>
      </c>
      <c r="C7034">
        <v>578</v>
      </c>
      <c r="D7034">
        <v>542</v>
      </c>
      <c r="E7034">
        <v>1576950028</v>
      </c>
      <c r="F7034">
        <v>3861</v>
      </c>
      <c r="G7034">
        <v>0</v>
      </c>
      <c r="H7034" t="s">
        <v>11953</v>
      </c>
      <c r="I7034">
        <v>7921</v>
      </c>
      <c r="J7034" t="str">
        <f>VLOOKUP(E7034,DSSpieler!A:B,2,FALSE)</f>
        <v>DeepSilver</v>
      </c>
    </row>
    <row r="7035" spans="1:10" x14ac:dyDescent="0.25">
      <c r="A7035">
        <v>7922</v>
      </c>
      <c r="B7035" t="s">
        <v>531</v>
      </c>
      <c r="C7035">
        <v>583</v>
      </c>
      <c r="D7035">
        <v>517</v>
      </c>
      <c r="E7035">
        <v>0</v>
      </c>
      <c r="F7035">
        <v>394</v>
      </c>
      <c r="G7035">
        <v>0</v>
      </c>
      <c r="H7035" t="s">
        <v>11954</v>
      </c>
      <c r="I7035">
        <v>7922</v>
      </c>
      <c r="J7035" t="e">
        <f>VLOOKUP(E7035,DSSpieler!A:B,2,FALSE)</f>
        <v>#N/A</v>
      </c>
    </row>
    <row r="7036" spans="1:10" x14ac:dyDescent="0.25">
      <c r="A7036">
        <v>7924</v>
      </c>
      <c r="B7036" t="s">
        <v>531</v>
      </c>
      <c r="C7036">
        <v>586</v>
      </c>
      <c r="D7036">
        <v>520</v>
      </c>
      <c r="E7036">
        <v>0</v>
      </c>
      <c r="F7036">
        <v>148</v>
      </c>
      <c r="G7036">
        <v>0</v>
      </c>
      <c r="H7036" t="s">
        <v>11955</v>
      </c>
      <c r="I7036">
        <v>7924</v>
      </c>
      <c r="J7036" t="e">
        <f>VLOOKUP(E7036,DSSpieler!A:B,2,FALSE)</f>
        <v>#N/A</v>
      </c>
    </row>
    <row r="7037" spans="1:10" x14ac:dyDescent="0.25">
      <c r="A7037">
        <v>7925</v>
      </c>
      <c r="B7037" t="s">
        <v>33266</v>
      </c>
      <c r="C7037">
        <v>425</v>
      </c>
      <c r="D7037">
        <v>457</v>
      </c>
      <c r="E7037">
        <v>1577045102</v>
      </c>
      <c r="F7037">
        <v>4521</v>
      </c>
      <c r="G7037">
        <v>0</v>
      </c>
      <c r="H7037" t="s">
        <v>11956</v>
      </c>
      <c r="I7037">
        <v>7925</v>
      </c>
      <c r="J7037" t="str">
        <f>VLOOKUP(E7037,DSSpieler!A:B,2,FALSE)</f>
        <v>RealNyic</v>
      </c>
    </row>
    <row r="7038" spans="1:10" x14ac:dyDescent="0.25">
      <c r="A7038">
        <v>7926</v>
      </c>
      <c r="B7038" t="s">
        <v>33267</v>
      </c>
      <c r="C7038">
        <v>540</v>
      </c>
      <c r="D7038">
        <v>423</v>
      </c>
      <c r="E7038">
        <v>1576197248</v>
      </c>
      <c r="F7038">
        <v>5176</v>
      </c>
      <c r="G7038">
        <v>0</v>
      </c>
      <c r="H7038" t="s">
        <v>11957</v>
      </c>
      <c r="I7038">
        <v>7926</v>
      </c>
      <c r="J7038" t="str">
        <f>VLOOKUP(E7038,DSSpieler!A:B,2,FALSE)</f>
        <v>BlackDestroyers</v>
      </c>
    </row>
    <row r="7039" spans="1:10" x14ac:dyDescent="0.25">
      <c r="A7039">
        <v>7927</v>
      </c>
      <c r="B7039" t="s">
        <v>33268</v>
      </c>
      <c r="C7039">
        <v>416</v>
      </c>
      <c r="D7039">
        <v>520</v>
      </c>
      <c r="E7039">
        <v>1576968765</v>
      </c>
      <c r="F7039">
        <v>4758</v>
      </c>
      <c r="G7039">
        <v>0</v>
      </c>
      <c r="H7039" t="s">
        <v>11958</v>
      </c>
      <c r="I7039">
        <v>7927</v>
      </c>
      <c r="J7039" t="str">
        <f>VLOOKUP(E7039,DSSpieler!A:B,2,FALSE)</f>
        <v>NoFarmShit</v>
      </c>
    </row>
    <row r="7040" spans="1:10" x14ac:dyDescent="0.25">
      <c r="A7040">
        <v>7928</v>
      </c>
      <c r="B7040" t="s">
        <v>531</v>
      </c>
      <c r="C7040">
        <v>576</v>
      </c>
      <c r="D7040">
        <v>457</v>
      </c>
      <c r="E7040">
        <v>0</v>
      </c>
      <c r="F7040">
        <v>401</v>
      </c>
      <c r="G7040">
        <v>0</v>
      </c>
      <c r="H7040" t="s">
        <v>11959</v>
      </c>
      <c r="I7040">
        <v>7928</v>
      </c>
      <c r="J7040" t="e">
        <f>VLOOKUP(E7040,DSSpieler!A:B,2,FALSE)</f>
        <v>#N/A</v>
      </c>
    </row>
    <row r="7041" spans="1:10" x14ac:dyDescent="0.25">
      <c r="A7041">
        <v>7930</v>
      </c>
      <c r="B7041" t="s">
        <v>33269</v>
      </c>
      <c r="C7041">
        <v>416</v>
      </c>
      <c r="D7041">
        <v>489</v>
      </c>
      <c r="E7041">
        <v>1576858983</v>
      </c>
      <c r="F7041">
        <v>3702</v>
      </c>
      <c r="G7041">
        <v>0</v>
      </c>
      <c r="H7041" t="s">
        <v>11960</v>
      </c>
      <c r="I7041">
        <v>7930</v>
      </c>
      <c r="J7041" t="str">
        <f>VLOOKUP(E7041,DSSpieler!A:B,2,FALSE)</f>
        <v>KäptenHeftig</v>
      </c>
    </row>
    <row r="7042" spans="1:10" x14ac:dyDescent="0.25">
      <c r="A7042">
        <v>7931</v>
      </c>
      <c r="B7042" t="s">
        <v>730</v>
      </c>
      <c r="C7042">
        <v>600</v>
      </c>
      <c r="D7042">
        <v>507</v>
      </c>
      <c r="E7042">
        <v>9566196</v>
      </c>
      <c r="F7042">
        <v>4116</v>
      </c>
      <c r="G7042">
        <v>0</v>
      </c>
      <c r="H7042" t="s">
        <v>11961</v>
      </c>
      <c r="I7042">
        <v>7931</v>
      </c>
      <c r="J7042" t="str">
        <f>VLOOKUP(E7042,DSSpieler!A:B,2,FALSE)</f>
        <v>hellgate devil123</v>
      </c>
    </row>
    <row r="7043" spans="1:10" x14ac:dyDescent="0.25">
      <c r="A7043">
        <v>7932</v>
      </c>
      <c r="B7043" t="s">
        <v>33270</v>
      </c>
      <c r="C7043">
        <v>514</v>
      </c>
      <c r="D7043">
        <v>585</v>
      </c>
      <c r="E7043">
        <v>1576962684</v>
      </c>
      <c r="F7043">
        <v>5463</v>
      </c>
      <c r="G7043">
        <v>0</v>
      </c>
      <c r="H7043" t="s">
        <v>11962</v>
      </c>
      <c r="I7043">
        <v>7932</v>
      </c>
      <c r="J7043" t="str">
        <f>VLOOKUP(E7043,DSSpieler!A:B,2,FALSE)</f>
        <v>nukeex</v>
      </c>
    </row>
    <row r="7044" spans="1:10" x14ac:dyDescent="0.25">
      <c r="A7044">
        <v>7933</v>
      </c>
      <c r="B7044" t="s">
        <v>780</v>
      </c>
      <c r="C7044">
        <v>552</v>
      </c>
      <c r="D7044">
        <v>570</v>
      </c>
      <c r="E7044">
        <v>1577197756</v>
      </c>
      <c r="F7044">
        <v>3484</v>
      </c>
      <c r="G7044">
        <v>0</v>
      </c>
      <c r="H7044" t="s">
        <v>11963</v>
      </c>
      <c r="I7044">
        <v>7933</v>
      </c>
      <c r="J7044" t="str">
        <f>VLOOKUP(E7044,DSSpieler!A:B,2,FALSE)</f>
        <v>TyL3R DuRd3N</v>
      </c>
    </row>
    <row r="7045" spans="1:10" x14ac:dyDescent="0.25">
      <c r="A7045">
        <v>7934</v>
      </c>
      <c r="B7045" t="s">
        <v>531</v>
      </c>
      <c r="C7045">
        <v>466</v>
      </c>
      <c r="D7045">
        <v>421</v>
      </c>
      <c r="E7045">
        <v>0</v>
      </c>
      <c r="F7045">
        <v>386</v>
      </c>
      <c r="G7045">
        <v>0</v>
      </c>
      <c r="H7045" t="s">
        <v>11964</v>
      </c>
      <c r="I7045">
        <v>7934</v>
      </c>
      <c r="J7045" t="e">
        <f>VLOOKUP(E7045,DSSpieler!A:B,2,FALSE)</f>
        <v>#N/A</v>
      </c>
    </row>
    <row r="7046" spans="1:10" x14ac:dyDescent="0.25">
      <c r="A7046">
        <v>7935</v>
      </c>
      <c r="B7046" t="s">
        <v>531</v>
      </c>
      <c r="C7046">
        <v>453</v>
      </c>
      <c r="D7046">
        <v>572</v>
      </c>
      <c r="E7046">
        <v>0</v>
      </c>
      <c r="F7046">
        <v>331</v>
      </c>
      <c r="G7046">
        <v>0</v>
      </c>
      <c r="H7046" t="s">
        <v>11965</v>
      </c>
      <c r="I7046">
        <v>7935</v>
      </c>
      <c r="J7046" t="e">
        <f>VLOOKUP(E7046,DSSpieler!A:B,2,FALSE)</f>
        <v>#N/A</v>
      </c>
    </row>
    <row r="7047" spans="1:10" x14ac:dyDescent="0.25">
      <c r="A7047">
        <v>7936</v>
      </c>
      <c r="B7047" t="s">
        <v>531</v>
      </c>
      <c r="C7047">
        <v>462</v>
      </c>
      <c r="D7047">
        <v>579</v>
      </c>
      <c r="E7047">
        <v>0</v>
      </c>
      <c r="F7047">
        <v>293</v>
      </c>
      <c r="G7047">
        <v>0</v>
      </c>
      <c r="H7047" t="s">
        <v>11966</v>
      </c>
      <c r="I7047">
        <v>7936</v>
      </c>
      <c r="J7047" t="e">
        <f>VLOOKUP(E7047,DSSpieler!A:B,2,FALSE)</f>
        <v>#N/A</v>
      </c>
    </row>
    <row r="7048" spans="1:10" x14ac:dyDescent="0.25">
      <c r="A7048">
        <v>7937</v>
      </c>
      <c r="B7048" t="s">
        <v>531</v>
      </c>
      <c r="C7048">
        <v>604</v>
      </c>
      <c r="D7048">
        <v>529</v>
      </c>
      <c r="E7048">
        <v>0</v>
      </c>
      <c r="F7048">
        <v>312</v>
      </c>
      <c r="G7048">
        <v>0</v>
      </c>
      <c r="H7048" t="s">
        <v>11967</v>
      </c>
      <c r="I7048">
        <v>7937</v>
      </c>
      <c r="J7048" t="e">
        <f>VLOOKUP(E7048,DSSpieler!A:B,2,FALSE)</f>
        <v>#N/A</v>
      </c>
    </row>
    <row r="7049" spans="1:10" x14ac:dyDescent="0.25">
      <c r="A7049">
        <v>7939</v>
      </c>
      <c r="B7049" t="s">
        <v>33271</v>
      </c>
      <c r="C7049">
        <v>420</v>
      </c>
      <c r="D7049">
        <v>465</v>
      </c>
      <c r="E7049">
        <v>2861117</v>
      </c>
      <c r="F7049">
        <v>2171</v>
      </c>
      <c r="G7049">
        <v>0</v>
      </c>
      <c r="H7049" t="s">
        <v>11968</v>
      </c>
      <c r="I7049">
        <v>7939</v>
      </c>
      <c r="J7049" t="str">
        <f>VLOOKUP(E7049,DSSpieler!A:B,2,FALSE)</f>
        <v>Peter1955</v>
      </c>
    </row>
    <row r="7050" spans="1:10" x14ac:dyDescent="0.25">
      <c r="A7050">
        <v>7940</v>
      </c>
      <c r="B7050" t="s">
        <v>531</v>
      </c>
      <c r="C7050">
        <v>557</v>
      </c>
      <c r="D7050">
        <v>567</v>
      </c>
      <c r="E7050">
        <v>0</v>
      </c>
      <c r="F7050">
        <v>243</v>
      </c>
      <c r="G7050">
        <v>0</v>
      </c>
      <c r="H7050" t="s">
        <v>11969</v>
      </c>
      <c r="I7050">
        <v>7940</v>
      </c>
      <c r="J7050" t="e">
        <f>VLOOKUP(E7050,DSSpieler!A:B,2,FALSE)</f>
        <v>#N/A</v>
      </c>
    </row>
    <row r="7051" spans="1:10" x14ac:dyDescent="0.25">
      <c r="A7051">
        <v>7942</v>
      </c>
      <c r="B7051" t="s">
        <v>1679</v>
      </c>
      <c r="C7051">
        <v>418</v>
      </c>
      <c r="D7051">
        <v>525</v>
      </c>
      <c r="E7051">
        <v>1576974001</v>
      </c>
      <c r="F7051">
        <v>5054</v>
      </c>
      <c r="G7051">
        <v>0</v>
      </c>
      <c r="H7051" t="s">
        <v>11970</v>
      </c>
      <c r="I7051">
        <v>7942</v>
      </c>
      <c r="J7051" t="str">
        <f>VLOOKUP(E7051,DSSpieler!A:B,2,FALSE)</f>
        <v>Nameless*</v>
      </c>
    </row>
    <row r="7052" spans="1:10" x14ac:dyDescent="0.25">
      <c r="A7052">
        <v>7943</v>
      </c>
      <c r="B7052" t="s">
        <v>531</v>
      </c>
      <c r="C7052">
        <v>587</v>
      </c>
      <c r="D7052">
        <v>492</v>
      </c>
      <c r="E7052">
        <v>0</v>
      </c>
      <c r="F7052">
        <v>194</v>
      </c>
      <c r="G7052">
        <v>0</v>
      </c>
      <c r="H7052" t="s">
        <v>11971</v>
      </c>
      <c r="I7052">
        <v>7943</v>
      </c>
      <c r="J7052" t="e">
        <f>VLOOKUP(E7052,DSSpieler!A:B,2,FALSE)</f>
        <v>#N/A</v>
      </c>
    </row>
    <row r="7053" spans="1:10" x14ac:dyDescent="0.25">
      <c r="A7053">
        <v>7944</v>
      </c>
      <c r="B7053" t="s">
        <v>531</v>
      </c>
      <c r="C7053">
        <v>510</v>
      </c>
      <c r="D7053">
        <v>587</v>
      </c>
      <c r="E7053">
        <v>0</v>
      </c>
      <c r="F7053">
        <v>189</v>
      </c>
      <c r="G7053">
        <v>0</v>
      </c>
      <c r="H7053" t="s">
        <v>11972</v>
      </c>
      <c r="I7053">
        <v>7944</v>
      </c>
      <c r="J7053" t="e">
        <f>VLOOKUP(E7053,DSSpieler!A:B,2,FALSE)</f>
        <v>#N/A</v>
      </c>
    </row>
    <row r="7054" spans="1:10" x14ac:dyDescent="0.25">
      <c r="A7054">
        <v>7945</v>
      </c>
      <c r="B7054" t="s">
        <v>531</v>
      </c>
      <c r="C7054">
        <v>562</v>
      </c>
      <c r="D7054">
        <v>560</v>
      </c>
      <c r="E7054">
        <v>0</v>
      </c>
      <c r="F7054">
        <v>322</v>
      </c>
      <c r="G7054">
        <v>0</v>
      </c>
      <c r="H7054" t="s">
        <v>11973</v>
      </c>
      <c r="I7054">
        <v>7945</v>
      </c>
      <c r="J7054" t="e">
        <f>VLOOKUP(E7054,DSSpieler!A:B,2,FALSE)</f>
        <v>#N/A</v>
      </c>
    </row>
    <row r="7055" spans="1:10" x14ac:dyDescent="0.25">
      <c r="A7055">
        <v>7946</v>
      </c>
      <c r="B7055" t="s">
        <v>33272</v>
      </c>
      <c r="C7055">
        <v>571</v>
      </c>
      <c r="D7055">
        <v>552</v>
      </c>
      <c r="E7055">
        <v>1576979068</v>
      </c>
      <c r="F7055">
        <v>42</v>
      </c>
      <c r="G7055">
        <v>0</v>
      </c>
      <c r="H7055" t="s">
        <v>11974</v>
      </c>
      <c r="I7055">
        <v>7946</v>
      </c>
      <c r="J7055" t="str">
        <f>VLOOKUP(E7055,DSSpieler!A:B,2,FALSE)</f>
        <v>Florxy</v>
      </c>
    </row>
    <row r="7056" spans="1:10" x14ac:dyDescent="0.25">
      <c r="A7056">
        <v>7947</v>
      </c>
      <c r="B7056" t="s">
        <v>531</v>
      </c>
      <c r="C7056">
        <v>584</v>
      </c>
      <c r="D7056">
        <v>515</v>
      </c>
      <c r="E7056">
        <v>0</v>
      </c>
      <c r="F7056">
        <v>239</v>
      </c>
      <c r="G7056">
        <v>0</v>
      </c>
      <c r="H7056" t="s">
        <v>11975</v>
      </c>
      <c r="I7056">
        <v>7947</v>
      </c>
      <c r="J7056" t="e">
        <f>VLOOKUP(E7056,DSSpieler!A:B,2,FALSE)</f>
        <v>#N/A</v>
      </c>
    </row>
    <row r="7057" spans="1:10" x14ac:dyDescent="0.25">
      <c r="A7057">
        <v>7948</v>
      </c>
      <c r="B7057" t="s">
        <v>531</v>
      </c>
      <c r="C7057">
        <v>433</v>
      </c>
      <c r="D7057">
        <v>551</v>
      </c>
      <c r="E7057">
        <v>0</v>
      </c>
      <c r="F7057">
        <v>744</v>
      </c>
      <c r="G7057">
        <v>0</v>
      </c>
      <c r="H7057" t="s">
        <v>11976</v>
      </c>
      <c r="I7057">
        <v>7948</v>
      </c>
      <c r="J7057" t="e">
        <f>VLOOKUP(E7057,DSSpieler!A:B,2,FALSE)</f>
        <v>#N/A</v>
      </c>
    </row>
    <row r="7058" spans="1:10" x14ac:dyDescent="0.25">
      <c r="A7058">
        <v>7949</v>
      </c>
      <c r="B7058" t="s">
        <v>531</v>
      </c>
      <c r="C7058">
        <v>482</v>
      </c>
      <c r="D7058">
        <v>416</v>
      </c>
      <c r="E7058">
        <v>0</v>
      </c>
      <c r="F7058">
        <v>341</v>
      </c>
      <c r="G7058">
        <v>0</v>
      </c>
      <c r="H7058" t="s">
        <v>11977</v>
      </c>
      <c r="I7058">
        <v>7949</v>
      </c>
      <c r="J7058" t="e">
        <f>VLOOKUP(E7058,DSSpieler!A:B,2,FALSE)</f>
        <v>#N/A</v>
      </c>
    </row>
    <row r="7059" spans="1:10" x14ac:dyDescent="0.25">
      <c r="A7059">
        <v>7950</v>
      </c>
      <c r="B7059" t="s">
        <v>33273</v>
      </c>
      <c r="C7059">
        <v>497</v>
      </c>
      <c r="D7059">
        <v>599</v>
      </c>
      <c r="E7059">
        <v>8051928</v>
      </c>
      <c r="F7059">
        <v>1857</v>
      </c>
      <c r="G7059">
        <v>0</v>
      </c>
      <c r="H7059" t="s">
        <v>11978</v>
      </c>
      <c r="I7059">
        <v>7950</v>
      </c>
      <c r="J7059" t="str">
        <f>VLOOKUP(E7059,DSSpieler!A:B,2,FALSE)</f>
        <v>Schattenlegionaer</v>
      </c>
    </row>
    <row r="7060" spans="1:10" x14ac:dyDescent="0.25">
      <c r="A7060">
        <v>7951</v>
      </c>
      <c r="B7060">
        <v>2</v>
      </c>
      <c r="C7060">
        <v>532</v>
      </c>
      <c r="D7060">
        <v>420</v>
      </c>
      <c r="E7060">
        <v>1575970561</v>
      </c>
      <c r="F7060">
        <v>4801</v>
      </c>
      <c r="G7060">
        <v>0</v>
      </c>
      <c r="H7060" t="s">
        <v>11979</v>
      </c>
      <c r="I7060">
        <v>7951</v>
      </c>
      <c r="J7060" t="str">
        <f>VLOOKUP(E7060,DSSpieler!A:B,2,FALSE)</f>
        <v>asvsta</v>
      </c>
    </row>
    <row r="7061" spans="1:10" x14ac:dyDescent="0.25">
      <c r="A7061">
        <v>7952</v>
      </c>
      <c r="B7061" t="s">
        <v>531</v>
      </c>
      <c r="C7061">
        <v>413</v>
      </c>
      <c r="D7061">
        <v>530</v>
      </c>
      <c r="E7061">
        <v>0</v>
      </c>
      <c r="F7061">
        <v>575</v>
      </c>
      <c r="G7061">
        <v>0</v>
      </c>
      <c r="H7061" t="s">
        <v>11980</v>
      </c>
      <c r="I7061">
        <v>7952</v>
      </c>
      <c r="J7061" t="e">
        <f>VLOOKUP(E7061,DSSpieler!A:B,2,FALSE)</f>
        <v>#N/A</v>
      </c>
    </row>
    <row r="7062" spans="1:10" x14ac:dyDescent="0.25">
      <c r="A7062">
        <v>7953</v>
      </c>
      <c r="B7062" t="s">
        <v>531</v>
      </c>
      <c r="C7062">
        <v>482</v>
      </c>
      <c r="D7062">
        <v>414</v>
      </c>
      <c r="E7062">
        <v>0</v>
      </c>
      <c r="F7062">
        <v>607</v>
      </c>
      <c r="G7062">
        <v>0</v>
      </c>
      <c r="H7062" t="s">
        <v>11981</v>
      </c>
      <c r="I7062">
        <v>7953</v>
      </c>
      <c r="J7062" t="e">
        <f>VLOOKUP(E7062,DSSpieler!A:B,2,FALSE)</f>
        <v>#N/A</v>
      </c>
    </row>
    <row r="7063" spans="1:10" x14ac:dyDescent="0.25">
      <c r="A7063">
        <v>7954</v>
      </c>
      <c r="B7063" t="s">
        <v>531</v>
      </c>
      <c r="C7063">
        <v>418</v>
      </c>
      <c r="D7063">
        <v>473</v>
      </c>
      <c r="E7063">
        <v>0</v>
      </c>
      <c r="F7063">
        <v>250</v>
      </c>
      <c r="G7063">
        <v>0</v>
      </c>
      <c r="H7063" t="s">
        <v>11982</v>
      </c>
      <c r="I7063">
        <v>7954</v>
      </c>
      <c r="J7063" t="e">
        <f>VLOOKUP(E7063,DSSpieler!A:B,2,FALSE)</f>
        <v>#N/A</v>
      </c>
    </row>
    <row r="7064" spans="1:10" x14ac:dyDescent="0.25">
      <c r="A7064">
        <v>7955</v>
      </c>
      <c r="B7064" t="s">
        <v>531</v>
      </c>
      <c r="C7064">
        <v>444</v>
      </c>
      <c r="D7064">
        <v>404</v>
      </c>
      <c r="E7064">
        <v>0</v>
      </c>
      <c r="F7064">
        <v>200</v>
      </c>
      <c r="G7064">
        <v>0</v>
      </c>
      <c r="H7064" t="s">
        <v>11983</v>
      </c>
      <c r="I7064">
        <v>7955</v>
      </c>
      <c r="J7064" t="e">
        <f>VLOOKUP(E7064,DSSpieler!A:B,2,FALSE)</f>
        <v>#N/A</v>
      </c>
    </row>
    <row r="7065" spans="1:10" x14ac:dyDescent="0.25">
      <c r="A7065">
        <v>7956</v>
      </c>
      <c r="B7065" t="s">
        <v>531</v>
      </c>
      <c r="C7065">
        <v>505</v>
      </c>
      <c r="D7065">
        <v>412</v>
      </c>
      <c r="E7065">
        <v>0</v>
      </c>
      <c r="F7065">
        <v>477</v>
      </c>
      <c r="G7065">
        <v>0</v>
      </c>
      <c r="H7065" t="s">
        <v>11984</v>
      </c>
      <c r="I7065">
        <v>7956</v>
      </c>
      <c r="J7065" t="e">
        <f>VLOOKUP(E7065,DSSpieler!A:B,2,FALSE)</f>
        <v>#N/A</v>
      </c>
    </row>
    <row r="7066" spans="1:10" x14ac:dyDescent="0.25">
      <c r="A7066">
        <v>7957</v>
      </c>
      <c r="B7066" t="s">
        <v>1680</v>
      </c>
      <c r="C7066">
        <v>414</v>
      </c>
      <c r="D7066">
        <v>509</v>
      </c>
      <c r="E7066">
        <v>1576993982</v>
      </c>
      <c r="F7066">
        <v>504</v>
      </c>
      <c r="G7066">
        <v>0</v>
      </c>
      <c r="H7066" t="s">
        <v>11985</v>
      </c>
      <c r="I7066">
        <v>7957</v>
      </c>
      <c r="J7066" t="str">
        <f>VLOOKUP(E7066,DSSpieler!A:B,2,FALSE)</f>
        <v>furkanderg</v>
      </c>
    </row>
    <row r="7067" spans="1:10" x14ac:dyDescent="0.25">
      <c r="A7067">
        <v>7958</v>
      </c>
      <c r="B7067" t="s">
        <v>531</v>
      </c>
      <c r="C7067">
        <v>486</v>
      </c>
      <c r="D7067">
        <v>416</v>
      </c>
      <c r="E7067">
        <v>0</v>
      </c>
      <c r="F7067">
        <v>158</v>
      </c>
      <c r="G7067">
        <v>0</v>
      </c>
      <c r="H7067" t="s">
        <v>11986</v>
      </c>
      <c r="I7067">
        <v>7958</v>
      </c>
      <c r="J7067" t="e">
        <f>VLOOKUP(E7067,DSSpieler!A:B,2,FALSE)</f>
        <v>#N/A</v>
      </c>
    </row>
    <row r="7068" spans="1:10" x14ac:dyDescent="0.25">
      <c r="A7068">
        <v>7961</v>
      </c>
      <c r="B7068" t="s">
        <v>33274</v>
      </c>
      <c r="C7068">
        <v>472</v>
      </c>
      <c r="D7068">
        <v>597</v>
      </c>
      <c r="E7068">
        <v>1576980922</v>
      </c>
      <c r="F7068">
        <v>3710</v>
      </c>
      <c r="G7068">
        <v>0</v>
      </c>
      <c r="H7068" t="s">
        <v>11987</v>
      </c>
      <c r="I7068">
        <v>7961</v>
      </c>
      <c r="J7068" t="str">
        <f>VLOOKUP(E7068,DSSpieler!A:B,2,FALSE)</f>
        <v>darkvieri</v>
      </c>
    </row>
    <row r="7069" spans="1:10" x14ac:dyDescent="0.25">
      <c r="A7069">
        <v>7962</v>
      </c>
      <c r="B7069" t="s">
        <v>33275</v>
      </c>
      <c r="C7069">
        <v>415</v>
      </c>
      <c r="D7069">
        <v>505</v>
      </c>
      <c r="E7069">
        <v>2493089</v>
      </c>
      <c r="F7069">
        <v>1351</v>
      </c>
      <c r="G7069">
        <v>0</v>
      </c>
      <c r="H7069" t="s">
        <v>11988</v>
      </c>
      <c r="I7069">
        <v>7962</v>
      </c>
      <c r="J7069" t="str">
        <f>VLOOKUP(E7069,DSSpieler!A:B,2,FALSE)</f>
        <v>Spidersponge</v>
      </c>
    </row>
    <row r="7070" spans="1:10" x14ac:dyDescent="0.25">
      <c r="A7070">
        <v>7963</v>
      </c>
      <c r="B7070" t="s">
        <v>33276</v>
      </c>
      <c r="C7070">
        <v>413</v>
      </c>
      <c r="D7070">
        <v>493</v>
      </c>
      <c r="E7070">
        <v>1577001566</v>
      </c>
      <c r="F7070">
        <v>5533</v>
      </c>
      <c r="G7070">
        <v>0</v>
      </c>
      <c r="H7070" t="s">
        <v>11989</v>
      </c>
      <c r="I7070">
        <v>7963</v>
      </c>
      <c r="J7070" t="str">
        <f>VLOOKUP(E7070,DSSpieler!A:B,2,FALSE)</f>
        <v>Bwing2017</v>
      </c>
    </row>
    <row r="7071" spans="1:10" x14ac:dyDescent="0.25">
      <c r="A7071">
        <v>7964</v>
      </c>
      <c r="B7071" t="s">
        <v>531</v>
      </c>
      <c r="C7071">
        <v>542</v>
      </c>
      <c r="D7071">
        <v>577</v>
      </c>
      <c r="E7071">
        <v>0</v>
      </c>
      <c r="F7071">
        <v>610</v>
      </c>
      <c r="G7071">
        <v>0</v>
      </c>
      <c r="H7071" t="s">
        <v>11990</v>
      </c>
      <c r="I7071">
        <v>7964</v>
      </c>
      <c r="J7071" t="e">
        <f>VLOOKUP(E7071,DSSpieler!A:B,2,FALSE)</f>
        <v>#N/A</v>
      </c>
    </row>
    <row r="7072" spans="1:10" x14ac:dyDescent="0.25">
      <c r="A7072">
        <v>7965</v>
      </c>
      <c r="B7072" t="s">
        <v>33277</v>
      </c>
      <c r="C7072">
        <v>411</v>
      </c>
      <c r="D7072">
        <v>498</v>
      </c>
      <c r="E7072">
        <v>1577001566</v>
      </c>
      <c r="F7072">
        <v>2394</v>
      </c>
      <c r="G7072">
        <v>0</v>
      </c>
      <c r="H7072" t="s">
        <v>11991</v>
      </c>
      <c r="I7072">
        <v>7965</v>
      </c>
      <c r="J7072" t="str">
        <f>VLOOKUP(E7072,DSSpieler!A:B,2,FALSE)</f>
        <v>Bwing2017</v>
      </c>
    </row>
    <row r="7073" spans="1:10" x14ac:dyDescent="0.25">
      <c r="A7073">
        <v>7967</v>
      </c>
      <c r="B7073" t="s">
        <v>33278</v>
      </c>
      <c r="C7073">
        <v>545</v>
      </c>
      <c r="D7073">
        <v>576</v>
      </c>
      <c r="E7073">
        <v>1577009176</v>
      </c>
      <c r="F7073">
        <v>1018</v>
      </c>
      <c r="G7073">
        <v>0</v>
      </c>
      <c r="H7073" t="s">
        <v>11992</v>
      </c>
      <c r="I7073">
        <v>7967</v>
      </c>
      <c r="J7073" t="str">
        <f>VLOOKUP(E7073,DSSpieler!A:B,2,FALSE)</f>
        <v>Frontschwein1812</v>
      </c>
    </row>
    <row r="7074" spans="1:10" x14ac:dyDescent="0.25">
      <c r="A7074">
        <v>7968</v>
      </c>
      <c r="B7074" t="s">
        <v>531</v>
      </c>
      <c r="C7074">
        <v>503</v>
      </c>
      <c r="D7074">
        <v>415</v>
      </c>
      <c r="E7074">
        <v>0</v>
      </c>
      <c r="F7074">
        <v>227</v>
      </c>
      <c r="G7074">
        <v>0</v>
      </c>
      <c r="H7074" t="s">
        <v>11993</v>
      </c>
      <c r="I7074">
        <v>7968</v>
      </c>
      <c r="J7074" t="e">
        <f>VLOOKUP(E7074,DSSpieler!A:B,2,FALSE)</f>
        <v>#N/A</v>
      </c>
    </row>
    <row r="7075" spans="1:10" x14ac:dyDescent="0.25">
      <c r="A7075">
        <v>7969</v>
      </c>
      <c r="B7075" t="s">
        <v>33279</v>
      </c>
      <c r="C7075">
        <v>559</v>
      </c>
      <c r="D7075">
        <v>437</v>
      </c>
      <c r="E7075">
        <v>1577011771</v>
      </c>
      <c r="F7075">
        <v>5772</v>
      </c>
      <c r="G7075">
        <v>0</v>
      </c>
      <c r="H7075" t="s">
        <v>11994</v>
      </c>
      <c r="I7075">
        <v>7969</v>
      </c>
      <c r="J7075" t="str">
        <f>VLOOKUP(E7075,DSSpieler!A:B,2,FALSE)</f>
        <v>Raegge80</v>
      </c>
    </row>
    <row r="7076" spans="1:10" x14ac:dyDescent="0.25">
      <c r="A7076">
        <v>7970</v>
      </c>
      <c r="B7076" t="s">
        <v>531</v>
      </c>
      <c r="C7076">
        <v>449</v>
      </c>
      <c r="D7076">
        <v>429</v>
      </c>
      <c r="E7076">
        <v>0</v>
      </c>
      <c r="F7076">
        <v>400</v>
      </c>
      <c r="G7076">
        <v>0</v>
      </c>
      <c r="H7076" t="s">
        <v>11995</v>
      </c>
      <c r="I7076">
        <v>7970</v>
      </c>
      <c r="J7076" t="e">
        <f>VLOOKUP(E7076,DSSpieler!A:B,2,FALSE)</f>
        <v>#N/A</v>
      </c>
    </row>
    <row r="7077" spans="1:10" x14ac:dyDescent="0.25">
      <c r="A7077">
        <v>7971</v>
      </c>
      <c r="B7077" t="s">
        <v>1681</v>
      </c>
      <c r="C7077">
        <v>493</v>
      </c>
      <c r="D7077">
        <v>415</v>
      </c>
      <c r="E7077">
        <v>1577186337</v>
      </c>
      <c r="F7077">
        <v>5623</v>
      </c>
      <c r="G7077">
        <v>0</v>
      </c>
      <c r="H7077" t="s">
        <v>11996</v>
      </c>
      <c r="I7077">
        <v>7971</v>
      </c>
      <c r="J7077" t="str">
        <f>VLOOKUP(E7077,DSSpieler!A:B,2,FALSE)</f>
        <v>Yanman10</v>
      </c>
    </row>
    <row r="7078" spans="1:10" x14ac:dyDescent="0.25">
      <c r="A7078">
        <v>7972</v>
      </c>
      <c r="B7078" t="s">
        <v>531</v>
      </c>
      <c r="C7078">
        <v>434</v>
      </c>
      <c r="D7078">
        <v>554</v>
      </c>
      <c r="E7078">
        <v>0</v>
      </c>
      <c r="F7078">
        <v>272</v>
      </c>
      <c r="G7078">
        <v>0</v>
      </c>
      <c r="H7078" t="s">
        <v>11997</v>
      </c>
      <c r="I7078">
        <v>7972</v>
      </c>
      <c r="J7078" t="e">
        <f>VLOOKUP(E7078,DSSpieler!A:B,2,FALSE)</f>
        <v>#N/A</v>
      </c>
    </row>
    <row r="7079" spans="1:10" x14ac:dyDescent="0.25">
      <c r="A7079">
        <v>7973</v>
      </c>
      <c r="B7079" t="s">
        <v>531</v>
      </c>
      <c r="C7079">
        <v>503</v>
      </c>
      <c r="D7079">
        <v>414</v>
      </c>
      <c r="E7079">
        <v>0</v>
      </c>
      <c r="F7079">
        <v>433</v>
      </c>
      <c r="G7079">
        <v>0</v>
      </c>
      <c r="H7079" t="s">
        <v>11998</v>
      </c>
      <c r="I7079">
        <v>7973</v>
      </c>
      <c r="J7079" t="e">
        <f>VLOOKUP(E7079,DSSpieler!A:B,2,FALSE)</f>
        <v>#N/A</v>
      </c>
    </row>
    <row r="7080" spans="1:10" x14ac:dyDescent="0.25">
      <c r="A7080">
        <v>7974</v>
      </c>
      <c r="B7080" t="s">
        <v>531</v>
      </c>
      <c r="C7080">
        <v>413</v>
      </c>
      <c r="D7080">
        <v>501</v>
      </c>
      <c r="E7080">
        <v>0</v>
      </c>
      <c r="F7080">
        <v>261</v>
      </c>
      <c r="G7080">
        <v>0</v>
      </c>
      <c r="H7080" t="s">
        <v>11999</v>
      </c>
      <c r="I7080">
        <v>7974</v>
      </c>
      <c r="J7080" t="e">
        <f>VLOOKUP(E7080,DSSpieler!A:B,2,FALSE)</f>
        <v>#N/A</v>
      </c>
    </row>
    <row r="7081" spans="1:10" x14ac:dyDescent="0.25">
      <c r="A7081">
        <v>7975</v>
      </c>
      <c r="B7081" t="s">
        <v>33280</v>
      </c>
      <c r="C7081">
        <v>578</v>
      </c>
      <c r="D7081">
        <v>463</v>
      </c>
      <c r="E7081">
        <v>1576465907</v>
      </c>
      <c r="F7081">
        <v>3426</v>
      </c>
      <c r="G7081">
        <v>0</v>
      </c>
      <c r="H7081" t="s">
        <v>12000</v>
      </c>
      <c r="I7081">
        <v>7975</v>
      </c>
      <c r="J7081" t="str">
        <f>VLOOKUP(E7081,DSSpieler!A:B,2,FALSE)</f>
        <v>momo1417</v>
      </c>
    </row>
    <row r="7082" spans="1:10" x14ac:dyDescent="0.25">
      <c r="A7082">
        <v>7976</v>
      </c>
      <c r="B7082" t="s">
        <v>33281</v>
      </c>
      <c r="C7082">
        <v>420</v>
      </c>
      <c r="D7082">
        <v>463</v>
      </c>
      <c r="E7082">
        <v>2861117</v>
      </c>
      <c r="F7082">
        <v>930</v>
      </c>
      <c r="G7082">
        <v>0</v>
      </c>
      <c r="H7082" t="s">
        <v>12001</v>
      </c>
      <c r="I7082">
        <v>7976</v>
      </c>
      <c r="J7082" t="str">
        <f>VLOOKUP(E7082,DSSpieler!A:B,2,FALSE)</f>
        <v>Peter1955</v>
      </c>
    </row>
    <row r="7083" spans="1:10" x14ac:dyDescent="0.25">
      <c r="A7083">
        <v>7977</v>
      </c>
      <c r="B7083" t="s">
        <v>531</v>
      </c>
      <c r="C7083">
        <v>575</v>
      </c>
      <c r="D7083">
        <v>427</v>
      </c>
      <c r="E7083">
        <v>0</v>
      </c>
      <c r="F7083">
        <v>633</v>
      </c>
      <c r="G7083">
        <v>0</v>
      </c>
      <c r="H7083" t="s">
        <v>12002</v>
      </c>
      <c r="I7083">
        <v>7977</v>
      </c>
      <c r="J7083" t="e">
        <f>VLOOKUP(E7083,DSSpieler!A:B,2,FALSE)</f>
        <v>#N/A</v>
      </c>
    </row>
    <row r="7084" spans="1:10" x14ac:dyDescent="0.25">
      <c r="A7084">
        <v>7978</v>
      </c>
      <c r="B7084" t="s">
        <v>33282</v>
      </c>
      <c r="C7084">
        <v>469</v>
      </c>
      <c r="D7084">
        <v>582</v>
      </c>
      <c r="E7084">
        <v>1577016638</v>
      </c>
      <c r="F7084">
        <v>276</v>
      </c>
      <c r="G7084">
        <v>0</v>
      </c>
      <c r="H7084" t="s">
        <v>12003</v>
      </c>
      <c r="I7084">
        <v>7978</v>
      </c>
      <c r="J7084" t="str">
        <f>VLOOKUP(E7084,DSSpieler!A:B,2,FALSE)</f>
        <v>Toter Thor</v>
      </c>
    </row>
    <row r="7085" spans="1:10" x14ac:dyDescent="0.25">
      <c r="A7085">
        <v>7979</v>
      </c>
      <c r="B7085" t="s">
        <v>531</v>
      </c>
      <c r="C7085">
        <v>509</v>
      </c>
      <c r="D7085">
        <v>587</v>
      </c>
      <c r="E7085">
        <v>0</v>
      </c>
      <c r="F7085">
        <v>228</v>
      </c>
      <c r="G7085">
        <v>0</v>
      </c>
      <c r="H7085" t="s">
        <v>12004</v>
      </c>
      <c r="I7085">
        <v>7979</v>
      </c>
      <c r="J7085" t="e">
        <f>VLOOKUP(E7085,DSSpieler!A:B,2,FALSE)</f>
        <v>#N/A</v>
      </c>
    </row>
    <row r="7086" spans="1:10" x14ac:dyDescent="0.25">
      <c r="A7086">
        <v>7980</v>
      </c>
      <c r="B7086">
        <v>2</v>
      </c>
      <c r="C7086">
        <v>433</v>
      </c>
      <c r="D7086">
        <v>447</v>
      </c>
      <c r="E7086">
        <v>1575903781</v>
      </c>
      <c r="F7086">
        <v>5605</v>
      </c>
      <c r="G7086">
        <v>0</v>
      </c>
      <c r="H7086" t="s">
        <v>12005</v>
      </c>
      <c r="I7086">
        <v>7980</v>
      </c>
      <c r="J7086" t="str">
        <f>VLOOKUP(E7086,DSSpieler!A:B,2,FALSE)</f>
        <v>Black Trinity</v>
      </c>
    </row>
    <row r="7087" spans="1:10" x14ac:dyDescent="0.25">
      <c r="A7087">
        <v>7981</v>
      </c>
      <c r="B7087" t="s">
        <v>531</v>
      </c>
      <c r="C7087">
        <v>532</v>
      </c>
      <c r="D7087">
        <v>582</v>
      </c>
      <c r="E7087">
        <v>0</v>
      </c>
      <c r="F7087">
        <v>332</v>
      </c>
      <c r="G7087">
        <v>0</v>
      </c>
      <c r="H7087" t="s">
        <v>12006</v>
      </c>
      <c r="I7087">
        <v>7981</v>
      </c>
      <c r="J7087" t="e">
        <f>VLOOKUP(E7087,DSSpieler!A:B,2,FALSE)</f>
        <v>#N/A</v>
      </c>
    </row>
    <row r="7088" spans="1:10" x14ac:dyDescent="0.25">
      <c r="A7088">
        <v>7982</v>
      </c>
      <c r="B7088" t="s">
        <v>1682</v>
      </c>
      <c r="C7088">
        <v>579</v>
      </c>
      <c r="D7088">
        <v>569</v>
      </c>
      <c r="E7088">
        <v>1577133129</v>
      </c>
      <c r="F7088">
        <v>3562</v>
      </c>
      <c r="G7088">
        <v>0</v>
      </c>
      <c r="H7088" t="s">
        <v>12007</v>
      </c>
      <c r="I7088">
        <v>7982</v>
      </c>
      <c r="J7088" t="str">
        <f>VLOOKUP(E7088,DSSpieler!A:B,2,FALSE)</f>
        <v>Domi-ubb</v>
      </c>
    </row>
    <row r="7089" spans="1:10" x14ac:dyDescent="0.25">
      <c r="A7089">
        <v>7983</v>
      </c>
      <c r="B7089" t="s">
        <v>531</v>
      </c>
      <c r="C7089">
        <v>433</v>
      </c>
      <c r="D7089">
        <v>446</v>
      </c>
      <c r="E7089">
        <v>0</v>
      </c>
      <c r="F7089">
        <v>207</v>
      </c>
      <c r="G7089">
        <v>0</v>
      </c>
      <c r="H7089" t="s">
        <v>12008</v>
      </c>
      <c r="I7089">
        <v>7983</v>
      </c>
      <c r="J7089" t="e">
        <f>VLOOKUP(E7089,DSSpieler!A:B,2,FALSE)</f>
        <v>#N/A</v>
      </c>
    </row>
    <row r="7090" spans="1:10" x14ac:dyDescent="0.25">
      <c r="A7090">
        <v>7984</v>
      </c>
      <c r="B7090" t="s">
        <v>531</v>
      </c>
      <c r="C7090">
        <v>413</v>
      </c>
      <c r="D7090">
        <v>491</v>
      </c>
      <c r="E7090">
        <v>0</v>
      </c>
      <c r="F7090">
        <v>260</v>
      </c>
      <c r="G7090">
        <v>0</v>
      </c>
      <c r="H7090" t="s">
        <v>12009</v>
      </c>
      <c r="I7090">
        <v>7984</v>
      </c>
      <c r="J7090" t="e">
        <f>VLOOKUP(E7090,DSSpieler!A:B,2,FALSE)</f>
        <v>#N/A</v>
      </c>
    </row>
    <row r="7091" spans="1:10" x14ac:dyDescent="0.25">
      <c r="A7091">
        <v>7985</v>
      </c>
      <c r="B7091" t="s">
        <v>979</v>
      </c>
      <c r="C7091">
        <v>501</v>
      </c>
      <c r="D7091">
        <v>589</v>
      </c>
      <c r="E7091">
        <v>1577198205</v>
      </c>
      <c r="F7091">
        <v>5416</v>
      </c>
      <c r="G7091">
        <v>0</v>
      </c>
      <c r="H7091" t="s">
        <v>12010</v>
      </c>
      <c r="I7091">
        <v>7985</v>
      </c>
      <c r="J7091" t="str">
        <f>VLOOKUP(E7091,DSSpieler!A:B,2,FALSE)</f>
        <v>.Streuselcake</v>
      </c>
    </row>
    <row r="7092" spans="1:10" x14ac:dyDescent="0.25">
      <c r="A7092">
        <v>7986</v>
      </c>
      <c r="B7092" t="s">
        <v>531</v>
      </c>
      <c r="C7092">
        <v>584</v>
      </c>
      <c r="D7092">
        <v>485</v>
      </c>
      <c r="E7092">
        <v>0</v>
      </c>
      <c r="F7092">
        <v>304</v>
      </c>
      <c r="G7092">
        <v>0</v>
      </c>
      <c r="H7092" t="s">
        <v>12011</v>
      </c>
      <c r="I7092">
        <v>7986</v>
      </c>
      <c r="J7092" t="e">
        <f>VLOOKUP(E7092,DSSpieler!A:B,2,FALSE)</f>
        <v>#N/A</v>
      </c>
    </row>
    <row r="7093" spans="1:10" x14ac:dyDescent="0.25">
      <c r="A7093">
        <v>7987</v>
      </c>
      <c r="B7093" t="s">
        <v>531</v>
      </c>
      <c r="C7093">
        <v>417</v>
      </c>
      <c r="D7093">
        <v>524</v>
      </c>
      <c r="E7093">
        <v>0</v>
      </c>
      <c r="F7093">
        <v>350</v>
      </c>
      <c r="G7093">
        <v>0</v>
      </c>
      <c r="H7093" t="s">
        <v>12012</v>
      </c>
      <c r="I7093">
        <v>7987</v>
      </c>
      <c r="J7093" t="e">
        <f>VLOOKUP(E7093,DSSpieler!A:B,2,FALSE)</f>
        <v>#N/A</v>
      </c>
    </row>
    <row r="7094" spans="1:10" x14ac:dyDescent="0.25">
      <c r="A7094">
        <v>7988</v>
      </c>
      <c r="B7094" t="s">
        <v>531</v>
      </c>
      <c r="C7094">
        <v>448</v>
      </c>
      <c r="D7094">
        <v>430</v>
      </c>
      <c r="E7094">
        <v>0</v>
      </c>
      <c r="F7094">
        <v>225</v>
      </c>
      <c r="G7094">
        <v>0</v>
      </c>
      <c r="H7094" t="s">
        <v>12013</v>
      </c>
      <c r="I7094">
        <v>7988</v>
      </c>
      <c r="J7094" t="e">
        <f>VLOOKUP(E7094,DSSpieler!A:B,2,FALSE)</f>
        <v>#N/A</v>
      </c>
    </row>
    <row r="7095" spans="1:10" x14ac:dyDescent="0.25">
      <c r="A7095">
        <v>7989</v>
      </c>
      <c r="B7095" t="s">
        <v>1683</v>
      </c>
      <c r="C7095">
        <v>489</v>
      </c>
      <c r="D7095">
        <v>586</v>
      </c>
      <c r="E7095">
        <v>1577167023</v>
      </c>
      <c r="F7095">
        <v>2541</v>
      </c>
      <c r="G7095">
        <v>0</v>
      </c>
      <c r="H7095" t="s">
        <v>12014</v>
      </c>
      <c r="I7095">
        <v>7989</v>
      </c>
      <c r="J7095" t="str">
        <f>VLOOKUP(E7095,DSSpieler!A:B,2,FALSE)</f>
        <v>DarkDecipio</v>
      </c>
    </row>
    <row r="7096" spans="1:10" x14ac:dyDescent="0.25">
      <c r="A7096">
        <v>7990</v>
      </c>
      <c r="B7096" t="s">
        <v>33283</v>
      </c>
      <c r="C7096">
        <v>566</v>
      </c>
      <c r="D7096">
        <v>483</v>
      </c>
      <c r="E7096">
        <v>1577162500</v>
      </c>
      <c r="F7096">
        <v>6715</v>
      </c>
      <c r="G7096">
        <v>0</v>
      </c>
      <c r="H7096" t="s">
        <v>12015</v>
      </c>
      <c r="I7096">
        <v>7990</v>
      </c>
      <c r="J7096" t="str">
        <f>VLOOKUP(E7096,DSSpieler!A:B,2,FALSE)</f>
        <v>Mosas Reloaded</v>
      </c>
    </row>
    <row r="7097" spans="1:10" x14ac:dyDescent="0.25">
      <c r="A7097">
        <v>7991</v>
      </c>
      <c r="B7097" t="s">
        <v>1684</v>
      </c>
      <c r="C7097">
        <v>470</v>
      </c>
      <c r="D7097">
        <v>583</v>
      </c>
      <c r="E7097">
        <v>1577028249</v>
      </c>
      <c r="F7097">
        <v>695</v>
      </c>
      <c r="G7097">
        <v>0</v>
      </c>
      <c r="H7097" t="s">
        <v>12016</v>
      </c>
      <c r="I7097">
        <v>7991</v>
      </c>
      <c r="J7097" t="str">
        <f>VLOOKUP(E7097,DSSpieler!A:B,2,FALSE)</f>
        <v>jake1998</v>
      </c>
    </row>
    <row r="7098" spans="1:10" x14ac:dyDescent="0.25">
      <c r="A7098">
        <v>7992</v>
      </c>
      <c r="B7098" t="s">
        <v>1685</v>
      </c>
      <c r="C7098">
        <v>504</v>
      </c>
      <c r="D7098">
        <v>589</v>
      </c>
      <c r="E7098">
        <v>1577029422</v>
      </c>
      <c r="F7098">
        <v>598</v>
      </c>
      <c r="G7098">
        <v>0</v>
      </c>
      <c r="H7098" t="s">
        <v>12017</v>
      </c>
      <c r="I7098">
        <v>7992</v>
      </c>
      <c r="J7098" t="str">
        <f>VLOOKUP(E7098,DSSpieler!A:B,2,FALSE)</f>
        <v>stbaumann1972</v>
      </c>
    </row>
    <row r="7099" spans="1:10" x14ac:dyDescent="0.25">
      <c r="A7099">
        <v>7993</v>
      </c>
      <c r="B7099" t="s">
        <v>1686</v>
      </c>
      <c r="C7099">
        <v>429</v>
      </c>
      <c r="D7099">
        <v>451</v>
      </c>
      <c r="E7099">
        <v>1577034477</v>
      </c>
      <c r="F7099">
        <v>1467</v>
      </c>
      <c r="G7099">
        <v>0</v>
      </c>
      <c r="H7099" t="s">
        <v>12018</v>
      </c>
      <c r="I7099">
        <v>7993</v>
      </c>
      <c r="J7099" t="str">
        <f>VLOOKUP(E7099,DSSpieler!A:B,2,FALSE)</f>
        <v>MindMySkill</v>
      </c>
    </row>
    <row r="7100" spans="1:10" x14ac:dyDescent="0.25">
      <c r="A7100">
        <v>7994</v>
      </c>
      <c r="B7100" t="s">
        <v>531</v>
      </c>
      <c r="C7100">
        <v>567</v>
      </c>
      <c r="D7100">
        <v>552</v>
      </c>
      <c r="E7100">
        <v>0</v>
      </c>
      <c r="F7100">
        <v>370</v>
      </c>
      <c r="G7100">
        <v>0</v>
      </c>
      <c r="H7100" t="s">
        <v>12019</v>
      </c>
      <c r="I7100">
        <v>7994</v>
      </c>
      <c r="J7100" t="e">
        <f>VLOOKUP(E7100,DSSpieler!A:B,2,FALSE)</f>
        <v>#N/A</v>
      </c>
    </row>
    <row r="7101" spans="1:10" x14ac:dyDescent="0.25">
      <c r="A7101">
        <v>7995</v>
      </c>
      <c r="B7101" t="s">
        <v>33284</v>
      </c>
      <c r="C7101">
        <v>521</v>
      </c>
      <c r="D7101">
        <v>416</v>
      </c>
      <c r="E7101">
        <v>1577035038</v>
      </c>
      <c r="F7101">
        <v>4940</v>
      </c>
      <c r="G7101">
        <v>0</v>
      </c>
      <c r="H7101" t="s">
        <v>12020</v>
      </c>
      <c r="I7101">
        <v>7995</v>
      </c>
      <c r="J7101" t="str">
        <f>VLOOKUP(E7101,DSSpieler!A:B,2,FALSE)</f>
        <v>KobeerBryant</v>
      </c>
    </row>
    <row r="7102" spans="1:10" x14ac:dyDescent="0.25">
      <c r="A7102">
        <v>7996</v>
      </c>
      <c r="B7102" t="s">
        <v>531</v>
      </c>
      <c r="C7102">
        <v>416</v>
      </c>
      <c r="D7102">
        <v>519</v>
      </c>
      <c r="E7102">
        <v>0</v>
      </c>
      <c r="F7102">
        <v>131</v>
      </c>
      <c r="G7102">
        <v>0</v>
      </c>
      <c r="H7102" t="s">
        <v>12021</v>
      </c>
      <c r="I7102">
        <v>7996</v>
      </c>
      <c r="J7102" t="e">
        <f>VLOOKUP(E7102,DSSpieler!A:B,2,FALSE)</f>
        <v>#N/A</v>
      </c>
    </row>
    <row r="7103" spans="1:10" x14ac:dyDescent="0.25">
      <c r="A7103">
        <v>7997</v>
      </c>
      <c r="B7103" t="s">
        <v>531</v>
      </c>
      <c r="C7103">
        <v>580</v>
      </c>
      <c r="D7103">
        <v>538</v>
      </c>
      <c r="E7103">
        <v>0</v>
      </c>
      <c r="F7103">
        <v>29</v>
      </c>
      <c r="G7103">
        <v>0</v>
      </c>
      <c r="H7103" t="s">
        <v>12022</v>
      </c>
      <c r="I7103">
        <v>7997</v>
      </c>
      <c r="J7103" t="e">
        <f>VLOOKUP(E7103,DSSpieler!A:B,2,FALSE)</f>
        <v>#N/A</v>
      </c>
    </row>
    <row r="7104" spans="1:10" x14ac:dyDescent="0.25">
      <c r="A7104">
        <v>7998</v>
      </c>
      <c r="B7104" t="s">
        <v>531</v>
      </c>
      <c r="C7104">
        <v>561</v>
      </c>
      <c r="D7104">
        <v>438</v>
      </c>
      <c r="E7104">
        <v>0</v>
      </c>
      <c r="F7104">
        <v>335</v>
      </c>
      <c r="G7104">
        <v>0</v>
      </c>
      <c r="H7104" t="s">
        <v>12023</v>
      </c>
      <c r="I7104">
        <v>7998</v>
      </c>
      <c r="J7104" t="e">
        <f>VLOOKUP(E7104,DSSpieler!A:B,2,FALSE)</f>
        <v>#N/A</v>
      </c>
    </row>
    <row r="7105" spans="1:10" x14ac:dyDescent="0.25">
      <c r="A7105">
        <v>7999</v>
      </c>
      <c r="B7105" t="s">
        <v>531</v>
      </c>
      <c r="C7105">
        <v>543</v>
      </c>
      <c r="D7105">
        <v>424</v>
      </c>
      <c r="E7105">
        <v>0</v>
      </c>
      <c r="F7105">
        <v>439</v>
      </c>
      <c r="G7105">
        <v>0</v>
      </c>
      <c r="H7105" t="s">
        <v>12024</v>
      </c>
      <c r="I7105">
        <v>7999</v>
      </c>
      <c r="J7105" t="e">
        <f>VLOOKUP(E7105,DSSpieler!A:B,2,FALSE)</f>
        <v>#N/A</v>
      </c>
    </row>
    <row r="7106" spans="1:10" x14ac:dyDescent="0.25">
      <c r="A7106">
        <v>8000</v>
      </c>
      <c r="B7106" t="s">
        <v>33275</v>
      </c>
      <c r="C7106">
        <v>577</v>
      </c>
      <c r="D7106">
        <v>462</v>
      </c>
      <c r="E7106">
        <v>1576465907</v>
      </c>
      <c r="F7106">
        <v>4018</v>
      </c>
      <c r="G7106">
        <v>0</v>
      </c>
      <c r="H7106" t="s">
        <v>12025</v>
      </c>
      <c r="I7106">
        <v>8000</v>
      </c>
      <c r="J7106" t="str">
        <f>VLOOKUP(E7106,DSSpieler!A:B,2,FALSE)</f>
        <v>momo1417</v>
      </c>
    </row>
    <row r="7107" spans="1:10" x14ac:dyDescent="0.25">
      <c r="A7107">
        <v>8001</v>
      </c>
      <c r="B7107" t="s">
        <v>531</v>
      </c>
      <c r="C7107">
        <v>533</v>
      </c>
      <c r="D7107">
        <v>419</v>
      </c>
      <c r="E7107">
        <v>0</v>
      </c>
      <c r="F7107">
        <v>339</v>
      </c>
      <c r="G7107">
        <v>0</v>
      </c>
      <c r="H7107" t="s">
        <v>12026</v>
      </c>
      <c r="I7107">
        <v>8001</v>
      </c>
      <c r="J7107" t="e">
        <f>VLOOKUP(E7107,DSSpieler!A:B,2,FALSE)</f>
        <v>#N/A</v>
      </c>
    </row>
    <row r="7108" spans="1:10" x14ac:dyDescent="0.25">
      <c r="A7108">
        <v>8002</v>
      </c>
      <c r="B7108" t="s">
        <v>531</v>
      </c>
      <c r="C7108">
        <v>411</v>
      </c>
      <c r="D7108">
        <v>499</v>
      </c>
      <c r="E7108">
        <v>0</v>
      </c>
      <c r="F7108">
        <v>390</v>
      </c>
      <c r="G7108">
        <v>0</v>
      </c>
      <c r="H7108" t="s">
        <v>12027</v>
      </c>
      <c r="I7108">
        <v>8002</v>
      </c>
      <c r="J7108" t="e">
        <f>VLOOKUP(E7108,DSSpieler!A:B,2,FALSE)</f>
        <v>#N/A</v>
      </c>
    </row>
    <row r="7109" spans="1:10" x14ac:dyDescent="0.25">
      <c r="A7109">
        <v>8003</v>
      </c>
      <c r="B7109" t="s">
        <v>1687</v>
      </c>
      <c r="C7109">
        <v>520</v>
      </c>
      <c r="D7109">
        <v>591</v>
      </c>
      <c r="E7109">
        <v>1577042786</v>
      </c>
      <c r="F7109">
        <v>4177</v>
      </c>
      <c r="G7109">
        <v>0</v>
      </c>
      <c r="H7109" t="s">
        <v>12028</v>
      </c>
      <c r="I7109">
        <v>8003</v>
      </c>
      <c r="J7109" t="str">
        <f>VLOOKUP(E7109,DSSpieler!A:B,2,FALSE)</f>
        <v>Strobosphere</v>
      </c>
    </row>
    <row r="7110" spans="1:10" x14ac:dyDescent="0.25">
      <c r="A7110">
        <v>8004</v>
      </c>
      <c r="B7110" t="e">
        <f>-2-Charming</f>
        <v>#NAME?</v>
      </c>
      <c r="C7110">
        <v>463</v>
      </c>
      <c r="D7110">
        <v>447</v>
      </c>
      <c r="E7110">
        <v>1577114941</v>
      </c>
      <c r="F7110">
        <v>5147</v>
      </c>
      <c r="G7110">
        <v>0</v>
      </c>
      <c r="H7110" t="s">
        <v>12029</v>
      </c>
      <c r="I7110">
        <v>8004</v>
      </c>
      <c r="J7110" t="str">
        <f>VLOOKUP(E7110,DSSpieler!A:B,2,FALSE)</f>
        <v>OpiWinston</v>
      </c>
    </row>
    <row r="7111" spans="1:10" x14ac:dyDescent="0.25">
      <c r="A7111">
        <v>8005</v>
      </c>
      <c r="B7111" t="s">
        <v>531</v>
      </c>
      <c r="C7111">
        <v>535</v>
      </c>
      <c r="D7111">
        <v>580</v>
      </c>
      <c r="E7111">
        <v>0</v>
      </c>
      <c r="F7111">
        <v>225</v>
      </c>
      <c r="G7111">
        <v>0</v>
      </c>
      <c r="H7111" t="s">
        <v>12030</v>
      </c>
      <c r="I7111">
        <v>8005</v>
      </c>
      <c r="J7111" t="e">
        <f>VLOOKUP(E7111,DSSpieler!A:B,2,FALSE)</f>
        <v>#N/A</v>
      </c>
    </row>
    <row r="7112" spans="1:10" x14ac:dyDescent="0.25">
      <c r="A7112">
        <v>8006</v>
      </c>
      <c r="B7112" t="s">
        <v>1688</v>
      </c>
      <c r="C7112">
        <v>416</v>
      </c>
      <c r="D7112">
        <v>474</v>
      </c>
      <c r="E7112">
        <v>1577045482</v>
      </c>
      <c r="F7112">
        <v>6585</v>
      </c>
      <c r="G7112">
        <v>0</v>
      </c>
      <c r="H7112" t="s">
        <v>12031</v>
      </c>
      <c r="I7112">
        <v>8006</v>
      </c>
      <c r="J7112" t="str">
        <f>VLOOKUP(E7112,DSSpieler!A:B,2,FALSE)</f>
        <v>braigans</v>
      </c>
    </row>
    <row r="7113" spans="1:10" x14ac:dyDescent="0.25">
      <c r="A7113">
        <v>8007</v>
      </c>
      <c r="B7113" t="s">
        <v>531</v>
      </c>
      <c r="C7113">
        <v>522</v>
      </c>
      <c r="D7113">
        <v>414</v>
      </c>
      <c r="E7113">
        <v>0</v>
      </c>
      <c r="F7113">
        <v>928</v>
      </c>
      <c r="G7113">
        <v>0</v>
      </c>
      <c r="H7113" t="s">
        <v>12032</v>
      </c>
      <c r="I7113">
        <v>8007</v>
      </c>
      <c r="J7113" t="e">
        <f>VLOOKUP(E7113,DSSpieler!A:B,2,FALSE)</f>
        <v>#N/A</v>
      </c>
    </row>
    <row r="7114" spans="1:10" x14ac:dyDescent="0.25">
      <c r="A7114">
        <v>8009</v>
      </c>
      <c r="B7114" t="s">
        <v>531</v>
      </c>
      <c r="C7114">
        <v>586</v>
      </c>
      <c r="D7114">
        <v>479</v>
      </c>
      <c r="E7114">
        <v>0</v>
      </c>
      <c r="F7114">
        <v>192</v>
      </c>
      <c r="G7114">
        <v>0</v>
      </c>
      <c r="H7114" t="s">
        <v>12033</v>
      </c>
      <c r="I7114">
        <v>8009</v>
      </c>
      <c r="J7114" t="e">
        <f>VLOOKUP(E7114,DSSpieler!A:B,2,FALSE)</f>
        <v>#N/A</v>
      </c>
    </row>
    <row r="7115" spans="1:10" x14ac:dyDescent="0.25">
      <c r="A7115">
        <v>8010</v>
      </c>
      <c r="B7115" t="s">
        <v>531</v>
      </c>
      <c r="C7115">
        <v>473</v>
      </c>
      <c r="D7115">
        <v>417</v>
      </c>
      <c r="E7115">
        <v>0</v>
      </c>
      <c r="F7115">
        <v>378</v>
      </c>
      <c r="G7115">
        <v>0</v>
      </c>
      <c r="H7115" t="s">
        <v>12034</v>
      </c>
      <c r="I7115">
        <v>8010</v>
      </c>
      <c r="J7115" t="e">
        <f>VLOOKUP(E7115,DSSpieler!A:B,2,FALSE)</f>
        <v>#N/A</v>
      </c>
    </row>
    <row r="7116" spans="1:10" x14ac:dyDescent="0.25">
      <c r="A7116">
        <v>8011</v>
      </c>
      <c r="B7116" t="s">
        <v>531</v>
      </c>
      <c r="C7116">
        <v>418</v>
      </c>
      <c r="D7116">
        <v>470</v>
      </c>
      <c r="E7116">
        <v>0</v>
      </c>
      <c r="F7116">
        <v>264</v>
      </c>
      <c r="G7116">
        <v>0</v>
      </c>
      <c r="H7116" t="s">
        <v>12035</v>
      </c>
      <c r="I7116">
        <v>8011</v>
      </c>
      <c r="J7116" t="e">
        <f>VLOOKUP(E7116,DSSpieler!A:B,2,FALSE)</f>
        <v>#N/A</v>
      </c>
    </row>
    <row r="7117" spans="1:10" x14ac:dyDescent="0.25">
      <c r="A7117">
        <v>8012</v>
      </c>
      <c r="B7117" t="s">
        <v>531</v>
      </c>
      <c r="C7117">
        <v>497</v>
      </c>
      <c r="D7117">
        <v>411</v>
      </c>
      <c r="E7117">
        <v>0</v>
      </c>
      <c r="F7117">
        <v>427</v>
      </c>
      <c r="G7117">
        <v>0</v>
      </c>
      <c r="H7117" t="s">
        <v>12036</v>
      </c>
      <c r="I7117">
        <v>8012</v>
      </c>
      <c r="J7117" t="e">
        <f>VLOOKUP(E7117,DSSpieler!A:B,2,FALSE)</f>
        <v>#N/A</v>
      </c>
    </row>
    <row r="7118" spans="1:10" x14ac:dyDescent="0.25">
      <c r="A7118">
        <v>8013</v>
      </c>
      <c r="B7118" t="s">
        <v>531</v>
      </c>
      <c r="C7118">
        <v>585</v>
      </c>
      <c r="D7118">
        <v>491</v>
      </c>
      <c r="E7118">
        <v>10023603</v>
      </c>
      <c r="F7118">
        <v>770</v>
      </c>
      <c r="G7118">
        <v>0</v>
      </c>
      <c r="H7118" t="s">
        <v>12037</v>
      </c>
      <c r="I7118">
        <v>8013</v>
      </c>
      <c r="J7118" t="str">
        <f>VLOOKUP(E7118,DSSpieler!A:B,2,FALSE)</f>
        <v>Jericho1337</v>
      </c>
    </row>
    <row r="7119" spans="1:10" x14ac:dyDescent="0.25">
      <c r="A7119">
        <v>8014</v>
      </c>
      <c r="B7119" t="s">
        <v>1689</v>
      </c>
      <c r="C7119">
        <v>413</v>
      </c>
      <c r="D7119">
        <v>551</v>
      </c>
      <c r="E7119">
        <v>1577179492</v>
      </c>
      <c r="F7119">
        <v>6039</v>
      </c>
      <c r="G7119">
        <v>0</v>
      </c>
      <c r="H7119" t="s">
        <v>12038</v>
      </c>
      <c r="I7119">
        <v>8014</v>
      </c>
      <c r="J7119" t="str">
        <f>VLOOKUP(E7119,DSSpieler!A:B,2,FALSE)</f>
        <v>nav050590</v>
      </c>
    </row>
    <row r="7120" spans="1:10" x14ac:dyDescent="0.25">
      <c r="A7120">
        <v>8015</v>
      </c>
      <c r="B7120" t="s">
        <v>531</v>
      </c>
      <c r="C7120">
        <v>414</v>
      </c>
      <c r="D7120">
        <v>481</v>
      </c>
      <c r="E7120">
        <v>0</v>
      </c>
      <c r="F7120">
        <v>284</v>
      </c>
      <c r="G7120">
        <v>0</v>
      </c>
      <c r="H7120" t="s">
        <v>12039</v>
      </c>
      <c r="I7120">
        <v>8015</v>
      </c>
      <c r="J7120" t="e">
        <f>VLOOKUP(E7120,DSSpieler!A:B,2,FALSE)</f>
        <v>#N/A</v>
      </c>
    </row>
    <row r="7121" spans="1:10" x14ac:dyDescent="0.25">
      <c r="A7121">
        <v>8017</v>
      </c>
      <c r="B7121" t="s">
        <v>32599</v>
      </c>
      <c r="C7121">
        <v>453</v>
      </c>
      <c r="D7121">
        <v>575</v>
      </c>
      <c r="E7121">
        <v>10283391</v>
      </c>
      <c r="F7121">
        <v>4495</v>
      </c>
      <c r="G7121">
        <v>0</v>
      </c>
      <c r="H7121" t="s">
        <v>12040</v>
      </c>
      <c r="I7121">
        <v>8017</v>
      </c>
      <c r="J7121" t="str">
        <f>VLOOKUP(E7121,DSSpieler!A:B,2,FALSE)</f>
        <v>Br0 I Altair</v>
      </c>
    </row>
    <row r="7122" spans="1:10" x14ac:dyDescent="0.25">
      <c r="A7122">
        <v>8018</v>
      </c>
      <c r="B7122" t="s">
        <v>531</v>
      </c>
      <c r="C7122">
        <v>567</v>
      </c>
      <c r="D7122">
        <v>447</v>
      </c>
      <c r="E7122">
        <v>0</v>
      </c>
      <c r="F7122">
        <v>266</v>
      </c>
      <c r="G7122">
        <v>0</v>
      </c>
      <c r="H7122" t="s">
        <v>12041</v>
      </c>
      <c r="I7122">
        <v>8018</v>
      </c>
      <c r="J7122" t="e">
        <f>VLOOKUP(E7122,DSSpieler!A:B,2,FALSE)</f>
        <v>#N/A</v>
      </c>
    </row>
    <row r="7123" spans="1:10" x14ac:dyDescent="0.25">
      <c r="A7123">
        <v>8019</v>
      </c>
      <c r="B7123" t="s">
        <v>531</v>
      </c>
      <c r="C7123">
        <v>539</v>
      </c>
      <c r="D7123">
        <v>423</v>
      </c>
      <c r="E7123">
        <v>0</v>
      </c>
      <c r="F7123">
        <v>208</v>
      </c>
      <c r="G7123">
        <v>0</v>
      </c>
      <c r="H7123" t="s">
        <v>12042</v>
      </c>
      <c r="I7123">
        <v>8019</v>
      </c>
      <c r="J7123" t="e">
        <f>VLOOKUP(E7123,DSSpieler!A:B,2,FALSE)</f>
        <v>#N/A</v>
      </c>
    </row>
    <row r="7124" spans="1:10" x14ac:dyDescent="0.25">
      <c r="A7124">
        <v>8020</v>
      </c>
      <c r="B7124" t="s">
        <v>531</v>
      </c>
      <c r="C7124">
        <v>475</v>
      </c>
      <c r="D7124">
        <v>583</v>
      </c>
      <c r="E7124">
        <v>0</v>
      </c>
      <c r="F7124">
        <v>381</v>
      </c>
      <c r="G7124">
        <v>0</v>
      </c>
      <c r="H7124" t="s">
        <v>12043</v>
      </c>
      <c r="I7124">
        <v>8020</v>
      </c>
      <c r="J7124" t="e">
        <f>VLOOKUP(E7124,DSSpieler!A:B,2,FALSE)</f>
        <v>#N/A</v>
      </c>
    </row>
    <row r="7125" spans="1:10" x14ac:dyDescent="0.25">
      <c r="A7125">
        <v>8021</v>
      </c>
      <c r="B7125" t="s">
        <v>531</v>
      </c>
      <c r="C7125">
        <v>576</v>
      </c>
      <c r="D7125">
        <v>456</v>
      </c>
      <c r="E7125">
        <v>0</v>
      </c>
      <c r="F7125">
        <v>485</v>
      </c>
      <c r="G7125">
        <v>0</v>
      </c>
      <c r="H7125" t="s">
        <v>12044</v>
      </c>
      <c r="I7125">
        <v>8021</v>
      </c>
      <c r="J7125" t="e">
        <f>VLOOKUP(E7125,DSSpieler!A:B,2,FALSE)</f>
        <v>#N/A</v>
      </c>
    </row>
    <row r="7126" spans="1:10" x14ac:dyDescent="0.25">
      <c r="A7126">
        <v>8022</v>
      </c>
      <c r="B7126" t="s">
        <v>33285</v>
      </c>
      <c r="C7126">
        <v>564</v>
      </c>
      <c r="D7126">
        <v>562</v>
      </c>
      <c r="E7126">
        <v>1576027166</v>
      </c>
      <c r="F7126">
        <v>1020</v>
      </c>
      <c r="G7126">
        <v>0</v>
      </c>
      <c r="H7126" t="s">
        <v>12045</v>
      </c>
      <c r="I7126">
        <v>8022</v>
      </c>
      <c r="J7126" t="str">
        <f>VLOOKUP(E7126,DSSpieler!A:B,2,FALSE)</f>
        <v>Bauer19</v>
      </c>
    </row>
    <row r="7127" spans="1:10" x14ac:dyDescent="0.25">
      <c r="A7127">
        <v>8023</v>
      </c>
      <c r="B7127" t="s">
        <v>531</v>
      </c>
      <c r="C7127">
        <v>413</v>
      </c>
      <c r="D7127">
        <v>490</v>
      </c>
      <c r="E7127">
        <v>0</v>
      </c>
      <c r="F7127">
        <v>58</v>
      </c>
      <c r="G7127">
        <v>0</v>
      </c>
      <c r="H7127" t="s">
        <v>12046</v>
      </c>
      <c r="I7127">
        <v>8023</v>
      </c>
      <c r="J7127" t="e">
        <f>VLOOKUP(E7127,DSSpieler!A:B,2,FALSE)</f>
        <v>#N/A</v>
      </c>
    </row>
    <row r="7128" spans="1:10" x14ac:dyDescent="0.25">
      <c r="A7128">
        <v>8024</v>
      </c>
      <c r="B7128" t="s">
        <v>33286</v>
      </c>
      <c r="C7128">
        <v>546</v>
      </c>
      <c r="D7128">
        <v>412</v>
      </c>
      <c r="E7128">
        <v>1576654615</v>
      </c>
      <c r="F7128">
        <v>4368</v>
      </c>
      <c r="G7128">
        <v>0</v>
      </c>
      <c r="H7128" t="s">
        <v>12047</v>
      </c>
      <c r="I7128">
        <v>8024</v>
      </c>
      <c r="J7128" t="str">
        <f>VLOOKUP(E7128,DSSpieler!A:B,2,FALSE)</f>
        <v>bimmeldings</v>
      </c>
    </row>
    <row r="7129" spans="1:10" x14ac:dyDescent="0.25">
      <c r="A7129">
        <v>8025</v>
      </c>
      <c r="B7129" t="s">
        <v>531</v>
      </c>
      <c r="C7129">
        <v>542</v>
      </c>
      <c r="D7129">
        <v>578</v>
      </c>
      <c r="E7129">
        <v>0</v>
      </c>
      <c r="F7129">
        <v>328</v>
      </c>
      <c r="G7129">
        <v>0</v>
      </c>
      <c r="H7129" t="s">
        <v>12048</v>
      </c>
      <c r="I7129">
        <v>8025</v>
      </c>
      <c r="J7129" t="e">
        <f>VLOOKUP(E7129,DSSpieler!A:B,2,FALSE)</f>
        <v>#N/A</v>
      </c>
    </row>
    <row r="7130" spans="1:10" x14ac:dyDescent="0.25">
      <c r="A7130">
        <v>8026</v>
      </c>
      <c r="B7130" t="s">
        <v>531</v>
      </c>
      <c r="C7130">
        <v>424</v>
      </c>
      <c r="D7130">
        <v>544</v>
      </c>
      <c r="E7130">
        <v>0</v>
      </c>
      <c r="F7130">
        <v>376</v>
      </c>
      <c r="G7130">
        <v>0</v>
      </c>
      <c r="H7130" t="s">
        <v>12049</v>
      </c>
      <c r="I7130">
        <v>8026</v>
      </c>
      <c r="J7130" t="e">
        <f>VLOOKUP(E7130,DSSpieler!A:B,2,FALSE)</f>
        <v>#N/A</v>
      </c>
    </row>
    <row r="7131" spans="1:10" x14ac:dyDescent="0.25">
      <c r="A7131">
        <v>8027</v>
      </c>
      <c r="B7131" t="s">
        <v>780</v>
      </c>
      <c r="C7131">
        <v>609</v>
      </c>
      <c r="D7131">
        <v>511</v>
      </c>
      <c r="E7131">
        <v>1577195219</v>
      </c>
      <c r="F7131">
        <v>4762</v>
      </c>
      <c r="G7131">
        <v>0</v>
      </c>
      <c r="H7131" t="s">
        <v>12050</v>
      </c>
      <c r="I7131">
        <v>8027</v>
      </c>
      <c r="J7131" t="str">
        <f>VLOOKUP(E7131,DSSpieler!A:B,2,FALSE)</f>
        <v>Eric Cartman</v>
      </c>
    </row>
    <row r="7132" spans="1:10" x14ac:dyDescent="0.25">
      <c r="A7132">
        <v>8028</v>
      </c>
      <c r="B7132" t="s">
        <v>531</v>
      </c>
      <c r="C7132">
        <v>582</v>
      </c>
      <c r="D7132">
        <v>479</v>
      </c>
      <c r="E7132">
        <v>0</v>
      </c>
      <c r="F7132">
        <v>373</v>
      </c>
      <c r="G7132">
        <v>0</v>
      </c>
      <c r="H7132" t="s">
        <v>12051</v>
      </c>
      <c r="I7132">
        <v>8028</v>
      </c>
      <c r="J7132" t="e">
        <f>VLOOKUP(E7132,DSSpieler!A:B,2,FALSE)</f>
        <v>#N/A</v>
      </c>
    </row>
    <row r="7133" spans="1:10" x14ac:dyDescent="0.25">
      <c r="A7133">
        <v>8029</v>
      </c>
      <c r="B7133" t="s">
        <v>531</v>
      </c>
      <c r="C7133">
        <v>518</v>
      </c>
      <c r="D7133">
        <v>416</v>
      </c>
      <c r="E7133">
        <v>0</v>
      </c>
      <c r="F7133">
        <v>423</v>
      </c>
      <c r="G7133">
        <v>0</v>
      </c>
      <c r="H7133" t="s">
        <v>12052</v>
      </c>
      <c r="I7133">
        <v>8029</v>
      </c>
      <c r="J7133" t="e">
        <f>VLOOKUP(E7133,DSSpieler!A:B,2,FALSE)</f>
        <v>#N/A</v>
      </c>
    </row>
    <row r="7134" spans="1:10" x14ac:dyDescent="0.25">
      <c r="A7134">
        <v>8030</v>
      </c>
      <c r="B7134" t="s">
        <v>531</v>
      </c>
      <c r="C7134">
        <v>416</v>
      </c>
      <c r="D7134">
        <v>471</v>
      </c>
      <c r="E7134">
        <v>0</v>
      </c>
      <c r="F7134">
        <v>586</v>
      </c>
      <c r="G7134">
        <v>0</v>
      </c>
      <c r="H7134" t="s">
        <v>12053</v>
      </c>
      <c r="I7134">
        <v>8030</v>
      </c>
      <c r="J7134" t="e">
        <f>VLOOKUP(E7134,DSSpieler!A:B,2,FALSE)</f>
        <v>#N/A</v>
      </c>
    </row>
    <row r="7135" spans="1:10" x14ac:dyDescent="0.25">
      <c r="A7135">
        <v>8031</v>
      </c>
      <c r="B7135" t="s">
        <v>531</v>
      </c>
      <c r="C7135">
        <v>519</v>
      </c>
      <c r="D7135">
        <v>413</v>
      </c>
      <c r="E7135">
        <v>0</v>
      </c>
      <c r="F7135">
        <v>513</v>
      </c>
      <c r="G7135">
        <v>0</v>
      </c>
      <c r="H7135" t="s">
        <v>12054</v>
      </c>
      <c r="I7135">
        <v>8031</v>
      </c>
      <c r="J7135" t="e">
        <f>VLOOKUP(E7135,DSSpieler!A:B,2,FALSE)</f>
        <v>#N/A</v>
      </c>
    </row>
    <row r="7136" spans="1:10" x14ac:dyDescent="0.25">
      <c r="A7136">
        <v>8032</v>
      </c>
      <c r="B7136" t="s">
        <v>33287</v>
      </c>
      <c r="C7136">
        <v>550</v>
      </c>
      <c r="D7136">
        <v>503</v>
      </c>
      <c r="E7136">
        <v>1577064562</v>
      </c>
      <c r="F7136">
        <v>2362</v>
      </c>
      <c r="G7136">
        <v>0</v>
      </c>
      <c r="H7136" t="s">
        <v>12055</v>
      </c>
      <c r="I7136">
        <v>8032</v>
      </c>
      <c r="J7136" t="str">
        <f>VLOOKUP(E7136,DSSpieler!A:B,2,FALSE)</f>
        <v>brauner</v>
      </c>
    </row>
    <row r="7137" spans="1:10" x14ac:dyDescent="0.25">
      <c r="A7137">
        <v>8033</v>
      </c>
      <c r="B7137" t="s">
        <v>531</v>
      </c>
      <c r="C7137">
        <v>416</v>
      </c>
      <c r="D7137">
        <v>522</v>
      </c>
      <c r="E7137">
        <v>0</v>
      </c>
      <c r="F7137">
        <v>427</v>
      </c>
      <c r="G7137">
        <v>0</v>
      </c>
      <c r="H7137" t="s">
        <v>12056</v>
      </c>
      <c r="I7137">
        <v>8033</v>
      </c>
      <c r="J7137" t="e">
        <f>VLOOKUP(E7137,DSSpieler!A:B,2,FALSE)</f>
        <v>#N/A</v>
      </c>
    </row>
    <row r="7138" spans="1:10" x14ac:dyDescent="0.25">
      <c r="A7138">
        <v>8034</v>
      </c>
      <c r="B7138" t="s">
        <v>531</v>
      </c>
      <c r="C7138">
        <v>439</v>
      </c>
      <c r="D7138">
        <v>562</v>
      </c>
      <c r="E7138">
        <v>0</v>
      </c>
      <c r="F7138">
        <v>119</v>
      </c>
      <c r="G7138">
        <v>0</v>
      </c>
      <c r="H7138" t="s">
        <v>12057</v>
      </c>
      <c r="I7138">
        <v>8034</v>
      </c>
      <c r="J7138" t="e">
        <f>VLOOKUP(E7138,DSSpieler!A:B,2,FALSE)</f>
        <v>#N/A</v>
      </c>
    </row>
    <row r="7139" spans="1:10" x14ac:dyDescent="0.25">
      <c r="A7139">
        <v>8035</v>
      </c>
      <c r="B7139" t="s">
        <v>531</v>
      </c>
      <c r="C7139">
        <v>583</v>
      </c>
      <c r="D7139">
        <v>482</v>
      </c>
      <c r="E7139">
        <v>0</v>
      </c>
      <c r="F7139">
        <v>465</v>
      </c>
      <c r="G7139">
        <v>0</v>
      </c>
      <c r="H7139" t="s">
        <v>12058</v>
      </c>
      <c r="I7139">
        <v>8035</v>
      </c>
      <c r="J7139" t="e">
        <f>VLOOKUP(E7139,DSSpieler!A:B,2,FALSE)</f>
        <v>#N/A</v>
      </c>
    </row>
    <row r="7140" spans="1:10" x14ac:dyDescent="0.25">
      <c r="A7140">
        <v>8036</v>
      </c>
      <c r="B7140" t="s">
        <v>531</v>
      </c>
      <c r="C7140">
        <v>577</v>
      </c>
      <c r="D7140">
        <v>456</v>
      </c>
      <c r="E7140">
        <v>0</v>
      </c>
      <c r="F7140">
        <v>286</v>
      </c>
      <c r="G7140">
        <v>0</v>
      </c>
      <c r="H7140" t="s">
        <v>12059</v>
      </c>
      <c r="I7140">
        <v>8036</v>
      </c>
      <c r="J7140" t="e">
        <f>VLOOKUP(E7140,DSSpieler!A:B,2,FALSE)</f>
        <v>#N/A</v>
      </c>
    </row>
    <row r="7141" spans="1:10" x14ac:dyDescent="0.25">
      <c r="A7141">
        <v>8037</v>
      </c>
      <c r="B7141" t="s">
        <v>531</v>
      </c>
      <c r="C7141">
        <v>438</v>
      </c>
      <c r="D7141">
        <v>437</v>
      </c>
      <c r="E7141">
        <v>0</v>
      </c>
      <c r="F7141">
        <v>823</v>
      </c>
      <c r="G7141">
        <v>0</v>
      </c>
      <c r="H7141" t="s">
        <v>12060</v>
      </c>
      <c r="I7141">
        <v>8037</v>
      </c>
      <c r="J7141" t="e">
        <f>VLOOKUP(E7141,DSSpieler!A:B,2,FALSE)</f>
        <v>#N/A</v>
      </c>
    </row>
    <row r="7142" spans="1:10" x14ac:dyDescent="0.25">
      <c r="A7142">
        <v>8038</v>
      </c>
      <c r="B7142" t="s">
        <v>33288</v>
      </c>
      <c r="C7142">
        <v>551</v>
      </c>
      <c r="D7142">
        <v>427</v>
      </c>
      <c r="E7142">
        <v>1577067841</v>
      </c>
      <c r="F7142">
        <v>618</v>
      </c>
      <c r="G7142">
        <v>0</v>
      </c>
      <c r="H7142" t="s">
        <v>12061</v>
      </c>
      <c r="I7142">
        <v>8038</v>
      </c>
      <c r="J7142" t="str">
        <f>VLOOKUP(E7142,DSSpieler!A:B,2,FALSE)</f>
        <v>jogy59</v>
      </c>
    </row>
    <row r="7143" spans="1:10" x14ac:dyDescent="0.25">
      <c r="A7143">
        <v>8039</v>
      </c>
      <c r="B7143" t="s">
        <v>531</v>
      </c>
      <c r="C7143">
        <v>436</v>
      </c>
      <c r="D7143">
        <v>444</v>
      </c>
      <c r="E7143">
        <v>0</v>
      </c>
      <c r="F7143">
        <v>369</v>
      </c>
      <c r="G7143">
        <v>0</v>
      </c>
      <c r="H7143" t="s">
        <v>12062</v>
      </c>
      <c r="I7143">
        <v>8039</v>
      </c>
      <c r="J7143" t="e">
        <f>VLOOKUP(E7143,DSSpieler!A:B,2,FALSE)</f>
        <v>#N/A</v>
      </c>
    </row>
    <row r="7144" spans="1:10" x14ac:dyDescent="0.25">
      <c r="A7144">
        <v>8040</v>
      </c>
      <c r="B7144">
        <v>2</v>
      </c>
      <c r="C7144">
        <v>423</v>
      </c>
      <c r="D7144">
        <v>462</v>
      </c>
      <c r="E7144">
        <v>8987776</v>
      </c>
      <c r="F7144">
        <v>2839</v>
      </c>
      <c r="G7144">
        <v>0</v>
      </c>
      <c r="H7144" t="s">
        <v>12063</v>
      </c>
      <c r="I7144">
        <v>8040</v>
      </c>
      <c r="J7144" t="str">
        <f>VLOOKUP(E7144,DSSpieler!A:B,2,FALSE)</f>
        <v>yourself2406</v>
      </c>
    </row>
    <row r="7145" spans="1:10" x14ac:dyDescent="0.25">
      <c r="A7145">
        <v>8041</v>
      </c>
      <c r="B7145" t="s">
        <v>531</v>
      </c>
      <c r="C7145">
        <v>483</v>
      </c>
      <c r="D7145">
        <v>586</v>
      </c>
      <c r="E7145">
        <v>0</v>
      </c>
      <c r="F7145">
        <v>573</v>
      </c>
      <c r="G7145">
        <v>0</v>
      </c>
      <c r="H7145" t="s">
        <v>12064</v>
      </c>
      <c r="I7145">
        <v>8041</v>
      </c>
      <c r="J7145" t="e">
        <f>VLOOKUP(E7145,DSSpieler!A:B,2,FALSE)</f>
        <v>#N/A</v>
      </c>
    </row>
    <row r="7146" spans="1:10" x14ac:dyDescent="0.25">
      <c r="A7146">
        <v>8043</v>
      </c>
      <c r="B7146" t="s">
        <v>1690</v>
      </c>
      <c r="C7146">
        <v>527</v>
      </c>
      <c r="D7146">
        <v>581</v>
      </c>
      <c r="E7146">
        <v>1577070084</v>
      </c>
      <c r="F7146">
        <v>809</v>
      </c>
      <c r="G7146">
        <v>0</v>
      </c>
      <c r="H7146" t="s">
        <v>12065</v>
      </c>
      <c r="I7146">
        <v>8043</v>
      </c>
      <c r="J7146" t="str">
        <f>VLOOKUP(E7146,DSSpieler!A:B,2,FALSE)</f>
        <v>Businessfreak</v>
      </c>
    </row>
    <row r="7147" spans="1:10" x14ac:dyDescent="0.25">
      <c r="A7147">
        <v>8044</v>
      </c>
      <c r="B7147" t="s">
        <v>531</v>
      </c>
      <c r="C7147">
        <v>416</v>
      </c>
      <c r="D7147">
        <v>486</v>
      </c>
      <c r="E7147">
        <v>0</v>
      </c>
      <c r="F7147">
        <v>314</v>
      </c>
      <c r="G7147">
        <v>0</v>
      </c>
      <c r="H7147" t="s">
        <v>12066</v>
      </c>
      <c r="I7147">
        <v>8044</v>
      </c>
      <c r="J7147" t="e">
        <f>VLOOKUP(E7147,DSSpieler!A:B,2,FALSE)</f>
        <v>#N/A</v>
      </c>
    </row>
    <row r="7148" spans="1:10" x14ac:dyDescent="0.25">
      <c r="A7148">
        <v>8045</v>
      </c>
      <c r="B7148" t="s">
        <v>32826</v>
      </c>
      <c r="C7148">
        <v>402</v>
      </c>
      <c r="D7148">
        <v>539</v>
      </c>
      <c r="E7148">
        <v>1577070657</v>
      </c>
      <c r="F7148">
        <v>5685</v>
      </c>
      <c r="G7148">
        <v>0</v>
      </c>
      <c r="H7148" t="s">
        <v>12067</v>
      </c>
      <c r="I7148">
        <v>8045</v>
      </c>
      <c r="J7148" t="str">
        <f>VLOOKUP(E7148,DSSpieler!A:B,2,FALSE)</f>
        <v>A.M.F.</v>
      </c>
    </row>
    <row r="7149" spans="1:10" x14ac:dyDescent="0.25">
      <c r="A7149">
        <v>8046</v>
      </c>
      <c r="B7149" t="s">
        <v>531</v>
      </c>
      <c r="C7149">
        <v>471</v>
      </c>
      <c r="D7149">
        <v>584</v>
      </c>
      <c r="E7149">
        <v>0</v>
      </c>
      <c r="F7149">
        <v>396</v>
      </c>
      <c r="G7149">
        <v>0</v>
      </c>
      <c r="H7149" t="s">
        <v>12068</v>
      </c>
      <c r="I7149">
        <v>8046</v>
      </c>
      <c r="J7149" t="e">
        <f>VLOOKUP(E7149,DSSpieler!A:B,2,FALSE)</f>
        <v>#N/A</v>
      </c>
    </row>
    <row r="7150" spans="1:10" x14ac:dyDescent="0.25">
      <c r="A7150">
        <v>8047</v>
      </c>
      <c r="B7150" t="s">
        <v>531</v>
      </c>
      <c r="C7150">
        <v>414</v>
      </c>
      <c r="D7150">
        <v>438</v>
      </c>
      <c r="E7150">
        <v>0</v>
      </c>
      <c r="F7150">
        <v>219</v>
      </c>
      <c r="G7150">
        <v>0</v>
      </c>
      <c r="H7150" t="s">
        <v>12069</v>
      </c>
      <c r="I7150">
        <v>8047</v>
      </c>
      <c r="J7150" t="e">
        <f>VLOOKUP(E7150,DSSpieler!A:B,2,FALSE)</f>
        <v>#N/A</v>
      </c>
    </row>
    <row r="7151" spans="1:10" x14ac:dyDescent="0.25">
      <c r="A7151">
        <v>8049</v>
      </c>
      <c r="B7151" t="s">
        <v>531</v>
      </c>
      <c r="C7151">
        <v>410</v>
      </c>
      <c r="D7151">
        <v>517</v>
      </c>
      <c r="E7151">
        <v>0</v>
      </c>
      <c r="F7151">
        <v>530</v>
      </c>
      <c r="G7151">
        <v>0</v>
      </c>
      <c r="H7151" t="s">
        <v>12070</v>
      </c>
      <c r="I7151">
        <v>8049</v>
      </c>
      <c r="J7151" t="e">
        <f>VLOOKUP(E7151,DSSpieler!A:B,2,FALSE)</f>
        <v>#N/A</v>
      </c>
    </row>
    <row r="7152" spans="1:10" x14ac:dyDescent="0.25">
      <c r="A7152">
        <v>8050</v>
      </c>
      <c r="B7152" t="s">
        <v>33289</v>
      </c>
      <c r="C7152">
        <v>415</v>
      </c>
      <c r="D7152">
        <v>510</v>
      </c>
      <c r="E7152">
        <v>1324412</v>
      </c>
      <c r="F7152">
        <v>1058</v>
      </c>
      <c r="G7152">
        <v>0</v>
      </c>
      <c r="H7152" t="s">
        <v>12071</v>
      </c>
      <c r="I7152">
        <v>8050</v>
      </c>
      <c r="J7152" t="str">
        <f>VLOOKUP(E7152,DSSpieler!A:B,2,FALSE)</f>
        <v>Chico99</v>
      </c>
    </row>
    <row r="7153" spans="1:10" x14ac:dyDescent="0.25">
      <c r="A7153">
        <v>8051</v>
      </c>
      <c r="B7153" t="s">
        <v>531</v>
      </c>
      <c r="C7153">
        <v>472</v>
      </c>
      <c r="D7153">
        <v>417</v>
      </c>
      <c r="E7153">
        <v>0</v>
      </c>
      <c r="F7153">
        <v>288</v>
      </c>
      <c r="G7153">
        <v>0</v>
      </c>
      <c r="H7153" t="s">
        <v>12072</v>
      </c>
      <c r="I7153">
        <v>8051</v>
      </c>
      <c r="J7153" t="e">
        <f>VLOOKUP(E7153,DSSpieler!A:B,2,FALSE)</f>
        <v>#N/A</v>
      </c>
    </row>
    <row r="7154" spans="1:10" x14ac:dyDescent="0.25">
      <c r="A7154">
        <v>8052</v>
      </c>
      <c r="B7154" t="s">
        <v>531</v>
      </c>
      <c r="C7154">
        <v>487</v>
      </c>
      <c r="D7154">
        <v>584</v>
      </c>
      <c r="E7154">
        <v>0</v>
      </c>
      <c r="F7154">
        <v>296</v>
      </c>
      <c r="G7154">
        <v>0</v>
      </c>
      <c r="H7154" t="s">
        <v>12073</v>
      </c>
      <c r="I7154">
        <v>8052</v>
      </c>
      <c r="J7154" t="e">
        <f>VLOOKUP(E7154,DSSpieler!A:B,2,FALSE)</f>
        <v>#N/A</v>
      </c>
    </row>
    <row r="7155" spans="1:10" x14ac:dyDescent="0.25">
      <c r="A7155">
        <v>8053</v>
      </c>
      <c r="B7155" t="s">
        <v>531</v>
      </c>
      <c r="C7155">
        <v>477</v>
      </c>
      <c r="D7155">
        <v>601</v>
      </c>
      <c r="E7155">
        <v>0</v>
      </c>
      <c r="F7155">
        <v>216</v>
      </c>
      <c r="G7155">
        <v>0</v>
      </c>
      <c r="H7155" t="s">
        <v>12074</v>
      </c>
      <c r="I7155">
        <v>8053</v>
      </c>
      <c r="J7155" t="e">
        <f>VLOOKUP(E7155,DSSpieler!A:B,2,FALSE)</f>
        <v>#N/A</v>
      </c>
    </row>
    <row r="7156" spans="1:10" x14ac:dyDescent="0.25">
      <c r="A7156">
        <v>8054</v>
      </c>
      <c r="B7156" t="s">
        <v>531</v>
      </c>
      <c r="C7156">
        <v>516</v>
      </c>
      <c r="D7156">
        <v>585</v>
      </c>
      <c r="E7156">
        <v>0</v>
      </c>
      <c r="F7156">
        <v>387</v>
      </c>
      <c r="G7156">
        <v>0</v>
      </c>
      <c r="H7156" t="s">
        <v>12075</v>
      </c>
      <c r="I7156">
        <v>8054</v>
      </c>
      <c r="J7156" t="e">
        <f>VLOOKUP(E7156,DSSpieler!A:B,2,FALSE)</f>
        <v>#N/A</v>
      </c>
    </row>
    <row r="7157" spans="1:10" x14ac:dyDescent="0.25">
      <c r="A7157">
        <v>8055</v>
      </c>
      <c r="B7157" t="s">
        <v>531</v>
      </c>
      <c r="C7157">
        <v>420</v>
      </c>
      <c r="D7157">
        <v>466</v>
      </c>
      <c r="E7157">
        <v>0</v>
      </c>
      <c r="F7157">
        <v>507</v>
      </c>
      <c r="G7157">
        <v>0</v>
      </c>
      <c r="H7157" t="s">
        <v>12076</v>
      </c>
      <c r="I7157">
        <v>8055</v>
      </c>
      <c r="J7157" t="e">
        <f>VLOOKUP(E7157,DSSpieler!A:B,2,FALSE)</f>
        <v>#N/A</v>
      </c>
    </row>
    <row r="7158" spans="1:10" x14ac:dyDescent="0.25">
      <c r="A7158">
        <v>8056</v>
      </c>
      <c r="B7158" t="s">
        <v>33290</v>
      </c>
      <c r="C7158">
        <v>477</v>
      </c>
      <c r="D7158">
        <v>586</v>
      </c>
      <c r="E7158">
        <v>1577187686</v>
      </c>
      <c r="F7158">
        <v>1257</v>
      </c>
      <c r="G7158">
        <v>0</v>
      </c>
      <c r="H7158" t="s">
        <v>12077</v>
      </c>
      <c r="I7158">
        <v>8056</v>
      </c>
      <c r="J7158" t="str">
        <f>VLOOKUP(E7158,DSSpieler!A:B,2,FALSE)</f>
        <v>Nemesis2020</v>
      </c>
    </row>
    <row r="7159" spans="1:10" x14ac:dyDescent="0.25">
      <c r="A7159">
        <v>8057</v>
      </c>
      <c r="B7159" t="s">
        <v>1626</v>
      </c>
      <c r="C7159">
        <v>531</v>
      </c>
      <c r="D7159">
        <v>580</v>
      </c>
      <c r="E7159">
        <v>7958886</v>
      </c>
      <c r="F7159">
        <v>2165</v>
      </c>
      <c r="G7159">
        <v>0</v>
      </c>
      <c r="H7159" t="s">
        <v>12078</v>
      </c>
      <c r="I7159">
        <v>8057</v>
      </c>
      <c r="J7159" t="str">
        <f>VLOOKUP(E7159,DSSpieler!A:B,2,FALSE)</f>
        <v>Normannenfels</v>
      </c>
    </row>
    <row r="7160" spans="1:10" x14ac:dyDescent="0.25">
      <c r="A7160">
        <v>8058</v>
      </c>
      <c r="B7160" t="s">
        <v>531</v>
      </c>
      <c r="C7160">
        <v>491</v>
      </c>
      <c r="D7160">
        <v>585</v>
      </c>
      <c r="E7160">
        <v>0</v>
      </c>
      <c r="F7160">
        <v>254</v>
      </c>
      <c r="G7160">
        <v>0</v>
      </c>
      <c r="H7160" t="s">
        <v>12079</v>
      </c>
      <c r="I7160">
        <v>8058</v>
      </c>
      <c r="J7160" t="e">
        <f>VLOOKUP(E7160,DSSpieler!A:B,2,FALSE)</f>
        <v>#N/A</v>
      </c>
    </row>
    <row r="7161" spans="1:10" x14ac:dyDescent="0.25">
      <c r="A7161">
        <v>8059</v>
      </c>
      <c r="B7161" t="s">
        <v>531</v>
      </c>
      <c r="C7161">
        <v>446</v>
      </c>
      <c r="D7161">
        <v>571</v>
      </c>
      <c r="E7161">
        <v>0</v>
      </c>
      <c r="F7161">
        <v>173</v>
      </c>
      <c r="G7161">
        <v>0</v>
      </c>
      <c r="H7161" t="s">
        <v>12080</v>
      </c>
      <c r="I7161">
        <v>8059</v>
      </c>
      <c r="J7161" t="e">
        <f>VLOOKUP(E7161,DSSpieler!A:B,2,FALSE)</f>
        <v>#N/A</v>
      </c>
    </row>
    <row r="7162" spans="1:10" x14ac:dyDescent="0.25">
      <c r="A7162">
        <v>8060</v>
      </c>
      <c r="B7162" t="s">
        <v>33291</v>
      </c>
      <c r="C7162">
        <v>420</v>
      </c>
      <c r="D7162">
        <v>530</v>
      </c>
      <c r="E7162">
        <v>8136159</v>
      </c>
      <c r="F7162">
        <v>2951</v>
      </c>
      <c r="G7162">
        <v>0</v>
      </c>
      <c r="H7162" t="s">
        <v>12081</v>
      </c>
      <c r="I7162">
        <v>8060</v>
      </c>
      <c r="J7162" t="str">
        <f>VLOOKUP(E7162,DSSpieler!A:B,2,FALSE)</f>
        <v>jojo9898</v>
      </c>
    </row>
    <row r="7163" spans="1:10" x14ac:dyDescent="0.25">
      <c r="A7163">
        <v>8061</v>
      </c>
      <c r="B7163" t="s">
        <v>531</v>
      </c>
      <c r="C7163">
        <v>514</v>
      </c>
      <c r="D7163">
        <v>497</v>
      </c>
      <c r="E7163">
        <v>0</v>
      </c>
      <c r="F7163">
        <v>449</v>
      </c>
      <c r="G7163">
        <v>0</v>
      </c>
      <c r="H7163" t="s">
        <v>12082</v>
      </c>
      <c r="I7163">
        <v>8061</v>
      </c>
      <c r="J7163" t="e">
        <f>VLOOKUP(E7163,DSSpieler!A:B,2,FALSE)</f>
        <v>#N/A</v>
      </c>
    </row>
    <row r="7164" spans="1:10" x14ac:dyDescent="0.25">
      <c r="A7164">
        <v>8062</v>
      </c>
      <c r="B7164" t="s">
        <v>531</v>
      </c>
      <c r="C7164">
        <v>515</v>
      </c>
      <c r="D7164">
        <v>587</v>
      </c>
      <c r="E7164">
        <v>0</v>
      </c>
      <c r="F7164">
        <v>250</v>
      </c>
      <c r="G7164">
        <v>0</v>
      </c>
      <c r="H7164" t="s">
        <v>12083</v>
      </c>
      <c r="I7164">
        <v>8062</v>
      </c>
      <c r="J7164" t="e">
        <f>VLOOKUP(E7164,DSSpieler!A:B,2,FALSE)</f>
        <v>#N/A</v>
      </c>
    </row>
    <row r="7165" spans="1:10" x14ac:dyDescent="0.25">
      <c r="A7165">
        <v>8063</v>
      </c>
      <c r="B7165" t="s">
        <v>531</v>
      </c>
      <c r="C7165">
        <v>567</v>
      </c>
      <c r="D7165">
        <v>440</v>
      </c>
      <c r="E7165">
        <v>0</v>
      </c>
      <c r="F7165">
        <v>239</v>
      </c>
      <c r="G7165">
        <v>0</v>
      </c>
      <c r="H7165" t="s">
        <v>12084</v>
      </c>
      <c r="I7165">
        <v>8063</v>
      </c>
      <c r="J7165" t="e">
        <f>VLOOKUP(E7165,DSSpieler!A:B,2,FALSE)</f>
        <v>#N/A</v>
      </c>
    </row>
    <row r="7166" spans="1:10" x14ac:dyDescent="0.25">
      <c r="A7166">
        <v>8064</v>
      </c>
      <c r="B7166" t="s">
        <v>531</v>
      </c>
      <c r="C7166">
        <v>415</v>
      </c>
      <c r="D7166">
        <v>490</v>
      </c>
      <c r="E7166">
        <v>0</v>
      </c>
      <c r="F7166">
        <v>311</v>
      </c>
      <c r="G7166">
        <v>0</v>
      </c>
      <c r="H7166" t="s">
        <v>12085</v>
      </c>
      <c r="I7166">
        <v>8064</v>
      </c>
      <c r="J7166" t="e">
        <f>VLOOKUP(E7166,DSSpieler!A:B,2,FALSE)</f>
        <v>#N/A</v>
      </c>
    </row>
    <row r="7167" spans="1:10" x14ac:dyDescent="0.25">
      <c r="A7167">
        <v>8065</v>
      </c>
      <c r="B7167" t="s">
        <v>531</v>
      </c>
      <c r="C7167">
        <v>505</v>
      </c>
      <c r="D7167">
        <v>589</v>
      </c>
      <c r="E7167">
        <v>0</v>
      </c>
      <c r="F7167">
        <v>175</v>
      </c>
      <c r="G7167">
        <v>0</v>
      </c>
      <c r="H7167" t="s">
        <v>12086</v>
      </c>
      <c r="I7167">
        <v>8065</v>
      </c>
      <c r="J7167" t="e">
        <f>VLOOKUP(E7167,DSSpieler!A:B,2,FALSE)</f>
        <v>#N/A</v>
      </c>
    </row>
    <row r="7168" spans="1:10" x14ac:dyDescent="0.25">
      <c r="A7168">
        <v>8066</v>
      </c>
      <c r="B7168" t="s">
        <v>531</v>
      </c>
      <c r="C7168">
        <v>509</v>
      </c>
      <c r="D7168">
        <v>588</v>
      </c>
      <c r="E7168">
        <v>0</v>
      </c>
      <c r="F7168">
        <v>222</v>
      </c>
      <c r="G7168">
        <v>0</v>
      </c>
      <c r="H7168" t="s">
        <v>12087</v>
      </c>
      <c r="I7168">
        <v>8066</v>
      </c>
      <c r="J7168" t="e">
        <f>VLOOKUP(E7168,DSSpieler!A:B,2,FALSE)</f>
        <v>#N/A</v>
      </c>
    </row>
    <row r="7169" spans="1:10" x14ac:dyDescent="0.25">
      <c r="A7169">
        <v>8067</v>
      </c>
      <c r="B7169">
        <v>5</v>
      </c>
      <c r="C7169">
        <v>597</v>
      </c>
      <c r="D7169">
        <v>454</v>
      </c>
      <c r="E7169">
        <v>1577114623</v>
      </c>
      <c r="F7169">
        <v>696</v>
      </c>
      <c r="G7169">
        <v>0</v>
      </c>
      <c r="H7169" t="s">
        <v>12088</v>
      </c>
      <c r="I7169">
        <v>8067</v>
      </c>
      <c r="J7169" t="str">
        <f>VLOOKUP(E7169,DSSpieler!A:B,2,FALSE)</f>
        <v>gshamburg</v>
      </c>
    </row>
    <row r="7170" spans="1:10" x14ac:dyDescent="0.25">
      <c r="A7170">
        <v>8068</v>
      </c>
      <c r="B7170" t="s">
        <v>33292</v>
      </c>
      <c r="C7170">
        <v>465</v>
      </c>
      <c r="D7170">
        <v>412</v>
      </c>
      <c r="E7170">
        <v>1577082879</v>
      </c>
      <c r="F7170">
        <v>3449</v>
      </c>
      <c r="G7170">
        <v>0</v>
      </c>
      <c r="H7170" t="s">
        <v>12089</v>
      </c>
      <c r="I7170">
        <v>8068</v>
      </c>
      <c r="J7170" t="str">
        <f>VLOOKUP(E7170,DSSpieler!A:B,2,FALSE)</f>
        <v>Lord Audifreak der II</v>
      </c>
    </row>
    <row r="7171" spans="1:10" x14ac:dyDescent="0.25">
      <c r="A7171">
        <v>8069</v>
      </c>
      <c r="B7171" t="s">
        <v>33293</v>
      </c>
      <c r="C7171">
        <v>430</v>
      </c>
      <c r="D7171">
        <v>563</v>
      </c>
      <c r="E7171">
        <v>1577188410</v>
      </c>
      <c r="F7171">
        <v>4680</v>
      </c>
      <c r="G7171">
        <v>0</v>
      </c>
      <c r="H7171" t="s">
        <v>12090</v>
      </c>
      <c r="I7171">
        <v>8069</v>
      </c>
      <c r="J7171" t="str">
        <f>VLOOKUP(E7171,DSSpieler!A:B,2,FALSE)</f>
        <v>IKA-HH</v>
      </c>
    </row>
    <row r="7172" spans="1:10" x14ac:dyDescent="0.25">
      <c r="A7172">
        <v>8070</v>
      </c>
      <c r="B7172" t="s">
        <v>531</v>
      </c>
      <c r="C7172">
        <v>587</v>
      </c>
      <c r="D7172">
        <v>486</v>
      </c>
      <c r="E7172">
        <v>0</v>
      </c>
      <c r="F7172">
        <v>299</v>
      </c>
      <c r="G7172">
        <v>0</v>
      </c>
      <c r="H7172" t="s">
        <v>12091</v>
      </c>
      <c r="I7172">
        <v>8070</v>
      </c>
      <c r="J7172" t="e">
        <f>VLOOKUP(E7172,DSSpieler!A:B,2,FALSE)</f>
        <v>#N/A</v>
      </c>
    </row>
    <row r="7173" spans="1:10" x14ac:dyDescent="0.25">
      <c r="A7173">
        <v>8071</v>
      </c>
      <c r="B7173" t="s">
        <v>1691</v>
      </c>
      <c r="C7173">
        <v>414</v>
      </c>
      <c r="D7173">
        <v>479</v>
      </c>
      <c r="E7173">
        <v>1577045482</v>
      </c>
      <c r="F7173">
        <v>1413</v>
      </c>
      <c r="G7173">
        <v>0</v>
      </c>
      <c r="H7173" t="s">
        <v>12092</v>
      </c>
      <c r="I7173">
        <v>8071</v>
      </c>
      <c r="J7173" t="str">
        <f>VLOOKUP(E7173,DSSpieler!A:B,2,FALSE)</f>
        <v>braigans</v>
      </c>
    </row>
    <row r="7174" spans="1:10" x14ac:dyDescent="0.25">
      <c r="A7174">
        <v>8072</v>
      </c>
      <c r="B7174" t="s">
        <v>1692</v>
      </c>
      <c r="C7174">
        <v>513</v>
      </c>
      <c r="D7174">
        <v>413</v>
      </c>
      <c r="E7174">
        <v>257652</v>
      </c>
      <c r="F7174">
        <v>5736</v>
      </c>
      <c r="G7174">
        <v>0</v>
      </c>
      <c r="H7174" t="s">
        <v>12093</v>
      </c>
      <c r="I7174">
        <v>8072</v>
      </c>
      <c r="J7174" t="str">
        <f>VLOOKUP(E7174,DSSpieler!A:B,2,FALSE)</f>
        <v>mpeG</v>
      </c>
    </row>
    <row r="7175" spans="1:10" x14ac:dyDescent="0.25">
      <c r="A7175">
        <v>8073</v>
      </c>
      <c r="B7175" t="s">
        <v>531</v>
      </c>
      <c r="C7175">
        <v>515</v>
      </c>
      <c r="D7175">
        <v>414</v>
      </c>
      <c r="E7175">
        <v>0</v>
      </c>
      <c r="F7175">
        <v>172</v>
      </c>
      <c r="G7175">
        <v>0</v>
      </c>
      <c r="H7175" t="s">
        <v>12094</v>
      </c>
      <c r="I7175">
        <v>8073</v>
      </c>
      <c r="J7175" t="e">
        <f>VLOOKUP(E7175,DSSpieler!A:B,2,FALSE)</f>
        <v>#N/A</v>
      </c>
    </row>
    <row r="7176" spans="1:10" x14ac:dyDescent="0.25">
      <c r="A7176">
        <v>8074</v>
      </c>
      <c r="B7176" t="s">
        <v>531</v>
      </c>
      <c r="C7176">
        <v>571</v>
      </c>
      <c r="D7176">
        <v>447</v>
      </c>
      <c r="E7176">
        <v>0</v>
      </c>
      <c r="F7176">
        <v>191</v>
      </c>
      <c r="G7176">
        <v>0</v>
      </c>
      <c r="H7176" t="s">
        <v>12095</v>
      </c>
      <c r="I7176">
        <v>8074</v>
      </c>
      <c r="J7176" t="e">
        <f>VLOOKUP(E7176,DSSpieler!A:B,2,FALSE)</f>
        <v>#N/A</v>
      </c>
    </row>
    <row r="7177" spans="1:10" x14ac:dyDescent="0.25">
      <c r="A7177">
        <v>8075</v>
      </c>
      <c r="B7177" t="s">
        <v>531</v>
      </c>
      <c r="C7177">
        <v>518</v>
      </c>
      <c r="D7177">
        <v>587</v>
      </c>
      <c r="E7177">
        <v>0</v>
      </c>
      <c r="F7177">
        <v>372</v>
      </c>
      <c r="G7177">
        <v>0</v>
      </c>
      <c r="H7177" t="s">
        <v>12096</v>
      </c>
      <c r="I7177">
        <v>8075</v>
      </c>
      <c r="J7177" t="e">
        <f>VLOOKUP(E7177,DSSpieler!A:B,2,FALSE)</f>
        <v>#N/A</v>
      </c>
    </row>
    <row r="7178" spans="1:10" x14ac:dyDescent="0.25">
      <c r="A7178">
        <v>8076</v>
      </c>
      <c r="B7178" t="s">
        <v>531</v>
      </c>
      <c r="C7178">
        <v>585</v>
      </c>
      <c r="D7178">
        <v>519</v>
      </c>
      <c r="E7178">
        <v>0</v>
      </c>
      <c r="F7178">
        <v>254</v>
      </c>
      <c r="G7178">
        <v>0</v>
      </c>
      <c r="H7178" t="s">
        <v>12097</v>
      </c>
      <c r="I7178">
        <v>8076</v>
      </c>
      <c r="J7178" t="e">
        <f>VLOOKUP(E7178,DSSpieler!A:B,2,FALSE)</f>
        <v>#N/A</v>
      </c>
    </row>
    <row r="7179" spans="1:10" x14ac:dyDescent="0.25">
      <c r="A7179">
        <v>8077</v>
      </c>
      <c r="B7179" t="s">
        <v>531</v>
      </c>
      <c r="C7179">
        <v>431</v>
      </c>
      <c r="D7179">
        <v>444</v>
      </c>
      <c r="E7179">
        <v>0</v>
      </c>
      <c r="F7179">
        <v>235</v>
      </c>
      <c r="G7179">
        <v>0</v>
      </c>
      <c r="H7179" t="s">
        <v>12098</v>
      </c>
      <c r="I7179">
        <v>8077</v>
      </c>
      <c r="J7179" t="e">
        <f>VLOOKUP(E7179,DSSpieler!A:B,2,FALSE)</f>
        <v>#N/A</v>
      </c>
    </row>
    <row r="7180" spans="1:10" x14ac:dyDescent="0.25">
      <c r="A7180">
        <v>8079</v>
      </c>
      <c r="B7180" t="s">
        <v>531</v>
      </c>
      <c r="C7180">
        <v>544</v>
      </c>
      <c r="D7180">
        <v>423</v>
      </c>
      <c r="E7180">
        <v>0</v>
      </c>
      <c r="F7180">
        <v>119</v>
      </c>
      <c r="G7180">
        <v>0</v>
      </c>
      <c r="H7180" t="s">
        <v>12099</v>
      </c>
      <c r="I7180">
        <v>8079</v>
      </c>
      <c r="J7180" t="e">
        <f>VLOOKUP(E7180,DSSpieler!A:B,2,FALSE)</f>
        <v>#N/A</v>
      </c>
    </row>
    <row r="7181" spans="1:10" x14ac:dyDescent="0.25">
      <c r="A7181">
        <v>8080</v>
      </c>
      <c r="B7181" t="s">
        <v>531</v>
      </c>
      <c r="C7181">
        <v>587</v>
      </c>
      <c r="D7181">
        <v>505</v>
      </c>
      <c r="E7181">
        <v>0</v>
      </c>
      <c r="F7181">
        <v>521</v>
      </c>
      <c r="G7181">
        <v>0</v>
      </c>
      <c r="H7181" t="s">
        <v>12100</v>
      </c>
      <c r="I7181">
        <v>8080</v>
      </c>
      <c r="J7181" t="e">
        <f>VLOOKUP(E7181,DSSpieler!A:B,2,FALSE)</f>
        <v>#N/A</v>
      </c>
    </row>
    <row r="7182" spans="1:10" x14ac:dyDescent="0.25">
      <c r="A7182">
        <v>8081</v>
      </c>
      <c r="B7182" t="s">
        <v>531</v>
      </c>
      <c r="C7182">
        <v>415</v>
      </c>
      <c r="D7182">
        <v>509</v>
      </c>
      <c r="E7182">
        <v>0</v>
      </c>
      <c r="F7182">
        <v>271</v>
      </c>
      <c r="G7182">
        <v>0</v>
      </c>
      <c r="H7182" t="s">
        <v>12101</v>
      </c>
      <c r="I7182">
        <v>8081</v>
      </c>
      <c r="J7182" t="e">
        <f>VLOOKUP(E7182,DSSpieler!A:B,2,FALSE)</f>
        <v>#N/A</v>
      </c>
    </row>
    <row r="7183" spans="1:10" x14ac:dyDescent="0.25">
      <c r="A7183">
        <v>8083</v>
      </c>
      <c r="B7183" t="s">
        <v>531</v>
      </c>
      <c r="C7183">
        <v>586</v>
      </c>
      <c r="D7183">
        <v>521</v>
      </c>
      <c r="E7183">
        <v>0</v>
      </c>
      <c r="F7183">
        <v>89</v>
      </c>
      <c r="G7183">
        <v>0</v>
      </c>
      <c r="H7183" t="s">
        <v>12102</v>
      </c>
      <c r="I7183">
        <v>8083</v>
      </c>
      <c r="J7183" t="e">
        <f>VLOOKUP(E7183,DSSpieler!A:B,2,FALSE)</f>
        <v>#N/A</v>
      </c>
    </row>
    <row r="7184" spans="1:10" x14ac:dyDescent="0.25">
      <c r="A7184">
        <v>8084</v>
      </c>
      <c r="B7184" t="s">
        <v>531</v>
      </c>
      <c r="C7184">
        <v>427</v>
      </c>
      <c r="D7184">
        <v>549</v>
      </c>
      <c r="E7184">
        <v>0</v>
      </c>
      <c r="F7184">
        <v>303</v>
      </c>
      <c r="G7184">
        <v>0</v>
      </c>
      <c r="H7184" t="s">
        <v>12103</v>
      </c>
      <c r="I7184">
        <v>8084</v>
      </c>
      <c r="J7184" t="e">
        <f>VLOOKUP(E7184,DSSpieler!A:B,2,FALSE)</f>
        <v>#N/A</v>
      </c>
    </row>
    <row r="7185" spans="1:10" x14ac:dyDescent="0.25">
      <c r="A7185">
        <v>8085</v>
      </c>
      <c r="B7185" t="s">
        <v>531</v>
      </c>
      <c r="C7185">
        <v>531</v>
      </c>
      <c r="D7185">
        <v>581</v>
      </c>
      <c r="E7185">
        <v>0</v>
      </c>
      <c r="F7185">
        <v>264</v>
      </c>
      <c r="G7185">
        <v>0</v>
      </c>
      <c r="H7185" t="s">
        <v>12104</v>
      </c>
      <c r="I7185">
        <v>8085</v>
      </c>
      <c r="J7185" t="e">
        <f>VLOOKUP(E7185,DSSpieler!A:B,2,FALSE)</f>
        <v>#N/A</v>
      </c>
    </row>
    <row r="7186" spans="1:10" x14ac:dyDescent="0.25">
      <c r="A7186">
        <v>8086</v>
      </c>
      <c r="B7186" t="s">
        <v>673</v>
      </c>
      <c r="C7186">
        <v>565</v>
      </c>
      <c r="D7186">
        <v>555</v>
      </c>
      <c r="E7186">
        <v>7624025</v>
      </c>
      <c r="F7186">
        <v>2141</v>
      </c>
      <c r="G7186">
        <v>0</v>
      </c>
      <c r="H7186" t="s">
        <v>12105</v>
      </c>
      <c r="I7186">
        <v>8086</v>
      </c>
      <c r="J7186" t="str">
        <f>VLOOKUP(E7186,DSSpieler!A:B,2,FALSE)</f>
        <v>yugioh13</v>
      </c>
    </row>
    <row r="7187" spans="1:10" x14ac:dyDescent="0.25">
      <c r="A7187">
        <v>8087</v>
      </c>
      <c r="B7187" t="s">
        <v>531</v>
      </c>
      <c r="C7187">
        <v>412</v>
      </c>
      <c r="D7187">
        <v>485</v>
      </c>
      <c r="E7187">
        <v>0</v>
      </c>
      <c r="F7187">
        <v>286</v>
      </c>
      <c r="G7187">
        <v>0</v>
      </c>
      <c r="H7187" t="s">
        <v>12106</v>
      </c>
      <c r="I7187">
        <v>8087</v>
      </c>
      <c r="J7187" t="e">
        <f>VLOOKUP(E7187,DSSpieler!A:B,2,FALSE)</f>
        <v>#N/A</v>
      </c>
    </row>
    <row r="7188" spans="1:10" x14ac:dyDescent="0.25">
      <c r="A7188">
        <v>8088</v>
      </c>
      <c r="B7188" t="s">
        <v>33294</v>
      </c>
      <c r="C7188">
        <v>479</v>
      </c>
      <c r="D7188">
        <v>584</v>
      </c>
      <c r="E7188">
        <v>1577092645</v>
      </c>
      <c r="F7188">
        <v>184</v>
      </c>
      <c r="G7188">
        <v>0</v>
      </c>
      <c r="H7188" t="s">
        <v>12107</v>
      </c>
      <c r="I7188">
        <v>8088</v>
      </c>
      <c r="J7188" t="str">
        <f>VLOOKUP(E7188,DSSpieler!A:B,2,FALSE)</f>
        <v>Ritter von Rost</v>
      </c>
    </row>
    <row r="7189" spans="1:10" x14ac:dyDescent="0.25">
      <c r="A7189">
        <v>8089</v>
      </c>
      <c r="B7189" t="s">
        <v>33295</v>
      </c>
      <c r="C7189">
        <v>482</v>
      </c>
      <c r="D7189">
        <v>599</v>
      </c>
      <c r="E7189">
        <v>1577093582</v>
      </c>
      <c r="F7189">
        <v>210</v>
      </c>
      <c r="G7189">
        <v>0</v>
      </c>
      <c r="H7189" t="s">
        <v>12108</v>
      </c>
      <c r="I7189">
        <v>8089</v>
      </c>
      <c r="J7189" t="str">
        <f>VLOOKUP(E7189,DSSpieler!A:B,2,FALSE)</f>
        <v>Haima07</v>
      </c>
    </row>
    <row r="7190" spans="1:10" x14ac:dyDescent="0.25">
      <c r="A7190">
        <v>8090</v>
      </c>
      <c r="B7190" t="s">
        <v>33296</v>
      </c>
      <c r="C7190">
        <v>451</v>
      </c>
      <c r="D7190">
        <v>571</v>
      </c>
      <c r="E7190">
        <v>1577093641</v>
      </c>
      <c r="F7190">
        <v>4198</v>
      </c>
      <c r="G7190">
        <v>0</v>
      </c>
      <c r="H7190" t="s">
        <v>12109</v>
      </c>
      <c r="I7190">
        <v>8090</v>
      </c>
      <c r="J7190" t="str">
        <f>VLOOKUP(E7190,DSSpieler!A:B,2,FALSE)</f>
        <v>Lagger04</v>
      </c>
    </row>
    <row r="7191" spans="1:10" x14ac:dyDescent="0.25">
      <c r="A7191">
        <v>8092</v>
      </c>
      <c r="B7191" t="s">
        <v>531</v>
      </c>
      <c r="C7191">
        <v>535</v>
      </c>
      <c r="D7191">
        <v>422</v>
      </c>
      <c r="E7191">
        <v>0</v>
      </c>
      <c r="F7191">
        <v>435</v>
      </c>
      <c r="G7191">
        <v>0</v>
      </c>
      <c r="H7191" t="s">
        <v>12110</v>
      </c>
      <c r="I7191">
        <v>8092</v>
      </c>
      <c r="J7191" t="e">
        <f>VLOOKUP(E7191,DSSpieler!A:B,2,FALSE)</f>
        <v>#N/A</v>
      </c>
    </row>
    <row r="7192" spans="1:10" x14ac:dyDescent="0.25">
      <c r="A7192">
        <v>8093</v>
      </c>
      <c r="B7192" t="s">
        <v>531</v>
      </c>
      <c r="C7192">
        <v>441</v>
      </c>
      <c r="D7192">
        <v>435</v>
      </c>
      <c r="E7192">
        <v>0</v>
      </c>
      <c r="F7192">
        <v>59</v>
      </c>
      <c r="G7192">
        <v>0</v>
      </c>
      <c r="H7192" t="s">
        <v>12111</v>
      </c>
      <c r="I7192">
        <v>8093</v>
      </c>
      <c r="J7192" t="e">
        <f>VLOOKUP(E7192,DSSpieler!A:B,2,FALSE)</f>
        <v>#N/A</v>
      </c>
    </row>
    <row r="7193" spans="1:10" x14ac:dyDescent="0.25">
      <c r="A7193">
        <v>8095</v>
      </c>
      <c r="B7193" t="s">
        <v>531</v>
      </c>
      <c r="C7193">
        <v>585</v>
      </c>
      <c r="D7193">
        <v>479</v>
      </c>
      <c r="E7193">
        <v>0</v>
      </c>
      <c r="F7193">
        <v>272</v>
      </c>
      <c r="G7193">
        <v>0</v>
      </c>
      <c r="H7193" t="s">
        <v>12112</v>
      </c>
      <c r="I7193">
        <v>8095</v>
      </c>
      <c r="J7193" t="e">
        <f>VLOOKUP(E7193,DSSpieler!A:B,2,FALSE)</f>
        <v>#N/A</v>
      </c>
    </row>
    <row r="7194" spans="1:10" x14ac:dyDescent="0.25">
      <c r="A7194">
        <v>8096</v>
      </c>
      <c r="B7194">
        <v>2</v>
      </c>
      <c r="C7194">
        <v>437</v>
      </c>
      <c r="D7194">
        <v>439</v>
      </c>
      <c r="E7194">
        <v>1576826598</v>
      </c>
      <c r="F7194">
        <v>3115</v>
      </c>
      <c r="G7194">
        <v>0</v>
      </c>
      <c r="H7194" t="s">
        <v>12113</v>
      </c>
      <c r="I7194">
        <v>8096</v>
      </c>
      <c r="J7194" t="str">
        <f>VLOOKUP(E7194,DSSpieler!A:B,2,FALSE)</f>
        <v>Rainer Wahnsinn</v>
      </c>
    </row>
    <row r="7195" spans="1:10" x14ac:dyDescent="0.25">
      <c r="A7195">
        <v>8097</v>
      </c>
      <c r="B7195" t="s">
        <v>531</v>
      </c>
      <c r="C7195">
        <v>435</v>
      </c>
      <c r="D7195">
        <v>557</v>
      </c>
      <c r="E7195">
        <v>0</v>
      </c>
      <c r="F7195">
        <v>454</v>
      </c>
      <c r="G7195">
        <v>0</v>
      </c>
      <c r="H7195" t="s">
        <v>12114</v>
      </c>
      <c r="I7195">
        <v>8097</v>
      </c>
      <c r="J7195" t="e">
        <f>VLOOKUP(E7195,DSSpieler!A:B,2,FALSE)</f>
        <v>#N/A</v>
      </c>
    </row>
    <row r="7196" spans="1:10" x14ac:dyDescent="0.25">
      <c r="A7196">
        <v>8098</v>
      </c>
      <c r="B7196" t="s">
        <v>531</v>
      </c>
      <c r="C7196">
        <v>443</v>
      </c>
      <c r="D7196">
        <v>566</v>
      </c>
      <c r="E7196">
        <v>0</v>
      </c>
      <c r="F7196">
        <v>155</v>
      </c>
      <c r="G7196">
        <v>0</v>
      </c>
      <c r="H7196" t="s">
        <v>12115</v>
      </c>
      <c r="I7196">
        <v>8098</v>
      </c>
      <c r="J7196" t="e">
        <f>VLOOKUP(E7196,DSSpieler!A:B,2,FALSE)</f>
        <v>#N/A</v>
      </c>
    </row>
    <row r="7197" spans="1:10" x14ac:dyDescent="0.25">
      <c r="A7197">
        <v>8099</v>
      </c>
      <c r="B7197" t="s">
        <v>531</v>
      </c>
      <c r="C7197">
        <v>438</v>
      </c>
      <c r="D7197">
        <v>439</v>
      </c>
      <c r="E7197">
        <v>0</v>
      </c>
      <c r="F7197">
        <v>300</v>
      </c>
      <c r="G7197">
        <v>0</v>
      </c>
      <c r="H7197" t="s">
        <v>12116</v>
      </c>
      <c r="I7197">
        <v>8099</v>
      </c>
      <c r="J7197" t="e">
        <f>VLOOKUP(E7197,DSSpieler!A:B,2,FALSE)</f>
        <v>#N/A</v>
      </c>
    </row>
    <row r="7198" spans="1:10" x14ac:dyDescent="0.25">
      <c r="A7198">
        <v>8100</v>
      </c>
      <c r="B7198" t="s">
        <v>33297</v>
      </c>
      <c r="C7198">
        <v>527</v>
      </c>
      <c r="D7198">
        <v>583</v>
      </c>
      <c r="E7198">
        <v>1577099364</v>
      </c>
      <c r="F7198">
        <v>348</v>
      </c>
      <c r="G7198">
        <v>0</v>
      </c>
      <c r="H7198" t="s">
        <v>12117</v>
      </c>
      <c r="I7198">
        <v>8100</v>
      </c>
      <c r="J7198" t="str">
        <f>VLOOKUP(E7198,DSSpieler!A:B,2,FALSE)</f>
        <v>saltypalms</v>
      </c>
    </row>
    <row r="7199" spans="1:10" x14ac:dyDescent="0.25">
      <c r="A7199">
        <v>8101</v>
      </c>
      <c r="B7199" t="s">
        <v>33298</v>
      </c>
      <c r="C7199">
        <v>531</v>
      </c>
      <c r="D7199">
        <v>579</v>
      </c>
      <c r="E7199">
        <v>10229642</v>
      </c>
      <c r="F7199">
        <v>4629</v>
      </c>
      <c r="G7199">
        <v>0</v>
      </c>
      <c r="H7199" t="s">
        <v>12118</v>
      </c>
      <c r="I7199">
        <v>8101</v>
      </c>
      <c r="J7199" t="str">
        <f>VLOOKUP(E7199,DSSpieler!A:B,2,FALSE)</f>
        <v>Tollpatsch 5</v>
      </c>
    </row>
    <row r="7200" spans="1:10" x14ac:dyDescent="0.25">
      <c r="A7200">
        <v>8103</v>
      </c>
      <c r="B7200" t="s">
        <v>531</v>
      </c>
      <c r="C7200">
        <v>495</v>
      </c>
      <c r="D7200">
        <v>412</v>
      </c>
      <c r="E7200">
        <v>0</v>
      </c>
      <c r="F7200">
        <v>218</v>
      </c>
      <c r="G7200">
        <v>0</v>
      </c>
      <c r="H7200" t="s">
        <v>12119</v>
      </c>
      <c r="I7200">
        <v>8103</v>
      </c>
      <c r="J7200" t="e">
        <f>VLOOKUP(E7200,DSSpieler!A:B,2,FALSE)</f>
        <v>#N/A</v>
      </c>
    </row>
    <row r="7201" spans="1:10" x14ac:dyDescent="0.25">
      <c r="A7201">
        <v>8104</v>
      </c>
      <c r="B7201" t="s">
        <v>1693</v>
      </c>
      <c r="C7201">
        <v>587</v>
      </c>
      <c r="D7201">
        <v>498</v>
      </c>
      <c r="E7201">
        <v>1576821170</v>
      </c>
      <c r="F7201">
        <v>4250</v>
      </c>
      <c r="G7201">
        <v>0</v>
      </c>
      <c r="H7201" t="s">
        <v>12120</v>
      </c>
      <c r="I7201">
        <v>8104</v>
      </c>
      <c r="J7201" t="str">
        <f>VLOOKUP(E7201,DSSpieler!A:B,2,FALSE)</f>
        <v>SirHiglod</v>
      </c>
    </row>
    <row r="7202" spans="1:10" x14ac:dyDescent="0.25">
      <c r="A7202">
        <v>8105</v>
      </c>
      <c r="B7202" t="s">
        <v>1694</v>
      </c>
      <c r="C7202">
        <v>488</v>
      </c>
      <c r="D7202">
        <v>398</v>
      </c>
      <c r="E7202">
        <v>1577102818</v>
      </c>
      <c r="F7202">
        <v>3188</v>
      </c>
      <c r="G7202">
        <v>0</v>
      </c>
      <c r="H7202" t="s">
        <v>12121</v>
      </c>
      <c r="I7202">
        <v>8105</v>
      </c>
      <c r="J7202" t="str">
        <f>VLOOKUP(E7202,DSSpieler!A:B,2,FALSE)</f>
        <v>Jay Korota</v>
      </c>
    </row>
    <row r="7203" spans="1:10" x14ac:dyDescent="0.25">
      <c r="A7203">
        <v>8106</v>
      </c>
      <c r="B7203" t="s">
        <v>33299</v>
      </c>
      <c r="C7203">
        <v>413</v>
      </c>
      <c r="D7203">
        <v>505</v>
      </c>
      <c r="E7203">
        <v>1577174186</v>
      </c>
      <c r="F7203">
        <v>3115</v>
      </c>
      <c r="G7203">
        <v>0</v>
      </c>
      <c r="H7203" t="s">
        <v>12122</v>
      </c>
      <c r="I7203">
        <v>8106</v>
      </c>
      <c r="J7203" t="str">
        <f>VLOOKUP(E7203,DSSpieler!A:B,2,FALSE)</f>
        <v>TuTsckin Dark</v>
      </c>
    </row>
    <row r="7204" spans="1:10" x14ac:dyDescent="0.25">
      <c r="A7204">
        <v>8107</v>
      </c>
      <c r="B7204" t="s">
        <v>531</v>
      </c>
      <c r="C7204">
        <v>587</v>
      </c>
      <c r="D7204">
        <v>510</v>
      </c>
      <c r="E7204">
        <v>0</v>
      </c>
      <c r="F7204">
        <v>537</v>
      </c>
      <c r="G7204">
        <v>0</v>
      </c>
      <c r="H7204" t="s">
        <v>12123</v>
      </c>
      <c r="I7204">
        <v>8107</v>
      </c>
      <c r="J7204" t="e">
        <f>VLOOKUP(E7204,DSSpieler!A:B,2,FALSE)</f>
        <v>#N/A</v>
      </c>
    </row>
    <row r="7205" spans="1:10" x14ac:dyDescent="0.25">
      <c r="A7205">
        <v>8108</v>
      </c>
      <c r="B7205" t="s">
        <v>531</v>
      </c>
      <c r="C7205">
        <v>587</v>
      </c>
      <c r="D7205">
        <v>501</v>
      </c>
      <c r="E7205">
        <v>0</v>
      </c>
      <c r="F7205">
        <v>220</v>
      </c>
      <c r="G7205">
        <v>0</v>
      </c>
      <c r="H7205" t="s">
        <v>12124</v>
      </c>
      <c r="I7205">
        <v>8108</v>
      </c>
      <c r="J7205" t="e">
        <f>VLOOKUP(E7205,DSSpieler!A:B,2,FALSE)</f>
        <v>#N/A</v>
      </c>
    </row>
    <row r="7206" spans="1:10" x14ac:dyDescent="0.25">
      <c r="A7206">
        <v>8109</v>
      </c>
      <c r="B7206" t="s">
        <v>35843</v>
      </c>
      <c r="C7206">
        <v>585</v>
      </c>
      <c r="D7206">
        <v>481</v>
      </c>
      <c r="E7206">
        <v>1577197351</v>
      </c>
      <c r="F7206">
        <v>3623</v>
      </c>
      <c r="G7206">
        <v>0</v>
      </c>
      <c r="H7206" t="s">
        <v>12125</v>
      </c>
      <c r="I7206">
        <v>8109</v>
      </c>
      <c r="J7206" t="str">
        <f>VLOOKUP(E7206,DSSpieler!A:B,2,FALSE)</f>
        <v>halllloooo</v>
      </c>
    </row>
    <row r="7207" spans="1:10" x14ac:dyDescent="0.25">
      <c r="A7207">
        <v>8110</v>
      </c>
      <c r="B7207" t="s">
        <v>531</v>
      </c>
      <c r="C7207">
        <v>438</v>
      </c>
      <c r="D7207">
        <v>496</v>
      </c>
      <c r="E7207">
        <v>0</v>
      </c>
      <c r="F7207">
        <v>532</v>
      </c>
      <c r="G7207">
        <v>0</v>
      </c>
      <c r="H7207" t="s">
        <v>12126</v>
      </c>
      <c r="I7207">
        <v>8110</v>
      </c>
      <c r="J7207" t="e">
        <f>VLOOKUP(E7207,DSSpieler!A:B,2,FALSE)</f>
        <v>#N/A</v>
      </c>
    </row>
    <row r="7208" spans="1:10" x14ac:dyDescent="0.25">
      <c r="A7208">
        <v>8111</v>
      </c>
      <c r="B7208" t="s">
        <v>531</v>
      </c>
      <c r="C7208">
        <v>491</v>
      </c>
      <c r="D7208">
        <v>587</v>
      </c>
      <c r="E7208">
        <v>0</v>
      </c>
      <c r="F7208">
        <v>238</v>
      </c>
      <c r="G7208">
        <v>0</v>
      </c>
      <c r="H7208" t="s">
        <v>12127</v>
      </c>
      <c r="I7208">
        <v>8111</v>
      </c>
      <c r="J7208" t="e">
        <f>VLOOKUP(E7208,DSSpieler!A:B,2,FALSE)</f>
        <v>#N/A</v>
      </c>
    </row>
    <row r="7209" spans="1:10" x14ac:dyDescent="0.25">
      <c r="A7209">
        <v>8112</v>
      </c>
      <c r="B7209" t="s">
        <v>531</v>
      </c>
      <c r="C7209">
        <v>574</v>
      </c>
      <c r="D7209">
        <v>544</v>
      </c>
      <c r="E7209">
        <v>0</v>
      </c>
      <c r="F7209">
        <v>518</v>
      </c>
      <c r="G7209">
        <v>0</v>
      </c>
      <c r="H7209" t="s">
        <v>12128</v>
      </c>
      <c r="I7209">
        <v>8112</v>
      </c>
      <c r="J7209" t="e">
        <f>VLOOKUP(E7209,DSSpieler!A:B,2,FALSE)</f>
        <v>#N/A</v>
      </c>
    </row>
    <row r="7210" spans="1:10" x14ac:dyDescent="0.25">
      <c r="A7210">
        <v>8113</v>
      </c>
      <c r="B7210" t="s">
        <v>33300</v>
      </c>
      <c r="C7210">
        <v>456</v>
      </c>
      <c r="D7210">
        <v>505</v>
      </c>
      <c r="E7210">
        <v>1577197485</v>
      </c>
      <c r="F7210">
        <v>4322</v>
      </c>
      <c r="G7210">
        <v>0</v>
      </c>
      <c r="H7210" t="s">
        <v>12129</v>
      </c>
      <c r="I7210">
        <v>8113</v>
      </c>
      <c r="J7210" t="str">
        <f>VLOOKUP(E7210,DSSpieler!A:B,2,FALSE)</f>
        <v>ggborat</v>
      </c>
    </row>
    <row r="7211" spans="1:10" x14ac:dyDescent="0.25">
      <c r="A7211">
        <v>8114</v>
      </c>
      <c r="B7211" t="s">
        <v>531</v>
      </c>
      <c r="C7211">
        <v>462</v>
      </c>
      <c r="D7211">
        <v>422</v>
      </c>
      <c r="E7211">
        <v>0</v>
      </c>
      <c r="F7211">
        <v>430</v>
      </c>
      <c r="G7211">
        <v>0</v>
      </c>
      <c r="H7211" t="s">
        <v>12130</v>
      </c>
      <c r="I7211">
        <v>8114</v>
      </c>
      <c r="J7211" t="e">
        <f>VLOOKUP(E7211,DSSpieler!A:B,2,FALSE)</f>
        <v>#N/A</v>
      </c>
    </row>
    <row r="7212" spans="1:10" x14ac:dyDescent="0.25">
      <c r="A7212">
        <v>8115</v>
      </c>
      <c r="B7212" t="s">
        <v>531</v>
      </c>
      <c r="C7212">
        <v>550</v>
      </c>
      <c r="D7212">
        <v>427</v>
      </c>
      <c r="E7212">
        <v>0</v>
      </c>
      <c r="F7212">
        <v>173</v>
      </c>
      <c r="G7212">
        <v>0</v>
      </c>
      <c r="H7212" t="s">
        <v>12131</v>
      </c>
      <c r="I7212">
        <v>8115</v>
      </c>
      <c r="J7212" t="e">
        <f>VLOOKUP(E7212,DSSpieler!A:B,2,FALSE)</f>
        <v>#N/A</v>
      </c>
    </row>
    <row r="7213" spans="1:10" x14ac:dyDescent="0.25">
      <c r="A7213">
        <v>8116</v>
      </c>
      <c r="B7213" t="s">
        <v>531</v>
      </c>
      <c r="C7213">
        <v>588</v>
      </c>
      <c r="D7213">
        <v>489</v>
      </c>
      <c r="E7213">
        <v>0</v>
      </c>
      <c r="F7213">
        <v>238</v>
      </c>
      <c r="G7213">
        <v>0</v>
      </c>
      <c r="H7213" t="s">
        <v>12132</v>
      </c>
      <c r="I7213">
        <v>8116</v>
      </c>
      <c r="J7213" t="e">
        <f>VLOOKUP(E7213,DSSpieler!A:B,2,FALSE)</f>
        <v>#N/A</v>
      </c>
    </row>
    <row r="7214" spans="1:10" x14ac:dyDescent="0.25">
      <c r="A7214">
        <v>8117</v>
      </c>
      <c r="B7214" t="s">
        <v>1695</v>
      </c>
      <c r="C7214">
        <v>486</v>
      </c>
      <c r="D7214">
        <v>586</v>
      </c>
      <c r="E7214">
        <v>9964090</v>
      </c>
      <c r="F7214">
        <v>4714</v>
      </c>
      <c r="G7214">
        <v>0</v>
      </c>
      <c r="H7214" t="s">
        <v>12133</v>
      </c>
      <c r="I7214">
        <v>8117</v>
      </c>
      <c r="J7214" t="str">
        <f>VLOOKUP(E7214,DSSpieler!A:B,2,FALSE)</f>
        <v>Abelos</v>
      </c>
    </row>
    <row r="7215" spans="1:10" x14ac:dyDescent="0.25">
      <c r="A7215">
        <v>8118</v>
      </c>
      <c r="B7215" t="s">
        <v>531</v>
      </c>
      <c r="C7215">
        <v>588</v>
      </c>
      <c r="D7215">
        <v>504</v>
      </c>
      <c r="E7215">
        <v>0</v>
      </c>
      <c r="F7215">
        <v>505</v>
      </c>
      <c r="G7215">
        <v>0</v>
      </c>
      <c r="H7215" t="s">
        <v>12134</v>
      </c>
      <c r="I7215">
        <v>8118</v>
      </c>
      <c r="J7215" t="e">
        <f>VLOOKUP(E7215,DSSpieler!A:B,2,FALSE)</f>
        <v>#N/A</v>
      </c>
    </row>
    <row r="7216" spans="1:10" x14ac:dyDescent="0.25">
      <c r="A7216">
        <v>8119</v>
      </c>
      <c r="B7216" t="s">
        <v>531</v>
      </c>
      <c r="C7216">
        <v>415</v>
      </c>
      <c r="D7216">
        <v>560</v>
      </c>
      <c r="E7216">
        <v>0</v>
      </c>
      <c r="F7216">
        <v>755</v>
      </c>
      <c r="G7216">
        <v>0</v>
      </c>
      <c r="H7216" t="s">
        <v>12135</v>
      </c>
      <c r="I7216">
        <v>8119</v>
      </c>
      <c r="J7216" t="e">
        <f>VLOOKUP(E7216,DSSpieler!A:B,2,FALSE)</f>
        <v>#N/A</v>
      </c>
    </row>
    <row r="7217" spans="1:10" x14ac:dyDescent="0.25">
      <c r="A7217">
        <v>8120</v>
      </c>
      <c r="B7217" t="s">
        <v>673</v>
      </c>
      <c r="C7217">
        <v>586</v>
      </c>
      <c r="D7217">
        <v>483</v>
      </c>
      <c r="E7217">
        <v>1515548</v>
      </c>
      <c r="F7217">
        <v>2797</v>
      </c>
      <c r="G7217">
        <v>0</v>
      </c>
      <c r="H7217" t="s">
        <v>12136</v>
      </c>
      <c r="I7217">
        <v>8120</v>
      </c>
      <c r="J7217" t="str">
        <f>VLOOKUP(E7217,DSSpieler!A:B,2,FALSE)</f>
        <v>Störfaktor</v>
      </c>
    </row>
    <row r="7218" spans="1:10" x14ac:dyDescent="0.25">
      <c r="A7218">
        <v>8121</v>
      </c>
      <c r="B7218" t="s">
        <v>531</v>
      </c>
      <c r="C7218">
        <v>571</v>
      </c>
      <c r="D7218">
        <v>452</v>
      </c>
      <c r="E7218">
        <v>0</v>
      </c>
      <c r="F7218">
        <v>260</v>
      </c>
      <c r="G7218">
        <v>0</v>
      </c>
      <c r="H7218" t="s">
        <v>12137</v>
      </c>
      <c r="I7218">
        <v>8121</v>
      </c>
      <c r="J7218" t="e">
        <f>VLOOKUP(E7218,DSSpieler!A:B,2,FALSE)</f>
        <v>#N/A</v>
      </c>
    </row>
    <row r="7219" spans="1:10" x14ac:dyDescent="0.25">
      <c r="A7219">
        <v>8122</v>
      </c>
      <c r="B7219" t="s">
        <v>33301</v>
      </c>
      <c r="C7219">
        <v>415</v>
      </c>
      <c r="D7219">
        <v>523</v>
      </c>
      <c r="E7219">
        <v>1577114186</v>
      </c>
      <c r="F7219">
        <v>3355</v>
      </c>
      <c r="G7219">
        <v>0</v>
      </c>
      <c r="H7219" t="s">
        <v>12138</v>
      </c>
      <c r="I7219">
        <v>8122</v>
      </c>
      <c r="J7219" t="str">
        <f>VLOOKUP(E7219,DSSpieler!A:B,2,FALSE)</f>
        <v>gruber</v>
      </c>
    </row>
    <row r="7220" spans="1:10" x14ac:dyDescent="0.25">
      <c r="A7220">
        <v>8123</v>
      </c>
      <c r="B7220" t="s">
        <v>531</v>
      </c>
      <c r="C7220">
        <v>417</v>
      </c>
      <c r="D7220">
        <v>533</v>
      </c>
      <c r="E7220">
        <v>0</v>
      </c>
      <c r="F7220">
        <v>171</v>
      </c>
      <c r="G7220">
        <v>0</v>
      </c>
      <c r="H7220" t="s">
        <v>12139</v>
      </c>
      <c r="I7220">
        <v>8123</v>
      </c>
      <c r="J7220" t="e">
        <f>VLOOKUP(E7220,DSSpieler!A:B,2,FALSE)</f>
        <v>#N/A</v>
      </c>
    </row>
    <row r="7221" spans="1:10" x14ac:dyDescent="0.25">
      <c r="A7221">
        <v>8124</v>
      </c>
      <c r="B7221" t="s">
        <v>531</v>
      </c>
      <c r="C7221">
        <v>588</v>
      </c>
      <c r="D7221">
        <v>508</v>
      </c>
      <c r="E7221">
        <v>0</v>
      </c>
      <c r="F7221">
        <v>212</v>
      </c>
      <c r="G7221">
        <v>0</v>
      </c>
      <c r="H7221" t="s">
        <v>12140</v>
      </c>
      <c r="I7221">
        <v>8124</v>
      </c>
      <c r="J7221" t="e">
        <f>VLOOKUP(E7221,DSSpieler!A:B,2,FALSE)</f>
        <v>#N/A</v>
      </c>
    </row>
    <row r="7222" spans="1:10" x14ac:dyDescent="0.25">
      <c r="A7222">
        <v>8125</v>
      </c>
      <c r="B7222" t="s">
        <v>531</v>
      </c>
      <c r="C7222">
        <v>413</v>
      </c>
      <c r="D7222">
        <v>514</v>
      </c>
      <c r="E7222">
        <v>0</v>
      </c>
      <c r="F7222">
        <v>229</v>
      </c>
      <c r="G7222">
        <v>0</v>
      </c>
      <c r="H7222" t="s">
        <v>12141</v>
      </c>
      <c r="I7222">
        <v>8125</v>
      </c>
      <c r="J7222" t="e">
        <f>VLOOKUP(E7222,DSSpieler!A:B,2,FALSE)</f>
        <v>#N/A</v>
      </c>
    </row>
    <row r="7223" spans="1:10" x14ac:dyDescent="0.25">
      <c r="A7223">
        <v>8127</v>
      </c>
      <c r="B7223" t="s">
        <v>531</v>
      </c>
      <c r="C7223">
        <v>541</v>
      </c>
      <c r="D7223">
        <v>576</v>
      </c>
      <c r="E7223">
        <v>0</v>
      </c>
      <c r="F7223">
        <v>139</v>
      </c>
      <c r="G7223">
        <v>0</v>
      </c>
      <c r="H7223" t="s">
        <v>12142</v>
      </c>
      <c r="I7223">
        <v>8127</v>
      </c>
      <c r="J7223" t="e">
        <f>VLOOKUP(E7223,DSSpieler!A:B,2,FALSE)</f>
        <v>#N/A</v>
      </c>
    </row>
    <row r="7224" spans="1:10" x14ac:dyDescent="0.25">
      <c r="A7224">
        <v>8128</v>
      </c>
      <c r="B7224" t="s">
        <v>531</v>
      </c>
      <c r="C7224">
        <v>543</v>
      </c>
      <c r="D7224">
        <v>576</v>
      </c>
      <c r="E7224">
        <v>0</v>
      </c>
      <c r="F7224">
        <v>234</v>
      </c>
      <c r="G7224">
        <v>0</v>
      </c>
      <c r="H7224" t="s">
        <v>12143</v>
      </c>
      <c r="I7224">
        <v>8128</v>
      </c>
      <c r="J7224" t="e">
        <f>VLOOKUP(E7224,DSSpieler!A:B,2,FALSE)</f>
        <v>#N/A</v>
      </c>
    </row>
    <row r="7225" spans="1:10" x14ac:dyDescent="0.25">
      <c r="A7225">
        <v>8129</v>
      </c>
      <c r="B7225" t="s">
        <v>33302</v>
      </c>
      <c r="C7225">
        <v>580</v>
      </c>
      <c r="D7225">
        <v>464</v>
      </c>
      <c r="E7225">
        <v>1577198126</v>
      </c>
      <c r="F7225">
        <v>5324</v>
      </c>
      <c r="G7225">
        <v>0</v>
      </c>
      <c r="H7225" t="s">
        <v>12144</v>
      </c>
      <c r="I7225">
        <v>8129</v>
      </c>
      <c r="J7225" t="str">
        <f>VLOOKUP(E7225,DSSpieler!A:B,2,FALSE)</f>
        <v>Der Besorger</v>
      </c>
    </row>
    <row r="7226" spans="1:10" x14ac:dyDescent="0.25">
      <c r="A7226">
        <v>8131</v>
      </c>
      <c r="B7226" t="s">
        <v>531</v>
      </c>
      <c r="C7226">
        <v>543</v>
      </c>
      <c r="D7226">
        <v>577</v>
      </c>
      <c r="E7226">
        <v>0</v>
      </c>
      <c r="F7226">
        <v>313</v>
      </c>
      <c r="G7226">
        <v>0</v>
      </c>
      <c r="H7226" t="s">
        <v>12145</v>
      </c>
      <c r="I7226">
        <v>8131</v>
      </c>
      <c r="J7226" t="e">
        <f>VLOOKUP(E7226,DSSpieler!A:B,2,FALSE)</f>
        <v>#N/A</v>
      </c>
    </row>
    <row r="7227" spans="1:10" x14ac:dyDescent="0.25">
      <c r="A7227">
        <v>8132</v>
      </c>
      <c r="B7227" t="s">
        <v>531</v>
      </c>
      <c r="C7227">
        <v>456</v>
      </c>
      <c r="D7227">
        <v>425</v>
      </c>
      <c r="E7227">
        <v>0</v>
      </c>
      <c r="F7227">
        <v>341</v>
      </c>
      <c r="G7227">
        <v>0</v>
      </c>
      <c r="H7227" t="s">
        <v>12146</v>
      </c>
      <c r="I7227">
        <v>8132</v>
      </c>
      <c r="J7227" t="e">
        <f>VLOOKUP(E7227,DSSpieler!A:B,2,FALSE)</f>
        <v>#N/A</v>
      </c>
    </row>
    <row r="7228" spans="1:10" x14ac:dyDescent="0.25">
      <c r="A7228">
        <v>8133</v>
      </c>
      <c r="B7228" t="s">
        <v>531</v>
      </c>
      <c r="C7228">
        <v>584</v>
      </c>
      <c r="D7228">
        <v>532</v>
      </c>
      <c r="E7228">
        <v>0</v>
      </c>
      <c r="F7228">
        <v>427</v>
      </c>
      <c r="G7228">
        <v>0</v>
      </c>
      <c r="H7228" t="s">
        <v>12147</v>
      </c>
      <c r="I7228">
        <v>8133</v>
      </c>
      <c r="J7228" t="e">
        <f>VLOOKUP(E7228,DSSpieler!A:B,2,FALSE)</f>
        <v>#N/A</v>
      </c>
    </row>
    <row r="7229" spans="1:10" x14ac:dyDescent="0.25">
      <c r="A7229">
        <v>8134</v>
      </c>
      <c r="B7229" t="s">
        <v>33303</v>
      </c>
      <c r="C7229">
        <v>412</v>
      </c>
      <c r="D7229">
        <v>560</v>
      </c>
      <c r="E7229">
        <v>1577121032</v>
      </c>
      <c r="F7229">
        <v>1901</v>
      </c>
      <c r="G7229">
        <v>0</v>
      </c>
      <c r="H7229" t="s">
        <v>12148</v>
      </c>
      <c r="I7229">
        <v>8134</v>
      </c>
      <c r="J7229" t="str">
        <f>VLOOKUP(E7229,DSSpieler!A:B,2,FALSE)</f>
        <v>stark2019</v>
      </c>
    </row>
    <row r="7230" spans="1:10" x14ac:dyDescent="0.25">
      <c r="A7230">
        <v>8135</v>
      </c>
      <c r="B7230" t="s">
        <v>531</v>
      </c>
      <c r="C7230">
        <v>580</v>
      </c>
      <c r="D7230">
        <v>454</v>
      </c>
      <c r="E7230">
        <v>0</v>
      </c>
      <c r="F7230">
        <v>540</v>
      </c>
      <c r="G7230">
        <v>0</v>
      </c>
      <c r="H7230" t="s">
        <v>12149</v>
      </c>
      <c r="I7230">
        <v>8135</v>
      </c>
      <c r="J7230" t="e">
        <f>VLOOKUP(E7230,DSSpieler!A:B,2,FALSE)</f>
        <v>#N/A</v>
      </c>
    </row>
    <row r="7231" spans="1:10" x14ac:dyDescent="0.25">
      <c r="A7231">
        <v>8136</v>
      </c>
      <c r="B7231" t="s">
        <v>531</v>
      </c>
      <c r="C7231">
        <v>414</v>
      </c>
      <c r="D7231">
        <v>482</v>
      </c>
      <c r="E7231">
        <v>0</v>
      </c>
      <c r="F7231">
        <v>197</v>
      </c>
      <c r="G7231">
        <v>0</v>
      </c>
      <c r="H7231" t="s">
        <v>12150</v>
      </c>
      <c r="I7231">
        <v>8136</v>
      </c>
      <c r="J7231" t="e">
        <f>VLOOKUP(E7231,DSSpieler!A:B,2,FALSE)</f>
        <v>#N/A</v>
      </c>
    </row>
    <row r="7232" spans="1:10" x14ac:dyDescent="0.25">
      <c r="A7232">
        <v>8137</v>
      </c>
      <c r="B7232" t="s">
        <v>531</v>
      </c>
      <c r="C7232">
        <v>578</v>
      </c>
      <c r="D7232">
        <v>541</v>
      </c>
      <c r="E7232">
        <v>0</v>
      </c>
      <c r="F7232">
        <v>226</v>
      </c>
      <c r="G7232">
        <v>0</v>
      </c>
      <c r="H7232" t="s">
        <v>12151</v>
      </c>
      <c r="I7232">
        <v>8137</v>
      </c>
      <c r="J7232" t="e">
        <f>VLOOKUP(E7232,DSSpieler!A:B,2,FALSE)</f>
        <v>#N/A</v>
      </c>
    </row>
    <row r="7233" spans="1:10" x14ac:dyDescent="0.25">
      <c r="A7233">
        <v>8138</v>
      </c>
      <c r="B7233" t="s">
        <v>531</v>
      </c>
      <c r="C7233">
        <v>533</v>
      </c>
      <c r="D7233">
        <v>580</v>
      </c>
      <c r="E7233">
        <v>0</v>
      </c>
      <c r="F7233">
        <v>335</v>
      </c>
      <c r="G7233">
        <v>0</v>
      </c>
      <c r="H7233" t="s">
        <v>12152</v>
      </c>
      <c r="I7233">
        <v>8138</v>
      </c>
      <c r="J7233" t="e">
        <f>VLOOKUP(E7233,DSSpieler!A:B,2,FALSE)</f>
        <v>#N/A</v>
      </c>
    </row>
    <row r="7234" spans="1:10" x14ac:dyDescent="0.25">
      <c r="A7234">
        <v>8139</v>
      </c>
      <c r="B7234" t="s">
        <v>33304</v>
      </c>
      <c r="C7234">
        <v>495</v>
      </c>
      <c r="D7234">
        <v>401</v>
      </c>
      <c r="E7234">
        <v>7645581</v>
      </c>
      <c r="F7234">
        <v>2674</v>
      </c>
      <c r="G7234">
        <v>0</v>
      </c>
      <c r="H7234" t="s">
        <v>12153</v>
      </c>
      <c r="I7234">
        <v>8139</v>
      </c>
      <c r="J7234" t="str">
        <f>VLOOKUP(E7234,DSSpieler!A:B,2,FALSE)</f>
        <v>zejwa</v>
      </c>
    </row>
    <row r="7235" spans="1:10" x14ac:dyDescent="0.25">
      <c r="A7235">
        <v>8140</v>
      </c>
      <c r="B7235" t="s">
        <v>531</v>
      </c>
      <c r="C7235">
        <v>568</v>
      </c>
      <c r="D7235">
        <v>444</v>
      </c>
      <c r="E7235">
        <v>0</v>
      </c>
      <c r="F7235">
        <v>582</v>
      </c>
      <c r="G7235">
        <v>0</v>
      </c>
      <c r="H7235" t="s">
        <v>12154</v>
      </c>
      <c r="I7235">
        <v>8140</v>
      </c>
      <c r="J7235" t="e">
        <f>VLOOKUP(E7235,DSSpieler!A:B,2,FALSE)</f>
        <v>#N/A</v>
      </c>
    </row>
    <row r="7236" spans="1:10" x14ac:dyDescent="0.25">
      <c r="A7236">
        <v>8141</v>
      </c>
      <c r="B7236" t="s">
        <v>531</v>
      </c>
      <c r="C7236">
        <v>412</v>
      </c>
      <c r="D7236">
        <v>497</v>
      </c>
      <c r="E7236">
        <v>0</v>
      </c>
      <c r="F7236">
        <v>208</v>
      </c>
      <c r="G7236">
        <v>0</v>
      </c>
      <c r="H7236" t="s">
        <v>12155</v>
      </c>
      <c r="I7236">
        <v>8141</v>
      </c>
      <c r="J7236" t="e">
        <f>VLOOKUP(E7236,DSSpieler!A:B,2,FALSE)</f>
        <v>#N/A</v>
      </c>
    </row>
    <row r="7237" spans="1:10" x14ac:dyDescent="0.25">
      <c r="A7237">
        <v>8142</v>
      </c>
      <c r="B7237" t="s">
        <v>531</v>
      </c>
      <c r="C7237">
        <v>484</v>
      </c>
      <c r="D7237">
        <v>416</v>
      </c>
      <c r="E7237">
        <v>0</v>
      </c>
      <c r="F7237">
        <v>233</v>
      </c>
      <c r="G7237">
        <v>0</v>
      </c>
      <c r="H7237" t="s">
        <v>12156</v>
      </c>
      <c r="I7237">
        <v>8142</v>
      </c>
      <c r="J7237" t="e">
        <f>VLOOKUP(E7237,DSSpieler!A:B,2,FALSE)</f>
        <v>#N/A</v>
      </c>
    </row>
    <row r="7238" spans="1:10" x14ac:dyDescent="0.25">
      <c r="A7238">
        <v>8143</v>
      </c>
      <c r="B7238" t="s">
        <v>33305</v>
      </c>
      <c r="C7238">
        <v>414</v>
      </c>
      <c r="D7238">
        <v>494</v>
      </c>
      <c r="E7238">
        <v>1577125689</v>
      </c>
      <c r="F7238">
        <v>5709</v>
      </c>
      <c r="G7238">
        <v>0</v>
      </c>
      <c r="H7238" t="s">
        <v>12157</v>
      </c>
      <c r="I7238">
        <v>8143</v>
      </c>
      <c r="J7238" t="str">
        <f>VLOOKUP(E7238,DSSpieler!A:B,2,FALSE)</f>
        <v>GoffyAufCrack</v>
      </c>
    </row>
    <row r="7239" spans="1:10" x14ac:dyDescent="0.25">
      <c r="A7239">
        <v>8144</v>
      </c>
      <c r="B7239" t="s">
        <v>33306</v>
      </c>
      <c r="C7239">
        <v>598</v>
      </c>
      <c r="D7239">
        <v>470</v>
      </c>
      <c r="E7239">
        <v>1577175387</v>
      </c>
      <c r="F7239">
        <v>7300</v>
      </c>
      <c r="G7239">
        <v>0</v>
      </c>
      <c r="H7239" t="s">
        <v>12158</v>
      </c>
      <c r="I7239">
        <v>8144</v>
      </c>
      <c r="J7239" t="str">
        <f>VLOOKUP(E7239,DSSpieler!A:B,2,FALSE)</f>
        <v>Rand*</v>
      </c>
    </row>
    <row r="7240" spans="1:10" x14ac:dyDescent="0.25">
      <c r="A7240">
        <v>8145</v>
      </c>
      <c r="B7240" t="s">
        <v>33307</v>
      </c>
      <c r="C7240">
        <v>511</v>
      </c>
      <c r="D7240">
        <v>412</v>
      </c>
      <c r="E7240">
        <v>1576679391</v>
      </c>
      <c r="F7240">
        <v>4901</v>
      </c>
      <c r="G7240">
        <v>0</v>
      </c>
      <c r="H7240" t="s">
        <v>12159</v>
      </c>
      <c r="I7240">
        <v>8145</v>
      </c>
      <c r="J7240" t="str">
        <f>VLOOKUP(E7240,DSSpieler!A:B,2,FALSE)</f>
        <v>Carol Beer</v>
      </c>
    </row>
    <row r="7241" spans="1:10" x14ac:dyDescent="0.25">
      <c r="A7241">
        <v>8146</v>
      </c>
      <c r="B7241" t="s">
        <v>1696</v>
      </c>
      <c r="C7241">
        <v>523</v>
      </c>
      <c r="D7241">
        <v>415</v>
      </c>
      <c r="E7241">
        <v>1576363407</v>
      </c>
      <c r="F7241">
        <v>3858</v>
      </c>
      <c r="G7241">
        <v>0</v>
      </c>
      <c r="H7241" t="s">
        <v>12160</v>
      </c>
      <c r="I7241">
        <v>8146</v>
      </c>
      <c r="J7241" t="str">
        <f>VLOOKUP(E7241,DSSpieler!A:B,2,FALSE)</f>
        <v>Weili25</v>
      </c>
    </row>
    <row r="7242" spans="1:10" x14ac:dyDescent="0.25">
      <c r="A7242">
        <v>8148</v>
      </c>
      <c r="B7242" t="s">
        <v>531</v>
      </c>
      <c r="C7242">
        <v>491</v>
      </c>
      <c r="D7242">
        <v>412</v>
      </c>
      <c r="E7242">
        <v>0</v>
      </c>
      <c r="F7242">
        <v>290</v>
      </c>
      <c r="G7242">
        <v>0</v>
      </c>
      <c r="H7242" t="s">
        <v>12161</v>
      </c>
      <c r="I7242">
        <v>8148</v>
      </c>
      <c r="J7242" t="e">
        <f>VLOOKUP(E7242,DSSpieler!A:B,2,FALSE)</f>
        <v>#N/A</v>
      </c>
    </row>
    <row r="7243" spans="1:10" x14ac:dyDescent="0.25">
      <c r="A7243">
        <v>8149</v>
      </c>
      <c r="B7243" t="s">
        <v>531</v>
      </c>
      <c r="C7243">
        <v>412</v>
      </c>
      <c r="D7243">
        <v>490</v>
      </c>
      <c r="E7243">
        <v>0</v>
      </c>
      <c r="F7243">
        <v>595</v>
      </c>
      <c r="G7243">
        <v>0</v>
      </c>
      <c r="H7243" t="s">
        <v>12162</v>
      </c>
      <c r="I7243">
        <v>8149</v>
      </c>
      <c r="J7243" t="e">
        <f>VLOOKUP(E7243,DSSpieler!A:B,2,FALSE)</f>
        <v>#N/A</v>
      </c>
    </row>
    <row r="7244" spans="1:10" x14ac:dyDescent="0.25">
      <c r="A7244">
        <v>8150</v>
      </c>
      <c r="B7244" t="s">
        <v>33308</v>
      </c>
      <c r="C7244">
        <v>575</v>
      </c>
      <c r="D7244">
        <v>441</v>
      </c>
      <c r="E7244">
        <v>10086232</v>
      </c>
      <c r="F7244">
        <v>3993</v>
      </c>
      <c r="G7244">
        <v>0</v>
      </c>
      <c r="H7244" t="s">
        <v>12163</v>
      </c>
      <c r="I7244">
        <v>8150</v>
      </c>
      <c r="J7244" t="str">
        <f>VLOOKUP(E7244,DSSpieler!A:B,2,FALSE)</f>
        <v>Stucki99</v>
      </c>
    </row>
    <row r="7245" spans="1:10" x14ac:dyDescent="0.25">
      <c r="A7245">
        <v>8151</v>
      </c>
      <c r="B7245" t="s">
        <v>1697</v>
      </c>
      <c r="C7245">
        <v>491</v>
      </c>
      <c r="D7245">
        <v>589</v>
      </c>
      <c r="E7245">
        <v>1577188163</v>
      </c>
      <c r="F7245">
        <v>2055</v>
      </c>
      <c r="G7245">
        <v>0</v>
      </c>
      <c r="H7245" t="s">
        <v>12164</v>
      </c>
      <c r="I7245">
        <v>8151</v>
      </c>
      <c r="J7245" t="str">
        <f>VLOOKUP(E7245,DSSpieler!A:B,2,FALSE)</f>
        <v>Fynnus Maximuhsus</v>
      </c>
    </row>
    <row r="7246" spans="1:10" x14ac:dyDescent="0.25">
      <c r="A7246">
        <v>8152</v>
      </c>
      <c r="B7246" t="s">
        <v>33309</v>
      </c>
      <c r="C7246">
        <v>584</v>
      </c>
      <c r="D7246">
        <v>469</v>
      </c>
      <c r="E7246">
        <v>1577131005</v>
      </c>
      <c r="F7246">
        <v>3462</v>
      </c>
      <c r="G7246">
        <v>0</v>
      </c>
      <c r="H7246" t="s">
        <v>12165</v>
      </c>
      <c r="I7246">
        <v>8152</v>
      </c>
      <c r="J7246" t="str">
        <f>VLOOKUP(E7246,DSSpieler!A:B,2,FALSE)</f>
        <v>cyber100</v>
      </c>
    </row>
    <row r="7247" spans="1:10" x14ac:dyDescent="0.25">
      <c r="A7247">
        <v>8153</v>
      </c>
      <c r="B7247" t="s">
        <v>531</v>
      </c>
      <c r="C7247">
        <v>461</v>
      </c>
      <c r="D7247">
        <v>579</v>
      </c>
      <c r="E7247">
        <v>0</v>
      </c>
      <c r="F7247">
        <v>630</v>
      </c>
      <c r="G7247">
        <v>0</v>
      </c>
      <c r="H7247" t="s">
        <v>12166</v>
      </c>
      <c r="I7247">
        <v>8153</v>
      </c>
      <c r="J7247" t="e">
        <f>VLOOKUP(E7247,DSSpieler!A:B,2,FALSE)</f>
        <v>#N/A</v>
      </c>
    </row>
    <row r="7248" spans="1:10" x14ac:dyDescent="0.25">
      <c r="A7248">
        <v>8154</v>
      </c>
      <c r="B7248" t="s">
        <v>531</v>
      </c>
      <c r="C7248">
        <v>545</v>
      </c>
      <c r="D7248">
        <v>414</v>
      </c>
      <c r="E7248">
        <v>0</v>
      </c>
      <c r="F7248">
        <v>1670</v>
      </c>
      <c r="G7248">
        <v>0</v>
      </c>
      <c r="H7248" t="s">
        <v>12167</v>
      </c>
      <c r="I7248">
        <v>8154</v>
      </c>
      <c r="J7248" t="e">
        <f>VLOOKUP(E7248,DSSpieler!A:B,2,FALSE)</f>
        <v>#N/A</v>
      </c>
    </row>
    <row r="7249" spans="1:10" x14ac:dyDescent="0.25">
      <c r="A7249">
        <v>8155</v>
      </c>
      <c r="B7249" t="s">
        <v>1698</v>
      </c>
      <c r="C7249">
        <v>433</v>
      </c>
      <c r="D7249">
        <v>445</v>
      </c>
      <c r="E7249">
        <v>1575840647</v>
      </c>
      <c r="F7249">
        <v>5626</v>
      </c>
      <c r="G7249">
        <v>0</v>
      </c>
      <c r="H7249" t="s">
        <v>12168</v>
      </c>
      <c r="I7249">
        <v>8155</v>
      </c>
      <c r="J7249" t="str">
        <f>VLOOKUP(E7249,DSSpieler!A:B,2,FALSE)</f>
        <v>Fuschl0815</v>
      </c>
    </row>
    <row r="7250" spans="1:10" x14ac:dyDescent="0.25">
      <c r="A7250">
        <v>8156</v>
      </c>
      <c r="B7250" t="s">
        <v>531</v>
      </c>
      <c r="C7250">
        <v>493</v>
      </c>
      <c r="D7250">
        <v>413</v>
      </c>
      <c r="E7250">
        <v>0</v>
      </c>
      <c r="F7250">
        <v>325</v>
      </c>
      <c r="G7250">
        <v>0</v>
      </c>
      <c r="H7250" t="s">
        <v>12169</v>
      </c>
      <c r="I7250">
        <v>8156</v>
      </c>
      <c r="J7250" t="e">
        <f>VLOOKUP(E7250,DSSpieler!A:B,2,FALSE)</f>
        <v>#N/A</v>
      </c>
    </row>
    <row r="7251" spans="1:10" x14ac:dyDescent="0.25">
      <c r="A7251">
        <v>8157</v>
      </c>
      <c r="B7251" t="s">
        <v>531</v>
      </c>
      <c r="C7251">
        <v>417</v>
      </c>
      <c r="D7251">
        <v>521</v>
      </c>
      <c r="E7251">
        <v>0</v>
      </c>
      <c r="F7251">
        <v>352</v>
      </c>
      <c r="G7251">
        <v>0</v>
      </c>
      <c r="H7251" t="s">
        <v>12170</v>
      </c>
      <c r="I7251">
        <v>8157</v>
      </c>
      <c r="J7251" t="e">
        <f>VLOOKUP(E7251,DSSpieler!A:B,2,FALSE)</f>
        <v>#N/A</v>
      </c>
    </row>
    <row r="7252" spans="1:10" x14ac:dyDescent="0.25">
      <c r="A7252">
        <v>8158</v>
      </c>
      <c r="B7252" t="s">
        <v>31387</v>
      </c>
      <c r="C7252">
        <v>583</v>
      </c>
      <c r="D7252">
        <v>560</v>
      </c>
      <c r="E7252">
        <v>10154907</v>
      </c>
      <c r="F7252">
        <v>5193</v>
      </c>
      <c r="G7252">
        <v>0</v>
      </c>
      <c r="H7252" t="s">
        <v>12171</v>
      </c>
      <c r="I7252">
        <v>8158</v>
      </c>
      <c r="J7252" t="str">
        <f>VLOOKUP(E7252,DSSpieler!A:B,2,FALSE)</f>
        <v>tronten</v>
      </c>
    </row>
    <row r="7253" spans="1:10" x14ac:dyDescent="0.25">
      <c r="A7253">
        <v>8159</v>
      </c>
      <c r="B7253" t="s">
        <v>531</v>
      </c>
      <c r="C7253">
        <v>409</v>
      </c>
      <c r="D7253">
        <v>457</v>
      </c>
      <c r="E7253">
        <v>0</v>
      </c>
      <c r="F7253">
        <v>369</v>
      </c>
      <c r="G7253">
        <v>0</v>
      </c>
      <c r="H7253" t="s">
        <v>12172</v>
      </c>
      <c r="I7253">
        <v>8159</v>
      </c>
      <c r="J7253" t="e">
        <f>VLOOKUP(E7253,DSSpieler!A:B,2,FALSE)</f>
        <v>#N/A</v>
      </c>
    </row>
    <row r="7254" spans="1:10" x14ac:dyDescent="0.25">
      <c r="A7254">
        <v>8160</v>
      </c>
      <c r="B7254" t="s">
        <v>33310</v>
      </c>
      <c r="C7254">
        <v>578</v>
      </c>
      <c r="D7254">
        <v>567</v>
      </c>
      <c r="E7254">
        <v>1577133129</v>
      </c>
      <c r="F7254">
        <v>5706</v>
      </c>
      <c r="G7254">
        <v>0</v>
      </c>
      <c r="H7254" t="s">
        <v>12173</v>
      </c>
      <c r="I7254">
        <v>8160</v>
      </c>
      <c r="J7254" t="str">
        <f>VLOOKUP(E7254,DSSpieler!A:B,2,FALSE)</f>
        <v>Domi-ubb</v>
      </c>
    </row>
    <row r="7255" spans="1:10" x14ac:dyDescent="0.25">
      <c r="A7255">
        <v>8161</v>
      </c>
      <c r="B7255" t="s">
        <v>1084</v>
      </c>
      <c r="C7255">
        <v>472</v>
      </c>
      <c r="D7255">
        <v>584</v>
      </c>
      <c r="E7255">
        <v>1577189183</v>
      </c>
      <c r="F7255">
        <v>682</v>
      </c>
      <c r="G7255">
        <v>0</v>
      </c>
      <c r="H7255" t="s">
        <v>12174</v>
      </c>
      <c r="I7255">
        <v>8161</v>
      </c>
      <c r="J7255" t="str">
        <f>VLOOKUP(E7255,DSSpieler!A:B,2,FALSE)</f>
        <v>AUT-Chrisi33</v>
      </c>
    </row>
    <row r="7256" spans="1:10" x14ac:dyDescent="0.25">
      <c r="A7256">
        <v>8162</v>
      </c>
      <c r="B7256" t="s">
        <v>531</v>
      </c>
      <c r="C7256">
        <v>541</v>
      </c>
      <c r="D7256">
        <v>578</v>
      </c>
      <c r="E7256">
        <v>0</v>
      </c>
      <c r="F7256">
        <v>240</v>
      </c>
      <c r="G7256">
        <v>0</v>
      </c>
      <c r="H7256" t="s">
        <v>12175</v>
      </c>
      <c r="I7256">
        <v>8162</v>
      </c>
      <c r="J7256" t="e">
        <f>VLOOKUP(E7256,DSSpieler!A:B,2,FALSE)</f>
        <v>#N/A</v>
      </c>
    </row>
    <row r="7257" spans="1:10" x14ac:dyDescent="0.25">
      <c r="A7257">
        <v>8164</v>
      </c>
      <c r="B7257" t="s">
        <v>531</v>
      </c>
      <c r="C7257">
        <v>552</v>
      </c>
      <c r="D7257">
        <v>427</v>
      </c>
      <c r="E7257">
        <v>0</v>
      </c>
      <c r="F7257">
        <v>234</v>
      </c>
      <c r="G7257">
        <v>0</v>
      </c>
      <c r="H7257" t="s">
        <v>12176</v>
      </c>
      <c r="I7257">
        <v>8164</v>
      </c>
      <c r="J7257" t="e">
        <f>VLOOKUP(E7257,DSSpieler!A:B,2,FALSE)</f>
        <v>#N/A</v>
      </c>
    </row>
    <row r="7258" spans="1:10" x14ac:dyDescent="0.25">
      <c r="A7258">
        <v>8165</v>
      </c>
      <c r="B7258" t="s">
        <v>33311</v>
      </c>
      <c r="C7258">
        <v>404</v>
      </c>
      <c r="D7258">
        <v>523</v>
      </c>
      <c r="E7258">
        <v>9319592</v>
      </c>
      <c r="F7258">
        <v>3062</v>
      </c>
      <c r="G7258">
        <v>0</v>
      </c>
      <c r="H7258" t="s">
        <v>12177</v>
      </c>
      <c r="I7258">
        <v>8165</v>
      </c>
      <c r="J7258" t="str">
        <f>VLOOKUP(E7258,DSSpieler!A:B,2,FALSE)</f>
        <v>DieterVonHinten</v>
      </c>
    </row>
    <row r="7259" spans="1:10" x14ac:dyDescent="0.25">
      <c r="A7259">
        <v>8166</v>
      </c>
      <c r="B7259" t="s">
        <v>531</v>
      </c>
      <c r="C7259">
        <v>586</v>
      </c>
      <c r="D7259">
        <v>522</v>
      </c>
      <c r="E7259">
        <v>0</v>
      </c>
      <c r="F7259">
        <v>216</v>
      </c>
      <c r="G7259">
        <v>0</v>
      </c>
      <c r="H7259" t="s">
        <v>12178</v>
      </c>
      <c r="I7259">
        <v>8166</v>
      </c>
      <c r="J7259" t="e">
        <f>VLOOKUP(E7259,DSSpieler!A:B,2,FALSE)</f>
        <v>#N/A</v>
      </c>
    </row>
    <row r="7260" spans="1:10" x14ac:dyDescent="0.25">
      <c r="A7260">
        <v>8167</v>
      </c>
      <c r="B7260" t="s">
        <v>531</v>
      </c>
      <c r="C7260">
        <v>419</v>
      </c>
      <c r="D7260">
        <v>466</v>
      </c>
      <c r="E7260">
        <v>0</v>
      </c>
      <c r="F7260">
        <v>375</v>
      </c>
      <c r="G7260">
        <v>0</v>
      </c>
      <c r="H7260" t="s">
        <v>12179</v>
      </c>
      <c r="I7260">
        <v>8167</v>
      </c>
      <c r="J7260" t="e">
        <f>VLOOKUP(E7260,DSSpieler!A:B,2,FALSE)</f>
        <v>#N/A</v>
      </c>
    </row>
    <row r="7261" spans="1:10" x14ac:dyDescent="0.25">
      <c r="A7261">
        <v>8168</v>
      </c>
      <c r="B7261" t="s">
        <v>531</v>
      </c>
      <c r="C7261">
        <v>509</v>
      </c>
      <c r="D7261">
        <v>585</v>
      </c>
      <c r="E7261">
        <v>0</v>
      </c>
      <c r="F7261">
        <v>224</v>
      </c>
      <c r="G7261">
        <v>0</v>
      </c>
      <c r="H7261" t="s">
        <v>12180</v>
      </c>
      <c r="I7261">
        <v>8168</v>
      </c>
      <c r="J7261" t="e">
        <f>VLOOKUP(E7261,DSSpieler!A:B,2,FALSE)</f>
        <v>#N/A</v>
      </c>
    </row>
    <row r="7262" spans="1:10" x14ac:dyDescent="0.25">
      <c r="A7262">
        <v>8169</v>
      </c>
      <c r="B7262" t="s">
        <v>531</v>
      </c>
      <c r="C7262">
        <v>539</v>
      </c>
      <c r="D7262">
        <v>422</v>
      </c>
      <c r="E7262">
        <v>0</v>
      </c>
      <c r="F7262">
        <v>215</v>
      </c>
      <c r="G7262">
        <v>0</v>
      </c>
      <c r="H7262" t="s">
        <v>12181</v>
      </c>
      <c r="I7262">
        <v>8169</v>
      </c>
      <c r="J7262" t="e">
        <f>VLOOKUP(E7262,DSSpieler!A:B,2,FALSE)</f>
        <v>#N/A</v>
      </c>
    </row>
    <row r="7263" spans="1:10" x14ac:dyDescent="0.25">
      <c r="A7263">
        <v>8170</v>
      </c>
      <c r="B7263" t="s">
        <v>1638</v>
      </c>
      <c r="C7263">
        <v>484</v>
      </c>
      <c r="D7263">
        <v>414</v>
      </c>
      <c r="E7263">
        <v>1577189192</v>
      </c>
      <c r="F7263">
        <v>4143</v>
      </c>
      <c r="G7263">
        <v>0</v>
      </c>
      <c r="H7263" t="s">
        <v>12182</v>
      </c>
      <c r="I7263">
        <v>8170</v>
      </c>
      <c r="J7263" t="str">
        <f>VLOOKUP(E7263,DSSpieler!A:B,2,FALSE)</f>
        <v>Peli</v>
      </c>
    </row>
    <row r="7264" spans="1:10" x14ac:dyDescent="0.25">
      <c r="A7264">
        <v>8171</v>
      </c>
      <c r="B7264" t="s">
        <v>531</v>
      </c>
      <c r="C7264">
        <v>486</v>
      </c>
      <c r="D7264">
        <v>413</v>
      </c>
      <c r="E7264">
        <v>0</v>
      </c>
      <c r="F7264">
        <v>94</v>
      </c>
      <c r="G7264">
        <v>0</v>
      </c>
      <c r="H7264" t="s">
        <v>12183</v>
      </c>
      <c r="I7264">
        <v>8171</v>
      </c>
      <c r="J7264" t="e">
        <f>VLOOKUP(E7264,DSSpieler!A:B,2,FALSE)</f>
        <v>#N/A</v>
      </c>
    </row>
    <row r="7265" spans="1:10" x14ac:dyDescent="0.25">
      <c r="A7265">
        <v>8172</v>
      </c>
      <c r="B7265" t="s">
        <v>1699</v>
      </c>
      <c r="C7265">
        <v>524</v>
      </c>
      <c r="D7265">
        <v>524</v>
      </c>
      <c r="E7265">
        <v>1577138038</v>
      </c>
      <c r="F7265">
        <v>6423</v>
      </c>
      <c r="G7265">
        <v>0</v>
      </c>
      <c r="H7265" t="s">
        <v>12184</v>
      </c>
      <c r="I7265">
        <v>8172</v>
      </c>
      <c r="J7265" t="str">
        <f>VLOOKUP(E7265,DSSpieler!A:B,2,FALSE)</f>
        <v>XxXSquadXxX</v>
      </c>
    </row>
    <row r="7266" spans="1:10" x14ac:dyDescent="0.25">
      <c r="A7266">
        <v>8173</v>
      </c>
      <c r="B7266" t="s">
        <v>1700</v>
      </c>
      <c r="C7266">
        <v>538</v>
      </c>
      <c r="D7266">
        <v>420</v>
      </c>
      <c r="E7266">
        <v>1577197760</v>
      </c>
      <c r="F7266">
        <v>5214</v>
      </c>
      <c r="G7266">
        <v>0</v>
      </c>
      <c r="H7266" t="s">
        <v>12185</v>
      </c>
      <c r="I7266">
        <v>8173</v>
      </c>
      <c r="J7266" t="str">
        <f>VLOOKUP(E7266,DSSpieler!A:B,2,FALSE)</f>
        <v>Linn214</v>
      </c>
    </row>
    <row r="7267" spans="1:10" x14ac:dyDescent="0.25">
      <c r="A7267">
        <v>8175</v>
      </c>
      <c r="B7267" t="s">
        <v>33312</v>
      </c>
      <c r="C7267">
        <v>521</v>
      </c>
      <c r="D7267">
        <v>539</v>
      </c>
      <c r="E7267">
        <v>8806700</v>
      </c>
      <c r="F7267">
        <v>5241</v>
      </c>
      <c r="G7267">
        <v>0</v>
      </c>
      <c r="H7267" t="s">
        <v>12186</v>
      </c>
      <c r="I7267">
        <v>8175</v>
      </c>
      <c r="J7267" t="str">
        <f>VLOOKUP(E7267,DSSpieler!A:B,2,FALSE)</f>
        <v>Eworks</v>
      </c>
    </row>
    <row r="7268" spans="1:10" x14ac:dyDescent="0.25">
      <c r="A7268">
        <v>8176</v>
      </c>
      <c r="B7268" t="s">
        <v>33313</v>
      </c>
      <c r="C7268">
        <v>534</v>
      </c>
      <c r="D7268">
        <v>418</v>
      </c>
      <c r="E7268">
        <v>1577196253</v>
      </c>
      <c r="F7268">
        <v>5659</v>
      </c>
      <c r="G7268">
        <v>0</v>
      </c>
      <c r="H7268" t="s">
        <v>12187</v>
      </c>
      <c r="I7268">
        <v>8176</v>
      </c>
      <c r="J7268" t="str">
        <f>VLOOKUP(E7268,DSSpieler!A:B,2,FALSE)</f>
        <v>Dracay</v>
      </c>
    </row>
    <row r="7269" spans="1:10" x14ac:dyDescent="0.25">
      <c r="A7269">
        <v>8177</v>
      </c>
      <c r="B7269">
        <v>3</v>
      </c>
      <c r="C7269">
        <v>540</v>
      </c>
      <c r="D7269">
        <v>417</v>
      </c>
      <c r="E7269">
        <v>1575970561</v>
      </c>
      <c r="F7269">
        <v>3538</v>
      </c>
      <c r="G7269">
        <v>0</v>
      </c>
      <c r="H7269" t="s">
        <v>12188</v>
      </c>
      <c r="I7269">
        <v>8177</v>
      </c>
      <c r="J7269" t="str">
        <f>VLOOKUP(E7269,DSSpieler!A:B,2,FALSE)</f>
        <v>asvsta</v>
      </c>
    </row>
    <row r="7270" spans="1:10" x14ac:dyDescent="0.25">
      <c r="A7270">
        <v>8178</v>
      </c>
      <c r="B7270" t="s">
        <v>531</v>
      </c>
      <c r="C7270">
        <v>521</v>
      </c>
      <c r="D7270">
        <v>427</v>
      </c>
      <c r="E7270">
        <v>0</v>
      </c>
      <c r="F7270">
        <v>485</v>
      </c>
      <c r="G7270">
        <v>0</v>
      </c>
      <c r="H7270" t="s">
        <v>12189</v>
      </c>
      <c r="I7270">
        <v>8178</v>
      </c>
      <c r="J7270" t="e">
        <f>VLOOKUP(E7270,DSSpieler!A:B,2,FALSE)</f>
        <v>#N/A</v>
      </c>
    </row>
    <row r="7271" spans="1:10" x14ac:dyDescent="0.25">
      <c r="A7271">
        <v>8179</v>
      </c>
      <c r="B7271" t="s">
        <v>531</v>
      </c>
      <c r="C7271">
        <v>468</v>
      </c>
      <c r="D7271">
        <v>420</v>
      </c>
      <c r="E7271">
        <v>0</v>
      </c>
      <c r="F7271">
        <v>450</v>
      </c>
      <c r="G7271">
        <v>0</v>
      </c>
      <c r="H7271" t="s">
        <v>12190</v>
      </c>
      <c r="I7271">
        <v>8179</v>
      </c>
      <c r="J7271" t="e">
        <f>VLOOKUP(E7271,DSSpieler!A:B,2,FALSE)</f>
        <v>#N/A</v>
      </c>
    </row>
    <row r="7272" spans="1:10" x14ac:dyDescent="0.25">
      <c r="A7272">
        <v>8180</v>
      </c>
      <c r="B7272" t="s">
        <v>531</v>
      </c>
      <c r="C7272">
        <v>457</v>
      </c>
      <c r="D7272">
        <v>422</v>
      </c>
      <c r="E7272">
        <v>0</v>
      </c>
      <c r="F7272">
        <v>77</v>
      </c>
      <c r="G7272">
        <v>0</v>
      </c>
      <c r="H7272" t="s">
        <v>12191</v>
      </c>
      <c r="I7272">
        <v>8180</v>
      </c>
      <c r="J7272" t="e">
        <f>VLOOKUP(E7272,DSSpieler!A:B,2,FALSE)</f>
        <v>#N/A</v>
      </c>
    </row>
    <row r="7273" spans="1:10" x14ac:dyDescent="0.25">
      <c r="A7273">
        <v>8181</v>
      </c>
      <c r="B7273">
        <v>4</v>
      </c>
      <c r="C7273">
        <v>423</v>
      </c>
      <c r="D7273">
        <v>457</v>
      </c>
      <c r="E7273">
        <v>1577004821</v>
      </c>
      <c r="F7273">
        <v>397</v>
      </c>
      <c r="G7273">
        <v>0</v>
      </c>
      <c r="H7273" t="s">
        <v>12192</v>
      </c>
      <c r="I7273">
        <v>8181</v>
      </c>
      <c r="J7273" t="str">
        <f>VLOOKUP(E7273,DSSpieler!A:B,2,FALSE)</f>
        <v>Bastel20</v>
      </c>
    </row>
    <row r="7274" spans="1:10" x14ac:dyDescent="0.25">
      <c r="A7274">
        <v>8182</v>
      </c>
      <c r="B7274">
        <v>1</v>
      </c>
      <c r="C7274">
        <v>535</v>
      </c>
      <c r="D7274">
        <v>579</v>
      </c>
      <c r="E7274">
        <v>1576992370</v>
      </c>
      <c r="F7274">
        <v>3599</v>
      </c>
      <c r="G7274">
        <v>0</v>
      </c>
      <c r="H7274" t="s">
        <v>12193</v>
      </c>
      <c r="I7274">
        <v>8182</v>
      </c>
      <c r="J7274" t="str">
        <f>VLOOKUP(E7274,DSSpieler!A:B,2,FALSE)</f>
        <v>MatzeSGA</v>
      </c>
    </row>
    <row r="7275" spans="1:10" x14ac:dyDescent="0.25">
      <c r="A7275">
        <v>8183</v>
      </c>
      <c r="B7275" t="s">
        <v>33314</v>
      </c>
      <c r="C7275">
        <v>444</v>
      </c>
      <c r="D7275">
        <v>425</v>
      </c>
      <c r="E7275">
        <v>1577181911</v>
      </c>
      <c r="F7275">
        <v>6267</v>
      </c>
      <c r="G7275">
        <v>0</v>
      </c>
      <c r="H7275" t="s">
        <v>12194</v>
      </c>
      <c r="I7275">
        <v>8183</v>
      </c>
      <c r="J7275" t="str">
        <f>VLOOKUP(E7275,DSSpieler!A:B,2,FALSE)</f>
        <v>Seffle</v>
      </c>
    </row>
    <row r="7276" spans="1:10" x14ac:dyDescent="0.25">
      <c r="A7276">
        <v>8184</v>
      </c>
      <c r="B7276" t="s">
        <v>531</v>
      </c>
      <c r="C7276">
        <v>466</v>
      </c>
      <c r="D7276">
        <v>418</v>
      </c>
      <c r="E7276">
        <v>0</v>
      </c>
      <c r="F7276">
        <v>448</v>
      </c>
      <c r="G7276">
        <v>0</v>
      </c>
      <c r="H7276" t="s">
        <v>12195</v>
      </c>
      <c r="I7276">
        <v>8184</v>
      </c>
      <c r="J7276" t="e">
        <f>VLOOKUP(E7276,DSSpieler!A:B,2,FALSE)</f>
        <v>#N/A</v>
      </c>
    </row>
    <row r="7277" spans="1:10" x14ac:dyDescent="0.25">
      <c r="A7277">
        <v>8185</v>
      </c>
      <c r="B7277" t="s">
        <v>531</v>
      </c>
      <c r="C7277">
        <v>464</v>
      </c>
      <c r="D7277">
        <v>420</v>
      </c>
      <c r="E7277">
        <v>0</v>
      </c>
      <c r="F7277">
        <v>143</v>
      </c>
      <c r="G7277">
        <v>0</v>
      </c>
      <c r="H7277" t="s">
        <v>12196</v>
      </c>
      <c r="I7277">
        <v>8185</v>
      </c>
      <c r="J7277" t="e">
        <f>VLOOKUP(E7277,DSSpieler!A:B,2,FALSE)</f>
        <v>#N/A</v>
      </c>
    </row>
    <row r="7278" spans="1:10" x14ac:dyDescent="0.25">
      <c r="A7278">
        <v>8187</v>
      </c>
      <c r="B7278" t="s">
        <v>33315</v>
      </c>
      <c r="C7278">
        <v>584</v>
      </c>
      <c r="D7278">
        <v>428</v>
      </c>
      <c r="E7278">
        <v>9287099</v>
      </c>
      <c r="F7278">
        <v>6413</v>
      </c>
      <c r="G7278">
        <v>0</v>
      </c>
      <c r="H7278" t="s">
        <v>12197</v>
      </c>
      <c r="I7278">
        <v>8187</v>
      </c>
      <c r="J7278" t="str">
        <f>VLOOKUP(E7278,DSSpieler!A:B,2,FALSE)</f>
        <v>Dango37</v>
      </c>
    </row>
    <row r="7279" spans="1:10" x14ac:dyDescent="0.25">
      <c r="A7279">
        <v>8188</v>
      </c>
      <c r="B7279" t="s">
        <v>531</v>
      </c>
      <c r="C7279">
        <v>452</v>
      </c>
      <c r="D7279">
        <v>573</v>
      </c>
      <c r="E7279">
        <v>1576830431</v>
      </c>
      <c r="F7279">
        <v>420</v>
      </c>
      <c r="G7279">
        <v>0</v>
      </c>
      <c r="H7279" t="s">
        <v>12198</v>
      </c>
      <c r="I7279">
        <v>8188</v>
      </c>
      <c r="J7279" t="str">
        <f>VLOOKUP(E7279,DSSpieler!A:B,2,FALSE)</f>
        <v>Steinadler16</v>
      </c>
    </row>
    <row r="7280" spans="1:10" x14ac:dyDescent="0.25">
      <c r="A7280">
        <v>8189</v>
      </c>
      <c r="B7280" t="s">
        <v>33316</v>
      </c>
      <c r="C7280">
        <v>421</v>
      </c>
      <c r="D7280">
        <v>461</v>
      </c>
      <c r="E7280">
        <v>1577143451</v>
      </c>
      <c r="F7280">
        <v>3968</v>
      </c>
      <c r="G7280">
        <v>0</v>
      </c>
      <c r="H7280" t="s">
        <v>12199</v>
      </c>
      <c r="I7280">
        <v>8189</v>
      </c>
      <c r="J7280" t="str">
        <f>VLOOKUP(E7280,DSSpieler!A:B,2,FALSE)</f>
        <v>tom1957</v>
      </c>
    </row>
    <row r="7281" spans="1:10" x14ac:dyDescent="0.25">
      <c r="A7281">
        <v>8191</v>
      </c>
      <c r="B7281" t="s">
        <v>531</v>
      </c>
      <c r="C7281">
        <v>477</v>
      </c>
      <c r="D7281">
        <v>413</v>
      </c>
      <c r="E7281">
        <v>0</v>
      </c>
      <c r="F7281">
        <v>207</v>
      </c>
      <c r="G7281">
        <v>0</v>
      </c>
      <c r="H7281" t="s">
        <v>12200</v>
      </c>
      <c r="I7281">
        <v>8191</v>
      </c>
      <c r="J7281" t="e">
        <f>VLOOKUP(E7281,DSSpieler!A:B,2,FALSE)</f>
        <v>#N/A</v>
      </c>
    </row>
    <row r="7282" spans="1:10" x14ac:dyDescent="0.25">
      <c r="A7282">
        <v>8192</v>
      </c>
      <c r="B7282" t="s">
        <v>33317</v>
      </c>
      <c r="C7282">
        <v>413</v>
      </c>
      <c r="D7282">
        <v>481</v>
      </c>
      <c r="E7282">
        <v>1577181837</v>
      </c>
      <c r="F7282">
        <v>2059</v>
      </c>
      <c r="G7282">
        <v>0</v>
      </c>
      <c r="H7282" t="s">
        <v>12201</v>
      </c>
      <c r="I7282">
        <v>8192</v>
      </c>
      <c r="J7282" t="str">
        <f>VLOOKUP(E7282,DSSpieler!A:B,2,FALSE)</f>
        <v>xJoshke</v>
      </c>
    </row>
    <row r="7283" spans="1:10" x14ac:dyDescent="0.25">
      <c r="A7283">
        <v>8193</v>
      </c>
      <c r="B7283" t="s">
        <v>531</v>
      </c>
      <c r="C7283">
        <v>545</v>
      </c>
      <c r="D7283">
        <v>423</v>
      </c>
      <c r="E7283">
        <v>0</v>
      </c>
      <c r="F7283">
        <v>327</v>
      </c>
      <c r="G7283">
        <v>0</v>
      </c>
      <c r="H7283" t="s">
        <v>12202</v>
      </c>
      <c r="I7283">
        <v>8193</v>
      </c>
      <c r="J7283" t="e">
        <f>VLOOKUP(E7283,DSSpieler!A:B,2,FALSE)</f>
        <v>#N/A</v>
      </c>
    </row>
    <row r="7284" spans="1:10" x14ac:dyDescent="0.25">
      <c r="A7284">
        <v>8194</v>
      </c>
      <c r="B7284" t="s">
        <v>1701</v>
      </c>
      <c r="C7284">
        <v>533</v>
      </c>
      <c r="D7284">
        <v>418</v>
      </c>
      <c r="E7284">
        <v>1577125032</v>
      </c>
      <c r="F7284">
        <v>726</v>
      </c>
      <c r="G7284">
        <v>0</v>
      </c>
      <c r="H7284" t="s">
        <v>12203</v>
      </c>
      <c r="I7284">
        <v>8194</v>
      </c>
      <c r="J7284" t="str">
        <f>VLOOKUP(E7284,DSSpieler!A:B,2,FALSE)</f>
        <v>Darki24</v>
      </c>
    </row>
    <row r="7285" spans="1:10" x14ac:dyDescent="0.25">
      <c r="A7285">
        <v>8195</v>
      </c>
      <c r="B7285" t="s">
        <v>531</v>
      </c>
      <c r="C7285">
        <v>552</v>
      </c>
      <c r="D7285">
        <v>573</v>
      </c>
      <c r="E7285">
        <v>0</v>
      </c>
      <c r="F7285">
        <v>326</v>
      </c>
      <c r="G7285">
        <v>0</v>
      </c>
      <c r="H7285" t="s">
        <v>12204</v>
      </c>
      <c r="I7285">
        <v>8195</v>
      </c>
      <c r="J7285" t="e">
        <f>VLOOKUP(E7285,DSSpieler!A:B,2,FALSE)</f>
        <v>#N/A</v>
      </c>
    </row>
    <row r="7286" spans="1:10" x14ac:dyDescent="0.25">
      <c r="A7286">
        <v>8196</v>
      </c>
      <c r="B7286" t="s">
        <v>31584</v>
      </c>
      <c r="C7286">
        <v>475</v>
      </c>
      <c r="D7286">
        <v>580</v>
      </c>
      <c r="E7286">
        <v>1577163047</v>
      </c>
      <c r="F7286">
        <v>5515</v>
      </c>
      <c r="G7286">
        <v>0</v>
      </c>
      <c r="H7286" t="s">
        <v>12205</v>
      </c>
      <c r="I7286">
        <v>8196</v>
      </c>
      <c r="J7286" t="str">
        <f>VLOOKUP(E7286,DSSpieler!A:B,2,FALSE)</f>
        <v>Ina Instabil</v>
      </c>
    </row>
    <row r="7287" spans="1:10" x14ac:dyDescent="0.25">
      <c r="A7287">
        <v>8197</v>
      </c>
      <c r="B7287" t="s">
        <v>531</v>
      </c>
      <c r="C7287">
        <v>532</v>
      </c>
      <c r="D7287">
        <v>581</v>
      </c>
      <c r="E7287">
        <v>0</v>
      </c>
      <c r="F7287">
        <v>262</v>
      </c>
      <c r="G7287">
        <v>0</v>
      </c>
      <c r="H7287" t="s">
        <v>12206</v>
      </c>
      <c r="I7287">
        <v>8197</v>
      </c>
      <c r="J7287" t="e">
        <f>VLOOKUP(E7287,DSSpieler!A:B,2,FALSE)</f>
        <v>#N/A</v>
      </c>
    </row>
    <row r="7288" spans="1:10" x14ac:dyDescent="0.25">
      <c r="A7288">
        <v>8198</v>
      </c>
      <c r="B7288" t="s">
        <v>531</v>
      </c>
      <c r="C7288">
        <v>556</v>
      </c>
      <c r="D7288">
        <v>569</v>
      </c>
      <c r="E7288">
        <v>0</v>
      </c>
      <c r="F7288">
        <v>194</v>
      </c>
      <c r="G7288">
        <v>0</v>
      </c>
      <c r="H7288" t="s">
        <v>12207</v>
      </c>
      <c r="I7288">
        <v>8198</v>
      </c>
      <c r="J7288" t="e">
        <f>VLOOKUP(E7288,DSSpieler!A:B,2,FALSE)</f>
        <v>#N/A</v>
      </c>
    </row>
    <row r="7289" spans="1:10" x14ac:dyDescent="0.25">
      <c r="A7289">
        <v>8199</v>
      </c>
      <c r="B7289" t="s">
        <v>33318</v>
      </c>
      <c r="C7289">
        <v>584</v>
      </c>
      <c r="D7289">
        <v>478</v>
      </c>
      <c r="E7289">
        <v>378401</v>
      </c>
      <c r="F7289">
        <v>5588</v>
      </c>
      <c r="G7289">
        <v>0</v>
      </c>
      <c r="H7289" t="s">
        <v>12208</v>
      </c>
      <c r="I7289">
        <v>8199</v>
      </c>
      <c r="J7289" t="str">
        <f>VLOOKUP(E7289,DSSpieler!A:B,2,FALSE)</f>
        <v>DerChucky</v>
      </c>
    </row>
    <row r="7290" spans="1:10" x14ac:dyDescent="0.25">
      <c r="A7290">
        <v>8200</v>
      </c>
      <c r="B7290" t="s">
        <v>33319</v>
      </c>
      <c r="C7290">
        <v>500</v>
      </c>
      <c r="D7290">
        <v>494</v>
      </c>
      <c r="E7290">
        <v>1576960694</v>
      </c>
      <c r="F7290">
        <v>5089</v>
      </c>
      <c r="G7290">
        <v>0</v>
      </c>
      <c r="H7290" t="s">
        <v>12209</v>
      </c>
      <c r="I7290">
        <v>8200</v>
      </c>
      <c r="J7290" t="str">
        <f>VLOOKUP(E7290,DSSpieler!A:B,2,FALSE)</f>
        <v>nils005</v>
      </c>
    </row>
    <row r="7291" spans="1:10" x14ac:dyDescent="0.25">
      <c r="A7291">
        <v>8201</v>
      </c>
      <c r="B7291" t="s">
        <v>531</v>
      </c>
      <c r="C7291">
        <v>474</v>
      </c>
      <c r="D7291">
        <v>585</v>
      </c>
      <c r="E7291">
        <v>0</v>
      </c>
      <c r="F7291">
        <v>922</v>
      </c>
      <c r="G7291">
        <v>0</v>
      </c>
      <c r="H7291" t="s">
        <v>12210</v>
      </c>
      <c r="I7291">
        <v>8201</v>
      </c>
      <c r="J7291" t="e">
        <f>VLOOKUP(E7291,DSSpieler!A:B,2,FALSE)</f>
        <v>#N/A</v>
      </c>
    </row>
    <row r="7292" spans="1:10" x14ac:dyDescent="0.25">
      <c r="A7292">
        <v>8202</v>
      </c>
      <c r="B7292" t="s">
        <v>531</v>
      </c>
      <c r="C7292">
        <v>414</v>
      </c>
      <c r="D7292">
        <v>490</v>
      </c>
      <c r="E7292">
        <v>0</v>
      </c>
      <c r="F7292">
        <v>268</v>
      </c>
      <c r="G7292">
        <v>0</v>
      </c>
      <c r="H7292" t="s">
        <v>12211</v>
      </c>
      <c r="I7292">
        <v>8202</v>
      </c>
      <c r="J7292" t="e">
        <f>VLOOKUP(E7292,DSSpieler!A:B,2,FALSE)</f>
        <v>#N/A</v>
      </c>
    </row>
    <row r="7293" spans="1:10" x14ac:dyDescent="0.25">
      <c r="A7293">
        <v>8203</v>
      </c>
      <c r="B7293" t="s">
        <v>33320</v>
      </c>
      <c r="C7293">
        <v>424</v>
      </c>
      <c r="D7293">
        <v>543</v>
      </c>
      <c r="E7293">
        <v>10036893</v>
      </c>
      <c r="F7293">
        <v>3495</v>
      </c>
      <c r="G7293">
        <v>0</v>
      </c>
      <c r="H7293" t="s">
        <v>12212</v>
      </c>
      <c r="I7293">
        <v>8203</v>
      </c>
      <c r="J7293" t="str">
        <f>VLOOKUP(E7293,DSSpieler!A:B,2,FALSE)</f>
        <v>Dihydrogenmonoxid</v>
      </c>
    </row>
    <row r="7294" spans="1:10" x14ac:dyDescent="0.25">
      <c r="A7294">
        <v>8204</v>
      </c>
      <c r="B7294" t="s">
        <v>531</v>
      </c>
      <c r="C7294">
        <v>585</v>
      </c>
      <c r="D7294">
        <v>490</v>
      </c>
      <c r="E7294">
        <v>0</v>
      </c>
      <c r="F7294">
        <v>468</v>
      </c>
      <c r="G7294">
        <v>0</v>
      </c>
      <c r="H7294" t="s">
        <v>12213</v>
      </c>
      <c r="I7294">
        <v>8204</v>
      </c>
      <c r="J7294" t="e">
        <f>VLOOKUP(E7294,DSSpieler!A:B,2,FALSE)</f>
        <v>#N/A</v>
      </c>
    </row>
    <row r="7295" spans="1:10" x14ac:dyDescent="0.25">
      <c r="A7295">
        <v>8205</v>
      </c>
      <c r="B7295" t="s">
        <v>30816</v>
      </c>
      <c r="C7295">
        <v>587</v>
      </c>
      <c r="D7295">
        <v>508</v>
      </c>
      <c r="E7295">
        <v>1577180067</v>
      </c>
      <c r="F7295">
        <v>3102</v>
      </c>
      <c r="G7295">
        <v>0</v>
      </c>
      <c r="H7295" t="s">
        <v>12214</v>
      </c>
      <c r="I7295">
        <v>8205</v>
      </c>
      <c r="J7295" t="str">
        <f>VLOOKUP(E7295,DSSpieler!A:B,2,FALSE)</f>
        <v>T-jag</v>
      </c>
    </row>
    <row r="7296" spans="1:10" x14ac:dyDescent="0.25">
      <c r="A7296">
        <v>8206</v>
      </c>
      <c r="B7296" t="s">
        <v>33321</v>
      </c>
      <c r="C7296">
        <v>408</v>
      </c>
      <c r="D7296">
        <v>506</v>
      </c>
      <c r="E7296">
        <v>8477631</v>
      </c>
      <c r="F7296">
        <v>3182</v>
      </c>
      <c r="G7296">
        <v>0</v>
      </c>
      <c r="H7296" t="s">
        <v>12215</v>
      </c>
      <c r="I7296">
        <v>8206</v>
      </c>
      <c r="J7296" t="str">
        <f>VLOOKUP(E7296,DSSpieler!A:B,2,FALSE)</f>
        <v>Harakon</v>
      </c>
    </row>
    <row r="7297" spans="1:10" x14ac:dyDescent="0.25">
      <c r="A7297">
        <v>8207</v>
      </c>
      <c r="B7297" t="s">
        <v>33322</v>
      </c>
      <c r="C7297">
        <v>442</v>
      </c>
      <c r="D7297">
        <v>435</v>
      </c>
      <c r="E7297">
        <v>1576838481</v>
      </c>
      <c r="F7297">
        <v>1284</v>
      </c>
      <c r="G7297">
        <v>0</v>
      </c>
      <c r="H7297" t="s">
        <v>12216</v>
      </c>
      <c r="I7297">
        <v>8207</v>
      </c>
      <c r="J7297" t="str">
        <f>VLOOKUP(E7297,DSSpieler!A:B,2,FALSE)</f>
        <v>Jackey</v>
      </c>
    </row>
    <row r="7298" spans="1:10" x14ac:dyDescent="0.25">
      <c r="A7298">
        <v>8208</v>
      </c>
      <c r="B7298" t="s">
        <v>546</v>
      </c>
      <c r="C7298">
        <v>504</v>
      </c>
      <c r="D7298">
        <v>449</v>
      </c>
      <c r="E7298">
        <v>1577149104</v>
      </c>
      <c r="F7298">
        <v>6343</v>
      </c>
      <c r="G7298">
        <v>0</v>
      </c>
      <c r="H7298" t="s">
        <v>12217</v>
      </c>
      <c r="I7298">
        <v>8208</v>
      </c>
      <c r="J7298" t="str">
        <f>VLOOKUP(E7298,DSSpieler!A:B,2,FALSE)</f>
        <v>ricky008</v>
      </c>
    </row>
    <row r="7299" spans="1:10" x14ac:dyDescent="0.25">
      <c r="A7299">
        <v>8209</v>
      </c>
      <c r="B7299" t="s">
        <v>531</v>
      </c>
      <c r="C7299">
        <v>428</v>
      </c>
      <c r="D7299">
        <v>553</v>
      </c>
      <c r="E7299">
        <v>0</v>
      </c>
      <c r="F7299">
        <v>232</v>
      </c>
      <c r="G7299">
        <v>0</v>
      </c>
      <c r="H7299" t="s">
        <v>12218</v>
      </c>
      <c r="I7299">
        <v>8209</v>
      </c>
      <c r="J7299" t="e">
        <f>VLOOKUP(E7299,DSSpieler!A:B,2,FALSE)</f>
        <v>#N/A</v>
      </c>
    </row>
    <row r="7300" spans="1:10" x14ac:dyDescent="0.25">
      <c r="A7300">
        <v>8210</v>
      </c>
      <c r="B7300" t="s">
        <v>1702</v>
      </c>
      <c r="C7300">
        <v>586</v>
      </c>
      <c r="D7300">
        <v>435</v>
      </c>
      <c r="E7300">
        <v>1577197559</v>
      </c>
      <c r="F7300">
        <v>5741</v>
      </c>
      <c r="G7300">
        <v>0</v>
      </c>
      <c r="H7300" t="s">
        <v>12219</v>
      </c>
      <c r="I7300">
        <v>8210</v>
      </c>
      <c r="J7300" t="str">
        <f>VLOOKUP(E7300,DSSpieler!A:B,2,FALSE)</f>
        <v>Amaterasu-o-mi-kami</v>
      </c>
    </row>
    <row r="7301" spans="1:10" x14ac:dyDescent="0.25">
      <c r="A7301">
        <v>8211</v>
      </c>
      <c r="B7301" t="s">
        <v>1703</v>
      </c>
      <c r="C7301">
        <v>441</v>
      </c>
      <c r="D7301">
        <v>431</v>
      </c>
      <c r="E7301">
        <v>1577149208</v>
      </c>
      <c r="F7301">
        <v>4125</v>
      </c>
      <c r="G7301">
        <v>0</v>
      </c>
      <c r="H7301" t="s">
        <v>12220</v>
      </c>
      <c r="I7301">
        <v>8211</v>
      </c>
      <c r="J7301" t="str">
        <f>VLOOKUP(E7301,DSSpieler!A:B,2,FALSE)</f>
        <v>Belvedere</v>
      </c>
    </row>
    <row r="7302" spans="1:10" x14ac:dyDescent="0.25">
      <c r="A7302">
        <v>8212</v>
      </c>
      <c r="B7302" t="s">
        <v>531</v>
      </c>
      <c r="C7302">
        <v>537</v>
      </c>
      <c r="D7302">
        <v>420</v>
      </c>
      <c r="E7302">
        <v>0</v>
      </c>
      <c r="F7302">
        <v>153</v>
      </c>
      <c r="G7302">
        <v>0</v>
      </c>
      <c r="H7302" t="s">
        <v>12221</v>
      </c>
      <c r="I7302">
        <v>8212</v>
      </c>
      <c r="J7302" t="e">
        <f>VLOOKUP(E7302,DSSpieler!A:B,2,FALSE)</f>
        <v>#N/A</v>
      </c>
    </row>
    <row r="7303" spans="1:10" x14ac:dyDescent="0.25">
      <c r="A7303">
        <v>8213</v>
      </c>
      <c r="B7303" t="s">
        <v>531</v>
      </c>
      <c r="C7303">
        <v>414</v>
      </c>
      <c r="D7303">
        <v>497</v>
      </c>
      <c r="E7303">
        <v>0</v>
      </c>
      <c r="F7303">
        <v>254</v>
      </c>
      <c r="G7303">
        <v>0</v>
      </c>
      <c r="H7303" t="s">
        <v>12222</v>
      </c>
      <c r="I7303">
        <v>8213</v>
      </c>
      <c r="J7303" t="e">
        <f>VLOOKUP(E7303,DSSpieler!A:B,2,FALSE)</f>
        <v>#N/A</v>
      </c>
    </row>
    <row r="7304" spans="1:10" x14ac:dyDescent="0.25">
      <c r="A7304">
        <v>8214</v>
      </c>
      <c r="B7304" t="s">
        <v>531</v>
      </c>
      <c r="C7304">
        <v>417</v>
      </c>
      <c r="D7304">
        <v>471</v>
      </c>
      <c r="E7304">
        <v>0</v>
      </c>
      <c r="F7304">
        <v>364</v>
      </c>
      <c r="G7304">
        <v>0</v>
      </c>
      <c r="H7304" t="s">
        <v>12223</v>
      </c>
      <c r="I7304">
        <v>8214</v>
      </c>
      <c r="J7304" t="e">
        <f>VLOOKUP(E7304,DSSpieler!A:B,2,FALSE)</f>
        <v>#N/A</v>
      </c>
    </row>
    <row r="7305" spans="1:10" x14ac:dyDescent="0.25">
      <c r="A7305">
        <v>8215</v>
      </c>
      <c r="B7305" t="s">
        <v>33323</v>
      </c>
      <c r="C7305">
        <v>573</v>
      </c>
      <c r="D7305">
        <v>549</v>
      </c>
      <c r="E7305">
        <v>1576824008</v>
      </c>
      <c r="F7305">
        <v>4221</v>
      </c>
      <c r="G7305">
        <v>0</v>
      </c>
      <c r="H7305" t="s">
        <v>12224</v>
      </c>
      <c r="I7305">
        <v>8215</v>
      </c>
      <c r="J7305" t="str">
        <f>VLOOKUP(E7305,DSSpieler!A:B,2,FALSE)</f>
        <v>Mengez89</v>
      </c>
    </row>
    <row r="7306" spans="1:10" x14ac:dyDescent="0.25">
      <c r="A7306">
        <v>8217</v>
      </c>
      <c r="B7306" t="s">
        <v>531</v>
      </c>
      <c r="C7306">
        <v>437</v>
      </c>
      <c r="D7306">
        <v>561</v>
      </c>
      <c r="E7306">
        <v>0</v>
      </c>
      <c r="F7306">
        <v>252</v>
      </c>
      <c r="G7306">
        <v>0</v>
      </c>
      <c r="H7306" t="s">
        <v>12225</v>
      </c>
      <c r="I7306">
        <v>8217</v>
      </c>
      <c r="J7306" t="e">
        <f>VLOOKUP(E7306,DSSpieler!A:B,2,FALSE)</f>
        <v>#N/A</v>
      </c>
    </row>
    <row r="7307" spans="1:10" x14ac:dyDescent="0.25">
      <c r="A7307">
        <v>8218</v>
      </c>
      <c r="B7307" t="s">
        <v>1704</v>
      </c>
      <c r="C7307">
        <v>582</v>
      </c>
      <c r="D7307">
        <v>466</v>
      </c>
      <c r="E7307">
        <v>1577196628</v>
      </c>
      <c r="F7307">
        <v>970</v>
      </c>
      <c r="G7307">
        <v>0</v>
      </c>
      <c r="H7307" t="s">
        <v>12226</v>
      </c>
      <c r="I7307">
        <v>8218</v>
      </c>
      <c r="J7307" t="str">
        <f>VLOOKUP(E7307,DSSpieler!A:B,2,FALSE)</f>
        <v>weberweber1995</v>
      </c>
    </row>
    <row r="7308" spans="1:10" x14ac:dyDescent="0.25">
      <c r="A7308">
        <v>8219</v>
      </c>
      <c r="B7308" t="s">
        <v>531</v>
      </c>
      <c r="C7308">
        <v>424</v>
      </c>
      <c r="D7308">
        <v>453</v>
      </c>
      <c r="E7308">
        <v>0</v>
      </c>
      <c r="F7308">
        <v>119</v>
      </c>
      <c r="G7308">
        <v>0</v>
      </c>
      <c r="H7308" t="s">
        <v>12227</v>
      </c>
      <c r="I7308">
        <v>8219</v>
      </c>
      <c r="J7308" t="e">
        <f>VLOOKUP(E7308,DSSpieler!A:B,2,FALSE)</f>
        <v>#N/A</v>
      </c>
    </row>
    <row r="7309" spans="1:10" x14ac:dyDescent="0.25">
      <c r="A7309">
        <v>8220</v>
      </c>
      <c r="B7309" t="s">
        <v>531</v>
      </c>
      <c r="C7309">
        <v>580</v>
      </c>
      <c r="D7309">
        <v>462</v>
      </c>
      <c r="E7309">
        <v>0</v>
      </c>
      <c r="F7309">
        <v>331</v>
      </c>
      <c r="G7309">
        <v>0</v>
      </c>
      <c r="H7309" t="s">
        <v>12228</v>
      </c>
      <c r="I7309">
        <v>8220</v>
      </c>
      <c r="J7309" t="e">
        <f>VLOOKUP(E7309,DSSpieler!A:B,2,FALSE)</f>
        <v>#N/A</v>
      </c>
    </row>
    <row r="7310" spans="1:10" x14ac:dyDescent="0.25">
      <c r="A7310">
        <v>8221</v>
      </c>
      <c r="B7310" t="s">
        <v>531</v>
      </c>
      <c r="C7310">
        <v>481</v>
      </c>
      <c r="D7310">
        <v>412</v>
      </c>
      <c r="E7310">
        <v>0</v>
      </c>
      <c r="F7310">
        <v>347</v>
      </c>
      <c r="G7310">
        <v>0</v>
      </c>
      <c r="H7310" t="s">
        <v>12229</v>
      </c>
      <c r="I7310">
        <v>8221</v>
      </c>
      <c r="J7310" t="e">
        <f>VLOOKUP(E7310,DSSpieler!A:B,2,FALSE)</f>
        <v>#N/A</v>
      </c>
    </row>
    <row r="7311" spans="1:10" x14ac:dyDescent="0.25">
      <c r="A7311">
        <v>8222</v>
      </c>
      <c r="B7311" t="s">
        <v>33324</v>
      </c>
      <c r="C7311">
        <v>440</v>
      </c>
      <c r="D7311">
        <v>564</v>
      </c>
      <c r="E7311">
        <v>1577153814</v>
      </c>
      <c r="F7311">
        <v>294</v>
      </c>
      <c r="G7311">
        <v>0</v>
      </c>
      <c r="H7311" t="s">
        <v>12230</v>
      </c>
      <c r="I7311">
        <v>8222</v>
      </c>
      <c r="J7311" t="str">
        <f>VLOOKUP(E7311,DSSpieler!A:B,2,FALSE)</f>
        <v>Christians4</v>
      </c>
    </row>
    <row r="7312" spans="1:10" x14ac:dyDescent="0.25">
      <c r="A7312">
        <v>8224</v>
      </c>
      <c r="B7312" t="s">
        <v>531</v>
      </c>
      <c r="C7312">
        <v>584</v>
      </c>
      <c r="D7312">
        <v>477</v>
      </c>
      <c r="E7312">
        <v>0</v>
      </c>
      <c r="F7312">
        <v>230</v>
      </c>
      <c r="G7312">
        <v>0</v>
      </c>
      <c r="H7312" t="s">
        <v>12231</v>
      </c>
      <c r="I7312">
        <v>8224</v>
      </c>
      <c r="J7312" t="e">
        <f>VLOOKUP(E7312,DSSpieler!A:B,2,FALSE)</f>
        <v>#N/A</v>
      </c>
    </row>
    <row r="7313" spans="1:10" x14ac:dyDescent="0.25">
      <c r="A7313">
        <v>8225</v>
      </c>
      <c r="B7313" t="s">
        <v>30841</v>
      </c>
      <c r="C7313">
        <v>480</v>
      </c>
      <c r="D7313">
        <v>414</v>
      </c>
      <c r="E7313">
        <v>1576583632</v>
      </c>
      <c r="F7313">
        <v>5945</v>
      </c>
      <c r="G7313">
        <v>0</v>
      </c>
      <c r="H7313" t="s">
        <v>12232</v>
      </c>
      <c r="I7313">
        <v>8225</v>
      </c>
      <c r="J7313" t="str">
        <f>VLOOKUP(E7313,DSSpieler!A:B,2,FALSE)</f>
        <v>Sunber</v>
      </c>
    </row>
    <row r="7314" spans="1:10" x14ac:dyDescent="0.25">
      <c r="A7314">
        <v>8226</v>
      </c>
      <c r="B7314" t="s">
        <v>33325</v>
      </c>
      <c r="C7314">
        <v>563</v>
      </c>
      <c r="D7314">
        <v>439</v>
      </c>
      <c r="E7314">
        <v>1577155402</v>
      </c>
      <c r="F7314">
        <v>53</v>
      </c>
      <c r="G7314">
        <v>0</v>
      </c>
      <c r="H7314" t="s">
        <v>12233</v>
      </c>
      <c r="I7314">
        <v>8226</v>
      </c>
      <c r="J7314" t="str">
        <f>VLOOKUP(E7314,DSSpieler!A:B,2,FALSE)</f>
        <v>Trapadomi</v>
      </c>
    </row>
    <row r="7315" spans="1:10" x14ac:dyDescent="0.25">
      <c r="A7315">
        <v>8227</v>
      </c>
      <c r="B7315" t="s">
        <v>531</v>
      </c>
      <c r="C7315">
        <v>419</v>
      </c>
      <c r="D7315">
        <v>537</v>
      </c>
      <c r="E7315">
        <v>0</v>
      </c>
      <c r="F7315">
        <v>444</v>
      </c>
      <c r="G7315">
        <v>0</v>
      </c>
      <c r="H7315" t="s">
        <v>12234</v>
      </c>
      <c r="I7315">
        <v>8227</v>
      </c>
      <c r="J7315" t="e">
        <f>VLOOKUP(E7315,DSSpieler!A:B,2,FALSE)</f>
        <v>#N/A</v>
      </c>
    </row>
    <row r="7316" spans="1:10" x14ac:dyDescent="0.25">
      <c r="A7316">
        <v>8228</v>
      </c>
      <c r="B7316" t="s">
        <v>531</v>
      </c>
      <c r="C7316">
        <v>427</v>
      </c>
      <c r="D7316">
        <v>548</v>
      </c>
      <c r="E7316">
        <v>0</v>
      </c>
      <c r="F7316">
        <v>211</v>
      </c>
      <c r="G7316">
        <v>0</v>
      </c>
      <c r="H7316" t="s">
        <v>12235</v>
      </c>
      <c r="I7316">
        <v>8228</v>
      </c>
      <c r="J7316" t="e">
        <f>VLOOKUP(E7316,DSSpieler!A:B,2,FALSE)</f>
        <v>#N/A</v>
      </c>
    </row>
    <row r="7317" spans="1:10" x14ac:dyDescent="0.25">
      <c r="A7317">
        <v>8229</v>
      </c>
      <c r="B7317" t="s">
        <v>1705</v>
      </c>
      <c r="C7317">
        <v>440</v>
      </c>
      <c r="D7317">
        <v>563</v>
      </c>
      <c r="E7317">
        <v>2674486</v>
      </c>
      <c r="F7317">
        <v>4983</v>
      </c>
      <c r="G7317">
        <v>0</v>
      </c>
      <c r="H7317" t="s">
        <v>12236</v>
      </c>
      <c r="I7317">
        <v>8229</v>
      </c>
      <c r="J7317" t="str">
        <f>VLOOKUP(E7317,DSSpieler!A:B,2,FALSE)</f>
        <v>Lucas-99</v>
      </c>
    </row>
    <row r="7318" spans="1:10" x14ac:dyDescent="0.25">
      <c r="A7318">
        <v>8230</v>
      </c>
      <c r="B7318" t="s">
        <v>531</v>
      </c>
      <c r="C7318">
        <v>448</v>
      </c>
      <c r="D7318">
        <v>431</v>
      </c>
      <c r="E7318">
        <v>0</v>
      </c>
      <c r="F7318">
        <v>406</v>
      </c>
      <c r="G7318">
        <v>0</v>
      </c>
      <c r="H7318" t="s">
        <v>12237</v>
      </c>
      <c r="I7318">
        <v>8230</v>
      </c>
      <c r="J7318" t="e">
        <f>VLOOKUP(E7318,DSSpieler!A:B,2,FALSE)</f>
        <v>#N/A</v>
      </c>
    </row>
    <row r="7319" spans="1:10" x14ac:dyDescent="0.25">
      <c r="A7319">
        <v>8232</v>
      </c>
      <c r="B7319" t="s">
        <v>33326</v>
      </c>
      <c r="C7319">
        <v>450</v>
      </c>
      <c r="D7319">
        <v>559</v>
      </c>
      <c r="E7319">
        <v>1577156240</v>
      </c>
      <c r="F7319">
        <v>4501</v>
      </c>
      <c r="G7319">
        <v>0</v>
      </c>
      <c r="H7319" t="s">
        <v>12238</v>
      </c>
      <c r="I7319">
        <v>8232</v>
      </c>
      <c r="J7319" t="str">
        <f>VLOOKUP(E7319,DSSpieler!A:B,2,FALSE)</f>
        <v>WasabiLimited</v>
      </c>
    </row>
    <row r="7320" spans="1:10" x14ac:dyDescent="0.25">
      <c r="A7320">
        <v>8233</v>
      </c>
      <c r="B7320" t="s">
        <v>531</v>
      </c>
      <c r="C7320">
        <v>415</v>
      </c>
      <c r="D7320">
        <v>514</v>
      </c>
      <c r="E7320">
        <v>0</v>
      </c>
      <c r="F7320">
        <v>306</v>
      </c>
      <c r="G7320">
        <v>0</v>
      </c>
      <c r="H7320" t="s">
        <v>12239</v>
      </c>
      <c r="I7320">
        <v>8233</v>
      </c>
      <c r="J7320" t="e">
        <f>VLOOKUP(E7320,DSSpieler!A:B,2,FALSE)</f>
        <v>#N/A</v>
      </c>
    </row>
    <row r="7321" spans="1:10" x14ac:dyDescent="0.25">
      <c r="A7321">
        <v>8234</v>
      </c>
      <c r="B7321" t="s">
        <v>531</v>
      </c>
      <c r="C7321">
        <v>580</v>
      </c>
      <c r="D7321">
        <v>467</v>
      </c>
      <c r="E7321">
        <v>0</v>
      </c>
      <c r="F7321">
        <v>255</v>
      </c>
      <c r="G7321">
        <v>0</v>
      </c>
      <c r="H7321" t="s">
        <v>12240</v>
      </c>
      <c r="I7321">
        <v>8234</v>
      </c>
      <c r="J7321" t="e">
        <f>VLOOKUP(E7321,DSSpieler!A:B,2,FALSE)</f>
        <v>#N/A</v>
      </c>
    </row>
    <row r="7322" spans="1:10" x14ac:dyDescent="0.25">
      <c r="A7322">
        <v>8235</v>
      </c>
      <c r="B7322" t="s">
        <v>531</v>
      </c>
      <c r="C7322">
        <v>533</v>
      </c>
      <c r="D7322">
        <v>581</v>
      </c>
      <c r="E7322">
        <v>0</v>
      </c>
      <c r="F7322">
        <v>119</v>
      </c>
      <c r="G7322">
        <v>0</v>
      </c>
      <c r="H7322" t="s">
        <v>12241</v>
      </c>
      <c r="I7322">
        <v>8235</v>
      </c>
      <c r="J7322" t="e">
        <f>VLOOKUP(E7322,DSSpieler!A:B,2,FALSE)</f>
        <v>#N/A</v>
      </c>
    </row>
    <row r="7323" spans="1:10" x14ac:dyDescent="0.25">
      <c r="A7323">
        <v>8236</v>
      </c>
      <c r="B7323" t="s">
        <v>531</v>
      </c>
      <c r="C7323">
        <v>423</v>
      </c>
      <c r="D7323">
        <v>459</v>
      </c>
      <c r="E7323">
        <v>0</v>
      </c>
      <c r="F7323">
        <v>356</v>
      </c>
      <c r="G7323">
        <v>0</v>
      </c>
      <c r="H7323" t="s">
        <v>12242</v>
      </c>
      <c r="I7323">
        <v>8236</v>
      </c>
      <c r="J7323" t="e">
        <f>VLOOKUP(E7323,DSSpieler!A:B,2,FALSE)</f>
        <v>#N/A</v>
      </c>
    </row>
    <row r="7324" spans="1:10" x14ac:dyDescent="0.25">
      <c r="A7324">
        <v>8237</v>
      </c>
      <c r="B7324" t="s">
        <v>33327</v>
      </c>
      <c r="C7324">
        <v>521</v>
      </c>
      <c r="D7324">
        <v>585</v>
      </c>
      <c r="E7324">
        <v>1577157270</v>
      </c>
      <c r="F7324">
        <v>6576</v>
      </c>
      <c r="G7324">
        <v>0</v>
      </c>
      <c r="H7324" t="s">
        <v>12243</v>
      </c>
      <c r="I7324">
        <v>8237</v>
      </c>
      <c r="J7324" t="str">
        <f>VLOOKUP(E7324,DSSpieler!A:B,2,FALSE)</f>
        <v>Aufguss582</v>
      </c>
    </row>
    <row r="7325" spans="1:10" x14ac:dyDescent="0.25">
      <c r="A7325">
        <v>8238</v>
      </c>
      <c r="B7325" t="s">
        <v>531</v>
      </c>
      <c r="C7325">
        <v>551</v>
      </c>
      <c r="D7325">
        <v>430</v>
      </c>
      <c r="E7325">
        <v>0</v>
      </c>
      <c r="F7325">
        <v>906</v>
      </c>
      <c r="G7325">
        <v>0</v>
      </c>
      <c r="H7325" t="s">
        <v>12244</v>
      </c>
      <c r="I7325">
        <v>8238</v>
      </c>
      <c r="J7325" t="e">
        <f>VLOOKUP(E7325,DSSpieler!A:B,2,FALSE)</f>
        <v>#N/A</v>
      </c>
    </row>
    <row r="7326" spans="1:10" x14ac:dyDescent="0.25">
      <c r="A7326">
        <v>8239</v>
      </c>
      <c r="B7326" t="s">
        <v>531</v>
      </c>
      <c r="C7326">
        <v>424</v>
      </c>
      <c r="D7326">
        <v>547</v>
      </c>
      <c r="E7326">
        <v>0</v>
      </c>
      <c r="F7326">
        <v>437</v>
      </c>
      <c r="G7326">
        <v>0</v>
      </c>
      <c r="H7326" t="s">
        <v>12245</v>
      </c>
      <c r="I7326">
        <v>8239</v>
      </c>
      <c r="J7326" t="e">
        <f>VLOOKUP(E7326,DSSpieler!A:B,2,FALSE)</f>
        <v>#N/A</v>
      </c>
    </row>
    <row r="7327" spans="1:10" x14ac:dyDescent="0.25">
      <c r="A7327">
        <v>8240</v>
      </c>
      <c r="B7327" t="s">
        <v>531</v>
      </c>
      <c r="C7327">
        <v>575</v>
      </c>
      <c r="D7327">
        <v>548</v>
      </c>
      <c r="E7327">
        <v>0</v>
      </c>
      <c r="F7327">
        <v>166</v>
      </c>
      <c r="G7327">
        <v>0</v>
      </c>
      <c r="H7327" t="s">
        <v>12246</v>
      </c>
      <c r="I7327">
        <v>8240</v>
      </c>
      <c r="J7327" t="e">
        <f>VLOOKUP(E7327,DSSpieler!A:B,2,FALSE)</f>
        <v>#N/A</v>
      </c>
    </row>
    <row r="7328" spans="1:10" x14ac:dyDescent="0.25">
      <c r="A7328">
        <v>8241</v>
      </c>
      <c r="B7328" t="s">
        <v>1706</v>
      </c>
      <c r="C7328">
        <v>410</v>
      </c>
      <c r="D7328">
        <v>494</v>
      </c>
      <c r="E7328">
        <v>1577158121</v>
      </c>
      <c r="F7328">
        <v>2663</v>
      </c>
      <c r="G7328">
        <v>0</v>
      </c>
      <c r="H7328" t="s">
        <v>12247</v>
      </c>
      <c r="I7328">
        <v>8241</v>
      </c>
      <c r="J7328" t="str">
        <f>VLOOKUP(E7328,DSSpieler!A:B,2,FALSE)</f>
        <v>TyberZann</v>
      </c>
    </row>
    <row r="7329" spans="1:10" x14ac:dyDescent="0.25">
      <c r="A7329">
        <v>8242</v>
      </c>
      <c r="B7329" t="s">
        <v>531</v>
      </c>
      <c r="C7329">
        <v>560</v>
      </c>
      <c r="D7329">
        <v>437</v>
      </c>
      <c r="E7329">
        <v>0</v>
      </c>
      <c r="F7329">
        <v>339</v>
      </c>
      <c r="G7329">
        <v>0</v>
      </c>
      <c r="H7329" t="s">
        <v>12248</v>
      </c>
      <c r="I7329">
        <v>8242</v>
      </c>
      <c r="J7329" t="e">
        <f>VLOOKUP(E7329,DSSpieler!A:B,2,FALSE)</f>
        <v>#N/A</v>
      </c>
    </row>
    <row r="7330" spans="1:10" x14ac:dyDescent="0.25">
      <c r="A7330">
        <v>8243</v>
      </c>
      <c r="B7330" t="s">
        <v>531</v>
      </c>
      <c r="C7330">
        <v>571</v>
      </c>
      <c r="D7330">
        <v>448</v>
      </c>
      <c r="E7330">
        <v>0</v>
      </c>
      <c r="F7330">
        <v>516</v>
      </c>
      <c r="G7330">
        <v>0</v>
      </c>
      <c r="H7330" t="s">
        <v>12249</v>
      </c>
      <c r="I7330">
        <v>8243</v>
      </c>
      <c r="J7330" t="e">
        <f>VLOOKUP(E7330,DSSpieler!A:B,2,FALSE)</f>
        <v>#N/A</v>
      </c>
    </row>
    <row r="7331" spans="1:10" x14ac:dyDescent="0.25">
      <c r="A7331">
        <v>8245</v>
      </c>
      <c r="B7331" t="s">
        <v>531</v>
      </c>
      <c r="C7331">
        <v>412</v>
      </c>
      <c r="D7331">
        <v>492</v>
      </c>
      <c r="E7331">
        <v>0</v>
      </c>
      <c r="F7331">
        <v>180</v>
      </c>
      <c r="G7331">
        <v>0</v>
      </c>
      <c r="H7331" t="s">
        <v>12250</v>
      </c>
      <c r="I7331">
        <v>8245</v>
      </c>
      <c r="J7331" t="e">
        <f>VLOOKUP(E7331,DSSpieler!A:B,2,FALSE)</f>
        <v>#N/A</v>
      </c>
    </row>
    <row r="7332" spans="1:10" x14ac:dyDescent="0.25">
      <c r="A7332">
        <v>8246</v>
      </c>
      <c r="B7332" t="s">
        <v>531</v>
      </c>
      <c r="C7332">
        <v>574</v>
      </c>
      <c r="D7332">
        <v>549</v>
      </c>
      <c r="E7332">
        <v>0</v>
      </c>
      <c r="F7332">
        <v>374</v>
      </c>
      <c r="G7332">
        <v>0</v>
      </c>
      <c r="H7332" t="s">
        <v>12251</v>
      </c>
      <c r="I7332">
        <v>8246</v>
      </c>
      <c r="J7332" t="e">
        <f>VLOOKUP(E7332,DSSpieler!A:B,2,FALSE)</f>
        <v>#N/A</v>
      </c>
    </row>
    <row r="7333" spans="1:10" x14ac:dyDescent="0.25">
      <c r="A7333">
        <v>8247</v>
      </c>
      <c r="B7333" t="s">
        <v>33328</v>
      </c>
      <c r="C7333">
        <v>475</v>
      </c>
      <c r="D7333">
        <v>414</v>
      </c>
      <c r="E7333">
        <v>1577159481</v>
      </c>
      <c r="F7333">
        <v>4846</v>
      </c>
      <c r="G7333">
        <v>0</v>
      </c>
      <c r="H7333" t="s">
        <v>12252</v>
      </c>
      <c r="I7333">
        <v>8247</v>
      </c>
      <c r="J7333" t="str">
        <f>VLOOKUP(E7333,DSSpieler!A:B,2,FALSE)</f>
        <v>Raifge</v>
      </c>
    </row>
    <row r="7334" spans="1:10" x14ac:dyDescent="0.25">
      <c r="A7334">
        <v>8248</v>
      </c>
      <c r="B7334" t="s">
        <v>30816</v>
      </c>
      <c r="C7334">
        <v>586</v>
      </c>
      <c r="D7334">
        <v>509</v>
      </c>
      <c r="E7334">
        <v>1577180067</v>
      </c>
      <c r="F7334">
        <v>5039</v>
      </c>
      <c r="G7334">
        <v>0</v>
      </c>
      <c r="H7334" t="s">
        <v>12253</v>
      </c>
      <c r="I7334">
        <v>8248</v>
      </c>
      <c r="J7334" t="str">
        <f>VLOOKUP(E7334,DSSpieler!A:B,2,FALSE)</f>
        <v>T-jag</v>
      </c>
    </row>
    <row r="7335" spans="1:10" x14ac:dyDescent="0.25">
      <c r="A7335">
        <v>8249</v>
      </c>
      <c r="B7335" t="s">
        <v>531</v>
      </c>
      <c r="C7335">
        <v>415</v>
      </c>
      <c r="D7335">
        <v>519</v>
      </c>
      <c r="E7335">
        <v>0</v>
      </c>
      <c r="F7335">
        <v>152</v>
      </c>
      <c r="G7335">
        <v>0</v>
      </c>
      <c r="H7335" t="s">
        <v>12254</v>
      </c>
      <c r="I7335">
        <v>8249</v>
      </c>
      <c r="J7335" t="e">
        <f>VLOOKUP(E7335,DSSpieler!A:B,2,FALSE)</f>
        <v>#N/A</v>
      </c>
    </row>
    <row r="7336" spans="1:10" x14ac:dyDescent="0.25">
      <c r="A7336">
        <v>8250</v>
      </c>
      <c r="B7336" t="s">
        <v>33329</v>
      </c>
      <c r="C7336">
        <v>461</v>
      </c>
      <c r="D7336">
        <v>422</v>
      </c>
      <c r="E7336">
        <v>1576840655</v>
      </c>
      <c r="F7336">
        <v>3817</v>
      </c>
      <c r="G7336">
        <v>0</v>
      </c>
      <c r="H7336" t="s">
        <v>12255</v>
      </c>
      <c r="I7336">
        <v>8250</v>
      </c>
      <c r="J7336" t="str">
        <f>VLOOKUP(E7336,DSSpieler!A:B,2,FALSE)</f>
        <v>Kaputus</v>
      </c>
    </row>
    <row r="7337" spans="1:10" x14ac:dyDescent="0.25">
      <c r="A7337">
        <v>8251</v>
      </c>
      <c r="B7337" t="s">
        <v>531</v>
      </c>
      <c r="C7337">
        <v>556</v>
      </c>
      <c r="D7337">
        <v>431</v>
      </c>
      <c r="E7337">
        <v>0</v>
      </c>
      <c r="F7337">
        <v>288</v>
      </c>
      <c r="G7337">
        <v>0</v>
      </c>
      <c r="H7337" t="s">
        <v>12256</v>
      </c>
      <c r="I7337">
        <v>8251</v>
      </c>
      <c r="J7337" t="e">
        <f>VLOOKUP(E7337,DSSpieler!A:B,2,FALSE)</f>
        <v>#N/A</v>
      </c>
    </row>
    <row r="7338" spans="1:10" x14ac:dyDescent="0.25">
      <c r="A7338">
        <v>8253</v>
      </c>
      <c r="B7338" t="s">
        <v>531</v>
      </c>
      <c r="C7338">
        <v>558</v>
      </c>
      <c r="D7338">
        <v>432</v>
      </c>
      <c r="E7338">
        <v>0</v>
      </c>
      <c r="F7338">
        <v>476</v>
      </c>
      <c r="G7338">
        <v>0</v>
      </c>
      <c r="H7338" t="s">
        <v>12257</v>
      </c>
      <c r="I7338">
        <v>8253</v>
      </c>
      <c r="J7338" t="e">
        <f>VLOOKUP(E7338,DSSpieler!A:B,2,FALSE)</f>
        <v>#N/A</v>
      </c>
    </row>
    <row r="7339" spans="1:10" x14ac:dyDescent="0.25">
      <c r="A7339">
        <v>8254</v>
      </c>
      <c r="B7339" t="s">
        <v>31636</v>
      </c>
      <c r="C7339">
        <v>412</v>
      </c>
      <c r="D7339">
        <v>528</v>
      </c>
      <c r="E7339">
        <v>1576658322</v>
      </c>
      <c r="F7339">
        <v>2372</v>
      </c>
      <c r="G7339">
        <v>0</v>
      </c>
      <c r="H7339" t="s">
        <v>12258</v>
      </c>
      <c r="I7339">
        <v>8254</v>
      </c>
      <c r="J7339" t="str">
        <f>VLOOKUP(E7339,DSSpieler!A:B,2,FALSE)</f>
        <v>stafflv2</v>
      </c>
    </row>
    <row r="7340" spans="1:10" x14ac:dyDescent="0.25">
      <c r="A7340">
        <v>8255</v>
      </c>
      <c r="B7340" t="s">
        <v>531</v>
      </c>
      <c r="C7340">
        <v>587</v>
      </c>
      <c r="D7340">
        <v>517</v>
      </c>
      <c r="E7340">
        <v>0</v>
      </c>
      <c r="F7340">
        <v>360</v>
      </c>
      <c r="G7340">
        <v>0</v>
      </c>
      <c r="H7340" t="s">
        <v>12259</v>
      </c>
      <c r="I7340">
        <v>8255</v>
      </c>
      <c r="J7340" t="e">
        <f>VLOOKUP(E7340,DSSpieler!A:B,2,FALSE)</f>
        <v>#N/A</v>
      </c>
    </row>
    <row r="7341" spans="1:10" x14ac:dyDescent="0.25">
      <c r="A7341">
        <v>8256</v>
      </c>
      <c r="B7341" t="s">
        <v>33330</v>
      </c>
      <c r="C7341">
        <v>526</v>
      </c>
      <c r="D7341">
        <v>414</v>
      </c>
      <c r="E7341">
        <v>1577189724</v>
      </c>
      <c r="F7341">
        <v>1617</v>
      </c>
      <c r="G7341">
        <v>0</v>
      </c>
      <c r="H7341" t="s">
        <v>12260</v>
      </c>
      <c r="I7341">
        <v>8256</v>
      </c>
      <c r="J7341" t="str">
        <f>VLOOKUP(E7341,DSSpieler!A:B,2,FALSE)</f>
        <v>CriPTiccX</v>
      </c>
    </row>
    <row r="7342" spans="1:10" x14ac:dyDescent="0.25">
      <c r="A7342">
        <v>8257</v>
      </c>
      <c r="B7342" t="s">
        <v>531</v>
      </c>
      <c r="C7342">
        <v>566</v>
      </c>
      <c r="D7342">
        <v>559</v>
      </c>
      <c r="E7342">
        <v>0</v>
      </c>
      <c r="F7342">
        <v>409</v>
      </c>
      <c r="G7342">
        <v>0</v>
      </c>
      <c r="H7342" t="s">
        <v>12261</v>
      </c>
      <c r="I7342">
        <v>8257</v>
      </c>
      <c r="J7342" t="e">
        <f>VLOOKUP(E7342,DSSpieler!A:B,2,FALSE)</f>
        <v>#N/A</v>
      </c>
    </row>
    <row r="7343" spans="1:10" x14ac:dyDescent="0.25">
      <c r="A7343">
        <v>8258</v>
      </c>
      <c r="B7343" t="s">
        <v>531</v>
      </c>
      <c r="C7343">
        <v>576</v>
      </c>
      <c r="D7343">
        <v>455</v>
      </c>
      <c r="E7343">
        <v>0</v>
      </c>
      <c r="F7343">
        <v>236</v>
      </c>
      <c r="G7343">
        <v>0</v>
      </c>
      <c r="H7343" t="s">
        <v>12262</v>
      </c>
      <c r="I7343">
        <v>8258</v>
      </c>
      <c r="J7343" t="e">
        <f>VLOOKUP(E7343,DSSpieler!A:B,2,FALSE)</f>
        <v>#N/A</v>
      </c>
    </row>
    <row r="7344" spans="1:10" x14ac:dyDescent="0.25">
      <c r="A7344">
        <v>8259</v>
      </c>
      <c r="B7344" t="s">
        <v>78</v>
      </c>
      <c r="C7344">
        <v>593</v>
      </c>
      <c r="D7344">
        <v>510</v>
      </c>
      <c r="E7344">
        <v>9284860</v>
      </c>
      <c r="F7344">
        <v>4859</v>
      </c>
      <c r="G7344">
        <v>0</v>
      </c>
      <c r="H7344" t="s">
        <v>12263</v>
      </c>
      <c r="I7344">
        <v>8259</v>
      </c>
      <c r="J7344" t="str">
        <f>VLOOKUP(E7344,DSSpieler!A:B,2,FALSE)</f>
        <v>Nextwe</v>
      </c>
    </row>
    <row r="7345" spans="1:10" x14ac:dyDescent="0.25">
      <c r="A7345">
        <v>8260</v>
      </c>
      <c r="B7345" t="s">
        <v>531</v>
      </c>
      <c r="C7345">
        <v>423</v>
      </c>
      <c r="D7345">
        <v>538</v>
      </c>
      <c r="E7345">
        <v>0</v>
      </c>
      <c r="F7345">
        <v>386</v>
      </c>
      <c r="G7345">
        <v>0</v>
      </c>
      <c r="H7345" t="s">
        <v>12264</v>
      </c>
      <c r="I7345">
        <v>8260</v>
      </c>
      <c r="J7345" t="e">
        <f>VLOOKUP(E7345,DSSpieler!A:B,2,FALSE)</f>
        <v>#N/A</v>
      </c>
    </row>
    <row r="7346" spans="1:10" x14ac:dyDescent="0.25">
      <c r="A7346">
        <v>8261</v>
      </c>
      <c r="B7346" t="s">
        <v>33331</v>
      </c>
      <c r="C7346">
        <v>417</v>
      </c>
      <c r="D7346">
        <v>470</v>
      </c>
      <c r="E7346">
        <v>1576220948</v>
      </c>
      <c r="F7346">
        <v>5796</v>
      </c>
      <c r="G7346">
        <v>0</v>
      </c>
      <c r="H7346" t="s">
        <v>12265</v>
      </c>
      <c r="I7346">
        <v>8261</v>
      </c>
      <c r="J7346" t="str">
        <f>VLOOKUP(E7346,DSSpieler!A:B,2,FALSE)</f>
        <v>BoostedBonobos</v>
      </c>
    </row>
    <row r="7347" spans="1:10" x14ac:dyDescent="0.25">
      <c r="A7347">
        <v>8262</v>
      </c>
      <c r="B7347" t="s">
        <v>531</v>
      </c>
      <c r="C7347">
        <v>414</v>
      </c>
      <c r="D7347">
        <v>485</v>
      </c>
      <c r="E7347">
        <v>0</v>
      </c>
      <c r="F7347">
        <v>393</v>
      </c>
      <c r="G7347">
        <v>0</v>
      </c>
      <c r="H7347" t="s">
        <v>12266</v>
      </c>
      <c r="I7347">
        <v>8262</v>
      </c>
      <c r="J7347" t="e">
        <f>VLOOKUP(E7347,DSSpieler!A:B,2,FALSE)</f>
        <v>#N/A</v>
      </c>
    </row>
    <row r="7348" spans="1:10" x14ac:dyDescent="0.25">
      <c r="A7348">
        <v>8263</v>
      </c>
      <c r="B7348" t="s">
        <v>531</v>
      </c>
      <c r="C7348">
        <v>456</v>
      </c>
      <c r="D7348">
        <v>421</v>
      </c>
      <c r="E7348">
        <v>0</v>
      </c>
      <c r="F7348">
        <v>278</v>
      </c>
      <c r="G7348">
        <v>0</v>
      </c>
      <c r="H7348" t="s">
        <v>12267</v>
      </c>
      <c r="I7348">
        <v>8263</v>
      </c>
      <c r="J7348" t="e">
        <f>VLOOKUP(E7348,DSSpieler!A:B,2,FALSE)</f>
        <v>#N/A</v>
      </c>
    </row>
    <row r="7349" spans="1:10" x14ac:dyDescent="0.25">
      <c r="A7349">
        <v>8264</v>
      </c>
      <c r="B7349" t="s">
        <v>531</v>
      </c>
      <c r="C7349">
        <v>412</v>
      </c>
      <c r="D7349">
        <v>484</v>
      </c>
      <c r="E7349">
        <v>0</v>
      </c>
      <c r="F7349">
        <v>240</v>
      </c>
      <c r="G7349">
        <v>0</v>
      </c>
      <c r="H7349" t="s">
        <v>12268</v>
      </c>
      <c r="I7349">
        <v>8264</v>
      </c>
      <c r="J7349" t="e">
        <f>VLOOKUP(E7349,DSSpieler!A:B,2,FALSE)</f>
        <v>#N/A</v>
      </c>
    </row>
    <row r="7350" spans="1:10" x14ac:dyDescent="0.25">
      <c r="A7350">
        <v>8265</v>
      </c>
      <c r="B7350" t="s">
        <v>531</v>
      </c>
      <c r="C7350">
        <v>586</v>
      </c>
      <c r="D7350">
        <v>486</v>
      </c>
      <c r="E7350">
        <v>0</v>
      </c>
      <c r="F7350">
        <v>238</v>
      </c>
      <c r="G7350">
        <v>0</v>
      </c>
      <c r="H7350" t="s">
        <v>12269</v>
      </c>
      <c r="I7350">
        <v>8265</v>
      </c>
      <c r="J7350" t="e">
        <f>VLOOKUP(E7350,DSSpieler!A:B,2,FALSE)</f>
        <v>#N/A</v>
      </c>
    </row>
    <row r="7351" spans="1:10" x14ac:dyDescent="0.25">
      <c r="A7351">
        <v>8266</v>
      </c>
      <c r="B7351" t="s">
        <v>1707</v>
      </c>
      <c r="C7351">
        <v>496</v>
      </c>
      <c r="D7351">
        <v>414</v>
      </c>
      <c r="E7351">
        <v>1577186337</v>
      </c>
      <c r="F7351">
        <v>4876</v>
      </c>
      <c r="G7351">
        <v>0</v>
      </c>
      <c r="H7351" t="s">
        <v>12270</v>
      </c>
      <c r="I7351">
        <v>8266</v>
      </c>
      <c r="J7351" t="str">
        <f>VLOOKUP(E7351,DSSpieler!A:B,2,FALSE)</f>
        <v>Yanman10</v>
      </c>
    </row>
    <row r="7352" spans="1:10" x14ac:dyDescent="0.25">
      <c r="A7352">
        <v>8267</v>
      </c>
      <c r="B7352" t="s">
        <v>531</v>
      </c>
      <c r="C7352">
        <v>500</v>
      </c>
      <c r="D7352">
        <v>587</v>
      </c>
      <c r="E7352">
        <v>0</v>
      </c>
      <c r="F7352">
        <v>297</v>
      </c>
      <c r="G7352">
        <v>0</v>
      </c>
      <c r="H7352" t="s">
        <v>12271</v>
      </c>
      <c r="I7352">
        <v>8267</v>
      </c>
      <c r="J7352" t="e">
        <f>VLOOKUP(E7352,DSSpieler!A:B,2,FALSE)</f>
        <v>#N/A</v>
      </c>
    </row>
    <row r="7353" spans="1:10" x14ac:dyDescent="0.25">
      <c r="A7353">
        <v>8268</v>
      </c>
      <c r="B7353" t="s">
        <v>1578</v>
      </c>
      <c r="C7353">
        <v>583</v>
      </c>
      <c r="D7353">
        <v>526</v>
      </c>
      <c r="E7353">
        <v>1577164616</v>
      </c>
      <c r="F7353">
        <v>5311</v>
      </c>
      <c r="G7353">
        <v>0</v>
      </c>
      <c r="H7353" t="s">
        <v>12272</v>
      </c>
      <c r="I7353">
        <v>8268</v>
      </c>
      <c r="J7353" t="str">
        <f>VLOOKUP(E7353,DSSpieler!A:B,2,FALSE)</f>
        <v>Ljubix98</v>
      </c>
    </row>
    <row r="7354" spans="1:10" x14ac:dyDescent="0.25">
      <c r="A7354">
        <v>8269</v>
      </c>
      <c r="B7354" t="s">
        <v>531</v>
      </c>
      <c r="C7354">
        <v>414</v>
      </c>
      <c r="D7354">
        <v>474</v>
      </c>
      <c r="E7354">
        <v>0</v>
      </c>
      <c r="F7354">
        <v>238</v>
      </c>
      <c r="G7354">
        <v>0</v>
      </c>
      <c r="H7354" t="s">
        <v>12273</v>
      </c>
      <c r="I7354">
        <v>8269</v>
      </c>
      <c r="J7354" t="e">
        <f>VLOOKUP(E7354,DSSpieler!A:B,2,FALSE)</f>
        <v>#N/A</v>
      </c>
    </row>
    <row r="7355" spans="1:10" x14ac:dyDescent="0.25">
      <c r="A7355">
        <v>8271</v>
      </c>
      <c r="B7355" t="s">
        <v>531</v>
      </c>
      <c r="C7355">
        <v>586</v>
      </c>
      <c r="D7355">
        <v>480</v>
      </c>
      <c r="E7355">
        <v>0</v>
      </c>
      <c r="F7355">
        <v>204</v>
      </c>
      <c r="G7355">
        <v>0</v>
      </c>
      <c r="H7355" t="s">
        <v>12274</v>
      </c>
      <c r="I7355">
        <v>8271</v>
      </c>
      <c r="J7355" t="e">
        <f>VLOOKUP(E7355,DSSpieler!A:B,2,FALSE)</f>
        <v>#N/A</v>
      </c>
    </row>
    <row r="7356" spans="1:10" x14ac:dyDescent="0.25">
      <c r="A7356">
        <v>8273</v>
      </c>
      <c r="B7356">
        <v>3</v>
      </c>
      <c r="C7356">
        <v>514</v>
      </c>
      <c r="D7356">
        <v>411</v>
      </c>
      <c r="E7356">
        <v>1577193787</v>
      </c>
      <c r="F7356">
        <v>6395</v>
      </c>
      <c r="G7356">
        <v>0</v>
      </c>
      <c r="H7356" t="s">
        <v>12275</v>
      </c>
      <c r="I7356">
        <v>8273</v>
      </c>
      <c r="J7356" t="str">
        <f>VLOOKUP(E7356,DSSpieler!A:B,2,FALSE)</f>
        <v>dapeter</v>
      </c>
    </row>
    <row r="7357" spans="1:10" x14ac:dyDescent="0.25">
      <c r="A7357">
        <v>8274</v>
      </c>
      <c r="B7357" t="s">
        <v>531</v>
      </c>
      <c r="C7357">
        <v>467</v>
      </c>
      <c r="D7357">
        <v>584</v>
      </c>
      <c r="E7357">
        <v>0</v>
      </c>
      <c r="F7357">
        <v>313</v>
      </c>
      <c r="G7357">
        <v>0</v>
      </c>
      <c r="H7357" t="s">
        <v>12276</v>
      </c>
      <c r="I7357">
        <v>8274</v>
      </c>
      <c r="J7357" t="e">
        <f>VLOOKUP(E7357,DSSpieler!A:B,2,FALSE)</f>
        <v>#N/A</v>
      </c>
    </row>
    <row r="7358" spans="1:10" x14ac:dyDescent="0.25">
      <c r="A7358">
        <v>8275</v>
      </c>
      <c r="B7358">
        <v>1</v>
      </c>
      <c r="C7358">
        <v>450</v>
      </c>
      <c r="D7358">
        <v>574</v>
      </c>
      <c r="E7358">
        <v>1577165289</v>
      </c>
      <c r="F7358">
        <v>6720</v>
      </c>
      <c r="G7358">
        <v>0</v>
      </c>
      <c r="H7358" t="s">
        <v>12277</v>
      </c>
      <c r="I7358">
        <v>8275</v>
      </c>
      <c r="J7358" t="str">
        <f>VLOOKUP(E7358,DSSpieler!A:B,2,FALSE)</f>
        <v>Ragnar Lockbrock</v>
      </c>
    </row>
    <row r="7359" spans="1:10" x14ac:dyDescent="0.25">
      <c r="A7359">
        <v>8276</v>
      </c>
      <c r="B7359" t="s">
        <v>531</v>
      </c>
      <c r="C7359">
        <v>424</v>
      </c>
      <c r="D7359">
        <v>455</v>
      </c>
      <c r="E7359">
        <v>0</v>
      </c>
      <c r="F7359">
        <v>246</v>
      </c>
      <c r="G7359">
        <v>0</v>
      </c>
      <c r="H7359" t="s">
        <v>12278</v>
      </c>
      <c r="I7359">
        <v>8276</v>
      </c>
      <c r="J7359" t="e">
        <f>VLOOKUP(E7359,DSSpieler!A:B,2,FALSE)</f>
        <v>#N/A</v>
      </c>
    </row>
    <row r="7360" spans="1:10" x14ac:dyDescent="0.25">
      <c r="A7360">
        <v>8280</v>
      </c>
      <c r="B7360" t="s">
        <v>531</v>
      </c>
      <c r="C7360">
        <v>440</v>
      </c>
      <c r="D7360">
        <v>565</v>
      </c>
      <c r="E7360">
        <v>0</v>
      </c>
      <c r="F7360">
        <v>793</v>
      </c>
      <c r="G7360">
        <v>0</v>
      </c>
      <c r="H7360" t="s">
        <v>12279</v>
      </c>
      <c r="I7360">
        <v>8280</v>
      </c>
      <c r="J7360" t="e">
        <f>VLOOKUP(E7360,DSSpieler!A:B,2,FALSE)</f>
        <v>#N/A</v>
      </c>
    </row>
    <row r="7361" spans="1:10" x14ac:dyDescent="0.25">
      <c r="A7361">
        <v>8281</v>
      </c>
      <c r="B7361" t="s">
        <v>531</v>
      </c>
      <c r="C7361">
        <v>552</v>
      </c>
      <c r="D7361">
        <v>569</v>
      </c>
      <c r="E7361">
        <v>0</v>
      </c>
      <c r="F7361">
        <v>264</v>
      </c>
      <c r="G7361">
        <v>0</v>
      </c>
      <c r="H7361" t="s">
        <v>12280</v>
      </c>
      <c r="I7361">
        <v>8281</v>
      </c>
      <c r="J7361" t="e">
        <f>VLOOKUP(E7361,DSSpieler!A:B,2,FALSE)</f>
        <v>#N/A</v>
      </c>
    </row>
    <row r="7362" spans="1:10" x14ac:dyDescent="0.25">
      <c r="A7362">
        <v>8282</v>
      </c>
      <c r="B7362" t="s">
        <v>33332</v>
      </c>
      <c r="C7362">
        <v>414</v>
      </c>
      <c r="D7362">
        <v>523</v>
      </c>
      <c r="E7362">
        <v>1577124717</v>
      </c>
      <c r="F7362">
        <v>4577</v>
      </c>
      <c r="G7362">
        <v>0</v>
      </c>
      <c r="H7362" t="s">
        <v>12281</v>
      </c>
      <c r="I7362">
        <v>8282</v>
      </c>
      <c r="J7362" t="str">
        <f>VLOOKUP(E7362,DSSpieler!A:B,2,FALSE)</f>
        <v>Bangbaby</v>
      </c>
    </row>
    <row r="7363" spans="1:10" x14ac:dyDescent="0.25">
      <c r="A7363">
        <v>8284</v>
      </c>
      <c r="B7363" t="s">
        <v>531</v>
      </c>
      <c r="C7363">
        <v>418</v>
      </c>
      <c r="D7363">
        <v>535</v>
      </c>
      <c r="E7363">
        <v>0</v>
      </c>
      <c r="F7363">
        <v>89</v>
      </c>
      <c r="G7363">
        <v>0</v>
      </c>
      <c r="H7363" t="s">
        <v>12282</v>
      </c>
      <c r="I7363">
        <v>8284</v>
      </c>
      <c r="J7363" t="e">
        <f>VLOOKUP(E7363,DSSpieler!A:B,2,FALSE)</f>
        <v>#N/A</v>
      </c>
    </row>
    <row r="7364" spans="1:10" x14ac:dyDescent="0.25">
      <c r="A7364">
        <v>8285</v>
      </c>
      <c r="B7364" t="s">
        <v>531</v>
      </c>
      <c r="C7364">
        <v>425</v>
      </c>
      <c r="D7364">
        <v>546</v>
      </c>
      <c r="E7364">
        <v>0</v>
      </c>
      <c r="F7364">
        <v>321</v>
      </c>
      <c r="G7364">
        <v>0</v>
      </c>
      <c r="H7364" t="s">
        <v>12283</v>
      </c>
      <c r="I7364">
        <v>8285</v>
      </c>
      <c r="J7364" t="e">
        <f>VLOOKUP(E7364,DSSpieler!A:B,2,FALSE)</f>
        <v>#N/A</v>
      </c>
    </row>
    <row r="7365" spans="1:10" x14ac:dyDescent="0.25">
      <c r="A7365">
        <v>8286</v>
      </c>
      <c r="B7365" t="s">
        <v>531</v>
      </c>
      <c r="C7365">
        <v>498</v>
      </c>
      <c r="D7365">
        <v>590</v>
      </c>
      <c r="E7365">
        <v>0</v>
      </c>
      <c r="F7365">
        <v>53</v>
      </c>
      <c r="G7365">
        <v>0</v>
      </c>
      <c r="H7365" t="s">
        <v>12284</v>
      </c>
      <c r="I7365">
        <v>8286</v>
      </c>
      <c r="J7365" t="e">
        <f>VLOOKUP(E7365,DSSpieler!A:B,2,FALSE)</f>
        <v>#N/A</v>
      </c>
    </row>
    <row r="7366" spans="1:10" x14ac:dyDescent="0.25">
      <c r="A7366">
        <v>8287</v>
      </c>
      <c r="B7366" t="s">
        <v>33333</v>
      </c>
      <c r="C7366">
        <v>588</v>
      </c>
      <c r="D7366">
        <v>521</v>
      </c>
      <c r="E7366">
        <v>1577166878</v>
      </c>
      <c r="F7366">
        <v>123</v>
      </c>
      <c r="G7366">
        <v>0</v>
      </c>
      <c r="H7366" t="s">
        <v>12285</v>
      </c>
      <c r="I7366">
        <v>8287</v>
      </c>
      <c r="J7366" t="str">
        <f>VLOOKUP(E7366,DSSpieler!A:B,2,FALSE)</f>
        <v>dadaone</v>
      </c>
    </row>
    <row r="7367" spans="1:10" x14ac:dyDescent="0.25">
      <c r="A7367">
        <v>8288</v>
      </c>
      <c r="B7367" t="s">
        <v>531</v>
      </c>
      <c r="C7367">
        <v>532</v>
      </c>
      <c r="D7367">
        <v>583</v>
      </c>
      <c r="E7367">
        <v>0</v>
      </c>
      <c r="F7367">
        <v>761</v>
      </c>
      <c r="G7367">
        <v>0</v>
      </c>
      <c r="H7367" t="s">
        <v>12286</v>
      </c>
      <c r="I7367">
        <v>8288</v>
      </c>
      <c r="J7367" t="e">
        <f>VLOOKUP(E7367,DSSpieler!A:B,2,FALSE)</f>
        <v>#N/A</v>
      </c>
    </row>
    <row r="7368" spans="1:10" x14ac:dyDescent="0.25">
      <c r="A7368">
        <v>8289</v>
      </c>
      <c r="B7368" t="s">
        <v>531</v>
      </c>
      <c r="C7368">
        <v>531</v>
      </c>
      <c r="D7368">
        <v>418</v>
      </c>
      <c r="E7368">
        <v>0</v>
      </c>
      <c r="F7368">
        <v>201</v>
      </c>
      <c r="G7368">
        <v>0</v>
      </c>
      <c r="H7368" t="s">
        <v>12287</v>
      </c>
      <c r="I7368">
        <v>8289</v>
      </c>
      <c r="J7368" t="e">
        <f>VLOOKUP(E7368,DSSpieler!A:B,2,FALSE)</f>
        <v>#N/A</v>
      </c>
    </row>
    <row r="7369" spans="1:10" x14ac:dyDescent="0.25">
      <c r="A7369">
        <v>8290</v>
      </c>
      <c r="B7369" t="s">
        <v>531</v>
      </c>
      <c r="C7369">
        <v>500</v>
      </c>
      <c r="D7369">
        <v>411</v>
      </c>
      <c r="E7369">
        <v>1577198979</v>
      </c>
      <c r="F7369">
        <v>1704</v>
      </c>
      <c r="G7369">
        <v>0</v>
      </c>
      <c r="H7369" t="s">
        <v>12288</v>
      </c>
      <c r="I7369">
        <v>8290</v>
      </c>
      <c r="J7369" t="str">
        <f>VLOOKUP(E7369,DSSpieler!A:B,2,FALSE)</f>
        <v>Asswin</v>
      </c>
    </row>
    <row r="7370" spans="1:10" x14ac:dyDescent="0.25">
      <c r="A7370">
        <v>8291</v>
      </c>
      <c r="B7370" t="s">
        <v>695</v>
      </c>
      <c r="C7370">
        <v>425</v>
      </c>
      <c r="D7370">
        <v>543</v>
      </c>
      <c r="E7370">
        <v>1577184870</v>
      </c>
      <c r="F7370">
        <v>1752</v>
      </c>
      <c r="G7370">
        <v>0</v>
      </c>
      <c r="H7370" t="s">
        <v>12289</v>
      </c>
      <c r="I7370">
        <v>8291</v>
      </c>
      <c r="J7370" t="str">
        <f>VLOOKUP(E7370,DSSpieler!A:B,2,FALSE)</f>
        <v>Toschie</v>
      </c>
    </row>
    <row r="7371" spans="1:10" x14ac:dyDescent="0.25">
      <c r="A7371">
        <v>8292</v>
      </c>
      <c r="B7371" t="s">
        <v>30979</v>
      </c>
      <c r="C7371">
        <v>425</v>
      </c>
      <c r="D7371">
        <v>442</v>
      </c>
      <c r="E7371">
        <v>503235</v>
      </c>
      <c r="F7371">
        <v>4938</v>
      </c>
      <c r="G7371">
        <v>0</v>
      </c>
      <c r="H7371" t="s">
        <v>12290</v>
      </c>
      <c r="I7371">
        <v>8292</v>
      </c>
      <c r="J7371" t="str">
        <f>VLOOKUP(E7371,DSSpieler!A:B,2,FALSE)</f>
        <v>TizianW</v>
      </c>
    </row>
    <row r="7372" spans="1:10" x14ac:dyDescent="0.25">
      <c r="A7372">
        <v>8293</v>
      </c>
      <c r="B7372" t="s">
        <v>33334</v>
      </c>
      <c r="C7372">
        <v>464</v>
      </c>
      <c r="D7372">
        <v>579</v>
      </c>
      <c r="E7372">
        <v>1577194670</v>
      </c>
      <c r="F7372">
        <v>3610</v>
      </c>
      <c r="G7372">
        <v>0</v>
      </c>
      <c r="H7372" t="s">
        <v>12291</v>
      </c>
      <c r="I7372">
        <v>8293</v>
      </c>
      <c r="J7372" t="str">
        <f>VLOOKUP(E7372,DSSpieler!A:B,2,FALSE)</f>
        <v>Angelo Merte</v>
      </c>
    </row>
    <row r="7373" spans="1:10" x14ac:dyDescent="0.25">
      <c r="A7373">
        <v>8294</v>
      </c>
      <c r="B7373" t="s">
        <v>1708</v>
      </c>
      <c r="C7373">
        <v>509</v>
      </c>
      <c r="D7373">
        <v>408</v>
      </c>
      <c r="E7373">
        <v>1577184786</v>
      </c>
      <c r="F7373">
        <v>4392</v>
      </c>
      <c r="G7373">
        <v>0</v>
      </c>
      <c r="H7373" t="s">
        <v>12292</v>
      </c>
      <c r="I7373">
        <v>8294</v>
      </c>
      <c r="J7373" t="str">
        <f>VLOOKUP(E7373,DSSpieler!A:B,2,FALSE)</f>
        <v>Dann</v>
      </c>
    </row>
    <row r="7374" spans="1:10" x14ac:dyDescent="0.25">
      <c r="A7374">
        <v>8295</v>
      </c>
      <c r="B7374">
        <v>3</v>
      </c>
      <c r="C7374">
        <v>497</v>
      </c>
      <c r="D7374">
        <v>590</v>
      </c>
      <c r="E7374">
        <v>9364534</v>
      </c>
      <c r="F7374">
        <v>2831</v>
      </c>
      <c r="G7374">
        <v>0</v>
      </c>
      <c r="H7374" t="s">
        <v>12293</v>
      </c>
      <c r="I7374">
        <v>8295</v>
      </c>
      <c r="J7374" t="str">
        <f>VLOOKUP(E7374,DSSpieler!A:B,2,FALSE)</f>
        <v>Aemok</v>
      </c>
    </row>
    <row r="7375" spans="1:10" x14ac:dyDescent="0.25">
      <c r="A7375">
        <v>8296</v>
      </c>
      <c r="B7375" t="s">
        <v>531</v>
      </c>
      <c r="C7375">
        <v>581</v>
      </c>
      <c r="D7375">
        <v>535</v>
      </c>
      <c r="E7375">
        <v>0</v>
      </c>
      <c r="F7375">
        <v>345</v>
      </c>
      <c r="G7375">
        <v>0</v>
      </c>
      <c r="H7375" t="s">
        <v>12294</v>
      </c>
      <c r="I7375">
        <v>8296</v>
      </c>
      <c r="J7375" t="e">
        <f>VLOOKUP(E7375,DSSpieler!A:B,2,FALSE)</f>
        <v>#N/A</v>
      </c>
    </row>
    <row r="7376" spans="1:10" x14ac:dyDescent="0.25">
      <c r="A7376">
        <v>8298</v>
      </c>
      <c r="B7376" t="s">
        <v>531</v>
      </c>
      <c r="C7376">
        <v>447</v>
      </c>
      <c r="D7376">
        <v>428</v>
      </c>
      <c r="E7376">
        <v>0</v>
      </c>
      <c r="F7376">
        <v>227</v>
      </c>
      <c r="G7376">
        <v>0</v>
      </c>
      <c r="H7376" t="s">
        <v>12295</v>
      </c>
      <c r="I7376">
        <v>8298</v>
      </c>
      <c r="J7376" t="e">
        <f>VLOOKUP(E7376,DSSpieler!A:B,2,FALSE)</f>
        <v>#N/A</v>
      </c>
    </row>
    <row r="7377" spans="1:10" x14ac:dyDescent="0.25">
      <c r="A7377">
        <v>8299</v>
      </c>
      <c r="B7377" t="s">
        <v>30532</v>
      </c>
      <c r="C7377">
        <v>462</v>
      </c>
      <c r="D7377">
        <v>515</v>
      </c>
      <c r="E7377">
        <v>1576704931</v>
      </c>
      <c r="F7377">
        <v>3241</v>
      </c>
      <c r="G7377">
        <v>0</v>
      </c>
      <c r="H7377" t="s">
        <v>12296</v>
      </c>
      <c r="I7377">
        <v>8299</v>
      </c>
      <c r="J7377" t="str">
        <f>VLOOKUP(E7377,DSSpieler!A:B,2,FALSE)</f>
        <v>Phyton1</v>
      </c>
    </row>
    <row r="7378" spans="1:10" x14ac:dyDescent="0.25">
      <c r="A7378">
        <v>8300</v>
      </c>
      <c r="B7378" t="s">
        <v>531</v>
      </c>
      <c r="C7378">
        <v>480</v>
      </c>
      <c r="D7378">
        <v>415</v>
      </c>
      <c r="E7378">
        <v>0</v>
      </c>
      <c r="F7378">
        <v>187</v>
      </c>
      <c r="G7378">
        <v>0</v>
      </c>
      <c r="H7378" t="s">
        <v>12297</v>
      </c>
      <c r="I7378">
        <v>8300</v>
      </c>
      <c r="J7378" t="e">
        <f>VLOOKUP(E7378,DSSpieler!A:B,2,FALSE)</f>
        <v>#N/A</v>
      </c>
    </row>
    <row r="7379" spans="1:10" x14ac:dyDescent="0.25">
      <c r="A7379">
        <v>8301</v>
      </c>
      <c r="B7379" t="s">
        <v>531</v>
      </c>
      <c r="C7379">
        <v>418</v>
      </c>
      <c r="D7379">
        <v>465</v>
      </c>
      <c r="E7379">
        <v>0</v>
      </c>
      <c r="F7379">
        <v>210</v>
      </c>
      <c r="G7379">
        <v>0</v>
      </c>
      <c r="H7379" t="s">
        <v>12298</v>
      </c>
      <c r="I7379">
        <v>8301</v>
      </c>
      <c r="J7379" t="e">
        <f>VLOOKUP(E7379,DSSpieler!A:B,2,FALSE)</f>
        <v>#N/A</v>
      </c>
    </row>
    <row r="7380" spans="1:10" x14ac:dyDescent="0.25">
      <c r="A7380">
        <v>8302</v>
      </c>
      <c r="B7380" t="s">
        <v>33335</v>
      </c>
      <c r="C7380">
        <v>413</v>
      </c>
      <c r="D7380">
        <v>504</v>
      </c>
      <c r="E7380">
        <v>8525385</v>
      </c>
      <c r="F7380">
        <v>5341</v>
      </c>
      <c r="G7380">
        <v>0</v>
      </c>
      <c r="H7380" t="s">
        <v>12299</v>
      </c>
      <c r="I7380">
        <v>8302</v>
      </c>
      <c r="J7380" t="str">
        <f>VLOOKUP(E7380,DSSpieler!A:B,2,FALSE)</f>
        <v>DieBonze</v>
      </c>
    </row>
    <row r="7381" spans="1:10" x14ac:dyDescent="0.25">
      <c r="A7381">
        <v>8303</v>
      </c>
      <c r="B7381" t="s">
        <v>531</v>
      </c>
      <c r="C7381">
        <v>448</v>
      </c>
      <c r="D7381">
        <v>426</v>
      </c>
      <c r="E7381">
        <v>0</v>
      </c>
      <c r="F7381">
        <v>339</v>
      </c>
      <c r="G7381">
        <v>0</v>
      </c>
      <c r="H7381" t="s">
        <v>12300</v>
      </c>
      <c r="I7381">
        <v>8303</v>
      </c>
      <c r="J7381" t="e">
        <f>VLOOKUP(E7381,DSSpieler!A:B,2,FALSE)</f>
        <v>#N/A</v>
      </c>
    </row>
    <row r="7382" spans="1:10" x14ac:dyDescent="0.25">
      <c r="A7382">
        <v>8304</v>
      </c>
      <c r="B7382" t="s">
        <v>33336</v>
      </c>
      <c r="C7382">
        <v>479</v>
      </c>
      <c r="D7382">
        <v>415</v>
      </c>
      <c r="E7382">
        <v>1577168769</v>
      </c>
      <c r="F7382">
        <v>1526</v>
      </c>
      <c r="G7382">
        <v>0</v>
      </c>
      <c r="H7382" t="s">
        <v>12301</v>
      </c>
      <c r="I7382">
        <v>8304</v>
      </c>
      <c r="J7382" t="str">
        <f>VLOOKUP(E7382,DSSpieler!A:B,2,FALSE)</f>
        <v>Disemborg1</v>
      </c>
    </row>
    <row r="7383" spans="1:10" x14ac:dyDescent="0.25">
      <c r="A7383">
        <v>8305</v>
      </c>
      <c r="B7383" t="s">
        <v>531</v>
      </c>
      <c r="C7383">
        <v>477</v>
      </c>
      <c r="D7383">
        <v>416</v>
      </c>
      <c r="E7383">
        <v>0</v>
      </c>
      <c r="F7383">
        <v>483</v>
      </c>
      <c r="G7383">
        <v>0</v>
      </c>
      <c r="H7383" t="s">
        <v>12302</v>
      </c>
      <c r="I7383">
        <v>8305</v>
      </c>
      <c r="J7383" t="e">
        <f>VLOOKUP(E7383,DSSpieler!A:B,2,FALSE)</f>
        <v>#N/A</v>
      </c>
    </row>
    <row r="7384" spans="1:10" x14ac:dyDescent="0.25">
      <c r="A7384">
        <v>8306</v>
      </c>
      <c r="B7384" t="s">
        <v>531</v>
      </c>
      <c r="C7384">
        <v>480</v>
      </c>
      <c r="D7384">
        <v>411</v>
      </c>
      <c r="E7384">
        <v>0</v>
      </c>
      <c r="F7384">
        <v>143</v>
      </c>
      <c r="G7384">
        <v>0</v>
      </c>
      <c r="H7384" t="s">
        <v>12303</v>
      </c>
      <c r="I7384">
        <v>8306</v>
      </c>
      <c r="J7384" t="e">
        <f>VLOOKUP(E7384,DSSpieler!A:B,2,FALSE)</f>
        <v>#N/A</v>
      </c>
    </row>
    <row r="7385" spans="1:10" x14ac:dyDescent="0.25">
      <c r="A7385">
        <v>8307</v>
      </c>
      <c r="B7385" t="s">
        <v>531</v>
      </c>
      <c r="C7385">
        <v>577</v>
      </c>
      <c r="D7385">
        <v>547</v>
      </c>
      <c r="E7385">
        <v>0</v>
      </c>
      <c r="F7385">
        <v>269</v>
      </c>
      <c r="G7385">
        <v>0</v>
      </c>
      <c r="H7385" t="s">
        <v>12304</v>
      </c>
      <c r="I7385">
        <v>8307</v>
      </c>
      <c r="J7385" t="e">
        <f>VLOOKUP(E7385,DSSpieler!A:B,2,FALSE)</f>
        <v>#N/A</v>
      </c>
    </row>
    <row r="7386" spans="1:10" x14ac:dyDescent="0.25">
      <c r="A7386">
        <v>8308</v>
      </c>
      <c r="B7386" t="s">
        <v>33337</v>
      </c>
      <c r="C7386">
        <v>470</v>
      </c>
      <c r="D7386">
        <v>418</v>
      </c>
      <c r="E7386">
        <v>2249768</v>
      </c>
      <c r="F7386">
        <v>3583</v>
      </c>
      <c r="G7386">
        <v>0</v>
      </c>
      <c r="H7386" t="s">
        <v>12305</v>
      </c>
      <c r="I7386">
        <v>8308</v>
      </c>
      <c r="J7386" t="str">
        <f>VLOOKUP(E7386,DSSpieler!A:B,2,FALSE)</f>
        <v>Kelevra</v>
      </c>
    </row>
    <row r="7387" spans="1:10" x14ac:dyDescent="0.25">
      <c r="A7387">
        <v>8309</v>
      </c>
      <c r="B7387" t="s">
        <v>33338</v>
      </c>
      <c r="C7387">
        <v>451</v>
      </c>
      <c r="D7387">
        <v>427</v>
      </c>
      <c r="E7387">
        <v>1577180827</v>
      </c>
      <c r="F7387">
        <v>1171</v>
      </c>
      <c r="G7387">
        <v>0</v>
      </c>
      <c r="H7387" t="s">
        <v>12306</v>
      </c>
      <c r="I7387">
        <v>8309</v>
      </c>
      <c r="J7387" t="str">
        <f>VLOOKUP(E7387,DSSpieler!A:B,2,FALSE)</f>
        <v>ChanelPreston69</v>
      </c>
    </row>
    <row r="7388" spans="1:10" x14ac:dyDescent="0.25">
      <c r="A7388">
        <v>8310</v>
      </c>
      <c r="B7388" t="s">
        <v>33339</v>
      </c>
      <c r="C7388">
        <v>586</v>
      </c>
      <c r="D7388">
        <v>524</v>
      </c>
      <c r="E7388">
        <v>1577196880</v>
      </c>
      <c r="F7388">
        <v>2780</v>
      </c>
      <c r="G7388">
        <v>0</v>
      </c>
      <c r="H7388" t="s">
        <v>12307</v>
      </c>
      <c r="I7388">
        <v>8310</v>
      </c>
      <c r="J7388" t="str">
        <f>VLOOKUP(E7388,DSSpieler!A:B,2,FALSE)</f>
        <v>criox</v>
      </c>
    </row>
    <row r="7389" spans="1:10" x14ac:dyDescent="0.25">
      <c r="A7389">
        <v>8311</v>
      </c>
      <c r="B7389" t="s">
        <v>33340</v>
      </c>
      <c r="C7389">
        <v>550</v>
      </c>
      <c r="D7389">
        <v>592</v>
      </c>
      <c r="E7389">
        <v>1577169164</v>
      </c>
      <c r="F7389">
        <v>7799</v>
      </c>
      <c r="G7389">
        <v>0</v>
      </c>
      <c r="H7389" t="s">
        <v>12308</v>
      </c>
      <c r="I7389">
        <v>8311</v>
      </c>
      <c r="J7389" t="str">
        <f>VLOOKUP(E7389,DSSpieler!A:B,2,FALSE)</f>
        <v>oitzingerbua</v>
      </c>
    </row>
    <row r="7390" spans="1:10" x14ac:dyDescent="0.25">
      <c r="A7390">
        <v>8312</v>
      </c>
      <c r="B7390" t="s">
        <v>33341</v>
      </c>
      <c r="C7390">
        <v>447</v>
      </c>
      <c r="D7390">
        <v>516</v>
      </c>
      <c r="E7390">
        <v>1577181814</v>
      </c>
      <c r="F7390">
        <v>5477</v>
      </c>
      <c r="G7390">
        <v>0</v>
      </c>
      <c r="H7390" t="s">
        <v>12309</v>
      </c>
      <c r="I7390">
        <v>8312</v>
      </c>
      <c r="J7390" t="str">
        <f>VLOOKUP(E7390,DSSpieler!A:B,2,FALSE)</f>
        <v>jack.daniels</v>
      </c>
    </row>
    <row r="7391" spans="1:10" x14ac:dyDescent="0.25">
      <c r="A7391">
        <v>8313</v>
      </c>
      <c r="B7391" t="s">
        <v>31002</v>
      </c>
      <c r="C7391">
        <v>524</v>
      </c>
      <c r="D7391">
        <v>582</v>
      </c>
      <c r="E7391">
        <v>1577163137</v>
      </c>
      <c r="F7391">
        <v>6018</v>
      </c>
      <c r="G7391">
        <v>0</v>
      </c>
      <c r="H7391" t="s">
        <v>12310</v>
      </c>
      <c r="I7391">
        <v>8313</v>
      </c>
      <c r="J7391" t="str">
        <f>VLOOKUP(E7391,DSSpieler!A:B,2,FALSE)</f>
        <v>Lord Herkulles4444</v>
      </c>
    </row>
    <row r="7392" spans="1:10" x14ac:dyDescent="0.25">
      <c r="A7392">
        <v>8314</v>
      </c>
      <c r="B7392" t="s">
        <v>33342</v>
      </c>
      <c r="C7392">
        <v>412</v>
      </c>
      <c r="D7392">
        <v>505</v>
      </c>
      <c r="E7392">
        <v>1577169199</v>
      </c>
      <c r="F7392">
        <v>5863</v>
      </c>
      <c r="G7392">
        <v>0</v>
      </c>
      <c r="H7392" t="s">
        <v>12311</v>
      </c>
      <c r="I7392">
        <v>8314</v>
      </c>
      <c r="J7392" t="str">
        <f>VLOOKUP(E7392,DSSpieler!A:B,2,FALSE)</f>
        <v>HauDiNei</v>
      </c>
    </row>
    <row r="7393" spans="1:10" x14ac:dyDescent="0.25">
      <c r="A7393">
        <v>8315</v>
      </c>
      <c r="B7393" t="s">
        <v>531</v>
      </c>
      <c r="C7393">
        <v>549</v>
      </c>
      <c r="D7393">
        <v>576</v>
      </c>
      <c r="E7393">
        <v>0</v>
      </c>
      <c r="F7393">
        <v>192</v>
      </c>
      <c r="G7393">
        <v>0</v>
      </c>
      <c r="H7393" t="s">
        <v>12312</v>
      </c>
      <c r="I7393">
        <v>8315</v>
      </c>
      <c r="J7393" t="e">
        <f>VLOOKUP(E7393,DSSpieler!A:B,2,FALSE)</f>
        <v>#N/A</v>
      </c>
    </row>
    <row r="7394" spans="1:10" x14ac:dyDescent="0.25">
      <c r="A7394">
        <v>8316</v>
      </c>
      <c r="B7394" t="s">
        <v>531</v>
      </c>
      <c r="C7394">
        <v>435</v>
      </c>
      <c r="D7394">
        <v>562</v>
      </c>
      <c r="E7394">
        <v>0</v>
      </c>
      <c r="F7394">
        <v>480</v>
      </c>
      <c r="G7394">
        <v>0</v>
      </c>
      <c r="H7394" t="s">
        <v>12313</v>
      </c>
      <c r="I7394">
        <v>8316</v>
      </c>
      <c r="J7394" t="e">
        <f>VLOOKUP(E7394,DSSpieler!A:B,2,FALSE)</f>
        <v>#N/A</v>
      </c>
    </row>
    <row r="7395" spans="1:10" x14ac:dyDescent="0.25">
      <c r="A7395">
        <v>8317</v>
      </c>
      <c r="B7395" t="s">
        <v>531</v>
      </c>
      <c r="C7395">
        <v>581</v>
      </c>
      <c r="D7395">
        <v>465</v>
      </c>
      <c r="E7395">
        <v>0</v>
      </c>
      <c r="F7395">
        <v>127</v>
      </c>
      <c r="G7395">
        <v>0</v>
      </c>
      <c r="H7395" t="s">
        <v>12314</v>
      </c>
      <c r="I7395">
        <v>8317</v>
      </c>
      <c r="J7395" t="e">
        <f>VLOOKUP(E7395,DSSpieler!A:B,2,FALSE)</f>
        <v>#N/A</v>
      </c>
    </row>
    <row r="7396" spans="1:10" x14ac:dyDescent="0.25">
      <c r="A7396">
        <v>8318</v>
      </c>
      <c r="B7396" t="s">
        <v>33343</v>
      </c>
      <c r="C7396">
        <v>437</v>
      </c>
      <c r="D7396">
        <v>529</v>
      </c>
      <c r="E7396">
        <v>1576755690</v>
      </c>
      <c r="F7396">
        <v>5930</v>
      </c>
      <c r="G7396">
        <v>0</v>
      </c>
      <c r="H7396" t="s">
        <v>12315</v>
      </c>
      <c r="I7396">
        <v>8318</v>
      </c>
      <c r="J7396" t="str">
        <f>VLOOKUP(E7396,DSSpieler!A:B,2,FALSE)</f>
        <v>DownForWhat</v>
      </c>
    </row>
    <row r="7397" spans="1:10" x14ac:dyDescent="0.25">
      <c r="A7397">
        <v>8319</v>
      </c>
      <c r="B7397" t="s">
        <v>531</v>
      </c>
      <c r="C7397">
        <v>431</v>
      </c>
      <c r="D7397">
        <v>559</v>
      </c>
      <c r="E7397">
        <v>0</v>
      </c>
      <c r="F7397">
        <v>222</v>
      </c>
      <c r="G7397">
        <v>0</v>
      </c>
      <c r="H7397" t="s">
        <v>12316</v>
      </c>
      <c r="I7397">
        <v>8319</v>
      </c>
      <c r="J7397" t="e">
        <f>VLOOKUP(E7397,DSSpieler!A:B,2,FALSE)</f>
        <v>#N/A</v>
      </c>
    </row>
    <row r="7398" spans="1:10" x14ac:dyDescent="0.25">
      <c r="A7398">
        <v>8320</v>
      </c>
      <c r="B7398" t="s">
        <v>673</v>
      </c>
      <c r="C7398">
        <v>584</v>
      </c>
      <c r="D7398">
        <v>533</v>
      </c>
      <c r="E7398">
        <v>1577112350</v>
      </c>
      <c r="F7398">
        <v>5224</v>
      </c>
      <c r="G7398">
        <v>0</v>
      </c>
      <c r="H7398" t="s">
        <v>12317</v>
      </c>
      <c r="I7398">
        <v>8320</v>
      </c>
      <c r="J7398" t="str">
        <f>VLOOKUP(E7398,DSSpieler!A:B,2,FALSE)</f>
        <v>AtesKangal</v>
      </c>
    </row>
    <row r="7399" spans="1:10" x14ac:dyDescent="0.25">
      <c r="A7399">
        <v>8322</v>
      </c>
      <c r="B7399" t="s">
        <v>531</v>
      </c>
      <c r="C7399">
        <v>551</v>
      </c>
      <c r="D7399">
        <v>572</v>
      </c>
      <c r="E7399">
        <v>0</v>
      </c>
      <c r="F7399">
        <v>230</v>
      </c>
      <c r="G7399">
        <v>0</v>
      </c>
      <c r="H7399" t="s">
        <v>12318</v>
      </c>
      <c r="I7399">
        <v>8322</v>
      </c>
      <c r="J7399" t="e">
        <f>VLOOKUP(E7399,DSSpieler!A:B,2,FALSE)</f>
        <v>#N/A</v>
      </c>
    </row>
    <row r="7400" spans="1:10" x14ac:dyDescent="0.25">
      <c r="A7400">
        <v>8323</v>
      </c>
      <c r="B7400" t="s">
        <v>531</v>
      </c>
      <c r="C7400">
        <v>545</v>
      </c>
      <c r="D7400">
        <v>421</v>
      </c>
      <c r="E7400">
        <v>0</v>
      </c>
      <c r="F7400">
        <v>231</v>
      </c>
      <c r="G7400">
        <v>0</v>
      </c>
      <c r="H7400" t="s">
        <v>12319</v>
      </c>
      <c r="I7400">
        <v>8323</v>
      </c>
      <c r="J7400" t="e">
        <f>VLOOKUP(E7400,DSSpieler!A:B,2,FALSE)</f>
        <v>#N/A</v>
      </c>
    </row>
    <row r="7401" spans="1:10" x14ac:dyDescent="0.25">
      <c r="A7401">
        <v>8324</v>
      </c>
      <c r="B7401" t="s">
        <v>1709</v>
      </c>
      <c r="C7401">
        <v>455</v>
      </c>
      <c r="D7401">
        <v>426</v>
      </c>
      <c r="E7401">
        <v>1577187159</v>
      </c>
      <c r="F7401">
        <v>4338</v>
      </c>
      <c r="G7401">
        <v>0</v>
      </c>
      <c r="H7401" t="s">
        <v>12320</v>
      </c>
      <c r="I7401">
        <v>8324</v>
      </c>
      <c r="J7401" t="str">
        <f>VLOOKUP(E7401,DSSpieler!A:B,2,FALSE)</f>
        <v>Jimbo97</v>
      </c>
    </row>
    <row r="7402" spans="1:10" x14ac:dyDescent="0.25">
      <c r="A7402">
        <v>8325</v>
      </c>
      <c r="B7402" t="s">
        <v>531</v>
      </c>
      <c r="C7402">
        <v>558</v>
      </c>
      <c r="D7402">
        <v>566</v>
      </c>
      <c r="E7402">
        <v>0</v>
      </c>
      <c r="F7402">
        <v>194</v>
      </c>
      <c r="G7402">
        <v>0</v>
      </c>
      <c r="H7402" t="s">
        <v>12321</v>
      </c>
      <c r="I7402">
        <v>8325</v>
      </c>
      <c r="J7402" t="e">
        <f>VLOOKUP(E7402,DSSpieler!A:B,2,FALSE)</f>
        <v>#N/A</v>
      </c>
    </row>
    <row r="7403" spans="1:10" x14ac:dyDescent="0.25">
      <c r="A7403">
        <v>8326</v>
      </c>
      <c r="B7403" t="s">
        <v>531</v>
      </c>
      <c r="C7403">
        <v>589</v>
      </c>
      <c r="D7403">
        <v>509</v>
      </c>
      <c r="E7403">
        <v>0</v>
      </c>
      <c r="F7403">
        <v>237</v>
      </c>
      <c r="G7403">
        <v>0</v>
      </c>
      <c r="H7403" t="s">
        <v>12322</v>
      </c>
      <c r="I7403">
        <v>8326</v>
      </c>
      <c r="J7403" t="e">
        <f>VLOOKUP(E7403,DSSpieler!A:B,2,FALSE)</f>
        <v>#N/A</v>
      </c>
    </row>
    <row r="7404" spans="1:10" x14ac:dyDescent="0.25">
      <c r="A7404">
        <v>8327</v>
      </c>
      <c r="B7404" t="s">
        <v>1710</v>
      </c>
      <c r="C7404">
        <v>416</v>
      </c>
      <c r="D7404">
        <v>528</v>
      </c>
      <c r="E7404">
        <v>1577170479</v>
      </c>
      <c r="F7404">
        <v>548</v>
      </c>
      <c r="G7404">
        <v>0</v>
      </c>
      <c r="H7404" t="s">
        <v>12323</v>
      </c>
      <c r="I7404">
        <v>8327</v>
      </c>
      <c r="J7404" t="str">
        <f>VLOOKUP(E7404,DSSpieler!A:B,2,FALSE)</f>
        <v>Lois97</v>
      </c>
    </row>
    <row r="7405" spans="1:10" x14ac:dyDescent="0.25">
      <c r="A7405">
        <v>8329</v>
      </c>
      <c r="B7405" t="s">
        <v>33344</v>
      </c>
      <c r="C7405">
        <v>547</v>
      </c>
      <c r="D7405">
        <v>576</v>
      </c>
      <c r="E7405">
        <v>1577170736</v>
      </c>
      <c r="F7405">
        <v>2503</v>
      </c>
      <c r="G7405">
        <v>0</v>
      </c>
      <c r="H7405" t="s">
        <v>12324</v>
      </c>
      <c r="I7405">
        <v>8329</v>
      </c>
      <c r="J7405" t="str">
        <f>VLOOKUP(E7405,DSSpieler!A:B,2,FALSE)</f>
        <v>JustinKoenig</v>
      </c>
    </row>
    <row r="7406" spans="1:10" x14ac:dyDescent="0.25">
      <c r="A7406">
        <v>8330</v>
      </c>
      <c r="B7406" t="s">
        <v>33345</v>
      </c>
      <c r="C7406">
        <v>413</v>
      </c>
      <c r="D7406">
        <v>500</v>
      </c>
      <c r="E7406">
        <v>1577001566</v>
      </c>
      <c r="F7406">
        <v>2381</v>
      </c>
      <c r="G7406">
        <v>0</v>
      </c>
      <c r="H7406" t="s">
        <v>12325</v>
      </c>
      <c r="I7406">
        <v>8330</v>
      </c>
      <c r="J7406" t="str">
        <f>VLOOKUP(E7406,DSSpieler!A:B,2,FALSE)</f>
        <v>Bwing2017</v>
      </c>
    </row>
    <row r="7407" spans="1:10" x14ac:dyDescent="0.25">
      <c r="A7407">
        <v>8331</v>
      </c>
      <c r="B7407" t="s">
        <v>531</v>
      </c>
      <c r="C7407">
        <v>445</v>
      </c>
      <c r="D7407">
        <v>573</v>
      </c>
      <c r="E7407">
        <v>0</v>
      </c>
      <c r="F7407">
        <v>210</v>
      </c>
      <c r="G7407">
        <v>0</v>
      </c>
      <c r="H7407" t="s">
        <v>12326</v>
      </c>
      <c r="I7407">
        <v>8331</v>
      </c>
      <c r="J7407" t="e">
        <f>VLOOKUP(E7407,DSSpieler!A:B,2,FALSE)</f>
        <v>#N/A</v>
      </c>
    </row>
    <row r="7408" spans="1:10" x14ac:dyDescent="0.25">
      <c r="A7408">
        <v>8333</v>
      </c>
      <c r="B7408" t="s">
        <v>33346</v>
      </c>
      <c r="C7408">
        <v>431</v>
      </c>
      <c r="D7408">
        <v>445</v>
      </c>
      <c r="E7408">
        <v>1576770016</v>
      </c>
      <c r="F7408">
        <v>1362</v>
      </c>
      <c r="G7408">
        <v>0</v>
      </c>
      <c r="H7408" t="s">
        <v>12327</v>
      </c>
      <c r="I7408">
        <v>8333</v>
      </c>
      <c r="J7408" t="str">
        <f>VLOOKUP(E7408,DSSpieler!A:B,2,FALSE)</f>
        <v>jeriksson7</v>
      </c>
    </row>
    <row r="7409" spans="1:10" x14ac:dyDescent="0.25">
      <c r="A7409">
        <v>8334</v>
      </c>
      <c r="B7409" t="s">
        <v>33347</v>
      </c>
      <c r="C7409">
        <v>557</v>
      </c>
      <c r="D7409">
        <v>431</v>
      </c>
      <c r="E7409">
        <v>1577114452</v>
      </c>
      <c r="F7409">
        <v>2294</v>
      </c>
      <c r="G7409">
        <v>0</v>
      </c>
      <c r="H7409" t="s">
        <v>12328</v>
      </c>
      <c r="I7409">
        <v>8334</v>
      </c>
      <c r="J7409" t="str">
        <f>VLOOKUP(E7409,DSSpieler!A:B,2,FALSE)</f>
        <v>Reza</v>
      </c>
    </row>
    <row r="7410" spans="1:10" x14ac:dyDescent="0.25">
      <c r="A7410">
        <v>8335</v>
      </c>
      <c r="B7410" t="s">
        <v>531</v>
      </c>
      <c r="C7410">
        <v>587</v>
      </c>
      <c r="D7410">
        <v>477</v>
      </c>
      <c r="E7410">
        <v>0</v>
      </c>
      <c r="F7410">
        <v>304</v>
      </c>
      <c r="G7410">
        <v>0</v>
      </c>
      <c r="H7410" t="s">
        <v>12329</v>
      </c>
      <c r="I7410">
        <v>8335</v>
      </c>
      <c r="J7410" t="e">
        <f>VLOOKUP(E7410,DSSpieler!A:B,2,FALSE)</f>
        <v>#N/A</v>
      </c>
    </row>
    <row r="7411" spans="1:10" x14ac:dyDescent="0.25">
      <c r="A7411">
        <v>8336</v>
      </c>
      <c r="B7411" t="s">
        <v>33348</v>
      </c>
      <c r="C7411">
        <v>534</v>
      </c>
      <c r="D7411">
        <v>396</v>
      </c>
      <c r="E7411">
        <v>1577035634</v>
      </c>
      <c r="F7411">
        <v>5500</v>
      </c>
      <c r="G7411">
        <v>0</v>
      </c>
      <c r="H7411" t="s">
        <v>12330</v>
      </c>
      <c r="I7411">
        <v>8336</v>
      </c>
      <c r="J7411" t="str">
        <f>VLOOKUP(E7411,DSSpieler!A:B,2,FALSE)</f>
        <v>my1234</v>
      </c>
    </row>
    <row r="7412" spans="1:10" x14ac:dyDescent="0.25">
      <c r="A7412">
        <v>8337</v>
      </c>
      <c r="B7412" t="s">
        <v>33349</v>
      </c>
      <c r="C7412">
        <v>459</v>
      </c>
      <c r="D7412">
        <v>579</v>
      </c>
      <c r="E7412">
        <v>1577171484</v>
      </c>
      <c r="F7412">
        <v>183</v>
      </c>
      <c r="G7412">
        <v>0</v>
      </c>
      <c r="H7412" t="s">
        <v>12331</v>
      </c>
      <c r="I7412">
        <v>8337</v>
      </c>
      <c r="J7412" t="str">
        <f>VLOOKUP(E7412,DSSpieler!A:B,2,FALSE)</f>
        <v>Cell18</v>
      </c>
    </row>
    <row r="7413" spans="1:10" x14ac:dyDescent="0.25">
      <c r="A7413">
        <v>8338</v>
      </c>
      <c r="B7413">
        <v>3</v>
      </c>
      <c r="C7413">
        <v>580</v>
      </c>
      <c r="D7413">
        <v>433</v>
      </c>
      <c r="E7413">
        <v>1576974573</v>
      </c>
      <c r="F7413">
        <v>3557</v>
      </c>
      <c r="G7413">
        <v>0</v>
      </c>
      <c r="H7413" t="s">
        <v>12332</v>
      </c>
      <c r="I7413">
        <v>8338</v>
      </c>
      <c r="J7413" t="str">
        <f>VLOOKUP(E7413,DSSpieler!A:B,2,FALSE)</f>
        <v>SCHM%C3%84TTERling</v>
      </c>
    </row>
    <row r="7414" spans="1:10" x14ac:dyDescent="0.25">
      <c r="A7414">
        <v>8339</v>
      </c>
      <c r="B7414" t="s">
        <v>531</v>
      </c>
      <c r="C7414">
        <v>469</v>
      </c>
      <c r="D7414">
        <v>417</v>
      </c>
      <c r="E7414">
        <v>0</v>
      </c>
      <c r="F7414">
        <v>595</v>
      </c>
      <c r="G7414">
        <v>0</v>
      </c>
      <c r="H7414" t="s">
        <v>12333</v>
      </c>
      <c r="I7414">
        <v>8339</v>
      </c>
      <c r="J7414" t="e">
        <f>VLOOKUP(E7414,DSSpieler!A:B,2,FALSE)</f>
        <v>#N/A</v>
      </c>
    </row>
    <row r="7415" spans="1:10" x14ac:dyDescent="0.25">
      <c r="A7415">
        <v>8340</v>
      </c>
      <c r="B7415" t="e">
        <f>-2-+Vici+Viertel+Vidi</f>
        <v>#NAME?</v>
      </c>
      <c r="C7415">
        <v>402</v>
      </c>
      <c r="D7415">
        <v>496</v>
      </c>
      <c r="E7415">
        <v>8712301</v>
      </c>
      <c r="F7415">
        <v>3436</v>
      </c>
      <c r="G7415">
        <v>0</v>
      </c>
      <c r="H7415" t="s">
        <v>12334</v>
      </c>
      <c r="I7415">
        <v>8340</v>
      </c>
      <c r="J7415" t="str">
        <f>VLOOKUP(E7415,DSSpieler!A:B,2,FALSE)</f>
        <v>XmetonX</v>
      </c>
    </row>
    <row r="7416" spans="1:10" x14ac:dyDescent="0.25">
      <c r="A7416">
        <v>8341</v>
      </c>
      <c r="B7416" t="s">
        <v>33350</v>
      </c>
      <c r="C7416">
        <v>540</v>
      </c>
      <c r="D7416">
        <v>420</v>
      </c>
      <c r="E7416">
        <v>1576938611</v>
      </c>
      <c r="F7416">
        <v>4854</v>
      </c>
      <c r="G7416">
        <v>0</v>
      </c>
      <c r="H7416" t="s">
        <v>12335</v>
      </c>
      <c r="I7416">
        <v>8341</v>
      </c>
      <c r="J7416" t="str">
        <f>VLOOKUP(E7416,DSSpieler!A:B,2,FALSE)</f>
        <v>Veldor</v>
      </c>
    </row>
    <row r="7417" spans="1:10" x14ac:dyDescent="0.25">
      <c r="A7417">
        <v>8343</v>
      </c>
      <c r="B7417" t="s">
        <v>531</v>
      </c>
      <c r="C7417">
        <v>417</v>
      </c>
      <c r="D7417">
        <v>472</v>
      </c>
      <c r="E7417">
        <v>0</v>
      </c>
      <c r="F7417">
        <v>365</v>
      </c>
      <c r="G7417">
        <v>0</v>
      </c>
      <c r="H7417" t="s">
        <v>12336</v>
      </c>
      <c r="I7417">
        <v>8343</v>
      </c>
      <c r="J7417" t="e">
        <f>VLOOKUP(E7417,DSSpieler!A:B,2,FALSE)</f>
        <v>#N/A</v>
      </c>
    </row>
    <row r="7418" spans="1:10" x14ac:dyDescent="0.25">
      <c r="A7418">
        <v>8344</v>
      </c>
      <c r="B7418" t="s">
        <v>531</v>
      </c>
      <c r="C7418">
        <v>540</v>
      </c>
      <c r="D7418">
        <v>578</v>
      </c>
      <c r="E7418">
        <v>0</v>
      </c>
      <c r="F7418">
        <v>443</v>
      </c>
      <c r="G7418">
        <v>0</v>
      </c>
      <c r="H7418" t="s">
        <v>12337</v>
      </c>
      <c r="I7418">
        <v>8344</v>
      </c>
      <c r="J7418" t="e">
        <f>VLOOKUP(E7418,DSSpieler!A:B,2,FALSE)</f>
        <v>#N/A</v>
      </c>
    </row>
    <row r="7419" spans="1:10" x14ac:dyDescent="0.25">
      <c r="A7419">
        <v>8345</v>
      </c>
      <c r="B7419" t="s">
        <v>33351</v>
      </c>
      <c r="C7419">
        <v>411</v>
      </c>
      <c r="D7419">
        <v>514</v>
      </c>
      <c r="E7419">
        <v>1577172462</v>
      </c>
      <c r="F7419">
        <v>2875</v>
      </c>
      <c r="G7419">
        <v>0</v>
      </c>
      <c r="H7419" t="s">
        <v>12338</v>
      </c>
      <c r="I7419">
        <v>8345</v>
      </c>
      <c r="J7419" t="str">
        <f>VLOOKUP(E7419,DSSpieler!A:B,2,FALSE)</f>
        <v>Sternenfalter</v>
      </c>
    </row>
    <row r="7420" spans="1:10" x14ac:dyDescent="0.25">
      <c r="A7420">
        <v>8346</v>
      </c>
      <c r="B7420" t="s">
        <v>550</v>
      </c>
      <c r="C7420">
        <v>415</v>
      </c>
      <c r="D7420">
        <v>521</v>
      </c>
      <c r="E7420">
        <v>1577162296</v>
      </c>
      <c r="F7420">
        <v>3297</v>
      </c>
      <c r="G7420">
        <v>0</v>
      </c>
      <c r="H7420" t="s">
        <v>12339</v>
      </c>
      <c r="I7420">
        <v>8346</v>
      </c>
      <c r="J7420" t="str">
        <f>VLOOKUP(E7420,DSSpieler!A:B,2,FALSE)</f>
        <v>Tausspaul</v>
      </c>
    </row>
    <row r="7421" spans="1:10" x14ac:dyDescent="0.25">
      <c r="A7421">
        <v>8347</v>
      </c>
      <c r="B7421" t="s">
        <v>531</v>
      </c>
      <c r="C7421">
        <v>428</v>
      </c>
      <c r="D7421">
        <v>552</v>
      </c>
      <c r="E7421">
        <v>0</v>
      </c>
      <c r="F7421">
        <v>185</v>
      </c>
      <c r="G7421">
        <v>0</v>
      </c>
      <c r="H7421" t="s">
        <v>12340</v>
      </c>
      <c r="I7421">
        <v>8347</v>
      </c>
      <c r="J7421" t="e">
        <f>VLOOKUP(E7421,DSSpieler!A:B,2,FALSE)</f>
        <v>#N/A</v>
      </c>
    </row>
    <row r="7422" spans="1:10" x14ac:dyDescent="0.25">
      <c r="A7422">
        <v>8348</v>
      </c>
      <c r="B7422" t="s">
        <v>1711</v>
      </c>
      <c r="C7422">
        <v>468</v>
      </c>
      <c r="D7422">
        <v>580</v>
      </c>
      <c r="E7422">
        <v>1577192177</v>
      </c>
      <c r="F7422">
        <v>2673</v>
      </c>
      <c r="G7422">
        <v>0</v>
      </c>
      <c r="H7422" t="s">
        <v>12341</v>
      </c>
      <c r="I7422">
        <v>8348</v>
      </c>
      <c r="J7422" t="str">
        <f>VLOOKUP(E7422,DSSpieler!A:B,2,FALSE)</f>
        <v>mk1093</v>
      </c>
    </row>
    <row r="7423" spans="1:10" x14ac:dyDescent="0.25">
      <c r="A7423">
        <v>8349</v>
      </c>
      <c r="B7423" t="s">
        <v>531</v>
      </c>
      <c r="C7423">
        <v>582</v>
      </c>
      <c r="D7423">
        <v>532</v>
      </c>
      <c r="E7423">
        <v>0</v>
      </c>
      <c r="F7423">
        <v>234</v>
      </c>
      <c r="G7423">
        <v>0</v>
      </c>
      <c r="H7423" t="s">
        <v>12342</v>
      </c>
      <c r="I7423">
        <v>8349</v>
      </c>
      <c r="J7423" t="e">
        <f>VLOOKUP(E7423,DSSpieler!A:B,2,FALSE)</f>
        <v>#N/A</v>
      </c>
    </row>
    <row r="7424" spans="1:10" x14ac:dyDescent="0.25">
      <c r="A7424">
        <v>8350</v>
      </c>
      <c r="B7424" t="s">
        <v>531</v>
      </c>
      <c r="C7424">
        <v>479</v>
      </c>
      <c r="D7424">
        <v>414</v>
      </c>
      <c r="E7424">
        <v>0</v>
      </c>
      <c r="F7424">
        <v>125</v>
      </c>
      <c r="G7424">
        <v>0</v>
      </c>
      <c r="H7424" t="s">
        <v>12343</v>
      </c>
      <c r="I7424">
        <v>8350</v>
      </c>
      <c r="J7424" t="e">
        <f>VLOOKUP(E7424,DSSpieler!A:B,2,FALSE)</f>
        <v>#N/A</v>
      </c>
    </row>
    <row r="7425" spans="1:10" x14ac:dyDescent="0.25">
      <c r="A7425">
        <v>8351</v>
      </c>
      <c r="B7425" t="s">
        <v>531</v>
      </c>
      <c r="C7425">
        <v>540</v>
      </c>
      <c r="D7425">
        <v>580</v>
      </c>
      <c r="E7425">
        <v>0</v>
      </c>
      <c r="F7425">
        <v>295</v>
      </c>
      <c r="G7425">
        <v>0</v>
      </c>
      <c r="H7425" t="s">
        <v>12344</v>
      </c>
      <c r="I7425">
        <v>8351</v>
      </c>
      <c r="J7425" t="e">
        <f>VLOOKUP(E7425,DSSpieler!A:B,2,FALSE)</f>
        <v>#N/A</v>
      </c>
    </row>
    <row r="7426" spans="1:10" x14ac:dyDescent="0.25">
      <c r="A7426">
        <v>8352</v>
      </c>
      <c r="B7426" t="s">
        <v>1712</v>
      </c>
      <c r="C7426">
        <v>412</v>
      </c>
      <c r="D7426">
        <v>491</v>
      </c>
      <c r="E7426">
        <v>1577173102</v>
      </c>
      <c r="F7426">
        <v>4903</v>
      </c>
      <c r="G7426">
        <v>0</v>
      </c>
      <c r="H7426" t="s">
        <v>12345</v>
      </c>
      <c r="I7426">
        <v>8352</v>
      </c>
      <c r="J7426" t="str">
        <f>VLOOKUP(E7426,DSSpieler!A:B,2,FALSE)</f>
        <v>Baxxter58</v>
      </c>
    </row>
    <row r="7427" spans="1:10" x14ac:dyDescent="0.25">
      <c r="A7427">
        <v>8353</v>
      </c>
      <c r="B7427" t="s">
        <v>33352</v>
      </c>
      <c r="C7427">
        <v>470</v>
      </c>
      <c r="D7427">
        <v>584</v>
      </c>
      <c r="E7427">
        <v>1577173242</v>
      </c>
      <c r="F7427">
        <v>287</v>
      </c>
      <c r="G7427">
        <v>0</v>
      </c>
      <c r="H7427" t="s">
        <v>12346</v>
      </c>
      <c r="I7427">
        <v>8353</v>
      </c>
      <c r="J7427" t="str">
        <f>VLOOKUP(E7427,DSSpieler!A:B,2,FALSE)</f>
        <v>Max0981</v>
      </c>
    </row>
    <row r="7428" spans="1:10" x14ac:dyDescent="0.25">
      <c r="A7428">
        <v>8354</v>
      </c>
      <c r="B7428" t="s">
        <v>531</v>
      </c>
      <c r="C7428">
        <v>467</v>
      </c>
      <c r="D7428">
        <v>417</v>
      </c>
      <c r="E7428">
        <v>0</v>
      </c>
      <c r="F7428">
        <v>427</v>
      </c>
      <c r="G7428">
        <v>0</v>
      </c>
      <c r="H7428" t="s">
        <v>12347</v>
      </c>
      <c r="I7428">
        <v>8354</v>
      </c>
      <c r="J7428" t="e">
        <f>VLOOKUP(E7428,DSSpieler!A:B,2,FALSE)</f>
        <v>#N/A</v>
      </c>
    </row>
    <row r="7429" spans="1:10" x14ac:dyDescent="0.25">
      <c r="A7429">
        <v>8355</v>
      </c>
      <c r="B7429" t="s">
        <v>531</v>
      </c>
      <c r="C7429">
        <v>596</v>
      </c>
      <c r="D7429">
        <v>514</v>
      </c>
      <c r="E7429">
        <v>0</v>
      </c>
      <c r="F7429">
        <v>852</v>
      </c>
      <c r="G7429">
        <v>0</v>
      </c>
      <c r="H7429" t="s">
        <v>12348</v>
      </c>
      <c r="I7429">
        <v>8355</v>
      </c>
      <c r="J7429" t="e">
        <f>VLOOKUP(E7429,DSSpieler!A:B,2,FALSE)</f>
        <v>#N/A</v>
      </c>
    </row>
    <row r="7430" spans="1:10" x14ac:dyDescent="0.25">
      <c r="A7430">
        <v>8356</v>
      </c>
      <c r="B7430" t="s">
        <v>1713</v>
      </c>
      <c r="C7430">
        <v>582</v>
      </c>
      <c r="D7430">
        <v>463</v>
      </c>
      <c r="E7430">
        <v>1577173434</v>
      </c>
      <c r="F7430">
        <v>349</v>
      </c>
      <c r="G7430">
        <v>0</v>
      </c>
      <c r="H7430" t="s">
        <v>12349</v>
      </c>
      <c r="I7430">
        <v>8356</v>
      </c>
      <c r="J7430" t="str">
        <f>VLOOKUP(E7430,DSSpieler!A:B,2,FALSE)</f>
        <v>Ju7788</v>
      </c>
    </row>
    <row r="7431" spans="1:10" x14ac:dyDescent="0.25">
      <c r="A7431">
        <v>8357</v>
      </c>
      <c r="B7431" t="s">
        <v>531</v>
      </c>
      <c r="C7431">
        <v>577</v>
      </c>
      <c r="D7431">
        <v>541</v>
      </c>
      <c r="E7431">
        <v>0</v>
      </c>
      <c r="F7431">
        <v>358</v>
      </c>
      <c r="G7431">
        <v>0</v>
      </c>
      <c r="H7431" t="s">
        <v>12350</v>
      </c>
      <c r="I7431">
        <v>8357</v>
      </c>
      <c r="J7431" t="e">
        <f>VLOOKUP(E7431,DSSpieler!A:B,2,FALSE)</f>
        <v>#N/A</v>
      </c>
    </row>
    <row r="7432" spans="1:10" x14ac:dyDescent="0.25">
      <c r="A7432">
        <v>8358</v>
      </c>
      <c r="B7432" t="s">
        <v>531</v>
      </c>
      <c r="C7432">
        <v>477</v>
      </c>
      <c r="D7432">
        <v>415</v>
      </c>
      <c r="E7432">
        <v>0</v>
      </c>
      <c r="F7432">
        <v>201</v>
      </c>
      <c r="G7432">
        <v>0</v>
      </c>
      <c r="H7432" t="s">
        <v>12351</v>
      </c>
      <c r="I7432">
        <v>8358</v>
      </c>
      <c r="J7432" t="e">
        <f>VLOOKUP(E7432,DSSpieler!A:B,2,FALSE)</f>
        <v>#N/A</v>
      </c>
    </row>
    <row r="7433" spans="1:10" x14ac:dyDescent="0.25">
      <c r="A7433">
        <v>8359</v>
      </c>
      <c r="B7433" t="s">
        <v>531</v>
      </c>
      <c r="C7433">
        <v>412</v>
      </c>
      <c r="D7433">
        <v>522</v>
      </c>
      <c r="E7433">
        <v>0</v>
      </c>
      <c r="F7433">
        <v>245</v>
      </c>
      <c r="G7433">
        <v>0</v>
      </c>
      <c r="H7433" t="s">
        <v>12352</v>
      </c>
      <c r="I7433">
        <v>8359</v>
      </c>
      <c r="J7433" t="e">
        <f>VLOOKUP(E7433,DSSpieler!A:B,2,FALSE)</f>
        <v>#N/A</v>
      </c>
    </row>
    <row r="7434" spans="1:10" x14ac:dyDescent="0.25">
      <c r="A7434">
        <v>8360</v>
      </c>
      <c r="B7434" t="s">
        <v>531</v>
      </c>
      <c r="C7434">
        <v>416</v>
      </c>
      <c r="D7434">
        <v>469</v>
      </c>
      <c r="E7434">
        <v>0</v>
      </c>
      <c r="F7434">
        <v>358</v>
      </c>
      <c r="G7434">
        <v>0</v>
      </c>
      <c r="H7434" t="s">
        <v>12353</v>
      </c>
      <c r="I7434">
        <v>8360</v>
      </c>
      <c r="J7434" t="e">
        <f>VLOOKUP(E7434,DSSpieler!A:B,2,FALSE)</f>
        <v>#N/A</v>
      </c>
    </row>
    <row r="7435" spans="1:10" x14ac:dyDescent="0.25">
      <c r="A7435">
        <v>8361</v>
      </c>
      <c r="B7435" t="s">
        <v>531</v>
      </c>
      <c r="C7435">
        <v>410</v>
      </c>
      <c r="D7435">
        <v>492</v>
      </c>
      <c r="E7435">
        <v>0</v>
      </c>
      <c r="F7435">
        <v>468</v>
      </c>
      <c r="G7435">
        <v>0</v>
      </c>
      <c r="H7435" t="s">
        <v>12354</v>
      </c>
      <c r="I7435">
        <v>8361</v>
      </c>
      <c r="J7435" t="e">
        <f>VLOOKUP(E7435,DSSpieler!A:B,2,FALSE)</f>
        <v>#N/A</v>
      </c>
    </row>
    <row r="7436" spans="1:10" x14ac:dyDescent="0.25">
      <c r="A7436">
        <v>8362</v>
      </c>
      <c r="B7436" t="s">
        <v>531</v>
      </c>
      <c r="C7436">
        <v>414</v>
      </c>
      <c r="D7436">
        <v>512</v>
      </c>
      <c r="E7436">
        <v>0</v>
      </c>
      <c r="F7436">
        <v>261</v>
      </c>
      <c r="G7436">
        <v>0</v>
      </c>
      <c r="H7436" t="s">
        <v>12355</v>
      </c>
      <c r="I7436">
        <v>8362</v>
      </c>
      <c r="J7436" t="e">
        <f>VLOOKUP(E7436,DSSpieler!A:B,2,FALSE)</f>
        <v>#N/A</v>
      </c>
    </row>
    <row r="7437" spans="1:10" x14ac:dyDescent="0.25">
      <c r="A7437">
        <v>8363</v>
      </c>
      <c r="B7437" t="s">
        <v>531</v>
      </c>
      <c r="C7437">
        <v>494</v>
      </c>
      <c r="D7437">
        <v>410</v>
      </c>
      <c r="E7437">
        <v>0</v>
      </c>
      <c r="F7437">
        <v>189</v>
      </c>
      <c r="G7437">
        <v>0</v>
      </c>
      <c r="H7437" t="s">
        <v>12356</v>
      </c>
      <c r="I7437">
        <v>8363</v>
      </c>
      <c r="J7437" t="e">
        <f>VLOOKUP(E7437,DSSpieler!A:B,2,FALSE)</f>
        <v>#N/A</v>
      </c>
    </row>
    <row r="7438" spans="1:10" x14ac:dyDescent="0.25">
      <c r="A7438">
        <v>8364</v>
      </c>
      <c r="B7438" t="s">
        <v>33353</v>
      </c>
      <c r="C7438">
        <v>591</v>
      </c>
      <c r="D7438">
        <v>502</v>
      </c>
      <c r="E7438">
        <v>1577174219</v>
      </c>
      <c r="F7438">
        <v>470</v>
      </c>
      <c r="G7438">
        <v>0</v>
      </c>
      <c r="H7438" t="s">
        <v>12357</v>
      </c>
      <c r="I7438">
        <v>8364</v>
      </c>
      <c r="J7438" t="str">
        <f>VLOOKUP(E7438,DSSpieler!A:B,2,FALSE)</f>
        <v>RaxonSpoor</v>
      </c>
    </row>
    <row r="7439" spans="1:10" x14ac:dyDescent="0.25">
      <c r="A7439">
        <v>8365</v>
      </c>
      <c r="B7439" t="s">
        <v>531</v>
      </c>
      <c r="C7439">
        <v>422</v>
      </c>
      <c r="D7439">
        <v>454</v>
      </c>
      <c r="E7439">
        <v>0</v>
      </c>
      <c r="F7439">
        <v>308</v>
      </c>
      <c r="G7439">
        <v>0</v>
      </c>
      <c r="H7439" t="s">
        <v>12358</v>
      </c>
      <c r="I7439">
        <v>8365</v>
      </c>
      <c r="J7439" t="e">
        <f>VLOOKUP(E7439,DSSpieler!A:B,2,FALSE)</f>
        <v>#N/A</v>
      </c>
    </row>
    <row r="7440" spans="1:10" x14ac:dyDescent="0.25">
      <c r="A7440">
        <v>8366</v>
      </c>
      <c r="B7440" t="s">
        <v>531</v>
      </c>
      <c r="C7440">
        <v>493</v>
      </c>
      <c r="D7440">
        <v>590</v>
      </c>
      <c r="E7440">
        <v>0</v>
      </c>
      <c r="F7440">
        <v>192</v>
      </c>
      <c r="G7440">
        <v>0</v>
      </c>
      <c r="H7440" t="s">
        <v>12359</v>
      </c>
      <c r="I7440">
        <v>8366</v>
      </c>
      <c r="J7440" t="e">
        <f>VLOOKUP(E7440,DSSpieler!A:B,2,FALSE)</f>
        <v>#N/A</v>
      </c>
    </row>
    <row r="7441" spans="1:10" x14ac:dyDescent="0.25">
      <c r="A7441">
        <v>8367</v>
      </c>
      <c r="B7441" t="s">
        <v>531</v>
      </c>
      <c r="C7441">
        <v>418</v>
      </c>
      <c r="D7441">
        <v>534</v>
      </c>
      <c r="E7441">
        <v>0</v>
      </c>
      <c r="F7441">
        <v>360</v>
      </c>
      <c r="G7441">
        <v>0</v>
      </c>
      <c r="H7441" t="s">
        <v>12360</v>
      </c>
      <c r="I7441">
        <v>8367</v>
      </c>
      <c r="J7441" t="e">
        <f>VLOOKUP(E7441,DSSpieler!A:B,2,FALSE)</f>
        <v>#N/A</v>
      </c>
    </row>
    <row r="7442" spans="1:10" x14ac:dyDescent="0.25">
      <c r="A7442">
        <v>8368</v>
      </c>
      <c r="B7442" t="s">
        <v>531</v>
      </c>
      <c r="C7442">
        <v>517</v>
      </c>
      <c r="D7442">
        <v>414</v>
      </c>
      <c r="E7442">
        <v>0</v>
      </c>
      <c r="F7442">
        <v>267</v>
      </c>
      <c r="G7442">
        <v>0</v>
      </c>
      <c r="H7442" t="s">
        <v>12361</v>
      </c>
      <c r="I7442">
        <v>8368</v>
      </c>
      <c r="J7442" t="e">
        <f>VLOOKUP(E7442,DSSpieler!A:B,2,FALSE)</f>
        <v>#N/A</v>
      </c>
    </row>
    <row r="7443" spans="1:10" x14ac:dyDescent="0.25">
      <c r="A7443">
        <v>8369</v>
      </c>
      <c r="B7443" t="s">
        <v>531</v>
      </c>
      <c r="C7443">
        <v>413</v>
      </c>
      <c r="D7443">
        <v>495</v>
      </c>
      <c r="E7443">
        <v>0</v>
      </c>
      <c r="F7443">
        <v>275</v>
      </c>
      <c r="G7443">
        <v>0</v>
      </c>
      <c r="H7443" t="s">
        <v>12362</v>
      </c>
      <c r="I7443">
        <v>8369</v>
      </c>
      <c r="J7443" t="e">
        <f>VLOOKUP(E7443,DSSpieler!A:B,2,FALSE)</f>
        <v>#N/A</v>
      </c>
    </row>
    <row r="7444" spans="1:10" x14ac:dyDescent="0.25">
      <c r="A7444">
        <v>8370</v>
      </c>
      <c r="B7444" t="s">
        <v>531</v>
      </c>
      <c r="C7444">
        <v>539</v>
      </c>
      <c r="D7444">
        <v>418</v>
      </c>
      <c r="E7444">
        <v>0</v>
      </c>
      <c r="F7444">
        <v>195</v>
      </c>
      <c r="G7444">
        <v>0</v>
      </c>
      <c r="H7444" t="s">
        <v>12363</v>
      </c>
      <c r="I7444">
        <v>8370</v>
      </c>
      <c r="J7444" t="e">
        <f>VLOOKUP(E7444,DSSpieler!A:B,2,FALSE)</f>
        <v>#N/A</v>
      </c>
    </row>
    <row r="7445" spans="1:10" x14ac:dyDescent="0.25">
      <c r="A7445">
        <v>8371</v>
      </c>
      <c r="B7445" t="s">
        <v>1714</v>
      </c>
      <c r="C7445">
        <v>602</v>
      </c>
      <c r="D7445">
        <v>473</v>
      </c>
      <c r="E7445">
        <v>1577174664</v>
      </c>
      <c r="F7445">
        <v>3785</v>
      </c>
      <c r="G7445">
        <v>0</v>
      </c>
      <c r="H7445" t="s">
        <v>12364</v>
      </c>
      <c r="I7445">
        <v>8371</v>
      </c>
      <c r="J7445" t="str">
        <f>VLOOKUP(E7445,DSSpieler!A:B,2,FALSE)</f>
        <v>Klafex</v>
      </c>
    </row>
    <row r="7446" spans="1:10" x14ac:dyDescent="0.25">
      <c r="A7446">
        <v>8372</v>
      </c>
      <c r="B7446" t="s">
        <v>1715</v>
      </c>
      <c r="C7446">
        <v>475</v>
      </c>
      <c r="D7446">
        <v>409</v>
      </c>
      <c r="E7446">
        <v>1577195240</v>
      </c>
      <c r="F7446">
        <v>3081</v>
      </c>
      <c r="G7446">
        <v>0</v>
      </c>
      <c r="H7446" t="s">
        <v>12365</v>
      </c>
      <c r="I7446">
        <v>8372</v>
      </c>
      <c r="J7446" t="str">
        <f>VLOOKUP(E7446,DSSpieler!A:B,2,FALSE)</f>
        <v>OldManMarc</v>
      </c>
    </row>
    <row r="7447" spans="1:10" x14ac:dyDescent="0.25">
      <c r="A7447">
        <v>8373</v>
      </c>
      <c r="B7447" t="s">
        <v>33354</v>
      </c>
      <c r="C7447">
        <v>525</v>
      </c>
      <c r="D7447">
        <v>413</v>
      </c>
      <c r="E7447">
        <v>1577174740</v>
      </c>
      <c r="F7447">
        <v>451</v>
      </c>
      <c r="G7447">
        <v>0</v>
      </c>
      <c r="H7447" t="s">
        <v>12366</v>
      </c>
      <c r="I7447">
        <v>8373</v>
      </c>
      <c r="J7447" t="str">
        <f>VLOOKUP(E7447,DSSpieler!A:B,2,FALSE)</f>
        <v>Illl</v>
      </c>
    </row>
    <row r="7448" spans="1:10" x14ac:dyDescent="0.25">
      <c r="A7448">
        <v>8375</v>
      </c>
      <c r="B7448" t="s">
        <v>1716</v>
      </c>
      <c r="C7448">
        <v>412</v>
      </c>
      <c r="D7448">
        <v>472</v>
      </c>
      <c r="E7448">
        <v>10267140</v>
      </c>
      <c r="F7448">
        <v>1969</v>
      </c>
      <c r="G7448">
        <v>0</v>
      </c>
      <c r="H7448" t="s">
        <v>12367</v>
      </c>
      <c r="I7448">
        <v>8375</v>
      </c>
      <c r="J7448" t="str">
        <f>VLOOKUP(E7448,DSSpieler!A:B,2,FALSE)</f>
        <v>Gudanggaram</v>
      </c>
    </row>
    <row r="7449" spans="1:10" x14ac:dyDescent="0.25">
      <c r="A7449">
        <v>8376</v>
      </c>
      <c r="B7449" t="s">
        <v>531</v>
      </c>
      <c r="C7449">
        <v>522</v>
      </c>
      <c r="D7449">
        <v>415</v>
      </c>
      <c r="E7449">
        <v>0</v>
      </c>
      <c r="F7449">
        <v>170</v>
      </c>
      <c r="G7449">
        <v>0</v>
      </c>
      <c r="H7449" t="s">
        <v>12368</v>
      </c>
      <c r="I7449">
        <v>8376</v>
      </c>
      <c r="J7449" t="e">
        <f>VLOOKUP(E7449,DSSpieler!A:B,2,FALSE)</f>
        <v>#N/A</v>
      </c>
    </row>
    <row r="7450" spans="1:10" x14ac:dyDescent="0.25">
      <c r="A7450">
        <v>8377</v>
      </c>
      <c r="B7450" t="s">
        <v>33355</v>
      </c>
      <c r="C7450">
        <v>458</v>
      </c>
      <c r="D7450">
        <v>576</v>
      </c>
      <c r="E7450">
        <v>1577175406</v>
      </c>
      <c r="F7450">
        <v>1919</v>
      </c>
      <c r="G7450">
        <v>0</v>
      </c>
      <c r="H7450" t="s">
        <v>12369</v>
      </c>
      <c r="I7450">
        <v>8377</v>
      </c>
      <c r="J7450" t="str">
        <f>VLOOKUP(E7450,DSSpieler!A:B,2,FALSE)</f>
        <v>Diöche</v>
      </c>
    </row>
    <row r="7451" spans="1:10" x14ac:dyDescent="0.25">
      <c r="A7451">
        <v>8379</v>
      </c>
      <c r="B7451" t="s">
        <v>531</v>
      </c>
      <c r="C7451">
        <v>463</v>
      </c>
      <c r="D7451">
        <v>420</v>
      </c>
      <c r="E7451">
        <v>0</v>
      </c>
      <c r="F7451">
        <v>396</v>
      </c>
      <c r="G7451">
        <v>0</v>
      </c>
      <c r="H7451" t="s">
        <v>12370</v>
      </c>
      <c r="I7451">
        <v>8379</v>
      </c>
      <c r="J7451" t="e">
        <f>VLOOKUP(E7451,DSSpieler!A:B,2,FALSE)</f>
        <v>#N/A</v>
      </c>
    </row>
    <row r="7452" spans="1:10" x14ac:dyDescent="0.25">
      <c r="A7452">
        <v>8380</v>
      </c>
      <c r="B7452" t="s">
        <v>531</v>
      </c>
      <c r="C7452">
        <v>577</v>
      </c>
      <c r="D7452">
        <v>454</v>
      </c>
      <c r="E7452">
        <v>0</v>
      </c>
      <c r="F7452">
        <v>293</v>
      </c>
      <c r="G7452">
        <v>0</v>
      </c>
      <c r="H7452" t="s">
        <v>12371</v>
      </c>
      <c r="I7452">
        <v>8380</v>
      </c>
      <c r="J7452" t="e">
        <f>VLOOKUP(E7452,DSSpieler!A:B,2,FALSE)</f>
        <v>#N/A</v>
      </c>
    </row>
    <row r="7453" spans="1:10" x14ac:dyDescent="0.25">
      <c r="A7453">
        <v>8381</v>
      </c>
      <c r="B7453" t="s">
        <v>33356</v>
      </c>
      <c r="C7453">
        <v>556</v>
      </c>
      <c r="D7453">
        <v>418</v>
      </c>
      <c r="E7453">
        <v>1576829331</v>
      </c>
      <c r="F7453">
        <v>1180</v>
      </c>
      <c r="G7453">
        <v>0</v>
      </c>
      <c r="H7453" t="s">
        <v>12372</v>
      </c>
      <c r="I7453">
        <v>8381</v>
      </c>
      <c r="J7453" t="str">
        <f>VLOOKUP(E7453,DSSpieler!A:B,2,FALSE)</f>
        <v>DunMaster</v>
      </c>
    </row>
    <row r="7454" spans="1:10" x14ac:dyDescent="0.25">
      <c r="A7454">
        <v>8382</v>
      </c>
      <c r="B7454" t="s">
        <v>769</v>
      </c>
      <c r="C7454">
        <v>434</v>
      </c>
      <c r="D7454">
        <v>562</v>
      </c>
      <c r="E7454">
        <v>9841263</v>
      </c>
      <c r="F7454">
        <v>4909</v>
      </c>
      <c r="G7454">
        <v>0</v>
      </c>
      <c r="H7454" t="s">
        <v>12373</v>
      </c>
      <c r="I7454">
        <v>8382</v>
      </c>
      <c r="J7454" t="str">
        <f>VLOOKUP(E7454,DSSpieler!A:B,2,FALSE)</f>
        <v>Paimon</v>
      </c>
    </row>
    <row r="7455" spans="1:10" x14ac:dyDescent="0.25">
      <c r="A7455">
        <v>8383</v>
      </c>
      <c r="B7455" t="s">
        <v>33357</v>
      </c>
      <c r="C7455">
        <v>566</v>
      </c>
      <c r="D7455">
        <v>437</v>
      </c>
      <c r="E7455">
        <v>7746251</v>
      </c>
      <c r="F7455">
        <v>3847</v>
      </c>
      <c r="G7455">
        <v>0</v>
      </c>
      <c r="H7455" t="s">
        <v>12374</v>
      </c>
      <c r="I7455">
        <v>8383</v>
      </c>
      <c r="J7455" t="str">
        <f>VLOOKUP(E7455,DSSpieler!A:B,2,FALSE)</f>
        <v>sweetsun83</v>
      </c>
    </row>
    <row r="7456" spans="1:10" x14ac:dyDescent="0.25">
      <c r="A7456">
        <v>8384</v>
      </c>
      <c r="B7456" t="s">
        <v>33358</v>
      </c>
      <c r="C7456">
        <v>505</v>
      </c>
      <c r="D7456">
        <v>591</v>
      </c>
      <c r="E7456">
        <v>1577175791</v>
      </c>
      <c r="F7456">
        <v>4011</v>
      </c>
      <c r="G7456">
        <v>0</v>
      </c>
      <c r="H7456" t="s">
        <v>12375</v>
      </c>
      <c r="I7456">
        <v>8384</v>
      </c>
      <c r="J7456" t="str">
        <f>VLOOKUP(E7456,DSSpieler!A:B,2,FALSE)</f>
        <v>Braggan</v>
      </c>
    </row>
    <row r="7457" spans="1:10" x14ac:dyDescent="0.25">
      <c r="A7457">
        <v>8385</v>
      </c>
      <c r="B7457" t="s">
        <v>531</v>
      </c>
      <c r="C7457">
        <v>412</v>
      </c>
      <c r="D7457">
        <v>483</v>
      </c>
      <c r="E7457">
        <v>0</v>
      </c>
      <c r="F7457">
        <v>448</v>
      </c>
      <c r="G7457">
        <v>0</v>
      </c>
      <c r="H7457" t="s">
        <v>12376</v>
      </c>
      <c r="I7457">
        <v>8385</v>
      </c>
      <c r="J7457" t="e">
        <f>VLOOKUP(E7457,DSSpieler!A:B,2,FALSE)</f>
        <v>#N/A</v>
      </c>
    </row>
    <row r="7458" spans="1:10" x14ac:dyDescent="0.25">
      <c r="A7458">
        <v>8386</v>
      </c>
      <c r="B7458" t="s">
        <v>1717</v>
      </c>
      <c r="C7458">
        <v>454</v>
      </c>
      <c r="D7458">
        <v>507</v>
      </c>
      <c r="E7458">
        <v>2884072</v>
      </c>
      <c r="F7458">
        <v>1743</v>
      </c>
      <c r="G7458">
        <v>0</v>
      </c>
      <c r="H7458" t="s">
        <v>12377</v>
      </c>
      <c r="I7458">
        <v>8386</v>
      </c>
      <c r="J7458" t="str">
        <f>VLOOKUP(E7458,DSSpieler!A:B,2,FALSE)</f>
        <v>clubfan96</v>
      </c>
    </row>
    <row r="7459" spans="1:10" x14ac:dyDescent="0.25">
      <c r="A7459">
        <v>8388</v>
      </c>
      <c r="B7459" t="s">
        <v>33359</v>
      </c>
      <c r="C7459">
        <v>435</v>
      </c>
      <c r="D7459">
        <v>560</v>
      </c>
      <c r="E7459">
        <v>1577176190</v>
      </c>
      <c r="F7459">
        <v>5313</v>
      </c>
      <c r="G7459">
        <v>0</v>
      </c>
      <c r="H7459" t="s">
        <v>12378</v>
      </c>
      <c r="I7459">
        <v>8388</v>
      </c>
      <c r="J7459" t="str">
        <f>VLOOKUP(E7459,DSSpieler!A:B,2,FALSE)</f>
        <v>Chuck Norris Jun</v>
      </c>
    </row>
    <row r="7460" spans="1:10" x14ac:dyDescent="0.25">
      <c r="A7460">
        <v>8389</v>
      </c>
      <c r="B7460" t="s">
        <v>531</v>
      </c>
      <c r="C7460">
        <v>548</v>
      </c>
      <c r="D7460">
        <v>423</v>
      </c>
      <c r="E7460">
        <v>0</v>
      </c>
      <c r="F7460">
        <v>219</v>
      </c>
      <c r="G7460">
        <v>0</v>
      </c>
      <c r="H7460" t="s">
        <v>12379</v>
      </c>
      <c r="I7460">
        <v>8389</v>
      </c>
      <c r="J7460" t="e">
        <f>VLOOKUP(E7460,DSSpieler!A:B,2,FALSE)</f>
        <v>#N/A</v>
      </c>
    </row>
    <row r="7461" spans="1:10" x14ac:dyDescent="0.25">
      <c r="A7461">
        <v>8390</v>
      </c>
      <c r="B7461" t="s">
        <v>33360</v>
      </c>
      <c r="C7461">
        <v>481</v>
      </c>
      <c r="D7461">
        <v>478</v>
      </c>
      <c r="E7461">
        <v>1577197270</v>
      </c>
      <c r="F7461">
        <v>5827</v>
      </c>
      <c r="G7461">
        <v>0</v>
      </c>
      <c r="H7461" t="s">
        <v>12380</v>
      </c>
      <c r="I7461">
        <v>8390</v>
      </c>
      <c r="J7461" t="str">
        <f>VLOOKUP(E7461,DSSpieler!A:B,2,FALSE)</f>
        <v>sanchezz.</v>
      </c>
    </row>
    <row r="7462" spans="1:10" x14ac:dyDescent="0.25">
      <c r="A7462">
        <v>8391</v>
      </c>
      <c r="B7462" t="s">
        <v>531</v>
      </c>
      <c r="C7462">
        <v>446</v>
      </c>
      <c r="D7462">
        <v>431</v>
      </c>
      <c r="E7462">
        <v>0</v>
      </c>
      <c r="F7462">
        <v>170</v>
      </c>
      <c r="G7462">
        <v>0</v>
      </c>
      <c r="H7462" t="s">
        <v>12381</v>
      </c>
      <c r="I7462">
        <v>8391</v>
      </c>
      <c r="J7462" t="e">
        <f>VLOOKUP(E7462,DSSpieler!A:B,2,FALSE)</f>
        <v>#N/A</v>
      </c>
    </row>
    <row r="7463" spans="1:10" x14ac:dyDescent="0.25">
      <c r="A7463">
        <v>8392</v>
      </c>
      <c r="B7463" t="s">
        <v>979</v>
      </c>
      <c r="C7463">
        <v>511</v>
      </c>
      <c r="D7463">
        <v>588</v>
      </c>
      <c r="E7463">
        <v>9589757</v>
      </c>
      <c r="F7463">
        <v>6841</v>
      </c>
      <c r="G7463">
        <v>0</v>
      </c>
      <c r="H7463" t="s">
        <v>12382</v>
      </c>
      <c r="I7463">
        <v>8392</v>
      </c>
      <c r="J7463" t="str">
        <f>VLOOKUP(E7463,DSSpieler!A:B,2,FALSE)</f>
        <v>Bluddeux</v>
      </c>
    </row>
    <row r="7464" spans="1:10" x14ac:dyDescent="0.25">
      <c r="A7464">
        <v>8393</v>
      </c>
      <c r="B7464" t="s">
        <v>531</v>
      </c>
      <c r="C7464">
        <v>580</v>
      </c>
      <c r="D7464">
        <v>441</v>
      </c>
      <c r="E7464">
        <v>0</v>
      </c>
      <c r="F7464">
        <v>556</v>
      </c>
      <c r="G7464">
        <v>0</v>
      </c>
      <c r="H7464" t="s">
        <v>12383</v>
      </c>
      <c r="I7464">
        <v>8393</v>
      </c>
      <c r="J7464" t="e">
        <f>VLOOKUP(E7464,DSSpieler!A:B,2,FALSE)</f>
        <v>#N/A</v>
      </c>
    </row>
    <row r="7465" spans="1:10" x14ac:dyDescent="0.25">
      <c r="A7465">
        <v>8394</v>
      </c>
      <c r="B7465" t="s">
        <v>531</v>
      </c>
      <c r="C7465">
        <v>556</v>
      </c>
      <c r="D7465">
        <v>429</v>
      </c>
      <c r="E7465">
        <v>0</v>
      </c>
      <c r="F7465">
        <v>211</v>
      </c>
      <c r="G7465">
        <v>0</v>
      </c>
      <c r="H7465" t="s">
        <v>12384</v>
      </c>
      <c r="I7465">
        <v>8394</v>
      </c>
      <c r="J7465" t="e">
        <f>VLOOKUP(E7465,DSSpieler!A:B,2,FALSE)</f>
        <v>#N/A</v>
      </c>
    </row>
    <row r="7466" spans="1:10" x14ac:dyDescent="0.25">
      <c r="A7466">
        <v>8396</v>
      </c>
      <c r="B7466" t="s">
        <v>531</v>
      </c>
      <c r="C7466">
        <v>544</v>
      </c>
      <c r="D7466">
        <v>576</v>
      </c>
      <c r="E7466">
        <v>0</v>
      </c>
      <c r="F7466">
        <v>277</v>
      </c>
      <c r="G7466">
        <v>0</v>
      </c>
      <c r="H7466" t="s">
        <v>12385</v>
      </c>
      <c r="I7466">
        <v>8396</v>
      </c>
      <c r="J7466" t="e">
        <f>VLOOKUP(E7466,DSSpieler!A:B,2,FALSE)</f>
        <v>#N/A</v>
      </c>
    </row>
    <row r="7467" spans="1:10" x14ac:dyDescent="0.25">
      <c r="A7467">
        <v>8398</v>
      </c>
      <c r="B7467" t="s">
        <v>531</v>
      </c>
      <c r="C7467">
        <v>465</v>
      </c>
      <c r="D7467">
        <v>584</v>
      </c>
      <c r="E7467">
        <v>0</v>
      </c>
      <c r="F7467">
        <v>258</v>
      </c>
      <c r="G7467">
        <v>0</v>
      </c>
      <c r="H7467" t="s">
        <v>12386</v>
      </c>
      <c r="I7467">
        <v>8398</v>
      </c>
      <c r="J7467" t="e">
        <f>VLOOKUP(E7467,DSSpieler!A:B,2,FALSE)</f>
        <v>#N/A</v>
      </c>
    </row>
    <row r="7468" spans="1:10" x14ac:dyDescent="0.25">
      <c r="A7468">
        <v>8399</v>
      </c>
      <c r="B7468" t="s">
        <v>531</v>
      </c>
      <c r="C7468">
        <v>567</v>
      </c>
      <c r="D7468">
        <v>438</v>
      </c>
      <c r="E7468">
        <v>0</v>
      </c>
      <c r="F7468">
        <v>328</v>
      </c>
      <c r="G7468">
        <v>0</v>
      </c>
      <c r="H7468" t="s">
        <v>12387</v>
      </c>
      <c r="I7468">
        <v>8399</v>
      </c>
      <c r="J7468" t="e">
        <f>VLOOKUP(E7468,DSSpieler!A:B,2,FALSE)</f>
        <v>#N/A</v>
      </c>
    </row>
    <row r="7469" spans="1:10" x14ac:dyDescent="0.25">
      <c r="A7469">
        <v>8400</v>
      </c>
      <c r="B7469" t="s">
        <v>33361</v>
      </c>
      <c r="C7469">
        <v>589</v>
      </c>
      <c r="D7469">
        <v>502</v>
      </c>
      <c r="E7469">
        <v>1577177766</v>
      </c>
      <c r="F7469">
        <v>910</v>
      </c>
      <c r="G7469">
        <v>0</v>
      </c>
      <c r="H7469" t="s">
        <v>12388</v>
      </c>
      <c r="I7469">
        <v>8400</v>
      </c>
      <c r="J7469" t="str">
        <f>VLOOKUP(E7469,DSSpieler!A:B,2,FALSE)</f>
        <v>fear0304</v>
      </c>
    </row>
    <row r="7470" spans="1:10" x14ac:dyDescent="0.25">
      <c r="A7470">
        <v>8401</v>
      </c>
      <c r="B7470" t="s">
        <v>531</v>
      </c>
      <c r="C7470">
        <v>411</v>
      </c>
      <c r="D7470">
        <v>488</v>
      </c>
      <c r="E7470">
        <v>0</v>
      </c>
      <c r="F7470">
        <v>110</v>
      </c>
      <c r="G7470">
        <v>0</v>
      </c>
      <c r="H7470" t="s">
        <v>12389</v>
      </c>
      <c r="I7470">
        <v>8401</v>
      </c>
      <c r="J7470" t="e">
        <f>VLOOKUP(E7470,DSSpieler!A:B,2,FALSE)</f>
        <v>#N/A</v>
      </c>
    </row>
    <row r="7471" spans="1:10" x14ac:dyDescent="0.25">
      <c r="A7471">
        <v>8402</v>
      </c>
      <c r="B7471" t="s">
        <v>531</v>
      </c>
      <c r="C7471">
        <v>574</v>
      </c>
      <c r="D7471">
        <v>448</v>
      </c>
      <c r="E7471">
        <v>0</v>
      </c>
      <c r="F7471">
        <v>475</v>
      </c>
      <c r="G7471">
        <v>0</v>
      </c>
      <c r="H7471" t="s">
        <v>12390</v>
      </c>
      <c r="I7471">
        <v>8402</v>
      </c>
      <c r="J7471" t="e">
        <f>VLOOKUP(E7471,DSSpieler!A:B,2,FALSE)</f>
        <v>#N/A</v>
      </c>
    </row>
    <row r="7472" spans="1:10" x14ac:dyDescent="0.25">
      <c r="A7472">
        <v>8403</v>
      </c>
      <c r="B7472" t="s">
        <v>531</v>
      </c>
      <c r="C7472">
        <v>525</v>
      </c>
      <c r="D7472">
        <v>415</v>
      </c>
      <c r="E7472">
        <v>0</v>
      </c>
      <c r="F7472">
        <v>293</v>
      </c>
      <c r="G7472">
        <v>0</v>
      </c>
      <c r="H7472" t="s">
        <v>12391</v>
      </c>
      <c r="I7472">
        <v>8403</v>
      </c>
      <c r="J7472" t="e">
        <f>VLOOKUP(E7472,DSSpieler!A:B,2,FALSE)</f>
        <v>#N/A</v>
      </c>
    </row>
    <row r="7473" spans="1:10" x14ac:dyDescent="0.25">
      <c r="A7473">
        <v>8404</v>
      </c>
      <c r="B7473" t="s">
        <v>33362</v>
      </c>
      <c r="C7473">
        <v>420</v>
      </c>
      <c r="D7473">
        <v>542</v>
      </c>
      <c r="E7473">
        <v>1577177998</v>
      </c>
      <c r="F7473">
        <v>4899</v>
      </c>
      <c r="G7473">
        <v>0</v>
      </c>
      <c r="H7473" t="s">
        <v>12392</v>
      </c>
      <c r="I7473">
        <v>8404</v>
      </c>
      <c r="J7473" t="str">
        <f>VLOOKUP(E7473,DSSpieler!A:B,2,FALSE)</f>
        <v>HydroOo</v>
      </c>
    </row>
    <row r="7474" spans="1:10" x14ac:dyDescent="0.25">
      <c r="A7474">
        <v>8405</v>
      </c>
      <c r="B7474">
        <v>0</v>
      </c>
      <c r="C7474">
        <v>446</v>
      </c>
      <c r="D7474">
        <v>569</v>
      </c>
      <c r="E7474">
        <v>1577178280</v>
      </c>
      <c r="F7474">
        <v>7385</v>
      </c>
      <c r="G7474">
        <v>0</v>
      </c>
      <c r="H7474" t="s">
        <v>12393</v>
      </c>
      <c r="I7474">
        <v>8405</v>
      </c>
      <c r="J7474" t="str">
        <f>VLOOKUP(E7474,DSSpieler!A:B,2,FALSE)</f>
        <v>Tactic</v>
      </c>
    </row>
    <row r="7475" spans="1:10" x14ac:dyDescent="0.25">
      <c r="A7475">
        <v>8406</v>
      </c>
      <c r="B7475" t="s">
        <v>531</v>
      </c>
      <c r="C7475">
        <v>522</v>
      </c>
      <c r="D7475">
        <v>519</v>
      </c>
      <c r="E7475">
        <v>1577196134</v>
      </c>
      <c r="F7475">
        <v>3864</v>
      </c>
      <c r="G7475">
        <v>0</v>
      </c>
      <c r="H7475" t="s">
        <v>12394</v>
      </c>
      <c r="I7475">
        <v>8406</v>
      </c>
      <c r="J7475" t="str">
        <f>VLOOKUP(E7475,DSSpieler!A:B,2,FALSE)</f>
        <v>Grössenwahnsinnig</v>
      </c>
    </row>
    <row r="7476" spans="1:10" x14ac:dyDescent="0.25">
      <c r="A7476">
        <v>8407</v>
      </c>
      <c r="B7476" t="s">
        <v>31636</v>
      </c>
      <c r="C7476">
        <v>414</v>
      </c>
      <c r="D7476">
        <v>521</v>
      </c>
      <c r="E7476">
        <v>1576658322</v>
      </c>
      <c r="F7476">
        <v>4564</v>
      </c>
      <c r="G7476">
        <v>0</v>
      </c>
      <c r="H7476" t="s">
        <v>12395</v>
      </c>
      <c r="I7476">
        <v>8407</v>
      </c>
      <c r="J7476" t="str">
        <f>VLOOKUP(E7476,DSSpieler!A:B,2,FALSE)</f>
        <v>stafflv2</v>
      </c>
    </row>
    <row r="7477" spans="1:10" x14ac:dyDescent="0.25">
      <c r="A7477">
        <v>8408</v>
      </c>
      <c r="B7477" t="s">
        <v>531</v>
      </c>
      <c r="C7477">
        <v>455</v>
      </c>
      <c r="D7477">
        <v>578</v>
      </c>
      <c r="E7477">
        <v>0</v>
      </c>
      <c r="F7477">
        <v>438</v>
      </c>
      <c r="G7477">
        <v>0</v>
      </c>
      <c r="H7477" t="s">
        <v>12396</v>
      </c>
      <c r="I7477">
        <v>8408</v>
      </c>
      <c r="J7477" t="e">
        <f>VLOOKUP(E7477,DSSpieler!A:B,2,FALSE)</f>
        <v>#N/A</v>
      </c>
    </row>
    <row r="7478" spans="1:10" x14ac:dyDescent="0.25">
      <c r="A7478">
        <v>8409</v>
      </c>
      <c r="B7478" t="s">
        <v>33363</v>
      </c>
      <c r="C7478">
        <v>591</v>
      </c>
      <c r="D7478">
        <v>500</v>
      </c>
      <c r="E7478">
        <v>1577126159</v>
      </c>
      <c r="F7478">
        <v>4345</v>
      </c>
      <c r="G7478">
        <v>0</v>
      </c>
      <c r="H7478" t="s">
        <v>12397</v>
      </c>
      <c r="I7478">
        <v>8409</v>
      </c>
      <c r="J7478" t="str">
        <f>VLOOKUP(E7478,DSSpieler!A:B,2,FALSE)</f>
        <v>Bohnski</v>
      </c>
    </row>
    <row r="7479" spans="1:10" x14ac:dyDescent="0.25">
      <c r="A7479">
        <v>8410</v>
      </c>
      <c r="B7479" t="s">
        <v>531</v>
      </c>
      <c r="C7479">
        <v>591</v>
      </c>
      <c r="D7479">
        <v>495</v>
      </c>
      <c r="E7479">
        <v>0</v>
      </c>
      <c r="F7479">
        <v>87</v>
      </c>
      <c r="G7479">
        <v>0</v>
      </c>
      <c r="H7479" t="s">
        <v>12398</v>
      </c>
      <c r="I7479">
        <v>8410</v>
      </c>
      <c r="J7479" t="e">
        <f>VLOOKUP(E7479,DSSpieler!A:B,2,FALSE)</f>
        <v>#N/A</v>
      </c>
    </row>
    <row r="7480" spans="1:10" x14ac:dyDescent="0.25">
      <c r="A7480">
        <v>8411</v>
      </c>
      <c r="B7480" t="s">
        <v>531</v>
      </c>
      <c r="C7480">
        <v>569</v>
      </c>
      <c r="D7480">
        <v>556</v>
      </c>
      <c r="E7480">
        <v>0</v>
      </c>
      <c r="F7480">
        <v>230</v>
      </c>
      <c r="G7480">
        <v>0</v>
      </c>
      <c r="H7480" t="s">
        <v>12399</v>
      </c>
      <c r="I7480">
        <v>8411</v>
      </c>
      <c r="J7480" t="e">
        <f>VLOOKUP(E7480,DSSpieler!A:B,2,FALSE)</f>
        <v>#N/A</v>
      </c>
    </row>
    <row r="7481" spans="1:10" x14ac:dyDescent="0.25">
      <c r="A7481">
        <v>8412</v>
      </c>
      <c r="B7481" t="s">
        <v>33364</v>
      </c>
      <c r="C7481">
        <v>582</v>
      </c>
      <c r="D7481">
        <v>537</v>
      </c>
      <c r="E7481">
        <v>1577178793</v>
      </c>
      <c r="F7481">
        <v>26</v>
      </c>
      <c r="G7481">
        <v>0</v>
      </c>
      <c r="H7481" t="s">
        <v>12400</v>
      </c>
      <c r="I7481">
        <v>8412</v>
      </c>
      <c r="J7481" t="str">
        <f>VLOOKUP(E7481,DSSpieler!A:B,2,FALSE)</f>
        <v>gl hf 1</v>
      </c>
    </row>
    <row r="7482" spans="1:10" x14ac:dyDescent="0.25">
      <c r="A7482">
        <v>8413</v>
      </c>
      <c r="B7482" t="s">
        <v>31636</v>
      </c>
      <c r="C7482">
        <v>413</v>
      </c>
      <c r="D7482">
        <v>528</v>
      </c>
      <c r="E7482">
        <v>1576658322</v>
      </c>
      <c r="F7482">
        <v>4899</v>
      </c>
      <c r="G7482">
        <v>0</v>
      </c>
      <c r="H7482" t="s">
        <v>12401</v>
      </c>
      <c r="I7482">
        <v>8413</v>
      </c>
      <c r="J7482" t="str">
        <f>VLOOKUP(E7482,DSSpieler!A:B,2,FALSE)</f>
        <v>stafflv2</v>
      </c>
    </row>
    <row r="7483" spans="1:10" x14ac:dyDescent="0.25">
      <c r="A7483">
        <v>8414</v>
      </c>
      <c r="B7483" t="s">
        <v>33365</v>
      </c>
      <c r="C7483">
        <v>538</v>
      </c>
      <c r="D7483">
        <v>407</v>
      </c>
      <c r="E7483">
        <v>1577173067</v>
      </c>
      <c r="F7483">
        <v>4623</v>
      </c>
      <c r="G7483">
        <v>0</v>
      </c>
      <c r="H7483" t="s">
        <v>12402</v>
      </c>
      <c r="I7483">
        <v>8414</v>
      </c>
      <c r="J7483" t="str">
        <f>VLOOKUP(E7483,DSSpieler!A:B,2,FALSE)</f>
        <v>SylarX</v>
      </c>
    </row>
    <row r="7484" spans="1:10" x14ac:dyDescent="0.25">
      <c r="A7484">
        <v>8416</v>
      </c>
      <c r="B7484" t="s">
        <v>531</v>
      </c>
      <c r="C7484">
        <v>500</v>
      </c>
      <c r="D7484">
        <v>410</v>
      </c>
      <c r="E7484">
        <v>0</v>
      </c>
      <c r="F7484">
        <v>373</v>
      </c>
      <c r="G7484">
        <v>0</v>
      </c>
      <c r="H7484" t="s">
        <v>12403</v>
      </c>
      <c r="I7484">
        <v>8416</v>
      </c>
      <c r="J7484" t="e">
        <f>VLOOKUP(E7484,DSSpieler!A:B,2,FALSE)</f>
        <v>#N/A</v>
      </c>
    </row>
    <row r="7485" spans="1:10" x14ac:dyDescent="0.25">
      <c r="A7485">
        <v>8417</v>
      </c>
      <c r="B7485" t="s">
        <v>1718</v>
      </c>
      <c r="C7485">
        <v>587</v>
      </c>
      <c r="D7485">
        <v>515</v>
      </c>
      <c r="E7485">
        <v>1577179056</v>
      </c>
      <c r="F7485">
        <v>544</v>
      </c>
      <c r="G7485">
        <v>0</v>
      </c>
      <c r="H7485" t="s">
        <v>12404</v>
      </c>
      <c r="I7485">
        <v>8417</v>
      </c>
      <c r="J7485" t="str">
        <f>VLOOKUP(E7485,DSSpieler!A:B,2,FALSE)</f>
        <v>jaiiqz</v>
      </c>
    </row>
    <row r="7486" spans="1:10" x14ac:dyDescent="0.25">
      <c r="A7486">
        <v>8418</v>
      </c>
      <c r="B7486" t="s">
        <v>531</v>
      </c>
      <c r="C7486">
        <v>552</v>
      </c>
      <c r="D7486">
        <v>572</v>
      </c>
      <c r="E7486">
        <v>0</v>
      </c>
      <c r="F7486">
        <v>297</v>
      </c>
      <c r="G7486">
        <v>0</v>
      </c>
      <c r="H7486" t="s">
        <v>12405</v>
      </c>
      <c r="I7486">
        <v>8418</v>
      </c>
      <c r="J7486" t="e">
        <f>VLOOKUP(E7486,DSSpieler!A:B,2,FALSE)</f>
        <v>#N/A</v>
      </c>
    </row>
    <row r="7487" spans="1:10" x14ac:dyDescent="0.25">
      <c r="A7487">
        <v>8419</v>
      </c>
      <c r="B7487" t="s">
        <v>531</v>
      </c>
      <c r="C7487">
        <v>590</v>
      </c>
      <c r="D7487">
        <v>508</v>
      </c>
      <c r="E7487">
        <v>0</v>
      </c>
      <c r="F7487">
        <v>1141</v>
      </c>
      <c r="G7487">
        <v>0</v>
      </c>
      <c r="H7487" t="s">
        <v>12406</v>
      </c>
      <c r="I7487">
        <v>8419</v>
      </c>
      <c r="J7487" t="e">
        <f>VLOOKUP(E7487,DSSpieler!A:B,2,FALSE)</f>
        <v>#N/A</v>
      </c>
    </row>
    <row r="7488" spans="1:10" x14ac:dyDescent="0.25">
      <c r="A7488">
        <v>8420</v>
      </c>
      <c r="B7488">
        <v>2</v>
      </c>
      <c r="C7488">
        <v>452</v>
      </c>
      <c r="D7488">
        <v>578</v>
      </c>
      <c r="E7488">
        <v>1577165289</v>
      </c>
      <c r="F7488">
        <v>2342</v>
      </c>
      <c r="G7488">
        <v>0</v>
      </c>
      <c r="H7488" t="s">
        <v>12407</v>
      </c>
      <c r="I7488">
        <v>8420</v>
      </c>
      <c r="J7488" t="str">
        <f>VLOOKUP(E7488,DSSpieler!A:B,2,FALSE)</f>
        <v>Ragnar Lockbrock</v>
      </c>
    </row>
    <row r="7489" spans="1:10" x14ac:dyDescent="0.25">
      <c r="A7489">
        <v>8421</v>
      </c>
      <c r="B7489" t="s">
        <v>531</v>
      </c>
      <c r="C7489">
        <v>477</v>
      </c>
      <c r="D7489">
        <v>414</v>
      </c>
      <c r="E7489">
        <v>0</v>
      </c>
      <c r="F7489">
        <v>346</v>
      </c>
      <c r="G7489">
        <v>0</v>
      </c>
      <c r="H7489" t="s">
        <v>12408</v>
      </c>
      <c r="I7489">
        <v>8421</v>
      </c>
      <c r="J7489" t="e">
        <f>VLOOKUP(E7489,DSSpieler!A:B,2,FALSE)</f>
        <v>#N/A</v>
      </c>
    </row>
    <row r="7490" spans="1:10" x14ac:dyDescent="0.25">
      <c r="A7490">
        <v>8422</v>
      </c>
      <c r="B7490" t="s">
        <v>531</v>
      </c>
      <c r="C7490">
        <v>542</v>
      </c>
      <c r="D7490">
        <v>421</v>
      </c>
      <c r="E7490">
        <v>0</v>
      </c>
      <c r="F7490">
        <v>187</v>
      </c>
      <c r="G7490">
        <v>0</v>
      </c>
      <c r="H7490" t="s">
        <v>12409</v>
      </c>
      <c r="I7490">
        <v>8422</v>
      </c>
      <c r="J7490" t="e">
        <f>VLOOKUP(E7490,DSSpieler!A:B,2,FALSE)</f>
        <v>#N/A</v>
      </c>
    </row>
    <row r="7491" spans="1:10" x14ac:dyDescent="0.25">
      <c r="A7491">
        <v>8423</v>
      </c>
      <c r="B7491" t="s">
        <v>33366</v>
      </c>
      <c r="C7491">
        <v>426</v>
      </c>
      <c r="D7491">
        <v>453</v>
      </c>
      <c r="E7491">
        <v>8835520</v>
      </c>
      <c r="F7491">
        <v>4355</v>
      </c>
      <c r="G7491">
        <v>0</v>
      </c>
      <c r="H7491" t="s">
        <v>12410</v>
      </c>
      <c r="I7491">
        <v>8423</v>
      </c>
      <c r="J7491" t="str">
        <f>VLOOKUP(E7491,DSSpieler!A:B,2,FALSE)</f>
        <v>miles96</v>
      </c>
    </row>
    <row r="7492" spans="1:10" x14ac:dyDescent="0.25">
      <c r="A7492">
        <v>8424</v>
      </c>
      <c r="B7492" t="s">
        <v>531</v>
      </c>
      <c r="C7492">
        <v>585</v>
      </c>
      <c r="D7492">
        <v>468</v>
      </c>
      <c r="E7492">
        <v>0</v>
      </c>
      <c r="F7492">
        <v>174</v>
      </c>
      <c r="G7492">
        <v>0</v>
      </c>
      <c r="H7492" t="s">
        <v>12411</v>
      </c>
      <c r="I7492">
        <v>8424</v>
      </c>
      <c r="J7492" t="e">
        <f>VLOOKUP(E7492,DSSpieler!A:B,2,FALSE)</f>
        <v>#N/A</v>
      </c>
    </row>
    <row r="7493" spans="1:10" x14ac:dyDescent="0.25">
      <c r="A7493">
        <v>8425</v>
      </c>
      <c r="B7493" t="s">
        <v>531</v>
      </c>
      <c r="C7493">
        <v>461</v>
      </c>
      <c r="D7493">
        <v>581</v>
      </c>
      <c r="E7493">
        <v>0</v>
      </c>
      <c r="F7493">
        <v>246</v>
      </c>
      <c r="G7493">
        <v>0</v>
      </c>
      <c r="H7493" t="s">
        <v>12412</v>
      </c>
      <c r="I7493">
        <v>8425</v>
      </c>
      <c r="J7493" t="e">
        <f>VLOOKUP(E7493,DSSpieler!A:B,2,FALSE)</f>
        <v>#N/A</v>
      </c>
    </row>
    <row r="7494" spans="1:10" x14ac:dyDescent="0.25">
      <c r="A7494">
        <v>8426</v>
      </c>
      <c r="B7494" t="s">
        <v>531</v>
      </c>
      <c r="C7494">
        <v>587</v>
      </c>
      <c r="D7494">
        <v>518</v>
      </c>
      <c r="E7494">
        <v>0</v>
      </c>
      <c r="F7494">
        <v>441</v>
      </c>
      <c r="G7494">
        <v>0</v>
      </c>
      <c r="H7494" t="s">
        <v>12413</v>
      </c>
      <c r="I7494">
        <v>8426</v>
      </c>
      <c r="J7494" t="e">
        <f>VLOOKUP(E7494,DSSpieler!A:B,2,FALSE)</f>
        <v>#N/A</v>
      </c>
    </row>
    <row r="7495" spans="1:10" x14ac:dyDescent="0.25">
      <c r="A7495">
        <v>8427</v>
      </c>
      <c r="B7495" t="s">
        <v>531</v>
      </c>
      <c r="C7495">
        <v>424</v>
      </c>
      <c r="D7495">
        <v>550</v>
      </c>
      <c r="E7495">
        <v>0</v>
      </c>
      <c r="F7495">
        <v>134</v>
      </c>
      <c r="G7495">
        <v>0</v>
      </c>
      <c r="H7495" t="s">
        <v>12414</v>
      </c>
      <c r="I7495">
        <v>8427</v>
      </c>
      <c r="J7495" t="e">
        <f>VLOOKUP(E7495,DSSpieler!A:B,2,FALSE)</f>
        <v>#N/A</v>
      </c>
    </row>
    <row r="7496" spans="1:10" x14ac:dyDescent="0.25">
      <c r="A7496">
        <v>8428</v>
      </c>
      <c r="B7496" t="s">
        <v>531</v>
      </c>
      <c r="C7496">
        <v>465</v>
      </c>
      <c r="D7496">
        <v>417</v>
      </c>
      <c r="E7496">
        <v>0</v>
      </c>
      <c r="F7496">
        <v>342</v>
      </c>
      <c r="G7496">
        <v>0</v>
      </c>
      <c r="H7496" t="s">
        <v>12415</v>
      </c>
      <c r="I7496">
        <v>8428</v>
      </c>
      <c r="J7496" t="e">
        <f>VLOOKUP(E7496,DSSpieler!A:B,2,FALSE)</f>
        <v>#N/A</v>
      </c>
    </row>
    <row r="7497" spans="1:10" x14ac:dyDescent="0.25">
      <c r="A7497">
        <v>8429</v>
      </c>
      <c r="B7497" t="s">
        <v>531</v>
      </c>
      <c r="C7497">
        <v>419</v>
      </c>
      <c r="D7497">
        <v>465</v>
      </c>
      <c r="E7497">
        <v>0</v>
      </c>
      <c r="F7497">
        <v>291</v>
      </c>
      <c r="G7497">
        <v>0</v>
      </c>
      <c r="H7497" t="s">
        <v>12416</v>
      </c>
      <c r="I7497">
        <v>8429</v>
      </c>
      <c r="J7497" t="e">
        <f>VLOOKUP(E7497,DSSpieler!A:B,2,FALSE)</f>
        <v>#N/A</v>
      </c>
    </row>
    <row r="7498" spans="1:10" x14ac:dyDescent="0.25">
      <c r="A7498">
        <v>8430</v>
      </c>
      <c r="B7498" t="s">
        <v>531</v>
      </c>
      <c r="C7498">
        <v>465</v>
      </c>
      <c r="D7498">
        <v>416</v>
      </c>
      <c r="E7498">
        <v>0</v>
      </c>
      <c r="F7498">
        <v>285</v>
      </c>
      <c r="G7498">
        <v>0</v>
      </c>
      <c r="H7498" t="s">
        <v>12417</v>
      </c>
      <c r="I7498">
        <v>8430</v>
      </c>
      <c r="J7498" t="e">
        <f>VLOOKUP(E7498,DSSpieler!A:B,2,FALSE)</f>
        <v>#N/A</v>
      </c>
    </row>
    <row r="7499" spans="1:10" x14ac:dyDescent="0.25">
      <c r="A7499">
        <v>8431</v>
      </c>
      <c r="B7499" t="s">
        <v>1719</v>
      </c>
      <c r="C7499">
        <v>462</v>
      </c>
      <c r="D7499">
        <v>484</v>
      </c>
      <c r="E7499">
        <v>1577180051</v>
      </c>
      <c r="F7499">
        <v>5775</v>
      </c>
      <c r="G7499">
        <v>0</v>
      </c>
      <c r="H7499" t="s">
        <v>12418</v>
      </c>
      <c r="I7499">
        <v>8431</v>
      </c>
      <c r="J7499" t="str">
        <f>VLOOKUP(E7499,DSSpieler!A:B,2,FALSE)</f>
        <v>Dante999</v>
      </c>
    </row>
    <row r="7500" spans="1:10" x14ac:dyDescent="0.25">
      <c r="A7500">
        <v>8432</v>
      </c>
      <c r="B7500" t="s">
        <v>531</v>
      </c>
      <c r="C7500">
        <v>494</v>
      </c>
      <c r="D7500">
        <v>409</v>
      </c>
      <c r="E7500">
        <v>0</v>
      </c>
      <c r="F7500">
        <v>531</v>
      </c>
      <c r="G7500">
        <v>0</v>
      </c>
      <c r="H7500" t="s">
        <v>12419</v>
      </c>
      <c r="I7500">
        <v>8432</v>
      </c>
      <c r="J7500" t="e">
        <f>VLOOKUP(E7500,DSSpieler!A:B,2,FALSE)</f>
        <v>#N/A</v>
      </c>
    </row>
    <row r="7501" spans="1:10" x14ac:dyDescent="0.25">
      <c r="A7501">
        <v>8433</v>
      </c>
      <c r="B7501" t="s">
        <v>531</v>
      </c>
      <c r="C7501">
        <v>546</v>
      </c>
      <c r="D7501">
        <v>577</v>
      </c>
      <c r="E7501">
        <v>0</v>
      </c>
      <c r="F7501">
        <v>724</v>
      </c>
      <c r="G7501">
        <v>0</v>
      </c>
      <c r="H7501" t="s">
        <v>12420</v>
      </c>
      <c r="I7501">
        <v>8433</v>
      </c>
      <c r="J7501" t="e">
        <f>VLOOKUP(E7501,DSSpieler!A:B,2,FALSE)</f>
        <v>#N/A</v>
      </c>
    </row>
    <row r="7502" spans="1:10" x14ac:dyDescent="0.25">
      <c r="A7502">
        <v>8434</v>
      </c>
      <c r="B7502" t="s">
        <v>531</v>
      </c>
      <c r="C7502">
        <v>516</v>
      </c>
      <c r="D7502">
        <v>589</v>
      </c>
      <c r="E7502">
        <v>0</v>
      </c>
      <c r="F7502">
        <v>402</v>
      </c>
      <c r="G7502">
        <v>0</v>
      </c>
      <c r="H7502" t="s">
        <v>12421</v>
      </c>
      <c r="I7502">
        <v>8434</v>
      </c>
      <c r="J7502" t="e">
        <f>VLOOKUP(E7502,DSSpieler!A:B,2,FALSE)</f>
        <v>#N/A</v>
      </c>
    </row>
    <row r="7503" spans="1:10" x14ac:dyDescent="0.25">
      <c r="A7503">
        <v>8435</v>
      </c>
      <c r="B7503" t="s">
        <v>531</v>
      </c>
      <c r="C7503">
        <v>475</v>
      </c>
      <c r="D7503">
        <v>588</v>
      </c>
      <c r="E7503">
        <v>0</v>
      </c>
      <c r="F7503">
        <v>288</v>
      </c>
      <c r="G7503">
        <v>0</v>
      </c>
      <c r="H7503" t="s">
        <v>12422</v>
      </c>
      <c r="I7503">
        <v>8435</v>
      </c>
      <c r="J7503" t="e">
        <f>VLOOKUP(E7503,DSSpieler!A:B,2,FALSE)</f>
        <v>#N/A</v>
      </c>
    </row>
    <row r="7504" spans="1:10" x14ac:dyDescent="0.25">
      <c r="A7504">
        <v>8437</v>
      </c>
      <c r="B7504" t="s">
        <v>33367</v>
      </c>
      <c r="C7504">
        <v>543</v>
      </c>
      <c r="D7504">
        <v>405</v>
      </c>
      <c r="E7504">
        <v>7960757</v>
      </c>
      <c r="F7504">
        <v>4953</v>
      </c>
      <c r="G7504">
        <v>0</v>
      </c>
      <c r="H7504" t="s">
        <v>12423</v>
      </c>
      <c r="I7504">
        <v>8437</v>
      </c>
      <c r="J7504" t="str">
        <f>VLOOKUP(E7504,DSSpieler!A:B,2,FALSE)</f>
        <v>Tilltanungman</v>
      </c>
    </row>
    <row r="7505" spans="1:10" x14ac:dyDescent="0.25">
      <c r="A7505">
        <v>8438</v>
      </c>
      <c r="B7505" t="s">
        <v>531</v>
      </c>
      <c r="C7505">
        <v>411</v>
      </c>
      <c r="D7505">
        <v>521</v>
      </c>
      <c r="E7505">
        <v>0</v>
      </c>
      <c r="F7505">
        <v>464</v>
      </c>
      <c r="G7505">
        <v>0</v>
      </c>
      <c r="H7505" t="s">
        <v>12424</v>
      </c>
      <c r="I7505">
        <v>8438</v>
      </c>
      <c r="J7505" t="e">
        <f>VLOOKUP(E7505,DSSpieler!A:B,2,FALSE)</f>
        <v>#N/A</v>
      </c>
    </row>
    <row r="7506" spans="1:10" x14ac:dyDescent="0.25">
      <c r="A7506">
        <v>8439</v>
      </c>
      <c r="B7506" t="s">
        <v>531</v>
      </c>
      <c r="C7506">
        <v>413</v>
      </c>
      <c r="D7506">
        <v>480</v>
      </c>
      <c r="E7506">
        <v>0</v>
      </c>
      <c r="F7506">
        <v>196</v>
      </c>
      <c r="G7506">
        <v>0</v>
      </c>
      <c r="H7506" t="s">
        <v>12425</v>
      </c>
      <c r="I7506">
        <v>8439</v>
      </c>
      <c r="J7506" t="e">
        <f>VLOOKUP(E7506,DSSpieler!A:B,2,FALSE)</f>
        <v>#N/A</v>
      </c>
    </row>
    <row r="7507" spans="1:10" x14ac:dyDescent="0.25">
      <c r="A7507">
        <v>8440</v>
      </c>
      <c r="B7507" t="s">
        <v>531</v>
      </c>
      <c r="C7507">
        <v>496</v>
      </c>
      <c r="D7507">
        <v>410</v>
      </c>
      <c r="E7507">
        <v>0</v>
      </c>
      <c r="F7507">
        <v>347</v>
      </c>
      <c r="G7507">
        <v>0</v>
      </c>
      <c r="H7507" t="s">
        <v>12426</v>
      </c>
      <c r="I7507">
        <v>8440</v>
      </c>
      <c r="J7507" t="e">
        <f>VLOOKUP(E7507,DSSpieler!A:B,2,FALSE)</f>
        <v>#N/A</v>
      </c>
    </row>
    <row r="7508" spans="1:10" x14ac:dyDescent="0.25">
      <c r="A7508">
        <v>8441</v>
      </c>
      <c r="B7508" t="s">
        <v>33368</v>
      </c>
      <c r="C7508">
        <v>414</v>
      </c>
      <c r="D7508">
        <v>552</v>
      </c>
      <c r="E7508">
        <v>1577182941</v>
      </c>
      <c r="F7508">
        <v>6342</v>
      </c>
      <c r="G7508">
        <v>0</v>
      </c>
      <c r="H7508" t="s">
        <v>12427</v>
      </c>
      <c r="I7508">
        <v>8441</v>
      </c>
      <c r="J7508" t="str">
        <f>VLOOKUP(E7508,DSSpieler!A:B,2,FALSE)</f>
        <v>Daniel47</v>
      </c>
    </row>
    <row r="7509" spans="1:10" x14ac:dyDescent="0.25">
      <c r="A7509">
        <v>8442</v>
      </c>
      <c r="B7509" t="s">
        <v>531</v>
      </c>
      <c r="C7509">
        <v>513</v>
      </c>
      <c r="D7509">
        <v>414</v>
      </c>
      <c r="E7509">
        <v>0</v>
      </c>
      <c r="F7509">
        <v>252</v>
      </c>
      <c r="G7509">
        <v>0</v>
      </c>
      <c r="H7509" t="s">
        <v>12428</v>
      </c>
      <c r="I7509">
        <v>8442</v>
      </c>
      <c r="J7509" t="e">
        <f>VLOOKUP(E7509,DSSpieler!A:B,2,FALSE)</f>
        <v>#N/A</v>
      </c>
    </row>
    <row r="7510" spans="1:10" x14ac:dyDescent="0.25">
      <c r="A7510">
        <v>8444</v>
      </c>
      <c r="B7510" t="s">
        <v>33369</v>
      </c>
      <c r="C7510">
        <v>518</v>
      </c>
      <c r="D7510">
        <v>589</v>
      </c>
      <c r="E7510">
        <v>1577183018</v>
      </c>
      <c r="F7510">
        <v>559</v>
      </c>
      <c r="G7510">
        <v>0</v>
      </c>
      <c r="H7510" t="s">
        <v>12429</v>
      </c>
      <c r="I7510">
        <v>8444</v>
      </c>
      <c r="J7510" t="str">
        <f>VLOOKUP(E7510,DSSpieler!A:B,2,FALSE)</f>
        <v>-FF-</v>
      </c>
    </row>
    <row r="7511" spans="1:10" x14ac:dyDescent="0.25">
      <c r="A7511">
        <v>8445</v>
      </c>
      <c r="B7511" t="s">
        <v>531</v>
      </c>
      <c r="C7511">
        <v>587</v>
      </c>
      <c r="D7511">
        <v>479</v>
      </c>
      <c r="E7511">
        <v>0</v>
      </c>
      <c r="F7511">
        <v>140</v>
      </c>
      <c r="G7511">
        <v>0</v>
      </c>
      <c r="H7511" t="s">
        <v>12430</v>
      </c>
      <c r="I7511">
        <v>8445</v>
      </c>
      <c r="J7511" t="e">
        <f>VLOOKUP(E7511,DSSpieler!A:B,2,FALSE)</f>
        <v>#N/A</v>
      </c>
    </row>
    <row r="7512" spans="1:10" x14ac:dyDescent="0.25">
      <c r="A7512">
        <v>8446</v>
      </c>
      <c r="B7512" t="s">
        <v>531</v>
      </c>
      <c r="C7512">
        <v>526</v>
      </c>
      <c r="D7512">
        <v>586</v>
      </c>
      <c r="E7512">
        <v>0</v>
      </c>
      <c r="F7512">
        <v>559</v>
      </c>
      <c r="G7512">
        <v>0</v>
      </c>
      <c r="H7512" t="s">
        <v>12431</v>
      </c>
      <c r="I7512">
        <v>8446</v>
      </c>
      <c r="J7512" t="e">
        <f>VLOOKUP(E7512,DSSpieler!A:B,2,FALSE)</f>
        <v>#N/A</v>
      </c>
    </row>
    <row r="7513" spans="1:10" x14ac:dyDescent="0.25">
      <c r="A7513">
        <v>8447</v>
      </c>
      <c r="B7513" t="s">
        <v>531</v>
      </c>
      <c r="C7513">
        <v>591</v>
      </c>
      <c r="D7513">
        <v>508</v>
      </c>
      <c r="E7513">
        <v>0</v>
      </c>
      <c r="F7513">
        <v>309</v>
      </c>
      <c r="G7513">
        <v>0</v>
      </c>
      <c r="H7513" t="s">
        <v>12432</v>
      </c>
      <c r="I7513">
        <v>8447</v>
      </c>
      <c r="J7513" t="e">
        <f>VLOOKUP(E7513,DSSpieler!A:B,2,FALSE)</f>
        <v>#N/A</v>
      </c>
    </row>
    <row r="7514" spans="1:10" x14ac:dyDescent="0.25">
      <c r="A7514">
        <v>8448</v>
      </c>
      <c r="B7514" t="s">
        <v>531</v>
      </c>
      <c r="C7514">
        <v>577</v>
      </c>
      <c r="D7514">
        <v>549</v>
      </c>
      <c r="E7514">
        <v>0</v>
      </c>
      <c r="F7514">
        <v>237</v>
      </c>
      <c r="G7514">
        <v>0</v>
      </c>
      <c r="H7514" t="s">
        <v>12433</v>
      </c>
      <c r="I7514">
        <v>8448</v>
      </c>
      <c r="J7514" t="e">
        <f>VLOOKUP(E7514,DSSpieler!A:B,2,FALSE)</f>
        <v>#N/A</v>
      </c>
    </row>
    <row r="7515" spans="1:10" x14ac:dyDescent="0.25">
      <c r="A7515">
        <v>8449</v>
      </c>
      <c r="B7515" t="s">
        <v>30816</v>
      </c>
      <c r="C7515">
        <v>589</v>
      </c>
      <c r="D7515">
        <v>514</v>
      </c>
      <c r="E7515">
        <v>9816501</v>
      </c>
      <c r="F7515">
        <v>2002</v>
      </c>
      <c r="G7515">
        <v>0</v>
      </c>
      <c r="H7515" t="s">
        <v>12434</v>
      </c>
      <c r="I7515">
        <v>8449</v>
      </c>
      <c r="J7515" t="str">
        <f>VLOOKUP(E7515,DSSpieler!A:B,2,FALSE)</f>
        <v>Lord 777</v>
      </c>
    </row>
    <row r="7516" spans="1:10" x14ac:dyDescent="0.25">
      <c r="A7516">
        <v>8450</v>
      </c>
      <c r="B7516" t="s">
        <v>531</v>
      </c>
      <c r="C7516">
        <v>463</v>
      </c>
      <c r="D7516">
        <v>582</v>
      </c>
      <c r="E7516">
        <v>0</v>
      </c>
      <c r="F7516">
        <v>214</v>
      </c>
      <c r="G7516">
        <v>0</v>
      </c>
      <c r="H7516" t="s">
        <v>12435</v>
      </c>
      <c r="I7516">
        <v>8450</v>
      </c>
      <c r="J7516" t="e">
        <f>VLOOKUP(E7516,DSSpieler!A:B,2,FALSE)</f>
        <v>#N/A</v>
      </c>
    </row>
    <row r="7517" spans="1:10" x14ac:dyDescent="0.25">
      <c r="A7517">
        <v>8451</v>
      </c>
      <c r="B7517" t="s">
        <v>531</v>
      </c>
      <c r="C7517">
        <v>588</v>
      </c>
      <c r="D7517">
        <v>525</v>
      </c>
      <c r="E7517">
        <v>0</v>
      </c>
      <c r="F7517">
        <v>82</v>
      </c>
      <c r="G7517">
        <v>0</v>
      </c>
      <c r="H7517" t="s">
        <v>12436</v>
      </c>
      <c r="I7517">
        <v>8451</v>
      </c>
      <c r="J7517" t="e">
        <f>VLOOKUP(E7517,DSSpieler!A:B,2,FALSE)</f>
        <v>#N/A</v>
      </c>
    </row>
    <row r="7518" spans="1:10" x14ac:dyDescent="0.25">
      <c r="A7518">
        <v>8452</v>
      </c>
      <c r="B7518" t="s">
        <v>531</v>
      </c>
      <c r="C7518">
        <v>510</v>
      </c>
      <c r="D7518">
        <v>589</v>
      </c>
      <c r="E7518">
        <v>0</v>
      </c>
      <c r="F7518">
        <v>366</v>
      </c>
      <c r="G7518">
        <v>0</v>
      </c>
      <c r="H7518" t="s">
        <v>12437</v>
      </c>
      <c r="I7518">
        <v>8452</v>
      </c>
      <c r="J7518" t="e">
        <f>VLOOKUP(E7518,DSSpieler!A:B,2,FALSE)</f>
        <v>#N/A</v>
      </c>
    </row>
    <row r="7519" spans="1:10" x14ac:dyDescent="0.25">
      <c r="A7519">
        <v>8453</v>
      </c>
      <c r="B7519" t="s">
        <v>531</v>
      </c>
      <c r="C7519">
        <v>426</v>
      </c>
      <c r="D7519">
        <v>452</v>
      </c>
      <c r="E7519">
        <v>0</v>
      </c>
      <c r="F7519">
        <v>340</v>
      </c>
      <c r="G7519">
        <v>0</v>
      </c>
      <c r="H7519" t="s">
        <v>12438</v>
      </c>
      <c r="I7519">
        <v>8453</v>
      </c>
      <c r="J7519" t="e">
        <f>VLOOKUP(E7519,DSSpieler!A:B,2,FALSE)</f>
        <v>#N/A</v>
      </c>
    </row>
    <row r="7520" spans="1:10" x14ac:dyDescent="0.25">
      <c r="A7520">
        <v>8454</v>
      </c>
      <c r="B7520" t="s">
        <v>531</v>
      </c>
      <c r="C7520">
        <v>480</v>
      </c>
      <c r="D7520">
        <v>585</v>
      </c>
      <c r="E7520">
        <v>0</v>
      </c>
      <c r="F7520">
        <v>200</v>
      </c>
      <c r="G7520">
        <v>0</v>
      </c>
      <c r="H7520" t="s">
        <v>12439</v>
      </c>
      <c r="I7520">
        <v>8454</v>
      </c>
      <c r="J7520" t="e">
        <f>VLOOKUP(E7520,DSSpieler!A:B,2,FALSE)</f>
        <v>#N/A</v>
      </c>
    </row>
    <row r="7521" spans="1:10" x14ac:dyDescent="0.25">
      <c r="A7521">
        <v>8455</v>
      </c>
      <c r="B7521" t="s">
        <v>531</v>
      </c>
      <c r="C7521">
        <v>456</v>
      </c>
      <c r="D7521">
        <v>422</v>
      </c>
      <c r="E7521">
        <v>0</v>
      </c>
      <c r="F7521">
        <v>394</v>
      </c>
      <c r="G7521">
        <v>0</v>
      </c>
      <c r="H7521" t="s">
        <v>12440</v>
      </c>
      <c r="I7521">
        <v>8455</v>
      </c>
      <c r="J7521" t="e">
        <f>VLOOKUP(E7521,DSSpieler!A:B,2,FALSE)</f>
        <v>#N/A</v>
      </c>
    </row>
    <row r="7522" spans="1:10" x14ac:dyDescent="0.25">
      <c r="A7522">
        <v>8456</v>
      </c>
      <c r="B7522" t="s">
        <v>531</v>
      </c>
      <c r="C7522">
        <v>588</v>
      </c>
      <c r="D7522">
        <v>522</v>
      </c>
      <c r="E7522">
        <v>0</v>
      </c>
      <c r="F7522">
        <v>279</v>
      </c>
      <c r="G7522">
        <v>0</v>
      </c>
      <c r="H7522" t="s">
        <v>12441</v>
      </c>
      <c r="I7522">
        <v>8456</v>
      </c>
      <c r="J7522" t="e">
        <f>VLOOKUP(E7522,DSSpieler!A:B,2,FALSE)</f>
        <v>#N/A</v>
      </c>
    </row>
    <row r="7523" spans="1:10" x14ac:dyDescent="0.25">
      <c r="A7523">
        <v>8457</v>
      </c>
      <c r="B7523">
        <v>1</v>
      </c>
      <c r="C7523">
        <v>602</v>
      </c>
      <c r="D7523">
        <v>509</v>
      </c>
      <c r="E7523">
        <v>9566196</v>
      </c>
      <c r="F7523">
        <v>5830</v>
      </c>
      <c r="G7523">
        <v>0</v>
      </c>
      <c r="H7523" t="s">
        <v>12442</v>
      </c>
      <c r="I7523">
        <v>8457</v>
      </c>
      <c r="J7523" t="str">
        <f>VLOOKUP(E7523,DSSpieler!A:B,2,FALSE)</f>
        <v>hellgate devil123</v>
      </c>
    </row>
    <row r="7524" spans="1:10" x14ac:dyDescent="0.25">
      <c r="A7524">
        <v>8458</v>
      </c>
      <c r="B7524" t="s">
        <v>531</v>
      </c>
      <c r="C7524">
        <v>494</v>
      </c>
      <c r="D7524">
        <v>411</v>
      </c>
      <c r="E7524">
        <v>0</v>
      </c>
      <c r="F7524">
        <v>331</v>
      </c>
      <c r="G7524">
        <v>0</v>
      </c>
      <c r="H7524" t="s">
        <v>12443</v>
      </c>
      <c r="I7524">
        <v>8458</v>
      </c>
      <c r="J7524" t="e">
        <f>VLOOKUP(E7524,DSSpieler!A:B,2,FALSE)</f>
        <v>#N/A</v>
      </c>
    </row>
    <row r="7525" spans="1:10" x14ac:dyDescent="0.25">
      <c r="A7525">
        <v>8459</v>
      </c>
      <c r="B7525" t="s">
        <v>695</v>
      </c>
      <c r="C7525">
        <v>416</v>
      </c>
      <c r="D7525">
        <v>533</v>
      </c>
      <c r="E7525">
        <v>1577184870</v>
      </c>
      <c r="F7525">
        <v>4308</v>
      </c>
      <c r="G7525">
        <v>0</v>
      </c>
      <c r="H7525" t="s">
        <v>12444</v>
      </c>
      <c r="I7525">
        <v>8459</v>
      </c>
      <c r="J7525" t="str">
        <f>VLOOKUP(E7525,DSSpieler!A:B,2,FALSE)</f>
        <v>Toschie</v>
      </c>
    </row>
    <row r="7526" spans="1:10" x14ac:dyDescent="0.25">
      <c r="A7526">
        <v>8460</v>
      </c>
      <c r="B7526" t="s">
        <v>33370</v>
      </c>
      <c r="C7526">
        <v>589</v>
      </c>
      <c r="D7526">
        <v>516</v>
      </c>
      <c r="E7526">
        <v>1577184828</v>
      </c>
      <c r="F7526">
        <v>383</v>
      </c>
      <c r="G7526">
        <v>0</v>
      </c>
      <c r="H7526" t="s">
        <v>12445</v>
      </c>
      <c r="I7526">
        <v>8460</v>
      </c>
      <c r="J7526" t="str">
        <f>VLOOKUP(E7526,DSSpieler!A:B,2,FALSE)</f>
        <v>Kelewan2</v>
      </c>
    </row>
    <row r="7527" spans="1:10" x14ac:dyDescent="0.25">
      <c r="A7527">
        <v>8462</v>
      </c>
      <c r="B7527" t="s">
        <v>1720</v>
      </c>
      <c r="C7527">
        <v>508</v>
      </c>
      <c r="D7527">
        <v>574</v>
      </c>
      <c r="E7527">
        <v>1576176852</v>
      </c>
      <c r="F7527">
        <v>2731</v>
      </c>
      <c r="G7527">
        <v>0</v>
      </c>
      <c r="H7527" t="s">
        <v>12446</v>
      </c>
      <c r="I7527">
        <v>8462</v>
      </c>
      <c r="J7527" t="str">
        <f>VLOOKUP(E7527,DSSpieler!A:B,2,FALSE)</f>
        <v>Hoepfner</v>
      </c>
    </row>
    <row r="7528" spans="1:10" x14ac:dyDescent="0.25">
      <c r="A7528">
        <v>8463</v>
      </c>
      <c r="B7528" t="s">
        <v>531</v>
      </c>
      <c r="C7528">
        <v>482</v>
      </c>
      <c r="D7528">
        <v>411</v>
      </c>
      <c r="E7528">
        <v>0</v>
      </c>
      <c r="F7528">
        <v>237</v>
      </c>
      <c r="G7528">
        <v>0</v>
      </c>
      <c r="H7528" t="s">
        <v>12447</v>
      </c>
      <c r="I7528">
        <v>8463</v>
      </c>
      <c r="J7528" t="e">
        <f>VLOOKUP(E7528,DSSpieler!A:B,2,FALSE)</f>
        <v>#N/A</v>
      </c>
    </row>
    <row r="7529" spans="1:10" x14ac:dyDescent="0.25">
      <c r="A7529">
        <v>8464</v>
      </c>
      <c r="B7529" t="s">
        <v>999</v>
      </c>
      <c r="C7529">
        <v>416</v>
      </c>
      <c r="D7529">
        <v>535</v>
      </c>
      <c r="E7529">
        <v>9705555</v>
      </c>
      <c r="F7529">
        <v>5667</v>
      </c>
      <c r="G7529">
        <v>0</v>
      </c>
      <c r="H7529" t="s">
        <v>12448</v>
      </c>
      <c r="I7529">
        <v>8464</v>
      </c>
      <c r="J7529" t="str">
        <f>VLOOKUP(E7529,DSSpieler!A:B,2,FALSE)</f>
        <v>MarcoUndNils</v>
      </c>
    </row>
    <row r="7530" spans="1:10" x14ac:dyDescent="0.25">
      <c r="A7530">
        <v>8465</v>
      </c>
      <c r="B7530" t="s">
        <v>33371</v>
      </c>
      <c r="C7530">
        <v>431</v>
      </c>
      <c r="D7530">
        <v>461</v>
      </c>
      <c r="E7530">
        <v>1577045102</v>
      </c>
      <c r="F7530">
        <v>2373</v>
      </c>
      <c r="G7530">
        <v>0</v>
      </c>
      <c r="H7530" t="s">
        <v>12449</v>
      </c>
      <c r="I7530">
        <v>8465</v>
      </c>
      <c r="J7530" t="str">
        <f>VLOOKUP(E7530,DSSpieler!A:B,2,FALSE)</f>
        <v>RealNyic</v>
      </c>
    </row>
    <row r="7531" spans="1:10" x14ac:dyDescent="0.25">
      <c r="A7531">
        <v>8466</v>
      </c>
      <c r="B7531" t="s">
        <v>33372</v>
      </c>
      <c r="C7531">
        <v>420</v>
      </c>
      <c r="D7531">
        <v>455</v>
      </c>
      <c r="E7531">
        <v>1577166769</v>
      </c>
      <c r="F7531">
        <v>5000</v>
      </c>
      <c r="G7531">
        <v>0</v>
      </c>
      <c r="H7531" t="s">
        <v>12450</v>
      </c>
      <c r="I7531">
        <v>8466</v>
      </c>
      <c r="J7531" t="str">
        <f>VLOOKUP(E7531,DSSpieler!A:B,2,FALSE)</f>
        <v>Simsala7</v>
      </c>
    </row>
    <row r="7532" spans="1:10" x14ac:dyDescent="0.25">
      <c r="A7532">
        <v>8467</v>
      </c>
      <c r="B7532" t="s">
        <v>33373</v>
      </c>
      <c r="C7532">
        <v>418</v>
      </c>
      <c r="D7532">
        <v>451</v>
      </c>
      <c r="E7532">
        <v>1577181813</v>
      </c>
      <c r="F7532">
        <v>656</v>
      </c>
      <c r="G7532">
        <v>0</v>
      </c>
      <c r="H7532" t="s">
        <v>12451</v>
      </c>
      <c r="I7532">
        <v>8467</v>
      </c>
      <c r="J7532" t="str">
        <f>VLOOKUP(E7532,DSSpieler!A:B,2,FALSE)</f>
        <v>Sir Vitamin</v>
      </c>
    </row>
    <row r="7533" spans="1:10" x14ac:dyDescent="0.25">
      <c r="A7533">
        <v>8469</v>
      </c>
      <c r="B7533" t="s">
        <v>33374</v>
      </c>
      <c r="C7533">
        <v>413</v>
      </c>
      <c r="D7533">
        <v>489</v>
      </c>
      <c r="E7533">
        <v>1577181837</v>
      </c>
      <c r="F7533">
        <v>6724</v>
      </c>
      <c r="G7533">
        <v>0</v>
      </c>
      <c r="H7533" t="s">
        <v>12452</v>
      </c>
      <c r="I7533">
        <v>8469</v>
      </c>
      <c r="J7533" t="str">
        <f>VLOOKUP(E7533,DSSpieler!A:B,2,FALSE)</f>
        <v>xJoshke</v>
      </c>
    </row>
    <row r="7534" spans="1:10" x14ac:dyDescent="0.25">
      <c r="A7534">
        <v>8470</v>
      </c>
      <c r="B7534" t="s">
        <v>531</v>
      </c>
      <c r="C7534">
        <v>588</v>
      </c>
      <c r="D7534">
        <v>477</v>
      </c>
      <c r="E7534">
        <v>0</v>
      </c>
      <c r="F7534">
        <v>228</v>
      </c>
      <c r="G7534">
        <v>0</v>
      </c>
      <c r="H7534" t="s">
        <v>12453</v>
      </c>
      <c r="I7534">
        <v>8470</v>
      </c>
      <c r="J7534" t="e">
        <f>VLOOKUP(E7534,DSSpieler!A:B,2,FALSE)</f>
        <v>#N/A</v>
      </c>
    </row>
    <row r="7535" spans="1:10" x14ac:dyDescent="0.25">
      <c r="A7535">
        <v>8471</v>
      </c>
      <c r="B7535" t="s">
        <v>531</v>
      </c>
      <c r="C7535">
        <v>539</v>
      </c>
      <c r="D7535">
        <v>420</v>
      </c>
      <c r="E7535">
        <v>0</v>
      </c>
      <c r="F7535">
        <v>225</v>
      </c>
      <c r="G7535">
        <v>0</v>
      </c>
      <c r="H7535" t="s">
        <v>12454</v>
      </c>
      <c r="I7535">
        <v>8471</v>
      </c>
      <c r="J7535" t="e">
        <f>VLOOKUP(E7535,DSSpieler!A:B,2,FALSE)</f>
        <v>#N/A</v>
      </c>
    </row>
    <row r="7536" spans="1:10" x14ac:dyDescent="0.25">
      <c r="A7536">
        <v>8472</v>
      </c>
      <c r="B7536" t="s">
        <v>531</v>
      </c>
      <c r="C7536">
        <v>497</v>
      </c>
      <c r="D7536">
        <v>591</v>
      </c>
      <c r="E7536">
        <v>0</v>
      </c>
      <c r="F7536">
        <v>467</v>
      </c>
      <c r="G7536">
        <v>0</v>
      </c>
      <c r="H7536" t="s">
        <v>12455</v>
      </c>
      <c r="I7536">
        <v>8472</v>
      </c>
      <c r="J7536" t="e">
        <f>VLOOKUP(E7536,DSSpieler!A:B,2,FALSE)</f>
        <v>#N/A</v>
      </c>
    </row>
    <row r="7537" spans="1:10" x14ac:dyDescent="0.25">
      <c r="A7537">
        <v>8473</v>
      </c>
      <c r="B7537" t="s">
        <v>531</v>
      </c>
      <c r="C7537">
        <v>410</v>
      </c>
      <c r="D7537">
        <v>490</v>
      </c>
      <c r="E7537">
        <v>0</v>
      </c>
      <c r="F7537">
        <v>520</v>
      </c>
      <c r="G7537">
        <v>0</v>
      </c>
      <c r="H7537" t="s">
        <v>12456</v>
      </c>
      <c r="I7537">
        <v>8473</v>
      </c>
      <c r="J7537" t="e">
        <f>VLOOKUP(E7537,DSSpieler!A:B,2,FALSE)</f>
        <v>#N/A</v>
      </c>
    </row>
    <row r="7538" spans="1:10" x14ac:dyDescent="0.25">
      <c r="A7538">
        <v>8474</v>
      </c>
      <c r="B7538" t="s">
        <v>531</v>
      </c>
      <c r="C7538">
        <v>540</v>
      </c>
      <c r="D7538">
        <v>418</v>
      </c>
      <c r="E7538">
        <v>0</v>
      </c>
      <c r="F7538">
        <v>379</v>
      </c>
      <c r="G7538">
        <v>0</v>
      </c>
      <c r="H7538" t="s">
        <v>12457</v>
      </c>
      <c r="I7538">
        <v>8474</v>
      </c>
      <c r="J7538" t="e">
        <f>VLOOKUP(E7538,DSSpieler!A:B,2,FALSE)</f>
        <v>#N/A</v>
      </c>
    </row>
    <row r="7539" spans="1:10" x14ac:dyDescent="0.25">
      <c r="A7539">
        <v>8475</v>
      </c>
      <c r="B7539" t="s">
        <v>32806</v>
      </c>
      <c r="C7539">
        <v>587</v>
      </c>
      <c r="D7539">
        <v>452</v>
      </c>
      <c r="E7539">
        <v>1577198229</v>
      </c>
      <c r="F7539">
        <v>3193</v>
      </c>
      <c r="G7539">
        <v>0</v>
      </c>
      <c r="H7539" t="s">
        <v>12458</v>
      </c>
      <c r="I7539">
        <v>8475</v>
      </c>
      <c r="J7539" t="str">
        <f>VLOOKUP(E7539,DSSpieler!A:B,2,FALSE)</f>
        <v>QueenKlaus461</v>
      </c>
    </row>
    <row r="7540" spans="1:10" x14ac:dyDescent="0.25">
      <c r="A7540">
        <v>8476</v>
      </c>
      <c r="B7540" t="s">
        <v>531</v>
      </c>
      <c r="C7540">
        <v>415</v>
      </c>
      <c r="D7540">
        <v>526</v>
      </c>
      <c r="E7540">
        <v>0</v>
      </c>
      <c r="F7540">
        <v>415</v>
      </c>
      <c r="G7540">
        <v>0</v>
      </c>
      <c r="H7540" t="s">
        <v>12459</v>
      </c>
      <c r="I7540">
        <v>8476</v>
      </c>
      <c r="J7540" t="e">
        <f>VLOOKUP(E7540,DSSpieler!A:B,2,FALSE)</f>
        <v>#N/A</v>
      </c>
    </row>
    <row r="7541" spans="1:10" x14ac:dyDescent="0.25">
      <c r="A7541">
        <v>8477</v>
      </c>
      <c r="B7541" t="s">
        <v>531</v>
      </c>
      <c r="C7541">
        <v>410</v>
      </c>
      <c r="D7541">
        <v>503</v>
      </c>
      <c r="E7541">
        <v>0</v>
      </c>
      <c r="F7541">
        <v>226</v>
      </c>
      <c r="G7541">
        <v>0</v>
      </c>
      <c r="H7541" t="s">
        <v>12460</v>
      </c>
      <c r="I7541">
        <v>8477</v>
      </c>
      <c r="J7541" t="e">
        <f>VLOOKUP(E7541,DSSpieler!A:B,2,FALSE)</f>
        <v>#N/A</v>
      </c>
    </row>
    <row r="7542" spans="1:10" x14ac:dyDescent="0.25">
      <c r="A7542">
        <v>8478</v>
      </c>
      <c r="B7542" t="s">
        <v>531</v>
      </c>
      <c r="C7542">
        <v>586</v>
      </c>
      <c r="D7542">
        <v>523</v>
      </c>
      <c r="E7542">
        <v>0</v>
      </c>
      <c r="F7542">
        <v>225</v>
      </c>
      <c r="G7542">
        <v>0</v>
      </c>
      <c r="H7542" t="s">
        <v>12461</v>
      </c>
      <c r="I7542">
        <v>8478</v>
      </c>
      <c r="J7542" t="e">
        <f>VLOOKUP(E7542,DSSpieler!A:B,2,FALSE)</f>
        <v>#N/A</v>
      </c>
    </row>
    <row r="7543" spans="1:10" x14ac:dyDescent="0.25">
      <c r="A7543">
        <v>8479</v>
      </c>
      <c r="B7543" t="s">
        <v>531</v>
      </c>
      <c r="C7543">
        <v>516</v>
      </c>
      <c r="D7543">
        <v>588</v>
      </c>
      <c r="E7543">
        <v>0</v>
      </c>
      <c r="F7543">
        <v>631</v>
      </c>
      <c r="G7543">
        <v>0</v>
      </c>
      <c r="H7543" t="s">
        <v>12462</v>
      </c>
      <c r="I7543">
        <v>8479</v>
      </c>
      <c r="J7543" t="e">
        <f>VLOOKUP(E7543,DSSpieler!A:B,2,FALSE)</f>
        <v>#N/A</v>
      </c>
    </row>
    <row r="7544" spans="1:10" x14ac:dyDescent="0.25">
      <c r="A7544">
        <v>8481</v>
      </c>
      <c r="B7544" t="s">
        <v>33375</v>
      </c>
      <c r="C7544">
        <v>480</v>
      </c>
      <c r="D7544">
        <v>589</v>
      </c>
      <c r="E7544">
        <v>1576361409</v>
      </c>
      <c r="F7544">
        <v>7909</v>
      </c>
      <c r="G7544">
        <v>0</v>
      </c>
      <c r="H7544" t="s">
        <v>12463</v>
      </c>
      <c r="I7544">
        <v>8481</v>
      </c>
      <c r="J7544" t="str">
        <f>VLOOKUP(E7544,DSSpieler!A:B,2,FALSE)</f>
        <v>Draric</v>
      </c>
    </row>
    <row r="7545" spans="1:10" x14ac:dyDescent="0.25">
      <c r="A7545">
        <v>8482</v>
      </c>
      <c r="B7545" t="s">
        <v>531</v>
      </c>
      <c r="C7545">
        <v>433</v>
      </c>
      <c r="D7545">
        <v>441</v>
      </c>
      <c r="E7545">
        <v>0</v>
      </c>
      <c r="F7545">
        <v>156</v>
      </c>
      <c r="G7545">
        <v>0</v>
      </c>
      <c r="H7545" t="s">
        <v>12464</v>
      </c>
      <c r="I7545">
        <v>8482</v>
      </c>
      <c r="J7545" t="e">
        <f>VLOOKUP(E7545,DSSpieler!A:B,2,FALSE)</f>
        <v>#N/A</v>
      </c>
    </row>
    <row r="7546" spans="1:10" x14ac:dyDescent="0.25">
      <c r="A7546">
        <v>8483</v>
      </c>
      <c r="B7546" t="s">
        <v>531</v>
      </c>
      <c r="C7546">
        <v>417</v>
      </c>
      <c r="D7546">
        <v>528</v>
      </c>
      <c r="E7546">
        <v>0</v>
      </c>
      <c r="F7546">
        <v>316</v>
      </c>
      <c r="G7546">
        <v>0</v>
      </c>
      <c r="H7546" t="s">
        <v>12465</v>
      </c>
      <c r="I7546">
        <v>8483</v>
      </c>
      <c r="J7546" t="e">
        <f>VLOOKUP(E7546,DSSpieler!A:B,2,FALSE)</f>
        <v>#N/A</v>
      </c>
    </row>
    <row r="7547" spans="1:10" x14ac:dyDescent="0.25">
      <c r="A7547">
        <v>8484</v>
      </c>
      <c r="B7547" t="s">
        <v>531</v>
      </c>
      <c r="C7547">
        <v>556</v>
      </c>
      <c r="D7547">
        <v>573</v>
      </c>
      <c r="E7547">
        <v>0</v>
      </c>
      <c r="F7547">
        <v>345</v>
      </c>
      <c r="G7547">
        <v>0</v>
      </c>
      <c r="H7547" t="s">
        <v>12466</v>
      </c>
      <c r="I7547">
        <v>8484</v>
      </c>
      <c r="J7547" t="e">
        <f>VLOOKUP(E7547,DSSpieler!A:B,2,FALSE)</f>
        <v>#N/A</v>
      </c>
    </row>
    <row r="7548" spans="1:10" x14ac:dyDescent="0.25">
      <c r="A7548">
        <v>8485</v>
      </c>
      <c r="B7548" t="s">
        <v>531</v>
      </c>
      <c r="C7548">
        <v>451</v>
      </c>
      <c r="D7548">
        <v>423</v>
      </c>
      <c r="E7548">
        <v>0</v>
      </c>
      <c r="F7548">
        <v>298</v>
      </c>
      <c r="G7548">
        <v>0</v>
      </c>
      <c r="H7548" t="s">
        <v>12467</v>
      </c>
      <c r="I7548">
        <v>8485</v>
      </c>
      <c r="J7548" t="e">
        <f>VLOOKUP(E7548,DSSpieler!A:B,2,FALSE)</f>
        <v>#N/A</v>
      </c>
    </row>
    <row r="7549" spans="1:10" x14ac:dyDescent="0.25">
      <c r="A7549">
        <v>8487</v>
      </c>
      <c r="B7549" t="s">
        <v>531</v>
      </c>
      <c r="C7549">
        <v>422</v>
      </c>
      <c r="D7549">
        <v>462</v>
      </c>
      <c r="E7549">
        <v>0</v>
      </c>
      <c r="F7549">
        <v>175</v>
      </c>
      <c r="G7549">
        <v>0</v>
      </c>
      <c r="H7549" t="s">
        <v>12468</v>
      </c>
      <c r="I7549">
        <v>8487</v>
      </c>
      <c r="J7549" t="e">
        <f>VLOOKUP(E7549,DSSpieler!A:B,2,FALSE)</f>
        <v>#N/A</v>
      </c>
    </row>
    <row r="7550" spans="1:10" x14ac:dyDescent="0.25">
      <c r="A7550">
        <v>8488</v>
      </c>
      <c r="B7550" t="s">
        <v>531</v>
      </c>
      <c r="C7550">
        <v>560</v>
      </c>
      <c r="D7550">
        <v>567</v>
      </c>
      <c r="E7550">
        <v>0</v>
      </c>
      <c r="F7550">
        <v>305</v>
      </c>
      <c r="G7550">
        <v>0</v>
      </c>
      <c r="H7550" t="s">
        <v>12469</v>
      </c>
      <c r="I7550">
        <v>8488</v>
      </c>
      <c r="J7550" t="e">
        <f>VLOOKUP(E7550,DSSpieler!A:B,2,FALSE)</f>
        <v>#N/A</v>
      </c>
    </row>
    <row r="7551" spans="1:10" x14ac:dyDescent="0.25">
      <c r="A7551">
        <v>8489</v>
      </c>
      <c r="B7551" t="s">
        <v>33376</v>
      </c>
      <c r="C7551">
        <v>455</v>
      </c>
      <c r="D7551">
        <v>405</v>
      </c>
      <c r="E7551">
        <v>1577182814</v>
      </c>
      <c r="F7551">
        <v>5297</v>
      </c>
      <c r="G7551">
        <v>0</v>
      </c>
      <c r="H7551" t="s">
        <v>12470</v>
      </c>
      <c r="I7551">
        <v>8489</v>
      </c>
      <c r="J7551" t="str">
        <f>VLOOKUP(E7551,DSSpieler!A:B,2,FALSE)</f>
        <v>EggeHeiza</v>
      </c>
    </row>
    <row r="7552" spans="1:10" x14ac:dyDescent="0.25">
      <c r="A7552">
        <v>8490</v>
      </c>
      <c r="B7552" t="s">
        <v>1249</v>
      </c>
      <c r="C7552">
        <v>502</v>
      </c>
      <c r="D7552">
        <v>405</v>
      </c>
      <c r="E7552">
        <v>44974</v>
      </c>
      <c r="F7552">
        <v>2606</v>
      </c>
      <c r="G7552">
        <v>0</v>
      </c>
      <c r="H7552" t="s">
        <v>12471</v>
      </c>
      <c r="I7552">
        <v>8490</v>
      </c>
      <c r="J7552" t="str">
        <f>VLOOKUP(E7552,DSSpieler!A:B,2,FALSE)</f>
        <v>Taktiker</v>
      </c>
    </row>
    <row r="7553" spans="1:10" x14ac:dyDescent="0.25">
      <c r="A7553">
        <v>8491</v>
      </c>
      <c r="B7553" t="s">
        <v>531</v>
      </c>
      <c r="C7553">
        <v>512</v>
      </c>
      <c r="D7553">
        <v>413</v>
      </c>
      <c r="E7553">
        <v>0</v>
      </c>
      <c r="F7553">
        <v>351</v>
      </c>
      <c r="G7553">
        <v>0</v>
      </c>
      <c r="H7553" t="s">
        <v>12472</v>
      </c>
      <c r="I7553">
        <v>8491</v>
      </c>
      <c r="J7553" t="e">
        <f>VLOOKUP(E7553,DSSpieler!A:B,2,FALSE)</f>
        <v>#N/A</v>
      </c>
    </row>
    <row r="7554" spans="1:10" x14ac:dyDescent="0.25">
      <c r="A7554">
        <v>8492</v>
      </c>
      <c r="B7554" t="s">
        <v>33377</v>
      </c>
      <c r="C7554">
        <v>440</v>
      </c>
      <c r="D7554">
        <v>412</v>
      </c>
      <c r="E7554">
        <v>1577182894</v>
      </c>
      <c r="F7554">
        <v>5189</v>
      </c>
      <c r="G7554">
        <v>0</v>
      </c>
      <c r="H7554" t="s">
        <v>12473</v>
      </c>
      <c r="I7554">
        <v>8492</v>
      </c>
      <c r="J7554" t="str">
        <f>VLOOKUP(E7554,DSSpieler!A:B,2,FALSE)</f>
        <v>.Cookie.</v>
      </c>
    </row>
    <row r="7555" spans="1:10" x14ac:dyDescent="0.25">
      <c r="A7555">
        <v>8493</v>
      </c>
      <c r="B7555" t="s">
        <v>1721</v>
      </c>
      <c r="C7555">
        <v>411</v>
      </c>
      <c r="D7555">
        <v>485</v>
      </c>
      <c r="E7555">
        <v>1576846818</v>
      </c>
      <c r="F7555">
        <v>625</v>
      </c>
      <c r="G7555">
        <v>0</v>
      </c>
      <c r="H7555" t="s">
        <v>12474</v>
      </c>
      <c r="I7555">
        <v>8493</v>
      </c>
      <c r="J7555" t="str">
        <f>VLOOKUP(E7555,DSSpieler!A:B,2,FALSE)</f>
        <v>caspi11</v>
      </c>
    </row>
    <row r="7556" spans="1:10" x14ac:dyDescent="0.25">
      <c r="A7556">
        <v>8495</v>
      </c>
      <c r="B7556" t="s">
        <v>33378</v>
      </c>
      <c r="C7556">
        <v>519</v>
      </c>
      <c r="D7556">
        <v>589</v>
      </c>
      <c r="E7556">
        <v>10203648</v>
      </c>
      <c r="F7556">
        <v>5991</v>
      </c>
      <c r="G7556">
        <v>0</v>
      </c>
      <c r="H7556" t="s">
        <v>12475</v>
      </c>
      <c r="I7556">
        <v>8495</v>
      </c>
      <c r="J7556" t="str">
        <f>VLOOKUP(E7556,DSSpieler!A:B,2,FALSE)</f>
        <v>Sirfider</v>
      </c>
    </row>
    <row r="7557" spans="1:10" x14ac:dyDescent="0.25">
      <c r="A7557">
        <v>8496</v>
      </c>
      <c r="B7557" t="s">
        <v>33379</v>
      </c>
      <c r="C7557">
        <v>517</v>
      </c>
      <c r="D7557">
        <v>591</v>
      </c>
      <c r="E7557">
        <v>1577183019</v>
      </c>
      <c r="F7557">
        <v>5103</v>
      </c>
      <c r="G7557">
        <v>0</v>
      </c>
      <c r="H7557" t="s">
        <v>12476</v>
      </c>
      <c r="I7557">
        <v>8496</v>
      </c>
      <c r="J7557" t="str">
        <f>VLOOKUP(E7557,DSSpieler!A:B,2,FALSE)</f>
        <v>geileklezz</v>
      </c>
    </row>
    <row r="7558" spans="1:10" x14ac:dyDescent="0.25">
      <c r="A7558">
        <v>8497</v>
      </c>
      <c r="B7558" t="s">
        <v>32599</v>
      </c>
      <c r="C7558">
        <v>451</v>
      </c>
      <c r="D7558">
        <v>578</v>
      </c>
      <c r="E7558">
        <v>10283391</v>
      </c>
      <c r="F7558">
        <v>3389</v>
      </c>
      <c r="G7558">
        <v>0</v>
      </c>
      <c r="H7558" t="s">
        <v>12477</v>
      </c>
      <c r="I7558">
        <v>8497</v>
      </c>
      <c r="J7558" t="str">
        <f>VLOOKUP(E7558,DSSpieler!A:B,2,FALSE)</f>
        <v>Br0 I Altair</v>
      </c>
    </row>
    <row r="7559" spans="1:10" x14ac:dyDescent="0.25">
      <c r="A7559">
        <v>8498</v>
      </c>
      <c r="B7559" t="s">
        <v>33380</v>
      </c>
      <c r="C7559">
        <v>410</v>
      </c>
      <c r="D7559">
        <v>500</v>
      </c>
      <c r="E7559">
        <v>1577183112</v>
      </c>
      <c r="F7559">
        <v>26</v>
      </c>
      <c r="G7559">
        <v>0</v>
      </c>
      <c r="H7559" t="s">
        <v>12478</v>
      </c>
      <c r="I7559">
        <v>8498</v>
      </c>
      <c r="J7559" t="str">
        <f>VLOOKUP(E7559,DSSpieler!A:B,2,FALSE)</f>
        <v>Casiics</v>
      </c>
    </row>
    <row r="7560" spans="1:10" x14ac:dyDescent="0.25">
      <c r="A7560">
        <v>8499</v>
      </c>
      <c r="B7560" t="s">
        <v>531</v>
      </c>
      <c r="C7560">
        <v>574</v>
      </c>
      <c r="D7560">
        <v>552</v>
      </c>
      <c r="E7560">
        <v>1577194494</v>
      </c>
      <c r="F7560">
        <v>1729</v>
      </c>
      <c r="G7560">
        <v>0</v>
      </c>
      <c r="H7560" t="s">
        <v>12479</v>
      </c>
      <c r="I7560">
        <v>8499</v>
      </c>
      <c r="J7560" t="str">
        <f>VLOOKUP(E7560,DSSpieler!A:B,2,FALSE)</f>
        <v>hamster97</v>
      </c>
    </row>
    <row r="7561" spans="1:10" x14ac:dyDescent="0.25">
      <c r="A7561">
        <v>8500</v>
      </c>
      <c r="B7561" t="s">
        <v>531</v>
      </c>
      <c r="C7561">
        <v>549</v>
      </c>
      <c r="D7561">
        <v>424</v>
      </c>
      <c r="E7561">
        <v>0</v>
      </c>
      <c r="F7561">
        <v>231</v>
      </c>
      <c r="G7561">
        <v>0</v>
      </c>
      <c r="H7561" t="s">
        <v>12480</v>
      </c>
      <c r="I7561">
        <v>8500</v>
      </c>
      <c r="J7561" t="e">
        <f>VLOOKUP(E7561,DSSpieler!A:B,2,FALSE)</f>
        <v>#N/A</v>
      </c>
    </row>
    <row r="7562" spans="1:10" x14ac:dyDescent="0.25">
      <c r="A7562">
        <v>8502</v>
      </c>
      <c r="B7562" t="s">
        <v>531</v>
      </c>
      <c r="C7562">
        <v>506</v>
      </c>
      <c r="D7562">
        <v>588</v>
      </c>
      <c r="E7562">
        <v>0</v>
      </c>
      <c r="F7562">
        <v>297</v>
      </c>
      <c r="G7562">
        <v>0</v>
      </c>
      <c r="H7562" t="s">
        <v>12481</v>
      </c>
      <c r="I7562">
        <v>8502</v>
      </c>
      <c r="J7562" t="e">
        <f>VLOOKUP(E7562,DSSpieler!A:B,2,FALSE)</f>
        <v>#N/A</v>
      </c>
    </row>
    <row r="7563" spans="1:10" x14ac:dyDescent="0.25">
      <c r="A7563">
        <v>8503</v>
      </c>
      <c r="B7563" t="s">
        <v>531</v>
      </c>
      <c r="C7563">
        <v>418</v>
      </c>
      <c r="D7563">
        <v>536</v>
      </c>
      <c r="E7563">
        <v>0</v>
      </c>
      <c r="F7563">
        <v>386</v>
      </c>
      <c r="G7563">
        <v>0</v>
      </c>
      <c r="H7563" t="s">
        <v>12482</v>
      </c>
      <c r="I7563">
        <v>8503</v>
      </c>
      <c r="J7563" t="e">
        <f>VLOOKUP(E7563,DSSpieler!A:B,2,FALSE)</f>
        <v>#N/A</v>
      </c>
    </row>
    <row r="7564" spans="1:10" x14ac:dyDescent="0.25">
      <c r="A7564">
        <v>8504</v>
      </c>
      <c r="B7564" t="s">
        <v>531</v>
      </c>
      <c r="C7564">
        <v>564</v>
      </c>
      <c r="D7564">
        <v>561</v>
      </c>
      <c r="E7564">
        <v>0</v>
      </c>
      <c r="F7564">
        <v>241</v>
      </c>
      <c r="G7564">
        <v>0</v>
      </c>
      <c r="H7564" t="s">
        <v>12483</v>
      </c>
      <c r="I7564">
        <v>8504</v>
      </c>
      <c r="J7564" t="e">
        <f>VLOOKUP(E7564,DSSpieler!A:B,2,FALSE)</f>
        <v>#N/A</v>
      </c>
    </row>
    <row r="7565" spans="1:10" x14ac:dyDescent="0.25">
      <c r="A7565">
        <v>8506</v>
      </c>
      <c r="B7565" t="s">
        <v>531</v>
      </c>
      <c r="C7565">
        <v>576</v>
      </c>
      <c r="D7565">
        <v>547</v>
      </c>
      <c r="E7565">
        <v>0</v>
      </c>
      <c r="F7565">
        <v>285</v>
      </c>
      <c r="G7565">
        <v>0</v>
      </c>
      <c r="H7565" t="s">
        <v>12484</v>
      </c>
      <c r="I7565">
        <v>8506</v>
      </c>
      <c r="J7565" t="e">
        <f>VLOOKUP(E7565,DSSpieler!A:B,2,FALSE)</f>
        <v>#N/A</v>
      </c>
    </row>
    <row r="7566" spans="1:10" x14ac:dyDescent="0.25">
      <c r="A7566">
        <v>8507</v>
      </c>
      <c r="B7566" t="s">
        <v>33381</v>
      </c>
      <c r="C7566">
        <v>465</v>
      </c>
      <c r="D7566">
        <v>596</v>
      </c>
      <c r="E7566">
        <v>1576181692</v>
      </c>
      <c r="F7566">
        <v>7429</v>
      </c>
      <c r="G7566">
        <v>0</v>
      </c>
      <c r="H7566" t="s">
        <v>12485</v>
      </c>
      <c r="I7566">
        <v>8507</v>
      </c>
      <c r="J7566" t="str">
        <f>VLOOKUP(E7566,DSSpieler!A:B,2,FALSE)</f>
        <v>Branterra der Große</v>
      </c>
    </row>
    <row r="7567" spans="1:10" x14ac:dyDescent="0.25">
      <c r="A7567">
        <v>8508</v>
      </c>
      <c r="B7567" t="s">
        <v>531</v>
      </c>
      <c r="C7567">
        <v>453</v>
      </c>
      <c r="D7567">
        <v>426</v>
      </c>
      <c r="E7567">
        <v>0</v>
      </c>
      <c r="F7567">
        <v>278</v>
      </c>
      <c r="G7567">
        <v>0</v>
      </c>
      <c r="H7567" t="s">
        <v>12486</v>
      </c>
      <c r="I7567">
        <v>8508</v>
      </c>
      <c r="J7567" t="e">
        <f>VLOOKUP(E7567,DSSpieler!A:B,2,FALSE)</f>
        <v>#N/A</v>
      </c>
    </row>
    <row r="7568" spans="1:10" x14ac:dyDescent="0.25">
      <c r="A7568">
        <v>8510</v>
      </c>
      <c r="B7568" t="s">
        <v>531</v>
      </c>
      <c r="C7568">
        <v>465</v>
      </c>
      <c r="D7568">
        <v>418</v>
      </c>
      <c r="E7568">
        <v>0</v>
      </c>
      <c r="F7568">
        <v>291</v>
      </c>
      <c r="G7568">
        <v>0</v>
      </c>
      <c r="H7568" t="s">
        <v>12487</v>
      </c>
      <c r="I7568">
        <v>8510</v>
      </c>
      <c r="J7568" t="e">
        <f>VLOOKUP(E7568,DSSpieler!A:B,2,FALSE)</f>
        <v>#N/A</v>
      </c>
    </row>
    <row r="7569" spans="1:10" x14ac:dyDescent="0.25">
      <c r="A7569">
        <v>8511</v>
      </c>
      <c r="B7569" t="s">
        <v>531</v>
      </c>
      <c r="C7569">
        <v>439</v>
      </c>
      <c r="D7569">
        <v>436</v>
      </c>
      <c r="E7569">
        <v>0</v>
      </c>
      <c r="F7569">
        <v>349</v>
      </c>
      <c r="G7569">
        <v>0</v>
      </c>
      <c r="H7569" t="s">
        <v>12488</v>
      </c>
      <c r="I7569">
        <v>8511</v>
      </c>
      <c r="J7569" t="e">
        <f>VLOOKUP(E7569,DSSpieler!A:B,2,FALSE)</f>
        <v>#N/A</v>
      </c>
    </row>
    <row r="7570" spans="1:10" x14ac:dyDescent="0.25">
      <c r="A7570">
        <v>8512</v>
      </c>
      <c r="B7570" t="s">
        <v>531</v>
      </c>
      <c r="C7570">
        <v>411</v>
      </c>
      <c r="D7570">
        <v>519</v>
      </c>
      <c r="E7570">
        <v>0</v>
      </c>
      <c r="F7570">
        <v>85</v>
      </c>
      <c r="G7570">
        <v>0</v>
      </c>
      <c r="H7570" t="s">
        <v>12489</v>
      </c>
      <c r="I7570">
        <v>8512</v>
      </c>
      <c r="J7570" t="e">
        <f>VLOOKUP(E7570,DSSpieler!A:B,2,FALSE)</f>
        <v>#N/A</v>
      </c>
    </row>
    <row r="7571" spans="1:10" x14ac:dyDescent="0.25">
      <c r="A7571">
        <v>8513</v>
      </c>
      <c r="B7571" t="s">
        <v>33382</v>
      </c>
      <c r="C7571">
        <v>567</v>
      </c>
      <c r="D7571">
        <v>562</v>
      </c>
      <c r="E7571">
        <v>1577183882</v>
      </c>
      <c r="F7571">
        <v>4202</v>
      </c>
      <c r="G7571">
        <v>0</v>
      </c>
      <c r="H7571" t="s">
        <v>12490</v>
      </c>
      <c r="I7571">
        <v>8513</v>
      </c>
      <c r="J7571" t="str">
        <f>VLOOKUP(E7571,DSSpieler!A:B,2,FALSE)</f>
        <v>Schädelknacker</v>
      </c>
    </row>
    <row r="7572" spans="1:10" x14ac:dyDescent="0.25">
      <c r="A7572">
        <v>8514</v>
      </c>
      <c r="B7572" t="s">
        <v>531</v>
      </c>
      <c r="C7572">
        <v>411</v>
      </c>
      <c r="D7572">
        <v>483</v>
      </c>
      <c r="E7572">
        <v>0</v>
      </c>
      <c r="F7572">
        <v>176</v>
      </c>
      <c r="G7572">
        <v>0</v>
      </c>
      <c r="H7572" t="s">
        <v>12491</v>
      </c>
      <c r="I7572">
        <v>8514</v>
      </c>
      <c r="J7572" t="e">
        <f>VLOOKUP(E7572,DSSpieler!A:B,2,FALSE)</f>
        <v>#N/A</v>
      </c>
    </row>
    <row r="7573" spans="1:10" x14ac:dyDescent="0.25">
      <c r="A7573">
        <v>8515</v>
      </c>
      <c r="B7573" t="s">
        <v>531</v>
      </c>
      <c r="C7573">
        <v>559</v>
      </c>
      <c r="D7573">
        <v>570</v>
      </c>
      <c r="E7573">
        <v>0</v>
      </c>
      <c r="F7573">
        <v>175</v>
      </c>
      <c r="G7573">
        <v>0</v>
      </c>
      <c r="H7573" t="s">
        <v>12492</v>
      </c>
      <c r="I7573">
        <v>8515</v>
      </c>
      <c r="J7573" t="e">
        <f>VLOOKUP(E7573,DSSpieler!A:B,2,FALSE)</f>
        <v>#N/A</v>
      </c>
    </row>
    <row r="7574" spans="1:10" x14ac:dyDescent="0.25">
      <c r="A7574">
        <v>8516</v>
      </c>
      <c r="B7574" t="s">
        <v>531</v>
      </c>
      <c r="C7574">
        <v>447</v>
      </c>
      <c r="D7574">
        <v>570</v>
      </c>
      <c r="E7574">
        <v>0</v>
      </c>
      <c r="F7574">
        <v>205</v>
      </c>
      <c r="G7574">
        <v>0</v>
      </c>
      <c r="H7574" t="s">
        <v>12493</v>
      </c>
      <c r="I7574">
        <v>8516</v>
      </c>
      <c r="J7574" t="e">
        <f>VLOOKUP(E7574,DSSpieler!A:B,2,FALSE)</f>
        <v>#N/A</v>
      </c>
    </row>
    <row r="7575" spans="1:10" x14ac:dyDescent="0.25">
      <c r="A7575">
        <v>8518</v>
      </c>
      <c r="B7575" t="s">
        <v>33383</v>
      </c>
      <c r="C7575">
        <v>562</v>
      </c>
      <c r="D7575">
        <v>434</v>
      </c>
      <c r="E7575">
        <v>1577184105</v>
      </c>
      <c r="F7575">
        <v>6691</v>
      </c>
      <c r="G7575">
        <v>0</v>
      </c>
      <c r="H7575" t="s">
        <v>12494</v>
      </c>
      <c r="I7575">
        <v>8518</v>
      </c>
      <c r="J7575" t="str">
        <f>VLOOKUP(E7575,DSSpieler!A:B,2,FALSE)</f>
        <v>Lordbballer</v>
      </c>
    </row>
    <row r="7576" spans="1:10" x14ac:dyDescent="0.25">
      <c r="A7576">
        <v>8519</v>
      </c>
      <c r="B7576" t="s">
        <v>531</v>
      </c>
      <c r="C7576">
        <v>409</v>
      </c>
      <c r="D7576">
        <v>507</v>
      </c>
      <c r="E7576">
        <v>0</v>
      </c>
      <c r="F7576">
        <v>451</v>
      </c>
      <c r="G7576">
        <v>0</v>
      </c>
      <c r="H7576" t="s">
        <v>12495</v>
      </c>
      <c r="I7576">
        <v>8519</v>
      </c>
      <c r="J7576" t="e">
        <f>VLOOKUP(E7576,DSSpieler!A:B,2,FALSE)</f>
        <v>#N/A</v>
      </c>
    </row>
    <row r="7577" spans="1:10" x14ac:dyDescent="0.25">
      <c r="A7577">
        <v>8520</v>
      </c>
      <c r="B7577" t="s">
        <v>531</v>
      </c>
      <c r="C7577">
        <v>463</v>
      </c>
      <c r="D7577">
        <v>419</v>
      </c>
      <c r="E7577">
        <v>0</v>
      </c>
      <c r="F7577">
        <v>267</v>
      </c>
      <c r="G7577">
        <v>0</v>
      </c>
      <c r="H7577" t="s">
        <v>12496</v>
      </c>
      <c r="I7577">
        <v>8520</v>
      </c>
      <c r="J7577" t="e">
        <f>VLOOKUP(E7577,DSSpieler!A:B,2,FALSE)</f>
        <v>#N/A</v>
      </c>
    </row>
    <row r="7578" spans="1:10" x14ac:dyDescent="0.25">
      <c r="A7578">
        <v>8521</v>
      </c>
      <c r="B7578">
        <v>1</v>
      </c>
      <c r="C7578">
        <v>417</v>
      </c>
      <c r="D7578">
        <v>476</v>
      </c>
      <c r="E7578">
        <v>1577184180</v>
      </c>
      <c r="F7578">
        <v>7676</v>
      </c>
      <c r="G7578">
        <v>0</v>
      </c>
      <c r="H7578" t="s">
        <v>12497</v>
      </c>
      <c r="I7578">
        <v>8521</v>
      </c>
      <c r="J7578" t="str">
        <f>VLOOKUP(E7578,DSSpieler!A:B,2,FALSE)</f>
        <v>Saiyuki</v>
      </c>
    </row>
    <row r="7579" spans="1:10" x14ac:dyDescent="0.25">
      <c r="A7579">
        <v>8522</v>
      </c>
      <c r="B7579" t="s">
        <v>531</v>
      </c>
      <c r="C7579">
        <v>485</v>
      </c>
      <c r="D7579">
        <v>588</v>
      </c>
      <c r="E7579">
        <v>0</v>
      </c>
      <c r="F7579">
        <v>331</v>
      </c>
      <c r="G7579">
        <v>0</v>
      </c>
      <c r="H7579" t="s">
        <v>12498</v>
      </c>
      <c r="I7579">
        <v>8522</v>
      </c>
      <c r="J7579" t="e">
        <f>VLOOKUP(E7579,DSSpieler!A:B,2,FALSE)</f>
        <v>#N/A</v>
      </c>
    </row>
    <row r="7580" spans="1:10" x14ac:dyDescent="0.25">
      <c r="A7580">
        <v>8523</v>
      </c>
      <c r="B7580" t="s">
        <v>531</v>
      </c>
      <c r="C7580">
        <v>462</v>
      </c>
      <c r="D7580">
        <v>602</v>
      </c>
      <c r="E7580">
        <v>0</v>
      </c>
      <c r="F7580">
        <v>239</v>
      </c>
      <c r="G7580">
        <v>0</v>
      </c>
      <c r="H7580" t="s">
        <v>12499</v>
      </c>
      <c r="I7580">
        <v>8523</v>
      </c>
      <c r="J7580" t="e">
        <f>VLOOKUP(E7580,DSSpieler!A:B,2,FALSE)</f>
        <v>#N/A</v>
      </c>
    </row>
    <row r="7581" spans="1:10" x14ac:dyDescent="0.25">
      <c r="A7581">
        <v>8524</v>
      </c>
      <c r="B7581" t="s">
        <v>531</v>
      </c>
      <c r="C7581">
        <v>573</v>
      </c>
      <c r="D7581">
        <v>550</v>
      </c>
      <c r="E7581">
        <v>0</v>
      </c>
      <c r="F7581">
        <v>221</v>
      </c>
      <c r="G7581">
        <v>0</v>
      </c>
      <c r="H7581" t="s">
        <v>12500</v>
      </c>
      <c r="I7581">
        <v>8524</v>
      </c>
      <c r="J7581" t="e">
        <f>VLOOKUP(E7581,DSSpieler!A:B,2,FALSE)</f>
        <v>#N/A</v>
      </c>
    </row>
    <row r="7582" spans="1:10" x14ac:dyDescent="0.25">
      <c r="A7582">
        <v>8525</v>
      </c>
      <c r="B7582" t="s">
        <v>1722</v>
      </c>
      <c r="C7582">
        <v>530</v>
      </c>
      <c r="D7582">
        <v>417</v>
      </c>
      <c r="E7582">
        <v>1577184392</v>
      </c>
      <c r="F7582">
        <v>4421</v>
      </c>
      <c r="G7582">
        <v>0</v>
      </c>
      <c r="H7582" t="s">
        <v>12501</v>
      </c>
      <c r="I7582">
        <v>8525</v>
      </c>
      <c r="J7582" t="str">
        <f>VLOOKUP(E7582,DSSpieler!A:B,2,FALSE)</f>
        <v>Stinktier92</v>
      </c>
    </row>
    <row r="7583" spans="1:10" x14ac:dyDescent="0.25">
      <c r="A7583">
        <v>8526</v>
      </c>
      <c r="B7583" t="s">
        <v>531</v>
      </c>
      <c r="C7583">
        <v>481</v>
      </c>
      <c r="D7583">
        <v>584</v>
      </c>
      <c r="E7583">
        <v>0</v>
      </c>
      <c r="F7583">
        <v>271</v>
      </c>
      <c r="G7583">
        <v>0</v>
      </c>
      <c r="H7583" t="s">
        <v>12502</v>
      </c>
      <c r="I7583">
        <v>8526</v>
      </c>
      <c r="J7583" t="e">
        <f>VLOOKUP(E7583,DSSpieler!A:B,2,FALSE)</f>
        <v>#N/A</v>
      </c>
    </row>
    <row r="7584" spans="1:10" x14ac:dyDescent="0.25">
      <c r="A7584">
        <v>8527</v>
      </c>
      <c r="B7584" t="s">
        <v>531</v>
      </c>
      <c r="C7584">
        <v>588</v>
      </c>
      <c r="D7584">
        <v>505</v>
      </c>
      <c r="E7584">
        <v>0</v>
      </c>
      <c r="F7584">
        <v>364</v>
      </c>
      <c r="G7584">
        <v>0</v>
      </c>
      <c r="H7584" t="s">
        <v>12503</v>
      </c>
      <c r="I7584">
        <v>8527</v>
      </c>
      <c r="J7584" t="e">
        <f>VLOOKUP(E7584,DSSpieler!A:B,2,FALSE)</f>
        <v>#N/A</v>
      </c>
    </row>
    <row r="7585" spans="1:10" x14ac:dyDescent="0.25">
      <c r="A7585">
        <v>8528</v>
      </c>
      <c r="B7585" t="s">
        <v>531</v>
      </c>
      <c r="C7585">
        <v>579</v>
      </c>
      <c r="D7585">
        <v>547</v>
      </c>
      <c r="E7585">
        <v>0</v>
      </c>
      <c r="F7585">
        <v>821</v>
      </c>
      <c r="G7585">
        <v>0</v>
      </c>
      <c r="H7585" t="s">
        <v>12504</v>
      </c>
      <c r="I7585">
        <v>8528</v>
      </c>
      <c r="J7585" t="e">
        <f>VLOOKUP(E7585,DSSpieler!A:B,2,FALSE)</f>
        <v>#N/A</v>
      </c>
    </row>
    <row r="7586" spans="1:10" x14ac:dyDescent="0.25">
      <c r="A7586">
        <v>8529</v>
      </c>
      <c r="B7586" t="s">
        <v>531</v>
      </c>
      <c r="C7586">
        <v>574</v>
      </c>
      <c r="D7586">
        <v>446</v>
      </c>
      <c r="E7586">
        <v>0</v>
      </c>
      <c r="F7586">
        <v>212</v>
      </c>
      <c r="G7586">
        <v>0</v>
      </c>
      <c r="H7586" t="s">
        <v>12505</v>
      </c>
      <c r="I7586">
        <v>8529</v>
      </c>
      <c r="J7586" t="e">
        <f>VLOOKUP(E7586,DSSpieler!A:B,2,FALSE)</f>
        <v>#N/A</v>
      </c>
    </row>
    <row r="7587" spans="1:10" x14ac:dyDescent="0.25">
      <c r="A7587">
        <v>8530</v>
      </c>
      <c r="B7587" t="s">
        <v>33384</v>
      </c>
      <c r="C7587">
        <v>393</v>
      </c>
      <c r="D7587">
        <v>519</v>
      </c>
      <c r="E7587">
        <v>1577070192</v>
      </c>
      <c r="F7587">
        <v>6141</v>
      </c>
      <c r="G7587">
        <v>0</v>
      </c>
      <c r="H7587" t="s">
        <v>12506</v>
      </c>
      <c r="I7587">
        <v>8530</v>
      </c>
      <c r="J7587" t="str">
        <f>VLOOKUP(E7587,DSSpieler!A:B,2,FALSE)</f>
        <v>SirAmon</v>
      </c>
    </row>
    <row r="7588" spans="1:10" x14ac:dyDescent="0.25">
      <c r="A7588">
        <v>8531</v>
      </c>
      <c r="B7588" t="s">
        <v>1723</v>
      </c>
      <c r="C7588">
        <v>536</v>
      </c>
      <c r="D7588">
        <v>582</v>
      </c>
      <c r="E7588">
        <v>1577184890</v>
      </c>
      <c r="F7588">
        <v>414</v>
      </c>
      <c r="G7588">
        <v>0</v>
      </c>
      <c r="H7588" t="s">
        <v>12507</v>
      </c>
      <c r="I7588">
        <v>8531</v>
      </c>
      <c r="J7588" t="str">
        <f>VLOOKUP(E7588,DSSpieler!A:B,2,FALSE)</f>
        <v>dakartoffel</v>
      </c>
    </row>
    <row r="7589" spans="1:10" x14ac:dyDescent="0.25">
      <c r="A7589">
        <v>8532</v>
      </c>
      <c r="B7589" t="s">
        <v>531</v>
      </c>
      <c r="C7589">
        <v>448</v>
      </c>
      <c r="D7589">
        <v>427</v>
      </c>
      <c r="E7589">
        <v>0</v>
      </c>
      <c r="F7589">
        <v>375</v>
      </c>
      <c r="G7589">
        <v>0</v>
      </c>
      <c r="H7589" t="s">
        <v>12508</v>
      </c>
      <c r="I7589">
        <v>8532</v>
      </c>
      <c r="J7589" t="e">
        <f>VLOOKUP(E7589,DSSpieler!A:B,2,FALSE)</f>
        <v>#N/A</v>
      </c>
    </row>
    <row r="7590" spans="1:10" x14ac:dyDescent="0.25">
      <c r="A7590">
        <v>8533</v>
      </c>
      <c r="B7590" t="s">
        <v>531</v>
      </c>
      <c r="C7590">
        <v>491</v>
      </c>
      <c r="D7590">
        <v>410</v>
      </c>
      <c r="E7590">
        <v>0</v>
      </c>
      <c r="F7590">
        <v>219</v>
      </c>
      <c r="G7590">
        <v>0</v>
      </c>
      <c r="H7590" t="s">
        <v>12509</v>
      </c>
      <c r="I7590">
        <v>8533</v>
      </c>
      <c r="J7590" t="e">
        <f>VLOOKUP(E7590,DSSpieler!A:B,2,FALSE)</f>
        <v>#N/A</v>
      </c>
    </row>
    <row r="7591" spans="1:10" x14ac:dyDescent="0.25">
      <c r="A7591">
        <v>8534</v>
      </c>
      <c r="B7591" t="s">
        <v>531</v>
      </c>
      <c r="C7591">
        <v>585</v>
      </c>
      <c r="D7591">
        <v>469</v>
      </c>
      <c r="E7591">
        <v>0</v>
      </c>
      <c r="F7591">
        <v>188</v>
      </c>
      <c r="G7591">
        <v>0</v>
      </c>
      <c r="H7591" t="s">
        <v>12510</v>
      </c>
      <c r="I7591">
        <v>8534</v>
      </c>
      <c r="J7591" t="e">
        <f>VLOOKUP(E7591,DSSpieler!A:B,2,FALSE)</f>
        <v>#N/A</v>
      </c>
    </row>
    <row r="7592" spans="1:10" x14ac:dyDescent="0.25">
      <c r="A7592">
        <v>8535</v>
      </c>
      <c r="B7592" t="s">
        <v>531</v>
      </c>
      <c r="C7592">
        <v>533</v>
      </c>
      <c r="D7592">
        <v>582</v>
      </c>
      <c r="E7592">
        <v>0</v>
      </c>
      <c r="F7592">
        <v>190</v>
      </c>
      <c r="G7592">
        <v>0</v>
      </c>
      <c r="H7592" t="s">
        <v>12511</v>
      </c>
      <c r="I7592">
        <v>8535</v>
      </c>
      <c r="J7592" t="e">
        <f>VLOOKUP(E7592,DSSpieler!A:B,2,FALSE)</f>
        <v>#N/A</v>
      </c>
    </row>
    <row r="7593" spans="1:10" x14ac:dyDescent="0.25">
      <c r="A7593">
        <v>8537</v>
      </c>
      <c r="B7593" t="s">
        <v>33385</v>
      </c>
      <c r="C7593">
        <v>406</v>
      </c>
      <c r="D7593">
        <v>487</v>
      </c>
      <c r="E7593">
        <v>1576780279</v>
      </c>
      <c r="F7593">
        <v>4953</v>
      </c>
      <c r="G7593">
        <v>0</v>
      </c>
      <c r="H7593" t="s">
        <v>12512</v>
      </c>
      <c r="I7593">
        <v>8537</v>
      </c>
      <c r="J7593" t="str">
        <f>VLOOKUP(E7593,DSSpieler!A:B,2,FALSE)</f>
        <v>krassegangster</v>
      </c>
    </row>
    <row r="7594" spans="1:10" x14ac:dyDescent="0.25">
      <c r="A7594">
        <v>8538</v>
      </c>
      <c r="B7594" t="s">
        <v>531</v>
      </c>
      <c r="C7594">
        <v>515</v>
      </c>
      <c r="D7594">
        <v>413</v>
      </c>
      <c r="E7594">
        <v>0</v>
      </c>
      <c r="F7594">
        <v>192</v>
      </c>
      <c r="G7594">
        <v>0</v>
      </c>
      <c r="H7594" t="s">
        <v>12513</v>
      </c>
      <c r="I7594">
        <v>8538</v>
      </c>
      <c r="J7594" t="e">
        <f>VLOOKUP(E7594,DSSpieler!A:B,2,FALSE)</f>
        <v>#N/A</v>
      </c>
    </row>
    <row r="7595" spans="1:10" x14ac:dyDescent="0.25">
      <c r="A7595">
        <v>8540</v>
      </c>
      <c r="B7595" t="s">
        <v>531</v>
      </c>
      <c r="C7595">
        <v>519</v>
      </c>
      <c r="D7595">
        <v>411</v>
      </c>
      <c r="E7595">
        <v>0</v>
      </c>
      <c r="F7595">
        <v>1162</v>
      </c>
      <c r="G7595">
        <v>0</v>
      </c>
      <c r="H7595" t="s">
        <v>12514</v>
      </c>
      <c r="I7595">
        <v>8540</v>
      </c>
      <c r="J7595" t="e">
        <f>VLOOKUP(E7595,DSSpieler!A:B,2,FALSE)</f>
        <v>#N/A</v>
      </c>
    </row>
    <row r="7596" spans="1:10" x14ac:dyDescent="0.25">
      <c r="A7596">
        <v>8541</v>
      </c>
      <c r="B7596" t="s">
        <v>531</v>
      </c>
      <c r="C7596">
        <v>454</v>
      </c>
      <c r="D7596">
        <v>579</v>
      </c>
      <c r="E7596">
        <v>0</v>
      </c>
      <c r="F7596">
        <v>314</v>
      </c>
      <c r="G7596">
        <v>0</v>
      </c>
      <c r="H7596" t="s">
        <v>12515</v>
      </c>
      <c r="I7596">
        <v>8541</v>
      </c>
      <c r="J7596" t="e">
        <f>VLOOKUP(E7596,DSSpieler!A:B,2,FALSE)</f>
        <v>#N/A</v>
      </c>
    </row>
    <row r="7597" spans="1:10" x14ac:dyDescent="0.25">
      <c r="A7597">
        <v>8542</v>
      </c>
      <c r="B7597" t="s">
        <v>35844</v>
      </c>
      <c r="C7597">
        <v>529</v>
      </c>
      <c r="D7597">
        <v>416</v>
      </c>
      <c r="E7597">
        <v>1577184392</v>
      </c>
      <c r="F7597">
        <v>849</v>
      </c>
      <c r="G7597">
        <v>0</v>
      </c>
      <c r="H7597" t="s">
        <v>12516</v>
      </c>
      <c r="I7597">
        <v>8542</v>
      </c>
      <c r="J7597" t="str">
        <f>VLOOKUP(E7597,DSSpieler!A:B,2,FALSE)</f>
        <v>Stinktier92</v>
      </c>
    </row>
    <row r="7598" spans="1:10" x14ac:dyDescent="0.25">
      <c r="A7598">
        <v>8544</v>
      </c>
      <c r="B7598" t="s">
        <v>531</v>
      </c>
      <c r="C7598">
        <v>534</v>
      </c>
      <c r="D7598">
        <v>416</v>
      </c>
      <c r="E7598">
        <v>0</v>
      </c>
      <c r="F7598">
        <v>268</v>
      </c>
      <c r="G7598">
        <v>0</v>
      </c>
      <c r="H7598" t="s">
        <v>12517</v>
      </c>
      <c r="I7598">
        <v>8544</v>
      </c>
      <c r="J7598" t="e">
        <f>VLOOKUP(E7598,DSSpieler!A:B,2,FALSE)</f>
        <v>#N/A</v>
      </c>
    </row>
    <row r="7599" spans="1:10" x14ac:dyDescent="0.25">
      <c r="A7599">
        <v>8545</v>
      </c>
      <c r="B7599" t="s">
        <v>531</v>
      </c>
      <c r="C7599">
        <v>550</v>
      </c>
      <c r="D7599">
        <v>428</v>
      </c>
      <c r="E7599">
        <v>0</v>
      </c>
      <c r="F7599">
        <v>263</v>
      </c>
      <c r="G7599">
        <v>0</v>
      </c>
      <c r="H7599" t="s">
        <v>12518</v>
      </c>
      <c r="I7599">
        <v>8545</v>
      </c>
      <c r="J7599" t="e">
        <f>VLOOKUP(E7599,DSSpieler!A:B,2,FALSE)</f>
        <v>#N/A</v>
      </c>
    </row>
    <row r="7600" spans="1:10" x14ac:dyDescent="0.25">
      <c r="A7600">
        <v>8546</v>
      </c>
      <c r="B7600" t="s">
        <v>33386</v>
      </c>
      <c r="C7600">
        <v>486</v>
      </c>
      <c r="D7600">
        <v>521</v>
      </c>
      <c r="E7600">
        <v>1577185576</v>
      </c>
      <c r="F7600">
        <v>7640</v>
      </c>
      <c r="G7600">
        <v>0</v>
      </c>
      <c r="H7600" t="s">
        <v>12519</v>
      </c>
      <c r="I7600">
        <v>8546</v>
      </c>
      <c r="J7600" t="str">
        <f>VLOOKUP(E7600,DSSpieler!A:B,2,FALSE)</f>
        <v>Majikujanisch</v>
      </c>
    </row>
    <row r="7601" spans="1:10" x14ac:dyDescent="0.25">
      <c r="A7601">
        <v>8547</v>
      </c>
      <c r="B7601" t="s">
        <v>31308</v>
      </c>
      <c r="C7601">
        <v>595</v>
      </c>
      <c r="D7601">
        <v>448</v>
      </c>
      <c r="E7601">
        <v>1577185656</v>
      </c>
      <c r="F7601">
        <v>5351</v>
      </c>
      <c r="G7601">
        <v>0</v>
      </c>
      <c r="H7601" t="s">
        <v>12520</v>
      </c>
      <c r="I7601">
        <v>8547</v>
      </c>
      <c r="J7601" t="str">
        <f>VLOOKUP(E7601,DSSpieler!A:B,2,FALSE)</f>
        <v>.Skyliner.</v>
      </c>
    </row>
    <row r="7602" spans="1:10" x14ac:dyDescent="0.25">
      <c r="A7602">
        <v>8548</v>
      </c>
      <c r="B7602" t="s">
        <v>531</v>
      </c>
      <c r="C7602">
        <v>568</v>
      </c>
      <c r="D7602">
        <v>561</v>
      </c>
      <c r="E7602">
        <v>0</v>
      </c>
      <c r="F7602">
        <v>220</v>
      </c>
      <c r="G7602">
        <v>0</v>
      </c>
      <c r="H7602" t="s">
        <v>12521</v>
      </c>
      <c r="I7602">
        <v>8548</v>
      </c>
      <c r="J7602" t="e">
        <f>VLOOKUP(E7602,DSSpieler!A:B,2,FALSE)</f>
        <v>#N/A</v>
      </c>
    </row>
    <row r="7603" spans="1:10" x14ac:dyDescent="0.25">
      <c r="A7603">
        <v>8549</v>
      </c>
      <c r="B7603" t="s">
        <v>531</v>
      </c>
      <c r="C7603">
        <v>582</v>
      </c>
      <c r="D7603">
        <v>462</v>
      </c>
      <c r="E7603">
        <v>0</v>
      </c>
      <c r="F7603">
        <v>241</v>
      </c>
      <c r="G7603">
        <v>0</v>
      </c>
      <c r="H7603" t="s">
        <v>12522</v>
      </c>
      <c r="I7603">
        <v>8549</v>
      </c>
      <c r="J7603" t="e">
        <f>VLOOKUP(E7603,DSSpieler!A:B,2,FALSE)</f>
        <v>#N/A</v>
      </c>
    </row>
    <row r="7604" spans="1:10" x14ac:dyDescent="0.25">
      <c r="A7604">
        <v>8550</v>
      </c>
      <c r="B7604" t="s">
        <v>531</v>
      </c>
      <c r="C7604">
        <v>440</v>
      </c>
      <c r="D7604">
        <v>433</v>
      </c>
      <c r="E7604">
        <v>0</v>
      </c>
      <c r="F7604">
        <v>124</v>
      </c>
      <c r="G7604">
        <v>0</v>
      </c>
      <c r="H7604" t="s">
        <v>12523</v>
      </c>
      <c r="I7604">
        <v>8550</v>
      </c>
      <c r="J7604" t="e">
        <f>VLOOKUP(E7604,DSSpieler!A:B,2,FALSE)</f>
        <v>#N/A</v>
      </c>
    </row>
    <row r="7605" spans="1:10" x14ac:dyDescent="0.25">
      <c r="A7605">
        <v>8551</v>
      </c>
      <c r="B7605" t="s">
        <v>531</v>
      </c>
      <c r="C7605">
        <v>422</v>
      </c>
      <c r="D7605">
        <v>546</v>
      </c>
      <c r="E7605">
        <v>0</v>
      </c>
      <c r="F7605">
        <v>232</v>
      </c>
      <c r="G7605">
        <v>0</v>
      </c>
      <c r="H7605" t="s">
        <v>12524</v>
      </c>
      <c r="I7605">
        <v>8551</v>
      </c>
      <c r="J7605" t="e">
        <f>VLOOKUP(E7605,DSSpieler!A:B,2,FALSE)</f>
        <v>#N/A</v>
      </c>
    </row>
    <row r="7606" spans="1:10" x14ac:dyDescent="0.25">
      <c r="A7606">
        <v>8552</v>
      </c>
      <c r="B7606" t="s">
        <v>1724</v>
      </c>
      <c r="C7606">
        <v>578</v>
      </c>
      <c r="D7606">
        <v>457</v>
      </c>
      <c r="E7606">
        <v>1577186698</v>
      </c>
      <c r="F7606">
        <v>2077</v>
      </c>
      <c r="G7606">
        <v>0</v>
      </c>
      <c r="H7606" t="s">
        <v>12525</v>
      </c>
      <c r="I7606">
        <v>8552</v>
      </c>
      <c r="J7606" t="str">
        <f>VLOOKUP(E7606,DSSpieler!A:B,2,FALSE)</f>
        <v>anynight</v>
      </c>
    </row>
    <row r="7607" spans="1:10" x14ac:dyDescent="0.25">
      <c r="A7607">
        <v>8553</v>
      </c>
      <c r="B7607" t="s">
        <v>31184</v>
      </c>
      <c r="C7607">
        <v>588</v>
      </c>
      <c r="D7607">
        <v>500</v>
      </c>
      <c r="E7607">
        <v>1576821170</v>
      </c>
      <c r="F7607">
        <v>2561</v>
      </c>
      <c r="G7607">
        <v>0</v>
      </c>
      <c r="H7607" t="s">
        <v>12526</v>
      </c>
      <c r="I7607">
        <v>8553</v>
      </c>
      <c r="J7607" t="str">
        <f>VLOOKUP(E7607,DSSpieler!A:B,2,FALSE)</f>
        <v>SirHiglod</v>
      </c>
    </row>
    <row r="7608" spans="1:10" x14ac:dyDescent="0.25">
      <c r="A7608">
        <v>8554</v>
      </c>
      <c r="B7608" t="s">
        <v>531</v>
      </c>
      <c r="C7608">
        <v>579</v>
      </c>
      <c r="D7608">
        <v>540</v>
      </c>
      <c r="E7608">
        <v>0</v>
      </c>
      <c r="F7608">
        <v>224</v>
      </c>
      <c r="G7608">
        <v>0</v>
      </c>
      <c r="H7608" t="s">
        <v>12527</v>
      </c>
      <c r="I7608">
        <v>8554</v>
      </c>
      <c r="J7608" t="e">
        <f>VLOOKUP(E7608,DSSpieler!A:B,2,FALSE)</f>
        <v>#N/A</v>
      </c>
    </row>
    <row r="7609" spans="1:10" x14ac:dyDescent="0.25">
      <c r="A7609">
        <v>8556</v>
      </c>
      <c r="B7609" t="s">
        <v>531</v>
      </c>
      <c r="C7609">
        <v>440</v>
      </c>
      <c r="D7609">
        <v>567</v>
      </c>
      <c r="E7609">
        <v>0</v>
      </c>
      <c r="F7609">
        <v>301</v>
      </c>
      <c r="G7609">
        <v>0</v>
      </c>
      <c r="H7609" t="s">
        <v>12528</v>
      </c>
      <c r="I7609">
        <v>8556</v>
      </c>
      <c r="J7609" t="e">
        <f>VLOOKUP(E7609,DSSpieler!A:B,2,FALSE)</f>
        <v>#N/A</v>
      </c>
    </row>
    <row r="7610" spans="1:10" x14ac:dyDescent="0.25">
      <c r="A7610">
        <v>8557</v>
      </c>
      <c r="B7610" t="s">
        <v>33387</v>
      </c>
      <c r="C7610">
        <v>586</v>
      </c>
      <c r="D7610">
        <v>531</v>
      </c>
      <c r="E7610">
        <v>1577185990</v>
      </c>
      <c r="F7610">
        <v>5151</v>
      </c>
      <c r="G7610">
        <v>0</v>
      </c>
      <c r="H7610" t="s">
        <v>12529</v>
      </c>
      <c r="I7610">
        <v>8557</v>
      </c>
      <c r="J7610" t="str">
        <f>VLOOKUP(E7610,DSSpieler!A:B,2,FALSE)</f>
        <v>Blackdevil4991</v>
      </c>
    </row>
    <row r="7611" spans="1:10" x14ac:dyDescent="0.25">
      <c r="A7611">
        <v>8558</v>
      </c>
      <c r="B7611">
        <v>2231</v>
      </c>
      <c r="C7611">
        <v>515</v>
      </c>
      <c r="D7611">
        <v>407</v>
      </c>
      <c r="E7611">
        <v>1577188822</v>
      </c>
      <c r="F7611">
        <v>3053</v>
      </c>
      <c r="G7611">
        <v>0</v>
      </c>
      <c r="H7611" t="s">
        <v>12530</v>
      </c>
      <c r="I7611">
        <v>8558</v>
      </c>
      <c r="J7611" t="str">
        <f>VLOOKUP(E7611,DSSpieler!A:B,2,FALSE)</f>
        <v>SeverinoAlPacino</v>
      </c>
    </row>
    <row r="7612" spans="1:10" x14ac:dyDescent="0.25">
      <c r="A7612">
        <v>8559</v>
      </c>
      <c r="B7612" t="s">
        <v>531</v>
      </c>
      <c r="C7612">
        <v>470</v>
      </c>
      <c r="D7612">
        <v>402</v>
      </c>
      <c r="E7612">
        <v>0</v>
      </c>
      <c r="F7612">
        <v>106</v>
      </c>
      <c r="G7612">
        <v>0</v>
      </c>
      <c r="H7612" t="s">
        <v>12531</v>
      </c>
      <c r="I7612">
        <v>8559</v>
      </c>
      <c r="J7612" t="e">
        <f>VLOOKUP(E7612,DSSpieler!A:B,2,FALSE)</f>
        <v>#N/A</v>
      </c>
    </row>
    <row r="7613" spans="1:10" x14ac:dyDescent="0.25">
      <c r="A7613">
        <v>8560</v>
      </c>
      <c r="B7613" t="s">
        <v>30816</v>
      </c>
      <c r="C7613">
        <v>590</v>
      </c>
      <c r="D7613">
        <v>507</v>
      </c>
      <c r="E7613">
        <v>9816501</v>
      </c>
      <c r="F7613">
        <v>6449</v>
      </c>
      <c r="G7613">
        <v>0</v>
      </c>
      <c r="H7613" t="s">
        <v>12532</v>
      </c>
      <c r="I7613">
        <v>8560</v>
      </c>
      <c r="J7613" t="str">
        <f>VLOOKUP(E7613,DSSpieler!A:B,2,FALSE)</f>
        <v>Lord 777</v>
      </c>
    </row>
    <row r="7614" spans="1:10" x14ac:dyDescent="0.25">
      <c r="A7614">
        <v>8563</v>
      </c>
      <c r="B7614" t="s">
        <v>531</v>
      </c>
      <c r="C7614">
        <v>416</v>
      </c>
      <c r="D7614">
        <v>534</v>
      </c>
      <c r="E7614">
        <v>0</v>
      </c>
      <c r="F7614">
        <v>834</v>
      </c>
      <c r="G7614">
        <v>0</v>
      </c>
      <c r="H7614" t="s">
        <v>12533</v>
      </c>
      <c r="I7614">
        <v>8563</v>
      </c>
      <c r="J7614" t="e">
        <f>VLOOKUP(E7614,DSSpieler!A:B,2,FALSE)</f>
        <v>#N/A</v>
      </c>
    </row>
    <row r="7615" spans="1:10" x14ac:dyDescent="0.25">
      <c r="A7615">
        <v>8564</v>
      </c>
      <c r="B7615" t="s">
        <v>531</v>
      </c>
      <c r="C7615">
        <v>578</v>
      </c>
      <c r="D7615">
        <v>543</v>
      </c>
      <c r="E7615">
        <v>0</v>
      </c>
      <c r="F7615">
        <v>297</v>
      </c>
      <c r="G7615">
        <v>0</v>
      </c>
      <c r="H7615" t="s">
        <v>12534</v>
      </c>
      <c r="I7615">
        <v>8564</v>
      </c>
      <c r="J7615" t="e">
        <f>VLOOKUP(E7615,DSSpieler!A:B,2,FALSE)</f>
        <v>#N/A</v>
      </c>
    </row>
    <row r="7616" spans="1:10" x14ac:dyDescent="0.25">
      <c r="A7616">
        <v>8565</v>
      </c>
      <c r="B7616" t="s">
        <v>33388</v>
      </c>
      <c r="C7616">
        <v>417</v>
      </c>
      <c r="D7616">
        <v>534</v>
      </c>
      <c r="E7616">
        <v>1576609691</v>
      </c>
      <c r="F7616">
        <v>5175</v>
      </c>
      <c r="G7616">
        <v>0</v>
      </c>
      <c r="H7616" t="s">
        <v>12535</v>
      </c>
      <c r="I7616">
        <v>8565</v>
      </c>
      <c r="J7616" t="str">
        <f>VLOOKUP(E7616,DSSpieler!A:B,2,FALSE)</f>
        <v>ratfighter</v>
      </c>
    </row>
    <row r="7617" spans="1:10" x14ac:dyDescent="0.25">
      <c r="A7617">
        <v>8566</v>
      </c>
      <c r="B7617" t="s">
        <v>1725</v>
      </c>
      <c r="C7617">
        <v>466</v>
      </c>
      <c r="D7617">
        <v>417</v>
      </c>
      <c r="E7617">
        <v>10048578</v>
      </c>
      <c r="F7617">
        <v>356</v>
      </c>
      <c r="G7617">
        <v>0</v>
      </c>
      <c r="H7617" t="s">
        <v>12536</v>
      </c>
      <c r="I7617">
        <v>8566</v>
      </c>
      <c r="J7617" t="str">
        <f>VLOOKUP(E7617,DSSpieler!A:B,2,FALSE)</f>
        <v>FrancescoSan</v>
      </c>
    </row>
    <row r="7618" spans="1:10" x14ac:dyDescent="0.25">
      <c r="A7618">
        <v>8567</v>
      </c>
      <c r="B7618" t="s">
        <v>531</v>
      </c>
      <c r="C7618">
        <v>583</v>
      </c>
      <c r="D7618">
        <v>537</v>
      </c>
      <c r="E7618">
        <v>0</v>
      </c>
      <c r="F7618">
        <v>222</v>
      </c>
      <c r="G7618">
        <v>0</v>
      </c>
      <c r="H7618" t="s">
        <v>12537</v>
      </c>
      <c r="I7618">
        <v>8567</v>
      </c>
      <c r="J7618" t="e">
        <f>VLOOKUP(E7618,DSSpieler!A:B,2,FALSE)</f>
        <v>#N/A</v>
      </c>
    </row>
    <row r="7619" spans="1:10" x14ac:dyDescent="0.25">
      <c r="A7619">
        <v>8568</v>
      </c>
      <c r="B7619" t="s">
        <v>33389</v>
      </c>
      <c r="C7619">
        <v>415</v>
      </c>
      <c r="D7619">
        <v>476</v>
      </c>
      <c r="E7619">
        <v>2857572</v>
      </c>
      <c r="F7619">
        <v>3446</v>
      </c>
      <c r="G7619">
        <v>0</v>
      </c>
      <c r="H7619" t="s">
        <v>12538</v>
      </c>
      <c r="I7619">
        <v>8568</v>
      </c>
      <c r="J7619" t="str">
        <f>VLOOKUP(E7619,DSSpieler!A:B,2,FALSE)</f>
        <v>MIBs</v>
      </c>
    </row>
    <row r="7620" spans="1:10" x14ac:dyDescent="0.25">
      <c r="A7620">
        <v>8569</v>
      </c>
      <c r="B7620">
        <v>4</v>
      </c>
      <c r="C7620">
        <v>558</v>
      </c>
      <c r="D7620">
        <v>429</v>
      </c>
      <c r="E7620">
        <v>1577168667</v>
      </c>
      <c r="F7620">
        <v>4708</v>
      </c>
      <c r="G7620">
        <v>0</v>
      </c>
      <c r="H7620" t="s">
        <v>12539</v>
      </c>
      <c r="I7620">
        <v>8569</v>
      </c>
      <c r="J7620" t="str">
        <f>VLOOKUP(E7620,DSSpieler!A:B,2,FALSE)</f>
        <v>CeeJayzn</v>
      </c>
    </row>
    <row r="7621" spans="1:10" x14ac:dyDescent="0.25">
      <c r="A7621">
        <v>8570</v>
      </c>
      <c r="B7621" t="s">
        <v>33390</v>
      </c>
      <c r="C7621">
        <v>453</v>
      </c>
      <c r="D7621">
        <v>424</v>
      </c>
      <c r="E7621">
        <v>1577181805</v>
      </c>
      <c r="F7621">
        <v>6415</v>
      </c>
      <c r="G7621">
        <v>0</v>
      </c>
      <c r="H7621" t="s">
        <v>12540</v>
      </c>
      <c r="I7621">
        <v>8570</v>
      </c>
      <c r="J7621" t="str">
        <f>VLOOKUP(E7621,DSSpieler!A:B,2,FALSE)</f>
        <v>Schereschleifer</v>
      </c>
    </row>
    <row r="7622" spans="1:10" x14ac:dyDescent="0.25">
      <c r="A7622">
        <v>8573</v>
      </c>
      <c r="B7622" t="s">
        <v>33391</v>
      </c>
      <c r="C7622">
        <v>412</v>
      </c>
      <c r="D7622">
        <v>511</v>
      </c>
      <c r="E7622">
        <v>1577180918</v>
      </c>
      <c r="F7622">
        <v>6234</v>
      </c>
      <c r="G7622">
        <v>0</v>
      </c>
      <c r="H7622" t="s">
        <v>12541</v>
      </c>
      <c r="I7622">
        <v>8573</v>
      </c>
      <c r="J7622" t="str">
        <f>VLOOKUP(E7622,DSSpieler!A:B,2,FALSE)</f>
        <v>Elaysia</v>
      </c>
    </row>
    <row r="7623" spans="1:10" x14ac:dyDescent="0.25">
      <c r="A7623">
        <v>8574</v>
      </c>
      <c r="B7623" t="s">
        <v>531</v>
      </c>
      <c r="C7623">
        <v>501</v>
      </c>
      <c r="D7623">
        <v>590</v>
      </c>
      <c r="E7623">
        <v>0</v>
      </c>
      <c r="F7623">
        <v>1220</v>
      </c>
      <c r="G7623">
        <v>0</v>
      </c>
      <c r="H7623" t="s">
        <v>12542</v>
      </c>
      <c r="I7623">
        <v>8574</v>
      </c>
      <c r="J7623" t="e">
        <f>VLOOKUP(E7623,DSSpieler!A:B,2,FALSE)</f>
        <v>#N/A</v>
      </c>
    </row>
    <row r="7624" spans="1:10" x14ac:dyDescent="0.25">
      <c r="A7624">
        <v>8575</v>
      </c>
      <c r="B7624" t="s">
        <v>531</v>
      </c>
      <c r="C7624">
        <v>534</v>
      </c>
      <c r="D7624">
        <v>419</v>
      </c>
      <c r="E7624">
        <v>0</v>
      </c>
      <c r="F7624">
        <v>299</v>
      </c>
      <c r="G7624">
        <v>0</v>
      </c>
      <c r="H7624" t="s">
        <v>12543</v>
      </c>
      <c r="I7624">
        <v>8575</v>
      </c>
      <c r="J7624" t="e">
        <f>VLOOKUP(E7624,DSSpieler!A:B,2,FALSE)</f>
        <v>#N/A</v>
      </c>
    </row>
    <row r="7625" spans="1:10" x14ac:dyDescent="0.25">
      <c r="A7625">
        <v>8576</v>
      </c>
      <c r="B7625" t="s">
        <v>531</v>
      </c>
      <c r="C7625">
        <v>557</v>
      </c>
      <c r="D7625">
        <v>570</v>
      </c>
      <c r="E7625">
        <v>0</v>
      </c>
      <c r="F7625">
        <v>375</v>
      </c>
      <c r="G7625">
        <v>0</v>
      </c>
      <c r="H7625" t="s">
        <v>12544</v>
      </c>
      <c r="I7625">
        <v>8576</v>
      </c>
      <c r="J7625" t="e">
        <f>VLOOKUP(E7625,DSSpieler!A:B,2,FALSE)</f>
        <v>#N/A</v>
      </c>
    </row>
    <row r="7626" spans="1:10" x14ac:dyDescent="0.25">
      <c r="A7626">
        <v>8577</v>
      </c>
      <c r="B7626" t="s">
        <v>591</v>
      </c>
      <c r="C7626">
        <v>575</v>
      </c>
      <c r="D7626">
        <v>448</v>
      </c>
      <c r="E7626">
        <v>1577186831</v>
      </c>
      <c r="F7626">
        <v>5568</v>
      </c>
      <c r="G7626">
        <v>0</v>
      </c>
      <c r="H7626" t="s">
        <v>12545</v>
      </c>
      <c r="I7626">
        <v>8577</v>
      </c>
      <c r="J7626" t="str">
        <f>VLOOKUP(E7626,DSSpieler!A:B,2,FALSE)</f>
        <v>maximator19</v>
      </c>
    </row>
    <row r="7627" spans="1:10" x14ac:dyDescent="0.25">
      <c r="A7627">
        <v>8578</v>
      </c>
      <c r="B7627" t="s">
        <v>1726</v>
      </c>
      <c r="C7627">
        <v>493</v>
      </c>
      <c r="D7627">
        <v>412</v>
      </c>
      <c r="E7627">
        <v>1577186850</v>
      </c>
      <c r="F7627">
        <v>6324</v>
      </c>
      <c r="G7627">
        <v>0</v>
      </c>
      <c r="H7627" t="s">
        <v>12546</v>
      </c>
      <c r="I7627">
        <v>8578</v>
      </c>
      <c r="J7627" t="str">
        <f>VLOOKUP(E7627,DSSpieler!A:B,2,FALSE)</f>
        <v>esistokay</v>
      </c>
    </row>
    <row r="7628" spans="1:10" x14ac:dyDescent="0.25">
      <c r="A7628">
        <v>8579</v>
      </c>
      <c r="B7628" t="s">
        <v>531</v>
      </c>
      <c r="C7628">
        <v>423</v>
      </c>
      <c r="D7628">
        <v>572</v>
      </c>
      <c r="E7628">
        <v>0</v>
      </c>
      <c r="F7628">
        <v>2774</v>
      </c>
      <c r="G7628">
        <v>0</v>
      </c>
      <c r="H7628" t="s">
        <v>12547</v>
      </c>
      <c r="I7628">
        <v>8579</v>
      </c>
      <c r="J7628" t="e">
        <f>VLOOKUP(E7628,DSSpieler!A:B,2,FALSE)</f>
        <v>#N/A</v>
      </c>
    </row>
    <row r="7629" spans="1:10" x14ac:dyDescent="0.25">
      <c r="A7629">
        <v>8582</v>
      </c>
      <c r="B7629" t="s">
        <v>1727</v>
      </c>
      <c r="C7629">
        <v>566</v>
      </c>
      <c r="D7629">
        <v>438</v>
      </c>
      <c r="E7629">
        <v>9809468</v>
      </c>
      <c r="F7629">
        <v>813</v>
      </c>
      <c r="G7629">
        <v>0</v>
      </c>
      <c r="H7629" t="s">
        <v>12548</v>
      </c>
      <c r="I7629">
        <v>8582</v>
      </c>
      <c r="J7629" t="str">
        <f>VLOOKUP(E7629,DSSpieler!A:B,2,FALSE)</f>
        <v>King charly88</v>
      </c>
    </row>
    <row r="7630" spans="1:10" x14ac:dyDescent="0.25">
      <c r="A7630">
        <v>8583</v>
      </c>
      <c r="B7630" t="s">
        <v>531</v>
      </c>
      <c r="C7630">
        <v>449</v>
      </c>
      <c r="D7630">
        <v>426</v>
      </c>
      <c r="E7630">
        <v>0</v>
      </c>
      <c r="F7630">
        <v>421</v>
      </c>
      <c r="G7630">
        <v>0</v>
      </c>
      <c r="H7630" t="s">
        <v>12549</v>
      </c>
      <c r="I7630">
        <v>8583</v>
      </c>
      <c r="J7630" t="e">
        <f>VLOOKUP(E7630,DSSpieler!A:B,2,FALSE)</f>
        <v>#N/A</v>
      </c>
    </row>
    <row r="7631" spans="1:10" x14ac:dyDescent="0.25">
      <c r="A7631">
        <v>8584</v>
      </c>
      <c r="B7631" t="s">
        <v>531</v>
      </c>
      <c r="C7631">
        <v>472</v>
      </c>
      <c r="D7631">
        <v>585</v>
      </c>
      <c r="E7631">
        <v>0</v>
      </c>
      <c r="F7631">
        <v>246</v>
      </c>
      <c r="G7631">
        <v>0</v>
      </c>
      <c r="H7631" t="s">
        <v>12550</v>
      </c>
      <c r="I7631">
        <v>8584</v>
      </c>
      <c r="J7631" t="e">
        <f>VLOOKUP(E7631,DSSpieler!A:B,2,FALSE)</f>
        <v>#N/A</v>
      </c>
    </row>
    <row r="7632" spans="1:10" x14ac:dyDescent="0.25">
      <c r="A7632">
        <v>8586</v>
      </c>
      <c r="B7632" t="s">
        <v>1728</v>
      </c>
      <c r="C7632">
        <v>516</v>
      </c>
      <c r="D7632">
        <v>561</v>
      </c>
      <c r="E7632">
        <v>1577186386</v>
      </c>
      <c r="F7632">
        <v>2179</v>
      </c>
      <c r="G7632">
        <v>0</v>
      </c>
      <c r="H7632" t="s">
        <v>12551</v>
      </c>
      <c r="I7632">
        <v>8586</v>
      </c>
      <c r="J7632" t="str">
        <f>VLOOKUP(E7632,DSSpieler!A:B,2,FALSE)</f>
        <v>mike1403</v>
      </c>
    </row>
    <row r="7633" spans="1:10" x14ac:dyDescent="0.25">
      <c r="A7633">
        <v>8587</v>
      </c>
      <c r="B7633" t="s">
        <v>531</v>
      </c>
      <c r="C7633">
        <v>506</v>
      </c>
      <c r="D7633">
        <v>589</v>
      </c>
      <c r="E7633">
        <v>0</v>
      </c>
      <c r="F7633">
        <v>324</v>
      </c>
      <c r="G7633">
        <v>0</v>
      </c>
      <c r="H7633" t="s">
        <v>12552</v>
      </c>
      <c r="I7633">
        <v>8587</v>
      </c>
      <c r="J7633" t="e">
        <f>VLOOKUP(E7633,DSSpieler!A:B,2,FALSE)</f>
        <v>#N/A</v>
      </c>
    </row>
    <row r="7634" spans="1:10" x14ac:dyDescent="0.25">
      <c r="A7634">
        <v>8588</v>
      </c>
      <c r="B7634" t="s">
        <v>531</v>
      </c>
      <c r="C7634">
        <v>583</v>
      </c>
      <c r="D7634">
        <v>462</v>
      </c>
      <c r="E7634">
        <v>0</v>
      </c>
      <c r="F7634">
        <v>122</v>
      </c>
      <c r="G7634">
        <v>0</v>
      </c>
      <c r="H7634" t="s">
        <v>12553</v>
      </c>
      <c r="I7634">
        <v>8588</v>
      </c>
      <c r="J7634" t="e">
        <f>VLOOKUP(E7634,DSSpieler!A:B,2,FALSE)</f>
        <v>#N/A</v>
      </c>
    </row>
    <row r="7635" spans="1:10" x14ac:dyDescent="0.25">
      <c r="A7635">
        <v>8590</v>
      </c>
      <c r="B7635" t="s">
        <v>531</v>
      </c>
      <c r="C7635">
        <v>571</v>
      </c>
      <c r="D7635">
        <v>446</v>
      </c>
      <c r="E7635">
        <v>0</v>
      </c>
      <c r="F7635">
        <v>176</v>
      </c>
      <c r="G7635">
        <v>0</v>
      </c>
      <c r="H7635" t="s">
        <v>12554</v>
      </c>
      <c r="I7635">
        <v>8590</v>
      </c>
      <c r="J7635" t="e">
        <f>VLOOKUP(E7635,DSSpieler!A:B,2,FALSE)</f>
        <v>#N/A</v>
      </c>
    </row>
    <row r="7636" spans="1:10" x14ac:dyDescent="0.25">
      <c r="A7636">
        <v>8591</v>
      </c>
      <c r="B7636" t="s">
        <v>531</v>
      </c>
      <c r="C7636">
        <v>525</v>
      </c>
      <c r="D7636">
        <v>586</v>
      </c>
      <c r="E7636">
        <v>0</v>
      </c>
      <c r="F7636">
        <v>205</v>
      </c>
      <c r="G7636">
        <v>0</v>
      </c>
      <c r="H7636" t="s">
        <v>12555</v>
      </c>
      <c r="I7636">
        <v>8591</v>
      </c>
      <c r="J7636" t="e">
        <f>VLOOKUP(E7636,DSSpieler!A:B,2,FALSE)</f>
        <v>#N/A</v>
      </c>
    </row>
    <row r="7637" spans="1:10" x14ac:dyDescent="0.25">
      <c r="A7637">
        <v>8592</v>
      </c>
      <c r="B7637" t="s">
        <v>531</v>
      </c>
      <c r="C7637">
        <v>570</v>
      </c>
      <c r="D7637">
        <v>553</v>
      </c>
      <c r="E7637">
        <v>0</v>
      </c>
      <c r="F7637">
        <v>173</v>
      </c>
      <c r="G7637">
        <v>0</v>
      </c>
      <c r="H7637" t="s">
        <v>12556</v>
      </c>
      <c r="I7637">
        <v>8592</v>
      </c>
      <c r="J7637" t="e">
        <f>VLOOKUP(E7637,DSSpieler!A:B,2,FALSE)</f>
        <v>#N/A</v>
      </c>
    </row>
    <row r="7638" spans="1:10" x14ac:dyDescent="0.25">
      <c r="A7638">
        <v>8593</v>
      </c>
      <c r="B7638" t="s">
        <v>531</v>
      </c>
      <c r="C7638">
        <v>462</v>
      </c>
      <c r="D7638">
        <v>581</v>
      </c>
      <c r="E7638">
        <v>0</v>
      </c>
      <c r="F7638">
        <v>235</v>
      </c>
      <c r="G7638">
        <v>0</v>
      </c>
      <c r="H7638" t="s">
        <v>12557</v>
      </c>
      <c r="I7638">
        <v>8593</v>
      </c>
      <c r="J7638" t="e">
        <f>VLOOKUP(E7638,DSSpieler!A:B,2,FALSE)</f>
        <v>#N/A</v>
      </c>
    </row>
    <row r="7639" spans="1:10" x14ac:dyDescent="0.25">
      <c r="A7639">
        <v>8594</v>
      </c>
      <c r="B7639" t="s">
        <v>33392</v>
      </c>
      <c r="C7639">
        <v>480</v>
      </c>
      <c r="D7639">
        <v>588</v>
      </c>
      <c r="E7639">
        <v>1577187686</v>
      </c>
      <c r="F7639">
        <v>5470</v>
      </c>
      <c r="G7639">
        <v>0</v>
      </c>
      <c r="H7639" t="s">
        <v>12558</v>
      </c>
      <c r="I7639">
        <v>8594</v>
      </c>
      <c r="J7639" t="str">
        <f>VLOOKUP(E7639,DSSpieler!A:B,2,FALSE)</f>
        <v>Nemesis2020</v>
      </c>
    </row>
    <row r="7640" spans="1:10" x14ac:dyDescent="0.25">
      <c r="A7640">
        <v>8595</v>
      </c>
      <c r="B7640" t="s">
        <v>33393</v>
      </c>
      <c r="C7640">
        <v>414</v>
      </c>
      <c r="D7640">
        <v>527</v>
      </c>
      <c r="E7640">
        <v>1577187920</v>
      </c>
      <c r="F7640">
        <v>26</v>
      </c>
      <c r="G7640">
        <v>0</v>
      </c>
      <c r="H7640" t="s">
        <v>12559</v>
      </c>
      <c r="I7640">
        <v>8595</v>
      </c>
      <c r="J7640" t="str">
        <f>VLOOKUP(E7640,DSSpieler!A:B,2,FALSE)</f>
        <v>beck 600</v>
      </c>
    </row>
    <row r="7641" spans="1:10" x14ac:dyDescent="0.25">
      <c r="A7641">
        <v>8596</v>
      </c>
      <c r="B7641" t="s">
        <v>1599</v>
      </c>
      <c r="C7641">
        <v>595</v>
      </c>
      <c r="D7641">
        <v>468</v>
      </c>
      <c r="E7641">
        <v>1577127354</v>
      </c>
      <c r="F7641">
        <v>1199</v>
      </c>
      <c r="G7641">
        <v>0</v>
      </c>
      <c r="H7641" t="s">
        <v>12560</v>
      </c>
      <c r="I7641">
        <v>8596</v>
      </c>
      <c r="J7641" t="str">
        <f>VLOOKUP(E7641,DSSpieler!A:B,2,FALSE)</f>
        <v>Pullover</v>
      </c>
    </row>
    <row r="7642" spans="1:10" x14ac:dyDescent="0.25">
      <c r="A7642">
        <v>8597</v>
      </c>
      <c r="B7642" t="s">
        <v>33394</v>
      </c>
      <c r="C7642">
        <v>480</v>
      </c>
      <c r="D7642">
        <v>546</v>
      </c>
      <c r="E7642">
        <v>1577077828</v>
      </c>
      <c r="F7642">
        <v>1170</v>
      </c>
      <c r="G7642">
        <v>0</v>
      </c>
      <c r="H7642" t="s">
        <v>12561</v>
      </c>
      <c r="I7642">
        <v>8597</v>
      </c>
      <c r="J7642" t="str">
        <f>VLOOKUP(E7642,DSSpieler!A:B,2,FALSE)</f>
        <v>QuaponiiX</v>
      </c>
    </row>
    <row r="7643" spans="1:10" x14ac:dyDescent="0.25">
      <c r="A7643">
        <v>8598</v>
      </c>
      <c r="B7643" t="s">
        <v>531</v>
      </c>
      <c r="C7643">
        <v>549</v>
      </c>
      <c r="D7643">
        <v>578</v>
      </c>
      <c r="E7643">
        <v>0</v>
      </c>
      <c r="F7643">
        <v>228</v>
      </c>
      <c r="G7643">
        <v>0</v>
      </c>
      <c r="H7643" t="s">
        <v>12562</v>
      </c>
      <c r="I7643">
        <v>8598</v>
      </c>
      <c r="J7643" t="e">
        <f>VLOOKUP(E7643,DSSpieler!A:B,2,FALSE)</f>
        <v>#N/A</v>
      </c>
    </row>
    <row r="7644" spans="1:10" x14ac:dyDescent="0.25">
      <c r="A7644">
        <v>8600</v>
      </c>
      <c r="B7644" t="s">
        <v>33395</v>
      </c>
      <c r="C7644">
        <v>529</v>
      </c>
      <c r="D7644">
        <v>583</v>
      </c>
      <c r="E7644">
        <v>1576838265</v>
      </c>
      <c r="F7644">
        <v>6599</v>
      </c>
      <c r="G7644">
        <v>0</v>
      </c>
      <c r="H7644" t="s">
        <v>12563</v>
      </c>
      <c r="I7644">
        <v>8600</v>
      </c>
      <c r="J7644" t="str">
        <f>VLOOKUP(E7644,DSSpieler!A:B,2,FALSE)</f>
        <v>NeTsRaK3107</v>
      </c>
    </row>
    <row r="7645" spans="1:10" x14ac:dyDescent="0.25">
      <c r="A7645">
        <v>8601</v>
      </c>
      <c r="B7645" t="s">
        <v>531</v>
      </c>
      <c r="C7645">
        <v>568</v>
      </c>
      <c r="D7645">
        <v>441</v>
      </c>
      <c r="E7645">
        <v>0</v>
      </c>
      <c r="F7645">
        <v>351</v>
      </c>
      <c r="G7645">
        <v>0</v>
      </c>
      <c r="H7645" t="s">
        <v>12564</v>
      </c>
      <c r="I7645">
        <v>8601</v>
      </c>
      <c r="J7645" t="e">
        <f>VLOOKUP(E7645,DSSpieler!A:B,2,FALSE)</f>
        <v>#N/A</v>
      </c>
    </row>
    <row r="7646" spans="1:10" x14ac:dyDescent="0.25">
      <c r="A7646">
        <v>8602</v>
      </c>
      <c r="B7646" t="s">
        <v>531</v>
      </c>
      <c r="C7646">
        <v>579</v>
      </c>
      <c r="D7646">
        <v>542</v>
      </c>
      <c r="E7646">
        <v>0</v>
      </c>
      <c r="F7646">
        <v>251</v>
      </c>
      <c r="G7646">
        <v>0</v>
      </c>
      <c r="H7646" t="s">
        <v>12565</v>
      </c>
      <c r="I7646">
        <v>8602</v>
      </c>
      <c r="J7646" t="e">
        <f>VLOOKUP(E7646,DSSpieler!A:B,2,FALSE)</f>
        <v>#N/A</v>
      </c>
    </row>
    <row r="7647" spans="1:10" x14ac:dyDescent="0.25">
      <c r="A7647">
        <v>8603</v>
      </c>
      <c r="B7647" t="s">
        <v>1729</v>
      </c>
      <c r="C7647">
        <v>574</v>
      </c>
      <c r="D7647">
        <v>447</v>
      </c>
      <c r="E7647">
        <v>1577197085</v>
      </c>
      <c r="F7647">
        <v>4255</v>
      </c>
      <c r="G7647">
        <v>0</v>
      </c>
      <c r="H7647" t="s">
        <v>12566</v>
      </c>
      <c r="I7647">
        <v>8603</v>
      </c>
      <c r="J7647" t="str">
        <f>VLOOKUP(E7647,DSSpieler!A:B,2,FALSE)</f>
        <v>LawVii</v>
      </c>
    </row>
    <row r="7648" spans="1:10" x14ac:dyDescent="0.25">
      <c r="A7648">
        <v>8604</v>
      </c>
      <c r="B7648" t="s">
        <v>531</v>
      </c>
      <c r="C7648">
        <v>498</v>
      </c>
      <c r="D7648">
        <v>410</v>
      </c>
      <c r="E7648">
        <v>0</v>
      </c>
      <c r="F7648">
        <v>273</v>
      </c>
      <c r="G7648">
        <v>0</v>
      </c>
      <c r="H7648" t="s">
        <v>12567</v>
      </c>
      <c r="I7648">
        <v>8604</v>
      </c>
      <c r="J7648" t="e">
        <f>VLOOKUP(E7648,DSSpieler!A:B,2,FALSE)</f>
        <v>#N/A</v>
      </c>
    </row>
    <row r="7649" spans="1:10" x14ac:dyDescent="0.25">
      <c r="A7649">
        <v>8605</v>
      </c>
      <c r="B7649" t="s">
        <v>33396</v>
      </c>
      <c r="C7649">
        <v>575</v>
      </c>
      <c r="D7649">
        <v>451</v>
      </c>
      <c r="E7649">
        <v>1577085984</v>
      </c>
      <c r="F7649">
        <v>1605</v>
      </c>
      <c r="G7649">
        <v>0</v>
      </c>
      <c r="H7649" t="s">
        <v>12568</v>
      </c>
      <c r="I7649">
        <v>8605</v>
      </c>
      <c r="J7649" t="str">
        <f>VLOOKUP(E7649,DSSpieler!A:B,2,FALSE)</f>
        <v>Aust3r</v>
      </c>
    </row>
    <row r="7650" spans="1:10" x14ac:dyDescent="0.25">
      <c r="A7650">
        <v>8606</v>
      </c>
      <c r="B7650" t="s">
        <v>33397</v>
      </c>
      <c r="C7650">
        <v>416</v>
      </c>
      <c r="D7650">
        <v>529</v>
      </c>
      <c r="E7650">
        <v>10124100</v>
      </c>
      <c r="F7650">
        <v>3726</v>
      </c>
      <c r="G7650">
        <v>0</v>
      </c>
      <c r="H7650" t="s">
        <v>12569</v>
      </c>
      <c r="I7650">
        <v>8606</v>
      </c>
      <c r="J7650" t="str">
        <f>VLOOKUP(E7650,DSSpieler!A:B,2,FALSE)</f>
        <v>SourScr3am</v>
      </c>
    </row>
    <row r="7651" spans="1:10" x14ac:dyDescent="0.25">
      <c r="A7651">
        <v>8607</v>
      </c>
      <c r="B7651" t="s">
        <v>531</v>
      </c>
      <c r="C7651">
        <v>424</v>
      </c>
      <c r="D7651">
        <v>551</v>
      </c>
      <c r="E7651">
        <v>0</v>
      </c>
      <c r="F7651">
        <v>228</v>
      </c>
      <c r="G7651">
        <v>0</v>
      </c>
      <c r="H7651" t="s">
        <v>12570</v>
      </c>
      <c r="I7651">
        <v>8607</v>
      </c>
      <c r="J7651" t="e">
        <f>VLOOKUP(E7651,DSSpieler!A:B,2,FALSE)</f>
        <v>#N/A</v>
      </c>
    </row>
    <row r="7652" spans="1:10" x14ac:dyDescent="0.25">
      <c r="A7652">
        <v>8608</v>
      </c>
      <c r="B7652" t="s">
        <v>1730</v>
      </c>
      <c r="C7652">
        <v>588</v>
      </c>
      <c r="D7652">
        <v>480</v>
      </c>
      <c r="E7652">
        <v>1577188640</v>
      </c>
      <c r="F7652">
        <v>803</v>
      </c>
      <c r="G7652">
        <v>0</v>
      </c>
      <c r="H7652" t="s">
        <v>12571</v>
      </c>
      <c r="I7652">
        <v>8608</v>
      </c>
      <c r="J7652" t="str">
        <f>VLOOKUP(E7652,DSSpieler!A:B,2,FALSE)</f>
        <v>xlRiieqeL</v>
      </c>
    </row>
    <row r="7653" spans="1:10" x14ac:dyDescent="0.25">
      <c r="A7653">
        <v>8610</v>
      </c>
      <c r="B7653" t="s">
        <v>531</v>
      </c>
      <c r="C7653">
        <v>468</v>
      </c>
      <c r="D7653">
        <v>584</v>
      </c>
      <c r="E7653">
        <v>0</v>
      </c>
      <c r="F7653">
        <v>306</v>
      </c>
      <c r="G7653">
        <v>0</v>
      </c>
      <c r="H7653" t="s">
        <v>12572</v>
      </c>
      <c r="I7653">
        <v>8610</v>
      </c>
      <c r="J7653" t="e">
        <f>VLOOKUP(E7653,DSSpieler!A:B,2,FALSE)</f>
        <v>#N/A</v>
      </c>
    </row>
    <row r="7654" spans="1:10" x14ac:dyDescent="0.25">
      <c r="A7654">
        <v>8611</v>
      </c>
      <c r="B7654" t="s">
        <v>531</v>
      </c>
      <c r="C7654">
        <v>502</v>
      </c>
      <c r="D7654">
        <v>410</v>
      </c>
      <c r="E7654">
        <v>0</v>
      </c>
      <c r="F7654">
        <v>152</v>
      </c>
      <c r="G7654">
        <v>0</v>
      </c>
      <c r="H7654" t="s">
        <v>12573</v>
      </c>
      <c r="I7654">
        <v>8611</v>
      </c>
      <c r="J7654" t="e">
        <f>VLOOKUP(E7654,DSSpieler!A:B,2,FALSE)</f>
        <v>#N/A</v>
      </c>
    </row>
    <row r="7655" spans="1:10" x14ac:dyDescent="0.25">
      <c r="A7655">
        <v>8612</v>
      </c>
      <c r="B7655" t="s">
        <v>531</v>
      </c>
      <c r="C7655">
        <v>591</v>
      </c>
      <c r="D7655">
        <v>558</v>
      </c>
      <c r="E7655">
        <v>0</v>
      </c>
      <c r="F7655">
        <v>221</v>
      </c>
      <c r="G7655">
        <v>0</v>
      </c>
      <c r="H7655" t="s">
        <v>12574</v>
      </c>
      <c r="I7655">
        <v>8612</v>
      </c>
      <c r="J7655" t="e">
        <f>VLOOKUP(E7655,DSSpieler!A:B,2,FALSE)</f>
        <v>#N/A</v>
      </c>
    </row>
    <row r="7656" spans="1:10" x14ac:dyDescent="0.25">
      <c r="A7656">
        <v>8613</v>
      </c>
      <c r="B7656" t="s">
        <v>1731</v>
      </c>
      <c r="C7656">
        <v>575</v>
      </c>
      <c r="D7656">
        <v>491</v>
      </c>
      <c r="E7656">
        <v>1577197531</v>
      </c>
      <c r="F7656">
        <v>6048</v>
      </c>
      <c r="G7656">
        <v>0</v>
      </c>
      <c r="H7656" t="s">
        <v>12575</v>
      </c>
      <c r="I7656">
        <v>8613</v>
      </c>
      <c r="J7656" t="str">
        <f>VLOOKUP(E7656,DSSpieler!A:B,2,FALSE)</f>
        <v>V4p3X</v>
      </c>
    </row>
    <row r="7657" spans="1:10" x14ac:dyDescent="0.25">
      <c r="A7657">
        <v>8614</v>
      </c>
      <c r="B7657" t="s">
        <v>33398</v>
      </c>
      <c r="C7657">
        <v>569</v>
      </c>
      <c r="D7657">
        <v>555</v>
      </c>
      <c r="E7657">
        <v>1577188785</v>
      </c>
      <c r="F7657">
        <v>3960</v>
      </c>
      <c r="G7657">
        <v>0</v>
      </c>
      <c r="H7657" t="s">
        <v>12576</v>
      </c>
      <c r="I7657">
        <v>8614</v>
      </c>
      <c r="J7657" t="str">
        <f>VLOOKUP(E7657,DSSpieler!A:B,2,FALSE)</f>
        <v>Russ198801</v>
      </c>
    </row>
    <row r="7658" spans="1:10" x14ac:dyDescent="0.25">
      <c r="A7658">
        <v>8615</v>
      </c>
      <c r="B7658" t="s">
        <v>269</v>
      </c>
      <c r="C7658">
        <v>514</v>
      </c>
      <c r="D7658">
        <v>408</v>
      </c>
      <c r="E7658">
        <v>1577188822</v>
      </c>
      <c r="F7658">
        <v>7861</v>
      </c>
      <c r="G7658">
        <v>0</v>
      </c>
      <c r="H7658" t="s">
        <v>12577</v>
      </c>
      <c r="I7658">
        <v>8615</v>
      </c>
      <c r="J7658" t="str">
        <f>VLOOKUP(E7658,DSSpieler!A:B,2,FALSE)</f>
        <v>SeverinoAlPacino</v>
      </c>
    </row>
    <row r="7659" spans="1:10" x14ac:dyDescent="0.25">
      <c r="A7659">
        <v>8616</v>
      </c>
      <c r="B7659" t="s">
        <v>531</v>
      </c>
      <c r="C7659">
        <v>524</v>
      </c>
      <c r="D7659">
        <v>414</v>
      </c>
      <c r="E7659">
        <v>0</v>
      </c>
      <c r="F7659">
        <v>131</v>
      </c>
      <c r="G7659">
        <v>0</v>
      </c>
      <c r="H7659" t="s">
        <v>12578</v>
      </c>
      <c r="I7659">
        <v>8616</v>
      </c>
      <c r="J7659" t="e">
        <f>VLOOKUP(E7659,DSSpieler!A:B,2,FALSE)</f>
        <v>#N/A</v>
      </c>
    </row>
    <row r="7660" spans="1:10" x14ac:dyDescent="0.25">
      <c r="A7660">
        <v>8617</v>
      </c>
      <c r="B7660" t="s">
        <v>531</v>
      </c>
      <c r="C7660">
        <v>418</v>
      </c>
      <c r="D7660">
        <v>464</v>
      </c>
      <c r="E7660">
        <v>0</v>
      </c>
      <c r="F7660">
        <v>349</v>
      </c>
      <c r="G7660">
        <v>0</v>
      </c>
      <c r="H7660" t="s">
        <v>12579</v>
      </c>
      <c r="I7660">
        <v>8617</v>
      </c>
      <c r="J7660" t="e">
        <f>VLOOKUP(E7660,DSSpieler!A:B,2,FALSE)</f>
        <v>#N/A</v>
      </c>
    </row>
    <row r="7661" spans="1:10" x14ac:dyDescent="0.25">
      <c r="A7661">
        <v>8618</v>
      </c>
      <c r="B7661" t="s">
        <v>531</v>
      </c>
      <c r="C7661">
        <v>416</v>
      </c>
      <c r="D7661">
        <v>536</v>
      </c>
      <c r="E7661">
        <v>0</v>
      </c>
      <c r="F7661">
        <v>393</v>
      </c>
      <c r="G7661">
        <v>0</v>
      </c>
      <c r="H7661" t="s">
        <v>12580</v>
      </c>
      <c r="I7661">
        <v>8618</v>
      </c>
      <c r="J7661" t="e">
        <f>VLOOKUP(E7661,DSSpieler!A:B,2,FALSE)</f>
        <v>#N/A</v>
      </c>
    </row>
    <row r="7662" spans="1:10" x14ac:dyDescent="0.25">
      <c r="A7662">
        <v>8619</v>
      </c>
      <c r="B7662" t="s">
        <v>33399</v>
      </c>
      <c r="C7662">
        <v>436</v>
      </c>
      <c r="D7662">
        <v>528</v>
      </c>
      <c r="E7662">
        <v>1576755690</v>
      </c>
      <c r="F7662">
        <v>5358</v>
      </c>
      <c r="G7662">
        <v>0</v>
      </c>
      <c r="H7662" t="s">
        <v>12581</v>
      </c>
      <c r="I7662">
        <v>8619</v>
      </c>
      <c r="J7662" t="str">
        <f>VLOOKUP(E7662,DSSpieler!A:B,2,FALSE)</f>
        <v>DownForWhat</v>
      </c>
    </row>
    <row r="7663" spans="1:10" x14ac:dyDescent="0.25">
      <c r="A7663">
        <v>8620</v>
      </c>
      <c r="B7663" t="s">
        <v>531</v>
      </c>
      <c r="C7663">
        <v>553</v>
      </c>
      <c r="D7663">
        <v>425</v>
      </c>
      <c r="E7663">
        <v>0</v>
      </c>
      <c r="F7663">
        <v>244</v>
      </c>
      <c r="G7663">
        <v>0</v>
      </c>
      <c r="H7663" t="s">
        <v>12582</v>
      </c>
      <c r="I7663">
        <v>8620</v>
      </c>
      <c r="J7663" t="e">
        <f>VLOOKUP(E7663,DSSpieler!A:B,2,FALSE)</f>
        <v>#N/A</v>
      </c>
    </row>
    <row r="7664" spans="1:10" x14ac:dyDescent="0.25">
      <c r="A7664">
        <v>8621</v>
      </c>
      <c r="B7664" t="s">
        <v>33400</v>
      </c>
      <c r="C7664">
        <v>538</v>
      </c>
      <c r="D7664">
        <v>560</v>
      </c>
      <c r="E7664">
        <v>1577197889</v>
      </c>
      <c r="F7664">
        <v>4059</v>
      </c>
      <c r="G7664">
        <v>0</v>
      </c>
      <c r="H7664" t="s">
        <v>12583</v>
      </c>
      <c r="I7664">
        <v>8621</v>
      </c>
      <c r="J7664" t="str">
        <f>VLOOKUP(E7664,DSSpieler!A:B,2,FALSE)</f>
        <v>Cedii92</v>
      </c>
    </row>
    <row r="7665" spans="1:10" x14ac:dyDescent="0.25">
      <c r="A7665">
        <v>8622</v>
      </c>
      <c r="B7665" t="s">
        <v>31002</v>
      </c>
      <c r="C7665">
        <v>554</v>
      </c>
      <c r="D7665">
        <v>574</v>
      </c>
      <c r="E7665">
        <v>1576064169</v>
      </c>
      <c r="F7665">
        <v>3864</v>
      </c>
      <c r="G7665">
        <v>0</v>
      </c>
      <c r="H7665" t="s">
        <v>12584</v>
      </c>
      <c r="I7665">
        <v>8622</v>
      </c>
      <c r="J7665" t="str">
        <f>VLOOKUP(E7665,DSSpieler!A:B,2,FALSE)</f>
        <v>MySkillNoSkill</v>
      </c>
    </row>
    <row r="7666" spans="1:10" x14ac:dyDescent="0.25">
      <c r="A7666">
        <v>8623</v>
      </c>
      <c r="B7666" t="s">
        <v>33401</v>
      </c>
      <c r="C7666">
        <v>435</v>
      </c>
      <c r="D7666">
        <v>527</v>
      </c>
      <c r="E7666">
        <v>1577127775</v>
      </c>
      <c r="F7666">
        <v>5073</v>
      </c>
      <c r="G7666">
        <v>0</v>
      </c>
      <c r="H7666" t="s">
        <v>12585</v>
      </c>
      <c r="I7666">
        <v>8623</v>
      </c>
      <c r="J7666" t="str">
        <f>VLOOKUP(E7666,DSSpieler!A:B,2,FALSE)</f>
        <v>DeleteFromW168</v>
      </c>
    </row>
    <row r="7667" spans="1:10" x14ac:dyDescent="0.25">
      <c r="A7667">
        <v>8624</v>
      </c>
      <c r="B7667" t="s">
        <v>531</v>
      </c>
      <c r="C7667">
        <v>415</v>
      </c>
      <c r="D7667">
        <v>472</v>
      </c>
      <c r="E7667">
        <v>0</v>
      </c>
      <c r="F7667">
        <v>278</v>
      </c>
      <c r="G7667">
        <v>0</v>
      </c>
      <c r="H7667" t="s">
        <v>12586</v>
      </c>
      <c r="I7667">
        <v>8624</v>
      </c>
      <c r="J7667" t="e">
        <f>VLOOKUP(E7667,DSSpieler!A:B,2,FALSE)</f>
        <v>#N/A</v>
      </c>
    </row>
    <row r="7668" spans="1:10" x14ac:dyDescent="0.25">
      <c r="A7668">
        <v>8625</v>
      </c>
      <c r="B7668" t="s">
        <v>531</v>
      </c>
      <c r="C7668">
        <v>470</v>
      </c>
      <c r="D7668">
        <v>415</v>
      </c>
      <c r="E7668">
        <v>0</v>
      </c>
      <c r="F7668">
        <v>343</v>
      </c>
      <c r="G7668">
        <v>0</v>
      </c>
      <c r="H7668" t="s">
        <v>12587</v>
      </c>
      <c r="I7668">
        <v>8625</v>
      </c>
      <c r="J7668" t="e">
        <f>VLOOKUP(E7668,DSSpieler!A:B,2,FALSE)</f>
        <v>#N/A</v>
      </c>
    </row>
    <row r="7669" spans="1:10" x14ac:dyDescent="0.25">
      <c r="A7669">
        <v>8626</v>
      </c>
      <c r="B7669">
        <v>2</v>
      </c>
      <c r="C7669">
        <v>555</v>
      </c>
      <c r="D7669">
        <v>430</v>
      </c>
      <c r="E7669">
        <v>1577168667</v>
      </c>
      <c r="F7669">
        <v>4664</v>
      </c>
      <c r="G7669">
        <v>0</v>
      </c>
      <c r="H7669" t="s">
        <v>12588</v>
      </c>
      <c r="I7669">
        <v>8626</v>
      </c>
      <c r="J7669" t="str">
        <f>VLOOKUP(E7669,DSSpieler!A:B,2,FALSE)</f>
        <v>CeeJayzn</v>
      </c>
    </row>
    <row r="7670" spans="1:10" x14ac:dyDescent="0.25">
      <c r="A7670">
        <v>8627</v>
      </c>
      <c r="B7670" t="e">
        <f>-Igors+Dorf</f>
        <v>#NAME?</v>
      </c>
      <c r="C7670">
        <v>505</v>
      </c>
      <c r="D7670">
        <v>579</v>
      </c>
      <c r="E7670">
        <v>1577197733</v>
      </c>
      <c r="F7670">
        <v>5290</v>
      </c>
      <c r="G7670">
        <v>0</v>
      </c>
      <c r="H7670" t="s">
        <v>12589</v>
      </c>
      <c r="I7670">
        <v>8627</v>
      </c>
      <c r="J7670" t="str">
        <f>VLOOKUP(E7670,DSSpieler!A:B,2,FALSE)</f>
        <v>Sheriff Söder</v>
      </c>
    </row>
    <row r="7671" spans="1:10" x14ac:dyDescent="0.25">
      <c r="A7671">
        <v>8628</v>
      </c>
      <c r="B7671" t="s">
        <v>33402</v>
      </c>
      <c r="C7671">
        <v>429</v>
      </c>
      <c r="D7671">
        <v>556</v>
      </c>
      <c r="E7671">
        <v>1576615155</v>
      </c>
      <c r="F7671">
        <v>5884</v>
      </c>
      <c r="G7671">
        <v>0</v>
      </c>
      <c r="H7671" t="s">
        <v>12590</v>
      </c>
      <c r="I7671">
        <v>8628</v>
      </c>
      <c r="J7671" t="str">
        <f>VLOOKUP(E7671,DSSpieler!A:B,2,FALSE)</f>
        <v>König putin</v>
      </c>
    </row>
    <row r="7672" spans="1:10" x14ac:dyDescent="0.25">
      <c r="A7672">
        <v>8629</v>
      </c>
      <c r="B7672" t="s">
        <v>531</v>
      </c>
      <c r="C7672">
        <v>559</v>
      </c>
      <c r="D7672">
        <v>431</v>
      </c>
      <c r="E7672">
        <v>0</v>
      </c>
      <c r="F7672">
        <v>149</v>
      </c>
      <c r="G7672">
        <v>0</v>
      </c>
      <c r="H7672" t="s">
        <v>12591</v>
      </c>
      <c r="I7672">
        <v>8629</v>
      </c>
      <c r="J7672" t="e">
        <f>VLOOKUP(E7672,DSSpieler!A:B,2,FALSE)</f>
        <v>#N/A</v>
      </c>
    </row>
    <row r="7673" spans="1:10" x14ac:dyDescent="0.25">
      <c r="A7673">
        <v>8630</v>
      </c>
      <c r="B7673" t="s">
        <v>33403</v>
      </c>
      <c r="C7673">
        <v>471</v>
      </c>
      <c r="D7673">
        <v>586</v>
      </c>
      <c r="E7673">
        <v>151185</v>
      </c>
      <c r="F7673">
        <v>4416</v>
      </c>
      <c r="G7673">
        <v>0</v>
      </c>
      <c r="H7673" t="s">
        <v>12592</v>
      </c>
      <c r="I7673">
        <v>8630</v>
      </c>
      <c r="J7673" t="str">
        <f>VLOOKUP(E7673,DSSpieler!A:B,2,FALSE)</f>
        <v>DerGaertner</v>
      </c>
    </row>
    <row r="7674" spans="1:10" x14ac:dyDescent="0.25">
      <c r="A7674">
        <v>8631</v>
      </c>
      <c r="B7674" t="s">
        <v>33404</v>
      </c>
      <c r="C7674">
        <v>496</v>
      </c>
      <c r="D7674">
        <v>592</v>
      </c>
      <c r="E7674">
        <v>1577189257</v>
      </c>
      <c r="F7674">
        <v>119</v>
      </c>
      <c r="G7674">
        <v>0</v>
      </c>
      <c r="H7674" t="s">
        <v>12593</v>
      </c>
      <c r="I7674">
        <v>8631</v>
      </c>
      <c r="J7674" t="str">
        <f>VLOOKUP(E7674,DSSpieler!A:B,2,FALSE)</f>
        <v>The Quari</v>
      </c>
    </row>
    <row r="7675" spans="1:10" x14ac:dyDescent="0.25">
      <c r="A7675">
        <v>8632</v>
      </c>
      <c r="B7675" t="s">
        <v>33405</v>
      </c>
      <c r="C7675">
        <v>503</v>
      </c>
      <c r="D7675">
        <v>410</v>
      </c>
      <c r="E7675">
        <v>1577176097</v>
      </c>
      <c r="F7675">
        <v>5845</v>
      </c>
      <c r="G7675">
        <v>0</v>
      </c>
      <c r="H7675" t="s">
        <v>12594</v>
      </c>
      <c r="I7675">
        <v>8632</v>
      </c>
      <c r="J7675" t="str">
        <f>VLOOKUP(E7675,DSSpieler!A:B,2,FALSE)</f>
        <v>Nerro12</v>
      </c>
    </row>
    <row r="7676" spans="1:10" x14ac:dyDescent="0.25">
      <c r="A7676">
        <v>8633</v>
      </c>
      <c r="B7676" t="s">
        <v>531</v>
      </c>
      <c r="C7676">
        <v>470</v>
      </c>
      <c r="D7676">
        <v>587</v>
      </c>
      <c r="E7676">
        <v>0</v>
      </c>
      <c r="F7676">
        <v>357</v>
      </c>
      <c r="G7676">
        <v>0</v>
      </c>
      <c r="H7676" t="s">
        <v>12595</v>
      </c>
      <c r="I7676">
        <v>8633</v>
      </c>
      <c r="J7676" t="e">
        <f>VLOOKUP(E7676,DSSpieler!A:B,2,FALSE)</f>
        <v>#N/A</v>
      </c>
    </row>
    <row r="7677" spans="1:10" x14ac:dyDescent="0.25">
      <c r="A7677">
        <v>8634</v>
      </c>
      <c r="B7677" t="s">
        <v>531</v>
      </c>
      <c r="C7677">
        <v>587</v>
      </c>
      <c r="D7677">
        <v>525</v>
      </c>
      <c r="E7677">
        <v>0</v>
      </c>
      <c r="F7677">
        <v>220</v>
      </c>
      <c r="G7677">
        <v>0</v>
      </c>
      <c r="H7677" t="s">
        <v>12596</v>
      </c>
      <c r="I7677">
        <v>8634</v>
      </c>
      <c r="J7677" t="e">
        <f>VLOOKUP(E7677,DSSpieler!A:B,2,FALSE)</f>
        <v>#N/A</v>
      </c>
    </row>
    <row r="7678" spans="1:10" x14ac:dyDescent="0.25">
      <c r="A7678">
        <v>8635</v>
      </c>
      <c r="B7678" t="s">
        <v>531</v>
      </c>
      <c r="C7678">
        <v>484</v>
      </c>
      <c r="D7678">
        <v>590</v>
      </c>
      <c r="E7678">
        <v>0</v>
      </c>
      <c r="F7678">
        <v>375</v>
      </c>
      <c r="G7678">
        <v>0</v>
      </c>
      <c r="H7678" t="s">
        <v>12597</v>
      </c>
      <c r="I7678">
        <v>8635</v>
      </c>
      <c r="J7678" t="e">
        <f>VLOOKUP(E7678,DSSpieler!A:B,2,FALSE)</f>
        <v>#N/A</v>
      </c>
    </row>
    <row r="7679" spans="1:10" x14ac:dyDescent="0.25">
      <c r="A7679">
        <v>8636</v>
      </c>
      <c r="B7679" t="s">
        <v>33406</v>
      </c>
      <c r="C7679">
        <v>528</v>
      </c>
      <c r="D7679">
        <v>600</v>
      </c>
      <c r="E7679">
        <v>8229715</v>
      </c>
      <c r="F7679">
        <v>3317</v>
      </c>
      <c r="G7679">
        <v>0</v>
      </c>
      <c r="H7679" t="s">
        <v>12598</v>
      </c>
      <c r="I7679">
        <v>8636</v>
      </c>
      <c r="J7679" t="str">
        <f>VLOOKUP(E7679,DSSpieler!A:B,2,FALSE)</f>
        <v>Orschlochwattn</v>
      </c>
    </row>
    <row r="7680" spans="1:10" x14ac:dyDescent="0.25">
      <c r="A7680">
        <v>8637</v>
      </c>
      <c r="B7680" t="s">
        <v>531</v>
      </c>
      <c r="C7680">
        <v>589</v>
      </c>
      <c r="D7680">
        <v>513</v>
      </c>
      <c r="E7680">
        <v>0</v>
      </c>
      <c r="F7680">
        <v>246</v>
      </c>
      <c r="G7680">
        <v>0</v>
      </c>
      <c r="H7680" t="s">
        <v>12599</v>
      </c>
      <c r="I7680">
        <v>8637</v>
      </c>
      <c r="J7680" t="e">
        <f>VLOOKUP(E7680,DSSpieler!A:B,2,FALSE)</f>
        <v>#N/A</v>
      </c>
    </row>
    <row r="7681" spans="1:10" x14ac:dyDescent="0.25">
      <c r="A7681">
        <v>8638</v>
      </c>
      <c r="B7681" t="s">
        <v>531</v>
      </c>
      <c r="C7681">
        <v>565</v>
      </c>
      <c r="D7681">
        <v>560</v>
      </c>
      <c r="E7681">
        <v>0</v>
      </c>
      <c r="F7681">
        <v>256</v>
      </c>
      <c r="G7681">
        <v>0</v>
      </c>
      <c r="H7681" t="s">
        <v>12600</v>
      </c>
      <c r="I7681">
        <v>8638</v>
      </c>
      <c r="J7681" t="e">
        <f>VLOOKUP(E7681,DSSpieler!A:B,2,FALSE)</f>
        <v>#N/A</v>
      </c>
    </row>
    <row r="7682" spans="1:10" x14ac:dyDescent="0.25">
      <c r="A7682">
        <v>8639</v>
      </c>
      <c r="B7682" t="s">
        <v>531</v>
      </c>
      <c r="C7682">
        <v>534</v>
      </c>
      <c r="D7682">
        <v>584</v>
      </c>
      <c r="E7682">
        <v>0</v>
      </c>
      <c r="F7682">
        <v>205</v>
      </c>
      <c r="G7682">
        <v>0</v>
      </c>
      <c r="H7682" t="s">
        <v>12601</v>
      </c>
      <c r="I7682">
        <v>8639</v>
      </c>
      <c r="J7682" t="e">
        <f>VLOOKUP(E7682,DSSpieler!A:B,2,FALSE)</f>
        <v>#N/A</v>
      </c>
    </row>
    <row r="7683" spans="1:10" x14ac:dyDescent="0.25">
      <c r="A7683">
        <v>8640</v>
      </c>
      <c r="B7683">
        <v>2</v>
      </c>
      <c r="C7683">
        <v>421</v>
      </c>
      <c r="D7683">
        <v>454</v>
      </c>
      <c r="E7683">
        <v>1577004821</v>
      </c>
      <c r="F7683">
        <v>4163</v>
      </c>
      <c r="G7683">
        <v>0</v>
      </c>
      <c r="H7683" t="s">
        <v>12602</v>
      </c>
      <c r="I7683">
        <v>8640</v>
      </c>
      <c r="J7683" t="str">
        <f>VLOOKUP(E7683,DSSpieler!A:B,2,FALSE)</f>
        <v>Bastel20</v>
      </c>
    </row>
    <row r="7684" spans="1:10" x14ac:dyDescent="0.25">
      <c r="A7684">
        <v>8641</v>
      </c>
      <c r="B7684" t="s">
        <v>531</v>
      </c>
      <c r="C7684">
        <v>507</v>
      </c>
      <c r="D7684">
        <v>412</v>
      </c>
      <c r="E7684">
        <v>0</v>
      </c>
      <c r="F7684">
        <v>351</v>
      </c>
      <c r="G7684">
        <v>0</v>
      </c>
      <c r="H7684" t="s">
        <v>12603</v>
      </c>
      <c r="I7684">
        <v>8641</v>
      </c>
      <c r="J7684" t="e">
        <f>VLOOKUP(E7684,DSSpieler!A:B,2,FALSE)</f>
        <v>#N/A</v>
      </c>
    </row>
    <row r="7685" spans="1:10" x14ac:dyDescent="0.25">
      <c r="A7685">
        <v>8642</v>
      </c>
      <c r="B7685" t="s">
        <v>531</v>
      </c>
      <c r="C7685">
        <v>565</v>
      </c>
      <c r="D7685">
        <v>565</v>
      </c>
      <c r="E7685">
        <v>0</v>
      </c>
      <c r="F7685">
        <v>317</v>
      </c>
      <c r="G7685">
        <v>0</v>
      </c>
      <c r="H7685" t="s">
        <v>12604</v>
      </c>
      <c r="I7685">
        <v>8642</v>
      </c>
      <c r="J7685" t="e">
        <f>VLOOKUP(E7685,DSSpieler!A:B,2,FALSE)</f>
        <v>#N/A</v>
      </c>
    </row>
    <row r="7686" spans="1:10" x14ac:dyDescent="0.25">
      <c r="A7686">
        <v>8643</v>
      </c>
      <c r="B7686" t="s">
        <v>531</v>
      </c>
      <c r="C7686">
        <v>575</v>
      </c>
      <c r="D7686">
        <v>447</v>
      </c>
      <c r="E7686">
        <v>0</v>
      </c>
      <c r="F7686">
        <v>305</v>
      </c>
      <c r="G7686">
        <v>0</v>
      </c>
      <c r="H7686" t="s">
        <v>12605</v>
      </c>
      <c r="I7686">
        <v>8643</v>
      </c>
      <c r="J7686" t="e">
        <f>VLOOKUP(E7686,DSSpieler!A:B,2,FALSE)</f>
        <v>#N/A</v>
      </c>
    </row>
    <row r="7687" spans="1:10" x14ac:dyDescent="0.25">
      <c r="A7687">
        <v>8644</v>
      </c>
      <c r="B7687" t="s">
        <v>531</v>
      </c>
      <c r="C7687">
        <v>554</v>
      </c>
      <c r="D7687">
        <v>571</v>
      </c>
      <c r="E7687">
        <v>0</v>
      </c>
      <c r="F7687">
        <v>381</v>
      </c>
      <c r="G7687">
        <v>0</v>
      </c>
      <c r="H7687" t="s">
        <v>12606</v>
      </c>
      <c r="I7687">
        <v>8644</v>
      </c>
      <c r="J7687" t="e">
        <f>VLOOKUP(E7687,DSSpieler!A:B,2,FALSE)</f>
        <v>#N/A</v>
      </c>
    </row>
    <row r="7688" spans="1:10" x14ac:dyDescent="0.25">
      <c r="A7688">
        <v>8645</v>
      </c>
      <c r="B7688" t="s">
        <v>1732</v>
      </c>
      <c r="C7688">
        <v>461</v>
      </c>
      <c r="D7688">
        <v>419</v>
      </c>
      <c r="E7688">
        <v>1577189654</v>
      </c>
      <c r="F7688">
        <v>6469</v>
      </c>
      <c r="G7688">
        <v>0</v>
      </c>
      <c r="H7688" t="s">
        <v>12607</v>
      </c>
      <c r="I7688">
        <v>8645</v>
      </c>
      <c r="J7688" t="str">
        <f>VLOOKUP(E7688,DSSpieler!A:B,2,FALSE)</f>
        <v>mfc1992</v>
      </c>
    </row>
    <row r="7689" spans="1:10" x14ac:dyDescent="0.25">
      <c r="A7689">
        <v>8646</v>
      </c>
      <c r="B7689" t="s">
        <v>531</v>
      </c>
      <c r="C7689">
        <v>541</v>
      </c>
      <c r="D7689">
        <v>420</v>
      </c>
      <c r="E7689">
        <v>0</v>
      </c>
      <c r="F7689">
        <v>453</v>
      </c>
      <c r="G7689">
        <v>0</v>
      </c>
      <c r="H7689" t="s">
        <v>12608</v>
      </c>
      <c r="I7689">
        <v>8646</v>
      </c>
      <c r="J7689" t="e">
        <f>VLOOKUP(E7689,DSSpieler!A:B,2,FALSE)</f>
        <v>#N/A</v>
      </c>
    </row>
    <row r="7690" spans="1:10" x14ac:dyDescent="0.25">
      <c r="A7690">
        <v>8647</v>
      </c>
      <c r="B7690" t="s">
        <v>531</v>
      </c>
      <c r="C7690">
        <v>535</v>
      </c>
      <c r="D7690">
        <v>582</v>
      </c>
      <c r="E7690">
        <v>0</v>
      </c>
      <c r="F7690">
        <v>367</v>
      </c>
      <c r="G7690">
        <v>0</v>
      </c>
      <c r="H7690" t="s">
        <v>12609</v>
      </c>
      <c r="I7690">
        <v>8647</v>
      </c>
      <c r="J7690" t="e">
        <f>VLOOKUP(E7690,DSSpieler!A:B,2,FALSE)</f>
        <v>#N/A</v>
      </c>
    </row>
    <row r="7691" spans="1:10" x14ac:dyDescent="0.25">
      <c r="A7691">
        <v>8648</v>
      </c>
      <c r="B7691" t="s">
        <v>531</v>
      </c>
      <c r="C7691">
        <v>510</v>
      </c>
      <c r="D7691">
        <v>409</v>
      </c>
      <c r="E7691">
        <v>0</v>
      </c>
      <c r="F7691">
        <v>213</v>
      </c>
      <c r="G7691">
        <v>0</v>
      </c>
      <c r="H7691" t="s">
        <v>12610</v>
      </c>
      <c r="I7691">
        <v>8648</v>
      </c>
      <c r="J7691" t="e">
        <f>VLOOKUP(E7691,DSSpieler!A:B,2,FALSE)</f>
        <v>#N/A</v>
      </c>
    </row>
    <row r="7692" spans="1:10" x14ac:dyDescent="0.25">
      <c r="A7692">
        <v>8649</v>
      </c>
      <c r="B7692" t="s">
        <v>1733</v>
      </c>
      <c r="C7692">
        <v>409</v>
      </c>
      <c r="D7692">
        <v>487</v>
      </c>
      <c r="E7692">
        <v>1576846818</v>
      </c>
      <c r="F7692">
        <v>2318</v>
      </c>
      <c r="G7692">
        <v>0</v>
      </c>
      <c r="H7692" t="s">
        <v>12611</v>
      </c>
      <c r="I7692">
        <v>8649</v>
      </c>
      <c r="J7692" t="str">
        <f>VLOOKUP(E7692,DSSpieler!A:B,2,FALSE)</f>
        <v>caspi11</v>
      </c>
    </row>
    <row r="7693" spans="1:10" x14ac:dyDescent="0.25">
      <c r="A7693">
        <v>8650</v>
      </c>
      <c r="B7693" t="s">
        <v>1734</v>
      </c>
      <c r="C7693">
        <v>498</v>
      </c>
      <c r="D7693">
        <v>409</v>
      </c>
      <c r="E7693">
        <v>1577197320</v>
      </c>
      <c r="F7693">
        <v>3650</v>
      </c>
      <c r="G7693">
        <v>0</v>
      </c>
      <c r="H7693" t="s">
        <v>12612</v>
      </c>
      <c r="I7693">
        <v>8650</v>
      </c>
      <c r="J7693" t="str">
        <f>VLOOKUP(E7693,DSSpieler!A:B,2,FALSE)</f>
        <v>DamnJam</v>
      </c>
    </row>
    <row r="7694" spans="1:10" x14ac:dyDescent="0.25">
      <c r="A7694">
        <v>8651</v>
      </c>
      <c r="B7694" t="s">
        <v>30953</v>
      </c>
      <c r="C7694">
        <v>582</v>
      </c>
      <c r="D7694">
        <v>446</v>
      </c>
      <c r="E7694">
        <v>1576282380</v>
      </c>
      <c r="F7694">
        <v>5552</v>
      </c>
      <c r="G7694">
        <v>0</v>
      </c>
      <c r="H7694" t="s">
        <v>12613</v>
      </c>
      <c r="I7694">
        <v>8651</v>
      </c>
      <c r="J7694" t="str">
        <f>VLOOKUP(E7694,DSSpieler!A:B,2,FALSE)</f>
        <v>d empire</v>
      </c>
    </row>
    <row r="7695" spans="1:10" x14ac:dyDescent="0.25">
      <c r="A7695">
        <v>8652</v>
      </c>
      <c r="B7695" t="s">
        <v>531</v>
      </c>
      <c r="C7695">
        <v>587</v>
      </c>
      <c r="D7695">
        <v>524</v>
      </c>
      <c r="E7695">
        <v>0</v>
      </c>
      <c r="F7695">
        <v>92</v>
      </c>
      <c r="G7695">
        <v>0</v>
      </c>
      <c r="H7695" t="s">
        <v>12614</v>
      </c>
      <c r="I7695">
        <v>8652</v>
      </c>
      <c r="J7695" t="e">
        <f>VLOOKUP(E7695,DSSpieler!A:B,2,FALSE)</f>
        <v>#N/A</v>
      </c>
    </row>
    <row r="7696" spans="1:10" x14ac:dyDescent="0.25">
      <c r="A7696">
        <v>8653</v>
      </c>
      <c r="B7696" t="s">
        <v>1735</v>
      </c>
      <c r="C7696">
        <v>581</v>
      </c>
      <c r="D7696">
        <v>467</v>
      </c>
      <c r="E7696">
        <v>1577173034</v>
      </c>
      <c r="F7696">
        <v>2501</v>
      </c>
      <c r="G7696">
        <v>0</v>
      </c>
      <c r="H7696" t="s">
        <v>12615</v>
      </c>
      <c r="I7696">
        <v>8653</v>
      </c>
      <c r="J7696" t="str">
        <f>VLOOKUP(E7696,DSSpieler!A:B,2,FALSE)</f>
        <v>LORD R3BORN</v>
      </c>
    </row>
    <row r="7697" spans="1:10" x14ac:dyDescent="0.25">
      <c r="A7697">
        <v>8654</v>
      </c>
      <c r="B7697" t="s">
        <v>1736</v>
      </c>
      <c r="C7697">
        <v>440</v>
      </c>
      <c r="D7697">
        <v>408</v>
      </c>
      <c r="E7697">
        <v>1577189837</v>
      </c>
      <c r="F7697">
        <v>5734</v>
      </c>
      <c r="G7697">
        <v>0</v>
      </c>
      <c r="H7697" t="s">
        <v>12616</v>
      </c>
      <c r="I7697">
        <v>8654</v>
      </c>
      <c r="J7697" t="str">
        <f>VLOOKUP(E7697,DSSpieler!A:B,2,FALSE)</f>
        <v>wisel3000</v>
      </c>
    </row>
    <row r="7698" spans="1:10" x14ac:dyDescent="0.25">
      <c r="A7698">
        <v>8655</v>
      </c>
      <c r="B7698" t="s">
        <v>33407</v>
      </c>
      <c r="C7698">
        <v>590</v>
      </c>
      <c r="D7698">
        <v>514</v>
      </c>
      <c r="E7698">
        <v>1576969873</v>
      </c>
      <c r="F7698">
        <v>2887</v>
      </c>
      <c r="G7698">
        <v>0</v>
      </c>
      <c r="H7698" t="s">
        <v>12617</v>
      </c>
      <c r="I7698">
        <v>8655</v>
      </c>
      <c r="J7698" t="str">
        <f>VLOOKUP(E7698,DSSpieler!A:B,2,FALSE)</f>
        <v>Spachris</v>
      </c>
    </row>
    <row r="7699" spans="1:10" x14ac:dyDescent="0.25">
      <c r="A7699">
        <v>8656</v>
      </c>
      <c r="B7699" t="s">
        <v>531</v>
      </c>
      <c r="C7699">
        <v>585</v>
      </c>
      <c r="D7699">
        <v>530</v>
      </c>
      <c r="E7699">
        <v>0</v>
      </c>
      <c r="F7699">
        <v>357</v>
      </c>
      <c r="G7699">
        <v>0</v>
      </c>
      <c r="H7699" t="s">
        <v>12618</v>
      </c>
      <c r="I7699">
        <v>8656</v>
      </c>
      <c r="J7699" t="e">
        <f>VLOOKUP(E7699,DSSpieler!A:B,2,FALSE)</f>
        <v>#N/A</v>
      </c>
    </row>
    <row r="7700" spans="1:10" x14ac:dyDescent="0.25">
      <c r="A7700">
        <v>8657</v>
      </c>
      <c r="B7700" t="s">
        <v>531</v>
      </c>
      <c r="C7700">
        <v>409</v>
      </c>
      <c r="D7700">
        <v>510</v>
      </c>
      <c r="E7700">
        <v>0</v>
      </c>
      <c r="F7700">
        <v>121</v>
      </c>
      <c r="G7700">
        <v>0</v>
      </c>
      <c r="H7700" t="s">
        <v>12619</v>
      </c>
      <c r="I7700">
        <v>8657</v>
      </c>
      <c r="J7700" t="e">
        <f>VLOOKUP(E7700,DSSpieler!A:B,2,FALSE)</f>
        <v>#N/A</v>
      </c>
    </row>
    <row r="7701" spans="1:10" x14ac:dyDescent="0.25">
      <c r="A7701">
        <v>8658</v>
      </c>
      <c r="B7701" t="s">
        <v>531</v>
      </c>
      <c r="C7701">
        <v>590</v>
      </c>
      <c r="D7701">
        <v>522</v>
      </c>
      <c r="E7701">
        <v>0</v>
      </c>
      <c r="F7701">
        <v>76</v>
      </c>
      <c r="G7701">
        <v>0</v>
      </c>
      <c r="H7701" t="s">
        <v>12620</v>
      </c>
      <c r="I7701">
        <v>8658</v>
      </c>
      <c r="J7701" t="e">
        <f>VLOOKUP(E7701,DSSpieler!A:B,2,FALSE)</f>
        <v>#N/A</v>
      </c>
    </row>
    <row r="7702" spans="1:10" x14ac:dyDescent="0.25">
      <c r="A7702">
        <v>8659</v>
      </c>
      <c r="B7702" t="s">
        <v>531</v>
      </c>
      <c r="C7702">
        <v>544</v>
      </c>
      <c r="D7702">
        <v>580</v>
      </c>
      <c r="E7702">
        <v>0</v>
      </c>
      <c r="F7702">
        <v>354</v>
      </c>
      <c r="G7702">
        <v>0</v>
      </c>
      <c r="H7702" t="s">
        <v>12621</v>
      </c>
      <c r="I7702">
        <v>8659</v>
      </c>
      <c r="J7702" t="e">
        <f>VLOOKUP(E7702,DSSpieler!A:B,2,FALSE)</f>
        <v>#N/A</v>
      </c>
    </row>
    <row r="7703" spans="1:10" x14ac:dyDescent="0.25">
      <c r="A7703">
        <v>8660</v>
      </c>
      <c r="B7703" t="s">
        <v>531</v>
      </c>
      <c r="C7703">
        <v>512</v>
      </c>
      <c r="D7703">
        <v>590</v>
      </c>
      <c r="E7703">
        <v>0</v>
      </c>
      <c r="F7703">
        <v>498</v>
      </c>
      <c r="G7703">
        <v>0</v>
      </c>
      <c r="H7703" t="s">
        <v>12622</v>
      </c>
      <c r="I7703">
        <v>8660</v>
      </c>
      <c r="J7703" t="e">
        <f>VLOOKUP(E7703,DSSpieler!A:B,2,FALSE)</f>
        <v>#N/A</v>
      </c>
    </row>
    <row r="7704" spans="1:10" x14ac:dyDescent="0.25">
      <c r="A7704">
        <v>8661</v>
      </c>
      <c r="B7704" t="s">
        <v>33408</v>
      </c>
      <c r="C7704">
        <v>478</v>
      </c>
      <c r="D7704">
        <v>547</v>
      </c>
      <c r="E7704">
        <v>1577196514</v>
      </c>
      <c r="F7704">
        <v>4102</v>
      </c>
      <c r="G7704">
        <v>0</v>
      </c>
      <c r="H7704" t="s">
        <v>12623</v>
      </c>
      <c r="I7704">
        <v>8661</v>
      </c>
      <c r="J7704" t="str">
        <f>VLOOKUP(E7704,DSSpieler!A:B,2,FALSE)</f>
        <v>Thunderus</v>
      </c>
    </row>
    <row r="7705" spans="1:10" x14ac:dyDescent="0.25">
      <c r="A7705">
        <v>8662</v>
      </c>
      <c r="B7705" t="s">
        <v>531</v>
      </c>
      <c r="C7705">
        <v>590</v>
      </c>
      <c r="D7705">
        <v>495</v>
      </c>
      <c r="E7705">
        <v>0</v>
      </c>
      <c r="F7705">
        <v>391</v>
      </c>
      <c r="G7705">
        <v>0</v>
      </c>
      <c r="H7705" t="s">
        <v>12624</v>
      </c>
      <c r="I7705">
        <v>8662</v>
      </c>
      <c r="J7705" t="e">
        <f>VLOOKUP(E7705,DSSpieler!A:B,2,FALSE)</f>
        <v>#N/A</v>
      </c>
    </row>
    <row r="7706" spans="1:10" x14ac:dyDescent="0.25">
      <c r="A7706">
        <v>8664</v>
      </c>
      <c r="B7706" t="s">
        <v>531</v>
      </c>
      <c r="C7706">
        <v>425</v>
      </c>
      <c r="D7706">
        <v>450</v>
      </c>
      <c r="E7706">
        <v>0</v>
      </c>
      <c r="F7706">
        <v>1232</v>
      </c>
      <c r="G7706">
        <v>0</v>
      </c>
      <c r="H7706" t="s">
        <v>12625</v>
      </c>
      <c r="I7706">
        <v>8664</v>
      </c>
      <c r="J7706" t="e">
        <f>VLOOKUP(E7706,DSSpieler!A:B,2,FALSE)</f>
        <v>#N/A</v>
      </c>
    </row>
    <row r="7707" spans="1:10" x14ac:dyDescent="0.25">
      <c r="A7707">
        <v>8665</v>
      </c>
      <c r="B7707" t="s">
        <v>531</v>
      </c>
      <c r="C7707">
        <v>422</v>
      </c>
      <c r="D7707">
        <v>451</v>
      </c>
      <c r="E7707">
        <v>0</v>
      </c>
      <c r="F7707">
        <v>304</v>
      </c>
      <c r="G7707">
        <v>0</v>
      </c>
      <c r="H7707" t="s">
        <v>12626</v>
      </c>
      <c r="I7707">
        <v>8665</v>
      </c>
      <c r="J7707" t="e">
        <f>VLOOKUP(E7707,DSSpieler!A:B,2,FALSE)</f>
        <v>#N/A</v>
      </c>
    </row>
    <row r="7708" spans="1:10" x14ac:dyDescent="0.25">
      <c r="A7708">
        <v>8666</v>
      </c>
      <c r="B7708" t="s">
        <v>33409</v>
      </c>
      <c r="C7708">
        <v>419</v>
      </c>
      <c r="D7708">
        <v>536</v>
      </c>
      <c r="E7708">
        <v>1576609691</v>
      </c>
      <c r="F7708">
        <v>2345</v>
      </c>
      <c r="G7708">
        <v>0</v>
      </c>
      <c r="H7708" t="s">
        <v>12627</v>
      </c>
      <c r="I7708">
        <v>8666</v>
      </c>
      <c r="J7708" t="str">
        <f>VLOOKUP(E7708,DSSpieler!A:B,2,FALSE)</f>
        <v>ratfighter</v>
      </c>
    </row>
    <row r="7709" spans="1:10" x14ac:dyDescent="0.25">
      <c r="A7709">
        <v>8667</v>
      </c>
      <c r="B7709" t="s">
        <v>531</v>
      </c>
      <c r="C7709">
        <v>591</v>
      </c>
      <c r="D7709">
        <v>491</v>
      </c>
      <c r="E7709">
        <v>0</v>
      </c>
      <c r="F7709">
        <v>221</v>
      </c>
      <c r="G7709">
        <v>0</v>
      </c>
      <c r="H7709" t="s">
        <v>12628</v>
      </c>
      <c r="I7709">
        <v>8667</v>
      </c>
      <c r="J7709" t="e">
        <f>VLOOKUP(E7709,DSSpieler!A:B,2,FALSE)</f>
        <v>#N/A</v>
      </c>
    </row>
    <row r="7710" spans="1:10" x14ac:dyDescent="0.25">
      <c r="A7710">
        <v>8668</v>
      </c>
      <c r="B7710" t="s">
        <v>1737</v>
      </c>
      <c r="C7710">
        <v>588</v>
      </c>
      <c r="D7710">
        <v>473</v>
      </c>
      <c r="E7710">
        <v>1577188736</v>
      </c>
      <c r="F7710">
        <v>3658</v>
      </c>
      <c r="G7710">
        <v>0</v>
      </c>
      <c r="H7710" t="s">
        <v>12629</v>
      </c>
      <c r="I7710">
        <v>8668</v>
      </c>
      <c r="J7710" t="str">
        <f>VLOOKUP(E7710,DSSpieler!A:B,2,FALSE)</f>
        <v>WoHinGenau?</v>
      </c>
    </row>
    <row r="7711" spans="1:10" x14ac:dyDescent="0.25">
      <c r="A7711">
        <v>8669</v>
      </c>
      <c r="B7711" t="s">
        <v>33410</v>
      </c>
      <c r="C7711">
        <v>587</v>
      </c>
      <c r="D7711">
        <v>469</v>
      </c>
      <c r="E7711">
        <v>1577190280</v>
      </c>
      <c r="F7711">
        <v>5730</v>
      </c>
      <c r="G7711">
        <v>0</v>
      </c>
      <c r="H7711" t="s">
        <v>12630</v>
      </c>
      <c r="I7711">
        <v>8669</v>
      </c>
      <c r="J7711" t="str">
        <f>VLOOKUP(E7711,DSSpieler!A:B,2,FALSE)</f>
        <v>MisterMJ</v>
      </c>
    </row>
    <row r="7712" spans="1:10" x14ac:dyDescent="0.25">
      <c r="A7712">
        <v>8670</v>
      </c>
      <c r="B7712" t="s">
        <v>33411</v>
      </c>
      <c r="C7712">
        <v>480</v>
      </c>
      <c r="D7712">
        <v>587</v>
      </c>
      <c r="E7712">
        <v>1577187686</v>
      </c>
      <c r="F7712">
        <v>2925</v>
      </c>
      <c r="G7712">
        <v>0</v>
      </c>
      <c r="H7712" t="s">
        <v>12631</v>
      </c>
      <c r="I7712">
        <v>8670</v>
      </c>
      <c r="J7712" t="str">
        <f>VLOOKUP(E7712,DSSpieler!A:B,2,FALSE)</f>
        <v>Nemesis2020</v>
      </c>
    </row>
    <row r="7713" spans="1:10" x14ac:dyDescent="0.25">
      <c r="A7713">
        <v>8671</v>
      </c>
      <c r="B7713">
        <v>2</v>
      </c>
      <c r="C7713">
        <v>483</v>
      </c>
      <c r="D7713">
        <v>608</v>
      </c>
      <c r="E7713">
        <v>1577168705</v>
      </c>
      <c r="F7713">
        <v>1437</v>
      </c>
      <c r="G7713">
        <v>0</v>
      </c>
      <c r="H7713" t="s">
        <v>12632</v>
      </c>
      <c r="I7713">
        <v>8671</v>
      </c>
      <c r="J7713" t="str">
        <f>VLOOKUP(E7713,DSSpieler!A:B,2,FALSE)</f>
        <v>amonidas</v>
      </c>
    </row>
    <row r="7714" spans="1:10" x14ac:dyDescent="0.25">
      <c r="A7714">
        <v>8672</v>
      </c>
      <c r="B7714" t="s">
        <v>531</v>
      </c>
      <c r="C7714">
        <v>590</v>
      </c>
      <c r="D7714">
        <v>503</v>
      </c>
      <c r="E7714">
        <v>0</v>
      </c>
      <c r="F7714">
        <v>319</v>
      </c>
      <c r="G7714">
        <v>0</v>
      </c>
      <c r="H7714" t="s">
        <v>12633</v>
      </c>
      <c r="I7714">
        <v>8672</v>
      </c>
      <c r="J7714" t="e">
        <f>VLOOKUP(E7714,DSSpieler!A:B,2,FALSE)</f>
        <v>#N/A</v>
      </c>
    </row>
    <row r="7715" spans="1:10" x14ac:dyDescent="0.25">
      <c r="A7715">
        <v>8673</v>
      </c>
      <c r="B7715" t="s">
        <v>33412</v>
      </c>
      <c r="C7715">
        <v>411</v>
      </c>
      <c r="D7715">
        <v>494</v>
      </c>
      <c r="E7715">
        <v>1576510718</v>
      </c>
      <c r="F7715">
        <v>6284</v>
      </c>
      <c r="G7715">
        <v>0</v>
      </c>
      <c r="H7715" t="s">
        <v>12634</v>
      </c>
      <c r="I7715">
        <v>8673</v>
      </c>
      <c r="J7715" t="str">
        <f>VLOOKUP(E7715,DSSpieler!A:B,2,FALSE)</f>
        <v>OnlyHD</v>
      </c>
    </row>
    <row r="7716" spans="1:10" x14ac:dyDescent="0.25">
      <c r="A7716">
        <v>8674</v>
      </c>
      <c r="B7716" t="s">
        <v>531</v>
      </c>
      <c r="C7716">
        <v>459</v>
      </c>
      <c r="D7716">
        <v>419</v>
      </c>
      <c r="E7716">
        <v>0</v>
      </c>
      <c r="F7716">
        <v>880</v>
      </c>
      <c r="G7716">
        <v>0</v>
      </c>
      <c r="H7716" t="s">
        <v>12635</v>
      </c>
      <c r="I7716">
        <v>8674</v>
      </c>
      <c r="J7716" t="e">
        <f>VLOOKUP(E7716,DSSpieler!A:B,2,FALSE)</f>
        <v>#N/A</v>
      </c>
    </row>
    <row r="7717" spans="1:10" x14ac:dyDescent="0.25">
      <c r="A7717">
        <v>8675</v>
      </c>
      <c r="B7717" t="s">
        <v>1738</v>
      </c>
      <c r="C7717">
        <v>506</v>
      </c>
      <c r="D7717">
        <v>590</v>
      </c>
      <c r="E7717">
        <v>1577190473</v>
      </c>
      <c r="F7717">
        <v>3618</v>
      </c>
      <c r="G7717">
        <v>0</v>
      </c>
      <c r="H7717" t="s">
        <v>12636</v>
      </c>
      <c r="I7717">
        <v>8675</v>
      </c>
      <c r="J7717" t="str">
        <f>VLOOKUP(E7717,DSSpieler!A:B,2,FALSE)</f>
        <v>iReaLexeHD</v>
      </c>
    </row>
    <row r="7718" spans="1:10" x14ac:dyDescent="0.25">
      <c r="A7718">
        <v>8676</v>
      </c>
      <c r="B7718" t="s">
        <v>531</v>
      </c>
      <c r="C7718">
        <v>446</v>
      </c>
      <c r="D7718">
        <v>426</v>
      </c>
      <c r="E7718">
        <v>0</v>
      </c>
      <c r="F7718">
        <v>239</v>
      </c>
      <c r="G7718">
        <v>0</v>
      </c>
      <c r="H7718" t="s">
        <v>12637</v>
      </c>
      <c r="I7718">
        <v>8676</v>
      </c>
      <c r="J7718" t="e">
        <f>VLOOKUP(E7718,DSSpieler!A:B,2,FALSE)</f>
        <v>#N/A</v>
      </c>
    </row>
    <row r="7719" spans="1:10" x14ac:dyDescent="0.25">
      <c r="A7719">
        <v>8677</v>
      </c>
      <c r="B7719" t="s">
        <v>531</v>
      </c>
      <c r="C7719">
        <v>475</v>
      </c>
      <c r="D7719">
        <v>591</v>
      </c>
      <c r="E7719">
        <v>0</v>
      </c>
      <c r="F7719">
        <v>410</v>
      </c>
      <c r="G7719">
        <v>0</v>
      </c>
      <c r="H7719" t="s">
        <v>12638</v>
      </c>
      <c r="I7719">
        <v>8677</v>
      </c>
      <c r="J7719" t="e">
        <f>VLOOKUP(E7719,DSSpieler!A:B,2,FALSE)</f>
        <v>#N/A</v>
      </c>
    </row>
    <row r="7720" spans="1:10" x14ac:dyDescent="0.25">
      <c r="A7720">
        <v>8678</v>
      </c>
      <c r="B7720" t="s">
        <v>1739</v>
      </c>
      <c r="C7720">
        <v>580</v>
      </c>
      <c r="D7720">
        <v>427</v>
      </c>
      <c r="E7720">
        <v>1577190583</v>
      </c>
      <c r="F7720">
        <v>217</v>
      </c>
      <c r="G7720">
        <v>0</v>
      </c>
      <c r="H7720" t="s">
        <v>12639</v>
      </c>
      <c r="I7720">
        <v>8678</v>
      </c>
      <c r="J7720" t="str">
        <f>VLOOKUP(E7720,DSSpieler!A:B,2,FALSE)</f>
        <v>Maui</v>
      </c>
    </row>
    <row r="7721" spans="1:10" x14ac:dyDescent="0.25">
      <c r="A7721">
        <v>8679</v>
      </c>
      <c r="B7721" t="s">
        <v>531</v>
      </c>
      <c r="C7721">
        <v>526</v>
      </c>
      <c r="D7721">
        <v>412</v>
      </c>
      <c r="E7721">
        <v>0</v>
      </c>
      <c r="F7721">
        <v>299</v>
      </c>
      <c r="G7721">
        <v>0</v>
      </c>
      <c r="H7721" t="s">
        <v>12640</v>
      </c>
      <c r="I7721">
        <v>8679</v>
      </c>
      <c r="J7721" t="e">
        <f>VLOOKUP(E7721,DSSpieler!A:B,2,FALSE)</f>
        <v>#N/A</v>
      </c>
    </row>
    <row r="7722" spans="1:10" x14ac:dyDescent="0.25">
      <c r="A7722">
        <v>8680</v>
      </c>
      <c r="B7722" t="e">
        <f>-3-Charming</f>
        <v>#NAME?</v>
      </c>
      <c r="C7722">
        <v>456</v>
      </c>
      <c r="D7722">
        <v>436</v>
      </c>
      <c r="E7722">
        <v>1577114941</v>
      </c>
      <c r="F7722">
        <v>2594</v>
      </c>
      <c r="G7722">
        <v>0</v>
      </c>
      <c r="H7722" t="s">
        <v>12641</v>
      </c>
      <c r="I7722">
        <v>8680</v>
      </c>
      <c r="J7722" t="str">
        <f>VLOOKUP(E7722,DSSpieler!A:B,2,FALSE)</f>
        <v>OpiWinston</v>
      </c>
    </row>
    <row r="7723" spans="1:10" x14ac:dyDescent="0.25">
      <c r="A7723">
        <v>8681</v>
      </c>
      <c r="B7723">
        <v>1</v>
      </c>
      <c r="C7723">
        <v>447</v>
      </c>
      <c r="D7723">
        <v>430</v>
      </c>
      <c r="E7723">
        <v>1577190723</v>
      </c>
      <c r="F7723">
        <v>4817</v>
      </c>
      <c r="G7723">
        <v>0</v>
      </c>
      <c r="H7723" t="s">
        <v>12642</v>
      </c>
      <c r="I7723">
        <v>8681</v>
      </c>
      <c r="J7723" t="str">
        <f>VLOOKUP(E7723,DSSpieler!A:B,2,FALSE)</f>
        <v>Enno73</v>
      </c>
    </row>
    <row r="7724" spans="1:10" x14ac:dyDescent="0.25">
      <c r="A7724">
        <v>8682</v>
      </c>
      <c r="B7724" t="s">
        <v>979</v>
      </c>
      <c r="C7724">
        <v>502</v>
      </c>
      <c r="D7724">
        <v>590</v>
      </c>
      <c r="E7724">
        <v>1577198205</v>
      </c>
      <c r="F7724">
        <v>5194</v>
      </c>
      <c r="G7724">
        <v>0</v>
      </c>
      <c r="H7724" t="s">
        <v>12643</v>
      </c>
      <c r="I7724">
        <v>8682</v>
      </c>
      <c r="J7724" t="str">
        <f>VLOOKUP(E7724,DSSpieler!A:B,2,FALSE)</f>
        <v>.Streuselcake</v>
      </c>
    </row>
    <row r="7725" spans="1:10" x14ac:dyDescent="0.25">
      <c r="A7725">
        <v>8683</v>
      </c>
      <c r="B7725" t="s">
        <v>531</v>
      </c>
      <c r="C7725">
        <v>591</v>
      </c>
      <c r="D7725">
        <v>486</v>
      </c>
      <c r="E7725">
        <v>0</v>
      </c>
      <c r="F7725">
        <v>315</v>
      </c>
      <c r="G7725">
        <v>0</v>
      </c>
      <c r="H7725" t="s">
        <v>12644</v>
      </c>
      <c r="I7725">
        <v>8683</v>
      </c>
      <c r="J7725" t="e">
        <f>VLOOKUP(E7725,DSSpieler!A:B,2,FALSE)</f>
        <v>#N/A</v>
      </c>
    </row>
    <row r="7726" spans="1:10" x14ac:dyDescent="0.25">
      <c r="A7726">
        <v>8684</v>
      </c>
      <c r="B7726" t="s">
        <v>531</v>
      </c>
      <c r="C7726">
        <v>467</v>
      </c>
      <c r="D7726">
        <v>414</v>
      </c>
      <c r="E7726">
        <v>0</v>
      </c>
      <c r="F7726">
        <v>275</v>
      </c>
      <c r="G7726">
        <v>0</v>
      </c>
      <c r="H7726" t="s">
        <v>12645</v>
      </c>
      <c r="I7726">
        <v>8684</v>
      </c>
      <c r="J7726" t="e">
        <f>VLOOKUP(E7726,DSSpieler!A:B,2,FALSE)</f>
        <v>#N/A</v>
      </c>
    </row>
    <row r="7727" spans="1:10" x14ac:dyDescent="0.25">
      <c r="A7727">
        <v>8685</v>
      </c>
      <c r="B7727" t="s">
        <v>531</v>
      </c>
      <c r="C7727">
        <v>416</v>
      </c>
      <c r="D7727">
        <v>539</v>
      </c>
      <c r="E7727">
        <v>0</v>
      </c>
      <c r="F7727">
        <v>221</v>
      </c>
      <c r="G7727">
        <v>0</v>
      </c>
      <c r="H7727" t="s">
        <v>12646</v>
      </c>
      <c r="I7727">
        <v>8685</v>
      </c>
      <c r="J7727" t="e">
        <f>VLOOKUP(E7727,DSSpieler!A:B,2,FALSE)</f>
        <v>#N/A</v>
      </c>
    </row>
    <row r="7728" spans="1:10" x14ac:dyDescent="0.25">
      <c r="A7728">
        <v>8686</v>
      </c>
      <c r="B7728" t="s">
        <v>33413</v>
      </c>
      <c r="C7728">
        <v>572</v>
      </c>
      <c r="D7728">
        <v>558</v>
      </c>
      <c r="E7728">
        <v>1577146042</v>
      </c>
      <c r="F7728">
        <v>6067</v>
      </c>
      <c r="G7728">
        <v>0</v>
      </c>
      <c r="H7728" t="s">
        <v>12647</v>
      </c>
      <c r="I7728">
        <v>8686</v>
      </c>
      <c r="J7728" t="str">
        <f>VLOOKUP(E7728,DSSpieler!A:B,2,FALSE)</f>
        <v>Madara.</v>
      </c>
    </row>
    <row r="7729" spans="1:10" x14ac:dyDescent="0.25">
      <c r="A7729">
        <v>8688</v>
      </c>
      <c r="B7729" t="s">
        <v>531</v>
      </c>
      <c r="C7729">
        <v>509</v>
      </c>
      <c r="D7729">
        <v>590</v>
      </c>
      <c r="E7729">
        <v>0</v>
      </c>
      <c r="F7729">
        <v>97</v>
      </c>
      <c r="G7729">
        <v>0</v>
      </c>
      <c r="H7729" t="s">
        <v>12648</v>
      </c>
      <c r="I7729">
        <v>8688</v>
      </c>
      <c r="J7729" t="e">
        <f>VLOOKUP(E7729,DSSpieler!A:B,2,FALSE)</f>
        <v>#N/A</v>
      </c>
    </row>
    <row r="7730" spans="1:10" x14ac:dyDescent="0.25">
      <c r="A7730">
        <v>8689</v>
      </c>
      <c r="B7730" t="s">
        <v>531</v>
      </c>
      <c r="C7730">
        <v>513</v>
      </c>
      <c r="D7730">
        <v>591</v>
      </c>
      <c r="E7730">
        <v>0</v>
      </c>
      <c r="F7730">
        <v>247</v>
      </c>
      <c r="G7730">
        <v>0</v>
      </c>
      <c r="H7730" t="s">
        <v>12649</v>
      </c>
      <c r="I7730">
        <v>8689</v>
      </c>
      <c r="J7730" t="e">
        <f>VLOOKUP(E7730,DSSpieler!A:B,2,FALSE)</f>
        <v>#N/A</v>
      </c>
    </row>
    <row r="7731" spans="1:10" x14ac:dyDescent="0.25">
      <c r="A7731">
        <v>8690</v>
      </c>
      <c r="B7731" t="s">
        <v>531</v>
      </c>
      <c r="C7731">
        <v>580</v>
      </c>
      <c r="D7731">
        <v>540</v>
      </c>
      <c r="E7731">
        <v>0</v>
      </c>
      <c r="F7731">
        <v>230</v>
      </c>
      <c r="G7731">
        <v>0</v>
      </c>
      <c r="H7731" t="s">
        <v>12650</v>
      </c>
      <c r="I7731">
        <v>8690</v>
      </c>
      <c r="J7731" t="e">
        <f>VLOOKUP(E7731,DSSpieler!A:B,2,FALSE)</f>
        <v>#N/A</v>
      </c>
    </row>
    <row r="7732" spans="1:10" x14ac:dyDescent="0.25">
      <c r="A7732">
        <v>8691</v>
      </c>
      <c r="B7732" t="s">
        <v>33414</v>
      </c>
      <c r="C7732">
        <v>452</v>
      </c>
      <c r="D7732">
        <v>569</v>
      </c>
      <c r="E7732">
        <v>1577191177</v>
      </c>
      <c r="F7732">
        <v>5888</v>
      </c>
      <c r="G7732">
        <v>0</v>
      </c>
      <c r="H7732" t="s">
        <v>12651</v>
      </c>
      <c r="I7732">
        <v>8691</v>
      </c>
      <c r="J7732" t="str">
        <f>VLOOKUP(E7732,DSSpieler!A:B,2,FALSE)</f>
        <v>TheOwnageZero</v>
      </c>
    </row>
    <row r="7733" spans="1:10" x14ac:dyDescent="0.25">
      <c r="A7733">
        <v>8692</v>
      </c>
      <c r="B7733" t="s">
        <v>531</v>
      </c>
      <c r="C7733">
        <v>518</v>
      </c>
      <c r="D7733">
        <v>409</v>
      </c>
      <c r="E7733">
        <v>0</v>
      </c>
      <c r="F7733">
        <v>216</v>
      </c>
      <c r="G7733">
        <v>0</v>
      </c>
      <c r="H7733" t="s">
        <v>12652</v>
      </c>
      <c r="I7733">
        <v>8692</v>
      </c>
      <c r="J7733" t="e">
        <f>VLOOKUP(E7733,DSSpieler!A:B,2,FALSE)</f>
        <v>#N/A</v>
      </c>
    </row>
    <row r="7734" spans="1:10" x14ac:dyDescent="0.25">
      <c r="A7734">
        <v>8693</v>
      </c>
      <c r="B7734" t="s">
        <v>531</v>
      </c>
      <c r="C7734">
        <v>412</v>
      </c>
      <c r="D7734">
        <v>530</v>
      </c>
      <c r="E7734">
        <v>0</v>
      </c>
      <c r="F7734">
        <v>218</v>
      </c>
      <c r="G7734">
        <v>0</v>
      </c>
      <c r="H7734" t="s">
        <v>12653</v>
      </c>
      <c r="I7734">
        <v>8693</v>
      </c>
      <c r="J7734" t="e">
        <f>VLOOKUP(E7734,DSSpieler!A:B,2,FALSE)</f>
        <v>#N/A</v>
      </c>
    </row>
    <row r="7735" spans="1:10" x14ac:dyDescent="0.25">
      <c r="A7735">
        <v>8694</v>
      </c>
      <c r="B7735" t="s">
        <v>531</v>
      </c>
      <c r="C7735">
        <v>413</v>
      </c>
      <c r="D7735">
        <v>523</v>
      </c>
      <c r="E7735">
        <v>0</v>
      </c>
      <c r="F7735">
        <v>439</v>
      </c>
      <c r="G7735">
        <v>0</v>
      </c>
      <c r="H7735" t="s">
        <v>12654</v>
      </c>
      <c r="I7735">
        <v>8694</v>
      </c>
      <c r="J7735" t="e">
        <f>VLOOKUP(E7735,DSSpieler!A:B,2,FALSE)</f>
        <v>#N/A</v>
      </c>
    </row>
    <row r="7736" spans="1:10" x14ac:dyDescent="0.25">
      <c r="A7736">
        <v>8695</v>
      </c>
      <c r="B7736" t="s">
        <v>531</v>
      </c>
      <c r="C7736">
        <v>582</v>
      </c>
      <c r="D7736">
        <v>540</v>
      </c>
      <c r="E7736">
        <v>0</v>
      </c>
      <c r="F7736">
        <v>265</v>
      </c>
      <c r="G7736">
        <v>0</v>
      </c>
      <c r="H7736" t="s">
        <v>12655</v>
      </c>
      <c r="I7736">
        <v>8695</v>
      </c>
      <c r="J7736" t="e">
        <f>VLOOKUP(E7736,DSSpieler!A:B,2,FALSE)</f>
        <v>#N/A</v>
      </c>
    </row>
    <row r="7737" spans="1:10" x14ac:dyDescent="0.25">
      <c r="A7737">
        <v>8696</v>
      </c>
      <c r="B7737" t="s">
        <v>531</v>
      </c>
      <c r="C7737">
        <v>571</v>
      </c>
      <c r="D7737">
        <v>559</v>
      </c>
      <c r="E7737">
        <v>0</v>
      </c>
      <c r="F7737">
        <v>605</v>
      </c>
      <c r="G7737">
        <v>0</v>
      </c>
      <c r="H7737" t="s">
        <v>12656</v>
      </c>
      <c r="I7737">
        <v>8696</v>
      </c>
      <c r="J7737" t="e">
        <f>VLOOKUP(E7737,DSSpieler!A:B,2,FALSE)</f>
        <v>#N/A</v>
      </c>
    </row>
    <row r="7738" spans="1:10" x14ac:dyDescent="0.25">
      <c r="A7738">
        <v>8697</v>
      </c>
      <c r="B7738" t="s">
        <v>531</v>
      </c>
      <c r="C7738">
        <v>558</v>
      </c>
      <c r="D7738">
        <v>572</v>
      </c>
      <c r="E7738">
        <v>0</v>
      </c>
      <c r="F7738">
        <v>312</v>
      </c>
      <c r="G7738">
        <v>0</v>
      </c>
      <c r="H7738" t="s">
        <v>12657</v>
      </c>
      <c r="I7738">
        <v>8697</v>
      </c>
      <c r="J7738" t="e">
        <f>VLOOKUP(E7738,DSSpieler!A:B,2,FALSE)</f>
        <v>#N/A</v>
      </c>
    </row>
    <row r="7739" spans="1:10" x14ac:dyDescent="0.25">
      <c r="A7739">
        <v>8698</v>
      </c>
      <c r="B7739" t="s">
        <v>531</v>
      </c>
      <c r="C7739">
        <v>419</v>
      </c>
      <c r="D7739">
        <v>541</v>
      </c>
      <c r="E7739">
        <v>0</v>
      </c>
      <c r="F7739">
        <v>182</v>
      </c>
      <c r="G7739">
        <v>0</v>
      </c>
      <c r="H7739" t="s">
        <v>12658</v>
      </c>
      <c r="I7739">
        <v>8698</v>
      </c>
      <c r="J7739" t="e">
        <f>VLOOKUP(E7739,DSSpieler!A:B,2,FALSE)</f>
        <v>#N/A</v>
      </c>
    </row>
    <row r="7740" spans="1:10" x14ac:dyDescent="0.25">
      <c r="A7740">
        <v>8699</v>
      </c>
      <c r="B7740" t="s">
        <v>1740</v>
      </c>
      <c r="C7740">
        <v>435</v>
      </c>
      <c r="D7740">
        <v>545</v>
      </c>
      <c r="E7740">
        <v>1575996788</v>
      </c>
      <c r="F7740">
        <v>6018</v>
      </c>
      <c r="G7740">
        <v>0</v>
      </c>
      <c r="H7740" t="s">
        <v>12659</v>
      </c>
      <c r="I7740">
        <v>8699</v>
      </c>
      <c r="J7740" t="str">
        <f>VLOOKUP(E7740,DSSpieler!A:B,2,FALSE)</f>
        <v>Wolfstter</v>
      </c>
    </row>
    <row r="7741" spans="1:10" x14ac:dyDescent="0.25">
      <c r="A7741">
        <v>8700</v>
      </c>
      <c r="B7741" t="s">
        <v>531</v>
      </c>
      <c r="C7741">
        <v>425</v>
      </c>
      <c r="D7741">
        <v>551</v>
      </c>
      <c r="E7741">
        <v>0</v>
      </c>
      <c r="F7741">
        <v>300</v>
      </c>
      <c r="G7741">
        <v>0</v>
      </c>
      <c r="H7741" t="s">
        <v>12660</v>
      </c>
      <c r="I7741">
        <v>8700</v>
      </c>
      <c r="J7741" t="e">
        <f>VLOOKUP(E7741,DSSpieler!A:B,2,FALSE)</f>
        <v>#N/A</v>
      </c>
    </row>
    <row r="7742" spans="1:10" x14ac:dyDescent="0.25">
      <c r="A7742">
        <v>8701</v>
      </c>
      <c r="B7742" t="s">
        <v>979</v>
      </c>
      <c r="C7742">
        <v>518</v>
      </c>
      <c r="D7742">
        <v>591</v>
      </c>
      <c r="E7742">
        <v>9875916</v>
      </c>
      <c r="F7742">
        <v>3895</v>
      </c>
      <c r="G7742">
        <v>0</v>
      </c>
      <c r="H7742" t="s">
        <v>12661</v>
      </c>
      <c r="I7742">
        <v>8701</v>
      </c>
      <c r="J7742" t="str">
        <f>VLOOKUP(E7742,DSSpieler!A:B,2,FALSE)</f>
        <v>Tassos81</v>
      </c>
    </row>
    <row r="7743" spans="1:10" x14ac:dyDescent="0.25">
      <c r="A7743">
        <v>8702</v>
      </c>
      <c r="B7743" t="s">
        <v>531</v>
      </c>
      <c r="C7743">
        <v>591</v>
      </c>
      <c r="D7743">
        <v>490</v>
      </c>
      <c r="E7743">
        <v>0</v>
      </c>
      <c r="F7743">
        <v>292</v>
      </c>
      <c r="G7743">
        <v>0</v>
      </c>
      <c r="H7743" t="s">
        <v>12662</v>
      </c>
      <c r="I7743">
        <v>8702</v>
      </c>
      <c r="J7743" t="e">
        <f>VLOOKUP(E7743,DSSpieler!A:B,2,FALSE)</f>
        <v>#N/A</v>
      </c>
    </row>
    <row r="7744" spans="1:10" x14ac:dyDescent="0.25">
      <c r="A7744">
        <v>8703</v>
      </c>
      <c r="B7744" t="s">
        <v>531</v>
      </c>
      <c r="C7744">
        <v>537</v>
      </c>
      <c r="D7744">
        <v>415</v>
      </c>
      <c r="E7744">
        <v>0</v>
      </c>
      <c r="F7744">
        <v>256</v>
      </c>
      <c r="G7744">
        <v>0</v>
      </c>
      <c r="H7744" t="s">
        <v>12663</v>
      </c>
      <c r="I7744">
        <v>8703</v>
      </c>
      <c r="J7744" t="e">
        <f>VLOOKUP(E7744,DSSpieler!A:B,2,FALSE)</f>
        <v>#N/A</v>
      </c>
    </row>
    <row r="7745" spans="1:10" x14ac:dyDescent="0.25">
      <c r="A7745">
        <v>8704</v>
      </c>
      <c r="B7745" t="s">
        <v>531</v>
      </c>
      <c r="C7745">
        <v>407</v>
      </c>
      <c r="D7745">
        <v>502</v>
      </c>
      <c r="E7745">
        <v>0</v>
      </c>
      <c r="F7745">
        <v>234</v>
      </c>
      <c r="G7745">
        <v>0</v>
      </c>
      <c r="H7745" t="s">
        <v>12664</v>
      </c>
      <c r="I7745">
        <v>8704</v>
      </c>
      <c r="J7745" t="e">
        <f>VLOOKUP(E7745,DSSpieler!A:B,2,FALSE)</f>
        <v>#N/A</v>
      </c>
    </row>
    <row r="7746" spans="1:10" x14ac:dyDescent="0.25">
      <c r="A7746">
        <v>8705</v>
      </c>
      <c r="B7746" t="s">
        <v>531</v>
      </c>
      <c r="C7746">
        <v>538</v>
      </c>
      <c r="D7746">
        <v>419</v>
      </c>
      <c r="E7746">
        <v>0</v>
      </c>
      <c r="F7746">
        <v>216</v>
      </c>
      <c r="G7746">
        <v>0</v>
      </c>
      <c r="H7746" t="s">
        <v>12665</v>
      </c>
      <c r="I7746">
        <v>8705</v>
      </c>
      <c r="J7746" t="e">
        <f>VLOOKUP(E7746,DSSpieler!A:B,2,FALSE)</f>
        <v>#N/A</v>
      </c>
    </row>
    <row r="7747" spans="1:10" x14ac:dyDescent="0.25">
      <c r="A7747">
        <v>8706</v>
      </c>
      <c r="B7747" t="s">
        <v>33415</v>
      </c>
      <c r="C7747">
        <v>420</v>
      </c>
      <c r="D7747">
        <v>458</v>
      </c>
      <c r="E7747">
        <v>1577197745</v>
      </c>
      <c r="F7747">
        <v>6521</v>
      </c>
      <c r="G7747">
        <v>0</v>
      </c>
      <c r="H7747" t="s">
        <v>12666</v>
      </c>
      <c r="I7747">
        <v>8706</v>
      </c>
      <c r="J7747" t="str">
        <f>VLOOKUP(E7747,DSSpieler!A:B,2,FALSE)</f>
        <v>KingCurrywurst</v>
      </c>
    </row>
    <row r="7748" spans="1:10" x14ac:dyDescent="0.25">
      <c r="A7748">
        <v>8707</v>
      </c>
      <c r="B7748" t="s">
        <v>531</v>
      </c>
      <c r="C7748">
        <v>410</v>
      </c>
      <c r="D7748">
        <v>501</v>
      </c>
      <c r="E7748">
        <v>0</v>
      </c>
      <c r="F7748">
        <v>341</v>
      </c>
      <c r="G7748">
        <v>0</v>
      </c>
      <c r="H7748" t="s">
        <v>12667</v>
      </c>
      <c r="I7748">
        <v>8707</v>
      </c>
      <c r="J7748" t="e">
        <f>VLOOKUP(E7748,DSSpieler!A:B,2,FALSE)</f>
        <v>#N/A</v>
      </c>
    </row>
    <row r="7749" spans="1:10" x14ac:dyDescent="0.25">
      <c r="A7749">
        <v>8708</v>
      </c>
      <c r="B7749" t="s">
        <v>531</v>
      </c>
      <c r="C7749">
        <v>539</v>
      </c>
      <c r="D7749">
        <v>419</v>
      </c>
      <c r="E7749">
        <v>0</v>
      </c>
      <c r="F7749">
        <v>138</v>
      </c>
      <c r="G7749">
        <v>0</v>
      </c>
      <c r="H7749" t="s">
        <v>12668</v>
      </c>
      <c r="I7749">
        <v>8708</v>
      </c>
      <c r="J7749" t="e">
        <f>VLOOKUP(E7749,DSSpieler!A:B,2,FALSE)</f>
        <v>#N/A</v>
      </c>
    </row>
    <row r="7750" spans="1:10" x14ac:dyDescent="0.25">
      <c r="A7750">
        <v>8710</v>
      </c>
      <c r="B7750" t="s">
        <v>33416</v>
      </c>
      <c r="C7750">
        <v>523</v>
      </c>
      <c r="D7750">
        <v>589</v>
      </c>
      <c r="E7750">
        <v>10016176</v>
      </c>
      <c r="F7750">
        <v>4214</v>
      </c>
      <c r="G7750">
        <v>0</v>
      </c>
      <c r="H7750" t="s">
        <v>12669</v>
      </c>
      <c r="I7750">
        <v>8710</v>
      </c>
      <c r="J7750" t="str">
        <f>VLOOKUP(E7750,DSSpieler!A:B,2,FALSE)</f>
        <v>Ghostsight7</v>
      </c>
    </row>
    <row r="7751" spans="1:10" x14ac:dyDescent="0.25">
      <c r="A7751">
        <v>8711</v>
      </c>
      <c r="B7751" t="s">
        <v>531</v>
      </c>
      <c r="C7751">
        <v>428</v>
      </c>
      <c r="D7751">
        <v>446</v>
      </c>
      <c r="E7751">
        <v>0</v>
      </c>
      <c r="F7751">
        <v>723</v>
      </c>
      <c r="G7751">
        <v>0</v>
      </c>
      <c r="H7751" t="s">
        <v>12670</v>
      </c>
      <c r="I7751">
        <v>8711</v>
      </c>
      <c r="J7751" t="e">
        <f>VLOOKUP(E7751,DSSpieler!A:B,2,FALSE)</f>
        <v>#N/A</v>
      </c>
    </row>
    <row r="7752" spans="1:10" x14ac:dyDescent="0.25">
      <c r="A7752">
        <v>8713</v>
      </c>
      <c r="B7752" t="s">
        <v>33417</v>
      </c>
      <c r="C7752">
        <v>418</v>
      </c>
      <c r="D7752">
        <v>457</v>
      </c>
      <c r="E7752">
        <v>1577191805</v>
      </c>
      <c r="F7752">
        <v>26</v>
      </c>
      <c r="G7752">
        <v>0</v>
      </c>
      <c r="H7752" t="s">
        <v>12671</v>
      </c>
      <c r="I7752">
        <v>8713</v>
      </c>
      <c r="J7752" t="str">
        <f>VLOOKUP(E7752,DSSpieler!A:B,2,FALSE)</f>
        <v>Paddy253</v>
      </c>
    </row>
    <row r="7753" spans="1:10" x14ac:dyDescent="0.25">
      <c r="A7753">
        <v>8715</v>
      </c>
      <c r="B7753" t="s">
        <v>531</v>
      </c>
      <c r="C7753">
        <v>590</v>
      </c>
      <c r="D7753">
        <v>491</v>
      </c>
      <c r="E7753">
        <v>0</v>
      </c>
      <c r="F7753">
        <v>376</v>
      </c>
      <c r="G7753">
        <v>0</v>
      </c>
      <c r="H7753" t="s">
        <v>12672</v>
      </c>
      <c r="I7753">
        <v>8715</v>
      </c>
      <c r="J7753" t="e">
        <f>VLOOKUP(E7753,DSSpieler!A:B,2,FALSE)</f>
        <v>#N/A</v>
      </c>
    </row>
    <row r="7754" spans="1:10" x14ac:dyDescent="0.25">
      <c r="A7754">
        <v>8716</v>
      </c>
      <c r="B7754" t="s">
        <v>1741</v>
      </c>
      <c r="C7754">
        <v>458</v>
      </c>
      <c r="D7754">
        <v>422</v>
      </c>
      <c r="E7754">
        <v>1577191858</v>
      </c>
      <c r="F7754">
        <v>3070</v>
      </c>
      <c r="G7754">
        <v>0</v>
      </c>
      <c r="H7754" t="s">
        <v>12673</v>
      </c>
      <c r="I7754">
        <v>8716</v>
      </c>
      <c r="J7754" t="str">
        <f>VLOOKUP(E7754,DSSpieler!A:B,2,FALSE)</f>
        <v>Mamboo</v>
      </c>
    </row>
    <row r="7755" spans="1:10" x14ac:dyDescent="0.25">
      <c r="A7755">
        <v>8717</v>
      </c>
      <c r="B7755" t="s">
        <v>531</v>
      </c>
      <c r="C7755">
        <v>545</v>
      </c>
      <c r="D7755">
        <v>577</v>
      </c>
      <c r="E7755">
        <v>0</v>
      </c>
      <c r="F7755">
        <v>573</v>
      </c>
      <c r="G7755">
        <v>0</v>
      </c>
      <c r="H7755" t="s">
        <v>12674</v>
      </c>
      <c r="I7755">
        <v>8717</v>
      </c>
      <c r="J7755" t="e">
        <f>VLOOKUP(E7755,DSSpieler!A:B,2,FALSE)</f>
        <v>#N/A</v>
      </c>
    </row>
    <row r="7756" spans="1:10" x14ac:dyDescent="0.25">
      <c r="A7756">
        <v>8718</v>
      </c>
      <c r="B7756" t="s">
        <v>531</v>
      </c>
      <c r="C7756">
        <v>585</v>
      </c>
      <c r="D7756">
        <v>465</v>
      </c>
      <c r="E7756">
        <v>0</v>
      </c>
      <c r="F7756">
        <v>368</v>
      </c>
      <c r="G7756">
        <v>0</v>
      </c>
      <c r="H7756" t="s">
        <v>12675</v>
      </c>
      <c r="I7756">
        <v>8718</v>
      </c>
      <c r="J7756" t="e">
        <f>VLOOKUP(E7756,DSSpieler!A:B,2,FALSE)</f>
        <v>#N/A</v>
      </c>
    </row>
    <row r="7757" spans="1:10" x14ac:dyDescent="0.25">
      <c r="A7757">
        <v>8719</v>
      </c>
      <c r="B7757" t="s">
        <v>531</v>
      </c>
      <c r="C7757">
        <v>478</v>
      </c>
      <c r="D7757">
        <v>590</v>
      </c>
      <c r="E7757">
        <v>0</v>
      </c>
      <c r="F7757">
        <v>256</v>
      </c>
      <c r="G7757">
        <v>0</v>
      </c>
      <c r="H7757" t="s">
        <v>12676</v>
      </c>
      <c r="I7757">
        <v>8719</v>
      </c>
      <c r="J7757" t="e">
        <f>VLOOKUP(E7757,DSSpieler!A:B,2,FALSE)</f>
        <v>#N/A</v>
      </c>
    </row>
    <row r="7758" spans="1:10" x14ac:dyDescent="0.25">
      <c r="A7758">
        <v>8720</v>
      </c>
      <c r="B7758" t="s">
        <v>33418</v>
      </c>
      <c r="C7758">
        <v>592</v>
      </c>
      <c r="D7758">
        <v>485</v>
      </c>
      <c r="E7758">
        <v>1577192093</v>
      </c>
      <c r="F7758">
        <v>5200</v>
      </c>
      <c r="G7758">
        <v>0</v>
      </c>
      <c r="H7758" t="s">
        <v>12677</v>
      </c>
      <c r="I7758">
        <v>8720</v>
      </c>
      <c r="J7758" t="str">
        <f>VLOOKUP(E7758,DSSpieler!A:B,2,FALSE)</f>
        <v>tribolith51</v>
      </c>
    </row>
    <row r="7759" spans="1:10" x14ac:dyDescent="0.25">
      <c r="A7759">
        <v>8721</v>
      </c>
      <c r="B7759" t="s">
        <v>33419</v>
      </c>
      <c r="C7759">
        <v>411</v>
      </c>
      <c r="D7759">
        <v>523</v>
      </c>
      <c r="E7759">
        <v>1577198432</v>
      </c>
      <c r="F7759">
        <v>5858</v>
      </c>
      <c r="G7759">
        <v>0</v>
      </c>
      <c r="H7759" t="s">
        <v>12678</v>
      </c>
      <c r="I7759">
        <v>8721</v>
      </c>
      <c r="J7759" t="str">
        <f>VLOOKUP(E7759,DSSpieler!A:B,2,FALSE)</f>
        <v>WC-Ente</v>
      </c>
    </row>
    <row r="7760" spans="1:10" x14ac:dyDescent="0.25">
      <c r="A7760">
        <v>8722</v>
      </c>
      <c r="B7760" t="s">
        <v>531</v>
      </c>
      <c r="C7760">
        <v>582</v>
      </c>
      <c r="D7760">
        <v>544</v>
      </c>
      <c r="E7760">
        <v>0</v>
      </c>
      <c r="F7760">
        <v>307</v>
      </c>
      <c r="G7760">
        <v>0</v>
      </c>
      <c r="H7760" t="s">
        <v>12679</v>
      </c>
      <c r="I7760">
        <v>8722</v>
      </c>
      <c r="J7760" t="e">
        <f>VLOOKUP(E7760,DSSpieler!A:B,2,FALSE)</f>
        <v>#N/A</v>
      </c>
    </row>
    <row r="7761" spans="1:10" x14ac:dyDescent="0.25">
      <c r="A7761">
        <v>8723</v>
      </c>
      <c r="B7761" t="s">
        <v>531</v>
      </c>
      <c r="C7761">
        <v>538</v>
      </c>
      <c r="D7761">
        <v>582</v>
      </c>
      <c r="E7761">
        <v>0</v>
      </c>
      <c r="F7761">
        <v>141</v>
      </c>
      <c r="G7761">
        <v>0</v>
      </c>
      <c r="H7761" t="s">
        <v>12680</v>
      </c>
      <c r="I7761">
        <v>8723</v>
      </c>
      <c r="J7761" t="e">
        <f>VLOOKUP(E7761,DSSpieler!A:B,2,FALSE)</f>
        <v>#N/A</v>
      </c>
    </row>
    <row r="7762" spans="1:10" x14ac:dyDescent="0.25">
      <c r="A7762">
        <v>8724</v>
      </c>
      <c r="B7762" t="s">
        <v>531</v>
      </c>
      <c r="C7762">
        <v>422</v>
      </c>
      <c r="D7762">
        <v>545</v>
      </c>
      <c r="E7762">
        <v>0</v>
      </c>
      <c r="F7762">
        <v>443</v>
      </c>
      <c r="G7762">
        <v>0</v>
      </c>
      <c r="H7762" t="s">
        <v>12681</v>
      </c>
      <c r="I7762">
        <v>8724</v>
      </c>
      <c r="J7762" t="e">
        <f>VLOOKUP(E7762,DSSpieler!A:B,2,FALSE)</f>
        <v>#N/A</v>
      </c>
    </row>
    <row r="7763" spans="1:10" x14ac:dyDescent="0.25">
      <c r="A7763">
        <v>8725</v>
      </c>
      <c r="B7763" t="s">
        <v>31164</v>
      </c>
      <c r="C7763">
        <v>507</v>
      </c>
      <c r="D7763">
        <v>541</v>
      </c>
      <c r="E7763">
        <v>1577197542</v>
      </c>
      <c r="F7763">
        <v>3254</v>
      </c>
      <c r="G7763">
        <v>0</v>
      </c>
      <c r="H7763" t="s">
        <v>12682</v>
      </c>
      <c r="I7763">
        <v>8725</v>
      </c>
      <c r="J7763" t="str">
        <f>VLOOKUP(E7763,DSSpieler!A:B,2,FALSE)</f>
        <v>träumerische Tim</v>
      </c>
    </row>
    <row r="7764" spans="1:10" x14ac:dyDescent="0.25">
      <c r="A7764">
        <v>8726</v>
      </c>
      <c r="B7764" t="s">
        <v>531</v>
      </c>
      <c r="C7764">
        <v>452</v>
      </c>
      <c r="D7764">
        <v>577</v>
      </c>
      <c r="E7764">
        <v>0</v>
      </c>
      <c r="F7764">
        <v>194</v>
      </c>
      <c r="G7764">
        <v>0</v>
      </c>
      <c r="H7764" t="s">
        <v>12683</v>
      </c>
      <c r="I7764">
        <v>8726</v>
      </c>
      <c r="J7764" t="e">
        <f>VLOOKUP(E7764,DSSpieler!A:B,2,FALSE)</f>
        <v>#N/A</v>
      </c>
    </row>
    <row r="7765" spans="1:10" x14ac:dyDescent="0.25">
      <c r="A7765">
        <v>8727</v>
      </c>
      <c r="B7765" t="s">
        <v>33420</v>
      </c>
      <c r="C7765">
        <v>532</v>
      </c>
      <c r="D7765">
        <v>584</v>
      </c>
      <c r="E7765">
        <v>1577192621</v>
      </c>
      <c r="F7765">
        <v>6666</v>
      </c>
      <c r="G7765">
        <v>0</v>
      </c>
      <c r="H7765" t="s">
        <v>12684</v>
      </c>
      <c r="I7765">
        <v>8727</v>
      </c>
      <c r="J7765" t="str">
        <f>VLOOKUP(E7765,DSSpieler!A:B,2,FALSE)</f>
        <v>MarioXVI</v>
      </c>
    </row>
    <row r="7766" spans="1:10" x14ac:dyDescent="0.25">
      <c r="A7766">
        <v>8728</v>
      </c>
      <c r="B7766" t="s">
        <v>531</v>
      </c>
      <c r="C7766">
        <v>449</v>
      </c>
      <c r="D7766">
        <v>577</v>
      </c>
      <c r="E7766">
        <v>0</v>
      </c>
      <c r="F7766">
        <v>234</v>
      </c>
      <c r="G7766">
        <v>0</v>
      </c>
      <c r="H7766" t="s">
        <v>12685</v>
      </c>
      <c r="I7766">
        <v>8728</v>
      </c>
      <c r="J7766" t="e">
        <f>VLOOKUP(E7766,DSSpieler!A:B,2,FALSE)</f>
        <v>#N/A</v>
      </c>
    </row>
    <row r="7767" spans="1:10" x14ac:dyDescent="0.25">
      <c r="A7767">
        <v>8729</v>
      </c>
      <c r="B7767" t="s">
        <v>531</v>
      </c>
      <c r="C7767">
        <v>455</v>
      </c>
      <c r="D7767">
        <v>420</v>
      </c>
      <c r="E7767">
        <v>0</v>
      </c>
      <c r="F7767">
        <v>501</v>
      </c>
      <c r="G7767">
        <v>0</v>
      </c>
      <c r="H7767" t="s">
        <v>12686</v>
      </c>
      <c r="I7767">
        <v>8729</v>
      </c>
      <c r="J7767" t="e">
        <f>VLOOKUP(E7767,DSSpieler!A:B,2,FALSE)</f>
        <v>#N/A</v>
      </c>
    </row>
    <row r="7768" spans="1:10" x14ac:dyDescent="0.25">
      <c r="A7768">
        <v>8730</v>
      </c>
      <c r="B7768" t="s">
        <v>531</v>
      </c>
      <c r="C7768">
        <v>590</v>
      </c>
      <c r="D7768">
        <v>490</v>
      </c>
      <c r="E7768">
        <v>0</v>
      </c>
      <c r="F7768">
        <v>341</v>
      </c>
      <c r="G7768">
        <v>0</v>
      </c>
      <c r="H7768" t="s">
        <v>12687</v>
      </c>
      <c r="I7768">
        <v>8730</v>
      </c>
      <c r="J7768" t="e">
        <f>VLOOKUP(E7768,DSSpieler!A:B,2,FALSE)</f>
        <v>#N/A</v>
      </c>
    </row>
    <row r="7769" spans="1:10" x14ac:dyDescent="0.25">
      <c r="A7769">
        <v>8731</v>
      </c>
      <c r="B7769" t="s">
        <v>33421</v>
      </c>
      <c r="C7769">
        <v>484</v>
      </c>
      <c r="D7769">
        <v>594</v>
      </c>
      <c r="E7769">
        <v>1577198451</v>
      </c>
      <c r="F7769">
        <v>760</v>
      </c>
      <c r="G7769">
        <v>0</v>
      </c>
      <c r="H7769" t="s">
        <v>12688</v>
      </c>
      <c r="I7769">
        <v>8731</v>
      </c>
      <c r="J7769" t="str">
        <f>VLOOKUP(E7769,DSSpieler!A:B,2,FALSE)</f>
        <v>Cellle</v>
      </c>
    </row>
    <row r="7770" spans="1:10" x14ac:dyDescent="0.25">
      <c r="A7770">
        <v>8732</v>
      </c>
      <c r="B7770" t="s">
        <v>33422</v>
      </c>
      <c r="C7770">
        <v>473</v>
      </c>
      <c r="D7770">
        <v>587</v>
      </c>
      <c r="E7770">
        <v>1577160660</v>
      </c>
      <c r="F7770">
        <v>5296</v>
      </c>
      <c r="G7770">
        <v>0</v>
      </c>
      <c r="H7770" t="s">
        <v>12689</v>
      </c>
      <c r="I7770">
        <v>8732</v>
      </c>
      <c r="J7770" t="str">
        <f>VLOOKUP(E7770,DSSpieler!A:B,2,FALSE)</f>
        <v>Muddii</v>
      </c>
    </row>
    <row r="7771" spans="1:10" x14ac:dyDescent="0.25">
      <c r="A7771">
        <v>8733</v>
      </c>
      <c r="B7771" t="s">
        <v>531</v>
      </c>
      <c r="C7771">
        <v>418</v>
      </c>
      <c r="D7771">
        <v>460</v>
      </c>
      <c r="E7771">
        <v>0</v>
      </c>
      <c r="F7771">
        <v>170</v>
      </c>
      <c r="G7771">
        <v>0</v>
      </c>
      <c r="H7771" t="s">
        <v>12690</v>
      </c>
      <c r="I7771">
        <v>8733</v>
      </c>
      <c r="J7771" t="e">
        <f>VLOOKUP(E7771,DSSpieler!A:B,2,FALSE)</f>
        <v>#N/A</v>
      </c>
    </row>
    <row r="7772" spans="1:10" x14ac:dyDescent="0.25">
      <c r="A7772">
        <v>8734</v>
      </c>
      <c r="B7772" t="s">
        <v>531</v>
      </c>
      <c r="C7772">
        <v>586</v>
      </c>
      <c r="D7772">
        <v>476</v>
      </c>
      <c r="E7772">
        <v>0</v>
      </c>
      <c r="F7772">
        <v>310</v>
      </c>
      <c r="G7772">
        <v>0</v>
      </c>
      <c r="H7772" t="s">
        <v>12691</v>
      </c>
      <c r="I7772">
        <v>8734</v>
      </c>
      <c r="J7772" t="e">
        <f>VLOOKUP(E7772,DSSpieler!A:B,2,FALSE)</f>
        <v>#N/A</v>
      </c>
    </row>
    <row r="7773" spans="1:10" x14ac:dyDescent="0.25">
      <c r="A7773">
        <v>8735</v>
      </c>
      <c r="B7773" t="s">
        <v>33423</v>
      </c>
      <c r="C7773">
        <v>409</v>
      </c>
      <c r="D7773">
        <v>499</v>
      </c>
      <c r="E7773">
        <v>1577125689</v>
      </c>
      <c r="F7773">
        <v>2940</v>
      </c>
      <c r="G7773">
        <v>0</v>
      </c>
      <c r="H7773" t="s">
        <v>12692</v>
      </c>
      <c r="I7773">
        <v>8735</v>
      </c>
      <c r="J7773" t="str">
        <f>VLOOKUP(E7773,DSSpieler!A:B,2,FALSE)</f>
        <v>GoffyAufCrack</v>
      </c>
    </row>
    <row r="7774" spans="1:10" x14ac:dyDescent="0.25">
      <c r="A7774">
        <v>8736</v>
      </c>
      <c r="B7774" t="s">
        <v>531</v>
      </c>
      <c r="C7774">
        <v>453</v>
      </c>
      <c r="D7774">
        <v>420</v>
      </c>
      <c r="E7774">
        <v>0</v>
      </c>
      <c r="F7774">
        <v>329</v>
      </c>
      <c r="G7774">
        <v>0</v>
      </c>
      <c r="H7774" t="s">
        <v>12693</v>
      </c>
      <c r="I7774">
        <v>8736</v>
      </c>
      <c r="J7774" t="e">
        <f>VLOOKUP(E7774,DSSpieler!A:B,2,FALSE)</f>
        <v>#N/A</v>
      </c>
    </row>
    <row r="7775" spans="1:10" x14ac:dyDescent="0.25">
      <c r="A7775">
        <v>8737</v>
      </c>
      <c r="B7775" t="s">
        <v>531</v>
      </c>
      <c r="C7775">
        <v>578</v>
      </c>
      <c r="D7775">
        <v>450</v>
      </c>
      <c r="E7775">
        <v>0</v>
      </c>
      <c r="F7775">
        <v>252</v>
      </c>
      <c r="G7775">
        <v>0</v>
      </c>
      <c r="H7775" t="s">
        <v>12694</v>
      </c>
      <c r="I7775">
        <v>8737</v>
      </c>
      <c r="J7775" t="e">
        <f>VLOOKUP(E7775,DSSpieler!A:B,2,FALSE)</f>
        <v>#N/A</v>
      </c>
    </row>
    <row r="7776" spans="1:10" x14ac:dyDescent="0.25">
      <c r="A7776">
        <v>8738</v>
      </c>
      <c r="B7776" t="s">
        <v>610</v>
      </c>
      <c r="C7776">
        <v>591</v>
      </c>
      <c r="D7776">
        <v>456</v>
      </c>
      <c r="E7776">
        <v>1577141115</v>
      </c>
      <c r="F7776">
        <v>5712</v>
      </c>
      <c r="G7776">
        <v>0</v>
      </c>
      <c r="H7776" t="s">
        <v>12695</v>
      </c>
      <c r="I7776">
        <v>8738</v>
      </c>
      <c r="J7776" t="str">
        <f>VLOOKUP(E7776,DSSpieler!A:B,2,FALSE)</f>
        <v>MJ267-</v>
      </c>
    </row>
    <row r="7777" spans="1:10" x14ac:dyDescent="0.25">
      <c r="A7777">
        <v>8739</v>
      </c>
      <c r="B7777">
        <v>1</v>
      </c>
      <c r="C7777">
        <v>462</v>
      </c>
      <c r="D7777">
        <v>494</v>
      </c>
      <c r="E7777">
        <v>1577193169</v>
      </c>
      <c r="F7777">
        <v>4298</v>
      </c>
      <c r="G7777">
        <v>0</v>
      </c>
      <c r="H7777" t="s">
        <v>12696</v>
      </c>
      <c r="I7777">
        <v>8739</v>
      </c>
      <c r="J7777" t="str">
        <f>VLOOKUP(E7777,DSSpieler!A:B,2,FALSE)</f>
        <v>Ederson10</v>
      </c>
    </row>
    <row r="7778" spans="1:10" x14ac:dyDescent="0.25">
      <c r="A7778">
        <v>8740</v>
      </c>
      <c r="B7778" t="s">
        <v>531</v>
      </c>
      <c r="C7778">
        <v>587</v>
      </c>
      <c r="D7778">
        <v>480</v>
      </c>
      <c r="E7778">
        <v>0</v>
      </c>
      <c r="F7778">
        <v>282</v>
      </c>
      <c r="G7778">
        <v>0</v>
      </c>
      <c r="H7778" t="s">
        <v>12697</v>
      </c>
      <c r="I7778">
        <v>8740</v>
      </c>
      <c r="J7778" t="e">
        <f>VLOOKUP(E7778,DSSpieler!A:B,2,FALSE)</f>
        <v>#N/A</v>
      </c>
    </row>
    <row r="7779" spans="1:10" x14ac:dyDescent="0.25">
      <c r="A7779">
        <v>8741</v>
      </c>
      <c r="B7779" t="s">
        <v>531</v>
      </c>
      <c r="C7779">
        <v>408</v>
      </c>
      <c r="D7779">
        <v>507</v>
      </c>
      <c r="E7779">
        <v>0</v>
      </c>
      <c r="F7779">
        <v>309</v>
      </c>
      <c r="G7779">
        <v>0</v>
      </c>
      <c r="H7779" t="s">
        <v>12698</v>
      </c>
      <c r="I7779">
        <v>8741</v>
      </c>
      <c r="J7779" t="e">
        <f>VLOOKUP(E7779,DSSpieler!A:B,2,FALSE)</f>
        <v>#N/A</v>
      </c>
    </row>
    <row r="7780" spans="1:10" x14ac:dyDescent="0.25">
      <c r="A7780">
        <v>8742</v>
      </c>
      <c r="B7780" t="s">
        <v>531</v>
      </c>
      <c r="C7780">
        <v>411</v>
      </c>
      <c r="D7780">
        <v>492</v>
      </c>
      <c r="E7780">
        <v>0</v>
      </c>
      <c r="F7780">
        <v>258</v>
      </c>
      <c r="G7780">
        <v>0</v>
      </c>
      <c r="H7780" t="s">
        <v>12699</v>
      </c>
      <c r="I7780">
        <v>8742</v>
      </c>
      <c r="J7780" t="e">
        <f>VLOOKUP(E7780,DSSpieler!A:B,2,FALSE)</f>
        <v>#N/A</v>
      </c>
    </row>
    <row r="7781" spans="1:10" x14ac:dyDescent="0.25">
      <c r="A7781">
        <v>8743</v>
      </c>
      <c r="B7781" t="s">
        <v>531</v>
      </c>
      <c r="C7781">
        <v>579</v>
      </c>
      <c r="D7781">
        <v>546</v>
      </c>
      <c r="E7781">
        <v>0</v>
      </c>
      <c r="F7781">
        <v>217</v>
      </c>
      <c r="G7781">
        <v>0</v>
      </c>
      <c r="H7781" t="s">
        <v>12700</v>
      </c>
      <c r="I7781">
        <v>8743</v>
      </c>
      <c r="J7781" t="e">
        <f>VLOOKUP(E7781,DSSpieler!A:B,2,FALSE)</f>
        <v>#N/A</v>
      </c>
    </row>
    <row r="7782" spans="1:10" x14ac:dyDescent="0.25">
      <c r="A7782">
        <v>8744</v>
      </c>
      <c r="B7782" t="s">
        <v>33424</v>
      </c>
      <c r="C7782">
        <v>589</v>
      </c>
      <c r="D7782">
        <v>525</v>
      </c>
      <c r="E7782">
        <v>1577198571</v>
      </c>
      <c r="F7782">
        <v>717</v>
      </c>
      <c r="G7782">
        <v>0</v>
      </c>
      <c r="H7782" t="s">
        <v>12701</v>
      </c>
      <c r="I7782">
        <v>8744</v>
      </c>
      <c r="J7782" t="str">
        <f>VLOOKUP(E7782,DSSpieler!A:B,2,FALSE)</f>
        <v>Skaxi</v>
      </c>
    </row>
    <row r="7783" spans="1:10" x14ac:dyDescent="0.25">
      <c r="A7783">
        <v>8745</v>
      </c>
      <c r="B7783" t="s">
        <v>33425</v>
      </c>
      <c r="C7783">
        <v>412</v>
      </c>
      <c r="D7783">
        <v>454</v>
      </c>
      <c r="E7783">
        <v>1577193338</v>
      </c>
      <c r="F7783">
        <v>366</v>
      </c>
      <c r="G7783">
        <v>0</v>
      </c>
      <c r="H7783" t="s">
        <v>12702</v>
      </c>
      <c r="I7783">
        <v>8745</v>
      </c>
      <c r="J7783" t="str">
        <f>VLOOKUP(E7783,DSSpieler!A:B,2,FALSE)</f>
        <v>TheMagicSniper</v>
      </c>
    </row>
    <row r="7784" spans="1:10" x14ac:dyDescent="0.25">
      <c r="A7784">
        <v>8746</v>
      </c>
      <c r="B7784" t="s">
        <v>531</v>
      </c>
      <c r="C7784">
        <v>415</v>
      </c>
      <c r="D7784">
        <v>473</v>
      </c>
      <c r="E7784">
        <v>0</v>
      </c>
      <c r="F7784">
        <v>394</v>
      </c>
      <c r="G7784">
        <v>0</v>
      </c>
      <c r="H7784" t="s">
        <v>12703</v>
      </c>
      <c r="I7784">
        <v>8746</v>
      </c>
      <c r="J7784" t="e">
        <f>VLOOKUP(E7784,DSSpieler!A:B,2,FALSE)</f>
        <v>#N/A</v>
      </c>
    </row>
    <row r="7785" spans="1:10" x14ac:dyDescent="0.25">
      <c r="A7785">
        <v>8747</v>
      </c>
      <c r="B7785" t="s">
        <v>979</v>
      </c>
      <c r="C7785">
        <v>497</v>
      </c>
      <c r="D7785">
        <v>589</v>
      </c>
      <c r="E7785">
        <v>1577198205</v>
      </c>
      <c r="F7785">
        <v>6159</v>
      </c>
      <c r="G7785">
        <v>0</v>
      </c>
      <c r="H7785" t="s">
        <v>12704</v>
      </c>
      <c r="I7785">
        <v>8747</v>
      </c>
      <c r="J7785" t="str">
        <f>VLOOKUP(E7785,DSSpieler!A:B,2,FALSE)</f>
        <v>.Streuselcake</v>
      </c>
    </row>
    <row r="7786" spans="1:10" x14ac:dyDescent="0.25">
      <c r="A7786">
        <v>8748</v>
      </c>
      <c r="B7786" t="s">
        <v>531</v>
      </c>
      <c r="C7786">
        <v>501</v>
      </c>
      <c r="D7786">
        <v>592</v>
      </c>
      <c r="E7786">
        <v>0</v>
      </c>
      <c r="F7786">
        <v>198</v>
      </c>
      <c r="G7786">
        <v>0</v>
      </c>
      <c r="H7786" t="s">
        <v>12705</v>
      </c>
      <c r="I7786">
        <v>8748</v>
      </c>
      <c r="J7786" t="e">
        <f>VLOOKUP(E7786,DSSpieler!A:B,2,FALSE)</f>
        <v>#N/A</v>
      </c>
    </row>
    <row r="7787" spans="1:10" x14ac:dyDescent="0.25">
      <c r="A7787">
        <v>8749</v>
      </c>
      <c r="B7787" t="s">
        <v>33426</v>
      </c>
      <c r="C7787">
        <v>413</v>
      </c>
      <c r="D7787">
        <v>520</v>
      </c>
      <c r="E7787">
        <v>1577193571</v>
      </c>
      <c r="F7787">
        <v>165</v>
      </c>
      <c r="G7787">
        <v>0</v>
      </c>
      <c r="H7787" t="s">
        <v>12706</v>
      </c>
      <c r="I7787">
        <v>8749</v>
      </c>
      <c r="J7787" t="str">
        <f>VLOOKUP(E7787,DSSpieler!A:B,2,FALSE)</f>
        <v>Boehmling1997</v>
      </c>
    </row>
    <row r="7788" spans="1:10" x14ac:dyDescent="0.25">
      <c r="A7788">
        <v>8750</v>
      </c>
      <c r="B7788" t="s">
        <v>531</v>
      </c>
      <c r="C7788">
        <v>465</v>
      </c>
      <c r="D7788">
        <v>586</v>
      </c>
      <c r="E7788">
        <v>0</v>
      </c>
      <c r="F7788">
        <v>285</v>
      </c>
      <c r="G7788">
        <v>0</v>
      </c>
      <c r="H7788" t="s">
        <v>12707</v>
      </c>
      <c r="I7788">
        <v>8750</v>
      </c>
      <c r="J7788" t="e">
        <f>VLOOKUP(E7788,DSSpieler!A:B,2,FALSE)</f>
        <v>#N/A</v>
      </c>
    </row>
    <row r="7789" spans="1:10" x14ac:dyDescent="0.25">
      <c r="A7789">
        <v>8752</v>
      </c>
      <c r="B7789" t="s">
        <v>531</v>
      </c>
      <c r="C7789">
        <v>438</v>
      </c>
      <c r="D7789">
        <v>568</v>
      </c>
      <c r="E7789">
        <v>0</v>
      </c>
      <c r="F7789">
        <v>351</v>
      </c>
      <c r="G7789">
        <v>0</v>
      </c>
      <c r="H7789" t="s">
        <v>12708</v>
      </c>
      <c r="I7789">
        <v>8752</v>
      </c>
      <c r="J7789" t="e">
        <f>VLOOKUP(E7789,DSSpieler!A:B,2,FALSE)</f>
        <v>#N/A</v>
      </c>
    </row>
    <row r="7790" spans="1:10" x14ac:dyDescent="0.25">
      <c r="A7790">
        <v>8754</v>
      </c>
      <c r="B7790" t="s">
        <v>780</v>
      </c>
      <c r="C7790">
        <v>564</v>
      </c>
      <c r="D7790">
        <v>564</v>
      </c>
      <c r="E7790">
        <v>1577197971</v>
      </c>
      <c r="F7790">
        <v>4695</v>
      </c>
      <c r="G7790">
        <v>0</v>
      </c>
      <c r="H7790" t="s">
        <v>12709</v>
      </c>
      <c r="I7790">
        <v>8754</v>
      </c>
      <c r="J7790" t="str">
        <f>VLOOKUP(E7790,DSSpieler!A:B,2,FALSE)</f>
        <v>-I34SH-</v>
      </c>
    </row>
    <row r="7791" spans="1:10" x14ac:dyDescent="0.25">
      <c r="A7791">
        <v>8755</v>
      </c>
      <c r="B7791" t="s">
        <v>531</v>
      </c>
      <c r="C7791">
        <v>504</v>
      </c>
      <c r="D7791">
        <v>405</v>
      </c>
      <c r="E7791">
        <v>0</v>
      </c>
      <c r="F7791">
        <v>403</v>
      </c>
      <c r="G7791">
        <v>0</v>
      </c>
      <c r="H7791" t="s">
        <v>12710</v>
      </c>
      <c r="I7791">
        <v>8755</v>
      </c>
      <c r="J7791" t="e">
        <f>VLOOKUP(E7791,DSSpieler!A:B,2,FALSE)</f>
        <v>#N/A</v>
      </c>
    </row>
    <row r="7792" spans="1:10" x14ac:dyDescent="0.25">
      <c r="A7792">
        <v>8756</v>
      </c>
      <c r="B7792" t="s">
        <v>531</v>
      </c>
      <c r="C7792">
        <v>547</v>
      </c>
      <c r="D7792">
        <v>420</v>
      </c>
      <c r="E7792">
        <v>0</v>
      </c>
      <c r="F7792">
        <v>238</v>
      </c>
      <c r="G7792">
        <v>0</v>
      </c>
      <c r="H7792" t="s">
        <v>12711</v>
      </c>
      <c r="I7792">
        <v>8756</v>
      </c>
      <c r="J7792" t="e">
        <f>VLOOKUP(E7792,DSSpieler!A:B,2,FALSE)</f>
        <v>#N/A</v>
      </c>
    </row>
    <row r="7793" spans="1:10" x14ac:dyDescent="0.25">
      <c r="A7793">
        <v>8757</v>
      </c>
      <c r="B7793" t="s">
        <v>531</v>
      </c>
      <c r="C7793">
        <v>547</v>
      </c>
      <c r="D7793">
        <v>424</v>
      </c>
      <c r="E7793">
        <v>0</v>
      </c>
      <c r="F7793">
        <v>135</v>
      </c>
      <c r="G7793">
        <v>0</v>
      </c>
      <c r="H7793" t="s">
        <v>12712</v>
      </c>
      <c r="I7793">
        <v>8757</v>
      </c>
      <c r="J7793" t="e">
        <f>VLOOKUP(E7793,DSSpieler!A:B,2,FALSE)</f>
        <v>#N/A</v>
      </c>
    </row>
    <row r="7794" spans="1:10" x14ac:dyDescent="0.25">
      <c r="A7794">
        <v>8758</v>
      </c>
      <c r="B7794" t="s">
        <v>531</v>
      </c>
      <c r="C7794">
        <v>564</v>
      </c>
      <c r="D7794">
        <v>433</v>
      </c>
      <c r="E7794">
        <v>0</v>
      </c>
      <c r="F7794">
        <v>248</v>
      </c>
      <c r="G7794">
        <v>0</v>
      </c>
      <c r="H7794" t="s">
        <v>12713</v>
      </c>
      <c r="I7794">
        <v>8758</v>
      </c>
      <c r="J7794" t="e">
        <f>VLOOKUP(E7794,DSSpieler!A:B,2,FALSE)</f>
        <v>#N/A</v>
      </c>
    </row>
    <row r="7795" spans="1:10" x14ac:dyDescent="0.25">
      <c r="A7795">
        <v>8759</v>
      </c>
      <c r="B7795">
        <v>1</v>
      </c>
      <c r="C7795">
        <v>515</v>
      </c>
      <c r="D7795">
        <v>411</v>
      </c>
      <c r="E7795">
        <v>1577193787</v>
      </c>
      <c r="F7795">
        <v>8455</v>
      </c>
      <c r="G7795">
        <v>0</v>
      </c>
      <c r="H7795" t="s">
        <v>12714</v>
      </c>
      <c r="I7795">
        <v>8759</v>
      </c>
      <c r="J7795" t="str">
        <f>VLOOKUP(E7795,DSSpieler!A:B,2,FALSE)</f>
        <v>dapeter</v>
      </c>
    </row>
    <row r="7796" spans="1:10" x14ac:dyDescent="0.25">
      <c r="A7796">
        <v>8760</v>
      </c>
      <c r="B7796" t="s">
        <v>531</v>
      </c>
      <c r="C7796">
        <v>423</v>
      </c>
      <c r="D7796">
        <v>552</v>
      </c>
      <c r="E7796">
        <v>0</v>
      </c>
      <c r="F7796">
        <v>227</v>
      </c>
      <c r="G7796">
        <v>0</v>
      </c>
      <c r="H7796" t="s">
        <v>12715</v>
      </c>
      <c r="I7796">
        <v>8760</v>
      </c>
      <c r="J7796" t="e">
        <f>VLOOKUP(E7796,DSSpieler!A:B,2,FALSE)</f>
        <v>#N/A</v>
      </c>
    </row>
    <row r="7797" spans="1:10" x14ac:dyDescent="0.25">
      <c r="A7797">
        <v>8761</v>
      </c>
      <c r="B7797" t="s">
        <v>531</v>
      </c>
      <c r="C7797">
        <v>459</v>
      </c>
      <c r="D7797">
        <v>580</v>
      </c>
      <c r="E7797">
        <v>0</v>
      </c>
      <c r="F7797">
        <v>370</v>
      </c>
      <c r="G7797">
        <v>0</v>
      </c>
      <c r="H7797" t="s">
        <v>12716</v>
      </c>
      <c r="I7797">
        <v>8761</v>
      </c>
      <c r="J7797" t="e">
        <f>VLOOKUP(E7797,DSSpieler!A:B,2,FALSE)</f>
        <v>#N/A</v>
      </c>
    </row>
    <row r="7798" spans="1:10" x14ac:dyDescent="0.25">
      <c r="A7798">
        <v>8762</v>
      </c>
      <c r="B7798" t="s">
        <v>531</v>
      </c>
      <c r="C7798">
        <v>423</v>
      </c>
      <c r="D7798">
        <v>546</v>
      </c>
      <c r="E7798">
        <v>0</v>
      </c>
      <c r="F7798">
        <v>211</v>
      </c>
      <c r="G7798">
        <v>0</v>
      </c>
      <c r="H7798" t="s">
        <v>12717</v>
      </c>
      <c r="I7798">
        <v>8762</v>
      </c>
      <c r="J7798" t="e">
        <f>VLOOKUP(E7798,DSSpieler!A:B,2,FALSE)</f>
        <v>#N/A</v>
      </c>
    </row>
    <row r="7799" spans="1:10" x14ac:dyDescent="0.25">
      <c r="A7799">
        <v>8763</v>
      </c>
      <c r="B7799" t="s">
        <v>531</v>
      </c>
      <c r="C7799">
        <v>553</v>
      </c>
      <c r="D7799">
        <v>427</v>
      </c>
      <c r="E7799">
        <v>0</v>
      </c>
      <c r="F7799">
        <v>115</v>
      </c>
      <c r="G7799">
        <v>0</v>
      </c>
      <c r="H7799" t="s">
        <v>12718</v>
      </c>
      <c r="I7799">
        <v>8763</v>
      </c>
      <c r="J7799" t="e">
        <f>VLOOKUP(E7799,DSSpieler!A:B,2,FALSE)</f>
        <v>#N/A</v>
      </c>
    </row>
    <row r="7800" spans="1:10" x14ac:dyDescent="0.25">
      <c r="A7800">
        <v>8764</v>
      </c>
      <c r="B7800" t="s">
        <v>33427</v>
      </c>
      <c r="C7800">
        <v>570</v>
      </c>
      <c r="D7800">
        <v>440</v>
      </c>
      <c r="E7800">
        <v>1577199322</v>
      </c>
      <c r="F7800">
        <v>4855</v>
      </c>
      <c r="G7800">
        <v>0</v>
      </c>
      <c r="H7800" t="s">
        <v>12719</v>
      </c>
      <c r="I7800">
        <v>8764</v>
      </c>
      <c r="J7800" t="str">
        <f>VLOOKUP(E7800,DSSpieler!A:B,2,FALSE)</f>
        <v>Crood8</v>
      </c>
    </row>
    <row r="7801" spans="1:10" x14ac:dyDescent="0.25">
      <c r="A7801">
        <v>8765</v>
      </c>
      <c r="B7801" t="s">
        <v>531</v>
      </c>
      <c r="C7801">
        <v>580</v>
      </c>
      <c r="D7801">
        <v>547</v>
      </c>
      <c r="E7801">
        <v>0</v>
      </c>
      <c r="F7801">
        <v>187</v>
      </c>
      <c r="G7801">
        <v>0</v>
      </c>
      <c r="H7801" t="s">
        <v>12720</v>
      </c>
      <c r="I7801">
        <v>8765</v>
      </c>
      <c r="J7801" t="e">
        <f>VLOOKUP(E7801,DSSpieler!A:B,2,FALSE)</f>
        <v>#N/A</v>
      </c>
    </row>
    <row r="7802" spans="1:10" x14ac:dyDescent="0.25">
      <c r="A7802">
        <v>8766</v>
      </c>
      <c r="B7802">
        <v>5</v>
      </c>
      <c r="C7802">
        <v>421</v>
      </c>
      <c r="D7802">
        <v>542</v>
      </c>
      <c r="E7802">
        <v>1576517505</v>
      </c>
      <c r="F7802">
        <v>423</v>
      </c>
      <c r="G7802">
        <v>0</v>
      </c>
      <c r="H7802" t="s">
        <v>12721</v>
      </c>
      <c r="I7802">
        <v>8766</v>
      </c>
      <c r="J7802" t="str">
        <f>VLOOKUP(E7802,DSSpieler!A:B,2,FALSE)</f>
        <v>.g0dlike</v>
      </c>
    </row>
    <row r="7803" spans="1:10" x14ac:dyDescent="0.25">
      <c r="A7803">
        <v>8767</v>
      </c>
      <c r="B7803" t="s">
        <v>531</v>
      </c>
      <c r="C7803">
        <v>589</v>
      </c>
      <c r="D7803">
        <v>479</v>
      </c>
      <c r="E7803">
        <v>0</v>
      </c>
      <c r="F7803">
        <v>115</v>
      </c>
      <c r="G7803">
        <v>0</v>
      </c>
      <c r="H7803" t="s">
        <v>12722</v>
      </c>
      <c r="I7803">
        <v>8767</v>
      </c>
      <c r="J7803" t="e">
        <f>VLOOKUP(E7803,DSSpieler!A:B,2,FALSE)</f>
        <v>#N/A</v>
      </c>
    </row>
    <row r="7804" spans="1:10" x14ac:dyDescent="0.25">
      <c r="A7804">
        <v>8768</v>
      </c>
      <c r="B7804" t="s">
        <v>531</v>
      </c>
      <c r="C7804">
        <v>567</v>
      </c>
      <c r="D7804">
        <v>559</v>
      </c>
      <c r="E7804">
        <v>0</v>
      </c>
      <c r="F7804">
        <v>127</v>
      </c>
      <c r="G7804">
        <v>0</v>
      </c>
      <c r="H7804" t="s">
        <v>12723</v>
      </c>
      <c r="I7804">
        <v>8768</v>
      </c>
      <c r="J7804" t="e">
        <f>VLOOKUP(E7804,DSSpieler!A:B,2,FALSE)</f>
        <v>#N/A</v>
      </c>
    </row>
    <row r="7805" spans="1:10" x14ac:dyDescent="0.25">
      <c r="A7805">
        <v>8769</v>
      </c>
      <c r="B7805" t="s">
        <v>531</v>
      </c>
      <c r="C7805">
        <v>583</v>
      </c>
      <c r="D7805">
        <v>458</v>
      </c>
      <c r="E7805">
        <v>0</v>
      </c>
      <c r="F7805">
        <v>299</v>
      </c>
      <c r="G7805">
        <v>0</v>
      </c>
      <c r="H7805" t="s">
        <v>12724</v>
      </c>
      <c r="I7805">
        <v>8769</v>
      </c>
      <c r="J7805" t="e">
        <f>VLOOKUP(E7805,DSSpieler!A:B,2,FALSE)</f>
        <v>#N/A</v>
      </c>
    </row>
    <row r="7806" spans="1:10" x14ac:dyDescent="0.25">
      <c r="A7806">
        <v>8770</v>
      </c>
      <c r="B7806" t="s">
        <v>531</v>
      </c>
      <c r="C7806">
        <v>435</v>
      </c>
      <c r="D7806">
        <v>561</v>
      </c>
      <c r="E7806">
        <v>0</v>
      </c>
      <c r="F7806">
        <v>362</v>
      </c>
      <c r="G7806">
        <v>0</v>
      </c>
      <c r="H7806" t="s">
        <v>12725</v>
      </c>
      <c r="I7806">
        <v>8770</v>
      </c>
      <c r="J7806" t="e">
        <f>VLOOKUP(E7806,DSSpieler!A:B,2,FALSE)</f>
        <v>#N/A</v>
      </c>
    </row>
    <row r="7807" spans="1:10" x14ac:dyDescent="0.25">
      <c r="A7807">
        <v>8771</v>
      </c>
      <c r="B7807" t="s">
        <v>33428</v>
      </c>
      <c r="C7807">
        <v>520</v>
      </c>
      <c r="D7807">
        <v>410</v>
      </c>
      <c r="E7807">
        <v>8061322</v>
      </c>
      <c r="F7807">
        <v>4022</v>
      </c>
      <c r="G7807">
        <v>0</v>
      </c>
      <c r="H7807" t="s">
        <v>12726</v>
      </c>
      <c r="I7807">
        <v>8771</v>
      </c>
      <c r="J7807" t="str">
        <f>VLOOKUP(E7807,DSSpieler!A:B,2,FALSE)</f>
        <v>sebastil2</v>
      </c>
    </row>
    <row r="7808" spans="1:10" x14ac:dyDescent="0.25">
      <c r="A7808">
        <v>8772</v>
      </c>
      <c r="B7808" t="s">
        <v>531</v>
      </c>
      <c r="C7808">
        <v>587</v>
      </c>
      <c r="D7808">
        <v>474</v>
      </c>
      <c r="E7808">
        <v>0</v>
      </c>
      <c r="F7808">
        <v>134</v>
      </c>
      <c r="G7808">
        <v>0</v>
      </c>
      <c r="H7808" t="s">
        <v>12727</v>
      </c>
      <c r="I7808">
        <v>8772</v>
      </c>
      <c r="J7808" t="e">
        <f>VLOOKUP(E7808,DSSpieler!A:B,2,FALSE)</f>
        <v>#N/A</v>
      </c>
    </row>
    <row r="7809" spans="1:10" x14ac:dyDescent="0.25">
      <c r="A7809">
        <v>8774</v>
      </c>
      <c r="B7809" t="s">
        <v>698</v>
      </c>
      <c r="C7809">
        <v>451</v>
      </c>
      <c r="D7809">
        <v>432</v>
      </c>
      <c r="E7809">
        <v>8563827</v>
      </c>
      <c r="F7809">
        <v>5999</v>
      </c>
      <c r="G7809">
        <v>0</v>
      </c>
      <c r="H7809" t="s">
        <v>12728</v>
      </c>
      <c r="I7809">
        <v>8774</v>
      </c>
      <c r="J7809" t="str">
        <f>VLOOKUP(E7809,DSSpieler!A:B,2,FALSE)</f>
        <v>TheClausii</v>
      </c>
    </row>
    <row r="7810" spans="1:10" x14ac:dyDescent="0.25">
      <c r="A7810">
        <v>8775</v>
      </c>
      <c r="B7810" t="s">
        <v>531</v>
      </c>
      <c r="C7810">
        <v>513</v>
      </c>
      <c r="D7810">
        <v>412</v>
      </c>
      <c r="E7810">
        <v>0</v>
      </c>
      <c r="F7810">
        <v>231</v>
      </c>
      <c r="G7810">
        <v>0</v>
      </c>
      <c r="H7810" t="s">
        <v>12729</v>
      </c>
      <c r="I7810">
        <v>8775</v>
      </c>
      <c r="J7810" t="e">
        <f>VLOOKUP(E7810,DSSpieler!A:B,2,FALSE)</f>
        <v>#N/A</v>
      </c>
    </row>
    <row r="7811" spans="1:10" x14ac:dyDescent="0.25">
      <c r="A7811">
        <v>8776</v>
      </c>
      <c r="B7811" t="s">
        <v>531</v>
      </c>
      <c r="C7811">
        <v>429</v>
      </c>
      <c r="D7811">
        <v>555</v>
      </c>
      <c r="E7811">
        <v>0</v>
      </c>
      <c r="F7811">
        <v>183</v>
      </c>
      <c r="G7811">
        <v>0</v>
      </c>
      <c r="H7811" t="s">
        <v>12730</v>
      </c>
      <c r="I7811">
        <v>8776</v>
      </c>
      <c r="J7811" t="e">
        <f>VLOOKUP(E7811,DSSpieler!A:B,2,FALSE)</f>
        <v>#N/A</v>
      </c>
    </row>
    <row r="7812" spans="1:10" x14ac:dyDescent="0.25">
      <c r="A7812">
        <v>8777</v>
      </c>
      <c r="B7812" t="s">
        <v>1742</v>
      </c>
      <c r="C7812">
        <v>513</v>
      </c>
      <c r="D7812">
        <v>391</v>
      </c>
      <c r="E7812">
        <v>1577062800</v>
      </c>
      <c r="F7812">
        <v>3444</v>
      </c>
      <c r="G7812">
        <v>0</v>
      </c>
      <c r="H7812" t="s">
        <v>12731</v>
      </c>
      <c r="I7812">
        <v>8777</v>
      </c>
      <c r="J7812" t="str">
        <f>VLOOKUP(E7812,DSSpieler!A:B,2,FALSE)</f>
        <v>Jorlen</v>
      </c>
    </row>
    <row r="7813" spans="1:10" x14ac:dyDescent="0.25">
      <c r="A7813">
        <v>8778</v>
      </c>
      <c r="B7813" t="s">
        <v>33429</v>
      </c>
      <c r="C7813">
        <v>408</v>
      </c>
      <c r="D7813">
        <v>497</v>
      </c>
      <c r="E7813">
        <v>1577194180</v>
      </c>
      <c r="F7813">
        <v>3837</v>
      </c>
      <c r="G7813">
        <v>0</v>
      </c>
      <c r="H7813" t="s">
        <v>12732</v>
      </c>
      <c r="I7813">
        <v>8778</v>
      </c>
      <c r="J7813" t="str">
        <f>VLOOKUP(E7813,DSSpieler!A:B,2,FALSE)</f>
        <v>Dr.Stein</v>
      </c>
    </row>
    <row r="7814" spans="1:10" x14ac:dyDescent="0.25">
      <c r="A7814">
        <v>8779</v>
      </c>
      <c r="B7814">
        <v>2</v>
      </c>
      <c r="C7814">
        <v>442</v>
      </c>
      <c r="D7814">
        <v>429</v>
      </c>
      <c r="E7814">
        <v>9953505</v>
      </c>
      <c r="F7814">
        <v>1082</v>
      </c>
      <c r="G7814">
        <v>0</v>
      </c>
      <c r="H7814" t="s">
        <v>12733</v>
      </c>
      <c r="I7814">
        <v>8779</v>
      </c>
      <c r="J7814" t="str">
        <f>VLOOKUP(E7814,DSSpieler!A:B,2,FALSE)</f>
        <v>s4ng4r.</v>
      </c>
    </row>
    <row r="7815" spans="1:10" x14ac:dyDescent="0.25">
      <c r="A7815">
        <v>8780</v>
      </c>
      <c r="B7815" t="s">
        <v>531</v>
      </c>
      <c r="C7815">
        <v>407</v>
      </c>
      <c r="D7815">
        <v>500</v>
      </c>
      <c r="E7815">
        <v>0</v>
      </c>
      <c r="F7815">
        <v>196</v>
      </c>
      <c r="G7815">
        <v>0</v>
      </c>
      <c r="H7815" t="s">
        <v>12734</v>
      </c>
      <c r="I7815">
        <v>8780</v>
      </c>
      <c r="J7815" t="e">
        <f>VLOOKUP(E7815,DSSpieler!A:B,2,FALSE)</f>
        <v>#N/A</v>
      </c>
    </row>
    <row r="7816" spans="1:10" x14ac:dyDescent="0.25">
      <c r="A7816">
        <v>8781</v>
      </c>
      <c r="B7816" t="s">
        <v>531</v>
      </c>
      <c r="C7816">
        <v>418</v>
      </c>
      <c r="D7816">
        <v>459</v>
      </c>
      <c r="E7816">
        <v>0</v>
      </c>
      <c r="F7816">
        <v>1116</v>
      </c>
      <c r="G7816">
        <v>0</v>
      </c>
      <c r="H7816" t="s">
        <v>12735</v>
      </c>
      <c r="I7816">
        <v>8781</v>
      </c>
      <c r="J7816" t="e">
        <f>VLOOKUP(E7816,DSSpieler!A:B,2,FALSE)</f>
        <v>#N/A</v>
      </c>
    </row>
    <row r="7817" spans="1:10" x14ac:dyDescent="0.25">
      <c r="A7817">
        <v>8783</v>
      </c>
      <c r="B7817" t="s">
        <v>531</v>
      </c>
      <c r="C7817">
        <v>439</v>
      </c>
      <c r="D7817">
        <v>434</v>
      </c>
      <c r="E7817">
        <v>0</v>
      </c>
      <c r="F7817">
        <v>397</v>
      </c>
      <c r="G7817">
        <v>0</v>
      </c>
      <c r="H7817" t="s">
        <v>12736</v>
      </c>
      <c r="I7817">
        <v>8783</v>
      </c>
      <c r="J7817" t="e">
        <f>VLOOKUP(E7817,DSSpieler!A:B,2,FALSE)</f>
        <v>#N/A</v>
      </c>
    </row>
    <row r="7818" spans="1:10" x14ac:dyDescent="0.25">
      <c r="A7818">
        <v>8785</v>
      </c>
      <c r="B7818" t="s">
        <v>531</v>
      </c>
      <c r="C7818">
        <v>430</v>
      </c>
      <c r="D7818">
        <v>445</v>
      </c>
      <c r="E7818">
        <v>0</v>
      </c>
      <c r="F7818">
        <v>408</v>
      </c>
      <c r="G7818">
        <v>0</v>
      </c>
      <c r="H7818" t="s">
        <v>12737</v>
      </c>
      <c r="I7818">
        <v>8785</v>
      </c>
      <c r="J7818" t="e">
        <f>VLOOKUP(E7818,DSSpieler!A:B,2,FALSE)</f>
        <v>#N/A</v>
      </c>
    </row>
    <row r="7819" spans="1:10" x14ac:dyDescent="0.25">
      <c r="A7819">
        <v>8786</v>
      </c>
      <c r="B7819" t="s">
        <v>531</v>
      </c>
      <c r="C7819">
        <v>457</v>
      </c>
      <c r="D7819">
        <v>580</v>
      </c>
      <c r="E7819">
        <v>0</v>
      </c>
      <c r="F7819">
        <v>192</v>
      </c>
      <c r="G7819">
        <v>0</v>
      </c>
      <c r="H7819" t="s">
        <v>12738</v>
      </c>
      <c r="I7819">
        <v>8786</v>
      </c>
      <c r="J7819" t="e">
        <f>VLOOKUP(E7819,DSSpieler!A:B,2,FALSE)</f>
        <v>#N/A</v>
      </c>
    </row>
    <row r="7820" spans="1:10" x14ac:dyDescent="0.25">
      <c r="A7820">
        <v>8787</v>
      </c>
      <c r="B7820" t="s">
        <v>531</v>
      </c>
      <c r="C7820">
        <v>591</v>
      </c>
      <c r="D7820">
        <v>512</v>
      </c>
      <c r="E7820">
        <v>0</v>
      </c>
      <c r="F7820">
        <v>273</v>
      </c>
      <c r="G7820">
        <v>0</v>
      </c>
      <c r="H7820" t="s">
        <v>12739</v>
      </c>
      <c r="I7820">
        <v>8787</v>
      </c>
      <c r="J7820" t="e">
        <f>VLOOKUP(E7820,DSSpieler!A:B,2,FALSE)</f>
        <v>#N/A</v>
      </c>
    </row>
    <row r="7821" spans="1:10" x14ac:dyDescent="0.25">
      <c r="A7821">
        <v>8788</v>
      </c>
      <c r="B7821" t="s">
        <v>33430</v>
      </c>
      <c r="C7821">
        <v>530</v>
      </c>
      <c r="D7821">
        <v>416</v>
      </c>
      <c r="E7821">
        <v>7653905</v>
      </c>
      <c r="F7821">
        <v>3530</v>
      </c>
      <c r="G7821">
        <v>0</v>
      </c>
      <c r="H7821" t="s">
        <v>12740</v>
      </c>
      <c r="I7821">
        <v>8788</v>
      </c>
      <c r="J7821" t="str">
        <f>VLOOKUP(E7821,DSSpieler!A:B,2,FALSE)</f>
        <v>Us934</v>
      </c>
    </row>
    <row r="7822" spans="1:10" x14ac:dyDescent="0.25">
      <c r="A7822">
        <v>8789</v>
      </c>
      <c r="B7822" t="s">
        <v>531</v>
      </c>
      <c r="C7822">
        <v>515</v>
      </c>
      <c r="D7822">
        <v>590</v>
      </c>
      <c r="E7822">
        <v>0</v>
      </c>
      <c r="F7822">
        <v>286</v>
      </c>
      <c r="G7822">
        <v>0</v>
      </c>
      <c r="H7822" t="s">
        <v>12741</v>
      </c>
      <c r="I7822">
        <v>8789</v>
      </c>
      <c r="J7822" t="e">
        <f>VLOOKUP(E7822,DSSpieler!A:B,2,FALSE)</f>
        <v>#N/A</v>
      </c>
    </row>
    <row r="7823" spans="1:10" x14ac:dyDescent="0.25">
      <c r="A7823">
        <v>8791</v>
      </c>
      <c r="B7823" t="s">
        <v>33431</v>
      </c>
      <c r="C7823">
        <v>560</v>
      </c>
      <c r="D7823">
        <v>538</v>
      </c>
      <c r="E7823">
        <v>8337313</v>
      </c>
      <c r="F7823">
        <v>6599</v>
      </c>
      <c r="G7823">
        <v>0</v>
      </c>
      <c r="H7823" t="s">
        <v>12742</v>
      </c>
      <c r="I7823">
        <v>8791</v>
      </c>
      <c r="J7823" t="str">
        <f>VLOOKUP(E7823,DSSpieler!A:B,2,FALSE)</f>
        <v>JonesnBones</v>
      </c>
    </row>
    <row r="7824" spans="1:10" x14ac:dyDescent="0.25">
      <c r="A7824">
        <v>8792</v>
      </c>
      <c r="B7824" t="s">
        <v>531</v>
      </c>
      <c r="C7824">
        <v>464</v>
      </c>
      <c r="D7824">
        <v>415</v>
      </c>
      <c r="E7824">
        <v>0</v>
      </c>
      <c r="F7824">
        <v>260</v>
      </c>
      <c r="G7824">
        <v>0</v>
      </c>
      <c r="H7824" t="s">
        <v>12743</v>
      </c>
      <c r="I7824">
        <v>8792</v>
      </c>
      <c r="J7824" t="e">
        <f>VLOOKUP(E7824,DSSpieler!A:B,2,FALSE)</f>
        <v>#N/A</v>
      </c>
    </row>
    <row r="7825" spans="1:10" x14ac:dyDescent="0.25">
      <c r="A7825">
        <v>8793</v>
      </c>
      <c r="B7825" t="s">
        <v>531</v>
      </c>
      <c r="C7825">
        <v>568</v>
      </c>
      <c r="D7825">
        <v>437</v>
      </c>
      <c r="E7825">
        <v>0</v>
      </c>
      <c r="F7825">
        <v>247</v>
      </c>
      <c r="G7825">
        <v>0</v>
      </c>
      <c r="H7825" t="s">
        <v>12744</v>
      </c>
      <c r="I7825">
        <v>8793</v>
      </c>
      <c r="J7825" t="e">
        <f>VLOOKUP(E7825,DSSpieler!A:B,2,FALSE)</f>
        <v>#N/A</v>
      </c>
    </row>
    <row r="7826" spans="1:10" x14ac:dyDescent="0.25">
      <c r="A7826">
        <v>8794</v>
      </c>
      <c r="B7826" t="s">
        <v>33432</v>
      </c>
      <c r="C7826">
        <v>576</v>
      </c>
      <c r="D7826">
        <v>553</v>
      </c>
      <c r="E7826">
        <v>1577194494</v>
      </c>
      <c r="F7826">
        <v>4751</v>
      </c>
      <c r="G7826">
        <v>0</v>
      </c>
      <c r="H7826" t="s">
        <v>12745</v>
      </c>
      <c r="I7826">
        <v>8794</v>
      </c>
      <c r="J7826" t="str">
        <f>VLOOKUP(E7826,DSSpieler!A:B,2,FALSE)</f>
        <v>hamster97</v>
      </c>
    </row>
    <row r="7827" spans="1:10" x14ac:dyDescent="0.25">
      <c r="A7827">
        <v>8795</v>
      </c>
      <c r="B7827" t="s">
        <v>33433</v>
      </c>
      <c r="C7827">
        <v>480</v>
      </c>
      <c r="D7827">
        <v>608</v>
      </c>
      <c r="E7827">
        <v>1576628882</v>
      </c>
      <c r="F7827">
        <v>6604</v>
      </c>
      <c r="G7827">
        <v>0</v>
      </c>
      <c r="H7827" t="s">
        <v>12746</v>
      </c>
      <c r="I7827">
        <v>8795</v>
      </c>
      <c r="J7827" t="str">
        <f>VLOOKUP(E7827,DSSpieler!A:B,2,FALSE)</f>
        <v>Hirito Yomi</v>
      </c>
    </row>
    <row r="7828" spans="1:10" x14ac:dyDescent="0.25">
      <c r="A7828">
        <v>8796</v>
      </c>
      <c r="B7828" t="s">
        <v>531</v>
      </c>
      <c r="C7828">
        <v>568</v>
      </c>
      <c r="D7828">
        <v>560</v>
      </c>
      <c r="E7828">
        <v>0</v>
      </c>
      <c r="F7828">
        <v>577</v>
      </c>
      <c r="G7828">
        <v>0</v>
      </c>
      <c r="H7828" t="s">
        <v>12747</v>
      </c>
      <c r="I7828">
        <v>8796</v>
      </c>
      <c r="J7828" t="e">
        <f>VLOOKUP(E7828,DSSpieler!A:B,2,FALSE)</f>
        <v>#N/A</v>
      </c>
    </row>
    <row r="7829" spans="1:10" x14ac:dyDescent="0.25">
      <c r="A7829">
        <v>8797</v>
      </c>
      <c r="B7829" t="s">
        <v>531</v>
      </c>
      <c r="C7829">
        <v>409</v>
      </c>
      <c r="D7829">
        <v>480</v>
      </c>
      <c r="E7829">
        <v>0</v>
      </c>
      <c r="F7829">
        <v>172</v>
      </c>
      <c r="G7829">
        <v>0</v>
      </c>
      <c r="H7829" t="s">
        <v>12748</v>
      </c>
      <c r="I7829">
        <v>8797</v>
      </c>
      <c r="J7829" t="e">
        <f>VLOOKUP(E7829,DSSpieler!A:B,2,FALSE)</f>
        <v>#N/A</v>
      </c>
    </row>
    <row r="7830" spans="1:10" x14ac:dyDescent="0.25">
      <c r="A7830">
        <v>8798</v>
      </c>
      <c r="B7830" t="s">
        <v>531</v>
      </c>
      <c r="C7830">
        <v>530</v>
      </c>
      <c r="D7830">
        <v>584</v>
      </c>
      <c r="E7830">
        <v>0</v>
      </c>
      <c r="F7830">
        <v>478</v>
      </c>
      <c r="G7830">
        <v>0</v>
      </c>
      <c r="H7830" t="s">
        <v>12749</v>
      </c>
      <c r="I7830">
        <v>8798</v>
      </c>
      <c r="J7830" t="e">
        <f>VLOOKUP(E7830,DSSpieler!A:B,2,FALSE)</f>
        <v>#N/A</v>
      </c>
    </row>
    <row r="7831" spans="1:10" x14ac:dyDescent="0.25">
      <c r="A7831">
        <v>8799</v>
      </c>
      <c r="B7831" t="s">
        <v>531</v>
      </c>
      <c r="C7831">
        <v>451</v>
      </c>
      <c r="D7831">
        <v>577</v>
      </c>
      <c r="E7831">
        <v>0</v>
      </c>
      <c r="F7831">
        <v>201</v>
      </c>
      <c r="G7831">
        <v>0</v>
      </c>
      <c r="H7831" t="s">
        <v>12750</v>
      </c>
      <c r="I7831">
        <v>8799</v>
      </c>
      <c r="J7831" t="e">
        <f>VLOOKUP(E7831,DSSpieler!A:B,2,FALSE)</f>
        <v>#N/A</v>
      </c>
    </row>
    <row r="7832" spans="1:10" x14ac:dyDescent="0.25">
      <c r="A7832">
        <v>8800</v>
      </c>
      <c r="B7832" t="s">
        <v>531</v>
      </c>
      <c r="C7832">
        <v>585</v>
      </c>
      <c r="D7832">
        <v>470</v>
      </c>
      <c r="E7832">
        <v>0</v>
      </c>
      <c r="F7832">
        <v>479</v>
      </c>
      <c r="G7832">
        <v>0</v>
      </c>
      <c r="H7832" t="s">
        <v>12751</v>
      </c>
      <c r="I7832">
        <v>8800</v>
      </c>
      <c r="J7832" t="e">
        <f>VLOOKUP(E7832,DSSpieler!A:B,2,FALSE)</f>
        <v>#N/A</v>
      </c>
    </row>
    <row r="7833" spans="1:10" x14ac:dyDescent="0.25">
      <c r="A7833">
        <v>8801</v>
      </c>
      <c r="B7833" t="s">
        <v>531</v>
      </c>
      <c r="C7833">
        <v>587</v>
      </c>
      <c r="D7833">
        <v>468</v>
      </c>
      <c r="E7833">
        <v>0</v>
      </c>
      <c r="F7833">
        <v>211</v>
      </c>
      <c r="G7833">
        <v>0</v>
      </c>
      <c r="H7833" t="s">
        <v>12752</v>
      </c>
      <c r="I7833">
        <v>8801</v>
      </c>
      <c r="J7833" t="e">
        <f>VLOOKUP(E7833,DSSpieler!A:B,2,FALSE)</f>
        <v>#N/A</v>
      </c>
    </row>
    <row r="7834" spans="1:10" x14ac:dyDescent="0.25">
      <c r="A7834">
        <v>8802</v>
      </c>
      <c r="B7834" t="s">
        <v>33434</v>
      </c>
      <c r="C7834">
        <v>546</v>
      </c>
      <c r="D7834">
        <v>421</v>
      </c>
      <c r="E7834">
        <v>1576197248</v>
      </c>
      <c r="F7834">
        <v>6753</v>
      </c>
      <c r="G7834">
        <v>0</v>
      </c>
      <c r="H7834" t="s">
        <v>12753</v>
      </c>
      <c r="I7834">
        <v>8802</v>
      </c>
      <c r="J7834" t="str">
        <f>VLOOKUP(E7834,DSSpieler!A:B,2,FALSE)</f>
        <v>BlackDestroyers</v>
      </c>
    </row>
    <row r="7835" spans="1:10" x14ac:dyDescent="0.25">
      <c r="A7835">
        <v>8803</v>
      </c>
      <c r="B7835" t="s">
        <v>531</v>
      </c>
      <c r="C7835">
        <v>591</v>
      </c>
      <c r="D7835">
        <v>465</v>
      </c>
      <c r="E7835">
        <v>0</v>
      </c>
      <c r="F7835">
        <v>135</v>
      </c>
      <c r="G7835">
        <v>0</v>
      </c>
      <c r="H7835" t="s">
        <v>12754</v>
      </c>
      <c r="I7835">
        <v>8803</v>
      </c>
      <c r="J7835" t="e">
        <f>VLOOKUP(E7835,DSSpieler!A:B,2,FALSE)</f>
        <v>#N/A</v>
      </c>
    </row>
    <row r="7836" spans="1:10" x14ac:dyDescent="0.25">
      <c r="A7836">
        <v>8804</v>
      </c>
      <c r="B7836" t="s">
        <v>33435</v>
      </c>
      <c r="C7836">
        <v>434</v>
      </c>
      <c r="D7836">
        <v>440</v>
      </c>
      <c r="E7836">
        <v>9769149</v>
      </c>
      <c r="F7836">
        <v>6378</v>
      </c>
      <c r="G7836">
        <v>0</v>
      </c>
      <c r="H7836" t="s">
        <v>12755</v>
      </c>
      <c r="I7836">
        <v>8804</v>
      </c>
      <c r="J7836" t="str">
        <f>VLOOKUP(E7836,DSSpieler!A:B,2,FALSE)</f>
        <v>SpartaBamf</v>
      </c>
    </row>
    <row r="7837" spans="1:10" x14ac:dyDescent="0.25">
      <c r="A7837">
        <v>8805</v>
      </c>
      <c r="B7837" t="s">
        <v>33436</v>
      </c>
      <c r="C7837">
        <v>586</v>
      </c>
      <c r="D7837">
        <v>465</v>
      </c>
      <c r="E7837">
        <v>1577194745</v>
      </c>
      <c r="F7837">
        <v>4686</v>
      </c>
      <c r="G7837">
        <v>0</v>
      </c>
      <c r="H7837" t="s">
        <v>12756</v>
      </c>
      <c r="I7837">
        <v>8805</v>
      </c>
      <c r="J7837" t="str">
        <f>VLOOKUP(E7837,DSSpieler!A:B,2,FALSE)</f>
        <v>blitza99</v>
      </c>
    </row>
    <row r="7838" spans="1:10" x14ac:dyDescent="0.25">
      <c r="A7838">
        <v>8806</v>
      </c>
      <c r="B7838" t="s">
        <v>531</v>
      </c>
      <c r="C7838">
        <v>562</v>
      </c>
      <c r="D7838">
        <v>564</v>
      </c>
      <c r="E7838">
        <v>0</v>
      </c>
      <c r="F7838">
        <v>400</v>
      </c>
      <c r="G7838">
        <v>0</v>
      </c>
      <c r="H7838" t="s">
        <v>12757</v>
      </c>
      <c r="I7838">
        <v>8806</v>
      </c>
      <c r="J7838" t="e">
        <f>VLOOKUP(E7838,DSSpieler!A:B,2,FALSE)</f>
        <v>#N/A</v>
      </c>
    </row>
    <row r="7839" spans="1:10" x14ac:dyDescent="0.25">
      <c r="A7839">
        <v>8807</v>
      </c>
      <c r="B7839" t="s">
        <v>531</v>
      </c>
      <c r="C7839">
        <v>532</v>
      </c>
      <c r="D7839">
        <v>416</v>
      </c>
      <c r="E7839">
        <v>0</v>
      </c>
      <c r="F7839">
        <v>309</v>
      </c>
      <c r="G7839">
        <v>0</v>
      </c>
      <c r="H7839" t="s">
        <v>12758</v>
      </c>
      <c r="I7839">
        <v>8807</v>
      </c>
      <c r="J7839" t="e">
        <f>VLOOKUP(E7839,DSSpieler!A:B,2,FALSE)</f>
        <v>#N/A</v>
      </c>
    </row>
    <row r="7840" spans="1:10" x14ac:dyDescent="0.25">
      <c r="A7840">
        <v>8808</v>
      </c>
      <c r="B7840" t="s">
        <v>1743</v>
      </c>
      <c r="C7840">
        <v>522</v>
      </c>
      <c r="D7840">
        <v>561</v>
      </c>
      <c r="E7840">
        <v>1577191393</v>
      </c>
      <c r="F7840">
        <v>5200</v>
      </c>
      <c r="G7840">
        <v>0</v>
      </c>
      <c r="H7840" t="s">
        <v>12759</v>
      </c>
      <c r="I7840">
        <v>8808</v>
      </c>
      <c r="J7840" t="str">
        <f>VLOOKUP(E7840,DSSpieler!A:B,2,FALSE)</f>
        <v>Mann mit Axt</v>
      </c>
    </row>
    <row r="7841" spans="1:10" x14ac:dyDescent="0.25">
      <c r="A7841">
        <v>8809</v>
      </c>
      <c r="B7841" t="s">
        <v>30820</v>
      </c>
      <c r="C7841">
        <v>582</v>
      </c>
      <c r="D7841">
        <v>543</v>
      </c>
      <c r="E7841">
        <v>1577178554</v>
      </c>
      <c r="F7841">
        <v>5557</v>
      </c>
      <c r="G7841">
        <v>0</v>
      </c>
      <c r="H7841" t="s">
        <v>12760</v>
      </c>
      <c r="I7841">
        <v>8809</v>
      </c>
      <c r="J7841" t="str">
        <f>VLOOKUP(E7841,DSSpieler!A:B,2,FALSE)</f>
        <v>Nicer Dude</v>
      </c>
    </row>
    <row r="7842" spans="1:10" x14ac:dyDescent="0.25">
      <c r="A7842">
        <v>8811</v>
      </c>
      <c r="B7842" t="s">
        <v>35845</v>
      </c>
      <c r="C7842">
        <v>426</v>
      </c>
      <c r="D7842">
        <v>569</v>
      </c>
      <c r="E7842">
        <v>1577096999</v>
      </c>
      <c r="F7842">
        <v>4237</v>
      </c>
      <c r="G7842">
        <v>0</v>
      </c>
      <c r="H7842" t="s">
        <v>12761</v>
      </c>
      <c r="I7842">
        <v>8811</v>
      </c>
      <c r="J7842" t="str">
        <f>VLOOKUP(E7842,DSSpieler!A:B,2,FALSE)</f>
        <v>Grandpa</v>
      </c>
    </row>
    <row r="7843" spans="1:10" x14ac:dyDescent="0.25">
      <c r="A7843">
        <v>8812</v>
      </c>
      <c r="B7843" t="s">
        <v>531</v>
      </c>
      <c r="C7843">
        <v>502</v>
      </c>
      <c r="D7843">
        <v>591</v>
      </c>
      <c r="E7843">
        <v>0</v>
      </c>
      <c r="F7843">
        <v>281</v>
      </c>
      <c r="G7843">
        <v>0</v>
      </c>
      <c r="H7843" t="s">
        <v>12762</v>
      </c>
      <c r="I7843">
        <v>8812</v>
      </c>
      <c r="J7843" t="e">
        <f>VLOOKUP(E7843,DSSpieler!A:B,2,FALSE)</f>
        <v>#N/A</v>
      </c>
    </row>
    <row r="7844" spans="1:10" x14ac:dyDescent="0.25">
      <c r="A7844">
        <v>8813</v>
      </c>
      <c r="B7844" t="s">
        <v>531</v>
      </c>
      <c r="C7844">
        <v>429</v>
      </c>
      <c r="D7844">
        <v>559</v>
      </c>
      <c r="E7844">
        <v>0</v>
      </c>
      <c r="F7844">
        <v>346</v>
      </c>
      <c r="G7844">
        <v>0</v>
      </c>
      <c r="H7844" t="s">
        <v>12763</v>
      </c>
      <c r="I7844">
        <v>8813</v>
      </c>
      <c r="J7844" t="e">
        <f>VLOOKUP(E7844,DSSpieler!A:B,2,FALSE)</f>
        <v>#N/A</v>
      </c>
    </row>
    <row r="7845" spans="1:10" x14ac:dyDescent="0.25">
      <c r="A7845">
        <v>8814</v>
      </c>
      <c r="B7845" t="s">
        <v>531</v>
      </c>
      <c r="C7845">
        <v>410</v>
      </c>
      <c r="D7845">
        <v>523</v>
      </c>
      <c r="E7845">
        <v>0</v>
      </c>
      <c r="F7845">
        <v>397</v>
      </c>
      <c r="G7845">
        <v>0</v>
      </c>
      <c r="H7845" t="s">
        <v>12764</v>
      </c>
      <c r="I7845">
        <v>8814</v>
      </c>
      <c r="J7845" t="e">
        <f>VLOOKUP(E7845,DSSpieler!A:B,2,FALSE)</f>
        <v>#N/A</v>
      </c>
    </row>
    <row r="7846" spans="1:10" x14ac:dyDescent="0.25">
      <c r="A7846">
        <v>8815</v>
      </c>
      <c r="B7846" t="s">
        <v>531</v>
      </c>
      <c r="C7846">
        <v>426</v>
      </c>
      <c r="D7846">
        <v>443</v>
      </c>
      <c r="E7846">
        <v>9474313</v>
      </c>
      <c r="F7846">
        <v>1854</v>
      </c>
      <c r="G7846">
        <v>0</v>
      </c>
      <c r="H7846" t="s">
        <v>12765</v>
      </c>
      <c r="I7846">
        <v>8815</v>
      </c>
      <c r="J7846" t="str">
        <f>VLOOKUP(E7846,DSSpieler!A:B,2,FALSE)</f>
        <v>VOSSI der Große</v>
      </c>
    </row>
    <row r="7847" spans="1:10" x14ac:dyDescent="0.25">
      <c r="A7847">
        <v>8816</v>
      </c>
      <c r="B7847" t="s">
        <v>531</v>
      </c>
      <c r="C7847">
        <v>448</v>
      </c>
      <c r="D7847">
        <v>574</v>
      </c>
      <c r="E7847">
        <v>0</v>
      </c>
      <c r="F7847">
        <v>140</v>
      </c>
      <c r="G7847">
        <v>0</v>
      </c>
      <c r="H7847" t="s">
        <v>12766</v>
      </c>
      <c r="I7847">
        <v>8816</v>
      </c>
      <c r="J7847" t="e">
        <f>VLOOKUP(E7847,DSSpieler!A:B,2,FALSE)</f>
        <v>#N/A</v>
      </c>
    </row>
    <row r="7848" spans="1:10" x14ac:dyDescent="0.25">
      <c r="A7848">
        <v>8817</v>
      </c>
      <c r="B7848" t="s">
        <v>531</v>
      </c>
      <c r="C7848">
        <v>492</v>
      </c>
      <c r="D7848">
        <v>591</v>
      </c>
      <c r="E7848">
        <v>0</v>
      </c>
      <c r="F7848">
        <v>352</v>
      </c>
      <c r="G7848">
        <v>0</v>
      </c>
      <c r="H7848" t="s">
        <v>12767</v>
      </c>
      <c r="I7848">
        <v>8817</v>
      </c>
      <c r="J7848" t="e">
        <f>VLOOKUP(E7848,DSSpieler!A:B,2,FALSE)</f>
        <v>#N/A</v>
      </c>
    </row>
    <row r="7849" spans="1:10" x14ac:dyDescent="0.25">
      <c r="A7849">
        <v>8818</v>
      </c>
      <c r="B7849" t="s">
        <v>531</v>
      </c>
      <c r="C7849">
        <v>506</v>
      </c>
      <c r="D7849">
        <v>407</v>
      </c>
      <c r="E7849">
        <v>0</v>
      </c>
      <c r="F7849">
        <v>286</v>
      </c>
      <c r="G7849">
        <v>0</v>
      </c>
      <c r="H7849" t="s">
        <v>12768</v>
      </c>
      <c r="I7849">
        <v>8818</v>
      </c>
      <c r="J7849" t="e">
        <f>VLOOKUP(E7849,DSSpieler!A:B,2,FALSE)</f>
        <v>#N/A</v>
      </c>
    </row>
    <row r="7850" spans="1:10" x14ac:dyDescent="0.25">
      <c r="A7850">
        <v>8819</v>
      </c>
      <c r="B7850" t="s">
        <v>531</v>
      </c>
      <c r="C7850">
        <v>414</v>
      </c>
      <c r="D7850">
        <v>534</v>
      </c>
      <c r="E7850">
        <v>0</v>
      </c>
      <c r="F7850">
        <v>277</v>
      </c>
      <c r="G7850">
        <v>0</v>
      </c>
      <c r="H7850" t="s">
        <v>12769</v>
      </c>
      <c r="I7850">
        <v>8819</v>
      </c>
      <c r="J7850" t="e">
        <f>VLOOKUP(E7850,DSSpieler!A:B,2,FALSE)</f>
        <v>#N/A</v>
      </c>
    </row>
    <row r="7851" spans="1:10" x14ac:dyDescent="0.25">
      <c r="A7851">
        <v>8820</v>
      </c>
      <c r="B7851" t="s">
        <v>531</v>
      </c>
      <c r="C7851">
        <v>570</v>
      </c>
      <c r="D7851">
        <v>560</v>
      </c>
      <c r="E7851">
        <v>0</v>
      </c>
      <c r="F7851">
        <v>169</v>
      </c>
      <c r="G7851">
        <v>0</v>
      </c>
      <c r="H7851" t="s">
        <v>12770</v>
      </c>
      <c r="I7851">
        <v>8820</v>
      </c>
      <c r="J7851" t="e">
        <f>VLOOKUP(E7851,DSSpieler!A:B,2,FALSE)</f>
        <v>#N/A</v>
      </c>
    </row>
    <row r="7852" spans="1:10" x14ac:dyDescent="0.25">
      <c r="A7852">
        <v>8821</v>
      </c>
      <c r="B7852" t="s">
        <v>531</v>
      </c>
      <c r="C7852">
        <v>505</v>
      </c>
      <c r="D7852">
        <v>593</v>
      </c>
      <c r="E7852">
        <v>0</v>
      </c>
      <c r="F7852">
        <v>241</v>
      </c>
      <c r="G7852">
        <v>0</v>
      </c>
      <c r="H7852" t="s">
        <v>12771</v>
      </c>
      <c r="I7852">
        <v>8821</v>
      </c>
      <c r="J7852" t="e">
        <f>VLOOKUP(E7852,DSSpieler!A:B,2,FALSE)</f>
        <v>#N/A</v>
      </c>
    </row>
    <row r="7853" spans="1:10" x14ac:dyDescent="0.25">
      <c r="A7853">
        <v>8822</v>
      </c>
      <c r="B7853" t="s">
        <v>531</v>
      </c>
      <c r="C7853">
        <v>467</v>
      </c>
      <c r="D7853">
        <v>415</v>
      </c>
      <c r="E7853">
        <v>0</v>
      </c>
      <c r="F7853">
        <v>334</v>
      </c>
      <c r="G7853">
        <v>0</v>
      </c>
      <c r="H7853" t="s">
        <v>12772</v>
      </c>
      <c r="I7853">
        <v>8822</v>
      </c>
      <c r="J7853" t="e">
        <f>VLOOKUP(E7853,DSSpieler!A:B,2,FALSE)</f>
        <v>#N/A</v>
      </c>
    </row>
    <row r="7854" spans="1:10" x14ac:dyDescent="0.25">
      <c r="A7854">
        <v>8823</v>
      </c>
      <c r="B7854" t="s">
        <v>33437</v>
      </c>
      <c r="C7854">
        <v>477</v>
      </c>
      <c r="D7854">
        <v>506</v>
      </c>
      <c r="E7854">
        <v>1577114708</v>
      </c>
      <c r="F7854">
        <v>2765</v>
      </c>
      <c r="G7854">
        <v>0</v>
      </c>
      <c r="H7854" t="s">
        <v>12773</v>
      </c>
      <c r="I7854">
        <v>8823</v>
      </c>
      <c r="J7854" t="str">
        <f>VLOOKUP(E7854,DSSpieler!A:B,2,FALSE)</f>
        <v>TomHardy</v>
      </c>
    </row>
    <row r="7855" spans="1:10" x14ac:dyDescent="0.25">
      <c r="A7855">
        <v>8824</v>
      </c>
      <c r="B7855" t="s">
        <v>531</v>
      </c>
      <c r="C7855">
        <v>496</v>
      </c>
      <c r="D7855">
        <v>591</v>
      </c>
      <c r="E7855">
        <v>0</v>
      </c>
      <c r="F7855">
        <v>291</v>
      </c>
      <c r="G7855">
        <v>0</v>
      </c>
      <c r="H7855" t="s">
        <v>12774</v>
      </c>
      <c r="I7855">
        <v>8824</v>
      </c>
      <c r="J7855" t="e">
        <f>VLOOKUP(E7855,DSSpieler!A:B,2,FALSE)</f>
        <v>#N/A</v>
      </c>
    </row>
    <row r="7856" spans="1:10" x14ac:dyDescent="0.25">
      <c r="A7856">
        <v>8826</v>
      </c>
      <c r="B7856" t="s">
        <v>531</v>
      </c>
      <c r="C7856">
        <v>586</v>
      </c>
      <c r="D7856">
        <v>468</v>
      </c>
      <c r="E7856">
        <v>0</v>
      </c>
      <c r="F7856">
        <v>188</v>
      </c>
      <c r="G7856">
        <v>0</v>
      </c>
      <c r="H7856" t="s">
        <v>12775</v>
      </c>
      <c r="I7856">
        <v>8826</v>
      </c>
      <c r="J7856" t="e">
        <f>VLOOKUP(E7856,DSSpieler!A:B,2,FALSE)</f>
        <v>#N/A</v>
      </c>
    </row>
    <row r="7857" spans="1:10" x14ac:dyDescent="0.25">
      <c r="A7857">
        <v>8827</v>
      </c>
      <c r="B7857" t="s">
        <v>531</v>
      </c>
      <c r="C7857">
        <v>545</v>
      </c>
      <c r="D7857">
        <v>420</v>
      </c>
      <c r="E7857">
        <v>0</v>
      </c>
      <c r="F7857">
        <v>242</v>
      </c>
      <c r="G7857">
        <v>0</v>
      </c>
      <c r="H7857" t="s">
        <v>12776</v>
      </c>
      <c r="I7857">
        <v>8827</v>
      </c>
      <c r="J7857" t="e">
        <f>VLOOKUP(E7857,DSSpieler!A:B,2,FALSE)</f>
        <v>#N/A</v>
      </c>
    </row>
    <row r="7858" spans="1:10" x14ac:dyDescent="0.25">
      <c r="A7858">
        <v>8828</v>
      </c>
      <c r="B7858" t="s">
        <v>531</v>
      </c>
      <c r="C7858">
        <v>477</v>
      </c>
      <c r="D7858">
        <v>589</v>
      </c>
      <c r="E7858">
        <v>0</v>
      </c>
      <c r="F7858">
        <v>219</v>
      </c>
      <c r="G7858">
        <v>0</v>
      </c>
      <c r="H7858" t="s">
        <v>12777</v>
      </c>
      <c r="I7858">
        <v>8828</v>
      </c>
      <c r="J7858" t="e">
        <f>VLOOKUP(E7858,DSSpieler!A:B,2,FALSE)</f>
        <v>#N/A</v>
      </c>
    </row>
    <row r="7859" spans="1:10" x14ac:dyDescent="0.25">
      <c r="A7859">
        <v>8829</v>
      </c>
      <c r="B7859" t="s">
        <v>531</v>
      </c>
      <c r="C7859">
        <v>574</v>
      </c>
      <c r="D7859">
        <v>555</v>
      </c>
      <c r="E7859">
        <v>0</v>
      </c>
      <c r="F7859">
        <v>202</v>
      </c>
      <c r="G7859">
        <v>0</v>
      </c>
      <c r="H7859" t="s">
        <v>12778</v>
      </c>
      <c r="I7859">
        <v>8829</v>
      </c>
      <c r="J7859" t="e">
        <f>VLOOKUP(E7859,DSSpieler!A:B,2,FALSE)</f>
        <v>#N/A</v>
      </c>
    </row>
    <row r="7860" spans="1:10" x14ac:dyDescent="0.25">
      <c r="A7860">
        <v>8830</v>
      </c>
      <c r="B7860" t="e">
        <f>-2-+Lodi</f>
        <v>#NAME?</v>
      </c>
      <c r="C7860">
        <v>459</v>
      </c>
      <c r="D7860">
        <v>441</v>
      </c>
      <c r="E7860">
        <v>1577197983</v>
      </c>
      <c r="F7860">
        <v>1825</v>
      </c>
      <c r="G7860">
        <v>0</v>
      </c>
      <c r="H7860" t="s">
        <v>12779</v>
      </c>
      <c r="I7860">
        <v>8830</v>
      </c>
      <c r="J7860" t="str">
        <f>VLOOKUP(E7860,DSSpieler!A:B,2,FALSE)</f>
        <v>Seasonxhd</v>
      </c>
    </row>
    <row r="7861" spans="1:10" x14ac:dyDescent="0.25">
      <c r="A7861">
        <v>8831</v>
      </c>
      <c r="B7861" t="s">
        <v>531</v>
      </c>
      <c r="C7861">
        <v>510</v>
      </c>
      <c r="D7861">
        <v>408</v>
      </c>
      <c r="E7861">
        <v>0</v>
      </c>
      <c r="F7861">
        <v>201</v>
      </c>
      <c r="G7861">
        <v>0</v>
      </c>
      <c r="H7861" t="s">
        <v>12780</v>
      </c>
      <c r="I7861">
        <v>8831</v>
      </c>
      <c r="J7861" t="e">
        <f>VLOOKUP(E7861,DSSpieler!A:B,2,FALSE)</f>
        <v>#N/A</v>
      </c>
    </row>
    <row r="7862" spans="1:10" x14ac:dyDescent="0.25">
      <c r="A7862">
        <v>8832</v>
      </c>
      <c r="B7862" t="s">
        <v>531</v>
      </c>
      <c r="C7862">
        <v>487</v>
      </c>
      <c r="D7862">
        <v>409</v>
      </c>
      <c r="E7862">
        <v>0</v>
      </c>
      <c r="F7862">
        <v>339</v>
      </c>
      <c r="G7862">
        <v>0</v>
      </c>
      <c r="H7862" t="s">
        <v>12781</v>
      </c>
      <c r="I7862">
        <v>8832</v>
      </c>
      <c r="J7862" t="e">
        <f>VLOOKUP(E7862,DSSpieler!A:B,2,FALSE)</f>
        <v>#N/A</v>
      </c>
    </row>
    <row r="7863" spans="1:10" x14ac:dyDescent="0.25">
      <c r="A7863">
        <v>8833</v>
      </c>
      <c r="B7863" t="s">
        <v>531</v>
      </c>
      <c r="C7863">
        <v>590</v>
      </c>
      <c r="D7863">
        <v>524</v>
      </c>
      <c r="E7863">
        <v>0</v>
      </c>
      <c r="F7863">
        <v>272</v>
      </c>
      <c r="G7863">
        <v>0</v>
      </c>
      <c r="H7863" t="s">
        <v>12782</v>
      </c>
      <c r="I7863">
        <v>8833</v>
      </c>
      <c r="J7863" t="e">
        <f>VLOOKUP(E7863,DSSpieler!A:B,2,FALSE)</f>
        <v>#N/A</v>
      </c>
    </row>
    <row r="7864" spans="1:10" x14ac:dyDescent="0.25">
      <c r="A7864">
        <v>8834</v>
      </c>
      <c r="B7864" t="s">
        <v>531</v>
      </c>
      <c r="C7864">
        <v>506</v>
      </c>
      <c r="D7864">
        <v>593</v>
      </c>
      <c r="E7864">
        <v>0</v>
      </c>
      <c r="F7864">
        <v>300</v>
      </c>
      <c r="G7864">
        <v>0</v>
      </c>
      <c r="H7864" t="s">
        <v>12783</v>
      </c>
      <c r="I7864">
        <v>8834</v>
      </c>
      <c r="J7864" t="e">
        <f>VLOOKUP(E7864,DSSpieler!A:B,2,FALSE)</f>
        <v>#N/A</v>
      </c>
    </row>
    <row r="7865" spans="1:10" x14ac:dyDescent="0.25">
      <c r="A7865">
        <v>8835</v>
      </c>
      <c r="B7865" t="s">
        <v>531</v>
      </c>
      <c r="C7865">
        <v>462</v>
      </c>
      <c r="D7865">
        <v>585</v>
      </c>
      <c r="E7865">
        <v>0</v>
      </c>
      <c r="F7865">
        <v>404</v>
      </c>
      <c r="G7865">
        <v>0</v>
      </c>
      <c r="H7865" t="s">
        <v>12784</v>
      </c>
      <c r="I7865">
        <v>8835</v>
      </c>
      <c r="J7865" t="e">
        <f>VLOOKUP(E7865,DSSpieler!A:B,2,FALSE)</f>
        <v>#N/A</v>
      </c>
    </row>
    <row r="7866" spans="1:10" x14ac:dyDescent="0.25">
      <c r="A7866">
        <v>8836</v>
      </c>
      <c r="B7866" t="s">
        <v>531</v>
      </c>
      <c r="C7866">
        <v>517</v>
      </c>
      <c r="D7866">
        <v>588</v>
      </c>
      <c r="E7866">
        <v>0</v>
      </c>
      <c r="F7866">
        <v>355</v>
      </c>
      <c r="G7866">
        <v>0</v>
      </c>
      <c r="H7866" t="s">
        <v>12785</v>
      </c>
      <c r="I7866">
        <v>8836</v>
      </c>
      <c r="J7866" t="e">
        <f>VLOOKUP(E7866,DSSpieler!A:B,2,FALSE)</f>
        <v>#N/A</v>
      </c>
    </row>
    <row r="7867" spans="1:10" x14ac:dyDescent="0.25">
      <c r="A7867">
        <v>8837</v>
      </c>
      <c r="B7867" t="s">
        <v>531</v>
      </c>
      <c r="C7867">
        <v>451</v>
      </c>
      <c r="D7867">
        <v>424</v>
      </c>
      <c r="E7867">
        <v>0</v>
      </c>
      <c r="F7867">
        <v>176</v>
      </c>
      <c r="G7867">
        <v>0</v>
      </c>
      <c r="H7867" t="s">
        <v>12786</v>
      </c>
      <c r="I7867">
        <v>8837</v>
      </c>
      <c r="J7867" t="e">
        <f>VLOOKUP(E7867,DSSpieler!A:B,2,FALSE)</f>
        <v>#N/A</v>
      </c>
    </row>
    <row r="7868" spans="1:10" x14ac:dyDescent="0.25">
      <c r="A7868">
        <v>8838</v>
      </c>
      <c r="B7868" t="s">
        <v>1744</v>
      </c>
      <c r="C7868">
        <v>593</v>
      </c>
      <c r="D7868">
        <v>500</v>
      </c>
      <c r="E7868">
        <v>1666326</v>
      </c>
      <c r="F7868">
        <v>4734</v>
      </c>
      <c r="G7868">
        <v>0</v>
      </c>
      <c r="H7868" t="s">
        <v>12787</v>
      </c>
      <c r="I7868">
        <v>8838</v>
      </c>
      <c r="J7868" t="str">
        <f>VLOOKUP(E7868,DSSpieler!A:B,2,FALSE)</f>
        <v>Wendell Bud White</v>
      </c>
    </row>
    <row r="7869" spans="1:10" x14ac:dyDescent="0.25">
      <c r="A7869">
        <v>8839</v>
      </c>
      <c r="B7869" t="s">
        <v>150</v>
      </c>
      <c r="C7869">
        <v>561</v>
      </c>
      <c r="D7869">
        <v>433</v>
      </c>
      <c r="E7869">
        <v>1577184105</v>
      </c>
      <c r="F7869">
        <v>317</v>
      </c>
      <c r="G7869">
        <v>0</v>
      </c>
      <c r="H7869" t="s">
        <v>12788</v>
      </c>
      <c r="I7869">
        <v>8839</v>
      </c>
      <c r="J7869" t="str">
        <f>VLOOKUP(E7869,DSSpieler!A:B,2,FALSE)</f>
        <v>Lordbballer</v>
      </c>
    </row>
    <row r="7870" spans="1:10" x14ac:dyDescent="0.25">
      <c r="A7870">
        <v>8840</v>
      </c>
      <c r="B7870" t="s">
        <v>531</v>
      </c>
      <c r="C7870">
        <v>412</v>
      </c>
      <c r="D7870">
        <v>470</v>
      </c>
      <c r="E7870">
        <v>0</v>
      </c>
      <c r="F7870">
        <v>261</v>
      </c>
      <c r="G7870">
        <v>0</v>
      </c>
      <c r="H7870" t="s">
        <v>12789</v>
      </c>
      <c r="I7870">
        <v>8840</v>
      </c>
      <c r="J7870" t="e">
        <f>VLOOKUP(E7870,DSSpieler!A:B,2,FALSE)</f>
        <v>#N/A</v>
      </c>
    </row>
    <row r="7871" spans="1:10" x14ac:dyDescent="0.25">
      <c r="A7871">
        <v>8841</v>
      </c>
      <c r="B7871" t="s">
        <v>531</v>
      </c>
      <c r="C7871">
        <v>421</v>
      </c>
      <c r="D7871">
        <v>457</v>
      </c>
      <c r="E7871">
        <v>0</v>
      </c>
      <c r="F7871">
        <v>142</v>
      </c>
      <c r="G7871">
        <v>0</v>
      </c>
      <c r="H7871" t="s">
        <v>12790</v>
      </c>
      <c r="I7871">
        <v>8841</v>
      </c>
      <c r="J7871" t="e">
        <f>VLOOKUP(E7871,DSSpieler!A:B,2,FALSE)</f>
        <v>#N/A</v>
      </c>
    </row>
    <row r="7872" spans="1:10" x14ac:dyDescent="0.25">
      <c r="A7872">
        <v>8842</v>
      </c>
      <c r="B7872" t="s">
        <v>531</v>
      </c>
      <c r="C7872">
        <v>437</v>
      </c>
      <c r="D7872">
        <v>431</v>
      </c>
      <c r="E7872">
        <v>0</v>
      </c>
      <c r="F7872">
        <v>283</v>
      </c>
      <c r="G7872">
        <v>0</v>
      </c>
      <c r="H7872" t="s">
        <v>12791</v>
      </c>
      <c r="I7872">
        <v>8842</v>
      </c>
      <c r="J7872" t="e">
        <f>VLOOKUP(E7872,DSSpieler!A:B,2,FALSE)</f>
        <v>#N/A</v>
      </c>
    </row>
    <row r="7873" spans="1:10" x14ac:dyDescent="0.25">
      <c r="A7873">
        <v>8843</v>
      </c>
      <c r="B7873" t="s">
        <v>531</v>
      </c>
      <c r="C7873">
        <v>521</v>
      </c>
      <c r="D7873">
        <v>412</v>
      </c>
      <c r="E7873">
        <v>0</v>
      </c>
      <c r="F7873">
        <v>248</v>
      </c>
      <c r="G7873">
        <v>0</v>
      </c>
      <c r="H7873" t="s">
        <v>12792</v>
      </c>
      <c r="I7873">
        <v>8843</v>
      </c>
      <c r="J7873" t="e">
        <f>VLOOKUP(E7873,DSSpieler!A:B,2,FALSE)</f>
        <v>#N/A</v>
      </c>
    </row>
    <row r="7874" spans="1:10" x14ac:dyDescent="0.25">
      <c r="A7874">
        <v>8844</v>
      </c>
      <c r="B7874" t="s">
        <v>1745</v>
      </c>
      <c r="C7874">
        <v>590</v>
      </c>
      <c r="D7874">
        <v>487</v>
      </c>
      <c r="E7874">
        <v>1577194428</v>
      </c>
      <c r="F7874">
        <v>1115</v>
      </c>
      <c r="G7874">
        <v>0</v>
      </c>
      <c r="H7874" t="s">
        <v>12793</v>
      </c>
      <c r="I7874">
        <v>8844</v>
      </c>
      <c r="J7874" t="str">
        <f>VLOOKUP(E7874,DSSpieler!A:B,2,FALSE)</f>
        <v>kleineLotti</v>
      </c>
    </row>
    <row r="7875" spans="1:10" x14ac:dyDescent="0.25">
      <c r="A7875">
        <v>8845</v>
      </c>
      <c r="B7875" t="s">
        <v>531</v>
      </c>
      <c r="C7875">
        <v>402</v>
      </c>
      <c r="D7875">
        <v>456</v>
      </c>
      <c r="E7875">
        <v>0</v>
      </c>
      <c r="F7875">
        <v>235</v>
      </c>
      <c r="G7875">
        <v>0</v>
      </c>
      <c r="H7875" t="s">
        <v>12794</v>
      </c>
      <c r="I7875">
        <v>8845</v>
      </c>
      <c r="J7875" t="e">
        <f>VLOOKUP(E7875,DSSpieler!A:B,2,FALSE)</f>
        <v>#N/A</v>
      </c>
    </row>
    <row r="7876" spans="1:10" x14ac:dyDescent="0.25">
      <c r="A7876">
        <v>8846</v>
      </c>
      <c r="B7876" t="s">
        <v>33438</v>
      </c>
      <c r="C7876">
        <v>569</v>
      </c>
      <c r="D7876">
        <v>558</v>
      </c>
      <c r="E7876">
        <v>532123</v>
      </c>
      <c r="F7876">
        <v>3735</v>
      </c>
      <c r="G7876">
        <v>0</v>
      </c>
      <c r="H7876" t="s">
        <v>12795</v>
      </c>
      <c r="I7876">
        <v>8846</v>
      </c>
      <c r="J7876" t="str">
        <f>VLOOKUP(E7876,DSSpieler!A:B,2,FALSE)</f>
        <v>doenges-team</v>
      </c>
    </row>
    <row r="7877" spans="1:10" x14ac:dyDescent="0.25">
      <c r="A7877">
        <v>8847</v>
      </c>
      <c r="B7877" t="s">
        <v>531</v>
      </c>
      <c r="C7877">
        <v>515</v>
      </c>
      <c r="D7877">
        <v>409</v>
      </c>
      <c r="E7877">
        <v>0</v>
      </c>
      <c r="F7877">
        <v>155</v>
      </c>
      <c r="G7877">
        <v>0</v>
      </c>
      <c r="H7877" t="s">
        <v>12796</v>
      </c>
      <c r="I7877">
        <v>8847</v>
      </c>
      <c r="J7877" t="e">
        <f>VLOOKUP(E7877,DSSpieler!A:B,2,FALSE)</f>
        <v>#N/A</v>
      </c>
    </row>
    <row r="7878" spans="1:10" x14ac:dyDescent="0.25">
      <c r="A7878">
        <v>8849</v>
      </c>
      <c r="B7878" t="s">
        <v>531</v>
      </c>
      <c r="C7878">
        <v>416</v>
      </c>
      <c r="D7878">
        <v>542</v>
      </c>
      <c r="E7878">
        <v>0</v>
      </c>
      <c r="F7878">
        <v>207</v>
      </c>
      <c r="G7878">
        <v>0</v>
      </c>
      <c r="H7878" t="s">
        <v>12797</v>
      </c>
      <c r="I7878">
        <v>8849</v>
      </c>
      <c r="J7878" t="e">
        <f>VLOOKUP(E7878,DSSpieler!A:B,2,FALSE)</f>
        <v>#N/A</v>
      </c>
    </row>
    <row r="7879" spans="1:10" x14ac:dyDescent="0.25">
      <c r="A7879">
        <v>8850</v>
      </c>
      <c r="B7879" t="s">
        <v>531</v>
      </c>
      <c r="C7879">
        <v>529</v>
      </c>
      <c r="D7879">
        <v>412</v>
      </c>
      <c r="E7879">
        <v>0</v>
      </c>
      <c r="F7879">
        <v>230</v>
      </c>
      <c r="G7879">
        <v>0</v>
      </c>
      <c r="H7879" t="s">
        <v>12798</v>
      </c>
      <c r="I7879">
        <v>8850</v>
      </c>
      <c r="J7879" t="e">
        <f>VLOOKUP(E7879,DSSpieler!A:B,2,FALSE)</f>
        <v>#N/A</v>
      </c>
    </row>
    <row r="7880" spans="1:10" x14ac:dyDescent="0.25">
      <c r="A7880">
        <v>8851</v>
      </c>
      <c r="B7880" t="s">
        <v>33439</v>
      </c>
      <c r="C7880">
        <v>547</v>
      </c>
      <c r="D7880">
        <v>421</v>
      </c>
      <c r="E7880">
        <v>1576197248</v>
      </c>
      <c r="F7880">
        <v>2384</v>
      </c>
      <c r="G7880">
        <v>0</v>
      </c>
      <c r="H7880" t="s">
        <v>12799</v>
      </c>
      <c r="I7880">
        <v>8851</v>
      </c>
      <c r="J7880" t="str">
        <f>VLOOKUP(E7880,DSSpieler!A:B,2,FALSE)</f>
        <v>BlackDestroyers</v>
      </c>
    </row>
    <row r="7881" spans="1:10" x14ac:dyDescent="0.25">
      <c r="A7881">
        <v>8852</v>
      </c>
      <c r="B7881" t="s">
        <v>531</v>
      </c>
      <c r="C7881">
        <v>421</v>
      </c>
      <c r="D7881">
        <v>548</v>
      </c>
      <c r="E7881">
        <v>0</v>
      </c>
      <c r="F7881">
        <v>323</v>
      </c>
      <c r="G7881">
        <v>0</v>
      </c>
      <c r="H7881" t="s">
        <v>12800</v>
      </c>
      <c r="I7881">
        <v>8852</v>
      </c>
      <c r="J7881" t="e">
        <f>VLOOKUP(E7881,DSSpieler!A:B,2,FALSE)</f>
        <v>#N/A</v>
      </c>
    </row>
    <row r="7882" spans="1:10" x14ac:dyDescent="0.25">
      <c r="A7882">
        <v>8853</v>
      </c>
      <c r="B7882" t="s">
        <v>531</v>
      </c>
      <c r="C7882">
        <v>589</v>
      </c>
      <c r="D7882">
        <v>522</v>
      </c>
      <c r="E7882">
        <v>0</v>
      </c>
      <c r="F7882">
        <v>311</v>
      </c>
      <c r="G7882">
        <v>0</v>
      </c>
      <c r="H7882" t="s">
        <v>12801</v>
      </c>
      <c r="I7882">
        <v>8853</v>
      </c>
      <c r="J7882" t="e">
        <f>VLOOKUP(E7882,DSSpieler!A:B,2,FALSE)</f>
        <v>#N/A</v>
      </c>
    </row>
    <row r="7883" spans="1:10" x14ac:dyDescent="0.25">
      <c r="A7883">
        <v>8854</v>
      </c>
      <c r="B7883" t="s">
        <v>531</v>
      </c>
      <c r="C7883">
        <v>423</v>
      </c>
      <c r="D7883">
        <v>448</v>
      </c>
      <c r="E7883">
        <v>0</v>
      </c>
      <c r="F7883">
        <v>671</v>
      </c>
      <c r="G7883">
        <v>0</v>
      </c>
      <c r="H7883" t="s">
        <v>12802</v>
      </c>
      <c r="I7883">
        <v>8854</v>
      </c>
      <c r="J7883" t="e">
        <f>VLOOKUP(E7883,DSSpieler!A:B,2,FALSE)</f>
        <v>#N/A</v>
      </c>
    </row>
    <row r="7884" spans="1:10" x14ac:dyDescent="0.25">
      <c r="A7884">
        <v>8855</v>
      </c>
      <c r="B7884" t="s">
        <v>531</v>
      </c>
      <c r="C7884">
        <v>533</v>
      </c>
      <c r="D7884">
        <v>416</v>
      </c>
      <c r="E7884">
        <v>0</v>
      </c>
      <c r="F7884">
        <v>246</v>
      </c>
      <c r="G7884">
        <v>0</v>
      </c>
      <c r="H7884" t="s">
        <v>12803</v>
      </c>
      <c r="I7884">
        <v>8855</v>
      </c>
      <c r="J7884" t="e">
        <f>VLOOKUP(E7884,DSSpieler!A:B,2,FALSE)</f>
        <v>#N/A</v>
      </c>
    </row>
    <row r="7885" spans="1:10" x14ac:dyDescent="0.25">
      <c r="A7885">
        <v>8856</v>
      </c>
      <c r="B7885" t="s">
        <v>531</v>
      </c>
      <c r="C7885">
        <v>574</v>
      </c>
      <c r="D7885">
        <v>550</v>
      </c>
      <c r="E7885">
        <v>0</v>
      </c>
      <c r="F7885">
        <v>228</v>
      </c>
      <c r="G7885">
        <v>0</v>
      </c>
      <c r="H7885" t="s">
        <v>12804</v>
      </c>
      <c r="I7885">
        <v>8856</v>
      </c>
      <c r="J7885" t="e">
        <f>VLOOKUP(E7885,DSSpieler!A:B,2,FALSE)</f>
        <v>#N/A</v>
      </c>
    </row>
    <row r="7886" spans="1:10" x14ac:dyDescent="0.25">
      <c r="A7886">
        <v>8858</v>
      </c>
      <c r="B7886">
        <v>3</v>
      </c>
      <c r="C7886">
        <v>560</v>
      </c>
      <c r="D7886">
        <v>457</v>
      </c>
      <c r="E7886">
        <v>7591160</v>
      </c>
      <c r="F7886">
        <v>4150</v>
      </c>
      <c r="G7886">
        <v>0</v>
      </c>
      <c r="H7886" t="s">
        <v>12805</v>
      </c>
      <c r="I7886">
        <v>8858</v>
      </c>
      <c r="J7886" t="str">
        <f>VLOOKUP(E7886,DSSpieler!A:B,2,FALSE)</f>
        <v>Schmunzelmonster</v>
      </c>
    </row>
    <row r="7887" spans="1:10" x14ac:dyDescent="0.25">
      <c r="A7887">
        <v>8859</v>
      </c>
      <c r="B7887" t="s">
        <v>531</v>
      </c>
      <c r="C7887">
        <v>558</v>
      </c>
      <c r="D7887">
        <v>430</v>
      </c>
      <c r="E7887">
        <v>0</v>
      </c>
      <c r="F7887">
        <v>184</v>
      </c>
      <c r="G7887">
        <v>0</v>
      </c>
      <c r="H7887" t="s">
        <v>12806</v>
      </c>
      <c r="I7887">
        <v>8859</v>
      </c>
      <c r="J7887" t="e">
        <f>VLOOKUP(E7887,DSSpieler!A:B,2,FALSE)</f>
        <v>#N/A</v>
      </c>
    </row>
    <row r="7888" spans="1:10" x14ac:dyDescent="0.25">
      <c r="A7888">
        <v>8861</v>
      </c>
      <c r="B7888" t="s">
        <v>531</v>
      </c>
      <c r="C7888">
        <v>436</v>
      </c>
      <c r="D7888">
        <v>565</v>
      </c>
      <c r="E7888">
        <v>0</v>
      </c>
      <c r="F7888">
        <v>203</v>
      </c>
      <c r="G7888">
        <v>0</v>
      </c>
      <c r="H7888" t="s">
        <v>12807</v>
      </c>
      <c r="I7888">
        <v>8861</v>
      </c>
      <c r="J7888" t="e">
        <f>VLOOKUP(E7888,DSSpieler!A:B,2,FALSE)</f>
        <v>#N/A</v>
      </c>
    </row>
    <row r="7889" spans="1:10" x14ac:dyDescent="0.25">
      <c r="A7889">
        <v>8862</v>
      </c>
      <c r="B7889" t="s">
        <v>531</v>
      </c>
      <c r="C7889">
        <v>433</v>
      </c>
      <c r="D7889">
        <v>436</v>
      </c>
      <c r="E7889">
        <v>0</v>
      </c>
      <c r="F7889">
        <v>288</v>
      </c>
      <c r="G7889">
        <v>0</v>
      </c>
      <c r="H7889" t="s">
        <v>12808</v>
      </c>
      <c r="I7889">
        <v>8862</v>
      </c>
      <c r="J7889" t="e">
        <f>VLOOKUP(E7889,DSSpieler!A:B,2,FALSE)</f>
        <v>#N/A</v>
      </c>
    </row>
    <row r="7890" spans="1:10" x14ac:dyDescent="0.25">
      <c r="A7890">
        <v>8863</v>
      </c>
      <c r="B7890" t="s">
        <v>531</v>
      </c>
      <c r="C7890">
        <v>590</v>
      </c>
      <c r="D7890">
        <v>475</v>
      </c>
      <c r="E7890">
        <v>0</v>
      </c>
      <c r="F7890">
        <v>379</v>
      </c>
      <c r="G7890">
        <v>0</v>
      </c>
      <c r="H7890" t="s">
        <v>12809</v>
      </c>
      <c r="I7890">
        <v>8863</v>
      </c>
      <c r="J7890" t="e">
        <f>VLOOKUP(E7890,DSSpieler!A:B,2,FALSE)</f>
        <v>#N/A</v>
      </c>
    </row>
    <row r="7891" spans="1:10" x14ac:dyDescent="0.25">
      <c r="A7891">
        <v>8864</v>
      </c>
      <c r="B7891" t="s">
        <v>531</v>
      </c>
      <c r="C7891">
        <v>581</v>
      </c>
      <c r="D7891">
        <v>543</v>
      </c>
      <c r="E7891">
        <v>0</v>
      </c>
      <c r="F7891">
        <v>488</v>
      </c>
      <c r="G7891">
        <v>0</v>
      </c>
      <c r="H7891" t="s">
        <v>12810</v>
      </c>
      <c r="I7891">
        <v>8864</v>
      </c>
      <c r="J7891" t="e">
        <f>VLOOKUP(E7891,DSSpieler!A:B,2,FALSE)</f>
        <v>#N/A</v>
      </c>
    </row>
    <row r="7892" spans="1:10" x14ac:dyDescent="0.25">
      <c r="A7892">
        <v>8865</v>
      </c>
      <c r="B7892" t="s">
        <v>531</v>
      </c>
      <c r="C7892">
        <v>410</v>
      </c>
      <c r="D7892">
        <v>525</v>
      </c>
      <c r="E7892">
        <v>0</v>
      </c>
      <c r="F7892">
        <v>317</v>
      </c>
      <c r="G7892">
        <v>0</v>
      </c>
      <c r="H7892" t="s">
        <v>12811</v>
      </c>
      <c r="I7892">
        <v>8865</v>
      </c>
      <c r="J7892" t="e">
        <f>VLOOKUP(E7892,DSSpieler!A:B,2,FALSE)</f>
        <v>#N/A</v>
      </c>
    </row>
    <row r="7893" spans="1:10" x14ac:dyDescent="0.25">
      <c r="A7893">
        <v>8866</v>
      </c>
      <c r="B7893" t="s">
        <v>531</v>
      </c>
      <c r="C7893">
        <v>576</v>
      </c>
      <c r="D7893">
        <v>552</v>
      </c>
      <c r="E7893">
        <v>0</v>
      </c>
      <c r="F7893">
        <v>229</v>
      </c>
      <c r="G7893">
        <v>0</v>
      </c>
      <c r="H7893" t="s">
        <v>12812</v>
      </c>
      <c r="I7893">
        <v>8866</v>
      </c>
      <c r="J7893" t="e">
        <f>VLOOKUP(E7893,DSSpieler!A:B,2,FALSE)</f>
        <v>#N/A</v>
      </c>
    </row>
    <row r="7894" spans="1:10" x14ac:dyDescent="0.25">
      <c r="A7894">
        <v>8867</v>
      </c>
      <c r="B7894" t="s">
        <v>531</v>
      </c>
      <c r="C7894">
        <v>523</v>
      </c>
      <c r="D7894">
        <v>410</v>
      </c>
      <c r="E7894">
        <v>0</v>
      </c>
      <c r="F7894">
        <v>218</v>
      </c>
      <c r="G7894">
        <v>0</v>
      </c>
      <c r="H7894" t="s">
        <v>12813</v>
      </c>
      <c r="I7894">
        <v>8867</v>
      </c>
      <c r="J7894" t="e">
        <f>VLOOKUP(E7894,DSSpieler!A:B,2,FALSE)</f>
        <v>#N/A</v>
      </c>
    </row>
    <row r="7895" spans="1:10" x14ac:dyDescent="0.25">
      <c r="A7895">
        <v>8868</v>
      </c>
      <c r="B7895">
        <v>1</v>
      </c>
      <c r="C7895">
        <v>588</v>
      </c>
      <c r="D7895">
        <v>479</v>
      </c>
      <c r="E7895">
        <v>1577150007</v>
      </c>
      <c r="F7895">
        <v>3359</v>
      </c>
      <c r="G7895">
        <v>0</v>
      </c>
      <c r="H7895" t="s">
        <v>12814</v>
      </c>
      <c r="I7895">
        <v>8868</v>
      </c>
      <c r="J7895" t="str">
        <f>VLOOKUP(E7895,DSSpieler!A:B,2,FALSE)</f>
        <v>icomeiwin</v>
      </c>
    </row>
    <row r="7896" spans="1:10" x14ac:dyDescent="0.25">
      <c r="A7896">
        <v>8869</v>
      </c>
      <c r="B7896" t="s">
        <v>531</v>
      </c>
      <c r="C7896">
        <v>417</v>
      </c>
      <c r="D7896">
        <v>464</v>
      </c>
      <c r="E7896">
        <v>0</v>
      </c>
      <c r="F7896">
        <v>205</v>
      </c>
      <c r="G7896">
        <v>0</v>
      </c>
      <c r="H7896" t="s">
        <v>12815</v>
      </c>
      <c r="I7896">
        <v>8869</v>
      </c>
      <c r="J7896" t="e">
        <f>VLOOKUP(E7896,DSSpieler!A:B,2,FALSE)</f>
        <v>#N/A</v>
      </c>
    </row>
    <row r="7897" spans="1:10" x14ac:dyDescent="0.25">
      <c r="A7897">
        <v>8870</v>
      </c>
      <c r="B7897" t="s">
        <v>531</v>
      </c>
      <c r="C7897">
        <v>412</v>
      </c>
      <c r="D7897">
        <v>532</v>
      </c>
      <c r="E7897">
        <v>0</v>
      </c>
      <c r="F7897">
        <v>788</v>
      </c>
      <c r="G7897">
        <v>0</v>
      </c>
      <c r="H7897" t="s">
        <v>12816</v>
      </c>
      <c r="I7897">
        <v>8870</v>
      </c>
      <c r="J7897" t="e">
        <f>VLOOKUP(E7897,DSSpieler!A:B,2,FALSE)</f>
        <v>#N/A</v>
      </c>
    </row>
    <row r="7898" spans="1:10" x14ac:dyDescent="0.25">
      <c r="A7898">
        <v>8871</v>
      </c>
      <c r="B7898" t="s">
        <v>531</v>
      </c>
      <c r="C7898">
        <v>586</v>
      </c>
      <c r="D7898">
        <v>472</v>
      </c>
      <c r="E7898">
        <v>0</v>
      </c>
      <c r="F7898">
        <v>228</v>
      </c>
      <c r="G7898">
        <v>0</v>
      </c>
      <c r="H7898" t="s">
        <v>12817</v>
      </c>
      <c r="I7898">
        <v>8871</v>
      </c>
      <c r="J7898" t="e">
        <f>VLOOKUP(E7898,DSSpieler!A:B,2,FALSE)</f>
        <v>#N/A</v>
      </c>
    </row>
    <row r="7899" spans="1:10" x14ac:dyDescent="0.25">
      <c r="A7899">
        <v>8872</v>
      </c>
      <c r="B7899" t="s">
        <v>531</v>
      </c>
      <c r="C7899">
        <v>532</v>
      </c>
      <c r="D7899">
        <v>587</v>
      </c>
      <c r="E7899">
        <v>0</v>
      </c>
      <c r="F7899">
        <v>388</v>
      </c>
      <c r="G7899">
        <v>0</v>
      </c>
      <c r="H7899" t="s">
        <v>12818</v>
      </c>
      <c r="I7899">
        <v>8872</v>
      </c>
      <c r="J7899" t="e">
        <f>VLOOKUP(E7899,DSSpieler!A:B,2,FALSE)</f>
        <v>#N/A</v>
      </c>
    </row>
    <row r="7900" spans="1:10" x14ac:dyDescent="0.25">
      <c r="A7900">
        <v>8873</v>
      </c>
      <c r="B7900" t="s">
        <v>531</v>
      </c>
      <c r="C7900">
        <v>589</v>
      </c>
      <c r="D7900">
        <v>472</v>
      </c>
      <c r="E7900">
        <v>0</v>
      </c>
      <c r="F7900">
        <v>373</v>
      </c>
      <c r="G7900">
        <v>0</v>
      </c>
      <c r="H7900" t="s">
        <v>12819</v>
      </c>
      <c r="I7900">
        <v>8873</v>
      </c>
      <c r="J7900" t="e">
        <f>VLOOKUP(E7900,DSSpieler!A:B,2,FALSE)</f>
        <v>#N/A</v>
      </c>
    </row>
    <row r="7901" spans="1:10" x14ac:dyDescent="0.25">
      <c r="A7901">
        <v>8874</v>
      </c>
      <c r="B7901" t="s">
        <v>531</v>
      </c>
      <c r="C7901">
        <v>589</v>
      </c>
      <c r="D7901">
        <v>481</v>
      </c>
      <c r="E7901">
        <v>0</v>
      </c>
      <c r="F7901">
        <v>435</v>
      </c>
      <c r="G7901">
        <v>0</v>
      </c>
      <c r="H7901" t="s">
        <v>12820</v>
      </c>
      <c r="I7901">
        <v>8874</v>
      </c>
      <c r="J7901" t="e">
        <f>VLOOKUP(E7901,DSSpieler!A:B,2,FALSE)</f>
        <v>#N/A</v>
      </c>
    </row>
    <row r="7902" spans="1:10" x14ac:dyDescent="0.25">
      <c r="A7902">
        <v>8875</v>
      </c>
      <c r="B7902" t="s">
        <v>33440</v>
      </c>
      <c r="C7902">
        <v>459</v>
      </c>
      <c r="D7902">
        <v>436</v>
      </c>
      <c r="E7902">
        <v>1577197767</v>
      </c>
      <c r="F7902">
        <v>5196</v>
      </c>
      <c r="G7902">
        <v>0</v>
      </c>
      <c r="H7902" t="s">
        <v>12821</v>
      </c>
      <c r="I7902">
        <v>8875</v>
      </c>
      <c r="J7902" t="str">
        <f>VLOOKUP(E7902,DSSpieler!A:B,2,FALSE)</f>
        <v>domsen123</v>
      </c>
    </row>
    <row r="7903" spans="1:10" x14ac:dyDescent="0.25">
      <c r="A7903">
        <v>8876</v>
      </c>
      <c r="B7903" t="s">
        <v>1746</v>
      </c>
      <c r="C7903">
        <v>592</v>
      </c>
      <c r="D7903">
        <v>484</v>
      </c>
      <c r="E7903">
        <v>1577195911</v>
      </c>
      <c r="F7903">
        <v>5967</v>
      </c>
      <c r="G7903">
        <v>0</v>
      </c>
      <c r="H7903" t="s">
        <v>12822</v>
      </c>
      <c r="I7903">
        <v>8876</v>
      </c>
      <c r="J7903" t="str">
        <f>VLOOKUP(E7903,DSSpieler!A:B,2,FALSE)</f>
        <v>tosch99</v>
      </c>
    </row>
    <row r="7904" spans="1:10" x14ac:dyDescent="0.25">
      <c r="A7904">
        <v>8877</v>
      </c>
      <c r="B7904" t="s">
        <v>531</v>
      </c>
      <c r="C7904">
        <v>561</v>
      </c>
      <c r="D7904">
        <v>432</v>
      </c>
      <c r="E7904">
        <v>0</v>
      </c>
      <c r="F7904">
        <v>243</v>
      </c>
      <c r="G7904">
        <v>0</v>
      </c>
      <c r="H7904" t="s">
        <v>12823</v>
      </c>
      <c r="I7904">
        <v>8877</v>
      </c>
      <c r="J7904" t="e">
        <f>VLOOKUP(E7904,DSSpieler!A:B,2,FALSE)</f>
        <v>#N/A</v>
      </c>
    </row>
    <row r="7905" spans="1:10" x14ac:dyDescent="0.25">
      <c r="A7905">
        <v>8878</v>
      </c>
      <c r="B7905" t="s">
        <v>531</v>
      </c>
      <c r="C7905">
        <v>475</v>
      </c>
      <c r="D7905">
        <v>587</v>
      </c>
      <c r="E7905">
        <v>0</v>
      </c>
      <c r="F7905">
        <v>167</v>
      </c>
      <c r="G7905">
        <v>0</v>
      </c>
      <c r="H7905" t="s">
        <v>12824</v>
      </c>
      <c r="I7905">
        <v>8878</v>
      </c>
      <c r="J7905" t="e">
        <f>VLOOKUP(E7905,DSSpieler!A:B,2,FALSE)</f>
        <v>#N/A</v>
      </c>
    </row>
    <row r="7906" spans="1:10" x14ac:dyDescent="0.25">
      <c r="A7906">
        <v>8879</v>
      </c>
      <c r="B7906" t="s">
        <v>33441</v>
      </c>
      <c r="C7906">
        <v>562</v>
      </c>
      <c r="D7906">
        <v>436</v>
      </c>
      <c r="E7906">
        <v>1577195970</v>
      </c>
      <c r="F7906">
        <v>8206</v>
      </c>
      <c r="G7906">
        <v>0</v>
      </c>
      <c r="H7906" t="s">
        <v>12825</v>
      </c>
      <c r="I7906">
        <v>8879</v>
      </c>
      <c r="J7906" t="str">
        <f>VLOOKUP(E7906,DSSpieler!A:B,2,FALSE)</f>
        <v>bpm-junk</v>
      </c>
    </row>
    <row r="7907" spans="1:10" x14ac:dyDescent="0.25">
      <c r="A7907">
        <v>8880</v>
      </c>
      <c r="B7907" t="s">
        <v>531</v>
      </c>
      <c r="C7907">
        <v>436</v>
      </c>
      <c r="D7907">
        <v>568</v>
      </c>
      <c r="E7907">
        <v>0</v>
      </c>
      <c r="F7907">
        <v>278</v>
      </c>
      <c r="G7907">
        <v>0</v>
      </c>
      <c r="H7907" t="s">
        <v>12826</v>
      </c>
      <c r="I7907">
        <v>8880</v>
      </c>
      <c r="J7907" t="e">
        <f>VLOOKUP(E7907,DSSpieler!A:B,2,FALSE)</f>
        <v>#N/A</v>
      </c>
    </row>
    <row r="7908" spans="1:10" x14ac:dyDescent="0.25">
      <c r="A7908">
        <v>8881</v>
      </c>
      <c r="B7908" t="s">
        <v>531</v>
      </c>
      <c r="C7908">
        <v>413</v>
      </c>
      <c r="D7908">
        <v>536</v>
      </c>
      <c r="E7908">
        <v>0</v>
      </c>
      <c r="F7908">
        <v>103</v>
      </c>
      <c r="G7908">
        <v>0</v>
      </c>
      <c r="H7908" t="s">
        <v>12827</v>
      </c>
      <c r="I7908">
        <v>8881</v>
      </c>
      <c r="J7908" t="e">
        <f>VLOOKUP(E7908,DSSpieler!A:B,2,FALSE)</f>
        <v>#N/A</v>
      </c>
    </row>
    <row r="7909" spans="1:10" x14ac:dyDescent="0.25">
      <c r="A7909">
        <v>8883</v>
      </c>
      <c r="B7909" t="s">
        <v>531</v>
      </c>
      <c r="C7909">
        <v>587</v>
      </c>
      <c r="D7909">
        <v>472</v>
      </c>
      <c r="E7909">
        <v>1576931635</v>
      </c>
      <c r="F7909">
        <v>550</v>
      </c>
      <c r="G7909">
        <v>0</v>
      </c>
      <c r="H7909" t="s">
        <v>12828</v>
      </c>
      <c r="I7909">
        <v>8883</v>
      </c>
      <c r="J7909" t="str">
        <f>VLOOKUP(E7909,DSSpieler!A:B,2,FALSE)</f>
        <v>fabvo</v>
      </c>
    </row>
    <row r="7910" spans="1:10" x14ac:dyDescent="0.25">
      <c r="A7910">
        <v>8884</v>
      </c>
      <c r="B7910" t="s">
        <v>33442</v>
      </c>
      <c r="C7910">
        <v>483</v>
      </c>
      <c r="D7910">
        <v>409</v>
      </c>
      <c r="E7910">
        <v>1577196106</v>
      </c>
      <c r="F7910">
        <v>26</v>
      </c>
      <c r="G7910">
        <v>0</v>
      </c>
      <c r="H7910" t="s">
        <v>12829</v>
      </c>
      <c r="I7910">
        <v>8884</v>
      </c>
      <c r="J7910" t="str">
        <f>VLOOKUP(E7910,DSSpieler!A:B,2,FALSE)</f>
        <v>Fortuna88</v>
      </c>
    </row>
    <row r="7911" spans="1:10" x14ac:dyDescent="0.25">
      <c r="A7911">
        <v>8885</v>
      </c>
      <c r="B7911" t="s">
        <v>531</v>
      </c>
      <c r="C7911">
        <v>482</v>
      </c>
      <c r="D7911">
        <v>592</v>
      </c>
      <c r="E7911">
        <v>0</v>
      </c>
      <c r="F7911">
        <v>136</v>
      </c>
      <c r="G7911">
        <v>0</v>
      </c>
      <c r="H7911" t="s">
        <v>12830</v>
      </c>
      <c r="I7911">
        <v>8885</v>
      </c>
      <c r="J7911" t="e">
        <f>VLOOKUP(E7911,DSSpieler!A:B,2,FALSE)</f>
        <v>#N/A</v>
      </c>
    </row>
    <row r="7912" spans="1:10" x14ac:dyDescent="0.25">
      <c r="A7912">
        <v>8886</v>
      </c>
      <c r="B7912" t="s">
        <v>531</v>
      </c>
      <c r="C7912">
        <v>487</v>
      </c>
      <c r="D7912">
        <v>592</v>
      </c>
      <c r="E7912">
        <v>0</v>
      </c>
      <c r="F7912">
        <v>224</v>
      </c>
      <c r="G7912">
        <v>0</v>
      </c>
      <c r="H7912" t="s">
        <v>12831</v>
      </c>
      <c r="I7912">
        <v>8886</v>
      </c>
      <c r="J7912" t="e">
        <f>VLOOKUP(E7912,DSSpieler!A:B,2,FALSE)</f>
        <v>#N/A</v>
      </c>
    </row>
    <row r="7913" spans="1:10" x14ac:dyDescent="0.25">
      <c r="A7913">
        <v>8887</v>
      </c>
      <c r="B7913" t="s">
        <v>531</v>
      </c>
      <c r="C7913">
        <v>570</v>
      </c>
      <c r="D7913">
        <v>559</v>
      </c>
      <c r="E7913">
        <v>0</v>
      </c>
      <c r="F7913">
        <v>461</v>
      </c>
      <c r="G7913">
        <v>0</v>
      </c>
      <c r="H7913" t="s">
        <v>12832</v>
      </c>
      <c r="I7913">
        <v>8887</v>
      </c>
      <c r="J7913" t="e">
        <f>VLOOKUP(E7913,DSSpieler!A:B,2,FALSE)</f>
        <v>#N/A</v>
      </c>
    </row>
    <row r="7914" spans="1:10" x14ac:dyDescent="0.25">
      <c r="A7914">
        <v>8888</v>
      </c>
      <c r="B7914" t="s">
        <v>531</v>
      </c>
      <c r="C7914">
        <v>565</v>
      </c>
      <c r="D7914">
        <v>568</v>
      </c>
      <c r="E7914">
        <v>0</v>
      </c>
      <c r="F7914">
        <v>202</v>
      </c>
      <c r="G7914">
        <v>0</v>
      </c>
      <c r="H7914" t="s">
        <v>12833</v>
      </c>
      <c r="I7914">
        <v>8888</v>
      </c>
      <c r="J7914" t="e">
        <f>VLOOKUP(E7914,DSSpieler!A:B,2,FALSE)</f>
        <v>#N/A</v>
      </c>
    </row>
    <row r="7915" spans="1:10" x14ac:dyDescent="0.25">
      <c r="A7915">
        <v>8889</v>
      </c>
      <c r="B7915" t="s">
        <v>1747</v>
      </c>
      <c r="C7915">
        <v>409</v>
      </c>
      <c r="D7915">
        <v>494</v>
      </c>
      <c r="E7915">
        <v>8315602</v>
      </c>
      <c r="F7915">
        <v>4804</v>
      </c>
      <c r="G7915">
        <v>0</v>
      </c>
      <c r="H7915" t="s">
        <v>12834</v>
      </c>
      <c r="I7915">
        <v>8889</v>
      </c>
      <c r="J7915" t="str">
        <f>VLOOKUP(E7915,DSSpieler!A:B,2,FALSE)</f>
        <v>Maggesch</v>
      </c>
    </row>
    <row r="7916" spans="1:10" x14ac:dyDescent="0.25">
      <c r="A7916">
        <v>8890</v>
      </c>
      <c r="B7916" t="s">
        <v>33443</v>
      </c>
      <c r="C7916">
        <v>583</v>
      </c>
      <c r="D7916">
        <v>465</v>
      </c>
      <c r="E7916">
        <v>1577197941</v>
      </c>
      <c r="F7916">
        <v>4503</v>
      </c>
      <c r="G7916">
        <v>0</v>
      </c>
      <c r="H7916" t="s">
        <v>12835</v>
      </c>
      <c r="I7916">
        <v>8890</v>
      </c>
      <c r="J7916" t="str">
        <f>VLOOKUP(E7916,DSSpieler!A:B,2,FALSE)</f>
        <v>Copter</v>
      </c>
    </row>
    <row r="7917" spans="1:10" x14ac:dyDescent="0.25">
      <c r="A7917">
        <v>8891</v>
      </c>
      <c r="B7917" t="s">
        <v>531</v>
      </c>
      <c r="C7917">
        <v>505</v>
      </c>
      <c r="D7917">
        <v>407</v>
      </c>
      <c r="E7917">
        <v>0</v>
      </c>
      <c r="F7917">
        <v>139</v>
      </c>
      <c r="G7917">
        <v>0</v>
      </c>
      <c r="H7917" t="s">
        <v>12836</v>
      </c>
      <c r="I7917">
        <v>8891</v>
      </c>
      <c r="J7917" t="e">
        <f>VLOOKUP(E7917,DSSpieler!A:B,2,FALSE)</f>
        <v>#N/A</v>
      </c>
    </row>
    <row r="7918" spans="1:10" x14ac:dyDescent="0.25">
      <c r="A7918">
        <v>8892</v>
      </c>
      <c r="B7918" t="s">
        <v>531</v>
      </c>
      <c r="C7918">
        <v>409</v>
      </c>
      <c r="D7918">
        <v>491</v>
      </c>
      <c r="E7918">
        <v>0</v>
      </c>
      <c r="F7918">
        <v>251</v>
      </c>
      <c r="G7918">
        <v>0</v>
      </c>
      <c r="H7918" t="s">
        <v>12837</v>
      </c>
      <c r="I7918">
        <v>8892</v>
      </c>
      <c r="J7918" t="e">
        <f>VLOOKUP(E7918,DSSpieler!A:B,2,FALSE)</f>
        <v>#N/A</v>
      </c>
    </row>
    <row r="7919" spans="1:10" x14ac:dyDescent="0.25">
      <c r="A7919">
        <v>8893</v>
      </c>
      <c r="B7919" t="s">
        <v>33444</v>
      </c>
      <c r="C7919">
        <v>411</v>
      </c>
      <c r="D7919">
        <v>517</v>
      </c>
      <c r="E7919">
        <v>1577180918</v>
      </c>
      <c r="F7919">
        <v>5213</v>
      </c>
      <c r="G7919">
        <v>0</v>
      </c>
      <c r="H7919" t="s">
        <v>12838</v>
      </c>
      <c r="I7919">
        <v>8893</v>
      </c>
      <c r="J7919" t="str">
        <f>VLOOKUP(E7919,DSSpieler!A:B,2,FALSE)</f>
        <v>Elaysia</v>
      </c>
    </row>
    <row r="7920" spans="1:10" x14ac:dyDescent="0.25">
      <c r="A7920">
        <v>8894</v>
      </c>
      <c r="B7920" t="s">
        <v>531</v>
      </c>
      <c r="C7920">
        <v>557</v>
      </c>
      <c r="D7920">
        <v>429</v>
      </c>
      <c r="E7920">
        <v>0</v>
      </c>
      <c r="F7920">
        <v>267</v>
      </c>
      <c r="G7920">
        <v>0</v>
      </c>
      <c r="H7920" t="s">
        <v>12839</v>
      </c>
      <c r="I7920">
        <v>8894</v>
      </c>
      <c r="J7920" t="e">
        <f>VLOOKUP(E7920,DSSpieler!A:B,2,FALSE)</f>
        <v>#N/A</v>
      </c>
    </row>
    <row r="7921" spans="1:10" x14ac:dyDescent="0.25">
      <c r="A7921">
        <v>8896</v>
      </c>
      <c r="B7921" t="s">
        <v>531</v>
      </c>
      <c r="C7921">
        <v>566</v>
      </c>
      <c r="D7921">
        <v>435</v>
      </c>
      <c r="E7921">
        <v>0</v>
      </c>
      <c r="F7921">
        <v>281</v>
      </c>
      <c r="G7921">
        <v>0</v>
      </c>
      <c r="H7921" t="s">
        <v>12840</v>
      </c>
      <c r="I7921">
        <v>8896</v>
      </c>
      <c r="J7921" t="e">
        <f>VLOOKUP(E7921,DSSpieler!A:B,2,FALSE)</f>
        <v>#N/A</v>
      </c>
    </row>
    <row r="7922" spans="1:10" x14ac:dyDescent="0.25">
      <c r="A7922">
        <v>8897</v>
      </c>
      <c r="B7922" t="s">
        <v>531</v>
      </c>
      <c r="C7922">
        <v>482</v>
      </c>
      <c r="D7922">
        <v>408</v>
      </c>
      <c r="E7922">
        <v>0</v>
      </c>
      <c r="F7922">
        <v>182</v>
      </c>
      <c r="G7922">
        <v>0</v>
      </c>
      <c r="H7922" t="s">
        <v>12841</v>
      </c>
      <c r="I7922">
        <v>8897</v>
      </c>
      <c r="J7922" t="e">
        <f>VLOOKUP(E7922,DSSpieler!A:B,2,FALSE)</f>
        <v>#N/A</v>
      </c>
    </row>
    <row r="7923" spans="1:10" x14ac:dyDescent="0.25">
      <c r="A7923">
        <v>8899</v>
      </c>
      <c r="B7923" t="s">
        <v>531</v>
      </c>
      <c r="C7923">
        <v>549</v>
      </c>
      <c r="D7923">
        <v>577</v>
      </c>
      <c r="E7923">
        <v>0</v>
      </c>
      <c r="F7923">
        <v>361</v>
      </c>
      <c r="G7923">
        <v>0</v>
      </c>
      <c r="H7923" t="s">
        <v>12842</v>
      </c>
      <c r="I7923">
        <v>8899</v>
      </c>
      <c r="J7923" t="e">
        <f>VLOOKUP(E7923,DSSpieler!A:B,2,FALSE)</f>
        <v>#N/A</v>
      </c>
    </row>
    <row r="7924" spans="1:10" x14ac:dyDescent="0.25">
      <c r="A7924">
        <v>8900</v>
      </c>
      <c r="B7924" t="s">
        <v>531</v>
      </c>
      <c r="C7924">
        <v>523</v>
      </c>
      <c r="D7924">
        <v>591</v>
      </c>
      <c r="E7924">
        <v>0</v>
      </c>
      <c r="F7924">
        <v>172</v>
      </c>
      <c r="G7924">
        <v>0</v>
      </c>
      <c r="H7924" t="s">
        <v>12843</v>
      </c>
      <c r="I7924">
        <v>8900</v>
      </c>
      <c r="J7924" t="e">
        <f>VLOOKUP(E7924,DSSpieler!A:B,2,FALSE)</f>
        <v>#N/A</v>
      </c>
    </row>
    <row r="7925" spans="1:10" x14ac:dyDescent="0.25">
      <c r="A7925">
        <v>8901</v>
      </c>
      <c r="B7925" t="s">
        <v>531</v>
      </c>
      <c r="C7925">
        <v>592</v>
      </c>
      <c r="D7925">
        <v>488</v>
      </c>
      <c r="E7925">
        <v>0</v>
      </c>
      <c r="F7925">
        <v>236</v>
      </c>
      <c r="G7925">
        <v>0</v>
      </c>
      <c r="H7925" t="s">
        <v>12844</v>
      </c>
      <c r="I7925">
        <v>8901</v>
      </c>
      <c r="J7925" t="e">
        <f>VLOOKUP(E7925,DSSpieler!A:B,2,FALSE)</f>
        <v>#N/A</v>
      </c>
    </row>
    <row r="7926" spans="1:10" x14ac:dyDescent="0.25">
      <c r="A7926">
        <v>8902</v>
      </c>
      <c r="B7926" t="s">
        <v>531</v>
      </c>
      <c r="C7926">
        <v>547</v>
      </c>
      <c r="D7926">
        <v>422</v>
      </c>
      <c r="E7926">
        <v>0</v>
      </c>
      <c r="F7926">
        <v>434</v>
      </c>
      <c r="G7926">
        <v>0</v>
      </c>
      <c r="H7926" t="s">
        <v>12845</v>
      </c>
      <c r="I7926">
        <v>8902</v>
      </c>
      <c r="J7926" t="e">
        <f>VLOOKUP(E7926,DSSpieler!A:B,2,FALSE)</f>
        <v>#N/A</v>
      </c>
    </row>
    <row r="7927" spans="1:10" x14ac:dyDescent="0.25">
      <c r="A7927">
        <v>8903</v>
      </c>
      <c r="B7927" t="s">
        <v>33445</v>
      </c>
      <c r="C7927">
        <v>553</v>
      </c>
      <c r="D7927">
        <v>578</v>
      </c>
      <c r="E7927">
        <v>1577196756</v>
      </c>
      <c r="F7927">
        <v>314</v>
      </c>
      <c r="G7927">
        <v>0</v>
      </c>
      <c r="H7927" t="s">
        <v>12846</v>
      </c>
      <c r="I7927">
        <v>8903</v>
      </c>
      <c r="J7927" t="str">
        <f>VLOOKUP(E7927,DSSpieler!A:B,2,FALSE)</f>
        <v>Zimpi</v>
      </c>
    </row>
    <row r="7928" spans="1:10" x14ac:dyDescent="0.25">
      <c r="A7928">
        <v>8904</v>
      </c>
      <c r="B7928" t="s">
        <v>531</v>
      </c>
      <c r="C7928">
        <v>418</v>
      </c>
      <c r="D7928">
        <v>458</v>
      </c>
      <c r="E7928">
        <v>0</v>
      </c>
      <c r="F7928">
        <v>242</v>
      </c>
      <c r="G7928">
        <v>0</v>
      </c>
      <c r="H7928" t="s">
        <v>12847</v>
      </c>
      <c r="I7928">
        <v>8904</v>
      </c>
      <c r="J7928" t="e">
        <f>VLOOKUP(E7928,DSSpieler!A:B,2,FALSE)</f>
        <v>#N/A</v>
      </c>
    </row>
    <row r="7929" spans="1:10" x14ac:dyDescent="0.25">
      <c r="A7929">
        <v>8905</v>
      </c>
      <c r="B7929" t="s">
        <v>531</v>
      </c>
      <c r="C7929">
        <v>578</v>
      </c>
      <c r="D7929">
        <v>553</v>
      </c>
      <c r="E7929">
        <v>0</v>
      </c>
      <c r="F7929">
        <v>212</v>
      </c>
      <c r="G7929">
        <v>0</v>
      </c>
      <c r="H7929" t="s">
        <v>12848</v>
      </c>
      <c r="I7929">
        <v>8905</v>
      </c>
      <c r="J7929" t="e">
        <f>VLOOKUP(E7929,DSSpieler!A:B,2,FALSE)</f>
        <v>#N/A</v>
      </c>
    </row>
    <row r="7930" spans="1:10" x14ac:dyDescent="0.25">
      <c r="A7930">
        <v>8908</v>
      </c>
      <c r="B7930" t="s">
        <v>531</v>
      </c>
      <c r="C7930">
        <v>587</v>
      </c>
      <c r="D7930">
        <v>533</v>
      </c>
      <c r="E7930">
        <v>0</v>
      </c>
      <c r="F7930">
        <v>358</v>
      </c>
      <c r="G7930">
        <v>0</v>
      </c>
      <c r="H7930" t="s">
        <v>12849</v>
      </c>
      <c r="I7930">
        <v>8908</v>
      </c>
      <c r="J7930" t="e">
        <f>VLOOKUP(E7930,DSSpieler!A:B,2,FALSE)</f>
        <v>#N/A</v>
      </c>
    </row>
    <row r="7931" spans="1:10" x14ac:dyDescent="0.25">
      <c r="A7931">
        <v>8909</v>
      </c>
      <c r="B7931" t="s">
        <v>531</v>
      </c>
      <c r="C7931">
        <v>443</v>
      </c>
      <c r="D7931">
        <v>430</v>
      </c>
      <c r="E7931">
        <v>0</v>
      </c>
      <c r="F7931">
        <v>250</v>
      </c>
      <c r="G7931">
        <v>0</v>
      </c>
      <c r="H7931" t="s">
        <v>12850</v>
      </c>
      <c r="I7931">
        <v>8909</v>
      </c>
      <c r="J7931" t="e">
        <f>VLOOKUP(E7931,DSSpieler!A:B,2,FALSE)</f>
        <v>#N/A</v>
      </c>
    </row>
    <row r="7932" spans="1:10" x14ac:dyDescent="0.25">
      <c r="A7932">
        <v>8910</v>
      </c>
      <c r="B7932" t="s">
        <v>531</v>
      </c>
      <c r="C7932">
        <v>428</v>
      </c>
      <c r="D7932">
        <v>441</v>
      </c>
      <c r="E7932">
        <v>9474313</v>
      </c>
      <c r="F7932">
        <v>540</v>
      </c>
      <c r="G7932">
        <v>0</v>
      </c>
      <c r="H7932" t="s">
        <v>12851</v>
      </c>
      <c r="I7932">
        <v>8910</v>
      </c>
      <c r="J7932" t="str">
        <f>VLOOKUP(E7932,DSSpieler!A:B,2,FALSE)</f>
        <v>VOSSI der Große</v>
      </c>
    </row>
    <row r="7933" spans="1:10" x14ac:dyDescent="0.25">
      <c r="A7933">
        <v>8911</v>
      </c>
      <c r="B7933" t="s">
        <v>531</v>
      </c>
      <c r="C7933">
        <v>575</v>
      </c>
      <c r="D7933">
        <v>550</v>
      </c>
      <c r="E7933">
        <v>0</v>
      </c>
      <c r="F7933">
        <v>335</v>
      </c>
      <c r="G7933">
        <v>0</v>
      </c>
      <c r="H7933" t="s">
        <v>12852</v>
      </c>
      <c r="I7933">
        <v>8911</v>
      </c>
      <c r="J7933" t="e">
        <f>VLOOKUP(E7933,DSSpieler!A:B,2,FALSE)</f>
        <v>#N/A</v>
      </c>
    </row>
    <row r="7934" spans="1:10" x14ac:dyDescent="0.25">
      <c r="A7934">
        <v>8912</v>
      </c>
      <c r="B7934" t="s">
        <v>33446</v>
      </c>
      <c r="C7934">
        <v>583</v>
      </c>
      <c r="D7934">
        <v>435</v>
      </c>
      <c r="E7934">
        <v>1576758865</v>
      </c>
      <c r="F7934">
        <v>1087</v>
      </c>
      <c r="G7934">
        <v>0</v>
      </c>
      <c r="H7934" t="s">
        <v>12853</v>
      </c>
      <c r="I7934">
        <v>8912</v>
      </c>
      <c r="J7934" t="str">
        <f>VLOOKUP(E7934,DSSpieler!A:B,2,FALSE)</f>
        <v>ToMe104</v>
      </c>
    </row>
    <row r="7935" spans="1:10" x14ac:dyDescent="0.25">
      <c r="A7935">
        <v>8913</v>
      </c>
      <c r="B7935" t="s">
        <v>531</v>
      </c>
      <c r="C7935">
        <v>406</v>
      </c>
      <c r="D7935">
        <v>501</v>
      </c>
      <c r="E7935">
        <v>0</v>
      </c>
      <c r="F7935">
        <v>257</v>
      </c>
      <c r="G7935">
        <v>0</v>
      </c>
      <c r="H7935" t="s">
        <v>12854</v>
      </c>
      <c r="I7935">
        <v>8913</v>
      </c>
      <c r="J7935" t="e">
        <f>VLOOKUP(E7935,DSSpieler!A:B,2,FALSE)</f>
        <v>#N/A</v>
      </c>
    </row>
    <row r="7936" spans="1:10" x14ac:dyDescent="0.25">
      <c r="A7936">
        <v>8914</v>
      </c>
      <c r="B7936" t="s">
        <v>531</v>
      </c>
      <c r="C7936">
        <v>499</v>
      </c>
      <c r="D7936">
        <v>590</v>
      </c>
      <c r="E7936">
        <v>0</v>
      </c>
      <c r="F7936">
        <v>575</v>
      </c>
      <c r="G7936">
        <v>0</v>
      </c>
      <c r="H7936" t="s">
        <v>12855</v>
      </c>
      <c r="I7936">
        <v>8914</v>
      </c>
      <c r="J7936" t="e">
        <f>VLOOKUP(E7936,DSSpieler!A:B,2,FALSE)</f>
        <v>#N/A</v>
      </c>
    </row>
    <row r="7937" spans="1:10" x14ac:dyDescent="0.25">
      <c r="A7937">
        <v>8915</v>
      </c>
      <c r="B7937" t="s">
        <v>531</v>
      </c>
      <c r="C7937">
        <v>586</v>
      </c>
      <c r="D7937">
        <v>536</v>
      </c>
      <c r="E7937">
        <v>0</v>
      </c>
      <c r="F7937">
        <v>253</v>
      </c>
      <c r="G7937">
        <v>0</v>
      </c>
      <c r="H7937" t="s">
        <v>12856</v>
      </c>
      <c r="I7937">
        <v>8915</v>
      </c>
      <c r="J7937" t="e">
        <f>VLOOKUP(E7937,DSSpieler!A:B,2,FALSE)</f>
        <v>#N/A</v>
      </c>
    </row>
    <row r="7938" spans="1:10" x14ac:dyDescent="0.25">
      <c r="A7938">
        <v>8916</v>
      </c>
      <c r="B7938" t="s">
        <v>33447</v>
      </c>
      <c r="C7938">
        <v>433</v>
      </c>
      <c r="D7938">
        <v>437</v>
      </c>
      <c r="E7938">
        <v>271888</v>
      </c>
      <c r="F7938">
        <v>1190</v>
      </c>
      <c r="G7938">
        <v>0</v>
      </c>
      <c r="H7938" t="s">
        <v>12857</v>
      </c>
      <c r="I7938">
        <v>8916</v>
      </c>
      <c r="J7938" t="str">
        <f>VLOOKUP(E7938,DSSpieler!A:B,2,FALSE)</f>
        <v>King George</v>
      </c>
    </row>
    <row r="7939" spans="1:10" x14ac:dyDescent="0.25">
      <c r="A7939">
        <v>8917</v>
      </c>
      <c r="B7939" t="s">
        <v>531</v>
      </c>
      <c r="C7939">
        <v>451</v>
      </c>
      <c r="D7939">
        <v>412</v>
      </c>
      <c r="E7939">
        <v>0</v>
      </c>
      <c r="F7939">
        <v>852</v>
      </c>
      <c r="G7939">
        <v>0</v>
      </c>
      <c r="H7939" t="s">
        <v>12858</v>
      </c>
      <c r="I7939">
        <v>8917</v>
      </c>
      <c r="J7939" t="e">
        <f>VLOOKUP(E7939,DSSpieler!A:B,2,FALSE)</f>
        <v>#N/A</v>
      </c>
    </row>
    <row r="7940" spans="1:10" x14ac:dyDescent="0.25">
      <c r="A7940">
        <v>8918</v>
      </c>
      <c r="B7940" t="s">
        <v>531</v>
      </c>
      <c r="C7940">
        <v>587</v>
      </c>
      <c r="D7940">
        <v>467</v>
      </c>
      <c r="E7940">
        <v>0</v>
      </c>
      <c r="F7940">
        <v>175</v>
      </c>
      <c r="G7940">
        <v>0</v>
      </c>
      <c r="H7940" t="s">
        <v>12859</v>
      </c>
      <c r="I7940">
        <v>8918</v>
      </c>
      <c r="J7940" t="e">
        <f>VLOOKUP(E7940,DSSpieler!A:B,2,FALSE)</f>
        <v>#N/A</v>
      </c>
    </row>
    <row r="7941" spans="1:10" x14ac:dyDescent="0.25">
      <c r="A7941">
        <v>8919</v>
      </c>
      <c r="B7941" t="s">
        <v>531</v>
      </c>
      <c r="C7941">
        <v>596</v>
      </c>
      <c r="D7941">
        <v>529</v>
      </c>
      <c r="E7941">
        <v>0</v>
      </c>
      <c r="F7941">
        <v>178</v>
      </c>
      <c r="G7941">
        <v>0</v>
      </c>
      <c r="H7941" t="s">
        <v>12860</v>
      </c>
      <c r="I7941">
        <v>8919</v>
      </c>
      <c r="J7941" t="e">
        <f>VLOOKUP(E7941,DSSpieler!A:B,2,FALSE)</f>
        <v>#N/A</v>
      </c>
    </row>
    <row r="7942" spans="1:10" x14ac:dyDescent="0.25">
      <c r="A7942">
        <v>8920</v>
      </c>
      <c r="B7942" t="s">
        <v>531</v>
      </c>
      <c r="C7942">
        <v>517</v>
      </c>
      <c r="D7942">
        <v>409</v>
      </c>
      <c r="E7942">
        <v>0</v>
      </c>
      <c r="F7942">
        <v>202</v>
      </c>
      <c r="G7942">
        <v>0</v>
      </c>
      <c r="H7942" t="s">
        <v>12861</v>
      </c>
      <c r="I7942">
        <v>8920</v>
      </c>
      <c r="J7942" t="e">
        <f>VLOOKUP(E7942,DSSpieler!A:B,2,FALSE)</f>
        <v>#N/A</v>
      </c>
    </row>
    <row r="7943" spans="1:10" x14ac:dyDescent="0.25">
      <c r="A7943">
        <v>8921</v>
      </c>
      <c r="B7943" t="s">
        <v>531</v>
      </c>
      <c r="C7943">
        <v>414</v>
      </c>
      <c r="D7943">
        <v>470</v>
      </c>
      <c r="E7943">
        <v>0</v>
      </c>
      <c r="F7943">
        <v>258</v>
      </c>
      <c r="G7943">
        <v>0</v>
      </c>
      <c r="H7943" t="s">
        <v>12862</v>
      </c>
      <c r="I7943">
        <v>8921</v>
      </c>
      <c r="J7943" t="e">
        <f>VLOOKUP(E7943,DSSpieler!A:B,2,FALSE)</f>
        <v>#N/A</v>
      </c>
    </row>
    <row r="7944" spans="1:10" x14ac:dyDescent="0.25">
      <c r="A7944">
        <v>8922</v>
      </c>
      <c r="B7944" t="s">
        <v>531</v>
      </c>
      <c r="C7944">
        <v>414</v>
      </c>
      <c r="D7944">
        <v>526</v>
      </c>
      <c r="E7944">
        <v>0</v>
      </c>
      <c r="F7944">
        <v>304</v>
      </c>
      <c r="G7944">
        <v>0</v>
      </c>
      <c r="H7944" t="s">
        <v>12863</v>
      </c>
      <c r="I7944">
        <v>8922</v>
      </c>
      <c r="J7944" t="e">
        <f>VLOOKUP(E7944,DSSpieler!A:B,2,FALSE)</f>
        <v>#N/A</v>
      </c>
    </row>
    <row r="7945" spans="1:10" x14ac:dyDescent="0.25">
      <c r="A7945">
        <v>8924</v>
      </c>
      <c r="B7945" t="s">
        <v>531</v>
      </c>
      <c r="C7945">
        <v>409</v>
      </c>
      <c r="D7945">
        <v>498</v>
      </c>
      <c r="E7945">
        <v>0</v>
      </c>
      <c r="F7945">
        <v>258</v>
      </c>
      <c r="G7945">
        <v>0</v>
      </c>
      <c r="H7945" t="s">
        <v>12864</v>
      </c>
      <c r="I7945">
        <v>8924</v>
      </c>
      <c r="J7945" t="e">
        <f>VLOOKUP(E7945,DSSpieler!A:B,2,FALSE)</f>
        <v>#N/A</v>
      </c>
    </row>
    <row r="7946" spans="1:10" x14ac:dyDescent="0.25">
      <c r="A7946">
        <v>8925</v>
      </c>
      <c r="B7946" t="s">
        <v>1748</v>
      </c>
      <c r="C7946">
        <v>567</v>
      </c>
      <c r="D7946">
        <v>439</v>
      </c>
      <c r="E7946">
        <v>1577198392</v>
      </c>
      <c r="F7946">
        <v>8194</v>
      </c>
      <c r="G7946">
        <v>0</v>
      </c>
      <c r="H7946" t="s">
        <v>12865</v>
      </c>
      <c r="I7946">
        <v>8925</v>
      </c>
      <c r="J7946" t="str">
        <f>VLOOKUP(E7946,DSSpieler!A:B,2,FALSE)</f>
        <v>argon.</v>
      </c>
    </row>
    <row r="7947" spans="1:10" x14ac:dyDescent="0.25">
      <c r="A7947">
        <v>8926</v>
      </c>
      <c r="B7947" t="s">
        <v>531</v>
      </c>
      <c r="C7947">
        <v>502</v>
      </c>
      <c r="D7947">
        <v>592</v>
      </c>
      <c r="E7947">
        <v>0</v>
      </c>
      <c r="F7947">
        <v>233</v>
      </c>
      <c r="G7947">
        <v>0</v>
      </c>
      <c r="H7947" t="s">
        <v>12866</v>
      </c>
      <c r="I7947">
        <v>8926</v>
      </c>
      <c r="J7947" t="e">
        <f>VLOOKUP(E7947,DSSpieler!A:B,2,FALSE)</f>
        <v>#N/A</v>
      </c>
    </row>
    <row r="7948" spans="1:10" x14ac:dyDescent="0.25">
      <c r="A7948">
        <v>8927</v>
      </c>
      <c r="B7948" t="s">
        <v>531</v>
      </c>
      <c r="C7948">
        <v>591</v>
      </c>
      <c r="D7948">
        <v>494</v>
      </c>
      <c r="E7948">
        <v>0</v>
      </c>
      <c r="F7948">
        <v>219</v>
      </c>
      <c r="G7948">
        <v>0</v>
      </c>
      <c r="H7948" t="s">
        <v>12867</v>
      </c>
      <c r="I7948">
        <v>8927</v>
      </c>
      <c r="J7948" t="e">
        <f>VLOOKUP(E7948,DSSpieler!A:B,2,FALSE)</f>
        <v>#N/A</v>
      </c>
    </row>
    <row r="7949" spans="1:10" x14ac:dyDescent="0.25">
      <c r="A7949">
        <v>8928</v>
      </c>
      <c r="B7949" t="s">
        <v>531</v>
      </c>
      <c r="C7949">
        <v>432</v>
      </c>
      <c r="D7949">
        <v>562</v>
      </c>
      <c r="E7949">
        <v>0</v>
      </c>
      <c r="F7949">
        <v>286</v>
      </c>
      <c r="G7949">
        <v>0</v>
      </c>
      <c r="H7949" t="s">
        <v>12868</v>
      </c>
      <c r="I7949">
        <v>8928</v>
      </c>
      <c r="J7949" t="e">
        <f>VLOOKUP(E7949,DSSpieler!A:B,2,FALSE)</f>
        <v>#N/A</v>
      </c>
    </row>
    <row r="7950" spans="1:10" x14ac:dyDescent="0.25">
      <c r="A7950">
        <v>8929</v>
      </c>
      <c r="B7950" t="s">
        <v>531</v>
      </c>
      <c r="C7950">
        <v>429</v>
      </c>
      <c r="D7950">
        <v>444</v>
      </c>
      <c r="E7950">
        <v>0</v>
      </c>
      <c r="F7950">
        <v>294</v>
      </c>
      <c r="G7950">
        <v>0</v>
      </c>
      <c r="H7950" t="s">
        <v>12869</v>
      </c>
      <c r="I7950">
        <v>8929</v>
      </c>
      <c r="J7950" t="e">
        <f>VLOOKUP(E7950,DSSpieler!A:B,2,FALSE)</f>
        <v>#N/A</v>
      </c>
    </row>
    <row r="7951" spans="1:10" x14ac:dyDescent="0.25">
      <c r="A7951">
        <v>8931</v>
      </c>
      <c r="B7951" t="s">
        <v>531</v>
      </c>
      <c r="C7951">
        <v>417</v>
      </c>
      <c r="D7951">
        <v>541</v>
      </c>
      <c r="E7951">
        <v>0</v>
      </c>
      <c r="F7951">
        <v>342</v>
      </c>
      <c r="G7951">
        <v>0</v>
      </c>
      <c r="H7951" t="s">
        <v>12870</v>
      </c>
      <c r="I7951">
        <v>8931</v>
      </c>
      <c r="J7951" t="e">
        <f>VLOOKUP(E7951,DSSpieler!A:B,2,FALSE)</f>
        <v>#N/A</v>
      </c>
    </row>
    <row r="7952" spans="1:10" x14ac:dyDescent="0.25">
      <c r="A7952">
        <v>8932</v>
      </c>
      <c r="B7952" t="s">
        <v>531</v>
      </c>
      <c r="C7952">
        <v>585</v>
      </c>
      <c r="D7952">
        <v>540</v>
      </c>
      <c r="E7952">
        <v>0</v>
      </c>
      <c r="F7952">
        <v>304</v>
      </c>
      <c r="G7952">
        <v>0</v>
      </c>
      <c r="H7952" t="s">
        <v>12871</v>
      </c>
      <c r="I7952">
        <v>8932</v>
      </c>
      <c r="J7952" t="e">
        <f>VLOOKUP(E7952,DSSpieler!A:B,2,FALSE)</f>
        <v>#N/A</v>
      </c>
    </row>
    <row r="7953" spans="1:10" x14ac:dyDescent="0.25">
      <c r="A7953">
        <v>8933</v>
      </c>
      <c r="B7953" t="s">
        <v>531</v>
      </c>
      <c r="C7953">
        <v>562</v>
      </c>
      <c r="D7953">
        <v>572</v>
      </c>
      <c r="E7953">
        <v>0</v>
      </c>
      <c r="F7953">
        <v>288</v>
      </c>
      <c r="G7953">
        <v>0</v>
      </c>
      <c r="H7953" t="s">
        <v>12872</v>
      </c>
      <c r="I7953">
        <v>8933</v>
      </c>
      <c r="J7953" t="e">
        <f>VLOOKUP(E7953,DSSpieler!A:B,2,FALSE)</f>
        <v>#N/A</v>
      </c>
    </row>
    <row r="7954" spans="1:10" x14ac:dyDescent="0.25">
      <c r="A7954">
        <v>8934</v>
      </c>
      <c r="B7954" t="s">
        <v>531</v>
      </c>
      <c r="C7954">
        <v>496</v>
      </c>
      <c r="D7954">
        <v>594</v>
      </c>
      <c r="E7954">
        <v>0</v>
      </c>
      <c r="F7954">
        <v>213</v>
      </c>
      <c r="G7954">
        <v>0</v>
      </c>
      <c r="H7954" t="s">
        <v>12873</v>
      </c>
      <c r="I7954">
        <v>8934</v>
      </c>
      <c r="J7954" t="e">
        <f>VLOOKUP(E7954,DSSpieler!A:B,2,FALSE)</f>
        <v>#N/A</v>
      </c>
    </row>
    <row r="7955" spans="1:10" x14ac:dyDescent="0.25">
      <c r="A7955">
        <v>8935</v>
      </c>
      <c r="B7955" t="s">
        <v>531</v>
      </c>
      <c r="C7955">
        <v>563</v>
      </c>
      <c r="D7955">
        <v>435</v>
      </c>
      <c r="E7955">
        <v>0</v>
      </c>
      <c r="F7955">
        <v>250</v>
      </c>
      <c r="G7955">
        <v>0</v>
      </c>
      <c r="H7955" t="s">
        <v>12874</v>
      </c>
      <c r="I7955">
        <v>8935</v>
      </c>
      <c r="J7955" t="e">
        <f>VLOOKUP(E7955,DSSpieler!A:B,2,FALSE)</f>
        <v>#N/A</v>
      </c>
    </row>
    <row r="7956" spans="1:10" x14ac:dyDescent="0.25">
      <c r="A7956">
        <v>8936</v>
      </c>
      <c r="B7956" t="s">
        <v>531</v>
      </c>
      <c r="C7956">
        <v>535</v>
      </c>
      <c r="D7956">
        <v>586</v>
      </c>
      <c r="E7956">
        <v>0</v>
      </c>
      <c r="F7956">
        <v>182</v>
      </c>
      <c r="G7956">
        <v>0</v>
      </c>
      <c r="H7956" t="s">
        <v>12875</v>
      </c>
      <c r="I7956">
        <v>8936</v>
      </c>
      <c r="J7956" t="e">
        <f>VLOOKUP(E7956,DSSpieler!A:B,2,FALSE)</f>
        <v>#N/A</v>
      </c>
    </row>
    <row r="7957" spans="1:10" x14ac:dyDescent="0.25">
      <c r="A7957">
        <v>8937</v>
      </c>
      <c r="B7957" t="s">
        <v>531</v>
      </c>
      <c r="C7957">
        <v>419</v>
      </c>
      <c r="D7957">
        <v>461</v>
      </c>
      <c r="E7957">
        <v>0</v>
      </c>
      <c r="F7957">
        <v>199</v>
      </c>
      <c r="G7957">
        <v>0</v>
      </c>
      <c r="H7957" t="s">
        <v>12876</v>
      </c>
      <c r="I7957">
        <v>8937</v>
      </c>
      <c r="J7957" t="e">
        <f>VLOOKUP(E7957,DSSpieler!A:B,2,FALSE)</f>
        <v>#N/A</v>
      </c>
    </row>
    <row r="7958" spans="1:10" x14ac:dyDescent="0.25">
      <c r="A7958">
        <v>8938</v>
      </c>
      <c r="B7958" t="s">
        <v>1749</v>
      </c>
      <c r="C7958">
        <v>451</v>
      </c>
      <c r="D7958">
        <v>540</v>
      </c>
      <c r="E7958">
        <v>1577197267</v>
      </c>
      <c r="F7958">
        <v>4908</v>
      </c>
      <c r="G7958">
        <v>0</v>
      </c>
      <c r="H7958" t="s">
        <v>12877</v>
      </c>
      <c r="I7958">
        <v>8938</v>
      </c>
      <c r="J7958" t="str">
        <f>VLOOKUP(E7958,DSSpieler!A:B,2,FALSE)</f>
        <v>Yoxcu</v>
      </c>
    </row>
    <row r="7959" spans="1:10" x14ac:dyDescent="0.25">
      <c r="A7959">
        <v>8939</v>
      </c>
      <c r="B7959" t="s">
        <v>531</v>
      </c>
      <c r="C7959">
        <v>520</v>
      </c>
      <c r="D7959">
        <v>392</v>
      </c>
      <c r="E7959">
        <v>0</v>
      </c>
      <c r="F7959">
        <v>272</v>
      </c>
      <c r="G7959">
        <v>0</v>
      </c>
      <c r="H7959" t="s">
        <v>12878</v>
      </c>
      <c r="I7959">
        <v>8939</v>
      </c>
      <c r="J7959" t="e">
        <f>VLOOKUP(E7959,DSSpieler!A:B,2,FALSE)</f>
        <v>#N/A</v>
      </c>
    </row>
    <row r="7960" spans="1:10" x14ac:dyDescent="0.25">
      <c r="A7960">
        <v>8940</v>
      </c>
      <c r="B7960" t="s">
        <v>531</v>
      </c>
      <c r="C7960">
        <v>544</v>
      </c>
      <c r="D7960">
        <v>579</v>
      </c>
      <c r="E7960">
        <v>0</v>
      </c>
      <c r="F7960">
        <v>348</v>
      </c>
      <c r="G7960">
        <v>0</v>
      </c>
      <c r="H7960" t="s">
        <v>12879</v>
      </c>
      <c r="I7960">
        <v>8940</v>
      </c>
      <c r="J7960" t="e">
        <f>VLOOKUP(E7960,DSSpieler!A:B,2,FALSE)</f>
        <v>#N/A</v>
      </c>
    </row>
    <row r="7961" spans="1:10" x14ac:dyDescent="0.25">
      <c r="A7961">
        <v>8941</v>
      </c>
      <c r="B7961" t="s">
        <v>531</v>
      </c>
      <c r="C7961">
        <v>474</v>
      </c>
      <c r="D7961">
        <v>413</v>
      </c>
      <c r="E7961">
        <v>0</v>
      </c>
      <c r="F7961">
        <v>506</v>
      </c>
      <c r="G7961">
        <v>0</v>
      </c>
      <c r="H7961" t="s">
        <v>12880</v>
      </c>
      <c r="I7961">
        <v>8941</v>
      </c>
      <c r="J7961" t="e">
        <f>VLOOKUP(E7961,DSSpieler!A:B,2,FALSE)</f>
        <v>#N/A</v>
      </c>
    </row>
    <row r="7962" spans="1:10" x14ac:dyDescent="0.25">
      <c r="A7962">
        <v>8942</v>
      </c>
      <c r="B7962" t="s">
        <v>531</v>
      </c>
      <c r="C7962">
        <v>569</v>
      </c>
      <c r="D7962">
        <v>563</v>
      </c>
      <c r="E7962">
        <v>0</v>
      </c>
      <c r="F7962">
        <v>244</v>
      </c>
      <c r="G7962">
        <v>0</v>
      </c>
      <c r="H7962" t="s">
        <v>12881</v>
      </c>
      <c r="I7962">
        <v>8942</v>
      </c>
      <c r="J7962" t="e">
        <f>VLOOKUP(E7962,DSSpieler!A:B,2,FALSE)</f>
        <v>#N/A</v>
      </c>
    </row>
    <row r="7963" spans="1:10" x14ac:dyDescent="0.25">
      <c r="A7963">
        <v>8944</v>
      </c>
      <c r="B7963" t="s">
        <v>531</v>
      </c>
      <c r="C7963">
        <v>551</v>
      </c>
      <c r="D7963">
        <v>576</v>
      </c>
      <c r="E7963">
        <v>0</v>
      </c>
      <c r="F7963">
        <v>293</v>
      </c>
      <c r="G7963">
        <v>0</v>
      </c>
      <c r="H7963" t="s">
        <v>12882</v>
      </c>
      <c r="I7963">
        <v>8944</v>
      </c>
      <c r="J7963" t="e">
        <f>VLOOKUP(E7963,DSSpieler!A:B,2,FALSE)</f>
        <v>#N/A</v>
      </c>
    </row>
    <row r="7964" spans="1:10" x14ac:dyDescent="0.25">
      <c r="A7964">
        <v>8945</v>
      </c>
      <c r="B7964" t="s">
        <v>531</v>
      </c>
      <c r="C7964">
        <v>586</v>
      </c>
      <c r="D7964">
        <v>537</v>
      </c>
      <c r="E7964">
        <v>0</v>
      </c>
      <c r="F7964">
        <v>182</v>
      </c>
      <c r="G7964">
        <v>0</v>
      </c>
      <c r="H7964" t="s">
        <v>12883</v>
      </c>
      <c r="I7964">
        <v>8945</v>
      </c>
      <c r="J7964" t="e">
        <f>VLOOKUP(E7964,DSSpieler!A:B,2,FALSE)</f>
        <v>#N/A</v>
      </c>
    </row>
    <row r="7965" spans="1:10" x14ac:dyDescent="0.25">
      <c r="A7965">
        <v>8947</v>
      </c>
      <c r="B7965" t="s">
        <v>531</v>
      </c>
      <c r="C7965">
        <v>585</v>
      </c>
      <c r="D7965">
        <v>533</v>
      </c>
      <c r="E7965">
        <v>0</v>
      </c>
      <c r="F7965">
        <v>130</v>
      </c>
      <c r="G7965">
        <v>0</v>
      </c>
      <c r="H7965" t="s">
        <v>12884</v>
      </c>
      <c r="I7965">
        <v>8947</v>
      </c>
      <c r="J7965" t="e">
        <f>VLOOKUP(E7965,DSSpieler!A:B,2,FALSE)</f>
        <v>#N/A</v>
      </c>
    </row>
    <row r="7966" spans="1:10" x14ac:dyDescent="0.25">
      <c r="A7966">
        <v>8948</v>
      </c>
      <c r="B7966" t="s">
        <v>531</v>
      </c>
      <c r="C7966">
        <v>592</v>
      </c>
      <c r="D7966">
        <v>480</v>
      </c>
      <c r="E7966">
        <v>0</v>
      </c>
      <c r="F7966">
        <v>268</v>
      </c>
      <c r="G7966">
        <v>0</v>
      </c>
      <c r="H7966" t="s">
        <v>12885</v>
      </c>
      <c r="I7966">
        <v>8948</v>
      </c>
      <c r="J7966" t="e">
        <f>VLOOKUP(E7966,DSSpieler!A:B,2,FALSE)</f>
        <v>#N/A</v>
      </c>
    </row>
    <row r="7967" spans="1:10" x14ac:dyDescent="0.25">
      <c r="A7967">
        <v>8949</v>
      </c>
      <c r="B7967" t="s">
        <v>531</v>
      </c>
      <c r="C7967">
        <v>585</v>
      </c>
      <c r="D7967">
        <v>462</v>
      </c>
      <c r="E7967">
        <v>0</v>
      </c>
      <c r="F7967">
        <v>244</v>
      </c>
      <c r="G7967">
        <v>0</v>
      </c>
      <c r="H7967" t="s">
        <v>12886</v>
      </c>
      <c r="I7967">
        <v>8949</v>
      </c>
      <c r="J7967" t="e">
        <f>VLOOKUP(E7967,DSSpieler!A:B,2,FALSE)</f>
        <v>#N/A</v>
      </c>
    </row>
    <row r="7968" spans="1:10" x14ac:dyDescent="0.25">
      <c r="A7968">
        <v>8950</v>
      </c>
      <c r="B7968" t="s">
        <v>531</v>
      </c>
      <c r="C7968">
        <v>414</v>
      </c>
      <c r="D7968">
        <v>464</v>
      </c>
      <c r="E7968">
        <v>0</v>
      </c>
      <c r="F7968">
        <v>279</v>
      </c>
      <c r="G7968">
        <v>0</v>
      </c>
      <c r="H7968" t="s">
        <v>12887</v>
      </c>
      <c r="I7968">
        <v>8950</v>
      </c>
      <c r="J7968" t="e">
        <f>VLOOKUP(E7968,DSSpieler!A:B,2,FALSE)</f>
        <v>#N/A</v>
      </c>
    </row>
    <row r="7969" spans="1:10" x14ac:dyDescent="0.25">
      <c r="A7969">
        <v>8951</v>
      </c>
      <c r="B7969" t="s">
        <v>531</v>
      </c>
      <c r="C7969">
        <v>594</v>
      </c>
      <c r="D7969">
        <v>505</v>
      </c>
      <c r="E7969">
        <v>0</v>
      </c>
      <c r="F7969">
        <v>202</v>
      </c>
      <c r="G7969">
        <v>0</v>
      </c>
      <c r="H7969" t="s">
        <v>12888</v>
      </c>
      <c r="I7969">
        <v>8951</v>
      </c>
      <c r="J7969" t="e">
        <f>VLOOKUP(E7969,DSSpieler!A:B,2,FALSE)</f>
        <v>#N/A</v>
      </c>
    </row>
    <row r="7970" spans="1:10" x14ac:dyDescent="0.25">
      <c r="A7970">
        <v>8952</v>
      </c>
      <c r="B7970" t="s">
        <v>531</v>
      </c>
      <c r="C7970">
        <v>470</v>
      </c>
      <c r="D7970">
        <v>589</v>
      </c>
      <c r="E7970">
        <v>0</v>
      </c>
      <c r="F7970">
        <v>162</v>
      </c>
      <c r="G7970">
        <v>0</v>
      </c>
      <c r="H7970" t="s">
        <v>12889</v>
      </c>
      <c r="I7970">
        <v>8952</v>
      </c>
      <c r="J7970" t="e">
        <f>VLOOKUP(E7970,DSSpieler!A:B,2,FALSE)</f>
        <v>#N/A</v>
      </c>
    </row>
    <row r="7971" spans="1:10" x14ac:dyDescent="0.25">
      <c r="A7971">
        <v>8953</v>
      </c>
      <c r="B7971" t="s">
        <v>531</v>
      </c>
      <c r="C7971">
        <v>514</v>
      </c>
      <c r="D7971">
        <v>590</v>
      </c>
      <c r="E7971">
        <v>0</v>
      </c>
      <c r="F7971">
        <v>217</v>
      </c>
      <c r="G7971">
        <v>0</v>
      </c>
      <c r="H7971" t="s">
        <v>12890</v>
      </c>
      <c r="I7971">
        <v>8953</v>
      </c>
      <c r="J7971" t="e">
        <f>VLOOKUP(E7971,DSSpieler!A:B,2,FALSE)</f>
        <v>#N/A</v>
      </c>
    </row>
    <row r="7972" spans="1:10" x14ac:dyDescent="0.25">
      <c r="A7972">
        <v>8954</v>
      </c>
      <c r="B7972" t="s">
        <v>531</v>
      </c>
      <c r="C7972">
        <v>580</v>
      </c>
      <c r="D7972">
        <v>544</v>
      </c>
      <c r="E7972">
        <v>0</v>
      </c>
      <c r="F7972">
        <v>364</v>
      </c>
      <c r="G7972">
        <v>0</v>
      </c>
      <c r="H7972" t="s">
        <v>12891</v>
      </c>
      <c r="I7972">
        <v>8954</v>
      </c>
      <c r="J7972" t="e">
        <f>VLOOKUP(E7972,DSSpieler!A:B,2,FALSE)</f>
        <v>#N/A</v>
      </c>
    </row>
    <row r="7973" spans="1:10" x14ac:dyDescent="0.25">
      <c r="A7973">
        <v>8955</v>
      </c>
      <c r="B7973" t="s">
        <v>531</v>
      </c>
      <c r="C7973">
        <v>460</v>
      </c>
      <c r="D7973">
        <v>416</v>
      </c>
      <c r="E7973">
        <v>0</v>
      </c>
      <c r="F7973">
        <v>214</v>
      </c>
      <c r="G7973">
        <v>0</v>
      </c>
      <c r="H7973" t="s">
        <v>12892</v>
      </c>
      <c r="I7973">
        <v>8955</v>
      </c>
      <c r="J7973" t="e">
        <f>VLOOKUP(E7973,DSSpieler!A:B,2,FALSE)</f>
        <v>#N/A</v>
      </c>
    </row>
    <row r="7974" spans="1:10" x14ac:dyDescent="0.25">
      <c r="A7974">
        <v>8956</v>
      </c>
      <c r="B7974" t="s">
        <v>531</v>
      </c>
      <c r="C7974">
        <v>591</v>
      </c>
      <c r="D7974">
        <v>507</v>
      </c>
      <c r="E7974">
        <v>0</v>
      </c>
      <c r="F7974">
        <v>319</v>
      </c>
      <c r="G7974">
        <v>0</v>
      </c>
      <c r="H7974" t="s">
        <v>12893</v>
      </c>
      <c r="I7974">
        <v>8956</v>
      </c>
      <c r="J7974" t="e">
        <f>VLOOKUP(E7974,DSSpieler!A:B,2,FALSE)</f>
        <v>#N/A</v>
      </c>
    </row>
    <row r="7975" spans="1:10" x14ac:dyDescent="0.25">
      <c r="A7975">
        <v>8957</v>
      </c>
      <c r="B7975" t="s">
        <v>531</v>
      </c>
      <c r="C7975">
        <v>425</v>
      </c>
      <c r="D7975">
        <v>449</v>
      </c>
      <c r="E7975">
        <v>0</v>
      </c>
      <c r="F7975">
        <v>396</v>
      </c>
      <c r="G7975">
        <v>0</v>
      </c>
      <c r="H7975" t="s">
        <v>12894</v>
      </c>
      <c r="I7975">
        <v>8957</v>
      </c>
      <c r="J7975" t="e">
        <f>VLOOKUP(E7975,DSSpieler!A:B,2,FALSE)</f>
        <v>#N/A</v>
      </c>
    </row>
    <row r="7976" spans="1:10" x14ac:dyDescent="0.25">
      <c r="A7976">
        <v>8959</v>
      </c>
      <c r="B7976" t="s">
        <v>531</v>
      </c>
      <c r="C7976">
        <v>575</v>
      </c>
      <c r="D7976">
        <v>487</v>
      </c>
      <c r="E7976">
        <v>0</v>
      </c>
      <c r="F7976">
        <v>510</v>
      </c>
      <c r="G7976">
        <v>0</v>
      </c>
      <c r="H7976" t="s">
        <v>12895</v>
      </c>
      <c r="I7976">
        <v>8959</v>
      </c>
      <c r="J7976" t="e">
        <f>VLOOKUP(E7976,DSSpieler!A:B,2,FALSE)</f>
        <v>#N/A</v>
      </c>
    </row>
    <row r="7977" spans="1:10" x14ac:dyDescent="0.25">
      <c r="A7977">
        <v>8960</v>
      </c>
      <c r="B7977" t="s">
        <v>531</v>
      </c>
      <c r="C7977">
        <v>521</v>
      </c>
      <c r="D7977">
        <v>410</v>
      </c>
      <c r="E7977">
        <v>0</v>
      </c>
      <c r="F7977">
        <v>244</v>
      </c>
      <c r="G7977">
        <v>0</v>
      </c>
      <c r="H7977" t="s">
        <v>12896</v>
      </c>
      <c r="I7977">
        <v>8960</v>
      </c>
      <c r="J7977" t="e">
        <f>VLOOKUP(E7977,DSSpieler!A:B,2,FALSE)</f>
        <v>#N/A</v>
      </c>
    </row>
    <row r="7978" spans="1:10" x14ac:dyDescent="0.25">
      <c r="A7978">
        <v>8961</v>
      </c>
      <c r="B7978" t="s">
        <v>531</v>
      </c>
      <c r="C7978">
        <v>588</v>
      </c>
      <c r="D7978">
        <v>470</v>
      </c>
      <c r="E7978">
        <v>0</v>
      </c>
      <c r="F7978">
        <v>303</v>
      </c>
      <c r="G7978">
        <v>0</v>
      </c>
      <c r="H7978" t="s">
        <v>12897</v>
      </c>
      <c r="I7978">
        <v>8961</v>
      </c>
      <c r="J7978" t="e">
        <f>VLOOKUP(E7978,DSSpieler!A:B,2,FALSE)</f>
        <v>#N/A</v>
      </c>
    </row>
    <row r="7979" spans="1:10" x14ac:dyDescent="0.25">
      <c r="A7979">
        <v>8962</v>
      </c>
      <c r="B7979" t="s">
        <v>531</v>
      </c>
      <c r="C7979">
        <v>411</v>
      </c>
      <c r="D7979">
        <v>472</v>
      </c>
      <c r="E7979">
        <v>0</v>
      </c>
      <c r="F7979">
        <v>203</v>
      </c>
      <c r="G7979">
        <v>0</v>
      </c>
      <c r="H7979" t="s">
        <v>12898</v>
      </c>
      <c r="I7979">
        <v>8962</v>
      </c>
      <c r="J7979" t="e">
        <f>VLOOKUP(E7979,DSSpieler!A:B,2,FALSE)</f>
        <v>#N/A</v>
      </c>
    </row>
    <row r="7980" spans="1:10" x14ac:dyDescent="0.25">
      <c r="A7980">
        <v>8963</v>
      </c>
      <c r="B7980" t="s">
        <v>531</v>
      </c>
      <c r="C7980">
        <v>412</v>
      </c>
      <c r="D7980">
        <v>529</v>
      </c>
      <c r="E7980">
        <v>0</v>
      </c>
      <c r="F7980">
        <v>340</v>
      </c>
      <c r="G7980">
        <v>0</v>
      </c>
      <c r="H7980" t="s">
        <v>12899</v>
      </c>
      <c r="I7980">
        <v>8963</v>
      </c>
      <c r="J7980" t="e">
        <f>VLOOKUP(E7980,DSSpieler!A:B,2,FALSE)</f>
        <v>#N/A</v>
      </c>
    </row>
    <row r="7981" spans="1:10" x14ac:dyDescent="0.25">
      <c r="A7981">
        <v>8964</v>
      </c>
      <c r="B7981" t="s">
        <v>531</v>
      </c>
      <c r="C7981">
        <v>409</v>
      </c>
      <c r="D7981">
        <v>517</v>
      </c>
      <c r="E7981">
        <v>0</v>
      </c>
      <c r="F7981">
        <v>96</v>
      </c>
      <c r="G7981">
        <v>0</v>
      </c>
      <c r="H7981" t="s">
        <v>12900</v>
      </c>
      <c r="I7981">
        <v>8964</v>
      </c>
      <c r="J7981" t="e">
        <f>VLOOKUP(E7981,DSSpieler!A:B,2,FALSE)</f>
        <v>#N/A</v>
      </c>
    </row>
    <row r="7982" spans="1:10" x14ac:dyDescent="0.25">
      <c r="A7982">
        <v>8965</v>
      </c>
      <c r="B7982" t="s">
        <v>531</v>
      </c>
      <c r="C7982">
        <v>581</v>
      </c>
      <c r="D7982">
        <v>540</v>
      </c>
      <c r="E7982">
        <v>0</v>
      </c>
      <c r="F7982">
        <v>216</v>
      </c>
      <c r="G7982">
        <v>0</v>
      </c>
      <c r="H7982" t="s">
        <v>12901</v>
      </c>
      <c r="I7982">
        <v>8965</v>
      </c>
      <c r="J7982" t="e">
        <f>VLOOKUP(E7982,DSSpieler!A:B,2,FALSE)</f>
        <v>#N/A</v>
      </c>
    </row>
    <row r="7983" spans="1:10" x14ac:dyDescent="0.25">
      <c r="A7983">
        <v>8966</v>
      </c>
      <c r="B7983" t="s">
        <v>531</v>
      </c>
      <c r="C7983">
        <v>408</v>
      </c>
      <c r="D7983">
        <v>481</v>
      </c>
      <c r="E7983">
        <v>0</v>
      </c>
      <c r="F7983">
        <v>266</v>
      </c>
      <c r="G7983">
        <v>0</v>
      </c>
      <c r="H7983" t="s">
        <v>12902</v>
      </c>
      <c r="I7983">
        <v>8966</v>
      </c>
      <c r="J7983" t="e">
        <f>VLOOKUP(E7983,DSSpieler!A:B,2,FALSE)</f>
        <v>#N/A</v>
      </c>
    </row>
    <row r="7984" spans="1:10" x14ac:dyDescent="0.25">
      <c r="A7984">
        <v>8967</v>
      </c>
      <c r="B7984" t="s">
        <v>531</v>
      </c>
      <c r="C7984">
        <v>567</v>
      </c>
      <c r="D7984">
        <v>435</v>
      </c>
      <c r="E7984">
        <v>0</v>
      </c>
      <c r="F7984">
        <v>256</v>
      </c>
      <c r="G7984">
        <v>0</v>
      </c>
      <c r="H7984" t="s">
        <v>12903</v>
      </c>
      <c r="I7984">
        <v>8967</v>
      </c>
      <c r="J7984" t="e">
        <f>VLOOKUP(E7984,DSSpieler!A:B,2,FALSE)</f>
        <v>#N/A</v>
      </c>
    </row>
    <row r="7985" spans="1:10" x14ac:dyDescent="0.25">
      <c r="A7985">
        <v>8968</v>
      </c>
      <c r="B7985" t="s">
        <v>531</v>
      </c>
      <c r="C7985">
        <v>433</v>
      </c>
      <c r="D7985">
        <v>565</v>
      </c>
      <c r="E7985">
        <v>1577196286</v>
      </c>
      <c r="F7985">
        <v>534</v>
      </c>
      <c r="G7985">
        <v>0</v>
      </c>
      <c r="H7985" t="s">
        <v>12904</v>
      </c>
      <c r="I7985">
        <v>8968</v>
      </c>
      <c r="J7985" t="str">
        <f>VLOOKUP(E7985,DSSpieler!A:B,2,FALSE)</f>
        <v>agatokle</v>
      </c>
    </row>
    <row r="7986" spans="1:10" x14ac:dyDescent="0.25">
      <c r="A7986">
        <v>8969</v>
      </c>
      <c r="B7986" t="s">
        <v>531</v>
      </c>
      <c r="C7986">
        <v>423</v>
      </c>
      <c r="D7986">
        <v>548</v>
      </c>
      <c r="E7986">
        <v>0</v>
      </c>
      <c r="F7986">
        <v>180</v>
      </c>
      <c r="G7986">
        <v>0</v>
      </c>
      <c r="H7986" t="s">
        <v>12905</v>
      </c>
      <c r="I7986">
        <v>8969</v>
      </c>
      <c r="J7986" t="e">
        <f>VLOOKUP(E7986,DSSpieler!A:B,2,FALSE)</f>
        <v>#N/A</v>
      </c>
    </row>
    <row r="7987" spans="1:10" x14ac:dyDescent="0.25">
      <c r="A7987">
        <v>8970</v>
      </c>
      <c r="B7987" t="s">
        <v>531</v>
      </c>
      <c r="C7987">
        <v>591</v>
      </c>
      <c r="D7987">
        <v>517</v>
      </c>
      <c r="E7987">
        <v>0</v>
      </c>
      <c r="F7987">
        <v>161</v>
      </c>
      <c r="G7987">
        <v>0</v>
      </c>
      <c r="H7987" t="s">
        <v>12906</v>
      </c>
      <c r="I7987">
        <v>8970</v>
      </c>
      <c r="J7987" t="e">
        <f>VLOOKUP(E7987,DSSpieler!A:B,2,FALSE)</f>
        <v>#N/A</v>
      </c>
    </row>
    <row r="7988" spans="1:10" x14ac:dyDescent="0.25">
      <c r="A7988">
        <v>8971</v>
      </c>
      <c r="B7988" t="s">
        <v>531</v>
      </c>
      <c r="C7988">
        <v>432</v>
      </c>
      <c r="D7988">
        <v>438</v>
      </c>
      <c r="E7988">
        <v>0</v>
      </c>
      <c r="F7988">
        <v>260</v>
      </c>
      <c r="G7988">
        <v>0</v>
      </c>
      <c r="H7988" t="s">
        <v>12907</v>
      </c>
      <c r="I7988">
        <v>8971</v>
      </c>
      <c r="J7988" t="e">
        <f>VLOOKUP(E7988,DSSpieler!A:B,2,FALSE)</f>
        <v>#N/A</v>
      </c>
    </row>
    <row r="7989" spans="1:10" x14ac:dyDescent="0.25">
      <c r="A7989">
        <v>8972</v>
      </c>
      <c r="B7989" t="s">
        <v>531</v>
      </c>
      <c r="C7989">
        <v>482</v>
      </c>
      <c r="D7989">
        <v>581</v>
      </c>
      <c r="E7989">
        <v>0</v>
      </c>
      <c r="F7989">
        <v>604</v>
      </c>
      <c r="G7989">
        <v>0</v>
      </c>
      <c r="H7989" t="s">
        <v>12908</v>
      </c>
      <c r="I7989">
        <v>8972</v>
      </c>
      <c r="J7989" t="e">
        <f>VLOOKUP(E7989,DSSpieler!A:B,2,FALSE)</f>
        <v>#N/A</v>
      </c>
    </row>
    <row r="7990" spans="1:10" x14ac:dyDescent="0.25">
      <c r="A7990">
        <v>8973</v>
      </c>
      <c r="B7990" t="s">
        <v>531</v>
      </c>
      <c r="C7990">
        <v>516</v>
      </c>
      <c r="D7990">
        <v>591</v>
      </c>
      <c r="E7990">
        <v>0</v>
      </c>
      <c r="F7990">
        <v>206</v>
      </c>
      <c r="G7990">
        <v>0</v>
      </c>
      <c r="H7990" t="s">
        <v>12909</v>
      </c>
      <c r="I7990">
        <v>8973</v>
      </c>
      <c r="J7990" t="e">
        <f>VLOOKUP(E7990,DSSpieler!A:B,2,FALSE)</f>
        <v>#N/A</v>
      </c>
    </row>
    <row r="7991" spans="1:10" x14ac:dyDescent="0.25">
      <c r="A7991">
        <v>8974</v>
      </c>
      <c r="B7991" t="s">
        <v>531</v>
      </c>
      <c r="C7991">
        <v>564</v>
      </c>
      <c r="D7991">
        <v>566</v>
      </c>
      <c r="E7991">
        <v>0</v>
      </c>
      <c r="F7991">
        <v>280</v>
      </c>
      <c r="G7991">
        <v>0</v>
      </c>
      <c r="H7991" t="s">
        <v>12910</v>
      </c>
      <c r="I7991">
        <v>8974</v>
      </c>
      <c r="J7991" t="e">
        <f>VLOOKUP(E7991,DSSpieler!A:B,2,FALSE)</f>
        <v>#N/A</v>
      </c>
    </row>
    <row r="7992" spans="1:10" x14ac:dyDescent="0.25">
      <c r="A7992">
        <v>8975</v>
      </c>
      <c r="B7992" t="s">
        <v>531</v>
      </c>
      <c r="C7992">
        <v>407</v>
      </c>
      <c r="D7992">
        <v>514</v>
      </c>
      <c r="E7992">
        <v>0</v>
      </c>
      <c r="F7992">
        <v>264</v>
      </c>
      <c r="G7992">
        <v>0</v>
      </c>
      <c r="H7992" t="s">
        <v>12911</v>
      </c>
      <c r="I7992">
        <v>8975</v>
      </c>
      <c r="J7992" t="e">
        <f>VLOOKUP(E7992,DSSpieler!A:B,2,FALSE)</f>
        <v>#N/A</v>
      </c>
    </row>
    <row r="7993" spans="1:10" x14ac:dyDescent="0.25">
      <c r="A7993">
        <v>8976</v>
      </c>
      <c r="B7993" t="s">
        <v>531</v>
      </c>
      <c r="C7993">
        <v>407</v>
      </c>
      <c r="D7993">
        <v>501</v>
      </c>
      <c r="E7993">
        <v>0</v>
      </c>
      <c r="F7993">
        <v>414</v>
      </c>
      <c r="G7993">
        <v>0</v>
      </c>
      <c r="H7993" t="s">
        <v>12912</v>
      </c>
      <c r="I7993">
        <v>8976</v>
      </c>
      <c r="J7993" t="e">
        <f>VLOOKUP(E7993,DSSpieler!A:B,2,FALSE)</f>
        <v>#N/A</v>
      </c>
    </row>
    <row r="7994" spans="1:10" x14ac:dyDescent="0.25">
      <c r="A7994">
        <v>8978</v>
      </c>
      <c r="B7994" t="s">
        <v>531</v>
      </c>
      <c r="C7994">
        <v>408</v>
      </c>
      <c r="D7994">
        <v>483</v>
      </c>
      <c r="E7994">
        <v>0</v>
      </c>
      <c r="F7994">
        <v>211</v>
      </c>
      <c r="G7994">
        <v>0</v>
      </c>
      <c r="H7994" t="s">
        <v>12913</v>
      </c>
      <c r="I7994">
        <v>8978</v>
      </c>
      <c r="J7994" t="e">
        <f>VLOOKUP(E7994,DSSpieler!A:B,2,FALSE)</f>
        <v>#N/A</v>
      </c>
    </row>
    <row r="7995" spans="1:10" x14ac:dyDescent="0.25">
      <c r="A7995">
        <v>8979</v>
      </c>
      <c r="B7995" t="s">
        <v>531</v>
      </c>
      <c r="C7995">
        <v>427</v>
      </c>
      <c r="D7995">
        <v>555</v>
      </c>
      <c r="E7995">
        <v>0</v>
      </c>
      <c r="F7995">
        <v>221</v>
      </c>
      <c r="G7995">
        <v>0</v>
      </c>
      <c r="H7995" t="s">
        <v>12914</v>
      </c>
      <c r="I7995">
        <v>8979</v>
      </c>
      <c r="J7995" t="e">
        <f>VLOOKUP(E7995,DSSpieler!A:B,2,FALSE)</f>
        <v>#N/A</v>
      </c>
    </row>
    <row r="7996" spans="1:10" x14ac:dyDescent="0.25">
      <c r="A7996">
        <v>8980</v>
      </c>
      <c r="B7996" t="s">
        <v>681</v>
      </c>
      <c r="C7996">
        <v>417</v>
      </c>
      <c r="D7996">
        <v>459</v>
      </c>
      <c r="E7996">
        <v>9380929</v>
      </c>
      <c r="F7996">
        <v>4238</v>
      </c>
      <c r="G7996">
        <v>0</v>
      </c>
      <c r="H7996" t="s">
        <v>12915</v>
      </c>
      <c r="I7996">
        <v>8980</v>
      </c>
      <c r="J7996" t="str">
        <f>VLOOKUP(E7996,DSSpieler!A:B,2,FALSE)</f>
        <v>sieger42</v>
      </c>
    </row>
    <row r="7997" spans="1:10" x14ac:dyDescent="0.25">
      <c r="A7997">
        <v>8981</v>
      </c>
      <c r="B7997" t="s">
        <v>33448</v>
      </c>
      <c r="C7997">
        <v>565</v>
      </c>
      <c r="D7997">
        <v>428</v>
      </c>
      <c r="E7997">
        <v>1575990065</v>
      </c>
      <c r="F7997">
        <v>8605</v>
      </c>
      <c r="G7997">
        <v>0</v>
      </c>
      <c r="H7997" t="s">
        <v>12916</v>
      </c>
      <c r="I7997">
        <v>8981</v>
      </c>
      <c r="J7997" t="str">
        <f>VLOOKUP(E7997,DSSpieler!A:B,2,FALSE)</f>
        <v>King Dom</v>
      </c>
    </row>
    <row r="7998" spans="1:10" x14ac:dyDescent="0.25">
      <c r="A7998">
        <v>8982</v>
      </c>
      <c r="B7998" t="s">
        <v>33449</v>
      </c>
      <c r="C7998">
        <v>568</v>
      </c>
      <c r="D7998">
        <v>412</v>
      </c>
      <c r="E7998">
        <v>2692887</v>
      </c>
      <c r="F7998">
        <v>6550</v>
      </c>
      <c r="G7998">
        <v>0</v>
      </c>
      <c r="H7998" t="s">
        <v>12917</v>
      </c>
      <c r="I7998">
        <v>8982</v>
      </c>
      <c r="J7998" t="str">
        <f>VLOOKUP(E7998,DSSpieler!A:B,2,FALSE)</f>
        <v>DerStaubtöter</v>
      </c>
    </row>
    <row r="7999" spans="1:10" x14ac:dyDescent="0.25">
      <c r="A7999">
        <v>8983</v>
      </c>
      <c r="B7999" t="s">
        <v>531</v>
      </c>
      <c r="C7999">
        <v>580</v>
      </c>
      <c r="D7999">
        <v>458</v>
      </c>
      <c r="E7999">
        <v>0</v>
      </c>
      <c r="F7999">
        <v>372</v>
      </c>
      <c r="G7999">
        <v>0</v>
      </c>
      <c r="H7999" t="s">
        <v>12918</v>
      </c>
      <c r="I7999">
        <v>8983</v>
      </c>
      <c r="J7999" t="e">
        <f>VLOOKUP(E7999,DSSpieler!A:B,2,FALSE)</f>
        <v>#N/A</v>
      </c>
    </row>
    <row r="8000" spans="1:10" x14ac:dyDescent="0.25">
      <c r="A8000">
        <v>8984</v>
      </c>
      <c r="B8000" t="s">
        <v>531</v>
      </c>
      <c r="C8000">
        <v>593</v>
      </c>
      <c r="D8000">
        <v>499</v>
      </c>
      <c r="E8000">
        <v>0</v>
      </c>
      <c r="F8000">
        <v>222</v>
      </c>
      <c r="G8000">
        <v>0</v>
      </c>
      <c r="H8000" t="s">
        <v>12919</v>
      </c>
      <c r="I8000">
        <v>8984</v>
      </c>
      <c r="J8000" t="e">
        <f>VLOOKUP(E8000,DSSpieler!A:B,2,FALSE)</f>
        <v>#N/A</v>
      </c>
    </row>
    <row r="8001" spans="1:10" x14ac:dyDescent="0.25">
      <c r="A8001">
        <v>8985</v>
      </c>
      <c r="B8001">
        <v>2</v>
      </c>
      <c r="C8001">
        <v>562</v>
      </c>
      <c r="D8001">
        <v>568</v>
      </c>
      <c r="E8001">
        <v>1577198934</v>
      </c>
      <c r="F8001">
        <v>2251</v>
      </c>
      <c r="G8001">
        <v>0</v>
      </c>
      <c r="H8001" t="s">
        <v>12920</v>
      </c>
      <c r="I8001">
        <v>8985</v>
      </c>
      <c r="J8001" t="str">
        <f>VLOOKUP(E8001,DSSpieler!A:B,2,FALSE)</f>
        <v>ReKros</v>
      </c>
    </row>
    <row r="8002" spans="1:10" x14ac:dyDescent="0.25">
      <c r="A8002">
        <v>8986</v>
      </c>
      <c r="B8002" t="s">
        <v>33450</v>
      </c>
      <c r="C8002">
        <v>413</v>
      </c>
      <c r="D8002">
        <v>525</v>
      </c>
      <c r="E8002">
        <v>1577124717</v>
      </c>
      <c r="F8002">
        <v>2314</v>
      </c>
      <c r="G8002">
        <v>0</v>
      </c>
      <c r="H8002" t="s">
        <v>12921</v>
      </c>
      <c r="I8002">
        <v>8986</v>
      </c>
      <c r="J8002" t="str">
        <f>VLOOKUP(E8002,DSSpieler!A:B,2,FALSE)</f>
        <v>Bangbaby</v>
      </c>
    </row>
    <row r="8003" spans="1:10" x14ac:dyDescent="0.25">
      <c r="A8003">
        <v>8987</v>
      </c>
      <c r="B8003" t="s">
        <v>531</v>
      </c>
      <c r="C8003">
        <v>576</v>
      </c>
      <c r="D8003">
        <v>555</v>
      </c>
      <c r="E8003">
        <v>0</v>
      </c>
      <c r="F8003">
        <v>423</v>
      </c>
      <c r="G8003">
        <v>0</v>
      </c>
      <c r="H8003" t="s">
        <v>12922</v>
      </c>
      <c r="I8003">
        <v>8987</v>
      </c>
      <c r="J8003" t="e">
        <f>VLOOKUP(E8003,DSSpieler!A:B,2,FALSE)</f>
        <v>#N/A</v>
      </c>
    </row>
    <row r="8004" spans="1:10" x14ac:dyDescent="0.25">
      <c r="A8004">
        <v>8988</v>
      </c>
      <c r="B8004" t="e">
        <f>-4-+Gin</f>
        <v>#NAME?</v>
      </c>
      <c r="C8004">
        <v>567</v>
      </c>
      <c r="D8004">
        <v>525</v>
      </c>
      <c r="E8004">
        <v>1577099191</v>
      </c>
      <c r="F8004">
        <v>1934</v>
      </c>
      <c r="G8004">
        <v>0</v>
      </c>
      <c r="H8004" t="s">
        <v>12923</v>
      </c>
      <c r="I8004">
        <v>8988</v>
      </c>
      <c r="J8004" t="str">
        <f>VLOOKUP(E8004,DSSpieler!A:B,2,FALSE)</f>
        <v>luckum3000</v>
      </c>
    </row>
    <row r="8005" spans="1:10" x14ac:dyDescent="0.25">
      <c r="A8005">
        <v>8989</v>
      </c>
      <c r="B8005" t="s">
        <v>531</v>
      </c>
      <c r="C8005">
        <v>477</v>
      </c>
      <c r="D8005">
        <v>595</v>
      </c>
      <c r="E8005">
        <v>0</v>
      </c>
      <c r="F8005">
        <v>216</v>
      </c>
      <c r="G8005">
        <v>0</v>
      </c>
      <c r="H8005" t="s">
        <v>12924</v>
      </c>
      <c r="I8005">
        <v>8989</v>
      </c>
      <c r="J8005" t="e">
        <f>VLOOKUP(E8005,DSSpieler!A:B,2,FALSE)</f>
        <v>#N/A</v>
      </c>
    </row>
    <row r="8006" spans="1:10" x14ac:dyDescent="0.25">
      <c r="A8006">
        <v>8990</v>
      </c>
      <c r="B8006" t="s">
        <v>33451</v>
      </c>
      <c r="C8006">
        <v>494</v>
      </c>
      <c r="D8006">
        <v>431</v>
      </c>
      <c r="E8006">
        <v>1577186605</v>
      </c>
      <c r="F8006">
        <v>5954</v>
      </c>
      <c r="G8006">
        <v>0</v>
      </c>
      <c r="H8006" t="s">
        <v>12925</v>
      </c>
      <c r="I8006">
        <v>8990</v>
      </c>
      <c r="J8006" t="str">
        <f>VLOOKUP(E8006,DSSpieler!A:B,2,FALSE)</f>
        <v>FlowRyan2012</v>
      </c>
    </row>
    <row r="8007" spans="1:10" x14ac:dyDescent="0.25">
      <c r="A8007">
        <v>8991</v>
      </c>
      <c r="B8007" t="s">
        <v>33452</v>
      </c>
      <c r="C8007">
        <v>413</v>
      </c>
      <c r="D8007">
        <v>470</v>
      </c>
      <c r="E8007">
        <v>1577127393</v>
      </c>
      <c r="F8007">
        <v>3683</v>
      </c>
      <c r="G8007">
        <v>0</v>
      </c>
      <c r="H8007" t="s">
        <v>12926</v>
      </c>
      <c r="I8007">
        <v>8991</v>
      </c>
      <c r="J8007" t="str">
        <f>VLOOKUP(E8007,DSSpieler!A:B,2,FALSE)</f>
        <v>Sk0rpi</v>
      </c>
    </row>
    <row r="8008" spans="1:10" x14ac:dyDescent="0.25">
      <c r="A8008">
        <v>8992</v>
      </c>
      <c r="B8008" t="s">
        <v>33453</v>
      </c>
      <c r="C8008">
        <v>520</v>
      </c>
      <c r="D8008">
        <v>576</v>
      </c>
      <c r="E8008">
        <v>1576220378</v>
      </c>
      <c r="F8008">
        <v>4404</v>
      </c>
      <c r="G8008">
        <v>0</v>
      </c>
      <c r="H8008" t="s">
        <v>12927</v>
      </c>
      <c r="I8008">
        <v>8992</v>
      </c>
      <c r="J8008" t="str">
        <f>VLOOKUP(E8008,DSSpieler!A:B,2,FALSE)</f>
        <v>Octesh</v>
      </c>
    </row>
    <row r="8009" spans="1:10" x14ac:dyDescent="0.25">
      <c r="A8009">
        <v>8993</v>
      </c>
      <c r="B8009" t="s">
        <v>33454</v>
      </c>
      <c r="C8009">
        <v>583</v>
      </c>
      <c r="D8009">
        <v>436</v>
      </c>
      <c r="E8009">
        <v>1577197559</v>
      </c>
      <c r="F8009">
        <v>6269</v>
      </c>
      <c r="G8009">
        <v>0</v>
      </c>
      <c r="H8009" t="s">
        <v>12928</v>
      </c>
      <c r="I8009">
        <v>8993</v>
      </c>
      <c r="J8009" t="str">
        <f>VLOOKUP(E8009,DSSpieler!A:B,2,FALSE)</f>
        <v>Amaterasu-o-mi-kami</v>
      </c>
    </row>
    <row r="8010" spans="1:10" x14ac:dyDescent="0.25">
      <c r="A8010">
        <v>8994</v>
      </c>
      <c r="B8010" t="s">
        <v>1750</v>
      </c>
      <c r="C8010">
        <v>454</v>
      </c>
      <c r="D8010">
        <v>580</v>
      </c>
      <c r="E8010">
        <v>3230894</v>
      </c>
      <c r="F8010">
        <v>6688</v>
      </c>
      <c r="G8010">
        <v>0</v>
      </c>
      <c r="H8010" t="s">
        <v>12929</v>
      </c>
      <c r="I8010">
        <v>8994</v>
      </c>
      <c r="J8010" t="str">
        <f>VLOOKUP(E8010,DSSpieler!A:B,2,FALSE)</f>
        <v>Born2Fight87</v>
      </c>
    </row>
    <row r="8011" spans="1:10" x14ac:dyDescent="0.25">
      <c r="A8011">
        <v>8995</v>
      </c>
      <c r="B8011" t="s">
        <v>531</v>
      </c>
      <c r="C8011">
        <v>591</v>
      </c>
      <c r="D8011">
        <v>485</v>
      </c>
      <c r="E8011">
        <v>0</v>
      </c>
      <c r="F8011">
        <v>178</v>
      </c>
      <c r="G8011">
        <v>0</v>
      </c>
      <c r="H8011" t="s">
        <v>12930</v>
      </c>
      <c r="I8011">
        <v>8995</v>
      </c>
      <c r="J8011" t="e">
        <f>VLOOKUP(E8011,DSSpieler!A:B,2,FALSE)</f>
        <v>#N/A</v>
      </c>
    </row>
    <row r="8012" spans="1:10" x14ac:dyDescent="0.25">
      <c r="A8012">
        <v>8996</v>
      </c>
      <c r="B8012" t="s">
        <v>33455</v>
      </c>
      <c r="C8012">
        <v>469</v>
      </c>
      <c r="D8012">
        <v>589</v>
      </c>
      <c r="E8012">
        <v>1576629992</v>
      </c>
      <c r="F8012">
        <v>2341</v>
      </c>
      <c r="G8012">
        <v>0</v>
      </c>
      <c r="H8012" t="s">
        <v>12931</v>
      </c>
      <c r="I8012">
        <v>8996</v>
      </c>
      <c r="J8012" t="str">
        <f>VLOOKUP(E8012,DSSpieler!A:B,2,FALSE)</f>
        <v>Bärenkatapult</v>
      </c>
    </row>
    <row r="8013" spans="1:10" x14ac:dyDescent="0.25">
      <c r="A8013">
        <v>8997</v>
      </c>
      <c r="B8013" t="s">
        <v>1751</v>
      </c>
      <c r="C8013">
        <v>521</v>
      </c>
      <c r="D8013">
        <v>415</v>
      </c>
      <c r="E8013">
        <v>1577010599</v>
      </c>
      <c r="F8013">
        <v>2758</v>
      </c>
      <c r="G8013">
        <v>0</v>
      </c>
      <c r="H8013" t="s">
        <v>12932</v>
      </c>
      <c r="I8013">
        <v>8997</v>
      </c>
      <c r="J8013" t="str">
        <f>VLOOKUP(E8013,DSSpieler!A:B,2,FALSE)</f>
        <v>ick und du</v>
      </c>
    </row>
    <row r="8014" spans="1:10" x14ac:dyDescent="0.25">
      <c r="A8014">
        <v>8998</v>
      </c>
      <c r="B8014" t="s">
        <v>550</v>
      </c>
      <c r="C8014">
        <v>418</v>
      </c>
      <c r="D8014">
        <v>528</v>
      </c>
      <c r="E8014">
        <v>1577162296</v>
      </c>
      <c r="F8014">
        <v>3257</v>
      </c>
      <c r="G8014">
        <v>0</v>
      </c>
      <c r="H8014" t="s">
        <v>12933</v>
      </c>
      <c r="I8014">
        <v>8998</v>
      </c>
      <c r="J8014" t="str">
        <f>VLOOKUP(E8014,DSSpieler!A:B,2,FALSE)</f>
        <v>Tausspaul</v>
      </c>
    </row>
    <row r="8015" spans="1:10" x14ac:dyDescent="0.25">
      <c r="A8015">
        <v>8999</v>
      </c>
      <c r="B8015" t="s">
        <v>33456</v>
      </c>
      <c r="C8015">
        <v>470</v>
      </c>
      <c r="D8015">
        <v>413</v>
      </c>
      <c r="E8015">
        <v>7643960</v>
      </c>
      <c r="F8015">
        <v>4938</v>
      </c>
      <c r="G8015">
        <v>0</v>
      </c>
      <c r="H8015" t="s">
        <v>12934</v>
      </c>
      <c r="I8015">
        <v>8999</v>
      </c>
      <c r="J8015" t="str">
        <f>VLOOKUP(E8015,DSSpieler!A:B,2,FALSE)</f>
        <v>kongi1234</v>
      </c>
    </row>
    <row r="8016" spans="1:10" x14ac:dyDescent="0.25">
      <c r="A8016">
        <v>9000</v>
      </c>
      <c r="B8016" t="s">
        <v>33457</v>
      </c>
      <c r="C8016">
        <v>420</v>
      </c>
      <c r="D8016">
        <v>546</v>
      </c>
      <c r="E8016">
        <v>1577153480</v>
      </c>
      <c r="F8016">
        <v>4833</v>
      </c>
      <c r="G8016">
        <v>0</v>
      </c>
      <c r="H8016" t="s">
        <v>12935</v>
      </c>
      <c r="I8016">
        <v>9000</v>
      </c>
      <c r="J8016" t="str">
        <f>VLOOKUP(E8016,DSSpieler!A:B,2,FALSE)</f>
        <v>AxPass</v>
      </c>
    </row>
    <row r="8017" spans="1:10" x14ac:dyDescent="0.25">
      <c r="A8017">
        <v>9001</v>
      </c>
      <c r="B8017" t="s">
        <v>531</v>
      </c>
      <c r="C8017">
        <v>562</v>
      </c>
      <c r="D8017">
        <v>532</v>
      </c>
      <c r="E8017">
        <v>0</v>
      </c>
      <c r="F8017">
        <v>550</v>
      </c>
      <c r="G8017">
        <v>0</v>
      </c>
      <c r="H8017" t="s">
        <v>12936</v>
      </c>
      <c r="I8017">
        <v>9001</v>
      </c>
      <c r="J8017" t="e">
        <f>VLOOKUP(E8017,DSSpieler!A:B,2,FALSE)</f>
        <v>#N/A</v>
      </c>
    </row>
    <row r="8018" spans="1:10" x14ac:dyDescent="0.25">
      <c r="A8018">
        <v>9003</v>
      </c>
      <c r="B8018" t="s">
        <v>33458</v>
      </c>
      <c r="C8018">
        <v>490</v>
      </c>
      <c r="D8018">
        <v>591</v>
      </c>
      <c r="E8018">
        <v>1577160660</v>
      </c>
      <c r="F8018">
        <v>6898</v>
      </c>
      <c r="G8018">
        <v>0</v>
      </c>
      <c r="H8018" t="s">
        <v>12937</v>
      </c>
      <c r="I8018">
        <v>9003</v>
      </c>
      <c r="J8018" t="str">
        <f>VLOOKUP(E8018,DSSpieler!A:B,2,FALSE)</f>
        <v>Muddii</v>
      </c>
    </row>
    <row r="8019" spans="1:10" x14ac:dyDescent="0.25">
      <c r="A8019">
        <v>9004</v>
      </c>
      <c r="B8019" t="s">
        <v>33459</v>
      </c>
      <c r="C8019">
        <v>592</v>
      </c>
      <c r="D8019">
        <v>440</v>
      </c>
      <c r="E8019">
        <v>10086232</v>
      </c>
      <c r="F8019">
        <v>3971</v>
      </c>
      <c r="G8019">
        <v>0</v>
      </c>
      <c r="H8019" t="s">
        <v>12938</v>
      </c>
      <c r="I8019">
        <v>9004</v>
      </c>
      <c r="J8019" t="str">
        <f>VLOOKUP(E8019,DSSpieler!A:B,2,FALSE)</f>
        <v>Stucki99</v>
      </c>
    </row>
    <row r="8020" spans="1:10" x14ac:dyDescent="0.25">
      <c r="A8020">
        <v>9005</v>
      </c>
      <c r="B8020" t="s">
        <v>531</v>
      </c>
      <c r="C8020">
        <v>468</v>
      </c>
      <c r="D8020">
        <v>412</v>
      </c>
      <c r="E8020">
        <v>0</v>
      </c>
      <c r="F8020">
        <v>259</v>
      </c>
      <c r="G8020">
        <v>0</v>
      </c>
      <c r="H8020" t="s">
        <v>12939</v>
      </c>
      <c r="I8020">
        <v>9005</v>
      </c>
      <c r="J8020" t="e">
        <f>VLOOKUP(E8020,DSSpieler!A:B,2,FALSE)</f>
        <v>#N/A</v>
      </c>
    </row>
    <row r="8021" spans="1:10" x14ac:dyDescent="0.25">
      <c r="A8021">
        <v>9006</v>
      </c>
      <c r="B8021" t="s">
        <v>33460</v>
      </c>
      <c r="C8021">
        <v>442</v>
      </c>
      <c r="D8021">
        <v>419</v>
      </c>
      <c r="E8021">
        <v>1575963662</v>
      </c>
      <c r="F8021">
        <v>8196</v>
      </c>
      <c r="G8021">
        <v>0</v>
      </c>
      <c r="H8021" t="s">
        <v>12940</v>
      </c>
      <c r="I8021">
        <v>9006</v>
      </c>
      <c r="J8021" t="str">
        <f>VLOOKUP(E8021,DSSpieler!A:B,2,FALSE)</f>
        <v>andzq</v>
      </c>
    </row>
    <row r="8022" spans="1:10" x14ac:dyDescent="0.25">
      <c r="A8022">
        <v>9007</v>
      </c>
      <c r="B8022" t="s">
        <v>531</v>
      </c>
      <c r="C8022">
        <v>547</v>
      </c>
      <c r="D8022">
        <v>580</v>
      </c>
      <c r="E8022">
        <v>0</v>
      </c>
      <c r="F8022">
        <v>240</v>
      </c>
      <c r="G8022">
        <v>0</v>
      </c>
      <c r="H8022" t="s">
        <v>12941</v>
      </c>
      <c r="I8022">
        <v>9007</v>
      </c>
      <c r="J8022" t="e">
        <f>VLOOKUP(E8022,DSSpieler!A:B,2,FALSE)</f>
        <v>#N/A</v>
      </c>
    </row>
    <row r="8023" spans="1:10" x14ac:dyDescent="0.25">
      <c r="A8023">
        <v>9008</v>
      </c>
      <c r="B8023" t="s">
        <v>979</v>
      </c>
      <c r="C8023">
        <v>515</v>
      </c>
      <c r="D8023">
        <v>593</v>
      </c>
      <c r="E8023">
        <v>9589757</v>
      </c>
      <c r="F8023">
        <v>4970</v>
      </c>
      <c r="G8023">
        <v>0</v>
      </c>
      <c r="H8023" t="s">
        <v>12942</v>
      </c>
      <c r="I8023">
        <v>9008</v>
      </c>
      <c r="J8023" t="str">
        <f>VLOOKUP(E8023,DSSpieler!A:B,2,FALSE)</f>
        <v>Bluddeux</v>
      </c>
    </row>
    <row r="8024" spans="1:10" x14ac:dyDescent="0.25">
      <c r="A8024">
        <v>9009</v>
      </c>
      <c r="B8024" t="s">
        <v>531</v>
      </c>
      <c r="C8024">
        <v>440</v>
      </c>
      <c r="D8024">
        <v>430</v>
      </c>
      <c r="E8024">
        <v>0</v>
      </c>
      <c r="F8024">
        <v>174</v>
      </c>
      <c r="G8024">
        <v>0</v>
      </c>
      <c r="H8024" t="s">
        <v>12943</v>
      </c>
      <c r="I8024">
        <v>9009</v>
      </c>
      <c r="J8024" t="e">
        <f>VLOOKUP(E8024,DSSpieler!A:B,2,FALSE)</f>
        <v>#N/A</v>
      </c>
    </row>
    <row r="8025" spans="1:10" x14ac:dyDescent="0.25">
      <c r="A8025">
        <v>9010</v>
      </c>
      <c r="B8025" t="s">
        <v>626</v>
      </c>
      <c r="C8025">
        <v>522</v>
      </c>
      <c r="D8025">
        <v>397</v>
      </c>
      <c r="E8025">
        <v>1577069277</v>
      </c>
      <c r="F8025">
        <v>6715</v>
      </c>
      <c r="G8025">
        <v>0</v>
      </c>
      <c r="H8025" t="s">
        <v>12944</v>
      </c>
      <c r="I8025">
        <v>9010</v>
      </c>
      <c r="J8025" t="str">
        <f>VLOOKUP(E8025,DSSpieler!A:B,2,FALSE)</f>
        <v>Bauer sucht Sau</v>
      </c>
    </row>
    <row r="8026" spans="1:10" x14ac:dyDescent="0.25">
      <c r="A8026">
        <v>9011</v>
      </c>
      <c r="B8026" t="s">
        <v>33461</v>
      </c>
      <c r="C8026">
        <v>467</v>
      </c>
      <c r="D8026">
        <v>419</v>
      </c>
      <c r="E8026">
        <v>1577188010</v>
      </c>
      <c r="F8026">
        <v>5631</v>
      </c>
      <c r="G8026">
        <v>0</v>
      </c>
      <c r="H8026" t="s">
        <v>12945</v>
      </c>
      <c r="I8026">
        <v>9011</v>
      </c>
      <c r="J8026" t="str">
        <f>VLOOKUP(E8026,DSSpieler!A:B,2,FALSE)</f>
        <v>Lord Grapefruit</v>
      </c>
    </row>
    <row r="8027" spans="1:10" x14ac:dyDescent="0.25">
      <c r="A8027">
        <v>9012</v>
      </c>
      <c r="B8027" t="s">
        <v>33462</v>
      </c>
      <c r="C8027">
        <v>555</v>
      </c>
      <c r="D8027">
        <v>535</v>
      </c>
      <c r="E8027">
        <v>9425598</v>
      </c>
      <c r="F8027">
        <v>3521</v>
      </c>
      <c r="G8027">
        <v>0</v>
      </c>
      <c r="H8027" t="s">
        <v>12946</v>
      </c>
      <c r="I8027">
        <v>9012</v>
      </c>
      <c r="J8027" t="str">
        <f>VLOOKUP(E8027,DSSpieler!A:B,2,FALSE)</f>
        <v>Athcor</v>
      </c>
    </row>
    <row r="8028" spans="1:10" x14ac:dyDescent="0.25">
      <c r="A8028">
        <v>9013</v>
      </c>
      <c r="B8028" t="s">
        <v>780</v>
      </c>
      <c r="C8028">
        <v>603</v>
      </c>
      <c r="D8028">
        <v>516</v>
      </c>
      <c r="E8028">
        <v>1577195219</v>
      </c>
      <c r="F8028">
        <v>6836</v>
      </c>
      <c r="G8028">
        <v>0</v>
      </c>
      <c r="H8028" t="s">
        <v>12947</v>
      </c>
      <c r="I8028">
        <v>9013</v>
      </c>
      <c r="J8028" t="str">
        <f>VLOOKUP(E8028,DSSpieler!A:B,2,FALSE)</f>
        <v>Eric Cartman</v>
      </c>
    </row>
    <row r="8029" spans="1:10" x14ac:dyDescent="0.25">
      <c r="A8029">
        <v>9014</v>
      </c>
      <c r="B8029" t="s">
        <v>32356</v>
      </c>
      <c r="C8029">
        <v>415</v>
      </c>
      <c r="D8029">
        <v>459</v>
      </c>
      <c r="E8029">
        <v>9380929</v>
      </c>
      <c r="F8029">
        <v>6591</v>
      </c>
      <c r="G8029">
        <v>0</v>
      </c>
      <c r="H8029" t="s">
        <v>12948</v>
      </c>
      <c r="I8029">
        <v>9014</v>
      </c>
      <c r="J8029" t="str">
        <f>VLOOKUP(E8029,DSSpieler!A:B,2,FALSE)</f>
        <v>sieger42</v>
      </c>
    </row>
    <row r="8030" spans="1:10" x14ac:dyDescent="0.25">
      <c r="A8030">
        <v>9015</v>
      </c>
      <c r="B8030" t="s">
        <v>1090</v>
      </c>
      <c r="C8030">
        <v>594</v>
      </c>
      <c r="D8030">
        <v>499</v>
      </c>
      <c r="E8030">
        <v>1577198730</v>
      </c>
      <c r="F8030">
        <v>4906</v>
      </c>
      <c r="G8030">
        <v>0</v>
      </c>
      <c r="H8030" t="s">
        <v>12949</v>
      </c>
      <c r="I8030">
        <v>9015</v>
      </c>
      <c r="J8030" t="str">
        <f>VLOOKUP(E8030,DSSpieler!A:B,2,FALSE)</f>
        <v>boombot94</v>
      </c>
    </row>
    <row r="8031" spans="1:10" x14ac:dyDescent="0.25">
      <c r="A8031">
        <v>9016</v>
      </c>
      <c r="B8031" t="s">
        <v>1249</v>
      </c>
      <c r="C8031">
        <v>565</v>
      </c>
      <c r="D8031">
        <v>433</v>
      </c>
      <c r="E8031">
        <v>2807345</v>
      </c>
      <c r="F8031">
        <v>4335</v>
      </c>
      <c r="G8031">
        <v>0</v>
      </c>
      <c r="H8031" t="s">
        <v>12950</v>
      </c>
      <c r="I8031">
        <v>9016</v>
      </c>
      <c r="J8031" t="str">
        <f>VLOOKUP(E8031,DSSpieler!A:B,2,FALSE)</f>
        <v>Cr00ked</v>
      </c>
    </row>
    <row r="8032" spans="1:10" x14ac:dyDescent="0.25">
      <c r="A8032">
        <v>9017</v>
      </c>
      <c r="B8032" t="s">
        <v>531</v>
      </c>
      <c r="C8032">
        <v>410</v>
      </c>
      <c r="D8032">
        <v>509</v>
      </c>
      <c r="E8032">
        <v>0</v>
      </c>
      <c r="F8032">
        <v>255</v>
      </c>
      <c r="G8032">
        <v>0</v>
      </c>
      <c r="H8032" t="s">
        <v>12951</v>
      </c>
      <c r="I8032">
        <v>9017</v>
      </c>
      <c r="J8032" t="e">
        <f>VLOOKUP(E8032,DSSpieler!A:B,2,FALSE)</f>
        <v>#N/A</v>
      </c>
    </row>
    <row r="8033" spans="1:10" x14ac:dyDescent="0.25">
      <c r="A8033">
        <v>9018</v>
      </c>
      <c r="B8033" t="s">
        <v>31536</v>
      </c>
      <c r="C8033">
        <v>589</v>
      </c>
      <c r="D8033">
        <v>434</v>
      </c>
      <c r="E8033">
        <v>1577127638</v>
      </c>
      <c r="F8033">
        <v>5835</v>
      </c>
      <c r="G8033">
        <v>0</v>
      </c>
      <c r="H8033" t="s">
        <v>12952</v>
      </c>
      <c r="I8033">
        <v>9018</v>
      </c>
      <c r="J8033" t="str">
        <f>VLOOKUP(E8033,DSSpieler!A:B,2,FALSE)</f>
        <v>dirtymonkey</v>
      </c>
    </row>
    <row r="8034" spans="1:10" x14ac:dyDescent="0.25">
      <c r="A8034">
        <v>9020</v>
      </c>
      <c r="B8034" t="s">
        <v>31154</v>
      </c>
      <c r="C8034">
        <v>564</v>
      </c>
      <c r="D8034">
        <v>468</v>
      </c>
      <c r="E8034">
        <v>1577195586</v>
      </c>
      <c r="F8034">
        <v>6286</v>
      </c>
      <c r="G8034">
        <v>0</v>
      </c>
      <c r="H8034" t="s">
        <v>12953</v>
      </c>
      <c r="I8034">
        <v>9020</v>
      </c>
      <c r="J8034" t="str">
        <f>VLOOKUP(E8034,DSSpieler!A:B,2,FALSE)</f>
        <v>snoop2810</v>
      </c>
    </row>
    <row r="8035" spans="1:10" x14ac:dyDescent="0.25">
      <c r="A8035">
        <v>9022</v>
      </c>
      <c r="B8035" t="s">
        <v>531</v>
      </c>
      <c r="C8035">
        <v>480</v>
      </c>
      <c r="D8035">
        <v>541</v>
      </c>
      <c r="E8035">
        <v>0</v>
      </c>
      <c r="F8035">
        <v>232</v>
      </c>
      <c r="G8035">
        <v>0</v>
      </c>
      <c r="H8035" t="s">
        <v>12954</v>
      </c>
      <c r="I8035">
        <v>9022</v>
      </c>
      <c r="J8035" t="e">
        <f>VLOOKUP(E8035,DSSpieler!A:B,2,FALSE)</f>
        <v>#N/A</v>
      </c>
    </row>
    <row r="8036" spans="1:10" x14ac:dyDescent="0.25">
      <c r="A8036">
        <v>9023</v>
      </c>
      <c r="B8036" t="s">
        <v>33463</v>
      </c>
      <c r="C8036">
        <v>445</v>
      </c>
      <c r="D8036">
        <v>448</v>
      </c>
      <c r="E8036">
        <v>9990099</v>
      </c>
      <c r="F8036">
        <v>7449</v>
      </c>
      <c r="G8036">
        <v>0</v>
      </c>
      <c r="H8036" t="s">
        <v>12955</v>
      </c>
      <c r="I8036">
        <v>9023</v>
      </c>
      <c r="J8036" t="str">
        <f>VLOOKUP(E8036,DSSpieler!A:B,2,FALSE)</f>
        <v>hijos de la luna</v>
      </c>
    </row>
    <row r="8037" spans="1:10" x14ac:dyDescent="0.25">
      <c r="A8037">
        <v>9025</v>
      </c>
      <c r="B8037" t="s">
        <v>33464</v>
      </c>
      <c r="C8037">
        <v>576</v>
      </c>
      <c r="D8037">
        <v>492</v>
      </c>
      <c r="E8037">
        <v>3064189</v>
      </c>
      <c r="F8037">
        <v>4613</v>
      </c>
      <c r="G8037">
        <v>0</v>
      </c>
      <c r="H8037" t="s">
        <v>12956</v>
      </c>
      <c r="I8037">
        <v>9025</v>
      </c>
      <c r="J8037" t="str">
        <f>VLOOKUP(E8037,DSSpieler!A:B,2,FALSE)</f>
        <v>Joszef</v>
      </c>
    </row>
    <row r="8038" spans="1:10" x14ac:dyDescent="0.25">
      <c r="A8038">
        <v>9026</v>
      </c>
      <c r="B8038" t="s">
        <v>978</v>
      </c>
      <c r="C8038">
        <v>584</v>
      </c>
      <c r="D8038">
        <v>468</v>
      </c>
      <c r="E8038">
        <v>1731030</v>
      </c>
      <c r="F8038">
        <v>4909</v>
      </c>
      <c r="G8038">
        <v>0</v>
      </c>
      <c r="H8038" t="s">
        <v>12957</v>
      </c>
      <c r="I8038">
        <v>9026</v>
      </c>
      <c r="J8038" t="str">
        <f>VLOOKUP(E8038,DSSpieler!A:B,2,FALSE)</f>
        <v>Keltigun</v>
      </c>
    </row>
    <row r="8039" spans="1:10" x14ac:dyDescent="0.25">
      <c r="A8039">
        <v>9028</v>
      </c>
      <c r="B8039" t="s">
        <v>33465</v>
      </c>
      <c r="C8039">
        <v>463</v>
      </c>
      <c r="D8039">
        <v>416</v>
      </c>
      <c r="E8039">
        <v>1577188010</v>
      </c>
      <c r="F8039">
        <v>3931</v>
      </c>
      <c r="G8039">
        <v>0</v>
      </c>
      <c r="H8039" t="s">
        <v>12958</v>
      </c>
      <c r="I8039">
        <v>9028</v>
      </c>
      <c r="J8039" t="str">
        <f>VLOOKUP(E8039,DSSpieler!A:B,2,FALSE)</f>
        <v>Lord Grapefruit</v>
      </c>
    </row>
    <row r="8040" spans="1:10" x14ac:dyDescent="0.25">
      <c r="A8040">
        <v>9029</v>
      </c>
      <c r="B8040">
        <v>2</v>
      </c>
      <c r="C8040">
        <v>494</v>
      </c>
      <c r="D8040">
        <v>446</v>
      </c>
      <c r="E8040">
        <v>1577180399</v>
      </c>
      <c r="F8040">
        <v>4452</v>
      </c>
      <c r="G8040">
        <v>0</v>
      </c>
      <c r="H8040" t="s">
        <v>12959</v>
      </c>
      <c r="I8040">
        <v>9029</v>
      </c>
      <c r="J8040" t="str">
        <f>VLOOKUP(E8040,DSSpieler!A:B,2,FALSE)</f>
        <v>Lord Hamburg97</v>
      </c>
    </row>
    <row r="8041" spans="1:10" x14ac:dyDescent="0.25">
      <c r="A8041">
        <v>9030</v>
      </c>
      <c r="B8041" t="s">
        <v>531</v>
      </c>
      <c r="C8041">
        <v>478</v>
      </c>
      <c r="D8041">
        <v>592</v>
      </c>
      <c r="E8041">
        <v>0</v>
      </c>
      <c r="F8041">
        <v>522</v>
      </c>
      <c r="G8041">
        <v>0</v>
      </c>
      <c r="H8041" t="s">
        <v>12960</v>
      </c>
      <c r="I8041">
        <v>9030</v>
      </c>
      <c r="J8041" t="e">
        <f>VLOOKUP(E8041,DSSpieler!A:B,2,FALSE)</f>
        <v>#N/A</v>
      </c>
    </row>
    <row r="8042" spans="1:10" x14ac:dyDescent="0.25">
      <c r="A8042">
        <v>9031</v>
      </c>
      <c r="B8042" t="s">
        <v>531</v>
      </c>
      <c r="C8042">
        <v>466</v>
      </c>
      <c r="D8042">
        <v>531</v>
      </c>
      <c r="E8042">
        <v>0</v>
      </c>
      <c r="F8042">
        <v>208</v>
      </c>
      <c r="G8042">
        <v>0</v>
      </c>
      <c r="H8042" t="s">
        <v>12961</v>
      </c>
      <c r="I8042">
        <v>9031</v>
      </c>
      <c r="J8042" t="e">
        <f>VLOOKUP(E8042,DSSpieler!A:B,2,FALSE)</f>
        <v>#N/A</v>
      </c>
    </row>
    <row r="8043" spans="1:10" x14ac:dyDescent="0.25">
      <c r="A8043">
        <v>9033</v>
      </c>
      <c r="B8043" t="s">
        <v>33466</v>
      </c>
      <c r="C8043">
        <v>520</v>
      </c>
      <c r="D8043">
        <v>590</v>
      </c>
      <c r="E8043">
        <v>7727491</v>
      </c>
      <c r="F8043">
        <v>4302</v>
      </c>
      <c r="G8043">
        <v>0</v>
      </c>
      <c r="H8043" t="s">
        <v>12962</v>
      </c>
      <c r="I8043">
        <v>9033</v>
      </c>
      <c r="J8043" t="str">
        <f>VLOOKUP(E8043,DSSpieler!A:B,2,FALSE)</f>
        <v>diego-94</v>
      </c>
    </row>
    <row r="8044" spans="1:10" x14ac:dyDescent="0.25">
      <c r="A8044">
        <v>9034</v>
      </c>
      <c r="B8044" t="s">
        <v>531</v>
      </c>
      <c r="C8044">
        <v>414</v>
      </c>
      <c r="D8044">
        <v>536</v>
      </c>
      <c r="E8044">
        <v>8635827</v>
      </c>
      <c r="F8044">
        <v>4037</v>
      </c>
      <c r="G8044">
        <v>0</v>
      </c>
      <c r="H8044" t="s">
        <v>12963</v>
      </c>
      <c r="I8044">
        <v>9034</v>
      </c>
      <c r="J8044" t="str">
        <f>VLOOKUP(E8044,DSSpieler!A:B,2,FALSE)</f>
        <v>thomaner15</v>
      </c>
    </row>
    <row r="8045" spans="1:10" x14ac:dyDescent="0.25">
      <c r="A8045">
        <v>9036</v>
      </c>
      <c r="B8045" t="s">
        <v>531</v>
      </c>
      <c r="C8045">
        <v>480</v>
      </c>
      <c r="D8045">
        <v>533</v>
      </c>
      <c r="E8045">
        <v>0</v>
      </c>
      <c r="F8045">
        <v>204</v>
      </c>
      <c r="G8045">
        <v>0</v>
      </c>
      <c r="H8045" t="s">
        <v>12964</v>
      </c>
      <c r="I8045">
        <v>9036</v>
      </c>
      <c r="J8045" t="e">
        <f>VLOOKUP(E8045,DSSpieler!A:B,2,FALSE)</f>
        <v>#N/A</v>
      </c>
    </row>
    <row r="8046" spans="1:10" x14ac:dyDescent="0.25">
      <c r="A8046">
        <v>9037</v>
      </c>
      <c r="B8046">
        <v>1010101001</v>
      </c>
      <c r="C8046">
        <v>454</v>
      </c>
      <c r="D8046">
        <v>448</v>
      </c>
      <c r="E8046">
        <v>1577041398</v>
      </c>
      <c r="F8046">
        <v>3365</v>
      </c>
      <c r="G8046">
        <v>0</v>
      </c>
      <c r="H8046" t="s">
        <v>12965</v>
      </c>
      <c r="I8046">
        <v>9037</v>
      </c>
      <c r="J8046" t="str">
        <f>VLOOKUP(E8046,DSSpieler!A:B,2,FALSE)</f>
        <v>Pizzy the deff offer</v>
      </c>
    </row>
    <row r="8047" spans="1:10" x14ac:dyDescent="0.25">
      <c r="A8047">
        <v>9038</v>
      </c>
      <c r="B8047" t="s">
        <v>33467</v>
      </c>
      <c r="C8047">
        <v>428</v>
      </c>
      <c r="D8047">
        <v>445</v>
      </c>
      <c r="E8047">
        <v>1576912487</v>
      </c>
      <c r="F8047">
        <v>1983</v>
      </c>
      <c r="G8047">
        <v>0</v>
      </c>
      <c r="H8047" t="s">
        <v>12966</v>
      </c>
      <c r="I8047">
        <v>9038</v>
      </c>
      <c r="J8047" t="str">
        <f>VLOOKUP(E8047,DSSpieler!A:B,2,FALSE)</f>
        <v>Vercingetorix64</v>
      </c>
    </row>
    <row r="8048" spans="1:10" x14ac:dyDescent="0.25">
      <c r="A8048">
        <v>9039</v>
      </c>
      <c r="B8048" t="s">
        <v>78</v>
      </c>
      <c r="C8048">
        <v>591</v>
      </c>
      <c r="D8048">
        <v>511</v>
      </c>
      <c r="E8048">
        <v>9284860</v>
      </c>
      <c r="F8048">
        <v>2931</v>
      </c>
      <c r="G8048">
        <v>0</v>
      </c>
      <c r="H8048" t="s">
        <v>12967</v>
      </c>
      <c r="I8048">
        <v>9039</v>
      </c>
      <c r="J8048" t="str">
        <f>VLOOKUP(E8048,DSSpieler!A:B,2,FALSE)</f>
        <v>Nextwe</v>
      </c>
    </row>
    <row r="8049" spans="1:10" x14ac:dyDescent="0.25">
      <c r="A8049">
        <v>9040</v>
      </c>
      <c r="B8049" t="s">
        <v>531</v>
      </c>
      <c r="C8049">
        <v>509</v>
      </c>
      <c r="D8049">
        <v>409</v>
      </c>
      <c r="E8049">
        <v>0</v>
      </c>
      <c r="F8049">
        <v>384</v>
      </c>
      <c r="G8049">
        <v>0</v>
      </c>
      <c r="H8049" t="s">
        <v>12968</v>
      </c>
      <c r="I8049">
        <v>9040</v>
      </c>
      <c r="J8049" t="e">
        <f>VLOOKUP(E8049,DSSpieler!A:B,2,FALSE)</f>
        <v>#N/A</v>
      </c>
    </row>
    <row r="8050" spans="1:10" x14ac:dyDescent="0.25">
      <c r="A8050">
        <v>9041</v>
      </c>
      <c r="B8050" t="s">
        <v>33468</v>
      </c>
      <c r="C8050">
        <v>502</v>
      </c>
      <c r="D8050">
        <v>433</v>
      </c>
      <c r="E8050">
        <v>9190648</v>
      </c>
      <c r="F8050">
        <v>2155</v>
      </c>
      <c r="G8050">
        <v>0</v>
      </c>
      <c r="H8050" t="s">
        <v>12969</v>
      </c>
      <c r="I8050">
        <v>9041</v>
      </c>
      <c r="J8050" t="str">
        <f>VLOOKUP(E8050,DSSpieler!A:B,2,FALSE)</f>
        <v>Zoker204</v>
      </c>
    </row>
    <row r="8051" spans="1:10" x14ac:dyDescent="0.25">
      <c r="A8051">
        <v>9042</v>
      </c>
      <c r="B8051" t="s">
        <v>673</v>
      </c>
      <c r="C8051">
        <v>449</v>
      </c>
      <c r="D8051">
        <v>413</v>
      </c>
      <c r="E8051">
        <v>1576671087</v>
      </c>
      <c r="F8051">
        <v>6779</v>
      </c>
      <c r="G8051">
        <v>0</v>
      </c>
      <c r="H8051" t="s">
        <v>12970</v>
      </c>
      <c r="I8051">
        <v>9042</v>
      </c>
      <c r="J8051" t="str">
        <f>VLOOKUP(E8051,DSSpieler!A:B,2,FALSE)</f>
        <v>Knallhart</v>
      </c>
    </row>
    <row r="8052" spans="1:10" x14ac:dyDescent="0.25">
      <c r="A8052">
        <v>9043</v>
      </c>
      <c r="B8052" t="s">
        <v>531</v>
      </c>
      <c r="C8052">
        <v>477</v>
      </c>
      <c r="D8052">
        <v>529</v>
      </c>
      <c r="E8052">
        <v>0</v>
      </c>
      <c r="F8052">
        <v>326</v>
      </c>
      <c r="G8052">
        <v>0</v>
      </c>
      <c r="H8052" t="s">
        <v>12971</v>
      </c>
      <c r="I8052">
        <v>9043</v>
      </c>
      <c r="J8052" t="e">
        <f>VLOOKUP(E8052,DSSpieler!A:B,2,FALSE)</f>
        <v>#N/A</v>
      </c>
    </row>
    <row r="8053" spans="1:10" x14ac:dyDescent="0.25">
      <c r="A8053">
        <v>9045</v>
      </c>
      <c r="B8053" t="s">
        <v>33469</v>
      </c>
      <c r="C8053">
        <v>508</v>
      </c>
      <c r="D8053">
        <v>408</v>
      </c>
      <c r="E8053">
        <v>1576679391</v>
      </c>
      <c r="F8053">
        <v>6615</v>
      </c>
      <c r="G8053">
        <v>0</v>
      </c>
      <c r="H8053" t="s">
        <v>12972</v>
      </c>
      <c r="I8053">
        <v>9045</v>
      </c>
      <c r="J8053" t="str">
        <f>VLOOKUP(E8053,DSSpieler!A:B,2,FALSE)</f>
        <v>Carol Beer</v>
      </c>
    </row>
    <row r="8054" spans="1:10" x14ac:dyDescent="0.25">
      <c r="A8054">
        <v>9046</v>
      </c>
      <c r="B8054" t="s">
        <v>1264</v>
      </c>
      <c r="C8054">
        <v>589</v>
      </c>
      <c r="D8054">
        <v>471</v>
      </c>
      <c r="E8054">
        <v>1577197668</v>
      </c>
      <c r="F8054">
        <v>6835</v>
      </c>
      <c r="G8054">
        <v>0</v>
      </c>
      <c r="H8054" t="s">
        <v>12973</v>
      </c>
      <c r="I8054">
        <v>9046</v>
      </c>
      <c r="J8054" t="str">
        <f>VLOOKUP(E8054,DSSpieler!A:B,2,FALSE)</f>
        <v>wuRsTwErfeR</v>
      </c>
    </row>
    <row r="8055" spans="1:10" x14ac:dyDescent="0.25">
      <c r="A8055">
        <v>9048</v>
      </c>
      <c r="B8055" t="s">
        <v>33470</v>
      </c>
      <c r="C8055">
        <v>440</v>
      </c>
      <c r="D8055">
        <v>518</v>
      </c>
      <c r="E8055">
        <v>1577181814</v>
      </c>
      <c r="F8055">
        <v>9087</v>
      </c>
      <c r="G8055">
        <v>0</v>
      </c>
      <c r="H8055" t="s">
        <v>12974</v>
      </c>
      <c r="I8055">
        <v>9048</v>
      </c>
      <c r="J8055" t="str">
        <f>VLOOKUP(E8055,DSSpieler!A:B,2,FALSE)</f>
        <v>jack.daniels</v>
      </c>
    </row>
    <row r="8056" spans="1:10" x14ac:dyDescent="0.25">
      <c r="A8056">
        <v>9049</v>
      </c>
      <c r="B8056" t="s">
        <v>546</v>
      </c>
      <c r="C8056">
        <v>508</v>
      </c>
      <c r="D8056">
        <v>449</v>
      </c>
      <c r="E8056">
        <v>1576977795</v>
      </c>
      <c r="F8056">
        <v>3923</v>
      </c>
      <c r="G8056">
        <v>0</v>
      </c>
      <c r="H8056" t="s">
        <v>12975</v>
      </c>
      <c r="I8056">
        <v>9049</v>
      </c>
      <c r="J8056" t="str">
        <f>VLOOKUP(E8056,DSSpieler!A:B,2,FALSE)</f>
        <v>-0815-</v>
      </c>
    </row>
    <row r="8057" spans="1:10" x14ac:dyDescent="0.25">
      <c r="A8057">
        <v>9050</v>
      </c>
      <c r="B8057" t="s">
        <v>33471</v>
      </c>
      <c r="C8057">
        <v>572</v>
      </c>
      <c r="D8057">
        <v>439</v>
      </c>
      <c r="E8057">
        <v>1577015241</v>
      </c>
      <c r="F8057">
        <v>1034</v>
      </c>
      <c r="G8057">
        <v>0</v>
      </c>
      <c r="H8057" t="s">
        <v>12976</v>
      </c>
      <c r="I8057">
        <v>9050</v>
      </c>
      <c r="J8057" t="str">
        <f>VLOOKUP(E8057,DSSpieler!A:B,2,FALSE)</f>
        <v>Marijain</v>
      </c>
    </row>
    <row r="8058" spans="1:10" x14ac:dyDescent="0.25">
      <c r="A8058">
        <v>9051</v>
      </c>
      <c r="B8058" t="s">
        <v>546</v>
      </c>
      <c r="C8058">
        <v>508</v>
      </c>
      <c r="D8058">
        <v>428</v>
      </c>
      <c r="E8058">
        <v>1576876614</v>
      </c>
      <c r="F8058">
        <v>5953</v>
      </c>
      <c r="G8058">
        <v>0</v>
      </c>
      <c r="H8058" t="s">
        <v>12977</v>
      </c>
      <c r="I8058">
        <v>9051</v>
      </c>
      <c r="J8058" t="str">
        <f>VLOOKUP(E8058,DSSpieler!A:B,2,FALSE)</f>
        <v>Matzetutu</v>
      </c>
    </row>
    <row r="8059" spans="1:10" x14ac:dyDescent="0.25">
      <c r="A8059">
        <v>9052</v>
      </c>
      <c r="B8059" t="s">
        <v>1752</v>
      </c>
      <c r="C8059">
        <v>575</v>
      </c>
      <c r="D8059">
        <v>446</v>
      </c>
      <c r="E8059">
        <v>1577109849</v>
      </c>
      <c r="F8059">
        <v>6363</v>
      </c>
      <c r="G8059">
        <v>0</v>
      </c>
      <c r="H8059" t="s">
        <v>12978</v>
      </c>
      <c r="I8059">
        <v>9052</v>
      </c>
      <c r="J8059" t="str">
        <f>VLOOKUP(E8059,DSSpieler!A:B,2,FALSE)</f>
        <v>Klasi</v>
      </c>
    </row>
    <row r="8060" spans="1:10" x14ac:dyDescent="0.25">
      <c r="A8060">
        <v>9054</v>
      </c>
      <c r="B8060" t="s">
        <v>33472</v>
      </c>
      <c r="C8060">
        <v>571</v>
      </c>
      <c r="D8060">
        <v>440</v>
      </c>
      <c r="E8060">
        <v>8179590</v>
      </c>
      <c r="F8060">
        <v>4539</v>
      </c>
      <c r="G8060">
        <v>0</v>
      </c>
      <c r="H8060" t="s">
        <v>12979</v>
      </c>
      <c r="I8060">
        <v>9054</v>
      </c>
      <c r="J8060" t="str">
        <f>VLOOKUP(E8060,DSSpieler!A:B,2,FALSE)</f>
        <v>-Lutschdn?</v>
      </c>
    </row>
    <row r="8061" spans="1:10" x14ac:dyDescent="0.25">
      <c r="A8061">
        <v>9055</v>
      </c>
      <c r="B8061" t="s">
        <v>531</v>
      </c>
      <c r="C8061">
        <v>582</v>
      </c>
      <c r="D8061">
        <v>457</v>
      </c>
      <c r="E8061">
        <v>0</v>
      </c>
      <c r="F8061">
        <v>402</v>
      </c>
      <c r="G8061">
        <v>0</v>
      </c>
      <c r="H8061" t="s">
        <v>12980</v>
      </c>
      <c r="I8061">
        <v>9055</v>
      </c>
      <c r="J8061" t="e">
        <f>VLOOKUP(E8061,DSSpieler!A:B,2,FALSE)</f>
        <v>#N/A</v>
      </c>
    </row>
    <row r="8062" spans="1:10" x14ac:dyDescent="0.25">
      <c r="A8062">
        <v>9056</v>
      </c>
      <c r="B8062" t="s">
        <v>1753</v>
      </c>
      <c r="C8062">
        <v>498</v>
      </c>
      <c r="D8062">
        <v>406</v>
      </c>
      <c r="E8062">
        <v>1577197320</v>
      </c>
      <c r="F8062">
        <v>7524</v>
      </c>
      <c r="G8062">
        <v>0</v>
      </c>
      <c r="H8062" t="s">
        <v>12981</v>
      </c>
      <c r="I8062">
        <v>9056</v>
      </c>
      <c r="J8062" t="str">
        <f>VLOOKUP(E8062,DSSpieler!A:B,2,FALSE)</f>
        <v>DamnJam</v>
      </c>
    </row>
    <row r="8063" spans="1:10" x14ac:dyDescent="0.25">
      <c r="A8063">
        <v>9057</v>
      </c>
      <c r="B8063" t="s">
        <v>33473</v>
      </c>
      <c r="C8063">
        <v>439</v>
      </c>
      <c r="D8063">
        <v>428</v>
      </c>
      <c r="E8063">
        <v>1577177525</v>
      </c>
      <c r="F8063">
        <v>985</v>
      </c>
      <c r="G8063">
        <v>0</v>
      </c>
      <c r="H8063" t="s">
        <v>12982</v>
      </c>
      <c r="I8063">
        <v>9057</v>
      </c>
      <c r="J8063" t="str">
        <f>VLOOKUP(E8063,DSSpieler!A:B,2,FALSE)</f>
        <v>Nightmarry</v>
      </c>
    </row>
    <row r="8064" spans="1:10" x14ac:dyDescent="0.25">
      <c r="A8064">
        <v>9059</v>
      </c>
      <c r="B8064" t="s">
        <v>531</v>
      </c>
      <c r="C8064">
        <v>463</v>
      </c>
      <c r="D8064">
        <v>414</v>
      </c>
      <c r="E8064">
        <v>0</v>
      </c>
      <c r="F8064">
        <v>382</v>
      </c>
      <c r="G8064">
        <v>0</v>
      </c>
      <c r="H8064" t="s">
        <v>12983</v>
      </c>
      <c r="I8064">
        <v>9059</v>
      </c>
      <c r="J8064" t="e">
        <f>VLOOKUP(E8064,DSSpieler!A:B,2,FALSE)</f>
        <v>#N/A</v>
      </c>
    </row>
    <row r="8065" spans="1:10" x14ac:dyDescent="0.25">
      <c r="A8065">
        <v>9060</v>
      </c>
      <c r="B8065" t="s">
        <v>33474</v>
      </c>
      <c r="C8065">
        <v>574</v>
      </c>
      <c r="D8065">
        <v>439</v>
      </c>
      <c r="E8065">
        <v>1577163300</v>
      </c>
      <c r="F8065">
        <v>5243</v>
      </c>
      <c r="G8065">
        <v>0</v>
      </c>
      <c r="H8065" t="s">
        <v>12984</v>
      </c>
      <c r="I8065">
        <v>9060</v>
      </c>
      <c r="J8065" t="str">
        <f>VLOOKUP(E8065,DSSpieler!A:B,2,FALSE)</f>
        <v>tacki</v>
      </c>
    </row>
    <row r="8066" spans="1:10" x14ac:dyDescent="0.25">
      <c r="A8066">
        <v>9061</v>
      </c>
      <c r="B8066" t="s">
        <v>531</v>
      </c>
      <c r="C8066">
        <v>549</v>
      </c>
      <c r="D8066">
        <v>580</v>
      </c>
      <c r="E8066">
        <v>0</v>
      </c>
      <c r="F8066">
        <v>345</v>
      </c>
      <c r="G8066">
        <v>0</v>
      </c>
      <c r="H8066" t="s">
        <v>12985</v>
      </c>
      <c r="I8066">
        <v>9061</v>
      </c>
      <c r="J8066" t="e">
        <f>VLOOKUP(E8066,DSSpieler!A:B,2,FALSE)</f>
        <v>#N/A</v>
      </c>
    </row>
    <row r="8067" spans="1:10" x14ac:dyDescent="0.25">
      <c r="A8067">
        <v>9062</v>
      </c>
      <c r="B8067" t="s">
        <v>33475</v>
      </c>
      <c r="C8067">
        <v>569</v>
      </c>
      <c r="D8067">
        <v>576</v>
      </c>
      <c r="E8067">
        <v>10150018</v>
      </c>
      <c r="F8067">
        <v>4175</v>
      </c>
      <c r="G8067">
        <v>0</v>
      </c>
      <c r="H8067" t="s">
        <v>12986</v>
      </c>
      <c r="I8067">
        <v>9062</v>
      </c>
      <c r="J8067" t="str">
        <f>VLOOKUP(E8067,DSSpieler!A:B,2,FALSE)</f>
        <v>sub-t</v>
      </c>
    </row>
    <row r="8068" spans="1:10" x14ac:dyDescent="0.25">
      <c r="A8068">
        <v>9063</v>
      </c>
      <c r="B8068" t="s">
        <v>30820</v>
      </c>
      <c r="C8068">
        <v>583</v>
      </c>
      <c r="D8068">
        <v>542</v>
      </c>
      <c r="E8068">
        <v>1577178554</v>
      </c>
      <c r="F8068">
        <v>5690</v>
      </c>
      <c r="G8068">
        <v>0</v>
      </c>
      <c r="H8068" t="s">
        <v>12987</v>
      </c>
      <c r="I8068">
        <v>9063</v>
      </c>
      <c r="J8068" t="str">
        <f>VLOOKUP(E8068,DSSpieler!A:B,2,FALSE)</f>
        <v>Nicer Dude</v>
      </c>
    </row>
    <row r="8069" spans="1:10" x14ac:dyDescent="0.25">
      <c r="A8069">
        <v>9064</v>
      </c>
      <c r="B8069" t="s">
        <v>33476</v>
      </c>
      <c r="C8069">
        <v>466</v>
      </c>
      <c r="D8069">
        <v>467</v>
      </c>
      <c r="E8069">
        <v>1577186290</v>
      </c>
      <c r="F8069">
        <v>6772</v>
      </c>
      <c r="G8069">
        <v>0</v>
      </c>
      <c r="H8069" t="s">
        <v>12988</v>
      </c>
      <c r="I8069">
        <v>9064</v>
      </c>
      <c r="J8069" t="str">
        <f>VLOOKUP(E8069,DSSpieler!A:B,2,FALSE)</f>
        <v>WhyIsThisNull</v>
      </c>
    </row>
    <row r="8070" spans="1:10" x14ac:dyDescent="0.25">
      <c r="A8070">
        <v>9065</v>
      </c>
      <c r="B8070" t="s">
        <v>33477</v>
      </c>
      <c r="C8070">
        <v>502</v>
      </c>
      <c r="D8070">
        <v>510</v>
      </c>
      <c r="E8070">
        <v>1577198083</v>
      </c>
      <c r="F8070">
        <v>6172</v>
      </c>
      <c r="G8070">
        <v>0</v>
      </c>
      <c r="H8070" t="s">
        <v>12989</v>
      </c>
      <c r="I8070">
        <v>9065</v>
      </c>
      <c r="J8070" t="str">
        <f>VLOOKUP(E8070,DSSpieler!A:B,2,FALSE)</f>
        <v>10Noah10</v>
      </c>
    </row>
    <row r="8071" spans="1:10" x14ac:dyDescent="0.25">
      <c r="A8071">
        <v>9066</v>
      </c>
      <c r="B8071" t="s">
        <v>33478</v>
      </c>
      <c r="C8071">
        <v>434</v>
      </c>
      <c r="D8071">
        <v>433</v>
      </c>
      <c r="E8071">
        <v>1577181643</v>
      </c>
      <c r="F8071">
        <v>8049</v>
      </c>
      <c r="G8071">
        <v>0</v>
      </c>
      <c r="H8071" t="s">
        <v>12990</v>
      </c>
      <c r="I8071">
        <v>9066</v>
      </c>
      <c r="J8071" t="str">
        <f>VLOOKUP(E8071,DSSpieler!A:B,2,FALSE)</f>
        <v>MadMaxx</v>
      </c>
    </row>
    <row r="8072" spans="1:10" x14ac:dyDescent="0.25">
      <c r="A8072">
        <v>9067</v>
      </c>
      <c r="B8072">
        <v>1</v>
      </c>
      <c r="C8072">
        <v>413</v>
      </c>
      <c r="D8072">
        <v>469</v>
      </c>
      <c r="E8072">
        <v>1576355953</v>
      </c>
      <c r="F8072">
        <v>6777</v>
      </c>
      <c r="G8072">
        <v>0</v>
      </c>
      <c r="H8072" t="s">
        <v>12991</v>
      </c>
      <c r="I8072">
        <v>9067</v>
      </c>
      <c r="J8072" t="str">
        <f>VLOOKUP(E8072,DSSpieler!A:B,2,FALSE)</f>
        <v>PAS5I</v>
      </c>
    </row>
    <row r="8073" spans="1:10" x14ac:dyDescent="0.25">
      <c r="A8073">
        <v>9068</v>
      </c>
      <c r="B8073" t="s">
        <v>31763</v>
      </c>
      <c r="C8073">
        <v>575</v>
      </c>
      <c r="D8073">
        <v>557</v>
      </c>
      <c r="E8073">
        <v>1577171740</v>
      </c>
      <c r="F8073">
        <v>4816</v>
      </c>
      <c r="G8073">
        <v>0</v>
      </c>
      <c r="H8073" t="s">
        <v>12992</v>
      </c>
      <c r="I8073">
        <v>9068</v>
      </c>
      <c r="J8073" t="str">
        <f>VLOOKUP(E8073,DSSpieler!A:B,2,FALSE)</f>
        <v>Kevisback7</v>
      </c>
    </row>
    <row r="8074" spans="1:10" x14ac:dyDescent="0.25">
      <c r="A8074">
        <v>9070</v>
      </c>
      <c r="B8074" t="s">
        <v>531</v>
      </c>
      <c r="C8074">
        <v>574</v>
      </c>
      <c r="D8074">
        <v>557</v>
      </c>
      <c r="E8074">
        <v>0</v>
      </c>
      <c r="F8074">
        <v>402</v>
      </c>
      <c r="G8074">
        <v>0</v>
      </c>
      <c r="H8074" t="s">
        <v>12993</v>
      </c>
      <c r="I8074">
        <v>9070</v>
      </c>
      <c r="J8074" t="e">
        <f>VLOOKUP(E8074,DSSpieler!A:B,2,FALSE)</f>
        <v>#N/A</v>
      </c>
    </row>
    <row r="8075" spans="1:10" x14ac:dyDescent="0.25">
      <c r="A8075">
        <v>9071</v>
      </c>
      <c r="B8075" t="s">
        <v>33479</v>
      </c>
      <c r="C8075">
        <v>408</v>
      </c>
      <c r="D8075">
        <v>496</v>
      </c>
      <c r="E8075">
        <v>2063168</v>
      </c>
      <c r="F8075">
        <v>1841</v>
      </c>
      <c r="G8075">
        <v>0</v>
      </c>
      <c r="H8075" t="s">
        <v>12994</v>
      </c>
      <c r="I8075">
        <v>9071</v>
      </c>
      <c r="J8075" t="str">
        <f>VLOOKUP(E8075,DSSpieler!A:B,2,FALSE)</f>
        <v>TH1985</v>
      </c>
    </row>
    <row r="8076" spans="1:10" x14ac:dyDescent="0.25">
      <c r="A8076">
        <v>9072</v>
      </c>
      <c r="B8076" t="s">
        <v>33480</v>
      </c>
      <c r="C8076">
        <v>409</v>
      </c>
      <c r="D8076">
        <v>520</v>
      </c>
      <c r="E8076">
        <v>1577164313</v>
      </c>
      <c r="F8076">
        <v>6047</v>
      </c>
      <c r="G8076">
        <v>0</v>
      </c>
      <c r="H8076" t="s">
        <v>12995</v>
      </c>
      <c r="I8076">
        <v>9072</v>
      </c>
      <c r="J8076" t="str">
        <f>VLOOKUP(E8076,DSSpieler!A:B,2,FALSE)</f>
        <v>plp51</v>
      </c>
    </row>
    <row r="8077" spans="1:10" x14ac:dyDescent="0.25">
      <c r="A8077">
        <v>9073</v>
      </c>
      <c r="B8077">
        <v>1</v>
      </c>
      <c r="C8077">
        <v>448</v>
      </c>
      <c r="D8077">
        <v>563</v>
      </c>
      <c r="E8077">
        <v>1577178280</v>
      </c>
      <c r="F8077">
        <v>4066</v>
      </c>
      <c r="G8077">
        <v>0</v>
      </c>
      <c r="H8077" t="s">
        <v>12996</v>
      </c>
      <c r="I8077">
        <v>9073</v>
      </c>
      <c r="J8077" t="str">
        <f>VLOOKUP(E8077,DSSpieler!A:B,2,FALSE)</f>
        <v>Tactic</v>
      </c>
    </row>
    <row r="8078" spans="1:10" x14ac:dyDescent="0.25">
      <c r="A8078">
        <v>9075</v>
      </c>
      <c r="B8078" t="s">
        <v>33481</v>
      </c>
      <c r="C8078">
        <v>498</v>
      </c>
      <c r="D8078">
        <v>430</v>
      </c>
      <c r="E8078">
        <v>1577123713</v>
      </c>
      <c r="F8078">
        <v>3202</v>
      </c>
      <c r="G8078">
        <v>0</v>
      </c>
      <c r="H8078" t="s">
        <v>12997</v>
      </c>
      <c r="I8078">
        <v>9075</v>
      </c>
      <c r="J8078" t="str">
        <f>VLOOKUP(E8078,DSSpieler!A:B,2,FALSE)</f>
        <v>Spukulus</v>
      </c>
    </row>
    <row r="8079" spans="1:10" x14ac:dyDescent="0.25">
      <c r="A8079">
        <v>9077</v>
      </c>
      <c r="B8079" t="s">
        <v>531</v>
      </c>
      <c r="C8079">
        <v>413</v>
      </c>
      <c r="D8079">
        <v>476</v>
      </c>
      <c r="E8079">
        <v>0</v>
      </c>
      <c r="F8079">
        <v>402</v>
      </c>
      <c r="G8079">
        <v>0</v>
      </c>
      <c r="H8079" t="s">
        <v>12998</v>
      </c>
      <c r="I8079">
        <v>9077</v>
      </c>
      <c r="J8079" t="e">
        <f>VLOOKUP(E8079,DSSpieler!A:B,2,FALSE)</f>
        <v>#N/A</v>
      </c>
    </row>
    <row r="8080" spans="1:10" x14ac:dyDescent="0.25">
      <c r="A8080">
        <v>9078</v>
      </c>
      <c r="B8080">
        <v>5</v>
      </c>
      <c r="C8080">
        <v>431</v>
      </c>
      <c r="D8080">
        <v>442</v>
      </c>
      <c r="E8080">
        <v>1575903781</v>
      </c>
      <c r="F8080">
        <v>4104</v>
      </c>
      <c r="G8080">
        <v>0</v>
      </c>
      <c r="H8080" t="s">
        <v>12999</v>
      </c>
      <c r="I8080">
        <v>9078</v>
      </c>
      <c r="J8080" t="str">
        <f>VLOOKUP(E8080,DSSpieler!A:B,2,FALSE)</f>
        <v>Black Trinity</v>
      </c>
    </row>
    <row r="8081" spans="1:10" x14ac:dyDescent="0.25">
      <c r="A8081">
        <v>9079</v>
      </c>
      <c r="B8081" t="s">
        <v>531</v>
      </c>
      <c r="C8081">
        <v>560</v>
      </c>
      <c r="D8081">
        <v>431</v>
      </c>
      <c r="E8081">
        <v>0</v>
      </c>
      <c r="F8081">
        <v>386</v>
      </c>
      <c r="G8081">
        <v>0</v>
      </c>
      <c r="H8081" t="s">
        <v>13000</v>
      </c>
      <c r="I8081">
        <v>9079</v>
      </c>
      <c r="J8081" t="e">
        <f>VLOOKUP(E8081,DSSpieler!A:B,2,FALSE)</f>
        <v>#N/A</v>
      </c>
    </row>
    <row r="8082" spans="1:10" x14ac:dyDescent="0.25">
      <c r="A8082">
        <v>9080</v>
      </c>
      <c r="B8082" t="s">
        <v>33482</v>
      </c>
      <c r="C8082">
        <v>424</v>
      </c>
      <c r="D8082">
        <v>555</v>
      </c>
      <c r="E8082">
        <v>1577174979</v>
      </c>
      <c r="F8082">
        <v>3295</v>
      </c>
      <c r="G8082">
        <v>0</v>
      </c>
      <c r="H8082" t="s">
        <v>13001</v>
      </c>
      <c r="I8082">
        <v>9080</v>
      </c>
      <c r="J8082" t="str">
        <f>VLOOKUP(E8082,DSSpieler!A:B,2,FALSE)</f>
        <v>Azeroth</v>
      </c>
    </row>
    <row r="8083" spans="1:10" x14ac:dyDescent="0.25">
      <c r="A8083">
        <v>9081</v>
      </c>
      <c r="B8083" t="s">
        <v>33483</v>
      </c>
      <c r="C8083">
        <v>538</v>
      </c>
      <c r="D8083">
        <v>414</v>
      </c>
      <c r="E8083">
        <v>10020820</v>
      </c>
      <c r="F8083">
        <v>6718</v>
      </c>
      <c r="G8083">
        <v>0</v>
      </c>
      <c r="H8083" t="s">
        <v>13002</v>
      </c>
      <c r="I8083">
        <v>9081</v>
      </c>
      <c r="J8083" t="str">
        <f>VLOOKUP(E8083,DSSpieler!A:B,2,FALSE)</f>
        <v>RaVeR 91</v>
      </c>
    </row>
    <row r="8084" spans="1:10" x14ac:dyDescent="0.25">
      <c r="A8084">
        <v>9082</v>
      </c>
      <c r="B8084" t="s">
        <v>531</v>
      </c>
      <c r="C8084">
        <v>491</v>
      </c>
      <c r="D8084">
        <v>592</v>
      </c>
      <c r="E8084">
        <v>0</v>
      </c>
      <c r="F8084">
        <v>249</v>
      </c>
      <c r="G8084">
        <v>0</v>
      </c>
      <c r="H8084" t="s">
        <v>13003</v>
      </c>
      <c r="I8084">
        <v>9082</v>
      </c>
      <c r="J8084" t="e">
        <f>VLOOKUP(E8084,DSSpieler!A:B,2,FALSE)</f>
        <v>#N/A</v>
      </c>
    </row>
    <row r="8085" spans="1:10" x14ac:dyDescent="0.25">
      <c r="A8085">
        <v>9083</v>
      </c>
      <c r="B8085" t="e">
        <f>-2-+Graffito</f>
        <v>#NAME?</v>
      </c>
      <c r="C8085">
        <v>591</v>
      </c>
      <c r="D8085">
        <v>475</v>
      </c>
      <c r="E8085">
        <v>7928000</v>
      </c>
      <c r="F8085">
        <v>1628</v>
      </c>
      <c r="G8085">
        <v>0</v>
      </c>
      <c r="H8085" t="s">
        <v>13004</v>
      </c>
      <c r="I8085">
        <v>9083</v>
      </c>
      <c r="J8085" t="str">
        <f>VLOOKUP(E8085,DSSpieler!A:B,2,FALSE)</f>
        <v>Chiller-boy1</v>
      </c>
    </row>
    <row r="8086" spans="1:10" x14ac:dyDescent="0.25">
      <c r="A8086">
        <v>9084</v>
      </c>
      <c r="B8086" t="s">
        <v>33484</v>
      </c>
      <c r="C8086">
        <v>419</v>
      </c>
      <c r="D8086">
        <v>524</v>
      </c>
      <c r="E8086">
        <v>1577124717</v>
      </c>
      <c r="F8086">
        <v>7124</v>
      </c>
      <c r="G8086">
        <v>0</v>
      </c>
      <c r="H8086" t="s">
        <v>13005</v>
      </c>
      <c r="I8086">
        <v>9084</v>
      </c>
      <c r="J8086" t="str">
        <f>VLOOKUP(E8086,DSSpieler!A:B,2,FALSE)</f>
        <v>Bangbaby</v>
      </c>
    </row>
    <row r="8087" spans="1:10" x14ac:dyDescent="0.25">
      <c r="A8087">
        <v>9085</v>
      </c>
      <c r="B8087" t="e">
        <f>-2-+Lord+Kaktus</f>
        <v>#NAME?</v>
      </c>
      <c r="C8087">
        <v>466</v>
      </c>
      <c r="D8087">
        <v>528</v>
      </c>
      <c r="E8087">
        <v>230810</v>
      </c>
      <c r="F8087">
        <v>4388</v>
      </c>
      <c r="G8087">
        <v>0</v>
      </c>
      <c r="H8087" t="s">
        <v>13006</v>
      </c>
      <c r="I8087">
        <v>9085</v>
      </c>
      <c r="J8087" t="str">
        <f>VLOOKUP(E8087,DSSpieler!A:B,2,FALSE)</f>
        <v>Black Terror</v>
      </c>
    </row>
    <row r="8088" spans="1:10" x14ac:dyDescent="0.25">
      <c r="A8088">
        <v>9086</v>
      </c>
      <c r="B8088" t="s">
        <v>32876</v>
      </c>
      <c r="C8088">
        <v>438</v>
      </c>
      <c r="D8088">
        <v>569</v>
      </c>
      <c r="E8088">
        <v>1388</v>
      </c>
      <c r="F8088">
        <v>5120</v>
      </c>
      <c r="G8088">
        <v>0</v>
      </c>
      <c r="H8088" t="s">
        <v>13007</v>
      </c>
      <c r="I8088">
        <v>9086</v>
      </c>
      <c r="J8088" t="str">
        <f>VLOOKUP(E8088,DSSpieler!A:B,2,FALSE)</f>
        <v>schmutzhund</v>
      </c>
    </row>
    <row r="8089" spans="1:10" x14ac:dyDescent="0.25">
      <c r="A8089">
        <v>9087</v>
      </c>
      <c r="B8089">
        <v>2</v>
      </c>
      <c r="C8089">
        <v>433</v>
      </c>
      <c r="D8089">
        <v>564</v>
      </c>
      <c r="E8089">
        <v>1577198067</v>
      </c>
      <c r="F8089">
        <v>3801</v>
      </c>
      <c r="G8089">
        <v>0</v>
      </c>
      <c r="H8089" t="s">
        <v>13008</v>
      </c>
      <c r="I8089">
        <v>9087</v>
      </c>
      <c r="J8089" t="str">
        <f>VLOOKUP(E8089,DSSpieler!A:B,2,FALSE)</f>
        <v>Sinthoras13</v>
      </c>
    </row>
    <row r="8090" spans="1:10" x14ac:dyDescent="0.25">
      <c r="A8090">
        <v>9088</v>
      </c>
      <c r="B8090" t="s">
        <v>33485</v>
      </c>
      <c r="C8090">
        <v>595</v>
      </c>
      <c r="D8090">
        <v>455</v>
      </c>
      <c r="E8090">
        <v>1577188672</v>
      </c>
      <c r="F8090">
        <v>5199</v>
      </c>
      <c r="G8090">
        <v>0</v>
      </c>
      <c r="H8090" t="s">
        <v>13009</v>
      </c>
      <c r="I8090">
        <v>9088</v>
      </c>
      <c r="J8090" t="str">
        <f>VLOOKUP(E8090,DSSpieler!A:B,2,FALSE)</f>
        <v>Der Haie</v>
      </c>
    </row>
    <row r="8091" spans="1:10" x14ac:dyDescent="0.25">
      <c r="A8091">
        <v>9089</v>
      </c>
      <c r="B8091" t="s">
        <v>531</v>
      </c>
      <c r="C8091">
        <v>469</v>
      </c>
      <c r="D8091">
        <v>599</v>
      </c>
      <c r="E8091">
        <v>0</v>
      </c>
      <c r="F8091">
        <v>592</v>
      </c>
      <c r="G8091">
        <v>0</v>
      </c>
      <c r="H8091" t="s">
        <v>13010</v>
      </c>
      <c r="I8091">
        <v>9089</v>
      </c>
      <c r="J8091" t="e">
        <f>VLOOKUP(E8091,DSSpieler!A:B,2,FALSE)</f>
        <v>#N/A</v>
      </c>
    </row>
    <row r="8092" spans="1:10" x14ac:dyDescent="0.25">
      <c r="A8092">
        <v>9090</v>
      </c>
      <c r="B8092" t="s">
        <v>531</v>
      </c>
      <c r="C8092">
        <v>411</v>
      </c>
      <c r="D8092">
        <v>536</v>
      </c>
      <c r="E8092">
        <v>0</v>
      </c>
      <c r="F8092">
        <v>219</v>
      </c>
      <c r="G8092">
        <v>0</v>
      </c>
      <c r="H8092" t="s">
        <v>13011</v>
      </c>
      <c r="I8092">
        <v>9090</v>
      </c>
      <c r="J8092" t="e">
        <f>VLOOKUP(E8092,DSSpieler!A:B,2,FALSE)</f>
        <v>#N/A</v>
      </c>
    </row>
    <row r="8093" spans="1:10" x14ac:dyDescent="0.25">
      <c r="A8093">
        <v>9091</v>
      </c>
      <c r="B8093" t="s">
        <v>531</v>
      </c>
      <c r="C8093">
        <v>538</v>
      </c>
      <c r="D8093">
        <v>413</v>
      </c>
      <c r="E8093">
        <v>0</v>
      </c>
      <c r="F8093">
        <v>478</v>
      </c>
      <c r="G8093">
        <v>0</v>
      </c>
      <c r="H8093" t="s">
        <v>13012</v>
      </c>
      <c r="I8093">
        <v>9091</v>
      </c>
      <c r="J8093" t="e">
        <f>VLOOKUP(E8093,DSSpieler!A:B,2,FALSE)</f>
        <v>#N/A</v>
      </c>
    </row>
    <row r="8094" spans="1:10" x14ac:dyDescent="0.25">
      <c r="A8094">
        <v>9092</v>
      </c>
      <c r="B8094" t="s">
        <v>33486</v>
      </c>
      <c r="C8094">
        <v>589</v>
      </c>
      <c r="D8094">
        <v>486</v>
      </c>
      <c r="E8094">
        <v>9927270</v>
      </c>
      <c r="F8094">
        <v>50</v>
      </c>
      <c r="G8094">
        <v>0</v>
      </c>
      <c r="H8094" t="s">
        <v>13013</v>
      </c>
      <c r="I8094">
        <v>9092</v>
      </c>
      <c r="J8094" t="str">
        <f>VLOOKUP(E8094,DSSpieler!A:B,2,FALSE)</f>
        <v>DoctorDark12</v>
      </c>
    </row>
    <row r="8095" spans="1:10" x14ac:dyDescent="0.25">
      <c r="A8095">
        <v>9093</v>
      </c>
      <c r="B8095" t="s">
        <v>531</v>
      </c>
      <c r="C8095">
        <v>415</v>
      </c>
      <c r="D8095">
        <v>532</v>
      </c>
      <c r="E8095">
        <v>0</v>
      </c>
      <c r="F8095">
        <v>440</v>
      </c>
      <c r="G8095">
        <v>0</v>
      </c>
      <c r="H8095" t="s">
        <v>13014</v>
      </c>
      <c r="I8095">
        <v>9093</v>
      </c>
      <c r="J8095" t="e">
        <f>VLOOKUP(E8095,DSSpieler!A:B,2,FALSE)</f>
        <v>#N/A</v>
      </c>
    </row>
    <row r="8096" spans="1:10" x14ac:dyDescent="0.25">
      <c r="A8096">
        <v>9094</v>
      </c>
      <c r="B8096" t="s">
        <v>33487</v>
      </c>
      <c r="C8096">
        <v>514</v>
      </c>
      <c r="D8096">
        <v>490</v>
      </c>
      <c r="E8096">
        <v>1576704854</v>
      </c>
      <c r="F8096">
        <v>5119</v>
      </c>
      <c r="G8096">
        <v>0</v>
      </c>
      <c r="H8096" t="s">
        <v>13015</v>
      </c>
      <c r="I8096">
        <v>9094</v>
      </c>
      <c r="J8096" t="str">
        <f>VLOOKUP(E8096,DSSpieler!A:B,2,FALSE)</f>
        <v>Der Rote Baron</v>
      </c>
    </row>
    <row r="8097" spans="1:10" x14ac:dyDescent="0.25">
      <c r="A8097">
        <v>9095</v>
      </c>
      <c r="B8097" t="s">
        <v>531</v>
      </c>
      <c r="C8097">
        <v>492</v>
      </c>
      <c r="D8097">
        <v>407</v>
      </c>
      <c r="E8097">
        <v>0</v>
      </c>
      <c r="F8097">
        <v>232</v>
      </c>
      <c r="G8097">
        <v>0</v>
      </c>
      <c r="H8097" t="s">
        <v>13016</v>
      </c>
      <c r="I8097">
        <v>9095</v>
      </c>
      <c r="J8097" t="e">
        <f>VLOOKUP(E8097,DSSpieler!A:B,2,FALSE)</f>
        <v>#N/A</v>
      </c>
    </row>
    <row r="8098" spans="1:10" x14ac:dyDescent="0.25">
      <c r="A8098">
        <v>9096</v>
      </c>
      <c r="B8098" t="s">
        <v>531</v>
      </c>
      <c r="C8098">
        <v>443</v>
      </c>
      <c r="D8098">
        <v>426</v>
      </c>
      <c r="E8098">
        <v>0</v>
      </c>
      <c r="F8098">
        <v>331</v>
      </c>
      <c r="G8098">
        <v>0</v>
      </c>
      <c r="H8098" t="s">
        <v>13017</v>
      </c>
      <c r="I8098">
        <v>9096</v>
      </c>
      <c r="J8098" t="e">
        <f>VLOOKUP(E8098,DSSpieler!A:B,2,FALSE)</f>
        <v>#N/A</v>
      </c>
    </row>
    <row r="8099" spans="1:10" x14ac:dyDescent="0.25">
      <c r="A8099">
        <v>9097</v>
      </c>
      <c r="B8099" t="s">
        <v>531</v>
      </c>
      <c r="C8099">
        <v>557</v>
      </c>
      <c r="D8099">
        <v>566</v>
      </c>
      <c r="E8099">
        <v>0</v>
      </c>
      <c r="F8099">
        <v>336</v>
      </c>
      <c r="G8099">
        <v>0</v>
      </c>
      <c r="H8099" t="s">
        <v>13018</v>
      </c>
      <c r="I8099">
        <v>9097</v>
      </c>
      <c r="J8099" t="e">
        <f>VLOOKUP(E8099,DSSpieler!A:B,2,FALSE)</f>
        <v>#N/A</v>
      </c>
    </row>
    <row r="8100" spans="1:10" x14ac:dyDescent="0.25">
      <c r="A8100">
        <v>9098</v>
      </c>
      <c r="B8100" t="s">
        <v>33488</v>
      </c>
      <c r="C8100">
        <v>596</v>
      </c>
      <c r="D8100">
        <v>475</v>
      </c>
      <c r="E8100">
        <v>1577175387</v>
      </c>
      <c r="F8100">
        <v>6948</v>
      </c>
      <c r="G8100">
        <v>0</v>
      </c>
      <c r="H8100" t="s">
        <v>13019</v>
      </c>
      <c r="I8100">
        <v>9098</v>
      </c>
      <c r="J8100" t="str">
        <f>VLOOKUP(E8100,DSSpieler!A:B,2,FALSE)</f>
        <v>Rand*</v>
      </c>
    </row>
    <row r="8101" spans="1:10" x14ac:dyDescent="0.25">
      <c r="A8101">
        <v>9099</v>
      </c>
      <c r="B8101" t="s">
        <v>531</v>
      </c>
      <c r="C8101">
        <v>409</v>
      </c>
      <c r="D8101">
        <v>477</v>
      </c>
      <c r="E8101">
        <v>0</v>
      </c>
      <c r="F8101">
        <v>240</v>
      </c>
      <c r="G8101">
        <v>0</v>
      </c>
      <c r="H8101" t="s">
        <v>13020</v>
      </c>
      <c r="I8101">
        <v>9099</v>
      </c>
      <c r="J8101" t="e">
        <f>VLOOKUP(E8101,DSSpieler!A:B,2,FALSE)</f>
        <v>#N/A</v>
      </c>
    </row>
    <row r="8102" spans="1:10" x14ac:dyDescent="0.25">
      <c r="A8102">
        <v>9100</v>
      </c>
      <c r="B8102" t="s">
        <v>33489</v>
      </c>
      <c r="C8102">
        <v>589</v>
      </c>
      <c r="D8102">
        <v>466</v>
      </c>
      <c r="E8102">
        <v>1577198126</v>
      </c>
      <c r="F8102">
        <v>6403</v>
      </c>
      <c r="G8102">
        <v>0</v>
      </c>
      <c r="H8102" t="s">
        <v>13021</v>
      </c>
      <c r="I8102">
        <v>9100</v>
      </c>
      <c r="J8102" t="str">
        <f>VLOOKUP(E8102,DSSpieler!A:B,2,FALSE)</f>
        <v>Der Besorger</v>
      </c>
    </row>
    <row r="8103" spans="1:10" x14ac:dyDescent="0.25">
      <c r="A8103">
        <v>9101</v>
      </c>
      <c r="B8103" t="s">
        <v>1754</v>
      </c>
      <c r="C8103">
        <v>520</v>
      </c>
      <c r="D8103">
        <v>416</v>
      </c>
      <c r="E8103">
        <v>1577189712</v>
      </c>
      <c r="F8103">
        <v>4073</v>
      </c>
      <c r="G8103">
        <v>0</v>
      </c>
      <c r="H8103" t="s">
        <v>13022</v>
      </c>
      <c r="I8103">
        <v>9101</v>
      </c>
      <c r="J8103" t="str">
        <f>VLOOKUP(E8103,DSSpieler!A:B,2,FALSE)</f>
        <v>Skyskyr</v>
      </c>
    </row>
    <row r="8104" spans="1:10" x14ac:dyDescent="0.25">
      <c r="A8104">
        <v>9102</v>
      </c>
      <c r="B8104" t="s">
        <v>33490</v>
      </c>
      <c r="C8104">
        <v>568</v>
      </c>
      <c r="D8104">
        <v>413</v>
      </c>
      <c r="E8104">
        <v>2692887</v>
      </c>
      <c r="F8104">
        <v>4204</v>
      </c>
      <c r="G8104">
        <v>0</v>
      </c>
      <c r="H8104" t="s">
        <v>13023</v>
      </c>
      <c r="I8104">
        <v>9102</v>
      </c>
      <c r="J8104" t="str">
        <f>VLOOKUP(E8104,DSSpieler!A:B,2,FALSE)</f>
        <v>DerStaubtöter</v>
      </c>
    </row>
    <row r="8105" spans="1:10" x14ac:dyDescent="0.25">
      <c r="A8105">
        <v>9103</v>
      </c>
      <c r="B8105" t="s">
        <v>531</v>
      </c>
      <c r="C8105">
        <v>419</v>
      </c>
      <c r="D8105">
        <v>546</v>
      </c>
      <c r="E8105">
        <v>0</v>
      </c>
      <c r="F8105">
        <v>394</v>
      </c>
      <c r="G8105">
        <v>0</v>
      </c>
      <c r="H8105" t="s">
        <v>13024</v>
      </c>
      <c r="I8105">
        <v>9103</v>
      </c>
      <c r="J8105" t="e">
        <f>VLOOKUP(E8105,DSSpieler!A:B,2,FALSE)</f>
        <v>#N/A</v>
      </c>
    </row>
    <row r="8106" spans="1:10" x14ac:dyDescent="0.25">
      <c r="A8106">
        <v>9105</v>
      </c>
      <c r="B8106" t="s">
        <v>33491</v>
      </c>
      <c r="C8106">
        <v>576</v>
      </c>
      <c r="D8106">
        <v>574</v>
      </c>
      <c r="E8106">
        <v>1577121900</v>
      </c>
      <c r="F8106">
        <v>2094</v>
      </c>
      <c r="G8106">
        <v>0</v>
      </c>
      <c r="H8106" t="s">
        <v>13025</v>
      </c>
      <c r="I8106">
        <v>9105</v>
      </c>
      <c r="J8106" t="str">
        <f>VLOOKUP(E8106,DSSpieler!A:B,2,FALSE)</f>
        <v>FeuerfaustSabo</v>
      </c>
    </row>
    <row r="8107" spans="1:10" x14ac:dyDescent="0.25">
      <c r="A8107">
        <v>9106</v>
      </c>
      <c r="B8107" t="s">
        <v>1755</v>
      </c>
      <c r="C8107">
        <v>590</v>
      </c>
      <c r="D8107">
        <v>474</v>
      </c>
      <c r="E8107">
        <v>1577188736</v>
      </c>
      <c r="F8107">
        <v>3572</v>
      </c>
      <c r="G8107">
        <v>0</v>
      </c>
      <c r="H8107" t="s">
        <v>13026</v>
      </c>
      <c r="I8107">
        <v>9106</v>
      </c>
      <c r="J8107" t="str">
        <f>VLOOKUP(E8107,DSSpieler!A:B,2,FALSE)</f>
        <v>WoHinGenau?</v>
      </c>
    </row>
    <row r="8108" spans="1:10" x14ac:dyDescent="0.25">
      <c r="A8108">
        <v>9107</v>
      </c>
      <c r="B8108" t="s">
        <v>33492</v>
      </c>
      <c r="C8108">
        <v>462</v>
      </c>
      <c r="D8108">
        <v>580</v>
      </c>
      <c r="E8108">
        <v>557668</v>
      </c>
      <c r="F8108">
        <v>6113</v>
      </c>
      <c r="G8108">
        <v>0</v>
      </c>
      <c r="H8108" t="s">
        <v>13027</v>
      </c>
      <c r="I8108">
        <v>9107</v>
      </c>
      <c r="J8108" t="str">
        <f>VLOOKUP(E8108,DSSpieler!A:B,2,FALSE)</f>
        <v>Accce</v>
      </c>
    </row>
    <row r="8109" spans="1:10" x14ac:dyDescent="0.25">
      <c r="A8109">
        <v>9108</v>
      </c>
      <c r="B8109" t="s">
        <v>33493</v>
      </c>
      <c r="C8109">
        <v>406</v>
      </c>
      <c r="D8109">
        <v>527</v>
      </c>
      <c r="E8109">
        <v>1577149855</v>
      </c>
      <c r="F8109">
        <v>2818</v>
      </c>
      <c r="G8109">
        <v>0</v>
      </c>
      <c r="H8109" t="s">
        <v>13028</v>
      </c>
      <c r="I8109">
        <v>9108</v>
      </c>
      <c r="J8109" t="str">
        <f>VLOOKUP(E8109,DSSpieler!A:B,2,FALSE)</f>
        <v>Flo1995</v>
      </c>
    </row>
    <row r="8110" spans="1:10" x14ac:dyDescent="0.25">
      <c r="A8110">
        <v>9109</v>
      </c>
      <c r="B8110" t="s">
        <v>33494</v>
      </c>
      <c r="C8110">
        <v>523</v>
      </c>
      <c r="D8110">
        <v>526</v>
      </c>
      <c r="E8110">
        <v>1577198094</v>
      </c>
      <c r="F8110">
        <v>4368</v>
      </c>
      <c r="G8110">
        <v>0</v>
      </c>
      <c r="H8110" t="s">
        <v>13029</v>
      </c>
      <c r="I8110">
        <v>9109</v>
      </c>
      <c r="J8110" t="str">
        <f>VLOOKUP(E8110,DSSpieler!A:B,2,FALSE)</f>
        <v>therealeliminator</v>
      </c>
    </row>
    <row r="8111" spans="1:10" x14ac:dyDescent="0.25">
      <c r="A8111">
        <v>9110</v>
      </c>
      <c r="B8111" t="s">
        <v>1756</v>
      </c>
      <c r="C8111">
        <v>455</v>
      </c>
      <c r="D8111">
        <v>486</v>
      </c>
      <c r="E8111">
        <v>1577069487</v>
      </c>
      <c r="F8111">
        <v>5215</v>
      </c>
      <c r="G8111">
        <v>0</v>
      </c>
      <c r="H8111" t="s">
        <v>13030</v>
      </c>
      <c r="I8111">
        <v>9110</v>
      </c>
      <c r="J8111" t="str">
        <f>VLOOKUP(E8111,DSSpieler!A:B,2,FALSE)</f>
        <v>Stirbus</v>
      </c>
    </row>
    <row r="8112" spans="1:10" x14ac:dyDescent="0.25">
      <c r="A8112">
        <v>9111</v>
      </c>
      <c r="B8112" t="s">
        <v>531</v>
      </c>
      <c r="C8112">
        <v>478</v>
      </c>
      <c r="D8112">
        <v>408</v>
      </c>
      <c r="E8112">
        <v>0</v>
      </c>
      <c r="F8112">
        <v>476</v>
      </c>
      <c r="G8112">
        <v>0</v>
      </c>
      <c r="H8112" t="s">
        <v>13031</v>
      </c>
      <c r="I8112">
        <v>9111</v>
      </c>
      <c r="J8112" t="e">
        <f>VLOOKUP(E8112,DSSpieler!A:B,2,FALSE)</f>
        <v>#N/A</v>
      </c>
    </row>
    <row r="8113" spans="1:10" x14ac:dyDescent="0.25">
      <c r="A8113">
        <v>9113</v>
      </c>
      <c r="B8113" t="s">
        <v>1757</v>
      </c>
      <c r="C8113">
        <v>520</v>
      </c>
      <c r="D8113">
        <v>409</v>
      </c>
      <c r="E8113">
        <v>1576684223</v>
      </c>
      <c r="F8113">
        <v>1558</v>
      </c>
      <c r="G8113">
        <v>0</v>
      </c>
      <c r="H8113" t="s">
        <v>13032</v>
      </c>
      <c r="I8113">
        <v>9113</v>
      </c>
      <c r="J8113" t="str">
        <f>VLOOKUP(E8113,DSSpieler!A:B,2,FALSE)</f>
        <v>Angel27</v>
      </c>
    </row>
    <row r="8114" spans="1:10" x14ac:dyDescent="0.25">
      <c r="A8114">
        <v>9114</v>
      </c>
      <c r="B8114" t="s">
        <v>33495</v>
      </c>
      <c r="C8114">
        <v>397</v>
      </c>
      <c r="D8114">
        <v>482</v>
      </c>
      <c r="E8114">
        <v>1577184624</v>
      </c>
      <c r="F8114">
        <v>3237</v>
      </c>
      <c r="G8114">
        <v>0</v>
      </c>
      <c r="H8114" t="s">
        <v>13033</v>
      </c>
      <c r="I8114">
        <v>9114</v>
      </c>
      <c r="J8114" t="str">
        <f>VLOOKUP(E8114,DSSpieler!A:B,2,FALSE)</f>
        <v>MusaBaba</v>
      </c>
    </row>
    <row r="8115" spans="1:10" x14ac:dyDescent="0.25">
      <c r="A8115">
        <v>9115</v>
      </c>
      <c r="B8115" t="s">
        <v>33206</v>
      </c>
      <c r="C8115">
        <v>419</v>
      </c>
      <c r="D8115">
        <v>548</v>
      </c>
      <c r="E8115">
        <v>1577183380</v>
      </c>
      <c r="F8115">
        <v>6354</v>
      </c>
      <c r="G8115">
        <v>0</v>
      </c>
      <c r="H8115" t="s">
        <v>13034</v>
      </c>
      <c r="I8115">
        <v>9115</v>
      </c>
      <c r="J8115" t="str">
        <f>VLOOKUP(E8115,DSSpieler!A:B,2,FALSE)</f>
        <v>AntikerPro</v>
      </c>
    </row>
    <row r="8116" spans="1:10" x14ac:dyDescent="0.25">
      <c r="A8116">
        <v>9117</v>
      </c>
      <c r="B8116" t="s">
        <v>33497</v>
      </c>
      <c r="C8116">
        <v>552</v>
      </c>
      <c r="D8116">
        <v>423</v>
      </c>
      <c r="E8116">
        <v>1577103852</v>
      </c>
      <c r="F8116">
        <v>723</v>
      </c>
      <c r="G8116">
        <v>0</v>
      </c>
      <c r="H8116" t="s">
        <v>13035</v>
      </c>
      <c r="I8116">
        <v>9117</v>
      </c>
      <c r="J8116" t="str">
        <f>VLOOKUP(E8116,DSSpieler!A:B,2,FALSE)</f>
        <v>Muska110</v>
      </c>
    </row>
    <row r="8117" spans="1:10" x14ac:dyDescent="0.25">
      <c r="A8117">
        <v>9118</v>
      </c>
      <c r="B8117" t="s">
        <v>531</v>
      </c>
      <c r="C8117">
        <v>420</v>
      </c>
      <c r="D8117">
        <v>550</v>
      </c>
      <c r="E8117">
        <v>0</v>
      </c>
      <c r="F8117">
        <v>464</v>
      </c>
      <c r="G8117">
        <v>0</v>
      </c>
      <c r="H8117" t="s">
        <v>13036</v>
      </c>
      <c r="I8117">
        <v>9118</v>
      </c>
      <c r="J8117" t="e">
        <f>VLOOKUP(E8117,DSSpieler!A:B,2,FALSE)</f>
        <v>#N/A</v>
      </c>
    </row>
    <row r="8118" spans="1:10" x14ac:dyDescent="0.25">
      <c r="A8118">
        <v>9119</v>
      </c>
      <c r="B8118" t="s">
        <v>1758</v>
      </c>
      <c r="C8118">
        <v>452</v>
      </c>
      <c r="D8118">
        <v>559</v>
      </c>
      <c r="E8118">
        <v>1577197803</v>
      </c>
      <c r="F8118">
        <v>5262</v>
      </c>
      <c r="G8118">
        <v>0</v>
      </c>
      <c r="H8118" t="s">
        <v>13037</v>
      </c>
      <c r="I8118">
        <v>9119</v>
      </c>
      <c r="J8118" t="str">
        <f>VLOOKUP(E8118,DSSpieler!A:B,2,FALSE)</f>
        <v>Jasnik</v>
      </c>
    </row>
    <row r="8119" spans="1:10" x14ac:dyDescent="0.25">
      <c r="A8119">
        <v>9120</v>
      </c>
      <c r="B8119" t="s">
        <v>33498</v>
      </c>
      <c r="C8119">
        <v>599</v>
      </c>
      <c r="D8119">
        <v>475</v>
      </c>
      <c r="E8119">
        <v>1576084396</v>
      </c>
      <c r="F8119">
        <v>3376</v>
      </c>
      <c r="G8119">
        <v>0</v>
      </c>
      <c r="H8119" t="s">
        <v>13038</v>
      </c>
      <c r="I8119">
        <v>9120</v>
      </c>
      <c r="J8119" t="str">
        <f>VLOOKUP(E8119,DSSpieler!A:B,2,FALSE)</f>
        <v>Roomaaan</v>
      </c>
    </row>
    <row r="8120" spans="1:10" x14ac:dyDescent="0.25">
      <c r="A8120">
        <v>9121</v>
      </c>
      <c r="B8120" t="s">
        <v>531</v>
      </c>
      <c r="C8120">
        <v>588</v>
      </c>
      <c r="D8120">
        <v>534</v>
      </c>
      <c r="E8120">
        <v>0</v>
      </c>
      <c r="F8120">
        <v>252</v>
      </c>
      <c r="G8120">
        <v>0</v>
      </c>
      <c r="H8120" t="s">
        <v>13039</v>
      </c>
      <c r="I8120">
        <v>9121</v>
      </c>
      <c r="J8120" t="e">
        <f>VLOOKUP(E8120,DSSpieler!A:B,2,FALSE)</f>
        <v>#N/A</v>
      </c>
    </row>
    <row r="8121" spans="1:10" x14ac:dyDescent="0.25">
      <c r="A8121">
        <v>9122</v>
      </c>
      <c r="B8121" t="s">
        <v>531</v>
      </c>
      <c r="C8121">
        <v>592</v>
      </c>
      <c r="D8121">
        <v>477</v>
      </c>
      <c r="E8121">
        <v>0</v>
      </c>
      <c r="F8121">
        <v>357</v>
      </c>
      <c r="G8121">
        <v>0</v>
      </c>
      <c r="H8121" t="s">
        <v>13040</v>
      </c>
      <c r="I8121">
        <v>9122</v>
      </c>
      <c r="J8121" t="e">
        <f>VLOOKUP(E8121,DSSpieler!A:B,2,FALSE)</f>
        <v>#N/A</v>
      </c>
    </row>
    <row r="8122" spans="1:10" x14ac:dyDescent="0.25">
      <c r="A8122">
        <v>9124</v>
      </c>
      <c r="B8122" t="s">
        <v>33499</v>
      </c>
      <c r="C8122">
        <v>578</v>
      </c>
      <c r="D8122">
        <v>439</v>
      </c>
      <c r="E8122">
        <v>735534</v>
      </c>
      <c r="F8122">
        <v>7171</v>
      </c>
      <c r="G8122">
        <v>0</v>
      </c>
      <c r="H8122" t="s">
        <v>13041</v>
      </c>
      <c r="I8122">
        <v>9124</v>
      </c>
      <c r="J8122" t="str">
        <f>VLOOKUP(E8122,DSSpieler!A:B,2,FALSE)</f>
        <v>KönigArtur1234</v>
      </c>
    </row>
    <row r="8123" spans="1:10" x14ac:dyDescent="0.25">
      <c r="A8123">
        <v>9125</v>
      </c>
      <c r="B8123" t="s">
        <v>531</v>
      </c>
      <c r="C8123">
        <v>456</v>
      </c>
      <c r="D8123">
        <v>581</v>
      </c>
      <c r="E8123">
        <v>0</v>
      </c>
      <c r="F8123">
        <v>510</v>
      </c>
      <c r="G8123">
        <v>0</v>
      </c>
      <c r="H8123" t="s">
        <v>13042</v>
      </c>
      <c r="I8123">
        <v>9125</v>
      </c>
      <c r="J8123" t="e">
        <f>VLOOKUP(E8123,DSSpieler!A:B,2,FALSE)</f>
        <v>#N/A</v>
      </c>
    </row>
    <row r="8124" spans="1:10" x14ac:dyDescent="0.25">
      <c r="A8124">
        <v>9126</v>
      </c>
      <c r="B8124" t="e">
        <f>-1+-+Hamburg</f>
        <v>#NAME?</v>
      </c>
      <c r="C8124">
        <v>430</v>
      </c>
      <c r="D8124">
        <v>564</v>
      </c>
      <c r="E8124">
        <v>1577188410</v>
      </c>
      <c r="F8124">
        <v>6404</v>
      </c>
      <c r="G8124">
        <v>0</v>
      </c>
      <c r="H8124" t="s">
        <v>13043</v>
      </c>
      <c r="I8124">
        <v>9126</v>
      </c>
      <c r="J8124" t="str">
        <f>VLOOKUP(E8124,DSSpieler!A:B,2,FALSE)</f>
        <v>IKA-HH</v>
      </c>
    </row>
    <row r="8125" spans="1:10" x14ac:dyDescent="0.25">
      <c r="A8125">
        <v>9127</v>
      </c>
      <c r="B8125" t="s">
        <v>31952</v>
      </c>
      <c r="C8125">
        <v>407</v>
      </c>
      <c r="D8125">
        <v>510</v>
      </c>
      <c r="E8125">
        <v>1576436373</v>
      </c>
      <c r="F8125">
        <v>8009</v>
      </c>
      <c r="G8125">
        <v>0</v>
      </c>
      <c r="H8125" t="s">
        <v>13044</v>
      </c>
      <c r="I8125">
        <v>9127</v>
      </c>
      <c r="J8125" t="str">
        <f>VLOOKUP(E8125,DSSpieler!A:B,2,FALSE)</f>
        <v>Ds-Koryphäe</v>
      </c>
    </row>
    <row r="8126" spans="1:10" x14ac:dyDescent="0.25">
      <c r="A8126">
        <v>9129</v>
      </c>
      <c r="B8126" t="s">
        <v>33500</v>
      </c>
      <c r="C8126">
        <v>495</v>
      </c>
      <c r="D8126">
        <v>410</v>
      </c>
      <c r="E8126">
        <v>1577102485</v>
      </c>
      <c r="F8126">
        <v>5780</v>
      </c>
      <c r="G8126">
        <v>0</v>
      </c>
      <c r="H8126" t="s">
        <v>13045</v>
      </c>
      <c r="I8126">
        <v>9129</v>
      </c>
      <c r="J8126" t="str">
        <f>VLOOKUP(E8126,DSSpieler!A:B,2,FALSE)</f>
        <v>sirisambuca</v>
      </c>
    </row>
    <row r="8127" spans="1:10" x14ac:dyDescent="0.25">
      <c r="A8127">
        <v>9130</v>
      </c>
      <c r="B8127" t="s">
        <v>33501</v>
      </c>
      <c r="C8127">
        <v>577</v>
      </c>
      <c r="D8127">
        <v>450</v>
      </c>
      <c r="E8127">
        <v>1577172923</v>
      </c>
      <c r="F8127">
        <v>3865</v>
      </c>
      <c r="G8127">
        <v>0</v>
      </c>
      <c r="H8127" t="s">
        <v>13046</v>
      </c>
      <c r="I8127">
        <v>9130</v>
      </c>
      <c r="J8127" t="str">
        <f>VLOOKUP(E8127,DSSpieler!A:B,2,FALSE)</f>
        <v>Kemperatze</v>
      </c>
    </row>
    <row r="8128" spans="1:10" x14ac:dyDescent="0.25">
      <c r="A8128">
        <v>9131</v>
      </c>
      <c r="B8128" t="s">
        <v>531</v>
      </c>
      <c r="C8128">
        <v>450</v>
      </c>
      <c r="D8128">
        <v>422</v>
      </c>
      <c r="E8128">
        <v>0</v>
      </c>
      <c r="F8128">
        <v>156</v>
      </c>
      <c r="G8128">
        <v>0</v>
      </c>
      <c r="H8128" t="s">
        <v>13047</v>
      </c>
      <c r="I8128">
        <v>9131</v>
      </c>
      <c r="J8128" t="e">
        <f>VLOOKUP(E8128,DSSpieler!A:B,2,FALSE)</f>
        <v>#N/A</v>
      </c>
    </row>
    <row r="8129" spans="1:10" x14ac:dyDescent="0.25">
      <c r="A8129">
        <v>9132</v>
      </c>
      <c r="B8129" t="s">
        <v>1759</v>
      </c>
      <c r="C8129">
        <v>430</v>
      </c>
      <c r="D8129">
        <v>560</v>
      </c>
      <c r="E8129">
        <v>8950540</v>
      </c>
      <c r="F8129">
        <v>197</v>
      </c>
      <c r="G8129">
        <v>0</v>
      </c>
      <c r="H8129" t="s">
        <v>13048</v>
      </c>
      <c r="I8129">
        <v>9132</v>
      </c>
      <c r="J8129" t="str">
        <f>VLOOKUP(E8129,DSSpieler!A:B,2,FALSE)</f>
        <v>-Silentium-</v>
      </c>
    </row>
    <row r="8130" spans="1:10" x14ac:dyDescent="0.25">
      <c r="A8130">
        <v>9133</v>
      </c>
      <c r="B8130" t="s">
        <v>531</v>
      </c>
      <c r="C8130">
        <v>426</v>
      </c>
      <c r="D8130">
        <v>446</v>
      </c>
      <c r="E8130">
        <v>0</v>
      </c>
      <c r="F8130">
        <v>846</v>
      </c>
      <c r="G8130">
        <v>0</v>
      </c>
      <c r="H8130" t="s">
        <v>13049</v>
      </c>
      <c r="I8130">
        <v>9133</v>
      </c>
      <c r="J8130" t="e">
        <f>VLOOKUP(E8130,DSSpieler!A:B,2,FALSE)</f>
        <v>#N/A</v>
      </c>
    </row>
    <row r="8131" spans="1:10" x14ac:dyDescent="0.25">
      <c r="A8131">
        <v>9134</v>
      </c>
      <c r="B8131" t="s">
        <v>33502</v>
      </c>
      <c r="C8131">
        <v>440</v>
      </c>
      <c r="D8131">
        <v>583</v>
      </c>
      <c r="E8131">
        <v>1577198067</v>
      </c>
      <c r="F8131">
        <v>7890</v>
      </c>
      <c r="G8131">
        <v>0</v>
      </c>
      <c r="H8131" t="s">
        <v>13050</v>
      </c>
      <c r="I8131">
        <v>9134</v>
      </c>
      <c r="J8131" t="str">
        <f>VLOOKUP(E8131,DSSpieler!A:B,2,FALSE)</f>
        <v>Sinthoras13</v>
      </c>
    </row>
    <row r="8132" spans="1:10" x14ac:dyDescent="0.25">
      <c r="A8132">
        <v>9135</v>
      </c>
      <c r="B8132" t="s">
        <v>33503</v>
      </c>
      <c r="C8132">
        <v>504</v>
      </c>
      <c r="D8132">
        <v>406</v>
      </c>
      <c r="E8132">
        <v>1576926379</v>
      </c>
      <c r="F8132">
        <v>4273</v>
      </c>
      <c r="G8132">
        <v>0</v>
      </c>
      <c r="H8132" t="s">
        <v>13051</v>
      </c>
      <c r="I8132">
        <v>9135</v>
      </c>
      <c r="J8132" t="str">
        <f>VLOOKUP(E8132,DSSpieler!A:B,2,FALSE)</f>
        <v>Lord Hahnschwegwe</v>
      </c>
    </row>
    <row r="8133" spans="1:10" x14ac:dyDescent="0.25">
      <c r="A8133">
        <v>9136</v>
      </c>
      <c r="B8133" t="e">
        <f>-1-+Zimtfabrik</f>
        <v>#NAME?</v>
      </c>
      <c r="C8133">
        <v>476</v>
      </c>
      <c r="D8133">
        <v>604</v>
      </c>
      <c r="E8133">
        <v>2053085</v>
      </c>
      <c r="F8133">
        <v>6032</v>
      </c>
      <c r="G8133">
        <v>0</v>
      </c>
      <c r="H8133" t="s">
        <v>13052</v>
      </c>
      <c r="I8133">
        <v>9136</v>
      </c>
      <c r="J8133" t="str">
        <f>VLOOKUP(E8133,DSSpieler!A:B,2,FALSE)</f>
        <v>der peruaner</v>
      </c>
    </row>
    <row r="8134" spans="1:10" x14ac:dyDescent="0.25">
      <c r="A8134">
        <v>9137</v>
      </c>
      <c r="B8134" t="s">
        <v>33504</v>
      </c>
      <c r="C8134">
        <v>463</v>
      </c>
      <c r="D8134">
        <v>531</v>
      </c>
      <c r="E8134">
        <v>8874279</v>
      </c>
      <c r="F8134">
        <v>7139</v>
      </c>
      <c r="G8134">
        <v>0</v>
      </c>
      <c r="H8134" t="s">
        <v>13053</v>
      </c>
      <c r="I8134">
        <v>9137</v>
      </c>
      <c r="J8134" t="str">
        <f>VLOOKUP(E8134,DSSpieler!A:B,2,FALSE)</f>
        <v>Strykehammer</v>
      </c>
    </row>
    <row r="8135" spans="1:10" x14ac:dyDescent="0.25">
      <c r="A8135">
        <v>9138</v>
      </c>
      <c r="B8135" t="s">
        <v>531</v>
      </c>
      <c r="C8135">
        <v>414</v>
      </c>
      <c r="D8135">
        <v>537</v>
      </c>
      <c r="E8135">
        <v>0</v>
      </c>
      <c r="F8135">
        <v>536</v>
      </c>
      <c r="G8135">
        <v>0</v>
      </c>
      <c r="H8135" t="s">
        <v>13054</v>
      </c>
      <c r="I8135">
        <v>9138</v>
      </c>
      <c r="J8135" t="e">
        <f>VLOOKUP(E8135,DSSpieler!A:B,2,FALSE)</f>
        <v>#N/A</v>
      </c>
    </row>
    <row r="8136" spans="1:10" x14ac:dyDescent="0.25">
      <c r="A8136">
        <v>9139</v>
      </c>
      <c r="B8136" t="s">
        <v>1760</v>
      </c>
      <c r="C8136">
        <v>432</v>
      </c>
      <c r="D8136">
        <v>568</v>
      </c>
      <c r="E8136">
        <v>1577197520</v>
      </c>
      <c r="F8136">
        <v>5342</v>
      </c>
      <c r="G8136">
        <v>0</v>
      </c>
      <c r="H8136" t="s">
        <v>13055</v>
      </c>
      <c r="I8136">
        <v>9139</v>
      </c>
      <c r="J8136" t="str">
        <f>VLOOKUP(E8136,DSSpieler!A:B,2,FALSE)</f>
        <v>Pumikel</v>
      </c>
    </row>
    <row r="8137" spans="1:10" x14ac:dyDescent="0.25">
      <c r="A8137">
        <v>9140</v>
      </c>
      <c r="B8137" t="s">
        <v>33505</v>
      </c>
      <c r="C8137">
        <v>455</v>
      </c>
      <c r="D8137">
        <v>560</v>
      </c>
      <c r="E8137">
        <v>1577178829</v>
      </c>
      <c r="F8137">
        <v>3562</v>
      </c>
      <c r="G8137">
        <v>0</v>
      </c>
      <c r="H8137" t="s">
        <v>13056</v>
      </c>
      <c r="I8137">
        <v>9140</v>
      </c>
      <c r="J8137" t="str">
        <f>VLOOKUP(E8137,DSSpieler!A:B,2,FALSE)</f>
        <v>whirlyy</v>
      </c>
    </row>
    <row r="8138" spans="1:10" x14ac:dyDescent="0.25">
      <c r="A8138">
        <v>9141</v>
      </c>
      <c r="B8138" t="s">
        <v>1243</v>
      </c>
      <c r="C8138">
        <v>392</v>
      </c>
      <c r="D8138">
        <v>481</v>
      </c>
      <c r="E8138">
        <v>1576911806</v>
      </c>
      <c r="F8138">
        <v>5447</v>
      </c>
      <c r="G8138">
        <v>0</v>
      </c>
      <c r="H8138" t="s">
        <v>431</v>
      </c>
      <c r="I8138">
        <v>9141</v>
      </c>
      <c r="J8138" t="str">
        <f>VLOOKUP(E8138,DSSpieler!A:B,2,FALSE)</f>
        <v>HGButte</v>
      </c>
    </row>
    <row r="8139" spans="1:10" x14ac:dyDescent="0.25">
      <c r="A8139">
        <v>9142</v>
      </c>
      <c r="B8139" t="s">
        <v>33506</v>
      </c>
      <c r="C8139">
        <v>503</v>
      </c>
      <c r="D8139">
        <v>416</v>
      </c>
      <c r="E8139">
        <v>1577101143</v>
      </c>
      <c r="F8139">
        <v>3622</v>
      </c>
      <c r="G8139">
        <v>0</v>
      </c>
      <c r="H8139" t="s">
        <v>13057</v>
      </c>
      <c r="I8139">
        <v>9142</v>
      </c>
      <c r="J8139" t="str">
        <f>VLOOKUP(E8139,DSSpieler!A:B,2,FALSE)</f>
        <v>untoldplayer</v>
      </c>
    </row>
    <row r="8140" spans="1:10" x14ac:dyDescent="0.25">
      <c r="A8140">
        <v>9143</v>
      </c>
      <c r="B8140" t="s">
        <v>150</v>
      </c>
      <c r="C8140">
        <v>407</v>
      </c>
      <c r="D8140">
        <v>507</v>
      </c>
      <c r="E8140">
        <v>9851774</v>
      </c>
      <c r="F8140">
        <v>4058</v>
      </c>
      <c r="G8140">
        <v>0</v>
      </c>
      <c r="H8140" t="s">
        <v>13058</v>
      </c>
      <c r="I8140">
        <v>9143</v>
      </c>
      <c r="J8140" t="str">
        <f>VLOOKUP(E8140,DSSpieler!A:B,2,FALSE)</f>
        <v>Tadeus92310</v>
      </c>
    </row>
    <row r="8141" spans="1:10" x14ac:dyDescent="0.25">
      <c r="A8141">
        <v>9144</v>
      </c>
      <c r="B8141" t="s">
        <v>531</v>
      </c>
      <c r="C8141">
        <v>579</v>
      </c>
      <c r="D8141">
        <v>554</v>
      </c>
      <c r="E8141">
        <v>0</v>
      </c>
      <c r="F8141">
        <v>724</v>
      </c>
      <c r="G8141">
        <v>0</v>
      </c>
      <c r="H8141" t="s">
        <v>13059</v>
      </c>
      <c r="I8141">
        <v>9144</v>
      </c>
      <c r="J8141" t="e">
        <f>VLOOKUP(E8141,DSSpieler!A:B,2,FALSE)</f>
        <v>#N/A</v>
      </c>
    </row>
    <row r="8142" spans="1:10" x14ac:dyDescent="0.25">
      <c r="A8142">
        <v>9145</v>
      </c>
      <c r="B8142" t="s">
        <v>33507</v>
      </c>
      <c r="C8142">
        <v>474</v>
      </c>
      <c r="D8142">
        <v>595</v>
      </c>
      <c r="E8142">
        <v>1576450468</v>
      </c>
      <c r="F8142">
        <v>5616</v>
      </c>
      <c r="G8142">
        <v>0</v>
      </c>
      <c r="H8142" t="s">
        <v>13060</v>
      </c>
      <c r="I8142">
        <v>9145</v>
      </c>
      <c r="J8142" t="str">
        <f>VLOOKUP(E8142,DSSpieler!A:B,2,FALSE)</f>
        <v>b0nes</v>
      </c>
    </row>
    <row r="8143" spans="1:10" x14ac:dyDescent="0.25">
      <c r="A8143">
        <v>9146</v>
      </c>
      <c r="B8143" t="s">
        <v>531</v>
      </c>
      <c r="C8143">
        <v>418</v>
      </c>
      <c r="D8143">
        <v>540</v>
      </c>
      <c r="E8143">
        <v>0</v>
      </c>
      <c r="F8143">
        <v>347</v>
      </c>
      <c r="G8143">
        <v>0</v>
      </c>
      <c r="H8143" t="s">
        <v>13061</v>
      </c>
      <c r="I8143">
        <v>9146</v>
      </c>
      <c r="J8143" t="e">
        <f>VLOOKUP(E8143,DSSpieler!A:B,2,FALSE)</f>
        <v>#N/A</v>
      </c>
    </row>
    <row r="8144" spans="1:10" x14ac:dyDescent="0.25">
      <c r="A8144">
        <v>9147</v>
      </c>
      <c r="B8144" t="s">
        <v>32458</v>
      </c>
      <c r="C8144">
        <v>441</v>
      </c>
      <c r="D8144">
        <v>575</v>
      </c>
      <c r="E8144">
        <v>10080976</v>
      </c>
      <c r="F8144">
        <v>5508</v>
      </c>
      <c r="G8144">
        <v>0</v>
      </c>
      <c r="H8144" t="s">
        <v>13062</v>
      </c>
      <c r="I8144">
        <v>9147</v>
      </c>
      <c r="J8144" t="str">
        <f>VLOOKUP(E8144,DSSpieler!A:B,2,FALSE)</f>
        <v>Kagawa09</v>
      </c>
    </row>
    <row r="8145" spans="1:10" x14ac:dyDescent="0.25">
      <c r="A8145">
        <v>9148</v>
      </c>
      <c r="B8145" t="s">
        <v>1761</v>
      </c>
      <c r="C8145">
        <v>552</v>
      </c>
      <c r="D8145">
        <v>451</v>
      </c>
      <c r="E8145">
        <v>1577176014</v>
      </c>
      <c r="F8145">
        <v>4334</v>
      </c>
      <c r="G8145">
        <v>0</v>
      </c>
      <c r="H8145" t="s">
        <v>13063</v>
      </c>
      <c r="I8145">
        <v>9148</v>
      </c>
      <c r="J8145" t="str">
        <f>VLOOKUP(E8145,DSSpieler!A:B,2,FALSE)</f>
        <v>Elaison</v>
      </c>
    </row>
    <row r="8146" spans="1:10" x14ac:dyDescent="0.25">
      <c r="A8146">
        <v>9149</v>
      </c>
      <c r="B8146" t="s">
        <v>531</v>
      </c>
      <c r="C8146">
        <v>458</v>
      </c>
      <c r="D8146">
        <v>583</v>
      </c>
      <c r="E8146">
        <v>0</v>
      </c>
      <c r="F8146">
        <v>223</v>
      </c>
      <c r="G8146">
        <v>0</v>
      </c>
      <c r="H8146" t="s">
        <v>13064</v>
      </c>
      <c r="I8146">
        <v>9149</v>
      </c>
      <c r="J8146" t="e">
        <f>VLOOKUP(E8146,DSSpieler!A:B,2,FALSE)</f>
        <v>#N/A</v>
      </c>
    </row>
    <row r="8147" spans="1:10" x14ac:dyDescent="0.25">
      <c r="A8147">
        <v>9151</v>
      </c>
      <c r="B8147" t="s">
        <v>546</v>
      </c>
      <c r="C8147">
        <v>507</v>
      </c>
      <c r="D8147">
        <v>425</v>
      </c>
      <c r="E8147">
        <v>1577197882</v>
      </c>
      <c r="F8147">
        <v>4371</v>
      </c>
      <c r="G8147">
        <v>0</v>
      </c>
      <c r="H8147" t="s">
        <v>13065</v>
      </c>
      <c r="I8147">
        <v>9151</v>
      </c>
      <c r="J8147" t="str">
        <f>VLOOKUP(E8147,DSSpieler!A:B,2,FALSE)</f>
        <v>Papi Chulo</v>
      </c>
    </row>
    <row r="8148" spans="1:10" x14ac:dyDescent="0.25">
      <c r="A8148">
        <v>9152</v>
      </c>
      <c r="B8148" t="s">
        <v>33508</v>
      </c>
      <c r="C8148">
        <v>522</v>
      </c>
      <c r="D8148">
        <v>408</v>
      </c>
      <c r="E8148">
        <v>1577198089</v>
      </c>
      <c r="F8148">
        <v>5702</v>
      </c>
      <c r="G8148">
        <v>0</v>
      </c>
      <c r="H8148" t="s">
        <v>13066</v>
      </c>
      <c r="I8148">
        <v>9152</v>
      </c>
      <c r="J8148" t="str">
        <f>VLOOKUP(E8148,DSSpieler!A:B,2,FALSE)</f>
        <v>Panschu</v>
      </c>
    </row>
    <row r="8149" spans="1:10" x14ac:dyDescent="0.25">
      <c r="A8149">
        <v>9153</v>
      </c>
      <c r="B8149" t="s">
        <v>1762</v>
      </c>
      <c r="C8149">
        <v>417</v>
      </c>
      <c r="D8149">
        <v>458</v>
      </c>
      <c r="E8149">
        <v>7932390</v>
      </c>
      <c r="F8149">
        <v>3479</v>
      </c>
      <c r="G8149">
        <v>0</v>
      </c>
      <c r="H8149" t="s">
        <v>13067</v>
      </c>
      <c r="I8149">
        <v>9153</v>
      </c>
      <c r="J8149" t="str">
        <f>VLOOKUP(E8149,DSSpieler!A:B,2,FALSE)</f>
        <v>DerCemo47</v>
      </c>
    </row>
    <row r="8150" spans="1:10" x14ac:dyDescent="0.25">
      <c r="A8150">
        <v>9154</v>
      </c>
      <c r="B8150" t="s">
        <v>33509</v>
      </c>
      <c r="C8150">
        <v>535</v>
      </c>
      <c r="D8150">
        <v>587</v>
      </c>
      <c r="E8150">
        <v>1576975883</v>
      </c>
      <c r="F8150">
        <v>6394</v>
      </c>
      <c r="G8150">
        <v>0</v>
      </c>
      <c r="H8150" t="s">
        <v>13068</v>
      </c>
      <c r="I8150">
        <v>9154</v>
      </c>
      <c r="J8150" t="str">
        <f>VLOOKUP(E8150,DSSpieler!A:B,2,FALSE)</f>
        <v>Burggeist123</v>
      </c>
    </row>
    <row r="8151" spans="1:10" x14ac:dyDescent="0.25">
      <c r="A8151">
        <v>9156</v>
      </c>
      <c r="B8151" t="s">
        <v>33510</v>
      </c>
      <c r="C8151">
        <v>456</v>
      </c>
      <c r="D8151">
        <v>430</v>
      </c>
      <c r="E8151">
        <v>1577198106</v>
      </c>
      <c r="F8151">
        <v>5789</v>
      </c>
      <c r="G8151">
        <v>0</v>
      </c>
      <c r="H8151" t="s">
        <v>13069</v>
      </c>
      <c r="I8151">
        <v>9156</v>
      </c>
      <c r="J8151" t="str">
        <f>VLOOKUP(E8151,DSSpieler!A:B,2,FALSE)</f>
        <v>Stini 94</v>
      </c>
    </row>
    <row r="8152" spans="1:10" x14ac:dyDescent="0.25">
      <c r="A8152">
        <v>9158</v>
      </c>
      <c r="B8152" t="s">
        <v>33511</v>
      </c>
      <c r="C8152">
        <v>491</v>
      </c>
      <c r="D8152">
        <v>387</v>
      </c>
      <c r="E8152">
        <v>1576345897</v>
      </c>
      <c r="F8152">
        <v>5318</v>
      </c>
      <c r="G8152">
        <v>0</v>
      </c>
      <c r="H8152" t="s">
        <v>13070</v>
      </c>
      <c r="I8152">
        <v>9158</v>
      </c>
      <c r="J8152" t="str">
        <f>VLOOKUP(E8152,DSSpieler!A:B,2,FALSE)</f>
        <v>Tzikguu</v>
      </c>
    </row>
    <row r="8153" spans="1:10" x14ac:dyDescent="0.25">
      <c r="A8153">
        <v>9159</v>
      </c>
      <c r="B8153" t="s">
        <v>1763</v>
      </c>
      <c r="C8153">
        <v>454</v>
      </c>
      <c r="D8153">
        <v>597</v>
      </c>
      <c r="E8153">
        <v>1576337345</v>
      </c>
      <c r="F8153">
        <v>5106</v>
      </c>
      <c r="G8153">
        <v>0</v>
      </c>
      <c r="H8153" t="s">
        <v>13071</v>
      </c>
      <c r="I8153">
        <v>9159</v>
      </c>
      <c r="J8153" t="str">
        <f>VLOOKUP(E8153,DSSpieler!A:B,2,FALSE)</f>
        <v>Hakuna-Matada</v>
      </c>
    </row>
    <row r="8154" spans="1:10" x14ac:dyDescent="0.25">
      <c r="A8154">
        <v>9160</v>
      </c>
      <c r="B8154" t="s">
        <v>531</v>
      </c>
      <c r="C8154">
        <v>431</v>
      </c>
      <c r="D8154">
        <v>561</v>
      </c>
      <c r="E8154">
        <v>0</v>
      </c>
      <c r="F8154">
        <v>209</v>
      </c>
      <c r="G8154">
        <v>0</v>
      </c>
      <c r="H8154" t="s">
        <v>13072</v>
      </c>
      <c r="I8154">
        <v>9160</v>
      </c>
      <c r="J8154" t="e">
        <f>VLOOKUP(E8154,DSSpieler!A:B,2,FALSE)</f>
        <v>#N/A</v>
      </c>
    </row>
    <row r="8155" spans="1:10" x14ac:dyDescent="0.25">
      <c r="A8155">
        <v>9162</v>
      </c>
      <c r="B8155">
        <v>1</v>
      </c>
      <c r="C8155">
        <v>438</v>
      </c>
      <c r="D8155">
        <v>572</v>
      </c>
      <c r="E8155">
        <v>1577197805</v>
      </c>
      <c r="F8155">
        <v>6359</v>
      </c>
      <c r="G8155">
        <v>0</v>
      </c>
      <c r="H8155" t="s">
        <v>13073</v>
      </c>
      <c r="I8155">
        <v>9162</v>
      </c>
      <c r="J8155" t="str">
        <f>VLOOKUP(E8155,DSSpieler!A:B,2,FALSE)</f>
        <v>TheOneAndOnly</v>
      </c>
    </row>
    <row r="8156" spans="1:10" x14ac:dyDescent="0.25">
      <c r="A8156">
        <v>9163</v>
      </c>
      <c r="B8156" t="s">
        <v>531</v>
      </c>
      <c r="C8156">
        <v>408</v>
      </c>
      <c r="D8156">
        <v>505</v>
      </c>
      <c r="E8156">
        <v>8315602</v>
      </c>
      <c r="F8156">
        <v>2188</v>
      </c>
      <c r="G8156">
        <v>0</v>
      </c>
      <c r="H8156" t="s">
        <v>13074</v>
      </c>
      <c r="I8156">
        <v>9163</v>
      </c>
      <c r="J8156" t="str">
        <f>VLOOKUP(E8156,DSSpieler!A:B,2,FALSE)</f>
        <v>Maggesch</v>
      </c>
    </row>
    <row r="8157" spans="1:10" x14ac:dyDescent="0.25">
      <c r="A8157">
        <v>9164</v>
      </c>
      <c r="B8157">
        <v>1</v>
      </c>
      <c r="C8157">
        <v>395</v>
      </c>
      <c r="D8157">
        <v>491</v>
      </c>
      <c r="E8157">
        <v>2384645</v>
      </c>
      <c r="F8157">
        <v>6889</v>
      </c>
      <c r="G8157">
        <v>0</v>
      </c>
      <c r="H8157" t="s">
        <v>438</v>
      </c>
      <c r="I8157">
        <v>9164</v>
      </c>
      <c r="J8157" t="str">
        <f>VLOOKUP(E8157,DSSpieler!A:B,2,FALSE)</f>
        <v>hasenbär</v>
      </c>
    </row>
    <row r="8158" spans="1:10" x14ac:dyDescent="0.25">
      <c r="A8158">
        <v>9165</v>
      </c>
      <c r="B8158" t="s">
        <v>531</v>
      </c>
      <c r="C8158">
        <v>557</v>
      </c>
      <c r="D8158">
        <v>533</v>
      </c>
      <c r="E8158">
        <v>0</v>
      </c>
      <c r="F8158">
        <v>683</v>
      </c>
      <c r="G8158">
        <v>0</v>
      </c>
      <c r="H8158" t="s">
        <v>13075</v>
      </c>
      <c r="I8158">
        <v>9165</v>
      </c>
      <c r="J8158" t="e">
        <f>VLOOKUP(E8158,DSSpieler!A:B,2,FALSE)</f>
        <v>#N/A</v>
      </c>
    </row>
    <row r="8159" spans="1:10" x14ac:dyDescent="0.25">
      <c r="A8159">
        <v>9166</v>
      </c>
      <c r="B8159" t="s">
        <v>531</v>
      </c>
      <c r="C8159">
        <v>544</v>
      </c>
      <c r="D8159">
        <v>519</v>
      </c>
      <c r="E8159">
        <v>0</v>
      </c>
      <c r="F8159">
        <v>304</v>
      </c>
      <c r="G8159">
        <v>0</v>
      </c>
      <c r="H8159" t="s">
        <v>13076</v>
      </c>
      <c r="I8159">
        <v>9166</v>
      </c>
      <c r="J8159" t="e">
        <f>VLOOKUP(E8159,DSSpieler!A:B,2,FALSE)</f>
        <v>#N/A</v>
      </c>
    </row>
    <row r="8160" spans="1:10" x14ac:dyDescent="0.25">
      <c r="A8160">
        <v>9167</v>
      </c>
      <c r="B8160" t="s">
        <v>531</v>
      </c>
      <c r="C8160">
        <v>541</v>
      </c>
      <c r="D8160">
        <v>583</v>
      </c>
      <c r="E8160">
        <v>0</v>
      </c>
      <c r="F8160">
        <v>469</v>
      </c>
      <c r="G8160">
        <v>0</v>
      </c>
      <c r="H8160" t="s">
        <v>13077</v>
      </c>
      <c r="I8160">
        <v>9167</v>
      </c>
      <c r="J8160" t="e">
        <f>VLOOKUP(E8160,DSSpieler!A:B,2,FALSE)</f>
        <v>#N/A</v>
      </c>
    </row>
    <row r="8161" spans="1:10" x14ac:dyDescent="0.25">
      <c r="A8161">
        <v>9168</v>
      </c>
      <c r="B8161" t="s">
        <v>1764</v>
      </c>
      <c r="C8161">
        <v>527</v>
      </c>
      <c r="D8161">
        <v>410</v>
      </c>
      <c r="E8161">
        <v>1576741449</v>
      </c>
      <c r="F8161">
        <v>4659</v>
      </c>
      <c r="G8161">
        <v>0</v>
      </c>
      <c r="H8161" t="s">
        <v>13078</v>
      </c>
      <c r="I8161">
        <v>9168</v>
      </c>
      <c r="J8161" t="str">
        <f>VLOOKUP(E8161,DSSpieler!A:B,2,FALSE)</f>
        <v>Boris-with-skill</v>
      </c>
    </row>
    <row r="8162" spans="1:10" x14ac:dyDescent="0.25">
      <c r="A8162">
        <v>9169</v>
      </c>
      <c r="B8162" t="s">
        <v>531</v>
      </c>
      <c r="C8162">
        <v>453</v>
      </c>
      <c r="D8162">
        <v>578</v>
      </c>
      <c r="E8162">
        <v>0</v>
      </c>
      <c r="F8162">
        <v>194</v>
      </c>
      <c r="G8162">
        <v>0</v>
      </c>
      <c r="H8162" t="s">
        <v>13079</v>
      </c>
      <c r="I8162">
        <v>9169</v>
      </c>
      <c r="J8162" t="e">
        <f>VLOOKUP(E8162,DSSpieler!A:B,2,FALSE)</f>
        <v>#N/A</v>
      </c>
    </row>
    <row r="8163" spans="1:10" x14ac:dyDescent="0.25">
      <c r="A8163">
        <v>9170</v>
      </c>
      <c r="B8163" t="s">
        <v>531</v>
      </c>
      <c r="C8163">
        <v>502</v>
      </c>
      <c r="D8163">
        <v>406</v>
      </c>
      <c r="E8163">
        <v>0</v>
      </c>
      <c r="F8163">
        <v>268</v>
      </c>
      <c r="G8163">
        <v>0</v>
      </c>
      <c r="H8163" t="s">
        <v>13080</v>
      </c>
      <c r="I8163">
        <v>9170</v>
      </c>
      <c r="J8163" t="e">
        <f>VLOOKUP(E8163,DSSpieler!A:B,2,FALSE)</f>
        <v>#N/A</v>
      </c>
    </row>
    <row r="8164" spans="1:10" x14ac:dyDescent="0.25">
      <c r="A8164">
        <v>9171</v>
      </c>
      <c r="B8164" t="s">
        <v>31169</v>
      </c>
      <c r="C8164">
        <v>550</v>
      </c>
      <c r="D8164">
        <v>399</v>
      </c>
      <c r="E8164">
        <v>1577085413</v>
      </c>
      <c r="F8164">
        <v>7914</v>
      </c>
      <c r="G8164">
        <v>0</v>
      </c>
      <c r="H8164" t="s">
        <v>13081</v>
      </c>
      <c r="I8164">
        <v>9171</v>
      </c>
      <c r="J8164" t="str">
        <f>VLOOKUP(E8164,DSSpieler!A:B,2,FALSE)</f>
        <v>thompson10</v>
      </c>
    </row>
    <row r="8165" spans="1:10" x14ac:dyDescent="0.25">
      <c r="A8165">
        <v>9172</v>
      </c>
      <c r="B8165" t="s">
        <v>531</v>
      </c>
      <c r="C8165">
        <v>410</v>
      </c>
      <c r="D8165">
        <v>520</v>
      </c>
      <c r="E8165">
        <v>0</v>
      </c>
      <c r="F8165">
        <v>246</v>
      </c>
      <c r="G8165">
        <v>0</v>
      </c>
      <c r="H8165" t="s">
        <v>13082</v>
      </c>
      <c r="I8165">
        <v>9172</v>
      </c>
      <c r="J8165" t="e">
        <f>VLOOKUP(E8165,DSSpieler!A:B,2,FALSE)</f>
        <v>#N/A</v>
      </c>
    </row>
    <row r="8166" spans="1:10" x14ac:dyDescent="0.25">
      <c r="A8166">
        <v>9173</v>
      </c>
      <c r="B8166" t="s">
        <v>33512</v>
      </c>
      <c r="C8166">
        <v>590</v>
      </c>
      <c r="D8166">
        <v>431</v>
      </c>
      <c r="E8166">
        <v>9287099</v>
      </c>
      <c r="F8166">
        <v>7558</v>
      </c>
      <c r="G8166">
        <v>0</v>
      </c>
      <c r="H8166" t="s">
        <v>13083</v>
      </c>
      <c r="I8166">
        <v>9173</v>
      </c>
      <c r="J8166" t="str">
        <f>VLOOKUP(E8166,DSSpieler!A:B,2,FALSE)</f>
        <v>Dango37</v>
      </c>
    </row>
    <row r="8167" spans="1:10" x14ac:dyDescent="0.25">
      <c r="A8167">
        <v>9174</v>
      </c>
      <c r="B8167" t="s">
        <v>531</v>
      </c>
      <c r="C8167">
        <v>585</v>
      </c>
      <c r="D8167">
        <v>459</v>
      </c>
      <c r="E8167">
        <v>0</v>
      </c>
      <c r="F8167">
        <v>149</v>
      </c>
      <c r="G8167">
        <v>0</v>
      </c>
      <c r="H8167" t="s">
        <v>13084</v>
      </c>
      <c r="I8167">
        <v>9174</v>
      </c>
      <c r="J8167" t="e">
        <f>VLOOKUP(E8167,DSSpieler!A:B,2,FALSE)</f>
        <v>#N/A</v>
      </c>
    </row>
    <row r="8168" spans="1:10" x14ac:dyDescent="0.25">
      <c r="A8168">
        <v>9175</v>
      </c>
      <c r="B8168" t="s">
        <v>891</v>
      </c>
      <c r="C8168">
        <v>579</v>
      </c>
      <c r="D8168">
        <v>430</v>
      </c>
      <c r="E8168">
        <v>8164050</v>
      </c>
      <c r="F8168">
        <v>3732</v>
      </c>
      <c r="G8168">
        <v>0</v>
      </c>
      <c r="H8168" t="s">
        <v>13085</v>
      </c>
      <c r="I8168">
        <v>9175</v>
      </c>
      <c r="J8168" t="str">
        <f>VLOOKUP(E8168,DSSpieler!A:B,2,FALSE)</f>
        <v>jochen678</v>
      </c>
    </row>
    <row r="8169" spans="1:10" x14ac:dyDescent="0.25">
      <c r="A8169">
        <v>9176</v>
      </c>
      <c r="B8169" t="s">
        <v>31138</v>
      </c>
      <c r="C8169">
        <v>457</v>
      </c>
      <c r="D8169">
        <v>401</v>
      </c>
      <c r="E8169">
        <v>1577064445</v>
      </c>
      <c r="F8169">
        <v>3701</v>
      </c>
      <c r="G8169">
        <v>0</v>
      </c>
      <c r="H8169" t="s">
        <v>13086</v>
      </c>
      <c r="I8169">
        <v>9176</v>
      </c>
      <c r="J8169" t="str">
        <f>VLOOKUP(E8169,DSSpieler!A:B,2,FALSE)</f>
        <v>Nightwolf</v>
      </c>
    </row>
    <row r="8170" spans="1:10" x14ac:dyDescent="0.25">
      <c r="A8170">
        <v>9177</v>
      </c>
      <c r="B8170" t="s">
        <v>531</v>
      </c>
      <c r="C8170">
        <v>504</v>
      </c>
      <c r="D8170">
        <v>582</v>
      </c>
      <c r="E8170">
        <v>0</v>
      </c>
      <c r="F8170">
        <v>254</v>
      </c>
      <c r="G8170">
        <v>0</v>
      </c>
      <c r="H8170" t="s">
        <v>13087</v>
      </c>
      <c r="I8170">
        <v>9177</v>
      </c>
      <c r="J8170" t="e">
        <f>VLOOKUP(E8170,DSSpieler!A:B,2,FALSE)</f>
        <v>#N/A</v>
      </c>
    </row>
    <row r="8171" spans="1:10" x14ac:dyDescent="0.25">
      <c r="A8171">
        <v>9179</v>
      </c>
      <c r="B8171" t="s">
        <v>33513</v>
      </c>
      <c r="C8171">
        <v>512</v>
      </c>
      <c r="D8171">
        <v>407</v>
      </c>
      <c r="E8171">
        <v>1576679391</v>
      </c>
      <c r="F8171">
        <v>8435</v>
      </c>
      <c r="G8171">
        <v>0</v>
      </c>
      <c r="H8171" t="s">
        <v>13088</v>
      </c>
      <c r="I8171">
        <v>9179</v>
      </c>
      <c r="J8171" t="str">
        <f>VLOOKUP(E8171,DSSpieler!A:B,2,FALSE)</f>
        <v>Carol Beer</v>
      </c>
    </row>
    <row r="8172" spans="1:10" x14ac:dyDescent="0.25">
      <c r="A8172">
        <v>9180</v>
      </c>
      <c r="B8172" t="s">
        <v>1765</v>
      </c>
      <c r="C8172">
        <v>519</v>
      </c>
      <c r="D8172">
        <v>536</v>
      </c>
      <c r="E8172">
        <v>1577193610</v>
      </c>
      <c r="F8172">
        <v>3000</v>
      </c>
      <c r="G8172">
        <v>0</v>
      </c>
      <c r="H8172" t="s">
        <v>13089</v>
      </c>
      <c r="I8172">
        <v>9180</v>
      </c>
      <c r="J8172" t="str">
        <f>VLOOKUP(E8172,DSSpieler!A:B,2,FALSE)</f>
        <v>Earlyeve</v>
      </c>
    </row>
    <row r="8173" spans="1:10" x14ac:dyDescent="0.25">
      <c r="A8173">
        <v>9182</v>
      </c>
      <c r="B8173" t="s">
        <v>810</v>
      </c>
      <c r="C8173">
        <v>523</v>
      </c>
      <c r="D8173">
        <v>511</v>
      </c>
      <c r="E8173">
        <v>1576276172</v>
      </c>
      <c r="F8173">
        <v>5306</v>
      </c>
      <c r="G8173">
        <v>0</v>
      </c>
      <c r="H8173" t="s">
        <v>13090</v>
      </c>
      <c r="I8173">
        <v>9182</v>
      </c>
      <c r="J8173" t="str">
        <f>VLOOKUP(E8173,DSSpieler!A:B,2,FALSE)</f>
        <v>ShenL0ng</v>
      </c>
    </row>
    <row r="8174" spans="1:10" x14ac:dyDescent="0.25">
      <c r="A8174">
        <v>9183</v>
      </c>
      <c r="B8174" t="s">
        <v>33514</v>
      </c>
      <c r="C8174">
        <v>589</v>
      </c>
      <c r="D8174">
        <v>559</v>
      </c>
      <c r="E8174">
        <v>1577198547</v>
      </c>
      <c r="F8174">
        <v>4401</v>
      </c>
      <c r="G8174">
        <v>0</v>
      </c>
      <c r="H8174" t="s">
        <v>13091</v>
      </c>
      <c r="I8174">
        <v>9183</v>
      </c>
      <c r="J8174" t="str">
        <f>VLOOKUP(E8174,DSSpieler!A:B,2,FALSE)</f>
        <v>blackout.</v>
      </c>
    </row>
    <row r="8175" spans="1:10" x14ac:dyDescent="0.25">
      <c r="A8175">
        <v>9184</v>
      </c>
      <c r="B8175" t="s">
        <v>33515</v>
      </c>
      <c r="C8175">
        <v>483</v>
      </c>
      <c r="D8175">
        <v>590</v>
      </c>
      <c r="E8175">
        <v>1577199002</v>
      </c>
      <c r="F8175">
        <v>5180</v>
      </c>
      <c r="G8175">
        <v>0</v>
      </c>
      <c r="H8175" t="s">
        <v>13092</v>
      </c>
      <c r="I8175">
        <v>9184</v>
      </c>
      <c r="J8175" t="str">
        <f>VLOOKUP(E8175,DSSpieler!A:B,2,FALSE)</f>
        <v>Memento mori</v>
      </c>
    </row>
    <row r="8176" spans="1:10" x14ac:dyDescent="0.25">
      <c r="A8176">
        <v>9185</v>
      </c>
      <c r="B8176" t="s">
        <v>33516</v>
      </c>
      <c r="C8176">
        <v>438</v>
      </c>
      <c r="D8176">
        <v>433</v>
      </c>
      <c r="E8176">
        <v>1577177525</v>
      </c>
      <c r="F8176">
        <v>619</v>
      </c>
      <c r="G8176">
        <v>0</v>
      </c>
      <c r="H8176" t="s">
        <v>13093</v>
      </c>
      <c r="I8176">
        <v>9185</v>
      </c>
      <c r="J8176" t="str">
        <f>VLOOKUP(E8176,DSSpieler!A:B,2,FALSE)</f>
        <v>Nightmarry</v>
      </c>
    </row>
    <row r="8177" spans="1:10" x14ac:dyDescent="0.25">
      <c r="A8177">
        <v>9187</v>
      </c>
      <c r="B8177" t="s">
        <v>33517</v>
      </c>
      <c r="C8177">
        <v>493</v>
      </c>
      <c r="D8177">
        <v>587</v>
      </c>
      <c r="E8177">
        <v>2641220</v>
      </c>
      <c r="F8177">
        <v>4954</v>
      </c>
      <c r="G8177">
        <v>0</v>
      </c>
      <c r="H8177" t="s">
        <v>13094</v>
      </c>
      <c r="I8177">
        <v>9187</v>
      </c>
      <c r="J8177" t="str">
        <f>VLOOKUP(E8177,DSSpieler!A:B,2,FALSE)</f>
        <v>Plug in Baby</v>
      </c>
    </row>
    <row r="8178" spans="1:10" x14ac:dyDescent="0.25">
      <c r="A8178">
        <v>9188</v>
      </c>
      <c r="B8178" t="s">
        <v>531</v>
      </c>
      <c r="C8178">
        <v>444</v>
      </c>
      <c r="D8178">
        <v>426</v>
      </c>
      <c r="E8178">
        <v>0</v>
      </c>
      <c r="F8178">
        <v>449</v>
      </c>
      <c r="G8178">
        <v>0</v>
      </c>
      <c r="H8178" t="s">
        <v>13095</v>
      </c>
      <c r="I8178">
        <v>9188</v>
      </c>
      <c r="J8178" t="e">
        <f>VLOOKUP(E8178,DSSpieler!A:B,2,FALSE)</f>
        <v>#N/A</v>
      </c>
    </row>
    <row r="8179" spans="1:10" x14ac:dyDescent="0.25">
      <c r="A8179">
        <v>9189</v>
      </c>
      <c r="B8179" t="s">
        <v>33518</v>
      </c>
      <c r="C8179">
        <v>542</v>
      </c>
      <c r="D8179">
        <v>601</v>
      </c>
      <c r="E8179">
        <v>1577028197</v>
      </c>
      <c r="F8179">
        <v>5587</v>
      </c>
      <c r="G8179">
        <v>0</v>
      </c>
      <c r="H8179" t="s">
        <v>13096</v>
      </c>
      <c r="I8179">
        <v>9189</v>
      </c>
      <c r="J8179" t="str">
        <f>VLOOKUP(E8179,DSSpieler!A:B,2,FALSE)</f>
        <v>DontDrinkAndDs</v>
      </c>
    </row>
    <row r="8180" spans="1:10" x14ac:dyDescent="0.25">
      <c r="A8180">
        <v>9190</v>
      </c>
      <c r="B8180" t="s">
        <v>1766</v>
      </c>
      <c r="C8180">
        <v>475</v>
      </c>
      <c r="D8180">
        <v>586</v>
      </c>
      <c r="E8180">
        <v>1577200206</v>
      </c>
      <c r="F8180">
        <v>3373</v>
      </c>
      <c r="G8180">
        <v>0</v>
      </c>
      <c r="H8180" t="s">
        <v>13097</v>
      </c>
      <c r="I8180">
        <v>9190</v>
      </c>
      <c r="J8180" t="str">
        <f>VLOOKUP(E8180,DSSpieler!A:B,2,FALSE)</f>
        <v>Ohnegrundgebannt</v>
      </c>
    </row>
    <row r="8181" spans="1:10" x14ac:dyDescent="0.25">
      <c r="A8181">
        <v>9191</v>
      </c>
      <c r="B8181" t="s">
        <v>531</v>
      </c>
      <c r="C8181">
        <v>408</v>
      </c>
      <c r="D8181">
        <v>525</v>
      </c>
      <c r="E8181">
        <v>0</v>
      </c>
      <c r="F8181">
        <v>196</v>
      </c>
      <c r="G8181">
        <v>0</v>
      </c>
      <c r="H8181" t="s">
        <v>13098</v>
      </c>
      <c r="I8181">
        <v>9191</v>
      </c>
      <c r="J8181" t="e">
        <f>VLOOKUP(E8181,DSSpieler!A:B,2,FALSE)</f>
        <v>#N/A</v>
      </c>
    </row>
    <row r="8182" spans="1:10" x14ac:dyDescent="0.25">
      <c r="A8182">
        <v>9192</v>
      </c>
      <c r="B8182" t="s">
        <v>531</v>
      </c>
      <c r="C8182">
        <v>471</v>
      </c>
      <c r="D8182">
        <v>587</v>
      </c>
      <c r="E8182">
        <v>0</v>
      </c>
      <c r="F8182">
        <v>245</v>
      </c>
      <c r="G8182">
        <v>0</v>
      </c>
      <c r="H8182" t="s">
        <v>13099</v>
      </c>
      <c r="I8182">
        <v>9192</v>
      </c>
      <c r="J8182" t="e">
        <f>VLOOKUP(E8182,DSSpieler!A:B,2,FALSE)</f>
        <v>#N/A</v>
      </c>
    </row>
    <row r="8183" spans="1:10" x14ac:dyDescent="0.25">
      <c r="A8183">
        <v>9193</v>
      </c>
      <c r="B8183" t="s">
        <v>531</v>
      </c>
      <c r="C8183">
        <v>575</v>
      </c>
      <c r="D8183">
        <v>558</v>
      </c>
      <c r="E8183">
        <v>0</v>
      </c>
      <c r="F8183">
        <v>667</v>
      </c>
      <c r="G8183">
        <v>0</v>
      </c>
      <c r="H8183" t="s">
        <v>13100</v>
      </c>
      <c r="I8183">
        <v>9193</v>
      </c>
      <c r="J8183" t="e">
        <f>VLOOKUP(E8183,DSSpieler!A:B,2,FALSE)</f>
        <v>#N/A</v>
      </c>
    </row>
    <row r="8184" spans="1:10" x14ac:dyDescent="0.25">
      <c r="A8184">
        <v>9194</v>
      </c>
      <c r="B8184" t="s">
        <v>531</v>
      </c>
      <c r="C8184">
        <v>418</v>
      </c>
      <c r="D8184">
        <v>456</v>
      </c>
      <c r="E8184">
        <v>0</v>
      </c>
      <c r="F8184">
        <v>219</v>
      </c>
      <c r="G8184">
        <v>0</v>
      </c>
      <c r="H8184" t="s">
        <v>13101</v>
      </c>
      <c r="I8184">
        <v>9194</v>
      </c>
      <c r="J8184" t="e">
        <f>VLOOKUP(E8184,DSSpieler!A:B,2,FALSE)</f>
        <v>#N/A</v>
      </c>
    </row>
    <row r="8185" spans="1:10" x14ac:dyDescent="0.25">
      <c r="A8185">
        <v>9195</v>
      </c>
      <c r="B8185" t="s">
        <v>531</v>
      </c>
      <c r="C8185">
        <v>527</v>
      </c>
      <c r="D8185">
        <v>512</v>
      </c>
      <c r="E8185">
        <v>0</v>
      </c>
      <c r="F8185">
        <v>241</v>
      </c>
      <c r="G8185">
        <v>0</v>
      </c>
      <c r="H8185" t="s">
        <v>13102</v>
      </c>
      <c r="I8185">
        <v>9195</v>
      </c>
      <c r="J8185" t="e">
        <f>VLOOKUP(E8185,DSSpieler!A:B,2,FALSE)</f>
        <v>#N/A</v>
      </c>
    </row>
    <row r="8186" spans="1:10" x14ac:dyDescent="0.25">
      <c r="A8186">
        <v>9196</v>
      </c>
      <c r="B8186" t="s">
        <v>1767</v>
      </c>
      <c r="C8186">
        <v>468</v>
      </c>
      <c r="D8186">
        <v>436</v>
      </c>
      <c r="E8186">
        <v>1577196112</v>
      </c>
      <c r="F8186">
        <v>3790</v>
      </c>
      <c r="G8186">
        <v>0</v>
      </c>
      <c r="H8186" t="s">
        <v>13103</v>
      </c>
      <c r="I8186">
        <v>9196</v>
      </c>
      <c r="J8186" t="str">
        <f>VLOOKUP(E8186,DSSpieler!A:B,2,FALSE)</f>
        <v>klaus4</v>
      </c>
    </row>
    <row r="8187" spans="1:10" x14ac:dyDescent="0.25">
      <c r="A8187">
        <v>9197</v>
      </c>
      <c r="B8187" t="s">
        <v>531</v>
      </c>
      <c r="C8187">
        <v>420</v>
      </c>
      <c r="D8187">
        <v>543</v>
      </c>
      <c r="E8187">
        <v>0</v>
      </c>
      <c r="F8187">
        <v>444</v>
      </c>
      <c r="G8187">
        <v>0</v>
      </c>
      <c r="H8187" t="s">
        <v>13104</v>
      </c>
      <c r="I8187">
        <v>9197</v>
      </c>
      <c r="J8187" t="e">
        <f>VLOOKUP(E8187,DSSpieler!A:B,2,FALSE)</f>
        <v>#N/A</v>
      </c>
    </row>
    <row r="8188" spans="1:10" x14ac:dyDescent="0.25">
      <c r="A8188">
        <v>9198</v>
      </c>
      <c r="B8188" t="s">
        <v>33519</v>
      </c>
      <c r="C8188">
        <v>439</v>
      </c>
      <c r="D8188">
        <v>427</v>
      </c>
      <c r="E8188">
        <v>7806902</v>
      </c>
      <c r="F8188">
        <v>4729</v>
      </c>
      <c r="G8188">
        <v>0</v>
      </c>
      <c r="H8188" t="s">
        <v>13105</v>
      </c>
      <c r="I8188">
        <v>9198</v>
      </c>
      <c r="J8188" t="str">
        <f>VLOOKUP(E8188,DSSpieler!A:B,2,FALSE)</f>
        <v>Aiyomayo</v>
      </c>
    </row>
    <row r="8189" spans="1:10" x14ac:dyDescent="0.25">
      <c r="A8189">
        <v>9199</v>
      </c>
      <c r="B8189" t="s">
        <v>31866</v>
      </c>
      <c r="C8189">
        <v>459</v>
      </c>
      <c r="D8189">
        <v>582</v>
      </c>
      <c r="E8189">
        <v>823554</v>
      </c>
      <c r="F8189">
        <v>4056</v>
      </c>
      <c r="G8189">
        <v>0</v>
      </c>
      <c r="H8189" t="s">
        <v>13106</v>
      </c>
      <c r="I8189">
        <v>9199</v>
      </c>
      <c r="J8189" t="str">
        <f>VLOOKUP(E8189,DSSpieler!A:B,2,FALSE)</f>
        <v>hartbach</v>
      </c>
    </row>
    <row r="8190" spans="1:10" x14ac:dyDescent="0.25">
      <c r="A8190">
        <v>9200</v>
      </c>
      <c r="B8190" t="s">
        <v>33520</v>
      </c>
      <c r="C8190">
        <v>567</v>
      </c>
      <c r="D8190">
        <v>432</v>
      </c>
      <c r="E8190">
        <v>2274741</v>
      </c>
      <c r="F8190">
        <v>6071</v>
      </c>
      <c r="G8190">
        <v>0</v>
      </c>
      <c r="H8190" t="s">
        <v>13107</v>
      </c>
      <c r="I8190">
        <v>9200</v>
      </c>
      <c r="J8190" t="str">
        <f>VLOOKUP(E8190,DSSpieler!A:B,2,FALSE)</f>
        <v>Isildur König von Gondor</v>
      </c>
    </row>
    <row r="8191" spans="1:10" x14ac:dyDescent="0.25">
      <c r="A8191">
        <v>9201</v>
      </c>
      <c r="B8191" t="s">
        <v>31758</v>
      </c>
      <c r="C8191">
        <v>612</v>
      </c>
      <c r="D8191">
        <v>500</v>
      </c>
      <c r="E8191">
        <v>1577071496</v>
      </c>
      <c r="F8191">
        <v>5948</v>
      </c>
      <c r="G8191">
        <v>0</v>
      </c>
      <c r="H8191" t="s">
        <v>13108</v>
      </c>
      <c r="I8191">
        <v>9201</v>
      </c>
      <c r="J8191" t="str">
        <f>VLOOKUP(E8191,DSSpieler!A:B,2,FALSE)</f>
        <v>boombot95</v>
      </c>
    </row>
    <row r="8192" spans="1:10" x14ac:dyDescent="0.25">
      <c r="A8192">
        <v>9202</v>
      </c>
      <c r="B8192" t="s">
        <v>33521</v>
      </c>
      <c r="C8192">
        <v>537</v>
      </c>
      <c r="D8192">
        <v>602</v>
      </c>
      <c r="E8192">
        <v>1576559856</v>
      </c>
      <c r="F8192">
        <v>4192</v>
      </c>
      <c r="G8192">
        <v>0</v>
      </c>
      <c r="H8192" t="s">
        <v>13109</v>
      </c>
      <c r="I8192">
        <v>9202</v>
      </c>
      <c r="J8192" t="str">
        <f>VLOOKUP(E8192,DSSpieler!A:B,2,FALSE)</f>
        <v>dombora99</v>
      </c>
    </row>
    <row r="8193" spans="1:10" x14ac:dyDescent="0.25">
      <c r="A8193">
        <v>9203</v>
      </c>
      <c r="B8193" t="s">
        <v>33522</v>
      </c>
      <c r="C8193">
        <v>580</v>
      </c>
      <c r="D8193">
        <v>457</v>
      </c>
      <c r="E8193">
        <v>1577187371</v>
      </c>
      <c r="F8193">
        <v>4744</v>
      </c>
      <c r="G8193">
        <v>0</v>
      </c>
      <c r="H8193" t="s">
        <v>13110</v>
      </c>
      <c r="I8193">
        <v>9203</v>
      </c>
      <c r="J8193" t="str">
        <f>VLOOKUP(E8193,DSSpieler!A:B,2,FALSE)</f>
        <v>Der Tempelritter</v>
      </c>
    </row>
    <row r="8194" spans="1:10" x14ac:dyDescent="0.25">
      <c r="A8194">
        <v>9204</v>
      </c>
      <c r="B8194" t="s">
        <v>33523</v>
      </c>
      <c r="C8194">
        <v>422</v>
      </c>
      <c r="D8194">
        <v>453</v>
      </c>
      <c r="E8194">
        <v>8835520</v>
      </c>
      <c r="F8194">
        <v>5019</v>
      </c>
      <c r="G8194">
        <v>0</v>
      </c>
      <c r="H8194" t="s">
        <v>13111</v>
      </c>
      <c r="I8194">
        <v>9204</v>
      </c>
      <c r="J8194" t="str">
        <f>VLOOKUP(E8194,DSSpieler!A:B,2,FALSE)</f>
        <v>miles96</v>
      </c>
    </row>
    <row r="8195" spans="1:10" x14ac:dyDescent="0.25">
      <c r="A8195">
        <v>9205</v>
      </c>
      <c r="B8195" t="s">
        <v>33524</v>
      </c>
      <c r="C8195">
        <v>594</v>
      </c>
      <c r="D8195">
        <v>502</v>
      </c>
      <c r="E8195">
        <v>8393437</v>
      </c>
      <c r="F8195">
        <v>4020</v>
      </c>
      <c r="G8195">
        <v>0</v>
      </c>
      <c r="H8195" t="s">
        <v>13112</v>
      </c>
      <c r="I8195">
        <v>9205</v>
      </c>
      <c r="J8195" t="str">
        <f>VLOOKUP(E8195,DSSpieler!A:B,2,FALSE)</f>
        <v>Dein Tödchen</v>
      </c>
    </row>
    <row r="8196" spans="1:10" x14ac:dyDescent="0.25">
      <c r="A8196">
        <v>9206</v>
      </c>
      <c r="B8196" t="s">
        <v>531</v>
      </c>
      <c r="C8196">
        <v>549</v>
      </c>
      <c r="D8196">
        <v>422</v>
      </c>
      <c r="E8196">
        <v>0</v>
      </c>
      <c r="F8196">
        <v>966</v>
      </c>
      <c r="G8196">
        <v>0</v>
      </c>
      <c r="H8196" t="s">
        <v>13113</v>
      </c>
      <c r="I8196">
        <v>9206</v>
      </c>
      <c r="J8196" t="e">
        <f>VLOOKUP(E8196,DSSpieler!A:B,2,FALSE)</f>
        <v>#N/A</v>
      </c>
    </row>
    <row r="8197" spans="1:10" x14ac:dyDescent="0.25">
      <c r="A8197">
        <v>9207</v>
      </c>
      <c r="B8197">
        <v>3</v>
      </c>
      <c r="C8197">
        <v>405</v>
      </c>
      <c r="D8197">
        <v>478</v>
      </c>
      <c r="E8197">
        <v>1576355953</v>
      </c>
      <c r="F8197">
        <v>4273</v>
      </c>
      <c r="G8197">
        <v>0</v>
      </c>
      <c r="H8197" t="s">
        <v>13114</v>
      </c>
      <c r="I8197">
        <v>9207</v>
      </c>
      <c r="J8197" t="str">
        <f>VLOOKUP(E8197,DSSpieler!A:B,2,FALSE)</f>
        <v>PAS5I</v>
      </c>
    </row>
    <row r="8198" spans="1:10" x14ac:dyDescent="0.25">
      <c r="A8198">
        <v>9208</v>
      </c>
      <c r="B8198" t="s">
        <v>1768</v>
      </c>
      <c r="C8198">
        <v>541</v>
      </c>
      <c r="D8198">
        <v>428</v>
      </c>
      <c r="E8198">
        <v>1577197746</v>
      </c>
      <c r="F8198">
        <v>3575</v>
      </c>
      <c r="G8198">
        <v>0</v>
      </c>
      <c r="H8198" t="s">
        <v>13115</v>
      </c>
      <c r="I8198">
        <v>9208</v>
      </c>
      <c r="J8198" t="str">
        <f>VLOOKUP(E8198,DSSpieler!A:B,2,FALSE)</f>
        <v>Treece</v>
      </c>
    </row>
    <row r="8199" spans="1:10" x14ac:dyDescent="0.25">
      <c r="A8199">
        <v>9209</v>
      </c>
      <c r="B8199" t="s">
        <v>78</v>
      </c>
      <c r="C8199">
        <v>591</v>
      </c>
      <c r="D8199">
        <v>513</v>
      </c>
      <c r="E8199">
        <v>9284860</v>
      </c>
      <c r="F8199">
        <v>6401</v>
      </c>
      <c r="G8199">
        <v>0</v>
      </c>
      <c r="H8199" t="s">
        <v>13116</v>
      </c>
      <c r="I8199">
        <v>9209</v>
      </c>
      <c r="J8199" t="str">
        <f>VLOOKUP(E8199,DSSpieler!A:B,2,FALSE)</f>
        <v>Nextwe</v>
      </c>
    </row>
    <row r="8200" spans="1:10" x14ac:dyDescent="0.25">
      <c r="A8200">
        <v>9210</v>
      </c>
      <c r="B8200" t="s">
        <v>33525</v>
      </c>
      <c r="C8200">
        <v>583</v>
      </c>
      <c r="D8200">
        <v>446</v>
      </c>
      <c r="E8200">
        <v>8179590</v>
      </c>
      <c r="F8200">
        <v>5193</v>
      </c>
      <c r="G8200">
        <v>0</v>
      </c>
      <c r="H8200" t="s">
        <v>13117</v>
      </c>
      <c r="I8200">
        <v>9210</v>
      </c>
      <c r="J8200" t="str">
        <f>VLOOKUP(E8200,DSSpieler!A:B,2,FALSE)</f>
        <v>-Lutschdn?</v>
      </c>
    </row>
    <row r="8201" spans="1:10" x14ac:dyDescent="0.25">
      <c r="A8201">
        <v>9211</v>
      </c>
      <c r="B8201" t="s">
        <v>531</v>
      </c>
      <c r="C8201">
        <v>573</v>
      </c>
      <c r="D8201">
        <v>438</v>
      </c>
      <c r="E8201">
        <v>9219282</v>
      </c>
      <c r="F8201">
        <v>507</v>
      </c>
      <c r="G8201">
        <v>0</v>
      </c>
      <c r="H8201" t="s">
        <v>13118</v>
      </c>
      <c r="I8201">
        <v>9211</v>
      </c>
      <c r="J8201" t="str">
        <f>VLOOKUP(E8201,DSSpieler!A:B,2,FALSE)</f>
        <v>Mariechen Jolie</v>
      </c>
    </row>
    <row r="8202" spans="1:10" x14ac:dyDescent="0.25">
      <c r="A8202">
        <v>9212</v>
      </c>
      <c r="B8202" t="s">
        <v>33526</v>
      </c>
      <c r="C8202">
        <v>450</v>
      </c>
      <c r="D8202">
        <v>463</v>
      </c>
      <c r="E8202">
        <v>1576820196</v>
      </c>
      <c r="F8202">
        <v>4834</v>
      </c>
      <c r="G8202">
        <v>0</v>
      </c>
      <c r="H8202" t="s">
        <v>13119</v>
      </c>
      <c r="I8202">
        <v>9212</v>
      </c>
      <c r="J8202" t="str">
        <f>VLOOKUP(E8202,DSSpieler!A:B,2,FALSE)</f>
        <v>Lord von Namor</v>
      </c>
    </row>
    <row r="8203" spans="1:10" x14ac:dyDescent="0.25">
      <c r="A8203">
        <v>9214</v>
      </c>
      <c r="B8203" t="s">
        <v>35846</v>
      </c>
      <c r="C8203">
        <v>490</v>
      </c>
      <c r="D8203">
        <v>564</v>
      </c>
      <c r="E8203">
        <v>1577197880</v>
      </c>
      <c r="F8203">
        <v>5239</v>
      </c>
      <c r="G8203">
        <v>0</v>
      </c>
      <c r="H8203" t="s">
        <v>13120</v>
      </c>
      <c r="I8203">
        <v>9214</v>
      </c>
      <c r="J8203" t="str">
        <f>VLOOKUP(E8203,DSSpieler!A:B,2,FALSE)</f>
        <v>jakusizz</v>
      </c>
    </row>
    <row r="8204" spans="1:10" x14ac:dyDescent="0.25">
      <c r="A8204">
        <v>9215</v>
      </c>
      <c r="B8204" t="s">
        <v>531</v>
      </c>
      <c r="C8204">
        <v>422</v>
      </c>
      <c r="D8204">
        <v>544</v>
      </c>
      <c r="E8204">
        <v>0</v>
      </c>
      <c r="F8204">
        <v>278</v>
      </c>
      <c r="G8204">
        <v>0</v>
      </c>
      <c r="H8204" t="s">
        <v>13121</v>
      </c>
      <c r="I8204">
        <v>9215</v>
      </c>
      <c r="J8204" t="e">
        <f>VLOOKUP(E8204,DSSpieler!A:B,2,FALSE)</f>
        <v>#N/A</v>
      </c>
    </row>
    <row r="8205" spans="1:10" x14ac:dyDescent="0.25">
      <c r="A8205">
        <v>9216</v>
      </c>
      <c r="B8205" t="s">
        <v>713</v>
      </c>
      <c r="C8205">
        <v>579</v>
      </c>
      <c r="D8205">
        <v>454</v>
      </c>
      <c r="E8205">
        <v>1577197749</v>
      </c>
      <c r="F8205">
        <v>5366</v>
      </c>
      <c r="G8205">
        <v>0</v>
      </c>
      <c r="H8205" t="s">
        <v>13122</v>
      </c>
      <c r="I8205">
        <v>9216</v>
      </c>
      <c r="J8205" t="str">
        <f>VLOOKUP(E8205,DSSpieler!A:B,2,FALSE)</f>
        <v>Yondu</v>
      </c>
    </row>
    <row r="8206" spans="1:10" x14ac:dyDescent="0.25">
      <c r="A8206">
        <v>9217</v>
      </c>
      <c r="B8206" t="s">
        <v>1769</v>
      </c>
      <c r="C8206">
        <v>467</v>
      </c>
      <c r="D8206">
        <v>587</v>
      </c>
      <c r="E8206">
        <v>1577016565</v>
      </c>
      <c r="F8206">
        <v>5337</v>
      </c>
      <c r="G8206">
        <v>0</v>
      </c>
      <c r="H8206" t="s">
        <v>13123</v>
      </c>
      <c r="I8206">
        <v>9217</v>
      </c>
      <c r="J8206" t="str">
        <f>VLOOKUP(E8206,DSSpieler!A:B,2,FALSE)</f>
        <v>Inditex</v>
      </c>
    </row>
    <row r="8207" spans="1:10" x14ac:dyDescent="0.25">
      <c r="A8207">
        <v>9219</v>
      </c>
      <c r="B8207" t="s">
        <v>531</v>
      </c>
      <c r="C8207">
        <v>479</v>
      </c>
      <c r="D8207">
        <v>590</v>
      </c>
      <c r="E8207">
        <v>0</v>
      </c>
      <c r="F8207">
        <v>456</v>
      </c>
      <c r="G8207">
        <v>0</v>
      </c>
      <c r="H8207" t="s">
        <v>13124</v>
      </c>
      <c r="I8207">
        <v>9219</v>
      </c>
      <c r="J8207" t="e">
        <f>VLOOKUP(E8207,DSSpieler!A:B,2,FALSE)</f>
        <v>#N/A</v>
      </c>
    </row>
    <row r="8208" spans="1:10" x14ac:dyDescent="0.25">
      <c r="A8208">
        <v>9220</v>
      </c>
      <c r="B8208" t="s">
        <v>33527</v>
      </c>
      <c r="C8208">
        <v>582</v>
      </c>
      <c r="D8208">
        <v>444</v>
      </c>
      <c r="E8208">
        <v>735534</v>
      </c>
      <c r="F8208">
        <v>4591</v>
      </c>
      <c r="G8208">
        <v>0</v>
      </c>
      <c r="H8208" t="s">
        <v>13125</v>
      </c>
      <c r="I8208">
        <v>9220</v>
      </c>
      <c r="J8208" t="str">
        <f>VLOOKUP(E8208,DSSpieler!A:B,2,FALSE)</f>
        <v>KönigArtur1234</v>
      </c>
    </row>
    <row r="8209" spans="1:10" x14ac:dyDescent="0.25">
      <c r="A8209">
        <v>9221</v>
      </c>
      <c r="B8209">
        <v>1</v>
      </c>
      <c r="C8209">
        <v>441</v>
      </c>
      <c r="D8209">
        <v>576</v>
      </c>
      <c r="E8209">
        <v>2710916</v>
      </c>
      <c r="F8209">
        <v>5793</v>
      </c>
      <c r="G8209">
        <v>0</v>
      </c>
      <c r="H8209" t="s">
        <v>13126</v>
      </c>
      <c r="I8209">
        <v>9221</v>
      </c>
      <c r="J8209" t="str">
        <f>VLOOKUP(E8209,DSSpieler!A:B,2,FALSE)</f>
        <v>frederike b.</v>
      </c>
    </row>
    <row r="8210" spans="1:10" x14ac:dyDescent="0.25">
      <c r="A8210">
        <v>9222</v>
      </c>
      <c r="B8210" t="s">
        <v>531</v>
      </c>
      <c r="C8210">
        <v>522</v>
      </c>
      <c r="D8210">
        <v>579</v>
      </c>
      <c r="E8210">
        <v>0</v>
      </c>
      <c r="F8210">
        <v>823</v>
      </c>
      <c r="G8210">
        <v>0</v>
      </c>
      <c r="H8210" t="s">
        <v>13127</v>
      </c>
      <c r="I8210">
        <v>9222</v>
      </c>
      <c r="J8210" t="e">
        <f>VLOOKUP(E8210,DSSpieler!A:B,2,FALSE)</f>
        <v>#N/A</v>
      </c>
    </row>
    <row r="8211" spans="1:10" x14ac:dyDescent="0.25">
      <c r="A8211">
        <v>9223</v>
      </c>
      <c r="B8211" t="s">
        <v>531</v>
      </c>
      <c r="C8211">
        <v>575</v>
      </c>
      <c r="D8211">
        <v>556</v>
      </c>
      <c r="E8211">
        <v>0</v>
      </c>
      <c r="F8211">
        <v>249</v>
      </c>
      <c r="G8211">
        <v>0</v>
      </c>
      <c r="H8211" t="s">
        <v>13128</v>
      </c>
      <c r="I8211">
        <v>9223</v>
      </c>
      <c r="J8211" t="e">
        <f>VLOOKUP(E8211,DSSpieler!A:B,2,FALSE)</f>
        <v>#N/A</v>
      </c>
    </row>
    <row r="8212" spans="1:10" x14ac:dyDescent="0.25">
      <c r="A8212">
        <v>9224</v>
      </c>
      <c r="B8212" t="s">
        <v>33528</v>
      </c>
      <c r="C8212">
        <v>594</v>
      </c>
      <c r="D8212">
        <v>487</v>
      </c>
      <c r="E8212">
        <v>1577175097</v>
      </c>
      <c r="F8212">
        <v>295</v>
      </c>
      <c r="G8212">
        <v>0</v>
      </c>
      <c r="H8212" t="s">
        <v>13129</v>
      </c>
      <c r="I8212">
        <v>9224</v>
      </c>
      <c r="J8212" t="str">
        <f>VLOOKUP(E8212,DSSpieler!A:B,2,FALSE)</f>
        <v>AlqaiDöner</v>
      </c>
    </row>
    <row r="8213" spans="1:10" x14ac:dyDescent="0.25">
      <c r="A8213">
        <v>9225</v>
      </c>
      <c r="B8213" t="s">
        <v>33529</v>
      </c>
      <c r="C8213">
        <v>590</v>
      </c>
      <c r="D8213">
        <v>437</v>
      </c>
      <c r="E8213">
        <v>1577060953</v>
      </c>
      <c r="F8213">
        <v>4165</v>
      </c>
      <c r="G8213">
        <v>0</v>
      </c>
      <c r="H8213" t="s">
        <v>13130</v>
      </c>
      <c r="I8213">
        <v>9225</v>
      </c>
      <c r="J8213" t="str">
        <f>VLOOKUP(E8213,DSSpieler!A:B,2,FALSE)</f>
        <v>EasySnacks</v>
      </c>
    </row>
    <row r="8214" spans="1:10" x14ac:dyDescent="0.25">
      <c r="A8214">
        <v>9226</v>
      </c>
      <c r="B8214" t="s">
        <v>531</v>
      </c>
      <c r="C8214">
        <v>592</v>
      </c>
      <c r="D8214">
        <v>490</v>
      </c>
      <c r="E8214">
        <v>0</v>
      </c>
      <c r="F8214">
        <v>269</v>
      </c>
      <c r="G8214">
        <v>0</v>
      </c>
      <c r="H8214" t="s">
        <v>13131</v>
      </c>
      <c r="I8214">
        <v>9226</v>
      </c>
      <c r="J8214" t="e">
        <f>VLOOKUP(E8214,DSSpieler!A:B,2,FALSE)</f>
        <v>#N/A</v>
      </c>
    </row>
    <row r="8215" spans="1:10" x14ac:dyDescent="0.25">
      <c r="A8215">
        <v>9227</v>
      </c>
      <c r="B8215" t="s">
        <v>33530</v>
      </c>
      <c r="C8215">
        <v>510</v>
      </c>
      <c r="D8215">
        <v>415</v>
      </c>
      <c r="E8215">
        <v>8061322</v>
      </c>
      <c r="F8215">
        <v>6515</v>
      </c>
      <c r="G8215">
        <v>0</v>
      </c>
      <c r="H8215" t="s">
        <v>13132</v>
      </c>
      <c r="I8215">
        <v>9227</v>
      </c>
      <c r="J8215" t="str">
        <f>VLOOKUP(E8215,DSSpieler!A:B,2,FALSE)</f>
        <v>sebastil2</v>
      </c>
    </row>
    <row r="8216" spans="1:10" x14ac:dyDescent="0.25">
      <c r="A8216">
        <v>9228</v>
      </c>
      <c r="B8216" t="s">
        <v>31839</v>
      </c>
      <c r="C8216">
        <v>541</v>
      </c>
      <c r="D8216">
        <v>570</v>
      </c>
      <c r="E8216">
        <v>1577011479</v>
      </c>
      <c r="F8216">
        <v>5053</v>
      </c>
      <c r="G8216">
        <v>0</v>
      </c>
      <c r="H8216" t="s">
        <v>13133</v>
      </c>
      <c r="I8216">
        <v>9228</v>
      </c>
      <c r="J8216" t="str">
        <f>VLOOKUP(E8216,DSSpieler!A:B,2,FALSE)</f>
        <v>Dänerys Targaryen</v>
      </c>
    </row>
    <row r="8217" spans="1:10" x14ac:dyDescent="0.25">
      <c r="A8217">
        <v>9229</v>
      </c>
      <c r="B8217" t="s">
        <v>531</v>
      </c>
      <c r="C8217">
        <v>512</v>
      </c>
      <c r="D8217">
        <v>410</v>
      </c>
      <c r="E8217">
        <v>0</v>
      </c>
      <c r="F8217">
        <v>199</v>
      </c>
      <c r="G8217">
        <v>0</v>
      </c>
      <c r="H8217" t="s">
        <v>13134</v>
      </c>
      <c r="I8217">
        <v>9229</v>
      </c>
      <c r="J8217" t="e">
        <f>VLOOKUP(E8217,DSSpieler!A:B,2,FALSE)</f>
        <v>#N/A</v>
      </c>
    </row>
    <row r="8218" spans="1:10" x14ac:dyDescent="0.25">
      <c r="A8218">
        <v>9230</v>
      </c>
      <c r="B8218" t="s">
        <v>531</v>
      </c>
      <c r="C8218">
        <v>576</v>
      </c>
      <c r="D8218">
        <v>559</v>
      </c>
      <c r="E8218">
        <v>0</v>
      </c>
      <c r="F8218">
        <v>766</v>
      </c>
      <c r="G8218">
        <v>0</v>
      </c>
      <c r="H8218" t="s">
        <v>13135</v>
      </c>
      <c r="I8218">
        <v>9230</v>
      </c>
      <c r="J8218" t="e">
        <f>VLOOKUP(E8218,DSSpieler!A:B,2,FALSE)</f>
        <v>#N/A</v>
      </c>
    </row>
    <row r="8219" spans="1:10" x14ac:dyDescent="0.25">
      <c r="A8219">
        <v>9231</v>
      </c>
      <c r="B8219" t="s">
        <v>673</v>
      </c>
      <c r="C8219">
        <v>595</v>
      </c>
      <c r="D8219">
        <v>487</v>
      </c>
      <c r="E8219">
        <v>1515548</v>
      </c>
      <c r="F8219">
        <v>4561</v>
      </c>
      <c r="G8219">
        <v>0</v>
      </c>
      <c r="H8219" t="s">
        <v>13136</v>
      </c>
      <c r="I8219">
        <v>9231</v>
      </c>
      <c r="J8219" t="str">
        <f>VLOOKUP(E8219,DSSpieler!A:B,2,FALSE)</f>
        <v>Störfaktor</v>
      </c>
    </row>
    <row r="8220" spans="1:10" x14ac:dyDescent="0.25">
      <c r="A8220">
        <v>9232</v>
      </c>
      <c r="B8220" t="s">
        <v>531</v>
      </c>
      <c r="C8220">
        <v>498</v>
      </c>
      <c r="D8220">
        <v>568</v>
      </c>
      <c r="E8220">
        <v>0</v>
      </c>
      <c r="F8220">
        <v>1088</v>
      </c>
      <c r="G8220">
        <v>0</v>
      </c>
      <c r="H8220" t="s">
        <v>13137</v>
      </c>
      <c r="I8220">
        <v>9232</v>
      </c>
      <c r="J8220" t="e">
        <f>VLOOKUP(E8220,DSSpieler!A:B,2,FALSE)</f>
        <v>#N/A</v>
      </c>
    </row>
    <row r="8221" spans="1:10" x14ac:dyDescent="0.25">
      <c r="A8221">
        <v>9233</v>
      </c>
      <c r="B8221" t="s">
        <v>31763</v>
      </c>
      <c r="C8221">
        <v>577</v>
      </c>
      <c r="D8221">
        <v>550</v>
      </c>
      <c r="E8221">
        <v>1577171740</v>
      </c>
      <c r="F8221">
        <v>6746</v>
      </c>
      <c r="G8221">
        <v>0</v>
      </c>
      <c r="H8221" t="s">
        <v>13138</v>
      </c>
      <c r="I8221">
        <v>9233</v>
      </c>
      <c r="J8221" t="str">
        <f>VLOOKUP(E8221,DSSpieler!A:B,2,FALSE)</f>
        <v>Kevisback7</v>
      </c>
    </row>
    <row r="8222" spans="1:10" x14ac:dyDescent="0.25">
      <c r="A8222">
        <v>9234</v>
      </c>
      <c r="B8222" t="s">
        <v>999</v>
      </c>
      <c r="C8222">
        <v>412</v>
      </c>
      <c r="D8222">
        <v>535</v>
      </c>
      <c r="E8222">
        <v>9705555</v>
      </c>
      <c r="F8222">
        <v>5670</v>
      </c>
      <c r="G8222">
        <v>0</v>
      </c>
      <c r="H8222" t="s">
        <v>13139</v>
      </c>
      <c r="I8222">
        <v>9234</v>
      </c>
      <c r="J8222" t="str">
        <f>VLOOKUP(E8222,DSSpieler!A:B,2,FALSE)</f>
        <v>MarcoUndNils</v>
      </c>
    </row>
    <row r="8223" spans="1:10" x14ac:dyDescent="0.25">
      <c r="A8223">
        <v>9235</v>
      </c>
      <c r="B8223" t="s">
        <v>33531</v>
      </c>
      <c r="C8223">
        <v>466</v>
      </c>
      <c r="D8223">
        <v>585</v>
      </c>
      <c r="E8223">
        <v>1577194670</v>
      </c>
      <c r="F8223">
        <v>6465</v>
      </c>
      <c r="G8223">
        <v>0</v>
      </c>
      <c r="H8223" t="s">
        <v>13140</v>
      </c>
      <c r="I8223">
        <v>9235</v>
      </c>
      <c r="J8223" t="str">
        <f>VLOOKUP(E8223,DSSpieler!A:B,2,FALSE)</f>
        <v>Angelo Merte</v>
      </c>
    </row>
    <row r="8224" spans="1:10" x14ac:dyDescent="0.25">
      <c r="A8224">
        <v>9236</v>
      </c>
      <c r="B8224" t="s">
        <v>531</v>
      </c>
      <c r="C8224">
        <v>418</v>
      </c>
      <c r="D8224">
        <v>542</v>
      </c>
      <c r="E8224">
        <v>0</v>
      </c>
      <c r="F8224">
        <v>182</v>
      </c>
      <c r="G8224">
        <v>0</v>
      </c>
      <c r="H8224" t="s">
        <v>13141</v>
      </c>
      <c r="I8224">
        <v>9236</v>
      </c>
      <c r="J8224" t="e">
        <f>VLOOKUP(E8224,DSSpieler!A:B,2,FALSE)</f>
        <v>#N/A</v>
      </c>
    </row>
    <row r="8225" spans="1:10" x14ac:dyDescent="0.25">
      <c r="A8225">
        <v>9237</v>
      </c>
      <c r="B8225" t="s">
        <v>531</v>
      </c>
      <c r="C8225">
        <v>575</v>
      </c>
      <c r="D8225">
        <v>443</v>
      </c>
      <c r="E8225">
        <v>0</v>
      </c>
      <c r="F8225">
        <v>199</v>
      </c>
      <c r="G8225">
        <v>0</v>
      </c>
      <c r="H8225" t="s">
        <v>13142</v>
      </c>
      <c r="I8225">
        <v>9237</v>
      </c>
      <c r="J8225" t="e">
        <f>VLOOKUP(E8225,DSSpieler!A:B,2,FALSE)</f>
        <v>#N/A</v>
      </c>
    </row>
    <row r="8226" spans="1:10" x14ac:dyDescent="0.25">
      <c r="A8226">
        <v>9238</v>
      </c>
      <c r="B8226" t="s">
        <v>531</v>
      </c>
      <c r="C8226">
        <v>542</v>
      </c>
      <c r="D8226">
        <v>584</v>
      </c>
      <c r="E8226">
        <v>0</v>
      </c>
      <c r="F8226">
        <v>599</v>
      </c>
      <c r="G8226">
        <v>0</v>
      </c>
      <c r="H8226" t="s">
        <v>13143</v>
      </c>
      <c r="I8226">
        <v>9238</v>
      </c>
      <c r="J8226" t="e">
        <f>VLOOKUP(E8226,DSSpieler!A:B,2,FALSE)</f>
        <v>#N/A</v>
      </c>
    </row>
    <row r="8227" spans="1:10" x14ac:dyDescent="0.25">
      <c r="A8227">
        <v>9239</v>
      </c>
      <c r="B8227">
        <v>2</v>
      </c>
      <c r="C8227">
        <v>405</v>
      </c>
      <c r="D8227">
        <v>493</v>
      </c>
      <c r="E8227">
        <v>9296843</v>
      </c>
      <c r="F8227">
        <v>6779</v>
      </c>
      <c r="G8227">
        <v>0</v>
      </c>
      <c r="H8227" t="s">
        <v>13144</v>
      </c>
      <c r="I8227">
        <v>9239</v>
      </c>
      <c r="J8227" t="str">
        <f>VLOOKUP(E8227,DSSpieler!A:B,2,FALSE)</f>
        <v>-Psylon-</v>
      </c>
    </row>
    <row r="8228" spans="1:10" x14ac:dyDescent="0.25">
      <c r="A8228">
        <v>9240</v>
      </c>
      <c r="B8228" t="s">
        <v>33532</v>
      </c>
      <c r="C8228">
        <v>521</v>
      </c>
      <c r="D8228">
        <v>596</v>
      </c>
      <c r="E8228">
        <v>1576761768</v>
      </c>
      <c r="F8228">
        <v>7985</v>
      </c>
      <c r="G8228">
        <v>0</v>
      </c>
      <c r="H8228" t="s">
        <v>13145</v>
      </c>
      <c r="I8228">
        <v>9240</v>
      </c>
      <c r="J8228" t="str">
        <f>VLOOKUP(E8228,DSSpieler!A:B,2,FALSE)</f>
        <v>lakinho</v>
      </c>
    </row>
    <row r="8229" spans="1:10" x14ac:dyDescent="0.25">
      <c r="A8229">
        <v>9241</v>
      </c>
      <c r="B8229" t="s">
        <v>32876</v>
      </c>
      <c r="C8229">
        <v>439</v>
      </c>
      <c r="D8229">
        <v>569</v>
      </c>
      <c r="E8229">
        <v>1388</v>
      </c>
      <c r="F8229">
        <v>1078</v>
      </c>
      <c r="G8229">
        <v>0</v>
      </c>
      <c r="H8229" t="s">
        <v>13146</v>
      </c>
      <c r="I8229">
        <v>9241</v>
      </c>
      <c r="J8229" t="str">
        <f>VLOOKUP(E8229,DSSpieler!A:B,2,FALSE)</f>
        <v>schmutzhund</v>
      </c>
    </row>
    <row r="8230" spans="1:10" x14ac:dyDescent="0.25">
      <c r="A8230">
        <v>9242</v>
      </c>
      <c r="B8230" t="s">
        <v>1770</v>
      </c>
      <c r="C8230">
        <v>586</v>
      </c>
      <c r="D8230">
        <v>467</v>
      </c>
      <c r="E8230">
        <v>1577198126</v>
      </c>
      <c r="F8230">
        <v>5768</v>
      </c>
      <c r="G8230">
        <v>0</v>
      </c>
      <c r="H8230" t="s">
        <v>13147</v>
      </c>
      <c r="I8230">
        <v>9242</v>
      </c>
      <c r="J8230" t="str">
        <f>VLOOKUP(E8230,DSSpieler!A:B,2,FALSE)</f>
        <v>Der Besorger</v>
      </c>
    </row>
    <row r="8231" spans="1:10" x14ac:dyDescent="0.25">
      <c r="A8231">
        <v>9243</v>
      </c>
      <c r="B8231" t="s">
        <v>531</v>
      </c>
      <c r="C8231">
        <v>591</v>
      </c>
      <c r="D8231">
        <v>505</v>
      </c>
      <c r="E8231">
        <v>0</v>
      </c>
      <c r="F8231">
        <v>472</v>
      </c>
      <c r="G8231">
        <v>0</v>
      </c>
      <c r="H8231" t="s">
        <v>13148</v>
      </c>
      <c r="I8231">
        <v>9243</v>
      </c>
      <c r="J8231" t="e">
        <f>VLOOKUP(E8231,DSSpieler!A:B,2,FALSE)</f>
        <v>#N/A</v>
      </c>
    </row>
    <row r="8232" spans="1:10" x14ac:dyDescent="0.25">
      <c r="A8232">
        <v>9244</v>
      </c>
      <c r="B8232" t="s">
        <v>33533</v>
      </c>
      <c r="C8232">
        <v>445</v>
      </c>
      <c r="D8232">
        <v>422</v>
      </c>
      <c r="E8232">
        <v>1576950154</v>
      </c>
      <c r="F8232">
        <v>6756</v>
      </c>
      <c r="G8232">
        <v>0</v>
      </c>
      <c r="H8232" t="s">
        <v>13149</v>
      </c>
      <c r="I8232">
        <v>9244</v>
      </c>
      <c r="J8232" t="str">
        <f>VLOOKUP(E8232,DSSpieler!A:B,2,FALSE)</f>
        <v>Lord Burnsens</v>
      </c>
    </row>
    <row r="8233" spans="1:10" x14ac:dyDescent="0.25">
      <c r="A8233">
        <v>9245</v>
      </c>
      <c r="B8233" t="s">
        <v>33534</v>
      </c>
      <c r="C8233">
        <v>529</v>
      </c>
      <c r="D8233">
        <v>595</v>
      </c>
      <c r="E8233">
        <v>1577193673</v>
      </c>
      <c r="F8233">
        <v>4913</v>
      </c>
      <c r="G8233">
        <v>0</v>
      </c>
      <c r="H8233" t="s">
        <v>13150</v>
      </c>
      <c r="I8233">
        <v>9245</v>
      </c>
      <c r="J8233" t="str">
        <f>VLOOKUP(E8233,DSSpieler!A:B,2,FALSE)</f>
        <v>xlFamous</v>
      </c>
    </row>
    <row r="8234" spans="1:10" x14ac:dyDescent="0.25">
      <c r="A8234">
        <v>9246</v>
      </c>
      <c r="B8234" t="s">
        <v>33535</v>
      </c>
      <c r="C8234">
        <v>592</v>
      </c>
      <c r="D8234">
        <v>478</v>
      </c>
      <c r="E8234">
        <v>1576998775</v>
      </c>
      <c r="F8234">
        <v>5284</v>
      </c>
      <c r="G8234">
        <v>0</v>
      </c>
      <c r="H8234" t="s">
        <v>13151</v>
      </c>
      <c r="I8234">
        <v>9246</v>
      </c>
      <c r="J8234" t="str">
        <f>VLOOKUP(E8234,DSSpieler!A:B,2,FALSE)</f>
        <v>Flodo</v>
      </c>
    </row>
    <row r="8235" spans="1:10" x14ac:dyDescent="0.25">
      <c r="A8235">
        <v>9247</v>
      </c>
      <c r="B8235" t="s">
        <v>33536</v>
      </c>
      <c r="C8235">
        <v>584</v>
      </c>
      <c r="D8235">
        <v>465</v>
      </c>
      <c r="E8235">
        <v>1577197941</v>
      </c>
      <c r="F8235">
        <v>4699</v>
      </c>
      <c r="G8235">
        <v>0</v>
      </c>
      <c r="H8235" t="s">
        <v>13152</v>
      </c>
      <c r="I8235">
        <v>9247</v>
      </c>
      <c r="J8235" t="str">
        <f>VLOOKUP(E8235,DSSpieler!A:B,2,FALSE)</f>
        <v>Copter</v>
      </c>
    </row>
    <row r="8236" spans="1:10" x14ac:dyDescent="0.25">
      <c r="A8236">
        <v>9248</v>
      </c>
      <c r="B8236" t="s">
        <v>601</v>
      </c>
      <c r="C8236">
        <v>555</v>
      </c>
      <c r="D8236">
        <v>425</v>
      </c>
      <c r="E8236">
        <v>1577103852</v>
      </c>
      <c r="F8236">
        <v>5094</v>
      </c>
      <c r="G8236">
        <v>0</v>
      </c>
      <c r="H8236" t="s">
        <v>13153</v>
      </c>
      <c r="I8236">
        <v>9248</v>
      </c>
      <c r="J8236" t="str">
        <f>VLOOKUP(E8236,DSSpieler!A:B,2,FALSE)</f>
        <v>Muska110</v>
      </c>
    </row>
    <row r="8237" spans="1:10" x14ac:dyDescent="0.25">
      <c r="A8237">
        <v>9249</v>
      </c>
      <c r="B8237" t="s">
        <v>531</v>
      </c>
      <c r="C8237">
        <v>500</v>
      </c>
      <c r="D8237">
        <v>584</v>
      </c>
      <c r="E8237">
        <v>0</v>
      </c>
      <c r="F8237">
        <v>244</v>
      </c>
      <c r="G8237">
        <v>0</v>
      </c>
      <c r="H8237" t="s">
        <v>13154</v>
      </c>
      <c r="I8237">
        <v>9249</v>
      </c>
      <c r="J8237" t="e">
        <f>VLOOKUP(E8237,DSSpieler!A:B,2,FALSE)</f>
        <v>#N/A</v>
      </c>
    </row>
    <row r="8238" spans="1:10" x14ac:dyDescent="0.25">
      <c r="A8238">
        <v>9250</v>
      </c>
      <c r="B8238" t="s">
        <v>713</v>
      </c>
      <c r="C8238">
        <v>582</v>
      </c>
      <c r="D8238">
        <v>452</v>
      </c>
      <c r="E8238">
        <v>1577197749</v>
      </c>
      <c r="F8238">
        <v>5523</v>
      </c>
      <c r="G8238">
        <v>0</v>
      </c>
      <c r="H8238" t="s">
        <v>13155</v>
      </c>
      <c r="I8238">
        <v>9250</v>
      </c>
      <c r="J8238" t="str">
        <f>VLOOKUP(E8238,DSSpieler!A:B,2,FALSE)</f>
        <v>Yondu</v>
      </c>
    </row>
    <row r="8239" spans="1:10" x14ac:dyDescent="0.25">
      <c r="A8239">
        <v>9251</v>
      </c>
      <c r="B8239" t="s">
        <v>33537</v>
      </c>
      <c r="C8239">
        <v>393</v>
      </c>
      <c r="D8239">
        <v>520</v>
      </c>
      <c r="E8239">
        <v>1577186661</v>
      </c>
      <c r="F8239">
        <v>5640</v>
      </c>
      <c r="G8239">
        <v>0</v>
      </c>
      <c r="H8239" t="s">
        <v>13156</v>
      </c>
      <c r="I8239">
        <v>9251</v>
      </c>
      <c r="J8239" t="str">
        <f>VLOOKUP(E8239,DSSpieler!A:B,2,FALSE)</f>
        <v>dredor</v>
      </c>
    </row>
    <row r="8240" spans="1:10" x14ac:dyDescent="0.25">
      <c r="A8240">
        <v>9252</v>
      </c>
      <c r="B8240" t="s">
        <v>33538</v>
      </c>
      <c r="C8240">
        <v>585</v>
      </c>
      <c r="D8240">
        <v>435</v>
      </c>
      <c r="E8240">
        <v>1576910880</v>
      </c>
      <c r="F8240">
        <v>5335</v>
      </c>
      <c r="G8240">
        <v>0</v>
      </c>
      <c r="H8240" t="s">
        <v>13157</v>
      </c>
      <c r="I8240">
        <v>9252</v>
      </c>
      <c r="J8240" t="str">
        <f>VLOOKUP(E8240,DSSpieler!A:B,2,FALSE)</f>
        <v>Quarantino*</v>
      </c>
    </row>
    <row r="8241" spans="1:10" x14ac:dyDescent="0.25">
      <c r="A8241">
        <v>9253</v>
      </c>
      <c r="B8241" t="s">
        <v>1771</v>
      </c>
      <c r="C8241">
        <v>436</v>
      </c>
      <c r="D8241">
        <v>413</v>
      </c>
      <c r="E8241">
        <v>1576953927</v>
      </c>
      <c r="F8241">
        <v>5409</v>
      </c>
      <c r="G8241">
        <v>0</v>
      </c>
      <c r="H8241" t="s">
        <v>13158</v>
      </c>
      <c r="I8241">
        <v>9253</v>
      </c>
      <c r="J8241" t="str">
        <f>VLOOKUP(E8241,DSSpieler!A:B,2,FALSE)</f>
        <v>Fürst Finn</v>
      </c>
    </row>
    <row r="8242" spans="1:10" x14ac:dyDescent="0.25">
      <c r="A8242">
        <v>9254</v>
      </c>
      <c r="B8242" t="s">
        <v>531</v>
      </c>
      <c r="C8242">
        <v>407</v>
      </c>
      <c r="D8242">
        <v>520</v>
      </c>
      <c r="E8242">
        <v>0</v>
      </c>
      <c r="F8242">
        <v>259</v>
      </c>
      <c r="G8242">
        <v>0</v>
      </c>
      <c r="H8242" t="s">
        <v>13159</v>
      </c>
      <c r="I8242">
        <v>9254</v>
      </c>
      <c r="J8242" t="e">
        <f>VLOOKUP(E8242,DSSpieler!A:B,2,FALSE)</f>
        <v>#N/A</v>
      </c>
    </row>
    <row r="8243" spans="1:10" x14ac:dyDescent="0.25">
      <c r="A8243">
        <v>9255</v>
      </c>
      <c r="B8243" t="s">
        <v>1772</v>
      </c>
      <c r="C8243">
        <v>590</v>
      </c>
      <c r="D8243">
        <v>478</v>
      </c>
      <c r="E8243">
        <v>1577173034</v>
      </c>
      <c r="F8243">
        <v>5511</v>
      </c>
      <c r="G8243">
        <v>0</v>
      </c>
      <c r="H8243" t="s">
        <v>13160</v>
      </c>
      <c r="I8243">
        <v>9255</v>
      </c>
      <c r="J8243" t="str">
        <f>VLOOKUP(E8243,DSSpieler!A:B,2,FALSE)</f>
        <v>LORD R3BORN</v>
      </c>
    </row>
    <row r="8244" spans="1:10" x14ac:dyDescent="0.25">
      <c r="A8244">
        <v>9256</v>
      </c>
      <c r="B8244" t="s">
        <v>531</v>
      </c>
      <c r="C8244">
        <v>424</v>
      </c>
      <c r="D8244">
        <v>552</v>
      </c>
      <c r="E8244">
        <v>0</v>
      </c>
      <c r="F8244">
        <v>432</v>
      </c>
      <c r="G8244">
        <v>0</v>
      </c>
      <c r="H8244" t="s">
        <v>13161</v>
      </c>
      <c r="I8244">
        <v>9256</v>
      </c>
      <c r="J8244" t="e">
        <f>VLOOKUP(E8244,DSSpieler!A:B,2,FALSE)</f>
        <v>#N/A</v>
      </c>
    </row>
    <row r="8245" spans="1:10" x14ac:dyDescent="0.25">
      <c r="A8245">
        <v>9257</v>
      </c>
      <c r="B8245" t="s">
        <v>78</v>
      </c>
      <c r="C8245">
        <v>594</v>
      </c>
      <c r="D8245">
        <v>511</v>
      </c>
      <c r="E8245">
        <v>9284860</v>
      </c>
      <c r="F8245">
        <v>1816</v>
      </c>
      <c r="G8245">
        <v>0</v>
      </c>
      <c r="H8245" t="s">
        <v>13162</v>
      </c>
      <c r="I8245">
        <v>9257</v>
      </c>
      <c r="J8245" t="str">
        <f>VLOOKUP(E8245,DSSpieler!A:B,2,FALSE)</f>
        <v>Nextwe</v>
      </c>
    </row>
    <row r="8246" spans="1:10" x14ac:dyDescent="0.25">
      <c r="A8246">
        <v>9258</v>
      </c>
      <c r="B8246" t="s">
        <v>531</v>
      </c>
      <c r="C8246">
        <v>423</v>
      </c>
      <c r="D8246">
        <v>449</v>
      </c>
      <c r="E8246">
        <v>0</v>
      </c>
      <c r="F8246">
        <v>400</v>
      </c>
      <c r="G8246">
        <v>0</v>
      </c>
      <c r="H8246" t="s">
        <v>13163</v>
      </c>
      <c r="I8246">
        <v>9258</v>
      </c>
      <c r="J8246" t="e">
        <f>VLOOKUP(E8246,DSSpieler!A:B,2,FALSE)</f>
        <v>#N/A</v>
      </c>
    </row>
    <row r="8247" spans="1:10" x14ac:dyDescent="0.25">
      <c r="A8247">
        <v>9259</v>
      </c>
      <c r="B8247" t="s">
        <v>780</v>
      </c>
      <c r="C8247">
        <v>579</v>
      </c>
      <c r="D8247">
        <v>551</v>
      </c>
      <c r="E8247">
        <v>1577196659</v>
      </c>
      <c r="F8247">
        <v>5658</v>
      </c>
      <c r="G8247">
        <v>0</v>
      </c>
      <c r="H8247" t="s">
        <v>13164</v>
      </c>
      <c r="I8247">
        <v>9259</v>
      </c>
      <c r="J8247" t="str">
        <f>VLOOKUP(E8247,DSSpieler!A:B,2,FALSE)</f>
        <v>gwendoline</v>
      </c>
    </row>
    <row r="8248" spans="1:10" x14ac:dyDescent="0.25">
      <c r="A8248">
        <v>9260</v>
      </c>
      <c r="B8248" t="s">
        <v>531</v>
      </c>
      <c r="C8248">
        <v>504</v>
      </c>
      <c r="D8248">
        <v>593</v>
      </c>
      <c r="E8248">
        <v>0</v>
      </c>
      <c r="F8248">
        <v>339</v>
      </c>
      <c r="G8248">
        <v>0</v>
      </c>
      <c r="H8248" t="s">
        <v>13165</v>
      </c>
      <c r="I8248">
        <v>9260</v>
      </c>
      <c r="J8248" t="e">
        <f>VLOOKUP(E8248,DSSpieler!A:B,2,FALSE)</f>
        <v>#N/A</v>
      </c>
    </row>
    <row r="8249" spans="1:10" x14ac:dyDescent="0.25">
      <c r="A8249">
        <v>9261</v>
      </c>
      <c r="B8249" t="s">
        <v>33539</v>
      </c>
      <c r="C8249">
        <v>409</v>
      </c>
      <c r="D8249">
        <v>527</v>
      </c>
      <c r="E8249">
        <v>1577149855</v>
      </c>
      <c r="F8249">
        <v>3649</v>
      </c>
      <c r="G8249">
        <v>0</v>
      </c>
      <c r="H8249" t="s">
        <v>13166</v>
      </c>
      <c r="I8249">
        <v>9261</v>
      </c>
      <c r="J8249" t="str">
        <f>VLOOKUP(E8249,DSSpieler!A:B,2,FALSE)</f>
        <v>Flo1995</v>
      </c>
    </row>
    <row r="8250" spans="1:10" x14ac:dyDescent="0.25">
      <c r="A8250">
        <v>9262</v>
      </c>
      <c r="B8250" t="s">
        <v>1765</v>
      </c>
      <c r="C8250">
        <v>440</v>
      </c>
      <c r="D8250">
        <v>574</v>
      </c>
      <c r="E8250">
        <v>8457813</v>
      </c>
      <c r="F8250">
        <v>1354</v>
      </c>
      <c r="G8250">
        <v>0</v>
      </c>
      <c r="H8250" t="s">
        <v>13167</v>
      </c>
      <c r="I8250">
        <v>9262</v>
      </c>
      <c r="J8250" t="str">
        <f>VLOOKUP(E8250,DSSpieler!A:B,2,FALSE)</f>
        <v>little Lotschi</v>
      </c>
    </row>
    <row r="8251" spans="1:10" x14ac:dyDescent="0.25">
      <c r="A8251">
        <v>9263</v>
      </c>
      <c r="B8251" t="s">
        <v>30817</v>
      </c>
      <c r="C8251">
        <v>590</v>
      </c>
      <c r="D8251">
        <v>519</v>
      </c>
      <c r="E8251">
        <v>1577170716</v>
      </c>
      <c r="F8251">
        <v>3200</v>
      </c>
      <c r="G8251">
        <v>0</v>
      </c>
      <c r="H8251" t="s">
        <v>13168</v>
      </c>
      <c r="I8251">
        <v>9263</v>
      </c>
      <c r="J8251" t="str">
        <f>VLOOKUP(E8251,DSSpieler!A:B,2,FALSE)</f>
        <v>Perser-Krieger</v>
      </c>
    </row>
    <row r="8252" spans="1:10" x14ac:dyDescent="0.25">
      <c r="A8252">
        <v>9264</v>
      </c>
      <c r="B8252" t="s">
        <v>531</v>
      </c>
      <c r="C8252">
        <v>588</v>
      </c>
      <c r="D8252">
        <v>563</v>
      </c>
      <c r="E8252">
        <v>0</v>
      </c>
      <c r="F8252">
        <v>1145</v>
      </c>
      <c r="G8252">
        <v>0</v>
      </c>
      <c r="H8252" t="s">
        <v>13169</v>
      </c>
      <c r="I8252">
        <v>9264</v>
      </c>
      <c r="J8252" t="e">
        <f>VLOOKUP(E8252,DSSpieler!A:B,2,FALSE)</f>
        <v>#N/A</v>
      </c>
    </row>
    <row r="8253" spans="1:10" x14ac:dyDescent="0.25">
      <c r="A8253">
        <v>9265</v>
      </c>
      <c r="B8253" t="s">
        <v>531</v>
      </c>
      <c r="C8253">
        <v>584</v>
      </c>
      <c r="D8253">
        <v>540</v>
      </c>
      <c r="E8253">
        <v>0</v>
      </c>
      <c r="F8253">
        <v>392</v>
      </c>
      <c r="G8253">
        <v>0</v>
      </c>
      <c r="H8253" t="s">
        <v>13170</v>
      </c>
      <c r="I8253">
        <v>9265</v>
      </c>
      <c r="J8253" t="e">
        <f>VLOOKUP(E8253,DSSpieler!A:B,2,FALSE)</f>
        <v>#N/A</v>
      </c>
    </row>
    <row r="8254" spans="1:10" x14ac:dyDescent="0.25">
      <c r="A8254">
        <v>9266</v>
      </c>
      <c r="B8254" t="s">
        <v>30480</v>
      </c>
      <c r="C8254">
        <v>505</v>
      </c>
      <c r="D8254">
        <v>406</v>
      </c>
      <c r="E8254">
        <v>1577138805</v>
      </c>
      <c r="F8254">
        <v>7193</v>
      </c>
      <c r="G8254">
        <v>0</v>
      </c>
      <c r="H8254" t="s">
        <v>13171</v>
      </c>
      <c r="I8254">
        <v>9266</v>
      </c>
      <c r="J8254" t="str">
        <f>VLOOKUP(E8254,DSSpieler!A:B,2,FALSE)</f>
        <v>Der Müde Joe</v>
      </c>
    </row>
    <row r="8255" spans="1:10" x14ac:dyDescent="0.25">
      <c r="A8255">
        <v>9268</v>
      </c>
      <c r="B8255" t="s">
        <v>531</v>
      </c>
      <c r="C8255">
        <v>488</v>
      </c>
      <c r="D8255">
        <v>574</v>
      </c>
      <c r="E8255">
        <v>0</v>
      </c>
      <c r="F8255">
        <v>217</v>
      </c>
      <c r="G8255">
        <v>0</v>
      </c>
      <c r="H8255" t="s">
        <v>13172</v>
      </c>
      <c r="I8255">
        <v>9268</v>
      </c>
      <c r="J8255" t="e">
        <f>VLOOKUP(E8255,DSSpieler!A:B,2,FALSE)</f>
        <v>#N/A</v>
      </c>
    </row>
    <row r="8256" spans="1:10" x14ac:dyDescent="0.25">
      <c r="A8256">
        <v>9269</v>
      </c>
      <c r="B8256" t="s">
        <v>32458</v>
      </c>
      <c r="C8256">
        <v>445</v>
      </c>
      <c r="D8256">
        <v>574</v>
      </c>
      <c r="E8256">
        <v>10080976</v>
      </c>
      <c r="F8256">
        <v>5556</v>
      </c>
      <c r="G8256">
        <v>0</v>
      </c>
      <c r="H8256" t="s">
        <v>13173</v>
      </c>
      <c r="I8256">
        <v>9269</v>
      </c>
      <c r="J8256" t="str">
        <f>VLOOKUP(E8256,DSSpieler!A:B,2,FALSE)</f>
        <v>Kagawa09</v>
      </c>
    </row>
    <row r="8257" spans="1:10" x14ac:dyDescent="0.25">
      <c r="A8257">
        <v>9270</v>
      </c>
      <c r="B8257" t="s">
        <v>33540</v>
      </c>
      <c r="C8257">
        <v>569</v>
      </c>
      <c r="D8257">
        <v>454</v>
      </c>
      <c r="E8257">
        <v>1576465907</v>
      </c>
      <c r="F8257">
        <v>3691</v>
      </c>
      <c r="G8257">
        <v>0</v>
      </c>
      <c r="H8257" t="s">
        <v>13174</v>
      </c>
      <c r="I8257">
        <v>9270</v>
      </c>
      <c r="J8257" t="str">
        <f>VLOOKUP(E8257,DSSpieler!A:B,2,FALSE)</f>
        <v>momo1417</v>
      </c>
    </row>
    <row r="8258" spans="1:10" x14ac:dyDescent="0.25">
      <c r="A8258">
        <v>9272</v>
      </c>
      <c r="B8258">
        <v>2</v>
      </c>
      <c r="C8258">
        <v>410</v>
      </c>
      <c r="D8258">
        <v>472</v>
      </c>
      <c r="E8258">
        <v>1576355953</v>
      </c>
      <c r="F8258">
        <v>5256</v>
      </c>
      <c r="G8258">
        <v>0</v>
      </c>
      <c r="H8258" t="s">
        <v>13175</v>
      </c>
      <c r="I8258">
        <v>9272</v>
      </c>
      <c r="J8258" t="str">
        <f>VLOOKUP(E8258,DSSpieler!A:B,2,FALSE)</f>
        <v>PAS5I</v>
      </c>
    </row>
    <row r="8259" spans="1:10" x14ac:dyDescent="0.25">
      <c r="A8259">
        <v>9273</v>
      </c>
      <c r="B8259" t="s">
        <v>531</v>
      </c>
      <c r="C8259">
        <v>457</v>
      </c>
      <c r="D8259">
        <v>583</v>
      </c>
      <c r="E8259">
        <v>0</v>
      </c>
      <c r="F8259">
        <v>363</v>
      </c>
      <c r="G8259">
        <v>0</v>
      </c>
      <c r="H8259" t="s">
        <v>13176</v>
      </c>
      <c r="I8259">
        <v>9273</v>
      </c>
      <c r="J8259" t="e">
        <f>VLOOKUP(E8259,DSSpieler!A:B,2,FALSE)</f>
        <v>#N/A</v>
      </c>
    </row>
    <row r="8260" spans="1:10" x14ac:dyDescent="0.25">
      <c r="A8260">
        <v>9274</v>
      </c>
      <c r="B8260" t="s">
        <v>33541</v>
      </c>
      <c r="C8260">
        <v>472</v>
      </c>
      <c r="D8260">
        <v>461</v>
      </c>
      <c r="E8260">
        <v>1577185502</v>
      </c>
      <c r="F8260">
        <v>6798</v>
      </c>
      <c r="G8260">
        <v>0</v>
      </c>
      <c r="H8260" t="s">
        <v>13177</v>
      </c>
      <c r="I8260">
        <v>9274</v>
      </c>
      <c r="J8260" t="str">
        <f>VLOOKUP(E8260,DSSpieler!A:B,2,FALSE)</f>
        <v>fabian1221</v>
      </c>
    </row>
    <row r="8261" spans="1:10" x14ac:dyDescent="0.25">
      <c r="A8261">
        <v>9275</v>
      </c>
      <c r="B8261" t="s">
        <v>33542</v>
      </c>
      <c r="C8261">
        <v>577</v>
      </c>
      <c r="D8261">
        <v>554</v>
      </c>
      <c r="E8261">
        <v>532123</v>
      </c>
      <c r="F8261">
        <v>6991</v>
      </c>
      <c r="G8261">
        <v>0</v>
      </c>
      <c r="H8261" t="s">
        <v>13178</v>
      </c>
      <c r="I8261">
        <v>9275</v>
      </c>
      <c r="J8261" t="str">
        <f>VLOOKUP(E8261,DSSpieler!A:B,2,FALSE)</f>
        <v>doenges-team</v>
      </c>
    </row>
    <row r="8262" spans="1:10" x14ac:dyDescent="0.25">
      <c r="A8262">
        <v>9276</v>
      </c>
      <c r="B8262" t="s">
        <v>33543</v>
      </c>
      <c r="C8262">
        <v>483</v>
      </c>
      <c r="D8262">
        <v>564</v>
      </c>
      <c r="E8262">
        <v>10235584</v>
      </c>
      <c r="F8262">
        <v>4606</v>
      </c>
      <c r="G8262">
        <v>0</v>
      </c>
      <c r="H8262" t="s">
        <v>13179</v>
      </c>
      <c r="I8262">
        <v>9276</v>
      </c>
      <c r="J8262" t="str">
        <f>VLOOKUP(E8262,DSSpieler!A:B,2,FALSE)</f>
        <v>LordShivaz</v>
      </c>
    </row>
    <row r="8263" spans="1:10" x14ac:dyDescent="0.25">
      <c r="A8263">
        <v>9277</v>
      </c>
      <c r="B8263" t="s">
        <v>1773</v>
      </c>
      <c r="C8263">
        <v>515</v>
      </c>
      <c r="D8263">
        <v>578</v>
      </c>
      <c r="E8263">
        <v>2279596</v>
      </c>
      <c r="F8263">
        <v>5066</v>
      </c>
      <c r="G8263">
        <v>0</v>
      </c>
      <c r="H8263" t="s">
        <v>13180</v>
      </c>
      <c r="I8263">
        <v>9277</v>
      </c>
      <c r="J8263" t="str">
        <f>VLOOKUP(E8263,DSSpieler!A:B,2,FALSE)</f>
        <v>The SK</v>
      </c>
    </row>
    <row r="8264" spans="1:10" x14ac:dyDescent="0.25">
      <c r="A8264">
        <v>9278</v>
      </c>
      <c r="B8264" t="s">
        <v>33544</v>
      </c>
      <c r="C8264">
        <v>576</v>
      </c>
      <c r="D8264">
        <v>496</v>
      </c>
      <c r="E8264">
        <v>3064189</v>
      </c>
      <c r="F8264">
        <v>2609</v>
      </c>
      <c r="G8264">
        <v>0</v>
      </c>
      <c r="H8264" t="s">
        <v>13181</v>
      </c>
      <c r="I8264">
        <v>9278</v>
      </c>
      <c r="J8264" t="str">
        <f>VLOOKUP(E8264,DSSpieler!A:B,2,FALSE)</f>
        <v>Joszef</v>
      </c>
    </row>
    <row r="8265" spans="1:10" x14ac:dyDescent="0.25">
      <c r="A8265">
        <v>9279</v>
      </c>
      <c r="B8265" t="s">
        <v>33545</v>
      </c>
      <c r="C8265">
        <v>413</v>
      </c>
      <c r="D8265">
        <v>463</v>
      </c>
      <c r="E8265">
        <v>1577179709</v>
      </c>
      <c r="F8265">
        <v>1585</v>
      </c>
      <c r="G8265">
        <v>0</v>
      </c>
      <c r="H8265" t="s">
        <v>13182</v>
      </c>
      <c r="I8265">
        <v>9279</v>
      </c>
      <c r="J8265" t="str">
        <f>VLOOKUP(E8265,DSSpieler!A:B,2,FALSE)</f>
        <v>xLuker</v>
      </c>
    </row>
    <row r="8266" spans="1:10" x14ac:dyDescent="0.25">
      <c r="A8266">
        <v>9280</v>
      </c>
      <c r="B8266" t="s">
        <v>531</v>
      </c>
      <c r="C8266">
        <v>551</v>
      </c>
      <c r="D8266">
        <v>422</v>
      </c>
      <c r="E8266">
        <v>0</v>
      </c>
      <c r="F8266">
        <v>312</v>
      </c>
      <c r="G8266">
        <v>0</v>
      </c>
      <c r="H8266" t="s">
        <v>13183</v>
      </c>
      <c r="I8266">
        <v>9280</v>
      </c>
      <c r="J8266" t="e">
        <f>VLOOKUP(E8266,DSSpieler!A:B,2,FALSE)</f>
        <v>#N/A</v>
      </c>
    </row>
    <row r="8267" spans="1:10" x14ac:dyDescent="0.25">
      <c r="A8267">
        <v>9282</v>
      </c>
      <c r="B8267" t="s">
        <v>531</v>
      </c>
      <c r="C8267">
        <v>412</v>
      </c>
      <c r="D8267">
        <v>549</v>
      </c>
      <c r="E8267">
        <v>0</v>
      </c>
      <c r="F8267">
        <v>358</v>
      </c>
      <c r="G8267">
        <v>0</v>
      </c>
      <c r="H8267" t="s">
        <v>13184</v>
      </c>
      <c r="I8267">
        <v>9282</v>
      </c>
      <c r="J8267" t="e">
        <f>VLOOKUP(E8267,DSSpieler!A:B,2,FALSE)</f>
        <v>#N/A</v>
      </c>
    </row>
    <row r="8268" spans="1:10" x14ac:dyDescent="0.25">
      <c r="A8268">
        <v>9283</v>
      </c>
      <c r="B8268" t="s">
        <v>33546</v>
      </c>
      <c r="C8268">
        <v>484</v>
      </c>
      <c r="D8268">
        <v>596</v>
      </c>
      <c r="E8268">
        <v>2641220</v>
      </c>
      <c r="F8268">
        <v>6509</v>
      </c>
      <c r="G8268">
        <v>0</v>
      </c>
      <c r="H8268" t="s">
        <v>13185</v>
      </c>
      <c r="I8268">
        <v>9283</v>
      </c>
      <c r="J8268" t="str">
        <f>VLOOKUP(E8268,DSSpieler!A:B,2,FALSE)</f>
        <v>Plug in Baby</v>
      </c>
    </row>
    <row r="8269" spans="1:10" x14ac:dyDescent="0.25">
      <c r="A8269">
        <v>9284</v>
      </c>
      <c r="B8269" t="s">
        <v>531</v>
      </c>
      <c r="C8269">
        <v>505</v>
      </c>
      <c r="D8269">
        <v>408</v>
      </c>
      <c r="E8269">
        <v>0</v>
      </c>
      <c r="F8269">
        <v>340</v>
      </c>
      <c r="G8269">
        <v>0</v>
      </c>
      <c r="H8269" t="s">
        <v>13186</v>
      </c>
      <c r="I8269">
        <v>9284</v>
      </c>
      <c r="J8269" t="e">
        <f>VLOOKUP(E8269,DSSpieler!A:B,2,FALSE)</f>
        <v>#N/A</v>
      </c>
    </row>
    <row r="8270" spans="1:10" x14ac:dyDescent="0.25">
      <c r="A8270">
        <v>9285</v>
      </c>
      <c r="B8270" t="e">
        <f>-Lucifer1-secret+Dorf</f>
        <v>#NAME?</v>
      </c>
      <c r="C8270">
        <v>506</v>
      </c>
      <c r="D8270">
        <v>402</v>
      </c>
      <c r="E8270">
        <v>9914027</v>
      </c>
      <c r="F8270">
        <v>2146</v>
      </c>
      <c r="G8270">
        <v>0</v>
      </c>
      <c r="H8270" t="s">
        <v>13187</v>
      </c>
      <c r="I8270">
        <v>9285</v>
      </c>
      <c r="J8270" t="str">
        <f>VLOOKUP(E8270,DSSpieler!A:B,2,FALSE)</f>
        <v>-Lucifer1-</v>
      </c>
    </row>
    <row r="8271" spans="1:10" x14ac:dyDescent="0.25">
      <c r="A8271">
        <v>9286</v>
      </c>
      <c r="B8271" t="s">
        <v>31440</v>
      </c>
      <c r="C8271">
        <v>506</v>
      </c>
      <c r="D8271">
        <v>399</v>
      </c>
      <c r="E8271">
        <v>1577149945</v>
      </c>
      <c r="F8271">
        <v>5139</v>
      </c>
      <c r="G8271">
        <v>0</v>
      </c>
      <c r="H8271" t="s">
        <v>13188</v>
      </c>
      <c r="I8271">
        <v>9286</v>
      </c>
      <c r="J8271" t="str">
        <f>VLOOKUP(E8271,DSSpieler!A:B,2,FALSE)</f>
        <v>frostibs</v>
      </c>
    </row>
    <row r="8272" spans="1:10" x14ac:dyDescent="0.25">
      <c r="A8272">
        <v>9287</v>
      </c>
      <c r="B8272" t="s">
        <v>33547</v>
      </c>
      <c r="C8272">
        <v>484</v>
      </c>
      <c r="D8272">
        <v>442</v>
      </c>
      <c r="E8272">
        <v>1577195997</v>
      </c>
      <c r="F8272">
        <v>4654</v>
      </c>
      <c r="G8272">
        <v>0</v>
      </c>
      <c r="H8272" t="s">
        <v>13189</v>
      </c>
      <c r="I8272">
        <v>9287</v>
      </c>
      <c r="J8272" t="str">
        <f>VLOOKUP(E8272,DSSpieler!A:B,2,FALSE)</f>
        <v>Schneeleopard</v>
      </c>
    </row>
    <row r="8273" spans="1:10" x14ac:dyDescent="0.25">
      <c r="A8273">
        <v>9288</v>
      </c>
      <c r="B8273" t="s">
        <v>531</v>
      </c>
      <c r="C8273">
        <v>497</v>
      </c>
      <c r="D8273">
        <v>570</v>
      </c>
      <c r="E8273">
        <v>0</v>
      </c>
      <c r="F8273">
        <v>197</v>
      </c>
      <c r="G8273">
        <v>0</v>
      </c>
      <c r="H8273" t="s">
        <v>13190</v>
      </c>
      <c r="I8273">
        <v>9288</v>
      </c>
      <c r="J8273" t="e">
        <f>VLOOKUP(E8273,DSSpieler!A:B,2,FALSE)</f>
        <v>#N/A</v>
      </c>
    </row>
    <row r="8274" spans="1:10" x14ac:dyDescent="0.25">
      <c r="A8274">
        <v>9289</v>
      </c>
      <c r="B8274" t="s">
        <v>33548</v>
      </c>
      <c r="C8274">
        <v>521</v>
      </c>
      <c r="D8274">
        <v>591</v>
      </c>
      <c r="E8274">
        <v>10016176</v>
      </c>
      <c r="F8274">
        <v>6743</v>
      </c>
      <c r="G8274">
        <v>0</v>
      </c>
      <c r="H8274" t="s">
        <v>13191</v>
      </c>
      <c r="I8274">
        <v>9289</v>
      </c>
      <c r="J8274" t="str">
        <f>VLOOKUP(E8274,DSSpieler!A:B,2,FALSE)</f>
        <v>Ghostsight7</v>
      </c>
    </row>
    <row r="8275" spans="1:10" x14ac:dyDescent="0.25">
      <c r="A8275">
        <v>9290</v>
      </c>
      <c r="B8275" t="s">
        <v>33549</v>
      </c>
      <c r="C8275">
        <v>577</v>
      </c>
      <c r="D8275">
        <v>551</v>
      </c>
      <c r="E8275">
        <v>532123</v>
      </c>
      <c r="F8275">
        <v>6757</v>
      </c>
      <c r="G8275">
        <v>0</v>
      </c>
      <c r="H8275" t="s">
        <v>13192</v>
      </c>
      <c r="I8275">
        <v>9290</v>
      </c>
      <c r="J8275" t="str">
        <f>VLOOKUP(E8275,DSSpieler!A:B,2,FALSE)</f>
        <v>doenges-team</v>
      </c>
    </row>
    <row r="8276" spans="1:10" x14ac:dyDescent="0.25">
      <c r="A8276">
        <v>9291</v>
      </c>
      <c r="B8276" t="s">
        <v>728</v>
      </c>
      <c r="C8276">
        <v>576</v>
      </c>
      <c r="D8276">
        <v>448</v>
      </c>
      <c r="E8276">
        <v>1577121578</v>
      </c>
      <c r="F8276">
        <v>5106</v>
      </c>
      <c r="G8276">
        <v>0</v>
      </c>
      <c r="H8276" t="s">
        <v>13193</v>
      </c>
      <c r="I8276">
        <v>9291</v>
      </c>
      <c r="J8276" t="str">
        <f>VLOOKUP(E8276,DSSpieler!A:B,2,FALSE)</f>
        <v>PARAsympathikus</v>
      </c>
    </row>
    <row r="8277" spans="1:10" x14ac:dyDescent="0.25">
      <c r="A8277">
        <v>9292</v>
      </c>
      <c r="B8277" t="s">
        <v>33550</v>
      </c>
      <c r="C8277">
        <v>589</v>
      </c>
      <c r="D8277">
        <v>441</v>
      </c>
      <c r="E8277">
        <v>1577198140</v>
      </c>
      <c r="F8277">
        <v>5037</v>
      </c>
      <c r="G8277">
        <v>0</v>
      </c>
      <c r="H8277" t="s">
        <v>13194</v>
      </c>
      <c r="I8277">
        <v>9292</v>
      </c>
      <c r="J8277" t="str">
        <f>VLOOKUP(E8277,DSSpieler!A:B,2,FALSE)</f>
        <v>FuchsTrix</v>
      </c>
    </row>
    <row r="8278" spans="1:10" x14ac:dyDescent="0.25">
      <c r="A8278">
        <v>9293</v>
      </c>
      <c r="B8278" t="s">
        <v>33551</v>
      </c>
      <c r="C8278">
        <v>555</v>
      </c>
      <c r="D8278">
        <v>420</v>
      </c>
      <c r="E8278">
        <v>9422279</v>
      </c>
      <c r="F8278">
        <v>3055</v>
      </c>
      <c r="G8278">
        <v>0</v>
      </c>
      <c r="H8278" t="s">
        <v>13195</v>
      </c>
      <c r="I8278">
        <v>9293</v>
      </c>
      <c r="J8278" t="str">
        <f>VLOOKUP(E8278,DSSpieler!A:B,2,FALSE)</f>
        <v>Castro</v>
      </c>
    </row>
    <row r="8279" spans="1:10" x14ac:dyDescent="0.25">
      <c r="A8279">
        <v>9294</v>
      </c>
      <c r="B8279" t="s">
        <v>1774</v>
      </c>
      <c r="C8279">
        <v>409</v>
      </c>
      <c r="D8279">
        <v>488</v>
      </c>
      <c r="E8279">
        <v>1576846818</v>
      </c>
      <c r="F8279">
        <v>6109</v>
      </c>
      <c r="G8279">
        <v>0</v>
      </c>
      <c r="H8279" t="s">
        <v>13196</v>
      </c>
      <c r="I8279">
        <v>9294</v>
      </c>
      <c r="J8279" t="str">
        <f>VLOOKUP(E8279,DSSpieler!A:B,2,FALSE)</f>
        <v>caspi11</v>
      </c>
    </row>
    <row r="8280" spans="1:10" x14ac:dyDescent="0.25">
      <c r="A8280">
        <v>9297</v>
      </c>
      <c r="B8280" t="s">
        <v>31308</v>
      </c>
      <c r="C8280">
        <v>558</v>
      </c>
      <c r="D8280">
        <v>590</v>
      </c>
      <c r="E8280">
        <v>1576831592</v>
      </c>
      <c r="F8280">
        <v>5485</v>
      </c>
      <c r="G8280">
        <v>0</v>
      </c>
      <c r="H8280" t="s">
        <v>13197</v>
      </c>
      <c r="I8280">
        <v>9297</v>
      </c>
      <c r="J8280" t="str">
        <f>VLOOKUP(E8280,DSSpieler!A:B,2,FALSE)</f>
        <v>UselessTeam</v>
      </c>
    </row>
    <row r="8281" spans="1:10" x14ac:dyDescent="0.25">
      <c r="A8281">
        <v>9298</v>
      </c>
      <c r="B8281" t="s">
        <v>33552</v>
      </c>
      <c r="C8281">
        <v>439</v>
      </c>
      <c r="D8281">
        <v>561</v>
      </c>
      <c r="E8281">
        <v>166827</v>
      </c>
      <c r="F8281">
        <v>3077</v>
      </c>
      <c r="G8281">
        <v>0</v>
      </c>
      <c r="H8281" t="s">
        <v>13198</v>
      </c>
      <c r="I8281">
        <v>9298</v>
      </c>
      <c r="J8281" t="str">
        <f>VLOOKUP(E8281,DSSpieler!A:B,2,FALSE)</f>
        <v>EDYtheFOX</v>
      </c>
    </row>
    <row r="8282" spans="1:10" x14ac:dyDescent="0.25">
      <c r="A8282">
        <v>9299</v>
      </c>
      <c r="B8282" t="s">
        <v>531</v>
      </c>
      <c r="C8282">
        <v>458</v>
      </c>
      <c r="D8282">
        <v>415</v>
      </c>
      <c r="E8282">
        <v>0</v>
      </c>
      <c r="F8282">
        <v>245</v>
      </c>
      <c r="G8282">
        <v>0</v>
      </c>
      <c r="H8282" t="s">
        <v>13199</v>
      </c>
      <c r="I8282">
        <v>9299</v>
      </c>
      <c r="J8282" t="e">
        <f>VLOOKUP(E8282,DSSpieler!A:B,2,FALSE)</f>
        <v>#N/A</v>
      </c>
    </row>
    <row r="8283" spans="1:10" x14ac:dyDescent="0.25">
      <c r="A8283">
        <v>9300</v>
      </c>
      <c r="B8283" t="s">
        <v>531</v>
      </c>
      <c r="C8283">
        <v>442</v>
      </c>
      <c r="D8283">
        <v>424</v>
      </c>
      <c r="E8283">
        <v>0</v>
      </c>
      <c r="F8283">
        <v>259</v>
      </c>
      <c r="G8283">
        <v>0</v>
      </c>
      <c r="H8283" t="s">
        <v>13200</v>
      </c>
      <c r="I8283">
        <v>9300</v>
      </c>
      <c r="J8283" t="e">
        <f>VLOOKUP(E8283,DSSpieler!A:B,2,FALSE)</f>
        <v>#N/A</v>
      </c>
    </row>
    <row r="8284" spans="1:10" x14ac:dyDescent="0.25">
      <c r="A8284">
        <v>9301</v>
      </c>
      <c r="B8284" t="s">
        <v>531</v>
      </c>
      <c r="C8284">
        <v>408</v>
      </c>
      <c r="D8284">
        <v>501</v>
      </c>
      <c r="E8284">
        <v>8315602</v>
      </c>
      <c r="F8284">
        <v>1547</v>
      </c>
      <c r="G8284">
        <v>0</v>
      </c>
      <c r="H8284" t="s">
        <v>13201</v>
      </c>
      <c r="I8284">
        <v>9301</v>
      </c>
      <c r="J8284" t="str">
        <f>VLOOKUP(E8284,DSSpieler!A:B,2,FALSE)</f>
        <v>Maggesch</v>
      </c>
    </row>
    <row r="8285" spans="1:10" x14ac:dyDescent="0.25">
      <c r="A8285">
        <v>9302</v>
      </c>
      <c r="B8285" t="s">
        <v>531</v>
      </c>
      <c r="C8285">
        <v>517</v>
      </c>
      <c r="D8285">
        <v>592</v>
      </c>
      <c r="E8285">
        <v>0</v>
      </c>
      <c r="F8285">
        <v>355</v>
      </c>
      <c r="G8285">
        <v>0</v>
      </c>
      <c r="H8285" t="s">
        <v>13202</v>
      </c>
      <c r="I8285">
        <v>9302</v>
      </c>
      <c r="J8285" t="e">
        <f>VLOOKUP(E8285,DSSpieler!A:B,2,FALSE)</f>
        <v>#N/A</v>
      </c>
    </row>
    <row r="8286" spans="1:10" x14ac:dyDescent="0.25">
      <c r="A8286">
        <v>9303</v>
      </c>
      <c r="B8286" t="s">
        <v>531</v>
      </c>
      <c r="C8286">
        <v>416</v>
      </c>
      <c r="D8286">
        <v>541</v>
      </c>
      <c r="E8286">
        <v>0</v>
      </c>
      <c r="F8286">
        <v>237</v>
      </c>
      <c r="G8286">
        <v>0</v>
      </c>
      <c r="H8286" t="s">
        <v>13203</v>
      </c>
      <c r="I8286">
        <v>9303</v>
      </c>
      <c r="J8286" t="e">
        <f>VLOOKUP(E8286,DSSpieler!A:B,2,FALSE)</f>
        <v>#N/A</v>
      </c>
    </row>
    <row r="8287" spans="1:10" x14ac:dyDescent="0.25">
      <c r="A8287">
        <v>9305</v>
      </c>
      <c r="B8287" t="s">
        <v>33553</v>
      </c>
      <c r="C8287">
        <v>452</v>
      </c>
      <c r="D8287">
        <v>426</v>
      </c>
      <c r="E8287">
        <v>1577198142</v>
      </c>
      <c r="F8287">
        <v>4261</v>
      </c>
      <c r="G8287">
        <v>0</v>
      </c>
      <c r="H8287" t="s">
        <v>13204</v>
      </c>
      <c r="I8287">
        <v>9305</v>
      </c>
      <c r="J8287" t="str">
        <f>VLOOKUP(E8287,DSSpieler!A:B,2,FALSE)</f>
        <v>Schlabbesaacher</v>
      </c>
    </row>
    <row r="8288" spans="1:10" x14ac:dyDescent="0.25">
      <c r="A8288">
        <v>9306</v>
      </c>
      <c r="B8288" t="s">
        <v>33554</v>
      </c>
      <c r="C8288">
        <v>543</v>
      </c>
      <c r="D8288">
        <v>497</v>
      </c>
      <c r="E8288">
        <v>1577198100</v>
      </c>
      <c r="F8288">
        <v>5992</v>
      </c>
      <c r="G8288">
        <v>0</v>
      </c>
      <c r="H8288" t="s">
        <v>13205</v>
      </c>
      <c r="I8288">
        <v>9306</v>
      </c>
      <c r="J8288" t="str">
        <f>VLOOKUP(E8288,DSSpieler!A:B,2,FALSE)</f>
        <v>JamesBompf</v>
      </c>
    </row>
    <row r="8289" spans="1:10" x14ac:dyDescent="0.25">
      <c r="A8289">
        <v>9307</v>
      </c>
      <c r="B8289" t="s">
        <v>531</v>
      </c>
      <c r="C8289">
        <v>544</v>
      </c>
      <c r="D8289">
        <v>581</v>
      </c>
      <c r="E8289">
        <v>0</v>
      </c>
      <c r="F8289">
        <v>336</v>
      </c>
      <c r="G8289">
        <v>0</v>
      </c>
      <c r="H8289" t="s">
        <v>13206</v>
      </c>
      <c r="I8289">
        <v>9307</v>
      </c>
      <c r="J8289" t="e">
        <f>VLOOKUP(E8289,DSSpieler!A:B,2,FALSE)</f>
        <v>#N/A</v>
      </c>
    </row>
    <row r="8290" spans="1:10" x14ac:dyDescent="0.25">
      <c r="A8290">
        <v>9308</v>
      </c>
      <c r="B8290" t="s">
        <v>33555</v>
      </c>
      <c r="C8290">
        <v>469</v>
      </c>
      <c r="D8290">
        <v>591</v>
      </c>
      <c r="E8290">
        <v>1577163935</v>
      </c>
      <c r="F8290">
        <v>1046</v>
      </c>
      <c r="G8290">
        <v>0</v>
      </c>
      <c r="H8290" t="s">
        <v>13207</v>
      </c>
      <c r="I8290">
        <v>9308</v>
      </c>
      <c r="J8290" t="str">
        <f>VLOOKUP(E8290,DSSpieler!A:B,2,FALSE)</f>
        <v>PeaceBRo159</v>
      </c>
    </row>
    <row r="8291" spans="1:10" x14ac:dyDescent="0.25">
      <c r="A8291">
        <v>9310</v>
      </c>
      <c r="B8291" t="s">
        <v>33556</v>
      </c>
      <c r="C8291">
        <v>527</v>
      </c>
      <c r="D8291">
        <v>411</v>
      </c>
      <c r="E8291">
        <v>1577141738</v>
      </c>
      <c r="F8291">
        <v>5713</v>
      </c>
      <c r="G8291">
        <v>0</v>
      </c>
      <c r="H8291" t="s">
        <v>13208</v>
      </c>
      <c r="I8291">
        <v>9310</v>
      </c>
      <c r="J8291" t="str">
        <f>VLOOKUP(E8291,DSSpieler!A:B,2,FALSE)</f>
        <v>Knoten</v>
      </c>
    </row>
    <row r="8292" spans="1:10" x14ac:dyDescent="0.25">
      <c r="A8292">
        <v>9311</v>
      </c>
      <c r="B8292" t="s">
        <v>33557</v>
      </c>
      <c r="C8292">
        <v>585</v>
      </c>
      <c r="D8292">
        <v>538</v>
      </c>
      <c r="E8292">
        <v>1576899444</v>
      </c>
      <c r="F8292">
        <v>2935</v>
      </c>
      <c r="G8292">
        <v>0</v>
      </c>
      <c r="H8292" t="s">
        <v>13209</v>
      </c>
      <c r="I8292">
        <v>9311</v>
      </c>
      <c r="J8292" t="str">
        <f>VLOOKUP(E8292,DSSpieler!A:B,2,FALSE)</f>
        <v>Venuxian</v>
      </c>
    </row>
    <row r="8293" spans="1:10" x14ac:dyDescent="0.25">
      <c r="A8293">
        <v>9312</v>
      </c>
      <c r="B8293">
        <v>1905</v>
      </c>
      <c r="C8293">
        <v>568</v>
      </c>
      <c r="D8293">
        <v>442</v>
      </c>
      <c r="E8293">
        <v>1576728689</v>
      </c>
      <c r="F8293">
        <v>5033</v>
      </c>
      <c r="G8293">
        <v>0</v>
      </c>
      <c r="H8293" t="s">
        <v>13210</v>
      </c>
      <c r="I8293">
        <v>9312</v>
      </c>
      <c r="J8293" t="str">
        <f>VLOOKUP(E8293,DSSpieler!A:B,2,FALSE)</f>
        <v>KingKlooz</v>
      </c>
    </row>
    <row r="8294" spans="1:10" x14ac:dyDescent="0.25">
      <c r="A8294">
        <v>9313</v>
      </c>
      <c r="B8294" t="s">
        <v>33558</v>
      </c>
      <c r="C8294">
        <v>543</v>
      </c>
      <c r="D8294">
        <v>419</v>
      </c>
      <c r="E8294">
        <v>1576197248</v>
      </c>
      <c r="F8294">
        <v>5622</v>
      </c>
      <c r="G8294">
        <v>0</v>
      </c>
      <c r="H8294" t="s">
        <v>13211</v>
      </c>
      <c r="I8294">
        <v>9313</v>
      </c>
      <c r="J8294" t="str">
        <f>VLOOKUP(E8294,DSSpieler!A:B,2,FALSE)</f>
        <v>BlackDestroyers</v>
      </c>
    </row>
    <row r="8295" spans="1:10" x14ac:dyDescent="0.25">
      <c r="A8295">
        <v>9315</v>
      </c>
      <c r="B8295" t="s">
        <v>33559</v>
      </c>
      <c r="C8295">
        <v>549</v>
      </c>
      <c r="D8295">
        <v>583</v>
      </c>
      <c r="E8295">
        <v>1577186195</v>
      </c>
      <c r="F8295">
        <v>1231</v>
      </c>
      <c r="G8295">
        <v>0</v>
      </c>
      <c r="H8295" t="s">
        <v>13212</v>
      </c>
      <c r="I8295">
        <v>9315</v>
      </c>
      <c r="J8295" t="str">
        <f>VLOOKUP(E8295,DSSpieler!A:B,2,FALSE)</f>
        <v>Nicekred</v>
      </c>
    </row>
    <row r="8296" spans="1:10" x14ac:dyDescent="0.25">
      <c r="A8296">
        <v>9316</v>
      </c>
      <c r="B8296" t="s">
        <v>33560</v>
      </c>
      <c r="C8296">
        <v>521</v>
      </c>
      <c r="D8296">
        <v>594</v>
      </c>
      <c r="E8296">
        <v>1577183490</v>
      </c>
      <c r="F8296">
        <v>4644</v>
      </c>
      <c r="G8296">
        <v>0</v>
      </c>
      <c r="H8296" t="s">
        <v>13213</v>
      </c>
      <c r="I8296">
        <v>9316</v>
      </c>
      <c r="J8296" t="str">
        <f>VLOOKUP(E8296,DSSpieler!A:B,2,FALSE)</f>
        <v>KlabauterKlaus</v>
      </c>
    </row>
    <row r="8297" spans="1:10" x14ac:dyDescent="0.25">
      <c r="A8297">
        <v>9317</v>
      </c>
      <c r="B8297" t="s">
        <v>531</v>
      </c>
      <c r="C8297">
        <v>528</v>
      </c>
      <c r="D8297">
        <v>587</v>
      </c>
      <c r="E8297">
        <v>0</v>
      </c>
      <c r="F8297">
        <v>616</v>
      </c>
      <c r="G8297">
        <v>0</v>
      </c>
      <c r="H8297" t="s">
        <v>13214</v>
      </c>
      <c r="I8297">
        <v>9317</v>
      </c>
      <c r="J8297" t="e">
        <f>VLOOKUP(E8297,DSSpieler!A:B,2,FALSE)</f>
        <v>#N/A</v>
      </c>
    </row>
    <row r="8298" spans="1:10" x14ac:dyDescent="0.25">
      <c r="A8298">
        <v>9318</v>
      </c>
      <c r="B8298" t="s">
        <v>531</v>
      </c>
      <c r="C8298">
        <v>461</v>
      </c>
      <c r="D8298">
        <v>587</v>
      </c>
      <c r="E8298">
        <v>0</v>
      </c>
      <c r="F8298">
        <v>105</v>
      </c>
      <c r="G8298">
        <v>0</v>
      </c>
      <c r="H8298" t="s">
        <v>13215</v>
      </c>
      <c r="I8298">
        <v>9318</v>
      </c>
      <c r="J8298" t="e">
        <f>VLOOKUP(E8298,DSSpieler!A:B,2,FALSE)</f>
        <v>#N/A</v>
      </c>
    </row>
    <row r="8299" spans="1:10" x14ac:dyDescent="0.25">
      <c r="A8299">
        <v>9320</v>
      </c>
      <c r="B8299" t="s">
        <v>33561</v>
      </c>
      <c r="C8299">
        <v>425</v>
      </c>
      <c r="D8299">
        <v>581</v>
      </c>
      <c r="E8299">
        <v>1576260161</v>
      </c>
      <c r="F8299">
        <v>6881</v>
      </c>
      <c r="G8299">
        <v>0</v>
      </c>
      <c r="H8299" t="s">
        <v>13216</v>
      </c>
      <c r="I8299">
        <v>9320</v>
      </c>
      <c r="J8299" t="str">
        <f>VLOOKUP(E8299,DSSpieler!A:B,2,FALSE)</f>
        <v>Nar Garzhvog</v>
      </c>
    </row>
    <row r="8300" spans="1:10" x14ac:dyDescent="0.25">
      <c r="A8300">
        <v>9323</v>
      </c>
      <c r="B8300" t="s">
        <v>33562</v>
      </c>
      <c r="C8300">
        <v>409</v>
      </c>
      <c r="D8300">
        <v>479</v>
      </c>
      <c r="E8300">
        <v>1576725981</v>
      </c>
      <c r="F8300">
        <v>333</v>
      </c>
      <c r="G8300">
        <v>0</v>
      </c>
      <c r="H8300" t="s">
        <v>13217</v>
      </c>
      <c r="I8300">
        <v>9323</v>
      </c>
      <c r="J8300" t="str">
        <f>VLOOKUP(E8300,DSSpieler!A:B,2,FALSE)</f>
        <v>Lord Klaus Gröschl</v>
      </c>
    </row>
    <row r="8301" spans="1:10" x14ac:dyDescent="0.25">
      <c r="A8301">
        <v>9324</v>
      </c>
      <c r="B8301" t="s">
        <v>531</v>
      </c>
      <c r="C8301">
        <v>549</v>
      </c>
      <c r="D8301">
        <v>420</v>
      </c>
      <c r="E8301">
        <v>0</v>
      </c>
      <c r="F8301">
        <v>346</v>
      </c>
      <c r="G8301">
        <v>0</v>
      </c>
      <c r="H8301" t="s">
        <v>13218</v>
      </c>
      <c r="I8301">
        <v>9324</v>
      </c>
      <c r="J8301" t="e">
        <f>VLOOKUP(E8301,DSSpieler!A:B,2,FALSE)</f>
        <v>#N/A</v>
      </c>
    </row>
    <row r="8302" spans="1:10" x14ac:dyDescent="0.25">
      <c r="A8302">
        <v>9325</v>
      </c>
      <c r="B8302" t="s">
        <v>531</v>
      </c>
      <c r="C8302">
        <v>541</v>
      </c>
      <c r="D8302">
        <v>521</v>
      </c>
      <c r="E8302">
        <v>0</v>
      </c>
      <c r="F8302">
        <v>213</v>
      </c>
      <c r="G8302">
        <v>0</v>
      </c>
      <c r="H8302" t="s">
        <v>13219</v>
      </c>
      <c r="I8302">
        <v>9325</v>
      </c>
      <c r="J8302" t="e">
        <f>VLOOKUP(E8302,DSSpieler!A:B,2,FALSE)</f>
        <v>#N/A</v>
      </c>
    </row>
    <row r="8303" spans="1:10" x14ac:dyDescent="0.25">
      <c r="A8303">
        <v>9326</v>
      </c>
      <c r="B8303" t="s">
        <v>531</v>
      </c>
      <c r="C8303">
        <v>509</v>
      </c>
      <c r="D8303">
        <v>541</v>
      </c>
      <c r="E8303">
        <v>0</v>
      </c>
      <c r="F8303">
        <v>435</v>
      </c>
      <c r="G8303">
        <v>0</v>
      </c>
      <c r="H8303" t="s">
        <v>13220</v>
      </c>
      <c r="I8303">
        <v>9326</v>
      </c>
      <c r="J8303" t="e">
        <f>VLOOKUP(E8303,DSSpieler!A:B,2,FALSE)</f>
        <v>#N/A</v>
      </c>
    </row>
    <row r="8304" spans="1:10" x14ac:dyDescent="0.25">
      <c r="A8304">
        <v>9327</v>
      </c>
      <c r="B8304" t="s">
        <v>33563</v>
      </c>
      <c r="C8304">
        <v>506</v>
      </c>
      <c r="D8304">
        <v>413</v>
      </c>
      <c r="E8304">
        <v>1577198144</v>
      </c>
      <c r="F8304">
        <v>1496</v>
      </c>
      <c r="G8304">
        <v>0</v>
      </c>
      <c r="H8304" t="s">
        <v>13221</v>
      </c>
      <c r="I8304">
        <v>9327</v>
      </c>
      <c r="J8304" t="str">
        <f>VLOOKUP(E8304,DSSpieler!A:B,2,FALSE)</f>
        <v>Lord LoeffelKuh</v>
      </c>
    </row>
    <row r="8305" spans="1:10" x14ac:dyDescent="0.25">
      <c r="A8305">
        <v>9328</v>
      </c>
      <c r="B8305" t="s">
        <v>33564</v>
      </c>
      <c r="C8305">
        <v>506</v>
      </c>
      <c r="D8305">
        <v>594</v>
      </c>
      <c r="E8305">
        <v>7924203</v>
      </c>
      <c r="F8305">
        <v>2347</v>
      </c>
      <c r="G8305">
        <v>0</v>
      </c>
      <c r="H8305" t="s">
        <v>13222</v>
      </c>
      <c r="I8305">
        <v>9328</v>
      </c>
      <c r="J8305" t="str">
        <f>VLOOKUP(E8305,DSSpieler!A:B,2,FALSE)</f>
        <v>2*good*4*you</v>
      </c>
    </row>
    <row r="8306" spans="1:10" x14ac:dyDescent="0.25">
      <c r="A8306">
        <v>9329</v>
      </c>
      <c r="B8306" t="s">
        <v>33565</v>
      </c>
      <c r="C8306">
        <v>559</v>
      </c>
      <c r="D8306">
        <v>528</v>
      </c>
      <c r="E8306">
        <v>1577198146</v>
      </c>
      <c r="F8306">
        <v>7019</v>
      </c>
      <c r="G8306">
        <v>0</v>
      </c>
      <c r="H8306" t="s">
        <v>13223</v>
      </c>
      <c r="I8306">
        <v>9329</v>
      </c>
      <c r="J8306" t="str">
        <f>VLOOKUP(E8306,DSSpieler!A:B,2,FALSE)</f>
        <v>Nuvenor</v>
      </c>
    </row>
    <row r="8307" spans="1:10" x14ac:dyDescent="0.25">
      <c r="A8307">
        <v>9330</v>
      </c>
      <c r="B8307" t="s">
        <v>33566</v>
      </c>
      <c r="C8307">
        <v>501</v>
      </c>
      <c r="D8307">
        <v>404</v>
      </c>
      <c r="E8307">
        <v>1577160240</v>
      </c>
      <c r="F8307">
        <v>5516</v>
      </c>
      <c r="G8307">
        <v>0</v>
      </c>
      <c r="H8307" t="s">
        <v>13224</v>
      </c>
      <c r="I8307">
        <v>9330</v>
      </c>
      <c r="J8307" t="str">
        <f>VLOOKUP(E8307,DSSpieler!A:B,2,FALSE)</f>
        <v>Karlos3</v>
      </c>
    </row>
    <row r="8308" spans="1:10" x14ac:dyDescent="0.25">
      <c r="A8308">
        <v>9331</v>
      </c>
      <c r="B8308" t="s">
        <v>33567</v>
      </c>
      <c r="C8308">
        <v>549</v>
      </c>
      <c r="D8308">
        <v>415</v>
      </c>
      <c r="E8308">
        <v>1577136457</v>
      </c>
      <c r="F8308">
        <v>7609</v>
      </c>
      <c r="G8308">
        <v>0</v>
      </c>
      <c r="H8308" t="s">
        <v>13225</v>
      </c>
      <c r="I8308">
        <v>9331</v>
      </c>
      <c r="J8308" t="str">
        <f>VLOOKUP(E8308,DSSpieler!A:B,2,FALSE)</f>
        <v>BlackPanther411</v>
      </c>
    </row>
    <row r="8309" spans="1:10" x14ac:dyDescent="0.25">
      <c r="A8309">
        <v>9332</v>
      </c>
      <c r="B8309" t="s">
        <v>33568</v>
      </c>
      <c r="C8309">
        <v>484</v>
      </c>
      <c r="D8309">
        <v>592</v>
      </c>
      <c r="E8309">
        <v>1576361409</v>
      </c>
      <c r="F8309">
        <v>3559</v>
      </c>
      <c r="G8309">
        <v>0</v>
      </c>
      <c r="H8309" t="s">
        <v>13226</v>
      </c>
      <c r="I8309">
        <v>9332</v>
      </c>
      <c r="J8309" t="str">
        <f>VLOOKUP(E8309,DSSpieler!A:B,2,FALSE)</f>
        <v>Draric</v>
      </c>
    </row>
    <row r="8310" spans="1:10" x14ac:dyDescent="0.25">
      <c r="A8310">
        <v>9333</v>
      </c>
      <c r="B8310" t="s">
        <v>33569</v>
      </c>
      <c r="C8310">
        <v>415</v>
      </c>
      <c r="D8310">
        <v>464</v>
      </c>
      <c r="E8310">
        <v>1576220948</v>
      </c>
      <c r="F8310">
        <v>5334</v>
      </c>
      <c r="G8310">
        <v>0</v>
      </c>
      <c r="H8310" t="s">
        <v>13227</v>
      </c>
      <c r="I8310">
        <v>9333</v>
      </c>
      <c r="J8310" t="str">
        <f>VLOOKUP(E8310,DSSpieler!A:B,2,FALSE)</f>
        <v>BoostedBonobos</v>
      </c>
    </row>
    <row r="8311" spans="1:10" x14ac:dyDescent="0.25">
      <c r="A8311">
        <v>9334</v>
      </c>
      <c r="B8311" t="s">
        <v>33570</v>
      </c>
      <c r="C8311">
        <v>407</v>
      </c>
      <c r="D8311">
        <v>513</v>
      </c>
      <c r="E8311">
        <v>8315602</v>
      </c>
      <c r="F8311">
        <v>7062</v>
      </c>
      <c r="G8311">
        <v>0</v>
      </c>
      <c r="H8311" t="s">
        <v>13228</v>
      </c>
      <c r="I8311">
        <v>9334</v>
      </c>
      <c r="J8311" t="str">
        <f>VLOOKUP(E8311,DSSpieler!A:B,2,FALSE)</f>
        <v>Maggesch</v>
      </c>
    </row>
    <row r="8312" spans="1:10" x14ac:dyDescent="0.25">
      <c r="A8312">
        <v>9335</v>
      </c>
      <c r="B8312" t="s">
        <v>531</v>
      </c>
      <c r="C8312">
        <v>406</v>
      </c>
      <c r="D8312">
        <v>498</v>
      </c>
      <c r="E8312">
        <v>0</v>
      </c>
      <c r="F8312">
        <v>224</v>
      </c>
      <c r="G8312">
        <v>0</v>
      </c>
      <c r="H8312" t="s">
        <v>13229</v>
      </c>
      <c r="I8312">
        <v>9335</v>
      </c>
      <c r="J8312" t="e">
        <f>VLOOKUP(E8312,DSSpieler!A:B,2,FALSE)</f>
        <v>#N/A</v>
      </c>
    </row>
    <row r="8313" spans="1:10" x14ac:dyDescent="0.25">
      <c r="A8313">
        <v>9336</v>
      </c>
      <c r="B8313" t="s">
        <v>546</v>
      </c>
      <c r="C8313">
        <v>496</v>
      </c>
      <c r="D8313">
        <v>469</v>
      </c>
      <c r="E8313">
        <v>10264083</v>
      </c>
      <c r="F8313">
        <v>5212</v>
      </c>
      <c r="G8313">
        <v>0</v>
      </c>
      <c r="H8313" t="s">
        <v>13230</v>
      </c>
      <c r="I8313">
        <v>9336</v>
      </c>
      <c r="J8313" t="str">
        <f>VLOOKUP(E8313,DSSpieler!A:B,2,FALSE)</f>
        <v>Bill Gates</v>
      </c>
    </row>
    <row r="8314" spans="1:10" x14ac:dyDescent="0.25">
      <c r="A8314">
        <v>9337</v>
      </c>
      <c r="B8314" t="s">
        <v>33571</v>
      </c>
      <c r="C8314">
        <v>442</v>
      </c>
      <c r="D8314">
        <v>426</v>
      </c>
      <c r="E8314">
        <v>1577181823</v>
      </c>
      <c r="F8314">
        <v>5614</v>
      </c>
      <c r="G8314">
        <v>0</v>
      </c>
      <c r="H8314" t="s">
        <v>13231</v>
      </c>
      <c r="I8314">
        <v>9337</v>
      </c>
      <c r="J8314" t="str">
        <f>VLOOKUP(E8314,DSSpieler!A:B,2,FALSE)</f>
        <v>Robin217</v>
      </c>
    </row>
    <row r="8315" spans="1:10" x14ac:dyDescent="0.25">
      <c r="A8315">
        <v>9339</v>
      </c>
      <c r="B8315" t="s">
        <v>33572</v>
      </c>
      <c r="C8315">
        <v>528</v>
      </c>
      <c r="D8315">
        <v>513</v>
      </c>
      <c r="E8315">
        <v>1577198119</v>
      </c>
      <c r="F8315">
        <v>4326</v>
      </c>
      <c r="G8315">
        <v>0</v>
      </c>
      <c r="H8315" t="s">
        <v>13232</v>
      </c>
      <c r="I8315">
        <v>9339</v>
      </c>
      <c r="J8315" t="str">
        <f>VLOOKUP(E8315,DSSpieler!A:B,2,FALSE)</f>
        <v>Roja</v>
      </c>
    </row>
    <row r="8316" spans="1:10" x14ac:dyDescent="0.25">
      <c r="A8316">
        <v>9340</v>
      </c>
      <c r="B8316" t="s">
        <v>1775</v>
      </c>
      <c r="C8316">
        <v>592</v>
      </c>
      <c r="D8316">
        <v>528</v>
      </c>
      <c r="E8316">
        <v>1577197313</v>
      </c>
      <c r="F8316">
        <v>433</v>
      </c>
      <c r="G8316">
        <v>0</v>
      </c>
      <c r="H8316" t="s">
        <v>13233</v>
      </c>
      <c r="I8316">
        <v>9340</v>
      </c>
      <c r="J8316" t="str">
        <f>VLOOKUP(E8316,DSSpieler!A:B,2,FALSE)</f>
        <v>Lauri1803</v>
      </c>
    </row>
    <row r="8317" spans="1:10" x14ac:dyDescent="0.25">
      <c r="A8317">
        <v>9341</v>
      </c>
      <c r="B8317" t="s">
        <v>33573</v>
      </c>
      <c r="C8317">
        <v>505</v>
      </c>
      <c r="D8317">
        <v>557</v>
      </c>
      <c r="E8317">
        <v>1577123026</v>
      </c>
      <c r="F8317">
        <v>7346</v>
      </c>
      <c r="G8317">
        <v>0</v>
      </c>
      <c r="H8317" t="s">
        <v>13234</v>
      </c>
      <c r="I8317">
        <v>9341</v>
      </c>
      <c r="J8317" t="str">
        <f>VLOOKUP(E8317,DSSpieler!A:B,2,FALSE)</f>
        <v>Fr34k</v>
      </c>
    </row>
    <row r="8318" spans="1:10" x14ac:dyDescent="0.25">
      <c r="A8318">
        <v>9342</v>
      </c>
      <c r="B8318" t="s">
        <v>556</v>
      </c>
      <c r="C8318">
        <v>522</v>
      </c>
      <c r="D8318">
        <v>471</v>
      </c>
      <c r="E8318">
        <v>1577184672</v>
      </c>
      <c r="F8318">
        <v>3383</v>
      </c>
      <c r="G8318">
        <v>0</v>
      </c>
      <c r="H8318" t="s">
        <v>13235</v>
      </c>
      <c r="I8318">
        <v>9342</v>
      </c>
      <c r="J8318" t="str">
        <f>VLOOKUP(E8318,DSSpieler!A:B,2,FALSE)</f>
        <v>maxidiekleine</v>
      </c>
    </row>
    <row r="8319" spans="1:10" x14ac:dyDescent="0.25">
      <c r="A8319">
        <v>9343</v>
      </c>
      <c r="B8319" t="s">
        <v>1776</v>
      </c>
      <c r="C8319">
        <v>603</v>
      </c>
      <c r="D8319">
        <v>468</v>
      </c>
      <c r="E8319">
        <v>8187043</v>
      </c>
      <c r="F8319">
        <v>4353</v>
      </c>
      <c r="G8319">
        <v>0</v>
      </c>
      <c r="H8319" t="s">
        <v>13236</v>
      </c>
      <c r="I8319">
        <v>9343</v>
      </c>
      <c r="J8319" t="str">
        <f>VLOOKUP(E8319,DSSpieler!A:B,2,FALSE)</f>
        <v>dullus</v>
      </c>
    </row>
    <row r="8320" spans="1:10" x14ac:dyDescent="0.25">
      <c r="A8320">
        <v>9344</v>
      </c>
      <c r="B8320" t="s">
        <v>1777</v>
      </c>
      <c r="C8320">
        <v>577</v>
      </c>
      <c r="D8320">
        <v>523</v>
      </c>
      <c r="E8320">
        <v>1577199829</v>
      </c>
      <c r="F8320">
        <v>5773</v>
      </c>
      <c r="G8320">
        <v>0</v>
      </c>
      <c r="H8320" t="s">
        <v>13237</v>
      </c>
      <c r="I8320">
        <v>9344</v>
      </c>
      <c r="J8320" t="str">
        <f>VLOOKUP(E8320,DSSpieler!A:B,2,FALSE)</f>
        <v>ThiccChicc</v>
      </c>
    </row>
    <row r="8321" spans="1:10" x14ac:dyDescent="0.25">
      <c r="A8321">
        <v>9345</v>
      </c>
      <c r="B8321" t="s">
        <v>1778</v>
      </c>
      <c r="C8321">
        <v>442</v>
      </c>
      <c r="D8321">
        <v>427</v>
      </c>
      <c r="E8321">
        <v>10236423</v>
      </c>
      <c r="F8321">
        <v>757</v>
      </c>
      <c r="G8321">
        <v>0</v>
      </c>
      <c r="H8321" t="s">
        <v>13238</v>
      </c>
      <c r="I8321">
        <v>9345</v>
      </c>
      <c r="J8321" t="str">
        <f>VLOOKUP(E8321,DSSpieler!A:B,2,FALSE)</f>
        <v>Fulgi1104</v>
      </c>
    </row>
    <row r="8322" spans="1:10" x14ac:dyDescent="0.25">
      <c r="A8322">
        <v>9346</v>
      </c>
      <c r="B8322" t="s">
        <v>33574</v>
      </c>
      <c r="C8322">
        <v>417</v>
      </c>
      <c r="D8322">
        <v>543</v>
      </c>
      <c r="E8322">
        <v>1577130502</v>
      </c>
      <c r="F8322">
        <v>129</v>
      </c>
      <c r="G8322">
        <v>0</v>
      </c>
      <c r="H8322" t="s">
        <v>13239</v>
      </c>
      <c r="I8322">
        <v>9346</v>
      </c>
      <c r="J8322" t="str">
        <f>VLOOKUP(E8322,DSSpieler!A:B,2,FALSE)</f>
        <v>nudel-Boxx</v>
      </c>
    </row>
    <row r="8323" spans="1:10" x14ac:dyDescent="0.25">
      <c r="A8323">
        <v>9347</v>
      </c>
      <c r="B8323" t="s">
        <v>33575</v>
      </c>
      <c r="C8323">
        <v>436</v>
      </c>
      <c r="D8323">
        <v>550</v>
      </c>
      <c r="E8323">
        <v>1577198152</v>
      </c>
      <c r="F8323">
        <v>6663</v>
      </c>
      <c r="G8323">
        <v>0</v>
      </c>
      <c r="H8323" t="s">
        <v>13240</v>
      </c>
      <c r="I8323">
        <v>9347</v>
      </c>
      <c r="J8323" t="str">
        <f>VLOOKUP(E8323,DSSpieler!A:B,2,FALSE)</f>
        <v>Purete</v>
      </c>
    </row>
    <row r="8324" spans="1:10" x14ac:dyDescent="0.25">
      <c r="A8324">
        <v>9348</v>
      </c>
      <c r="B8324" t="s">
        <v>33576</v>
      </c>
      <c r="C8324">
        <v>602</v>
      </c>
      <c r="D8324">
        <v>479</v>
      </c>
      <c r="E8324">
        <v>1577198151</v>
      </c>
      <c r="F8324">
        <v>5747</v>
      </c>
      <c r="G8324">
        <v>0</v>
      </c>
      <c r="H8324" t="s">
        <v>13241</v>
      </c>
      <c r="I8324">
        <v>9348</v>
      </c>
      <c r="J8324" t="str">
        <f>VLOOKUP(E8324,DSSpieler!A:B,2,FALSE)</f>
        <v>Ratskrone</v>
      </c>
    </row>
    <row r="8325" spans="1:10" x14ac:dyDescent="0.25">
      <c r="A8325">
        <v>9350</v>
      </c>
      <c r="B8325" t="s">
        <v>33577</v>
      </c>
      <c r="C8325">
        <v>564</v>
      </c>
      <c r="D8325">
        <v>587</v>
      </c>
      <c r="E8325">
        <v>1577190171</v>
      </c>
      <c r="F8325">
        <v>7184</v>
      </c>
      <c r="G8325">
        <v>0</v>
      </c>
      <c r="H8325" t="s">
        <v>13242</v>
      </c>
      <c r="I8325">
        <v>9350</v>
      </c>
      <c r="J8325" t="str">
        <f>VLOOKUP(E8325,DSSpieler!A:B,2,FALSE)</f>
        <v>meckez</v>
      </c>
    </row>
    <row r="8326" spans="1:10" x14ac:dyDescent="0.25">
      <c r="A8326">
        <v>9351</v>
      </c>
      <c r="B8326" t="s">
        <v>531</v>
      </c>
      <c r="C8326">
        <v>593</v>
      </c>
      <c r="D8326">
        <v>497</v>
      </c>
      <c r="E8326">
        <v>0</v>
      </c>
      <c r="F8326">
        <v>373</v>
      </c>
      <c r="G8326">
        <v>0</v>
      </c>
      <c r="H8326" t="s">
        <v>13243</v>
      </c>
      <c r="I8326">
        <v>9351</v>
      </c>
      <c r="J8326" t="e">
        <f>VLOOKUP(E8326,DSSpieler!A:B,2,FALSE)</f>
        <v>#N/A</v>
      </c>
    </row>
    <row r="8327" spans="1:10" x14ac:dyDescent="0.25">
      <c r="A8327">
        <v>9352</v>
      </c>
      <c r="B8327" t="s">
        <v>531</v>
      </c>
      <c r="C8327">
        <v>543</v>
      </c>
      <c r="D8327">
        <v>414</v>
      </c>
      <c r="E8327">
        <v>0</v>
      </c>
      <c r="F8327">
        <v>172</v>
      </c>
      <c r="G8327">
        <v>0</v>
      </c>
      <c r="H8327" t="s">
        <v>13244</v>
      </c>
      <c r="I8327">
        <v>9352</v>
      </c>
      <c r="J8327" t="e">
        <f>VLOOKUP(E8327,DSSpieler!A:B,2,FALSE)</f>
        <v>#N/A</v>
      </c>
    </row>
    <row r="8328" spans="1:10" x14ac:dyDescent="0.25">
      <c r="A8328">
        <v>9353</v>
      </c>
      <c r="B8328" t="s">
        <v>531</v>
      </c>
      <c r="C8328">
        <v>594</v>
      </c>
      <c r="D8328">
        <v>513</v>
      </c>
      <c r="E8328">
        <v>0</v>
      </c>
      <c r="F8328">
        <v>354</v>
      </c>
      <c r="G8328">
        <v>0</v>
      </c>
      <c r="H8328" t="s">
        <v>13245</v>
      </c>
      <c r="I8328">
        <v>9353</v>
      </c>
      <c r="J8328" t="e">
        <f>VLOOKUP(E8328,DSSpieler!A:B,2,FALSE)</f>
        <v>#N/A</v>
      </c>
    </row>
    <row r="8329" spans="1:10" x14ac:dyDescent="0.25">
      <c r="A8329">
        <v>9354</v>
      </c>
      <c r="B8329" t="s">
        <v>33578</v>
      </c>
      <c r="C8329">
        <v>603</v>
      </c>
      <c r="D8329">
        <v>499</v>
      </c>
      <c r="E8329">
        <v>1577180043</v>
      </c>
      <c r="F8329">
        <v>6297</v>
      </c>
      <c r="G8329">
        <v>0</v>
      </c>
      <c r="H8329" t="s">
        <v>13246</v>
      </c>
      <c r="I8329">
        <v>9354</v>
      </c>
      <c r="J8329" t="str">
        <f>VLOOKUP(E8329,DSSpieler!A:B,2,FALSE)</f>
        <v>Klopapier-ist-alle</v>
      </c>
    </row>
    <row r="8330" spans="1:10" x14ac:dyDescent="0.25">
      <c r="A8330">
        <v>9355</v>
      </c>
      <c r="B8330" t="s">
        <v>531</v>
      </c>
      <c r="C8330">
        <v>492</v>
      </c>
      <c r="D8330">
        <v>593</v>
      </c>
      <c r="E8330">
        <v>0</v>
      </c>
      <c r="F8330">
        <v>314</v>
      </c>
      <c r="G8330">
        <v>0</v>
      </c>
      <c r="H8330" t="s">
        <v>13247</v>
      </c>
      <c r="I8330">
        <v>9355</v>
      </c>
      <c r="J8330" t="e">
        <f>VLOOKUP(E8330,DSSpieler!A:B,2,FALSE)</f>
        <v>#N/A</v>
      </c>
    </row>
    <row r="8331" spans="1:10" x14ac:dyDescent="0.25">
      <c r="A8331">
        <v>9356</v>
      </c>
      <c r="B8331" t="s">
        <v>33579</v>
      </c>
      <c r="C8331">
        <v>434</v>
      </c>
      <c r="D8331">
        <v>568</v>
      </c>
      <c r="E8331">
        <v>1577196286</v>
      </c>
      <c r="F8331">
        <v>4976</v>
      </c>
      <c r="G8331">
        <v>0</v>
      </c>
      <c r="H8331" t="s">
        <v>13248</v>
      </c>
      <c r="I8331">
        <v>9356</v>
      </c>
      <c r="J8331" t="str">
        <f>VLOOKUP(E8331,DSSpieler!A:B,2,FALSE)</f>
        <v>agatokle</v>
      </c>
    </row>
    <row r="8332" spans="1:10" x14ac:dyDescent="0.25">
      <c r="A8332">
        <v>9357</v>
      </c>
      <c r="B8332" t="s">
        <v>33580</v>
      </c>
      <c r="C8332">
        <v>452</v>
      </c>
      <c r="D8332">
        <v>407</v>
      </c>
      <c r="E8332">
        <v>9808290</v>
      </c>
      <c r="F8332">
        <v>26</v>
      </c>
      <c r="G8332">
        <v>0</v>
      </c>
      <c r="H8332" t="s">
        <v>13249</v>
      </c>
      <c r="I8332">
        <v>9357</v>
      </c>
      <c r="J8332" t="str">
        <f>VLOOKUP(E8332,DSSpieler!A:B,2,FALSE)</f>
        <v>Conqueror42</v>
      </c>
    </row>
    <row r="8333" spans="1:10" x14ac:dyDescent="0.25">
      <c r="A8333">
        <v>9358</v>
      </c>
      <c r="B8333" t="s">
        <v>531</v>
      </c>
      <c r="C8333">
        <v>477</v>
      </c>
      <c r="D8333">
        <v>429</v>
      </c>
      <c r="E8333">
        <v>0</v>
      </c>
      <c r="F8333">
        <v>948</v>
      </c>
      <c r="G8333">
        <v>0</v>
      </c>
      <c r="H8333" t="s">
        <v>13250</v>
      </c>
      <c r="I8333">
        <v>9358</v>
      </c>
      <c r="J8333" t="e">
        <f>VLOOKUP(E8333,DSSpieler!A:B,2,FALSE)</f>
        <v>#N/A</v>
      </c>
    </row>
    <row r="8334" spans="1:10" x14ac:dyDescent="0.25">
      <c r="A8334">
        <v>9359</v>
      </c>
      <c r="B8334" t="s">
        <v>33581</v>
      </c>
      <c r="C8334">
        <v>427</v>
      </c>
      <c r="D8334">
        <v>567</v>
      </c>
      <c r="E8334">
        <v>1576493594</v>
      </c>
      <c r="F8334">
        <v>4476</v>
      </c>
      <c r="G8334">
        <v>0</v>
      </c>
      <c r="H8334" t="s">
        <v>13251</v>
      </c>
      <c r="I8334">
        <v>9359</v>
      </c>
      <c r="J8334" t="str">
        <f>VLOOKUP(E8334,DSSpieler!A:B,2,FALSE)</f>
        <v>Shakur.</v>
      </c>
    </row>
    <row r="8335" spans="1:10" x14ac:dyDescent="0.25">
      <c r="A8335">
        <v>9360</v>
      </c>
      <c r="B8335" t="s">
        <v>1779</v>
      </c>
      <c r="C8335">
        <v>551</v>
      </c>
      <c r="D8335">
        <v>433</v>
      </c>
      <c r="E8335">
        <v>22858</v>
      </c>
      <c r="F8335">
        <v>2279</v>
      </c>
      <c r="G8335">
        <v>0</v>
      </c>
      <c r="H8335" t="s">
        <v>13252</v>
      </c>
      <c r="I8335">
        <v>9360</v>
      </c>
      <c r="J8335" t="str">
        <f>VLOOKUP(E8335,DSSpieler!A:B,2,FALSE)</f>
        <v>Hzombi</v>
      </c>
    </row>
    <row r="8336" spans="1:10" x14ac:dyDescent="0.25">
      <c r="A8336">
        <v>9361</v>
      </c>
      <c r="B8336" t="s">
        <v>531</v>
      </c>
      <c r="C8336">
        <v>521</v>
      </c>
      <c r="D8336">
        <v>590</v>
      </c>
      <c r="E8336">
        <v>0</v>
      </c>
      <c r="F8336">
        <v>473</v>
      </c>
      <c r="G8336">
        <v>0</v>
      </c>
      <c r="H8336" t="s">
        <v>13253</v>
      </c>
      <c r="I8336">
        <v>9361</v>
      </c>
      <c r="J8336" t="e">
        <f>VLOOKUP(E8336,DSSpieler!A:B,2,FALSE)</f>
        <v>#N/A</v>
      </c>
    </row>
    <row r="8337" spans="1:10" x14ac:dyDescent="0.25">
      <c r="A8337">
        <v>9362</v>
      </c>
      <c r="B8337" t="s">
        <v>33385</v>
      </c>
      <c r="C8337">
        <v>407</v>
      </c>
      <c r="D8337">
        <v>488</v>
      </c>
      <c r="E8337">
        <v>1576780279</v>
      </c>
      <c r="F8337">
        <v>5328</v>
      </c>
      <c r="G8337">
        <v>0</v>
      </c>
      <c r="H8337" t="s">
        <v>13254</v>
      </c>
      <c r="I8337">
        <v>9362</v>
      </c>
      <c r="J8337" t="str">
        <f>VLOOKUP(E8337,DSSpieler!A:B,2,FALSE)</f>
        <v>krassegangster</v>
      </c>
    </row>
    <row r="8338" spans="1:10" x14ac:dyDescent="0.25">
      <c r="A8338">
        <v>9364</v>
      </c>
      <c r="B8338" t="s">
        <v>531</v>
      </c>
      <c r="C8338">
        <v>412</v>
      </c>
      <c r="D8338">
        <v>467</v>
      </c>
      <c r="E8338">
        <v>0</v>
      </c>
      <c r="F8338">
        <v>304</v>
      </c>
      <c r="G8338">
        <v>0</v>
      </c>
      <c r="H8338" t="s">
        <v>13255</v>
      </c>
      <c r="I8338">
        <v>9364</v>
      </c>
      <c r="J8338" t="e">
        <f>VLOOKUP(E8338,DSSpieler!A:B,2,FALSE)</f>
        <v>#N/A</v>
      </c>
    </row>
    <row r="8339" spans="1:10" x14ac:dyDescent="0.25">
      <c r="A8339">
        <v>9365</v>
      </c>
      <c r="B8339">
        <v>3</v>
      </c>
      <c r="C8339">
        <v>406</v>
      </c>
      <c r="D8339">
        <v>490</v>
      </c>
      <c r="E8339">
        <v>9296843</v>
      </c>
      <c r="F8339">
        <v>6362</v>
      </c>
      <c r="G8339">
        <v>0</v>
      </c>
      <c r="H8339" t="s">
        <v>13256</v>
      </c>
      <c r="I8339">
        <v>9365</v>
      </c>
      <c r="J8339" t="str">
        <f>VLOOKUP(E8339,DSSpieler!A:B,2,FALSE)</f>
        <v>-Psylon-</v>
      </c>
    </row>
    <row r="8340" spans="1:10" x14ac:dyDescent="0.25">
      <c r="A8340">
        <v>9366</v>
      </c>
      <c r="B8340">
        <v>2</v>
      </c>
      <c r="C8340">
        <v>501</v>
      </c>
      <c r="D8340">
        <v>492</v>
      </c>
      <c r="E8340">
        <v>1576796739</v>
      </c>
      <c r="F8340">
        <v>5774</v>
      </c>
      <c r="G8340">
        <v>0</v>
      </c>
      <c r="H8340" t="s">
        <v>13257</v>
      </c>
      <c r="I8340">
        <v>9366</v>
      </c>
      <c r="J8340" t="str">
        <f>VLOOKUP(E8340,DSSpieler!A:B,2,FALSE)</f>
        <v>Kick-Ass</v>
      </c>
    </row>
    <row r="8341" spans="1:10" x14ac:dyDescent="0.25">
      <c r="A8341">
        <v>9367</v>
      </c>
      <c r="B8341" t="s">
        <v>1780</v>
      </c>
      <c r="C8341">
        <v>514</v>
      </c>
      <c r="D8341">
        <v>407</v>
      </c>
      <c r="E8341">
        <v>256479</v>
      </c>
      <c r="F8341">
        <v>4956</v>
      </c>
      <c r="G8341">
        <v>0</v>
      </c>
      <c r="H8341" t="s">
        <v>13258</v>
      </c>
      <c r="I8341">
        <v>9367</v>
      </c>
      <c r="J8341" t="str">
        <f>VLOOKUP(E8341,DSSpieler!A:B,2,FALSE)</f>
        <v>sdhfsod</v>
      </c>
    </row>
    <row r="8342" spans="1:10" x14ac:dyDescent="0.25">
      <c r="A8342">
        <v>9368</v>
      </c>
      <c r="B8342" t="s">
        <v>660</v>
      </c>
      <c r="C8342">
        <v>552</v>
      </c>
      <c r="D8342">
        <v>529</v>
      </c>
      <c r="E8342">
        <v>1577179568</v>
      </c>
      <c r="F8342">
        <v>2936</v>
      </c>
      <c r="G8342">
        <v>0</v>
      </c>
      <c r="H8342" t="s">
        <v>13259</v>
      </c>
      <c r="I8342">
        <v>9368</v>
      </c>
      <c r="J8342" t="str">
        <f>VLOOKUP(E8342,DSSpieler!A:B,2,FALSE)</f>
        <v>Bienhardson</v>
      </c>
    </row>
    <row r="8343" spans="1:10" x14ac:dyDescent="0.25">
      <c r="A8343">
        <v>9369</v>
      </c>
      <c r="B8343" t="s">
        <v>33582</v>
      </c>
      <c r="C8343">
        <v>532</v>
      </c>
      <c r="D8343">
        <v>409</v>
      </c>
      <c r="E8343">
        <v>9043799</v>
      </c>
      <c r="F8343">
        <v>1692</v>
      </c>
      <c r="G8343">
        <v>0</v>
      </c>
      <c r="H8343" t="s">
        <v>13260</v>
      </c>
      <c r="I8343">
        <v>9369</v>
      </c>
      <c r="J8343" t="str">
        <f>VLOOKUP(E8343,DSSpieler!A:B,2,FALSE)</f>
        <v>ISSC</v>
      </c>
    </row>
    <row r="8344" spans="1:10" x14ac:dyDescent="0.25">
      <c r="A8344">
        <v>9370</v>
      </c>
      <c r="B8344" t="s">
        <v>33583</v>
      </c>
      <c r="C8344">
        <v>514</v>
      </c>
      <c r="D8344">
        <v>544</v>
      </c>
      <c r="E8344">
        <v>1577197361</v>
      </c>
      <c r="F8344">
        <v>6011</v>
      </c>
      <c r="G8344">
        <v>0</v>
      </c>
      <c r="H8344" t="s">
        <v>13261</v>
      </c>
      <c r="I8344">
        <v>9370</v>
      </c>
      <c r="J8344" t="str">
        <f>VLOOKUP(E8344,DSSpieler!A:B,2,FALSE)</f>
        <v>Magic Ulban</v>
      </c>
    </row>
    <row r="8345" spans="1:10" x14ac:dyDescent="0.25">
      <c r="A8345">
        <v>9371</v>
      </c>
      <c r="B8345" t="s">
        <v>33584</v>
      </c>
      <c r="C8345">
        <v>417</v>
      </c>
      <c r="D8345">
        <v>547</v>
      </c>
      <c r="E8345">
        <v>10235585</v>
      </c>
      <c r="F8345">
        <v>6913</v>
      </c>
      <c r="G8345">
        <v>0</v>
      </c>
      <c r="H8345" t="s">
        <v>13262</v>
      </c>
      <c r="I8345">
        <v>9371</v>
      </c>
      <c r="J8345" t="str">
        <f>VLOOKUP(E8345,DSSpieler!A:B,2,FALSE)</f>
        <v>Destroyl</v>
      </c>
    </row>
    <row r="8346" spans="1:10" x14ac:dyDescent="0.25">
      <c r="A8346">
        <v>9372</v>
      </c>
      <c r="B8346" t="s">
        <v>33585</v>
      </c>
      <c r="C8346">
        <v>466</v>
      </c>
      <c r="D8346">
        <v>410</v>
      </c>
      <c r="E8346">
        <v>9639579</v>
      </c>
      <c r="F8346">
        <v>5465</v>
      </c>
      <c r="G8346">
        <v>0</v>
      </c>
      <c r="H8346" t="s">
        <v>13263</v>
      </c>
      <c r="I8346">
        <v>9372</v>
      </c>
      <c r="J8346" t="str">
        <f>VLOOKUP(E8346,DSSpieler!A:B,2,FALSE)</f>
        <v>M@giXx</v>
      </c>
    </row>
    <row r="8347" spans="1:10" x14ac:dyDescent="0.25">
      <c r="A8347">
        <v>9373</v>
      </c>
      <c r="B8347" t="s">
        <v>531</v>
      </c>
      <c r="C8347">
        <v>509</v>
      </c>
      <c r="D8347">
        <v>405</v>
      </c>
      <c r="E8347">
        <v>0</v>
      </c>
      <c r="F8347">
        <v>365</v>
      </c>
      <c r="G8347">
        <v>0</v>
      </c>
      <c r="H8347" t="s">
        <v>13264</v>
      </c>
      <c r="I8347">
        <v>9373</v>
      </c>
      <c r="J8347" t="e">
        <f>VLOOKUP(E8347,DSSpieler!A:B,2,FALSE)</f>
        <v>#N/A</v>
      </c>
    </row>
    <row r="8348" spans="1:10" x14ac:dyDescent="0.25">
      <c r="A8348">
        <v>9374</v>
      </c>
      <c r="B8348" t="s">
        <v>531</v>
      </c>
      <c r="C8348">
        <v>554</v>
      </c>
      <c r="D8348">
        <v>577</v>
      </c>
      <c r="E8348">
        <v>0</v>
      </c>
      <c r="F8348">
        <v>349</v>
      </c>
      <c r="G8348">
        <v>0</v>
      </c>
      <c r="H8348" t="s">
        <v>13265</v>
      </c>
      <c r="I8348">
        <v>9374</v>
      </c>
      <c r="J8348" t="e">
        <f>VLOOKUP(E8348,DSSpieler!A:B,2,FALSE)</f>
        <v>#N/A</v>
      </c>
    </row>
    <row r="8349" spans="1:10" x14ac:dyDescent="0.25">
      <c r="A8349">
        <v>9375</v>
      </c>
      <c r="B8349" t="s">
        <v>1781</v>
      </c>
      <c r="C8349">
        <v>561</v>
      </c>
      <c r="D8349">
        <v>526</v>
      </c>
      <c r="E8349">
        <v>1576846722</v>
      </c>
      <c r="F8349">
        <v>1814</v>
      </c>
      <c r="G8349">
        <v>0</v>
      </c>
      <c r="H8349" t="s">
        <v>13266</v>
      </c>
      <c r="I8349">
        <v>9375</v>
      </c>
      <c r="J8349" t="str">
        <f>VLOOKUP(E8349,DSSpieler!A:B,2,FALSE)</f>
        <v>Lokist2003</v>
      </c>
    </row>
    <row r="8350" spans="1:10" x14ac:dyDescent="0.25">
      <c r="A8350">
        <v>9376</v>
      </c>
      <c r="B8350" t="s">
        <v>33586</v>
      </c>
      <c r="C8350">
        <v>481</v>
      </c>
      <c r="D8350">
        <v>588</v>
      </c>
      <c r="E8350">
        <v>1577160660</v>
      </c>
      <c r="F8350">
        <v>4916</v>
      </c>
      <c r="G8350">
        <v>0</v>
      </c>
      <c r="H8350" t="s">
        <v>13267</v>
      </c>
      <c r="I8350">
        <v>9376</v>
      </c>
      <c r="J8350" t="str">
        <f>VLOOKUP(E8350,DSSpieler!A:B,2,FALSE)</f>
        <v>Muddii</v>
      </c>
    </row>
    <row r="8351" spans="1:10" x14ac:dyDescent="0.25">
      <c r="A8351">
        <v>9377</v>
      </c>
      <c r="B8351" t="s">
        <v>531</v>
      </c>
      <c r="C8351">
        <v>585</v>
      </c>
      <c r="D8351">
        <v>536</v>
      </c>
      <c r="E8351">
        <v>0</v>
      </c>
      <c r="F8351">
        <v>563</v>
      </c>
      <c r="G8351">
        <v>0</v>
      </c>
      <c r="H8351" t="s">
        <v>13268</v>
      </c>
      <c r="I8351">
        <v>9377</v>
      </c>
      <c r="J8351" t="e">
        <f>VLOOKUP(E8351,DSSpieler!A:B,2,FALSE)</f>
        <v>#N/A</v>
      </c>
    </row>
    <row r="8352" spans="1:10" x14ac:dyDescent="0.25">
      <c r="A8352">
        <v>9378</v>
      </c>
      <c r="B8352" t="s">
        <v>33587</v>
      </c>
      <c r="C8352">
        <v>416</v>
      </c>
      <c r="D8352">
        <v>575</v>
      </c>
      <c r="E8352">
        <v>1577101311</v>
      </c>
      <c r="F8352">
        <v>5124</v>
      </c>
      <c r="G8352">
        <v>0</v>
      </c>
      <c r="H8352" t="s">
        <v>13269</v>
      </c>
      <c r="I8352">
        <v>9378</v>
      </c>
      <c r="J8352" t="str">
        <f>VLOOKUP(E8352,DSSpieler!A:B,2,FALSE)</f>
        <v>Sigmund</v>
      </c>
    </row>
    <row r="8353" spans="1:10" x14ac:dyDescent="0.25">
      <c r="A8353">
        <v>9379</v>
      </c>
      <c r="B8353" t="s">
        <v>33588</v>
      </c>
      <c r="C8353">
        <v>578</v>
      </c>
      <c r="D8353">
        <v>573</v>
      </c>
      <c r="E8353">
        <v>3109521</v>
      </c>
      <c r="F8353">
        <v>2656</v>
      </c>
      <c r="G8353">
        <v>0</v>
      </c>
      <c r="H8353" t="s">
        <v>13270</v>
      </c>
      <c r="I8353">
        <v>9379</v>
      </c>
      <c r="J8353" t="str">
        <f>VLOOKUP(E8353,DSSpieler!A:B,2,FALSE)</f>
        <v>bananenfaust</v>
      </c>
    </row>
    <row r="8354" spans="1:10" x14ac:dyDescent="0.25">
      <c r="A8354">
        <v>9380</v>
      </c>
      <c r="B8354" t="s">
        <v>531</v>
      </c>
      <c r="C8354">
        <v>519</v>
      </c>
      <c r="D8354">
        <v>404</v>
      </c>
      <c r="E8354">
        <v>0</v>
      </c>
      <c r="F8354">
        <v>1404</v>
      </c>
      <c r="G8354">
        <v>0</v>
      </c>
      <c r="H8354" t="s">
        <v>13271</v>
      </c>
      <c r="I8354">
        <v>9380</v>
      </c>
      <c r="J8354" t="e">
        <f>VLOOKUP(E8354,DSSpieler!A:B,2,FALSE)</f>
        <v>#N/A</v>
      </c>
    </row>
    <row r="8355" spans="1:10" x14ac:dyDescent="0.25">
      <c r="A8355">
        <v>9381</v>
      </c>
      <c r="B8355" t="s">
        <v>531</v>
      </c>
      <c r="C8355">
        <v>485</v>
      </c>
      <c r="D8355">
        <v>408</v>
      </c>
      <c r="E8355">
        <v>0</v>
      </c>
      <c r="F8355">
        <v>392</v>
      </c>
      <c r="G8355">
        <v>0</v>
      </c>
      <c r="H8355" t="s">
        <v>13272</v>
      </c>
      <c r="I8355">
        <v>9381</v>
      </c>
      <c r="J8355" t="e">
        <f>VLOOKUP(E8355,DSSpieler!A:B,2,FALSE)</f>
        <v>#N/A</v>
      </c>
    </row>
    <row r="8356" spans="1:10" x14ac:dyDescent="0.25">
      <c r="A8356">
        <v>9382</v>
      </c>
      <c r="B8356" t="s">
        <v>33589</v>
      </c>
      <c r="C8356">
        <v>502</v>
      </c>
      <c r="D8356">
        <v>404</v>
      </c>
      <c r="E8356">
        <v>1577193641</v>
      </c>
      <c r="F8356">
        <v>6579</v>
      </c>
      <c r="G8356">
        <v>0</v>
      </c>
      <c r="H8356" t="s">
        <v>13273</v>
      </c>
      <c r="I8356">
        <v>9382</v>
      </c>
      <c r="J8356" t="str">
        <f>VLOOKUP(E8356,DSSpieler!A:B,2,FALSE)</f>
        <v>Lady Cleo</v>
      </c>
    </row>
    <row r="8357" spans="1:10" x14ac:dyDescent="0.25">
      <c r="A8357">
        <v>9383</v>
      </c>
      <c r="B8357" t="s">
        <v>33590</v>
      </c>
      <c r="C8357">
        <v>497</v>
      </c>
      <c r="D8357">
        <v>554</v>
      </c>
      <c r="E8357">
        <v>1577176017</v>
      </c>
      <c r="F8357">
        <v>6942</v>
      </c>
      <c r="G8357">
        <v>0</v>
      </c>
      <c r="H8357" t="s">
        <v>13274</v>
      </c>
      <c r="I8357">
        <v>9383</v>
      </c>
      <c r="J8357" t="str">
        <f>VLOOKUP(E8357,DSSpieler!A:B,2,FALSE)</f>
        <v>xingo</v>
      </c>
    </row>
    <row r="8358" spans="1:10" x14ac:dyDescent="0.25">
      <c r="A8358">
        <v>9384</v>
      </c>
      <c r="B8358" t="s">
        <v>531</v>
      </c>
      <c r="C8358">
        <v>556</v>
      </c>
      <c r="D8358">
        <v>574</v>
      </c>
      <c r="E8358">
        <v>0</v>
      </c>
      <c r="F8358">
        <v>245</v>
      </c>
      <c r="G8358">
        <v>0</v>
      </c>
      <c r="H8358" t="s">
        <v>13275</v>
      </c>
      <c r="I8358">
        <v>9384</v>
      </c>
      <c r="J8358" t="e">
        <f>VLOOKUP(E8358,DSSpieler!A:B,2,FALSE)</f>
        <v>#N/A</v>
      </c>
    </row>
    <row r="8359" spans="1:10" x14ac:dyDescent="0.25">
      <c r="A8359">
        <v>9385</v>
      </c>
      <c r="B8359" t="s">
        <v>531</v>
      </c>
      <c r="C8359">
        <v>436</v>
      </c>
      <c r="D8359">
        <v>433</v>
      </c>
      <c r="E8359">
        <v>0</v>
      </c>
      <c r="F8359">
        <v>283</v>
      </c>
      <c r="G8359">
        <v>0</v>
      </c>
      <c r="H8359" t="s">
        <v>13276</v>
      </c>
      <c r="I8359">
        <v>9385</v>
      </c>
      <c r="J8359" t="e">
        <f>VLOOKUP(E8359,DSSpieler!A:B,2,FALSE)</f>
        <v>#N/A</v>
      </c>
    </row>
    <row r="8360" spans="1:10" x14ac:dyDescent="0.25">
      <c r="A8360">
        <v>9386</v>
      </c>
      <c r="B8360" t="s">
        <v>33591</v>
      </c>
      <c r="C8360">
        <v>489</v>
      </c>
      <c r="D8360">
        <v>593</v>
      </c>
      <c r="E8360">
        <v>1576958415</v>
      </c>
      <c r="F8360">
        <v>5582</v>
      </c>
      <c r="G8360">
        <v>0</v>
      </c>
      <c r="H8360" t="s">
        <v>13277</v>
      </c>
      <c r="I8360">
        <v>9386</v>
      </c>
      <c r="J8360" t="str">
        <f>VLOOKUP(E8360,DSSpieler!A:B,2,FALSE)</f>
        <v>JLC.</v>
      </c>
    </row>
    <row r="8361" spans="1:10" x14ac:dyDescent="0.25">
      <c r="A8361">
        <v>9387</v>
      </c>
      <c r="B8361" t="s">
        <v>531</v>
      </c>
      <c r="C8361">
        <v>575</v>
      </c>
      <c r="D8361">
        <v>442</v>
      </c>
      <c r="E8361">
        <v>0</v>
      </c>
      <c r="F8361">
        <v>357</v>
      </c>
      <c r="G8361">
        <v>0</v>
      </c>
      <c r="H8361" t="s">
        <v>13278</v>
      </c>
      <c r="I8361">
        <v>9387</v>
      </c>
      <c r="J8361" t="e">
        <f>VLOOKUP(E8361,DSSpieler!A:B,2,FALSE)</f>
        <v>#N/A</v>
      </c>
    </row>
    <row r="8362" spans="1:10" x14ac:dyDescent="0.25">
      <c r="A8362">
        <v>9388</v>
      </c>
      <c r="B8362" t="s">
        <v>531</v>
      </c>
      <c r="C8362">
        <v>537</v>
      </c>
      <c r="D8362">
        <v>414</v>
      </c>
      <c r="E8362">
        <v>0</v>
      </c>
      <c r="F8362">
        <v>220</v>
      </c>
      <c r="G8362">
        <v>0</v>
      </c>
      <c r="H8362" t="s">
        <v>13279</v>
      </c>
      <c r="I8362">
        <v>9388</v>
      </c>
      <c r="J8362" t="e">
        <f>VLOOKUP(E8362,DSSpieler!A:B,2,FALSE)</f>
        <v>#N/A</v>
      </c>
    </row>
    <row r="8363" spans="1:10" x14ac:dyDescent="0.25">
      <c r="A8363">
        <v>9389</v>
      </c>
      <c r="B8363" t="s">
        <v>31308</v>
      </c>
      <c r="C8363">
        <v>558</v>
      </c>
      <c r="D8363">
        <v>596</v>
      </c>
      <c r="E8363">
        <v>1577162918</v>
      </c>
      <c r="F8363">
        <v>5738</v>
      </c>
      <c r="G8363">
        <v>0</v>
      </c>
      <c r="H8363" t="s">
        <v>13280</v>
      </c>
      <c r="I8363">
        <v>9389</v>
      </c>
      <c r="J8363" t="str">
        <f>VLOOKUP(E8363,DSSpieler!A:B,2,FALSE)</f>
        <v>Jonas617</v>
      </c>
    </row>
    <row r="8364" spans="1:10" x14ac:dyDescent="0.25">
      <c r="A8364">
        <v>9390</v>
      </c>
      <c r="B8364" t="s">
        <v>531</v>
      </c>
      <c r="C8364">
        <v>420</v>
      </c>
      <c r="D8364">
        <v>533</v>
      </c>
      <c r="E8364">
        <v>0</v>
      </c>
      <c r="F8364">
        <v>288</v>
      </c>
      <c r="G8364">
        <v>0</v>
      </c>
      <c r="H8364" t="s">
        <v>13281</v>
      </c>
      <c r="I8364">
        <v>9390</v>
      </c>
      <c r="J8364" t="e">
        <f>VLOOKUP(E8364,DSSpieler!A:B,2,FALSE)</f>
        <v>#N/A</v>
      </c>
    </row>
    <row r="8365" spans="1:10" x14ac:dyDescent="0.25">
      <c r="A8365">
        <v>9391</v>
      </c>
      <c r="B8365" t="s">
        <v>531</v>
      </c>
      <c r="C8365">
        <v>584</v>
      </c>
      <c r="D8365">
        <v>455</v>
      </c>
      <c r="E8365">
        <v>0</v>
      </c>
      <c r="F8365">
        <v>264</v>
      </c>
      <c r="G8365">
        <v>0</v>
      </c>
      <c r="H8365" t="s">
        <v>13282</v>
      </c>
      <c r="I8365">
        <v>9391</v>
      </c>
      <c r="J8365" t="e">
        <f>VLOOKUP(E8365,DSSpieler!A:B,2,FALSE)</f>
        <v>#N/A</v>
      </c>
    </row>
    <row r="8366" spans="1:10" x14ac:dyDescent="0.25">
      <c r="A8366">
        <v>9392</v>
      </c>
      <c r="B8366" t="s">
        <v>780</v>
      </c>
      <c r="C8366">
        <v>565</v>
      </c>
      <c r="D8366">
        <v>566</v>
      </c>
      <c r="E8366">
        <v>1577197971</v>
      </c>
      <c r="F8366">
        <v>4266</v>
      </c>
      <c r="G8366">
        <v>0</v>
      </c>
      <c r="H8366" t="s">
        <v>13283</v>
      </c>
      <c r="I8366">
        <v>9392</v>
      </c>
      <c r="J8366" t="str">
        <f>VLOOKUP(E8366,DSSpieler!A:B,2,FALSE)</f>
        <v>-I34SH-</v>
      </c>
    </row>
    <row r="8367" spans="1:10" x14ac:dyDescent="0.25">
      <c r="A8367">
        <v>9393</v>
      </c>
      <c r="B8367" t="s">
        <v>531</v>
      </c>
      <c r="C8367">
        <v>482</v>
      </c>
      <c r="D8367">
        <v>409</v>
      </c>
      <c r="E8367">
        <v>0</v>
      </c>
      <c r="F8367">
        <v>425</v>
      </c>
      <c r="G8367">
        <v>0</v>
      </c>
      <c r="H8367" t="s">
        <v>13284</v>
      </c>
      <c r="I8367">
        <v>9393</v>
      </c>
      <c r="J8367" t="e">
        <f>VLOOKUP(E8367,DSSpieler!A:B,2,FALSE)</f>
        <v>#N/A</v>
      </c>
    </row>
    <row r="8368" spans="1:10" x14ac:dyDescent="0.25">
      <c r="A8368">
        <v>9394</v>
      </c>
      <c r="B8368" t="s">
        <v>531</v>
      </c>
      <c r="C8368">
        <v>540</v>
      </c>
      <c r="D8368">
        <v>561</v>
      </c>
      <c r="E8368">
        <v>0</v>
      </c>
      <c r="F8368">
        <v>502</v>
      </c>
      <c r="G8368">
        <v>0</v>
      </c>
      <c r="H8368" t="s">
        <v>13285</v>
      </c>
      <c r="I8368">
        <v>9394</v>
      </c>
      <c r="J8368" t="e">
        <f>VLOOKUP(E8368,DSSpieler!A:B,2,FALSE)</f>
        <v>#N/A</v>
      </c>
    </row>
    <row r="8369" spans="1:10" x14ac:dyDescent="0.25">
      <c r="A8369">
        <v>9395</v>
      </c>
      <c r="B8369" t="s">
        <v>33592</v>
      </c>
      <c r="C8369">
        <v>539</v>
      </c>
      <c r="D8369">
        <v>603</v>
      </c>
      <c r="E8369">
        <v>1577028197</v>
      </c>
      <c r="F8369">
        <v>5290</v>
      </c>
      <c r="G8369">
        <v>0</v>
      </c>
      <c r="H8369" t="s">
        <v>13286</v>
      </c>
      <c r="I8369">
        <v>9395</v>
      </c>
      <c r="J8369" t="str">
        <f>VLOOKUP(E8369,DSSpieler!A:B,2,FALSE)</f>
        <v>DontDrinkAndDs</v>
      </c>
    </row>
    <row r="8370" spans="1:10" x14ac:dyDescent="0.25">
      <c r="A8370">
        <v>9396</v>
      </c>
      <c r="B8370" t="s">
        <v>33593</v>
      </c>
      <c r="C8370">
        <v>573</v>
      </c>
      <c r="D8370">
        <v>444</v>
      </c>
      <c r="E8370">
        <v>1577197085</v>
      </c>
      <c r="F8370">
        <v>4279</v>
      </c>
      <c r="G8370">
        <v>0</v>
      </c>
      <c r="H8370" t="s">
        <v>13287</v>
      </c>
      <c r="I8370">
        <v>9396</v>
      </c>
      <c r="J8370" t="str">
        <f>VLOOKUP(E8370,DSSpieler!A:B,2,FALSE)</f>
        <v>LawVii</v>
      </c>
    </row>
    <row r="8371" spans="1:10" x14ac:dyDescent="0.25">
      <c r="A8371">
        <v>9397</v>
      </c>
      <c r="B8371" t="s">
        <v>687</v>
      </c>
      <c r="C8371">
        <v>422</v>
      </c>
      <c r="D8371">
        <v>450</v>
      </c>
      <c r="E8371">
        <v>1576885344</v>
      </c>
      <c r="F8371">
        <v>7167</v>
      </c>
      <c r="G8371">
        <v>0</v>
      </c>
      <c r="H8371" t="s">
        <v>13288</v>
      </c>
      <c r="I8371">
        <v>9397</v>
      </c>
      <c r="J8371" t="str">
        <f>VLOOKUP(E8371,DSSpieler!A:B,2,FALSE)</f>
        <v>fe08</v>
      </c>
    </row>
    <row r="8372" spans="1:10" x14ac:dyDescent="0.25">
      <c r="A8372">
        <v>9399</v>
      </c>
      <c r="B8372" t="s">
        <v>531</v>
      </c>
      <c r="C8372">
        <v>494</v>
      </c>
      <c r="D8372">
        <v>405</v>
      </c>
      <c r="E8372">
        <v>0</v>
      </c>
      <c r="F8372">
        <v>217</v>
      </c>
      <c r="G8372">
        <v>0</v>
      </c>
      <c r="H8372" t="s">
        <v>13289</v>
      </c>
      <c r="I8372">
        <v>9399</v>
      </c>
      <c r="J8372" t="e">
        <f>VLOOKUP(E8372,DSSpieler!A:B,2,FALSE)</f>
        <v>#N/A</v>
      </c>
    </row>
    <row r="8373" spans="1:10" x14ac:dyDescent="0.25">
      <c r="A8373">
        <v>9401</v>
      </c>
      <c r="B8373" t="s">
        <v>1782</v>
      </c>
      <c r="C8373">
        <v>481</v>
      </c>
      <c r="D8373">
        <v>534</v>
      </c>
      <c r="E8373">
        <v>1577199157</v>
      </c>
      <c r="F8373">
        <v>5630</v>
      </c>
      <c r="G8373">
        <v>0</v>
      </c>
      <c r="H8373" t="s">
        <v>13290</v>
      </c>
      <c r="I8373">
        <v>9401</v>
      </c>
      <c r="J8373" t="str">
        <f>VLOOKUP(E8373,DSSpieler!A:B,2,FALSE)</f>
        <v>wgo-habasch</v>
      </c>
    </row>
    <row r="8374" spans="1:10" x14ac:dyDescent="0.25">
      <c r="A8374">
        <v>9402</v>
      </c>
      <c r="B8374" t="s">
        <v>531</v>
      </c>
      <c r="C8374">
        <v>449</v>
      </c>
      <c r="D8374">
        <v>578</v>
      </c>
      <c r="E8374">
        <v>0</v>
      </c>
      <c r="F8374">
        <v>277</v>
      </c>
      <c r="G8374">
        <v>0</v>
      </c>
      <c r="H8374" t="s">
        <v>13291</v>
      </c>
      <c r="I8374">
        <v>9402</v>
      </c>
      <c r="J8374" t="e">
        <f>VLOOKUP(E8374,DSSpieler!A:B,2,FALSE)</f>
        <v>#N/A</v>
      </c>
    </row>
    <row r="8375" spans="1:10" x14ac:dyDescent="0.25">
      <c r="A8375">
        <v>9403</v>
      </c>
      <c r="B8375" t="s">
        <v>531</v>
      </c>
      <c r="C8375">
        <v>426</v>
      </c>
      <c r="D8375">
        <v>547</v>
      </c>
      <c r="E8375">
        <v>0</v>
      </c>
      <c r="F8375">
        <v>164</v>
      </c>
      <c r="G8375">
        <v>0</v>
      </c>
      <c r="H8375" t="s">
        <v>13292</v>
      </c>
      <c r="I8375">
        <v>9403</v>
      </c>
      <c r="J8375" t="e">
        <f>VLOOKUP(E8375,DSSpieler!A:B,2,FALSE)</f>
        <v>#N/A</v>
      </c>
    </row>
    <row r="8376" spans="1:10" x14ac:dyDescent="0.25">
      <c r="A8376">
        <v>9404</v>
      </c>
      <c r="B8376" t="s">
        <v>33594</v>
      </c>
      <c r="C8376">
        <v>568</v>
      </c>
      <c r="D8376">
        <v>434</v>
      </c>
      <c r="E8376">
        <v>1577192658</v>
      </c>
      <c r="F8376">
        <v>2528</v>
      </c>
      <c r="G8376">
        <v>0</v>
      </c>
      <c r="H8376" t="s">
        <v>13293</v>
      </c>
      <c r="I8376">
        <v>9404</v>
      </c>
      <c r="J8376" t="str">
        <f>VLOOKUP(E8376,DSSpieler!A:B,2,FALSE)</f>
        <v>schmarrnuel</v>
      </c>
    </row>
    <row r="8377" spans="1:10" x14ac:dyDescent="0.25">
      <c r="A8377">
        <v>9406</v>
      </c>
      <c r="B8377" t="s">
        <v>33385</v>
      </c>
      <c r="C8377">
        <v>405</v>
      </c>
      <c r="D8377">
        <v>488</v>
      </c>
      <c r="E8377">
        <v>1576780279</v>
      </c>
      <c r="F8377">
        <v>4283</v>
      </c>
      <c r="G8377">
        <v>0</v>
      </c>
      <c r="H8377" t="s">
        <v>13294</v>
      </c>
      <c r="I8377">
        <v>9406</v>
      </c>
      <c r="J8377" t="str">
        <f>VLOOKUP(E8377,DSSpieler!A:B,2,FALSE)</f>
        <v>krassegangster</v>
      </c>
    </row>
    <row r="8378" spans="1:10" x14ac:dyDescent="0.25">
      <c r="A8378">
        <v>9407</v>
      </c>
      <c r="B8378" t="s">
        <v>33595</v>
      </c>
      <c r="C8378">
        <v>555</v>
      </c>
      <c r="D8378">
        <v>406</v>
      </c>
      <c r="E8378">
        <v>9621199</v>
      </c>
      <c r="F8378">
        <v>4550</v>
      </c>
      <c r="G8378">
        <v>0</v>
      </c>
      <c r="H8378" t="s">
        <v>13295</v>
      </c>
      <c r="I8378">
        <v>9407</v>
      </c>
      <c r="J8378" t="str">
        <f>VLOOKUP(E8378,DSSpieler!A:B,2,FALSE)</f>
        <v>ImSryBut</v>
      </c>
    </row>
    <row r="8379" spans="1:10" x14ac:dyDescent="0.25">
      <c r="A8379">
        <v>9408</v>
      </c>
      <c r="B8379" t="s">
        <v>1783</v>
      </c>
      <c r="C8379">
        <v>398</v>
      </c>
      <c r="D8379">
        <v>480</v>
      </c>
      <c r="E8379">
        <v>1577184624</v>
      </c>
      <c r="F8379">
        <v>4318</v>
      </c>
      <c r="G8379">
        <v>0</v>
      </c>
      <c r="H8379" t="s">
        <v>13296</v>
      </c>
      <c r="I8379">
        <v>9408</v>
      </c>
      <c r="J8379" t="str">
        <f>VLOOKUP(E8379,DSSpieler!A:B,2,FALSE)</f>
        <v>MusaBaba</v>
      </c>
    </row>
    <row r="8380" spans="1:10" x14ac:dyDescent="0.25">
      <c r="A8380">
        <v>9409</v>
      </c>
      <c r="B8380" t="s">
        <v>33596</v>
      </c>
      <c r="C8380">
        <v>579</v>
      </c>
      <c r="D8380">
        <v>444</v>
      </c>
      <c r="E8380">
        <v>1577186645</v>
      </c>
      <c r="F8380">
        <v>6728</v>
      </c>
      <c r="G8380">
        <v>0</v>
      </c>
      <c r="H8380" t="s">
        <v>13297</v>
      </c>
      <c r="I8380">
        <v>9409</v>
      </c>
      <c r="J8380" t="str">
        <f>VLOOKUP(E8380,DSSpieler!A:B,2,FALSE)</f>
        <v>innerdreamz</v>
      </c>
    </row>
    <row r="8381" spans="1:10" x14ac:dyDescent="0.25">
      <c r="A8381">
        <v>9410</v>
      </c>
      <c r="B8381" t="s">
        <v>1784</v>
      </c>
      <c r="C8381">
        <v>451</v>
      </c>
      <c r="D8381">
        <v>546</v>
      </c>
      <c r="E8381">
        <v>1577177324</v>
      </c>
      <c r="F8381">
        <v>1503</v>
      </c>
      <c r="G8381">
        <v>0</v>
      </c>
      <c r="H8381" t="s">
        <v>13298</v>
      </c>
      <c r="I8381">
        <v>9410</v>
      </c>
      <c r="J8381" t="str">
        <f>VLOOKUP(E8381,DSSpieler!A:B,2,FALSE)</f>
        <v>feli</v>
      </c>
    </row>
    <row r="8382" spans="1:10" x14ac:dyDescent="0.25">
      <c r="A8382">
        <v>9411</v>
      </c>
      <c r="B8382" t="s">
        <v>531</v>
      </c>
      <c r="C8382">
        <v>589</v>
      </c>
      <c r="D8382">
        <v>462</v>
      </c>
      <c r="E8382">
        <v>0</v>
      </c>
      <c r="F8382">
        <v>298</v>
      </c>
      <c r="G8382">
        <v>0</v>
      </c>
      <c r="H8382" t="s">
        <v>13299</v>
      </c>
      <c r="I8382">
        <v>9411</v>
      </c>
      <c r="J8382" t="e">
        <f>VLOOKUP(E8382,DSSpieler!A:B,2,FALSE)</f>
        <v>#N/A</v>
      </c>
    </row>
    <row r="8383" spans="1:10" x14ac:dyDescent="0.25">
      <c r="A8383">
        <v>9414</v>
      </c>
      <c r="B8383" t="s">
        <v>1785</v>
      </c>
      <c r="C8383">
        <v>395</v>
      </c>
      <c r="D8383">
        <v>496</v>
      </c>
      <c r="E8383">
        <v>1576776027</v>
      </c>
      <c r="F8383">
        <v>4610</v>
      </c>
      <c r="G8383">
        <v>0</v>
      </c>
      <c r="H8383" t="s">
        <v>13300</v>
      </c>
      <c r="I8383">
        <v>9414</v>
      </c>
      <c r="J8383" t="str">
        <f>VLOOKUP(E8383,DSSpieler!A:B,2,FALSE)</f>
        <v>Bierchen812</v>
      </c>
    </row>
    <row r="8384" spans="1:10" x14ac:dyDescent="0.25">
      <c r="A8384">
        <v>9415</v>
      </c>
      <c r="B8384" t="s">
        <v>531</v>
      </c>
      <c r="C8384">
        <v>469</v>
      </c>
      <c r="D8384">
        <v>410</v>
      </c>
      <c r="E8384">
        <v>0</v>
      </c>
      <c r="F8384">
        <v>404</v>
      </c>
      <c r="G8384">
        <v>0</v>
      </c>
      <c r="H8384" t="s">
        <v>13301</v>
      </c>
      <c r="I8384">
        <v>9415</v>
      </c>
      <c r="J8384" t="e">
        <f>VLOOKUP(E8384,DSSpieler!A:B,2,FALSE)</f>
        <v>#N/A</v>
      </c>
    </row>
    <row r="8385" spans="1:10" x14ac:dyDescent="0.25">
      <c r="A8385">
        <v>9416</v>
      </c>
      <c r="B8385" t="s">
        <v>33597</v>
      </c>
      <c r="C8385">
        <v>507</v>
      </c>
      <c r="D8385">
        <v>404</v>
      </c>
      <c r="E8385">
        <v>10109027</v>
      </c>
      <c r="F8385">
        <v>6091</v>
      </c>
      <c r="G8385">
        <v>0</v>
      </c>
      <c r="H8385" t="s">
        <v>13302</v>
      </c>
      <c r="I8385">
        <v>9416</v>
      </c>
      <c r="J8385" t="str">
        <f>VLOOKUP(E8385,DSSpieler!A:B,2,FALSE)</f>
        <v>Stifti97</v>
      </c>
    </row>
    <row r="8386" spans="1:10" x14ac:dyDescent="0.25">
      <c r="A8386">
        <v>9417</v>
      </c>
      <c r="B8386" t="s">
        <v>531</v>
      </c>
      <c r="C8386">
        <v>452</v>
      </c>
      <c r="D8386">
        <v>419</v>
      </c>
      <c r="E8386">
        <v>0</v>
      </c>
      <c r="F8386">
        <v>499</v>
      </c>
      <c r="G8386">
        <v>0</v>
      </c>
      <c r="H8386" t="s">
        <v>13303</v>
      </c>
      <c r="I8386">
        <v>9417</v>
      </c>
      <c r="J8386" t="e">
        <f>VLOOKUP(E8386,DSSpieler!A:B,2,FALSE)</f>
        <v>#N/A</v>
      </c>
    </row>
    <row r="8387" spans="1:10" x14ac:dyDescent="0.25">
      <c r="A8387">
        <v>9418</v>
      </c>
      <c r="B8387" t="s">
        <v>979</v>
      </c>
      <c r="C8387">
        <v>511</v>
      </c>
      <c r="D8387">
        <v>591</v>
      </c>
      <c r="E8387">
        <v>9589757</v>
      </c>
      <c r="F8387">
        <v>5869</v>
      </c>
      <c r="G8387">
        <v>0</v>
      </c>
      <c r="H8387" t="s">
        <v>13304</v>
      </c>
      <c r="I8387">
        <v>9418</v>
      </c>
      <c r="J8387" t="str">
        <f>VLOOKUP(E8387,DSSpieler!A:B,2,FALSE)</f>
        <v>Bluddeux</v>
      </c>
    </row>
    <row r="8388" spans="1:10" x14ac:dyDescent="0.25">
      <c r="A8388">
        <v>9419</v>
      </c>
      <c r="B8388" t="s">
        <v>33598</v>
      </c>
      <c r="C8388">
        <v>435</v>
      </c>
      <c r="D8388">
        <v>432</v>
      </c>
      <c r="E8388">
        <v>9979798</v>
      </c>
      <c r="F8388">
        <v>771</v>
      </c>
      <c r="G8388">
        <v>0</v>
      </c>
      <c r="H8388" t="s">
        <v>13305</v>
      </c>
      <c r="I8388">
        <v>9419</v>
      </c>
      <c r="J8388" t="str">
        <f>VLOOKUP(E8388,DSSpieler!A:B,2,FALSE)</f>
        <v>Nasel</v>
      </c>
    </row>
    <row r="8389" spans="1:10" x14ac:dyDescent="0.25">
      <c r="A8389">
        <v>9420</v>
      </c>
      <c r="B8389" t="s">
        <v>531</v>
      </c>
      <c r="C8389">
        <v>578</v>
      </c>
      <c r="D8389">
        <v>549</v>
      </c>
      <c r="E8389">
        <v>0</v>
      </c>
      <c r="F8389">
        <v>301</v>
      </c>
      <c r="G8389">
        <v>0</v>
      </c>
      <c r="H8389" t="s">
        <v>13306</v>
      </c>
      <c r="I8389">
        <v>9420</v>
      </c>
      <c r="J8389" t="e">
        <f>VLOOKUP(E8389,DSSpieler!A:B,2,FALSE)</f>
        <v>#N/A</v>
      </c>
    </row>
    <row r="8390" spans="1:10" x14ac:dyDescent="0.25">
      <c r="A8390">
        <v>9421</v>
      </c>
      <c r="B8390" t="s">
        <v>1786</v>
      </c>
      <c r="C8390">
        <v>457</v>
      </c>
      <c r="D8390">
        <v>554</v>
      </c>
      <c r="E8390">
        <v>1577189415</v>
      </c>
      <c r="F8390">
        <v>7060</v>
      </c>
      <c r="G8390">
        <v>0</v>
      </c>
      <c r="H8390" t="s">
        <v>13307</v>
      </c>
      <c r="I8390">
        <v>9421</v>
      </c>
      <c r="J8390" t="str">
        <f>VLOOKUP(E8390,DSSpieler!A:B,2,FALSE)</f>
        <v>larasponyhof</v>
      </c>
    </row>
    <row r="8391" spans="1:10" x14ac:dyDescent="0.25">
      <c r="A8391">
        <v>9422</v>
      </c>
      <c r="B8391" t="s">
        <v>33599</v>
      </c>
      <c r="C8391">
        <v>485</v>
      </c>
      <c r="D8391">
        <v>410</v>
      </c>
      <c r="E8391">
        <v>1576460108</v>
      </c>
      <c r="F8391">
        <v>2154</v>
      </c>
      <c r="G8391">
        <v>0</v>
      </c>
      <c r="H8391" t="s">
        <v>13308</v>
      </c>
      <c r="I8391">
        <v>9422</v>
      </c>
      <c r="J8391" t="str">
        <f>VLOOKUP(E8391,DSSpieler!A:B,2,FALSE)</f>
        <v>Chamandra</v>
      </c>
    </row>
    <row r="8392" spans="1:10" x14ac:dyDescent="0.25">
      <c r="A8392">
        <v>9423</v>
      </c>
      <c r="B8392" t="s">
        <v>531</v>
      </c>
      <c r="C8392">
        <v>474</v>
      </c>
      <c r="D8392">
        <v>408</v>
      </c>
      <c r="E8392">
        <v>0</v>
      </c>
      <c r="F8392">
        <v>242</v>
      </c>
      <c r="G8392">
        <v>0</v>
      </c>
      <c r="H8392" t="s">
        <v>13309</v>
      </c>
      <c r="I8392">
        <v>9423</v>
      </c>
      <c r="J8392" t="e">
        <f>VLOOKUP(E8392,DSSpieler!A:B,2,FALSE)</f>
        <v>#N/A</v>
      </c>
    </row>
    <row r="8393" spans="1:10" x14ac:dyDescent="0.25">
      <c r="A8393">
        <v>9424</v>
      </c>
      <c r="B8393" t="s">
        <v>531</v>
      </c>
      <c r="C8393">
        <v>526</v>
      </c>
      <c r="D8393">
        <v>592</v>
      </c>
      <c r="E8393">
        <v>0</v>
      </c>
      <c r="F8393">
        <v>270</v>
      </c>
      <c r="G8393">
        <v>0</v>
      </c>
      <c r="H8393" t="s">
        <v>13310</v>
      </c>
      <c r="I8393">
        <v>9424</v>
      </c>
      <c r="J8393" t="e">
        <f>VLOOKUP(E8393,DSSpieler!A:B,2,FALSE)</f>
        <v>#N/A</v>
      </c>
    </row>
    <row r="8394" spans="1:10" x14ac:dyDescent="0.25">
      <c r="A8394">
        <v>9425</v>
      </c>
      <c r="B8394" t="s">
        <v>531</v>
      </c>
      <c r="C8394">
        <v>501</v>
      </c>
      <c r="D8394">
        <v>407</v>
      </c>
      <c r="E8394">
        <v>0</v>
      </c>
      <c r="F8394">
        <v>351</v>
      </c>
      <c r="G8394">
        <v>0</v>
      </c>
      <c r="H8394" t="s">
        <v>13311</v>
      </c>
      <c r="I8394">
        <v>9425</v>
      </c>
      <c r="J8394" t="e">
        <f>VLOOKUP(E8394,DSSpieler!A:B,2,FALSE)</f>
        <v>#N/A</v>
      </c>
    </row>
    <row r="8395" spans="1:10" x14ac:dyDescent="0.25">
      <c r="A8395">
        <v>9426</v>
      </c>
      <c r="B8395" t="s">
        <v>1787</v>
      </c>
      <c r="C8395">
        <v>561</v>
      </c>
      <c r="D8395">
        <v>429</v>
      </c>
      <c r="E8395">
        <v>9704633</v>
      </c>
      <c r="F8395">
        <v>6450</v>
      </c>
      <c r="G8395">
        <v>0</v>
      </c>
      <c r="H8395" t="s">
        <v>13312</v>
      </c>
      <c r="I8395">
        <v>9426</v>
      </c>
      <c r="J8395" t="str">
        <f>VLOOKUP(E8395,DSSpieler!A:B,2,FALSE)</f>
        <v>GamePri</v>
      </c>
    </row>
    <row r="8396" spans="1:10" x14ac:dyDescent="0.25">
      <c r="A8396">
        <v>9427</v>
      </c>
      <c r="B8396" t="s">
        <v>33600</v>
      </c>
      <c r="C8396">
        <v>446</v>
      </c>
      <c r="D8396">
        <v>429</v>
      </c>
      <c r="E8396">
        <v>1577180767</v>
      </c>
      <c r="F8396">
        <v>4337</v>
      </c>
      <c r="G8396">
        <v>0</v>
      </c>
      <c r="H8396" t="s">
        <v>13313</v>
      </c>
      <c r="I8396">
        <v>9427</v>
      </c>
      <c r="J8396" t="str">
        <f>VLOOKUP(E8396,DSSpieler!A:B,2,FALSE)</f>
        <v>August69Ames</v>
      </c>
    </row>
    <row r="8397" spans="1:10" x14ac:dyDescent="0.25">
      <c r="A8397">
        <v>9428</v>
      </c>
      <c r="B8397" t="s">
        <v>780</v>
      </c>
      <c r="C8397">
        <v>605</v>
      </c>
      <c r="D8397">
        <v>530</v>
      </c>
      <c r="E8397">
        <v>1576939408</v>
      </c>
      <c r="F8397">
        <v>6330</v>
      </c>
      <c r="G8397">
        <v>0</v>
      </c>
      <c r="H8397" t="s">
        <v>13314</v>
      </c>
      <c r="I8397">
        <v>9428</v>
      </c>
      <c r="J8397" t="str">
        <f>VLOOKUP(E8397,DSSpieler!A:B,2,FALSE)</f>
        <v>Der Blauadler</v>
      </c>
    </row>
    <row r="8398" spans="1:10" x14ac:dyDescent="0.25">
      <c r="A8398">
        <v>9429</v>
      </c>
      <c r="B8398" t="s">
        <v>33601</v>
      </c>
      <c r="C8398">
        <v>569</v>
      </c>
      <c r="D8398">
        <v>566</v>
      </c>
      <c r="E8398">
        <v>608497</v>
      </c>
      <c r="F8398">
        <v>495</v>
      </c>
      <c r="G8398">
        <v>0</v>
      </c>
      <c r="H8398" t="s">
        <v>13315</v>
      </c>
      <c r="I8398">
        <v>9429</v>
      </c>
      <c r="J8398" t="str">
        <f>VLOOKUP(E8398,DSSpieler!A:B,2,FALSE)</f>
        <v>meluana</v>
      </c>
    </row>
    <row r="8399" spans="1:10" x14ac:dyDescent="0.25">
      <c r="A8399">
        <v>9430</v>
      </c>
      <c r="B8399" t="s">
        <v>979</v>
      </c>
      <c r="C8399">
        <v>519</v>
      </c>
      <c r="D8399">
        <v>607</v>
      </c>
      <c r="E8399">
        <v>1577197847</v>
      </c>
      <c r="F8399">
        <v>4545</v>
      </c>
      <c r="G8399">
        <v>0</v>
      </c>
      <c r="H8399" t="s">
        <v>13316</v>
      </c>
      <c r="I8399">
        <v>9430</v>
      </c>
      <c r="J8399" t="str">
        <f>VLOOKUP(E8399,DSSpieler!A:B,2,FALSE)</f>
        <v>Dekk</v>
      </c>
    </row>
    <row r="8400" spans="1:10" x14ac:dyDescent="0.25">
      <c r="A8400">
        <v>9431</v>
      </c>
      <c r="B8400" t="s">
        <v>531</v>
      </c>
      <c r="C8400">
        <v>462</v>
      </c>
      <c r="D8400">
        <v>586</v>
      </c>
      <c r="E8400">
        <v>0</v>
      </c>
      <c r="F8400">
        <v>219</v>
      </c>
      <c r="G8400">
        <v>0</v>
      </c>
      <c r="H8400" t="s">
        <v>13317</v>
      </c>
      <c r="I8400">
        <v>9431</v>
      </c>
      <c r="J8400" t="e">
        <f>VLOOKUP(E8400,DSSpieler!A:B,2,FALSE)</f>
        <v>#N/A</v>
      </c>
    </row>
    <row r="8401" spans="1:10" x14ac:dyDescent="0.25">
      <c r="A8401">
        <v>9432</v>
      </c>
      <c r="B8401" t="s">
        <v>531</v>
      </c>
      <c r="C8401">
        <v>530</v>
      </c>
      <c r="D8401">
        <v>410</v>
      </c>
      <c r="E8401">
        <v>0</v>
      </c>
      <c r="F8401">
        <v>204</v>
      </c>
      <c r="G8401">
        <v>0</v>
      </c>
      <c r="H8401" t="s">
        <v>13318</v>
      </c>
      <c r="I8401">
        <v>9432</v>
      </c>
      <c r="J8401" t="e">
        <f>VLOOKUP(E8401,DSSpieler!A:B,2,FALSE)</f>
        <v>#N/A</v>
      </c>
    </row>
    <row r="8402" spans="1:10" x14ac:dyDescent="0.25">
      <c r="A8402">
        <v>9433</v>
      </c>
      <c r="B8402">
        <v>4</v>
      </c>
      <c r="C8402">
        <v>520</v>
      </c>
      <c r="D8402">
        <v>406</v>
      </c>
      <c r="E8402">
        <v>1577174074</v>
      </c>
      <c r="F8402">
        <v>4115</v>
      </c>
      <c r="G8402">
        <v>0</v>
      </c>
      <c r="H8402" t="s">
        <v>13319</v>
      </c>
      <c r="I8402">
        <v>9433</v>
      </c>
      <c r="J8402" t="str">
        <f>VLOOKUP(E8402,DSSpieler!A:B,2,FALSE)</f>
        <v>Jens123</v>
      </c>
    </row>
    <row r="8403" spans="1:10" x14ac:dyDescent="0.25">
      <c r="A8403">
        <v>9434</v>
      </c>
      <c r="B8403" t="s">
        <v>531</v>
      </c>
      <c r="C8403">
        <v>561</v>
      </c>
      <c r="D8403">
        <v>425</v>
      </c>
      <c r="E8403">
        <v>0</v>
      </c>
      <c r="F8403">
        <v>255</v>
      </c>
      <c r="G8403">
        <v>0</v>
      </c>
      <c r="H8403" t="s">
        <v>13320</v>
      </c>
      <c r="I8403">
        <v>9434</v>
      </c>
      <c r="J8403" t="e">
        <f>VLOOKUP(E8403,DSSpieler!A:B,2,FALSE)</f>
        <v>#N/A</v>
      </c>
    </row>
    <row r="8404" spans="1:10" x14ac:dyDescent="0.25">
      <c r="A8404">
        <v>9435</v>
      </c>
      <c r="B8404" t="s">
        <v>999</v>
      </c>
      <c r="C8404">
        <v>415</v>
      </c>
      <c r="D8404">
        <v>539</v>
      </c>
      <c r="E8404">
        <v>9705555</v>
      </c>
      <c r="F8404">
        <v>5651</v>
      </c>
      <c r="G8404">
        <v>0</v>
      </c>
      <c r="H8404" t="s">
        <v>13321</v>
      </c>
      <c r="I8404">
        <v>9435</v>
      </c>
      <c r="J8404" t="str">
        <f>VLOOKUP(E8404,DSSpieler!A:B,2,FALSE)</f>
        <v>MarcoUndNils</v>
      </c>
    </row>
    <row r="8405" spans="1:10" x14ac:dyDescent="0.25">
      <c r="A8405">
        <v>9436</v>
      </c>
      <c r="B8405" t="s">
        <v>531</v>
      </c>
      <c r="C8405">
        <v>453</v>
      </c>
      <c r="D8405">
        <v>416</v>
      </c>
      <c r="E8405">
        <v>0</v>
      </c>
      <c r="F8405">
        <v>511</v>
      </c>
      <c r="G8405">
        <v>0</v>
      </c>
      <c r="H8405" t="s">
        <v>13322</v>
      </c>
      <c r="I8405">
        <v>9436</v>
      </c>
      <c r="J8405" t="e">
        <f>VLOOKUP(E8405,DSSpieler!A:B,2,FALSE)</f>
        <v>#N/A</v>
      </c>
    </row>
    <row r="8406" spans="1:10" x14ac:dyDescent="0.25">
      <c r="A8406">
        <v>9438</v>
      </c>
      <c r="B8406" t="s">
        <v>531</v>
      </c>
      <c r="C8406">
        <v>404</v>
      </c>
      <c r="D8406">
        <v>492</v>
      </c>
      <c r="E8406">
        <v>0</v>
      </c>
      <c r="F8406">
        <v>162</v>
      </c>
      <c r="G8406">
        <v>0</v>
      </c>
      <c r="H8406" t="s">
        <v>13323</v>
      </c>
      <c r="I8406">
        <v>9438</v>
      </c>
      <c r="J8406" t="e">
        <f>VLOOKUP(E8406,DSSpieler!A:B,2,FALSE)</f>
        <v>#N/A</v>
      </c>
    </row>
    <row r="8407" spans="1:10" x14ac:dyDescent="0.25">
      <c r="A8407">
        <v>9440</v>
      </c>
      <c r="B8407" t="e">
        <f>-3+-+Doso</f>
        <v>#NAME?</v>
      </c>
      <c r="C8407">
        <v>432</v>
      </c>
      <c r="D8407">
        <v>563</v>
      </c>
      <c r="E8407">
        <v>1577188410</v>
      </c>
      <c r="F8407">
        <v>6513</v>
      </c>
      <c r="G8407">
        <v>0</v>
      </c>
      <c r="H8407" t="s">
        <v>13324</v>
      </c>
      <c r="I8407">
        <v>9440</v>
      </c>
      <c r="J8407" t="str">
        <f>VLOOKUP(E8407,DSSpieler!A:B,2,FALSE)</f>
        <v>IKA-HH</v>
      </c>
    </row>
    <row r="8408" spans="1:10" x14ac:dyDescent="0.25">
      <c r="A8408">
        <v>9441</v>
      </c>
      <c r="B8408" t="s">
        <v>33602</v>
      </c>
      <c r="C8408">
        <v>468</v>
      </c>
      <c r="D8408">
        <v>591</v>
      </c>
      <c r="E8408">
        <v>1576181692</v>
      </c>
      <c r="F8408">
        <v>7083</v>
      </c>
      <c r="G8408">
        <v>0</v>
      </c>
      <c r="H8408" t="s">
        <v>13325</v>
      </c>
      <c r="I8408">
        <v>9441</v>
      </c>
      <c r="J8408" t="str">
        <f>VLOOKUP(E8408,DSSpieler!A:B,2,FALSE)</f>
        <v>Branterra der Große</v>
      </c>
    </row>
    <row r="8409" spans="1:10" x14ac:dyDescent="0.25">
      <c r="A8409">
        <v>9442</v>
      </c>
      <c r="B8409" t="s">
        <v>31866</v>
      </c>
      <c r="C8409">
        <v>404</v>
      </c>
      <c r="D8409">
        <v>505</v>
      </c>
      <c r="E8409">
        <v>1576436373</v>
      </c>
      <c r="F8409">
        <v>3819</v>
      </c>
      <c r="G8409">
        <v>0</v>
      </c>
      <c r="H8409" t="s">
        <v>13326</v>
      </c>
      <c r="I8409">
        <v>9442</v>
      </c>
      <c r="J8409" t="str">
        <f>VLOOKUP(E8409,DSSpieler!A:B,2,FALSE)</f>
        <v>Ds-Koryphäe</v>
      </c>
    </row>
    <row r="8410" spans="1:10" x14ac:dyDescent="0.25">
      <c r="A8410">
        <v>9443</v>
      </c>
      <c r="B8410" t="s">
        <v>531</v>
      </c>
      <c r="C8410">
        <v>520</v>
      </c>
      <c r="D8410">
        <v>594</v>
      </c>
      <c r="E8410">
        <v>0</v>
      </c>
      <c r="F8410">
        <v>193</v>
      </c>
      <c r="G8410">
        <v>0</v>
      </c>
      <c r="H8410" t="s">
        <v>13327</v>
      </c>
      <c r="I8410">
        <v>9443</v>
      </c>
      <c r="J8410" t="e">
        <f>VLOOKUP(E8410,DSSpieler!A:B,2,FALSE)</f>
        <v>#N/A</v>
      </c>
    </row>
    <row r="8411" spans="1:10" x14ac:dyDescent="0.25">
      <c r="A8411">
        <v>9444</v>
      </c>
      <c r="B8411" t="s">
        <v>531</v>
      </c>
      <c r="C8411">
        <v>403</v>
      </c>
      <c r="D8411">
        <v>502</v>
      </c>
      <c r="E8411">
        <v>0</v>
      </c>
      <c r="F8411">
        <v>358</v>
      </c>
      <c r="G8411">
        <v>0</v>
      </c>
      <c r="H8411" t="s">
        <v>13328</v>
      </c>
      <c r="I8411">
        <v>9444</v>
      </c>
      <c r="J8411" t="e">
        <f>VLOOKUP(E8411,DSSpieler!A:B,2,FALSE)</f>
        <v>#N/A</v>
      </c>
    </row>
    <row r="8412" spans="1:10" x14ac:dyDescent="0.25">
      <c r="A8412">
        <v>9445</v>
      </c>
      <c r="B8412" t="s">
        <v>33603</v>
      </c>
      <c r="C8412">
        <v>472</v>
      </c>
      <c r="D8412">
        <v>400</v>
      </c>
      <c r="E8412">
        <v>1576012014</v>
      </c>
      <c r="F8412">
        <v>5654</v>
      </c>
      <c r="G8412">
        <v>0</v>
      </c>
      <c r="H8412" t="s">
        <v>13329</v>
      </c>
      <c r="I8412">
        <v>9445</v>
      </c>
      <c r="J8412" t="str">
        <f>VLOOKUP(E8412,DSSpieler!A:B,2,FALSE)</f>
        <v>Windwächter</v>
      </c>
    </row>
    <row r="8413" spans="1:10" x14ac:dyDescent="0.25">
      <c r="A8413">
        <v>9446</v>
      </c>
      <c r="B8413" t="s">
        <v>531</v>
      </c>
      <c r="C8413">
        <v>477</v>
      </c>
      <c r="D8413">
        <v>408</v>
      </c>
      <c r="E8413">
        <v>0</v>
      </c>
      <c r="F8413">
        <v>1156</v>
      </c>
      <c r="G8413">
        <v>0</v>
      </c>
      <c r="H8413" t="s">
        <v>13330</v>
      </c>
      <c r="I8413">
        <v>9446</v>
      </c>
      <c r="J8413" t="e">
        <f>VLOOKUP(E8413,DSSpieler!A:B,2,FALSE)</f>
        <v>#N/A</v>
      </c>
    </row>
    <row r="8414" spans="1:10" x14ac:dyDescent="0.25">
      <c r="A8414">
        <v>9447</v>
      </c>
      <c r="B8414" t="s">
        <v>531</v>
      </c>
      <c r="C8414">
        <v>480</v>
      </c>
      <c r="D8414">
        <v>591</v>
      </c>
      <c r="E8414">
        <v>0</v>
      </c>
      <c r="F8414">
        <v>359</v>
      </c>
      <c r="G8414">
        <v>0</v>
      </c>
      <c r="H8414" t="s">
        <v>13331</v>
      </c>
      <c r="I8414">
        <v>9447</v>
      </c>
      <c r="J8414" t="e">
        <f>VLOOKUP(E8414,DSSpieler!A:B,2,FALSE)</f>
        <v>#N/A</v>
      </c>
    </row>
    <row r="8415" spans="1:10" x14ac:dyDescent="0.25">
      <c r="A8415">
        <v>9449</v>
      </c>
      <c r="B8415" t="s">
        <v>1788</v>
      </c>
      <c r="C8415">
        <v>578</v>
      </c>
      <c r="D8415">
        <v>456</v>
      </c>
      <c r="E8415">
        <v>1577186698</v>
      </c>
      <c r="F8415">
        <v>8246</v>
      </c>
      <c r="G8415">
        <v>0</v>
      </c>
      <c r="H8415" t="s">
        <v>13332</v>
      </c>
      <c r="I8415">
        <v>9449</v>
      </c>
      <c r="J8415" t="str">
        <f>VLOOKUP(E8415,DSSpieler!A:B,2,FALSE)</f>
        <v>anynight</v>
      </c>
    </row>
    <row r="8416" spans="1:10" x14ac:dyDescent="0.25">
      <c r="A8416">
        <v>9450</v>
      </c>
      <c r="B8416" t="s">
        <v>1789</v>
      </c>
      <c r="C8416">
        <v>475</v>
      </c>
      <c r="D8416">
        <v>546</v>
      </c>
      <c r="E8416">
        <v>1577178132</v>
      </c>
      <c r="F8416">
        <v>1469</v>
      </c>
      <c r="G8416">
        <v>0</v>
      </c>
      <c r="H8416" t="s">
        <v>13333</v>
      </c>
      <c r="I8416">
        <v>9450</v>
      </c>
      <c r="J8416" t="str">
        <f>VLOOKUP(E8416,DSSpieler!A:B,2,FALSE)</f>
        <v>Sir Caramba</v>
      </c>
    </row>
    <row r="8417" spans="1:10" x14ac:dyDescent="0.25">
      <c r="A8417">
        <v>9451</v>
      </c>
      <c r="B8417" t="s">
        <v>531</v>
      </c>
      <c r="C8417">
        <v>421</v>
      </c>
      <c r="D8417">
        <v>451</v>
      </c>
      <c r="E8417">
        <v>0</v>
      </c>
      <c r="F8417">
        <v>511</v>
      </c>
      <c r="G8417">
        <v>0</v>
      </c>
      <c r="H8417" t="s">
        <v>13334</v>
      </c>
      <c r="I8417">
        <v>9451</v>
      </c>
      <c r="J8417" t="e">
        <f>VLOOKUP(E8417,DSSpieler!A:B,2,FALSE)</f>
        <v>#N/A</v>
      </c>
    </row>
    <row r="8418" spans="1:10" x14ac:dyDescent="0.25">
      <c r="A8418">
        <v>9452</v>
      </c>
      <c r="B8418" t="s">
        <v>780</v>
      </c>
      <c r="C8418">
        <v>606</v>
      </c>
      <c r="D8418">
        <v>503</v>
      </c>
      <c r="E8418">
        <v>1576021807</v>
      </c>
      <c r="F8418">
        <v>7021</v>
      </c>
      <c r="G8418">
        <v>0</v>
      </c>
      <c r="H8418" t="s">
        <v>13335</v>
      </c>
      <c r="I8418">
        <v>9452</v>
      </c>
      <c r="J8418" t="str">
        <f>VLOOKUP(E8418,DSSpieler!A:B,2,FALSE)</f>
        <v>Luddiwig</v>
      </c>
    </row>
    <row r="8419" spans="1:10" x14ac:dyDescent="0.25">
      <c r="A8419">
        <v>9453</v>
      </c>
      <c r="B8419" t="s">
        <v>1790</v>
      </c>
      <c r="C8419">
        <v>458</v>
      </c>
      <c r="D8419">
        <v>587</v>
      </c>
      <c r="E8419">
        <v>1577027850</v>
      </c>
      <c r="F8419">
        <v>6169</v>
      </c>
      <c r="G8419">
        <v>0</v>
      </c>
      <c r="H8419" t="s">
        <v>13336</v>
      </c>
      <c r="I8419">
        <v>9453</v>
      </c>
      <c r="J8419" t="str">
        <f>VLOOKUP(E8419,DSSpieler!A:B,2,FALSE)</f>
        <v>NikkelangeloHS</v>
      </c>
    </row>
    <row r="8420" spans="1:10" x14ac:dyDescent="0.25">
      <c r="A8420">
        <v>9454</v>
      </c>
      <c r="B8420" t="s">
        <v>33604</v>
      </c>
      <c r="C8420">
        <v>585</v>
      </c>
      <c r="D8420">
        <v>461</v>
      </c>
      <c r="E8420">
        <v>1577187371</v>
      </c>
      <c r="F8420">
        <v>5843</v>
      </c>
      <c r="G8420">
        <v>0</v>
      </c>
      <c r="H8420" t="s">
        <v>13337</v>
      </c>
      <c r="I8420">
        <v>9454</v>
      </c>
      <c r="J8420" t="str">
        <f>VLOOKUP(E8420,DSSpieler!A:B,2,FALSE)</f>
        <v>Der Tempelritter</v>
      </c>
    </row>
    <row r="8421" spans="1:10" x14ac:dyDescent="0.25">
      <c r="A8421">
        <v>9455</v>
      </c>
      <c r="B8421" t="s">
        <v>33605</v>
      </c>
      <c r="C8421">
        <v>405</v>
      </c>
      <c r="D8421">
        <v>498</v>
      </c>
      <c r="E8421">
        <v>2063168</v>
      </c>
      <c r="F8421">
        <v>6180</v>
      </c>
      <c r="G8421">
        <v>0</v>
      </c>
      <c r="H8421" t="s">
        <v>13338</v>
      </c>
      <c r="I8421">
        <v>9455</v>
      </c>
      <c r="J8421" t="str">
        <f>VLOOKUP(E8421,DSSpieler!A:B,2,FALSE)</f>
        <v>TH1985</v>
      </c>
    </row>
    <row r="8422" spans="1:10" x14ac:dyDescent="0.25">
      <c r="A8422">
        <v>9456</v>
      </c>
      <c r="B8422" t="s">
        <v>1791</v>
      </c>
      <c r="C8422">
        <v>444</v>
      </c>
      <c r="D8422">
        <v>541</v>
      </c>
      <c r="E8422">
        <v>2204623</v>
      </c>
      <c r="F8422">
        <v>3447</v>
      </c>
      <c r="G8422">
        <v>0</v>
      </c>
      <c r="H8422" t="s">
        <v>13339</v>
      </c>
      <c r="I8422">
        <v>9456</v>
      </c>
      <c r="J8422" t="str">
        <f>VLOOKUP(E8422,DSSpieler!A:B,2,FALSE)</f>
        <v>h0ly jesiz</v>
      </c>
    </row>
    <row r="8423" spans="1:10" x14ac:dyDescent="0.25">
      <c r="A8423">
        <v>9457</v>
      </c>
      <c r="B8423" t="s">
        <v>33606</v>
      </c>
      <c r="C8423">
        <v>406</v>
      </c>
      <c r="D8423">
        <v>513</v>
      </c>
      <c r="E8423">
        <v>1577198028</v>
      </c>
      <c r="F8423">
        <v>623</v>
      </c>
      <c r="G8423">
        <v>0</v>
      </c>
      <c r="H8423" t="s">
        <v>13340</v>
      </c>
      <c r="I8423">
        <v>9457</v>
      </c>
      <c r="J8423" t="str">
        <f>VLOOKUP(E8423,DSSpieler!A:B,2,FALSE)</f>
        <v>Sleepy Joe</v>
      </c>
    </row>
    <row r="8424" spans="1:10" x14ac:dyDescent="0.25">
      <c r="A8424">
        <v>9458</v>
      </c>
      <c r="B8424" t="s">
        <v>1792</v>
      </c>
      <c r="C8424">
        <v>468</v>
      </c>
      <c r="D8424">
        <v>559</v>
      </c>
      <c r="E8424">
        <v>9764565</v>
      </c>
      <c r="F8424">
        <v>5732</v>
      </c>
      <c r="G8424">
        <v>0</v>
      </c>
      <c r="H8424" t="s">
        <v>13341</v>
      </c>
      <c r="I8424">
        <v>9458</v>
      </c>
      <c r="J8424" t="str">
        <f>VLOOKUP(E8424,DSSpieler!A:B,2,FALSE)</f>
        <v>Capt.Bizeps</v>
      </c>
    </row>
    <row r="8425" spans="1:10" x14ac:dyDescent="0.25">
      <c r="A8425">
        <v>9459</v>
      </c>
      <c r="B8425" t="s">
        <v>531</v>
      </c>
      <c r="C8425">
        <v>469</v>
      </c>
      <c r="D8425">
        <v>420</v>
      </c>
      <c r="E8425">
        <v>0</v>
      </c>
      <c r="F8425">
        <v>338</v>
      </c>
      <c r="G8425">
        <v>0</v>
      </c>
      <c r="H8425" t="s">
        <v>13342</v>
      </c>
      <c r="I8425">
        <v>9459</v>
      </c>
      <c r="J8425" t="e">
        <f>VLOOKUP(E8425,DSSpieler!A:B,2,FALSE)</f>
        <v>#N/A</v>
      </c>
    </row>
    <row r="8426" spans="1:10" x14ac:dyDescent="0.25">
      <c r="A8426">
        <v>9460</v>
      </c>
      <c r="B8426">
        <v>3</v>
      </c>
      <c r="C8426">
        <v>420</v>
      </c>
      <c r="D8426">
        <v>544</v>
      </c>
      <c r="E8426">
        <v>1576517505</v>
      </c>
      <c r="F8426">
        <v>5921</v>
      </c>
      <c r="G8426">
        <v>0</v>
      </c>
      <c r="H8426" t="s">
        <v>13343</v>
      </c>
      <c r="I8426">
        <v>9460</v>
      </c>
      <c r="J8426" t="str">
        <f>VLOOKUP(E8426,DSSpieler!A:B,2,FALSE)</f>
        <v>.g0dlike</v>
      </c>
    </row>
    <row r="8427" spans="1:10" x14ac:dyDescent="0.25">
      <c r="A8427">
        <v>9461</v>
      </c>
      <c r="B8427" t="s">
        <v>531</v>
      </c>
      <c r="C8427">
        <v>399</v>
      </c>
      <c r="D8427">
        <v>531</v>
      </c>
      <c r="E8427">
        <v>0</v>
      </c>
      <c r="F8427">
        <v>582</v>
      </c>
      <c r="G8427">
        <v>0</v>
      </c>
      <c r="H8427" t="s">
        <v>13344</v>
      </c>
      <c r="I8427">
        <v>9461</v>
      </c>
      <c r="J8427" t="e">
        <f>VLOOKUP(E8427,DSSpieler!A:B,2,FALSE)</f>
        <v>#N/A</v>
      </c>
    </row>
    <row r="8428" spans="1:10" x14ac:dyDescent="0.25">
      <c r="A8428">
        <v>9462</v>
      </c>
      <c r="B8428" t="s">
        <v>33607</v>
      </c>
      <c r="C8428">
        <v>497</v>
      </c>
      <c r="D8428">
        <v>515</v>
      </c>
      <c r="E8428">
        <v>1576663664</v>
      </c>
      <c r="F8428">
        <v>5613</v>
      </c>
      <c r="G8428">
        <v>0</v>
      </c>
      <c r="H8428" t="s">
        <v>13345</v>
      </c>
      <c r="I8428">
        <v>9462</v>
      </c>
      <c r="J8428" t="str">
        <f>VLOOKUP(E8428,DSSpieler!A:B,2,FALSE)</f>
        <v>gyoparlol</v>
      </c>
    </row>
    <row r="8429" spans="1:10" x14ac:dyDescent="0.25">
      <c r="A8429">
        <v>9463</v>
      </c>
      <c r="B8429" t="s">
        <v>531</v>
      </c>
      <c r="C8429">
        <v>477</v>
      </c>
      <c r="D8429">
        <v>592</v>
      </c>
      <c r="E8429">
        <v>0</v>
      </c>
      <c r="F8429">
        <v>371</v>
      </c>
      <c r="G8429">
        <v>0</v>
      </c>
      <c r="H8429" t="s">
        <v>13346</v>
      </c>
      <c r="I8429">
        <v>9463</v>
      </c>
      <c r="J8429" t="e">
        <f>VLOOKUP(E8429,DSSpieler!A:B,2,FALSE)</f>
        <v>#N/A</v>
      </c>
    </row>
    <row r="8430" spans="1:10" x14ac:dyDescent="0.25">
      <c r="A8430">
        <v>9464</v>
      </c>
      <c r="B8430" t="s">
        <v>1793</v>
      </c>
      <c r="C8430">
        <v>400</v>
      </c>
      <c r="D8430">
        <v>486</v>
      </c>
      <c r="E8430">
        <v>1577189104</v>
      </c>
      <c r="F8430">
        <v>5944</v>
      </c>
      <c r="G8430">
        <v>0</v>
      </c>
      <c r="H8430" t="s">
        <v>442</v>
      </c>
      <c r="I8430">
        <v>9464</v>
      </c>
      <c r="J8430" t="str">
        <f>VLOOKUP(E8430,DSSpieler!A:B,2,FALSE)</f>
        <v>claudioitalia</v>
      </c>
    </row>
    <row r="8431" spans="1:10" x14ac:dyDescent="0.25">
      <c r="A8431">
        <v>9466</v>
      </c>
      <c r="B8431" t="s">
        <v>979</v>
      </c>
      <c r="C8431">
        <v>516</v>
      </c>
      <c r="D8431">
        <v>600</v>
      </c>
      <c r="E8431">
        <v>2660493</v>
      </c>
      <c r="F8431">
        <v>6765</v>
      </c>
      <c r="G8431">
        <v>0</v>
      </c>
      <c r="H8431" t="s">
        <v>13347</v>
      </c>
      <c r="I8431">
        <v>9466</v>
      </c>
      <c r="J8431" t="str">
        <f>VLOOKUP(E8431,DSSpieler!A:B,2,FALSE)</f>
        <v>homer 681</v>
      </c>
    </row>
    <row r="8432" spans="1:10" x14ac:dyDescent="0.25">
      <c r="A8432">
        <v>9467</v>
      </c>
      <c r="B8432" t="s">
        <v>1794</v>
      </c>
      <c r="C8432">
        <v>478</v>
      </c>
      <c r="D8432">
        <v>398</v>
      </c>
      <c r="E8432">
        <v>1577165977</v>
      </c>
      <c r="F8432">
        <v>7349</v>
      </c>
      <c r="G8432">
        <v>0</v>
      </c>
      <c r="H8432" t="s">
        <v>13348</v>
      </c>
      <c r="I8432">
        <v>9467</v>
      </c>
      <c r="J8432" t="str">
        <f>VLOOKUP(E8432,DSSpieler!A:B,2,FALSE)</f>
        <v>Timmsi</v>
      </c>
    </row>
    <row r="8433" spans="1:10" x14ac:dyDescent="0.25">
      <c r="A8433">
        <v>9468</v>
      </c>
      <c r="B8433" t="s">
        <v>531</v>
      </c>
      <c r="C8433">
        <v>418</v>
      </c>
      <c r="D8433">
        <v>449</v>
      </c>
      <c r="E8433">
        <v>0</v>
      </c>
      <c r="F8433">
        <v>559</v>
      </c>
      <c r="G8433">
        <v>0</v>
      </c>
      <c r="H8433" t="s">
        <v>13349</v>
      </c>
      <c r="I8433">
        <v>9468</v>
      </c>
      <c r="J8433" t="e">
        <f>VLOOKUP(E8433,DSSpieler!A:B,2,FALSE)</f>
        <v>#N/A</v>
      </c>
    </row>
    <row r="8434" spans="1:10" x14ac:dyDescent="0.25">
      <c r="A8434">
        <v>9469</v>
      </c>
      <c r="B8434" t="s">
        <v>531</v>
      </c>
      <c r="C8434">
        <v>547</v>
      </c>
      <c r="D8434">
        <v>418</v>
      </c>
      <c r="E8434">
        <v>0</v>
      </c>
      <c r="F8434">
        <v>248</v>
      </c>
      <c r="G8434">
        <v>0</v>
      </c>
      <c r="H8434" t="s">
        <v>13350</v>
      </c>
      <c r="I8434">
        <v>9469</v>
      </c>
      <c r="J8434" t="e">
        <f>VLOOKUP(E8434,DSSpieler!A:B,2,FALSE)</f>
        <v>#N/A</v>
      </c>
    </row>
    <row r="8435" spans="1:10" x14ac:dyDescent="0.25">
      <c r="A8435">
        <v>9470</v>
      </c>
      <c r="B8435" t="s">
        <v>979</v>
      </c>
      <c r="C8435">
        <v>511</v>
      </c>
      <c r="D8435">
        <v>593</v>
      </c>
      <c r="E8435">
        <v>9589757</v>
      </c>
      <c r="F8435">
        <v>5900</v>
      </c>
      <c r="G8435">
        <v>0</v>
      </c>
      <c r="H8435" t="s">
        <v>13351</v>
      </c>
      <c r="I8435">
        <v>9470</v>
      </c>
      <c r="J8435" t="str">
        <f>VLOOKUP(E8435,DSSpieler!A:B,2,FALSE)</f>
        <v>Bluddeux</v>
      </c>
    </row>
    <row r="8436" spans="1:10" x14ac:dyDescent="0.25">
      <c r="A8436">
        <v>9471</v>
      </c>
      <c r="B8436" t="s">
        <v>531</v>
      </c>
      <c r="C8436">
        <v>504</v>
      </c>
      <c r="D8436">
        <v>498</v>
      </c>
      <c r="E8436">
        <v>0</v>
      </c>
      <c r="F8436">
        <v>215</v>
      </c>
      <c r="G8436">
        <v>0</v>
      </c>
      <c r="H8436" t="s">
        <v>13352</v>
      </c>
      <c r="I8436">
        <v>9471</v>
      </c>
      <c r="J8436" t="e">
        <f>VLOOKUP(E8436,DSSpieler!A:B,2,FALSE)</f>
        <v>#N/A</v>
      </c>
    </row>
    <row r="8437" spans="1:10" x14ac:dyDescent="0.25">
      <c r="A8437">
        <v>9472</v>
      </c>
      <c r="B8437" t="s">
        <v>33608</v>
      </c>
      <c r="C8437">
        <v>569</v>
      </c>
      <c r="D8437">
        <v>436</v>
      </c>
      <c r="E8437">
        <v>1575897680</v>
      </c>
      <c r="F8437">
        <v>6487</v>
      </c>
      <c r="G8437">
        <v>0</v>
      </c>
      <c r="H8437" t="s">
        <v>13353</v>
      </c>
      <c r="I8437">
        <v>9472</v>
      </c>
      <c r="J8437" t="str">
        <f>VLOOKUP(E8437,DSSpieler!A:B,2,FALSE)</f>
        <v>comcon1710</v>
      </c>
    </row>
    <row r="8438" spans="1:10" x14ac:dyDescent="0.25">
      <c r="A8438">
        <v>9474</v>
      </c>
      <c r="B8438" t="s">
        <v>728</v>
      </c>
      <c r="C8438">
        <v>578</v>
      </c>
      <c r="D8438">
        <v>451</v>
      </c>
      <c r="E8438">
        <v>1577121578</v>
      </c>
      <c r="F8438">
        <v>6929</v>
      </c>
      <c r="G8438">
        <v>0</v>
      </c>
      <c r="H8438" t="s">
        <v>13354</v>
      </c>
      <c r="I8438">
        <v>9474</v>
      </c>
      <c r="J8438" t="str">
        <f>VLOOKUP(E8438,DSSpieler!A:B,2,FALSE)</f>
        <v>PARAsympathikus</v>
      </c>
    </row>
    <row r="8439" spans="1:10" x14ac:dyDescent="0.25">
      <c r="A8439">
        <v>9475</v>
      </c>
      <c r="B8439" t="s">
        <v>531</v>
      </c>
      <c r="C8439">
        <v>596</v>
      </c>
      <c r="D8439">
        <v>489</v>
      </c>
      <c r="E8439">
        <v>0</v>
      </c>
      <c r="F8439">
        <v>477</v>
      </c>
      <c r="G8439">
        <v>0</v>
      </c>
      <c r="H8439" t="s">
        <v>13355</v>
      </c>
      <c r="I8439">
        <v>9475</v>
      </c>
      <c r="J8439" t="e">
        <f>VLOOKUP(E8439,DSSpieler!A:B,2,FALSE)</f>
        <v>#N/A</v>
      </c>
    </row>
    <row r="8440" spans="1:10" x14ac:dyDescent="0.25">
      <c r="A8440">
        <v>9476</v>
      </c>
      <c r="B8440" t="s">
        <v>1795</v>
      </c>
      <c r="C8440">
        <v>595</v>
      </c>
      <c r="D8440">
        <v>489</v>
      </c>
      <c r="E8440">
        <v>1577197351</v>
      </c>
      <c r="F8440">
        <v>5451</v>
      </c>
      <c r="G8440">
        <v>0</v>
      </c>
      <c r="H8440" t="s">
        <v>13356</v>
      </c>
      <c r="I8440">
        <v>9476</v>
      </c>
      <c r="J8440" t="str">
        <f>VLOOKUP(E8440,DSSpieler!A:B,2,FALSE)</f>
        <v>halllloooo</v>
      </c>
    </row>
    <row r="8441" spans="1:10" x14ac:dyDescent="0.25">
      <c r="A8441">
        <v>9477</v>
      </c>
      <c r="B8441" t="s">
        <v>33609</v>
      </c>
      <c r="C8441">
        <v>462</v>
      </c>
      <c r="D8441">
        <v>589</v>
      </c>
      <c r="E8441">
        <v>1576980922</v>
      </c>
      <c r="F8441">
        <v>5445</v>
      </c>
      <c r="G8441">
        <v>0</v>
      </c>
      <c r="H8441" t="s">
        <v>13357</v>
      </c>
      <c r="I8441">
        <v>9477</v>
      </c>
      <c r="J8441" t="str">
        <f>VLOOKUP(E8441,DSSpieler!A:B,2,FALSE)</f>
        <v>darkvieri</v>
      </c>
    </row>
    <row r="8442" spans="1:10" x14ac:dyDescent="0.25">
      <c r="A8442">
        <v>9478</v>
      </c>
      <c r="B8442" t="s">
        <v>1796</v>
      </c>
      <c r="C8442">
        <v>561</v>
      </c>
      <c r="D8442">
        <v>428</v>
      </c>
      <c r="E8442">
        <v>1577185828</v>
      </c>
      <c r="F8442">
        <v>730</v>
      </c>
      <c r="G8442">
        <v>0</v>
      </c>
      <c r="H8442" t="s">
        <v>13358</v>
      </c>
      <c r="I8442">
        <v>9478</v>
      </c>
      <c r="J8442" t="str">
        <f>VLOOKUP(E8442,DSSpieler!A:B,2,FALSE)</f>
        <v>fex18</v>
      </c>
    </row>
    <row r="8443" spans="1:10" x14ac:dyDescent="0.25">
      <c r="A8443">
        <v>9479</v>
      </c>
      <c r="B8443" t="s">
        <v>1797</v>
      </c>
      <c r="C8443">
        <v>596</v>
      </c>
      <c r="D8443">
        <v>537</v>
      </c>
      <c r="E8443">
        <v>8887108</v>
      </c>
      <c r="F8443">
        <v>4230</v>
      </c>
      <c r="G8443">
        <v>0</v>
      </c>
      <c r="H8443" t="s">
        <v>13359</v>
      </c>
      <c r="I8443">
        <v>9479</v>
      </c>
      <c r="J8443" t="str">
        <f>VLOOKUP(E8443,DSSpieler!A:B,2,FALSE)</f>
        <v>Ritter des Rosts</v>
      </c>
    </row>
    <row r="8444" spans="1:10" x14ac:dyDescent="0.25">
      <c r="A8444">
        <v>9480</v>
      </c>
      <c r="B8444" t="s">
        <v>531</v>
      </c>
      <c r="C8444">
        <v>460</v>
      </c>
      <c r="D8444">
        <v>586</v>
      </c>
      <c r="E8444">
        <v>0</v>
      </c>
      <c r="F8444">
        <v>139</v>
      </c>
      <c r="G8444">
        <v>0</v>
      </c>
      <c r="H8444" t="s">
        <v>13360</v>
      </c>
      <c r="I8444">
        <v>9480</v>
      </c>
      <c r="J8444" t="e">
        <f>VLOOKUP(E8444,DSSpieler!A:B,2,FALSE)</f>
        <v>#N/A</v>
      </c>
    </row>
    <row r="8445" spans="1:10" x14ac:dyDescent="0.25">
      <c r="A8445">
        <v>9481</v>
      </c>
      <c r="B8445" t="s">
        <v>531</v>
      </c>
      <c r="C8445">
        <v>406</v>
      </c>
      <c r="D8445">
        <v>502</v>
      </c>
      <c r="E8445">
        <v>0</v>
      </c>
      <c r="F8445">
        <v>217</v>
      </c>
      <c r="G8445">
        <v>0</v>
      </c>
      <c r="H8445" t="s">
        <v>13361</v>
      </c>
      <c r="I8445">
        <v>9481</v>
      </c>
      <c r="J8445" t="e">
        <f>VLOOKUP(E8445,DSSpieler!A:B,2,FALSE)</f>
        <v>#N/A</v>
      </c>
    </row>
    <row r="8446" spans="1:10" x14ac:dyDescent="0.25">
      <c r="A8446">
        <v>9482</v>
      </c>
      <c r="B8446" t="s">
        <v>531</v>
      </c>
      <c r="C8446">
        <v>564</v>
      </c>
      <c r="D8446">
        <v>571</v>
      </c>
      <c r="E8446">
        <v>0</v>
      </c>
      <c r="F8446">
        <v>159</v>
      </c>
      <c r="G8446">
        <v>0</v>
      </c>
      <c r="H8446" t="s">
        <v>13362</v>
      </c>
      <c r="I8446">
        <v>9482</v>
      </c>
      <c r="J8446" t="e">
        <f>VLOOKUP(E8446,DSSpieler!A:B,2,FALSE)</f>
        <v>#N/A</v>
      </c>
    </row>
    <row r="8447" spans="1:10" x14ac:dyDescent="0.25">
      <c r="A8447">
        <v>9483</v>
      </c>
      <c r="B8447" t="s">
        <v>33610</v>
      </c>
      <c r="C8447">
        <v>525</v>
      </c>
      <c r="D8447">
        <v>591</v>
      </c>
      <c r="E8447">
        <v>8847890</v>
      </c>
      <c r="F8447">
        <v>1246</v>
      </c>
      <c r="G8447">
        <v>0</v>
      </c>
      <c r="H8447" t="s">
        <v>13363</v>
      </c>
      <c r="I8447">
        <v>9483</v>
      </c>
      <c r="J8447" t="str">
        <f>VLOOKUP(E8447,DSSpieler!A:B,2,FALSE)</f>
        <v>servus123456</v>
      </c>
    </row>
    <row r="8448" spans="1:10" x14ac:dyDescent="0.25">
      <c r="A8448">
        <v>9484</v>
      </c>
      <c r="B8448" t="s">
        <v>33611</v>
      </c>
      <c r="C8448">
        <v>481</v>
      </c>
      <c r="D8448">
        <v>594</v>
      </c>
      <c r="E8448">
        <v>1577153052</v>
      </c>
      <c r="F8448">
        <v>7579</v>
      </c>
      <c r="G8448">
        <v>0</v>
      </c>
      <c r="H8448" t="s">
        <v>13364</v>
      </c>
      <c r="I8448">
        <v>9484</v>
      </c>
      <c r="J8448" t="str">
        <f>VLOOKUP(E8448,DSSpieler!A:B,2,FALSE)</f>
        <v>Schatten99</v>
      </c>
    </row>
    <row r="8449" spans="1:10" x14ac:dyDescent="0.25">
      <c r="A8449">
        <v>9485</v>
      </c>
      <c r="B8449">
        <v>5</v>
      </c>
      <c r="C8449">
        <v>424</v>
      </c>
      <c r="D8449">
        <v>558</v>
      </c>
      <c r="E8449">
        <v>1576972309</v>
      </c>
      <c r="F8449">
        <v>5927</v>
      </c>
      <c r="G8449">
        <v>0</v>
      </c>
      <c r="H8449" t="s">
        <v>13365</v>
      </c>
      <c r="I8449">
        <v>9485</v>
      </c>
      <c r="J8449" t="str">
        <f>VLOOKUP(E8449,DSSpieler!A:B,2,FALSE)</f>
        <v>xsyx</v>
      </c>
    </row>
    <row r="8450" spans="1:10" x14ac:dyDescent="0.25">
      <c r="A8450">
        <v>9486</v>
      </c>
      <c r="B8450" t="s">
        <v>33612</v>
      </c>
      <c r="C8450">
        <v>579</v>
      </c>
      <c r="D8450">
        <v>446</v>
      </c>
      <c r="E8450">
        <v>1577085984</v>
      </c>
      <c r="F8450">
        <v>3787</v>
      </c>
      <c r="G8450">
        <v>0</v>
      </c>
      <c r="H8450" t="s">
        <v>13366</v>
      </c>
      <c r="I8450">
        <v>9486</v>
      </c>
      <c r="J8450" t="str">
        <f>VLOOKUP(E8450,DSSpieler!A:B,2,FALSE)</f>
        <v>Aust3r</v>
      </c>
    </row>
    <row r="8451" spans="1:10" x14ac:dyDescent="0.25">
      <c r="A8451">
        <v>9487</v>
      </c>
      <c r="B8451" t="s">
        <v>33613</v>
      </c>
      <c r="C8451">
        <v>458</v>
      </c>
      <c r="D8451">
        <v>407</v>
      </c>
      <c r="E8451">
        <v>1577182814</v>
      </c>
      <c r="F8451">
        <v>2513</v>
      </c>
      <c r="G8451">
        <v>0</v>
      </c>
      <c r="H8451" t="s">
        <v>13367</v>
      </c>
      <c r="I8451">
        <v>9487</v>
      </c>
      <c r="J8451" t="str">
        <f>VLOOKUP(E8451,DSSpieler!A:B,2,FALSE)</f>
        <v>EggeHeiza</v>
      </c>
    </row>
    <row r="8452" spans="1:10" x14ac:dyDescent="0.25">
      <c r="A8452">
        <v>9489</v>
      </c>
      <c r="B8452" t="s">
        <v>531</v>
      </c>
      <c r="C8452">
        <v>577</v>
      </c>
      <c r="D8452">
        <v>555</v>
      </c>
      <c r="E8452">
        <v>1577188785</v>
      </c>
      <c r="F8452">
        <v>2398</v>
      </c>
      <c r="G8452">
        <v>0</v>
      </c>
      <c r="H8452" t="s">
        <v>13368</v>
      </c>
      <c r="I8452">
        <v>9489</v>
      </c>
      <c r="J8452" t="str">
        <f>VLOOKUP(E8452,DSSpieler!A:B,2,FALSE)</f>
        <v>Russ198801</v>
      </c>
    </row>
    <row r="8453" spans="1:10" x14ac:dyDescent="0.25">
      <c r="A8453">
        <v>9490</v>
      </c>
      <c r="B8453" t="s">
        <v>531</v>
      </c>
      <c r="C8453">
        <v>531</v>
      </c>
      <c r="D8453">
        <v>592</v>
      </c>
      <c r="E8453">
        <v>0</v>
      </c>
      <c r="F8453">
        <v>293</v>
      </c>
      <c r="G8453">
        <v>0</v>
      </c>
      <c r="H8453" t="s">
        <v>13369</v>
      </c>
      <c r="I8453">
        <v>9490</v>
      </c>
      <c r="J8453" t="e">
        <f>VLOOKUP(E8453,DSSpieler!A:B,2,FALSE)</f>
        <v>#N/A</v>
      </c>
    </row>
    <row r="8454" spans="1:10" x14ac:dyDescent="0.25">
      <c r="A8454">
        <v>9491</v>
      </c>
      <c r="B8454" t="s">
        <v>673</v>
      </c>
      <c r="C8454">
        <v>448</v>
      </c>
      <c r="D8454">
        <v>413</v>
      </c>
      <c r="E8454">
        <v>1576671087</v>
      </c>
      <c r="F8454">
        <v>3906</v>
      </c>
      <c r="G8454">
        <v>0</v>
      </c>
      <c r="H8454" t="s">
        <v>13370</v>
      </c>
      <c r="I8454">
        <v>9491</v>
      </c>
      <c r="J8454" t="str">
        <f>VLOOKUP(E8454,DSSpieler!A:B,2,FALSE)</f>
        <v>Knallhart</v>
      </c>
    </row>
    <row r="8455" spans="1:10" x14ac:dyDescent="0.25">
      <c r="A8455">
        <v>9492</v>
      </c>
      <c r="B8455" t="s">
        <v>531</v>
      </c>
      <c r="C8455">
        <v>541</v>
      </c>
      <c r="D8455">
        <v>587</v>
      </c>
      <c r="E8455">
        <v>0</v>
      </c>
      <c r="F8455">
        <v>1386</v>
      </c>
      <c r="G8455">
        <v>0</v>
      </c>
      <c r="H8455" t="s">
        <v>13371</v>
      </c>
      <c r="I8455">
        <v>9492</v>
      </c>
      <c r="J8455" t="e">
        <f>VLOOKUP(E8455,DSSpieler!A:B,2,FALSE)</f>
        <v>#N/A</v>
      </c>
    </row>
    <row r="8456" spans="1:10" x14ac:dyDescent="0.25">
      <c r="A8456">
        <v>9493</v>
      </c>
      <c r="B8456" t="s">
        <v>33463</v>
      </c>
      <c r="C8456">
        <v>443</v>
      </c>
      <c r="D8456">
        <v>446</v>
      </c>
      <c r="E8456">
        <v>9990099</v>
      </c>
      <c r="F8456">
        <v>8433</v>
      </c>
      <c r="G8456">
        <v>0</v>
      </c>
      <c r="H8456" t="s">
        <v>13372</v>
      </c>
      <c r="I8456">
        <v>9493</v>
      </c>
      <c r="J8456" t="str">
        <f>VLOOKUP(E8456,DSSpieler!A:B,2,FALSE)</f>
        <v>hijos de la luna</v>
      </c>
    </row>
    <row r="8457" spans="1:10" x14ac:dyDescent="0.25">
      <c r="A8457">
        <v>9494</v>
      </c>
      <c r="B8457" t="s">
        <v>531</v>
      </c>
      <c r="C8457">
        <v>529</v>
      </c>
      <c r="D8457">
        <v>584</v>
      </c>
      <c r="E8457">
        <v>0</v>
      </c>
      <c r="F8457">
        <v>607</v>
      </c>
      <c r="G8457">
        <v>0</v>
      </c>
      <c r="H8457" t="s">
        <v>13373</v>
      </c>
      <c r="I8457">
        <v>9494</v>
      </c>
      <c r="J8457" t="e">
        <f>VLOOKUP(E8457,DSSpieler!A:B,2,FALSE)</f>
        <v>#N/A</v>
      </c>
    </row>
    <row r="8458" spans="1:10" x14ac:dyDescent="0.25">
      <c r="A8458">
        <v>9495</v>
      </c>
      <c r="B8458">
        <v>1</v>
      </c>
      <c r="C8458">
        <v>484</v>
      </c>
      <c r="D8458">
        <v>406</v>
      </c>
      <c r="E8458">
        <v>1577069780</v>
      </c>
      <c r="F8458">
        <v>6677</v>
      </c>
      <c r="G8458">
        <v>0</v>
      </c>
      <c r="H8458" t="s">
        <v>13374</v>
      </c>
      <c r="I8458">
        <v>9495</v>
      </c>
      <c r="J8458" t="str">
        <f>VLOOKUP(E8458,DSSpieler!A:B,2,FALSE)</f>
        <v>46erOberweite</v>
      </c>
    </row>
    <row r="8459" spans="1:10" x14ac:dyDescent="0.25">
      <c r="A8459">
        <v>9496</v>
      </c>
      <c r="B8459" t="s">
        <v>531</v>
      </c>
      <c r="C8459">
        <v>585</v>
      </c>
      <c r="D8459">
        <v>453</v>
      </c>
      <c r="E8459">
        <v>0</v>
      </c>
      <c r="F8459">
        <v>325</v>
      </c>
      <c r="G8459">
        <v>0</v>
      </c>
      <c r="H8459" t="s">
        <v>13375</v>
      </c>
      <c r="I8459">
        <v>9496</v>
      </c>
      <c r="J8459" t="e">
        <f>VLOOKUP(E8459,DSSpieler!A:B,2,FALSE)</f>
        <v>#N/A</v>
      </c>
    </row>
    <row r="8460" spans="1:10" x14ac:dyDescent="0.25">
      <c r="A8460">
        <v>9497</v>
      </c>
      <c r="B8460">
        <v>4</v>
      </c>
      <c r="C8460">
        <v>425</v>
      </c>
      <c r="D8460">
        <v>559</v>
      </c>
      <c r="E8460">
        <v>1576972309</v>
      </c>
      <c r="F8460">
        <v>5368</v>
      </c>
      <c r="G8460">
        <v>0</v>
      </c>
      <c r="H8460" t="s">
        <v>13376</v>
      </c>
      <c r="I8460">
        <v>9497</v>
      </c>
      <c r="J8460" t="str">
        <f>VLOOKUP(E8460,DSSpieler!A:B,2,FALSE)</f>
        <v>xsyx</v>
      </c>
    </row>
    <row r="8461" spans="1:10" x14ac:dyDescent="0.25">
      <c r="A8461">
        <v>9498</v>
      </c>
      <c r="B8461" t="s">
        <v>531</v>
      </c>
      <c r="C8461">
        <v>544</v>
      </c>
      <c r="D8461">
        <v>582</v>
      </c>
      <c r="E8461">
        <v>0</v>
      </c>
      <c r="F8461">
        <v>837</v>
      </c>
      <c r="G8461">
        <v>0</v>
      </c>
      <c r="H8461" t="s">
        <v>13377</v>
      </c>
      <c r="I8461">
        <v>9498</v>
      </c>
      <c r="J8461" t="e">
        <f>VLOOKUP(E8461,DSSpieler!A:B,2,FALSE)</f>
        <v>#N/A</v>
      </c>
    </row>
    <row r="8462" spans="1:10" x14ac:dyDescent="0.25">
      <c r="A8462">
        <v>9499</v>
      </c>
      <c r="B8462" t="s">
        <v>33614</v>
      </c>
      <c r="C8462">
        <v>581</v>
      </c>
      <c r="D8462">
        <v>450</v>
      </c>
      <c r="E8462">
        <v>1577189770</v>
      </c>
      <c r="F8462">
        <v>7475</v>
      </c>
      <c r="G8462">
        <v>0</v>
      </c>
      <c r="H8462" t="s">
        <v>13378</v>
      </c>
      <c r="I8462">
        <v>9499</v>
      </c>
      <c r="J8462" t="str">
        <f>VLOOKUP(E8462,DSSpieler!A:B,2,FALSE)</f>
        <v>lordina</v>
      </c>
    </row>
    <row r="8463" spans="1:10" x14ac:dyDescent="0.25">
      <c r="A8463">
        <v>9500</v>
      </c>
      <c r="B8463" t="s">
        <v>33615</v>
      </c>
      <c r="C8463">
        <v>582</v>
      </c>
      <c r="D8463">
        <v>547</v>
      </c>
      <c r="E8463">
        <v>1576934917</v>
      </c>
      <c r="F8463">
        <v>7501</v>
      </c>
      <c r="G8463">
        <v>0</v>
      </c>
      <c r="H8463" t="s">
        <v>13379</v>
      </c>
      <c r="I8463">
        <v>9500</v>
      </c>
      <c r="J8463" t="str">
        <f>VLOOKUP(E8463,DSSpieler!A:B,2,FALSE)</f>
        <v>dreamer187</v>
      </c>
    </row>
    <row r="8464" spans="1:10" x14ac:dyDescent="0.25">
      <c r="A8464">
        <v>9501</v>
      </c>
      <c r="B8464" t="s">
        <v>33616</v>
      </c>
      <c r="C8464">
        <v>443</v>
      </c>
      <c r="D8464">
        <v>587</v>
      </c>
      <c r="E8464">
        <v>1577198963</v>
      </c>
      <c r="F8464">
        <v>4298</v>
      </c>
      <c r="G8464">
        <v>0</v>
      </c>
      <c r="H8464" t="s">
        <v>13380</v>
      </c>
      <c r="I8464">
        <v>9501</v>
      </c>
      <c r="J8464" t="str">
        <f>VLOOKUP(E8464,DSSpieler!A:B,2,FALSE)</f>
        <v>Lord VokuFarm</v>
      </c>
    </row>
    <row r="8465" spans="1:10" x14ac:dyDescent="0.25">
      <c r="A8465">
        <v>9502</v>
      </c>
      <c r="B8465" t="s">
        <v>531</v>
      </c>
      <c r="C8465">
        <v>530</v>
      </c>
      <c r="D8465">
        <v>590</v>
      </c>
      <c r="E8465">
        <v>0</v>
      </c>
      <c r="F8465">
        <v>661</v>
      </c>
      <c r="G8465">
        <v>0</v>
      </c>
      <c r="H8465" t="s">
        <v>13381</v>
      </c>
      <c r="I8465">
        <v>9502</v>
      </c>
      <c r="J8465" t="e">
        <f>VLOOKUP(E8465,DSSpieler!A:B,2,FALSE)</f>
        <v>#N/A</v>
      </c>
    </row>
    <row r="8466" spans="1:10" x14ac:dyDescent="0.25">
      <c r="A8466">
        <v>9503</v>
      </c>
      <c r="B8466">
        <v>1</v>
      </c>
      <c r="C8466">
        <v>514</v>
      </c>
      <c r="D8466">
        <v>409</v>
      </c>
      <c r="E8466">
        <v>9779158</v>
      </c>
      <c r="F8466">
        <v>5591</v>
      </c>
      <c r="G8466">
        <v>0</v>
      </c>
      <c r="H8466" t="s">
        <v>13382</v>
      </c>
      <c r="I8466">
        <v>9503</v>
      </c>
      <c r="J8466" t="str">
        <f>VLOOKUP(E8466,DSSpieler!A:B,2,FALSE)</f>
        <v>HeTrOGraDe</v>
      </c>
    </row>
    <row r="8467" spans="1:10" x14ac:dyDescent="0.25">
      <c r="A8467">
        <v>9504</v>
      </c>
      <c r="B8467" t="s">
        <v>33617</v>
      </c>
      <c r="C8467">
        <v>430</v>
      </c>
      <c r="D8467">
        <v>417</v>
      </c>
      <c r="E8467">
        <v>7806902</v>
      </c>
      <c r="F8467">
        <v>5582</v>
      </c>
      <c r="G8467">
        <v>0</v>
      </c>
      <c r="H8467" t="s">
        <v>13383</v>
      </c>
      <c r="I8467">
        <v>9504</v>
      </c>
      <c r="J8467" t="str">
        <f>VLOOKUP(E8467,DSSpieler!A:B,2,FALSE)</f>
        <v>Aiyomayo</v>
      </c>
    </row>
    <row r="8468" spans="1:10" x14ac:dyDescent="0.25">
      <c r="A8468">
        <v>9505</v>
      </c>
      <c r="B8468" t="s">
        <v>33618</v>
      </c>
      <c r="C8468">
        <v>505</v>
      </c>
      <c r="D8468">
        <v>541</v>
      </c>
      <c r="E8468">
        <v>1577170488</v>
      </c>
      <c r="F8468">
        <v>6105</v>
      </c>
      <c r="G8468">
        <v>0</v>
      </c>
      <c r="H8468" t="s">
        <v>13384</v>
      </c>
      <c r="I8468">
        <v>9505</v>
      </c>
      <c r="J8468" t="str">
        <f>VLOOKUP(E8468,DSSpieler!A:B,2,FALSE)</f>
        <v>Nexo96</v>
      </c>
    </row>
    <row r="8469" spans="1:10" x14ac:dyDescent="0.25">
      <c r="A8469">
        <v>9506</v>
      </c>
      <c r="B8469" t="s">
        <v>33619</v>
      </c>
      <c r="C8469">
        <v>412</v>
      </c>
      <c r="D8469">
        <v>539</v>
      </c>
      <c r="E8469">
        <v>1575996788</v>
      </c>
      <c r="F8469">
        <v>4514</v>
      </c>
      <c r="G8469">
        <v>0</v>
      </c>
      <c r="H8469" t="s">
        <v>13385</v>
      </c>
      <c r="I8469">
        <v>9506</v>
      </c>
      <c r="J8469" t="str">
        <f>VLOOKUP(E8469,DSSpieler!A:B,2,FALSE)</f>
        <v>Wolfstter</v>
      </c>
    </row>
    <row r="8470" spans="1:10" x14ac:dyDescent="0.25">
      <c r="A8470">
        <v>9507</v>
      </c>
      <c r="B8470" t="s">
        <v>33620</v>
      </c>
      <c r="C8470">
        <v>418</v>
      </c>
      <c r="D8470">
        <v>547</v>
      </c>
      <c r="E8470">
        <v>1577153480</v>
      </c>
      <c r="F8470">
        <v>4699</v>
      </c>
      <c r="G8470">
        <v>0</v>
      </c>
      <c r="H8470" t="s">
        <v>13386</v>
      </c>
      <c r="I8470">
        <v>9507</v>
      </c>
      <c r="J8470" t="str">
        <f>VLOOKUP(E8470,DSSpieler!A:B,2,FALSE)</f>
        <v>AxPass</v>
      </c>
    </row>
    <row r="8471" spans="1:10" x14ac:dyDescent="0.25">
      <c r="A8471">
        <v>9508</v>
      </c>
      <c r="B8471" t="s">
        <v>780</v>
      </c>
      <c r="C8471">
        <v>602</v>
      </c>
      <c r="D8471">
        <v>503</v>
      </c>
      <c r="E8471">
        <v>1576021807</v>
      </c>
      <c r="F8471">
        <v>6369</v>
      </c>
      <c r="G8471">
        <v>0</v>
      </c>
      <c r="H8471" t="s">
        <v>13387</v>
      </c>
      <c r="I8471">
        <v>9508</v>
      </c>
      <c r="J8471" t="str">
        <f>VLOOKUP(E8471,DSSpieler!A:B,2,FALSE)</f>
        <v>Luddiwig</v>
      </c>
    </row>
    <row r="8472" spans="1:10" x14ac:dyDescent="0.25">
      <c r="A8472">
        <v>9509</v>
      </c>
      <c r="B8472" t="s">
        <v>531</v>
      </c>
      <c r="C8472">
        <v>592</v>
      </c>
      <c r="D8472">
        <v>530</v>
      </c>
      <c r="E8472">
        <v>0</v>
      </c>
      <c r="F8472">
        <v>225</v>
      </c>
      <c r="G8472">
        <v>0</v>
      </c>
      <c r="H8472" t="s">
        <v>13388</v>
      </c>
      <c r="I8472">
        <v>9509</v>
      </c>
      <c r="J8472" t="e">
        <f>VLOOKUP(E8472,DSSpieler!A:B,2,FALSE)</f>
        <v>#N/A</v>
      </c>
    </row>
    <row r="8473" spans="1:10" x14ac:dyDescent="0.25">
      <c r="A8473">
        <v>9510</v>
      </c>
      <c r="B8473" t="s">
        <v>33621</v>
      </c>
      <c r="C8473">
        <v>597</v>
      </c>
      <c r="D8473">
        <v>486</v>
      </c>
      <c r="E8473">
        <v>1577191825</v>
      </c>
      <c r="F8473">
        <v>6203</v>
      </c>
      <c r="G8473">
        <v>0</v>
      </c>
      <c r="H8473" t="s">
        <v>13389</v>
      </c>
      <c r="I8473">
        <v>9510</v>
      </c>
      <c r="J8473" t="str">
        <f>VLOOKUP(E8473,DSSpieler!A:B,2,FALSE)</f>
        <v>Dr.Deff</v>
      </c>
    </row>
    <row r="8474" spans="1:10" x14ac:dyDescent="0.25">
      <c r="A8474">
        <v>9511</v>
      </c>
      <c r="B8474" t="s">
        <v>531</v>
      </c>
      <c r="C8474">
        <v>593</v>
      </c>
      <c r="D8474">
        <v>472</v>
      </c>
      <c r="E8474">
        <v>0</v>
      </c>
      <c r="F8474">
        <v>756</v>
      </c>
      <c r="G8474">
        <v>0</v>
      </c>
      <c r="H8474" t="s">
        <v>13390</v>
      </c>
      <c r="I8474">
        <v>9511</v>
      </c>
      <c r="J8474" t="e">
        <f>VLOOKUP(E8474,DSSpieler!A:B,2,FALSE)</f>
        <v>#N/A</v>
      </c>
    </row>
    <row r="8475" spans="1:10" x14ac:dyDescent="0.25">
      <c r="A8475">
        <v>9512</v>
      </c>
      <c r="B8475" t="s">
        <v>1798</v>
      </c>
      <c r="C8475">
        <v>513</v>
      </c>
      <c r="D8475">
        <v>523</v>
      </c>
      <c r="E8475">
        <v>1577184058</v>
      </c>
      <c r="F8475">
        <v>4207</v>
      </c>
      <c r="G8475">
        <v>0</v>
      </c>
      <c r="H8475" t="s">
        <v>13391</v>
      </c>
      <c r="I8475">
        <v>9512</v>
      </c>
      <c r="J8475" t="str">
        <f>VLOOKUP(E8475,DSSpieler!A:B,2,FALSE)</f>
        <v>Cpt-Mike</v>
      </c>
    </row>
    <row r="8476" spans="1:10" x14ac:dyDescent="0.25">
      <c r="A8476">
        <v>9513</v>
      </c>
      <c r="B8476" t="s">
        <v>531</v>
      </c>
      <c r="C8476">
        <v>416</v>
      </c>
      <c r="D8476">
        <v>453</v>
      </c>
      <c r="E8476">
        <v>0</v>
      </c>
      <c r="F8476">
        <v>290</v>
      </c>
      <c r="G8476">
        <v>0</v>
      </c>
      <c r="H8476" t="s">
        <v>13392</v>
      </c>
      <c r="I8476">
        <v>9513</v>
      </c>
      <c r="J8476" t="e">
        <f>VLOOKUP(E8476,DSSpieler!A:B,2,FALSE)</f>
        <v>#N/A</v>
      </c>
    </row>
    <row r="8477" spans="1:10" x14ac:dyDescent="0.25">
      <c r="A8477">
        <v>9514</v>
      </c>
      <c r="B8477" t="s">
        <v>1799</v>
      </c>
      <c r="C8477">
        <v>406</v>
      </c>
      <c r="D8477">
        <v>530</v>
      </c>
      <c r="E8477">
        <v>1576221415</v>
      </c>
      <c r="F8477">
        <v>1175</v>
      </c>
      <c r="G8477">
        <v>0</v>
      </c>
      <c r="H8477" t="s">
        <v>13393</v>
      </c>
      <c r="I8477">
        <v>9514</v>
      </c>
      <c r="J8477" t="str">
        <f>VLOOKUP(E8477,DSSpieler!A:B,2,FALSE)</f>
        <v>Lady Sommersprosse</v>
      </c>
    </row>
    <row r="8478" spans="1:10" x14ac:dyDescent="0.25">
      <c r="A8478">
        <v>9515</v>
      </c>
      <c r="B8478" t="s">
        <v>33622</v>
      </c>
      <c r="C8478">
        <v>500</v>
      </c>
      <c r="D8478">
        <v>610</v>
      </c>
      <c r="E8478">
        <v>7916427</v>
      </c>
      <c r="F8478">
        <v>5919</v>
      </c>
      <c r="G8478">
        <v>0</v>
      </c>
      <c r="H8478" t="s">
        <v>13394</v>
      </c>
      <c r="I8478">
        <v>9515</v>
      </c>
      <c r="J8478" t="str">
        <f>VLOOKUP(E8478,DSSpieler!A:B,2,FALSE)</f>
        <v>TheGold4me</v>
      </c>
    </row>
    <row r="8479" spans="1:10" x14ac:dyDescent="0.25">
      <c r="A8479">
        <v>9517</v>
      </c>
      <c r="B8479" t="s">
        <v>33623</v>
      </c>
      <c r="C8479">
        <v>452</v>
      </c>
      <c r="D8479">
        <v>552</v>
      </c>
      <c r="E8479">
        <v>1576348420</v>
      </c>
      <c r="F8479">
        <v>6376</v>
      </c>
      <c r="G8479">
        <v>0</v>
      </c>
      <c r="H8479" t="s">
        <v>13395</v>
      </c>
      <c r="I8479">
        <v>9517</v>
      </c>
      <c r="J8479" t="str">
        <f>VLOOKUP(E8479,DSSpieler!A:B,2,FALSE)</f>
        <v>VfB-xandi</v>
      </c>
    </row>
    <row r="8480" spans="1:10" x14ac:dyDescent="0.25">
      <c r="A8480">
        <v>9518</v>
      </c>
      <c r="B8480" t="s">
        <v>531</v>
      </c>
      <c r="C8480">
        <v>409</v>
      </c>
      <c r="D8480">
        <v>519</v>
      </c>
      <c r="E8480">
        <v>0</v>
      </c>
      <c r="F8480">
        <v>269</v>
      </c>
      <c r="G8480">
        <v>0</v>
      </c>
      <c r="H8480" t="s">
        <v>13396</v>
      </c>
      <c r="I8480">
        <v>9518</v>
      </c>
      <c r="J8480" t="e">
        <f>VLOOKUP(E8480,DSSpieler!A:B,2,FALSE)</f>
        <v>#N/A</v>
      </c>
    </row>
    <row r="8481" spans="1:10" x14ac:dyDescent="0.25">
      <c r="A8481">
        <v>9519</v>
      </c>
      <c r="B8481" t="s">
        <v>33624</v>
      </c>
      <c r="C8481">
        <v>420</v>
      </c>
      <c r="D8481">
        <v>549</v>
      </c>
      <c r="E8481">
        <v>1577153480</v>
      </c>
      <c r="F8481">
        <v>5927</v>
      </c>
      <c r="G8481">
        <v>0</v>
      </c>
      <c r="H8481" t="s">
        <v>13397</v>
      </c>
      <c r="I8481">
        <v>9519</v>
      </c>
      <c r="J8481" t="str">
        <f>VLOOKUP(E8481,DSSpieler!A:B,2,FALSE)</f>
        <v>AxPass</v>
      </c>
    </row>
    <row r="8482" spans="1:10" x14ac:dyDescent="0.25">
      <c r="A8482">
        <v>9521</v>
      </c>
      <c r="B8482" t="s">
        <v>531</v>
      </c>
      <c r="C8482">
        <v>515</v>
      </c>
      <c r="D8482">
        <v>596</v>
      </c>
      <c r="E8482">
        <v>0</v>
      </c>
      <c r="F8482">
        <v>493</v>
      </c>
      <c r="G8482">
        <v>0</v>
      </c>
      <c r="H8482" t="s">
        <v>13398</v>
      </c>
      <c r="I8482">
        <v>9521</v>
      </c>
      <c r="J8482" t="e">
        <f>VLOOKUP(E8482,DSSpieler!A:B,2,FALSE)</f>
        <v>#N/A</v>
      </c>
    </row>
    <row r="8483" spans="1:10" x14ac:dyDescent="0.25">
      <c r="A8483">
        <v>9522</v>
      </c>
      <c r="B8483">
        <v>5</v>
      </c>
      <c r="C8483">
        <v>510</v>
      </c>
      <c r="D8483">
        <v>530</v>
      </c>
      <c r="E8483">
        <v>1575880662</v>
      </c>
      <c r="F8483">
        <v>5542</v>
      </c>
      <c r="G8483">
        <v>0</v>
      </c>
      <c r="H8483" t="s">
        <v>13399</v>
      </c>
      <c r="I8483">
        <v>9522</v>
      </c>
      <c r="J8483" t="str">
        <f>VLOOKUP(E8483,DSSpieler!A:B,2,FALSE)</f>
        <v>Nosferas</v>
      </c>
    </row>
    <row r="8484" spans="1:10" x14ac:dyDescent="0.25">
      <c r="A8484">
        <v>9523</v>
      </c>
      <c r="B8484" t="s">
        <v>531</v>
      </c>
      <c r="C8484">
        <v>409</v>
      </c>
      <c r="D8484">
        <v>530</v>
      </c>
      <c r="E8484">
        <v>0</v>
      </c>
      <c r="F8484">
        <v>308</v>
      </c>
      <c r="G8484">
        <v>0</v>
      </c>
      <c r="H8484" t="s">
        <v>13400</v>
      </c>
      <c r="I8484">
        <v>9523</v>
      </c>
      <c r="J8484" t="e">
        <f>VLOOKUP(E8484,DSSpieler!A:B,2,FALSE)</f>
        <v>#N/A</v>
      </c>
    </row>
    <row r="8485" spans="1:10" x14ac:dyDescent="0.25">
      <c r="A8485">
        <v>9524</v>
      </c>
      <c r="B8485" t="s">
        <v>33625</v>
      </c>
      <c r="C8485">
        <v>485</v>
      </c>
      <c r="D8485">
        <v>523</v>
      </c>
      <c r="E8485">
        <v>8607972</v>
      </c>
      <c r="F8485">
        <v>3416</v>
      </c>
      <c r="G8485">
        <v>0</v>
      </c>
      <c r="H8485" t="s">
        <v>13401</v>
      </c>
      <c r="I8485">
        <v>9524</v>
      </c>
      <c r="J8485" t="str">
        <f>VLOOKUP(E8485,DSSpieler!A:B,2,FALSE)</f>
        <v>Goldraven</v>
      </c>
    </row>
    <row r="8486" spans="1:10" x14ac:dyDescent="0.25">
      <c r="A8486">
        <v>9525</v>
      </c>
      <c r="B8486" t="s">
        <v>531</v>
      </c>
      <c r="C8486">
        <v>554</v>
      </c>
      <c r="D8486">
        <v>580</v>
      </c>
      <c r="E8486">
        <v>10150448</v>
      </c>
      <c r="F8486">
        <v>953</v>
      </c>
      <c r="G8486">
        <v>0</v>
      </c>
      <c r="H8486" t="s">
        <v>13402</v>
      </c>
      <c r="I8486">
        <v>9525</v>
      </c>
      <c r="J8486" t="str">
        <f>VLOOKUP(E8486,DSSpieler!A:B,2,FALSE)</f>
        <v>Lord Neidlein III</v>
      </c>
    </row>
    <row r="8487" spans="1:10" x14ac:dyDescent="0.25">
      <c r="A8487">
        <v>9526</v>
      </c>
      <c r="B8487" t="s">
        <v>33626</v>
      </c>
      <c r="C8487">
        <v>429</v>
      </c>
      <c r="D8487">
        <v>437</v>
      </c>
      <c r="E8487">
        <v>1576826598</v>
      </c>
      <c r="F8487">
        <v>5823</v>
      </c>
      <c r="G8487">
        <v>0</v>
      </c>
      <c r="H8487" t="s">
        <v>13403</v>
      </c>
      <c r="I8487">
        <v>9526</v>
      </c>
      <c r="J8487" t="str">
        <f>VLOOKUP(E8487,DSSpieler!A:B,2,FALSE)</f>
        <v>Rainer Wahnsinn</v>
      </c>
    </row>
    <row r="8488" spans="1:10" x14ac:dyDescent="0.25">
      <c r="A8488">
        <v>9527</v>
      </c>
      <c r="B8488" t="s">
        <v>531</v>
      </c>
      <c r="C8488">
        <v>572</v>
      </c>
      <c r="D8488">
        <v>559</v>
      </c>
      <c r="E8488">
        <v>0</v>
      </c>
      <c r="F8488">
        <v>420</v>
      </c>
      <c r="G8488">
        <v>0</v>
      </c>
      <c r="H8488" t="s">
        <v>13404</v>
      </c>
      <c r="I8488">
        <v>9527</v>
      </c>
      <c r="J8488" t="e">
        <f>VLOOKUP(E8488,DSSpieler!A:B,2,FALSE)</f>
        <v>#N/A</v>
      </c>
    </row>
    <row r="8489" spans="1:10" x14ac:dyDescent="0.25">
      <c r="A8489">
        <v>9528</v>
      </c>
      <c r="B8489" t="s">
        <v>33627</v>
      </c>
      <c r="C8489">
        <v>409</v>
      </c>
      <c r="D8489">
        <v>492</v>
      </c>
      <c r="E8489">
        <v>1577189111</v>
      </c>
      <c r="F8489">
        <v>4945</v>
      </c>
      <c r="G8489">
        <v>0</v>
      </c>
      <c r="H8489" t="s">
        <v>13405</v>
      </c>
      <c r="I8489">
        <v>9528</v>
      </c>
      <c r="J8489" t="str">
        <f>VLOOKUP(E8489,DSSpieler!A:B,2,FALSE)</f>
        <v>Lord tachauch</v>
      </c>
    </row>
    <row r="8490" spans="1:10" x14ac:dyDescent="0.25">
      <c r="A8490">
        <v>9529</v>
      </c>
      <c r="B8490" t="s">
        <v>1800</v>
      </c>
      <c r="C8490">
        <v>455</v>
      </c>
      <c r="D8490">
        <v>584</v>
      </c>
      <c r="E8490">
        <v>1576337345</v>
      </c>
      <c r="F8490">
        <v>4492</v>
      </c>
      <c r="G8490">
        <v>0</v>
      </c>
      <c r="H8490" t="s">
        <v>13406</v>
      </c>
      <c r="I8490">
        <v>9529</v>
      </c>
      <c r="J8490" t="str">
        <f>VLOOKUP(E8490,DSSpieler!A:B,2,FALSE)</f>
        <v>Hakuna-Matada</v>
      </c>
    </row>
    <row r="8491" spans="1:10" x14ac:dyDescent="0.25">
      <c r="A8491">
        <v>9530</v>
      </c>
      <c r="B8491" t="s">
        <v>33628</v>
      </c>
      <c r="C8491">
        <v>475</v>
      </c>
      <c r="D8491">
        <v>423</v>
      </c>
      <c r="E8491">
        <v>1576680977</v>
      </c>
      <c r="F8491">
        <v>5609</v>
      </c>
      <c r="G8491">
        <v>0</v>
      </c>
      <c r="H8491" t="s">
        <v>13407</v>
      </c>
      <c r="I8491">
        <v>9530</v>
      </c>
      <c r="J8491" t="str">
        <f>VLOOKUP(E8491,DSSpieler!A:B,2,FALSE)</f>
        <v>HeavenKeeper</v>
      </c>
    </row>
    <row r="8492" spans="1:10" x14ac:dyDescent="0.25">
      <c r="A8492">
        <v>9531</v>
      </c>
      <c r="B8492" t="s">
        <v>1801</v>
      </c>
      <c r="C8492">
        <v>446</v>
      </c>
      <c r="D8492">
        <v>577</v>
      </c>
      <c r="E8492">
        <v>1575844777</v>
      </c>
      <c r="F8492">
        <v>4395</v>
      </c>
      <c r="G8492">
        <v>0</v>
      </c>
      <c r="H8492" t="s">
        <v>13408</v>
      </c>
      <c r="I8492">
        <v>9531</v>
      </c>
      <c r="J8492" t="str">
        <f>VLOOKUP(E8492,DSSpieler!A:B,2,FALSE)</f>
        <v>TaKeItEaSy</v>
      </c>
    </row>
    <row r="8493" spans="1:10" x14ac:dyDescent="0.25">
      <c r="A8493">
        <v>9532</v>
      </c>
      <c r="B8493" t="s">
        <v>531</v>
      </c>
      <c r="C8493">
        <v>573</v>
      </c>
      <c r="D8493">
        <v>560</v>
      </c>
      <c r="E8493">
        <v>0</v>
      </c>
      <c r="F8493">
        <v>983</v>
      </c>
      <c r="G8493">
        <v>0</v>
      </c>
      <c r="H8493" t="s">
        <v>13409</v>
      </c>
      <c r="I8493">
        <v>9532</v>
      </c>
      <c r="J8493" t="e">
        <f>VLOOKUP(E8493,DSSpieler!A:B,2,FALSE)</f>
        <v>#N/A</v>
      </c>
    </row>
    <row r="8494" spans="1:10" x14ac:dyDescent="0.25">
      <c r="A8494">
        <v>9533</v>
      </c>
      <c r="B8494" t="s">
        <v>1802</v>
      </c>
      <c r="C8494">
        <v>606</v>
      </c>
      <c r="D8494">
        <v>529</v>
      </c>
      <c r="E8494">
        <v>1577198182</v>
      </c>
      <c r="F8494">
        <v>4492</v>
      </c>
      <c r="G8494">
        <v>0</v>
      </c>
      <c r="H8494" t="s">
        <v>13410</v>
      </c>
      <c r="I8494">
        <v>9533</v>
      </c>
      <c r="J8494" t="str">
        <f>VLOOKUP(E8494,DSSpieler!A:B,2,FALSE)</f>
        <v>redneck96</v>
      </c>
    </row>
    <row r="8495" spans="1:10" x14ac:dyDescent="0.25">
      <c r="A8495">
        <v>9534</v>
      </c>
      <c r="B8495" t="s">
        <v>979</v>
      </c>
      <c r="C8495">
        <v>512</v>
      </c>
      <c r="D8495">
        <v>594</v>
      </c>
      <c r="E8495">
        <v>1576692459</v>
      </c>
      <c r="F8495">
        <v>5507</v>
      </c>
      <c r="G8495">
        <v>0</v>
      </c>
      <c r="H8495" t="s">
        <v>13411</v>
      </c>
      <c r="I8495">
        <v>9534</v>
      </c>
      <c r="J8495" t="str">
        <f>VLOOKUP(E8495,DSSpieler!A:B,2,FALSE)</f>
        <v>Sir Hendriks</v>
      </c>
    </row>
    <row r="8496" spans="1:10" x14ac:dyDescent="0.25">
      <c r="A8496">
        <v>9535</v>
      </c>
      <c r="B8496" t="s">
        <v>33629</v>
      </c>
      <c r="C8496">
        <v>593</v>
      </c>
      <c r="D8496">
        <v>442</v>
      </c>
      <c r="E8496">
        <v>1576833093</v>
      </c>
      <c r="F8496">
        <v>8578</v>
      </c>
      <c r="G8496">
        <v>0</v>
      </c>
      <c r="H8496" t="s">
        <v>13412</v>
      </c>
      <c r="I8496">
        <v>9535</v>
      </c>
      <c r="J8496" t="str">
        <f>VLOOKUP(E8496,DSSpieler!A:B,2,FALSE)</f>
        <v>Schnubbo</v>
      </c>
    </row>
    <row r="8497" spans="1:10" x14ac:dyDescent="0.25">
      <c r="A8497">
        <v>9536</v>
      </c>
      <c r="B8497" t="s">
        <v>33630</v>
      </c>
      <c r="C8497">
        <v>545</v>
      </c>
      <c r="D8497">
        <v>592</v>
      </c>
      <c r="E8497">
        <v>1577195191</v>
      </c>
      <c r="F8497">
        <v>7276</v>
      </c>
      <c r="G8497">
        <v>0</v>
      </c>
      <c r="H8497" t="s">
        <v>13413</v>
      </c>
      <c r="I8497">
        <v>9536</v>
      </c>
      <c r="J8497" t="str">
        <f>VLOOKUP(E8497,DSSpieler!A:B,2,FALSE)</f>
        <v>grizdian</v>
      </c>
    </row>
    <row r="8498" spans="1:10" x14ac:dyDescent="0.25">
      <c r="A8498">
        <v>9537</v>
      </c>
      <c r="B8498" t="s">
        <v>1137</v>
      </c>
      <c r="C8498">
        <v>549</v>
      </c>
      <c r="D8498">
        <v>589</v>
      </c>
      <c r="E8498">
        <v>1577174754</v>
      </c>
      <c r="F8498">
        <v>5318</v>
      </c>
      <c r="G8498">
        <v>0</v>
      </c>
      <c r="H8498" t="s">
        <v>13414</v>
      </c>
      <c r="I8498">
        <v>9537</v>
      </c>
      <c r="J8498" t="str">
        <f>VLOOKUP(E8498,DSSpieler!A:B,2,FALSE)</f>
        <v>Cook1e Dough</v>
      </c>
    </row>
    <row r="8499" spans="1:10" x14ac:dyDescent="0.25">
      <c r="A8499">
        <v>9538</v>
      </c>
      <c r="B8499" t="s">
        <v>531</v>
      </c>
      <c r="C8499">
        <v>456</v>
      </c>
      <c r="D8499">
        <v>416</v>
      </c>
      <c r="E8499">
        <v>0</v>
      </c>
      <c r="F8499">
        <v>359</v>
      </c>
      <c r="G8499">
        <v>0</v>
      </c>
      <c r="H8499" t="s">
        <v>13415</v>
      </c>
      <c r="I8499">
        <v>9538</v>
      </c>
      <c r="J8499" t="e">
        <f>VLOOKUP(E8499,DSSpieler!A:B,2,FALSE)</f>
        <v>#N/A</v>
      </c>
    </row>
    <row r="8500" spans="1:10" x14ac:dyDescent="0.25">
      <c r="A8500">
        <v>9539</v>
      </c>
      <c r="B8500" t="s">
        <v>531</v>
      </c>
      <c r="C8500">
        <v>404</v>
      </c>
      <c r="D8500">
        <v>484</v>
      </c>
      <c r="E8500">
        <v>0</v>
      </c>
      <c r="F8500">
        <v>145</v>
      </c>
      <c r="G8500">
        <v>0</v>
      </c>
      <c r="H8500" t="s">
        <v>13416</v>
      </c>
      <c r="I8500">
        <v>9539</v>
      </c>
      <c r="J8500" t="e">
        <f>VLOOKUP(E8500,DSSpieler!A:B,2,FALSE)</f>
        <v>#N/A</v>
      </c>
    </row>
    <row r="8501" spans="1:10" x14ac:dyDescent="0.25">
      <c r="A8501">
        <v>9540</v>
      </c>
      <c r="B8501" t="s">
        <v>1803</v>
      </c>
      <c r="C8501">
        <v>461</v>
      </c>
      <c r="D8501">
        <v>491</v>
      </c>
      <c r="E8501">
        <v>8531744</v>
      </c>
      <c r="F8501">
        <v>2981</v>
      </c>
      <c r="G8501">
        <v>0</v>
      </c>
      <c r="H8501" t="s">
        <v>13417</v>
      </c>
      <c r="I8501">
        <v>9540</v>
      </c>
      <c r="J8501" t="str">
        <f>VLOOKUP(E8501,DSSpieler!A:B,2,FALSE)</f>
        <v>Angus von Geldar</v>
      </c>
    </row>
    <row r="8502" spans="1:10" x14ac:dyDescent="0.25">
      <c r="A8502">
        <v>9541</v>
      </c>
      <c r="B8502" t="s">
        <v>1804</v>
      </c>
      <c r="C8502">
        <v>438</v>
      </c>
      <c r="D8502">
        <v>582</v>
      </c>
      <c r="E8502">
        <v>1577198193</v>
      </c>
      <c r="F8502">
        <v>5378</v>
      </c>
      <c r="G8502">
        <v>0</v>
      </c>
      <c r="H8502" t="s">
        <v>13418</v>
      </c>
      <c r="I8502">
        <v>9541</v>
      </c>
      <c r="J8502" t="str">
        <f>VLOOKUP(E8502,DSSpieler!A:B,2,FALSE)</f>
        <v>Pabloseier</v>
      </c>
    </row>
    <row r="8503" spans="1:10" x14ac:dyDescent="0.25">
      <c r="A8503">
        <v>9542</v>
      </c>
      <c r="B8503" t="s">
        <v>31698</v>
      </c>
      <c r="C8503">
        <v>461</v>
      </c>
      <c r="D8503">
        <v>484</v>
      </c>
      <c r="E8503">
        <v>1577179490</v>
      </c>
      <c r="F8503">
        <v>6631</v>
      </c>
      <c r="G8503">
        <v>0</v>
      </c>
      <c r="H8503" t="s">
        <v>13419</v>
      </c>
      <c r="I8503">
        <v>9542</v>
      </c>
      <c r="J8503" t="str">
        <f>VLOOKUP(E8503,DSSpieler!A:B,2,FALSE)</f>
        <v>Suedhauser</v>
      </c>
    </row>
    <row r="8504" spans="1:10" x14ac:dyDescent="0.25">
      <c r="A8504">
        <v>9543</v>
      </c>
      <c r="B8504" t="s">
        <v>33631</v>
      </c>
      <c r="C8504">
        <v>527</v>
      </c>
      <c r="D8504">
        <v>592</v>
      </c>
      <c r="E8504">
        <v>1577193673</v>
      </c>
      <c r="F8504">
        <v>4929</v>
      </c>
      <c r="G8504">
        <v>0</v>
      </c>
      <c r="H8504" t="s">
        <v>13420</v>
      </c>
      <c r="I8504">
        <v>9543</v>
      </c>
      <c r="J8504" t="str">
        <f>VLOOKUP(E8504,DSSpieler!A:B,2,FALSE)</f>
        <v>xlFamous</v>
      </c>
    </row>
    <row r="8505" spans="1:10" x14ac:dyDescent="0.25">
      <c r="A8505">
        <v>9545</v>
      </c>
      <c r="B8505" t="s">
        <v>1805</v>
      </c>
      <c r="C8505">
        <v>426</v>
      </c>
      <c r="D8505">
        <v>563</v>
      </c>
      <c r="E8505">
        <v>1577135956</v>
      </c>
      <c r="F8505">
        <v>5063</v>
      </c>
      <c r="G8505">
        <v>0</v>
      </c>
      <c r="H8505" t="s">
        <v>13421</v>
      </c>
      <c r="I8505">
        <v>9545</v>
      </c>
      <c r="J8505" t="str">
        <f>VLOOKUP(E8505,DSSpieler!A:B,2,FALSE)</f>
        <v>Beagle73</v>
      </c>
    </row>
    <row r="8506" spans="1:10" x14ac:dyDescent="0.25">
      <c r="A8506">
        <v>9546</v>
      </c>
      <c r="B8506" t="s">
        <v>1806</v>
      </c>
      <c r="C8506">
        <v>465</v>
      </c>
      <c r="D8506">
        <v>560</v>
      </c>
      <c r="E8506">
        <v>1577186099</v>
      </c>
      <c r="F8506">
        <v>6521</v>
      </c>
      <c r="G8506">
        <v>0</v>
      </c>
      <c r="H8506" t="s">
        <v>13422</v>
      </c>
      <c r="I8506">
        <v>9546</v>
      </c>
      <c r="J8506" t="str">
        <f>VLOOKUP(E8506,DSSpieler!A:B,2,FALSE)</f>
        <v>marcelmarvin</v>
      </c>
    </row>
    <row r="8507" spans="1:10" x14ac:dyDescent="0.25">
      <c r="A8507">
        <v>9547</v>
      </c>
      <c r="B8507" t="s">
        <v>1807</v>
      </c>
      <c r="C8507">
        <v>574</v>
      </c>
      <c r="D8507">
        <v>469</v>
      </c>
      <c r="E8507">
        <v>1577198199</v>
      </c>
      <c r="F8507">
        <v>4487</v>
      </c>
      <c r="G8507">
        <v>0</v>
      </c>
      <c r="H8507" t="s">
        <v>13423</v>
      </c>
      <c r="I8507">
        <v>9547</v>
      </c>
      <c r="J8507" t="str">
        <f>VLOOKUP(E8507,DSSpieler!A:B,2,FALSE)</f>
        <v>Knirz</v>
      </c>
    </row>
    <row r="8508" spans="1:10" x14ac:dyDescent="0.25">
      <c r="A8508">
        <v>9548</v>
      </c>
      <c r="B8508" t="s">
        <v>531</v>
      </c>
      <c r="C8508">
        <v>415</v>
      </c>
      <c r="D8508">
        <v>452</v>
      </c>
      <c r="E8508">
        <v>0</v>
      </c>
      <c r="F8508">
        <v>160</v>
      </c>
      <c r="G8508">
        <v>0</v>
      </c>
      <c r="H8508" t="s">
        <v>13424</v>
      </c>
      <c r="I8508">
        <v>9548</v>
      </c>
      <c r="J8508" t="e">
        <f>VLOOKUP(E8508,DSSpieler!A:B,2,FALSE)</f>
        <v>#N/A</v>
      </c>
    </row>
    <row r="8509" spans="1:10" x14ac:dyDescent="0.25">
      <c r="A8509">
        <v>9549</v>
      </c>
      <c r="B8509" t="s">
        <v>531</v>
      </c>
      <c r="C8509">
        <v>571</v>
      </c>
      <c r="D8509">
        <v>565</v>
      </c>
      <c r="E8509">
        <v>0</v>
      </c>
      <c r="F8509">
        <v>197</v>
      </c>
      <c r="G8509">
        <v>0</v>
      </c>
      <c r="H8509" t="s">
        <v>13425</v>
      </c>
      <c r="I8509">
        <v>9549</v>
      </c>
      <c r="J8509" t="e">
        <f>VLOOKUP(E8509,DSSpieler!A:B,2,FALSE)</f>
        <v>#N/A</v>
      </c>
    </row>
    <row r="8510" spans="1:10" x14ac:dyDescent="0.25">
      <c r="A8510">
        <v>9550</v>
      </c>
      <c r="B8510" t="s">
        <v>33632</v>
      </c>
      <c r="C8510">
        <v>595</v>
      </c>
      <c r="D8510">
        <v>445</v>
      </c>
      <c r="E8510">
        <v>8300935</v>
      </c>
      <c r="F8510">
        <v>5618</v>
      </c>
      <c r="G8510">
        <v>0</v>
      </c>
      <c r="H8510" t="s">
        <v>13426</v>
      </c>
      <c r="I8510">
        <v>9550</v>
      </c>
      <c r="J8510" t="str">
        <f>VLOOKUP(E8510,DSSpieler!A:B,2,FALSE)</f>
        <v>Bashtime?</v>
      </c>
    </row>
    <row r="8511" spans="1:10" x14ac:dyDescent="0.25">
      <c r="A8511">
        <v>9551</v>
      </c>
      <c r="B8511" t="s">
        <v>33633</v>
      </c>
      <c r="C8511">
        <v>506</v>
      </c>
      <c r="D8511">
        <v>534</v>
      </c>
      <c r="E8511">
        <v>1577193491</v>
      </c>
      <c r="F8511">
        <v>5452</v>
      </c>
      <c r="G8511">
        <v>0</v>
      </c>
      <c r="H8511" t="s">
        <v>13427</v>
      </c>
      <c r="I8511">
        <v>9551</v>
      </c>
      <c r="J8511" t="str">
        <f>VLOOKUP(E8511,DSSpieler!A:B,2,FALSE)</f>
        <v>RRwoody</v>
      </c>
    </row>
    <row r="8512" spans="1:10" x14ac:dyDescent="0.25">
      <c r="A8512">
        <v>9553</v>
      </c>
      <c r="B8512" t="s">
        <v>33634</v>
      </c>
      <c r="C8512">
        <v>584</v>
      </c>
      <c r="D8512">
        <v>466</v>
      </c>
      <c r="E8512">
        <v>1577197941</v>
      </c>
      <c r="F8512">
        <v>4436</v>
      </c>
      <c r="G8512">
        <v>0</v>
      </c>
      <c r="H8512" t="s">
        <v>13428</v>
      </c>
      <c r="I8512">
        <v>9553</v>
      </c>
      <c r="J8512" t="str">
        <f>VLOOKUP(E8512,DSSpieler!A:B,2,FALSE)</f>
        <v>Copter</v>
      </c>
    </row>
    <row r="8513" spans="1:10" x14ac:dyDescent="0.25">
      <c r="A8513">
        <v>9554</v>
      </c>
      <c r="B8513" t="s">
        <v>531</v>
      </c>
      <c r="C8513">
        <v>431</v>
      </c>
      <c r="D8513">
        <v>566</v>
      </c>
      <c r="E8513">
        <v>0</v>
      </c>
      <c r="F8513">
        <v>240</v>
      </c>
      <c r="G8513">
        <v>0</v>
      </c>
      <c r="H8513" t="s">
        <v>13429</v>
      </c>
      <c r="I8513">
        <v>9554</v>
      </c>
      <c r="J8513" t="e">
        <f>VLOOKUP(E8513,DSSpieler!A:B,2,FALSE)</f>
        <v>#N/A</v>
      </c>
    </row>
    <row r="8514" spans="1:10" x14ac:dyDescent="0.25">
      <c r="A8514">
        <v>9555</v>
      </c>
      <c r="B8514" t="s">
        <v>531</v>
      </c>
      <c r="C8514">
        <v>547</v>
      </c>
      <c r="D8514">
        <v>419</v>
      </c>
      <c r="E8514">
        <v>0</v>
      </c>
      <c r="F8514">
        <v>280</v>
      </c>
      <c r="G8514">
        <v>0</v>
      </c>
      <c r="H8514" t="s">
        <v>13430</v>
      </c>
      <c r="I8514">
        <v>9555</v>
      </c>
      <c r="J8514" t="e">
        <f>VLOOKUP(E8514,DSSpieler!A:B,2,FALSE)</f>
        <v>#N/A</v>
      </c>
    </row>
    <row r="8515" spans="1:10" x14ac:dyDescent="0.25">
      <c r="A8515">
        <v>9556</v>
      </c>
      <c r="B8515" t="s">
        <v>531</v>
      </c>
      <c r="C8515">
        <v>595</v>
      </c>
      <c r="D8515">
        <v>491</v>
      </c>
      <c r="E8515">
        <v>0</v>
      </c>
      <c r="F8515">
        <v>514</v>
      </c>
      <c r="G8515">
        <v>0</v>
      </c>
      <c r="H8515" t="s">
        <v>13431</v>
      </c>
      <c r="I8515">
        <v>9556</v>
      </c>
      <c r="J8515" t="e">
        <f>VLOOKUP(E8515,DSSpieler!A:B,2,FALSE)</f>
        <v>#N/A</v>
      </c>
    </row>
    <row r="8516" spans="1:10" x14ac:dyDescent="0.25">
      <c r="A8516">
        <v>9557</v>
      </c>
      <c r="B8516" t="s">
        <v>546</v>
      </c>
      <c r="C8516">
        <v>518</v>
      </c>
      <c r="D8516">
        <v>448</v>
      </c>
      <c r="E8516">
        <v>1577195524</v>
      </c>
      <c r="F8516">
        <v>2196</v>
      </c>
      <c r="G8516">
        <v>0</v>
      </c>
      <c r="H8516" t="s">
        <v>13432</v>
      </c>
      <c r="I8516">
        <v>9557</v>
      </c>
      <c r="J8516" t="str">
        <f>VLOOKUP(E8516,DSSpieler!A:B,2,FALSE)</f>
        <v>grimreaper89</v>
      </c>
    </row>
    <row r="8517" spans="1:10" x14ac:dyDescent="0.25">
      <c r="A8517">
        <v>9558</v>
      </c>
      <c r="B8517" t="s">
        <v>531</v>
      </c>
      <c r="C8517">
        <v>542</v>
      </c>
      <c r="D8517">
        <v>587</v>
      </c>
      <c r="E8517">
        <v>0</v>
      </c>
      <c r="F8517">
        <v>366</v>
      </c>
      <c r="G8517">
        <v>0</v>
      </c>
      <c r="H8517" t="s">
        <v>13433</v>
      </c>
      <c r="I8517">
        <v>9558</v>
      </c>
      <c r="J8517" t="e">
        <f>VLOOKUP(E8517,DSSpieler!A:B,2,FALSE)</f>
        <v>#N/A</v>
      </c>
    </row>
    <row r="8518" spans="1:10" x14ac:dyDescent="0.25">
      <c r="A8518">
        <v>9559</v>
      </c>
      <c r="B8518" t="s">
        <v>33635</v>
      </c>
      <c r="C8518">
        <v>474</v>
      </c>
      <c r="D8518">
        <v>409</v>
      </c>
      <c r="E8518">
        <v>1577197317</v>
      </c>
      <c r="F8518">
        <v>5457</v>
      </c>
      <c r="G8518">
        <v>0</v>
      </c>
      <c r="H8518" t="s">
        <v>13434</v>
      </c>
      <c r="I8518">
        <v>9559</v>
      </c>
      <c r="J8518" t="str">
        <f>VLOOKUP(E8518,DSSpieler!A:B,2,FALSE)</f>
        <v>DieWaldfee</v>
      </c>
    </row>
    <row r="8519" spans="1:10" x14ac:dyDescent="0.25">
      <c r="A8519">
        <v>9560</v>
      </c>
      <c r="B8519" t="s">
        <v>531</v>
      </c>
      <c r="C8519">
        <v>542</v>
      </c>
      <c r="D8519">
        <v>586</v>
      </c>
      <c r="E8519">
        <v>0</v>
      </c>
      <c r="F8519">
        <v>1985</v>
      </c>
      <c r="G8519">
        <v>0</v>
      </c>
      <c r="H8519" t="s">
        <v>13435</v>
      </c>
      <c r="I8519">
        <v>9560</v>
      </c>
      <c r="J8519" t="e">
        <f>VLOOKUP(E8519,DSSpieler!A:B,2,FALSE)</f>
        <v>#N/A</v>
      </c>
    </row>
    <row r="8520" spans="1:10" x14ac:dyDescent="0.25">
      <c r="A8520">
        <v>9561</v>
      </c>
      <c r="B8520" t="s">
        <v>33636</v>
      </c>
      <c r="C8520">
        <v>567</v>
      </c>
      <c r="D8520">
        <v>524</v>
      </c>
      <c r="E8520">
        <v>1577162617</v>
      </c>
      <c r="F8520">
        <v>6067</v>
      </c>
      <c r="G8520">
        <v>0</v>
      </c>
      <c r="H8520" t="s">
        <v>13436</v>
      </c>
      <c r="I8520">
        <v>9561</v>
      </c>
      <c r="J8520" t="str">
        <f>VLOOKUP(E8520,DSSpieler!A:B,2,FALSE)</f>
        <v>-FinnTheHuman*</v>
      </c>
    </row>
    <row r="8521" spans="1:10" x14ac:dyDescent="0.25">
      <c r="A8521">
        <v>9562</v>
      </c>
      <c r="B8521" t="s">
        <v>531</v>
      </c>
      <c r="C8521">
        <v>408</v>
      </c>
      <c r="D8521">
        <v>520</v>
      </c>
      <c r="E8521">
        <v>0</v>
      </c>
      <c r="F8521">
        <v>220</v>
      </c>
      <c r="G8521">
        <v>0</v>
      </c>
      <c r="H8521" t="s">
        <v>13437</v>
      </c>
      <c r="I8521">
        <v>9562</v>
      </c>
      <c r="J8521" t="e">
        <f>VLOOKUP(E8521,DSSpieler!A:B,2,FALSE)</f>
        <v>#N/A</v>
      </c>
    </row>
    <row r="8522" spans="1:10" x14ac:dyDescent="0.25">
      <c r="A8522">
        <v>9563</v>
      </c>
      <c r="B8522" t="s">
        <v>780</v>
      </c>
      <c r="C8522">
        <v>608</v>
      </c>
      <c r="D8522">
        <v>510</v>
      </c>
      <c r="E8522">
        <v>1577133527</v>
      </c>
      <c r="F8522">
        <v>6094</v>
      </c>
      <c r="G8522">
        <v>0</v>
      </c>
      <c r="H8522" t="s">
        <v>13438</v>
      </c>
      <c r="I8522">
        <v>9563</v>
      </c>
      <c r="J8522" t="str">
        <f>VLOOKUP(E8522,DSSpieler!A:B,2,FALSE)</f>
        <v>Joah Theron</v>
      </c>
    </row>
    <row r="8523" spans="1:10" x14ac:dyDescent="0.25">
      <c r="A8523">
        <v>9564</v>
      </c>
      <c r="B8523" t="s">
        <v>531</v>
      </c>
      <c r="C8523">
        <v>570</v>
      </c>
      <c r="D8523">
        <v>564</v>
      </c>
      <c r="E8523">
        <v>0</v>
      </c>
      <c r="F8523">
        <v>368</v>
      </c>
      <c r="G8523">
        <v>0</v>
      </c>
      <c r="H8523" t="s">
        <v>13439</v>
      </c>
      <c r="I8523">
        <v>9564</v>
      </c>
      <c r="J8523" t="e">
        <f>VLOOKUP(E8523,DSSpieler!A:B,2,FALSE)</f>
        <v>#N/A</v>
      </c>
    </row>
    <row r="8524" spans="1:10" x14ac:dyDescent="0.25">
      <c r="A8524">
        <v>9565</v>
      </c>
      <c r="B8524" t="s">
        <v>1808</v>
      </c>
      <c r="C8524">
        <v>465</v>
      </c>
      <c r="D8524">
        <v>442</v>
      </c>
      <c r="E8524">
        <v>793981</v>
      </c>
      <c r="F8524">
        <v>5757</v>
      </c>
      <c r="G8524">
        <v>0</v>
      </c>
      <c r="H8524" t="s">
        <v>13440</v>
      </c>
      <c r="I8524">
        <v>9565</v>
      </c>
      <c r="J8524" t="str">
        <f>VLOOKUP(E8524,DSSpieler!A:B,2,FALSE)</f>
        <v>phönix03</v>
      </c>
    </row>
    <row r="8525" spans="1:10" x14ac:dyDescent="0.25">
      <c r="A8525">
        <v>9566</v>
      </c>
      <c r="B8525" t="s">
        <v>531</v>
      </c>
      <c r="C8525">
        <v>510</v>
      </c>
      <c r="D8525">
        <v>595</v>
      </c>
      <c r="E8525">
        <v>0</v>
      </c>
      <c r="F8525">
        <v>269</v>
      </c>
      <c r="G8525">
        <v>0</v>
      </c>
      <c r="H8525" t="s">
        <v>13441</v>
      </c>
      <c r="I8525">
        <v>9566</v>
      </c>
      <c r="J8525" t="e">
        <f>VLOOKUP(E8525,DSSpieler!A:B,2,FALSE)</f>
        <v>#N/A</v>
      </c>
    </row>
    <row r="8526" spans="1:10" x14ac:dyDescent="0.25">
      <c r="A8526">
        <v>9567</v>
      </c>
      <c r="B8526" t="s">
        <v>593</v>
      </c>
      <c r="C8526">
        <v>426</v>
      </c>
      <c r="D8526">
        <v>562</v>
      </c>
      <c r="E8526">
        <v>1577198794</v>
      </c>
      <c r="F8526">
        <v>5878</v>
      </c>
      <c r="G8526">
        <v>0</v>
      </c>
      <c r="H8526" t="s">
        <v>13442</v>
      </c>
      <c r="I8526">
        <v>9567</v>
      </c>
      <c r="J8526" t="str">
        <f>VLOOKUP(E8526,DSSpieler!A:B,2,FALSE)</f>
        <v>Quambec</v>
      </c>
    </row>
    <row r="8527" spans="1:10" x14ac:dyDescent="0.25">
      <c r="A8527">
        <v>9568</v>
      </c>
      <c r="B8527" t="s">
        <v>531</v>
      </c>
      <c r="C8527">
        <v>447</v>
      </c>
      <c r="D8527">
        <v>578</v>
      </c>
      <c r="E8527">
        <v>0</v>
      </c>
      <c r="F8527">
        <v>301</v>
      </c>
      <c r="G8527">
        <v>0</v>
      </c>
      <c r="H8527" t="s">
        <v>13443</v>
      </c>
      <c r="I8527">
        <v>9568</v>
      </c>
      <c r="J8527" t="e">
        <f>VLOOKUP(E8527,DSSpieler!A:B,2,FALSE)</f>
        <v>#N/A</v>
      </c>
    </row>
    <row r="8528" spans="1:10" x14ac:dyDescent="0.25">
      <c r="A8528">
        <v>9569</v>
      </c>
      <c r="B8528" t="s">
        <v>531</v>
      </c>
      <c r="C8528">
        <v>406</v>
      </c>
      <c r="D8528">
        <v>521</v>
      </c>
      <c r="E8528">
        <v>0</v>
      </c>
      <c r="F8528">
        <v>282</v>
      </c>
      <c r="G8528">
        <v>0</v>
      </c>
      <c r="H8528" t="s">
        <v>13444</v>
      </c>
      <c r="I8528">
        <v>9569</v>
      </c>
      <c r="J8528" t="e">
        <f>VLOOKUP(E8528,DSSpieler!A:B,2,FALSE)</f>
        <v>#N/A</v>
      </c>
    </row>
    <row r="8529" spans="1:10" x14ac:dyDescent="0.25">
      <c r="A8529">
        <v>9570</v>
      </c>
      <c r="B8529" t="s">
        <v>531</v>
      </c>
      <c r="C8529">
        <v>431</v>
      </c>
      <c r="D8529">
        <v>435</v>
      </c>
      <c r="E8529">
        <v>0</v>
      </c>
      <c r="F8529">
        <v>254</v>
      </c>
      <c r="G8529">
        <v>0</v>
      </c>
      <c r="H8529" t="s">
        <v>13445</v>
      </c>
      <c r="I8529">
        <v>9570</v>
      </c>
      <c r="J8529" t="e">
        <f>VLOOKUP(E8529,DSSpieler!A:B,2,FALSE)</f>
        <v>#N/A</v>
      </c>
    </row>
    <row r="8530" spans="1:10" x14ac:dyDescent="0.25">
      <c r="A8530">
        <v>9571</v>
      </c>
      <c r="B8530" t="s">
        <v>1644</v>
      </c>
      <c r="C8530">
        <v>478</v>
      </c>
      <c r="D8530">
        <v>416</v>
      </c>
      <c r="E8530">
        <v>1577197588</v>
      </c>
      <c r="F8530">
        <v>5809</v>
      </c>
      <c r="G8530">
        <v>0</v>
      </c>
      <c r="H8530" t="s">
        <v>13446</v>
      </c>
      <c r="I8530">
        <v>9571</v>
      </c>
      <c r="J8530" t="str">
        <f>VLOOKUP(E8530,DSSpieler!A:B,2,FALSE)</f>
        <v>Spitzkopflarryyy</v>
      </c>
    </row>
    <row r="8531" spans="1:10" x14ac:dyDescent="0.25">
      <c r="A8531">
        <v>9572</v>
      </c>
      <c r="B8531" t="s">
        <v>1809</v>
      </c>
      <c r="C8531">
        <v>507</v>
      </c>
      <c r="D8531">
        <v>538</v>
      </c>
      <c r="E8531">
        <v>1577188511</v>
      </c>
      <c r="F8531">
        <v>1975</v>
      </c>
      <c r="G8531">
        <v>0</v>
      </c>
      <c r="H8531" t="s">
        <v>13447</v>
      </c>
      <c r="I8531">
        <v>9572</v>
      </c>
      <c r="J8531" t="str">
        <f>VLOOKUP(E8531,DSSpieler!A:B,2,FALSE)</f>
        <v>Diek118</v>
      </c>
    </row>
    <row r="8532" spans="1:10" x14ac:dyDescent="0.25">
      <c r="A8532">
        <v>9573</v>
      </c>
      <c r="B8532">
        <v>7</v>
      </c>
      <c r="C8532">
        <v>397</v>
      </c>
      <c r="D8532">
        <v>498</v>
      </c>
      <c r="E8532">
        <v>9642632</v>
      </c>
      <c r="F8532">
        <v>4888</v>
      </c>
      <c r="G8532">
        <v>0</v>
      </c>
      <c r="H8532" t="s">
        <v>13448</v>
      </c>
      <c r="I8532">
        <v>9573</v>
      </c>
      <c r="J8532" t="str">
        <f>VLOOKUP(E8532,DSSpieler!A:B,2,FALSE)</f>
        <v>Micha041</v>
      </c>
    </row>
    <row r="8533" spans="1:10" x14ac:dyDescent="0.25">
      <c r="A8533">
        <v>9574</v>
      </c>
      <c r="B8533" t="s">
        <v>33637</v>
      </c>
      <c r="C8533">
        <v>493</v>
      </c>
      <c r="D8533">
        <v>406</v>
      </c>
      <c r="E8533">
        <v>7777802</v>
      </c>
      <c r="F8533">
        <v>4890</v>
      </c>
      <c r="G8533">
        <v>0</v>
      </c>
      <c r="H8533" t="s">
        <v>13449</v>
      </c>
      <c r="I8533">
        <v>9574</v>
      </c>
      <c r="J8533" t="str">
        <f>VLOOKUP(E8533,DSSpieler!A:B,2,FALSE)</f>
        <v>Taramis</v>
      </c>
    </row>
    <row r="8534" spans="1:10" x14ac:dyDescent="0.25">
      <c r="A8534">
        <v>9575</v>
      </c>
      <c r="B8534">
        <v>3</v>
      </c>
      <c r="C8534">
        <v>449</v>
      </c>
      <c r="D8534">
        <v>579</v>
      </c>
      <c r="E8534">
        <v>1577165289</v>
      </c>
      <c r="F8534">
        <v>852</v>
      </c>
      <c r="G8534">
        <v>0</v>
      </c>
      <c r="H8534" t="s">
        <v>13450</v>
      </c>
      <c r="I8534">
        <v>9575</v>
      </c>
      <c r="J8534" t="str">
        <f>VLOOKUP(E8534,DSSpieler!A:B,2,FALSE)</f>
        <v>Ragnar Lockbrock</v>
      </c>
    </row>
    <row r="8535" spans="1:10" x14ac:dyDescent="0.25">
      <c r="A8535">
        <v>9576</v>
      </c>
      <c r="B8535" t="s">
        <v>33638</v>
      </c>
      <c r="C8535">
        <v>434</v>
      </c>
      <c r="D8535">
        <v>450</v>
      </c>
      <c r="E8535">
        <v>9350607</v>
      </c>
      <c r="F8535">
        <v>5184</v>
      </c>
      <c r="G8535">
        <v>0</v>
      </c>
      <c r="H8535" t="s">
        <v>13451</v>
      </c>
      <c r="I8535">
        <v>9576</v>
      </c>
      <c r="J8535" t="str">
        <f>VLOOKUP(E8535,DSSpieler!A:B,2,FALSE)</f>
        <v>Fidor23</v>
      </c>
    </row>
    <row r="8536" spans="1:10" x14ac:dyDescent="0.25">
      <c r="A8536">
        <v>9577</v>
      </c>
      <c r="B8536" t="s">
        <v>531</v>
      </c>
      <c r="C8536">
        <v>577</v>
      </c>
      <c r="D8536">
        <v>445</v>
      </c>
      <c r="E8536">
        <v>0</v>
      </c>
      <c r="F8536">
        <v>352</v>
      </c>
      <c r="G8536">
        <v>0</v>
      </c>
      <c r="H8536" t="s">
        <v>13452</v>
      </c>
      <c r="I8536">
        <v>9577</v>
      </c>
      <c r="J8536" t="e">
        <f>VLOOKUP(E8536,DSSpieler!A:B,2,FALSE)</f>
        <v>#N/A</v>
      </c>
    </row>
    <row r="8537" spans="1:10" x14ac:dyDescent="0.25">
      <c r="A8537">
        <v>9578</v>
      </c>
      <c r="B8537" t="s">
        <v>1810</v>
      </c>
      <c r="C8537">
        <v>446</v>
      </c>
      <c r="D8537">
        <v>586</v>
      </c>
      <c r="E8537">
        <v>1577151778</v>
      </c>
      <c r="F8537">
        <v>1853</v>
      </c>
      <c r="G8537">
        <v>0</v>
      </c>
      <c r="H8537" t="s">
        <v>13453</v>
      </c>
      <c r="I8537">
        <v>9578</v>
      </c>
      <c r="J8537" t="str">
        <f>VLOOKUP(E8537,DSSpieler!A:B,2,FALSE)</f>
        <v>slawik</v>
      </c>
    </row>
    <row r="8538" spans="1:10" x14ac:dyDescent="0.25">
      <c r="A8538">
        <v>9579</v>
      </c>
      <c r="B8538" t="s">
        <v>531</v>
      </c>
      <c r="C8538">
        <v>405</v>
      </c>
      <c r="D8538">
        <v>482</v>
      </c>
      <c r="E8538">
        <v>0</v>
      </c>
      <c r="F8538">
        <v>343</v>
      </c>
      <c r="G8538">
        <v>0</v>
      </c>
      <c r="H8538" t="s">
        <v>13454</v>
      </c>
      <c r="I8538">
        <v>9579</v>
      </c>
      <c r="J8538" t="e">
        <f>VLOOKUP(E8538,DSSpieler!A:B,2,FALSE)</f>
        <v>#N/A</v>
      </c>
    </row>
    <row r="8539" spans="1:10" x14ac:dyDescent="0.25">
      <c r="A8539">
        <v>9581</v>
      </c>
      <c r="B8539" t="s">
        <v>33639</v>
      </c>
      <c r="C8539">
        <v>506</v>
      </c>
      <c r="D8539">
        <v>405</v>
      </c>
      <c r="E8539">
        <v>1577184776</v>
      </c>
      <c r="F8539">
        <v>6132</v>
      </c>
      <c r="G8539">
        <v>0</v>
      </c>
      <c r="H8539" t="s">
        <v>13455</v>
      </c>
      <c r="I8539">
        <v>9581</v>
      </c>
      <c r="J8539" t="str">
        <f>VLOOKUP(E8539,DSSpieler!A:B,2,FALSE)</f>
        <v>Kutshniac</v>
      </c>
    </row>
    <row r="8540" spans="1:10" x14ac:dyDescent="0.25">
      <c r="A8540">
        <v>9582</v>
      </c>
      <c r="B8540" t="s">
        <v>780</v>
      </c>
      <c r="C8540">
        <v>606</v>
      </c>
      <c r="D8540">
        <v>507</v>
      </c>
      <c r="E8540">
        <v>1577133527</v>
      </c>
      <c r="F8540">
        <v>6094</v>
      </c>
      <c r="G8540">
        <v>0</v>
      </c>
      <c r="H8540" t="s">
        <v>13456</v>
      </c>
      <c r="I8540">
        <v>9582</v>
      </c>
      <c r="J8540" t="str">
        <f>VLOOKUP(E8540,DSSpieler!A:B,2,FALSE)</f>
        <v>Joah Theron</v>
      </c>
    </row>
    <row r="8541" spans="1:10" x14ac:dyDescent="0.25">
      <c r="A8541">
        <v>9583</v>
      </c>
      <c r="B8541" t="s">
        <v>610</v>
      </c>
      <c r="C8541">
        <v>592</v>
      </c>
      <c r="D8541">
        <v>457</v>
      </c>
      <c r="E8541">
        <v>1577141115</v>
      </c>
      <c r="F8541">
        <v>5154</v>
      </c>
      <c r="G8541">
        <v>0</v>
      </c>
      <c r="H8541" t="s">
        <v>13457</v>
      </c>
      <c r="I8541">
        <v>9583</v>
      </c>
      <c r="J8541" t="str">
        <f>VLOOKUP(E8541,DSSpieler!A:B,2,FALSE)</f>
        <v>MJ267-</v>
      </c>
    </row>
    <row r="8542" spans="1:10" x14ac:dyDescent="0.25">
      <c r="A8542">
        <v>9584</v>
      </c>
      <c r="B8542" t="s">
        <v>531</v>
      </c>
      <c r="C8542">
        <v>413</v>
      </c>
      <c r="D8542">
        <v>535</v>
      </c>
      <c r="E8542">
        <v>0</v>
      </c>
      <c r="F8542">
        <v>390</v>
      </c>
      <c r="G8542">
        <v>0</v>
      </c>
      <c r="H8542" t="s">
        <v>13458</v>
      </c>
      <c r="I8542">
        <v>9584</v>
      </c>
      <c r="J8542" t="e">
        <f>VLOOKUP(E8542,DSSpieler!A:B,2,FALSE)</f>
        <v>#N/A</v>
      </c>
    </row>
    <row r="8543" spans="1:10" x14ac:dyDescent="0.25">
      <c r="A8543">
        <v>9585</v>
      </c>
      <c r="B8543" t="s">
        <v>33640</v>
      </c>
      <c r="C8543">
        <v>449</v>
      </c>
      <c r="D8543">
        <v>452</v>
      </c>
      <c r="E8543">
        <v>7837965</v>
      </c>
      <c r="F8543">
        <v>5483</v>
      </c>
      <c r="G8543">
        <v>0</v>
      </c>
      <c r="H8543" t="s">
        <v>13459</v>
      </c>
      <c r="I8543">
        <v>9585</v>
      </c>
      <c r="J8543" t="str">
        <f>VLOOKUP(E8543,DSSpieler!A:B,2,FALSE)</f>
        <v>Das Katzenvieh</v>
      </c>
    </row>
    <row r="8544" spans="1:10" x14ac:dyDescent="0.25">
      <c r="A8544">
        <v>9586</v>
      </c>
      <c r="B8544" t="s">
        <v>33641</v>
      </c>
      <c r="C8544">
        <v>554</v>
      </c>
      <c r="D8544">
        <v>578</v>
      </c>
      <c r="E8544">
        <v>1577044240</v>
      </c>
      <c r="F8544">
        <v>4896</v>
      </c>
      <c r="G8544">
        <v>0</v>
      </c>
      <c r="H8544" t="s">
        <v>13460</v>
      </c>
      <c r="I8544">
        <v>9586</v>
      </c>
      <c r="J8544" t="str">
        <f>VLOOKUP(E8544,DSSpieler!A:B,2,FALSE)</f>
        <v>Inaktiv-Keine-Zeit</v>
      </c>
    </row>
    <row r="8545" spans="1:10" x14ac:dyDescent="0.25">
      <c r="A8545">
        <v>9587</v>
      </c>
      <c r="B8545" t="s">
        <v>1811</v>
      </c>
      <c r="C8545">
        <v>445</v>
      </c>
      <c r="D8545">
        <v>576</v>
      </c>
      <c r="E8545">
        <v>1577197444</v>
      </c>
      <c r="F8545">
        <v>6543</v>
      </c>
      <c r="G8545">
        <v>0</v>
      </c>
      <c r="H8545" t="s">
        <v>13461</v>
      </c>
      <c r="I8545">
        <v>9587</v>
      </c>
      <c r="J8545" t="str">
        <f>VLOOKUP(E8545,DSSpieler!A:B,2,FALSE)</f>
        <v>Tiberius Quintus</v>
      </c>
    </row>
    <row r="8546" spans="1:10" x14ac:dyDescent="0.25">
      <c r="A8546">
        <v>9588</v>
      </c>
      <c r="B8546" t="s">
        <v>1812</v>
      </c>
      <c r="C8546">
        <v>589</v>
      </c>
      <c r="D8546">
        <v>533</v>
      </c>
      <c r="E8546">
        <v>8318485</v>
      </c>
      <c r="F8546">
        <v>2577</v>
      </c>
      <c r="G8546">
        <v>0</v>
      </c>
      <c r="H8546" t="s">
        <v>13462</v>
      </c>
      <c r="I8546">
        <v>9588</v>
      </c>
      <c r="J8546" t="str">
        <f>VLOOKUP(E8546,DSSpieler!A:B,2,FALSE)</f>
        <v>kreutzriter</v>
      </c>
    </row>
    <row r="8547" spans="1:10" x14ac:dyDescent="0.25">
      <c r="A8547">
        <v>9589</v>
      </c>
      <c r="B8547" t="s">
        <v>531</v>
      </c>
      <c r="C8547">
        <v>452</v>
      </c>
      <c r="D8547">
        <v>585</v>
      </c>
      <c r="E8547">
        <v>0</v>
      </c>
      <c r="F8547">
        <v>342</v>
      </c>
      <c r="G8547">
        <v>0</v>
      </c>
      <c r="H8547" t="s">
        <v>13463</v>
      </c>
      <c r="I8547">
        <v>9589</v>
      </c>
      <c r="J8547" t="e">
        <f>VLOOKUP(E8547,DSSpieler!A:B,2,FALSE)</f>
        <v>#N/A</v>
      </c>
    </row>
    <row r="8548" spans="1:10" x14ac:dyDescent="0.25">
      <c r="A8548">
        <v>9590</v>
      </c>
      <c r="B8548" t="s">
        <v>673</v>
      </c>
      <c r="C8548">
        <v>449</v>
      </c>
      <c r="D8548">
        <v>417</v>
      </c>
      <c r="E8548">
        <v>1576671087</v>
      </c>
      <c r="F8548">
        <v>4318</v>
      </c>
      <c r="G8548">
        <v>0</v>
      </c>
      <c r="H8548" t="s">
        <v>13464</v>
      </c>
      <c r="I8548">
        <v>9590</v>
      </c>
      <c r="J8548" t="str">
        <f>VLOOKUP(E8548,DSSpieler!A:B,2,FALSE)</f>
        <v>Knallhart</v>
      </c>
    </row>
    <row r="8549" spans="1:10" x14ac:dyDescent="0.25">
      <c r="A8549">
        <v>9592</v>
      </c>
      <c r="B8549" t="s">
        <v>531</v>
      </c>
      <c r="C8549">
        <v>548</v>
      </c>
      <c r="D8549">
        <v>416</v>
      </c>
      <c r="E8549">
        <v>0</v>
      </c>
      <c r="F8549">
        <v>1157</v>
      </c>
      <c r="G8549">
        <v>0</v>
      </c>
      <c r="H8549" t="s">
        <v>13465</v>
      </c>
      <c r="I8549">
        <v>9592</v>
      </c>
      <c r="J8549" t="e">
        <f>VLOOKUP(E8549,DSSpieler!A:B,2,FALSE)</f>
        <v>#N/A</v>
      </c>
    </row>
    <row r="8550" spans="1:10" x14ac:dyDescent="0.25">
      <c r="A8550">
        <v>9593</v>
      </c>
      <c r="B8550" t="s">
        <v>33642</v>
      </c>
      <c r="C8550">
        <v>476</v>
      </c>
      <c r="D8550">
        <v>423</v>
      </c>
      <c r="E8550">
        <v>1576680977</v>
      </c>
      <c r="F8550">
        <v>6754</v>
      </c>
      <c r="G8550">
        <v>0</v>
      </c>
      <c r="H8550" t="s">
        <v>13466</v>
      </c>
      <c r="I8550">
        <v>9593</v>
      </c>
      <c r="J8550" t="str">
        <f>VLOOKUP(E8550,DSSpieler!A:B,2,FALSE)</f>
        <v>HeavenKeeper</v>
      </c>
    </row>
    <row r="8551" spans="1:10" x14ac:dyDescent="0.25">
      <c r="A8551">
        <v>9594</v>
      </c>
      <c r="B8551" t="s">
        <v>33643</v>
      </c>
      <c r="C8551">
        <v>590</v>
      </c>
      <c r="D8551">
        <v>443</v>
      </c>
      <c r="E8551">
        <v>8374321</v>
      </c>
      <c r="F8551">
        <v>8850</v>
      </c>
      <c r="G8551">
        <v>0</v>
      </c>
      <c r="H8551" t="s">
        <v>13467</v>
      </c>
      <c r="I8551">
        <v>9594</v>
      </c>
      <c r="J8551" t="str">
        <f>VLOOKUP(E8551,DSSpieler!A:B,2,FALSE)</f>
        <v>WindLegioner</v>
      </c>
    </row>
    <row r="8552" spans="1:10" x14ac:dyDescent="0.25">
      <c r="A8552">
        <v>9595</v>
      </c>
      <c r="B8552">
        <v>3</v>
      </c>
      <c r="C8552">
        <v>441</v>
      </c>
      <c r="D8552">
        <v>565</v>
      </c>
      <c r="E8552">
        <v>1577198067</v>
      </c>
      <c r="F8552">
        <v>5762</v>
      </c>
      <c r="G8552">
        <v>0</v>
      </c>
      <c r="H8552" t="s">
        <v>13468</v>
      </c>
      <c r="I8552">
        <v>9595</v>
      </c>
      <c r="J8552" t="str">
        <f>VLOOKUP(E8552,DSSpieler!A:B,2,FALSE)</f>
        <v>Sinthoras13</v>
      </c>
    </row>
    <row r="8553" spans="1:10" x14ac:dyDescent="0.25">
      <c r="A8553">
        <v>9596</v>
      </c>
      <c r="B8553">
        <v>2</v>
      </c>
      <c r="C8553">
        <v>405</v>
      </c>
      <c r="D8553">
        <v>477</v>
      </c>
      <c r="E8553">
        <v>9931122</v>
      </c>
      <c r="F8553">
        <v>2562</v>
      </c>
      <c r="G8553">
        <v>0</v>
      </c>
      <c r="H8553" t="s">
        <v>13469</v>
      </c>
      <c r="I8553">
        <v>9596</v>
      </c>
      <c r="J8553" t="str">
        <f>VLOOKUP(E8553,DSSpieler!A:B,2,FALSE)</f>
        <v>Sayler1</v>
      </c>
    </row>
    <row r="8554" spans="1:10" x14ac:dyDescent="0.25">
      <c r="A8554">
        <v>9597</v>
      </c>
      <c r="B8554" t="s">
        <v>33644</v>
      </c>
      <c r="C8554">
        <v>455</v>
      </c>
      <c r="D8554">
        <v>416</v>
      </c>
      <c r="E8554">
        <v>10067662</v>
      </c>
      <c r="F8554">
        <v>4624</v>
      </c>
      <c r="G8554">
        <v>0</v>
      </c>
      <c r="H8554" t="s">
        <v>13470</v>
      </c>
      <c r="I8554">
        <v>9597</v>
      </c>
      <c r="J8554" t="str">
        <f>VLOOKUP(E8554,DSSpieler!A:B,2,FALSE)</f>
        <v>DoctorKaBoom</v>
      </c>
    </row>
    <row r="8555" spans="1:10" x14ac:dyDescent="0.25">
      <c r="A8555">
        <v>9598</v>
      </c>
      <c r="B8555" t="s">
        <v>780</v>
      </c>
      <c r="C8555">
        <v>609</v>
      </c>
      <c r="D8555">
        <v>518</v>
      </c>
      <c r="E8555">
        <v>1577127763</v>
      </c>
      <c r="F8555">
        <v>3114</v>
      </c>
      <c r="G8555">
        <v>0</v>
      </c>
      <c r="H8555" t="s">
        <v>13471</v>
      </c>
      <c r="I8555">
        <v>9598</v>
      </c>
      <c r="J8555" t="str">
        <f>VLOOKUP(E8555,DSSpieler!A:B,2,FALSE)</f>
        <v>Lord PickleRick</v>
      </c>
    </row>
    <row r="8556" spans="1:10" x14ac:dyDescent="0.25">
      <c r="A8556">
        <v>9599</v>
      </c>
      <c r="B8556" t="s">
        <v>531</v>
      </c>
      <c r="C8556">
        <v>594</v>
      </c>
      <c r="D8556">
        <v>504</v>
      </c>
      <c r="E8556">
        <v>0</v>
      </c>
      <c r="F8556">
        <v>313</v>
      </c>
      <c r="G8556">
        <v>0</v>
      </c>
      <c r="H8556" t="s">
        <v>13472</v>
      </c>
      <c r="I8556">
        <v>9599</v>
      </c>
      <c r="J8556" t="e">
        <f>VLOOKUP(E8556,DSSpieler!A:B,2,FALSE)</f>
        <v>#N/A</v>
      </c>
    </row>
    <row r="8557" spans="1:10" x14ac:dyDescent="0.25">
      <c r="A8557">
        <v>9600</v>
      </c>
      <c r="B8557" t="s">
        <v>33645</v>
      </c>
      <c r="C8557">
        <v>569</v>
      </c>
      <c r="D8557">
        <v>439</v>
      </c>
      <c r="E8557">
        <v>1575990065</v>
      </c>
      <c r="F8557">
        <v>6644</v>
      </c>
      <c r="G8557">
        <v>0</v>
      </c>
      <c r="H8557" t="s">
        <v>13473</v>
      </c>
      <c r="I8557">
        <v>9600</v>
      </c>
      <c r="J8557" t="str">
        <f>VLOOKUP(E8557,DSSpieler!A:B,2,FALSE)</f>
        <v>King Dom</v>
      </c>
    </row>
    <row r="8558" spans="1:10" x14ac:dyDescent="0.25">
      <c r="A8558">
        <v>9601</v>
      </c>
      <c r="B8558" t="s">
        <v>33646</v>
      </c>
      <c r="C8558">
        <v>598</v>
      </c>
      <c r="D8558">
        <v>473</v>
      </c>
      <c r="E8558">
        <v>1577175387</v>
      </c>
      <c r="F8558">
        <v>5362</v>
      </c>
      <c r="G8558">
        <v>0</v>
      </c>
      <c r="H8558" t="s">
        <v>13474</v>
      </c>
      <c r="I8558">
        <v>9601</v>
      </c>
      <c r="J8558" t="str">
        <f>VLOOKUP(E8558,DSSpieler!A:B,2,FALSE)</f>
        <v>Rand*</v>
      </c>
    </row>
    <row r="8559" spans="1:10" x14ac:dyDescent="0.25">
      <c r="A8559">
        <v>9602</v>
      </c>
      <c r="B8559" t="s">
        <v>531</v>
      </c>
      <c r="C8559">
        <v>497</v>
      </c>
      <c r="D8559">
        <v>406</v>
      </c>
      <c r="E8559">
        <v>0</v>
      </c>
      <c r="F8559">
        <v>208</v>
      </c>
      <c r="G8559">
        <v>0</v>
      </c>
      <c r="H8559" t="s">
        <v>13475</v>
      </c>
      <c r="I8559">
        <v>9602</v>
      </c>
      <c r="J8559" t="e">
        <f>VLOOKUP(E8559,DSSpieler!A:B,2,FALSE)</f>
        <v>#N/A</v>
      </c>
    </row>
    <row r="8560" spans="1:10" x14ac:dyDescent="0.25">
      <c r="A8560">
        <v>9603</v>
      </c>
      <c r="B8560" t="s">
        <v>30817</v>
      </c>
      <c r="C8560">
        <v>591</v>
      </c>
      <c r="D8560">
        <v>518</v>
      </c>
      <c r="E8560">
        <v>1577170716</v>
      </c>
      <c r="F8560">
        <v>7081</v>
      </c>
      <c r="G8560">
        <v>0</v>
      </c>
      <c r="H8560" t="s">
        <v>13476</v>
      </c>
      <c r="I8560">
        <v>9603</v>
      </c>
      <c r="J8560" t="str">
        <f>VLOOKUP(E8560,DSSpieler!A:B,2,FALSE)</f>
        <v>Perser-Krieger</v>
      </c>
    </row>
    <row r="8561" spans="1:10" x14ac:dyDescent="0.25">
      <c r="A8561">
        <v>9604</v>
      </c>
      <c r="B8561" t="s">
        <v>33647</v>
      </c>
      <c r="C8561">
        <v>438</v>
      </c>
      <c r="D8561">
        <v>429</v>
      </c>
      <c r="E8561">
        <v>1577177525</v>
      </c>
      <c r="F8561">
        <v>3326</v>
      </c>
      <c r="G8561">
        <v>0</v>
      </c>
      <c r="H8561" t="s">
        <v>13477</v>
      </c>
      <c r="I8561">
        <v>9604</v>
      </c>
      <c r="J8561" t="str">
        <f>VLOOKUP(E8561,DSSpieler!A:B,2,FALSE)</f>
        <v>Nightmarry</v>
      </c>
    </row>
    <row r="8562" spans="1:10" x14ac:dyDescent="0.25">
      <c r="A8562">
        <v>9605</v>
      </c>
      <c r="B8562" t="s">
        <v>531</v>
      </c>
      <c r="C8562">
        <v>411</v>
      </c>
      <c r="D8562">
        <v>464</v>
      </c>
      <c r="E8562">
        <v>0</v>
      </c>
      <c r="F8562">
        <v>235</v>
      </c>
      <c r="G8562">
        <v>0</v>
      </c>
      <c r="H8562" t="s">
        <v>13478</v>
      </c>
      <c r="I8562">
        <v>9605</v>
      </c>
      <c r="J8562" t="e">
        <f>VLOOKUP(E8562,DSSpieler!A:B,2,FALSE)</f>
        <v>#N/A</v>
      </c>
    </row>
    <row r="8563" spans="1:10" x14ac:dyDescent="0.25">
      <c r="A8563">
        <v>9608</v>
      </c>
      <c r="B8563">
        <v>-1</v>
      </c>
      <c r="C8563">
        <v>455</v>
      </c>
      <c r="D8563">
        <v>558</v>
      </c>
      <c r="E8563">
        <v>1577185886</v>
      </c>
      <c r="F8563">
        <v>6638</v>
      </c>
      <c r="G8563">
        <v>0</v>
      </c>
      <c r="H8563" t="s">
        <v>13479</v>
      </c>
      <c r="I8563">
        <v>9608</v>
      </c>
      <c r="J8563" t="str">
        <f>VLOOKUP(E8563,DSSpieler!A:B,2,FALSE)</f>
        <v>1Talent</v>
      </c>
    </row>
    <row r="8564" spans="1:10" x14ac:dyDescent="0.25">
      <c r="A8564">
        <v>9609</v>
      </c>
      <c r="B8564" t="s">
        <v>33648</v>
      </c>
      <c r="C8564">
        <v>530</v>
      </c>
      <c r="D8564">
        <v>578</v>
      </c>
      <c r="E8564">
        <v>1576901589</v>
      </c>
      <c r="F8564">
        <v>6587</v>
      </c>
      <c r="G8564">
        <v>0</v>
      </c>
      <c r="H8564" t="s">
        <v>13480</v>
      </c>
      <c r="I8564">
        <v>9609</v>
      </c>
      <c r="J8564" t="str">
        <f>VLOOKUP(E8564,DSSpieler!A:B,2,FALSE)</f>
        <v>KingKoelln</v>
      </c>
    </row>
    <row r="8565" spans="1:10" x14ac:dyDescent="0.25">
      <c r="A8565">
        <v>9610</v>
      </c>
      <c r="B8565" t="s">
        <v>33649</v>
      </c>
      <c r="C8565">
        <v>530</v>
      </c>
      <c r="D8565">
        <v>591</v>
      </c>
      <c r="E8565">
        <v>1575951772</v>
      </c>
      <c r="F8565">
        <v>6561</v>
      </c>
      <c r="G8565">
        <v>0</v>
      </c>
      <c r="H8565" t="s">
        <v>13481</v>
      </c>
      <c r="I8565">
        <v>9610</v>
      </c>
      <c r="J8565" t="str">
        <f>VLOOKUP(E8565,DSSpieler!A:B,2,FALSE)</f>
        <v>keylll</v>
      </c>
    </row>
    <row r="8566" spans="1:10" x14ac:dyDescent="0.25">
      <c r="A8566">
        <v>9611</v>
      </c>
      <c r="B8566" t="s">
        <v>531</v>
      </c>
      <c r="C8566">
        <v>444</v>
      </c>
      <c r="D8566">
        <v>489</v>
      </c>
      <c r="E8566">
        <v>0</v>
      </c>
      <c r="F8566">
        <v>575</v>
      </c>
      <c r="G8566">
        <v>0</v>
      </c>
      <c r="H8566" t="s">
        <v>13482</v>
      </c>
      <c r="I8566">
        <v>9611</v>
      </c>
      <c r="J8566" t="e">
        <f>VLOOKUP(E8566,DSSpieler!A:B,2,FALSE)</f>
        <v>#N/A</v>
      </c>
    </row>
    <row r="8567" spans="1:10" x14ac:dyDescent="0.25">
      <c r="A8567">
        <v>9612</v>
      </c>
      <c r="B8567" t="s">
        <v>531</v>
      </c>
      <c r="C8567">
        <v>523</v>
      </c>
      <c r="D8567">
        <v>593</v>
      </c>
      <c r="E8567">
        <v>0</v>
      </c>
      <c r="F8567">
        <v>495</v>
      </c>
      <c r="G8567">
        <v>0</v>
      </c>
      <c r="H8567" t="s">
        <v>13483</v>
      </c>
      <c r="I8567">
        <v>9612</v>
      </c>
      <c r="J8567" t="e">
        <f>VLOOKUP(E8567,DSSpieler!A:B,2,FALSE)</f>
        <v>#N/A</v>
      </c>
    </row>
    <row r="8568" spans="1:10" x14ac:dyDescent="0.25">
      <c r="A8568">
        <v>9614</v>
      </c>
      <c r="B8568" t="s">
        <v>33650</v>
      </c>
      <c r="C8568">
        <v>491</v>
      </c>
      <c r="D8568">
        <v>440</v>
      </c>
      <c r="E8568">
        <v>1577191747</v>
      </c>
      <c r="F8568">
        <v>7388</v>
      </c>
      <c r="G8568">
        <v>0</v>
      </c>
      <c r="H8568" t="s">
        <v>13484</v>
      </c>
      <c r="I8568">
        <v>9614</v>
      </c>
      <c r="J8568" t="str">
        <f>VLOOKUP(E8568,DSSpieler!A:B,2,FALSE)</f>
        <v>Stevie95</v>
      </c>
    </row>
    <row r="8569" spans="1:10" x14ac:dyDescent="0.25">
      <c r="A8569">
        <v>9615</v>
      </c>
      <c r="B8569" t="s">
        <v>926</v>
      </c>
      <c r="C8569">
        <v>449</v>
      </c>
      <c r="D8569">
        <v>470</v>
      </c>
      <c r="E8569">
        <v>1577187211</v>
      </c>
      <c r="F8569">
        <v>5335</v>
      </c>
      <c r="G8569">
        <v>0</v>
      </c>
      <c r="H8569" t="s">
        <v>13485</v>
      </c>
      <c r="I8569">
        <v>9615</v>
      </c>
      <c r="J8569" t="str">
        <f>VLOOKUP(E8569,DSSpieler!A:B,2,FALSE)</f>
        <v>August.iner</v>
      </c>
    </row>
    <row r="8570" spans="1:10" x14ac:dyDescent="0.25">
      <c r="A8570">
        <v>9616</v>
      </c>
      <c r="B8570" t="s">
        <v>531</v>
      </c>
      <c r="C8570">
        <v>579</v>
      </c>
      <c r="D8570">
        <v>443</v>
      </c>
      <c r="E8570">
        <v>0</v>
      </c>
      <c r="F8570">
        <v>787</v>
      </c>
      <c r="G8570">
        <v>0</v>
      </c>
      <c r="H8570" t="s">
        <v>13486</v>
      </c>
      <c r="I8570">
        <v>9616</v>
      </c>
      <c r="J8570" t="e">
        <f>VLOOKUP(E8570,DSSpieler!A:B,2,FALSE)</f>
        <v>#N/A</v>
      </c>
    </row>
    <row r="8571" spans="1:10" x14ac:dyDescent="0.25">
      <c r="A8571">
        <v>9618</v>
      </c>
      <c r="B8571" t="s">
        <v>531</v>
      </c>
      <c r="C8571">
        <v>444</v>
      </c>
      <c r="D8571">
        <v>421</v>
      </c>
      <c r="E8571">
        <v>0</v>
      </c>
      <c r="F8571">
        <v>191</v>
      </c>
      <c r="G8571">
        <v>0</v>
      </c>
      <c r="H8571" t="s">
        <v>13487</v>
      </c>
      <c r="I8571">
        <v>9618</v>
      </c>
      <c r="J8571" t="e">
        <f>VLOOKUP(E8571,DSSpieler!A:B,2,FALSE)</f>
        <v>#N/A</v>
      </c>
    </row>
    <row r="8572" spans="1:10" x14ac:dyDescent="0.25">
      <c r="A8572">
        <v>9619</v>
      </c>
      <c r="B8572" t="s">
        <v>1813</v>
      </c>
      <c r="C8572">
        <v>437</v>
      </c>
      <c r="D8572">
        <v>572</v>
      </c>
      <c r="E8572">
        <v>1576180527</v>
      </c>
      <c r="F8572">
        <v>4950</v>
      </c>
      <c r="G8572">
        <v>0</v>
      </c>
      <c r="H8572" t="s">
        <v>13488</v>
      </c>
      <c r="I8572">
        <v>9619</v>
      </c>
      <c r="J8572" t="str">
        <f>VLOOKUP(E8572,DSSpieler!A:B,2,FALSE)</f>
        <v>SMX FiiGhTA</v>
      </c>
    </row>
    <row r="8573" spans="1:10" x14ac:dyDescent="0.25">
      <c r="A8573">
        <v>9620</v>
      </c>
      <c r="B8573" t="s">
        <v>1505</v>
      </c>
      <c r="C8573">
        <v>527</v>
      </c>
      <c r="D8573">
        <v>520</v>
      </c>
      <c r="E8573">
        <v>8545785</v>
      </c>
      <c r="F8573">
        <v>6310</v>
      </c>
      <c r="G8573">
        <v>0</v>
      </c>
      <c r="H8573" t="s">
        <v>13489</v>
      </c>
      <c r="I8573">
        <v>9620</v>
      </c>
      <c r="J8573" t="str">
        <f>VLOOKUP(E8573,DSSpieler!A:B,2,FALSE)</f>
        <v>Nairolflol</v>
      </c>
    </row>
    <row r="8574" spans="1:10" x14ac:dyDescent="0.25">
      <c r="A8574">
        <v>9621</v>
      </c>
      <c r="B8574" t="s">
        <v>33651</v>
      </c>
      <c r="C8574">
        <v>509</v>
      </c>
      <c r="D8574">
        <v>596</v>
      </c>
      <c r="E8574">
        <v>7924203</v>
      </c>
      <c r="F8574">
        <v>6837</v>
      </c>
      <c r="G8574">
        <v>0</v>
      </c>
      <c r="H8574" t="s">
        <v>13490</v>
      </c>
      <c r="I8574">
        <v>9621</v>
      </c>
      <c r="J8574" t="str">
        <f>VLOOKUP(E8574,DSSpieler!A:B,2,FALSE)</f>
        <v>2*good*4*you</v>
      </c>
    </row>
    <row r="8575" spans="1:10" x14ac:dyDescent="0.25">
      <c r="A8575">
        <v>9622</v>
      </c>
      <c r="B8575" t="s">
        <v>33059</v>
      </c>
      <c r="C8575">
        <v>403</v>
      </c>
      <c r="D8575">
        <v>513</v>
      </c>
      <c r="E8575">
        <v>1576436373</v>
      </c>
      <c r="F8575">
        <v>7528</v>
      </c>
      <c r="G8575">
        <v>0</v>
      </c>
      <c r="H8575" t="s">
        <v>13491</v>
      </c>
      <c r="I8575">
        <v>9622</v>
      </c>
      <c r="J8575" t="str">
        <f>VLOOKUP(E8575,DSSpieler!A:B,2,FALSE)</f>
        <v>Ds-Koryphäe</v>
      </c>
    </row>
    <row r="8576" spans="1:10" x14ac:dyDescent="0.25">
      <c r="A8576">
        <v>9623</v>
      </c>
      <c r="B8576" t="s">
        <v>531</v>
      </c>
      <c r="C8576">
        <v>470</v>
      </c>
      <c r="D8576">
        <v>407</v>
      </c>
      <c r="E8576">
        <v>0</v>
      </c>
      <c r="F8576">
        <v>382</v>
      </c>
      <c r="G8576">
        <v>0</v>
      </c>
      <c r="H8576" t="s">
        <v>13492</v>
      </c>
      <c r="I8576">
        <v>9623</v>
      </c>
      <c r="J8576" t="e">
        <f>VLOOKUP(E8576,DSSpieler!A:B,2,FALSE)</f>
        <v>#N/A</v>
      </c>
    </row>
    <row r="8577" spans="1:10" x14ac:dyDescent="0.25">
      <c r="A8577">
        <v>9625</v>
      </c>
      <c r="B8577" t="s">
        <v>33652</v>
      </c>
      <c r="C8577">
        <v>512</v>
      </c>
      <c r="D8577">
        <v>597</v>
      </c>
      <c r="E8577">
        <v>1577114766</v>
      </c>
      <c r="F8577">
        <v>6008</v>
      </c>
      <c r="G8577">
        <v>0</v>
      </c>
      <c r="H8577" t="s">
        <v>13493</v>
      </c>
      <c r="I8577">
        <v>9625</v>
      </c>
      <c r="J8577" t="str">
        <f>VLOOKUP(E8577,DSSpieler!A:B,2,FALSE)</f>
        <v>save.maschine</v>
      </c>
    </row>
    <row r="8578" spans="1:10" x14ac:dyDescent="0.25">
      <c r="A8578">
        <v>9626</v>
      </c>
      <c r="B8578" t="s">
        <v>531</v>
      </c>
      <c r="C8578">
        <v>409</v>
      </c>
      <c r="D8578">
        <v>469</v>
      </c>
      <c r="E8578">
        <v>0</v>
      </c>
      <c r="F8578">
        <v>363</v>
      </c>
      <c r="G8578">
        <v>0</v>
      </c>
      <c r="H8578" t="s">
        <v>13494</v>
      </c>
      <c r="I8578">
        <v>9626</v>
      </c>
      <c r="J8578" t="e">
        <f>VLOOKUP(E8578,DSSpieler!A:B,2,FALSE)</f>
        <v>#N/A</v>
      </c>
    </row>
    <row r="8579" spans="1:10" x14ac:dyDescent="0.25">
      <c r="A8579">
        <v>9627</v>
      </c>
      <c r="B8579" t="s">
        <v>33653</v>
      </c>
      <c r="C8579">
        <v>587</v>
      </c>
      <c r="D8579">
        <v>457</v>
      </c>
      <c r="E8579">
        <v>1577174546</v>
      </c>
      <c r="F8579">
        <v>4027</v>
      </c>
      <c r="G8579">
        <v>0</v>
      </c>
      <c r="H8579" t="s">
        <v>13495</v>
      </c>
      <c r="I8579">
        <v>9627</v>
      </c>
      <c r="J8579" t="str">
        <f>VLOOKUP(E8579,DSSpieler!A:B,2,FALSE)</f>
        <v>olenhio</v>
      </c>
    </row>
    <row r="8580" spans="1:10" x14ac:dyDescent="0.25">
      <c r="A8580">
        <v>9628</v>
      </c>
      <c r="B8580" t="s">
        <v>531</v>
      </c>
      <c r="C8580">
        <v>460</v>
      </c>
      <c r="D8580">
        <v>584</v>
      </c>
      <c r="E8580">
        <v>0</v>
      </c>
      <c r="F8580">
        <v>184</v>
      </c>
      <c r="G8580">
        <v>0</v>
      </c>
      <c r="H8580" t="s">
        <v>13496</v>
      </c>
      <c r="I8580">
        <v>9628</v>
      </c>
      <c r="J8580" t="e">
        <f>VLOOKUP(E8580,DSSpieler!A:B,2,FALSE)</f>
        <v>#N/A</v>
      </c>
    </row>
    <row r="8581" spans="1:10" x14ac:dyDescent="0.25">
      <c r="A8581">
        <v>9630</v>
      </c>
      <c r="B8581" t="s">
        <v>33654</v>
      </c>
      <c r="C8581">
        <v>406</v>
      </c>
      <c r="D8581">
        <v>504</v>
      </c>
      <c r="E8581">
        <v>978765</v>
      </c>
      <c r="F8581">
        <v>5883</v>
      </c>
      <c r="G8581">
        <v>0</v>
      </c>
      <c r="H8581" t="s">
        <v>13497</v>
      </c>
      <c r="I8581">
        <v>9630</v>
      </c>
      <c r="J8581" t="str">
        <f>VLOOKUP(E8581,DSSpieler!A:B,2,FALSE)</f>
        <v>Soundcraft Si Impact</v>
      </c>
    </row>
    <row r="8582" spans="1:10" x14ac:dyDescent="0.25">
      <c r="A8582">
        <v>9631</v>
      </c>
      <c r="B8582" t="s">
        <v>33655</v>
      </c>
      <c r="C8582">
        <v>416</v>
      </c>
      <c r="D8582">
        <v>478</v>
      </c>
      <c r="E8582">
        <v>1577045482</v>
      </c>
      <c r="F8582">
        <v>3141</v>
      </c>
      <c r="G8582">
        <v>0</v>
      </c>
      <c r="H8582" t="s">
        <v>13498</v>
      </c>
      <c r="I8582">
        <v>9631</v>
      </c>
      <c r="J8582" t="str">
        <f>VLOOKUP(E8582,DSSpieler!A:B,2,FALSE)</f>
        <v>braigans</v>
      </c>
    </row>
    <row r="8583" spans="1:10" x14ac:dyDescent="0.25">
      <c r="A8583">
        <v>9632</v>
      </c>
      <c r="B8583" t="s">
        <v>531</v>
      </c>
      <c r="C8583">
        <v>576</v>
      </c>
      <c r="D8583">
        <v>561</v>
      </c>
      <c r="E8583">
        <v>0</v>
      </c>
      <c r="F8583">
        <v>1369</v>
      </c>
      <c r="G8583">
        <v>0</v>
      </c>
      <c r="H8583" t="s">
        <v>13499</v>
      </c>
      <c r="I8583">
        <v>9632</v>
      </c>
      <c r="J8583" t="e">
        <f>VLOOKUP(E8583,DSSpieler!A:B,2,FALSE)</f>
        <v>#N/A</v>
      </c>
    </row>
    <row r="8584" spans="1:10" x14ac:dyDescent="0.25">
      <c r="A8584">
        <v>9633</v>
      </c>
      <c r="B8584" t="s">
        <v>33656</v>
      </c>
      <c r="C8584">
        <v>539</v>
      </c>
      <c r="D8584">
        <v>397</v>
      </c>
      <c r="E8584">
        <v>1576927352</v>
      </c>
      <c r="F8584">
        <v>4981</v>
      </c>
      <c r="G8584">
        <v>0</v>
      </c>
      <c r="H8584" t="s">
        <v>13500</v>
      </c>
      <c r="I8584">
        <v>9633</v>
      </c>
      <c r="J8584" t="str">
        <f>VLOOKUP(E8584,DSSpieler!A:B,2,FALSE)</f>
        <v>Candide</v>
      </c>
    </row>
    <row r="8585" spans="1:10" x14ac:dyDescent="0.25">
      <c r="A8585">
        <v>9634</v>
      </c>
      <c r="B8585" t="s">
        <v>1814</v>
      </c>
      <c r="C8585">
        <v>493</v>
      </c>
      <c r="D8585">
        <v>593</v>
      </c>
      <c r="E8585">
        <v>8909812</v>
      </c>
      <c r="F8585">
        <v>3870</v>
      </c>
      <c r="G8585">
        <v>0</v>
      </c>
      <c r="H8585" t="s">
        <v>13501</v>
      </c>
      <c r="I8585">
        <v>9634</v>
      </c>
      <c r="J8585" t="str">
        <f>VLOOKUP(E8585,DSSpieler!A:B,2,FALSE)</f>
        <v>--robi98--</v>
      </c>
    </row>
    <row r="8586" spans="1:10" x14ac:dyDescent="0.25">
      <c r="A8586">
        <v>9635</v>
      </c>
      <c r="B8586" t="s">
        <v>33657</v>
      </c>
      <c r="C8586">
        <v>544</v>
      </c>
      <c r="D8586">
        <v>588</v>
      </c>
      <c r="E8586">
        <v>1577198461</v>
      </c>
      <c r="F8586">
        <v>7460</v>
      </c>
      <c r="G8586">
        <v>0</v>
      </c>
      <c r="H8586" t="s">
        <v>13502</v>
      </c>
      <c r="I8586">
        <v>9635</v>
      </c>
      <c r="J8586" t="str">
        <f>VLOOKUP(E8586,DSSpieler!A:B,2,FALSE)</f>
        <v>MarcKackBob</v>
      </c>
    </row>
    <row r="8587" spans="1:10" x14ac:dyDescent="0.25">
      <c r="A8587">
        <v>9636</v>
      </c>
      <c r="B8587" t="s">
        <v>35819</v>
      </c>
      <c r="C8587">
        <v>571</v>
      </c>
      <c r="D8587">
        <v>544</v>
      </c>
      <c r="E8587">
        <v>3335085</v>
      </c>
      <c r="F8587">
        <v>6477</v>
      </c>
      <c r="G8587">
        <v>0</v>
      </c>
      <c r="H8587" t="s">
        <v>13503</v>
      </c>
      <c r="I8587">
        <v>9636</v>
      </c>
      <c r="J8587" t="str">
        <f>VLOOKUP(E8587,DSSpieler!A:B,2,FALSE)</f>
        <v>morbidus cantus</v>
      </c>
    </row>
    <row r="8588" spans="1:10" x14ac:dyDescent="0.25">
      <c r="A8588">
        <v>9637</v>
      </c>
      <c r="B8588" t="s">
        <v>33658</v>
      </c>
      <c r="C8588">
        <v>567</v>
      </c>
      <c r="D8588">
        <v>482</v>
      </c>
      <c r="E8588">
        <v>1577075520</v>
      </c>
      <c r="F8588">
        <v>6175</v>
      </c>
      <c r="G8588">
        <v>0</v>
      </c>
      <c r="H8588" t="s">
        <v>13504</v>
      </c>
      <c r="I8588">
        <v>9637</v>
      </c>
      <c r="J8588" t="str">
        <f>VLOOKUP(E8588,DSSpieler!A:B,2,FALSE)</f>
        <v>SirBiedi</v>
      </c>
    </row>
    <row r="8589" spans="1:10" x14ac:dyDescent="0.25">
      <c r="A8589">
        <v>9638</v>
      </c>
      <c r="B8589" t="s">
        <v>531</v>
      </c>
      <c r="C8589">
        <v>416</v>
      </c>
      <c r="D8589">
        <v>451</v>
      </c>
      <c r="E8589">
        <v>0</v>
      </c>
      <c r="F8589">
        <v>315</v>
      </c>
      <c r="G8589">
        <v>0</v>
      </c>
      <c r="H8589" t="s">
        <v>13505</v>
      </c>
      <c r="I8589">
        <v>9638</v>
      </c>
      <c r="J8589" t="e">
        <f>VLOOKUP(E8589,DSSpieler!A:B,2,FALSE)</f>
        <v>#N/A</v>
      </c>
    </row>
    <row r="8590" spans="1:10" x14ac:dyDescent="0.25">
      <c r="A8590">
        <v>9639</v>
      </c>
      <c r="B8590" t="s">
        <v>33385</v>
      </c>
      <c r="C8590">
        <v>406</v>
      </c>
      <c r="D8590">
        <v>489</v>
      </c>
      <c r="E8590">
        <v>1576780279</v>
      </c>
      <c r="F8590">
        <v>3155</v>
      </c>
      <c r="G8590">
        <v>0</v>
      </c>
      <c r="H8590" t="s">
        <v>13506</v>
      </c>
      <c r="I8590">
        <v>9639</v>
      </c>
      <c r="J8590" t="str">
        <f>VLOOKUP(E8590,DSSpieler!A:B,2,FALSE)</f>
        <v>krassegangster</v>
      </c>
    </row>
    <row r="8591" spans="1:10" x14ac:dyDescent="0.25">
      <c r="A8591">
        <v>9640</v>
      </c>
      <c r="B8591">
        <v>7</v>
      </c>
      <c r="C8591">
        <v>403</v>
      </c>
      <c r="D8591">
        <v>507</v>
      </c>
      <c r="E8591">
        <v>1576523771</v>
      </c>
      <c r="F8591">
        <v>2986</v>
      </c>
      <c r="G8591">
        <v>0</v>
      </c>
      <c r="H8591" t="s">
        <v>13507</v>
      </c>
      <c r="I8591">
        <v>9640</v>
      </c>
      <c r="J8591" t="str">
        <f>VLOOKUP(E8591,DSSpieler!A:B,2,FALSE)</f>
        <v>Kev1n</v>
      </c>
    </row>
    <row r="8592" spans="1:10" x14ac:dyDescent="0.25">
      <c r="A8592">
        <v>9641</v>
      </c>
      <c r="B8592" t="s">
        <v>33659</v>
      </c>
      <c r="C8592">
        <v>556</v>
      </c>
      <c r="D8592">
        <v>440</v>
      </c>
      <c r="E8592">
        <v>1577168662</v>
      </c>
      <c r="F8592">
        <v>6030</v>
      </c>
      <c r="G8592">
        <v>0</v>
      </c>
      <c r="H8592" t="s">
        <v>13508</v>
      </c>
      <c r="I8592">
        <v>9641</v>
      </c>
      <c r="J8592" t="str">
        <f>VLOOKUP(E8592,DSSpieler!A:B,2,FALSE)</f>
        <v>Chrissize</v>
      </c>
    </row>
    <row r="8593" spans="1:10" x14ac:dyDescent="0.25">
      <c r="A8593">
        <v>9643</v>
      </c>
      <c r="B8593" t="s">
        <v>531</v>
      </c>
      <c r="C8593">
        <v>466</v>
      </c>
      <c r="D8593">
        <v>413</v>
      </c>
      <c r="E8593">
        <v>0</v>
      </c>
      <c r="F8593">
        <v>435</v>
      </c>
      <c r="G8593">
        <v>0</v>
      </c>
      <c r="H8593" t="s">
        <v>13509</v>
      </c>
      <c r="I8593">
        <v>9643</v>
      </c>
      <c r="J8593" t="e">
        <f>VLOOKUP(E8593,DSSpieler!A:B,2,FALSE)</f>
        <v>#N/A</v>
      </c>
    </row>
    <row r="8594" spans="1:10" x14ac:dyDescent="0.25">
      <c r="A8594">
        <v>9644</v>
      </c>
      <c r="B8594" t="s">
        <v>1458</v>
      </c>
      <c r="C8594">
        <v>410</v>
      </c>
      <c r="D8594">
        <v>518</v>
      </c>
      <c r="E8594">
        <v>1576189675</v>
      </c>
      <c r="F8594">
        <v>4082</v>
      </c>
      <c r="G8594">
        <v>0</v>
      </c>
      <c r="H8594" t="s">
        <v>13510</v>
      </c>
      <c r="I8594">
        <v>9644</v>
      </c>
      <c r="J8594" t="str">
        <f>VLOOKUP(E8594,DSSpieler!A:B,2,FALSE)</f>
        <v>-.Sylar</v>
      </c>
    </row>
    <row r="8595" spans="1:10" x14ac:dyDescent="0.25">
      <c r="A8595">
        <v>9645</v>
      </c>
      <c r="B8595" t="s">
        <v>1816</v>
      </c>
      <c r="C8595">
        <v>607</v>
      </c>
      <c r="D8595">
        <v>514</v>
      </c>
      <c r="E8595">
        <v>1575986401</v>
      </c>
      <c r="F8595">
        <v>2855</v>
      </c>
      <c r="G8595">
        <v>0</v>
      </c>
      <c r="H8595" t="s">
        <v>13511</v>
      </c>
      <c r="I8595">
        <v>9645</v>
      </c>
      <c r="J8595" t="str">
        <f>VLOOKUP(E8595,DSSpieler!A:B,2,FALSE)</f>
        <v>offhausen</v>
      </c>
    </row>
    <row r="8596" spans="1:10" x14ac:dyDescent="0.25">
      <c r="A8596">
        <v>9646</v>
      </c>
      <c r="B8596" t="s">
        <v>33660</v>
      </c>
      <c r="C8596">
        <v>411</v>
      </c>
      <c r="D8596">
        <v>533</v>
      </c>
      <c r="E8596">
        <v>8635827</v>
      </c>
      <c r="F8596">
        <v>4563</v>
      </c>
      <c r="G8596">
        <v>0</v>
      </c>
      <c r="H8596" t="s">
        <v>13512</v>
      </c>
      <c r="I8596">
        <v>9646</v>
      </c>
      <c r="J8596" t="str">
        <f>VLOOKUP(E8596,DSSpieler!A:B,2,FALSE)</f>
        <v>thomaner15</v>
      </c>
    </row>
    <row r="8597" spans="1:10" x14ac:dyDescent="0.25">
      <c r="A8597">
        <v>9647</v>
      </c>
      <c r="B8597" t="s">
        <v>1817</v>
      </c>
      <c r="C8597">
        <v>429</v>
      </c>
      <c r="D8597">
        <v>578</v>
      </c>
      <c r="E8597">
        <v>9087447</v>
      </c>
      <c r="F8597">
        <v>5545</v>
      </c>
      <c r="G8597">
        <v>0</v>
      </c>
      <c r="H8597" t="s">
        <v>13513</v>
      </c>
      <c r="I8597">
        <v>9647</v>
      </c>
      <c r="J8597" t="str">
        <f>VLOOKUP(E8597,DSSpieler!A:B,2,FALSE)</f>
        <v>ronkong</v>
      </c>
    </row>
    <row r="8598" spans="1:10" x14ac:dyDescent="0.25">
      <c r="A8598">
        <v>9648</v>
      </c>
      <c r="B8598" t="s">
        <v>33661</v>
      </c>
      <c r="C8598">
        <v>587</v>
      </c>
      <c r="D8598">
        <v>465</v>
      </c>
      <c r="E8598">
        <v>1577197941</v>
      </c>
      <c r="F8598">
        <v>4963</v>
      </c>
      <c r="G8598">
        <v>0</v>
      </c>
      <c r="H8598" t="s">
        <v>13514</v>
      </c>
      <c r="I8598">
        <v>9648</v>
      </c>
      <c r="J8598" t="str">
        <f>VLOOKUP(E8598,DSSpieler!A:B,2,FALSE)</f>
        <v>Copter</v>
      </c>
    </row>
    <row r="8599" spans="1:10" x14ac:dyDescent="0.25">
      <c r="A8599">
        <v>9650</v>
      </c>
      <c r="B8599" t="s">
        <v>33662</v>
      </c>
      <c r="C8599">
        <v>474</v>
      </c>
      <c r="D8599">
        <v>482</v>
      </c>
      <c r="E8599">
        <v>1946985</v>
      </c>
      <c r="F8599">
        <v>3542</v>
      </c>
      <c r="G8599">
        <v>0</v>
      </c>
      <c r="H8599" t="s">
        <v>13515</v>
      </c>
      <c r="I8599">
        <v>9650</v>
      </c>
      <c r="J8599" t="str">
        <f>VLOOKUP(E8599,DSSpieler!A:B,2,FALSE)</f>
        <v>StarPointer.1.</v>
      </c>
    </row>
    <row r="8600" spans="1:10" x14ac:dyDescent="0.25">
      <c r="A8600">
        <v>9651</v>
      </c>
      <c r="B8600" t="s">
        <v>531</v>
      </c>
      <c r="C8600">
        <v>578</v>
      </c>
      <c r="D8600">
        <v>442</v>
      </c>
      <c r="E8600">
        <v>0</v>
      </c>
      <c r="F8600">
        <v>296</v>
      </c>
      <c r="G8600">
        <v>0</v>
      </c>
      <c r="H8600" t="s">
        <v>13516</v>
      </c>
      <c r="I8600">
        <v>9651</v>
      </c>
      <c r="J8600" t="e">
        <f>VLOOKUP(E8600,DSSpieler!A:B,2,FALSE)</f>
        <v>#N/A</v>
      </c>
    </row>
    <row r="8601" spans="1:10" x14ac:dyDescent="0.25">
      <c r="A8601">
        <v>9652</v>
      </c>
      <c r="B8601" t="s">
        <v>33663</v>
      </c>
      <c r="C8601">
        <v>543</v>
      </c>
      <c r="D8601">
        <v>601</v>
      </c>
      <c r="E8601">
        <v>1577028197</v>
      </c>
      <c r="F8601">
        <v>2873</v>
      </c>
      <c r="G8601">
        <v>0</v>
      </c>
      <c r="H8601" t="s">
        <v>13517</v>
      </c>
      <c r="I8601">
        <v>9652</v>
      </c>
      <c r="J8601" t="str">
        <f>VLOOKUP(E8601,DSSpieler!A:B,2,FALSE)</f>
        <v>DontDrinkAndDs</v>
      </c>
    </row>
    <row r="8602" spans="1:10" x14ac:dyDescent="0.25">
      <c r="A8602">
        <v>9653</v>
      </c>
      <c r="B8602" t="s">
        <v>531</v>
      </c>
      <c r="C8602">
        <v>416</v>
      </c>
      <c r="D8602">
        <v>548</v>
      </c>
      <c r="E8602">
        <v>0</v>
      </c>
      <c r="F8602">
        <v>648</v>
      </c>
      <c r="G8602">
        <v>0</v>
      </c>
      <c r="H8602" t="s">
        <v>13518</v>
      </c>
      <c r="I8602">
        <v>9653</v>
      </c>
      <c r="J8602" t="e">
        <f>VLOOKUP(E8602,DSSpieler!A:B,2,FALSE)</f>
        <v>#N/A</v>
      </c>
    </row>
    <row r="8603" spans="1:10" x14ac:dyDescent="0.25">
      <c r="A8603">
        <v>9654</v>
      </c>
      <c r="B8603" t="s">
        <v>1818</v>
      </c>
      <c r="C8603">
        <v>596</v>
      </c>
      <c r="D8603">
        <v>484</v>
      </c>
      <c r="E8603">
        <v>7951144</v>
      </c>
      <c r="F8603">
        <v>699</v>
      </c>
      <c r="G8603">
        <v>0</v>
      </c>
      <c r="H8603" t="s">
        <v>13519</v>
      </c>
      <c r="I8603">
        <v>9654</v>
      </c>
      <c r="J8603" t="str">
        <f>VLOOKUP(E8603,DSSpieler!A:B,2,FALSE)</f>
        <v>Fabschn</v>
      </c>
    </row>
    <row r="8604" spans="1:10" x14ac:dyDescent="0.25">
      <c r="A8604">
        <v>9655</v>
      </c>
      <c r="B8604">
        <v>0</v>
      </c>
      <c r="C8604">
        <v>544</v>
      </c>
      <c r="D8604">
        <v>585</v>
      </c>
      <c r="E8604">
        <v>2740929</v>
      </c>
      <c r="F8604">
        <v>7352</v>
      </c>
      <c r="G8604">
        <v>0</v>
      </c>
      <c r="H8604" t="s">
        <v>13520</v>
      </c>
      <c r="I8604">
        <v>9655</v>
      </c>
      <c r="J8604" t="str">
        <f>VLOOKUP(E8604,DSSpieler!A:B,2,FALSE)</f>
        <v>wikinger1978</v>
      </c>
    </row>
    <row r="8605" spans="1:10" x14ac:dyDescent="0.25">
      <c r="A8605">
        <v>9656</v>
      </c>
      <c r="B8605">
        <v>2</v>
      </c>
      <c r="C8605">
        <v>487</v>
      </c>
      <c r="D8605">
        <v>596</v>
      </c>
      <c r="E8605">
        <v>9364534</v>
      </c>
      <c r="F8605">
        <v>3823</v>
      </c>
      <c r="G8605">
        <v>0</v>
      </c>
      <c r="H8605" t="s">
        <v>13521</v>
      </c>
      <c r="I8605">
        <v>9656</v>
      </c>
      <c r="J8605" t="str">
        <f>VLOOKUP(E8605,DSSpieler!A:B,2,FALSE)</f>
        <v>Aemok</v>
      </c>
    </row>
    <row r="8606" spans="1:10" x14ac:dyDescent="0.25">
      <c r="A8606">
        <v>9657</v>
      </c>
      <c r="B8606" t="s">
        <v>1819</v>
      </c>
      <c r="C8606">
        <v>448</v>
      </c>
      <c r="D8606">
        <v>583</v>
      </c>
      <c r="E8606">
        <v>1577197444</v>
      </c>
      <c r="F8606">
        <v>6053</v>
      </c>
      <c r="G8606">
        <v>0</v>
      </c>
      <c r="H8606" t="s">
        <v>13522</v>
      </c>
      <c r="I8606">
        <v>9657</v>
      </c>
      <c r="J8606" t="str">
        <f>VLOOKUP(E8606,DSSpieler!A:B,2,FALSE)</f>
        <v>Tiberius Quintus</v>
      </c>
    </row>
    <row r="8607" spans="1:10" x14ac:dyDescent="0.25">
      <c r="A8607">
        <v>9658</v>
      </c>
      <c r="B8607" t="s">
        <v>531</v>
      </c>
      <c r="C8607">
        <v>495</v>
      </c>
      <c r="D8607">
        <v>425</v>
      </c>
      <c r="E8607">
        <v>0</v>
      </c>
      <c r="F8607">
        <v>503</v>
      </c>
      <c r="G8607">
        <v>0</v>
      </c>
      <c r="H8607" t="s">
        <v>13523</v>
      </c>
      <c r="I8607">
        <v>9658</v>
      </c>
      <c r="J8607" t="e">
        <f>VLOOKUP(E8607,DSSpieler!A:B,2,FALSE)</f>
        <v>#N/A</v>
      </c>
    </row>
    <row r="8608" spans="1:10" x14ac:dyDescent="0.25">
      <c r="A8608">
        <v>9659</v>
      </c>
      <c r="B8608" t="s">
        <v>531</v>
      </c>
      <c r="C8608">
        <v>587</v>
      </c>
      <c r="D8608">
        <v>542</v>
      </c>
      <c r="E8608">
        <v>0</v>
      </c>
      <c r="F8608">
        <v>348</v>
      </c>
      <c r="G8608">
        <v>0</v>
      </c>
      <c r="H8608" t="s">
        <v>13524</v>
      </c>
      <c r="I8608">
        <v>9659</v>
      </c>
      <c r="J8608" t="e">
        <f>VLOOKUP(E8608,DSSpieler!A:B,2,FALSE)</f>
        <v>#N/A</v>
      </c>
    </row>
    <row r="8609" spans="1:10" x14ac:dyDescent="0.25">
      <c r="A8609">
        <v>9661</v>
      </c>
      <c r="B8609" t="s">
        <v>33664</v>
      </c>
      <c r="C8609">
        <v>475</v>
      </c>
      <c r="D8609">
        <v>609</v>
      </c>
      <c r="E8609">
        <v>1576628882</v>
      </c>
      <c r="F8609">
        <v>5279</v>
      </c>
      <c r="G8609">
        <v>0</v>
      </c>
      <c r="H8609" t="s">
        <v>13525</v>
      </c>
      <c r="I8609">
        <v>9661</v>
      </c>
      <c r="J8609" t="str">
        <f>VLOOKUP(E8609,DSSpieler!A:B,2,FALSE)</f>
        <v>Hirito Yomi</v>
      </c>
    </row>
    <row r="8610" spans="1:10" x14ac:dyDescent="0.25">
      <c r="A8610">
        <v>9662</v>
      </c>
      <c r="B8610" t="s">
        <v>33665</v>
      </c>
      <c r="C8610">
        <v>480</v>
      </c>
      <c r="D8610">
        <v>409</v>
      </c>
      <c r="E8610">
        <v>9476482</v>
      </c>
      <c r="F8610">
        <v>5339</v>
      </c>
      <c r="G8610">
        <v>0</v>
      </c>
      <c r="H8610" t="s">
        <v>13526</v>
      </c>
      <c r="I8610">
        <v>9662</v>
      </c>
      <c r="J8610" t="str">
        <f>VLOOKUP(E8610,DSSpieler!A:B,2,FALSE)</f>
        <v>MRDriver</v>
      </c>
    </row>
    <row r="8611" spans="1:10" x14ac:dyDescent="0.25">
      <c r="A8611">
        <v>9663</v>
      </c>
      <c r="B8611" t="s">
        <v>33666</v>
      </c>
      <c r="C8611">
        <v>482</v>
      </c>
      <c r="D8611">
        <v>415</v>
      </c>
      <c r="E8611">
        <v>1576057331</v>
      </c>
      <c r="F8611">
        <v>3103</v>
      </c>
      <c r="G8611">
        <v>0</v>
      </c>
      <c r="H8611" t="s">
        <v>13527</v>
      </c>
      <c r="I8611">
        <v>9663</v>
      </c>
      <c r="J8611" t="str">
        <f>VLOOKUP(E8611,DSSpieler!A:B,2,FALSE)</f>
        <v>baarbratings</v>
      </c>
    </row>
    <row r="8612" spans="1:10" x14ac:dyDescent="0.25">
      <c r="A8612">
        <v>9664</v>
      </c>
      <c r="B8612" t="s">
        <v>33667</v>
      </c>
      <c r="C8612">
        <v>406</v>
      </c>
      <c r="D8612">
        <v>473</v>
      </c>
      <c r="E8612">
        <v>9925917</v>
      </c>
      <c r="F8612">
        <v>7026</v>
      </c>
      <c r="G8612">
        <v>0</v>
      </c>
      <c r="H8612" t="s">
        <v>13528</v>
      </c>
      <c r="I8612">
        <v>9664</v>
      </c>
      <c r="J8612" t="str">
        <f>VLOOKUP(E8612,DSSpieler!A:B,2,FALSE)</f>
        <v>WATB Faker</v>
      </c>
    </row>
    <row r="8613" spans="1:10" x14ac:dyDescent="0.25">
      <c r="A8613">
        <v>9665</v>
      </c>
      <c r="B8613" t="s">
        <v>33668</v>
      </c>
      <c r="C8613">
        <v>570</v>
      </c>
      <c r="D8613">
        <v>548</v>
      </c>
      <c r="E8613">
        <v>1577115905</v>
      </c>
      <c r="F8613">
        <v>3971</v>
      </c>
      <c r="G8613">
        <v>0</v>
      </c>
      <c r="H8613" t="s">
        <v>13529</v>
      </c>
      <c r="I8613">
        <v>9665</v>
      </c>
      <c r="J8613" t="str">
        <f>VLOOKUP(E8613,DSSpieler!A:B,2,FALSE)</f>
        <v>Bateman</v>
      </c>
    </row>
    <row r="8614" spans="1:10" x14ac:dyDescent="0.25">
      <c r="A8614">
        <v>9666</v>
      </c>
      <c r="B8614" t="s">
        <v>531</v>
      </c>
      <c r="C8614">
        <v>457</v>
      </c>
      <c r="D8614">
        <v>415</v>
      </c>
      <c r="E8614">
        <v>0</v>
      </c>
      <c r="F8614">
        <v>1884</v>
      </c>
      <c r="G8614">
        <v>0</v>
      </c>
      <c r="H8614" t="s">
        <v>13530</v>
      </c>
      <c r="I8614">
        <v>9666</v>
      </c>
      <c r="J8614" t="e">
        <f>VLOOKUP(E8614,DSSpieler!A:B,2,FALSE)</f>
        <v>#N/A</v>
      </c>
    </row>
    <row r="8615" spans="1:10" x14ac:dyDescent="0.25">
      <c r="A8615">
        <v>9667</v>
      </c>
      <c r="B8615" t="s">
        <v>33669</v>
      </c>
      <c r="C8615">
        <v>590</v>
      </c>
      <c r="D8615">
        <v>531</v>
      </c>
      <c r="E8615">
        <v>1577198093</v>
      </c>
      <c r="F8615">
        <v>5055</v>
      </c>
      <c r="G8615">
        <v>0</v>
      </c>
      <c r="H8615" t="s">
        <v>13531</v>
      </c>
      <c r="I8615">
        <v>9667</v>
      </c>
      <c r="J8615" t="str">
        <f>VLOOKUP(E8615,DSSpieler!A:B,2,FALSE)</f>
        <v>ManuFr</v>
      </c>
    </row>
    <row r="8616" spans="1:10" x14ac:dyDescent="0.25">
      <c r="A8616">
        <v>9668</v>
      </c>
      <c r="B8616" t="s">
        <v>35847</v>
      </c>
      <c r="C8616">
        <v>463</v>
      </c>
      <c r="D8616">
        <v>589</v>
      </c>
      <c r="E8616">
        <v>1576708425</v>
      </c>
      <c r="F8616">
        <v>4920</v>
      </c>
      <c r="G8616">
        <v>0</v>
      </c>
      <c r="H8616" t="s">
        <v>13532</v>
      </c>
      <c r="I8616">
        <v>9668</v>
      </c>
      <c r="J8616" t="str">
        <f>VLOOKUP(E8616,DSSpieler!A:B,2,FALSE)</f>
        <v>Kingatala</v>
      </c>
    </row>
    <row r="8617" spans="1:10" x14ac:dyDescent="0.25">
      <c r="A8617">
        <v>9669</v>
      </c>
      <c r="B8617" t="s">
        <v>531</v>
      </c>
      <c r="C8617">
        <v>536</v>
      </c>
      <c r="D8617">
        <v>411</v>
      </c>
      <c r="E8617">
        <v>0</v>
      </c>
      <c r="F8617">
        <v>231</v>
      </c>
      <c r="G8617">
        <v>0</v>
      </c>
      <c r="H8617" t="s">
        <v>13533</v>
      </c>
      <c r="I8617">
        <v>9669</v>
      </c>
      <c r="J8617" t="e">
        <f>VLOOKUP(E8617,DSSpieler!A:B,2,FALSE)</f>
        <v>#N/A</v>
      </c>
    </row>
    <row r="8618" spans="1:10" x14ac:dyDescent="0.25">
      <c r="A8618">
        <v>9670</v>
      </c>
      <c r="B8618" t="s">
        <v>33670</v>
      </c>
      <c r="C8618">
        <v>596</v>
      </c>
      <c r="D8618">
        <v>490</v>
      </c>
      <c r="E8618">
        <v>1577180043</v>
      </c>
      <c r="F8618">
        <v>4475</v>
      </c>
      <c r="G8618">
        <v>0</v>
      </c>
      <c r="H8618" t="s">
        <v>13534</v>
      </c>
      <c r="I8618">
        <v>9670</v>
      </c>
      <c r="J8618" t="str">
        <f>VLOOKUP(E8618,DSSpieler!A:B,2,FALSE)</f>
        <v>Klopapier-ist-alle</v>
      </c>
    </row>
    <row r="8619" spans="1:10" x14ac:dyDescent="0.25">
      <c r="A8619">
        <v>9671</v>
      </c>
      <c r="B8619">
        <v>3</v>
      </c>
      <c r="C8619">
        <v>407</v>
      </c>
      <c r="D8619">
        <v>503</v>
      </c>
      <c r="E8619">
        <v>1576523771</v>
      </c>
      <c r="F8619">
        <v>4304</v>
      </c>
      <c r="G8619">
        <v>0</v>
      </c>
      <c r="H8619" t="s">
        <v>13535</v>
      </c>
      <c r="I8619">
        <v>9671</v>
      </c>
      <c r="J8619" t="str">
        <f>VLOOKUP(E8619,DSSpieler!A:B,2,FALSE)</f>
        <v>Kev1n</v>
      </c>
    </row>
    <row r="8620" spans="1:10" x14ac:dyDescent="0.25">
      <c r="A8620">
        <v>9672</v>
      </c>
      <c r="B8620" t="s">
        <v>531</v>
      </c>
      <c r="C8620">
        <v>576</v>
      </c>
      <c r="D8620">
        <v>557</v>
      </c>
      <c r="E8620">
        <v>0</v>
      </c>
      <c r="F8620">
        <v>585</v>
      </c>
      <c r="G8620">
        <v>0</v>
      </c>
      <c r="H8620" t="s">
        <v>13536</v>
      </c>
      <c r="I8620">
        <v>9672</v>
      </c>
      <c r="J8620" t="e">
        <f>VLOOKUP(E8620,DSSpieler!A:B,2,FALSE)</f>
        <v>#N/A</v>
      </c>
    </row>
    <row r="8621" spans="1:10" x14ac:dyDescent="0.25">
      <c r="A8621">
        <v>9673</v>
      </c>
      <c r="B8621" t="s">
        <v>1820</v>
      </c>
      <c r="C8621">
        <v>439</v>
      </c>
      <c r="D8621">
        <v>573</v>
      </c>
      <c r="E8621">
        <v>8457813</v>
      </c>
      <c r="F8621">
        <v>5743</v>
      </c>
      <c r="G8621">
        <v>0</v>
      </c>
      <c r="H8621" t="s">
        <v>13537</v>
      </c>
      <c r="I8621">
        <v>9673</v>
      </c>
      <c r="J8621" t="str">
        <f>VLOOKUP(E8621,DSSpieler!A:B,2,FALSE)</f>
        <v>little Lotschi</v>
      </c>
    </row>
    <row r="8622" spans="1:10" x14ac:dyDescent="0.25">
      <c r="A8622">
        <v>9674</v>
      </c>
      <c r="B8622" t="s">
        <v>531</v>
      </c>
      <c r="C8622">
        <v>553</v>
      </c>
      <c r="D8622">
        <v>421</v>
      </c>
      <c r="E8622">
        <v>0</v>
      </c>
      <c r="F8622">
        <v>451</v>
      </c>
      <c r="G8622">
        <v>0</v>
      </c>
      <c r="H8622" t="s">
        <v>13538</v>
      </c>
      <c r="I8622">
        <v>9674</v>
      </c>
      <c r="J8622" t="e">
        <f>VLOOKUP(E8622,DSSpieler!A:B,2,FALSE)</f>
        <v>#N/A</v>
      </c>
    </row>
    <row r="8623" spans="1:10" x14ac:dyDescent="0.25">
      <c r="A8623">
        <v>9676</v>
      </c>
      <c r="B8623" t="s">
        <v>531</v>
      </c>
      <c r="C8623">
        <v>457</v>
      </c>
      <c r="D8623">
        <v>413</v>
      </c>
      <c r="E8623">
        <v>0</v>
      </c>
      <c r="F8623">
        <v>398</v>
      </c>
      <c r="G8623">
        <v>0</v>
      </c>
      <c r="H8623" t="s">
        <v>13539</v>
      </c>
      <c r="I8623">
        <v>9676</v>
      </c>
      <c r="J8623" t="e">
        <f>VLOOKUP(E8623,DSSpieler!A:B,2,FALSE)</f>
        <v>#N/A</v>
      </c>
    </row>
    <row r="8624" spans="1:10" x14ac:dyDescent="0.25">
      <c r="A8624">
        <v>9677</v>
      </c>
      <c r="B8624" t="s">
        <v>33671</v>
      </c>
      <c r="C8624">
        <v>471</v>
      </c>
      <c r="D8624">
        <v>411</v>
      </c>
      <c r="E8624">
        <v>1577193042</v>
      </c>
      <c r="F8624">
        <v>5640</v>
      </c>
      <c r="G8624">
        <v>0</v>
      </c>
      <c r="H8624" t="s">
        <v>13540</v>
      </c>
      <c r="I8624">
        <v>9677</v>
      </c>
      <c r="J8624" t="str">
        <f>VLOOKUP(E8624,DSSpieler!A:B,2,FALSE)</f>
        <v>UltimateCuB3R</v>
      </c>
    </row>
    <row r="8625" spans="1:10" x14ac:dyDescent="0.25">
      <c r="A8625">
        <v>9678</v>
      </c>
      <c r="B8625" t="s">
        <v>32806</v>
      </c>
      <c r="C8625">
        <v>585</v>
      </c>
      <c r="D8625">
        <v>452</v>
      </c>
      <c r="E8625">
        <v>1577198229</v>
      </c>
      <c r="F8625">
        <v>6695</v>
      </c>
      <c r="G8625">
        <v>0</v>
      </c>
      <c r="H8625" t="s">
        <v>13541</v>
      </c>
      <c r="I8625">
        <v>9678</v>
      </c>
      <c r="J8625" t="str">
        <f>VLOOKUP(E8625,DSSpieler!A:B,2,FALSE)</f>
        <v>QueenKlaus461</v>
      </c>
    </row>
    <row r="8626" spans="1:10" x14ac:dyDescent="0.25">
      <c r="A8626">
        <v>9679</v>
      </c>
      <c r="B8626" t="s">
        <v>531</v>
      </c>
      <c r="C8626">
        <v>498</v>
      </c>
      <c r="D8626">
        <v>403</v>
      </c>
      <c r="E8626">
        <v>0</v>
      </c>
      <c r="F8626">
        <v>343</v>
      </c>
      <c r="G8626">
        <v>0</v>
      </c>
      <c r="H8626" t="s">
        <v>13542</v>
      </c>
      <c r="I8626">
        <v>9679</v>
      </c>
      <c r="J8626" t="e">
        <f>VLOOKUP(E8626,DSSpieler!A:B,2,FALSE)</f>
        <v>#N/A</v>
      </c>
    </row>
    <row r="8627" spans="1:10" x14ac:dyDescent="0.25">
      <c r="A8627">
        <v>9681</v>
      </c>
      <c r="B8627" t="s">
        <v>33672</v>
      </c>
      <c r="C8627">
        <v>509</v>
      </c>
      <c r="D8627">
        <v>403</v>
      </c>
      <c r="E8627">
        <v>9490221</v>
      </c>
      <c r="F8627">
        <v>6425</v>
      </c>
      <c r="G8627">
        <v>0</v>
      </c>
      <c r="H8627" t="s">
        <v>13543</v>
      </c>
      <c r="I8627">
        <v>9681</v>
      </c>
      <c r="J8627" t="str">
        <f>VLOOKUP(E8627,DSSpieler!A:B,2,FALSE)</f>
        <v>und alle so yeeow</v>
      </c>
    </row>
    <row r="8628" spans="1:10" x14ac:dyDescent="0.25">
      <c r="A8628">
        <v>9682</v>
      </c>
      <c r="B8628" t="s">
        <v>33673</v>
      </c>
      <c r="C8628">
        <v>470</v>
      </c>
      <c r="D8628">
        <v>491</v>
      </c>
      <c r="E8628">
        <v>1576914417</v>
      </c>
      <c r="F8628">
        <v>2313</v>
      </c>
      <c r="G8628">
        <v>0</v>
      </c>
      <c r="H8628" t="s">
        <v>13544</v>
      </c>
      <c r="I8628">
        <v>9682</v>
      </c>
      <c r="J8628" t="str">
        <f>VLOOKUP(E8628,DSSpieler!A:B,2,FALSE)</f>
        <v>Bonemonkey</v>
      </c>
    </row>
    <row r="8629" spans="1:10" x14ac:dyDescent="0.25">
      <c r="A8629">
        <v>9683</v>
      </c>
      <c r="B8629" t="s">
        <v>33674</v>
      </c>
      <c r="C8629">
        <v>462</v>
      </c>
      <c r="D8629">
        <v>412</v>
      </c>
      <c r="E8629">
        <v>7778412</v>
      </c>
      <c r="F8629">
        <v>3271</v>
      </c>
      <c r="G8629">
        <v>0</v>
      </c>
      <c r="H8629" t="s">
        <v>13545</v>
      </c>
      <c r="I8629">
        <v>9683</v>
      </c>
      <c r="J8629" t="str">
        <f>VLOOKUP(E8629,DSSpieler!A:B,2,FALSE)</f>
        <v>Paladin-Dragan</v>
      </c>
    </row>
    <row r="8630" spans="1:10" x14ac:dyDescent="0.25">
      <c r="A8630">
        <v>9684</v>
      </c>
      <c r="B8630" t="s">
        <v>531</v>
      </c>
      <c r="C8630">
        <v>512</v>
      </c>
      <c r="D8630">
        <v>518</v>
      </c>
      <c r="E8630">
        <v>8945393</v>
      </c>
      <c r="F8630">
        <v>3797</v>
      </c>
      <c r="G8630">
        <v>0</v>
      </c>
      <c r="H8630" t="s">
        <v>13546</v>
      </c>
      <c r="I8630">
        <v>9684</v>
      </c>
      <c r="J8630" t="str">
        <f>VLOOKUP(E8630,DSSpieler!A:B,2,FALSE)</f>
        <v>Maus-15</v>
      </c>
    </row>
    <row r="8631" spans="1:10" x14ac:dyDescent="0.25">
      <c r="A8631">
        <v>9685</v>
      </c>
      <c r="B8631" t="s">
        <v>33675</v>
      </c>
      <c r="C8631">
        <v>412</v>
      </c>
      <c r="D8631">
        <v>543</v>
      </c>
      <c r="E8631">
        <v>1577182941</v>
      </c>
      <c r="F8631">
        <v>4913</v>
      </c>
      <c r="G8631">
        <v>0</v>
      </c>
      <c r="H8631" t="s">
        <v>13547</v>
      </c>
      <c r="I8631">
        <v>9685</v>
      </c>
      <c r="J8631" t="str">
        <f>VLOOKUP(E8631,DSSpieler!A:B,2,FALSE)</f>
        <v>Daniel47</v>
      </c>
    </row>
    <row r="8632" spans="1:10" x14ac:dyDescent="0.25">
      <c r="A8632">
        <v>9686</v>
      </c>
      <c r="B8632" t="s">
        <v>33676</v>
      </c>
      <c r="C8632">
        <v>451</v>
      </c>
      <c r="D8632">
        <v>542</v>
      </c>
      <c r="E8632">
        <v>1577175422</v>
      </c>
      <c r="F8632">
        <v>6565</v>
      </c>
      <c r="G8632">
        <v>0</v>
      </c>
      <c r="H8632" t="s">
        <v>13548</v>
      </c>
      <c r="I8632">
        <v>9686</v>
      </c>
      <c r="J8632" t="str">
        <f>VLOOKUP(E8632,DSSpieler!A:B,2,FALSE)</f>
        <v>GreatFlo</v>
      </c>
    </row>
    <row r="8633" spans="1:10" x14ac:dyDescent="0.25">
      <c r="A8633">
        <v>9687</v>
      </c>
      <c r="B8633" t="s">
        <v>531</v>
      </c>
      <c r="C8633">
        <v>449</v>
      </c>
      <c r="D8633">
        <v>582</v>
      </c>
      <c r="E8633">
        <v>0</v>
      </c>
      <c r="F8633">
        <v>206</v>
      </c>
      <c r="G8633">
        <v>0</v>
      </c>
      <c r="H8633" t="s">
        <v>13549</v>
      </c>
      <c r="I8633">
        <v>9687</v>
      </c>
      <c r="J8633" t="e">
        <f>VLOOKUP(E8633,DSSpieler!A:B,2,FALSE)</f>
        <v>#N/A</v>
      </c>
    </row>
    <row r="8634" spans="1:10" x14ac:dyDescent="0.25">
      <c r="A8634">
        <v>9688</v>
      </c>
      <c r="B8634" t="s">
        <v>531</v>
      </c>
      <c r="C8634">
        <v>594</v>
      </c>
      <c r="D8634">
        <v>490</v>
      </c>
      <c r="E8634">
        <v>0</v>
      </c>
      <c r="F8634">
        <v>165</v>
      </c>
      <c r="G8634">
        <v>0</v>
      </c>
      <c r="H8634" t="s">
        <v>13550</v>
      </c>
      <c r="I8634">
        <v>9688</v>
      </c>
      <c r="J8634" t="e">
        <f>VLOOKUP(E8634,DSSpieler!A:B,2,FALSE)</f>
        <v>#N/A</v>
      </c>
    </row>
    <row r="8635" spans="1:10" x14ac:dyDescent="0.25">
      <c r="A8635">
        <v>9690</v>
      </c>
      <c r="B8635" t="s">
        <v>531</v>
      </c>
      <c r="C8635">
        <v>581</v>
      </c>
      <c r="D8635">
        <v>553</v>
      </c>
      <c r="E8635">
        <v>0</v>
      </c>
      <c r="F8635">
        <v>1420</v>
      </c>
      <c r="G8635">
        <v>0</v>
      </c>
      <c r="H8635" t="s">
        <v>13551</v>
      </c>
      <c r="I8635">
        <v>9690</v>
      </c>
      <c r="J8635" t="e">
        <f>VLOOKUP(E8635,DSSpieler!A:B,2,FALSE)</f>
        <v>#N/A</v>
      </c>
    </row>
    <row r="8636" spans="1:10" x14ac:dyDescent="0.25">
      <c r="A8636">
        <v>9691</v>
      </c>
      <c r="B8636" t="s">
        <v>1249</v>
      </c>
      <c r="C8636">
        <v>501</v>
      </c>
      <c r="D8636">
        <v>405</v>
      </c>
      <c r="E8636">
        <v>44974</v>
      </c>
      <c r="F8636">
        <v>6131</v>
      </c>
      <c r="G8636">
        <v>0</v>
      </c>
      <c r="H8636" t="s">
        <v>13552</v>
      </c>
      <c r="I8636">
        <v>9691</v>
      </c>
      <c r="J8636" t="str">
        <f>VLOOKUP(E8636,DSSpieler!A:B,2,FALSE)</f>
        <v>Taktiker</v>
      </c>
    </row>
    <row r="8637" spans="1:10" x14ac:dyDescent="0.25">
      <c r="A8637">
        <v>9692</v>
      </c>
      <c r="B8637" t="s">
        <v>33677</v>
      </c>
      <c r="C8637">
        <v>407</v>
      </c>
      <c r="D8637">
        <v>470</v>
      </c>
      <c r="E8637">
        <v>9550228</v>
      </c>
      <c r="F8637">
        <v>3601</v>
      </c>
      <c r="G8637">
        <v>0</v>
      </c>
      <c r="H8637" t="s">
        <v>13553</v>
      </c>
      <c r="I8637">
        <v>9692</v>
      </c>
      <c r="J8637" t="str">
        <f>VLOOKUP(E8637,DSSpieler!A:B,2,FALSE)</f>
        <v>Token96</v>
      </c>
    </row>
    <row r="8638" spans="1:10" x14ac:dyDescent="0.25">
      <c r="A8638">
        <v>9693</v>
      </c>
      <c r="B8638" t="s">
        <v>531</v>
      </c>
      <c r="C8638">
        <v>586</v>
      </c>
      <c r="D8638">
        <v>460</v>
      </c>
      <c r="E8638">
        <v>0</v>
      </c>
      <c r="F8638">
        <v>708</v>
      </c>
      <c r="G8638">
        <v>0</v>
      </c>
      <c r="H8638" t="s">
        <v>13554</v>
      </c>
      <c r="I8638">
        <v>9693</v>
      </c>
      <c r="J8638" t="e">
        <f>VLOOKUP(E8638,DSSpieler!A:B,2,FALSE)</f>
        <v>#N/A</v>
      </c>
    </row>
    <row r="8639" spans="1:10" x14ac:dyDescent="0.25">
      <c r="A8639">
        <v>9694</v>
      </c>
      <c r="B8639" t="s">
        <v>33678</v>
      </c>
      <c r="C8639">
        <v>514</v>
      </c>
      <c r="D8639">
        <v>533</v>
      </c>
      <c r="E8639">
        <v>1577049253</v>
      </c>
      <c r="F8639">
        <v>5099</v>
      </c>
      <c r="G8639">
        <v>0</v>
      </c>
      <c r="H8639" t="s">
        <v>13555</v>
      </c>
      <c r="I8639">
        <v>9694</v>
      </c>
      <c r="J8639" t="str">
        <f>VLOOKUP(E8639,DSSpieler!A:B,2,FALSE)</f>
        <v>freshfield</v>
      </c>
    </row>
    <row r="8640" spans="1:10" x14ac:dyDescent="0.25">
      <c r="A8640">
        <v>9695</v>
      </c>
      <c r="B8640" t="s">
        <v>531</v>
      </c>
      <c r="C8640">
        <v>558</v>
      </c>
      <c r="D8640">
        <v>421</v>
      </c>
      <c r="E8640">
        <v>0</v>
      </c>
      <c r="F8640">
        <v>313</v>
      </c>
      <c r="G8640">
        <v>0</v>
      </c>
      <c r="H8640" t="s">
        <v>13556</v>
      </c>
      <c r="I8640">
        <v>9695</v>
      </c>
      <c r="J8640" t="e">
        <f>VLOOKUP(E8640,DSSpieler!A:B,2,FALSE)</f>
        <v>#N/A</v>
      </c>
    </row>
    <row r="8641" spans="1:10" x14ac:dyDescent="0.25">
      <c r="A8641">
        <v>9697</v>
      </c>
      <c r="B8641" t="s">
        <v>33679</v>
      </c>
      <c r="C8641">
        <v>507</v>
      </c>
      <c r="D8641">
        <v>399</v>
      </c>
      <c r="E8641">
        <v>639374</v>
      </c>
      <c r="F8641">
        <v>5061</v>
      </c>
      <c r="G8641">
        <v>0</v>
      </c>
      <c r="H8641" t="s">
        <v>13557</v>
      </c>
      <c r="I8641">
        <v>9697</v>
      </c>
      <c r="J8641" t="str">
        <f>VLOOKUP(E8641,DSSpieler!A:B,2,FALSE)</f>
        <v>rubinhoss</v>
      </c>
    </row>
    <row r="8642" spans="1:10" x14ac:dyDescent="0.25">
      <c r="A8642">
        <v>9698</v>
      </c>
      <c r="B8642" t="s">
        <v>1821</v>
      </c>
      <c r="C8642">
        <v>442</v>
      </c>
      <c r="D8642">
        <v>425</v>
      </c>
      <c r="E8642">
        <v>1577186017</v>
      </c>
      <c r="F8642">
        <v>5325</v>
      </c>
      <c r="G8642">
        <v>0</v>
      </c>
      <c r="H8642" t="s">
        <v>13558</v>
      </c>
      <c r="I8642">
        <v>9698</v>
      </c>
      <c r="J8642" t="str">
        <f>VLOOKUP(E8642,DSSpieler!A:B,2,FALSE)</f>
        <v>HerrVomBerg</v>
      </c>
    </row>
    <row r="8643" spans="1:10" x14ac:dyDescent="0.25">
      <c r="A8643">
        <v>9701</v>
      </c>
      <c r="B8643" t="s">
        <v>33680</v>
      </c>
      <c r="C8643">
        <v>415</v>
      </c>
      <c r="D8643">
        <v>466</v>
      </c>
      <c r="E8643">
        <v>343092</v>
      </c>
      <c r="F8643">
        <v>7101</v>
      </c>
      <c r="G8643">
        <v>0</v>
      </c>
      <c r="H8643" t="s">
        <v>13559</v>
      </c>
      <c r="I8643">
        <v>9701</v>
      </c>
      <c r="J8643" t="str">
        <f>VLOOKUP(E8643,DSSpieler!A:B,2,FALSE)</f>
        <v>RTW-93</v>
      </c>
    </row>
    <row r="8644" spans="1:10" x14ac:dyDescent="0.25">
      <c r="A8644">
        <v>9702</v>
      </c>
      <c r="B8644" t="s">
        <v>33681</v>
      </c>
      <c r="C8644">
        <v>508</v>
      </c>
      <c r="D8644">
        <v>403</v>
      </c>
      <c r="E8644">
        <v>9490221</v>
      </c>
      <c r="F8644">
        <v>4977</v>
      </c>
      <c r="G8644">
        <v>0</v>
      </c>
      <c r="H8644" t="s">
        <v>13560</v>
      </c>
      <c r="I8644">
        <v>9702</v>
      </c>
      <c r="J8644" t="str">
        <f>VLOOKUP(E8644,DSSpieler!A:B,2,FALSE)</f>
        <v>und alle so yeeow</v>
      </c>
    </row>
    <row r="8645" spans="1:10" x14ac:dyDescent="0.25">
      <c r="A8645">
        <v>9703</v>
      </c>
      <c r="B8645" t="s">
        <v>33682</v>
      </c>
      <c r="C8645">
        <v>505</v>
      </c>
      <c r="D8645">
        <v>395</v>
      </c>
      <c r="E8645">
        <v>1577181266</v>
      </c>
      <c r="F8645">
        <v>5531</v>
      </c>
      <c r="G8645">
        <v>0</v>
      </c>
      <c r="H8645" t="s">
        <v>13561</v>
      </c>
      <c r="I8645">
        <v>9703</v>
      </c>
      <c r="J8645" t="str">
        <f>VLOOKUP(E8645,DSSpieler!A:B,2,FALSE)</f>
        <v>Vumas</v>
      </c>
    </row>
    <row r="8646" spans="1:10" x14ac:dyDescent="0.25">
      <c r="A8646">
        <v>9704</v>
      </c>
      <c r="B8646" t="s">
        <v>531</v>
      </c>
      <c r="C8646">
        <v>415</v>
      </c>
      <c r="D8646">
        <v>546</v>
      </c>
      <c r="E8646">
        <v>0</v>
      </c>
      <c r="F8646">
        <v>145</v>
      </c>
      <c r="G8646">
        <v>0</v>
      </c>
      <c r="H8646" t="s">
        <v>13562</v>
      </c>
      <c r="I8646">
        <v>9704</v>
      </c>
      <c r="J8646" t="e">
        <f>VLOOKUP(E8646,DSSpieler!A:B,2,FALSE)</f>
        <v>#N/A</v>
      </c>
    </row>
    <row r="8647" spans="1:10" x14ac:dyDescent="0.25">
      <c r="A8647">
        <v>9706</v>
      </c>
      <c r="B8647" t="s">
        <v>531</v>
      </c>
      <c r="C8647">
        <v>551</v>
      </c>
      <c r="D8647">
        <v>584</v>
      </c>
      <c r="E8647">
        <v>0</v>
      </c>
      <c r="F8647">
        <v>313</v>
      </c>
      <c r="G8647">
        <v>0</v>
      </c>
      <c r="H8647" t="s">
        <v>13563</v>
      </c>
      <c r="I8647">
        <v>9706</v>
      </c>
      <c r="J8647" t="e">
        <f>VLOOKUP(E8647,DSSpieler!A:B,2,FALSE)</f>
        <v>#N/A</v>
      </c>
    </row>
    <row r="8648" spans="1:10" x14ac:dyDescent="0.25">
      <c r="A8648">
        <v>9707</v>
      </c>
      <c r="B8648" t="s">
        <v>33683</v>
      </c>
      <c r="C8648">
        <v>587</v>
      </c>
      <c r="D8648">
        <v>544</v>
      </c>
      <c r="E8648">
        <v>2918209</v>
      </c>
      <c r="F8648">
        <v>3300</v>
      </c>
      <c r="G8648">
        <v>0</v>
      </c>
      <c r="H8648" t="s">
        <v>13564</v>
      </c>
      <c r="I8648">
        <v>9707</v>
      </c>
      <c r="J8648" t="str">
        <f>VLOOKUP(E8648,DSSpieler!A:B,2,FALSE)</f>
        <v>Zeilor</v>
      </c>
    </row>
    <row r="8649" spans="1:10" x14ac:dyDescent="0.25">
      <c r="A8649">
        <v>9708</v>
      </c>
      <c r="B8649" t="s">
        <v>974</v>
      </c>
      <c r="C8649">
        <v>567</v>
      </c>
      <c r="D8649">
        <v>572</v>
      </c>
      <c r="E8649">
        <v>1577188486</v>
      </c>
      <c r="F8649">
        <v>4851</v>
      </c>
      <c r="G8649">
        <v>0</v>
      </c>
      <c r="H8649" t="s">
        <v>13565</v>
      </c>
      <c r="I8649">
        <v>9708</v>
      </c>
      <c r="J8649" t="str">
        <f>VLOOKUP(E8649,DSSpieler!A:B,2,FALSE)</f>
        <v>Gzuz von Nazareth</v>
      </c>
    </row>
    <row r="8650" spans="1:10" x14ac:dyDescent="0.25">
      <c r="A8650">
        <v>9709</v>
      </c>
      <c r="B8650" t="s">
        <v>33684</v>
      </c>
      <c r="C8650">
        <v>569</v>
      </c>
      <c r="D8650">
        <v>437</v>
      </c>
      <c r="E8650">
        <v>1577192658</v>
      </c>
      <c r="F8650">
        <v>729</v>
      </c>
      <c r="G8650">
        <v>0</v>
      </c>
      <c r="H8650" t="s">
        <v>13566</v>
      </c>
      <c r="I8650">
        <v>9709</v>
      </c>
      <c r="J8650" t="str">
        <f>VLOOKUP(E8650,DSSpieler!A:B,2,FALSE)</f>
        <v>schmarrnuel</v>
      </c>
    </row>
    <row r="8651" spans="1:10" x14ac:dyDescent="0.25">
      <c r="A8651">
        <v>9710</v>
      </c>
      <c r="B8651" t="s">
        <v>33685</v>
      </c>
      <c r="C8651">
        <v>476</v>
      </c>
      <c r="D8651">
        <v>541</v>
      </c>
      <c r="E8651">
        <v>1577178261</v>
      </c>
      <c r="F8651">
        <v>3820</v>
      </c>
      <c r="G8651">
        <v>0</v>
      </c>
      <c r="H8651" t="s">
        <v>13567</v>
      </c>
      <c r="I8651">
        <v>9710</v>
      </c>
      <c r="J8651" t="str">
        <f>VLOOKUP(E8651,DSSpieler!A:B,2,FALSE)</f>
        <v>MikeLitoris</v>
      </c>
    </row>
    <row r="8652" spans="1:10" x14ac:dyDescent="0.25">
      <c r="A8652">
        <v>9711</v>
      </c>
      <c r="B8652" t="s">
        <v>531</v>
      </c>
      <c r="C8652">
        <v>582</v>
      </c>
      <c r="D8652">
        <v>546</v>
      </c>
      <c r="E8652">
        <v>0</v>
      </c>
      <c r="F8652">
        <v>514</v>
      </c>
      <c r="G8652">
        <v>0</v>
      </c>
      <c r="H8652" t="s">
        <v>13568</v>
      </c>
      <c r="I8652">
        <v>9711</v>
      </c>
      <c r="J8652" t="e">
        <f>VLOOKUP(E8652,DSSpieler!A:B,2,FALSE)</f>
        <v>#N/A</v>
      </c>
    </row>
    <row r="8653" spans="1:10" x14ac:dyDescent="0.25">
      <c r="A8653">
        <v>9712</v>
      </c>
      <c r="B8653" t="s">
        <v>33686</v>
      </c>
      <c r="C8653">
        <v>402</v>
      </c>
      <c r="D8653">
        <v>514</v>
      </c>
      <c r="E8653">
        <v>1576390493</v>
      </c>
      <c r="F8653">
        <v>3763</v>
      </c>
      <c r="G8653">
        <v>0</v>
      </c>
      <c r="H8653" t="s">
        <v>13569</v>
      </c>
      <c r="I8653">
        <v>9712</v>
      </c>
      <c r="J8653" t="str">
        <f>VLOOKUP(E8653,DSSpieler!A:B,2,FALSE)</f>
        <v>DragonLore</v>
      </c>
    </row>
    <row r="8654" spans="1:10" x14ac:dyDescent="0.25">
      <c r="A8654">
        <v>9713</v>
      </c>
      <c r="B8654" t="s">
        <v>531</v>
      </c>
      <c r="C8654">
        <v>450</v>
      </c>
      <c r="D8654">
        <v>416</v>
      </c>
      <c r="E8654">
        <v>0</v>
      </c>
      <c r="F8654">
        <v>260</v>
      </c>
      <c r="G8654">
        <v>0</v>
      </c>
      <c r="H8654" t="s">
        <v>13570</v>
      </c>
      <c r="I8654">
        <v>9713</v>
      </c>
      <c r="J8654" t="e">
        <f>VLOOKUP(E8654,DSSpieler!A:B,2,FALSE)</f>
        <v>#N/A</v>
      </c>
    </row>
    <row r="8655" spans="1:10" x14ac:dyDescent="0.25">
      <c r="A8655">
        <v>9714</v>
      </c>
      <c r="B8655" t="s">
        <v>33687</v>
      </c>
      <c r="C8655">
        <v>504</v>
      </c>
      <c r="D8655">
        <v>508</v>
      </c>
      <c r="E8655">
        <v>1577198239</v>
      </c>
      <c r="F8655">
        <v>7695</v>
      </c>
      <c r="G8655">
        <v>0</v>
      </c>
      <c r="H8655" t="s">
        <v>13571</v>
      </c>
      <c r="I8655">
        <v>9714</v>
      </c>
      <c r="J8655" t="str">
        <f>VLOOKUP(E8655,DSSpieler!A:B,2,FALSE)</f>
        <v>König Hank662</v>
      </c>
    </row>
    <row r="8656" spans="1:10" x14ac:dyDescent="0.25">
      <c r="A8656">
        <v>9715</v>
      </c>
      <c r="B8656" t="s">
        <v>1822</v>
      </c>
      <c r="C8656">
        <v>418</v>
      </c>
      <c r="D8656">
        <v>571</v>
      </c>
      <c r="E8656">
        <v>1576200718</v>
      </c>
      <c r="F8656">
        <v>4003</v>
      </c>
      <c r="G8656">
        <v>0</v>
      </c>
      <c r="H8656" t="s">
        <v>13572</v>
      </c>
      <c r="I8656">
        <v>9715</v>
      </c>
      <c r="J8656" t="str">
        <f>VLOOKUP(E8656,DSSpieler!A:B,2,FALSE)</f>
        <v>daniakaspast</v>
      </c>
    </row>
    <row r="8657" spans="1:10" x14ac:dyDescent="0.25">
      <c r="A8657">
        <v>9716</v>
      </c>
      <c r="B8657" t="s">
        <v>531</v>
      </c>
      <c r="C8657">
        <v>522</v>
      </c>
      <c r="D8657">
        <v>592</v>
      </c>
      <c r="E8657">
        <v>0</v>
      </c>
      <c r="F8657">
        <v>203</v>
      </c>
      <c r="G8657">
        <v>0</v>
      </c>
      <c r="H8657" t="s">
        <v>13573</v>
      </c>
      <c r="I8657">
        <v>9716</v>
      </c>
      <c r="J8657" t="e">
        <f>VLOOKUP(E8657,DSSpieler!A:B,2,FALSE)</f>
        <v>#N/A</v>
      </c>
    </row>
    <row r="8658" spans="1:10" x14ac:dyDescent="0.25">
      <c r="A8658">
        <v>9717</v>
      </c>
      <c r="B8658" t="s">
        <v>531</v>
      </c>
      <c r="C8658">
        <v>590</v>
      </c>
      <c r="D8658">
        <v>539</v>
      </c>
      <c r="E8658">
        <v>0</v>
      </c>
      <c r="F8658">
        <v>135</v>
      </c>
      <c r="G8658">
        <v>0</v>
      </c>
      <c r="H8658" t="s">
        <v>13574</v>
      </c>
      <c r="I8658">
        <v>9717</v>
      </c>
      <c r="J8658" t="e">
        <f>VLOOKUP(E8658,DSSpieler!A:B,2,FALSE)</f>
        <v>#N/A</v>
      </c>
    </row>
    <row r="8659" spans="1:10" x14ac:dyDescent="0.25">
      <c r="A8659">
        <v>9718</v>
      </c>
      <c r="B8659" t="s">
        <v>30979</v>
      </c>
      <c r="C8659">
        <v>427</v>
      </c>
      <c r="D8659">
        <v>439</v>
      </c>
      <c r="E8659">
        <v>503235</v>
      </c>
      <c r="F8659">
        <v>4869</v>
      </c>
      <c r="G8659">
        <v>0</v>
      </c>
      <c r="H8659" t="s">
        <v>13575</v>
      </c>
      <c r="I8659">
        <v>9718</v>
      </c>
      <c r="J8659" t="str">
        <f>VLOOKUP(E8659,DSSpieler!A:B,2,FALSE)</f>
        <v>TizianW</v>
      </c>
    </row>
    <row r="8660" spans="1:10" x14ac:dyDescent="0.25">
      <c r="A8660">
        <v>9719</v>
      </c>
      <c r="B8660" t="s">
        <v>531</v>
      </c>
      <c r="C8660">
        <v>582</v>
      </c>
      <c r="D8660">
        <v>448</v>
      </c>
      <c r="E8660">
        <v>0</v>
      </c>
      <c r="F8660">
        <v>525</v>
      </c>
      <c r="G8660">
        <v>0</v>
      </c>
      <c r="H8660" t="s">
        <v>13576</v>
      </c>
      <c r="I8660">
        <v>9719</v>
      </c>
      <c r="J8660" t="e">
        <f>VLOOKUP(E8660,DSSpieler!A:B,2,FALSE)</f>
        <v>#N/A</v>
      </c>
    </row>
    <row r="8661" spans="1:10" x14ac:dyDescent="0.25">
      <c r="A8661">
        <v>9720</v>
      </c>
      <c r="B8661" t="s">
        <v>531</v>
      </c>
      <c r="C8661">
        <v>406</v>
      </c>
      <c r="D8661">
        <v>474</v>
      </c>
      <c r="E8661">
        <v>0</v>
      </c>
      <c r="F8661">
        <v>419</v>
      </c>
      <c r="G8661">
        <v>0</v>
      </c>
      <c r="H8661" t="s">
        <v>13577</v>
      </c>
      <c r="I8661">
        <v>9720</v>
      </c>
      <c r="J8661" t="e">
        <f>VLOOKUP(E8661,DSSpieler!A:B,2,FALSE)</f>
        <v>#N/A</v>
      </c>
    </row>
    <row r="8662" spans="1:10" x14ac:dyDescent="0.25">
      <c r="A8662">
        <v>9721</v>
      </c>
      <c r="B8662" t="s">
        <v>1823</v>
      </c>
      <c r="C8662">
        <v>472</v>
      </c>
      <c r="D8662">
        <v>411</v>
      </c>
      <c r="E8662">
        <v>1577014186</v>
      </c>
      <c r="F8662">
        <v>3905</v>
      </c>
      <c r="G8662">
        <v>0</v>
      </c>
      <c r="H8662" t="s">
        <v>13578</v>
      </c>
      <c r="I8662">
        <v>9721</v>
      </c>
      <c r="J8662" t="str">
        <f>VLOOKUP(E8662,DSSpieler!A:B,2,FALSE)</f>
        <v>FleXus</v>
      </c>
    </row>
    <row r="8663" spans="1:10" x14ac:dyDescent="0.25">
      <c r="A8663">
        <v>9722</v>
      </c>
      <c r="B8663" t="s">
        <v>1824</v>
      </c>
      <c r="C8663">
        <v>424</v>
      </c>
      <c r="D8663">
        <v>444</v>
      </c>
      <c r="E8663">
        <v>1577167203</v>
      </c>
      <c r="F8663">
        <v>2936</v>
      </c>
      <c r="G8663">
        <v>0</v>
      </c>
      <c r="H8663" t="s">
        <v>13579</v>
      </c>
      <c r="I8663">
        <v>9722</v>
      </c>
      <c r="J8663" t="str">
        <f>VLOOKUP(E8663,DSSpieler!A:B,2,FALSE)</f>
        <v>Powerbash 08</v>
      </c>
    </row>
    <row r="8664" spans="1:10" x14ac:dyDescent="0.25">
      <c r="A8664">
        <v>9723</v>
      </c>
      <c r="B8664">
        <v>1</v>
      </c>
      <c r="C8664">
        <v>459</v>
      </c>
      <c r="D8664">
        <v>548</v>
      </c>
      <c r="E8664">
        <v>7943883</v>
      </c>
      <c r="F8664">
        <v>5992</v>
      </c>
      <c r="G8664">
        <v>0</v>
      </c>
      <c r="H8664" t="s">
        <v>13580</v>
      </c>
      <c r="I8664">
        <v>9723</v>
      </c>
      <c r="J8664" t="str">
        <f>VLOOKUP(E8664,DSSpieler!A:B,2,FALSE)</f>
        <v>baua sucht frau</v>
      </c>
    </row>
    <row r="8665" spans="1:10" x14ac:dyDescent="0.25">
      <c r="A8665">
        <v>9724</v>
      </c>
      <c r="B8665" t="s">
        <v>531</v>
      </c>
      <c r="C8665">
        <v>583</v>
      </c>
      <c r="D8665">
        <v>454</v>
      </c>
      <c r="E8665">
        <v>0</v>
      </c>
      <c r="F8665">
        <v>510</v>
      </c>
      <c r="G8665">
        <v>0</v>
      </c>
      <c r="H8665" t="s">
        <v>13581</v>
      </c>
      <c r="I8665">
        <v>9724</v>
      </c>
      <c r="J8665" t="e">
        <f>VLOOKUP(E8665,DSSpieler!A:B,2,FALSE)</f>
        <v>#N/A</v>
      </c>
    </row>
    <row r="8666" spans="1:10" x14ac:dyDescent="0.25">
      <c r="A8666">
        <v>9725</v>
      </c>
      <c r="B8666" t="s">
        <v>1825</v>
      </c>
      <c r="C8666">
        <v>455</v>
      </c>
      <c r="D8666">
        <v>429</v>
      </c>
      <c r="E8666">
        <v>1577197332</v>
      </c>
      <c r="F8666">
        <v>6609</v>
      </c>
      <c r="G8666">
        <v>0</v>
      </c>
      <c r="H8666" t="s">
        <v>13582</v>
      </c>
      <c r="I8666">
        <v>9725</v>
      </c>
      <c r="J8666" t="str">
        <f>VLOOKUP(E8666,DSSpieler!A:B,2,FALSE)</f>
        <v>Didavo</v>
      </c>
    </row>
    <row r="8667" spans="1:10" x14ac:dyDescent="0.25">
      <c r="A8667">
        <v>9726</v>
      </c>
      <c r="B8667" t="s">
        <v>1826</v>
      </c>
      <c r="C8667">
        <v>403</v>
      </c>
      <c r="D8667">
        <v>514</v>
      </c>
      <c r="E8667">
        <v>1577193782</v>
      </c>
      <c r="F8667">
        <v>7126</v>
      </c>
      <c r="G8667">
        <v>0</v>
      </c>
      <c r="H8667" t="s">
        <v>13583</v>
      </c>
      <c r="I8667">
        <v>9726</v>
      </c>
      <c r="J8667" t="str">
        <f>VLOOKUP(E8667,DSSpieler!A:B,2,FALSE)</f>
        <v>jj44</v>
      </c>
    </row>
    <row r="8668" spans="1:10" x14ac:dyDescent="0.25">
      <c r="A8668">
        <v>9727</v>
      </c>
      <c r="B8668" t="s">
        <v>32016</v>
      </c>
      <c r="C8668">
        <v>585</v>
      </c>
      <c r="D8668">
        <v>456</v>
      </c>
      <c r="E8668">
        <v>8106081</v>
      </c>
      <c r="F8668">
        <v>6612</v>
      </c>
      <c r="G8668">
        <v>0</v>
      </c>
      <c r="H8668" t="s">
        <v>13584</v>
      </c>
      <c r="I8668">
        <v>9727</v>
      </c>
      <c r="J8668" t="str">
        <f>VLOOKUP(E8668,DSSpieler!A:B,2,FALSE)</f>
        <v>Vaadi</v>
      </c>
    </row>
    <row r="8669" spans="1:10" x14ac:dyDescent="0.25">
      <c r="A8669">
        <v>9728</v>
      </c>
      <c r="B8669">
        <v>2</v>
      </c>
      <c r="C8669">
        <v>523</v>
      </c>
      <c r="D8669">
        <v>407</v>
      </c>
      <c r="E8669">
        <v>1577172721</v>
      </c>
      <c r="F8669">
        <v>2808</v>
      </c>
      <c r="G8669">
        <v>0</v>
      </c>
      <c r="H8669" t="s">
        <v>13585</v>
      </c>
      <c r="I8669">
        <v>9728</v>
      </c>
      <c r="J8669" t="str">
        <f>VLOOKUP(E8669,DSSpieler!A:B,2,FALSE)</f>
        <v>traineee</v>
      </c>
    </row>
    <row r="8670" spans="1:10" x14ac:dyDescent="0.25">
      <c r="A8670">
        <v>9729</v>
      </c>
      <c r="B8670" t="s">
        <v>531</v>
      </c>
      <c r="C8670">
        <v>597</v>
      </c>
      <c r="D8670">
        <v>487</v>
      </c>
      <c r="E8670">
        <v>0</v>
      </c>
      <c r="F8670">
        <v>545</v>
      </c>
      <c r="G8670">
        <v>0</v>
      </c>
      <c r="H8670" t="s">
        <v>13586</v>
      </c>
      <c r="I8670">
        <v>9729</v>
      </c>
      <c r="J8670" t="e">
        <f>VLOOKUP(E8670,DSSpieler!A:B,2,FALSE)</f>
        <v>#N/A</v>
      </c>
    </row>
    <row r="8671" spans="1:10" x14ac:dyDescent="0.25">
      <c r="A8671">
        <v>9730</v>
      </c>
      <c r="B8671" t="s">
        <v>1827</v>
      </c>
      <c r="C8671">
        <v>457</v>
      </c>
      <c r="D8671">
        <v>481</v>
      </c>
      <c r="E8671">
        <v>1576450184</v>
      </c>
      <c r="F8671">
        <v>3998</v>
      </c>
      <c r="G8671">
        <v>0</v>
      </c>
      <c r="H8671" t="s">
        <v>13587</v>
      </c>
      <c r="I8671">
        <v>9730</v>
      </c>
      <c r="J8671" t="str">
        <f>VLOOKUP(E8671,DSSpieler!A:B,2,FALSE)</f>
        <v>Sir Goffy</v>
      </c>
    </row>
    <row r="8672" spans="1:10" x14ac:dyDescent="0.25">
      <c r="A8672">
        <v>9731</v>
      </c>
      <c r="B8672" t="s">
        <v>1828</v>
      </c>
      <c r="C8672">
        <v>515</v>
      </c>
      <c r="D8672">
        <v>398</v>
      </c>
      <c r="E8672">
        <v>9238203</v>
      </c>
      <c r="F8672">
        <v>6136</v>
      </c>
      <c r="G8672">
        <v>0</v>
      </c>
      <c r="H8672" t="s">
        <v>13588</v>
      </c>
      <c r="I8672">
        <v>9731</v>
      </c>
      <c r="J8672" t="str">
        <f>VLOOKUP(E8672,DSSpieler!A:B,2,FALSE)</f>
        <v>bob107</v>
      </c>
    </row>
    <row r="8673" spans="1:10" x14ac:dyDescent="0.25">
      <c r="A8673">
        <v>9732</v>
      </c>
      <c r="B8673" t="s">
        <v>531</v>
      </c>
      <c r="C8673">
        <v>496</v>
      </c>
      <c r="D8673">
        <v>596</v>
      </c>
      <c r="E8673">
        <v>0</v>
      </c>
      <c r="F8673">
        <v>466</v>
      </c>
      <c r="G8673">
        <v>0</v>
      </c>
      <c r="H8673" t="s">
        <v>13589</v>
      </c>
      <c r="I8673">
        <v>9732</v>
      </c>
      <c r="J8673" t="e">
        <f>VLOOKUP(E8673,DSSpieler!A:B,2,FALSE)</f>
        <v>#N/A</v>
      </c>
    </row>
    <row r="8674" spans="1:10" x14ac:dyDescent="0.25">
      <c r="A8674">
        <v>9733</v>
      </c>
      <c r="B8674" t="s">
        <v>531</v>
      </c>
      <c r="C8674">
        <v>525</v>
      </c>
      <c r="D8674">
        <v>412</v>
      </c>
      <c r="E8674">
        <v>0</v>
      </c>
      <c r="F8674">
        <v>538</v>
      </c>
      <c r="G8674">
        <v>0</v>
      </c>
      <c r="H8674" t="s">
        <v>13590</v>
      </c>
      <c r="I8674">
        <v>9733</v>
      </c>
      <c r="J8674" t="e">
        <f>VLOOKUP(E8674,DSSpieler!A:B,2,FALSE)</f>
        <v>#N/A</v>
      </c>
    </row>
    <row r="8675" spans="1:10" x14ac:dyDescent="0.25">
      <c r="A8675">
        <v>9734</v>
      </c>
      <c r="B8675" t="s">
        <v>531</v>
      </c>
      <c r="C8675">
        <v>562</v>
      </c>
      <c r="D8675">
        <v>571</v>
      </c>
      <c r="E8675">
        <v>0</v>
      </c>
      <c r="F8675">
        <v>356</v>
      </c>
      <c r="G8675">
        <v>0</v>
      </c>
      <c r="H8675" t="s">
        <v>13591</v>
      </c>
      <c r="I8675">
        <v>9734</v>
      </c>
      <c r="J8675" t="e">
        <f>VLOOKUP(E8675,DSSpieler!A:B,2,FALSE)</f>
        <v>#N/A</v>
      </c>
    </row>
    <row r="8676" spans="1:10" x14ac:dyDescent="0.25">
      <c r="A8676">
        <v>9735</v>
      </c>
      <c r="B8676">
        <v>2</v>
      </c>
      <c r="C8676">
        <v>458</v>
      </c>
      <c r="D8676">
        <v>584</v>
      </c>
      <c r="E8676">
        <v>1577198013</v>
      </c>
      <c r="F8676">
        <v>4126</v>
      </c>
      <c r="G8676">
        <v>0</v>
      </c>
      <c r="H8676" t="s">
        <v>13592</v>
      </c>
      <c r="I8676">
        <v>9735</v>
      </c>
      <c r="J8676" t="str">
        <f>VLOOKUP(E8676,DSSpieler!A:B,2,FALSE)</f>
        <v>Anstrum7</v>
      </c>
    </row>
    <row r="8677" spans="1:10" x14ac:dyDescent="0.25">
      <c r="A8677">
        <v>9736</v>
      </c>
      <c r="B8677" t="s">
        <v>531</v>
      </c>
      <c r="C8677">
        <v>543</v>
      </c>
      <c r="D8677">
        <v>586</v>
      </c>
      <c r="E8677">
        <v>0</v>
      </c>
      <c r="F8677">
        <v>309</v>
      </c>
      <c r="G8677">
        <v>0</v>
      </c>
      <c r="H8677" t="s">
        <v>13593</v>
      </c>
      <c r="I8677">
        <v>9736</v>
      </c>
      <c r="J8677" t="e">
        <f>VLOOKUP(E8677,DSSpieler!A:B,2,FALSE)</f>
        <v>#N/A</v>
      </c>
    </row>
    <row r="8678" spans="1:10" x14ac:dyDescent="0.25">
      <c r="A8678">
        <v>9737</v>
      </c>
      <c r="B8678" t="s">
        <v>33688</v>
      </c>
      <c r="C8678">
        <v>523</v>
      </c>
      <c r="D8678">
        <v>510</v>
      </c>
      <c r="E8678">
        <v>1577127657</v>
      </c>
      <c r="F8678">
        <v>862</v>
      </c>
      <c r="G8678">
        <v>0</v>
      </c>
      <c r="H8678" t="s">
        <v>13594</v>
      </c>
      <c r="I8678">
        <v>9737</v>
      </c>
      <c r="J8678" t="str">
        <f>VLOOKUP(E8678,DSSpieler!A:B,2,FALSE)</f>
        <v>GTRixe</v>
      </c>
    </row>
    <row r="8679" spans="1:10" x14ac:dyDescent="0.25">
      <c r="A8679">
        <v>9738</v>
      </c>
      <c r="B8679" t="s">
        <v>33689</v>
      </c>
      <c r="C8679">
        <v>523</v>
      </c>
      <c r="D8679">
        <v>605</v>
      </c>
      <c r="E8679">
        <v>832699</v>
      </c>
      <c r="F8679">
        <v>5881</v>
      </c>
      <c r="G8679">
        <v>0</v>
      </c>
      <c r="H8679" t="s">
        <v>13595</v>
      </c>
      <c r="I8679">
        <v>9738</v>
      </c>
      <c r="J8679" t="str">
        <f>VLOOKUP(E8679,DSSpieler!A:B,2,FALSE)</f>
        <v>Y@r0n</v>
      </c>
    </row>
    <row r="8680" spans="1:10" x14ac:dyDescent="0.25">
      <c r="A8680">
        <v>9739</v>
      </c>
      <c r="B8680" t="s">
        <v>1829</v>
      </c>
      <c r="C8680">
        <v>594</v>
      </c>
      <c r="D8680">
        <v>482</v>
      </c>
      <c r="E8680">
        <v>1577195911</v>
      </c>
      <c r="F8680">
        <v>2192</v>
      </c>
      <c r="G8680">
        <v>0</v>
      </c>
      <c r="H8680" t="s">
        <v>13596</v>
      </c>
      <c r="I8680">
        <v>9739</v>
      </c>
      <c r="J8680" t="str">
        <f>VLOOKUP(E8680,DSSpieler!A:B,2,FALSE)</f>
        <v>tosch99</v>
      </c>
    </row>
    <row r="8681" spans="1:10" x14ac:dyDescent="0.25">
      <c r="A8681">
        <v>9740</v>
      </c>
      <c r="B8681" t="s">
        <v>531</v>
      </c>
      <c r="C8681">
        <v>523</v>
      </c>
      <c r="D8681">
        <v>596</v>
      </c>
      <c r="E8681">
        <v>0</v>
      </c>
      <c r="F8681">
        <v>1815</v>
      </c>
      <c r="G8681">
        <v>0</v>
      </c>
      <c r="H8681" t="s">
        <v>13597</v>
      </c>
      <c r="I8681">
        <v>9740</v>
      </c>
      <c r="J8681" t="e">
        <f>VLOOKUP(E8681,DSSpieler!A:B,2,FALSE)</f>
        <v>#N/A</v>
      </c>
    </row>
    <row r="8682" spans="1:10" x14ac:dyDescent="0.25">
      <c r="A8682">
        <v>9741</v>
      </c>
      <c r="B8682" t="s">
        <v>531</v>
      </c>
      <c r="C8682">
        <v>405</v>
      </c>
      <c r="D8682">
        <v>522</v>
      </c>
      <c r="E8682">
        <v>0</v>
      </c>
      <c r="F8682">
        <v>181</v>
      </c>
      <c r="G8682">
        <v>0</v>
      </c>
      <c r="H8682" t="s">
        <v>13598</v>
      </c>
      <c r="I8682">
        <v>9741</v>
      </c>
      <c r="J8682" t="e">
        <f>VLOOKUP(E8682,DSSpieler!A:B,2,FALSE)</f>
        <v>#N/A</v>
      </c>
    </row>
    <row r="8683" spans="1:10" x14ac:dyDescent="0.25">
      <c r="A8683">
        <v>9742</v>
      </c>
      <c r="B8683" t="s">
        <v>33690</v>
      </c>
      <c r="C8683">
        <v>574</v>
      </c>
      <c r="D8683">
        <v>538</v>
      </c>
      <c r="E8683">
        <v>2647981</v>
      </c>
      <c r="F8683">
        <v>4048</v>
      </c>
      <c r="G8683">
        <v>0</v>
      </c>
      <c r="H8683" t="s">
        <v>13599</v>
      </c>
      <c r="I8683">
        <v>9742</v>
      </c>
      <c r="J8683" t="str">
        <f>VLOOKUP(E8683,DSSpieler!A:B,2,FALSE)</f>
        <v>gergl</v>
      </c>
    </row>
    <row r="8684" spans="1:10" x14ac:dyDescent="0.25">
      <c r="A8684">
        <v>9743</v>
      </c>
      <c r="B8684" t="s">
        <v>531</v>
      </c>
      <c r="C8684">
        <v>418</v>
      </c>
      <c r="D8684">
        <v>554</v>
      </c>
      <c r="E8684">
        <v>0</v>
      </c>
      <c r="F8684">
        <v>297</v>
      </c>
      <c r="G8684">
        <v>0</v>
      </c>
      <c r="H8684" t="s">
        <v>13600</v>
      </c>
      <c r="I8684">
        <v>9743</v>
      </c>
      <c r="J8684" t="e">
        <f>VLOOKUP(E8684,DSSpieler!A:B,2,FALSE)</f>
        <v>#N/A</v>
      </c>
    </row>
    <row r="8685" spans="1:10" x14ac:dyDescent="0.25">
      <c r="A8685">
        <v>9744</v>
      </c>
      <c r="B8685">
        <v>1</v>
      </c>
      <c r="C8685">
        <v>490</v>
      </c>
      <c r="D8685">
        <v>597</v>
      </c>
      <c r="E8685">
        <v>9364534</v>
      </c>
      <c r="F8685">
        <v>5135</v>
      </c>
      <c r="G8685">
        <v>0</v>
      </c>
      <c r="H8685" t="s">
        <v>13601</v>
      </c>
      <c r="I8685">
        <v>9744</v>
      </c>
      <c r="J8685" t="str">
        <f>VLOOKUP(E8685,DSSpieler!A:B,2,FALSE)</f>
        <v>Aemok</v>
      </c>
    </row>
    <row r="8686" spans="1:10" x14ac:dyDescent="0.25">
      <c r="A8686">
        <v>9745</v>
      </c>
      <c r="B8686" t="s">
        <v>531</v>
      </c>
      <c r="C8686">
        <v>468</v>
      </c>
      <c r="D8686">
        <v>409</v>
      </c>
      <c r="E8686">
        <v>0</v>
      </c>
      <c r="F8686">
        <v>290</v>
      </c>
      <c r="G8686">
        <v>0</v>
      </c>
      <c r="H8686" t="s">
        <v>13602</v>
      </c>
      <c r="I8686">
        <v>9745</v>
      </c>
      <c r="J8686" t="e">
        <f>VLOOKUP(E8686,DSSpieler!A:B,2,FALSE)</f>
        <v>#N/A</v>
      </c>
    </row>
    <row r="8687" spans="1:10" x14ac:dyDescent="0.25">
      <c r="A8687">
        <v>9746</v>
      </c>
      <c r="B8687" t="s">
        <v>531</v>
      </c>
      <c r="C8687">
        <v>403</v>
      </c>
      <c r="D8687">
        <v>505</v>
      </c>
      <c r="E8687">
        <v>0</v>
      </c>
      <c r="F8687">
        <v>226</v>
      </c>
      <c r="G8687">
        <v>0</v>
      </c>
      <c r="H8687" t="s">
        <v>13603</v>
      </c>
      <c r="I8687">
        <v>9746</v>
      </c>
      <c r="J8687" t="e">
        <f>VLOOKUP(E8687,DSSpieler!A:B,2,FALSE)</f>
        <v>#N/A</v>
      </c>
    </row>
    <row r="8688" spans="1:10" x14ac:dyDescent="0.25">
      <c r="A8688">
        <v>9747</v>
      </c>
      <c r="B8688" t="s">
        <v>531</v>
      </c>
      <c r="C8688">
        <v>457</v>
      </c>
      <c r="D8688">
        <v>584</v>
      </c>
      <c r="E8688">
        <v>0</v>
      </c>
      <c r="F8688">
        <v>399</v>
      </c>
      <c r="G8688">
        <v>0</v>
      </c>
      <c r="H8688" t="s">
        <v>13604</v>
      </c>
      <c r="I8688">
        <v>9747</v>
      </c>
      <c r="J8688" t="e">
        <f>VLOOKUP(E8688,DSSpieler!A:B,2,FALSE)</f>
        <v>#N/A</v>
      </c>
    </row>
    <row r="8689" spans="1:10" x14ac:dyDescent="0.25">
      <c r="A8689">
        <v>9748</v>
      </c>
      <c r="B8689" t="s">
        <v>33691</v>
      </c>
      <c r="C8689">
        <v>402</v>
      </c>
      <c r="D8689">
        <v>503</v>
      </c>
      <c r="E8689">
        <v>1576624271</v>
      </c>
      <c r="F8689">
        <v>5713</v>
      </c>
      <c r="G8689">
        <v>0</v>
      </c>
      <c r="H8689" t="s">
        <v>13605</v>
      </c>
      <c r="I8689">
        <v>9748</v>
      </c>
      <c r="J8689" t="str">
        <f>VLOOKUP(E8689,DSSpieler!A:B,2,FALSE)</f>
        <v>NaphetsTV</v>
      </c>
    </row>
    <row r="8690" spans="1:10" x14ac:dyDescent="0.25">
      <c r="A8690">
        <v>9749</v>
      </c>
      <c r="B8690" t="s">
        <v>33692</v>
      </c>
      <c r="C8690">
        <v>439</v>
      </c>
      <c r="D8690">
        <v>424</v>
      </c>
      <c r="E8690">
        <v>1576950154</v>
      </c>
      <c r="F8690">
        <v>6430</v>
      </c>
      <c r="G8690">
        <v>0</v>
      </c>
      <c r="H8690" t="s">
        <v>13606</v>
      </c>
      <c r="I8690">
        <v>9749</v>
      </c>
      <c r="J8690" t="str">
        <f>VLOOKUP(E8690,DSSpieler!A:B,2,FALSE)</f>
        <v>Lord Burnsens</v>
      </c>
    </row>
    <row r="8691" spans="1:10" x14ac:dyDescent="0.25">
      <c r="A8691">
        <v>9750</v>
      </c>
      <c r="B8691" t="s">
        <v>531</v>
      </c>
      <c r="C8691">
        <v>437</v>
      </c>
      <c r="D8691">
        <v>499</v>
      </c>
      <c r="E8691">
        <v>0</v>
      </c>
      <c r="F8691">
        <v>411</v>
      </c>
      <c r="G8691">
        <v>0</v>
      </c>
      <c r="H8691" t="s">
        <v>13607</v>
      </c>
      <c r="I8691">
        <v>9750</v>
      </c>
      <c r="J8691" t="e">
        <f>VLOOKUP(E8691,DSSpieler!A:B,2,FALSE)</f>
        <v>#N/A</v>
      </c>
    </row>
    <row r="8692" spans="1:10" x14ac:dyDescent="0.25">
      <c r="A8692">
        <v>9751</v>
      </c>
      <c r="B8692" t="s">
        <v>1830</v>
      </c>
      <c r="C8692">
        <v>559</v>
      </c>
      <c r="D8692">
        <v>461</v>
      </c>
      <c r="E8692">
        <v>1577195690</v>
      </c>
      <c r="F8692">
        <v>2278</v>
      </c>
      <c r="G8692">
        <v>0</v>
      </c>
      <c r="H8692" t="s">
        <v>13608</v>
      </c>
      <c r="I8692">
        <v>9751</v>
      </c>
      <c r="J8692" t="str">
        <f>VLOOKUP(E8692,DSSpieler!A:B,2,FALSE)</f>
        <v>annilywe</v>
      </c>
    </row>
    <row r="8693" spans="1:10" x14ac:dyDescent="0.25">
      <c r="A8693">
        <v>9752</v>
      </c>
      <c r="B8693" t="s">
        <v>531</v>
      </c>
      <c r="C8693">
        <v>597</v>
      </c>
      <c r="D8693">
        <v>492</v>
      </c>
      <c r="E8693">
        <v>0</v>
      </c>
      <c r="F8693">
        <v>388</v>
      </c>
      <c r="G8693">
        <v>0</v>
      </c>
      <c r="H8693" t="s">
        <v>13609</v>
      </c>
      <c r="I8693">
        <v>9752</v>
      </c>
      <c r="J8693" t="e">
        <f>VLOOKUP(E8693,DSSpieler!A:B,2,FALSE)</f>
        <v>#N/A</v>
      </c>
    </row>
    <row r="8694" spans="1:10" x14ac:dyDescent="0.25">
      <c r="A8694">
        <v>9754</v>
      </c>
      <c r="B8694" t="s">
        <v>33693</v>
      </c>
      <c r="C8694">
        <v>590</v>
      </c>
      <c r="D8694">
        <v>461</v>
      </c>
      <c r="E8694">
        <v>1576779600</v>
      </c>
      <c r="F8694">
        <v>2815</v>
      </c>
      <c r="G8694">
        <v>0</v>
      </c>
      <c r="H8694" t="s">
        <v>13610</v>
      </c>
      <c r="I8694">
        <v>9754</v>
      </c>
      <c r="J8694" t="str">
        <f>VLOOKUP(E8694,DSSpieler!A:B,2,FALSE)</f>
        <v>Badgirl.1</v>
      </c>
    </row>
    <row r="8695" spans="1:10" x14ac:dyDescent="0.25">
      <c r="A8695">
        <v>9755</v>
      </c>
      <c r="B8695" t="s">
        <v>33694</v>
      </c>
      <c r="C8695">
        <v>518</v>
      </c>
      <c r="D8695">
        <v>391</v>
      </c>
      <c r="E8695">
        <v>203673</v>
      </c>
      <c r="F8695">
        <v>5116</v>
      </c>
      <c r="G8695">
        <v>0</v>
      </c>
      <c r="H8695" t="s">
        <v>13611</v>
      </c>
      <c r="I8695">
        <v>9755</v>
      </c>
      <c r="J8695" t="str">
        <f>VLOOKUP(E8695,DSSpieler!A:B,2,FALSE)</f>
        <v>Spieler XXX</v>
      </c>
    </row>
    <row r="8696" spans="1:10" x14ac:dyDescent="0.25">
      <c r="A8696">
        <v>9757</v>
      </c>
      <c r="B8696" t="s">
        <v>531</v>
      </c>
      <c r="C8696">
        <v>595</v>
      </c>
      <c r="D8696">
        <v>504</v>
      </c>
      <c r="E8696">
        <v>0</v>
      </c>
      <c r="F8696">
        <v>344</v>
      </c>
      <c r="G8696">
        <v>0</v>
      </c>
      <c r="H8696" t="s">
        <v>13612</v>
      </c>
      <c r="I8696">
        <v>9757</v>
      </c>
      <c r="J8696" t="e">
        <f>VLOOKUP(E8696,DSSpieler!A:B,2,FALSE)</f>
        <v>#N/A</v>
      </c>
    </row>
    <row r="8697" spans="1:10" x14ac:dyDescent="0.25">
      <c r="A8697">
        <v>9758</v>
      </c>
      <c r="B8697" t="s">
        <v>33695</v>
      </c>
      <c r="C8697">
        <v>565</v>
      </c>
      <c r="D8697">
        <v>430</v>
      </c>
      <c r="E8697">
        <v>7746251</v>
      </c>
      <c r="F8697">
        <v>4545</v>
      </c>
      <c r="G8697">
        <v>0</v>
      </c>
      <c r="H8697" t="s">
        <v>13613</v>
      </c>
      <c r="I8697">
        <v>9758</v>
      </c>
      <c r="J8697" t="str">
        <f>VLOOKUP(E8697,DSSpieler!A:B,2,FALSE)</f>
        <v>sweetsun83</v>
      </c>
    </row>
    <row r="8698" spans="1:10" x14ac:dyDescent="0.25">
      <c r="A8698">
        <v>9759</v>
      </c>
      <c r="B8698" t="s">
        <v>531</v>
      </c>
      <c r="C8698">
        <v>459</v>
      </c>
      <c r="D8698">
        <v>415</v>
      </c>
      <c r="E8698">
        <v>0</v>
      </c>
      <c r="F8698">
        <v>112</v>
      </c>
      <c r="G8698">
        <v>0</v>
      </c>
      <c r="H8698" t="s">
        <v>13614</v>
      </c>
      <c r="I8698">
        <v>9759</v>
      </c>
      <c r="J8698" t="e">
        <f>VLOOKUP(E8698,DSSpieler!A:B,2,FALSE)</f>
        <v>#N/A</v>
      </c>
    </row>
    <row r="8699" spans="1:10" x14ac:dyDescent="0.25">
      <c r="A8699">
        <v>9760</v>
      </c>
      <c r="B8699" t="s">
        <v>33696</v>
      </c>
      <c r="C8699">
        <v>477</v>
      </c>
      <c r="D8699">
        <v>410</v>
      </c>
      <c r="E8699">
        <v>1577193042</v>
      </c>
      <c r="F8699">
        <v>5501</v>
      </c>
      <c r="G8699">
        <v>0</v>
      </c>
      <c r="H8699" t="s">
        <v>13615</v>
      </c>
      <c r="I8699">
        <v>9760</v>
      </c>
      <c r="J8699" t="str">
        <f>VLOOKUP(E8699,DSSpieler!A:B,2,FALSE)</f>
        <v>UltimateCuB3R</v>
      </c>
    </row>
    <row r="8700" spans="1:10" x14ac:dyDescent="0.25">
      <c r="A8700">
        <v>9762</v>
      </c>
      <c r="B8700" t="s">
        <v>531</v>
      </c>
      <c r="C8700">
        <v>408</v>
      </c>
      <c r="D8700">
        <v>465</v>
      </c>
      <c r="E8700">
        <v>0</v>
      </c>
      <c r="F8700">
        <v>396</v>
      </c>
      <c r="G8700">
        <v>0</v>
      </c>
      <c r="H8700" t="s">
        <v>13616</v>
      </c>
      <c r="I8700">
        <v>9762</v>
      </c>
      <c r="J8700" t="e">
        <f>VLOOKUP(E8700,DSSpieler!A:B,2,FALSE)</f>
        <v>#N/A</v>
      </c>
    </row>
    <row r="8701" spans="1:10" x14ac:dyDescent="0.25">
      <c r="A8701">
        <v>9763</v>
      </c>
      <c r="B8701" t="s">
        <v>1831</v>
      </c>
      <c r="C8701">
        <v>561</v>
      </c>
      <c r="D8701">
        <v>422</v>
      </c>
      <c r="E8701">
        <v>1577199868</v>
      </c>
      <c r="F8701">
        <v>1816</v>
      </c>
      <c r="G8701">
        <v>0</v>
      </c>
      <c r="H8701" t="s">
        <v>13617</v>
      </c>
      <c r="I8701">
        <v>9763</v>
      </c>
      <c r="J8701" t="str">
        <f>VLOOKUP(E8701,DSSpieler!A:B,2,FALSE)</f>
        <v>Hugo-XXX</v>
      </c>
    </row>
    <row r="8702" spans="1:10" x14ac:dyDescent="0.25">
      <c r="A8702">
        <v>9764</v>
      </c>
      <c r="B8702" t="s">
        <v>33697</v>
      </c>
      <c r="C8702">
        <v>576</v>
      </c>
      <c r="D8702">
        <v>560</v>
      </c>
      <c r="E8702">
        <v>1576591949</v>
      </c>
      <c r="F8702">
        <v>371</v>
      </c>
      <c r="G8702">
        <v>0</v>
      </c>
      <c r="H8702" t="s">
        <v>13618</v>
      </c>
      <c r="I8702">
        <v>9764</v>
      </c>
      <c r="J8702" t="str">
        <f>VLOOKUP(E8702,DSSpieler!A:B,2,FALSE)</f>
        <v>ErliFuckingWashington</v>
      </c>
    </row>
    <row r="8703" spans="1:10" x14ac:dyDescent="0.25">
      <c r="A8703">
        <v>9765</v>
      </c>
      <c r="B8703" t="s">
        <v>1832</v>
      </c>
      <c r="C8703">
        <v>410</v>
      </c>
      <c r="D8703">
        <v>526</v>
      </c>
      <c r="E8703">
        <v>1577002560</v>
      </c>
      <c r="F8703">
        <v>1752</v>
      </c>
      <c r="G8703">
        <v>0</v>
      </c>
      <c r="H8703" t="s">
        <v>13619</v>
      </c>
      <c r="I8703">
        <v>9765</v>
      </c>
      <c r="J8703" t="str">
        <f>VLOOKUP(E8703,DSSpieler!A:B,2,FALSE)</f>
        <v>InstandKiller</v>
      </c>
    </row>
    <row r="8704" spans="1:10" x14ac:dyDescent="0.25">
      <c r="A8704">
        <v>9766</v>
      </c>
      <c r="B8704" t="s">
        <v>864</v>
      </c>
      <c r="C8704">
        <v>556</v>
      </c>
      <c r="D8704">
        <v>420</v>
      </c>
      <c r="E8704">
        <v>2803106</v>
      </c>
      <c r="F8704">
        <v>2938</v>
      </c>
      <c r="G8704">
        <v>0</v>
      </c>
      <c r="H8704" t="s">
        <v>13620</v>
      </c>
      <c r="I8704">
        <v>9766</v>
      </c>
      <c r="J8704" t="str">
        <f>VLOOKUP(E8704,DSSpieler!A:B,2,FALSE)</f>
        <v>jens980729</v>
      </c>
    </row>
    <row r="8705" spans="1:10" x14ac:dyDescent="0.25">
      <c r="A8705">
        <v>9767</v>
      </c>
      <c r="B8705" t="s">
        <v>531</v>
      </c>
      <c r="C8705">
        <v>581</v>
      </c>
      <c r="D8705">
        <v>549</v>
      </c>
      <c r="E8705">
        <v>0</v>
      </c>
      <c r="F8705">
        <v>174</v>
      </c>
      <c r="G8705">
        <v>0</v>
      </c>
      <c r="H8705" t="s">
        <v>13621</v>
      </c>
      <c r="I8705">
        <v>9767</v>
      </c>
      <c r="J8705" t="e">
        <f>VLOOKUP(E8705,DSSpieler!A:B,2,FALSE)</f>
        <v>#N/A</v>
      </c>
    </row>
    <row r="8706" spans="1:10" x14ac:dyDescent="0.25">
      <c r="A8706">
        <v>9768</v>
      </c>
      <c r="B8706" t="s">
        <v>31169</v>
      </c>
      <c r="C8706">
        <v>540</v>
      </c>
      <c r="D8706">
        <v>587</v>
      </c>
      <c r="E8706">
        <v>1577198234</v>
      </c>
      <c r="F8706">
        <v>5689</v>
      </c>
      <c r="G8706">
        <v>0</v>
      </c>
      <c r="H8706" t="s">
        <v>13622</v>
      </c>
      <c r="I8706">
        <v>9768</v>
      </c>
      <c r="J8706" t="str">
        <f>VLOOKUP(E8706,DSSpieler!A:B,2,FALSE)</f>
        <v>AdrianH96</v>
      </c>
    </row>
    <row r="8707" spans="1:10" x14ac:dyDescent="0.25">
      <c r="A8707">
        <v>9769</v>
      </c>
      <c r="B8707" t="s">
        <v>531</v>
      </c>
      <c r="C8707">
        <v>529</v>
      </c>
      <c r="D8707">
        <v>592</v>
      </c>
      <c r="E8707">
        <v>0</v>
      </c>
      <c r="F8707">
        <v>403</v>
      </c>
      <c r="G8707">
        <v>0</v>
      </c>
      <c r="H8707" t="s">
        <v>13623</v>
      </c>
      <c r="I8707">
        <v>9769</v>
      </c>
      <c r="J8707" t="e">
        <f>VLOOKUP(E8707,DSSpieler!A:B,2,FALSE)</f>
        <v>#N/A</v>
      </c>
    </row>
    <row r="8708" spans="1:10" x14ac:dyDescent="0.25">
      <c r="A8708">
        <v>9771</v>
      </c>
      <c r="B8708" t="s">
        <v>1833</v>
      </c>
      <c r="C8708">
        <v>415</v>
      </c>
      <c r="D8708">
        <v>544</v>
      </c>
      <c r="E8708">
        <v>9961010</v>
      </c>
      <c r="F8708">
        <v>4229</v>
      </c>
      <c r="G8708">
        <v>0</v>
      </c>
      <c r="H8708" t="s">
        <v>13624</v>
      </c>
      <c r="I8708">
        <v>9771</v>
      </c>
      <c r="J8708" t="str">
        <f>VLOOKUP(E8708,DSSpieler!A:B,2,FALSE)</f>
        <v>Cpt.Sinep</v>
      </c>
    </row>
    <row r="8709" spans="1:10" x14ac:dyDescent="0.25">
      <c r="A8709">
        <v>9772</v>
      </c>
      <c r="B8709" t="s">
        <v>531</v>
      </c>
      <c r="C8709">
        <v>492</v>
      </c>
      <c r="D8709">
        <v>565</v>
      </c>
      <c r="E8709">
        <v>0</v>
      </c>
      <c r="F8709">
        <v>278</v>
      </c>
      <c r="G8709">
        <v>0</v>
      </c>
      <c r="H8709" t="s">
        <v>13625</v>
      </c>
      <c r="I8709">
        <v>9772</v>
      </c>
      <c r="J8709" t="e">
        <f>VLOOKUP(E8709,DSSpieler!A:B,2,FALSE)</f>
        <v>#N/A</v>
      </c>
    </row>
    <row r="8710" spans="1:10" x14ac:dyDescent="0.25">
      <c r="A8710">
        <v>9773</v>
      </c>
      <c r="B8710" t="s">
        <v>33698</v>
      </c>
      <c r="C8710">
        <v>439</v>
      </c>
      <c r="D8710">
        <v>414</v>
      </c>
      <c r="E8710">
        <v>1577190002</v>
      </c>
      <c r="F8710">
        <v>8926</v>
      </c>
      <c r="G8710">
        <v>0</v>
      </c>
      <c r="H8710" t="s">
        <v>13626</v>
      </c>
      <c r="I8710">
        <v>9773</v>
      </c>
      <c r="J8710" t="str">
        <f>VLOOKUP(E8710,DSSpieler!A:B,2,FALSE)</f>
        <v>FürstVelten</v>
      </c>
    </row>
    <row r="8711" spans="1:10" x14ac:dyDescent="0.25">
      <c r="A8711">
        <v>9774</v>
      </c>
      <c r="B8711" t="e">
        <f>-1-+Hobbingen</f>
        <v>#NAME?</v>
      </c>
      <c r="C8711">
        <v>539</v>
      </c>
      <c r="D8711">
        <v>589</v>
      </c>
      <c r="E8711">
        <v>1577198260</v>
      </c>
      <c r="F8711">
        <v>5283</v>
      </c>
      <c r="G8711">
        <v>0</v>
      </c>
      <c r="H8711" t="s">
        <v>13627</v>
      </c>
      <c r="I8711">
        <v>9774</v>
      </c>
      <c r="J8711" t="str">
        <f>VLOOKUP(E8711,DSSpieler!A:B,2,FALSE)</f>
        <v>Paulaner</v>
      </c>
    </row>
    <row r="8712" spans="1:10" x14ac:dyDescent="0.25">
      <c r="A8712">
        <v>9775</v>
      </c>
      <c r="B8712" t="s">
        <v>33699</v>
      </c>
      <c r="C8712">
        <v>394</v>
      </c>
      <c r="D8712">
        <v>525</v>
      </c>
      <c r="E8712">
        <v>1576783585</v>
      </c>
      <c r="F8712">
        <v>5530</v>
      </c>
      <c r="G8712">
        <v>0</v>
      </c>
      <c r="H8712" t="s">
        <v>13628</v>
      </c>
      <c r="I8712">
        <v>9775</v>
      </c>
      <c r="J8712" t="str">
        <f>VLOOKUP(E8712,DSSpieler!A:B,2,FALSE)</f>
        <v>Gillette Marcus</v>
      </c>
    </row>
    <row r="8713" spans="1:10" x14ac:dyDescent="0.25">
      <c r="A8713">
        <v>9776</v>
      </c>
      <c r="B8713" t="s">
        <v>33700</v>
      </c>
      <c r="C8713">
        <v>597</v>
      </c>
      <c r="D8713">
        <v>501</v>
      </c>
      <c r="E8713">
        <v>2917196</v>
      </c>
      <c r="F8713">
        <v>5132</v>
      </c>
      <c r="G8713">
        <v>0</v>
      </c>
      <c r="H8713" t="s">
        <v>13629</v>
      </c>
      <c r="I8713">
        <v>9776</v>
      </c>
      <c r="J8713" t="str">
        <f>VLOOKUP(E8713,DSSpieler!A:B,2,FALSE)</f>
        <v>zelli46</v>
      </c>
    </row>
    <row r="8714" spans="1:10" x14ac:dyDescent="0.25">
      <c r="A8714">
        <v>9777</v>
      </c>
      <c r="B8714" t="s">
        <v>736</v>
      </c>
      <c r="C8714">
        <v>553</v>
      </c>
      <c r="D8714">
        <v>419</v>
      </c>
      <c r="E8714">
        <v>7672723</v>
      </c>
      <c r="F8714">
        <v>4776</v>
      </c>
      <c r="G8714">
        <v>0</v>
      </c>
      <c r="H8714" t="s">
        <v>13630</v>
      </c>
      <c r="I8714">
        <v>9777</v>
      </c>
      <c r="J8714" t="str">
        <f>VLOOKUP(E8714,DSSpieler!A:B,2,FALSE)</f>
        <v>NeNeDuii</v>
      </c>
    </row>
    <row r="8715" spans="1:10" x14ac:dyDescent="0.25">
      <c r="A8715">
        <v>9778</v>
      </c>
      <c r="B8715" t="s">
        <v>33701</v>
      </c>
      <c r="C8715">
        <v>425</v>
      </c>
      <c r="D8715">
        <v>443</v>
      </c>
      <c r="E8715">
        <v>9474313</v>
      </c>
      <c r="F8715">
        <v>5617</v>
      </c>
      <c r="G8715">
        <v>0</v>
      </c>
      <c r="H8715" t="s">
        <v>13631</v>
      </c>
      <c r="I8715">
        <v>9778</v>
      </c>
      <c r="J8715" t="str">
        <f>VLOOKUP(E8715,DSSpieler!A:B,2,FALSE)</f>
        <v>VOSSI der Große</v>
      </c>
    </row>
    <row r="8716" spans="1:10" x14ac:dyDescent="0.25">
      <c r="A8716">
        <v>9779</v>
      </c>
      <c r="B8716" t="s">
        <v>1834</v>
      </c>
      <c r="C8716">
        <v>506</v>
      </c>
      <c r="D8716">
        <v>556</v>
      </c>
      <c r="E8716">
        <v>1577147528</v>
      </c>
      <c r="F8716">
        <v>5503</v>
      </c>
      <c r="G8716">
        <v>0</v>
      </c>
      <c r="H8716" t="s">
        <v>13632</v>
      </c>
      <c r="I8716">
        <v>9779</v>
      </c>
      <c r="J8716" t="str">
        <f>VLOOKUP(E8716,DSSpieler!A:B,2,FALSE)</f>
        <v>ClitCommander</v>
      </c>
    </row>
    <row r="8717" spans="1:10" x14ac:dyDescent="0.25">
      <c r="A8717">
        <v>9780</v>
      </c>
      <c r="B8717" t="s">
        <v>1835</v>
      </c>
      <c r="C8717">
        <v>509</v>
      </c>
      <c r="D8717">
        <v>496</v>
      </c>
      <c r="E8717">
        <v>1577131306</v>
      </c>
      <c r="F8717">
        <v>3907</v>
      </c>
      <c r="G8717">
        <v>0</v>
      </c>
      <c r="H8717" t="s">
        <v>13633</v>
      </c>
      <c r="I8717">
        <v>9780</v>
      </c>
      <c r="J8717" t="str">
        <f>VLOOKUP(E8717,DSSpieler!A:B,2,FALSE)</f>
        <v>Frodont</v>
      </c>
    </row>
    <row r="8718" spans="1:10" x14ac:dyDescent="0.25">
      <c r="A8718">
        <v>9781</v>
      </c>
      <c r="B8718" t="s">
        <v>1057</v>
      </c>
      <c r="C8718">
        <v>465</v>
      </c>
      <c r="D8718">
        <v>433</v>
      </c>
      <c r="E8718">
        <v>8897367</v>
      </c>
      <c r="F8718">
        <v>6354</v>
      </c>
      <c r="G8718">
        <v>0</v>
      </c>
      <c r="H8718" t="s">
        <v>13634</v>
      </c>
      <c r="I8718">
        <v>9781</v>
      </c>
      <c r="J8718" t="str">
        <f>VLOOKUP(E8718,DSSpieler!A:B,2,FALSE)</f>
        <v>Zwoogel1</v>
      </c>
    </row>
    <row r="8719" spans="1:10" x14ac:dyDescent="0.25">
      <c r="A8719">
        <v>9782</v>
      </c>
      <c r="B8719" t="s">
        <v>531</v>
      </c>
      <c r="C8719">
        <v>407</v>
      </c>
      <c r="D8719">
        <v>527</v>
      </c>
      <c r="E8719">
        <v>0</v>
      </c>
      <c r="F8719">
        <v>372</v>
      </c>
      <c r="G8719">
        <v>0</v>
      </c>
      <c r="H8719" t="s">
        <v>13635</v>
      </c>
      <c r="I8719">
        <v>9782</v>
      </c>
      <c r="J8719" t="e">
        <f>VLOOKUP(E8719,DSSpieler!A:B,2,FALSE)</f>
        <v>#N/A</v>
      </c>
    </row>
    <row r="8720" spans="1:10" x14ac:dyDescent="0.25">
      <c r="A8720">
        <v>9783</v>
      </c>
      <c r="B8720" t="s">
        <v>531</v>
      </c>
      <c r="C8720">
        <v>582</v>
      </c>
      <c r="D8720">
        <v>550</v>
      </c>
      <c r="E8720">
        <v>0</v>
      </c>
      <c r="F8720">
        <v>698</v>
      </c>
      <c r="G8720">
        <v>0</v>
      </c>
      <c r="H8720" t="s">
        <v>13636</v>
      </c>
      <c r="I8720">
        <v>9783</v>
      </c>
      <c r="J8720" t="e">
        <f>VLOOKUP(E8720,DSSpieler!A:B,2,FALSE)</f>
        <v>#N/A</v>
      </c>
    </row>
    <row r="8721" spans="1:10" x14ac:dyDescent="0.25">
      <c r="A8721">
        <v>9784</v>
      </c>
      <c r="B8721" t="s">
        <v>613</v>
      </c>
      <c r="C8721">
        <v>405</v>
      </c>
      <c r="D8721">
        <v>524</v>
      </c>
      <c r="E8721">
        <v>1577150381</v>
      </c>
      <c r="F8721">
        <v>6163</v>
      </c>
      <c r="G8721">
        <v>0</v>
      </c>
      <c r="H8721" t="s">
        <v>13637</v>
      </c>
      <c r="I8721">
        <v>9784</v>
      </c>
      <c r="J8721" t="str">
        <f>VLOOKUP(E8721,DSSpieler!A:B,2,FALSE)</f>
        <v>Kackvogel</v>
      </c>
    </row>
    <row r="8722" spans="1:10" x14ac:dyDescent="0.25">
      <c r="A8722">
        <v>9787</v>
      </c>
      <c r="B8722" t="s">
        <v>531</v>
      </c>
      <c r="C8722">
        <v>489</v>
      </c>
      <c r="D8722">
        <v>476</v>
      </c>
      <c r="E8722">
        <v>1576983577</v>
      </c>
      <c r="F8722">
        <v>1907</v>
      </c>
      <c r="G8722">
        <v>0</v>
      </c>
      <c r="H8722" t="s">
        <v>13638</v>
      </c>
      <c r="I8722">
        <v>9787</v>
      </c>
      <c r="J8722" t="str">
        <f>VLOOKUP(E8722,DSSpieler!A:B,2,FALSE)</f>
        <v>Feroculus</v>
      </c>
    </row>
    <row r="8723" spans="1:10" x14ac:dyDescent="0.25">
      <c r="A8723">
        <v>9788</v>
      </c>
      <c r="B8723" t="s">
        <v>531</v>
      </c>
      <c r="C8723">
        <v>588</v>
      </c>
      <c r="D8723">
        <v>463</v>
      </c>
      <c r="E8723">
        <v>0</v>
      </c>
      <c r="F8723">
        <v>167</v>
      </c>
      <c r="G8723">
        <v>0</v>
      </c>
      <c r="H8723" t="s">
        <v>13639</v>
      </c>
      <c r="I8723">
        <v>9788</v>
      </c>
      <c r="J8723" t="e">
        <f>VLOOKUP(E8723,DSSpieler!A:B,2,FALSE)</f>
        <v>#N/A</v>
      </c>
    </row>
    <row r="8724" spans="1:10" x14ac:dyDescent="0.25">
      <c r="A8724">
        <v>9789</v>
      </c>
      <c r="B8724">
        <v>3</v>
      </c>
      <c r="C8724">
        <v>409</v>
      </c>
      <c r="D8724">
        <v>476</v>
      </c>
      <c r="E8724">
        <v>9931122</v>
      </c>
      <c r="F8724">
        <v>1601</v>
      </c>
      <c r="G8724">
        <v>0</v>
      </c>
      <c r="H8724" t="s">
        <v>13640</v>
      </c>
      <c r="I8724">
        <v>9789</v>
      </c>
      <c r="J8724" t="str">
        <f>VLOOKUP(E8724,DSSpieler!A:B,2,FALSE)</f>
        <v>Sayler1</v>
      </c>
    </row>
    <row r="8725" spans="1:10" x14ac:dyDescent="0.25">
      <c r="A8725">
        <v>9790</v>
      </c>
      <c r="B8725" t="s">
        <v>33702</v>
      </c>
      <c r="C8725">
        <v>405</v>
      </c>
      <c r="D8725">
        <v>489</v>
      </c>
      <c r="E8725">
        <v>1576780279</v>
      </c>
      <c r="F8725">
        <v>6258</v>
      </c>
      <c r="G8725">
        <v>0</v>
      </c>
      <c r="H8725" t="s">
        <v>13641</v>
      </c>
      <c r="I8725">
        <v>9790</v>
      </c>
      <c r="J8725" t="str">
        <f>VLOOKUP(E8725,DSSpieler!A:B,2,FALSE)</f>
        <v>krassegangster</v>
      </c>
    </row>
    <row r="8726" spans="1:10" x14ac:dyDescent="0.25">
      <c r="A8726">
        <v>9791</v>
      </c>
      <c r="B8726" t="s">
        <v>531</v>
      </c>
      <c r="C8726">
        <v>591</v>
      </c>
      <c r="D8726">
        <v>464</v>
      </c>
      <c r="E8726">
        <v>0</v>
      </c>
      <c r="F8726">
        <v>127</v>
      </c>
      <c r="G8726">
        <v>0</v>
      </c>
      <c r="H8726" t="s">
        <v>13642</v>
      </c>
      <c r="I8726">
        <v>9791</v>
      </c>
      <c r="J8726" t="e">
        <f>VLOOKUP(E8726,DSSpieler!A:B,2,FALSE)</f>
        <v>#N/A</v>
      </c>
    </row>
    <row r="8727" spans="1:10" x14ac:dyDescent="0.25">
      <c r="A8727">
        <v>9792</v>
      </c>
      <c r="B8727" t="s">
        <v>33703</v>
      </c>
      <c r="C8727">
        <v>574</v>
      </c>
      <c r="D8727">
        <v>440</v>
      </c>
      <c r="E8727">
        <v>9219282</v>
      </c>
      <c r="F8727">
        <v>6340</v>
      </c>
      <c r="G8727">
        <v>0</v>
      </c>
      <c r="H8727" t="s">
        <v>13643</v>
      </c>
      <c r="I8727">
        <v>9792</v>
      </c>
      <c r="J8727" t="str">
        <f>VLOOKUP(E8727,DSSpieler!A:B,2,FALSE)</f>
        <v>Mariechen Jolie</v>
      </c>
    </row>
    <row r="8728" spans="1:10" x14ac:dyDescent="0.25">
      <c r="A8728">
        <v>9793</v>
      </c>
      <c r="B8728" t="s">
        <v>531</v>
      </c>
      <c r="C8728">
        <v>462</v>
      </c>
      <c r="D8728">
        <v>410</v>
      </c>
      <c r="E8728">
        <v>0</v>
      </c>
      <c r="F8728">
        <v>210</v>
      </c>
      <c r="G8728">
        <v>0</v>
      </c>
      <c r="H8728" t="s">
        <v>13644</v>
      </c>
      <c r="I8728">
        <v>9793</v>
      </c>
      <c r="J8728" t="e">
        <f>VLOOKUP(E8728,DSSpieler!A:B,2,FALSE)</f>
        <v>#N/A</v>
      </c>
    </row>
    <row r="8729" spans="1:10" x14ac:dyDescent="0.25">
      <c r="A8729">
        <v>9795</v>
      </c>
      <c r="B8729" t="s">
        <v>33704</v>
      </c>
      <c r="C8729">
        <v>537</v>
      </c>
      <c r="D8729">
        <v>562</v>
      </c>
      <c r="E8729">
        <v>9837616</v>
      </c>
      <c r="F8729">
        <v>1792</v>
      </c>
      <c r="G8729">
        <v>0</v>
      </c>
      <c r="H8729" t="s">
        <v>13645</v>
      </c>
      <c r="I8729">
        <v>9795</v>
      </c>
      <c r="J8729" t="str">
        <f>VLOOKUP(E8729,DSSpieler!A:B,2,FALSE)</f>
        <v>CheckPrime</v>
      </c>
    </row>
    <row r="8730" spans="1:10" x14ac:dyDescent="0.25">
      <c r="A8730">
        <v>9796</v>
      </c>
      <c r="B8730" t="s">
        <v>33705</v>
      </c>
      <c r="C8730">
        <v>544</v>
      </c>
      <c r="D8730">
        <v>414</v>
      </c>
      <c r="E8730">
        <v>7960757</v>
      </c>
      <c r="F8730">
        <v>4528</v>
      </c>
      <c r="G8730">
        <v>0</v>
      </c>
      <c r="H8730" t="s">
        <v>13646</v>
      </c>
      <c r="I8730">
        <v>9796</v>
      </c>
      <c r="J8730" t="str">
        <f>VLOOKUP(E8730,DSSpieler!A:B,2,FALSE)</f>
        <v>Tilltanungman</v>
      </c>
    </row>
    <row r="8731" spans="1:10" x14ac:dyDescent="0.25">
      <c r="A8731">
        <v>9797</v>
      </c>
      <c r="B8731">
        <v>5</v>
      </c>
      <c r="C8731">
        <v>554</v>
      </c>
      <c r="D8731">
        <v>419</v>
      </c>
      <c r="E8731">
        <v>1576899646</v>
      </c>
      <c r="F8731">
        <v>6029</v>
      </c>
      <c r="G8731">
        <v>0</v>
      </c>
      <c r="H8731" t="s">
        <v>13647</v>
      </c>
      <c r="I8731">
        <v>9797</v>
      </c>
      <c r="J8731" t="str">
        <f>VLOOKUP(E8731,DSSpieler!A:B,2,FALSE)</f>
        <v>Rabauk1</v>
      </c>
    </row>
    <row r="8732" spans="1:10" x14ac:dyDescent="0.25">
      <c r="A8732">
        <v>9798</v>
      </c>
      <c r="B8732" t="s">
        <v>531</v>
      </c>
      <c r="C8732">
        <v>513</v>
      </c>
      <c r="D8732">
        <v>405</v>
      </c>
      <c r="E8732">
        <v>0</v>
      </c>
      <c r="F8732">
        <v>336</v>
      </c>
      <c r="G8732">
        <v>0</v>
      </c>
      <c r="H8732" t="s">
        <v>13648</v>
      </c>
      <c r="I8732">
        <v>9798</v>
      </c>
      <c r="J8732" t="e">
        <f>VLOOKUP(E8732,DSSpieler!A:B,2,FALSE)</f>
        <v>#N/A</v>
      </c>
    </row>
    <row r="8733" spans="1:10" x14ac:dyDescent="0.25">
      <c r="A8733">
        <v>9799</v>
      </c>
      <c r="B8733" t="s">
        <v>33706</v>
      </c>
      <c r="C8733">
        <v>436</v>
      </c>
      <c r="D8733">
        <v>450</v>
      </c>
      <c r="E8733">
        <v>1575903781</v>
      </c>
      <c r="F8733">
        <v>7001</v>
      </c>
      <c r="G8733">
        <v>0</v>
      </c>
      <c r="H8733" t="s">
        <v>13649</v>
      </c>
      <c r="I8733">
        <v>9799</v>
      </c>
      <c r="J8733" t="str">
        <f>VLOOKUP(E8733,DSSpieler!A:B,2,FALSE)</f>
        <v>Black Trinity</v>
      </c>
    </row>
    <row r="8734" spans="1:10" x14ac:dyDescent="0.25">
      <c r="A8734">
        <v>9800</v>
      </c>
      <c r="B8734" t="s">
        <v>31376</v>
      </c>
      <c r="C8734">
        <v>409</v>
      </c>
      <c r="D8734">
        <v>438</v>
      </c>
      <c r="E8734">
        <v>1576135165</v>
      </c>
      <c r="F8734">
        <v>5653</v>
      </c>
      <c r="G8734">
        <v>0</v>
      </c>
      <c r="H8734" t="s">
        <v>13650</v>
      </c>
      <c r="I8734">
        <v>9800</v>
      </c>
      <c r="J8734" t="str">
        <f>VLOOKUP(E8734,DSSpieler!A:B,2,FALSE)</f>
        <v>BV Renekton</v>
      </c>
    </row>
    <row r="8735" spans="1:10" x14ac:dyDescent="0.25">
      <c r="A8735">
        <v>9801</v>
      </c>
      <c r="B8735" t="s">
        <v>780</v>
      </c>
      <c r="C8735">
        <v>561</v>
      </c>
      <c r="D8735">
        <v>532</v>
      </c>
      <c r="E8735">
        <v>1577198238</v>
      </c>
      <c r="F8735">
        <v>7243</v>
      </c>
      <c r="G8735">
        <v>0</v>
      </c>
      <c r="H8735" t="s">
        <v>13651</v>
      </c>
      <c r="I8735">
        <v>9801</v>
      </c>
      <c r="J8735" t="str">
        <f>VLOOKUP(E8735,DSSpieler!A:B,2,FALSE)</f>
        <v>sili0</v>
      </c>
    </row>
    <row r="8736" spans="1:10" x14ac:dyDescent="0.25">
      <c r="A8736">
        <v>9802</v>
      </c>
      <c r="B8736" t="s">
        <v>531</v>
      </c>
      <c r="C8736">
        <v>568</v>
      </c>
      <c r="D8736">
        <v>566</v>
      </c>
      <c r="E8736">
        <v>0</v>
      </c>
      <c r="F8736">
        <v>741</v>
      </c>
      <c r="G8736">
        <v>0</v>
      </c>
      <c r="H8736" t="s">
        <v>13652</v>
      </c>
      <c r="I8736">
        <v>9802</v>
      </c>
      <c r="J8736" t="e">
        <f>VLOOKUP(E8736,DSSpieler!A:B,2,FALSE)</f>
        <v>#N/A</v>
      </c>
    </row>
    <row r="8737" spans="1:10" x14ac:dyDescent="0.25">
      <c r="A8737">
        <v>9803</v>
      </c>
      <c r="B8737" t="s">
        <v>531</v>
      </c>
      <c r="C8737">
        <v>536</v>
      </c>
      <c r="D8737">
        <v>588</v>
      </c>
      <c r="E8737">
        <v>0</v>
      </c>
      <c r="F8737">
        <v>227</v>
      </c>
      <c r="G8737">
        <v>0</v>
      </c>
      <c r="H8737" t="s">
        <v>13653</v>
      </c>
      <c r="I8737">
        <v>9803</v>
      </c>
      <c r="J8737" t="e">
        <f>VLOOKUP(E8737,DSSpieler!A:B,2,FALSE)</f>
        <v>#N/A</v>
      </c>
    </row>
    <row r="8738" spans="1:10" x14ac:dyDescent="0.25">
      <c r="A8738">
        <v>9804</v>
      </c>
      <c r="B8738" t="s">
        <v>531</v>
      </c>
      <c r="C8738">
        <v>544</v>
      </c>
      <c r="D8738">
        <v>566</v>
      </c>
      <c r="E8738">
        <v>0</v>
      </c>
      <c r="F8738">
        <v>746</v>
      </c>
      <c r="G8738">
        <v>0</v>
      </c>
      <c r="H8738" t="s">
        <v>13654</v>
      </c>
      <c r="I8738">
        <v>9804</v>
      </c>
      <c r="J8738" t="e">
        <f>VLOOKUP(E8738,DSSpieler!A:B,2,FALSE)</f>
        <v>#N/A</v>
      </c>
    </row>
    <row r="8739" spans="1:10" x14ac:dyDescent="0.25">
      <c r="A8739">
        <v>9805</v>
      </c>
      <c r="B8739" t="s">
        <v>531</v>
      </c>
      <c r="C8739">
        <v>539</v>
      </c>
      <c r="D8739">
        <v>555</v>
      </c>
      <c r="E8739">
        <v>0</v>
      </c>
      <c r="F8739">
        <v>895</v>
      </c>
      <c r="G8739">
        <v>0</v>
      </c>
      <c r="H8739" t="s">
        <v>13655</v>
      </c>
      <c r="I8739">
        <v>9805</v>
      </c>
      <c r="J8739" t="e">
        <f>VLOOKUP(E8739,DSSpieler!A:B,2,FALSE)</f>
        <v>#N/A</v>
      </c>
    </row>
    <row r="8740" spans="1:10" x14ac:dyDescent="0.25">
      <c r="A8740">
        <v>9806</v>
      </c>
      <c r="B8740" t="s">
        <v>531</v>
      </c>
      <c r="C8740">
        <v>528</v>
      </c>
      <c r="D8740">
        <v>594</v>
      </c>
      <c r="E8740">
        <v>0</v>
      </c>
      <c r="F8740">
        <v>406</v>
      </c>
      <c r="G8740">
        <v>0</v>
      </c>
      <c r="H8740" t="s">
        <v>13656</v>
      </c>
      <c r="I8740">
        <v>9806</v>
      </c>
      <c r="J8740" t="e">
        <f>VLOOKUP(E8740,DSSpieler!A:B,2,FALSE)</f>
        <v>#N/A</v>
      </c>
    </row>
    <row r="8741" spans="1:10" x14ac:dyDescent="0.25">
      <c r="A8741">
        <v>9807</v>
      </c>
      <c r="B8741" t="s">
        <v>531</v>
      </c>
      <c r="C8741">
        <v>450</v>
      </c>
      <c r="D8741">
        <v>580</v>
      </c>
      <c r="E8741">
        <v>0</v>
      </c>
      <c r="F8741">
        <v>656</v>
      </c>
      <c r="G8741">
        <v>0</v>
      </c>
      <c r="H8741" t="s">
        <v>13657</v>
      </c>
      <c r="I8741">
        <v>9807</v>
      </c>
      <c r="J8741" t="e">
        <f>VLOOKUP(E8741,DSSpieler!A:B,2,FALSE)</f>
        <v>#N/A</v>
      </c>
    </row>
    <row r="8742" spans="1:10" x14ac:dyDescent="0.25">
      <c r="A8742">
        <v>9808</v>
      </c>
      <c r="B8742" t="s">
        <v>531</v>
      </c>
      <c r="C8742">
        <v>593</v>
      </c>
      <c r="D8742">
        <v>528</v>
      </c>
      <c r="E8742">
        <v>0</v>
      </c>
      <c r="F8742">
        <v>205</v>
      </c>
      <c r="G8742">
        <v>0</v>
      </c>
      <c r="H8742" t="s">
        <v>13658</v>
      </c>
      <c r="I8742">
        <v>9808</v>
      </c>
      <c r="J8742" t="e">
        <f>VLOOKUP(E8742,DSSpieler!A:B,2,FALSE)</f>
        <v>#N/A</v>
      </c>
    </row>
    <row r="8743" spans="1:10" x14ac:dyDescent="0.25">
      <c r="A8743">
        <v>9809</v>
      </c>
      <c r="B8743" t="s">
        <v>32806</v>
      </c>
      <c r="C8743">
        <v>586</v>
      </c>
      <c r="D8743">
        <v>452</v>
      </c>
      <c r="E8743">
        <v>1577198229</v>
      </c>
      <c r="F8743">
        <v>3027</v>
      </c>
      <c r="G8743">
        <v>0</v>
      </c>
      <c r="H8743" t="s">
        <v>13659</v>
      </c>
      <c r="I8743">
        <v>9809</v>
      </c>
      <c r="J8743" t="str">
        <f>VLOOKUP(E8743,DSSpieler!A:B,2,FALSE)</f>
        <v>QueenKlaus461</v>
      </c>
    </row>
    <row r="8744" spans="1:10" x14ac:dyDescent="0.25">
      <c r="A8744">
        <v>9810</v>
      </c>
      <c r="B8744" t="s">
        <v>531</v>
      </c>
      <c r="C8744">
        <v>539</v>
      </c>
      <c r="D8744">
        <v>556</v>
      </c>
      <c r="E8744">
        <v>0</v>
      </c>
      <c r="F8744">
        <v>855</v>
      </c>
      <c r="G8744">
        <v>0</v>
      </c>
      <c r="H8744" t="s">
        <v>13660</v>
      </c>
      <c r="I8744">
        <v>9810</v>
      </c>
      <c r="J8744" t="e">
        <f>VLOOKUP(E8744,DSSpieler!A:B,2,FALSE)</f>
        <v>#N/A</v>
      </c>
    </row>
    <row r="8745" spans="1:10" x14ac:dyDescent="0.25">
      <c r="A8745">
        <v>9811</v>
      </c>
      <c r="B8745" t="s">
        <v>531</v>
      </c>
      <c r="C8745">
        <v>579</v>
      </c>
      <c r="D8745">
        <v>448</v>
      </c>
      <c r="E8745">
        <v>0</v>
      </c>
      <c r="F8745">
        <v>128</v>
      </c>
      <c r="G8745">
        <v>0</v>
      </c>
      <c r="H8745" t="s">
        <v>13661</v>
      </c>
      <c r="I8745">
        <v>9811</v>
      </c>
      <c r="J8745" t="e">
        <f>VLOOKUP(E8745,DSSpieler!A:B,2,FALSE)</f>
        <v>#N/A</v>
      </c>
    </row>
    <row r="8746" spans="1:10" x14ac:dyDescent="0.25">
      <c r="A8746">
        <v>9813</v>
      </c>
      <c r="B8746" t="s">
        <v>1836</v>
      </c>
      <c r="C8746">
        <v>472</v>
      </c>
      <c r="D8746">
        <v>473</v>
      </c>
      <c r="E8746">
        <v>1577127398</v>
      </c>
      <c r="F8746">
        <v>7084</v>
      </c>
      <c r="G8746">
        <v>0</v>
      </c>
      <c r="H8746" t="s">
        <v>13662</v>
      </c>
      <c r="I8746">
        <v>9813</v>
      </c>
      <c r="J8746" t="str">
        <f>VLOOKUP(E8746,DSSpieler!A:B,2,FALSE)</f>
        <v>Stören der kevin</v>
      </c>
    </row>
    <row r="8747" spans="1:10" x14ac:dyDescent="0.25">
      <c r="A8747">
        <v>9815</v>
      </c>
      <c r="B8747" t="s">
        <v>33707</v>
      </c>
      <c r="C8747">
        <v>539</v>
      </c>
      <c r="D8747">
        <v>409</v>
      </c>
      <c r="E8747">
        <v>1577173067</v>
      </c>
      <c r="F8747">
        <v>3593</v>
      </c>
      <c r="G8747">
        <v>0</v>
      </c>
      <c r="H8747" t="s">
        <v>13663</v>
      </c>
      <c r="I8747">
        <v>9815</v>
      </c>
      <c r="J8747" t="str">
        <f>VLOOKUP(E8747,DSSpieler!A:B,2,FALSE)</f>
        <v>SylarX</v>
      </c>
    </row>
    <row r="8748" spans="1:10" x14ac:dyDescent="0.25">
      <c r="A8748">
        <v>9816</v>
      </c>
      <c r="B8748" t="s">
        <v>33632</v>
      </c>
      <c r="C8748">
        <v>595</v>
      </c>
      <c r="D8748">
        <v>446</v>
      </c>
      <c r="E8748">
        <v>8300935</v>
      </c>
      <c r="F8748">
        <v>6253</v>
      </c>
      <c r="G8748">
        <v>0</v>
      </c>
      <c r="H8748" t="s">
        <v>13664</v>
      </c>
      <c r="I8748">
        <v>9816</v>
      </c>
      <c r="J8748" t="str">
        <f>VLOOKUP(E8748,DSSpieler!A:B,2,FALSE)</f>
        <v>Bashtime?</v>
      </c>
    </row>
    <row r="8749" spans="1:10" x14ac:dyDescent="0.25">
      <c r="A8749">
        <v>9817</v>
      </c>
      <c r="B8749" t="s">
        <v>33708</v>
      </c>
      <c r="C8749">
        <v>474</v>
      </c>
      <c r="D8749">
        <v>406</v>
      </c>
      <c r="E8749">
        <v>1577197317</v>
      </c>
      <c r="F8749">
        <v>6954</v>
      </c>
      <c r="G8749">
        <v>0</v>
      </c>
      <c r="H8749" t="s">
        <v>13665</v>
      </c>
      <c r="I8749">
        <v>9817</v>
      </c>
      <c r="J8749" t="str">
        <f>VLOOKUP(E8749,DSSpieler!A:B,2,FALSE)</f>
        <v>DieWaldfee</v>
      </c>
    </row>
    <row r="8750" spans="1:10" x14ac:dyDescent="0.25">
      <c r="A8750">
        <v>9818</v>
      </c>
      <c r="B8750" t="s">
        <v>531</v>
      </c>
      <c r="C8750">
        <v>404</v>
      </c>
      <c r="D8750">
        <v>515</v>
      </c>
      <c r="E8750">
        <v>0</v>
      </c>
      <c r="F8750">
        <v>335</v>
      </c>
      <c r="G8750">
        <v>0</v>
      </c>
      <c r="H8750" t="s">
        <v>13666</v>
      </c>
      <c r="I8750">
        <v>9818</v>
      </c>
      <c r="J8750" t="e">
        <f>VLOOKUP(E8750,DSSpieler!A:B,2,FALSE)</f>
        <v>#N/A</v>
      </c>
    </row>
    <row r="8751" spans="1:10" x14ac:dyDescent="0.25">
      <c r="A8751">
        <v>9819</v>
      </c>
      <c r="B8751" t="s">
        <v>33709</v>
      </c>
      <c r="C8751">
        <v>436</v>
      </c>
      <c r="D8751">
        <v>439</v>
      </c>
      <c r="E8751">
        <v>9769149</v>
      </c>
      <c r="F8751">
        <v>5529</v>
      </c>
      <c r="G8751">
        <v>0</v>
      </c>
      <c r="H8751" t="s">
        <v>13667</v>
      </c>
      <c r="I8751">
        <v>9819</v>
      </c>
      <c r="J8751" t="str">
        <f>VLOOKUP(E8751,DSSpieler!A:B,2,FALSE)</f>
        <v>SpartaBamf</v>
      </c>
    </row>
    <row r="8752" spans="1:10" x14ac:dyDescent="0.25">
      <c r="A8752">
        <v>9820</v>
      </c>
      <c r="B8752">
        <v>2</v>
      </c>
      <c r="C8752">
        <v>404</v>
      </c>
      <c r="D8752">
        <v>516</v>
      </c>
      <c r="E8752">
        <v>1576523771</v>
      </c>
      <c r="F8752">
        <v>4131</v>
      </c>
      <c r="G8752">
        <v>0</v>
      </c>
      <c r="H8752" t="s">
        <v>13668</v>
      </c>
      <c r="I8752">
        <v>9820</v>
      </c>
      <c r="J8752" t="str">
        <f>VLOOKUP(E8752,DSSpieler!A:B,2,FALSE)</f>
        <v>Kev1n</v>
      </c>
    </row>
    <row r="8753" spans="1:10" x14ac:dyDescent="0.25">
      <c r="A8753">
        <v>9821</v>
      </c>
      <c r="B8753" t="s">
        <v>531</v>
      </c>
      <c r="C8753">
        <v>554</v>
      </c>
      <c r="D8753">
        <v>427</v>
      </c>
      <c r="E8753">
        <v>0</v>
      </c>
      <c r="F8753">
        <v>265</v>
      </c>
      <c r="G8753">
        <v>0</v>
      </c>
      <c r="H8753" t="s">
        <v>13669</v>
      </c>
      <c r="I8753">
        <v>9821</v>
      </c>
      <c r="J8753" t="e">
        <f>VLOOKUP(E8753,DSSpieler!A:B,2,FALSE)</f>
        <v>#N/A</v>
      </c>
    </row>
    <row r="8754" spans="1:10" x14ac:dyDescent="0.25">
      <c r="A8754">
        <v>9822</v>
      </c>
      <c r="B8754" t="s">
        <v>33710</v>
      </c>
      <c r="C8754">
        <v>550</v>
      </c>
      <c r="D8754">
        <v>420</v>
      </c>
      <c r="E8754">
        <v>2004534</v>
      </c>
      <c r="F8754">
        <v>5069</v>
      </c>
      <c r="G8754">
        <v>0</v>
      </c>
      <c r="H8754" t="s">
        <v>13670</v>
      </c>
      <c r="I8754">
        <v>9822</v>
      </c>
      <c r="J8754" t="str">
        <f>VLOOKUP(E8754,DSSpieler!A:B,2,FALSE)</f>
        <v>RockyRock</v>
      </c>
    </row>
    <row r="8755" spans="1:10" x14ac:dyDescent="0.25">
      <c r="A8755">
        <v>9823</v>
      </c>
      <c r="B8755" t="s">
        <v>531</v>
      </c>
      <c r="C8755">
        <v>403</v>
      </c>
      <c r="D8755">
        <v>516</v>
      </c>
      <c r="E8755">
        <v>0</v>
      </c>
      <c r="F8755">
        <v>466</v>
      </c>
      <c r="G8755">
        <v>0</v>
      </c>
      <c r="H8755" t="s">
        <v>13671</v>
      </c>
      <c r="I8755">
        <v>9823</v>
      </c>
      <c r="J8755" t="e">
        <f>VLOOKUP(E8755,DSSpieler!A:B,2,FALSE)</f>
        <v>#N/A</v>
      </c>
    </row>
    <row r="8756" spans="1:10" x14ac:dyDescent="0.25">
      <c r="A8756">
        <v>9824</v>
      </c>
      <c r="B8756" t="s">
        <v>1837</v>
      </c>
      <c r="C8756">
        <v>409</v>
      </c>
      <c r="D8756">
        <v>470</v>
      </c>
      <c r="E8756">
        <v>10267140</v>
      </c>
      <c r="F8756">
        <v>7930</v>
      </c>
      <c r="G8756">
        <v>0</v>
      </c>
      <c r="H8756" t="s">
        <v>13672</v>
      </c>
      <c r="I8756">
        <v>9824</v>
      </c>
      <c r="J8756" t="str">
        <f>VLOOKUP(E8756,DSSpieler!A:B,2,FALSE)</f>
        <v>Gudanggaram</v>
      </c>
    </row>
    <row r="8757" spans="1:10" x14ac:dyDescent="0.25">
      <c r="A8757">
        <v>9825</v>
      </c>
      <c r="B8757" t="s">
        <v>33711</v>
      </c>
      <c r="C8757">
        <v>555</v>
      </c>
      <c r="D8757">
        <v>426</v>
      </c>
      <c r="E8757">
        <v>9953901</v>
      </c>
      <c r="F8757">
        <v>6544</v>
      </c>
      <c r="G8757">
        <v>0</v>
      </c>
      <c r="H8757" t="s">
        <v>13673</v>
      </c>
      <c r="I8757">
        <v>9825</v>
      </c>
      <c r="J8757" t="str">
        <f>VLOOKUP(E8757,DSSpieler!A:B,2,FALSE)</f>
        <v>sVraCer</v>
      </c>
    </row>
    <row r="8758" spans="1:10" x14ac:dyDescent="0.25">
      <c r="A8758">
        <v>9826</v>
      </c>
      <c r="B8758" t="s">
        <v>1838</v>
      </c>
      <c r="C8758">
        <v>550</v>
      </c>
      <c r="D8758">
        <v>416</v>
      </c>
      <c r="E8758">
        <v>1576390569</v>
      </c>
      <c r="F8758">
        <v>1007</v>
      </c>
      <c r="G8758">
        <v>0</v>
      </c>
      <c r="H8758" t="s">
        <v>13674</v>
      </c>
      <c r="I8758">
        <v>9826</v>
      </c>
      <c r="J8758" t="str">
        <f>VLOOKUP(E8758,DSSpieler!A:B,2,FALSE)</f>
        <v>Sr Galgenhad</v>
      </c>
    </row>
    <row r="8759" spans="1:10" x14ac:dyDescent="0.25">
      <c r="A8759">
        <v>9827</v>
      </c>
      <c r="B8759" t="s">
        <v>1839</v>
      </c>
      <c r="C8759">
        <v>597</v>
      </c>
      <c r="D8759">
        <v>446</v>
      </c>
      <c r="E8759">
        <v>9842736</v>
      </c>
      <c r="F8759">
        <v>5682</v>
      </c>
      <c r="G8759">
        <v>0</v>
      </c>
      <c r="H8759" t="s">
        <v>13675</v>
      </c>
      <c r="I8759">
        <v>9827</v>
      </c>
      <c r="J8759" t="str">
        <f>VLOOKUP(E8759,DSSpieler!A:B,2,FALSE)</f>
        <v>NakedPanda</v>
      </c>
    </row>
    <row r="8760" spans="1:10" x14ac:dyDescent="0.25">
      <c r="A8760">
        <v>9829</v>
      </c>
      <c r="B8760" t="s">
        <v>1840</v>
      </c>
      <c r="C8760">
        <v>569</v>
      </c>
      <c r="D8760">
        <v>430</v>
      </c>
      <c r="E8760">
        <v>9753568</v>
      </c>
      <c r="F8760">
        <v>3328</v>
      </c>
      <c r="G8760">
        <v>0</v>
      </c>
      <c r="H8760" t="s">
        <v>13676</v>
      </c>
      <c r="I8760">
        <v>9829</v>
      </c>
      <c r="J8760" t="str">
        <f>VLOOKUP(E8760,DSSpieler!A:B,2,FALSE)</f>
        <v>todakr</v>
      </c>
    </row>
    <row r="8761" spans="1:10" x14ac:dyDescent="0.25">
      <c r="A8761">
        <v>9830</v>
      </c>
      <c r="B8761" t="s">
        <v>710</v>
      </c>
      <c r="C8761">
        <v>577</v>
      </c>
      <c r="D8761">
        <v>439</v>
      </c>
      <c r="E8761">
        <v>1576947159</v>
      </c>
      <c r="F8761">
        <v>3040</v>
      </c>
      <c r="G8761">
        <v>0</v>
      </c>
      <c r="H8761" t="s">
        <v>13677</v>
      </c>
      <c r="I8761">
        <v>9830</v>
      </c>
      <c r="J8761" t="str">
        <f>VLOOKUP(E8761,DSSpieler!A:B,2,FALSE)</f>
        <v>TodescooI</v>
      </c>
    </row>
    <row r="8762" spans="1:10" x14ac:dyDescent="0.25">
      <c r="A8762">
        <v>9831</v>
      </c>
      <c r="B8762" t="s">
        <v>531</v>
      </c>
      <c r="C8762">
        <v>426</v>
      </c>
      <c r="D8762">
        <v>481</v>
      </c>
      <c r="E8762">
        <v>0</v>
      </c>
      <c r="F8762">
        <v>802</v>
      </c>
      <c r="G8762">
        <v>0</v>
      </c>
      <c r="H8762" t="s">
        <v>13678</v>
      </c>
      <c r="I8762">
        <v>9831</v>
      </c>
      <c r="J8762" t="e">
        <f>VLOOKUP(E8762,DSSpieler!A:B,2,FALSE)</f>
        <v>#N/A</v>
      </c>
    </row>
    <row r="8763" spans="1:10" x14ac:dyDescent="0.25">
      <c r="A8763">
        <v>9832</v>
      </c>
      <c r="B8763" t="s">
        <v>531</v>
      </c>
      <c r="C8763">
        <v>456</v>
      </c>
      <c r="D8763">
        <v>415</v>
      </c>
      <c r="E8763">
        <v>0</v>
      </c>
      <c r="F8763">
        <v>200</v>
      </c>
      <c r="G8763">
        <v>0</v>
      </c>
      <c r="H8763" t="s">
        <v>13679</v>
      </c>
      <c r="I8763">
        <v>9832</v>
      </c>
      <c r="J8763" t="e">
        <f>VLOOKUP(E8763,DSSpieler!A:B,2,FALSE)</f>
        <v>#N/A</v>
      </c>
    </row>
    <row r="8764" spans="1:10" x14ac:dyDescent="0.25">
      <c r="A8764">
        <v>9833</v>
      </c>
      <c r="B8764" t="s">
        <v>33712</v>
      </c>
      <c r="C8764">
        <v>597</v>
      </c>
      <c r="D8764">
        <v>494</v>
      </c>
      <c r="E8764">
        <v>1825814</v>
      </c>
      <c r="F8764">
        <v>5264</v>
      </c>
      <c r="G8764">
        <v>0</v>
      </c>
      <c r="H8764" t="s">
        <v>13680</v>
      </c>
      <c r="I8764">
        <v>9833</v>
      </c>
      <c r="J8764" t="str">
        <f>VLOOKUP(E8764,DSSpieler!A:B,2,FALSE)</f>
        <v>FREEKY MAN</v>
      </c>
    </row>
    <row r="8765" spans="1:10" x14ac:dyDescent="0.25">
      <c r="A8765">
        <v>9834</v>
      </c>
      <c r="B8765" t="s">
        <v>33713</v>
      </c>
      <c r="C8765">
        <v>451</v>
      </c>
      <c r="D8765">
        <v>417</v>
      </c>
      <c r="E8765">
        <v>3049622</v>
      </c>
      <c r="F8765">
        <v>5865</v>
      </c>
      <c r="G8765">
        <v>0</v>
      </c>
      <c r="H8765" t="s">
        <v>13681</v>
      </c>
      <c r="I8765">
        <v>9834</v>
      </c>
      <c r="J8765" t="str">
        <f>VLOOKUP(E8765,DSSpieler!A:B,2,FALSE)</f>
        <v>der pan</v>
      </c>
    </row>
    <row r="8766" spans="1:10" x14ac:dyDescent="0.25">
      <c r="A8766">
        <v>9835</v>
      </c>
      <c r="B8766" t="s">
        <v>531</v>
      </c>
      <c r="C8766">
        <v>598</v>
      </c>
      <c r="D8766">
        <v>507</v>
      </c>
      <c r="E8766">
        <v>0</v>
      </c>
      <c r="F8766">
        <v>350</v>
      </c>
      <c r="G8766">
        <v>0</v>
      </c>
      <c r="H8766" t="s">
        <v>13682</v>
      </c>
      <c r="I8766">
        <v>9835</v>
      </c>
      <c r="J8766" t="e">
        <f>VLOOKUP(E8766,DSSpieler!A:B,2,FALSE)</f>
        <v>#N/A</v>
      </c>
    </row>
    <row r="8767" spans="1:10" x14ac:dyDescent="0.25">
      <c r="A8767">
        <v>9836</v>
      </c>
      <c r="B8767" t="s">
        <v>531</v>
      </c>
      <c r="C8767">
        <v>469</v>
      </c>
      <c r="D8767">
        <v>590</v>
      </c>
      <c r="E8767">
        <v>0</v>
      </c>
      <c r="F8767">
        <v>370</v>
      </c>
      <c r="G8767">
        <v>0</v>
      </c>
      <c r="H8767" t="s">
        <v>13683</v>
      </c>
      <c r="I8767">
        <v>9836</v>
      </c>
      <c r="J8767" t="e">
        <f>VLOOKUP(E8767,DSSpieler!A:B,2,FALSE)</f>
        <v>#N/A</v>
      </c>
    </row>
    <row r="8768" spans="1:10" x14ac:dyDescent="0.25">
      <c r="A8768">
        <v>9837</v>
      </c>
      <c r="B8768" t="s">
        <v>1841</v>
      </c>
      <c r="C8768">
        <v>420</v>
      </c>
      <c r="D8768">
        <v>443</v>
      </c>
      <c r="E8768">
        <v>1577188135</v>
      </c>
      <c r="F8768">
        <v>5111</v>
      </c>
      <c r="G8768">
        <v>0</v>
      </c>
      <c r="H8768" t="s">
        <v>13684</v>
      </c>
      <c r="I8768">
        <v>9837</v>
      </c>
      <c r="J8768" t="str">
        <f>VLOOKUP(E8768,DSSpieler!A:B,2,FALSE)</f>
        <v>s1m199</v>
      </c>
    </row>
    <row r="8769" spans="1:10" x14ac:dyDescent="0.25">
      <c r="A8769">
        <v>9838</v>
      </c>
      <c r="B8769" t="s">
        <v>33714</v>
      </c>
      <c r="C8769">
        <v>511</v>
      </c>
      <c r="D8769">
        <v>529</v>
      </c>
      <c r="E8769">
        <v>1577197162</v>
      </c>
      <c r="F8769">
        <v>4953</v>
      </c>
      <c r="G8769">
        <v>0</v>
      </c>
      <c r="H8769" t="s">
        <v>13685</v>
      </c>
      <c r="I8769">
        <v>9838</v>
      </c>
      <c r="J8769" t="str">
        <f>VLOOKUP(E8769,DSSpieler!A:B,2,FALSE)</f>
        <v>Tubu</v>
      </c>
    </row>
    <row r="8770" spans="1:10" x14ac:dyDescent="0.25">
      <c r="A8770">
        <v>9839</v>
      </c>
      <c r="B8770" t="s">
        <v>974</v>
      </c>
      <c r="C8770">
        <v>576</v>
      </c>
      <c r="D8770">
        <v>563</v>
      </c>
      <c r="E8770">
        <v>1577188486</v>
      </c>
      <c r="F8770">
        <v>4672</v>
      </c>
      <c r="G8770">
        <v>0</v>
      </c>
      <c r="H8770" t="s">
        <v>13686</v>
      </c>
      <c r="I8770">
        <v>9839</v>
      </c>
      <c r="J8770" t="str">
        <f>VLOOKUP(E8770,DSSpieler!A:B,2,FALSE)</f>
        <v>Gzuz von Nazareth</v>
      </c>
    </row>
    <row r="8771" spans="1:10" x14ac:dyDescent="0.25">
      <c r="A8771">
        <v>9840</v>
      </c>
      <c r="B8771" t="s">
        <v>979</v>
      </c>
      <c r="C8771">
        <v>513</v>
      </c>
      <c r="D8771">
        <v>594</v>
      </c>
      <c r="E8771">
        <v>9589757</v>
      </c>
      <c r="F8771">
        <v>4673</v>
      </c>
      <c r="G8771">
        <v>0</v>
      </c>
      <c r="H8771" t="s">
        <v>13687</v>
      </c>
      <c r="I8771">
        <v>9840</v>
      </c>
      <c r="J8771" t="str">
        <f>VLOOKUP(E8771,DSSpieler!A:B,2,FALSE)</f>
        <v>Bluddeux</v>
      </c>
    </row>
    <row r="8772" spans="1:10" x14ac:dyDescent="0.25">
      <c r="A8772">
        <v>9841</v>
      </c>
      <c r="B8772" t="s">
        <v>531</v>
      </c>
      <c r="C8772">
        <v>596</v>
      </c>
      <c r="D8772">
        <v>480</v>
      </c>
      <c r="E8772">
        <v>0</v>
      </c>
      <c r="F8772">
        <v>543</v>
      </c>
      <c r="G8772">
        <v>0</v>
      </c>
      <c r="H8772" t="s">
        <v>13688</v>
      </c>
      <c r="I8772">
        <v>9841</v>
      </c>
      <c r="J8772" t="e">
        <f>VLOOKUP(E8772,DSSpieler!A:B,2,FALSE)</f>
        <v>#N/A</v>
      </c>
    </row>
    <row r="8773" spans="1:10" x14ac:dyDescent="0.25">
      <c r="A8773">
        <v>9842</v>
      </c>
      <c r="B8773" t="s">
        <v>32645</v>
      </c>
      <c r="C8773">
        <v>497</v>
      </c>
      <c r="D8773">
        <v>403</v>
      </c>
      <c r="E8773">
        <v>9308033</v>
      </c>
      <c r="F8773">
        <v>5947</v>
      </c>
      <c r="G8773">
        <v>0</v>
      </c>
      <c r="H8773" t="s">
        <v>13689</v>
      </c>
      <c r="I8773">
        <v>9842</v>
      </c>
      <c r="J8773" t="str">
        <f>VLOOKUP(E8773,DSSpieler!A:B,2,FALSE)</f>
        <v>Kenneth5</v>
      </c>
    </row>
    <row r="8774" spans="1:10" x14ac:dyDescent="0.25">
      <c r="A8774">
        <v>9843</v>
      </c>
      <c r="B8774" t="s">
        <v>33715</v>
      </c>
      <c r="C8774">
        <v>547</v>
      </c>
      <c r="D8774">
        <v>410</v>
      </c>
      <c r="E8774">
        <v>7960757</v>
      </c>
      <c r="F8774">
        <v>5882</v>
      </c>
      <c r="G8774">
        <v>0</v>
      </c>
      <c r="H8774" t="s">
        <v>13690</v>
      </c>
      <c r="I8774">
        <v>9843</v>
      </c>
      <c r="J8774" t="str">
        <f>VLOOKUP(E8774,DSSpieler!A:B,2,FALSE)</f>
        <v>Tilltanungman</v>
      </c>
    </row>
    <row r="8775" spans="1:10" x14ac:dyDescent="0.25">
      <c r="A8775">
        <v>9844</v>
      </c>
      <c r="B8775" t="s">
        <v>1092</v>
      </c>
      <c r="C8775">
        <v>494</v>
      </c>
      <c r="D8775">
        <v>567</v>
      </c>
      <c r="E8775">
        <v>1576918886</v>
      </c>
      <c r="F8775">
        <v>3920</v>
      </c>
      <c r="G8775">
        <v>0</v>
      </c>
      <c r="H8775" t="s">
        <v>13691</v>
      </c>
      <c r="I8775">
        <v>9844</v>
      </c>
      <c r="J8775" t="str">
        <f>VLOOKUP(E8775,DSSpieler!A:B,2,FALSE)</f>
        <v>tuete1</v>
      </c>
    </row>
    <row r="8776" spans="1:10" x14ac:dyDescent="0.25">
      <c r="A8776">
        <v>9846</v>
      </c>
      <c r="B8776" t="s">
        <v>33716</v>
      </c>
      <c r="C8776">
        <v>458</v>
      </c>
      <c r="D8776">
        <v>423</v>
      </c>
      <c r="E8776">
        <v>1576840655</v>
      </c>
      <c r="F8776">
        <v>6422</v>
      </c>
      <c r="G8776">
        <v>0</v>
      </c>
      <c r="H8776" t="s">
        <v>13692</v>
      </c>
      <c r="I8776">
        <v>9846</v>
      </c>
      <c r="J8776" t="str">
        <f>VLOOKUP(E8776,DSSpieler!A:B,2,FALSE)</f>
        <v>Kaputus</v>
      </c>
    </row>
    <row r="8777" spans="1:10" x14ac:dyDescent="0.25">
      <c r="A8777">
        <v>9847</v>
      </c>
      <c r="B8777" t="s">
        <v>1842</v>
      </c>
      <c r="C8777">
        <v>560</v>
      </c>
      <c r="D8777">
        <v>424</v>
      </c>
      <c r="E8777">
        <v>1577192546</v>
      </c>
      <c r="F8777">
        <v>1404</v>
      </c>
      <c r="G8777">
        <v>0</v>
      </c>
      <c r="H8777" t="s">
        <v>13693</v>
      </c>
      <c r="I8777">
        <v>9847</v>
      </c>
      <c r="J8777" t="str">
        <f>VLOOKUP(E8777,DSSpieler!A:B,2,FALSE)</f>
        <v>kh64tak</v>
      </c>
    </row>
    <row r="8778" spans="1:10" x14ac:dyDescent="0.25">
      <c r="A8778">
        <v>9848</v>
      </c>
      <c r="B8778" t="s">
        <v>33717</v>
      </c>
      <c r="C8778">
        <v>409</v>
      </c>
      <c r="D8778">
        <v>461</v>
      </c>
      <c r="E8778">
        <v>1577042567</v>
      </c>
      <c r="F8778">
        <v>3095</v>
      </c>
      <c r="G8778">
        <v>0</v>
      </c>
      <c r="H8778" t="s">
        <v>13694</v>
      </c>
      <c r="I8778">
        <v>9848</v>
      </c>
      <c r="J8778" t="str">
        <f>VLOOKUP(E8778,DSSpieler!A:B,2,FALSE)</f>
        <v>ocv1234</v>
      </c>
    </row>
    <row r="8779" spans="1:10" x14ac:dyDescent="0.25">
      <c r="A8779">
        <v>9850</v>
      </c>
      <c r="B8779" t="s">
        <v>531</v>
      </c>
      <c r="C8779">
        <v>484</v>
      </c>
      <c r="D8779">
        <v>403</v>
      </c>
      <c r="E8779">
        <v>0</v>
      </c>
      <c r="F8779">
        <v>499</v>
      </c>
      <c r="G8779">
        <v>0</v>
      </c>
      <c r="H8779" t="s">
        <v>13695</v>
      </c>
      <c r="I8779">
        <v>9850</v>
      </c>
      <c r="J8779" t="e">
        <f>VLOOKUP(E8779,DSSpieler!A:B,2,FALSE)</f>
        <v>#N/A</v>
      </c>
    </row>
    <row r="8780" spans="1:10" x14ac:dyDescent="0.25">
      <c r="A8780">
        <v>9851</v>
      </c>
      <c r="B8780" t="s">
        <v>531</v>
      </c>
      <c r="C8780">
        <v>480</v>
      </c>
      <c r="D8780">
        <v>407</v>
      </c>
      <c r="E8780">
        <v>0</v>
      </c>
      <c r="F8780">
        <v>274</v>
      </c>
      <c r="G8780">
        <v>0</v>
      </c>
      <c r="H8780" t="s">
        <v>13696</v>
      </c>
      <c r="I8780">
        <v>9851</v>
      </c>
      <c r="J8780" t="e">
        <f>VLOOKUP(E8780,DSSpieler!A:B,2,FALSE)</f>
        <v>#N/A</v>
      </c>
    </row>
    <row r="8781" spans="1:10" x14ac:dyDescent="0.25">
      <c r="A8781">
        <v>9852</v>
      </c>
      <c r="B8781" t="s">
        <v>33718</v>
      </c>
      <c r="C8781">
        <v>581</v>
      </c>
      <c r="D8781">
        <v>550</v>
      </c>
      <c r="E8781">
        <v>1576934917</v>
      </c>
      <c r="F8781">
        <v>3697</v>
      </c>
      <c r="G8781">
        <v>0</v>
      </c>
      <c r="H8781" t="s">
        <v>13697</v>
      </c>
      <c r="I8781">
        <v>9852</v>
      </c>
      <c r="J8781" t="str">
        <f>VLOOKUP(E8781,DSSpieler!A:B,2,FALSE)</f>
        <v>dreamer187</v>
      </c>
    </row>
    <row r="8782" spans="1:10" x14ac:dyDescent="0.25">
      <c r="A8782">
        <v>9853</v>
      </c>
      <c r="B8782" t="s">
        <v>650</v>
      </c>
      <c r="C8782">
        <v>572</v>
      </c>
      <c r="D8782">
        <v>427</v>
      </c>
      <c r="E8782">
        <v>1577002284</v>
      </c>
      <c r="F8782">
        <v>8272</v>
      </c>
      <c r="G8782">
        <v>0</v>
      </c>
      <c r="H8782" t="s">
        <v>13698</v>
      </c>
      <c r="I8782">
        <v>9853</v>
      </c>
      <c r="J8782" t="str">
        <f>VLOOKUP(E8782,DSSpieler!A:B,2,FALSE)</f>
        <v>Lord Andy444</v>
      </c>
    </row>
    <row r="8783" spans="1:10" x14ac:dyDescent="0.25">
      <c r="A8783">
        <v>9854</v>
      </c>
      <c r="B8783" t="s">
        <v>33719</v>
      </c>
      <c r="C8783">
        <v>553</v>
      </c>
      <c r="D8783">
        <v>420</v>
      </c>
      <c r="E8783">
        <v>1577178245</v>
      </c>
      <c r="F8783">
        <v>2666</v>
      </c>
      <c r="G8783">
        <v>0</v>
      </c>
      <c r="H8783" t="s">
        <v>13699</v>
      </c>
      <c r="I8783">
        <v>9854</v>
      </c>
      <c r="J8783" t="str">
        <f>VLOOKUP(E8783,DSSpieler!A:B,2,FALSE)</f>
        <v>daddy.</v>
      </c>
    </row>
    <row r="8784" spans="1:10" x14ac:dyDescent="0.25">
      <c r="A8784">
        <v>9855</v>
      </c>
      <c r="B8784" t="s">
        <v>33720</v>
      </c>
      <c r="C8784">
        <v>470</v>
      </c>
      <c r="D8784">
        <v>409</v>
      </c>
      <c r="E8784">
        <v>9930153</v>
      </c>
      <c r="F8784">
        <v>26</v>
      </c>
      <c r="G8784">
        <v>0</v>
      </c>
      <c r="H8784" t="s">
        <v>13700</v>
      </c>
      <c r="I8784">
        <v>9855</v>
      </c>
      <c r="J8784" t="str">
        <f>VLOOKUP(E8784,DSSpieler!A:B,2,FALSE)</f>
        <v>Cranky23</v>
      </c>
    </row>
    <row r="8785" spans="1:10" x14ac:dyDescent="0.25">
      <c r="A8785">
        <v>9856</v>
      </c>
      <c r="B8785" t="s">
        <v>35848</v>
      </c>
      <c r="C8785">
        <v>579</v>
      </c>
      <c r="D8785">
        <v>421</v>
      </c>
      <c r="E8785">
        <v>1576909094</v>
      </c>
      <c r="F8785">
        <v>4759</v>
      </c>
      <c r="G8785">
        <v>0</v>
      </c>
      <c r="H8785" t="s">
        <v>13701</v>
      </c>
      <c r="I8785">
        <v>9856</v>
      </c>
      <c r="J8785" t="str">
        <f>VLOOKUP(E8785,DSSpieler!A:B,2,FALSE)</f>
        <v>DrMinzlauer</v>
      </c>
    </row>
    <row r="8786" spans="1:10" x14ac:dyDescent="0.25">
      <c r="A8786">
        <v>9858</v>
      </c>
      <c r="B8786" t="s">
        <v>1843</v>
      </c>
      <c r="C8786">
        <v>555</v>
      </c>
      <c r="D8786">
        <v>528</v>
      </c>
      <c r="E8786">
        <v>1577198287</v>
      </c>
      <c r="F8786">
        <v>7874</v>
      </c>
      <c r="G8786">
        <v>0</v>
      </c>
      <c r="H8786" t="s">
        <v>13702</v>
      </c>
      <c r="I8786">
        <v>9858</v>
      </c>
      <c r="J8786" t="str">
        <f>VLOOKUP(E8786,DSSpieler!A:B,2,FALSE)</f>
        <v>Takki</v>
      </c>
    </row>
    <row r="8787" spans="1:10" x14ac:dyDescent="0.25">
      <c r="A8787">
        <v>9859</v>
      </c>
      <c r="B8787" t="s">
        <v>33721</v>
      </c>
      <c r="C8787">
        <v>478</v>
      </c>
      <c r="D8787">
        <v>403</v>
      </c>
      <c r="E8787">
        <v>1576764568</v>
      </c>
      <c r="F8787">
        <v>2874</v>
      </c>
      <c r="G8787">
        <v>0</v>
      </c>
      <c r="H8787" t="s">
        <v>13703</v>
      </c>
      <c r="I8787">
        <v>9859</v>
      </c>
      <c r="J8787" t="str">
        <f>VLOOKUP(E8787,DSSpieler!A:B,2,FALSE)</f>
        <v>TimoM1</v>
      </c>
    </row>
    <row r="8788" spans="1:10" x14ac:dyDescent="0.25">
      <c r="A8788">
        <v>9860</v>
      </c>
      <c r="B8788" t="s">
        <v>1844</v>
      </c>
      <c r="C8788">
        <v>439</v>
      </c>
      <c r="D8788">
        <v>511</v>
      </c>
      <c r="E8788">
        <v>1147967</v>
      </c>
      <c r="F8788">
        <v>3526</v>
      </c>
      <c r="G8788">
        <v>0</v>
      </c>
      <c r="H8788" t="s">
        <v>13704</v>
      </c>
      <c r="I8788">
        <v>9860</v>
      </c>
      <c r="J8788" t="str">
        <f>VLOOKUP(E8788,DSSpieler!A:B,2,FALSE)</f>
        <v>Milnox</v>
      </c>
    </row>
    <row r="8789" spans="1:10" x14ac:dyDescent="0.25">
      <c r="A8789">
        <v>9861</v>
      </c>
      <c r="B8789" t="s">
        <v>33722</v>
      </c>
      <c r="C8789">
        <v>443</v>
      </c>
      <c r="D8789">
        <v>589</v>
      </c>
      <c r="E8789">
        <v>1577192052</v>
      </c>
      <c r="F8789">
        <v>1274</v>
      </c>
      <c r="G8789">
        <v>0</v>
      </c>
      <c r="H8789" t="s">
        <v>13705</v>
      </c>
      <c r="I8789">
        <v>9861</v>
      </c>
      <c r="J8789" t="str">
        <f>VLOOKUP(E8789,DSSpieler!A:B,2,FALSE)</f>
        <v>-Albi-</v>
      </c>
    </row>
    <row r="8790" spans="1:10" x14ac:dyDescent="0.25">
      <c r="A8790">
        <v>9862</v>
      </c>
      <c r="B8790" t="s">
        <v>33723</v>
      </c>
      <c r="C8790">
        <v>461</v>
      </c>
      <c r="D8790">
        <v>497</v>
      </c>
      <c r="E8790">
        <v>1577198291</v>
      </c>
      <c r="F8790">
        <v>4121</v>
      </c>
      <c r="G8790">
        <v>0</v>
      </c>
      <c r="H8790" t="s">
        <v>13706</v>
      </c>
      <c r="I8790">
        <v>9862</v>
      </c>
      <c r="J8790" t="str">
        <f>VLOOKUP(E8790,DSSpieler!A:B,2,FALSE)</f>
        <v>Umbrae</v>
      </c>
    </row>
    <row r="8791" spans="1:10" x14ac:dyDescent="0.25">
      <c r="A8791">
        <v>9863</v>
      </c>
      <c r="B8791" t="s">
        <v>33724</v>
      </c>
      <c r="C8791">
        <v>561</v>
      </c>
      <c r="D8791">
        <v>462</v>
      </c>
      <c r="E8791">
        <v>1576013529</v>
      </c>
      <c r="F8791">
        <v>5189</v>
      </c>
      <c r="G8791">
        <v>0</v>
      </c>
      <c r="H8791" t="s">
        <v>13707</v>
      </c>
      <c r="I8791">
        <v>9863</v>
      </c>
      <c r="J8791" t="str">
        <f>VLOOKUP(E8791,DSSpieler!A:B,2,FALSE)</f>
        <v>Captn Kaliba</v>
      </c>
    </row>
    <row r="8792" spans="1:10" x14ac:dyDescent="0.25">
      <c r="A8792">
        <v>9864</v>
      </c>
      <c r="B8792" t="s">
        <v>33725</v>
      </c>
      <c r="C8792">
        <v>554</v>
      </c>
      <c r="D8792">
        <v>418</v>
      </c>
      <c r="E8792">
        <v>1577178245</v>
      </c>
      <c r="F8792">
        <v>5744</v>
      </c>
      <c r="G8792">
        <v>0</v>
      </c>
      <c r="H8792" t="s">
        <v>13708</v>
      </c>
      <c r="I8792">
        <v>9864</v>
      </c>
      <c r="J8792" t="str">
        <f>VLOOKUP(E8792,DSSpieler!A:B,2,FALSE)</f>
        <v>daddy.</v>
      </c>
    </row>
    <row r="8793" spans="1:10" x14ac:dyDescent="0.25">
      <c r="A8793">
        <v>9865</v>
      </c>
      <c r="B8793" t="s">
        <v>531</v>
      </c>
      <c r="C8793">
        <v>571</v>
      </c>
      <c r="D8793">
        <v>564</v>
      </c>
      <c r="E8793">
        <v>0</v>
      </c>
      <c r="F8793">
        <v>1020</v>
      </c>
      <c r="G8793">
        <v>0</v>
      </c>
      <c r="H8793" t="s">
        <v>13709</v>
      </c>
      <c r="I8793">
        <v>9865</v>
      </c>
      <c r="J8793" t="e">
        <f>VLOOKUP(E8793,DSSpieler!A:B,2,FALSE)</f>
        <v>#N/A</v>
      </c>
    </row>
    <row r="8794" spans="1:10" x14ac:dyDescent="0.25">
      <c r="A8794">
        <v>9866</v>
      </c>
      <c r="B8794" t="s">
        <v>1845</v>
      </c>
      <c r="C8794">
        <v>476</v>
      </c>
      <c r="D8794">
        <v>407</v>
      </c>
      <c r="E8794">
        <v>1577197842</v>
      </c>
      <c r="F8794">
        <v>1479</v>
      </c>
      <c r="G8794">
        <v>0</v>
      </c>
      <c r="H8794" t="s">
        <v>13710</v>
      </c>
      <c r="I8794">
        <v>9866</v>
      </c>
      <c r="J8794" t="str">
        <f>VLOOKUP(E8794,DSSpieler!A:B,2,FALSE)</f>
        <v>Nasuuus</v>
      </c>
    </row>
    <row r="8795" spans="1:10" x14ac:dyDescent="0.25">
      <c r="A8795">
        <v>9867</v>
      </c>
      <c r="B8795" t="s">
        <v>33726</v>
      </c>
      <c r="C8795">
        <v>554</v>
      </c>
      <c r="D8795">
        <v>417</v>
      </c>
      <c r="E8795">
        <v>9422279</v>
      </c>
      <c r="F8795">
        <v>4016</v>
      </c>
      <c r="G8795">
        <v>0</v>
      </c>
      <c r="H8795" t="s">
        <v>13711</v>
      </c>
      <c r="I8795">
        <v>9867</v>
      </c>
      <c r="J8795" t="str">
        <f>VLOOKUP(E8795,DSSpieler!A:B,2,FALSE)</f>
        <v>Castro</v>
      </c>
    </row>
    <row r="8796" spans="1:10" x14ac:dyDescent="0.25">
      <c r="A8796">
        <v>9868</v>
      </c>
      <c r="B8796" t="s">
        <v>531</v>
      </c>
      <c r="C8796">
        <v>579</v>
      </c>
      <c r="D8796">
        <v>441</v>
      </c>
      <c r="E8796">
        <v>0</v>
      </c>
      <c r="F8796">
        <v>313</v>
      </c>
      <c r="G8796">
        <v>0</v>
      </c>
      <c r="H8796" t="s">
        <v>13712</v>
      </c>
      <c r="I8796">
        <v>9868</v>
      </c>
      <c r="J8796" t="e">
        <f>VLOOKUP(E8796,DSSpieler!A:B,2,FALSE)</f>
        <v>#N/A</v>
      </c>
    </row>
    <row r="8797" spans="1:10" x14ac:dyDescent="0.25">
      <c r="A8797">
        <v>9869</v>
      </c>
      <c r="B8797" t="s">
        <v>531</v>
      </c>
      <c r="C8797">
        <v>565</v>
      </c>
      <c r="D8797">
        <v>535</v>
      </c>
      <c r="E8797">
        <v>0</v>
      </c>
      <c r="F8797">
        <v>228</v>
      </c>
      <c r="G8797">
        <v>0</v>
      </c>
      <c r="H8797" t="s">
        <v>13713</v>
      </c>
      <c r="I8797">
        <v>9869</v>
      </c>
      <c r="J8797" t="e">
        <f>VLOOKUP(E8797,DSSpieler!A:B,2,FALSE)</f>
        <v>#N/A</v>
      </c>
    </row>
    <row r="8798" spans="1:10" x14ac:dyDescent="0.25">
      <c r="A8798">
        <v>9870</v>
      </c>
      <c r="B8798" t="s">
        <v>531</v>
      </c>
      <c r="C8798">
        <v>569</v>
      </c>
      <c r="D8798">
        <v>506</v>
      </c>
      <c r="E8798">
        <v>0</v>
      </c>
      <c r="F8798">
        <v>298</v>
      </c>
      <c r="G8798">
        <v>0</v>
      </c>
      <c r="H8798" t="s">
        <v>13714</v>
      </c>
      <c r="I8798">
        <v>9870</v>
      </c>
      <c r="J8798" t="e">
        <f>VLOOKUP(E8798,DSSpieler!A:B,2,FALSE)</f>
        <v>#N/A</v>
      </c>
    </row>
    <row r="8799" spans="1:10" x14ac:dyDescent="0.25">
      <c r="A8799">
        <v>9871</v>
      </c>
      <c r="B8799" t="s">
        <v>33727</v>
      </c>
      <c r="C8799">
        <v>422</v>
      </c>
      <c r="D8799">
        <v>568</v>
      </c>
      <c r="E8799">
        <v>1576493594</v>
      </c>
      <c r="F8799">
        <v>4517</v>
      </c>
      <c r="G8799">
        <v>0</v>
      </c>
      <c r="H8799" t="s">
        <v>13715</v>
      </c>
      <c r="I8799">
        <v>9871</v>
      </c>
      <c r="J8799" t="str">
        <f>VLOOKUP(E8799,DSSpieler!A:B,2,FALSE)</f>
        <v>Shakur.</v>
      </c>
    </row>
    <row r="8800" spans="1:10" x14ac:dyDescent="0.25">
      <c r="A8800">
        <v>9874</v>
      </c>
      <c r="B8800" t="s">
        <v>33728</v>
      </c>
      <c r="C8800">
        <v>574</v>
      </c>
      <c r="D8800">
        <v>418</v>
      </c>
      <c r="E8800">
        <v>1577183151</v>
      </c>
      <c r="F8800">
        <v>7237</v>
      </c>
      <c r="G8800">
        <v>0</v>
      </c>
      <c r="H8800" t="s">
        <v>13716</v>
      </c>
      <c r="I8800">
        <v>9874</v>
      </c>
      <c r="J8800" t="str">
        <f>VLOOKUP(E8800,DSSpieler!A:B,2,FALSE)</f>
        <v>Cecil</v>
      </c>
    </row>
    <row r="8801" spans="1:10" x14ac:dyDescent="0.25">
      <c r="A8801">
        <v>9875</v>
      </c>
      <c r="B8801">
        <v>1</v>
      </c>
      <c r="C8801">
        <v>499</v>
      </c>
      <c r="D8801">
        <v>405</v>
      </c>
      <c r="E8801">
        <v>1576808722</v>
      </c>
      <c r="F8801">
        <v>3984</v>
      </c>
      <c r="G8801">
        <v>0</v>
      </c>
      <c r="H8801" t="s">
        <v>13717</v>
      </c>
      <c r="I8801">
        <v>9875</v>
      </c>
      <c r="J8801" t="str">
        <f>VLOOKUP(E8801,DSSpieler!A:B,2,FALSE)</f>
        <v>HeldxD</v>
      </c>
    </row>
    <row r="8802" spans="1:10" x14ac:dyDescent="0.25">
      <c r="A8802">
        <v>9876</v>
      </c>
      <c r="B8802" t="s">
        <v>643</v>
      </c>
      <c r="C8802">
        <v>596</v>
      </c>
      <c r="D8802">
        <v>519</v>
      </c>
      <c r="E8802">
        <v>1577141045</v>
      </c>
      <c r="F8802">
        <v>4616</v>
      </c>
      <c r="G8802">
        <v>0</v>
      </c>
      <c r="H8802" t="s">
        <v>13718</v>
      </c>
      <c r="I8802">
        <v>9876</v>
      </c>
      <c r="J8802" t="str">
        <f>VLOOKUP(E8802,DSSpieler!A:B,2,FALSE)</f>
        <v>HannesDe</v>
      </c>
    </row>
    <row r="8803" spans="1:10" x14ac:dyDescent="0.25">
      <c r="A8803">
        <v>9877</v>
      </c>
      <c r="B8803" t="s">
        <v>33729</v>
      </c>
      <c r="C8803">
        <v>470</v>
      </c>
      <c r="D8803">
        <v>472</v>
      </c>
      <c r="E8803">
        <v>1576674038</v>
      </c>
      <c r="F8803">
        <v>6020</v>
      </c>
      <c r="G8803">
        <v>0</v>
      </c>
      <c r="H8803" t="s">
        <v>13719</v>
      </c>
      <c r="I8803">
        <v>9877</v>
      </c>
      <c r="J8803" t="str">
        <f>VLOOKUP(E8803,DSSpieler!A:B,2,FALSE)</f>
        <v>Maxmaier</v>
      </c>
    </row>
    <row r="8804" spans="1:10" x14ac:dyDescent="0.25">
      <c r="A8804">
        <v>9878</v>
      </c>
      <c r="B8804" t="s">
        <v>531</v>
      </c>
      <c r="C8804">
        <v>445</v>
      </c>
      <c r="D8804">
        <v>581</v>
      </c>
      <c r="E8804">
        <v>0</v>
      </c>
      <c r="F8804">
        <v>612</v>
      </c>
      <c r="G8804">
        <v>0</v>
      </c>
      <c r="H8804" t="s">
        <v>13720</v>
      </c>
      <c r="I8804">
        <v>9878</v>
      </c>
      <c r="J8804" t="e">
        <f>VLOOKUP(E8804,DSSpieler!A:B,2,FALSE)</f>
        <v>#N/A</v>
      </c>
    </row>
    <row r="8805" spans="1:10" x14ac:dyDescent="0.25">
      <c r="A8805">
        <v>9879</v>
      </c>
      <c r="B8805" t="s">
        <v>33730</v>
      </c>
      <c r="C8805">
        <v>506</v>
      </c>
      <c r="D8805">
        <v>404</v>
      </c>
      <c r="E8805">
        <v>1577190952</v>
      </c>
      <c r="F8805">
        <v>203</v>
      </c>
      <c r="G8805">
        <v>0</v>
      </c>
      <c r="H8805" t="s">
        <v>13721</v>
      </c>
      <c r="I8805">
        <v>9879</v>
      </c>
      <c r="J8805" t="str">
        <f>VLOOKUP(E8805,DSSpieler!A:B,2,FALSE)</f>
        <v>IsGeil</v>
      </c>
    </row>
    <row r="8806" spans="1:10" x14ac:dyDescent="0.25">
      <c r="A8806">
        <v>9880</v>
      </c>
      <c r="B8806" t="s">
        <v>33731</v>
      </c>
      <c r="C8806">
        <v>500</v>
      </c>
      <c r="D8806">
        <v>405</v>
      </c>
      <c r="E8806">
        <v>1576808722</v>
      </c>
      <c r="F8806">
        <v>4278</v>
      </c>
      <c r="G8806">
        <v>0</v>
      </c>
      <c r="H8806" t="s">
        <v>13722</v>
      </c>
      <c r="I8806">
        <v>9880</v>
      </c>
      <c r="J8806" t="str">
        <f>VLOOKUP(E8806,DSSpieler!A:B,2,FALSE)</f>
        <v>HeldxD</v>
      </c>
    </row>
    <row r="8807" spans="1:10" x14ac:dyDescent="0.25">
      <c r="A8807">
        <v>9881</v>
      </c>
      <c r="B8807" t="s">
        <v>531</v>
      </c>
      <c r="C8807">
        <v>590</v>
      </c>
      <c r="D8807">
        <v>530</v>
      </c>
      <c r="E8807">
        <v>0</v>
      </c>
      <c r="F8807">
        <v>437</v>
      </c>
      <c r="G8807">
        <v>0</v>
      </c>
      <c r="H8807" t="s">
        <v>13723</v>
      </c>
      <c r="I8807">
        <v>9881</v>
      </c>
      <c r="J8807" t="e">
        <f>VLOOKUP(E8807,DSSpieler!A:B,2,FALSE)</f>
        <v>#N/A</v>
      </c>
    </row>
    <row r="8808" spans="1:10" x14ac:dyDescent="0.25">
      <c r="A8808">
        <v>9882</v>
      </c>
      <c r="B8808" t="s">
        <v>33732</v>
      </c>
      <c r="C8808">
        <v>492</v>
      </c>
      <c r="D8808">
        <v>413</v>
      </c>
      <c r="E8808">
        <v>1577102485</v>
      </c>
      <c r="F8808">
        <v>5525</v>
      </c>
      <c r="G8808">
        <v>0</v>
      </c>
      <c r="H8808" t="s">
        <v>13724</v>
      </c>
      <c r="I8808">
        <v>9882</v>
      </c>
      <c r="J8808" t="str">
        <f>VLOOKUP(E8808,DSSpieler!A:B,2,FALSE)</f>
        <v>sirisambuca</v>
      </c>
    </row>
    <row r="8809" spans="1:10" x14ac:dyDescent="0.25">
      <c r="A8809">
        <v>9883</v>
      </c>
      <c r="B8809" t="s">
        <v>33733</v>
      </c>
      <c r="C8809">
        <v>471</v>
      </c>
      <c r="D8809">
        <v>439</v>
      </c>
      <c r="E8809">
        <v>8979093</v>
      </c>
      <c r="F8809">
        <v>5755</v>
      </c>
      <c r="G8809">
        <v>0</v>
      </c>
      <c r="H8809" t="s">
        <v>13725</v>
      </c>
      <c r="I8809">
        <v>9883</v>
      </c>
      <c r="J8809" t="str">
        <f>VLOOKUP(E8809,DSSpieler!A:B,2,FALSE)</f>
        <v>colderaser</v>
      </c>
    </row>
    <row r="8810" spans="1:10" x14ac:dyDescent="0.25">
      <c r="A8810">
        <v>9884</v>
      </c>
      <c r="B8810" t="s">
        <v>33734</v>
      </c>
      <c r="C8810">
        <v>572</v>
      </c>
      <c r="D8810">
        <v>428</v>
      </c>
      <c r="E8810">
        <v>2148643</v>
      </c>
      <c r="F8810">
        <v>6952</v>
      </c>
      <c r="G8810">
        <v>0</v>
      </c>
      <c r="H8810" t="s">
        <v>13726</v>
      </c>
      <c r="I8810">
        <v>9884</v>
      </c>
      <c r="J8810" t="str">
        <f>VLOOKUP(E8810,DSSpieler!A:B,2,FALSE)</f>
        <v>Der Ruhige60</v>
      </c>
    </row>
    <row r="8811" spans="1:10" x14ac:dyDescent="0.25">
      <c r="A8811">
        <v>9885</v>
      </c>
      <c r="B8811" t="s">
        <v>531</v>
      </c>
      <c r="C8811">
        <v>417</v>
      </c>
      <c r="D8811">
        <v>449</v>
      </c>
      <c r="E8811">
        <v>9886597</v>
      </c>
      <c r="F8811">
        <v>1686</v>
      </c>
      <c r="G8811">
        <v>0</v>
      </c>
      <c r="H8811" t="s">
        <v>13727</v>
      </c>
      <c r="I8811">
        <v>9885</v>
      </c>
      <c r="J8811" t="str">
        <f>VLOOKUP(E8811,DSSpieler!A:B,2,FALSE)</f>
        <v>derbozz98</v>
      </c>
    </row>
    <row r="8812" spans="1:10" x14ac:dyDescent="0.25">
      <c r="A8812">
        <v>9886</v>
      </c>
      <c r="B8812" t="s">
        <v>531</v>
      </c>
      <c r="C8812">
        <v>562</v>
      </c>
      <c r="D8812">
        <v>416</v>
      </c>
      <c r="E8812">
        <v>0</v>
      </c>
      <c r="F8812">
        <v>713</v>
      </c>
      <c r="G8812">
        <v>0</v>
      </c>
      <c r="H8812" t="s">
        <v>13728</v>
      </c>
      <c r="I8812">
        <v>9886</v>
      </c>
      <c r="J8812" t="e">
        <f>VLOOKUP(E8812,DSSpieler!A:B,2,FALSE)</f>
        <v>#N/A</v>
      </c>
    </row>
    <row r="8813" spans="1:10" x14ac:dyDescent="0.25">
      <c r="A8813">
        <v>9887</v>
      </c>
      <c r="B8813" t="s">
        <v>1846</v>
      </c>
      <c r="C8813">
        <v>537</v>
      </c>
      <c r="D8813">
        <v>402</v>
      </c>
      <c r="E8813">
        <v>9380418</v>
      </c>
      <c r="F8813">
        <v>5854</v>
      </c>
      <c r="G8813">
        <v>0</v>
      </c>
      <c r="H8813" t="s">
        <v>13729</v>
      </c>
      <c r="I8813">
        <v>9887</v>
      </c>
      <c r="J8813" t="str">
        <f>VLOOKUP(E8813,DSSpieler!A:B,2,FALSE)</f>
        <v>Madafiii</v>
      </c>
    </row>
    <row r="8814" spans="1:10" x14ac:dyDescent="0.25">
      <c r="A8814">
        <v>9888</v>
      </c>
      <c r="B8814" t="s">
        <v>1847</v>
      </c>
      <c r="C8814">
        <v>545</v>
      </c>
      <c r="D8814">
        <v>399</v>
      </c>
      <c r="E8814">
        <v>1576732715</v>
      </c>
      <c r="F8814">
        <v>1762</v>
      </c>
      <c r="G8814">
        <v>0</v>
      </c>
      <c r="H8814" t="s">
        <v>13730</v>
      </c>
      <c r="I8814">
        <v>9888</v>
      </c>
      <c r="J8814" t="str">
        <f>VLOOKUP(E8814,DSSpieler!A:B,2,FALSE)</f>
        <v>lauridrum</v>
      </c>
    </row>
    <row r="8815" spans="1:10" x14ac:dyDescent="0.25">
      <c r="A8815">
        <v>9889</v>
      </c>
      <c r="B8815" t="s">
        <v>1848</v>
      </c>
      <c r="C8815">
        <v>414</v>
      </c>
      <c r="D8815">
        <v>573</v>
      </c>
      <c r="E8815">
        <v>1577180610</v>
      </c>
      <c r="F8815">
        <v>4770</v>
      </c>
      <c r="G8815">
        <v>0</v>
      </c>
      <c r="H8815" t="s">
        <v>13731</v>
      </c>
      <c r="I8815">
        <v>9889</v>
      </c>
      <c r="J8815" t="str">
        <f>VLOOKUP(E8815,DSSpieler!A:B,2,FALSE)</f>
        <v>Mister Mou</v>
      </c>
    </row>
    <row r="8816" spans="1:10" x14ac:dyDescent="0.25">
      <c r="A8816">
        <v>9890</v>
      </c>
      <c r="B8816" t="s">
        <v>531</v>
      </c>
      <c r="C8816">
        <v>570</v>
      </c>
      <c r="D8816">
        <v>565</v>
      </c>
      <c r="E8816">
        <v>0</v>
      </c>
      <c r="F8816">
        <v>435</v>
      </c>
      <c r="G8816">
        <v>0</v>
      </c>
      <c r="H8816" t="s">
        <v>13732</v>
      </c>
      <c r="I8816">
        <v>9890</v>
      </c>
      <c r="J8816" t="e">
        <f>VLOOKUP(E8816,DSSpieler!A:B,2,FALSE)</f>
        <v>#N/A</v>
      </c>
    </row>
    <row r="8817" spans="1:10" x14ac:dyDescent="0.25">
      <c r="A8817">
        <v>9892</v>
      </c>
      <c r="B8817" t="s">
        <v>531</v>
      </c>
      <c r="C8817">
        <v>594</v>
      </c>
      <c r="D8817">
        <v>519</v>
      </c>
      <c r="E8817">
        <v>1577141045</v>
      </c>
      <c r="F8817">
        <v>244</v>
      </c>
      <c r="G8817">
        <v>0</v>
      </c>
      <c r="H8817" t="s">
        <v>13733</v>
      </c>
      <c r="I8817">
        <v>9892</v>
      </c>
      <c r="J8817" t="str">
        <f>VLOOKUP(E8817,DSSpieler!A:B,2,FALSE)</f>
        <v>HannesDe</v>
      </c>
    </row>
    <row r="8818" spans="1:10" x14ac:dyDescent="0.25">
      <c r="A8818">
        <v>9893</v>
      </c>
      <c r="B8818" t="s">
        <v>33735</v>
      </c>
      <c r="C8818">
        <v>532</v>
      </c>
      <c r="D8818">
        <v>593</v>
      </c>
      <c r="E8818">
        <v>1576996165</v>
      </c>
      <c r="F8818">
        <v>6202</v>
      </c>
      <c r="G8818">
        <v>0</v>
      </c>
      <c r="H8818" t="s">
        <v>13734</v>
      </c>
      <c r="I8818">
        <v>9893</v>
      </c>
      <c r="J8818" t="str">
        <f>VLOOKUP(E8818,DSSpieler!A:B,2,FALSE)</f>
        <v>jannik1234</v>
      </c>
    </row>
    <row r="8819" spans="1:10" x14ac:dyDescent="0.25">
      <c r="A8819">
        <v>9894</v>
      </c>
      <c r="B8819" t="s">
        <v>1849</v>
      </c>
      <c r="C8819">
        <v>530</v>
      </c>
      <c r="D8819">
        <v>398</v>
      </c>
      <c r="E8819">
        <v>1576123109</v>
      </c>
      <c r="F8819">
        <v>7989</v>
      </c>
      <c r="G8819">
        <v>0</v>
      </c>
      <c r="H8819" t="s">
        <v>13735</v>
      </c>
      <c r="I8819">
        <v>9894</v>
      </c>
      <c r="J8819" t="str">
        <f>VLOOKUP(E8819,DSSpieler!A:B,2,FALSE)</f>
        <v>Fantastic Four</v>
      </c>
    </row>
    <row r="8820" spans="1:10" x14ac:dyDescent="0.25">
      <c r="A8820">
        <v>9895</v>
      </c>
      <c r="B8820" t="s">
        <v>531</v>
      </c>
      <c r="C8820">
        <v>536</v>
      </c>
      <c r="D8820">
        <v>587</v>
      </c>
      <c r="E8820">
        <v>0</v>
      </c>
      <c r="F8820">
        <v>310</v>
      </c>
      <c r="G8820">
        <v>0</v>
      </c>
      <c r="H8820" t="s">
        <v>13736</v>
      </c>
      <c r="I8820">
        <v>9895</v>
      </c>
      <c r="J8820" t="e">
        <f>VLOOKUP(E8820,DSSpieler!A:B,2,FALSE)</f>
        <v>#N/A</v>
      </c>
    </row>
    <row r="8821" spans="1:10" x14ac:dyDescent="0.25">
      <c r="A8821">
        <v>9896</v>
      </c>
      <c r="B8821" t="s">
        <v>1850</v>
      </c>
      <c r="C8821">
        <v>514</v>
      </c>
      <c r="D8821">
        <v>404</v>
      </c>
      <c r="E8821">
        <v>1804538</v>
      </c>
      <c r="F8821">
        <v>830</v>
      </c>
      <c r="G8821">
        <v>0</v>
      </c>
      <c r="H8821" t="s">
        <v>13737</v>
      </c>
      <c r="I8821">
        <v>9896</v>
      </c>
      <c r="J8821" t="str">
        <f>VLOOKUP(E8821,DSSpieler!A:B,2,FALSE)</f>
        <v>Machinedramon</v>
      </c>
    </row>
    <row r="8822" spans="1:10" x14ac:dyDescent="0.25">
      <c r="A8822">
        <v>9897</v>
      </c>
      <c r="B8822">
        <v>1</v>
      </c>
      <c r="C8822">
        <v>427</v>
      </c>
      <c r="D8822">
        <v>540</v>
      </c>
      <c r="E8822">
        <v>8227539</v>
      </c>
      <c r="F8822">
        <v>8219</v>
      </c>
      <c r="G8822">
        <v>0</v>
      </c>
      <c r="H8822" t="s">
        <v>13738</v>
      </c>
      <c r="I8822">
        <v>9897</v>
      </c>
      <c r="J8822" t="str">
        <f>VLOOKUP(E8822,DSSpieler!A:B,2,FALSE)</f>
        <v>mathis996</v>
      </c>
    </row>
    <row r="8823" spans="1:10" x14ac:dyDescent="0.25">
      <c r="A8823">
        <v>9898</v>
      </c>
      <c r="B8823" t="s">
        <v>531</v>
      </c>
      <c r="C8823">
        <v>504</v>
      </c>
      <c r="D8823">
        <v>599</v>
      </c>
      <c r="E8823">
        <v>0</v>
      </c>
      <c r="F8823">
        <v>367</v>
      </c>
      <c r="G8823">
        <v>0</v>
      </c>
      <c r="H8823" t="s">
        <v>13739</v>
      </c>
      <c r="I8823">
        <v>9898</v>
      </c>
      <c r="J8823" t="e">
        <f>VLOOKUP(E8823,DSSpieler!A:B,2,FALSE)</f>
        <v>#N/A</v>
      </c>
    </row>
    <row r="8824" spans="1:10" x14ac:dyDescent="0.25">
      <c r="A8824">
        <v>9899</v>
      </c>
      <c r="B8824" t="s">
        <v>33736</v>
      </c>
      <c r="C8824">
        <v>410</v>
      </c>
      <c r="D8824">
        <v>562</v>
      </c>
      <c r="E8824">
        <v>1577190635</v>
      </c>
      <c r="F8824">
        <v>3782</v>
      </c>
      <c r="G8824">
        <v>0</v>
      </c>
      <c r="H8824" t="s">
        <v>13740</v>
      </c>
      <c r="I8824">
        <v>9899</v>
      </c>
      <c r="J8824" t="str">
        <f>VLOOKUP(E8824,DSSpieler!A:B,2,FALSE)</f>
        <v>Launga</v>
      </c>
    </row>
    <row r="8825" spans="1:10" x14ac:dyDescent="0.25">
      <c r="A8825">
        <v>9901</v>
      </c>
      <c r="B8825" t="s">
        <v>33385</v>
      </c>
      <c r="C8825">
        <v>406</v>
      </c>
      <c r="D8825">
        <v>485</v>
      </c>
      <c r="E8825">
        <v>1576780279</v>
      </c>
      <c r="F8825">
        <v>6094</v>
      </c>
      <c r="G8825">
        <v>0</v>
      </c>
      <c r="H8825" t="s">
        <v>13741</v>
      </c>
      <c r="I8825">
        <v>9901</v>
      </c>
      <c r="J8825" t="str">
        <f>VLOOKUP(E8825,DSSpieler!A:B,2,FALSE)</f>
        <v>krassegangster</v>
      </c>
    </row>
    <row r="8826" spans="1:10" x14ac:dyDescent="0.25">
      <c r="A8826">
        <v>9902</v>
      </c>
      <c r="B8826" t="s">
        <v>1851</v>
      </c>
      <c r="C8826">
        <v>479</v>
      </c>
      <c r="D8826">
        <v>466</v>
      </c>
      <c r="E8826">
        <v>1576861081</v>
      </c>
      <c r="F8826">
        <v>2282</v>
      </c>
      <c r="G8826">
        <v>0</v>
      </c>
      <c r="H8826" t="s">
        <v>13742</v>
      </c>
      <c r="I8826">
        <v>9902</v>
      </c>
      <c r="J8826" t="str">
        <f>VLOOKUP(E8826,DSSpieler!A:B,2,FALSE)</f>
        <v>Eisblumme1996</v>
      </c>
    </row>
    <row r="8827" spans="1:10" x14ac:dyDescent="0.25">
      <c r="A8827">
        <v>9903</v>
      </c>
      <c r="B8827" t="s">
        <v>33737</v>
      </c>
      <c r="C8827">
        <v>584</v>
      </c>
      <c r="D8827">
        <v>457</v>
      </c>
      <c r="E8827">
        <v>1577198140</v>
      </c>
      <c r="F8827">
        <v>5202</v>
      </c>
      <c r="G8827">
        <v>0</v>
      </c>
      <c r="H8827" t="s">
        <v>13743</v>
      </c>
      <c r="I8827">
        <v>9903</v>
      </c>
      <c r="J8827" t="str">
        <f>VLOOKUP(E8827,DSSpieler!A:B,2,FALSE)</f>
        <v>FuchsTrix</v>
      </c>
    </row>
    <row r="8828" spans="1:10" x14ac:dyDescent="0.25">
      <c r="A8828">
        <v>9904</v>
      </c>
      <c r="B8828" t="s">
        <v>33738</v>
      </c>
      <c r="C8828">
        <v>462</v>
      </c>
      <c r="D8828">
        <v>427</v>
      </c>
      <c r="E8828">
        <v>1577188810</v>
      </c>
      <c r="F8828">
        <v>3249</v>
      </c>
      <c r="G8828">
        <v>0</v>
      </c>
      <c r="H8828" t="s">
        <v>13744</v>
      </c>
      <c r="I8828">
        <v>9904</v>
      </c>
      <c r="J8828" t="str">
        <f>VLOOKUP(E8828,DSSpieler!A:B,2,FALSE)</f>
        <v>Taussie</v>
      </c>
    </row>
    <row r="8829" spans="1:10" x14ac:dyDescent="0.25">
      <c r="A8829">
        <v>9905</v>
      </c>
      <c r="B8829" t="s">
        <v>33739</v>
      </c>
      <c r="C8829">
        <v>580</v>
      </c>
      <c r="D8829">
        <v>459</v>
      </c>
      <c r="E8829">
        <v>1577185442</v>
      </c>
      <c r="F8829">
        <v>7104</v>
      </c>
      <c r="G8829">
        <v>0</v>
      </c>
      <c r="H8829" t="s">
        <v>13745</v>
      </c>
      <c r="I8829">
        <v>9905</v>
      </c>
      <c r="J8829" t="str">
        <f>VLOOKUP(E8829,DSSpieler!A:B,2,FALSE)</f>
        <v>phagozyt</v>
      </c>
    </row>
    <row r="8830" spans="1:10" x14ac:dyDescent="0.25">
      <c r="A8830">
        <v>9906</v>
      </c>
      <c r="B8830" t="s">
        <v>1852</v>
      </c>
      <c r="C8830">
        <v>538</v>
      </c>
      <c r="D8830">
        <v>533</v>
      </c>
      <c r="E8830">
        <v>205615</v>
      </c>
      <c r="F8830">
        <v>4898</v>
      </c>
      <c r="G8830">
        <v>0</v>
      </c>
      <c r="H8830" t="s">
        <v>13746</v>
      </c>
      <c r="I8830">
        <v>9906</v>
      </c>
      <c r="J8830" t="str">
        <f>VLOOKUP(E8830,DSSpieler!A:B,2,FALSE)</f>
        <v>hubeno</v>
      </c>
    </row>
    <row r="8831" spans="1:10" x14ac:dyDescent="0.25">
      <c r="A8831">
        <v>9907</v>
      </c>
      <c r="B8831" t="s">
        <v>531</v>
      </c>
      <c r="C8831">
        <v>476</v>
      </c>
      <c r="D8831">
        <v>409</v>
      </c>
      <c r="E8831">
        <v>0</v>
      </c>
      <c r="F8831">
        <v>213</v>
      </c>
      <c r="G8831">
        <v>0</v>
      </c>
      <c r="H8831" t="s">
        <v>13747</v>
      </c>
      <c r="I8831">
        <v>9907</v>
      </c>
      <c r="J8831" t="e">
        <f>VLOOKUP(E8831,DSSpieler!A:B,2,FALSE)</f>
        <v>#N/A</v>
      </c>
    </row>
    <row r="8832" spans="1:10" x14ac:dyDescent="0.25">
      <c r="A8832">
        <v>9908</v>
      </c>
      <c r="B8832" t="s">
        <v>33740</v>
      </c>
      <c r="C8832">
        <v>495</v>
      </c>
      <c r="D8832">
        <v>407</v>
      </c>
      <c r="E8832">
        <v>1577186850</v>
      </c>
      <c r="F8832">
        <v>3456</v>
      </c>
      <c r="G8832">
        <v>0</v>
      </c>
      <c r="H8832" t="s">
        <v>13748</v>
      </c>
      <c r="I8832">
        <v>9908</v>
      </c>
      <c r="J8832" t="str">
        <f>VLOOKUP(E8832,DSSpieler!A:B,2,FALSE)</f>
        <v>esistokay</v>
      </c>
    </row>
    <row r="8833" spans="1:10" x14ac:dyDescent="0.25">
      <c r="A8833">
        <v>9911</v>
      </c>
      <c r="B8833" t="s">
        <v>531</v>
      </c>
      <c r="C8833">
        <v>565</v>
      </c>
      <c r="D8833">
        <v>427</v>
      </c>
      <c r="E8833">
        <v>0</v>
      </c>
      <c r="F8833">
        <v>249</v>
      </c>
      <c r="G8833">
        <v>0</v>
      </c>
      <c r="H8833" t="s">
        <v>13749</v>
      </c>
      <c r="I8833">
        <v>9911</v>
      </c>
      <c r="J8833" t="e">
        <f>VLOOKUP(E8833,DSSpieler!A:B,2,FALSE)</f>
        <v>#N/A</v>
      </c>
    </row>
    <row r="8834" spans="1:10" x14ac:dyDescent="0.25">
      <c r="A8834">
        <v>9912</v>
      </c>
      <c r="B8834" t="s">
        <v>1853</v>
      </c>
      <c r="C8834">
        <v>513</v>
      </c>
      <c r="D8834">
        <v>597</v>
      </c>
      <c r="E8834">
        <v>1577114766</v>
      </c>
      <c r="F8834">
        <v>3449</v>
      </c>
      <c r="G8834">
        <v>0</v>
      </c>
      <c r="H8834" t="s">
        <v>13750</v>
      </c>
      <c r="I8834">
        <v>9912</v>
      </c>
      <c r="J8834" t="str">
        <f>VLOOKUP(E8834,DSSpieler!A:B,2,FALSE)</f>
        <v>save.maschine</v>
      </c>
    </row>
    <row r="8835" spans="1:10" x14ac:dyDescent="0.25">
      <c r="A8835">
        <v>9913</v>
      </c>
      <c r="B8835" t="s">
        <v>780</v>
      </c>
      <c r="C8835">
        <v>607</v>
      </c>
      <c r="D8835">
        <v>524</v>
      </c>
      <c r="E8835">
        <v>1576341416</v>
      </c>
      <c r="F8835">
        <v>5259</v>
      </c>
      <c r="G8835">
        <v>0</v>
      </c>
      <c r="H8835" t="s">
        <v>13751</v>
      </c>
      <c r="I8835">
        <v>9913</v>
      </c>
      <c r="J8835" t="str">
        <f>VLOOKUP(E8835,DSSpieler!A:B,2,FALSE)</f>
        <v>Zahltag4u</v>
      </c>
    </row>
    <row r="8836" spans="1:10" x14ac:dyDescent="0.25">
      <c r="A8836">
        <v>9915</v>
      </c>
      <c r="B8836" t="s">
        <v>531</v>
      </c>
      <c r="C8836">
        <v>404</v>
      </c>
      <c r="D8836">
        <v>517</v>
      </c>
      <c r="E8836">
        <v>0</v>
      </c>
      <c r="F8836">
        <v>497</v>
      </c>
      <c r="G8836">
        <v>0</v>
      </c>
      <c r="H8836" t="s">
        <v>13752</v>
      </c>
      <c r="I8836">
        <v>9915</v>
      </c>
      <c r="J8836" t="e">
        <f>VLOOKUP(E8836,DSSpieler!A:B,2,FALSE)</f>
        <v>#N/A</v>
      </c>
    </row>
    <row r="8837" spans="1:10" x14ac:dyDescent="0.25">
      <c r="A8837">
        <v>9916</v>
      </c>
      <c r="B8837" t="s">
        <v>531</v>
      </c>
      <c r="C8837">
        <v>420</v>
      </c>
      <c r="D8837">
        <v>442</v>
      </c>
      <c r="E8837">
        <v>0</v>
      </c>
      <c r="F8837">
        <v>301</v>
      </c>
      <c r="G8837">
        <v>0</v>
      </c>
      <c r="H8837" t="s">
        <v>13753</v>
      </c>
      <c r="I8837">
        <v>9916</v>
      </c>
      <c r="J8837" t="e">
        <f>VLOOKUP(E8837,DSSpieler!A:B,2,FALSE)</f>
        <v>#N/A</v>
      </c>
    </row>
    <row r="8838" spans="1:10" x14ac:dyDescent="0.25">
      <c r="A8838">
        <v>9917</v>
      </c>
      <c r="B8838" t="s">
        <v>33741</v>
      </c>
      <c r="C8838">
        <v>406</v>
      </c>
      <c r="D8838">
        <v>479</v>
      </c>
      <c r="E8838">
        <v>10025340</v>
      </c>
      <c r="F8838">
        <v>5754</v>
      </c>
      <c r="G8838">
        <v>0</v>
      </c>
      <c r="H8838" t="s">
        <v>13754</v>
      </c>
      <c r="I8838">
        <v>9917</v>
      </c>
      <c r="J8838" t="str">
        <f>VLOOKUP(E8838,DSSpieler!A:B,2,FALSE)</f>
        <v>Bambus-Mensch</v>
      </c>
    </row>
    <row r="8839" spans="1:10" x14ac:dyDescent="0.25">
      <c r="A8839">
        <v>9918</v>
      </c>
      <c r="B8839" t="s">
        <v>531</v>
      </c>
      <c r="C8839">
        <v>521</v>
      </c>
      <c r="D8839">
        <v>562</v>
      </c>
      <c r="E8839">
        <v>0</v>
      </c>
      <c r="F8839">
        <v>287</v>
      </c>
      <c r="G8839">
        <v>0</v>
      </c>
      <c r="H8839" t="s">
        <v>13755</v>
      </c>
      <c r="I8839">
        <v>9918</v>
      </c>
      <c r="J8839" t="e">
        <f>VLOOKUP(E8839,DSSpieler!A:B,2,FALSE)</f>
        <v>#N/A</v>
      </c>
    </row>
    <row r="8840" spans="1:10" x14ac:dyDescent="0.25">
      <c r="A8840">
        <v>9919</v>
      </c>
      <c r="B8840" t="s">
        <v>1854</v>
      </c>
      <c r="C8840">
        <v>480</v>
      </c>
      <c r="D8840">
        <v>537</v>
      </c>
      <c r="E8840">
        <v>1577196742</v>
      </c>
      <c r="F8840">
        <v>4330</v>
      </c>
      <c r="G8840">
        <v>0</v>
      </c>
      <c r="H8840" t="s">
        <v>13756</v>
      </c>
      <c r="I8840">
        <v>9919</v>
      </c>
      <c r="J8840" t="str">
        <f>VLOOKUP(E8840,DSSpieler!A:B,2,FALSE)</f>
        <v>herzn</v>
      </c>
    </row>
    <row r="8841" spans="1:10" x14ac:dyDescent="0.25">
      <c r="A8841">
        <v>9920</v>
      </c>
      <c r="B8841" t="e">
        <f>-2-+SoOn+Assassin</f>
        <v>#NAME?</v>
      </c>
      <c r="C8841">
        <v>592</v>
      </c>
      <c r="D8841">
        <v>523</v>
      </c>
      <c r="E8841">
        <v>9518176</v>
      </c>
      <c r="F8841">
        <v>5934</v>
      </c>
      <c r="G8841">
        <v>0</v>
      </c>
      <c r="H8841" t="s">
        <v>13757</v>
      </c>
      <c r="I8841">
        <v>9920</v>
      </c>
      <c r="J8841" t="str">
        <f>VLOOKUP(E8841,DSSpieler!A:B,2,FALSE)</f>
        <v>Frowl</v>
      </c>
    </row>
    <row r="8842" spans="1:10" x14ac:dyDescent="0.25">
      <c r="A8842">
        <v>9921</v>
      </c>
      <c r="B8842" t="s">
        <v>531</v>
      </c>
      <c r="C8842">
        <v>405</v>
      </c>
      <c r="D8842">
        <v>528</v>
      </c>
      <c r="E8842">
        <v>0</v>
      </c>
      <c r="F8842">
        <v>389</v>
      </c>
      <c r="G8842">
        <v>0</v>
      </c>
      <c r="H8842" t="s">
        <v>13758</v>
      </c>
      <c r="I8842">
        <v>9921</v>
      </c>
      <c r="J8842" t="e">
        <f>VLOOKUP(E8842,DSSpieler!A:B,2,FALSE)</f>
        <v>#N/A</v>
      </c>
    </row>
    <row r="8843" spans="1:10" x14ac:dyDescent="0.25">
      <c r="A8843">
        <v>9922</v>
      </c>
      <c r="B8843" t="s">
        <v>1855</v>
      </c>
      <c r="C8843">
        <v>488</v>
      </c>
      <c r="D8843">
        <v>444</v>
      </c>
      <c r="E8843">
        <v>2286634</v>
      </c>
      <c r="F8843">
        <v>6789</v>
      </c>
      <c r="G8843">
        <v>0</v>
      </c>
      <c r="H8843" t="s">
        <v>13759</v>
      </c>
      <c r="I8843">
        <v>9922</v>
      </c>
      <c r="J8843" t="str">
        <f>VLOOKUP(E8843,DSSpieler!A:B,2,FALSE)</f>
        <v>Stinkbombe</v>
      </c>
    </row>
    <row r="8844" spans="1:10" x14ac:dyDescent="0.25">
      <c r="A8844">
        <v>9923</v>
      </c>
      <c r="B8844" t="s">
        <v>531</v>
      </c>
      <c r="C8844">
        <v>526</v>
      </c>
      <c r="D8844">
        <v>554</v>
      </c>
      <c r="E8844">
        <v>0</v>
      </c>
      <c r="F8844">
        <v>277</v>
      </c>
      <c r="G8844">
        <v>0</v>
      </c>
      <c r="H8844" t="s">
        <v>13760</v>
      </c>
      <c r="I8844">
        <v>9923</v>
      </c>
      <c r="J8844" t="e">
        <f>VLOOKUP(E8844,DSSpieler!A:B,2,FALSE)</f>
        <v>#N/A</v>
      </c>
    </row>
    <row r="8845" spans="1:10" x14ac:dyDescent="0.25">
      <c r="A8845">
        <v>9924</v>
      </c>
      <c r="B8845" t="s">
        <v>1856</v>
      </c>
      <c r="C8845">
        <v>597</v>
      </c>
      <c r="D8845">
        <v>481</v>
      </c>
      <c r="E8845">
        <v>1577186055</v>
      </c>
      <c r="F8845">
        <v>7493</v>
      </c>
      <c r="G8845">
        <v>0</v>
      </c>
      <c r="H8845" t="s">
        <v>13761</v>
      </c>
      <c r="I8845">
        <v>9924</v>
      </c>
      <c r="J8845" t="str">
        <f>VLOOKUP(E8845,DSSpieler!A:B,2,FALSE)</f>
        <v>Motueka</v>
      </c>
    </row>
    <row r="8846" spans="1:10" x14ac:dyDescent="0.25">
      <c r="A8846">
        <v>9925</v>
      </c>
      <c r="B8846" t="s">
        <v>33742</v>
      </c>
      <c r="C8846">
        <v>403</v>
      </c>
      <c r="D8846">
        <v>485</v>
      </c>
      <c r="E8846">
        <v>10025340</v>
      </c>
      <c r="F8846">
        <v>5946</v>
      </c>
      <c r="G8846">
        <v>0</v>
      </c>
      <c r="H8846" t="s">
        <v>13762</v>
      </c>
      <c r="I8846">
        <v>9925</v>
      </c>
      <c r="J8846" t="str">
        <f>VLOOKUP(E8846,DSSpieler!A:B,2,FALSE)</f>
        <v>Bambus-Mensch</v>
      </c>
    </row>
    <row r="8847" spans="1:10" x14ac:dyDescent="0.25">
      <c r="A8847">
        <v>9926</v>
      </c>
      <c r="B8847" t="s">
        <v>1857</v>
      </c>
      <c r="C8847">
        <v>426</v>
      </c>
      <c r="D8847">
        <v>560</v>
      </c>
      <c r="E8847">
        <v>1577198794</v>
      </c>
      <c r="F8847">
        <v>1554</v>
      </c>
      <c r="G8847">
        <v>0</v>
      </c>
      <c r="H8847" t="s">
        <v>13763</v>
      </c>
      <c r="I8847">
        <v>9926</v>
      </c>
      <c r="J8847" t="str">
        <f>VLOOKUP(E8847,DSSpieler!A:B,2,FALSE)</f>
        <v>Quambec</v>
      </c>
    </row>
    <row r="8848" spans="1:10" x14ac:dyDescent="0.25">
      <c r="A8848">
        <v>9927</v>
      </c>
      <c r="B8848" t="s">
        <v>531</v>
      </c>
      <c r="C8848">
        <v>411</v>
      </c>
      <c r="D8848">
        <v>543</v>
      </c>
      <c r="E8848">
        <v>0</v>
      </c>
      <c r="F8848">
        <v>382</v>
      </c>
      <c r="G8848">
        <v>0</v>
      </c>
      <c r="H8848" t="s">
        <v>13764</v>
      </c>
      <c r="I8848">
        <v>9927</v>
      </c>
      <c r="J8848" t="e">
        <f>VLOOKUP(E8848,DSSpieler!A:B,2,FALSE)</f>
        <v>#N/A</v>
      </c>
    </row>
    <row r="8849" spans="1:10" x14ac:dyDescent="0.25">
      <c r="A8849">
        <v>9928</v>
      </c>
      <c r="B8849" t="s">
        <v>531</v>
      </c>
      <c r="C8849">
        <v>589</v>
      </c>
      <c r="D8849">
        <v>535</v>
      </c>
      <c r="E8849">
        <v>0</v>
      </c>
      <c r="F8849">
        <v>712</v>
      </c>
      <c r="G8849">
        <v>0</v>
      </c>
      <c r="H8849" t="s">
        <v>13765</v>
      </c>
      <c r="I8849">
        <v>9928</v>
      </c>
      <c r="J8849" t="e">
        <f>VLOOKUP(E8849,DSSpieler!A:B,2,FALSE)</f>
        <v>#N/A</v>
      </c>
    </row>
    <row r="8850" spans="1:10" x14ac:dyDescent="0.25">
      <c r="A8850">
        <v>9930</v>
      </c>
      <c r="B8850" t="s">
        <v>33743</v>
      </c>
      <c r="C8850">
        <v>420</v>
      </c>
      <c r="D8850">
        <v>564</v>
      </c>
      <c r="E8850">
        <v>1577198306</v>
      </c>
      <c r="F8850">
        <v>4404</v>
      </c>
      <c r="G8850">
        <v>0</v>
      </c>
      <c r="H8850" t="s">
        <v>13766</v>
      </c>
      <c r="I8850">
        <v>9930</v>
      </c>
      <c r="J8850" t="str">
        <f>VLOOKUP(E8850,DSSpieler!A:B,2,FALSE)</f>
        <v>HorseBatteryStaple</v>
      </c>
    </row>
    <row r="8851" spans="1:10" x14ac:dyDescent="0.25">
      <c r="A8851">
        <v>9932</v>
      </c>
      <c r="B8851" t="s">
        <v>531</v>
      </c>
      <c r="C8851">
        <v>597</v>
      </c>
      <c r="D8851">
        <v>497</v>
      </c>
      <c r="E8851">
        <v>0</v>
      </c>
      <c r="F8851">
        <v>363</v>
      </c>
      <c r="G8851">
        <v>0</v>
      </c>
      <c r="H8851" t="s">
        <v>13767</v>
      </c>
      <c r="I8851">
        <v>9932</v>
      </c>
      <c r="J8851" t="e">
        <f>VLOOKUP(E8851,DSSpieler!A:B,2,FALSE)</f>
        <v>#N/A</v>
      </c>
    </row>
    <row r="8852" spans="1:10" x14ac:dyDescent="0.25">
      <c r="A8852">
        <v>9933</v>
      </c>
      <c r="B8852" t="s">
        <v>1858</v>
      </c>
      <c r="C8852">
        <v>470</v>
      </c>
      <c r="D8852">
        <v>594</v>
      </c>
      <c r="E8852">
        <v>1577182538</v>
      </c>
      <c r="F8852">
        <v>6424</v>
      </c>
      <c r="G8852">
        <v>0</v>
      </c>
      <c r="H8852" t="s">
        <v>13768</v>
      </c>
      <c r="I8852">
        <v>9933</v>
      </c>
      <c r="J8852" t="str">
        <f>VLOOKUP(E8852,DSSpieler!A:B,2,FALSE)</f>
        <v>TheYurek</v>
      </c>
    </row>
    <row r="8853" spans="1:10" x14ac:dyDescent="0.25">
      <c r="A8853">
        <v>9934</v>
      </c>
      <c r="B8853" t="s">
        <v>531</v>
      </c>
      <c r="C8853">
        <v>596</v>
      </c>
      <c r="D8853">
        <v>482</v>
      </c>
      <c r="E8853">
        <v>0</v>
      </c>
      <c r="F8853">
        <v>1210</v>
      </c>
      <c r="G8853">
        <v>0</v>
      </c>
      <c r="H8853" t="s">
        <v>13769</v>
      </c>
      <c r="I8853">
        <v>9934</v>
      </c>
      <c r="J8853" t="e">
        <f>VLOOKUP(E8853,DSSpieler!A:B,2,FALSE)</f>
        <v>#N/A</v>
      </c>
    </row>
    <row r="8854" spans="1:10" x14ac:dyDescent="0.25">
      <c r="A8854">
        <v>9935</v>
      </c>
      <c r="B8854" t="s">
        <v>710</v>
      </c>
      <c r="C8854">
        <v>578</v>
      </c>
      <c r="D8854">
        <v>438</v>
      </c>
      <c r="E8854">
        <v>1576947159</v>
      </c>
      <c r="F8854">
        <v>3804</v>
      </c>
      <c r="G8854">
        <v>0</v>
      </c>
      <c r="H8854" t="s">
        <v>13770</v>
      </c>
      <c r="I8854">
        <v>9935</v>
      </c>
      <c r="J8854" t="str">
        <f>VLOOKUP(E8854,DSSpieler!A:B,2,FALSE)</f>
        <v>TodescooI</v>
      </c>
    </row>
    <row r="8855" spans="1:10" x14ac:dyDescent="0.25">
      <c r="A8855">
        <v>9936</v>
      </c>
      <c r="B8855" t="s">
        <v>531</v>
      </c>
      <c r="C8855">
        <v>588</v>
      </c>
      <c r="D8855">
        <v>541</v>
      </c>
      <c r="E8855">
        <v>0</v>
      </c>
      <c r="F8855">
        <v>243</v>
      </c>
      <c r="G8855">
        <v>0</v>
      </c>
      <c r="H8855" t="s">
        <v>13771</v>
      </c>
      <c r="I8855">
        <v>9936</v>
      </c>
      <c r="J8855" t="e">
        <f>VLOOKUP(E8855,DSSpieler!A:B,2,FALSE)</f>
        <v>#N/A</v>
      </c>
    </row>
    <row r="8856" spans="1:10" x14ac:dyDescent="0.25">
      <c r="A8856">
        <v>9939</v>
      </c>
      <c r="B8856" t="s">
        <v>531</v>
      </c>
      <c r="C8856">
        <v>495</v>
      </c>
      <c r="D8856">
        <v>403</v>
      </c>
      <c r="E8856">
        <v>0</v>
      </c>
      <c r="F8856">
        <v>386</v>
      </c>
      <c r="G8856">
        <v>0</v>
      </c>
      <c r="H8856" t="s">
        <v>13772</v>
      </c>
      <c r="I8856">
        <v>9939</v>
      </c>
      <c r="J8856" t="e">
        <f>VLOOKUP(E8856,DSSpieler!A:B,2,FALSE)</f>
        <v>#N/A</v>
      </c>
    </row>
    <row r="8857" spans="1:10" x14ac:dyDescent="0.25">
      <c r="A8857">
        <v>9940</v>
      </c>
      <c r="B8857" t="s">
        <v>1859</v>
      </c>
      <c r="C8857">
        <v>604</v>
      </c>
      <c r="D8857">
        <v>480</v>
      </c>
      <c r="E8857">
        <v>1577195887</v>
      </c>
      <c r="F8857">
        <v>2781</v>
      </c>
      <c r="G8857">
        <v>0</v>
      </c>
      <c r="H8857" t="s">
        <v>13773</v>
      </c>
      <c r="I8857">
        <v>9940</v>
      </c>
      <c r="J8857" t="str">
        <f>VLOOKUP(E8857,DSSpieler!A:B,2,FALSE)</f>
        <v>schokowoelkchen</v>
      </c>
    </row>
    <row r="8858" spans="1:10" x14ac:dyDescent="0.25">
      <c r="A8858">
        <v>9943</v>
      </c>
      <c r="B8858" t="s">
        <v>30816</v>
      </c>
      <c r="C8858">
        <v>586</v>
      </c>
      <c r="D8858">
        <v>514</v>
      </c>
      <c r="E8858">
        <v>1577180067</v>
      </c>
      <c r="F8858">
        <v>4355</v>
      </c>
      <c r="G8858">
        <v>0</v>
      </c>
      <c r="H8858" t="s">
        <v>13774</v>
      </c>
      <c r="I8858">
        <v>9943</v>
      </c>
      <c r="J8858" t="str">
        <f>VLOOKUP(E8858,DSSpieler!A:B,2,FALSE)</f>
        <v>T-jag</v>
      </c>
    </row>
    <row r="8859" spans="1:10" x14ac:dyDescent="0.25">
      <c r="A8859">
        <v>9945</v>
      </c>
      <c r="B8859" t="s">
        <v>33744</v>
      </c>
      <c r="C8859">
        <v>561</v>
      </c>
      <c r="D8859">
        <v>522</v>
      </c>
      <c r="E8859">
        <v>1576926576</v>
      </c>
      <c r="F8859">
        <v>4676</v>
      </c>
      <c r="G8859">
        <v>0</v>
      </c>
      <c r="H8859" t="s">
        <v>13775</v>
      </c>
      <c r="I8859">
        <v>9945</v>
      </c>
      <c r="J8859" t="str">
        <f>VLOOKUP(E8859,DSSpieler!A:B,2,FALSE)</f>
        <v>Munin*</v>
      </c>
    </row>
    <row r="8860" spans="1:10" x14ac:dyDescent="0.25">
      <c r="A8860">
        <v>9946</v>
      </c>
      <c r="B8860" t="s">
        <v>531</v>
      </c>
      <c r="C8860">
        <v>520</v>
      </c>
      <c r="D8860">
        <v>596</v>
      </c>
      <c r="E8860">
        <v>0</v>
      </c>
      <c r="F8860">
        <v>418</v>
      </c>
      <c r="G8860">
        <v>0</v>
      </c>
      <c r="H8860" t="s">
        <v>13776</v>
      </c>
      <c r="I8860">
        <v>9946</v>
      </c>
      <c r="J8860" t="e">
        <f>VLOOKUP(E8860,DSSpieler!A:B,2,FALSE)</f>
        <v>#N/A</v>
      </c>
    </row>
    <row r="8861" spans="1:10" x14ac:dyDescent="0.25">
      <c r="A8861">
        <v>9947</v>
      </c>
      <c r="B8861" t="s">
        <v>33745</v>
      </c>
      <c r="C8861">
        <v>509</v>
      </c>
      <c r="D8861">
        <v>548</v>
      </c>
      <c r="E8861">
        <v>1577171065</v>
      </c>
      <c r="F8861">
        <v>4844</v>
      </c>
      <c r="G8861">
        <v>0</v>
      </c>
      <c r="H8861" t="s">
        <v>13777</v>
      </c>
      <c r="I8861">
        <v>9947</v>
      </c>
      <c r="J8861" t="str">
        <f>VLOOKUP(E8861,DSSpieler!A:B,2,FALSE)</f>
        <v>Destonix</v>
      </c>
    </row>
    <row r="8862" spans="1:10" x14ac:dyDescent="0.25">
      <c r="A8862">
        <v>9948</v>
      </c>
      <c r="B8862" t="s">
        <v>1860</v>
      </c>
      <c r="C8862">
        <v>568</v>
      </c>
      <c r="D8862">
        <v>517</v>
      </c>
      <c r="E8862">
        <v>1577198298</v>
      </c>
      <c r="F8862">
        <v>6685</v>
      </c>
      <c r="G8862">
        <v>0</v>
      </c>
      <c r="H8862" t="s">
        <v>13778</v>
      </c>
      <c r="I8862">
        <v>9948</v>
      </c>
      <c r="J8862" t="str">
        <f>VLOOKUP(E8862,DSSpieler!A:B,2,FALSE)</f>
        <v>Coldbrew1</v>
      </c>
    </row>
    <row r="8863" spans="1:10" x14ac:dyDescent="0.25">
      <c r="A8863">
        <v>9949</v>
      </c>
      <c r="B8863" t="s">
        <v>531</v>
      </c>
      <c r="C8863">
        <v>578</v>
      </c>
      <c r="D8863">
        <v>443</v>
      </c>
      <c r="E8863">
        <v>0</v>
      </c>
      <c r="F8863">
        <v>194</v>
      </c>
      <c r="G8863">
        <v>0</v>
      </c>
      <c r="H8863" t="s">
        <v>13779</v>
      </c>
      <c r="I8863">
        <v>9949</v>
      </c>
      <c r="J8863" t="e">
        <f>VLOOKUP(E8863,DSSpieler!A:B,2,FALSE)</f>
        <v>#N/A</v>
      </c>
    </row>
    <row r="8864" spans="1:10" x14ac:dyDescent="0.25">
      <c r="A8864">
        <v>9950</v>
      </c>
      <c r="B8864" t="s">
        <v>780</v>
      </c>
      <c r="C8864">
        <v>598</v>
      </c>
      <c r="D8864">
        <v>513</v>
      </c>
      <c r="E8864">
        <v>1577195219</v>
      </c>
      <c r="F8864">
        <v>7703</v>
      </c>
      <c r="G8864">
        <v>0</v>
      </c>
      <c r="H8864" t="s">
        <v>13780</v>
      </c>
      <c r="I8864">
        <v>9950</v>
      </c>
      <c r="J8864" t="str">
        <f>VLOOKUP(E8864,DSSpieler!A:B,2,FALSE)</f>
        <v>Eric Cartman</v>
      </c>
    </row>
    <row r="8865" spans="1:10" x14ac:dyDescent="0.25">
      <c r="A8865">
        <v>9951</v>
      </c>
      <c r="B8865" t="s">
        <v>531</v>
      </c>
      <c r="C8865">
        <v>526</v>
      </c>
      <c r="D8865">
        <v>568</v>
      </c>
      <c r="E8865">
        <v>0</v>
      </c>
      <c r="F8865">
        <v>1241</v>
      </c>
      <c r="G8865">
        <v>0</v>
      </c>
      <c r="H8865" t="s">
        <v>13781</v>
      </c>
      <c r="I8865">
        <v>9951</v>
      </c>
      <c r="J8865" t="e">
        <f>VLOOKUP(E8865,DSSpieler!A:B,2,FALSE)</f>
        <v>#N/A</v>
      </c>
    </row>
    <row r="8866" spans="1:10" x14ac:dyDescent="0.25">
      <c r="A8866">
        <v>9952</v>
      </c>
      <c r="B8866" t="s">
        <v>531</v>
      </c>
      <c r="C8866">
        <v>595</v>
      </c>
      <c r="D8866">
        <v>479</v>
      </c>
      <c r="E8866">
        <v>0</v>
      </c>
      <c r="F8866">
        <v>214</v>
      </c>
      <c r="G8866">
        <v>0</v>
      </c>
      <c r="H8866" t="s">
        <v>13782</v>
      </c>
      <c r="I8866">
        <v>9952</v>
      </c>
      <c r="J8866" t="e">
        <f>VLOOKUP(E8866,DSSpieler!A:B,2,FALSE)</f>
        <v>#N/A</v>
      </c>
    </row>
    <row r="8867" spans="1:10" x14ac:dyDescent="0.25">
      <c r="A8867">
        <v>9953</v>
      </c>
      <c r="B8867" t="s">
        <v>996</v>
      </c>
      <c r="C8867">
        <v>520</v>
      </c>
      <c r="D8867">
        <v>585</v>
      </c>
      <c r="E8867">
        <v>1445693</v>
      </c>
      <c r="F8867">
        <v>5344</v>
      </c>
      <c r="G8867">
        <v>0</v>
      </c>
      <c r="H8867" t="s">
        <v>13783</v>
      </c>
      <c r="I8867">
        <v>9953</v>
      </c>
      <c r="J8867" t="str">
        <f>VLOOKUP(E8867,DSSpieler!A:B,2,FALSE)</f>
        <v>master jpm</v>
      </c>
    </row>
    <row r="8868" spans="1:10" x14ac:dyDescent="0.25">
      <c r="A8868">
        <v>9954</v>
      </c>
      <c r="B8868" t="s">
        <v>531</v>
      </c>
      <c r="C8868">
        <v>501</v>
      </c>
      <c r="D8868">
        <v>402</v>
      </c>
      <c r="E8868">
        <v>0</v>
      </c>
      <c r="F8868">
        <v>641</v>
      </c>
      <c r="G8868">
        <v>0</v>
      </c>
      <c r="H8868" t="s">
        <v>13784</v>
      </c>
      <c r="I8868">
        <v>9954</v>
      </c>
      <c r="J8868" t="e">
        <f>VLOOKUP(E8868,DSSpieler!A:B,2,FALSE)</f>
        <v>#N/A</v>
      </c>
    </row>
    <row r="8869" spans="1:10" x14ac:dyDescent="0.25">
      <c r="A8869">
        <v>9955</v>
      </c>
      <c r="B8869" t="s">
        <v>531</v>
      </c>
      <c r="C8869">
        <v>528</v>
      </c>
      <c r="D8869">
        <v>406</v>
      </c>
      <c r="E8869">
        <v>0</v>
      </c>
      <c r="F8869">
        <v>173</v>
      </c>
      <c r="G8869">
        <v>0</v>
      </c>
      <c r="H8869" t="s">
        <v>13785</v>
      </c>
      <c r="I8869">
        <v>9955</v>
      </c>
      <c r="J8869" t="e">
        <f>VLOOKUP(E8869,DSSpieler!A:B,2,FALSE)</f>
        <v>#N/A</v>
      </c>
    </row>
    <row r="8870" spans="1:10" x14ac:dyDescent="0.25">
      <c r="A8870">
        <v>9956</v>
      </c>
      <c r="B8870" t="s">
        <v>531</v>
      </c>
      <c r="C8870">
        <v>435</v>
      </c>
      <c r="D8870">
        <v>425</v>
      </c>
      <c r="E8870">
        <v>0</v>
      </c>
      <c r="F8870">
        <v>200</v>
      </c>
      <c r="G8870">
        <v>0</v>
      </c>
      <c r="H8870" t="s">
        <v>13786</v>
      </c>
      <c r="I8870">
        <v>9956</v>
      </c>
      <c r="J8870" t="e">
        <f>VLOOKUP(E8870,DSSpieler!A:B,2,FALSE)</f>
        <v>#N/A</v>
      </c>
    </row>
    <row r="8871" spans="1:10" x14ac:dyDescent="0.25">
      <c r="A8871">
        <v>9957</v>
      </c>
      <c r="B8871">
        <v>2</v>
      </c>
      <c r="C8871">
        <v>606</v>
      </c>
      <c r="D8871">
        <v>488</v>
      </c>
      <c r="E8871">
        <v>1576511583</v>
      </c>
      <c r="F8871">
        <v>1946</v>
      </c>
      <c r="G8871">
        <v>0</v>
      </c>
      <c r="H8871" t="s">
        <v>13787</v>
      </c>
      <c r="I8871">
        <v>9957</v>
      </c>
      <c r="J8871" t="str">
        <f>VLOOKUP(E8871,DSSpieler!A:B,2,FALSE)</f>
        <v>Schwachsinn1909</v>
      </c>
    </row>
    <row r="8872" spans="1:10" x14ac:dyDescent="0.25">
      <c r="A8872">
        <v>9958</v>
      </c>
      <c r="B8872" t="s">
        <v>33746</v>
      </c>
      <c r="C8872">
        <v>472</v>
      </c>
      <c r="D8872">
        <v>590</v>
      </c>
      <c r="E8872">
        <v>1576181692</v>
      </c>
      <c r="F8872">
        <v>3135</v>
      </c>
      <c r="G8872">
        <v>0</v>
      </c>
      <c r="H8872" t="s">
        <v>13788</v>
      </c>
      <c r="I8872">
        <v>9958</v>
      </c>
      <c r="J8872" t="str">
        <f>VLOOKUP(E8872,DSSpieler!A:B,2,FALSE)</f>
        <v>Branterra der Große</v>
      </c>
    </row>
    <row r="8873" spans="1:10" x14ac:dyDescent="0.25">
      <c r="A8873">
        <v>9961</v>
      </c>
      <c r="B8873" t="s">
        <v>1861</v>
      </c>
      <c r="C8873">
        <v>407</v>
      </c>
      <c r="D8873">
        <v>494</v>
      </c>
      <c r="E8873">
        <v>1577189115</v>
      </c>
      <c r="F8873">
        <v>7086</v>
      </c>
      <c r="G8873">
        <v>0</v>
      </c>
      <c r="H8873" t="s">
        <v>13789</v>
      </c>
      <c r="I8873">
        <v>9961</v>
      </c>
      <c r="J8873" t="str">
        <f>VLOOKUP(E8873,DSSpieler!A:B,2,FALSE)</f>
        <v>gorillax4</v>
      </c>
    </row>
    <row r="8874" spans="1:10" x14ac:dyDescent="0.25">
      <c r="A8874">
        <v>9962</v>
      </c>
      <c r="B8874" t="s">
        <v>531</v>
      </c>
      <c r="C8874">
        <v>518</v>
      </c>
      <c r="D8874">
        <v>595</v>
      </c>
      <c r="E8874">
        <v>0</v>
      </c>
      <c r="F8874">
        <v>185</v>
      </c>
      <c r="G8874">
        <v>0</v>
      </c>
      <c r="H8874" t="s">
        <v>13790</v>
      </c>
      <c r="I8874">
        <v>9962</v>
      </c>
      <c r="J8874" t="e">
        <f>VLOOKUP(E8874,DSSpieler!A:B,2,FALSE)</f>
        <v>#N/A</v>
      </c>
    </row>
    <row r="8875" spans="1:10" x14ac:dyDescent="0.25">
      <c r="A8875">
        <v>9963</v>
      </c>
      <c r="B8875" t="s">
        <v>531</v>
      </c>
      <c r="C8875">
        <v>441</v>
      </c>
      <c r="D8875">
        <v>577</v>
      </c>
      <c r="E8875">
        <v>0</v>
      </c>
      <c r="F8875">
        <v>243</v>
      </c>
      <c r="G8875">
        <v>0</v>
      </c>
      <c r="H8875" t="s">
        <v>13791</v>
      </c>
      <c r="I8875">
        <v>9963</v>
      </c>
      <c r="J8875" t="e">
        <f>VLOOKUP(E8875,DSSpieler!A:B,2,FALSE)</f>
        <v>#N/A</v>
      </c>
    </row>
    <row r="8876" spans="1:10" x14ac:dyDescent="0.25">
      <c r="A8876">
        <v>9964</v>
      </c>
      <c r="B8876" t="s">
        <v>33747</v>
      </c>
      <c r="C8876">
        <v>405</v>
      </c>
      <c r="D8876">
        <v>550</v>
      </c>
      <c r="E8876">
        <v>1577190635</v>
      </c>
      <c r="F8876">
        <v>5326</v>
      </c>
      <c r="G8876">
        <v>0</v>
      </c>
      <c r="H8876" t="s">
        <v>13792</v>
      </c>
      <c r="I8876">
        <v>9964</v>
      </c>
      <c r="J8876" t="str">
        <f>VLOOKUP(E8876,DSSpieler!A:B,2,FALSE)</f>
        <v>Launga</v>
      </c>
    </row>
    <row r="8877" spans="1:10" x14ac:dyDescent="0.25">
      <c r="A8877">
        <v>9965</v>
      </c>
      <c r="B8877" t="s">
        <v>531</v>
      </c>
      <c r="C8877">
        <v>571</v>
      </c>
      <c r="D8877">
        <v>569</v>
      </c>
      <c r="E8877">
        <v>0</v>
      </c>
      <c r="F8877">
        <v>318</v>
      </c>
      <c r="G8877">
        <v>0</v>
      </c>
      <c r="H8877" t="s">
        <v>13793</v>
      </c>
      <c r="I8877">
        <v>9965</v>
      </c>
      <c r="J8877" t="e">
        <f>VLOOKUP(E8877,DSSpieler!A:B,2,FALSE)</f>
        <v>#N/A</v>
      </c>
    </row>
    <row r="8878" spans="1:10" x14ac:dyDescent="0.25">
      <c r="A8878">
        <v>9966</v>
      </c>
      <c r="B8878" t="s">
        <v>531</v>
      </c>
      <c r="C8878">
        <v>569</v>
      </c>
      <c r="D8878">
        <v>431</v>
      </c>
      <c r="E8878">
        <v>0</v>
      </c>
      <c r="F8878">
        <v>268</v>
      </c>
      <c r="G8878">
        <v>0</v>
      </c>
      <c r="H8878" t="s">
        <v>13794</v>
      </c>
      <c r="I8878">
        <v>9966</v>
      </c>
      <c r="J8878" t="e">
        <f>VLOOKUP(E8878,DSSpieler!A:B,2,FALSE)</f>
        <v>#N/A</v>
      </c>
    </row>
    <row r="8879" spans="1:10" x14ac:dyDescent="0.25">
      <c r="A8879">
        <v>9967</v>
      </c>
      <c r="B8879" t="s">
        <v>33748</v>
      </c>
      <c r="C8879">
        <v>569</v>
      </c>
      <c r="D8879">
        <v>440</v>
      </c>
      <c r="E8879">
        <v>1577193871</v>
      </c>
      <c r="F8879">
        <v>2438</v>
      </c>
      <c r="G8879">
        <v>0</v>
      </c>
      <c r="H8879" t="s">
        <v>13795</v>
      </c>
      <c r="I8879">
        <v>9967</v>
      </c>
      <c r="J8879" t="str">
        <f>VLOOKUP(E8879,DSSpieler!A:B,2,FALSE)</f>
        <v>gmpwt</v>
      </c>
    </row>
    <row r="8880" spans="1:10" x14ac:dyDescent="0.25">
      <c r="A8880">
        <v>9968</v>
      </c>
      <c r="B8880" t="s">
        <v>531</v>
      </c>
      <c r="C8880">
        <v>500</v>
      </c>
      <c r="D8880">
        <v>401</v>
      </c>
      <c r="E8880">
        <v>0</v>
      </c>
      <c r="F8880">
        <v>226</v>
      </c>
      <c r="G8880">
        <v>0</v>
      </c>
      <c r="H8880" t="s">
        <v>13796</v>
      </c>
      <c r="I8880">
        <v>9968</v>
      </c>
      <c r="J8880" t="e">
        <f>VLOOKUP(E8880,DSSpieler!A:B,2,FALSE)</f>
        <v>#N/A</v>
      </c>
    </row>
    <row r="8881" spans="1:10" x14ac:dyDescent="0.25">
      <c r="A8881">
        <v>9969</v>
      </c>
      <c r="B8881" t="s">
        <v>531</v>
      </c>
      <c r="C8881">
        <v>450</v>
      </c>
      <c r="D8881">
        <v>521</v>
      </c>
      <c r="E8881">
        <v>0</v>
      </c>
      <c r="F8881">
        <v>287</v>
      </c>
      <c r="G8881">
        <v>0</v>
      </c>
      <c r="H8881" t="s">
        <v>13797</v>
      </c>
      <c r="I8881">
        <v>9969</v>
      </c>
      <c r="J8881" t="e">
        <f>VLOOKUP(E8881,DSSpieler!A:B,2,FALSE)</f>
        <v>#N/A</v>
      </c>
    </row>
    <row r="8882" spans="1:10" x14ac:dyDescent="0.25">
      <c r="A8882">
        <v>9970</v>
      </c>
      <c r="B8882" t="s">
        <v>31387</v>
      </c>
      <c r="C8882">
        <v>569</v>
      </c>
      <c r="D8882">
        <v>567</v>
      </c>
      <c r="E8882">
        <v>10154907</v>
      </c>
      <c r="F8882">
        <v>3190</v>
      </c>
      <c r="G8882">
        <v>0</v>
      </c>
      <c r="H8882" t="s">
        <v>13798</v>
      </c>
      <c r="I8882">
        <v>9970</v>
      </c>
      <c r="J8882" t="str">
        <f>VLOOKUP(E8882,DSSpieler!A:B,2,FALSE)</f>
        <v>tronten</v>
      </c>
    </row>
    <row r="8883" spans="1:10" x14ac:dyDescent="0.25">
      <c r="A8883">
        <v>9971</v>
      </c>
      <c r="B8883" t="s">
        <v>33749</v>
      </c>
      <c r="C8883">
        <v>472</v>
      </c>
      <c r="D8883">
        <v>586</v>
      </c>
      <c r="E8883">
        <v>1576629992</v>
      </c>
      <c r="F8883">
        <v>5573</v>
      </c>
      <c r="G8883">
        <v>0</v>
      </c>
      <c r="H8883" t="s">
        <v>13799</v>
      </c>
      <c r="I8883">
        <v>9971</v>
      </c>
      <c r="J8883" t="str">
        <f>VLOOKUP(E8883,DSSpieler!A:B,2,FALSE)</f>
        <v>Bärenkatapult</v>
      </c>
    </row>
    <row r="8884" spans="1:10" x14ac:dyDescent="0.25">
      <c r="A8884">
        <v>9972</v>
      </c>
      <c r="B8884" t="s">
        <v>33750</v>
      </c>
      <c r="C8884">
        <v>498</v>
      </c>
      <c r="D8884">
        <v>402</v>
      </c>
      <c r="E8884">
        <v>1576808722</v>
      </c>
      <c r="F8884">
        <v>3275</v>
      </c>
      <c r="G8884">
        <v>0</v>
      </c>
      <c r="H8884" t="s">
        <v>13800</v>
      </c>
      <c r="I8884">
        <v>9972</v>
      </c>
      <c r="J8884" t="str">
        <f>VLOOKUP(E8884,DSSpieler!A:B,2,FALSE)</f>
        <v>HeldxD</v>
      </c>
    </row>
    <row r="8885" spans="1:10" x14ac:dyDescent="0.25">
      <c r="A8885">
        <v>9973</v>
      </c>
      <c r="B8885" t="s">
        <v>1862</v>
      </c>
      <c r="C8885">
        <v>589</v>
      </c>
      <c r="D8885">
        <v>463</v>
      </c>
      <c r="E8885">
        <v>1577198319</v>
      </c>
      <c r="F8885">
        <v>4103</v>
      </c>
      <c r="G8885">
        <v>0</v>
      </c>
      <c r="H8885" t="s">
        <v>13801</v>
      </c>
      <c r="I8885">
        <v>9973</v>
      </c>
      <c r="J8885" t="str">
        <f>VLOOKUP(E8885,DSSpieler!A:B,2,FALSE)</f>
        <v>Kampfnudel</v>
      </c>
    </row>
    <row r="8886" spans="1:10" x14ac:dyDescent="0.25">
      <c r="A8886">
        <v>9976</v>
      </c>
      <c r="B8886" t="s">
        <v>1863</v>
      </c>
      <c r="C8886">
        <v>445</v>
      </c>
      <c r="D8886">
        <v>516</v>
      </c>
      <c r="E8886">
        <v>1577169190</v>
      </c>
      <c r="F8886">
        <v>1630</v>
      </c>
      <c r="G8886">
        <v>0</v>
      </c>
      <c r="H8886" t="s">
        <v>13802</v>
      </c>
      <c r="I8886">
        <v>9976</v>
      </c>
      <c r="J8886" t="str">
        <f>VLOOKUP(E8886,DSSpieler!A:B,2,FALSE)</f>
        <v>gameking53</v>
      </c>
    </row>
    <row r="8887" spans="1:10" x14ac:dyDescent="0.25">
      <c r="A8887">
        <v>9977</v>
      </c>
      <c r="B8887" t="s">
        <v>33751</v>
      </c>
      <c r="C8887">
        <v>431</v>
      </c>
      <c r="D8887">
        <v>506</v>
      </c>
      <c r="E8887">
        <v>978765</v>
      </c>
      <c r="F8887">
        <v>1846</v>
      </c>
      <c r="G8887">
        <v>0</v>
      </c>
      <c r="H8887" t="s">
        <v>13803</v>
      </c>
      <c r="I8887">
        <v>9977</v>
      </c>
      <c r="J8887" t="str">
        <f>VLOOKUP(E8887,DSSpieler!A:B,2,FALSE)</f>
        <v>Soundcraft Si Impact</v>
      </c>
    </row>
    <row r="8888" spans="1:10" x14ac:dyDescent="0.25">
      <c r="A8888">
        <v>9979</v>
      </c>
      <c r="B8888" t="s">
        <v>531</v>
      </c>
      <c r="C8888">
        <v>517</v>
      </c>
      <c r="D8888">
        <v>595</v>
      </c>
      <c r="E8888">
        <v>0</v>
      </c>
      <c r="F8888">
        <v>453</v>
      </c>
      <c r="G8888">
        <v>0</v>
      </c>
      <c r="H8888" t="s">
        <v>13804</v>
      </c>
      <c r="I8888">
        <v>9979</v>
      </c>
      <c r="J8888" t="e">
        <f>VLOOKUP(E8888,DSSpieler!A:B,2,FALSE)</f>
        <v>#N/A</v>
      </c>
    </row>
    <row r="8889" spans="1:10" x14ac:dyDescent="0.25">
      <c r="A8889">
        <v>9980</v>
      </c>
      <c r="B8889" t="s">
        <v>30582</v>
      </c>
      <c r="C8889">
        <v>474</v>
      </c>
      <c r="D8889">
        <v>601</v>
      </c>
      <c r="E8889">
        <v>1577174726</v>
      </c>
      <c r="F8889">
        <v>4566</v>
      </c>
      <c r="G8889">
        <v>0</v>
      </c>
      <c r="H8889" t="s">
        <v>13805</v>
      </c>
      <c r="I8889">
        <v>9980</v>
      </c>
      <c r="J8889" t="str">
        <f>VLOOKUP(E8889,DSSpieler!A:B,2,FALSE)</f>
        <v>Nevada.vP</v>
      </c>
    </row>
    <row r="8890" spans="1:10" x14ac:dyDescent="0.25">
      <c r="A8890">
        <v>9981</v>
      </c>
      <c r="B8890" t="s">
        <v>1864</v>
      </c>
      <c r="C8890">
        <v>568</v>
      </c>
      <c r="D8890">
        <v>429</v>
      </c>
      <c r="E8890">
        <v>9753568</v>
      </c>
      <c r="F8890">
        <v>3986</v>
      </c>
      <c r="G8890">
        <v>0</v>
      </c>
      <c r="H8890" t="s">
        <v>13806</v>
      </c>
      <c r="I8890">
        <v>9981</v>
      </c>
      <c r="J8890" t="str">
        <f>VLOOKUP(E8890,DSSpieler!A:B,2,FALSE)</f>
        <v>todakr</v>
      </c>
    </row>
    <row r="8891" spans="1:10" x14ac:dyDescent="0.25">
      <c r="A8891">
        <v>9982</v>
      </c>
      <c r="B8891" t="s">
        <v>1769</v>
      </c>
      <c r="C8891">
        <v>518</v>
      </c>
      <c r="D8891">
        <v>494</v>
      </c>
      <c r="E8891">
        <v>1577174217</v>
      </c>
      <c r="F8891">
        <v>3680</v>
      </c>
      <c r="G8891">
        <v>0</v>
      </c>
      <c r="H8891" t="s">
        <v>13807</v>
      </c>
      <c r="I8891">
        <v>9982</v>
      </c>
      <c r="J8891" t="str">
        <f>VLOOKUP(E8891,DSSpieler!A:B,2,FALSE)</f>
        <v>Goovy12</v>
      </c>
    </row>
    <row r="8892" spans="1:10" x14ac:dyDescent="0.25">
      <c r="A8892">
        <v>9983</v>
      </c>
      <c r="B8892" t="s">
        <v>531</v>
      </c>
      <c r="C8892">
        <v>592</v>
      </c>
      <c r="D8892">
        <v>462</v>
      </c>
      <c r="E8892">
        <v>0</v>
      </c>
      <c r="F8892">
        <v>194</v>
      </c>
      <c r="G8892">
        <v>0</v>
      </c>
      <c r="H8892" t="s">
        <v>13808</v>
      </c>
      <c r="I8892">
        <v>9983</v>
      </c>
      <c r="J8892" t="e">
        <f>VLOOKUP(E8892,DSSpieler!A:B,2,FALSE)</f>
        <v>#N/A</v>
      </c>
    </row>
    <row r="8893" spans="1:10" x14ac:dyDescent="0.25">
      <c r="A8893">
        <v>9984</v>
      </c>
      <c r="B8893" t="s">
        <v>33752</v>
      </c>
      <c r="C8893">
        <v>395</v>
      </c>
      <c r="D8893">
        <v>471</v>
      </c>
      <c r="E8893">
        <v>1576281323</v>
      </c>
      <c r="F8893">
        <v>4878</v>
      </c>
      <c r="G8893">
        <v>0</v>
      </c>
      <c r="H8893" t="s">
        <v>13809</v>
      </c>
      <c r="I8893">
        <v>9984</v>
      </c>
      <c r="J8893" t="str">
        <f>VLOOKUP(E8893,DSSpieler!A:B,2,FALSE)</f>
        <v>missdreamy</v>
      </c>
    </row>
    <row r="8894" spans="1:10" x14ac:dyDescent="0.25">
      <c r="A8894">
        <v>9985</v>
      </c>
      <c r="B8894" t="s">
        <v>33753</v>
      </c>
      <c r="C8894">
        <v>476</v>
      </c>
      <c r="D8894">
        <v>412</v>
      </c>
      <c r="E8894">
        <v>1577197317</v>
      </c>
      <c r="F8894">
        <v>4770</v>
      </c>
      <c r="G8894">
        <v>0</v>
      </c>
      <c r="H8894" t="s">
        <v>13810</v>
      </c>
      <c r="I8894">
        <v>9985</v>
      </c>
      <c r="J8894" t="str">
        <f>VLOOKUP(E8894,DSSpieler!A:B,2,FALSE)</f>
        <v>DieWaldfee</v>
      </c>
    </row>
    <row r="8895" spans="1:10" x14ac:dyDescent="0.25">
      <c r="A8895">
        <v>9986</v>
      </c>
      <c r="B8895" t="s">
        <v>33754</v>
      </c>
      <c r="C8895">
        <v>548</v>
      </c>
      <c r="D8895">
        <v>409</v>
      </c>
      <c r="E8895">
        <v>1577198328</v>
      </c>
      <c r="F8895">
        <v>7240</v>
      </c>
      <c r="G8895">
        <v>0</v>
      </c>
      <c r="H8895" t="s">
        <v>13811</v>
      </c>
      <c r="I8895">
        <v>9986</v>
      </c>
      <c r="J8895" t="str">
        <f>VLOOKUP(E8895,DSSpieler!A:B,2,FALSE)</f>
        <v>Mister Riös</v>
      </c>
    </row>
    <row r="8896" spans="1:10" x14ac:dyDescent="0.25">
      <c r="A8896">
        <v>9987</v>
      </c>
      <c r="B8896" t="s">
        <v>1865</v>
      </c>
      <c r="C8896">
        <v>593</v>
      </c>
      <c r="D8896">
        <v>480</v>
      </c>
      <c r="E8896">
        <v>1577197351</v>
      </c>
      <c r="F8896">
        <v>5875</v>
      </c>
      <c r="G8896">
        <v>0</v>
      </c>
      <c r="H8896" t="s">
        <v>13812</v>
      </c>
      <c r="I8896">
        <v>9987</v>
      </c>
      <c r="J8896" t="str">
        <f>VLOOKUP(E8896,DSSpieler!A:B,2,FALSE)</f>
        <v>halllloooo</v>
      </c>
    </row>
    <row r="8897" spans="1:10" x14ac:dyDescent="0.25">
      <c r="A8897">
        <v>9988</v>
      </c>
      <c r="B8897">
        <v>178</v>
      </c>
      <c r="C8897">
        <v>563</v>
      </c>
      <c r="D8897">
        <v>426</v>
      </c>
      <c r="E8897">
        <v>1576853341</v>
      </c>
      <c r="F8897">
        <v>142</v>
      </c>
      <c r="G8897">
        <v>0</v>
      </c>
      <c r="H8897" t="s">
        <v>13813</v>
      </c>
      <c r="I8897">
        <v>9988</v>
      </c>
      <c r="J8897" t="str">
        <f>VLOOKUP(E8897,DSSpieler!A:B,2,FALSE)</f>
        <v>MissDiamond</v>
      </c>
    </row>
    <row r="8898" spans="1:10" x14ac:dyDescent="0.25">
      <c r="A8898">
        <v>9990</v>
      </c>
      <c r="B8898" t="s">
        <v>531</v>
      </c>
      <c r="C8898">
        <v>407</v>
      </c>
      <c r="D8898">
        <v>465</v>
      </c>
      <c r="E8898">
        <v>0</v>
      </c>
      <c r="F8898">
        <v>403</v>
      </c>
      <c r="G8898">
        <v>0</v>
      </c>
      <c r="H8898" t="s">
        <v>13814</v>
      </c>
      <c r="I8898">
        <v>9990</v>
      </c>
      <c r="J8898" t="e">
        <f>VLOOKUP(E8898,DSSpieler!A:B,2,FALSE)</f>
        <v>#N/A</v>
      </c>
    </row>
    <row r="8899" spans="1:10" x14ac:dyDescent="0.25">
      <c r="A8899">
        <v>9991</v>
      </c>
      <c r="B8899" t="s">
        <v>33755</v>
      </c>
      <c r="C8899">
        <v>398</v>
      </c>
      <c r="D8899">
        <v>481</v>
      </c>
      <c r="E8899">
        <v>10043883</v>
      </c>
      <c r="F8899">
        <v>4824</v>
      </c>
      <c r="G8899">
        <v>0</v>
      </c>
      <c r="H8899" t="s">
        <v>13815</v>
      </c>
      <c r="I8899">
        <v>9991</v>
      </c>
      <c r="J8899" t="str">
        <f>VLOOKUP(E8899,DSSpieler!A:B,2,FALSE)</f>
        <v>smotteri</v>
      </c>
    </row>
    <row r="8900" spans="1:10" x14ac:dyDescent="0.25">
      <c r="A8900">
        <v>9992</v>
      </c>
      <c r="B8900" t="s">
        <v>531</v>
      </c>
      <c r="C8900">
        <v>471</v>
      </c>
      <c r="D8900">
        <v>597</v>
      </c>
      <c r="E8900">
        <v>0</v>
      </c>
      <c r="F8900">
        <v>540</v>
      </c>
      <c r="G8900">
        <v>0</v>
      </c>
      <c r="H8900" t="s">
        <v>13816</v>
      </c>
      <c r="I8900">
        <v>9992</v>
      </c>
      <c r="J8900" t="e">
        <f>VLOOKUP(E8900,DSSpieler!A:B,2,FALSE)</f>
        <v>#N/A</v>
      </c>
    </row>
    <row r="8901" spans="1:10" x14ac:dyDescent="0.25">
      <c r="A8901">
        <v>9993</v>
      </c>
      <c r="B8901">
        <v>2</v>
      </c>
      <c r="C8901">
        <v>450</v>
      </c>
      <c r="D8901">
        <v>546</v>
      </c>
      <c r="E8901">
        <v>9783617</v>
      </c>
      <c r="F8901">
        <v>4148</v>
      </c>
      <c r="G8901">
        <v>0</v>
      </c>
      <c r="H8901" t="s">
        <v>13817</v>
      </c>
      <c r="I8901">
        <v>9993</v>
      </c>
      <c r="J8901" t="str">
        <f>VLOOKUP(E8901,DSSpieler!A:B,2,FALSE)</f>
        <v>Doubl3E</v>
      </c>
    </row>
    <row r="8902" spans="1:10" x14ac:dyDescent="0.25">
      <c r="A8902">
        <v>9994</v>
      </c>
      <c r="B8902" t="s">
        <v>1866</v>
      </c>
      <c r="C8902">
        <v>539</v>
      </c>
      <c r="D8902">
        <v>403</v>
      </c>
      <c r="E8902">
        <v>1576944316</v>
      </c>
      <c r="F8902">
        <v>5170</v>
      </c>
      <c r="G8902">
        <v>0</v>
      </c>
      <c r="H8902" t="s">
        <v>13818</v>
      </c>
      <c r="I8902">
        <v>9994</v>
      </c>
      <c r="J8902" t="str">
        <f>VLOOKUP(E8902,DSSpieler!A:B,2,FALSE)</f>
        <v>Andenkarakara</v>
      </c>
    </row>
    <row r="8903" spans="1:10" x14ac:dyDescent="0.25">
      <c r="A8903">
        <v>9995</v>
      </c>
      <c r="B8903" t="s">
        <v>1011</v>
      </c>
      <c r="C8903">
        <v>585</v>
      </c>
      <c r="D8903">
        <v>537</v>
      </c>
      <c r="E8903">
        <v>2679744</v>
      </c>
      <c r="F8903">
        <v>2895</v>
      </c>
      <c r="G8903">
        <v>0</v>
      </c>
      <c r="H8903" t="s">
        <v>13819</v>
      </c>
      <c r="I8903">
        <v>9995</v>
      </c>
      <c r="J8903" t="str">
        <f>VLOOKUP(E8903,DSSpieler!A:B,2,FALSE)</f>
        <v>tortelinie</v>
      </c>
    </row>
    <row r="8904" spans="1:10" x14ac:dyDescent="0.25">
      <c r="A8904">
        <v>9996</v>
      </c>
      <c r="B8904" t="s">
        <v>1867</v>
      </c>
      <c r="C8904">
        <v>449</v>
      </c>
      <c r="D8904">
        <v>415</v>
      </c>
      <c r="E8904">
        <v>3049622</v>
      </c>
      <c r="F8904">
        <v>2705</v>
      </c>
      <c r="G8904">
        <v>0</v>
      </c>
      <c r="H8904" t="s">
        <v>13820</v>
      </c>
      <c r="I8904">
        <v>9996</v>
      </c>
      <c r="J8904" t="str">
        <f>VLOOKUP(E8904,DSSpieler!A:B,2,FALSE)</f>
        <v>der pan</v>
      </c>
    </row>
    <row r="8905" spans="1:10" x14ac:dyDescent="0.25">
      <c r="A8905">
        <v>9997</v>
      </c>
      <c r="B8905" t="s">
        <v>1868</v>
      </c>
      <c r="C8905">
        <v>567</v>
      </c>
      <c r="D8905">
        <v>427</v>
      </c>
      <c r="E8905">
        <v>1577199976</v>
      </c>
      <c r="F8905">
        <v>1363</v>
      </c>
      <c r="G8905">
        <v>0</v>
      </c>
      <c r="H8905" t="s">
        <v>13821</v>
      </c>
      <c r="I8905">
        <v>9997</v>
      </c>
      <c r="J8905" t="str">
        <f>VLOOKUP(E8905,DSSpieler!A:B,2,FALSE)</f>
        <v>Lord Scheo</v>
      </c>
    </row>
    <row r="8906" spans="1:10" x14ac:dyDescent="0.25">
      <c r="A8906">
        <v>9998</v>
      </c>
      <c r="B8906" t="s">
        <v>33756</v>
      </c>
      <c r="C8906">
        <v>426</v>
      </c>
      <c r="D8906">
        <v>433</v>
      </c>
      <c r="E8906">
        <v>1576826598</v>
      </c>
      <c r="F8906">
        <v>3109</v>
      </c>
      <c r="G8906">
        <v>0</v>
      </c>
      <c r="H8906" t="s">
        <v>13822</v>
      </c>
      <c r="I8906">
        <v>9998</v>
      </c>
      <c r="J8906" t="str">
        <f>VLOOKUP(E8906,DSSpieler!A:B,2,FALSE)</f>
        <v>Rainer Wahnsinn</v>
      </c>
    </row>
    <row r="8907" spans="1:10" x14ac:dyDescent="0.25">
      <c r="A8907">
        <v>9999</v>
      </c>
      <c r="B8907" t="s">
        <v>33724</v>
      </c>
      <c r="C8907">
        <v>403</v>
      </c>
      <c r="D8907">
        <v>524</v>
      </c>
      <c r="E8907">
        <v>1577055127</v>
      </c>
      <c r="F8907">
        <v>6342</v>
      </c>
      <c r="G8907">
        <v>0</v>
      </c>
      <c r="H8907" t="s">
        <v>13823</v>
      </c>
      <c r="I8907">
        <v>9999</v>
      </c>
      <c r="J8907" t="str">
        <f>VLOOKUP(E8907,DSSpieler!A:B,2,FALSE)</f>
        <v>Karnalos</v>
      </c>
    </row>
    <row r="8908" spans="1:10" x14ac:dyDescent="0.25">
      <c r="A8908">
        <v>10000</v>
      </c>
      <c r="B8908" t="s">
        <v>33757</v>
      </c>
      <c r="C8908">
        <v>548</v>
      </c>
      <c r="D8908">
        <v>405</v>
      </c>
      <c r="E8908">
        <v>1577100408</v>
      </c>
      <c r="F8908">
        <v>7046</v>
      </c>
      <c r="G8908">
        <v>0</v>
      </c>
      <c r="H8908" t="s">
        <v>13824</v>
      </c>
      <c r="I8908">
        <v>10000</v>
      </c>
      <c r="J8908" t="str">
        <f>VLOOKUP(E8908,DSSpieler!A:B,2,FALSE)</f>
        <v>nizopruegel</v>
      </c>
    </row>
    <row r="8909" spans="1:10" x14ac:dyDescent="0.25">
      <c r="A8909">
        <v>10001</v>
      </c>
      <c r="B8909" t="s">
        <v>531</v>
      </c>
      <c r="C8909">
        <v>417</v>
      </c>
      <c r="D8909">
        <v>452</v>
      </c>
      <c r="E8909">
        <v>0</v>
      </c>
      <c r="F8909">
        <v>423</v>
      </c>
      <c r="G8909">
        <v>0</v>
      </c>
      <c r="H8909" t="s">
        <v>13825</v>
      </c>
      <c r="I8909">
        <v>10001</v>
      </c>
      <c r="J8909" t="e">
        <f>VLOOKUP(E8909,DSSpieler!A:B,2,FALSE)</f>
        <v>#N/A</v>
      </c>
    </row>
    <row r="8910" spans="1:10" x14ac:dyDescent="0.25">
      <c r="A8910">
        <v>10002</v>
      </c>
      <c r="B8910" t="s">
        <v>31490</v>
      </c>
      <c r="C8910">
        <v>559</v>
      </c>
      <c r="D8910">
        <v>568</v>
      </c>
      <c r="E8910">
        <v>1577138953</v>
      </c>
      <c r="F8910">
        <v>6033</v>
      </c>
      <c r="G8910">
        <v>0</v>
      </c>
      <c r="H8910" t="s">
        <v>13826</v>
      </c>
      <c r="I8910">
        <v>10002</v>
      </c>
      <c r="J8910" t="str">
        <f>VLOOKUP(E8910,DSSpieler!A:B,2,FALSE)</f>
        <v>ganz entspannt</v>
      </c>
    </row>
    <row r="8911" spans="1:10" x14ac:dyDescent="0.25">
      <c r="A8911">
        <v>10003</v>
      </c>
      <c r="B8911" t="s">
        <v>33758</v>
      </c>
      <c r="C8911">
        <v>594</v>
      </c>
      <c r="D8911">
        <v>481</v>
      </c>
      <c r="E8911">
        <v>1576958059</v>
      </c>
      <c r="F8911">
        <v>4016</v>
      </c>
      <c r="G8911">
        <v>0</v>
      </c>
      <c r="H8911" t="s">
        <v>13827</v>
      </c>
      <c r="I8911">
        <v>10003</v>
      </c>
      <c r="J8911" t="str">
        <f>VLOOKUP(E8911,DSSpieler!A:B,2,FALSE)</f>
        <v>Test0817</v>
      </c>
    </row>
    <row r="8912" spans="1:10" x14ac:dyDescent="0.25">
      <c r="A8912">
        <v>10004</v>
      </c>
      <c r="B8912" t="s">
        <v>1869</v>
      </c>
      <c r="C8912">
        <v>441</v>
      </c>
      <c r="D8912">
        <v>463</v>
      </c>
      <c r="E8912">
        <v>1576889855</v>
      </c>
      <c r="F8912">
        <v>4758</v>
      </c>
      <c r="G8912">
        <v>0</v>
      </c>
      <c r="H8912" t="s">
        <v>13828</v>
      </c>
      <c r="I8912">
        <v>10004</v>
      </c>
      <c r="J8912" t="str">
        <f>VLOOKUP(E8912,DSSpieler!A:B,2,FALSE)</f>
        <v>Harmogy</v>
      </c>
    </row>
    <row r="8913" spans="1:10" x14ac:dyDescent="0.25">
      <c r="A8913">
        <v>10005</v>
      </c>
      <c r="B8913" t="s">
        <v>33759</v>
      </c>
      <c r="C8913">
        <v>473</v>
      </c>
      <c r="D8913">
        <v>464</v>
      </c>
      <c r="E8913">
        <v>9616906</v>
      </c>
      <c r="F8913">
        <v>136</v>
      </c>
      <c r="G8913">
        <v>0</v>
      </c>
      <c r="H8913" t="s">
        <v>13829</v>
      </c>
      <c r="I8913">
        <v>10005</v>
      </c>
      <c r="J8913" t="str">
        <f>VLOOKUP(E8913,DSSpieler!A:B,2,FALSE)</f>
        <v>turkeyboy-99</v>
      </c>
    </row>
    <row r="8914" spans="1:10" x14ac:dyDescent="0.25">
      <c r="A8914">
        <v>10006</v>
      </c>
      <c r="B8914" t="s">
        <v>35828</v>
      </c>
      <c r="C8914">
        <v>505</v>
      </c>
      <c r="D8914">
        <v>609</v>
      </c>
      <c r="E8914">
        <v>731739</v>
      </c>
      <c r="F8914">
        <v>4883</v>
      </c>
      <c r="G8914">
        <v>0</v>
      </c>
      <c r="H8914" t="s">
        <v>13830</v>
      </c>
      <c r="I8914">
        <v>10006</v>
      </c>
      <c r="J8914" t="str">
        <f>VLOOKUP(E8914,DSSpieler!A:B,2,FALSE)</f>
        <v>BlayGlor</v>
      </c>
    </row>
    <row r="8915" spans="1:10" x14ac:dyDescent="0.25">
      <c r="A8915">
        <v>10007</v>
      </c>
      <c r="B8915" t="s">
        <v>531</v>
      </c>
      <c r="C8915">
        <v>547</v>
      </c>
      <c r="D8915">
        <v>416</v>
      </c>
      <c r="E8915">
        <v>0</v>
      </c>
      <c r="F8915">
        <v>295</v>
      </c>
      <c r="G8915">
        <v>0</v>
      </c>
      <c r="H8915" t="s">
        <v>13831</v>
      </c>
      <c r="I8915">
        <v>10007</v>
      </c>
      <c r="J8915" t="e">
        <f>VLOOKUP(E8915,DSSpieler!A:B,2,FALSE)</f>
        <v>#N/A</v>
      </c>
    </row>
    <row r="8916" spans="1:10" x14ac:dyDescent="0.25">
      <c r="A8916">
        <v>10009</v>
      </c>
      <c r="B8916" t="s">
        <v>531</v>
      </c>
      <c r="C8916">
        <v>404</v>
      </c>
      <c r="D8916">
        <v>522</v>
      </c>
      <c r="E8916">
        <v>0</v>
      </c>
      <c r="F8916">
        <v>369</v>
      </c>
      <c r="G8916">
        <v>0</v>
      </c>
      <c r="H8916" t="s">
        <v>13832</v>
      </c>
      <c r="I8916">
        <v>10009</v>
      </c>
      <c r="J8916" t="e">
        <f>VLOOKUP(E8916,DSSpieler!A:B,2,FALSE)</f>
        <v>#N/A</v>
      </c>
    </row>
    <row r="8917" spans="1:10" x14ac:dyDescent="0.25">
      <c r="A8917">
        <v>10010</v>
      </c>
      <c r="B8917" t="s">
        <v>33666</v>
      </c>
      <c r="C8917">
        <v>490</v>
      </c>
      <c r="D8917">
        <v>417</v>
      </c>
      <c r="E8917">
        <v>1576057331</v>
      </c>
      <c r="F8917">
        <v>2759</v>
      </c>
      <c r="G8917">
        <v>0</v>
      </c>
      <c r="H8917" t="s">
        <v>13833</v>
      </c>
      <c r="I8917">
        <v>10010</v>
      </c>
      <c r="J8917" t="str">
        <f>VLOOKUP(E8917,DSSpieler!A:B,2,FALSE)</f>
        <v>baarbratings</v>
      </c>
    </row>
    <row r="8918" spans="1:10" x14ac:dyDescent="0.25">
      <c r="A8918">
        <v>10012</v>
      </c>
      <c r="B8918" t="s">
        <v>531</v>
      </c>
      <c r="C8918">
        <v>454</v>
      </c>
      <c r="D8918">
        <v>587</v>
      </c>
      <c r="E8918">
        <v>0</v>
      </c>
      <c r="F8918">
        <v>277</v>
      </c>
      <c r="G8918">
        <v>0</v>
      </c>
      <c r="H8918" t="s">
        <v>13834</v>
      </c>
      <c r="I8918">
        <v>10012</v>
      </c>
      <c r="J8918" t="e">
        <f>VLOOKUP(E8918,DSSpieler!A:B,2,FALSE)</f>
        <v>#N/A</v>
      </c>
    </row>
    <row r="8919" spans="1:10" x14ac:dyDescent="0.25">
      <c r="A8919">
        <v>10013</v>
      </c>
      <c r="B8919" t="s">
        <v>1870</v>
      </c>
      <c r="C8919">
        <v>563</v>
      </c>
      <c r="D8919">
        <v>425</v>
      </c>
      <c r="E8919">
        <v>1577185828</v>
      </c>
      <c r="F8919">
        <v>4899</v>
      </c>
      <c r="G8919">
        <v>0</v>
      </c>
      <c r="H8919" t="s">
        <v>13835</v>
      </c>
      <c r="I8919">
        <v>10013</v>
      </c>
      <c r="J8919" t="str">
        <f>VLOOKUP(E8919,DSSpieler!A:B,2,FALSE)</f>
        <v>fex18</v>
      </c>
    </row>
    <row r="8920" spans="1:10" x14ac:dyDescent="0.25">
      <c r="A8920">
        <v>10014</v>
      </c>
      <c r="B8920" t="s">
        <v>33760</v>
      </c>
      <c r="C8920">
        <v>394</v>
      </c>
      <c r="D8920">
        <v>481</v>
      </c>
      <c r="E8920">
        <v>1577069086</v>
      </c>
      <c r="F8920">
        <v>5418</v>
      </c>
      <c r="G8920">
        <v>0</v>
      </c>
      <c r="H8920" t="s">
        <v>432</v>
      </c>
      <c r="I8920">
        <v>10014</v>
      </c>
      <c r="J8920" t="str">
        <f>VLOOKUP(E8920,DSSpieler!A:B,2,FALSE)</f>
        <v>RpY93</v>
      </c>
    </row>
    <row r="8921" spans="1:10" x14ac:dyDescent="0.25">
      <c r="A8921">
        <v>10015</v>
      </c>
      <c r="B8921" t="s">
        <v>33761</v>
      </c>
      <c r="C8921">
        <v>401</v>
      </c>
      <c r="D8921">
        <v>492</v>
      </c>
      <c r="E8921">
        <v>1577079404</v>
      </c>
      <c r="F8921">
        <v>5418</v>
      </c>
      <c r="G8921">
        <v>0</v>
      </c>
      <c r="H8921" t="s">
        <v>13836</v>
      </c>
      <c r="I8921">
        <v>10015</v>
      </c>
      <c r="J8921" t="str">
        <f>VLOOKUP(E8921,DSSpieler!A:B,2,FALSE)</f>
        <v>timo</v>
      </c>
    </row>
    <row r="8922" spans="1:10" x14ac:dyDescent="0.25">
      <c r="A8922">
        <v>10016</v>
      </c>
      <c r="B8922" t="s">
        <v>673</v>
      </c>
      <c r="C8922">
        <v>448</v>
      </c>
      <c r="D8922">
        <v>417</v>
      </c>
      <c r="E8922">
        <v>1576671087</v>
      </c>
      <c r="F8922">
        <v>5728</v>
      </c>
      <c r="G8922">
        <v>0</v>
      </c>
      <c r="H8922" t="s">
        <v>13837</v>
      </c>
      <c r="I8922">
        <v>10016</v>
      </c>
      <c r="J8922" t="str">
        <f>VLOOKUP(E8922,DSSpieler!A:B,2,FALSE)</f>
        <v>Knallhart</v>
      </c>
    </row>
    <row r="8923" spans="1:10" x14ac:dyDescent="0.25">
      <c r="A8923">
        <v>10017</v>
      </c>
      <c r="B8923" t="s">
        <v>531</v>
      </c>
      <c r="C8923">
        <v>407</v>
      </c>
      <c r="D8923">
        <v>532</v>
      </c>
      <c r="E8923">
        <v>0</v>
      </c>
      <c r="F8923">
        <v>352</v>
      </c>
      <c r="G8923">
        <v>0</v>
      </c>
      <c r="H8923" t="s">
        <v>13838</v>
      </c>
      <c r="I8923">
        <v>10017</v>
      </c>
      <c r="J8923" t="e">
        <f>VLOOKUP(E8923,DSSpieler!A:B,2,FALSE)</f>
        <v>#N/A</v>
      </c>
    </row>
    <row r="8924" spans="1:10" x14ac:dyDescent="0.25">
      <c r="A8924">
        <v>10018</v>
      </c>
      <c r="B8924" t="s">
        <v>33762</v>
      </c>
      <c r="C8924">
        <v>565</v>
      </c>
      <c r="D8924">
        <v>482</v>
      </c>
      <c r="E8924">
        <v>8920386</v>
      </c>
      <c r="F8924">
        <v>5466</v>
      </c>
      <c r="G8924">
        <v>0</v>
      </c>
      <c r="H8924" t="s">
        <v>13839</v>
      </c>
      <c r="I8924">
        <v>10018</v>
      </c>
      <c r="J8924" t="str">
        <f>VLOOKUP(E8924,DSSpieler!A:B,2,FALSE)</f>
        <v>Atariboy</v>
      </c>
    </row>
    <row r="8925" spans="1:10" x14ac:dyDescent="0.25">
      <c r="A8925">
        <v>10019</v>
      </c>
      <c r="B8925" t="s">
        <v>531</v>
      </c>
      <c r="C8925">
        <v>596</v>
      </c>
      <c r="D8925">
        <v>488</v>
      </c>
      <c r="E8925">
        <v>0</v>
      </c>
      <c r="F8925">
        <v>229</v>
      </c>
      <c r="G8925">
        <v>0</v>
      </c>
      <c r="H8925" t="s">
        <v>13840</v>
      </c>
      <c r="I8925">
        <v>10019</v>
      </c>
      <c r="J8925" t="e">
        <f>VLOOKUP(E8925,DSSpieler!A:B,2,FALSE)</f>
        <v>#N/A</v>
      </c>
    </row>
    <row r="8926" spans="1:10" x14ac:dyDescent="0.25">
      <c r="A8926">
        <v>10020</v>
      </c>
      <c r="B8926" t="s">
        <v>531</v>
      </c>
      <c r="C8926">
        <v>406</v>
      </c>
      <c r="D8926">
        <v>529</v>
      </c>
      <c r="E8926">
        <v>0</v>
      </c>
      <c r="F8926">
        <v>222</v>
      </c>
      <c r="G8926">
        <v>0</v>
      </c>
      <c r="H8926" t="s">
        <v>13841</v>
      </c>
      <c r="I8926">
        <v>10020</v>
      </c>
      <c r="J8926" t="e">
        <f>VLOOKUP(E8926,DSSpieler!A:B,2,FALSE)</f>
        <v>#N/A</v>
      </c>
    </row>
    <row r="8927" spans="1:10" x14ac:dyDescent="0.25">
      <c r="A8927">
        <v>10021</v>
      </c>
      <c r="B8927" t="s">
        <v>531</v>
      </c>
      <c r="C8927">
        <v>417</v>
      </c>
      <c r="D8927">
        <v>448</v>
      </c>
      <c r="E8927">
        <v>0</v>
      </c>
      <c r="F8927">
        <v>535</v>
      </c>
      <c r="G8927">
        <v>0</v>
      </c>
      <c r="H8927" t="s">
        <v>13842</v>
      </c>
      <c r="I8927">
        <v>10021</v>
      </c>
      <c r="J8927" t="e">
        <f>VLOOKUP(E8927,DSSpieler!A:B,2,FALSE)</f>
        <v>#N/A</v>
      </c>
    </row>
    <row r="8928" spans="1:10" x14ac:dyDescent="0.25">
      <c r="A8928">
        <v>10022</v>
      </c>
      <c r="B8928" t="s">
        <v>1871</v>
      </c>
      <c r="C8928">
        <v>547</v>
      </c>
      <c r="D8928">
        <v>586</v>
      </c>
      <c r="E8928">
        <v>1577171368</v>
      </c>
      <c r="F8928">
        <v>3215</v>
      </c>
      <c r="G8928">
        <v>0</v>
      </c>
      <c r="H8928" t="s">
        <v>13843</v>
      </c>
      <c r="I8928">
        <v>10022</v>
      </c>
      <c r="J8928" t="str">
        <f>VLOOKUP(E8928,DSSpieler!A:B,2,FALSE)</f>
        <v>Wenzel IV</v>
      </c>
    </row>
    <row r="8929" spans="1:10" x14ac:dyDescent="0.25">
      <c r="A8929">
        <v>10023</v>
      </c>
      <c r="B8929" t="s">
        <v>531</v>
      </c>
      <c r="C8929">
        <v>406</v>
      </c>
      <c r="D8929">
        <v>475</v>
      </c>
      <c r="E8929">
        <v>0</v>
      </c>
      <c r="F8929">
        <v>404</v>
      </c>
      <c r="G8929">
        <v>0</v>
      </c>
      <c r="H8929" t="s">
        <v>13844</v>
      </c>
      <c r="I8929">
        <v>10023</v>
      </c>
      <c r="J8929" t="e">
        <f>VLOOKUP(E8929,DSSpieler!A:B,2,FALSE)</f>
        <v>#N/A</v>
      </c>
    </row>
    <row r="8930" spans="1:10" x14ac:dyDescent="0.25">
      <c r="A8930">
        <v>10024</v>
      </c>
      <c r="B8930" t="s">
        <v>1872</v>
      </c>
      <c r="C8930">
        <v>596</v>
      </c>
      <c r="D8930">
        <v>465</v>
      </c>
      <c r="E8930">
        <v>1577195841</v>
      </c>
      <c r="F8930">
        <v>2698</v>
      </c>
      <c r="G8930">
        <v>0</v>
      </c>
      <c r="H8930" t="s">
        <v>13845</v>
      </c>
      <c r="I8930">
        <v>10024</v>
      </c>
      <c r="J8930" t="str">
        <f>VLOOKUP(E8930,DSSpieler!A:B,2,FALSE)</f>
        <v>Arsix</v>
      </c>
    </row>
    <row r="8931" spans="1:10" x14ac:dyDescent="0.25">
      <c r="A8931">
        <v>10025</v>
      </c>
      <c r="B8931" t="s">
        <v>531</v>
      </c>
      <c r="C8931">
        <v>474</v>
      </c>
      <c r="D8931">
        <v>511</v>
      </c>
      <c r="E8931">
        <v>0</v>
      </c>
      <c r="F8931">
        <v>266</v>
      </c>
      <c r="G8931">
        <v>0</v>
      </c>
      <c r="H8931" t="s">
        <v>13846</v>
      </c>
      <c r="I8931">
        <v>10025</v>
      </c>
      <c r="J8931" t="e">
        <f>VLOOKUP(E8931,DSSpieler!A:B,2,FALSE)</f>
        <v>#N/A</v>
      </c>
    </row>
    <row r="8932" spans="1:10" x14ac:dyDescent="0.25">
      <c r="A8932">
        <v>10027</v>
      </c>
      <c r="B8932" t="s">
        <v>531</v>
      </c>
      <c r="C8932">
        <v>583</v>
      </c>
      <c r="D8932">
        <v>548</v>
      </c>
      <c r="E8932">
        <v>0</v>
      </c>
      <c r="F8932">
        <v>441</v>
      </c>
      <c r="G8932">
        <v>0</v>
      </c>
      <c r="H8932" t="s">
        <v>13847</v>
      </c>
      <c r="I8932">
        <v>10027</v>
      </c>
      <c r="J8932" t="e">
        <f>VLOOKUP(E8932,DSSpieler!A:B,2,FALSE)</f>
        <v>#N/A</v>
      </c>
    </row>
    <row r="8933" spans="1:10" x14ac:dyDescent="0.25">
      <c r="A8933">
        <v>10028</v>
      </c>
      <c r="B8933" t="s">
        <v>996</v>
      </c>
      <c r="C8933">
        <v>552</v>
      </c>
      <c r="D8933">
        <v>419</v>
      </c>
      <c r="E8933">
        <v>7672723</v>
      </c>
      <c r="F8933">
        <v>5273</v>
      </c>
      <c r="G8933">
        <v>0</v>
      </c>
      <c r="H8933" t="s">
        <v>13848</v>
      </c>
      <c r="I8933">
        <v>10028</v>
      </c>
      <c r="J8933" t="str">
        <f>VLOOKUP(E8933,DSSpieler!A:B,2,FALSE)</f>
        <v>NeNeDuii</v>
      </c>
    </row>
    <row r="8934" spans="1:10" x14ac:dyDescent="0.25">
      <c r="A8934">
        <v>10029</v>
      </c>
      <c r="B8934" t="s">
        <v>1731</v>
      </c>
      <c r="C8934">
        <v>520</v>
      </c>
      <c r="D8934">
        <v>537</v>
      </c>
      <c r="E8934">
        <v>1577163020</v>
      </c>
      <c r="F8934">
        <v>2260</v>
      </c>
      <c r="G8934">
        <v>0</v>
      </c>
      <c r="H8934" t="s">
        <v>13849</v>
      </c>
      <c r="I8934">
        <v>10029</v>
      </c>
      <c r="J8934" t="str">
        <f>VLOOKUP(E8934,DSSpieler!A:B,2,FALSE)</f>
        <v>Daxin</v>
      </c>
    </row>
    <row r="8935" spans="1:10" x14ac:dyDescent="0.25">
      <c r="A8935">
        <v>10030</v>
      </c>
      <c r="B8935" t="s">
        <v>1873</v>
      </c>
      <c r="C8935">
        <v>440</v>
      </c>
      <c r="D8935">
        <v>422</v>
      </c>
      <c r="E8935">
        <v>10108912</v>
      </c>
      <c r="F8935">
        <v>5064</v>
      </c>
      <c r="G8935">
        <v>0</v>
      </c>
      <c r="H8935" t="s">
        <v>13850</v>
      </c>
      <c r="I8935">
        <v>10030</v>
      </c>
      <c r="J8935" t="str">
        <f>VLOOKUP(E8935,DSSpieler!A:B,2,FALSE)</f>
        <v>OverlordArcanis</v>
      </c>
    </row>
    <row r="8936" spans="1:10" x14ac:dyDescent="0.25">
      <c r="A8936">
        <v>10031</v>
      </c>
      <c r="B8936" t="s">
        <v>33763</v>
      </c>
      <c r="C8936">
        <v>472</v>
      </c>
      <c r="D8936">
        <v>577</v>
      </c>
      <c r="E8936">
        <v>9859018</v>
      </c>
      <c r="F8936">
        <v>5189</v>
      </c>
      <c r="G8936">
        <v>0</v>
      </c>
      <c r="H8936" t="s">
        <v>13851</v>
      </c>
      <c r="I8936">
        <v>10031</v>
      </c>
      <c r="J8936" t="str">
        <f>VLOOKUP(E8936,DSSpieler!A:B,2,FALSE)</f>
        <v>harun219</v>
      </c>
    </row>
    <row r="8937" spans="1:10" x14ac:dyDescent="0.25">
      <c r="A8937">
        <v>10032</v>
      </c>
      <c r="B8937" t="s">
        <v>33764</v>
      </c>
      <c r="C8937">
        <v>522</v>
      </c>
      <c r="D8937">
        <v>594</v>
      </c>
      <c r="E8937">
        <v>1576761768</v>
      </c>
      <c r="F8937">
        <v>4111</v>
      </c>
      <c r="G8937">
        <v>0</v>
      </c>
      <c r="H8937" t="s">
        <v>13852</v>
      </c>
      <c r="I8937">
        <v>10032</v>
      </c>
      <c r="J8937" t="str">
        <f>VLOOKUP(E8937,DSSpieler!A:B,2,FALSE)</f>
        <v>lakinho</v>
      </c>
    </row>
    <row r="8938" spans="1:10" x14ac:dyDescent="0.25">
      <c r="A8938">
        <v>10033</v>
      </c>
      <c r="B8938" t="s">
        <v>33765</v>
      </c>
      <c r="C8938">
        <v>559</v>
      </c>
      <c r="D8938">
        <v>578</v>
      </c>
      <c r="E8938">
        <v>1576064169</v>
      </c>
      <c r="F8938">
        <v>4196</v>
      </c>
      <c r="G8938">
        <v>0</v>
      </c>
      <c r="H8938" t="s">
        <v>13853</v>
      </c>
      <c r="I8938">
        <v>10033</v>
      </c>
      <c r="J8938" t="str">
        <f>VLOOKUP(E8938,DSSpieler!A:B,2,FALSE)</f>
        <v>MySkillNoSkill</v>
      </c>
    </row>
    <row r="8939" spans="1:10" x14ac:dyDescent="0.25">
      <c r="A8939">
        <v>10034</v>
      </c>
      <c r="B8939" t="s">
        <v>33766</v>
      </c>
      <c r="C8939">
        <v>485</v>
      </c>
      <c r="D8939">
        <v>404</v>
      </c>
      <c r="E8939">
        <v>1577198333</v>
      </c>
      <c r="F8939">
        <v>4192</v>
      </c>
      <c r="G8939">
        <v>0</v>
      </c>
      <c r="H8939" t="s">
        <v>13854</v>
      </c>
      <c r="I8939">
        <v>10034</v>
      </c>
      <c r="J8939" t="str">
        <f>VLOOKUP(E8939,DSSpieler!A:B,2,FALSE)</f>
        <v>Röninho</v>
      </c>
    </row>
    <row r="8940" spans="1:10" x14ac:dyDescent="0.25">
      <c r="A8940">
        <v>10035</v>
      </c>
      <c r="B8940" t="s">
        <v>33767</v>
      </c>
      <c r="C8940">
        <v>552</v>
      </c>
      <c r="D8940">
        <v>595</v>
      </c>
      <c r="E8940">
        <v>1576721973</v>
      </c>
      <c r="F8940">
        <v>4412</v>
      </c>
      <c r="G8940">
        <v>0</v>
      </c>
      <c r="H8940" t="s">
        <v>13855</v>
      </c>
      <c r="I8940">
        <v>10035</v>
      </c>
      <c r="J8940" t="str">
        <f>VLOOKUP(E8940,DSSpieler!A:B,2,FALSE)</f>
        <v>Absoluter Diplomatierer</v>
      </c>
    </row>
    <row r="8941" spans="1:10" x14ac:dyDescent="0.25">
      <c r="A8941">
        <v>10037</v>
      </c>
      <c r="B8941" t="s">
        <v>531</v>
      </c>
      <c r="C8941">
        <v>447</v>
      </c>
      <c r="D8941">
        <v>579</v>
      </c>
      <c r="E8941">
        <v>0</v>
      </c>
      <c r="F8941">
        <v>103</v>
      </c>
      <c r="G8941">
        <v>0</v>
      </c>
      <c r="H8941" t="s">
        <v>13856</v>
      </c>
      <c r="I8941">
        <v>10037</v>
      </c>
      <c r="J8941" t="e">
        <f>VLOOKUP(E8941,DSSpieler!A:B,2,FALSE)</f>
        <v>#N/A</v>
      </c>
    </row>
    <row r="8942" spans="1:10" x14ac:dyDescent="0.25">
      <c r="A8942">
        <v>10038</v>
      </c>
      <c r="B8942" t="s">
        <v>33768</v>
      </c>
      <c r="C8942">
        <v>586</v>
      </c>
      <c r="D8942">
        <v>456</v>
      </c>
      <c r="E8942">
        <v>1577174546</v>
      </c>
      <c r="F8942">
        <v>4839</v>
      </c>
      <c r="G8942">
        <v>0</v>
      </c>
      <c r="H8942" t="s">
        <v>13857</v>
      </c>
      <c r="I8942">
        <v>10038</v>
      </c>
      <c r="J8942" t="str">
        <f>VLOOKUP(E8942,DSSpieler!A:B,2,FALSE)</f>
        <v>olenhio</v>
      </c>
    </row>
    <row r="8943" spans="1:10" x14ac:dyDescent="0.25">
      <c r="A8943">
        <v>10039</v>
      </c>
      <c r="B8943">
        <v>2</v>
      </c>
      <c r="C8943">
        <v>462</v>
      </c>
      <c r="D8943">
        <v>548</v>
      </c>
      <c r="E8943">
        <v>7943883</v>
      </c>
      <c r="F8943">
        <v>2558</v>
      </c>
      <c r="G8943">
        <v>0</v>
      </c>
      <c r="H8943" t="s">
        <v>13858</v>
      </c>
      <c r="I8943">
        <v>10039</v>
      </c>
      <c r="J8943" t="str">
        <f>VLOOKUP(E8943,DSSpieler!A:B,2,FALSE)</f>
        <v>baua sucht frau</v>
      </c>
    </row>
    <row r="8944" spans="1:10" x14ac:dyDescent="0.25">
      <c r="A8944">
        <v>10040</v>
      </c>
      <c r="B8944" t="s">
        <v>531</v>
      </c>
      <c r="C8944">
        <v>559</v>
      </c>
      <c r="D8944">
        <v>513</v>
      </c>
      <c r="E8944">
        <v>0</v>
      </c>
      <c r="F8944">
        <v>753</v>
      </c>
      <c r="G8944">
        <v>0</v>
      </c>
      <c r="H8944" t="s">
        <v>13859</v>
      </c>
      <c r="I8944">
        <v>10040</v>
      </c>
      <c r="J8944" t="e">
        <f>VLOOKUP(E8944,DSSpieler!A:B,2,FALSE)</f>
        <v>#N/A</v>
      </c>
    </row>
    <row r="8945" spans="1:10" x14ac:dyDescent="0.25">
      <c r="A8945">
        <v>10041</v>
      </c>
      <c r="B8945" t="s">
        <v>33769</v>
      </c>
      <c r="C8945">
        <v>525</v>
      </c>
      <c r="D8945">
        <v>595</v>
      </c>
      <c r="E8945">
        <v>1577193673</v>
      </c>
      <c r="F8945">
        <v>7277</v>
      </c>
      <c r="G8945">
        <v>0</v>
      </c>
      <c r="H8945" t="s">
        <v>13860</v>
      </c>
      <c r="I8945">
        <v>10041</v>
      </c>
      <c r="J8945" t="str">
        <f>VLOOKUP(E8945,DSSpieler!A:B,2,FALSE)</f>
        <v>xlFamous</v>
      </c>
    </row>
    <row r="8946" spans="1:10" x14ac:dyDescent="0.25">
      <c r="A8946">
        <v>10042</v>
      </c>
      <c r="B8946" t="s">
        <v>33770</v>
      </c>
      <c r="C8946">
        <v>524</v>
      </c>
      <c r="D8946">
        <v>594</v>
      </c>
      <c r="E8946">
        <v>1577183490</v>
      </c>
      <c r="F8946">
        <v>8282</v>
      </c>
      <c r="G8946">
        <v>0</v>
      </c>
      <c r="H8946" t="s">
        <v>13861</v>
      </c>
      <c r="I8946">
        <v>10042</v>
      </c>
      <c r="J8946" t="str">
        <f>VLOOKUP(E8946,DSSpieler!A:B,2,FALSE)</f>
        <v>KlabauterKlaus</v>
      </c>
    </row>
    <row r="8947" spans="1:10" x14ac:dyDescent="0.25">
      <c r="A8947">
        <v>10043</v>
      </c>
      <c r="B8947" t="s">
        <v>531</v>
      </c>
      <c r="C8947">
        <v>465</v>
      </c>
      <c r="D8947">
        <v>410</v>
      </c>
      <c r="E8947">
        <v>9818824</v>
      </c>
      <c r="F8947">
        <v>2525</v>
      </c>
      <c r="G8947">
        <v>0</v>
      </c>
      <c r="H8947" t="s">
        <v>13862</v>
      </c>
      <c r="I8947">
        <v>10043</v>
      </c>
      <c r="J8947" t="str">
        <f>VLOOKUP(E8947,DSSpieler!A:B,2,FALSE)</f>
        <v>Phil117</v>
      </c>
    </row>
    <row r="8948" spans="1:10" x14ac:dyDescent="0.25">
      <c r="A8948">
        <v>10044</v>
      </c>
      <c r="B8948" t="s">
        <v>531</v>
      </c>
      <c r="C8948">
        <v>563</v>
      </c>
      <c r="D8948">
        <v>575</v>
      </c>
      <c r="E8948">
        <v>0</v>
      </c>
      <c r="F8948">
        <v>321</v>
      </c>
      <c r="G8948">
        <v>0</v>
      </c>
      <c r="H8948" t="s">
        <v>13863</v>
      </c>
      <c r="I8948">
        <v>10044</v>
      </c>
      <c r="J8948" t="e">
        <f>VLOOKUP(E8948,DSSpieler!A:B,2,FALSE)</f>
        <v>#N/A</v>
      </c>
    </row>
    <row r="8949" spans="1:10" x14ac:dyDescent="0.25">
      <c r="A8949">
        <v>10045</v>
      </c>
      <c r="B8949" t="s">
        <v>1874</v>
      </c>
      <c r="C8949">
        <v>591</v>
      </c>
      <c r="D8949">
        <v>541</v>
      </c>
      <c r="E8949">
        <v>1576125761</v>
      </c>
      <c r="F8949">
        <v>5879</v>
      </c>
      <c r="G8949">
        <v>0</v>
      </c>
      <c r="H8949" t="s">
        <v>13864</v>
      </c>
      <c r="I8949">
        <v>10045</v>
      </c>
      <c r="J8949" t="str">
        <f>VLOOKUP(E8949,DSSpieler!A:B,2,FALSE)</f>
        <v>Riotyouth</v>
      </c>
    </row>
    <row r="8950" spans="1:10" x14ac:dyDescent="0.25">
      <c r="A8950">
        <v>10046</v>
      </c>
      <c r="B8950" t="s">
        <v>1875</v>
      </c>
      <c r="C8950">
        <v>549</v>
      </c>
      <c r="D8950">
        <v>413</v>
      </c>
      <c r="E8950">
        <v>1577160510</v>
      </c>
      <c r="F8950">
        <v>4386</v>
      </c>
      <c r="G8950">
        <v>0</v>
      </c>
      <c r="H8950" t="s">
        <v>13865</v>
      </c>
      <c r="I8950">
        <v>10046</v>
      </c>
      <c r="J8950" t="str">
        <f>VLOOKUP(E8950,DSSpieler!A:B,2,FALSE)</f>
        <v>PrinceLahey</v>
      </c>
    </row>
    <row r="8951" spans="1:10" x14ac:dyDescent="0.25">
      <c r="A8951">
        <v>10047</v>
      </c>
      <c r="B8951" t="s">
        <v>30948</v>
      </c>
      <c r="C8951">
        <v>591</v>
      </c>
      <c r="D8951">
        <v>452</v>
      </c>
      <c r="E8951">
        <v>8857214</v>
      </c>
      <c r="F8951">
        <v>2993</v>
      </c>
      <c r="G8951">
        <v>0</v>
      </c>
      <c r="H8951" t="s">
        <v>13866</v>
      </c>
      <c r="I8951">
        <v>10047</v>
      </c>
      <c r="J8951" t="str">
        <f>VLOOKUP(E8951,DSSpieler!A:B,2,FALSE)</f>
        <v>TheHardyBoy94</v>
      </c>
    </row>
    <row r="8952" spans="1:10" x14ac:dyDescent="0.25">
      <c r="A8952">
        <v>10049</v>
      </c>
      <c r="B8952" t="s">
        <v>33771</v>
      </c>
      <c r="C8952">
        <v>430</v>
      </c>
      <c r="D8952">
        <v>430</v>
      </c>
      <c r="E8952">
        <v>1577181643</v>
      </c>
      <c r="F8952">
        <v>6338</v>
      </c>
      <c r="G8952">
        <v>0</v>
      </c>
      <c r="H8952" t="s">
        <v>13867</v>
      </c>
      <c r="I8952">
        <v>10049</v>
      </c>
      <c r="J8952" t="str">
        <f>VLOOKUP(E8952,DSSpieler!A:B,2,FALSE)</f>
        <v>MadMaxx</v>
      </c>
    </row>
    <row r="8953" spans="1:10" x14ac:dyDescent="0.25">
      <c r="A8953">
        <v>10054</v>
      </c>
      <c r="B8953" t="s">
        <v>687</v>
      </c>
      <c r="C8953">
        <v>423</v>
      </c>
      <c r="D8953">
        <v>447</v>
      </c>
      <c r="E8953">
        <v>1576885344</v>
      </c>
      <c r="F8953">
        <v>5439</v>
      </c>
      <c r="G8953">
        <v>0</v>
      </c>
      <c r="H8953" t="s">
        <v>13868</v>
      </c>
      <c r="I8953">
        <v>10054</v>
      </c>
      <c r="J8953" t="str">
        <f>VLOOKUP(E8953,DSSpieler!A:B,2,FALSE)</f>
        <v>fe08</v>
      </c>
    </row>
    <row r="8954" spans="1:10" x14ac:dyDescent="0.25">
      <c r="A8954">
        <v>10055</v>
      </c>
      <c r="B8954" t="s">
        <v>33772</v>
      </c>
      <c r="C8954">
        <v>446</v>
      </c>
      <c r="D8954">
        <v>418</v>
      </c>
      <c r="E8954">
        <v>1577071150</v>
      </c>
      <c r="F8954">
        <v>5887</v>
      </c>
      <c r="G8954">
        <v>0</v>
      </c>
      <c r="H8954" t="s">
        <v>13869</v>
      </c>
      <c r="I8954">
        <v>10055</v>
      </c>
      <c r="J8954" t="str">
        <f>VLOOKUP(E8954,DSSpieler!A:B,2,FALSE)</f>
        <v>jan110007</v>
      </c>
    </row>
    <row r="8955" spans="1:10" x14ac:dyDescent="0.25">
      <c r="A8955">
        <v>10057</v>
      </c>
      <c r="B8955" t="s">
        <v>531</v>
      </c>
      <c r="C8955">
        <v>502</v>
      </c>
      <c r="D8955">
        <v>598</v>
      </c>
      <c r="E8955">
        <v>0</v>
      </c>
      <c r="F8955">
        <v>323</v>
      </c>
      <c r="G8955">
        <v>0</v>
      </c>
      <c r="H8955" t="s">
        <v>13870</v>
      </c>
      <c r="I8955">
        <v>10057</v>
      </c>
      <c r="J8955" t="e">
        <f>VLOOKUP(E8955,DSSpieler!A:B,2,FALSE)</f>
        <v>#N/A</v>
      </c>
    </row>
    <row r="8956" spans="1:10" x14ac:dyDescent="0.25">
      <c r="A8956">
        <v>10058</v>
      </c>
      <c r="B8956" t="s">
        <v>687</v>
      </c>
      <c r="C8956">
        <v>419</v>
      </c>
      <c r="D8956">
        <v>447</v>
      </c>
      <c r="E8956">
        <v>1576885344</v>
      </c>
      <c r="F8956">
        <v>6187</v>
      </c>
      <c r="G8956">
        <v>0</v>
      </c>
      <c r="H8956" t="s">
        <v>13871</v>
      </c>
      <c r="I8956">
        <v>10058</v>
      </c>
      <c r="J8956" t="str">
        <f>VLOOKUP(E8956,DSSpieler!A:B,2,FALSE)</f>
        <v>fe08</v>
      </c>
    </row>
    <row r="8957" spans="1:10" x14ac:dyDescent="0.25">
      <c r="A8957">
        <v>10059</v>
      </c>
      <c r="B8957" t="s">
        <v>33773</v>
      </c>
      <c r="C8957">
        <v>469</v>
      </c>
      <c r="D8957">
        <v>406</v>
      </c>
      <c r="E8957">
        <v>1576012014</v>
      </c>
      <c r="F8957">
        <v>5078</v>
      </c>
      <c r="G8957">
        <v>0</v>
      </c>
      <c r="H8957" t="s">
        <v>13872</v>
      </c>
      <c r="I8957">
        <v>10059</v>
      </c>
      <c r="J8957" t="str">
        <f>VLOOKUP(E8957,DSSpieler!A:B,2,FALSE)</f>
        <v>Windwächter</v>
      </c>
    </row>
    <row r="8958" spans="1:10" x14ac:dyDescent="0.25">
      <c r="A8958">
        <v>10060</v>
      </c>
      <c r="B8958" t="s">
        <v>33774</v>
      </c>
      <c r="C8958">
        <v>415</v>
      </c>
      <c r="D8958">
        <v>447</v>
      </c>
      <c r="E8958">
        <v>1576879408</v>
      </c>
      <c r="F8958">
        <v>4856</v>
      </c>
      <c r="G8958">
        <v>0</v>
      </c>
      <c r="H8958" t="s">
        <v>13873</v>
      </c>
      <c r="I8958">
        <v>10060</v>
      </c>
      <c r="J8958" t="str">
        <f>VLOOKUP(E8958,DSSpieler!A:B,2,FALSE)</f>
        <v>chris3009</v>
      </c>
    </row>
    <row r="8959" spans="1:10" x14ac:dyDescent="0.25">
      <c r="A8959">
        <v>10062</v>
      </c>
      <c r="B8959">
        <v>321</v>
      </c>
      <c r="C8959">
        <v>418</v>
      </c>
      <c r="D8959">
        <v>447</v>
      </c>
      <c r="E8959">
        <v>1577072096</v>
      </c>
      <c r="F8959">
        <v>4449</v>
      </c>
      <c r="G8959">
        <v>0</v>
      </c>
      <c r="H8959" t="s">
        <v>13874</v>
      </c>
      <c r="I8959">
        <v>10062</v>
      </c>
      <c r="J8959" t="str">
        <f>VLOOKUP(E8959,DSSpieler!A:B,2,FALSE)</f>
        <v>hans777</v>
      </c>
    </row>
    <row r="8960" spans="1:10" x14ac:dyDescent="0.25">
      <c r="A8960">
        <v>10063</v>
      </c>
      <c r="B8960" t="s">
        <v>33775</v>
      </c>
      <c r="C8960">
        <v>585</v>
      </c>
      <c r="D8960">
        <v>449</v>
      </c>
      <c r="E8960">
        <v>1576961556</v>
      </c>
      <c r="F8960">
        <v>6657</v>
      </c>
      <c r="G8960">
        <v>0</v>
      </c>
      <c r="H8960" t="s">
        <v>13875</v>
      </c>
      <c r="I8960">
        <v>10063</v>
      </c>
      <c r="J8960" t="str">
        <f>VLOOKUP(E8960,DSSpieler!A:B,2,FALSE)</f>
        <v>TraderJoey2</v>
      </c>
    </row>
    <row r="8961" spans="1:10" x14ac:dyDescent="0.25">
      <c r="A8961">
        <v>10064</v>
      </c>
      <c r="B8961">
        <v>2</v>
      </c>
      <c r="C8961">
        <v>415</v>
      </c>
      <c r="D8961">
        <v>444</v>
      </c>
      <c r="E8961">
        <v>9768664</v>
      </c>
      <c r="F8961">
        <v>4291</v>
      </c>
      <c r="G8961">
        <v>0</v>
      </c>
      <c r="H8961" t="s">
        <v>13876</v>
      </c>
      <c r="I8961">
        <v>10064</v>
      </c>
      <c r="J8961" t="str">
        <f>VLOOKUP(E8961,DSSpieler!A:B,2,FALSE)</f>
        <v>tobinator2345</v>
      </c>
    </row>
    <row r="8962" spans="1:10" x14ac:dyDescent="0.25">
      <c r="A8962">
        <v>10065</v>
      </c>
      <c r="B8962" t="s">
        <v>33776</v>
      </c>
      <c r="C8962">
        <v>469</v>
      </c>
      <c r="D8962">
        <v>416</v>
      </c>
      <c r="E8962">
        <v>1577188010</v>
      </c>
      <c r="F8962">
        <v>5262</v>
      </c>
      <c r="G8962">
        <v>0</v>
      </c>
      <c r="H8962" t="s">
        <v>13877</v>
      </c>
      <c r="I8962">
        <v>10065</v>
      </c>
      <c r="J8962" t="str">
        <f>VLOOKUP(E8962,DSSpieler!A:B,2,FALSE)</f>
        <v>Lord Grapefruit</v>
      </c>
    </row>
    <row r="8963" spans="1:10" x14ac:dyDescent="0.25">
      <c r="A8963">
        <v>10066</v>
      </c>
      <c r="B8963" t="s">
        <v>1876</v>
      </c>
      <c r="C8963">
        <v>458</v>
      </c>
      <c r="D8963">
        <v>413</v>
      </c>
      <c r="E8963">
        <v>1751754</v>
      </c>
      <c r="F8963">
        <v>4686</v>
      </c>
      <c r="G8963">
        <v>0</v>
      </c>
      <c r="H8963" t="s">
        <v>13878</v>
      </c>
      <c r="I8963">
        <v>10066</v>
      </c>
      <c r="J8963" t="str">
        <f>VLOOKUP(E8963,DSSpieler!A:B,2,FALSE)</f>
        <v>Moali.93</v>
      </c>
    </row>
    <row r="8964" spans="1:10" x14ac:dyDescent="0.25">
      <c r="A8964">
        <v>10067</v>
      </c>
      <c r="B8964" t="s">
        <v>33777</v>
      </c>
      <c r="C8964">
        <v>416</v>
      </c>
      <c r="D8964">
        <v>547</v>
      </c>
      <c r="E8964">
        <v>10235585</v>
      </c>
      <c r="F8964">
        <v>4884</v>
      </c>
      <c r="G8964">
        <v>0</v>
      </c>
      <c r="H8964" t="s">
        <v>13879</v>
      </c>
      <c r="I8964">
        <v>10067</v>
      </c>
      <c r="J8964" t="str">
        <f>VLOOKUP(E8964,DSSpieler!A:B,2,FALSE)</f>
        <v>Destroyl</v>
      </c>
    </row>
    <row r="8965" spans="1:10" x14ac:dyDescent="0.25">
      <c r="A8965">
        <v>10068</v>
      </c>
      <c r="B8965" t="s">
        <v>33778</v>
      </c>
      <c r="C8965">
        <v>453</v>
      </c>
      <c r="D8965">
        <v>534</v>
      </c>
      <c r="E8965">
        <v>1577146825</v>
      </c>
      <c r="F8965">
        <v>5214</v>
      </c>
      <c r="G8965">
        <v>0</v>
      </c>
      <c r="H8965" t="s">
        <v>13880</v>
      </c>
      <c r="I8965">
        <v>10068</v>
      </c>
      <c r="J8965" t="str">
        <f>VLOOKUP(E8965,DSSpieler!A:B,2,FALSE)</f>
        <v>Flexen93</v>
      </c>
    </row>
    <row r="8966" spans="1:10" x14ac:dyDescent="0.25">
      <c r="A8966">
        <v>10069</v>
      </c>
      <c r="B8966" t="s">
        <v>33779</v>
      </c>
      <c r="C8966">
        <v>416</v>
      </c>
      <c r="D8966">
        <v>452</v>
      </c>
      <c r="E8966">
        <v>1576879408</v>
      </c>
      <c r="F8966">
        <v>5485</v>
      </c>
      <c r="G8966">
        <v>0</v>
      </c>
      <c r="H8966" t="s">
        <v>13881</v>
      </c>
      <c r="I8966">
        <v>10069</v>
      </c>
      <c r="J8966" t="str">
        <f>VLOOKUP(E8966,DSSpieler!A:B,2,FALSE)</f>
        <v>chris3009</v>
      </c>
    </row>
    <row r="8967" spans="1:10" x14ac:dyDescent="0.25">
      <c r="A8967">
        <v>10070</v>
      </c>
      <c r="B8967" t="s">
        <v>531</v>
      </c>
      <c r="C8967">
        <v>588</v>
      </c>
      <c r="D8967">
        <v>456</v>
      </c>
      <c r="E8967">
        <v>0</v>
      </c>
      <c r="F8967">
        <v>420</v>
      </c>
      <c r="G8967">
        <v>0</v>
      </c>
      <c r="H8967" t="s">
        <v>13882</v>
      </c>
      <c r="I8967">
        <v>10070</v>
      </c>
      <c r="J8967" t="e">
        <f>VLOOKUP(E8967,DSSpieler!A:B,2,FALSE)</f>
        <v>#N/A</v>
      </c>
    </row>
    <row r="8968" spans="1:10" x14ac:dyDescent="0.25">
      <c r="A8968">
        <v>10071</v>
      </c>
      <c r="B8968" t="s">
        <v>33780</v>
      </c>
      <c r="C8968">
        <v>454</v>
      </c>
      <c r="D8968">
        <v>420</v>
      </c>
      <c r="E8968">
        <v>1577181805</v>
      </c>
      <c r="F8968">
        <v>5225</v>
      </c>
      <c r="G8968">
        <v>0</v>
      </c>
      <c r="H8968" t="s">
        <v>13883</v>
      </c>
      <c r="I8968">
        <v>10071</v>
      </c>
      <c r="J8968" t="str">
        <f>VLOOKUP(E8968,DSSpieler!A:B,2,FALSE)</f>
        <v>Schereschleifer</v>
      </c>
    </row>
    <row r="8969" spans="1:10" x14ac:dyDescent="0.25">
      <c r="A8969">
        <v>10072</v>
      </c>
      <c r="B8969" t="s">
        <v>531</v>
      </c>
      <c r="C8969">
        <v>593</v>
      </c>
      <c r="D8969">
        <v>466</v>
      </c>
      <c r="E8969">
        <v>0</v>
      </c>
      <c r="F8969">
        <v>280</v>
      </c>
      <c r="G8969">
        <v>0</v>
      </c>
      <c r="H8969" t="s">
        <v>13884</v>
      </c>
      <c r="I8969">
        <v>10072</v>
      </c>
      <c r="J8969" t="e">
        <f>VLOOKUP(E8969,DSSpieler!A:B,2,FALSE)</f>
        <v>#N/A</v>
      </c>
    </row>
    <row r="8970" spans="1:10" x14ac:dyDescent="0.25">
      <c r="A8970">
        <v>10074</v>
      </c>
      <c r="B8970" t="s">
        <v>1011</v>
      </c>
      <c r="C8970">
        <v>588</v>
      </c>
      <c r="D8970">
        <v>553</v>
      </c>
      <c r="E8970">
        <v>2679744</v>
      </c>
      <c r="F8970">
        <v>4556</v>
      </c>
      <c r="G8970">
        <v>0</v>
      </c>
      <c r="H8970" t="s">
        <v>13885</v>
      </c>
      <c r="I8970">
        <v>10074</v>
      </c>
      <c r="J8970" t="str">
        <f>VLOOKUP(E8970,DSSpieler!A:B,2,FALSE)</f>
        <v>tortelinie</v>
      </c>
    </row>
    <row r="8971" spans="1:10" x14ac:dyDescent="0.25">
      <c r="A8971">
        <v>10075</v>
      </c>
      <c r="B8971" t="s">
        <v>531</v>
      </c>
      <c r="C8971">
        <v>440</v>
      </c>
      <c r="D8971">
        <v>580</v>
      </c>
      <c r="E8971">
        <v>0</v>
      </c>
      <c r="F8971">
        <v>364</v>
      </c>
      <c r="G8971">
        <v>0</v>
      </c>
      <c r="H8971" t="s">
        <v>13886</v>
      </c>
      <c r="I8971">
        <v>10075</v>
      </c>
      <c r="J8971" t="e">
        <f>VLOOKUP(E8971,DSSpieler!A:B,2,FALSE)</f>
        <v>#N/A</v>
      </c>
    </row>
    <row r="8972" spans="1:10" x14ac:dyDescent="0.25">
      <c r="A8972">
        <v>10077</v>
      </c>
      <c r="B8972" t="s">
        <v>33781</v>
      </c>
      <c r="C8972">
        <v>427</v>
      </c>
      <c r="D8972">
        <v>433</v>
      </c>
      <c r="E8972">
        <v>1576826598</v>
      </c>
      <c r="F8972">
        <v>5327</v>
      </c>
      <c r="G8972">
        <v>0</v>
      </c>
      <c r="H8972" t="s">
        <v>13887</v>
      </c>
      <c r="I8972">
        <v>10077</v>
      </c>
      <c r="J8972" t="str">
        <f>VLOOKUP(E8972,DSSpieler!A:B,2,FALSE)</f>
        <v>Rainer Wahnsinn</v>
      </c>
    </row>
    <row r="8973" spans="1:10" x14ac:dyDescent="0.25">
      <c r="A8973">
        <v>10078</v>
      </c>
      <c r="B8973" t="s">
        <v>531</v>
      </c>
      <c r="C8973">
        <v>480</v>
      </c>
      <c r="D8973">
        <v>595</v>
      </c>
      <c r="E8973">
        <v>0</v>
      </c>
      <c r="F8973">
        <v>444</v>
      </c>
      <c r="G8973">
        <v>0</v>
      </c>
      <c r="H8973" t="s">
        <v>13888</v>
      </c>
      <c r="I8973">
        <v>10078</v>
      </c>
      <c r="J8973" t="e">
        <f>VLOOKUP(E8973,DSSpieler!A:B,2,FALSE)</f>
        <v>#N/A</v>
      </c>
    </row>
    <row r="8974" spans="1:10" x14ac:dyDescent="0.25">
      <c r="A8974">
        <v>10079</v>
      </c>
      <c r="B8974" t="s">
        <v>33782</v>
      </c>
      <c r="C8974">
        <v>581</v>
      </c>
      <c r="D8974">
        <v>445</v>
      </c>
      <c r="E8974">
        <v>735534</v>
      </c>
      <c r="F8974">
        <v>1936</v>
      </c>
      <c r="G8974">
        <v>0</v>
      </c>
      <c r="H8974" t="s">
        <v>13889</v>
      </c>
      <c r="I8974">
        <v>10079</v>
      </c>
      <c r="J8974" t="str">
        <f>VLOOKUP(E8974,DSSpieler!A:B,2,FALSE)</f>
        <v>KönigArtur1234</v>
      </c>
    </row>
    <row r="8975" spans="1:10" x14ac:dyDescent="0.25">
      <c r="A8975">
        <v>10080</v>
      </c>
      <c r="B8975">
        <v>2</v>
      </c>
      <c r="C8975">
        <v>414</v>
      </c>
      <c r="D8975">
        <v>457</v>
      </c>
      <c r="E8975">
        <v>1577112399</v>
      </c>
      <c r="F8975">
        <v>4671</v>
      </c>
      <c r="G8975">
        <v>0</v>
      </c>
      <c r="H8975" t="s">
        <v>13890</v>
      </c>
      <c r="I8975">
        <v>10080</v>
      </c>
      <c r="J8975" t="str">
        <f>VLOOKUP(E8975,DSSpieler!A:B,2,FALSE)</f>
        <v>Biduu</v>
      </c>
    </row>
    <row r="8976" spans="1:10" x14ac:dyDescent="0.25">
      <c r="A8976">
        <v>10082</v>
      </c>
      <c r="B8976" t="s">
        <v>33783</v>
      </c>
      <c r="C8976">
        <v>510</v>
      </c>
      <c r="D8976">
        <v>405</v>
      </c>
      <c r="E8976">
        <v>9490221</v>
      </c>
      <c r="F8976">
        <v>5250</v>
      </c>
      <c r="G8976">
        <v>0</v>
      </c>
      <c r="H8976" t="s">
        <v>13891</v>
      </c>
      <c r="I8976">
        <v>10082</v>
      </c>
      <c r="J8976" t="str">
        <f>VLOOKUP(E8976,DSSpieler!A:B,2,FALSE)</f>
        <v>und alle so yeeow</v>
      </c>
    </row>
    <row r="8977" spans="1:10" x14ac:dyDescent="0.25">
      <c r="A8977">
        <v>10083</v>
      </c>
      <c r="B8977" t="s">
        <v>1877</v>
      </c>
      <c r="C8977">
        <v>454</v>
      </c>
      <c r="D8977">
        <v>417</v>
      </c>
      <c r="E8977">
        <v>10067662</v>
      </c>
      <c r="F8977">
        <v>4766</v>
      </c>
      <c r="G8977">
        <v>0</v>
      </c>
      <c r="H8977" t="s">
        <v>13892</v>
      </c>
      <c r="I8977">
        <v>10083</v>
      </c>
      <c r="J8977" t="str">
        <f>VLOOKUP(E8977,DSSpieler!A:B,2,FALSE)</f>
        <v>DoctorKaBoom</v>
      </c>
    </row>
    <row r="8978" spans="1:10" x14ac:dyDescent="0.25">
      <c r="A8978">
        <v>10084</v>
      </c>
      <c r="B8978" t="s">
        <v>33784</v>
      </c>
      <c r="C8978">
        <v>563</v>
      </c>
      <c r="D8978">
        <v>561</v>
      </c>
      <c r="E8978">
        <v>1577173104</v>
      </c>
      <c r="F8978">
        <v>5611</v>
      </c>
      <c r="G8978">
        <v>0</v>
      </c>
      <c r="H8978" t="s">
        <v>13893</v>
      </c>
      <c r="I8978">
        <v>10084</v>
      </c>
      <c r="J8978" t="str">
        <f>VLOOKUP(E8978,DSSpieler!A:B,2,FALSE)</f>
        <v>Geistreich</v>
      </c>
    </row>
    <row r="8979" spans="1:10" x14ac:dyDescent="0.25">
      <c r="A8979">
        <v>10085</v>
      </c>
      <c r="B8979" t="s">
        <v>1878</v>
      </c>
      <c r="C8979">
        <v>510</v>
      </c>
      <c r="D8979">
        <v>488</v>
      </c>
      <c r="E8979">
        <v>1577196897</v>
      </c>
      <c r="F8979">
        <v>2472</v>
      </c>
      <c r="G8979">
        <v>0</v>
      </c>
      <c r="H8979" t="s">
        <v>13894</v>
      </c>
      <c r="I8979">
        <v>10085</v>
      </c>
      <c r="J8979" t="str">
        <f>VLOOKUP(E8979,DSSpieler!A:B,2,FALSE)</f>
        <v>SturmHans</v>
      </c>
    </row>
    <row r="8980" spans="1:10" x14ac:dyDescent="0.25">
      <c r="A8980">
        <v>10087</v>
      </c>
      <c r="B8980" t="s">
        <v>33785</v>
      </c>
      <c r="C8980">
        <v>473</v>
      </c>
      <c r="D8980">
        <v>596</v>
      </c>
      <c r="E8980">
        <v>1577153052</v>
      </c>
      <c r="F8980">
        <v>6265</v>
      </c>
      <c r="G8980">
        <v>0</v>
      </c>
      <c r="H8980" t="s">
        <v>13895</v>
      </c>
      <c r="I8980">
        <v>10087</v>
      </c>
      <c r="J8980" t="str">
        <f>VLOOKUP(E8980,DSSpieler!A:B,2,FALSE)</f>
        <v>Schatten99</v>
      </c>
    </row>
    <row r="8981" spans="1:10" x14ac:dyDescent="0.25">
      <c r="A8981">
        <v>10088</v>
      </c>
      <c r="B8981" t="s">
        <v>33786</v>
      </c>
      <c r="C8981">
        <v>443</v>
      </c>
      <c r="D8981">
        <v>422</v>
      </c>
      <c r="E8981">
        <v>1576950154</v>
      </c>
      <c r="F8981">
        <v>5655</v>
      </c>
      <c r="G8981">
        <v>0</v>
      </c>
      <c r="H8981" t="s">
        <v>13896</v>
      </c>
      <c r="I8981">
        <v>10088</v>
      </c>
      <c r="J8981" t="str">
        <f>VLOOKUP(E8981,DSSpieler!A:B,2,FALSE)</f>
        <v>Lord Burnsens</v>
      </c>
    </row>
    <row r="8982" spans="1:10" x14ac:dyDescent="0.25">
      <c r="A8982">
        <v>10089</v>
      </c>
      <c r="B8982" t="s">
        <v>33055</v>
      </c>
      <c r="C8982">
        <v>480</v>
      </c>
      <c r="D8982">
        <v>405</v>
      </c>
      <c r="E8982">
        <v>1577166214</v>
      </c>
      <c r="F8982">
        <v>4634</v>
      </c>
      <c r="G8982">
        <v>0</v>
      </c>
      <c r="H8982" t="s">
        <v>13897</v>
      </c>
      <c r="I8982">
        <v>10089</v>
      </c>
      <c r="J8982" t="str">
        <f>VLOOKUP(E8982,DSSpieler!A:B,2,FALSE)</f>
        <v>RAT IRL</v>
      </c>
    </row>
    <row r="8983" spans="1:10" x14ac:dyDescent="0.25">
      <c r="A8983">
        <v>10090</v>
      </c>
      <c r="B8983" t="s">
        <v>531</v>
      </c>
      <c r="C8983">
        <v>456</v>
      </c>
      <c r="D8983">
        <v>589</v>
      </c>
      <c r="E8983">
        <v>0</v>
      </c>
      <c r="F8983">
        <v>366</v>
      </c>
      <c r="G8983">
        <v>0</v>
      </c>
      <c r="H8983" t="s">
        <v>13898</v>
      </c>
      <c r="I8983">
        <v>10090</v>
      </c>
      <c r="J8983" t="e">
        <f>VLOOKUP(E8983,DSSpieler!A:B,2,FALSE)</f>
        <v>#N/A</v>
      </c>
    </row>
    <row r="8984" spans="1:10" x14ac:dyDescent="0.25">
      <c r="A8984">
        <v>10091</v>
      </c>
      <c r="B8984" t="s">
        <v>33787</v>
      </c>
      <c r="C8984">
        <v>417</v>
      </c>
      <c r="D8984">
        <v>465</v>
      </c>
      <c r="E8984">
        <v>1576220948</v>
      </c>
      <c r="F8984">
        <v>5294</v>
      </c>
      <c r="G8984">
        <v>0</v>
      </c>
      <c r="H8984" t="s">
        <v>13899</v>
      </c>
      <c r="I8984">
        <v>10091</v>
      </c>
      <c r="J8984" t="str">
        <f>VLOOKUP(E8984,DSSpieler!A:B,2,FALSE)</f>
        <v>BoostedBonobos</v>
      </c>
    </row>
    <row r="8985" spans="1:10" x14ac:dyDescent="0.25">
      <c r="A8985">
        <v>10093</v>
      </c>
      <c r="B8985" t="s">
        <v>1879</v>
      </c>
      <c r="C8985">
        <v>463</v>
      </c>
      <c r="D8985">
        <v>480</v>
      </c>
      <c r="E8985">
        <v>1577194828</v>
      </c>
      <c r="F8985">
        <v>1556</v>
      </c>
      <c r="G8985">
        <v>0</v>
      </c>
      <c r="H8985" t="s">
        <v>13900</v>
      </c>
      <c r="I8985">
        <v>10093</v>
      </c>
      <c r="J8985" t="str">
        <f>VLOOKUP(E8985,DSSpieler!A:B,2,FALSE)</f>
        <v>Mauki38</v>
      </c>
    </row>
    <row r="8986" spans="1:10" x14ac:dyDescent="0.25">
      <c r="A8986">
        <v>10094</v>
      </c>
      <c r="B8986" t="s">
        <v>531</v>
      </c>
      <c r="C8986">
        <v>410</v>
      </c>
      <c r="D8986">
        <v>459</v>
      </c>
      <c r="E8986">
        <v>0</v>
      </c>
      <c r="F8986">
        <v>187</v>
      </c>
      <c r="G8986">
        <v>0</v>
      </c>
      <c r="H8986" t="s">
        <v>13901</v>
      </c>
      <c r="I8986">
        <v>10094</v>
      </c>
      <c r="J8986" t="e">
        <f>VLOOKUP(E8986,DSSpieler!A:B,2,FALSE)</f>
        <v>#N/A</v>
      </c>
    </row>
    <row r="8987" spans="1:10" x14ac:dyDescent="0.25">
      <c r="A8987">
        <v>10095</v>
      </c>
      <c r="B8987" t="s">
        <v>33788</v>
      </c>
      <c r="C8987">
        <v>556</v>
      </c>
      <c r="D8987">
        <v>538</v>
      </c>
      <c r="E8987">
        <v>9643314</v>
      </c>
      <c r="F8987">
        <v>6748</v>
      </c>
      <c r="G8987">
        <v>0</v>
      </c>
      <c r="H8987" t="s">
        <v>13902</v>
      </c>
      <c r="I8987">
        <v>10095</v>
      </c>
      <c r="J8987" t="str">
        <f>VLOOKUP(E8987,DSSpieler!A:B,2,FALSE)</f>
        <v>.Gulaschkanonier.</v>
      </c>
    </row>
    <row r="8988" spans="1:10" x14ac:dyDescent="0.25">
      <c r="A8988">
        <v>10096</v>
      </c>
      <c r="B8988" t="s">
        <v>1880</v>
      </c>
      <c r="C8988">
        <v>461</v>
      </c>
      <c r="D8988">
        <v>424</v>
      </c>
      <c r="E8988">
        <v>1577198372</v>
      </c>
      <c r="F8988">
        <v>2376</v>
      </c>
      <c r="G8988">
        <v>0</v>
      </c>
      <c r="H8988" t="s">
        <v>13903</v>
      </c>
      <c r="I8988">
        <v>10096</v>
      </c>
      <c r="J8988" t="str">
        <f>VLOOKUP(E8988,DSSpieler!A:B,2,FALSE)</f>
        <v>SyxItInMan</v>
      </c>
    </row>
    <row r="8989" spans="1:10" x14ac:dyDescent="0.25">
      <c r="A8989">
        <v>10097</v>
      </c>
      <c r="B8989" t="s">
        <v>33789</v>
      </c>
      <c r="C8989">
        <v>438</v>
      </c>
      <c r="D8989">
        <v>436</v>
      </c>
      <c r="E8989">
        <v>1577186220</v>
      </c>
      <c r="F8989">
        <v>4947</v>
      </c>
      <c r="G8989">
        <v>0</v>
      </c>
      <c r="H8989" t="s">
        <v>13904</v>
      </c>
      <c r="I8989">
        <v>10097</v>
      </c>
      <c r="J8989" t="str">
        <f>VLOOKUP(E8989,DSSpieler!A:B,2,FALSE)</f>
        <v>Zlatantim</v>
      </c>
    </row>
    <row r="8990" spans="1:10" x14ac:dyDescent="0.25">
      <c r="A8990">
        <v>10098</v>
      </c>
      <c r="B8990" t="s">
        <v>33790</v>
      </c>
      <c r="C8990">
        <v>582</v>
      </c>
      <c r="D8990">
        <v>459</v>
      </c>
      <c r="E8990">
        <v>1577189770</v>
      </c>
      <c r="F8990">
        <v>7698</v>
      </c>
      <c r="G8990">
        <v>0</v>
      </c>
      <c r="H8990" t="s">
        <v>13905</v>
      </c>
      <c r="I8990">
        <v>10098</v>
      </c>
      <c r="J8990" t="str">
        <f>VLOOKUP(E8990,DSSpieler!A:B,2,FALSE)</f>
        <v>lordina</v>
      </c>
    </row>
    <row r="8991" spans="1:10" x14ac:dyDescent="0.25">
      <c r="A8991">
        <v>10099</v>
      </c>
      <c r="B8991" t="s">
        <v>33791</v>
      </c>
      <c r="C8991">
        <v>520</v>
      </c>
      <c r="D8991">
        <v>608</v>
      </c>
      <c r="E8991">
        <v>832699</v>
      </c>
      <c r="F8991">
        <v>6948</v>
      </c>
      <c r="G8991">
        <v>0</v>
      </c>
      <c r="H8991" t="s">
        <v>13906</v>
      </c>
      <c r="I8991">
        <v>10099</v>
      </c>
      <c r="J8991" t="str">
        <f>VLOOKUP(E8991,DSSpieler!A:B,2,FALSE)</f>
        <v>Y@r0n</v>
      </c>
    </row>
    <row r="8992" spans="1:10" x14ac:dyDescent="0.25">
      <c r="A8992">
        <v>10101</v>
      </c>
      <c r="B8992" t="s">
        <v>780</v>
      </c>
      <c r="C8992">
        <v>597</v>
      </c>
      <c r="D8992">
        <v>516</v>
      </c>
      <c r="E8992">
        <v>1577195219</v>
      </c>
      <c r="F8992">
        <v>4889</v>
      </c>
      <c r="G8992">
        <v>0</v>
      </c>
      <c r="H8992" t="s">
        <v>13907</v>
      </c>
      <c r="I8992">
        <v>10101</v>
      </c>
      <c r="J8992" t="str">
        <f>VLOOKUP(E8992,DSSpieler!A:B,2,FALSE)</f>
        <v>Eric Cartman</v>
      </c>
    </row>
    <row r="8993" spans="1:10" x14ac:dyDescent="0.25">
      <c r="A8993">
        <v>10102</v>
      </c>
      <c r="B8993" t="s">
        <v>33792</v>
      </c>
      <c r="C8993">
        <v>405</v>
      </c>
      <c r="D8993">
        <v>496</v>
      </c>
      <c r="E8993">
        <v>9807006</v>
      </c>
      <c r="F8993">
        <v>5012</v>
      </c>
      <c r="G8993">
        <v>0</v>
      </c>
      <c r="H8993" t="s">
        <v>13908</v>
      </c>
      <c r="I8993">
        <v>10102</v>
      </c>
      <c r="J8993" t="str">
        <f>VLOOKUP(E8993,DSSpieler!A:B,2,FALSE)</f>
        <v>CyserixXx</v>
      </c>
    </row>
    <row r="8994" spans="1:10" x14ac:dyDescent="0.25">
      <c r="A8994">
        <v>10103</v>
      </c>
      <c r="B8994" t="s">
        <v>1438</v>
      </c>
      <c r="C8994">
        <v>448</v>
      </c>
      <c r="D8994">
        <v>418</v>
      </c>
      <c r="E8994">
        <v>1577183207</v>
      </c>
      <c r="F8994">
        <v>1862</v>
      </c>
      <c r="G8994">
        <v>0</v>
      </c>
      <c r="H8994" t="s">
        <v>13909</v>
      </c>
      <c r="I8994">
        <v>10103</v>
      </c>
      <c r="J8994" t="str">
        <f>VLOOKUP(E8994,DSSpieler!A:B,2,FALSE)</f>
        <v>dubfried</v>
      </c>
    </row>
    <row r="8995" spans="1:10" x14ac:dyDescent="0.25">
      <c r="A8995">
        <v>10104</v>
      </c>
      <c r="B8995" s="111">
        <v>230.03</v>
      </c>
      <c r="C8995">
        <v>455</v>
      </c>
      <c r="D8995">
        <v>588</v>
      </c>
      <c r="E8995">
        <v>1577027447</v>
      </c>
      <c r="F8995">
        <v>6912</v>
      </c>
      <c r="G8995">
        <v>0</v>
      </c>
      <c r="H8995" t="s">
        <v>13910</v>
      </c>
      <c r="I8995">
        <v>10104</v>
      </c>
      <c r="J8995" t="str">
        <f>VLOOKUP(E8995,DSSpieler!A:B,2,FALSE)</f>
        <v>Ynef</v>
      </c>
    </row>
    <row r="8996" spans="1:10" x14ac:dyDescent="0.25">
      <c r="A8996">
        <v>10105</v>
      </c>
      <c r="B8996" t="s">
        <v>33793</v>
      </c>
      <c r="C8996">
        <v>408</v>
      </c>
      <c r="D8996">
        <v>508</v>
      </c>
      <c r="E8996">
        <v>8477631</v>
      </c>
      <c r="F8996">
        <v>1952</v>
      </c>
      <c r="G8996">
        <v>0</v>
      </c>
      <c r="H8996" t="s">
        <v>13911</v>
      </c>
      <c r="I8996">
        <v>10105</v>
      </c>
      <c r="J8996" t="str">
        <f>VLOOKUP(E8996,DSSpieler!A:B,2,FALSE)</f>
        <v>Harakon</v>
      </c>
    </row>
    <row r="8997" spans="1:10" x14ac:dyDescent="0.25">
      <c r="A8997">
        <v>10106</v>
      </c>
      <c r="B8997" t="s">
        <v>33794</v>
      </c>
      <c r="C8997">
        <v>409</v>
      </c>
      <c r="D8997">
        <v>502</v>
      </c>
      <c r="E8997">
        <v>8477631</v>
      </c>
      <c r="F8997">
        <v>6050</v>
      </c>
      <c r="G8997">
        <v>0</v>
      </c>
      <c r="H8997" t="s">
        <v>13912</v>
      </c>
      <c r="I8997">
        <v>10106</v>
      </c>
      <c r="J8997" t="str">
        <f>VLOOKUP(E8997,DSSpieler!A:B,2,FALSE)</f>
        <v>Harakon</v>
      </c>
    </row>
    <row r="8998" spans="1:10" x14ac:dyDescent="0.25">
      <c r="A8998">
        <v>10107</v>
      </c>
      <c r="B8998" t="s">
        <v>35849</v>
      </c>
      <c r="C8998">
        <v>426</v>
      </c>
      <c r="D8998">
        <v>565</v>
      </c>
      <c r="E8998">
        <v>1577096999</v>
      </c>
      <c r="F8998">
        <v>5596</v>
      </c>
      <c r="G8998">
        <v>0</v>
      </c>
      <c r="H8998" t="s">
        <v>13913</v>
      </c>
      <c r="I8998">
        <v>10107</v>
      </c>
      <c r="J8998" t="str">
        <f>VLOOKUP(E8998,DSSpieler!A:B,2,FALSE)</f>
        <v>Grandpa</v>
      </c>
    </row>
    <row r="8999" spans="1:10" x14ac:dyDescent="0.25">
      <c r="A8999">
        <v>10108</v>
      </c>
      <c r="B8999" t="s">
        <v>33795</v>
      </c>
      <c r="C8999">
        <v>465</v>
      </c>
      <c r="D8999">
        <v>409</v>
      </c>
      <c r="E8999">
        <v>8309212</v>
      </c>
      <c r="F8999">
        <v>3851</v>
      </c>
      <c r="G8999">
        <v>0</v>
      </c>
      <c r="H8999" t="s">
        <v>13914</v>
      </c>
      <c r="I8999">
        <v>10108</v>
      </c>
      <c r="J8999" t="str">
        <f>VLOOKUP(E8999,DSSpieler!A:B,2,FALSE)</f>
        <v>kiing-kasthe</v>
      </c>
    </row>
    <row r="9000" spans="1:10" x14ac:dyDescent="0.25">
      <c r="A9000">
        <v>10109</v>
      </c>
      <c r="B9000">
        <v>1</v>
      </c>
      <c r="C9000">
        <v>555</v>
      </c>
      <c r="D9000">
        <v>417</v>
      </c>
      <c r="E9000">
        <v>1576899646</v>
      </c>
      <c r="F9000">
        <v>7663</v>
      </c>
      <c r="G9000">
        <v>0</v>
      </c>
      <c r="H9000" t="s">
        <v>13915</v>
      </c>
      <c r="I9000">
        <v>10109</v>
      </c>
      <c r="J9000" t="str">
        <f>VLOOKUP(E9000,DSSpieler!A:B,2,FALSE)</f>
        <v>Rabauk1</v>
      </c>
    </row>
    <row r="9001" spans="1:10" x14ac:dyDescent="0.25">
      <c r="A9001">
        <v>10110</v>
      </c>
      <c r="B9001" t="s">
        <v>33796</v>
      </c>
      <c r="C9001">
        <v>402</v>
      </c>
      <c r="D9001">
        <v>513</v>
      </c>
      <c r="E9001">
        <v>8712330</v>
      </c>
      <c r="F9001">
        <v>8236</v>
      </c>
      <c r="G9001">
        <v>0</v>
      </c>
      <c r="H9001" t="s">
        <v>13916</v>
      </c>
      <c r="I9001">
        <v>10110</v>
      </c>
      <c r="J9001" t="str">
        <f>VLOOKUP(E9001,DSSpieler!A:B,2,FALSE)</f>
        <v>Bahoz91</v>
      </c>
    </row>
    <row r="9002" spans="1:10" x14ac:dyDescent="0.25">
      <c r="A9002">
        <v>10111</v>
      </c>
      <c r="B9002" t="s">
        <v>33797</v>
      </c>
      <c r="C9002">
        <v>446</v>
      </c>
      <c r="D9002">
        <v>421</v>
      </c>
      <c r="E9002">
        <v>1577182403</v>
      </c>
      <c r="F9002">
        <v>5331</v>
      </c>
      <c r="G9002">
        <v>0</v>
      </c>
      <c r="H9002" t="s">
        <v>13917</v>
      </c>
      <c r="I9002">
        <v>10111</v>
      </c>
      <c r="J9002" t="str">
        <f>VLOOKUP(E9002,DSSpieler!A:B,2,FALSE)</f>
        <v>Hoffi93</v>
      </c>
    </row>
    <row r="9003" spans="1:10" x14ac:dyDescent="0.25">
      <c r="A9003">
        <v>10117</v>
      </c>
      <c r="B9003" t="s">
        <v>1881</v>
      </c>
      <c r="C9003">
        <v>466</v>
      </c>
      <c r="D9003">
        <v>451</v>
      </c>
      <c r="E9003">
        <v>1577039301</v>
      </c>
      <c r="F9003">
        <v>4586</v>
      </c>
      <c r="G9003">
        <v>0</v>
      </c>
      <c r="H9003" t="s">
        <v>13918</v>
      </c>
      <c r="I9003">
        <v>10117</v>
      </c>
      <c r="J9003" t="str">
        <f>VLOOKUP(E9003,DSSpieler!A:B,2,FALSE)</f>
        <v>Yuled54</v>
      </c>
    </row>
    <row r="9004" spans="1:10" x14ac:dyDescent="0.25">
      <c r="A9004">
        <v>10119</v>
      </c>
      <c r="B9004" t="s">
        <v>33798</v>
      </c>
      <c r="C9004">
        <v>406</v>
      </c>
      <c r="D9004">
        <v>476</v>
      </c>
      <c r="E9004">
        <v>543291</v>
      </c>
      <c r="F9004">
        <v>5556</v>
      </c>
      <c r="G9004">
        <v>0</v>
      </c>
      <c r="H9004" t="s">
        <v>13919</v>
      </c>
      <c r="I9004">
        <v>10119</v>
      </c>
      <c r="J9004" t="str">
        <f>VLOOKUP(E9004,DSSpieler!A:B,2,FALSE)</f>
        <v>Proty</v>
      </c>
    </row>
    <row r="9005" spans="1:10" x14ac:dyDescent="0.25">
      <c r="A9005">
        <v>10120</v>
      </c>
      <c r="B9005" t="s">
        <v>33799</v>
      </c>
      <c r="C9005">
        <v>518</v>
      </c>
      <c r="D9005">
        <v>410</v>
      </c>
      <c r="E9005">
        <v>1576916652</v>
      </c>
      <c r="F9005">
        <v>6865</v>
      </c>
      <c r="G9005">
        <v>0</v>
      </c>
      <c r="H9005" t="s">
        <v>13920</v>
      </c>
      <c r="I9005">
        <v>10120</v>
      </c>
      <c r="J9005" t="str">
        <f>VLOOKUP(E9005,DSSpieler!A:B,2,FALSE)</f>
        <v>jonny1509</v>
      </c>
    </row>
    <row r="9006" spans="1:10" x14ac:dyDescent="0.25">
      <c r="A9006">
        <v>10122</v>
      </c>
      <c r="B9006" t="s">
        <v>531</v>
      </c>
      <c r="C9006">
        <v>599</v>
      </c>
      <c r="D9006">
        <v>498</v>
      </c>
      <c r="E9006">
        <v>0</v>
      </c>
      <c r="F9006">
        <v>359</v>
      </c>
      <c r="G9006">
        <v>0</v>
      </c>
      <c r="H9006" t="s">
        <v>13921</v>
      </c>
      <c r="I9006">
        <v>10122</v>
      </c>
      <c r="J9006" t="e">
        <f>VLOOKUP(E9006,DSSpieler!A:B,2,FALSE)</f>
        <v>#N/A</v>
      </c>
    </row>
    <row r="9007" spans="1:10" x14ac:dyDescent="0.25">
      <c r="A9007">
        <v>10123</v>
      </c>
      <c r="B9007" t="s">
        <v>1882</v>
      </c>
      <c r="C9007">
        <v>406</v>
      </c>
      <c r="D9007">
        <v>533</v>
      </c>
      <c r="E9007">
        <v>1576221415</v>
      </c>
      <c r="F9007">
        <v>4300</v>
      </c>
      <c r="G9007">
        <v>0</v>
      </c>
      <c r="H9007" t="s">
        <v>13922</v>
      </c>
      <c r="I9007">
        <v>10123</v>
      </c>
      <c r="J9007" t="str">
        <f>VLOOKUP(E9007,DSSpieler!A:B,2,FALSE)</f>
        <v>Lady Sommersprosse</v>
      </c>
    </row>
    <row r="9008" spans="1:10" x14ac:dyDescent="0.25">
      <c r="A9008">
        <v>10124</v>
      </c>
      <c r="B9008" t="s">
        <v>33800</v>
      </c>
      <c r="C9008">
        <v>413</v>
      </c>
      <c r="D9008">
        <v>550</v>
      </c>
      <c r="E9008">
        <v>9942630</v>
      </c>
      <c r="F9008">
        <v>5725</v>
      </c>
      <c r="G9008">
        <v>0</v>
      </c>
      <c r="H9008" t="s">
        <v>13923</v>
      </c>
      <c r="I9008">
        <v>10124</v>
      </c>
      <c r="J9008" t="str">
        <f>VLOOKUP(E9008,DSSpieler!A:B,2,FALSE)</f>
        <v>Dr. med. Räscher</v>
      </c>
    </row>
    <row r="9009" spans="1:10" x14ac:dyDescent="0.25">
      <c r="A9009">
        <v>10125</v>
      </c>
      <c r="B9009" t="s">
        <v>531</v>
      </c>
      <c r="C9009">
        <v>530</v>
      </c>
      <c r="D9009">
        <v>593</v>
      </c>
      <c r="E9009">
        <v>0</v>
      </c>
      <c r="F9009">
        <v>405</v>
      </c>
      <c r="G9009">
        <v>0</v>
      </c>
      <c r="H9009" t="s">
        <v>13924</v>
      </c>
      <c r="I9009">
        <v>10125</v>
      </c>
      <c r="J9009" t="e">
        <f>VLOOKUP(E9009,DSSpieler!A:B,2,FALSE)</f>
        <v>#N/A</v>
      </c>
    </row>
    <row r="9010" spans="1:10" x14ac:dyDescent="0.25">
      <c r="A9010">
        <v>10126</v>
      </c>
      <c r="B9010" t="s">
        <v>531</v>
      </c>
      <c r="C9010">
        <v>409</v>
      </c>
      <c r="D9010">
        <v>462</v>
      </c>
      <c r="E9010">
        <v>0</v>
      </c>
      <c r="F9010">
        <v>202</v>
      </c>
      <c r="G9010">
        <v>0</v>
      </c>
      <c r="H9010" t="s">
        <v>13925</v>
      </c>
      <c r="I9010">
        <v>10126</v>
      </c>
      <c r="J9010" t="e">
        <f>VLOOKUP(E9010,DSSpieler!A:B,2,FALSE)</f>
        <v>#N/A</v>
      </c>
    </row>
    <row r="9011" spans="1:10" x14ac:dyDescent="0.25">
      <c r="A9011">
        <v>10127</v>
      </c>
      <c r="B9011" t="s">
        <v>33801</v>
      </c>
      <c r="C9011">
        <v>439</v>
      </c>
      <c r="D9011">
        <v>423</v>
      </c>
      <c r="E9011">
        <v>7806902</v>
      </c>
      <c r="F9011">
        <v>4754</v>
      </c>
      <c r="G9011">
        <v>0</v>
      </c>
      <c r="H9011" t="s">
        <v>13926</v>
      </c>
      <c r="I9011">
        <v>10127</v>
      </c>
      <c r="J9011" t="str">
        <f>VLOOKUP(E9011,DSSpieler!A:B,2,FALSE)</f>
        <v>Aiyomayo</v>
      </c>
    </row>
    <row r="9012" spans="1:10" x14ac:dyDescent="0.25">
      <c r="A9012">
        <v>10128</v>
      </c>
      <c r="B9012" t="s">
        <v>531</v>
      </c>
      <c r="C9012">
        <v>510</v>
      </c>
      <c r="D9012">
        <v>598</v>
      </c>
      <c r="E9012">
        <v>0</v>
      </c>
      <c r="F9012">
        <v>410</v>
      </c>
      <c r="G9012">
        <v>0</v>
      </c>
      <c r="H9012" t="s">
        <v>13927</v>
      </c>
      <c r="I9012">
        <v>10128</v>
      </c>
      <c r="J9012" t="e">
        <f>VLOOKUP(E9012,DSSpieler!A:B,2,FALSE)</f>
        <v>#N/A</v>
      </c>
    </row>
    <row r="9013" spans="1:10" x14ac:dyDescent="0.25">
      <c r="A9013">
        <v>10130</v>
      </c>
      <c r="B9013" t="s">
        <v>531</v>
      </c>
      <c r="C9013">
        <v>403</v>
      </c>
      <c r="D9013">
        <v>499</v>
      </c>
      <c r="E9013">
        <v>0</v>
      </c>
      <c r="F9013">
        <v>222</v>
      </c>
      <c r="G9013">
        <v>0</v>
      </c>
      <c r="H9013" t="s">
        <v>13928</v>
      </c>
      <c r="I9013">
        <v>10130</v>
      </c>
      <c r="J9013" t="e">
        <f>VLOOKUP(E9013,DSSpieler!A:B,2,FALSE)</f>
        <v>#N/A</v>
      </c>
    </row>
    <row r="9014" spans="1:10" x14ac:dyDescent="0.25">
      <c r="A9014">
        <v>10132</v>
      </c>
      <c r="B9014" t="s">
        <v>531</v>
      </c>
      <c r="C9014">
        <v>448</v>
      </c>
      <c r="D9014">
        <v>581</v>
      </c>
      <c r="E9014">
        <v>0</v>
      </c>
      <c r="F9014">
        <v>190</v>
      </c>
      <c r="G9014">
        <v>0</v>
      </c>
      <c r="H9014" t="s">
        <v>13929</v>
      </c>
      <c r="I9014">
        <v>10132</v>
      </c>
      <c r="J9014" t="e">
        <f>VLOOKUP(E9014,DSSpieler!A:B,2,FALSE)</f>
        <v>#N/A</v>
      </c>
    </row>
    <row r="9015" spans="1:10" x14ac:dyDescent="0.25">
      <c r="A9015">
        <v>10133</v>
      </c>
      <c r="B9015" t="s">
        <v>33802</v>
      </c>
      <c r="C9015">
        <v>403</v>
      </c>
      <c r="D9015">
        <v>512</v>
      </c>
      <c r="E9015">
        <v>8712330</v>
      </c>
      <c r="F9015">
        <v>1602</v>
      </c>
      <c r="G9015">
        <v>0</v>
      </c>
      <c r="H9015" t="s">
        <v>13930</v>
      </c>
      <c r="I9015">
        <v>10133</v>
      </c>
      <c r="J9015" t="str">
        <f>VLOOKUP(E9015,DSSpieler!A:B,2,FALSE)</f>
        <v>Bahoz91</v>
      </c>
    </row>
    <row r="9016" spans="1:10" x14ac:dyDescent="0.25">
      <c r="A9016">
        <v>10134</v>
      </c>
      <c r="B9016" t="s">
        <v>33803</v>
      </c>
      <c r="C9016">
        <v>568</v>
      </c>
      <c r="D9016">
        <v>426</v>
      </c>
      <c r="E9016">
        <v>2893048</v>
      </c>
      <c r="F9016">
        <v>2999</v>
      </c>
      <c r="G9016">
        <v>0</v>
      </c>
      <c r="H9016" t="s">
        <v>13931</v>
      </c>
      <c r="I9016">
        <v>10134</v>
      </c>
      <c r="J9016" t="str">
        <f>VLOOKUP(E9016,DSSpieler!A:B,2,FALSE)</f>
        <v>pajori</v>
      </c>
    </row>
    <row r="9017" spans="1:10" x14ac:dyDescent="0.25">
      <c r="A9017">
        <v>10135</v>
      </c>
      <c r="B9017" t="s">
        <v>531</v>
      </c>
      <c r="C9017">
        <v>454</v>
      </c>
      <c r="D9017">
        <v>435</v>
      </c>
      <c r="E9017">
        <v>0</v>
      </c>
      <c r="F9017">
        <v>510</v>
      </c>
      <c r="G9017">
        <v>0</v>
      </c>
      <c r="H9017" t="s">
        <v>13932</v>
      </c>
      <c r="I9017">
        <v>10135</v>
      </c>
      <c r="J9017" t="e">
        <f>VLOOKUP(E9017,DSSpieler!A:B,2,FALSE)</f>
        <v>#N/A</v>
      </c>
    </row>
    <row r="9018" spans="1:10" x14ac:dyDescent="0.25">
      <c r="A9018">
        <v>10136</v>
      </c>
      <c r="B9018" t="s">
        <v>33804</v>
      </c>
      <c r="C9018">
        <v>462</v>
      </c>
      <c r="D9018">
        <v>408</v>
      </c>
      <c r="E9018">
        <v>10008820</v>
      </c>
      <c r="F9018">
        <v>3591</v>
      </c>
      <c r="G9018">
        <v>0</v>
      </c>
      <c r="H9018" t="s">
        <v>13933</v>
      </c>
      <c r="I9018">
        <v>10136</v>
      </c>
      <c r="J9018" t="str">
        <f>VLOOKUP(E9018,DSSpieler!A:B,2,FALSE)</f>
        <v>Phasen Kasper</v>
      </c>
    </row>
    <row r="9019" spans="1:10" x14ac:dyDescent="0.25">
      <c r="A9019">
        <v>10137</v>
      </c>
      <c r="B9019" t="s">
        <v>1883</v>
      </c>
      <c r="C9019">
        <v>457</v>
      </c>
      <c r="D9019">
        <v>424</v>
      </c>
      <c r="E9019">
        <v>1577198372</v>
      </c>
      <c r="F9019">
        <v>4427</v>
      </c>
      <c r="G9019">
        <v>0</v>
      </c>
      <c r="H9019" t="s">
        <v>13934</v>
      </c>
      <c r="I9019">
        <v>10137</v>
      </c>
      <c r="J9019" t="str">
        <f>VLOOKUP(E9019,DSSpieler!A:B,2,FALSE)</f>
        <v>SyxItInMan</v>
      </c>
    </row>
    <row r="9020" spans="1:10" x14ac:dyDescent="0.25">
      <c r="A9020">
        <v>10138</v>
      </c>
      <c r="B9020" t="s">
        <v>531</v>
      </c>
      <c r="C9020">
        <v>599</v>
      </c>
      <c r="D9020">
        <v>494</v>
      </c>
      <c r="E9020">
        <v>2019815</v>
      </c>
      <c r="F9020">
        <v>975</v>
      </c>
      <c r="G9020">
        <v>0</v>
      </c>
      <c r="H9020" t="s">
        <v>13935</v>
      </c>
      <c r="I9020">
        <v>10138</v>
      </c>
      <c r="J9020" t="str">
        <f>VLOOKUP(E9020,DSSpieler!A:B,2,FALSE)</f>
        <v>QUINCY28</v>
      </c>
    </row>
    <row r="9021" spans="1:10" x14ac:dyDescent="0.25">
      <c r="A9021">
        <v>10139</v>
      </c>
      <c r="B9021" t="s">
        <v>1884</v>
      </c>
      <c r="C9021">
        <v>516</v>
      </c>
      <c r="D9021">
        <v>403</v>
      </c>
      <c r="E9021">
        <v>1577184604</v>
      </c>
      <c r="F9021">
        <v>7383</v>
      </c>
      <c r="G9021">
        <v>0</v>
      </c>
      <c r="H9021" t="s">
        <v>13936</v>
      </c>
      <c r="I9021">
        <v>10139</v>
      </c>
      <c r="J9021" t="str">
        <f>VLOOKUP(E9021,DSSpieler!A:B,2,FALSE)</f>
        <v>sanki D yok</v>
      </c>
    </row>
    <row r="9022" spans="1:10" x14ac:dyDescent="0.25">
      <c r="A9022">
        <v>10140</v>
      </c>
      <c r="B9022" t="s">
        <v>531</v>
      </c>
      <c r="C9022">
        <v>409</v>
      </c>
      <c r="D9022">
        <v>529</v>
      </c>
      <c r="E9022">
        <v>0</v>
      </c>
      <c r="F9022">
        <v>244</v>
      </c>
      <c r="G9022">
        <v>0</v>
      </c>
      <c r="H9022" t="s">
        <v>13937</v>
      </c>
      <c r="I9022">
        <v>10140</v>
      </c>
      <c r="J9022" t="e">
        <f>VLOOKUP(E9022,DSSpieler!A:B,2,FALSE)</f>
        <v>#N/A</v>
      </c>
    </row>
    <row r="9023" spans="1:10" x14ac:dyDescent="0.25">
      <c r="A9023">
        <v>10142</v>
      </c>
      <c r="B9023" t="s">
        <v>531</v>
      </c>
      <c r="C9023">
        <v>403</v>
      </c>
      <c r="D9023">
        <v>483</v>
      </c>
      <c r="E9023">
        <v>0</v>
      </c>
      <c r="F9023">
        <v>215</v>
      </c>
      <c r="G9023">
        <v>0</v>
      </c>
      <c r="H9023" t="s">
        <v>13938</v>
      </c>
      <c r="I9023">
        <v>10142</v>
      </c>
      <c r="J9023" t="e">
        <f>VLOOKUP(E9023,DSSpieler!A:B,2,FALSE)</f>
        <v>#N/A</v>
      </c>
    </row>
    <row r="9024" spans="1:10" x14ac:dyDescent="0.25">
      <c r="A9024">
        <v>10143</v>
      </c>
      <c r="B9024" t="s">
        <v>531</v>
      </c>
      <c r="C9024">
        <v>404</v>
      </c>
      <c r="D9024">
        <v>509</v>
      </c>
      <c r="E9024">
        <v>0</v>
      </c>
      <c r="F9024">
        <v>213</v>
      </c>
      <c r="G9024">
        <v>0</v>
      </c>
      <c r="H9024" t="s">
        <v>13939</v>
      </c>
      <c r="I9024">
        <v>10143</v>
      </c>
      <c r="J9024" t="e">
        <f>VLOOKUP(E9024,DSSpieler!A:B,2,FALSE)</f>
        <v>#N/A</v>
      </c>
    </row>
    <row r="9025" spans="1:10" x14ac:dyDescent="0.25">
      <c r="A9025">
        <v>10144</v>
      </c>
      <c r="B9025" t="s">
        <v>531</v>
      </c>
      <c r="C9025">
        <v>486</v>
      </c>
      <c r="D9025">
        <v>598</v>
      </c>
      <c r="E9025">
        <v>0</v>
      </c>
      <c r="F9025">
        <v>346</v>
      </c>
      <c r="G9025">
        <v>0</v>
      </c>
      <c r="H9025" t="s">
        <v>13940</v>
      </c>
      <c r="I9025">
        <v>10144</v>
      </c>
      <c r="J9025" t="e">
        <f>VLOOKUP(E9025,DSSpieler!A:B,2,FALSE)</f>
        <v>#N/A</v>
      </c>
    </row>
    <row r="9026" spans="1:10" x14ac:dyDescent="0.25">
      <c r="A9026">
        <v>10145</v>
      </c>
      <c r="B9026" t="s">
        <v>33805</v>
      </c>
      <c r="C9026">
        <v>407</v>
      </c>
      <c r="D9026">
        <v>509</v>
      </c>
      <c r="E9026">
        <v>8477631</v>
      </c>
      <c r="F9026">
        <v>6088</v>
      </c>
      <c r="G9026">
        <v>0</v>
      </c>
      <c r="H9026" t="s">
        <v>13941</v>
      </c>
      <c r="I9026">
        <v>10145</v>
      </c>
      <c r="J9026" t="str">
        <f>VLOOKUP(E9026,DSSpieler!A:B,2,FALSE)</f>
        <v>Harakon</v>
      </c>
    </row>
    <row r="9027" spans="1:10" x14ac:dyDescent="0.25">
      <c r="A9027">
        <v>10146</v>
      </c>
      <c r="B9027" t="s">
        <v>33806</v>
      </c>
      <c r="C9027">
        <v>584</v>
      </c>
      <c r="D9027">
        <v>571</v>
      </c>
      <c r="E9027">
        <v>1577033300</v>
      </c>
      <c r="F9027">
        <v>3729</v>
      </c>
      <c r="G9027">
        <v>0</v>
      </c>
      <c r="H9027" t="s">
        <v>13942</v>
      </c>
      <c r="I9027">
        <v>10146</v>
      </c>
      <c r="J9027" t="str">
        <f>VLOOKUP(E9027,DSSpieler!A:B,2,FALSE)</f>
        <v>Umanic</v>
      </c>
    </row>
    <row r="9028" spans="1:10" x14ac:dyDescent="0.25">
      <c r="A9028">
        <v>10147</v>
      </c>
      <c r="B9028" t="s">
        <v>150</v>
      </c>
      <c r="C9028">
        <v>461</v>
      </c>
      <c r="D9028">
        <v>467</v>
      </c>
      <c r="E9028">
        <v>10084420</v>
      </c>
      <c r="F9028">
        <v>4210</v>
      </c>
      <c r="G9028">
        <v>0</v>
      </c>
      <c r="H9028" t="s">
        <v>13943</v>
      </c>
      <c r="I9028">
        <v>10147</v>
      </c>
      <c r="J9028" t="str">
        <f>VLOOKUP(E9028,DSSpieler!A:B,2,FALSE)</f>
        <v>Dörfersammler</v>
      </c>
    </row>
    <row r="9029" spans="1:10" x14ac:dyDescent="0.25">
      <c r="A9029">
        <v>10148</v>
      </c>
      <c r="B9029" t="s">
        <v>33807</v>
      </c>
      <c r="C9029">
        <v>424</v>
      </c>
      <c r="D9029">
        <v>539</v>
      </c>
      <c r="E9029">
        <v>10124100</v>
      </c>
      <c r="F9029">
        <v>4617</v>
      </c>
      <c r="G9029">
        <v>0</v>
      </c>
      <c r="H9029" t="s">
        <v>13944</v>
      </c>
      <c r="I9029">
        <v>10148</v>
      </c>
      <c r="J9029" t="str">
        <f>VLOOKUP(E9029,DSSpieler!A:B,2,FALSE)</f>
        <v>SourScr3am</v>
      </c>
    </row>
    <row r="9030" spans="1:10" x14ac:dyDescent="0.25">
      <c r="A9030">
        <v>10149</v>
      </c>
      <c r="B9030" t="s">
        <v>531</v>
      </c>
      <c r="C9030">
        <v>595</v>
      </c>
      <c r="D9030">
        <v>521</v>
      </c>
      <c r="E9030">
        <v>0</v>
      </c>
      <c r="F9030">
        <v>137</v>
      </c>
      <c r="G9030">
        <v>0</v>
      </c>
      <c r="H9030" t="s">
        <v>13945</v>
      </c>
      <c r="I9030">
        <v>10149</v>
      </c>
      <c r="J9030" t="e">
        <f>VLOOKUP(E9030,DSSpieler!A:B,2,FALSE)</f>
        <v>#N/A</v>
      </c>
    </row>
    <row r="9031" spans="1:10" x14ac:dyDescent="0.25">
      <c r="A9031">
        <v>10150</v>
      </c>
      <c r="B9031" t="s">
        <v>531</v>
      </c>
      <c r="C9031">
        <v>576</v>
      </c>
      <c r="D9031">
        <v>551</v>
      </c>
      <c r="E9031">
        <v>0</v>
      </c>
      <c r="F9031">
        <v>671</v>
      </c>
      <c r="G9031">
        <v>0</v>
      </c>
      <c r="H9031" t="s">
        <v>13946</v>
      </c>
      <c r="I9031">
        <v>10150</v>
      </c>
      <c r="J9031" t="e">
        <f>VLOOKUP(E9031,DSSpieler!A:B,2,FALSE)</f>
        <v>#N/A</v>
      </c>
    </row>
    <row r="9032" spans="1:10" x14ac:dyDescent="0.25">
      <c r="A9032">
        <v>10152</v>
      </c>
      <c r="B9032" t="s">
        <v>979</v>
      </c>
      <c r="C9032">
        <v>521</v>
      </c>
      <c r="D9032">
        <v>599</v>
      </c>
      <c r="E9032">
        <v>1577198370</v>
      </c>
      <c r="F9032">
        <v>6818</v>
      </c>
      <c r="G9032">
        <v>0</v>
      </c>
      <c r="H9032" t="s">
        <v>13947</v>
      </c>
      <c r="I9032">
        <v>10152</v>
      </c>
      <c r="J9032" t="str">
        <f>VLOOKUP(E9032,DSSpieler!A:B,2,FALSE)</f>
        <v>Cludeo</v>
      </c>
    </row>
    <row r="9033" spans="1:10" x14ac:dyDescent="0.25">
      <c r="A9033">
        <v>10153</v>
      </c>
      <c r="B9033" t="s">
        <v>30465</v>
      </c>
      <c r="C9033">
        <v>422</v>
      </c>
      <c r="D9033">
        <v>441</v>
      </c>
      <c r="E9033">
        <v>7785606</v>
      </c>
      <c r="F9033">
        <v>4859</v>
      </c>
      <c r="G9033">
        <v>0</v>
      </c>
      <c r="H9033" t="s">
        <v>13948</v>
      </c>
      <c r="I9033">
        <v>10153</v>
      </c>
      <c r="J9033" t="str">
        <f>VLOOKUP(E9033,DSSpieler!A:B,2,FALSE)</f>
        <v>-Schpider*</v>
      </c>
    </row>
    <row r="9034" spans="1:10" x14ac:dyDescent="0.25">
      <c r="A9034">
        <v>10154</v>
      </c>
      <c r="B9034" t="s">
        <v>660</v>
      </c>
      <c r="C9034">
        <v>487</v>
      </c>
      <c r="D9034">
        <v>404</v>
      </c>
      <c r="E9034">
        <v>1576856977</v>
      </c>
      <c r="F9034">
        <v>2610</v>
      </c>
      <c r="G9034">
        <v>0</v>
      </c>
      <c r="H9034" t="s">
        <v>13949</v>
      </c>
      <c r="I9034">
        <v>10154</v>
      </c>
      <c r="J9034" t="str">
        <f>VLOOKUP(E9034,DSSpieler!A:B,2,FALSE)</f>
        <v>Maxe666</v>
      </c>
    </row>
    <row r="9035" spans="1:10" x14ac:dyDescent="0.25">
      <c r="A9035">
        <v>10155</v>
      </c>
      <c r="B9035" t="s">
        <v>630</v>
      </c>
      <c r="C9035">
        <v>511</v>
      </c>
      <c r="D9035">
        <v>403</v>
      </c>
      <c r="E9035">
        <v>1576958853</v>
      </c>
      <c r="F9035">
        <v>6397</v>
      </c>
      <c r="G9035">
        <v>0</v>
      </c>
      <c r="H9035" t="s">
        <v>13950</v>
      </c>
      <c r="I9035">
        <v>10155</v>
      </c>
      <c r="J9035" t="str">
        <f>VLOOKUP(E9035,DSSpieler!A:B,2,FALSE)</f>
        <v>mcrain</v>
      </c>
    </row>
    <row r="9036" spans="1:10" x14ac:dyDescent="0.25">
      <c r="A9036">
        <v>10156</v>
      </c>
      <c r="B9036" t="s">
        <v>531</v>
      </c>
      <c r="C9036">
        <v>468</v>
      </c>
      <c r="D9036">
        <v>601</v>
      </c>
      <c r="E9036">
        <v>0</v>
      </c>
      <c r="F9036">
        <v>360</v>
      </c>
      <c r="G9036">
        <v>0</v>
      </c>
      <c r="H9036" t="s">
        <v>13951</v>
      </c>
      <c r="I9036">
        <v>10156</v>
      </c>
      <c r="J9036" t="e">
        <f>VLOOKUP(E9036,DSSpieler!A:B,2,FALSE)</f>
        <v>#N/A</v>
      </c>
    </row>
    <row r="9037" spans="1:10" x14ac:dyDescent="0.25">
      <c r="A9037">
        <v>10158</v>
      </c>
      <c r="B9037" t="s">
        <v>531</v>
      </c>
      <c r="C9037">
        <v>590</v>
      </c>
      <c r="D9037">
        <v>545</v>
      </c>
      <c r="E9037">
        <v>0</v>
      </c>
      <c r="F9037">
        <v>256</v>
      </c>
      <c r="G9037">
        <v>0</v>
      </c>
      <c r="H9037" t="s">
        <v>13952</v>
      </c>
      <c r="I9037">
        <v>10158</v>
      </c>
      <c r="J9037" t="e">
        <f>VLOOKUP(E9037,DSSpieler!A:B,2,FALSE)</f>
        <v>#N/A</v>
      </c>
    </row>
    <row r="9038" spans="1:10" x14ac:dyDescent="0.25">
      <c r="A9038">
        <v>10159</v>
      </c>
      <c r="B9038">
        <v>4</v>
      </c>
      <c r="C9038">
        <v>444</v>
      </c>
      <c r="D9038">
        <v>433</v>
      </c>
      <c r="E9038">
        <v>9878022</v>
      </c>
      <c r="F9038">
        <v>3474</v>
      </c>
      <c r="G9038">
        <v>0</v>
      </c>
      <c r="H9038" t="s">
        <v>13953</v>
      </c>
      <c r="I9038">
        <v>10159</v>
      </c>
      <c r="J9038" t="str">
        <f>VLOOKUP(E9038,DSSpieler!A:B,2,FALSE)</f>
        <v>König Alex13</v>
      </c>
    </row>
    <row r="9039" spans="1:10" x14ac:dyDescent="0.25">
      <c r="A9039">
        <v>10160</v>
      </c>
      <c r="B9039" t="s">
        <v>1885</v>
      </c>
      <c r="C9039">
        <v>442</v>
      </c>
      <c r="D9039">
        <v>430</v>
      </c>
      <c r="E9039">
        <v>1577141707</v>
      </c>
      <c r="F9039">
        <v>5708</v>
      </c>
      <c r="G9039">
        <v>0</v>
      </c>
      <c r="H9039" t="s">
        <v>13954</v>
      </c>
      <c r="I9039">
        <v>10160</v>
      </c>
      <c r="J9039" t="str">
        <f>VLOOKUP(E9039,DSSpieler!A:B,2,FALSE)</f>
        <v>Mouschder</v>
      </c>
    </row>
    <row r="9040" spans="1:10" x14ac:dyDescent="0.25">
      <c r="A9040">
        <v>10161</v>
      </c>
      <c r="B9040" t="s">
        <v>33808</v>
      </c>
      <c r="C9040">
        <v>505</v>
      </c>
      <c r="D9040">
        <v>389</v>
      </c>
      <c r="E9040">
        <v>1577196536</v>
      </c>
      <c r="F9040">
        <v>3636</v>
      </c>
      <c r="G9040">
        <v>0</v>
      </c>
      <c r="H9040" t="s">
        <v>13955</v>
      </c>
      <c r="I9040">
        <v>10161</v>
      </c>
      <c r="J9040" t="str">
        <f>VLOOKUP(E9040,DSSpieler!A:B,2,FALSE)</f>
        <v>TrQ Deqoutee</v>
      </c>
    </row>
    <row r="9041" spans="1:10" x14ac:dyDescent="0.25">
      <c r="A9041">
        <v>10162</v>
      </c>
      <c r="B9041" t="s">
        <v>556</v>
      </c>
      <c r="C9041">
        <v>520</v>
      </c>
      <c r="D9041">
        <v>472</v>
      </c>
      <c r="E9041">
        <v>1576983569</v>
      </c>
      <c r="F9041">
        <v>7621</v>
      </c>
      <c r="G9041">
        <v>0</v>
      </c>
      <c r="H9041" t="s">
        <v>13956</v>
      </c>
      <c r="I9041">
        <v>10162</v>
      </c>
      <c r="J9041" t="str">
        <f>VLOOKUP(E9041,DSSpieler!A:B,2,FALSE)</f>
        <v>Sgt-Reznov</v>
      </c>
    </row>
    <row r="9042" spans="1:10" x14ac:dyDescent="0.25">
      <c r="A9042">
        <v>10163</v>
      </c>
      <c r="B9042" t="s">
        <v>531</v>
      </c>
      <c r="C9042">
        <v>532</v>
      </c>
      <c r="D9042">
        <v>408</v>
      </c>
      <c r="E9042">
        <v>0</v>
      </c>
      <c r="F9042">
        <v>140</v>
      </c>
      <c r="G9042">
        <v>0</v>
      </c>
      <c r="H9042" t="s">
        <v>13957</v>
      </c>
      <c r="I9042">
        <v>10163</v>
      </c>
      <c r="J9042" t="e">
        <f>VLOOKUP(E9042,DSSpieler!A:B,2,FALSE)</f>
        <v>#N/A</v>
      </c>
    </row>
    <row r="9043" spans="1:10" x14ac:dyDescent="0.25">
      <c r="A9043">
        <v>10164</v>
      </c>
      <c r="B9043" t="s">
        <v>531</v>
      </c>
      <c r="C9043">
        <v>587</v>
      </c>
      <c r="D9043">
        <v>453</v>
      </c>
      <c r="E9043">
        <v>0</v>
      </c>
      <c r="F9043">
        <v>332</v>
      </c>
      <c r="G9043">
        <v>0</v>
      </c>
      <c r="H9043" t="s">
        <v>13958</v>
      </c>
      <c r="I9043">
        <v>10164</v>
      </c>
      <c r="J9043" t="e">
        <f>VLOOKUP(E9043,DSSpieler!A:B,2,FALSE)</f>
        <v>#N/A</v>
      </c>
    </row>
    <row r="9044" spans="1:10" x14ac:dyDescent="0.25">
      <c r="A9044">
        <v>10165</v>
      </c>
      <c r="B9044" t="s">
        <v>1886</v>
      </c>
      <c r="C9044">
        <v>597</v>
      </c>
      <c r="D9044">
        <v>510</v>
      </c>
      <c r="E9044">
        <v>1577162192</v>
      </c>
      <c r="F9044">
        <v>704</v>
      </c>
      <c r="G9044">
        <v>0</v>
      </c>
      <c r="H9044" t="s">
        <v>13959</v>
      </c>
      <c r="I9044">
        <v>10165</v>
      </c>
      <c r="J9044" t="str">
        <f>VLOOKUP(E9044,DSSpieler!A:B,2,FALSE)</f>
        <v>Thori36</v>
      </c>
    </row>
    <row r="9045" spans="1:10" x14ac:dyDescent="0.25">
      <c r="A9045">
        <v>10167</v>
      </c>
      <c r="B9045" t="s">
        <v>531</v>
      </c>
      <c r="C9045">
        <v>476</v>
      </c>
      <c r="D9045">
        <v>467</v>
      </c>
      <c r="E9045">
        <v>0</v>
      </c>
      <c r="F9045">
        <v>399</v>
      </c>
      <c r="G9045">
        <v>0</v>
      </c>
      <c r="H9045" t="s">
        <v>13960</v>
      </c>
      <c r="I9045">
        <v>10167</v>
      </c>
      <c r="J9045" t="e">
        <f>VLOOKUP(E9045,DSSpieler!A:B,2,FALSE)</f>
        <v>#N/A</v>
      </c>
    </row>
    <row r="9046" spans="1:10" x14ac:dyDescent="0.25">
      <c r="A9046">
        <v>10168</v>
      </c>
      <c r="B9046" t="s">
        <v>780</v>
      </c>
      <c r="C9046">
        <v>600</v>
      </c>
      <c r="D9046">
        <v>545</v>
      </c>
      <c r="E9046">
        <v>1577201631</v>
      </c>
      <c r="F9046">
        <v>4961</v>
      </c>
      <c r="G9046">
        <v>0</v>
      </c>
      <c r="H9046" t="s">
        <v>13961</v>
      </c>
      <c r="I9046">
        <v>10168</v>
      </c>
      <c r="J9046" t="str">
        <f>VLOOKUP(E9046,DSSpieler!A:B,2,FALSE)</f>
        <v>Captain Buggy</v>
      </c>
    </row>
    <row r="9047" spans="1:10" x14ac:dyDescent="0.25">
      <c r="A9047">
        <v>10170</v>
      </c>
      <c r="B9047" t="s">
        <v>33809</v>
      </c>
      <c r="C9047">
        <v>410</v>
      </c>
      <c r="D9047">
        <v>464</v>
      </c>
      <c r="E9047">
        <v>10233928</v>
      </c>
      <c r="F9047">
        <v>7011</v>
      </c>
      <c r="G9047">
        <v>0</v>
      </c>
      <c r="H9047" t="s">
        <v>13962</v>
      </c>
      <c r="I9047">
        <v>10170</v>
      </c>
      <c r="J9047" t="str">
        <f>VLOOKUP(E9047,DSSpieler!A:B,2,FALSE)</f>
        <v>Tesserac</v>
      </c>
    </row>
    <row r="9048" spans="1:10" x14ac:dyDescent="0.25">
      <c r="A9048">
        <v>10171</v>
      </c>
      <c r="B9048" t="s">
        <v>1887</v>
      </c>
      <c r="C9048">
        <v>565</v>
      </c>
      <c r="D9048">
        <v>426</v>
      </c>
      <c r="E9048">
        <v>1577192546</v>
      </c>
      <c r="F9048">
        <v>1177</v>
      </c>
      <c r="G9048">
        <v>0</v>
      </c>
      <c r="H9048" t="s">
        <v>13963</v>
      </c>
      <c r="I9048">
        <v>10171</v>
      </c>
      <c r="J9048" t="str">
        <f>VLOOKUP(E9048,DSSpieler!A:B,2,FALSE)</f>
        <v>kh64tak</v>
      </c>
    </row>
    <row r="9049" spans="1:10" x14ac:dyDescent="0.25">
      <c r="A9049">
        <v>10172</v>
      </c>
      <c r="B9049" t="s">
        <v>31934</v>
      </c>
      <c r="C9049">
        <v>597</v>
      </c>
      <c r="D9049">
        <v>478</v>
      </c>
      <c r="E9049">
        <v>3240324</v>
      </c>
      <c r="F9049">
        <v>3227</v>
      </c>
      <c r="G9049">
        <v>0</v>
      </c>
      <c r="H9049" t="s">
        <v>13964</v>
      </c>
      <c r="I9049">
        <v>10172</v>
      </c>
      <c r="J9049" t="str">
        <f>VLOOKUP(E9049,DSSpieler!A:B,2,FALSE)</f>
        <v>luckylos3r</v>
      </c>
    </row>
    <row r="9050" spans="1:10" x14ac:dyDescent="0.25">
      <c r="A9050">
        <v>10173</v>
      </c>
      <c r="B9050" t="s">
        <v>531</v>
      </c>
      <c r="C9050">
        <v>455</v>
      </c>
      <c r="D9050">
        <v>412</v>
      </c>
      <c r="E9050">
        <v>0</v>
      </c>
      <c r="F9050">
        <v>180</v>
      </c>
      <c r="G9050">
        <v>0</v>
      </c>
      <c r="H9050" t="s">
        <v>13965</v>
      </c>
      <c r="I9050">
        <v>10173</v>
      </c>
      <c r="J9050" t="e">
        <f>VLOOKUP(E9050,DSSpieler!A:B,2,FALSE)</f>
        <v>#N/A</v>
      </c>
    </row>
    <row r="9051" spans="1:10" x14ac:dyDescent="0.25">
      <c r="A9051">
        <v>10175</v>
      </c>
      <c r="B9051" t="s">
        <v>1888</v>
      </c>
      <c r="C9051">
        <v>416</v>
      </c>
      <c r="D9051">
        <v>555</v>
      </c>
      <c r="E9051">
        <v>1577198526</v>
      </c>
      <c r="F9051">
        <v>3799</v>
      </c>
      <c r="G9051">
        <v>0</v>
      </c>
      <c r="H9051" t="s">
        <v>13966</v>
      </c>
      <c r="I9051">
        <v>10175</v>
      </c>
      <c r="J9051" t="str">
        <f>VLOOKUP(E9051,DSSpieler!A:B,2,FALSE)</f>
        <v>Sheribaaam</v>
      </c>
    </row>
    <row r="9052" spans="1:10" x14ac:dyDescent="0.25">
      <c r="A9052">
        <v>10176</v>
      </c>
      <c r="B9052" t="s">
        <v>979</v>
      </c>
      <c r="C9052">
        <v>515</v>
      </c>
      <c r="D9052">
        <v>597</v>
      </c>
      <c r="E9052">
        <v>2660493</v>
      </c>
      <c r="F9052">
        <v>8216</v>
      </c>
      <c r="G9052">
        <v>0</v>
      </c>
      <c r="H9052" t="s">
        <v>13967</v>
      </c>
      <c r="I9052">
        <v>10176</v>
      </c>
      <c r="J9052" t="str">
        <f>VLOOKUP(E9052,DSSpieler!A:B,2,FALSE)</f>
        <v>homer 681</v>
      </c>
    </row>
    <row r="9053" spans="1:10" x14ac:dyDescent="0.25">
      <c r="A9053">
        <v>10177</v>
      </c>
      <c r="B9053" t="s">
        <v>33810</v>
      </c>
      <c r="C9053">
        <v>497</v>
      </c>
      <c r="D9053">
        <v>390</v>
      </c>
      <c r="E9053">
        <v>1577190752</v>
      </c>
      <c r="F9053">
        <v>2884</v>
      </c>
      <c r="G9053">
        <v>0</v>
      </c>
      <c r="H9053" t="s">
        <v>13968</v>
      </c>
      <c r="I9053">
        <v>10177</v>
      </c>
      <c r="J9053" t="str">
        <f>VLOOKUP(E9053,DSSpieler!A:B,2,FALSE)</f>
        <v>Knoedler99</v>
      </c>
    </row>
    <row r="9054" spans="1:10" x14ac:dyDescent="0.25">
      <c r="A9054">
        <v>10178</v>
      </c>
      <c r="B9054" t="s">
        <v>531</v>
      </c>
      <c r="C9054">
        <v>436</v>
      </c>
      <c r="D9054">
        <v>571</v>
      </c>
      <c r="E9054">
        <v>0</v>
      </c>
      <c r="F9054">
        <v>279</v>
      </c>
      <c r="G9054">
        <v>0</v>
      </c>
      <c r="H9054" t="s">
        <v>13969</v>
      </c>
      <c r="I9054">
        <v>10178</v>
      </c>
      <c r="J9054" t="e">
        <f>VLOOKUP(E9054,DSSpieler!A:B,2,FALSE)</f>
        <v>#N/A</v>
      </c>
    </row>
    <row r="9055" spans="1:10" x14ac:dyDescent="0.25">
      <c r="A9055">
        <v>10179</v>
      </c>
      <c r="B9055" t="s">
        <v>30722</v>
      </c>
      <c r="C9055">
        <v>515</v>
      </c>
      <c r="D9055">
        <v>408</v>
      </c>
      <c r="E9055">
        <v>373867</v>
      </c>
      <c r="F9055">
        <v>6251</v>
      </c>
      <c r="G9055">
        <v>0</v>
      </c>
      <c r="H9055" t="s">
        <v>13970</v>
      </c>
      <c r="I9055">
        <v>10179</v>
      </c>
      <c r="J9055" t="str">
        <f>VLOOKUP(E9055,DSSpieler!A:B,2,FALSE)</f>
        <v>Broiler22</v>
      </c>
    </row>
    <row r="9056" spans="1:10" x14ac:dyDescent="0.25">
      <c r="A9056">
        <v>10180</v>
      </c>
      <c r="B9056" t="s">
        <v>33811</v>
      </c>
      <c r="C9056">
        <v>480</v>
      </c>
      <c r="D9056">
        <v>594</v>
      </c>
      <c r="E9056">
        <v>1577153052</v>
      </c>
      <c r="F9056">
        <v>2236</v>
      </c>
      <c r="G9056">
        <v>0</v>
      </c>
      <c r="H9056" t="s">
        <v>13971</v>
      </c>
      <c r="I9056">
        <v>10180</v>
      </c>
      <c r="J9056" t="str">
        <f>VLOOKUP(E9056,DSSpieler!A:B,2,FALSE)</f>
        <v>Schatten99</v>
      </c>
    </row>
    <row r="9057" spans="1:10" x14ac:dyDescent="0.25">
      <c r="A9057">
        <v>10181</v>
      </c>
      <c r="B9057" t="s">
        <v>33812</v>
      </c>
      <c r="C9057">
        <v>438</v>
      </c>
      <c r="D9057">
        <v>426</v>
      </c>
      <c r="E9057">
        <v>1577192950</v>
      </c>
      <c r="F9057">
        <v>3069</v>
      </c>
      <c r="G9057">
        <v>0</v>
      </c>
      <c r="H9057" t="s">
        <v>13972</v>
      </c>
      <c r="I9057">
        <v>10181</v>
      </c>
      <c r="J9057" t="str">
        <f>VLOOKUP(E9057,DSSpieler!A:B,2,FALSE)</f>
        <v>Dr4m4</v>
      </c>
    </row>
    <row r="9058" spans="1:10" x14ac:dyDescent="0.25">
      <c r="A9058">
        <v>10182</v>
      </c>
      <c r="B9058" t="s">
        <v>531</v>
      </c>
      <c r="C9058">
        <v>440</v>
      </c>
      <c r="D9058">
        <v>576</v>
      </c>
      <c r="E9058">
        <v>0</v>
      </c>
      <c r="F9058">
        <v>267</v>
      </c>
      <c r="G9058">
        <v>0</v>
      </c>
      <c r="H9058" t="s">
        <v>13973</v>
      </c>
      <c r="I9058">
        <v>10182</v>
      </c>
      <c r="J9058" t="e">
        <f>VLOOKUP(E9058,DSSpieler!A:B,2,FALSE)</f>
        <v>#N/A</v>
      </c>
    </row>
    <row r="9059" spans="1:10" x14ac:dyDescent="0.25">
      <c r="A9059">
        <v>10183</v>
      </c>
      <c r="B9059" t="s">
        <v>531</v>
      </c>
      <c r="C9059">
        <v>402</v>
      </c>
      <c r="D9059">
        <v>517</v>
      </c>
      <c r="E9059">
        <v>0</v>
      </c>
      <c r="F9059">
        <v>218</v>
      </c>
      <c r="G9059">
        <v>0</v>
      </c>
      <c r="H9059" t="s">
        <v>13974</v>
      </c>
      <c r="I9059">
        <v>10183</v>
      </c>
      <c r="J9059" t="e">
        <f>VLOOKUP(E9059,DSSpieler!A:B,2,FALSE)</f>
        <v>#N/A</v>
      </c>
    </row>
    <row r="9060" spans="1:10" x14ac:dyDescent="0.25">
      <c r="A9060">
        <v>10184</v>
      </c>
      <c r="B9060" t="s">
        <v>1889</v>
      </c>
      <c r="C9060">
        <v>488</v>
      </c>
      <c r="D9060">
        <v>486</v>
      </c>
      <c r="E9060">
        <v>1577183837</v>
      </c>
      <c r="F9060">
        <v>955</v>
      </c>
      <c r="G9060">
        <v>0</v>
      </c>
      <c r="H9060" t="s">
        <v>13975</v>
      </c>
      <c r="I9060">
        <v>10184</v>
      </c>
      <c r="J9060" t="str">
        <f>VLOOKUP(E9060,DSSpieler!A:B,2,FALSE)</f>
        <v>tischlermri</v>
      </c>
    </row>
    <row r="9061" spans="1:10" x14ac:dyDescent="0.25">
      <c r="A9061">
        <v>10185</v>
      </c>
      <c r="B9061" t="s">
        <v>531</v>
      </c>
      <c r="C9061">
        <v>581</v>
      </c>
      <c r="D9061">
        <v>555</v>
      </c>
      <c r="E9061">
        <v>0</v>
      </c>
      <c r="F9061">
        <v>295</v>
      </c>
      <c r="G9061">
        <v>0</v>
      </c>
      <c r="H9061" t="s">
        <v>13976</v>
      </c>
      <c r="I9061">
        <v>10185</v>
      </c>
      <c r="J9061" t="e">
        <f>VLOOKUP(E9061,DSSpieler!A:B,2,FALSE)</f>
        <v>#N/A</v>
      </c>
    </row>
    <row r="9062" spans="1:10" x14ac:dyDescent="0.25">
      <c r="A9062">
        <v>10186</v>
      </c>
      <c r="B9062" t="s">
        <v>33813</v>
      </c>
      <c r="C9062">
        <v>404</v>
      </c>
      <c r="D9062">
        <v>504</v>
      </c>
      <c r="E9062">
        <v>1577179388</v>
      </c>
      <c r="F9062">
        <v>7230</v>
      </c>
      <c r="G9062">
        <v>0</v>
      </c>
      <c r="H9062" t="s">
        <v>13977</v>
      </c>
      <c r="I9062">
        <v>10186</v>
      </c>
      <c r="J9062" t="str">
        <f>VLOOKUP(E9062,DSSpieler!A:B,2,FALSE)</f>
        <v>Rücken</v>
      </c>
    </row>
    <row r="9063" spans="1:10" x14ac:dyDescent="0.25">
      <c r="A9063">
        <v>10187</v>
      </c>
      <c r="B9063" t="s">
        <v>33814</v>
      </c>
      <c r="C9063">
        <v>406</v>
      </c>
      <c r="D9063">
        <v>506</v>
      </c>
      <c r="E9063">
        <v>1577179388</v>
      </c>
      <c r="F9063">
        <v>5221</v>
      </c>
      <c r="G9063">
        <v>0</v>
      </c>
      <c r="H9063" t="s">
        <v>13978</v>
      </c>
      <c r="I9063">
        <v>10187</v>
      </c>
      <c r="J9063" t="str">
        <f>VLOOKUP(E9063,DSSpieler!A:B,2,FALSE)</f>
        <v>Rücken</v>
      </c>
    </row>
    <row r="9064" spans="1:10" x14ac:dyDescent="0.25">
      <c r="A9064">
        <v>10188</v>
      </c>
      <c r="B9064" t="s">
        <v>531</v>
      </c>
      <c r="C9064">
        <v>470</v>
      </c>
      <c r="D9064">
        <v>404</v>
      </c>
      <c r="E9064">
        <v>0</v>
      </c>
      <c r="F9064">
        <v>513</v>
      </c>
      <c r="G9064">
        <v>0</v>
      </c>
      <c r="H9064" t="s">
        <v>13979</v>
      </c>
      <c r="I9064">
        <v>10188</v>
      </c>
      <c r="J9064" t="e">
        <f>VLOOKUP(E9064,DSSpieler!A:B,2,FALSE)</f>
        <v>#N/A</v>
      </c>
    </row>
    <row r="9065" spans="1:10" x14ac:dyDescent="0.25">
      <c r="A9065">
        <v>10189</v>
      </c>
      <c r="B9065" t="s">
        <v>531</v>
      </c>
      <c r="C9065">
        <v>595</v>
      </c>
      <c r="D9065">
        <v>483</v>
      </c>
      <c r="E9065">
        <v>0</v>
      </c>
      <c r="F9065">
        <v>209</v>
      </c>
      <c r="G9065">
        <v>0</v>
      </c>
      <c r="H9065" t="s">
        <v>13980</v>
      </c>
      <c r="I9065">
        <v>10189</v>
      </c>
      <c r="J9065" t="e">
        <f>VLOOKUP(E9065,DSSpieler!A:B,2,FALSE)</f>
        <v>#N/A</v>
      </c>
    </row>
    <row r="9066" spans="1:10" x14ac:dyDescent="0.25">
      <c r="A9066">
        <v>10190</v>
      </c>
      <c r="B9066" t="s">
        <v>33815</v>
      </c>
      <c r="C9066">
        <v>576</v>
      </c>
      <c r="D9066">
        <v>550</v>
      </c>
      <c r="E9066">
        <v>1577198350</v>
      </c>
      <c r="F9066">
        <v>6651</v>
      </c>
      <c r="G9066">
        <v>0</v>
      </c>
      <c r="H9066" t="s">
        <v>13981</v>
      </c>
      <c r="I9066">
        <v>10190</v>
      </c>
      <c r="J9066" t="str">
        <f>VLOOKUP(E9066,DSSpieler!A:B,2,FALSE)</f>
        <v>Paul der 3.</v>
      </c>
    </row>
    <row r="9067" spans="1:10" x14ac:dyDescent="0.25">
      <c r="A9067">
        <v>10191</v>
      </c>
      <c r="B9067" t="s">
        <v>33816</v>
      </c>
      <c r="C9067">
        <v>546</v>
      </c>
      <c r="D9067">
        <v>408</v>
      </c>
      <c r="E9067">
        <v>1577045139</v>
      </c>
      <c r="F9067">
        <v>4756</v>
      </c>
      <c r="G9067">
        <v>0</v>
      </c>
      <c r="H9067" t="s">
        <v>13982</v>
      </c>
      <c r="I9067">
        <v>10191</v>
      </c>
      <c r="J9067" t="str">
        <f>VLOOKUP(E9067,DSSpieler!A:B,2,FALSE)</f>
        <v>Ice and Fire</v>
      </c>
    </row>
    <row r="9068" spans="1:10" x14ac:dyDescent="0.25">
      <c r="A9068">
        <v>10192</v>
      </c>
      <c r="B9068" t="s">
        <v>33817</v>
      </c>
      <c r="C9068">
        <v>499</v>
      </c>
      <c r="D9068">
        <v>471</v>
      </c>
      <c r="E9068">
        <v>1576437451</v>
      </c>
      <c r="F9068">
        <v>2262</v>
      </c>
      <c r="G9068">
        <v>0</v>
      </c>
      <c r="H9068" t="s">
        <v>13983</v>
      </c>
      <c r="I9068">
        <v>10192</v>
      </c>
      <c r="J9068" t="str">
        <f>VLOOKUP(E9068,DSSpieler!A:B,2,FALSE)</f>
        <v>lulatsch7</v>
      </c>
    </row>
    <row r="9069" spans="1:10" x14ac:dyDescent="0.25">
      <c r="A9069">
        <v>10193</v>
      </c>
      <c r="B9069" t="s">
        <v>33818</v>
      </c>
      <c r="C9069">
        <v>544</v>
      </c>
      <c r="D9069">
        <v>601</v>
      </c>
      <c r="E9069">
        <v>1577028197</v>
      </c>
      <c r="F9069">
        <v>5752</v>
      </c>
      <c r="G9069">
        <v>0</v>
      </c>
      <c r="H9069" t="s">
        <v>13984</v>
      </c>
      <c r="I9069">
        <v>10193</v>
      </c>
      <c r="J9069" t="str">
        <f>VLOOKUP(E9069,DSSpieler!A:B,2,FALSE)</f>
        <v>DontDrinkAndDs</v>
      </c>
    </row>
    <row r="9070" spans="1:10" x14ac:dyDescent="0.25">
      <c r="A9070">
        <v>10194</v>
      </c>
      <c r="B9070" t="s">
        <v>531</v>
      </c>
      <c r="C9070">
        <v>401</v>
      </c>
      <c r="D9070">
        <v>496</v>
      </c>
      <c r="E9070">
        <v>0</v>
      </c>
      <c r="F9070">
        <v>198</v>
      </c>
      <c r="G9070">
        <v>0</v>
      </c>
      <c r="H9070" t="s">
        <v>13985</v>
      </c>
      <c r="I9070">
        <v>10194</v>
      </c>
      <c r="J9070" t="e">
        <f>VLOOKUP(E9070,DSSpieler!A:B,2,FALSE)</f>
        <v>#N/A</v>
      </c>
    </row>
    <row r="9071" spans="1:10" x14ac:dyDescent="0.25">
      <c r="A9071">
        <v>10195</v>
      </c>
      <c r="B9071" t="s">
        <v>531</v>
      </c>
      <c r="C9071">
        <v>475</v>
      </c>
      <c r="D9071">
        <v>406</v>
      </c>
      <c r="E9071">
        <v>0</v>
      </c>
      <c r="F9071">
        <v>777</v>
      </c>
      <c r="G9071">
        <v>0</v>
      </c>
      <c r="H9071" t="s">
        <v>13986</v>
      </c>
      <c r="I9071">
        <v>10195</v>
      </c>
      <c r="J9071" t="e">
        <f>VLOOKUP(E9071,DSSpieler!A:B,2,FALSE)</f>
        <v>#N/A</v>
      </c>
    </row>
    <row r="9072" spans="1:10" x14ac:dyDescent="0.25">
      <c r="A9072">
        <v>10197</v>
      </c>
      <c r="B9072" t="s">
        <v>531</v>
      </c>
      <c r="C9072">
        <v>526</v>
      </c>
      <c r="D9072">
        <v>593</v>
      </c>
      <c r="E9072">
        <v>0</v>
      </c>
      <c r="F9072">
        <v>392</v>
      </c>
      <c r="G9072">
        <v>0</v>
      </c>
      <c r="H9072" t="s">
        <v>13987</v>
      </c>
      <c r="I9072">
        <v>10197</v>
      </c>
      <c r="J9072" t="e">
        <f>VLOOKUP(E9072,DSSpieler!A:B,2,FALSE)</f>
        <v>#N/A</v>
      </c>
    </row>
    <row r="9073" spans="1:10" x14ac:dyDescent="0.25">
      <c r="A9073">
        <v>10198</v>
      </c>
      <c r="B9073" t="s">
        <v>531</v>
      </c>
      <c r="C9073">
        <v>567</v>
      </c>
      <c r="D9073">
        <v>569</v>
      </c>
      <c r="E9073">
        <v>0</v>
      </c>
      <c r="F9073">
        <v>288</v>
      </c>
      <c r="G9073">
        <v>0</v>
      </c>
      <c r="H9073" t="s">
        <v>13988</v>
      </c>
      <c r="I9073">
        <v>10198</v>
      </c>
      <c r="J9073" t="e">
        <f>VLOOKUP(E9073,DSSpieler!A:B,2,FALSE)</f>
        <v>#N/A</v>
      </c>
    </row>
    <row r="9074" spans="1:10" x14ac:dyDescent="0.25">
      <c r="A9074">
        <v>10199</v>
      </c>
      <c r="B9074">
        <v>1</v>
      </c>
      <c r="C9074">
        <v>546</v>
      </c>
      <c r="D9074">
        <v>588</v>
      </c>
      <c r="E9074">
        <v>2740929</v>
      </c>
      <c r="F9074">
        <v>3999</v>
      </c>
      <c r="G9074">
        <v>0</v>
      </c>
      <c r="H9074" t="s">
        <v>13989</v>
      </c>
      <c r="I9074">
        <v>10199</v>
      </c>
      <c r="J9074" t="str">
        <f>VLOOKUP(E9074,DSSpieler!A:B,2,FALSE)</f>
        <v>wikinger1978</v>
      </c>
    </row>
    <row r="9075" spans="1:10" x14ac:dyDescent="0.25">
      <c r="A9075">
        <v>10200</v>
      </c>
      <c r="B9075" t="s">
        <v>33819</v>
      </c>
      <c r="C9075">
        <v>408</v>
      </c>
      <c r="D9075">
        <v>462</v>
      </c>
      <c r="E9075">
        <v>1576813734</v>
      </c>
      <c r="F9075">
        <v>5805</v>
      </c>
      <c r="G9075">
        <v>0</v>
      </c>
      <c r="H9075" t="s">
        <v>13990</v>
      </c>
      <c r="I9075">
        <v>10200</v>
      </c>
      <c r="J9075" t="str">
        <f>VLOOKUP(E9075,DSSpieler!A:B,2,FALSE)</f>
        <v>Dr.Axel-Stoll</v>
      </c>
    </row>
    <row r="9076" spans="1:10" x14ac:dyDescent="0.25">
      <c r="A9076">
        <v>10201</v>
      </c>
      <c r="B9076" t="s">
        <v>33820</v>
      </c>
      <c r="C9076">
        <v>505</v>
      </c>
      <c r="D9076">
        <v>600</v>
      </c>
      <c r="E9076">
        <v>7924203</v>
      </c>
      <c r="F9076">
        <v>6013</v>
      </c>
      <c r="G9076">
        <v>0</v>
      </c>
      <c r="H9076" t="s">
        <v>13991</v>
      </c>
      <c r="I9076">
        <v>10201</v>
      </c>
      <c r="J9076" t="str">
        <f>VLOOKUP(E9076,DSSpieler!A:B,2,FALSE)</f>
        <v>2*good*4*you</v>
      </c>
    </row>
    <row r="9077" spans="1:10" x14ac:dyDescent="0.25">
      <c r="A9077">
        <v>10202</v>
      </c>
      <c r="B9077" t="s">
        <v>33821</v>
      </c>
      <c r="C9077">
        <v>438</v>
      </c>
      <c r="D9077">
        <v>576</v>
      </c>
      <c r="E9077">
        <v>1577196998</v>
      </c>
      <c r="F9077">
        <v>355</v>
      </c>
      <c r="G9077">
        <v>0</v>
      </c>
      <c r="H9077" t="s">
        <v>13992</v>
      </c>
      <c r="I9077">
        <v>10202</v>
      </c>
      <c r="J9077" t="str">
        <f>VLOOKUP(E9077,DSSpieler!A:B,2,FALSE)</f>
        <v>Bonkikong</v>
      </c>
    </row>
    <row r="9078" spans="1:10" x14ac:dyDescent="0.25">
      <c r="A9078">
        <v>10203</v>
      </c>
      <c r="B9078" t="s">
        <v>1890</v>
      </c>
      <c r="C9078">
        <v>477</v>
      </c>
      <c r="D9078">
        <v>407</v>
      </c>
      <c r="E9078">
        <v>1576926973</v>
      </c>
      <c r="F9078">
        <v>3784</v>
      </c>
      <c r="G9078">
        <v>0</v>
      </c>
      <c r="H9078" t="s">
        <v>13993</v>
      </c>
      <c r="I9078">
        <v>10203</v>
      </c>
      <c r="J9078" t="str">
        <f>VLOOKUP(E9078,DSSpieler!A:B,2,FALSE)</f>
        <v>König lippenfred1</v>
      </c>
    </row>
    <row r="9079" spans="1:10" x14ac:dyDescent="0.25">
      <c r="A9079">
        <v>10204</v>
      </c>
      <c r="B9079" t="s">
        <v>33822</v>
      </c>
      <c r="C9079">
        <v>456</v>
      </c>
      <c r="D9079">
        <v>595</v>
      </c>
      <c r="E9079">
        <v>1378053</v>
      </c>
      <c r="F9079">
        <v>1851</v>
      </c>
      <c r="G9079">
        <v>0</v>
      </c>
      <c r="H9079" t="s">
        <v>13994</v>
      </c>
      <c r="I9079">
        <v>10204</v>
      </c>
      <c r="J9079" t="str">
        <f>VLOOKUP(E9079,DSSpieler!A:B,2,FALSE)</f>
        <v>Fremdius</v>
      </c>
    </row>
    <row r="9080" spans="1:10" x14ac:dyDescent="0.25">
      <c r="A9080">
        <v>10205</v>
      </c>
      <c r="B9080" t="s">
        <v>33823</v>
      </c>
      <c r="C9080">
        <v>397</v>
      </c>
      <c r="D9080">
        <v>473</v>
      </c>
      <c r="E9080">
        <v>1577127393</v>
      </c>
      <c r="F9080">
        <v>5559</v>
      </c>
      <c r="G9080">
        <v>0</v>
      </c>
      <c r="H9080" t="s">
        <v>13995</v>
      </c>
      <c r="I9080">
        <v>10205</v>
      </c>
      <c r="J9080" t="str">
        <f>VLOOKUP(E9080,DSSpieler!A:B,2,FALSE)</f>
        <v>Sk0rpi</v>
      </c>
    </row>
    <row r="9081" spans="1:10" x14ac:dyDescent="0.25">
      <c r="A9081">
        <v>10206</v>
      </c>
      <c r="B9081" t="s">
        <v>33824</v>
      </c>
      <c r="C9081">
        <v>491</v>
      </c>
      <c r="D9081">
        <v>600</v>
      </c>
      <c r="E9081">
        <v>1941935</v>
      </c>
      <c r="F9081">
        <v>7608</v>
      </c>
      <c r="G9081">
        <v>0</v>
      </c>
      <c r="H9081" t="s">
        <v>13996</v>
      </c>
      <c r="I9081">
        <v>10206</v>
      </c>
      <c r="J9081" t="str">
        <f>VLOOKUP(E9081,DSSpieler!A:B,2,FALSE)</f>
        <v>King Mater</v>
      </c>
    </row>
    <row r="9082" spans="1:10" x14ac:dyDescent="0.25">
      <c r="A9082">
        <v>10207</v>
      </c>
      <c r="B9082" t="s">
        <v>33825</v>
      </c>
      <c r="C9082">
        <v>503</v>
      </c>
      <c r="D9082">
        <v>389</v>
      </c>
      <c r="E9082">
        <v>1577181266</v>
      </c>
      <c r="F9082">
        <v>7147</v>
      </c>
      <c r="G9082">
        <v>0</v>
      </c>
      <c r="H9082" t="s">
        <v>13997</v>
      </c>
      <c r="I9082">
        <v>10207</v>
      </c>
      <c r="J9082" t="str">
        <f>VLOOKUP(E9082,DSSpieler!A:B,2,FALSE)</f>
        <v>Vumas</v>
      </c>
    </row>
    <row r="9083" spans="1:10" x14ac:dyDescent="0.25">
      <c r="A9083">
        <v>10208</v>
      </c>
      <c r="B9083" t="s">
        <v>150</v>
      </c>
      <c r="C9083">
        <v>539</v>
      </c>
      <c r="D9083">
        <v>588</v>
      </c>
      <c r="E9083">
        <v>10023564</v>
      </c>
      <c r="F9083">
        <v>5448</v>
      </c>
      <c r="G9083">
        <v>0</v>
      </c>
      <c r="H9083" t="s">
        <v>13998</v>
      </c>
      <c r="I9083">
        <v>10208</v>
      </c>
      <c r="J9083" t="str">
        <f>VLOOKUP(E9083,DSSpieler!A:B,2,FALSE)</f>
        <v>Joheger95</v>
      </c>
    </row>
    <row r="9084" spans="1:10" x14ac:dyDescent="0.25">
      <c r="A9084">
        <v>10209</v>
      </c>
      <c r="B9084" t="s">
        <v>33826</v>
      </c>
      <c r="C9084">
        <v>411</v>
      </c>
      <c r="D9084">
        <v>463</v>
      </c>
      <c r="E9084">
        <v>1576813734</v>
      </c>
      <c r="F9084">
        <v>5399</v>
      </c>
      <c r="G9084">
        <v>0</v>
      </c>
      <c r="H9084" t="s">
        <v>13999</v>
      </c>
      <c r="I9084">
        <v>10209</v>
      </c>
      <c r="J9084" t="str">
        <f>VLOOKUP(E9084,DSSpieler!A:B,2,FALSE)</f>
        <v>Dr.Axel-Stoll</v>
      </c>
    </row>
    <row r="9085" spans="1:10" x14ac:dyDescent="0.25">
      <c r="A9085">
        <v>10210</v>
      </c>
      <c r="B9085" t="s">
        <v>33827</v>
      </c>
      <c r="C9085">
        <v>578</v>
      </c>
      <c r="D9085">
        <v>571</v>
      </c>
      <c r="E9085">
        <v>3109521</v>
      </c>
      <c r="F9085">
        <v>3831</v>
      </c>
      <c r="G9085">
        <v>0</v>
      </c>
      <c r="H9085" t="s">
        <v>14000</v>
      </c>
      <c r="I9085">
        <v>10210</v>
      </c>
      <c r="J9085" t="str">
        <f>VLOOKUP(E9085,DSSpieler!A:B,2,FALSE)</f>
        <v>bananenfaust</v>
      </c>
    </row>
    <row r="9086" spans="1:10" x14ac:dyDescent="0.25">
      <c r="A9086">
        <v>10211</v>
      </c>
      <c r="B9086" t="s">
        <v>33828</v>
      </c>
      <c r="C9086">
        <v>592</v>
      </c>
      <c r="D9086">
        <v>537</v>
      </c>
      <c r="E9086">
        <v>1576375723</v>
      </c>
      <c r="F9086">
        <v>26</v>
      </c>
      <c r="G9086">
        <v>0</v>
      </c>
      <c r="H9086" t="s">
        <v>14001</v>
      </c>
      <c r="I9086">
        <v>10211</v>
      </c>
      <c r="J9086" t="str">
        <f>VLOOKUP(E9086,DSSpieler!A:B,2,FALSE)</f>
        <v>WhySoMadBro?</v>
      </c>
    </row>
    <row r="9087" spans="1:10" x14ac:dyDescent="0.25">
      <c r="A9087">
        <v>10212</v>
      </c>
      <c r="B9087" t="s">
        <v>33829</v>
      </c>
      <c r="C9087">
        <v>548</v>
      </c>
      <c r="D9087">
        <v>600</v>
      </c>
      <c r="E9087">
        <v>1327189</v>
      </c>
      <c r="F9087">
        <v>7684</v>
      </c>
      <c r="G9087">
        <v>0</v>
      </c>
      <c r="H9087" t="s">
        <v>14002</v>
      </c>
      <c r="I9087">
        <v>10212</v>
      </c>
      <c r="J9087" t="str">
        <f>VLOOKUP(E9087,DSSpieler!A:B,2,FALSE)</f>
        <v>DerBoeseBub</v>
      </c>
    </row>
    <row r="9088" spans="1:10" x14ac:dyDescent="0.25">
      <c r="A9088">
        <v>10213</v>
      </c>
      <c r="B9088" t="s">
        <v>531</v>
      </c>
      <c r="C9088">
        <v>518</v>
      </c>
      <c r="D9088">
        <v>597</v>
      </c>
      <c r="E9088">
        <v>0</v>
      </c>
      <c r="F9088">
        <v>464</v>
      </c>
      <c r="G9088">
        <v>0</v>
      </c>
      <c r="H9088" t="s">
        <v>14003</v>
      </c>
      <c r="I9088">
        <v>10213</v>
      </c>
      <c r="J9088" t="e">
        <f>VLOOKUP(E9088,DSSpieler!A:B,2,FALSE)</f>
        <v>#N/A</v>
      </c>
    </row>
    <row r="9089" spans="1:10" x14ac:dyDescent="0.25">
      <c r="A9089">
        <v>10214</v>
      </c>
      <c r="B9089" t="s">
        <v>33830</v>
      </c>
      <c r="C9089">
        <v>409</v>
      </c>
      <c r="D9089">
        <v>471</v>
      </c>
      <c r="E9089">
        <v>1577190085</v>
      </c>
      <c r="F9089">
        <v>7271</v>
      </c>
      <c r="G9089">
        <v>0</v>
      </c>
      <c r="H9089" t="s">
        <v>14004</v>
      </c>
      <c r="I9089">
        <v>10214</v>
      </c>
      <c r="J9089" t="str">
        <f>VLOOKUP(E9089,DSSpieler!A:B,2,FALSE)</f>
        <v>Borstiger Bürstenmann</v>
      </c>
    </row>
    <row r="9090" spans="1:10" x14ac:dyDescent="0.25">
      <c r="A9090">
        <v>10215</v>
      </c>
      <c r="B9090" t="s">
        <v>33831</v>
      </c>
      <c r="C9090">
        <v>416</v>
      </c>
      <c r="D9090">
        <v>462</v>
      </c>
      <c r="E9090">
        <v>1990744</v>
      </c>
      <c r="F9090">
        <v>6541</v>
      </c>
      <c r="G9090">
        <v>0</v>
      </c>
      <c r="H9090" t="s">
        <v>14005</v>
      </c>
      <c r="I9090">
        <v>10215</v>
      </c>
      <c r="J9090" t="str">
        <f>VLOOKUP(E9090,DSSpieler!A:B,2,FALSE)</f>
        <v>bumsy</v>
      </c>
    </row>
    <row r="9091" spans="1:10" x14ac:dyDescent="0.25">
      <c r="A9091">
        <v>10216</v>
      </c>
      <c r="B9091" t="s">
        <v>1891</v>
      </c>
      <c r="C9091">
        <v>536</v>
      </c>
      <c r="D9091">
        <v>589</v>
      </c>
      <c r="E9091">
        <v>3435353</v>
      </c>
      <c r="F9091">
        <v>7353</v>
      </c>
      <c r="G9091">
        <v>0</v>
      </c>
      <c r="H9091" t="s">
        <v>14006</v>
      </c>
      <c r="I9091">
        <v>10216</v>
      </c>
      <c r="J9091" t="str">
        <f>VLOOKUP(E9091,DSSpieler!A:B,2,FALSE)</f>
        <v>Sincro</v>
      </c>
    </row>
    <row r="9092" spans="1:10" x14ac:dyDescent="0.25">
      <c r="A9092">
        <v>10217</v>
      </c>
      <c r="B9092" t="s">
        <v>31687</v>
      </c>
      <c r="C9092">
        <v>477</v>
      </c>
      <c r="D9092">
        <v>579</v>
      </c>
      <c r="E9092">
        <v>1576996406</v>
      </c>
      <c r="F9092">
        <v>4229</v>
      </c>
      <c r="G9092">
        <v>0</v>
      </c>
      <c r="H9092" t="s">
        <v>14007</v>
      </c>
      <c r="I9092">
        <v>10217</v>
      </c>
      <c r="J9092" t="str">
        <f>VLOOKUP(E9092,DSSpieler!A:B,2,FALSE)</f>
        <v>clownsq</v>
      </c>
    </row>
    <row r="9093" spans="1:10" x14ac:dyDescent="0.25">
      <c r="A9093">
        <v>10218</v>
      </c>
      <c r="B9093" t="s">
        <v>33832</v>
      </c>
      <c r="C9093">
        <v>409</v>
      </c>
      <c r="D9093">
        <v>465</v>
      </c>
      <c r="E9093">
        <v>1577190085</v>
      </c>
      <c r="F9093">
        <v>8187</v>
      </c>
      <c r="G9093">
        <v>0</v>
      </c>
      <c r="H9093" t="s">
        <v>14008</v>
      </c>
      <c r="I9093">
        <v>10218</v>
      </c>
      <c r="J9093" t="str">
        <f>VLOOKUP(E9093,DSSpieler!A:B,2,FALSE)</f>
        <v>Borstiger Bürstenmann</v>
      </c>
    </row>
    <row r="9094" spans="1:10" x14ac:dyDescent="0.25">
      <c r="A9094">
        <v>10219</v>
      </c>
      <c r="B9094" t="s">
        <v>531</v>
      </c>
      <c r="C9094">
        <v>473</v>
      </c>
      <c r="D9094">
        <v>594</v>
      </c>
      <c r="E9094">
        <v>0</v>
      </c>
      <c r="F9094">
        <v>212</v>
      </c>
      <c r="G9094">
        <v>0</v>
      </c>
      <c r="H9094" t="s">
        <v>14009</v>
      </c>
      <c r="I9094">
        <v>10219</v>
      </c>
      <c r="J9094" t="e">
        <f>VLOOKUP(E9094,DSSpieler!A:B,2,FALSE)</f>
        <v>#N/A</v>
      </c>
    </row>
    <row r="9095" spans="1:10" x14ac:dyDescent="0.25">
      <c r="A9095">
        <v>10221</v>
      </c>
      <c r="B9095" t="s">
        <v>1892</v>
      </c>
      <c r="C9095">
        <v>406</v>
      </c>
      <c r="D9095">
        <v>462</v>
      </c>
      <c r="E9095">
        <v>1577177448</v>
      </c>
      <c r="F9095">
        <v>2064</v>
      </c>
      <c r="G9095">
        <v>0</v>
      </c>
      <c r="H9095" t="s">
        <v>14010</v>
      </c>
      <c r="I9095">
        <v>10221</v>
      </c>
      <c r="J9095" t="str">
        <f>VLOOKUP(E9095,DSSpieler!A:B,2,FALSE)</f>
        <v>Kyr1ll</v>
      </c>
    </row>
    <row r="9096" spans="1:10" x14ac:dyDescent="0.25">
      <c r="A9096">
        <v>10222</v>
      </c>
      <c r="B9096" t="s">
        <v>33833</v>
      </c>
      <c r="C9096">
        <v>553</v>
      </c>
      <c r="D9096">
        <v>593</v>
      </c>
      <c r="E9096">
        <v>897823</v>
      </c>
      <c r="F9096">
        <v>6988</v>
      </c>
      <c r="G9096">
        <v>0</v>
      </c>
      <c r="H9096" t="s">
        <v>14011</v>
      </c>
      <c r="I9096">
        <v>10222</v>
      </c>
      <c r="J9096" t="str">
        <f>VLOOKUP(E9096,DSSpieler!A:B,2,FALSE)</f>
        <v>Blackeagle2000</v>
      </c>
    </row>
    <row r="9097" spans="1:10" x14ac:dyDescent="0.25">
      <c r="A9097">
        <v>10223</v>
      </c>
      <c r="B9097">
        <v>4802</v>
      </c>
      <c r="C9097">
        <v>608</v>
      </c>
      <c r="D9097">
        <v>499</v>
      </c>
      <c r="E9097">
        <v>7973746</v>
      </c>
      <c r="F9097">
        <v>7238</v>
      </c>
      <c r="G9097">
        <v>0</v>
      </c>
      <c r="H9097" t="s">
        <v>14012</v>
      </c>
      <c r="I9097">
        <v>10223</v>
      </c>
      <c r="J9097" t="str">
        <f>VLOOKUP(E9097,DSSpieler!A:B,2,FALSE)</f>
        <v>Laky1222</v>
      </c>
    </row>
    <row r="9098" spans="1:10" x14ac:dyDescent="0.25">
      <c r="A9098">
        <v>10224</v>
      </c>
      <c r="B9098">
        <v>8</v>
      </c>
      <c r="C9098">
        <v>516</v>
      </c>
      <c r="D9098">
        <v>524</v>
      </c>
      <c r="E9098">
        <v>10153328</v>
      </c>
      <c r="F9098">
        <v>4749</v>
      </c>
      <c r="G9098">
        <v>0</v>
      </c>
      <c r="H9098" t="s">
        <v>14013</v>
      </c>
      <c r="I9098">
        <v>10224</v>
      </c>
      <c r="J9098" t="str">
        <f>VLOOKUP(E9098,DSSpieler!A:B,2,FALSE)</f>
        <v>ChePrinzessin</v>
      </c>
    </row>
    <row r="9099" spans="1:10" x14ac:dyDescent="0.25">
      <c r="A9099">
        <v>10225</v>
      </c>
      <c r="B9099" t="s">
        <v>32955</v>
      </c>
      <c r="C9099">
        <v>437</v>
      </c>
      <c r="D9099">
        <v>576</v>
      </c>
      <c r="E9099">
        <v>8776383</v>
      </c>
      <c r="F9099">
        <v>6669</v>
      </c>
      <c r="G9099">
        <v>0</v>
      </c>
      <c r="H9099" t="s">
        <v>14014</v>
      </c>
      <c r="I9099">
        <v>10225</v>
      </c>
      <c r="J9099" t="str">
        <f>VLOOKUP(E9099,DSSpieler!A:B,2,FALSE)</f>
        <v>Super Fabio</v>
      </c>
    </row>
    <row r="9100" spans="1:10" x14ac:dyDescent="0.25">
      <c r="A9100">
        <v>10226</v>
      </c>
      <c r="B9100" t="s">
        <v>1893</v>
      </c>
      <c r="C9100">
        <v>552</v>
      </c>
      <c r="D9100">
        <v>400</v>
      </c>
      <c r="E9100">
        <v>1577198400</v>
      </c>
      <c r="F9100">
        <v>5064</v>
      </c>
      <c r="G9100">
        <v>0</v>
      </c>
      <c r="H9100" t="s">
        <v>14015</v>
      </c>
      <c r="I9100">
        <v>10226</v>
      </c>
      <c r="J9100" t="str">
        <f>VLOOKUP(E9100,DSSpieler!A:B,2,FALSE)</f>
        <v>Rush5</v>
      </c>
    </row>
    <row r="9101" spans="1:10" x14ac:dyDescent="0.25">
      <c r="A9101">
        <v>10227</v>
      </c>
      <c r="B9101" t="s">
        <v>531</v>
      </c>
      <c r="C9101">
        <v>592</v>
      </c>
      <c r="D9101">
        <v>535</v>
      </c>
      <c r="E9101">
        <v>0</v>
      </c>
      <c r="F9101">
        <v>248</v>
      </c>
      <c r="G9101">
        <v>0</v>
      </c>
      <c r="H9101" t="s">
        <v>14016</v>
      </c>
      <c r="I9101">
        <v>10227</v>
      </c>
      <c r="J9101" t="e">
        <f>VLOOKUP(E9101,DSSpieler!A:B,2,FALSE)</f>
        <v>#N/A</v>
      </c>
    </row>
    <row r="9102" spans="1:10" x14ac:dyDescent="0.25">
      <c r="A9102">
        <v>10228</v>
      </c>
      <c r="B9102" t="s">
        <v>1894</v>
      </c>
      <c r="C9102">
        <v>424</v>
      </c>
      <c r="D9102">
        <v>569</v>
      </c>
      <c r="E9102">
        <v>1577186787</v>
      </c>
      <c r="F9102">
        <v>3894</v>
      </c>
      <c r="G9102">
        <v>0</v>
      </c>
      <c r="H9102" t="s">
        <v>14017</v>
      </c>
      <c r="I9102">
        <v>10228</v>
      </c>
      <c r="J9102" t="str">
        <f>VLOOKUP(E9102,DSSpieler!A:B,2,FALSE)</f>
        <v>Malz77</v>
      </c>
    </row>
    <row r="9103" spans="1:10" x14ac:dyDescent="0.25">
      <c r="A9103">
        <v>10230</v>
      </c>
      <c r="B9103" t="s">
        <v>33834</v>
      </c>
      <c r="C9103">
        <v>416</v>
      </c>
      <c r="D9103">
        <v>524</v>
      </c>
      <c r="E9103">
        <v>1577198432</v>
      </c>
      <c r="F9103">
        <v>3961</v>
      </c>
      <c r="G9103">
        <v>0</v>
      </c>
      <c r="H9103" t="s">
        <v>14018</v>
      </c>
      <c r="I9103">
        <v>10230</v>
      </c>
      <c r="J9103" t="str">
        <f>VLOOKUP(E9103,DSSpieler!A:B,2,FALSE)</f>
        <v>WC-Ente</v>
      </c>
    </row>
    <row r="9104" spans="1:10" x14ac:dyDescent="0.25">
      <c r="A9104">
        <v>10231</v>
      </c>
      <c r="B9104" t="s">
        <v>33835</v>
      </c>
      <c r="C9104">
        <v>399</v>
      </c>
      <c r="D9104">
        <v>470</v>
      </c>
      <c r="E9104">
        <v>2788871</v>
      </c>
      <c r="F9104">
        <v>5160</v>
      </c>
      <c r="G9104">
        <v>0</v>
      </c>
      <c r="H9104" t="s">
        <v>14019</v>
      </c>
      <c r="I9104">
        <v>10231</v>
      </c>
      <c r="J9104" t="str">
        <f>VLOOKUP(E9104,DSSpieler!A:B,2,FALSE)</f>
        <v>Kame22</v>
      </c>
    </row>
    <row r="9105" spans="1:10" x14ac:dyDescent="0.25">
      <c r="A9105">
        <v>10232</v>
      </c>
      <c r="B9105">
        <v>5</v>
      </c>
      <c r="C9105">
        <v>552</v>
      </c>
      <c r="D9105">
        <v>583</v>
      </c>
      <c r="E9105">
        <v>1577188575</v>
      </c>
      <c r="F9105">
        <v>3856</v>
      </c>
      <c r="G9105">
        <v>0</v>
      </c>
      <c r="H9105" t="s">
        <v>14020</v>
      </c>
      <c r="I9105">
        <v>10232</v>
      </c>
      <c r="J9105" t="str">
        <f>VLOOKUP(E9105,DSSpieler!A:B,2,FALSE)</f>
        <v>94Norbi</v>
      </c>
    </row>
    <row r="9106" spans="1:10" x14ac:dyDescent="0.25">
      <c r="A9106">
        <v>10233</v>
      </c>
      <c r="B9106" t="s">
        <v>32955</v>
      </c>
      <c r="C9106">
        <v>442</v>
      </c>
      <c r="D9106">
        <v>573</v>
      </c>
      <c r="E9106">
        <v>8776383</v>
      </c>
      <c r="F9106">
        <v>4791</v>
      </c>
      <c r="G9106">
        <v>0</v>
      </c>
      <c r="H9106" t="s">
        <v>14021</v>
      </c>
      <c r="I9106">
        <v>10233</v>
      </c>
      <c r="J9106" t="str">
        <f>VLOOKUP(E9106,DSSpieler!A:B,2,FALSE)</f>
        <v>Super Fabio</v>
      </c>
    </row>
    <row r="9107" spans="1:10" x14ac:dyDescent="0.25">
      <c r="A9107">
        <v>10234</v>
      </c>
      <c r="B9107" t="s">
        <v>33836</v>
      </c>
      <c r="C9107">
        <v>409</v>
      </c>
      <c r="D9107">
        <v>503</v>
      </c>
      <c r="E9107">
        <v>1577198338</v>
      </c>
      <c r="F9107">
        <v>3016</v>
      </c>
      <c r="G9107">
        <v>0</v>
      </c>
      <c r="H9107" t="s">
        <v>14022</v>
      </c>
      <c r="I9107">
        <v>10234</v>
      </c>
      <c r="J9107" t="str">
        <f>VLOOKUP(E9107,DSSpieler!A:B,2,FALSE)</f>
        <v>ShaquilleOatmeal</v>
      </c>
    </row>
    <row r="9108" spans="1:10" x14ac:dyDescent="0.25">
      <c r="A9108">
        <v>10235</v>
      </c>
      <c r="B9108" t="s">
        <v>1895</v>
      </c>
      <c r="C9108">
        <v>453</v>
      </c>
      <c r="D9108">
        <v>489</v>
      </c>
      <c r="E9108">
        <v>1577171823</v>
      </c>
      <c r="F9108">
        <v>4092</v>
      </c>
      <c r="G9108">
        <v>0</v>
      </c>
      <c r="H9108" t="s">
        <v>14023</v>
      </c>
      <c r="I9108">
        <v>10235</v>
      </c>
      <c r="J9108" t="str">
        <f>VLOOKUP(E9108,DSSpieler!A:B,2,FALSE)</f>
        <v>Blackview39</v>
      </c>
    </row>
    <row r="9109" spans="1:10" x14ac:dyDescent="0.25">
      <c r="A9109">
        <v>10236</v>
      </c>
      <c r="B9109" t="s">
        <v>531</v>
      </c>
      <c r="C9109">
        <v>540</v>
      </c>
      <c r="D9109">
        <v>591</v>
      </c>
      <c r="E9109">
        <v>0</v>
      </c>
      <c r="F9109">
        <v>365</v>
      </c>
      <c r="G9109">
        <v>0</v>
      </c>
      <c r="H9109" t="s">
        <v>14024</v>
      </c>
      <c r="I9109">
        <v>10236</v>
      </c>
      <c r="J9109" t="e">
        <f>VLOOKUP(E9109,DSSpieler!A:B,2,FALSE)</f>
        <v>#N/A</v>
      </c>
    </row>
    <row r="9110" spans="1:10" x14ac:dyDescent="0.25">
      <c r="A9110">
        <v>10237</v>
      </c>
      <c r="B9110" t="s">
        <v>531</v>
      </c>
      <c r="C9110">
        <v>562</v>
      </c>
      <c r="D9110">
        <v>574</v>
      </c>
      <c r="E9110">
        <v>0</v>
      </c>
      <c r="F9110">
        <v>317</v>
      </c>
      <c r="G9110">
        <v>0</v>
      </c>
      <c r="H9110" t="s">
        <v>14025</v>
      </c>
      <c r="I9110">
        <v>10237</v>
      </c>
      <c r="J9110" t="e">
        <f>VLOOKUP(E9110,DSSpieler!A:B,2,FALSE)</f>
        <v>#N/A</v>
      </c>
    </row>
    <row r="9111" spans="1:10" x14ac:dyDescent="0.25">
      <c r="A9111">
        <v>10238</v>
      </c>
      <c r="B9111" t="s">
        <v>33837</v>
      </c>
      <c r="C9111">
        <v>419</v>
      </c>
      <c r="D9111">
        <v>425</v>
      </c>
      <c r="E9111">
        <v>1576942115</v>
      </c>
      <c r="F9111">
        <v>5660</v>
      </c>
      <c r="G9111">
        <v>0</v>
      </c>
      <c r="H9111" t="s">
        <v>14026</v>
      </c>
      <c r="I9111">
        <v>10238</v>
      </c>
      <c r="J9111" t="str">
        <f>VLOOKUP(E9111,DSSpieler!A:B,2,FALSE)</f>
        <v>Espritor2</v>
      </c>
    </row>
    <row r="9112" spans="1:10" x14ac:dyDescent="0.25">
      <c r="A9112">
        <v>10239</v>
      </c>
      <c r="B9112">
        <v>2</v>
      </c>
      <c r="C9112">
        <v>461</v>
      </c>
      <c r="D9112">
        <v>418</v>
      </c>
      <c r="E9112">
        <v>1577049716</v>
      </c>
      <c r="F9112">
        <v>5246</v>
      </c>
      <c r="G9112">
        <v>0</v>
      </c>
      <c r="H9112" t="s">
        <v>14027</v>
      </c>
      <c r="I9112">
        <v>10239</v>
      </c>
      <c r="J9112" t="str">
        <f>VLOOKUP(E9112,DSSpieler!A:B,2,FALSE)</f>
        <v>Fabian Dragon 1909</v>
      </c>
    </row>
    <row r="9113" spans="1:10" x14ac:dyDescent="0.25">
      <c r="A9113">
        <v>10240</v>
      </c>
      <c r="B9113" t="s">
        <v>531</v>
      </c>
      <c r="C9113">
        <v>442</v>
      </c>
      <c r="D9113">
        <v>540</v>
      </c>
      <c r="E9113">
        <v>0</v>
      </c>
      <c r="F9113">
        <v>925</v>
      </c>
      <c r="G9113">
        <v>0</v>
      </c>
      <c r="H9113" t="s">
        <v>14028</v>
      </c>
      <c r="I9113">
        <v>10240</v>
      </c>
      <c r="J9113" t="e">
        <f>VLOOKUP(E9113,DSSpieler!A:B,2,FALSE)</f>
        <v>#N/A</v>
      </c>
    </row>
    <row r="9114" spans="1:10" x14ac:dyDescent="0.25">
      <c r="A9114">
        <v>10241</v>
      </c>
      <c r="B9114" t="s">
        <v>531</v>
      </c>
      <c r="C9114">
        <v>587</v>
      </c>
      <c r="D9114">
        <v>460</v>
      </c>
      <c r="E9114">
        <v>0</v>
      </c>
      <c r="F9114">
        <v>288</v>
      </c>
      <c r="G9114">
        <v>0</v>
      </c>
      <c r="H9114" t="s">
        <v>14029</v>
      </c>
      <c r="I9114">
        <v>10241</v>
      </c>
      <c r="J9114" t="e">
        <f>VLOOKUP(E9114,DSSpieler!A:B,2,FALSE)</f>
        <v>#N/A</v>
      </c>
    </row>
    <row r="9115" spans="1:10" x14ac:dyDescent="0.25">
      <c r="A9115">
        <v>10242</v>
      </c>
      <c r="B9115" t="s">
        <v>1121</v>
      </c>
      <c r="C9115">
        <v>571</v>
      </c>
      <c r="D9115">
        <v>437</v>
      </c>
      <c r="E9115">
        <v>1577198392</v>
      </c>
      <c r="F9115">
        <v>8034</v>
      </c>
      <c r="G9115">
        <v>0</v>
      </c>
      <c r="H9115" t="s">
        <v>14030</v>
      </c>
      <c r="I9115">
        <v>10242</v>
      </c>
      <c r="J9115" t="str">
        <f>VLOOKUP(E9115,DSSpieler!A:B,2,FALSE)</f>
        <v>argon.</v>
      </c>
    </row>
    <row r="9116" spans="1:10" x14ac:dyDescent="0.25">
      <c r="A9116">
        <v>10243</v>
      </c>
      <c r="B9116" t="s">
        <v>33838</v>
      </c>
      <c r="C9116">
        <v>552</v>
      </c>
      <c r="D9116">
        <v>429</v>
      </c>
      <c r="E9116">
        <v>1577183941</v>
      </c>
      <c r="F9116">
        <v>7345</v>
      </c>
      <c r="G9116">
        <v>0</v>
      </c>
      <c r="H9116" t="s">
        <v>14031</v>
      </c>
      <c r="I9116">
        <v>10243</v>
      </c>
      <c r="J9116" t="str">
        <f>VLOOKUP(E9116,DSSpieler!A:B,2,FALSE)</f>
        <v>maxlhimself</v>
      </c>
    </row>
    <row r="9117" spans="1:10" x14ac:dyDescent="0.25">
      <c r="A9117">
        <v>10244</v>
      </c>
      <c r="B9117" t="s">
        <v>33839</v>
      </c>
      <c r="C9117">
        <v>567</v>
      </c>
      <c r="D9117">
        <v>433</v>
      </c>
      <c r="E9117">
        <v>8271506</v>
      </c>
      <c r="F9117">
        <v>6230</v>
      </c>
      <c r="G9117">
        <v>0</v>
      </c>
      <c r="H9117" t="s">
        <v>14032</v>
      </c>
      <c r="I9117">
        <v>10244</v>
      </c>
      <c r="J9117" t="str">
        <f>VLOOKUP(E9117,DSSpieler!A:B,2,FALSE)</f>
        <v>Falko der Gladiator</v>
      </c>
    </row>
    <row r="9118" spans="1:10" x14ac:dyDescent="0.25">
      <c r="A9118">
        <v>10245</v>
      </c>
      <c r="B9118" t="s">
        <v>33840</v>
      </c>
      <c r="C9118">
        <v>406</v>
      </c>
      <c r="D9118">
        <v>540</v>
      </c>
      <c r="E9118">
        <v>1576032609</v>
      </c>
      <c r="F9118">
        <v>3098</v>
      </c>
      <c r="G9118">
        <v>0</v>
      </c>
      <c r="H9118" t="s">
        <v>14033</v>
      </c>
      <c r="I9118">
        <v>10245</v>
      </c>
      <c r="J9118" t="str">
        <f>VLOOKUP(E9118,DSSpieler!A:B,2,FALSE)</f>
        <v>Sceentic</v>
      </c>
    </row>
    <row r="9119" spans="1:10" x14ac:dyDescent="0.25">
      <c r="A9119">
        <v>10246</v>
      </c>
      <c r="B9119" t="s">
        <v>1896</v>
      </c>
      <c r="C9119">
        <v>576</v>
      </c>
      <c r="D9119">
        <v>444</v>
      </c>
      <c r="E9119">
        <v>1577197085</v>
      </c>
      <c r="F9119">
        <v>7395</v>
      </c>
      <c r="G9119">
        <v>0</v>
      </c>
      <c r="H9119" t="s">
        <v>14034</v>
      </c>
      <c r="I9119">
        <v>10246</v>
      </c>
      <c r="J9119" t="str">
        <f>VLOOKUP(E9119,DSSpieler!A:B,2,FALSE)</f>
        <v>LawVii</v>
      </c>
    </row>
    <row r="9120" spans="1:10" x14ac:dyDescent="0.25">
      <c r="A9120">
        <v>10247</v>
      </c>
      <c r="B9120" t="s">
        <v>33841</v>
      </c>
      <c r="C9120">
        <v>398</v>
      </c>
      <c r="D9120">
        <v>503</v>
      </c>
      <c r="E9120">
        <v>10269033</v>
      </c>
      <c r="F9120">
        <v>5422</v>
      </c>
      <c r="G9120">
        <v>0</v>
      </c>
      <c r="H9120" t="s">
        <v>14035</v>
      </c>
      <c r="I9120">
        <v>10247</v>
      </c>
      <c r="J9120" t="str">
        <f>VLOOKUP(E9120,DSSpieler!A:B,2,FALSE)</f>
        <v>Brazzors</v>
      </c>
    </row>
    <row r="9121" spans="1:10" x14ac:dyDescent="0.25">
      <c r="A9121">
        <v>10248</v>
      </c>
      <c r="B9121" t="s">
        <v>531</v>
      </c>
      <c r="C9121">
        <v>410</v>
      </c>
      <c r="D9121">
        <v>460</v>
      </c>
      <c r="E9121">
        <v>0</v>
      </c>
      <c r="F9121">
        <v>462</v>
      </c>
      <c r="G9121">
        <v>0</v>
      </c>
      <c r="H9121" t="s">
        <v>14036</v>
      </c>
      <c r="I9121">
        <v>10248</v>
      </c>
      <c r="J9121" t="e">
        <f>VLOOKUP(E9121,DSSpieler!A:B,2,FALSE)</f>
        <v>#N/A</v>
      </c>
    </row>
    <row r="9122" spans="1:10" x14ac:dyDescent="0.25">
      <c r="A9122">
        <v>10249</v>
      </c>
      <c r="B9122" t="s">
        <v>33842</v>
      </c>
      <c r="C9122">
        <v>414</v>
      </c>
      <c r="D9122">
        <v>466</v>
      </c>
      <c r="E9122">
        <v>1576938656</v>
      </c>
      <c r="F9122">
        <v>7861</v>
      </c>
      <c r="G9122">
        <v>0</v>
      </c>
      <c r="H9122" t="s">
        <v>14037</v>
      </c>
      <c r="I9122">
        <v>10249</v>
      </c>
      <c r="J9122" t="str">
        <f>VLOOKUP(E9122,DSSpieler!A:B,2,FALSE)</f>
        <v>Lady Gamb</v>
      </c>
    </row>
    <row r="9123" spans="1:10" x14ac:dyDescent="0.25">
      <c r="A9123">
        <v>10250</v>
      </c>
      <c r="B9123" t="s">
        <v>1897</v>
      </c>
      <c r="C9123">
        <v>534</v>
      </c>
      <c r="D9123">
        <v>450</v>
      </c>
      <c r="E9123">
        <v>1577183460</v>
      </c>
      <c r="F9123">
        <v>5549</v>
      </c>
      <c r="G9123">
        <v>0</v>
      </c>
      <c r="H9123" t="s">
        <v>14038</v>
      </c>
      <c r="I9123">
        <v>10250</v>
      </c>
      <c r="J9123" t="str">
        <f>VLOOKUP(E9123,DSSpieler!A:B,2,FALSE)</f>
        <v>TrollPick</v>
      </c>
    </row>
    <row r="9124" spans="1:10" x14ac:dyDescent="0.25">
      <c r="A9124">
        <v>10251</v>
      </c>
      <c r="B9124" t="s">
        <v>1137</v>
      </c>
      <c r="C9124">
        <v>550</v>
      </c>
      <c r="D9124">
        <v>593</v>
      </c>
      <c r="E9124">
        <v>1577174754</v>
      </c>
      <c r="F9124">
        <v>5345</v>
      </c>
      <c r="G9124">
        <v>0</v>
      </c>
      <c r="H9124" t="s">
        <v>14039</v>
      </c>
      <c r="I9124">
        <v>10251</v>
      </c>
      <c r="J9124" t="str">
        <f>VLOOKUP(E9124,DSSpieler!A:B,2,FALSE)</f>
        <v>Cook1e Dough</v>
      </c>
    </row>
    <row r="9125" spans="1:10" x14ac:dyDescent="0.25">
      <c r="A9125">
        <v>10252</v>
      </c>
      <c r="B9125" t="s">
        <v>33843</v>
      </c>
      <c r="C9125">
        <v>398</v>
      </c>
      <c r="D9125">
        <v>465</v>
      </c>
      <c r="E9125">
        <v>1577198404</v>
      </c>
      <c r="F9125">
        <v>6199</v>
      </c>
      <c r="G9125">
        <v>0</v>
      </c>
      <c r="H9125" t="s">
        <v>14040</v>
      </c>
      <c r="I9125">
        <v>10252</v>
      </c>
      <c r="J9125" t="str">
        <f>VLOOKUP(E9125,DSSpieler!A:B,2,FALSE)</f>
        <v>Kranführer Ronny</v>
      </c>
    </row>
    <row r="9126" spans="1:10" x14ac:dyDescent="0.25">
      <c r="A9126">
        <v>10253</v>
      </c>
      <c r="B9126" t="s">
        <v>33844</v>
      </c>
      <c r="C9126">
        <v>400</v>
      </c>
      <c r="D9126">
        <v>458</v>
      </c>
      <c r="E9126">
        <v>9337931</v>
      </c>
      <c r="F9126">
        <v>5626</v>
      </c>
      <c r="G9126">
        <v>0</v>
      </c>
      <c r="H9126" t="s">
        <v>14041</v>
      </c>
      <c r="I9126">
        <v>10253</v>
      </c>
      <c r="J9126" t="str">
        <f>VLOOKUP(E9126,DSSpieler!A:B,2,FALSE)</f>
        <v>Fiji auf die Uhr</v>
      </c>
    </row>
    <row r="9127" spans="1:10" x14ac:dyDescent="0.25">
      <c r="A9127">
        <v>10254</v>
      </c>
      <c r="B9127" t="s">
        <v>1898</v>
      </c>
      <c r="C9127">
        <v>580</v>
      </c>
      <c r="D9127">
        <v>450</v>
      </c>
      <c r="E9127">
        <v>1577185499</v>
      </c>
      <c r="F9127">
        <v>6484</v>
      </c>
      <c r="G9127">
        <v>0</v>
      </c>
      <c r="H9127" t="s">
        <v>14042</v>
      </c>
      <c r="I9127">
        <v>10254</v>
      </c>
      <c r="J9127" t="str">
        <f>VLOOKUP(E9127,DSSpieler!A:B,2,FALSE)</f>
        <v>c plus plus</v>
      </c>
    </row>
    <row r="9128" spans="1:10" x14ac:dyDescent="0.25">
      <c r="A9128">
        <v>10255</v>
      </c>
      <c r="B9128" t="s">
        <v>531</v>
      </c>
      <c r="C9128">
        <v>593</v>
      </c>
      <c r="D9128">
        <v>532</v>
      </c>
      <c r="E9128">
        <v>0</v>
      </c>
      <c r="F9128">
        <v>286</v>
      </c>
      <c r="G9128">
        <v>0</v>
      </c>
      <c r="H9128" t="s">
        <v>14043</v>
      </c>
      <c r="I9128">
        <v>10255</v>
      </c>
      <c r="J9128" t="e">
        <f>VLOOKUP(E9128,DSSpieler!A:B,2,FALSE)</f>
        <v>#N/A</v>
      </c>
    </row>
    <row r="9129" spans="1:10" x14ac:dyDescent="0.25">
      <c r="A9129">
        <v>10256</v>
      </c>
      <c r="B9129" t="s">
        <v>1133</v>
      </c>
      <c r="C9129">
        <v>424</v>
      </c>
      <c r="D9129">
        <v>537</v>
      </c>
      <c r="E9129">
        <v>1577173890</v>
      </c>
      <c r="F9129">
        <v>6820</v>
      </c>
      <c r="G9129">
        <v>0</v>
      </c>
      <c r="H9129" t="s">
        <v>14044</v>
      </c>
      <c r="I9129">
        <v>10256</v>
      </c>
      <c r="J9129" t="str">
        <f>VLOOKUP(E9129,DSSpieler!A:B,2,FALSE)</f>
        <v>Isolalai</v>
      </c>
    </row>
    <row r="9130" spans="1:10" x14ac:dyDescent="0.25">
      <c r="A9130">
        <v>10257</v>
      </c>
      <c r="B9130" t="s">
        <v>531</v>
      </c>
      <c r="C9130">
        <v>404</v>
      </c>
      <c r="D9130">
        <v>471</v>
      </c>
      <c r="E9130">
        <v>0</v>
      </c>
      <c r="F9130">
        <v>417</v>
      </c>
      <c r="G9130">
        <v>0</v>
      </c>
      <c r="H9130" t="s">
        <v>14045</v>
      </c>
      <c r="I9130">
        <v>10257</v>
      </c>
      <c r="J9130" t="e">
        <f>VLOOKUP(E9130,DSSpieler!A:B,2,FALSE)</f>
        <v>#N/A</v>
      </c>
    </row>
    <row r="9131" spans="1:10" x14ac:dyDescent="0.25">
      <c r="A9131">
        <v>10258</v>
      </c>
      <c r="B9131" t="s">
        <v>33845</v>
      </c>
      <c r="C9131">
        <v>547</v>
      </c>
      <c r="D9131">
        <v>588</v>
      </c>
      <c r="E9131">
        <v>1577198234</v>
      </c>
      <c r="F9131">
        <v>4887</v>
      </c>
      <c r="G9131">
        <v>0</v>
      </c>
      <c r="H9131" t="s">
        <v>14046</v>
      </c>
      <c r="I9131">
        <v>10258</v>
      </c>
      <c r="J9131" t="str">
        <f>VLOOKUP(E9131,DSSpieler!A:B,2,FALSE)</f>
        <v>AdrianH96</v>
      </c>
    </row>
    <row r="9132" spans="1:10" x14ac:dyDescent="0.25">
      <c r="A9132">
        <v>10259</v>
      </c>
      <c r="B9132" t="s">
        <v>531</v>
      </c>
      <c r="C9132">
        <v>597</v>
      </c>
      <c r="D9132">
        <v>475</v>
      </c>
      <c r="E9132">
        <v>0</v>
      </c>
      <c r="F9132">
        <v>229</v>
      </c>
      <c r="G9132">
        <v>0</v>
      </c>
      <c r="H9132" t="s">
        <v>14047</v>
      </c>
      <c r="I9132">
        <v>10259</v>
      </c>
      <c r="J9132" t="e">
        <f>VLOOKUP(E9132,DSSpieler!A:B,2,FALSE)</f>
        <v>#N/A</v>
      </c>
    </row>
    <row r="9133" spans="1:10" x14ac:dyDescent="0.25">
      <c r="A9133">
        <v>10260</v>
      </c>
      <c r="B9133" t="s">
        <v>531</v>
      </c>
      <c r="C9133">
        <v>436</v>
      </c>
      <c r="D9133">
        <v>578</v>
      </c>
      <c r="E9133">
        <v>0</v>
      </c>
      <c r="F9133">
        <v>306</v>
      </c>
      <c r="G9133">
        <v>0</v>
      </c>
      <c r="H9133" t="s">
        <v>14048</v>
      </c>
      <c r="I9133">
        <v>10260</v>
      </c>
      <c r="J9133" t="e">
        <f>VLOOKUP(E9133,DSSpieler!A:B,2,FALSE)</f>
        <v>#N/A</v>
      </c>
    </row>
    <row r="9134" spans="1:10" x14ac:dyDescent="0.25">
      <c r="A9134">
        <v>10261</v>
      </c>
      <c r="B9134" t="s">
        <v>33846</v>
      </c>
      <c r="C9134">
        <v>568</v>
      </c>
      <c r="D9134">
        <v>568</v>
      </c>
      <c r="E9134">
        <v>1577198408</v>
      </c>
      <c r="F9134">
        <v>4759</v>
      </c>
      <c r="G9134">
        <v>0</v>
      </c>
      <c r="H9134" t="s">
        <v>14049</v>
      </c>
      <c r="I9134">
        <v>10261</v>
      </c>
      <c r="J9134" t="str">
        <f>VLOOKUP(E9134,DSSpieler!A:B,2,FALSE)</f>
        <v>AtomAtze 9</v>
      </c>
    </row>
    <row r="9135" spans="1:10" x14ac:dyDescent="0.25">
      <c r="A9135">
        <v>10262</v>
      </c>
      <c r="B9135" t="s">
        <v>30981</v>
      </c>
      <c r="C9135">
        <v>433</v>
      </c>
      <c r="D9135">
        <v>429</v>
      </c>
      <c r="E9135">
        <v>1577197167</v>
      </c>
      <c r="F9135">
        <v>5993</v>
      </c>
      <c r="G9135">
        <v>0</v>
      </c>
      <c r="H9135" t="s">
        <v>14050</v>
      </c>
      <c r="I9135">
        <v>10262</v>
      </c>
      <c r="J9135" t="str">
        <f>VLOOKUP(E9135,DSSpieler!A:B,2,FALSE)</f>
        <v>ToStrikeBack</v>
      </c>
    </row>
    <row r="9136" spans="1:10" x14ac:dyDescent="0.25">
      <c r="A9136">
        <v>10263</v>
      </c>
      <c r="B9136" t="s">
        <v>531</v>
      </c>
      <c r="C9136">
        <v>551</v>
      </c>
      <c r="D9136">
        <v>415</v>
      </c>
      <c r="E9136">
        <v>0</v>
      </c>
      <c r="F9136">
        <v>269</v>
      </c>
      <c r="G9136">
        <v>0</v>
      </c>
      <c r="H9136" t="s">
        <v>14051</v>
      </c>
      <c r="I9136">
        <v>10263</v>
      </c>
      <c r="J9136" t="e">
        <f>VLOOKUP(E9136,DSSpieler!A:B,2,FALSE)</f>
        <v>#N/A</v>
      </c>
    </row>
    <row r="9137" spans="1:10" x14ac:dyDescent="0.25">
      <c r="A9137">
        <v>10265</v>
      </c>
      <c r="B9137" t="s">
        <v>531</v>
      </c>
      <c r="C9137">
        <v>527</v>
      </c>
      <c r="D9137">
        <v>404</v>
      </c>
      <c r="E9137">
        <v>0</v>
      </c>
      <c r="F9137">
        <v>192</v>
      </c>
      <c r="G9137">
        <v>0</v>
      </c>
      <c r="H9137" t="s">
        <v>14052</v>
      </c>
      <c r="I9137">
        <v>10265</v>
      </c>
      <c r="J9137" t="e">
        <f>VLOOKUP(E9137,DSSpieler!A:B,2,FALSE)</f>
        <v>#N/A</v>
      </c>
    </row>
    <row r="9138" spans="1:10" x14ac:dyDescent="0.25">
      <c r="A9138">
        <v>10266</v>
      </c>
      <c r="B9138" t="s">
        <v>531</v>
      </c>
      <c r="C9138">
        <v>457</v>
      </c>
      <c r="D9138">
        <v>590</v>
      </c>
      <c r="E9138">
        <v>0</v>
      </c>
      <c r="F9138">
        <v>700</v>
      </c>
      <c r="G9138">
        <v>0</v>
      </c>
      <c r="H9138" t="s">
        <v>14053</v>
      </c>
      <c r="I9138">
        <v>10266</v>
      </c>
      <c r="J9138" t="e">
        <f>VLOOKUP(E9138,DSSpieler!A:B,2,FALSE)</f>
        <v>#N/A</v>
      </c>
    </row>
    <row r="9139" spans="1:10" x14ac:dyDescent="0.25">
      <c r="A9139">
        <v>10267</v>
      </c>
      <c r="B9139" t="s">
        <v>33847</v>
      </c>
      <c r="C9139">
        <v>423</v>
      </c>
      <c r="D9139">
        <v>511</v>
      </c>
      <c r="E9139">
        <v>1576483653</v>
      </c>
      <c r="F9139">
        <v>1469</v>
      </c>
      <c r="G9139">
        <v>0</v>
      </c>
      <c r="H9139" t="s">
        <v>14054</v>
      </c>
      <c r="I9139">
        <v>10267</v>
      </c>
      <c r="J9139" t="str">
        <f>VLOOKUP(E9139,DSSpieler!A:B,2,FALSE)</f>
        <v>Kanubasti</v>
      </c>
    </row>
    <row r="9140" spans="1:10" x14ac:dyDescent="0.25">
      <c r="A9140">
        <v>10268</v>
      </c>
      <c r="B9140" t="s">
        <v>33848</v>
      </c>
      <c r="C9140">
        <v>508</v>
      </c>
      <c r="D9140">
        <v>596</v>
      </c>
      <c r="E9140">
        <v>1576685522</v>
      </c>
      <c r="F9140">
        <v>2284</v>
      </c>
      <c r="G9140">
        <v>0</v>
      </c>
      <c r="H9140" t="s">
        <v>14055</v>
      </c>
      <c r="I9140">
        <v>10268</v>
      </c>
      <c r="J9140" t="str">
        <f>VLOOKUP(E9140,DSSpieler!A:B,2,FALSE)</f>
        <v>Sparsau</v>
      </c>
    </row>
    <row r="9141" spans="1:10" x14ac:dyDescent="0.25">
      <c r="A9141">
        <v>10269</v>
      </c>
      <c r="B9141" t="s">
        <v>741</v>
      </c>
      <c r="C9141">
        <v>413</v>
      </c>
      <c r="D9141">
        <v>544</v>
      </c>
      <c r="E9141">
        <v>1576996170</v>
      </c>
      <c r="F9141">
        <v>5557</v>
      </c>
      <c r="G9141">
        <v>0</v>
      </c>
      <c r="H9141" t="s">
        <v>14056</v>
      </c>
      <c r="I9141">
        <v>10269</v>
      </c>
      <c r="J9141" t="str">
        <f>VLOOKUP(E9141,DSSpieler!A:B,2,FALSE)</f>
        <v>Brix05</v>
      </c>
    </row>
    <row r="9142" spans="1:10" x14ac:dyDescent="0.25">
      <c r="A9142">
        <v>10270</v>
      </c>
      <c r="B9142" t="s">
        <v>1899</v>
      </c>
      <c r="C9142">
        <v>487</v>
      </c>
      <c r="D9142">
        <v>498</v>
      </c>
      <c r="E9142">
        <v>1577073003</v>
      </c>
      <c r="F9142">
        <v>3251</v>
      </c>
      <c r="G9142">
        <v>0</v>
      </c>
      <c r="H9142" t="s">
        <v>14057</v>
      </c>
      <c r="I9142">
        <v>10270</v>
      </c>
      <c r="J9142" t="str">
        <f>VLOOKUP(E9142,DSSpieler!A:B,2,FALSE)</f>
        <v>CommanderAli</v>
      </c>
    </row>
    <row r="9143" spans="1:10" x14ac:dyDescent="0.25">
      <c r="A9143">
        <v>10271</v>
      </c>
      <c r="B9143" t="s">
        <v>33849</v>
      </c>
      <c r="C9143">
        <v>573</v>
      </c>
      <c r="D9143">
        <v>528</v>
      </c>
      <c r="E9143">
        <v>8146001</v>
      </c>
      <c r="F9143">
        <v>5463</v>
      </c>
      <c r="G9143">
        <v>0</v>
      </c>
      <c r="H9143" t="s">
        <v>14058</v>
      </c>
      <c r="I9143">
        <v>10271</v>
      </c>
      <c r="J9143" t="str">
        <f>VLOOKUP(E9143,DSSpieler!A:B,2,FALSE)</f>
        <v>ekaps</v>
      </c>
    </row>
    <row r="9144" spans="1:10" x14ac:dyDescent="0.25">
      <c r="A9144">
        <v>10272</v>
      </c>
      <c r="B9144" t="s">
        <v>33850</v>
      </c>
      <c r="C9144">
        <v>595</v>
      </c>
      <c r="D9144">
        <v>534</v>
      </c>
      <c r="E9144">
        <v>8785138</v>
      </c>
      <c r="F9144">
        <v>3710</v>
      </c>
      <c r="G9144">
        <v>0</v>
      </c>
      <c r="H9144" t="s">
        <v>14059</v>
      </c>
      <c r="I9144">
        <v>10272</v>
      </c>
      <c r="J9144" t="str">
        <f>VLOOKUP(E9144,DSSpieler!A:B,2,FALSE)</f>
        <v>Coer de Lion II</v>
      </c>
    </row>
    <row r="9145" spans="1:10" x14ac:dyDescent="0.25">
      <c r="A9145">
        <v>10273</v>
      </c>
      <c r="B9145">
        <v>4</v>
      </c>
      <c r="C9145">
        <v>400</v>
      </c>
      <c r="D9145">
        <v>495</v>
      </c>
      <c r="E9145">
        <v>9642632</v>
      </c>
      <c r="F9145">
        <v>3942</v>
      </c>
      <c r="G9145">
        <v>0</v>
      </c>
      <c r="H9145" t="s">
        <v>14060</v>
      </c>
      <c r="I9145">
        <v>10273</v>
      </c>
      <c r="J9145" t="str">
        <f>VLOOKUP(E9145,DSSpieler!A:B,2,FALSE)</f>
        <v>Micha041</v>
      </c>
    </row>
    <row r="9146" spans="1:10" x14ac:dyDescent="0.25">
      <c r="A9146">
        <v>10274</v>
      </c>
      <c r="B9146" t="s">
        <v>33851</v>
      </c>
      <c r="C9146">
        <v>598</v>
      </c>
      <c r="D9146">
        <v>484</v>
      </c>
      <c r="E9146">
        <v>1577168637</v>
      </c>
      <c r="F9146">
        <v>4809</v>
      </c>
      <c r="G9146">
        <v>0</v>
      </c>
      <c r="H9146" t="s">
        <v>14061</v>
      </c>
      <c r="I9146">
        <v>10274</v>
      </c>
      <c r="J9146" t="str">
        <f>VLOOKUP(E9146,DSSpieler!A:B,2,FALSE)</f>
        <v>Gefährliches Laubtier</v>
      </c>
    </row>
    <row r="9147" spans="1:10" x14ac:dyDescent="0.25">
      <c r="A9147">
        <v>10275</v>
      </c>
      <c r="B9147" t="s">
        <v>531</v>
      </c>
      <c r="C9147">
        <v>448</v>
      </c>
      <c r="D9147">
        <v>415</v>
      </c>
      <c r="E9147">
        <v>0</v>
      </c>
      <c r="F9147">
        <v>521</v>
      </c>
      <c r="G9147">
        <v>0</v>
      </c>
      <c r="H9147" t="s">
        <v>14062</v>
      </c>
      <c r="I9147">
        <v>10275</v>
      </c>
      <c r="J9147" t="e">
        <f>VLOOKUP(E9147,DSSpieler!A:B,2,FALSE)</f>
        <v>#N/A</v>
      </c>
    </row>
    <row r="9148" spans="1:10" x14ac:dyDescent="0.25">
      <c r="A9148">
        <v>10276</v>
      </c>
      <c r="B9148" t="s">
        <v>979</v>
      </c>
      <c r="C9148">
        <v>501</v>
      </c>
      <c r="D9148">
        <v>585</v>
      </c>
      <c r="E9148">
        <v>9875916</v>
      </c>
      <c r="F9148">
        <v>3272</v>
      </c>
      <c r="G9148">
        <v>0</v>
      </c>
      <c r="H9148" t="s">
        <v>14063</v>
      </c>
      <c r="I9148">
        <v>10276</v>
      </c>
      <c r="J9148" t="str">
        <f>VLOOKUP(E9148,DSSpieler!A:B,2,FALSE)</f>
        <v>Tassos81</v>
      </c>
    </row>
    <row r="9149" spans="1:10" x14ac:dyDescent="0.25">
      <c r="A9149">
        <v>10277</v>
      </c>
      <c r="B9149" t="s">
        <v>531</v>
      </c>
      <c r="C9149">
        <v>496</v>
      </c>
      <c r="D9149">
        <v>600</v>
      </c>
      <c r="E9149">
        <v>0</v>
      </c>
      <c r="F9149">
        <v>487</v>
      </c>
      <c r="G9149">
        <v>0</v>
      </c>
      <c r="H9149" t="s">
        <v>14064</v>
      </c>
      <c r="I9149">
        <v>10277</v>
      </c>
      <c r="J9149" t="e">
        <f>VLOOKUP(E9149,DSSpieler!A:B,2,FALSE)</f>
        <v>#N/A</v>
      </c>
    </row>
    <row r="9150" spans="1:10" x14ac:dyDescent="0.25">
      <c r="A9150">
        <v>10278</v>
      </c>
      <c r="B9150" t="s">
        <v>33852</v>
      </c>
      <c r="C9150">
        <v>418</v>
      </c>
      <c r="D9150">
        <v>424</v>
      </c>
      <c r="E9150">
        <v>1577175448</v>
      </c>
      <c r="F9150">
        <v>7105</v>
      </c>
      <c r="G9150">
        <v>0</v>
      </c>
      <c r="H9150" t="s">
        <v>14065</v>
      </c>
      <c r="I9150">
        <v>10278</v>
      </c>
      <c r="J9150" t="str">
        <f>VLOOKUP(E9150,DSSpieler!A:B,2,FALSE)</f>
        <v>KevinKohlrabi</v>
      </c>
    </row>
    <row r="9151" spans="1:10" x14ac:dyDescent="0.25">
      <c r="A9151">
        <v>10279</v>
      </c>
      <c r="B9151" t="s">
        <v>33853</v>
      </c>
      <c r="C9151">
        <v>421</v>
      </c>
      <c r="D9151">
        <v>519</v>
      </c>
      <c r="E9151">
        <v>1576968765</v>
      </c>
      <c r="F9151">
        <v>5030</v>
      </c>
      <c r="G9151">
        <v>0</v>
      </c>
      <c r="H9151" t="s">
        <v>14066</v>
      </c>
      <c r="I9151">
        <v>10279</v>
      </c>
      <c r="J9151" t="str">
        <f>VLOOKUP(E9151,DSSpieler!A:B,2,FALSE)</f>
        <v>NoFarmShit</v>
      </c>
    </row>
    <row r="9152" spans="1:10" x14ac:dyDescent="0.25">
      <c r="A9152">
        <v>10281</v>
      </c>
      <c r="B9152" t="s">
        <v>150</v>
      </c>
      <c r="C9152">
        <v>432</v>
      </c>
      <c r="D9152">
        <v>483</v>
      </c>
      <c r="E9152">
        <v>1577196682</v>
      </c>
      <c r="F9152">
        <v>4896</v>
      </c>
      <c r="G9152">
        <v>0</v>
      </c>
      <c r="H9152" t="s">
        <v>14067</v>
      </c>
      <c r="I9152">
        <v>10281</v>
      </c>
      <c r="J9152" t="str">
        <f>VLOOKUP(E9152,DSSpieler!A:B,2,FALSE)</f>
        <v>schonbesser</v>
      </c>
    </row>
    <row r="9153" spans="1:10" x14ac:dyDescent="0.25">
      <c r="A9153">
        <v>10282</v>
      </c>
      <c r="B9153" t="s">
        <v>1900</v>
      </c>
      <c r="C9153">
        <v>407</v>
      </c>
      <c r="D9153">
        <v>530</v>
      </c>
      <c r="E9153">
        <v>619909</v>
      </c>
      <c r="F9153">
        <v>4325</v>
      </c>
      <c r="G9153">
        <v>0</v>
      </c>
      <c r="H9153" t="s">
        <v>14068</v>
      </c>
      <c r="I9153">
        <v>10282</v>
      </c>
      <c r="J9153" t="str">
        <f>VLOOKUP(E9153,DSSpieler!A:B,2,FALSE)</f>
        <v>InvincibleB</v>
      </c>
    </row>
    <row r="9154" spans="1:10" x14ac:dyDescent="0.25">
      <c r="A9154">
        <v>10284</v>
      </c>
      <c r="B9154" t="s">
        <v>1901</v>
      </c>
      <c r="C9154">
        <v>461</v>
      </c>
      <c r="D9154">
        <v>588</v>
      </c>
      <c r="E9154">
        <v>1577027850</v>
      </c>
      <c r="F9154">
        <v>7278</v>
      </c>
      <c r="G9154">
        <v>0</v>
      </c>
      <c r="H9154" t="s">
        <v>14069</v>
      </c>
      <c r="I9154">
        <v>10284</v>
      </c>
      <c r="J9154" t="str">
        <f>VLOOKUP(E9154,DSSpieler!A:B,2,FALSE)</f>
        <v>NikkelangeloHS</v>
      </c>
    </row>
    <row r="9155" spans="1:10" x14ac:dyDescent="0.25">
      <c r="A9155">
        <v>10285</v>
      </c>
      <c r="B9155" t="s">
        <v>1902</v>
      </c>
      <c r="C9155">
        <v>421</v>
      </c>
      <c r="D9155">
        <v>444</v>
      </c>
      <c r="E9155">
        <v>1576125906</v>
      </c>
      <c r="F9155">
        <v>5509</v>
      </c>
      <c r="G9155">
        <v>0</v>
      </c>
      <c r="H9155" t="s">
        <v>14070</v>
      </c>
      <c r="I9155">
        <v>10285</v>
      </c>
      <c r="J9155" t="str">
        <f>VLOOKUP(E9155,DSSpieler!A:B,2,FALSE)</f>
        <v>Tinca12</v>
      </c>
    </row>
    <row r="9156" spans="1:10" x14ac:dyDescent="0.25">
      <c r="A9156">
        <v>10286</v>
      </c>
      <c r="B9156" t="s">
        <v>531</v>
      </c>
      <c r="C9156">
        <v>494</v>
      </c>
      <c r="D9156">
        <v>583</v>
      </c>
      <c r="E9156">
        <v>8926852</v>
      </c>
      <c r="F9156">
        <v>966</v>
      </c>
      <c r="G9156">
        <v>0</v>
      </c>
      <c r="H9156" t="s">
        <v>14071</v>
      </c>
      <c r="I9156">
        <v>10286</v>
      </c>
      <c r="J9156" t="str">
        <f>VLOOKUP(E9156,DSSpieler!A:B,2,FALSE)</f>
        <v>Cirion2</v>
      </c>
    </row>
    <row r="9157" spans="1:10" x14ac:dyDescent="0.25">
      <c r="A9157">
        <v>10287</v>
      </c>
      <c r="B9157" t="s">
        <v>531</v>
      </c>
      <c r="C9157">
        <v>535</v>
      </c>
      <c r="D9157">
        <v>593</v>
      </c>
      <c r="E9157">
        <v>0</v>
      </c>
      <c r="F9157">
        <v>460</v>
      </c>
      <c r="G9157">
        <v>0</v>
      </c>
      <c r="H9157" t="s">
        <v>14072</v>
      </c>
      <c r="I9157">
        <v>10287</v>
      </c>
      <c r="J9157" t="e">
        <f>VLOOKUP(E9157,DSSpieler!A:B,2,FALSE)</f>
        <v>#N/A</v>
      </c>
    </row>
    <row r="9158" spans="1:10" x14ac:dyDescent="0.25">
      <c r="A9158">
        <v>10288</v>
      </c>
      <c r="B9158" t="s">
        <v>531</v>
      </c>
      <c r="C9158">
        <v>544</v>
      </c>
      <c r="D9158">
        <v>552</v>
      </c>
      <c r="E9158">
        <v>0</v>
      </c>
      <c r="F9158">
        <v>1027</v>
      </c>
      <c r="G9158">
        <v>0</v>
      </c>
      <c r="H9158" t="s">
        <v>14073</v>
      </c>
      <c r="I9158">
        <v>10288</v>
      </c>
      <c r="J9158" t="e">
        <f>VLOOKUP(E9158,DSSpieler!A:B,2,FALSE)</f>
        <v>#N/A</v>
      </c>
    </row>
    <row r="9159" spans="1:10" x14ac:dyDescent="0.25">
      <c r="A9159">
        <v>10289</v>
      </c>
      <c r="B9159" t="s">
        <v>35850</v>
      </c>
      <c r="C9159">
        <v>451</v>
      </c>
      <c r="D9159">
        <v>484</v>
      </c>
      <c r="E9159">
        <v>9696060</v>
      </c>
      <c r="F9159">
        <v>2880</v>
      </c>
      <c r="G9159">
        <v>0</v>
      </c>
      <c r="H9159" t="s">
        <v>14074</v>
      </c>
      <c r="I9159">
        <v>10289</v>
      </c>
      <c r="J9159" t="str">
        <f>VLOOKUP(E9159,DSSpieler!A:B,2,FALSE)</f>
        <v>dresden0101</v>
      </c>
    </row>
    <row r="9160" spans="1:10" x14ac:dyDescent="0.25">
      <c r="A9160">
        <v>10291</v>
      </c>
      <c r="B9160" t="s">
        <v>531</v>
      </c>
      <c r="C9160">
        <v>505</v>
      </c>
      <c r="D9160">
        <v>577</v>
      </c>
      <c r="E9160">
        <v>0</v>
      </c>
      <c r="F9160">
        <v>197</v>
      </c>
      <c r="G9160">
        <v>0</v>
      </c>
      <c r="H9160" t="s">
        <v>14075</v>
      </c>
      <c r="I9160">
        <v>10291</v>
      </c>
      <c r="J9160" t="e">
        <f>VLOOKUP(E9160,DSSpieler!A:B,2,FALSE)</f>
        <v>#N/A</v>
      </c>
    </row>
    <row r="9161" spans="1:10" x14ac:dyDescent="0.25">
      <c r="A9161">
        <v>10292</v>
      </c>
      <c r="B9161" t="s">
        <v>1857</v>
      </c>
      <c r="C9161">
        <v>471</v>
      </c>
      <c r="D9161">
        <v>489</v>
      </c>
      <c r="E9161">
        <v>1577075103</v>
      </c>
      <c r="F9161">
        <v>3324</v>
      </c>
      <c r="G9161">
        <v>0</v>
      </c>
      <c r="H9161" t="s">
        <v>14076</v>
      </c>
      <c r="I9161">
        <v>10292</v>
      </c>
      <c r="J9161" t="str">
        <f>VLOOKUP(E9161,DSSpieler!A:B,2,FALSE)</f>
        <v>TopalOsman</v>
      </c>
    </row>
    <row r="9162" spans="1:10" x14ac:dyDescent="0.25">
      <c r="A9162">
        <v>10293</v>
      </c>
      <c r="B9162" t="s">
        <v>1903</v>
      </c>
      <c r="C9162">
        <v>596</v>
      </c>
      <c r="D9162">
        <v>538</v>
      </c>
      <c r="E9162">
        <v>8887108</v>
      </c>
      <c r="F9162">
        <v>4847</v>
      </c>
      <c r="G9162">
        <v>0</v>
      </c>
      <c r="H9162" t="s">
        <v>14077</v>
      </c>
      <c r="I9162">
        <v>10293</v>
      </c>
      <c r="J9162" t="str">
        <f>VLOOKUP(E9162,DSSpieler!A:B,2,FALSE)</f>
        <v>Ritter des Rosts</v>
      </c>
    </row>
    <row r="9163" spans="1:10" x14ac:dyDescent="0.25">
      <c r="A9163">
        <v>10294</v>
      </c>
      <c r="B9163" t="s">
        <v>33854</v>
      </c>
      <c r="C9163">
        <v>452</v>
      </c>
      <c r="D9163">
        <v>586</v>
      </c>
      <c r="E9163">
        <v>9460687</v>
      </c>
      <c r="F9163">
        <v>6664</v>
      </c>
      <c r="G9163">
        <v>0</v>
      </c>
      <c r="H9163" t="s">
        <v>14078</v>
      </c>
      <c r="I9163">
        <v>10294</v>
      </c>
      <c r="J9163" t="str">
        <f>VLOOKUP(E9163,DSSpieler!A:B,2,FALSE)</f>
        <v>MunichCowboy</v>
      </c>
    </row>
    <row r="9164" spans="1:10" x14ac:dyDescent="0.25">
      <c r="A9164">
        <v>10295</v>
      </c>
      <c r="B9164" t="s">
        <v>531</v>
      </c>
      <c r="C9164">
        <v>500</v>
      </c>
      <c r="D9164">
        <v>400</v>
      </c>
      <c r="E9164">
        <v>0</v>
      </c>
      <c r="F9164">
        <v>247</v>
      </c>
      <c r="G9164">
        <v>0</v>
      </c>
      <c r="H9164" t="s">
        <v>14079</v>
      </c>
      <c r="I9164">
        <v>10295</v>
      </c>
      <c r="J9164" t="e">
        <f>VLOOKUP(E9164,DSSpieler!A:B,2,FALSE)</f>
        <v>#N/A</v>
      </c>
    </row>
    <row r="9165" spans="1:10" x14ac:dyDescent="0.25">
      <c r="A9165">
        <v>10296</v>
      </c>
      <c r="B9165" t="s">
        <v>31477</v>
      </c>
      <c r="C9165">
        <v>450</v>
      </c>
      <c r="D9165">
        <v>583</v>
      </c>
      <c r="E9165">
        <v>1577053721</v>
      </c>
      <c r="F9165">
        <v>4310</v>
      </c>
      <c r="G9165">
        <v>0</v>
      </c>
      <c r="H9165" t="s">
        <v>14080</v>
      </c>
      <c r="I9165">
        <v>10296</v>
      </c>
      <c r="J9165" t="str">
        <f>VLOOKUP(E9165,DSSpieler!A:B,2,FALSE)</f>
        <v>optiik</v>
      </c>
    </row>
    <row r="9166" spans="1:10" x14ac:dyDescent="0.25">
      <c r="A9166">
        <v>10297</v>
      </c>
      <c r="B9166" t="s">
        <v>531</v>
      </c>
      <c r="C9166">
        <v>434</v>
      </c>
      <c r="D9166">
        <v>574</v>
      </c>
      <c r="E9166">
        <v>0</v>
      </c>
      <c r="F9166">
        <v>282</v>
      </c>
      <c r="G9166">
        <v>0</v>
      </c>
      <c r="H9166" t="s">
        <v>14081</v>
      </c>
      <c r="I9166">
        <v>10297</v>
      </c>
      <c r="J9166" t="e">
        <f>VLOOKUP(E9166,DSSpieler!A:B,2,FALSE)</f>
        <v>#N/A</v>
      </c>
    </row>
    <row r="9167" spans="1:10" x14ac:dyDescent="0.25">
      <c r="A9167">
        <v>10298</v>
      </c>
      <c r="B9167" t="s">
        <v>33855</v>
      </c>
      <c r="C9167">
        <v>425</v>
      </c>
      <c r="D9167">
        <v>571</v>
      </c>
      <c r="E9167">
        <v>1577069351</v>
      </c>
      <c r="F9167">
        <v>4369</v>
      </c>
      <c r="G9167">
        <v>0</v>
      </c>
      <c r="H9167" t="s">
        <v>14082</v>
      </c>
      <c r="I9167">
        <v>10298</v>
      </c>
      <c r="J9167" t="str">
        <f>VLOOKUP(E9167,DSSpieler!A:B,2,FALSE)</f>
        <v>User-LD</v>
      </c>
    </row>
    <row r="9168" spans="1:10" x14ac:dyDescent="0.25">
      <c r="A9168">
        <v>10299</v>
      </c>
      <c r="B9168" t="s">
        <v>33856</v>
      </c>
      <c r="C9168">
        <v>423</v>
      </c>
      <c r="D9168">
        <v>567</v>
      </c>
      <c r="E9168">
        <v>1576493594</v>
      </c>
      <c r="F9168">
        <v>2805</v>
      </c>
      <c r="G9168">
        <v>0</v>
      </c>
      <c r="H9168" t="s">
        <v>14083</v>
      </c>
      <c r="I9168">
        <v>10299</v>
      </c>
      <c r="J9168" t="str">
        <f>VLOOKUP(E9168,DSSpieler!A:B,2,FALSE)</f>
        <v>Shakur.</v>
      </c>
    </row>
    <row r="9169" spans="1:10" x14ac:dyDescent="0.25">
      <c r="A9169">
        <v>10301</v>
      </c>
      <c r="B9169" t="s">
        <v>531</v>
      </c>
      <c r="C9169">
        <v>460</v>
      </c>
      <c r="D9169">
        <v>419</v>
      </c>
      <c r="E9169">
        <v>0</v>
      </c>
      <c r="F9169">
        <v>472</v>
      </c>
      <c r="G9169">
        <v>0</v>
      </c>
      <c r="H9169" t="s">
        <v>14084</v>
      </c>
      <c r="I9169">
        <v>10301</v>
      </c>
      <c r="J9169" t="e">
        <f>VLOOKUP(E9169,DSSpieler!A:B,2,FALSE)</f>
        <v>#N/A</v>
      </c>
    </row>
    <row r="9170" spans="1:10" x14ac:dyDescent="0.25">
      <c r="A9170">
        <v>10302</v>
      </c>
      <c r="B9170" t="s">
        <v>531</v>
      </c>
      <c r="C9170">
        <v>496</v>
      </c>
      <c r="D9170">
        <v>399</v>
      </c>
      <c r="E9170">
        <v>0</v>
      </c>
      <c r="F9170">
        <v>546</v>
      </c>
      <c r="G9170">
        <v>0</v>
      </c>
      <c r="H9170" t="s">
        <v>14085</v>
      </c>
      <c r="I9170">
        <v>10302</v>
      </c>
      <c r="J9170" t="e">
        <f>VLOOKUP(E9170,DSSpieler!A:B,2,FALSE)</f>
        <v>#N/A</v>
      </c>
    </row>
    <row r="9171" spans="1:10" x14ac:dyDescent="0.25">
      <c r="A9171">
        <v>10303</v>
      </c>
      <c r="B9171" t="s">
        <v>33857</v>
      </c>
      <c r="C9171">
        <v>461</v>
      </c>
      <c r="D9171">
        <v>430</v>
      </c>
      <c r="E9171">
        <v>1576949733</v>
      </c>
      <c r="F9171">
        <v>5558</v>
      </c>
      <c r="G9171">
        <v>0</v>
      </c>
      <c r="H9171" t="s">
        <v>14086</v>
      </c>
      <c r="I9171">
        <v>10303</v>
      </c>
      <c r="J9171" t="str">
        <f>VLOOKUP(E9171,DSSpieler!A:B,2,FALSE)</f>
        <v>Rengo-</v>
      </c>
    </row>
    <row r="9172" spans="1:10" x14ac:dyDescent="0.25">
      <c r="A9172">
        <v>10304</v>
      </c>
      <c r="B9172" t="s">
        <v>531</v>
      </c>
      <c r="C9172">
        <v>596</v>
      </c>
      <c r="D9172">
        <v>467</v>
      </c>
      <c r="E9172">
        <v>0</v>
      </c>
      <c r="F9172">
        <v>286</v>
      </c>
      <c r="G9172">
        <v>0</v>
      </c>
      <c r="H9172" t="s">
        <v>14087</v>
      </c>
      <c r="I9172">
        <v>10304</v>
      </c>
      <c r="J9172" t="e">
        <f>VLOOKUP(E9172,DSSpieler!A:B,2,FALSE)</f>
        <v>#N/A</v>
      </c>
    </row>
    <row r="9173" spans="1:10" x14ac:dyDescent="0.25">
      <c r="A9173">
        <v>10305</v>
      </c>
      <c r="B9173" t="s">
        <v>33858</v>
      </c>
      <c r="C9173">
        <v>401</v>
      </c>
      <c r="D9173">
        <v>493</v>
      </c>
      <c r="E9173">
        <v>1577079404</v>
      </c>
      <c r="F9173">
        <v>4933</v>
      </c>
      <c r="G9173">
        <v>0</v>
      </c>
      <c r="H9173" t="s">
        <v>14088</v>
      </c>
      <c r="I9173">
        <v>10305</v>
      </c>
      <c r="J9173" t="str">
        <f>VLOOKUP(E9173,DSSpieler!A:B,2,FALSE)</f>
        <v>timo</v>
      </c>
    </row>
    <row r="9174" spans="1:10" x14ac:dyDescent="0.25">
      <c r="A9174">
        <v>10306</v>
      </c>
      <c r="B9174">
        <v>1</v>
      </c>
      <c r="C9174">
        <v>398</v>
      </c>
      <c r="D9174">
        <v>513</v>
      </c>
      <c r="E9174">
        <v>9907962</v>
      </c>
      <c r="F9174">
        <v>6646</v>
      </c>
      <c r="G9174">
        <v>0</v>
      </c>
      <c r="H9174" t="s">
        <v>14089</v>
      </c>
      <c r="I9174">
        <v>10306</v>
      </c>
      <c r="J9174" t="str">
        <f>VLOOKUP(E9174,DSSpieler!A:B,2,FALSE)</f>
        <v>florator</v>
      </c>
    </row>
    <row r="9175" spans="1:10" x14ac:dyDescent="0.25">
      <c r="A9175">
        <v>10308</v>
      </c>
      <c r="B9175" t="s">
        <v>33859</v>
      </c>
      <c r="C9175">
        <v>403</v>
      </c>
      <c r="D9175">
        <v>515</v>
      </c>
      <c r="E9175">
        <v>8712330</v>
      </c>
      <c r="F9175">
        <v>1114</v>
      </c>
      <c r="G9175">
        <v>0</v>
      </c>
      <c r="H9175" t="s">
        <v>14090</v>
      </c>
      <c r="I9175">
        <v>10308</v>
      </c>
      <c r="J9175" t="str">
        <f>VLOOKUP(E9175,DSSpieler!A:B,2,FALSE)</f>
        <v>Bahoz91</v>
      </c>
    </row>
    <row r="9176" spans="1:10" x14ac:dyDescent="0.25">
      <c r="A9176">
        <v>10309</v>
      </c>
      <c r="B9176" t="s">
        <v>531</v>
      </c>
      <c r="C9176">
        <v>594</v>
      </c>
      <c r="D9176">
        <v>522</v>
      </c>
      <c r="E9176">
        <v>0</v>
      </c>
      <c r="F9176">
        <v>112</v>
      </c>
      <c r="G9176">
        <v>0</v>
      </c>
      <c r="H9176" t="s">
        <v>14091</v>
      </c>
      <c r="I9176">
        <v>10309</v>
      </c>
      <c r="J9176" t="e">
        <f>VLOOKUP(E9176,DSSpieler!A:B,2,FALSE)</f>
        <v>#N/A</v>
      </c>
    </row>
    <row r="9177" spans="1:10" x14ac:dyDescent="0.25">
      <c r="A9177">
        <v>10311</v>
      </c>
      <c r="B9177" t="s">
        <v>531</v>
      </c>
      <c r="C9177">
        <v>570</v>
      </c>
      <c r="D9177">
        <v>572</v>
      </c>
      <c r="E9177">
        <v>0</v>
      </c>
      <c r="F9177">
        <v>220</v>
      </c>
      <c r="G9177">
        <v>0</v>
      </c>
      <c r="H9177" t="s">
        <v>14092</v>
      </c>
      <c r="I9177">
        <v>10311</v>
      </c>
      <c r="J9177" t="e">
        <f>VLOOKUP(E9177,DSSpieler!A:B,2,FALSE)</f>
        <v>#N/A</v>
      </c>
    </row>
    <row r="9178" spans="1:10" x14ac:dyDescent="0.25">
      <c r="A9178">
        <v>10312</v>
      </c>
      <c r="B9178" t="s">
        <v>33860</v>
      </c>
      <c r="C9178">
        <v>467</v>
      </c>
      <c r="D9178">
        <v>583</v>
      </c>
      <c r="E9178">
        <v>1577160660</v>
      </c>
      <c r="F9178">
        <v>5066</v>
      </c>
      <c r="G9178">
        <v>0</v>
      </c>
      <c r="H9178" t="s">
        <v>14093</v>
      </c>
      <c r="I9178">
        <v>10312</v>
      </c>
      <c r="J9178" t="str">
        <f>VLOOKUP(E9178,DSSpieler!A:B,2,FALSE)</f>
        <v>Muddii</v>
      </c>
    </row>
    <row r="9179" spans="1:10" x14ac:dyDescent="0.25">
      <c r="A9179">
        <v>10313</v>
      </c>
      <c r="B9179" t="s">
        <v>531</v>
      </c>
      <c r="C9179">
        <v>475</v>
      </c>
      <c r="D9179">
        <v>402</v>
      </c>
      <c r="E9179">
        <v>0</v>
      </c>
      <c r="F9179">
        <v>465</v>
      </c>
      <c r="G9179">
        <v>0</v>
      </c>
      <c r="H9179" t="s">
        <v>14094</v>
      </c>
      <c r="I9179">
        <v>10313</v>
      </c>
      <c r="J9179" t="e">
        <f>VLOOKUP(E9179,DSSpieler!A:B,2,FALSE)</f>
        <v>#N/A</v>
      </c>
    </row>
    <row r="9180" spans="1:10" x14ac:dyDescent="0.25">
      <c r="A9180">
        <v>10314</v>
      </c>
      <c r="B9180">
        <v>8</v>
      </c>
      <c r="C9180">
        <v>558</v>
      </c>
      <c r="D9180">
        <v>427</v>
      </c>
      <c r="E9180">
        <v>3479010</v>
      </c>
      <c r="F9180">
        <v>2332</v>
      </c>
      <c r="G9180">
        <v>0</v>
      </c>
      <c r="H9180" t="s">
        <v>14095</v>
      </c>
      <c r="I9180">
        <v>10314</v>
      </c>
      <c r="J9180" t="str">
        <f>VLOOKUP(E9180,DSSpieler!A:B,2,FALSE)</f>
        <v>Lieskauer</v>
      </c>
    </row>
    <row r="9181" spans="1:10" x14ac:dyDescent="0.25">
      <c r="A9181">
        <v>10315</v>
      </c>
      <c r="B9181" t="s">
        <v>1904</v>
      </c>
      <c r="C9181">
        <v>546</v>
      </c>
      <c r="D9181">
        <v>414</v>
      </c>
      <c r="E9181">
        <v>9259027</v>
      </c>
      <c r="F9181">
        <v>2250</v>
      </c>
      <c r="G9181">
        <v>0</v>
      </c>
      <c r="H9181" t="s">
        <v>14096</v>
      </c>
      <c r="I9181">
        <v>10315</v>
      </c>
      <c r="J9181" t="str">
        <f>VLOOKUP(E9181,DSSpieler!A:B,2,FALSE)</f>
        <v>Stahl669</v>
      </c>
    </row>
    <row r="9182" spans="1:10" x14ac:dyDescent="0.25">
      <c r="A9182">
        <v>10316</v>
      </c>
      <c r="B9182" t="s">
        <v>1905</v>
      </c>
      <c r="C9182">
        <v>598</v>
      </c>
      <c r="D9182">
        <v>500</v>
      </c>
      <c r="E9182">
        <v>9566196</v>
      </c>
      <c r="F9182">
        <v>2805</v>
      </c>
      <c r="G9182">
        <v>0</v>
      </c>
      <c r="H9182" t="s">
        <v>14097</v>
      </c>
      <c r="I9182">
        <v>10316</v>
      </c>
      <c r="J9182" t="str">
        <f>VLOOKUP(E9182,DSSpieler!A:B,2,FALSE)</f>
        <v>hellgate devil123</v>
      </c>
    </row>
    <row r="9183" spans="1:10" x14ac:dyDescent="0.25">
      <c r="A9183">
        <v>10317</v>
      </c>
      <c r="B9183" t="s">
        <v>33861</v>
      </c>
      <c r="C9183">
        <v>599</v>
      </c>
      <c r="D9183">
        <v>500</v>
      </c>
      <c r="E9183">
        <v>1576799346</v>
      </c>
      <c r="F9183">
        <v>281</v>
      </c>
      <c r="G9183">
        <v>0</v>
      </c>
      <c r="H9183" t="s">
        <v>14098</v>
      </c>
      <c r="I9183">
        <v>10317</v>
      </c>
      <c r="J9183" t="str">
        <f>VLOOKUP(E9183,DSSpieler!A:B,2,FALSE)</f>
        <v>Yiio</v>
      </c>
    </row>
    <row r="9184" spans="1:10" x14ac:dyDescent="0.25">
      <c r="A9184">
        <v>10318</v>
      </c>
      <c r="B9184" t="s">
        <v>1906</v>
      </c>
      <c r="C9184">
        <v>600</v>
      </c>
      <c r="D9184">
        <v>498</v>
      </c>
      <c r="E9184">
        <v>1666326</v>
      </c>
      <c r="F9184">
        <v>5800</v>
      </c>
      <c r="G9184">
        <v>0</v>
      </c>
      <c r="H9184" t="s">
        <v>14099</v>
      </c>
      <c r="I9184">
        <v>10318</v>
      </c>
      <c r="J9184" t="str">
        <f>VLOOKUP(E9184,DSSpieler!A:B,2,FALSE)</f>
        <v>Wendell Bud White</v>
      </c>
    </row>
    <row r="9185" spans="1:10" x14ac:dyDescent="0.25">
      <c r="A9185">
        <v>10319</v>
      </c>
      <c r="B9185" t="s">
        <v>531</v>
      </c>
      <c r="C9185">
        <v>537</v>
      </c>
      <c r="D9185">
        <v>590</v>
      </c>
      <c r="E9185">
        <v>0</v>
      </c>
      <c r="F9185">
        <v>191</v>
      </c>
      <c r="G9185">
        <v>0</v>
      </c>
      <c r="H9185" t="s">
        <v>14100</v>
      </c>
      <c r="I9185">
        <v>10319</v>
      </c>
      <c r="J9185" t="e">
        <f>VLOOKUP(E9185,DSSpieler!A:B,2,FALSE)</f>
        <v>#N/A</v>
      </c>
    </row>
    <row r="9186" spans="1:10" x14ac:dyDescent="0.25">
      <c r="A9186">
        <v>10320</v>
      </c>
      <c r="B9186">
        <v>1</v>
      </c>
      <c r="C9186">
        <v>404</v>
      </c>
      <c r="D9186">
        <v>494</v>
      </c>
      <c r="E9186">
        <v>9296843</v>
      </c>
      <c r="F9186">
        <v>6047</v>
      </c>
      <c r="G9186">
        <v>0</v>
      </c>
      <c r="H9186" t="s">
        <v>14101</v>
      </c>
      <c r="I9186">
        <v>10320</v>
      </c>
      <c r="J9186" t="str">
        <f>VLOOKUP(E9186,DSSpieler!A:B,2,FALSE)</f>
        <v>-Psylon-</v>
      </c>
    </row>
    <row r="9187" spans="1:10" x14ac:dyDescent="0.25">
      <c r="A9187">
        <v>10321</v>
      </c>
      <c r="B9187" t="s">
        <v>33862</v>
      </c>
      <c r="C9187">
        <v>561</v>
      </c>
      <c r="D9187">
        <v>595</v>
      </c>
      <c r="E9187">
        <v>1576529285</v>
      </c>
      <c r="F9187">
        <v>5790</v>
      </c>
      <c r="G9187">
        <v>0</v>
      </c>
      <c r="H9187" t="s">
        <v>14102</v>
      </c>
      <c r="I9187">
        <v>10321</v>
      </c>
      <c r="J9187" t="str">
        <f>VLOOKUP(E9187,DSSpieler!A:B,2,FALSE)</f>
        <v>supinator</v>
      </c>
    </row>
    <row r="9188" spans="1:10" x14ac:dyDescent="0.25">
      <c r="A9188">
        <v>10322</v>
      </c>
      <c r="B9188" t="s">
        <v>33863</v>
      </c>
      <c r="C9188">
        <v>413</v>
      </c>
      <c r="D9188">
        <v>498</v>
      </c>
      <c r="E9188">
        <v>1576510718</v>
      </c>
      <c r="F9188">
        <v>5121</v>
      </c>
      <c r="G9188">
        <v>0</v>
      </c>
      <c r="H9188" t="s">
        <v>14103</v>
      </c>
      <c r="I9188">
        <v>10322</v>
      </c>
      <c r="J9188" t="str">
        <f>VLOOKUP(E9188,DSSpieler!A:B,2,FALSE)</f>
        <v>OnlyHD</v>
      </c>
    </row>
    <row r="9189" spans="1:10" x14ac:dyDescent="0.25">
      <c r="A9189">
        <v>10323</v>
      </c>
      <c r="B9189" t="s">
        <v>531</v>
      </c>
      <c r="C9189">
        <v>533</v>
      </c>
      <c r="D9189">
        <v>407</v>
      </c>
      <c r="E9189">
        <v>0</v>
      </c>
      <c r="F9189">
        <v>436</v>
      </c>
      <c r="G9189">
        <v>0</v>
      </c>
      <c r="H9189" t="s">
        <v>14104</v>
      </c>
      <c r="I9189">
        <v>10323</v>
      </c>
      <c r="J9189" t="e">
        <f>VLOOKUP(E9189,DSSpieler!A:B,2,FALSE)</f>
        <v>#N/A</v>
      </c>
    </row>
    <row r="9190" spans="1:10" x14ac:dyDescent="0.25">
      <c r="A9190">
        <v>10324</v>
      </c>
      <c r="B9190" t="s">
        <v>33864</v>
      </c>
      <c r="C9190">
        <v>540</v>
      </c>
      <c r="D9190">
        <v>593</v>
      </c>
      <c r="E9190">
        <v>1577195191</v>
      </c>
      <c r="F9190">
        <v>6232</v>
      </c>
      <c r="G9190">
        <v>0</v>
      </c>
      <c r="H9190" t="s">
        <v>14105</v>
      </c>
      <c r="I9190">
        <v>10324</v>
      </c>
      <c r="J9190" t="str">
        <f>VLOOKUP(E9190,DSSpieler!A:B,2,FALSE)</f>
        <v>grizdian</v>
      </c>
    </row>
    <row r="9191" spans="1:10" x14ac:dyDescent="0.25">
      <c r="A9191">
        <v>10325</v>
      </c>
      <c r="B9191" t="s">
        <v>33865</v>
      </c>
      <c r="C9191">
        <v>390</v>
      </c>
      <c r="D9191">
        <v>501</v>
      </c>
      <c r="E9191">
        <v>9694313</v>
      </c>
      <c r="F9191">
        <v>6625</v>
      </c>
      <c r="G9191">
        <v>0</v>
      </c>
      <c r="H9191" t="s">
        <v>14106</v>
      </c>
      <c r="I9191">
        <v>10325</v>
      </c>
      <c r="J9191" t="str">
        <f>VLOOKUP(E9191,DSSpieler!A:B,2,FALSE)</f>
        <v>Lerbanoel</v>
      </c>
    </row>
    <row r="9192" spans="1:10" x14ac:dyDescent="0.25">
      <c r="A9192">
        <v>10326</v>
      </c>
      <c r="B9192" t="s">
        <v>531</v>
      </c>
      <c r="C9192">
        <v>502</v>
      </c>
      <c r="D9192">
        <v>597</v>
      </c>
      <c r="E9192">
        <v>0</v>
      </c>
      <c r="F9192">
        <v>203</v>
      </c>
      <c r="G9192">
        <v>0</v>
      </c>
      <c r="H9192" t="s">
        <v>14107</v>
      </c>
      <c r="I9192">
        <v>10326</v>
      </c>
      <c r="J9192" t="e">
        <f>VLOOKUP(E9192,DSSpieler!A:B,2,FALSE)</f>
        <v>#N/A</v>
      </c>
    </row>
    <row r="9193" spans="1:10" x14ac:dyDescent="0.25">
      <c r="A9193">
        <v>10327</v>
      </c>
      <c r="B9193" t="s">
        <v>531</v>
      </c>
      <c r="C9193">
        <v>553</v>
      </c>
      <c r="D9193">
        <v>415</v>
      </c>
      <c r="E9193">
        <v>0</v>
      </c>
      <c r="F9193">
        <v>333</v>
      </c>
      <c r="G9193">
        <v>0</v>
      </c>
      <c r="H9193" t="s">
        <v>14108</v>
      </c>
      <c r="I9193">
        <v>10327</v>
      </c>
      <c r="J9193" t="e">
        <f>VLOOKUP(E9193,DSSpieler!A:B,2,FALSE)</f>
        <v>#N/A</v>
      </c>
    </row>
    <row r="9194" spans="1:10" x14ac:dyDescent="0.25">
      <c r="A9194">
        <v>10328</v>
      </c>
      <c r="B9194" t="s">
        <v>33866</v>
      </c>
      <c r="C9194">
        <v>525</v>
      </c>
      <c r="D9194">
        <v>598</v>
      </c>
      <c r="E9194">
        <v>1577094871</v>
      </c>
      <c r="F9194">
        <v>268</v>
      </c>
      <c r="G9194">
        <v>0</v>
      </c>
      <c r="H9194" t="s">
        <v>14109</v>
      </c>
      <c r="I9194">
        <v>10328</v>
      </c>
      <c r="J9194" t="str">
        <f>VLOOKUP(E9194,DSSpieler!A:B,2,FALSE)</f>
        <v>IfkedOprah</v>
      </c>
    </row>
    <row r="9195" spans="1:10" x14ac:dyDescent="0.25">
      <c r="A9195">
        <v>10329</v>
      </c>
      <c r="B9195" t="s">
        <v>531</v>
      </c>
      <c r="C9195">
        <v>407</v>
      </c>
      <c r="D9195">
        <v>511</v>
      </c>
      <c r="E9195">
        <v>0</v>
      </c>
      <c r="F9195">
        <v>195</v>
      </c>
      <c r="G9195">
        <v>0</v>
      </c>
      <c r="H9195" t="s">
        <v>14110</v>
      </c>
      <c r="I9195">
        <v>10329</v>
      </c>
      <c r="J9195" t="e">
        <f>VLOOKUP(E9195,DSSpieler!A:B,2,FALSE)</f>
        <v>#N/A</v>
      </c>
    </row>
    <row r="9196" spans="1:10" x14ac:dyDescent="0.25">
      <c r="A9196">
        <v>10330</v>
      </c>
      <c r="B9196" t="s">
        <v>531</v>
      </c>
      <c r="C9196">
        <v>530</v>
      </c>
      <c r="D9196">
        <v>597</v>
      </c>
      <c r="E9196">
        <v>0</v>
      </c>
      <c r="F9196">
        <v>197</v>
      </c>
      <c r="G9196">
        <v>0</v>
      </c>
      <c r="H9196" t="s">
        <v>14111</v>
      </c>
      <c r="I9196">
        <v>10330</v>
      </c>
      <c r="J9196" t="e">
        <f>VLOOKUP(E9196,DSSpieler!A:B,2,FALSE)</f>
        <v>#N/A</v>
      </c>
    </row>
    <row r="9197" spans="1:10" x14ac:dyDescent="0.25">
      <c r="A9197">
        <v>10331</v>
      </c>
      <c r="B9197" t="s">
        <v>33867</v>
      </c>
      <c r="C9197">
        <v>431</v>
      </c>
      <c r="D9197">
        <v>535</v>
      </c>
      <c r="E9197">
        <v>1577176914</v>
      </c>
      <c r="F9197">
        <v>6248</v>
      </c>
      <c r="G9197">
        <v>0</v>
      </c>
      <c r="H9197" t="s">
        <v>14112</v>
      </c>
      <c r="I9197">
        <v>10331</v>
      </c>
      <c r="J9197" t="str">
        <f>VLOOKUP(E9197,DSSpieler!A:B,2,FALSE)</f>
        <v>SkiRiiEach</v>
      </c>
    </row>
    <row r="9198" spans="1:10" x14ac:dyDescent="0.25">
      <c r="A9198">
        <v>10332</v>
      </c>
      <c r="B9198" t="s">
        <v>33868</v>
      </c>
      <c r="C9198">
        <v>434</v>
      </c>
      <c r="D9198">
        <v>426</v>
      </c>
      <c r="E9198">
        <v>1791682</v>
      </c>
      <c r="F9198">
        <v>4870</v>
      </c>
      <c r="G9198">
        <v>0</v>
      </c>
      <c r="H9198" t="s">
        <v>14113</v>
      </c>
      <c r="I9198">
        <v>10332</v>
      </c>
      <c r="J9198" t="str">
        <f>VLOOKUP(E9198,DSSpieler!A:B,2,FALSE)</f>
        <v>Eto1</v>
      </c>
    </row>
    <row r="9199" spans="1:10" x14ac:dyDescent="0.25">
      <c r="A9199">
        <v>10333</v>
      </c>
      <c r="B9199" t="s">
        <v>531</v>
      </c>
      <c r="C9199">
        <v>467</v>
      </c>
      <c r="D9199">
        <v>407</v>
      </c>
      <c r="E9199">
        <v>0</v>
      </c>
      <c r="F9199">
        <v>261</v>
      </c>
      <c r="G9199">
        <v>0</v>
      </c>
      <c r="H9199" t="s">
        <v>14114</v>
      </c>
      <c r="I9199">
        <v>10333</v>
      </c>
      <c r="J9199" t="e">
        <f>VLOOKUP(E9199,DSSpieler!A:B,2,FALSE)</f>
        <v>#N/A</v>
      </c>
    </row>
    <row r="9200" spans="1:10" x14ac:dyDescent="0.25">
      <c r="A9200">
        <v>10334</v>
      </c>
      <c r="B9200" t="s">
        <v>531</v>
      </c>
      <c r="C9200">
        <v>558</v>
      </c>
      <c r="D9200">
        <v>422</v>
      </c>
      <c r="E9200">
        <v>0</v>
      </c>
      <c r="F9200">
        <v>268</v>
      </c>
      <c r="G9200">
        <v>0</v>
      </c>
      <c r="H9200" t="s">
        <v>14115</v>
      </c>
      <c r="I9200">
        <v>10334</v>
      </c>
      <c r="J9200" t="e">
        <f>VLOOKUP(E9200,DSSpieler!A:B,2,FALSE)</f>
        <v>#N/A</v>
      </c>
    </row>
    <row r="9201" spans="1:10" x14ac:dyDescent="0.25">
      <c r="A9201">
        <v>10335</v>
      </c>
      <c r="B9201" t="s">
        <v>531</v>
      </c>
      <c r="C9201">
        <v>588</v>
      </c>
      <c r="D9201">
        <v>548</v>
      </c>
      <c r="E9201">
        <v>0</v>
      </c>
      <c r="F9201">
        <v>272</v>
      </c>
      <c r="G9201">
        <v>0</v>
      </c>
      <c r="H9201" t="s">
        <v>14116</v>
      </c>
      <c r="I9201">
        <v>10335</v>
      </c>
      <c r="J9201" t="e">
        <f>VLOOKUP(E9201,DSSpieler!A:B,2,FALSE)</f>
        <v>#N/A</v>
      </c>
    </row>
    <row r="9202" spans="1:10" x14ac:dyDescent="0.25">
      <c r="A9202">
        <v>10336</v>
      </c>
      <c r="B9202" t="s">
        <v>531</v>
      </c>
      <c r="C9202">
        <v>415</v>
      </c>
      <c r="D9202">
        <v>448</v>
      </c>
      <c r="E9202">
        <v>0</v>
      </c>
      <c r="F9202">
        <v>201</v>
      </c>
      <c r="G9202">
        <v>0</v>
      </c>
      <c r="H9202" t="s">
        <v>14117</v>
      </c>
      <c r="I9202">
        <v>10336</v>
      </c>
      <c r="J9202" t="e">
        <f>VLOOKUP(E9202,DSSpieler!A:B,2,FALSE)</f>
        <v>#N/A</v>
      </c>
    </row>
    <row r="9203" spans="1:10" x14ac:dyDescent="0.25">
      <c r="A9203">
        <v>10337</v>
      </c>
      <c r="B9203" t="s">
        <v>531</v>
      </c>
      <c r="C9203">
        <v>541</v>
      </c>
      <c r="D9203">
        <v>430</v>
      </c>
      <c r="E9203">
        <v>0</v>
      </c>
      <c r="F9203">
        <v>279</v>
      </c>
      <c r="G9203">
        <v>0</v>
      </c>
      <c r="H9203" t="s">
        <v>14118</v>
      </c>
      <c r="I9203">
        <v>10337</v>
      </c>
      <c r="J9203" t="e">
        <f>VLOOKUP(E9203,DSSpieler!A:B,2,FALSE)</f>
        <v>#N/A</v>
      </c>
    </row>
    <row r="9204" spans="1:10" x14ac:dyDescent="0.25">
      <c r="A9204">
        <v>10338</v>
      </c>
      <c r="B9204" t="s">
        <v>33869</v>
      </c>
      <c r="C9204">
        <v>412</v>
      </c>
      <c r="D9204">
        <v>463</v>
      </c>
      <c r="E9204">
        <v>1576742492</v>
      </c>
      <c r="F9204">
        <v>7383</v>
      </c>
      <c r="G9204">
        <v>0</v>
      </c>
      <c r="H9204" t="s">
        <v>14119</v>
      </c>
      <c r="I9204">
        <v>10338</v>
      </c>
      <c r="J9204" t="str">
        <f>VLOOKUP(E9204,DSSpieler!A:B,2,FALSE)</f>
        <v>Diegoslav</v>
      </c>
    </row>
    <row r="9205" spans="1:10" x14ac:dyDescent="0.25">
      <c r="A9205">
        <v>10340</v>
      </c>
      <c r="B9205" t="s">
        <v>33870</v>
      </c>
      <c r="C9205">
        <v>410</v>
      </c>
      <c r="D9205">
        <v>528</v>
      </c>
      <c r="E9205">
        <v>1577055127</v>
      </c>
      <c r="F9205">
        <v>4319</v>
      </c>
      <c r="G9205">
        <v>0</v>
      </c>
      <c r="H9205" t="s">
        <v>14120</v>
      </c>
      <c r="I9205">
        <v>10340</v>
      </c>
      <c r="J9205" t="str">
        <f>VLOOKUP(E9205,DSSpieler!A:B,2,FALSE)</f>
        <v>Karnalos</v>
      </c>
    </row>
    <row r="9206" spans="1:10" x14ac:dyDescent="0.25">
      <c r="A9206">
        <v>10342</v>
      </c>
      <c r="B9206" t="s">
        <v>33871</v>
      </c>
      <c r="C9206">
        <v>397</v>
      </c>
      <c r="D9206">
        <v>486</v>
      </c>
      <c r="E9206">
        <v>10025340</v>
      </c>
      <c r="F9206">
        <v>4868</v>
      </c>
      <c r="G9206">
        <v>0</v>
      </c>
      <c r="H9206" t="s">
        <v>14121</v>
      </c>
      <c r="I9206">
        <v>10342</v>
      </c>
      <c r="J9206" t="str">
        <f>VLOOKUP(E9206,DSSpieler!A:B,2,FALSE)</f>
        <v>Bambus-Mensch</v>
      </c>
    </row>
    <row r="9207" spans="1:10" x14ac:dyDescent="0.25">
      <c r="A9207">
        <v>10343</v>
      </c>
      <c r="B9207" t="s">
        <v>33872</v>
      </c>
      <c r="C9207">
        <v>509</v>
      </c>
      <c r="D9207">
        <v>401</v>
      </c>
      <c r="E9207">
        <v>1577126109</v>
      </c>
      <c r="F9207">
        <v>6962</v>
      </c>
      <c r="G9207">
        <v>0</v>
      </c>
      <c r="H9207" t="s">
        <v>14122</v>
      </c>
      <c r="I9207">
        <v>10343</v>
      </c>
      <c r="J9207" t="str">
        <f>VLOOKUP(E9207,DSSpieler!A:B,2,FALSE)</f>
        <v>Le Günni</v>
      </c>
    </row>
    <row r="9208" spans="1:10" x14ac:dyDescent="0.25">
      <c r="A9208">
        <v>10345</v>
      </c>
      <c r="B9208" t="s">
        <v>531</v>
      </c>
      <c r="C9208">
        <v>418</v>
      </c>
      <c r="D9208">
        <v>448</v>
      </c>
      <c r="E9208">
        <v>0</v>
      </c>
      <c r="F9208">
        <v>482</v>
      </c>
      <c r="G9208">
        <v>0</v>
      </c>
      <c r="H9208" t="s">
        <v>14123</v>
      </c>
      <c r="I9208">
        <v>10345</v>
      </c>
      <c r="J9208" t="e">
        <f>VLOOKUP(E9208,DSSpieler!A:B,2,FALSE)</f>
        <v>#N/A</v>
      </c>
    </row>
    <row r="9209" spans="1:10" x14ac:dyDescent="0.25">
      <c r="A9209">
        <v>10348</v>
      </c>
      <c r="B9209" t="s">
        <v>531</v>
      </c>
      <c r="C9209">
        <v>422</v>
      </c>
      <c r="D9209">
        <v>442</v>
      </c>
      <c r="E9209">
        <v>0</v>
      </c>
      <c r="F9209">
        <v>215</v>
      </c>
      <c r="G9209">
        <v>0</v>
      </c>
      <c r="H9209" t="s">
        <v>14124</v>
      </c>
      <c r="I9209">
        <v>10348</v>
      </c>
      <c r="J9209" t="e">
        <f>VLOOKUP(E9209,DSSpieler!A:B,2,FALSE)</f>
        <v>#N/A</v>
      </c>
    </row>
    <row r="9210" spans="1:10" x14ac:dyDescent="0.25">
      <c r="A9210">
        <v>10350</v>
      </c>
      <c r="B9210" t="s">
        <v>531</v>
      </c>
      <c r="C9210">
        <v>505</v>
      </c>
      <c r="D9210">
        <v>402</v>
      </c>
      <c r="E9210">
        <v>0</v>
      </c>
      <c r="F9210">
        <v>284</v>
      </c>
      <c r="G9210">
        <v>0</v>
      </c>
      <c r="H9210" t="s">
        <v>14125</v>
      </c>
      <c r="I9210">
        <v>10350</v>
      </c>
      <c r="J9210" t="e">
        <f>VLOOKUP(E9210,DSSpieler!A:B,2,FALSE)</f>
        <v>#N/A</v>
      </c>
    </row>
    <row r="9211" spans="1:10" x14ac:dyDescent="0.25">
      <c r="A9211">
        <v>10353</v>
      </c>
      <c r="B9211" t="s">
        <v>531</v>
      </c>
      <c r="C9211">
        <v>514</v>
      </c>
      <c r="D9211">
        <v>600</v>
      </c>
      <c r="E9211">
        <v>0</v>
      </c>
      <c r="F9211">
        <v>174</v>
      </c>
      <c r="G9211">
        <v>0</v>
      </c>
      <c r="H9211" t="s">
        <v>14126</v>
      </c>
      <c r="I9211">
        <v>10353</v>
      </c>
      <c r="J9211" t="e">
        <f>VLOOKUP(E9211,DSSpieler!A:B,2,FALSE)</f>
        <v>#N/A</v>
      </c>
    </row>
    <row r="9212" spans="1:10" x14ac:dyDescent="0.25">
      <c r="A9212">
        <v>10355</v>
      </c>
      <c r="B9212" t="s">
        <v>33873</v>
      </c>
      <c r="C9212">
        <v>447</v>
      </c>
      <c r="D9212">
        <v>417</v>
      </c>
      <c r="E9212">
        <v>1576950154</v>
      </c>
      <c r="F9212">
        <v>4272</v>
      </c>
      <c r="G9212">
        <v>0</v>
      </c>
      <c r="H9212" t="s">
        <v>14127</v>
      </c>
      <c r="I9212">
        <v>10355</v>
      </c>
      <c r="J9212" t="str">
        <f>VLOOKUP(E9212,DSSpieler!A:B,2,FALSE)</f>
        <v>Lord Burnsens</v>
      </c>
    </row>
    <row r="9213" spans="1:10" x14ac:dyDescent="0.25">
      <c r="A9213">
        <v>10356</v>
      </c>
      <c r="B9213" t="s">
        <v>1907</v>
      </c>
      <c r="C9213">
        <v>409</v>
      </c>
      <c r="D9213">
        <v>514</v>
      </c>
      <c r="E9213">
        <v>1577198442</v>
      </c>
      <c r="F9213">
        <v>7598</v>
      </c>
      <c r="G9213">
        <v>0</v>
      </c>
      <c r="H9213" t="s">
        <v>14128</v>
      </c>
      <c r="I9213">
        <v>10356</v>
      </c>
      <c r="J9213" t="str">
        <f>VLOOKUP(E9213,DSSpieler!A:B,2,FALSE)</f>
        <v>op77</v>
      </c>
    </row>
    <row r="9214" spans="1:10" x14ac:dyDescent="0.25">
      <c r="A9214">
        <v>10357</v>
      </c>
      <c r="B9214">
        <v>1</v>
      </c>
      <c r="C9214">
        <v>481</v>
      </c>
      <c r="D9214">
        <v>602</v>
      </c>
      <c r="E9214">
        <v>9173861</v>
      </c>
      <c r="F9214">
        <v>7598</v>
      </c>
      <c r="G9214">
        <v>0</v>
      </c>
      <c r="H9214" t="s">
        <v>14129</v>
      </c>
      <c r="I9214">
        <v>10357</v>
      </c>
      <c r="J9214" t="str">
        <f>VLOOKUP(E9214,DSSpieler!A:B,2,FALSE)</f>
        <v>dieweltmacht</v>
      </c>
    </row>
    <row r="9215" spans="1:10" x14ac:dyDescent="0.25">
      <c r="A9215">
        <v>10358</v>
      </c>
      <c r="B9215" t="s">
        <v>531</v>
      </c>
      <c r="C9215">
        <v>521</v>
      </c>
      <c r="D9215">
        <v>405</v>
      </c>
      <c r="E9215">
        <v>0</v>
      </c>
      <c r="F9215">
        <v>980</v>
      </c>
      <c r="G9215">
        <v>0</v>
      </c>
      <c r="H9215" t="s">
        <v>14130</v>
      </c>
      <c r="I9215">
        <v>10358</v>
      </c>
      <c r="J9215" t="e">
        <f>VLOOKUP(E9215,DSSpieler!A:B,2,FALSE)</f>
        <v>#N/A</v>
      </c>
    </row>
    <row r="9216" spans="1:10" x14ac:dyDescent="0.25">
      <c r="A9216">
        <v>10359</v>
      </c>
      <c r="B9216">
        <v>2</v>
      </c>
      <c r="C9216">
        <v>458</v>
      </c>
      <c r="D9216">
        <v>585</v>
      </c>
      <c r="E9216">
        <v>125807</v>
      </c>
      <c r="F9216">
        <v>6885</v>
      </c>
      <c r="G9216">
        <v>0</v>
      </c>
      <c r="H9216" t="s">
        <v>14131</v>
      </c>
      <c r="I9216">
        <v>10359</v>
      </c>
      <c r="J9216" t="str">
        <f>VLOOKUP(E9216,DSSpieler!A:B,2,FALSE)</f>
        <v>kampffalke</v>
      </c>
    </row>
    <row r="9217" spans="1:10" x14ac:dyDescent="0.25">
      <c r="A9217">
        <v>10360</v>
      </c>
      <c r="B9217" t="s">
        <v>1908</v>
      </c>
      <c r="C9217">
        <v>534</v>
      </c>
      <c r="D9217">
        <v>596</v>
      </c>
      <c r="E9217">
        <v>1577198444</v>
      </c>
      <c r="F9217">
        <v>7873</v>
      </c>
      <c r="G9217">
        <v>0</v>
      </c>
      <c r="H9217" t="s">
        <v>14132</v>
      </c>
      <c r="I9217">
        <v>10360</v>
      </c>
      <c r="J9217" t="str">
        <f>VLOOKUP(E9217,DSSpieler!A:B,2,FALSE)</f>
        <v>Xeroc</v>
      </c>
    </row>
    <row r="9218" spans="1:10" x14ac:dyDescent="0.25">
      <c r="A9218">
        <v>10361</v>
      </c>
      <c r="B9218" t="s">
        <v>1909</v>
      </c>
      <c r="C9218">
        <v>599</v>
      </c>
      <c r="D9218">
        <v>518</v>
      </c>
      <c r="E9218">
        <v>1577198446</v>
      </c>
      <c r="F9218">
        <v>1718</v>
      </c>
      <c r="G9218">
        <v>0</v>
      </c>
      <c r="H9218" t="s">
        <v>14133</v>
      </c>
      <c r="I9218">
        <v>10361</v>
      </c>
      <c r="J9218" t="str">
        <f>VLOOKUP(E9218,DSSpieler!A:B,2,FALSE)</f>
        <v>JumpJack</v>
      </c>
    </row>
    <row r="9219" spans="1:10" x14ac:dyDescent="0.25">
      <c r="A9219">
        <v>10362</v>
      </c>
      <c r="B9219" t="s">
        <v>531</v>
      </c>
      <c r="C9219">
        <v>575</v>
      </c>
      <c r="D9219">
        <v>562</v>
      </c>
      <c r="E9219">
        <v>0</v>
      </c>
      <c r="F9219">
        <v>203</v>
      </c>
      <c r="G9219">
        <v>0</v>
      </c>
      <c r="H9219" t="s">
        <v>14134</v>
      </c>
      <c r="I9219">
        <v>10362</v>
      </c>
      <c r="J9219" t="e">
        <f>VLOOKUP(E9219,DSSpieler!A:B,2,FALSE)</f>
        <v>#N/A</v>
      </c>
    </row>
    <row r="9220" spans="1:10" x14ac:dyDescent="0.25">
      <c r="A9220">
        <v>10363</v>
      </c>
      <c r="B9220" t="s">
        <v>531</v>
      </c>
      <c r="C9220">
        <v>571</v>
      </c>
      <c r="D9220">
        <v>572</v>
      </c>
      <c r="E9220">
        <v>0</v>
      </c>
      <c r="F9220">
        <v>388</v>
      </c>
      <c r="G9220">
        <v>0</v>
      </c>
      <c r="H9220" t="s">
        <v>14135</v>
      </c>
      <c r="I9220">
        <v>10363</v>
      </c>
      <c r="J9220" t="e">
        <f>VLOOKUP(E9220,DSSpieler!A:B,2,FALSE)</f>
        <v>#N/A</v>
      </c>
    </row>
    <row r="9221" spans="1:10" x14ac:dyDescent="0.25">
      <c r="A9221">
        <v>10364</v>
      </c>
      <c r="B9221" t="s">
        <v>979</v>
      </c>
      <c r="C9221">
        <v>519</v>
      </c>
      <c r="D9221">
        <v>603</v>
      </c>
      <c r="E9221">
        <v>2660493</v>
      </c>
      <c r="F9221">
        <v>5969</v>
      </c>
      <c r="G9221">
        <v>0</v>
      </c>
      <c r="H9221" t="s">
        <v>14136</v>
      </c>
      <c r="I9221">
        <v>10364</v>
      </c>
      <c r="J9221" t="str">
        <f>VLOOKUP(E9221,DSSpieler!A:B,2,FALSE)</f>
        <v>homer 681</v>
      </c>
    </row>
    <row r="9222" spans="1:10" x14ac:dyDescent="0.25">
      <c r="A9222">
        <v>10365</v>
      </c>
      <c r="B9222" t="s">
        <v>33874</v>
      </c>
      <c r="C9222">
        <v>412</v>
      </c>
      <c r="D9222">
        <v>453</v>
      </c>
      <c r="E9222">
        <v>1577126766</v>
      </c>
      <c r="F9222">
        <v>199</v>
      </c>
      <c r="G9222">
        <v>0</v>
      </c>
      <c r="H9222" t="s">
        <v>14137</v>
      </c>
      <c r="I9222">
        <v>10365</v>
      </c>
      <c r="J9222" t="str">
        <f>VLOOKUP(E9222,DSSpieler!A:B,2,FALSE)</f>
        <v>Lord lasergurke1112</v>
      </c>
    </row>
    <row r="9223" spans="1:10" x14ac:dyDescent="0.25">
      <c r="A9223">
        <v>10366</v>
      </c>
      <c r="B9223" t="s">
        <v>1910</v>
      </c>
      <c r="C9223">
        <v>412</v>
      </c>
      <c r="D9223">
        <v>456</v>
      </c>
      <c r="E9223">
        <v>1577107522</v>
      </c>
      <c r="F9223">
        <v>2378</v>
      </c>
      <c r="G9223">
        <v>0</v>
      </c>
      <c r="H9223" t="s">
        <v>14138</v>
      </c>
      <c r="I9223">
        <v>10366</v>
      </c>
      <c r="J9223" t="str">
        <f>VLOOKUP(E9223,DSSpieler!A:B,2,FALSE)</f>
        <v>ferdi1999</v>
      </c>
    </row>
    <row r="9224" spans="1:10" x14ac:dyDescent="0.25">
      <c r="A9224">
        <v>10367</v>
      </c>
      <c r="B9224" t="s">
        <v>531</v>
      </c>
      <c r="C9224">
        <v>585</v>
      </c>
      <c r="D9224">
        <v>551</v>
      </c>
      <c r="E9224">
        <v>0</v>
      </c>
      <c r="F9224">
        <v>1036</v>
      </c>
      <c r="G9224">
        <v>0</v>
      </c>
      <c r="H9224" t="s">
        <v>14139</v>
      </c>
      <c r="I9224">
        <v>10367</v>
      </c>
      <c r="J9224" t="e">
        <f>VLOOKUP(E9224,DSSpieler!A:B,2,FALSE)</f>
        <v>#N/A</v>
      </c>
    </row>
    <row r="9225" spans="1:10" x14ac:dyDescent="0.25">
      <c r="A9225">
        <v>10368</v>
      </c>
      <c r="B9225" t="s">
        <v>531</v>
      </c>
      <c r="C9225">
        <v>560</v>
      </c>
      <c r="D9225">
        <v>577</v>
      </c>
      <c r="E9225">
        <v>0</v>
      </c>
      <c r="F9225">
        <v>1317</v>
      </c>
      <c r="G9225">
        <v>0</v>
      </c>
      <c r="H9225" t="s">
        <v>14140</v>
      </c>
      <c r="I9225">
        <v>10368</v>
      </c>
      <c r="J9225" t="e">
        <f>VLOOKUP(E9225,DSSpieler!A:B,2,FALSE)</f>
        <v>#N/A</v>
      </c>
    </row>
    <row r="9226" spans="1:10" x14ac:dyDescent="0.25">
      <c r="A9226">
        <v>10369</v>
      </c>
      <c r="B9226" t="s">
        <v>1911</v>
      </c>
      <c r="C9226">
        <v>485</v>
      </c>
      <c r="D9226">
        <v>592</v>
      </c>
      <c r="E9226">
        <v>9964090</v>
      </c>
      <c r="F9226">
        <v>4373</v>
      </c>
      <c r="G9226">
        <v>0</v>
      </c>
      <c r="H9226" t="s">
        <v>14141</v>
      </c>
      <c r="I9226">
        <v>10369</v>
      </c>
      <c r="J9226" t="str">
        <f>VLOOKUP(E9226,DSSpieler!A:B,2,FALSE)</f>
        <v>Abelos</v>
      </c>
    </row>
    <row r="9227" spans="1:10" x14ac:dyDescent="0.25">
      <c r="A9227">
        <v>10370</v>
      </c>
      <c r="B9227">
        <v>1</v>
      </c>
      <c r="C9227">
        <v>414</v>
      </c>
      <c r="D9227">
        <v>547</v>
      </c>
      <c r="E9227">
        <v>2517318</v>
      </c>
      <c r="F9227">
        <v>7796</v>
      </c>
      <c r="G9227">
        <v>0</v>
      </c>
      <c r="H9227" t="s">
        <v>14142</v>
      </c>
      <c r="I9227">
        <v>10370</v>
      </c>
      <c r="J9227" t="str">
        <f>VLOOKUP(E9227,DSSpieler!A:B,2,FALSE)</f>
        <v>Ritter Gold</v>
      </c>
    </row>
    <row r="9228" spans="1:10" x14ac:dyDescent="0.25">
      <c r="A9228">
        <v>10371</v>
      </c>
      <c r="B9228" t="s">
        <v>1570</v>
      </c>
      <c r="C9228">
        <v>406</v>
      </c>
      <c r="D9228">
        <v>528</v>
      </c>
      <c r="E9228">
        <v>9806947</v>
      </c>
      <c r="F9228">
        <v>5415</v>
      </c>
      <c r="G9228">
        <v>0</v>
      </c>
      <c r="H9228" t="s">
        <v>14143</v>
      </c>
      <c r="I9228">
        <v>10371</v>
      </c>
      <c r="J9228" t="str">
        <f>VLOOKUP(E9228,DSSpieler!A:B,2,FALSE)</f>
        <v>TTinglE</v>
      </c>
    </row>
    <row r="9229" spans="1:10" x14ac:dyDescent="0.25">
      <c r="A9229">
        <v>10374</v>
      </c>
      <c r="B9229" t="s">
        <v>33875</v>
      </c>
      <c r="C9229">
        <v>515</v>
      </c>
      <c r="D9229">
        <v>543</v>
      </c>
      <c r="E9229">
        <v>1424191</v>
      </c>
      <c r="F9229">
        <v>4754</v>
      </c>
      <c r="G9229">
        <v>0</v>
      </c>
      <c r="H9229" t="s">
        <v>14144</v>
      </c>
      <c r="I9229">
        <v>10374</v>
      </c>
      <c r="J9229" t="str">
        <f>VLOOKUP(E9229,DSSpieler!A:B,2,FALSE)</f>
        <v>maxtin96</v>
      </c>
    </row>
    <row r="9230" spans="1:10" x14ac:dyDescent="0.25">
      <c r="A9230">
        <v>10375</v>
      </c>
      <c r="B9230" t="s">
        <v>531</v>
      </c>
      <c r="C9230">
        <v>594</v>
      </c>
      <c r="D9230">
        <v>464</v>
      </c>
      <c r="E9230">
        <v>0</v>
      </c>
      <c r="F9230">
        <v>219</v>
      </c>
      <c r="G9230">
        <v>0</v>
      </c>
      <c r="H9230" t="s">
        <v>14145</v>
      </c>
      <c r="I9230">
        <v>10375</v>
      </c>
      <c r="J9230" t="e">
        <f>VLOOKUP(E9230,DSSpieler!A:B,2,FALSE)</f>
        <v>#N/A</v>
      </c>
    </row>
    <row r="9231" spans="1:10" x14ac:dyDescent="0.25">
      <c r="A9231">
        <v>10376</v>
      </c>
      <c r="B9231" t="s">
        <v>531</v>
      </c>
      <c r="C9231">
        <v>509</v>
      </c>
      <c r="D9231">
        <v>601</v>
      </c>
      <c r="E9231">
        <v>0</v>
      </c>
      <c r="F9231">
        <v>649</v>
      </c>
      <c r="G9231">
        <v>0</v>
      </c>
      <c r="H9231" t="s">
        <v>14146</v>
      </c>
      <c r="I9231">
        <v>10376</v>
      </c>
      <c r="J9231" t="e">
        <f>VLOOKUP(E9231,DSSpieler!A:B,2,FALSE)</f>
        <v>#N/A</v>
      </c>
    </row>
    <row r="9232" spans="1:10" x14ac:dyDescent="0.25">
      <c r="A9232">
        <v>10377</v>
      </c>
      <c r="B9232" t="s">
        <v>531</v>
      </c>
      <c r="C9232">
        <v>599</v>
      </c>
      <c r="D9232">
        <v>523</v>
      </c>
      <c r="E9232">
        <v>0</v>
      </c>
      <c r="F9232">
        <v>567</v>
      </c>
      <c r="G9232">
        <v>0</v>
      </c>
      <c r="H9232" t="s">
        <v>14147</v>
      </c>
      <c r="I9232">
        <v>10377</v>
      </c>
      <c r="J9232" t="e">
        <f>VLOOKUP(E9232,DSSpieler!A:B,2,FALSE)</f>
        <v>#N/A</v>
      </c>
    </row>
    <row r="9233" spans="1:10" x14ac:dyDescent="0.25">
      <c r="A9233">
        <v>10378</v>
      </c>
      <c r="B9233" t="s">
        <v>769</v>
      </c>
      <c r="C9233">
        <v>434</v>
      </c>
      <c r="D9233">
        <v>572</v>
      </c>
      <c r="E9233">
        <v>9841263</v>
      </c>
      <c r="F9233">
        <v>5775</v>
      </c>
      <c r="G9233">
        <v>0</v>
      </c>
      <c r="H9233" t="s">
        <v>14148</v>
      </c>
      <c r="I9233">
        <v>10378</v>
      </c>
      <c r="J9233" t="str">
        <f>VLOOKUP(E9233,DSSpieler!A:B,2,FALSE)</f>
        <v>Paimon</v>
      </c>
    </row>
    <row r="9234" spans="1:10" x14ac:dyDescent="0.25">
      <c r="A9234">
        <v>10379</v>
      </c>
      <c r="B9234" t="s">
        <v>33876</v>
      </c>
      <c r="C9234">
        <v>437</v>
      </c>
      <c r="D9234">
        <v>575</v>
      </c>
      <c r="E9234">
        <v>1577196998</v>
      </c>
      <c r="F9234">
        <v>7912</v>
      </c>
      <c r="G9234">
        <v>0</v>
      </c>
      <c r="H9234" t="s">
        <v>14149</v>
      </c>
      <c r="I9234">
        <v>10379</v>
      </c>
      <c r="J9234" t="str">
        <f>VLOOKUP(E9234,DSSpieler!A:B,2,FALSE)</f>
        <v>Bonkikong</v>
      </c>
    </row>
    <row r="9235" spans="1:10" x14ac:dyDescent="0.25">
      <c r="A9235">
        <v>10380</v>
      </c>
      <c r="B9235" t="s">
        <v>32458</v>
      </c>
      <c r="C9235">
        <v>440</v>
      </c>
      <c r="D9235">
        <v>575</v>
      </c>
      <c r="E9235">
        <v>10080976</v>
      </c>
      <c r="F9235">
        <v>5505</v>
      </c>
      <c r="G9235">
        <v>0</v>
      </c>
      <c r="H9235" t="s">
        <v>14150</v>
      </c>
      <c r="I9235">
        <v>10380</v>
      </c>
      <c r="J9235" t="str">
        <f>VLOOKUP(E9235,DSSpieler!A:B,2,FALSE)</f>
        <v>Kagawa09</v>
      </c>
    </row>
    <row r="9236" spans="1:10" x14ac:dyDescent="0.25">
      <c r="A9236">
        <v>10381</v>
      </c>
      <c r="B9236" t="s">
        <v>769</v>
      </c>
      <c r="C9236">
        <v>435</v>
      </c>
      <c r="D9236">
        <v>566</v>
      </c>
      <c r="E9236">
        <v>9841263</v>
      </c>
      <c r="F9236">
        <v>5824</v>
      </c>
      <c r="G9236">
        <v>0</v>
      </c>
      <c r="H9236" t="s">
        <v>14151</v>
      </c>
      <c r="I9236">
        <v>10381</v>
      </c>
      <c r="J9236" t="str">
        <f>VLOOKUP(E9236,DSSpieler!A:B,2,FALSE)</f>
        <v>Paimon</v>
      </c>
    </row>
    <row r="9237" spans="1:10" x14ac:dyDescent="0.25">
      <c r="A9237">
        <v>10382</v>
      </c>
      <c r="B9237" t="s">
        <v>1152</v>
      </c>
      <c r="C9237">
        <v>442</v>
      </c>
      <c r="D9237">
        <v>583</v>
      </c>
      <c r="E9237">
        <v>9259563</v>
      </c>
      <c r="F9237">
        <v>6815</v>
      </c>
      <c r="G9237">
        <v>0</v>
      </c>
      <c r="H9237" t="s">
        <v>14152</v>
      </c>
      <c r="I9237">
        <v>10382</v>
      </c>
      <c r="J9237" t="str">
        <f>VLOOKUP(E9237,DSSpieler!A:B,2,FALSE)</f>
        <v>Kontaktverbot</v>
      </c>
    </row>
    <row r="9238" spans="1:10" x14ac:dyDescent="0.25">
      <c r="A9238">
        <v>10383</v>
      </c>
      <c r="B9238" t="s">
        <v>32458</v>
      </c>
      <c r="C9238">
        <v>437</v>
      </c>
      <c r="D9238">
        <v>578</v>
      </c>
      <c r="E9238">
        <v>10080976</v>
      </c>
      <c r="F9238">
        <v>4463</v>
      </c>
      <c r="G9238">
        <v>0</v>
      </c>
      <c r="H9238" t="s">
        <v>14153</v>
      </c>
      <c r="I9238">
        <v>10383</v>
      </c>
      <c r="J9238" t="str">
        <f>VLOOKUP(E9238,DSSpieler!A:B,2,FALSE)</f>
        <v>Kagawa09</v>
      </c>
    </row>
    <row r="9239" spans="1:10" x14ac:dyDescent="0.25">
      <c r="A9239">
        <v>10384</v>
      </c>
      <c r="B9239" t="s">
        <v>1087</v>
      </c>
      <c r="C9239">
        <v>579</v>
      </c>
      <c r="D9239">
        <v>576</v>
      </c>
      <c r="E9239">
        <v>9575066</v>
      </c>
      <c r="F9239">
        <v>6039</v>
      </c>
      <c r="G9239">
        <v>0</v>
      </c>
      <c r="H9239" t="s">
        <v>14154</v>
      </c>
      <c r="I9239">
        <v>10384</v>
      </c>
      <c r="J9239" t="str">
        <f>VLOOKUP(E9239,DSSpieler!A:B,2,FALSE)</f>
        <v>Swordmaster1200</v>
      </c>
    </row>
    <row r="9240" spans="1:10" x14ac:dyDescent="0.25">
      <c r="A9240">
        <v>10385</v>
      </c>
      <c r="B9240" t="s">
        <v>1912</v>
      </c>
      <c r="C9240">
        <v>550</v>
      </c>
      <c r="D9240">
        <v>530</v>
      </c>
      <c r="E9240">
        <v>1576860989</v>
      </c>
      <c r="F9240">
        <v>2298</v>
      </c>
      <c r="G9240">
        <v>0</v>
      </c>
      <c r="H9240" t="s">
        <v>14155</v>
      </c>
      <c r="I9240">
        <v>10385</v>
      </c>
      <c r="J9240" t="str">
        <f>VLOOKUP(E9240,DSSpieler!A:B,2,FALSE)</f>
        <v>NeHechEret</v>
      </c>
    </row>
    <row r="9241" spans="1:10" x14ac:dyDescent="0.25">
      <c r="A9241">
        <v>10386</v>
      </c>
      <c r="B9241" t="s">
        <v>531</v>
      </c>
      <c r="C9241">
        <v>517</v>
      </c>
      <c r="D9241">
        <v>598</v>
      </c>
      <c r="E9241">
        <v>0</v>
      </c>
      <c r="F9241">
        <v>554</v>
      </c>
      <c r="G9241">
        <v>0</v>
      </c>
      <c r="H9241" t="s">
        <v>14156</v>
      </c>
      <c r="I9241">
        <v>10386</v>
      </c>
      <c r="J9241" t="e">
        <f>VLOOKUP(E9241,DSSpieler!A:B,2,FALSE)</f>
        <v>#N/A</v>
      </c>
    </row>
    <row r="9242" spans="1:10" x14ac:dyDescent="0.25">
      <c r="A9242">
        <v>10387</v>
      </c>
      <c r="B9242" t="s">
        <v>33877</v>
      </c>
      <c r="C9242">
        <v>459</v>
      </c>
      <c r="D9242">
        <v>592</v>
      </c>
      <c r="E9242">
        <v>104322</v>
      </c>
      <c r="F9242">
        <v>588</v>
      </c>
      <c r="G9242">
        <v>0</v>
      </c>
      <c r="H9242" t="s">
        <v>14157</v>
      </c>
      <c r="I9242">
        <v>10387</v>
      </c>
      <c r="J9242" t="str">
        <f>VLOOKUP(E9242,DSSpieler!A:B,2,FALSE)</f>
        <v>Taps0815</v>
      </c>
    </row>
    <row r="9243" spans="1:10" x14ac:dyDescent="0.25">
      <c r="A9243">
        <v>10388</v>
      </c>
      <c r="B9243" t="s">
        <v>531</v>
      </c>
      <c r="C9243">
        <v>485</v>
      </c>
      <c r="D9243">
        <v>413</v>
      </c>
      <c r="E9243">
        <v>0</v>
      </c>
      <c r="F9243">
        <v>544</v>
      </c>
      <c r="G9243">
        <v>0</v>
      </c>
      <c r="H9243" t="s">
        <v>14158</v>
      </c>
      <c r="I9243">
        <v>10388</v>
      </c>
      <c r="J9243" t="e">
        <f>VLOOKUP(E9243,DSSpieler!A:B,2,FALSE)</f>
        <v>#N/A</v>
      </c>
    </row>
    <row r="9244" spans="1:10" x14ac:dyDescent="0.25">
      <c r="A9244">
        <v>10389</v>
      </c>
      <c r="B9244" t="s">
        <v>1522</v>
      </c>
      <c r="C9244">
        <v>398</v>
      </c>
      <c r="D9244">
        <v>487</v>
      </c>
      <c r="E9244">
        <v>10214231</v>
      </c>
      <c r="F9244">
        <v>4340</v>
      </c>
      <c r="G9244">
        <v>0</v>
      </c>
      <c r="H9244" t="s">
        <v>14159</v>
      </c>
      <c r="I9244">
        <v>10389</v>
      </c>
      <c r="J9244" t="str">
        <f>VLOOKUP(E9244,DSSpieler!A:B,2,FALSE)</f>
        <v>Weizen19</v>
      </c>
    </row>
    <row r="9245" spans="1:10" x14ac:dyDescent="0.25">
      <c r="A9245">
        <v>10390</v>
      </c>
      <c r="B9245" t="s">
        <v>1913</v>
      </c>
      <c r="C9245">
        <v>515</v>
      </c>
      <c r="D9245">
        <v>412</v>
      </c>
      <c r="E9245">
        <v>9779158</v>
      </c>
      <c r="F9245">
        <v>6497</v>
      </c>
      <c r="G9245">
        <v>0</v>
      </c>
      <c r="H9245" t="s">
        <v>14160</v>
      </c>
      <c r="I9245">
        <v>10390</v>
      </c>
      <c r="J9245" t="str">
        <f>VLOOKUP(E9245,DSSpieler!A:B,2,FALSE)</f>
        <v>HeTrOGraDe</v>
      </c>
    </row>
    <row r="9246" spans="1:10" x14ac:dyDescent="0.25">
      <c r="A9246">
        <v>10391</v>
      </c>
      <c r="B9246" t="s">
        <v>1914</v>
      </c>
      <c r="C9246">
        <v>416</v>
      </c>
      <c r="D9246">
        <v>526</v>
      </c>
      <c r="E9246">
        <v>1576974001</v>
      </c>
      <c r="F9246">
        <v>2808</v>
      </c>
      <c r="G9246">
        <v>0</v>
      </c>
      <c r="H9246" t="s">
        <v>14161</v>
      </c>
      <c r="I9246">
        <v>10391</v>
      </c>
      <c r="J9246" t="str">
        <f>VLOOKUP(E9246,DSSpieler!A:B,2,FALSE)</f>
        <v>Nameless*</v>
      </c>
    </row>
    <row r="9247" spans="1:10" x14ac:dyDescent="0.25">
      <c r="A9247">
        <v>10392</v>
      </c>
      <c r="B9247" s="111">
        <v>230.04</v>
      </c>
      <c r="C9247">
        <v>495</v>
      </c>
      <c r="D9247">
        <v>523</v>
      </c>
      <c r="E9247">
        <v>1577196283</v>
      </c>
      <c r="F9247">
        <v>7811</v>
      </c>
      <c r="G9247">
        <v>0</v>
      </c>
      <c r="H9247" t="s">
        <v>14162</v>
      </c>
      <c r="I9247">
        <v>10392</v>
      </c>
      <c r="J9247" t="str">
        <f>VLOOKUP(E9247,DSSpieler!A:B,2,FALSE)</f>
        <v>SupremooZ</v>
      </c>
    </row>
    <row r="9248" spans="1:10" x14ac:dyDescent="0.25">
      <c r="A9248">
        <v>10394</v>
      </c>
      <c r="B9248" t="s">
        <v>31839</v>
      </c>
      <c r="C9248">
        <v>538</v>
      </c>
      <c r="D9248">
        <v>561</v>
      </c>
      <c r="E9248">
        <v>1577011479</v>
      </c>
      <c r="F9248">
        <v>4366</v>
      </c>
      <c r="G9248">
        <v>0</v>
      </c>
      <c r="H9248" t="s">
        <v>14163</v>
      </c>
      <c r="I9248">
        <v>10394</v>
      </c>
      <c r="J9248" t="str">
        <f>VLOOKUP(E9248,DSSpieler!A:B,2,FALSE)</f>
        <v>Dänerys Targaryen</v>
      </c>
    </row>
    <row r="9249" spans="1:10" x14ac:dyDescent="0.25">
      <c r="A9249">
        <v>10395</v>
      </c>
      <c r="B9249" t="s">
        <v>531</v>
      </c>
      <c r="C9249">
        <v>582</v>
      </c>
      <c r="D9249">
        <v>554</v>
      </c>
      <c r="E9249">
        <v>0</v>
      </c>
      <c r="F9249">
        <v>1235</v>
      </c>
      <c r="G9249">
        <v>0</v>
      </c>
      <c r="H9249" t="s">
        <v>14164</v>
      </c>
      <c r="I9249">
        <v>10395</v>
      </c>
      <c r="J9249" t="e">
        <f>VLOOKUP(E9249,DSSpieler!A:B,2,FALSE)</f>
        <v>#N/A</v>
      </c>
    </row>
    <row r="9250" spans="1:10" x14ac:dyDescent="0.25">
      <c r="A9250">
        <v>10396</v>
      </c>
      <c r="B9250" t="s">
        <v>531</v>
      </c>
      <c r="C9250">
        <v>400</v>
      </c>
      <c r="D9250">
        <v>506</v>
      </c>
      <c r="E9250">
        <v>0</v>
      </c>
      <c r="F9250">
        <v>1460</v>
      </c>
      <c r="G9250">
        <v>0</v>
      </c>
      <c r="H9250" t="s">
        <v>14165</v>
      </c>
      <c r="I9250">
        <v>10396</v>
      </c>
      <c r="J9250" t="e">
        <f>VLOOKUP(E9250,DSSpieler!A:B,2,FALSE)</f>
        <v>#N/A</v>
      </c>
    </row>
    <row r="9251" spans="1:10" x14ac:dyDescent="0.25">
      <c r="A9251">
        <v>10397</v>
      </c>
      <c r="B9251">
        <v>1902</v>
      </c>
      <c r="C9251">
        <v>592</v>
      </c>
      <c r="D9251">
        <v>442</v>
      </c>
      <c r="E9251">
        <v>1576728689</v>
      </c>
      <c r="F9251">
        <v>5299</v>
      </c>
      <c r="G9251">
        <v>0</v>
      </c>
      <c r="H9251" t="s">
        <v>14166</v>
      </c>
      <c r="I9251">
        <v>10397</v>
      </c>
      <c r="J9251" t="str">
        <f>VLOOKUP(E9251,DSSpieler!A:B,2,FALSE)</f>
        <v>KingKlooz</v>
      </c>
    </row>
    <row r="9252" spans="1:10" x14ac:dyDescent="0.25">
      <c r="A9252">
        <v>10398</v>
      </c>
      <c r="B9252" t="s">
        <v>531</v>
      </c>
      <c r="C9252">
        <v>581</v>
      </c>
      <c r="D9252">
        <v>440</v>
      </c>
      <c r="E9252">
        <v>0</v>
      </c>
      <c r="F9252">
        <v>589</v>
      </c>
      <c r="G9252">
        <v>0</v>
      </c>
      <c r="H9252" t="s">
        <v>14167</v>
      </c>
      <c r="I9252">
        <v>10398</v>
      </c>
      <c r="J9252" t="e">
        <f>VLOOKUP(E9252,DSSpieler!A:B,2,FALSE)</f>
        <v>#N/A</v>
      </c>
    </row>
    <row r="9253" spans="1:10" x14ac:dyDescent="0.25">
      <c r="A9253">
        <v>10399</v>
      </c>
      <c r="B9253" t="s">
        <v>1915</v>
      </c>
      <c r="C9253">
        <v>517</v>
      </c>
      <c r="D9253">
        <v>403</v>
      </c>
      <c r="E9253">
        <v>1577158348</v>
      </c>
      <c r="F9253">
        <v>5415</v>
      </c>
      <c r="G9253">
        <v>0</v>
      </c>
      <c r="H9253" t="s">
        <v>14168</v>
      </c>
      <c r="I9253">
        <v>10399</v>
      </c>
      <c r="J9253" t="str">
        <f>VLOOKUP(E9253,DSSpieler!A:B,2,FALSE)</f>
        <v>Der Metzler</v>
      </c>
    </row>
    <row r="9254" spans="1:10" x14ac:dyDescent="0.25">
      <c r="A9254">
        <v>10400</v>
      </c>
      <c r="B9254" t="s">
        <v>33452</v>
      </c>
      <c r="C9254">
        <v>543</v>
      </c>
      <c r="D9254">
        <v>588</v>
      </c>
      <c r="E9254">
        <v>1577198461</v>
      </c>
      <c r="F9254">
        <v>7674</v>
      </c>
      <c r="G9254">
        <v>0</v>
      </c>
      <c r="H9254" t="s">
        <v>14169</v>
      </c>
      <c r="I9254">
        <v>10400</v>
      </c>
      <c r="J9254" t="str">
        <f>VLOOKUP(E9254,DSSpieler!A:B,2,FALSE)</f>
        <v>MarcKackBob</v>
      </c>
    </row>
    <row r="9255" spans="1:10" x14ac:dyDescent="0.25">
      <c r="A9255">
        <v>10401</v>
      </c>
      <c r="B9255" t="s">
        <v>531</v>
      </c>
      <c r="C9255">
        <v>470</v>
      </c>
      <c r="D9255">
        <v>461</v>
      </c>
      <c r="E9255">
        <v>0</v>
      </c>
      <c r="F9255">
        <v>380</v>
      </c>
      <c r="G9255">
        <v>0</v>
      </c>
      <c r="H9255" t="s">
        <v>14170</v>
      </c>
      <c r="I9255">
        <v>10401</v>
      </c>
      <c r="J9255" t="e">
        <f>VLOOKUP(E9255,DSSpieler!A:B,2,FALSE)</f>
        <v>#N/A</v>
      </c>
    </row>
    <row r="9256" spans="1:10" x14ac:dyDescent="0.25">
      <c r="A9256">
        <v>10402</v>
      </c>
      <c r="B9256" t="s">
        <v>1916</v>
      </c>
      <c r="C9256">
        <v>485</v>
      </c>
      <c r="D9256">
        <v>597</v>
      </c>
      <c r="E9256">
        <v>9835495</v>
      </c>
      <c r="F9256">
        <v>3853</v>
      </c>
      <c r="G9256">
        <v>0</v>
      </c>
      <c r="H9256" t="s">
        <v>14171</v>
      </c>
      <c r="I9256">
        <v>10402</v>
      </c>
      <c r="J9256" t="str">
        <f>VLOOKUP(E9256,DSSpieler!A:B,2,FALSE)</f>
        <v>MrFreakeffect</v>
      </c>
    </row>
    <row r="9257" spans="1:10" x14ac:dyDescent="0.25">
      <c r="A9257">
        <v>10403</v>
      </c>
      <c r="B9257" t="s">
        <v>33878</v>
      </c>
      <c r="C9257">
        <v>547</v>
      </c>
      <c r="D9257">
        <v>526</v>
      </c>
      <c r="E9257">
        <v>1577198146</v>
      </c>
      <c r="F9257">
        <v>5624</v>
      </c>
      <c r="G9257">
        <v>0</v>
      </c>
      <c r="H9257" t="s">
        <v>14172</v>
      </c>
      <c r="I9257">
        <v>10403</v>
      </c>
      <c r="J9257" t="str">
        <f>VLOOKUP(E9257,DSSpieler!A:B,2,FALSE)</f>
        <v>Nuvenor</v>
      </c>
    </row>
    <row r="9258" spans="1:10" x14ac:dyDescent="0.25">
      <c r="A9258">
        <v>10404</v>
      </c>
      <c r="B9258" t="s">
        <v>33879</v>
      </c>
      <c r="C9258">
        <v>547</v>
      </c>
      <c r="D9258">
        <v>414</v>
      </c>
      <c r="E9258">
        <v>1575979045</v>
      </c>
      <c r="F9258">
        <v>241</v>
      </c>
      <c r="G9258">
        <v>0</v>
      </c>
      <c r="H9258" t="s">
        <v>14173</v>
      </c>
      <c r="I9258">
        <v>10404</v>
      </c>
      <c r="J9258" t="str">
        <f>VLOOKUP(E9258,DSSpieler!A:B,2,FALSE)</f>
        <v>Lord JackBauer88</v>
      </c>
    </row>
    <row r="9259" spans="1:10" x14ac:dyDescent="0.25">
      <c r="A9259">
        <v>10405</v>
      </c>
      <c r="B9259" t="s">
        <v>1917</v>
      </c>
      <c r="C9259">
        <v>485</v>
      </c>
      <c r="D9259">
        <v>400</v>
      </c>
      <c r="E9259">
        <v>1576917303</v>
      </c>
      <c r="F9259">
        <v>4575</v>
      </c>
      <c r="G9259">
        <v>0</v>
      </c>
      <c r="H9259" t="s">
        <v>14174</v>
      </c>
      <c r="I9259">
        <v>10405</v>
      </c>
      <c r="J9259" t="str">
        <f>VLOOKUP(E9259,DSSpieler!A:B,2,FALSE)</f>
        <v>MA6IC CU3E</v>
      </c>
    </row>
    <row r="9260" spans="1:10" x14ac:dyDescent="0.25">
      <c r="A9260">
        <v>10406</v>
      </c>
      <c r="B9260" t="s">
        <v>983</v>
      </c>
      <c r="C9260">
        <v>438</v>
      </c>
      <c r="D9260">
        <v>477</v>
      </c>
      <c r="E9260">
        <v>9432353</v>
      </c>
      <c r="F9260">
        <v>5578</v>
      </c>
      <c r="G9260">
        <v>0</v>
      </c>
      <c r="H9260" t="s">
        <v>14175</v>
      </c>
      <c r="I9260">
        <v>10406</v>
      </c>
      <c r="J9260" t="str">
        <f>VLOOKUP(E9260,DSSpieler!A:B,2,FALSE)</f>
        <v>nOiiSe</v>
      </c>
    </row>
    <row r="9261" spans="1:10" x14ac:dyDescent="0.25">
      <c r="A9261">
        <v>10407</v>
      </c>
      <c r="B9261" t="s">
        <v>531</v>
      </c>
      <c r="C9261">
        <v>485</v>
      </c>
      <c r="D9261">
        <v>401</v>
      </c>
      <c r="E9261">
        <v>0</v>
      </c>
      <c r="F9261">
        <v>232</v>
      </c>
      <c r="G9261">
        <v>0</v>
      </c>
      <c r="H9261" t="s">
        <v>14176</v>
      </c>
      <c r="I9261">
        <v>10407</v>
      </c>
      <c r="J9261" t="e">
        <f>VLOOKUP(E9261,DSSpieler!A:B,2,FALSE)</f>
        <v>#N/A</v>
      </c>
    </row>
    <row r="9262" spans="1:10" x14ac:dyDescent="0.25">
      <c r="A9262">
        <v>10408</v>
      </c>
      <c r="B9262" t="s">
        <v>33880</v>
      </c>
      <c r="C9262">
        <v>446</v>
      </c>
      <c r="D9262">
        <v>572</v>
      </c>
      <c r="E9262">
        <v>1577154995</v>
      </c>
      <c r="F9262">
        <v>1426</v>
      </c>
      <c r="G9262">
        <v>0</v>
      </c>
      <c r="H9262" t="s">
        <v>14177</v>
      </c>
      <c r="I9262">
        <v>10408</v>
      </c>
      <c r="J9262" t="str">
        <f>VLOOKUP(E9262,DSSpieler!A:B,2,FALSE)</f>
        <v>Lucy-fer</v>
      </c>
    </row>
    <row r="9263" spans="1:10" x14ac:dyDescent="0.25">
      <c r="A9263">
        <v>10409</v>
      </c>
      <c r="B9263" t="s">
        <v>531</v>
      </c>
      <c r="C9263">
        <v>467</v>
      </c>
      <c r="D9263">
        <v>596</v>
      </c>
      <c r="E9263">
        <v>0</v>
      </c>
      <c r="F9263">
        <v>226</v>
      </c>
      <c r="G9263">
        <v>0</v>
      </c>
      <c r="H9263" t="s">
        <v>14178</v>
      </c>
      <c r="I9263">
        <v>10409</v>
      </c>
      <c r="J9263" t="e">
        <f>VLOOKUP(E9263,DSSpieler!A:B,2,FALSE)</f>
        <v>#N/A</v>
      </c>
    </row>
    <row r="9264" spans="1:10" x14ac:dyDescent="0.25">
      <c r="A9264">
        <v>10410</v>
      </c>
      <c r="B9264" t="s">
        <v>33881</v>
      </c>
      <c r="C9264">
        <v>547</v>
      </c>
      <c r="D9264">
        <v>587</v>
      </c>
      <c r="E9264">
        <v>1577198234</v>
      </c>
      <c r="F9264">
        <v>5583</v>
      </c>
      <c r="G9264">
        <v>0</v>
      </c>
      <c r="H9264" t="s">
        <v>14179</v>
      </c>
      <c r="I9264">
        <v>10410</v>
      </c>
      <c r="J9264" t="str">
        <f>VLOOKUP(E9264,DSSpieler!A:B,2,FALSE)</f>
        <v>AdrianH96</v>
      </c>
    </row>
    <row r="9265" spans="1:10" x14ac:dyDescent="0.25">
      <c r="A9265">
        <v>10411</v>
      </c>
      <c r="B9265" t="s">
        <v>33882</v>
      </c>
      <c r="C9265">
        <v>503</v>
      </c>
      <c r="D9265">
        <v>594</v>
      </c>
      <c r="E9265">
        <v>621977</v>
      </c>
      <c r="F9265">
        <v>6245</v>
      </c>
      <c r="G9265">
        <v>0</v>
      </c>
      <c r="H9265" t="s">
        <v>14180</v>
      </c>
      <c r="I9265">
        <v>10411</v>
      </c>
      <c r="J9265" t="str">
        <f>VLOOKUP(E9265,DSSpieler!A:B,2,FALSE)</f>
        <v>Onkel Skav</v>
      </c>
    </row>
    <row r="9266" spans="1:10" x14ac:dyDescent="0.25">
      <c r="A9266">
        <v>10412</v>
      </c>
      <c r="B9266" t="s">
        <v>33883</v>
      </c>
      <c r="C9266">
        <v>539</v>
      </c>
      <c r="D9266">
        <v>578</v>
      </c>
      <c r="E9266">
        <v>1577186761</v>
      </c>
      <c r="F9266">
        <v>6080</v>
      </c>
      <c r="G9266">
        <v>0</v>
      </c>
      <c r="H9266" t="s">
        <v>14181</v>
      </c>
      <c r="I9266">
        <v>10412</v>
      </c>
      <c r="J9266" t="str">
        <f>VLOOKUP(E9266,DSSpieler!A:B,2,FALSE)</f>
        <v>kinimod 96</v>
      </c>
    </row>
    <row r="9267" spans="1:10" x14ac:dyDescent="0.25">
      <c r="A9267">
        <v>10413</v>
      </c>
      <c r="B9267" t="s">
        <v>1918</v>
      </c>
      <c r="C9267">
        <v>546</v>
      </c>
      <c r="D9267">
        <v>595</v>
      </c>
      <c r="E9267">
        <v>1577028197</v>
      </c>
      <c r="F9267">
        <v>2046</v>
      </c>
      <c r="G9267">
        <v>0</v>
      </c>
      <c r="H9267" t="s">
        <v>14182</v>
      </c>
      <c r="I9267">
        <v>10413</v>
      </c>
      <c r="J9267" t="str">
        <f>VLOOKUP(E9267,DSSpieler!A:B,2,FALSE)</f>
        <v>DontDrinkAndDs</v>
      </c>
    </row>
    <row r="9268" spans="1:10" x14ac:dyDescent="0.25">
      <c r="A9268">
        <v>10414</v>
      </c>
      <c r="B9268" t="s">
        <v>33884</v>
      </c>
      <c r="C9268">
        <v>541</v>
      </c>
      <c r="D9268">
        <v>414</v>
      </c>
      <c r="E9268">
        <v>1577177484</v>
      </c>
      <c r="F9268">
        <v>4781</v>
      </c>
      <c r="G9268">
        <v>0</v>
      </c>
      <c r="H9268" t="s">
        <v>14183</v>
      </c>
      <c r="I9268">
        <v>10414</v>
      </c>
      <c r="J9268" t="str">
        <f>VLOOKUP(E9268,DSSpieler!A:B,2,FALSE)</f>
        <v>sims12354</v>
      </c>
    </row>
    <row r="9269" spans="1:10" x14ac:dyDescent="0.25">
      <c r="A9269">
        <v>10415</v>
      </c>
      <c r="B9269" t="s">
        <v>531</v>
      </c>
      <c r="C9269">
        <v>492</v>
      </c>
      <c r="D9269">
        <v>399</v>
      </c>
      <c r="E9269">
        <v>0</v>
      </c>
      <c r="F9269">
        <v>103</v>
      </c>
      <c r="G9269">
        <v>0</v>
      </c>
      <c r="H9269" t="s">
        <v>14184</v>
      </c>
      <c r="I9269">
        <v>10415</v>
      </c>
      <c r="J9269" t="e">
        <f>VLOOKUP(E9269,DSSpieler!A:B,2,FALSE)</f>
        <v>#N/A</v>
      </c>
    </row>
    <row r="9270" spans="1:10" x14ac:dyDescent="0.25">
      <c r="A9270">
        <v>10416</v>
      </c>
      <c r="B9270" t="e">
        <f>-FanTas+Dorf</f>
        <v>#NAME?</v>
      </c>
      <c r="C9270">
        <v>504</v>
      </c>
      <c r="D9270">
        <v>407</v>
      </c>
      <c r="E9270">
        <v>2330777</v>
      </c>
      <c r="F9270">
        <v>4858</v>
      </c>
      <c r="G9270">
        <v>0</v>
      </c>
      <c r="H9270" t="s">
        <v>14185</v>
      </c>
      <c r="I9270">
        <v>10416</v>
      </c>
      <c r="J9270" t="e">
        <f>VLOOKUP(E9270,DSSpieler!A:B,2,FALSE)</f>
        <v>#NAME?</v>
      </c>
    </row>
    <row r="9271" spans="1:10" x14ac:dyDescent="0.25">
      <c r="A9271">
        <v>10417</v>
      </c>
      <c r="B9271" t="s">
        <v>33885</v>
      </c>
      <c r="C9271">
        <v>555</v>
      </c>
      <c r="D9271">
        <v>586</v>
      </c>
      <c r="E9271">
        <v>1577199020</v>
      </c>
      <c r="F9271">
        <v>5225</v>
      </c>
      <c r="G9271">
        <v>0</v>
      </c>
      <c r="H9271" t="s">
        <v>14186</v>
      </c>
      <c r="I9271">
        <v>10417</v>
      </c>
      <c r="J9271" t="str">
        <f>VLOOKUP(E9271,DSSpieler!A:B,2,FALSE)</f>
        <v>Günther Schäfer</v>
      </c>
    </row>
    <row r="9272" spans="1:10" x14ac:dyDescent="0.25">
      <c r="A9272">
        <v>10418</v>
      </c>
      <c r="B9272" t="s">
        <v>1919</v>
      </c>
      <c r="C9272">
        <v>513</v>
      </c>
      <c r="D9272">
        <v>504</v>
      </c>
      <c r="E9272">
        <v>1577131143</v>
      </c>
      <c r="F9272">
        <v>2783</v>
      </c>
      <c r="G9272">
        <v>0</v>
      </c>
      <c r="H9272" t="s">
        <v>14187</v>
      </c>
      <c r="I9272">
        <v>10418</v>
      </c>
      <c r="J9272" t="str">
        <f>VLOOKUP(E9272,DSSpieler!A:B,2,FALSE)</f>
        <v>Timgl97</v>
      </c>
    </row>
    <row r="9273" spans="1:10" x14ac:dyDescent="0.25">
      <c r="A9273">
        <v>10419</v>
      </c>
      <c r="B9273" t="s">
        <v>673</v>
      </c>
      <c r="C9273">
        <v>397</v>
      </c>
      <c r="D9273">
        <v>501</v>
      </c>
      <c r="E9273">
        <v>1577097018</v>
      </c>
      <c r="F9273">
        <v>6191</v>
      </c>
      <c r="G9273">
        <v>0</v>
      </c>
      <c r="H9273" t="s">
        <v>14188</v>
      </c>
      <c r="I9273">
        <v>10419</v>
      </c>
      <c r="J9273" t="str">
        <f>VLOOKUP(E9273,DSSpieler!A:B,2,FALSE)</f>
        <v>DerderohneRammenkommt</v>
      </c>
    </row>
    <row r="9274" spans="1:10" x14ac:dyDescent="0.25">
      <c r="A9274">
        <v>10420</v>
      </c>
      <c r="B9274" t="s">
        <v>33886</v>
      </c>
      <c r="C9274">
        <v>401</v>
      </c>
      <c r="D9274">
        <v>487</v>
      </c>
      <c r="E9274">
        <v>8207075</v>
      </c>
      <c r="F9274">
        <v>323</v>
      </c>
      <c r="G9274">
        <v>0</v>
      </c>
      <c r="H9274" t="s">
        <v>14189</v>
      </c>
      <c r="I9274">
        <v>10420</v>
      </c>
      <c r="J9274" t="str">
        <f>VLOOKUP(E9274,DSSpieler!A:B,2,FALSE)</f>
        <v>Vollstrecker 2010</v>
      </c>
    </row>
    <row r="9275" spans="1:10" x14ac:dyDescent="0.25">
      <c r="A9275">
        <v>10422</v>
      </c>
      <c r="B9275">
        <v>178</v>
      </c>
      <c r="C9275">
        <v>473</v>
      </c>
      <c r="D9275">
        <v>405</v>
      </c>
      <c r="E9275">
        <v>242088</v>
      </c>
      <c r="F9275">
        <v>1969</v>
      </c>
      <c r="G9275">
        <v>0</v>
      </c>
      <c r="H9275" t="s">
        <v>14190</v>
      </c>
      <c r="I9275">
        <v>10422</v>
      </c>
      <c r="J9275" t="str">
        <f>VLOOKUP(E9275,DSSpieler!A:B,2,FALSE)</f>
        <v>Linkinho</v>
      </c>
    </row>
    <row r="9276" spans="1:10" x14ac:dyDescent="0.25">
      <c r="A9276">
        <v>10423</v>
      </c>
      <c r="B9276" t="s">
        <v>531</v>
      </c>
      <c r="C9276">
        <v>409</v>
      </c>
      <c r="D9276">
        <v>538</v>
      </c>
      <c r="E9276">
        <v>0</v>
      </c>
      <c r="F9276">
        <v>357</v>
      </c>
      <c r="G9276">
        <v>0</v>
      </c>
      <c r="H9276" t="s">
        <v>14191</v>
      </c>
      <c r="I9276">
        <v>10423</v>
      </c>
      <c r="J9276" t="e">
        <f>VLOOKUP(E9276,DSSpieler!A:B,2,FALSE)</f>
        <v>#N/A</v>
      </c>
    </row>
    <row r="9277" spans="1:10" x14ac:dyDescent="0.25">
      <c r="A9277">
        <v>10424</v>
      </c>
      <c r="B9277" t="s">
        <v>33887</v>
      </c>
      <c r="C9277">
        <v>557</v>
      </c>
      <c r="D9277">
        <v>421</v>
      </c>
      <c r="E9277">
        <v>1547719</v>
      </c>
      <c r="F9277">
        <v>1413</v>
      </c>
      <c r="G9277">
        <v>0</v>
      </c>
      <c r="H9277" t="s">
        <v>14192</v>
      </c>
      <c r="I9277">
        <v>10424</v>
      </c>
      <c r="J9277" t="str">
        <f>VLOOKUP(E9277,DSSpieler!A:B,2,FALSE)</f>
        <v>FCKFREAK</v>
      </c>
    </row>
    <row r="9278" spans="1:10" x14ac:dyDescent="0.25">
      <c r="A9278">
        <v>10425</v>
      </c>
      <c r="B9278" t="s">
        <v>531</v>
      </c>
      <c r="C9278">
        <v>419</v>
      </c>
      <c r="D9278">
        <v>555</v>
      </c>
      <c r="E9278">
        <v>0</v>
      </c>
      <c r="F9278">
        <v>741</v>
      </c>
      <c r="G9278">
        <v>0</v>
      </c>
      <c r="H9278" t="s">
        <v>14193</v>
      </c>
      <c r="I9278">
        <v>10425</v>
      </c>
      <c r="J9278" t="e">
        <f>VLOOKUP(E9278,DSSpieler!A:B,2,FALSE)</f>
        <v>#N/A</v>
      </c>
    </row>
    <row r="9279" spans="1:10" x14ac:dyDescent="0.25">
      <c r="A9279">
        <v>10426</v>
      </c>
      <c r="B9279" t="s">
        <v>33385</v>
      </c>
      <c r="C9279">
        <v>406</v>
      </c>
      <c r="D9279">
        <v>488</v>
      </c>
      <c r="E9279">
        <v>1576780279</v>
      </c>
      <c r="F9279">
        <v>5189</v>
      </c>
      <c r="G9279">
        <v>0</v>
      </c>
      <c r="H9279" t="s">
        <v>14194</v>
      </c>
      <c r="I9279">
        <v>10426</v>
      </c>
      <c r="J9279" t="str">
        <f>VLOOKUP(E9279,DSSpieler!A:B,2,FALSE)</f>
        <v>krassegangster</v>
      </c>
    </row>
    <row r="9280" spans="1:10" x14ac:dyDescent="0.25">
      <c r="A9280">
        <v>10427</v>
      </c>
      <c r="B9280" t="s">
        <v>33888</v>
      </c>
      <c r="C9280">
        <v>447</v>
      </c>
      <c r="D9280">
        <v>547</v>
      </c>
      <c r="E9280">
        <v>1576992563</v>
      </c>
      <c r="F9280">
        <v>3818</v>
      </c>
      <c r="G9280">
        <v>0</v>
      </c>
      <c r="H9280" t="s">
        <v>14195</v>
      </c>
      <c r="I9280">
        <v>10427</v>
      </c>
      <c r="J9280" t="str">
        <f>VLOOKUP(E9280,DSSpieler!A:B,2,FALSE)</f>
        <v>Flay</v>
      </c>
    </row>
    <row r="9281" spans="1:10" x14ac:dyDescent="0.25">
      <c r="A9281">
        <v>10428</v>
      </c>
      <c r="B9281" t="s">
        <v>531</v>
      </c>
      <c r="C9281">
        <v>478</v>
      </c>
      <c r="D9281">
        <v>526</v>
      </c>
      <c r="E9281">
        <v>0</v>
      </c>
      <c r="F9281">
        <v>676</v>
      </c>
      <c r="G9281">
        <v>0</v>
      </c>
      <c r="H9281" t="s">
        <v>14196</v>
      </c>
      <c r="I9281">
        <v>10428</v>
      </c>
      <c r="J9281" t="e">
        <f>VLOOKUP(E9281,DSSpieler!A:B,2,FALSE)</f>
        <v>#N/A</v>
      </c>
    </row>
    <row r="9282" spans="1:10" x14ac:dyDescent="0.25">
      <c r="A9282">
        <v>10429</v>
      </c>
      <c r="B9282" t="s">
        <v>531</v>
      </c>
      <c r="C9282">
        <v>451</v>
      </c>
      <c r="D9282">
        <v>588</v>
      </c>
      <c r="E9282">
        <v>0</v>
      </c>
      <c r="F9282">
        <v>173</v>
      </c>
      <c r="G9282">
        <v>0</v>
      </c>
      <c r="H9282" t="s">
        <v>14197</v>
      </c>
      <c r="I9282">
        <v>10429</v>
      </c>
      <c r="J9282" t="e">
        <f>VLOOKUP(E9282,DSSpieler!A:B,2,FALSE)</f>
        <v>#N/A</v>
      </c>
    </row>
    <row r="9283" spans="1:10" x14ac:dyDescent="0.25">
      <c r="A9283">
        <v>10430</v>
      </c>
      <c r="B9283" t="s">
        <v>531</v>
      </c>
      <c r="C9283">
        <v>583</v>
      </c>
      <c r="D9283">
        <v>553</v>
      </c>
      <c r="E9283">
        <v>0</v>
      </c>
      <c r="F9283">
        <v>344</v>
      </c>
      <c r="G9283">
        <v>0</v>
      </c>
      <c r="H9283" t="s">
        <v>14198</v>
      </c>
      <c r="I9283">
        <v>10430</v>
      </c>
      <c r="J9283" t="e">
        <f>VLOOKUP(E9283,DSSpieler!A:B,2,FALSE)</f>
        <v>#N/A</v>
      </c>
    </row>
    <row r="9284" spans="1:10" x14ac:dyDescent="0.25">
      <c r="A9284">
        <v>10431</v>
      </c>
      <c r="B9284" t="s">
        <v>32458</v>
      </c>
      <c r="C9284">
        <v>435</v>
      </c>
      <c r="D9284">
        <v>577</v>
      </c>
      <c r="E9284">
        <v>10080976</v>
      </c>
      <c r="F9284">
        <v>5746</v>
      </c>
      <c r="G9284">
        <v>0</v>
      </c>
      <c r="H9284" t="s">
        <v>14199</v>
      </c>
      <c r="I9284">
        <v>10431</v>
      </c>
      <c r="J9284" t="str">
        <f>VLOOKUP(E9284,DSSpieler!A:B,2,FALSE)</f>
        <v>Kagawa09</v>
      </c>
    </row>
    <row r="9285" spans="1:10" x14ac:dyDescent="0.25">
      <c r="A9285">
        <v>10432</v>
      </c>
      <c r="B9285" t="s">
        <v>531</v>
      </c>
      <c r="C9285">
        <v>420</v>
      </c>
      <c r="D9285">
        <v>445</v>
      </c>
      <c r="E9285">
        <v>0</v>
      </c>
      <c r="F9285">
        <v>620</v>
      </c>
      <c r="G9285">
        <v>0</v>
      </c>
      <c r="H9285" t="s">
        <v>14200</v>
      </c>
      <c r="I9285">
        <v>10432</v>
      </c>
      <c r="J9285" t="e">
        <f>VLOOKUP(E9285,DSSpieler!A:B,2,FALSE)</f>
        <v>#N/A</v>
      </c>
    </row>
    <row r="9286" spans="1:10" x14ac:dyDescent="0.25">
      <c r="A9286">
        <v>10433</v>
      </c>
      <c r="B9286" t="s">
        <v>531</v>
      </c>
      <c r="C9286">
        <v>429</v>
      </c>
      <c r="D9286">
        <v>427</v>
      </c>
      <c r="E9286">
        <v>0</v>
      </c>
      <c r="F9286">
        <v>264</v>
      </c>
      <c r="G9286">
        <v>0</v>
      </c>
      <c r="H9286" t="s">
        <v>14201</v>
      </c>
      <c r="I9286">
        <v>10433</v>
      </c>
      <c r="J9286" t="e">
        <f>VLOOKUP(E9286,DSSpieler!A:B,2,FALSE)</f>
        <v>#N/A</v>
      </c>
    </row>
    <row r="9287" spans="1:10" x14ac:dyDescent="0.25">
      <c r="A9287">
        <v>10434</v>
      </c>
      <c r="B9287" t="s">
        <v>33889</v>
      </c>
      <c r="C9287">
        <v>404</v>
      </c>
      <c r="D9287">
        <v>480</v>
      </c>
      <c r="E9287">
        <v>1577190085</v>
      </c>
      <c r="F9287">
        <v>6157</v>
      </c>
      <c r="G9287">
        <v>0</v>
      </c>
      <c r="H9287" t="s">
        <v>14202</v>
      </c>
      <c r="I9287">
        <v>10434</v>
      </c>
      <c r="J9287" t="str">
        <f>VLOOKUP(E9287,DSSpieler!A:B,2,FALSE)</f>
        <v>Borstiger Bürstenmann</v>
      </c>
    </row>
    <row r="9288" spans="1:10" x14ac:dyDescent="0.25">
      <c r="A9288">
        <v>10435</v>
      </c>
      <c r="B9288" t="s">
        <v>31281</v>
      </c>
      <c r="C9288">
        <v>506</v>
      </c>
      <c r="D9288">
        <v>476</v>
      </c>
      <c r="E9288">
        <v>1974764</v>
      </c>
      <c r="F9288">
        <v>2304</v>
      </c>
      <c r="G9288">
        <v>0</v>
      </c>
      <c r="H9288" t="s">
        <v>14203</v>
      </c>
      <c r="I9288">
        <v>10435</v>
      </c>
      <c r="J9288" t="str">
        <f>VLOOKUP(E9288,DSSpieler!A:B,2,FALSE)</f>
        <v>ajax der III</v>
      </c>
    </row>
    <row r="9289" spans="1:10" x14ac:dyDescent="0.25">
      <c r="A9289">
        <v>10436</v>
      </c>
      <c r="B9289" t="s">
        <v>979</v>
      </c>
      <c r="C9289">
        <v>500</v>
      </c>
      <c r="D9289">
        <v>591</v>
      </c>
      <c r="E9289">
        <v>1577198205</v>
      </c>
      <c r="F9289">
        <v>6741</v>
      </c>
      <c r="G9289">
        <v>0</v>
      </c>
      <c r="H9289" t="s">
        <v>14204</v>
      </c>
      <c r="I9289">
        <v>10436</v>
      </c>
      <c r="J9289" t="str">
        <f>VLOOKUP(E9289,DSSpieler!A:B,2,FALSE)</f>
        <v>.Streuselcake</v>
      </c>
    </row>
    <row r="9290" spans="1:10" x14ac:dyDescent="0.25">
      <c r="A9290">
        <v>10437</v>
      </c>
      <c r="B9290" t="s">
        <v>1920</v>
      </c>
      <c r="C9290">
        <v>534</v>
      </c>
      <c r="D9290">
        <v>407</v>
      </c>
      <c r="E9290">
        <v>204114</v>
      </c>
      <c r="F9290">
        <v>436</v>
      </c>
      <c r="G9290">
        <v>0</v>
      </c>
      <c r="H9290" t="s">
        <v>14205</v>
      </c>
      <c r="I9290">
        <v>10437</v>
      </c>
      <c r="J9290" t="str">
        <f>VLOOKUP(E9290,DSSpieler!A:B,2,FALSE)</f>
        <v>rediclow</v>
      </c>
    </row>
    <row r="9291" spans="1:10" x14ac:dyDescent="0.25">
      <c r="A9291">
        <v>10438</v>
      </c>
      <c r="B9291" t="s">
        <v>30582</v>
      </c>
      <c r="C9291">
        <v>476</v>
      </c>
      <c r="D9291">
        <v>599</v>
      </c>
      <c r="E9291">
        <v>1577174726</v>
      </c>
      <c r="F9291">
        <v>5956</v>
      </c>
      <c r="G9291">
        <v>0</v>
      </c>
      <c r="H9291" t="s">
        <v>14206</v>
      </c>
      <c r="I9291">
        <v>10438</v>
      </c>
      <c r="J9291" t="str">
        <f>VLOOKUP(E9291,DSSpieler!A:B,2,FALSE)</f>
        <v>Nevada.vP</v>
      </c>
    </row>
    <row r="9292" spans="1:10" x14ac:dyDescent="0.25">
      <c r="A9292">
        <v>10439</v>
      </c>
      <c r="B9292" t="s">
        <v>33890</v>
      </c>
      <c r="C9292">
        <v>504</v>
      </c>
      <c r="D9292">
        <v>600</v>
      </c>
      <c r="E9292">
        <v>621977</v>
      </c>
      <c r="F9292">
        <v>7740</v>
      </c>
      <c r="G9292">
        <v>0</v>
      </c>
      <c r="H9292" t="s">
        <v>14207</v>
      </c>
      <c r="I9292">
        <v>10439</v>
      </c>
      <c r="J9292" t="str">
        <f>VLOOKUP(E9292,DSSpieler!A:B,2,FALSE)</f>
        <v>Onkel Skav</v>
      </c>
    </row>
    <row r="9293" spans="1:10" x14ac:dyDescent="0.25">
      <c r="A9293">
        <v>10440</v>
      </c>
      <c r="B9293" t="s">
        <v>979</v>
      </c>
      <c r="C9293">
        <v>497</v>
      </c>
      <c r="D9293">
        <v>600</v>
      </c>
      <c r="E9293">
        <v>1577196881</v>
      </c>
      <c r="F9293">
        <v>5721</v>
      </c>
      <c r="G9293">
        <v>0</v>
      </c>
      <c r="H9293" t="s">
        <v>14208</v>
      </c>
      <c r="I9293">
        <v>10440</v>
      </c>
      <c r="J9293" t="str">
        <f>VLOOKUP(E9293,DSSpieler!A:B,2,FALSE)</f>
        <v>logoutwirzockenminecraft</v>
      </c>
    </row>
    <row r="9294" spans="1:10" x14ac:dyDescent="0.25">
      <c r="A9294">
        <v>10441</v>
      </c>
      <c r="B9294" t="s">
        <v>33891</v>
      </c>
      <c r="C9294">
        <v>506</v>
      </c>
      <c r="D9294">
        <v>613</v>
      </c>
      <c r="E9294">
        <v>8845635</v>
      </c>
      <c r="F9294">
        <v>4257</v>
      </c>
      <c r="G9294">
        <v>0</v>
      </c>
      <c r="H9294" t="s">
        <v>14209</v>
      </c>
      <c r="I9294">
        <v>10441</v>
      </c>
      <c r="J9294" t="str">
        <f>VLOOKUP(E9294,DSSpieler!A:B,2,FALSE)</f>
        <v>MakeOutHill</v>
      </c>
    </row>
    <row r="9295" spans="1:10" x14ac:dyDescent="0.25">
      <c r="A9295">
        <v>10442</v>
      </c>
      <c r="B9295">
        <v>1</v>
      </c>
      <c r="C9295">
        <v>532</v>
      </c>
      <c r="D9295">
        <v>594</v>
      </c>
      <c r="E9295">
        <v>1577198027</v>
      </c>
      <c r="F9295">
        <v>7415</v>
      </c>
      <c r="G9295">
        <v>0</v>
      </c>
      <c r="H9295" t="s">
        <v>14210</v>
      </c>
      <c r="I9295">
        <v>10442</v>
      </c>
      <c r="J9295" t="str">
        <f>VLOOKUP(E9295,DSSpieler!A:B,2,FALSE)</f>
        <v>Gargoyle123</v>
      </c>
    </row>
    <row r="9296" spans="1:10" x14ac:dyDescent="0.25">
      <c r="A9296">
        <v>10444</v>
      </c>
      <c r="B9296" t="s">
        <v>531</v>
      </c>
      <c r="C9296">
        <v>407</v>
      </c>
      <c r="D9296">
        <v>537</v>
      </c>
      <c r="E9296">
        <v>0</v>
      </c>
      <c r="F9296">
        <v>311</v>
      </c>
      <c r="G9296">
        <v>0</v>
      </c>
      <c r="H9296" t="s">
        <v>14211</v>
      </c>
      <c r="I9296">
        <v>10444</v>
      </c>
      <c r="J9296" t="e">
        <f>VLOOKUP(E9296,DSSpieler!A:B,2,FALSE)</f>
        <v>#N/A</v>
      </c>
    </row>
    <row r="9297" spans="1:10" x14ac:dyDescent="0.25">
      <c r="A9297">
        <v>10445</v>
      </c>
      <c r="B9297" t="s">
        <v>33892</v>
      </c>
      <c r="C9297">
        <v>496</v>
      </c>
      <c r="D9297">
        <v>457</v>
      </c>
      <c r="E9297">
        <v>1577198478</v>
      </c>
      <c r="F9297">
        <v>7590</v>
      </c>
      <c r="G9297">
        <v>0</v>
      </c>
      <c r="H9297" t="s">
        <v>14212</v>
      </c>
      <c r="I9297">
        <v>10445</v>
      </c>
      <c r="J9297" t="str">
        <f>VLOOKUP(E9297,DSSpieler!A:B,2,FALSE)</f>
        <v>Ghosper</v>
      </c>
    </row>
    <row r="9298" spans="1:10" x14ac:dyDescent="0.25">
      <c r="A9298">
        <v>10446</v>
      </c>
      <c r="B9298" t="s">
        <v>33893</v>
      </c>
      <c r="C9298">
        <v>482</v>
      </c>
      <c r="D9298">
        <v>535</v>
      </c>
      <c r="E9298">
        <v>1577086320</v>
      </c>
      <c r="F9298">
        <v>4019</v>
      </c>
      <c r="G9298">
        <v>0</v>
      </c>
      <c r="H9298" t="s">
        <v>14213</v>
      </c>
      <c r="I9298">
        <v>10446</v>
      </c>
      <c r="J9298" t="str">
        <f>VLOOKUP(E9298,DSSpieler!A:B,2,FALSE)</f>
        <v>joker6666</v>
      </c>
    </row>
    <row r="9299" spans="1:10" x14ac:dyDescent="0.25">
      <c r="A9299">
        <v>10447</v>
      </c>
      <c r="B9299" t="s">
        <v>33894</v>
      </c>
      <c r="C9299">
        <v>572</v>
      </c>
      <c r="D9299">
        <v>430</v>
      </c>
      <c r="E9299">
        <v>8817594</v>
      </c>
      <c r="F9299">
        <v>6292</v>
      </c>
      <c r="G9299">
        <v>0</v>
      </c>
      <c r="H9299" t="s">
        <v>14214</v>
      </c>
      <c r="I9299">
        <v>10447</v>
      </c>
      <c r="J9299" t="str">
        <f>VLOOKUP(E9299,DSSpieler!A:B,2,FALSE)</f>
        <v>Mr.Keli</v>
      </c>
    </row>
    <row r="9300" spans="1:10" x14ac:dyDescent="0.25">
      <c r="A9300">
        <v>10448</v>
      </c>
      <c r="B9300" t="s">
        <v>1921</v>
      </c>
      <c r="C9300">
        <v>458</v>
      </c>
      <c r="D9300">
        <v>520</v>
      </c>
      <c r="E9300">
        <v>1577160741</v>
      </c>
      <c r="F9300">
        <v>6101</v>
      </c>
      <c r="G9300">
        <v>0</v>
      </c>
      <c r="H9300" t="s">
        <v>14215</v>
      </c>
      <c r="I9300">
        <v>10448</v>
      </c>
      <c r="J9300" t="str">
        <f>VLOOKUP(E9300,DSSpieler!A:B,2,FALSE)</f>
        <v>Baron-Zimtstern</v>
      </c>
    </row>
    <row r="9301" spans="1:10" x14ac:dyDescent="0.25">
      <c r="A9301">
        <v>10449</v>
      </c>
      <c r="B9301" t="s">
        <v>33895</v>
      </c>
      <c r="C9301">
        <v>447</v>
      </c>
      <c r="D9301">
        <v>413</v>
      </c>
      <c r="E9301">
        <v>1576146529</v>
      </c>
      <c r="F9301">
        <v>4297</v>
      </c>
      <c r="G9301">
        <v>0</v>
      </c>
      <c r="H9301" t="s">
        <v>14216</v>
      </c>
      <c r="I9301">
        <v>10449</v>
      </c>
      <c r="J9301" t="str">
        <f>VLOOKUP(E9301,DSSpieler!A:B,2,FALSE)</f>
        <v>Fr3iburg3r</v>
      </c>
    </row>
    <row r="9302" spans="1:10" x14ac:dyDescent="0.25">
      <c r="A9302">
        <v>10450</v>
      </c>
      <c r="B9302" t="s">
        <v>33896</v>
      </c>
      <c r="C9302">
        <v>583</v>
      </c>
      <c r="D9302">
        <v>546</v>
      </c>
      <c r="E9302">
        <v>9143388</v>
      </c>
      <c r="F9302">
        <v>6458</v>
      </c>
      <c r="G9302">
        <v>0</v>
      </c>
      <c r="H9302" t="s">
        <v>14217</v>
      </c>
      <c r="I9302">
        <v>10450</v>
      </c>
      <c r="J9302" t="str">
        <f>VLOOKUP(E9302,DSSpieler!A:B,2,FALSE)</f>
        <v>TheDemonSoul</v>
      </c>
    </row>
    <row r="9303" spans="1:10" x14ac:dyDescent="0.25">
      <c r="A9303">
        <v>10451</v>
      </c>
      <c r="B9303">
        <v>-2</v>
      </c>
      <c r="C9303">
        <v>566</v>
      </c>
      <c r="D9303">
        <v>419</v>
      </c>
      <c r="E9303">
        <v>1576103544</v>
      </c>
      <c r="F9303">
        <v>3093</v>
      </c>
      <c r="G9303">
        <v>0</v>
      </c>
      <c r="H9303" t="s">
        <v>14218</v>
      </c>
      <c r="I9303">
        <v>10451</v>
      </c>
      <c r="J9303" t="str">
        <f>VLOOKUP(E9303,DSSpieler!A:B,2,FALSE)</f>
        <v>base2299</v>
      </c>
    </row>
    <row r="9304" spans="1:10" x14ac:dyDescent="0.25">
      <c r="A9304">
        <v>10452</v>
      </c>
      <c r="B9304" t="s">
        <v>30728</v>
      </c>
      <c r="C9304">
        <v>522</v>
      </c>
      <c r="D9304">
        <v>406</v>
      </c>
      <c r="E9304">
        <v>1577069626</v>
      </c>
      <c r="F9304">
        <v>2690</v>
      </c>
      <c r="G9304">
        <v>0</v>
      </c>
      <c r="H9304" t="s">
        <v>14219</v>
      </c>
      <c r="I9304">
        <v>10452</v>
      </c>
      <c r="J9304" t="str">
        <f>VLOOKUP(E9304,DSSpieler!A:B,2,FALSE)</f>
        <v>stripThies</v>
      </c>
    </row>
    <row r="9305" spans="1:10" x14ac:dyDescent="0.25">
      <c r="A9305">
        <v>10453</v>
      </c>
      <c r="B9305" t="s">
        <v>33897</v>
      </c>
      <c r="C9305">
        <v>600</v>
      </c>
      <c r="D9305">
        <v>506</v>
      </c>
      <c r="E9305">
        <v>2917196</v>
      </c>
      <c r="F9305">
        <v>6049</v>
      </c>
      <c r="G9305">
        <v>0</v>
      </c>
      <c r="H9305" t="s">
        <v>14220</v>
      </c>
      <c r="I9305">
        <v>10453</v>
      </c>
      <c r="J9305" t="str">
        <f>VLOOKUP(E9305,DSSpieler!A:B,2,FALSE)</f>
        <v>zelli46</v>
      </c>
    </row>
    <row r="9306" spans="1:10" x14ac:dyDescent="0.25">
      <c r="A9306">
        <v>10454</v>
      </c>
      <c r="B9306" t="s">
        <v>33898</v>
      </c>
      <c r="C9306">
        <v>466</v>
      </c>
      <c r="D9306">
        <v>593</v>
      </c>
      <c r="E9306">
        <v>1577181431</v>
      </c>
      <c r="F9306">
        <v>5403</v>
      </c>
      <c r="G9306">
        <v>0</v>
      </c>
      <c r="H9306" t="s">
        <v>14221</v>
      </c>
      <c r="I9306">
        <v>10454</v>
      </c>
      <c r="J9306" t="str">
        <f>VLOOKUP(E9306,DSSpieler!A:B,2,FALSE)</f>
        <v>XYJYX</v>
      </c>
    </row>
    <row r="9307" spans="1:10" x14ac:dyDescent="0.25">
      <c r="A9307">
        <v>10455</v>
      </c>
      <c r="B9307" t="s">
        <v>531</v>
      </c>
      <c r="C9307">
        <v>399</v>
      </c>
      <c r="D9307">
        <v>500</v>
      </c>
      <c r="E9307">
        <v>0</v>
      </c>
      <c r="F9307">
        <v>313</v>
      </c>
      <c r="G9307">
        <v>0</v>
      </c>
      <c r="H9307" t="s">
        <v>14222</v>
      </c>
      <c r="I9307">
        <v>10455</v>
      </c>
      <c r="J9307" t="e">
        <f>VLOOKUP(E9307,DSSpieler!A:B,2,FALSE)</f>
        <v>#N/A</v>
      </c>
    </row>
    <row r="9308" spans="1:10" x14ac:dyDescent="0.25">
      <c r="A9308">
        <v>10456</v>
      </c>
      <c r="B9308" t="s">
        <v>33899</v>
      </c>
      <c r="C9308">
        <v>474</v>
      </c>
      <c r="D9308">
        <v>554</v>
      </c>
      <c r="E9308">
        <v>1577196514</v>
      </c>
      <c r="F9308">
        <v>4623</v>
      </c>
      <c r="G9308">
        <v>0</v>
      </c>
      <c r="H9308" t="s">
        <v>14223</v>
      </c>
      <c r="I9308">
        <v>10456</v>
      </c>
      <c r="J9308" t="str">
        <f>VLOOKUP(E9308,DSSpieler!A:B,2,FALSE)</f>
        <v>Thunderus</v>
      </c>
    </row>
    <row r="9309" spans="1:10" x14ac:dyDescent="0.25">
      <c r="A9309">
        <v>10457</v>
      </c>
      <c r="B9309" t="s">
        <v>33900</v>
      </c>
      <c r="C9309">
        <v>399</v>
      </c>
      <c r="D9309">
        <v>512</v>
      </c>
      <c r="E9309">
        <v>1577159147</v>
      </c>
      <c r="F9309">
        <v>5362</v>
      </c>
      <c r="G9309">
        <v>0</v>
      </c>
      <c r="H9309" t="s">
        <v>14224</v>
      </c>
      <c r="I9309">
        <v>10457</v>
      </c>
      <c r="J9309" t="str">
        <f>VLOOKUP(E9309,DSSpieler!A:B,2,FALSE)</f>
        <v>rallef69</v>
      </c>
    </row>
    <row r="9310" spans="1:10" x14ac:dyDescent="0.25">
      <c r="A9310">
        <v>10458</v>
      </c>
      <c r="B9310" t="s">
        <v>531</v>
      </c>
      <c r="C9310">
        <v>474</v>
      </c>
      <c r="D9310">
        <v>403</v>
      </c>
      <c r="E9310">
        <v>0</v>
      </c>
      <c r="F9310">
        <v>298</v>
      </c>
      <c r="G9310">
        <v>0</v>
      </c>
      <c r="H9310" t="s">
        <v>14225</v>
      </c>
      <c r="I9310">
        <v>10458</v>
      </c>
      <c r="J9310" t="e">
        <f>VLOOKUP(E9310,DSSpieler!A:B,2,FALSE)</f>
        <v>#N/A</v>
      </c>
    </row>
    <row r="9311" spans="1:10" x14ac:dyDescent="0.25">
      <c r="A9311">
        <v>10459</v>
      </c>
      <c r="B9311" t="e">
        <f>-2-+Hardstyle</f>
        <v>#NAME?</v>
      </c>
      <c r="C9311">
        <v>575</v>
      </c>
      <c r="D9311">
        <v>432</v>
      </c>
      <c r="E9311">
        <v>142049</v>
      </c>
      <c r="F9311">
        <v>4155</v>
      </c>
      <c r="G9311">
        <v>0</v>
      </c>
      <c r="H9311" t="s">
        <v>14226</v>
      </c>
      <c r="I9311">
        <v>10459</v>
      </c>
      <c r="J9311" t="str">
        <f>VLOOKUP(E9311,DSSpieler!A:B,2,FALSE)</f>
        <v>theillnes</v>
      </c>
    </row>
    <row r="9312" spans="1:10" x14ac:dyDescent="0.25">
      <c r="A9312">
        <v>10460</v>
      </c>
      <c r="B9312" t="s">
        <v>531</v>
      </c>
      <c r="C9312">
        <v>430</v>
      </c>
      <c r="D9312">
        <v>429</v>
      </c>
      <c r="E9312">
        <v>0</v>
      </c>
      <c r="F9312">
        <v>222</v>
      </c>
      <c r="G9312">
        <v>0</v>
      </c>
      <c r="H9312" t="s">
        <v>14227</v>
      </c>
      <c r="I9312">
        <v>10460</v>
      </c>
      <c r="J9312" t="e">
        <f>VLOOKUP(E9312,DSSpieler!A:B,2,FALSE)</f>
        <v>#N/A</v>
      </c>
    </row>
    <row r="9313" spans="1:10" x14ac:dyDescent="0.25">
      <c r="A9313">
        <v>10461</v>
      </c>
      <c r="B9313">
        <v>3</v>
      </c>
      <c r="C9313">
        <v>439</v>
      </c>
      <c r="D9313">
        <v>451</v>
      </c>
      <c r="E9313">
        <v>1575903781</v>
      </c>
      <c r="F9313">
        <v>7291</v>
      </c>
      <c r="G9313">
        <v>0</v>
      </c>
      <c r="H9313" t="s">
        <v>14228</v>
      </c>
      <c r="I9313">
        <v>10461</v>
      </c>
      <c r="J9313" t="str">
        <f>VLOOKUP(E9313,DSSpieler!A:B,2,FALSE)</f>
        <v>Black Trinity</v>
      </c>
    </row>
    <row r="9314" spans="1:10" x14ac:dyDescent="0.25">
      <c r="A9314">
        <v>10462</v>
      </c>
      <c r="B9314" t="s">
        <v>33901</v>
      </c>
      <c r="C9314">
        <v>400</v>
      </c>
      <c r="D9314">
        <v>501</v>
      </c>
      <c r="E9314">
        <v>1576418916</v>
      </c>
      <c r="F9314">
        <v>461</v>
      </c>
      <c r="G9314">
        <v>0</v>
      </c>
      <c r="H9314" t="s">
        <v>14229</v>
      </c>
      <c r="I9314">
        <v>10462</v>
      </c>
      <c r="J9314" t="str">
        <f>VLOOKUP(E9314,DSSpieler!A:B,2,FALSE)</f>
        <v>cowboy08</v>
      </c>
    </row>
    <row r="9315" spans="1:10" x14ac:dyDescent="0.25">
      <c r="A9315">
        <v>10463</v>
      </c>
      <c r="B9315" t="s">
        <v>33902</v>
      </c>
      <c r="C9315">
        <v>567</v>
      </c>
      <c r="D9315">
        <v>428</v>
      </c>
      <c r="E9315">
        <v>1577031827</v>
      </c>
      <c r="F9315">
        <v>6240</v>
      </c>
      <c r="G9315">
        <v>0</v>
      </c>
      <c r="H9315" t="s">
        <v>14230</v>
      </c>
      <c r="I9315">
        <v>10463</v>
      </c>
      <c r="J9315" t="str">
        <f>VLOOKUP(E9315,DSSpieler!A:B,2,FALSE)</f>
        <v>CheFlamous</v>
      </c>
    </row>
    <row r="9316" spans="1:10" x14ac:dyDescent="0.25">
      <c r="A9316">
        <v>10464</v>
      </c>
      <c r="B9316" t="s">
        <v>33903</v>
      </c>
      <c r="C9316">
        <v>520</v>
      </c>
      <c r="D9316">
        <v>597</v>
      </c>
      <c r="E9316">
        <v>1576761768</v>
      </c>
      <c r="F9316">
        <v>7541</v>
      </c>
      <c r="G9316">
        <v>0</v>
      </c>
      <c r="H9316" t="s">
        <v>14231</v>
      </c>
      <c r="I9316">
        <v>10464</v>
      </c>
      <c r="J9316" t="str">
        <f>VLOOKUP(E9316,DSSpieler!A:B,2,FALSE)</f>
        <v>lakinho</v>
      </c>
    </row>
    <row r="9317" spans="1:10" x14ac:dyDescent="0.25">
      <c r="A9317">
        <v>10465</v>
      </c>
      <c r="B9317" t="s">
        <v>531</v>
      </c>
      <c r="C9317">
        <v>525</v>
      </c>
      <c r="D9317">
        <v>584</v>
      </c>
      <c r="E9317">
        <v>0</v>
      </c>
      <c r="F9317">
        <v>1450</v>
      </c>
      <c r="G9317">
        <v>0</v>
      </c>
      <c r="H9317" t="s">
        <v>14232</v>
      </c>
      <c r="I9317">
        <v>10465</v>
      </c>
      <c r="J9317" t="e">
        <f>VLOOKUP(E9317,DSSpieler!A:B,2,FALSE)</f>
        <v>#N/A</v>
      </c>
    </row>
    <row r="9318" spans="1:10" x14ac:dyDescent="0.25">
      <c r="A9318">
        <v>10466</v>
      </c>
      <c r="B9318" t="s">
        <v>531</v>
      </c>
      <c r="C9318">
        <v>477</v>
      </c>
      <c r="D9318">
        <v>599</v>
      </c>
      <c r="E9318">
        <v>0</v>
      </c>
      <c r="F9318">
        <v>725</v>
      </c>
      <c r="G9318">
        <v>0</v>
      </c>
      <c r="H9318" t="s">
        <v>14233</v>
      </c>
      <c r="I9318">
        <v>10466</v>
      </c>
      <c r="J9318" t="e">
        <f>VLOOKUP(E9318,DSSpieler!A:B,2,FALSE)</f>
        <v>#N/A</v>
      </c>
    </row>
    <row r="9319" spans="1:10" x14ac:dyDescent="0.25">
      <c r="A9319">
        <v>10467</v>
      </c>
      <c r="B9319" s="154">
        <v>430572</v>
      </c>
      <c r="C9319">
        <v>430</v>
      </c>
      <c r="D9319">
        <v>572</v>
      </c>
      <c r="E9319">
        <v>2667871</v>
      </c>
      <c r="F9319">
        <v>5103</v>
      </c>
      <c r="G9319">
        <v>0</v>
      </c>
      <c r="H9319" t="s">
        <v>14234</v>
      </c>
      <c r="I9319">
        <v>10467</v>
      </c>
      <c r="J9319" t="str">
        <f>VLOOKUP(E9319,DSSpieler!A:B,2,FALSE)</f>
        <v>dev.baker</v>
      </c>
    </row>
    <row r="9320" spans="1:10" x14ac:dyDescent="0.25">
      <c r="A9320">
        <v>10468</v>
      </c>
      <c r="B9320" t="s">
        <v>1922</v>
      </c>
      <c r="C9320">
        <v>491</v>
      </c>
      <c r="D9320">
        <v>395</v>
      </c>
      <c r="E9320">
        <v>1576840362</v>
      </c>
      <c r="F9320">
        <v>2113</v>
      </c>
      <c r="G9320">
        <v>0</v>
      </c>
      <c r="H9320" t="s">
        <v>14235</v>
      </c>
      <c r="I9320">
        <v>10468</v>
      </c>
      <c r="J9320" t="str">
        <f>VLOOKUP(E9320,DSSpieler!A:B,2,FALSE)</f>
        <v>birano62</v>
      </c>
    </row>
    <row r="9321" spans="1:10" x14ac:dyDescent="0.25">
      <c r="A9321">
        <v>10469</v>
      </c>
      <c r="B9321" t="s">
        <v>531</v>
      </c>
      <c r="C9321">
        <v>591</v>
      </c>
      <c r="D9321">
        <v>460</v>
      </c>
      <c r="E9321">
        <v>0</v>
      </c>
      <c r="F9321">
        <v>197</v>
      </c>
      <c r="G9321">
        <v>0</v>
      </c>
      <c r="H9321" t="s">
        <v>14236</v>
      </c>
      <c r="I9321">
        <v>10469</v>
      </c>
      <c r="J9321" t="e">
        <f>VLOOKUP(E9321,DSSpieler!A:B,2,FALSE)</f>
        <v>#N/A</v>
      </c>
    </row>
    <row r="9322" spans="1:10" x14ac:dyDescent="0.25">
      <c r="A9322">
        <v>10470</v>
      </c>
      <c r="B9322" t="e">
        <f>-EDMs+Dorf</f>
        <v>#NAME?</v>
      </c>
      <c r="C9322">
        <v>466</v>
      </c>
      <c r="D9322">
        <v>511</v>
      </c>
      <c r="E9322">
        <v>8110776</v>
      </c>
      <c r="F9322">
        <v>3094</v>
      </c>
      <c r="G9322">
        <v>0</v>
      </c>
      <c r="H9322" t="s">
        <v>14237</v>
      </c>
      <c r="I9322">
        <v>10470</v>
      </c>
      <c r="J9322" t="str">
        <f>VLOOKUP(E9322,DSSpieler!A:B,2,FALSE)</f>
        <v>Xului</v>
      </c>
    </row>
    <row r="9323" spans="1:10" x14ac:dyDescent="0.25">
      <c r="A9323">
        <v>10471</v>
      </c>
      <c r="B9323" t="s">
        <v>33904</v>
      </c>
      <c r="C9323">
        <v>455</v>
      </c>
      <c r="D9323">
        <v>415</v>
      </c>
      <c r="E9323">
        <v>1577047230</v>
      </c>
      <c r="F9323">
        <v>4878</v>
      </c>
      <c r="G9323">
        <v>0</v>
      </c>
      <c r="H9323" t="s">
        <v>14238</v>
      </c>
      <c r="I9323">
        <v>10471</v>
      </c>
      <c r="J9323" t="str">
        <f>VLOOKUP(E9323,DSSpieler!A:B,2,FALSE)</f>
        <v>Enigmatic</v>
      </c>
    </row>
    <row r="9324" spans="1:10" x14ac:dyDescent="0.25">
      <c r="A9324">
        <v>10472</v>
      </c>
      <c r="B9324" t="s">
        <v>30558</v>
      </c>
      <c r="C9324">
        <v>465</v>
      </c>
      <c r="D9324">
        <v>537</v>
      </c>
      <c r="E9324">
        <v>8198979</v>
      </c>
      <c r="F9324">
        <v>6144</v>
      </c>
      <c r="G9324">
        <v>0</v>
      </c>
      <c r="H9324" t="s">
        <v>14239</v>
      </c>
      <c r="I9324">
        <v>10472</v>
      </c>
      <c r="J9324" t="str">
        <f>VLOOKUP(E9324,DSSpieler!A:B,2,FALSE)</f>
        <v>Feel my Hardstyle Spirit</v>
      </c>
    </row>
    <row r="9325" spans="1:10" x14ac:dyDescent="0.25">
      <c r="A9325">
        <v>10473</v>
      </c>
      <c r="B9325" t="s">
        <v>1923</v>
      </c>
      <c r="C9325">
        <v>457</v>
      </c>
      <c r="D9325">
        <v>603</v>
      </c>
      <c r="E9325">
        <v>1577198489</v>
      </c>
      <c r="F9325">
        <v>5541</v>
      </c>
      <c r="G9325">
        <v>0</v>
      </c>
      <c r="H9325" t="s">
        <v>14240</v>
      </c>
      <c r="I9325">
        <v>10473</v>
      </c>
      <c r="J9325" t="str">
        <f>VLOOKUP(E9325,DSSpieler!A:B,2,FALSE)</f>
        <v>Gossi</v>
      </c>
    </row>
    <row r="9326" spans="1:10" x14ac:dyDescent="0.25">
      <c r="A9326">
        <v>10474</v>
      </c>
      <c r="B9326" t="s">
        <v>33905</v>
      </c>
      <c r="C9326">
        <v>590</v>
      </c>
      <c r="D9326">
        <v>547</v>
      </c>
      <c r="E9326">
        <v>1576125761</v>
      </c>
      <c r="F9326">
        <v>5129</v>
      </c>
      <c r="G9326">
        <v>0</v>
      </c>
      <c r="H9326" t="s">
        <v>14241</v>
      </c>
      <c r="I9326">
        <v>10474</v>
      </c>
      <c r="J9326" t="str">
        <f>VLOOKUP(E9326,DSSpieler!A:B,2,FALSE)</f>
        <v>Riotyouth</v>
      </c>
    </row>
    <row r="9327" spans="1:10" x14ac:dyDescent="0.25">
      <c r="A9327">
        <v>10475</v>
      </c>
      <c r="B9327" t="s">
        <v>531</v>
      </c>
      <c r="C9327">
        <v>596</v>
      </c>
      <c r="D9327">
        <v>474</v>
      </c>
      <c r="E9327">
        <v>0</v>
      </c>
      <c r="F9327">
        <v>496</v>
      </c>
      <c r="G9327">
        <v>0</v>
      </c>
      <c r="H9327" t="s">
        <v>14242</v>
      </c>
      <c r="I9327">
        <v>10475</v>
      </c>
      <c r="J9327" t="e">
        <f>VLOOKUP(E9327,DSSpieler!A:B,2,FALSE)</f>
        <v>#N/A</v>
      </c>
    </row>
    <row r="9328" spans="1:10" x14ac:dyDescent="0.25">
      <c r="A9328">
        <v>10476</v>
      </c>
      <c r="B9328" t="s">
        <v>531</v>
      </c>
      <c r="C9328">
        <v>415</v>
      </c>
      <c r="D9328">
        <v>525</v>
      </c>
      <c r="E9328">
        <v>1577114186</v>
      </c>
      <c r="F9328">
        <v>559</v>
      </c>
      <c r="G9328">
        <v>0</v>
      </c>
      <c r="H9328" t="s">
        <v>14243</v>
      </c>
      <c r="I9328">
        <v>10476</v>
      </c>
      <c r="J9328" t="str">
        <f>VLOOKUP(E9328,DSSpieler!A:B,2,FALSE)</f>
        <v>gruber</v>
      </c>
    </row>
    <row r="9329" spans="1:10" x14ac:dyDescent="0.25">
      <c r="A9329">
        <v>10477</v>
      </c>
      <c r="B9329" t="s">
        <v>531</v>
      </c>
      <c r="C9329">
        <v>417</v>
      </c>
      <c r="D9329">
        <v>518</v>
      </c>
      <c r="E9329">
        <v>0</v>
      </c>
      <c r="F9329">
        <v>290</v>
      </c>
      <c r="G9329">
        <v>0</v>
      </c>
      <c r="H9329" t="s">
        <v>14244</v>
      </c>
      <c r="I9329">
        <v>10477</v>
      </c>
      <c r="J9329" t="e">
        <f>VLOOKUP(E9329,DSSpieler!A:B,2,FALSE)</f>
        <v>#N/A</v>
      </c>
    </row>
    <row r="9330" spans="1:10" x14ac:dyDescent="0.25">
      <c r="A9330">
        <v>10478</v>
      </c>
      <c r="B9330" t="s">
        <v>1924</v>
      </c>
      <c r="C9330">
        <v>455</v>
      </c>
      <c r="D9330">
        <v>413</v>
      </c>
      <c r="E9330">
        <v>1577198494</v>
      </c>
      <c r="F9330">
        <v>3844</v>
      </c>
      <c r="G9330">
        <v>0</v>
      </c>
      <c r="H9330" t="s">
        <v>14245</v>
      </c>
      <c r="I9330">
        <v>10478</v>
      </c>
      <c r="J9330" t="str">
        <f>VLOOKUP(E9330,DSSpieler!A:B,2,FALSE)</f>
        <v>Akiro</v>
      </c>
    </row>
    <row r="9331" spans="1:10" x14ac:dyDescent="0.25">
      <c r="A9331">
        <v>10479</v>
      </c>
      <c r="B9331" t="s">
        <v>1197</v>
      </c>
      <c r="C9331">
        <v>604</v>
      </c>
      <c r="D9331">
        <v>539</v>
      </c>
      <c r="E9331">
        <v>1577010730</v>
      </c>
      <c r="F9331">
        <v>6943</v>
      </c>
      <c r="G9331">
        <v>0</v>
      </c>
      <c r="H9331" t="s">
        <v>14246</v>
      </c>
      <c r="I9331">
        <v>10479</v>
      </c>
      <c r="J9331" t="str">
        <f>VLOOKUP(E9331,DSSpieler!A:B,2,FALSE)</f>
        <v>Mongogriepsch</v>
      </c>
    </row>
    <row r="9332" spans="1:10" x14ac:dyDescent="0.25">
      <c r="A9332">
        <v>10480</v>
      </c>
      <c r="B9332" t="s">
        <v>531</v>
      </c>
      <c r="C9332">
        <v>441</v>
      </c>
      <c r="D9332">
        <v>417</v>
      </c>
      <c r="E9332">
        <v>0</v>
      </c>
      <c r="F9332">
        <v>162</v>
      </c>
      <c r="G9332">
        <v>0</v>
      </c>
      <c r="H9332" t="s">
        <v>14247</v>
      </c>
      <c r="I9332">
        <v>10480</v>
      </c>
      <c r="J9332" t="e">
        <f>VLOOKUP(E9332,DSSpieler!A:B,2,FALSE)</f>
        <v>#N/A</v>
      </c>
    </row>
    <row r="9333" spans="1:10" x14ac:dyDescent="0.25">
      <c r="A9333">
        <v>10481</v>
      </c>
      <c r="B9333" t="s">
        <v>531</v>
      </c>
      <c r="C9333">
        <v>549</v>
      </c>
      <c r="D9333">
        <v>416</v>
      </c>
      <c r="E9333">
        <v>0</v>
      </c>
      <c r="F9333">
        <v>973</v>
      </c>
      <c r="G9333">
        <v>0</v>
      </c>
      <c r="H9333" t="s">
        <v>14248</v>
      </c>
      <c r="I9333">
        <v>10481</v>
      </c>
      <c r="J9333" t="e">
        <f>VLOOKUP(E9333,DSSpieler!A:B,2,FALSE)</f>
        <v>#N/A</v>
      </c>
    </row>
    <row r="9334" spans="1:10" x14ac:dyDescent="0.25">
      <c r="A9334">
        <v>10482</v>
      </c>
      <c r="B9334" t="s">
        <v>531</v>
      </c>
      <c r="C9334">
        <v>599</v>
      </c>
      <c r="D9334">
        <v>503</v>
      </c>
      <c r="E9334">
        <v>0</v>
      </c>
      <c r="F9334">
        <v>431</v>
      </c>
      <c r="G9334">
        <v>0</v>
      </c>
      <c r="H9334" t="s">
        <v>14249</v>
      </c>
      <c r="I9334">
        <v>10482</v>
      </c>
      <c r="J9334" t="e">
        <f>VLOOKUP(E9334,DSSpieler!A:B,2,FALSE)</f>
        <v>#N/A</v>
      </c>
    </row>
    <row r="9335" spans="1:10" x14ac:dyDescent="0.25">
      <c r="A9335">
        <v>10483</v>
      </c>
      <c r="B9335">
        <v>3</v>
      </c>
      <c r="C9335">
        <v>552</v>
      </c>
      <c r="D9335">
        <v>413</v>
      </c>
      <c r="E9335">
        <v>1576899646</v>
      </c>
      <c r="F9335">
        <v>6844</v>
      </c>
      <c r="G9335">
        <v>0</v>
      </c>
      <c r="H9335" t="s">
        <v>14250</v>
      </c>
      <c r="I9335">
        <v>10483</v>
      </c>
      <c r="J9335" t="str">
        <f>VLOOKUP(E9335,DSSpieler!A:B,2,FALSE)</f>
        <v>Rabauk1</v>
      </c>
    </row>
    <row r="9336" spans="1:10" x14ac:dyDescent="0.25">
      <c r="A9336">
        <v>10484</v>
      </c>
      <c r="B9336" t="s">
        <v>531</v>
      </c>
      <c r="C9336">
        <v>583</v>
      </c>
      <c r="D9336">
        <v>552</v>
      </c>
      <c r="E9336">
        <v>0</v>
      </c>
      <c r="F9336">
        <v>338</v>
      </c>
      <c r="G9336">
        <v>0</v>
      </c>
      <c r="H9336" t="s">
        <v>14251</v>
      </c>
      <c r="I9336">
        <v>10484</v>
      </c>
      <c r="J9336" t="e">
        <f>VLOOKUP(E9336,DSSpieler!A:B,2,FALSE)</f>
        <v>#N/A</v>
      </c>
    </row>
    <row r="9337" spans="1:10" x14ac:dyDescent="0.25">
      <c r="A9337">
        <v>10485</v>
      </c>
      <c r="B9337" t="s">
        <v>531</v>
      </c>
      <c r="C9337">
        <v>557</v>
      </c>
      <c r="D9337">
        <v>581</v>
      </c>
      <c r="E9337">
        <v>0</v>
      </c>
      <c r="F9337">
        <v>253</v>
      </c>
      <c r="G9337">
        <v>0</v>
      </c>
      <c r="H9337" t="s">
        <v>14252</v>
      </c>
      <c r="I9337">
        <v>10485</v>
      </c>
      <c r="J9337" t="e">
        <f>VLOOKUP(E9337,DSSpieler!A:B,2,FALSE)</f>
        <v>#N/A</v>
      </c>
    </row>
    <row r="9338" spans="1:10" x14ac:dyDescent="0.25">
      <c r="A9338">
        <v>10486</v>
      </c>
      <c r="B9338" t="s">
        <v>531</v>
      </c>
      <c r="C9338">
        <v>529</v>
      </c>
      <c r="D9338">
        <v>473</v>
      </c>
      <c r="E9338">
        <v>0</v>
      </c>
      <c r="F9338">
        <v>289</v>
      </c>
      <c r="G9338">
        <v>0</v>
      </c>
      <c r="H9338" t="s">
        <v>14253</v>
      </c>
      <c r="I9338">
        <v>10486</v>
      </c>
      <c r="J9338" t="e">
        <f>VLOOKUP(E9338,DSSpieler!A:B,2,FALSE)</f>
        <v>#N/A</v>
      </c>
    </row>
    <row r="9339" spans="1:10" x14ac:dyDescent="0.25">
      <c r="A9339">
        <v>10487</v>
      </c>
      <c r="B9339" t="s">
        <v>33906</v>
      </c>
      <c r="C9339">
        <v>471</v>
      </c>
      <c r="D9339">
        <v>407</v>
      </c>
      <c r="E9339">
        <v>1576915148</v>
      </c>
      <c r="F9339">
        <v>3350</v>
      </c>
      <c r="G9339">
        <v>0</v>
      </c>
      <c r="H9339" t="s">
        <v>14254</v>
      </c>
      <c r="I9339">
        <v>10487</v>
      </c>
      <c r="J9339" t="str">
        <f>VLOOKUP(E9339,DSSpieler!A:B,2,FALSE)</f>
        <v>JuSt4FuN97</v>
      </c>
    </row>
    <row r="9340" spans="1:10" x14ac:dyDescent="0.25">
      <c r="A9340">
        <v>10488</v>
      </c>
      <c r="B9340" t="s">
        <v>531</v>
      </c>
      <c r="C9340">
        <v>567</v>
      </c>
      <c r="D9340">
        <v>424</v>
      </c>
      <c r="E9340">
        <v>0</v>
      </c>
      <c r="F9340">
        <v>355</v>
      </c>
      <c r="G9340">
        <v>0</v>
      </c>
      <c r="H9340" t="s">
        <v>14255</v>
      </c>
      <c r="I9340">
        <v>10488</v>
      </c>
      <c r="J9340" t="e">
        <f>VLOOKUP(E9340,DSSpieler!A:B,2,FALSE)</f>
        <v>#N/A</v>
      </c>
    </row>
    <row r="9341" spans="1:10" x14ac:dyDescent="0.25">
      <c r="A9341">
        <v>10489</v>
      </c>
      <c r="B9341" t="s">
        <v>1595</v>
      </c>
      <c r="C9341">
        <v>422</v>
      </c>
      <c r="D9341">
        <v>472</v>
      </c>
      <c r="E9341">
        <v>9050389</v>
      </c>
      <c r="F9341">
        <v>5846</v>
      </c>
      <c r="G9341">
        <v>0</v>
      </c>
      <c r="H9341" t="s">
        <v>14256</v>
      </c>
      <c r="I9341">
        <v>10489</v>
      </c>
      <c r="J9341" t="str">
        <f>VLOOKUP(E9341,DSSpieler!A:B,2,FALSE)</f>
        <v>easywin</v>
      </c>
    </row>
    <row r="9342" spans="1:10" x14ac:dyDescent="0.25">
      <c r="A9342">
        <v>10490</v>
      </c>
      <c r="B9342" t="s">
        <v>669</v>
      </c>
      <c r="C9342">
        <v>548</v>
      </c>
      <c r="D9342">
        <v>410</v>
      </c>
      <c r="E9342">
        <v>1577177490</v>
      </c>
      <c r="F9342">
        <v>5204</v>
      </c>
      <c r="G9342">
        <v>0</v>
      </c>
      <c r="H9342" t="s">
        <v>14257</v>
      </c>
      <c r="I9342">
        <v>10490</v>
      </c>
      <c r="J9342" t="str">
        <f>VLOOKUP(E9342,DSSpieler!A:B,2,FALSE)</f>
        <v>König Storch</v>
      </c>
    </row>
    <row r="9343" spans="1:10" x14ac:dyDescent="0.25">
      <c r="A9343">
        <v>10491</v>
      </c>
      <c r="B9343" t="s">
        <v>33907</v>
      </c>
      <c r="C9343">
        <v>443</v>
      </c>
      <c r="D9343">
        <v>581</v>
      </c>
      <c r="E9343">
        <v>1576994627</v>
      </c>
      <c r="F9343">
        <v>5588</v>
      </c>
      <c r="G9343">
        <v>0</v>
      </c>
      <c r="H9343" t="s">
        <v>14258</v>
      </c>
      <c r="I9343">
        <v>10491</v>
      </c>
      <c r="J9343" t="str">
        <f>VLOOKUP(E9343,DSSpieler!A:B,2,FALSE)</f>
        <v>Synxp</v>
      </c>
    </row>
    <row r="9344" spans="1:10" x14ac:dyDescent="0.25">
      <c r="A9344">
        <v>10492</v>
      </c>
      <c r="B9344" t="s">
        <v>1925</v>
      </c>
      <c r="C9344">
        <v>533</v>
      </c>
      <c r="D9344">
        <v>398</v>
      </c>
      <c r="E9344">
        <v>1577183510</v>
      </c>
      <c r="F9344">
        <v>4111</v>
      </c>
      <c r="G9344">
        <v>0</v>
      </c>
      <c r="H9344" t="s">
        <v>14259</v>
      </c>
      <c r="I9344">
        <v>10492</v>
      </c>
      <c r="J9344" t="str">
        <f>VLOOKUP(E9344,DSSpieler!A:B,2,FALSE)</f>
        <v>Apfelring</v>
      </c>
    </row>
    <row r="9345" spans="1:10" x14ac:dyDescent="0.25">
      <c r="A9345">
        <v>10493</v>
      </c>
      <c r="B9345" t="s">
        <v>32017</v>
      </c>
      <c r="C9345">
        <v>572</v>
      </c>
      <c r="D9345">
        <v>569</v>
      </c>
      <c r="E9345">
        <v>1577188803</v>
      </c>
      <c r="F9345">
        <v>3604</v>
      </c>
      <c r="G9345">
        <v>0</v>
      </c>
      <c r="H9345" t="s">
        <v>14260</v>
      </c>
      <c r="I9345">
        <v>10493</v>
      </c>
      <c r="J9345" t="str">
        <f>VLOOKUP(E9345,DSSpieler!A:B,2,FALSE)</f>
        <v>GrrGr</v>
      </c>
    </row>
    <row r="9346" spans="1:10" x14ac:dyDescent="0.25">
      <c r="A9346">
        <v>10494</v>
      </c>
      <c r="B9346" t="s">
        <v>531</v>
      </c>
      <c r="C9346">
        <v>511</v>
      </c>
      <c r="D9346">
        <v>399</v>
      </c>
      <c r="E9346">
        <v>0</v>
      </c>
      <c r="F9346">
        <v>760</v>
      </c>
      <c r="G9346">
        <v>0</v>
      </c>
      <c r="H9346" t="s">
        <v>14261</v>
      </c>
      <c r="I9346">
        <v>10494</v>
      </c>
      <c r="J9346" t="e">
        <f>VLOOKUP(E9346,DSSpieler!A:B,2,FALSE)</f>
        <v>#N/A</v>
      </c>
    </row>
    <row r="9347" spans="1:10" x14ac:dyDescent="0.25">
      <c r="A9347">
        <v>10495</v>
      </c>
      <c r="B9347" t="s">
        <v>1084</v>
      </c>
      <c r="C9347">
        <v>397</v>
      </c>
      <c r="D9347">
        <v>502</v>
      </c>
      <c r="E9347">
        <v>1577093962</v>
      </c>
      <c r="F9347">
        <v>6173</v>
      </c>
      <c r="G9347">
        <v>0</v>
      </c>
      <c r="H9347" t="s">
        <v>14262</v>
      </c>
      <c r="I9347">
        <v>10495</v>
      </c>
      <c r="J9347" t="str">
        <f>VLOOKUP(E9347,DSSpieler!A:B,2,FALSE)</f>
        <v>Phipsor</v>
      </c>
    </row>
    <row r="9348" spans="1:10" x14ac:dyDescent="0.25">
      <c r="A9348">
        <v>10497</v>
      </c>
      <c r="B9348" t="s">
        <v>1231</v>
      </c>
      <c r="C9348">
        <v>481</v>
      </c>
      <c r="D9348">
        <v>592</v>
      </c>
      <c r="E9348">
        <v>9835495</v>
      </c>
      <c r="F9348">
        <v>5957</v>
      </c>
      <c r="G9348">
        <v>0</v>
      </c>
      <c r="H9348" t="s">
        <v>14263</v>
      </c>
      <c r="I9348">
        <v>10497</v>
      </c>
      <c r="J9348" t="str">
        <f>VLOOKUP(E9348,DSSpieler!A:B,2,FALSE)</f>
        <v>MrFreakeffect</v>
      </c>
    </row>
    <row r="9349" spans="1:10" x14ac:dyDescent="0.25">
      <c r="A9349">
        <v>10498</v>
      </c>
      <c r="B9349" t="s">
        <v>1926</v>
      </c>
      <c r="C9349">
        <v>415</v>
      </c>
      <c r="D9349">
        <v>475</v>
      </c>
      <c r="E9349">
        <v>8416945</v>
      </c>
      <c r="F9349">
        <v>1084</v>
      </c>
      <c r="G9349">
        <v>0</v>
      </c>
      <c r="H9349" t="s">
        <v>14264</v>
      </c>
      <c r="I9349">
        <v>10498</v>
      </c>
      <c r="J9349" t="str">
        <f>VLOOKUP(E9349,DSSpieler!A:B,2,FALSE)</f>
        <v>saik06</v>
      </c>
    </row>
    <row r="9350" spans="1:10" x14ac:dyDescent="0.25">
      <c r="A9350">
        <v>10499</v>
      </c>
      <c r="B9350" t="s">
        <v>1927</v>
      </c>
      <c r="C9350">
        <v>512</v>
      </c>
      <c r="D9350">
        <v>398</v>
      </c>
      <c r="E9350">
        <v>1577043880</v>
      </c>
      <c r="F9350">
        <v>2555</v>
      </c>
      <c r="G9350">
        <v>0</v>
      </c>
      <c r="H9350" t="s">
        <v>14265</v>
      </c>
      <c r="I9350">
        <v>10499</v>
      </c>
      <c r="J9350" t="str">
        <f>VLOOKUP(E9350,DSSpieler!A:B,2,FALSE)</f>
        <v>MrLoot</v>
      </c>
    </row>
    <row r="9351" spans="1:10" x14ac:dyDescent="0.25">
      <c r="A9351">
        <v>10500</v>
      </c>
      <c r="B9351" t="s">
        <v>33908</v>
      </c>
      <c r="C9351">
        <v>491</v>
      </c>
      <c r="D9351">
        <v>403</v>
      </c>
      <c r="E9351">
        <v>1577175218</v>
      </c>
      <c r="F9351">
        <v>2410</v>
      </c>
      <c r="G9351">
        <v>0</v>
      </c>
      <c r="H9351" t="s">
        <v>14266</v>
      </c>
      <c r="I9351">
        <v>10500</v>
      </c>
      <c r="J9351" t="str">
        <f>VLOOKUP(E9351,DSSpieler!A:B,2,FALSE)</f>
        <v>J0J0--</v>
      </c>
    </row>
    <row r="9352" spans="1:10" x14ac:dyDescent="0.25">
      <c r="A9352">
        <v>10501</v>
      </c>
      <c r="B9352" t="s">
        <v>1928</v>
      </c>
      <c r="C9352">
        <v>527</v>
      </c>
      <c r="D9352">
        <v>550</v>
      </c>
      <c r="E9352">
        <v>1577199672</v>
      </c>
      <c r="F9352">
        <v>3799</v>
      </c>
      <c r="G9352">
        <v>0</v>
      </c>
      <c r="H9352" t="s">
        <v>14267</v>
      </c>
      <c r="I9352">
        <v>10501</v>
      </c>
      <c r="J9352" t="str">
        <f>VLOOKUP(E9352,DSSpieler!A:B,2,FALSE)</f>
        <v>Urbanizer1412</v>
      </c>
    </row>
    <row r="9353" spans="1:10" x14ac:dyDescent="0.25">
      <c r="A9353">
        <v>10502</v>
      </c>
      <c r="B9353" t="s">
        <v>33909</v>
      </c>
      <c r="C9353">
        <v>568</v>
      </c>
      <c r="D9353">
        <v>427</v>
      </c>
      <c r="E9353">
        <v>2893048</v>
      </c>
      <c r="F9353">
        <v>7778</v>
      </c>
      <c r="G9353">
        <v>0</v>
      </c>
      <c r="H9353" t="s">
        <v>14268</v>
      </c>
      <c r="I9353">
        <v>10502</v>
      </c>
      <c r="J9353" t="str">
        <f>VLOOKUP(E9353,DSSpieler!A:B,2,FALSE)</f>
        <v>pajori</v>
      </c>
    </row>
    <row r="9354" spans="1:10" x14ac:dyDescent="0.25">
      <c r="A9354">
        <v>10503</v>
      </c>
      <c r="B9354" t="s">
        <v>33910</v>
      </c>
      <c r="C9354">
        <v>429</v>
      </c>
      <c r="D9354">
        <v>433</v>
      </c>
      <c r="E9354">
        <v>1577180780</v>
      </c>
      <c r="F9354">
        <v>6749</v>
      </c>
      <c r="G9354">
        <v>0</v>
      </c>
      <c r="H9354" t="s">
        <v>14269</v>
      </c>
      <c r="I9354">
        <v>10503</v>
      </c>
      <c r="J9354" t="str">
        <f>VLOOKUP(E9354,DSSpieler!A:B,2,FALSE)</f>
        <v>richamster</v>
      </c>
    </row>
    <row r="9355" spans="1:10" x14ac:dyDescent="0.25">
      <c r="A9355">
        <v>10504</v>
      </c>
      <c r="B9355" t="s">
        <v>1929</v>
      </c>
      <c r="C9355">
        <v>574</v>
      </c>
      <c r="D9355">
        <v>437</v>
      </c>
      <c r="E9355">
        <v>1377467</v>
      </c>
      <c r="F9355">
        <v>7224</v>
      </c>
      <c r="G9355">
        <v>0</v>
      </c>
      <c r="H9355" t="s">
        <v>14270</v>
      </c>
      <c r="I9355">
        <v>10504</v>
      </c>
      <c r="J9355" t="str">
        <f>VLOOKUP(E9355,DSSpieler!A:B,2,FALSE)</f>
        <v>Fabi Khan</v>
      </c>
    </row>
    <row r="9356" spans="1:10" x14ac:dyDescent="0.25">
      <c r="A9356">
        <v>10505</v>
      </c>
      <c r="B9356" t="s">
        <v>33911</v>
      </c>
      <c r="C9356">
        <v>568</v>
      </c>
      <c r="D9356">
        <v>433</v>
      </c>
      <c r="E9356">
        <v>1577192658</v>
      </c>
      <c r="F9356">
        <v>6271</v>
      </c>
      <c r="G9356">
        <v>0</v>
      </c>
      <c r="H9356" t="s">
        <v>14271</v>
      </c>
      <c r="I9356">
        <v>10505</v>
      </c>
      <c r="J9356" t="str">
        <f>VLOOKUP(E9356,DSSpieler!A:B,2,FALSE)</f>
        <v>schmarrnuel</v>
      </c>
    </row>
    <row r="9357" spans="1:10" x14ac:dyDescent="0.25">
      <c r="A9357">
        <v>10506</v>
      </c>
      <c r="B9357" t="s">
        <v>1930</v>
      </c>
      <c r="C9357">
        <v>560</v>
      </c>
      <c r="D9357">
        <v>430</v>
      </c>
      <c r="E9357">
        <v>9704633</v>
      </c>
      <c r="F9357">
        <v>3423</v>
      </c>
      <c r="G9357">
        <v>0</v>
      </c>
      <c r="H9357" t="s">
        <v>14272</v>
      </c>
      <c r="I9357">
        <v>10506</v>
      </c>
      <c r="J9357" t="str">
        <f>VLOOKUP(E9357,DSSpieler!A:B,2,FALSE)</f>
        <v>GamePri</v>
      </c>
    </row>
    <row r="9358" spans="1:10" x14ac:dyDescent="0.25">
      <c r="A9358">
        <v>10507</v>
      </c>
      <c r="B9358" t="s">
        <v>1931</v>
      </c>
      <c r="C9358">
        <v>559</v>
      </c>
      <c r="D9358">
        <v>424</v>
      </c>
      <c r="E9358">
        <v>1577192546</v>
      </c>
      <c r="F9358">
        <v>4555</v>
      </c>
      <c r="G9358">
        <v>0</v>
      </c>
      <c r="H9358" t="s">
        <v>14273</v>
      </c>
      <c r="I9358">
        <v>10507</v>
      </c>
      <c r="J9358" t="str">
        <f>VLOOKUP(E9358,DSSpieler!A:B,2,FALSE)</f>
        <v>kh64tak</v>
      </c>
    </row>
    <row r="9359" spans="1:10" x14ac:dyDescent="0.25">
      <c r="A9359">
        <v>10508</v>
      </c>
      <c r="B9359" t="s">
        <v>33912</v>
      </c>
      <c r="C9359">
        <v>412</v>
      </c>
      <c r="D9359">
        <v>521</v>
      </c>
      <c r="E9359">
        <v>240340</v>
      </c>
      <c r="F9359">
        <v>3843</v>
      </c>
      <c r="G9359">
        <v>0</v>
      </c>
      <c r="H9359" t="s">
        <v>14274</v>
      </c>
      <c r="I9359">
        <v>10508</v>
      </c>
      <c r="J9359" t="str">
        <f>VLOOKUP(E9359,DSSpieler!A:B,2,FALSE)</f>
        <v>daniel017</v>
      </c>
    </row>
    <row r="9360" spans="1:10" x14ac:dyDescent="0.25">
      <c r="A9360">
        <v>10510</v>
      </c>
      <c r="B9360" t="s">
        <v>31763</v>
      </c>
      <c r="C9360">
        <v>583</v>
      </c>
      <c r="D9360">
        <v>551</v>
      </c>
      <c r="E9360">
        <v>1577171740</v>
      </c>
      <c r="F9360">
        <v>4234</v>
      </c>
      <c r="G9360">
        <v>0</v>
      </c>
      <c r="H9360" t="s">
        <v>14275</v>
      </c>
      <c r="I9360">
        <v>10510</v>
      </c>
      <c r="J9360" t="str">
        <f>VLOOKUP(E9360,DSSpieler!A:B,2,FALSE)</f>
        <v>Kevisback7</v>
      </c>
    </row>
    <row r="9361" spans="1:10" x14ac:dyDescent="0.25">
      <c r="A9361">
        <v>10511</v>
      </c>
      <c r="B9361" t="s">
        <v>979</v>
      </c>
      <c r="C9361">
        <v>512</v>
      </c>
      <c r="D9361">
        <v>596</v>
      </c>
      <c r="E9361">
        <v>1576692459</v>
      </c>
      <c r="F9361">
        <v>6051</v>
      </c>
      <c r="G9361">
        <v>0</v>
      </c>
      <c r="H9361" t="s">
        <v>14276</v>
      </c>
      <c r="I9361">
        <v>10511</v>
      </c>
      <c r="J9361" t="str">
        <f>VLOOKUP(E9361,DSSpieler!A:B,2,FALSE)</f>
        <v>Sir Hendriks</v>
      </c>
    </row>
    <row r="9362" spans="1:10" x14ac:dyDescent="0.25">
      <c r="A9362">
        <v>10512</v>
      </c>
      <c r="B9362" t="s">
        <v>531</v>
      </c>
      <c r="C9362">
        <v>402</v>
      </c>
      <c r="D9362">
        <v>473</v>
      </c>
      <c r="E9362">
        <v>0</v>
      </c>
      <c r="F9362">
        <v>338</v>
      </c>
      <c r="G9362">
        <v>0</v>
      </c>
      <c r="H9362" t="s">
        <v>14277</v>
      </c>
      <c r="I9362">
        <v>10512</v>
      </c>
      <c r="J9362" t="e">
        <f>VLOOKUP(E9362,DSSpieler!A:B,2,FALSE)</f>
        <v>#N/A</v>
      </c>
    </row>
    <row r="9363" spans="1:10" x14ac:dyDescent="0.25">
      <c r="A9363">
        <v>10513</v>
      </c>
      <c r="B9363" t="s">
        <v>33913</v>
      </c>
      <c r="C9363">
        <v>534</v>
      </c>
      <c r="D9363">
        <v>595</v>
      </c>
      <c r="E9363">
        <v>1577198444</v>
      </c>
      <c r="F9363">
        <v>3495</v>
      </c>
      <c r="G9363">
        <v>0</v>
      </c>
      <c r="H9363" t="s">
        <v>14278</v>
      </c>
      <c r="I9363">
        <v>10513</v>
      </c>
      <c r="J9363" t="str">
        <f>VLOOKUP(E9363,DSSpieler!A:B,2,FALSE)</f>
        <v>Xeroc</v>
      </c>
    </row>
    <row r="9364" spans="1:10" x14ac:dyDescent="0.25">
      <c r="A9364">
        <v>10514</v>
      </c>
      <c r="B9364" t="s">
        <v>33914</v>
      </c>
      <c r="C9364">
        <v>470</v>
      </c>
      <c r="D9364">
        <v>596</v>
      </c>
      <c r="E9364">
        <v>1576980922</v>
      </c>
      <c r="F9364">
        <v>5736</v>
      </c>
      <c r="G9364">
        <v>0</v>
      </c>
      <c r="H9364" t="s">
        <v>14279</v>
      </c>
      <c r="I9364">
        <v>10514</v>
      </c>
      <c r="J9364" t="str">
        <f>VLOOKUP(E9364,DSSpieler!A:B,2,FALSE)</f>
        <v>darkvieri</v>
      </c>
    </row>
    <row r="9365" spans="1:10" x14ac:dyDescent="0.25">
      <c r="A9365">
        <v>10516</v>
      </c>
      <c r="B9365" t="s">
        <v>531</v>
      </c>
      <c r="C9365">
        <v>536</v>
      </c>
      <c r="D9365">
        <v>406</v>
      </c>
      <c r="E9365">
        <v>0</v>
      </c>
      <c r="F9365">
        <v>339</v>
      </c>
      <c r="G9365">
        <v>0</v>
      </c>
      <c r="H9365" t="s">
        <v>14280</v>
      </c>
      <c r="I9365">
        <v>10516</v>
      </c>
      <c r="J9365" t="e">
        <f>VLOOKUP(E9365,DSSpieler!A:B,2,FALSE)</f>
        <v>#N/A</v>
      </c>
    </row>
    <row r="9366" spans="1:10" x14ac:dyDescent="0.25">
      <c r="A9366">
        <v>10517</v>
      </c>
      <c r="B9366" t="s">
        <v>150</v>
      </c>
      <c r="C9366">
        <v>484</v>
      </c>
      <c r="D9366">
        <v>492</v>
      </c>
      <c r="E9366">
        <v>1576991907</v>
      </c>
      <c r="F9366">
        <v>5002</v>
      </c>
      <c r="G9366">
        <v>0</v>
      </c>
      <c r="H9366" t="s">
        <v>14281</v>
      </c>
      <c r="I9366">
        <v>10517</v>
      </c>
      <c r="J9366" t="str">
        <f>VLOOKUP(E9366,DSSpieler!A:B,2,FALSE)</f>
        <v>Wagner1860</v>
      </c>
    </row>
    <row r="9367" spans="1:10" x14ac:dyDescent="0.25">
      <c r="A9367">
        <v>10518</v>
      </c>
      <c r="B9367" t="s">
        <v>33915</v>
      </c>
      <c r="C9367">
        <v>577</v>
      </c>
      <c r="D9367">
        <v>434</v>
      </c>
      <c r="E9367">
        <v>1576910880</v>
      </c>
      <c r="F9367">
        <v>4322</v>
      </c>
      <c r="G9367">
        <v>0</v>
      </c>
      <c r="H9367" t="s">
        <v>14282</v>
      </c>
      <c r="I9367">
        <v>10518</v>
      </c>
      <c r="J9367" t="str">
        <f>VLOOKUP(E9367,DSSpieler!A:B,2,FALSE)</f>
        <v>Quarantino*</v>
      </c>
    </row>
    <row r="9368" spans="1:10" x14ac:dyDescent="0.25">
      <c r="A9368">
        <v>10520</v>
      </c>
      <c r="B9368" t="s">
        <v>33916</v>
      </c>
      <c r="C9368">
        <v>548</v>
      </c>
      <c r="D9368">
        <v>539</v>
      </c>
      <c r="E9368">
        <v>1577196069</v>
      </c>
      <c r="F9368">
        <v>287</v>
      </c>
      <c r="G9368">
        <v>0</v>
      </c>
      <c r="H9368" t="s">
        <v>14283</v>
      </c>
      <c r="I9368">
        <v>10520</v>
      </c>
      <c r="J9368" t="str">
        <f>VLOOKUP(E9368,DSSpieler!A:B,2,FALSE)</f>
        <v>Add-On-</v>
      </c>
    </row>
    <row r="9369" spans="1:10" x14ac:dyDescent="0.25">
      <c r="A9369">
        <v>10521</v>
      </c>
      <c r="B9369" t="s">
        <v>780</v>
      </c>
      <c r="C9369">
        <v>605</v>
      </c>
      <c r="D9369">
        <v>520</v>
      </c>
      <c r="E9369">
        <v>1576864272</v>
      </c>
      <c r="F9369">
        <v>4519</v>
      </c>
      <c r="G9369">
        <v>0</v>
      </c>
      <c r="H9369" t="s">
        <v>14284</v>
      </c>
      <c r="I9369">
        <v>10521</v>
      </c>
      <c r="J9369" t="str">
        <f>VLOOKUP(E9369,DSSpieler!A:B,2,FALSE)</f>
        <v>iToxic</v>
      </c>
    </row>
    <row r="9370" spans="1:10" x14ac:dyDescent="0.25">
      <c r="A9370">
        <v>10522</v>
      </c>
      <c r="B9370" t="s">
        <v>531</v>
      </c>
      <c r="C9370">
        <v>481</v>
      </c>
      <c r="D9370">
        <v>600</v>
      </c>
      <c r="E9370">
        <v>0</v>
      </c>
      <c r="F9370">
        <v>341</v>
      </c>
      <c r="G9370">
        <v>0</v>
      </c>
      <c r="H9370" t="s">
        <v>14285</v>
      </c>
      <c r="I9370">
        <v>10522</v>
      </c>
      <c r="J9370" t="e">
        <f>VLOOKUP(E9370,DSSpieler!A:B,2,FALSE)</f>
        <v>#N/A</v>
      </c>
    </row>
    <row r="9371" spans="1:10" x14ac:dyDescent="0.25">
      <c r="A9371">
        <v>10524</v>
      </c>
      <c r="B9371" t="s">
        <v>31256</v>
      </c>
      <c r="C9371">
        <v>410</v>
      </c>
      <c r="D9371">
        <v>457</v>
      </c>
      <c r="E9371">
        <v>1576703166</v>
      </c>
      <c r="F9371">
        <v>5405</v>
      </c>
      <c r="G9371">
        <v>0</v>
      </c>
      <c r="H9371" t="s">
        <v>14286</v>
      </c>
      <c r="I9371">
        <v>10524</v>
      </c>
      <c r="J9371" t="str">
        <f>VLOOKUP(E9371,DSSpieler!A:B,2,FALSE)</f>
        <v>Brettvormkopp</v>
      </c>
    </row>
    <row r="9372" spans="1:10" x14ac:dyDescent="0.25">
      <c r="A9372">
        <v>10525</v>
      </c>
      <c r="B9372" t="s">
        <v>531</v>
      </c>
      <c r="C9372">
        <v>486</v>
      </c>
      <c r="D9372">
        <v>601</v>
      </c>
      <c r="E9372">
        <v>0</v>
      </c>
      <c r="F9372">
        <v>576</v>
      </c>
      <c r="G9372">
        <v>0</v>
      </c>
      <c r="H9372" t="s">
        <v>14287</v>
      </c>
      <c r="I9372">
        <v>10525</v>
      </c>
      <c r="J9372" t="e">
        <f>VLOOKUP(E9372,DSSpieler!A:B,2,FALSE)</f>
        <v>#N/A</v>
      </c>
    </row>
    <row r="9373" spans="1:10" x14ac:dyDescent="0.25">
      <c r="A9373">
        <v>10526</v>
      </c>
      <c r="B9373" t="s">
        <v>33917</v>
      </c>
      <c r="C9373">
        <v>477</v>
      </c>
      <c r="D9373">
        <v>545</v>
      </c>
      <c r="E9373">
        <v>1577191193</v>
      </c>
      <c r="F9373">
        <v>5539</v>
      </c>
      <c r="G9373">
        <v>0</v>
      </c>
      <c r="H9373" t="s">
        <v>14288</v>
      </c>
      <c r="I9373">
        <v>10526</v>
      </c>
      <c r="J9373" t="str">
        <f>VLOOKUP(E9373,DSSpieler!A:B,2,FALSE)</f>
        <v>Azubie</v>
      </c>
    </row>
    <row r="9374" spans="1:10" x14ac:dyDescent="0.25">
      <c r="A9374">
        <v>10527</v>
      </c>
      <c r="B9374" t="s">
        <v>33918</v>
      </c>
      <c r="C9374">
        <v>512</v>
      </c>
      <c r="D9374">
        <v>392</v>
      </c>
      <c r="E9374">
        <v>7654698</v>
      </c>
      <c r="F9374">
        <v>5838</v>
      </c>
      <c r="G9374">
        <v>0</v>
      </c>
      <c r="H9374" t="s">
        <v>14289</v>
      </c>
      <c r="I9374">
        <v>10527</v>
      </c>
      <c r="J9374" t="str">
        <f>VLOOKUP(E9374,DSSpieler!A:B,2,FALSE)</f>
        <v>Vinfox2</v>
      </c>
    </row>
    <row r="9375" spans="1:10" x14ac:dyDescent="0.25">
      <c r="A9375">
        <v>10528</v>
      </c>
      <c r="B9375" t="s">
        <v>33919</v>
      </c>
      <c r="C9375">
        <v>575</v>
      </c>
      <c r="D9375">
        <v>435</v>
      </c>
      <c r="E9375">
        <v>1575897680</v>
      </c>
      <c r="F9375">
        <v>1043</v>
      </c>
      <c r="G9375">
        <v>0</v>
      </c>
      <c r="H9375" t="s">
        <v>14290</v>
      </c>
      <c r="I9375">
        <v>10528</v>
      </c>
      <c r="J9375" t="str">
        <f>VLOOKUP(E9375,DSSpieler!A:B,2,FALSE)</f>
        <v>comcon1710</v>
      </c>
    </row>
    <row r="9376" spans="1:10" x14ac:dyDescent="0.25">
      <c r="A9376">
        <v>10529</v>
      </c>
      <c r="B9376" t="s">
        <v>531</v>
      </c>
      <c r="C9376">
        <v>542</v>
      </c>
      <c r="D9376">
        <v>411</v>
      </c>
      <c r="E9376">
        <v>0</v>
      </c>
      <c r="F9376">
        <v>570</v>
      </c>
      <c r="G9376">
        <v>0</v>
      </c>
      <c r="H9376" t="s">
        <v>14291</v>
      </c>
      <c r="I9376">
        <v>10529</v>
      </c>
      <c r="J9376" t="e">
        <f>VLOOKUP(E9376,DSSpieler!A:B,2,FALSE)</f>
        <v>#N/A</v>
      </c>
    </row>
    <row r="9377" spans="1:10" x14ac:dyDescent="0.25">
      <c r="A9377">
        <v>10530</v>
      </c>
      <c r="B9377" t="s">
        <v>31</v>
      </c>
      <c r="C9377">
        <v>568</v>
      </c>
      <c r="D9377">
        <v>430</v>
      </c>
      <c r="E9377">
        <v>9753568</v>
      </c>
      <c r="F9377">
        <v>6130</v>
      </c>
      <c r="G9377">
        <v>0</v>
      </c>
      <c r="H9377" t="s">
        <v>14292</v>
      </c>
      <c r="I9377">
        <v>10530</v>
      </c>
      <c r="J9377" t="str">
        <f>VLOOKUP(E9377,DSSpieler!A:B,2,FALSE)</f>
        <v>todakr</v>
      </c>
    </row>
    <row r="9378" spans="1:10" x14ac:dyDescent="0.25">
      <c r="A9378">
        <v>10531</v>
      </c>
      <c r="B9378" t="s">
        <v>531</v>
      </c>
      <c r="C9378">
        <v>399</v>
      </c>
      <c r="D9378">
        <v>488</v>
      </c>
      <c r="E9378">
        <v>1576870112</v>
      </c>
      <c r="F9378">
        <v>2244</v>
      </c>
      <c r="G9378">
        <v>0</v>
      </c>
      <c r="H9378" t="s">
        <v>444</v>
      </c>
      <c r="I9378">
        <v>10531</v>
      </c>
      <c r="J9378" t="str">
        <f>VLOOKUP(E9378,DSSpieler!A:B,2,FALSE)</f>
        <v>nepobjediv55</v>
      </c>
    </row>
    <row r="9379" spans="1:10" x14ac:dyDescent="0.25">
      <c r="A9379">
        <v>10532</v>
      </c>
      <c r="B9379" t="s">
        <v>33920</v>
      </c>
      <c r="C9379">
        <v>486</v>
      </c>
      <c r="D9379">
        <v>597</v>
      </c>
      <c r="E9379">
        <v>1577196399</v>
      </c>
      <c r="F9379">
        <v>2154</v>
      </c>
      <c r="G9379">
        <v>0</v>
      </c>
      <c r="H9379" t="s">
        <v>14293</v>
      </c>
      <c r="I9379">
        <v>10532</v>
      </c>
      <c r="J9379" t="str">
        <f>VLOOKUP(E9379,DSSpieler!A:B,2,FALSE)</f>
        <v>Stempa20</v>
      </c>
    </row>
    <row r="9380" spans="1:10" x14ac:dyDescent="0.25">
      <c r="A9380">
        <v>10533</v>
      </c>
      <c r="B9380" t="s">
        <v>979</v>
      </c>
      <c r="C9380">
        <v>517</v>
      </c>
      <c r="D9380">
        <v>596</v>
      </c>
      <c r="E9380">
        <v>9589757</v>
      </c>
      <c r="F9380">
        <v>5404</v>
      </c>
      <c r="G9380">
        <v>0</v>
      </c>
      <c r="H9380" t="s">
        <v>14294</v>
      </c>
      <c r="I9380">
        <v>10533</v>
      </c>
      <c r="J9380" t="str">
        <f>VLOOKUP(E9380,DSSpieler!A:B,2,FALSE)</f>
        <v>Bluddeux</v>
      </c>
    </row>
    <row r="9381" spans="1:10" x14ac:dyDescent="0.25">
      <c r="A9381">
        <v>10534</v>
      </c>
      <c r="B9381" t="s">
        <v>33921</v>
      </c>
      <c r="C9381">
        <v>394</v>
      </c>
      <c r="D9381">
        <v>512</v>
      </c>
      <c r="E9381">
        <v>9694313</v>
      </c>
      <c r="F9381">
        <v>7284</v>
      </c>
      <c r="G9381">
        <v>0</v>
      </c>
      <c r="H9381" t="s">
        <v>14295</v>
      </c>
      <c r="I9381">
        <v>10534</v>
      </c>
      <c r="J9381" t="str">
        <f>VLOOKUP(E9381,DSSpieler!A:B,2,FALSE)</f>
        <v>Lerbanoel</v>
      </c>
    </row>
    <row r="9382" spans="1:10" x14ac:dyDescent="0.25">
      <c r="A9382">
        <v>10535</v>
      </c>
      <c r="B9382" t="s">
        <v>531</v>
      </c>
      <c r="C9382">
        <v>482</v>
      </c>
      <c r="D9382">
        <v>600</v>
      </c>
      <c r="E9382">
        <v>0</v>
      </c>
      <c r="F9382">
        <v>423</v>
      </c>
      <c r="G9382">
        <v>0</v>
      </c>
      <c r="H9382" t="s">
        <v>14296</v>
      </c>
      <c r="I9382">
        <v>10535</v>
      </c>
      <c r="J9382" t="e">
        <f>VLOOKUP(E9382,DSSpieler!A:B,2,FALSE)</f>
        <v>#N/A</v>
      </c>
    </row>
    <row r="9383" spans="1:10" x14ac:dyDescent="0.25">
      <c r="A9383">
        <v>10536</v>
      </c>
      <c r="B9383" t="s">
        <v>33922</v>
      </c>
      <c r="C9383">
        <v>589</v>
      </c>
      <c r="D9383">
        <v>548</v>
      </c>
      <c r="E9383">
        <v>8512794</v>
      </c>
      <c r="F9383">
        <v>2393</v>
      </c>
      <c r="G9383">
        <v>0</v>
      </c>
      <c r="H9383" t="s">
        <v>14297</v>
      </c>
      <c r="I9383">
        <v>10536</v>
      </c>
      <c r="J9383" t="str">
        <f>VLOOKUP(E9383,DSSpieler!A:B,2,FALSE)</f>
        <v>Iconfighter</v>
      </c>
    </row>
    <row r="9384" spans="1:10" x14ac:dyDescent="0.25">
      <c r="A9384">
        <v>10538</v>
      </c>
      <c r="B9384" t="s">
        <v>531</v>
      </c>
      <c r="C9384">
        <v>458</v>
      </c>
      <c r="D9384">
        <v>408</v>
      </c>
      <c r="E9384">
        <v>0</v>
      </c>
      <c r="F9384">
        <v>278</v>
      </c>
      <c r="G9384">
        <v>0</v>
      </c>
      <c r="H9384" t="s">
        <v>14298</v>
      </c>
      <c r="I9384">
        <v>10538</v>
      </c>
      <c r="J9384" t="e">
        <f>VLOOKUP(E9384,DSSpieler!A:B,2,FALSE)</f>
        <v>#N/A</v>
      </c>
    </row>
    <row r="9385" spans="1:10" x14ac:dyDescent="0.25">
      <c r="A9385">
        <v>10539</v>
      </c>
      <c r="B9385" t="s">
        <v>33923</v>
      </c>
      <c r="C9385">
        <v>598</v>
      </c>
      <c r="D9385">
        <v>489</v>
      </c>
      <c r="E9385">
        <v>1576457532</v>
      </c>
      <c r="F9385">
        <v>5021</v>
      </c>
      <c r="G9385">
        <v>0</v>
      </c>
      <c r="H9385" t="s">
        <v>14299</v>
      </c>
      <c r="I9385">
        <v>10539</v>
      </c>
      <c r="J9385" t="str">
        <f>VLOOKUP(E9385,DSSpieler!A:B,2,FALSE)</f>
        <v>House Lannister</v>
      </c>
    </row>
    <row r="9386" spans="1:10" x14ac:dyDescent="0.25">
      <c r="A9386">
        <v>10541</v>
      </c>
      <c r="B9386" t="s">
        <v>531</v>
      </c>
      <c r="C9386">
        <v>601</v>
      </c>
      <c r="D9386">
        <v>502</v>
      </c>
      <c r="E9386">
        <v>0</v>
      </c>
      <c r="F9386">
        <v>387</v>
      </c>
      <c r="G9386">
        <v>0</v>
      </c>
      <c r="H9386" t="s">
        <v>14300</v>
      </c>
      <c r="I9386">
        <v>10541</v>
      </c>
      <c r="J9386" t="e">
        <f>VLOOKUP(E9386,DSSpieler!A:B,2,FALSE)</f>
        <v>#N/A</v>
      </c>
    </row>
    <row r="9387" spans="1:10" x14ac:dyDescent="0.25">
      <c r="A9387">
        <v>10542</v>
      </c>
      <c r="B9387" t="s">
        <v>531</v>
      </c>
      <c r="C9387">
        <v>493</v>
      </c>
      <c r="D9387">
        <v>597</v>
      </c>
      <c r="E9387">
        <v>0</v>
      </c>
      <c r="F9387">
        <v>245</v>
      </c>
      <c r="G9387">
        <v>0</v>
      </c>
      <c r="H9387" t="s">
        <v>14301</v>
      </c>
      <c r="I9387">
        <v>10542</v>
      </c>
      <c r="J9387" t="e">
        <f>VLOOKUP(E9387,DSSpieler!A:B,2,FALSE)</f>
        <v>#N/A</v>
      </c>
    </row>
    <row r="9388" spans="1:10" x14ac:dyDescent="0.25">
      <c r="A9388">
        <v>10543</v>
      </c>
      <c r="B9388" t="s">
        <v>1932</v>
      </c>
      <c r="C9388">
        <v>571</v>
      </c>
      <c r="D9388">
        <v>430</v>
      </c>
      <c r="E9388">
        <v>1577197881</v>
      </c>
      <c r="F9388">
        <v>3812</v>
      </c>
      <c r="G9388">
        <v>0</v>
      </c>
      <c r="H9388" t="s">
        <v>14302</v>
      </c>
      <c r="I9388">
        <v>10543</v>
      </c>
      <c r="J9388" t="str">
        <f>VLOOKUP(E9388,DSSpieler!A:B,2,FALSE)</f>
        <v>HappyFisherman</v>
      </c>
    </row>
    <row r="9389" spans="1:10" x14ac:dyDescent="0.25">
      <c r="A9389">
        <v>10544</v>
      </c>
      <c r="B9389" t="s">
        <v>531</v>
      </c>
      <c r="C9389">
        <v>588</v>
      </c>
      <c r="D9389">
        <v>530</v>
      </c>
      <c r="E9389">
        <v>0</v>
      </c>
      <c r="F9389">
        <v>279</v>
      </c>
      <c r="G9389">
        <v>0</v>
      </c>
      <c r="H9389" t="s">
        <v>14303</v>
      </c>
      <c r="I9389">
        <v>10544</v>
      </c>
      <c r="J9389" t="e">
        <f>VLOOKUP(E9389,DSSpieler!A:B,2,FALSE)</f>
        <v>#N/A</v>
      </c>
    </row>
    <row r="9390" spans="1:10" x14ac:dyDescent="0.25">
      <c r="A9390">
        <v>10545</v>
      </c>
      <c r="B9390" t="s">
        <v>667</v>
      </c>
      <c r="C9390">
        <v>499</v>
      </c>
      <c r="D9390">
        <v>452</v>
      </c>
      <c r="E9390">
        <v>1577040884</v>
      </c>
      <c r="F9390">
        <v>6177</v>
      </c>
      <c r="G9390">
        <v>0</v>
      </c>
      <c r="H9390" t="s">
        <v>14304</v>
      </c>
      <c r="I9390">
        <v>10545</v>
      </c>
      <c r="J9390" t="str">
        <f>VLOOKUP(E9390,DSSpieler!A:B,2,FALSE)</f>
        <v>Walze43</v>
      </c>
    </row>
    <row r="9391" spans="1:10" x14ac:dyDescent="0.25">
      <c r="A9391">
        <v>10546</v>
      </c>
      <c r="B9391" t="s">
        <v>531</v>
      </c>
      <c r="C9391">
        <v>550</v>
      </c>
      <c r="D9391">
        <v>413</v>
      </c>
      <c r="E9391">
        <v>0</v>
      </c>
      <c r="F9391">
        <v>449</v>
      </c>
      <c r="G9391">
        <v>0</v>
      </c>
      <c r="H9391" t="s">
        <v>14305</v>
      </c>
      <c r="I9391">
        <v>10546</v>
      </c>
      <c r="J9391" t="e">
        <f>VLOOKUP(E9391,DSSpieler!A:B,2,FALSE)</f>
        <v>#N/A</v>
      </c>
    </row>
    <row r="9392" spans="1:10" x14ac:dyDescent="0.25">
      <c r="A9392">
        <v>10547</v>
      </c>
      <c r="B9392" t="e">
        <f>-2-+Alkaline08</f>
        <v>#NAME?</v>
      </c>
      <c r="C9392">
        <v>533</v>
      </c>
      <c r="D9392">
        <v>503</v>
      </c>
      <c r="E9392">
        <v>3289095</v>
      </c>
      <c r="F9392">
        <v>3238</v>
      </c>
      <c r="G9392">
        <v>0</v>
      </c>
      <c r="H9392" t="s">
        <v>14306</v>
      </c>
      <c r="I9392">
        <v>10547</v>
      </c>
      <c r="J9392" t="str">
        <f>VLOOKUP(E9392,DSSpieler!A:B,2,FALSE)</f>
        <v>john1988</v>
      </c>
    </row>
    <row r="9393" spans="1:10" x14ac:dyDescent="0.25">
      <c r="A9393">
        <v>10548</v>
      </c>
      <c r="B9393" t="s">
        <v>531</v>
      </c>
      <c r="C9393">
        <v>509</v>
      </c>
      <c r="D9393">
        <v>536</v>
      </c>
      <c r="E9393">
        <v>0</v>
      </c>
      <c r="F9393">
        <v>418</v>
      </c>
      <c r="G9393">
        <v>0</v>
      </c>
      <c r="H9393" t="s">
        <v>14307</v>
      </c>
      <c r="I9393">
        <v>10548</v>
      </c>
      <c r="J9393" t="e">
        <f>VLOOKUP(E9393,DSSpieler!A:B,2,FALSE)</f>
        <v>#N/A</v>
      </c>
    </row>
    <row r="9394" spans="1:10" x14ac:dyDescent="0.25">
      <c r="A9394">
        <v>10549</v>
      </c>
      <c r="B9394" t="s">
        <v>1933</v>
      </c>
      <c r="C9394">
        <v>587</v>
      </c>
      <c r="D9394">
        <v>547</v>
      </c>
      <c r="E9394">
        <v>1577144724</v>
      </c>
      <c r="F9394">
        <v>982</v>
      </c>
      <c r="G9394">
        <v>0</v>
      </c>
      <c r="H9394" t="s">
        <v>14308</v>
      </c>
      <c r="I9394">
        <v>10549</v>
      </c>
      <c r="J9394" t="str">
        <f>VLOOKUP(E9394,DSSpieler!A:B,2,FALSE)</f>
        <v>Condoriano</v>
      </c>
    </row>
    <row r="9395" spans="1:10" x14ac:dyDescent="0.25">
      <c r="A9395">
        <v>10550</v>
      </c>
      <c r="B9395" t="s">
        <v>33924</v>
      </c>
      <c r="C9395">
        <v>473</v>
      </c>
      <c r="D9395">
        <v>592</v>
      </c>
      <c r="E9395">
        <v>1576450468</v>
      </c>
      <c r="F9395">
        <v>5040</v>
      </c>
      <c r="G9395">
        <v>0</v>
      </c>
      <c r="H9395" t="s">
        <v>14309</v>
      </c>
      <c r="I9395">
        <v>10550</v>
      </c>
      <c r="J9395" t="str">
        <f>VLOOKUP(E9395,DSSpieler!A:B,2,FALSE)</f>
        <v>b0nes</v>
      </c>
    </row>
    <row r="9396" spans="1:10" x14ac:dyDescent="0.25">
      <c r="A9396">
        <v>10553</v>
      </c>
      <c r="B9396" t="s">
        <v>531</v>
      </c>
      <c r="C9396">
        <v>495</v>
      </c>
      <c r="D9396">
        <v>600</v>
      </c>
      <c r="E9396">
        <v>0</v>
      </c>
      <c r="F9396">
        <v>753</v>
      </c>
      <c r="G9396">
        <v>0</v>
      </c>
      <c r="H9396" t="s">
        <v>14310</v>
      </c>
      <c r="I9396">
        <v>10553</v>
      </c>
      <c r="J9396" t="e">
        <f>VLOOKUP(E9396,DSSpieler!A:B,2,FALSE)</f>
        <v>#N/A</v>
      </c>
    </row>
    <row r="9397" spans="1:10" x14ac:dyDescent="0.25">
      <c r="A9397">
        <v>10554</v>
      </c>
      <c r="B9397" t="s">
        <v>531</v>
      </c>
      <c r="C9397">
        <v>488</v>
      </c>
      <c r="D9397">
        <v>598</v>
      </c>
      <c r="E9397">
        <v>0</v>
      </c>
      <c r="F9397">
        <v>311</v>
      </c>
      <c r="G9397">
        <v>0</v>
      </c>
      <c r="H9397" t="s">
        <v>14311</v>
      </c>
      <c r="I9397">
        <v>10554</v>
      </c>
      <c r="J9397" t="e">
        <f>VLOOKUP(E9397,DSSpieler!A:B,2,FALSE)</f>
        <v>#N/A</v>
      </c>
    </row>
    <row r="9398" spans="1:10" x14ac:dyDescent="0.25">
      <c r="A9398">
        <v>10556</v>
      </c>
      <c r="B9398">
        <v>231</v>
      </c>
      <c r="C9398">
        <v>418</v>
      </c>
      <c r="D9398">
        <v>446</v>
      </c>
      <c r="E9398">
        <v>1577072096</v>
      </c>
      <c r="F9398">
        <v>4384</v>
      </c>
      <c r="G9398">
        <v>0</v>
      </c>
      <c r="H9398" t="s">
        <v>14312</v>
      </c>
      <c r="I9398">
        <v>10556</v>
      </c>
      <c r="J9398" t="str">
        <f>VLOOKUP(E9398,DSSpieler!A:B,2,FALSE)</f>
        <v>hans777</v>
      </c>
    </row>
    <row r="9399" spans="1:10" x14ac:dyDescent="0.25">
      <c r="A9399">
        <v>10557</v>
      </c>
      <c r="B9399" t="s">
        <v>531</v>
      </c>
      <c r="C9399">
        <v>495</v>
      </c>
      <c r="D9399">
        <v>602</v>
      </c>
      <c r="E9399">
        <v>0</v>
      </c>
      <c r="F9399">
        <v>269</v>
      </c>
      <c r="G9399">
        <v>0</v>
      </c>
      <c r="H9399" t="s">
        <v>14313</v>
      </c>
      <c r="I9399">
        <v>10557</v>
      </c>
      <c r="J9399" t="e">
        <f>VLOOKUP(E9399,DSSpieler!A:B,2,FALSE)</f>
        <v>#N/A</v>
      </c>
    </row>
    <row r="9400" spans="1:10" x14ac:dyDescent="0.25">
      <c r="A9400">
        <v>10558</v>
      </c>
      <c r="B9400" t="s">
        <v>531</v>
      </c>
      <c r="C9400">
        <v>495</v>
      </c>
      <c r="D9400">
        <v>604</v>
      </c>
      <c r="E9400">
        <v>0</v>
      </c>
      <c r="F9400">
        <v>314</v>
      </c>
      <c r="G9400">
        <v>0</v>
      </c>
      <c r="H9400" t="s">
        <v>14314</v>
      </c>
      <c r="I9400">
        <v>10558</v>
      </c>
      <c r="J9400" t="e">
        <f>VLOOKUP(E9400,DSSpieler!A:B,2,FALSE)</f>
        <v>#N/A</v>
      </c>
    </row>
    <row r="9401" spans="1:10" x14ac:dyDescent="0.25">
      <c r="A9401">
        <v>10559</v>
      </c>
      <c r="B9401" t="s">
        <v>1934</v>
      </c>
      <c r="C9401">
        <v>592</v>
      </c>
      <c r="D9401">
        <v>465</v>
      </c>
      <c r="E9401">
        <v>1577184792</v>
      </c>
      <c r="F9401">
        <v>275</v>
      </c>
      <c r="G9401">
        <v>0</v>
      </c>
      <c r="H9401" t="s">
        <v>14315</v>
      </c>
      <c r="I9401">
        <v>10559</v>
      </c>
      <c r="J9401" t="str">
        <f>VLOOKUP(E9401,DSSpieler!A:B,2,FALSE)</f>
        <v>L. Targaryen</v>
      </c>
    </row>
    <row r="9402" spans="1:10" x14ac:dyDescent="0.25">
      <c r="A9402">
        <v>10560</v>
      </c>
      <c r="B9402" t="s">
        <v>531</v>
      </c>
      <c r="C9402">
        <v>469</v>
      </c>
      <c r="D9402">
        <v>593</v>
      </c>
      <c r="E9402">
        <v>0</v>
      </c>
      <c r="F9402">
        <v>381</v>
      </c>
      <c r="G9402">
        <v>0</v>
      </c>
      <c r="H9402" t="s">
        <v>14316</v>
      </c>
      <c r="I9402">
        <v>10560</v>
      </c>
      <c r="J9402" t="e">
        <f>VLOOKUP(E9402,DSSpieler!A:B,2,FALSE)</f>
        <v>#N/A</v>
      </c>
    </row>
    <row r="9403" spans="1:10" x14ac:dyDescent="0.25">
      <c r="A9403">
        <v>10561</v>
      </c>
      <c r="B9403" t="s">
        <v>33925</v>
      </c>
      <c r="C9403">
        <v>419</v>
      </c>
      <c r="D9403">
        <v>564</v>
      </c>
      <c r="E9403">
        <v>9738896</v>
      </c>
      <c r="F9403">
        <v>2170</v>
      </c>
      <c r="G9403">
        <v>0</v>
      </c>
      <c r="H9403" t="s">
        <v>14317</v>
      </c>
      <c r="I9403">
        <v>10561</v>
      </c>
      <c r="J9403" t="str">
        <f>VLOOKUP(E9403,DSSpieler!A:B,2,FALSE)</f>
        <v>TomTom7777777</v>
      </c>
    </row>
    <row r="9404" spans="1:10" x14ac:dyDescent="0.25">
      <c r="A9404">
        <v>10562</v>
      </c>
      <c r="B9404" t="s">
        <v>780</v>
      </c>
      <c r="C9404">
        <v>600</v>
      </c>
      <c r="D9404">
        <v>521</v>
      </c>
      <c r="E9404">
        <v>1576341416</v>
      </c>
      <c r="F9404">
        <v>4889</v>
      </c>
      <c r="G9404">
        <v>0</v>
      </c>
      <c r="H9404" t="s">
        <v>14318</v>
      </c>
      <c r="I9404">
        <v>10562</v>
      </c>
      <c r="J9404" t="str">
        <f>VLOOKUP(E9404,DSSpieler!A:B,2,FALSE)</f>
        <v>Zahltag4u</v>
      </c>
    </row>
    <row r="9405" spans="1:10" x14ac:dyDescent="0.25">
      <c r="A9405">
        <v>10563</v>
      </c>
      <c r="B9405">
        <v>1901</v>
      </c>
      <c r="C9405">
        <v>590</v>
      </c>
      <c r="D9405">
        <v>440</v>
      </c>
      <c r="E9405">
        <v>1576728689</v>
      </c>
      <c r="F9405">
        <v>5795</v>
      </c>
      <c r="G9405">
        <v>0</v>
      </c>
      <c r="H9405" t="s">
        <v>14319</v>
      </c>
      <c r="I9405">
        <v>10563</v>
      </c>
      <c r="J9405" t="str">
        <f>VLOOKUP(E9405,DSSpieler!A:B,2,FALSE)</f>
        <v>KingKlooz</v>
      </c>
    </row>
    <row r="9406" spans="1:10" x14ac:dyDescent="0.25">
      <c r="A9406">
        <v>10564</v>
      </c>
      <c r="B9406" t="s">
        <v>531</v>
      </c>
      <c r="C9406">
        <v>404</v>
      </c>
      <c r="D9406">
        <v>530</v>
      </c>
      <c r="E9406">
        <v>0</v>
      </c>
      <c r="F9406">
        <v>681</v>
      </c>
      <c r="G9406">
        <v>0</v>
      </c>
      <c r="H9406" t="s">
        <v>14320</v>
      </c>
      <c r="I9406">
        <v>10564</v>
      </c>
      <c r="J9406" t="e">
        <f>VLOOKUP(E9406,DSSpieler!A:B,2,FALSE)</f>
        <v>#N/A</v>
      </c>
    </row>
    <row r="9407" spans="1:10" x14ac:dyDescent="0.25">
      <c r="A9407">
        <v>10565</v>
      </c>
      <c r="B9407" t="s">
        <v>1935</v>
      </c>
      <c r="C9407">
        <v>443</v>
      </c>
      <c r="D9407">
        <v>425</v>
      </c>
      <c r="E9407">
        <v>1577186017</v>
      </c>
      <c r="F9407">
        <v>5315</v>
      </c>
      <c r="G9407">
        <v>0</v>
      </c>
      <c r="H9407" t="s">
        <v>14321</v>
      </c>
      <c r="I9407">
        <v>10565</v>
      </c>
      <c r="J9407" t="str">
        <f>VLOOKUP(E9407,DSSpieler!A:B,2,FALSE)</f>
        <v>HerrVomBerg</v>
      </c>
    </row>
    <row r="9408" spans="1:10" x14ac:dyDescent="0.25">
      <c r="A9408">
        <v>10566</v>
      </c>
      <c r="B9408" t="s">
        <v>1936</v>
      </c>
      <c r="C9408">
        <v>414</v>
      </c>
      <c r="D9408">
        <v>554</v>
      </c>
      <c r="E9408">
        <v>1577180228</v>
      </c>
      <c r="F9408">
        <v>4588</v>
      </c>
      <c r="G9408">
        <v>0</v>
      </c>
      <c r="H9408" t="s">
        <v>14322</v>
      </c>
      <c r="I9408">
        <v>10566</v>
      </c>
      <c r="J9408" t="str">
        <f>VLOOKUP(E9408,DSSpieler!A:B,2,FALSE)</f>
        <v>YottwaldAG</v>
      </c>
    </row>
    <row r="9409" spans="1:10" x14ac:dyDescent="0.25">
      <c r="A9409">
        <v>10567</v>
      </c>
      <c r="B9409" t="s">
        <v>33926</v>
      </c>
      <c r="C9409">
        <v>494</v>
      </c>
      <c r="D9409">
        <v>551</v>
      </c>
      <c r="E9409">
        <v>1577184638</v>
      </c>
      <c r="F9409">
        <v>6934</v>
      </c>
      <c r="G9409">
        <v>0</v>
      </c>
      <c r="H9409" t="s">
        <v>14323</v>
      </c>
      <c r="I9409">
        <v>10567</v>
      </c>
      <c r="J9409" t="str">
        <f>VLOOKUP(E9409,DSSpieler!A:B,2,FALSE)</f>
        <v>filme</v>
      </c>
    </row>
    <row r="9410" spans="1:10" x14ac:dyDescent="0.25">
      <c r="A9410">
        <v>10569</v>
      </c>
      <c r="B9410" t="s">
        <v>1937</v>
      </c>
      <c r="C9410">
        <v>587</v>
      </c>
      <c r="D9410">
        <v>520</v>
      </c>
      <c r="E9410">
        <v>1577196879</v>
      </c>
      <c r="F9410">
        <v>4775</v>
      </c>
      <c r="G9410">
        <v>0</v>
      </c>
      <c r="H9410" t="s">
        <v>14324</v>
      </c>
      <c r="I9410">
        <v>10569</v>
      </c>
      <c r="J9410" t="str">
        <f>VLOOKUP(E9410,DSSpieler!A:B,2,FALSE)</f>
        <v>BraznRagnor</v>
      </c>
    </row>
    <row r="9411" spans="1:10" x14ac:dyDescent="0.25">
      <c r="A9411">
        <v>10570</v>
      </c>
      <c r="B9411" t="s">
        <v>710</v>
      </c>
      <c r="C9411">
        <v>583</v>
      </c>
      <c r="D9411">
        <v>440</v>
      </c>
      <c r="E9411">
        <v>1576947159</v>
      </c>
      <c r="F9411">
        <v>4199</v>
      </c>
      <c r="G9411">
        <v>0</v>
      </c>
      <c r="H9411" t="s">
        <v>14325</v>
      </c>
      <c r="I9411">
        <v>10570</v>
      </c>
      <c r="J9411" t="str">
        <f>VLOOKUP(E9411,DSSpieler!A:B,2,FALSE)</f>
        <v>TodescooI</v>
      </c>
    </row>
    <row r="9412" spans="1:10" x14ac:dyDescent="0.25">
      <c r="A9412">
        <v>10571</v>
      </c>
      <c r="B9412" t="s">
        <v>33927</v>
      </c>
      <c r="C9412">
        <v>480</v>
      </c>
      <c r="D9412">
        <v>598</v>
      </c>
      <c r="E9412">
        <v>1577176518</v>
      </c>
      <c r="F9412">
        <v>7333</v>
      </c>
      <c r="G9412">
        <v>0</v>
      </c>
      <c r="H9412" t="s">
        <v>14326</v>
      </c>
      <c r="I9412">
        <v>10571</v>
      </c>
      <c r="J9412" t="str">
        <f>VLOOKUP(E9412,DSSpieler!A:B,2,FALSE)</f>
        <v>Alsazar</v>
      </c>
    </row>
    <row r="9413" spans="1:10" x14ac:dyDescent="0.25">
      <c r="A9413">
        <v>10572</v>
      </c>
      <c r="B9413" t="s">
        <v>33928</v>
      </c>
      <c r="C9413">
        <v>512</v>
      </c>
      <c r="D9413">
        <v>609</v>
      </c>
      <c r="E9413">
        <v>8359919</v>
      </c>
      <c r="F9413">
        <v>2684</v>
      </c>
      <c r="G9413">
        <v>0</v>
      </c>
      <c r="H9413" t="s">
        <v>14327</v>
      </c>
      <c r="I9413">
        <v>10572</v>
      </c>
      <c r="J9413" t="str">
        <f>VLOOKUP(E9413,DSSpieler!A:B,2,FALSE)</f>
        <v>LolliNWO</v>
      </c>
    </row>
    <row r="9414" spans="1:10" x14ac:dyDescent="0.25">
      <c r="A9414">
        <v>10573</v>
      </c>
      <c r="B9414" t="s">
        <v>531</v>
      </c>
      <c r="C9414">
        <v>405</v>
      </c>
      <c r="D9414">
        <v>463</v>
      </c>
      <c r="E9414">
        <v>0</v>
      </c>
      <c r="F9414">
        <v>368</v>
      </c>
      <c r="G9414">
        <v>0</v>
      </c>
      <c r="H9414" t="s">
        <v>14328</v>
      </c>
      <c r="I9414">
        <v>10573</v>
      </c>
      <c r="J9414" t="e">
        <f>VLOOKUP(E9414,DSSpieler!A:B,2,FALSE)</f>
        <v>#N/A</v>
      </c>
    </row>
    <row r="9415" spans="1:10" x14ac:dyDescent="0.25">
      <c r="A9415">
        <v>10574</v>
      </c>
      <c r="B9415" t="s">
        <v>1938</v>
      </c>
      <c r="C9415">
        <v>408</v>
      </c>
      <c r="D9415">
        <v>463</v>
      </c>
      <c r="E9415">
        <v>1576594574</v>
      </c>
      <c r="F9415">
        <v>5780</v>
      </c>
      <c r="G9415">
        <v>0</v>
      </c>
      <c r="H9415" t="s">
        <v>14329</v>
      </c>
      <c r="I9415">
        <v>10574</v>
      </c>
      <c r="J9415" t="str">
        <f>VLOOKUP(E9415,DSSpieler!A:B,2,FALSE)</f>
        <v>FogDog</v>
      </c>
    </row>
    <row r="9416" spans="1:10" x14ac:dyDescent="0.25">
      <c r="A9416">
        <v>10575</v>
      </c>
      <c r="B9416" t="s">
        <v>531</v>
      </c>
      <c r="C9416">
        <v>562</v>
      </c>
      <c r="D9416">
        <v>577</v>
      </c>
      <c r="E9416">
        <v>0</v>
      </c>
      <c r="F9416">
        <v>236</v>
      </c>
      <c r="G9416">
        <v>0</v>
      </c>
      <c r="H9416" t="s">
        <v>14330</v>
      </c>
      <c r="I9416">
        <v>10575</v>
      </c>
      <c r="J9416" t="e">
        <f>VLOOKUP(E9416,DSSpieler!A:B,2,FALSE)</f>
        <v>#N/A</v>
      </c>
    </row>
    <row r="9417" spans="1:10" x14ac:dyDescent="0.25">
      <c r="A9417">
        <v>10576</v>
      </c>
      <c r="B9417" t="s">
        <v>531</v>
      </c>
      <c r="C9417">
        <v>537</v>
      </c>
      <c r="D9417">
        <v>587</v>
      </c>
      <c r="E9417">
        <v>0</v>
      </c>
      <c r="F9417">
        <v>407</v>
      </c>
      <c r="G9417">
        <v>0</v>
      </c>
      <c r="H9417" t="s">
        <v>14331</v>
      </c>
      <c r="I9417">
        <v>10576</v>
      </c>
      <c r="J9417" t="e">
        <f>VLOOKUP(E9417,DSSpieler!A:B,2,FALSE)</f>
        <v>#N/A</v>
      </c>
    </row>
    <row r="9418" spans="1:10" x14ac:dyDescent="0.25">
      <c r="A9418">
        <v>10577</v>
      </c>
      <c r="B9418" t="s">
        <v>531</v>
      </c>
      <c r="C9418">
        <v>600</v>
      </c>
      <c r="D9418">
        <v>492</v>
      </c>
      <c r="E9418">
        <v>0</v>
      </c>
      <c r="F9418">
        <v>433</v>
      </c>
      <c r="G9418">
        <v>0</v>
      </c>
      <c r="H9418" t="s">
        <v>14332</v>
      </c>
      <c r="I9418">
        <v>10577</v>
      </c>
      <c r="J9418" t="e">
        <f>VLOOKUP(E9418,DSSpieler!A:B,2,FALSE)</f>
        <v>#N/A</v>
      </c>
    </row>
    <row r="9419" spans="1:10" x14ac:dyDescent="0.25">
      <c r="A9419">
        <v>10578</v>
      </c>
      <c r="B9419" t="s">
        <v>33929</v>
      </c>
      <c r="C9419">
        <v>585</v>
      </c>
      <c r="D9419">
        <v>438</v>
      </c>
      <c r="E9419">
        <v>1576910880</v>
      </c>
      <c r="F9419">
        <v>4647</v>
      </c>
      <c r="G9419">
        <v>0</v>
      </c>
      <c r="H9419" t="s">
        <v>14333</v>
      </c>
      <c r="I9419">
        <v>10578</v>
      </c>
      <c r="J9419" t="str">
        <f>VLOOKUP(E9419,DSSpieler!A:B,2,FALSE)</f>
        <v>Quarantino*</v>
      </c>
    </row>
    <row r="9420" spans="1:10" x14ac:dyDescent="0.25">
      <c r="A9420">
        <v>10580</v>
      </c>
      <c r="B9420" t="s">
        <v>33930</v>
      </c>
      <c r="C9420">
        <v>581</v>
      </c>
      <c r="D9420">
        <v>444</v>
      </c>
      <c r="E9420">
        <v>8179590</v>
      </c>
      <c r="F9420">
        <v>5079</v>
      </c>
      <c r="G9420">
        <v>0</v>
      </c>
      <c r="H9420" t="s">
        <v>14334</v>
      </c>
      <c r="I9420">
        <v>10580</v>
      </c>
      <c r="J9420" t="str">
        <f>VLOOKUP(E9420,DSSpieler!A:B,2,FALSE)</f>
        <v>-Lutschdn?</v>
      </c>
    </row>
    <row r="9421" spans="1:10" x14ac:dyDescent="0.25">
      <c r="A9421">
        <v>10581</v>
      </c>
      <c r="B9421" t="s">
        <v>531</v>
      </c>
      <c r="C9421">
        <v>514</v>
      </c>
      <c r="D9421">
        <v>402</v>
      </c>
      <c r="E9421">
        <v>0</v>
      </c>
      <c r="F9421">
        <v>240</v>
      </c>
      <c r="G9421">
        <v>0</v>
      </c>
      <c r="H9421" t="s">
        <v>14335</v>
      </c>
      <c r="I9421">
        <v>10581</v>
      </c>
      <c r="J9421" t="e">
        <f>VLOOKUP(E9421,DSSpieler!A:B,2,FALSE)</f>
        <v>#N/A</v>
      </c>
    </row>
    <row r="9422" spans="1:10" x14ac:dyDescent="0.25">
      <c r="A9422">
        <v>10582</v>
      </c>
      <c r="B9422" t="s">
        <v>1939</v>
      </c>
      <c r="C9422">
        <v>586</v>
      </c>
      <c r="D9422">
        <v>438</v>
      </c>
      <c r="E9422">
        <v>1577197559</v>
      </c>
      <c r="F9422">
        <v>4819</v>
      </c>
      <c r="G9422">
        <v>0</v>
      </c>
      <c r="H9422" t="s">
        <v>14336</v>
      </c>
      <c r="I9422">
        <v>10582</v>
      </c>
      <c r="J9422" t="str">
        <f>VLOOKUP(E9422,DSSpieler!A:B,2,FALSE)</f>
        <v>Amaterasu-o-mi-kami</v>
      </c>
    </row>
    <row r="9423" spans="1:10" x14ac:dyDescent="0.25">
      <c r="A9423">
        <v>10583</v>
      </c>
      <c r="B9423" t="s">
        <v>531</v>
      </c>
      <c r="C9423">
        <v>597</v>
      </c>
      <c r="D9423">
        <v>493</v>
      </c>
      <c r="E9423">
        <v>0</v>
      </c>
      <c r="F9423">
        <v>303</v>
      </c>
      <c r="G9423">
        <v>0</v>
      </c>
      <c r="H9423" t="s">
        <v>14337</v>
      </c>
      <c r="I9423">
        <v>10583</v>
      </c>
      <c r="J9423" t="e">
        <f>VLOOKUP(E9423,DSSpieler!A:B,2,FALSE)</f>
        <v>#N/A</v>
      </c>
    </row>
    <row r="9424" spans="1:10" x14ac:dyDescent="0.25">
      <c r="A9424">
        <v>10584</v>
      </c>
      <c r="B9424" t="s">
        <v>33931</v>
      </c>
      <c r="C9424">
        <v>462</v>
      </c>
      <c r="D9424">
        <v>407</v>
      </c>
      <c r="E9424">
        <v>672044</v>
      </c>
      <c r="F9424">
        <v>5176</v>
      </c>
      <c r="G9424">
        <v>0</v>
      </c>
      <c r="H9424" t="s">
        <v>14338</v>
      </c>
      <c r="I9424">
        <v>10584</v>
      </c>
      <c r="J9424" t="str">
        <f>VLOOKUP(E9424,DSSpieler!A:B,2,FALSE)</f>
        <v>die böse Gabi</v>
      </c>
    </row>
    <row r="9425" spans="1:10" x14ac:dyDescent="0.25">
      <c r="A9425">
        <v>10585</v>
      </c>
      <c r="B9425" t="s">
        <v>531</v>
      </c>
      <c r="C9425">
        <v>478</v>
      </c>
      <c r="D9425">
        <v>401</v>
      </c>
      <c r="E9425">
        <v>0</v>
      </c>
      <c r="F9425">
        <v>296</v>
      </c>
      <c r="G9425">
        <v>0</v>
      </c>
      <c r="H9425" t="s">
        <v>14339</v>
      </c>
      <c r="I9425">
        <v>10585</v>
      </c>
      <c r="J9425" t="e">
        <f>VLOOKUP(E9425,DSSpieler!A:B,2,FALSE)</f>
        <v>#N/A</v>
      </c>
    </row>
    <row r="9426" spans="1:10" x14ac:dyDescent="0.25">
      <c r="A9426">
        <v>10586</v>
      </c>
      <c r="B9426" t="s">
        <v>1769</v>
      </c>
      <c r="C9426">
        <v>482</v>
      </c>
      <c r="D9426">
        <v>493</v>
      </c>
      <c r="E9426">
        <v>1577075103</v>
      </c>
      <c r="F9426">
        <v>4313</v>
      </c>
      <c r="G9426">
        <v>0</v>
      </c>
      <c r="H9426" t="s">
        <v>14340</v>
      </c>
      <c r="I9426">
        <v>10586</v>
      </c>
      <c r="J9426" t="str">
        <f>VLOOKUP(E9426,DSSpieler!A:B,2,FALSE)</f>
        <v>TopalOsman</v>
      </c>
    </row>
    <row r="9427" spans="1:10" x14ac:dyDescent="0.25">
      <c r="A9427">
        <v>10587</v>
      </c>
      <c r="B9427" t="s">
        <v>531</v>
      </c>
      <c r="C9427">
        <v>518</v>
      </c>
      <c r="D9427">
        <v>596</v>
      </c>
      <c r="E9427">
        <v>1577198435</v>
      </c>
      <c r="F9427">
        <v>5713</v>
      </c>
      <c r="G9427">
        <v>0</v>
      </c>
      <c r="H9427" t="s">
        <v>14341</v>
      </c>
      <c r="I9427">
        <v>10587</v>
      </c>
      <c r="J9427" t="str">
        <f>VLOOKUP(E9427,DSSpieler!A:B,2,FALSE)</f>
        <v>redien</v>
      </c>
    </row>
    <row r="9428" spans="1:10" x14ac:dyDescent="0.25">
      <c r="A9428">
        <v>10588</v>
      </c>
      <c r="B9428" t="s">
        <v>660</v>
      </c>
      <c r="C9428">
        <v>443</v>
      </c>
      <c r="D9428">
        <v>584</v>
      </c>
      <c r="E9428">
        <v>3175402</v>
      </c>
      <c r="F9428">
        <v>3130</v>
      </c>
      <c r="G9428">
        <v>0</v>
      </c>
      <c r="H9428" t="s">
        <v>14342</v>
      </c>
      <c r="I9428">
        <v>10588</v>
      </c>
      <c r="J9428" t="str">
        <f>VLOOKUP(E9428,DSSpieler!A:B,2,FALSE)</f>
        <v>*AcEDrink*</v>
      </c>
    </row>
    <row r="9429" spans="1:10" x14ac:dyDescent="0.25">
      <c r="A9429">
        <v>10589</v>
      </c>
      <c r="B9429" t="s">
        <v>33932</v>
      </c>
      <c r="C9429">
        <v>463</v>
      </c>
      <c r="D9429">
        <v>405</v>
      </c>
      <c r="E9429">
        <v>672044</v>
      </c>
      <c r="F9429">
        <v>514</v>
      </c>
      <c r="G9429">
        <v>0</v>
      </c>
      <c r="H9429" t="s">
        <v>14343</v>
      </c>
      <c r="I9429">
        <v>10589</v>
      </c>
      <c r="J9429" t="str">
        <f>VLOOKUP(E9429,DSSpieler!A:B,2,FALSE)</f>
        <v>die böse Gabi</v>
      </c>
    </row>
    <row r="9430" spans="1:10" x14ac:dyDescent="0.25">
      <c r="A9430">
        <v>10590</v>
      </c>
      <c r="B9430" t="s">
        <v>531</v>
      </c>
      <c r="C9430">
        <v>429</v>
      </c>
      <c r="D9430">
        <v>426</v>
      </c>
      <c r="E9430">
        <v>0</v>
      </c>
      <c r="F9430">
        <v>236</v>
      </c>
      <c r="G9430">
        <v>0</v>
      </c>
      <c r="H9430" t="s">
        <v>14344</v>
      </c>
      <c r="I9430">
        <v>10590</v>
      </c>
      <c r="J9430" t="e">
        <f>VLOOKUP(E9430,DSSpieler!A:B,2,FALSE)</f>
        <v>#N/A</v>
      </c>
    </row>
    <row r="9431" spans="1:10" x14ac:dyDescent="0.25">
      <c r="A9431">
        <v>10592</v>
      </c>
      <c r="B9431" t="s">
        <v>780</v>
      </c>
      <c r="C9431">
        <v>607</v>
      </c>
      <c r="D9431">
        <v>511</v>
      </c>
      <c r="E9431">
        <v>1577177113</v>
      </c>
      <c r="F9431">
        <v>6011</v>
      </c>
      <c r="G9431">
        <v>0</v>
      </c>
      <c r="H9431" t="s">
        <v>14345</v>
      </c>
      <c r="I9431">
        <v>10592</v>
      </c>
      <c r="J9431" t="str">
        <f>VLOOKUP(E9431,DSSpieler!A:B,2,FALSE)</f>
        <v>Bulk Biceps</v>
      </c>
    </row>
    <row r="9432" spans="1:10" x14ac:dyDescent="0.25">
      <c r="A9432">
        <v>10593</v>
      </c>
      <c r="B9432" t="s">
        <v>531</v>
      </c>
      <c r="C9432">
        <v>408</v>
      </c>
      <c r="D9432">
        <v>455</v>
      </c>
      <c r="E9432">
        <v>0</v>
      </c>
      <c r="F9432">
        <v>1232</v>
      </c>
      <c r="G9432">
        <v>0</v>
      </c>
      <c r="H9432" t="s">
        <v>14346</v>
      </c>
      <c r="I9432">
        <v>10593</v>
      </c>
      <c r="J9432" t="e">
        <f>VLOOKUP(E9432,DSSpieler!A:B,2,FALSE)</f>
        <v>#N/A</v>
      </c>
    </row>
    <row r="9433" spans="1:10" x14ac:dyDescent="0.25">
      <c r="A9433">
        <v>10594</v>
      </c>
      <c r="B9433">
        <v>3</v>
      </c>
      <c r="C9433">
        <v>402</v>
      </c>
      <c r="D9433">
        <v>493</v>
      </c>
      <c r="E9433">
        <v>9642632</v>
      </c>
      <c r="F9433">
        <v>2599</v>
      </c>
      <c r="G9433">
        <v>0</v>
      </c>
      <c r="H9433" t="s">
        <v>14347</v>
      </c>
      <c r="I9433">
        <v>10594</v>
      </c>
      <c r="J9433" t="str">
        <f>VLOOKUP(E9433,DSSpieler!A:B,2,FALSE)</f>
        <v>Micha041</v>
      </c>
    </row>
    <row r="9434" spans="1:10" x14ac:dyDescent="0.25">
      <c r="A9434">
        <v>10595</v>
      </c>
      <c r="B9434" t="s">
        <v>531</v>
      </c>
      <c r="C9434">
        <v>402</v>
      </c>
      <c r="D9434">
        <v>470</v>
      </c>
      <c r="E9434">
        <v>0</v>
      </c>
      <c r="F9434">
        <v>364</v>
      </c>
      <c r="G9434">
        <v>0</v>
      </c>
      <c r="H9434" t="s">
        <v>14348</v>
      </c>
      <c r="I9434">
        <v>10595</v>
      </c>
      <c r="J9434" t="e">
        <f>VLOOKUP(E9434,DSSpieler!A:B,2,FALSE)</f>
        <v>#N/A</v>
      </c>
    </row>
    <row r="9435" spans="1:10" x14ac:dyDescent="0.25">
      <c r="A9435">
        <v>10596</v>
      </c>
      <c r="B9435" t="s">
        <v>33933</v>
      </c>
      <c r="C9435">
        <v>402</v>
      </c>
      <c r="D9435">
        <v>507</v>
      </c>
      <c r="E9435">
        <v>1577159147</v>
      </c>
      <c r="F9435">
        <v>1507</v>
      </c>
      <c r="G9435">
        <v>0</v>
      </c>
      <c r="H9435" t="s">
        <v>14349</v>
      </c>
      <c r="I9435">
        <v>10596</v>
      </c>
      <c r="J9435" t="str">
        <f>VLOOKUP(E9435,DSSpieler!A:B,2,FALSE)</f>
        <v>rallef69</v>
      </c>
    </row>
    <row r="9436" spans="1:10" x14ac:dyDescent="0.25">
      <c r="A9436">
        <v>10597</v>
      </c>
      <c r="B9436" t="s">
        <v>33934</v>
      </c>
      <c r="C9436">
        <v>411</v>
      </c>
      <c r="D9436">
        <v>550</v>
      </c>
      <c r="E9436">
        <v>1577182941</v>
      </c>
      <c r="F9436">
        <v>4945</v>
      </c>
      <c r="G9436">
        <v>0</v>
      </c>
      <c r="H9436" t="s">
        <v>14350</v>
      </c>
      <c r="I9436">
        <v>10597</v>
      </c>
      <c r="J9436" t="str">
        <f>VLOOKUP(E9436,DSSpieler!A:B,2,FALSE)</f>
        <v>Daniel47</v>
      </c>
    </row>
    <row r="9437" spans="1:10" x14ac:dyDescent="0.25">
      <c r="A9437">
        <v>10598</v>
      </c>
      <c r="B9437" t="s">
        <v>531</v>
      </c>
      <c r="C9437">
        <v>543</v>
      </c>
      <c r="D9437">
        <v>408</v>
      </c>
      <c r="E9437">
        <v>0</v>
      </c>
      <c r="F9437">
        <v>381</v>
      </c>
      <c r="G9437">
        <v>0</v>
      </c>
      <c r="H9437" t="s">
        <v>14351</v>
      </c>
      <c r="I9437">
        <v>10598</v>
      </c>
      <c r="J9437" t="e">
        <f>VLOOKUP(E9437,DSSpieler!A:B,2,FALSE)</f>
        <v>#N/A</v>
      </c>
    </row>
    <row r="9438" spans="1:10" x14ac:dyDescent="0.25">
      <c r="A9438">
        <v>10599</v>
      </c>
      <c r="B9438" t="s">
        <v>33935</v>
      </c>
      <c r="C9438">
        <v>598</v>
      </c>
      <c r="D9438">
        <v>510</v>
      </c>
      <c r="E9438">
        <v>1547124</v>
      </c>
      <c r="F9438">
        <v>1733</v>
      </c>
      <c r="G9438">
        <v>0</v>
      </c>
      <c r="H9438" t="s">
        <v>14352</v>
      </c>
      <c r="I9438">
        <v>10599</v>
      </c>
      <c r="J9438" t="str">
        <f>VLOOKUP(E9438,DSSpieler!A:B,2,FALSE)</f>
        <v>HijaDelFuego</v>
      </c>
    </row>
    <row r="9439" spans="1:10" x14ac:dyDescent="0.25">
      <c r="A9439">
        <v>10600</v>
      </c>
      <c r="B9439" t="s">
        <v>1940</v>
      </c>
      <c r="C9439">
        <v>463</v>
      </c>
      <c r="D9439">
        <v>500</v>
      </c>
      <c r="E9439">
        <v>1577180658</v>
      </c>
      <c r="F9439">
        <v>5066</v>
      </c>
      <c r="G9439">
        <v>0</v>
      </c>
      <c r="H9439" t="s">
        <v>14353</v>
      </c>
      <c r="I9439">
        <v>10600</v>
      </c>
      <c r="J9439" t="str">
        <f>VLOOKUP(E9439,DSSpieler!A:B,2,FALSE)</f>
        <v>Pitbull170519</v>
      </c>
    </row>
    <row r="9440" spans="1:10" x14ac:dyDescent="0.25">
      <c r="A9440">
        <v>10601</v>
      </c>
      <c r="B9440" t="s">
        <v>33936</v>
      </c>
      <c r="C9440">
        <v>593</v>
      </c>
      <c r="D9440">
        <v>463</v>
      </c>
      <c r="E9440">
        <v>1576749432</v>
      </c>
      <c r="F9440">
        <v>2269</v>
      </c>
      <c r="G9440">
        <v>0</v>
      </c>
      <c r="H9440" t="s">
        <v>14354</v>
      </c>
      <c r="I9440">
        <v>10601</v>
      </c>
      <c r="J9440" t="str">
        <f>VLOOKUP(E9440,DSSpieler!A:B,2,FALSE)</f>
        <v>erdush97</v>
      </c>
    </row>
    <row r="9441" spans="1:10" x14ac:dyDescent="0.25">
      <c r="A9441">
        <v>10602</v>
      </c>
      <c r="B9441" t="s">
        <v>531</v>
      </c>
      <c r="C9441">
        <v>414</v>
      </c>
      <c r="D9441">
        <v>449</v>
      </c>
      <c r="E9441">
        <v>0</v>
      </c>
      <c r="F9441">
        <v>802</v>
      </c>
      <c r="G9441">
        <v>0</v>
      </c>
      <c r="H9441" t="s">
        <v>14355</v>
      </c>
      <c r="I9441">
        <v>10602</v>
      </c>
      <c r="J9441" t="e">
        <f>VLOOKUP(E9441,DSSpieler!A:B,2,FALSE)</f>
        <v>#N/A</v>
      </c>
    </row>
    <row r="9442" spans="1:10" x14ac:dyDescent="0.25">
      <c r="A9442">
        <v>10603</v>
      </c>
      <c r="B9442" t="s">
        <v>33937</v>
      </c>
      <c r="C9442">
        <v>418</v>
      </c>
      <c r="D9442">
        <v>463</v>
      </c>
      <c r="E9442">
        <v>1577198524</v>
      </c>
      <c r="F9442">
        <v>5857</v>
      </c>
      <c r="G9442">
        <v>0</v>
      </c>
      <c r="H9442" t="s">
        <v>14356</v>
      </c>
      <c r="I9442">
        <v>10603</v>
      </c>
      <c r="J9442" t="str">
        <f>VLOOKUP(E9442,DSSpieler!A:B,2,FALSE)</f>
        <v>Kingcrog</v>
      </c>
    </row>
    <row r="9443" spans="1:10" x14ac:dyDescent="0.25">
      <c r="A9443">
        <v>10604</v>
      </c>
      <c r="B9443" t="s">
        <v>33938</v>
      </c>
      <c r="C9443">
        <v>503</v>
      </c>
      <c r="D9443">
        <v>398</v>
      </c>
      <c r="E9443">
        <v>1577188929</v>
      </c>
      <c r="F9443">
        <v>2218</v>
      </c>
      <c r="G9443">
        <v>0</v>
      </c>
      <c r="H9443" t="s">
        <v>14357</v>
      </c>
      <c r="I9443">
        <v>10604</v>
      </c>
      <c r="J9443" t="str">
        <f>VLOOKUP(E9443,DSSpieler!A:B,2,FALSE)</f>
        <v>KingKoblini</v>
      </c>
    </row>
    <row r="9444" spans="1:10" x14ac:dyDescent="0.25">
      <c r="A9444">
        <v>10605</v>
      </c>
      <c r="B9444" t="s">
        <v>1941</v>
      </c>
      <c r="C9444">
        <v>442</v>
      </c>
      <c r="D9444">
        <v>584</v>
      </c>
      <c r="E9444">
        <v>1577190223</v>
      </c>
      <c r="F9444">
        <v>2970</v>
      </c>
      <c r="G9444">
        <v>0</v>
      </c>
      <c r="H9444" t="s">
        <v>14358</v>
      </c>
      <c r="I9444">
        <v>10605</v>
      </c>
      <c r="J9444" t="str">
        <f>VLOOKUP(E9444,DSSpieler!A:B,2,FALSE)</f>
        <v>Tribal Maze</v>
      </c>
    </row>
    <row r="9445" spans="1:10" x14ac:dyDescent="0.25">
      <c r="A9445">
        <v>10606</v>
      </c>
      <c r="B9445" t="s">
        <v>531</v>
      </c>
      <c r="C9445">
        <v>506</v>
      </c>
      <c r="D9445">
        <v>612</v>
      </c>
      <c r="E9445">
        <v>0</v>
      </c>
      <c r="F9445">
        <v>1265</v>
      </c>
      <c r="G9445">
        <v>0</v>
      </c>
      <c r="H9445" t="s">
        <v>14359</v>
      </c>
      <c r="I9445">
        <v>10606</v>
      </c>
      <c r="J9445" t="e">
        <f>VLOOKUP(E9445,DSSpieler!A:B,2,FALSE)</f>
        <v>#N/A</v>
      </c>
    </row>
    <row r="9446" spans="1:10" x14ac:dyDescent="0.25">
      <c r="A9446">
        <v>10607</v>
      </c>
      <c r="B9446" t="s">
        <v>531</v>
      </c>
      <c r="C9446">
        <v>432</v>
      </c>
      <c r="D9446">
        <v>577</v>
      </c>
      <c r="E9446">
        <v>0</v>
      </c>
      <c r="F9446">
        <v>228</v>
      </c>
      <c r="G9446">
        <v>0</v>
      </c>
      <c r="H9446" t="s">
        <v>14360</v>
      </c>
      <c r="I9446">
        <v>10607</v>
      </c>
      <c r="J9446" t="e">
        <f>VLOOKUP(E9446,DSSpieler!A:B,2,FALSE)</f>
        <v>#N/A</v>
      </c>
    </row>
    <row r="9447" spans="1:10" x14ac:dyDescent="0.25">
      <c r="A9447">
        <v>10608</v>
      </c>
      <c r="B9447" t="s">
        <v>33939</v>
      </c>
      <c r="C9447">
        <v>416</v>
      </c>
      <c r="D9447">
        <v>556</v>
      </c>
      <c r="E9447">
        <v>1577198526</v>
      </c>
      <c r="F9447">
        <v>4796</v>
      </c>
      <c r="G9447">
        <v>0</v>
      </c>
      <c r="H9447" t="s">
        <v>14361</v>
      </c>
      <c r="I9447">
        <v>10608</v>
      </c>
      <c r="J9447" t="str">
        <f>VLOOKUP(E9447,DSSpieler!A:B,2,FALSE)</f>
        <v>Sheribaaam</v>
      </c>
    </row>
    <row r="9448" spans="1:10" x14ac:dyDescent="0.25">
      <c r="A9448">
        <v>10609</v>
      </c>
      <c r="B9448" t="s">
        <v>531</v>
      </c>
      <c r="C9448">
        <v>572</v>
      </c>
      <c r="D9448">
        <v>433</v>
      </c>
      <c r="E9448">
        <v>0</v>
      </c>
      <c r="F9448">
        <v>386</v>
      </c>
      <c r="G9448">
        <v>0</v>
      </c>
      <c r="H9448" t="s">
        <v>14362</v>
      </c>
      <c r="I9448">
        <v>10609</v>
      </c>
      <c r="J9448" t="e">
        <f>VLOOKUP(E9448,DSSpieler!A:B,2,FALSE)</f>
        <v>#N/A</v>
      </c>
    </row>
    <row r="9449" spans="1:10" x14ac:dyDescent="0.25">
      <c r="A9449">
        <v>10610</v>
      </c>
      <c r="B9449" t="s">
        <v>31024</v>
      </c>
      <c r="C9449">
        <v>429</v>
      </c>
      <c r="D9449">
        <v>573</v>
      </c>
      <c r="E9449">
        <v>1576083107</v>
      </c>
      <c r="F9449">
        <v>6489</v>
      </c>
      <c r="G9449">
        <v>0</v>
      </c>
      <c r="H9449" t="s">
        <v>14363</v>
      </c>
      <c r="I9449">
        <v>10610</v>
      </c>
      <c r="J9449" t="str">
        <f>VLOOKUP(E9449,DSSpieler!A:B,2,FALSE)</f>
        <v>Lord Newcastle</v>
      </c>
    </row>
    <row r="9450" spans="1:10" x14ac:dyDescent="0.25">
      <c r="A9450">
        <v>10611</v>
      </c>
      <c r="B9450" t="s">
        <v>531</v>
      </c>
      <c r="C9450">
        <v>599</v>
      </c>
      <c r="D9450">
        <v>511</v>
      </c>
      <c r="E9450">
        <v>0</v>
      </c>
      <c r="F9450">
        <v>243</v>
      </c>
      <c r="G9450">
        <v>0</v>
      </c>
      <c r="H9450" t="s">
        <v>14364</v>
      </c>
      <c r="I9450">
        <v>10611</v>
      </c>
      <c r="J9450" t="e">
        <f>VLOOKUP(E9450,DSSpieler!A:B,2,FALSE)</f>
        <v>#N/A</v>
      </c>
    </row>
    <row r="9451" spans="1:10" x14ac:dyDescent="0.25">
      <c r="A9451">
        <v>10614</v>
      </c>
      <c r="B9451" t="s">
        <v>1056</v>
      </c>
      <c r="C9451">
        <v>539</v>
      </c>
      <c r="D9451">
        <v>592</v>
      </c>
      <c r="E9451">
        <v>1576818468</v>
      </c>
      <c r="F9451">
        <v>4331</v>
      </c>
      <c r="G9451">
        <v>0</v>
      </c>
      <c r="H9451" t="s">
        <v>14365</v>
      </c>
      <c r="I9451">
        <v>10614</v>
      </c>
      <c r="J9451" t="str">
        <f>VLOOKUP(E9451,DSSpieler!A:B,2,FALSE)</f>
        <v>Bahlin</v>
      </c>
    </row>
    <row r="9452" spans="1:10" x14ac:dyDescent="0.25">
      <c r="A9452">
        <v>10615</v>
      </c>
      <c r="B9452">
        <v>100</v>
      </c>
      <c r="C9452">
        <v>444</v>
      </c>
      <c r="D9452">
        <v>585</v>
      </c>
      <c r="E9452">
        <v>1941704</v>
      </c>
      <c r="F9452">
        <v>4002</v>
      </c>
      <c r="G9452">
        <v>0</v>
      </c>
      <c r="H9452" t="s">
        <v>14366</v>
      </c>
      <c r="I9452">
        <v>10615</v>
      </c>
      <c r="J9452" t="str">
        <f>VLOOKUP(E9452,DSSpieler!A:B,2,FALSE)</f>
        <v>jonas-97</v>
      </c>
    </row>
    <row r="9453" spans="1:10" x14ac:dyDescent="0.25">
      <c r="A9453">
        <v>10616</v>
      </c>
      <c r="B9453" t="s">
        <v>1942</v>
      </c>
      <c r="C9453">
        <v>456</v>
      </c>
      <c r="D9453">
        <v>408</v>
      </c>
      <c r="E9453">
        <v>1751754</v>
      </c>
      <c r="F9453">
        <v>4677</v>
      </c>
      <c r="G9453">
        <v>0</v>
      </c>
      <c r="H9453" t="s">
        <v>14367</v>
      </c>
      <c r="I9453">
        <v>10616</v>
      </c>
      <c r="J9453" t="str">
        <f>VLOOKUP(E9453,DSSpieler!A:B,2,FALSE)</f>
        <v>Moali.93</v>
      </c>
    </row>
    <row r="9454" spans="1:10" x14ac:dyDescent="0.25">
      <c r="A9454">
        <v>10617</v>
      </c>
      <c r="B9454" t="s">
        <v>30979</v>
      </c>
      <c r="C9454">
        <v>424</v>
      </c>
      <c r="D9454">
        <v>438</v>
      </c>
      <c r="E9454">
        <v>503235</v>
      </c>
      <c r="F9454">
        <v>5623</v>
      </c>
      <c r="G9454">
        <v>0</v>
      </c>
      <c r="H9454" t="s">
        <v>14368</v>
      </c>
      <c r="I9454">
        <v>10617</v>
      </c>
      <c r="J9454" t="str">
        <f>VLOOKUP(E9454,DSSpieler!A:B,2,FALSE)</f>
        <v>TizianW</v>
      </c>
    </row>
    <row r="9455" spans="1:10" x14ac:dyDescent="0.25">
      <c r="A9455">
        <v>10618</v>
      </c>
      <c r="B9455" t="s">
        <v>33940</v>
      </c>
      <c r="C9455">
        <v>565</v>
      </c>
      <c r="D9455">
        <v>584</v>
      </c>
      <c r="E9455">
        <v>1577190171</v>
      </c>
      <c r="F9455">
        <v>6086</v>
      </c>
      <c r="G9455">
        <v>0</v>
      </c>
      <c r="H9455" t="s">
        <v>14369</v>
      </c>
      <c r="I9455">
        <v>10618</v>
      </c>
      <c r="J9455" t="str">
        <f>VLOOKUP(E9455,DSSpieler!A:B,2,FALSE)</f>
        <v>meckez</v>
      </c>
    </row>
    <row r="9456" spans="1:10" x14ac:dyDescent="0.25">
      <c r="A9456">
        <v>10619</v>
      </c>
      <c r="B9456" t="s">
        <v>531</v>
      </c>
      <c r="C9456">
        <v>411</v>
      </c>
      <c r="D9456">
        <v>457</v>
      </c>
      <c r="E9456">
        <v>0</v>
      </c>
      <c r="F9456">
        <v>859</v>
      </c>
      <c r="G9456">
        <v>0</v>
      </c>
      <c r="H9456" t="s">
        <v>14370</v>
      </c>
      <c r="I9456">
        <v>10619</v>
      </c>
      <c r="J9456" t="e">
        <f>VLOOKUP(E9456,DSSpieler!A:B,2,FALSE)</f>
        <v>#N/A</v>
      </c>
    </row>
    <row r="9457" spans="1:10" x14ac:dyDescent="0.25">
      <c r="A9457">
        <v>10620</v>
      </c>
      <c r="B9457" t="s">
        <v>531</v>
      </c>
      <c r="C9457">
        <v>519</v>
      </c>
      <c r="D9457">
        <v>596</v>
      </c>
      <c r="E9457">
        <v>1577198435</v>
      </c>
      <c r="F9457">
        <v>7280</v>
      </c>
      <c r="G9457">
        <v>0</v>
      </c>
      <c r="H9457" t="s">
        <v>14371</v>
      </c>
      <c r="I9457">
        <v>10620</v>
      </c>
      <c r="J9457" t="str">
        <f>VLOOKUP(E9457,DSSpieler!A:B,2,FALSE)</f>
        <v>redien</v>
      </c>
    </row>
    <row r="9458" spans="1:10" x14ac:dyDescent="0.25">
      <c r="A9458">
        <v>10621</v>
      </c>
      <c r="B9458" t="s">
        <v>1943</v>
      </c>
      <c r="C9458">
        <v>573</v>
      </c>
      <c r="D9458">
        <v>576</v>
      </c>
      <c r="E9458">
        <v>1577121900</v>
      </c>
      <c r="F9458">
        <v>5076</v>
      </c>
      <c r="G9458">
        <v>0</v>
      </c>
      <c r="H9458" t="s">
        <v>14372</v>
      </c>
      <c r="I9458">
        <v>10621</v>
      </c>
      <c r="J9458" t="str">
        <f>VLOOKUP(E9458,DSSpieler!A:B,2,FALSE)</f>
        <v>FeuerfaustSabo</v>
      </c>
    </row>
    <row r="9459" spans="1:10" x14ac:dyDescent="0.25">
      <c r="A9459">
        <v>10622</v>
      </c>
      <c r="B9459" t="s">
        <v>33941</v>
      </c>
      <c r="C9459">
        <v>511</v>
      </c>
      <c r="D9459">
        <v>395</v>
      </c>
      <c r="E9459">
        <v>1150935</v>
      </c>
      <c r="F9459">
        <v>5180</v>
      </c>
      <c r="G9459">
        <v>0</v>
      </c>
      <c r="H9459" t="s">
        <v>14373</v>
      </c>
      <c r="I9459">
        <v>10622</v>
      </c>
      <c r="J9459" t="str">
        <f>VLOOKUP(E9459,DSSpieler!A:B,2,FALSE)</f>
        <v>Darmstadt2</v>
      </c>
    </row>
    <row r="9460" spans="1:10" x14ac:dyDescent="0.25">
      <c r="A9460">
        <v>10623</v>
      </c>
      <c r="B9460" t="s">
        <v>33942</v>
      </c>
      <c r="C9460">
        <v>473</v>
      </c>
      <c r="D9460">
        <v>539</v>
      </c>
      <c r="E9460">
        <v>3067835</v>
      </c>
      <c r="F9460">
        <v>6769</v>
      </c>
      <c r="G9460">
        <v>0</v>
      </c>
      <c r="H9460" t="s">
        <v>14374</v>
      </c>
      <c r="I9460">
        <v>10623</v>
      </c>
      <c r="J9460" t="str">
        <f>VLOOKUP(E9460,DSSpieler!A:B,2,FALSE)</f>
        <v>juljy</v>
      </c>
    </row>
    <row r="9461" spans="1:10" x14ac:dyDescent="0.25">
      <c r="A9461">
        <v>10624</v>
      </c>
      <c r="B9461" t="s">
        <v>1944</v>
      </c>
      <c r="C9461">
        <v>516</v>
      </c>
      <c r="D9461">
        <v>605</v>
      </c>
      <c r="E9461">
        <v>577438</v>
      </c>
      <c r="F9461">
        <v>6514</v>
      </c>
      <c r="G9461">
        <v>0</v>
      </c>
      <c r="H9461" t="s">
        <v>14375</v>
      </c>
      <c r="I9461">
        <v>10624</v>
      </c>
      <c r="J9461" t="str">
        <f>VLOOKUP(E9461,DSSpieler!A:B,2,FALSE)</f>
        <v>Crowns</v>
      </c>
    </row>
    <row r="9462" spans="1:10" x14ac:dyDescent="0.25">
      <c r="A9462">
        <v>10625</v>
      </c>
      <c r="B9462" t="s">
        <v>780</v>
      </c>
      <c r="C9462">
        <v>595</v>
      </c>
      <c r="D9462">
        <v>543</v>
      </c>
      <c r="E9462">
        <v>8645048</v>
      </c>
      <c r="F9462">
        <v>4086</v>
      </c>
      <c r="G9462">
        <v>0</v>
      </c>
      <c r="H9462" t="s">
        <v>14376</v>
      </c>
      <c r="I9462">
        <v>10625</v>
      </c>
      <c r="J9462" t="str">
        <f>VLOOKUP(E9462,DSSpieler!A:B,2,FALSE)</f>
        <v>HeinBlöd</v>
      </c>
    </row>
    <row r="9463" spans="1:10" x14ac:dyDescent="0.25">
      <c r="A9463">
        <v>10626</v>
      </c>
      <c r="B9463" t="s">
        <v>33943</v>
      </c>
      <c r="C9463">
        <v>605</v>
      </c>
      <c r="D9463">
        <v>536</v>
      </c>
      <c r="E9463">
        <v>8952898</v>
      </c>
      <c r="F9463">
        <v>247</v>
      </c>
      <c r="G9463">
        <v>0</v>
      </c>
      <c r="H9463" t="s">
        <v>14377</v>
      </c>
      <c r="I9463">
        <v>10626</v>
      </c>
      <c r="J9463" t="str">
        <f>VLOOKUP(E9463,DSSpieler!A:B,2,FALSE)</f>
        <v>alexxDDDD</v>
      </c>
    </row>
    <row r="9464" spans="1:10" x14ac:dyDescent="0.25">
      <c r="A9464">
        <v>10627</v>
      </c>
      <c r="B9464">
        <v>5</v>
      </c>
      <c r="C9464">
        <v>425</v>
      </c>
      <c r="D9464">
        <v>430</v>
      </c>
      <c r="E9464">
        <v>1577085651</v>
      </c>
      <c r="F9464">
        <v>4532</v>
      </c>
      <c r="G9464">
        <v>0</v>
      </c>
      <c r="H9464" t="s">
        <v>14378</v>
      </c>
      <c r="I9464">
        <v>10627</v>
      </c>
      <c r="J9464" t="str">
        <f>VLOOKUP(E9464,DSSpieler!A:B,2,FALSE)</f>
        <v>-schpider *</v>
      </c>
    </row>
    <row r="9465" spans="1:10" x14ac:dyDescent="0.25">
      <c r="A9465">
        <v>10628</v>
      </c>
      <c r="B9465" t="s">
        <v>30979</v>
      </c>
      <c r="C9465">
        <v>417</v>
      </c>
      <c r="D9465">
        <v>436</v>
      </c>
      <c r="E9465">
        <v>503235</v>
      </c>
      <c r="F9465">
        <v>5857</v>
      </c>
      <c r="G9465">
        <v>0</v>
      </c>
      <c r="H9465" t="s">
        <v>14379</v>
      </c>
      <c r="I9465">
        <v>10628</v>
      </c>
      <c r="J9465" t="str">
        <f>VLOOKUP(E9465,DSSpieler!A:B,2,FALSE)</f>
        <v>TizianW</v>
      </c>
    </row>
    <row r="9466" spans="1:10" x14ac:dyDescent="0.25">
      <c r="A9466">
        <v>10629</v>
      </c>
      <c r="B9466">
        <v>321</v>
      </c>
      <c r="C9466">
        <v>565</v>
      </c>
      <c r="D9466">
        <v>513</v>
      </c>
      <c r="E9466">
        <v>1576956193</v>
      </c>
      <c r="F9466">
        <v>4906</v>
      </c>
      <c r="G9466">
        <v>0</v>
      </c>
      <c r="H9466" t="s">
        <v>14380</v>
      </c>
      <c r="I9466">
        <v>10629</v>
      </c>
      <c r="J9466" t="str">
        <f>VLOOKUP(E9466,DSSpieler!A:B,2,FALSE)</f>
        <v>Pyrotiger86</v>
      </c>
    </row>
    <row r="9467" spans="1:10" x14ac:dyDescent="0.25">
      <c r="A9467">
        <v>10630</v>
      </c>
      <c r="B9467" t="s">
        <v>780</v>
      </c>
      <c r="C9467">
        <v>578</v>
      </c>
      <c r="D9467">
        <v>552</v>
      </c>
      <c r="E9467">
        <v>1577008291</v>
      </c>
      <c r="F9467">
        <v>5041</v>
      </c>
      <c r="G9467">
        <v>0</v>
      </c>
      <c r="H9467" t="s">
        <v>14381</v>
      </c>
      <c r="I9467">
        <v>10630</v>
      </c>
      <c r="J9467" t="str">
        <f>VLOOKUP(E9467,DSSpieler!A:B,2,FALSE)</f>
        <v>Krebii</v>
      </c>
    </row>
    <row r="9468" spans="1:10" x14ac:dyDescent="0.25">
      <c r="A9468">
        <v>10631</v>
      </c>
      <c r="B9468" t="s">
        <v>33944</v>
      </c>
      <c r="C9468">
        <v>549</v>
      </c>
      <c r="D9468">
        <v>448</v>
      </c>
      <c r="E9468">
        <v>8951253</v>
      </c>
      <c r="F9468">
        <v>4177</v>
      </c>
      <c r="G9468">
        <v>0</v>
      </c>
      <c r="H9468" t="s">
        <v>14382</v>
      </c>
      <c r="I9468">
        <v>10631</v>
      </c>
      <c r="J9468" t="str">
        <f>VLOOKUP(E9468,DSSpieler!A:B,2,FALSE)</f>
        <v>Fr@nky1</v>
      </c>
    </row>
    <row r="9469" spans="1:10" x14ac:dyDescent="0.25">
      <c r="A9469">
        <v>10632</v>
      </c>
      <c r="B9469" t="s">
        <v>33945</v>
      </c>
      <c r="C9469">
        <v>427</v>
      </c>
      <c r="D9469">
        <v>437</v>
      </c>
      <c r="E9469">
        <v>1577165997</v>
      </c>
      <c r="F9469">
        <v>3627</v>
      </c>
      <c r="G9469">
        <v>0</v>
      </c>
      <c r="H9469" t="s">
        <v>14383</v>
      </c>
      <c r="I9469">
        <v>10632</v>
      </c>
      <c r="J9469" t="str">
        <f>VLOOKUP(E9469,DSSpieler!A:B,2,FALSE)</f>
        <v>sheldorf</v>
      </c>
    </row>
    <row r="9470" spans="1:10" x14ac:dyDescent="0.25">
      <c r="A9470">
        <v>10633</v>
      </c>
      <c r="B9470" t="s">
        <v>33946</v>
      </c>
      <c r="C9470">
        <v>410</v>
      </c>
      <c r="D9470">
        <v>522</v>
      </c>
      <c r="E9470">
        <v>1577198432</v>
      </c>
      <c r="F9470">
        <v>4241</v>
      </c>
      <c r="G9470">
        <v>0</v>
      </c>
      <c r="H9470" t="s">
        <v>14384</v>
      </c>
      <c r="I9470">
        <v>10633</v>
      </c>
      <c r="J9470" t="str">
        <f>VLOOKUP(E9470,DSSpieler!A:B,2,FALSE)</f>
        <v>WC-Ente</v>
      </c>
    </row>
    <row r="9471" spans="1:10" x14ac:dyDescent="0.25">
      <c r="A9471">
        <v>10634</v>
      </c>
      <c r="B9471">
        <v>2</v>
      </c>
      <c r="C9471">
        <v>450</v>
      </c>
      <c r="D9471">
        <v>590</v>
      </c>
      <c r="E9471">
        <v>1133428</v>
      </c>
      <c r="F9471">
        <v>4433</v>
      </c>
      <c r="G9471">
        <v>0</v>
      </c>
      <c r="H9471" t="s">
        <v>14385</v>
      </c>
      <c r="I9471">
        <v>10634</v>
      </c>
      <c r="J9471" t="str">
        <f>VLOOKUP(E9471,DSSpieler!A:B,2,FALSE)</f>
        <v>Söni</v>
      </c>
    </row>
    <row r="9472" spans="1:10" x14ac:dyDescent="0.25">
      <c r="A9472">
        <v>10635</v>
      </c>
      <c r="B9472" t="s">
        <v>531</v>
      </c>
      <c r="C9472">
        <v>507</v>
      </c>
      <c r="D9472">
        <v>532</v>
      </c>
      <c r="E9472">
        <v>0</v>
      </c>
      <c r="F9472">
        <v>518</v>
      </c>
      <c r="G9472">
        <v>0</v>
      </c>
      <c r="H9472" t="s">
        <v>14386</v>
      </c>
      <c r="I9472">
        <v>10635</v>
      </c>
      <c r="J9472" t="e">
        <f>VLOOKUP(E9472,DSSpieler!A:B,2,FALSE)</f>
        <v>#N/A</v>
      </c>
    </row>
    <row r="9473" spans="1:10" x14ac:dyDescent="0.25">
      <c r="A9473">
        <v>10637</v>
      </c>
      <c r="B9473" t="s">
        <v>531</v>
      </c>
      <c r="C9473">
        <v>428</v>
      </c>
      <c r="D9473">
        <v>518</v>
      </c>
      <c r="E9473">
        <v>0</v>
      </c>
      <c r="F9473">
        <v>920</v>
      </c>
      <c r="G9473">
        <v>0</v>
      </c>
      <c r="H9473" t="s">
        <v>14387</v>
      </c>
      <c r="I9473">
        <v>10637</v>
      </c>
      <c r="J9473" t="e">
        <f>VLOOKUP(E9473,DSSpieler!A:B,2,FALSE)</f>
        <v>#N/A</v>
      </c>
    </row>
    <row r="9474" spans="1:10" x14ac:dyDescent="0.25">
      <c r="A9474">
        <v>10638</v>
      </c>
      <c r="B9474" t="s">
        <v>33947</v>
      </c>
      <c r="C9474">
        <v>601</v>
      </c>
      <c r="D9474">
        <v>494</v>
      </c>
      <c r="E9474">
        <v>1577187109</v>
      </c>
      <c r="F9474">
        <v>1233</v>
      </c>
      <c r="G9474">
        <v>0</v>
      </c>
      <c r="H9474" t="s">
        <v>14388</v>
      </c>
      <c r="I9474">
        <v>10638</v>
      </c>
      <c r="J9474" t="str">
        <f>VLOOKUP(E9474,DSSpieler!A:B,2,FALSE)</f>
        <v>scotty422</v>
      </c>
    </row>
    <row r="9475" spans="1:10" x14ac:dyDescent="0.25">
      <c r="A9475">
        <v>10639</v>
      </c>
      <c r="B9475" t="s">
        <v>33948</v>
      </c>
      <c r="C9475">
        <v>536</v>
      </c>
      <c r="D9475">
        <v>591</v>
      </c>
      <c r="E9475">
        <v>1691328</v>
      </c>
      <c r="F9475">
        <v>7602</v>
      </c>
      <c r="G9475">
        <v>0</v>
      </c>
      <c r="H9475" t="s">
        <v>14389</v>
      </c>
      <c r="I9475">
        <v>10639</v>
      </c>
      <c r="J9475" t="str">
        <f>VLOOKUP(E9475,DSSpieler!A:B,2,FALSE)</f>
        <v>hummler68</v>
      </c>
    </row>
    <row r="9476" spans="1:10" x14ac:dyDescent="0.25">
      <c r="A9476">
        <v>10640</v>
      </c>
      <c r="B9476" t="s">
        <v>33949</v>
      </c>
      <c r="C9476">
        <v>541</v>
      </c>
      <c r="D9476">
        <v>552</v>
      </c>
      <c r="E9476">
        <v>1575830702</v>
      </c>
      <c r="F9476">
        <v>5412</v>
      </c>
      <c r="G9476">
        <v>0</v>
      </c>
      <c r="H9476" t="s">
        <v>14390</v>
      </c>
      <c r="I9476">
        <v>10640</v>
      </c>
      <c r="J9476" t="str">
        <f>VLOOKUP(E9476,DSSpieler!A:B,2,FALSE)</f>
        <v>PaPaScHuMpF</v>
      </c>
    </row>
    <row r="9477" spans="1:10" x14ac:dyDescent="0.25">
      <c r="A9477">
        <v>10641</v>
      </c>
      <c r="B9477" t="s">
        <v>531</v>
      </c>
      <c r="C9477">
        <v>435</v>
      </c>
      <c r="D9477">
        <v>422</v>
      </c>
      <c r="E9477">
        <v>0</v>
      </c>
      <c r="F9477">
        <v>361</v>
      </c>
      <c r="G9477">
        <v>0</v>
      </c>
      <c r="H9477" t="s">
        <v>14391</v>
      </c>
      <c r="I9477">
        <v>10641</v>
      </c>
      <c r="J9477" t="e">
        <f>VLOOKUP(E9477,DSSpieler!A:B,2,FALSE)</f>
        <v>#N/A</v>
      </c>
    </row>
    <row r="9478" spans="1:10" x14ac:dyDescent="0.25">
      <c r="A9478">
        <v>10642</v>
      </c>
      <c r="B9478" t="s">
        <v>531</v>
      </c>
      <c r="C9478">
        <v>399</v>
      </c>
      <c r="D9478">
        <v>494</v>
      </c>
      <c r="E9478">
        <v>0</v>
      </c>
      <c r="F9478">
        <v>508</v>
      </c>
      <c r="G9478">
        <v>0</v>
      </c>
      <c r="H9478" t="s">
        <v>14392</v>
      </c>
      <c r="I9478">
        <v>10642</v>
      </c>
      <c r="J9478" t="e">
        <f>VLOOKUP(E9478,DSSpieler!A:B,2,FALSE)</f>
        <v>#N/A</v>
      </c>
    </row>
    <row r="9479" spans="1:10" x14ac:dyDescent="0.25">
      <c r="A9479">
        <v>10643</v>
      </c>
      <c r="B9479" t="s">
        <v>33950</v>
      </c>
      <c r="C9479">
        <v>438</v>
      </c>
      <c r="D9479">
        <v>527</v>
      </c>
      <c r="E9479">
        <v>1577127775</v>
      </c>
      <c r="F9479">
        <v>5652</v>
      </c>
      <c r="G9479">
        <v>0</v>
      </c>
      <c r="H9479" t="s">
        <v>14393</v>
      </c>
      <c r="I9479">
        <v>10643</v>
      </c>
      <c r="J9479" t="str">
        <f>VLOOKUP(E9479,DSSpieler!A:B,2,FALSE)</f>
        <v>DeleteFromW168</v>
      </c>
    </row>
    <row r="9480" spans="1:10" x14ac:dyDescent="0.25">
      <c r="A9480">
        <v>10644</v>
      </c>
      <c r="B9480" t="s">
        <v>32017</v>
      </c>
      <c r="C9480">
        <v>569</v>
      </c>
      <c r="D9480">
        <v>570</v>
      </c>
      <c r="E9480">
        <v>1577188803</v>
      </c>
      <c r="F9480">
        <v>5393</v>
      </c>
      <c r="G9480">
        <v>0</v>
      </c>
      <c r="H9480" t="s">
        <v>14394</v>
      </c>
      <c r="I9480">
        <v>10644</v>
      </c>
      <c r="J9480" t="str">
        <f>VLOOKUP(E9480,DSSpieler!A:B,2,FALSE)</f>
        <v>GrrGr</v>
      </c>
    </row>
    <row r="9481" spans="1:10" x14ac:dyDescent="0.25">
      <c r="A9481">
        <v>10645</v>
      </c>
      <c r="B9481" t="s">
        <v>33951</v>
      </c>
      <c r="C9481">
        <v>594</v>
      </c>
      <c r="D9481">
        <v>538</v>
      </c>
      <c r="E9481">
        <v>1576125761</v>
      </c>
      <c r="F9481">
        <v>4213</v>
      </c>
      <c r="G9481">
        <v>0</v>
      </c>
      <c r="H9481" t="s">
        <v>14395</v>
      </c>
      <c r="I9481">
        <v>10645</v>
      </c>
      <c r="J9481" t="str">
        <f>VLOOKUP(E9481,DSSpieler!A:B,2,FALSE)</f>
        <v>Riotyouth</v>
      </c>
    </row>
    <row r="9482" spans="1:10" x14ac:dyDescent="0.25">
      <c r="A9482">
        <v>10646</v>
      </c>
      <c r="B9482" t="s">
        <v>31894</v>
      </c>
      <c r="C9482">
        <v>576</v>
      </c>
      <c r="D9482">
        <v>571</v>
      </c>
      <c r="E9482">
        <v>1577188803</v>
      </c>
      <c r="F9482">
        <v>5801</v>
      </c>
      <c r="G9482">
        <v>0</v>
      </c>
      <c r="H9482" t="s">
        <v>14396</v>
      </c>
      <c r="I9482">
        <v>10646</v>
      </c>
      <c r="J9482" t="str">
        <f>VLOOKUP(E9482,DSSpieler!A:B,2,FALSE)</f>
        <v>GrrGr</v>
      </c>
    </row>
    <row r="9483" spans="1:10" x14ac:dyDescent="0.25">
      <c r="A9483">
        <v>10647</v>
      </c>
      <c r="B9483" t="s">
        <v>33952</v>
      </c>
      <c r="C9483">
        <v>545</v>
      </c>
      <c r="D9483">
        <v>410</v>
      </c>
      <c r="E9483">
        <v>1577180283</v>
      </c>
      <c r="F9483">
        <v>138</v>
      </c>
      <c r="G9483">
        <v>0</v>
      </c>
      <c r="H9483" t="s">
        <v>14397</v>
      </c>
      <c r="I9483">
        <v>10647</v>
      </c>
      <c r="J9483" t="str">
        <f>VLOOKUP(E9483,DSSpieler!A:B,2,FALSE)</f>
        <v>MAIN</v>
      </c>
    </row>
    <row r="9484" spans="1:10" x14ac:dyDescent="0.25">
      <c r="A9484">
        <v>10648</v>
      </c>
      <c r="B9484" t="s">
        <v>1945</v>
      </c>
      <c r="C9484">
        <v>536</v>
      </c>
      <c r="D9484">
        <v>407</v>
      </c>
      <c r="E9484">
        <v>1577112562</v>
      </c>
      <c r="F9484">
        <v>3029</v>
      </c>
      <c r="G9484">
        <v>0</v>
      </c>
      <c r="H9484" t="s">
        <v>14398</v>
      </c>
      <c r="I9484">
        <v>10648</v>
      </c>
      <c r="J9484" t="str">
        <f>VLOOKUP(E9484,DSSpieler!A:B,2,FALSE)</f>
        <v>Franzi2112</v>
      </c>
    </row>
    <row r="9485" spans="1:10" x14ac:dyDescent="0.25">
      <c r="A9485">
        <v>10651</v>
      </c>
      <c r="B9485" t="s">
        <v>531</v>
      </c>
      <c r="C9485">
        <v>529</v>
      </c>
      <c r="D9485">
        <v>406</v>
      </c>
      <c r="E9485">
        <v>0</v>
      </c>
      <c r="F9485">
        <v>387</v>
      </c>
      <c r="G9485">
        <v>0</v>
      </c>
      <c r="H9485" t="s">
        <v>14399</v>
      </c>
      <c r="I9485">
        <v>10651</v>
      </c>
      <c r="J9485" t="e">
        <f>VLOOKUP(E9485,DSSpieler!A:B,2,FALSE)</f>
        <v>#N/A</v>
      </c>
    </row>
    <row r="9486" spans="1:10" x14ac:dyDescent="0.25">
      <c r="A9486">
        <v>10652</v>
      </c>
      <c r="B9486" t="s">
        <v>33953</v>
      </c>
      <c r="C9486">
        <v>446</v>
      </c>
      <c r="D9486">
        <v>598</v>
      </c>
      <c r="E9486">
        <v>1577198531</v>
      </c>
      <c r="F9486">
        <v>5749</v>
      </c>
      <c r="G9486">
        <v>0</v>
      </c>
      <c r="H9486" t="s">
        <v>14400</v>
      </c>
      <c r="I9486">
        <v>10652</v>
      </c>
      <c r="J9486" t="str">
        <f>VLOOKUP(E9486,DSSpieler!A:B,2,FALSE)</f>
        <v>OG-Lakers</v>
      </c>
    </row>
    <row r="9487" spans="1:10" x14ac:dyDescent="0.25">
      <c r="A9487">
        <v>10653</v>
      </c>
      <c r="B9487" t="s">
        <v>1946</v>
      </c>
      <c r="C9487">
        <v>488</v>
      </c>
      <c r="D9487">
        <v>427</v>
      </c>
      <c r="E9487">
        <v>1577186534</v>
      </c>
      <c r="F9487">
        <v>5570</v>
      </c>
      <c r="G9487">
        <v>0</v>
      </c>
      <c r="H9487" t="s">
        <v>14401</v>
      </c>
      <c r="I9487">
        <v>10653</v>
      </c>
      <c r="J9487" t="str">
        <f>VLOOKUP(E9487,DSSpieler!A:B,2,FALSE)</f>
        <v>Sir üöä</v>
      </c>
    </row>
    <row r="9488" spans="1:10" x14ac:dyDescent="0.25">
      <c r="A9488">
        <v>10654</v>
      </c>
      <c r="B9488" t="s">
        <v>33954</v>
      </c>
      <c r="C9488">
        <v>588</v>
      </c>
      <c r="D9488">
        <v>450</v>
      </c>
      <c r="E9488">
        <v>8179590</v>
      </c>
      <c r="F9488">
        <v>4929</v>
      </c>
      <c r="G9488">
        <v>0</v>
      </c>
      <c r="H9488" t="s">
        <v>14402</v>
      </c>
      <c r="I9488">
        <v>10654</v>
      </c>
      <c r="J9488" t="str">
        <f>VLOOKUP(E9488,DSSpieler!A:B,2,FALSE)</f>
        <v>-Lutschdn?</v>
      </c>
    </row>
    <row r="9489" spans="1:10" x14ac:dyDescent="0.25">
      <c r="A9489">
        <v>10655</v>
      </c>
      <c r="B9489" t="s">
        <v>33955</v>
      </c>
      <c r="C9489">
        <v>453</v>
      </c>
      <c r="D9489">
        <v>411</v>
      </c>
      <c r="E9489">
        <v>1577183515</v>
      </c>
      <c r="F9489">
        <v>2411</v>
      </c>
      <c r="G9489">
        <v>0</v>
      </c>
      <c r="H9489" t="s">
        <v>14403</v>
      </c>
      <c r="I9489">
        <v>10655</v>
      </c>
      <c r="J9489" t="str">
        <f>VLOOKUP(E9489,DSSpieler!A:B,2,FALSE)</f>
        <v>Pfeiler</v>
      </c>
    </row>
    <row r="9490" spans="1:10" x14ac:dyDescent="0.25">
      <c r="A9490">
        <v>10656</v>
      </c>
      <c r="B9490" t="s">
        <v>33956</v>
      </c>
      <c r="C9490">
        <v>459</v>
      </c>
      <c r="D9490">
        <v>521</v>
      </c>
      <c r="E9490">
        <v>1576123873</v>
      </c>
      <c r="F9490">
        <v>4385</v>
      </c>
      <c r="G9490">
        <v>0</v>
      </c>
      <c r="H9490" t="s">
        <v>14404</v>
      </c>
      <c r="I9490">
        <v>10656</v>
      </c>
      <c r="J9490" t="str">
        <f>VLOOKUP(E9490,DSSpieler!A:B,2,FALSE)</f>
        <v>Lord Multan</v>
      </c>
    </row>
    <row r="9491" spans="1:10" x14ac:dyDescent="0.25">
      <c r="A9491">
        <v>10657</v>
      </c>
      <c r="B9491" t="s">
        <v>30816</v>
      </c>
      <c r="C9491">
        <v>582</v>
      </c>
      <c r="D9491">
        <v>515</v>
      </c>
      <c r="E9491">
        <v>9816501</v>
      </c>
      <c r="F9491">
        <v>5791</v>
      </c>
      <c r="G9491">
        <v>0</v>
      </c>
      <c r="H9491" t="s">
        <v>14405</v>
      </c>
      <c r="I9491">
        <v>10657</v>
      </c>
      <c r="J9491" t="str">
        <f>VLOOKUP(E9491,DSSpieler!A:B,2,FALSE)</f>
        <v>Lord 777</v>
      </c>
    </row>
    <row r="9492" spans="1:10" x14ac:dyDescent="0.25">
      <c r="A9492">
        <v>10658</v>
      </c>
      <c r="B9492" t="s">
        <v>33957</v>
      </c>
      <c r="C9492">
        <v>541</v>
      </c>
      <c r="D9492">
        <v>409</v>
      </c>
      <c r="E9492">
        <v>10020820</v>
      </c>
      <c r="F9492">
        <v>5674</v>
      </c>
      <c r="G9492">
        <v>0</v>
      </c>
      <c r="H9492" t="s">
        <v>14406</v>
      </c>
      <c r="I9492">
        <v>10658</v>
      </c>
      <c r="J9492" t="str">
        <f>VLOOKUP(E9492,DSSpieler!A:B,2,FALSE)</f>
        <v>RaVeR 91</v>
      </c>
    </row>
    <row r="9493" spans="1:10" x14ac:dyDescent="0.25">
      <c r="A9493">
        <v>10659</v>
      </c>
      <c r="B9493" t="s">
        <v>1947</v>
      </c>
      <c r="C9493">
        <v>444</v>
      </c>
      <c r="D9493">
        <v>582</v>
      </c>
      <c r="E9493">
        <v>1576994627</v>
      </c>
      <c r="F9493">
        <v>4370</v>
      </c>
      <c r="G9493">
        <v>0</v>
      </c>
      <c r="H9493" t="s">
        <v>14407</v>
      </c>
      <c r="I9493">
        <v>10659</v>
      </c>
      <c r="J9493" t="str">
        <f>VLOOKUP(E9493,DSSpieler!A:B,2,FALSE)</f>
        <v>Synxp</v>
      </c>
    </row>
    <row r="9494" spans="1:10" x14ac:dyDescent="0.25">
      <c r="A9494">
        <v>10660</v>
      </c>
      <c r="B9494" t="s">
        <v>531</v>
      </c>
      <c r="C9494">
        <v>531</v>
      </c>
      <c r="D9494">
        <v>596</v>
      </c>
      <c r="E9494">
        <v>0</v>
      </c>
      <c r="F9494">
        <v>747</v>
      </c>
      <c r="G9494">
        <v>0</v>
      </c>
      <c r="H9494" t="s">
        <v>14408</v>
      </c>
      <c r="I9494">
        <v>10660</v>
      </c>
      <c r="J9494" t="e">
        <f>VLOOKUP(E9494,DSSpieler!A:B,2,FALSE)</f>
        <v>#N/A</v>
      </c>
    </row>
    <row r="9495" spans="1:10" x14ac:dyDescent="0.25">
      <c r="A9495">
        <v>10661</v>
      </c>
      <c r="B9495" t="s">
        <v>531</v>
      </c>
      <c r="C9495">
        <v>548</v>
      </c>
      <c r="D9495">
        <v>586</v>
      </c>
      <c r="E9495">
        <v>0</v>
      </c>
      <c r="F9495">
        <v>419</v>
      </c>
      <c r="G9495">
        <v>0</v>
      </c>
      <c r="H9495" t="s">
        <v>14409</v>
      </c>
      <c r="I9495">
        <v>10661</v>
      </c>
      <c r="J9495" t="e">
        <f>VLOOKUP(E9495,DSSpieler!A:B,2,FALSE)</f>
        <v>#N/A</v>
      </c>
    </row>
    <row r="9496" spans="1:10" x14ac:dyDescent="0.25">
      <c r="A9496">
        <v>10662</v>
      </c>
      <c r="B9496" t="s">
        <v>33958</v>
      </c>
      <c r="C9496">
        <v>514</v>
      </c>
      <c r="D9496">
        <v>403</v>
      </c>
      <c r="E9496">
        <v>1576916652</v>
      </c>
      <c r="F9496">
        <v>4983</v>
      </c>
      <c r="G9496">
        <v>0</v>
      </c>
      <c r="H9496" t="s">
        <v>14410</v>
      </c>
      <c r="I9496">
        <v>10662</v>
      </c>
      <c r="J9496" t="str">
        <f>VLOOKUP(E9496,DSSpieler!A:B,2,FALSE)</f>
        <v>jonny1509</v>
      </c>
    </row>
    <row r="9497" spans="1:10" x14ac:dyDescent="0.25">
      <c r="A9497">
        <v>10663</v>
      </c>
      <c r="B9497" t="s">
        <v>33959</v>
      </c>
      <c r="C9497">
        <v>575</v>
      </c>
      <c r="D9497">
        <v>424</v>
      </c>
      <c r="E9497">
        <v>1577194527</v>
      </c>
      <c r="F9497">
        <v>2979</v>
      </c>
      <c r="G9497">
        <v>0</v>
      </c>
      <c r="H9497" t="s">
        <v>14411</v>
      </c>
      <c r="I9497">
        <v>10663</v>
      </c>
      <c r="J9497" t="str">
        <f>VLOOKUP(E9497,DSSpieler!A:B,2,FALSE)</f>
        <v>cheesy94</v>
      </c>
    </row>
    <row r="9498" spans="1:10" x14ac:dyDescent="0.25">
      <c r="A9498">
        <v>10665</v>
      </c>
      <c r="B9498" t="s">
        <v>1948</v>
      </c>
      <c r="C9498">
        <v>599</v>
      </c>
      <c r="D9498">
        <v>492</v>
      </c>
      <c r="E9498">
        <v>1577188598</v>
      </c>
      <c r="F9498">
        <v>1514</v>
      </c>
      <c r="G9498">
        <v>0</v>
      </c>
      <c r="H9498" t="s">
        <v>14412</v>
      </c>
      <c r="I9498">
        <v>10665</v>
      </c>
      <c r="J9498" t="str">
        <f>VLOOKUP(E9498,DSSpieler!A:B,2,FALSE)</f>
        <v>Visang1506</v>
      </c>
    </row>
    <row r="9499" spans="1:10" x14ac:dyDescent="0.25">
      <c r="A9499">
        <v>10667</v>
      </c>
      <c r="B9499" t="s">
        <v>1949</v>
      </c>
      <c r="C9499">
        <v>527</v>
      </c>
      <c r="D9499">
        <v>602</v>
      </c>
      <c r="E9499">
        <v>1577010421</v>
      </c>
      <c r="F9499">
        <v>1342</v>
      </c>
      <c r="G9499">
        <v>0</v>
      </c>
      <c r="H9499" t="s">
        <v>14413</v>
      </c>
      <c r="I9499">
        <v>10667</v>
      </c>
      <c r="J9499" t="str">
        <f>VLOOKUP(E9499,DSSpieler!A:B,2,FALSE)</f>
        <v>dieterdetlef</v>
      </c>
    </row>
    <row r="9500" spans="1:10" x14ac:dyDescent="0.25">
      <c r="A9500">
        <v>10670</v>
      </c>
      <c r="B9500" t="s">
        <v>531</v>
      </c>
      <c r="C9500">
        <v>598</v>
      </c>
      <c r="D9500">
        <v>480</v>
      </c>
      <c r="E9500">
        <v>0</v>
      </c>
      <c r="F9500">
        <v>792</v>
      </c>
      <c r="G9500">
        <v>0</v>
      </c>
      <c r="H9500" t="s">
        <v>14414</v>
      </c>
      <c r="I9500">
        <v>10670</v>
      </c>
      <c r="J9500" t="e">
        <f>VLOOKUP(E9500,DSSpieler!A:B,2,FALSE)</f>
        <v>#N/A</v>
      </c>
    </row>
    <row r="9501" spans="1:10" x14ac:dyDescent="0.25">
      <c r="A9501">
        <v>10671</v>
      </c>
      <c r="B9501" t="s">
        <v>33960</v>
      </c>
      <c r="C9501">
        <v>585</v>
      </c>
      <c r="D9501">
        <v>554</v>
      </c>
      <c r="E9501">
        <v>1577198547</v>
      </c>
      <c r="F9501">
        <v>4662</v>
      </c>
      <c r="G9501">
        <v>0</v>
      </c>
      <c r="H9501" t="s">
        <v>14415</v>
      </c>
      <c r="I9501">
        <v>10671</v>
      </c>
      <c r="J9501" t="str">
        <f>VLOOKUP(E9501,DSSpieler!A:B,2,FALSE)</f>
        <v>blackout.</v>
      </c>
    </row>
    <row r="9502" spans="1:10" x14ac:dyDescent="0.25">
      <c r="A9502">
        <v>10672</v>
      </c>
      <c r="B9502" t="s">
        <v>531</v>
      </c>
      <c r="C9502">
        <v>503</v>
      </c>
      <c r="D9502">
        <v>600</v>
      </c>
      <c r="E9502">
        <v>0</v>
      </c>
      <c r="F9502">
        <v>621</v>
      </c>
      <c r="G9502">
        <v>0</v>
      </c>
      <c r="H9502" t="s">
        <v>14416</v>
      </c>
      <c r="I9502">
        <v>10672</v>
      </c>
      <c r="J9502" t="e">
        <f>VLOOKUP(E9502,DSSpieler!A:B,2,FALSE)</f>
        <v>#N/A</v>
      </c>
    </row>
    <row r="9503" spans="1:10" x14ac:dyDescent="0.25">
      <c r="A9503">
        <v>10673</v>
      </c>
      <c r="B9503" t="s">
        <v>531</v>
      </c>
      <c r="C9503">
        <v>561</v>
      </c>
      <c r="D9503">
        <v>578</v>
      </c>
      <c r="E9503">
        <v>0</v>
      </c>
      <c r="F9503">
        <v>157</v>
      </c>
      <c r="G9503">
        <v>0</v>
      </c>
      <c r="H9503" t="s">
        <v>14417</v>
      </c>
      <c r="I9503">
        <v>10673</v>
      </c>
      <c r="J9503" t="e">
        <f>VLOOKUP(E9503,DSSpieler!A:B,2,FALSE)</f>
        <v>#N/A</v>
      </c>
    </row>
    <row r="9504" spans="1:10" x14ac:dyDescent="0.25">
      <c r="A9504">
        <v>10674</v>
      </c>
      <c r="B9504" t="s">
        <v>33961</v>
      </c>
      <c r="C9504">
        <v>416</v>
      </c>
      <c r="D9504">
        <v>558</v>
      </c>
      <c r="E9504">
        <v>1577198549</v>
      </c>
      <c r="F9504">
        <v>8225</v>
      </c>
      <c r="G9504">
        <v>0</v>
      </c>
      <c r="H9504" t="s">
        <v>14418</v>
      </c>
      <c r="I9504">
        <v>10674</v>
      </c>
      <c r="J9504" t="str">
        <f>VLOOKUP(E9504,DSSpieler!A:B,2,FALSE)</f>
        <v>bigpi</v>
      </c>
    </row>
    <row r="9505" spans="1:10" x14ac:dyDescent="0.25">
      <c r="A9505">
        <v>10675</v>
      </c>
      <c r="B9505" t="s">
        <v>673</v>
      </c>
      <c r="C9505">
        <v>572</v>
      </c>
      <c r="D9505">
        <v>567</v>
      </c>
      <c r="E9505">
        <v>7624025</v>
      </c>
      <c r="F9505">
        <v>1970</v>
      </c>
      <c r="G9505">
        <v>0</v>
      </c>
      <c r="H9505" t="s">
        <v>14419</v>
      </c>
      <c r="I9505">
        <v>10675</v>
      </c>
      <c r="J9505" t="str">
        <f>VLOOKUP(E9505,DSSpieler!A:B,2,FALSE)</f>
        <v>yugioh13</v>
      </c>
    </row>
    <row r="9506" spans="1:10" x14ac:dyDescent="0.25">
      <c r="A9506">
        <v>10676</v>
      </c>
      <c r="B9506" t="s">
        <v>1137</v>
      </c>
      <c r="C9506">
        <v>550</v>
      </c>
      <c r="D9506">
        <v>591</v>
      </c>
      <c r="E9506">
        <v>1577174754</v>
      </c>
      <c r="F9506">
        <v>4869</v>
      </c>
      <c r="G9506">
        <v>0</v>
      </c>
      <c r="H9506" t="s">
        <v>14420</v>
      </c>
      <c r="I9506">
        <v>10676</v>
      </c>
      <c r="J9506" t="str">
        <f>VLOOKUP(E9506,DSSpieler!A:B,2,FALSE)</f>
        <v>Cook1e Dough</v>
      </c>
    </row>
    <row r="9507" spans="1:10" x14ac:dyDescent="0.25">
      <c r="A9507">
        <v>10677</v>
      </c>
      <c r="B9507" t="s">
        <v>33962</v>
      </c>
      <c r="C9507">
        <v>572</v>
      </c>
      <c r="D9507">
        <v>544</v>
      </c>
      <c r="E9507">
        <v>1576824008</v>
      </c>
      <c r="F9507">
        <v>6088</v>
      </c>
      <c r="G9507">
        <v>0</v>
      </c>
      <c r="H9507" t="s">
        <v>14421</v>
      </c>
      <c r="I9507">
        <v>10677</v>
      </c>
      <c r="J9507" t="str">
        <f>VLOOKUP(E9507,DSSpieler!A:B,2,FALSE)</f>
        <v>Mengez89</v>
      </c>
    </row>
    <row r="9508" spans="1:10" x14ac:dyDescent="0.25">
      <c r="A9508">
        <v>10678</v>
      </c>
      <c r="B9508" t="s">
        <v>33963</v>
      </c>
      <c r="C9508">
        <v>451</v>
      </c>
      <c r="D9508">
        <v>563</v>
      </c>
      <c r="E9508">
        <v>9327351</v>
      </c>
      <c r="F9508">
        <v>5697</v>
      </c>
      <c r="G9508">
        <v>0</v>
      </c>
      <c r="H9508" t="s">
        <v>14422</v>
      </c>
      <c r="I9508">
        <v>10678</v>
      </c>
      <c r="J9508" t="str">
        <f>VLOOKUP(E9508,DSSpieler!A:B,2,FALSE)</f>
        <v>Lordlebkuchen</v>
      </c>
    </row>
    <row r="9509" spans="1:10" x14ac:dyDescent="0.25">
      <c r="A9509">
        <v>10679</v>
      </c>
      <c r="B9509" t="s">
        <v>33964</v>
      </c>
      <c r="C9509">
        <v>534</v>
      </c>
      <c r="D9509">
        <v>405</v>
      </c>
      <c r="E9509">
        <v>1576617784</v>
      </c>
      <c r="F9509">
        <v>4882</v>
      </c>
      <c r="G9509">
        <v>0</v>
      </c>
      <c r="H9509" t="s">
        <v>14423</v>
      </c>
      <c r="I9509">
        <v>10679</v>
      </c>
      <c r="J9509" t="str">
        <f>VLOOKUP(E9509,DSSpieler!A:B,2,FALSE)</f>
        <v>Hauptschulniveau Yoo</v>
      </c>
    </row>
    <row r="9510" spans="1:10" x14ac:dyDescent="0.25">
      <c r="A9510">
        <v>10680</v>
      </c>
      <c r="B9510" t="s">
        <v>33965</v>
      </c>
      <c r="C9510">
        <v>601</v>
      </c>
      <c r="D9510">
        <v>492</v>
      </c>
      <c r="E9510">
        <v>1577157364</v>
      </c>
      <c r="F9510">
        <v>3449</v>
      </c>
      <c r="G9510">
        <v>0</v>
      </c>
      <c r="H9510" t="s">
        <v>14424</v>
      </c>
      <c r="I9510">
        <v>10680</v>
      </c>
      <c r="J9510" t="str">
        <f>VLOOKUP(E9510,DSSpieler!A:B,2,FALSE)</f>
        <v>Sa-Men</v>
      </c>
    </row>
    <row r="9511" spans="1:10" x14ac:dyDescent="0.25">
      <c r="A9511">
        <v>10681</v>
      </c>
      <c r="B9511" t="s">
        <v>531</v>
      </c>
      <c r="C9511">
        <v>399</v>
      </c>
      <c r="D9511">
        <v>516</v>
      </c>
      <c r="E9511">
        <v>0</v>
      </c>
      <c r="F9511">
        <v>244</v>
      </c>
      <c r="G9511">
        <v>0</v>
      </c>
      <c r="H9511" t="s">
        <v>14425</v>
      </c>
      <c r="I9511">
        <v>10681</v>
      </c>
      <c r="J9511" t="e">
        <f>VLOOKUP(E9511,DSSpieler!A:B,2,FALSE)</f>
        <v>#N/A</v>
      </c>
    </row>
    <row r="9512" spans="1:10" x14ac:dyDescent="0.25">
      <c r="A9512">
        <v>10682</v>
      </c>
      <c r="B9512" t="s">
        <v>33966</v>
      </c>
      <c r="C9512">
        <v>437</v>
      </c>
      <c r="D9512">
        <v>424</v>
      </c>
      <c r="E9512">
        <v>2920276</v>
      </c>
      <c r="F9512">
        <v>3604</v>
      </c>
      <c r="G9512">
        <v>0</v>
      </c>
      <c r="H9512" t="s">
        <v>14426</v>
      </c>
      <c r="I9512">
        <v>10682</v>
      </c>
      <c r="J9512" t="str">
        <f>VLOOKUP(E9512,DSSpieler!A:B,2,FALSE)</f>
        <v>Wiesele</v>
      </c>
    </row>
    <row r="9513" spans="1:10" x14ac:dyDescent="0.25">
      <c r="A9513">
        <v>10685</v>
      </c>
      <c r="B9513" t="s">
        <v>531</v>
      </c>
      <c r="C9513">
        <v>603</v>
      </c>
      <c r="D9513">
        <v>497</v>
      </c>
      <c r="E9513">
        <v>0</v>
      </c>
      <c r="F9513">
        <v>242</v>
      </c>
      <c r="G9513">
        <v>0</v>
      </c>
      <c r="H9513" t="s">
        <v>14427</v>
      </c>
      <c r="I9513">
        <v>10685</v>
      </c>
      <c r="J9513" t="e">
        <f>VLOOKUP(E9513,DSSpieler!A:B,2,FALSE)</f>
        <v>#N/A</v>
      </c>
    </row>
    <row r="9514" spans="1:10" x14ac:dyDescent="0.25">
      <c r="A9514">
        <v>10687</v>
      </c>
      <c r="B9514" t="s">
        <v>531</v>
      </c>
      <c r="C9514">
        <v>564</v>
      </c>
      <c r="D9514">
        <v>576</v>
      </c>
      <c r="E9514">
        <v>0</v>
      </c>
      <c r="F9514">
        <v>321</v>
      </c>
      <c r="G9514">
        <v>0</v>
      </c>
      <c r="H9514" t="s">
        <v>14428</v>
      </c>
      <c r="I9514">
        <v>10687</v>
      </c>
      <c r="J9514" t="e">
        <f>VLOOKUP(E9514,DSSpieler!A:B,2,FALSE)</f>
        <v>#N/A</v>
      </c>
    </row>
    <row r="9515" spans="1:10" x14ac:dyDescent="0.25">
      <c r="A9515">
        <v>10688</v>
      </c>
      <c r="B9515" t="s">
        <v>33967</v>
      </c>
      <c r="C9515">
        <v>481</v>
      </c>
      <c r="D9515">
        <v>536</v>
      </c>
      <c r="E9515">
        <v>1577178122</v>
      </c>
      <c r="F9515">
        <v>4253</v>
      </c>
      <c r="G9515">
        <v>0</v>
      </c>
      <c r="H9515" t="s">
        <v>14429</v>
      </c>
      <c r="I9515">
        <v>10688</v>
      </c>
      <c r="J9515" t="str">
        <f>VLOOKUP(E9515,DSSpieler!A:B,2,FALSE)</f>
        <v>Leevi.</v>
      </c>
    </row>
    <row r="9516" spans="1:10" x14ac:dyDescent="0.25">
      <c r="A9516">
        <v>10689</v>
      </c>
      <c r="B9516" t="s">
        <v>531</v>
      </c>
      <c r="C9516">
        <v>396</v>
      </c>
      <c r="D9516">
        <v>519</v>
      </c>
      <c r="E9516">
        <v>0</v>
      </c>
      <c r="F9516">
        <v>761</v>
      </c>
      <c r="G9516">
        <v>0</v>
      </c>
      <c r="H9516" t="s">
        <v>14430</v>
      </c>
      <c r="I9516">
        <v>10689</v>
      </c>
      <c r="J9516" t="e">
        <f>VLOOKUP(E9516,DSSpieler!A:B,2,FALSE)</f>
        <v>#N/A</v>
      </c>
    </row>
    <row r="9517" spans="1:10" x14ac:dyDescent="0.25">
      <c r="A9517">
        <v>10690</v>
      </c>
      <c r="B9517" t="s">
        <v>30981</v>
      </c>
      <c r="C9517">
        <v>434</v>
      </c>
      <c r="D9517">
        <v>429</v>
      </c>
      <c r="E9517">
        <v>1577197167</v>
      </c>
      <c r="F9517">
        <v>4300</v>
      </c>
      <c r="G9517">
        <v>0</v>
      </c>
      <c r="H9517" t="s">
        <v>14431</v>
      </c>
      <c r="I9517">
        <v>10690</v>
      </c>
      <c r="J9517" t="str">
        <f>VLOOKUP(E9517,DSSpieler!A:B,2,FALSE)</f>
        <v>ToStrikeBack</v>
      </c>
    </row>
    <row r="9518" spans="1:10" x14ac:dyDescent="0.25">
      <c r="A9518">
        <v>10691</v>
      </c>
      <c r="B9518" t="s">
        <v>531</v>
      </c>
      <c r="C9518">
        <v>504</v>
      </c>
      <c r="D9518">
        <v>399</v>
      </c>
      <c r="E9518">
        <v>0</v>
      </c>
      <c r="F9518">
        <v>279</v>
      </c>
      <c r="G9518">
        <v>0</v>
      </c>
      <c r="H9518" t="s">
        <v>14432</v>
      </c>
      <c r="I9518">
        <v>10691</v>
      </c>
      <c r="J9518" t="e">
        <f>VLOOKUP(E9518,DSSpieler!A:B,2,FALSE)</f>
        <v>#N/A</v>
      </c>
    </row>
    <row r="9519" spans="1:10" x14ac:dyDescent="0.25">
      <c r="A9519">
        <v>10692</v>
      </c>
      <c r="B9519" t="s">
        <v>1950</v>
      </c>
      <c r="C9519">
        <v>533</v>
      </c>
      <c r="D9519">
        <v>402</v>
      </c>
      <c r="E9519">
        <v>1576123109</v>
      </c>
      <c r="F9519">
        <v>2805</v>
      </c>
      <c r="G9519">
        <v>0</v>
      </c>
      <c r="H9519" t="s">
        <v>14433</v>
      </c>
      <c r="I9519">
        <v>10692</v>
      </c>
      <c r="J9519" t="str">
        <f>VLOOKUP(E9519,DSSpieler!A:B,2,FALSE)</f>
        <v>Fantastic Four</v>
      </c>
    </row>
    <row r="9520" spans="1:10" x14ac:dyDescent="0.25">
      <c r="A9520">
        <v>10693</v>
      </c>
      <c r="B9520">
        <v>2</v>
      </c>
      <c r="C9520">
        <v>477</v>
      </c>
      <c r="D9520">
        <v>406</v>
      </c>
      <c r="E9520">
        <v>1577069780</v>
      </c>
      <c r="F9520">
        <v>4130</v>
      </c>
      <c r="G9520">
        <v>0</v>
      </c>
      <c r="H9520" t="s">
        <v>14434</v>
      </c>
      <c r="I9520">
        <v>10693</v>
      </c>
      <c r="J9520" t="str">
        <f>VLOOKUP(E9520,DSSpieler!A:B,2,FALSE)</f>
        <v>46erOberweite</v>
      </c>
    </row>
    <row r="9521" spans="1:10" x14ac:dyDescent="0.25">
      <c r="A9521">
        <v>10694</v>
      </c>
      <c r="B9521" t="s">
        <v>728</v>
      </c>
      <c r="C9521">
        <v>574</v>
      </c>
      <c r="D9521">
        <v>442</v>
      </c>
      <c r="E9521">
        <v>1577121578</v>
      </c>
      <c r="F9521">
        <v>6204</v>
      </c>
      <c r="G9521">
        <v>0</v>
      </c>
      <c r="H9521" t="s">
        <v>14435</v>
      </c>
      <c r="I9521">
        <v>10694</v>
      </c>
      <c r="J9521" t="str">
        <f>VLOOKUP(E9521,DSSpieler!A:B,2,FALSE)</f>
        <v>PARAsympathikus</v>
      </c>
    </row>
    <row r="9522" spans="1:10" x14ac:dyDescent="0.25">
      <c r="A9522">
        <v>10695</v>
      </c>
      <c r="B9522" t="s">
        <v>531</v>
      </c>
      <c r="C9522">
        <v>575</v>
      </c>
      <c r="D9522">
        <v>565</v>
      </c>
      <c r="E9522">
        <v>0</v>
      </c>
      <c r="F9522">
        <v>230</v>
      </c>
      <c r="G9522">
        <v>0</v>
      </c>
      <c r="H9522" t="s">
        <v>14436</v>
      </c>
      <c r="I9522">
        <v>10695</v>
      </c>
      <c r="J9522" t="e">
        <f>VLOOKUP(E9522,DSSpieler!A:B,2,FALSE)</f>
        <v>#N/A</v>
      </c>
    </row>
    <row r="9523" spans="1:10" x14ac:dyDescent="0.25">
      <c r="A9523">
        <v>10697</v>
      </c>
      <c r="B9523" t="s">
        <v>979</v>
      </c>
      <c r="C9523">
        <v>512</v>
      </c>
      <c r="D9523">
        <v>601</v>
      </c>
      <c r="E9523">
        <v>1576807787</v>
      </c>
      <c r="F9523">
        <v>5414</v>
      </c>
      <c r="G9523">
        <v>0</v>
      </c>
      <c r="H9523" t="s">
        <v>14437</v>
      </c>
      <c r="I9523">
        <v>10697</v>
      </c>
      <c r="J9523" t="str">
        <f>VLOOKUP(E9523,DSSpieler!A:B,2,FALSE)</f>
        <v>-TeaCup*</v>
      </c>
    </row>
    <row r="9524" spans="1:10" x14ac:dyDescent="0.25">
      <c r="A9524">
        <v>10698</v>
      </c>
      <c r="B9524" t="s">
        <v>33968</v>
      </c>
      <c r="C9524">
        <v>543</v>
      </c>
      <c r="D9524">
        <v>407</v>
      </c>
      <c r="E9524">
        <v>8076591</v>
      </c>
      <c r="F9524">
        <v>6738</v>
      </c>
      <c r="G9524">
        <v>0</v>
      </c>
      <c r="H9524" t="s">
        <v>14438</v>
      </c>
      <c r="I9524">
        <v>10698</v>
      </c>
      <c r="J9524" t="str">
        <f>VLOOKUP(E9524,DSSpieler!A:B,2,FALSE)</f>
        <v>Hinsel</v>
      </c>
    </row>
    <row r="9525" spans="1:10" x14ac:dyDescent="0.25">
      <c r="A9525">
        <v>10699</v>
      </c>
      <c r="B9525" t="s">
        <v>531</v>
      </c>
      <c r="C9525">
        <v>434</v>
      </c>
      <c r="D9525">
        <v>422</v>
      </c>
      <c r="E9525">
        <v>0</v>
      </c>
      <c r="F9525">
        <v>703</v>
      </c>
      <c r="G9525">
        <v>0</v>
      </c>
      <c r="H9525" t="s">
        <v>14439</v>
      </c>
      <c r="I9525">
        <v>10699</v>
      </c>
      <c r="J9525" t="e">
        <f>VLOOKUP(E9525,DSSpieler!A:B,2,FALSE)</f>
        <v>#N/A</v>
      </c>
    </row>
    <row r="9526" spans="1:10" x14ac:dyDescent="0.25">
      <c r="A9526">
        <v>10700</v>
      </c>
      <c r="B9526" t="s">
        <v>531</v>
      </c>
      <c r="C9526">
        <v>521</v>
      </c>
      <c r="D9526">
        <v>404</v>
      </c>
      <c r="E9526">
        <v>0</v>
      </c>
      <c r="F9526">
        <v>278</v>
      </c>
      <c r="G9526">
        <v>0</v>
      </c>
      <c r="H9526" t="s">
        <v>14440</v>
      </c>
      <c r="I9526">
        <v>10700</v>
      </c>
      <c r="J9526" t="e">
        <f>VLOOKUP(E9526,DSSpieler!A:B,2,FALSE)</f>
        <v>#N/A</v>
      </c>
    </row>
    <row r="9527" spans="1:10" x14ac:dyDescent="0.25">
      <c r="A9527">
        <v>10701</v>
      </c>
      <c r="B9527" t="s">
        <v>33969</v>
      </c>
      <c r="C9527">
        <v>461</v>
      </c>
      <c r="D9527">
        <v>409</v>
      </c>
      <c r="E9527">
        <v>672044</v>
      </c>
      <c r="F9527">
        <v>954</v>
      </c>
      <c r="G9527">
        <v>0</v>
      </c>
      <c r="H9527" t="s">
        <v>14441</v>
      </c>
      <c r="I9527">
        <v>10701</v>
      </c>
      <c r="J9527" t="str">
        <f>VLOOKUP(E9527,DSSpieler!A:B,2,FALSE)</f>
        <v>die böse Gabi</v>
      </c>
    </row>
    <row r="9528" spans="1:10" x14ac:dyDescent="0.25">
      <c r="A9528">
        <v>10702</v>
      </c>
      <c r="B9528" t="s">
        <v>1951</v>
      </c>
      <c r="C9528">
        <v>457</v>
      </c>
      <c r="D9528">
        <v>585</v>
      </c>
      <c r="E9528">
        <v>1577184499</v>
      </c>
      <c r="F9528">
        <v>5034</v>
      </c>
      <c r="G9528">
        <v>0</v>
      </c>
      <c r="H9528" t="s">
        <v>14442</v>
      </c>
      <c r="I9528">
        <v>10702</v>
      </c>
      <c r="J9528" t="str">
        <f>VLOOKUP(E9528,DSSpieler!A:B,2,FALSE)</f>
        <v>EisTea*</v>
      </c>
    </row>
    <row r="9529" spans="1:10" x14ac:dyDescent="0.25">
      <c r="A9529">
        <v>10704</v>
      </c>
      <c r="B9529" t="s">
        <v>33970</v>
      </c>
      <c r="C9529">
        <v>485</v>
      </c>
      <c r="D9529">
        <v>450</v>
      </c>
      <c r="E9529">
        <v>1577175203</v>
      </c>
      <c r="F9529">
        <v>3689</v>
      </c>
      <c r="G9529">
        <v>0</v>
      </c>
      <c r="H9529" t="s">
        <v>14443</v>
      </c>
      <c r="I9529">
        <v>10704</v>
      </c>
      <c r="J9529" t="str">
        <f>VLOOKUP(E9529,DSSpieler!A:B,2,FALSE)</f>
        <v>malakaz</v>
      </c>
    </row>
    <row r="9530" spans="1:10" x14ac:dyDescent="0.25">
      <c r="A9530">
        <v>10705</v>
      </c>
      <c r="B9530" t="s">
        <v>531</v>
      </c>
      <c r="C9530">
        <v>561</v>
      </c>
      <c r="D9530">
        <v>567</v>
      </c>
      <c r="E9530">
        <v>0</v>
      </c>
      <c r="F9530">
        <v>953</v>
      </c>
      <c r="G9530">
        <v>0</v>
      </c>
      <c r="H9530" t="s">
        <v>14444</v>
      </c>
      <c r="I9530">
        <v>10705</v>
      </c>
      <c r="J9530" t="e">
        <f>VLOOKUP(E9530,DSSpieler!A:B,2,FALSE)</f>
        <v>#N/A</v>
      </c>
    </row>
    <row r="9531" spans="1:10" x14ac:dyDescent="0.25">
      <c r="A9531">
        <v>10706</v>
      </c>
      <c r="B9531" t="s">
        <v>33971</v>
      </c>
      <c r="C9531">
        <v>573</v>
      </c>
      <c r="D9531">
        <v>572</v>
      </c>
      <c r="E9531">
        <v>7801723</v>
      </c>
      <c r="F9531">
        <v>3988</v>
      </c>
      <c r="G9531">
        <v>0</v>
      </c>
      <c r="H9531" t="s">
        <v>14445</v>
      </c>
      <c r="I9531">
        <v>10706</v>
      </c>
      <c r="J9531" t="str">
        <f>VLOOKUP(E9531,DSSpieler!A:B,2,FALSE)</f>
        <v>Herr des Hasses</v>
      </c>
    </row>
    <row r="9532" spans="1:10" x14ac:dyDescent="0.25">
      <c r="A9532">
        <v>10707</v>
      </c>
      <c r="B9532" t="s">
        <v>33972</v>
      </c>
      <c r="C9532">
        <v>592</v>
      </c>
      <c r="D9532">
        <v>483</v>
      </c>
      <c r="E9532">
        <v>3409026</v>
      </c>
      <c r="F9532">
        <v>5081</v>
      </c>
      <c r="G9532">
        <v>0</v>
      </c>
      <c r="H9532" t="s">
        <v>14446</v>
      </c>
      <c r="I9532">
        <v>10707</v>
      </c>
      <c r="J9532" t="str">
        <f>VLOOKUP(E9532,DSSpieler!A:B,2,FALSE)</f>
        <v>Bullay</v>
      </c>
    </row>
    <row r="9533" spans="1:10" x14ac:dyDescent="0.25">
      <c r="A9533">
        <v>10708</v>
      </c>
      <c r="B9533" t="s">
        <v>531</v>
      </c>
      <c r="C9533">
        <v>456</v>
      </c>
      <c r="D9533">
        <v>592</v>
      </c>
      <c r="E9533">
        <v>0</v>
      </c>
      <c r="F9533">
        <v>181</v>
      </c>
      <c r="G9533">
        <v>0</v>
      </c>
      <c r="H9533" t="s">
        <v>14447</v>
      </c>
      <c r="I9533">
        <v>10708</v>
      </c>
      <c r="J9533" t="e">
        <f>VLOOKUP(E9533,DSSpieler!A:B,2,FALSE)</f>
        <v>#N/A</v>
      </c>
    </row>
    <row r="9534" spans="1:10" x14ac:dyDescent="0.25">
      <c r="A9534">
        <v>10709</v>
      </c>
      <c r="B9534" t="s">
        <v>1952</v>
      </c>
      <c r="C9534">
        <v>528</v>
      </c>
      <c r="D9534">
        <v>525</v>
      </c>
      <c r="E9534">
        <v>8806700</v>
      </c>
      <c r="F9534">
        <v>4769</v>
      </c>
      <c r="G9534">
        <v>0</v>
      </c>
      <c r="H9534" t="s">
        <v>14448</v>
      </c>
      <c r="I9534">
        <v>10709</v>
      </c>
      <c r="J9534" t="str">
        <f>VLOOKUP(E9534,DSSpieler!A:B,2,FALSE)</f>
        <v>Eworks</v>
      </c>
    </row>
    <row r="9535" spans="1:10" x14ac:dyDescent="0.25">
      <c r="A9535">
        <v>10710</v>
      </c>
      <c r="B9535" t="s">
        <v>33973</v>
      </c>
      <c r="C9535">
        <v>570</v>
      </c>
      <c r="D9535">
        <v>579</v>
      </c>
      <c r="E9535">
        <v>7801723</v>
      </c>
      <c r="F9535">
        <v>2546</v>
      </c>
      <c r="G9535">
        <v>0</v>
      </c>
      <c r="H9535" t="s">
        <v>14449</v>
      </c>
      <c r="I9535">
        <v>10710</v>
      </c>
      <c r="J9535" t="str">
        <f>VLOOKUP(E9535,DSSpieler!A:B,2,FALSE)</f>
        <v>Herr des Hasses</v>
      </c>
    </row>
    <row r="9536" spans="1:10" x14ac:dyDescent="0.25">
      <c r="A9536">
        <v>10711</v>
      </c>
      <c r="B9536">
        <v>6</v>
      </c>
      <c r="C9536">
        <v>398</v>
      </c>
      <c r="D9536">
        <v>500</v>
      </c>
      <c r="E9536">
        <v>9642632</v>
      </c>
      <c r="F9536">
        <v>3327</v>
      </c>
      <c r="G9536">
        <v>0</v>
      </c>
      <c r="H9536" t="s">
        <v>14450</v>
      </c>
      <c r="I9536">
        <v>10711</v>
      </c>
      <c r="J9536" t="str">
        <f>VLOOKUP(E9536,DSSpieler!A:B,2,FALSE)</f>
        <v>Micha041</v>
      </c>
    </row>
    <row r="9537" spans="1:10" x14ac:dyDescent="0.25">
      <c r="A9537">
        <v>10712</v>
      </c>
      <c r="B9537" t="s">
        <v>531</v>
      </c>
      <c r="C9537">
        <v>409</v>
      </c>
      <c r="D9537">
        <v>458</v>
      </c>
      <c r="E9537">
        <v>0</v>
      </c>
      <c r="F9537">
        <v>387</v>
      </c>
      <c r="G9537">
        <v>0</v>
      </c>
      <c r="H9537" t="s">
        <v>14451</v>
      </c>
      <c r="I9537">
        <v>10712</v>
      </c>
      <c r="J9537" t="e">
        <f>VLOOKUP(E9537,DSSpieler!A:B,2,FALSE)</f>
        <v>#N/A</v>
      </c>
    </row>
    <row r="9538" spans="1:10" x14ac:dyDescent="0.25">
      <c r="A9538">
        <v>10713</v>
      </c>
      <c r="B9538" t="s">
        <v>531</v>
      </c>
      <c r="C9538">
        <v>400</v>
      </c>
      <c r="D9538">
        <v>518</v>
      </c>
      <c r="E9538">
        <v>0</v>
      </c>
      <c r="F9538">
        <v>354</v>
      </c>
      <c r="G9538">
        <v>0</v>
      </c>
      <c r="H9538" t="s">
        <v>14452</v>
      </c>
      <c r="I9538">
        <v>10713</v>
      </c>
      <c r="J9538" t="e">
        <f>VLOOKUP(E9538,DSSpieler!A:B,2,FALSE)</f>
        <v>#N/A</v>
      </c>
    </row>
    <row r="9539" spans="1:10" x14ac:dyDescent="0.25">
      <c r="A9539">
        <v>10714</v>
      </c>
      <c r="B9539" t="s">
        <v>33974</v>
      </c>
      <c r="C9539">
        <v>494</v>
      </c>
      <c r="D9539">
        <v>499</v>
      </c>
      <c r="E9539">
        <v>1577190877</v>
      </c>
      <c r="F9539">
        <v>1273</v>
      </c>
      <c r="G9539">
        <v>0</v>
      </c>
      <c r="H9539" t="s">
        <v>14453</v>
      </c>
      <c r="I9539">
        <v>10714</v>
      </c>
      <c r="J9539" t="str">
        <f>VLOOKUP(E9539,DSSpieler!A:B,2,FALSE)</f>
        <v>laloco</v>
      </c>
    </row>
    <row r="9540" spans="1:10" x14ac:dyDescent="0.25">
      <c r="A9540">
        <v>10715</v>
      </c>
      <c r="B9540" t="s">
        <v>33975</v>
      </c>
      <c r="C9540">
        <v>433</v>
      </c>
      <c r="D9540">
        <v>426</v>
      </c>
      <c r="E9540">
        <v>1791682</v>
      </c>
      <c r="F9540">
        <v>5707</v>
      </c>
      <c r="G9540">
        <v>0</v>
      </c>
      <c r="H9540" t="s">
        <v>14454</v>
      </c>
      <c r="I9540">
        <v>10715</v>
      </c>
      <c r="J9540" t="str">
        <f>VLOOKUP(E9540,DSSpieler!A:B,2,FALSE)</f>
        <v>Eto1</v>
      </c>
    </row>
    <row r="9541" spans="1:10" x14ac:dyDescent="0.25">
      <c r="A9541">
        <v>10716</v>
      </c>
      <c r="B9541" t="s">
        <v>1953</v>
      </c>
      <c r="C9541">
        <v>399</v>
      </c>
      <c r="D9541">
        <v>481</v>
      </c>
      <c r="E9541">
        <v>9855943</v>
      </c>
      <c r="F9541">
        <v>5605</v>
      </c>
      <c r="G9541">
        <v>0</v>
      </c>
      <c r="H9541" t="s">
        <v>443</v>
      </c>
      <c r="I9541">
        <v>10716</v>
      </c>
      <c r="J9541" t="str">
        <f>VLOOKUP(E9541,DSSpieler!A:B,2,FALSE)</f>
        <v>defender5</v>
      </c>
    </row>
    <row r="9542" spans="1:10" x14ac:dyDescent="0.25">
      <c r="A9542">
        <v>10717</v>
      </c>
      <c r="B9542" t="s">
        <v>531</v>
      </c>
      <c r="C9542">
        <v>563</v>
      </c>
      <c r="D9542">
        <v>591</v>
      </c>
      <c r="E9542">
        <v>0</v>
      </c>
      <c r="F9542">
        <v>1155</v>
      </c>
      <c r="G9542">
        <v>0</v>
      </c>
      <c r="H9542" t="s">
        <v>14455</v>
      </c>
      <c r="I9542">
        <v>10717</v>
      </c>
      <c r="J9542" t="e">
        <f>VLOOKUP(E9542,DSSpieler!A:B,2,FALSE)</f>
        <v>#N/A</v>
      </c>
    </row>
    <row r="9543" spans="1:10" x14ac:dyDescent="0.25">
      <c r="A9543">
        <v>10718</v>
      </c>
      <c r="B9543" t="s">
        <v>1954</v>
      </c>
      <c r="C9543">
        <v>416</v>
      </c>
      <c r="D9543">
        <v>475</v>
      </c>
      <c r="E9543">
        <v>8416945</v>
      </c>
      <c r="F9543">
        <v>4570</v>
      </c>
      <c r="G9543">
        <v>0</v>
      </c>
      <c r="H9543" t="s">
        <v>14456</v>
      </c>
      <c r="I9543">
        <v>10718</v>
      </c>
      <c r="J9543" t="str">
        <f>VLOOKUP(E9543,DSSpieler!A:B,2,FALSE)</f>
        <v>saik06</v>
      </c>
    </row>
    <row r="9544" spans="1:10" x14ac:dyDescent="0.25">
      <c r="A9544">
        <v>10719</v>
      </c>
      <c r="B9544" t="s">
        <v>1955</v>
      </c>
      <c r="C9544">
        <v>426</v>
      </c>
      <c r="D9544">
        <v>504</v>
      </c>
      <c r="E9544">
        <v>1577079404</v>
      </c>
      <c r="F9544">
        <v>1845</v>
      </c>
      <c r="G9544">
        <v>0</v>
      </c>
      <c r="H9544" t="s">
        <v>14457</v>
      </c>
      <c r="I9544">
        <v>10719</v>
      </c>
      <c r="J9544" t="str">
        <f>VLOOKUP(E9544,DSSpieler!A:B,2,FALSE)</f>
        <v>timo</v>
      </c>
    </row>
    <row r="9545" spans="1:10" x14ac:dyDescent="0.25">
      <c r="A9545">
        <v>10720</v>
      </c>
      <c r="B9545">
        <v>8752</v>
      </c>
      <c r="C9545">
        <v>449</v>
      </c>
      <c r="D9545">
        <v>574</v>
      </c>
      <c r="E9545">
        <v>1577198564</v>
      </c>
      <c r="F9545">
        <v>4166</v>
      </c>
      <c r="G9545">
        <v>0</v>
      </c>
      <c r="H9545" t="s">
        <v>14458</v>
      </c>
      <c r="I9545">
        <v>10720</v>
      </c>
      <c r="J9545" t="str">
        <f>VLOOKUP(E9545,DSSpieler!A:B,2,FALSE)</f>
        <v>HallOfFam3</v>
      </c>
    </row>
    <row r="9546" spans="1:10" x14ac:dyDescent="0.25">
      <c r="A9546">
        <v>10723</v>
      </c>
      <c r="B9546" t="s">
        <v>531</v>
      </c>
      <c r="C9546">
        <v>452</v>
      </c>
      <c r="D9546">
        <v>590</v>
      </c>
      <c r="E9546">
        <v>0</v>
      </c>
      <c r="F9546">
        <v>281</v>
      </c>
      <c r="G9546">
        <v>0</v>
      </c>
      <c r="H9546" t="s">
        <v>14459</v>
      </c>
      <c r="I9546">
        <v>10723</v>
      </c>
      <c r="J9546" t="e">
        <f>VLOOKUP(E9546,DSSpieler!A:B,2,FALSE)</f>
        <v>#N/A</v>
      </c>
    </row>
    <row r="9547" spans="1:10" x14ac:dyDescent="0.25">
      <c r="A9547">
        <v>10725</v>
      </c>
      <c r="B9547" t="s">
        <v>531</v>
      </c>
      <c r="C9547">
        <v>518</v>
      </c>
      <c r="D9547">
        <v>598</v>
      </c>
      <c r="E9547">
        <v>0</v>
      </c>
      <c r="F9547">
        <v>120</v>
      </c>
      <c r="G9547">
        <v>0</v>
      </c>
      <c r="H9547" t="s">
        <v>14460</v>
      </c>
      <c r="I9547">
        <v>10725</v>
      </c>
      <c r="J9547" t="e">
        <f>VLOOKUP(E9547,DSSpieler!A:B,2,FALSE)</f>
        <v>#N/A</v>
      </c>
    </row>
    <row r="9548" spans="1:10" x14ac:dyDescent="0.25">
      <c r="A9548">
        <v>10727</v>
      </c>
      <c r="B9548">
        <v>2</v>
      </c>
      <c r="C9548">
        <v>590</v>
      </c>
      <c r="D9548">
        <v>455</v>
      </c>
      <c r="E9548">
        <v>9788379</v>
      </c>
      <c r="F9548">
        <v>2334</v>
      </c>
      <c r="G9548">
        <v>0</v>
      </c>
      <c r="H9548" t="s">
        <v>14461</v>
      </c>
      <c r="I9548">
        <v>10727</v>
      </c>
      <c r="J9548" t="str">
        <f>VLOOKUP(E9548,DSSpieler!A:B,2,FALSE)</f>
        <v>Saveworld</v>
      </c>
    </row>
    <row r="9549" spans="1:10" x14ac:dyDescent="0.25">
      <c r="A9549">
        <v>10728</v>
      </c>
      <c r="B9549" t="s">
        <v>531</v>
      </c>
      <c r="C9549">
        <v>584</v>
      </c>
      <c r="D9549">
        <v>442</v>
      </c>
      <c r="E9549">
        <v>0</v>
      </c>
      <c r="F9549">
        <v>983</v>
      </c>
      <c r="G9549">
        <v>0</v>
      </c>
      <c r="H9549" t="s">
        <v>14462</v>
      </c>
      <c r="I9549">
        <v>10728</v>
      </c>
      <c r="J9549" t="e">
        <f>VLOOKUP(E9549,DSSpieler!A:B,2,FALSE)</f>
        <v>#N/A</v>
      </c>
    </row>
    <row r="9550" spans="1:10" x14ac:dyDescent="0.25">
      <c r="A9550">
        <v>10729</v>
      </c>
      <c r="B9550">
        <v>5</v>
      </c>
      <c r="C9550">
        <v>401</v>
      </c>
      <c r="D9550">
        <v>504</v>
      </c>
      <c r="E9550">
        <v>1576523771</v>
      </c>
      <c r="F9550">
        <v>4212</v>
      </c>
      <c r="G9550">
        <v>0</v>
      </c>
      <c r="H9550" t="s">
        <v>14463</v>
      </c>
      <c r="I9550">
        <v>10729</v>
      </c>
      <c r="J9550" t="str">
        <f>VLOOKUP(E9550,DSSpieler!A:B,2,FALSE)</f>
        <v>Kev1n</v>
      </c>
    </row>
    <row r="9551" spans="1:10" x14ac:dyDescent="0.25">
      <c r="A9551">
        <v>10730</v>
      </c>
      <c r="B9551" t="s">
        <v>1956</v>
      </c>
      <c r="C9551">
        <v>607</v>
      </c>
      <c r="D9551">
        <v>462</v>
      </c>
      <c r="E9551">
        <v>1577195777</v>
      </c>
      <c r="F9551">
        <v>3452</v>
      </c>
      <c r="G9551">
        <v>0</v>
      </c>
      <c r="H9551" t="s">
        <v>14464</v>
      </c>
      <c r="I9551">
        <v>10730</v>
      </c>
      <c r="J9551" t="str">
        <f>VLOOKUP(E9551,DSSpieler!A:B,2,FALSE)</f>
        <v>Eclair</v>
      </c>
    </row>
    <row r="9552" spans="1:10" x14ac:dyDescent="0.25">
      <c r="A9552">
        <v>10731</v>
      </c>
      <c r="B9552" t="s">
        <v>782</v>
      </c>
      <c r="C9552">
        <v>494</v>
      </c>
      <c r="D9552">
        <v>610</v>
      </c>
      <c r="E9552">
        <v>1577180871</v>
      </c>
      <c r="F9552">
        <v>3270</v>
      </c>
      <c r="G9552">
        <v>0</v>
      </c>
      <c r="H9552" t="s">
        <v>14465</v>
      </c>
      <c r="I9552">
        <v>10731</v>
      </c>
      <c r="J9552" t="str">
        <f>VLOOKUP(E9552,DSSpieler!A:B,2,FALSE)</f>
        <v>T0TI</v>
      </c>
    </row>
    <row r="9553" spans="1:10" x14ac:dyDescent="0.25">
      <c r="A9553">
        <v>10732</v>
      </c>
      <c r="B9553" t="s">
        <v>33976</v>
      </c>
      <c r="C9553">
        <v>505</v>
      </c>
      <c r="D9553">
        <v>602</v>
      </c>
      <c r="E9553">
        <v>1576538508</v>
      </c>
      <c r="F9553">
        <v>48</v>
      </c>
      <c r="G9553">
        <v>0</v>
      </c>
      <c r="H9553" t="s">
        <v>14466</v>
      </c>
      <c r="I9553">
        <v>10732</v>
      </c>
      <c r="J9553" t="str">
        <f>VLOOKUP(E9553,DSSpieler!A:B,2,FALSE)</f>
        <v>jokiller</v>
      </c>
    </row>
    <row r="9554" spans="1:10" x14ac:dyDescent="0.25">
      <c r="A9554">
        <v>10733</v>
      </c>
      <c r="B9554" t="s">
        <v>33977</v>
      </c>
      <c r="C9554">
        <v>404</v>
      </c>
      <c r="D9554">
        <v>475</v>
      </c>
      <c r="E9554">
        <v>543291</v>
      </c>
      <c r="F9554">
        <v>5252</v>
      </c>
      <c r="G9554">
        <v>0</v>
      </c>
      <c r="H9554" t="s">
        <v>14467</v>
      </c>
      <c r="I9554">
        <v>10733</v>
      </c>
      <c r="J9554" t="str">
        <f>VLOOKUP(E9554,DSSpieler!A:B,2,FALSE)</f>
        <v>Proty</v>
      </c>
    </row>
    <row r="9555" spans="1:10" x14ac:dyDescent="0.25">
      <c r="A9555">
        <v>10734</v>
      </c>
      <c r="B9555" t="s">
        <v>33978</v>
      </c>
      <c r="C9555">
        <v>588</v>
      </c>
      <c r="D9555">
        <v>526</v>
      </c>
      <c r="E9555">
        <v>1577198571</v>
      </c>
      <c r="F9555">
        <v>6107</v>
      </c>
      <c r="G9555">
        <v>0</v>
      </c>
      <c r="H9555" t="s">
        <v>14468</v>
      </c>
      <c r="I9555">
        <v>10734</v>
      </c>
      <c r="J9555" t="str">
        <f>VLOOKUP(E9555,DSSpieler!A:B,2,FALSE)</f>
        <v>Skaxi</v>
      </c>
    </row>
    <row r="9556" spans="1:10" x14ac:dyDescent="0.25">
      <c r="A9556">
        <v>10736</v>
      </c>
      <c r="B9556" t="s">
        <v>531</v>
      </c>
      <c r="C9556">
        <v>451</v>
      </c>
      <c r="D9556">
        <v>591</v>
      </c>
      <c r="E9556">
        <v>0</v>
      </c>
      <c r="F9556">
        <v>234</v>
      </c>
      <c r="G9556">
        <v>0</v>
      </c>
      <c r="H9556" t="s">
        <v>14469</v>
      </c>
      <c r="I9556">
        <v>10736</v>
      </c>
      <c r="J9556" t="e">
        <f>VLOOKUP(E9556,DSSpieler!A:B,2,FALSE)</f>
        <v>#N/A</v>
      </c>
    </row>
    <row r="9557" spans="1:10" x14ac:dyDescent="0.25">
      <c r="A9557">
        <v>10737</v>
      </c>
      <c r="B9557" t="s">
        <v>1132</v>
      </c>
      <c r="C9557">
        <v>553</v>
      </c>
      <c r="D9557">
        <v>588</v>
      </c>
      <c r="E9557">
        <v>1576826515</v>
      </c>
      <c r="F9557">
        <v>6004</v>
      </c>
      <c r="G9557">
        <v>0</v>
      </c>
      <c r="H9557" t="s">
        <v>14470</v>
      </c>
      <c r="I9557">
        <v>10737</v>
      </c>
      <c r="J9557" t="str">
        <f>VLOOKUP(E9557,DSSpieler!A:B,2,FALSE)</f>
        <v>PandaBear</v>
      </c>
    </row>
    <row r="9558" spans="1:10" x14ac:dyDescent="0.25">
      <c r="A9558">
        <v>10738</v>
      </c>
      <c r="B9558" t="s">
        <v>531</v>
      </c>
      <c r="C9558">
        <v>598</v>
      </c>
      <c r="D9558">
        <v>482</v>
      </c>
      <c r="E9558">
        <v>0</v>
      </c>
      <c r="F9558">
        <v>477</v>
      </c>
      <c r="G9558">
        <v>0</v>
      </c>
      <c r="H9558" t="s">
        <v>14471</v>
      </c>
      <c r="I9558">
        <v>10738</v>
      </c>
      <c r="J9558" t="e">
        <f>VLOOKUP(E9558,DSSpieler!A:B,2,FALSE)</f>
        <v>#N/A</v>
      </c>
    </row>
    <row r="9559" spans="1:10" x14ac:dyDescent="0.25">
      <c r="A9559">
        <v>10739</v>
      </c>
      <c r="B9559" t="s">
        <v>33979</v>
      </c>
      <c r="C9559">
        <v>417</v>
      </c>
      <c r="D9559">
        <v>552</v>
      </c>
      <c r="E9559">
        <v>1577198575</v>
      </c>
      <c r="F9559">
        <v>8328</v>
      </c>
      <c r="G9559">
        <v>0</v>
      </c>
      <c r="H9559" t="s">
        <v>14472</v>
      </c>
      <c r="I9559">
        <v>10739</v>
      </c>
      <c r="J9559" t="str">
        <f>VLOOKUP(E9559,DSSpieler!A:B,2,FALSE)</f>
        <v>pr0gamer</v>
      </c>
    </row>
    <row r="9560" spans="1:10" x14ac:dyDescent="0.25">
      <c r="A9560">
        <v>10740</v>
      </c>
      <c r="B9560" t="s">
        <v>30983</v>
      </c>
      <c r="C9560">
        <v>414</v>
      </c>
      <c r="D9560">
        <v>443</v>
      </c>
      <c r="E9560">
        <v>1576703166</v>
      </c>
      <c r="F9560">
        <v>5299</v>
      </c>
      <c r="G9560">
        <v>0</v>
      </c>
      <c r="H9560" t="s">
        <v>14473</v>
      </c>
      <c r="I9560">
        <v>10740</v>
      </c>
      <c r="J9560" t="str">
        <f>VLOOKUP(E9560,DSSpieler!A:B,2,FALSE)</f>
        <v>Brettvormkopp</v>
      </c>
    </row>
    <row r="9561" spans="1:10" x14ac:dyDescent="0.25">
      <c r="A9561">
        <v>10742</v>
      </c>
      <c r="B9561" t="s">
        <v>1810</v>
      </c>
      <c r="C9561">
        <v>445</v>
      </c>
      <c r="D9561">
        <v>582</v>
      </c>
      <c r="E9561">
        <v>1577151778</v>
      </c>
      <c r="F9561">
        <v>4668</v>
      </c>
      <c r="G9561">
        <v>0</v>
      </c>
      <c r="H9561" t="s">
        <v>14474</v>
      </c>
      <c r="I9561">
        <v>10742</v>
      </c>
      <c r="J9561" t="str">
        <f>VLOOKUP(E9561,DSSpieler!A:B,2,FALSE)</f>
        <v>slawik</v>
      </c>
    </row>
    <row r="9562" spans="1:10" x14ac:dyDescent="0.25">
      <c r="A9562">
        <v>10743</v>
      </c>
      <c r="B9562" t="s">
        <v>33980</v>
      </c>
      <c r="C9562">
        <v>500</v>
      </c>
      <c r="D9562">
        <v>397</v>
      </c>
      <c r="E9562">
        <v>1577139077</v>
      </c>
      <c r="F9562">
        <v>6337</v>
      </c>
      <c r="G9562">
        <v>0</v>
      </c>
      <c r="H9562" t="s">
        <v>14475</v>
      </c>
      <c r="I9562">
        <v>10743</v>
      </c>
      <c r="J9562" t="str">
        <f>VLOOKUP(E9562,DSSpieler!A:B,2,FALSE)</f>
        <v>slinshady</v>
      </c>
    </row>
    <row r="9563" spans="1:10" x14ac:dyDescent="0.25">
      <c r="A9563">
        <v>10744</v>
      </c>
      <c r="B9563" t="s">
        <v>710</v>
      </c>
      <c r="C9563">
        <v>576</v>
      </c>
      <c r="D9563">
        <v>438</v>
      </c>
      <c r="E9563">
        <v>1576947159</v>
      </c>
      <c r="F9563">
        <v>3618</v>
      </c>
      <c r="G9563">
        <v>0</v>
      </c>
      <c r="H9563" t="s">
        <v>14476</v>
      </c>
      <c r="I9563">
        <v>10744</v>
      </c>
      <c r="J9563" t="str">
        <f>VLOOKUP(E9563,DSSpieler!A:B,2,FALSE)</f>
        <v>TodescooI</v>
      </c>
    </row>
    <row r="9564" spans="1:10" x14ac:dyDescent="0.25">
      <c r="A9564">
        <v>10746</v>
      </c>
      <c r="B9564" t="s">
        <v>1957</v>
      </c>
      <c r="C9564">
        <v>436</v>
      </c>
      <c r="D9564">
        <v>514</v>
      </c>
      <c r="E9564">
        <v>1147967</v>
      </c>
      <c r="F9564">
        <v>7062</v>
      </c>
      <c r="G9564">
        <v>0</v>
      </c>
      <c r="H9564" t="s">
        <v>14477</v>
      </c>
      <c r="I9564">
        <v>10746</v>
      </c>
      <c r="J9564" t="str">
        <f>VLOOKUP(E9564,DSSpieler!A:B,2,FALSE)</f>
        <v>Milnox</v>
      </c>
    </row>
    <row r="9565" spans="1:10" x14ac:dyDescent="0.25">
      <c r="A9565">
        <v>10747</v>
      </c>
      <c r="B9565">
        <v>3</v>
      </c>
      <c r="C9565">
        <v>414</v>
      </c>
      <c r="D9565">
        <v>444</v>
      </c>
      <c r="E9565">
        <v>1576705864</v>
      </c>
      <c r="F9565">
        <v>4077</v>
      </c>
      <c r="G9565">
        <v>0</v>
      </c>
      <c r="H9565" t="s">
        <v>14478</v>
      </c>
      <c r="I9565">
        <v>10747</v>
      </c>
      <c r="J9565" t="str">
        <f>VLOOKUP(E9565,DSSpieler!A:B,2,FALSE)</f>
        <v>.FaulPilz</v>
      </c>
    </row>
    <row r="9566" spans="1:10" x14ac:dyDescent="0.25">
      <c r="A9566">
        <v>10748</v>
      </c>
      <c r="B9566" t="s">
        <v>531</v>
      </c>
      <c r="C9566">
        <v>590</v>
      </c>
      <c r="D9566">
        <v>458</v>
      </c>
      <c r="E9566">
        <v>0</v>
      </c>
      <c r="F9566">
        <v>122</v>
      </c>
      <c r="G9566">
        <v>0</v>
      </c>
      <c r="H9566" t="s">
        <v>14479</v>
      </c>
      <c r="I9566">
        <v>10748</v>
      </c>
      <c r="J9566" t="e">
        <f>VLOOKUP(E9566,DSSpieler!A:B,2,FALSE)</f>
        <v>#N/A</v>
      </c>
    </row>
    <row r="9567" spans="1:10" x14ac:dyDescent="0.25">
      <c r="A9567">
        <v>10749</v>
      </c>
      <c r="B9567" t="s">
        <v>531</v>
      </c>
      <c r="C9567">
        <v>399</v>
      </c>
      <c r="D9567">
        <v>496</v>
      </c>
      <c r="E9567">
        <v>0</v>
      </c>
      <c r="F9567">
        <v>275</v>
      </c>
      <c r="G9567">
        <v>0</v>
      </c>
      <c r="H9567" t="s">
        <v>14480</v>
      </c>
      <c r="I9567">
        <v>10749</v>
      </c>
      <c r="J9567" t="e">
        <f>VLOOKUP(E9567,DSSpieler!A:B,2,FALSE)</f>
        <v>#N/A</v>
      </c>
    </row>
    <row r="9568" spans="1:10" x14ac:dyDescent="0.25">
      <c r="A9568">
        <v>10750</v>
      </c>
      <c r="B9568" t="s">
        <v>531</v>
      </c>
      <c r="C9568">
        <v>566</v>
      </c>
      <c r="D9568">
        <v>577</v>
      </c>
      <c r="E9568">
        <v>0</v>
      </c>
      <c r="F9568">
        <v>249</v>
      </c>
      <c r="G9568">
        <v>0</v>
      </c>
      <c r="H9568" t="s">
        <v>14481</v>
      </c>
      <c r="I9568">
        <v>10750</v>
      </c>
      <c r="J9568" t="e">
        <f>VLOOKUP(E9568,DSSpieler!A:B,2,FALSE)</f>
        <v>#N/A</v>
      </c>
    </row>
    <row r="9569" spans="1:10" x14ac:dyDescent="0.25">
      <c r="A9569">
        <v>10751</v>
      </c>
      <c r="B9569" t="s">
        <v>531</v>
      </c>
      <c r="C9569">
        <v>489</v>
      </c>
      <c r="D9569">
        <v>601</v>
      </c>
      <c r="E9569">
        <v>0</v>
      </c>
      <c r="F9569">
        <v>905</v>
      </c>
      <c r="G9569">
        <v>0</v>
      </c>
      <c r="H9569" t="s">
        <v>14482</v>
      </c>
      <c r="I9569">
        <v>10751</v>
      </c>
      <c r="J9569" t="e">
        <f>VLOOKUP(E9569,DSSpieler!A:B,2,FALSE)</f>
        <v>#N/A</v>
      </c>
    </row>
    <row r="9570" spans="1:10" x14ac:dyDescent="0.25">
      <c r="A9570">
        <v>10752</v>
      </c>
      <c r="B9570" t="s">
        <v>531</v>
      </c>
      <c r="C9570">
        <v>446</v>
      </c>
      <c r="D9570">
        <v>567</v>
      </c>
      <c r="E9570">
        <v>0</v>
      </c>
      <c r="F9570">
        <v>244</v>
      </c>
      <c r="G9570">
        <v>0</v>
      </c>
      <c r="H9570" t="s">
        <v>14483</v>
      </c>
      <c r="I9570">
        <v>10752</v>
      </c>
      <c r="J9570" t="e">
        <f>VLOOKUP(E9570,DSSpieler!A:B,2,FALSE)</f>
        <v>#N/A</v>
      </c>
    </row>
    <row r="9571" spans="1:10" x14ac:dyDescent="0.25">
      <c r="A9571">
        <v>10753</v>
      </c>
      <c r="B9571" t="s">
        <v>33981</v>
      </c>
      <c r="C9571">
        <v>399</v>
      </c>
      <c r="D9571">
        <v>505</v>
      </c>
      <c r="E9571">
        <v>1577177028</v>
      </c>
      <c r="F9571">
        <v>3774</v>
      </c>
      <c r="G9571">
        <v>0</v>
      </c>
      <c r="H9571" t="s">
        <v>14484</v>
      </c>
      <c r="I9571">
        <v>10753</v>
      </c>
      <c r="J9571" t="str">
        <f>VLOOKUP(E9571,DSSpieler!A:B,2,FALSE)</f>
        <v>Held des Kampfes</v>
      </c>
    </row>
    <row r="9572" spans="1:10" x14ac:dyDescent="0.25">
      <c r="A9572">
        <v>10754</v>
      </c>
      <c r="B9572">
        <v>4</v>
      </c>
      <c r="C9572">
        <v>487</v>
      </c>
      <c r="D9572">
        <v>442</v>
      </c>
      <c r="E9572">
        <v>1577057432</v>
      </c>
      <c r="F9572">
        <v>5979</v>
      </c>
      <c r="G9572">
        <v>0</v>
      </c>
      <c r="H9572" t="s">
        <v>14485</v>
      </c>
      <c r="I9572">
        <v>10754</v>
      </c>
      <c r="J9572" t="str">
        <f>VLOOKUP(E9572,DSSpieler!A:B,2,FALSE)</f>
        <v>Chocogasm</v>
      </c>
    </row>
    <row r="9573" spans="1:10" x14ac:dyDescent="0.25">
      <c r="A9573">
        <v>10756</v>
      </c>
      <c r="B9573" t="s">
        <v>35851</v>
      </c>
      <c r="C9573">
        <v>581</v>
      </c>
      <c r="D9573">
        <v>559</v>
      </c>
      <c r="E9573">
        <v>1577197503</v>
      </c>
      <c r="F9573">
        <v>4738</v>
      </c>
      <c r="G9573">
        <v>0</v>
      </c>
      <c r="H9573" t="s">
        <v>14486</v>
      </c>
      <c r="I9573">
        <v>10756</v>
      </c>
      <c r="J9573" t="str">
        <f>VLOOKUP(E9573,DSSpieler!A:B,2,FALSE)</f>
        <v>Rapt1le</v>
      </c>
    </row>
    <row r="9574" spans="1:10" x14ac:dyDescent="0.25">
      <c r="A9574">
        <v>10757</v>
      </c>
      <c r="B9574" t="s">
        <v>33982</v>
      </c>
      <c r="C9574">
        <v>449</v>
      </c>
      <c r="D9574">
        <v>589</v>
      </c>
      <c r="E9574">
        <v>1378053</v>
      </c>
      <c r="F9574">
        <v>1549</v>
      </c>
      <c r="G9574">
        <v>0</v>
      </c>
      <c r="H9574" t="s">
        <v>14487</v>
      </c>
      <c r="I9574">
        <v>10757</v>
      </c>
      <c r="J9574" t="str">
        <f>VLOOKUP(E9574,DSSpieler!A:B,2,FALSE)</f>
        <v>Fremdius</v>
      </c>
    </row>
    <row r="9575" spans="1:10" x14ac:dyDescent="0.25">
      <c r="A9575">
        <v>10758</v>
      </c>
      <c r="B9575" t="s">
        <v>1958</v>
      </c>
      <c r="C9575">
        <v>480</v>
      </c>
      <c r="D9575">
        <v>455</v>
      </c>
      <c r="E9575">
        <v>1576084971</v>
      </c>
      <c r="F9575">
        <v>4686</v>
      </c>
      <c r="G9575">
        <v>0</v>
      </c>
      <c r="H9575" t="s">
        <v>14488</v>
      </c>
      <c r="I9575">
        <v>10758</v>
      </c>
      <c r="J9575" t="str">
        <f>VLOOKUP(E9575,DSSpieler!A:B,2,FALSE)</f>
        <v>Timschka</v>
      </c>
    </row>
    <row r="9576" spans="1:10" x14ac:dyDescent="0.25">
      <c r="A9576">
        <v>10759</v>
      </c>
      <c r="B9576" t="s">
        <v>531</v>
      </c>
      <c r="C9576">
        <v>448</v>
      </c>
      <c r="D9576">
        <v>411</v>
      </c>
      <c r="E9576">
        <v>0</v>
      </c>
      <c r="F9576">
        <v>467</v>
      </c>
      <c r="G9576">
        <v>0</v>
      </c>
      <c r="H9576" t="s">
        <v>14489</v>
      </c>
      <c r="I9576">
        <v>10759</v>
      </c>
      <c r="J9576" t="e">
        <f>VLOOKUP(E9576,DSSpieler!A:B,2,FALSE)</f>
        <v>#N/A</v>
      </c>
    </row>
    <row r="9577" spans="1:10" x14ac:dyDescent="0.25">
      <c r="A9577">
        <v>10760</v>
      </c>
      <c r="B9577" t="s">
        <v>33983</v>
      </c>
      <c r="C9577">
        <v>436</v>
      </c>
      <c r="D9577">
        <v>423</v>
      </c>
      <c r="E9577">
        <v>1577045668</v>
      </c>
      <c r="F9577">
        <v>4149</v>
      </c>
      <c r="G9577">
        <v>0</v>
      </c>
      <c r="H9577" t="s">
        <v>14490</v>
      </c>
      <c r="I9577">
        <v>10760</v>
      </c>
      <c r="J9577" t="str">
        <f>VLOOKUP(E9577,DSSpieler!A:B,2,FALSE)</f>
        <v>Maxim98</v>
      </c>
    </row>
    <row r="9578" spans="1:10" x14ac:dyDescent="0.25">
      <c r="A9578">
        <v>10761</v>
      </c>
      <c r="B9578" t="s">
        <v>33984</v>
      </c>
      <c r="C9578">
        <v>589</v>
      </c>
      <c r="D9578">
        <v>556</v>
      </c>
      <c r="E9578">
        <v>1576277382</v>
      </c>
      <c r="F9578">
        <v>4557</v>
      </c>
      <c r="G9578">
        <v>0</v>
      </c>
      <c r="H9578" t="s">
        <v>14491</v>
      </c>
      <c r="I9578">
        <v>10761</v>
      </c>
      <c r="J9578" t="str">
        <f>VLOOKUP(E9578,DSSpieler!A:B,2,FALSE)</f>
        <v>Sasna12</v>
      </c>
    </row>
    <row r="9579" spans="1:10" x14ac:dyDescent="0.25">
      <c r="A9579">
        <v>10762</v>
      </c>
      <c r="B9579" t="s">
        <v>531</v>
      </c>
      <c r="C9579">
        <v>484</v>
      </c>
      <c r="D9579">
        <v>600</v>
      </c>
      <c r="E9579">
        <v>0</v>
      </c>
      <c r="F9579">
        <v>771</v>
      </c>
      <c r="G9579">
        <v>0</v>
      </c>
      <c r="H9579" t="s">
        <v>14492</v>
      </c>
      <c r="I9579">
        <v>10762</v>
      </c>
      <c r="J9579" t="e">
        <f>VLOOKUP(E9579,DSSpieler!A:B,2,FALSE)</f>
        <v>#N/A</v>
      </c>
    </row>
    <row r="9580" spans="1:10" x14ac:dyDescent="0.25">
      <c r="A9580">
        <v>10763</v>
      </c>
      <c r="B9580" t="s">
        <v>33275</v>
      </c>
      <c r="C9580">
        <v>406</v>
      </c>
      <c r="D9580">
        <v>539</v>
      </c>
      <c r="E9580">
        <v>1576996170</v>
      </c>
      <c r="F9580">
        <v>6407</v>
      </c>
      <c r="G9580">
        <v>0</v>
      </c>
      <c r="H9580" t="s">
        <v>14493</v>
      </c>
      <c r="I9580">
        <v>10763</v>
      </c>
      <c r="J9580" t="str">
        <f>VLOOKUP(E9580,DSSpieler!A:B,2,FALSE)</f>
        <v>Brix05</v>
      </c>
    </row>
    <row r="9581" spans="1:10" x14ac:dyDescent="0.25">
      <c r="A9581">
        <v>10764</v>
      </c>
      <c r="B9581" t="s">
        <v>33985</v>
      </c>
      <c r="C9581">
        <v>411</v>
      </c>
      <c r="D9581">
        <v>507</v>
      </c>
      <c r="E9581">
        <v>10269033</v>
      </c>
      <c r="F9581">
        <v>5742</v>
      </c>
      <c r="G9581">
        <v>0</v>
      </c>
      <c r="H9581" t="s">
        <v>14494</v>
      </c>
      <c r="I9581">
        <v>10764</v>
      </c>
      <c r="J9581" t="str">
        <f>VLOOKUP(E9581,DSSpieler!A:B,2,FALSE)</f>
        <v>Brazzors</v>
      </c>
    </row>
    <row r="9582" spans="1:10" x14ac:dyDescent="0.25">
      <c r="A9582">
        <v>10765</v>
      </c>
      <c r="B9582" t="s">
        <v>531</v>
      </c>
      <c r="C9582">
        <v>512</v>
      </c>
      <c r="D9582">
        <v>600</v>
      </c>
      <c r="E9582">
        <v>0</v>
      </c>
      <c r="F9582">
        <v>485</v>
      </c>
      <c r="G9582">
        <v>0</v>
      </c>
      <c r="H9582" t="s">
        <v>14495</v>
      </c>
      <c r="I9582">
        <v>10765</v>
      </c>
      <c r="J9582" t="e">
        <f>VLOOKUP(E9582,DSSpieler!A:B,2,FALSE)</f>
        <v>#N/A</v>
      </c>
    </row>
    <row r="9583" spans="1:10" x14ac:dyDescent="0.25">
      <c r="A9583">
        <v>10766</v>
      </c>
      <c r="B9583" t="s">
        <v>531</v>
      </c>
      <c r="C9583">
        <v>592</v>
      </c>
      <c r="D9583">
        <v>540</v>
      </c>
      <c r="E9583">
        <v>0</v>
      </c>
      <c r="F9583">
        <v>658</v>
      </c>
      <c r="G9583">
        <v>0</v>
      </c>
      <c r="H9583" t="s">
        <v>14496</v>
      </c>
      <c r="I9583">
        <v>10766</v>
      </c>
      <c r="J9583" t="e">
        <f>VLOOKUP(E9583,DSSpieler!A:B,2,FALSE)</f>
        <v>#N/A</v>
      </c>
    </row>
    <row r="9584" spans="1:10" x14ac:dyDescent="0.25">
      <c r="A9584">
        <v>10767</v>
      </c>
      <c r="B9584" t="s">
        <v>531</v>
      </c>
      <c r="C9584">
        <v>412</v>
      </c>
      <c r="D9584">
        <v>449</v>
      </c>
      <c r="E9584">
        <v>0</v>
      </c>
      <c r="F9584">
        <v>976</v>
      </c>
      <c r="G9584">
        <v>0</v>
      </c>
      <c r="H9584" t="s">
        <v>14497</v>
      </c>
      <c r="I9584">
        <v>10767</v>
      </c>
      <c r="J9584" t="e">
        <f>VLOOKUP(E9584,DSSpieler!A:B,2,FALSE)</f>
        <v>#N/A</v>
      </c>
    </row>
    <row r="9585" spans="1:10" x14ac:dyDescent="0.25">
      <c r="A9585">
        <v>10768</v>
      </c>
      <c r="B9585" t="s">
        <v>30465</v>
      </c>
      <c r="C9585">
        <v>422</v>
      </c>
      <c r="D9585">
        <v>437</v>
      </c>
      <c r="E9585">
        <v>7785606</v>
      </c>
      <c r="F9585">
        <v>4482</v>
      </c>
      <c r="G9585">
        <v>0</v>
      </c>
      <c r="H9585" t="s">
        <v>14498</v>
      </c>
      <c r="I9585">
        <v>10768</v>
      </c>
      <c r="J9585" t="str">
        <f>VLOOKUP(E9585,DSSpieler!A:B,2,FALSE)</f>
        <v>-Schpider*</v>
      </c>
    </row>
    <row r="9586" spans="1:10" x14ac:dyDescent="0.25">
      <c r="A9586">
        <v>10769</v>
      </c>
      <c r="B9586" t="s">
        <v>33986</v>
      </c>
      <c r="C9586">
        <v>547</v>
      </c>
      <c r="D9586">
        <v>407</v>
      </c>
      <c r="E9586">
        <v>1577045139</v>
      </c>
      <c r="F9586">
        <v>5992</v>
      </c>
      <c r="G9586">
        <v>0</v>
      </c>
      <c r="H9586" t="s">
        <v>14499</v>
      </c>
      <c r="I9586">
        <v>10769</v>
      </c>
      <c r="J9586" t="str">
        <f>VLOOKUP(E9586,DSSpieler!A:B,2,FALSE)</f>
        <v>Ice and Fire</v>
      </c>
    </row>
    <row r="9587" spans="1:10" x14ac:dyDescent="0.25">
      <c r="A9587">
        <v>10770</v>
      </c>
      <c r="B9587" t="s">
        <v>531</v>
      </c>
      <c r="C9587">
        <v>490</v>
      </c>
      <c r="D9587">
        <v>598</v>
      </c>
      <c r="E9587">
        <v>0</v>
      </c>
      <c r="F9587">
        <v>859</v>
      </c>
      <c r="G9587">
        <v>0</v>
      </c>
      <c r="H9587" t="s">
        <v>14500</v>
      </c>
      <c r="I9587">
        <v>10770</v>
      </c>
      <c r="J9587" t="e">
        <f>VLOOKUP(E9587,DSSpieler!A:B,2,FALSE)</f>
        <v>#N/A</v>
      </c>
    </row>
    <row r="9588" spans="1:10" x14ac:dyDescent="0.25">
      <c r="A9588">
        <v>10772</v>
      </c>
      <c r="B9588" t="s">
        <v>33987</v>
      </c>
      <c r="C9588">
        <v>531</v>
      </c>
      <c r="D9588">
        <v>402</v>
      </c>
      <c r="E9588">
        <v>1577196253</v>
      </c>
      <c r="F9588">
        <v>6567</v>
      </c>
      <c r="G9588">
        <v>0</v>
      </c>
      <c r="H9588" t="s">
        <v>14501</v>
      </c>
      <c r="I9588">
        <v>10772</v>
      </c>
      <c r="J9588" t="str">
        <f>VLOOKUP(E9588,DSSpieler!A:B,2,FALSE)</f>
        <v>Dracay</v>
      </c>
    </row>
    <row r="9589" spans="1:10" x14ac:dyDescent="0.25">
      <c r="A9589">
        <v>10773</v>
      </c>
      <c r="B9589" t="s">
        <v>33988</v>
      </c>
      <c r="C9589">
        <v>468</v>
      </c>
      <c r="D9589">
        <v>598</v>
      </c>
      <c r="E9589">
        <v>9449355</v>
      </c>
      <c r="F9589">
        <v>5043</v>
      </c>
      <c r="G9589">
        <v>0</v>
      </c>
      <c r="H9589" t="s">
        <v>14502</v>
      </c>
      <c r="I9589">
        <v>10773</v>
      </c>
      <c r="J9589" t="str">
        <f>VLOOKUP(E9589,DSSpieler!A:B,2,FALSE)</f>
        <v>PapageiKatze941</v>
      </c>
    </row>
    <row r="9590" spans="1:10" x14ac:dyDescent="0.25">
      <c r="A9590">
        <v>10774</v>
      </c>
      <c r="B9590" t="s">
        <v>33989</v>
      </c>
      <c r="C9590">
        <v>422</v>
      </c>
      <c r="D9590">
        <v>567</v>
      </c>
      <c r="E9590">
        <v>1576493594</v>
      </c>
      <c r="F9590">
        <v>3849</v>
      </c>
      <c r="G9590">
        <v>0</v>
      </c>
      <c r="H9590" t="s">
        <v>14503</v>
      </c>
      <c r="I9590">
        <v>10774</v>
      </c>
      <c r="J9590" t="str">
        <f>VLOOKUP(E9590,DSSpieler!A:B,2,FALSE)</f>
        <v>Shakur.</v>
      </c>
    </row>
    <row r="9591" spans="1:10" x14ac:dyDescent="0.25">
      <c r="A9591">
        <v>10775</v>
      </c>
      <c r="B9591" t="s">
        <v>33990</v>
      </c>
      <c r="C9591">
        <v>538</v>
      </c>
      <c r="D9591">
        <v>595</v>
      </c>
      <c r="E9591">
        <v>1691328</v>
      </c>
      <c r="F9591">
        <v>4890</v>
      </c>
      <c r="G9591">
        <v>0</v>
      </c>
      <c r="H9591" t="s">
        <v>14504</v>
      </c>
      <c r="I9591">
        <v>10775</v>
      </c>
      <c r="J9591" t="str">
        <f>VLOOKUP(E9591,DSSpieler!A:B,2,FALSE)</f>
        <v>hummler68</v>
      </c>
    </row>
    <row r="9592" spans="1:10" x14ac:dyDescent="0.25">
      <c r="A9592">
        <v>10777</v>
      </c>
      <c r="B9592">
        <v>2</v>
      </c>
      <c r="C9592">
        <v>434</v>
      </c>
      <c r="D9592">
        <v>576</v>
      </c>
      <c r="E9592">
        <v>8015832</v>
      </c>
      <c r="F9592">
        <v>3666</v>
      </c>
      <c r="G9592">
        <v>0</v>
      </c>
      <c r="H9592" t="s">
        <v>14505</v>
      </c>
      <c r="I9592">
        <v>10777</v>
      </c>
      <c r="J9592" t="str">
        <f>VLOOKUP(E9592,DSSpieler!A:B,2,FALSE)</f>
        <v>El C@pitano</v>
      </c>
    </row>
    <row r="9593" spans="1:10" x14ac:dyDescent="0.25">
      <c r="A9593">
        <v>10778</v>
      </c>
      <c r="B9593" t="s">
        <v>33991</v>
      </c>
      <c r="C9593">
        <v>476</v>
      </c>
      <c r="D9593">
        <v>593</v>
      </c>
      <c r="E9593">
        <v>3269983</v>
      </c>
      <c r="F9593">
        <v>4616</v>
      </c>
      <c r="G9593">
        <v>0</v>
      </c>
      <c r="H9593" t="s">
        <v>14506</v>
      </c>
      <c r="I9593">
        <v>10778</v>
      </c>
      <c r="J9593" t="str">
        <f>VLOOKUP(E9593,DSSpieler!A:B,2,FALSE)</f>
        <v>SvenC@</v>
      </c>
    </row>
    <row r="9594" spans="1:10" x14ac:dyDescent="0.25">
      <c r="A9594">
        <v>10779</v>
      </c>
      <c r="B9594" t="s">
        <v>1959</v>
      </c>
      <c r="C9594">
        <v>480</v>
      </c>
      <c r="D9594">
        <v>599</v>
      </c>
      <c r="E9594">
        <v>1577176518</v>
      </c>
      <c r="F9594">
        <v>2890</v>
      </c>
      <c r="G9594">
        <v>0</v>
      </c>
      <c r="H9594" t="s">
        <v>14507</v>
      </c>
      <c r="I9594">
        <v>10779</v>
      </c>
      <c r="J9594" t="str">
        <f>VLOOKUP(E9594,DSSpieler!A:B,2,FALSE)</f>
        <v>Alsazar</v>
      </c>
    </row>
    <row r="9595" spans="1:10" x14ac:dyDescent="0.25">
      <c r="A9595">
        <v>10780</v>
      </c>
      <c r="B9595" t="s">
        <v>531</v>
      </c>
      <c r="C9595">
        <v>406</v>
      </c>
      <c r="D9595">
        <v>531</v>
      </c>
      <c r="E9595">
        <v>0</v>
      </c>
      <c r="F9595">
        <v>174</v>
      </c>
      <c r="G9595">
        <v>0</v>
      </c>
      <c r="H9595" t="s">
        <v>14508</v>
      </c>
      <c r="I9595">
        <v>10780</v>
      </c>
      <c r="J9595" t="e">
        <f>VLOOKUP(E9595,DSSpieler!A:B,2,FALSE)</f>
        <v>#N/A</v>
      </c>
    </row>
    <row r="9596" spans="1:10" x14ac:dyDescent="0.25">
      <c r="A9596">
        <v>10781</v>
      </c>
      <c r="B9596" t="s">
        <v>33992</v>
      </c>
      <c r="C9596">
        <v>523</v>
      </c>
      <c r="D9596">
        <v>400</v>
      </c>
      <c r="E9596">
        <v>1577170384</v>
      </c>
      <c r="F9596">
        <v>6943</v>
      </c>
      <c r="G9596">
        <v>0</v>
      </c>
      <c r="H9596" t="s">
        <v>14509</v>
      </c>
      <c r="I9596">
        <v>10781</v>
      </c>
      <c r="J9596" t="str">
        <f>VLOOKUP(E9596,DSSpieler!A:B,2,FALSE)</f>
        <v>Pazzo</v>
      </c>
    </row>
    <row r="9597" spans="1:10" x14ac:dyDescent="0.25">
      <c r="A9597">
        <v>10782</v>
      </c>
      <c r="B9597" t="s">
        <v>531</v>
      </c>
      <c r="C9597">
        <v>473</v>
      </c>
      <c r="D9597">
        <v>595</v>
      </c>
      <c r="E9597">
        <v>0</v>
      </c>
      <c r="F9597">
        <v>417</v>
      </c>
      <c r="G9597">
        <v>0</v>
      </c>
      <c r="H9597" t="s">
        <v>14510</v>
      </c>
      <c r="I9597">
        <v>10782</v>
      </c>
      <c r="J9597" t="e">
        <f>VLOOKUP(E9597,DSSpieler!A:B,2,FALSE)</f>
        <v>#N/A</v>
      </c>
    </row>
    <row r="9598" spans="1:10" x14ac:dyDescent="0.25">
      <c r="A9598">
        <v>10783</v>
      </c>
      <c r="B9598" t="s">
        <v>33993</v>
      </c>
      <c r="C9598">
        <v>524</v>
      </c>
      <c r="D9598">
        <v>538</v>
      </c>
      <c r="E9598">
        <v>10158455</v>
      </c>
      <c r="F9598">
        <v>1572</v>
      </c>
      <c r="G9598">
        <v>0</v>
      </c>
      <c r="H9598" t="s">
        <v>14511</v>
      </c>
      <c r="I9598">
        <v>10783</v>
      </c>
      <c r="J9598" t="str">
        <f>VLOOKUP(E9598,DSSpieler!A:B,2,FALSE)</f>
        <v>xJeeff</v>
      </c>
    </row>
    <row r="9599" spans="1:10" x14ac:dyDescent="0.25">
      <c r="A9599">
        <v>10784</v>
      </c>
      <c r="B9599" t="s">
        <v>531</v>
      </c>
      <c r="C9599">
        <v>602</v>
      </c>
      <c r="D9599">
        <v>491</v>
      </c>
      <c r="E9599">
        <v>0</v>
      </c>
      <c r="F9599">
        <v>219</v>
      </c>
      <c r="G9599">
        <v>0</v>
      </c>
      <c r="H9599" t="s">
        <v>14512</v>
      </c>
      <c r="I9599">
        <v>10784</v>
      </c>
      <c r="J9599" t="e">
        <f>VLOOKUP(E9599,DSSpieler!A:B,2,FALSE)</f>
        <v>#N/A</v>
      </c>
    </row>
    <row r="9600" spans="1:10" x14ac:dyDescent="0.25">
      <c r="A9600">
        <v>10785</v>
      </c>
      <c r="B9600" t="s">
        <v>1960</v>
      </c>
      <c r="C9600">
        <v>414</v>
      </c>
      <c r="D9600">
        <v>557</v>
      </c>
      <c r="E9600">
        <v>1577179492</v>
      </c>
      <c r="F9600">
        <v>7029</v>
      </c>
      <c r="G9600">
        <v>0</v>
      </c>
      <c r="H9600" t="s">
        <v>14513</v>
      </c>
      <c r="I9600">
        <v>10785</v>
      </c>
      <c r="J9600" t="str">
        <f>VLOOKUP(E9600,DSSpieler!A:B,2,FALSE)</f>
        <v>nav050590</v>
      </c>
    </row>
    <row r="9601" spans="1:10" x14ac:dyDescent="0.25">
      <c r="A9601">
        <v>10786</v>
      </c>
      <c r="B9601" t="s">
        <v>531</v>
      </c>
      <c r="C9601">
        <v>577</v>
      </c>
      <c r="D9601">
        <v>571</v>
      </c>
      <c r="E9601">
        <v>0</v>
      </c>
      <c r="F9601">
        <v>1050</v>
      </c>
      <c r="G9601">
        <v>0</v>
      </c>
      <c r="H9601" t="s">
        <v>14514</v>
      </c>
      <c r="I9601">
        <v>10786</v>
      </c>
      <c r="J9601" t="e">
        <f>VLOOKUP(E9601,DSSpieler!A:B,2,FALSE)</f>
        <v>#N/A</v>
      </c>
    </row>
    <row r="9602" spans="1:10" x14ac:dyDescent="0.25">
      <c r="A9602">
        <v>10788</v>
      </c>
      <c r="B9602" t="s">
        <v>33994</v>
      </c>
      <c r="C9602">
        <v>587</v>
      </c>
      <c r="D9602">
        <v>449</v>
      </c>
      <c r="E9602">
        <v>1577175214</v>
      </c>
      <c r="F9602">
        <v>6252</v>
      </c>
      <c r="G9602">
        <v>0</v>
      </c>
      <c r="H9602" t="s">
        <v>14515</v>
      </c>
      <c r="I9602">
        <v>10788</v>
      </c>
      <c r="J9602" t="str">
        <f>VLOOKUP(E9602,DSSpieler!A:B,2,FALSE)</f>
        <v>Ref422</v>
      </c>
    </row>
    <row r="9603" spans="1:10" x14ac:dyDescent="0.25">
      <c r="A9603">
        <v>10789</v>
      </c>
      <c r="B9603" t="s">
        <v>531</v>
      </c>
      <c r="C9603">
        <v>573</v>
      </c>
      <c r="D9603">
        <v>571</v>
      </c>
      <c r="E9603">
        <v>0</v>
      </c>
      <c r="F9603">
        <v>316</v>
      </c>
      <c r="G9603">
        <v>0</v>
      </c>
      <c r="H9603" t="s">
        <v>14516</v>
      </c>
      <c r="I9603">
        <v>10789</v>
      </c>
      <c r="J9603" t="e">
        <f>VLOOKUP(E9603,DSSpieler!A:B,2,FALSE)</f>
        <v>#N/A</v>
      </c>
    </row>
    <row r="9604" spans="1:10" x14ac:dyDescent="0.25">
      <c r="A9604">
        <v>10790</v>
      </c>
      <c r="B9604" t="s">
        <v>780</v>
      </c>
      <c r="C9604">
        <v>595</v>
      </c>
      <c r="D9604">
        <v>533</v>
      </c>
      <c r="E9604">
        <v>1577201631</v>
      </c>
      <c r="F9604">
        <v>3739</v>
      </c>
      <c r="G9604">
        <v>0</v>
      </c>
      <c r="H9604" t="s">
        <v>14517</v>
      </c>
      <c r="I9604">
        <v>10790</v>
      </c>
      <c r="J9604" t="str">
        <f>VLOOKUP(E9604,DSSpieler!A:B,2,FALSE)</f>
        <v>Captain Buggy</v>
      </c>
    </row>
    <row r="9605" spans="1:10" x14ac:dyDescent="0.25">
      <c r="A9605">
        <v>10791</v>
      </c>
      <c r="B9605" t="s">
        <v>1041</v>
      </c>
      <c r="C9605">
        <v>551</v>
      </c>
      <c r="D9605">
        <v>406</v>
      </c>
      <c r="E9605">
        <v>1577198592</v>
      </c>
      <c r="F9605">
        <v>5759</v>
      </c>
      <c r="G9605">
        <v>0</v>
      </c>
      <c r="H9605" t="s">
        <v>14518</v>
      </c>
      <c r="I9605">
        <v>10791</v>
      </c>
      <c r="J9605" t="str">
        <f>VLOOKUP(E9605,DSSpieler!A:B,2,FALSE)</f>
        <v>ChrissiWuute</v>
      </c>
    </row>
    <row r="9606" spans="1:10" x14ac:dyDescent="0.25">
      <c r="A9606">
        <v>10792</v>
      </c>
      <c r="B9606" t="s">
        <v>1723</v>
      </c>
      <c r="C9606">
        <v>428</v>
      </c>
      <c r="D9606">
        <v>570</v>
      </c>
      <c r="E9606">
        <v>1577197251</v>
      </c>
      <c r="F9606">
        <v>3122</v>
      </c>
      <c r="G9606">
        <v>0</v>
      </c>
      <c r="H9606" t="s">
        <v>14519</v>
      </c>
      <c r="I9606">
        <v>10792</v>
      </c>
      <c r="J9606" t="str">
        <f>VLOOKUP(E9606,DSSpieler!A:B,2,FALSE)</f>
        <v>DannyB</v>
      </c>
    </row>
    <row r="9607" spans="1:10" x14ac:dyDescent="0.25">
      <c r="A9607">
        <v>10793</v>
      </c>
      <c r="B9607" t="s">
        <v>1900</v>
      </c>
      <c r="C9607">
        <v>404</v>
      </c>
      <c r="D9607">
        <v>534</v>
      </c>
      <c r="E9607">
        <v>619909</v>
      </c>
      <c r="F9607">
        <v>6748</v>
      </c>
      <c r="G9607">
        <v>0</v>
      </c>
      <c r="H9607" t="s">
        <v>14520</v>
      </c>
      <c r="I9607">
        <v>10793</v>
      </c>
      <c r="J9607" t="str">
        <f>VLOOKUP(E9607,DSSpieler!A:B,2,FALSE)</f>
        <v>InvincibleB</v>
      </c>
    </row>
    <row r="9608" spans="1:10" x14ac:dyDescent="0.25">
      <c r="A9608">
        <v>10794</v>
      </c>
      <c r="B9608" t="s">
        <v>531</v>
      </c>
      <c r="C9608">
        <v>592</v>
      </c>
      <c r="D9608">
        <v>539</v>
      </c>
      <c r="E9608">
        <v>0</v>
      </c>
      <c r="F9608">
        <v>821</v>
      </c>
      <c r="G9608">
        <v>0</v>
      </c>
      <c r="H9608" t="s">
        <v>14521</v>
      </c>
      <c r="I9608">
        <v>10794</v>
      </c>
      <c r="J9608" t="e">
        <f>VLOOKUP(E9608,DSSpieler!A:B,2,FALSE)</f>
        <v>#N/A</v>
      </c>
    </row>
    <row r="9609" spans="1:10" x14ac:dyDescent="0.25">
      <c r="A9609">
        <v>10795</v>
      </c>
      <c r="B9609" t="s">
        <v>33995</v>
      </c>
      <c r="C9609">
        <v>551</v>
      </c>
      <c r="D9609">
        <v>413</v>
      </c>
      <c r="E9609">
        <v>1576256877</v>
      </c>
      <c r="F9609">
        <v>1377</v>
      </c>
      <c r="G9609">
        <v>0</v>
      </c>
      <c r="H9609" t="s">
        <v>14522</v>
      </c>
      <c r="I9609">
        <v>10795</v>
      </c>
      <c r="J9609" t="str">
        <f>VLOOKUP(E9609,DSSpieler!A:B,2,FALSE)</f>
        <v>Alex2503</v>
      </c>
    </row>
    <row r="9610" spans="1:10" x14ac:dyDescent="0.25">
      <c r="A9610">
        <v>10796</v>
      </c>
      <c r="B9610" t="s">
        <v>33996</v>
      </c>
      <c r="C9610">
        <v>558</v>
      </c>
      <c r="D9610">
        <v>548</v>
      </c>
      <c r="E9610">
        <v>1577177778</v>
      </c>
      <c r="F9610">
        <v>8214</v>
      </c>
      <c r="G9610">
        <v>0</v>
      </c>
      <c r="H9610" t="s">
        <v>14523</v>
      </c>
      <c r="I9610">
        <v>10796</v>
      </c>
      <c r="J9610" t="str">
        <f>VLOOKUP(E9610,DSSpieler!A:B,2,FALSE)</f>
        <v>Hormillo</v>
      </c>
    </row>
    <row r="9611" spans="1:10" x14ac:dyDescent="0.25">
      <c r="A9611">
        <v>10798</v>
      </c>
      <c r="B9611" t="s">
        <v>33997</v>
      </c>
      <c r="C9611">
        <v>428</v>
      </c>
      <c r="D9611">
        <v>430</v>
      </c>
      <c r="E9611">
        <v>1577181643</v>
      </c>
      <c r="F9611">
        <v>6420</v>
      </c>
      <c r="G9611">
        <v>0</v>
      </c>
      <c r="H9611" t="s">
        <v>14524</v>
      </c>
      <c r="I9611">
        <v>10798</v>
      </c>
      <c r="J9611" t="str">
        <f>VLOOKUP(E9611,DSSpieler!A:B,2,FALSE)</f>
        <v>MadMaxx</v>
      </c>
    </row>
    <row r="9612" spans="1:10" x14ac:dyDescent="0.25">
      <c r="A9612">
        <v>10799</v>
      </c>
      <c r="B9612" t="s">
        <v>33998</v>
      </c>
      <c r="C9612">
        <v>427</v>
      </c>
      <c r="D9612">
        <v>432</v>
      </c>
      <c r="E9612">
        <v>9168836</v>
      </c>
      <c r="F9612">
        <v>7061</v>
      </c>
      <c r="G9612">
        <v>0</v>
      </c>
      <c r="H9612" t="s">
        <v>14525</v>
      </c>
      <c r="I9612">
        <v>10799</v>
      </c>
      <c r="J9612" t="str">
        <f>VLOOKUP(E9612,DSSpieler!A:B,2,FALSE)</f>
        <v>Fortunator96</v>
      </c>
    </row>
    <row r="9613" spans="1:10" x14ac:dyDescent="0.25">
      <c r="A9613">
        <v>10801</v>
      </c>
      <c r="B9613" t="s">
        <v>531</v>
      </c>
      <c r="C9613">
        <v>592</v>
      </c>
      <c r="D9613">
        <v>541</v>
      </c>
      <c r="E9613">
        <v>0</v>
      </c>
      <c r="F9613">
        <v>769</v>
      </c>
      <c r="G9613">
        <v>0</v>
      </c>
      <c r="H9613" t="s">
        <v>14526</v>
      </c>
      <c r="I9613">
        <v>10801</v>
      </c>
      <c r="J9613" t="e">
        <f>VLOOKUP(E9613,DSSpieler!A:B,2,FALSE)</f>
        <v>#N/A</v>
      </c>
    </row>
    <row r="9614" spans="1:10" x14ac:dyDescent="0.25">
      <c r="A9614">
        <v>10803</v>
      </c>
      <c r="B9614">
        <v>1</v>
      </c>
      <c r="C9614">
        <v>582</v>
      </c>
      <c r="D9614">
        <v>430</v>
      </c>
      <c r="E9614">
        <v>1576974573</v>
      </c>
      <c r="F9614">
        <v>5857</v>
      </c>
      <c r="G9614">
        <v>0</v>
      </c>
      <c r="H9614" t="s">
        <v>14527</v>
      </c>
      <c r="I9614">
        <v>10803</v>
      </c>
      <c r="J9614" t="str">
        <f>VLOOKUP(E9614,DSSpieler!A:B,2,FALSE)</f>
        <v>SCHM%C3%84TTERling</v>
      </c>
    </row>
    <row r="9615" spans="1:10" x14ac:dyDescent="0.25">
      <c r="A9615">
        <v>10804</v>
      </c>
      <c r="B9615">
        <v>2</v>
      </c>
      <c r="C9615">
        <v>440</v>
      </c>
      <c r="D9615">
        <v>579</v>
      </c>
      <c r="E9615">
        <v>2710916</v>
      </c>
      <c r="F9615">
        <v>3477</v>
      </c>
      <c r="G9615">
        <v>0</v>
      </c>
      <c r="H9615" t="s">
        <v>14528</v>
      </c>
      <c r="I9615">
        <v>10804</v>
      </c>
      <c r="J9615" t="str">
        <f>VLOOKUP(E9615,DSSpieler!A:B,2,FALSE)</f>
        <v>frederike b.</v>
      </c>
    </row>
    <row r="9616" spans="1:10" x14ac:dyDescent="0.25">
      <c r="A9616">
        <v>10805</v>
      </c>
      <c r="B9616" s="111">
        <v>230.02</v>
      </c>
      <c r="C9616">
        <v>439</v>
      </c>
      <c r="D9616">
        <v>578</v>
      </c>
      <c r="E9616">
        <v>1576927186</v>
      </c>
      <c r="F9616">
        <v>4496</v>
      </c>
      <c r="G9616">
        <v>0</v>
      </c>
      <c r="H9616" t="s">
        <v>14529</v>
      </c>
      <c r="I9616">
        <v>10805</v>
      </c>
      <c r="J9616" t="str">
        <f>VLOOKUP(E9616,DSSpieler!A:B,2,FALSE)</f>
        <v>Lewizz95</v>
      </c>
    </row>
    <row r="9617" spans="1:10" x14ac:dyDescent="0.25">
      <c r="A9617">
        <v>10806</v>
      </c>
      <c r="B9617" t="s">
        <v>33999</v>
      </c>
      <c r="C9617">
        <v>595</v>
      </c>
      <c r="D9617">
        <v>451</v>
      </c>
      <c r="E9617">
        <v>1577065529</v>
      </c>
      <c r="F9617">
        <v>4523</v>
      </c>
      <c r="G9617">
        <v>0</v>
      </c>
      <c r="H9617" t="s">
        <v>14530</v>
      </c>
      <c r="I9617">
        <v>10806</v>
      </c>
      <c r="J9617" t="str">
        <f>VLOOKUP(E9617,DSSpieler!A:B,2,FALSE)</f>
        <v>Spanholz</v>
      </c>
    </row>
    <row r="9618" spans="1:10" x14ac:dyDescent="0.25">
      <c r="A9618">
        <v>10807</v>
      </c>
      <c r="B9618" t="s">
        <v>1961</v>
      </c>
      <c r="C9618">
        <v>455</v>
      </c>
      <c r="D9618">
        <v>528</v>
      </c>
      <c r="E9618">
        <v>1577139959</v>
      </c>
      <c r="F9618">
        <v>6357</v>
      </c>
      <c r="G9618">
        <v>0</v>
      </c>
      <c r="H9618" t="s">
        <v>14531</v>
      </c>
      <c r="I9618">
        <v>10807</v>
      </c>
      <c r="J9618" t="str">
        <f>VLOOKUP(E9618,DSSpieler!A:B,2,FALSE)</f>
        <v>hinckstar</v>
      </c>
    </row>
    <row r="9619" spans="1:10" x14ac:dyDescent="0.25">
      <c r="A9619">
        <v>10809</v>
      </c>
      <c r="B9619" s="111">
        <v>230.01</v>
      </c>
      <c r="C9619">
        <v>441</v>
      </c>
      <c r="D9619">
        <v>579</v>
      </c>
      <c r="E9619">
        <v>1576927186</v>
      </c>
      <c r="F9619">
        <v>5420</v>
      </c>
      <c r="G9619">
        <v>0</v>
      </c>
      <c r="H9619" t="s">
        <v>14532</v>
      </c>
      <c r="I9619">
        <v>10809</v>
      </c>
      <c r="J9619" t="str">
        <f>VLOOKUP(E9619,DSSpieler!A:B,2,FALSE)</f>
        <v>Lewizz95</v>
      </c>
    </row>
    <row r="9620" spans="1:10" x14ac:dyDescent="0.25">
      <c r="A9620">
        <v>10810</v>
      </c>
      <c r="B9620" t="s">
        <v>1962</v>
      </c>
      <c r="C9620">
        <v>403</v>
      </c>
      <c r="D9620">
        <v>501</v>
      </c>
      <c r="E9620">
        <v>1577162066</v>
      </c>
      <c r="F9620">
        <v>5238</v>
      </c>
      <c r="G9620">
        <v>0</v>
      </c>
      <c r="H9620" t="s">
        <v>14533</v>
      </c>
      <c r="I9620">
        <v>10810</v>
      </c>
      <c r="J9620" t="str">
        <f>VLOOKUP(E9620,DSSpieler!A:B,2,FALSE)</f>
        <v>sascha228</v>
      </c>
    </row>
    <row r="9621" spans="1:10" x14ac:dyDescent="0.25">
      <c r="A9621">
        <v>10812</v>
      </c>
      <c r="B9621" t="s">
        <v>1963</v>
      </c>
      <c r="C9621">
        <v>541</v>
      </c>
      <c r="D9621">
        <v>455</v>
      </c>
      <c r="E9621">
        <v>1192855</v>
      </c>
      <c r="F9621">
        <v>4403</v>
      </c>
      <c r="G9621">
        <v>0</v>
      </c>
      <c r="H9621" t="s">
        <v>14534</v>
      </c>
      <c r="I9621">
        <v>10812</v>
      </c>
      <c r="J9621" t="str">
        <f>VLOOKUP(E9621,DSSpieler!A:B,2,FALSE)</f>
        <v>Randy Orton32</v>
      </c>
    </row>
    <row r="9622" spans="1:10" x14ac:dyDescent="0.25">
      <c r="A9622">
        <v>10813</v>
      </c>
      <c r="B9622" t="s">
        <v>34000</v>
      </c>
      <c r="C9622">
        <v>600</v>
      </c>
      <c r="D9622">
        <v>486</v>
      </c>
      <c r="E9622">
        <v>1577168637</v>
      </c>
      <c r="F9622">
        <v>4864</v>
      </c>
      <c r="G9622">
        <v>0</v>
      </c>
      <c r="H9622" t="s">
        <v>14535</v>
      </c>
      <c r="I9622">
        <v>10813</v>
      </c>
      <c r="J9622" t="str">
        <f>VLOOKUP(E9622,DSSpieler!A:B,2,FALSE)</f>
        <v>Gefährliches Laubtier</v>
      </c>
    </row>
    <row r="9623" spans="1:10" x14ac:dyDescent="0.25">
      <c r="A9623">
        <v>10814</v>
      </c>
      <c r="B9623" t="s">
        <v>531</v>
      </c>
      <c r="C9623">
        <v>448</v>
      </c>
      <c r="D9623">
        <v>588</v>
      </c>
      <c r="E9623">
        <v>0</v>
      </c>
      <c r="F9623">
        <v>291</v>
      </c>
      <c r="G9623">
        <v>0</v>
      </c>
      <c r="H9623" t="s">
        <v>14536</v>
      </c>
      <c r="I9623">
        <v>10814</v>
      </c>
      <c r="J9623" t="e">
        <f>VLOOKUP(E9623,DSSpieler!A:B,2,FALSE)</f>
        <v>#N/A</v>
      </c>
    </row>
    <row r="9624" spans="1:10" x14ac:dyDescent="0.25">
      <c r="A9624">
        <v>10816</v>
      </c>
      <c r="B9624" t="s">
        <v>34001</v>
      </c>
      <c r="C9624">
        <v>446</v>
      </c>
      <c r="D9624">
        <v>500</v>
      </c>
      <c r="E9624">
        <v>9888509</v>
      </c>
      <c r="F9624">
        <v>1124</v>
      </c>
      <c r="G9624">
        <v>0</v>
      </c>
      <c r="H9624" t="s">
        <v>14537</v>
      </c>
      <c r="I9624">
        <v>10816</v>
      </c>
      <c r="J9624" t="str">
        <f>VLOOKUP(E9624,DSSpieler!A:B,2,FALSE)</f>
        <v>exitus63</v>
      </c>
    </row>
    <row r="9625" spans="1:10" x14ac:dyDescent="0.25">
      <c r="A9625">
        <v>10817</v>
      </c>
      <c r="B9625" t="s">
        <v>34002</v>
      </c>
      <c r="C9625">
        <v>542</v>
      </c>
      <c r="D9625">
        <v>445</v>
      </c>
      <c r="E9625">
        <v>8951253</v>
      </c>
      <c r="F9625">
        <v>5396</v>
      </c>
      <c r="G9625">
        <v>0</v>
      </c>
      <c r="H9625" t="s">
        <v>14538</v>
      </c>
      <c r="I9625">
        <v>10817</v>
      </c>
      <c r="J9625" t="str">
        <f>VLOOKUP(E9625,DSSpieler!A:B,2,FALSE)</f>
        <v>Fr@nky1</v>
      </c>
    </row>
    <row r="9626" spans="1:10" x14ac:dyDescent="0.25">
      <c r="A9626">
        <v>10819</v>
      </c>
      <c r="B9626" t="s">
        <v>531</v>
      </c>
      <c r="C9626">
        <v>535</v>
      </c>
      <c r="D9626">
        <v>404</v>
      </c>
      <c r="E9626">
        <v>0</v>
      </c>
      <c r="F9626">
        <v>562</v>
      </c>
      <c r="G9626">
        <v>0</v>
      </c>
      <c r="H9626" t="s">
        <v>14539</v>
      </c>
      <c r="I9626">
        <v>10819</v>
      </c>
      <c r="J9626" t="e">
        <f>VLOOKUP(E9626,DSSpieler!A:B,2,FALSE)</f>
        <v>#N/A</v>
      </c>
    </row>
    <row r="9627" spans="1:10" x14ac:dyDescent="0.25">
      <c r="A9627">
        <v>10820</v>
      </c>
      <c r="B9627" t="s">
        <v>34003</v>
      </c>
      <c r="C9627">
        <v>420</v>
      </c>
      <c r="D9627">
        <v>435</v>
      </c>
      <c r="E9627">
        <v>9168836</v>
      </c>
      <c r="F9627">
        <v>4297</v>
      </c>
      <c r="G9627">
        <v>0</v>
      </c>
      <c r="H9627" t="s">
        <v>14540</v>
      </c>
      <c r="I9627">
        <v>10820</v>
      </c>
      <c r="J9627" t="str">
        <f>VLOOKUP(E9627,DSSpieler!A:B,2,FALSE)</f>
        <v>Fortunator96</v>
      </c>
    </row>
    <row r="9628" spans="1:10" x14ac:dyDescent="0.25">
      <c r="A9628">
        <v>10821</v>
      </c>
      <c r="B9628" t="s">
        <v>531</v>
      </c>
      <c r="C9628">
        <v>515</v>
      </c>
      <c r="D9628">
        <v>400</v>
      </c>
      <c r="E9628">
        <v>0</v>
      </c>
      <c r="F9628">
        <v>267</v>
      </c>
      <c r="G9628">
        <v>0</v>
      </c>
      <c r="H9628" t="s">
        <v>14541</v>
      </c>
      <c r="I9628">
        <v>10821</v>
      </c>
      <c r="J9628" t="e">
        <f>VLOOKUP(E9628,DSSpieler!A:B,2,FALSE)</f>
        <v>#N/A</v>
      </c>
    </row>
    <row r="9629" spans="1:10" x14ac:dyDescent="0.25">
      <c r="A9629">
        <v>10822</v>
      </c>
      <c r="B9629" t="s">
        <v>531</v>
      </c>
      <c r="C9629">
        <v>486</v>
      </c>
      <c r="D9629">
        <v>599</v>
      </c>
      <c r="E9629">
        <v>0</v>
      </c>
      <c r="F9629">
        <v>232</v>
      </c>
      <c r="G9629">
        <v>0</v>
      </c>
      <c r="H9629" t="s">
        <v>14542</v>
      </c>
      <c r="I9629">
        <v>10822</v>
      </c>
      <c r="J9629" t="e">
        <f>VLOOKUP(E9629,DSSpieler!A:B,2,FALSE)</f>
        <v>#N/A</v>
      </c>
    </row>
    <row r="9630" spans="1:10" x14ac:dyDescent="0.25">
      <c r="A9630">
        <v>10823</v>
      </c>
      <c r="B9630" t="s">
        <v>34004</v>
      </c>
      <c r="C9630">
        <v>459</v>
      </c>
      <c r="D9630">
        <v>591</v>
      </c>
      <c r="E9630">
        <v>1576708425</v>
      </c>
      <c r="F9630">
        <v>1856</v>
      </c>
      <c r="G9630">
        <v>0</v>
      </c>
      <c r="H9630" t="s">
        <v>14543</v>
      </c>
      <c r="I9630">
        <v>10823</v>
      </c>
      <c r="J9630" t="str">
        <f>VLOOKUP(E9630,DSSpieler!A:B,2,FALSE)</f>
        <v>Kingatala</v>
      </c>
    </row>
    <row r="9631" spans="1:10" x14ac:dyDescent="0.25">
      <c r="A9631">
        <v>10824</v>
      </c>
      <c r="B9631" t="s">
        <v>34005</v>
      </c>
      <c r="C9631">
        <v>515</v>
      </c>
      <c r="D9631">
        <v>586</v>
      </c>
      <c r="E9631">
        <v>10203648</v>
      </c>
      <c r="F9631">
        <v>5378</v>
      </c>
      <c r="G9631">
        <v>0</v>
      </c>
      <c r="H9631" t="s">
        <v>14544</v>
      </c>
      <c r="I9631">
        <v>10824</v>
      </c>
      <c r="J9631" t="str">
        <f>VLOOKUP(E9631,DSSpieler!A:B,2,FALSE)</f>
        <v>Sirfider</v>
      </c>
    </row>
    <row r="9632" spans="1:10" x14ac:dyDescent="0.25">
      <c r="A9632">
        <v>10825</v>
      </c>
      <c r="B9632" t="s">
        <v>531</v>
      </c>
      <c r="C9632">
        <v>480</v>
      </c>
      <c r="D9632">
        <v>477</v>
      </c>
      <c r="E9632">
        <v>0</v>
      </c>
      <c r="F9632">
        <v>108</v>
      </c>
      <c r="G9632">
        <v>0</v>
      </c>
      <c r="H9632" t="s">
        <v>14545</v>
      </c>
      <c r="I9632">
        <v>10825</v>
      </c>
      <c r="J9632" t="e">
        <f>VLOOKUP(E9632,DSSpieler!A:B,2,FALSE)</f>
        <v>#N/A</v>
      </c>
    </row>
    <row r="9633" spans="1:10" x14ac:dyDescent="0.25">
      <c r="A9633">
        <v>10826</v>
      </c>
      <c r="B9633" t="s">
        <v>531</v>
      </c>
      <c r="C9633">
        <v>454</v>
      </c>
      <c r="D9633">
        <v>409</v>
      </c>
      <c r="E9633">
        <v>0</v>
      </c>
      <c r="F9633">
        <v>405</v>
      </c>
      <c r="G9633">
        <v>0</v>
      </c>
      <c r="H9633" t="s">
        <v>14546</v>
      </c>
      <c r="I9633">
        <v>10826</v>
      </c>
      <c r="J9633" t="e">
        <f>VLOOKUP(E9633,DSSpieler!A:B,2,FALSE)</f>
        <v>#N/A</v>
      </c>
    </row>
    <row r="9634" spans="1:10" x14ac:dyDescent="0.25">
      <c r="A9634">
        <v>10827</v>
      </c>
      <c r="B9634" t="s">
        <v>531</v>
      </c>
      <c r="C9634">
        <v>588</v>
      </c>
      <c r="D9634">
        <v>555</v>
      </c>
      <c r="E9634">
        <v>0</v>
      </c>
      <c r="F9634">
        <v>401</v>
      </c>
      <c r="G9634">
        <v>0</v>
      </c>
      <c r="H9634" t="s">
        <v>14547</v>
      </c>
      <c r="I9634">
        <v>10827</v>
      </c>
      <c r="J9634" t="e">
        <f>VLOOKUP(E9634,DSSpieler!A:B,2,FALSE)</f>
        <v>#N/A</v>
      </c>
    </row>
    <row r="9635" spans="1:10" x14ac:dyDescent="0.25">
      <c r="A9635">
        <v>10828</v>
      </c>
      <c r="B9635" t="s">
        <v>531</v>
      </c>
      <c r="C9635">
        <v>481</v>
      </c>
      <c r="D9635">
        <v>601</v>
      </c>
      <c r="E9635">
        <v>0</v>
      </c>
      <c r="F9635">
        <v>354</v>
      </c>
      <c r="G9635">
        <v>0</v>
      </c>
      <c r="H9635" t="s">
        <v>14548</v>
      </c>
      <c r="I9635">
        <v>10828</v>
      </c>
      <c r="J9635" t="e">
        <f>VLOOKUP(E9635,DSSpieler!A:B,2,FALSE)</f>
        <v>#N/A</v>
      </c>
    </row>
    <row r="9636" spans="1:10" x14ac:dyDescent="0.25">
      <c r="A9636">
        <v>10829</v>
      </c>
      <c r="B9636" t="s">
        <v>34006</v>
      </c>
      <c r="C9636">
        <v>549</v>
      </c>
      <c r="D9636">
        <v>405</v>
      </c>
      <c r="E9636">
        <v>9621199</v>
      </c>
      <c r="F9636">
        <v>6057</v>
      </c>
      <c r="G9636">
        <v>0</v>
      </c>
      <c r="H9636" t="s">
        <v>14549</v>
      </c>
      <c r="I9636">
        <v>10829</v>
      </c>
      <c r="J9636" t="str">
        <f>VLOOKUP(E9636,DSSpieler!A:B,2,FALSE)</f>
        <v>ImSryBut</v>
      </c>
    </row>
    <row r="9637" spans="1:10" x14ac:dyDescent="0.25">
      <c r="A9637">
        <v>10830</v>
      </c>
      <c r="B9637" t="s">
        <v>546</v>
      </c>
      <c r="C9637">
        <v>490</v>
      </c>
      <c r="D9637">
        <v>474</v>
      </c>
      <c r="E9637">
        <v>1577118287</v>
      </c>
      <c r="F9637">
        <v>954</v>
      </c>
      <c r="G9637">
        <v>0</v>
      </c>
      <c r="H9637" t="s">
        <v>14550</v>
      </c>
      <c r="I9637">
        <v>10830</v>
      </c>
      <c r="J9637" t="str">
        <f>VLOOKUP(E9637,DSSpieler!A:B,2,FALSE)</f>
        <v>Daniel03</v>
      </c>
    </row>
    <row r="9638" spans="1:10" x14ac:dyDescent="0.25">
      <c r="A9638">
        <v>10831</v>
      </c>
      <c r="B9638" t="s">
        <v>1964</v>
      </c>
      <c r="C9638">
        <v>441</v>
      </c>
      <c r="D9638">
        <v>578</v>
      </c>
      <c r="E9638">
        <v>1577145734</v>
      </c>
      <c r="F9638">
        <v>4001</v>
      </c>
      <c r="G9638">
        <v>0</v>
      </c>
      <c r="H9638" t="s">
        <v>14551</v>
      </c>
      <c r="I9638">
        <v>10831</v>
      </c>
      <c r="J9638" t="str">
        <f>VLOOKUP(E9638,DSSpieler!A:B,2,FALSE)</f>
        <v>MrTix</v>
      </c>
    </row>
    <row r="9639" spans="1:10" x14ac:dyDescent="0.25">
      <c r="A9639">
        <v>10832</v>
      </c>
      <c r="B9639" t="s">
        <v>531</v>
      </c>
      <c r="C9639">
        <v>598</v>
      </c>
      <c r="D9639">
        <v>475</v>
      </c>
      <c r="E9639">
        <v>0</v>
      </c>
      <c r="F9639">
        <v>361</v>
      </c>
      <c r="G9639">
        <v>0</v>
      </c>
      <c r="H9639" t="s">
        <v>14552</v>
      </c>
      <c r="I9639">
        <v>10832</v>
      </c>
      <c r="J9639" t="e">
        <f>VLOOKUP(E9639,DSSpieler!A:B,2,FALSE)</f>
        <v>#N/A</v>
      </c>
    </row>
    <row r="9640" spans="1:10" x14ac:dyDescent="0.25">
      <c r="A9640">
        <v>10833</v>
      </c>
      <c r="B9640" t="s">
        <v>531</v>
      </c>
      <c r="C9640">
        <v>572</v>
      </c>
      <c r="D9640">
        <v>570</v>
      </c>
      <c r="E9640">
        <v>0</v>
      </c>
      <c r="F9640">
        <v>295</v>
      </c>
      <c r="G9640">
        <v>0</v>
      </c>
      <c r="H9640" t="s">
        <v>14553</v>
      </c>
      <c r="I9640">
        <v>10833</v>
      </c>
      <c r="J9640" t="e">
        <f>VLOOKUP(E9640,DSSpieler!A:B,2,FALSE)</f>
        <v>#N/A</v>
      </c>
    </row>
    <row r="9641" spans="1:10" x14ac:dyDescent="0.25">
      <c r="A9641">
        <v>10834</v>
      </c>
      <c r="B9641" t="s">
        <v>687</v>
      </c>
      <c r="C9641">
        <v>421</v>
      </c>
      <c r="D9641">
        <v>448</v>
      </c>
      <c r="E9641">
        <v>1576885344</v>
      </c>
      <c r="F9641">
        <v>6603</v>
      </c>
      <c r="G9641">
        <v>0</v>
      </c>
      <c r="H9641" t="s">
        <v>14554</v>
      </c>
      <c r="I9641">
        <v>10834</v>
      </c>
      <c r="J9641" t="str">
        <f>VLOOKUP(E9641,DSSpieler!A:B,2,FALSE)</f>
        <v>fe08</v>
      </c>
    </row>
    <row r="9642" spans="1:10" x14ac:dyDescent="0.25">
      <c r="A9642">
        <v>10835</v>
      </c>
      <c r="B9642" t="s">
        <v>1965</v>
      </c>
      <c r="C9642">
        <v>445</v>
      </c>
      <c r="D9642">
        <v>577</v>
      </c>
      <c r="E9642">
        <v>1577197444</v>
      </c>
      <c r="F9642">
        <v>3342</v>
      </c>
      <c r="G9642">
        <v>0</v>
      </c>
      <c r="H9642" t="s">
        <v>14555</v>
      </c>
      <c r="I9642">
        <v>10835</v>
      </c>
      <c r="J9642" t="str">
        <f>VLOOKUP(E9642,DSSpieler!A:B,2,FALSE)</f>
        <v>Tiberius Quintus</v>
      </c>
    </row>
    <row r="9643" spans="1:10" x14ac:dyDescent="0.25">
      <c r="A9643">
        <v>10836</v>
      </c>
      <c r="B9643" t="s">
        <v>531</v>
      </c>
      <c r="C9643">
        <v>601</v>
      </c>
      <c r="D9643">
        <v>478</v>
      </c>
      <c r="E9643">
        <v>0</v>
      </c>
      <c r="F9643">
        <v>317</v>
      </c>
      <c r="G9643">
        <v>0</v>
      </c>
      <c r="H9643" t="s">
        <v>14556</v>
      </c>
      <c r="I9643">
        <v>10836</v>
      </c>
      <c r="J9643" t="e">
        <f>VLOOKUP(E9643,DSSpieler!A:B,2,FALSE)</f>
        <v>#N/A</v>
      </c>
    </row>
    <row r="9644" spans="1:10" x14ac:dyDescent="0.25">
      <c r="A9644">
        <v>10837</v>
      </c>
      <c r="B9644" t="s">
        <v>531</v>
      </c>
      <c r="C9644">
        <v>439</v>
      </c>
      <c r="D9644">
        <v>421</v>
      </c>
      <c r="E9644">
        <v>0</v>
      </c>
      <c r="F9644">
        <v>200</v>
      </c>
      <c r="G9644">
        <v>0</v>
      </c>
      <c r="H9644" t="s">
        <v>14557</v>
      </c>
      <c r="I9644">
        <v>10837</v>
      </c>
      <c r="J9644" t="e">
        <f>VLOOKUP(E9644,DSSpieler!A:B,2,FALSE)</f>
        <v>#N/A</v>
      </c>
    </row>
    <row r="9645" spans="1:10" x14ac:dyDescent="0.25">
      <c r="A9645">
        <v>10838</v>
      </c>
      <c r="B9645" t="s">
        <v>1966</v>
      </c>
      <c r="C9645">
        <v>553</v>
      </c>
      <c r="D9645">
        <v>438</v>
      </c>
      <c r="E9645">
        <v>9799758</v>
      </c>
      <c r="F9645">
        <v>7402</v>
      </c>
      <c r="G9645">
        <v>0</v>
      </c>
      <c r="H9645" t="s">
        <v>14558</v>
      </c>
      <c r="I9645">
        <v>10838</v>
      </c>
      <c r="J9645" t="str">
        <f>VLOOKUP(E9645,DSSpieler!A:B,2,FALSE)</f>
        <v>Tirao</v>
      </c>
    </row>
    <row r="9646" spans="1:10" x14ac:dyDescent="0.25">
      <c r="A9646">
        <v>10839</v>
      </c>
      <c r="B9646" t="s">
        <v>531</v>
      </c>
      <c r="C9646">
        <v>401</v>
      </c>
      <c r="D9646">
        <v>507</v>
      </c>
      <c r="E9646">
        <v>0</v>
      </c>
      <c r="F9646">
        <v>533</v>
      </c>
      <c r="G9646">
        <v>0</v>
      </c>
      <c r="H9646" t="s">
        <v>14559</v>
      </c>
      <c r="I9646">
        <v>10839</v>
      </c>
      <c r="J9646" t="e">
        <f>VLOOKUP(E9646,DSSpieler!A:B,2,FALSE)</f>
        <v>#N/A</v>
      </c>
    </row>
    <row r="9647" spans="1:10" x14ac:dyDescent="0.25">
      <c r="A9647">
        <v>10840</v>
      </c>
      <c r="B9647" t="s">
        <v>780</v>
      </c>
      <c r="C9647">
        <v>570</v>
      </c>
      <c r="D9647">
        <v>570</v>
      </c>
      <c r="E9647">
        <v>1577008291</v>
      </c>
      <c r="F9647">
        <v>4697</v>
      </c>
      <c r="G9647">
        <v>0</v>
      </c>
      <c r="H9647" t="s">
        <v>14560</v>
      </c>
      <c r="I9647">
        <v>10840</v>
      </c>
      <c r="J9647" t="str">
        <f>VLOOKUP(E9647,DSSpieler!A:B,2,FALSE)</f>
        <v>Krebii</v>
      </c>
    </row>
    <row r="9648" spans="1:10" x14ac:dyDescent="0.25">
      <c r="A9648">
        <v>10841</v>
      </c>
      <c r="B9648" t="s">
        <v>34007</v>
      </c>
      <c r="C9648">
        <v>408</v>
      </c>
      <c r="D9648">
        <v>535</v>
      </c>
      <c r="E9648">
        <v>1577195923</v>
      </c>
      <c r="F9648">
        <v>5313</v>
      </c>
      <c r="G9648">
        <v>0</v>
      </c>
      <c r="H9648" t="s">
        <v>14561</v>
      </c>
      <c r="I9648">
        <v>10841</v>
      </c>
      <c r="J9648" t="str">
        <f>VLOOKUP(E9648,DSSpieler!A:B,2,FALSE)</f>
        <v>Juligon93</v>
      </c>
    </row>
    <row r="9649" spans="1:10" x14ac:dyDescent="0.25">
      <c r="A9649">
        <v>10842</v>
      </c>
      <c r="B9649" t="s">
        <v>34008</v>
      </c>
      <c r="C9649">
        <v>604</v>
      </c>
      <c r="D9649">
        <v>497</v>
      </c>
      <c r="E9649">
        <v>1577191762</v>
      </c>
      <c r="F9649">
        <v>6111</v>
      </c>
      <c r="G9649">
        <v>0</v>
      </c>
      <c r="H9649" t="s">
        <v>14562</v>
      </c>
      <c r="I9649">
        <v>10842</v>
      </c>
      <c r="J9649" t="str">
        <f>VLOOKUP(E9649,DSSpieler!A:B,2,FALSE)</f>
        <v>Enno</v>
      </c>
    </row>
    <row r="9650" spans="1:10" x14ac:dyDescent="0.25">
      <c r="A9650">
        <v>10843</v>
      </c>
      <c r="B9650" t="s">
        <v>1967</v>
      </c>
      <c r="C9650">
        <v>577</v>
      </c>
      <c r="D9650">
        <v>575</v>
      </c>
      <c r="E9650">
        <v>1577121900</v>
      </c>
      <c r="F9650">
        <v>4997</v>
      </c>
      <c r="G9650">
        <v>0</v>
      </c>
      <c r="H9650" t="s">
        <v>14563</v>
      </c>
      <c r="I9650">
        <v>10843</v>
      </c>
      <c r="J9650" t="str">
        <f>VLOOKUP(E9650,DSSpieler!A:B,2,FALSE)</f>
        <v>FeuerfaustSabo</v>
      </c>
    </row>
    <row r="9651" spans="1:10" x14ac:dyDescent="0.25">
      <c r="A9651">
        <v>10844</v>
      </c>
      <c r="B9651" t="s">
        <v>34009</v>
      </c>
      <c r="C9651">
        <v>594</v>
      </c>
      <c r="D9651">
        <v>465</v>
      </c>
      <c r="E9651">
        <v>1575891872</v>
      </c>
      <c r="F9651">
        <v>6699</v>
      </c>
      <c r="G9651">
        <v>0</v>
      </c>
      <c r="H9651" t="s">
        <v>14564</v>
      </c>
      <c r="I9651">
        <v>10844</v>
      </c>
      <c r="J9651" t="str">
        <f>VLOOKUP(E9651,DSSpieler!A:B,2,FALSE)</f>
        <v>Angsthasen 2.0</v>
      </c>
    </row>
    <row r="9652" spans="1:10" x14ac:dyDescent="0.25">
      <c r="A9652">
        <v>10845</v>
      </c>
      <c r="B9652" t="s">
        <v>1968</v>
      </c>
      <c r="C9652">
        <v>466</v>
      </c>
      <c r="D9652">
        <v>598</v>
      </c>
      <c r="E9652">
        <v>1577164263</v>
      </c>
      <c r="F9652">
        <v>3176</v>
      </c>
      <c r="G9652">
        <v>0</v>
      </c>
      <c r="H9652" t="s">
        <v>14565</v>
      </c>
      <c r="I9652">
        <v>10845</v>
      </c>
      <c r="J9652" t="str">
        <f>VLOOKUP(E9652,DSSpieler!A:B,2,FALSE)</f>
        <v>Hoaler91</v>
      </c>
    </row>
    <row r="9653" spans="1:10" x14ac:dyDescent="0.25">
      <c r="A9653">
        <v>10846</v>
      </c>
      <c r="B9653" t="s">
        <v>531</v>
      </c>
      <c r="C9653">
        <v>582</v>
      </c>
      <c r="D9653">
        <v>562</v>
      </c>
      <c r="E9653">
        <v>0</v>
      </c>
      <c r="F9653">
        <v>238</v>
      </c>
      <c r="G9653">
        <v>0</v>
      </c>
      <c r="H9653" t="s">
        <v>14566</v>
      </c>
      <c r="I9653">
        <v>10846</v>
      </c>
      <c r="J9653" t="e">
        <f>VLOOKUP(E9653,DSSpieler!A:B,2,FALSE)</f>
        <v>#N/A</v>
      </c>
    </row>
    <row r="9654" spans="1:10" x14ac:dyDescent="0.25">
      <c r="A9654">
        <v>10847</v>
      </c>
      <c r="B9654" t="s">
        <v>34010</v>
      </c>
      <c r="C9654">
        <v>540</v>
      </c>
      <c r="D9654">
        <v>394</v>
      </c>
      <c r="E9654">
        <v>10020820</v>
      </c>
      <c r="F9654">
        <v>4809</v>
      </c>
      <c r="G9654">
        <v>0</v>
      </c>
      <c r="H9654" t="s">
        <v>14567</v>
      </c>
      <c r="I9654">
        <v>10847</v>
      </c>
      <c r="J9654" t="str">
        <f>VLOOKUP(E9654,DSSpieler!A:B,2,FALSE)</f>
        <v>RaVeR 91</v>
      </c>
    </row>
    <row r="9655" spans="1:10" x14ac:dyDescent="0.25">
      <c r="A9655">
        <v>10848</v>
      </c>
      <c r="B9655" t="s">
        <v>531</v>
      </c>
      <c r="C9655">
        <v>597</v>
      </c>
      <c r="D9655">
        <v>526</v>
      </c>
      <c r="E9655">
        <v>0</v>
      </c>
      <c r="F9655">
        <v>92</v>
      </c>
      <c r="G9655">
        <v>0</v>
      </c>
      <c r="H9655" t="s">
        <v>14568</v>
      </c>
      <c r="I9655">
        <v>10848</v>
      </c>
      <c r="J9655" t="e">
        <f>VLOOKUP(E9655,DSSpieler!A:B,2,FALSE)</f>
        <v>#N/A</v>
      </c>
    </row>
    <row r="9656" spans="1:10" x14ac:dyDescent="0.25">
      <c r="A9656">
        <v>10850</v>
      </c>
      <c r="B9656" t="s">
        <v>531</v>
      </c>
      <c r="C9656">
        <v>401</v>
      </c>
      <c r="D9656">
        <v>478</v>
      </c>
      <c r="E9656">
        <v>0</v>
      </c>
      <c r="F9656">
        <v>504</v>
      </c>
      <c r="G9656">
        <v>0</v>
      </c>
      <c r="H9656" t="s">
        <v>14569</v>
      </c>
      <c r="I9656">
        <v>10850</v>
      </c>
      <c r="J9656" t="e">
        <f>VLOOKUP(E9656,DSSpieler!A:B,2,FALSE)</f>
        <v>#N/A</v>
      </c>
    </row>
    <row r="9657" spans="1:10" x14ac:dyDescent="0.25">
      <c r="A9657">
        <v>10851</v>
      </c>
      <c r="B9657" t="s">
        <v>34011</v>
      </c>
      <c r="C9657">
        <v>500</v>
      </c>
      <c r="D9657">
        <v>527</v>
      </c>
      <c r="E9657">
        <v>1577198622</v>
      </c>
      <c r="F9657">
        <v>371</v>
      </c>
      <c r="G9657">
        <v>0</v>
      </c>
      <c r="H9657" t="s">
        <v>14570</v>
      </c>
      <c r="I9657">
        <v>10851</v>
      </c>
      <c r="J9657" t="str">
        <f>VLOOKUP(E9657,DSSpieler!A:B,2,FALSE)</f>
        <v>Dstern</v>
      </c>
    </row>
    <row r="9658" spans="1:10" x14ac:dyDescent="0.25">
      <c r="A9658">
        <v>10852</v>
      </c>
      <c r="B9658" t="s">
        <v>34012</v>
      </c>
      <c r="C9658">
        <v>476</v>
      </c>
      <c r="D9658">
        <v>597</v>
      </c>
      <c r="E9658">
        <v>1576450468</v>
      </c>
      <c r="F9658">
        <v>4958</v>
      </c>
      <c r="G9658">
        <v>0</v>
      </c>
      <c r="H9658" t="s">
        <v>14571</v>
      </c>
      <c r="I9658">
        <v>10852</v>
      </c>
      <c r="J9658" t="str">
        <f>VLOOKUP(E9658,DSSpieler!A:B,2,FALSE)</f>
        <v>b0nes</v>
      </c>
    </row>
    <row r="9659" spans="1:10" x14ac:dyDescent="0.25">
      <c r="A9659">
        <v>10853</v>
      </c>
      <c r="B9659" t="s">
        <v>34013</v>
      </c>
      <c r="C9659">
        <v>439</v>
      </c>
      <c r="D9659">
        <v>591</v>
      </c>
      <c r="E9659">
        <v>625537</v>
      </c>
      <c r="F9659">
        <v>5482</v>
      </c>
      <c r="G9659">
        <v>0</v>
      </c>
      <c r="H9659" t="s">
        <v>14572</v>
      </c>
      <c r="I9659">
        <v>10853</v>
      </c>
      <c r="J9659" t="str">
        <f>VLOOKUP(E9659,DSSpieler!A:B,2,FALSE)</f>
        <v>CrowBlackHorse</v>
      </c>
    </row>
    <row r="9660" spans="1:10" x14ac:dyDescent="0.25">
      <c r="A9660">
        <v>10855</v>
      </c>
      <c r="B9660" t="s">
        <v>531</v>
      </c>
      <c r="C9660">
        <v>499</v>
      </c>
      <c r="D9660">
        <v>397</v>
      </c>
      <c r="E9660">
        <v>0</v>
      </c>
      <c r="F9660">
        <v>226</v>
      </c>
      <c r="G9660">
        <v>0</v>
      </c>
      <c r="H9660" t="s">
        <v>14573</v>
      </c>
      <c r="I9660">
        <v>10855</v>
      </c>
      <c r="J9660" t="e">
        <f>VLOOKUP(E9660,DSSpieler!A:B,2,FALSE)</f>
        <v>#N/A</v>
      </c>
    </row>
    <row r="9661" spans="1:10" x14ac:dyDescent="0.25">
      <c r="A9661">
        <v>10856</v>
      </c>
      <c r="B9661" t="s">
        <v>34014</v>
      </c>
      <c r="C9661">
        <v>551</v>
      </c>
      <c r="D9661">
        <v>458</v>
      </c>
      <c r="E9661">
        <v>1577195492</v>
      </c>
      <c r="F9661">
        <v>6438</v>
      </c>
      <c r="G9661">
        <v>0</v>
      </c>
      <c r="H9661" t="s">
        <v>14574</v>
      </c>
      <c r="I9661">
        <v>10856</v>
      </c>
      <c r="J9661" t="str">
        <f>VLOOKUP(E9661,DSSpieler!A:B,2,FALSE)</f>
        <v>Meikaay</v>
      </c>
    </row>
    <row r="9662" spans="1:10" x14ac:dyDescent="0.25">
      <c r="A9662">
        <v>10857</v>
      </c>
      <c r="B9662" t="s">
        <v>34015</v>
      </c>
      <c r="C9662">
        <v>409</v>
      </c>
      <c r="D9662">
        <v>497</v>
      </c>
      <c r="E9662">
        <v>1577173243</v>
      </c>
      <c r="F9662">
        <v>5375</v>
      </c>
      <c r="G9662">
        <v>0</v>
      </c>
      <c r="H9662" t="s">
        <v>14575</v>
      </c>
      <c r="I9662">
        <v>10857</v>
      </c>
      <c r="J9662" t="str">
        <f>VLOOKUP(E9662,DSSpieler!A:B,2,FALSE)</f>
        <v>rathhunter</v>
      </c>
    </row>
    <row r="9663" spans="1:10" x14ac:dyDescent="0.25">
      <c r="A9663">
        <v>10858</v>
      </c>
      <c r="B9663" t="s">
        <v>531</v>
      </c>
      <c r="C9663">
        <v>575</v>
      </c>
      <c r="D9663">
        <v>433</v>
      </c>
      <c r="E9663">
        <v>0</v>
      </c>
      <c r="F9663">
        <v>234</v>
      </c>
      <c r="G9663">
        <v>0</v>
      </c>
      <c r="H9663" t="s">
        <v>14576</v>
      </c>
      <c r="I9663">
        <v>10858</v>
      </c>
      <c r="J9663" t="e">
        <f>VLOOKUP(E9663,DSSpieler!A:B,2,FALSE)</f>
        <v>#N/A</v>
      </c>
    </row>
    <row r="9664" spans="1:10" x14ac:dyDescent="0.25">
      <c r="A9664">
        <v>10859</v>
      </c>
      <c r="B9664" t="s">
        <v>1969</v>
      </c>
      <c r="C9664">
        <v>396</v>
      </c>
      <c r="D9664">
        <v>496</v>
      </c>
      <c r="E9664">
        <v>1577196336</v>
      </c>
      <c r="F9664">
        <v>273</v>
      </c>
      <c r="G9664">
        <v>0</v>
      </c>
      <c r="H9664" t="s">
        <v>14577</v>
      </c>
      <c r="I9664">
        <v>10859</v>
      </c>
      <c r="J9664" t="str">
        <f>VLOOKUP(E9664,DSSpieler!A:B,2,FALSE)</f>
        <v>Kingconi60</v>
      </c>
    </row>
    <row r="9665" spans="1:10" x14ac:dyDescent="0.25">
      <c r="A9665">
        <v>10860</v>
      </c>
      <c r="B9665" t="s">
        <v>1970</v>
      </c>
      <c r="C9665">
        <v>397</v>
      </c>
      <c r="D9665">
        <v>505</v>
      </c>
      <c r="E9665">
        <v>1576402134</v>
      </c>
      <c r="F9665">
        <v>357</v>
      </c>
      <c r="G9665">
        <v>0</v>
      </c>
      <c r="H9665" t="s">
        <v>14578</v>
      </c>
      <c r="I9665">
        <v>10860</v>
      </c>
      <c r="J9665" t="str">
        <f>VLOOKUP(E9665,DSSpieler!A:B,2,FALSE)</f>
        <v>Hasenburg</v>
      </c>
    </row>
    <row r="9666" spans="1:10" x14ac:dyDescent="0.25">
      <c r="A9666">
        <v>10861</v>
      </c>
      <c r="B9666">
        <v>2</v>
      </c>
      <c r="C9666">
        <v>401</v>
      </c>
      <c r="D9666">
        <v>499</v>
      </c>
      <c r="E9666">
        <v>1577173526</v>
      </c>
      <c r="F9666">
        <v>1612</v>
      </c>
      <c r="G9666">
        <v>0</v>
      </c>
      <c r="H9666" t="s">
        <v>14579</v>
      </c>
      <c r="I9666">
        <v>10861</v>
      </c>
      <c r="J9666" t="str">
        <f>VLOOKUP(E9666,DSSpieler!A:B,2,FALSE)</f>
        <v>Dexter17</v>
      </c>
    </row>
    <row r="9667" spans="1:10" x14ac:dyDescent="0.25">
      <c r="A9667">
        <v>10862</v>
      </c>
      <c r="B9667" t="s">
        <v>34016</v>
      </c>
      <c r="C9667">
        <v>509</v>
      </c>
      <c r="D9667">
        <v>397</v>
      </c>
      <c r="E9667">
        <v>1150935</v>
      </c>
      <c r="F9667">
        <v>5444</v>
      </c>
      <c r="G9667">
        <v>0</v>
      </c>
      <c r="H9667" t="s">
        <v>14580</v>
      </c>
      <c r="I9667">
        <v>10862</v>
      </c>
      <c r="J9667" t="str">
        <f>VLOOKUP(E9667,DSSpieler!A:B,2,FALSE)</f>
        <v>Darmstadt2</v>
      </c>
    </row>
    <row r="9668" spans="1:10" x14ac:dyDescent="0.25">
      <c r="A9668">
        <v>10863</v>
      </c>
      <c r="B9668" t="s">
        <v>33159</v>
      </c>
      <c r="C9668">
        <v>468</v>
      </c>
      <c r="D9668">
        <v>405</v>
      </c>
      <c r="E9668">
        <v>1577186291</v>
      </c>
      <c r="F9668">
        <v>5135</v>
      </c>
      <c r="G9668">
        <v>0</v>
      </c>
      <c r="H9668" t="s">
        <v>14581</v>
      </c>
      <c r="I9668">
        <v>10863</v>
      </c>
      <c r="J9668" t="str">
        <f>VLOOKUP(E9668,DSSpieler!A:B,2,FALSE)</f>
        <v>-WeedorMeth?.</v>
      </c>
    </row>
    <row r="9669" spans="1:10" x14ac:dyDescent="0.25">
      <c r="A9669">
        <v>10864</v>
      </c>
      <c r="B9669" t="s">
        <v>531</v>
      </c>
      <c r="C9669">
        <v>571</v>
      </c>
      <c r="D9669">
        <v>571</v>
      </c>
      <c r="E9669">
        <v>0</v>
      </c>
      <c r="F9669">
        <v>340</v>
      </c>
      <c r="G9669">
        <v>0</v>
      </c>
      <c r="H9669" t="s">
        <v>14582</v>
      </c>
      <c r="I9669">
        <v>10864</v>
      </c>
      <c r="J9669" t="e">
        <f>VLOOKUP(E9669,DSSpieler!A:B,2,FALSE)</f>
        <v>#N/A</v>
      </c>
    </row>
    <row r="9670" spans="1:10" x14ac:dyDescent="0.25">
      <c r="A9670">
        <v>10865</v>
      </c>
      <c r="B9670" t="s">
        <v>531</v>
      </c>
      <c r="C9670">
        <v>400</v>
      </c>
      <c r="D9670">
        <v>494</v>
      </c>
      <c r="E9670">
        <v>1576814526</v>
      </c>
      <c r="F9670">
        <v>1291</v>
      </c>
      <c r="G9670">
        <v>0</v>
      </c>
      <c r="H9670" t="s">
        <v>14583</v>
      </c>
      <c r="I9670">
        <v>10865</v>
      </c>
      <c r="J9670" t="str">
        <f>VLOOKUP(E9670,DSSpieler!A:B,2,FALSE)</f>
        <v>Michl1990</v>
      </c>
    </row>
    <row r="9671" spans="1:10" x14ac:dyDescent="0.25">
      <c r="A9671">
        <v>10866</v>
      </c>
      <c r="B9671" t="s">
        <v>531</v>
      </c>
      <c r="C9671">
        <v>404</v>
      </c>
      <c r="D9671">
        <v>468</v>
      </c>
      <c r="E9671">
        <v>0</v>
      </c>
      <c r="F9671">
        <v>380</v>
      </c>
      <c r="G9671">
        <v>0</v>
      </c>
      <c r="H9671" t="s">
        <v>14584</v>
      </c>
      <c r="I9671">
        <v>10866</v>
      </c>
      <c r="J9671" t="e">
        <f>VLOOKUP(E9671,DSSpieler!A:B,2,FALSE)</f>
        <v>#N/A</v>
      </c>
    </row>
    <row r="9672" spans="1:10" x14ac:dyDescent="0.25">
      <c r="A9672">
        <v>10867</v>
      </c>
      <c r="B9672" t="s">
        <v>531</v>
      </c>
      <c r="C9672">
        <v>424</v>
      </c>
      <c r="D9672">
        <v>430</v>
      </c>
      <c r="E9672">
        <v>0</v>
      </c>
      <c r="F9672">
        <v>340</v>
      </c>
      <c r="G9672">
        <v>0</v>
      </c>
      <c r="H9672" t="s">
        <v>14585</v>
      </c>
      <c r="I9672">
        <v>10867</v>
      </c>
      <c r="J9672" t="e">
        <f>VLOOKUP(E9672,DSSpieler!A:B,2,FALSE)</f>
        <v>#N/A</v>
      </c>
    </row>
    <row r="9673" spans="1:10" x14ac:dyDescent="0.25">
      <c r="A9673">
        <v>10868</v>
      </c>
      <c r="B9673" t="s">
        <v>31024</v>
      </c>
      <c r="C9673">
        <v>426</v>
      </c>
      <c r="D9673">
        <v>575</v>
      </c>
      <c r="E9673">
        <v>1576083107</v>
      </c>
      <c r="F9673">
        <v>3926</v>
      </c>
      <c r="G9673">
        <v>0</v>
      </c>
      <c r="H9673" t="s">
        <v>14586</v>
      </c>
      <c r="I9673">
        <v>10868</v>
      </c>
      <c r="J9673" t="str">
        <f>VLOOKUP(E9673,DSSpieler!A:B,2,FALSE)</f>
        <v>Lord Newcastle</v>
      </c>
    </row>
    <row r="9674" spans="1:10" x14ac:dyDescent="0.25">
      <c r="A9674">
        <v>10869</v>
      </c>
      <c r="B9674" t="s">
        <v>531</v>
      </c>
      <c r="C9674">
        <v>565</v>
      </c>
      <c r="D9674">
        <v>580</v>
      </c>
      <c r="E9674">
        <v>0</v>
      </c>
      <c r="F9674">
        <v>240</v>
      </c>
      <c r="G9674">
        <v>0</v>
      </c>
      <c r="H9674" t="s">
        <v>14587</v>
      </c>
      <c r="I9674">
        <v>10869</v>
      </c>
      <c r="J9674" t="e">
        <f>VLOOKUP(E9674,DSSpieler!A:B,2,FALSE)</f>
        <v>#N/A</v>
      </c>
    </row>
    <row r="9675" spans="1:10" x14ac:dyDescent="0.25">
      <c r="A9675">
        <v>10870</v>
      </c>
      <c r="B9675" t="s">
        <v>732</v>
      </c>
      <c r="C9675">
        <v>446</v>
      </c>
      <c r="D9675">
        <v>584</v>
      </c>
      <c r="E9675">
        <v>3175402</v>
      </c>
      <c r="F9675">
        <v>846</v>
      </c>
      <c r="G9675">
        <v>0</v>
      </c>
      <c r="H9675" t="s">
        <v>14588</v>
      </c>
      <c r="I9675">
        <v>10870</v>
      </c>
      <c r="J9675" t="str">
        <f>VLOOKUP(E9675,DSSpieler!A:B,2,FALSE)</f>
        <v>*AcEDrink*</v>
      </c>
    </row>
    <row r="9676" spans="1:10" x14ac:dyDescent="0.25">
      <c r="A9676">
        <v>10871</v>
      </c>
      <c r="B9676" t="s">
        <v>531</v>
      </c>
      <c r="C9676">
        <v>419</v>
      </c>
      <c r="D9676">
        <v>438</v>
      </c>
      <c r="E9676">
        <v>0</v>
      </c>
      <c r="F9676">
        <v>407</v>
      </c>
      <c r="G9676">
        <v>0</v>
      </c>
      <c r="H9676" t="s">
        <v>14589</v>
      </c>
      <c r="I9676">
        <v>10871</v>
      </c>
      <c r="J9676" t="e">
        <f>VLOOKUP(E9676,DSSpieler!A:B,2,FALSE)</f>
        <v>#N/A</v>
      </c>
    </row>
    <row r="9677" spans="1:10" x14ac:dyDescent="0.25">
      <c r="A9677">
        <v>10872</v>
      </c>
      <c r="B9677" t="s">
        <v>34017</v>
      </c>
      <c r="C9677">
        <v>433</v>
      </c>
      <c r="D9677">
        <v>576</v>
      </c>
      <c r="E9677">
        <v>1577172655</v>
      </c>
      <c r="F9677">
        <v>491</v>
      </c>
      <c r="G9677">
        <v>0</v>
      </c>
      <c r="H9677" t="s">
        <v>14590</v>
      </c>
      <c r="I9677">
        <v>10872</v>
      </c>
      <c r="J9677" t="str">
        <f>VLOOKUP(E9677,DSSpieler!A:B,2,FALSE)</f>
        <v>Egoschwein87</v>
      </c>
    </row>
    <row r="9678" spans="1:10" x14ac:dyDescent="0.25">
      <c r="A9678">
        <v>10873</v>
      </c>
      <c r="B9678" t="s">
        <v>531</v>
      </c>
      <c r="C9678">
        <v>562</v>
      </c>
      <c r="D9678">
        <v>582</v>
      </c>
      <c r="E9678">
        <v>0</v>
      </c>
      <c r="F9678">
        <v>331</v>
      </c>
      <c r="G9678">
        <v>0</v>
      </c>
      <c r="H9678" t="s">
        <v>14591</v>
      </c>
      <c r="I9678">
        <v>10873</v>
      </c>
      <c r="J9678" t="e">
        <f>VLOOKUP(E9678,DSSpieler!A:B,2,FALSE)</f>
        <v>#N/A</v>
      </c>
    </row>
    <row r="9679" spans="1:10" x14ac:dyDescent="0.25">
      <c r="A9679">
        <v>10874</v>
      </c>
      <c r="B9679" t="s">
        <v>531</v>
      </c>
      <c r="C9679">
        <v>496</v>
      </c>
      <c r="D9679">
        <v>603</v>
      </c>
      <c r="E9679">
        <v>0</v>
      </c>
      <c r="F9679">
        <v>140</v>
      </c>
      <c r="G9679">
        <v>0</v>
      </c>
      <c r="H9679" t="s">
        <v>14592</v>
      </c>
      <c r="I9679">
        <v>10874</v>
      </c>
      <c r="J9679" t="e">
        <f>VLOOKUP(E9679,DSSpieler!A:B,2,FALSE)</f>
        <v>#N/A</v>
      </c>
    </row>
    <row r="9680" spans="1:10" x14ac:dyDescent="0.25">
      <c r="A9680">
        <v>10875</v>
      </c>
      <c r="B9680" t="s">
        <v>531</v>
      </c>
      <c r="C9680">
        <v>580</v>
      </c>
      <c r="D9680">
        <v>567</v>
      </c>
      <c r="E9680">
        <v>1577133129</v>
      </c>
      <c r="F9680">
        <v>5019</v>
      </c>
      <c r="G9680">
        <v>0</v>
      </c>
      <c r="H9680" t="s">
        <v>14593</v>
      </c>
      <c r="I9680">
        <v>10875</v>
      </c>
      <c r="J9680" t="str">
        <f>VLOOKUP(E9680,DSSpieler!A:B,2,FALSE)</f>
        <v>Domi-ubb</v>
      </c>
    </row>
    <row r="9681" spans="1:10" x14ac:dyDescent="0.25">
      <c r="A9681">
        <v>10876</v>
      </c>
      <c r="B9681" t="s">
        <v>531</v>
      </c>
      <c r="C9681">
        <v>545</v>
      </c>
      <c r="D9681">
        <v>588</v>
      </c>
      <c r="E9681">
        <v>0</v>
      </c>
      <c r="F9681">
        <v>506</v>
      </c>
      <c r="G9681">
        <v>0</v>
      </c>
      <c r="H9681" t="s">
        <v>14594</v>
      </c>
      <c r="I9681">
        <v>10876</v>
      </c>
      <c r="J9681" t="e">
        <f>VLOOKUP(E9681,DSSpieler!A:B,2,FALSE)</f>
        <v>#N/A</v>
      </c>
    </row>
    <row r="9682" spans="1:10" x14ac:dyDescent="0.25">
      <c r="A9682">
        <v>10877</v>
      </c>
      <c r="B9682" t="s">
        <v>34018</v>
      </c>
      <c r="C9682">
        <v>400</v>
      </c>
      <c r="D9682">
        <v>493</v>
      </c>
      <c r="E9682">
        <v>1576814526</v>
      </c>
      <c r="F9682">
        <v>5295</v>
      </c>
      <c r="G9682">
        <v>0</v>
      </c>
      <c r="H9682" t="s">
        <v>14595</v>
      </c>
      <c r="I9682">
        <v>10877</v>
      </c>
      <c r="J9682" t="str">
        <f>VLOOKUP(E9682,DSSpieler!A:B,2,FALSE)</f>
        <v>Michl1990</v>
      </c>
    </row>
    <row r="9683" spans="1:10" x14ac:dyDescent="0.25">
      <c r="A9683">
        <v>10878</v>
      </c>
      <c r="B9683" t="s">
        <v>1971</v>
      </c>
      <c r="C9683">
        <v>452</v>
      </c>
      <c r="D9683">
        <v>410</v>
      </c>
      <c r="E9683">
        <v>1577198878</v>
      </c>
      <c r="F9683">
        <v>4646</v>
      </c>
      <c r="G9683">
        <v>0</v>
      </c>
      <c r="H9683" t="s">
        <v>14596</v>
      </c>
      <c r="I9683">
        <v>10878</v>
      </c>
      <c r="J9683" t="str">
        <f>VLOOKUP(E9683,DSSpieler!A:B,2,FALSE)</f>
        <v>Gerhat</v>
      </c>
    </row>
    <row r="9684" spans="1:10" x14ac:dyDescent="0.25">
      <c r="A9684">
        <v>10879</v>
      </c>
      <c r="B9684" t="s">
        <v>34019</v>
      </c>
      <c r="C9684">
        <v>486</v>
      </c>
      <c r="D9684">
        <v>541</v>
      </c>
      <c r="E9684">
        <v>1576996984</v>
      </c>
      <c r="F9684">
        <v>4829</v>
      </c>
      <c r="G9684">
        <v>0</v>
      </c>
      <c r="H9684" t="s">
        <v>14597</v>
      </c>
      <c r="I9684">
        <v>10879</v>
      </c>
      <c r="J9684" t="str">
        <f>VLOOKUP(E9684,DSSpieler!A:B,2,FALSE)</f>
        <v>Gallone</v>
      </c>
    </row>
    <row r="9685" spans="1:10" x14ac:dyDescent="0.25">
      <c r="A9685">
        <v>10880</v>
      </c>
      <c r="B9685" t="s">
        <v>34020</v>
      </c>
      <c r="C9685">
        <v>600</v>
      </c>
      <c r="D9685">
        <v>512</v>
      </c>
      <c r="E9685">
        <v>8755343</v>
      </c>
      <c r="F9685">
        <v>2177</v>
      </c>
      <c r="G9685">
        <v>0</v>
      </c>
      <c r="H9685" t="s">
        <v>14598</v>
      </c>
      <c r="I9685">
        <v>10880</v>
      </c>
      <c r="J9685" t="str">
        <f>VLOOKUP(E9685,DSSpieler!A:B,2,FALSE)</f>
        <v>RudelGemuese</v>
      </c>
    </row>
    <row r="9686" spans="1:10" x14ac:dyDescent="0.25">
      <c r="A9686">
        <v>10882</v>
      </c>
      <c r="B9686" t="s">
        <v>1972</v>
      </c>
      <c r="C9686">
        <v>477</v>
      </c>
      <c r="D9686">
        <v>458</v>
      </c>
      <c r="E9686">
        <v>9535697</v>
      </c>
      <c r="F9686">
        <v>3749</v>
      </c>
      <c r="G9686">
        <v>0</v>
      </c>
      <c r="H9686" t="s">
        <v>14599</v>
      </c>
      <c r="I9686">
        <v>10882</v>
      </c>
      <c r="J9686" t="str">
        <f>VLOOKUP(E9686,DSSpieler!A:B,2,FALSE)</f>
        <v>DaveRida</v>
      </c>
    </row>
    <row r="9687" spans="1:10" x14ac:dyDescent="0.25">
      <c r="A9687">
        <v>10883</v>
      </c>
      <c r="B9687" t="s">
        <v>531</v>
      </c>
      <c r="C9687">
        <v>397</v>
      </c>
      <c r="D9687">
        <v>507</v>
      </c>
      <c r="E9687">
        <v>0</v>
      </c>
      <c r="F9687">
        <v>321</v>
      </c>
      <c r="G9687">
        <v>0</v>
      </c>
      <c r="H9687" t="s">
        <v>14600</v>
      </c>
      <c r="I9687">
        <v>10883</v>
      </c>
      <c r="J9687" t="e">
        <f>VLOOKUP(E9687,DSSpieler!A:B,2,FALSE)</f>
        <v>#N/A</v>
      </c>
    </row>
    <row r="9688" spans="1:10" x14ac:dyDescent="0.25">
      <c r="A9688">
        <v>10884</v>
      </c>
      <c r="B9688">
        <v>3</v>
      </c>
      <c r="C9688">
        <v>393</v>
      </c>
      <c r="D9688">
        <v>534</v>
      </c>
      <c r="E9688">
        <v>1577162920</v>
      </c>
      <c r="F9688">
        <v>2662</v>
      </c>
      <c r="G9688">
        <v>0</v>
      </c>
      <c r="H9688" t="s">
        <v>14601</v>
      </c>
      <c r="I9688">
        <v>10884</v>
      </c>
      <c r="J9688" t="str">
        <f>VLOOKUP(E9688,DSSpieler!A:B,2,FALSE)</f>
        <v>V3RO</v>
      </c>
    </row>
    <row r="9689" spans="1:10" x14ac:dyDescent="0.25">
      <c r="A9689">
        <v>10885</v>
      </c>
      <c r="B9689" t="s">
        <v>531</v>
      </c>
      <c r="C9689">
        <v>597</v>
      </c>
      <c r="D9689">
        <v>476</v>
      </c>
      <c r="E9689">
        <v>0</v>
      </c>
      <c r="F9689">
        <v>166</v>
      </c>
      <c r="G9689">
        <v>0</v>
      </c>
      <c r="H9689" t="s">
        <v>14602</v>
      </c>
      <c r="I9689">
        <v>10885</v>
      </c>
      <c r="J9689" t="e">
        <f>VLOOKUP(E9689,DSSpieler!A:B,2,FALSE)</f>
        <v>#N/A</v>
      </c>
    </row>
    <row r="9690" spans="1:10" x14ac:dyDescent="0.25">
      <c r="A9690">
        <v>10886</v>
      </c>
      <c r="B9690" t="s">
        <v>531</v>
      </c>
      <c r="C9690">
        <v>445</v>
      </c>
      <c r="D9690">
        <v>413</v>
      </c>
      <c r="E9690">
        <v>0</v>
      </c>
      <c r="F9690">
        <v>279</v>
      </c>
      <c r="G9690">
        <v>0</v>
      </c>
      <c r="H9690" t="s">
        <v>14603</v>
      </c>
      <c r="I9690">
        <v>10886</v>
      </c>
      <c r="J9690" t="e">
        <f>VLOOKUP(E9690,DSSpieler!A:B,2,FALSE)</f>
        <v>#N/A</v>
      </c>
    </row>
    <row r="9691" spans="1:10" x14ac:dyDescent="0.25">
      <c r="A9691">
        <v>10887</v>
      </c>
      <c r="B9691" t="s">
        <v>531</v>
      </c>
      <c r="C9691">
        <v>457</v>
      </c>
      <c r="D9691">
        <v>406</v>
      </c>
      <c r="E9691">
        <v>0</v>
      </c>
      <c r="F9691">
        <v>294</v>
      </c>
      <c r="G9691">
        <v>0</v>
      </c>
      <c r="H9691" t="s">
        <v>14604</v>
      </c>
      <c r="I9691">
        <v>10887</v>
      </c>
      <c r="J9691" t="e">
        <f>VLOOKUP(E9691,DSSpieler!A:B,2,FALSE)</f>
        <v>#N/A</v>
      </c>
    </row>
    <row r="9692" spans="1:10" x14ac:dyDescent="0.25">
      <c r="A9692">
        <v>10888</v>
      </c>
      <c r="B9692" t="s">
        <v>531</v>
      </c>
      <c r="C9692">
        <v>597</v>
      </c>
      <c r="D9692">
        <v>480</v>
      </c>
      <c r="E9692">
        <v>0</v>
      </c>
      <c r="F9692">
        <v>343</v>
      </c>
      <c r="G9692">
        <v>0</v>
      </c>
      <c r="H9692" t="s">
        <v>14605</v>
      </c>
      <c r="I9692">
        <v>10888</v>
      </c>
      <c r="J9692" t="e">
        <f>VLOOKUP(E9692,DSSpieler!A:B,2,FALSE)</f>
        <v>#N/A</v>
      </c>
    </row>
    <row r="9693" spans="1:10" x14ac:dyDescent="0.25">
      <c r="A9693">
        <v>10889</v>
      </c>
      <c r="B9693" t="s">
        <v>531</v>
      </c>
      <c r="C9693">
        <v>452</v>
      </c>
      <c r="D9693">
        <v>409</v>
      </c>
      <c r="E9693">
        <v>0</v>
      </c>
      <c r="F9693">
        <v>192</v>
      </c>
      <c r="G9693">
        <v>0</v>
      </c>
      <c r="H9693" t="s">
        <v>14606</v>
      </c>
      <c r="I9693">
        <v>10889</v>
      </c>
      <c r="J9693" t="e">
        <f>VLOOKUP(E9693,DSSpieler!A:B,2,FALSE)</f>
        <v>#N/A</v>
      </c>
    </row>
    <row r="9694" spans="1:10" x14ac:dyDescent="0.25">
      <c r="A9694">
        <v>10890</v>
      </c>
      <c r="B9694" t="s">
        <v>34021</v>
      </c>
      <c r="C9694">
        <v>426</v>
      </c>
      <c r="D9694">
        <v>556</v>
      </c>
      <c r="E9694">
        <v>1577174979</v>
      </c>
      <c r="F9694">
        <v>2961</v>
      </c>
      <c r="G9694">
        <v>0</v>
      </c>
      <c r="H9694" t="s">
        <v>14607</v>
      </c>
      <c r="I9694">
        <v>10890</v>
      </c>
      <c r="J9694" t="str">
        <f>VLOOKUP(E9694,DSSpieler!A:B,2,FALSE)</f>
        <v>Azeroth</v>
      </c>
    </row>
    <row r="9695" spans="1:10" x14ac:dyDescent="0.25">
      <c r="A9695">
        <v>10891</v>
      </c>
      <c r="B9695" t="s">
        <v>531</v>
      </c>
      <c r="C9695">
        <v>399</v>
      </c>
      <c r="D9695">
        <v>499</v>
      </c>
      <c r="E9695">
        <v>0</v>
      </c>
      <c r="F9695">
        <v>256</v>
      </c>
      <c r="G9695">
        <v>0</v>
      </c>
      <c r="H9695" t="s">
        <v>14608</v>
      </c>
      <c r="I9695">
        <v>10891</v>
      </c>
      <c r="J9695" t="e">
        <f>VLOOKUP(E9695,DSSpieler!A:B,2,FALSE)</f>
        <v>#N/A</v>
      </c>
    </row>
    <row r="9696" spans="1:10" x14ac:dyDescent="0.25">
      <c r="A9696">
        <v>10892</v>
      </c>
      <c r="B9696" t="s">
        <v>531</v>
      </c>
      <c r="C9696">
        <v>404</v>
      </c>
      <c r="D9696">
        <v>528</v>
      </c>
      <c r="E9696">
        <v>0</v>
      </c>
      <c r="F9696">
        <v>428</v>
      </c>
      <c r="G9696">
        <v>0</v>
      </c>
      <c r="H9696" t="s">
        <v>14609</v>
      </c>
      <c r="I9696">
        <v>10892</v>
      </c>
      <c r="J9696" t="e">
        <f>VLOOKUP(E9696,DSSpieler!A:B,2,FALSE)</f>
        <v>#N/A</v>
      </c>
    </row>
    <row r="9697" spans="1:10" x14ac:dyDescent="0.25">
      <c r="A9697">
        <v>10893</v>
      </c>
      <c r="B9697" t="s">
        <v>531</v>
      </c>
      <c r="C9697">
        <v>598</v>
      </c>
      <c r="D9697">
        <v>532</v>
      </c>
      <c r="E9697">
        <v>0</v>
      </c>
      <c r="F9697">
        <v>296</v>
      </c>
      <c r="G9697">
        <v>0</v>
      </c>
      <c r="H9697" t="s">
        <v>14610</v>
      </c>
      <c r="I9697">
        <v>10893</v>
      </c>
      <c r="J9697" t="e">
        <f>VLOOKUP(E9697,DSSpieler!A:B,2,FALSE)</f>
        <v>#N/A</v>
      </c>
    </row>
    <row r="9698" spans="1:10" x14ac:dyDescent="0.25">
      <c r="A9698">
        <v>10894</v>
      </c>
      <c r="B9698" t="s">
        <v>531</v>
      </c>
      <c r="C9698">
        <v>477</v>
      </c>
      <c r="D9698">
        <v>400</v>
      </c>
      <c r="E9698">
        <v>0</v>
      </c>
      <c r="F9698">
        <v>192</v>
      </c>
      <c r="G9698">
        <v>0</v>
      </c>
      <c r="H9698" t="s">
        <v>14611</v>
      </c>
      <c r="I9698">
        <v>10894</v>
      </c>
      <c r="J9698" t="e">
        <f>VLOOKUP(E9698,DSSpieler!A:B,2,FALSE)</f>
        <v>#N/A</v>
      </c>
    </row>
    <row r="9699" spans="1:10" x14ac:dyDescent="0.25">
      <c r="A9699">
        <v>10895</v>
      </c>
      <c r="B9699" t="s">
        <v>34022</v>
      </c>
      <c r="C9699">
        <v>473</v>
      </c>
      <c r="D9699">
        <v>403</v>
      </c>
      <c r="E9699">
        <v>7714338</v>
      </c>
      <c r="F9699">
        <v>5432</v>
      </c>
      <c r="G9699">
        <v>0</v>
      </c>
      <c r="H9699" t="s">
        <v>14612</v>
      </c>
      <c r="I9699">
        <v>10895</v>
      </c>
      <c r="J9699" t="str">
        <f>VLOOKUP(E9699,DSSpieler!A:B,2,FALSE)</f>
        <v>Dr.Klapperstorch</v>
      </c>
    </row>
    <row r="9700" spans="1:10" x14ac:dyDescent="0.25">
      <c r="A9700">
        <v>10896</v>
      </c>
      <c r="B9700" t="s">
        <v>531</v>
      </c>
      <c r="C9700">
        <v>483</v>
      </c>
      <c r="D9700">
        <v>400</v>
      </c>
      <c r="E9700">
        <v>0</v>
      </c>
      <c r="F9700">
        <v>599</v>
      </c>
      <c r="G9700">
        <v>0</v>
      </c>
      <c r="H9700" t="s">
        <v>14613</v>
      </c>
      <c r="I9700">
        <v>10896</v>
      </c>
      <c r="J9700" t="e">
        <f>VLOOKUP(E9700,DSSpieler!A:B,2,FALSE)</f>
        <v>#N/A</v>
      </c>
    </row>
    <row r="9701" spans="1:10" x14ac:dyDescent="0.25">
      <c r="A9701">
        <v>10897</v>
      </c>
      <c r="B9701" t="s">
        <v>34023</v>
      </c>
      <c r="C9701">
        <v>417</v>
      </c>
      <c r="D9701">
        <v>557</v>
      </c>
      <c r="E9701">
        <v>10235585</v>
      </c>
      <c r="F9701">
        <v>5147</v>
      </c>
      <c r="G9701">
        <v>0</v>
      </c>
      <c r="H9701" t="s">
        <v>14614</v>
      </c>
      <c r="I9701">
        <v>10897</v>
      </c>
      <c r="J9701" t="str">
        <f>VLOOKUP(E9701,DSSpieler!A:B,2,FALSE)</f>
        <v>Destroyl</v>
      </c>
    </row>
    <row r="9702" spans="1:10" x14ac:dyDescent="0.25">
      <c r="A9702">
        <v>10898</v>
      </c>
      <c r="B9702" t="s">
        <v>531</v>
      </c>
      <c r="C9702">
        <v>426</v>
      </c>
      <c r="D9702">
        <v>431</v>
      </c>
      <c r="E9702">
        <v>0</v>
      </c>
      <c r="F9702">
        <v>447</v>
      </c>
      <c r="G9702">
        <v>0</v>
      </c>
      <c r="H9702" t="s">
        <v>14615</v>
      </c>
      <c r="I9702">
        <v>10898</v>
      </c>
      <c r="J9702" t="e">
        <f>VLOOKUP(E9702,DSSpieler!A:B,2,FALSE)</f>
        <v>#N/A</v>
      </c>
    </row>
    <row r="9703" spans="1:10" x14ac:dyDescent="0.25">
      <c r="A9703">
        <v>10899</v>
      </c>
      <c r="B9703" t="s">
        <v>34024</v>
      </c>
      <c r="C9703">
        <v>434</v>
      </c>
      <c r="D9703">
        <v>527</v>
      </c>
      <c r="E9703">
        <v>1577091835</v>
      </c>
      <c r="F9703">
        <v>8063</v>
      </c>
      <c r="G9703">
        <v>0</v>
      </c>
      <c r="H9703" t="s">
        <v>14616</v>
      </c>
      <c r="I9703">
        <v>10899</v>
      </c>
      <c r="J9703" t="str">
        <f>VLOOKUP(E9703,DSSpieler!A:B,2,FALSE)</f>
        <v>Shedid21</v>
      </c>
    </row>
    <row r="9704" spans="1:10" x14ac:dyDescent="0.25">
      <c r="A9704">
        <v>10900</v>
      </c>
      <c r="B9704" t="s">
        <v>531</v>
      </c>
      <c r="C9704">
        <v>542</v>
      </c>
      <c r="D9704">
        <v>409</v>
      </c>
      <c r="E9704">
        <v>0</v>
      </c>
      <c r="F9704">
        <v>529</v>
      </c>
      <c r="G9704">
        <v>0</v>
      </c>
      <c r="H9704" t="s">
        <v>14617</v>
      </c>
      <c r="I9704">
        <v>10900</v>
      </c>
      <c r="J9704" t="e">
        <f>VLOOKUP(E9704,DSSpieler!A:B,2,FALSE)</f>
        <v>#N/A</v>
      </c>
    </row>
    <row r="9705" spans="1:10" x14ac:dyDescent="0.25">
      <c r="A9705">
        <v>10901</v>
      </c>
      <c r="B9705" t="s">
        <v>531</v>
      </c>
      <c r="C9705">
        <v>419</v>
      </c>
      <c r="D9705">
        <v>442</v>
      </c>
      <c r="E9705">
        <v>0</v>
      </c>
      <c r="F9705">
        <v>345</v>
      </c>
      <c r="G9705">
        <v>0</v>
      </c>
      <c r="H9705" t="s">
        <v>14618</v>
      </c>
      <c r="I9705">
        <v>10901</v>
      </c>
      <c r="J9705" t="e">
        <f>VLOOKUP(E9705,DSSpieler!A:B,2,FALSE)</f>
        <v>#N/A</v>
      </c>
    </row>
    <row r="9706" spans="1:10" x14ac:dyDescent="0.25">
      <c r="A9706">
        <v>10902</v>
      </c>
      <c r="B9706" t="s">
        <v>34025</v>
      </c>
      <c r="C9706">
        <v>429</v>
      </c>
      <c r="D9706">
        <v>418</v>
      </c>
      <c r="E9706">
        <v>1789761</v>
      </c>
      <c r="F9706">
        <v>3936</v>
      </c>
      <c r="G9706">
        <v>0</v>
      </c>
      <c r="H9706" t="s">
        <v>14619</v>
      </c>
      <c r="I9706">
        <v>10902</v>
      </c>
      <c r="J9706" t="str">
        <f>VLOOKUP(E9706,DSSpieler!A:B,2,FALSE)</f>
        <v>Leonardo di Caprisonne</v>
      </c>
    </row>
    <row r="9707" spans="1:10" x14ac:dyDescent="0.25">
      <c r="A9707">
        <v>10903</v>
      </c>
      <c r="B9707" t="s">
        <v>34026</v>
      </c>
      <c r="C9707">
        <v>429</v>
      </c>
      <c r="D9707">
        <v>417</v>
      </c>
      <c r="E9707">
        <v>7806902</v>
      </c>
      <c r="F9707">
        <v>6797</v>
      </c>
      <c r="G9707">
        <v>0</v>
      </c>
      <c r="H9707" t="s">
        <v>14620</v>
      </c>
      <c r="I9707">
        <v>10903</v>
      </c>
      <c r="J9707" t="str">
        <f>VLOOKUP(E9707,DSSpieler!A:B,2,FALSE)</f>
        <v>Aiyomayo</v>
      </c>
    </row>
    <row r="9708" spans="1:10" x14ac:dyDescent="0.25">
      <c r="A9708">
        <v>10904</v>
      </c>
      <c r="B9708" t="s">
        <v>531</v>
      </c>
      <c r="C9708">
        <v>558</v>
      </c>
      <c r="D9708">
        <v>419</v>
      </c>
      <c r="E9708">
        <v>0</v>
      </c>
      <c r="F9708">
        <v>364</v>
      </c>
      <c r="G9708">
        <v>0</v>
      </c>
      <c r="H9708" t="s">
        <v>14621</v>
      </c>
      <c r="I9708">
        <v>10904</v>
      </c>
      <c r="J9708" t="e">
        <f>VLOOKUP(E9708,DSSpieler!A:B,2,FALSE)</f>
        <v>#N/A</v>
      </c>
    </row>
    <row r="9709" spans="1:10" x14ac:dyDescent="0.25">
      <c r="A9709">
        <v>10905</v>
      </c>
      <c r="B9709" t="s">
        <v>34027</v>
      </c>
      <c r="C9709">
        <v>430</v>
      </c>
      <c r="D9709">
        <v>423</v>
      </c>
      <c r="E9709">
        <v>1789761</v>
      </c>
      <c r="F9709">
        <v>5407</v>
      </c>
      <c r="G9709">
        <v>0</v>
      </c>
      <c r="H9709" t="s">
        <v>14622</v>
      </c>
      <c r="I9709">
        <v>10905</v>
      </c>
      <c r="J9709" t="str">
        <f>VLOOKUP(E9709,DSSpieler!A:B,2,FALSE)</f>
        <v>Leonardo di Caprisonne</v>
      </c>
    </row>
    <row r="9710" spans="1:10" x14ac:dyDescent="0.25">
      <c r="A9710">
        <v>10906</v>
      </c>
      <c r="B9710" t="s">
        <v>531</v>
      </c>
      <c r="C9710">
        <v>411</v>
      </c>
      <c r="D9710">
        <v>554</v>
      </c>
      <c r="E9710">
        <v>0</v>
      </c>
      <c r="F9710">
        <v>371</v>
      </c>
      <c r="G9710">
        <v>0</v>
      </c>
      <c r="H9710" t="s">
        <v>14623</v>
      </c>
      <c r="I9710">
        <v>10906</v>
      </c>
      <c r="J9710" t="e">
        <f>VLOOKUP(E9710,DSSpieler!A:B,2,FALSE)</f>
        <v>#N/A</v>
      </c>
    </row>
    <row r="9711" spans="1:10" x14ac:dyDescent="0.25">
      <c r="A9711">
        <v>10907</v>
      </c>
      <c r="B9711" t="s">
        <v>1231</v>
      </c>
      <c r="C9711">
        <v>437</v>
      </c>
      <c r="D9711">
        <v>412</v>
      </c>
      <c r="E9711">
        <v>1577114036</v>
      </c>
      <c r="F9711">
        <v>3802</v>
      </c>
      <c r="G9711">
        <v>0</v>
      </c>
      <c r="H9711" t="s">
        <v>14624</v>
      </c>
      <c r="I9711">
        <v>10907</v>
      </c>
      <c r="J9711" t="str">
        <f>VLOOKUP(E9711,DSSpieler!A:B,2,FALSE)</f>
        <v>Römer</v>
      </c>
    </row>
    <row r="9712" spans="1:10" x14ac:dyDescent="0.25">
      <c r="A9712">
        <v>10908</v>
      </c>
      <c r="B9712" t="s">
        <v>1973</v>
      </c>
      <c r="C9712">
        <v>425</v>
      </c>
      <c r="D9712">
        <v>418</v>
      </c>
      <c r="E9712">
        <v>7806902</v>
      </c>
      <c r="F9712">
        <v>6842</v>
      </c>
      <c r="G9712">
        <v>0</v>
      </c>
      <c r="H9712" t="s">
        <v>14625</v>
      </c>
      <c r="I9712">
        <v>10908</v>
      </c>
      <c r="J9712" t="str">
        <f>VLOOKUP(E9712,DSSpieler!A:B,2,FALSE)</f>
        <v>Aiyomayo</v>
      </c>
    </row>
    <row r="9713" spans="1:10" x14ac:dyDescent="0.25">
      <c r="A9713">
        <v>10909</v>
      </c>
      <c r="B9713" t="s">
        <v>34028</v>
      </c>
      <c r="C9713">
        <v>431</v>
      </c>
      <c r="D9713">
        <v>425</v>
      </c>
      <c r="E9713">
        <v>1577071379</v>
      </c>
      <c r="F9713">
        <v>5099</v>
      </c>
      <c r="G9713">
        <v>0</v>
      </c>
      <c r="H9713" t="s">
        <v>14626</v>
      </c>
      <c r="I9713">
        <v>10909</v>
      </c>
      <c r="J9713" t="str">
        <f>VLOOKUP(E9713,DSSpieler!A:B,2,FALSE)</f>
        <v>Blackstone-</v>
      </c>
    </row>
    <row r="9714" spans="1:10" x14ac:dyDescent="0.25">
      <c r="A9714">
        <v>10910</v>
      </c>
      <c r="B9714" t="s">
        <v>34029</v>
      </c>
      <c r="C9714">
        <v>428</v>
      </c>
      <c r="D9714">
        <v>418</v>
      </c>
      <c r="E9714">
        <v>1789761</v>
      </c>
      <c r="F9714">
        <v>6172</v>
      </c>
      <c r="G9714">
        <v>0</v>
      </c>
      <c r="H9714" t="s">
        <v>14627</v>
      </c>
      <c r="I9714">
        <v>10910</v>
      </c>
      <c r="J9714" t="str">
        <f>VLOOKUP(E9714,DSSpieler!A:B,2,FALSE)</f>
        <v>Leonardo di Caprisonne</v>
      </c>
    </row>
    <row r="9715" spans="1:10" x14ac:dyDescent="0.25">
      <c r="A9715">
        <v>10911</v>
      </c>
      <c r="B9715" t="s">
        <v>32814</v>
      </c>
      <c r="C9715">
        <v>514</v>
      </c>
      <c r="D9715">
        <v>390</v>
      </c>
      <c r="E9715">
        <v>1577139181</v>
      </c>
      <c r="F9715">
        <v>4893</v>
      </c>
      <c r="G9715">
        <v>0</v>
      </c>
      <c r="H9715" t="s">
        <v>14628</v>
      </c>
      <c r="I9715">
        <v>10911</v>
      </c>
      <c r="J9715" t="str">
        <f>VLOOKUP(E9715,DSSpieler!A:B,2,FALSE)</f>
        <v>Sniper-Soldier</v>
      </c>
    </row>
    <row r="9716" spans="1:10" x14ac:dyDescent="0.25">
      <c r="A9716">
        <v>10912</v>
      </c>
      <c r="B9716" t="s">
        <v>1900</v>
      </c>
      <c r="C9716">
        <v>406</v>
      </c>
      <c r="D9716">
        <v>534</v>
      </c>
      <c r="E9716">
        <v>619909</v>
      </c>
      <c r="F9716">
        <v>6296</v>
      </c>
      <c r="G9716">
        <v>0</v>
      </c>
      <c r="H9716" t="s">
        <v>14629</v>
      </c>
      <c r="I9716">
        <v>10912</v>
      </c>
      <c r="J9716" t="str">
        <f>VLOOKUP(E9716,DSSpieler!A:B,2,FALSE)</f>
        <v>InvincibleB</v>
      </c>
    </row>
    <row r="9717" spans="1:10" x14ac:dyDescent="0.25">
      <c r="A9717">
        <v>10913</v>
      </c>
      <c r="B9717" t="s">
        <v>34030</v>
      </c>
      <c r="C9717">
        <v>400</v>
      </c>
      <c r="D9717">
        <v>511</v>
      </c>
      <c r="E9717">
        <v>1577179471</v>
      </c>
      <c r="F9717">
        <v>4408</v>
      </c>
      <c r="G9717">
        <v>0</v>
      </c>
      <c r="H9717" t="s">
        <v>14630</v>
      </c>
      <c r="I9717">
        <v>10913</v>
      </c>
      <c r="J9717" t="str">
        <f>VLOOKUP(E9717,DSSpieler!A:B,2,FALSE)</f>
        <v>Austrian braveheart</v>
      </c>
    </row>
    <row r="9718" spans="1:10" x14ac:dyDescent="0.25">
      <c r="A9718">
        <v>10914</v>
      </c>
      <c r="B9718" t="s">
        <v>531</v>
      </c>
      <c r="C9718">
        <v>415</v>
      </c>
      <c r="D9718">
        <v>551</v>
      </c>
      <c r="E9718">
        <v>0</v>
      </c>
      <c r="F9718">
        <v>275</v>
      </c>
      <c r="G9718">
        <v>0</v>
      </c>
      <c r="H9718" t="s">
        <v>14631</v>
      </c>
      <c r="I9718">
        <v>10914</v>
      </c>
      <c r="J9718" t="e">
        <f>VLOOKUP(E9718,DSSpieler!A:B,2,FALSE)</f>
        <v>#N/A</v>
      </c>
    </row>
    <row r="9719" spans="1:10" x14ac:dyDescent="0.25">
      <c r="A9719">
        <v>10915</v>
      </c>
      <c r="B9719" t="s">
        <v>34031</v>
      </c>
      <c r="C9719">
        <v>538</v>
      </c>
      <c r="D9719">
        <v>594</v>
      </c>
      <c r="E9719">
        <v>9742133</v>
      </c>
      <c r="F9719">
        <v>6658</v>
      </c>
      <c r="G9719">
        <v>0</v>
      </c>
      <c r="H9719" t="s">
        <v>14632</v>
      </c>
      <c r="I9719">
        <v>10915</v>
      </c>
      <c r="J9719" t="str">
        <f>VLOOKUP(E9719,DSSpieler!A:B,2,FALSE)</f>
        <v>Pvt.First</v>
      </c>
    </row>
    <row r="9720" spans="1:10" x14ac:dyDescent="0.25">
      <c r="A9720">
        <v>10916</v>
      </c>
      <c r="B9720" t="s">
        <v>1974</v>
      </c>
      <c r="C9720">
        <v>431</v>
      </c>
      <c r="D9720">
        <v>518</v>
      </c>
      <c r="E9720">
        <v>1577198646</v>
      </c>
      <c r="F9720">
        <v>7491</v>
      </c>
      <c r="G9720">
        <v>0</v>
      </c>
      <c r="H9720" t="s">
        <v>14633</v>
      </c>
      <c r="I9720">
        <v>10916</v>
      </c>
      <c r="J9720" t="str">
        <f>VLOOKUP(E9720,DSSpieler!A:B,2,FALSE)</f>
        <v>EinfachBöller</v>
      </c>
    </row>
    <row r="9721" spans="1:10" x14ac:dyDescent="0.25">
      <c r="A9721">
        <v>10917</v>
      </c>
      <c r="B9721" t="s">
        <v>1975</v>
      </c>
      <c r="C9721">
        <v>479</v>
      </c>
      <c r="D9721">
        <v>435</v>
      </c>
      <c r="E9721">
        <v>1577182815</v>
      </c>
      <c r="F9721">
        <v>4164</v>
      </c>
      <c r="G9721">
        <v>0</v>
      </c>
      <c r="H9721" t="s">
        <v>14634</v>
      </c>
      <c r="I9721">
        <v>10917</v>
      </c>
      <c r="J9721" t="str">
        <f>VLOOKUP(E9721,DSSpieler!A:B,2,FALSE)</f>
        <v>Ikonoklast</v>
      </c>
    </row>
    <row r="9722" spans="1:10" x14ac:dyDescent="0.25">
      <c r="A9722">
        <v>10919</v>
      </c>
      <c r="B9722" t="s">
        <v>34032</v>
      </c>
      <c r="C9722">
        <v>556</v>
      </c>
      <c r="D9722">
        <v>413</v>
      </c>
      <c r="E9722">
        <v>9621199</v>
      </c>
      <c r="F9722">
        <v>2144</v>
      </c>
      <c r="G9722">
        <v>0</v>
      </c>
      <c r="H9722" t="s">
        <v>14635</v>
      </c>
      <c r="I9722">
        <v>10919</v>
      </c>
      <c r="J9722" t="str">
        <f>VLOOKUP(E9722,DSSpieler!A:B,2,FALSE)</f>
        <v>ImSryBut</v>
      </c>
    </row>
    <row r="9723" spans="1:10" x14ac:dyDescent="0.25">
      <c r="A9723">
        <v>10920</v>
      </c>
      <c r="B9723" t="s">
        <v>531</v>
      </c>
      <c r="C9723">
        <v>444</v>
      </c>
      <c r="D9723">
        <v>418</v>
      </c>
      <c r="E9723">
        <v>0</v>
      </c>
      <c r="F9723">
        <v>350</v>
      </c>
      <c r="G9723">
        <v>0</v>
      </c>
      <c r="H9723" t="s">
        <v>14636</v>
      </c>
      <c r="I9723">
        <v>10920</v>
      </c>
      <c r="J9723" t="e">
        <f>VLOOKUP(E9723,DSSpieler!A:B,2,FALSE)</f>
        <v>#N/A</v>
      </c>
    </row>
    <row r="9724" spans="1:10" x14ac:dyDescent="0.25">
      <c r="A9724">
        <v>10922</v>
      </c>
      <c r="B9724" t="s">
        <v>531</v>
      </c>
      <c r="C9724">
        <v>419</v>
      </c>
      <c r="D9724">
        <v>558</v>
      </c>
      <c r="E9724">
        <v>0</v>
      </c>
      <c r="F9724">
        <v>165</v>
      </c>
      <c r="G9724">
        <v>0</v>
      </c>
      <c r="H9724" t="s">
        <v>14637</v>
      </c>
      <c r="I9724">
        <v>10922</v>
      </c>
      <c r="J9724" t="e">
        <f>VLOOKUP(E9724,DSSpieler!A:B,2,FALSE)</f>
        <v>#N/A</v>
      </c>
    </row>
    <row r="9725" spans="1:10" x14ac:dyDescent="0.25">
      <c r="A9725">
        <v>10923</v>
      </c>
      <c r="B9725" t="s">
        <v>34033</v>
      </c>
      <c r="C9725">
        <v>410</v>
      </c>
      <c r="D9725">
        <v>463</v>
      </c>
      <c r="E9725">
        <v>1576172304</v>
      </c>
      <c r="F9725">
        <v>6403</v>
      </c>
      <c r="G9725">
        <v>0</v>
      </c>
      <c r="H9725" t="s">
        <v>14638</v>
      </c>
      <c r="I9725">
        <v>10923</v>
      </c>
      <c r="J9725" t="str">
        <f>VLOOKUP(E9725,DSSpieler!A:B,2,FALSE)</f>
        <v>Peterchen Lustig</v>
      </c>
    </row>
    <row r="9726" spans="1:10" x14ac:dyDescent="0.25">
      <c r="A9726">
        <v>10924</v>
      </c>
      <c r="B9726" t="s">
        <v>531</v>
      </c>
      <c r="C9726">
        <v>406</v>
      </c>
      <c r="D9726">
        <v>459</v>
      </c>
      <c r="E9726">
        <v>0</v>
      </c>
      <c r="F9726">
        <v>89</v>
      </c>
      <c r="G9726">
        <v>0</v>
      </c>
      <c r="H9726" t="s">
        <v>14639</v>
      </c>
      <c r="I9726">
        <v>10924</v>
      </c>
      <c r="J9726" t="e">
        <f>VLOOKUP(E9726,DSSpieler!A:B,2,FALSE)</f>
        <v>#N/A</v>
      </c>
    </row>
    <row r="9727" spans="1:10" x14ac:dyDescent="0.25">
      <c r="A9727">
        <v>10926</v>
      </c>
      <c r="B9727" t="s">
        <v>531</v>
      </c>
      <c r="C9727">
        <v>510</v>
      </c>
      <c r="D9727">
        <v>440</v>
      </c>
      <c r="E9727">
        <v>0</v>
      </c>
      <c r="F9727">
        <v>345</v>
      </c>
      <c r="G9727">
        <v>0</v>
      </c>
      <c r="H9727" t="s">
        <v>14640</v>
      </c>
      <c r="I9727">
        <v>10926</v>
      </c>
      <c r="J9727" t="e">
        <f>VLOOKUP(E9727,DSSpieler!A:B,2,FALSE)</f>
        <v>#N/A</v>
      </c>
    </row>
    <row r="9728" spans="1:10" x14ac:dyDescent="0.25">
      <c r="A9728">
        <v>10927</v>
      </c>
      <c r="B9728" t="s">
        <v>34034</v>
      </c>
      <c r="C9728">
        <v>601</v>
      </c>
      <c r="D9728">
        <v>499</v>
      </c>
      <c r="E9728">
        <v>10121747</v>
      </c>
      <c r="F9728">
        <v>3753</v>
      </c>
      <c r="G9728">
        <v>0</v>
      </c>
      <c r="H9728" t="s">
        <v>14641</v>
      </c>
      <c r="I9728">
        <v>10927</v>
      </c>
      <c r="J9728" t="str">
        <f>VLOOKUP(E9728,DSSpieler!A:B,2,FALSE)</f>
        <v>KönigKärtnerderHerzen</v>
      </c>
    </row>
    <row r="9729" spans="1:10" x14ac:dyDescent="0.25">
      <c r="A9729">
        <v>10928</v>
      </c>
      <c r="B9729">
        <v>1</v>
      </c>
      <c r="C9729">
        <v>491</v>
      </c>
      <c r="D9729">
        <v>605</v>
      </c>
      <c r="E9729">
        <v>10174050</v>
      </c>
      <c r="F9729">
        <v>8462</v>
      </c>
      <c r="G9729">
        <v>0</v>
      </c>
      <c r="H9729" t="s">
        <v>14642</v>
      </c>
      <c r="I9729">
        <v>10928</v>
      </c>
      <c r="J9729" t="str">
        <f>VLOOKUP(E9729,DSSpieler!A:B,2,FALSE)</f>
        <v>Chilla008</v>
      </c>
    </row>
    <row r="9730" spans="1:10" x14ac:dyDescent="0.25">
      <c r="A9730">
        <v>10929</v>
      </c>
      <c r="B9730" t="s">
        <v>31024</v>
      </c>
      <c r="C9730">
        <v>430</v>
      </c>
      <c r="D9730">
        <v>575</v>
      </c>
      <c r="E9730">
        <v>1576813699</v>
      </c>
      <c r="F9730">
        <v>6312</v>
      </c>
      <c r="G9730">
        <v>0</v>
      </c>
      <c r="H9730" t="s">
        <v>14643</v>
      </c>
      <c r="I9730">
        <v>10929</v>
      </c>
      <c r="J9730" t="str">
        <f>VLOOKUP(E9730,DSSpieler!A:B,2,FALSE)</f>
        <v>El Nefes</v>
      </c>
    </row>
    <row r="9731" spans="1:10" x14ac:dyDescent="0.25">
      <c r="A9731">
        <v>10930</v>
      </c>
      <c r="B9731" t="s">
        <v>34035</v>
      </c>
      <c r="C9731">
        <v>457</v>
      </c>
      <c r="D9731">
        <v>496</v>
      </c>
      <c r="E9731">
        <v>1577150472</v>
      </c>
      <c r="F9731">
        <v>5090</v>
      </c>
      <c r="G9731">
        <v>0</v>
      </c>
      <c r="H9731" t="s">
        <v>14644</v>
      </c>
      <c r="I9731">
        <v>10930</v>
      </c>
      <c r="J9731" t="str">
        <f>VLOOKUP(E9731,DSSpieler!A:B,2,FALSE)</f>
        <v>Jerry3005</v>
      </c>
    </row>
    <row r="9732" spans="1:10" x14ac:dyDescent="0.25">
      <c r="A9732">
        <v>10931</v>
      </c>
      <c r="B9732" t="s">
        <v>1132</v>
      </c>
      <c r="C9732">
        <v>552</v>
      </c>
      <c r="D9732">
        <v>585</v>
      </c>
      <c r="E9732">
        <v>1576826515</v>
      </c>
      <c r="F9732">
        <v>5361</v>
      </c>
      <c r="G9732">
        <v>0</v>
      </c>
      <c r="H9732" t="s">
        <v>14645</v>
      </c>
      <c r="I9732">
        <v>10931</v>
      </c>
      <c r="J9732" t="str">
        <f>VLOOKUP(E9732,DSSpieler!A:B,2,FALSE)</f>
        <v>PandaBear</v>
      </c>
    </row>
    <row r="9733" spans="1:10" x14ac:dyDescent="0.25">
      <c r="A9733">
        <v>10932</v>
      </c>
      <c r="B9733" t="s">
        <v>34036</v>
      </c>
      <c r="C9733">
        <v>435</v>
      </c>
      <c r="D9733">
        <v>565</v>
      </c>
      <c r="E9733">
        <v>166827</v>
      </c>
      <c r="F9733">
        <v>1258</v>
      </c>
      <c r="G9733">
        <v>0</v>
      </c>
      <c r="H9733" t="s">
        <v>14646</v>
      </c>
      <c r="I9733">
        <v>10932</v>
      </c>
      <c r="J9733" t="str">
        <f>VLOOKUP(E9733,DSSpieler!A:B,2,FALSE)</f>
        <v>EDYtheFOX</v>
      </c>
    </row>
    <row r="9734" spans="1:10" x14ac:dyDescent="0.25">
      <c r="A9734">
        <v>10933</v>
      </c>
      <c r="B9734" t="s">
        <v>31494</v>
      </c>
      <c r="C9734">
        <v>564</v>
      </c>
      <c r="D9734">
        <v>581</v>
      </c>
      <c r="E9734">
        <v>10150608</v>
      </c>
      <c r="F9734">
        <v>7071</v>
      </c>
      <c r="G9734">
        <v>0</v>
      </c>
      <c r="H9734" t="s">
        <v>14647</v>
      </c>
      <c r="I9734">
        <v>10933</v>
      </c>
      <c r="J9734" t="str">
        <f>VLOOKUP(E9734,DSSpieler!A:B,2,FALSE)</f>
        <v>L@ser</v>
      </c>
    </row>
    <row r="9735" spans="1:10" x14ac:dyDescent="0.25">
      <c r="A9735">
        <v>10935</v>
      </c>
      <c r="B9735" t="s">
        <v>531</v>
      </c>
      <c r="C9735">
        <v>418</v>
      </c>
      <c r="D9735">
        <v>436</v>
      </c>
      <c r="E9735">
        <v>0</v>
      </c>
      <c r="F9735">
        <v>1307</v>
      </c>
      <c r="G9735">
        <v>0</v>
      </c>
      <c r="H9735" t="s">
        <v>14648</v>
      </c>
      <c r="I9735">
        <v>10935</v>
      </c>
      <c r="J9735" t="e">
        <f>VLOOKUP(E9735,DSSpieler!A:B,2,FALSE)</f>
        <v>#N/A</v>
      </c>
    </row>
    <row r="9736" spans="1:10" x14ac:dyDescent="0.25">
      <c r="A9736">
        <v>10936</v>
      </c>
      <c r="B9736" t="s">
        <v>531</v>
      </c>
      <c r="C9736">
        <v>572</v>
      </c>
      <c r="D9736">
        <v>575</v>
      </c>
      <c r="E9736">
        <v>0</v>
      </c>
      <c r="F9736">
        <v>335</v>
      </c>
      <c r="G9736">
        <v>0</v>
      </c>
      <c r="H9736" t="s">
        <v>14649</v>
      </c>
      <c r="I9736">
        <v>10936</v>
      </c>
      <c r="J9736" t="e">
        <f>VLOOKUP(E9736,DSSpieler!A:B,2,FALSE)</f>
        <v>#N/A</v>
      </c>
    </row>
    <row r="9737" spans="1:10" x14ac:dyDescent="0.25">
      <c r="A9737">
        <v>10938</v>
      </c>
      <c r="B9737" t="s">
        <v>1976</v>
      </c>
      <c r="C9737">
        <v>441</v>
      </c>
      <c r="D9737">
        <v>508</v>
      </c>
      <c r="E9737">
        <v>1577183484</v>
      </c>
      <c r="F9737">
        <v>2517</v>
      </c>
      <c r="G9737">
        <v>0</v>
      </c>
      <c r="H9737" t="s">
        <v>14650</v>
      </c>
      <c r="I9737">
        <v>10938</v>
      </c>
      <c r="J9737" t="str">
        <f>VLOOKUP(E9737,DSSpieler!A:B,2,FALSE)</f>
        <v>Valar-Morghulis</v>
      </c>
    </row>
    <row r="9738" spans="1:10" x14ac:dyDescent="0.25">
      <c r="A9738">
        <v>10939</v>
      </c>
      <c r="B9738" t="s">
        <v>531</v>
      </c>
      <c r="C9738">
        <v>409</v>
      </c>
      <c r="D9738">
        <v>451</v>
      </c>
      <c r="E9738">
        <v>0</v>
      </c>
      <c r="F9738">
        <v>470</v>
      </c>
      <c r="G9738">
        <v>0</v>
      </c>
      <c r="H9738" t="s">
        <v>14651</v>
      </c>
      <c r="I9738">
        <v>10939</v>
      </c>
      <c r="J9738" t="e">
        <f>VLOOKUP(E9738,DSSpieler!A:B,2,FALSE)</f>
        <v>#N/A</v>
      </c>
    </row>
    <row r="9739" spans="1:10" x14ac:dyDescent="0.25">
      <c r="A9739">
        <v>10941</v>
      </c>
      <c r="B9739" t="s">
        <v>34037</v>
      </c>
      <c r="C9739">
        <v>593</v>
      </c>
      <c r="D9739">
        <v>459</v>
      </c>
      <c r="E9739">
        <v>9266958</v>
      </c>
      <c r="F9739">
        <v>3392</v>
      </c>
      <c r="G9739">
        <v>0</v>
      </c>
      <c r="H9739" t="s">
        <v>14652</v>
      </c>
      <c r="I9739">
        <v>10941</v>
      </c>
      <c r="J9739" t="str">
        <f>VLOOKUP(E9739,DSSpieler!A:B,2,FALSE)</f>
        <v>stampede.</v>
      </c>
    </row>
    <row r="9740" spans="1:10" x14ac:dyDescent="0.25">
      <c r="A9740">
        <v>10942</v>
      </c>
      <c r="B9740" t="s">
        <v>1977</v>
      </c>
      <c r="C9740">
        <v>487</v>
      </c>
      <c r="D9740">
        <v>476</v>
      </c>
      <c r="E9740">
        <v>1577164260</v>
      </c>
      <c r="F9740">
        <v>3759</v>
      </c>
      <c r="G9740">
        <v>0</v>
      </c>
      <c r="H9740" t="s">
        <v>14653</v>
      </c>
      <c r="I9740">
        <v>10942</v>
      </c>
      <c r="J9740" t="str">
        <f>VLOOKUP(E9740,DSSpieler!A:B,2,FALSE)</f>
        <v>raugh-raugh</v>
      </c>
    </row>
    <row r="9741" spans="1:10" x14ac:dyDescent="0.25">
      <c r="A9741">
        <v>10943</v>
      </c>
      <c r="B9741" t="s">
        <v>34038</v>
      </c>
      <c r="C9741">
        <v>587</v>
      </c>
      <c r="D9741">
        <v>548</v>
      </c>
      <c r="E9741">
        <v>9852346</v>
      </c>
      <c r="F9741">
        <v>406</v>
      </c>
      <c r="G9741">
        <v>0</v>
      </c>
      <c r="H9741" t="s">
        <v>14654</v>
      </c>
      <c r="I9741">
        <v>10943</v>
      </c>
      <c r="J9741" t="str">
        <f>VLOOKUP(E9741,DSSpieler!A:B,2,FALSE)</f>
        <v>BIG BEST</v>
      </c>
    </row>
    <row r="9742" spans="1:10" x14ac:dyDescent="0.25">
      <c r="A9742">
        <v>10945</v>
      </c>
      <c r="B9742" t="s">
        <v>531</v>
      </c>
      <c r="C9742">
        <v>400</v>
      </c>
      <c r="D9742">
        <v>481</v>
      </c>
      <c r="E9742">
        <v>0</v>
      </c>
      <c r="F9742">
        <v>312</v>
      </c>
      <c r="G9742">
        <v>0</v>
      </c>
      <c r="H9742" t="s">
        <v>14655</v>
      </c>
      <c r="I9742">
        <v>10945</v>
      </c>
      <c r="J9742" t="e">
        <f>VLOOKUP(E9742,DSSpieler!A:B,2,FALSE)</f>
        <v>#N/A</v>
      </c>
    </row>
    <row r="9743" spans="1:10" x14ac:dyDescent="0.25">
      <c r="A9743">
        <v>10946</v>
      </c>
      <c r="B9743" t="s">
        <v>531</v>
      </c>
      <c r="C9743">
        <v>467</v>
      </c>
      <c r="D9743">
        <v>595</v>
      </c>
      <c r="E9743">
        <v>0</v>
      </c>
      <c r="F9743">
        <v>236</v>
      </c>
      <c r="G9743">
        <v>0</v>
      </c>
      <c r="H9743" t="s">
        <v>14656</v>
      </c>
      <c r="I9743">
        <v>10946</v>
      </c>
      <c r="J9743" t="e">
        <f>VLOOKUP(E9743,DSSpieler!A:B,2,FALSE)</f>
        <v>#N/A</v>
      </c>
    </row>
    <row r="9744" spans="1:10" x14ac:dyDescent="0.25">
      <c r="A9744">
        <v>10947</v>
      </c>
      <c r="B9744" t="s">
        <v>30649</v>
      </c>
      <c r="C9744">
        <v>558</v>
      </c>
      <c r="D9744">
        <v>585</v>
      </c>
      <c r="E9744">
        <v>1577162918</v>
      </c>
      <c r="F9744">
        <v>5291</v>
      </c>
      <c r="G9744">
        <v>0</v>
      </c>
      <c r="H9744" t="s">
        <v>14657</v>
      </c>
      <c r="I9744">
        <v>10947</v>
      </c>
      <c r="J9744" t="str">
        <f>VLOOKUP(E9744,DSSpieler!A:B,2,FALSE)</f>
        <v>Jonas617</v>
      </c>
    </row>
    <row r="9745" spans="1:10" x14ac:dyDescent="0.25">
      <c r="A9745">
        <v>10948</v>
      </c>
      <c r="B9745" t="s">
        <v>1978</v>
      </c>
      <c r="C9745">
        <v>473</v>
      </c>
      <c r="D9745">
        <v>597</v>
      </c>
      <c r="E9745">
        <v>1577182262</v>
      </c>
      <c r="F9745">
        <v>960</v>
      </c>
      <c r="G9745">
        <v>0</v>
      </c>
      <c r="H9745" t="s">
        <v>14658</v>
      </c>
      <c r="I9745">
        <v>10948</v>
      </c>
      <c r="J9745" t="str">
        <f>VLOOKUP(E9745,DSSpieler!A:B,2,FALSE)</f>
        <v>Molleba</v>
      </c>
    </row>
    <row r="9746" spans="1:10" x14ac:dyDescent="0.25">
      <c r="A9746">
        <v>10949</v>
      </c>
      <c r="B9746" t="s">
        <v>531</v>
      </c>
      <c r="C9746">
        <v>560</v>
      </c>
      <c r="D9746">
        <v>415</v>
      </c>
      <c r="E9746">
        <v>0</v>
      </c>
      <c r="F9746">
        <v>298</v>
      </c>
      <c r="G9746">
        <v>0</v>
      </c>
      <c r="H9746" t="s">
        <v>14659</v>
      </c>
      <c r="I9746">
        <v>10949</v>
      </c>
      <c r="J9746" t="e">
        <f>VLOOKUP(E9746,DSSpieler!A:B,2,FALSE)</f>
        <v>#N/A</v>
      </c>
    </row>
    <row r="9747" spans="1:10" x14ac:dyDescent="0.25">
      <c r="A9747">
        <v>10950</v>
      </c>
      <c r="B9747" t="s">
        <v>531</v>
      </c>
      <c r="C9747">
        <v>461</v>
      </c>
      <c r="D9747">
        <v>406</v>
      </c>
      <c r="E9747">
        <v>0</v>
      </c>
      <c r="F9747">
        <v>237</v>
      </c>
      <c r="G9747">
        <v>0</v>
      </c>
      <c r="H9747" t="s">
        <v>14660</v>
      </c>
      <c r="I9747">
        <v>10950</v>
      </c>
      <c r="J9747" t="e">
        <f>VLOOKUP(E9747,DSSpieler!A:B,2,FALSE)</f>
        <v>#N/A</v>
      </c>
    </row>
    <row r="9748" spans="1:10" x14ac:dyDescent="0.25">
      <c r="A9748">
        <v>10951</v>
      </c>
      <c r="B9748" t="s">
        <v>531</v>
      </c>
      <c r="C9748">
        <v>586</v>
      </c>
      <c r="D9748">
        <v>448</v>
      </c>
      <c r="E9748">
        <v>0</v>
      </c>
      <c r="F9748">
        <v>259</v>
      </c>
      <c r="G9748">
        <v>0</v>
      </c>
      <c r="H9748" t="s">
        <v>14661</v>
      </c>
      <c r="I9748">
        <v>10951</v>
      </c>
      <c r="J9748" t="e">
        <f>VLOOKUP(E9748,DSSpieler!A:B,2,FALSE)</f>
        <v>#N/A</v>
      </c>
    </row>
    <row r="9749" spans="1:10" x14ac:dyDescent="0.25">
      <c r="A9749">
        <v>10952</v>
      </c>
      <c r="B9749" t="s">
        <v>1011</v>
      </c>
      <c r="C9749">
        <v>593</v>
      </c>
      <c r="D9749">
        <v>544</v>
      </c>
      <c r="E9749">
        <v>2679744</v>
      </c>
      <c r="F9749">
        <v>3667</v>
      </c>
      <c r="G9749">
        <v>0</v>
      </c>
      <c r="H9749" t="s">
        <v>14662</v>
      </c>
      <c r="I9749">
        <v>10952</v>
      </c>
      <c r="J9749" t="str">
        <f>VLOOKUP(E9749,DSSpieler!A:B,2,FALSE)</f>
        <v>tortelinie</v>
      </c>
    </row>
    <row r="9750" spans="1:10" x14ac:dyDescent="0.25">
      <c r="A9750">
        <v>10953</v>
      </c>
      <c r="B9750" t="s">
        <v>34039</v>
      </c>
      <c r="C9750">
        <v>432</v>
      </c>
      <c r="D9750">
        <v>499</v>
      </c>
      <c r="E9750">
        <v>1577185487</v>
      </c>
      <c r="F9750">
        <v>472</v>
      </c>
      <c r="G9750">
        <v>0</v>
      </c>
      <c r="H9750" t="s">
        <v>14663</v>
      </c>
      <c r="I9750">
        <v>10953</v>
      </c>
      <c r="J9750" t="str">
        <f>VLOOKUP(E9750,DSSpieler!A:B,2,FALSE)</f>
        <v>ZoKKazoRRo</v>
      </c>
    </row>
    <row r="9751" spans="1:10" x14ac:dyDescent="0.25">
      <c r="A9751">
        <v>10954</v>
      </c>
      <c r="B9751" t="s">
        <v>34040</v>
      </c>
      <c r="C9751">
        <v>546</v>
      </c>
      <c r="D9751">
        <v>409</v>
      </c>
      <c r="E9751">
        <v>1577176327</v>
      </c>
      <c r="F9751">
        <v>4289</v>
      </c>
      <c r="G9751">
        <v>0</v>
      </c>
      <c r="H9751" t="s">
        <v>14664</v>
      </c>
      <c r="I9751">
        <v>10954</v>
      </c>
      <c r="J9751" t="str">
        <f>VLOOKUP(E9751,DSSpieler!A:B,2,FALSE)</f>
        <v>DerAnthilope</v>
      </c>
    </row>
    <row r="9752" spans="1:10" x14ac:dyDescent="0.25">
      <c r="A9752">
        <v>10955</v>
      </c>
      <c r="B9752" t="s">
        <v>1979</v>
      </c>
      <c r="C9752">
        <v>560</v>
      </c>
      <c r="D9752">
        <v>417</v>
      </c>
      <c r="E9752">
        <v>1577185982</v>
      </c>
      <c r="F9752">
        <v>1834</v>
      </c>
      <c r="G9752">
        <v>0</v>
      </c>
      <c r="H9752" t="s">
        <v>14665</v>
      </c>
      <c r="I9752">
        <v>10955</v>
      </c>
      <c r="J9752" t="str">
        <f>VLOOKUP(E9752,DSSpieler!A:B,2,FALSE)</f>
        <v>benthin</v>
      </c>
    </row>
    <row r="9753" spans="1:10" x14ac:dyDescent="0.25">
      <c r="A9753">
        <v>10956</v>
      </c>
      <c r="B9753" t="s">
        <v>531</v>
      </c>
      <c r="C9753">
        <v>528</v>
      </c>
      <c r="D9753">
        <v>401</v>
      </c>
      <c r="E9753">
        <v>0</v>
      </c>
      <c r="F9753">
        <v>184</v>
      </c>
      <c r="G9753">
        <v>0</v>
      </c>
      <c r="H9753" t="s">
        <v>14666</v>
      </c>
      <c r="I9753">
        <v>10956</v>
      </c>
      <c r="J9753" t="e">
        <f>VLOOKUP(E9753,DSSpieler!A:B,2,FALSE)</f>
        <v>#N/A</v>
      </c>
    </row>
    <row r="9754" spans="1:10" x14ac:dyDescent="0.25">
      <c r="A9754">
        <v>10957</v>
      </c>
      <c r="B9754" t="s">
        <v>33059</v>
      </c>
      <c r="C9754">
        <v>459</v>
      </c>
      <c r="D9754">
        <v>584</v>
      </c>
      <c r="E9754">
        <v>823554</v>
      </c>
      <c r="F9754">
        <v>3472</v>
      </c>
      <c r="G9754">
        <v>0</v>
      </c>
      <c r="H9754" t="s">
        <v>14667</v>
      </c>
      <c r="I9754">
        <v>10957</v>
      </c>
      <c r="J9754" t="str">
        <f>VLOOKUP(E9754,DSSpieler!A:B,2,FALSE)</f>
        <v>hartbach</v>
      </c>
    </row>
    <row r="9755" spans="1:10" x14ac:dyDescent="0.25">
      <c r="A9755">
        <v>10958</v>
      </c>
      <c r="B9755" t="s">
        <v>34041</v>
      </c>
      <c r="C9755">
        <v>562</v>
      </c>
      <c r="D9755">
        <v>586</v>
      </c>
      <c r="E9755">
        <v>1576134517</v>
      </c>
      <c r="F9755">
        <v>7598</v>
      </c>
      <c r="G9755">
        <v>0</v>
      </c>
      <c r="H9755" t="s">
        <v>14668</v>
      </c>
      <c r="I9755">
        <v>10958</v>
      </c>
      <c r="J9755" t="str">
        <f>VLOOKUP(E9755,DSSpieler!A:B,2,FALSE)</f>
        <v>Gammler9</v>
      </c>
    </row>
    <row r="9756" spans="1:10" x14ac:dyDescent="0.25">
      <c r="A9756">
        <v>10959</v>
      </c>
      <c r="B9756" t="s">
        <v>34042</v>
      </c>
      <c r="C9756">
        <v>604</v>
      </c>
      <c r="D9756">
        <v>493</v>
      </c>
      <c r="E9756">
        <v>1576478650</v>
      </c>
      <c r="F9756">
        <v>5581</v>
      </c>
      <c r="G9756">
        <v>0</v>
      </c>
      <c r="H9756" t="s">
        <v>14669</v>
      </c>
      <c r="I9756">
        <v>10959</v>
      </c>
      <c r="J9756" t="str">
        <f>VLOOKUP(E9756,DSSpieler!A:B,2,FALSE)</f>
        <v>JohnyBravo</v>
      </c>
    </row>
    <row r="9757" spans="1:10" x14ac:dyDescent="0.25">
      <c r="A9757">
        <v>10960</v>
      </c>
      <c r="B9757" t="s">
        <v>34043</v>
      </c>
      <c r="C9757">
        <v>553</v>
      </c>
      <c r="D9757">
        <v>589</v>
      </c>
      <c r="E9757">
        <v>1577169164</v>
      </c>
      <c r="F9757">
        <v>2550</v>
      </c>
      <c r="G9757">
        <v>0</v>
      </c>
      <c r="H9757" t="s">
        <v>14670</v>
      </c>
      <c r="I9757">
        <v>10960</v>
      </c>
      <c r="J9757" t="str">
        <f>VLOOKUP(E9757,DSSpieler!A:B,2,FALSE)</f>
        <v>oitzingerbua</v>
      </c>
    </row>
    <row r="9758" spans="1:10" x14ac:dyDescent="0.25">
      <c r="A9758">
        <v>10961</v>
      </c>
      <c r="B9758" t="s">
        <v>33724</v>
      </c>
      <c r="C9758">
        <v>559</v>
      </c>
      <c r="D9758">
        <v>590</v>
      </c>
      <c r="E9758">
        <v>1577162918</v>
      </c>
      <c r="F9758">
        <v>2449</v>
      </c>
      <c r="G9758">
        <v>0</v>
      </c>
      <c r="H9758" t="s">
        <v>14671</v>
      </c>
      <c r="I9758">
        <v>10961</v>
      </c>
      <c r="J9758" t="str">
        <f>VLOOKUP(E9758,DSSpieler!A:B,2,FALSE)</f>
        <v>Jonas617</v>
      </c>
    </row>
    <row r="9759" spans="1:10" x14ac:dyDescent="0.25">
      <c r="A9759">
        <v>10962</v>
      </c>
      <c r="B9759" t="s">
        <v>34044</v>
      </c>
      <c r="C9759">
        <v>573</v>
      </c>
      <c r="D9759">
        <v>431</v>
      </c>
      <c r="E9759">
        <v>1575897680</v>
      </c>
      <c r="F9759">
        <v>1342</v>
      </c>
      <c r="G9759">
        <v>0</v>
      </c>
      <c r="H9759" t="s">
        <v>14672</v>
      </c>
      <c r="I9759">
        <v>10962</v>
      </c>
      <c r="J9759" t="str">
        <f>VLOOKUP(E9759,DSSpieler!A:B,2,FALSE)</f>
        <v>comcon1710</v>
      </c>
    </row>
    <row r="9760" spans="1:10" x14ac:dyDescent="0.25">
      <c r="A9760">
        <v>10963</v>
      </c>
      <c r="B9760" t="s">
        <v>531</v>
      </c>
      <c r="C9760">
        <v>406</v>
      </c>
      <c r="D9760">
        <v>466</v>
      </c>
      <c r="E9760">
        <v>0</v>
      </c>
      <c r="F9760">
        <v>258</v>
      </c>
      <c r="G9760">
        <v>0</v>
      </c>
      <c r="H9760" t="s">
        <v>14673</v>
      </c>
      <c r="I9760">
        <v>10963</v>
      </c>
      <c r="J9760" t="e">
        <f>VLOOKUP(E9760,DSSpieler!A:B,2,FALSE)</f>
        <v>#N/A</v>
      </c>
    </row>
    <row r="9761" spans="1:10" x14ac:dyDescent="0.25">
      <c r="A9761">
        <v>10964</v>
      </c>
      <c r="B9761" t="s">
        <v>531</v>
      </c>
      <c r="C9761">
        <v>581</v>
      </c>
      <c r="D9761">
        <v>441</v>
      </c>
      <c r="E9761">
        <v>0</v>
      </c>
      <c r="F9761">
        <v>515</v>
      </c>
      <c r="G9761">
        <v>0</v>
      </c>
      <c r="H9761" t="s">
        <v>14674</v>
      </c>
      <c r="I9761">
        <v>10964</v>
      </c>
      <c r="J9761" t="e">
        <f>VLOOKUP(E9761,DSSpieler!A:B,2,FALSE)</f>
        <v>#N/A</v>
      </c>
    </row>
    <row r="9762" spans="1:10" x14ac:dyDescent="0.25">
      <c r="A9762">
        <v>10965</v>
      </c>
      <c r="B9762" t="s">
        <v>531</v>
      </c>
      <c r="C9762">
        <v>447</v>
      </c>
      <c r="D9762">
        <v>586</v>
      </c>
      <c r="E9762">
        <v>0</v>
      </c>
      <c r="F9762">
        <v>482</v>
      </c>
      <c r="G9762">
        <v>0</v>
      </c>
      <c r="H9762" t="s">
        <v>14675</v>
      </c>
      <c r="I9762">
        <v>10965</v>
      </c>
      <c r="J9762" t="e">
        <f>VLOOKUP(E9762,DSSpieler!A:B,2,FALSE)</f>
        <v>#N/A</v>
      </c>
    </row>
    <row r="9763" spans="1:10" x14ac:dyDescent="0.25">
      <c r="A9763">
        <v>10966</v>
      </c>
      <c r="B9763" t="s">
        <v>1137</v>
      </c>
      <c r="C9763">
        <v>553</v>
      </c>
      <c r="D9763">
        <v>583</v>
      </c>
      <c r="E9763">
        <v>1577174754</v>
      </c>
      <c r="F9763">
        <v>4647</v>
      </c>
      <c r="G9763">
        <v>0</v>
      </c>
      <c r="H9763" t="s">
        <v>14676</v>
      </c>
      <c r="I9763">
        <v>10966</v>
      </c>
      <c r="J9763" t="str">
        <f>VLOOKUP(E9763,DSSpieler!A:B,2,FALSE)</f>
        <v>Cook1e Dough</v>
      </c>
    </row>
    <row r="9764" spans="1:10" x14ac:dyDescent="0.25">
      <c r="A9764">
        <v>10968</v>
      </c>
      <c r="B9764" t="s">
        <v>985</v>
      </c>
      <c r="C9764">
        <v>593</v>
      </c>
      <c r="D9764">
        <v>552</v>
      </c>
      <c r="E9764">
        <v>1576942861</v>
      </c>
      <c r="F9764">
        <v>5432</v>
      </c>
      <c r="G9764">
        <v>0</v>
      </c>
      <c r="H9764" t="s">
        <v>14677</v>
      </c>
      <c r="I9764">
        <v>10968</v>
      </c>
      <c r="J9764" t="str">
        <f>VLOOKUP(E9764,DSSpieler!A:B,2,FALSE)</f>
        <v>Gremlinseye</v>
      </c>
    </row>
    <row r="9765" spans="1:10" x14ac:dyDescent="0.25">
      <c r="A9765">
        <v>10969</v>
      </c>
      <c r="B9765" t="s">
        <v>34045</v>
      </c>
      <c r="C9765">
        <v>485</v>
      </c>
      <c r="D9765">
        <v>444</v>
      </c>
      <c r="E9765">
        <v>1577175203</v>
      </c>
      <c r="F9765">
        <v>5868</v>
      </c>
      <c r="G9765">
        <v>0</v>
      </c>
      <c r="H9765" t="s">
        <v>14678</v>
      </c>
      <c r="I9765">
        <v>10969</v>
      </c>
      <c r="J9765" t="str">
        <f>VLOOKUP(E9765,DSSpieler!A:B,2,FALSE)</f>
        <v>malakaz</v>
      </c>
    </row>
    <row r="9766" spans="1:10" x14ac:dyDescent="0.25">
      <c r="A9766">
        <v>10970</v>
      </c>
      <c r="B9766" t="s">
        <v>531</v>
      </c>
      <c r="C9766">
        <v>555</v>
      </c>
      <c r="D9766">
        <v>588</v>
      </c>
      <c r="E9766">
        <v>0</v>
      </c>
      <c r="F9766">
        <v>166</v>
      </c>
      <c r="G9766">
        <v>0</v>
      </c>
      <c r="H9766" t="s">
        <v>14679</v>
      </c>
      <c r="I9766">
        <v>10970</v>
      </c>
      <c r="J9766" t="e">
        <f>VLOOKUP(E9766,DSSpieler!A:B,2,FALSE)</f>
        <v>#N/A</v>
      </c>
    </row>
    <row r="9767" spans="1:10" x14ac:dyDescent="0.25">
      <c r="A9767">
        <v>10972</v>
      </c>
      <c r="B9767">
        <v>1</v>
      </c>
      <c r="C9767">
        <v>445</v>
      </c>
      <c r="D9767">
        <v>584</v>
      </c>
      <c r="E9767">
        <v>1576948504</v>
      </c>
      <c r="F9767">
        <v>3928</v>
      </c>
      <c r="G9767">
        <v>0</v>
      </c>
      <c r="H9767" t="s">
        <v>14680</v>
      </c>
      <c r="I9767">
        <v>10972</v>
      </c>
      <c r="J9767" t="str">
        <f>VLOOKUP(E9767,DSSpieler!A:B,2,FALSE)</f>
        <v>PrinceLukas</v>
      </c>
    </row>
    <row r="9768" spans="1:10" x14ac:dyDescent="0.25">
      <c r="A9768">
        <v>10973</v>
      </c>
      <c r="B9768" t="s">
        <v>531</v>
      </c>
      <c r="C9768">
        <v>598</v>
      </c>
      <c r="D9768">
        <v>536</v>
      </c>
      <c r="E9768">
        <v>0</v>
      </c>
      <c r="F9768">
        <v>128</v>
      </c>
      <c r="G9768">
        <v>0</v>
      </c>
      <c r="H9768" t="s">
        <v>14681</v>
      </c>
      <c r="I9768">
        <v>10973</v>
      </c>
      <c r="J9768" t="e">
        <f>VLOOKUP(E9768,DSSpieler!A:B,2,FALSE)</f>
        <v>#N/A</v>
      </c>
    </row>
    <row r="9769" spans="1:10" x14ac:dyDescent="0.25">
      <c r="A9769">
        <v>10975</v>
      </c>
      <c r="B9769" t="s">
        <v>531</v>
      </c>
      <c r="C9769">
        <v>553</v>
      </c>
      <c r="D9769">
        <v>584</v>
      </c>
      <c r="E9769">
        <v>0</v>
      </c>
      <c r="F9769">
        <v>224</v>
      </c>
      <c r="G9769">
        <v>0</v>
      </c>
      <c r="H9769" t="s">
        <v>14682</v>
      </c>
      <c r="I9769">
        <v>10975</v>
      </c>
      <c r="J9769" t="e">
        <f>VLOOKUP(E9769,DSSpieler!A:B,2,FALSE)</f>
        <v>#N/A</v>
      </c>
    </row>
    <row r="9770" spans="1:10" x14ac:dyDescent="0.25">
      <c r="A9770">
        <v>10976</v>
      </c>
      <c r="B9770">
        <v>2</v>
      </c>
      <c r="C9770">
        <v>511</v>
      </c>
      <c r="D9770">
        <v>556</v>
      </c>
      <c r="E9770">
        <v>1577198009</v>
      </c>
      <c r="F9770">
        <v>2973</v>
      </c>
      <c r="G9770">
        <v>0</v>
      </c>
      <c r="H9770" t="s">
        <v>14683</v>
      </c>
      <c r="I9770">
        <v>10976</v>
      </c>
      <c r="J9770" t="str">
        <f>VLOOKUP(E9770,DSSpieler!A:B,2,FALSE)</f>
        <v>Bierserker88</v>
      </c>
    </row>
    <row r="9771" spans="1:10" x14ac:dyDescent="0.25">
      <c r="A9771">
        <v>10977</v>
      </c>
      <c r="B9771" t="s">
        <v>531</v>
      </c>
      <c r="C9771">
        <v>600</v>
      </c>
      <c r="D9771">
        <v>529</v>
      </c>
      <c r="E9771">
        <v>0</v>
      </c>
      <c r="F9771">
        <v>192</v>
      </c>
      <c r="G9771">
        <v>0</v>
      </c>
      <c r="H9771" t="s">
        <v>14684</v>
      </c>
      <c r="I9771">
        <v>10977</v>
      </c>
      <c r="J9771" t="e">
        <f>VLOOKUP(E9771,DSSpieler!A:B,2,FALSE)</f>
        <v>#N/A</v>
      </c>
    </row>
    <row r="9772" spans="1:10" x14ac:dyDescent="0.25">
      <c r="A9772">
        <v>10978</v>
      </c>
      <c r="B9772" t="s">
        <v>34046</v>
      </c>
      <c r="C9772">
        <v>559</v>
      </c>
      <c r="D9772">
        <v>410</v>
      </c>
      <c r="E9772">
        <v>1575855752</v>
      </c>
      <c r="F9772">
        <v>4500</v>
      </c>
      <c r="G9772">
        <v>0</v>
      </c>
      <c r="H9772" t="s">
        <v>14685</v>
      </c>
      <c r="I9772">
        <v>10978</v>
      </c>
      <c r="J9772" t="str">
        <f>VLOOKUP(E9772,DSSpieler!A:B,2,FALSE)</f>
        <v>michaelsch</v>
      </c>
    </row>
    <row r="9773" spans="1:10" x14ac:dyDescent="0.25">
      <c r="A9773">
        <v>10979</v>
      </c>
      <c r="B9773" t="s">
        <v>780</v>
      </c>
      <c r="C9773">
        <v>607</v>
      </c>
      <c r="D9773">
        <v>525</v>
      </c>
      <c r="E9773">
        <v>9410032</v>
      </c>
      <c r="F9773">
        <v>5637</v>
      </c>
      <c r="G9773">
        <v>0</v>
      </c>
      <c r="H9773" t="s">
        <v>14686</v>
      </c>
      <c r="I9773">
        <v>10979</v>
      </c>
      <c r="J9773" t="str">
        <f>VLOOKUP(E9773,DSSpieler!A:B,2,FALSE)</f>
        <v>Darth Stitch</v>
      </c>
    </row>
    <row r="9774" spans="1:10" x14ac:dyDescent="0.25">
      <c r="A9774">
        <v>10980</v>
      </c>
      <c r="B9774" t="s">
        <v>531</v>
      </c>
      <c r="C9774">
        <v>507</v>
      </c>
      <c r="D9774">
        <v>604</v>
      </c>
      <c r="E9774">
        <v>0</v>
      </c>
      <c r="F9774">
        <v>355</v>
      </c>
      <c r="G9774">
        <v>0</v>
      </c>
      <c r="H9774" t="s">
        <v>14687</v>
      </c>
      <c r="I9774">
        <v>10980</v>
      </c>
      <c r="J9774" t="e">
        <f>VLOOKUP(E9774,DSSpieler!A:B,2,FALSE)</f>
        <v>#N/A</v>
      </c>
    </row>
    <row r="9775" spans="1:10" x14ac:dyDescent="0.25">
      <c r="A9775">
        <v>10981</v>
      </c>
      <c r="B9775" t="s">
        <v>150</v>
      </c>
      <c r="C9775">
        <v>470</v>
      </c>
      <c r="D9775">
        <v>403</v>
      </c>
      <c r="E9775">
        <v>1577188715</v>
      </c>
      <c r="F9775">
        <v>4561</v>
      </c>
      <c r="G9775">
        <v>0</v>
      </c>
      <c r="H9775" t="s">
        <v>14688</v>
      </c>
      <c r="I9775">
        <v>10981</v>
      </c>
      <c r="J9775" t="str">
        <f>VLOOKUP(E9775,DSSpieler!A:B,2,FALSE)</f>
        <v>etap</v>
      </c>
    </row>
    <row r="9776" spans="1:10" x14ac:dyDescent="0.25">
      <c r="A9776">
        <v>10982</v>
      </c>
      <c r="B9776" t="s">
        <v>1980</v>
      </c>
      <c r="C9776">
        <v>540</v>
      </c>
      <c r="D9776">
        <v>406</v>
      </c>
      <c r="E9776">
        <v>1577197760</v>
      </c>
      <c r="F9776">
        <v>7122</v>
      </c>
      <c r="G9776">
        <v>0</v>
      </c>
      <c r="H9776" t="s">
        <v>14689</v>
      </c>
      <c r="I9776">
        <v>10982</v>
      </c>
      <c r="J9776" t="str">
        <f>VLOOKUP(E9776,DSSpieler!A:B,2,FALSE)</f>
        <v>Linn214</v>
      </c>
    </row>
    <row r="9777" spans="1:10" x14ac:dyDescent="0.25">
      <c r="A9777">
        <v>10983</v>
      </c>
      <c r="B9777" t="s">
        <v>780</v>
      </c>
      <c r="C9777">
        <v>596</v>
      </c>
      <c r="D9777">
        <v>542</v>
      </c>
      <c r="E9777">
        <v>8645048</v>
      </c>
      <c r="F9777">
        <v>4955</v>
      </c>
      <c r="G9777">
        <v>0</v>
      </c>
      <c r="H9777" t="s">
        <v>14690</v>
      </c>
      <c r="I9777">
        <v>10983</v>
      </c>
      <c r="J9777" t="str">
        <f>VLOOKUP(E9777,DSSpieler!A:B,2,FALSE)</f>
        <v>HeinBlöd</v>
      </c>
    </row>
    <row r="9778" spans="1:10" x14ac:dyDescent="0.25">
      <c r="A9778">
        <v>10984</v>
      </c>
      <c r="B9778" t="s">
        <v>34047</v>
      </c>
      <c r="C9778">
        <v>594</v>
      </c>
      <c r="D9778">
        <v>455</v>
      </c>
      <c r="E9778">
        <v>1576328934</v>
      </c>
      <c r="F9778">
        <v>3800</v>
      </c>
      <c r="G9778">
        <v>0</v>
      </c>
      <c r="H9778" t="s">
        <v>14691</v>
      </c>
      <c r="I9778">
        <v>10984</v>
      </c>
      <c r="J9778" t="str">
        <f>VLOOKUP(E9778,DSSpieler!A:B,2,FALSE)</f>
        <v>Fellow13</v>
      </c>
    </row>
    <row r="9779" spans="1:10" x14ac:dyDescent="0.25">
      <c r="A9779">
        <v>10985</v>
      </c>
      <c r="B9779" t="s">
        <v>33965</v>
      </c>
      <c r="C9779">
        <v>604</v>
      </c>
      <c r="D9779">
        <v>491</v>
      </c>
      <c r="E9779">
        <v>1576818090</v>
      </c>
      <c r="F9779">
        <v>6592</v>
      </c>
      <c r="G9779">
        <v>0</v>
      </c>
      <c r="H9779" t="s">
        <v>14692</v>
      </c>
      <c r="I9779">
        <v>10985</v>
      </c>
      <c r="J9779" t="str">
        <f>VLOOKUP(E9779,DSSpieler!A:B,2,FALSE)</f>
        <v>The DarkWolf Returns</v>
      </c>
    </row>
    <row r="9780" spans="1:10" x14ac:dyDescent="0.25">
      <c r="A9780">
        <v>10986</v>
      </c>
      <c r="B9780" t="s">
        <v>34048</v>
      </c>
      <c r="C9780">
        <v>595</v>
      </c>
      <c r="D9780">
        <v>544</v>
      </c>
      <c r="E9780">
        <v>1577123742</v>
      </c>
      <c r="F9780">
        <v>4039</v>
      </c>
      <c r="G9780">
        <v>0</v>
      </c>
      <c r="H9780" t="s">
        <v>14693</v>
      </c>
      <c r="I9780">
        <v>10986</v>
      </c>
      <c r="J9780" t="str">
        <f>VLOOKUP(E9780,DSSpieler!A:B,2,FALSE)</f>
        <v>KäptnBlaubär</v>
      </c>
    </row>
    <row r="9781" spans="1:10" x14ac:dyDescent="0.25">
      <c r="A9781">
        <v>10987</v>
      </c>
      <c r="B9781" t="s">
        <v>1981</v>
      </c>
      <c r="C9781">
        <v>588</v>
      </c>
      <c r="D9781">
        <v>451</v>
      </c>
      <c r="E9781">
        <v>735534</v>
      </c>
      <c r="F9781">
        <v>2129</v>
      </c>
      <c r="G9781">
        <v>0</v>
      </c>
      <c r="H9781" t="s">
        <v>14694</v>
      </c>
      <c r="I9781">
        <v>10987</v>
      </c>
      <c r="J9781" t="str">
        <f>VLOOKUP(E9781,DSSpieler!A:B,2,FALSE)</f>
        <v>KönigArtur1234</v>
      </c>
    </row>
    <row r="9782" spans="1:10" x14ac:dyDescent="0.25">
      <c r="A9782">
        <v>10988</v>
      </c>
      <c r="B9782" t="s">
        <v>35828</v>
      </c>
      <c r="C9782">
        <v>504</v>
      </c>
      <c r="D9782">
        <v>602</v>
      </c>
      <c r="E9782">
        <v>731739</v>
      </c>
      <c r="F9782">
        <v>3500</v>
      </c>
      <c r="G9782">
        <v>0</v>
      </c>
      <c r="H9782" t="s">
        <v>14695</v>
      </c>
      <c r="I9782">
        <v>10988</v>
      </c>
      <c r="J9782" t="str">
        <f>VLOOKUP(E9782,DSSpieler!A:B,2,FALSE)</f>
        <v>BlayGlor</v>
      </c>
    </row>
    <row r="9783" spans="1:10" x14ac:dyDescent="0.25">
      <c r="A9783">
        <v>10990</v>
      </c>
      <c r="B9783" t="s">
        <v>531</v>
      </c>
      <c r="C9783">
        <v>421</v>
      </c>
      <c r="D9783">
        <v>568</v>
      </c>
      <c r="E9783">
        <v>0</v>
      </c>
      <c r="F9783">
        <v>343</v>
      </c>
      <c r="G9783">
        <v>0</v>
      </c>
      <c r="H9783" t="s">
        <v>14696</v>
      </c>
      <c r="I9783">
        <v>10990</v>
      </c>
      <c r="J9783" t="e">
        <f>VLOOKUP(E9783,DSSpieler!A:B,2,FALSE)</f>
        <v>#N/A</v>
      </c>
    </row>
    <row r="9784" spans="1:10" x14ac:dyDescent="0.25">
      <c r="A9784">
        <v>10991</v>
      </c>
      <c r="B9784" t="s">
        <v>531</v>
      </c>
      <c r="C9784">
        <v>515</v>
      </c>
      <c r="D9784">
        <v>602</v>
      </c>
      <c r="E9784">
        <v>0</v>
      </c>
      <c r="F9784">
        <v>605</v>
      </c>
      <c r="G9784">
        <v>0</v>
      </c>
      <c r="H9784" t="s">
        <v>14697</v>
      </c>
      <c r="I9784">
        <v>10991</v>
      </c>
      <c r="J9784" t="e">
        <f>VLOOKUP(E9784,DSSpieler!A:B,2,FALSE)</f>
        <v>#N/A</v>
      </c>
    </row>
    <row r="9785" spans="1:10" x14ac:dyDescent="0.25">
      <c r="A9785">
        <v>10992</v>
      </c>
      <c r="B9785" t="s">
        <v>531</v>
      </c>
      <c r="C9785">
        <v>600</v>
      </c>
      <c r="D9785">
        <v>502</v>
      </c>
      <c r="E9785">
        <v>0</v>
      </c>
      <c r="F9785">
        <v>232</v>
      </c>
      <c r="G9785">
        <v>0</v>
      </c>
      <c r="H9785" t="s">
        <v>14698</v>
      </c>
      <c r="I9785">
        <v>10992</v>
      </c>
      <c r="J9785" t="e">
        <f>VLOOKUP(E9785,DSSpieler!A:B,2,FALSE)</f>
        <v>#N/A</v>
      </c>
    </row>
    <row r="9786" spans="1:10" x14ac:dyDescent="0.25">
      <c r="A9786">
        <v>10993</v>
      </c>
      <c r="B9786">
        <v>61</v>
      </c>
      <c r="C9786">
        <v>451</v>
      </c>
      <c r="D9786">
        <v>590</v>
      </c>
      <c r="E9786">
        <v>667174</v>
      </c>
      <c r="F9786">
        <v>4675</v>
      </c>
      <c r="G9786">
        <v>0</v>
      </c>
      <c r="H9786" t="s">
        <v>14699</v>
      </c>
      <c r="I9786">
        <v>10993</v>
      </c>
      <c r="J9786">
        <f>VLOOKUP(E9786,DSSpieler!A:B,2,FALSE)</f>
        <v>61</v>
      </c>
    </row>
    <row r="9787" spans="1:10" x14ac:dyDescent="0.25">
      <c r="A9787">
        <v>10994</v>
      </c>
      <c r="B9787" t="s">
        <v>1982</v>
      </c>
      <c r="C9787">
        <v>466</v>
      </c>
      <c r="D9787">
        <v>405</v>
      </c>
      <c r="E9787">
        <v>214667</v>
      </c>
      <c r="F9787">
        <v>6431</v>
      </c>
      <c r="G9787">
        <v>0</v>
      </c>
      <c r="H9787" t="s">
        <v>14700</v>
      </c>
      <c r="I9787">
        <v>10994</v>
      </c>
      <c r="J9787" t="str">
        <f>VLOOKUP(E9787,DSSpieler!A:B,2,FALSE)</f>
        <v>N-Key</v>
      </c>
    </row>
    <row r="9788" spans="1:10" x14ac:dyDescent="0.25">
      <c r="A9788">
        <v>10995</v>
      </c>
      <c r="B9788" t="s">
        <v>531</v>
      </c>
      <c r="C9788">
        <v>398</v>
      </c>
      <c r="D9788">
        <v>510</v>
      </c>
      <c r="E9788">
        <v>0</v>
      </c>
      <c r="F9788">
        <v>504</v>
      </c>
      <c r="G9788">
        <v>0</v>
      </c>
      <c r="H9788" t="s">
        <v>14701</v>
      </c>
      <c r="I9788">
        <v>10995</v>
      </c>
      <c r="J9788" t="e">
        <f>VLOOKUP(E9788,DSSpieler!A:B,2,FALSE)</f>
        <v>#N/A</v>
      </c>
    </row>
    <row r="9789" spans="1:10" x14ac:dyDescent="0.25">
      <c r="A9789">
        <v>10996</v>
      </c>
      <c r="B9789" t="s">
        <v>1983</v>
      </c>
      <c r="C9789">
        <v>402</v>
      </c>
      <c r="D9789">
        <v>476</v>
      </c>
      <c r="E9789">
        <v>3287479</v>
      </c>
      <c r="F9789">
        <v>187</v>
      </c>
      <c r="G9789">
        <v>0</v>
      </c>
      <c r="H9789" t="s">
        <v>14702</v>
      </c>
      <c r="I9789">
        <v>10996</v>
      </c>
      <c r="J9789" t="str">
        <f>VLOOKUP(E9789,DSSpieler!A:B,2,FALSE)</f>
        <v>xaver39</v>
      </c>
    </row>
    <row r="9790" spans="1:10" x14ac:dyDescent="0.25">
      <c r="A9790">
        <v>10997</v>
      </c>
      <c r="B9790" t="s">
        <v>31138</v>
      </c>
      <c r="C9790">
        <v>457</v>
      </c>
      <c r="D9790">
        <v>408</v>
      </c>
      <c r="E9790">
        <v>1577064445</v>
      </c>
      <c r="F9790">
        <v>3393</v>
      </c>
      <c r="G9790">
        <v>0</v>
      </c>
      <c r="H9790" t="s">
        <v>14703</v>
      </c>
      <c r="I9790">
        <v>10997</v>
      </c>
      <c r="J9790" t="str">
        <f>VLOOKUP(E9790,DSSpieler!A:B,2,FALSE)</f>
        <v>Nightwolf</v>
      </c>
    </row>
    <row r="9791" spans="1:10" x14ac:dyDescent="0.25">
      <c r="A9791">
        <v>10998</v>
      </c>
      <c r="B9791" t="s">
        <v>1984</v>
      </c>
      <c r="C9791">
        <v>434</v>
      </c>
      <c r="D9791">
        <v>468</v>
      </c>
      <c r="E9791">
        <v>1577109132</v>
      </c>
      <c r="F9791">
        <v>4669</v>
      </c>
      <c r="G9791">
        <v>0</v>
      </c>
      <c r="H9791" t="s">
        <v>14704</v>
      </c>
      <c r="I9791">
        <v>10998</v>
      </c>
      <c r="J9791" t="str">
        <f>VLOOKUP(E9791,DSSpieler!A:B,2,FALSE)</f>
        <v>Schmiddi</v>
      </c>
    </row>
    <row r="9792" spans="1:10" x14ac:dyDescent="0.25">
      <c r="A9792">
        <v>10999</v>
      </c>
      <c r="B9792" t="s">
        <v>979</v>
      </c>
      <c r="C9792">
        <v>507</v>
      </c>
      <c r="D9792">
        <v>603</v>
      </c>
      <c r="E9792">
        <v>1577177565</v>
      </c>
      <c r="F9792">
        <v>5282</v>
      </c>
      <c r="G9792">
        <v>0</v>
      </c>
      <c r="H9792" t="s">
        <v>14705</v>
      </c>
      <c r="I9792">
        <v>10999</v>
      </c>
      <c r="J9792" t="str">
        <f>VLOOKUP(E9792,DSSpieler!A:B,2,FALSE)</f>
        <v>Auschu</v>
      </c>
    </row>
    <row r="9793" spans="1:10" x14ac:dyDescent="0.25">
      <c r="A9793">
        <v>11000</v>
      </c>
      <c r="B9793" t="s">
        <v>531</v>
      </c>
      <c r="C9793">
        <v>483</v>
      </c>
      <c r="D9793">
        <v>413</v>
      </c>
      <c r="E9793">
        <v>0</v>
      </c>
      <c r="F9793">
        <v>931</v>
      </c>
      <c r="G9793">
        <v>0</v>
      </c>
      <c r="H9793" t="s">
        <v>14706</v>
      </c>
      <c r="I9793">
        <v>11000</v>
      </c>
      <c r="J9793" t="e">
        <f>VLOOKUP(E9793,DSSpieler!A:B,2,FALSE)</f>
        <v>#N/A</v>
      </c>
    </row>
    <row r="9794" spans="1:10" x14ac:dyDescent="0.25">
      <c r="A9794">
        <v>11001</v>
      </c>
      <c r="B9794" t="s">
        <v>1985</v>
      </c>
      <c r="C9794">
        <v>493</v>
      </c>
      <c r="D9794">
        <v>600</v>
      </c>
      <c r="E9794">
        <v>1941935</v>
      </c>
      <c r="F9794">
        <v>5035</v>
      </c>
      <c r="G9794">
        <v>0</v>
      </c>
      <c r="H9794" t="s">
        <v>14707</v>
      </c>
      <c r="I9794">
        <v>11001</v>
      </c>
      <c r="J9794" t="str">
        <f>VLOOKUP(E9794,DSSpieler!A:B,2,FALSE)</f>
        <v>King Mater</v>
      </c>
    </row>
    <row r="9795" spans="1:10" x14ac:dyDescent="0.25">
      <c r="A9795">
        <v>11002</v>
      </c>
      <c r="B9795" t="s">
        <v>34049</v>
      </c>
      <c r="C9795">
        <v>462</v>
      </c>
      <c r="D9795">
        <v>404</v>
      </c>
      <c r="E9795">
        <v>1576915148</v>
      </c>
      <c r="F9795">
        <v>2990</v>
      </c>
      <c r="G9795">
        <v>0</v>
      </c>
      <c r="H9795" t="s">
        <v>14708</v>
      </c>
      <c r="I9795">
        <v>11002</v>
      </c>
      <c r="J9795" t="str">
        <f>VLOOKUP(E9795,DSSpieler!A:B,2,FALSE)</f>
        <v>JuSt4FuN97</v>
      </c>
    </row>
    <row r="9796" spans="1:10" x14ac:dyDescent="0.25">
      <c r="A9796">
        <v>11003</v>
      </c>
      <c r="B9796" t="s">
        <v>531</v>
      </c>
      <c r="C9796">
        <v>568</v>
      </c>
      <c r="D9796">
        <v>424</v>
      </c>
      <c r="E9796">
        <v>0</v>
      </c>
      <c r="F9796">
        <v>379</v>
      </c>
      <c r="G9796">
        <v>0</v>
      </c>
      <c r="H9796" t="s">
        <v>14709</v>
      </c>
      <c r="I9796">
        <v>11003</v>
      </c>
      <c r="J9796" t="e">
        <f>VLOOKUP(E9796,DSSpieler!A:B,2,FALSE)</f>
        <v>#N/A</v>
      </c>
    </row>
    <row r="9797" spans="1:10" x14ac:dyDescent="0.25">
      <c r="A9797">
        <v>11004</v>
      </c>
      <c r="B9797" t="s">
        <v>531</v>
      </c>
      <c r="C9797">
        <v>424</v>
      </c>
      <c r="D9797">
        <v>565</v>
      </c>
      <c r="E9797">
        <v>0</v>
      </c>
      <c r="F9797">
        <v>296</v>
      </c>
      <c r="G9797">
        <v>0</v>
      </c>
      <c r="H9797" t="s">
        <v>14710</v>
      </c>
      <c r="I9797">
        <v>11004</v>
      </c>
      <c r="J9797" t="e">
        <f>VLOOKUP(E9797,DSSpieler!A:B,2,FALSE)</f>
        <v>#N/A</v>
      </c>
    </row>
    <row r="9798" spans="1:10" x14ac:dyDescent="0.25">
      <c r="A9798">
        <v>11006</v>
      </c>
      <c r="B9798" t="s">
        <v>34050</v>
      </c>
      <c r="C9798">
        <v>494</v>
      </c>
      <c r="D9798">
        <v>396</v>
      </c>
      <c r="E9798">
        <v>1577170548</v>
      </c>
      <c r="F9798">
        <v>3001</v>
      </c>
      <c r="G9798">
        <v>0</v>
      </c>
      <c r="H9798" t="s">
        <v>14711</v>
      </c>
      <c r="I9798">
        <v>11006</v>
      </c>
      <c r="J9798" t="str">
        <f>VLOOKUP(E9798,DSSpieler!A:B,2,FALSE)</f>
        <v>haui04</v>
      </c>
    </row>
    <row r="9799" spans="1:10" x14ac:dyDescent="0.25">
      <c r="A9799">
        <v>11007</v>
      </c>
      <c r="B9799" t="s">
        <v>531</v>
      </c>
      <c r="C9799">
        <v>469</v>
      </c>
      <c r="D9799">
        <v>404</v>
      </c>
      <c r="E9799">
        <v>0</v>
      </c>
      <c r="F9799">
        <v>406</v>
      </c>
      <c r="G9799">
        <v>0</v>
      </c>
      <c r="H9799" t="s">
        <v>14712</v>
      </c>
      <c r="I9799">
        <v>11007</v>
      </c>
      <c r="J9799" t="e">
        <f>VLOOKUP(E9799,DSSpieler!A:B,2,FALSE)</f>
        <v>#N/A</v>
      </c>
    </row>
    <row r="9800" spans="1:10" x14ac:dyDescent="0.25">
      <c r="A9800">
        <v>11008</v>
      </c>
      <c r="B9800" t="s">
        <v>531</v>
      </c>
      <c r="C9800">
        <v>594</v>
      </c>
      <c r="D9800">
        <v>541</v>
      </c>
      <c r="E9800">
        <v>0</v>
      </c>
      <c r="F9800">
        <v>597</v>
      </c>
      <c r="G9800">
        <v>0</v>
      </c>
      <c r="H9800" t="s">
        <v>14713</v>
      </c>
      <c r="I9800">
        <v>11008</v>
      </c>
      <c r="J9800" t="e">
        <f>VLOOKUP(E9800,DSSpieler!A:B,2,FALSE)</f>
        <v>#N/A</v>
      </c>
    </row>
    <row r="9801" spans="1:10" x14ac:dyDescent="0.25">
      <c r="A9801">
        <v>11010</v>
      </c>
      <c r="B9801" t="s">
        <v>34051</v>
      </c>
      <c r="C9801">
        <v>405</v>
      </c>
      <c r="D9801">
        <v>539</v>
      </c>
      <c r="E9801">
        <v>1577182941</v>
      </c>
      <c r="F9801">
        <v>3364</v>
      </c>
      <c r="G9801">
        <v>0</v>
      </c>
      <c r="H9801" t="s">
        <v>14714</v>
      </c>
      <c r="I9801">
        <v>11010</v>
      </c>
      <c r="J9801" t="str">
        <f>VLOOKUP(E9801,DSSpieler!A:B,2,FALSE)</f>
        <v>Daniel47</v>
      </c>
    </row>
    <row r="9802" spans="1:10" x14ac:dyDescent="0.25">
      <c r="A9802">
        <v>11011</v>
      </c>
      <c r="B9802" t="s">
        <v>1510</v>
      </c>
      <c r="C9802">
        <v>412</v>
      </c>
      <c r="D9802">
        <v>553</v>
      </c>
      <c r="E9802">
        <v>9961010</v>
      </c>
      <c r="F9802">
        <v>3191</v>
      </c>
      <c r="G9802">
        <v>0</v>
      </c>
      <c r="H9802" t="s">
        <v>14715</v>
      </c>
      <c r="I9802">
        <v>11011</v>
      </c>
      <c r="J9802" t="str">
        <f>VLOOKUP(E9802,DSSpieler!A:B,2,FALSE)</f>
        <v>Cpt.Sinep</v>
      </c>
    </row>
    <row r="9803" spans="1:10" x14ac:dyDescent="0.25">
      <c r="A9803">
        <v>11012</v>
      </c>
      <c r="B9803" t="s">
        <v>531</v>
      </c>
      <c r="C9803">
        <v>417</v>
      </c>
      <c r="D9803">
        <v>442</v>
      </c>
      <c r="E9803">
        <v>0</v>
      </c>
      <c r="F9803">
        <v>391</v>
      </c>
      <c r="G9803">
        <v>0</v>
      </c>
      <c r="H9803" t="s">
        <v>14716</v>
      </c>
      <c r="I9803">
        <v>11012</v>
      </c>
      <c r="J9803" t="e">
        <f>VLOOKUP(E9803,DSSpieler!A:B,2,FALSE)</f>
        <v>#N/A</v>
      </c>
    </row>
    <row r="9804" spans="1:10" x14ac:dyDescent="0.25">
      <c r="A9804">
        <v>11013</v>
      </c>
      <c r="B9804">
        <v>2</v>
      </c>
      <c r="C9804">
        <v>549</v>
      </c>
      <c r="D9804">
        <v>591</v>
      </c>
      <c r="E9804">
        <v>2740929</v>
      </c>
      <c r="F9804">
        <v>2883</v>
      </c>
      <c r="G9804">
        <v>0</v>
      </c>
      <c r="H9804" t="s">
        <v>14717</v>
      </c>
      <c r="I9804">
        <v>11013</v>
      </c>
      <c r="J9804" t="str">
        <f>VLOOKUP(E9804,DSSpieler!A:B,2,FALSE)</f>
        <v>wikinger1978</v>
      </c>
    </row>
    <row r="9805" spans="1:10" x14ac:dyDescent="0.25">
      <c r="A9805">
        <v>11014</v>
      </c>
      <c r="B9805">
        <v>4</v>
      </c>
      <c r="C9805">
        <v>593</v>
      </c>
      <c r="D9805">
        <v>458</v>
      </c>
      <c r="E9805">
        <v>1577114623</v>
      </c>
      <c r="F9805">
        <v>629</v>
      </c>
      <c r="G9805">
        <v>0</v>
      </c>
      <c r="H9805" t="s">
        <v>14718</v>
      </c>
      <c r="I9805">
        <v>11014</v>
      </c>
      <c r="J9805" t="str">
        <f>VLOOKUP(E9805,DSSpieler!A:B,2,FALSE)</f>
        <v>gshamburg</v>
      </c>
    </row>
    <row r="9806" spans="1:10" x14ac:dyDescent="0.25">
      <c r="A9806">
        <v>11015</v>
      </c>
      <c r="B9806" t="s">
        <v>531</v>
      </c>
      <c r="C9806">
        <v>485</v>
      </c>
      <c r="D9806">
        <v>602</v>
      </c>
      <c r="E9806">
        <v>0</v>
      </c>
      <c r="F9806">
        <v>305</v>
      </c>
      <c r="G9806">
        <v>0</v>
      </c>
      <c r="H9806" t="s">
        <v>14719</v>
      </c>
      <c r="I9806">
        <v>11015</v>
      </c>
      <c r="J9806" t="e">
        <f>VLOOKUP(E9806,DSSpieler!A:B,2,FALSE)</f>
        <v>#N/A</v>
      </c>
    </row>
    <row r="9807" spans="1:10" x14ac:dyDescent="0.25">
      <c r="A9807">
        <v>11016</v>
      </c>
      <c r="B9807" t="s">
        <v>531</v>
      </c>
      <c r="C9807">
        <v>519</v>
      </c>
      <c r="D9807">
        <v>402</v>
      </c>
      <c r="E9807">
        <v>0</v>
      </c>
      <c r="F9807">
        <v>297</v>
      </c>
      <c r="G9807">
        <v>0</v>
      </c>
      <c r="H9807" t="s">
        <v>14720</v>
      </c>
      <c r="I9807">
        <v>11016</v>
      </c>
      <c r="J9807" t="e">
        <f>VLOOKUP(E9807,DSSpieler!A:B,2,FALSE)</f>
        <v>#N/A</v>
      </c>
    </row>
    <row r="9808" spans="1:10" x14ac:dyDescent="0.25">
      <c r="A9808">
        <v>11017</v>
      </c>
      <c r="B9808" t="s">
        <v>34052</v>
      </c>
      <c r="C9808">
        <v>427</v>
      </c>
      <c r="D9808">
        <v>583</v>
      </c>
      <c r="E9808">
        <v>1577021125</v>
      </c>
      <c r="F9808">
        <v>4367</v>
      </c>
      <c r="G9808">
        <v>0</v>
      </c>
      <c r="H9808" t="s">
        <v>14721</v>
      </c>
      <c r="I9808">
        <v>11017</v>
      </c>
      <c r="J9808" t="str">
        <f>VLOOKUP(E9808,DSSpieler!A:B,2,FALSE)</f>
        <v>sWEN8055</v>
      </c>
    </row>
    <row r="9809" spans="1:10" x14ac:dyDescent="0.25">
      <c r="A9809">
        <v>11018</v>
      </c>
      <c r="B9809" t="s">
        <v>34053</v>
      </c>
      <c r="C9809">
        <v>469</v>
      </c>
      <c r="D9809">
        <v>596</v>
      </c>
      <c r="E9809">
        <v>1576499820</v>
      </c>
      <c r="F9809">
        <v>414</v>
      </c>
      <c r="G9809">
        <v>0</v>
      </c>
      <c r="H9809" t="s">
        <v>14722</v>
      </c>
      <c r="I9809">
        <v>11018</v>
      </c>
      <c r="J9809" t="str">
        <f>VLOOKUP(E9809,DSSpieler!A:B,2,FALSE)</f>
        <v>Ruxxax</v>
      </c>
    </row>
    <row r="9810" spans="1:10" x14ac:dyDescent="0.25">
      <c r="A9810">
        <v>11019</v>
      </c>
      <c r="B9810" t="s">
        <v>531</v>
      </c>
      <c r="C9810">
        <v>585</v>
      </c>
      <c r="D9810">
        <v>559</v>
      </c>
      <c r="E9810">
        <v>0</v>
      </c>
      <c r="F9810">
        <v>551</v>
      </c>
      <c r="G9810">
        <v>0</v>
      </c>
      <c r="H9810" t="s">
        <v>14723</v>
      </c>
      <c r="I9810">
        <v>11019</v>
      </c>
      <c r="J9810" t="e">
        <f>VLOOKUP(E9810,DSSpieler!A:B,2,FALSE)</f>
        <v>#N/A</v>
      </c>
    </row>
    <row r="9811" spans="1:10" x14ac:dyDescent="0.25">
      <c r="A9811">
        <v>11020</v>
      </c>
      <c r="B9811" t="s">
        <v>531</v>
      </c>
      <c r="C9811">
        <v>562</v>
      </c>
      <c r="D9811">
        <v>422</v>
      </c>
      <c r="E9811">
        <v>0</v>
      </c>
      <c r="F9811">
        <v>160</v>
      </c>
      <c r="G9811">
        <v>0</v>
      </c>
      <c r="H9811" t="s">
        <v>14724</v>
      </c>
      <c r="I9811">
        <v>11020</v>
      </c>
      <c r="J9811" t="e">
        <f>VLOOKUP(E9811,DSSpieler!A:B,2,FALSE)</f>
        <v>#N/A</v>
      </c>
    </row>
    <row r="9812" spans="1:10" x14ac:dyDescent="0.25">
      <c r="A9812">
        <v>11021</v>
      </c>
      <c r="B9812" t="s">
        <v>34054</v>
      </c>
      <c r="C9812">
        <v>425</v>
      </c>
      <c r="D9812">
        <v>432</v>
      </c>
      <c r="E9812">
        <v>1576826598</v>
      </c>
      <c r="F9812">
        <v>5169</v>
      </c>
      <c r="G9812">
        <v>0</v>
      </c>
      <c r="H9812" t="s">
        <v>14725</v>
      </c>
      <c r="I9812">
        <v>11021</v>
      </c>
      <c r="J9812" t="str">
        <f>VLOOKUP(E9812,DSSpieler!A:B,2,FALSE)</f>
        <v>Rainer Wahnsinn</v>
      </c>
    </row>
    <row r="9813" spans="1:10" x14ac:dyDescent="0.25">
      <c r="A9813">
        <v>11022</v>
      </c>
      <c r="B9813" t="s">
        <v>531</v>
      </c>
      <c r="C9813">
        <v>586</v>
      </c>
      <c r="D9813">
        <v>551</v>
      </c>
      <c r="E9813">
        <v>0</v>
      </c>
      <c r="F9813">
        <v>339</v>
      </c>
      <c r="G9813">
        <v>0</v>
      </c>
      <c r="H9813" t="s">
        <v>14726</v>
      </c>
      <c r="I9813">
        <v>11022</v>
      </c>
      <c r="J9813" t="e">
        <f>VLOOKUP(E9813,DSSpieler!A:B,2,FALSE)</f>
        <v>#N/A</v>
      </c>
    </row>
    <row r="9814" spans="1:10" x14ac:dyDescent="0.25">
      <c r="A9814">
        <v>11023</v>
      </c>
      <c r="B9814" t="s">
        <v>531</v>
      </c>
      <c r="C9814">
        <v>507</v>
      </c>
      <c r="D9814">
        <v>400</v>
      </c>
      <c r="E9814">
        <v>0</v>
      </c>
      <c r="F9814">
        <v>106</v>
      </c>
      <c r="G9814">
        <v>0</v>
      </c>
      <c r="H9814" t="s">
        <v>14727</v>
      </c>
      <c r="I9814">
        <v>11023</v>
      </c>
      <c r="J9814" t="e">
        <f>VLOOKUP(E9814,DSSpieler!A:B,2,FALSE)</f>
        <v>#N/A</v>
      </c>
    </row>
    <row r="9815" spans="1:10" x14ac:dyDescent="0.25">
      <c r="A9815">
        <v>11024</v>
      </c>
      <c r="B9815" t="s">
        <v>34055</v>
      </c>
      <c r="C9815">
        <v>403</v>
      </c>
      <c r="D9815">
        <v>470</v>
      </c>
      <c r="E9815">
        <v>9925917</v>
      </c>
      <c r="F9815">
        <v>5794</v>
      </c>
      <c r="G9815">
        <v>0</v>
      </c>
      <c r="H9815" t="s">
        <v>14728</v>
      </c>
      <c r="I9815">
        <v>11024</v>
      </c>
      <c r="J9815" t="str">
        <f>VLOOKUP(E9815,DSSpieler!A:B,2,FALSE)</f>
        <v>WATB Faker</v>
      </c>
    </row>
    <row r="9816" spans="1:10" x14ac:dyDescent="0.25">
      <c r="A9816">
        <v>11025</v>
      </c>
      <c r="B9816" t="s">
        <v>1986</v>
      </c>
      <c r="C9816">
        <v>442</v>
      </c>
      <c r="D9816">
        <v>416</v>
      </c>
      <c r="E9816">
        <v>2202240</v>
      </c>
      <c r="F9816">
        <v>6449</v>
      </c>
      <c r="G9816">
        <v>0</v>
      </c>
      <c r="H9816" t="s">
        <v>14729</v>
      </c>
      <c r="I9816">
        <v>11025</v>
      </c>
      <c r="J9816" t="str">
        <f>VLOOKUP(E9816,DSSpieler!A:B,2,FALSE)</f>
        <v>König Madrid</v>
      </c>
    </row>
    <row r="9817" spans="1:10" x14ac:dyDescent="0.25">
      <c r="A9817">
        <v>11026</v>
      </c>
      <c r="B9817" t="s">
        <v>150</v>
      </c>
      <c r="C9817">
        <v>431</v>
      </c>
      <c r="D9817">
        <v>571</v>
      </c>
      <c r="E9817">
        <v>1577198672</v>
      </c>
      <c r="F9817">
        <v>5642</v>
      </c>
      <c r="G9817">
        <v>0</v>
      </c>
      <c r="H9817" t="s">
        <v>14730</v>
      </c>
      <c r="I9817">
        <v>11026</v>
      </c>
      <c r="J9817" t="str">
        <f>VLOOKUP(E9817,DSSpieler!A:B,2,FALSE)</f>
        <v>M.A.R.K.13</v>
      </c>
    </row>
    <row r="9818" spans="1:10" x14ac:dyDescent="0.25">
      <c r="A9818">
        <v>11028</v>
      </c>
      <c r="B9818" t="s">
        <v>531</v>
      </c>
      <c r="C9818">
        <v>466</v>
      </c>
      <c r="D9818">
        <v>404</v>
      </c>
      <c r="E9818">
        <v>0</v>
      </c>
      <c r="F9818">
        <v>280</v>
      </c>
      <c r="G9818">
        <v>0</v>
      </c>
      <c r="H9818" t="s">
        <v>14731</v>
      </c>
      <c r="I9818">
        <v>11028</v>
      </c>
      <c r="J9818" t="e">
        <f>VLOOKUP(E9818,DSSpieler!A:B,2,FALSE)</f>
        <v>#N/A</v>
      </c>
    </row>
    <row r="9819" spans="1:10" x14ac:dyDescent="0.25">
      <c r="A9819">
        <v>11029</v>
      </c>
      <c r="B9819" t="s">
        <v>30501</v>
      </c>
      <c r="C9819">
        <v>460</v>
      </c>
      <c r="D9819">
        <v>592</v>
      </c>
      <c r="E9819">
        <v>9607209</v>
      </c>
      <c r="F9819">
        <v>3569</v>
      </c>
      <c r="G9819">
        <v>0</v>
      </c>
      <c r="H9819" t="s">
        <v>14732</v>
      </c>
      <c r="I9819">
        <v>11029</v>
      </c>
      <c r="J9819" t="str">
        <f>VLOOKUP(E9819,DSSpieler!A:B,2,FALSE)</f>
        <v>Dregonheart</v>
      </c>
    </row>
    <row r="9820" spans="1:10" x14ac:dyDescent="0.25">
      <c r="A9820">
        <v>11030</v>
      </c>
      <c r="B9820" t="s">
        <v>34056</v>
      </c>
      <c r="C9820">
        <v>398</v>
      </c>
      <c r="D9820">
        <v>505</v>
      </c>
      <c r="E9820">
        <v>1577177028</v>
      </c>
      <c r="F9820">
        <v>5765</v>
      </c>
      <c r="G9820">
        <v>0</v>
      </c>
      <c r="H9820" t="s">
        <v>14733</v>
      </c>
      <c r="I9820">
        <v>11030</v>
      </c>
      <c r="J9820" t="str">
        <f>VLOOKUP(E9820,DSSpieler!A:B,2,FALSE)</f>
        <v>Held des Kampfes</v>
      </c>
    </row>
    <row r="9821" spans="1:10" x14ac:dyDescent="0.25">
      <c r="A9821">
        <v>11031</v>
      </c>
      <c r="B9821" t="s">
        <v>531</v>
      </c>
      <c r="C9821">
        <v>436</v>
      </c>
      <c r="D9821">
        <v>577</v>
      </c>
      <c r="E9821">
        <v>0</v>
      </c>
      <c r="F9821">
        <v>370</v>
      </c>
      <c r="G9821">
        <v>0</v>
      </c>
      <c r="H9821" t="s">
        <v>14734</v>
      </c>
      <c r="I9821">
        <v>11031</v>
      </c>
      <c r="J9821" t="e">
        <f>VLOOKUP(E9821,DSSpieler!A:B,2,FALSE)</f>
        <v>#N/A</v>
      </c>
    </row>
    <row r="9822" spans="1:10" x14ac:dyDescent="0.25">
      <c r="A9822">
        <v>11033</v>
      </c>
      <c r="B9822" t="s">
        <v>34057</v>
      </c>
      <c r="C9822">
        <v>418</v>
      </c>
      <c r="D9822">
        <v>562</v>
      </c>
      <c r="E9822">
        <v>1577197709</v>
      </c>
      <c r="F9822">
        <v>1066</v>
      </c>
      <c r="G9822">
        <v>0</v>
      </c>
      <c r="H9822" t="s">
        <v>14735</v>
      </c>
      <c r="I9822">
        <v>11033</v>
      </c>
      <c r="J9822" t="str">
        <f>VLOOKUP(E9822,DSSpieler!A:B,2,FALSE)</f>
        <v>Panshow</v>
      </c>
    </row>
    <row r="9823" spans="1:10" x14ac:dyDescent="0.25">
      <c r="A9823">
        <v>11034</v>
      </c>
      <c r="B9823" t="s">
        <v>531</v>
      </c>
      <c r="C9823">
        <v>601</v>
      </c>
      <c r="D9823">
        <v>498</v>
      </c>
      <c r="E9823">
        <v>0</v>
      </c>
      <c r="F9823">
        <v>392</v>
      </c>
      <c r="G9823">
        <v>0</v>
      </c>
      <c r="H9823" t="s">
        <v>14736</v>
      </c>
      <c r="I9823">
        <v>11034</v>
      </c>
      <c r="J9823" t="e">
        <f>VLOOKUP(E9823,DSSpieler!A:B,2,FALSE)</f>
        <v>#N/A</v>
      </c>
    </row>
    <row r="9824" spans="1:10" x14ac:dyDescent="0.25">
      <c r="A9824">
        <v>11035</v>
      </c>
      <c r="B9824" t="s">
        <v>1987</v>
      </c>
      <c r="C9824">
        <v>572</v>
      </c>
      <c r="D9824">
        <v>440</v>
      </c>
      <c r="E9824">
        <v>1577163300</v>
      </c>
      <c r="F9824">
        <v>6689</v>
      </c>
      <c r="G9824">
        <v>0</v>
      </c>
      <c r="H9824" t="s">
        <v>14737</v>
      </c>
      <c r="I9824">
        <v>11035</v>
      </c>
      <c r="J9824" t="str">
        <f>VLOOKUP(E9824,DSSpieler!A:B,2,FALSE)</f>
        <v>tacki</v>
      </c>
    </row>
    <row r="9825" spans="1:10" x14ac:dyDescent="0.25">
      <c r="A9825">
        <v>11036</v>
      </c>
      <c r="B9825" t="s">
        <v>531</v>
      </c>
      <c r="C9825">
        <v>401</v>
      </c>
      <c r="D9825">
        <v>491</v>
      </c>
      <c r="E9825">
        <v>0</v>
      </c>
      <c r="F9825">
        <v>189</v>
      </c>
      <c r="G9825">
        <v>0</v>
      </c>
      <c r="H9825" t="s">
        <v>14738</v>
      </c>
      <c r="I9825">
        <v>11036</v>
      </c>
      <c r="J9825" t="e">
        <f>VLOOKUP(E9825,DSSpieler!A:B,2,FALSE)</f>
        <v>#N/A</v>
      </c>
    </row>
    <row r="9826" spans="1:10" x14ac:dyDescent="0.25">
      <c r="A9826">
        <v>11038</v>
      </c>
      <c r="B9826" t="s">
        <v>531</v>
      </c>
      <c r="C9826">
        <v>581</v>
      </c>
      <c r="D9826">
        <v>565</v>
      </c>
      <c r="E9826">
        <v>0</v>
      </c>
      <c r="F9826">
        <v>451</v>
      </c>
      <c r="G9826">
        <v>0</v>
      </c>
      <c r="H9826" t="s">
        <v>14739</v>
      </c>
      <c r="I9826">
        <v>11038</v>
      </c>
      <c r="J9826" t="e">
        <f>VLOOKUP(E9826,DSSpieler!A:B,2,FALSE)</f>
        <v>#N/A</v>
      </c>
    </row>
    <row r="9827" spans="1:10" x14ac:dyDescent="0.25">
      <c r="A9827">
        <v>11039</v>
      </c>
      <c r="B9827" t="s">
        <v>531</v>
      </c>
      <c r="C9827">
        <v>584</v>
      </c>
      <c r="D9827">
        <v>554</v>
      </c>
      <c r="E9827">
        <v>0</v>
      </c>
      <c r="F9827">
        <v>254</v>
      </c>
      <c r="G9827">
        <v>0</v>
      </c>
      <c r="H9827" t="s">
        <v>14740</v>
      </c>
      <c r="I9827">
        <v>11039</v>
      </c>
      <c r="J9827" t="e">
        <f>VLOOKUP(E9827,DSSpieler!A:B,2,FALSE)</f>
        <v>#N/A</v>
      </c>
    </row>
    <row r="9828" spans="1:10" x14ac:dyDescent="0.25">
      <c r="A9828">
        <v>11040</v>
      </c>
      <c r="B9828" t="s">
        <v>34058</v>
      </c>
      <c r="C9828">
        <v>399</v>
      </c>
      <c r="D9828">
        <v>483</v>
      </c>
      <c r="E9828">
        <v>1577190085</v>
      </c>
      <c r="F9828">
        <v>6039</v>
      </c>
      <c r="G9828">
        <v>0</v>
      </c>
      <c r="H9828" t="s">
        <v>14741</v>
      </c>
      <c r="I9828">
        <v>11040</v>
      </c>
      <c r="J9828" t="str">
        <f>VLOOKUP(E9828,DSSpieler!A:B,2,FALSE)</f>
        <v>Borstiger Bürstenmann</v>
      </c>
    </row>
    <row r="9829" spans="1:10" x14ac:dyDescent="0.25">
      <c r="A9829">
        <v>11041</v>
      </c>
      <c r="B9829" t="s">
        <v>1988</v>
      </c>
      <c r="C9829">
        <v>500</v>
      </c>
      <c r="D9829">
        <v>603</v>
      </c>
      <c r="E9829">
        <v>1577183540</v>
      </c>
      <c r="F9829">
        <v>3475</v>
      </c>
      <c r="G9829">
        <v>0</v>
      </c>
      <c r="H9829" t="s">
        <v>14742</v>
      </c>
      <c r="I9829">
        <v>11041</v>
      </c>
      <c r="J9829" t="str">
        <f>VLOOKUP(E9829,DSSpieler!A:B,2,FALSE)</f>
        <v>Kartenrand</v>
      </c>
    </row>
    <row r="9830" spans="1:10" x14ac:dyDescent="0.25">
      <c r="A9830">
        <v>11042</v>
      </c>
      <c r="B9830" t="s">
        <v>34059</v>
      </c>
      <c r="C9830">
        <v>413</v>
      </c>
      <c r="D9830">
        <v>539</v>
      </c>
      <c r="E9830">
        <v>2722276</v>
      </c>
      <c r="F9830">
        <v>2952</v>
      </c>
      <c r="G9830">
        <v>0</v>
      </c>
      <c r="H9830" t="s">
        <v>14743</v>
      </c>
      <c r="I9830">
        <v>11042</v>
      </c>
      <c r="J9830" t="str">
        <f>VLOOKUP(E9830,DSSpieler!A:B,2,FALSE)</f>
        <v>Jöel</v>
      </c>
    </row>
    <row r="9831" spans="1:10" x14ac:dyDescent="0.25">
      <c r="A9831">
        <v>11043</v>
      </c>
      <c r="B9831" t="s">
        <v>788</v>
      </c>
      <c r="C9831">
        <v>593</v>
      </c>
      <c r="D9831">
        <v>553</v>
      </c>
      <c r="E9831">
        <v>1577196280</v>
      </c>
      <c r="F9831">
        <v>4813</v>
      </c>
      <c r="G9831">
        <v>0</v>
      </c>
      <c r="H9831" t="s">
        <v>14744</v>
      </c>
      <c r="I9831">
        <v>11043</v>
      </c>
      <c r="J9831" t="str">
        <f>VLOOKUP(E9831,DSSpieler!A:B,2,FALSE)</f>
        <v>Toller Hecht</v>
      </c>
    </row>
    <row r="9832" spans="1:10" x14ac:dyDescent="0.25">
      <c r="A9832">
        <v>11044</v>
      </c>
      <c r="B9832" t="s">
        <v>531</v>
      </c>
      <c r="C9832">
        <v>449</v>
      </c>
      <c r="D9832">
        <v>587</v>
      </c>
      <c r="E9832">
        <v>0</v>
      </c>
      <c r="F9832">
        <v>343</v>
      </c>
      <c r="G9832">
        <v>0</v>
      </c>
      <c r="H9832" t="s">
        <v>14745</v>
      </c>
      <c r="I9832">
        <v>11044</v>
      </c>
      <c r="J9832" t="e">
        <f>VLOOKUP(E9832,DSSpieler!A:B,2,FALSE)</f>
        <v>#N/A</v>
      </c>
    </row>
    <row r="9833" spans="1:10" x14ac:dyDescent="0.25">
      <c r="A9833">
        <v>11046</v>
      </c>
      <c r="B9833" t="s">
        <v>34060</v>
      </c>
      <c r="C9833">
        <v>557</v>
      </c>
      <c r="D9833">
        <v>419</v>
      </c>
      <c r="E9833">
        <v>1577178245</v>
      </c>
      <c r="F9833">
        <v>4015</v>
      </c>
      <c r="G9833">
        <v>0</v>
      </c>
      <c r="H9833" t="s">
        <v>14746</v>
      </c>
      <c r="I9833">
        <v>11046</v>
      </c>
      <c r="J9833" t="str">
        <f>VLOOKUP(E9833,DSSpieler!A:B,2,FALSE)</f>
        <v>daddy.</v>
      </c>
    </row>
    <row r="9834" spans="1:10" x14ac:dyDescent="0.25">
      <c r="A9834">
        <v>11047</v>
      </c>
      <c r="B9834" t="s">
        <v>531</v>
      </c>
      <c r="C9834">
        <v>566</v>
      </c>
      <c r="D9834">
        <v>447</v>
      </c>
      <c r="E9834">
        <v>0</v>
      </c>
      <c r="F9834">
        <v>233</v>
      </c>
      <c r="G9834">
        <v>0</v>
      </c>
      <c r="H9834" t="s">
        <v>14747</v>
      </c>
      <c r="I9834">
        <v>11047</v>
      </c>
      <c r="J9834" t="e">
        <f>VLOOKUP(E9834,DSSpieler!A:B,2,FALSE)</f>
        <v>#N/A</v>
      </c>
    </row>
    <row r="9835" spans="1:10" x14ac:dyDescent="0.25">
      <c r="A9835">
        <v>11048</v>
      </c>
      <c r="B9835" t="s">
        <v>34061</v>
      </c>
      <c r="C9835">
        <v>564</v>
      </c>
      <c r="D9835">
        <v>556</v>
      </c>
      <c r="E9835">
        <v>1577146042</v>
      </c>
      <c r="F9835">
        <v>5387</v>
      </c>
      <c r="G9835">
        <v>0</v>
      </c>
      <c r="H9835" t="s">
        <v>14748</v>
      </c>
      <c r="I9835">
        <v>11048</v>
      </c>
      <c r="J9835" t="str">
        <f>VLOOKUP(E9835,DSSpieler!A:B,2,FALSE)</f>
        <v>Madara.</v>
      </c>
    </row>
    <row r="9836" spans="1:10" x14ac:dyDescent="0.25">
      <c r="A9836">
        <v>11049</v>
      </c>
      <c r="B9836" t="s">
        <v>34062</v>
      </c>
      <c r="C9836">
        <v>540</v>
      </c>
      <c r="D9836">
        <v>595</v>
      </c>
      <c r="E9836">
        <v>1577192621</v>
      </c>
      <c r="F9836">
        <v>2047</v>
      </c>
      <c r="G9836">
        <v>0</v>
      </c>
      <c r="H9836" t="s">
        <v>14749</v>
      </c>
      <c r="I9836">
        <v>11049</v>
      </c>
      <c r="J9836" t="str">
        <f>VLOOKUP(E9836,DSSpieler!A:B,2,FALSE)</f>
        <v>MarioXVI</v>
      </c>
    </row>
    <row r="9837" spans="1:10" x14ac:dyDescent="0.25">
      <c r="A9837">
        <v>11050</v>
      </c>
      <c r="B9837" t="s">
        <v>531</v>
      </c>
      <c r="C9837">
        <v>438</v>
      </c>
      <c r="D9837">
        <v>421</v>
      </c>
      <c r="E9837">
        <v>0</v>
      </c>
      <c r="F9837">
        <v>237</v>
      </c>
      <c r="G9837">
        <v>0</v>
      </c>
      <c r="H9837" t="s">
        <v>14750</v>
      </c>
      <c r="I9837">
        <v>11050</v>
      </c>
      <c r="J9837" t="e">
        <f>VLOOKUP(E9837,DSSpieler!A:B,2,FALSE)</f>
        <v>#N/A</v>
      </c>
    </row>
    <row r="9838" spans="1:10" x14ac:dyDescent="0.25">
      <c r="A9838">
        <v>11051</v>
      </c>
      <c r="B9838" t="s">
        <v>34063</v>
      </c>
      <c r="C9838">
        <v>509</v>
      </c>
      <c r="D9838">
        <v>395</v>
      </c>
      <c r="E9838">
        <v>1577195319</v>
      </c>
      <c r="F9838">
        <v>5477</v>
      </c>
      <c r="G9838">
        <v>0</v>
      </c>
      <c r="H9838" t="s">
        <v>14751</v>
      </c>
      <c r="I9838">
        <v>11051</v>
      </c>
      <c r="J9838" t="str">
        <f>VLOOKUP(E9838,DSSpieler!A:B,2,FALSE)</f>
        <v>killjumper</v>
      </c>
    </row>
    <row r="9839" spans="1:10" x14ac:dyDescent="0.25">
      <c r="A9839">
        <v>11052</v>
      </c>
      <c r="B9839" t="s">
        <v>531</v>
      </c>
      <c r="C9839">
        <v>581</v>
      </c>
      <c r="D9839">
        <v>437</v>
      </c>
      <c r="E9839">
        <v>0</v>
      </c>
      <c r="F9839">
        <v>1113</v>
      </c>
      <c r="G9839">
        <v>0</v>
      </c>
      <c r="H9839" t="s">
        <v>14752</v>
      </c>
      <c r="I9839">
        <v>11052</v>
      </c>
      <c r="J9839" t="e">
        <f>VLOOKUP(E9839,DSSpieler!A:B,2,FALSE)</f>
        <v>#N/A</v>
      </c>
    </row>
    <row r="9840" spans="1:10" x14ac:dyDescent="0.25">
      <c r="A9840">
        <v>11053</v>
      </c>
      <c r="B9840" t="s">
        <v>34064</v>
      </c>
      <c r="C9840">
        <v>601</v>
      </c>
      <c r="D9840">
        <v>525</v>
      </c>
      <c r="E9840">
        <v>8390116</v>
      </c>
      <c r="F9840">
        <v>7684</v>
      </c>
      <c r="G9840">
        <v>0</v>
      </c>
      <c r="H9840" t="s">
        <v>14753</v>
      </c>
      <c r="I9840">
        <v>11053</v>
      </c>
      <c r="J9840" t="str">
        <f>VLOOKUP(E9840,DSSpieler!A:B,2,FALSE)</f>
        <v>DickPäff</v>
      </c>
    </row>
    <row r="9841" spans="1:10" x14ac:dyDescent="0.25">
      <c r="A9841">
        <v>11054</v>
      </c>
      <c r="B9841" t="s">
        <v>34065</v>
      </c>
      <c r="C9841">
        <v>558</v>
      </c>
      <c r="D9841">
        <v>415</v>
      </c>
      <c r="E9841">
        <v>1576188624</v>
      </c>
      <c r="F9841">
        <v>4364</v>
      </c>
      <c r="G9841">
        <v>0</v>
      </c>
      <c r="H9841" t="s">
        <v>14754</v>
      </c>
      <c r="I9841">
        <v>11054</v>
      </c>
      <c r="J9841" t="str">
        <f>VLOOKUP(E9841,DSSpieler!A:B,2,FALSE)</f>
        <v>kartoffelklaus1</v>
      </c>
    </row>
    <row r="9842" spans="1:10" x14ac:dyDescent="0.25">
      <c r="A9842">
        <v>11055</v>
      </c>
      <c r="B9842" t="s">
        <v>1989</v>
      </c>
      <c r="C9842">
        <v>600</v>
      </c>
      <c r="D9842">
        <v>531</v>
      </c>
      <c r="E9842">
        <v>1577064494</v>
      </c>
      <c r="F9842">
        <v>1840</v>
      </c>
      <c r="G9842">
        <v>0</v>
      </c>
      <c r="H9842" t="s">
        <v>14755</v>
      </c>
      <c r="I9842">
        <v>11055</v>
      </c>
      <c r="J9842" t="str">
        <f>VLOOKUP(E9842,DSSpieler!A:B,2,FALSE)</f>
        <v>mshjm</v>
      </c>
    </row>
    <row r="9843" spans="1:10" x14ac:dyDescent="0.25">
      <c r="A9843">
        <v>11056</v>
      </c>
      <c r="B9843" t="s">
        <v>531</v>
      </c>
      <c r="C9843">
        <v>566</v>
      </c>
      <c r="D9843">
        <v>423</v>
      </c>
      <c r="E9843">
        <v>0</v>
      </c>
      <c r="F9843">
        <v>247</v>
      </c>
      <c r="G9843">
        <v>0</v>
      </c>
      <c r="H9843" t="s">
        <v>14756</v>
      </c>
      <c r="I9843">
        <v>11056</v>
      </c>
      <c r="J9843" t="e">
        <f>VLOOKUP(E9843,DSSpieler!A:B,2,FALSE)</f>
        <v>#N/A</v>
      </c>
    </row>
    <row r="9844" spans="1:10" x14ac:dyDescent="0.25">
      <c r="A9844">
        <v>11057</v>
      </c>
      <c r="B9844" t="s">
        <v>34066</v>
      </c>
      <c r="C9844">
        <v>431</v>
      </c>
      <c r="D9844">
        <v>438</v>
      </c>
      <c r="E9844">
        <v>9168836</v>
      </c>
      <c r="F9844">
        <v>4346</v>
      </c>
      <c r="G9844">
        <v>0</v>
      </c>
      <c r="H9844" t="s">
        <v>14757</v>
      </c>
      <c r="I9844">
        <v>11057</v>
      </c>
      <c r="J9844" t="str">
        <f>VLOOKUP(E9844,DSSpieler!A:B,2,FALSE)</f>
        <v>Fortunator96</v>
      </c>
    </row>
    <row r="9845" spans="1:10" x14ac:dyDescent="0.25">
      <c r="A9845">
        <v>11058</v>
      </c>
      <c r="B9845" t="s">
        <v>531</v>
      </c>
      <c r="C9845">
        <v>452</v>
      </c>
      <c r="D9845">
        <v>592</v>
      </c>
      <c r="E9845">
        <v>0</v>
      </c>
      <c r="F9845">
        <v>310</v>
      </c>
      <c r="G9845">
        <v>0</v>
      </c>
      <c r="H9845" t="s">
        <v>14758</v>
      </c>
      <c r="I9845">
        <v>11058</v>
      </c>
      <c r="J9845" t="e">
        <f>VLOOKUP(E9845,DSSpieler!A:B,2,FALSE)</f>
        <v>#N/A</v>
      </c>
    </row>
    <row r="9846" spans="1:10" x14ac:dyDescent="0.25">
      <c r="A9846">
        <v>11059</v>
      </c>
      <c r="B9846">
        <v>2</v>
      </c>
      <c r="C9846">
        <v>593</v>
      </c>
      <c r="D9846">
        <v>452</v>
      </c>
      <c r="E9846">
        <v>1577114623</v>
      </c>
      <c r="F9846">
        <v>1604</v>
      </c>
      <c r="G9846">
        <v>0</v>
      </c>
      <c r="H9846" t="s">
        <v>14759</v>
      </c>
      <c r="I9846">
        <v>11059</v>
      </c>
      <c r="J9846" t="str">
        <f>VLOOKUP(E9846,DSSpieler!A:B,2,FALSE)</f>
        <v>gshamburg</v>
      </c>
    </row>
    <row r="9847" spans="1:10" x14ac:dyDescent="0.25">
      <c r="A9847">
        <v>11060</v>
      </c>
      <c r="B9847" t="s">
        <v>531</v>
      </c>
      <c r="C9847">
        <v>575</v>
      </c>
      <c r="D9847">
        <v>430</v>
      </c>
      <c r="E9847">
        <v>0</v>
      </c>
      <c r="F9847">
        <v>351</v>
      </c>
      <c r="G9847">
        <v>0</v>
      </c>
      <c r="H9847" t="s">
        <v>14760</v>
      </c>
      <c r="I9847">
        <v>11060</v>
      </c>
      <c r="J9847" t="e">
        <f>VLOOKUP(E9847,DSSpieler!A:B,2,FALSE)</f>
        <v>#N/A</v>
      </c>
    </row>
    <row r="9848" spans="1:10" x14ac:dyDescent="0.25">
      <c r="A9848">
        <v>11061</v>
      </c>
      <c r="B9848">
        <v>1</v>
      </c>
      <c r="C9848">
        <v>402</v>
      </c>
      <c r="D9848">
        <v>475</v>
      </c>
      <c r="E9848">
        <v>9931122</v>
      </c>
      <c r="F9848">
        <v>5324</v>
      </c>
      <c r="G9848">
        <v>0</v>
      </c>
      <c r="H9848" t="s">
        <v>14761</v>
      </c>
      <c r="I9848">
        <v>11061</v>
      </c>
      <c r="J9848" t="str">
        <f>VLOOKUP(E9848,DSSpieler!A:B,2,FALSE)</f>
        <v>Sayler1</v>
      </c>
    </row>
    <row r="9849" spans="1:10" x14ac:dyDescent="0.25">
      <c r="A9849">
        <v>11062</v>
      </c>
      <c r="B9849" t="s">
        <v>30757</v>
      </c>
      <c r="C9849">
        <v>570</v>
      </c>
      <c r="D9849">
        <v>425</v>
      </c>
      <c r="E9849">
        <v>9021953</v>
      </c>
      <c r="F9849">
        <v>5889</v>
      </c>
      <c r="G9849">
        <v>0</v>
      </c>
      <c r="H9849" t="s">
        <v>14762</v>
      </c>
      <c r="I9849">
        <v>11062</v>
      </c>
      <c r="J9849" t="str">
        <f>VLOOKUP(E9849,DSSpieler!A:B,2,FALSE)</f>
        <v>Monne-81</v>
      </c>
    </row>
    <row r="9850" spans="1:10" x14ac:dyDescent="0.25">
      <c r="A9850">
        <v>11063</v>
      </c>
      <c r="B9850" t="s">
        <v>34067</v>
      </c>
      <c r="C9850">
        <v>409</v>
      </c>
      <c r="D9850">
        <v>456</v>
      </c>
      <c r="E9850">
        <v>343092</v>
      </c>
      <c r="F9850">
        <v>3135</v>
      </c>
      <c r="G9850">
        <v>0</v>
      </c>
      <c r="H9850" t="s">
        <v>14763</v>
      </c>
      <c r="I9850">
        <v>11063</v>
      </c>
      <c r="J9850" t="str">
        <f>VLOOKUP(E9850,DSSpieler!A:B,2,FALSE)</f>
        <v>RTW-93</v>
      </c>
    </row>
    <row r="9851" spans="1:10" x14ac:dyDescent="0.25">
      <c r="A9851">
        <v>11065</v>
      </c>
      <c r="B9851" t="s">
        <v>531</v>
      </c>
      <c r="C9851">
        <v>506</v>
      </c>
      <c r="D9851">
        <v>604</v>
      </c>
      <c r="E9851">
        <v>0</v>
      </c>
      <c r="F9851">
        <v>332</v>
      </c>
      <c r="G9851">
        <v>0</v>
      </c>
      <c r="H9851" t="s">
        <v>14764</v>
      </c>
      <c r="I9851">
        <v>11065</v>
      </c>
      <c r="J9851" t="e">
        <f>VLOOKUP(E9851,DSSpieler!A:B,2,FALSE)</f>
        <v>#N/A</v>
      </c>
    </row>
    <row r="9852" spans="1:10" x14ac:dyDescent="0.25">
      <c r="A9852">
        <v>11066</v>
      </c>
      <c r="B9852" t="s">
        <v>710</v>
      </c>
      <c r="C9852">
        <v>582</v>
      </c>
      <c r="D9852">
        <v>447</v>
      </c>
      <c r="E9852">
        <v>1576947159</v>
      </c>
      <c r="F9852">
        <v>3167</v>
      </c>
      <c r="G9852">
        <v>0</v>
      </c>
      <c r="H9852" t="s">
        <v>14765</v>
      </c>
      <c r="I9852">
        <v>11066</v>
      </c>
      <c r="J9852" t="str">
        <f>VLOOKUP(E9852,DSSpieler!A:B,2,FALSE)</f>
        <v>TodescooI</v>
      </c>
    </row>
    <row r="9853" spans="1:10" x14ac:dyDescent="0.25">
      <c r="A9853">
        <v>11067</v>
      </c>
      <c r="B9853" t="s">
        <v>1990</v>
      </c>
      <c r="C9853">
        <v>460</v>
      </c>
      <c r="D9853">
        <v>595</v>
      </c>
      <c r="E9853">
        <v>1577195077</v>
      </c>
      <c r="F9853">
        <v>2804</v>
      </c>
      <c r="G9853">
        <v>0</v>
      </c>
      <c r="H9853" t="s">
        <v>14766</v>
      </c>
      <c r="I9853">
        <v>11067</v>
      </c>
      <c r="J9853" t="str">
        <f>VLOOKUP(E9853,DSSpieler!A:B,2,FALSE)</f>
        <v>Nimm2Lachgummis</v>
      </c>
    </row>
    <row r="9854" spans="1:10" x14ac:dyDescent="0.25">
      <c r="A9854">
        <v>11068</v>
      </c>
      <c r="B9854" t="s">
        <v>531</v>
      </c>
      <c r="C9854">
        <v>599</v>
      </c>
      <c r="D9854">
        <v>533</v>
      </c>
      <c r="E9854">
        <v>0</v>
      </c>
      <c r="F9854">
        <v>220</v>
      </c>
      <c r="G9854">
        <v>0</v>
      </c>
      <c r="H9854" t="s">
        <v>14767</v>
      </c>
      <c r="I9854">
        <v>11068</v>
      </c>
      <c r="J9854" t="e">
        <f>VLOOKUP(E9854,DSSpieler!A:B,2,FALSE)</f>
        <v>#N/A</v>
      </c>
    </row>
    <row r="9855" spans="1:10" x14ac:dyDescent="0.25">
      <c r="A9855">
        <v>11069</v>
      </c>
      <c r="B9855" t="s">
        <v>34068</v>
      </c>
      <c r="C9855">
        <v>427</v>
      </c>
      <c r="D9855">
        <v>415</v>
      </c>
      <c r="E9855">
        <v>7806902</v>
      </c>
      <c r="F9855">
        <v>7958</v>
      </c>
      <c r="G9855">
        <v>0</v>
      </c>
      <c r="H9855" t="s">
        <v>14768</v>
      </c>
      <c r="I9855">
        <v>11069</v>
      </c>
      <c r="J9855" t="str">
        <f>VLOOKUP(E9855,DSSpieler!A:B,2,FALSE)</f>
        <v>Aiyomayo</v>
      </c>
    </row>
    <row r="9856" spans="1:10" x14ac:dyDescent="0.25">
      <c r="A9856">
        <v>11070</v>
      </c>
      <c r="B9856" t="s">
        <v>1991</v>
      </c>
      <c r="C9856">
        <v>554</v>
      </c>
      <c r="D9856">
        <v>587</v>
      </c>
      <c r="E9856">
        <v>1576816643</v>
      </c>
      <c r="F9856">
        <v>1450</v>
      </c>
      <c r="G9856">
        <v>0</v>
      </c>
      <c r="H9856" t="s">
        <v>14769</v>
      </c>
      <c r="I9856">
        <v>11070</v>
      </c>
      <c r="J9856" t="str">
        <f>VLOOKUP(E9856,DSSpieler!A:B,2,FALSE)</f>
        <v>ihi7</v>
      </c>
    </row>
    <row r="9857" spans="1:10" x14ac:dyDescent="0.25">
      <c r="A9857">
        <v>11071</v>
      </c>
      <c r="B9857" t="s">
        <v>864</v>
      </c>
      <c r="C9857">
        <v>533</v>
      </c>
      <c r="D9857">
        <v>455</v>
      </c>
      <c r="E9857">
        <v>1577190367</v>
      </c>
      <c r="F9857">
        <v>4277</v>
      </c>
      <c r="G9857">
        <v>0</v>
      </c>
      <c r="H9857" t="s">
        <v>14770</v>
      </c>
      <c r="I9857">
        <v>11071</v>
      </c>
      <c r="J9857" t="str">
        <f>VLOOKUP(E9857,DSSpieler!A:B,2,FALSE)</f>
        <v>schalker1904</v>
      </c>
    </row>
    <row r="9858" spans="1:10" x14ac:dyDescent="0.25">
      <c r="A9858">
        <v>11072</v>
      </c>
      <c r="B9858" t="s">
        <v>531</v>
      </c>
      <c r="C9858">
        <v>601</v>
      </c>
      <c r="D9858">
        <v>482</v>
      </c>
      <c r="E9858">
        <v>0</v>
      </c>
      <c r="F9858">
        <v>416</v>
      </c>
      <c r="G9858">
        <v>0</v>
      </c>
      <c r="H9858" t="s">
        <v>14771</v>
      </c>
      <c r="I9858">
        <v>11072</v>
      </c>
      <c r="J9858" t="e">
        <f>VLOOKUP(E9858,DSSpieler!A:B,2,FALSE)</f>
        <v>#N/A</v>
      </c>
    </row>
    <row r="9859" spans="1:10" x14ac:dyDescent="0.25">
      <c r="A9859">
        <v>11073</v>
      </c>
      <c r="B9859" t="s">
        <v>1992</v>
      </c>
      <c r="C9859">
        <v>421</v>
      </c>
      <c r="D9859">
        <v>440</v>
      </c>
      <c r="E9859">
        <v>1577198682</v>
      </c>
      <c r="F9859">
        <v>4167</v>
      </c>
      <c r="G9859">
        <v>0</v>
      </c>
      <c r="H9859" t="s">
        <v>14772</v>
      </c>
      <c r="I9859">
        <v>11073</v>
      </c>
      <c r="J9859" t="str">
        <f>VLOOKUP(E9859,DSSpieler!A:B,2,FALSE)</f>
        <v>TJay</v>
      </c>
    </row>
    <row r="9860" spans="1:10" x14ac:dyDescent="0.25">
      <c r="A9860">
        <v>11074</v>
      </c>
      <c r="B9860" t="s">
        <v>34069</v>
      </c>
      <c r="C9860">
        <v>457</v>
      </c>
      <c r="D9860">
        <v>577</v>
      </c>
      <c r="E9860">
        <v>1576894984</v>
      </c>
      <c r="F9860">
        <v>5076</v>
      </c>
      <c r="G9860">
        <v>0</v>
      </c>
      <c r="H9860" t="s">
        <v>14773</v>
      </c>
      <c r="I9860">
        <v>11074</v>
      </c>
      <c r="J9860" t="str">
        <f>VLOOKUP(E9860,DSSpieler!A:B,2,FALSE)</f>
        <v>phskill</v>
      </c>
    </row>
    <row r="9861" spans="1:10" x14ac:dyDescent="0.25">
      <c r="A9861">
        <v>11075</v>
      </c>
      <c r="B9861" t="s">
        <v>34070</v>
      </c>
      <c r="C9861">
        <v>584</v>
      </c>
      <c r="D9861">
        <v>443</v>
      </c>
      <c r="E9861">
        <v>1577162800</v>
      </c>
      <c r="F9861">
        <v>215</v>
      </c>
      <c r="G9861">
        <v>0</v>
      </c>
      <c r="H9861" t="s">
        <v>14774</v>
      </c>
      <c r="I9861">
        <v>11075</v>
      </c>
      <c r="J9861" t="str">
        <f>VLOOKUP(E9861,DSSpieler!A:B,2,FALSE)</f>
        <v>YOUNGGOD</v>
      </c>
    </row>
    <row r="9862" spans="1:10" x14ac:dyDescent="0.25">
      <c r="A9862">
        <v>11076</v>
      </c>
      <c r="B9862" t="s">
        <v>667</v>
      </c>
      <c r="C9862">
        <v>488</v>
      </c>
      <c r="D9862">
        <v>399</v>
      </c>
      <c r="E9862">
        <v>1576856977</v>
      </c>
      <c r="F9862">
        <v>4169</v>
      </c>
      <c r="G9862">
        <v>0</v>
      </c>
      <c r="H9862" t="s">
        <v>14775</v>
      </c>
      <c r="I9862">
        <v>11076</v>
      </c>
      <c r="J9862" t="str">
        <f>VLOOKUP(E9862,DSSpieler!A:B,2,FALSE)</f>
        <v>Maxe666</v>
      </c>
    </row>
    <row r="9863" spans="1:10" x14ac:dyDescent="0.25">
      <c r="A9863">
        <v>11077</v>
      </c>
      <c r="B9863" t="s">
        <v>1993</v>
      </c>
      <c r="C9863">
        <v>464</v>
      </c>
      <c r="D9863">
        <v>597</v>
      </c>
      <c r="E9863">
        <v>1577164263</v>
      </c>
      <c r="F9863">
        <v>4688</v>
      </c>
      <c r="G9863">
        <v>0</v>
      </c>
      <c r="H9863" t="s">
        <v>14776</v>
      </c>
      <c r="I9863">
        <v>11077</v>
      </c>
      <c r="J9863" t="str">
        <f>VLOOKUP(E9863,DSSpieler!A:B,2,FALSE)</f>
        <v>Hoaler91</v>
      </c>
    </row>
    <row r="9864" spans="1:10" x14ac:dyDescent="0.25">
      <c r="A9864">
        <v>11078</v>
      </c>
      <c r="B9864" t="s">
        <v>531</v>
      </c>
      <c r="C9864">
        <v>586</v>
      </c>
      <c r="D9864">
        <v>445</v>
      </c>
      <c r="E9864">
        <v>0</v>
      </c>
      <c r="F9864">
        <v>409</v>
      </c>
      <c r="G9864">
        <v>0</v>
      </c>
      <c r="H9864" t="s">
        <v>14777</v>
      </c>
      <c r="I9864">
        <v>11078</v>
      </c>
      <c r="J9864" t="e">
        <f>VLOOKUP(E9864,DSSpieler!A:B,2,FALSE)</f>
        <v>#N/A</v>
      </c>
    </row>
    <row r="9865" spans="1:10" x14ac:dyDescent="0.25">
      <c r="A9865">
        <v>11080</v>
      </c>
      <c r="B9865" t="s">
        <v>34071</v>
      </c>
      <c r="C9865">
        <v>544</v>
      </c>
      <c r="D9865">
        <v>557</v>
      </c>
      <c r="E9865">
        <v>1577081317</v>
      </c>
      <c r="F9865">
        <v>6556</v>
      </c>
      <c r="G9865">
        <v>0</v>
      </c>
      <c r="H9865" t="s">
        <v>14778</v>
      </c>
      <c r="I9865">
        <v>11080</v>
      </c>
      <c r="J9865" t="str">
        <f>VLOOKUP(E9865,DSSpieler!A:B,2,FALSE)</f>
        <v>Einstein</v>
      </c>
    </row>
    <row r="9866" spans="1:10" x14ac:dyDescent="0.25">
      <c r="A9866">
        <v>11081</v>
      </c>
      <c r="B9866" t="s">
        <v>150</v>
      </c>
      <c r="C9866">
        <v>405</v>
      </c>
      <c r="D9866">
        <v>470</v>
      </c>
      <c r="E9866">
        <v>9550228</v>
      </c>
      <c r="F9866">
        <v>5383</v>
      </c>
      <c r="G9866">
        <v>0</v>
      </c>
      <c r="H9866" t="s">
        <v>14779</v>
      </c>
      <c r="I9866">
        <v>11081</v>
      </c>
      <c r="J9866" t="str">
        <f>VLOOKUP(E9866,DSSpieler!A:B,2,FALSE)</f>
        <v>Token96</v>
      </c>
    </row>
    <row r="9867" spans="1:10" x14ac:dyDescent="0.25">
      <c r="A9867">
        <v>11082</v>
      </c>
      <c r="B9867">
        <v>10</v>
      </c>
      <c r="C9867">
        <v>446</v>
      </c>
      <c r="D9867">
        <v>587</v>
      </c>
      <c r="E9867">
        <v>1941704</v>
      </c>
      <c r="F9867">
        <v>3724</v>
      </c>
      <c r="G9867">
        <v>0</v>
      </c>
      <c r="H9867" t="s">
        <v>14780</v>
      </c>
      <c r="I9867">
        <v>11082</v>
      </c>
      <c r="J9867" t="str">
        <f>VLOOKUP(E9867,DSSpieler!A:B,2,FALSE)</f>
        <v>jonas-97</v>
      </c>
    </row>
    <row r="9868" spans="1:10" x14ac:dyDescent="0.25">
      <c r="A9868">
        <v>11083</v>
      </c>
      <c r="B9868" t="s">
        <v>30649</v>
      </c>
      <c r="C9868">
        <v>396</v>
      </c>
      <c r="D9868">
        <v>528</v>
      </c>
      <c r="E9868">
        <v>1577055127</v>
      </c>
      <c r="F9868">
        <v>6684</v>
      </c>
      <c r="G9868">
        <v>0</v>
      </c>
      <c r="H9868" t="s">
        <v>14781</v>
      </c>
      <c r="I9868">
        <v>11083</v>
      </c>
      <c r="J9868" t="str">
        <f>VLOOKUP(E9868,DSSpieler!A:B,2,FALSE)</f>
        <v>Karnalos</v>
      </c>
    </row>
    <row r="9869" spans="1:10" x14ac:dyDescent="0.25">
      <c r="A9869">
        <v>11085</v>
      </c>
      <c r="B9869" t="s">
        <v>531</v>
      </c>
      <c r="C9869">
        <v>407</v>
      </c>
      <c r="D9869">
        <v>457</v>
      </c>
      <c r="E9869">
        <v>0</v>
      </c>
      <c r="F9869">
        <v>365</v>
      </c>
      <c r="G9869">
        <v>0</v>
      </c>
      <c r="H9869" t="s">
        <v>14782</v>
      </c>
      <c r="I9869">
        <v>11085</v>
      </c>
      <c r="J9869" t="e">
        <f>VLOOKUP(E9869,DSSpieler!A:B,2,FALSE)</f>
        <v>#N/A</v>
      </c>
    </row>
    <row r="9870" spans="1:10" x14ac:dyDescent="0.25">
      <c r="A9870">
        <v>11086</v>
      </c>
      <c r="B9870" t="s">
        <v>34072</v>
      </c>
      <c r="C9870">
        <v>555</v>
      </c>
      <c r="D9870">
        <v>455</v>
      </c>
      <c r="E9870">
        <v>9510108</v>
      </c>
      <c r="F9870">
        <v>1032</v>
      </c>
      <c r="G9870">
        <v>0</v>
      </c>
      <c r="H9870" t="s">
        <v>14783</v>
      </c>
      <c r="I9870">
        <v>11086</v>
      </c>
      <c r="J9870" t="str">
        <f>VLOOKUP(E9870,DSSpieler!A:B,2,FALSE)</f>
        <v>Wexx124</v>
      </c>
    </row>
    <row r="9871" spans="1:10" x14ac:dyDescent="0.25">
      <c r="A9871">
        <v>11087</v>
      </c>
      <c r="B9871" t="s">
        <v>531</v>
      </c>
      <c r="C9871">
        <v>499</v>
      </c>
      <c r="D9871">
        <v>605</v>
      </c>
      <c r="E9871">
        <v>0</v>
      </c>
      <c r="F9871">
        <v>356</v>
      </c>
      <c r="G9871">
        <v>0</v>
      </c>
      <c r="H9871" t="s">
        <v>14784</v>
      </c>
      <c r="I9871">
        <v>11087</v>
      </c>
      <c r="J9871" t="e">
        <f>VLOOKUP(E9871,DSSpieler!A:B,2,FALSE)</f>
        <v>#N/A</v>
      </c>
    </row>
    <row r="9872" spans="1:10" x14ac:dyDescent="0.25">
      <c r="A9872">
        <v>11088</v>
      </c>
      <c r="B9872" t="s">
        <v>531</v>
      </c>
      <c r="C9872">
        <v>461</v>
      </c>
      <c r="D9872">
        <v>405</v>
      </c>
      <c r="E9872">
        <v>0</v>
      </c>
      <c r="F9872">
        <v>322</v>
      </c>
      <c r="G9872">
        <v>0</v>
      </c>
      <c r="H9872" t="s">
        <v>14785</v>
      </c>
      <c r="I9872">
        <v>11088</v>
      </c>
      <c r="J9872" t="e">
        <f>VLOOKUP(E9872,DSSpieler!A:B,2,FALSE)</f>
        <v>#N/A</v>
      </c>
    </row>
    <row r="9873" spans="1:10" x14ac:dyDescent="0.25">
      <c r="A9873">
        <v>11089</v>
      </c>
      <c r="B9873" t="s">
        <v>1404</v>
      </c>
      <c r="C9873">
        <v>391</v>
      </c>
      <c r="D9873">
        <v>532</v>
      </c>
      <c r="E9873">
        <v>1577200135</v>
      </c>
      <c r="F9873">
        <v>7943</v>
      </c>
      <c r="G9873">
        <v>0</v>
      </c>
      <c r="H9873" t="s">
        <v>14786</v>
      </c>
      <c r="I9873">
        <v>11089</v>
      </c>
      <c r="J9873" t="str">
        <f>VLOOKUP(E9873,DSSpieler!A:B,2,FALSE)</f>
        <v>S1ckFlick</v>
      </c>
    </row>
    <row r="9874" spans="1:10" x14ac:dyDescent="0.25">
      <c r="A9874">
        <v>11090</v>
      </c>
      <c r="B9874" t="s">
        <v>34073</v>
      </c>
      <c r="C9874">
        <v>509</v>
      </c>
      <c r="D9874">
        <v>404</v>
      </c>
      <c r="E9874">
        <v>2330777</v>
      </c>
      <c r="F9874">
        <v>3885</v>
      </c>
      <c r="G9874">
        <v>0</v>
      </c>
      <c r="H9874" t="s">
        <v>14787</v>
      </c>
      <c r="I9874">
        <v>11090</v>
      </c>
      <c r="J9874" t="e">
        <f>VLOOKUP(E9874,DSSpieler!A:B,2,FALSE)</f>
        <v>#NAME?</v>
      </c>
    </row>
    <row r="9875" spans="1:10" x14ac:dyDescent="0.25">
      <c r="A9875">
        <v>11091</v>
      </c>
      <c r="B9875" t="s">
        <v>788</v>
      </c>
      <c r="C9875">
        <v>597</v>
      </c>
      <c r="D9875">
        <v>558</v>
      </c>
      <c r="E9875">
        <v>1577196280</v>
      </c>
      <c r="F9875">
        <v>4885</v>
      </c>
      <c r="G9875">
        <v>0</v>
      </c>
      <c r="H9875" t="s">
        <v>14788</v>
      </c>
      <c r="I9875">
        <v>11091</v>
      </c>
      <c r="J9875" t="str">
        <f>VLOOKUP(E9875,DSSpieler!A:B,2,FALSE)</f>
        <v>Toller Hecht</v>
      </c>
    </row>
    <row r="9876" spans="1:10" x14ac:dyDescent="0.25">
      <c r="A9876">
        <v>11092</v>
      </c>
      <c r="B9876" t="s">
        <v>1994</v>
      </c>
      <c r="C9876">
        <v>412</v>
      </c>
      <c r="D9876">
        <v>465</v>
      </c>
      <c r="E9876">
        <v>1577182591</v>
      </c>
      <c r="F9876">
        <v>5843</v>
      </c>
      <c r="G9876">
        <v>0</v>
      </c>
      <c r="H9876" t="s">
        <v>14789</v>
      </c>
      <c r="I9876">
        <v>11092</v>
      </c>
      <c r="J9876" t="str">
        <f>VLOOKUP(E9876,DSSpieler!A:B,2,FALSE)</f>
        <v>mauricesvb98</v>
      </c>
    </row>
    <row r="9877" spans="1:10" x14ac:dyDescent="0.25">
      <c r="A9877">
        <v>11093</v>
      </c>
      <c r="B9877" t="s">
        <v>531</v>
      </c>
      <c r="C9877">
        <v>405</v>
      </c>
      <c r="D9877">
        <v>459</v>
      </c>
      <c r="E9877">
        <v>0</v>
      </c>
      <c r="F9877">
        <v>256</v>
      </c>
      <c r="G9877">
        <v>0</v>
      </c>
      <c r="H9877" t="s">
        <v>14790</v>
      </c>
      <c r="I9877">
        <v>11093</v>
      </c>
      <c r="J9877" t="e">
        <f>VLOOKUP(E9877,DSSpieler!A:B,2,FALSE)</f>
        <v>#N/A</v>
      </c>
    </row>
    <row r="9878" spans="1:10" x14ac:dyDescent="0.25">
      <c r="A9878">
        <v>11094</v>
      </c>
      <c r="B9878" t="s">
        <v>34074</v>
      </c>
      <c r="C9878">
        <v>493</v>
      </c>
      <c r="D9878">
        <v>557</v>
      </c>
      <c r="E9878">
        <v>1577198684</v>
      </c>
      <c r="F9878">
        <v>8319</v>
      </c>
      <c r="G9878">
        <v>0</v>
      </c>
      <c r="H9878" t="s">
        <v>14791</v>
      </c>
      <c r="I9878">
        <v>11094</v>
      </c>
      <c r="J9878" t="str">
        <f>VLOOKUP(E9878,DSSpieler!A:B,2,FALSE)</f>
        <v>Sgtalex</v>
      </c>
    </row>
    <row r="9879" spans="1:10" x14ac:dyDescent="0.25">
      <c r="A9879">
        <v>11095</v>
      </c>
      <c r="B9879" t="s">
        <v>34075</v>
      </c>
      <c r="C9879">
        <v>401</v>
      </c>
      <c r="D9879">
        <v>506</v>
      </c>
      <c r="E9879">
        <v>1577159152</v>
      </c>
      <c r="F9879">
        <v>1205</v>
      </c>
      <c r="G9879">
        <v>0</v>
      </c>
      <c r="H9879" t="s">
        <v>14792</v>
      </c>
      <c r="I9879">
        <v>11095</v>
      </c>
      <c r="J9879" t="str">
        <f>VLOOKUP(E9879,DSSpieler!A:B,2,FALSE)</f>
        <v>bubiwa13</v>
      </c>
    </row>
    <row r="9880" spans="1:10" x14ac:dyDescent="0.25">
      <c r="A9880">
        <v>11096</v>
      </c>
      <c r="B9880" t="s">
        <v>531</v>
      </c>
      <c r="C9880">
        <v>600</v>
      </c>
      <c r="D9880">
        <v>503</v>
      </c>
      <c r="E9880">
        <v>0</v>
      </c>
      <c r="F9880">
        <v>335</v>
      </c>
      <c r="G9880">
        <v>0</v>
      </c>
      <c r="H9880" t="s">
        <v>14793</v>
      </c>
      <c r="I9880">
        <v>11096</v>
      </c>
      <c r="J9880" t="e">
        <f>VLOOKUP(E9880,DSSpieler!A:B,2,FALSE)</f>
        <v>#N/A</v>
      </c>
    </row>
    <row r="9881" spans="1:10" x14ac:dyDescent="0.25">
      <c r="A9881">
        <v>11097</v>
      </c>
      <c r="B9881" t="s">
        <v>34076</v>
      </c>
      <c r="C9881">
        <v>541</v>
      </c>
      <c r="D9881">
        <v>602</v>
      </c>
      <c r="E9881">
        <v>1577028197</v>
      </c>
      <c r="F9881">
        <v>5199</v>
      </c>
      <c r="G9881">
        <v>0</v>
      </c>
      <c r="H9881" t="s">
        <v>14794</v>
      </c>
      <c r="I9881">
        <v>11097</v>
      </c>
      <c r="J9881" t="str">
        <f>VLOOKUP(E9881,DSSpieler!A:B,2,FALSE)</f>
        <v>DontDrinkAndDs</v>
      </c>
    </row>
    <row r="9882" spans="1:10" x14ac:dyDescent="0.25">
      <c r="A9882">
        <v>11098</v>
      </c>
      <c r="B9882" t="s">
        <v>34077</v>
      </c>
      <c r="C9882">
        <v>452</v>
      </c>
      <c r="D9882">
        <v>404</v>
      </c>
      <c r="E9882">
        <v>1539246</v>
      </c>
      <c r="F9882">
        <v>3657</v>
      </c>
      <c r="G9882">
        <v>0</v>
      </c>
      <c r="H9882" t="s">
        <v>14795</v>
      </c>
      <c r="I9882">
        <v>11098</v>
      </c>
      <c r="J9882" t="str">
        <f>VLOOKUP(E9882,DSSpieler!A:B,2,FALSE)</f>
        <v>Klose100</v>
      </c>
    </row>
    <row r="9883" spans="1:10" x14ac:dyDescent="0.25">
      <c r="A9883">
        <v>11099</v>
      </c>
      <c r="B9883" t="s">
        <v>531</v>
      </c>
      <c r="C9883">
        <v>594</v>
      </c>
      <c r="D9883">
        <v>534</v>
      </c>
      <c r="E9883">
        <v>0</v>
      </c>
      <c r="F9883">
        <v>203</v>
      </c>
      <c r="G9883">
        <v>0</v>
      </c>
      <c r="H9883" t="s">
        <v>14796</v>
      </c>
      <c r="I9883">
        <v>11099</v>
      </c>
      <c r="J9883" t="e">
        <f>VLOOKUP(E9883,DSSpieler!A:B,2,FALSE)</f>
        <v>#N/A</v>
      </c>
    </row>
    <row r="9884" spans="1:10" x14ac:dyDescent="0.25">
      <c r="A9884">
        <v>11100</v>
      </c>
      <c r="B9884" t="s">
        <v>531</v>
      </c>
      <c r="C9884">
        <v>536</v>
      </c>
      <c r="D9884">
        <v>597</v>
      </c>
      <c r="E9884">
        <v>0</v>
      </c>
      <c r="F9884">
        <v>1280</v>
      </c>
      <c r="G9884">
        <v>0</v>
      </c>
      <c r="H9884" t="s">
        <v>14797</v>
      </c>
      <c r="I9884">
        <v>11100</v>
      </c>
      <c r="J9884" t="e">
        <f>VLOOKUP(E9884,DSSpieler!A:B,2,FALSE)</f>
        <v>#N/A</v>
      </c>
    </row>
    <row r="9885" spans="1:10" x14ac:dyDescent="0.25">
      <c r="A9885">
        <v>11101</v>
      </c>
      <c r="B9885" t="s">
        <v>531</v>
      </c>
      <c r="C9885">
        <v>525</v>
      </c>
      <c r="D9885">
        <v>399</v>
      </c>
      <c r="E9885">
        <v>0</v>
      </c>
      <c r="F9885">
        <v>126</v>
      </c>
      <c r="G9885">
        <v>0</v>
      </c>
      <c r="H9885" t="s">
        <v>14798</v>
      </c>
      <c r="I9885">
        <v>11101</v>
      </c>
      <c r="J9885" t="e">
        <f>VLOOKUP(E9885,DSSpieler!A:B,2,FALSE)</f>
        <v>#N/A</v>
      </c>
    </row>
    <row r="9886" spans="1:10" x14ac:dyDescent="0.25">
      <c r="A9886">
        <v>11102</v>
      </c>
      <c r="B9886" t="s">
        <v>34078</v>
      </c>
      <c r="C9886">
        <v>447</v>
      </c>
      <c r="D9886">
        <v>572</v>
      </c>
      <c r="E9886">
        <v>1577185478</v>
      </c>
      <c r="F9886">
        <v>1765</v>
      </c>
      <c r="G9886">
        <v>0</v>
      </c>
      <c r="H9886" t="s">
        <v>14799</v>
      </c>
      <c r="I9886">
        <v>11102</v>
      </c>
      <c r="J9886" t="str">
        <f>VLOOKUP(E9886,DSSpieler!A:B,2,FALSE)</f>
        <v>DiebrauneWurst</v>
      </c>
    </row>
    <row r="9887" spans="1:10" x14ac:dyDescent="0.25">
      <c r="A9887">
        <v>11103</v>
      </c>
      <c r="B9887" t="s">
        <v>531</v>
      </c>
      <c r="C9887">
        <v>597</v>
      </c>
      <c r="D9887">
        <v>468</v>
      </c>
      <c r="E9887">
        <v>0</v>
      </c>
      <c r="F9887">
        <v>306</v>
      </c>
      <c r="G9887">
        <v>0</v>
      </c>
      <c r="H9887" t="s">
        <v>14800</v>
      </c>
      <c r="I9887">
        <v>11103</v>
      </c>
      <c r="J9887" t="e">
        <f>VLOOKUP(E9887,DSSpieler!A:B,2,FALSE)</f>
        <v>#N/A</v>
      </c>
    </row>
    <row r="9888" spans="1:10" x14ac:dyDescent="0.25">
      <c r="A9888">
        <v>11105</v>
      </c>
      <c r="B9888" t="s">
        <v>531</v>
      </c>
      <c r="C9888">
        <v>409</v>
      </c>
      <c r="D9888">
        <v>447</v>
      </c>
      <c r="E9888">
        <v>0</v>
      </c>
      <c r="F9888">
        <v>547</v>
      </c>
      <c r="G9888">
        <v>0</v>
      </c>
      <c r="H9888" t="s">
        <v>14801</v>
      </c>
      <c r="I9888">
        <v>11105</v>
      </c>
      <c r="J9888" t="e">
        <f>VLOOKUP(E9888,DSSpieler!A:B,2,FALSE)</f>
        <v>#N/A</v>
      </c>
    </row>
    <row r="9889" spans="1:10" x14ac:dyDescent="0.25">
      <c r="A9889">
        <v>11106</v>
      </c>
      <c r="B9889" t="s">
        <v>531</v>
      </c>
      <c r="C9889">
        <v>573</v>
      </c>
      <c r="D9889">
        <v>432</v>
      </c>
      <c r="E9889">
        <v>0</v>
      </c>
      <c r="F9889">
        <v>260</v>
      </c>
      <c r="G9889">
        <v>0</v>
      </c>
      <c r="H9889" t="s">
        <v>14802</v>
      </c>
      <c r="I9889">
        <v>11106</v>
      </c>
      <c r="J9889" t="e">
        <f>VLOOKUP(E9889,DSSpieler!A:B,2,FALSE)</f>
        <v>#N/A</v>
      </c>
    </row>
    <row r="9890" spans="1:10" x14ac:dyDescent="0.25">
      <c r="A9890">
        <v>11107</v>
      </c>
      <c r="B9890" t="s">
        <v>531</v>
      </c>
      <c r="C9890">
        <v>496</v>
      </c>
      <c r="D9890">
        <v>602</v>
      </c>
      <c r="E9890">
        <v>0</v>
      </c>
      <c r="F9890">
        <v>238</v>
      </c>
      <c r="G9890">
        <v>0</v>
      </c>
      <c r="H9890" t="s">
        <v>14803</v>
      </c>
      <c r="I9890">
        <v>11107</v>
      </c>
      <c r="J9890" t="e">
        <f>VLOOKUP(E9890,DSSpieler!A:B,2,FALSE)</f>
        <v>#N/A</v>
      </c>
    </row>
    <row r="9891" spans="1:10" x14ac:dyDescent="0.25">
      <c r="A9891">
        <v>11108</v>
      </c>
      <c r="B9891" t="s">
        <v>1532</v>
      </c>
      <c r="C9891">
        <v>399</v>
      </c>
      <c r="D9891">
        <v>476</v>
      </c>
      <c r="E9891">
        <v>1576917406</v>
      </c>
      <c r="F9891">
        <v>5433</v>
      </c>
      <c r="G9891">
        <v>0</v>
      </c>
      <c r="H9891" t="s">
        <v>14804</v>
      </c>
      <c r="I9891">
        <v>11108</v>
      </c>
      <c r="J9891" t="str">
        <f>VLOOKUP(E9891,DSSpieler!A:B,2,FALSE)</f>
        <v>BerserkX</v>
      </c>
    </row>
    <row r="9892" spans="1:10" x14ac:dyDescent="0.25">
      <c r="A9892">
        <v>11109</v>
      </c>
      <c r="B9892" t="s">
        <v>531</v>
      </c>
      <c r="C9892">
        <v>455</v>
      </c>
      <c r="D9892">
        <v>410</v>
      </c>
      <c r="E9892">
        <v>0</v>
      </c>
      <c r="F9892">
        <v>375</v>
      </c>
      <c r="G9892">
        <v>0</v>
      </c>
      <c r="H9892" t="s">
        <v>14805</v>
      </c>
      <c r="I9892">
        <v>11109</v>
      </c>
      <c r="J9892" t="e">
        <f>VLOOKUP(E9892,DSSpieler!A:B,2,FALSE)</f>
        <v>#N/A</v>
      </c>
    </row>
    <row r="9893" spans="1:10" x14ac:dyDescent="0.25">
      <c r="A9893">
        <v>11110</v>
      </c>
      <c r="B9893" t="s">
        <v>31763</v>
      </c>
      <c r="C9893">
        <v>574</v>
      </c>
      <c r="D9893">
        <v>565</v>
      </c>
      <c r="E9893">
        <v>1577171740</v>
      </c>
      <c r="F9893">
        <v>5822</v>
      </c>
      <c r="G9893">
        <v>0</v>
      </c>
      <c r="H9893" t="s">
        <v>14806</v>
      </c>
      <c r="I9893">
        <v>11110</v>
      </c>
      <c r="J9893" t="str">
        <f>VLOOKUP(E9893,DSSpieler!A:B,2,FALSE)</f>
        <v>Kevisback7</v>
      </c>
    </row>
    <row r="9894" spans="1:10" x14ac:dyDescent="0.25">
      <c r="A9894">
        <v>11111</v>
      </c>
      <c r="B9894" t="s">
        <v>531</v>
      </c>
      <c r="C9894">
        <v>409</v>
      </c>
      <c r="D9894">
        <v>542</v>
      </c>
      <c r="E9894">
        <v>0</v>
      </c>
      <c r="F9894">
        <v>423</v>
      </c>
      <c r="G9894">
        <v>0</v>
      </c>
      <c r="H9894" t="s">
        <v>14807</v>
      </c>
      <c r="I9894">
        <v>11111</v>
      </c>
      <c r="J9894" t="e">
        <f>VLOOKUP(E9894,DSSpieler!A:B,2,FALSE)</f>
        <v>#N/A</v>
      </c>
    </row>
    <row r="9895" spans="1:10" x14ac:dyDescent="0.25">
      <c r="A9895">
        <v>11112</v>
      </c>
      <c r="B9895" t="s">
        <v>531</v>
      </c>
      <c r="C9895">
        <v>442</v>
      </c>
      <c r="D9895">
        <v>417</v>
      </c>
      <c r="E9895">
        <v>0</v>
      </c>
      <c r="F9895">
        <v>219</v>
      </c>
      <c r="G9895">
        <v>0</v>
      </c>
      <c r="H9895" t="s">
        <v>14808</v>
      </c>
      <c r="I9895">
        <v>11112</v>
      </c>
      <c r="J9895" t="e">
        <f>VLOOKUP(E9895,DSSpieler!A:B,2,FALSE)</f>
        <v>#N/A</v>
      </c>
    </row>
    <row r="9896" spans="1:10" x14ac:dyDescent="0.25">
      <c r="A9896">
        <v>11113</v>
      </c>
      <c r="B9896" t="s">
        <v>34079</v>
      </c>
      <c r="C9896">
        <v>512</v>
      </c>
      <c r="D9896">
        <v>400</v>
      </c>
      <c r="E9896">
        <v>1575910986</v>
      </c>
      <c r="F9896">
        <v>2196</v>
      </c>
      <c r="G9896">
        <v>0</v>
      </c>
      <c r="H9896" t="s">
        <v>14809</v>
      </c>
      <c r="I9896">
        <v>11113</v>
      </c>
      <c r="J9896" t="str">
        <f>VLOOKUP(E9896,DSSpieler!A:B,2,FALSE)</f>
        <v>funplayer1</v>
      </c>
    </row>
    <row r="9897" spans="1:10" x14ac:dyDescent="0.25">
      <c r="A9897">
        <v>11114</v>
      </c>
      <c r="B9897" t="s">
        <v>531</v>
      </c>
      <c r="C9897">
        <v>607</v>
      </c>
      <c r="D9897">
        <v>517</v>
      </c>
      <c r="E9897">
        <v>0</v>
      </c>
      <c r="F9897">
        <v>489</v>
      </c>
      <c r="G9897">
        <v>0</v>
      </c>
      <c r="H9897" t="s">
        <v>14810</v>
      </c>
      <c r="I9897">
        <v>11114</v>
      </c>
      <c r="J9897" t="e">
        <f>VLOOKUP(E9897,DSSpieler!A:B,2,FALSE)</f>
        <v>#N/A</v>
      </c>
    </row>
    <row r="9898" spans="1:10" x14ac:dyDescent="0.25">
      <c r="A9898">
        <v>11115</v>
      </c>
      <c r="B9898" t="s">
        <v>531</v>
      </c>
      <c r="C9898">
        <v>406</v>
      </c>
      <c r="D9898">
        <v>537</v>
      </c>
      <c r="E9898">
        <v>0</v>
      </c>
      <c r="F9898">
        <v>607</v>
      </c>
      <c r="G9898">
        <v>0</v>
      </c>
      <c r="H9898" t="s">
        <v>14811</v>
      </c>
      <c r="I9898">
        <v>11115</v>
      </c>
      <c r="J9898" t="e">
        <f>VLOOKUP(E9898,DSSpieler!A:B,2,FALSE)</f>
        <v>#N/A</v>
      </c>
    </row>
    <row r="9899" spans="1:10" x14ac:dyDescent="0.25">
      <c r="A9899">
        <v>11117</v>
      </c>
      <c r="B9899">
        <v>2</v>
      </c>
      <c r="C9899">
        <v>404</v>
      </c>
      <c r="D9899">
        <v>460</v>
      </c>
      <c r="E9899">
        <v>1577064688</v>
      </c>
      <c r="F9899">
        <v>7105</v>
      </c>
      <c r="G9899">
        <v>0</v>
      </c>
      <c r="H9899" t="s">
        <v>14812</v>
      </c>
      <c r="I9899">
        <v>11117</v>
      </c>
      <c r="J9899" t="str">
        <f>VLOOKUP(E9899,DSSpieler!A:B,2,FALSE)</f>
        <v>Dumbstar</v>
      </c>
    </row>
    <row r="9900" spans="1:10" x14ac:dyDescent="0.25">
      <c r="A9900">
        <v>11118</v>
      </c>
      <c r="B9900" t="s">
        <v>531</v>
      </c>
      <c r="C9900">
        <v>411</v>
      </c>
      <c r="D9900">
        <v>546</v>
      </c>
      <c r="E9900">
        <v>0</v>
      </c>
      <c r="F9900">
        <v>386</v>
      </c>
      <c r="G9900">
        <v>0</v>
      </c>
      <c r="H9900" t="s">
        <v>14813</v>
      </c>
      <c r="I9900">
        <v>11118</v>
      </c>
      <c r="J9900" t="e">
        <f>VLOOKUP(E9900,DSSpieler!A:B,2,FALSE)</f>
        <v>#N/A</v>
      </c>
    </row>
    <row r="9901" spans="1:10" x14ac:dyDescent="0.25">
      <c r="A9901">
        <v>11119</v>
      </c>
      <c r="B9901" t="s">
        <v>1995</v>
      </c>
      <c r="C9901">
        <v>590</v>
      </c>
      <c r="D9901">
        <v>543</v>
      </c>
      <c r="E9901">
        <v>1577132078</v>
      </c>
      <c r="F9901">
        <v>1098</v>
      </c>
      <c r="G9901">
        <v>0</v>
      </c>
      <c r="H9901" t="s">
        <v>14814</v>
      </c>
      <c r="I9901">
        <v>11119</v>
      </c>
      <c r="J9901" t="str">
        <f>VLOOKUP(E9901,DSSpieler!A:B,2,FALSE)</f>
        <v>Niggis</v>
      </c>
    </row>
    <row r="9902" spans="1:10" x14ac:dyDescent="0.25">
      <c r="A9902">
        <v>11120</v>
      </c>
      <c r="B9902" t="s">
        <v>540</v>
      </c>
      <c r="C9902">
        <v>599</v>
      </c>
      <c r="D9902">
        <v>482</v>
      </c>
      <c r="E9902">
        <v>1576218773</v>
      </c>
      <c r="F9902">
        <v>3607</v>
      </c>
      <c r="G9902">
        <v>0</v>
      </c>
      <c r="H9902" t="s">
        <v>14815</v>
      </c>
      <c r="I9902">
        <v>11120</v>
      </c>
      <c r="J9902" t="str">
        <f>VLOOKUP(E9902,DSSpieler!A:B,2,FALSE)</f>
        <v>Putinsrechtehand</v>
      </c>
    </row>
    <row r="9903" spans="1:10" x14ac:dyDescent="0.25">
      <c r="A9903">
        <v>11121</v>
      </c>
      <c r="B9903" t="s">
        <v>34080</v>
      </c>
      <c r="C9903">
        <v>421</v>
      </c>
      <c r="D9903">
        <v>511</v>
      </c>
      <c r="E9903">
        <v>1576895710</v>
      </c>
      <c r="F9903">
        <v>6573</v>
      </c>
      <c r="G9903">
        <v>0</v>
      </c>
      <c r="H9903" t="s">
        <v>14816</v>
      </c>
      <c r="I9903">
        <v>11121</v>
      </c>
      <c r="J9903" t="str">
        <f>VLOOKUP(E9903,DSSpieler!A:B,2,FALSE)</f>
        <v>One Man Army</v>
      </c>
    </row>
    <row r="9904" spans="1:10" x14ac:dyDescent="0.25">
      <c r="A9904">
        <v>11122</v>
      </c>
      <c r="B9904" t="s">
        <v>1996</v>
      </c>
      <c r="C9904">
        <v>421</v>
      </c>
      <c r="D9904">
        <v>433</v>
      </c>
      <c r="E9904">
        <v>941519</v>
      </c>
      <c r="F9904">
        <v>1922</v>
      </c>
      <c r="G9904">
        <v>0</v>
      </c>
      <c r="H9904" t="s">
        <v>14817</v>
      </c>
      <c r="I9904">
        <v>11122</v>
      </c>
      <c r="J9904" t="str">
        <f>VLOOKUP(E9904,DSSpieler!A:B,2,FALSE)</f>
        <v>bibi100</v>
      </c>
    </row>
    <row r="9905" spans="1:10" x14ac:dyDescent="0.25">
      <c r="A9905">
        <v>11123</v>
      </c>
      <c r="B9905" t="s">
        <v>531</v>
      </c>
      <c r="C9905">
        <v>407</v>
      </c>
      <c r="D9905">
        <v>546</v>
      </c>
      <c r="E9905">
        <v>0</v>
      </c>
      <c r="F9905">
        <v>392</v>
      </c>
      <c r="G9905">
        <v>0</v>
      </c>
      <c r="H9905" t="s">
        <v>14818</v>
      </c>
      <c r="I9905">
        <v>11123</v>
      </c>
      <c r="J9905" t="e">
        <f>VLOOKUP(E9905,DSSpieler!A:B,2,FALSE)</f>
        <v>#N/A</v>
      </c>
    </row>
    <row r="9906" spans="1:10" x14ac:dyDescent="0.25">
      <c r="A9906">
        <v>11124</v>
      </c>
      <c r="B9906" t="s">
        <v>34081</v>
      </c>
      <c r="C9906">
        <v>605</v>
      </c>
      <c r="D9906">
        <v>478</v>
      </c>
      <c r="E9906">
        <v>2062749</v>
      </c>
      <c r="F9906">
        <v>900</v>
      </c>
      <c r="G9906">
        <v>0</v>
      </c>
      <c r="H9906" t="s">
        <v>14819</v>
      </c>
      <c r="I9906">
        <v>11124</v>
      </c>
      <c r="J9906" t="str">
        <f>VLOOKUP(E9906,DSSpieler!A:B,2,FALSE)</f>
        <v>St. Rike</v>
      </c>
    </row>
    <row r="9907" spans="1:10" x14ac:dyDescent="0.25">
      <c r="A9907">
        <v>11126</v>
      </c>
      <c r="B9907" t="s">
        <v>531</v>
      </c>
      <c r="C9907">
        <v>475</v>
      </c>
      <c r="D9907">
        <v>602</v>
      </c>
      <c r="E9907">
        <v>0</v>
      </c>
      <c r="F9907">
        <v>363</v>
      </c>
      <c r="G9907">
        <v>0</v>
      </c>
      <c r="H9907" t="s">
        <v>14820</v>
      </c>
      <c r="I9907">
        <v>11126</v>
      </c>
      <c r="J9907" t="e">
        <f>VLOOKUP(E9907,DSSpieler!A:B,2,FALSE)</f>
        <v>#N/A</v>
      </c>
    </row>
    <row r="9908" spans="1:10" x14ac:dyDescent="0.25">
      <c r="A9908">
        <v>11127</v>
      </c>
      <c r="B9908" t="s">
        <v>1997</v>
      </c>
      <c r="C9908">
        <v>426</v>
      </c>
      <c r="D9908">
        <v>419</v>
      </c>
      <c r="E9908">
        <v>1576884345</v>
      </c>
      <c r="F9908">
        <v>5865</v>
      </c>
      <c r="G9908">
        <v>0</v>
      </c>
      <c r="H9908" t="s">
        <v>14821</v>
      </c>
      <c r="I9908">
        <v>11127</v>
      </c>
      <c r="J9908" t="str">
        <f>VLOOKUP(E9908,DSSpieler!A:B,2,FALSE)</f>
        <v>Hakuna-</v>
      </c>
    </row>
    <row r="9909" spans="1:10" x14ac:dyDescent="0.25">
      <c r="A9909">
        <v>11128</v>
      </c>
      <c r="B9909" t="s">
        <v>34082</v>
      </c>
      <c r="C9909">
        <v>588</v>
      </c>
      <c r="D9909">
        <v>441</v>
      </c>
      <c r="E9909">
        <v>1577162901</v>
      </c>
      <c r="F9909">
        <v>7390</v>
      </c>
      <c r="G9909">
        <v>0</v>
      </c>
      <c r="H9909" t="s">
        <v>14822</v>
      </c>
      <c r="I9909">
        <v>11128</v>
      </c>
      <c r="J9909" t="str">
        <f>VLOOKUP(E9909,DSSpieler!A:B,2,FALSE)</f>
        <v>fourth try</v>
      </c>
    </row>
    <row r="9910" spans="1:10" x14ac:dyDescent="0.25">
      <c r="A9910">
        <v>11129</v>
      </c>
      <c r="B9910">
        <v>2</v>
      </c>
      <c r="C9910">
        <v>555</v>
      </c>
      <c r="D9910">
        <v>418</v>
      </c>
      <c r="E9910">
        <v>1576899646</v>
      </c>
      <c r="F9910">
        <v>6518</v>
      </c>
      <c r="G9910">
        <v>0</v>
      </c>
      <c r="H9910" t="s">
        <v>14823</v>
      </c>
      <c r="I9910">
        <v>11129</v>
      </c>
      <c r="J9910" t="str">
        <f>VLOOKUP(E9910,DSSpieler!A:B,2,FALSE)</f>
        <v>Rabauk1</v>
      </c>
    </row>
    <row r="9911" spans="1:10" x14ac:dyDescent="0.25">
      <c r="A9911">
        <v>11130</v>
      </c>
      <c r="B9911" t="s">
        <v>34083</v>
      </c>
      <c r="C9911">
        <v>403</v>
      </c>
      <c r="D9911">
        <v>443</v>
      </c>
      <c r="E9911">
        <v>1576203801</v>
      </c>
      <c r="F9911">
        <v>5465</v>
      </c>
      <c r="G9911">
        <v>0</v>
      </c>
      <c r="H9911" t="s">
        <v>14824</v>
      </c>
      <c r="I9911">
        <v>11130</v>
      </c>
      <c r="J9911" t="str">
        <f>VLOOKUP(E9911,DSSpieler!A:B,2,FALSE)</f>
        <v>X1312</v>
      </c>
    </row>
    <row r="9912" spans="1:10" x14ac:dyDescent="0.25">
      <c r="A9912">
        <v>11131</v>
      </c>
      <c r="B9912" t="s">
        <v>34084</v>
      </c>
      <c r="C9912">
        <v>541</v>
      </c>
      <c r="D9912">
        <v>603</v>
      </c>
      <c r="E9912">
        <v>1577028197</v>
      </c>
      <c r="F9912">
        <v>2985</v>
      </c>
      <c r="G9912">
        <v>0</v>
      </c>
      <c r="H9912" t="s">
        <v>14825</v>
      </c>
      <c r="I9912">
        <v>11131</v>
      </c>
      <c r="J9912" t="str">
        <f>VLOOKUP(E9912,DSSpieler!A:B,2,FALSE)</f>
        <v>DontDrinkAndDs</v>
      </c>
    </row>
    <row r="9913" spans="1:10" x14ac:dyDescent="0.25">
      <c r="A9913">
        <v>11132</v>
      </c>
      <c r="B9913" t="s">
        <v>531</v>
      </c>
      <c r="C9913">
        <v>503</v>
      </c>
      <c r="D9913">
        <v>407</v>
      </c>
      <c r="E9913">
        <v>0</v>
      </c>
      <c r="F9913">
        <v>916</v>
      </c>
      <c r="G9913">
        <v>0</v>
      </c>
      <c r="H9913" t="s">
        <v>14826</v>
      </c>
      <c r="I9913">
        <v>11132</v>
      </c>
      <c r="J9913" t="e">
        <f>VLOOKUP(E9913,DSSpieler!A:B,2,FALSE)</f>
        <v>#N/A</v>
      </c>
    </row>
    <row r="9914" spans="1:10" x14ac:dyDescent="0.25">
      <c r="A9914">
        <v>11133</v>
      </c>
      <c r="B9914" t="s">
        <v>1998</v>
      </c>
      <c r="C9914">
        <v>401</v>
      </c>
      <c r="D9914">
        <v>547</v>
      </c>
      <c r="E9914">
        <v>2816098</v>
      </c>
      <c r="F9914">
        <v>5637</v>
      </c>
      <c r="G9914">
        <v>0</v>
      </c>
      <c r="H9914" t="s">
        <v>14827</v>
      </c>
      <c r="I9914">
        <v>11133</v>
      </c>
      <c r="J9914" t="str">
        <f>VLOOKUP(E9914,DSSpieler!A:B,2,FALSE)</f>
        <v>iN sM0ke</v>
      </c>
    </row>
    <row r="9915" spans="1:10" x14ac:dyDescent="0.25">
      <c r="A9915">
        <v>11134</v>
      </c>
      <c r="B9915" t="s">
        <v>34085</v>
      </c>
      <c r="C9915">
        <v>478</v>
      </c>
      <c r="D9915">
        <v>519</v>
      </c>
      <c r="E9915">
        <v>1577185576</v>
      </c>
      <c r="F9915">
        <v>3120</v>
      </c>
      <c r="G9915">
        <v>0</v>
      </c>
      <c r="H9915" t="s">
        <v>14828</v>
      </c>
      <c r="I9915">
        <v>11134</v>
      </c>
      <c r="J9915" t="str">
        <f>VLOOKUP(E9915,DSSpieler!A:B,2,FALSE)</f>
        <v>Majikujanisch</v>
      </c>
    </row>
    <row r="9916" spans="1:10" x14ac:dyDescent="0.25">
      <c r="A9916">
        <v>11135</v>
      </c>
      <c r="B9916" t="s">
        <v>34086</v>
      </c>
      <c r="C9916">
        <v>397</v>
      </c>
      <c r="D9916">
        <v>540</v>
      </c>
      <c r="E9916">
        <v>1576807256</v>
      </c>
      <c r="F9916">
        <v>7141</v>
      </c>
      <c r="G9916">
        <v>0</v>
      </c>
      <c r="H9916" t="s">
        <v>14829</v>
      </c>
      <c r="I9916">
        <v>11135</v>
      </c>
      <c r="J9916" t="str">
        <f>VLOOKUP(E9916,DSSpieler!A:B,2,FALSE)</f>
        <v>Tänkeplatsen</v>
      </c>
    </row>
    <row r="9917" spans="1:10" x14ac:dyDescent="0.25">
      <c r="A9917">
        <v>11137</v>
      </c>
      <c r="B9917" t="s">
        <v>531</v>
      </c>
      <c r="C9917">
        <v>458</v>
      </c>
      <c r="D9917">
        <v>535</v>
      </c>
      <c r="E9917">
        <v>0</v>
      </c>
      <c r="F9917">
        <v>422</v>
      </c>
      <c r="G9917">
        <v>0</v>
      </c>
      <c r="H9917" t="s">
        <v>14830</v>
      </c>
      <c r="I9917">
        <v>11137</v>
      </c>
      <c r="J9917" t="e">
        <f>VLOOKUP(E9917,DSSpieler!A:B,2,FALSE)</f>
        <v>#N/A</v>
      </c>
    </row>
    <row r="9918" spans="1:10" x14ac:dyDescent="0.25">
      <c r="A9918">
        <v>11139</v>
      </c>
      <c r="B9918" t="s">
        <v>531</v>
      </c>
      <c r="C9918">
        <v>423</v>
      </c>
      <c r="D9918">
        <v>435</v>
      </c>
      <c r="E9918">
        <v>0</v>
      </c>
      <c r="F9918">
        <v>512</v>
      </c>
      <c r="G9918">
        <v>0</v>
      </c>
      <c r="H9918" t="s">
        <v>14831</v>
      </c>
      <c r="I9918">
        <v>11139</v>
      </c>
      <c r="J9918" t="e">
        <f>VLOOKUP(E9918,DSSpieler!A:B,2,FALSE)</f>
        <v>#N/A</v>
      </c>
    </row>
    <row r="9919" spans="1:10" x14ac:dyDescent="0.25">
      <c r="A9919">
        <v>11140</v>
      </c>
      <c r="B9919" t="s">
        <v>34087</v>
      </c>
      <c r="C9919">
        <v>432</v>
      </c>
      <c r="D9919">
        <v>420</v>
      </c>
      <c r="E9919">
        <v>8165228</v>
      </c>
      <c r="F9919">
        <v>2382</v>
      </c>
      <c r="G9919">
        <v>0</v>
      </c>
      <c r="H9919" t="s">
        <v>14832</v>
      </c>
      <c r="I9919">
        <v>11140</v>
      </c>
      <c r="J9919" t="str">
        <f>VLOOKUP(E9919,DSSpieler!A:B,2,FALSE)</f>
        <v>Rexaron</v>
      </c>
    </row>
    <row r="9920" spans="1:10" x14ac:dyDescent="0.25">
      <c r="A9920">
        <v>11142</v>
      </c>
      <c r="B9920" t="s">
        <v>34088</v>
      </c>
      <c r="C9920">
        <v>538</v>
      </c>
      <c r="D9920">
        <v>456</v>
      </c>
      <c r="E9920">
        <v>7765891</v>
      </c>
      <c r="F9920">
        <v>3348</v>
      </c>
      <c r="G9920">
        <v>0</v>
      </c>
      <c r="H9920" t="s">
        <v>14833</v>
      </c>
      <c r="I9920">
        <v>11142</v>
      </c>
      <c r="J9920" t="str">
        <f>VLOOKUP(E9920,DSSpieler!A:B,2,FALSE)</f>
        <v>Rimato</v>
      </c>
    </row>
    <row r="9921" spans="1:10" x14ac:dyDescent="0.25">
      <c r="A9921">
        <v>11143</v>
      </c>
      <c r="B9921" t="s">
        <v>1900</v>
      </c>
      <c r="C9921">
        <v>408</v>
      </c>
      <c r="D9921">
        <v>533</v>
      </c>
      <c r="E9921">
        <v>619909</v>
      </c>
      <c r="F9921">
        <v>4893</v>
      </c>
      <c r="G9921">
        <v>0</v>
      </c>
      <c r="H9921" t="s">
        <v>14834</v>
      </c>
      <c r="I9921">
        <v>11143</v>
      </c>
      <c r="J9921" t="str">
        <f>VLOOKUP(E9921,DSSpieler!A:B,2,FALSE)</f>
        <v>InvincibleB</v>
      </c>
    </row>
    <row r="9922" spans="1:10" x14ac:dyDescent="0.25">
      <c r="A9922">
        <v>11144</v>
      </c>
      <c r="B9922" t="s">
        <v>531</v>
      </c>
      <c r="C9922">
        <v>473</v>
      </c>
      <c r="D9922">
        <v>534</v>
      </c>
      <c r="E9922">
        <v>0</v>
      </c>
      <c r="F9922">
        <v>561</v>
      </c>
      <c r="G9922">
        <v>0</v>
      </c>
      <c r="H9922" t="s">
        <v>14835</v>
      </c>
      <c r="I9922">
        <v>11144</v>
      </c>
      <c r="J9922" t="e">
        <f>VLOOKUP(E9922,DSSpieler!A:B,2,FALSE)</f>
        <v>#N/A</v>
      </c>
    </row>
    <row r="9923" spans="1:10" x14ac:dyDescent="0.25">
      <c r="A9923">
        <v>11145</v>
      </c>
      <c r="B9923" t="s">
        <v>531</v>
      </c>
      <c r="C9923">
        <v>493</v>
      </c>
      <c r="D9923">
        <v>395</v>
      </c>
      <c r="E9923">
        <v>0</v>
      </c>
      <c r="F9923">
        <v>388</v>
      </c>
      <c r="G9923">
        <v>0</v>
      </c>
      <c r="H9923" t="s">
        <v>14836</v>
      </c>
      <c r="I9923">
        <v>11145</v>
      </c>
      <c r="J9923" t="e">
        <f>VLOOKUP(E9923,DSSpieler!A:B,2,FALSE)</f>
        <v>#N/A</v>
      </c>
    </row>
    <row r="9924" spans="1:10" x14ac:dyDescent="0.25">
      <c r="A9924">
        <v>11146</v>
      </c>
      <c r="B9924" t="s">
        <v>667</v>
      </c>
      <c r="C9924">
        <v>400</v>
      </c>
      <c r="D9924">
        <v>531</v>
      </c>
      <c r="E9924">
        <v>1577150381</v>
      </c>
      <c r="F9924">
        <v>7525</v>
      </c>
      <c r="G9924">
        <v>0</v>
      </c>
      <c r="H9924" t="s">
        <v>14837</v>
      </c>
      <c r="I9924">
        <v>11146</v>
      </c>
      <c r="J9924" t="str">
        <f>VLOOKUP(E9924,DSSpieler!A:B,2,FALSE)</f>
        <v>Kackvogel</v>
      </c>
    </row>
    <row r="9925" spans="1:10" x14ac:dyDescent="0.25">
      <c r="A9925">
        <v>11147</v>
      </c>
      <c r="B9925" t="s">
        <v>531</v>
      </c>
      <c r="C9925">
        <v>508</v>
      </c>
      <c r="D9925">
        <v>602</v>
      </c>
      <c r="E9925">
        <v>0</v>
      </c>
      <c r="F9925">
        <v>130</v>
      </c>
      <c r="G9925">
        <v>0</v>
      </c>
      <c r="H9925" t="s">
        <v>14838</v>
      </c>
      <c r="I9925">
        <v>11147</v>
      </c>
      <c r="J9925" t="e">
        <f>VLOOKUP(E9925,DSSpieler!A:B,2,FALSE)</f>
        <v>#N/A</v>
      </c>
    </row>
    <row r="9926" spans="1:10" x14ac:dyDescent="0.25">
      <c r="A9926">
        <v>11148</v>
      </c>
      <c r="B9926" t="s">
        <v>531</v>
      </c>
      <c r="C9926">
        <v>474</v>
      </c>
      <c r="D9926">
        <v>528</v>
      </c>
      <c r="E9926">
        <v>0</v>
      </c>
      <c r="F9926">
        <v>612</v>
      </c>
      <c r="G9926">
        <v>0</v>
      </c>
      <c r="H9926" t="s">
        <v>14839</v>
      </c>
      <c r="I9926">
        <v>11148</v>
      </c>
      <c r="J9926" t="e">
        <f>VLOOKUP(E9926,DSSpieler!A:B,2,FALSE)</f>
        <v>#N/A</v>
      </c>
    </row>
    <row r="9927" spans="1:10" x14ac:dyDescent="0.25">
      <c r="A9927">
        <v>11149</v>
      </c>
      <c r="B9927" t="e">
        <f>-1-+Fisch</f>
        <v>#NAME?</v>
      </c>
      <c r="C9927">
        <v>423</v>
      </c>
      <c r="D9927">
        <v>441</v>
      </c>
      <c r="E9927">
        <v>1576966416</v>
      </c>
      <c r="F9927">
        <v>5189</v>
      </c>
      <c r="G9927">
        <v>0</v>
      </c>
      <c r="H9927" t="s">
        <v>14840</v>
      </c>
      <c r="I9927">
        <v>11149</v>
      </c>
      <c r="J9927" t="str">
        <f>VLOOKUP(E9927,DSSpieler!A:B,2,FALSE)</f>
        <v>Sirex</v>
      </c>
    </row>
    <row r="9928" spans="1:10" x14ac:dyDescent="0.25">
      <c r="A9928">
        <v>11150</v>
      </c>
      <c r="B9928" t="s">
        <v>34089</v>
      </c>
      <c r="C9928">
        <v>430</v>
      </c>
      <c r="D9928">
        <v>434</v>
      </c>
      <c r="E9928">
        <v>1577180780</v>
      </c>
      <c r="F9928">
        <v>5524</v>
      </c>
      <c r="G9928">
        <v>0</v>
      </c>
      <c r="H9928" t="s">
        <v>14841</v>
      </c>
      <c r="I9928">
        <v>11150</v>
      </c>
      <c r="J9928" t="str">
        <f>VLOOKUP(E9928,DSSpieler!A:B,2,FALSE)</f>
        <v>richamster</v>
      </c>
    </row>
    <row r="9929" spans="1:10" x14ac:dyDescent="0.25">
      <c r="A9929">
        <v>11151</v>
      </c>
      <c r="B9929" t="s">
        <v>34090</v>
      </c>
      <c r="C9929">
        <v>416</v>
      </c>
      <c r="D9929">
        <v>564</v>
      </c>
      <c r="E9929">
        <v>8304888</v>
      </c>
      <c r="F9929">
        <v>427</v>
      </c>
      <c r="G9929">
        <v>0</v>
      </c>
      <c r="H9929" t="s">
        <v>14842</v>
      </c>
      <c r="I9929">
        <v>11151</v>
      </c>
      <c r="J9929" t="str">
        <f>VLOOKUP(E9929,DSSpieler!A:B,2,FALSE)</f>
        <v>Godemar</v>
      </c>
    </row>
    <row r="9930" spans="1:10" x14ac:dyDescent="0.25">
      <c r="A9930">
        <v>11152</v>
      </c>
      <c r="B9930" t="s">
        <v>531</v>
      </c>
      <c r="C9930">
        <v>598</v>
      </c>
      <c r="D9930">
        <v>463</v>
      </c>
      <c r="E9930">
        <v>0</v>
      </c>
      <c r="F9930">
        <v>347</v>
      </c>
      <c r="G9930">
        <v>0</v>
      </c>
      <c r="H9930" t="s">
        <v>14843</v>
      </c>
      <c r="I9930">
        <v>11152</v>
      </c>
      <c r="J9930" t="e">
        <f>VLOOKUP(E9930,DSSpieler!A:B,2,FALSE)</f>
        <v>#N/A</v>
      </c>
    </row>
    <row r="9931" spans="1:10" x14ac:dyDescent="0.25">
      <c r="A9931">
        <v>11153</v>
      </c>
      <c r="B9931" t="s">
        <v>34091</v>
      </c>
      <c r="C9931">
        <v>531</v>
      </c>
      <c r="D9931">
        <v>604</v>
      </c>
      <c r="E9931">
        <v>8229715</v>
      </c>
      <c r="F9931">
        <v>5069</v>
      </c>
      <c r="G9931">
        <v>0</v>
      </c>
      <c r="H9931" t="s">
        <v>14844</v>
      </c>
      <c r="I9931">
        <v>11153</v>
      </c>
      <c r="J9931" t="str">
        <f>VLOOKUP(E9931,DSSpieler!A:B,2,FALSE)</f>
        <v>Orschlochwattn</v>
      </c>
    </row>
    <row r="9932" spans="1:10" x14ac:dyDescent="0.25">
      <c r="A9932">
        <v>11154</v>
      </c>
      <c r="B9932" t="s">
        <v>531</v>
      </c>
      <c r="C9932">
        <v>459</v>
      </c>
      <c r="D9932">
        <v>539</v>
      </c>
      <c r="E9932">
        <v>0</v>
      </c>
      <c r="F9932">
        <v>588</v>
      </c>
      <c r="G9932">
        <v>0</v>
      </c>
      <c r="H9932" t="s">
        <v>14845</v>
      </c>
      <c r="I9932">
        <v>11154</v>
      </c>
      <c r="J9932" t="e">
        <f>VLOOKUP(E9932,DSSpieler!A:B,2,FALSE)</f>
        <v>#N/A</v>
      </c>
    </row>
    <row r="9933" spans="1:10" x14ac:dyDescent="0.25">
      <c r="A9933">
        <v>11155</v>
      </c>
      <c r="B9933" t="s">
        <v>531</v>
      </c>
      <c r="C9933">
        <v>597</v>
      </c>
      <c r="D9933">
        <v>463</v>
      </c>
      <c r="E9933">
        <v>0</v>
      </c>
      <c r="F9933">
        <v>199</v>
      </c>
      <c r="G9933">
        <v>0</v>
      </c>
      <c r="H9933" t="s">
        <v>14846</v>
      </c>
      <c r="I9933">
        <v>11155</v>
      </c>
      <c r="J9933" t="e">
        <f>VLOOKUP(E9933,DSSpieler!A:B,2,FALSE)</f>
        <v>#N/A</v>
      </c>
    </row>
    <row r="9934" spans="1:10" x14ac:dyDescent="0.25">
      <c r="A9934">
        <v>11156</v>
      </c>
      <c r="B9934" t="s">
        <v>1999</v>
      </c>
      <c r="C9934">
        <v>425</v>
      </c>
      <c r="D9934">
        <v>537</v>
      </c>
      <c r="E9934">
        <v>1577173890</v>
      </c>
      <c r="F9934">
        <v>1393</v>
      </c>
      <c r="G9934">
        <v>0</v>
      </c>
      <c r="H9934" t="s">
        <v>14847</v>
      </c>
      <c r="I9934">
        <v>11156</v>
      </c>
      <c r="J9934" t="str">
        <f>VLOOKUP(E9934,DSSpieler!A:B,2,FALSE)</f>
        <v>Isolalai</v>
      </c>
    </row>
    <row r="9935" spans="1:10" x14ac:dyDescent="0.25">
      <c r="A9935">
        <v>11157</v>
      </c>
      <c r="B9935" t="s">
        <v>626</v>
      </c>
      <c r="C9935">
        <v>519</v>
      </c>
      <c r="D9935">
        <v>395</v>
      </c>
      <c r="E9935">
        <v>1577069277</v>
      </c>
      <c r="F9935">
        <v>2331</v>
      </c>
      <c r="G9935">
        <v>0</v>
      </c>
      <c r="H9935" t="s">
        <v>14848</v>
      </c>
      <c r="I9935">
        <v>11157</v>
      </c>
      <c r="J9935" t="str">
        <f>VLOOKUP(E9935,DSSpieler!A:B,2,FALSE)</f>
        <v>Bauer sucht Sau</v>
      </c>
    </row>
    <row r="9936" spans="1:10" x14ac:dyDescent="0.25">
      <c r="A9936">
        <v>11159</v>
      </c>
      <c r="B9936" t="s">
        <v>531</v>
      </c>
      <c r="C9936">
        <v>443</v>
      </c>
      <c r="D9936">
        <v>412</v>
      </c>
      <c r="E9936">
        <v>0</v>
      </c>
      <c r="F9936">
        <v>252</v>
      </c>
      <c r="G9936">
        <v>0</v>
      </c>
      <c r="H9936" t="s">
        <v>14849</v>
      </c>
      <c r="I9936">
        <v>11159</v>
      </c>
      <c r="J9936" t="e">
        <f>VLOOKUP(E9936,DSSpieler!A:B,2,FALSE)</f>
        <v>#N/A</v>
      </c>
    </row>
    <row r="9937" spans="1:10" x14ac:dyDescent="0.25">
      <c r="A9937">
        <v>11160</v>
      </c>
      <c r="B9937" t="s">
        <v>531</v>
      </c>
      <c r="C9937">
        <v>417</v>
      </c>
      <c r="D9937">
        <v>563</v>
      </c>
      <c r="E9937">
        <v>0</v>
      </c>
      <c r="F9937">
        <v>444</v>
      </c>
      <c r="G9937">
        <v>0</v>
      </c>
      <c r="H9937" t="s">
        <v>14850</v>
      </c>
      <c r="I9937">
        <v>11160</v>
      </c>
      <c r="J9937" t="e">
        <f>VLOOKUP(E9937,DSSpieler!A:B,2,FALSE)</f>
        <v>#N/A</v>
      </c>
    </row>
    <row r="9938" spans="1:10" x14ac:dyDescent="0.25">
      <c r="A9938">
        <v>11161</v>
      </c>
      <c r="B9938" t="s">
        <v>531</v>
      </c>
      <c r="C9938">
        <v>585</v>
      </c>
      <c r="D9938">
        <v>560</v>
      </c>
      <c r="E9938">
        <v>0</v>
      </c>
      <c r="F9938">
        <v>171</v>
      </c>
      <c r="G9938">
        <v>0</v>
      </c>
      <c r="H9938" t="s">
        <v>14851</v>
      </c>
      <c r="I9938">
        <v>11161</v>
      </c>
      <c r="J9938" t="e">
        <f>VLOOKUP(E9938,DSSpieler!A:B,2,FALSE)</f>
        <v>#N/A</v>
      </c>
    </row>
    <row r="9939" spans="1:10" x14ac:dyDescent="0.25">
      <c r="A9939">
        <v>11162</v>
      </c>
      <c r="B9939" t="s">
        <v>34092</v>
      </c>
      <c r="C9939">
        <v>406</v>
      </c>
      <c r="D9939">
        <v>544</v>
      </c>
      <c r="E9939">
        <v>1576032609</v>
      </c>
      <c r="F9939">
        <v>5680</v>
      </c>
      <c r="G9939">
        <v>0</v>
      </c>
      <c r="H9939" t="s">
        <v>14852</v>
      </c>
      <c r="I9939">
        <v>11162</v>
      </c>
      <c r="J9939" t="str">
        <f>VLOOKUP(E9939,DSSpieler!A:B,2,FALSE)</f>
        <v>Sceentic</v>
      </c>
    </row>
    <row r="9940" spans="1:10" x14ac:dyDescent="0.25">
      <c r="A9940">
        <v>11163</v>
      </c>
      <c r="B9940" t="s">
        <v>531</v>
      </c>
      <c r="C9940">
        <v>602</v>
      </c>
      <c r="D9940">
        <v>523</v>
      </c>
      <c r="E9940">
        <v>0</v>
      </c>
      <c r="F9940">
        <v>230</v>
      </c>
      <c r="G9940">
        <v>0</v>
      </c>
      <c r="H9940" t="s">
        <v>14853</v>
      </c>
      <c r="I9940">
        <v>11163</v>
      </c>
      <c r="J9940" t="e">
        <f>VLOOKUP(E9940,DSSpieler!A:B,2,FALSE)</f>
        <v>#N/A</v>
      </c>
    </row>
    <row r="9941" spans="1:10" x14ac:dyDescent="0.25">
      <c r="A9941">
        <v>11164</v>
      </c>
      <c r="B9941" t="s">
        <v>2000</v>
      </c>
      <c r="C9941">
        <v>503</v>
      </c>
      <c r="D9941">
        <v>406</v>
      </c>
      <c r="E9941">
        <v>1577185803</v>
      </c>
      <c r="F9941">
        <v>7777</v>
      </c>
      <c r="G9941">
        <v>0</v>
      </c>
      <c r="H9941" t="s">
        <v>14854</v>
      </c>
      <c r="I9941">
        <v>11164</v>
      </c>
      <c r="J9941" t="str">
        <f>VLOOKUP(E9941,DSSpieler!A:B,2,FALSE)</f>
        <v>Crysis.PEX</v>
      </c>
    </row>
    <row r="9942" spans="1:10" x14ac:dyDescent="0.25">
      <c r="A9942">
        <v>11165</v>
      </c>
      <c r="B9942" t="s">
        <v>34093</v>
      </c>
      <c r="C9942">
        <v>422</v>
      </c>
      <c r="D9942">
        <v>556</v>
      </c>
      <c r="E9942">
        <v>1577174979</v>
      </c>
      <c r="F9942">
        <v>5041</v>
      </c>
      <c r="G9942">
        <v>0</v>
      </c>
      <c r="H9942" t="s">
        <v>14855</v>
      </c>
      <c r="I9942">
        <v>11165</v>
      </c>
      <c r="J9942" t="str">
        <f>VLOOKUP(E9942,DSSpieler!A:B,2,FALSE)</f>
        <v>Azeroth</v>
      </c>
    </row>
    <row r="9943" spans="1:10" x14ac:dyDescent="0.25">
      <c r="A9943">
        <v>11166</v>
      </c>
      <c r="B9943" t="s">
        <v>34094</v>
      </c>
      <c r="C9943">
        <v>472</v>
      </c>
      <c r="D9943">
        <v>520</v>
      </c>
      <c r="E9943">
        <v>1576046022</v>
      </c>
      <c r="F9943">
        <v>3581</v>
      </c>
      <c r="G9943">
        <v>0</v>
      </c>
      <c r="H9943" t="s">
        <v>14856</v>
      </c>
      <c r="I9943">
        <v>11166</v>
      </c>
      <c r="J9943" t="str">
        <f>VLOOKUP(E9943,DSSpieler!A:B,2,FALSE)</f>
        <v>schnitteNr.1</v>
      </c>
    </row>
    <row r="9944" spans="1:10" x14ac:dyDescent="0.25">
      <c r="A9944">
        <v>11167</v>
      </c>
      <c r="B9944" t="s">
        <v>531</v>
      </c>
      <c r="C9944">
        <v>415</v>
      </c>
      <c r="D9944">
        <v>437</v>
      </c>
      <c r="E9944">
        <v>0</v>
      </c>
      <c r="F9944">
        <v>469</v>
      </c>
      <c r="G9944">
        <v>0</v>
      </c>
      <c r="H9944" t="s">
        <v>14857</v>
      </c>
      <c r="I9944">
        <v>11167</v>
      </c>
      <c r="J9944" t="e">
        <f>VLOOKUP(E9944,DSSpieler!A:B,2,FALSE)</f>
        <v>#N/A</v>
      </c>
    </row>
    <row r="9945" spans="1:10" x14ac:dyDescent="0.25">
      <c r="A9945">
        <v>11168</v>
      </c>
      <c r="B9945" t="s">
        <v>531</v>
      </c>
      <c r="C9945">
        <v>503</v>
      </c>
      <c r="D9945">
        <v>601</v>
      </c>
      <c r="E9945">
        <v>0</v>
      </c>
      <c r="F9945">
        <v>200</v>
      </c>
      <c r="G9945">
        <v>0</v>
      </c>
      <c r="H9945" t="s">
        <v>14858</v>
      </c>
      <c r="I9945">
        <v>11168</v>
      </c>
      <c r="J9945" t="e">
        <f>VLOOKUP(E9945,DSSpieler!A:B,2,FALSE)</f>
        <v>#N/A</v>
      </c>
    </row>
    <row r="9946" spans="1:10" x14ac:dyDescent="0.25">
      <c r="A9946">
        <v>11170</v>
      </c>
      <c r="B9946" t="s">
        <v>531</v>
      </c>
      <c r="C9946">
        <v>399</v>
      </c>
      <c r="D9946">
        <v>520</v>
      </c>
      <c r="E9946">
        <v>0</v>
      </c>
      <c r="F9946">
        <v>603</v>
      </c>
      <c r="G9946">
        <v>0</v>
      </c>
      <c r="H9946" t="s">
        <v>14859</v>
      </c>
      <c r="I9946">
        <v>11170</v>
      </c>
      <c r="J9946" t="e">
        <f>VLOOKUP(E9946,DSSpieler!A:B,2,FALSE)</f>
        <v>#N/A</v>
      </c>
    </row>
    <row r="9947" spans="1:10" x14ac:dyDescent="0.25">
      <c r="A9947">
        <v>11171</v>
      </c>
      <c r="B9947" t="s">
        <v>34095</v>
      </c>
      <c r="C9947">
        <v>553</v>
      </c>
      <c r="D9947">
        <v>585</v>
      </c>
      <c r="E9947">
        <v>10088272</v>
      </c>
      <c r="F9947">
        <v>3234</v>
      </c>
      <c r="G9947">
        <v>0</v>
      </c>
      <c r="H9947" t="s">
        <v>14860</v>
      </c>
      <c r="I9947">
        <v>11171</v>
      </c>
      <c r="J9947" t="str">
        <f>VLOOKUP(E9947,DSSpieler!A:B,2,FALSE)</f>
        <v>nycros1</v>
      </c>
    </row>
    <row r="9948" spans="1:10" x14ac:dyDescent="0.25">
      <c r="A9948">
        <v>11172</v>
      </c>
      <c r="B9948" t="s">
        <v>531</v>
      </c>
      <c r="C9948">
        <v>422</v>
      </c>
      <c r="D9948">
        <v>430</v>
      </c>
      <c r="E9948">
        <v>0</v>
      </c>
      <c r="F9948">
        <v>159</v>
      </c>
      <c r="G9948">
        <v>0</v>
      </c>
      <c r="H9948" t="s">
        <v>14861</v>
      </c>
      <c r="I9948">
        <v>11172</v>
      </c>
      <c r="J9948" t="e">
        <f>VLOOKUP(E9948,DSSpieler!A:B,2,FALSE)</f>
        <v>#N/A</v>
      </c>
    </row>
    <row r="9949" spans="1:10" x14ac:dyDescent="0.25">
      <c r="A9949">
        <v>11173</v>
      </c>
      <c r="B9949" t="s">
        <v>531</v>
      </c>
      <c r="C9949">
        <v>561</v>
      </c>
      <c r="D9949">
        <v>583</v>
      </c>
      <c r="E9949">
        <v>0</v>
      </c>
      <c r="F9949">
        <v>330</v>
      </c>
      <c r="G9949">
        <v>0</v>
      </c>
      <c r="H9949" t="s">
        <v>14862</v>
      </c>
      <c r="I9949">
        <v>11173</v>
      </c>
      <c r="J9949" t="e">
        <f>VLOOKUP(E9949,DSSpieler!A:B,2,FALSE)</f>
        <v>#N/A</v>
      </c>
    </row>
    <row r="9950" spans="1:10" x14ac:dyDescent="0.25">
      <c r="A9950">
        <v>11174</v>
      </c>
      <c r="B9950" t="s">
        <v>34096</v>
      </c>
      <c r="C9950">
        <v>455</v>
      </c>
      <c r="D9950">
        <v>411</v>
      </c>
      <c r="E9950">
        <v>1577198710</v>
      </c>
      <c r="F9950">
        <v>5569</v>
      </c>
      <c r="G9950">
        <v>0</v>
      </c>
      <c r="H9950" t="s">
        <v>14863</v>
      </c>
      <c r="I9950">
        <v>11174</v>
      </c>
      <c r="J9950" t="str">
        <f>VLOOKUP(E9950,DSSpieler!A:B,2,FALSE)</f>
        <v>Knallhärter</v>
      </c>
    </row>
    <row r="9951" spans="1:10" x14ac:dyDescent="0.25">
      <c r="A9951">
        <v>11175</v>
      </c>
      <c r="B9951" t="s">
        <v>531</v>
      </c>
      <c r="C9951">
        <v>501</v>
      </c>
      <c r="D9951">
        <v>395</v>
      </c>
      <c r="E9951">
        <v>0</v>
      </c>
      <c r="F9951">
        <v>250</v>
      </c>
      <c r="G9951">
        <v>0</v>
      </c>
      <c r="H9951" t="s">
        <v>14864</v>
      </c>
      <c r="I9951">
        <v>11175</v>
      </c>
      <c r="J9951" t="e">
        <f>VLOOKUP(E9951,DSSpieler!A:B,2,FALSE)</f>
        <v>#N/A</v>
      </c>
    </row>
    <row r="9952" spans="1:10" x14ac:dyDescent="0.25">
      <c r="A9952">
        <v>11177</v>
      </c>
      <c r="B9952" t="s">
        <v>2001</v>
      </c>
      <c r="C9952">
        <v>538</v>
      </c>
      <c r="D9952">
        <v>601</v>
      </c>
      <c r="E9952">
        <v>8511051</v>
      </c>
      <c r="F9952">
        <v>1818</v>
      </c>
      <c r="G9952">
        <v>0</v>
      </c>
      <c r="H9952" t="s">
        <v>14865</v>
      </c>
      <c r="I9952">
        <v>11177</v>
      </c>
      <c r="J9952" t="str">
        <f>VLOOKUP(E9952,DSSpieler!A:B,2,FALSE)</f>
        <v>thedeadman0</v>
      </c>
    </row>
    <row r="9953" spans="1:10" x14ac:dyDescent="0.25">
      <c r="A9953">
        <v>11178</v>
      </c>
      <c r="B9953" t="s">
        <v>531</v>
      </c>
      <c r="C9953">
        <v>583</v>
      </c>
      <c r="D9953">
        <v>563</v>
      </c>
      <c r="E9953">
        <v>0</v>
      </c>
      <c r="F9953">
        <v>133</v>
      </c>
      <c r="G9953">
        <v>0</v>
      </c>
      <c r="H9953" t="s">
        <v>14866</v>
      </c>
      <c r="I9953">
        <v>11178</v>
      </c>
      <c r="J9953" t="e">
        <f>VLOOKUP(E9953,DSSpieler!A:B,2,FALSE)</f>
        <v>#N/A</v>
      </c>
    </row>
    <row r="9954" spans="1:10" x14ac:dyDescent="0.25">
      <c r="A9954">
        <v>11179</v>
      </c>
      <c r="B9954" t="s">
        <v>32971</v>
      </c>
      <c r="C9954">
        <v>432</v>
      </c>
      <c r="D9954">
        <v>578</v>
      </c>
      <c r="E9954">
        <v>1069861</v>
      </c>
      <c r="F9954">
        <v>7206</v>
      </c>
      <c r="G9954">
        <v>0</v>
      </c>
      <c r="H9954" t="s">
        <v>14867</v>
      </c>
      <c r="I9954">
        <v>11179</v>
      </c>
      <c r="J9954" t="str">
        <f>VLOOKUP(E9954,DSSpieler!A:B,2,FALSE)</f>
        <v>Brom95</v>
      </c>
    </row>
    <row r="9955" spans="1:10" x14ac:dyDescent="0.25">
      <c r="A9955">
        <v>11180</v>
      </c>
      <c r="B9955" t="s">
        <v>1900</v>
      </c>
      <c r="C9955">
        <v>407</v>
      </c>
      <c r="D9955">
        <v>535</v>
      </c>
      <c r="E9955">
        <v>619909</v>
      </c>
      <c r="F9955">
        <v>5011</v>
      </c>
      <c r="G9955">
        <v>0</v>
      </c>
      <c r="H9955" t="s">
        <v>14868</v>
      </c>
      <c r="I9955">
        <v>11180</v>
      </c>
      <c r="J9955" t="str">
        <f>VLOOKUP(E9955,DSSpieler!A:B,2,FALSE)</f>
        <v>InvincibleB</v>
      </c>
    </row>
    <row r="9956" spans="1:10" x14ac:dyDescent="0.25">
      <c r="A9956">
        <v>11181</v>
      </c>
      <c r="B9956" t="s">
        <v>531</v>
      </c>
      <c r="C9956">
        <v>475</v>
      </c>
      <c r="D9956">
        <v>399</v>
      </c>
      <c r="E9956">
        <v>0</v>
      </c>
      <c r="F9956">
        <v>274</v>
      </c>
      <c r="G9956">
        <v>0</v>
      </c>
      <c r="H9956" t="s">
        <v>14869</v>
      </c>
      <c r="I9956">
        <v>11181</v>
      </c>
      <c r="J9956" t="e">
        <f>VLOOKUP(E9956,DSSpieler!A:B,2,FALSE)</f>
        <v>#N/A</v>
      </c>
    </row>
    <row r="9957" spans="1:10" x14ac:dyDescent="0.25">
      <c r="A9957">
        <v>11182</v>
      </c>
      <c r="B9957" t="s">
        <v>531</v>
      </c>
      <c r="C9957">
        <v>586</v>
      </c>
      <c r="D9957">
        <v>557</v>
      </c>
      <c r="E9957">
        <v>0</v>
      </c>
      <c r="F9957">
        <v>244</v>
      </c>
      <c r="G9957">
        <v>0</v>
      </c>
      <c r="H9957" t="s">
        <v>14870</v>
      </c>
      <c r="I9957">
        <v>11182</v>
      </c>
      <c r="J9957" t="e">
        <f>VLOOKUP(E9957,DSSpieler!A:B,2,FALSE)</f>
        <v>#N/A</v>
      </c>
    </row>
    <row r="9958" spans="1:10" x14ac:dyDescent="0.25">
      <c r="A9958">
        <v>11183</v>
      </c>
      <c r="B9958" t="s">
        <v>34097</v>
      </c>
      <c r="C9958">
        <v>532</v>
      </c>
      <c r="D9958">
        <v>604</v>
      </c>
      <c r="E9958">
        <v>8353139</v>
      </c>
      <c r="F9958">
        <v>4380</v>
      </c>
      <c r="G9958">
        <v>0</v>
      </c>
      <c r="H9958" t="s">
        <v>14871</v>
      </c>
      <c r="I9958">
        <v>11183</v>
      </c>
      <c r="J9958" t="str">
        <f>VLOOKUP(E9958,DSSpieler!A:B,2,FALSE)</f>
        <v>Gyros Styler</v>
      </c>
    </row>
    <row r="9959" spans="1:10" x14ac:dyDescent="0.25">
      <c r="A9959">
        <v>11185</v>
      </c>
      <c r="B9959" t="s">
        <v>34098</v>
      </c>
      <c r="C9959">
        <v>399</v>
      </c>
      <c r="D9959">
        <v>477</v>
      </c>
      <c r="E9959">
        <v>1576164063</v>
      </c>
      <c r="F9959">
        <v>5298</v>
      </c>
      <c r="G9959">
        <v>0</v>
      </c>
      <c r="H9959" t="s">
        <v>14872</v>
      </c>
      <c r="I9959">
        <v>11185</v>
      </c>
      <c r="J9959" t="str">
        <f>VLOOKUP(E9959,DSSpieler!A:B,2,FALSE)</f>
        <v>pr0gam3r0ne</v>
      </c>
    </row>
    <row r="9960" spans="1:10" x14ac:dyDescent="0.25">
      <c r="A9960">
        <v>11186</v>
      </c>
      <c r="B9960" t="s">
        <v>34099</v>
      </c>
      <c r="C9960">
        <v>485</v>
      </c>
      <c r="D9960">
        <v>464</v>
      </c>
      <c r="E9960">
        <v>1577194539</v>
      </c>
      <c r="F9960">
        <v>2162</v>
      </c>
      <c r="G9960">
        <v>0</v>
      </c>
      <c r="H9960" t="s">
        <v>14873</v>
      </c>
      <c r="I9960">
        <v>11186</v>
      </c>
      <c r="J9960" t="str">
        <f>VLOOKUP(E9960,DSSpieler!A:B,2,FALSE)</f>
        <v>DayWalk3r</v>
      </c>
    </row>
    <row r="9961" spans="1:10" x14ac:dyDescent="0.25">
      <c r="A9961">
        <v>11187</v>
      </c>
      <c r="B9961" t="s">
        <v>531</v>
      </c>
      <c r="C9961">
        <v>585</v>
      </c>
      <c r="D9961">
        <v>567</v>
      </c>
      <c r="E9961">
        <v>0</v>
      </c>
      <c r="F9961">
        <v>261</v>
      </c>
      <c r="G9961">
        <v>0</v>
      </c>
      <c r="H9961" t="s">
        <v>14874</v>
      </c>
      <c r="I9961">
        <v>11187</v>
      </c>
      <c r="J9961" t="e">
        <f>VLOOKUP(E9961,DSSpieler!A:B,2,FALSE)</f>
        <v>#N/A</v>
      </c>
    </row>
    <row r="9962" spans="1:10" x14ac:dyDescent="0.25">
      <c r="A9962">
        <v>11189</v>
      </c>
      <c r="B9962" t="s">
        <v>531</v>
      </c>
      <c r="C9962">
        <v>589</v>
      </c>
      <c r="D9962">
        <v>562</v>
      </c>
      <c r="E9962">
        <v>0</v>
      </c>
      <c r="F9962">
        <v>164</v>
      </c>
      <c r="G9962">
        <v>0</v>
      </c>
      <c r="H9962" t="s">
        <v>14875</v>
      </c>
      <c r="I9962">
        <v>11189</v>
      </c>
      <c r="J9962" t="e">
        <f>VLOOKUP(E9962,DSSpieler!A:B,2,FALSE)</f>
        <v>#N/A</v>
      </c>
    </row>
    <row r="9963" spans="1:10" x14ac:dyDescent="0.25">
      <c r="A9963">
        <v>11190</v>
      </c>
      <c r="B9963" t="s">
        <v>531</v>
      </c>
      <c r="C9963">
        <v>471</v>
      </c>
      <c r="D9963">
        <v>402</v>
      </c>
      <c r="E9963">
        <v>0</v>
      </c>
      <c r="F9963">
        <v>451</v>
      </c>
      <c r="G9963">
        <v>0</v>
      </c>
      <c r="H9963" t="s">
        <v>14876</v>
      </c>
      <c r="I9963">
        <v>11190</v>
      </c>
      <c r="J9963" t="e">
        <f>VLOOKUP(E9963,DSSpieler!A:B,2,FALSE)</f>
        <v>#N/A</v>
      </c>
    </row>
    <row r="9964" spans="1:10" x14ac:dyDescent="0.25">
      <c r="A9964">
        <v>11192</v>
      </c>
      <c r="B9964" t="s">
        <v>531</v>
      </c>
      <c r="C9964">
        <v>506</v>
      </c>
      <c r="D9964">
        <v>398</v>
      </c>
      <c r="E9964">
        <v>0</v>
      </c>
      <c r="F9964">
        <v>677</v>
      </c>
      <c r="G9964">
        <v>0</v>
      </c>
      <c r="H9964" t="s">
        <v>14877</v>
      </c>
      <c r="I9964">
        <v>11192</v>
      </c>
      <c r="J9964" t="e">
        <f>VLOOKUP(E9964,DSSpieler!A:B,2,FALSE)</f>
        <v>#N/A</v>
      </c>
    </row>
    <row r="9965" spans="1:10" x14ac:dyDescent="0.25">
      <c r="A9965">
        <v>11193</v>
      </c>
      <c r="B9965" t="s">
        <v>30501</v>
      </c>
      <c r="C9965">
        <v>455</v>
      </c>
      <c r="D9965">
        <v>593</v>
      </c>
      <c r="E9965">
        <v>9607209</v>
      </c>
      <c r="F9965">
        <v>3842</v>
      </c>
      <c r="G9965">
        <v>0</v>
      </c>
      <c r="H9965" t="s">
        <v>14878</v>
      </c>
      <c r="I9965">
        <v>11193</v>
      </c>
      <c r="J9965" t="str">
        <f>VLOOKUP(E9965,DSSpieler!A:B,2,FALSE)</f>
        <v>Dregonheart</v>
      </c>
    </row>
    <row r="9966" spans="1:10" x14ac:dyDescent="0.25">
      <c r="A9966">
        <v>11194</v>
      </c>
      <c r="B9966" t="s">
        <v>531</v>
      </c>
      <c r="C9966">
        <v>483</v>
      </c>
      <c r="D9966">
        <v>601</v>
      </c>
      <c r="E9966">
        <v>0</v>
      </c>
      <c r="F9966">
        <v>295</v>
      </c>
      <c r="G9966">
        <v>0</v>
      </c>
      <c r="H9966" t="s">
        <v>14879</v>
      </c>
      <c r="I9966">
        <v>11194</v>
      </c>
      <c r="J9966" t="e">
        <f>VLOOKUP(E9966,DSSpieler!A:B,2,FALSE)</f>
        <v>#N/A</v>
      </c>
    </row>
    <row r="9967" spans="1:10" x14ac:dyDescent="0.25">
      <c r="A9967">
        <v>11195</v>
      </c>
      <c r="B9967" t="s">
        <v>1986</v>
      </c>
      <c r="C9967">
        <v>452</v>
      </c>
      <c r="D9967">
        <v>415</v>
      </c>
      <c r="E9967">
        <v>2202240</v>
      </c>
      <c r="F9967">
        <v>5827</v>
      </c>
      <c r="G9967">
        <v>0</v>
      </c>
      <c r="H9967" t="s">
        <v>14880</v>
      </c>
      <c r="I9967">
        <v>11195</v>
      </c>
      <c r="J9967" t="str">
        <f>VLOOKUP(E9967,DSSpieler!A:B,2,FALSE)</f>
        <v>König Madrid</v>
      </c>
    </row>
    <row r="9968" spans="1:10" x14ac:dyDescent="0.25">
      <c r="A9968">
        <v>11196</v>
      </c>
      <c r="B9968" t="s">
        <v>979</v>
      </c>
      <c r="C9968">
        <v>513</v>
      </c>
      <c r="D9968">
        <v>601</v>
      </c>
      <c r="E9968">
        <v>1576807787</v>
      </c>
      <c r="F9968">
        <v>7484</v>
      </c>
      <c r="G9968">
        <v>0</v>
      </c>
      <c r="H9968" t="s">
        <v>14881</v>
      </c>
      <c r="I9968">
        <v>11196</v>
      </c>
      <c r="J9968" t="str">
        <f>VLOOKUP(E9968,DSSpieler!A:B,2,FALSE)</f>
        <v>-TeaCup*</v>
      </c>
    </row>
    <row r="9969" spans="1:10" x14ac:dyDescent="0.25">
      <c r="A9969">
        <v>11197</v>
      </c>
      <c r="B9969" t="s">
        <v>2002</v>
      </c>
      <c r="C9969">
        <v>437</v>
      </c>
      <c r="D9969">
        <v>580</v>
      </c>
      <c r="E9969">
        <v>1577193698</v>
      </c>
      <c r="F9969">
        <v>3779</v>
      </c>
      <c r="G9969">
        <v>0</v>
      </c>
      <c r="H9969" t="s">
        <v>14882</v>
      </c>
      <c r="I9969">
        <v>11197</v>
      </c>
      <c r="J9969" t="str">
        <f>VLOOKUP(E9969,DSSpieler!A:B,2,FALSE)</f>
        <v>Max Mustermann</v>
      </c>
    </row>
    <row r="9970" spans="1:10" x14ac:dyDescent="0.25">
      <c r="A9970">
        <v>11198</v>
      </c>
      <c r="B9970" t="s">
        <v>531</v>
      </c>
      <c r="C9970">
        <v>478</v>
      </c>
      <c r="D9970">
        <v>600</v>
      </c>
      <c r="E9970">
        <v>0</v>
      </c>
      <c r="F9970">
        <v>435</v>
      </c>
      <c r="G9970">
        <v>0</v>
      </c>
      <c r="H9970" t="s">
        <v>14883</v>
      </c>
      <c r="I9970">
        <v>11198</v>
      </c>
      <c r="J9970" t="e">
        <f>VLOOKUP(E9970,DSSpieler!A:B,2,FALSE)</f>
        <v>#N/A</v>
      </c>
    </row>
    <row r="9971" spans="1:10" x14ac:dyDescent="0.25">
      <c r="A9971">
        <v>11199</v>
      </c>
      <c r="B9971" t="s">
        <v>531</v>
      </c>
      <c r="C9971">
        <v>539</v>
      </c>
      <c r="D9971">
        <v>595</v>
      </c>
      <c r="E9971">
        <v>0</v>
      </c>
      <c r="F9971">
        <v>382</v>
      </c>
      <c r="G9971">
        <v>0</v>
      </c>
      <c r="H9971" t="s">
        <v>14884</v>
      </c>
      <c r="I9971">
        <v>11199</v>
      </c>
      <c r="J9971" t="e">
        <f>VLOOKUP(E9971,DSSpieler!A:B,2,FALSE)</f>
        <v>#N/A</v>
      </c>
    </row>
    <row r="9972" spans="1:10" x14ac:dyDescent="0.25">
      <c r="A9972">
        <v>11200</v>
      </c>
      <c r="B9972" t="s">
        <v>531</v>
      </c>
      <c r="C9972">
        <v>590</v>
      </c>
      <c r="D9972">
        <v>548</v>
      </c>
      <c r="E9972">
        <v>0</v>
      </c>
      <c r="F9972">
        <v>202</v>
      </c>
      <c r="G9972">
        <v>0</v>
      </c>
      <c r="H9972" t="s">
        <v>14885</v>
      </c>
      <c r="I9972">
        <v>11200</v>
      </c>
      <c r="J9972" t="e">
        <f>VLOOKUP(E9972,DSSpieler!A:B,2,FALSE)</f>
        <v>#N/A</v>
      </c>
    </row>
    <row r="9973" spans="1:10" x14ac:dyDescent="0.25">
      <c r="A9973">
        <v>11201</v>
      </c>
      <c r="B9973" t="s">
        <v>1570</v>
      </c>
      <c r="C9973">
        <v>405</v>
      </c>
      <c r="D9973">
        <v>531</v>
      </c>
      <c r="E9973">
        <v>9806947</v>
      </c>
      <c r="F9973">
        <v>4913</v>
      </c>
      <c r="G9973">
        <v>0</v>
      </c>
      <c r="H9973" t="s">
        <v>14886</v>
      </c>
      <c r="I9973">
        <v>11201</v>
      </c>
      <c r="J9973" t="str">
        <f>VLOOKUP(E9973,DSSpieler!A:B,2,FALSE)</f>
        <v>TTinglE</v>
      </c>
    </row>
    <row r="9974" spans="1:10" x14ac:dyDescent="0.25">
      <c r="A9974">
        <v>11202</v>
      </c>
      <c r="B9974" t="s">
        <v>531</v>
      </c>
      <c r="C9974">
        <v>601</v>
      </c>
      <c r="D9974">
        <v>527</v>
      </c>
      <c r="E9974">
        <v>0</v>
      </c>
      <c r="F9974">
        <v>281</v>
      </c>
      <c r="G9974">
        <v>0</v>
      </c>
      <c r="H9974" t="s">
        <v>14887</v>
      </c>
      <c r="I9974">
        <v>11202</v>
      </c>
      <c r="J9974" t="e">
        <f>VLOOKUP(E9974,DSSpieler!A:B,2,FALSE)</f>
        <v>#N/A</v>
      </c>
    </row>
    <row r="9975" spans="1:10" x14ac:dyDescent="0.25">
      <c r="A9975">
        <v>11204</v>
      </c>
      <c r="B9975" t="s">
        <v>31024</v>
      </c>
      <c r="C9975">
        <v>439</v>
      </c>
      <c r="D9975">
        <v>580</v>
      </c>
      <c r="E9975">
        <v>1576813699</v>
      </c>
      <c r="F9975">
        <v>4354</v>
      </c>
      <c r="G9975">
        <v>0</v>
      </c>
      <c r="H9975" t="s">
        <v>14888</v>
      </c>
      <c r="I9975">
        <v>11204</v>
      </c>
      <c r="J9975" t="str">
        <f>VLOOKUP(E9975,DSSpieler!A:B,2,FALSE)</f>
        <v>El Nefes</v>
      </c>
    </row>
    <row r="9976" spans="1:10" x14ac:dyDescent="0.25">
      <c r="A9976">
        <v>11205</v>
      </c>
      <c r="B9976" t="s">
        <v>531</v>
      </c>
      <c r="C9976">
        <v>408</v>
      </c>
      <c r="D9976">
        <v>548</v>
      </c>
      <c r="E9976">
        <v>0</v>
      </c>
      <c r="F9976">
        <v>266</v>
      </c>
      <c r="G9976">
        <v>0</v>
      </c>
      <c r="H9976" t="s">
        <v>14889</v>
      </c>
      <c r="I9976">
        <v>11205</v>
      </c>
      <c r="J9976" t="e">
        <f>VLOOKUP(E9976,DSSpieler!A:B,2,FALSE)</f>
        <v>#N/A</v>
      </c>
    </row>
    <row r="9977" spans="1:10" x14ac:dyDescent="0.25">
      <c r="A9977">
        <v>11206</v>
      </c>
      <c r="B9977" t="s">
        <v>531</v>
      </c>
      <c r="C9977">
        <v>397</v>
      </c>
      <c r="D9977">
        <v>477</v>
      </c>
      <c r="E9977">
        <v>0</v>
      </c>
      <c r="F9977">
        <v>270</v>
      </c>
      <c r="G9977">
        <v>0</v>
      </c>
      <c r="H9977" t="s">
        <v>14890</v>
      </c>
      <c r="I9977">
        <v>11206</v>
      </c>
      <c r="J9977" t="e">
        <f>VLOOKUP(E9977,DSSpieler!A:B,2,FALSE)</f>
        <v>#N/A</v>
      </c>
    </row>
    <row r="9978" spans="1:10" x14ac:dyDescent="0.25">
      <c r="A9978">
        <v>11207</v>
      </c>
      <c r="B9978" t="s">
        <v>34100</v>
      </c>
      <c r="C9978">
        <v>493</v>
      </c>
      <c r="D9978">
        <v>607</v>
      </c>
      <c r="E9978">
        <v>3210799</v>
      </c>
      <c r="F9978">
        <v>4325</v>
      </c>
      <c r="G9978">
        <v>0</v>
      </c>
      <c r="H9978" t="s">
        <v>14891</v>
      </c>
      <c r="I9978">
        <v>11207</v>
      </c>
      <c r="J9978" t="str">
        <f>VLOOKUP(E9978,DSSpieler!A:B,2,FALSE)</f>
        <v>fekiks</v>
      </c>
    </row>
    <row r="9979" spans="1:10" x14ac:dyDescent="0.25">
      <c r="A9979">
        <v>11208</v>
      </c>
      <c r="B9979">
        <v>1</v>
      </c>
      <c r="C9979">
        <v>423</v>
      </c>
      <c r="D9979">
        <v>559</v>
      </c>
      <c r="E9979">
        <v>1576972309</v>
      </c>
      <c r="F9979">
        <v>6943</v>
      </c>
      <c r="G9979">
        <v>0</v>
      </c>
      <c r="H9979" t="s">
        <v>14892</v>
      </c>
      <c r="I9979">
        <v>11208</v>
      </c>
      <c r="J9979" t="str">
        <f>VLOOKUP(E9979,DSSpieler!A:B,2,FALSE)</f>
        <v>xsyx</v>
      </c>
    </row>
    <row r="9980" spans="1:10" x14ac:dyDescent="0.25">
      <c r="A9980">
        <v>11209</v>
      </c>
      <c r="B9980" t="s">
        <v>531</v>
      </c>
      <c r="C9980">
        <v>395</v>
      </c>
      <c r="D9980">
        <v>511</v>
      </c>
      <c r="E9980">
        <v>0</v>
      </c>
      <c r="F9980">
        <v>179</v>
      </c>
      <c r="G9980">
        <v>0</v>
      </c>
      <c r="H9980" t="s">
        <v>14893</v>
      </c>
      <c r="I9980">
        <v>11209</v>
      </c>
      <c r="J9980" t="e">
        <f>VLOOKUP(E9980,DSSpieler!A:B,2,FALSE)</f>
        <v>#N/A</v>
      </c>
    </row>
    <row r="9981" spans="1:10" x14ac:dyDescent="0.25">
      <c r="A9981">
        <v>11210</v>
      </c>
      <c r="B9981" t="s">
        <v>34101</v>
      </c>
      <c r="C9981">
        <v>427</v>
      </c>
      <c r="D9981">
        <v>575</v>
      </c>
      <c r="E9981">
        <v>1576978438</v>
      </c>
      <c r="F9981">
        <v>5876</v>
      </c>
      <c r="G9981">
        <v>0</v>
      </c>
      <c r="H9981" t="s">
        <v>14894</v>
      </c>
      <c r="I9981">
        <v>11210</v>
      </c>
      <c r="J9981" t="str">
        <f>VLOOKUP(E9981,DSSpieler!A:B,2,FALSE)</f>
        <v>RubelDieKatz</v>
      </c>
    </row>
    <row r="9982" spans="1:10" x14ac:dyDescent="0.25">
      <c r="A9982">
        <v>11211</v>
      </c>
      <c r="B9982" t="s">
        <v>531</v>
      </c>
      <c r="C9982">
        <v>610</v>
      </c>
      <c r="D9982">
        <v>519</v>
      </c>
      <c r="E9982">
        <v>0</v>
      </c>
      <c r="F9982">
        <v>890</v>
      </c>
      <c r="G9982">
        <v>0</v>
      </c>
      <c r="H9982" t="s">
        <v>14895</v>
      </c>
      <c r="I9982">
        <v>11211</v>
      </c>
      <c r="J9982" t="e">
        <f>VLOOKUP(E9982,DSSpieler!A:B,2,FALSE)</f>
        <v>#N/A</v>
      </c>
    </row>
    <row r="9983" spans="1:10" x14ac:dyDescent="0.25">
      <c r="A9983">
        <v>11212</v>
      </c>
      <c r="B9983" t="s">
        <v>531</v>
      </c>
      <c r="C9983">
        <v>491</v>
      </c>
      <c r="D9983">
        <v>396</v>
      </c>
      <c r="E9983">
        <v>0</v>
      </c>
      <c r="F9983">
        <v>217</v>
      </c>
      <c r="G9983">
        <v>0</v>
      </c>
      <c r="H9983" t="s">
        <v>14896</v>
      </c>
      <c r="I9983">
        <v>11212</v>
      </c>
      <c r="J9983" t="e">
        <f>VLOOKUP(E9983,DSSpieler!A:B,2,FALSE)</f>
        <v>#N/A</v>
      </c>
    </row>
    <row r="9984" spans="1:10" x14ac:dyDescent="0.25">
      <c r="A9984">
        <v>11213</v>
      </c>
      <c r="B9984" t="s">
        <v>531</v>
      </c>
      <c r="C9984">
        <v>429</v>
      </c>
      <c r="D9984">
        <v>423</v>
      </c>
      <c r="E9984">
        <v>0</v>
      </c>
      <c r="F9984">
        <v>817</v>
      </c>
      <c r="G9984">
        <v>0</v>
      </c>
      <c r="H9984" t="s">
        <v>14897</v>
      </c>
      <c r="I9984">
        <v>11213</v>
      </c>
      <c r="J9984" t="e">
        <f>VLOOKUP(E9984,DSSpieler!A:B,2,FALSE)</f>
        <v>#N/A</v>
      </c>
    </row>
    <row r="9985" spans="1:10" x14ac:dyDescent="0.25">
      <c r="A9985">
        <v>11214</v>
      </c>
      <c r="B9985" t="s">
        <v>531</v>
      </c>
      <c r="C9985">
        <v>603</v>
      </c>
      <c r="D9985">
        <v>490</v>
      </c>
      <c r="E9985">
        <v>0</v>
      </c>
      <c r="F9985">
        <v>235</v>
      </c>
      <c r="G9985">
        <v>0</v>
      </c>
      <c r="H9985" t="s">
        <v>14898</v>
      </c>
      <c r="I9985">
        <v>11214</v>
      </c>
      <c r="J9985" t="e">
        <f>VLOOKUP(E9985,DSSpieler!A:B,2,FALSE)</f>
        <v>#N/A</v>
      </c>
    </row>
    <row r="9986" spans="1:10" x14ac:dyDescent="0.25">
      <c r="A9986">
        <v>11215</v>
      </c>
      <c r="B9986" t="s">
        <v>2003</v>
      </c>
      <c r="C9986">
        <v>551</v>
      </c>
      <c r="D9986">
        <v>447</v>
      </c>
      <c r="E9986">
        <v>1576994611</v>
      </c>
      <c r="F9986">
        <v>1113</v>
      </c>
      <c r="G9986">
        <v>0</v>
      </c>
      <c r="H9986" t="s">
        <v>14899</v>
      </c>
      <c r="I9986">
        <v>11215</v>
      </c>
      <c r="J9986" t="str">
        <f>VLOOKUP(E9986,DSSpieler!A:B,2,FALSE)</f>
        <v>derdorftoeter</v>
      </c>
    </row>
    <row r="9987" spans="1:10" x14ac:dyDescent="0.25">
      <c r="A9987">
        <v>11216</v>
      </c>
      <c r="B9987" t="s">
        <v>2004</v>
      </c>
      <c r="C9987">
        <v>608</v>
      </c>
      <c r="D9987">
        <v>526</v>
      </c>
      <c r="E9987">
        <v>1577198969</v>
      </c>
      <c r="F9987">
        <v>2504</v>
      </c>
      <c r="G9987">
        <v>0</v>
      </c>
      <c r="H9987" t="s">
        <v>14900</v>
      </c>
      <c r="I9987">
        <v>11216</v>
      </c>
      <c r="J9987" t="str">
        <f>VLOOKUP(E9987,DSSpieler!A:B,2,FALSE)</f>
        <v>Klearn</v>
      </c>
    </row>
    <row r="9988" spans="1:10" x14ac:dyDescent="0.25">
      <c r="A9988">
        <v>11217</v>
      </c>
      <c r="B9988" t="s">
        <v>34102</v>
      </c>
      <c r="C9988">
        <v>399</v>
      </c>
      <c r="D9988">
        <v>536</v>
      </c>
      <c r="E9988">
        <v>10182810</v>
      </c>
      <c r="F9988">
        <v>6402</v>
      </c>
      <c r="G9988">
        <v>0</v>
      </c>
      <c r="H9988" t="s">
        <v>14901</v>
      </c>
      <c r="I9988">
        <v>11217</v>
      </c>
      <c r="J9988" t="str">
        <f>VLOOKUP(E9988,DSSpieler!A:B,2,FALSE)</f>
        <v>frechplayer</v>
      </c>
    </row>
    <row r="9989" spans="1:10" x14ac:dyDescent="0.25">
      <c r="A9989">
        <v>11218</v>
      </c>
      <c r="B9989" t="s">
        <v>531</v>
      </c>
      <c r="C9989">
        <v>581</v>
      </c>
      <c r="D9989">
        <v>544</v>
      </c>
      <c r="E9989">
        <v>0</v>
      </c>
      <c r="F9989">
        <v>741</v>
      </c>
      <c r="G9989">
        <v>0</v>
      </c>
      <c r="H9989" t="s">
        <v>14902</v>
      </c>
      <c r="I9989">
        <v>11218</v>
      </c>
      <c r="J9989" t="e">
        <f>VLOOKUP(E9989,DSSpieler!A:B,2,FALSE)</f>
        <v>#N/A</v>
      </c>
    </row>
    <row r="9990" spans="1:10" x14ac:dyDescent="0.25">
      <c r="A9990">
        <v>11219</v>
      </c>
      <c r="B9990" t="s">
        <v>2005</v>
      </c>
      <c r="C9990">
        <v>421</v>
      </c>
      <c r="D9990">
        <v>565</v>
      </c>
      <c r="E9990">
        <v>1577181383</v>
      </c>
      <c r="F9990">
        <v>3382</v>
      </c>
      <c r="G9990">
        <v>0</v>
      </c>
      <c r="H9990" t="s">
        <v>14903</v>
      </c>
      <c r="I9990">
        <v>11219</v>
      </c>
      <c r="J9990" t="str">
        <f>VLOOKUP(E9990,DSSpieler!A:B,2,FALSE)</f>
        <v>lakipom</v>
      </c>
    </row>
    <row r="9991" spans="1:10" x14ac:dyDescent="0.25">
      <c r="A9991">
        <v>11220</v>
      </c>
      <c r="B9991" t="s">
        <v>1801</v>
      </c>
      <c r="C9991">
        <v>448</v>
      </c>
      <c r="D9991">
        <v>577</v>
      </c>
      <c r="E9991">
        <v>1575844777</v>
      </c>
      <c r="F9991">
        <v>5993</v>
      </c>
      <c r="G9991">
        <v>0</v>
      </c>
      <c r="H9991" t="s">
        <v>14904</v>
      </c>
      <c r="I9991">
        <v>11220</v>
      </c>
      <c r="J9991" t="str">
        <f>VLOOKUP(E9991,DSSpieler!A:B,2,FALSE)</f>
        <v>TaKeItEaSy</v>
      </c>
    </row>
    <row r="9992" spans="1:10" x14ac:dyDescent="0.25">
      <c r="A9992">
        <v>11221</v>
      </c>
      <c r="B9992" t="s">
        <v>531</v>
      </c>
      <c r="C9992">
        <v>433</v>
      </c>
      <c r="D9992">
        <v>575</v>
      </c>
      <c r="E9992">
        <v>0</v>
      </c>
      <c r="F9992">
        <v>785</v>
      </c>
      <c r="G9992">
        <v>0</v>
      </c>
      <c r="H9992" t="s">
        <v>14905</v>
      </c>
      <c r="I9992">
        <v>11221</v>
      </c>
      <c r="J9992" t="e">
        <f>VLOOKUP(E9992,DSSpieler!A:B,2,FALSE)</f>
        <v>#N/A</v>
      </c>
    </row>
    <row r="9993" spans="1:10" x14ac:dyDescent="0.25">
      <c r="A9993">
        <v>11222</v>
      </c>
      <c r="B9993" t="s">
        <v>34103</v>
      </c>
      <c r="C9993">
        <v>541</v>
      </c>
      <c r="D9993">
        <v>596</v>
      </c>
      <c r="E9993">
        <v>10088272</v>
      </c>
      <c r="F9993">
        <v>5361</v>
      </c>
      <c r="G9993">
        <v>0</v>
      </c>
      <c r="H9993" t="s">
        <v>14906</v>
      </c>
      <c r="I9993">
        <v>11222</v>
      </c>
      <c r="J9993" t="str">
        <f>VLOOKUP(E9993,DSSpieler!A:B,2,FALSE)</f>
        <v>nycros1</v>
      </c>
    </row>
    <row r="9994" spans="1:10" x14ac:dyDescent="0.25">
      <c r="A9994">
        <v>11223</v>
      </c>
      <c r="B9994" t="s">
        <v>34104</v>
      </c>
      <c r="C9994">
        <v>418</v>
      </c>
      <c r="D9994">
        <v>563</v>
      </c>
      <c r="E9994">
        <v>9738896</v>
      </c>
      <c r="F9994">
        <v>3492</v>
      </c>
      <c r="G9994">
        <v>0</v>
      </c>
      <c r="H9994" t="s">
        <v>14907</v>
      </c>
      <c r="I9994">
        <v>11223</v>
      </c>
      <c r="J9994" t="str">
        <f>VLOOKUP(E9994,DSSpieler!A:B,2,FALSE)</f>
        <v>TomTom7777777</v>
      </c>
    </row>
    <row r="9995" spans="1:10" x14ac:dyDescent="0.25">
      <c r="A9995">
        <v>11224</v>
      </c>
      <c r="B9995" t="s">
        <v>531</v>
      </c>
      <c r="C9995">
        <v>568</v>
      </c>
      <c r="D9995">
        <v>580</v>
      </c>
      <c r="E9995">
        <v>0</v>
      </c>
      <c r="F9995">
        <v>434</v>
      </c>
      <c r="G9995">
        <v>0</v>
      </c>
      <c r="H9995" t="s">
        <v>14908</v>
      </c>
      <c r="I9995">
        <v>11224</v>
      </c>
      <c r="J9995" t="e">
        <f>VLOOKUP(E9995,DSSpieler!A:B,2,FALSE)</f>
        <v>#N/A</v>
      </c>
    </row>
    <row r="9996" spans="1:10" x14ac:dyDescent="0.25">
      <c r="A9996">
        <v>11225</v>
      </c>
      <c r="B9996" t="s">
        <v>34105</v>
      </c>
      <c r="C9996">
        <v>598</v>
      </c>
      <c r="D9996">
        <v>462</v>
      </c>
      <c r="E9996">
        <v>1577077787</v>
      </c>
      <c r="F9996">
        <v>1819</v>
      </c>
      <c r="G9996">
        <v>0</v>
      </c>
      <c r="H9996" t="s">
        <v>14909</v>
      </c>
      <c r="I9996">
        <v>11225</v>
      </c>
      <c r="J9996" t="str">
        <f>VLOOKUP(E9996,DSSpieler!A:B,2,FALSE)</f>
        <v>Kinorushi12</v>
      </c>
    </row>
    <row r="9997" spans="1:10" x14ac:dyDescent="0.25">
      <c r="A9997">
        <v>11226</v>
      </c>
      <c r="B9997" t="s">
        <v>34106</v>
      </c>
      <c r="C9997">
        <v>599</v>
      </c>
      <c r="D9997">
        <v>471</v>
      </c>
      <c r="E9997">
        <v>1577184884</v>
      </c>
      <c r="F9997">
        <v>3074</v>
      </c>
      <c r="G9997">
        <v>0</v>
      </c>
      <c r="H9997" t="s">
        <v>14910</v>
      </c>
      <c r="I9997">
        <v>11226</v>
      </c>
      <c r="J9997" t="str">
        <f>VLOOKUP(E9997,DSSpieler!A:B,2,FALSE)</f>
        <v>Aggadonis</v>
      </c>
    </row>
    <row r="9998" spans="1:10" x14ac:dyDescent="0.25">
      <c r="A9998">
        <v>11227</v>
      </c>
      <c r="B9998" t="s">
        <v>34107</v>
      </c>
      <c r="C9998">
        <v>426</v>
      </c>
      <c r="D9998">
        <v>566</v>
      </c>
      <c r="E9998">
        <v>9277954</v>
      </c>
      <c r="F9998">
        <v>6245</v>
      </c>
      <c r="G9998">
        <v>0</v>
      </c>
      <c r="H9998" t="s">
        <v>14911</v>
      </c>
      <c r="I9998">
        <v>11227</v>
      </c>
      <c r="J9998" t="str">
        <f>VLOOKUP(E9998,DSSpieler!A:B,2,FALSE)</f>
        <v>ochsee</v>
      </c>
    </row>
    <row r="9999" spans="1:10" x14ac:dyDescent="0.25">
      <c r="A9999">
        <v>11228</v>
      </c>
      <c r="B9999" t="s">
        <v>531</v>
      </c>
      <c r="C9999">
        <v>574</v>
      </c>
      <c r="D9999">
        <v>426</v>
      </c>
      <c r="E9999">
        <v>0</v>
      </c>
      <c r="F9999">
        <v>470</v>
      </c>
      <c r="G9999">
        <v>0</v>
      </c>
      <c r="H9999" t="s">
        <v>14912</v>
      </c>
      <c r="I9999">
        <v>11228</v>
      </c>
      <c r="J9999" t="e">
        <f>VLOOKUP(E9999,DSSpieler!A:B,2,FALSE)</f>
        <v>#N/A</v>
      </c>
    </row>
    <row r="10000" spans="1:10" x14ac:dyDescent="0.25">
      <c r="A10000">
        <v>11229</v>
      </c>
      <c r="B10000" t="s">
        <v>34108</v>
      </c>
      <c r="C10000">
        <v>427</v>
      </c>
      <c r="D10000">
        <v>553</v>
      </c>
      <c r="E10000">
        <v>1577174979</v>
      </c>
      <c r="F10000">
        <v>6191</v>
      </c>
      <c r="G10000">
        <v>0</v>
      </c>
      <c r="H10000" t="s">
        <v>14913</v>
      </c>
      <c r="I10000">
        <v>11229</v>
      </c>
      <c r="J10000" t="str">
        <f>VLOOKUP(E10000,DSSpieler!A:B,2,FALSE)</f>
        <v>Azeroth</v>
      </c>
    </row>
    <row r="10001" spans="1:10" x14ac:dyDescent="0.25">
      <c r="A10001">
        <v>11230</v>
      </c>
      <c r="B10001" t="s">
        <v>34109</v>
      </c>
      <c r="C10001">
        <v>435</v>
      </c>
      <c r="D10001">
        <v>575</v>
      </c>
      <c r="E10001">
        <v>1577136017</v>
      </c>
      <c r="F10001">
        <v>5562</v>
      </c>
      <c r="G10001">
        <v>0</v>
      </c>
      <c r="H10001" t="s">
        <v>14914</v>
      </c>
      <c r="I10001">
        <v>11230</v>
      </c>
      <c r="J10001" t="str">
        <f>VLOOKUP(E10001,DSSpieler!A:B,2,FALSE)</f>
        <v>Wallbraker</v>
      </c>
    </row>
    <row r="10002" spans="1:10" x14ac:dyDescent="0.25">
      <c r="A10002">
        <v>11231</v>
      </c>
      <c r="B10002" t="s">
        <v>2006</v>
      </c>
      <c r="C10002">
        <v>539</v>
      </c>
      <c r="D10002">
        <v>597</v>
      </c>
      <c r="E10002">
        <v>1576818468</v>
      </c>
      <c r="F10002">
        <v>2266</v>
      </c>
      <c r="G10002">
        <v>0</v>
      </c>
      <c r="H10002" t="s">
        <v>14915</v>
      </c>
      <c r="I10002">
        <v>11231</v>
      </c>
      <c r="J10002" t="str">
        <f>VLOOKUP(E10002,DSSpieler!A:B,2,FALSE)</f>
        <v>Bahlin</v>
      </c>
    </row>
    <row r="10003" spans="1:10" x14ac:dyDescent="0.25">
      <c r="A10003">
        <v>11232</v>
      </c>
      <c r="B10003" t="s">
        <v>34110</v>
      </c>
      <c r="C10003">
        <v>428</v>
      </c>
      <c r="D10003">
        <v>576</v>
      </c>
      <c r="E10003">
        <v>1576754527</v>
      </c>
      <c r="F10003">
        <v>5076</v>
      </c>
      <c r="G10003">
        <v>0</v>
      </c>
      <c r="H10003" t="s">
        <v>14916</v>
      </c>
      <c r="I10003">
        <v>11232</v>
      </c>
      <c r="J10003" t="str">
        <f>VLOOKUP(E10003,DSSpieler!A:B,2,FALSE)</f>
        <v>Karax</v>
      </c>
    </row>
    <row r="10004" spans="1:10" x14ac:dyDescent="0.25">
      <c r="A10004">
        <v>11233</v>
      </c>
      <c r="B10004" t="s">
        <v>34111</v>
      </c>
      <c r="C10004">
        <v>521</v>
      </c>
      <c r="D10004">
        <v>397</v>
      </c>
      <c r="E10004">
        <v>636573</v>
      </c>
      <c r="F10004">
        <v>151</v>
      </c>
      <c r="G10004">
        <v>0</v>
      </c>
      <c r="H10004" t="s">
        <v>14917</v>
      </c>
      <c r="I10004">
        <v>11233</v>
      </c>
      <c r="J10004" t="str">
        <f>VLOOKUP(E10004,DSSpieler!A:B,2,FALSE)</f>
        <v>zicke07</v>
      </c>
    </row>
    <row r="10005" spans="1:10" x14ac:dyDescent="0.25">
      <c r="A10005">
        <v>11234</v>
      </c>
      <c r="B10005" t="s">
        <v>34112</v>
      </c>
      <c r="C10005">
        <v>442</v>
      </c>
      <c r="D10005">
        <v>408</v>
      </c>
      <c r="E10005">
        <v>1260323</v>
      </c>
      <c r="F10005">
        <v>4468</v>
      </c>
      <c r="G10005">
        <v>0</v>
      </c>
      <c r="H10005" t="s">
        <v>14918</v>
      </c>
      <c r="I10005">
        <v>11234</v>
      </c>
      <c r="J10005" t="str">
        <f>VLOOKUP(E10005,DSSpieler!A:B,2,FALSE)</f>
        <v>Linessa</v>
      </c>
    </row>
    <row r="10006" spans="1:10" x14ac:dyDescent="0.25">
      <c r="A10006">
        <v>11235</v>
      </c>
      <c r="B10006" t="s">
        <v>34113</v>
      </c>
      <c r="C10006">
        <v>415</v>
      </c>
      <c r="D10006">
        <v>441</v>
      </c>
      <c r="E10006">
        <v>470602</v>
      </c>
      <c r="F10006">
        <v>4808</v>
      </c>
      <c r="G10006">
        <v>0</v>
      </c>
      <c r="H10006" t="s">
        <v>14919</v>
      </c>
      <c r="I10006">
        <v>11235</v>
      </c>
      <c r="J10006" t="str">
        <f>VLOOKUP(E10006,DSSpieler!A:B,2,FALSE)</f>
        <v>Hlevagast</v>
      </c>
    </row>
    <row r="10007" spans="1:10" x14ac:dyDescent="0.25">
      <c r="A10007">
        <v>11236</v>
      </c>
      <c r="B10007" t="s">
        <v>531</v>
      </c>
      <c r="C10007">
        <v>601</v>
      </c>
      <c r="D10007">
        <v>528</v>
      </c>
      <c r="E10007">
        <v>0</v>
      </c>
      <c r="F10007">
        <v>334</v>
      </c>
      <c r="G10007">
        <v>0</v>
      </c>
      <c r="H10007" t="s">
        <v>14920</v>
      </c>
      <c r="I10007">
        <v>11236</v>
      </c>
      <c r="J10007" t="e">
        <f>VLOOKUP(E10007,DSSpieler!A:B,2,FALSE)</f>
        <v>#N/A</v>
      </c>
    </row>
    <row r="10008" spans="1:10" x14ac:dyDescent="0.25">
      <c r="A10008">
        <v>11237</v>
      </c>
      <c r="B10008" t="s">
        <v>34114</v>
      </c>
      <c r="C10008">
        <v>425</v>
      </c>
      <c r="D10008">
        <v>558</v>
      </c>
      <c r="E10008">
        <v>1576339154</v>
      </c>
      <c r="F10008">
        <v>4781</v>
      </c>
      <c r="G10008">
        <v>0</v>
      </c>
      <c r="H10008" t="s">
        <v>14921</v>
      </c>
      <c r="I10008">
        <v>11237</v>
      </c>
      <c r="J10008" t="str">
        <f>VLOOKUP(E10008,DSSpieler!A:B,2,FALSE)</f>
        <v>-V Sky*</v>
      </c>
    </row>
    <row r="10009" spans="1:10" x14ac:dyDescent="0.25">
      <c r="A10009">
        <v>11238</v>
      </c>
      <c r="B10009" t="s">
        <v>34115</v>
      </c>
      <c r="C10009">
        <v>431</v>
      </c>
      <c r="D10009">
        <v>420</v>
      </c>
      <c r="E10009">
        <v>1577192950</v>
      </c>
      <c r="F10009">
        <v>4441</v>
      </c>
      <c r="G10009">
        <v>0</v>
      </c>
      <c r="H10009" t="s">
        <v>14922</v>
      </c>
      <c r="I10009">
        <v>11238</v>
      </c>
      <c r="J10009" t="str">
        <f>VLOOKUP(E10009,DSSpieler!A:B,2,FALSE)</f>
        <v>Dr4m4</v>
      </c>
    </row>
    <row r="10010" spans="1:10" x14ac:dyDescent="0.25">
      <c r="A10010">
        <v>11239</v>
      </c>
      <c r="B10010" t="s">
        <v>1090</v>
      </c>
      <c r="C10010">
        <v>602</v>
      </c>
      <c r="D10010">
        <v>498</v>
      </c>
      <c r="E10010">
        <v>1577198730</v>
      </c>
      <c r="F10010">
        <v>5237</v>
      </c>
      <c r="G10010">
        <v>0</v>
      </c>
      <c r="H10010" t="s">
        <v>14923</v>
      </c>
      <c r="I10010">
        <v>11239</v>
      </c>
      <c r="J10010" t="str">
        <f>VLOOKUP(E10010,DSSpieler!A:B,2,FALSE)</f>
        <v>boombot94</v>
      </c>
    </row>
    <row r="10011" spans="1:10" x14ac:dyDescent="0.25">
      <c r="A10011">
        <v>11240</v>
      </c>
      <c r="B10011" t="s">
        <v>34116</v>
      </c>
      <c r="C10011">
        <v>431</v>
      </c>
      <c r="D10011">
        <v>573</v>
      </c>
      <c r="E10011">
        <v>1576754527</v>
      </c>
      <c r="F10011">
        <v>5454</v>
      </c>
      <c r="G10011">
        <v>0</v>
      </c>
      <c r="H10011" t="s">
        <v>14924</v>
      </c>
      <c r="I10011">
        <v>11240</v>
      </c>
      <c r="J10011" t="str">
        <f>VLOOKUP(E10011,DSSpieler!A:B,2,FALSE)</f>
        <v>Karax</v>
      </c>
    </row>
    <row r="10012" spans="1:10" x14ac:dyDescent="0.25">
      <c r="A10012">
        <v>11241</v>
      </c>
      <c r="B10012">
        <v>6</v>
      </c>
      <c r="C10012">
        <v>426</v>
      </c>
      <c r="D10012">
        <v>558</v>
      </c>
      <c r="E10012">
        <v>1576972309</v>
      </c>
      <c r="F10012">
        <v>4267</v>
      </c>
      <c r="G10012">
        <v>0</v>
      </c>
      <c r="H10012" t="s">
        <v>14925</v>
      </c>
      <c r="I10012">
        <v>11241</v>
      </c>
      <c r="J10012" t="str">
        <f>VLOOKUP(E10012,DSSpieler!A:B,2,FALSE)</f>
        <v>xsyx</v>
      </c>
    </row>
    <row r="10013" spans="1:10" x14ac:dyDescent="0.25">
      <c r="A10013">
        <v>11242</v>
      </c>
      <c r="B10013" t="s">
        <v>2007</v>
      </c>
      <c r="C10013">
        <v>604</v>
      </c>
      <c r="D10013">
        <v>490</v>
      </c>
      <c r="E10013">
        <v>1576818090</v>
      </c>
      <c r="F10013">
        <v>5764</v>
      </c>
      <c r="G10013">
        <v>0</v>
      </c>
      <c r="H10013" t="s">
        <v>14926</v>
      </c>
      <c r="I10013">
        <v>11242</v>
      </c>
      <c r="J10013" t="str">
        <f>VLOOKUP(E10013,DSSpieler!A:B,2,FALSE)</f>
        <v>The DarkWolf Returns</v>
      </c>
    </row>
    <row r="10014" spans="1:10" x14ac:dyDescent="0.25">
      <c r="A10014">
        <v>11243</v>
      </c>
      <c r="B10014" t="s">
        <v>34117</v>
      </c>
      <c r="C10014">
        <v>421</v>
      </c>
      <c r="D10014">
        <v>563</v>
      </c>
      <c r="E10014">
        <v>8251401</v>
      </c>
      <c r="F10014">
        <v>5185</v>
      </c>
      <c r="G10014">
        <v>0</v>
      </c>
      <c r="H10014" t="s">
        <v>14927</v>
      </c>
      <c r="I10014">
        <v>11243</v>
      </c>
      <c r="J10014" t="str">
        <f>VLOOKUP(E10014,DSSpieler!A:B,2,FALSE)</f>
        <v>Caprylic</v>
      </c>
    </row>
    <row r="10015" spans="1:10" x14ac:dyDescent="0.25">
      <c r="A10015">
        <v>11244</v>
      </c>
      <c r="B10015" t="s">
        <v>34118</v>
      </c>
      <c r="C10015">
        <v>564</v>
      </c>
      <c r="D10015">
        <v>417</v>
      </c>
      <c r="E10015">
        <v>2692887</v>
      </c>
      <c r="F10015">
        <v>5935</v>
      </c>
      <c r="G10015">
        <v>0</v>
      </c>
      <c r="H10015" t="s">
        <v>14928</v>
      </c>
      <c r="I10015">
        <v>11244</v>
      </c>
      <c r="J10015" t="str">
        <f>VLOOKUP(E10015,DSSpieler!A:B,2,FALSE)</f>
        <v>DerStaubtöter</v>
      </c>
    </row>
    <row r="10016" spans="1:10" x14ac:dyDescent="0.25">
      <c r="A10016">
        <v>11246</v>
      </c>
      <c r="B10016" t="s">
        <v>531</v>
      </c>
      <c r="C10016">
        <v>580</v>
      </c>
      <c r="D10016">
        <v>566</v>
      </c>
      <c r="E10016">
        <v>0</v>
      </c>
      <c r="F10016">
        <v>305</v>
      </c>
      <c r="G10016">
        <v>0</v>
      </c>
      <c r="H10016" t="s">
        <v>14929</v>
      </c>
      <c r="I10016">
        <v>11246</v>
      </c>
      <c r="J10016" t="e">
        <f>VLOOKUP(E10016,DSSpieler!A:B,2,FALSE)</f>
        <v>#N/A</v>
      </c>
    </row>
    <row r="10017" spans="1:10" x14ac:dyDescent="0.25">
      <c r="A10017">
        <v>11247</v>
      </c>
      <c r="B10017" t="s">
        <v>31800</v>
      </c>
      <c r="C10017">
        <v>436</v>
      </c>
      <c r="D10017">
        <v>576</v>
      </c>
      <c r="E10017">
        <v>1577068141</v>
      </c>
      <c r="F10017">
        <v>3992</v>
      </c>
      <c r="G10017">
        <v>0</v>
      </c>
      <c r="H10017" t="s">
        <v>14930</v>
      </c>
      <c r="I10017">
        <v>11247</v>
      </c>
      <c r="J10017" t="str">
        <f>VLOOKUP(E10017,DSSpieler!A:B,2,FALSE)</f>
        <v>Test007</v>
      </c>
    </row>
    <row r="10018" spans="1:10" x14ac:dyDescent="0.25">
      <c r="A10018">
        <v>11249</v>
      </c>
      <c r="B10018" t="s">
        <v>32285</v>
      </c>
      <c r="C10018">
        <v>431</v>
      </c>
      <c r="D10018">
        <v>580</v>
      </c>
      <c r="E10018">
        <v>1577096184</v>
      </c>
      <c r="F10018">
        <v>4565</v>
      </c>
      <c r="G10018">
        <v>0</v>
      </c>
      <c r="H10018" t="s">
        <v>14931</v>
      </c>
      <c r="I10018">
        <v>11249</v>
      </c>
      <c r="J10018" t="str">
        <f>VLOOKUP(E10018,DSSpieler!A:B,2,FALSE)</f>
        <v>Carsten Maschmeyer</v>
      </c>
    </row>
    <row r="10019" spans="1:10" x14ac:dyDescent="0.25">
      <c r="A10019">
        <v>11250</v>
      </c>
      <c r="B10019" t="s">
        <v>531</v>
      </c>
      <c r="C10019">
        <v>456</v>
      </c>
      <c r="D10019">
        <v>596</v>
      </c>
      <c r="E10019">
        <v>0</v>
      </c>
      <c r="F10019">
        <v>305</v>
      </c>
      <c r="G10019">
        <v>0</v>
      </c>
      <c r="H10019" t="s">
        <v>14932</v>
      </c>
      <c r="I10019">
        <v>11250</v>
      </c>
      <c r="J10019" t="e">
        <f>VLOOKUP(E10019,DSSpieler!A:B,2,FALSE)</f>
        <v>#N/A</v>
      </c>
    </row>
    <row r="10020" spans="1:10" x14ac:dyDescent="0.25">
      <c r="A10020">
        <v>11251</v>
      </c>
      <c r="B10020">
        <v>4</v>
      </c>
      <c r="C10020">
        <v>408</v>
      </c>
      <c r="D10020">
        <v>447</v>
      </c>
      <c r="E10020">
        <v>9768664</v>
      </c>
      <c r="F10020">
        <v>5286</v>
      </c>
      <c r="G10020">
        <v>0</v>
      </c>
      <c r="H10020" t="s">
        <v>14933</v>
      </c>
      <c r="I10020">
        <v>11251</v>
      </c>
      <c r="J10020" t="str">
        <f>VLOOKUP(E10020,DSSpieler!A:B,2,FALSE)</f>
        <v>tobinator2345</v>
      </c>
    </row>
    <row r="10021" spans="1:10" x14ac:dyDescent="0.25">
      <c r="A10021">
        <v>11252</v>
      </c>
      <c r="B10021" t="s">
        <v>2008</v>
      </c>
      <c r="C10021">
        <v>470</v>
      </c>
      <c r="D10021">
        <v>525</v>
      </c>
      <c r="E10021">
        <v>1576956636</v>
      </c>
      <c r="F10021">
        <v>2609</v>
      </c>
      <c r="G10021">
        <v>0</v>
      </c>
      <c r="H10021" t="s">
        <v>14934</v>
      </c>
      <c r="I10021">
        <v>11252</v>
      </c>
      <c r="J10021" t="str">
        <f>VLOOKUP(E10021,DSSpieler!A:B,2,FALSE)</f>
        <v>SaMcRo RedwoodOriginal</v>
      </c>
    </row>
    <row r="10022" spans="1:10" x14ac:dyDescent="0.25">
      <c r="A10022">
        <v>11253</v>
      </c>
      <c r="B10022" t="s">
        <v>531</v>
      </c>
      <c r="C10022">
        <v>435</v>
      </c>
      <c r="D10022">
        <v>582</v>
      </c>
      <c r="E10022">
        <v>0</v>
      </c>
      <c r="F10022">
        <v>319</v>
      </c>
      <c r="G10022">
        <v>0</v>
      </c>
      <c r="H10022" t="s">
        <v>14935</v>
      </c>
      <c r="I10022">
        <v>11253</v>
      </c>
      <c r="J10022" t="e">
        <f>VLOOKUP(E10022,DSSpieler!A:B,2,FALSE)</f>
        <v>#N/A</v>
      </c>
    </row>
    <row r="10023" spans="1:10" x14ac:dyDescent="0.25">
      <c r="A10023">
        <v>11254</v>
      </c>
      <c r="B10023" t="s">
        <v>1084</v>
      </c>
      <c r="C10023">
        <v>396</v>
      </c>
      <c r="D10023">
        <v>512</v>
      </c>
      <c r="E10023">
        <v>3440784</v>
      </c>
      <c r="F10023">
        <v>4381</v>
      </c>
      <c r="G10023">
        <v>0</v>
      </c>
      <c r="H10023" t="s">
        <v>14936</v>
      </c>
      <c r="I10023">
        <v>11254</v>
      </c>
      <c r="J10023" t="str">
        <f>VLOOKUP(E10023,DSSpieler!A:B,2,FALSE)</f>
        <v>ema54</v>
      </c>
    </row>
    <row r="10024" spans="1:10" x14ac:dyDescent="0.25">
      <c r="A10024">
        <v>11255</v>
      </c>
      <c r="B10024" t="s">
        <v>531</v>
      </c>
      <c r="C10024">
        <v>587</v>
      </c>
      <c r="D10024">
        <v>558</v>
      </c>
      <c r="E10024">
        <v>0</v>
      </c>
      <c r="F10024">
        <v>135</v>
      </c>
      <c r="G10024">
        <v>0</v>
      </c>
      <c r="H10024" t="s">
        <v>14937</v>
      </c>
      <c r="I10024">
        <v>11255</v>
      </c>
      <c r="J10024" t="e">
        <f>VLOOKUP(E10024,DSSpieler!A:B,2,FALSE)</f>
        <v>#N/A</v>
      </c>
    </row>
    <row r="10025" spans="1:10" x14ac:dyDescent="0.25">
      <c r="A10025">
        <v>11256</v>
      </c>
      <c r="B10025" t="s">
        <v>531</v>
      </c>
      <c r="C10025">
        <v>459</v>
      </c>
      <c r="D10025">
        <v>603</v>
      </c>
      <c r="E10025">
        <v>0</v>
      </c>
      <c r="F10025">
        <v>490</v>
      </c>
      <c r="G10025">
        <v>0</v>
      </c>
      <c r="H10025" t="s">
        <v>14938</v>
      </c>
      <c r="I10025">
        <v>11256</v>
      </c>
      <c r="J10025" t="e">
        <f>VLOOKUP(E10025,DSSpieler!A:B,2,FALSE)</f>
        <v>#N/A</v>
      </c>
    </row>
    <row r="10026" spans="1:10" x14ac:dyDescent="0.25">
      <c r="A10026">
        <v>11258</v>
      </c>
      <c r="B10026" t="s">
        <v>531</v>
      </c>
      <c r="C10026">
        <v>491</v>
      </c>
      <c r="D10026">
        <v>603</v>
      </c>
      <c r="E10026">
        <v>0</v>
      </c>
      <c r="F10026">
        <v>393</v>
      </c>
      <c r="G10026">
        <v>0</v>
      </c>
      <c r="H10026" t="s">
        <v>14939</v>
      </c>
      <c r="I10026">
        <v>11258</v>
      </c>
      <c r="J10026" t="e">
        <f>VLOOKUP(E10026,DSSpieler!A:B,2,FALSE)</f>
        <v>#N/A</v>
      </c>
    </row>
    <row r="10027" spans="1:10" x14ac:dyDescent="0.25">
      <c r="A10027">
        <v>11259</v>
      </c>
      <c r="B10027" t="s">
        <v>34119</v>
      </c>
      <c r="C10027">
        <v>484</v>
      </c>
      <c r="D10027">
        <v>611</v>
      </c>
      <c r="E10027">
        <v>10242175</v>
      </c>
      <c r="F10027">
        <v>4296</v>
      </c>
      <c r="G10027">
        <v>0</v>
      </c>
      <c r="H10027" t="s">
        <v>14940</v>
      </c>
      <c r="I10027">
        <v>11259</v>
      </c>
      <c r="J10027" t="str">
        <f>VLOOKUP(E10027,DSSpieler!A:B,2,FALSE)</f>
        <v>tufiga</v>
      </c>
    </row>
    <row r="10028" spans="1:10" x14ac:dyDescent="0.25">
      <c r="A10028">
        <v>11260</v>
      </c>
      <c r="B10028" t="s">
        <v>32285</v>
      </c>
      <c r="C10028">
        <v>430</v>
      </c>
      <c r="D10028">
        <v>580</v>
      </c>
      <c r="E10028">
        <v>1577096184</v>
      </c>
      <c r="F10028">
        <v>4455</v>
      </c>
      <c r="G10028">
        <v>0</v>
      </c>
      <c r="H10028" t="s">
        <v>14941</v>
      </c>
      <c r="I10028">
        <v>11260</v>
      </c>
      <c r="J10028" t="str">
        <f>VLOOKUP(E10028,DSSpieler!A:B,2,FALSE)</f>
        <v>Carsten Maschmeyer</v>
      </c>
    </row>
    <row r="10029" spans="1:10" x14ac:dyDescent="0.25">
      <c r="A10029">
        <v>11261</v>
      </c>
      <c r="B10029" t="s">
        <v>34120</v>
      </c>
      <c r="C10029">
        <v>445</v>
      </c>
      <c r="D10029">
        <v>575</v>
      </c>
      <c r="E10029">
        <v>9695732</v>
      </c>
      <c r="F10029">
        <v>4900</v>
      </c>
      <c r="G10029">
        <v>0</v>
      </c>
      <c r="H10029" t="s">
        <v>14942</v>
      </c>
      <c r="I10029">
        <v>11261</v>
      </c>
      <c r="J10029" t="str">
        <f>VLOOKUP(E10029,DSSpieler!A:B,2,FALSE)</f>
        <v>T@dyB%C3%84r</v>
      </c>
    </row>
    <row r="10030" spans="1:10" x14ac:dyDescent="0.25">
      <c r="A10030">
        <v>11262</v>
      </c>
      <c r="B10030" t="s">
        <v>531</v>
      </c>
      <c r="C10030">
        <v>505</v>
      </c>
      <c r="D10030">
        <v>601</v>
      </c>
      <c r="E10030">
        <v>0</v>
      </c>
      <c r="F10030">
        <v>652</v>
      </c>
      <c r="G10030">
        <v>0</v>
      </c>
      <c r="H10030" t="s">
        <v>14943</v>
      </c>
      <c r="I10030">
        <v>11262</v>
      </c>
      <c r="J10030" t="e">
        <f>VLOOKUP(E10030,DSSpieler!A:B,2,FALSE)</f>
        <v>#N/A</v>
      </c>
    </row>
    <row r="10031" spans="1:10" x14ac:dyDescent="0.25">
      <c r="A10031">
        <v>11263</v>
      </c>
      <c r="B10031" t="s">
        <v>34121</v>
      </c>
      <c r="C10031">
        <v>426</v>
      </c>
      <c r="D10031">
        <v>568</v>
      </c>
      <c r="E10031">
        <v>1577096999</v>
      </c>
      <c r="F10031">
        <v>5037</v>
      </c>
      <c r="G10031">
        <v>0</v>
      </c>
      <c r="H10031" t="s">
        <v>14944</v>
      </c>
      <c r="I10031">
        <v>11263</v>
      </c>
      <c r="J10031" t="str">
        <f>VLOOKUP(E10031,DSSpieler!A:B,2,FALSE)</f>
        <v>Grandpa</v>
      </c>
    </row>
    <row r="10032" spans="1:10" x14ac:dyDescent="0.25">
      <c r="A10032">
        <v>11264</v>
      </c>
      <c r="B10032" t="s">
        <v>531</v>
      </c>
      <c r="C10032">
        <v>559</v>
      </c>
      <c r="D10032">
        <v>412</v>
      </c>
      <c r="E10032">
        <v>0</v>
      </c>
      <c r="F10032">
        <v>221</v>
      </c>
      <c r="G10032">
        <v>0</v>
      </c>
      <c r="H10032" t="s">
        <v>14945</v>
      </c>
      <c r="I10032">
        <v>11264</v>
      </c>
      <c r="J10032" t="e">
        <f>VLOOKUP(E10032,DSSpieler!A:B,2,FALSE)</f>
        <v>#N/A</v>
      </c>
    </row>
    <row r="10033" spans="1:10" x14ac:dyDescent="0.25">
      <c r="A10033">
        <v>11265</v>
      </c>
      <c r="B10033" t="s">
        <v>531</v>
      </c>
      <c r="C10033">
        <v>450</v>
      </c>
      <c r="D10033">
        <v>589</v>
      </c>
      <c r="E10033">
        <v>0</v>
      </c>
      <c r="F10033">
        <v>260</v>
      </c>
      <c r="G10033">
        <v>0</v>
      </c>
      <c r="H10033" t="s">
        <v>14946</v>
      </c>
      <c r="I10033">
        <v>11265</v>
      </c>
      <c r="J10033" t="e">
        <f>VLOOKUP(E10033,DSSpieler!A:B,2,FALSE)</f>
        <v>#N/A</v>
      </c>
    </row>
    <row r="10034" spans="1:10" x14ac:dyDescent="0.25">
      <c r="A10034">
        <v>11266</v>
      </c>
      <c r="B10034" t="s">
        <v>531</v>
      </c>
      <c r="C10034">
        <v>438</v>
      </c>
      <c r="D10034">
        <v>585</v>
      </c>
      <c r="E10034">
        <v>0</v>
      </c>
      <c r="F10034">
        <v>267</v>
      </c>
      <c r="G10034">
        <v>0</v>
      </c>
      <c r="H10034" t="s">
        <v>14947</v>
      </c>
      <c r="I10034">
        <v>11266</v>
      </c>
      <c r="J10034" t="e">
        <f>VLOOKUP(E10034,DSSpieler!A:B,2,FALSE)</f>
        <v>#N/A</v>
      </c>
    </row>
    <row r="10035" spans="1:10" x14ac:dyDescent="0.25">
      <c r="A10035">
        <v>11267</v>
      </c>
      <c r="B10035" t="s">
        <v>531</v>
      </c>
      <c r="C10035">
        <v>552</v>
      </c>
      <c r="D10035">
        <v>409</v>
      </c>
      <c r="E10035">
        <v>0</v>
      </c>
      <c r="F10035">
        <v>407</v>
      </c>
      <c r="G10035">
        <v>0</v>
      </c>
      <c r="H10035" t="s">
        <v>14948</v>
      </c>
      <c r="I10035">
        <v>11267</v>
      </c>
      <c r="J10035" t="e">
        <f>VLOOKUP(E10035,DSSpieler!A:B,2,FALSE)</f>
        <v>#N/A</v>
      </c>
    </row>
    <row r="10036" spans="1:10" x14ac:dyDescent="0.25">
      <c r="A10036">
        <v>11268</v>
      </c>
      <c r="B10036" t="s">
        <v>34122</v>
      </c>
      <c r="C10036">
        <v>417</v>
      </c>
      <c r="D10036">
        <v>562</v>
      </c>
      <c r="E10036">
        <v>1577197709</v>
      </c>
      <c r="F10036">
        <v>5648</v>
      </c>
      <c r="G10036">
        <v>0</v>
      </c>
      <c r="H10036" t="s">
        <v>14949</v>
      </c>
      <c r="I10036">
        <v>11268</v>
      </c>
      <c r="J10036" t="str">
        <f>VLOOKUP(E10036,DSSpieler!A:B,2,FALSE)</f>
        <v>Panshow</v>
      </c>
    </row>
    <row r="10037" spans="1:10" x14ac:dyDescent="0.25">
      <c r="A10037">
        <v>11269</v>
      </c>
      <c r="B10037" t="s">
        <v>2009</v>
      </c>
      <c r="C10037">
        <v>438</v>
      </c>
      <c r="D10037">
        <v>578</v>
      </c>
      <c r="E10037">
        <v>299371</v>
      </c>
      <c r="F10037">
        <v>4273</v>
      </c>
      <c r="G10037">
        <v>0</v>
      </c>
      <c r="H10037" t="s">
        <v>14950</v>
      </c>
      <c r="I10037">
        <v>11269</v>
      </c>
      <c r="J10037" t="str">
        <f>VLOOKUP(E10037,DSSpieler!A:B,2,FALSE)</f>
        <v>zikku</v>
      </c>
    </row>
    <row r="10038" spans="1:10" x14ac:dyDescent="0.25">
      <c r="A10038">
        <v>11270</v>
      </c>
      <c r="B10038" t="s">
        <v>34123</v>
      </c>
      <c r="C10038">
        <v>473</v>
      </c>
      <c r="D10038">
        <v>543</v>
      </c>
      <c r="E10038">
        <v>1577161759</v>
      </c>
      <c r="F10038">
        <v>3174</v>
      </c>
      <c r="G10038">
        <v>0</v>
      </c>
      <c r="H10038" t="s">
        <v>14951</v>
      </c>
      <c r="I10038">
        <v>11270</v>
      </c>
      <c r="J10038" t="str">
        <f>VLOOKUP(E10038,DSSpieler!A:B,2,FALSE)</f>
        <v>Lady Devilsgirl</v>
      </c>
    </row>
    <row r="10039" spans="1:10" x14ac:dyDescent="0.25">
      <c r="A10039">
        <v>11271</v>
      </c>
      <c r="B10039" t="s">
        <v>34124</v>
      </c>
      <c r="C10039">
        <v>438</v>
      </c>
      <c r="D10039">
        <v>420</v>
      </c>
      <c r="E10039">
        <v>9280156</v>
      </c>
      <c r="F10039">
        <v>2817</v>
      </c>
      <c r="G10039">
        <v>0</v>
      </c>
      <c r="H10039" t="s">
        <v>14952</v>
      </c>
      <c r="I10039">
        <v>11271</v>
      </c>
      <c r="J10039" t="str">
        <f>VLOOKUP(E10039,DSSpieler!A:B,2,FALSE)</f>
        <v>LENOSI</v>
      </c>
    </row>
    <row r="10040" spans="1:10" x14ac:dyDescent="0.25">
      <c r="A10040">
        <v>11272</v>
      </c>
      <c r="B10040" t="s">
        <v>1323</v>
      </c>
      <c r="C10040">
        <v>423</v>
      </c>
      <c r="D10040">
        <v>581</v>
      </c>
      <c r="E10040">
        <v>8342313</v>
      </c>
      <c r="F10040">
        <v>4535</v>
      </c>
      <c r="G10040">
        <v>0</v>
      </c>
      <c r="H10040" t="s">
        <v>14953</v>
      </c>
      <c r="I10040">
        <v>11272</v>
      </c>
      <c r="J10040" t="str">
        <f>VLOOKUP(E10040,DSSpieler!A:B,2,FALSE)</f>
        <v>Jaqen H ghar</v>
      </c>
    </row>
    <row r="10041" spans="1:10" x14ac:dyDescent="0.25">
      <c r="A10041">
        <v>11273</v>
      </c>
      <c r="B10041" t="s">
        <v>2010</v>
      </c>
      <c r="C10041">
        <v>428</v>
      </c>
      <c r="D10041">
        <v>572</v>
      </c>
      <c r="E10041">
        <v>1577140548</v>
      </c>
      <c r="F10041">
        <v>6627</v>
      </c>
      <c r="G10041">
        <v>0</v>
      </c>
      <c r="H10041" t="s">
        <v>14954</v>
      </c>
      <c r="I10041">
        <v>11273</v>
      </c>
      <c r="J10041" t="str">
        <f>VLOOKUP(E10041,DSSpieler!A:B,2,FALSE)</f>
        <v>Lanxon</v>
      </c>
    </row>
    <row r="10042" spans="1:10" x14ac:dyDescent="0.25">
      <c r="A10042">
        <v>11274</v>
      </c>
      <c r="B10042" t="s">
        <v>32285</v>
      </c>
      <c r="C10042">
        <v>432</v>
      </c>
      <c r="D10042">
        <v>575</v>
      </c>
      <c r="E10042">
        <v>1577096184</v>
      </c>
      <c r="F10042">
        <v>5298</v>
      </c>
      <c r="G10042">
        <v>0</v>
      </c>
      <c r="H10042" t="s">
        <v>14955</v>
      </c>
      <c r="I10042">
        <v>11274</v>
      </c>
      <c r="J10042" t="str">
        <f>VLOOKUP(E10042,DSSpieler!A:B,2,FALSE)</f>
        <v>Carsten Maschmeyer</v>
      </c>
    </row>
    <row r="10043" spans="1:10" x14ac:dyDescent="0.25">
      <c r="A10043">
        <v>11275</v>
      </c>
      <c r="B10043" t="s">
        <v>531</v>
      </c>
      <c r="C10043">
        <v>601</v>
      </c>
      <c r="D10043">
        <v>515</v>
      </c>
      <c r="E10043">
        <v>0</v>
      </c>
      <c r="F10043">
        <v>1506</v>
      </c>
      <c r="G10043">
        <v>0</v>
      </c>
      <c r="H10043" t="s">
        <v>14956</v>
      </c>
      <c r="I10043">
        <v>11275</v>
      </c>
      <c r="J10043" t="e">
        <f>VLOOKUP(E10043,DSSpieler!A:B,2,FALSE)</f>
        <v>#N/A</v>
      </c>
    </row>
    <row r="10044" spans="1:10" x14ac:dyDescent="0.25">
      <c r="A10044">
        <v>11277</v>
      </c>
      <c r="B10044" t="s">
        <v>531</v>
      </c>
      <c r="C10044">
        <v>530</v>
      </c>
      <c r="D10044">
        <v>600</v>
      </c>
      <c r="E10044">
        <v>0</v>
      </c>
      <c r="F10044">
        <v>185</v>
      </c>
      <c r="G10044">
        <v>0</v>
      </c>
      <c r="H10044" t="s">
        <v>14957</v>
      </c>
      <c r="I10044">
        <v>11277</v>
      </c>
      <c r="J10044" t="e">
        <f>VLOOKUP(E10044,DSSpieler!A:B,2,FALSE)</f>
        <v>#N/A</v>
      </c>
    </row>
    <row r="10045" spans="1:10" x14ac:dyDescent="0.25">
      <c r="A10045">
        <v>11278</v>
      </c>
      <c r="B10045" t="s">
        <v>34125</v>
      </c>
      <c r="C10045">
        <v>444</v>
      </c>
      <c r="D10045">
        <v>592</v>
      </c>
      <c r="E10045">
        <v>1577198963</v>
      </c>
      <c r="F10045">
        <v>5500</v>
      </c>
      <c r="G10045">
        <v>0</v>
      </c>
      <c r="H10045" t="s">
        <v>14958</v>
      </c>
      <c r="I10045">
        <v>11278</v>
      </c>
      <c r="J10045" t="str">
        <f>VLOOKUP(E10045,DSSpieler!A:B,2,FALSE)</f>
        <v>Lord VokuFarm</v>
      </c>
    </row>
    <row r="10046" spans="1:10" x14ac:dyDescent="0.25">
      <c r="A10046">
        <v>11279</v>
      </c>
      <c r="B10046" t="s">
        <v>531</v>
      </c>
      <c r="C10046">
        <v>587</v>
      </c>
      <c r="D10046">
        <v>560</v>
      </c>
      <c r="E10046">
        <v>0</v>
      </c>
      <c r="F10046">
        <v>203</v>
      </c>
      <c r="G10046">
        <v>0</v>
      </c>
      <c r="H10046" t="s">
        <v>14959</v>
      </c>
      <c r="I10046">
        <v>11279</v>
      </c>
      <c r="J10046" t="e">
        <f>VLOOKUP(E10046,DSSpieler!A:B,2,FALSE)</f>
        <v>#N/A</v>
      </c>
    </row>
    <row r="10047" spans="1:10" x14ac:dyDescent="0.25">
      <c r="A10047">
        <v>11280</v>
      </c>
      <c r="B10047" t="s">
        <v>531</v>
      </c>
      <c r="C10047">
        <v>547</v>
      </c>
      <c r="D10047">
        <v>601</v>
      </c>
      <c r="E10047">
        <v>0</v>
      </c>
      <c r="F10047">
        <v>934</v>
      </c>
      <c r="G10047">
        <v>0</v>
      </c>
      <c r="H10047" t="s">
        <v>14960</v>
      </c>
      <c r="I10047">
        <v>11280</v>
      </c>
      <c r="J10047" t="e">
        <f>VLOOKUP(E10047,DSSpieler!A:B,2,FALSE)</f>
        <v>#N/A</v>
      </c>
    </row>
    <row r="10048" spans="1:10" x14ac:dyDescent="0.25">
      <c r="A10048">
        <v>11281</v>
      </c>
      <c r="B10048" t="s">
        <v>531</v>
      </c>
      <c r="C10048">
        <v>543</v>
      </c>
      <c r="D10048">
        <v>593</v>
      </c>
      <c r="E10048">
        <v>0</v>
      </c>
      <c r="F10048">
        <v>417</v>
      </c>
      <c r="G10048">
        <v>0</v>
      </c>
      <c r="H10048" t="s">
        <v>14961</v>
      </c>
      <c r="I10048">
        <v>11281</v>
      </c>
      <c r="J10048" t="e">
        <f>VLOOKUP(E10048,DSSpieler!A:B,2,FALSE)</f>
        <v>#N/A</v>
      </c>
    </row>
    <row r="10049" spans="1:10" x14ac:dyDescent="0.25">
      <c r="A10049">
        <v>11282</v>
      </c>
      <c r="B10049" t="s">
        <v>2011</v>
      </c>
      <c r="C10049">
        <v>442</v>
      </c>
      <c r="D10049">
        <v>579</v>
      </c>
      <c r="E10049">
        <v>1577145734</v>
      </c>
      <c r="F10049">
        <v>4545</v>
      </c>
      <c r="G10049">
        <v>0</v>
      </c>
      <c r="H10049" t="s">
        <v>14962</v>
      </c>
      <c r="I10049">
        <v>11282</v>
      </c>
      <c r="J10049" t="str">
        <f>VLOOKUP(E10049,DSSpieler!A:B,2,FALSE)</f>
        <v>MrTix</v>
      </c>
    </row>
    <row r="10050" spans="1:10" x14ac:dyDescent="0.25">
      <c r="A10050">
        <v>11283</v>
      </c>
      <c r="B10050" t="s">
        <v>32599</v>
      </c>
      <c r="C10050">
        <v>450</v>
      </c>
      <c r="D10050">
        <v>576</v>
      </c>
      <c r="E10050">
        <v>10283391</v>
      </c>
      <c r="F10050">
        <v>6208</v>
      </c>
      <c r="G10050">
        <v>0</v>
      </c>
      <c r="H10050" t="s">
        <v>14963</v>
      </c>
      <c r="I10050">
        <v>11283</v>
      </c>
      <c r="J10050" t="str">
        <f>VLOOKUP(E10050,DSSpieler!A:B,2,FALSE)</f>
        <v>Br0 I Altair</v>
      </c>
    </row>
    <row r="10051" spans="1:10" x14ac:dyDescent="0.25">
      <c r="A10051">
        <v>11284</v>
      </c>
      <c r="B10051" t="s">
        <v>531</v>
      </c>
      <c r="C10051">
        <v>583</v>
      </c>
      <c r="D10051">
        <v>550</v>
      </c>
      <c r="E10051">
        <v>0</v>
      </c>
      <c r="F10051">
        <v>202</v>
      </c>
      <c r="G10051">
        <v>0</v>
      </c>
      <c r="H10051" t="s">
        <v>14964</v>
      </c>
      <c r="I10051">
        <v>11284</v>
      </c>
      <c r="J10051" t="e">
        <f>VLOOKUP(E10051,DSSpieler!A:B,2,FALSE)</f>
        <v>#N/A</v>
      </c>
    </row>
    <row r="10052" spans="1:10" x14ac:dyDescent="0.25">
      <c r="A10052">
        <v>11285</v>
      </c>
      <c r="B10052" t="s">
        <v>34126</v>
      </c>
      <c r="C10052">
        <v>440</v>
      </c>
      <c r="D10052">
        <v>578</v>
      </c>
      <c r="E10052">
        <v>1577195445</v>
      </c>
      <c r="F10052">
        <v>3853</v>
      </c>
      <c r="G10052">
        <v>0</v>
      </c>
      <c r="H10052" t="s">
        <v>14965</v>
      </c>
      <c r="I10052">
        <v>11285</v>
      </c>
      <c r="J10052" t="str">
        <f>VLOOKUP(E10052,DSSpieler!A:B,2,FALSE)</f>
        <v>Cochiloco</v>
      </c>
    </row>
    <row r="10053" spans="1:10" x14ac:dyDescent="0.25">
      <c r="A10053">
        <v>11286</v>
      </c>
      <c r="B10053" t="s">
        <v>34127</v>
      </c>
      <c r="C10053">
        <v>465</v>
      </c>
      <c r="D10053">
        <v>580</v>
      </c>
      <c r="E10053">
        <v>1577194670</v>
      </c>
      <c r="F10053">
        <v>6288</v>
      </c>
      <c r="G10053">
        <v>0</v>
      </c>
      <c r="H10053" t="s">
        <v>14966</v>
      </c>
      <c r="I10053">
        <v>11286</v>
      </c>
      <c r="J10053" t="str">
        <f>VLOOKUP(E10053,DSSpieler!A:B,2,FALSE)</f>
        <v>Angelo Merte</v>
      </c>
    </row>
    <row r="10054" spans="1:10" x14ac:dyDescent="0.25">
      <c r="A10054">
        <v>11287</v>
      </c>
      <c r="B10054" t="s">
        <v>34128</v>
      </c>
      <c r="C10054">
        <v>419</v>
      </c>
      <c r="D10054">
        <v>580</v>
      </c>
      <c r="E10054">
        <v>1577198203</v>
      </c>
      <c r="F10054">
        <v>5774</v>
      </c>
      <c r="G10054">
        <v>0</v>
      </c>
      <c r="H10054" t="s">
        <v>14967</v>
      </c>
      <c r="I10054">
        <v>11287</v>
      </c>
      <c r="J10054" t="str">
        <f>VLOOKUP(E10054,DSSpieler!A:B,2,FALSE)</f>
        <v>OBiOnEX</v>
      </c>
    </row>
    <row r="10055" spans="1:10" x14ac:dyDescent="0.25">
      <c r="A10055">
        <v>11289</v>
      </c>
      <c r="B10055" t="s">
        <v>531</v>
      </c>
      <c r="C10055">
        <v>449</v>
      </c>
      <c r="D10055">
        <v>588</v>
      </c>
      <c r="E10055">
        <v>0</v>
      </c>
      <c r="F10055">
        <v>272</v>
      </c>
      <c r="G10055">
        <v>0</v>
      </c>
      <c r="H10055" t="s">
        <v>14968</v>
      </c>
      <c r="I10055">
        <v>11289</v>
      </c>
      <c r="J10055" t="e">
        <f>VLOOKUP(E10055,DSSpieler!A:B,2,FALSE)</f>
        <v>#N/A</v>
      </c>
    </row>
    <row r="10056" spans="1:10" x14ac:dyDescent="0.25">
      <c r="A10056">
        <v>11290</v>
      </c>
      <c r="B10056" t="s">
        <v>2012</v>
      </c>
      <c r="C10056">
        <v>412</v>
      </c>
      <c r="D10056">
        <v>447</v>
      </c>
      <c r="E10056">
        <v>2007573</v>
      </c>
      <c r="F10056">
        <v>1812</v>
      </c>
      <c r="G10056">
        <v>0</v>
      </c>
      <c r="H10056" t="s">
        <v>14969</v>
      </c>
      <c r="I10056">
        <v>11290</v>
      </c>
      <c r="J10056" t="str">
        <f>VLOOKUP(E10056,DSSpieler!A:B,2,FALSE)</f>
        <v>marvinho270695</v>
      </c>
    </row>
    <row r="10057" spans="1:10" x14ac:dyDescent="0.25">
      <c r="A10057">
        <v>11291</v>
      </c>
      <c r="B10057" t="s">
        <v>31024</v>
      </c>
      <c r="C10057">
        <v>432</v>
      </c>
      <c r="D10057">
        <v>576</v>
      </c>
      <c r="E10057">
        <v>1576813699</v>
      </c>
      <c r="F10057">
        <v>7680</v>
      </c>
      <c r="G10057">
        <v>0</v>
      </c>
      <c r="H10057" t="s">
        <v>14970</v>
      </c>
      <c r="I10057">
        <v>11291</v>
      </c>
      <c r="J10057" t="str">
        <f>VLOOKUP(E10057,DSSpieler!A:B,2,FALSE)</f>
        <v>El Nefes</v>
      </c>
    </row>
    <row r="10058" spans="1:10" x14ac:dyDescent="0.25">
      <c r="A10058">
        <v>11292</v>
      </c>
      <c r="B10058" t="s">
        <v>31024</v>
      </c>
      <c r="C10058">
        <v>429</v>
      </c>
      <c r="D10058">
        <v>571</v>
      </c>
      <c r="E10058">
        <v>10105414</v>
      </c>
      <c r="F10058">
        <v>4569</v>
      </c>
      <c r="G10058">
        <v>0</v>
      </c>
      <c r="H10058" t="s">
        <v>14971</v>
      </c>
      <c r="I10058">
        <v>11292</v>
      </c>
      <c r="J10058" t="str">
        <f>VLOOKUP(E10058,DSSpieler!A:B,2,FALSE)</f>
        <v>-DamaretiK-</v>
      </c>
    </row>
    <row r="10059" spans="1:10" x14ac:dyDescent="0.25">
      <c r="A10059">
        <v>11293</v>
      </c>
      <c r="B10059" t="s">
        <v>34129</v>
      </c>
      <c r="C10059">
        <v>432</v>
      </c>
      <c r="D10059">
        <v>571</v>
      </c>
      <c r="E10059">
        <v>1577198742</v>
      </c>
      <c r="F10059">
        <v>6647</v>
      </c>
      <c r="G10059">
        <v>0</v>
      </c>
      <c r="H10059" t="s">
        <v>14972</v>
      </c>
      <c r="I10059">
        <v>11293</v>
      </c>
      <c r="J10059" t="str">
        <f>VLOOKUP(E10059,DSSpieler!A:B,2,FALSE)</f>
        <v>Paninihunter</v>
      </c>
    </row>
    <row r="10060" spans="1:10" x14ac:dyDescent="0.25">
      <c r="A10060">
        <v>11294</v>
      </c>
      <c r="B10060" t="s">
        <v>531</v>
      </c>
      <c r="C10060">
        <v>581</v>
      </c>
      <c r="D10060">
        <v>434</v>
      </c>
      <c r="E10060">
        <v>0</v>
      </c>
      <c r="F10060">
        <v>191</v>
      </c>
      <c r="G10060">
        <v>0</v>
      </c>
      <c r="H10060" t="s">
        <v>14973</v>
      </c>
      <c r="I10060">
        <v>11294</v>
      </c>
      <c r="J10060" t="e">
        <f>VLOOKUP(E10060,DSSpieler!A:B,2,FALSE)</f>
        <v>#N/A</v>
      </c>
    </row>
    <row r="10061" spans="1:10" x14ac:dyDescent="0.25">
      <c r="A10061">
        <v>11295</v>
      </c>
      <c r="B10061" t="s">
        <v>34130</v>
      </c>
      <c r="C10061">
        <v>431</v>
      </c>
      <c r="D10061">
        <v>563</v>
      </c>
      <c r="E10061">
        <v>1577173551</v>
      </c>
      <c r="F10061">
        <v>3380</v>
      </c>
      <c r="G10061">
        <v>0</v>
      </c>
      <c r="H10061" t="s">
        <v>14974</v>
      </c>
      <c r="I10061">
        <v>11295</v>
      </c>
      <c r="J10061" t="str">
        <f>VLOOKUP(E10061,DSSpieler!A:B,2,FALSE)</f>
        <v>Mergimtar</v>
      </c>
    </row>
    <row r="10062" spans="1:10" x14ac:dyDescent="0.25">
      <c r="A10062">
        <v>11296</v>
      </c>
      <c r="B10062" t="s">
        <v>34131</v>
      </c>
      <c r="C10062">
        <v>419</v>
      </c>
      <c r="D10062">
        <v>434</v>
      </c>
      <c r="E10062">
        <v>9168836</v>
      </c>
      <c r="F10062">
        <v>6581</v>
      </c>
      <c r="G10062">
        <v>0</v>
      </c>
      <c r="H10062" t="s">
        <v>14975</v>
      </c>
      <c r="I10062">
        <v>11296</v>
      </c>
      <c r="J10062" t="str">
        <f>VLOOKUP(E10062,DSSpieler!A:B,2,FALSE)</f>
        <v>Fortunator96</v>
      </c>
    </row>
    <row r="10063" spans="1:10" x14ac:dyDescent="0.25">
      <c r="A10063">
        <v>11297</v>
      </c>
      <c r="B10063" t="s">
        <v>531</v>
      </c>
      <c r="C10063">
        <v>603</v>
      </c>
      <c r="D10063">
        <v>514</v>
      </c>
      <c r="E10063">
        <v>0</v>
      </c>
      <c r="F10063">
        <v>150</v>
      </c>
      <c r="G10063">
        <v>0</v>
      </c>
      <c r="H10063" t="s">
        <v>14976</v>
      </c>
      <c r="I10063">
        <v>11297</v>
      </c>
      <c r="J10063" t="e">
        <f>VLOOKUP(E10063,DSSpieler!A:B,2,FALSE)</f>
        <v>#N/A</v>
      </c>
    </row>
    <row r="10064" spans="1:10" x14ac:dyDescent="0.25">
      <c r="A10064">
        <v>11299</v>
      </c>
      <c r="B10064" t="s">
        <v>34132</v>
      </c>
      <c r="C10064">
        <v>446</v>
      </c>
      <c r="D10064">
        <v>512</v>
      </c>
      <c r="E10064">
        <v>1577181814</v>
      </c>
      <c r="F10064">
        <v>4346</v>
      </c>
      <c r="G10064">
        <v>0</v>
      </c>
      <c r="H10064" t="s">
        <v>14977</v>
      </c>
      <c r="I10064">
        <v>11299</v>
      </c>
      <c r="J10064" t="str">
        <f>VLOOKUP(E10064,DSSpieler!A:B,2,FALSE)</f>
        <v>jack.daniels</v>
      </c>
    </row>
    <row r="10065" spans="1:10" x14ac:dyDescent="0.25">
      <c r="A10065">
        <v>11300</v>
      </c>
      <c r="B10065" t="s">
        <v>531</v>
      </c>
      <c r="C10065">
        <v>584</v>
      </c>
      <c r="D10065">
        <v>436</v>
      </c>
      <c r="E10065">
        <v>0</v>
      </c>
      <c r="F10065">
        <v>387</v>
      </c>
      <c r="G10065">
        <v>0</v>
      </c>
      <c r="H10065" t="s">
        <v>14978</v>
      </c>
      <c r="I10065">
        <v>11300</v>
      </c>
      <c r="J10065" t="e">
        <f>VLOOKUP(E10065,DSSpieler!A:B,2,FALSE)</f>
        <v>#N/A</v>
      </c>
    </row>
    <row r="10066" spans="1:10" x14ac:dyDescent="0.25">
      <c r="A10066">
        <v>11301</v>
      </c>
      <c r="B10066" t="s">
        <v>34133</v>
      </c>
      <c r="C10066">
        <v>395</v>
      </c>
      <c r="D10066">
        <v>507</v>
      </c>
      <c r="E10066">
        <v>9694313</v>
      </c>
      <c r="F10066">
        <v>5711</v>
      </c>
      <c r="G10066">
        <v>0</v>
      </c>
      <c r="H10066" t="s">
        <v>14979</v>
      </c>
      <c r="I10066">
        <v>11301</v>
      </c>
      <c r="J10066" t="str">
        <f>VLOOKUP(E10066,DSSpieler!A:B,2,FALSE)</f>
        <v>Lerbanoel</v>
      </c>
    </row>
    <row r="10067" spans="1:10" x14ac:dyDescent="0.25">
      <c r="A10067">
        <v>11302</v>
      </c>
      <c r="B10067" t="s">
        <v>531</v>
      </c>
      <c r="C10067">
        <v>450</v>
      </c>
      <c r="D10067">
        <v>412</v>
      </c>
      <c r="E10067">
        <v>0</v>
      </c>
      <c r="F10067">
        <v>542</v>
      </c>
      <c r="G10067">
        <v>0</v>
      </c>
      <c r="H10067" t="s">
        <v>14980</v>
      </c>
      <c r="I10067">
        <v>11302</v>
      </c>
      <c r="J10067" t="e">
        <f>VLOOKUP(E10067,DSSpieler!A:B,2,FALSE)</f>
        <v>#N/A</v>
      </c>
    </row>
    <row r="10068" spans="1:10" x14ac:dyDescent="0.25">
      <c r="A10068">
        <v>11303</v>
      </c>
      <c r="B10068" t="s">
        <v>34134</v>
      </c>
      <c r="C10068">
        <v>443</v>
      </c>
      <c r="D10068">
        <v>593</v>
      </c>
      <c r="E10068">
        <v>1576882233</v>
      </c>
      <c r="F10068">
        <v>6096</v>
      </c>
      <c r="G10068">
        <v>0</v>
      </c>
      <c r="H10068" t="s">
        <v>14981</v>
      </c>
      <c r="I10068">
        <v>11303</v>
      </c>
      <c r="J10068" t="str">
        <f>VLOOKUP(E10068,DSSpieler!A:B,2,FALSE)</f>
        <v>JasperSt.iNCt</v>
      </c>
    </row>
    <row r="10069" spans="1:10" x14ac:dyDescent="0.25">
      <c r="A10069">
        <v>11304</v>
      </c>
      <c r="B10069" t="s">
        <v>2013</v>
      </c>
      <c r="C10069">
        <v>603</v>
      </c>
      <c r="D10069">
        <v>481</v>
      </c>
      <c r="E10069">
        <v>1576784013</v>
      </c>
      <c r="F10069">
        <v>1415</v>
      </c>
      <c r="G10069">
        <v>0</v>
      </c>
      <c r="H10069" t="s">
        <v>14982</v>
      </c>
      <c r="I10069">
        <v>11304</v>
      </c>
      <c r="J10069" t="str">
        <f>VLOOKUP(E10069,DSSpieler!A:B,2,FALSE)</f>
        <v>Anti-HFC</v>
      </c>
    </row>
    <row r="10070" spans="1:10" x14ac:dyDescent="0.25">
      <c r="A10070">
        <v>11305</v>
      </c>
      <c r="B10070" t="s">
        <v>34135</v>
      </c>
      <c r="C10070">
        <v>402</v>
      </c>
      <c r="D10070">
        <v>491</v>
      </c>
      <c r="E10070">
        <v>1576932540</v>
      </c>
      <c r="F10070">
        <v>6512</v>
      </c>
      <c r="G10070">
        <v>0</v>
      </c>
      <c r="H10070" t="s">
        <v>14983</v>
      </c>
      <c r="I10070">
        <v>11305</v>
      </c>
      <c r="J10070" t="str">
        <f>VLOOKUP(E10070,DSSpieler!A:B,2,FALSE)</f>
        <v>nummer90zummitnehmen</v>
      </c>
    </row>
    <row r="10071" spans="1:10" x14ac:dyDescent="0.25">
      <c r="A10071">
        <v>11306</v>
      </c>
      <c r="B10071">
        <v>4</v>
      </c>
      <c r="C10071">
        <v>397</v>
      </c>
      <c r="D10071">
        <v>508</v>
      </c>
      <c r="E10071">
        <v>9907962</v>
      </c>
      <c r="F10071">
        <v>2242</v>
      </c>
      <c r="G10071">
        <v>0</v>
      </c>
      <c r="H10071" t="s">
        <v>14984</v>
      </c>
      <c r="I10071">
        <v>11306</v>
      </c>
      <c r="J10071" t="str">
        <f>VLOOKUP(E10071,DSSpieler!A:B,2,FALSE)</f>
        <v>florator</v>
      </c>
    </row>
    <row r="10072" spans="1:10" x14ac:dyDescent="0.25">
      <c r="A10072">
        <v>11307</v>
      </c>
      <c r="B10072" t="s">
        <v>531</v>
      </c>
      <c r="C10072">
        <v>579</v>
      </c>
      <c r="D10072">
        <v>564</v>
      </c>
      <c r="E10072">
        <v>0</v>
      </c>
      <c r="F10072">
        <v>325</v>
      </c>
      <c r="G10072">
        <v>0</v>
      </c>
      <c r="H10072" t="s">
        <v>14985</v>
      </c>
      <c r="I10072">
        <v>11307</v>
      </c>
      <c r="J10072" t="e">
        <f>VLOOKUP(E10072,DSSpieler!A:B,2,FALSE)</f>
        <v>#N/A</v>
      </c>
    </row>
    <row r="10073" spans="1:10" x14ac:dyDescent="0.25">
      <c r="A10073">
        <v>11308</v>
      </c>
      <c r="B10073" t="s">
        <v>546</v>
      </c>
      <c r="C10073">
        <v>501</v>
      </c>
      <c r="D10073">
        <v>431</v>
      </c>
      <c r="E10073">
        <v>1576876614</v>
      </c>
      <c r="F10073">
        <v>7467</v>
      </c>
      <c r="G10073">
        <v>0</v>
      </c>
      <c r="H10073" t="s">
        <v>14986</v>
      </c>
      <c r="I10073">
        <v>11308</v>
      </c>
      <c r="J10073" t="str">
        <f>VLOOKUP(E10073,DSSpieler!A:B,2,FALSE)</f>
        <v>Matzetutu</v>
      </c>
    </row>
    <row r="10074" spans="1:10" x14ac:dyDescent="0.25">
      <c r="A10074">
        <v>11309</v>
      </c>
      <c r="B10074" t="s">
        <v>2014</v>
      </c>
      <c r="C10074">
        <v>433</v>
      </c>
      <c r="D10074">
        <v>573</v>
      </c>
      <c r="E10074">
        <v>3294196</v>
      </c>
      <c r="F10074">
        <v>5569</v>
      </c>
      <c r="G10074">
        <v>0</v>
      </c>
      <c r="H10074" t="s">
        <v>14987</v>
      </c>
      <c r="I10074">
        <v>11309</v>
      </c>
      <c r="J10074" t="str">
        <f>VLOOKUP(E10074,DSSpieler!A:B,2,FALSE)</f>
        <v>KingKonni</v>
      </c>
    </row>
    <row r="10075" spans="1:10" x14ac:dyDescent="0.25">
      <c r="A10075">
        <v>11310</v>
      </c>
      <c r="B10075" t="s">
        <v>34136</v>
      </c>
      <c r="C10075">
        <v>419</v>
      </c>
      <c r="D10075">
        <v>571</v>
      </c>
      <c r="E10075">
        <v>1577127484</v>
      </c>
      <c r="F10075">
        <v>4345</v>
      </c>
      <c r="G10075">
        <v>0</v>
      </c>
      <c r="H10075" t="s">
        <v>14988</v>
      </c>
      <c r="I10075">
        <v>11310</v>
      </c>
      <c r="J10075" t="str">
        <f>VLOOKUP(E10075,DSSpieler!A:B,2,FALSE)</f>
        <v>El Pharao</v>
      </c>
    </row>
    <row r="10076" spans="1:10" x14ac:dyDescent="0.25">
      <c r="A10076">
        <v>11311</v>
      </c>
      <c r="B10076" t="s">
        <v>531</v>
      </c>
      <c r="C10076">
        <v>547</v>
      </c>
      <c r="D10076">
        <v>408</v>
      </c>
      <c r="E10076">
        <v>0</v>
      </c>
      <c r="F10076">
        <v>273</v>
      </c>
      <c r="G10076">
        <v>0</v>
      </c>
      <c r="H10076" t="s">
        <v>14989</v>
      </c>
      <c r="I10076">
        <v>11311</v>
      </c>
      <c r="J10076" t="e">
        <f>VLOOKUP(E10076,DSSpieler!A:B,2,FALSE)</f>
        <v>#N/A</v>
      </c>
    </row>
    <row r="10077" spans="1:10" x14ac:dyDescent="0.25">
      <c r="A10077">
        <v>11312</v>
      </c>
      <c r="B10077" t="s">
        <v>34137</v>
      </c>
      <c r="C10077">
        <v>488</v>
      </c>
      <c r="D10077">
        <v>605</v>
      </c>
      <c r="E10077">
        <v>10242175</v>
      </c>
      <c r="F10077">
        <v>4233</v>
      </c>
      <c r="G10077">
        <v>0</v>
      </c>
      <c r="H10077" t="s">
        <v>14990</v>
      </c>
      <c r="I10077">
        <v>11312</v>
      </c>
      <c r="J10077" t="str">
        <f>VLOOKUP(E10077,DSSpieler!A:B,2,FALSE)</f>
        <v>tufiga</v>
      </c>
    </row>
    <row r="10078" spans="1:10" x14ac:dyDescent="0.25">
      <c r="A10078">
        <v>11313</v>
      </c>
      <c r="B10078" t="s">
        <v>531</v>
      </c>
      <c r="C10078">
        <v>395</v>
      </c>
      <c r="D10078">
        <v>483</v>
      </c>
      <c r="E10078">
        <v>0</v>
      </c>
      <c r="F10078">
        <v>247</v>
      </c>
      <c r="G10078">
        <v>0</v>
      </c>
      <c r="H10078" t="s">
        <v>14991</v>
      </c>
      <c r="I10078">
        <v>11313</v>
      </c>
      <c r="J10078" t="e">
        <f>VLOOKUP(E10078,DSSpieler!A:B,2,FALSE)</f>
        <v>#N/A</v>
      </c>
    </row>
    <row r="10079" spans="1:10" x14ac:dyDescent="0.25">
      <c r="A10079">
        <v>11314</v>
      </c>
      <c r="B10079" t="s">
        <v>769</v>
      </c>
      <c r="C10079">
        <v>436</v>
      </c>
      <c r="D10079">
        <v>569</v>
      </c>
      <c r="E10079">
        <v>9841263</v>
      </c>
      <c r="F10079">
        <v>6153</v>
      </c>
      <c r="G10079">
        <v>0</v>
      </c>
      <c r="H10079" t="s">
        <v>14992</v>
      </c>
      <c r="I10079">
        <v>11314</v>
      </c>
      <c r="J10079" t="str">
        <f>VLOOKUP(E10079,DSSpieler!A:B,2,FALSE)</f>
        <v>Paimon</v>
      </c>
    </row>
    <row r="10080" spans="1:10" x14ac:dyDescent="0.25">
      <c r="A10080">
        <v>11315</v>
      </c>
      <c r="B10080" t="s">
        <v>531</v>
      </c>
      <c r="C10080">
        <v>405</v>
      </c>
      <c r="D10080">
        <v>491</v>
      </c>
      <c r="E10080">
        <v>0</v>
      </c>
      <c r="F10080">
        <v>399</v>
      </c>
      <c r="G10080">
        <v>0</v>
      </c>
      <c r="H10080" t="s">
        <v>14993</v>
      </c>
      <c r="I10080">
        <v>11315</v>
      </c>
      <c r="J10080" t="e">
        <f>VLOOKUP(E10080,DSSpieler!A:B,2,FALSE)</f>
        <v>#N/A</v>
      </c>
    </row>
    <row r="10081" spans="1:10" x14ac:dyDescent="0.25">
      <c r="A10081">
        <v>11316</v>
      </c>
      <c r="B10081" t="s">
        <v>34138</v>
      </c>
      <c r="C10081">
        <v>433</v>
      </c>
      <c r="D10081">
        <v>572</v>
      </c>
      <c r="E10081">
        <v>1577198754</v>
      </c>
      <c r="F10081">
        <v>3181</v>
      </c>
      <c r="G10081">
        <v>0</v>
      </c>
      <c r="H10081" t="s">
        <v>14994</v>
      </c>
      <c r="I10081">
        <v>11316</v>
      </c>
      <c r="J10081" t="str">
        <f>VLOOKUP(E10081,DSSpieler!A:B,2,FALSE)</f>
        <v>Balu0378</v>
      </c>
    </row>
    <row r="10082" spans="1:10" x14ac:dyDescent="0.25">
      <c r="A10082">
        <v>11317</v>
      </c>
      <c r="B10082" t="s">
        <v>34139</v>
      </c>
      <c r="C10082">
        <v>602</v>
      </c>
      <c r="D10082">
        <v>516</v>
      </c>
      <c r="E10082">
        <v>1577184053</v>
      </c>
      <c r="F10082">
        <v>3581</v>
      </c>
      <c r="G10082">
        <v>0</v>
      </c>
      <c r="H10082" t="s">
        <v>14995</v>
      </c>
      <c r="I10082">
        <v>11317</v>
      </c>
      <c r="J10082" t="str">
        <f>VLOOKUP(E10082,DSSpieler!A:B,2,FALSE)</f>
        <v>TirolerX</v>
      </c>
    </row>
    <row r="10083" spans="1:10" x14ac:dyDescent="0.25">
      <c r="A10083">
        <v>11318</v>
      </c>
      <c r="B10083" t="s">
        <v>34140</v>
      </c>
      <c r="C10083">
        <v>452</v>
      </c>
      <c r="D10083">
        <v>477</v>
      </c>
      <c r="E10083">
        <v>1575870409</v>
      </c>
      <c r="F10083">
        <v>2181</v>
      </c>
      <c r="G10083">
        <v>0</v>
      </c>
      <c r="H10083" t="s">
        <v>14996</v>
      </c>
      <c r="I10083">
        <v>11318</v>
      </c>
      <c r="J10083" t="str">
        <f>VLOOKUP(E10083,DSSpieler!A:B,2,FALSE)</f>
        <v>Annika James</v>
      </c>
    </row>
    <row r="10084" spans="1:10" x14ac:dyDescent="0.25">
      <c r="A10084">
        <v>11319</v>
      </c>
      <c r="B10084" t="s">
        <v>531</v>
      </c>
      <c r="C10084">
        <v>526</v>
      </c>
      <c r="D10084">
        <v>599</v>
      </c>
      <c r="E10084">
        <v>0</v>
      </c>
      <c r="F10084">
        <v>562</v>
      </c>
      <c r="G10084">
        <v>0</v>
      </c>
      <c r="H10084" t="s">
        <v>14997</v>
      </c>
      <c r="I10084">
        <v>11319</v>
      </c>
      <c r="J10084" t="e">
        <f>VLOOKUP(E10084,DSSpieler!A:B,2,FALSE)</f>
        <v>#N/A</v>
      </c>
    </row>
    <row r="10085" spans="1:10" x14ac:dyDescent="0.25">
      <c r="A10085">
        <v>11321</v>
      </c>
      <c r="B10085" t="s">
        <v>34141</v>
      </c>
      <c r="C10085">
        <v>433</v>
      </c>
      <c r="D10085">
        <v>585</v>
      </c>
      <c r="E10085">
        <v>1577193502</v>
      </c>
      <c r="F10085">
        <v>6078</v>
      </c>
      <c r="G10085">
        <v>0</v>
      </c>
      <c r="H10085" t="s">
        <v>14998</v>
      </c>
      <c r="I10085">
        <v>11321</v>
      </c>
      <c r="J10085" t="str">
        <f>VLOOKUP(E10085,DSSpieler!A:B,2,FALSE)</f>
        <v>Tomczio</v>
      </c>
    </row>
    <row r="10086" spans="1:10" x14ac:dyDescent="0.25">
      <c r="A10086">
        <v>11322</v>
      </c>
      <c r="B10086" t="s">
        <v>531</v>
      </c>
      <c r="C10086">
        <v>476</v>
      </c>
      <c r="D10086">
        <v>601</v>
      </c>
      <c r="E10086">
        <v>0</v>
      </c>
      <c r="F10086">
        <v>343</v>
      </c>
      <c r="G10086">
        <v>0</v>
      </c>
      <c r="H10086" t="s">
        <v>14999</v>
      </c>
      <c r="I10086">
        <v>11322</v>
      </c>
      <c r="J10086" t="e">
        <f>VLOOKUP(E10086,DSSpieler!A:B,2,FALSE)</f>
        <v>#N/A</v>
      </c>
    </row>
    <row r="10087" spans="1:10" x14ac:dyDescent="0.25">
      <c r="A10087">
        <v>11323</v>
      </c>
      <c r="B10087" t="s">
        <v>2015</v>
      </c>
      <c r="C10087">
        <v>432</v>
      </c>
      <c r="D10087">
        <v>570</v>
      </c>
      <c r="E10087">
        <v>2276294</v>
      </c>
      <c r="F10087">
        <v>7417</v>
      </c>
      <c r="G10087">
        <v>0</v>
      </c>
      <c r="H10087" t="s">
        <v>15000</v>
      </c>
      <c r="I10087">
        <v>11323</v>
      </c>
      <c r="J10087" t="str">
        <f>VLOOKUP(E10087,DSSpieler!A:B,2,FALSE)</f>
        <v>Rolandinho69</v>
      </c>
    </row>
    <row r="10088" spans="1:10" x14ac:dyDescent="0.25">
      <c r="A10088">
        <v>11324</v>
      </c>
      <c r="B10088" t="s">
        <v>34142</v>
      </c>
      <c r="C10088">
        <v>432</v>
      </c>
      <c r="D10088">
        <v>581</v>
      </c>
      <c r="E10088">
        <v>10240199</v>
      </c>
      <c r="F10088">
        <v>4885</v>
      </c>
      <c r="G10088">
        <v>0</v>
      </c>
      <c r="H10088" t="s">
        <v>15001</v>
      </c>
      <c r="I10088">
        <v>11324</v>
      </c>
      <c r="J10088" t="str">
        <f>VLOOKUP(E10088,DSSpieler!A:B,2,FALSE)</f>
        <v>J4CzeK</v>
      </c>
    </row>
    <row r="10089" spans="1:10" x14ac:dyDescent="0.25">
      <c r="A10089">
        <v>11325</v>
      </c>
      <c r="B10089" t="s">
        <v>531</v>
      </c>
      <c r="C10089">
        <v>400</v>
      </c>
      <c r="D10089">
        <v>479</v>
      </c>
      <c r="E10089">
        <v>0</v>
      </c>
      <c r="F10089">
        <v>383</v>
      </c>
      <c r="G10089">
        <v>0</v>
      </c>
      <c r="H10089" t="s">
        <v>15002</v>
      </c>
      <c r="I10089">
        <v>11325</v>
      </c>
      <c r="J10089" t="e">
        <f>VLOOKUP(E10089,DSSpieler!A:B,2,FALSE)</f>
        <v>#N/A</v>
      </c>
    </row>
    <row r="10090" spans="1:10" x14ac:dyDescent="0.25">
      <c r="A10090">
        <v>11326</v>
      </c>
      <c r="B10090" t="s">
        <v>34143</v>
      </c>
      <c r="C10090">
        <v>420</v>
      </c>
      <c r="D10090">
        <v>560</v>
      </c>
      <c r="E10090">
        <v>1577197709</v>
      </c>
      <c r="F10090">
        <v>5128</v>
      </c>
      <c r="G10090">
        <v>0</v>
      </c>
      <c r="H10090" t="s">
        <v>15003</v>
      </c>
      <c r="I10090">
        <v>11326</v>
      </c>
      <c r="J10090" t="str">
        <f>VLOOKUP(E10090,DSSpieler!A:B,2,FALSE)</f>
        <v>Panshow</v>
      </c>
    </row>
    <row r="10091" spans="1:10" x14ac:dyDescent="0.25">
      <c r="A10091">
        <v>11327</v>
      </c>
      <c r="B10091" t="s">
        <v>34144</v>
      </c>
      <c r="C10091">
        <v>418</v>
      </c>
      <c r="D10091">
        <v>574</v>
      </c>
      <c r="E10091">
        <v>1577180610</v>
      </c>
      <c r="F10091">
        <v>4991</v>
      </c>
      <c r="G10091">
        <v>0</v>
      </c>
      <c r="H10091" t="s">
        <v>15004</v>
      </c>
      <c r="I10091">
        <v>11327</v>
      </c>
      <c r="J10091" t="str">
        <f>VLOOKUP(E10091,DSSpieler!A:B,2,FALSE)</f>
        <v>Mister Mou</v>
      </c>
    </row>
    <row r="10092" spans="1:10" x14ac:dyDescent="0.25">
      <c r="A10092">
        <v>11328</v>
      </c>
      <c r="B10092">
        <v>3</v>
      </c>
      <c r="C10092">
        <v>443</v>
      </c>
      <c r="D10092">
        <v>599</v>
      </c>
      <c r="E10092">
        <v>1577030247</v>
      </c>
      <c r="F10092">
        <v>6885</v>
      </c>
      <c r="G10092">
        <v>0</v>
      </c>
      <c r="H10092" t="s">
        <v>15005</v>
      </c>
      <c r="I10092">
        <v>11328</v>
      </c>
      <c r="J10092" t="str">
        <f>VLOOKUP(E10092,DSSpieler!A:B,2,FALSE)</f>
        <v>Habemeister</v>
      </c>
    </row>
    <row r="10093" spans="1:10" x14ac:dyDescent="0.25">
      <c r="A10093">
        <v>11329</v>
      </c>
      <c r="B10093" t="s">
        <v>34145</v>
      </c>
      <c r="C10093">
        <v>576</v>
      </c>
      <c r="D10093">
        <v>570</v>
      </c>
      <c r="E10093">
        <v>1577096307</v>
      </c>
      <c r="F10093">
        <v>4039</v>
      </c>
      <c r="G10093">
        <v>0</v>
      </c>
      <c r="H10093" t="s">
        <v>15006</v>
      </c>
      <c r="I10093">
        <v>11329</v>
      </c>
      <c r="J10093" t="str">
        <f>VLOOKUP(E10093,DSSpieler!A:B,2,FALSE)</f>
        <v>Konrad der Salier</v>
      </c>
    </row>
    <row r="10094" spans="1:10" x14ac:dyDescent="0.25">
      <c r="A10094">
        <v>11330</v>
      </c>
      <c r="B10094" t="s">
        <v>34146</v>
      </c>
      <c r="C10094">
        <v>419</v>
      </c>
      <c r="D10094">
        <v>579</v>
      </c>
      <c r="E10094">
        <v>1577188514</v>
      </c>
      <c r="F10094">
        <v>4198</v>
      </c>
      <c r="G10094">
        <v>0</v>
      </c>
      <c r="H10094" t="s">
        <v>15007</v>
      </c>
      <c r="I10094">
        <v>11330</v>
      </c>
      <c r="J10094" t="str">
        <f>VLOOKUP(E10094,DSSpieler!A:B,2,FALSE)</f>
        <v>DiesDasKiwi</v>
      </c>
    </row>
    <row r="10095" spans="1:10" x14ac:dyDescent="0.25">
      <c r="A10095">
        <v>11331</v>
      </c>
      <c r="B10095" t="s">
        <v>2016</v>
      </c>
      <c r="C10095">
        <v>568</v>
      </c>
      <c r="D10095">
        <v>420</v>
      </c>
      <c r="E10095">
        <v>10139402</v>
      </c>
      <c r="F10095">
        <v>6391</v>
      </c>
      <c r="G10095">
        <v>0</v>
      </c>
      <c r="H10095" t="s">
        <v>15008</v>
      </c>
      <c r="I10095">
        <v>11331</v>
      </c>
      <c r="J10095" t="str">
        <f>VLOOKUP(E10095,DSSpieler!A:B,2,FALSE)</f>
        <v>LocalDogs</v>
      </c>
    </row>
    <row r="10096" spans="1:10" x14ac:dyDescent="0.25">
      <c r="A10096">
        <v>11332</v>
      </c>
      <c r="B10096" t="s">
        <v>1243</v>
      </c>
      <c r="C10096">
        <v>604</v>
      </c>
      <c r="D10096">
        <v>519</v>
      </c>
      <c r="E10096">
        <v>1577185059</v>
      </c>
      <c r="F10096">
        <v>3003</v>
      </c>
      <c r="G10096">
        <v>0</v>
      </c>
      <c r="H10096" t="s">
        <v>15009</v>
      </c>
      <c r="I10096">
        <v>11332</v>
      </c>
      <c r="J10096" t="str">
        <f>VLOOKUP(E10096,DSSpieler!A:B,2,FALSE)</f>
        <v>DNY92</v>
      </c>
    </row>
    <row r="10097" spans="1:10" x14ac:dyDescent="0.25">
      <c r="A10097">
        <v>11333</v>
      </c>
      <c r="B10097" t="s">
        <v>34147</v>
      </c>
      <c r="C10097">
        <v>489</v>
      </c>
      <c r="D10097">
        <v>396</v>
      </c>
      <c r="E10097">
        <v>1577191883</v>
      </c>
      <c r="F10097">
        <v>239</v>
      </c>
      <c r="G10097">
        <v>0</v>
      </c>
      <c r="H10097" t="s">
        <v>15010</v>
      </c>
      <c r="I10097">
        <v>11333</v>
      </c>
      <c r="J10097" t="str">
        <f>VLOOKUP(E10097,DSSpieler!A:B,2,FALSE)</f>
        <v>drsick</v>
      </c>
    </row>
    <row r="10098" spans="1:10" x14ac:dyDescent="0.25">
      <c r="A10098">
        <v>11334</v>
      </c>
      <c r="B10098" t="s">
        <v>531</v>
      </c>
      <c r="C10098">
        <v>430</v>
      </c>
      <c r="D10098">
        <v>574</v>
      </c>
      <c r="E10098">
        <v>0</v>
      </c>
      <c r="F10098">
        <v>165</v>
      </c>
      <c r="G10098">
        <v>0</v>
      </c>
      <c r="H10098" t="s">
        <v>15011</v>
      </c>
      <c r="I10098">
        <v>11334</v>
      </c>
      <c r="J10098" t="e">
        <f>VLOOKUP(E10098,DSSpieler!A:B,2,FALSE)</f>
        <v>#N/A</v>
      </c>
    </row>
    <row r="10099" spans="1:10" x14ac:dyDescent="0.25">
      <c r="A10099">
        <v>11335</v>
      </c>
      <c r="B10099" t="s">
        <v>34148</v>
      </c>
      <c r="C10099">
        <v>417</v>
      </c>
      <c r="D10099">
        <v>566</v>
      </c>
      <c r="E10099">
        <v>1577198762</v>
      </c>
      <c r="F10099">
        <v>7273</v>
      </c>
      <c r="G10099">
        <v>0</v>
      </c>
      <c r="H10099" t="s">
        <v>15012</v>
      </c>
      <c r="I10099">
        <v>11335</v>
      </c>
      <c r="J10099" t="str">
        <f>VLOOKUP(E10099,DSSpieler!A:B,2,FALSE)</f>
        <v>Tabbinator</v>
      </c>
    </row>
    <row r="10100" spans="1:10" x14ac:dyDescent="0.25">
      <c r="A10100">
        <v>11337</v>
      </c>
      <c r="B10100" t="s">
        <v>2017</v>
      </c>
      <c r="C10100">
        <v>434</v>
      </c>
      <c r="D10100">
        <v>579</v>
      </c>
      <c r="E10100">
        <v>381694</v>
      </c>
      <c r="F10100">
        <v>5068</v>
      </c>
      <c r="G10100">
        <v>0</v>
      </c>
      <c r="H10100" t="s">
        <v>15013</v>
      </c>
      <c r="I10100">
        <v>11337</v>
      </c>
      <c r="J10100" t="str">
        <f>VLOOKUP(E10100,DSSpieler!A:B,2,FALSE)</f>
        <v>Decimator</v>
      </c>
    </row>
    <row r="10101" spans="1:10" x14ac:dyDescent="0.25">
      <c r="A10101">
        <v>11338</v>
      </c>
      <c r="B10101" t="s">
        <v>34149</v>
      </c>
      <c r="C10101">
        <v>399</v>
      </c>
      <c r="D10101">
        <v>533</v>
      </c>
      <c r="E10101">
        <v>1576295300</v>
      </c>
      <c r="F10101">
        <v>546</v>
      </c>
      <c r="G10101">
        <v>0</v>
      </c>
      <c r="H10101" t="s">
        <v>15014</v>
      </c>
      <c r="I10101">
        <v>11338</v>
      </c>
      <c r="J10101" t="str">
        <f>VLOOKUP(E10101,DSSpieler!A:B,2,FALSE)</f>
        <v>Lord TeRRoRsOldier</v>
      </c>
    </row>
    <row r="10102" spans="1:10" x14ac:dyDescent="0.25">
      <c r="A10102">
        <v>11339</v>
      </c>
      <c r="B10102" t="s">
        <v>531</v>
      </c>
      <c r="C10102">
        <v>495</v>
      </c>
      <c r="D10102">
        <v>603</v>
      </c>
      <c r="E10102">
        <v>0</v>
      </c>
      <c r="F10102">
        <v>767</v>
      </c>
      <c r="G10102">
        <v>0</v>
      </c>
      <c r="H10102" t="s">
        <v>15015</v>
      </c>
      <c r="I10102">
        <v>11339</v>
      </c>
      <c r="J10102" t="e">
        <f>VLOOKUP(E10102,DSSpieler!A:B,2,FALSE)</f>
        <v>#N/A</v>
      </c>
    </row>
    <row r="10103" spans="1:10" x14ac:dyDescent="0.25">
      <c r="A10103">
        <v>11340</v>
      </c>
      <c r="B10103" t="s">
        <v>34150</v>
      </c>
      <c r="C10103">
        <v>544</v>
      </c>
      <c r="D10103">
        <v>422</v>
      </c>
      <c r="E10103">
        <v>1576197248</v>
      </c>
      <c r="F10103">
        <v>5403</v>
      </c>
      <c r="G10103">
        <v>0</v>
      </c>
      <c r="H10103" t="s">
        <v>15016</v>
      </c>
      <c r="I10103">
        <v>11340</v>
      </c>
      <c r="J10103" t="str">
        <f>VLOOKUP(E10103,DSSpieler!A:B,2,FALSE)</f>
        <v>BlackDestroyers</v>
      </c>
    </row>
    <row r="10104" spans="1:10" x14ac:dyDescent="0.25">
      <c r="A10104">
        <v>11341</v>
      </c>
      <c r="B10104" t="s">
        <v>531</v>
      </c>
      <c r="C10104">
        <v>534</v>
      </c>
      <c r="D10104">
        <v>597</v>
      </c>
      <c r="E10104">
        <v>0</v>
      </c>
      <c r="F10104">
        <v>564</v>
      </c>
      <c r="G10104">
        <v>0</v>
      </c>
      <c r="H10104" t="s">
        <v>15017</v>
      </c>
      <c r="I10104">
        <v>11341</v>
      </c>
      <c r="J10104" t="e">
        <f>VLOOKUP(E10104,DSSpieler!A:B,2,FALSE)</f>
        <v>#N/A</v>
      </c>
    </row>
    <row r="10105" spans="1:10" x14ac:dyDescent="0.25">
      <c r="A10105">
        <v>11342</v>
      </c>
      <c r="B10105" t="s">
        <v>2018</v>
      </c>
      <c r="C10105">
        <v>443</v>
      </c>
      <c r="D10105">
        <v>583</v>
      </c>
      <c r="E10105">
        <v>9758051</v>
      </c>
      <c r="F10105">
        <v>4906</v>
      </c>
      <c r="G10105">
        <v>0</v>
      </c>
      <c r="H10105" t="s">
        <v>15018</v>
      </c>
      <c r="I10105">
        <v>11342</v>
      </c>
      <c r="J10105" t="str">
        <f>VLOOKUP(E10105,DSSpieler!A:B,2,FALSE)</f>
        <v>Dovev</v>
      </c>
    </row>
    <row r="10106" spans="1:10" x14ac:dyDescent="0.25">
      <c r="A10106">
        <v>11343</v>
      </c>
      <c r="B10106">
        <v>1</v>
      </c>
      <c r="C10106">
        <v>439</v>
      </c>
      <c r="D10106">
        <v>583</v>
      </c>
      <c r="E10106">
        <v>1576987597</v>
      </c>
      <c r="F10106">
        <v>5091</v>
      </c>
      <c r="G10106">
        <v>0</v>
      </c>
      <c r="H10106" t="s">
        <v>15019</v>
      </c>
      <c r="I10106">
        <v>11343</v>
      </c>
      <c r="J10106" t="str">
        <f>VLOOKUP(E10106,DSSpieler!A:B,2,FALSE)</f>
        <v>mirg</v>
      </c>
    </row>
    <row r="10107" spans="1:10" x14ac:dyDescent="0.25">
      <c r="A10107">
        <v>11344</v>
      </c>
      <c r="B10107" t="s">
        <v>34151</v>
      </c>
      <c r="C10107">
        <v>434</v>
      </c>
      <c r="D10107">
        <v>583</v>
      </c>
      <c r="E10107">
        <v>1577106143</v>
      </c>
      <c r="F10107">
        <v>3785</v>
      </c>
      <c r="G10107">
        <v>0</v>
      </c>
      <c r="H10107" t="s">
        <v>15020</v>
      </c>
      <c r="I10107">
        <v>11344</v>
      </c>
      <c r="J10107" t="str">
        <f>VLOOKUP(E10107,DSSpieler!A:B,2,FALSE)</f>
        <v>DonFrodo</v>
      </c>
    </row>
    <row r="10108" spans="1:10" x14ac:dyDescent="0.25">
      <c r="A10108">
        <v>11345</v>
      </c>
      <c r="B10108" t="s">
        <v>531</v>
      </c>
      <c r="C10108">
        <v>489</v>
      </c>
      <c r="D10108">
        <v>443</v>
      </c>
      <c r="E10108">
        <v>0</v>
      </c>
      <c r="F10108">
        <v>271</v>
      </c>
      <c r="G10108">
        <v>0</v>
      </c>
      <c r="H10108" t="s">
        <v>15021</v>
      </c>
      <c r="I10108">
        <v>11345</v>
      </c>
      <c r="J10108" t="e">
        <f>VLOOKUP(E10108,DSSpieler!A:B,2,FALSE)</f>
        <v>#N/A</v>
      </c>
    </row>
    <row r="10109" spans="1:10" x14ac:dyDescent="0.25">
      <c r="A10109">
        <v>11346</v>
      </c>
      <c r="B10109" t="s">
        <v>531</v>
      </c>
      <c r="C10109">
        <v>449</v>
      </c>
      <c r="D10109">
        <v>595</v>
      </c>
      <c r="E10109">
        <v>0</v>
      </c>
      <c r="F10109">
        <v>703</v>
      </c>
      <c r="G10109">
        <v>0</v>
      </c>
      <c r="H10109" t="s">
        <v>15022</v>
      </c>
      <c r="I10109">
        <v>11346</v>
      </c>
      <c r="J10109" t="e">
        <f>VLOOKUP(E10109,DSSpieler!A:B,2,FALSE)</f>
        <v>#N/A</v>
      </c>
    </row>
    <row r="10110" spans="1:10" x14ac:dyDescent="0.25">
      <c r="A10110">
        <v>11347</v>
      </c>
      <c r="B10110" t="s">
        <v>2019</v>
      </c>
      <c r="C10110">
        <v>437</v>
      </c>
      <c r="D10110">
        <v>581</v>
      </c>
      <c r="E10110">
        <v>1577193698</v>
      </c>
      <c r="F10110">
        <v>5470</v>
      </c>
      <c r="G10110">
        <v>0</v>
      </c>
      <c r="H10110" t="s">
        <v>15023</v>
      </c>
      <c r="I10110">
        <v>11347</v>
      </c>
      <c r="J10110" t="str">
        <f>VLOOKUP(E10110,DSSpieler!A:B,2,FALSE)</f>
        <v>Max Mustermann</v>
      </c>
    </row>
    <row r="10111" spans="1:10" x14ac:dyDescent="0.25">
      <c r="A10111">
        <v>11348</v>
      </c>
      <c r="B10111" t="s">
        <v>979</v>
      </c>
      <c r="C10111">
        <v>496</v>
      </c>
      <c r="D10111">
        <v>605</v>
      </c>
      <c r="E10111">
        <v>1577196881</v>
      </c>
      <c r="F10111">
        <v>1357</v>
      </c>
      <c r="G10111">
        <v>0</v>
      </c>
      <c r="H10111" t="s">
        <v>15024</v>
      </c>
      <c r="I10111">
        <v>11348</v>
      </c>
      <c r="J10111" t="str">
        <f>VLOOKUP(E10111,DSSpieler!A:B,2,FALSE)</f>
        <v>logoutwirzockenminecraft</v>
      </c>
    </row>
    <row r="10112" spans="1:10" x14ac:dyDescent="0.25">
      <c r="A10112">
        <v>11349</v>
      </c>
      <c r="B10112" t="s">
        <v>2020</v>
      </c>
      <c r="C10112">
        <v>415</v>
      </c>
      <c r="D10112">
        <v>571</v>
      </c>
      <c r="E10112">
        <v>8839915</v>
      </c>
      <c r="F10112">
        <v>4509</v>
      </c>
      <c r="G10112">
        <v>0</v>
      </c>
      <c r="H10112" t="s">
        <v>15025</v>
      </c>
      <c r="I10112">
        <v>11349</v>
      </c>
      <c r="J10112" t="str">
        <f>VLOOKUP(E10112,DSSpieler!A:B,2,FALSE)</f>
        <v>BierBaron.</v>
      </c>
    </row>
    <row r="10113" spans="1:10" x14ac:dyDescent="0.25">
      <c r="A10113">
        <v>11351</v>
      </c>
      <c r="B10113" t="s">
        <v>531</v>
      </c>
      <c r="C10113">
        <v>579</v>
      </c>
      <c r="D10113">
        <v>429</v>
      </c>
      <c r="E10113">
        <v>0</v>
      </c>
      <c r="F10113">
        <v>512</v>
      </c>
      <c r="G10113">
        <v>0</v>
      </c>
      <c r="H10113" t="s">
        <v>15026</v>
      </c>
      <c r="I10113">
        <v>11351</v>
      </c>
      <c r="J10113" t="e">
        <f>VLOOKUP(E10113,DSSpieler!A:B,2,FALSE)</f>
        <v>#N/A</v>
      </c>
    </row>
    <row r="10114" spans="1:10" x14ac:dyDescent="0.25">
      <c r="A10114">
        <v>11352</v>
      </c>
      <c r="B10114" t="s">
        <v>531</v>
      </c>
      <c r="C10114">
        <v>480</v>
      </c>
      <c r="D10114">
        <v>397</v>
      </c>
      <c r="E10114">
        <v>0</v>
      </c>
      <c r="F10114">
        <v>236</v>
      </c>
      <c r="G10114">
        <v>0</v>
      </c>
      <c r="H10114" t="s">
        <v>15027</v>
      </c>
      <c r="I10114">
        <v>11352</v>
      </c>
      <c r="J10114" t="e">
        <f>VLOOKUP(E10114,DSSpieler!A:B,2,FALSE)</f>
        <v>#N/A</v>
      </c>
    </row>
    <row r="10115" spans="1:10" x14ac:dyDescent="0.25">
      <c r="A10115">
        <v>11353</v>
      </c>
      <c r="B10115" t="s">
        <v>34152</v>
      </c>
      <c r="C10115">
        <v>475</v>
      </c>
      <c r="D10115">
        <v>573</v>
      </c>
      <c r="E10115">
        <v>1577073303</v>
      </c>
      <c r="F10115">
        <v>2182</v>
      </c>
      <c r="G10115">
        <v>0</v>
      </c>
      <c r="H10115" t="s">
        <v>15028</v>
      </c>
      <c r="I10115">
        <v>11353</v>
      </c>
      <c r="J10115" t="str">
        <f>VLOOKUP(E10115,DSSpieler!A:B,2,FALSE)</f>
        <v>Blechfurt</v>
      </c>
    </row>
    <row r="10116" spans="1:10" x14ac:dyDescent="0.25">
      <c r="A10116">
        <v>11354</v>
      </c>
      <c r="B10116" t="s">
        <v>2021</v>
      </c>
      <c r="C10116">
        <v>434</v>
      </c>
      <c r="D10116">
        <v>582</v>
      </c>
      <c r="E10116">
        <v>9758051</v>
      </c>
      <c r="F10116">
        <v>6212</v>
      </c>
      <c r="G10116">
        <v>0</v>
      </c>
      <c r="H10116" t="s">
        <v>15029</v>
      </c>
      <c r="I10116">
        <v>11354</v>
      </c>
      <c r="J10116" t="str">
        <f>VLOOKUP(E10116,DSSpieler!A:B,2,FALSE)</f>
        <v>Dovev</v>
      </c>
    </row>
    <row r="10117" spans="1:10" x14ac:dyDescent="0.25">
      <c r="A10117">
        <v>11355</v>
      </c>
      <c r="B10117" t="s">
        <v>34153</v>
      </c>
      <c r="C10117">
        <v>462</v>
      </c>
      <c r="D10117">
        <v>502</v>
      </c>
      <c r="E10117">
        <v>9415506</v>
      </c>
      <c r="F10117">
        <v>1209</v>
      </c>
      <c r="G10117">
        <v>0</v>
      </c>
      <c r="H10117" t="s">
        <v>15030</v>
      </c>
      <c r="I10117">
        <v>11355</v>
      </c>
      <c r="J10117" t="str">
        <f>VLOOKUP(E10117,DSSpieler!A:B,2,FALSE)</f>
        <v>AvalonFee</v>
      </c>
    </row>
    <row r="10118" spans="1:10" x14ac:dyDescent="0.25">
      <c r="A10118">
        <v>11356</v>
      </c>
      <c r="B10118" t="s">
        <v>531</v>
      </c>
      <c r="C10118">
        <v>600</v>
      </c>
      <c r="D10118">
        <v>527</v>
      </c>
      <c r="E10118">
        <v>0</v>
      </c>
      <c r="F10118">
        <v>398</v>
      </c>
      <c r="G10118">
        <v>0</v>
      </c>
      <c r="H10118" t="s">
        <v>15031</v>
      </c>
      <c r="I10118">
        <v>11356</v>
      </c>
      <c r="J10118" t="e">
        <f>VLOOKUP(E10118,DSSpieler!A:B,2,FALSE)</f>
        <v>#N/A</v>
      </c>
    </row>
    <row r="10119" spans="1:10" x14ac:dyDescent="0.25">
      <c r="A10119">
        <v>11357</v>
      </c>
      <c r="B10119" t="s">
        <v>531</v>
      </c>
      <c r="C10119">
        <v>550</v>
      </c>
      <c r="D10119">
        <v>509</v>
      </c>
      <c r="E10119">
        <v>0</v>
      </c>
      <c r="F10119">
        <v>428</v>
      </c>
      <c r="G10119">
        <v>0</v>
      </c>
      <c r="H10119" t="s">
        <v>15032</v>
      </c>
      <c r="I10119">
        <v>11357</v>
      </c>
      <c r="J10119" t="e">
        <f>VLOOKUP(E10119,DSSpieler!A:B,2,FALSE)</f>
        <v>#N/A</v>
      </c>
    </row>
    <row r="10120" spans="1:10" x14ac:dyDescent="0.25">
      <c r="A10120">
        <v>11358</v>
      </c>
      <c r="B10120" t="s">
        <v>531</v>
      </c>
      <c r="C10120">
        <v>604</v>
      </c>
      <c r="D10120">
        <v>511</v>
      </c>
      <c r="E10120">
        <v>0</v>
      </c>
      <c r="F10120">
        <v>135</v>
      </c>
      <c r="G10120">
        <v>0</v>
      </c>
      <c r="H10120" t="s">
        <v>15033</v>
      </c>
      <c r="I10120">
        <v>11358</v>
      </c>
      <c r="J10120" t="e">
        <f>VLOOKUP(E10120,DSSpieler!A:B,2,FALSE)</f>
        <v>#N/A</v>
      </c>
    </row>
    <row r="10121" spans="1:10" x14ac:dyDescent="0.25">
      <c r="A10121">
        <v>11359</v>
      </c>
      <c r="B10121" t="s">
        <v>732</v>
      </c>
      <c r="C10121">
        <v>395</v>
      </c>
      <c r="D10121">
        <v>485</v>
      </c>
      <c r="E10121">
        <v>1577198960</v>
      </c>
      <c r="F10121">
        <v>4163</v>
      </c>
      <c r="G10121">
        <v>0</v>
      </c>
      <c r="H10121" t="s">
        <v>452</v>
      </c>
      <c r="I10121">
        <v>11359</v>
      </c>
      <c r="J10121" t="str">
        <f>VLOOKUP(E10121,DSSpieler!A:B,2,FALSE)</f>
        <v>Soleya</v>
      </c>
    </row>
    <row r="10122" spans="1:10" x14ac:dyDescent="0.25">
      <c r="A10122">
        <v>11360</v>
      </c>
      <c r="B10122" t="s">
        <v>531</v>
      </c>
      <c r="C10122">
        <v>450</v>
      </c>
      <c r="D10122">
        <v>410</v>
      </c>
      <c r="E10122">
        <v>0</v>
      </c>
      <c r="F10122">
        <v>298</v>
      </c>
      <c r="G10122">
        <v>0</v>
      </c>
      <c r="H10122" t="s">
        <v>15034</v>
      </c>
      <c r="I10122">
        <v>11360</v>
      </c>
      <c r="J10122" t="e">
        <f>VLOOKUP(E10122,DSSpieler!A:B,2,FALSE)</f>
        <v>#N/A</v>
      </c>
    </row>
    <row r="10123" spans="1:10" x14ac:dyDescent="0.25">
      <c r="A10123">
        <v>11361</v>
      </c>
      <c r="B10123" t="s">
        <v>34154</v>
      </c>
      <c r="C10123">
        <v>438</v>
      </c>
      <c r="D10123">
        <v>412</v>
      </c>
      <c r="E10123">
        <v>1576953927</v>
      </c>
      <c r="F10123">
        <v>5601</v>
      </c>
      <c r="G10123">
        <v>0</v>
      </c>
      <c r="H10123" t="s">
        <v>15035</v>
      </c>
      <c r="I10123">
        <v>11361</v>
      </c>
      <c r="J10123" t="str">
        <f>VLOOKUP(E10123,DSSpieler!A:B,2,FALSE)</f>
        <v>Fürst Finn</v>
      </c>
    </row>
    <row r="10124" spans="1:10" x14ac:dyDescent="0.25">
      <c r="A10124">
        <v>11362</v>
      </c>
      <c r="B10124" t="s">
        <v>34155</v>
      </c>
      <c r="C10124">
        <v>547</v>
      </c>
      <c r="D10124">
        <v>565</v>
      </c>
      <c r="E10124">
        <v>9837616</v>
      </c>
      <c r="F10124">
        <v>5459</v>
      </c>
      <c r="G10124">
        <v>0</v>
      </c>
      <c r="H10124" t="s">
        <v>15036</v>
      </c>
      <c r="I10124">
        <v>11362</v>
      </c>
      <c r="J10124" t="str">
        <f>VLOOKUP(E10124,DSSpieler!A:B,2,FALSE)</f>
        <v>CheckPrime</v>
      </c>
    </row>
    <row r="10125" spans="1:10" x14ac:dyDescent="0.25">
      <c r="A10125">
        <v>11363</v>
      </c>
      <c r="B10125" t="s">
        <v>2022</v>
      </c>
      <c r="C10125">
        <v>409</v>
      </c>
      <c r="D10125">
        <v>562</v>
      </c>
      <c r="E10125">
        <v>1577187434</v>
      </c>
      <c r="F10125">
        <v>5866</v>
      </c>
      <c r="G10125">
        <v>0</v>
      </c>
      <c r="H10125" t="s">
        <v>15037</v>
      </c>
      <c r="I10125">
        <v>11363</v>
      </c>
      <c r="J10125" t="str">
        <f>VLOOKUP(E10125,DSSpieler!A:B,2,FALSE)</f>
        <v>EyeSpy</v>
      </c>
    </row>
    <row r="10126" spans="1:10" x14ac:dyDescent="0.25">
      <c r="A10126">
        <v>11365</v>
      </c>
      <c r="B10126" t="s">
        <v>34156</v>
      </c>
      <c r="C10126">
        <v>558</v>
      </c>
      <c r="D10126">
        <v>587</v>
      </c>
      <c r="E10126">
        <v>1576064169</v>
      </c>
      <c r="F10126">
        <v>6019</v>
      </c>
      <c r="G10126">
        <v>0</v>
      </c>
      <c r="H10126" t="s">
        <v>15038</v>
      </c>
      <c r="I10126">
        <v>11365</v>
      </c>
      <c r="J10126" t="str">
        <f>VLOOKUP(E10126,DSSpieler!A:B,2,FALSE)</f>
        <v>MySkillNoSkill</v>
      </c>
    </row>
    <row r="10127" spans="1:10" x14ac:dyDescent="0.25">
      <c r="A10127">
        <v>11366</v>
      </c>
      <c r="B10127">
        <v>5</v>
      </c>
      <c r="C10127">
        <v>394</v>
      </c>
      <c r="D10127">
        <v>504</v>
      </c>
      <c r="E10127">
        <v>9907962</v>
      </c>
      <c r="F10127">
        <v>5691</v>
      </c>
      <c r="G10127">
        <v>0</v>
      </c>
      <c r="H10127" t="s">
        <v>15039</v>
      </c>
      <c r="I10127">
        <v>11366</v>
      </c>
      <c r="J10127" t="str">
        <f>VLOOKUP(E10127,DSSpieler!A:B,2,FALSE)</f>
        <v>florator</v>
      </c>
    </row>
    <row r="10128" spans="1:10" x14ac:dyDescent="0.25">
      <c r="A10128">
        <v>11367</v>
      </c>
      <c r="B10128" t="s">
        <v>34157</v>
      </c>
      <c r="C10128">
        <v>507</v>
      </c>
      <c r="D10128">
        <v>592</v>
      </c>
      <c r="E10128">
        <v>1577198777</v>
      </c>
      <c r="F10128">
        <v>5821</v>
      </c>
      <c r="G10128">
        <v>0</v>
      </c>
      <c r="H10128" t="s">
        <v>15040</v>
      </c>
      <c r="I10128">
        <v>11367</v>
      </c>
      <c r="J10128" t="str">
        <f>VLOOKUP(E10128,DSSpieler!A:B,2,FALSE)</f>
        <v>Sepp Star</v>
      </c>
    </row>
    <row r="10129" spans="1:10" x14ac:dyDescent="0.25">
      <c r="A10129">
        <v>11368</v>
      </c>
      <c r="B10129" t="s">
        <v>34158</v>
      </c>
      <c r="C10129">
        <v>501</v>
      </c>
      <c r="D10129">
        <v>396</v>
      </c>
      <c r="E10129">
        <v>9613463</v>
      </c>
      <c r="F10129">
        <v>229</v>
      </c>
      <c r="G10129">
        <v>0</v>
      </c>
      <c r="H10129" t="s">
        <v>15041</v>
      </c>
      <c r="I10129">
        <v>11368</v>
      </c>
      <c r="J10129" t="str">
        <f>VLOOKUP(E10129,DSSpieler!A:B,2,FALSE)</f>
        <v>Bookeye</v>
      </c>
    </row>
    <row r="10130" spans="1:10" x14ac:dyDescent="0.25">
      <c r="A10130">
        <v>11369</v>
      </c>
      <c r="B10130" t="s">
        <v>531</v>
      </c>
      <c r="C10130">
        <v>577</v>
      </c>
      <c r="D10130">
        <v>568</v>
      </c>
      <c r="E10130">
        <v>0</v>
      </c>
      <c r="F10130">
        <v>298</v>
      </c>
      <c r="G10130">
        <v>0</v>
      </c>
      <c r="H10130" t="s">
        <v>15042</v>
      </c>
      <c r="I10130">
        <v>11369</v>
      </c>
      <c r="J10130" t="e">
        <f>VLOOKUP(E10130,DSSpieler!A:B,2,FALSE)</f>
        <v>#N/A</v>
      </c>
    </row>
    <row r="10131" spans="1:10" x14ac:dyDescent="0.25">
      <c r="A10131">
        <v>11370</v>
      </c>
      <c r="B10131" t="s">
        <v>531</v>
      </c>
      <c r="C10131">
        <v>576</v>
      </c>
      <c r="D10131">
        <v>431</v>
      </c>
      <c r="E10131">
        <v>0</v>
      </c>
      <c r="F10131">
        <v>218</v>
      </c>
      <c r="G10131">
        <v>0</v>
      </c>
      <c r="H10131" t="s">
        <v>15043</v>
      </c>
      <c r="I10131">
        <v>11370</v>
      </c>
      <c r="J10131" t="e">
        <f>VLOOKUP(E10131,DSSpieler!A:B,2,FALSE)</f>
        <v>#N/A</v>
      </c>
    </row>
    <row r="10132" spans="1:10" x14ac:dyDescent="0.25">
      <c r="A10132">
        <v>11371</v>
      </c>
      <c r="B10132" t="s">
        <v>34159</v>
      </c>
      <c r="C10132">
        <v>422</v>
      </c>
      <c r="D10132">
        <v>581</v>
      </c>
      <c r="E10132">
        <v>1576738680</v>
      </c>
      <c r="F10132">
        <v>1387</v>
      </c>
      <c r="G10132">
        <v>0</v>
      </c>
      <c r="H10132" t="s">
        <v>15044</v>
      </c>
      <c r="I10132">
        <v>11371</v>
      </c>
      <c r="J10132" t="str">
        <f>VLOOKUP(E10132,DSSpieler!A:B,2,FALSE)</f>
        <v>Merun</v>
      </c>
    </row>
    <row r="10133" spans="1:10" x14ac:dyDescent="0.25">
      <c r="A10133">
        <v>11372</v>
      </c>
      <c r="B10133" t="s">
        <v>2023</v>
      </c>
      <c r="C10133">
        <v>602</v>
      </c>
      <c r="D10133">
        <v>527</v>
      </c>
      <c r="E10133">
        <v>3484637</v>
      </c>
      <c r="F10133">
        <v>4145</v>
      </c>
      <c r="G10133">
        <v>0</v>
      </c>
      <c r="H10133" t="s">
        <v>15045</v>
      </c>
      <c r="I10133">
        <v>11372</v>
      </c>
      <c r="J10133" t="str">
        <f>VLOOKUP(E10133,DSSpieler!A:B,2,FALSE)</f>
        <v>Damast</v>
      </c>
    </row>
    <row r="10134" spans="1:10" x14ac:dyDescent="0.25">
      <c r="A10134">
        <v>11373</v>
      </c>
      <c r="B10134" t="s">
        <v>2024</v>
      </c>
      <c r="C10134">
        <v>453</v>
      </c>
      <c r="D10134">
        <v>592</v>
      </c>
      <c r="E10134">
        <v>1576337345</v>
      </c>
      <c r="F10134">
        <v>3892</v>
      </c>
      <c r="G10134">
        <v>0</v>
      </c>
      <c r="H10134" t="s">
        <v>15046</v>
      </c>
      <c r="I10134">
        <v>11373</v>
      </c>
      <c r="J10134" t="str">
        <f>VLOOKUP(E10134,DSSpieler!A:B,2,FALSE)</f>
        <v>Hakuna-Matada</v>
      </c>
    </row>
    <row r="10135" spans="1:10" x14ac:dyDescent="0.25">
      <c r="A10135">
        <v>11374</v>
      </c>
      <c r="B10135" t="s">
        <v>34160</v>
      </c>
      <c r="C10135">
        <v>460</v>
      </c>
      <c r="D10135">
        <v>590</v>
      </c>
      <c r="E10135">
        <v>1576708425</v>
      </c>
      <c r="F10135">
        <v>2836</v>
      </c>
      <c r="G10135">
        <v>0</v>
      </c>
      <c r="H10135" t="s">
        <v>15047</v>
      </c>
      <c r="I10135">
        <v>11374</v>
      </c>
      <c r="J10135" t="str">
        <f>VLOOKUP(E10135,DSSpieler!A:B,2,FALSE)</f>
        <v>Kingatala</v>
      </c>
    </row>
    <row r="10136" spans="1:10" x14ac:dyDescent="0.25">
      <c r="A10136">
        <v>11375</v>
      </c>
      <c r="B10136" t="s">
        <v>531</v>
      </c>
      <c r="C10136">
        <v>603</v>
      </c>
      <c r="D10136">
        <v>506</v>
      </c>
      <c r="E10136">
        <v>0</v>
      </c>
      <c r="F10136">
        <v>157</v>
      </c>
      <c r="G10136">
        <v>0</v>
      </c>
      <c r="H10136" t="s">
        <v>15048</v>
      </c>
      <c r="I10136">
        <v>11375</v>
      </c>
      <c r="J10136" t="e">
        <f>VLOOKUP(E10136,DSSpieler!A:B,2,FALSE)</f>
        <v>#N/A</v>
      </c>
    </row>
    <row r="10137" spans="1:10" x14ac:dyDescent="0.25">
      <c r="A10137">
        <v>11376</v>
      </c>
      <c r="B10137" t="s">
        <v>531</v>
      </c>
      <c r="C10137">
        <v>548</v>
      </c>
      <c r="D10137">
        <v>406</v>
      </c>
      <c r="E10137">
        <v>0</v>
      </c>
      <c r="F10137">
        <v>164</v>
      </c>
      <c r="G10137">
        <v>0</v>
      </c>
      <c r="H10137" t="s">
        <v>15049</v>
      </c>
      <c r="I10137">
        <v>11376</v>
      </c>
      <c r="J10137" t="e">
        <f>VLOOKUP(E10137,DSSpieler!A:B,2,FALSE)</f>
        <v>#N/A</v>
      </c>
    </row>
    <row r="10138" spans="1:10" x14ac:dyDescent="0.25">
      <c r="A10138">
        <v>11377</v>
      </c>
      <c r="B10138" t="s">
        <v>34161</v>
      </c>
      <c r="C10138">
        <v>419</v>
      </c>
      <c r="D10138">
        <v>578</v>
      </c>
      <c r="E10138">
        <v>8954846</v>
      </c>
      <c r="F10138">
        <v>3119</v>
      </c>
      <c r="G10138">
        <v>0</v>
      </c>
      <c r="H10138" t="s">
        <v>15050</v>
      </c>
      <c r="I10138">
        <v>11377</v>
      </c>
      <c r="J10138" t="str">
        <f>VLOOKUP(E10138,DSSpieler!A:B,2,FALSE)</f>
        <v>1000Volt</v>
      </c>
    </row>
    <row r="10139" spans="1:10" x14ac:dyDescent="0.25">
      <c r="A10139">
        <v>11378</v>
      </c>
      <c r="B10139" t="s">
        <v>531</v>
      </c>
      <c r="C10139">
        <v>430</v>
      </c>
      <c r="D10139">
        <v>422</v>
      </c>
      <c r="E10139">
        <v>0</v>
      </c>
      <c r="F10139">
        <v>464</v>
      </c>
      <c r="G10139">
        <v>0</v>
      </c>
      <c r="H10139" t="s">
        <v>15051</v>
      </c>
      <c r="I10139">
        <v>11378</v>
      </c>
      <c r="J10139" t="e">
        <f>VLOOKUP(E10139,DSSpieler!A:B,2,FALSE)</f>
        <v>#N/A</v>
      </c>
    </row>
    <row r="10140" spans="1:10" x14ac:dyDescent="0.25">
      <c r="A10140">
        <v>11379</v>
      </c>
      <c r="B10140" t="s">
        <v>30582</v>
      </c>
      <c r="C10140">
        <v>472</v>
      </c>
      <c r="D10140">
        <v>602</v>
      </c>
      <c r="E10140">
        <v>1577174726</v>
      </c>
      <c r="F10140">
        <v>4356</v>
      </c>
      <c r="G10140">
        <v>0</v>
      </c>
      <c r="H10140" t="s">
        <v>15052</v>
      </c>
      <c r="I10140">
        <v>11379</v>
      </c>
      <c r="J10140" t="str">
        <f>VLOOKUP(E10140,DSSpieler!A:B,2,FALSE)</f>
        <v>Nevada.vP</v>
      </c>
    </row>
    <row r="10141" spans="1:10" x14ac:dyDescent="0.25">
      <c r="A10141">
        <v>11380</v>
      </c>
      <c r="B10141" t="s">
        <v>531</v>
      </c>
      <c r="C10141">
        <v>474</v>
      </c>
      <c r="D10141">
        <v>400</v>
      </c>
      <c r="E10141">
        <v>0</v>
      </c>
      <c r="F10141">
        <v>246</v>
      </c>
      <c r="G10141">
        <v>0</v>
      </c>
      <c r="H10141" t="s">
        <v>15053</v>
      </c>
      <c r="I10141">
        <v>11380</v>
      </c>
      <c r="J10141" t="e">
        <f>VLOOKUP(E10141,DSSpieler!A:B,2,FALSE)</f>
        <v>#N/A</v>
      </c>
    </row>
    <row r="10142" spans="1:10" x14ac:dyDescent="0.25">
      <c r="A10142">
        <v>11381</v>
      </c>
      <c r="B10142" t="s">
        <v>531</v>
      </c>
      <c r="C10142">
        <v>432</v>
      </c>
      <c r="D10142">
        <v>580</v>
      </c>
      <c r="E10142">
        <v>0</v>
      </c>
      <c r="F10142">
        <v>100</v>
      </c>
      <c r="G10142">
        <v>0</v>
      </c>
      <c r="H10142" t="s">
        <v>15054</v>
      </c>
      <c r="I10142">
        <v>11381</v>
      </c>
      <c r="J10142" t="e">
        <f>VLOOKUP(E10142,DSSpieler!A:B,2,FALSE)</f>
        <v>#N/A</v>
      </c>
    </row>
    <row r="10143" spans="1:10" x14ac:dyDescent="0.25">
      <c r="A10143">
        <v>11383</v>
      </c>
      <c r="B10143" t="s">
        <v>1329</v>
      </c>
      <c r="C10143">
        <v>438</v>
      </c>
      <c r="D10143">
        <v>417</v>
      </c>
      <c r="E10143">
        <v>1577181847</v>
      </c>
      <c r="F10143">
        <v>6488</v>
      </c>
      <c r="G10143">
        <v>0</v>
      </c>
      <c r="H10143" t="s">
        <v>15055</v>
      </c>
      <c r="I10143">
        <v>11383</v>
      </c>
      <c r="J10143" t="str">
        <f>VLOOKUP(E10143,DSSpieler!A:B,2,FALSE)</f>
        <v>Parge Lenis73</v>
      </c>
    </row>
    <row r="10144" spans="1:10" x14ac:dyDescent="0.25">
      <c r="A10144">
        <v>11384</v>
      </c>
      <c r="B10144" t="s">
        <v>34162</v>
      </c>
      <c r="C10144">
        <v>398</v>
      </c>
      <c r="D10144">
        <v>484</v>
      </c>
      <c r="E10144">
        <v>10025340</v>
      </c>
      <c r="F10144">
        <v>4657</v>
      </c>
      <c r="G10144">
        <v>0</v>
      </c>
      <c r="H10144" t="s">
        <v>15056</v>
      </c>
      <c r="I10144">
        <v>11384</v>
      </c>
      <c r="J10144" t="str">
        <f>VLOOKUP(E10144,DSSpieler!A:B,2,FALSE)</f>
        <v>Bambus-Mensch</v>
      </c>
    </row>
    <row r="10145" spans="1:10" x14ac:dyDescent="0.25">
      <c r="A10145">
        <v>11385</v>
      </c>
      <c r="B10145" t="s">
        <v>531</v>
      </c>
      <c r="C10145">
        <v>407</v>
      </c>
      <c r="D10145">
        <v>456</v>
      </c>
      <c r="E10145">
        <v>0</v>
      </c>
      <c r="F10145">
        <v>210</v>
      </c>
      <c r="G10145">
        <v>0</v>
      </c>
      <c r="H10145" t="s">
        <v>15057</v>
      </c>
      <c r="I10145">
        <v>11385</v>
      </c>
      <c r="J10145" t="e">
        <f>VLOOKUP(E10145,DSSpieler!A:B,2,FALSE)</f>
        <v>#N/A</v>
      </c>
    </row>
    <row r="10146" spans="1:10" x14ac:dyDescent="0.25">
      <c r="A10146">
        <v>11386</v>
      </c>
      <c r="B10146" t="s">
        <v>34163</v>
      </c>
      <c r="C10146">
        <v>429</v>
      </c>
      <c r="D10146">
        <v>572</v>
      </c>
      <c r="E10146">
        <v>2667871</v>
      </c>
      <c r="F10146">
        <v>5941</v>
      </c>
      <c r="G10146">
        <v>0</v>
      </c>
      <c r="H10146" t="s">
        <v>15058</v>
      </c>
      <c r="I10146">
        <v>11386</v>
      </c>
      <c r="J10146" t="str">
        <f>VLOOKUP(E10146,DSSpieler!A:B,2,FALSE)</f>
        <v>dev.baker</v>
      </c>
    </row>
    <row r="10147" spans="1:10" x14ac:dyDescent="0.25">
      <c r="A10147">
        <v>11387</v>
      </c>
      <c r="B10147" t="s">
        <v>1951</v>
      </c>
      <c r="C10147">
        <v>457</v>
      </c>
      <c r="D10147">
        <v>582</v>
      </c>
      <c r="E10147">
        <v>1577184499</v>
      </c>
      <c r="F10147">
        <v>7446</v>
      </c>
      <c r="G10147">
        <v>0</v>
      </c>
      <c r="H10147" t="s">
        <v>15059</v>
      </c>
      <c r="I10147">
        <v>11387</v>
      </c>
      <c r="J10147" t="str">
        <f>VLOOKUP(E10147,DSSpieler!A:B,2,FALSE)</f>
        <v>EisTea*</v>
      </c>
    </row>
    <row r="10148" spans="1:10" x14ac:dyDescent="0.25">
      <c r="A10148">
        <v>11388</v>
      </c>
      <c r="B10148" t="s">
        <v>983</v>
      </c>
      <c r="C10148">
        <v>435</v>
      </c>
      <c r="D10148">
        <v>472</v>
      </c>
      <c r="E10148">
        <v>9432353</v>
      </c>
      <c r="F10148">
        <v>4857</v>
      </c>
      <c r="G10148">
        <v>0</v>
      </c>
      <c r="H10148" t="s">
        <v>15060</v>
      </c>
      <c r="I10148">
        <v>11388</v>
      </c>
      <c r="J10148" t="str">
        <f>VLOOKUP(E10148,DSSpieler!A:B,2,FALSE)</f>
        <v>nOiiSe</v>
      </c>
    </row>
    <row r="10149" spans="1:10" x14ac:dyDescent="0.25">
      <c r="A10149">
        <v>11389</v>
      </c>
      <c r="B10149" t="s">
        <v>30775</v>
      </c>
      <c r="C10149">
        <v>606</v>
      </c>
      <c r="D10149">
        <v>498</v>
      </c>
      <c r="E10149">
        <v>1577187107</v>
      </c>
      <c r="F10149">
        <v>2251</v>
      </c>
      <c r="G10149">
        <v>0</v>
      </c>
      <c r="H10149" t="s">
        <v>15061</v>
      </c>
      <c r="I10149">
        <v>11389</v>
      </c>
      <c r="J10149" t="str">
        <f>VLOOKUP(E10149,DSSpieler!A:B,2,FALSE)</f>
        <v>Smookylein</v>
      </c>
    </row>
    <row r="10150" spans="1:10" x14ac:dyDescent="0.25">
      <c r="A10150">
        <v>11390</v>
      </c>
      <c r="B10150" t="s">
        <v>531</v>
      </c>
      <c r="C10150">
        <v>418</v>
      </c>
      <c r="D10150">
        <v>438</v>
      </c>
      <c r="E10150">
        <v>0</v>
      </c>
      <c r="F10150">
        <v>421</v>
      </c>
      <c r="G10150">
        <v>0</v>
      </c>
      <c r="H10150" t="s">
        <v>15062</v>
      </c>
      <c r="I10150">
        <v>11390</v>
      </c>
      <c r="J10150" t="e">
        <f>VLOOKUP(E10150,DSSpieler!A:B,2,FALSE)</f>
        <v>#N/A</v>
      </c>
    </row>
    <row r="10151" spans="1:10" x14ac:dyDescent="0.25">
      <c r="A10151">
        <v>11391</v>
      </c>
      <c r="B10151" t="s">
        <v>2025</v>
      </c>
      <c r="C10151">
        <v>600</v>
      </c>
      <c r="D10151">
        <v>537</v>
      </c>
      <c r="E10151">
        <v>9448451</v>
      </c>
      <c r="F10151">
        <v>1266</v>
      </c>
      <c r="G10151">
        <v>0</v>
      </c>
      <c r="H10151" t="s">
        <v>15063</v>
      </c>
      <c r="I10151">
        <v>11391</v>
      </c>
      <c r="J10151" t="str">
        <f>VLOOKUP(E10151,DSSpieler!A:B,2,FALSE)</f>
        <v>Turbo-Ghost</v>
      </c>
    </row>
    <row r="10152" spans="1:10" x14ac:dyDescent="0.25">
      <c r="A10152">
        <v>11392</v>
      </c>
      <c r="B10152" t="s">
        <v>531</v>
      </c>
      <c r="C10152">
        <v>397</v>
      </c>
      <c r="D10152">
        <v>506</v>
      </c>
      <c r="E10152">
        <v>0</v>
      </c>
      <c r="F10152">
        <v>383</v>
      </c>
      <c r="G10152">
        <v>0</v>
      </c>
      <c r="H10152" t="s">
        <v>15064</v>
      </c>
      <c r="I10152">
        <v>11392</v>
      </c>
      <c r="J10152" t="e">
        <f>VLOOKUP(E10152,DSSpieler!A:B,2,FALSE)</f>
        <v>#N/A</v>
      </c>
    </row>
    <row r="10153" spans="1:10" x14ac:dyDescent="0.25">
      <c r="A10153">
        <v>11394</v>
      </c>
      <c r="B10153" t="s">
        <v>35852</v>
      </c>
      <c r="C10153">
        <v>476</v>
      </c>
      <c r="D10153">
        <v>437</v>
      </c>
      <c r="E10153">
        <v>8979093</v>
      </c>
      <c r="F10153">
        <v>4472</v>
      </c>
      <c r="G10153">
        <v>0</v>
      </c>
      <c r="H10153" t="s">
        <v>15065</v>
      </c>
      <c r="I10153">
        <v>11394</v>
      </c>
      <c r="J10153" t="str">
        <f>VLOOKUP(E10153,DSSpieler!A:B,2,FALSE)</f>
        <v>colderaser</v>
      </c>
    </row>
    <row r="10154" spans="1:10" x14ac:dyDescent="0.25">
      <c r="A10154">
        <v>11395</v>
      </c>
      <c r="B10154" t="s">
        <v>34164</v>
      </c>
      <c r="C10154">
        <v>478</v>
      </c>
      <c r="D10154">
        <v>399</v>
      </c>
      <c r="E10154">
        <v>9259920</v>
      </c>
      <c r="F10154">
        <v>268</v>
      </c>
      <c r="G10154">
        <v>0</v>
      </c>
      <c r="H10154" t="s">
        <v>15066</v>
      </c>
      <c r="I10154">
        <v>11395</v>
      </c>
      <c r="J10154" t="str">
        <f>VLOOKUP(E10154,DSSpieler!A:B,2,FALSE)</f>
        <v>Killer. Monster</v>
      </c>
    </row>
    <row r="10155" spans="1:10" x14ac:dyDescent="0.25">
      <c r="A10155">
        <v>11396</v>
      </c>
      <c r="B10155" t="s">
        <v>979</v>
      </c>
      <c r="C10155">
        <v>524</v>
      </c>
      <c r="D10155">
        <v>590</v>
      </c>
      <c r="E10155">
        <v>1577197776</v>
      </c>
      <c r="F10155">
        <v>6241</v>
      </c>
      <c r="G10155">
        <v>0</v>
      </c>
      <c r="H10155" t="s">
        <v>15067</v>
      </c>
      <c r="I10155">
        <v>11396</v>
      </c>
      <c r="J10155" t="str">
        <f>VLOOKUP(E10155,DSSpieler!A:B,2,FALSE)</f>
        <v>Beefky</v>
      </c>
    </row>
    <row r="10156" spans="1:10" x14ac:dyDescent="0.25">
      <c r="A10156">
        <v>11397</v>
      </c>
      <c r="B10156" t="s">
        <v>2026</v>
      </c>
      <c r="C10156">
        <v>438</v>
      </c>
      <c r="D10156">
        <v>589</v>
      </c>
      <c r="E10156">
        <v>1577193698</v>
      </c>
      <c r="F10156">
        <v>5480</v>
      </c>
      <c r="G10156">
        <v>0</v>
      </c>
      <c r="H10156" t="s">
        <v>15068</v>
      </c>
      <c r="I10156">
        <v>11397</v>
      </c>
      <c r="J10156" t="str">
        <f>VLOOKUP(E10156,DSSpieler!A:B,2,FALSE)</f>
        <v>Max Mustermann</v>
      </c>
    </row>
    <row r="10157" spans="1:10" x14ac:dyDescent="0.25">
      <c r="A10157">
        <v>11398</v>
      </c>
      <c r="B10157" t="s">
        <v>34165</v>
      </c>
      <c r="C10157">
        <v>456</v>
      </c>
      <c r="D10157">
        <v>566</v>
      </c>
      <c r="E10157">
        <v>9871295</v>
      </c>
      <c r="F10157">
        <v>1577</v>
      </c>
      <c r="G10157">
        <v>0</v>
      </c>
      <c r="H10157" t="s">
        <v>15069</v>
      </c>
      <c r="I10157">
        <v>11398</v>
      </c>
      <c r="J10157" t="str">
        <f>VLOOKUP(E10157,DSSpieler!A:B,2,FALSE)</f>
        <v>Michael2502</v>
      </c>
    </row>
    <row r="10158" spans="1:10" x14ac:dyDescent="0.25">
      <c r="A10158">
        <v>11399</v>
      </c>
      <c r="B10158" t="s">
        <v>1977</v>
      </c>
      <c r="C10158">
        <v>425</v>
      </c>
      <c r="D10158">
        <v>563</v>
      </c>
      <c r="E10158">
        <v>1577198794</v>
      </c>
      <c r="F10158">
        <v>5445</v>
      </c>
      <c r="G10158">
        <v>0</v>
      </c>
      <c r="H10158" t="s">
        <v>15070</v>
      </c>
      <c r="I10158">
        <v>11399</v>
      </c>
      <c r="J10158" t="str">
        <f>VLOOKUP(E10158,DSSpieler!A:B,2,FALSE)</f>
        <v>Quambec</v>
      </c>
    </row>
    <row r="10159" spans="1:10" x14ac:dyDescent="0.25">
      <c r="A10159">
        <v>11400</v>
      </c>
      <c r="B10159" t="s">
        <v>34166</v>
      </c>
      <c r="C10159">
        <v>406</v>
      </c>
      <c r="D10159">
        <v>542</v>
      </c>
      <c r="E10159">
        <v>1576807256</v>
      </c>
      <c r="F10159">
        <v>5733</v>
      </c>
      <c r="G10159">
        <v>0</v>
      </c>
      <c r="H10159" t="s">
        <v>15071</v>
      </c>
      <c r="I10159">
        <v>11400</v>
      </c>
      <c r="J10159" t="str">
        <f>VLOOKUP(E10159,DSSpieler!A:B,2,FALSE)</f>
        <v>Tänkeplatsen</v>
      </c>
    </row>
    <row r="10160" spans="1:10" x14ac:dyDescent="0.25">
      <c r="A10160">
        <v>11401</v>
      </c>
      <c r="B10160" t="s">
        <v>531</v>
      </c>
      <c r="C10160">
        <v>572</v>
      </c>
      <c r="D10160">
        <v>429</v>
      </c>
      <c r="E10160">
        <v>0</v>
      </c>
      <c r="F10160">
        <v>428</v>
      </c>
      <c r="G10160">
        <v>0</v>
      </c>
      <c r="H10160" t="s">
        <v>15072</v>
      </c>
      <c r="I10160">
        <v>11401</v>
      </c>
      <c r="J10160" t="e">
        <f>VLOOKUP(E10160,DSSpieler!A:B,2,FALSE)</f>
        <v>#N/A</v>
      </c>
    </row>
    <row r="10161" spans="1:10" x14ac:dyDescent="0.25">
      <c r="A10161">
        <v>11403</v>
      </c>
      <c r="B10161" t="s">
        <v>31511</v>
      </c>
      <c r="C10161">
        <v>520</v>
      </c>
      <c r="D10161">
        <v>425</v>
      </c>
      <c r="E10161">
        <v>1577177125</v>
      </c>
      <c r="F10161">
        <v>6752</v>
      </c>
      <c r="G10161">
        <v>0</v>
      </c>
      <c r="H10161" t="s">
        <v>15073</v>
      </c>
      <c r="I10161">
        <v>11403</v>
      </c>
      <c r="J10161" t="str">
        <f>VLOOKUP(E10161,DSSpieler!A:B,2,FALSE)</f>
        <v>DeffBot</v>
      </c>
    </row>
    <row r="10162" spans="1:10" x14ac:dyDescent="0.25">
      <c r="A10162">
        <v>11405</v>
      </c>
      <c r="B10162" t="s">
        <v>531</v>
      </c>
      <c r="C10162">
        <v>561</v>
      </c>
      <c r="D10162">
        <v>572</v>
      </c>
      <c r="E10162">
        <v>0</v>
      </c>
      <c r="F10162">
        <v>499</v>
      </c>
      <c r="G10162">
        <v>0</v>
      </c>
      <c r="H10162" t="s">
        <v>15074</v>
      </c>
      <c r="I10162">
        <v>11405</v>
      </c>
      <c r="J10162" t="e">
        <f>VLOOKUP(E10162,DSSpieler!A:B,2,FALSE)</f>
        <v>#N/A</v>
      </c>
    </row>
    <row r="10163" spans="1:10" x14ac:dyDescent="0.25">
      <c r="A10163">
        <v>11406</v>
      </c>
      <c r="B10163" t="s">
        <v>1438</v>
      </c>
      <c r="C10163">
        <v>446</v>
      </c>
      <c r="D10163">
        <v>410</v>
      </c>
      <c r="E10163">
        <v>1577183207</v>
      </c>
      <c r="F10163">
        <v>6492</v>
      </c>
      <c r="G10163">
        <v>0</v>
      </c>
      <c r="H10163" t="s">
        <v>15075</v>
      </c>
      <c r="I10163">
        <v>11406</v>
      </c>
      <c r="J10163" t="str">
        <f>VLOOKUP(E10163,DSSpieler!A:B,2,FALSE)</f>
        <v>dubfried</v>
      </c>
    </row>
    <row r="10164" spans="1:10" x14ac:dyDescent="0.25">
      <c r="A10164">
        <v>11407</v>
      </c>
      <c r="B10164" t="e">
        <f>-1-+Magdeburg</f>
        <v>#NAME?</v>
      </c>
      <c r="C10164">
        <v>397</v>
      </c>
      <c r="D10164">
        <v>536</v>
      </c>
      <c r="E10164">
        <v>1576694124</v>
      </c>
      <c r="F10164">
        <v>4187</v>
      </c>
      <c r="G10164">
        <v>0</v>
      </c>
      <c r="H10164" t="s">
        <v>15076</v>
      </c>
      <c r="I10164">
        <v>11407</v>
      </c>
      <c r="J10164" t="str">
        <f>VLOOKUP(E10164,DSSpieler!A:B,2,FALSE)</f>
        <v>Trinfect</v>
      </c>
    </row>
    <row r="10165" spans="1:10" x14ac:dyDescent="0.25">
      <c r="A10165">
        <v>11408</v>
      </c>
      <c r="B10165" t="s">
        <v>2027</v>
      </c>
      <c r="C10165">
        <v>601</v>
      </c>
      <c r="D10165">
        <v>475</v>
      </c>
      <c r="E10165">
        <v>2241644</v>
      </c>
      <c r="F10165">
        <v>2530</v>
      </c>
      <c r="G10165">
        <v>0</v>
      </c>
      <c r="H10165" t="s">
        <v>15077</v>
      </c>
      <c r="I10165">
        <v>11408</v>
      </c>
      <c r="J10165" t="str">
        <f>VLOOKUP(E10165,DSSpieler!A:B,2,FALSE)</f>
        <v>ulanbator</v>
      </c>
    </row>
    <row r="10166" spans="1:10" x14ac:dyDescent="0.25">
      <c r="A10166">
        <v>11409</v>
      </c>
      <c r="B10166" t="s">
        <v>2028</v>
      </c>
      <c r="C10166">
        <v>443</v>
      </c>
      <c r="D10166">
        <v>582</v>
      </c>
      <c r="E10166">
        <v>8828213</v>
      </c>
      <c r="F10166">
        <v>6052</v>
      </c>
      <c r="G10166">
        <v>0</v>
      </c>
      <c r="H10166" t="s">
        <v>15078</v>
      </c>
      <c r="I10166">
        <v>11409</v>
      </c>
      <c r="J10166" t="str">
        <f>VLOOKUP(E10166,DSSpieler!A:B,2,FALSE)</f>
        <v>Neon XXiiV</v>
      </c>
    </row>
    <row r="10167" spans="1:10" x14ac:dyDescent="0.25">
      <c r="A10167">
        <v>11410</v>
      </c>
      <c r="B10167" t="s">
        <v>34167</v>
      </c>
      <c r="C10167">
        <v>450</v>
      </c>
      <c r="D10167">
        <v>518</v>
      </c>
      <c r="E10167">
        <v>1577181005</v>
      </c>
      <c r="F10167">
        <v>3887</v>
      </c>
      <c r="G10167">
        <v>0</v>
      </c>
      <c r="H10167" t="s">
        <v>15079</v>
      </c>
      <c r="I10167">
        <v>11410</v>
      </c>
      <c r="J10167" t="str">
        <f>VLOOKUP(E10167,DSSpieler!A:B,2,FALSE)</f>
        <v>Borchi</v>
      </c>
    </row>
    <row r="10168" spans="1:10" x14ac:dyDescent="0.25">
      <c r="A10168">
        <v>11412</v>
      </c>
      <c r="B10168" t="s">
        <v>34168</v>
      </c>
      <c r="C10168">
        <v>523</v>
      </c>
      <c r="D10168">
        <v>550</v>
      </c>
      <c r="E10168">
        <v>1577198800</v>
      </c>
      <c r="F10168">
        <v>6366</v>
      </c>
      <c r="G10168">
        <v>0</v>
      </c>
      <c r="H10168" t="s">
        <v>15080</v>
      </c>
      <c r="I10168">
        <v>11412</v>
      </c>
      <c r="J10168" t="str">
        <f>VLOOKUP(E10168,DSSpieler!A:B,2,FALSE)</f>
        <v>Ulbanizer1412</v>
      </c>
    </row>
    <row r="10169" spans="1:10" x14ac:dyDescent="0.25">
      <c r="A10169">
        <v>11413</v>
      </c>
      <c r="B10169" t="s">
        <v>531</v>
      </c>
      <c r="C10169">
        <v>403</v>
      </c>
      <c r="D10169">
        <v>533</v>
      </c>
      <c r="E10169">
        <v>0</v>
      </c>
      <c r="F10169">
        <v>224</v>
      </c>
      <c r="G10169">
        <v>0</v>
      </c>
      <c r="H10169" t="s">
        <v>15081</v>
      </c>
      <c r="I10169">
        <v>11413</v>
      </c>
      <c r="J10169" t="e">
        <f>VLOOKUP(E10169,DSSpieler!A:B,2,FALSE)</f>
        <v>#N/A</v>
      </c>
    </row>
    <row r="10170" spans="1:10" x14ac:dyDescent="0.25">
      <c r="A10170">
        <v>11414</v>
      </c>
      <c r="B10170">
        <v>3</v>
      </c>
      <c r="C10170">
        <v>527</v>
      </c>
      <c r="D10170">
        <v>462</v>
      </c>
      <c r="E10170">
        <v>1577108749</v>
      </c>
      <c r="F10170">
        <v>4948</v>
      </c>
      <c r="G10170">
        <v>0</v>
      </c>
      <c r="H10170" t="s">
        <v>15082</v>
      </c>
      <c r="I10170">
        <v>11414</v>
      </c>
      <c r="J10170" t="str">
        <f>VLOOKUP(E10170,DSSpieler!A:B,2,FALSE)</f>
        <v>IVVI</v>
      </c>
    </row>
    <row r="10171" spans="1:10" x14ac:dyDescent="0.25">
      <c r="A10171">
        <v>11415</v>
      </c>
      <c r="B10171" t="s">
        <v>34169</v>
      </c>
      <c r="C10171">
        <v>457</v>
      </c>
      <c r="D10171">
        <v>397</v>
      </c>
      <c r="E10171">
        <v>2020069</v>
      </c>
      <c r="F10171">
        <v>4113</v>
      </c>
      <c r="G10171">
        <v>0</v>
      </c>
      <c r="H10171" t="s">
        <v>15083</v>
      </c>
      <c r="I10171">
        <v>11415</v>
      </c>
      <c r="J10171" t="str">
        <f>VLOOKUP(E10171,DSSpieler!A:B,2,FALSE)</f>
        <v>THIS IS SPARTAA</v>
      </c>
    </row>
    <row r="10172" spans="1:10" x14ac:dyDescent="0.25">
      <c r="A10172">
        <v>11416</v>
      </c>
      <c r="B10172" t="s">
        <v>531</v>
      </c>
      <c r="C10172">
        <v>576</v>
      </c>
      <c r="D10172">
        <v>568</v>
      </c>
      <c r="E10172">
        <v>0</v>
      </c>
      <c r="F10172">
        <v>268</v>
      </c>
      <c r="G10172">
        <v>0</v>
      </c>
      <c r="H10172" t="s">
        <v>15084</v>
      </c>
      <c r="I10172">
        <v>11416</v>
      </c>
      <c r="J10172" t="e">
        <f>VLOOKUP(E10172,DSSpieler!A:B,2,FALSE)</f>
        <v>#N/A</v>
      </c>
    </row>
    <row r="10173" spans="1:10" x14ac:dyDescent="0.25">
      <c r="A10173">
        <v>11417</v>
      </c>
      <c r="B10173" t="s">
        <v>34170</v>
      </c>
      <c r="C10173">
        <v>510</v>
      </c>
      <c r="D10173">
        <v>509</v>
      </c>
      <c r="E10173">
        <v>1577035453</v>
      </c>
      <c r="F10173">
        <v>4664</v>
      </c>
      <c r="G10173">
        <v>0</v>
      </c>
      <c r="H10173" t="s">
        <v>15085</v>
      </c>
      <c r="I10173">
        <v>11417</v>
      </c>
      <c r="J10173" t="str">
        <f>VLOOKUP(E10173,DSSpieler!A:B,2,FALSE)</f>
        <v>wolfy60</v>
      </c>
    </row>
    <row r="10174" spans="1:10" x14ac:dyDescent="0.25">
      <c r="A10174">
        <v>11418</v>
      </c>
      <c r="B10174" t="s">
        <v>34171</v>
      </c>
      <c r="C10174">
        <v>437</v>
      </c>
      <c r="D10174">
        <v>584</v>
      </c>
      <c r="E10174">
        <v>8720410</v>
      </c>
      <c r="F10174">
        <v>5887</v>
      </c>
      <c r="G10174">
        <v>0</v>
      </c>
      <c r="H10174" t="s">
        <v>15086</v>
      </c>
      <c r="I10174">
        <v>11418</v>
      </c>
      <c r="J10174" t="str">
        <f>VLOOKUP(E10174,DSSpieler!A:B,2,FALSE)</f>
        <v>el charlynero</v>
      </c>
    </row>
    <row r="10175" spans="1:10" x14ac:dyDescent="0.25">
      <c r="A10175">
        <v>11419</v>
      </c>
      <c r="B10175" t="s">
        <v>2029</v>
      </c>
      <c r="C10175">
        <v>600</v>
      </c>
      <c r="D10175">
        <v>520</v>
      </c>
      <c r="E10175">
        <v>239399</v>
      </c>
      <c r="F10175">
        <v>2548</v>
      </c>
      <c r="G10175">
        <v>0</v>
      </c>
      <c r="H10175" t="s">
        <v>15087</v>
      </c>
      <c r="I10175">
        <v>11419</v>
      </c>
      <c r="J10175" t="str">
        <f>VLOOKUP(E10175,DSSpieler!A:B,2,FALSE)</f>
        <v>Goldnase</v>
      </c>
    </row>
    <row r="10176" spans="1:10" x14ac:dyDescent="0.25">
      <c r="A10176">
        <v>11420</v>
      </c>
      <c r="B10176" t="s">
        <v>2030</v>
      </c>
      <c r="C10176">
        <v>444</v>
      </c>
      <c r="D10176">
        <v>415</v>
      </c>
      <c r="E10176">
        <v>1576765186</v>
      </c>
      <c r="F10176">
        <v>920</v>
      </c>
      <c r="G10176">
        <v>0</v>
      </c>
      <c r="H10176" t="s">
        <v>15088</v>
      </c>
      <c r="I10176">
        <v>11420</v>
      </c>
      <c r="J10176" t="str">
        <f>VLOOKUP(E10176,DSSpieler!A:B,2,FALSE)</f>
        <v>ffcbr</v>
      </c>
    </row>
    <row r="10177" spans="1:10" x14ac:dyDescent="0.25">
      <c r="A10177">
        <v>11421</v>
      </c>
      <c r="B10177" t="s">
        <v>31047</v>
      </c>
      <c r="C10177">
        <v>479</v>
      </c>
      <c r="D10177">
        <v>531</v>
      </c>
      <c r="E10177">
        <v>7811335</v>
      </c>
      <c r="F10177">
        <v>2766</v>
      </c>
      <c r="G10177">
        <v>0</v>
      </c>
      <c r="H10177" t="s">
        <v>15089</v>
      </c>
      <c r="I10177">
        <v>11421</v>
      </c>
      <c r="J10177" t="str">
        <f>VLOOKUP(E10177,DSSpieler!A:B,2,FALSE)</f>
        <v>SnakeMountain</v>
      </c>
    </row>
    <row r="10178" spans="1:10" x14ac:dyDescent="0.25">
      <c r="A10178">
        <v>11422</v>
      </c>
      <c r="B10178">
        <v>1</v>
      </c>
      <c r="C10178">
        <v>447</v>
      </c>
      <c r="D10178">
        <v>598</v>
      </c>
      <c r="E10178">
        <v>1577198803</v>
      </c>
      <c r="F10178">
        <v>6602</v>
      </c>
      <c r="G10178">
        <v>0</v>
      </c>
      <c r="H10178" t="s">
        <v>15090</v>
      </c>
      <c r="I10178">
        <v>11422</v>
      </c>
      <c r="J10178" t="str">
        <f>VLOOKUP(E10178,DSSpieler!A:B,2,FALSE)</f>
        <v>Gilsandro</v>
      </c>
    </row>
    <row r="10179" spans="1:10" x14ac:dyDescent="0.25">
      <c r="A10179">
        <v>11423</v>
      </c>
      <c r="B10179" t="s">
        <v>2031</v>
      </c>
      <c r="C10179">
        <v>529</v>
      </c>
      <c r="D10179">
        <v>422</v>
      </c>
      <c r="E10179">
        <v>3143028</v>
      </c>
      <c r="F10179">
        <v>6060</v>
      </c>
      <c r="G10179">
        <v>0</v>
      </c>
      <c r="H10179" t="s">
        <v>15091</v>
      </c>
      <c r="I10179">
        <v>11423</v>
      </c>
      <c r="J10179" t="str">
        <f>VLOOKUP(E10179,DSSpieler!A:B,2,FALSE)</f>
        <v>Tom Traitor</v>
      </c>
    </row>
    <row r="10180" spans="1:10" x14ac:dyDescent="0.25">
      <c r="A10180">
        <v>11424</v>
      </c>
      <c r="B10180" t="s">
        <v>34172</v>
      </c>
      <c r="C10180">
        <v>413</v>
      </c>
      <c r="D10180">
        <v>556</v>
      </c>
      <c r="E10180">
        <v>9623859</v>
      </c>
      <c r="F10180">
        <v>5385</v>
      </c>
      <c r="G10180">
        <v>0</v>
      </c>
      <c r="H10180" t="s">
        <v>15092</v>
      </c>
      <c r="I10180">
        <v>11424</v>
      </c>
      <c r="J10180" t="str">
        <f>VLOOKUP(E10180,DSSpieler!A:B,2,FALSE)</f>
        <v>N o v a a R</v>
      </c>
    </row>
    <row r="10181" spans="1:10" x14ac:dyDescent="0.25">
      <c r="A10181">
        <v>11425</v>
      </c>
      <c r="B10181">
        <v>2</v>
      </c>
      <c r="C10181">
        <v>490</v>
      </c>
      <c r="D10181">
        <v>604</v>
      </c>
      <c r="E10181">
        <v>10174050</v>
      </c>
      <c r="F10181">
        <v>2282</v>
      </c>
      <c r="G10181">
        <v>0</v>
      </c>
      <c r="H10181" t="s">
        <v>15093</v>
      </c>
      <c r="I10181">
        <v>11425</v>
      </c>
      <c r="J10181" t="str">
        <f>VLOOKUP(E10181,DSSpieler!A:B,2,FALSE)</f>
        <v>Chilla008</v>
      </c>
    </row>
    <row r="10182" spans="1:10" x14ac:dyDescent="0.25">
      <c r="A10182">
        <v>11426</v>
      </c>
      <c r="B10182" t="s">
        <v>34173</v>
      </c>
      <c r="C10182">
        <v>601</v>
      </c>
      <c r="D10182">
        <v>468</v>
      </c>
      <c r="E10182">
        <v>1577175443</v>
      </c>
      <c r="F10182">
        <v>2001</v>
      </c>
      <c r="G10182">
        <v>0</v>
      </c>
      <c r="H10182" t="s">
        <v>15094</v>
      </c>
      <c r="I10182">
        <v>11426</v>
      </c>
      <c r="J10182" t="str">
        <f>VLOOKUP(E10182,DSSpieler!A:B,2,FALSE)</f>
        <v>HilloGames</v>
      </c>
    </row>
    <row r="10183" spans="1:10" x14ac:dyDescent="0.25">
      <c r="A10183">
        <v>11427</v>
      </c>
      <c r="B10183" t="s">
        <v>531</v>
      </c>
      <c r="C10183">
        <v>400</v>
      </c>
      <c r="D10183">
        <v>464</v>
      </c>
      <c r="E10183">
        <v>0</v>
      </c>
      <c r="F10183">
        <v>256</v>
      </c>
      <c r="G10183">
        <v>0</v>
      </c>
      <c r="H10183" t="s">
        <v>15095</v>
      </c>
      <c r="I10183">
        <v>11427</v>
      </c>
      <c r="J10183" t="e">
        <f>VLOOKUP(E10183,DSSpieler!A:B,2,FALSE)</f>
        <v>#N/A</v>
      </c>
    </row>
    <row r="10184" spans="1:10" x14ac:dyDescent="0.25">
      <c r="A10184">
        <v>11428</v>
      </c>
      <c r="B10184" t="s">
        <v>531</v>
      </c>
      <c r="C10184">
        <v>546</v>
      </c>
      <c r="D10184">
        <v>407</v>
      </c>
      <c r="E10184">
        <v>0</v>
      </c>
      <c r="F10184">
        <v>696</v>
      </c>
      <c r="G10184">
        <v>0</v>
      </c>
      <c r="H10184" t="s">
        <v>15096</v>
      </c>
      <c r="I10184">
        <v>11428</v>
      </c>
      <c r="J10184" t="e">
        <f>VLOOKUP(E10184,DSSpieler!A:B,2,FALSE)</f>
        <v>#N/A</v>
      </c>
    </row>
    <row r="10185" spans="1:10" x14ac:dyDescent="0.25">
      <c r="A10185">
        <v>11429</v>
      </c>
      <c r="B10185" t="s">
        <v>34174</v>
      </c>
      <c r="C10185">
        <v>569</v>
      </c>
      <c r="D10185">
        <v>589</v>
      </c>
      <c r="E10185">
        <v>1759370</v>
      </c>
      <c r="F10185">
        <v>3329</v>
      </c>
      <c r="G10185">
        <v>0</v>
      </c>
      <c r="H10185" t="s">
        <v>15097</v>
      </c>
      <c r="I10185">
        <v>11429</v>
      </c>
      <c r="J10185" t="str">
        <f>VLOOKUP(E10185,DSSpieler!A:B,2,FALSE)</f>
        <v>Dalledara</v>
      </c>
    </row>
    <row r="10186" spans="1:10" x14ac:dyDescent="0.25">
      <c r="A10186">
        <v>11430</v>
      </c>
      <c r="B10186" t="s">
        <v>33666</v>
      </c>
      <c r="C10186">
        <v>489</v>
      </c>
      <c r="D10186">
        <v>414</v>
      </c>
      <c r="E10186">
        <v>1576057331</v>
      </c>
      <c r="F10186">
        <v>6476</v>
      </c>
      <c r="G10186">
        <v>0</v>
      </c>
      <c r="H10186" t="s">
        <v>15098</v>
      </c>
      <c r="I10186">
        <v>11430</v>
      </c>
      <c r="J10186" t="str">
        <f>VLOOKUP(E10186,DSSpieler!A:B,2,FALSE)</f>
        <v>baarbratings</v>
      </c>
    </row>
    <row r="10187" spans="1:10" x14ac:dyDescent="0.25">
      <c r="A10187">
        <v>11431</v>
      </c>
      <c r="B10187" t="s">
        <v>531</v>
      </c>
      <c r="C10187">
        <v>486</v>
      </c>
      <c r="D10187">
        <v>604</v>
      </c>
      <c r="E10187">
        <v>0</v>
      </c>
      <c r="F10187">
        <v>273</v>
      </c>
      <c r="G10187">
        <v>0</v>
      </c>
      <c r="H10187" t="s">
        <v>15099</v>
      </c>
      <c r="I10187">
        <v>11431</v>
      </c>
      <c r="J10187" t="e">
        <f>VLOOKUP(E10187,DSSpieler!A:B,2,FALSE)</f>
        <v>#N/A</v>
      </c>
    </row>
    <row r="10188" spans="1:10" x14ac:dyDescent="0.25">
      <c r="A10188">
        <v>11433</v>
      </c>
      <c r="B10188" t="s">
        <v>34175</v>
      </c>
      <c r="C10188">
        <v>524</v>
      </c>
      <c r="D10188">
        <v>553</v>
      </c>
      <c r="E10188">
        <v>1577198800</v>
      </c>
      <c r="F10188">
        <v>3170</v>
      </c>
      <c r="G10188">
        <v>0</v>
      </c>
      <c r="H10188" t="s">
        <v>15100</v>
      </c>
      <c r="I10188">
        <v>11433</v>
      </c>
      <c r="J10188" t="str">
        <f>VLOOKUP(E10188,DSSpieler!A:B,2,FALSE)</f>
        <v>Ulbanizer1412</v>
      </c>
    </row>
    <row r="10189" spans="1:10" x14ac:dyDescent="0.25">
      <c r="A10189">
        <v>11434</v>
      </c>
      <c r="B10189" t="s">
        <v>531</v>
      </c>
      <c r="C10189">
        <v>394</v>
      </c>
      <c r="D10189">
        <v>499</v>
      </c>
      <c r="E10189">
        <v>0</v>
      </c>
      <c r="F10189">
        <v>160</v>
      </c>
      <c r="G10189">
        <v>0</v>
      </c>
      <c r="H10189" t="s">
        <v>15101</v>
      </c>
      <c r="I10189">
        <v>11434</v>
      </c>
      <c r="J10189" t="e">
        <f>VLOOKUP(E10189,DSSpieler!A:B,2,FALSE)</f>
        <v>#N/A</v>
      </c>
    </row>
    <row r="10190" spans="1:10" x14ac:dyDescent="0.25">
      <c r="A10190">
        <v>11436</v>
      </c>
      <c r="B10190" t="s">
        <v>545</v>
      </c>
      <c r="C10190">
        <v>476</v>
      </c>
      <c r="D10190">
        <v>546</v>
      </c>
      <c r="E10190">
        <v>1577188737</v>
      </c>
      <c r="F10190">
        <v>4473</v>
      </c>
      <c r="G10190">
        <v>0</v>
      </c>
      <c r="H10190" t="s">
        <v>15102</v>
      </c>
      <c r="I10190">
        <v>11436</v>
      </c>
      <c r="J10190" t="str">
        <f>VLOOKUP(E10190,DSSpieler!A:B,2,FALSE)</f>
        <v>Ron1604</v>
      </c>
    </row>
    <row r="10191" spans="1:10" x14ac:dyDescent="0.25">
      <c r="A10191">
        <v>11437</v>
      </c>
      <c r="B10191" t="s">
        <v>34176</v>
      </c>
      <c r="C10191">
        <v>439</v>
      </c>
      <c r="D10191">
        <v>568</v>
      </c>
      <c r="E10191">
        <v>2674486</v>
      </c>
      <c r="F10191">
        <v>5002</v>
      </c>
      <c r="G10191">
        <v>0</v>
      </c>
      <c r="H10191" t="s">
        <v>15103</v>
      </c>
      <c r="I10191">
        <v>11437</v>
      </c>
      <c r="J10191" t="str">
        <f>VLOOKUP(E10191,DSSpieler!A:B,2,FALSE)</f>
        <v>Lucas-99</v>
      </c>
    </row>
    <row r="10192" spans="1:10" x14ac:dyDescent="0.25">
      <c r="A10192">
        <v>11440</v>
      </c>
      <c r="B10192" t="s">
        <v>531</v>
      </c>
      <c r="C10192">
        <v>440</v>
      </c>
      <c r="D10192">
        <v>577</v>
      </c>
      <c r="E10192">
        <v>0</v>
      </c>
      <c r="F10192">
        <v>778</v>
      </c>
      <c r="G10192">
        <v>0</v>
      </c>
      <c r="H10192" t="s">
        <v>15104</v>
      </c>
      <c r="I10192">
        <v>11440</v>
      </c>
      <c r="J10192" t="e">
        <f>VLOOKUP(E10192,DSSpieler!A:B,2,FALSE)</f>
        <v>#N/A</v>
      </c>
    </row>
    <row r="10193" spans="1:10" x14ac:dyDescent="0.25">
      <c r="A10193">
        <v>11441</v>
      </c>
      <c r="B10193" t="s">
        <v>34177</v>
      </c>
      <c r="C10193">
        <v>500</v>
      </c>
      <c r="D10193">
        <v>480</v>
      </c>
      <c r="E10193">
        <v>1577186788</v>
      </c>
      <c r="F10193">
        <v>3494</v>
      </c>
      <c r="G10193">
        <v>0</v>
      </c>
      <c r="H10193" t="s">
        <v>15105</v>
      </c>
      <c r="I10193">
        <v>11441</v>
      </c>
      <c r="J10193" t="str">
        <f>VLOOKUP(E10193,DSSpieler!A:B,2,FALSE)</f>
        <v>HerbyKill</v>
      </c>
    </row>
    <row r="10194" spans="1:10" x14ac:dyDescent="0.25">
      <c r="A10194">
        <v>11442</v>
      </c>
      <c r="B10194" t="s">
        <v>30525</v>
      </c>
      <c r="C10194">
        <v>457</v>
      </c>
      <c r="D10194">
        <v>514</v>
      </c>
      <c r="E10194">
        <v>8198259</v>
      </c>
      <c r="F10194">
        <v>3692</v>
      </c>
      <c r="G10194">
        <v>0</v>
      </c>
      <c r="H10194" t="s">
        <v>15106</v>
      </c>
      <c r="I10194">
        <v>11442</v>
      </c>
      <c r="J10194" t="str">
        <f>VLOOKUP(E10194,DSSpieler!A:B,2,FALSE)</f>
        <v>Tiger1896</v>
      </c>
    </row>
    <row r="10195" spans="1:10" x14ac:dyDescent="0.25">
      <c r="A10195">
        <v>11443</v>
      </c>
      <c r="B10195" t="s">
        <v>34178</v>
      </c>
      <c r="C10195">
        <v>603</v>
      </c>
      <c r="D10195">
        <v>461</v>
      </c>
      <c r="E10195">
        <v>1576874903</v>
      </c>
      <c r="F10195">
        <v>4474</v>
      </c>
      <c r="G10195">
        <v>0</v>
      </c>
      <c r="H10195" t="s">
        <v>15107</v>
      </c>
      <c r="I10195">
        <v>11443</v>
      </c>
      <c r="J10195" t="str">
        <f>VLOOKUP(E10195,DSSpieler!A:B,2,FALSE)</f>
        <v>Mingatobi97</v>
      </c>
    </row>
    <row r="10196" spans="1:10" x14ac:dyDescent="0.25">
      <c r="A10196">
        <v>11444</v>
      </c>
      <c r="B10196" t="s">
        <v>32285</v>
      </c>
      <c r="C10196">
        <v>432</v>
      </c>
      <c r="D10196">
        <v>572</v>
      </c>
      <c r="E10196">
        <v>1577096184</v>
      </c>
      <c r="F10196">
        <v>5906</v>
      </c>
      <c r="G10196">
        <v>0</v>
      </c>
      <c r="H10196" t="s">
        <v>15108</v>
      </c>
      <c r="I10196">
        <v>11444</v>
      </c>
      <c r="J10196" t="str">
        <f>VLOOKUP(E10196,DSSpieler!A:B,2,FALSE)</f>
        <v>Carsten Maschmeyer</v>
      </c>
    </row>
    <row r="10197" spans="1:10" x14ac:dyDescent="0.25">
      <c r="A10197">
        <v>11445</v>
      </c>
      <c r="B10197">
        <v>3</v>
      </c>
      <c r="C10197">
        <v>592</v>
      </c>
      <c r="D10197">
        <v>454</v>
      </c>
      <c r="E10197">
        <v>1577114623</v>
      </c>
      <c r="F10197">
        <v>832</v>
      </c>
      <c r="G10197">
        <v>0</v>
      </c>
      <c r="H10197" t="s">
        <v>15109</v>
      </c>
      <c r="I10197">
        <v>11445</v>
      </c>
      <c r="J10197" t="str">
        <f>VLOOKUP(E10197,DSSpieler!A:B,2,FALSE)</f>
        <v>gshamburg</v>
      </c>
    </row>
    <row r="10198" spans="1:10" x14ac:dyDescent="0.25">
      <c r="A10198">
        <v>11447</v>
      </c>
      <c r="B10198" t="s">
        <v>34179</v>
      </c>
      <c r="C10198">
        <v>551</v>
      </c>
      <c r="D10198">
        <v>419</v>
      </c>
      <c r="E10198">
        <v>1577198275</v>
      </c>
      <c r="F10198">
        <v>4932</v>
      </c>
      <c r="G10198">
        <v>0</v>
      </c>
      <c r="H10198" t="s">
        <v>15110</v>
      </c>
      <c r="I10198">
        <v>11447</v>
      </c>
      <c r="J10198" t="str">
        <f>VLOOKUP(E10198,DSSpieler!A:B,2,FALSE)</f>
        <v>Oxlfoxl</v>
      </c>
    </row>
    <row r="10199" spans="1:10" x14ac:dyDescent="0.25">
      <c r="A10199">
        <v>11448</v>
      </c>
      <c r="B10199" t="s">
        <v>780</v>
      </c>
      <c r="C10199">
        <v>606</v>
      </c>
      <c r="D10199">
        <v>519</v>
      </c>
      <c r="E10199">
        <v>1576221095</v>
      </c>
      <c r="F10199">
        <v>5756</v>
      </c>
      <c r="G10199">
        <v>0</v>
      </c>
      <c r="H10199" t="s">
        <v>15111</v>
      </c>
      <c r="I10199">
        <v>11448</v>
      </c>
      <c r="J10199" t="str">
        <f>VLOOKUP(E10199,DSSpieler!A:B,2,FALSE)</f>
        <v>WarumDefen?</v>
      </c>
    </row>
    <row r="10200" spans="1:10" x14ac:dyDescent="0.25">
      <c r="A10200">
        <v>11449</v>
      </c>
      <c r="B10200" t="s">
        <v>2032</v>
      </c>
      <c r="C10200">
        <v>398</v>
      </c>
      <c r="D10200">
        <v>486</v>
      </c>
      <c r="E10200">
        <v>402135</v>
      </c>
      <c r="F10200">
        <v>5884</v>
      </c>
      <c r="G10200">
        <v>0</v>
      </c>
      <c r="H10200" t="s">
        <v>15112</v>
      </c>
      <c r="I10200">
        <v>11449</v>
      </c>
      <c r="J10200" t="str">
        <f>VLOOKUP(E10200,DSSpieler!A:B,2,FALSE)</f>
        <v>opossum888</v>
      </c>
    </row>
    <row r="10201" spans="1:10" x14ac:dyDescent="0.25">
      <c r="A10201">
        <v>11450</v>
      </c>
      <c r="B10201">
        <v>1</v>
      </c>
      <c r="C10201">
        <v>504</v>
      </c>
      <c r="D10201">
        <v>523</v>
      </c>
      <c r="E10201">
        <v>1577198815</v>
      </c>
      <c r="F10201">
        <v>5570</v>
      </c>
      <c r="G10201">
        <v>0</v>
      </c>
      <c r="H10201" t="s">
        <v>15113</v>
      </c>
      <c r="I10201">
        <v>11450</v>
      </c>
      <c r="J10201" t="str">
        <f>VLOOKUP(E10201,DSSpieler!A:B,2,FALSE)</f>
        <v>mivoch</v>
      </c>
    </row>
    <row r="10202" spans="1:10" x14ac:dyDescent="0.25">
      <c r="A10202">
        <v>11451</v>
      </c>
      <c r="B10202" t="s">
        <v>531</v>
      </c>
      <c r="C10202">
        <v>575</v>
      </c>
      <c r="D10202">
        <v>572</v>
      </c>
      <c r="E10202">
        <v>0</v>
      </c>
      <c r="F10202">
        <v>346</v>
      </c>
      <c r="G10202">
        <v>0</v>
      </c>
      <c r="H10202" t="s">
        <v>15114</v>
      </c>
      <c r="I10202">
        <v>11451</v>
      </c>
      <c r="J10202" t="e">
        <f>VLOOKUP(E10202,DSSpieler!A:B,2,FALSE)</f>
        <v>#N/A</v>
      </c>
    </row>
    <row r="10203" spans="1:10" x14ac:dyDescent="0.25">
      <c r="A10203">
        <v>11452</v>
      </c>
      <c r="B10203" t="s">
        <v>531</v>
      </c>
      <c r="C10203">
        <v>433</v>
      </c>
      <c r="D10203">
        <v>582</v>
      </c>
      <c r="E10203">
        <v>0</v>
      </c>
      <c r="F10203">
        <v>970</v>
      </c>
      <c r="G10203">
        <v>0</v>
      </c>
      <c r="H10203" t="s">
        <v>15115</v>
      </c>
      <c r="I10203">
        <v>11452</v>
      </c>
      <c r="J10203" t="e">
        <f>VLOOKUP(E10203,DSSpieler!A:B,2,FALSE)</f>
        <v>#N/A</v>
      </c>
    </row>
    <row r="10204" spans="1:10" x14ac:dyDescent="0.25">
      <c r="A10204">
        <v>11453</v>
      </c>
      <c r="B10204" t="s">
        <v>2033</v>
      </c>
      <c r="C10204">
        <v>539</v>
      </c>
      <c r="D10204">
        <v>601</v>
      </c>
      <c r="E10204">
        <v>8511051</v>
      </c>
      <c r="F10204">
        <v>4734</v>
      </c>
      <c r="G10204">
        <v>0</v>
      </c>
      <c r="H10204" t="s">
        <v>15116</v>
      </c>
      <c r="I10204">
        <v>11453</v>
      </c>
      <c r="J10204" t="str">
        <f>VLOOKUP(E10204,DSSpieler!A:B,2,FALSE)</f>
        <v>thedeadman0</v>
      </c>
    </row>
    <row r="10205" spans="1:10" x14ac:dyDescent="0.25">
      <c r="A10205">
        <v>11454</v>
      </c>
      <c r="B10205" t="s">
        <v>1918</v>
      </c>
      <c r="C10205">
        <v>543</v>
      </c>
      <c r="D10205">
        <v>595</v>
      </c>
      <c r="E10205">
        <v>10034026</v>
      </c>
      <c r="F10205">
        <v>6425</v>
      </c>
      <c r="G10205">
        <v>0</v>
      </c>
      <c r="H10205" t="s">
        <v>15117</v>
      </c>
      <c r="I10205">
        <v>11454</v>
      </c>
      <c r="J10205" t="str">
        <f>VLOOKUP(E10205,DSSpieler!A:B,2,FALSE)</f>
        <v>Skipper59</v>
      </c>
    </row>
    <row r="10206" spans="1:10" x14ac:dyDescent="0.25">
      <c r="A10206">
        <v>11455</v>
      </c>
      <c r="B10206" t="s">
        <v>531</v>
      </c>
      <c r="C10206">
        <v>585</v>
      </c>
      <c r="D10206">
        <v>487</v>
      </c>
      <c r="E10206">
        <v>0</v>
      </c>
      <c r="F10206">
        <v>749</v>
      </c>
      <c r="G10206">
        <v>0</v>
      </c>
      <c r="H10206" t="s">
        <v>15118</v>
      </c>
      <c r="I10206">
        <v>11455</v>
      </c>
      <c r="J10206" t="e">
        <f>VLOOKUP(E10206,DSSpieler!A:B,2,FALSE)</f>
        <v>#N/A</v>
      </c>
    </row>
    <row r="10207" spans="1:10" x14ac:dyDescent="0.25">
      <c r="A10207">
        <v>11456</v>
      </c>
      <c r="B10207" t="s">
        <v>34180</v>
      </c>
      <c r="C10207">
        <v>582</v>
      </c>
      <c r="D10207">
        <v>431</v>
      </c>
      <c r="E10207">
        <v>1576758865</v>
      </c>
      <c r="F10207">
        <v>1786</v>
      </c>
      <c r="G10207">
        <v>0</v>
      </c>
      <c r="H10207" t="s">
        <v>15119</v>
      </c>
      <c r="I10207">
        <v>11456</v>
      </c>
      <c r="J10207" t="str">
        <f>VLOOKUP(E10207,DSSpieler!A:B,2,FALSE)</f>
        <v>ToMe104</v>
      </c>
    </row>
    <row r="10208" spans="1:10" x14ac:dyDescent="0.25">
      <c r="A10208">
        <v>11457</v>
      </c>
      <c r="B10208" t="s">
        <v>34181</v>
      </c>
      <c r="C10208">
        <v>419</v>
      </c>
      <c r="D10208">
        <v>566</v>
      </c>
      <c r="E10208">
        <v>1577198762</v>
      </c>
      <c r="F10208">
        <v>4797</v>
      </c>
      <c r="G10208">
        <v>0</v>
      </c>
      <c r="H10208" t="s">
        <v>15120</v>
      </c>
      <c r="I10208">
        <v>11457</v>
      </c>
      <c r="J10208" t="str">
        <f>VLOOKUP(E10208,DSSpieler!A:B,2,FALSE)</f>
        <v>Tabbinator</v>
      </c>
    </row>
    <row r="10209" spans="1:10" x14ac:dyDescent="0.25">
      <c r="A10209">
        <v>11458</v>
      </c>
      <c r="B10209" t="s">
        <v>34182</v>
      </c>
      <c r="C10209">
        <v>585</v>
      </c>
      <c r="D10209">
        <v>539</v>
      </c>
      <c r="E10209">
        <v>1576899444</v>
      </c>
      <c r="F10209">
        <v>4769</v>
      </c>
      <c r="G10209">
        <v>0</v>
      </c>
      <c r="H10209" t="s">
        <v>15121</v>
      </c>
      <c r="I10209">
        <v>11458</v>
      </c>
      <c r="J10209" t="str">
        <f>VLOOKUP(E10209,DSSpieler!A:B,2,FALSE)</f>
        <v>Venuxian</v>
      </c>
    </row>
    <row r="10210" spans="1:10" x14ac:dyDescent="0.25">
      <c r="A10210">
        <v>11459</v>
      </c>
      <c r="B10210" t="s">
        <v>2034</v>
      </c>
      <c r="C10210">
        <v>527</v>
      </c>
      <c r="D10210">
        <v>603</v>
      </c>
      <c r="E10210">
        <v>1577010421</v>
      </c>
      <c r="F10210">
        <v>4615</v>
      </c>
      <c r="G10210">
        <v>0</v>
      </c>
      <c r="H10210" t="s">
        <v>15122</v>
      </c>
      <c r="I10210">
        <v>11459</v>
      </c>
      <c r="J10210" t="str">
        <f>VLOOKUP(E10210,DSSpieler!A:B,2,FALSE)</f>
        <v>dieterdetlef</v>
      </c>
    </row>
    <row r="10211" spans="1:10" x14ac:dyDescent="0.25">
      <c r="A10211">
        <v>11460</v>
      </c>
      <c r="B10211" t="s">
        <v>531</v>
      </c>
      <c r="C10211">
        <v>582</v>
      </c>
      <c r="D10211">
        <v>565</v>
      </c>
      <c r="E10211">
        <v>0</v>
      </c>
      <c r="F10211">
        <v>656</v>
      </c>
      <c r="G10211">
        <v>0</v>
      </c>
      <c r="H10211" t="s">
        <v>15123</v>
      </c>
      <c r="I10211">
        <v>11460</v>
      </c>
      <c r="J10211" t="e">
        <f>VLOOKUP(E10211,DSSpieler!A:B,2,FALSE)</f>
        <v>#N/A</v>
      </c>
    </row>
    <row r="10212" spans="1:10" x14ac:dyDescent="0.25">
      <c r="A10212">
        <v>11461</v>
      </c>
      <c r="B10212" t="s">
        <v>34183</v>
      </c>
      <c r="C10212">
        <v>461</v>
      </c>
      <c r="D10212">
        <v>598</v>
      </c>
      <c r="E10212">
        <v>10012713</v>
      </c>
      <c r="F10212">
        <v>1545</v>
      </c>
      <c r="G10212">
        <v>0</v>
      </c>
      <c r="H10212" t="s">
        <v>15124</v>
      </c>
      <c r="I10212">
        <v>11461</v>
      </c>
      <c r="J10212" t="str">
        <f>VLOOKUP(E10212,DSSpieler!A:B,2,FALSE)</f>
        <v>jutschiin2</v>
      </c>
    </row>
    <row r="10213" spans="1:10" x14ac:dyDescent="0.25">
      <c r="A10213">
        <v>11462</v>
      </c>
      <c r="B10213" t="s">
        <v>531</v>
      </c>
      <c r="C10213">
        <v>541</v>
      </c>
      <c r="D10213">
        <v>597</v>
      </c>
      <c r="E10213">
        <v>0</v>
      </c>
      <c r="F10213">
        <v>584</v>
      </c>
      <c r="G10213">
        <v>0</v>
      </c>
      <c r="H10213" t="s">
        <v>15125</v>
      </c>
      <c r="I10213">
        <v>11462</v>
      </c>
      <c r="J10213" t="e">
        <f>VLOOKUP(E10213,DSSpieler!A:B,2,FALSE)</f>
        <v>#N/A</v>
      </c>
    </row>
    <row r="10214" spans="1:10" x14ac:dyDescent="0.25">
      <c r="A10214">
        <v>11463</v>
      </c>
      <c r="B10214" t="s">
        <v>531</v>
      </c>
      <c r="C10214">
        <v>416</v>
      </c>
      <c r="D10214">
        <v>560</v>
      </c>
      <c r="E10214">
        <v>0</v>
      </c>
      <c r="F10214">
        <v>203</v>
      </c>
      <c r="G10214">
        <v>0</v>
      </c>
      <c r="H10214" t="s">
        <v>15126</v>
      </c>
      <c r="I10214">
        <v>11463</v>
      </c>
      <c r="J10214" t="e">
        <f>VLOOKUP(E10214,DSSpieler!A:B,2,FALSE)</f>
        <v>#N/A</v>
      </c>
    </row>
    <row r="10215" spans="1:10" x14ac:dyDescent="0.25">
      <c r="A10215">
        <v>11465</v>
      </c>
      <c r="B10215" t="s">
        <v>34184</v>
      </c>
      <c r="C10215">
        <v>597</v>
      </c>
      <c r="D10215">
        <v>462</v>
      </c>
      <c r="E10215">
        <v>1577175443</v>
      </c>
      <c r="F10215">
        <v>2949</v>
      </c>
      <c r="G10215">
        <v>0</v>
      </c>
      <c r="H10215" t="s">
        <v>15127</v>
      </c>
      <c r="I10215">
        <v>11465</v>
      </c>
      <c r="J10215" t="str">
        <f>VLOOKUP(E10215,DSSpieler!A:B,2,FALSE)</f>
        <v>HilloGames</v>
      </c>
    </row>
    <row r="10216" spans="1:10" x14ac:dyDescent="0.25">
      <c r="A10216">
        <v>11466</v>
      </c>
      <c r="B10216" t="s">
        <v>34185</v>
      </c>
      <c r="C10216">
        <v>513</v>
      </c>
      <c r="D10216">
        <v>394</v>
      </c>
      <c r="E10216">
        <v>1577194987</v>
      </c>
      <c r="F10216">
        <v>6236</v>
      </c>
      <c r="G10216">
        <v>0</v>
      </c>
      <c r="H10216" t="s">
        <v>15128</v>
      </c>
      <c r="I10216">
        <v>11466</v>
      </c>
      <c r="J10216" t="str">
        <f>VLOOKUP(E10216,DSSpieler!A:B,2,FALSE)</f>
        <v>Monkey-D.-Ruffy</v>
      </c>
    </row>
    <row r="10217" spans="1:10" x14ac:dyDescent="0.25">
      <c r="A10217">
        <v>11467</v>
      </c>
      <c r="B10217" t="s">
        <v>531</v>
      </c>
      <c r="C10217">
        <v>527</v>
      </c>
      <c r="D10217">
        <v>599</v>
      </c>
      <c r="E10217">
        <v>0</v>
      </c>
      <c r="F10217">
        <v>184</v>
      </c>
      <c r="G10217">
        <v>0</v>
      </c>
      <c r="H10217" t="s">
        <v>15129</v>
      </c>
      <c r="I10217">
        <v>11467</v>
      </c>
      <c r="J10217" t="e">
        <f>VLOOKUP(E10217,DSSpieler!A:B,2,FALSE)</f>
        <v>#N/A</v>
      </c>
    </row>
    <row r="10218" spans="1:10" x14ac:dyDescent="0.25">
      <c r="A10218">
        <v>11469</v>
      </c>
      <c r="B10218" t="s">
        <v>34186</v>
      </c>
      <c r="C10218">
        <v>506</v>
      </c>
      <c r="D10218">
        <v>395</v>
      </c>
      <c r="E10218">
        <v>1576974363</v>
      </c>
      <c r="F10218">
        <v>3903</v>
      </c>
      <c r="G10218">
        <v>0</v>
      </c>
      <c r="H10218" t="s">
        <v>15130</v>
      </c>
      <c r="I10218">
        <v>11469</v>
      </c>
      <c r="J10218" t="str">
        <f>VLOOKUP(E10218,DSSpieler!A:B,2,FALSE)</f>
        <v>bernii2806</v>
      </c>
    </row>
    <row r="10219" spans="1:10" x14ac:dyDescent="0.25">
      <c r="A10219">
        <v>11470</v>
      </c>
      <c r="B10219" t="s">
        <v>34187</v>
      </c>
      <c r="C10219">
        <v>567</v>
      </c>
      <c r="D10219">
        <v>420</v>
      </c>
      <c r="E10219">
        <v>1368482</v>
      </c>
      <c r="F10219">
        <v>1823</v>
      </c>
      <c r="G10219">
        <v>0</v>
      </c>
      <c r="H10219" t="s">
        <v>15131</v>
      </c>
      <c r="I10219">
        <v>11470</v>
      </c>
      <c r="J10219" t="str">
        <f>VLOOKUP(E10219,DSSpieler!A:B,2,FALSE)</f>
        <v>Jtaily</v>
      </c>
    </row>
    <row r="10220" spans="1:10" x14ac:dyDescent="0.25">
      <c r="A10220">
        <v>11471</v>
      </c>
      <c r="B10220" t="s">
        <v>531</v>
      </c>
      <c r="C10220">
        <v>512</v>
      </c>
      <c r="D10220">
        <v>394</v>
      </c>
      <c r="E10220">
        <v>0</v>
      </c>
      <c r="F10220">
        <v>196</v>
      </c>
      <c r="G10220">
        <v>0</v>
      </c>
      <c r="H10220" t="s">
        <v>15132</v>
      </c>
      <c r="I10220">
        <v>11471</v>
      </c>
      <c r="J10220" t="e">
        <f>VLOOKUP(E10220,DSSpieler!A:B,2,FALSE)</f>
        <v>#N/A</v>
      </c>
    </row>
    <row r="10221" spans="1:10" x14ac:dyDescent="0.25">
      <c r="A10221">
        <v>11472</v>
      </c>
      <c r="B10221" t="s">
        <v>531</v>
      </c>
      <c r="C10221">
        <v>463</v>
      </c>
      <c r="D10221">
        <v>599</v>
      </c>
      <c r="E10221">
        <v>0</v>
      </c>
      <c r="F10221">
        <v>174</v>
      </c>
      <c r="G10221">
        <v>0</v>
      </c>
      <c r="H10221" t="s">
        <v>15133</v>
      </c>
      <c r="I10221">
        <v>11472</v>
      </c>
      <c r="J10221" t="e">
        <f>VLOOKUP(E10221,DSSpieler!A:B,2,FALSE)</f>
        <v>#N/A</v>
      </c>
    </row>
    <row r="10222" spans="1:10" x14ac:dyDescent="0.25">
      <c r="A10222">
        <v>11473</v>
      </c>
      <c r="B10222" t="s">
        <v>531</v>
      </c>
      <c r="C10222">
        <v>573</v>
      </c>
      <c r="D10222">
        <v>577</v>
      </c>
      <c r="E10222">
        <v>0</v>
      </c>
      <c r="F10222">
        <v>372</v>
      </c>
      <c r="G10222">
        <v>0</v>
      </c>
      <c r="H10222" t="s">
        <v>15134</v>
      </c>
      <c r="I10222">
        <v>11473</v>
      </c>
      <c r="J10222" t="e">
        <f>VLOOKUP(E10222,DSSpieler!A:B,2,FALSE)</f>
        <v>#N/A</v>
      </c>
    </row>
    <row r="10223" spans="1:10" x14ac:dyDescent="0.25">
      <c r="A10223">
        <v>11474</v>
      </c>
      <c r="B10223" t="s">
        <v>531</v>
      </c>
      <c r="C10223">
        <v>567</v>
      </c>
      <c r="D10223">
        <v>419</v>
      </c>
      <c r="E10223">
        <v>0</v>
      </c>
      <c r="F10223">
        <v>535</v>
      </c>
      <c r="G10223">
        <v>0</v>
      </c>
      <c r="H10223" t="s">
        <v>15135</v>
      </c>
      <c r="I10223">
        <v>11474</v>
      </c>
      <c r="J10223" t="e">
        <f>VLOOKUP(E10223,DSSpieler!A:B,2,FALSE)</f>
        <v>#N/A</v>
      </c>
    </row>
    <row r="10224" spans="1:10" x14ac:dyDescent="0.25">
      <c r="A10224">
        <v>11475</v>
      </c>
      <c r="B10224" t="s">
        <v>979</v>
      </c>
      <c r="C10224">
        <v>514</v>
      </c>
      <c r="D10224">
        <v>601</v>
      </c>
      <c r="E10224">
        <v>1576807787</v>
      </c>
      <c r="F10224">
        <v>4270</v>
      </c>
      <c r="G10224">
        <v>0</v>
      </c>
      <c r="H10224" t="s">
        <v>15136</v>
      </c>
      <c r="I10224">
        <v>11475</v>
      </c>
      <c r="J10224" t="str">
        <f>VLOOKUP(E10224,DSSpieler!A:B,2,FALSE)</f>
        <v>-TeaCup*</v>
      </c>
    </row>
    <row r="10225" spans="1:10" x14ac:dyDescent="0.25">
      <c r="A10225">
        <v>11476</v>
      </c>
      <c r="B10225" t="s">
        <v>531</v>
      </c>
      <c r="C10225">
        <v>453</v>
      </c>
      <c r="D10225">
        <v>406</v>
      </c>
      <c r="E10225">
        <v>0</v>
      </c>
      <c r="F10225">
        <v>197</v>
      </c>
      <c r="G10225">
        <v>0</v>
      </c>
      <c r="H10225" t="s">
        <v>15137</v>
      </c>
      <c r="I10225">
        <v>11476</v>
      </c>
      <c r="J10225" t="e">
        <f>VLOOKUP(E10225,DSSpieler!A:B,2,FALSE)</f>
        <v>#N/A</v>
      </c>
    </row>
    <row r="10226" spans="1:10" x14ac:dyDescent="0.25">
      <c r="A10226">
        <v>11477</v>
      </c>
      <c r="B10226" t="s">
        <v>34188</v>
      </c>
      <c r="C10226">
        <v>586</v>
      </c>
      <c r="D10226">
        <v>442</v>
      </c>
      <c r="E10226">
        <v>10086232</v>
      </c>
      <c r="F10226">
        <v>3789</v>
      </c>
      <c r="G10226">
        <v>0</v>
      </c>
      <c r="H10226" t="s">
        <v>15138</v>
      </c>
      <c r="I10226">
        <v>11477</v>
      </c>
      <c r="J10226" t="str">
        <f>VLOOKUP(E10226,DSSpieler!A:B,2,FALSE)</f>
        <v>Stucki99</v>
      </c>
    </row>
    <row r="10227" spans="1:10" x14ac:dyDescent="0.25">
      <c r="A10227">
        <v>11479</v>
      </c>
      <c r="B10227" t="s">
        <v>531</v>
      </c>
      <c r="C10227">
        <v>469</v>
      </c>
      <c r="D10227">
        <v>600</v>
      </c>
      <c r="E10227">
        <v>0</v>
      </c>
      <c r="F10227">
        <v>275</v>
      </c>
      <c r="G10227">
        <v>0</v>
      </c>
      <c r="H10227" t="s">
        <v>15139</v>
      </c>
      <c r="I10227">
        <v>11479</v>
      </c>
      <c r="J10227" t="e">
        <f>VLOOKUP(E10227,DSSpieler!A:B,2,FALSE)</f>
        <v>#N/A</v>
      </c>
    </row>
    <row r="10228" spans="1:10" x14ac:dyDescent="0.25">
      <c r="A10228">
        <v>11480</v>
      </c>
      <c r="B10228" t="s">
        <v>2035</v>
      </c>
      <c r="C10228">
        <v>404</v>
      </c>
      <c r="D10228">
        <v>455</v>
      </c>
      <c r="E10228">
        <v>1576172304</v>
      </c>
      <c r="F10228">
        <v>2453</v>
      </c>
      <c r="G10228">
        <v>0</v>
      </c>
      <c r="H10228" t="s">
        <v>15140</v>
      </c>
      <c r="I10228">
        <v>11480</v>
      </c>
      <c r="J10228" t="str">
        <f>VLOOKUP(E10228,DSSpieler!A:B,2,FALSE)</f>
        <v>Peterchen Lustig</v>
      </c>
    </row>
    <row r="10229" spans="1:10" x14ac:dyDescent="0.25">
      <c r="A10229">
        <v>11481</v>
      </c>
      <c r="B10229" t="s">
        <v>531</v>
      </c>
      <c r="C10229">
        <v>571</v>
      </c>
      <c r="D10229">
        <v>575</v>
      </c>
      <c r="E10229">
        <v>0</v>
      </c>
      <c r="F10229">
        <v>300</v>
      </c>
      <c r="G10229">
        <v>0</v>
      </c>
      <c r="H10229" t="s">
        <v>15141</v>
      </c>
      <c r="I10229">
        <v>11481</v>
      </c>
      <c r="J10229" t="e">
        <f>VLOOKUP(E10229,DSSpieler!A:B,2,FALSE)</f>
        <v>#N/A</v>
      </c>
    </row>
    <row r="10230" spans="1:10" x14ac:dyDescent="0.25">
      <c r="A10230">
        <v>11482</v>
      </c>
      <c r="B10230" t="s">
        <v>34189</v>
      </c>
      <c r="C10230">
        <v>438</v>
      </c>
      <c r="D10230">
        <v>591</v>
      </c>
      <c r="E10230">
        <v>625537</v>
      </c>
      <c r="F10230">
        <v>918</v>
      </c>
      <c r="G10230">
        <v>0</v>
      </c>
      <c r="H10230" t="s">
        <v>15142</v>
      </c>
      <c r="I10230">
        <v>11482</v>
      </c>
      <c r="J10230" t="str">
        <f>VLOOKUP(E10230,DSSpieler!A:B,2,FALSE)</f>
        <v>CrowBlackHorse</v>
      </c>
    </row>
    <row r="10231" spans="1:10" x14ac:dyDescent="0.25">
      <c r="A10231">
        <v>11483</v>
      </c>
      <c r="B10231" t="s">
        <v>531</v>
      </c>
      <c r="C10231">
        <v>448</v>
      </c>
      <c r="D10231">
        <v>590</v>
      </c>
      <c r="E10231">
        <v>0</v>
      </c>
      <c r="F10231">
        <v>248</v>
      </c>
      <c r="G10231">
        <v>0</v>
      </c>
      <c r="H10231" t="s">
        <v>15143</v>
      </c>
      <c r="I10231">
        <v>11483</v>
      </c>
      <c r="J10231" t="e">
        <f>VLOOKUP(E10231,DSSpieler!A:B,2,FALSE)</f>
        <v>#N/A</v>
      </c>
    </row>
    <row r="10232" spans="1:10" x14ac:dyDescent="0.25">
      <c r="A10232">
        <v>11484</v>
      </c>
      <c r="B10232" t="s">
        <v>531</v>
      </c>
      <c r="C10232">
        <v>480</v>
      </c>
      <c r="D10232">
        <v>400</v>
      </c>
      <c r="E10232">
        <v>0</v>
      </c>
      <c r="F10232">
        <v>288</v>
      </c>
      <c r="G10232">
        <v>0</v>
      </c>
      <c r="H10232" t="s">
        <v>15144</v>
      </c>
      <c r="I10232">
        <v>11484</v>
      </c>
      <c r="J10232" t="e">
        <f>VLOOKUP(E10232,DSSpieler!A:B,2,FALSE)</f>
        <v>#N/A</v>
      </c>
    </row>
    <row r="10233" spans="1:10" x14ac:dyDescent="0.25">
      <c r="A10233">
        <v>11485</v>
      </c>
      <c r="B10233">
        <v>2</v>
      </c>
      <c r="C10233">
        <v>589</v>
      </c>
      <c r="D10233">
        <v>478</v>
      </c>
      <c r="E10233">
        <v>1577150007</v>
      </c>
      <c r="F10233">
        <v>3195</v>
      </c>
      <c r="G10233">
        <v>0</v>
      </c>
      <c r="H10233" t="s">
        <v>15145</v>
      </c>
      <c r="I10233">
        <v>11485</v>
      </c>
      <c r="J10233" t="str">
        <f>VLOOKUP(E10233,DSSpieler!A:B,2,FALSE)</f>
        <v>icomeiwin</v>
      </c>
    </row>
    <row r="10234" spans="1:10" x14ac:dyDescent="0.25">
      <c r="A10234">
        <v>11486</v>
      </c>
      <c r="B10234" t="s">
        <v>531</v>
      </c>
      <c r="C10234">
        <v>569</v>
      </c>
      <c r="D10234">
        <v>422</v>
      </c>
      <c r="E10234">
        <v>0</v>
      </c>
      <c r="F10234">
        <v>512</v>
      </c>
      <c r="G10234">
        <v>0</v>
      </c>
      <c r="H10234" t="s">
        <v>15146</v>
      </c>
      <c r="I10234">
        <v>11486</v>
      </c>
      <c r="J10234" t="e">
        <f>VLOOKUP(E10234,DSSpieler!A:B,2,FALSE)</f>
        <v>#N/A</v>
      </c>
    </row>
    <row r="10235" spans="1:10" x14ac:dyDescent="0.25">
      <c r="A10235">
        <v>11487</v>
      </c>
      <c r="B10235">
        <v>2</v>
      </c>
      <c r="C10235">
        <v>438</v>
      </c>
      <c r="D10235">
        <v>583</v>
      </c>
      <c r="E10235">
        <v>1576987597</v>
      </c>
      <c r="F10235">
        <v>1673</v>
      </c>
      <c r="G10235">
        <v>0</v>
      </c>
      <c r="H10235" t="s">
        <v>15147</v>
      </c>
      <c r="I10235">
        <v>11487</v>
      </c>
      <c r="J10235" t="str">
        <f>VLOOKUP(E10235,DSSpieler!A:B,2,FALSE)</f>
        <v>mirg</v>
      </c>
    </row>
    <row r="10236" spans="1:10" x14ac:dyDescent="0.25">
      <c r="A10236">
        <v>11489</v>
      </c>
      <c r="B10236" t="s">
        <v>531</v>
      </c>
      <c r="C10236">
        <v>434</v>
      </c>
      <c r="D10236">
        <v>577</v>
      </c>
      <c r="E10236">
        <v>0</v>
      </c>
      <c r="F10236">
        <v>291</v>
      </c>
      <c r="G10236">
        <v>0</v>
      </c>
      <c r="H10236" t="s">
        <v>15148</v>
      </c>
      <c r="I10236">
        <v>11489</v>
      </c>
      <c r="J10236" t="e">
        <f>VLOOKUP(E10236,DSSpieler!A:B,2,FALSE)</f>
        <v>#N/A</v>
      </c>
    </row>
    <row r="10237" spans="1:10" x14ac:dyDescent="0.25">
      <c r="A10237">
        <v>11490</v>
      </c>
      <c r="B10237" t="s">
        <v>31477</v>
      </c>
      <c r="C10237">
        <v>450</v>
      </c>
      <c r="D10237">
        <v>582</v>
      </c>
      <c r="E10237">
        <v>1577053721</v>
      </c>
      <c r="F10237">
        <v>1448</v>
      </c>
      <c r="G10237">
        <v>0</v>
      </c>
      <c r="H10237" t="s">
        <v>15149</v>
      </c>
      <c r="I10237">
        <v>11490</v>
      </c>
      <c r="J10237" t="str">
        <f>VLOOKUP(E10237,DSSpieler!A:B,2,FALSE)</f>
        <v>optiik</v>
      </c>
    </row>
    <row r="10238" spans="1:10" x14ac:dyDescent="0.25">
      <c r="A10238">
        <v>11491</v>
      </c>
      <c r="B10238" t="s">
        <v>531</v>
      </c>
      <c r="C10238">
        <v>578</v>
      </c>
      <c r="D10238">
        <v>429</v>
      </c>
      <c r="E10238">
        <v>0</v>
      </c>
      <c r="F10238">
        <v>323</v>
      </c>
      <c r="G10238">
        <v>0</v>
      </c>
      <c r="H10238" t="s">
        <v>15150</v>
      </c>
      <c r="I10238">
        <v>11491</v>
      </c>
      <c r="J10238" t="e">
        <f>VLOOKUP(E10238,DSSpieler!A:B,2,FALSE)</f>
        <v>#N/A</v>
      </c>
    </row>
    <row r="10239" spans="1:10" x14ac:dyDescent="0.25">
      <c r="A10239">
        <v>11493</v>
      </c>
      <c r="B10239" t="s">
        <v>673</v>
      </c>
      <c r="C10239">
        <v>452</v>
      </c>
      <c r="D10239">
        <v>406</v>
      </c>
      <c r="E10239">
        <v>1576671087</v>
      </c>
      <c r="F10239">
        <v>6466</v>
      </c>
      <c r="G10239">
        <v>0</v>
      </c>
      <c r="H10239" t="s">
        <v>15151</v>
      </c>
      <c r="I10239">
        <v>11493</v>
      </c>
      <c r="J10239" t="str">
        <f>VLOOKUP(E10239,DSSpieler!A:B,2,FALSE)</f>
        <v>Knallhart</v>
      </c>
    </row>
    <row r="10240" spans="1:10" x14ac:dyDescent="0.25">
      <c r="A10240">
        <v>11494</v>
      </c>
      <c r="B10240" t="s">
        <v>531</v>
      </c>
      <c r="C10240">
        <v>596</v>
      </c>
      <c r="D10240">
        <v>459</v>
      </c>
      <c r="E10240">
        <v>0</v>
      </c>
      <c r="F10240">
        <v>151</v>
      </c>
      <c r="G10240">
        <v>0</v>
      </c>
      <c r="H10240" t="s">
        <v>15152</v>
      </c>
      <c r="I10240">
        <v>11494</v>
      </c>
      <c r="J10240" t="e">
        <f>VLOOKUP(E10240,DSSpieler!A:B,2,FALSE)</f>
        <v>#N/A</v>
      </c>
    </row>
    <row r="10241" spans="1:10" x14ac:dyDescent="0.25">
      <c r="A10241">
        <v>11495</v>
      </c>
      <c r="B10241" t="s">
        <v>531</v>
      </c>
      <c r="C10241">
        <v>427</v>
      </c>
      <c r="D10241">
        <v>573</v>
      </c>
      <c r="E10241">
        <v>0</v>
      </c>
      <c r="F10241">
        <v>377</v>
      </c>
      <c r="G10241">
        <v>0</v>
      </c>
      <c r="H10241" t="s">
        <v>15153</v>
      </c>
      <c r="I10241">
        <v>11495</v>
      </c>
      <c r="J10241" t="e">
        <f>VLOOKUP(E10241,DSSpieler!A:B,2,FALSE)</f>
        <v>#N/A</v>
      </c>
    </row>
    <row r="10242" spans="1:10" x14ac:dyDescent="0.25">
      <c r="A10242">
        <v>11496</v>
      </c>
      <c r="B10242" t="s">
        <v>531</v>
      </c>
      <c r="C10242">
        <v>606</v>
      </c>
      <c r="D10242">
        <v>513</v>
      </c>
      <c r="E10242">
        <v>0</v>
      </c>
      <c r="F10242">
        <v>230</v>
      </c>
      <c r="G10242">
        <v>0</v>
      </c>
      <c r="H10242" t="s">
        <v>15154</v>
      </c>
      <c r="I10242">
        <v>11496</v>
      </c>
      <c r="J10242" t="e">
        <f>VLOOKUP(E10242,DSSpieler!A:B,2,FALSE)</f>
        <v>#N/A</v>
      </c>
    </row>
    <row r="10243" spans="1:10" x14ac:dyDescent="0.25">
      <c r="A10243">
        <v>11498</v>
      </c>
      <c r="B10243" t="s">
        <v>531</v>
      </c>
      <c r="C10243">
        <v>603</v>
      </c>
      <c r="D10243">
        <v>502</v>
      </c>
      <c r="E10243">
        <v>0</v>
      </c>
      <c r="F10243">
        <v>407</v>
      </c>
      <c r="G10243">
        <v>0</v>
      </c>
      <c r="H10243" t="s">
        <v>15155</v>
      </c>
      <c r="I10243">
        <v>11498</v>
      </c>
      <c r="J10243" t="e">
        <f>VLOOKUP(E10243,DSSpieler!A:B,2,FALSE)</f>
        <v>#N/A</v>
      </c>
    </row>
    <row r="10244" spans="1:10" x14ac:dyDescent="0.25">
      <c r="A10244">
        <v>11499</v>
      </c>
      <c r="B10244" t="s">
        <v>531</v>
      </c>
      <c r="C10244">
        <v>452</v>
      </c>
      <c r="D10244">
        <v>408</v>
      </c>
      <c r="E10244">
        <v>0</v>
      </c>
      <c r="F10244">
        <v>211</v>
      </c>
      <c r="G10244">
        <v>0</v>
      </c>
      <c r="H10244" t="s">
        <v>15156</v>
      </c>
      <c r="I10244">
        <v>11499</v>
      </c>
      <c r="J10244" t="e">
        <f>VLOOKUP(E10244,DSSpieler!A:B,2,FALSE)</f>
        <v>#N/A</v>
      </c>
    </row>
    <row r="10245" spans="1:10" x14ac:dyDescent="0.25">
      <c r="A10245">
        <v>11500</v>
      </c>
      <c r="B10245" t="s">
        <v>34190</v>
      </c>
      <c r="C10245">
        <v>554</v>
      </c>
      <c r="D10245">
        <v>592</v>
      </c>
      <c r="E10245">
        <v>9671466</v>
      </c>
      <c r="F10245">
        <v>6342</v>
      </c>
      <c r="G10245">
        <v>0</v>
      </c>
      <c r="H10245" t="s">
        <v>15157</v>
      </c>
      <c r="I10245">
        <v>11500</v>
      </c>
      <c r="J10245" t="str">
        <f>VLOOKUP(E10245,DSSpieler!A:B,2,FALSE)</f>
        <v>VirusWare</v>
      </c>
    </row>
    <row r="10246" spans="1:10" x14ac:dyDescent="0.25">
      <c r="A10246">
        <v>11501</v>
      </c>
      <c r="B10246" t="s">
        <v>34191</v>
      </c>
      <c r="C10246">
        <v>467</v>
      </c>
      <c r="D10246">
        <v>401</v>
      </c>
      <c r="E10246">
        <v>8740022</v>
      </c>
      <c r="F10246">
        <v>769</v>
      </c>
      <c r="G10246">
        <v>0</v>
      </c>
      <c r="H10246" t="s">
        <v>15158</v>
      </c>
      <c r="I10246">
        <v>11501</v>
      </c>
      <c r="J10246" t="str">
        <f>VLOOKUP(E10246,DSSpieler!A:B,2,FALSE)</f>
        <v>Lord Ozner</v>
      </c>
    </row>
    <row r="10247" spans="1:10" x14ac:dyDescent="0.25">
      <c r="A10247">
        <v>11502</v>
      </c>
      <c r="B10247" t="s">
        <v>34192</v>
      </c>
      <c r="C10247">
        <v>541</v>
      </c>
      <c r="D10247">
        <v>404</v>
      </c>
      <c r="E10247">
        <v>8076591</v>
      </c>
      <c r="F10247">
        <v>5556</v>
      </c>
      <c r="G10247">
        <v>0</v>
      </c>
      <c r="H10247" t="s">
        <v>15159</v>
      </c>
      <c r="I10247">
        <v>11502</v>
      </c>
      <c r="J10247" t="str">
        <f>VLOOKUP(E10247,DSSpieler!A:B,2,FALSE)</f>
        <v>Hinsel</v>
      </c>
    </row>
    <row r="10248" spans="1:10" x14ac:dyDescent="0.25">
      <c r="A10248">
        <v>11503</v>
      </c>
      <c r="B10248" t="s">
        <v>531</v>
      </c>
      <c r="C10248">
        <v>400</v>
      </c>
      <c r="D10248">
        <v>534</v>
      </c>
      <c r="E10248">
        <v>0</v>
      </c>
      <c r="F10248">
        <v>178</v>
      </c>
      <c r="G10248">
        <v>0</v>
      </c>
      <c r="H10248" t="s">
        <v>15160</v>
      </c>
      <c r="I10248">
        <v>11503</v>
      </c>
      <c r="J10248" t="e">
        <f>VLOOKUP(E10248,DSSpieler!A:B,2,FALSE)</f>
        <v>#N/A</v>
      </c>
    </row>
    <row r="10249" spans="1:10" x14ac:dyDescent="0.25">
      <c r="A10249">
        <v>11504</v>
      </c>
      <c r="B10249" t="s">
        <v>34193</v>
      </c>
      <c r="C10249">
        <v>401</v>
      </c>
      <c r="D10249">
        <v>473</v>
      </c>
      <c r="E10249">
        <v>10184986</v>
      </c>
      <c r="F10249">
        <v>5447</v>
      </c>
      <c r="G10249">
        <v>0</v>
      </c>
      <c r="H10249" t="s">
        <v>15161</v>
      </c>
      <c r="I10249">
        <v>11504</v>
      </c>
      <c r="J10249" t="str">
        <f>VLOOKUP(E10249,DSSpieler!A:B,2,FALSE)</f>
        <v>König Marcelinho 1992</v>
      </c>
    </row>
    <row r="10250" spans="1:10" x14ac:dyDescent="0.25">
      <c r="A10250">
        <v>11505</v>
      </c>
      <c r="B10250" t="s">
        <v>531</v>
      </c>
      <c r="C10250">
        <v>509</v>
      </c>
      <c r="D10250">
        <v>602</v>
      </c>
      <c r="E10250">
        <v>0</v>
      </c>
      <c r="F10250">
        <v>175</v>
      </c>
      <c r="G10250">
        <v>0</v>
      </c>
      <c r="H10250" t="s">
        <v>15162</v>
      </c>
      <c r="I10250">
        <v>11505</v>
      </c>
      <c r="J10250" t="e">
        <f>VLOOKUP(E10250,DSSpieler!A:B,2,FALSE)</f>
        <v>#N/A</v>
      </c>
    </row>
    <row r="10251" spans="1:10" x14ac:dyDescent="0.25">
      <c r="A10251">
        <v>11506</v>
      </c>
      <c r="B10251" t="s">
        <v>531</v>
      </c>
      <c r="C10251">
        <v>604</v>
      </c>
      <c r="D10251">
        <v>484</v>
      </c>
      <c r="E10251">
        <v>0</v>
      </c>
      <c r="F10251">
        <v>248</v>
      </c>
      <c r="G10251">
        <v>0</v>
      </c>
      <c r="H10251" t="s">
        <v>15163</v>
      </c>
      <c r="I10251">
        <v>11506</v>
      </c>
      <c r="J10251" t="e">
        <f>VLOOKUP(E10251,DSSpieler!A:B,2,FALSE)</f>
        <v>#N/A</v>
      </c>
    </row>
    <row r="10252" spans="1:10" x14ac:dyDescent="0.25">
      <c r="A10252">
        <v>11507</v>
      </c>
      <c r="B10252" t="s">
        <v>531</v>
      </c>
      <c r="C10252">
        <v>599</v>
      </c>
      <c r="D10252">
        <v>534</v>
      </c>
      <c r="E10252">
        <v>0</v>
      </c>
      <c r="F10252">
        <v>330</v>
      </c>
      <c r="G10252">
        <v>0</v>
      </c>
      <c r="H10252" t="s">
        <v>15164</v>
      </c>
      <c r="I10252">
        <v>11507</v>
      </c>
      <c r="J10252" t="e">
        <f>VLOOKUP(E10252,DSSpieler!A:B,2,FALSE)</f>
        <v>#N/A</v>
      </c>
    </row>
    <row r="10253" spans="1:10" x14ac:dyDescent="0.25">
      <c r="A10253">
        <v>11508</v>
      </c>
      <c r="B10253" t="s">
        <v>34194</v>
      </c>
      <c r="C10253">
        <v>542</v>
      </c>
      <c r="D10253">
        <v>597</v>
      </c>
      <c r="E10253">
        <v>10088272</v>
      </c>
      <c r="F10253">
        <v>6547</v>
      </c>
      <c r="G10253">
        <v>0</v>
      </c>
      <c r="H10253" t="s">
        <v>15165</v>
      </c>
      <c r="I10253">
        <v>11508</v>
      </c>
      <c r="J10253" t="str">
        <f>VLOOKUP(E10253,DSSpieler!A:B,2,FALSE)</f>
        <v>nycros1</v>
      </c>
    </row>
    <row r="10254" spans="1:10" x14ac:dyDescent="0.25">
      <c r="A10254">
        <v>11509</v>
      </c>
      <c r="B10254" t="s">
        <v>531</v>
      </c>
      <c r="C10254">
        <v>507</v>
      </c>
      <c r="D10254">
        <v>396</v>
      </c>
      <c r="E10254">
        <v>0</v>
      </c>
      <c r="F10254">
        <v>176</v>
      </c>
      <c r="G10254">
        <v>0</v>
      </c>
      <c r="H10254" t="s">
        <v>15166</v>
      </c>
      <c r="I10254">
        <v>11509</v>
      </c>
      <c r="J10254" t="e">
        <f>VLOOKUP(E10254,DSSpieler!A:B,2,FALSE)</f>
        <v>#N/A</v>
      </c>
    </row>
    <row r="10255" spans="1:10" x14ac:dyDescent="0.25">
      <c r="A10255">
        <v>11510</v>
      </c>
      <c r="B10255" t="s">
        <v>531</v>
      </c>
      <c r="C10255">
        <v>590</v>
      </c>
      <c r="D10255">
        <v>442</v>
      </c>
      <c r="E10255">
        <v>0</v>
      </c>
      <c r="F10255">
        <v>590</v>
      </c>
      <c r="G10255">
        <v>0</v>
      </c>
      <c r="H10255" t="s">
        <v>15167</v>
      </c>
      <c r="I10255">
        <v>11510</v>
      </c>
      <c r="J10255" t="e">
        <f>VLOOKUP(E10255,DSSpieler!A:B,2,FALSE)</f>
        <v>#N/A</v>
      </c>
    </row>
    <row r="10256" spans="1:10" x14ac:dyDescent="0.25">
      <c r="A10256">
        <v>11511</v>
      </c>
      <c r="B10256" t="s">
        <v>531</v>
      </c>
      <c r="C10256">
        <v>604</v>
      </c>
      <c r="D10256">
        <v>517</v>
      </c>
      <c r="E10256">
        <v>0</v>
      </c>
      <c r="F10256">
        <v>247</v>
      </c>
      <c r="G10256">
        <v>0</v>
      </c>
      <c r="H10256" t="s">
        <v>15168</v>
      </c>
      <c r="I10256">
        <v>11511</v>
      </c>
      <c r="J10256" t="e">
        <f>VLOOKUP(E10256,DSSpieler!A:B,2,FALSE)</f>
        <v>#N/A</v>
      </c>
    </row>
    <row r="10257" spans="1:10" x14ac:dyDescent="0.25">
      <c r="A10257">
        <v>11512</v>
      </c>
      <c r="B10257" t="s">
        <v>32657</v>
      </c>
      <c r="C10257">
        <v>458</v>
      </c>
      <c r="D10257">
        <v>577</v>
      </c>
      <c r="E10257">
        <v>1577087474</v>
      </c>
      <c r="F10257">
        <v>2317</v>
      </c>
      <c r="G10257">
        <v>0</v>
      </c>
      <c r="H10257" t="s">
        <v>15169</v>
      </c>
      <c r="I10257">
        <v>11512</v>
      </c>
      <c r="J10257" t="str">
        <f>VLOOKUP(E10257,DSSpieler!A:B,2,FALSE)</f>
        <v>Defferfürheffner</v>
      </c>
    </row>
    <row r="10258" spans="1:10" x14ac:dyDescent="0.25">
      <c r="A10258">
        <v>11513</v>
      </c>
      <c r="B10258" t="s">
        <v>531</v>
      </c>
      <c r="C10258">
        <v>554</v>
      </c>
      <c r="D10258">
        <v>409</v>
      </c>
      <c r="E10258">
        <v>0</v>
      </c>
      <c r="F10258">
        <v>309</v>
      </c>
      <c r="G10258">
        <v>0</v>
      </c>
      <c r="H10258" t="s">
        <v>15170</v>
      </c>
      <c r="I10258">
        <v>11513</v>
      </c>
      <c r="J10258" t="e">
        <f>VLOOKUP(E10258,DSSpieler!A:B,2,FALSE)</f>
        <v>#N/A</v>
      </c>
    </row>
    <row r="10259" spans="1:10" x14ac:dyDescent="0.25">
      <c r="A10259">
        <v>11514</v>
      </c>
      <c r="B10259" t="s">
        <v>34195</v>
      </c>
      <c r="C10259">
        <v>529</v>
      </c>
      <c r="D10259">
        <v>598</v>
      </c>
      <c r="E10259">
        <v>9267037</v>
      </c>
      <c r="F10259">
        <v>4728</v>
      </c>
      <c r="G10259">
        <v>0</v>
      </c>
      <c r="H10259" t="s">
        <v>15171</v>
      </c>
      <c r="I10259">
        <v>11514</v>
      </c>
      <c r="J10259" t="str">
        <f>VLOOKUP(E10259,DSSpieler!A:B,2,FALSE)</f>
        <v>DarkShadow5</v>
      </c>
    </row>
    <row r="10260" spans="1:10" x14ac:dyDescent="0.25">
      <c r="A10260">
        <v>11515</v>
      </c>
      <c r="B10260" t="s">
        <v>531</v>
      </c>
      <c r="C10260">
        <v>408</v>
      </c>
      <c r="D10260">
        <v>450</v>
      </c>
      <c r="E10260">
        <v>0</v>
      </c>
      <c r="F10260">
        <v>271</v>
      </c>
      <c r="G10260">
        <v>0</v>
      </c>
      <c r="H10260" t="s">
        <v>15172</v>
      </c>
      <c r="I10260">
        <v>11515</v>
      </c>
      <c r="J10260" t="e">
        <f>VLOOKUP(E10260,DSSpieler!A:B,2,FALSE)</f>
        <v>#N/A</v>
      </c>
    </row>
    <row r="10261" spans="1:10" x14ac:dyDescent="0.25">
      <c r="A10261">
        <v>11516</v>
      </c>
      <c r="B10261" t="s">
        <v>34196</v>
      </c>
      <c r="C10261">
        <v>448</v>
      </c>
      <c r="D10261">
        <v>404</v>
      </c>
      <c r="E10261">
        <v>1577183344</v>
      </c>
      <c r="F10261">
        <v>5030</v>
      </c>
      <c r="G10261">
        <v>0</v>
      </c>
      <c r="H10261" t="s">
        <v>15173</v>
      </c>
      <c r="I10261">
        <v>11516</v>
      </c>
      <c r="J10261" t="str">
        <f>VLOOKUP(E10261,DSSpieler!A:B,2,FALSE)</f>
        <v>WerkstattStufe15</v>
      </c>
    </row>
    <row r="10262" spans="1:10" x14ac:dyDescent="0.25">
      <c r="A10262">
        <v>11518</v>
      </c>
      <c r="B10262" t="s">
        <v>2036</v>
      </c>
      <c r="C10262">
        <v>605</v>
      </c>
      <c r="D10262">
        <v>492</v>
      </c>
      <c r="E10262">
        <v>1576818090</v>
      </c>
      <c r="F10262">
        <v>7327</v>
      </c>
      <c r="G10262">
        <v>0</v>
      </c>
      <c r="H10262" t="s">
        <v>15174</v>
      </c>
      <c r="I10262">
        <v>11518</v>
      </c>
      <c r="J10262" t="str">
        <f>VLOOKUP(E10262,DSSpieler!A:B,2,FALSE)</f>
        <v>The DarkWolf Returns</v>
      </c>
    </row>
    <row r="10263" spans="1:10" x14ac:dyDescent="0.25">
      <c r="A10263">
        <v>11519</v>
      </c>
      <c r="B10263" t="s">
        <v>34197</v>
      </c>
      <c r="C10263">
        <v>407</v>
      </c>
      <c r="D10263">
        <v>542</v>
      </c>
      <c r="E10263">
        <v>1576032609</v>
      </c>
      <c r="F10263">
        <v>6530</v>
      </c>
      <c r="G10263">
        <v>0</v>
      </c>
      <c r="H10263" t="s">
        <v>15175</v>
      </c>
      <c r="I10263">
        <v>11519</v>
      </c>
      <c r="J10263" t="str">
        <f>VLOOKUP(E10263,DSSpieler!A:B,2,FALSE)</f>
        <v>Sceentic</v>
      </c>
    </row>
    <row r="10264" spans="1:10" x14ac:dyDescent="0.25">
      <c r="A10264">
        <v>11520</v>
      </c>
      <c r="B10264" t="s">
        <v>2037</v>
      </c>
      <c r="C10264">
        <v>423</v>
      </c>
      <c r="D10264">
        <v>573</v>
      </c>
      <c r="E10264">
        <v>1577198831</v>
      </c>
      <c r="F10264">
        <v>5158</v>
      </c>
      <c r="G10264">
        <v>0</v>
      </c>
      <c r="H10264" t="s">
        <v>15176</v>
      </c>
      <c r="I10264">
        <v>11520</v>
      </c>
      <c r="J10264" t="str">
        <f>VLOOKUP(E10264,DSSpieler!A:B,2,FALSE)</f>
        <v>Dr. Ulkan</v>
      </c>
    </row>
    <row r="10265" spans="1:10" x14ac:dyDescent="0.25">
      <c r="A10265">
        <v>11522</v>
      </c>
      <c r="B10265" t="s">
        <v>531</v>
      </c>
      <c r="C10265">
        <v>396</v>
      </c>
      <c r="D10265">
        <v>475</v>
      </c>
      <c r="E10265">
        <v>0</v>
      </c>
      <c r="F10265">
        <v>177</v>
      </c>
      <c r="G10265">
        <v>0</v>
      </c>
      <c r="H10265" t="s">
        <v>15177</v>
      </c>
      <c r="I10265">
        <v>11522</v>
      </c>
      <c r="J10265" t="e">
        <f>VLOOKUP(E10265,DSSpieler!A:B,2,FALSE)</f>
        <v>#N/A</v>
      </c>
    </row>
    <row r="10266" spans="1:10" x14ac:dyDescent="0.25">
      <c r="A10266">
        <v>11523</v>
      </c>
      <c r="B10266" t="s">
        <v>531</v>
      </c>
      <c r="C10266">
        <v>519</v>
      </c>
      <c r="D10266">
        <v>397</v>
      </c>
      <c r="E10266">
        <v>0</v>
      </c>
      <c r="F10266">
        <v>854</v>
      </c>
      <c r="G10266">
        <v>0</v>
      </c>
      <c r="H10266" t="s">
        <v>15178</v>
      </c>
      <c r="I10266">
        <v>11523</v>
      </c>
      <c r="J10266" t="e">
        <f>VLOOKUP(E10266,DSSpieler!A:B,2,FALSE)</f>
        <v>#N/A</v>
      </c>
    </row>
    <row r="10267" spans="1:10" x14ac:dyDescent="0.25">
      <c r="A10267">
        <v>11524</v>
      </c>
      <c r="B10267" t="s">
        <v>531</v>
      </c>
      <c r="C10267">
        <v>419</v>
      </c>
      <c r="D10267">
        <v>563</v>
      </c>
      <c r="E10267">
        <v>0</v>
      </c>
      <c r="F10267">
        <v>194</v>
      </c>
      <c r="G10267">
        <v>0</v>
      </c>
      <c r="H10267" t="s">
        <v>15179</v>
      </c>
      <c r="I10267">
        <v>11524</v>
      </c>
      <c r="J10267" t="e">
        <f>VLOOKUP(E10267,DSSpieler!A:B,2,FALSE)</f>
        <v>#N/A</v>
      </c>
    </row>
    <row r="10268" spans="1:10" x14ac:dyDescent="0.25">
      <c r="A10268">
        <v>11525</v>
      </c>
      <c r="B10268" t="s">
        <v>531</v>
      </c>
      <c r="C10268">
        <v>606</v>
      </c>
      <c r="D10268">
        <v>490</v>
      </c>
      <c r="E10268">
        <v>0</v>
      </c>
      <c r="F10268">
        <v>295</v>
      </c>
      <c r="G10268">
        <v>0</v>
      </c>
      <c r="H10268" t="s">
        <v>15180</v>
      </c>
      <c r="I10268">
        <v>11525</v>
      </c>
      <c r="J10268" t="e">
        <f>VLOOKUP(E10268,DSSpieler!A:B,2,FALSE)</f>
        <v>#N/A</v>
      </c>
    </row>
    <row r="10269" spans="1:10" x14ac:dyDescent="0.25">
      <c r="A10269">
        <v>11526</v>
      </c>
      <c r="B10269" t="s">
        <v>531</v>
      </c>
      <c r="C10269">
        <v>560</v>
      </c>
      <c r="D10269">
        <v>490</v>
      </c>
      <c r="E10269">
        <v>0</v>
      </c>
      <c r="F10269">
        <v>373</v>
      </c>
      <c r="G10269">
        <v>0</v>
      </c>
      <c r="H10269" t="s">
        <v>15181</v>
      </c>
      <c r="I10269">
        <v>11526</v>
      </c>
      <c r="J10269" t="e">
        <f>VLOOKUP(E10269,DSSpieler!A:B,2,FALSE)</f>
        <v>#N/A</v>
      </c>
    </row>
    <row r="10270" spans="1:10" x14ac:dyDescent="0.25">
      <c r="A10270">
        <v>11527</v>
      </c>
      <c r="B10270" t="s">
        <v>531</v>
      </c>
      <c r="C10270">
        <v>455</v>
      </c>
      <c r="D10270">
        <v>596</v>
      </c>
      <c r="E10270">
        <v>0</v>
      </c>
      <c r="F10270">
        <v>177</v>
      </c>
      <c r="G10270">
        <v>0</v>
      </c>
      <c r="H10270" t="s">
        <v>15182</v>
      </c>
      <c r="I10270">
        <v>11527</v>
      </c>
      <c r="J10270" t="e">
        <f>VLOOKUP(E10270,DSSpieler!A:B,2,FALSE)</f>
        <v>#N/A</v>
      </c>
    </row>
    <row r="10271" spans="1:10" x14ac:dyDescent="0.25">
      <c r="A10271">
        <v>11528</v>
      </c>
      <c r="B10271" t="s">
        <v>531</v>
      </c>
      <c r="C10271">
        <v>397</v>
      </c>
      <c r="D10271">
        <v>518</v>
      </c>
      <c r="E10271">
        <v>0</v>
      </c>
      <c r="F10271">
        <v>341</v>
      </c>
      <c r="G10271">
        <v>0</v>
      </c>
      <c r="H10271" t="s">
        <v>15183</v>
      </c>
      <c r="I10271">
        <v>11528</v>
      </c>
      <c r="J10271" t="e">
        <f>VLOOKUP(E10271,DSSpieler!A:B,2,FALSE)</f>
        <v>#N/A</v>
      </c>
    </row>
    <row r="10272" spans="1:10" x14ac:dyDescent="0.25">
      <c r="A10272">
        <v>11529</v>
      </c>
      <c r="B10272" t="s">
        <v>34198</v>
      </c>
      <c r="C10272">
        <v>437</v>
      </c>
      <c r="D10272">
        <v>418</v>
      </c>
      <c r="E10272">
        <v>1577052371</v>
      </c>
      <c r="F10272">
        <v>1834</v>
      </c>
      <c r="G10272">
        <v>0</v>
      </c>
      <c r="H10272" t="s">
        <v>15184</v>
      </c>
      <c r="I10272">
        <v>11529</v>
      </c>
      <c r="J10272" t="str">
        <f>VLOOKUP(E10272,DSSpieler!A:B,2,FALSE)</f>
        <v>einholz</v>
      </c>
    </row>
    <row r="10273" spans="1:10" x14ac:dyDescent="0.25">
      <c r="A10273">
        <v>11530</v>
      </c>
      <c r="B10273" t="s">
        <v>2038</v>
      </c>
      <c r="C10273">
        <v>572</v>
      </c>
      <c r="D10273">
        <v>578</v>
      </c>
      <c r="E10273">
        <v>9145635</v>
      </c>
      <c r="F10273">
        <v>3027</v>
      </c>
      <c r="G10273">
        <v>0</v>
      </c>
      <c r="H10273" t="s">
        <v>15185</v>
      </c>
      <c r="I10273">
        <v>11530</v>
      </c>
      <c r="J10273" t="str">
        <f>VLOOKUP(E10273,DSSpieler!A:B,2,FALSE)</f>
        <v>klo3b</v>
      </c>
    </row>
    <row r="10274" spans="1:10" x14ac:dyDescent="0.25">
      <c r="A10274">
        <v>11531</v>
      </c>
      <c r="B10274" t="s">
        <v>531</v>
      </c>
      <c r="C10274">
        <v>424</v>
      </c>
      <c r="D10274">
        <v>573</v>
      </c>
      <c r="E10274">
        <v>0</v>
      </c>
      <c r="F10274">
        <v>408</v>
      </c>
      <c r="G10274">
        <v>0</v>
      </c>
      <c r="H10274" t="s">
        <v>15186</v>
      </c>
      <c r="I10274">
        <v>11531</v>
      </c>
      <c r="J10274" t="e">
        <f>VLOOKUP(E10274,DSSpieler!A:B,2,FALSE)</f>
        <v>#N/A</v>
      </c>
    </row>
    <row r="10275" spans="1:10" x14ac:dyDescent="0.25">
      <c r="A10275">
        <v>11532</v>
      </c>
      <c r="B10275" t="s">
        <v>531</v>
      </c>
      <c r="C10275">
        <v>465</v>
      </c>
      <c r="D10275">
        <v>403</v>
      </c>
      <c r="E10275">
        <v>0</v>
      </c>
      <c r="F10275">
        <v>369</v>
      </c>
      <c r="G10275">
        <v>0</v>
      </c>
      <c r="H10275" t="s">
        <v>15187</v>
      </c>
      <c r="I10275">
        <v>11532</v>
      </c>
      <c r="J10275" t="e">
        <f>VLOOKUP(E10275,DSSpieler!A:B,2,FALSE)</f>
        <v>#N/A</v>
      </c>
    </row>
    <row r="10276" spans="1:10" x14ac:dyDescent="0.25">
      <c r="A10276">
        <v>11534</v>
      </c>
      <c r="B10276" t="s">
        <v>32285</v>
      </c>
      <c r="C10276">
        <v>430</v>
      </c>
      <c r="D10276">
        <v>577</v>
      </c>
      <c r="E10276">
        <v>1577096184</v>
      </c>
      <c r="F10276">
        <v>4068</v>
      </c>
      <c r="G10276">
        <v>0</v>
      </c>
      <c r="H10276" t="s">
        <v>15188</v>
      </c>
      <c r="I10276">
        <v>11534</v>
      </c>
      <c r="J10276" t="str">
        <f>VLOOKUP(E10276,DSSpieler!A:B,2,FALSE)</f>
        <v>Carsten Maschmeyer</v>
      </c>
    </row>
    <row r="10277" spans="1:10" x14ac:dyDescent="0.25">
      <c r="A10277">
        <v>11535</v>
      </c>
      <c r="B10277" t="s">
        <v>32541</v>
      </c>
      <c r="C10277">
        <v>487</v>
      </c>
      <c r="D10277">
        <v>395</v>
      </c>
      <c r="E10277">
        <v>10189485</v>
      </c>
      <c r="F10277">
        <v>2954</v>
      </c>
      <c r="G10277">
        <v>0</v>
      </c>
      <c r="H10277" t="s">
        <v>15189</v>
      </c>
      <c r="I10277">
        <v>11535</v>
      </c>
      <c r="J10277" t="str">
        <f>VLOOKUP(E10277,DSSpieler!A:B,2,FALSE)</f>
        <v>Peed94</v>
      </c>
    </row>
    <row r="10278" spans="1:10" x14ac:dyDescent="0.25">
      <c r="A10278">
        <v>11536</v>
      </c>
      <c r="B10278" t="s">
        <v>34199</v>
      </c>
      <c r="C10278">
        <v>569</v>
      </c>
      <c r="D10278">
        <v>578</v>
      </c>
      <c r="E10278">
        <v>10150018</v>
      </c>
      <c r="F10278">
        <v>4346</v>
      </c>
      <c r="G10278">
        <v>0</v>
      </c>
      <c r="H10278" t="s">
        <v>15190</v>
      </c>
      <c r="I10278">
        <v>11536</v>
      </c>
      <c r="J10278" t="str">
        <f>VLOOKUP(E10278,DSSpieler!A:B,2,FALSE)</f>
        <v>sub-t</v>
      </c>
    </row>
    <row r="10279" spans="1:10" x14ac:dyDescent="0.25">
      <c r="A10279">
        <v>11537</v>
      </c>
      <c r="B10279" t="s">
        <v>30979</v>
      </c>
      <c r="C10279">
        <v>415</v>
      </c>
      <c r="D10279">
        <v>436</v>
      </c>
      <c r="E10279">
        <v>503235</v>
      </c>
      <c r="F10279">
        <v>6830</v>
      </c>
      <c r="G10279">
        <v>0</v>
      </c>
      <c r="H10279" t="s">
        <v>15191</v>
      </c>
      <c r="I10279">
        <v>11537</v>
      </c>
      <c r="J10279" t="str">
        <f>VLOOKUP(E10279,DSSpieler!A:B,2,FALSE)</f>
        <v>TizianW</v>
      </c>
    </row>
    <row r="10280" spans="1:10" x14ac:dyDescent="0.25">
      <c r="A10280">
        <v>11538</v>
      </c>
      <c r="B10280" t="s">
        <v>610</v>
      </c>
      <c r="C10280">
        <v>597</v>
      </c>
      <c r="D10280">
        <v>458</v>
      </c>
      <c r="E10280">
        <v>1577141115</v>
      </c>
      <c r="F10280">
        <v>1463</v>
      </c>
      <c r="G10280">
        <v>0</v>
      </c>
      <c r="H10280" t="s">
        <v>15192</v>
      </c>
      <c r="I10280">
        <v>11538</v>
      </c>
      <c r="J10280" t="str">
        <f>VLOOKUP(E10280,DSSpieler!A:B,2,FALSE)</f>
        <v>MJ267-</v>
      </c>
    </row>
    <row r="10281" spans="1:10" x14ac:dyDescent="0.25">
      <c r="A10281">
        <v>11539</v>
      </c>
      <c r="B10281" t="s">
        <v>2039</v>
      </c>
      <c r="C10281">
        <v>409</v>
      </c>
      <c r="D10281">
        <v>554</v>
      </c>
      <c r="E10281">
        <v>1576876853</v>
      </c>
      <c r="F10281">
        <v>5750</v>
      </c>
      <c r="G10281">
        <v>0</v>
      </c>
      <c r="H10281" t="s">
        <v>15193</v>
      </c>
      <c r="I10281">
        <v>11539</v>
      </c>
      <c r="J10281" t="str">
        <f>VLOOKUP(E10281,DSSpieler!A:B,2,FALSE)</f>
        <v>Butcher007</v>
      </c>
    </row>
    <row r="10282" spans="1:10" x14ac:dyDescent="0.25">
      <c r="A10282">
        <v>11540</v>
      </c>
      <c r="B10282" t="s">
        <v>34200</v>
      </c>
      <c r="C10282">
        <v>476</v>
      </c>
      <c r="D10282">
        <v>400</v>
      </c>
      <c r="E10282">
        <v>1576764568</v>
      </c>
      <c r="F10282">
        <v>4669</v>
      </c>
      <c r="G10282">
        <v>0</v>
      </c>
      <c r="H10282" t="s">
        <v>15194</v>
      </c>
      <c r="I10282">
        <v>11540</v>
      </c>
      <c r="J10282" t="str">
        <f>VLOOKUP(E10282,DSSpieler!A:B,2,FALSE)</f>
        <v>TimoM1</v>
      </c>
    </row>
    <row r="10283" spans="1:10" x14ac:dyDescent="0.25">
      <c r="A10283">
        <v>11541</v>
      </c>
      <c r="B10283" t="s">
        <v>30465</v>
      </c>
      <c r="C10283">
        <v>419</v>
      </c>
      <c r="D10283">
        <v>436</v>
      </c>
      <c r="E10283">
        <v>7785606</v>
      </c>
      <c r="F10283">
        <v>5234</v>
      </c>
      <c r="G10283">
        <v>0</v>
      </c>
      <c r="H10283" t="s">
        <v>15195</v>
      </c>
      <c r="I10283">
        <v>11541</v>
      </c>
      <c r="J10283" t="str">
        <f>VLOOKUP(E10283,DSSpieler!A:B,2,FALSE)</f>
        <v>-Schpider*</v>
      </c>
    </row>
    <row r="10284" spans="1:10" x14ac:dyDescent="0.25">
      <c r="A10284">
        <v>11542</v>
      </c>
      <c r="B10284" t="s">
        <v>34201</v>
      </c>
      <c r="C10284">
        <v>584</v>
      </c>
      <c r="D10284">
        <v>435</v>
      </c>
      <c r="E10284">
        <v>1576758865</v>
      </c>
      <c r="F10284">
        <v>4736</v>
      </c>
      <c r="G10284">
        <v>0</v>
      </c>
      <c r="H10284" t="s">
        <v>15196</v>
      </c>
      <c r="I10284">
        <v>11542</v>
      </c>
      <c r="J10284" t="str">
        <f>VLOOKUP(E10284,DSSpieler!A:B,2,FALSE)</f>
        <v>ToMe104</v>
      </c>
    </row>
    <row r="10285" spans="1:10" x14ac:dyDescent="0.25">
      <c r="A10285">
        <v>11543</v>
      </c>
      <c r="B10285" t="s">
        <v>531</v>
      </c>
      <c r="C10285">
        <v>470</v>
      </c>
      <c r="D10285">
        <v>600</v>
      </c>
      <c r="E10285">
        <v>0</v>
      </c>
      <c r="F10285">
        <v>341</v>
      </c>
      <c r="G10285">
        <v>0</v>
      </c>
      <c r="H10285" t="s">
        <v>15197</v>
      </c>
      <c r="I10285">
        <v>11543</v>
      </c>
      <c r="J10285" t="e">
        <f>VLOOKUP(E10285,DSSpieler!A:B,2,FALSE)</f>
        <v>#N/A</v>
      </c>
    </row>
    <row r="10286" spans="1:10" x14ac:dyDescent="0.25">
      <c r="A10286">
        <v>11544</v>
      </c>
      <c r="B10286" t="s">
        <v>34202</v>
      </c>
      <c r="C10286">
        <v>416</v>
      </c>
      <c r="D10286">
        <v>440</v>
      </c>
      <c r="E10286">
        <v>470602</v>
      </c>
      <c r="F10286">
        <v>2852</v>
      </c>
      <c r="G10286">
        <v>0</v>
      </c>
      <c r="H10286" t="s">
        <v>15198</v>
      </c>
      <c r="I10286">
        <v>11544</v>
      </c>
      <c r="J10286" t="str">
        <f>VLOOKUP(E10286,DSSpieler!A:B,2,FALSE)</f>
        <v>Hlevagast</v>
      </c>
    </row>
    <row r="10287" spans="1:10" x14ac:dyDescent="0.25">
      <c r="A10287">
        <v>11545</v>
      </c>
      <c r="B10287" t="s">
        <v>531</v>
      </c>
      <c r="C10287">
        <v>457</v>
      </c>
      <c r="D10287">
        <v>402</v>
      </c>
      <c r="E10287">
        <v>0</v>
      </c>
      <c r="F10287">
        <v>328</v>
      </c>
      <c r="G10287">
        <v>0</v>
      </c>
      <c r="H10287" t="s">
        <v>15199</v>
      </c>
      <c r="I10287">
        <v>11545</v>
      </c>
      <c r="J10287" t="e">
        <f>VLOOKUP(E10287,DSSpieler!A:B,2,FALSE)</f>
        <v>#N/A</v>
      </c>
    </row>
    <row r="10288" spans="1:10" x14ac:dyDescent="0.25">
      <c r="A10288">
        <v>11546</v>
      </c>
      <c r="B10288" t="s">
        <v>34203</v>
      </c>
      <c r="C10288">
        <v>458</v>
      </c>
      <c r="D10288">
        <v>397</v>
      </c>
      <c r="E10288">
        <v>1577031350</v>
      </c>
      <c r="F10288">
        <v>2657</v>
      </c>
      <c r="G10288">
        <v>0</v>
      </c>
      <c r="H10288" t="s">
        <v>15200</v>
      </c>
      <c r="I10288">
        <v>11546</v>
      </c>
      <c r="J10288" t="str">
        <f>VLOOKUP(E10288,DSSpieler!A:B,2,FALSE)</f>
        <v>Logos3</v>
      </c>
    </row>
    <row r="10289" spans="1:10" x14ac:dyDescent="0.25">
      <c r="A10289">
        <v>11547</v>
      </c>
      <c r="B10289" t="s">
        <v>531</v>
      </c>
      <c r="C10289">
        <v>424</v>
      </c>
      <c r="D10289">
        <v>575</v>
      </c>
      <c r="E10289">
        <v>0</v>
      </c>
      <c r="F10289">
        <v>313</v>
      </c>
      <c r="G10289">
        <v>0</v>
      </c>
      <c r="H10289" t="s">
        <v>15201</v>
      </c>
      <c r="I10289">
        <v>11547</v>
      </c>
      <c r="J10289" t="e">
        <f>VLOOKUP(E10289,DSSpieler!A:B,2,FALSE)</f>
        <v>#N/A</v>
      </c>
    </row>
    <row r="10290" spans="1:10" x14ac:dyDescent="0.25">
      <c r="A10290">
        <v>11548</v>
      </c>
      <c r="B10290" t="s">
        <v>34204</v>
      </c>
      <c r="C10290">
        <v>596</v>
      </c>
      <c r="D10290">
        <v>454</v>
      </c>
      <c r="E10290">
        <v>1577188672</v>
      </c>
      <c r="F10290">
        <v>1942</v>
      </c>
      <c r="G10290">
        <v>0</v>
      </c>
      <c r="H10290" t="s">
        <v>15202</v>
      </c>
      <c r="I10290">
        <v>11548</v>
      </c>
      <c r="J10290" t="str">
        <f>VLOOKUP(E10290,DSSpieler!A:B,2,FALSE)</f>
        <v>Der Haie</v>
      </c>
    </row>
    <row r="10291" spans="1:10" x14ac:dyDescent="0.25">
      <c r="A10291">
        <v>11549</v>
      </c>
      <c r="B10291" t="s">
        <v>34205</v>
      </c>
      <c r="C10291">
        <v>437</v>
      </c>
      <c r="D10291">
        <v>421</v>
      </c>
      <c r="E10291">
        <v>1577045668</v>
      </c>
      <c r="F10291">
        <v>3117</v>
      </c>
      <c r="G10291">
        <v>0</v>
      </c>
      <c r="H10291" t="s">
        <v>15203</v>
      </c>
      <c r="I10291">
        <v>11549</v>
      </c>
      <c r="J10291" t="str">
        <f>VLOOKUP(E10291,DSSpieler!A:B,2,FALSE)</f>
        <v>Maxim98</v>
      </c>
    </row>
    <row r="10292" spans="1:10" x14ac:dyDescent="0.25">
      <c r="A10292">
        <v>11550</v>
      </c>
      <c r="B10292" t="s">
        <v>34206</v>
      </c>
      <c r="C10292">
        <v>413</v>
      </c>
      <c r="D10292">
        <v>517</v>
      </c>
      <c r="E10292">
        <v>1576968765</v>
      </c>
      <c r="F10292">
        <v>4953</v>
      </c>
      <c r="G10292">
        <v>0</v>
      </c>
      <c r="H10292" t="s">
        <v>15204</v>
      </c>
      <c r="I10292">
        <v>11550</v>
      </c>
      <c r="J10292" t="str">
        <f>VLOOKUP(E10292,DSSpieler!A:B,2,FALSE)</f>
        <v>NoFarmShit</v>
      </c>
    </row>
    <row r="10293" spans="1:10" x14ac:dyDescent="0.25">
      <c r="A10293">
        <v>11551</v>
      </c>
      <c r="B10293" t="s">
        <v>34207</v>
      </c>
      <c r="C10293">
        <v>456</v>
      </c>
      <c r="D10293">
        <v>403</v>
      </c>
      <c r="E10293">
        <v>1576761052</v>
      </c>
      <c r="F10293">
        <v>637</v>
      </c>
      <c r="G10293">
        <v>0</v>
      </c>
      <c r="H10293" t="s">
        <v>15205</v>
      </c>
      <c r="I10293">
        <v>11551</v>
      </c>
      <c r="J10293" t="str">
        <f>VLOOKUP(E10293,DSSpieler!A:B,2,FALSE)</f>
        <v>fettwansterrich</v>
      </c>
    </row>
    <row r="10294" spans="1:10" x14ac:dyDescent="0.25">
      <c r="A10294">
        <v>11552</v>
      </c>
      <c r="B10294" t="s">
        <v>531</v>
      </c>
      <c r="C10294">
        <v>582</v>
      </c>
      <c r="D10294">
        <v>495</v>
      </c>
      <c r="E10294">
        <v>0</v>
      </c>
      <c r="F10294">
        <v>664</v>
      </c>
      <c r="G10294">
        <v>0</v>
      </c>
      <c r="H10294" t="s">
        <v>15206</v>
      </c>
      <c r="I10294">
        <v>11552</v>
      </c>
      <c r="J10294" t="e">
        <f>VLOOKUP(E10294,DSSpieler!A:B,2,FALSE)</f>
        <v>#N/A</v>
      </c>
    </row>
    <row r="10295" spans="1:10" x14ac:dyDescent="0.25">
      <c r="A10295">
        <v>11554</v>
      </c>
      <c r="B10295" t="s">
        <v>531</v>
      </c>
      <c r="C10295">
        <v>545</v>
      </c>
      <c r="D10295">
        <v>594</v>
      </c>
      <c r="E10295">
        <v>0</v>
      </c>
      <c r="F10295">
        <v>477</v>
      </c>
      <c r="G10295">
        <v>0</v>
      </c>
      <c r="H10295" t="s">
        <v>15207</v>
      </c>
      <c r="I10295">
        <v>11554</v>
      </c>
      <c r="J10295" t="e">
        <f>VLOOKUP(E10295,DSSpieler!A:B,2,FALSE)</f>
        <v>#N/A</v>
      </c>
    </row>
    <row r="10296" spans="1:10" x14ac:dyDescent="0.25">
      <c r="A10296">
        <v>11555</v>
      </c>
      <c r="B10296" t="e">
        <f>-2-+Gronig</f>
        <v>#NAME?</v>
      </c>
      <c r="C10296">
        <v>479</v>
      </c>
      <c r="D10296">
        <v>516</v>
      </c>
      <c r="E10296">
        <v>867156</v>
      </c>
      <c r="F10296">
        <v>4417</v>
      </c>
      <c r="G10296">
        <v>0</v>
      </c>
      <c r="H10296" t="s">
        <v>15208</v>
      </c>
      <c r="I10296">
        <v>11555</v>
      </c>
      <c r="J10296" t="str">
        <f>VLOOKUP(E10296,DSSpieler!A:B,2,FALSE)</f>
        <v>Murno</v>
      </c>
    </row>
    <row r="10297" spans="1:10" x14ac:dyDescent="0.25">
      <c r="A10297">
        <v>11556</v>
      </c>
      <c r="B10297" t="s">
        <v>34208</v>
      </c>
      <c r="C10297">
        <v>477</v>
      </c>
      <c r="D10297">
        <v>600</v>
      </c>
      <c r="E10297">
        <v>1576653088</v>
      </c>
      <c r="F10297">
        <v>267</v>
      </c>
      <c r="G10297">
        <v>0</v>
      </c>
      <c r="H10297" t="s">
        <v>15209</v>
      </c>
      <c r="I10297">
        <v>11556</v>
      </c>
      <c r="J10297" t="str">
        <f>VLOOKUP(E10297,DSSpieler!A:B,2,FALSE)</f>
        <v>hyperboreu</v>
      </c>
    </row>
    <row r="10298" spans="1:10" x14ac:dyDescent="0.25">
      <c r="A10298">
        <v>11557</v>
      </c>
      <c r="B10298" t="s">
        <v>32826</v>
      </c>
      <c r="C10298">
        <v>404</v>
      </c>
      <c r="D10298">
        <v>540</v>
      </c>
      <c r="E10298">
        <v>1577070657</v>
      </c>
      <c r="F10298">
        <v>6352</v>
      </c>
      <c r="G10298">
        <v>0</v>
      </c>
      <c r="H10298" t="s">
        <v>15210</v>
      </c>
      <c r="I10298">
        <v>11557</v>
      </c>
      <c r="J10298" t="str">
        <f>VLOOKUP(E10298,DSSpieler!A:B,2,FALSE)</f>
        <v>A.M.F.</v>
      </c>
    </row>
    <row r="10299" spans="1:10" x14ac:dyDescent="0.25">
      <c r="A10299">
        <v>11558</v>
      </c>
      <c r="B10299" t="s">
        <v>531</v>
      </c>
      <c r="C10299">
        <v>487</v>
      </c>
      <c r="D10299">
        <v>516</v>
      </c>
      <c r="E10299">
        <v>0</v>
      </c>
      <c r="F10299">
        <v>654</v>
      </c>
      <c r="G10299">
        <v>0</v>
      </c>
      <c r="H10299" t="s">
        <v>15211</v>
      </c>
      <c r="I10299">
        <v>11558</v>
      </c>
      <c r="J10299" t="e">
        <f>VLOOKUP(E10299,DSSpieler!A:B,2,FALSE)</f>
        <v>#N/A</v>
      </c>
    </row>
    <row r="10300" spans="1:10" x14ac:dyDescent="0.25">
      <c r="A10300">
        <v>11559</v>
      </c>
      <c r="B10300" t="s">
        <v>2040</v>
      </c>
      <c r="C10300">
        <v>434</v>
      </c>
      <c r="D10300">
        <v>595</v>
      </c>
      <c r="E10300">
        <v>1577193698</v>
      </c>
      <c r="F10300">
        <v>5562</v>
      </c>
      <c r="G10300">
        <v>0</v>
      </c>
      <c r="H10300" t="s">
        <v>15212</v>
      </c>
      <c r="I10300">
        <v>11559</v>
      </c>
      <c r="J10300" t="str">
        <f>VLOOKUP(E10300,DSSpieler!A:B,2,FALSE)</f>
        <v>Max Mustermann</v>
      </c>
    </row>
    <row r="10301" spans="1:10" x14ac:dyDescent="0.25">
      <c r="A10301">
        <v>11560</v>
      </c>
      <c r="B10301" t="s">
        <v>34209</v>
      </c>
      <c r="C10301">
        <v>443</v>
      </c>
      <c r="D10301">
        <v>590</v>
      </c>
      <c r="E10301">
        <v>1577192052</v>
      </c>
      <c r="F10301">
        <v>1874</v>
      </c>
      <c r="G10301">
        <v>0</v>
      </c>
      <c r="H10301" t="s">
        <v>15213</v>
      </c>
      <c r="I10301">
        <v>11560</v>
      </c>
      <c r="J10301" t="str">
        <f>VLOOKUP(E10301,DSSpieler!A:B,2,FALSE)</f>
        <v>-Albi-</v>
      </c>
    </row>
    <row r="10302" spans="1:10" x14ac:dyDescent="0.25">
      <c r="A10302">
        <v>11561</v>
      </c>
      <c r="B10302" t="s">
        <v>531</v>
      </c>
      <c r="C10302">
        <v>601</v>
      </c>
      <c r="D10302">
        <v>473</v>
      </c>
      <c r="E10302">
        <v>0</v>
      </c>
      <c r="F10302">
        <v>377</v>
      </c>
      <c r="G10302">
        <v>0</v>
      </c>
      <c r="H10302" t="s">
        <v>15214</v>
      </c>
      <c r="I10302">
        <v>11561</v>
      </c>
      <c r="J10302" t="e">
        <f>VLOOKUP(E10302,DSSpieler!A:B,2,FALSE)</f>
        <v>#N/A</v>
      </c>
    </row>
    <row r="10303" spans="1:10" x14ac:dyDescent="0.25">
      <c r="A10303">
        <v>11562</v>
      </c>
      <c r="B10303" t="s">
        <v>531</v>
      </c>
      <c r="C10303">
        <v>482</v>
      </c>
      <c r="D10303">
        <v>601</v>
      </c>
      <c r="E10303">
        <v>0</v>
      </c>
      <c r="F10303">
        <v>393</v>
      </c>
      <c r="G10303">
        <v>0</v>
      </c>
      <c r="H10303" t="s">
        <v>15215</v>
      </c>
      <c r="I10303">
        <v>11562</v>
      </c>
      <c r="J10303" t="e">
        <f>VLOOKUP(E10303,DSSpieler!A:B,2,FALSE)</f>
        <v>#N/A</v>
      </c>
    </row>
    <row r="10304" spans="1:10" x14ac:dyDescent="0.25">
      <c r="A10304">
        <v>11563</v>
      </c>
      <c r="B10304" t="s">
        <v>531</v>
      </c>
      <c r="C10304">
        <v>454</v>
      </c>
      <c r="D10304">
        <v>596</v>
      </c>
      <c r="E10304">
        <v>0</v>
      </c>
      <c r="F10304">
        <v>194</v>
      </c>
      <c r="G10304">
        <v>0</v>
      </c>
      <c r="H10304" t="s">
        <v>15216</v>
      </c>
      <c r="I10304">
        <v>11563</v>
      </c>
      <c r="J10304" t="e">
        <f>VLOOKUP(E10304,DSSpieler!A:B,2,FALSE)</f>
        <v>#N/A</v>
      </c>
    </row>
    <row r="10305" spans="1:10" x14ac:dyDescent="0.25">
      <c r="A10305">
        <v>11564</v>
      </c>
      <c r="B10305" t="s">
        <v>34210</v>
      </c>
      <c r="C10305">
        <v>567</v>
      </c>
      <c r="D10305">
        <v>577</v>
      </c>
      <c r="E10305">
        <v>10150018</v>
      </c>
      <c r="F10305">
        <v>4687</v>
      </c>
      <c r="G10305">
        <v>0</v>
      </c>
      <c r="H10305" t="s">
        <v>15217</v>
      </c>
      <c r="I10305">
        <v>11564</v>
      </c>
      <c r="J10305" t="str">
        <f>VLOOKUP(E10305,DSSpieler!A:B,2,FALSE)</f>
        <v>sub-t</v>
      </c>
    </row>
    <row r="10306" spans="1:10" x14ac:dyDescent="0.25">
      <c r="A10306">
        <v>11565</v>
      </c>
      <c r="B10306" t="s">
        <v>34211</v>
      </c>
      <c r="C10306">
        <v>571</v>
      </c>
      <c r="D10306">
        <v>578</v>
      </c>
      <c r="E10306">
        <v>7801723</v>
      </c>
      <c r="F10306">
        <v>6194</v>
      </c>
      <c r="G10306">
        <v>0</v>
      </c>
      <c r="H10306" t="s">
        <v>15218</v>
      </c>
      <c r="I10306">
        <v>11565</v>
      </c>
      <c r="J10306" t="str">
        <f>VLOOKUP(E10306,DSSpieler!A:B,2,FALSE)</f>
        <v>Herr des Hasses</v>
      </c>
    </row>
    <row r="10307" spans="1:10" x14ac:dyDescent="0.25">
      <c r="A10307">
        <v>11567</v>
      </c>
      <c r="B10307" t="s">
        <v>34212</v>
      </c>
      <c r="C10307">
        <v>489</v>
      </c>
      <c r="D10307">
        <v>394</v>
      </c>
      <c r="E10307">
        <v>3299234</v>
      </c>
      <c r="F10307">
        <v>1940</v>
      </c>
      <c r="G10307">
        <v>0</v>
      </c>
      <c r="H10307" t="s">
        <v>15219</v>
      </c>
      <c r="I10307">
        <v>11567</v>
      </c>
      <c r="J10307" t="str">
        <f>VLOOKUP(E10307,DSSpieler!A:B,2,FALSE)</f>
        <v>mamalulu</v>
      </c>
    </row>
    <row r="10308" spans="1:10" x14ac:dyDescent="0.25">
      <c r="A10308">
        <v>11568</v>
      </c>
      <c r="B10308" t="s">
        <v>780</v>
      </c>
      <c r="C10308">
        <v>602</v>
      </c>
      <c r="D10308">
        <v>526</v>
      </c>
      <c r="E10308">
        <v>9410032</v>
      </c>
      <c r="F10308">
        <v>4675</v>
      </c>
      <c r="G10308">
        <v>0</v>
      </c>
      <c r="H10308" t="s">
        <v>15220</v>
      </c>
      <c r="I10308">
        <v>11568</v>
      </c>
      <c r="J10308" t="str">
        <f>VLOOKUP(E10308,DSSpieler!A:B,2,FALSE)</f>
        <v>Darth Stitch</v>
      </c>
    </row>
    <row r="10309" spans="1:10" x14ac:dyDescent="0.25">
      <c r="A10309">
        <v>11569</v>
      </c>
      <c r="B10309" t="s">
        <v>531</v>
      </c>
      <c r="C10309">
        <v>540</v>
      </c>
      <c r="D10309">
        <v>596</v>
      </c>
      <c r="E10309">
        <v>0</v>
      </c>
      <c r="F10309">
        <v>300</v>
      </c>
      <c r="G10309">
        <v>0</v>
      </c>
      <c r="H10309" t="s">
        <v>15221</v>
      </c>
      <c r="I10309">
        <v>11569</v>
      </c>
      <c r="J10309" t="e">
        <f>VLOOKUP(E10309,DSSpieler!A:B,2,FALSE)</f>
        <v>#N/A</v>
      </c>
    </row>
    <row r="10310" spans="1:10" x14ac:dyDescent="0.25">
      <c r="A10310">
        <v>11570</v>
      </c>
      <c r="B10310" t="s">
        <v>2041</v>
      </c>
      <c r="C10310">
        <v>530</v>
      </c>
      <c r="D10310">
        <v>603</v>
      </c>
      <c r="E10310">
        <v>1576748324</v>
      </c>
      <c r="F10310">
        <v>4282</v>
      </c>
      <c r="G10310">
        <v>0</v>
      </c>
      <c r="H10310" t="s">
        <v>15222</v>
      </c>
      <c r="I10310">
        <v>11570</v>
      </c>
      <c r="J10310" t="str">
        <f>VLOOKUP(E10310,DSSpieler!A:B,2,FALSE)</f>
        <v>Lord MaSaCkA</v>
      </c>
    </row>
    <row r="10311" spans="1:10" x14ac:dyDescent="0.25">
      <c r="A10311">
        <v>11571</v>
      </c>
      <c r="B10311" t="s">
        <v>531</v>
      </c>
      <c r="C10311">
        <v>578</v>
      </c>
      <c r="D10311">
        <v>428</v>
      </c>
      <c r="E10311">
        <v>0</v>
      </c>
      <c r="F10311">
        <v>5235</v>
      </c>
      <c r="G10311">
        <v>0</v>
      </c>
      <c r="H10311" t="s">
        <v>15223</v>
      </c>
      <c r="I10311">
        <v>11571</v>
      </c>
      <c r="J10311" t="e">
        <f>VLOOKUP(E10311,DSSpieler!A:B,2,FALSE)</f>
        <v>#N/A</v>
      </c>
    </row>
    <row r="10312" spans="1:10" x14ac:dyDescent="0.25">
      <c r="A10312">
        <v>11572</v>
      </c>
      <c r="B10312" t="s">
        <v>34213</v>
      </c>
      <c r="C10312">
        <v>513</v>
      </c>
      <c r="D10312">
        <v>602</v>
      </c>
      <c r="E10312">
        <v>1576820085</v>
      </c>
      <c r="F10312">
        <v>1318</v>
      </c>
      <c r="G10312">
        <v>0</v>
      </c>
      <c r="H10312" t="s">
        <v>15224</v>
      </c>
      <c r="I10312">
        <v>11572</v>
      </c>
      <c r="J10312" t="str">
        <f>VLOOKUP(E10312,DSSpieler!A:B,2,FALSE)</f>
        <v>kappmaster</v>
      </c>
    </row>
    <row r="10313" spans="1:10" x14ac:dyDescent="0.25">
      <c r="A10313">
        <v>11573</v>
      </c>
      <c r="B10313" t="s">
        <v>32694</v>
      </c>
      <c r="C10313">
        <v>501</v>
      </c>
      <c r="D10313">
        <v>607</v>
      </c>
      <c r="E10313">
        <v>1577100364</v>
      </c>
      <c r="F10313">
        <v>4900</v>
      </c>
      <c r="G10313">
        <v>0</v>
      </c>
      <c r="H10313" t="s">
        <v>15225</v>
      </c>
      <c r="I10313">
        <v>11573</v>
      </c>
      <c r="J10313" t="str">
        <f>VLOOKUP(E10313,DSSpieler!A:B,2,FALSE)</f>
        <v>Olga24humorlos</v>
      </c>
    </row>
    <row r="10314" spans="1:10" x14ac:dyDescent="0.25">
      <c r="A10314">
        <v>11574</v>
      </c>
      <c r="B10314" t="s">
        <v>531</v>
      </c>
      <c r="C10314">
        <v>532</v>
      </c>
      <c r="D10314">
        <v>399</v>
      </c>
      <c r="E10314">
        <v>0</v>
      </c>
      <c r="F10314">
        <v>297</v>
      </c>
      <c r="G10314">
        <v>0</v>
      </c>
      <c r="H10314" t="s">
        <v>15226</v>
      </c>
      <c r="I10314">
        <v>11574</v>
      </c>
      <c r="J10314" t="e">
        <f>VLOOKUP(E10314,DSSpieler!A:B,2,FALSE)</f>
        <v>#N/A</v>
      </c>
    </row>
    <row r="10315" spans="1:10" x14ac:dyDescent="0.25">
      <c r="A10315">
        <v>11575</v>
      </c>
      <c r="B10315" t="s">
        <v>2042</v>
      </c>
      <c r="C10315">
        <v>606</v>
      </c>
      <c r="D10315">
        <v>487</v>
      </c>
      <c r="E10315">
        <v>1577198833</v>
      </c>
      <c r="F10315">
        <v>5457</v>
      </c>
      <c r="G10315">
        <v>0</v>
      </c>
      <c r="H10315" t="s">
        <v>15227</v>
      </c>
      <c r="I10315">
        <v>11575</v>
      </c>
      <c r="J10315" t="str">
        <f>VLOOKUP(E10315,DSSpieler!A:B,2,FALSE)</f>
        <v>greenwolf94</v>
      </c>
    </row>
    <row r="10316" spans="1:10" x14ac:dyDescent="0.25">
      <c r="A10316">
        <v>11576</v>
      </c>
      <c r="B10316" t="s">
        <v>34214</v>
      </c>
      <c r="C10316">
        <v>573</v>
      </c>
      <c r="D10316">
        <v>579</v>
      </c>
      <c r="E10316">
        <v>25871</v>
      </c>
      <c r="F10316">
        <v>4330</v>
      </c>
      <c r="G10316">
        <v>0</v>
      </c>
      <c r="H10316" t="s">
        <v>15228</v>
      </c>
      <c r="I10316">
        <v>11576</v>
      </c>
      <c r="J10316" t="str">
        <f>VLOOKUP(E10316,DSSpieler!A:B,2,FALSE)</f>
        <v>red earth</v>
      </c>
    </row>
    <row r="10317" spans="1:10" x14ac:dyDescent="0.25">
      <c r="A10317">
        <v>11577</v>
      </c>
      <c r="B10317" t="s">
        <v>531</v>
      </c>
      <c r="C10317">
        <v>413</v>
      </c>
      <c r="D10317">
        <v>557</v>
      </c>
      <c r="E10317">
        <v>0</v>
      </c>
      <c r="F10317">
        <v>504</v>
      </c>
      <c r="G10317">
        <v>0</v>
      </c>
      <c r="H10317" t="s">
        <v>15229</v>
      </c>
      <c r="I10317">
        <v>11577</v>
      </c>
      <c r="J10317" t="e">
        <f>VLOOKUP(E10317,DSSpieler!A:B,2,FALSE)</f>
        <v>#N/A</v>
      </c>
    </row>
    <row r="10318" spans="1:10" x14ac:dyDescent="0.25">
      <c r="A10318">
        <v>11578</v>
      </c>
      <c r="B10318" t="s">
        <v>34215</v>
      </c>
      <c r="C10318">
        <v>446</v>
      </c>
      <c r="D10318">
        <v>408</v>
      </c>
      <c r="E10318">
        <v>1576180507</v>
      </c>
      <c r="F10318">
        <v>5562</v>
      </c>
      <c r="G10318">
        <v>0</v>
      </c>
      <c r="H10318" t="s">
        <v>15230</v>
      </c>
      <c r="I10318">
        <v>11578</v>
      </c>
      <c r="J10318" t="str">
        <f>VLOOKUP(E10318,DSSpieler!A:B,2,FALSE)</f>
        <v>Bauer300</v>
      </c>
    </row>
    <row r="10319" spans="1:10" x14ac:dyDescent="0.25">
      <c r="A10319">
        <v>11579</v>
      </c>
      <c r="B10319" t="s">
        <v>531</v>
      </c>
      <c r="C10319">
        <v>513</v>
      </c>
      <c r="D10319">
        <v>605</v>
      </c>
      <c r="E10319">
        <v>0</v>
      </c>
      <c r="F10319">
        <v>697</v>
      </c>
      <c r="G10319">
        <v>0</v>
      </c>
      <c r="H10319" t="s">
        <v>15231</v>
      </c>
      <c r="I10319">
        <v>11579</v>
      </c>
      <c r="J10319" t="e">
        <f>VLOOKUP(E10319,DSSpieler!A:B,2,FALSE)</f>
        <v>#N/A</v>
      </c>
    </row>
    <row r="10320" spans="1:10" x14ac:dyDescent="0.25">
      <c r="A10320">
        <v>11580</v>
      </c>
      <c r="B10320" t="s">
        <v>531</v>
      </c>
      <c r="C10320">
        <v>545</v>
      </c>
      <c r="D10320">
        <v>403</v>
      </c>
      <c r="E10320">
        <v>0</v>
      </c>
      <c r="F10320">
        <v>367</v>
      </c>
      <c r="G10320">
        <v>0</v>
      </c>
      <c r="H10320" t="s">
        <v>15232</v>
      </c>
      <c r="I10320">
        <v>11580</v>
      </c>
      <c r="J10320" t="e">
        <f>VLOOKUP(E10320,DSSpieler!A:B,2,FALSE)</f>
        <v>#N/A</v>
      </c>
    </row>
    <row r="10321" spans="1:10" x14ac:dyDescent="0.25">
      <c r="A10321">
        <v>11581</v>
      </c>
      <c r="B10321" t="s">
        <v>34216</v>
      </c>
      <c r="C10321">
        <v>445</v>
      </c>
      <c r="D10321">
        <v>408</v>
      </c>
      <c r="E10321">
        <v>1598336</v>
      </c>
      <c r="F10321">
        <v>5068</v>
      </c>
      <c r="G10321">
        <v>0</v>
      </c>
      <c r="H10321" t="s">
        <v>15233</v>
      </c>
      <c r="I10321">
        <v>11581</v>
      </c>
      <c r="J10321" t="str">
        <f>VLOOKUP(E10321,DSSpieler!A:B,2,FALSE)</f>
        <v>rs3000</v>
      </c>
    </row>
    <row r="10322" spans="1:10" x14ac:dyDescent="0.25">
      <c r="A10322">
        <v>11582</v>
      </c>
      <c r="B10322" t="s">
        <v>531</v>
      </c>
      <c r="C10322">
        <v>395</v>
      </c>
      <c r="D10322">
        <v>514</v>
      </c>
      <c r="E10322">
        <v>0</v>
      </c>
      <c r="F10322">
        <v>365</v>
      </c>
      <c r="G10322">
        <v>0</v>
      </c>
      <c r="H10322" t="s">
        <v>15234</v>
      </c>
      <c r="I10322">
        <v>11582</v>
      </c>
      <c r="J10322" t="e">
        <f>VLOOKUP(E10322,DSSpieler!A:B,2,FALSE)</f>
        <v>#N/A</v>
      </c>
    </row>
    <row r="10323" spans="1:10" x14ac:dyDescent="0.25">
      <c r="A10323">
        <v>11583</v>
      </c>
      <c r="B10323" t="s">
        <v>2043</v>
      </c>
      <c r="C10323">
        <v>606</v>
      </c>
      <c r="D10323">
        <v>505</v>
      </c>
      <c r="E10323">
        <v>1577194819</v>
      </c>
      <c r="F10323">
        <v>1254</v>
      </c>
      <c r="G10323">
        <v>0</v>
      </c>
      <c r="H10323" t="s">
        <v>15235</v>
      </c>
      <c r="I10323">
        <v>11583</v>
      </c>
      <c r="J10323" t="str">
        <f>VLOOKUP(E10323,DSSpieler!A:B,2,FALSE)</f>
        <v>Ordensk1ll3r</v>
      </c>
    </row>
    <row r="10324" spans="1:10" x14ac:dyDescent="0.25">
      <c r="A10324">
        <v>11584</v>
      </c>
      <c r="B10324" t="s">
        <v>34217</v>
      </c>
      <c r="C10324">
        <v>423</v>
      </c>
      <c r="D10324">
        <v>565</v>
      </c>
      <c r="E10324">
        <v>2412701</v>
      </c>
      <c r="F10324">
        <v>6058</v>
      </c>
      <c r="G10324">
        <v>0</v>
      </c>
      <c r="H10324" t="s">
        <v>15236</v>
      </c>
      <c r="I10324">
        <v>11584</v>
      </c>
      <c r="J10324" t="str">
        <f>VLOOKUP(E10324,DSSpieler!A:B,2,FALSE)</f>
        <v>Pippiar</v>
      </c>
    </row>
    <row r="10325" spans="1:10" x14ac:dyDescent="0.25">
      <c r="A10325">
        <v>11585</v>
      </c>
      <c r="B10325">
        <v>6</v>
      </c>
      <c r="C10325">
        <v>558</v>
      </c>
      <c r="D10325">
        <v>578</v>
      </c>
      <c r="E10325">
        <v>1577188575</v>
      </c>
      <c r="F10325">
        <v>3613</v>
      </c>
      <c r="G10325">
        <v>0</v>
      </c>
      <c r="H10325" t="s">
        <v>15237</v>
      </c>
      <c r="I10325">
        <v>11585</v>
      </c>
      <c r="J10325" t="str">
        <f>VLOOKUP(E10325,DSSpieler!A:B,2,FALSE)</f>
        <v>94Norbi</v>
      </c>
    </row>
    <row r="10326" spans="1:10" x14ac:dyDescent="0.25">
      <c r="A10326">
        <v>11586</v>
      </c>
      <c r="B10326" t="s">
        <v>2044</v>
      </c>
      <c r="C10326">
        <v>603</v>
      </c>
      <c r="D10326">
        <v>473</v>
      </c>
      <c r="E10326">
        <v>1577196233</v>
      </c>
      <c r="F10326">
        <v>4584</v>
      </c>
      <c r="G10326">
        <v>0</v>
      </c>
      <c r="H10326" t="s">
        <v>15238</v>
      </c>
      <c r="I10326">
        <v>11586</v>
      </c>
      <c r="J10326" t="str">
        <f>VLOOKUP(E10326,DSSpieler!A:B,2,FALSE)</f>
        <v>Bakeroll</v>
      </c>
    </row>
    <row r="10327" spans="1:10" x14ac:dyDescent="0.25">
      <c r="A10327">
        <v>11587</v>
      </c>
      <c r="B10327" t="s">
        <v>531</v>
      </c>
      <c r="C10327">
        <v>607</v>
      </c>
      <c r="D10327">
        <v>499</v>
      </c>
      <c r="E10327">
        <v>0</v>
      </c>
      <c r="F10327">
        <v>331</v>
      </c>
      <c r="G10327">
        <v>0</v>
      </c>
      <c r="H10327" t="s">
        <v>15239</v>
      </c>
      <c r="I10327">
        <v>11587</v>
      </c>
      <c r="J10327" t="e">
        <f>VLOOKUP(E10327,DSSpieler!A:B,2,FALSE)</f>
        <v>#N/A</v>
      </c>
    </row>
    <row r="10328" spans="1:10" x14ac:dyDescent="0.25">
      <c r="A10328">
        <v>11588</v>
      </c>
      <c r="B10328" t="s">
        <v>34218</v>
      </c>
      <c r="C10328">
        <v>414</v>
      </c>
      <c r="D10328">
        <v>569</v>
      </c>
      <c r="E10328">
        <v>1577178848</v>
      </c>
      <c r="F10328">
        <v>6482</v>
      </c>
      <c r="G10328">
        <v>0</v>
      </c>
      <c r="H10328" t="s">
        <v>15240</v>
      </c>
      <c r="I10328">
        <v>11588</v>
      </c>
      <c r="J10328" t="str">
        <f>VLOOKUP(E10328,DSSpieler!A:B,2,FALSE)</f>
        <v>Chlöpfer</v>
      </c>
    </row>
    <row r="10329" spans="1:10" x14ac:dyDescent="0.25">
      <c r="A10329">
        <v>11589</v>
      </c>
      <c r="B10329" t="s">
        <v>31387</v>
      </c>
      <c r="C10329">
        <v>570</v>
      </c>
      <c r="D10329">
        <v>568</v>
      </c>
      <c r="E10329">
        <v>10154907</v>
      </c>
      <c r="F10329">
        <v>4446</v>
      </c>
      <c r="G10329">
        <v>0</v>
      </c>
      <c r="H10329" t="s">
        <v>15241</v>
      </c>
      <c r="I10329">
        <v>11589</v>
      </c>
      <c r="J10329" t="str">
        <f>VLOOKUP(E10329,DSSpieler!A:B,2,FALSE)</f>
        <v>tronten</v>
      </c>
    </row>
    <row r="10330" spans="1:10" x14ac:dyDescent="0.25">
      <c r="A10330">
        <v>11590</v>
      </c>
      <c r="B10330" t="s">
        <v>531</v>
      </c>
      <c r="C10330">
        <v>604</v>
      </c>
      <c r="D10330">
        <v>526</v>
      </c>
      <c r="E10330">
        <v>0</v>
      </c>
      <c r="F10330">
        <v>244</v>
      </c>
      <c r="G10330">
        <v>0</v>
      </c>
      <c r="H10330" t="s">
        <v>15242</v>
      </c>
      <c r="I10330">
        <v>11590</v>
      </c>
      <c r="J10330" t="e">
        <f>VLOOKUP(E10330,DSSpieler!A:B,2,FALSE)</f>
        <v>#N/A</v>
      </c>
    </row>
    <row r="10331" spans="1:10" x14ac:dyDescent="0.25">
      <c r="A10331">
        <v>11591</v>
      </c>
      <c r="B10331" t="s">
        <v>34219</v>
      </c>
      <c r="C10331">
        <v>396</v>
      </c>
      <c r="D10331">
        <v>526</v>
      </c>
      <c r="E10331">
        <v>281103</v>
      </c>
      <c r="F10331">
        <v>1811</v>
      </c>
      <c r="G10331">
        <v>0</v>
      </c>
      <c r="H10331" t="s">
        <v>15243</v>
      </c>
      <c r="I10331">
        <v>11591</v>
      </c>
      <c r="J10331" t="str">
        <f>VLOOKUP(E10331,DSSpieler!A:B,2,FALSE)</f>
        <v>Lady Elaine</v>
      </c>
    </row>
    <row r="10332" spans="1:10" x14ac:dyDescent="0.25">
      <c r="A10332">
        <v>11592</v>
      </c>
      <c r="B10332" t="s">
        <v>531</v>
      </c>
      <c r="C10332">
        <v>467</v>
      </c>
      <c r="D10332">
        <v>400</v>
      </c>
      <c r="E10332">
        <v>0</v>
      </c>
      <c r="F10332">
        <v>212</v>
      </c>
      <c r="G10332">
        <v>0</v>
      </c>
      <c r="H10332" t="s">
        <v>15244</v>
      </c>
      <c r="I10332">
        <v>11592</v>
      </c>
      <c r="J10332" t="e">
        <f>VLOOKUP(E10332,DSSpieler!A:B,2,FALSE)</f>
        <v>#N/A</v>
      </c>
    </row>
    <row r="10333" spans="1:10" x14ac:dyDescent="0.25">
      <c r="A10333">
        <v>11593</v>
      </c>
      <c r="B10333" t="s">
        <v>34220</v>
      </c>
      <c r="C10333">
        <v>566</v>
      </c>
      <c r="D10333">
        <v>417</v>
      </c>
      <c r="E10333">
        <v>1577198275</v>
      </c>
      <c r="F10333">
        <v>4342</v>
      </c>
      <c r="G10333">
        <v>0</v>
      </c>
      <c r="H10333" t="s">
        <v>15245</v>
      </c>
      <c r="I10333">
        <v>11593</v>
      </c>
      <c r="J10333" t="str">
        <f>VLOOKUP(E10333,DSSpieler!A:B,2,FALSE)</f>
        <v>Oxlfoxl</v>
      </c>
    </row>
    <row r="10334" spans="1:10" x14ac:dyDescent="0.25">
      <c r="A10334">
        <v>11594</v>
      </c>
      <c r="B10334" t="s">
        <v>531</v>
      </c>
      <c r="C10334">
        <v>423</v>
      </c>
      <c r="D10334">
        <v>427</v>
      </c>
      <c r="E10334">
        <v>0</v>
      </c>
      <c r="F10334">
        <v>1035</v>
      </c>
      <c r="G10334">
        <v>0</v>
      </c>
      <c r="H10334" t="s">
        <v>15246</v>
      </c>
      <c r="I10334">
        <v>11594</v>
      </c>
      <c r="J10334" t="e">
        <f>VLOOKUP(E10334,DSSpieler!A:B,2,FALSE)</f>
        <v>#N/A</v>
      </c>
    </row>
    <row r="10335" spans="1:10" x14ac:dyDescent="0.25">
      <c r="A10335">
        <v>11595</v>
      </c>
      <c r="B10335" t="s">
        <v>34221</v>
      </c>
      <c r="C10335">
        <v>569</v>
      </c>
      <c r="D10335">
        <v>418</v>
      </c>
      <c r="E10335">
        <v>1576555364</v>
      </c>
      <c r="F10335">
        <v>6963</v>
      </c>
      <c r="G10335">
        <v>0</v>
      </c>
      <c r="H10335" t="s">
        <v>15247</v>
      </c>
      <c r="I10335">
        <v>11595</v>
      </c>
      <c r="J10335" t="str">
        <f>VLOOKUP(E10335,DSSpieler!A:B,2,FALSE)</f>
        <v>König BraverFan</v>
      </c>
    </row>
    <row r="10336" spans="1:10" x14ac:dyDescent="0.25">
      <c r="A10336">
        <v>11596</v>
      </c>
      <c r="B10336" t="s">
        <v>2045</v>
      </c>
      <c r="C10336">
        <v>500</v>
      </c>
      <c r="D10336">
        <v>406</v>
      </c>
      <c r="E10336">
        <v>256479</v>
      </c>
      <c r="F10336">
        <v>5338</v>
      </c>
      <c r="G10336">
        <v>0</v>
      </c>
      <c r="H10336" t="s">
        <v>15248</v>
      </c>
      <c r="I10336">
        <v>11596</v>
      </c>
      <c r="J10336" t="str">
        <f>VLOOKUP(E10336,DSSpieler!A:B,2,FALSE)</f>
        <v>sdhfsod</v>
      </c>
    </row>
    <row r="10337" spans="1:10" x14ac:dyDescent="0.25">
      <c r="A10337">
        <v>11597</v>
      </c>
      <c r="B10337" t="s">
        <v>34222</v>
      </c>
      <c r="C10337">
        <v>403</v>
      </c>
      <c r="D10337">
        <v>552</v>
      </c>
      <c r="E10337">
        <v>1576876853</v>
      </c>
      <c r="F10337">
        <v>5541</v>
      </c>
      <c r="G10337">
        <v>0</v>
      </c>
      <c r="H10337" t="s">
        <v>15249</v>
      </c>
      <c r="I10337">
        <v>11597</v>
      </c>
      <c r="J10337" t="str">
        <f>VLOOKUP(E10337,DSSpieler!A:B,2,FALSE)</f>
        <v>Butcher007</v>
      </c>
    </row>
    <row r="10338" spans="1:10" x14ac:dyDescent="0.25">
      <c r="A10338">
        <v>11598</v>
      </c>
      <c r="B10338" t="s">
        <v>897</v>
      </c>
      <c r="C10338">
        <v>399</v>
      </c>
      <c r="D10338">
        <v>523</v>
      </c>
      <c r="E10338">
        <v>1577177037</v>
      </c>
      <c r="F10338">
        <v>5879</v>
      </c>
      <c r="G10338">
        <v>0</v>
      </c>
      <c r="H10338" t="s">
        <v>15250</v>
      </c>
      <c r="I10338">
        <v>11598</v>
      </c>
      <c r="J10338" t="str">
        <f>VLOOKUP(E10338,DSSpieler!A:B,2,FALSE)</f>
        <v>Reaperkill</v>
      </c>
    </row>
    <row r="10339" spans="1:10" x14ac:dyDescent="0.25">
      <c r="A10339">
        <v>11599</v>
      </c>
      <c r="B10339" t="s">
        <v>732</v>
      </c>
      <c r="C10339">
        <v>474</v>
      </c>
      <c r="D10339">
        <v>397</v>
      </c>
      <c r="E10339">
        <v>1577197344</v>
      </c>
      <c r="F10339">
        <v>933</v>
      </c>
      <c r="G10339">
        <v>0</v>
      </c>
      <c r="H10339" t="s">
        <v>15251</v>
      </c>
      <c r="I10339">
        <v>11599</v>
      </c>
      <c r="J10339" t="str">
        <f>VLOOKUP(E10339,DSSpieler!A:B,2,FALSE)</f>
        <v>FreeVolmer</v>
      </c>
    </row>
    <row r="10340" spans="1:10" x14ac:dyDescent="0.25">
      <c r="A10340">
        <v>11600</v>
      </c>
      <c r="B10340" t="s">
        <v>531</v>
      </c>
      <c r="C10340">
        <v>504</v>
      </c>
      <c r="D10340">
        <v>606</v>
      </c>
      <c r="E10340">
        <v>0</v>
      </c>
      <c r="F10340">
        <v>185</v>
      </c>
      <c r="G10340">
        <v>0</v>
      </c>
      <c r="H10340" t="s">
        <v>15252</v>
      </c>
      <c r="I10340">
        <v>11600</v>
      </c>
      <c r="J10340" t="e">
        <f>VLOOKUP(E10340,DSSpieler!A:B,2,FALSE)</f>
        <v>#N/A</v>
      </c>
    </row>
    <row r="10341" spans="1:10" x14ac:dyDescent="0.25">
      <c r="A10341">
        <v>11601</v>
      </c>
      <c r="B10341" t="s">
        <v>531</v>
      </c>
      <c r="C10341">
        <v>503</v>
      </c>
      <c r="D10341">
        <v>607</v>
      </c>
      <c r="E10341">
        <v>0</v>
      </c>
      <c r="F10341">
        <v>365</v>
      </c>
      <c r="G10341">
        <v>0</v>
      </c>
      <c r="H10341" t="s">
        <v>15253</v>
      </c>
      <c r="I10341">
        <v>11601</v>
      </c>
      <c r="J10341" t="e">
        <f>VLOOKUP(E10341,DSSpieler!A:B,2,FALSE)</f>
        <v>#N/A</v>
      </c>
    </row>
    <row r="10342" spans="1:10" x14ac:dyDescent="0.25">
      <c r="A10342">
        <v>11602</v>
      </c>
      <c r="B10342" t="s">
        <v>34223</v>
      </c>
      <c r="C10342">
        <v>418</v>
      </c>
      <c r="D10342">
        <v>568</v>
      </c>
      <c r="E10342">
        <v>1577163311</v>
      </c>
      <c r="F10342">
        <v>583</v>
      </c>
      <c r="G10342">
        <v>0</v>
      </c>
      <c r="H10342" t="s">
        <v>15254</v>
      </c>
      <c r="I10342">
        <v>11602</v>
      </c>
      <c r="J10342" t="str">
        <f>VLOOKUP(E10342,DSSpieler!A:B,2,FALSE)</f>
        <v>Timo99</v>
      </c>
    </row>
    <row r="10343" spans="1:10" x14ac:dyDescent="0.25">
      <c r="A10343">
        <v>11603</v>
      </c>
      <c r="B10343" t="s">
        <v>531</v>
      </c>
      <c r="C10343">
        <v>542</v>
      </c>
      <c r="D10343">
        <v>599</v>
      </c>
      <c r="E10343">
        <v>0</v>
      </c>
      <c r="F10343">
        <v>413</v>
      </c>
      <c r="G10343">
        <v>0</v>
      </c>
      <c r="H10343" t="s">
        <v>15255</v>
      </c>
      <c r="I10343">
        <v>11603</v>
      </c>
      <c r="J10343" t="e">
        <f>VLOOKUP(E10343,DSSpieler!A:B,2,FALSE)</f>
        <v>#N/A</v>
      </c>
    </row>
    <row r="10344" spans="1:10" x14ac:dyDescent="0.25">
      <c r="A10344">
        <v>11604</v>
      </c>
      <c r="B10344" t="s">
        <v>34224</v>
      </c>
      <c r="C10344">
        <v>463</v>
      </c>
      <c r="D10344">
        <v>603</v>
      </c>
      <c r="E10344">
        <v>1577197712</v>
      </c>
      <c r="F10344">
        <v>5854</v>
      </c>
      <c r="G10344">
        <v>0</v>
      </c>
      <c r="H10344" t="s">
        <v>15256</v>
      </c>
      <c r="I10344">
        <v>11604</v>
      </c>
      <c r="J10344" t="str">
        <f>VLOOKUP(E10344,DSSpieler!A:B,2,FALSE)</f>
        <v>Revenge is sweet</v>
      </c>
    </row>
    <row r="10345" spans="1:10" x14ac:dyDescent="0.25">
      <c r="A10345">
        <v>11605</v>
      </c>
      <c r="B10345">
        <v>2</v>
      </c>
      <c r="C10345">
        <v>523</v>
      </c>
      <c r="D10345">
        <v>560</v>
      </c>
      <c r="E10345">
        <v>10250955</v>
      </c>
      <c r="F10345">
        <v>2418</v>
      </c>
      <c r="G10345">
        <v>0</v>
      </c>
      <c r="H10345" t="s">
        <v>15257</v>
      </c>
      <c r="I10345">
        <v>11605</v>
      </c>
      <c r="J10345" t="str">
        <f>VLOOKUP(E10345,DSSpieler!A:B,2,FALSE)</f>
        <v>carbon487</v>
      </c>
    </row>
    <row r="10346" spans="1:10" x14ac:dyDescent="0.25">
      <c r="A10346">
        <v>11606</v>
      </c>
      <c r="B10346" t="s">
        <v>531</v>
      </c>
      <c r="C10346">
        <v>405</v>
      </c>
      <c r="D10346">
        <v>544</v>
      </c>
      <c r="E10346">
        <v>0</v>
      </c>
      <c r="F10346">
        <v>468</v>
      </c>
      <c r="G10346">
        <v>0</v>
      </c>
      <c r="H10346" t="s">
        <v>15258</v>
      </c>
      <c r="I10346">
        <v>11606</v>
      </c>
      <c r="J10346" t="e">
        <f>VLOOKUP(E10346,DSSpieler!A:B,2,FALSE)</f>
        <v>#N/A</v>
      </c>
    </row>
    <row r="10347" spans="1:10" x14ac:dyDescent="0.25">
      <c r="A10347">
        <v>11607</v>
      </c>
      <c r="B10347" t="s">
        <v>2046</v>
      </c>
      <c r="C10347">
        <v>602</v>
      </c>
      <c r="D10347">
        <v>500</v>
      </c>
      <c r="E10347">
        <v>8393437</v>
      </c>
      <c r="F10347">
        <v>4125</v>
      </c>
      <c r="G10347">
        <v>0</v>
      </c>
      <c r="H10347" t="s">
        <v>15259</v>
      </c>
      <c r="I10347">
        <v>11607</v>
      </c>
      <c r="J10347" t="str">
        <f>VLOOKUP(E10347,DSSpieler!A:B,2,FALSE)</f>
        <v>Dein Tödchen</v>
      </c>
    </row>
    <row r="10348" spans="1:10" x14ac:dyDescent="0.25">
      <c r="A10348">
        <v>11608</v>
      </c>
      <c r="B10348" t="s">
        <v>2047</v>
      </c>
      <c r="C10348">
        <v>470</v>
      </c>
      <c r="D10348">
        <v>398</v>
      </c>
      <c r="E10348">
        <v>1577191019</v>
      </c>
      <c r="F10348">
        <v>6681</v>
      </c>
      <c r="G10348">
        <v>0</v>
      </c>
      <c r="H10348" t="s">
        <v>15260</v>
      </c>
      <c r="I10348">
        <v>11608</v>
      </c>
      <c r="J10348" t="str">
        <f>VLOOKUP(E10348,DSSpieler!A:B,2,FALSE)</f>
        <v>.P0WERR4DE*</v>
      </c>
    </row>
    <row r="10349" spans="1:10" x14ac:dyDescent="0.25">
      <c r="A10349">
        <v>11609</v>
      </c>
      <c r="B10349" t="s">
        <v>531</v>
      </c>
      <c r="C10349">
        <v>602</v>
      </c>
      <c r="D10349">
        <v>514</v>
      </c>
      <c r="E10349">
        <v>0</v>
      </c>
      <c r="F10349">
        <v>161</v>
      </c>
      <c r="G10349">
        <v>0</v>
      </c>
      <c r="H10349" t="s">
        <v>15261</v>
      </c>
      <c r="I10349">
        <v>11609</v>
      </c>
      <c r="J10349" t="e">
        <f>VLOOKUP(E10349,DSSpieler!A:B,2,FALSE)</f>
        <v>#N/A</v>
      </c>
    </row>
    <row r="10350" spans="1:10" x14ac:dyDescent="0.25">
      <c r="A10350">
        <v>11610</v>
      </c>
      <c r="B10350" t="s">
        <v>531</v>
      </c>
      <c r="C10350">
        <v>428</v>
      </c>
      <c r="D10350">
        <v>424</v>
      </c>
      <c r="E10350">
        <v>0</v>
      </c>
      <c r="F10350">
        <v>794</v>
      </c>
      <c r="G10350">
        <v>0</v>
      </c>
      <c r="H10350" t="s">
        <v>15262</v>
      </c>
      <c r="I10350">
        <v>11610</v>
      </c>
      <c r="J10350" t="e">
        <f>VLOOKUP(E10350,DSSpieler!A:B,2,FALSE)</f>
        <v>#N/A</v>
      </c>
    </row>
    <row r="10351" spans="1:10" x14ac:dyDescent="0.25">
      <c r="A10351">
        <v>11611</v>
      </c>
      <c r="B10351">
        <v>5</v>
      </c>
      <c r="C10351">
        <v>443</v>
      </c>
      <c r="D10351">
        <v>434</v>
      </c>
      <c r="E10351">
        <v>9878022</v>
      </c>
      <c r="F10351">
        <v>7286</v>
      </c>
      <c r="G10351">
        <v>0</v>
      </c>
      <c r="H10351" t="s">
        <v>15263</v>
      </c>
      <c r="I10351">
        <v>11611</v>
      </c>
      <c r="J10351" t="str">
        <f>VLOOKUP(E10351,DSSpieler!A:B,2,FALSE)</f>
        <v>König Alex13</v>
      </c>
    </row>
    <row r="10352" spans="1:10" x14ac:dyDescent="0.25">
      <c r="A10352">
        <v>11612</v>
      </c>
      <c r="B10352" t="s">
        <v>531</v>
      </c>
      <c r="C10352">
        <v>438</v>
      </c>
      <c r="D10352">
        <v>584</v>
      </c>
      <c r="E10352">
        <v>0</v>
      </c>
      <c r="F10352">
        <v>620</v>
      </c>
      <c r="G10352">
        <v>0</v>
      </c>
      <c r="H10352" t="s">
        <v>15264</v>
      </c>
      <c r="I10352">
        <v>11612</v>
      </c>
      <c r="J10352" t="e">
        <f>VLOOKUP(E10352,DSSpieler!A:B,2,FALSE)</f>
        <v>#N/A</v>
      </c>
    </row>
    <row r="10353" spans="1:10" x14ac:dyDescent="0.25">
      <c r="A10353">
        <v>11613</v>
      </c>
      <c r="B10353" t="s">
        <v>531</v>
      </c>
      <c r="C10353">
        <v>497</v>
      </c>
      <c r="D10353">
        <v>604</v>
      </c>
      <c r="E10353">
        <v>0</v>
      </c>
      <c r="F10353">
        <v>434</v>
      </c>
      <c r="G10353">
        <v>0</v>
      </c>
      <c r="H10353" t="s">
        <v>15265</v>
      </c>
      <c r="I10353">
        <v>11613</v>
      </c>
      <c r="J10353" t="e">
        <f>VLOOKUP(E10353,DSSpieler!A:B,2,FALSE)</f>
        <v>#N/A</v>
      </c>
    </row>
    <row r="10354" spans="1:10" x14ac:dyDescent="0.25">
      <c r="A10354">
        <v>11614</v>
      </c>
      <c r="B10354" t="s">
        <v>531</v>
      </c>
      <c r="C10354">
        <v>406</v>
      </c>
      <c r="D10354">
        <v>546</v>
      </c>
      <c r="E10354">
        <v>0</v>
      </c>
      <c r="F10354">
        <v>213</v>
      </c>
      <c r="G10354">
        <v>0</v>
      </c>
      <c r="H10354" t="s">
        <v>15266</v>
      </c>
      <c r="I10354">
        <v>11614</v>
      </c>
      <c r="J10354" t="e">
        <f>VLOOKUP(E10354,DSSpieler!A:B,2,FALSE)</f>
        <v>#N/A</v>
      </c>
    </row>
    <row r="10355" spans="1:10" x14ac:dyDescent="0.25">
      <c r="A10355">
        <v>11615</v>
      </c>
      <c r="B10355" t="s">
        <v>34225</v>
      </c>
      <c r="C10355">
        <v>409</v>
      </c>
      <c r="D10355">
        <v>557</v>
      </c>
      <c r="E10355">
        <v>1577190635</v>
      </c>
      <c r="F10355">
        <v>6540</v>
      </c>
      <c r="G10355">
        <v>0</v>
      </c>
      <c r="H10355" t="s">
        <v>15267</v>
      </c>
      <c r="I10355">
        <v>11615</v>
      </c>
      <c r="J10355" t="str">
        <f>VLOOKUP(E10355,DSSpieler!A:B,2,FALSE)</f>
        <v>Launga</v>
      </c>
    </row>
    <row r="10356" spans="1:10" x14ac:dyDescent="0.25">
      <c r="A10356">
        <v>11616</v>
      </c>
      <c r="B10356" t="s">
        <v>2048</v>
      </c>
      <c r="C10356">
        <v>537</v>
      </c>
      <c r="D10356">
        <v>441</v>
      </c>
      <c r="E10356">
        <v>3143028</v>
      </c>
      <c r="F10356">
        <v>6036</v>
      </c>
      <c r="G10356">
        <v>0</v>
      </c>
      <c r="H10356" t="s">
        <v>15268</v>
      </c>
      <c r="I10356">
        <v>11616</v>
      </c>
      <c r="J10356" t="str">
        <f>VLOOKUP(E10356,DSSpieler!A:B,2,FALSE)</f>
        <v>Tom Traitor</v>
      </c>
    </row>
    <row r="10357" spans="1:10" x14ac:dyDescent="0.25">
      <c r="A10357">
        <v>11617</v>
      </c>
      <c r="B10357" t="s">
        <v>2049</v>
      </c>
      <c r="C10357">
        <v>481</v>
      </c>
      <c r="D10357">
        <v>426</v>
      </c>
      <c r="E10357">
        <v>1577101750</v>
      </c>
      <c r="F10357">
        <v>4579</v>
      </c>
      <c r="G10357">
        <v>0</v>
      </c>
      <c r="H10357" t="s">
        <v>15269</v>
      </c>
      <c r="I10357">
        <v>11617</v>
      </c>
      <c r="J10357" t="str">
        <f>VLOOKUP(E10357,DSSpieler!A:B,2,FALSE)</f>
        <v>skullbreaker</v>
      </c>
    </row>
    <row r="10358" spans="1:10" x14ac:dyDescent="0.25">
      <c r="A10358">
        <v>11618</v>
      </c>
      <c r="B10358" t="s">
        <v>30649</v>
      </c>
      <c r="C10358">
        <v>400</v>
      </c>
      <c r="D10358">
        <v>465</v>
      </c>
      <c r="E10358">
        <v>1576585696</v>
      </c>
      <c r="F10358">
        <v>1071</v>
      </c>
      <c r="G10358">
        <v>0</v>
      </c>
      <c r="H10358" t="s">
        <v>15270</v>
      </c>
      <c r="I10358">
        <v>11618</v>
      </c>
      <c r="J10358" t="str">
        <f>VLOOKUP(E10358,DSSpieler!A:B,2,FALSE)</f>
        <v>König Kevin die Seegurke</v>
      </c>
    </row>
    <row r="10359" spans="1:10" x14ac:dyDescent="0.25">
      <c r="A10359">
        <v>11619</v>
      </c>
      <c r="B10359" t="s">
        <v>34226</v>
      </c>
      <c r="C10359">
        <v>448</v>
      </c>
      <c r="D10359">
        <v>407</v>
      </c>
      <c r="E10359">
        <v>1539246</v>
      </c>
      <c r="F10359">
        <v>4558</v>
      </c>
      <c r="G10359">
        <v>0</v>
      </c>
      <c r="H10359" t="s">
        <v>15271</v>
      </c>
      <c r="I10359">
        <v>11619</v>
      </c>
      <c r="J10359" t="str">
        <f>VLOOKUP(E10359,DSSpieler!A:B,2,FALSE)</f>
        <v>Klose100</v>
      </c>
    </row>
    <row r="10360" spans="1:10" x14ac:dyDescent="0.25">
      <c r="A10360">
        <v>11620</v>
      </c>
      <c r="B10360" t="s">
        <v>34227</v>
      </c>
      <c r="C10360">
        <v>397</v>
      </c>
      <c r="D10360">
        <v>478</v>
      </c>
      <c r="E10360">
        <v>1576281323</v>
      </c>
      <c r="F10360">
        <v>5768</v>
      </c>
      <c r="G10360">
        <v>0</v>
      </c>
      <c r="H10360" t="s">
        <v>15272</v>
      </c>
      <c r="I10360">
        <v>11620</v>
      </c>
      <c r="J10360" t="str">
        <f>VLOOKUP(E10360,DSSpieler!A:B,2,FALSE)</f>
        <v>missdreamy</v>
      </c>
    </row>
    <row r="10361" spans="1:10" x14ac:dyDescent="0.25">
      <c r="A10361">
        <v>11621</v>
      </c>
      <c r="B10361" t="s">
        <v>531</v>
      </c>
      <c r="C10361">
        <v>600</v>
      </c>
      <c r="D10361">
        <v>472</v>
      </c>
      <c r="E10361">
        <v>0</v>
      </c>
      <c r="F10361">
        <v>233</v>
      </c>
      <c r="G10361">
        <v>0</v>
      </c>
      <c r="H10361" t="s">
        <v>15273</v>
      </c>
      <c r="I10361">
        <v>11621</v>
      </c>
      <c r="J10361" t="e">
        <f>VLOOKUP(E10361,DSSpieler!A:B,2,FALSE)</f>
        <v>#N/A</v>
      </c>
    </row>
    <row r="10362" spans="1:10" x14ac:dyDescent="0.25">
      <c r="A10362">
        <v>11622</v>
      </c>
      <c r="B10362" t="s">
        <v>531</v>
      </c>
      <c r="C10362">
        <v>579</v>
      </c>
      <c r="D10362">
        <v>570</v>
      </c>
      <c r="E10362">
        <v>0</v>
      </c>
      <c r="F10362">
        <v>146</v>
      </c>
      <c r="G10362">
        <v>0</v>
      </c>
      <c r="H10362" t="s">
        <v>15274</v>
      </c>
      <c r="I10362">
        <v>11622</v>
      </c>
      <c r="J10362" t="e">
        <f>VLOOKUP(E10362,DSSpieler!A:B,2,FALSE)</f>
        <v>#N/A</v>
      </c>
    </row>
    <row r="10363" spans="1:10" x14ac:dyDescent="0.25">
      <c r="A10363">
        <v>11623</v>
      </c>
      <c r="B10363" t="s">
        <v>531</v>
      </c>
      <c r="C10363">
        <v>564</v>
      </c>
      <c r="D10363">
        <v>420</v>
      </c>
      <c r="E10363">
        <v>0</v>
      </c>
      <c r="F10363">
        <v>294</v>
      </c>
      <c r="G10363">
        <v>0</v>
      </c>
      <c r="H10363" t="s">
        <v>15275</v>
      </c>
      <c r="I10363">
        <v>11623</v>
      </c>
      <c r="J10363" t="e">
        <f>VLOOKUP(E10363,DSSpieler!A:B,2,FALSE)</f>
        <v>#N/A</v>
      </c>
    </row>
    <row r="10364" spans="1:10" x14ac:dyDescent="0.25">
      <c r="A10364">
        <v>11624</v>
      </c>
      <c r="B10364" t="s">
        <v>531</v>
      </c>
      <c r="C10364">
        <v>508</v>
      </c>
      <c r="D10364">
        <v>396</v>
      </c>
      <c r="E10364">
        <v>0</v>
      </c>
      <c r="F10364">
        <v>241</v>
      </c>
      <c r="G10364">
        <v>0</v>
      </c>
      <c r="H10364" t="s">
        <v>15276</v>
      </c>
      <c r="I10364">
        <v>11624</v>
      </c>
      <c r="J10364" t="e">
        <f>VLOOKUP(E10364,DSSpieler!A:B,2,FALSE)</f>
        <v>#N/A</v>
      </c>
    </row>
    <row r="10365" spans="1:10" x14ac:dyDescent="0.25">
      <c r="A10365">
        <v>11625</v>
      </c>
      <c r="B10365" t="s">
        <v>531</v>
      </c>
      <c r="C10365">
        <v>561</v>
      </c>
      <c r="D10365">
        <v>584</v>
      </c>
      <c r="E10365">
        <v>0</v>
      </c>
      <c r="F10365">
        <v>182</v>
      </c>
      <c r="G10365">
        <v>0</v>
      </c>
      <c r="H10365" t="s">
        <v>15277</v>
      </c>
      <c r="I10365">
        <v>11625</v>
      </c>
      <c r="J10365" t="e">
        <f>VLOOKUP(E10365,DSSpieler!A:B,2,FALSE)</f>
        <v>#N/A</v>
      </c>
    </row>
    <row r="10366" spans="1:10" x14ac:dyDescent="0.25">
      <c r="A10366">
        <v>11626</v>
      </c>
      <c r="B10366" t="s">
        <v>531</v>
      </c>
      <c r="C10366">
        <v>402</v>
      </c>
      <c r="D10366">
        <v>543</v>
      </c>
      <c r="E10366">
        <v>0</v>
      </c>
      <c r="F10366">
        <v>272</v>
      </c>
      <c r="G10366">
        <v>0</v>
      </c>
      <c r="H10366" t="s">
        <v>15278</v>
      </c>
      <c r="I10366">
        <v>11626</v>
      </c>
      <c r="J10366" t="e">
        <f>VLOOKUP(E10366,DSSpieler!A:B,2,FALSE)</f>
        <v>#N/A</v>
      </c>
    </row>
    <row r="10367" spans="1:10" x14ac:dyDescent="0.25">
      <c r="A10367">
        <v>11627</v>
      </c>
      <c r="B10367" t="s">
        <v>32599</v>
      </c>
      <c r="C10367">
        <v>447</v>
      </c>
      <c r="D10367">
        <v>573</v>
      </c>
      <c r="E10367">
        <v>10283391</v>
      </c>
      <c r="F10367">
        <v>6028</v>
      </c>
      <c r="G10367">
        <v>0</v>
      </c>
      <c r="H10367" t="s">
        <v>15279</v>
      </c>
      <c r="I10367">
        <v>11627</v>
      </c>
      <c r="J10367" t="str">
        <f>VLOOKUP(E10367,DSSpieler!A:B,2,FALSE)</f>
        <v>Br0 I Altair</v>
      </c>
    </row>
    <row r="10368" spans="1:10" x14ac:dyDescent="0.25">
      <c r="A10368">
        <v>11628</v>
      </c>
      <c r="B10368" t="s">
        <v>531</v>
      </c>
      <c r="C10368">
        <v>506</v>
      </c>
      <c r="D10368">
        <v>393</v>
      </c>
      <c r="E10368">
        <v>0</v>
      </c>
      <c r="F10368">
        <v>158</v>
      </c>
      <c r="G10368">
        <v>0</v>
      </c>
      <c r="H10368" t="s">
        <v>15280</v>
      </c>
      <c r="I10368">
        <v>11628</v>
      </c>
      <c r="J10368" t="e">
        <f>VLOOKUP(E10368,DSSpieler!A:B,2,FALSE)</f>
        <v>#N/A</v>
      </c>
    </row>
    <row r="10369" spans="1:10" x14ac:dyDescent="0.25">
      <c r="A10369">
        <v>11629</v>
      </c>
      <c r="B10369" t="s">
        <v>34228</v>
      </c>
      <c r="C10369">
        <v>394</v>
      </c>
      <c r="D10369">
        <v>514</v>
      </c>
      <c r="E10369">
        <v>1577159147</v>
      </c>
      <c r="F10369">
        <v>3642</v>
      </c>
      <c r="G10369">
        <v>0</v>
      </c>
      <c r="H10369" t="s">
        <v>15281</v>
      </c>
      <c r="I10369">
        <v>11629</v>
      </c>
      <c r="J10369" t="str">
        <f>VLOOKUP(E10369,DSSpieler!A:B,2,FALSE)</f>
        <v>rallef69</v>
      </c>
    </row>
    <row r="10370" spans="1:10" x14ac:dyDescent="0.25">
      <c r="A10370">
        <v>11630</v>
      </c>
      <c r="B10370" t="s">
        <v>531</v>
      </c>
      <c r="C10370">
        <v>404</v>
      </c>
      <c r="D10370">
        <v>543</v>
      </c>
      <c r="E10370">
        <v>0</v>
      </c>
      <c r="F10370">
        <v>214</v>
      </c>
      <c r="G10370">
        <v>0</v>
      </c>
      <c r="H10370" t="s">
        <v>15282</v>
      </c>
      <c r="I10370">
        <v>11630</v>
      </c>
      <c r="J10370" t="e">
        <f>VLOOKUP(E10370,DSSpieler!A:B,2,FALSE)</f>
        <v>#N/A</v>
      </c>
    </row>
    <row r="10371" spans="1:10" x14ac:dyDescent="0.25">
      <c r="A10371">
        <v>11631</v>
      </c>
      <c r="B10371" t="s">
        <v>531</v>
      </c>
      <c r="C10371">
        <v>402</v>
      </c>
      <c r="D10371">
        <v>542</v>
      </c>
      <c r="E10371">
        <v>0</v>
      </c>
      <c r="F10371">
        <v>336</v>
      </c>
      <c r="G10371">
        <v>0</v>
      </c>
      <c r="H10371" t="s">
        <v>15283</v>
      </c>
      <c r="I10371">
        <v>11631</v>
      </c>
      <c r="J10371" t="e">
        <f>VLOOKUP(E10371,DSSpieler!A:B,2,FALSE)</f>
        <v>#N/A</v>
      </c>
    </row>
    <row r="10372" spans="1:10" x14ac:dyDescent="0.25">
      <c r="A10372">
        <v>11632</v>
      </c>
      <c r="B10372" t="s">
        <v>34229</v>
      </c>
      <c r="C10372">
        <v>418</v>
      </c>
      <c r="D10372">
        <v>532</v>
      </c>
      <c r="E10372">
        <v>1577180543</v>
      </c>
      <c r="F10372">
        <v>5247</v>
      </c>
      <c r="G10372">
        <v>0</v>
      </c>
      <c r="H10372" t="s">
        <v>15284</v>
      </c>
      <c r="I10372">
        <v>11632</v>
      </c>
      <c r="J10372" t="str">
        <f>VLOOKUP(E10372,DSSpieler!A:B,2,FALSE)</f>
        <v>Stay at Home</v>
      </c>
    </row>
    <row r="10373" spans="1:10" x14ac:dyDescent="0.25">
      <c r="A10373">
        <v>11633</v>
      </c>
      <c r="B10373" t="s">
        <v>2050</v>
      </c>
      <c r="C10373">
        <v>396</v>
      </c>
      <c r="D10373">
        <v>524</v>
      </c>
      <c r="E10373">
        <v>281103</v>
      </c>
      <c r="F10373">
        <v>6515</v>
      </c>
      <c r="G10373">
        <v>0</v>
      </c>
      <c r="H10373" t="s">
        <v>15285</v>
      </c>
      <c r="I10373">
        <v>11633</v>
      </c>
      <c r="J10373" t="str">
        <f>VLOOKUP(E10373,DSSpieler!A:B,2,FALSE)</f>
        <v>Lady Elaine</v>
      </c>
    </row>
    <row r="10374" spans="1:10" x14ac:dyDescent="0.25">
      <c r="A10374">
        <v>11634</v>
      </c>
      <c r="B10374" t="s">
        <v>531</v>
      </c>
      <c r="C10374">
        <v>400</v>
      </c>
      <c r="D10374">
        <v>477</v>
      </c>
      <c r="E10374">
        <v>0</v>
      </c>
      <c r="F10374">
        <v>382</v>
      </c>
      <c r="G10374">
        <v>0</v>
      </c>
      <c r="H10374" t="s">
        <v>15286</v>
      </c>
      <c r="I10374">
        <v>11634</v>
      </c>
      <c r="J10374" t="e">
        <f>VLOOKUP(E10374,DSSpieler!A:B,2,FALSE)</f>
        <v>#N/A</v>
      </c>
    </row>
    <row r="10375" spans="1:10" x14ac:dyDescent="0.25">
      <c r="A10375">
        <v>11635</v>
      </c>
      <c r="B10375" t="s">
        <v>34230</v>
      </c>
      <c r="C10375">
        <v>534</v>
      </c>
      <c r="D10375">
        <v>598</v>
      </c>
      <c r="E10375">
        <v>9994877</v>
      </c>
      <c r="F10375">
        <v>3116</v>
      </c>
      <c r="G10375">
        <v>0</v>
      </c>
      <c r="H10375" t="s">
        <v>15287</v>
      </c>
      <c r="I10375">
        <v>11635</v>
      </c>
      <c r="J10375" t="str">
        <f>VLOOKUP(E10375,DSSpieler!A:B,2,FALSE)</f>
        <v>Shad0wjumper</v>
      </c>
    </row>
    <row r="10376" spans="1:10" x14ac:dyDescent="0.25">
      <c r="A10376">
        <v>11636</v>
      </c>
      <c r="B10376" t="s">
        <v>34231</v>
      </c>
      <c r="C10376">
        <v>402</v>
      </c>
      <c r="D10376">
        <v>464</v>
      </c>
      <c r="E10376">
        <v>10270003</v>
      </c>
      <c r="F10376">
        <v>7268</v>
      </c>
      <c r="G10376">
        <v>0</v>
      </c>
      <c r="H10376" t="s">
        <v>15288</v>
      </c>
      <c r="I10376">
        <v>11636</v>
      </c>
      <c r="J10376" t="str">
        <f>VLOOKUP(E10376,DSSpieler!A:B,2,FALSE)</f>
        <v>superhuhn2013</v>
      </c>
    </row>
    <row r="10377" spans="1:10" x14ac:dyDescent="0.25">
      <c r="A10377">
        <v>11637</v>
      </c>
      <c r="B10377" t="s">
        <v>2051</v>
      </c>
      <c r="C10377">
        <v>391</v>
      </c>
      <c r="D10377">
        <v>487</v>
      </c>
      <c r="E10377">
        <v>1576382522</v>
      </c>
      <c r="F10377">
        <v>4408</v>
      </c>
      <c r="G10377">
        <v>0</v>
      </c>
      <c r="H10377" t="s">
        <v>15289</v>
      </c>
      <c r="I10377">
        <v>11637</v>
      </c>
      <c r="J10377" t="str">
        <f>VLOOKUP(E10377,DSSpieler!A:B,2,FALSE)</f>
        <v>90sKid</v>
      </c>
    </row>
    <row r="10378" spans="1:10" x14ac:dyDescent="0.25">
      <c r="A10378">
        <v>11638</v>
      </c>
      <c r="B10378" t="s">
        <v>531</v>
      </c>
      <c r="C10378">
        <v>497</v>
      </c>
      <c r="D10378">
        <v>603</v>
      </c>
      <c r="E10378">
        <v>0</v>
      </c>
      <c r="F10378">
        <v>357</v>
      </c>
      <c r="G10378">
        <v>0</v>
      </c>
      <c r="H10378" t="s">
        <v>15290</v>
      </c>
      <c r="I10378">
        <v>11638</v>
      </c>
      <c r="J10378" t="e">
        <f>VLOOKUP(E10378,DSSpieler!A:B,2,FALSE)</f>
        <v>#N/A</v>
      </c>
    </row>
    <row r="10379" spans="1:10" x14ac:dyDescent="0.25">
      <c r="A10379">
        <v>11640</v>
      </c>
      <c r="B10379" t="s">
        <v>34232</v>
      </c>
      <c r="C10379">
        <v>501</v>
      </c>
      <c r="D10379">
        <v>428</v>
      </c>
      <c r="E10379">
        <v>9940998</v>
      </c>
      <c r="F10379">
        <v>4152</v>
      </c>
      <c r="G10379">
        <v>0</v>
      </c>
      <c r="H10379" t="s">
        <v>15291</v>
      </c>
      <c r="I10379">
        <v>11640</v>
      </c>
      <c r="J10379" t="str">
        <f>VLOOKUP(E10379,DSSpieler!A:B,2,FALSE)</f>
        <v>slimcar</v>
      </c>
    </row>
    <row r="10380" spans="1:10" x14ac:dyDescent="0.25">
      <c r="A10380">
        <v>11641</v>
      </c>
      <c r="B10380" t="s">
        <v>531</v>
      </c>
      <c r="C10380">
        <v>528</v>
      </c>
      <c r="D10380">
        <v>438</v>
      </c>
      <c r="E10380">
        <v>0</v>
      </c>
      <c r="F10380">
        <v>335</v>
      </c>
      <c r="G10380">
        <v>0</v>
      </c>
      <c r="H10380" t="s">
        <v>15292</v>
      </c>
      <c r="I10380">
        <v>11641</v>
      </c>
      <c r="J10380" t="e">
        <f>VLOOKUP(E10380,DSSpieler!A:B,2,FALSE)</f>
        <v>#N/A</v>
      </c>
    </row>
    <row r="10381" spans="1:10" x14ac:dyDescent="0.25">
      <c r="A10381">
        <v>11642</v>
      </c>
      <c r="B10381" t="s">
        <v>34233</v>
      </c>
      <c r="C10381">
        <v>433</v>
      </c>
      <c r="D10381">
        <v>574</v>
      </c>
      <c r="E10381">
        <v>1499771</v>
      </c>
      <c r="F10381">
        <v>6134</v>
      </c>
      <c r="G10381">
        <v>0</v>
      </c>
      <c r="H10381" t="s">
        <v>15293</v>
      </c>
      <c r="I10381">
        <v>11642</v>
      </c>
      <c r="J10381" t="str">
        <f>VLOOKUP(E10381,DSSpieler!A:B,2,FALSE)</f>
        <v>Sovelles</v>
      </c>
    </row>
    <row r="10382" spans="1:10" x14ac:dyDescent="0.25">
      <c r="A10382">
        <v>11645</v>
      </c>
      <c r="B10382" t="s">
        <v>531</v>
      </c>
      <c r="C10382">
        <v>589</v>
      </c>
      <c r="D10382">
        <v>442</v>
      </c>
      <c r="E10382">
        <v>0</v>
      </c>
      <c r="F10382">
        <v>460</v>
      </c>
      <c r="G10382">
        <v>0</v>
      </c>
      <c r="H10382" t="s">
        <v>15294</v>
      </c>
      <c r="I10382">
        <v>11645</v>
      </c>
      <c r="J10382" t="e">
        <f>VLOOKUP(E10382,DSSpieler!A:B,2,FALSE)</f>
        <v>#N/A</v>
      </c>
    </row>
    <row r="10383" spans="1:10" x14ac:dyDescent="0.25">
      <c r="A10383">
        <v>11646</v>
      </c>
      <c r="B10383" t="s">
        <v>531</v>
      </c>
      <c r="C10383">
        <v>575</v>
      </c>
      <c r="D10383">
        <v>560</v>
      </c>
      <c r="E10383">
        <v>0</v>
      </c>
      <c r="F10383">
        <v>180</v>
      </c>
      <c r="G10383">
        <v>0</v>
      </c>
      <c r="H10383" t="s">
        <v>15295</v>
      </c>
      <c r="I10383">
        <v>11646</v>
      </c>
      <c r="J10383" t="e">
        <f>VLOOKUP(E10383,DSSpieler!A:B,2,FALSE)</f>
        <v>#N/A</v>
      </c>
    </row>
    <row r="10384" spans="1:10" x14ac:dyDescent="0.25">
      <c r="A10384">
        <v>11647</v>
      </c>
      <c r="B10384" t="s">
        <v>531</v>
      </c>
      <c r="C10384">
        <v>395</v>
      </c>
      <c r="D10384">
        <v>487</v>
      </c>
      <c r="E10384">
        <v>0</v>
      </c>
      <c r="F10384">
        <v>231</v>
      </c>
      <c r="G10384">
        <v>0</v>
      </c>
      <c r="H10384" t="s">
        <v>15296</v>
      </c>
      <c r="I10384">
        <v>11647</v>
      </c>
      <c r="J10384" t="e">
        <f>VLOOKUP(E10384,DSSpieler!A:B,2,FALSE)</f>
        <v>#N/A</v>
      </c>
    </row>
    <row r="10385" spans="1:10" x14ac:dyDescent="0.25">
      <c r="A10385">
        <v>11649</v>
      </c>
      <c r="B10385" t="s">
        <v>1237</v>
      </c>
      <c r="C10385">
        <v>597</v>
      </c>
      <c r="D10385">
        <v>457</v>
      </c>
      <c r="E10385">
        <v>1577064793</v>
      </c>
      <c r="F10385">
        <v>602</v>
      </c>
      <c r="G10385">
        <v>0</v>
      </c>
      <c r="H10385" t="s">
        <v>15297</v>
      </c>
      <c r="I10385">
        <v>11649</v>
      </c>
      <c r="J10385" t="str">
        <f>VLOOKUP(E10385,DSSpieler!A:B,2,FALSE)</f>
        <v>Thekingisback93</v>
      </c>
    </row>
    <row r="10386" spans="1:10" x14ac:dyDescent="0.25">
      <c r="A10386">
        <v>11650</v>
      </c>
      <c r="B10386" t="s">
        <v>2052</v>
      </c>
      <c r="C10386">
        <v>394</v>
      </c>
      <c r="D10386">
        <v>478</v>
      </c>
      <c r="E10386">
        <v>1577161211</v>
      </c>
      <c r="F10386">
        <v>6028</v>
      </c>
      <c r="G10386">
        <v>0</v>
      </c>
      <c r="H10386" t="s">
        <v>15298</v>
      </c>
      <c r="I10386">
        <v>11650</v>
      </c>
      <c r="J10386" t="str">
        <f>VLOOKUP(E10386,DSSpieler!A:B,2,FALSE)</f>
        <v>KidCudi</v>
      </c>
    </row>
    <row r="10387" spans="1:10" x14ac:dyDescent="0.25">
      <c r="A10387">
        <v>11652</v>
      </c>
      <c r="B10387" t="s">
        <v>531</v>
      </c>
      <c r="C10387">
        <v>436</v>
      </c>
      <c r="D10387">
        <v>583</v>
      </c>
      <c r="E10387">
        <v>0</v>
      </c>
      <c r="F10387">
        <v>513</v>
      </c>
      <c r="G10387">
        <v>0</v>
      </c>
      <c r="H10387" t="s">
        <v>15299</v>
      </c>
      <c r="I10387">
        <v>11652</v>
      </c>
      <c r="J10387" t="e">
        <f>VLOOKUP(E10387,DSSpieler!A:B,2,FALSE)</f>
        <v>#N/A</v>
      </c>
    </row>
    <row r="10388" spans="1:10" x14ac:dyDescent="0.25">
      <c r="A10388">
        <v>11653</v>
      </c>
      <c r="B10388" t="s">
        <v>531</v>
      </c>
      <c r="C10388">
        <v>443</v>
      </c>
      <c r="D10388">
        <v>598</v>
      </c>
      <c r="E10388">
        <v>0</v>
      </c>
      <c r="F10388">
        <v>536</v>
      </c>
      <c r="G10388">
        <v>0</v>
      </c>
      <c r="H10388" t="s">
        <v>15300</v>
      </c>
      <c r="I10388">
        <v>11653</v>
      </c>
      <c r="J10388" t="e">
        <f>VLOOKUP(E10388,DSSpieler!A:B,2,FALSE)</f>
        <v>#N/A</v>
      </c>
    </row>
    <row r="10389" spans="1:10" x14ac:dyDescent="0.25">
      <c r="A10389">
        <v>11654</v>
      </c>
      <c r="B10389" t="s">
        <v>34234</v>
      </c>
      <c r="C10389">
        <v>493</v>
      </c>
      <c r="D10389">
        <v>559</v>
      </c>
      <c r="E10389">
        <v>1576469799</v>
      </c>
      <c r="F10389">
        <v>4477</v>
      </c>
      <c r="G10389">
        <v>0</v>
      </c>
      <c r="H10389" t="s">
        <v>15301</v>
      </c>
      <c r="I10389">
        <v>11654</v>
      </c>
      <c r="J10389" t="str">
        <f>VLOOKUP(E10389,DSSpieler!A:B,2,FALSE)</f>
        <v>lokderboss</v>
      </c>
    </row>
    <row r="10390" spans="1:10" x14ac:dyDescent="0.25">
      <c r="A10390">
        <v>11655</v>
      </c>
      <c r="B10390" t="s">
        <v>531</v>
      </c>
      <c r="C10390">
        <v>441</v>
      </c>
      <c r="D10390">
        <v>585</v>
      </c>
      <c r="E10390">
        <v>0</v>
      </c>
      <c r="F10390">
        <v>1011</v>
      </c>
      <c r="G10390">
        <v>0</v>
      </c>
      <c r="H10390" t="s">
        <v>15302</v>
      </c>
      <c r="I10390">
        <v>11655</v>
      </c>
      <c r="J10390" t="e">
        <f>VLOOKUP(E10390,DSSpieler!A:B,2,FALSE)</f>
        <v>#N/A</v>
      </c>
    </row>
    <row r="10391" spans="1:10" x14ac:dyDescent="0.25">
      <c r="A10391">
        <v>11657</v>
      </c>
      <c r="B10391" t="s">
        <v>34235</v>
      </c>
      <c r="C10391">
        <v>402</v>
      </c>
      <c r="D10391">
        <v>458</v>
      </c>
      <c r="E10391">
        <v>10270003</v>
      </c>
      <c r="F10391">
        <v>3037</v>
      </c>
      <c r="G10391">
        <v>0</v>
      </c>
      <c r="H10391" t="s">
        <v>15303</v>
      </c>
      <c r="I10391">
        <v>11657</v>
      </c>
      <c r="J10391" t="str">
        <f>VLOOKUP(E10391,DSSpieler!A:B,2,FALSE)</f>
        <v>superhuhn2013</v>
      </c>
    </row>
    <row r="10392" spans="1:10" x14ac:dyDescent="0.25">
      <c r="A10392">
        <v>11658</v>
      </c>
      <c r="B10392" t="s">
        <v>531</v>
      </c>
      <c r="C10392">
        <v>584</v>
      </c>
      <c r="D10392">
        <v>572</v>
      </c>
      <c r="E10392">
        <v>10219</v>
      </c>
      <c r="F10392">
        <v>1274</v>
      </c>
      <c r="G10392">
        <v>0</v>
      </c>
      <c r="H10392" t="s">
        <v>15304</v>
      </c>
      <c r="I10392">
        <v>11658</v>
      </c>
      <c r="J10392" t="str">
        <f>VLOOKUP(E10392,DSSpieler!A:B,2,FALSE)</f>
        <v>OdinsWolf</v>
      </c>
    </row>
    <row r="10393" spans="1:10" x14ac:dyDescent="0.25">
      <c r="A10393">
        <v>11659</v>
      </c>
      <c r="B10393" t="s">
        <v>531</v>
      </c>
      <c r="C10393">
        <v>416</v>
      </c>
      <c r="D10393">
        <v>562</v>
      </c>
      <c r="E10393">
        <v>0</v>
      </c>
      <c r="F10393">
        <v>205</v>
      </c>
      <c r="G10393">
        <v>0</v>
      </c>
      <c r="H10393" t="s">
        <v>15305</v>
      </c>
      <c r="I10393">
        <v>11659</v>
      </c>
      <c r="J10393" t="e">
        <f>VLOOKUP(E10393,DSSpieler!A:B,2,FALSE)</f>
        <v>#N/A</v>
      </c>
    </row>
    <row r="10394" spans="1:10" x14ac:dyDescent="0.25">
      <c r="A10394">
        <v>11660</v>
      </c>
      <c r="B10394" t="s">
        <v>788</v>
      </c>
      <c r="C10394">
        <v>595</v>
      </c>
      <c r="D10394">
        <v>546</v>
      </c>
      <c r="E10394">
        <v>1577196280</v>
      </c>
      <c r="F10394">
        <v>4342</v>
      </c>
      <c r="G10394">
        <v>0</v>
      </c>
      <c r="H10394" t="s">
        <v>15306</v>
      </c>
      <c r="I10394">
        <v>11660</v>
      </c>
      <c r="J10394" t="str">
        <f>VLOOKUP(E10394,DSSpieler!A:B,2,FALSE)</f>
        <v>Toller Hecht</v>
      </c>
    </row>
    <row r="10395" spans="1:10" x14ac:dyDescent="0.25">
      <c r="A10395">
        <v>11661</v>
      </c>
      <c r="B10395" t="s">
        <v>531</v>
      </c>
      <c r="C10395">
        <v>586</v>
      </c>
      <c r="D10395">
        <v>548</v>
      </c>
      <c r="E10395">
        <v>0</v>
      </c>
      <c r="F10395">
        <v>254</v>
      </c>
      <c r="G10395">
        <v>0</v>
      </c>
      <c r="H10395" t="s">
        <v>15307</v>
      </c>
      <c r="I10395">
        <v>11661</v>
      </c>
      <c r="J10395" t="e">
        <f>VLOOKUP(E10395,DSSpieler!A:B,2,FALSE)</f>
        <v>#N/A</v>
      </c>
    </row>
    <row r="10396" spans="1:10" x14ac:dyDescent="0.25">
      <c r="A10396">
        <v>11662</v>
      </c>
      <c r="B10396" t="s">
        <v>531</v>
      </c>
      <c r="C10396">
        <v>477</v>
      </c>
      <c r="D10396">
        <v>396</v>
      </c>
      <c r="E10396">
        <v>0</v>
      </c>
      <c r="F10396">
        <v>211</v>
      </c>
      <c r="G10396">
        <v>0</v>
      </c>
      <c r="H10396" t="s">
        <v>15308</v>
      </c>
      <c r="I10396">
        <v>11662</v>
      </c>
      <c r="J10396" t="e">
        <f>VLOOKUP(E10396,DSSpieler!A:B,2,FALSE)</f>
        <v>#N/A</v>
      </c>
    </row>
    <row r="10397" spans="1:10" x14ac:dyDescent="0.25">
      <c r="A10397">
        <v>11664</v>
      </c>
      <c r="B10397" t="s">
        <v>34236</v>
      </c>
      <c r="C10397">
        <v>568</v>
      </c>
      <c r="D10397">
        <v>415</v>
      </c>
      <c r="E10397">
        <v>1577180883</v>
      </c>
      <c r="F10397">
        <v>7357</v>
      </c>
      <c r="G10397">
        <v>0</v>
      </c>
      <c r="H10397" t="s">
        <v>15309</v>
      </c>
      <c r="I10397">
        <v>11664</v>
      </c>
      <c r="J10397" t="str">
        <f>VLOOKUP(E10397,DSSpieler!A:B,2,FALSE)</f>
        <v>CYLLEYA</v>
      </c>
    </row>
    <row r="10398" spans="1:10" x14ac:dyDescent="0.25">
      <c r="A10398">
        <v>11665</v>
      </c>
      <c r="B10398" t="s">
        <v>34237</v>
      </c>
      <c r="C10398">
        <v>430</v>
      </c>
      <c r="D10398">
        <v>419</v>
      </c>
      <c r="E10398">
        <v>7806902</v>
      </c>
      <c r="F10398">
        <v>7006</v>
      </c>
      <c r="G10398">
        <v>0</v>
      </c>
      <c r="H10398" t="s">
        <v>15310</v>
      </c>
      <c r="I10398">
        <v>11665</v>
      </c>
      <c r="J10398" t="str">
        <f>VLOOKUP(E10398,DSSpieler!A:B,2,FALSE)</f>
        <v>Aiyomayo</v>
      </c>
    </row>
    <row r="10399" spans="1:10" x14ac:dyDescent="0.25">
      <c r="A10399">
        <v>11666</v>
      </c>
      <c r="B10399" t="s">
        <v>979</v>
      </c>
      <c r="C10399">
        <v>500</v>
      </c>
      <c r="D10399">
        <v>590</v>
      </c>
      <c r="E10399">
        <v>1577198205</v>
      </c>
      <c r="F10399">
        <v>3184</v>
      </c>
      <c r="G10399">
        <v>0</v>
      </c>
      <c r="H10399" t="s">
        <v>15311</v>
      </c>
      <c r="I10399">
        <v>11666</v>
      </c>
      <c r="J10399" t="str">
        <f>VLOOKUP(E10399,DSSpieler!A:B,2,FALSE)</f>
        <v>.Streuselcake</v>
      </c>
    </row>
    <row r="10400" spans="1:10" x14ac:dyDescent="0.25">
      <c r="A10400">
        <v>11668</v>
      </c>
      <c r="B10400" t="s">
        <v>34238</v>
      </c>
      <c r="C10400">
        <v>598</v>
      </c>
      <c r="D10400">
        <v>467</v>
      </c>
      <c r="E10400">
        <v>1577197349</v>
      </c>
      <c r="F10400">
        <v>4012</v>
      </c>
      <c r="G10400">
        <v>0</v>
      </c>
      <c r="H10400" t="s">
        <v>15312</v>
      </c>
      <c r="I10400">
        <v>11668</v>
      </c>
      <c r="J10400" t="str">
        <f>VLOOKUP(E10400,DSSpieler!A:B,2,FALSE)</f>
        <v>d0ppelkeks</v>
      </c>
    </row>
    <row r="10401" spans="1:10" x14ac:dyDescent="0.25">
      <c r="A10401">
        <v>11669</v>
      </c>
      <c r="B10401" t="s">
        <v>531</v>
      </c>
      <c r="C10401">
        <v>439</v>
      </c>
      <c r="D10401">
        <v>586</v>
      </c>
      <c r="E10401">
        <v>0</v>
      </c>
      <c r="F10401">
        <v>376</v>
      </c>
      <c r="G10401">
        <v>0</v>
      </c>
      <c r="H10401" t="s">
        <v>15313</v>
      </c>
      <c r="I10401">
        <v>11669</v>
      </c>
      <c r="J10401" t="e">
        <f>VLOOKUP(E10401,DSSpieler!A:B,2,FALSE)</f>
        <v>#N/A</v>
      </c>
    </row>
    <row r="10402" spans="1:10" x14ac:dyDescent="0.25">
      <c r="A10402">
        <v>11670</v>
      </c>
      <c r="B10402" t="e">
        <f>-2+-+JanekM98</f>
        <v>#NAME?</v>
      </c>
      <c r="C10402">
        <v>431</v>
      </c>
      <c r="D10402">
        <v>564</v>
      </c>
      <c r="E10402">
        <v>1577188410</v>
      </c>
      <c r="F10402">
        <v>4289</v>
      </c>
      <c r="G10402">
        <v>0</v>
      </c>
      <c r="H10402" t="s">
        <v>15314</v>
      </c>
      <c r="I10402">
        <v>11670</v>
      </c>
      <c r="J10402" t="str">
        <f>VLOOKUP(E10402,DSSpieler!A:B,2,FALSE)</f>
        <v>IKA-HH</v>
      </c>
    </row>
    <row r="10403" spans="1:10" x14ac:dyDescent="0.25">
      <c r="A10403">
        <v>11671</v>
      </c>
      <c r="B10403" t="s">
        <v>34239</v>
      </c>
      <c r="C10403">
        <v>570</v>
      </c>
      <c r="D10403">
        <v>413</v>
      </c>
      <c r="E10403">
        <v>1576555364</v>
      </c>
      <c r="F10403">
        <v>3372</v>
      </c>
      <c r="G10403">
        <v>0</v>
      </c>
      <c r="H10403" t="s">
        <v>15315</v>
      </c>
      <c r="I10403">
        <v>11671</v>
      </c>
      <c r="J10403" t="str">
        <f>VLOOKUP(E10403,DSSpieler!A:B,2,FALSE)</f>
        <v>König BraverFan</v>
      </c>
    </row>
    <row r="10404" spans="1:10" x14ac:dyDescent="0.25">
      <c r="A10404">
        <v>11672</v>
      </c>
      <c r="B10404" t="s">
        <v>34240</v>
      </c>
      <c r="C10404">
        <v>483</v>
      </c>
      <c r="D10404">
        <v>471</v>
      </c>
      <c r="E10404">
        <v>1577186679</v>
      </c>
      <c r="F10404">
        <v>6745</v>
      </c>
      <c r="G10404">
        <v>0</v>
      </c>
      <c r="H10404" t="s">
        <v>15316</v>
      </c>
      <c r="I10404">
        <v>11672</v>
      </c>
      <c r="J10404" t="str">
        <f>VLOOKUP(E10404,DSSpieler!A:B,2,FALSE)</f>
        <v>H8erboy</v>
      </c>
    </row>
    <row r="10405" spans="1:10" x14ac:dyDescent="0.25">
      <c r="A10405">
        <v>11673</v>
      </c>
      <c r="B10405" t="s">
        <v>979</v>
      </c>
      <c r="C10405">
        <v>505</v>
      </c>
      <c r="D10405">
        <v>610</v>
      </c>
      <c r="E10405">
        <v>1577198866</v>
      </c>
      <c r="F10405">
        <v>5126</v>
      </c>
      <c r="G10405">
        <v>0</v>
      </c>
      <c r="H10405" t="s">
        <v>15317</v>
      </c>
      <c r="I10405">
        <v>11673</v>
      </c>
      <c r="J10405" t="str">
        <f>VLOOKUP(E10405,DSSpieler!A:B,2,FALSE)</f>
        <v>BademeisterLuis</v>
      </c>
    </row>
    <row r="10406" spans="1:10" x14ac:dyDescent="0.25">
      <c r="A10406">
        <v>11674</v>
      </c>
      <c r="B10406" t="s">
        <v>531</v>
      </c>
      <c r="C10406">
        <v>595</v>
      </c>
      <c r="D10406">
        <v>548</v>
      </c>
      <c r="E10406">
        <v>0</v>
      </c>
      <c r="F10406">
        <v>212</v>
      </c>
      <c r="G10406">
        <v>0</v>
      </c>
      <c r="H10406" t="s">
        <v>15318</v>
      </c>
      <c r="I10406">
        <v>11674</v>
      </c>
      <c r="J10406" t="e">
        <f>VLOOKUP(E10406,DSSpieler!A:B,2,FALSE)</f>
        <v>#N/A</v>
      </c>
    </row>
    <row r="10407" spans="1:10" x14ac:dyDescent="0.25">
      <c r="A10407">
        <v>11675</v>
      </c>
      <c r="B10407" t="s">
        <v>531</v>
      </c>
      <c r="C10407">
        <v>469</v>
      </c>
      <c r="D10407">
        <v>398</v>
      </c>
      <c r="E10407">
        <v>0</v>
      </c>
      <c r="F10407">
        <v>126</v>
      </c>
      <c r="G10407">
        <v>0</v>
      </c>
      <c r="H10407" t="s">
        <v>15319</v>
      </c>
      <c r="I10407">
        <v>11675</v>
      </c>
      <c r="J10407" t="e">
        <f>VLOOKUP(E10407,DSSpieler!A:B,2,FALSE)</f>
        <v>#N/A</v>
      </c>
    </row>
    <row r="10408" spans="1:10" x14ac:dyDescent="0.25">
      <c r="A10408">
        <v>11677</v>
      </c>
      <c r="B10408" t="s">
        <v>531</v>
      </c>
      <c r="C10408">
        <v>562</v>
      </c>
      <c r="D10408">
        <v>583</v>
      </c>
      <c r="E10408">
        <v>0</v>
      </c>
      <c r="F10408">
        <v>309</v>
      </c>
      <c r="G10408">
        <v>0</v>
      </c>
      <c r="H10408" t="s">
        <v>15320</v>
      </c>
      <c r="I10408">
        <v>11677</v>
      </c>
      <c r="J10408" t="e">
        <f>VLOOKUP(E10408,DSSpieler!A:B,2,FALSE)</f>
        <v>#N/A</v>
      </c>
    </row>
    <row r="10409" spans="1:10" x14ac:dyDescent="0.25">
      <c r="A10409">
        <v>11679</v>
      </c>
      <c r="B10409" s="111">
        <v>230.02</v>
      </c>
      <c r="C10409">
        <v>547</v>
      </c>
      <c r="D10409">
        <v>594</v>
      </c>
      <c r="E10409">
        <v>1577126198</v>
      </c>
      <c r="F10409">
        <v>4963</v>
      </c>
      <c r="G10409">
        <v>0</v>
      </c>
      <c r="H10409" t="s">
        <v>15321</v>
      </c>
      <c r="I10409">
        <v>11679</v>
      </c>
      <c r="J10409" t="str">
        <f>VLOOKUP(E10409,DSSpieler!A:B,2,FALSE)</f>
        <v>Yang</v>
      </c>
    </row>
    <row r="10410" spans="1:10" x14ac:dyDescent="0.25">
      <c r="A10410">
        <v>11680</v>
      </c>
      <c r="B10410" t="s">
        <v>2053</v>
      </c>
      <c r="C10410">
        <v>567</v>
      </c>
      <c r="D10410">
        <v>416</v>
      </c>
      <c r="E10410">
        <v>1577155229</v>
      </c>
      <c r="F10410">
        <v>6047</v>
      </c>
      <c r="G10410">
        <v>0</v>
      </c>
      <c r="H10410" t="s">
        <v>15322</v>
      </c>
      <c r="I10410">
        <v>11680</v>
      </c>
      <c r="J10410" t="str">
        <f>VLOOKUP(E10410,DSSpieler!A:B,2,FALSE)</f>
        <v>AffeMitWaffe</v>
      </c>
    </row>
    <row r="10411" spans="1:10" x14ac:dyDescent="0.25">
      <c r="A10411">
        <v>11681</v>
      </c>
      <c r="B10411" t="s">
        <v>531</v>
      </c>
      <c r="C10411">
        <v>553</v>
      </c>
      <c r="D10411">
        <v>412</v>
      </c>
      <c r="E10411">
        <v>0</v>
      </c>
      <c r="F10411">
        <v>342</v>
      </c>
      <c r="G10411">
        <v>0</v>
      </c>
      <c r="H10411" t="s">
        <v>15323</v>
      </c>
      <c r="I10411">
        <v>11681</v>
      </c>
      <c r="J10411" t="e">
        <f>VLOOKUP(E10411,DSSpieler!A:B,2,FALSE)</f>
        <v>#N/A</v>
      </c>
    </row>
    <row r="10412" spans="1:10" x14ac:dyDescent="0.25">
      <c r="A10412">
        <v>11682</v>
      </c>
      <c r="B10412" t="s">
        <v>34241</v>
      </c>
      <c r="C10412">
        <v>587</v>
      </c>
      <c r="D10412">
        <v>572</v>
      </c>
      <c r="E10412">
        <v>1577185898</v>
      </c>
      <c r="F10412">
        <v>6038</v>
      </c>
      <c r="G10412">
        <v>0</v>
      </c>
      <c r="H10412" t="s">
        <v>15324</v>
      </c>
      <c r="I10412">
        <v>11682</v>
      </c>
      <c r="J10412" t="str">
        <f>VLOOKUP(E10412,DSSpieler!A:B,2,FALSE)</f>
        <v>xIncr3dible</v>
      </c>
    </row>
    <row r="10413" spans="1:10" x14ac:dyDescent="0.25">
      <c r="A10413">
        <v>11683</v>
      </c>
      <c r="B10413" t="s">
        <v>34242</v>
      </c>
      <c r="C10413">
        <v>442</v>
      </c>
      <c r="D10413">
        <v>413</v>
      </c>
      <c r="E10413">
        <v>197293</v>
      </c>
      <c r="F10413">
        <v>4321</v>
      </c>
      <c r="G10413">
        <v>0</v>
      </c>
      <c r="H10413" t="s">
        <v>15325</v>
      </c>
      <c r="I10413">
        <v>11683</v>
      </c>
      <c r="J10413" t="str">
        <f>VLOOKUP(E10413,DSSpieler!A:B,2,FALSE)</f>
        <v>Schmali</v>
      </c>
    </row>
    <row r="10414" spans="1:10" x14ac:dyDescent="0.25">
      <c r="A10414">
        <v>11684</v>
      </c>
      <c r="B10414" t="s">
        <v>34243</v>
      </c>
      <c r="C10414">
        <v>593</v>
      </c>
      <c r="D10414">
        <v>536</v>
      </c>
      <c r="E10414">
        <v>1576125761</v>
      </c>
      <c r="F10414">
        <v>2484</v>
      </c>
      <c r="G10414">
        <v>0</v>
      </c>
      <c r="H10414" t="s">
        <v>15326</v>
      </c>
      <c r="I10414">
        <v>11684</v>
      </c>
      <c r="J10414" t="str">
        <f>VLOOKUP(E10414,DSSpieler!A:B,2,FALSE)</f>
        <v>Riotyouth</v>
      </c>
    </row>
    <row r="10415" spans="1:10" x14ac:dyDescent="0.25">
      <c r="A10415">
        <v>11685</v>
      </c>
      <c r="B10415" t="s">
        <v>34244</v>
      </c>
      <c r="C10415">
        <v>396</v>
      </c>
      <c r="D10415">
        <v>518</v>
      </c>
      <c r="E10415">
        <v>1577182941</v>
      </c>
      <c r="F10415">
        <v>6288</v>
      </c>
      <c r="G10415">
        <v>0</v>
      </c>
      <c r="H10415" t="s">
        <v>15327</v>
      </c>
      <c r="I10415">
        <v>11685</v>
      </c>
      <c r="J10415" t="str">
        <f>VLOOKUP(E10415,DSSpieler!A:B,2,FALSE)</f>
        <v>Daniel47</v>
      </c>
    </row>
    <row r="10416" spans="1:10" x14ac:dyDescent="0.25">
      <c r="A10416">
        <v>11686</v>
      </c>
      <c r="B10416" t="s">
        <v>531</v>
      </c>
      <c r="C10416">
        <v>394</v>
      </c>
      <c r="D10416">
        <v>492</v>
      </c>
      <c r="E10416">
        <v>0</v>
      </c>
      <c r="F10416">
        <v>116</v>
      </c>
      <c r="G10416">
        <v>0</v>
      </c>
      <c r="H10416" t="s">
        <v>15328</v>
      </c>
      <c r="I10416">
        <v>11686</v>
      </c>
      <c r="J10416" t="e">
        <f>VLOOKUP(E10416,DSSpieler!A:B,2,FALSE)</f>
        <v>#N/A</v>
      </c>
    </row>
    <row r="10417" spans="1:10" x14ac:dyDescent="0.25">
      <c r="A10417">
        <v>11687</v>
      </c>
      <c r="B10417" t="s">
        <v>2054</v>
      </c>
      <c r="C10417">
        <v>471</v>
      </c>
      <c r="D10417">
        <v>412</v>
      </c>
      <c r="E10417">
        <v>1577198868</v>
      </c>
      <c r="F10417">
        <v>942</v>
      </c>
      <c r="G10417">
        <v>0</v>
      </c>
      <c r="H10417" t="s">
        <v>15329</v>
      </c>
      <c r="I10417">
        <v>11687</v>
      </c>
      <c r="J10417" t="str">
        <f>VLOOKUP(E10417,DSSpieler!A:B,2,FALSE)</f>
        <v>Milchbulle</v>
      </c>
    </row>
    <row r="10418" spans="1:10" x14ac:dyDescent="0.25">
      <c r="A10418">
        <v>11688</v>
      </c>
      <c r="B10418" t="s">
        <v>2055</v>
      </c>
      <c r="C10418">
        <v>488</v>
      </c>
      <c r="D10418">
        <v>443</v>
      </c>
      <c r="E10418">
        <v>2286634</v>
      </c>
      <c r="F10418">
        <v>2998</v>
      </c>
      <c r="G10418">
        <v>0</v>
      </c>
      <c r="H10418" t="s">
        <v>15330</v>
      </c>
      <c r="I10418">
        <v>11688</v>
      </c>
      <c r="J10418" t="str">
        <f>VLOOKUP(E10418,DSSpieler!A:B,2,FALSE)</f>
        <v>Stinkbombe</v>
      </c>
    </row>
    <row r="10419" spans="1:10" x14ac:dyDescent="0.25">
      <c r="A10419">
        <v>11689</v>
      </c>
      <c r="B10419" t="s">
        <v>531</v>
      </c>
      <c r="C10419">
        <v>483</v>
      </c>
      <c r="D10419">
        <v>396</v>
      </c>
      <c r="E10419">
        <v>0</v>
      </c>
      <c r="F10419">
        <v>380</v>
      </c>
      <c r="G10419">
        <v>0</v>
      </c>
      <c r="H10419" t="s">
        <v>15331</v>
      </c>
      <c r="I10419">
        <v>11689</v>
      </c>
      <c r="J10419" t="e">
        <f>VLOOKUP(E10419,DSSpieler!A:B,2,FALSE)</f>
        <v>#N/A</v>
      </c>
    </row>
    <row r="10420" spans="1:10" x14ac:dyDescent="0.25">
      <c r="A10420">
        <v>11690</v>
      </c>
      <c r="B10420" t="s">
        <v>34245</v>
      </c>
      <c r="C10420">
        <v>425</v>
      </c>
      <c r="D10420">
        <v>521</v>
      </c>
      <c r="E10420">
        <v>1577163886</v>
      </c>
      <c r="F10420">
        <v>6267</v>
      </c>
      <c r="G10420">
        <v>0</v>
      </c>
      <c r="H10420" t="s">
        <v>15332</v>
      </c>
      <c r="I10420">
        <v>11690</v>
      </c>
      <c r="J10420" t="str">
        <f>VLOOKUP(E10420,DSSpieler!A:B,2,FALSE)</f>
        <v>Black Cobra</v>
      </c>
    </row>
    <row r="10421" spans="1:10" x14ac:dyDescent="0.25">
      <c r="A10421">
        <v>11691</v>
      </c>
      <c r="B10421" t="s">
        <v>780</v>
      </c>
      <c r="C10421">
        <v>605</v>
      </c>
      <c r="D10421">
        <v>503</v>
      </c>
      <c r="E10421">
        <v>1576021807</v>
      </c>
      <c r="F10421">
        <v>6875</v>
      </c>
      <c r="G10421">
        <v>0</v>
      </c>
      <c r="H10421" t="s">
        <v>15333</v>
      </c>
      <c r="I10421">
        <v>11691</v>
      </c>
      <c r="J10421" t="str">
        <f>VLOOKUP(E10421,DSSpieler!A:B,2,FALSE)</f>
        <v>Luddiwig</v>
      </c>
    </row>
    <row r="10422" spans="1:10" x14ac:dyDescent="0.25">
      <c r="A10422">
        <v>11693</v>
      </c>
      <c r="B10422" t="s">
        <v>2056</v>
      </c>
      <c r="C10422">
        <v>491</v>
      </c>
      <c r="D10422">
        <v>416</v>
      </c>
      <c r="E10422">
        <v>1577197977</v>
      </c>
      <c r="F10422">
        <v>4388</v>
      </c>
      <c r="G10422">
        <v>0</v>
      </c>
      <c r="H10422" t="s">
        <v>15334</v>
      </c>
      <c r="I10422">
        <v>11693</v>
      </c>
      <c r="J10422" t="str">
        <f>VLOOKUP(E10422,DSSpieler!A:B,2,FALSE)</f>
        <v>Lord Nicken 1</v>
      </c>
    </row>
    <row r="10423" spans="1:10" x14ac:dyDescent="0.25">
      <c r="A10423">
        <v>11696</v>
      </c>
      <c r="B10423" t="s">
        <v>531</v>
      </c>
      <c r="C10423">
        <v>394</v>
      </c>
      <c r="D10423">
        <v>521</v>
      </c>
      <c r="E10423">
        <v>0</v>
      </c>
      <c r="F10423">
        <v>254</v>
      </c>
      <c r="G10423">
        <v>0</v>
      </c>
      <c r="H10423" t="s">
        <v>15335</v>
      </c>
      <c r="I10423">
        <v>11696</v>
      </c>
      <c r="J10423" t="e">
        <f>VLOOKUP(E10423,DSSpieler!A:B,2,FALSE)</f>
        <v>#N/A</v>
      </c>
    </row>
    <row r="10424" spans="1:10" x14ac:dyDescent="0.25">
      <c r="A10424">
        <v>11697</v>
      </c>
      <c r="B10424" t="s">
        <v>34246</v>
      </c>
      <c r="C10424">
        <v>464</v>
      </c>
      <c r="D10424">
        <v>506</v>
      </c>
      <c r="E10424">
        <v>9917381</v>
      </c>
      <c r="F10424">
        <v>2635</v>
      </c>
      <c r="G10424">
        <v>0</v>
      </c>
      <c r="H10424" t="s">
        <v>15336</v>
      </c>
      <c r="I10424">
        <v>11697</v>
      </c>
      <c r="J10424" t="str">
        <f>VLOOKUP(E10424,DSSpieler!A:B,2,FALSE)</f>
        <v>-DRHDT-</v>
      </c>
    </row>
    <row r="10425" spans="1:10" x14ac:dyDescent="0.25">
      <c r="A10425">
        <v>11698</v>
      </c>
      <c r="B10425" t="s">
        <v>2057</v>
      </c>
      <c r="C10425">
        <v>552</v>
      </c>
      <c r="D10425">
        <v>490</v>
      </c>
      <c r="E10425">
        <v>1577181964</v>
      </c>
      <c r="F10425">
        <v>4765</v>
      </c>
      <c r="G10425">
        <v>0</v>
      </c>
      <c r="H10425" t="s">
        <v>15337</v>
      </c>
      <c r="I10425">
        <v>11698</v>
      </c>
      <c r="J10425" t="str">
        <f>VLOOKUP(E10425,DSSpieler!A:B,2,FALSE)</f>
        <v>Tompi</v>
      </c>
    </row>
    <row r="10426" spans="1:10" x14ac:dyDescent="0.25">
      <c r="A10426">
        <v>11699</v>
      </c>
      <c r="B10426" t="s">
        <v>2058</v>
      </c>
      <c r="C10426">
        <v>597</v>
      </c>
      <c r="D10426">
        <v>465</v>
      </c>
      <c r="E10426">
        <v>1577197349</v>
      </c>
      <c r="F10426">
        <v>3317</v>
      </c>
      <c r="G10426">
        <v>0</v>
      </c>
      <c r="H10426" t="s">
        <v>15338</v>
      </c>
      <c r="I10426">
        <v>11699</v>
      </c>
      <c r="J10426" t="str">
        <f>VLOOKUP(E10426,DSSpieler!A:B,2,FALSE)</f>
        <v>d0ppelkeks</v>
      </c>
    </row>
    <row r="10427" spans="1:10" x14ac:dyDescent="0.25">
      <c r="A10427">
        <v>11700</v>
      </c>
      <c r="B10427" t="s">
        <v>34247</v>
      </c>
      <c r="C10427">
        <v>424</v>
      </c>
      <c r="D10427">
        <v>424</v>
      </c>
      <c r="E10427">
        <v>1577182519</v>
      </c>
      <c r="F10427">
        <v>7785</v>
      </c>
      <c r="G10427">
        <v>0</v>
      </c>
      <c r="H10427" t="s">
        <v>15339</v>
      </c>
      <c r="I10427">
        <v>11700</v>
      </c>
      <c r="J10427" t="str">
        <f>VLOOKUP(E10427,DSSpieler!A:B,2,FALSE)</f>
        <v>G1ov4nni</v>
      </c>
    </row>
    <row r="10428" spans="1:10" x14ac:dyDescent="0.25">
      <c r="A10428">
        <v>11701</v>
      </c>
      <c r="B10428" t="s">
        <v>31322</v>
      </c>
      <c r="C10428">
        <v>400</v>
      </c>
      <c r="D10428">
        <v>461</v>
      </c>
      <c r="E10428">
        <v>1577199227</v>
      </c>
      <c r="F10428">
        <v>4834</v>
      </c>
      <c r="G10428">
        <v>0</v>
      </c>
      <c r="H10428" t="s">
        <v>15340</v>
      </c>
      <c r="I10428">
        <v>11701</v>
      </c>
      <c r="J10428" t="str">
        <f>VLOOKUP(E10428,DSSpieler!A:B,2,FALSE)</f>
        <v>Kapitän Glühbirne</v>
      </c>
    </row>
    <row r="10429" spans="1:10" x14ac:dyDescent="0.25">
      <c r="A10429">
        <v>11702</v>
      </c>
      <c r="B10429">
        <v>4</v>
      </c>
      <c r="C10429">
        <v>589</v>
      </c>
      <c r="D10429">
        <v>557</v>
      </c>
      <c r="E10429">
        <v>1576613198</v>
      </c>
      <c r="F10429">
        <v>4100</v>
      </c>
      <c r="G10429">
        <v>0</v>
      </c>
      <c r="H10429" t="s">
        <v>15341</v>
      </c>
      <c r="I10429">
        <v>11702</v>
      </c>
      <c r="J10429" t="str">
        <f>VLOOKUP(E10429,DSSpieler!A:B,2,FALSE)</f>
        <v>-Schnee-im-Sommer-</v>
      </c>
    </row>
    <row r="10430" spans="1:10" x14ac:dyDescent="0.25">
      <c r="A10430">
        <v>11704</v>
      </c>
      <c r="B10430" t="s">
        <v>531</v>
      </c>
      <c r="C10430">
        <v>466</v>
      </c>
      <c r="D10430">
        <v>398</v>
      </c>
      <c r="E10430">
        <v>0</v>
      </c>
      <c r="F10430">
        <v>289</v>
      </c>
      <c r="G10430">
        <v>0</v>
      </c>
      <c r="H10430" t="s">
        <v>15342</v>
      </c>
      <c r="I10430">
        <v>11704</v>
      </c>
      <c r="J10430" t="e">
        <f>VLOOKUP(E10430,DSSpieler!A:B,2,FALSE)</f>
        <v>#N/A</v>
      </c>
    </row>
    <row r="10431" spans="1:10" x14ac:dyDescent="0.25">
      <c r="A10431">
        <v>11706</v>
      </c>
      <c r="B10431" t="s">
        <v>2059</v>
      </c>
      <c r="C10431">
        <v>536</v>
      </c>
      <c r="D10431">
        <v>592</v>
      </c>
      <c r="E10431">
        <v>10152489</v>
      </c>
      <c r="F10431">
        <v>6790</v>
      </c>
      <c r="G10431">
        <v>0</v>
      </c>
      <c r="H10431" t="s">
        <v>15343</v>
      </c>
      <c r="I10431">
        <v>11706</v>
      </c>
      <c r="J10431" t="str">
        <f>VLOOKUP(E10431,DSSpieler!A:B,2,FALSE)</f>
        <v>Lord Lord jesus</v>
      </c>
    </row>
    <row r="10432" spans="1:10" x14ac:dyDescent="0.25">
      <c r="A10432">
        <v>11707</v>
      </c>
      <c r="B10432" t="s">
        <v>34248</v>
      </c>
      <c r="C10432">
        <v>604</v>
      </c>
      <c r="D10432">
        <v>498</v>
      </c>
      <c r="E10432">
        <v>10186624</v>
      </c>
      <c r="F10432">
        <v>5114</v>
      </c>
      <c r="G10432">
        <v>0</v>
      </c>
      <c r="H10432" t="s">
        <v>15344</v>
      </c>
      <c r="I10432">
        <v>11707</v>
      </c>
      <c r="J10432" t="str">
        <f>VLOOKUP(E10432,DSSpieler!A:B,2,FALSE)</f>
        <v>luinaldo</v>
      </c>
    </row>
    <row r="10433" spans="1:10" x14ac:dyDescent="0.25">
      <c r="A10433">
        <v>11708</v>
      </c>
      <c r="B10433" t="s">
        <v>35853</v>
      </c>
      <c r="C10433">
        <v>562</v>
      </c>
      <c r="D10433">
        <v>426</v>
      </c>
      <c r="E10433">
        <v>1162784</v>
      </c>
      <c r="F10433">
        <v>2456</v>
      </c>
      <c r="G10433">
        <v>0</v>
      </c>
      <c r="H10433" t="s">
        <v>15345</v>
      </c>
      <c r="I10433">
        <v>11708</v>
      </c>
      <c r="J10433" t="str">
        <f>VLOOKUP(E10433,DSSpieler!A:B,2,FALSE)</f>
        <v>cVraCer</v>
      </c>
    </row>
    <row r="10434" spans="1:10" x14ac:dyDescent="0.25">
      <c r="A10434">
        <v>11709</v>
      </c>
      <c r="B10434">
        <v>4</v>
      </c>
      <c r="C10434">
        <v>422</v>
      </c>
      <c r="D10434">
        <v>428</v>
      </c>
      <c r="E10434">
        <v>1577085651</v>
      </c>
      <c r="F10434">
        <v>4477</v>
      </c>
      <c r="G10434">
        <v>0</v>
      </c>
      <c r="H10434" t="s">
        <v>15346</v>
      </c>
      <c r="I10434">
        <v>11709</v>
      </c>
      <c r="J10434" t="str">
        <f>VLOOKUP(E10434,DSSpieler!A:B,2,FALSE)</f>
        <v>-schpider *</v>
      </c>
    </row>
    <row r="10435" spans="1:10" x14ac:dyDescent="0.25">
      <c r="A10435">
        <v>11710</v>
      </c>
      <c r="B10435" t="s">
        <v>34249</v>
      </c>
      <c r="C10435">
        <v>424</v>
      </c>
      <c r="D10435">
        <v>570</v>
      </c>
      <c r="E10435">
        <v>1577198874</v>
      </c>
      <c r="F10435">
        <v>3748</v>
      </c>
      <c r="G10435">
        <v>0</v>
      </c>
      <c r="H10435" t="s">
        <v>15347</v>
      </c>
      <c r="I10435">
        <v>11710</v>
      </c>
      <c r="J10435" t="str">
        <f>VLOOKUP(E10435,DSSpieler!A:B,2,FALSE)</f>
        <v>paolopercussini</v>
      </c>
    </row>
    <row r="10436" spans="1:10" x14ac:dyDescent="0.25">
      <c r="A10436">
        <v>11711</v>
      </c>
      <c r="B10436" t="s">
        <v>78</v>
      </c>
      <c r="C10436">
        <v>593</v>
      </c>
      <c r="D10436">
        <v>511</v>
      </c>
      <c r="E10436">
        <v>9284860</v>
      </c>
      <c r="F10436">
        <v>6181</v>
      </c>
      <c r="G10436">
        <v>0</v>
      </c>
      <c r="H10436" t="s">
        <v>15348</v>
      </c>
      <c r="I10436">
        <v>11711</v>
      </c>
      <c r="J10436" t="str">
        <f>VLOOKUP(E10436,DSSpieler!A:B,2,FALSE)</f>
        <v>Nextwe</v>
      </c>
    </row>
    <row r="10437" spans="1:10" x14ac:dyDescent="0.25">
      <c r="A10437">
        <v>11712</v>
      </c>
      <c r="B10437" t="s">
        <v>2060</v>
      </c>
      <c r="C10437">
        <v>428</v>
      </c>
      <c r="D10437">
        <v>544</v>
      </c>
      <c r="E10437">
        <v>1577129612</v>
      </c>
      <c r="F10437">
        <v>5304</v>
      </c>
      <c r="G10437">
        <v>0</v>
      </c>
      <c r="H10437" t="s">
        <v>15349</v>
      </c>
      <c r="I10437">
        <v>11712</v>
      </c>
      <c r="J10437" t="str">
        <f>VLOOKUP(E10437,DSSpieler!A:B,2,FALSE)</f>
        <v>Mqce</v>
      </c>
    </row>
    <row r="10438" spans="1:10" x14ac:dyDescent="0.25">
      <c r="A10438">
        <v>11713</v>
      </c>
      <c r="B10438" t="s">
        <v>34250</v>
      </c>
      <c r="C10438">
        <v>451</v>
      </c>
      <c r="D10438">
        <v>406</v>
      </c>
      <c r="E10438">
        <v>1577198878</v>
      </c>
      <c r="F10438">
        <v>8264</v>
      </c>
      <c r="G10438">
        <v>0</v>
      </c>
      <c r="H10438" t="s">
        <v>15350</v>
      </c>
      <c r="I10438">
        <v>11713</v>
      </c>
      <c r="J10438" t="str">
        <f>VLOOKUP(E10438,DSSpieler!A:B,2,FALSE)</f>
        <v>Gerhat</v>
      </c>
    </row>
    <row r="10439" spans="1:10" x14ac:dyDescent="0.25">
      <c r="A10439">
        <v>11714</v>
      </c>
      <c r="B10439" t="s">
        <v>531</v>
      </c>
      <c r="C10439">
        <v>422</v>
      </c>
      <c r="D10439">
        <v>429</v>
      </c>
      <c r="E10439">
        <v>0</v>
      </c>
      <c r="F10439">
        <v>267</v>
      </c>
      <c r="G10439">
        <v>0</v>
      </c>
      <c r="H10439" t="s">
        <v>15351</v>
      </c>
      <c r="I10439">
        <v>11714</v>
      </c>
      <c r="J10439" t="e">
        <f>VLOOKUP(E10439,DSSpieler!A:B,2,FALSE)</f>
        <v>#N/A</v>
      </c>
    </row>
    <row r="10440" spans="1:10" x14ac:dyDescent="0.25">
      <c r="A10440">
        <v>11715</v>
      </c>
      <c r="B10440" t="s">
        <v>34251</v>
      </c>
      <c r="C10440">
        <v>600</v>
      </c>
      <c r="D10440">
        <v>501</v>
      </c>
      <c r="E10440">
        <v>10121747</v>
      </c>
      <c r="F10440">
        <v>5850</v>
      </c>
      <c r="G10440">
        <v>0</v>
      </c>
      <c r="H10440" t="s">
        <v>15352</v>
      </c>
      <c r="I10440">
        <v>11715</v>
      </c>
      <c r="J10440" t="str">
        <f>VLOOKUP(E10440,DSSpieler!A:B,2,FALSE)</f>
        <v>KönigKärtnerderHerzen</v>
      </c>
    </row>
    <row r="10441" spans="1:10" x14ac:dyDescent="0.25">
      <c r="A10441">
        <v>11716</v>
      </c>
      <c r="B10441" t="s">
        <v>34252</v>
      </c>
      <c r="C10441">
        <v>602</v>
      </c>
      <c r="D10441">
        <v>494</v>
      </c>
      <c r="E10441">
        <v>10186624</v>
      </c>
      <c r="F10441">
        <v>5084</v>
      </c>
      <c r="G10441">
        <v>0</v>
      </c>
      <c r="H10441" t="s">
        <v>15353</v>
      </c>
      <c r="I10441">
        <v>11716</v>
      </c>
      <c r="J10441" t="str">
        <f>VLOOKUP(E10441,DSSpieler!A:B,2,FALSE)</f>
        <v>luinaldo</v>
      </c>
    </row>
    <row r="10442" spans="1:10" x14ac:dyDescent="0.25">
      <c r="A10442">
        <v>11717</v>
      </c>
      <c r="B10442">
        <v>4</v>
      </c>
      <c r="C10442">
        <v>587</v>
      </c>
      <c r="D10442">
        <v>461</v>
      </c>
      <c r="E10442">
        <v>9788379</v>
      </c>
      <c r="F10442">
        <v>1155</v>
      </c>
      <c r="G10442">
        <v>0</v>
      </c>
      <c r="H10442" t="s">
        <v>15354</v>
      </c>
      <c r="I10442">
        <v>11717</v>
      </c>
      <c r="J10442" t="str">
        <f>VLOOKUP(E10442,DSSpieler!A:B,2,FALSE)</f>
        <v>Saveworld</v>
      </c>
    </row>
    <row r="10443" spans="1:10" x14ac:dyDescent="0.25">
      <c r="A10443">
        <v>11718</v>
      </c>
      <c r="B10443" t="s">
        <v>2061</v>
      </c>
      <c r="C10443">
        <v>577</v>
      </c>
      <c r="D10443">
        <v>427</v>
      </c>
      <c r="E10443">
        <v>1576501444</v>
      </c>
      <c r="F10443">
        <v>3748</v>
      </c>
      <c r="G10443">
        <v>0</v>
      </c>
      <c r="H10443" t="s">
        <v>15355</v>
      </c>
      <c r="I10443">
        <v>11718</v>
      </c>
      <c r="J10443" t="str">
        <f>VLOOKUP(E10443,DSSpieler!A:B,2,FALSE)</f>
        <v>König Bananenbauer</v>
      </c>
    </row>
    <row r="10444" spans="1:10" x14ac:dyDescent="0.25">
      <c r="A10444">
        <v>11719</v>
      </c>
      <c r="B10444" t="s">
        <v>34253</v>
      </c>
      <c r="C10444">
        <v>508</v>
      </c>
      <c r="D10444">
        <v>404</v>
      </c>
      <c r="E10444">
        <v>10109027</v>
      </c>
      <c r="F10444">
        <v>5180</v>
      </c>
      <c r="G10444">
        <v>0</v>
      </c>
      <c r="H10444" t="s">
        <v>15356</v>
      </c>
      <c r="I10444">
        <v>11719</v>
      </c>
      <c r="J10444" t="str">
        <f>VLOOKUP(E10444,DSSpieler!A:B,2,FALSE)</f>
        <v>Stifti97</v>
      </c>
    </row>
    <row r="10445" spans="1:10" x14ac:dyDescent="0.25">
      <c r="A10445">
        <v>11720</v>
      </c>
      <c r="B10445" t="s">
        <v>531</v>
      </c>
      <c r="C10445">
        <v>396</v>
      </c>
      <c r="D10445">
        <v>504</v>
      </c>
      <c r="E10445">
        <v>0</v>
      </c>
      <c r="F10445">
        <v>130</v>
      </c>
      <c r="G10445">
        <v>0</v>
      </c>
      <c r="H10445" t="s">
        <v>15357</v>
      </c>
      <c r="I10445">
        <v>11720</v>
      </c>
      <c r="J10445" t="e">
        <f>VLOOKUP(E10445,DSSpieler!A:B,2,FALSE)</f>
        <v>#N/A</v>
      </c>
    </row>
    <row r="10446" spans="1:10" x14ac:dyDescent="0.25">
      <c r="A10446">
        <v>11721</v>
      </c>
      <c r="B10446" t="s">
        <v>34254</v>
      </c>
      <c r="C10446">
        <v>513</v>
      </c>
      <c r="D10446">
        <v>399</v>
      </c>
      <c r="E10446">
        <v>1577194987</v>
      </c>
      <c r="F10446">
        <v>4985</v>
      </c>
      <c r="G10446">
        <v>0</v>
      </c>
      <c r="H10446" t="s">
        <v>15358</v>
      </c>
      <c r="I10446">
        <v>11721</v>
      </c>
      <c r="J10446" t="str">
        <f>VLOOKUP(E10446,DSSpieler!A:B,2,FALSE)</f>
        <v>Monkey-D.-Ruffy</v>
      </c>
    </row>
    <row r="10447" spans="1:10" x14ac:dyDescent="0.25">
      <c r="A10447">
        <v>11722</v>
      </c>
      <c r="B10447" t="s">
        <v>531</v>
      </c>
      <c r="C10447">
        <v>599</v>
      </c>
      <c r="D10447">
        <v>462</v>
      </c>
      <c r="E10447">
        <v>0</v>
      </c>
      <c r="F10447">
        <v>399</v>
      </c>
      <c r="G10447">
        <v>0</v>
      </c>
      <c r="H10447" t="s">
        <v>15359</v>
      </c>
      <c r="I10447">
        <v>11722</v>
      </c>
      <c r="J10447" t="e">
        <f>VLOOKUP(E10447,DSSpieler!A:B,2,FALSE)</f>
        <v>#N/A</v>
      </c>
    </row>
    <row r="10448" spans="1:10" x14ac:dyDescent="0.25">
      <c r="A10448">
        <v>11723</v>
      </c>
      <c r="B10448" t="s">
        <v>34255</v>
      </c>
      <c r="C10448">
        <v>437</v>
      </c>
      <c r="D10448">
        <v>586</v>
      </c>
      <c r="E10448">
        <v>8720410</v>
      </c>
      <c r="F10448">
        <v>5293</v>
      </c>
      <c r="G10448">
        <v>0</v>
      </c>
      <c r="H10448" t="s">
        <v>15360</v>
      </c>
      <c r="I10448">
        <v>11723</v>
      </c>
      <c r="J10448" t="str">
        <f>VLOOKUP(E10448,DSSpieler!A:B,2,FALSE)</f>
        <v>el charlynero</v>
      </c>
    </row>
    <row r="10449" spans="1:10" x14ac:dyDescent="0.25">
      <c r="A10449">
        <v>11724</v>
      </c>
      <c r="B10449" t="s">
        <v>34256</v>
      </c>
      <c r="C10449">
        <v>422</v>
      </c>
      <c r="D10449">
        <v>570</v>
      </c>
      <c r="E10449">
        <v>1576670805</v>
      </c>
      <c r="F10449">
        <v>5337</v>
      </c>
      <c r="G10449">
        <v>0</v>
      </c>
      <c r="H10449" t="s">
        <v>15361</v>
      </c>
      <c r="I10449">
        <v>11724</v>
      </c>
      <c r="J10449" t="str">
        <f>VLOOKUP(E10449,DSSpieler!A:B,2,FALSE)</f>
        <v>LuemmelKeks</v>
      </c>
    </row>
    <row r="10450" spans="1:10" x14ac:dyDescent="0.25">
      <c r="A10450">
        <v>11725</v>
      </c>
      <c r="B10450" t="s">
        <v>780</v>
      </c>
      <c r="C10450">
        <v>608</v>
      </c>
      <c r="D10450">
        <v>518</v>
      </c>
      <c r="E10450">
        <v>1577127763</v>
      </c>
      <c r="F10450">
        <v>5044</v>
      </c>
      <c r="G10450">
        <v>0</v>
      </c>
      <c r="H10450" t="s">
        <v>15362</v>
      </c>
      <c r="I10450">
        <v>11725</v>
      </c>
      <c r="J10450" t="str">
        <f>VLOOKUP(E10450,DSSpieler!A:B,2,FALSE)</f>
        <v>Lord PickleRick</v>
      </c>
    </row>
    <row r="10451" spans="1:10" x14ac:dyDescent="0.25">
      <c r="A10451">
        <v>11726</v>
      </c>
      <c r="B10451" t="s">
        <v>531</v>
      </c>
      <c r="C10451">
        <v>520</v>
      </c>
      <c r="D10451">
        <v>477</v>
      </c>
      <c r="E10451">
        <v>0</v>
      </c>
      <c r="F10451">
        <v>450</v>
      </c>
      <c r="G10451">
        <v>0</v>
      </c>
      <c r="H10451" t="s">
        <v>15363</v>
      </c>
      <c r="I10451">
        <v>11726</v>
      </c>
      <c r="J10451" t="e">
        <f>VLOOKUP(E10451,DSSpieler!A:B,2,FALSE)</f>
        <v>#N/A</v>
      </c>
    </row>
    <row r="10452" spans="1:10" x14ac:dyDescent="0.25">
      <c r="A10452">
        <v>11727</v>
      </c>
      <c r="B10452" t="s">
        <v>150</v>
      </c>
      <c r="C10452">
        <v>515</v>
      </c>
      <c r="D10452">
        <v>440</v>
      </c>
      <c r="E10452">
        <v>9712134</v>
      </c>
      <c r="F10452">
        <v>193</v>
      </c>
      <c r="G10452">
        <v>0</v>
      </c>
      <c r="H10452" t="s">
        <v>15364</v>
      </c>
      <c r="I10452">
        <v>11727</v>
      </c>
      <c r="J10452" t="str">
        <f>VLOOKUP(E10452,DSSpieler!A:B,2,FALSE)</f>
        <v>GrafvonT.</v>
      </c>
    </row>
    <row r="10453" spans="1:10" x14ac:dyDescent="0.25">
      <c r="A10453">
        <v>11728</v>
      </c>
      <c r="B10453" t="s">
        <v>660</v>
      </c>
      <c r="C10453">
        <v>398</v>
      </c>
      <c r="D10453">
        <v>531</v>
      </c>
      <c r="E10453">
        <v>1577150381</v>
      </c>
      <c r="F10453">
        <v>2688</v>
      </c>
      <c r="G10453">
        <v>0</v>
      </c>
      <c r="H10453" t="s">
        <v>15365</v>
      </c>
      <c r="I10453">
        <v>11728</v>
      </c>
      <c r="J10453" t="str">
        <f>VLOOKUP(E10453,DSSpieler!A:B,2,FALSE)</f>
        <v>Kackvogel</v>
      </c>
    </row>
    <row r="10454" spans="1:10" x14ac:dyDescent="0.25">
      <c r="A10454">
        <v>11730</v>
      </c>
      <c r="B10454" t="s">
        <v>2062</v>
      </c>
      <c r="C10454">
        <v>448</v>
      </c>
      <c r="D10454">
        <v>500</v>
      </c>
      <c r="E10454">
        <v>1577187605</v>
      </c>
      <c r="F10454">
        <v>2697</v>
      </c>
      <c r="G10454">
        <v>0</v>
      </c>
      <c r="H10454" t="s">
        <v>15366</v>
      </c>
      <c r="I10454">
        <v>11730</v>
      </c>
      <c r="J10454" t="str">
        <f>VLOOKUP(E10454,DSSpieler!A:B,2,FALSE)</f>
        <v>Dr. Blobb</v>
      </c>
    </row>
    <row r="10455" spans="1:10" x14ac:dyDescent="0.25">
      <c r="A10455">
        <v>11731</v>
      </c>
      <c r="B10455">
        <v>3</v>
      </c>
      <c r="C10455">
        <v>475</v>
      </c>
      <c r="D10455">
        <v>600</v>
      </c>
      <c r="E10455">
        <v>9173861</v>
      </c>
      <c r="F10455">
        <v>2539</v>
      </c>
      <c r="G10455">
        <v>0</v>
      </c>
      <c r="H10455" t="s">
        <v>15367</v>
      </c>
      <c r="I10455">
        <v>11731</v>
      </c>
      <c r="J10455" t="str">
        <f>VLOOKUP(E10455,DSSpieler!A:B,2,FALSE)</f>
        <v>dieweltmacht</v>
      </c>
    </row>
    <row r="10456" spans="1:10" x14ac:dyDescent="0.25">
      <c r="A10456">
        <v>11732</v>
      </c>
      <c r="B10456" t="s">
        <v>2063</v>
      </c>
      <c r="C10456">
        <v>576</v>
      </c>
      <c r="D10456">
        <v>425</v>
      </c>
      <c r="E10456">
        <v>1576405643</v>
      </c>
      <c r="F10456">
        <v>7015</v>
      </c>
      <c r="G10456">
        <v>0</v>
      </c>
      <c r="H10456" t="s">
        <v>15368</v>
      </c>
      <c r="I10456">
        <v>11732</v>
      </c>
      <c r="J10456" t="str">
        <f>VLOOKUP(E10456,DSSpieler!A:B,2,FALSE)</f>
        <v>Kuyo04</v>
      </c>
    </row>
    <row r="10457" spans="1:10" x14ac:dyDescent="0.25">
      <c r="A10457">
        <v>11733</v>
      </c>
      <c r="B10457" t="s">
        <v>531</v>
      </c>
      <c r="C10457">
        <v>484</v>
      </c>
      <c r="D10457">
        <v>606</v>
      </c>
      <c r="E10457">
        <v>0</v>
      </c>
      <c r="F10457">
        <v>198</v>
      </c>
      <c r="G10457">
        <v>0</v>
      </c>
      <c r="H10457" t="s">
        <v>15369</v>
      </c>
      <c r="I10457">
        <v>11733</v>
      </c>
      <c r="J10457" t="e">
        <f>VLOOKUP(E10457,DSSpieler!A:B,2,FALSE)</f>
        <v>#N/A</v>
      </c>
    </row>
    <row r="10458" spans="1:10" x14ac:dyDescent="0.25">
      <c r="A10458">
        <v>11734</v>
      </c>
      <c r="B10458">
        <v>7</v>
      </c>
      <c r="C10458">
        <v>551</v>
      </c>
      <c r="D10458">
        <v>582</v>
      </c>
      <c r="E10458">
        <v>1577188575</v>
      </c>
      <c r="F10458">
        <v>6210</v>
      </c>
      <c r="G10458">
        <v>0</v>
      </c>
      <c r="H10458" t="s">
        <v>15370</v>
      </c>
      <c r="I10458">
        <v>11734</v>
      </c>
      <c r="J10458" t="str">
        <f>VLOOKUP(E10458,DSSpieler!A:B,2,FALSE)</f>
        <v>94Norbi</v>
      </c>
    </row>
    <row r="10459" spans="1:10" x14ac:dyDescent="0.25">
      <c r="A10459">
        <v>11735</v>
      </c>
      <c r="B10459" t="s">
        <v>531</v>
      </c>
      <c r="C10459">
        <v>512</v>
      </c>
      <c r="D10459">
        <v>605</v>
      </c>
      <c r="E10459">
        <v>0</v>
      </c>
      <c r="F10459">
        <v>387</v>
      </c>
      <c r="G10459">
        <v>0</v>
      </c>
      <c r="H10459" t="s">
        <v>15371</v>
      </c>
      <c r="I10459">
        <v>11735</v>
      </c>
      <c r="J10459" t="e">
        <f>VLOOKUP(E10459,DSSpieler!A:B,2,FALSE)</f>
        <v>#N/A</v>
      </c>
    </row>
    <row r="10460" spans="1:10" x14ac:dyDescent="0.25">
      <c r="A10460">
        <v>11736</v>
      </c>
      <c r="B10460" t="s">
        <v>531</v>
      </c>
      <c r="C10460">
        <v>467</v>
      </c>
      <c r="D10460">
        <v>601</v>
      </c>
      <c r="E10460">
        <v>0</v>
      </c>
      <c r="F10460">
        <v>415</v>
      </c>
      <c r="G10460">
        <v>0</v>
      </c>
      <c r="H10460" t="s">
        <v>15372</v>
      </c>
      <c r="I10460">
        <v>11736</v>
      </c>
      <c r="J10460" t="e">
        <f>VLOOKUP(E10460,DSSpieler!A:B,2,FALSE)</f>
        <v>#N/A</v>
      </c>
    </row>
    <row r="10461" spans="1:10" x14ac:dyDescent="0.25">
      <c r="A10461">
        <v>11738</v>
      </c>
      <c r="B10461" t="s">
        <v>531</v>
      </c>
      <c r="C10461">
        <v>494</v>
      </c>
      <c r="D10461">
        <v>395</v>
      </c>
      <c r="E10461">
        <v>0</v>
      </c>
      <c r="F10461">
        <v>220</v>
      </c>
      <c r="G10461">
        <v>0</v>
      </c>
      <c r="H10461" t="s">
        <v>15373</v>
      </c>
      <c r="I10461">
        <v>11738</v>
      </c>
      <c r="J10461" t="e">
        <f>VLOOKUP(E10461,DSSpieler!A:B,2,FALSE)</f>
        <v>#N/A</v>
      </c>
    </row>
    <row r="10462" spans="1:10" x14ac:dyDescent="0.25">
      <c r="A10462">
        <v>11739</v>
      </c>
      <c r="B10462" t="s">
        <v>531</v>
      </c>
      <c r="C10462">
        <v>582</v>
      </c>
      <c r="D10462">
        <v>436</v>
      </c>
      <c r="E10462">
        <v>0</v>
      </c>
      <c r="F10462">
        <v>413</v>
      </c>
      <c r="G10462">
        <v>0</v>
      </c>
      <c r="H10462" t="s">
        <v>15374</v>
      </c>
      <c r="I10462">
        <v>11739</v>
      </c>
      <c r="J10462" t="e">
        <f>VLOOKUP(E10462,DSSpieler!A:B,2,FALSE)</f>
        <v>#N/A</v>
      </c>
    </row>
    <row r="10463" spans="1:10" x14ac:dyDescent="0.25">
      <c r="A10463">
        <v>11740</v>
      </c>
      <c r="B10463" t="s">
        <v>34257</v>
      </c>
      <c r="C10463">
        <v>494</v>
      </c>
      <c r="D10463">
        <v>604</v>
      </c>
      <c r="E10463">
        <v>1576450468</v>
      </c>
      <c r="F10463">
        <v>1276</v>
      </c>
      <c r="G10463">
        <v>0</v>
      </c>
      <c r="H10463" t="s">
        <v>15375</v>
      </c>
      <c r="I10463">
        <v>11740</v>
      </c>
      <c r="J10463" t="str">
        <f>VLOOKUP(E10463,DSSpieler!A:B,2,FALSE)</f>
        <v>b0nes</v>
      </c>
    </row>
    <row r="10464" spans="1:10" x14ac:dyDescent="0.25">
      <c r="A10464">
        <v>11741</v>
      </c>
      <c r="B10464" t="s">
        <v>2064</v>
      </c>
      <c r="C10464">
        <v>417</v>
      </c>
      <c r="D10464">
        <v>437</v>
      </c>
      <c r="E10464">
        <v>1202788</v>
      </c>
      <c r="F10464">
        <v>2368</v>
      </c>
      <c r="G10464">
        <v>0</v>
      </c>
      <c r="H10464" t="s">
        <v>15376</v>
      </c>
      <c r="I10464">
        <v>11741</v>
      </c>
      <c r="J10464" t="str">
        <f>VLOOKUP(E10464,DSSpieler!A:B,2,FALSE)</f>
        <v>ALEXWAF</v>
      </c>
    </row>
    <row r="10465" spans="1:10" x14ac:dyDescent="0.25">
      <c r="A10465">
        <v>11742</v>
      </c>
      <c r="B10465" t="s">
        <v>531</v>
      </c>
      <c r="C10465">
        <v>518</v>
      </c>
      <c r="D10465">
        <v>604</v>
      </c>
      <c r="E10465">
        <v>0</v>
      </c>
      <c r="F10465">
        <v>259</v>
      </c>
      <c r="G10465">
        <v>0</v>
      </c>
      <c r="H10465" t="s">
        <v>15377</v>
      </c>
      <c r="I10465">
        <v>11742</v>
      </c>
      <c r="J10465" t="e">
        <f>VLOOKUP(E10465,DSSpieler!A:B,2,FALSE)</f>
        <v>#N/A</v>
      </c>
    </row>
    <row r="10466" spans="1:10" x14ac:dyDescent="0.25">
      <c r="A10466">
        <v>11743</v>
      </c>
      <c r="B10466" t="s">
        <v>34258</v>
      </c>
      <c r="C10466">
        <v>557</v>
      </c>
      <c r="D10466">
        <v>584</v>
      </c>
      <c r="E10466">
        <v>1576064169</v>
      </c>
      <c r="F10466">
        <v>5908</v>
      </c>
      <c r="G10466">
        <v>0</v>
      </c>
      <c r="H10466" t="s">
        <v>15378</v>
      </c>
      <c r="I10466">
        <v>11743</v>
      </c>
      <c r="J10466" t="str">
        <f>VLOOKUP(E10466,DSSpieler!A:B,2,FALSE)</f>
        <v>MySkillNoSkill</v>
      </c>
    </row>
    <row r="10467" spans="1:10" x14ac:dyDescent="0.25">
      <c r="A10467">
        <v>11744</v>
      </c>
      <c r="B10467" t="s">
        <v>531</v>
      </c>
      <c r="C10467">
        <v>601</v>
      </c>
      <c r="D10467">
        <v>538</v>
      </c>
      <c r="E10467">
        <v>0</v>
      </c>
      <c r="F10467">
        <v>203</v>
      </c>
      <c r="G10467">
        <v>0</v>
      </c>
      <c r="H10467" t="s">
        <v>15379</v>
      </c>
      <c r="I10467">
        <v>11744</v>
      </c>
      <c r="J10467" t="e">
        <f>VLOOKUP(E10467,DSSpieler!A:B,2,FALSE)</f>
        <v>#N/A</v>
      </c>
    </row>
    <row r="10468" spans="1:10" x14ac:dyDescent="0.25">
      <c r="A10468">
        <v>11745</v>
      </c>
      <c r="B10468" t="s">
        <v>34259</v>
      </c>
      <c r="C10468">
        <v>476</v>
      </c>
      <c r="D10468">
        <v>565</v>
      </c>
      <c r="E10468">
        <v>1575903481</v>
      </c>
      <c r="F10468">
        <v>5098</v>
      </c>
      <c r="G10468">
        <v>0</v>
      </c>
      <c r="H10468" t="s">
        <v>15380</v>
      </c>
      <c r="I10468">
        <v>11745</v>
      </c>
      <c r="J10468" t="str">
        <f>VLOOKUP(E10468,DSSpieler!A:B,2,FALSE)</f>
        <v>Cyriten</v>
      </c>
    </row>
    <row r="10469" spans="1:10" x14ac:dyDescent="0.25">
      <c r="A10469">
        <v>11746</v>
      </c>
      <c r="B10469" t="s">
        <v>531</v>
      </c>
      <c r="C10469">
        <v>404</v>
      </c>
      <c r="D10469">
        <v>549</v>
      </c>
      <c r="E10469">
        <v>0</v>
      </c>
      <c r="F10469">
        <v>374</v>
      </c>
      <c r="G10469">
        <v>0</v>
      </c>
      <c r="H10469" t="s">
        <v>15381</v>
      </c>
      <c r="I10469">
        <v>11746</v>
      </c>
      <c r="J10469" t="e">
        <f>VLOOKUP(E10469,DSSpieler!A:B,2,FALSE)</f>
        <v>#N/A</v>
      </c>
    </row>
    <row r="10470" spans="1:10" x14ac:dyDescent="0.25">
      <c r="A10470">
        <v>11747</v>
      </c>
      <c r="B10470" t="s">
        <v>2065</v>
      </c>
      <c r="C10470">
        <v>480</v>
      </c>
      <c r="D10470">
        <v>398</v>
      </c>
      <c r="E10470">
        <v>8668581</v>
      </c>
      <c r="F10470">
        <v>4602</v>
      </c>
      <c r="G10470">
        <v>0</v>
      </c>
      <c r="H10470" t="s">
        <v>15382</v>
      </c>
      <c r="I10470">
        <v>11747</v>
      </c>
      <c r="J10470" t="str">
        <f>VLOOKUP(E10470,DSSpieler!A:B,2,FALSE)</f>
        <v>G-Data 99</v>
      </c>
    </row>
    <row r="10471" spans="1:10" x14ac:dyDescent="0.25">
      <c r="A10471">
        <v>11748</v>
      </c>
      <c r="B10471" t="s">
        <v>531</v>
      </c>
      <c r="C10471">
        <v>536</v>
      </c>
      <c r="D10471">
        <v>404</v>
      </c>
      <c r="E10471">
        <v>0</v>
      </c>
      <c r="F10471">
        <v>267</v>
      </c>
      <c r="G10471">
        <v>0</v>
      </c>
      <c r="H10471" t="s">
        <v>15383</v>
      </c>
      <c r="I10471">
        <v>11748</v>
      </c>
      <c r="J10471" t="e">
        <f>VLOOKUP(E10471,DSSpieler!A:B,2,FALSE)</f>
        <v>#N/A</v>
      </c>
    </row>
    <row r="10472" spans="1:10" x14ac:dyDescent="0.25">
      <c r="A10472">
        <v>11749</v>
      </c>
      <c r="B10472" t="s">
        <v>531</v>
      </c>
      <c r="C10472">
        <v>559</v>
      </c>
      <c r="D10472">
        <v>585</v>
      </c>
      <c r="E10472">
        <v>0</v>
      </c>
      <c r="F10472">
        <v>283</v>
      </c>
      <c r="G10472">
        <v>0</v>
      </c>
      <c r="H10472" t="s">
        <v>15384</v>
      </c>
      <c r="I10472">
        <v>11749</v>
      </c>
      <c r="J10472" t="e">
        <f>VLOOKUP(E10472,DSSpieler!A:B,2,FALSE)</f>
        <v>#N/A</v>
      </c>
    </row>
    <row r="10473" spans="1:10" x14ac:dyDescent="0.25">
      <c r="A10473">
        <v>11750</v>
      </c>
      <c r="B10473" t="s">
        <v>34260</v>
      </c>
      <c r="C10473">
        <v>601</v>
      </c>
      <c r="D10473">
        <v>519</v>
      </c>
      <c r="E10473">
        <v>971800</v>
      </c>
      <c r="F10473">
        <v>3589</v>
      </c>
      <c r="G10473">
        <v>0</v>
      </c>
      <c r="H10473" t="s">
        <v>15385</v>
      </c>
      <c r="I10473">
        <v>11750</v>
      </c>
      <c r="J10473" t="str">
        <f>VLOOKUP(E10473,DSSpieler!A:B,2,FALSE)</f>
        <v>Moritz148</v>
      </c>
    </row>
    <row r="10474" spans="1:10" x14ac:dyDescent="0.25">
      <c r="A10474">
        <v>11751</v>
      </c>
      <c r="B10474" t="s">
        <v>531</v>
      </c>
      <c r="C10474">
        <v>552</v>
      </c>
      <c r="D10474">
        <v>407</v>
      </c>
      <c r="E10474">
        <v>0</v>
      </c>
      <c r="F10474">
        <v>485</v>
      </c>
      <c r="G10474">
        <v>0</v>
      </c>
      <c r="H10474" t="s">
        <v>15386</v>
      </c>
      <c r="I10474">
        <v>11751</v>
      </c>
      <c r="J10474" t="e">
        <f>VLOOKUP(E10474,DSSpieler!A:B,2,FALSE)</f>
        <v>#N/A</v>
      </c>
    </row>
    <row r="10475" spans="1:10" x14ac:dyDescent="0.25">
      <c r="A10475">
        <v>11752</v>
      </c>
      <c r="B10475" t="s">
        <v>34261</v>
      </c>
      <c r="C10475">
        <v>545</v>
      </c>
      <c r="D10475">
        <v>581</v>
      </c>
      <c r="E10475">
        <v>9742133</v>
      </c>
      <c r="F10475">
        <v>4708</v>
      </c>
      <c r="G10475">
        <v>0</v>
      </c>
      <c r="H10475" t="s">
        <v>15387</v>
      </c>
      <c r="I10475">
        <v>11752</v>
      </c>
      <c r="J10475" t="str">
        <f>VLOOKUP(E10475,DSSpieler!A:B,2,FALSE)</f>
        <v>Pvt.First</v>
      </c>
    </row>
    <row r="10476" spans="1:10" x14ac:dyDescent="0.25">
      <c r="A10476">
        <v>11753</v>
      </c>
      <c r="B10476" t="s">
        <v>34262</v>
      </c>
      <c r="C10476">
        <v>502</v>
      </c>
      <c r="D10476">
        <v>475</v>
      </c>
      <c r="E10476">
        <v>1576761253</v>
      </c>
      <c r="F10476">
        <v>884</v>
      </c>
      <c r="G10476">
        <v>0</v>
      </c>
      <c r="H10476" t="s">
        <v>15388</v>
      </c>
      <c r="I10476">
        <v>11753</v>
      </c>
      <c r="J10476" t="str">
        <f>VLOOKUP(E10476,DSSpieler!A:B,2,FALSE)</f>
        <v>Ifa Junky</v>
      </c>
    </row>
    <row r="10477" spans="1:10" x14ac:dyDescent="0.25">
      <c r="A10477">
        <v>11754</v>
      </c>
      <c r="B10477" t="s">
        <v>34263</v>
      </c>
      <c r="C10477">
        <v>512</v>
      </c>
      <c r="D10477">
        <v>485</v>
      </c>
      <c r="E10477">
        <v>1577198897</v>
      </c>
      <c r="F10477">
        <v>3808</v>
      </c>
      <c r="G10477">
        <v>0</v>
      </c>
      <c r="H10477" t="s">
        <v>15389</v>
      </c>
      <c r="I10477">
        <v>11754</v>
      </c>
      <c r="J10477" t="str">
        <f>VLOOKUP(E10477,DSSpieler!A:B,2,FALSE)</f>
        <v>Lollypop1807</v>
      </c>
    </row>
    <row r="10478" spans="1:10" x14ac:dyDescent="0.25">
      <c r="A10478">
        <v>11755</v>
      </c>
      <c r="B10478" t="s">
        <v>34264</v>
      </c>
      <c r="C10478">
        <v>432</v>
      </c>
      <c r="D10478">
        <v>497</v>
      </c>
      <c r="E10478">
        <v>8117207</v>
      </c>
      <c r="F10478">
        <v>3483</v>
      </c>
      <c r="G10478">
        <v>0</v>
      </c>
      <c r="H10478" t="s">
        <v>15390</v>
      </c>
      <c r="I10478">
        <v>11755</v>
      </c>
      <c r="J10478" t="str">
        <f>VLOOKUP(E10478,DSSpieler!A:B,2,FALSE)</f>
        <v>morphyn</v>
      </c>
    </row>
    <row r="10479" spans="1:10" x14ac:dyDescent="0.25">
      <c r="A10479">
        <v>11756</v>
      </c>
      <c r="B10479" t="s">
        <v>979</v>
      </c>
      <c r="C10479">
        <v>506</v>
      </c>
      <c r="D10479">
        <v>606</v>
      </c>
      <c r="E10479">
        <v>1576934386</v>
      </c>
      <c r="F10479">
        <v>3154</v>
      </c>
      <c r="G10479">
        <v>0</v>
      </c>
      <c r="H10479" t="s">
        <v>15391</v>
      </c>
      <c r="I10479">
        <v>11756</v>
      </c>
      <c r="J10479" t="str">
        <f>VLOOKUP(E10479,DSSpieler!A:B,2,FALSE)</f>
        <v>Signed1</v>
      </c>
    </row>
    <row r="10480" spans="1:10" x14ac:dyDescent="0.25">
      <c r="A10480">
        <v>11757</v>
      </c>
      <c r="B10480" t="s">
        <v>34265</v>
      </c>
      <c r="C10480">
        <v>595</v>
      </c>
      <c r="D10480">
        <v>545</v>
      </c>
      <c r="E10480">
        <v>1577191303</v>
      </c>
      <c r="F10480">
        <v>624</v>
      </c>
      <c r="G10480">
        <v>0</v>
      </c>
      <c r="H10480" t="s">
        <v>15392</v>
      </c>
      <c r="I10480">
        <v>11757</v>
      </c>
      <c r="J10480" t="str">
        <f>VLOOKUP(E10480,DSSpieler!A:B,2,FALSE)</f>
        <v>Mys-terion</v>
      </c>
    </row>
    <row r="10481" spans="1:10" x14ac:dyDescent="0.25">
      <c r="A10481">
        <v>11758</v>
      </c>
      <c r="B10481" t="s">
        <v>34266</v>
      </c>
      <c r="C10481">
        <v>552</v>
      </c>
      <c r="D10481">
        <v>430</v>
      </c>
      <c r="E10481">
        <v>1577183941</v>
      </c>
      <c r="F10481">
        <v>4311</v>
      </c>
      <c r="G10481">
        <v>0</v>
      </c>
      <c r="H10481" t="s">
        <v>15393</v>
      </c>
      <c r="I10481">
        <v>11758</v>
      </c>
      <c r="J10481" t="str">
        <f>VLOOKUP(E10481,DSSpieler!A:B,2,FALSE)</f>
        <v>maxlhimself</v>
      </c>
    </row>
    <row r="10482" spans="1:10" x14ac:dyDescent="0.25">
      <c r="A10482">
        <v>11759</v>
      </c>
      <c r="B10482" t="s">
        <v>531</v>
      </c>
      <c r="C10482">
        <v>556</v>
      </c>
      <c r="D10482">
        <v>592</v>
      </c>
      <c r="E10482">
        <v>0</v>
      </c>
      <c r="F10482">
        <v>506</v>
      </c>
      <c r="G10482">
        <v>0</v>
      </c>
      <c r="H10482" t="s">
        <v>15394</v>
      </c>
      <c r="I10482">
        <v>11759</v>
      </c>
      <c r="J10482" t="e">
        <f>VLOOKUP(E10482,DSSpieler!A:B,2,FALSE)</f>
        <v>#N/A</v>
      </c>
    </row>
    <row r="10483" spans="1:10" x14ac:dyDescent="0.25">
      <c r="A10483">
        <v>11760</v>
      </c>
      <c r="B10483" t="s">
        <v>2066</v>
      </c>
      <c r="C10483">
        <v>584</v>
      </c>
      <c r="D10483">
        <v>426</v>
      </c>
      <c r="E10483">
        <v>1576501444</v>
      </c>
      <c r="F10483">
        <v>6444</v>
      </c>
      <c r="G10483">
        <v>0</v>
      </c>
      <c r="H10483" t="s">
        <v>15395</v>
      </c>
      <c r="I10483">
        <v>11760</v>
      </c>
      <c r="J10483" t="str">
        <f>VLOOKUP(E10483,DSSpieler!A:B,2,FALSE)</f>
        <v>König Bananenbauer</v>
      </c>
    </row>
    <row r="10484" spans="1:10" x14ac:dyDescent="0.25">
      <c r="A10484">
        <v>11762</v>
      </c>
      <c r="B10484" t="s">
        <v>531</v>
      </c>
      <c r="C10484">
        <v>604</v>
      </c>
      <c r="D10484">
        <v>528</v>
      </c>
      <c r="E10484">
        <v>0</v>
      </c>
      <c r="F10484">
        <v>204</v>
      </c>
      <c r="G10484">
        <v>0</v>
      </c>
      <c r="H10484" t="s">
        <v>15396</v>
      </c>
      <c r="I10484">
        <v>11762</v>
      </c>
      <c r="J10484" t="e">
        <f>VLOOKUP(E10484,DSSpieler!A:B,2,FALSE)</f>
        <v>#N/A</v>
      </c>
    </row>
    <row r="10485" spans="1:10" x14ac:dyDescent="0.25">
      <c r="A10485">
        <v>11765</v>
      </c>
      <c r="B10485" t="s">
        <v>31446</v>
      </c>
      <c r="C10485">
        <v>398</v>
      </c>
      <c r="D10485">
        <v>518</v>
      </c>
      <c r="E10485">
        <v>1667196</v>
      </c>
      <c r="F10485">
        <v>5943</v>
      </c>
      <c r="G10485">
        <v>0</v>
      </c>
      <c r="H10485" t="s">
        <v>15397</v>
      </c>
      <c r="I10485">
        <v>11765</v>
      </c>
      <c r="J10485" t="str">
        <f>VLOOKUP(E10485,DSSpieler!A:B,2,FALSE)</f>
        <v>love.machine</v>
      </c>
    </row>
    <row r="10486" spans="1:10" x14ac:dyDescent="0.25">
      <c r="A10486">
        <v>11766</v>
      </c>
      <c r="B10486" t="s">
        <v>531</v>
      </c>
      <c r="C10486">
        <v>593</v>
      </c>
      <c r="D10486">
        <v>448</v>
      </c>
      <c r="E10486">
        <v>0</v>
      </c>
      <c r="F10486">
        <v>466</v>
      </c>
      <c r="G10486">
        <v>0</v>
      </c>
      <c r="H10486" t="s">
        <v>15398</v>
      </c>
      <c r="I10486">
        <v>11766</v>
      </c>
      <c r="J10486" t="e">
        <f>VLOOKUP(E10486,DSSpieler!A:B,2,FALSE)</f>
        <v>#N/A</v>
      </c>
    </row>
    <row r="10487" spans="1:10" x14ac:dyDescent="0.25">
      <c r="A10487">
        <v>11767</v>
      </c>
      <c r="B10487" t="s">
        <v>34267</v>
      </c>
      <c r="C10487">
        <v>412</v>
      </c>
      <c r="D10487">
        <v>515</v>
      </c>
      <c r="E10487">
        <v>240340</v>
      </c>
      <c r="F10487">
        <v>7833</v>
      </c>
      <c r="G10487">
        <v>0</v>
      </c>
      <c r="H10487" t="s">
        <v>15399</v>
      </c>
      <c r="I10487">
        <v>11767</v>
      </c>
      <c r="J10487" t="str">
        <f>VLOOKUP(E10487,DSSpieler!A:B,2,FALSE)</f>
        <v>daniel017</v>
      </c>
    </row>
    <row r="10488" spans="1:10" x14ac:dyDescent="0.25">
      <c r="A10488">
        <v>11768</v>
      </c>
      <c r="B10488" t="s">
        <v>2067</v>
      </c>
      <c r="C10488">
        <v>606</v>
      </c>
      <c r="D10488">
        <v>486</v>
      </c>
      <c r="E10488">
        <v>1577198833</v>
      </c>
      <c r="F10488">
        <v>2043</v>
      </c>
      <c r="G10488">
        <v>0</v>
      </c>
      <c r="H10488" t="s">
        <v>15400</v>
      </c>
      <c r="I10488">
        <v>11768</v>
      </c>
      <c r="J10488" t="str">
        <f>VLOOKUP(E10488,DSSpieler!A:B,2,FALSE)</f>
        <v>greenwolf94</v>
      </c>
    </row>
    <row r="10489" spans="1:10" x14ac:dyDescent="0.25">
      <c r="A10489">
        <v>11769</v>
      </c>
      <c r="B10489" t="s">
        <v>34268</v>
      </c>
      <c r="C10489">
        <v>448</v>
      </c>
      <c r="D10489">
        <v>477</v>
      </c>
      <c r="E10489">
        <v>7901609</v>
      </c>
      <c r="F10489">
        <v>2572</v>
      </c>
      <c r="G10489">
        <v>0</v>
      </c>
      <c r="H10489" t="s">
        <v>15401</v>
      </c>
      <c r="I10489">
        <v>11769</v>
      </c>
      <c r="J10489" t="str">
        <f>VLOOKUP(E10489,DSSpieler!A:B,2,FALSE)</f>
        <v>app3l</v>
      </c>
    </row>
    <row r="10490" spans="1:10" x14ac:dyDescent="0.25">
      <c r="A10490">
        <v>11770</v>
      </c>
      <c r="B10490" t="s">
        <v>2068</v>
      </c>
      <c r="C10490">
        <v>582</v>
      </c>
      <c r="D10490">
        <v>427</v>
      </c>
      <c r="E10490">
        <v>1576501444</v>
      </c>
      <c r="F10490">
        <v>5222</v>
      </c>
      <c r="G10490">
        <v>0</v>
      </c>
      <c r="H10490" t="s">
        <v>15402</v>
      </c>
      <c r="I10490">
        <v>11770</v>
      </c>
      <c r="J10490" t="str">
        <f>VLOOKUP(E10490,DSSpieler!A:B,2,FALSE)</f>
        <v>König Bananenbauer</v>
      </c>
    </row>
    <row r="10491" spans="1:10" x14ac:dyDescent="0.25">
      <c r="A10491">
        <v>11771</v>
      </c>
      <c r="B10491" t="s">
        <v>650</v>
      </c>
      <c r="C10491">
        <v>572</v>
      </c>
      <c r="D10491">
        <v>426</v>
      </c>
      <c r="E10491">
        <v>1577002284</v>
      </c>
      <c r="F10491">
        <v>669</v>
      </c>
      <c r="G10491">
        <v>0</v>
      </c>
      <c r="H10491" t="s">
        <v>15403</v>
      </c>
      <c r="I10491">
        <v>11771</v>
      </c>
      <c r="J10491" t="str">
        <f>VLOOKUP(E10491,DSSpieler!A:B,2,FALSE)</f>
        <v>Lord Andy444</v>
      </c>
    </row>
    <row r="10492" spans="1:10" x14ac:dyDescent="0.25">
      <c r="A10492">
        <v>11773</v>
      </c>
      <c r="B10492" t="s">
        <v>531</v>
      </c>
      <c r="C10492">
        <v>553</v>
      </c>
      <c r="D10492">
        <v>409</v>
      </c>
      <c r="E10492">
        <v>0</v>
      </c>
      <c r="F10492">
        <v>214</v>
      </c>
      <c r="G10492">
        <v>0</v>
      </c>
      <c r="H10492" t="s">
        <v>15404</v>
      </c>
      <c r="I10492">
        <v>11773</v>
      </c>
      <c r="J10492" t="e">
        <f>VLOOKUP(E10492,DSSpieler!A:B,2,FALSE)</f>
        <v>#N/A</v>
      </c>
    </row>
    <row r="10493" spans="1:10" x14ac:dyDescent="0.25">
      <c r="A10493">
        <v>11774</v>
      </c>
      <c r="B10493" t="s">
        <v>769</v>
      </c>
      <c r="C10493">
        <v>434</v>
      </c>
      <c r="D10493">
        <v>573</v>
      </c>
      <c r="E10493">
        <v>9841263</v>
      </c>
      <c r="F10493">
        <v>4359</v>
      </c>
      <c r="G10493">
        <v>0</v>
      </c>
      <c r="H10493" t="s">
        <v>15405</v>
      </c>
      <c r="I10493">
        <v>11774</v>
      </c>
      <c r="J10493" t="str">
        <f>VLOOKUP(E10493,DSSpieler!A:B,2,FALSE)</f>
        <v>Paimon</v>
      </c>
    </row>
    <row r="10494" spans="1:10" x14ac:dyDescent="0.25">
      <c r="A10494">
        <v>11775</v>
      </c>
      <c r="B10494" t="s">
        <v>34269</v>
      </c>
      <c r="C10494">
        <v>594</v>
      </c>
      <c r="D10494">
        <v>454</v>
      </c>
      <c r="E10494">
        <v>1575891872</v>
      </c>
      <c r="F10494">
        <v>3786</v>
      </c>
      <c r="G10494">
        <v>0</v>
      </c>
      <c r="H10494" t="s">
        <v>15406</v>
      </c>
      <c r="I10494">
        <v>11775</v>
      </c>
      <c r="J10494" t="str">
        <f>VLOOKUP(E10494,DSSpieler!A:B,2,FALSE)</f>
        <v>Angsthasen 2.0</v>
      </c>
    </row>
    <row r="10495" spans="1:10" x14ac:dyDescent="0.25">
      <c r="A10495">
        <v>11776</v>
      </c>
      <c r="B10495" t="s">
        <v>34270</v>
      </c>
      <c r="C10495">
        <v>503</v>
      </c>
      <c r="D10495">
        <v>612</v>
      </c>
      <c r="E10495">
        <v>9613683</v>
      </c>
      <c r="F10495">
        <v>6495</v>
      </c>
      <c r="G10495">
        <v>0</v>
      </c>
      <c r="H10495" t="s">
        <v>15407</v>
      </c>
      <c r="I10495">
        <v>11776</v>
      </c>
      <c r="J10495" t="str">
        <f>VLOOKUP(E10495,DSSpieler!A:B,2,FALSE)</f>
        <v>As High As Honor</v>
      </c>
    </row>
    <row r="10496" spans="1:10" x14ac:dyDescent="0.25">
      <c r="A10496">
        <v>11778</v>
      </c>
      <c r="B10496" t="s">
        <v>2069</v>
      </c>
      <c r="C10496">
        <v>534</v>
      </c>
      <c r="D10496">
        <v>586</v>
      </c>
      <c r="E10496">
        <v>1576975883</v>
      </c>
      <c r="F10496">
        <v>4517</v>
      </c>
      <c r="G10496">
        <v>0</v>
      </c>
      <c r="H10496" t="s">
        <v>15408</v>
      </c>
      <c r="I10496">
        <v>11778</v>
      </c>
      <c r="J10496" t="str">
        <f>VLOOKUP(E10496,DSSpieler!A:B,2,FALSE)</f>
        <v>Burggeist123</v>
      </c>
    </row>
    <row r="10497" spans="1:10" x14ac:dyDescent="0.25">
      <c r="A10497">
        <v>11779</v>
      </c>
      <c r="B10497" t="s">
        <v>531</v>
      </c>
      <c r="C10497">
        <v>492</v>
      </c>
      <c r="D10497">
        <v>592</v>
      </c>
      <c r="E10497">
        <v>0</v>
      </c>
      <c r="F10497">
        <v>560</v>
      </c>
      <c r="G10497">
        <v>0</v>
      </c>
      <c r="H10497" t="s">
        <v>15409</v>
      </c>
      <c r="I10497">
        <v>11779</v>
      </c>
      <c r="J10497" t="e">
        <f>VLOOKUP(E10497,DSSpieler!A:B,2,FALSE)</f>
        <v>#N/A</v>
      </c>
    </row>
    <row r="10498" spans="1:10" x14ac:dyDescent="0.25">
      <c r="A10498">
        <v>11780</v>
      </c>
      <c r="B10498">
        <v>1</v>
      </c>
      <c r="C10498">
        <v>453</v>
      </c>
      <c r="D10498">
        <v>408</v>
      </c>
      <c r="E10498">
        <v>179420</v>
      </c>
      <c r="F10498">
        <v>5500</v>
      </c>
      <c r="G10498">
        <v>0</v>
      </c>
      <c r="H10498" t="s">
        <v>15410</v>
      </c>
      <c r="I10498">
        <v>11780</v>
      </c>
      <c r="J10498" t="str">
        <f>VLOOKUP(E10498,DSSpieler!A:B,2,FALSE)</f>
        <v>goldenei</v>
      </c>
    </row>
    <row r="10499" spans="1:10" x14ac:dyDescent="0.25">
      <c r="A10499">
        <v>11782</v>
      </c>
      <c r="B10499" t="s">
        <v>531</v>
      </c>
      <c r="C10499">
        <v>402</v>
      </c>
      <c r="D10499">
        <v>524</v>
      </c>
      <c r="E10499">
        <v>0</v>
      </c>
      <c r="F10499">
        <v>803</v>
      </c>
      <c r="G10499">
        <v>0</v>
      </c>
      <c r="H10499" t="s">
        <v>15411</v>
      </c>
      <c r="I10499">
        <v>11782</v>
      </c>
      <c r="J10499" t="e">
        <f>VLOOKUP(E10499,DSSpieler!A:B,2,FALSE)</f>
        <v>#N/A</v>
      </c>
    </row>
    <row r="10500" spans="1:10" x14ac:dyDescent="0.25">
      <c r="A10500">
        <v>11783</v>
      </c>
      <c r="B10500">
        <v>3</v>
      </c>
      <c r="C10500">
        <v>408</v>
      </c>
      <c r="D10500">
        <v>446</v>
      </c>
      <c r="E10500">
        <v>9768664</v>
      </c>
      <c r="F10500">
        <v>5773</v>
      </c>
      <c r="G10500">
        <v>0</v>
      </c>
      <c r="H10500" t="s">
        <v>15412</v>
      </c>
      <c r="I10500">
        <v>11783</v>
      </c>
      <c r="J10500" t="str">
        <f>VLOOKUP(E10500,DSSpieler!A:B,2,FALSE)</f>
        <v>tobinator2345</v>
      </c>
    </row>
    <row r="10501" spans="1:10" x14ac:dyDescent="0.25">
      <c r="A10501">
        <v>11785</v>
      </c>
      <c r="B10501" t="s">
        <v>531</v>
      </c>
      <c r="C10501">
        <v>415</v>
      </c>
      <c r="D10501">
        <v>435</v>
      </c>
      <c r="E10501">
        <v>0</v>
      </c>
      <c r="F10501">
        <v>402</v>
      </c>
      <c r="G10501">
        <v>0</v>
      </c>
      <c r="H10501" t="s">
        <v>15413</v>
      </c>
      <c r="I10501">
        <v>11785</v>
      </c>
      <c r="J10501" t="e">
        <f>VLOOKUP(E10501,DSSpieler!A:B,2,FALSE)</f>
        <v>#N/A</v>
      </c>
    </row>
    <row r="10502" spans="1:10" x14ac:dyDescent="0.25">
      <c r="A10502">
        <v>11786</v>
      </c>
      <c r="B10502" t="s">
        <v>34271</v>
      </c>
      <c r="C10502">
        <v>521</v>
      </c>
      <c r="D10502">
        <v>589</v>
      </c>
      <c r="E10502">
        <v>9267037</v>
      </c>
      <c r="F10502">
        <v>6850</v>
      </c>
      <c r="G10502">
        <v>0</v>
      </c>
      <c r="H10502" t="s">
        <v>15414</v>
      </c>
      <c r="I10502">
        <v>11786</v>
      </c>
      <c r="J10502" t="str">
        <f>VLOOKUP(E10502,DSSpieler!A:B,2,FALSE)</f>
        <v>DarkShadow5</v>
      </c>
    </row>
    <row r="10503" spans="1:10" x14ac:dyDescent="0.25">
      <c r="A10503">
        <v>11787</v>
      </c>
      <c r="B10503" t="s">
        <v>2070</v>
      </c>
      <c r="C10503">
        <v>403</v>
      </c>
      <c r="D10503">
        <v>457</v>
      </c>
      <c r="E10503">
        <v>1577027224</v>
      </c>
      <c r="F10503">
        <v>5188</v>
      </c>
      <c r="G10503">
        <v>0</v>
      </c>
      <c r="H10503" t="s">
        <v>15415</v>
      </c>
      <c r="I10503">
        <v>11787</v>
      </c>
      <c r="J10503" t="str">
        <f>VLOOKUP(E10503,DSSpieler!A:B,2,FALSE)</f>
        <v>Goldi97</v>
      </c>
    </row>
    <row r="10504" spans="1:10" x14ac:dyDescent="0.25">
      <c r="A10504">
        <v>11788</v>
      </c>
      <c r="B10504" t="s">
        <v>531</v>
      </c>
      <c r="C10504">
        <v>420</v>
      </c>
      <c r="D10504">
        <v>571</v>
      </c>
      <c r="E10504">
        <v>0</v>
      </c>
      <c r="F10504">
        <v>307</v>
      </c>
      <c r="G10504">
        <v>0</v>
      </c>
      <c r="H10504" t="s">
        <v>15416</v>
      </c>
      <c r="I10504">
        <v>11788</v>
      </c>
      <c r="J10504" t="e">
        <f>VLOOKUP(E10504,DSSpieler!A:B,2,FALSE)</f>
        <v>#N/A</v>
      </c>
    </row>
    <row r="10505" spans="1:10" x14ac:dyDescent="0.25">
      <c r="A10505">
        <v>11789</v>
      </c>
      <c r="B10505" t="s">
        <v>34272</v>
      </c>
      <c r="C10505">
        <v>409</v>
      </c>
      <c r="D10505">
        <v>455</v>
      </c>
      <c r="E10505">
        <v>1575852758</v>
      </c>
      <c r="F10505">
        <v>3378</v>
      </c>
      <c r="G10505">
        <v>0</v>
      </c>
      <c r="H10505" t="s">
        <v>15417</v>
      </c>
      <c r="I10505">
        <v>11789</v>
      </c>
      <c r="J10505" t="str">
        <f>VLOOKUP(E10505,DSSpieler!A:B,2,FALSE)</f>
        <v>Lord LostPaiN</v>
      </c>
    </row>
    <row r="10506" spans="1:10" x14ac:dyDescent="0.25">
      <c r="A10506">
        <v>11790</v>
      </c>
      <c r="B10506" t="s">
        <v>673</v>
      </c>
      <c r="C10506">
        <v>393</v>
      </c>
      <c r="D10506">
        <v>501</v>
      </c>
      <c r="E10506">
        <v>1577097018</v>
      </c>
      <c r="F10506">
        <v>3972</v>
      </c>
      <c r="G10506">
        <v>0</v>
      </c>
      <c r="H10506" t="s">
        <v>15418</v>
      </c>
      <c r="I10506">
        <v>11790</v>
      </c>
      <c r="J10506" t="str">
        <f>VLOOKUP(E10506,DSSpieler!A:B,2,FALSE)</f>
        <v>DerderohneRammenkommt</v>
      </c>
    </row>
    <row r="10507" spans="1:10" x14ac:dyDescent="0.25">
      <c r="A10507">
        <v>11791</v>
      </c>
      <c r="B10507" t="s">
        <v>531</v>
      </c>
      <c r="C10507">
        <v>406</v>
      </c>
      <c r="D10507">
        <v>453</v>
      </c>
      <c r="E10507">
        <v>0</v>
      </c>
      <c r="F10507">
        <v>1006</v>
      </c>
      <c r="G10507">
        <v>0</v>
      </c>
      <c r="H10507" t="s">
        <v>15419</v>
      </c>
      <c r="I10507">
        <v>11791</v>
      </c>
      <c r="J10507" t="e">
        <f>VLOOKUP(E10507,DSSpieler!A:B,2,FALSE)</f>
        <v>#N/A</v>
      </c>
    </row>
    <row r="10508" spans="1:10" x14ac:dyDescent="0.25">
      <c r="A10508">
        <v>11792</v>
      </c>
      <c r="B10508" t="s">
        <v>34273</v>
      </c>
      <c r="C10508">
        <v>403</v>
      </c>
      <c r="D10508">
        <v>450</v>
      </c>
      <c r="E10508">
        <v>2389451</v>
      </c>
      <c r="F10508">
        <v>6279</v>
      </c>
      <c r="G10508">
        <v>0</v>
      </c>
      <c r="H10508" t="s">
        <v>15420</v>
      </c>
      <c r="I10508">
        <v>11792</v>
      </c>
      <c r="J10508" t="str">
        <f>VLOOKUP(E10508,DSSpieler!A:B,2,FALSE)</f>
        <v>Jutas</v>
      </c>
    </row>
    <row r="10509" spans="1:10" x14ac:dyDescent="0.25">
      <c r="A10509">
        <v>11793</v>
      </c>
      <c r="B10509" t="s">
        <v>531</v>
      </c>
      <c r="C10509">
        <v>454</v>
      </c>
      <c r="D10509">
        <v>407</v>
      </c>
      <c r="E10509">
        <v>0</v>
      </c>
      <c r="F10509">
        <v>218</v>
      </c>
      <c r="G10509">
        <v>0</v>
      </c>
      <c r="H10509" t="s">
        <v>15421</v>
      </c>
      <c r="I10509">
        <v>11793</v>
      </c>
      <c r="J10509" t="e">
        <f>VLOOKUP(E10509,DSSpieler!A:B,2,FALSE)</f>
        <v>#N/A</v>
      </c>
    </row>
    <row r="10510" spans="1:10" x14ac:dyDescent="0.25">
      <c r="A10510">
        <v>11794</v>
      </c>
      <c r="B10510" t="s">
        <v>34274</v>
      </c>
      <c r="C10510">
        <v>400</v>
      </c>
      <c r="D10510">
        <v>532</v>
      </c>
      <c r="E10510">
        <v>1576295300</v>
      </c>
      <c r="F10510">
        <v>5250</v>
      </c>
      <c r="G10510">
        <v>0</v>
      </c>
      <c r="H10510" t="s">
        <v>15422</v>
      </c>
      <c r="I10510">
        <v>11794</v>
      </c>
      <c r="J10510" t="str">
        <f>VLOOKUP(E10510,DSSpieler!A:B,2,FALSE)</f>
        <v>Lord TeRRoRsOldier</v>
      </c>
    </row>
    <row r="10511" spans="1:10" x14ac:dyDescent="0.25">
      <c r="A10511">
        <v>11795</v>
      </c>
      <c r="B10511" t="s">
        <v>34275</v>
      </c>
      <c r="C10511">
        <v>440</v>
      </c>
      <c r="D10511">
        <v>413</v>
      </c>
      <c r="E10511">
        <v>1577183355</v>
      </c>
      <c r="F10511">
        <v>2276</v>
      </c>
      <c r="G10511">
        <v>0</v>
      </c>
      <c r="H10511" t="s">
        <v>15423</v>
      </c>
      <c r="I10511">
        <v>11795</v>
      </c>
      <c r="J10511" t="str">
        <f>VLOOKUP(E10511,DSSpieler!A:B,2,FALSE)</f>
        <v>Duubrot</v>
      </c>
    </row>
    <row r="10512" spans="1:10" x14ac:dyDescent="0.25">
      <c r="A10512">
        <v>11796</v>
      </c>
      <c r="B10512" t="s">
        <v>34276</v>
      </c>
      <c r="C10512">
        <v>404</v>
      </c>
      <c r="D10512">
        <v>454</v>
      </c>
      <c r="E10512">
        <v>2389451</v>
      </c>
      <c r="F10512">
        <v>5219</v>
      </c>
      <c r="G10512">
        <v>0</v>
      </c>
      <c r="H10512" t="s">
        <v>15424</v>
      </c>
      <c r="I10512">
        <v>11796</v>
      </c>
      <c r="J10512" t="str">
        <f>VLOOKUP(E10512,DSSpieler!A:B,2,FALSE)</f>
        <v>Jutas</v>
      </c>
    </row>
    <row r="10513" spans="1:10" x14ac:dyDescent="0.25">
      <c r="A10513">
        <v>11797</v>
      </c>
      <c r="B10513" t="s">
        <v>2071</v>
      </c>
      <c r="C10513">
        <v>530</v>
      </c>
      <c r="D10513">
        <v>400</v>
      </c>
      <c r="E10513">
        <v>10173427</v>
      </c>
      <c r="F10513">
        <v>4702</v>
      </c>
      <c r="G10513">
        <v>0</v>
      </c>
      <c r="H10513" t="s">
        <v>15425</v>
      </c>
      <c r="I10513">
        <v>11797</v>
      </c>
      <c r="J10513" t="str">
        <f>VLOOKUP(E10513,DSSpieler!A:B,2,FALSE)</f>
        <v>micha021</v>
      </c>
    </row>
    <row r="10514" spans="1:10" x14ac:dyDescent="0.25">
      <c r="A10514">
        <v>11798</v>
      </c>
      <c r="B10514" t="s">
        <v>34277</v>
      </c>
      <c r="C10514">
        <v>603</v>
      </c>
      <c r="D10514">
        <v>530</v>
      </c>
      <c r="E10514">
        <v>1577010730</v>
      </c>
      <c r="F10514">
        <v>4168</v>
      </c>
      <c r="G10514">
        <v>0</v>
      </c>
      <c r="H10514" t="s">
        <v>15426</v>
      </c>
      <c r="I10514">
        <v>11798</v>
      </c>
      <c r="J10514" t="str">
        <f>VLOOKUP(E10514,DSSpieler!A:B,2,FALSE)</f>
        <v>Mongogriepsch</v>
      </c>
    </row>
    <row r="10515" spans="1:10" x14ac:dyDescent="0.25">
      <c r="A10515">
        <v>11800</v>
      </c>
      <c r="B10515" t="s">
        <v>531</v>
      </c>
      <c r="C10515">
        <v>546</v>
      </c>
      <c r="D10515">
        <v>571</v>
      </c>
      <c r="E10515">
        <v>0</v>
      </c>
      <c r="F10515">
        <v>430</v>
      </c>
      <c r="G10515">
        <v>0</v>
      </c>
      <c r="H10515" t="s">
        <v>15427</v>
      </c>
      <c r="I10515">
        <v>11800</v>
      </c>
      <c r="J10515" t="e">
        <f>VLOOKUP(E10515,DSSpieler!A:B,2,FALSE)</f>
        <v>#N/A</v>
      </c>
    </row>
    <row r="10516" spans="1:10" x14ac:dyDescent="0.25">
      <c r="A10516">
        <v>11801</v>
      </c>
      <c r="B10516" t="s">
        <v>2072</v>
      </c>
      <c r="C10516">
        <v>394</v>
      </c>
      <c r="D10516">
        <v>497</v>
      </c>
      <c r="E10516">
        <v>1576776027</v>
      </c>
      <c r="F10516">
        <v>835</v>
      </c>
      <c r="G10516">
        <v>0</v>
      </c>
      <c r="H10516" t="s">
        <v>15428</v>
      </c>
      <c r="I10516">
        <v>11801</v>
      </c>
      <c r="J10516" t="str">
        <f>VLOOKUP(E10516,DSSpieler!A:B,2,FALSE)</f>
        <v>Bierchen812</v>
      </c>
    </row>
    <row r="10517" spans="1:10" x14ac:dyDescent="0.25">
      <c r="A10517">
        <v>11802</v>
      </c>
      <c r="B10517" t="s">
        <v>34278</v>
      </c>
      <c r="C10517">
        <v>409</v>
      </c>
      <c r="D10517">
        <v>453</v>
      </c>
      <c r="E10517">
        <v>1577140251</v>
      </c>
      <c r="F10517">
        <v>7293</v>
      </c>
      <c r="G10517">
        <v>0</v>
      </c>
      <c r="H10517" t="s">
        <v>15429</v>
      </c>
      <c r="I10517">
        <v>11802</v>
      </c>
      <c r="J10517" t="str">
        <f>VLOOKUP(E10517,DSSpieler!A:B,2,FALSE)</f>
        <v>Dohan</v>
      </c>
    </row>
    <row r="10518" spans="1:10" x14ac:dyDescent="0.25">
      <c r="A10518">
        <v>11804</v>
      </c>
      <c r="B10518" t="s">
        <v>531</v>
      </c>
      <c r="C10518">
        <v>418</v>
      </c>
      <c r="D10518">
        <v>437</v>
      </c>
      <c r="E10518">
        <v>0</v>
      </c>
      <c r="F10518">
        <v>149</v>
      </c>
      <c r="G10518">
        <v>0</v>
      </c>
      <c r="H10518" t="s">
        <v>15430</v>
      </c>
      <c r="I10518">
        <v>11804</v>
      </c>
      <c r="J10518" t="e">
        <f>VLOOKUP(E10518,DSSpieler!A:B,2,FALSE)</f>
        <v>#N/A</v>
      </c>
    </row>
    <row r="10519" spans="1:10" x14ac:dyDescent="0.25">
      <c r="A10519">
        <v>11805</v>
      </c>
      <c r="B10519" t="s">
        <v>531</v>
      </c>
      <c r="C10519">
        <v>605</v>
      </c>
      <c r="D10519">
        <v>508</v>
      </c>
      <c r="E10519">
        <v>0</v>
      </c>
      <c r="F10519">
        <v>502</v>
      </c>
      <c r="G10519">
        <v>0</v>
      </c>
      <c r="H10519" t="s">
        <v>15431</v>
      </c>
      <c r="I10519">
        <v>11805</v>
      </c>
      <c r="J10519" t="e">
        <f>VLOOKUP(E10519,DSSpieler!A:B,2,FALSE)</f>
        <v>#N/A</v>
      </c>
    </row>
    <row r="10520" spans="1:10" x14ac:dyDescent="0.25">
      <c r="A10520">
        <v>11807</v>
      </c>
      <c r="B10520" t="s">
        <v>34279</v>
      </c>
      <c r="C10520">
        <v>445</v>
      </c>
      <c r="D10520">
        <v>419</v>
      </c>
      <c r="E10520">
        <v>1577045668</v>
      </c>
      <c r="F10520">
        <v>4783</v>
      </c>
      <c r="G10520">
        <v>0</v>
      </c>
      <c r="H10520" t="s">
        <v>15432</v>
      </c>
      <c r="I10520">
        <v>11807</v>
      </c>
      <c r="J10520" t="str">
        <f>VLOOKUP(E10520,DSSpieler!A:B,2,FALSE)</f>
        <v>Maxim98</v>
      </c>
    </row>
    <row r="10521" spans="1:10" x14ac:dyDescent="0.25">
      <c r="A10521">
        <v>11808</v>
      </c>
      <c r="B10521" t="s">
        <v>34280</v>
      </c>
      <c r="C10521">
        <v>437</v>
      </c>
      <c r="D10521">
        <v>570</v>
      </c>
      <c r="E10521">
        <v>1763166</v>
      </c>
      <c r="F10521">
        <v>5772</v>
      </c>
      <c r="G10521">
        <v>0</v>
      </c>
      <c r="H10521" t="s">
        <v>15433</v>
      </c>
      <c r="I10521">
        <v>11808</v>
      </c>
      <c r="J10521" t="str">
        <f>VLOOKUP(E10521,DSSpieler!A:B,2,FALSE)</f>
        <v>The Plague</v>
      </c>
    </row>
    <row r="10522" spans="1:10" x14ac:dyDescent="0.25">
      <c r="A10522">
        <v>11810</v>
      </c>
      <c r="B10522">
        <v>3</v>
      </c>
      <c r="C10522">
        <v>446</v>
      </c>
      <c r="D10522">
        <v>591</v>
      </c>
      <c r="E10522">
        <v>1133428</v>
      </c>
      <c r="F10522">
        <v>2353</v>
      </c>
      <c r="G10522">
        <v>0</v>
      </c>
      <c r="H10522" t="s">
        <v>15434</v>
      </c>
      <c r="I10522">
        <v>11810</v>
      </c>
      <c r="J10522" t="str">
        <f>VLOOKUP(E10522,DSSpieler!A:B,2,FALSE)</f>
        <v>Söni</v>
      </c>
    </row>
    <row r="10523" spans="1:10" x14ac:dyDescent="0.25">
      <c r="A10523">
        <v>11811</v>
      </c>
      <c r="B10523" t="s">
        <v>34281</v>
      </c>
      <c r="C10523">
        <v>527</v>
      </c>
      <c r="D10523">
        <v>579</v>
      </c>
      <c r="E10523">
        <v>8506623</v>
      </c>
      <c r="F10523">
        <v>3842</v>
      </c>
      <c r="G10523">
        <v>0</v>
      </c>
      <c r="H10523" t="s">
        <v>15435</v>
      </c>
      <c r="I10523">
        <v>11811</v>
      </c>
      <c r="J10523" t="str">
        <f>VLOOKUP(E10523,DSSpieler!A:B,2,FALSE)</f>
        <v>du Hirsch</v>
      </c>
    </row>
    <row r="10524" spans="1:10" x14ac:dyDescent="0.25">
      <c r="A10524">
        <v>11812</v>
      </c>
      <c r="B10524" t="s">
        <v>34282</v>
      </c>
      <c r="C10524">
        <v>605</v>
      </c>
      <c r="D10524">
        <v>531</v>
      </c>
      <c r="E10524">
        <v>1576612700</v>
      </c>
      <c r="F10524">
        <v>6313</v>
      </c>
      <c r="G10524">
        <v>0</v>
      </c>
      <c r="H10524" t="s">
        <v>15436</v>
      </c>
      <c r="I10524">
        <v>11812</v>
      </c>
      <c r="J10524" t="str">
        <f>VLOOKUP(E10524,DSSpieler!A:B,2,FALSE)</f>
        <v>Minusman</v>
      </c>
    </row>
    <row r="10525" spans="1:10" x14ac:dyDescent="0.25">
      <c r="A10525">
        <v>11814</v>
      </c>
      <c r="B10525" t="s">
        <v>1902</v>
      </c>
      <c r="C10525">
        <v>394</v>
      </c>
      <c r="D10525">
        <v>480</v>
      </c>
      <c r="E10525">
        <v>1577169553</v>
      </c>
      <c r="F10525">
        <v>5869</v>
      </c>
      <c r="G10525">
        <v>0</v>
      </c>
      <c r="H10525" t="s">
        <v>15437</v>
      </c>
      <c r="I10525">
        <v>11814</v>
      </c>
      <c r="J10525" t="str">
        <f>VLOOKUP(E10525,DSSpieler!A:B,2,FALSE)</f>
        <v>Paulipaul</v>
      </c>
    </row>
    <row r="10526" spans="1:10" x14ac:dyDescent="0.25">
      <c r="A10526">
        <v>11816</v>
      </c>
      <c r="B10526" t="s">
        <v>531</v>
      </c>
      <c r="C10526">
        <v>531</v>
      </c>
      <c r="D10526">
        <v>398</v>
      </c>
      <c r="E10526">
        <v>0</v>
      </c>
      <c r="F10526">
        <v>220</v>
      </c>
      <c r="G10526">
        <v>0</v>
      </c>
      <c r="H10526" t="s">
        <v>15438</v>
      </c>
      <c r="I10526">
        <v>11816</v>
      </c>
      <c r="J10526" t="e">
        <f>VLOOKUP(E10526,DSSpieler!A:B,2,FALSE)</f>
        <v>#N/A</v>
      </c>
    </row>
    <row r="10527" spans="1:10" x14ac:dyDescent="0.25">
      <c r="A10527">
        <v>11817</v>
      </c>
      <c r="B10527" t="s">
        <v>34283</v>
      </c>
      <c r="C10527">
        <v>495</v>
      </c>
      <c r="D10527">
        <v>605</v>
      </c>
      <c r="E10527">
        <v>1576450468</v>
      </c>
      <c r="F10527">
        <v>2240</v>
      </c>
      <c r="G10527">
        <v>0</v>
      </c>
      <c r="H10527" t="s">
        <v>15439</v>
      </c>
      <c r="I10527">
        <v>11817</v>
      </c>
      <c r="J10527" t="str">
        <f>VLOOKUP(E10527,DSSpieler!A:B,2,FALSE)</f>
        <v>b0nes</v>
      </c>
    </row>
    <row r="10528" spans="1:10" x14ac:dyDescent="0.25">
      <c r="A10528">
        <v>11818</v>
      </c>
      <c r="B10528" t="s">
        <v>34284</v>
      </c>
      <c r="C10528">
        <v>486</v>
      </c>
      <c r="D10528">
        <v>393</v>
      </c>
      <c r="E10528">
        <v>1576958271</v>
      </c>
      <c r="F10528">
        <v>3280</v>
      </c>
      <c r="G10528">
        <v>0</v>
      </c>
      <c r="H10528" t="s">
        <v>15440</v>
      </c>
      <c r="I10528">
        <v>11818</v>
      </c>
      <c r="J10528" t="str">
        <f>VLOOKUP(E10528,DSSpieler!A:B,2,FALSE)</f>
        <v>jogro00</v>
      </c>
    </row>
    <row r="10529" spans="1:10" x14ac:dyDescent="0.25">
      <c r="A10529">
        <v>11819</v>
      </c>
      <c r="B10529">
        <v>1903</v>
      </c>
      <c r="C10529">
        <v>591</v>
      </c>
      <c r="D10529">
        <v>439</v>
      </c>
      <c r="E10529">
        <v>1576728689</v>
      </c>
      <c r="F10529">
        <v>5958</v>
      </c>
      <c r="G10529">
        <v>0</v>
      </c>
      <c r="H10529" t="s">
        <v>15441</v>
      </c>
      <c r="I10529">
        <v>11819</v>
      </c>
      <c r="J10529" t="str">
        <f>VLOOKUP(E10529,DSSpieler!A:B,2,FALSE)</f>
        <v>KingKlooz</v>
      </c>
    </row>
    <row r="10530" spans="1:10" x14ac:dyDescent="0.25">
      <c r="A10530">
        <v>11820</v>
      </c>
      <c r="B10530" t="s">
        <v>30582</v>
      </c>
      <c r="C10530">
        <v>472</v>
      </c>
      <c r="D10530">
        <v>601</v>
      </c>
      <c r="E10530">
        <v>1577174726</v>
      </c>
      <c r="F10530">
        <v>6379</v>
      </c>
      <c r="G10530">
        <v>0</v>
      </c>
      <c r="H10530" t="s">
        <v>15442</v>
      </c>
      <c r="I10530">
        <v>11820</v>
      </c>
      <c r="J10530" t="str">
        <f>VLOOKUP(E10530,DSSpieler!A:B,2,FALSE)</f>
        <v>Nevada.vP</v>
      </c>
    </row>
    <row r="10531" spans="1:10" x14ac:dyDescent="0.25">
      <c r="A10531">
        <v>11822</v>
      </c>
      <c r="B10531" t="s">
        <v>34285</v>
      </c>
      <c r="C10531">
        <v>602</v>
      </c>
      <c r="D10531">
        <v>538</v>
      </c>
      <c r="E10531">
        <v>1577010730</v>
      </c>
      <c r="F10531">
        <v>6256</v>
      </c>
      <c r="G10531">
        <v>0</v>
      </c>
      <c r="H10531" t="s">
        <v>15443</v>
      </c>
      <c r="I10531">
        <v>11822</v>
      </c>
      <c r="J10531" t="str">
        <f>VLOOKUP(E10531,DSSpieler!A:B,2,FALSE)</f>
        <v>Mongogriepsch</v>
      </c>
    </row>
    <row r="10532" spans="1:10" x14ac:dyDescent="0.25">
      <c r="A10532">
        <v>11823</v>
      </c>
      <c r="B10532" t="s">
        <v>531</v>
      </c>
      <c r="C10532">
        <v>606</v>
      </c>
      <c r="D10532">
        <v>494</v>
      </c>
      <c r="E10532">
        <v>0</v>
      </c>
      <c r="F10532">
        <v>479</v>
      </c>
      <c r="G10532">
        <v>0</v>
      </c>
      <c r="H10532" t="s">
        <v>15444</v>
      </c>
      <c r="I10532">
        <v>11823</v>
      </c>
      <c r="J10532" t="e">
        <f>VLOOKUP(E10532,DSSpieler!A:B,2,FALSE)</f>
        <v>#N/A</v>
      </c>
    </row>
    <row r="10533" spans="1:10" x14ac:dyDescent="0.25">
      <c r="A10533">
        <v>11824</v>
      </c>
      <c r="B10533" t="s">
        <v>34286</v>
      </c>
      <c r="C10533">
        <v>478</v>
      </c>
      <c r="D10533">
        <v>593</v>
      </c>
      <c r="E10533">
        <v>1577153052</v>
      </c>
      <c r="F10533">
        <v>1922</v>
      </c>
      <c r="G10533">
        <v>0</v>
      </c>
      <c r="H10533" t="s">
        <v>15445</v>
      </c>
      <c r="I10533">
        <v>11824</v>
      </c>
      <c r="J10533" t="str">
        <f>VLOOKUP(E10533,DSSpieler!A:B,2,FALSE)</f>
        <v>Schatten99</v>
      </c>
    </row>
    <row r="10534" spans="1:10" x14ac:dyDescent="0.25">
      <c r="A10534">
        <v>11825</v>
      </c>
      <c r="B10534" t="s">
        <v>34287</v>
      </c>
      <c r="C10534">
        <v>586</v>
      </c>
      <c r="D10534">
        <v>432</v>
      </c>
      <c r="E10534">
        <v>9795764</v>
      </c>
      <c r="F10534">
        <v>3081</v>
      </c>
      <c r="G10534">
        <v>0</v>
      </c>
      <c r="H10534" t="s">
        <v>15446</v>
      </c>
      <c r="I10534">
        <v>11825</v>
      </c>
      <c r="J10534" t="str">
        <f>VLOOKUP(E10534,DSSpieler!A:B,2,FALSE)</f>
        <v>Juventino96</v>
      </c>
    </row>
    <row r="10535" spans="1:10" x14ac:dyDescent="0.25">
      <c r="A10535">
        <v>11826</v>
      </c>
      <c r="B10535" t="s">
        <v>2073</v>
      </c>
      <c r="C10535">
        <v>605</v>
      </c>
      <c r="D10535">
        <v>519</v>
      </c>
      <c r="E10535">
        <v>1577196896</v>
      </c>
      <c r="F10535">
        <v>5799</v>
      </c>
      <c r="G10535">
        <v>0</v>
      </c>
      <c r="H10535" t="s">
        <v>15447</v>
      </c>
      <c r="I10535">
        <v>11826</v>
      </c>
      <c r="J10535" t="str">
        <f>VLOOKUP(E10535,DSSpieler!A:B,2,FALSE)</f>
        <v>Aarminius</v>
      </c>
    </row>
    <row r="10536" spans="1:10" x14ac:dyDescent="0.25">
      <c r="A10536">
        <v>11828</v>
      </c>
      <c r="B10536" t="s">
        <v>531</v>
      </c>
      <c r="C10536">
        <v>528</v>
      </c>
      <c r="D10536">
        <v>396</v>
      </c>
      <c r="E10536">
        <v>0</v>
      </c>
      <c r="F10536">
        <v>372</v>
      </c>
      <c r="G10536">
        <v>0</v>
      </c>
      <c r="H10536" t="s">
        <v>15448</v>
      </c>
      <c r="I10536">
        <v>11828</v>
      </c>
      <c r="J10536" t="e">
        <f>VLOOKUP(E10536,DSSpieler!A:B,2,FALSE)</f>
        <v>#N/A</v>
      </c>
    </row>
    <row r="10537" spans="1:10" x14ac:dyDescent="0.25">
      <c r="A10537">
        <v>11829</v>
      </c>
      <c r="B10537" t="s">
        <v>2074</v>
      </c>
      <c r="C10537">
        <v>571</v>
      </c>
      <c r="D10537">
        <v>580</v>
      </c>
      <c r="E10537">
        <v>9145635</v>
      </c>
      <c r="F10537">
        <v>4352</v>
      </c>
      <c r="G10537">
        <v>0</v>
      </c>
      <c r="H10537" t="s">
        <v>15449</v>
      </c>
      <c r="I10537">
        <v>11829</v>
      </c>
      <c r="J10537" t="str">
        <f>VLOOKUP(E10537,DSSpieler!A:B,2,FALSE)</f>
        <v>klo3b</v>
      </c>
    </row>
    <row r="10538" spans="1:10" x14ac:dyDescent="0.25">
      <c r="A10538">
        <v>11831</v>
      </c>
      <c r="B10538" t="s">
        <v>33666</v>
      </c>
      <c r="C10538">
        <v>481</v>
      </c>
      <c r="D10538">
        <v>420</v>
      </c>
      <c r="E10538">
        <v>1576057331</v>
      </c>
      <c r="F10538">
        <v>5714</v>
      </c>
      <c r="G10538">
        <v>0</v>
      </c>
      <c r="H10538" t="s">
        <v>15450</v>
      </c>
      <c r="I10538">
        <v>11831</v>
      </c>
      <c r="J10538" t="str">
        <f>VLOOKUP(E10538,DSSpieler!A:B,2,FALSE)</f>
        <v>baarbratings</v>
      </c>
    </row>
    <row r="10539" spans="1:10" x14ac:dyDescent="0.25">
      <c r="A10539">
        <v>11832</v>
      </c>
      <c r="B10539" t="s">
        <v>2075</v>
      </c>
      <c r="C10539">
        <v>590</v>
      </c>
      <c r="D10539">
        <v>434</v>
      </c>
      <c r="E10539">
        <v>1577198926</v>
      </c>
      <c r="F10539">
        <v>3104</v>
      </c>
      <c r="G10539">
        <v>0</v>
      </c>
      <c r="H10539" t="s">
        <v>15451</v>
      </c>
      <c r="I10539">
        <v>11832</v>
      </c>
      <c r="J10539" t="str">
        <f>VLOOKUP(E10539,DSSpieler!A:B,2,FALSE)</f>
        <v>derhaendler</v>
      </c>
    </row>
    <row r="10540" spans="1:10" x14ac:dyDescent="0.25">
      <c r="A10540">
        <v>11833</v>
      </c>
      <c r="B10540" t="s">
        <v>531</v>
      </c>
      <c r="C10540">
        <v>411</v>
      </c>
      <c r="D10540">
        <v>552</v>
      </c>
      <c r="E10540">
        <v>0</v>
      </c>
      <c r="F10540">
        <v>307</v>
      </c>
      <c r="G10540">
        <v>0</v>
      </c>
      <c r="H10540" t="s">
        <v>15452</v>
      </c>
      <c r="I10540">
        <v>11833</v>
      </c>
      <c r="J10540" t="e">
        <f>VLOOKUP(E10540,DSSpieler!A:B,2,FALSE)</f>
        <v>#N/A</v>
      </c>
    </row>
    <row r="10541" spans="1:10" x14ac:dyDescent="0.25">
      <c r="A10541">
        <v>11834</v>
      </c>
      <c r="B10541" t="s">
        <v>780</v>
      </c>
      <c r="C10541">
        <v>601</v>
      </c>
      <c r="D10541">
        <v>540</v>
      </c>
      <c r="E10541">
        <v>8645048</v>
      </c>
      <c r="F10541">
        <v>6429</v>
      </c>
      <c r="G10541">
        <v>0</v>
      </c>
      <c r="H10541" t="s">
        <v>15453</v>
      </c>
      <c r="I10541">
        <v>11834</v>
      </c>
      <c r="J10541" t="str">
        <f>VLOOKUP(E10541,DSSpieler!A:B,2,FALSE)</f>
        <v>HeinBlöd</v>
      </c>
    </row>
    <row r="10542" spans="1:10" x14ac:dyDescent="0.25">
      <c r="A10542">
        <v>11835</v>
      </c>
      <c r="B10542" t="s">
        <v>2076</v>
      </c>
      <c r="C10542">
        <v>608</v>
      </c>
      <c r="D10542">
        <v>517</v>
      </c>
      <c r="E10542">
        <v>1577165040</v>
      </c>
      <c r="F10542">
        <v>1511</v>
      </c>
      <c r="G10542">
        <v>0</v>
      </c>
      <c r="H10542" t="s">
        <v>15454</v>
      </c>
      <c r="I10542">
        <v>11835</v>
      </c>
      <c r="J10542" t="str">
        <f>VLOOKUP(E10542,DSSpieler!A:B,2,FALSE)</f>
        <v>Romero</v>
      </c>
    </row>
    <row r="10543" spans="1:10" x14ac:dyDescent="0.25">
      <c r="A10543">
        <v>11837</v>
      </c>
      <c r="B10543" t="s">
        <v>780</v>
      </c>
      <c r="C10543">
        <v>612</v>
      </c>
      <c r="D10543">
        <v>513</v>
      </c>
      <c r="E10543">
        <v>1577133527</v>
      </c>
      <c r="F10543">
        <v>9131</v>
      </c>
      <c r="G10543">
        <v>0</v>
      </c>
      <c r="H10543" t="s">
        <v>15455</v>
      </c>
      <c r="I10543">
        <v>11837</v>
      </c>
      <c r="J10543" t="str">
        <f>VLOOKUP(E10543,DSSpieler!A:B,2,FALSE)</f>
        <v>Joah Theron</v>
      </c>
    </row>
    <row r="10544" spans="1:10" x14ac:dyDescent="0.25">
      <c r="A10544">
        <v>11838</v>
      </c>
      <c r="B10544" t="s">
        <v>2077</v>
      </c>
      <c r="C10544">
        <v>606</v>
      </c>
      <c r="D10544">
        <v>546</v>
      </c>
      <c r="E10544">
        <v>1577123742</v>
      </c>
      <c r="F10544">
        <v>8240</v>
      </c>
      <c r="G10544">
        <v>0</v>
      </c>
      <c r="H10544" t="s">
        <v>15456</v>
      </c>
      <c r="I10544">
        <v>11838</v>
      </c>
      <c r="J10544" t="str">
        <f>VLOOKUP(E10544,DSSpieler!A:B,2,FALSE)</f>
        <v>KäptnBlaubär</v>
      </c>
    </row>
    <row r="10545" spans="1:10" x14ac:dyDescent="0.25">
      <c r="A10545">
        <v>11839</v>
      </c>
      <c r="B10545" t="s">
        <v>780</v>
      </c>
      <c r="C10545">
        <v>608</v>
      </c>
      <c r="D10545">
        <v>529</v>
      </c>
      <c r="E10545">
        <v>1577162986</v>
      </c>
      <c r="F10545">
        <v>7221</v>
      </c>
      <c r="G10545">
        <v>0</v>
      </c>
      <c r="H10545" t="s">
        <v>15457</v>
      </c>
      <c r="I10545">
        <v>11839</v>
      </c>
      <c r="J10545" t="str">
        <f>VLOOKUP(E10545,DSSpieler!A:B,2,FALSE)</f>
        <v>Imperator Baked</v>
      </c>
    </row>
    <row r="10546" spans="1:10" x14ac:dyDescent="0.25">
      <c r="A10546">
        <v>11840</v>
      </c>
      <c r="B10546" t="s">
        <v>531</v>
      </c>
      <c r="C10546">
        <v>585</v>
      </c>
      <c r="D10546">
        <v>436</v>
      </c>
      <c r="E10546">
        <v>0</v>
      </c>
      <c r="F10546">
        <v>427</v>
      </c>
      <c r="G10546">
        <v>0</v>
      </c>
      <c r="H10546" t="s">
        <v>15458</v>
      </c>
      <c r="I10546">
        <v>11840</v>
      </c>
      <c r="J10546" t="e">
        <f>VLOOKUP(E10546,DSSpieler!A:B,2,FALSE)</f>
        <v>#N/A</v>
      </c>
    </row>
    <row r="10547" spans="1:10" x14ac:dyDescent="0.25">
      <c r="A10547">
        <v>11841</v>
      </c>
      <c r="B10547" t="s">
        <v>2078</v>
      </c>
      <c r="C10547">
        <v>605</v>
      </c>
      <c r="D10547">
        <v>539</v>
      </c>
      <c r="E10547">
        <v>1577010730</v>
      </c>
      <c r="F10547">
        <v>6257</v>
      </c>
      <c r="G10547">
        <v>0</v>
      </c>
      <c r="H10547" t="s">
        <v>15459</v>
      </c>
      <c r="I10547">
        <v>11841</v>
      </c>
      <c r="J10547" t="str">
        <f>VLOOKUP(E10547,DSSpieler!A:B,2,FALSE)</f>
        <v>Mongogriepsch</v>
      </c>
    </row>
    <row r="10548" spans="1:10" x14ac:dyDescent="0.25">
      <c r="A10548">
        <v>11842</v>
      </c>
      <c r="B10548" t="s">
        <v>780</v>
      </c>
      <c r="C10548">
        <v>605</v>
      </c>
      <c r="D10548">
        <v>547</v>
      </c>
      <c r="E10548">
        <v>1577070025</v>
      </c>
      <c r="F10548">
        <v>9011</v>
      </c>
      <c r="G10548">
        <v>0</v>
      </c>
      <c r="H10548" t="s">
        <v>15460</v>
      </c>
      <c r="I10548">
        <v>11842</v>
      </c>
      <c r="J10548" t="str">
        <f>VLOOKUP(E10548,DSSpieler!A:B,2,FALSE)</f>
        <v>SteveIRL07</v>
      </c>
    </row>
    <row r="10549" spans="1:10" x14ac:dyDescent="0.25">
      <c r="A10549">
        <v>11843</v>
      </c>
      <c r="B10549" t="s">
        <v>780</v>
      </c>
      <c r="C10549">
        <v>605</v>
      </c>
      <c r="D10549">
        <v>515</v>
      </c>
      <c r="E10549">
        <v>1577177113</v>
      </c>
      <c r="F10549">
        <v>8741</v>
      </c>
      <c r="G10549">
        <v>0</v>
      </c>
      <c r="H10549" t="s">
        <v>15461</v>
      </c>
      <c r="I10549">
        <v>11843</v>
      </c>
      <c r="J10549" t="str">
        <f>VLOOKUP(E10549,DSSpieler!A:B,2,FALSE)</f>
        <v>Bulk Biceps</v>
      </c>
    </row>
    <row r="10550" spans="1:10" x14ac:dyDescent="0.25">
      <c r="A10550">
        <v>11844</v>
      </c>
      <c r="B10550" t="s">
        <v>780</v>
      </c>
      <c r="C10550">
        <v>604</v>
      </c>
      <c r="D10550">
        <v>514</v>
      </c>
      <c r="E10550">
        <v>1577195219</v>
      </c>
      <c r="F10550">
        <v>8540</v>
      </c>
      <c r="G10550">
        <v>0</v>
      </c>
      <c r="H10550" t="s">
        <v>15462</v>
      </c>
      <c r="I10550">
        <v>11844</v>
      </c>
      <c r="J10550" t="str">
        <f>VLOOKUP(E10550,DSSpieler!A:B,2,FALSE)</f>
        <v>Eric Cartman</v>
      </c>
    </row>
    <row r="10551" spans="1:10" x14ac:dyDescent="0.25">
      <c r="A10551">
        <v>11845</v>
      </c>
      <c r="B10551" t="s">
        <v>780</v>
      </c>
      <c r="C10551">
        <v>608</v>
      </c>
      <c r="D10551">
        <v>543</v>
      </c>
      <c r="E10551">
        <v>1577163330</v>
      </c>
      <c r="F10551">
        <v>7669</v>
      </c>
      <c r="G10551">
        <v>0</v>
      </c>
      <c r="H10551" t="s">
        <v>15463</v>
      </c>
      <c r="I10551">
        <v>11845</v>
      </c>
      <c r="J10551" t="str">
        <f>VLOOKUP(E10551,DSSpieler!A:B,2,FALSE)</f>
        <v>Iscoo</v>
      </c>
    </row>
    <row r="10552" spans="1:10" x14ac:dyDescent="0.25">
      <c r="A10552">
        <v>11847</v>
      </c>
      <c r="B10552" t="s">
        <v>780</v>
      </c>
      <c r="C10552">
        <v>614</v>
      </c>
      <c r="D10552">
        <v>528</v>
      </c>
      <c r="E10552">
        <v>1576221095</v>
      </c>
      <c r="F10552">
        <v>7809</v>
      </c>
      <c r="G10552">
        <v>0</v>
      </c>
      <c r="H10552" t="s">
        <v>15464</v>
      </c>
      <c r="I10552">
        <v>11847</v>
      </c>
      <c r="J10552" t="str">
        <f>VLOOKUP(E10552,DSSpieler!A:B,2,FALSE)</f>
        <v>WarumDefen?</v>
      </c>
    </row>
    <row r="10553" spans="1:10" x14ac:dyDescent="0.25">
      <c r="A10553">
        <v>11848</v>
      </c>
      <c r="B10553" t="s">
        <v>531</v>
      </c>
      <c r="C10553">
        <v>401</v>
      </c>
      <c r="D10553">
        <v>464</v>
      </c>
      <c r="E10553">
        <v>0</v>
      </c>
      <c r="F10553">
        <v>298</v>
      </c>
      <c r="G10553">
        <v>0</v>
      </c>
      <c r="H10553" t="s">
        <v>15465</v>
      </c>
      <c r="I10553">
        <v>11848</v>
      </c>
      <c r="J10553" t="e">
        <f>VLOOKUP(E10553,DSSpieler!A:B,2,FALSE)</f>
        <v>#N/A</v>
      </c>
    </row>
    <row r="10554" spans="1:10" x14ac:dyDescent="0.25">
      <c r="A10554">
        <v>11850</v>
      </c>
      <c r="B10554" t="s">
        <v>34288</v>
      </c>
      <c r="C10554">
        <v>440</v>
      </c>
      <c r="D10554">
        <v>415</v>
      </c>
      <c r="E10554">
        <v>1577190002</v>
      </c>
      <c r="F10554">
        <v>6285</v>
      </c>
      <c r="G10554">
        <v>0</v>
      </c>
      <c r="H10554" t="s">
        <v>15466</v>
      </c>
      <c r="I10554">
        <v>11850</v>
      </c>
      <c r="J10554" t="str">
        <f>VLOOKUP(E10554,DSSpieler!A:B,2,FALSE)</f>
        <v>FürstVelten</v>
      </c>
    </row>
    <row r="10555" spans="1:10" x14ac:dyDescent="0.25">
      <c r="A10555">
        <v>11851</v>
      </c>
      <c r="B10555" t="s">
        <v>531</v>
      </c>
      <c r="C10555">
        <v>588</v>
      </c>
      <c r="D10555">
        <v>437</v>
      </c>
      <c r="E10555">
        <v>0</v>
      </c>
      <c r="F10555">
        <v>176</v>
      </c>
      <c r="G10555">
        <v>0</v>
      </c>
      <c r="H10555" t="s">
        <v>15467</v>
      </c>
      <c r="I10555">
        <v>11851</v>
      </c>
      <c r="J10555" t="e">
        <f>VLOOKUP(E10555,DSSpieler!A:B,2,FALSE)</f>
        <v>#N/A</v>
      </c>
    </row>
    <row r="10556" spans="1:10" x14ac:dyDescent="0.25">
      <c r="A10556">
        <v>11853</v>
      </c>
      <c r="B10556" t="s">
        <v>31093</v>
      </c>
      <c r="C10556">
        <v>605</v>
      </c>
      <c r="D10556">
        <v>538</v>
      </c>
      <c r="E10556">
        <v>1577163397</v>
      </c>
      <c r="F10556">
        <v>6583</v>
      </c>
      <c r="G10556">
        <v>0</v>
      </c>
      <c r="H10556" t="s">
        <v>15468</v>
      </c>
      <c r="I10556">
        <v>11853</v>
      </c>
      <c r="J10556" t="str">
        <f>VLOOKUP(E10556,DSSpieler!A:B,2,FALSE)</f>
        <v>derBabadook</v>
      </c>
    </row>
    <row r="10557" spans="1:10" x14ac:dyDescent="0.25">
      <c r="A10557">
        <v>11854</v>
      </c>
      <c r="B10557" t="s">
        <v>31977</v>
      </c>
      <c r="C10557">
        <v>565</v>
      </c>
      <c r="D10557">
        <v>416</v>
      </c>
      <c r="E10557">
        <v>3130049</v>
      </c>
      <c r="F10557">
        <v>5279</v>
      </c>
      <c r="G10557">
        <v>0</v>
      </c>
      <c r="H10557" t="s">
        <v>15469</v>
      </c>
      <c r="I10557">
        <v>11854</v>
      </c>
      <c r="J10557" t="str">
        <f>VLOOKUP(E10557,DSSpieler!A:B,2,FALSE)</f>
        <v>crazy1206</v>
      </c>
    </row>
    <row r="10558" spans="1:10" x14ac:dyDescent="0.25">
      <c r="A10558">
        <v>11855</v>
      </c>
      <c r="B10558" t="s">
        <v>34289</v>
      </c>
      <c r="C10558">
        <v>602</v>
      </c>
      <c r="D10558">
        <v>465</v>
      </c>
      <c r="E10558">
        <v>1577195698</v>
      </c>
      <c r="F10558">
        <v>1496</v>
      </c>
      <c r="G10558">
        <v>0</v>
      </c>
      <c r="H10558" t="s">
        <v>15470</v>
      </c>
      <c r="I10558">
        <v>11855</v>
      </c>
      <c r="J10558" t="str">
        <f>VLOOKUP(E10558,DSSpieler!A:B,2,FALSE)</f>
        <v>Tiramisu</v>
      </c>
    </row>
    <row r="10559" spans="1:10" x14ac:dyDescent="0.25">
      <c r="A10559">
        <v>11856</v>
      </c>
      <c r="B10559" t="s">
        <v>780</v>
      </c>
      <c r="C10559">
        <v>614</v>
      </c>
      <c r="D10559">
        <v>520</v>
      </c>
      <c r="E10559">
        <v>1576110914</v>
      </c>
      <c r="F10559">
        <v>7446</v>
      </c>
      <c r="G10559">
        <v>0</v>
      </c>
      <c r="H10559" t="s">
        <v>15471</v>
      </c>
      <c r="I10559">
        <v>11856</v>
      </c>
      <c r="J10559" t="str">
        <f>VLOOKUP(E10559,DSSpieler!A:B,2,FALSE)</f>
        <v>Graf Sinus</v>
      </c>
    </row>
    <row r="10560" spans="1:10" x14ac:dyDescent="0.25">
      <c r="A10560">
        <v>11858</v>
      </c>
      <c r="B10560" t="s">
        <v>531</v>
      </c>
      <c r="C10560">
        <v>611</v>
      </c>
      <c r="D10560">
        <v>514</v>
      </c>
      <c r="E10560">
        <v>0</v>
      </c>
      <c r="F10560">
        <v>657</v>
      </c>
      <c r="G10560">
        <v>0</v>
      </c>
      <c r="H10560" t="s">
        <v>15472</v>
      </c>
      <c r="I10560">
        <v>11858</v>
      </c>
      <c r="J10560" t="e">
        <f>VLOOKUP(E10560,DSSpieler!A:B,2,FALSE)</f>
        <v>#N/A</v>
      </c>
    </row>
    <row r="10561" spans="1:10" x14ac:dyDescent="0.25">
      <c r="A10561">
        <v>11859</v>
      </c>
      <c r="B10561" t="s">
        <v>780</v>
      </c>
      <c r="C10561">
        <v>611</v>
      </c>
      <c r="D10561">
        <v>532</v>
      </c>
      <c r="E10561">
        <v>1576939408</v>
      </c>
      <c r="F10561">
        <v>7934</v>
      </c>
      <c r="G10561">
        <v>0</v>
      </c>
      <c r="H10561" t="s">
        <v>15473</v>
      </c>
      <c r="I10561">
        <v>11859</v>
      </c>
      <c r="J10561" t="str">
        <f>VLOOKUP(E10561,DSSpieler!A:B,2,FALSE)</f>
        <v>Der Blauadler</v>
      </c>
    </row>
    <row r="10562" spans="1:10" x14ac:dyDescent="0.25">
      <c r="A10562">
        <v>11860</v>
      </c>
      <c r="B10562" t="s">
        <v>780</v>
      </c>
      <c r="C10562">
        <v>603</v>
      </c>
      <c r="D10562">
        <v>544</v>
      </c>
      <c r="E10562">
        <v>1577163330</v>
      </c>
      <c r="F10562">
        <v>7218</v>
      </c>
      <c r="G10562">
        <v>0</v>
      </c>
      <c r="H10562" t="s">
        <v>15474</v>
      </c>
      <c r="I10562">
        <v>11860</v>
      </c>
      <c r="J10562" t="str">
        <f>VLOOKUP(E10562,DSSpieler!A:B,2,FALSE)</f>
        <v>Iscoo</v>
      </c>
    </row>
    <row r="10563" spans="1:10" x14ac:dyDescent="0.25">
      <c r="A10563">
        <v>11861</v>
      </c>
      <c r="B10563" t="s">
        <v>780</v>
      </c>
      <c r="C10563">
        <v>612</v>
      </c>
      <c r="D10563">
        <v>527</v>
      </c>
      <c r="E10563">
        <v>1577162986</v>
      </c>
      <c r="F10563">
        <v>7422</v>
      </c>
      <c r="G10563">
        <v>0</v>
      </c>
      <c r="H10563" t="s">
        <v>15475</v>
      </c>
      <c r="I10563">
        <v>11861</v>
      </c>
      <c r="J10563" t="str">
        <f>VLOOKUP(E10563,DSSpieler!A:B,2,FALSE)</f>
        <v>Imperator Baked</v>
      </c>
    </row>
    <row r="10564" spans="1:10" x14ac:dyDescent="0.25">
      <c r="A10564">
        <v>11862</v>
      </c>
      <c r="B10564" t="s">
        <v>2079</v>
      </c>
      <c r="C10564">
        <v>597</v>
      </c>
      <c r="D10564">
        <v>539</v>
      </c>
      <c r="E10564">
        <v>2926532</v>
      </c>
      <c r="F10564">
        <v>6959</v>
      </c>
      <c r="G10564">
        <v>0</v>
      </c>
      <c r="H10564" t="s">
        <v>15476</v>
      </c>
      <c r="I10564">
        <v>11862</v>
      </c>
      <c r="J10564" t="str">
        <f>VLOOKUP(E10564,DSSpieler!A:B,2,FALSE)</f>
        <v>Mattyzero</v>
      </c>
    </row>
    <row r="10565" spans="1:10" x14ac:dyDescent="0.25">
      <c r="A10565">
        <v>11863</v>
      </c>
      <c r="B10565" t="s">
        <v>531</v>
      </c>
      <c r="C10565">
        <v>604</v>
      </c>
      <c r="D10565">
        <v>516</v>
      </c>
      <c r="E10565">
        <v>0</v>
      </c>
      <c r="F10565">
        <v>466</v>
      </c>
      <c r="G10565">
        <v>0</v>
      </c>
      <c r="H10565" t="s">
        <v>15477</v>
      </c>
      <c r="I10565">
        <v>11863</v>
      </c>
      <c r="J10565" t="e">
        <f>VLOOKUP(E10565,DSSpieler!A:B,2,FALSE)</f>
        <v>#N/A</v>
      </c>
    </row>
    <row r="10566" spans="1:10" x14ac:dyDescent="0.25">
      <c r="A10566">
        <v>11864</v>
      </c>
      <c r="B10566" t="s">
        <v>531</v>
      </c>
      <c r="C10566">
        <v>550</v>
      </c>
      <c r="D10566">
        <v>409</v>
      </c>
      <c r="E10566">
        <v>0</v>
      </c>
      <c r="F10566">
        <v>140</v>
      </c>
      <c r="G10566">
        <v>0</v>
      </c>
      <c r="H10566" t="s">
        <v>15478</v>
      </c>
      <c r="I10566">
        <v>11864</v>
      </c>
      <c r="J10566" t="e">
        <f>VLOOKUP(E10566,DSSpieler!A:B,2,FALSE)</f>
        <v>#N/A</v>
      </c>
    </row>
    <row r="10567" spans="1:10" x14ac:dyDescent="0.25">
      <c r="A10567">
        <v>11865</v>
      </c>
      <c r="B10567" t="s">
        <v>531</v>
      </c>
      <c r="C10567">
        <v>596</v>
      </c>
      <c r="D10567">
        <v>449</v>
      </c>
      <c r="E10567">
        <v>0</v>
      </c>
      <c r="F10567">
        <v>461</v>
      </c>
      <c r="G10567">
        <v>0</v>
      </c>
      <c r="H10567" t="s">
        <v>15479</v>
      </c>
      <c r="I10567">
        <v>11865</v>
      </c>
      <c r="J10567" t="e">
        <f>VLOOKUP(E10567,DSSpieler!A:B,2,FALSE)</f>
        <v>#N/A</v>
      </c>
    </row>
    <row r="10568" spans="1:10" x14ac:dyDescent="0.25">
      <c r="A10568">
        <v>11866</v>
      </c>
      <c r="B10568" t="s">
        <v>780</v>
      </c>
      <c r="C10568">
        <v>609</v>
      </c>
      <c r="D10568">
        <v>528</v>
      </c>
      <c r="E10568">
        <v>1576341416</v>
      </c>
      <c r="F10568">
        <v>7116</v>
      </c>
      <c r="G10568">
        <v>0</v>
      </c>
      <c r="H10568" t="s">
        <v>15480</v>
      </c>
      <c r="I10568">
        <v>11866</v>
      </c>
      <c r="J10568" t="str">
        <f>VLOOKUP(E10568,DSSpieler!A:B,2,FALSE)</f>
        <v>Zahltag4u</v>
      </c>
    </row>
    <row r="10569" spans="1:10" x14ac:dyDescent="0.25">
      <c r="A10569">
        <v>11867</v>
      </c>
      <c r="B10569" t="s">
        <v>531</v>
      </c>
      <c r="C10569">
        <v>464</v>
      </c>
      <c r="D10569">
        <v>402</v>
      </c>
      <c r="E10569">
        <v>0</v>
      </c>
      <c r="F10569">
        <v>283</v>
      </c>
      <c r="G10569">
        <v>0</v>
      </c>
      <c r="H10569" t="s">
        <v>15481</v>
      </c>
      <c r="I10569">
        <v>11867</v>
      </c>
      <c r="J10569" t="e">
        <f>VLOOKUP(E10569,DSSpieler!A:B,2,FALSE)</f>
        <v>#N/A</v>
      </c>
    </row>
    <row r="10570" spans="1:10" x14ac:dyDescent="0.25">
      <c r="A10570">
        <v>11868</v>
      </c>
      <c r="B10570" t="s">
        <v>2080</v>
      </c>
      <c r="C10570">
        <v>584</v>
      </c>
      <c r="D10570">
        <v>432</v>
      </c>
      <c r="E10570">
        <v>1577165540</v>
      </c>
      <c r="F10570">
        <v>3610</v>
      </c>
      <c r="G10570">
        <v>0</v>
      </c>
      <c r="H10570" t="s">
        <v>15482</v>
      </c>
      <c r="I10570">
        <v>11868</v>
      </c>
      <c r="J10570" t="str">
        <f>VLOOKUP(E10570,DSSpieler!A:B,2,FALSE)</f>
        <v>EyLeude</v>
      </c>
    </row>
    <row r="10571" spans="1:10" x14ac:dyDescent="0.25">
      <c r="A10571">
        <v>11869</v>
      </c>
      <c r="B10571" t="s">
        <v>780</v>
      </c>
      <c r="C10571">
        <v>598</v>
      </c>
      <c r="D10571">
        <v>525</v>
      </c>
      <c r="E10571">
        <v>1577162986</v>
      </c>
      <c r="F10571">
        <v>6067</v>
      </c>
      <c r="G10571">
        <v>0</v>
      </c>
      <c r="H10571" t="s">
        <v>15483</v>
      </c>
      <c r="I10571">
        <v>11869</v>
      </c>
      <c r="J10571" t="str">
        <f>VLOOKUP(E10571,DSSpieler!A:B,2,FALSE)</f>
        <v>Imperator Baked</v>
      </c>
    </row>
    <row r="10572" spans="1:10" x14ac:dyDescent="0.25">
      <c r="A10572">
        <v>11870</v>
      </c>
      <c r="B10572" t="s">
        <v>780</v>
      </c>
      <c r="C10572">
        <v>603</v>
      </c>
      <c r="D10572">
        <v>523</v>
      </c>
      <c r="E10572">
        <v>9656187</v>
      </c>
      <c r="F10572">
        <v>6278</v>
      </c>
      <c r="G10572">
        <v>0</v>
      </c>
      <c r="H10572" t="s">
        <v>15484</v>
      </c>
      <c r="I10572">
        <v>11870</v>
      </c>
      <c r="J10572" t="str">
        <f>VLOOKUP(E10572,DSSpieler!A:B,2,FALSE)</f>
        <v>wer du</v>
      </c>
    </row>
    <row r="10573" spans="1:10" x14ac:dyDescent="0.25">
      <c r="A10573">
        <v>11871</v>
      </c>
      <c r="B10573" t="s">
        <v>531</v>
      </c>
      <c r="C10573">
        <v>478</v>
      </c>
      <c r="D10573">
        <v>603</v>
      </c>
      <c r="E10573">
        <v>0</v>
      </c>
      <c r="F10573">
        <v>259</v>
      </c>
      <c r="G10573">
        <v>0</v>
      </c>
      <c r="H10573" t="s">
        <v>15485</v>
      </c>
      <c r="I10573">
        <v>11871</v>
      </c>
      <c r="J10573" t="e">
        <f>VLOOKUP(E10573,DSSpieler!A:B,2,FALSE)</f>
        <v>#N/A</v>
      </c>
    </row>
    <row r="10574" spans="1:10" x14ac:dyDescent="0.25">
      <c r="A10574">
        <v>11872</v>
      </c>
      <c r="B10574">
        <v>1</v>
      </c>
      <c r="C10574">
        <v>562</v>
      </c>
      <c r="D10574">
        <v>570</v>
      </c>
      <c r="E10574">
        <v>1577198934</v>
      </c>
      <c r="F10574">
        <v>4981</v>
      </c>
      <c r="G10574">
        <v>0</v>
      </c>
      <c r="H10574" t="s">
        <v>15486</v>
      </c>
      <c r="I10574">
        <v>11872</v>
      </c>
      <c r="J10574" t="str">
        <f>VLOOKUP(E10574,DSSpieler!A:B,2,FALSE)</f>
        <v>ReKros</v>
      </c>
    </row>
    <row r="10575" spans="1:10" x14ac:dyDescent="0.25">
      <c r="A10575">
        <v>11873</v>
      </c>
      <c r="B10575" t="s">
        <v>531</v>
      </c>
      <c r="C10575">
        <v>587</v>
      </c>
      <c r="D10575">
        <v>563</v>
      </c>
      <c r="E10575">
        <v>0</v>
      </c>
      <c r="F10575">
        <v>324</v>
      </c>
      <c r="G10575">
        <v>0</v>
      </c>
      <c r="H10575" t="s">
        <v>15487</v>
      </c>
      <c r="I10575">
        <v>11873</v>
      </c>
      <c r="J10575" t="e">
        <f>VLOOKUP(E10575,DSSpieler!A:B,2,FALSE)</f>
        <v>#N/A</v>
      </c>
    </row>
    <row r="10576" spans="1:10" x14ac:dyDescent="0.25">
      <c r="A10576">
        <v>11875</v>
      </c>
      <c r="B10576" t="s">
        <v>531</v>
      </c>
      <c r="C10576">
        <v>591</v>
      </c>
      <c r="D10576">
        <v>450</v>
      </c>
      <c r="E10576">
        <v>0</v>
      </c>
      <c r="F10576">
        <v>528</v>
      </c>
      <c r="G10576">
        <v>0</v>
      </c>
      <c r="H10576" t="s">
        <v>15488</v>
      </c>
      <c r="I10576">
        <v>11875</v>
      </c>
      <c r="J10576" t="e">
        <f>VLOOKUP(E10576,DSSpieler!A:B,2,FALSE)</f>
        <v>#N/A</v>
      </c>
    </row>
    <row r="10577" spans="1:10" x14ac:dyDescent="0.25">
      <c r="A10577">
        <v>11876</v>
      </c>
      <c r="B10577" t="s">
        <v>2081</v>
      </c>
      <c r="C10577">
        <v>600</v>
      </c>
      <c r="D10577">
        <v>541</v>
      </c>
      <c r="E10577">
        <v>10047604</v>
      </c>
      <c r="F10577">
        <v>6385</v>
      </c>
      <c r="G10577">
        <v>0</v>
      </c>
      <c r="H10577" t="s">
        <v>15489</v>
      </c>
      <c r="I10577">
        <v>11876</v>
      </c>
      <c r="J10577" t="str">
        <f>VLOOKUP(E10577,DSSpieler!A:B,2,FALSE)</f>
        <v>biergaming</v>
      </c>
    </row>
    <row r="10578" spans="1:10" x14ac:dyDescent="0.25">
      <c r="A10578">
        <v>11877</v>
      </c>
      <c r="B10578" t="s">
        <v>780</v>
      </c>
      <c r="C10578">
        <v>604</v>
      </c>
      <c r="D10578">
        <v>535</v>
      </c>
      <c r="E10578">
        <v>1577163330</v>
      </c>
      <c r="F10578">
        <v>5499</v>
      </c>
      <c r="G10578">
        <v>0</v>
      </c>
      <c r="H10578" t="s">
        <v>15490</v>
      </c>
      <c r="I10578">
        <v>11877</v>
      </c>
      <c r="J10578" t="str">
        <f>VLOOKUP(E10578,DSSpieler!A:B,2,FALSE)</f>
        <v>Iscoo</v>
      </c>
    </row>
    <row r="10579" spans="1:10" x14ac:dyDescent="0.25">
      <c r="A10579">
        <v>11878</v>
      </c>
      <c r="B10579" t="s">
        <v>34290</v>
      </c>
      <c r="C10579">
        <v>551</v>
      </c>
      <c r="D10579">
        <v>592</v>
      </c>
      <c r="E10579">
        <v>9671466</v>
      </c>
      <c r="F10579">
        <v>5002</v>
      </c>
      <c r="G10579">
        <v>0</v>
      </c>
      <c r="H10579" t="s">
        <v>15491</v>
      </c>
      <c r="I10579">
        <v>11878</v>
      </c>
      <c r="J10579" t="str">
        <f>VLOOKUP(E10579,DSSpieler!A:B,2,FALSE)</f>
        <v>VirusWare</v>
      </c>
    </row>
    <row r="10580" spans="1:10" x14ac:dyDescent="0.25">
      <c r="A10580">
        <v>11879</v>
      </c>
      <c r="B10580" t="s">
        <v>531</v>
      </c>
      <c r="C10580">
        <v>464</v>
      </c>
      <c r="D10580">
        <v>602</v>
      </c>
      <c r="E10580">
        <v>0</v>
      </c>
      <c r="F10580">
        <v>202</v>
      </c>
      <c r="G10580">
        <v>0</v>
      </c>
      <c r="H10580" t="s">
        <v>15492</v>
      </c>
      <c r="I10580">
        <v>11879</v>
      </c>
      <c r="J10580" t="e">
        <f>VLOOKUP(E10580,DSSpieler!A:B,2,FALSE)</f>
        <v>#N/A</v>
      </c>
    </row>
    <row r="10581" spans="1:10" x14ac:dyDescent="0.25">
      <c r="A10581">
        <v>11880</v>
      </c>
      <c r="B10581" t="s">
        <v>531</v>
      </c>
      <c r="C10581">
        <v>596</v>
      </c>
      <c r="D10581">
        <v>547</v>
      </c>
      <c r="E10581">
        <v>0</v>
      </c>
      <c r="F10581">
        <v>108</v>
      </c>
      <c r="G10581">
        <v>0</v>
      </c>
      <c r="H10581" t="s">
        <v>15493</v>
      </c>
      <c r="I10581">
        <v>11880</v>
      </c>
      <c r="J10581" t="e">
        <f>VLOOKUP(E10581,DSSpieler!A:B,2,FALSE)</f>
        <v>#N/A</v>
      </c>
    </row>
    <row r="10582" spans="1:10" x14ac:dyDescent="0.25">
      <c r="A10582">
        <v>11881</v>
      </c>
      <c r="B10582" t="s">
        <v>531</v>
      </c>
      <c r="C10582">
        <v>490</v>
      </c>
      <c r="D10582">
        <v>394</v>
      </c>
      <c r="E10582">
        <v>0</v>
      </c>
      <c r="F10582">
        <v>272</v>
      </c>
      <c r="G10582">
        <v>0</v>
      </c>
      <c r="H10582" t="s">
        <v>15494</v>
      </c>
      <c r="I10582">
        <v>11881</v>
      </c>
      <c r="J10582" t="e">
        <f>VLOOKUP(E10582,DSSpieler!A:B,2,FALSE)</f>
        <v>#N/A</v>
      </c>
    </row>
    <row r="10583" spans="1:10" x14ac:dyDescent="0.25">
      <c r="A10583">
        <v>11882</v>
      </c>
      <c r="B10583" t="s">
        <v>780</v>
      </c>
      <c r="C10583">
        <v>610</v>
      </c>
      <c r="D10583">
        <v>521</v>
      </c>
      <c r="E10583">
        <v>1577127763</v>
      </c>
      <c r="F10583">
        <v>7455</v>
      </c>
      <c r="G10583">
        <v>0</v>
      </c>
      <c r="H10583" t="s">
        <v>15495</v>
      </c>
      <c r="I10583">
        <v>11882</v>
      </c>
      <c r="J10583" t="str">
        <f>VLOOKUP(E10583,DSSpieler!A:B,2,FALSE)</f>
        <v>Lord PickleRick</v>
      </c>
    </row>
    <row r="10584" spans="1:10" x14ac:dyDescent="0.25">
      <c r="A10584">
        <v>11883</v>
      </c>
      <c r="B10584" t="s">
        <v>531</v>
      </c>
      <c r="C10584">
        <v>401</v>
      </c>
      <c r="D10584">
        <v>534</v>
      </c>
      <c r="E10584">
        <v>0</v>
      </c>
      <c r="F10584">
        <v>327</v>
      </c>
      <c r="G10584">
        <v>0</v>
      </c>
      <c r="H10584" t="s">
        <v>15496</v>
      </c>
      <c r="I10584">
        <v>11883</v>
      </c>
      <c r="J10584" t="e">
        <f>VLOOKUP(E10584,DSSpieler!A:B,2,FALSE)</f>
        <v>#N/A</v>
      </c>
    </row>
    <row r="10585" spans="1:10" x14ac:dyDescent="0.25">
      <c r="A10585">
        <v>11884</v>
      </c>
      <c r="B10585" t="s">
        <v>531</v>
      </c>
      <c r="C10585">
        <v>541</v>
      </c>
      <c r="D10585">
        <v>403</v>
      </c>
      <c r="E10585">
        <v>0</v>
      </c>
      <c r="F10585">
        <v>201</v>
      </c>
      <c r="G10585">
        <v>0</v>
      </c>
      <c r="H10585" t="s">
        <v>15497</v>
      </c>
      <c r="I10585">
        <v>11884</v>
      </c>
      <c r="J10585" t="e">
        <f>VLOOKUP(E10585,DSSpieler!A:B,2,FALSE)</f>
        <v>#N/A</v>
      </c>
    </row>
    <row r="10586" spans="1:10" x14ac:dyDescent="0.25">
      <c r="A10586">
        <v>11885</v>
      </c>
      <c r="B10586" t="s">
        <v>780</v>
      </c>
      <c r="C10586">
        <v>613</v>
      </c>
      <c r="D10586">
        <v>528</v>
      </c>
      <c r="E10586">
        <v>767751</v>
      </c>
      <c r="F10586">
        <v>7415</v>
      </c>
      <c r="G10586">
        <v>0</v>
      </c>
      <c r="H10586" t="s">
        <v>15498</v>
      </c>
      <c r="I10586">
        <v>11885</v>
      </c>
      <c r="J10586" t="str">
        <f>VLOOKUP(E10586,DSSpieler!A:B,2,FALSE)</f>
        <v>Go D. Usopp</v>
      </c>
    </row>
    <row r="10587" spans="1:10" x14ac:dyDescent="0.25">
      <c r="A10587">
        <v>11886</v>
      </c>
      <c r="B10587" t="s">
        <v>34291</v>
      </c>
      <c r="C10587">
        <v>555</v>
      </c>
      <c r="D10587">
        <v>407</v>
      </c>
      <c r="E10587">
        <v>8505169</v>
      </c>
      <c r="F10587">
        <v>5455</v>
      </c>
      <c r="G10587">
        <v>0</v>
      </c>
      <c r="H10587" t="s">
        <v>15499</v>
      </c>
      <c r="I10587">
        <v>11886</v>
      </c>
      <c r="J10587" t="str">
        <f>VLOOKUP(E10587,DSSpieler!A:B,2,FALSE)</f>
        <v>Platinum74</v>
      </c>
    </row>
    <row r="10588" spans="1:10" x14ac:dyDescent="0.25">
      <c r="A10588">
        <v>11887</v>
      </c>
      <c r="B10588" t="s">
        <v>780</v>
      </c>
      <c r="C10588">
        <v>614</v>
      </c>
      <c r="D10588">
        <v>527</v>
      </c>
      <c r="E10588">
        <v>9410032</v>
      </c>
      <c r="F10588">
        <v>7540</v>
      </c>
      <c r="G10588">
        <v>0</v>
      </c>
      <c r="H10588" t="s">
        <v>15500</v>
      </c>
      <c r="I10588">
        <v>11887</v>
      </c>
      <c r="J10588" t="str">
        <f>VLOOKUP(E10588,DSSpieler!A:B,2,FALSE)</f>
        <v>Darth Stitch</v>
      </c>
    </row>
    <row r="10589" spans="1:10" x14ac:dyDescent="0.25">
      <c r="A10589">
        <v>11888</v>
      </c>
      <c r="B10589" t="s">
        <v>531</v>
      </c>
      <c r="C10589">
        <v>613</v>
      </c>
      <c r="D10589">
        <v>527</v>
      </c>
      <c r="E10589">
        <v>0</v>
      </c>
      <c r="F10589">
        <v>425</v>
      </c>
      <c r="G10589">
        <v>0</v>
      </c>
      <c r="H10589" t="s">
        <v>15501</v>
      </c>
      <c r="I10589">
        <v>11888</v>
      </c>
      <c r="J10589" t="e">
        <f>VLOOKUP(E10589,DSSpieler!A:B,2,FALSE)</f>
        <v>#N/A</v>
      </c>
    </row>
    <row r="10590" spans="1:10" x14ac:dyDescent="0.25">
      <c r="A10590">
        <v>11889</v>
      </c>
      <c r="B10590" t="s">
        <v>531</v>
      </c>
      <c r="C10590">
        <v>517</v>
      </c>
      <c r="D10590">
        <v>606</v>
      </c>
      <c r="E10590">
        <v>0</v>
      </c>
      <c r="F10590">
        <v>304</v>
      </c>
      <c r="G10590">
        <v>0</v>
      </c>
      <c r="H10590" t="s">
        <v>15502</v>
      </c>
      <c r="I10590">
        <v>11889</v>
      </c>
      <c r="J10590" t="e">
        <f>VLOOKUP(E10590,DSSpieler!A:B,2,FALSE)</f>
        <v>#N/A</v>
      </c>
    </row>
    <row r="10591" spans="1:10" x14ac:dyDescent="0.25">
      <c r="A10591">
        <v>11891</v>
      </c>
      <c r="B10591" t="s">
        <v>34292</v>
      </c>
      <c r="C10591">
        <v>413</v>
      </c>
      <c r="D10591">
        <v>436</v>
      </c>
      <c r="E10591">
        <v>1577183786</v>
      </c>
      <c r="F10591">
        <v>6774</v>
      </c>
      <c r="G10591">
        <v>0</v>
      </c>
      <c r="H10591" t="s">
        <v>15503</v>
      </c>
      <c r="I10591">
        <v>11891</v>
      </c>
      <c r="J10591" t="str">
        <f>VLOOKUP(E10591,DSSpieler!A:B,2,FALSE)</f>
        <v>Rouv826</v>
      </c>
    </row>
    <row r="10592" spans="1:10" x14ac:dyDescent="0.25">
      <c r="A10592">
        <v>11892</v>
      </c>
      <c r="B10592" t="s">
        <v>34293</v>
      </c>
      <c r="C10592">
        <v>435</v>
      </c>
      <c r="D10592">
        <v>580</v>
      </c>
      <c r="E10592">
        <v>1577190629</v>
      </c>
      <c r="F10592">
        <v>3585</v>
      </c>
      <c r="G10592">
        <v>0</v>
      </c>
      <c r="H10592" t="s">
        <v>15504</v>
      </c>
      <c r="I10592">
        <v>11892</v>
      </c>
      <c r="J10592" t="str">
        <f>VLOOKUP(E10592,DSSpieler!A:B,2,FALSE)</f>
        <v>Chrison</v>
      </c>
    </row>
    <row r="10593" spans="1:10" x14ac:dyDescent="0.25">
      <c r="A10593">
        <v>11893</v>
      </c>
      <c r="B10593" t="s">
        <v>2082</v>
      </c>
      <c r="C10593">
        <v>455</v>
      </c>
      <c r="D10593">
        <v>403</v>
      </c>
      <c r="E10593">
        <v>1576613431</v>
      </c>
      <c r="F10593">
        <v>326</v>
      </c>
      <c r="G10593">
        <v>0</v>
      </c>
      <c r="H10593" t="s">
        <v>15505</v>
      </c>
      <c r="I10593">
        <v>11893</v>
      </c>
      <c r="J10593" t="str">
        <f>VLOOKUP(E10593,DSSpieler!A:B,2,FALSE)</f>
        <v>betuesss</v>
      </c>
    </row>
    <row r="10594" spans="1:10" x14ac:dyDescent="0.25">
      <c r="A10594">
        <v>11895</v>
      </c>
      <c r="B10594" t="s">
        <v>531</v>
      </c>
      <c r="C10594">
        <v>608</v>
      </c>
      <c r="D10594">
        <v>540</v>
      </c>
      <c r="E10594">
        <v>0</v>
      </c>
      <c r="F10594">
        <v>763</v>
      </c>
      <c r="G10594">
        <v>0</v>
      </c>
      <c r="H10594" t="s">
        <v>15506</v>
      </c>
      <c r="I10594">
        <v>11895</v>
      </c>
      <c r="J10594" t="e">
        <f>VLOOKUP(E10594,DSSpieler!A:B,2,FALSE)</f>
        <v>#N/A</v>
      </c>
    </row>
    <row r="10595" spans="1:10" x14ac:dyDescent="0.25">
      <c r="A10595">
        <v>11896</v>
      </c>
      <c r="B10595" t="s">
        <v>531</v>
      </c>
      <c r="C10595">
        <v>607</v>
      </c>
      <c r="D10595">
        <v>509</v>
      </c>
      <c r="E10595">
        <v>0</v>
      </c>
      <c r="F10595">
        <v>387</v>
      </c>
      <c r="G10595">
        <v>0</v>
      </c>
      <c r="H10595" t="s">
        <v>15507</v>
      </c>
      <c r="I10595">
        <v>11896</v>
      </c>
      <c r="J10595" t="e">
        <f>VLOOKUP(E10595,DSSpieler!A:B,2,FALSE)</f>
        <v>#N/A</v>
      </c>
    </row>
    <row r="10596" spans="1:10" x14ac:dyDescent="0.25">
      <c r="A10596">
        <v>11897</v>
      </c>
      <c r="B10596" t="s">
        <v>34294</v>
      </c>
      <c r="C10596">
        <v>477</v>
      </c>
      <c r="D10596">
        <v>401</v>
      </c>
      <c r="E10596">
        <v>1577174131</v>
      </c>
      <c r="F10596">
        <v>6448</v>
      </c>
      <c r="G10596">
        <v>0</v>
      </c>
      <c r="H10596" t="s">
        <v>15508</v>
      </c>
      <c r="I10596">
        <v>11897</v>
      </c>
      <c r="J10596" t="str">
        <f>VLOOKUP(E10596,DSSpieler!A:B,2,FALSE)</f>
        <v>Schäuferla Vernichter</v>
      </c>
    </row>
    <row r="10597" spans="1:10" x14ac:dyDescent="0.25">
      <c r="A10597">
        <v>11898</v>
      </c>
      <c r="B10597" t="s">
        <v>34295</v>
      </c>
      <c r="C10597">
        <v>537</v>
      </c>
      <c r="D10597">
        <v>403</v>
      </c>
      <c r="E10597">
        <v>1577173067</v>
      </c>
      <c r="F10597">
        <v>5503</v>
      </c>
      <c r="G10597">
        <v>0</v>
      </c>
      <c r="H10597" t="s">
        <v>15509</v>
      </c>
      <c r="I10597">
        <v>11898</v>
      </c>
      <c r="J10597" t="str">
        <f>VLOOKUP(E10597,DSSpieler!A:B,2,FALSE)</f>
        <v>SylarX</v>
      </c>
    </row>
    <row r="10598" spans="1:10" x14ac:dyDescent="0.25">
      <c r="A10598">
        <v>11899</v>
      </c>
      <c r="B10598" t="s">
        <v>780</v>
      </c>
      <c r="C10598">
        <v>599</v>
      </c>
      <c r="D10598">
        <v>535</v>
      </c>
      <c r="E10598">
        <v>1577163330</v>
      </c>
      <c r="F10598">
        <v>6182</v>
      </c>
      <c r="G10598">
        <v>0</v>
      </c>
      <c r="H10598" t="s">
        <v>15510</v>
      </c>
      <c r="I10598">
        <v>11899</v>
      </c>
      <c r="J10598" t="str">
        <f>VLOOKUP(E10598,DSSpieler!A:B,2,FALSE)</f>
        <v>Iscoo</v>
      </c>
    </row>
    <row r="10599" spans="1:10" x14ac:dyDescent="0.25">
      <c r="A10599">
        <v>11900</v>
      </c>
      <c r="B10599" t="s">
        <v>34296</v>
      </c>
      <c r="C10599">
        <v>598</v>
      </c>
      <c r="D10599">
        <v>543</v>
      </c>
      <c r="E10599">
        <v>1577198842</v>
      </c>
      <c r="F10599">
        <v>6987</v>
      </c>
      <c r="G10599">
        <v>0</v>
      </c>
      <c r="H10599" t="s">
        <v>15511</v>
      </c>
      <c r="I10599">
        <v>11900</v>
      </c>
      <c r="J10599" t="str">
        <f>VLOOKUP(E10599,DSSpieler!A:B,2,FALSE)</f>
        <v>Der inaktive Noob</v>
      </c>
    </row>
    <row r="10600" spans="1:10" x14ac:dyDescent="0.25">
      <c r="A10600">
        <v>11902</v>
      </c>
      <c r="B10600" t="s">
        <v>34297</v>
      </c>
      <c r="C10600">
        <v>600</v>
      </c>
      <c r="D10600">
        <v>533</v>
      </c>
      <c r="E10600">
        <v>1577198838</v>
      </c>
      <c r="F10600">
        <v>6397</v>
      </c>
      <c r="G10600">
        <v>0</v>
      </c>
      <c r="H10600" t="s">
        <v>15512</v>
      </c>
      <c r="I10600">
        <v>11902</v>
      </c>
      <c r="J10600" t="str">
        <f>VLOOKUP(E10600,DSSpieler!A:B,2,FALSE)</f>
        <v>Darth Yoshi</v>
      </c>
    </row>
    <row r="10601" spans="1:10" x14ac:dyDescent="0.25">
      <c r="A10601">
        <v>11903</v>
      </c>
      <c r="B10601" t="s">
        <v>34298</v>
      </c>
      <c r="C10601">
        <v>428</v>
      </c>
      <c r="D10601">
        <v>422</v>
      </c>
      <c r="E10601">
        <v>1577192950</v>
      </c>
      <c r="F10601">
        <v>4108</v>
      </c>
      <c r="G10601">
        <v>0</v>
      </c>
      <c r="H10601" t="s">
        <v>15513</v>
      </c>
      <c r="I10601">
        <v>11903</v>
      </c>
      <c r="J10601" t="str">
        <f>VLOOKUP(E10601,DSSpieler!A:B,2,FALSE)</f>
        <v>Dr4m4</v>
      </c>
    </row>
    <row r="10602" spans="1:10" x14ac:dyDescent="0.25">
      <c r="A10602">
        <v>11904</v>
      </c>
      <c r="B10602" t="s">
        <v>531</v>
      </c>
      <c r="C10602">
        <v>510</v>
      </c>
      <c r="D10602">
        <v>604</v>
      </c>
      <c r="E10602">
        <v>0</v>
      </c>
      <c r="F10602">
        <v>333</v>
      </c>
      <c r="G10602">
        <v>0</v>
      </c>
      <c r="H10602" t="s">
        <v>15514</v>
      </c>
      <c r="I10602">
        <v>11904</v>
      </c>
      <c r="J10602" t="e">
        <f>VLOOKUP(E10602,DSSpieler!A:B,2,FALSE)</f>
        <v>#N/A</v>
      </c>
    </row>
    <row r="10603" spans="1:10" x14ac:dyDescent="0.25">
      <c r="A10603">
        <v>11905</v>
      </c>
      <c r="B10603" t="s">
        <v>531</v>
      </c>
      <c r="C10603">
        <v>533</v>
      </c>
      <c r="D10603">
        <v>601</v>
      </c>
      <c r="E10603">
        <v>0</v>
      </c>
      <c r="F10603">
        <v>337</v>
      </c>
      <c r="G10603">
        <v>0</v>
      </c>
      <c r="H10603" t="s">
        <v>15515</v>
      </c>
      <c r="I10603">
        <v>11905</v>
      </c>
      <c r="J10603" t="e">
        <f>VLOOKUP(E10603,DSSpieler!A:B,2,FALSE)</f>
        <v>#N/A</v>
      </c>
    </row>
    <row r="10604" spans="1:10" x14ac:dyDescent="0.25">
      <c r="A10604">
        <v>11906</v>
      </c>
      <c r="B10604" t="s">
        <v>34299</v>
      </c>
      <c r="C10604">
        <v>595</v>
      </c>
      <c r="D10604">
        <v>549</v>
      </c>
      <c r="E10604">
        <v>1577077834</v>
      </c>
      <c r="F10604">
        <v>5334</v>
      </c>
      <c r="G10604">
        <v>0</v>
      </c>
      <c r="H10604" t="s">
        <v>15516</v>
      </c>
      <c r="I10604">
        <v>11906</v>
      </c>
      <c r="J10604" t="str">
        <f>VLOOKUP(E10604,DSSpieler!A:B,2,FALSE)</f>
        <v>F8Vengeance</v>
      </c>
    </row>
    <row r="10605" spans="1:10" x14ac:dyDescent="0.25">
      <c r="A10605">
        <v>11907</v>
      </c>
      <c r="B10605" t="s">
        <v>531</v>
      </c>
      <c r="C10605">
        <v>400</v>
      </c>
      <c r="D10605">
        <v>473</v>
      </c>
      <c r="E10605">
        <v>0</v>
      </c>
      <c r="F10605">
        <v>283</v>
      </c>
      <c r="G10605">
        <v>0</v>
      </c>
      <c r="H10605" t="s">
        <v>15517</v>
      </c>
      <c r="I10605">
        <v>11907</v>
      </c>
      <c r="J10605" t="e">
        <f>VLOOKUP(E10605,DSSpieler!A:B,2,FALSE)</f>
        <v>#N/A</v>
      </c>
    </row>
    <row r="10606" spans="1:10" x14ac:dyDescent="0.25">
      <c r="A10606">
        <v>11908</v>
      </c>
      <c r="B10606" t="s">
        <v>531</v>
      </c>
      <c r="C10606">
        <v>538</v>
      </c>
      <c r="D10606">
        <v>400</v>
      </c>
      <c r="E10606">
        <v>0</v>
      </c>
      <c r="F10606">
        <v>185</v>
      </c>
      <c r="G10606">
        <v>0</v>
      </c>
      <c r="H10606" t="s">
        <v>15518</v>
      </c>
      <c r="I10606">
        <v>11908</v>
      </c>
      <c r="J10606" t="e">
        <f>VLOOKUP(E10606,DSSpieler!A:B,2,FALSE)</f>
        <v>#N/A</v>
      </c>
    </row>
    <row r="10607" spans="1:10" x14ac:dyDescent="0.25">
      <c r="A10607">
        <v>11910</v>
      </c>
      <c r="B10607" t="s">
        <v>531</v>
      </c>
      <c r="C10607">
        <v>423</v>
      </c>
      <c r="D10607">
        <v>576</v>
      </c>
      <c r="E10607">
        <v>0</v>
      </c>
      <c r="F10607">
        <v>239</v>
      </c>
      <c r="G10607">
        <v>0</v>
      </c>
      <c r="H10607" t="s">
        <v>15519</v>
      </c>
      <c r="I10607">
        <v>11910</v>
      </c>
      <c r="J10607" t="e">
        <f>VLOOKUP(E10607,DSSpieler!A:B,2,FALSE)</f>
        <v>#N/A</v>
      </c>
    </row>
    <row r="10608" spans="1:10" x14ac:dyDescent="0.25">
      <c r="A10608">
        <v>11911</v>
      </c>
      <c r="B10608" t="s">
        <v>34300</v>
      </c>
      <c r="C10608">
        <v>450</v>
      </c>
      <c r="D10608">
        <v>407</v>
      </c>
      <c r="E10608">
        <v>1577199172</v>
      </c>
      <c r="F10608">
        <v>7534</v>
      </c>
      <c r="G10608">
        <v>0</v>
      </c>
      <c r="H10608" t="s">
        <v>15520</v>
      </c>
      <c r="I10608">
        <v>11911</v>
      </c>
      <c r="J10608" t="str">
        <f>VLOOKUP(E10608,DSSpieler!A:B,2,FALSE)</f>
        <v>DominatorPopeyeSaurus</v>
      </c>
    </row>
    <row r="10609" spans="1:10" x14ac:dyDescent="0.25">
      <c r="A10609">
        <v>11912</v>
      </c>
      <c r="B10609" t="s">
        <v>34301</v>
      </c>
      <c r="C10609">
        <v>582</v>
      </c>
      <c r="D10609">
        <v>575</v>
      </c>
      <c r="E10609">
        <v>1576020114</v>
      </c>
      <c r="F10609">
        <v>3846</v>
      </c>
      <c r="G10609">
        <v>0</v>
      </c>
      <c r="H10609" t="s">
        <v>15521</v>
      </c>
      <c r="I10609">
        <v>11912</v>
      </c>
      <c r="J10609" t="str">
        <f>VLOOKUP(E10609,DSSpieler!A:B,2,FALSE)</f>
        <v>DA.Rage</v>
      </c>
    </row>
    <row r="10610" spans="1:10" x14ac:dyDescent="0.25">
      <c r="A10610">
        <v>11913</v>
      </c>
      <c r="B10610" t="s">
        <v>531</v>
      </c>
      <c r="C10610">
        <v>570</v>
      </c>
      <c r="D10610">
        <v>578</v>
      </c>
      <c r="E10610">
        <v>0</v>
      </c>
      <c r="F10610">
        <v>302</v>
      </c>
      <c r="G10610">
        <v>0</v>
      </c>
      <c r="H10610" t="s">
        <v>15522</v>
      </c>
      <c r="I10610">
        <v>11913</v>
      </c>
      <c r="J10610" t="e">
        <f>VLOOKUP(E10610,DSSpieler!A:B,2,FALSE)</f>
        <v>#N/A</v>
      </c>
    </row>
    <row r="10611" spans="1:10" x14ac:dyDescent="0.25">
      <c r="A10611">
        <v>11914</v>
      </c>
      <c r="B10611" t="s">
        <v>34302</v>
      </c>
      <c r="C10611">
        <v>548</v>
      </c>
      <c r="D10611">
        <v>595</v>
      </c>
      <c r="E10611">
        <v>1577199020</v>
      </c>
      <c r="F10611">
        <v>5831</v>
      </c>
      <c r="G10611">
        <v>0</v>
      </c>
      <c r="H10611" t="s">
        <v>15523</v>
      </c>
      <c r="I10611">
        <v>11914</v>
      </c>
      <c r="J10611" t="str">
        <f>VLOOKUP(E10611,DSSpieler!A:B,2,FALSE)</f>
        <v>Günther Schäfer</v>
      </c>
    </row>
    <row r="10612" spans="1:10" x14ac:dyDescent="0.25">
      <c r="A10612">
        <v>11915</v>
      </c>
      <c r="B10612" t="s">
        <v>34303</v>
      </c>
      <c r="C10612">
        <v>507</v>
      </c>
      <c r="D10612">
        <v>614</v>
      </c>
      <c r="E10612">
        <v>8359919</v>
      </c>
      <c r="F10612">
        <v>6160</v>
      </c>
      <c r="G10612">
        <v>0</v>
      </c>
      <c r="H10612" t="s">
        <v>15524</v>
      </c>
      <c r="I10612">
        <v>11915</v>
      </c>
      <c r="J10612" t="str">
        <f>VLOOKUP(E10612,DSSpieler!A:B,2,FALSE)</f>
        <v>LolliNWO</v>
      </c>
    </row>
    <row r="10613" spans="1:10" x14ac:dyDescent="0.25">
      <c r="A10613">
        <v>11916</v>
      </c>
      <c r="B10613" t="s">
        <v>827</v>
      </c>
      <c r="C10613">
        <v>534</v>
      </c>
      <c r="D10613">
        <v>593</v>
      </c>
      <c r="E10613">
        <v>3435353</v>
      </c>
      <c r="F10613">
        <v>5171</v>
      </c>
      <c r="G10613">
        <v>0</v>
      </c>
      <c r="H10613" t="s">
        <v>15525</v>
      </c>
      <c r="I10613">
        <v>11916</v>
      </c>
      <c r="J10613" t="str">
        <f>VLOOKUP(E10613,DSSpieler!A:B,2,FALSE)</f>
        <v>Sincro</v>
      </c>
    </row>
    <row r="10614" spans="1:10" x14ac:dyDescent="0.25">
      <c r="A10614">
        <v>11917</v>
      </c>
      <c r="B10614" t="s">
        <v>531</v>
      </c>
      <c r="C10614">
        <v>449</v>
      </c>
      <c r="D10614">
        <v>405</v>
      </c>
      <c r="E10614">
        <v>0</v>
      </c>
      <c r="F10614">
        <v>200</v>
      </c>
      <c r="G10614">
        <v>0</v>
      </c>
      <c r="H10614" t="s">
        <v>15526</v>
      </c>
      <c r="I10614">
        <v>11917</v>
      </c>
      <c r="J10614" t="e">
        <f>VLOOKUP(E10614,DSSpieler!A:B,2,FALSE)</f>
        <v>#N/A</v>
      </c>
    </row>
    <row r="10615" spans="1:10" x14ac:dyDescent="0.25">
      <c r="A10615">
        <v>11918</v>
      </c>
      <c r="B10615" t="s">
        <v>979</v>
      </c>
      <c r="C10615">
        <v>511</v>
      </c>
      <c r="D10615">
        <v>607</v>
      </c>
      <c r="E10615">
        <v>1577197847</v>
      </c>
      <c r="F10615">
        <v>4607</v>
      </c>
      <c r="G10615">
        <v>0</v>
      </c>
      <c r="H10615" t="s">
        <v>15527</v>
      </c>
      <c r="I10615">
        <v>11918</v>
      </c>
      <c r="J10615" t="str">
        <f>VLOOKUP(E10615,DSSpieler!A:B,2,FALSE)</f>
        <v>Dekk</v>
      </c>
    </row>
    <row r="10616" spans="1:10" x14ac:dyDescent="0.25">
      <c r="A10616">
        <v>11919</v>
      </c>
      <c r="B10616" t="s">
        <v>531</v>
      </c>
      <c r="C10616">
        <v>589</v>
      </c>
      <c r="D10616">
        <v>467</v>
      </c>
      <c r="E10616">
        <v>0</v>
      </c>
      <c r="F10616">
        <v>678</v>
      </c>
      <c r="G10616">
        <v>0</v>
      </c>
      <c r="H10616" t="s">
        <v>15528</v>
      </c>
      <c r="I10616">
        <v>11919</v>
      </c>
      <c r="J10616" t="e">
        <f>VLOOKUP(E10616,DSSpieler!A:B,2,FALSE)</f>
        <v>#N/A</v>
      </c>
    </row>
    <row r="10617" spans="1:10" x14ac:dyDescent="0.25">
      <c r="A10617">
        <v>11920</v>
      </c>
      <c r="B10617" t="s">
        <v>531</v>
      </c>
      <c r="C10617">
        <v>456</v>
      </c>
      <c r="D10617">
        <v>594</v>
      </c>
      <c r="E10617">
        <v>0</v>
      </c>
      <c r="F10617">
        <v>225</v>
      </c>
      <c r="G10617">
        <v>0</v>
      </c>
      <c r="H10617" t="s">
        <v>15529</v>
      </c>
      <c r="I10617">
        <v>11920</v>
      </c>
      <c r="J10617" t="e">
        <f>VLOOKUP(E10617,DSSpieler!A:B,2,FALSE)</f>
        <v>#N/A</v>
      </c>
    </row>
    <row r="10618" spans="1:10" x14ac:dyDescent="0.25">
      <c r="A10618">
        <v>11921</v>
      </c>
      <c r="B10618" t="s">
        <v>34304</v>
      </c>
      <c r="C10618">
        <v>505</v>
      </c>
      <c r="D10618">
        <v>387</v>
      </c>
      <c r="E10618">
        <v>3485059</v>
      </c>
      <c r="F10618">
        <v>3135</v>
      </c>
      <c r="G10618">
        <v>0</v>
      </c>
      <c r="H10618" t="s">
        <v>15530</v>
      </c>
      <c r="I10618">
        <v>11921</v>
      </c>
      <c r="J10618" t="str">
        <f>VLOOKUP(E10618,DSSpieler!A:B,2,FALSE)</f>
        <v>esterhazy</v>
      </c>
    </row>
    <row r="10619" spans="1:10" x14ac:dyDescent="0.25">
      <c r="A10619">
        <v>11922</v>
      </c>
      <c r="B10619" t="s">
        <v>2083</v>
      </c>
      <c r="C10619">
        <v>604</v>
      </c>
      <c r="D10619">
        <v>530</v>
      </c>
      <c r="E10619">
        <v>1576612700</v>
      </c>
      <c r="F10619">
        <v>4205</v>
      </c>
      <c r="G10619">
        <v>0</v>
      </c>
      <c r="H10619" t="s">
        <v>15531</v>
      </c>
      <c r="I10619">
        <v>11922</v>
      </c>
      <c r="J10619" t="str">
        <f>VLOOKUP(E10619,DSSpieler!A:B,2,FALSE)</f>
        <v>Minusman</v>
      </c>
    </row>
    <row r="10620" spans="1:10" x14ac:dyDescent="0.25">
      <c r="A10620">
        <v>11924</v>
      </c>
      <c r="B10620" t="s">
        <v>34305</v>
      </c>
      <c r="C10620">
        <v>553</v>
      </c>
      <c r="D10620">
        <v>416</v>
      </c>
      <c r="E10620">
        <v>3140559</v>
      </c>
      <c r="F10620">
        <v>490</v>
      </c>
      <c r="G10620">
        <v>0</v>
      </c>
      <c r="H10620" t="s">
        <v>15532</v>
      </c>
      <c r="I10620">
        <v>11924</v>
      </c>
      <c r="J10620" t="str">
        <f>VLOOKUP(E10620,DSSpieler!A:B,2,FALSE)</f>
        <v>master@all</v>
      </c>
    </row>
    <row r="10621" spans="1:10" x14ac:dyDescent="0.25">
      <c r="A10621">
        <v>11925</v>
      </c>
      <c r="B10621" t="s">
        <v>531</v>
      </c>
      <c r="C10621">
        <v>590</v>
      </c>
      <c r="D10621">
        <v>445</v>
      </c>
      <c r="E10621">
        <v>0</v>
      </c>
      <c r="F10621">
        <v>152</v>
      </c>
      <c r="G10621">
        <v>0</v>
      </c>
      <c r="H10621" t="s">
        <v>15533</v>
      </c>
      <c r="I10621">
        <v>11925</v>
      </c>
      <c r="J10621" t="e">
        <f>VLOOKUP(E10621,DSSpieler!A:B,2,FALSE)</f>
        <v>#N/A</v>
      </c>
    </row>
    <row r="10622" spans="1:10" x14ac:dyDescent="0.25">
      <c r="A10622">
        <v>11926</v>
      </c>
      <c r="B10622" t="s">
        <v>30582</v>
      </c>
      <c r="C10622">
        <v>470</v>
      </c>
      <c r="D10622">
        <v>608</v>
      </c>
      <c r="E10622">
        <v>1577174726</v>
      </c>
      <c r="F10622">
        <v>6314</v>
      </c>
      <c r="G10622">
        <v>0</v>
      </c>
      <c r="H10622" t="s">
        <v>15534</v>
      </c>
      <c r="I10622">
        <v>11926</v>
      </c>
      <c r="J10622" t="str">
        <f>VLOOKUP(E10622,DSSpieler!A:B,2,FALSE)</f>
        <v>Nevada.vP</v>
      </c>
    </row>
    <row r="10623" spans="1:10" x14ac:dyDescent="0.25">
      <c r="A10623">
        <v>11928</v>
      </c>
      <c r="B10623" t="s">
        <v>2084</v>
      </c>
      <c r="C10623">
        <v>394</v>
      </c>
      <c r="D10623">
        <v>495</v>
      </c>
      <c r="E10623">
        <v>1576776027</v>
      </c>
      <c r="F10623">
        <v>448</v>
      </c>
      <c r="G10623">
        <v>0</v>
      </c>
      <c r="H10623" t="s">
        <v>15535</v>
      </c>
      <c r="I10623">
        <v>11928</v>
      </c>
      <c r="J10623" t="str">
        <f>VLOOKUP(E10623,DSSpieler!A:B,2,FALSE)</f>
        <v>Bierchen812</v>
      </c>
    </row>
    <row r="10624" spans="1:10" x14ac:dyDescent="0.25">
      <c r="A10624">
        <v>11929</v>
      </c>
      <c r="B10624">
        <v>5</v>
      </c>
      <c r="C10624">
        <v>480</v>
      </c>
      <c r="D10624">
        <v>603</v>
      </c>
      <c r="E10624">
        <v>9173861</v>
      </c>
      <c r="F10624">
        <v>1117</v>
      </c>
      <c r="G10624">
        <v>0</v>
      </c>
      <c r="H10624" t="s">
        <v>15536</v>
      </c>
      <c r="I10624">
        <v>11929</v>
      </c>
      <c r="J10624" t="str">
        <f>VLOOKUP(E10624,DSSpieler!A:B,2,FALSE)</f>
        <v>dieweltmacht</v>
      </c>
    </row>
    <row r="10625" spans="1:10" x14ac:dyDescent="0.25">
      <c r="A10625">
        <v>11930</v>
      </c>
      <c r="B10625" t="s">
        <v>34306</v>
      </c>
      <c r="C10625">
        <v>459</v>
      </c>
      <c r="D10625">
        <v>404</v>
      </c>
      <c r="E10625">
        <v>8309212</v>
      </c>
      <c r="F10625">
        <v>4669</v>
      </c>
      <c r="G10625">
        <v>0</v>
      </c>
      <c r="H10625" t="s">
        <v>15537</v>
      </c>
      <c r="I10625">
        <v>11930</v>
      </c>
      <c r="J10625" t="str">
        <f>VLOOKUP(E10625,DSSpieler!A:B,2,FALSE)</f>
        <v>kiing-kasthe</v>
      </c>
    </row>
    <row r="10626" spans="1:10" x14ac:dyDescent="0.25">
      <c r="A10626">
        <v>11931</v>
      </c>
      <c r="B10626" t="s">
        <v>531</v>
      </c>
      <c r="C10626">
        <v>603</v>
      </c>
      <c r="D10626">
        <v>520</v>
      </c>
      <c r="E10626">
        <v>0</v>
      </c>
      <c r="F10626">
        <v>461</v>
      </c>
      <c r="G10626">
        <v>0</v>
      </c>
      <c r="H10626" t="s">
        <v>15538</v>
      </c>
      <c r="I10626">
        <v>11931</v>
      </c>
      <c r="J10626" t="e">
        <f>VLOOKUP(E10626,DSSpieler!A:B,2,FALSE)</f>
        <v>#N/A</v>
      </c>
    </row>
    <row r="10627" spans="1:10" x14ac:dyDescent="0.25">
      <c r="A10627">
        <v>11932</v>
      </c>
      <c r="B10627" t="s">
        <v>2085</v>
      </c>
      <c r="C10627">
        <v>436</v>
      </c>
      <c r="D10627">
        <v>412</v>
      </c>
      <c r="E10627">
        <v>9475457</v>
      </c>
      <c r="F10627">
        <v>5447</v>
      </c>
      <c r="G10627">
        <v>0</v>
      </c>
      <c r="H10627" t="s">
        <v>15539</v>
      </c>
      <c r="I10627">
        <v>11932</v>
      </c>
      <c r="J10627" t="str">
        <f>VLOOKUP(E10627,DSSpieler!A:B,2,FALSE)</f>
        <v>Bufdi</v>
      </c>
    </row>
    <row r="10628" spans="1:10" x14ac:dyDescent="0.25">
      <c r="A10628">
        <v>11933</v>
      </c>
      <c r="B10628" t="s">
        <v>2086</v>
      </c>
      <c r="C10628">
        <v>533</v>
      </c>
      <c r="D10628">
        <v>399</v>
      </c>
      <c r="E10628">
        <v>1576741449</v>
      </c>
      <c r="F10628">
        <v>6287</v>
      </c>
      <c r="G10628">
        <v>0</v>
      </c>
      <c r="H10628" t="s">
        <v>15540</v>
      </c>
      <c r="I10628">
        <v>11933</v>
      </c>
      <c r="J10628" t="str">
        <f>VLOOKUP(E10628,DSSpieler!A:B,2,FALSE)</f>
        <v>Boris-with-skill</v>
      </c>
    </row>
    <row r="10629" spans="1:10" x14ac:dyDescent="0.25">
      <c r="A10629">
        <v>11934</v>
      </c>
      <c r="B10629" t="s">
        <v>979</v>
      </c>
      <c r="C10629">
        <v>512</v>
      </c>
      <c r="D10629">
        <v>591</v>
      </c>
      <c r="E10629">
        <v>1576692459</v>
      </c>
      <c r="F10629">
        <v>5766</v>
      </c>
      <c r="G10629">
        <v>0</v>
      </c>
      <c r="H10629" t="s">
        <v>15541</v>
      </c>
      <c r="I10629">
        <v>11934</v>
      </c>
      <c r="J10629" t="str">
        <f>VLOOKUP(E10629,DSSpieler!A:B,2,FALSE)</f>
        <v>Sir Hendriks</v>
      </c>
    </row>
    <row r="10630" spans="1:10" x14ac:dyDescent="0.25">
      <c r="A10630">
        <v>11935</v>
      </c>
      <c r="B10630" t="s">
        <v>34307</v>
      </c>
      <c r="C10630">
        <v>574</v>
      </c>
      <c r="D10630">
        <v>526</v>
      </c>
      <c r="E10630">
        <v>1577165094</v>
      </c>
      <c r="F10630">
        <v>6444</v>
      </c>
      <c r="G10630">
        <v>0</v>
      </c>
      <c r="H10630" t="s">
        <v>15542</v>
      </c>
      <c r="I10630">
        <v>11935</v>
      </c>
      <c r="J10630" t="str">
        <f>VLOOKUP(E10630,DSSpieler!A:B,2,FALSE)</f>
        <v>SupremeMeanFightMachine</v>
      </c>
    </row>
    <row r="10631" spans="1:10" x14ac:dyDescent="0.25">
      <c r="A10631">
        <v>11936</v>
      </c>
      <c r="B10631" t="s">
        <v>979</v>
      </c>
      <c r="C10631">
        <v>514</v>
      </c>
      <c r="D10631">
        <v>607</v>
      </c>
      <c r="E10631">
        <v>1577056044</v>
      </c>
      <c r="F10631">
        <v>1780</v>
      </c>
      <c r="G10631">
        <v>0</v>
      </c>
      <c r="H10631" t="s">
        <v>15543</v>
      </c>
      <c r="I10631">
        <v>11936</v>
      </c>
      <c r="J10631" t="str">
        <f>VLOOKUP(E10631,DSSpieler!A:B,2,FALSE)</f>
        <v>SerenaMoon</v>
      </c>
    </row>
    <row r="10632" spans="1:10" x14ac:dyDescent="0.25">
      <c r="A10632">
        <v>11937</v>
      </c>
      <c r="B10632" t="s">
        <v>531</v>
      </c>
      <c r="C10632">
        <v>606</v>
      </c>
      <c r="D10632">
        <v>537</v>
      </c>
      <c r="E10632">
        <v>0</v>
      </c>
      <c r="F10632">
        <v>191</v>
      </c>
      <c r="G10632">
        <v>0</v>
      </c>
      <c r="H10632" t="s">
        <v>15544</v>
      </c>
      <c r="I10632">
        <v>11937</v>
      </c>
      <c r="J10632" t="e">
        <f>VLOOKUP(E10632,DSSpieler!A:B,2,FALSE)</f>
        <v>#N/A</v>
      </c>
    </row>
    <row r="10633" spans="1:10" x14ac:dyDescent="0.25">
      <c r="A10633">
        <v>11940</v>
      </c>
      <c r="B10633" t="s">
        <v>531</v>
      </c>
      <c r="C10633">
        <v>405</v>
      </c>
      <c r="D10633">
        <v>458</v>
      </c>
      <c r="E10633">
        <v>0</v>
      </c>
      <c r="F10633">
        <v>218</v>
      </c>
      <c r="G10633">
        <v>0</v>
      </c>
      <c r="H10633" t="s">
        <v>15545</v>
      </c>
      <c r="I10633">
        <v>11940</v>
      </c>
      <c r="J10633" t="e">
        <f>VLOOKUP(E10633,DSSpieler!A:B,2,FALSE)</f>
        <v>#N/A</v>
      </c>
    </row>
    <row r="10634" spans="1:10" x14ac:dyDescent="0.25">
      <c r="A10634">
        <v>11941</v>
      </c>
      <c r="B10634" t="s">
        <v>531</v>
      </c>
      <c r="C10634">
        <v>424</v>
      </c>
      <c r="D10634">
        <v>423</v>
      </c>
      <c r="E10634">
        <v>0</v>
      </c>
      <c r="F10634">
        <v>139</v>
      </c>
      <c r="G10634">
        <v>0</v>
      </c>
      <c r="H10634" t="s">
        <v>15546</v>
      </c>
      <c r="I10634">
        <v>11941</v>
      </c>
      <c r="J10634" t="e">
        <f>VLOOKUP(E10634,DSSpieler!A:B,2,FALSE)</f>
        <v>#N/A</v>
      </c>
    </row>
    <row r="10635" spans="1:10" x14ac:dyDescent="0.25">
      <c r="A10635">
        <v>11942</v>
      </c>
      <c r="B10635" t="s">
        <v>1087</v>
      </c>
      <c r="C10635">
        <v>576</v>
      </c>
      <c r="D10635">
        <v>573</v>
      </c>
      <c r="E10635">
        <v>9575066</v>
      </c>
      <c r="F10635">
        <v>5312</v>
      </c>
      <c r="G10635">
        <v>0</v>
      </c>
      <c r="H10635" t="s">
        <v>15547</v>
      </c>
      <c r="I10635">
        <v>11942</v>
      </c>
      <c r="J10635" t="str">
        <f>VLOOKUP(E10635,DSSpieler!A:B,2,FALSE)</f>
        <v>Swordmaster1200</v>
      </c>
    </row>
    <row r="10636" spans="1:10" x14ac:dyDescent="0.25">
      <c r="A10636">
        <v>11943</v>
      </c>
      <c r="B10636" t="s">
        <v>34308</v>
      </c>
      <c r="C10636">
        <v>443</v>
      </c>
      <c r="D10636">
        <v>591</v>
      </c>
      <c r="E10636">
        <v>1577198963</v>
      </c>
      <c r="F10636">
        <v>6439</v>
      </c>
      <c r="G10636">
        <v>0</v>
      </c>
      <c r="H10636" t="s">
        <v>15548</v>
      </c>
      <c r="I10636">
        <v>11943</v>
      </c>
      <c r="J10636" t="str">
        <f>VLOOKUP(E10636,DSSpieler!A:B,2,FALSE)</f>
        <v>Lord VokuFarm</v>
      </c>
    </row>
    <row r="10637" spans="1:10" x14ac:dyDescent="0.25">
      <c r="A10637">
        <v>11944</v>
      </c>
      <c r="B10637">
        <v>1010101001</v>
      </c>
      <c r="C10637">
        <v>455</v>
      </c>
      <c r="D10637">
        <v>447</v>
      </c>
      <c r="E10637">
        <v>1577041398</v>
      </c>
      <c r="F10637">
        <v>6440</v>
      </c>
      <c r="G10637">
        <v>0</v>
      </c>
      <c r="H10637" t="s">
        <v>15549</v>
      </c>
      <c r="I10637">
        <v>11944</v>
      </c>
      <c r="J10637" t="str">
        <f>VLOOKUP(E10637,DSSpieler!A:B,2,FALSE)</f>
        <v>Pizzy the deff offer</v>
      </c>
    </row>
    <row r="10638" spans="1:10" x14ac:dyDescent="0.25">
      <c r="A10638">
        <v>11945</v>
      </c>
      <c r="B10638" t="s">
        <v>531</v>
      </c>
      <c r="C10638">
        <v>443</v>
      </c>
      <c r="D10638">
        <v>586</v>
      </c>
      <c r="E10638">
        <v>0</v>
      </c>
      <c r="F10638">
        <v>266</v>
      </c>
      <c r="G10638">
        <v>0</v>
      </c>
      <c r="H10638" t="s">
        <v>15550</v>
      </c>
      <c r="I10638">
        <v>11945</v>
      </c>
      <c r="J10638" t="e">
        <f>VLOOKUP(E10638,DSSpieler!A:B,2,FALSE)</f>
        <v>#N/A</v>
      </c>
    </row>
    <row r="10639" spans="1:10" x14ac:dyDescent="0.25">
      <c r="A10639">
        <v>11947</v>
      </c>
      <c r="B10639" t="s">
        <v>531</v>
      </c>
      <c r="C10639">
        <v>544</v>
      </c>
      <c r="D10639">
        <v>596</v>
      </c>
      <c r="E10639">
        <v>0</v>
      </c>
      <c r="F10639">
        <v>458</v>
      </c>
      <c r="G10639">
        <v>0</v>
      </c>
      <c r="H10639" t="s">
        <v>15551</v>
      </c>
      <c r="I10639">
        <v>11947</v>
      </c>
      <c r="J10639" t="e">
        <f>VLOOKUP(E10639,DSSpieler!A:B,2,FALSE)</f>
        <v>#N/A</v>
      </c>
    </row>
    <row r="10640" spans="1:10" x14ac:dyDescent="0.25">
      <c r="A10640">
        <v>11948</v>
      </c>
      <c r="B10640" t="s">
        <v>34309</v>
      </c>
      <c r="C10640">
        <v>552</v>
      </c>
      <c r="D10640">
        <v>411</v>
      </c>
      <c r="E10640">
        <v>1577198328</v>
      </c>
      <c r="F10640">
        <v>5218</v>
      </c>
      <c r="G10640">
        <v>0</v>
      </c>
      <c r="H10640" t="s">
        <v>15552</v>
      </c>
      <c r="I10640">
        <v>11948</v>
      </c>
      <c r="J10640" t="str">
        <f>VLOOKUP(E10640,DSSpieler!A:B,2,FALSE)</f>
        <v>Mister Riös</v>
      </c>
    </row>
    <row r="10641" spans="1:10" x14ac:dyDescent="0.25">
      <c r="A10641">
        <v>11949</v>
      </c>
      <c r="B10641" t="s">
        <v>531</v>
      </c>
      <c r="C10641">
        <v>393</v>
      </c>
      <c r="D10641">
        <v>492</v>
      </c>
      <c r="E10641">
        <v>0</v>
      </c>
      <c r="F10641">
        <v>890</v>
      </c>
      <c r="G10641">
        <v>0</v>
      </c>
      <c r="H10641" t="s">
        <v>15553</v>
      </c>
      <c r="I10641">
        <v>11949</v>
      </c>
      <c r="J10641" t="e">
        <f>VLOOKUP(E10641,DSSpieler!A:B,2,FALSE)</f>
        <v>#N/A</v>
      </c>
    </row>
    <row r="10642" spans="1:10" x14ac:dyDescent="0.25">
      <c r="A10642">
        <v>11950</v>
      </c>
      <c r="B10642" t="s">
        <v>531</v>
      </c>
      <c r="C10642">
        <v>506</v>
      </c>
      <c r="D10642">
        <v>607</v>
      </c>
      <c r="E10642">
        <v>0</v>
      </c>
      <c r="F10642">
        <v>402</v>
      </c>
      <c r="G10642">
        <v>0</v>
      </c>
      <c r="H10642" t="s">
        <v>15554</v>
      </c>
      <c r="I10642">
        <v>11950</v>
      </c>
      <c r="J10642" t="e">
        <f>VLOOKUP(E10642,DSSpieler!A:B,2,FALSE)</f>
        <v>#N/A</v>
      </c>
    </row>
    <row r="10643" spans="1:10" x14ac:dyDescent="0.25">
      <c r="A10643">
        <v>11951</v>
      </c>
      <c r="B10643" t="s">
        <v>2087</v>
      </c>
      <c r="C10643">
        <v>565</v>
      </c>
      <c r="D10643">
        <v>585</v>
      </c>
      <c r="E10643">
        <v>1576146267</v>
      </c>
      <c r="F10643">
        <v>4821</v>
      </c>
      <c r="G10643">
        <v>0</v>
      </c>
      <c r="H10643" t="s">
        <v>15555</v>
      </c>
      <c r="I10643">
        <v>11951</v>
      </c>
      <c r="J10643" t="str">
        <f>VLOOKUP(E10643,DSSpieler!A:B,2,FALSE)</f>
        <v>Munaliii</v>
      </c>
    </row>
    <row r="10644" spans="1:10" x14ac:dyDescent="0.25">
      <c r="A10644">
        <v>11952</v>
      </c>
      <c r="B10644" t="s">
        <v>34310</v>
      </c>
      <c r="C10644">
        <v>606</v>
      </c>
      <c r="D10644">
        <v>524</v>
      </c>
      <c r="E10644">
        <v>1051418</v>
      </c>
      <c r="F10644">
        <v>2676</v>
      </c>
      <c r="G10644">
        <v>0</v>
      </c>
      <c r="H10644" t="s">
        <v>15556</v>
      </c>
      <c r="I10644">
        <v>11952</v>
      </c>
      <c r="J10644" t="str">
        <f>VLOOKUP(E10644,DSSpieler!A:B,2,FALSE)</f>
        <v>K. Arthus</v>
      </c>
    </row>
    <row r="10645" spans="1:10" x14ac:dyDescent="0.25">
      <c r="A10645">
        <v>11953</v>
      </c>
      <c r="B10645" t="s">
        <v>34311</v>
      </c>
      <c r="C10645">
        <v>394</v>
      </c>
      <c r="D10645">
        <v>487</v>
      </c>
      <c r="E10645">
        <v>465454</v>
      </c>
      <c r="F10645">
        <v>5355</v>
      </c>
      <c r="G10645">
        <v>0</v>
      </c>
      <c r="H10645" t="s">
        <v>435</v>
      </c>
      <c r="I10645">
        <v>11953</v>
      </c>
      <c r="J10645" t="str">
        <f>VLOOKUP(E10645,DSSpieler!A:B,2,FALSE)</f>
        <v>Devilkill</v>
      </c>
    </row>
    <row r="10646" spans="1:10" x14ac:dyDescent="0.25">
      <c r="A10646">
        <v>11954</v>
      </c>
      <c r="B10646" t="s">
        <v>34312</v>
      </c>
      <c r="C10646">
        <v>605</v>
      </c>
      <c r="D10646">
        <v>501</v>
      </c>
      <c r="E10646">
        <v>1576984501</v>
      </c>
      <c r="F10646">
        <v>2536</v>
      </c>
      <c r="G10646">
        <v>0</v>
      </c>
      <c r="H10646" t="s">
        <v>15557</v>
      </c>
      <c r="I10646">
        <v>11954</v>
      </c>
      <c r="J10646" t="str">
        <f>VLOOKUP(E10646,DSSpieler!A:B,2,FALSE)</f>
        <v>henben</v>
      </c>
    </row>
    <row r="10647" spans="1:10" x14ac:dyDescent="0.25">
      <c r="A10647">
        <v>11955</v>
      </c>
      <c r="B10647" t="s">
        <v>34313</v>
      </c>
      <c r="C10647">
        <v>573</v>
      </c>
      <c r="D10647">
        <v>578</v>
      </c>
      <c r="E10647">
        <v>1577196874</v>
      </c>
      <c r="F10647">
        <v>6634</v>
      </c>
      <c r="G10647">
        <v>0</v>
      </c>
      <c r="H10647" t="s">
        <v>15558</v>
      </c>
      <c r="I10647">
        <v>11955</v>
      </c>
      <c r="J10647" t="str">
        <f>VLOOKUP(E10647,DSSpieler!A:B,2,FALSE)</f>
        <v>FinalItachi</v>
      </c>
    </row>
    <row r="10648" spans="1:10" x14ac:dyDescent="0.25">
      <c r="A10648">
        <v>11956</v>
      </c>
      <c r="B10648" t="s">
        <v>34314</v>
      </c>
      <c r="C10648">
        <v>600</v>
      </c>
      <c r="D10648">
        <v>524</v>
      </c>
      <c r="E10648">
        <v>1577192924</v>
      </c>
      <c r="F10648">
        <v>3333</v>
      </c>
      <c r="G10648">
        <v>0</v>
      </c>
      <c r="H10648" t="s">
        <v>15559</v>
      </c>
      <c r="I10648">
        <v>11956</v>
      </c>
      <c r="J10648" t="str">
        <f>VLOOKUP(E10648,DSSpieler!A:B,2,FALSE)</f>
        <v>Midline</v>
      </c>
    </row>
    <row r="10649" spans="1:10" x14ac:dyDescent="0.25">
      <c r="A10649">
        <v>11957</v>
      </c>
      <c r="B10649" t="s">
        <v>34315</v>
      </c>
      <c r="C10649">
        <v>523</v>
      </c>
      <c r="D10649">
        <v>396</v>
      </c>
      <c r="E10649">
        <v>1576373467</v>
      </c>
      <c r="F10649">
        <v>4765</v>
      </c>
      <c r="G10649">
        <v>0</v>
      </c>
      <c r="H10649" t="s">
        <v>15560</v>
      </c>
      <c r="I10649">
        <v>11957</v>
      </c>
      <c r="J10649" t="str">
        <f>VLOOKUP(E10649,DSSpieler!A:B,2,FALSE)</f>
        <v>Askandi</v>
      </c>
    </row>
    <row r="10650" spans="1:10" x14ac:dyDescent="0.25">
      <c r="A10650">
        <v>11958</v>
      </c>
      <c r="B10650" t="s">
        <v>34316</v>
      </c>
      <c r="C10650">
        <v>541</v>
      </c>
      <c r="D10650">
        <v>562</v>
      </c>
      <c r="E10650">
        <v>1576943454</v>
      </c>
      <c r="F10650">
        <v>1842</v>
      </c>
      <c r="G10650">
        <v>0</v>
      </c>
      <c r="H10650" t="s">
        <v>15561</v>
      </c>
      <c r="I10650">
        <v>11958</v>
      </c>
      <c r="J10650" t="str">
        <f>VLOOKUP(E10650,DSSpieler!A:B,2,FALSE)</f>
        <v>ciWie</v>
      </c>
    </row>
    <row r="10651" spans="1:10" x14ac:dyDescent="0.25">
      <c r="A10651">
        <v>11959</v>
      </c>
      <c r="B10651" t="s">
        <v>531</v>
      </c>
      <c r="C10651">
        <v>605</v>
      </c>
      <c r="D10651">
        <v>512</v>
      </c>
      <c r="E10651">
        <v>0</v>
      </c>
      <c r="F10651">
        <v>488</v>
      </c>
      <c r="G10651">
        <v>0</v>
      </c>
      <c r="H10651" t="s">
        <v>15562</v>
      </c>
      <c r="I10651">
        <v>11959</v>
      </c>
      <c r="J10651" t="e">
        <f>VLOOKUP(E10651,DSSpieler!A:B,2,FALSE)</f>
        <v>#N/A</v>
      </c>
    </row>
    <row r="10652" spans="1:10" x14ac:dyDescent="0.25">
      <c r="A10652">
        <v>11960</v>
      </c>
      <c r="B10652" t="s">
        <v>531</v>
      </c>
      <c r="C10652">
        <v>433</v>
      </c>
      <c r="D10652">
        <v>418</v>
      </c>
      <c r="E10652">
        <v>0</v>
      </c>
      <c r="F10652">
        <v>313</v>
      </c>
      <c r="G10652">
        <v>0</v>
      </c>
      <c r="H10652" t="s">
        <v>15563</v>
      </c>
      <c r="I10652">
        <v>11960</v>
      </c>
      <c r="J10652" t="e">
        <f>VLOOKUP(E10652,DSSpieler!A:B,2,FALSE)</f>
        <v>#N/A</v>
      </c>
    </row>
    <row r="10653" spans="1:10" x14ac:dyDescent="0.25">
      <c r="A10653">
        <v>11961</v>
      </c>
      <c r="B10653" t="s">
        <v>780</v>
      </c>
      <c r="C10653">
        <v>603</v>
      </c>
      <c r="D10653">
        <v>528</v>
      </c>
      <c r="E10653">
        <v>1576939408</v>
      </c>
      <c r="F10653">
        <v>6352</v>
      </c>
      <c r="G10653">
        <v>0</v>
      </c>
      <c r="H10653" t="s">
        <v>15564</v>
      </c>
      <c r="I10653">
        <v>11961</v>
      </c>
      <c r="J10653" t="str">
        <f>VLOOKUP(E10653,DSSpieler!A:B,2,FALSE)</f>
        <v>Der Blauadler</v>
      </c>
    </row>
    <row r="10654" spans="1:10" x14ac:dyDescent="0.25">
      <c r="A10654">
        <v>11962</v>
      </c>
      <c r="B10654" t="s">
        <v>34317</v>
      </c>
      <c r="C10654">
        <v>529</v>
      </c>
      <c r="D10654">
        <v>451</v>
      </c>
      <c r="E10654">
        <v>1577122598</v>
      </c>
      <c r="F10654">
        <v>2857</v>
      </c>
      <c r="G10654">
        <v>0</v>
      </c>
      <c r="H10654" t="s">
        <v>15565</v>
      </c>
      <c r="I10654">
        <v>11962</v>
      </c>
      <c r="J10654" t="str">
        <f>VLOOKUP(E10654,DSSpieler!A:B,2,FALSE)</f>
        <v>Bolzer01</v>
      </c>
    </row>
    <row r="10655" spans="1:10" x14ac:dyDescent="0.25">
      <c r="A10655">
        <v>11963</v>
      </c>
      <c r="B10655" t="s">
        <v>34318</v>
      </c>
      <c r="C10655">
        <v>599</v>
      </c>
      <c r="D10655">
        <v>512</v>
      </c>
      <c r="E10655">
        <v>1577193415</v>
      </c>
      <c r="F10655">
        <v>2321</v>
      </c>
      <c r="G10655">
        <v>0</v>
      </c>
      <c r="H10655" t="s">
        <v>15566</v>
      </c>
      <c r="I10655">
        <v>11963</v>
      </c>
      <c r="J10655" t="str">
        <f>VLOOKUP(E10655,DSSpieler!A:B,2,FALSE)</f>
        <v>Bierflex</v>
      </c>
    </row>
    <row r="10656" spans="1:10" x14ac:dyDescent="0.25">
      <c r="A10656">
        <v>11964</v>
      </c>
      <c r="B10656" t="s">
        <v>2088</v>
      </c>
      <c r="C10656">
        <v>597</v>
      </c>
      <c r="D10656">
        <v>522</v>
      </c>
      <c r="E10656">
        <v>1577192586</v>
      </c>
      <c r="F10656">
        <v>5730</v>
      </c>
      <c r="G10656">
        <v>0</v>
      </c>
      <c r="H10656" t="s">
        <v>15567</v>
      </c>
      <c r="I10656">
        <v>11964</v>
      </c>
      <c r="J10656" t="str">
        <f>VLOOKUP(E10656,DSSpieler!A:B,2,FALSE)</f>
        <v>sharkbuddy</v>
      </c>
    </row>
    <row r="10657" spans="1:10" x14ac:dyDescent="0.25">
      <c r="A10657">
        <v>11965</v>
      </c>
      <c r="B10657" t="s">
        <v>531</v>
      </c>
      <c r="C10657">
        <v>611</v>
      </c>
      <c r="D10657">
        <v>520</v>
      </c>
      <c r="E10657">
        <v>0</v>
      </c>
      <c r="F10657">
        <v>620</v>
      </c>
      <c r="G10657">
        <v>0</v>
      </c>
      <c r="H10657" t="s">
        <v>15568</v>
      </c>
      <c r="I10657">
        <v>11965</v>
      </c>
      <c r="J10657" t="e">
        <f>VLOOKUP(E10657,DSSpieler!A:B,2,FALSE)</f>
        <v>#N/A</v>
      </c>
    </row>
    <row r="10658" spans="1:10" x14ac:dyDescent="0.25">
      <c r="A10658">
        <v>11966</v>
      </c>
      <c r="B10658" t="s">
        <v>531</v>
      </c>
      <c r="C10658">
        <v>604</v>
      </c>
      <c r="D10658">
        <v>532</v>
      </c>
      <c r="E10658">
        <v>0</v>
      </c>
      <c r="F10658">
        <v>398</v>
      </c>
      <c r="G10658">
        <v>0</v>
      </c>
      <c r="H10658" t="s">
        <v>15569</v>
      </c>
      <c r="I10658">
        <v>11966</v>
      </c>
      <c r="J10658" t="e">
        <f>VLOOKUP(E10658,DSSpieler!A:B,2,FALSE)</f>
        <v>#N/A</v>
      </c>
    </row>
    <row r="10659" spans="1:10" x14ac:dyDescent="0.25">
      <c r="A10659">
        <v>11967</v>
      </c>
      <c r="B10659" t="s">
        <v>531</v>
      </c>
      <c r="C10659">
        <v>611</v>
      </c>
      <c r="D10659">
        <v>509</v>
      </c>
      <c r="E10659">
        <v>0</v>
      </c>
      <c r="F10659">
        <v>556</v>
      </c>
      <c r="G10659">
        <v>0</v>
      </c>
      <c r="H10659" t="s">
        <v>15570</v>
      </c>
      <c r="I10659">
        <v>11967</v>
      </c>
      <c r="J10659" t="e">
        <f>VLOOKUP(E10659,DSSpieler!A:B,2,FALSE)</f>
        <v>#N/A</v>
      </c>
    </row>
    <row r="10660" spans="1:10" x14ac:dyDescent="0.25">
      <c r="A10660">
        <v>11968</v>
      </c>
      <c r="B10660" t="s">
        <v>531</v>
      </c>
      <c r="C10660">
        <v>607</v>
      </c>
      <c r="D10660">
        <v>527</v>
      </c>
      <c r="E10660">
        <v>0</v>
      </c>
      <c r="F10660">
        <v>348</v>
      </c>
      <c r="G10660">
        <v>0</v>
      </c>
      <c r="H10660" t="s">
        <v>15571</v>
      </c>
      <c r="I10660">
        <v>11968</v>
      </c>
      <c r="J10660" t="e">
        <f>VLOOKUP(E10660,DSSpieler!A:B,2,FALSE)</f>
        <v>#N/A</v>
      </c>
    </row>
    <row r="10661" spans="1:10" x14ac:dyDescent="0.25">
      <c r="A10661">
        <v>11969</v>
      </c>
      <c r="B10661" t="s">
        <v>531</v>
      </c>
      <c r="C10661">
        <v>611</v>
      </c>
      <c r="D10661">
        <v>519</v>
      </c>
      <c r="E10661">
        <v>0</v>
      </c>
      <c r="F10661">
        <v>496</v>
      </c>
      <c r="G10661">
        <v>0</v>
      </c>
      <c r="H10661" t="s">
        <v>15572</v>
      </c>
      <c r="I10661">
        <v>11969</v>
      </c>
      <c r="J10661" t="e">
        <f>VLOOKUP(E10661,DSSpieler!A:B,2,FALSE)</f>
        <v>#N/A</v>
      </c>
    </row>
    <row r="10662" spans="1:10" x14ac:dyDescent="0.25">
      <c r="A10662">
        <v>11970</v>
      </c>
      <c r="B10662" t="s">
        <v>531</v>
      </c>
      <c r="C10662">
        <v>608</v>
      </c>
      <c r="D10662">
        <v>509</v>
      </c>
      <c r="E10662">
        <v>0</v>
      </c>
      <c r="F10662">
        <v>379</v>
      </c>
      <c r="G10662">
        <v>0</v>
      </c>
      <c r="H10662" t="s">
        <v>15573</v>
      </c>
      <c r="I10662">
        <v>11970</v>
      </c>
      <c r="J10662" t="e">
        <f>VLOOKUP(E10662,DSSpieler!A:B,2,FALSE)</f>
        <v>#N/A</v>
      </c>
    </row>
    <row r="10663" spans="1:10" x14ac:dyDescent="0.25">
      <c r="A10663">
        <v>11971</v>
      </c>
      <c r="B10663" t="s">
        <v>531</v>
      </c>
      <c r="C10663">
        <v>599</v>
      </c>
      <c r="D10663">
        <v>508</v>
      </c>
      <c r="E10663">
        <v>0</v>
      </c>
      <c r="F10663">
        <v>489</v>
      </c>
      <c r="G10663">
        <v>0</v>
      </c>
      <c r="H10663" t="s">
        <v>15574</v>
      </c>
      <c r="I10663">
        <v>11971</v>
      </c>
      <c r="J10663" t="e">
        <f>VLOOKUP(E10663,DSSpieler!A:B,2,FALSE)</f>
        <v>#N/A</v>
      </c>
    </row>
    <row r="10664" spans="1:10" x14ac:dyDescent="0.25">
      <c r="A10664">
        <v>11972</v>
      </c>
      <c r="B10664" t="s">
        <v>531</v>
      </c>
      <c r="C10664">
        <v>507</v>
      </c>
      <c r="D10664">
        <v>394</v>
      </c>
      <c r="E10664">
        <v>0</v>
      </c>
      <c r="F10664">
        <v>197</v>
      </c>
      <c r="G10664">
        <v>0</v>
      </c>
      <c r="H10664" t="s">
        <v>15575</v>
      </c>
      <c r="I10664">
        <v>11972</v>
      </c>
      <c r="J10664" t="e">
        <f>VLOOKUP(E10664,DSSpieler!A:B,2,FALSE)</f>
        <v>#N/A</v>
      </c>
    </row>
    <row r="10665" spans="1:10" x14ac:dyDescent="0.25">
      <c r="A10665">
        <v>11973</v>
      </c>
      <c r="B10665" t="s">
        <v>531</v>
      </c>
      <c r="C10665">
        <v>608</v>
      </c>
      <c r="D10665">
        <v>511</v>
      </c>
      <c r="E10665">
        <v>0</v>
      </c>
      <c r="F10665">
        <v>472</v>
      </c>
      <c r="G10665">
        <v>0</v>
      </c>
      <c r="H10665" t="s">
        <v>15576</v>
      </c>
      <c r="I10665">
        <v>11973</v>
      </c>
      <c r="J10665" t="e">
        <f>VLOOKUP(E10665,DSSpieler!A:B,2,FALSE)</f>
        <v>#N/A</v>
      </c>
    </row>
    <row r="10666" spans="1:10" x14ac:dyDescent="0.25">
      <c r="A10666">
        <v>11974</v>
      </c>
      <c r="B10666" t="s">
        <v>531</v>
      </c>
      <c r="C10666">
        <v>613</v>
      </c>
      <c r="D10666">
        <v>514</v>
      </c>
      <c r="E10666">
        <v>0</v>
      </c>
      <c r="F10666">
        <v>801</v>
      </c>
      <c r="G10666">
        <v>0</v>
      </c>
      <c r="H10666" t="s">
        <v>15577</v>
      </c>
      <c r="I10666">
        <v>11974</v>
      </c>
      <c r="J10666" t="e">
        <f>VLOOKUP(E10666,DSSpieler!A:B,2,FALSE)</f>
        <v>#N/A</v>
      </c>
    </row>
    <row r="10667" spans="1:10" x14ac:dyDescent="0.25">
      <c r="A10667">
        <v>11976</v>
      </c>
      <c r="B10667" t="s">
        <v>531</v>
      </c>
      <c r="C10667">
        <v>607</v>
      </c>
      <c r="D10667">
        <v>510</v>
      </c>
      <c r="E10667">
        <v>0</v>
      </c>
      <c r="F10667">
        <v>620</v>
      </c>
      <c r="G10667">
        <v>0</v>
      </c>
      <c r="H10667" t="s">
        <v>15578</v>
      </c>
      <c r="I10667">
        <v>11976</v>
      </c>
      <c r="J10667" t="e">
        <f>VLOOKUP(E10667,DSSpieler!A:B,2,FALSE)</f>
        <v>#N/A</v>
      </c>
    </row>
    <row r="10668" spans="1:10" x14ac:dyDescent="0.25">
      <c r="A10668">
        <v>11977</v>
      </c>
      <c r="B10668" t="s">
        <v>531</v>
      </c>
      <c r="C10668">
        <v>539</v>
      </c>
      <c r="D10668">
        <v>398</v>
      </c>
      <c r="E10668">
        <v>0</v>
      </c>
      <c r="F10668">
        <v>461</v>
      </c>
      <c r="G10668">
        <v>0</v>
      </c>
      <c r="H10668" t="s">
        <v>15579</v>
      </c>
      <c r="I10668">
        <v>11977</v>
      </c>
      <c r="J10668" t="e">
        <f>VLOOKUP(E10668,DSSpieler!A:B,2,FALSE)</f>
        <v>#N/A</v>
      </c>
    </row>
    <row r="10669" spans="1:10" x14ac:dyDescent="0.25">
      <c r="A10669">
        <v>11978</v>
      </c>
      <c r="B10669" t="s">
        <v>531</v>
      </c>
      <c r="C10669">
        <v>614</v>
      </c>
      <c r="D10669">
        <v>512</v>
      </c>
      <c r="E10669">
        <v>0</v>
      </c>
      <c r="F10669">
        <v>556</v>
      </c>
      <c r="G10669">
        <v>0</v>
      </c>
      <c r="H10669" t="s">
        <v>15580</v>
      </c>
      <c r="I10669">
        <v>11978</v>
      </c>
      <c r="J10669" t="e">
        <f>VLOOKUP(E10669,DSSpieler!A:B,2,FALSE)</f>
        <v>#N/A</v>
      </c>
    </row>
    <row r="10670" spans="1:10" x14ac:dyDescent="0.25">
      <c r="A10670">
        <v>11979</v>
      </c>
      <c r="B10670" t="s">
        <v>531</v>
      </c>
      <c r="C10670">
        <v>423</v>
      </c>
      <c r="D10670">
        <v>421</v>
      </c>
      <c r="E10670">
        <v>0</v>
      </c>
      <c r="F10670">
        <v>815</v>
      </c>
      <c r="G10670">
        <v>0</v>
      </c>
      <c r="H10670" t="s">
        <v>15581</v>
      </c>
      <c r="I10670">
        <v>11979</v>
      </c>
      <c r="J10670" t="e">
        <f>VLOOKUP(E10670,DSSpieler!A:B,2,FALSE)</f>
        <v>#N/A</v>
      </c>
    </row>
    <row r="10671" spans="1:10" x14ac:dyDescent="0.25">
      <c r="A10671">
        <v>11980</v>
      </c>
      <c r="B10671" t="s">
        <v>34008</v>
      </c>
      <c r="C10671">
        <v>610</v>
      </c>
      <c r="D10671">
        <v>505</v>
      </c>
      <c r="E10671">
        <v>1577191762</v>
      </c>
      <c r="F10671">
        <v>3041</v>
      </c>
      <c r="G10671">
        <v>0</v>
      </c>
      <c r="H10671" t="s">
        <v>15582</v>
      </c>
      <c r="I10671">
        <v>11980</v>
      </c>
      <c r="J10671" t="str">
        <f>VLOOKUP(E10671,DSSpieler!A:B,2,FALSE)</f>
        <v>Enno</v>
      </c>
    </row>
    <row r="10672" spans="1:10" x14ac:dyDescent="0.25">
      <c r="A10672">
        <v>11981</v>
      </c>
      <c r="B10672" t="s">
        <v>34319</v>
      </c>
      <c r="C10672">
        <v>609</v>
      </c>
      <c r="D10672">
        <v>506</v>
      </c>
      <c r="E10672">
        <v>1577197215</v>
      </c>
      <c r="F10672">
        <v>3505</v>
      </c>
      <c r="G10672">
        <v>0</v>
      </c>
      <c r="H10672" t="s">
        <v>15583</v>
      </c>
      <c r="I10672">
        <v>11981</v>
      </c>
      <c r="J10672" t="str">
        <f>VLOOKUP(E10672,DSSpieler!A:B,2,FALSE)</f>
        <v>Flamonet</v>
      </c>
    </row>
    <row r="10673" spans="1:10" x14ac:dyDescent="0.25">
      <c r="A10673">
        <v>11982</v>
      </c>
      <c r="B10673" t="s">
        <v>531</v>
      </c>
      <c r="C10673">
        <v>413</v>
      </c>
      <c r="D10673">
        <v>459</v>
      </c>
      <c r="E10673">
        <v>0</v>
      </c>
      <c r="F10673">
        <v>267</v>
      </c>
      <c r="G10673">
        <v>0</v>
      </c>
      <c r="H10673" t="s">
        <v>15584</v>
      </c>
      <c r="I10673">
        <v>11982</v>
      </c>
      <c r="J10673" t="e">
        <f>VLOOKUP(E10673,DSSpieler!A:B,2,FALSE)</f>
        <v>#N/A</v>
      </c>
    </row>
    <row r="10674" spans="1:10" x14ac:dyDescent="0.25">
      <c r="A10674">
        <v>11983</v>
      </c>
      <c r="B10674" t="s">
        <v>31311</v>
      </c>
      <c r="C10674">
        <v>402</v>
      </c>
      <c r="D10674">
        <v>523</v>
      </c>
      <c r="E10674">
        <v>1577055127</v>
      </c>
      <c r="F10674">
        <v>6763</v>
      </c>
      <c r="G10674">
        <v>0</v>
      </c>
      <c r="H10674" t="s">
        <v>15585</v>
      </c>
      <c r="I10674">
        <v>11983</v>
      </c>
      <c r="J10674" t="str">
        <f>VLOOKUP(E10674,DSSpieler!A:B,2,FALSE)</f>
        <v>Karnalos</v>
      </c>
    </row>
    <row r="10675" spans="1:10" x14ac:dyDescent="0.25">
      <c r="A10675">
        <v>11984</v>
      </c>
      <c r="B10675" t="s">
        <v>34320</v>
      </c>
      <c r="C10675">
        <v>614</v>
      </c>
      <c r="D10675">
        <v>503</v>
      </c>
      <c r="E10675">
        <v>1577198429</v>
      </c>
      <c r="F10675">
        <v>2418</v>
      </c>
      <c r="G10675">
        <v>0</v>
      </c>
      <c r="H10675" t="s">
        <v>15586</v>
      </c>
      <c r="I10675">
        <v>11984</v>
      </c>
      <c r="J10675" t="str">
        <f>VLOOKUP(E10675,DSSpieler!A:B,2,FALSE)</f>
        <v>GrimTheDevil</v>
      </c>
    </row>
    <row r="10676" spans="1:10" x14ac:dyDescent="0.25">
      <c r="A10676">
        <v>11985</v>
      </c>
      <c r="B10676" t="s">
        <v>34321</v>
      </c>
      <c r="C10676">
        <v>604</v>
      </c>
      <c r="D10676">
        <v>505</v>
      </c>
      <c r="E10676">
        <v>1577079146</v>
      </c>
      <c r="F10676">
        <v>1400</v>
      </c>
      <c r="G10676">
        <v>0</v>
      </c>
      <c r="H10676" t="s">
        <v>15587</v>
      </c>
      <c r="I10676">
        <v>11985</v>
      </c>
      <c r="J10676" t="str">
        <f>VLOOKUP(E10676,DSSpieler!A:B,2,FALSE)</f>
        <v>Sunnyspeed</v>
      </c>
    </row>
    <row r="10677" spans="1:10" x14ac:dyDescent="0.25">
      <c r="A10677">
        <v>11986</v>
      </c>
      <c r="B10677" t="s">
        <v>34322</v>
      </c>
      <c r="C10677">
        <v>610</v>
      </c>
      <c r="D10677">
        <v>509</v>
      </c>
      <c r="E10677">
        <v>1577198436</v>
      </c>
      <c r="F10677">
        <v>2490</v>
      </c>
      <c r="G10677">
        <v>0</v>
      </c>
      <c r="H10677" t="s">
        <v>15588</v>
      </c>
      <c r="I10677">
        <v>11986</v>
      </c>
      <c r="J10677" t="str">
        <f>VLOOKUP(E10677,DSSpieler!A:B,2,FALSE)</f>
        <v>Eugenda</v>
      </c>
    </row>
    <row r="10678" spans="1:10" x14ac:dyDescent="0.25">
      <c r="A10678">
        <v>11987</v>
      </c>
      <c r="B10678" t="s">
        <v>2089</v>
      </c>
      <c r="C10678">
        <v>399</v>
      </c>
      <c r="D10678">
        <v>463</v>
      </c>
      <c r="E10678">
        <v>1577198974</v>
      </c>
      <c r="F10678">
        <v>2937</v>
      </c>
      <c r="G10678">
        <v>0</v>
      </c>
      <c r="H10678" t="s">
        <v>15589</v>
      </c>
      <c r="I10678">
        <v>11987</v>
      </c>
      <c r="J10678" t="str">
        <f>VLOOKUP(E10678,DSSpieler!A:B,2,FALSE)</f>
        <v>Vennie</v>
      </c>
    </row>
    <row r="10679" spans="1:10" x14ac:dyDescent="0.25">
      <c r="A10679">
        <v>11988</v>
      </c>
      <c r="B10679" t="s">
        <v>34323</v>
      </c>
      <c r="C10679">
        <v>608</v>
      </c>
      <c r="D10679">
        <v>534</v>
      </c>
      <c r="E10679">
        <v>1577196748</v>
      </c>
      <c r="F10679">
        <v>247</v>
      </c>
      <c r="G10679">
        <v>0</v>
      </c>
      <c r="H10679" t="s">
        <v>15590</v>
      </c>
      <c r="I10679">
        <v>11988</v>
      </c>
      <c r="J10679" t="str">
        <f>VLOOKUP(E10679,DSSpieler!A:B,2,FALSE)</f>
        <v>VATAN06</v>
      </c>
    </row>
    <row r="10680" spans="1:10" x14ac:dyDescent="0.25">
      <c r="A10680">
        <v>11989</v>
      </c>
      <c r="B10680" t="s">
        <v>34324</v>
      </c>
      <c r="C10680">
        <v>441</v>
      </c>
      <c r="D10680">
        <v>416</v>
      </c>
      <c r="E10680">
        <v>1598336</v>
      </c>
      <c r="F10680">
        <v>3162</v>
      </c>
      <c r="G10680">
        <v>0</v>
      </c>
      <c r="H10680" t="s">
        <v>15591</v>
      </c>
      <c r="I10680">
        <v>11989</v>
      </c>
      <c r="J10680" t="str">
        <f>VLOOKUP(E10680,DSSpieler!A:B,2,FALSE)</f>
        <v>rs3000</v>
      </c>
    </row>
    <row r="10681" spans="1:10" x14ac:dyDescent="0.25">
      <c r="A10681">
        <v>11990</v>
      </c>
      <c r="B10681" t="s">
        <v>34325</v>
      </c>
      <c r="C10681">
        <v>508</v>
      </c>
      <c r="D10681">
        <v>423</v>
      </c>
      <c r="E10681">
        <v>1577198978</v>
      </c>
      <c r="F10681">
        <v>5218</v>
      </c>
      <c r="G10681">
        <v>0</v>
      </c>
      <c r="H10681" t="s">
        <v>15592</v>
      </c>
      <c r="I10681">
        <v>11990</v>
      </c>
      <c r="J10681" t="str">
        <f>VLOOKUP(E10681,DSSpieler!A:B,2,FALSE)</f>
        <v>lucas112</v>
      </c>
    </row>
    <row r="10682" spans="1:10" x14ac:dyDescent="0.25">
      <c r="A10682">
        <v>11991</v>
      </c>
      <c r="B10682" t="s">
        <v>531</v>
      </c>
      <c r="C10682">
        <v>397</v>
      </c>
      <c r="D10682">
        <v>533</v>
      </c>
      <c r="E10682">
        <v>0</v>
      </c>
      <c r="F10682">
        <v>193</v>
      </c>
      <c r="G10682">
        <v>0</v>
      </c>
      <c r="H10682" t="s">
        <v>15593</v>
      </c>
      <c r="I10682">
        <v>11991</v>
      </c>
      <c r="J10682" t="e">
        <f>VLOOKUP(E10682,DSSpieler!A:B,2,FALSE)</f>
        <v>#N/A</v>
      </c>
    </row>
    <row r="10683" spans="1:10" x14ac:dyDescent="0.25">
      <c r="A10683">
        <v>11992</v>
      </c>
      <c r="B10683" t="s">
        <v>2090</v>
      </c>
      <c r="C10683">
        <v>510</v>
      </c>
      <c r="D10683">
        <v>426</v>
      </c>
      <c r="E10683">
        <v>1577198980</v>
      </c>
      <c r="F10683">
        <v>5696</v>
      </c>
      <c r="G10683">
        <v>0</v>
      </c>
      <c r="H10683" t="s">
        <v>15594</v>
      </c>
      <c r="I10683">
        <v>11992</v>
      </c>
      <c r="J10683" t="str">
        <f>VLOOKUP(E10683,DSSpieler!A:B,2,FALSE)</f>
        <v>Maunschl jr</v>
      </c>
    </row>
    <row r="10684" spans="1:10" x14ac:dyDescent="0.25">
      <c r="A10684">
        <v>11993</v>
      </c>
      <c r="B10684" t="s">
        <v>34326</v>
      </c>
      <c r="C10684">
        <v>508</v>
      </c>
      <c r="D10684">
        <v>415</v>
      </c>
      <c r="E10684">
        <v>1577198979</v>
      </c>
      <c r="F10684">
        <v>5611</v>
      </c>
      <c r="G10684">
        <v>0</v>
      </c>
      <c r="H10684" t="s">
        <v>15595</v>
      </c>
      <c r="I10684">
        <v>11993</v>
      </c>
      <c r="J10684" t="str">
        <f>VLOOKUP(E10684,DSSpieler!A:B,2,FALSE)</f>
        <v>Asswin</v>
      </c>
    </row>
    <row r="10685" spans="1:10" x14ac:dyDescent="0.25">
      <c r="A10685">
        <v>11994</v>
      </c>
      <c r="B10685" t="s">
        <v>34327</v>
      </c>
      <c r="C10685">
        <v>583</v>
      </c>
      <c r="D10685">
        <v>427</v>
      </c>
      <c r="E10685">
        <v>1715064</v>
      </c>
      <c r="F10685">
        <v>6740</v>
      </c>
      <c r="G10685">
        <v>0</v>
      </c>
      <c r="H10685" t="s">
        <v>15596</v>
      </c>
      <c r="I10685">
        <v>11994</v>
      </c>
      <c r="J10685" t="str">
        <f>VLOOKUP(E10685,DSSpieler!A:B,2,FALSE)</f>
        <v>Robinso</v>
      </c>
    </row>
    <row r="10686" spans="1:10" x14ac:dyDescent="0.25">
      <c r="A10686">
        <v>11995</v>
      </c>
      <c r="B10686" t="s">
        <v>531</v>
      </c>
      <c r="C10686">
        <v>421</v>
      </c>
      <c r="D10686">
        <v>571</v>
      </c>
      <c r="E10686">
        <v>0</v>
      </c>
      <c r="F10686">
        <v>424</v>
      </c>
      <c r="G10686">
        <v>0</v>
      </c>
      <c r="H10686" t="s">
        <v>15597</v>
      </c>
      <c r="I10686">
        <v>11995</v>
      </c>
      <c r="J10686" t="e">
        <f>VLOOKUP(E10686,DSSpieler!A:B,2,FALSE)</f>
        <v>#N/A</v>
      </c>
    </row>
    <row r="10687" spans="1:10" x14ac:dyDescent="0.25">
      <c r="A10687">
        <v>11998</v>
      </c>
      <c r="B10687" t="s">
        <v>531</v>
      </c>
      <c r="C10687">
        <v>551</v>
      </c>
      <c r="D10687">
        <v>487</v>
      </c>
      <c r="E10687">
        <v>0</v>
      </c>
      <c r="F10687">
        <v>599</v>
      </c>
      <c r="G10687">
        <v>0</v>
      </c>
      <c r="H10687" t="s">
        <v>15598</v>
      </c>
      <c r="I10687">
        <v>11998</v>
      </c>
      <c r="J10687" t="e">
        <f>VLOOKUP(E10687,DSSpieler!A:B,2,FALSE)</f>
        <v>#N/A</v>
      </c>
    </row>
    <row r="10688" spans="1:10" x14ac:dyDescent="0.25">
      <c r="A10688">
        <v>11999</v>
      </c>
      <c r="B10688" t="s">
        <v>34328</v>
      </c>
      <c r="C10688">
        <v>443</v>
      </c>
      <c r="D10688">
        <v>407</v>
      </c>
      <c r="E10688">
        <v>1539246</v>
      </c>
      <c r="F10688">
        <v>5405</v>
      </c>
      <c r="G10688">
        <v>0</v>
      </c>
      <c r="H10688" t="s">
        <v>15599</v>
      </c>
      <c r="I10688">
        <v>11999</v>
      </c>
      <c r="J10688" t="str">
        <f>VLOOKUP(E10688,DSSpieler!A:B,2,FALSE)</f>
        <v>Klose100</v>
      </c>
    </row>
    <row r="10689" spans="1:10" x14ac:dyDescent="0.25">
      <c r="A10689">
        <v>12000</v>
      </c>
      <c r="B10689" t="s">
        <v>2091</v>
      </c>
      <c r="C10689">
        <v>516</v>
      </c>
      <c r="D10689">
        <v>400</v>
      </c>
      <c r="E10689">
        <v>8350550</v>
      </c>
      <c r="F10689">
        <v>2729</v>
      </c>
      <c r="G10689">
        <v>0</v>
      </c>
      <c r="H10689" t="s">
        <v>15600</v>
      </c>
      <c r="I10689">
        <v>12000</v>
      </c>
      <c r="J10689" t="str">
        <f>VLOOKUP(E10689,DSSpieler!A:B,2,FALSE)</f>
        <v>sethti</v>
      </c>
    </row>
    <row r="10690" spans="1:10" x14ac:dyDescent="0.25">
      <c r="A10690">
        <v>12001</v>
      </c>
      <c r="B10690">
        <v>8</v>
      </c>
      <c r="C10690">
        <v>392</v>
      </c>
      <c r="D10690">
        <v>496</v>
      </c>
      <c r="E10690">
        <v>9642632</v>
      </c>
      <c r="F10690">
        <v>1098</v>
      </c>
      <c r="G10690">
        <v>0</v>
      </c>
      <c r="H10690" t="s">
        <v>15601</v>
      </c>
      <c r="I10690">
        <v>12001</v>
      </c>
      <c r="J10690" t="str">
        <f>VLOOKUP(E10690,DSSpieler!A:B,2,FALSE)</f>
        <v>Micha041</v>
      </c>
    </row>
    <row r="10691" spans="1:10" x14ac:dyDescent="0.25">
      <c r="A10691">
        <v>12002</v>
      </c>
      <c r="B10691">
        <v>2</v>
      </c>
      <c r="C10691">
        <v>441</v>
      </c>
      <c r="D10691">
        <v>427</v>
      </c>
      <c r="E10691">
        <v>1577175546</v>
      </c>
      <c r="F10691">
        <v>6335</v>
      </c>
      <c r="G10691">
        <v>0</v>
      </c>
      <c r="H10691" t="s">
        <v>15602</v>
      </c>
      <c r="I10691">
        <v>12002</v>
      </c>
      <c r="J10691" t="str">
        <f>VLOOKUP(E10691,DSSpieler!A:B,2,FALSE)</f>
        <v>Leenz1</v>
      </c>
    </row>
    <row r="10692" spans="1:10" x14ac:dyDescent="0.25">
      <c r="A10692">
        <v>12003</v>
      </c>
      <c r="B10692" t="s">
        <v>531</v>
      </c>
      <c r="C10692">
        <v>426</v>
      </c>
      <c r="D10692">
        <v>581</v>
      </c>
      <c r="E10692">
        <v>0</v>
      </c>
      <c r="F10692">
        <v>212</v>
      </c>
      <c r="G10692">
        <v>0</v>
      </c>
      <c r="H10692" t="s">
        <v>15603</v>
      </c>
      <c r="I10692">
        <v>12003</v>
      </c>
      <c r="J10692" t="e">
        <f>VLOOKUP(E10692,DSSpieler!A:B,2,FALSE)</f>
        <v>#N/A</v>
      </c>
    </row>
    <row r="10693" spans="1:10" x14ac:dyDescent="0.25">
      <c r="A10693">
        <v>12004</v>
      </c>
      <c r="B10693" t="s">
        <v>531</v>
      </c>
      <c r="C10693">
        <v>560</v>
      </c>
      <c r="D10693">
        <v>414</v>
      </c>
      <c r="E10693">
        <v>0</v>
      </c>
      <c r="F10693">
        <v>221</v>
      </c>
      <c r="G10693">
        <v>0</v>
      </c>
      <c r="H10693" t="s">
        <v>15604</v>
      </c>
      <c r="I10693">
        <v>12004</v>
      </c>
      <c r="J10693" t="e">
        <f>VLOOKUP(E10693,DSSpieler!A:B,2,FALSE)</f>
        <v>#N/A</v>
      </c>
    </row>
    <row r="10694" spans="1:10" x14ac:dyDescent="0.25">
      <c r="A10694">
        <v>12005</v>
      </c>
      <c r="B10694" t="s">
        <v>531</v>
      </c>
      <c r="C10694">
        <v>408</v>
      </c>
      <c r="D10694">
        <v>555</v>
      </c>
      <c r="E10694">
        <v>0</v>
      </c>
      <c r="F10694">
        <v>335</v>
      </c>
      <c r="G10694">
        <v>0</v>
      </c>
      <c r="H10694" t="s">
        <v>15605</v>
      </c>
      <c r="I10694">
        <v>12005</v>
      </c>
      <c r="J10694" t="e">
        <f>VLOOKUP(E10694,DSSpieler!A:B,2,FALSE)</f>
        <v>#N/A</v>
      </c>
    </row>
    <row r="10695" spans="1:10" x14ac:dyDescent="0.25">
      <c r="A10695">
        <v>12006</v>
      </c>
      <c r="B10695" t="s">
        <v>2092</v>
      </c>
      <c r="C10695">
        <v>567</v>
      </c>
      <c r="D10695">
        <v>421</v>
      </c>
      <c r="E10695">
        <v>1577012534</v>
      </c>
      <c r="F10695">
        <v>7656</v>
      </c>
      <c r="G10695">
        <v>0</v>
      </c>
      <c r="H10695" t="s">
        <v>15606</v>
      </c>
      <c r="I10695">
        <v>12006</v>
      </c>
      <c r="J10695" t="str">
        <f>VLOOKUP(E10695,DSSpieler!A:B,2,FALSE)</f>
        <v>Gaucho Ronalbimbo</v>
      </c>
    </row>
    <row r="10696" spans="1:10" x14ac:dyDescent="0.25">
      <c r="A10696">
        <v>12007</v>
      </c>
      <c r="B10696" t="s">
        <v>34329</v>
      </c>
      <c r="C10696">
        <v>402</v>
      </c>
      <c r="D10696">
        <v>460</v>
      </c>
      <c r="E10696">
        <v>9933981</v>
      </c>
      <c r="F10696">
        <v>6071</v>
      </c>
      <c r="G10696">
        <v>0</v>
      </c>
      <c r="H10696" t="s">
        <v>15607</v>
      </c>
      <c r="I10696">
        <v>12007</v>
      </c>
      <c r="J10696" t="str">
        <f>VLOOKUP(E10696,DSSpieler!A:B,2,FALSE)</f>
        <v>Don Juan de Johan</v>
      </c>
    </row>
    <row r="10697" spans="1:10" x14ac:dyDescent="0.25">
      <c r="A10697">
        <v>12008</v>
      </c>
      <c r="B10697" t="s">
        <v>2093</v>
      </c>
      <c r="C10697">
        <v>467</v>
      </c>
      <c r="D10697">
        <v>397</v>
      </c>
      <c r="E10697">
        <v>1183177</v>
      </c>
      <c r="F10697">
        <v>6791</v>
      </c>
      <c r="G10697">
        <v>0</v>
      </c>
      <c r="H10697" t="s">
        <v>15608</v>
      </c>
      <c r="I10697">
        <v>12008</v>
      </c>
      <c r="J10697" t="str">
        <f>VLOOKUP(E10697,DSSpieler!A:B,2,FALSE)</f>
        <v>Schaefery</v>
      </c>
    </row>
    <row r="10698" spans="1:10" x14ac:dyDescent="0.25">
      <c r="A10698">
        <v>12009</v>
      </c>
      <c r="B10698" t="s">
        <v>531</v>
      </c>
      <c r="C10698">
        <v>422</v>
      </c>
      <c r="D10698">
        <v>579</v>
      </c>
      <c r="E10698">
        <v>0</v>
      </c>
      <c r="F10698">
        <v>266</v>
      </c>
      <c r="G10698">
        <v>0</v>
      </c>
      <c r="H10698" t="s">
        <v>15609</v>
      </c>
      <c r="I10698">
        <v>12009</v>
      </c>
      <c r="J10698" t="e">
        <f>VLOOKUP(E10698,DSSpieler!A:B,2,FALSE)</f>
        <v>#N/A</v>
      </c>
    </row>
    <row r="10699" spans="1:10" x14ac:dyDescent="0.25">
      <c r="A10699">
        <v>12011</v>
      </c>
      <c r="B10699" t="s">
        <v>531</v>
      </c>
      <c r="C10699">
        <v>416</v>
      </c>
      <c r="D10699">
        <v>570</v>
      </c>
      <c r="E10699">
        <v>0</v>
      </c>
      <c r="F10699">
        <v>536</v>
      </c>
      <c r="G10699">
        <v>0</v>
      </c>
      <c r="H10699" t="s">
        <v>15610</v>
      </c>
      <c r="I10699">
        <v>12011</v>
      </c>
      <c r="J10699" t="e">
        <f>VLOOKUP(E10699,DSSpieler!A:B,2,FALSE)</f>
        <v>#N/A</v>
      </c>
    </row>
    <row r="10700" spans="1:10" x14ac:dyDescent="0.25">
      <c r="A10700">
        <v>12012</v>
      </c>
      <c r="B10700" t="s">
        <v>34330</v>
      </c>
      <c r="C10700">
        <v>571</v>
      </c>
      <c r="D10700">
        <v>584</v>
      </c>
      <c r="E10700">
        <v>1576134517</v>
      </c>
      <c r="F10700">
        <v>6515</v>
      </c>
      <c r="G10700">
        <v>0</v>
      </c>
      <c r="H10700" t="s">
        <v>15611</v>
      </c>
      <c r="I10700">
        <v>12012</v>
      </c>
      <c r="J10700" t="str">
        <f>VLOOKUP(E10700,DSSpieler!A:B,2,FALSE)</f>
        <v>Gammler9</v>
      </c>
    </row>
    <row r="10701" spans="1:10" x14ac:dyDescent="0.25">
      <c r="A10701">
        <v>12013</v>
      </c>
      <c r="B10701" t="s">
        <v>531</v>
      </c>
      <c r="C10701">
        <v>430</v>
      </c>
      <c r="D10701">
        <v>569</v>
      </c>
      <c r="E10701">
        <v>0</v>
      </c>
      <c r="F10701">
        <v>396</v>
      </c>
      <c r="G10701">
        <v>0</v>
      </c>
      <c r="H10701" t="s">
        <v>15612</v>
      </c>
      <c r="I10701">
        <v>12013</v>
      </c>
      <c r="J10701" t="e">
        <f>VLOOKUP(E10701,DSSpieler!A:B,2,FALSE)</f>
        <v>#N/A</v>
      </c>
    </row>
    <row r="10702" spans="1:10" x14ac:dyDescent="0.25">
      <c r="A10702">
        <v>12014</v>
      </c>
      <c r="B10702" t="s">
        <v>531</v>
      </c>
      <c r="C10702">
        <v>598</v>
      </c>
      <c r="D10702">
        <v>533</v>
      </c>
      <c r="E10702">
        <v>0</v>
      </c>
      <c r="F10702">
        <v>391</v>
      </c>
      <c r="G10702">
        <v>0</v>
      </c>
      <c r="H10702" t="s">
        <v>15613</v>
      </c>
      <c r="I10702">
        <v>12014</v>
      </c>
      <c r="J10702" t="e">
        <f>VLOOKUP(E10702,DSSpieler!A:B,2,FALSE)</f>
        <v>#N/A</v>
      </c>
    </row>
    <row r="10703" spans="1:10" x14ac:dyDescent="0.25">
      <c r="A10703">
        <v>12015</v>
      </c>
      <c r="B10703" t="s">
        <v>531</v>
      </c>
      <c r="C10703">
        <v>420</v>
      </c>
      <c r="D10703">
        <v>573</v>
      </c>
      <c r="E10703">
        <v>0</v>
      </c>
      <c r="F10703">
        <v>692</v>
      </c>
      <c r="G10703">
        <v>0</v>
      </c>
      <c r="H10703" t="s">
        <v>15614</v>
      </c>
      <c r="I10703">
        <v>12015</v>
      </c>
      <c r="J10703" t="e">
        <f>VLOOKUP(E10703,DSSpieler!A:B,2,FALSE)</f>
        <v>#N/A</v>
      </c>
    </row>
    <row r="10704" spans="1:10" x14ac:dyDescent="0.25">
      <c r="A10704">
        <v>12016</v>
      </c>
      <c r="B10704" t="s">
        <v>34331</v>
      </c>
      <c r="C10704">
        <v>402</v>
      </c>
      <c r="D10704">
        <v>459</v>
      </c>
      <c r="E10704">
        <v>9933981</v>
      </c>
      <c r="F10704">
        <v>1541</v>
      </c>
      <c r="G10704">
        <v>0</v>
      </c>
      <c r="H10704" t="s">
        <v>15615</v>
      </c>
      <c r="I10704">
        <v>12016</v>
      </c>
      <c r="J10704" t="str">
        <f>VLOOKUP(E10704,DSSpieler!A:B,2,FALSE)</f>
        <v>Don Juan de Johan</v>
      </c>
    </row>
    <row r="10705" spans="1:10" x14ac:dyDescent="0.25">
      <c r="A10705">
        <v>12017</v>
      </c>
      <c r="B10705" t="s">
        <v>531</v>
      </c>
      <c r="C10705">
        <v>403</v>
      </c>
      <c r="D10705">
        <v>464</v>
      </c>
      <c r="E10705">
        <v>0</v>
      </c>
      <c r="F10705">
        <v>173</v>
      </c>
      <c r="G10705">
        <v>0</v>
      </c>
      <c r="H10705" t="s">
        <v>15616</v>
      </c>
      <c r="I10705">
        <v>12017</v>
      </c>
      <c r="J10705" t="e">
        <f>VLOOKUP(E10705,DSSpieler!A:B,2,FALSE)</f>
        <v>#N/A</v>
      </c>
    </row>
    <row r="10706" spans="1:10" x14ac:dyDescent="0.25">
      <c r="A10706">
        <v>12018</v>
      </c>
      <c r="B10706" t="e">
        <f>-1-+AC</f>
        <v>#NAME?</v>
      </c>
      <c r="C10706">
        <v>614</v>
      </c>
      <c r="D10706">
        <v>490</v>
      </c>
      <c r="E10706">
        <v>2241597</v>
      </c>
      <c r="F10706">
        <v>6227</v>
      </c>
      <c r="G10706">
        <v>0</v>
      </c>
      <c r="H10706" t="s">
        <v>15617</v>
      </c>
      <c r="I10706">
        <v>12018</v>
      </c>
      <c r="J10706" t="str">
        <f>VLOOKUP(E10706,DSSpieler!A:B,2,FALSE)</f>
        <v>Darkrico</v>
      </c>
    </row>
    <row r="10707" spans="1:10" x14ac:dyDescent="0.25">
      <c r="A10707">
        <v>12019</v>
      </c>
      <c r="B10707" t="s">
        <v>531</v>
      </c>
      <c r="C10707">
        <v>582</v>
      </c>
      <c r="D10707">
        <v>442</v>
      </c>
      <c r="E10707">
        <v>0</v>
      </c>
      <c r="F10707">
        <v>286</v>
      </c>
      <c r="G10707">
        <v>0</v>
      </c>
      <c r="H10707" t="s">
        <v>15618</v>
      </c>
      <c r="I10707">
        <v>12019</v>
      </c>
      <c r="J10707" t="e">
        <f>VLOOKUP(E10707,DSSpieler!A:B,2,FALSE)</f>
        <v>#N/A</v>
      </c>
    </row>
    <row r="10708" spans="1:10" x14ac:dyDescent="0.25">
      <c r="A10708">
        <v>12020</v>
      </c>
      <c r="B10708" t="s">
        <v>531</v>
      </c>
      <c r="C10708">
        <v>428</v>
      </c>
      <c r="D10708">
        <v>575</v>
      </c>
      <c r="E10708">
        <v>0</v>
      </c>
      <c r="F10708">
        <v>149</v>
      </c>
      <c r="G10708">
        <v>0</v>
      </c>
      <c r="H10708" t="s">
        <v>15619</v>
      </c>
      <c r="I10708">
        <v>12020</v>
      </c>
      <c r="J10708" t="e">
        <f>VLOOKUP(E10708,DSSpieler!A:B,2,FALSE)</f>
        <v>#N/A</v>
      </c>
    </row>
    <row r="10709" spans="1:10" x14ac:dyDescent="0.25">
      <c r="A10709">
        <v>12021</v>
      </c>
      <c r="B10709" t="s">
        <v>531</v>
      </c>
      <c r="C10709">
        <v>395</v>
      </c>
      <c r="D10709">
        <v>460</v>
      </c>
      <c r="E10709">
        <v>0</v>
      </c>
      <c r="F10709">
        <v>191</v>
      </c>
      <c r="G10709">
        <v>0</v>
      </c>
      <c r="H10709" t="s">
        <v>15620</v>
      </c>
      <c r="I10709">
        <v>12021</v>
      </c>
      <c r="J10709" t="e">
        <f>VLOOKUP(E10709,DSSpieler!A:B,2,FALSE)</f>
        <v>#N/A</v>
      </c>
    </row>
    <row r="10710" spans="1:10" x14ac:dyDescent="0.25">
      <c r="A10710">
        <v>12022</v>
      </c>
      <c r="B10710" t="s">
        <v>531</v>
      </c>
      <c r="C10710">
        <v>391</v>
      </c>
      <c r="D10710">
        <v>488</v>
      </c>
      <c r="E10710">
        <v>0</v>
      </c>
      <c r="F10710">
        <v>353</v>
      </c>
      <c r="G10710">
        <v>0</v>
      </c>
      <c r="H10710" t="s">
        <v>15621</v>
      </c>
      <c r="I10710">
        <v>12022</v>
      </c>
      <c r="J10710" t="e">
        <f>VLOOKUP(E10710,DSSpieler!A:B,2,FALSE)</f>
        <v>#N/A</v>
      </c>
    </row>
    <row r="10711" spans="1:10" x14ac:dyDescent="0.25">
      <c r="A10711">
        <v>12023</v>
      </c>
      <c r="B10711" t="s">
        <v>531</v>
      </c>
      <c r="C10711">
        <v>424</v>
      </c>
      <c r="D10711">
        <v>572</v>
      </c>
      <c r="E10711">
        <v>0</v>
      </c>
      <c r="F10711">
        <v>151</v>
      </c>
      <c r="G10711">
        <v>0</v>
      </c>
      <c r="H10711" t="s">
        <v>15622</v>
      </c>
      <c r="I10711">
        <v>12023</v>
      </c>
      <c r="J10711" t="e">
        <f>VLOOKUP(E10711,DSSpieler!A:B,2,FALSE)</f>
        <v>#N/A</v>
      </c>
    </row>
    <row r="10712" spans="1:10" x14ac:dyDescent="0.25">
      <c r="A10712">
        <v>12024</v>
      </c>
      <c r="B10712" t="s">
        <v>531</v>
      </c>
      <c r="C10712">
        <v>442</v>
      </c>
      <c r="D10712">
        <v>492</v>
      </c>
      <c r="E10712">
        <v>0</v>
      </c>
      <c r="F10712">
        <v>556</v>
      </c>
      <c r="G10712">
        <v>0</v>
      </c>
      <c r="H10712" t="s">
        <v>15623</v>
      </c>
      <c r="I10712">
        <v>12024</v>
      </c>
      <c r="J10712" t="e">
        <f>VLOOKUP(E10712,DSSpieler!A:B,2,FALSE)</f>
        <v>#N/A</v>
      </c>
    </row>
    <row r="10713" spans="1:10" x14ac:dyDescent="0.25">
      <c r="A10713">
        <v>12025</v>
      </c>
      <c r="B10713" t="s">
        <v>34332</v>
      </c>
      <c r="C10713">
        <v>605</v>
      </c>
      <c r="D10713">
        <v>502</v>
      </c>
      <c r="E10713">
        <v>1576984501</v>
      </c>
      <c r="F10713">
        <v>6201</v>
      </c>
      <c r="G10713">
        <v>0</v>
      </c>
      <c r="H10713" t="s">
        <v>15624</v>
      </c>
      <c r="I10713">
        <v>12025</v>
      </c>
      <c r="J10713" t="str">
        <f>VLOOKUP(E10713,DSSpieler!A:B,2,FALSE)</f>
        <v>henben</v>
      </c>
    </row>
    <row r="10714" spans="1:10" x14ac:dyDescent="0.25">
      <c r="A10714">
        <v>12026</v>
      </c>
      <c r="B10714" t="s">
        <v>34333</v>
      </c>
      <c r="C10714">
        <v>432</v>
      </c>
      <c r="D10714">
        <v>569</v>
      </c>
      <c r="E10714">
        <v>1577132417</v>
      </c>
      <c r="F10714">
        <v>2745</v>
      </c>
      <c r="G10714">
        <v>0</v>
      </c>
      <c r="H10714" t="s">
        <v>15625</v>
      </c>
      <c r="I10714">
        <v>12026</v>
      </c>
      <c r="J10714" t="str">
        <f>VLOOKUP(E10714,DSSpieler!A:B,2,FALSE)</f>
        <v>ERZmarter</v>
      </c>
    </row>
    <row r="10715" spans="1:10" x14ac:dyDescent="0.25">
      <c r="A10715">
        <v>12027</v>
      </c>
      <c r="B10715" t="s">
        <v>531</v>
      </c>
      <c r="C10715">
        <v>600</v>
      </c>
      <c r="D10715">
        <v>469</v>
      </c>
      <c r="E10715">
        <v>0</v>
      </c>
      <c r="F10715">
        <v>214</v>
      </c>
      <c r="G10715">
        <v>0</v>
      </c>
      <c r="H10715" t="s">
        <v>15626</v>
      </c>
      <c r="I10715">
        <v>12027</v>
      </c>
      <c r="J10715" t="e">
        <f>VLOOKUP(E10715,DSSpieler!A:B,2,FALSE)</f>
        <v>#N/A</v>
      </c>
    </row>
    <row r="10716" spans="1:10" x14ac:dyDescent="0.25">
      <c r="A10716">
        <v>12028</v>
      </c>
      <c r="B10716" t="s">
        <v>531</v>
      </c>
      <c r="C10716">
        <v>422</v>
      </c>
      <c r="D10716">
        <v>573</v>
      </c>
      <c r="E10716">
        <v>0</v>
      </c>
      <c r="F10716">
        <v>183</v>
      </c>
      <c r="G10716">
        <v>0</v>
      </c>
      <c r="H10716" t="s">
        <v>15627</v>
      </c>
      <c r="I10716">
        <v>12028</v>
      </c>
      <c r="J10716" t="e">
        <f>VLOOKUP(E10716,DSSpieler!A:B,2,FALSE)</f>
        <v>#N/A</v>
      </c>
    </row>
    <row r="10717" spans="1:10" x14ac:dyDescent="0.25">
      <c r="A10717">
        <v>12029</v>
      </c>
      <c r="B10717" t="s">
        <v>531</v>
      </c>
      <c r="C10717">
        <v>507</v>
      </c>
      <c r="D10717">
        <v>393</v>
      </c>
      <c r="E10717">
        <v>0</v>
      </c>
      <c r="F10717">
        <v>254</v>
      </c>
      <c r="G10717">
        <v>0</v>
      </c>
      <c r="H10717" t="s">
        <v>15628</v>
      </c>
      <c r="I10717">
        <v>12029</v>
      </c>
      <c r="J10717" t="e">
        <f>VLOOKUP(E10717,DSSpieler!A:B,2,FALSE)</f>
        <v>#N/A</v>
      </c>
    </row>
    <row r="10718" spans="1:10" x14ac:dyDescent="0.25">
      <c r="A10718">
        <v>12030</v>
      </c>
      <c r="B10718" t="s">
        <v>34334</v>
      </c>
      <c r="C10718">
        <v>429</v>
      </c>
      <c r="D10718">
        <v>580</v>
      </c>
      <c r="E10718">
        <v>1576754527</v>
      </c>
      <c r="F10718">
        <v>3031</v>
      </c>
      <c r="G10718">
        <v>0</v>
      </c>
      <c r="H10718" t="s">
        <v>15629</v>
      </c>
      <c r="I10718">
        <v>12030</v>
      </c>
      <c r="J10718" t="str">
        <f>VLOOKUP(E10718,DSSpieler!A:B,2,FALSE)</f>
        <v>Karax</v>
      </c>
    </row>
    <row r="10719" spans="1:10" x14ac:dyDescent="0.25">
      <c r="A10719">
        <v>12031</v>
      </c>
      <c r="B10719" t="s">
        <v>531</v>
      </c>
      <c r="C10719">
        <v>421</v>
      </c>
      <c r="D10719">
        <v>573</v>
      </c>
      <c r="E10719">
        <v>0</v>
      </c>
      <c r="F10719">
        <v>427</v>
      </c>
      <c r="G10719">
        <v>0</v>
      </c>
      <c r="H10719" t="s">
        <v>15630</v>
      </c>
      <c r="I10719">
        <v>12031</v>
      </c>
      <c r="J10719" t="e">
        <f>VLOOKUP(E10719,DSSpieler!A:B,2,FALSE)</f>
        <v>#N/A</v>
      </c>
    </row>
    <row r="10720" spans="1:10" x14ac:dyDescent="0.25">
      <c r="A10720">
        <v>12032</v>
      </c>
      <c r="B10720" t="s">
        <v>34335</v>
      </c>
      <c r="C10720">
        <v>573</v>
      </c>
      <c r="D10720">
        <v>447</v>
      </c>
      <c r="E10720">
        <v>1575884360</v>
      </c>
      <c r="F10720">
        <v>6745</v>
      </c>
      <c r="G10720">
        <v>0</v>
      </c>
      <c r="H10720" t="s">
        <v>15631</v>
      </c>
      <c r="I10720">
        <v>12032</v>
      </c>
      <c r="J10720" t="str">
        <f>VLOOKUP(E10720,DSSpieler!A:B,2,FALSE)</f>
        <v>Moulan</v>
      </c>
    </row>
    <row r="10721" spans="1:10" x14ac:dyDescent="0.25">
      <c r="A10721">
        <v>12033</v>
      </c>
      <c r="B10721" t="s">
        <v>531</v>
      </c>
      <c r="C10721">
        <v>560</v>
      </c>
      <c r="D10721">
        <v>588</v>
      </c>
      <c r="E10721">
        <v>0</v>
      </c>
      <c r="F10721">
        <v>261</v>
      </c>
      <c r="G10721">
        <v>0</v>
      </c>
      <c r="H10721" t="s">
        <v>15632</v>
      </c>
      <c r="I10721">
        <v>12033</v>
      </c>
      <c r="J10721" t="e">
        <f>VLOOKUP(E10721,DSSpieler!A:B,2,FALSE)</f>
        <v>#N/A</v>
      </c>
    </row>
    <row r="10722" spans="1:10" x14ac:dyDescent="0.25">
      <c r="A10722">
        <v>12034</v>
      </c>
      <c r="B10722" t="s">
        <v>531</v>
      </c>
      <c r="C10722">
        <v>426</v>
      </c>
      <c r="D10722">
        <v>571</v>
      </c>
      <c r="E10722">
        <v>0</v>
      </c>
      <c r="F10722">
        <v>206</v>
      </c>
      <c r="G10722">
        <v>0</v>
      </c>
      <c r="H10722" t="s">
        <v>15633</v>
      </c>
      <c r="I10722">
        <v>12034</v>
      </c>
      <c r="J10722" t="e">
        <f>VLOOKUP(E10722,DSSpieler!A:B,2,FALSE)</f>
        <v>#N/A</v>
      </c>
    </row>
    <row r="10723" spans="1:10" x14ac:dyDescent="0.25">
      <c r="A10723">
        <v>12035</v>
      </c>
      <c r="B10723" t="s">
        <v>2094</v>
      </c>
      <c r="C10723">
        <v>424</v>
      </c>
      <c r="D10723">
        <v>577</v>
      </c>
      <c r="E10723">
        <v>1576287406</v>
      </c>
      <c r="F10723">
        <v>3869</v>
      </c>
      <c r="G10723">
        <v>0</v>
      </c>
      <c r="H10723" t="s">
        <v>15634</v>
      </c>
      <c r="I10723">
        <v>12035</v>
      </c>
      <c r="J10723" t="str">
        <f>VLOOKUP(E10723,DSSpieler!A:B,2,FALSE)</f>
        <v>ecki91</v>
      </c>
    </row>
    <row r="10724" spans="1:10" x14ac:dyDescent="0.25">
      <c r="A10724">
        <v>12036</v>
      </c>
      <c r="B10724" t="s">
        <v>34336</v>
      </c>
      <c r="C10724">
        <v>572</v>
      </c>
      <c r="D10724">
        <v>553</v>
      </c>
      <c r="E10724">
        <v>1577146042</v>
      </c>
      <c r="F10724">
        <v>5866</v>
      </c>
      <c r="G10724">
        <v>0</v>
      </c>
      <c r="H10724" t="s">
        <v>15635</v>
      </c>
      <c r="I10724">
        <v>12036</v>
      </c>
      <c r="J10724" t="str">
        <f>VLOOKUP(E10724,DSSpieler!A:B,2,FALSE)</f>
        <v>Madara.</v>
      </c>
    </row>
    <row r="10725" spans="1:10" x14ac:dyDescent="0.25">
      <c r="A10725">
        <v>12037</v>
      </c>
      <c r="B10725" t="s">
        <v>531</v>
      </c>
      <c r="C10725">
        <v>420</v>
      </c>
      <c r="D10725">
        <v>567</v>
      </c>
      <c r="E10725">
        <v>0</v>
      </c>
      <c r="F10725">
        <v>163</v>
      </c>
      <c r="G10725">
        <v>0</v>
      </c>
      <c r="H10725" t="s">
        <v>15636</v>
      </c>
      <c r="I10725">
        <v>12037</v>
      </c>
      <c r="J10725" t="e">
        <f>VLOOKUP(E10725,DSSpieler!A:B,2,FALSE)</f>
        <v>#N/A</v>
      </c>
    </row>
    <row r="10726" spans="1:10" x14ac:dyDescent="0.25">
      <c r="A10726">
        <v>12038</v>
      </c>
      <c r="B10726" t="s">
        <v>30766</v>
      </c>
      <c r="C10726">
        <v>582</v>
      </c>
      <c r="D10726">
        <v>433</v>
      </c>
      <c r="E10726">
        <v>1577143706</v>
      </c>
      <c r="F10726">
        <v>5241</v>
      </c>
      <c r="G10726">
        <v>0</v>
      </c>
      <c r="H10726" t="s">
        <v>15637</v>
      </c>
      <c r="I10726">
        <v>12038</v>
      </c>
      <c r="J10726" t="str">
        <f>VLOOKUP(E10726,DSSpieler!A:B,2,FALSE)</f>
        <v>Leinad1998</v>
      </c>
    </row>
    <row r="10727" spans="1:10" x14ac:dyDescent="0.25">
      <c r="A10727">
        <v>12040</v>
      </c>
      <c r="B10727" t="s">
        <v>2095</v>
      </c>
      <c r="C10727">
        <v>439</v>
      </c>
      <c r="D10727">
        <v>574</v>
      </c>
      <c r="E10727">
        <v>8457813</v>
      </c>
      <c r="F10727">
        <v>876</v>
      </c>
      <c r="G10727">
        <v>0</v>
      </c>
      <c r="H10727" t="s">
        <v>15638</v>
      </c>
      <c r="I10727">
        <v>12040</v>
      </c>
      <c r="J10727" t="str">
        <f>VLOOKUP(E10727,DSSpieler!A:B,2,FALSE)</f>
        <v>little Lotschi</v>
      </c>
    </row>
    <row r="10728" spans="1:10" x14ac:dyDescent="0.25">
      <c r="A10728">
        <v>12041</v>
      </c>
      <c r="B10728" t="s">
        <v>34337</v>
      </c>
      <c r="C10728">
        <v>564</v>
      </c>
      <c r="D10728">
        <v>588</v>
      </c>
      <c r="E10728">
        <v>1577190171</v>
      </c>
      <c r="F10728">
        <v>4682</v>
      </c>
      <c r="G10728">
        <v>0</v>
      </c>
      <c r="H10728" t="s">
        <v>15639</v>
      </c>
      <c r="I10728">
        <v>12041</v>
      </c>
      <c r="J10728" t="str">
        <f>VLOOKUP(E10728,DSSpieler!A:B,2,FALSE)</f>
        <v>meckez</v>
      </c>
    </row>
    <row r="10729" spans="1:10" x14ac:dyDescent="0.25">
      <c r="A10729">
        <v>12042</v>
      </c>
      <c r="B10729" t="s">
        <v>34338</v>
      </c>
      <c r="C10729">
        <v>568</v>
      </c>
      <c r="D10729">
        <v>549</v>
      </c>
      <c r="E10729">
        <v>1577115905</v>
      </c>
      <c r="F10729">
        <v>5336</v>
      </c>
      <c r="G10729">
        <v>0</v>
      </c>
      <c r="H10729" t="s">
        <v>15640</v>
      </c>
      <c r="I10729">
        <v>12042</v>
      </c>
      <c r="J10729" t="str">
        <f>VLOOKUP(E10729,DSSpieler!A:B,2,FALSE)</f>
        <v>Bateman</v>
      </c>
    </row>
    <row r="10730" spans="1:10" x14ac:dyDescent="0.25">
      <c r="A10730">
        <v>12043</v>
      </c>
      <c r="B10730" t="s">
        <v>531</v>
      </c>
      <c r="C10730">
        <v>428</v>
      </c>
      <c r="D10730">
        <v>580</v>
      </c>
      <c r="E10730">
        <v>0</v>
      </c>
      <c r="F10730">
        <v>131</v>
      </c>
      <c r="G10730">
        <v>0</v>
      </c>
      <c r="H10730" t="s">
        <v>15641</v>
      </c>
      <c r="I10730">
        <v>12043</v>
      </c>
      <c r="J10730" t="e">
        <f>VLOOKUP(E10730,DSSpieler!A:B,2,FALSE)</f>
        <v>#N/A</v>
      </c>
    </row>
    <row r="10731" spans="1:10" x14ac:dyDescent="0.25">
      <c r="A10731">
        <v>12044</v>
      </c>
      <c r="B10731" t="s">
        <v>34339</v>
      </c>
      <c r="C10731">
        <v>599</v>
      </c>
      <c r="D10731">
        <v>465</v>
      </c>
      <c r="E10731">
        <v>1577127316</v>
      </c>
      <c r="F10731">
        <v>461</v>
      </c>
      <c r="G10731">
        <v>0</v>
      </c>
      <c r="H10731" t="s">
        <v>15642</v>
      </c>
      <c r="I10731">
        <v>12044</v>
      </c>
      <c r="J10731" t="str">
        <f>VLOOKUP(E10731,DSSpieler!A:B,2,FALSE)</f>
        <v>Störtebeker I.</v>
      </c>
    </row>
    <row r="10732" spans="1:10" x14ac:dyDescent="0.25">
      <c r="A10732">
        <v>12045</v>
      </c>
      <c r="B10732" t="s">
        <v>732</v>
      </c>
      <c r="C10732">
        <v>401</v>
      </c>
      <c r="D10732">
        <v>537</v>
      </c>
      <c r="E10732">
        <v>1577150381</v>
      </c>
      <c r="F10732">
        <v>2856</v>
      </c>
      <c r="G10732">
        <v>0</v>
      </c>
      <c r="H10732" t="s">
        <v>15643</v>
      </c>
      <c r="I10732">
        <v>12045</v>
      </c>
      <c r="J10732" t="str">
        <f>VLOOKUP(E10732,DSSpieler!A:B,2,FALSE)</f>
        <v>Kackvogel</v>
      </c>
    </row>
    <row r="10733" spans="1:10" x14ac:dyDescent="0.25">
      <c r="A10733">
        <v>12046</v>
      </c>
      <c r="B10733" t="s">
        <v>34340</v>
      </c>
      <c r="C10733">
        <v>457</v>
      </c>
      <c r="D10733">
        <v>598</v>
      </c>
      <c r="E10733">
        <v>1576702785</v>
      </c>
      <c r="F10733">
        <v>5631</v>
      </c>
      <c r="G10733">
        <v>0</v>
      </c>
      <c r="H10733" t="s">
        <v>15644</v>
      </c>
      <c r="I10733">
        <v>12046</v>
      </c>
      <c r="J10733" t="str">
        <f>VLOOKUP(E10733,DSSpieler!A:B,2,FALSE)</f>
        <v>ThaiMingh</v>
      </c>
    </row>
    <row r="10734" spans="1:10" x14ac:dyDescent="0.25">
      <c r="A10734">
        <v>12047</v>
      </c>
      <c r="B10734" t="s">
        <v>34341</v>
      </c>
      <c r="C10734">
        <v>553</v>
      </c>
      <c r="D10734">
        <v>407</v>
      </c>
      <c r="E10734">
        <v>1576188624</v>
      </c>
      <c r="F10734">
        <v>3818</v>
      </c>
      <c r="G10734">
        <v>0</v>
      </c>
      <c r="H10734" t="s">
        <v>15645</v>
      </c>
      <c r="I10734">
        <v>12047</v>
      </c>
      <c r="J10734" t="str">
        <f>VLOOKUP(E10734,DSSpieler!A:B,2,FALSE)</f>
        <v>kartoffelklaus1</v>
      </c>
    </row>
    <row r="10735" spans="1:10" x14ac:dyDescent="0.25">
      <c r="A10735">
        <v>12048</v>
      </c>
      <c r="B10735" t="s">
        <v>531</v>
      </c>
      <c r="C10735">
        <v>424</v>
      </c>
      <c r="D10735">
        <v>579</v>
      </c>
      <c r="E10735">
        <v>0</v>
      </c>
      <c r="F10735">
        <v>612</v>
      </c>
      <c r="G10735">
        <v>0</v>
      </c>
      <c r="H10735" t="s">
        <v>15646</v>
      </c>
      <c r="I10735">
        <v>12048</v>
      </c>
      <c r="J10735" t="e">
        <f>VLOOKUP(E10735,DSSpieler!A:B,2,FALSE)</f>
        <v>#N/A</v>
      </c>
    </row>
    <row r="10736" spans="1:10" x14ac:dyDescent="0.25">
      <c r="A10736">
        <v>12049</v>
      </c>
      <c r="B10736" t="s">
        <v>531</v>
      </c>
      <c r="C10736">
        <v>502</v>
      </c>
      <c r="D10736">
        <v>393</v>
      </c>
      <c r="E10736">
        <v>1577173027</v>
      </c>
      <c r="F10736">
        <v>1230</v>
      </c>
      <c r="G10736">
        <v>0</v>
      </c>
      <c r="H10736" t="s">
        <v>15647</v>
      </c>
      <c r="I10736">
        <v>12049</v>
      </c>
      <c r="J10736" t="str">
        <f>VLOOKUP(E10736,DSSpieler!A:B,2,FALSE)</f>
        <v>Bertls</v>
      </c>
    </row>
    <row r="10737" spans="1:10" x14ac:dyDescent="0.25">
      <c r="A10737">
        <v>12050</v>
      </c>
      <c r="B10737" t="s">
        <v>34342</v>
      </c>
      <c r="C10737">
        <v>598</v>
      </c>
      <c r="D10737">
        <v>465</v>
      </c>
      <c r="E10737">
        <v>1577195841</v>
      </c>
      <c r="F10737">
        <v>3415</v>
      </c>
      <c r="G10737">
        <v>0</v>
      </c>
      <c r="H10737" t="s">
        <v>15648</v>
      </c>
      <c r="I10737">
        <v>12050</v>
      </c>
      <c r="J10737" t="str">
        <f>VLOOKUP(E10737,DSSpieler!A:B,2,FALSE)</f>
        <v>Arsix</v>
      </c>
    </row>
    <row r="10738" spans="1:10" x14ac:dyDescent="0.25">
      <c r="A10738">
        <v>12051</v>
      </c>
      <c r="B10738" t="s">
        <v>531</v>
      </c>
      <c r="C10738">
        <v>428</v>
      </c>
      <c r="D10738">
        <v>583</v>
      </c>
      <c r="E10738">
        <v>0</v>
      </c>
      <c r="F10738">
        <v>146</v>
      </c>
      <c r="G10738">
        <v>0</v>
      </c>
      <c r="H10738" t="s">
        <v>15649</v>
      </c>
      <c r="I10738">
        <v>12051</v>
      </c>
      <c r="J10738" t="e">
        <f>VLOOKUP(E10738,DSSpieler!A:B,2,FALSE)</f>
        <v>#N/A</v>
      </c>
    </row>
    <row r="10739" spans="1:10" x14ac:dyDescent="0.25">
      <c r="A10739">
        <v>12052</v>
      </c>
      <c r="B10739" t="s">
        <v>531</v>
      </c>
      <c r="C10739">
        <v>449</v>
      </c>
      <c r="D10739">
        <v>424</v>
      </c>
      <c r="E10739">
        <v>0</v>
      </c>
      <c r="F10739">
        <v>588</v>
      </c>
      <c r="G10739">
        <v>0</v>
      </c>
      <c r="H10739" t="s">
        <v>15650</v>
      </c>
      <c r="I10739">
        <v>12052</v>
      </c>
      <c r="J10739" t="e">
        <f>VLOOKUP(E10739,DSSpieler!A:B,2,FALSE)</f>
        <v>#N/A</v>
      </c>
    </row>
    <row r="10740" spans="1:10" x14ac:dyDescent="0.25">
      <c r="A10740">
        <v>12053</v>
      </c>
      <c r="B10740" t="s">
        <v>531</v>
      </c>
      <c r="C10740">
        <v>439</v>
      </c>
      <c r="D10740">
        <v>494</v>
      </c>
      <c r="E10740">
        <v>0</v>
      </c>
      <c r="F10740">
        <v>293</v>
      </c>
      <c r="G10740">
        <v>0</v>
      </c>
      <c r="H10740" t="s">
        <v>15651</v>
      </c>
      <c r="I10740">
        <v>12053</v>
      </c>
      <c r="J10740" t="e">
        <f>VLOOKUP(E10740,DSSpieler!A:B,2,FALSE)</f>
        <v>#N/A</v>
      </c>
    </row>
    <row r="10741" spans="1:10" x14ac:dyDescent="0.25">
      <c r="A10741">
        <v>12054</v>
      </c>
      <c r="B10741" t="s">
        <v>531</v>
      </c>
      <c r="C10741">
        <v>427</v>
      </c>
      <c r="D10741">
        <v>572</v>
      </c>
      <c r="E10741">
        <v>0</v>
      </c>
      <c r="F10741">
        <v>582</v>
      </c>
      <c r="G10741">
        <v>0</v>
      </c>
      <c r="H10741" t="s">
        <v>15652</v>
      </c>
      <c r="I10741">
        <v>12054</v>
      </c>
      <c r="J10741" t="e">
        <f>VLOOKUP(E10741,DSSpieler!A:B,2,FALSE)</f>
        <v>#N/A</v>
      </c>
    </row>
    <row r="10742" spans="1:10" x14ac:dyDescent="0.25">
      <c r="A10742">
        <v>12055</v>
      </c>
      <c r="B10742" t="s">
        <v>531</v>
      </c>
      <c r="C10742">
        <v>521</v>
      </c>
      <c r="D10742">
        <v>398</v>
      </c>
      <c r="E10742">
        <v>0</v>
      </c>
      <c r="F10742">
        <v>320</v>
      </c>
      <c r="G10742">
        <v>0</v>
      </c>
      <c r="H10742" t="s">
        <v>15653</v>
      </c>
      <c r="I10742">
        <v>12055</v>
      </c>
      <c r="J10742" t="e">
        <f>VLOOKUP(E10742,DSSpieler!A:B,2,FALSE)</f>
        <v>#N/A</v>
      </c>
    </row>
    <row r="10743" spans="1:10" x14ac:dyDescent="0.25">
      <c r="A10743">
        <v>12057</v>
      </c>
      <c r="B10743" t="s">
        <v>531</v>
      </c>
      <c r="C10743">
        <v>418</v>
      </c>
      <c r="D10743">
        <v>431</v>
      </c>
      <c r="E10743">
        <v>0</v>
      </c>
      <c r="F10743">
        <v>166</v>
      </c>
      <c r="G10743">
        <v>0</v>
      </c>
      <c r="H10743" t="s">
        <v>15654</v>
      </c>
      <c r="I10743">
        <v>12057</v>
      </c>
      <c r="J10743" t="e">
        <f>VLOOKUP(E10743,DSSpieler!A:B,2,FALSE)</f>
        <v>#N/A</v>
      </c>
    </row>
    <row r="10744" spans="1:10" x14ac:dyDescent="0.25">
      <c r="A10744">
        <v>12058</v>
      </c>
      <c r="B10744" t="s">
        <v>531</v>
      </c>
      <c r="C10744">
        <v>421</v>
      </c>
      <c r="D10744">
        <v>574</v>
      </c>
      <c r="E10744">
        <v>0</v>
      </c>
      <c r="F10744">
        <v>266</v>
      </c>
      <c r="G10744">
        <v>0</v>
      </c>
      <c r="H10744" t="s">
        <v>15655</v>
      </c>
      <c r="I10744">
        <v>12058</v>
      </c>
      <c r="J10744" t="e">
        <f>VLOOKUP(E10744,DSSpieler!A:B,2,FALSE)</f>
        <v>#N/A</v>
      </c>
    </row>
    <row r="10745" spans="1:10" x14ac:dyDescent="0.25">
      <c r="A10745">
        <v>12059</v>
      </c>
      <c r="B10745" t="s">
        <v>531</v>
      </c>
      <c r="C10745">
        <v>424</v>
      </c>
      <c r="D10745">
        <v>574</v>
      </c>
      <c r="E10745">
        <v>0</v>
      </c>
      <c r="F10745">
        <v>197</v>
      </c>
      <c r="G10745">
        <v>0</v>
      </c>
      <c r="H10745" t="s">
        <v>15656</v>
      </c>
      <c r="I10745">
        <v>12059</v>
      </c>
      <c r="J10745" t="e">
        <f>VLOOKUP(E10745,DSSpieler!A:B,2,FALSE)</f>
        <v>#N/A</v>
      </c>
    </row>
    <row r="10746" spans="1:10" x14ac:dyDescent="0.25">
      <c r="A10746">
        <v>12060</v>
      </c>
      <c r="B10746" t="s">
        <v>531</v>
      </c>
      <c r="C10746">
        <v>398</v>
      </c>
      <c r="D10746">
        <v>469</v>
      </c>
      <c r="E10746">
        <v>0</v>
      </c>
      <c r="F10746">
        <v>174</v>
      </c>
      <c r="G10746">
        <v>0</v>
      </c>
      <c r="H10746" t="s">
        <v>15657</v>
      </c>
      <c r="I10746">
        <v>12060</v>
      </c>
      <c r="J10746" t="e">
        <f>VLOOKUP(E10746,DSSpieler!A:B,2,FALSE)</f>
        <v>#N/A</v>
      </c>
    </row>
    <row r="10747" spans="1:10" x14ac:dyDescent="0.25">
      <c r="A10747">
        <v>12061</v>
      </c>
      <c r="B10747" t="s">
        <v>531</v>
      </c>
      <c r="C10747">
        <v>600</v>
      </c>
      <c r="D10747">
        <v>462</v>
      </c>
      <c r="E10747">
        <v>0</v>
      </c>
      <c r="F10747">
        <v>253</v>
      </c>
      <c r="G10747">
        <v>0</v>
      </c>
      <c r="H10747" t="s">
        <v>15658</v>
      </c>
      <c r="I10747">
        <v>12061</v>
      </c>
      <c r="J10747" t="e">
        <f>VLOOKUP(E10747,DSSpieler!A:B,2,FALSE)</f>
        <v>#N/A</v>
      </c>
    </row>
    <row r="10748" spans="1:10" x14ac:dyDescent="0.25">
      <c r="A10748">
        <v>12062</v>
      </c>
      <c r="B10748" t="s">
        <v>2096</v>
      </c>
      <c r="C10748">
        <v>579</v>
      </c>
      <c r="D10748">
        <v>553</v>
      </c>
      <c r="E10748">
        <v>9143388</v>
      </c>
      <c r="F10748">
        <v>3133</v>
      </c>
      <c r="G10748">
        <v>0</v>
      </c>
      <c r="H10748" t="s">
        <v>15659</v>
      </c>
      <c r="I10748">
        <v>12062</v>
      </c>
      <c r="J10748" t="str">
        <f>VLOOKUP(E10748,DSSpieler!A:B,2,FALSE)</f>
        <v>TheDemonSoul</v>
      </c>
    </row>
    <row r="10749" spans="1:10" x14ac:dyDescent="0.25">
      <c r="A10749">
        <v>12063</v>
      </c>
      <c r="B10749" t="s">
        <v>531</v>
      </c>
      <c r="C10749">
        <v>574</v>
      </c>
      <c r="D10749">
        <v>554</v>
      </c>
      <c r="E10749">
        <v>0</v>
      </c>
      <c r="F10749">
        <v>381</v>
      </c>
      <c r="G10749">
        <v>0</v>
      </c>
      <c r="H10749" t="s">
        <v>15660</v>
      </c>
      <c r="I10749">
        <v>12063</v>
      </c>
      <c r="J10749" t="e">
        <f>VLOOKUP(E10749,DSSpieler!A:B,2,FALSE)</f>
        <v>#N/A</v>
      </c>
    </row>
    <row r="10750" spans="1:10" x14ac:dyDescent="0.25">
      <c r="A10750">
        <v>12064</v>
      </c>
      <c r="B10750" t="s">
        <v>2097</v>
      </c>
      <c r="C10750">
        <v>439</v>
      </c>
      <c r="D10750">
        <v>500</v>
      </c>
      <c r="E10750">
        <v>1577159431</v>
      </c>
      <c r="F10750">
        <v>1908</v>
      </c>
      <c r="G10750">
        <v>0</v>
      </c>
      <c r="H10750" t="s">
        <v>15661</v>
      </c>
      <c r="I10750">
        <v>12064</v>
      </c>
      <c r="J10750" t="str">
        <f>VLOOKUP(E10750,DSSpieler!A:B,2,FALSE)</f>
        <v>Hydrata</v>
      </c>
    </row>
    <row r="10751" spans="1:10" x14ac:dyDescent="0.25">
      <c r="A10751">
        <v>12065</v>
      </c>
      <c r="B10751" t="s">
        <v>531</v>
      </c>
      <c r="C10751">
        <v>457</v>
      </c>
      <c r="D10751">
        <v>595</v>
      </c>
      <c r="E10751">
        <v>0</v>
      </c>
      <c r="F10751">
        <v>164</v>
      </c>
      <c r="G10751">
        <v>0</v>
      </c>
      <c r="H10751" t="s">
        <v>15662</v>
      </c>
      <c r="I10751">
        <v>12065</v>
      </c>
      <c r="J10751" t="e">
        <f>VLOOKUP(E10751,DSSpieler!A:B,2,FALSE)</f>
        <v>#N/A</v>
      </c>
    </row>
    <row r="10752" spans="1:10" x14ac:dyDescent="0.25">
      <c r="A10752">
        <v>12066</v>
      </c>
      <c r="B10752" t="s">
        <v>979</v>
      </c>
      <c r="C10752">
        <v>507</v>
      </c>
      <c r="D10752">
        <v>609</v>
      </c>
      <c r="E10752">
        <v>1576934386</v>
      </c>
      <c r="F10752">
        <v>4642</v>
      </c>
      <c r="G10752">
        <v>0</v>
      </c>
      <c r="H10752" t="s">
        <v>15663</v>
      </c>
      <c r="I10752">
        <v>12066</v>
      </c>
      <c r="J10752" t="str">
        <f>VLOOKUP(E10752,DSSpieler!A:B,2,FALSE)</f>
        <v>Signed1</v>
      </c>
    </row>
    <row r="10753" spans="1:10" x14ac:dyDescent="0.25">
      <c r="A10753">
        <v>12067</v>
      </c>
      <c r="B10753" t="s">
        <v>531</v>
      </c>
      <c r="C10753">
        <v>425</v>
      </c>
      <c r="D10753">
        <v>583</v>
      </c>
      <c r="E10753">
        <v>0</v>
      </c>
      <c r="F10753">
        <v>741</v>
      </c>
      <c r="G10753">
        <v>0</v>
      </c>
      <c r="H10753" t="s">
        <v>15664</v>
      </c>
      <c r="I10753">
        <v>12067</v>
      </c>
      <c r="J10753" t="e">
        <f>VLOOKUP(E10753,DSSpieler!A:B,2,FALSE)</f>
        <v>#N/A</v>
      </c>
    </row>
    <row r="10754" spans="1:10" x14ac:dyDescent="0.25">
      <c r="A10754">
        <v>12068</v>
      </c>
      <c r="B10754" t="s">
        <v>34343</v>
      </c>
      <c r="C10754">
        <v>472</v>
      </c>
      <c r="D10754">
        <v>394</v>
      </c>
      <c r="E10754">
        <v>7714338</v>
      </c>
      <c r="F10754">
        <v>5810</v>
      </c>
      <c r="G10754">
        <v>0</v>
      </c>
      <c r="H10754" t="s">
        <v>15665</v>
      </c>
      <c r="I10754">
        <v>12068</v>
      </c>
      <c r="J10754" t="str">
        <f>VLOOKUP(E10754,DSSpieler!A:B,2,FALSE)</f>
        <v>Dr.Klapperstorch</v>
      </c>
    </row>
    <row r="10755" spans="1:10" x14ac:dyDescent="0.25">
      <c r="A10755">
        <v>12069</v>
      </c>
      <c r="B10755" t="s">
        <v>531</v>
      </c>
      <c r="C10755">
        <v>423</v>
      </c>
      <c r="D10755">
        <v>574</v>
      </c>
      <c r="E10755">
        <v>0</v>
      </c>
      <c r="F10755">
        <v>342</v>
      </c>
      <c r="G10755">
        <v>0</v>
      </c>
      <c r="H10755" t="s">
        <v>15666</v>
      </c>
      <c r="I10755">
        <v>12069</v>
      </c>
      <c r="J10755" t="e">
        <f>VLOOKUP(E10755,DSSpieler!A:B,2,FALSE)</f>
        <v>#N/A</v>
      </c>
    </row>
    <row r="10756" spans="1:10" x14ac:dyDescent="0.25">
      <c r="A10756">
        <v>12070</v>
      </c>
      <c r="B10756" t="s">
        <v>531</v>
      </c>
      <c r="C10756">
        <v>571</v>
      </c>
      <c r="D10756">
        <v>577</v>
      </c>
      <c r="E10756">
        <v>0</v>
      </c>
      <c r="F10756">
        <v>226</v>
      </c>
      <c r="G10756">
        <v>0</v>
      </c>
      <c r="H10756" t="s">
        <v>15667</v>
      </c>
      <c r="I10756">
        <v>12070</v>
      </c>
      <c r="J10756" t="e">
        <f>VLOOKUP(E10756,DSSpieler!A:B,2,FALSE)</f>
        <v>#N/A</v>
      </c>
    </row>
    <row r="10757" spans="1:10" x14ac:dyDescent="0.25">
      <c r="A10757">
        <v>12072</v>
      </c>
      <c r="B10757" t="s">
        <v>531</v>
      </c>
      <c r="C10757">
        <v>445</v>
      </c>
      <c r="D10757">
        <v>589</v>
      </c>
      <c r="E10757">
        <v>0</v>
      </c>
      <c r="F10757">
        <v>158</v>
      </c>
      <c r="G10757">
        <v>0</v>
      </c>
      <c r="H10757" t="s">
        <v>15668</v>
      </c>
      <c r="I10757">
        <v>12072</v>
      </c>
      <c r="J10757" t="e">
        <f>VLOOKUP(E10757,DSSpieler!A:B,2,FALSE)</f>
        <v>#N/A</v>
      </c>
    </row>
    <row r="10758" spans="1:10" x14ac:dyDescent="0.25">
      <c r="A10758">
        <v>12074</v>
      </c>
      <c r="B10758" t="s">
        <v>531</v>
      </c>
      <c r="C10758">
        <v>422</v>
      </c>
      <c r="D10758">
        <v>426</v>
      </c>
      <c r="E10758">
        <v>0</v>
      </c>
      <c r="F10758">
        <v>503</v>
      </c>
      <c r="G10758">
        <v>0</v>
      </c>
      <c r="H10758" t="s">
        <v>15669</v>
      </c>
      <c r="I10758">
        <v>12074</v>
      </c>
      <c r="J10758" t="e">
        <f>VLOOKUP(E10758,DSSpieler!A:B,2,FALSE)</f>
        <v>#N/A</v>
      </c>
    </row>
    <row r="10759" spans="1:10" x14ac:dyDescent="0.25">
      <c r="A10759">
        <v>12075</v>
      </c>
      <c r="B10759" t="s">
        <v>531</v>
      </c>
      <c r="C10759">
        <v>424</v>
      </c>
      <c r="D10759">
        <v>566</v>
      </c>
      <c r="E10759">
        <v>0</v>
      </c>
      <c r="F10759">
        <v>164</v>
      </c>
      <c r="G10759">
        <v>0</v>
      </c>
      <c r="H10759" t="s">
        <v>15670</v>
      </c>
      <c r="I10759">
        <v>12075</v>
      </c>
      <c r="J10759" t="e">
        <f>VLOOKUP(E10759,DSSpieler!A:B,2,FALSE)</f>
        <v>#N/A</v>
      </c>
    </row>
    <row r="10760" spans="1:10" x14ac:dyDescent="0.25">
      <c r="A10760">
        <v>12076</v>
      </c>
      <c r="B10760" t="s">
        <v>2047</v>
      </c>
      <c r="C10760">
        <v>469</v>
      </c>
      <c r="D10760">
        <v>399</v>
      </c>
      <c r="E10760">
        <v>1577191019</v>
      </c>
      <c r="F10760">
        <v>5887</v>
      </c>
      <c r="G10760">
        <v>0</v>
      </c>
      <c r="H10760" t="s">
        <v>15671</v>
      </c>
      <c r="I10760">
        <v>12076</v>
      </c>
      <c r="J10760" t="str">
        <f>VLOOKUP(E10760,DSSpieler!A:B,2,FALSE)</f>
        <v>.P0WERR4DE*</v>
      </c>
    </row>
    <row r="10761" spans="1:10" x14ac:dyDescent="0.25">
      <c r="A10761">
        <v>12077</v>
      </c>
      <c r="B10761" t="s">
        <v>531</v>
      </c>
      <c r="C10761">
        <v>550</v>
      </c>
      <c r="D10761">
        <v>404</v>
      </c>
      <c r="E10761">
        <v>0</v>
      </c>
      <c r="F10761">
        <v>318</v>
      </c>
      <c r="G10761">
        <v>0</v>
      </c>
      <c r="H10761" t="s">
        <v>15672</v>
      </c>
      <c r="I10761">
        <v>12077</v>
      </c>
      <c r="J10761" t="e">
        <f>VLOOKUP(E10761,DSSpieler!A:B,2,FALSE)</f>
        <v>#N/A</v>
      </c>
    </row>
    <row r="10762" spans="1:10" x14ac:dyDescent="0.25">
      <c r="A10762">
        <v>12078</v>
      </c>
      <c r="B10762" t="s">
        <v>33515</v>
      </c>
      <c r="C10762">
        <v>483</v>
      </c>
      <c r="D10762">
        <v>589</v>
      </c>
      <c r="E10762">
        <v>1577199002</v>
      </c>
      <c r="F10762">
        <v>8313</v>
      </c>
      <c r="G10762">
        <v>0</v>
      </c>
      <c r="H10762" t="s">
        <v>15673</v>
      </c>
      <c r="I10762">
        <v>12078</v>
      </c>
      <c r="J10762" t="str">
        <f>VLOOKUP(E10762,DSSpieler!A:B,2,FALSE)</f>
        <v>Memento mori</v>
      </c>
    </row>
    <row r="10763" spans="1:10" x14ac:dyDescent="0.25">
      <c r="A10763">
        <v>12079</v>
      </c>
      <c r="B10763" t="s">
        <v>531</v>
      </c>
      <c r="C10763">
        <v>425</v>
      </c>
      <c r="D10763">
        <v>579</v>
      </c>
      <c r="E10763">
        <v>0</v>
      </c>
      <c r="F10763">
        <v>434</v>
      </c>
      <c r="G10763">
        <v>0</v>
      </c>
      <c r="H10763" t="s">
        <v>15674</v>
      </c>
      <c r="I10763">
        <v>12079</v>
      </c>
      <c r="J10763" t="e">
        <f>VLOOKUP(E10763,DSSpieler!A:B,2,FALSE)</f>
        <v>#N/A</v>
      </c>
    </row>
    <row r="10764" spans="1:10" x14ac:dyDescent="0.25">
      <c r="A10764">
        <v>12080</v>
      </c>
      <c r="B10764" t="s">
        <v>531</v>
      </c>
      <c r="C10764">
        <v>425</v>
      </c>
      <c r="D10764">
        <v>575</v>
      </c>
      <c r="E10764">
        <v>0</v>
      </c>
      <c r="F10764">
        <v>505</v>
      </c>
      <c r="G10764">
        <v>0</v>
      </c>
      <c r="H10764" t="s">
        <v>15675</v>
      </c>
      <c r="I10764">
        <v>12080</v>
      </c>
      <c r="J10764" t="e">
        <f>VLOOKUP(E10764,DSSpieler!A:B,2,FALSE)</f>
        <v>#N/A</v>
      </c>
    </row>
    <row r="10765" spans="1:10" x14ac:dyDescent="0.25">
      <c r="A10765">
        <v>12081</v>
      </c>
      <c r="B10765" t="s">
        <v>531</v>
      </c>
      <c r="C10765">
        <v>421</v>
      </c>
      <c r="D10765">
        <v>579</v>
      </c>
      <c r="E10765">
        <v>0</v>
      </c>
      <c r="F10765">
        <v>224</v>
      </c>
      <c r="G10765">
        <v>0</v>
      </c>
      <c r="H10765" t="s">
        <v>15676</v>
      </c>
      <c r="I10765">
        <v>12081</v>
      </c>
      <c r="J10765" t="e">
        <f>VLOOKUP(E10765,DSSpieler!A:B,2,FALSE)</f>
        <v>#N/A</v>
      </c>
    </row>
    <row r="10766" spans="1:10" x14ac:dyDescent="0.25">
      <c r="A10766">
        <v>12082</v>
      </c>
      <c r="B10766" t="s">
        <v>2098</v>
      </c>
      <c r="C10766">
        <v>440</v>
      </c>
      <c r="D10766">
        <v>409</v>
      </c>
      <c r="E10766">
        <v>1577134078</v>
      </c>
      <c r="F10766">
        <v>4730</v>
      </c>
      <c r="G10766">
        <v>0</v>
      </c>
      <c r="H10766" t="s">
        <v>15677</v>
      </c>
      <c r="I10766">
        <v>12082</v>
      </c>
      <c r="J10766" t="str">
        <f>VLOOKUP(E10766,DSSpieler!A:B,2,FALSE)</f>
        <v>Babbe</v>
      </c>
    </row>
    <row r="10767" spans="1:10" x14ac:dyDescent="0.25">
      <c r="A10767">
        <v>12083</v>
      </c>
      <c r="B10767" t="s">
        <v>531</v>
      </c>
      <c r="C10767">
        <v>435</v>
      </c>
      <c r="D10767">
        <v>501</v>
      </c>
      <c r="E10767">
        <v>0</v>
      </c>
      <c r="F10767">
        <v>285</v>
      </c>
      <c r="G10767">
        <v>0</v>
      </c>
      <c r="H10767" t="s">
        <v>15678</v>
      </c>
      <c r="I10767">
        <v>12083</v>
      </c>
      <c r="J10767" t="e">
        <f>VLOOKUP(E10767,DSSpieler!A:B,2,FALSE)</f>
        <v>#N/A</v>
      </c>
    </row>
    <row r="10768" spans="1:10" x14ac:dyDescent="0.25">
      <c r="A10768">
        <v>12086</v>
      </c>
      <c r="B10768" t="s">
        <v>531</v>
      </c>
      <c r="C10768">
        <v>421</v>
      </c>
      <c r="D10768">
        <v>578</v>
      </c>
      <c r="E10768">
        <v>0</v>
      </c>
      <c r="F10768">
        <v>198</v>
      </c>
      <c r="G10768">
        <v>0</v>
      </c>
      <c r="H10768" t="s">
        <v>15679</v>
      </c>
      <c r="I10768">
        <v>12086</v>
      </c>
      <c r="J10768" t="e">
        <f>VLOOKUP(E10768,DSSpieler!A:B,2,FALSE)</f>
        <v>#N/A</v>
      </c>
    </row>
    <row r="10769" spans="1:10" x14ac:dyDescent="0.25">
      <c r="A10769">
        <v>12087</v>
      </c>
      <c r="B10769" t="s">
        <v>531</v>
      </c>
      <c r="C10769">
        <v>425</v>
      </c>
      <c r="D10769">
        <v>578</v>
      </c>
      <c r="E10769">
        <v>0</v>
      </c>
      <c r="F10769">
        <v>336</v>
      </c>
      <c r="G10769">
        <v>0</v>
      </c>
      <c r="H10769" t="s">
        <v>15680</v>
      </c>
      <c r="I10769">
        <v>12087</v>
      </c>
      <c r="J10769" t="e">
        <f>VLOOKUP(E10769,DSSpieler!A:B,2,FALSE)</f>
        <v>#N/A</v>
      </c>
    </row>
    <row r="10770" spans="1:10" x14ac:dyDescent="0.25">
      <c r="A10770">
        <v>12088</v>
      </c>
      <c r="B10770">
        <v>2</v>
      </c>
      <c r="C10770">
        <v>485</v>
      </c>
      <c r="D10770">
        <v>541</v>
      </c>
      <c r="E10770">
        <v>10152725</v>
      </c>
      <c r="F10770">
        <v>1183</v>
      </c>
      <c r="G10770">
        <v>0</v>
      </c>
      <c r="H10770" t="s">
        <v>15681</v>
      </c>
      <c r="I10770">
        <v>12088</v>
      </c>
      <c r="J10770" t="str">
        <f>VLOOKUP(E10770,DSSpieler!A:B,2,FALSE)</f>
        <v>Neotheror99</v>
      </c>
    </row>
    <row r="10771" spans="1:10" x14ac:dyDescent="0.25">
      <c r="A10771">
        <v>12089</v>
      </c>
      <c r="B10771" t="s">
        <v>531</v>
      </c>
      <c r="C10771">
        <v>423</v>
      </c>
      <c r="D10771">
        <v>575</v>
      </c>
      <c r="E10771">
        <v>0</v>
      </c>
      <c r="F10771">
        <v>363</v>
      </c>
      <c r="G10771">
        <v>0</v>
      </c>
      <c r="H10771" t="s">
        <v>15682</v>
      </c>
      <c r="I10771">
        <v>12089</v>
      </c>
      <c r="J10771" t="e">
        <f>VLOOKUP(E10771,DSSpieler!A:B,2,FALSE)</f>
        <v>#N/A</v>
      </c>
    </row>
    <row r="10772" spans="1:10" x14ac:dyDescent="0.25">
      <c r="A10772">
        <v>12090</v>
      </c>
      <c r="B10772" t="s">
        <v>2099</v>
      </c>
      <c r="C10772">
        <v>420</v>
      </c>
      <c r="D10772">
        <v>575</v>
      </c>
      <c r="E10772">
        <v>1577181350</v>
      </c>
      <c r="F10772">
        <v>1559</v>
      </c>
      <c r="G10772">
        <v>0</v>
      </c>
      <c r="H10772" t="s">
        <v>15683</v>
      </c>
      <c r="I10772">
        <v>12090</v>
      </c>
      <c r="J10772" t="str">
        <f>VLOOKUP(E10772,DSSpieler!A:B,2,FALSE)</f>
        <v>Diesdaszitrusfrucht</v>
      </c>
    </row>
    <row r="10773" spans="1:10" x14ac:dyDescent="0.25">
      <c r="A10773">
        <v>12091</v>
      </c>
      <c r="B10773" t="s">
        <v>531</v>
      </c>
      <c r="C10773">
        <v>431</v>
      </c>
      <c r="D10773">
        <v>575</v>
      </c>
      <c r="E10773">
        <v>0</v>
      </c>
      <c r="F10773">
        <v>150</v>
      </c>
      <c r="G10773">
        <v>0</v>
      </c>
      <c r="H10773" t="s">
        <v>15684</v>
      </c>
      <c r="I10773">
        <v>12091</v>
      </c>
      <c r="J10773" t="e">
        <f>VLOOKUP(E10773,DSSpieler!A:B,2,FALSE)</f>
        <v>#N/A</v>
      </c>
    </row>
    <row r="10774" spans="1:10" x14ac:dyDescent="0.25">
      <c r="A10774">
        <v>12092</v>
      </c>
      <c r="B10774" t="s">
        <v>531</v>
      </c>
      <c r="C10774">
        <v>607</v>
      </c>
      <c r="D10774">
        <v>491</v>
      </c>
      <c r="E10774">
        <v>0</v>
      </c>
      <c r="F10774">
        <v>562</v>
      </c>
      <c r="G10774">
        <v>0</v>
      </c>
      <c r="H10774" t="s">
        <v>15685</v>
      </c>
      <c r="I10774">
        <v>12092</v>
      </c>
      <c r="J10774" t="e">
        <f>VLOOKUP(E10774,DSSpieler!A:B,2,FALSE)</f>
        <v>#N/A</v>
      </c>
    </row>
    <row r="10775" spans="1:10" x14ac:dyDescent="0.25">
      <c r="A10775">
        <v>12093</v>
      </c>
      <c r="B10775" t="s">
        <v>531</v>
      </c>
      <c r="C10775">
        <v>515</v>
      </c>
      <c r="D10775">
        <v>393</v>
      </c>
      <c r="E10775">
        <v>0</v>
      </c>
      <c r="F10775">
        <v>310</v>
      </c>
      <c r="G10775">
        <v>0</v>
      </c>
      <c r="H10775" t="s">
        <v>15686</v>
      </c>
      <c r="I10775">
        <v>12093</v>
      </c>
      <c r="J10775" t="e">
        <f>VLOOKUP(E10775,DSSpieler!A:B,2,FALSE)</f>
        <v>#N/A</v>
      </c>
    </row>
    <row r="10776" spans="1:10" x14ac:dyDescent="0.25">
      <c r="A10776">
        <v>12095</v>
      </c>
      <c r="B10776" t="s">
        <v>531</v>
      </c>
      <c r="C10776">
        <v>414</v>
      </c>
      <c r="D10776">
        <v>434</v>
      </c>
      <c r="E10776">
        <v>0</v>
      </c>
      <c r="F10776">
        <v>314</v>
      </c>
      <c r="G10776">
        <v>0</v>
      </c>
      <c r="H10776" t="s">
        <v>15687</v>
      </c>
      <c r="I10776">
        <v>12095</v>
      </c>
      <c r="J10776" t="e">
        <f>VLOOKUP(E10776,DSSpieler!A:B,2,FALSE)</f>
        <v>#N/A</v>
      </c>
    </row>
    <row r="10777" spans="1:10" x14ac:dyDescent="0.25">
      <c r="A10777">
        <v>12097</v>
      </c>
      <c r="B10777" t="s">
        <v>531</v>
      </c>
      <c r="C10777">
        <v>604</v>
      </c>
      <c r="D10777">
        <v>513</v>
      </c>
      <c r="E10777">
        <v>0</v>
      </c>
      <c r="F10777">
        <v>132</v>
      </c>
      <c r="G10777">
        <v>0</v>
      </c>
      <c r="H10777" t="s">
        <v>15688</v>
      </c>
      <c r="I10777">
        <v>12097</v>
      </c>
      <c r="J10777" t="e">
        <f>VLOOKUP(E10777,DSSpieler!A:B,2,FALSE)</f>
        <v>#N/A</v>
      </c>
    </row>
    <row r="10778" spans="1:10" x14ac:dyDescent="0.25">
      <c r="A10778">
        <v>12098</v>
      </c>
      <c r="B10778" t="s">
        <v>531</v>
      </c>
      <c r="C10778">
        <v>423</v>
      </c>
      <c r="D10778">
        <v>577</v>
      </c>
      <c r="E10778">
        <v>0</v>
      </c>
      <c r="F10778">
        <v>138</v>
      </c>
      <c r="G10778">
        <v>0</v>
      </c>
      <c r="H10778" t="s">
        <v>15689</v>
      </c>
      <c r="I10778">
        <v>12098</v>
      </c>
      <c r="J10778" t="e">
        <f>VLOOKUP(E10778,DSSpieler!A:B,2,FALSE)</f>
        <v>#N/A</v>
      </c>
    </row>
    <row r="10779" spans="1:10" x14ac:dyDescent="0.25">
      <c r="A10779">
        <v>12099</v>
      </c>
      <c r="B10779" t="s">
        <v>531</v>
      </c>
      <c r="C10779">
        <v>419</v>
      </c>
      <c r="D10779">
        <v>567</v>
      </c>
      <c r="E10779">
        <v>0</v>
      </c>
      <c r="F10779">
        <v>213</v>
      </c>
      <c r="G10779">
        <v>0</v>
      </c>
      <c r="H10779" t="s">
        <v>15690</v>
      </c>
      <c r="I10779">
        <v>12099</v>
      </c>
      <c r="J10779" t="e">
        <f>VLOOKUP(E10779,DSSpieler!A:B,2,FALSE)</f>
        <v>#N/A</v>
      </c>
    </row>
    <row r="10780" spans="1:10" x14ac:dyDescent="0.25">
      <c r="A10780">
        <v>12100</v>
      </c>
      <c r="B10780" t="s">
        <v>531</v>
      </c>
      <c r="C10780">
        <v>588</v>
      </c>
      <c r="D10780">
        <v>498</v>
      </c>
      <c r="E10780">
        <v>0</v>
      </c>
      <c r="F10780">
        <v>267</v>
      </c>
      <c r="G10780">
        <v>0</v>
      </c>
      <c r="H10780" t="s">
        <v>15691</v>
      </c>
      <c r="I10780">
        <v>12100</v>
      </c>
      <c r="J10780" t="e">
        <f>VLOOKUP(E10780,DSSpieler!A:B,2,FALSE)</f>
        <v>#N/A</v>
      </c>
    </row>
    <row r="10781" spans="1:10" x14ac:dyDescent="0.25">
      <c r="A10781">
        <v>12101</v>
      </c>
      <c r="B10781" t="s">
        <v>2100</v>
      </c>
      <c r="C10781">
        <v>592</v>
      </c>
      <c r="D10781">
        <v>449</v>
      </c>
      <c r="E10781">
        <v>9842736</v>
      </c>
      <c r="F10781">
        <v>4740</v>
      </c>
      <c r="G10781">
        <v>0</v>
      </c>
      <c r="H10781" t="s">
        <v>15692</v>
      </c>
      <c r="I10781">
        <v>12101</v>
      </c>
      <c r="J10781" t="str">
        <f>VLOOKUP(E10781,DSSpieler!A:B,2,FALSE)</f>
        <v>NakedPanda</v>
      </c>
    </row>
    <row r="10782" spans="1:10" x14ac:dyDescent="0.25">
      <c r="A10782">
        <v>12102</v>
      </c>
      <c r="B10782" t="s">
        <v>531</v>
      </c>
      <c r="C10782">
        <v>422</v>
      </c>
      <c r="D10782">
        <v>565</v>
      </c>
      <c r="E10782">
        <v>0</v>
      </c>
      <c r="F10782">
        <v>195</v>
      </c>
      <c r="G10782">
        <v>0</v>
      </c>
      <c r="H10782" t="s">
        <v>15693</v>
      </c>
      <c r="I10782">
        <v>12102</v>
      </c>
      <c r="J10782" t="e">
        <f>VLOOKUP(E10782,DSSpieler!A:B,2,FALSE)</f>
        <v>#N/A</v>
      </c>
    </row>
    <row r="10783" spans="1:10" x14ac:dyDescent="0.25">
      <c r="A10783">
        <v>12103</v>
      </c>
      <c r="B10783" t="s">
        <v>2101</v>
      </c>
      <c r="C10783">
        <v>468</v>
      </c>
      <c r="D10783">
        <v>395</v>
      </c>
      <c r="E10783">
        <v>1576958889</v>
      </c>
      <c r="F10783">
        <v>5942</v>
      </c>
      <c r="G10783">
        <v>0</v>
      </c>
      <c r="H10783" t="s">
        <v>15694</v>
      </c>
      <c r="I10783">
        <v>12103</v>
      </c>
      <c r="J10783" t="str">
        <f>VLOOKUP(E10783,DSSpieler!A:B,2,FALSE)</f>
        <v>J-P-M</v>
      </c>
    </row>
    <row r="10784" spans="1:10" x14ac:dyDescent="0.25">
      <c r="A10784">
        <v>12104</v>
      </c>
      <c r="B10784" t="s">
        <v>531</v>
      </c>
      <c r="C10784">
        <v>509</v>
      </c>
      <c r="D10784">
        <v>607</v>
      </c>
      <c r="E10784">
        <v>0</v>
      </c>
      <c r="F10784">
        <v>355</v>
      </c>
      <c r="G10784">
        <v>0</v>
      </c>
      <c r="H10784" t="s">
        <v>15695</v>
      </c>
      <c r="I10784">
        <v>12104</v>
      </c>
      <c r="J10784" t="e">
        <f>VLOOKUP(E10784,DSSpieler!A:B,2,FALSE)</f>
        <v>#N/A</v>
      </c>
    </row>
    <row r="10785" spans="1:10" x14ac:dyDescent="0.25">
      <c r="A10785">
        <v>12105</v>
      </c>
      <c r="B10785" t="s">
        <v>531</v>
      </c>
      <c r="C10785">
        <v>426</v>
      </c>
      <c r="D10785">
        <v>572</v>
      </c>
      <c r="E10785">
        <v>0</v>
      </c>
      <c r="F10785">
        <v>277</v>
      </c>
      <c r="G10785">
        <v>0</v>
      </c>
      <c r="H10785" t="s">
        <v>15696</v>
      </c>
      <c r="I10785">
        <v>12105</v>
      </c>
      <c r="J10785" t="e">
        <f>VLOOKUP(E10785,DSSpieler!A:B,2,FALSE)</f>
        <v>#N/A</v>
      </c>
    </row>
    <row r="10786" spans="1:10" x14ac:dyDescent="0.25">
      <c r="A10786">
        <v>12106</v>
      </c>
      <c r="B10786" t="s">
        <v>531</v>
      </c>
      <c r="C10786">
        <v>453</v>
      </c>
      <c r="D10786">
        <v>505</v>
      </c>
      <c r="E10786">
        <v>0</v>
      </c>
      <c r="F10786">
        <v>229</v>
      </c>
      <c r="G10786">
        <v>0</v>
      </c>
      <c r="H10786" t="s">
        <v>15697</v>
      </c>
      <c r="I10786">
        <v>12106</v>
      </c>
      <c r="J10786" t="e">
        <f>VLOOKUP(E10786,DSSpieler!A:B,2,FALSE)</f>
        <v>#N/A</v>
      </c>
    </row>
    <row r="10787" spans="1:10" x14ac:dyDescent="0.25">
      <c r="A10787">
        <v>12107</v>
      </c>
      <c r="B10787" t="s">
        <v>531</v>
      </c>
      <c r="C10787">
        <v>427</v>
      </c>
      <c r="D10787">
        <v>581</v>
      </c>
      <c r="E10787">
        <v>0</v>
      </c>
      <c r="F10787">
        <v>313</v>
      </c>
      <c r="G10787">
        <v>0</v>
      </c>
      <c r="H10787" t="s">
        <v>15698</v>
      </c>
      <c r="I10787">
        <v>12107</v>
      </c>
      <c r="J10787" t="e">
        <f>VLOOKUP(E10787,DSSpieler!A:B,2,FALSE)</f>
        <v>#N/A</v>
      </c>
    </row>
    <row r="10788" spans="1:10" x14ac:dyDescent="0.25">
      <c r="A10788">
        <v>12108</v>
      </c>
      <c r="B10788" t="s">
        <v>31062</v>
      </c>
      <c r="C10788">
        <v>468</v>
      </c>
      <c r="D10788">
        <v>602</v>
      </c>
      <c r="E10788">
        <v>9706179</v>
      </c>
      <c r="F10788">
        <v>5269</v>
      </c>
      <c r="G10788">
        <v>0</v>
      </c>
      <c r="H10788" t="s">
        <v>15699</v>
      </c>
      <c r="I10788">
        <v>12108</v>
      </c>
      <c r="J10788" t="str">
        <f>VLOOKUP(E10788,DSSpieler!A:B,2,FALSE)</f>
        <v>up to no good</v>
      </c>
    </row>
    <row r="10789" spans="1:10" x14ac:dyDescent="0.25">
      <c r="A10789">
        <v>12109</v>
      </c>
      <c r="B10789" t="s">
        <v>2102</v>
      </c>
      <c r="C10789">
        <v>425</v>
      </c>
      <c r="D10789">
        <v>577</v>
      </c>
      <c r="E10789">
        <v>1576287406</v>
      </c>
      <c r="F10789">
        <v>868</v>
      </c>
      <c r="G10789">
        <v>0</v>
      </c>
      <c r="H10789" t="s">
        <v>15700</v>
      </c>
      <c r="I10789">
        <v>12109</v>
      </c>
      <c r="J10789" t="str">
        <f>VLOOKUP(E10789,DSSpieler!A:B,2,FALSE)</f>
        <v>ecki91</v>
      </c>
    </row>
    <row r="10790" spans="1:10" x14ac:dyDescent="0.25">
      <c r="A10790">
        <v>12111</v>
      </c>
      <c r="B10790" t="s">
        <v>531</v>
      </c>
      <c r="C10790">
        <v>448</v>
      </c>
      <c r="D10790">
        <v>593</v>
      </c>
      <c r="E10790">
        <v>0</v>
      </c>
      <c r="F10790">
        <v>229</v>
      </c>
      <c r="G10790">
        <v>0</v>
      </c>
      <c r="H10790" t="s">
        <v>15701</v>
      </c>
      <c r="I10790">
        <v>12111</v>
      </c>
      <c r="J10790" t="e">
        <f>VLOOKUP(E10790,DSSpieler!A:B,2,FALSE)</f>
        <v>#N/A</v>
      </c>
    </row>
    <row r="10791" spans="1:10" x14ac:dyDescent="0.25">
      <c r="A10791">
        <v>12112</v>
      </c>
      <c r="B10791" t="s">
        <v>531</v>
      </c>
      <c r="C10791">
        <v>418</v>
      </c>
      <c r="D10791">
        <v>573</v>
      </c>
      <c r="E10791">
        <v>0</v>
      </c>
      <c r="F10791">
        <v>688</v>
      </c>
      <c r="G10791">
        <v>0</v>
      </c>
      <c r="H10791" t="s">
        <v>15702</v>
      </c>
      <c r="I10791">
        <v>12112</v>
      </c>
      <c r="J10791" t="e">
        <f>VLOOKUP(E10791,DSSpieler!A:B,2,FALSE)</f>
        <v>#N/A</v>
      </c>
    </row>
    <row r="10792" spans="1:10" x14ac:dyDescent="0.25">
      <c r="A10792">
        <v>12113</v>
      </c>
      <c r="B10792" t="s">
        <v>531</v>
      </c>
      <c r="C10792">
        <v>606</v>
      </c>
      <c r="D10792">
        <v>484</v>
      </c>
      <c r="E10792">
        <v>0</v>
      </c>
      <c r="F10792">
        <v>320</v>
      </c>
      <c r="G10792">
        <v>0</v>
      </c>
      <c r="H10792" t="s">
        <v>15703</v>
      </c>
      <c r="I10792">
        <v>12113</v>
      </c>
      <c r="J10792" t="e">
        <f>VLOOKUP(E10792,DSSpieler!A:B,2,FALSE)</f>
        <v>#N/A</v>
      </c>
    </row>
    <row r="10793" spans="1:10" x14ac:dyDescent="0.25">
      <c r="A10793">
        <v>12114</v>
      </c>
      <c r="B10793" t="s">
        <v>531</v>
      </c>
      <c r="C10793">
        <v>428</v>
      </c>
      <c r="D10793">
        <v>571</v>
      </c>
      <c r="E10793">
        <v>10105414</v>
      </c>
      <c r="F10793">
        <v>534</v>
      </c>
      <c r="G10793">
        <v>0</v>
      </c>
      <c r="H10793" t="s">
        <v>15704</v>
      </c>
      <c r="I10793">
        <v>12114</v>
      </c>
      <c r="J10793" t="str">
        <f>VLOOKUP(E10793,DSSpieler!A:B,2,FALSE)</f>
        <v>-DamaretiK-</v>
      </c>
    </row>
    <row r="10794" spans="1:10" x14ac:dyDescent="0.25">
      <c r="A10794">
        <v>12115</v>
      </c>
      <c r="B10794" t="s">
        <v>531</v>
      </c>
      <c r="C10794">
        <v>392</v>
      </c>
      <c r="D10794">
        <v>517</v>
      </c>
      <c r="E10794">
        <v>0</v>
      </c>
      <c r="F10794">
        <v>128</v>
      </c>
      <c r="G10794">
        <v>0</v>
      </c>
      <c r="H10794" t="s">
        <v>15705</v>
      </c>
      <c r="I10794">
        <v>12115</v>
      </c>
      <c r="J10794" t="e">
        <f>VLOOKUP(E10794,DSSpieler!A:B,2,FALSE)</f>
        <v>#N/A</v>
      </c>
    </row>
    <row r="10795" spans="1:10" x14ac:dyDescent="0.25">
      <c r="A10795">
        <v>12117</v>
      </c>
      <c r="B10795" s="111">
        <v>2300.02</v>
      </c>
      <c r="C10795">
        <v>414</v>
      </c>
      <c r="D10795">
        <v>565</v>
      </c>
      <c r="E10795">
        <v>1576626300</v>
      </c>
      <c r="F10795">
        <v>5986</v>
      </c>
      <c r="G10795">
        <v>0</v>
      </c>
      <c r="H10795" t="s">
        <v>15706</v>
      </c>
      <c r="I10795">
        <v>12117</v>
      </c>
      <c r="J10795" t="str">
        <f>VLOOKUP(E10795,DSSpieler!A:B,2,FALSE)</f>
        <v>Collin Jennings</v>
      </c>
    </row>
    <row r="10796" spans="1:10" x14ac:dyDescent="0.25">
      <c r="A10796">
        <v>12118</v>
      </c>
      <c r="B10796" t="s">
        <v>780</v>
      </c>
      <c r="C10796">
        <v>610</v>
      </c>
      <c r="D10796">
        <v>537</v>
      </c>
      <c r="E10796">
        <v>1576939408</v>
      </c>
      <c r="F10796">
        <v>5719</v>
      </c>
      <c r="G10796">
        <v>0</v>
      </c>
      <c r="H10796" t="s">
        <v>15707</v>
      </c>
      <c r="I10796">
        <v>12118</v>
      </c>
      <c r="J10796" t="str">
        <f>VLOOKUP(E10796,DSSpieler!A:B,2,FALSE)</f>
        <v>Der Blauadler</v>
      </c>
    </row>
    <row r="10797" spans="1:10" x14ac:dyDescent="0.25">
      <c r="A10797">
        <v>12119</v>
      </c>
      <c r="B10797" t="s">
        <v>531</v>
      </c>
      <c r="C10797">
        <v>572</v>
      </c>
      <c r="D10797">
        <v>581</v>
      </c>
      <c r="E10797">
        <v>0</v>
      </c>
      <c r="F10797">
        <v>240</v>
      </c>
      <c r="G10797">
        <v>0</v>
      </c>
      <c r="H10797" t="s">
        <v>15708</v>
      </c>
      <c r="I10797">
        <v>12119</v>
      </c>
      <c r="J10797" t="e">
        <f>VLOOKUP(E10797,DSSpieler!A:B,2,FALSE)</f>
        <v>#N/A</v>
      </c>
    </row>
    <row r="10798" spans="1:10" x14ac:dyDescent="0.25">
      <c r="A10798">
        <v>12120</v>
      </c>
      <c r="B10798" t="s">
        <v>531</v>
      </c>
      <c r="C10798">
        <v>471</v>
      </c>
      <c r="D10798">
        <v>400</v>
      </c>
      <c r="E10798">
        <v>0</v>
      </c>
      <c r="F10798">
        <v>364</v>
      </c>
      <c r="G10798">
        <v>0</v>
      </c>
      <c r="H10798" t="s">
        <v>15709</v>
      </c>
      <c r="I10798">
        <v>12120</v>
      </c>
      <c r="J10798" t="e">
        <f>VLOOKUP(E10798,DSSpieler!A:B,2,FALSE)</f>
        <v>#N/A</v>
      </c>
    </row>
    <row r="10799" spans="1:10" x14ac:dyDescent="0.25">
      <c r="A10799">
        <v>12121</v>
      </c>
      <c r="B10799" t="s">
        <v>531</v>
      </c>
      <c r="C10799">
        <v>462</v>
      </c>
      <c r="D10799">
        <v>598</v>
      </c>
      <c r="E10799">
        <v>0</v>
      </c>
      <c r="F10799">
        <v>215</v>
      </c>
      <c r="G10799">
        <v>0</v>
      </c>
      <c r="H10799" t="s">
        <v>15710</v>
      </c>
      <c r="I10799">
        <v>12121</v>
      </c>
      <c r="J10799" t="e">
        <f>VLOOKUP(E10799,DSSpieler!A:B,2,FALSE)</f>
        <v>#N/A</v>
      </c>
    </row>
    <row r="10800" spans="1:10" x14ac:dyDescent="0.25">
      <c r="A10800">
        <v>12122</v>
      </c>
      <c r="B10800" t="s">
        <v>531</v>
      </c>
      <c r="C10800">
        <v>420</v>
      </c>
      <c r="D10800">
        <v>570</v>
      </c>
      <c r="E10800">
        <v>0</v>
      </c>
      <c r="F10800">
        <v>381</v>
      </c>
      <c r="G10800">
        <v>0</v>
      </c>
      <c r="H10800" t="s">
        <v>15711</v>
      </c>
      <c r="I10800">
        <v>12122</v>
      </c>
      <c r="J10800" t="e">
        <f>VLOOKUP(E10800,DSSpieler!A:B,2,FALSE)</f>
        <v>#N/A</v>
      </c>
    </row>
    <row r="10801" spans="1:10" x14ac:dyDescent="0.25">
      <c r="A10801">
        <v>12123</v>
      </c>
      <c r="B10801" t="s">
        <v>2103</v>
      </c>
      <c r="C10801">
        <v>436</v>
      </c>
      <c r="D10801">
        <v>589</v>
      </c>
      <c r="E10801">
        <v>1577199018</v>
      </c>
      <c r="F10801">
        <v>7011</v>
      </c>
      <c r="G10801">
        <v>0</v>
      </c>
      <c r="H10801" t="s">
        <v>15712</v>
      </c>
      <c r="I10801">
        <v>12123</v>
      </c>
      <c r="J10801" t="str">
        <f>VLOOKUP(E10801,DSSpieler!A:B,2,FALSE)</f>
        <v>TheYufkaaa</v>
      </c>
    </row>
    <row r="10802" spans="1:10" x14ac:dyDescent="0.25">
      <c r="A10802">
        <v>12124</v>
      </c>
      <c r="B10802" t="s">
        <v>531</v>
      </c>
      <c r="C10802">
        <v>589</v>
      </c>
      <c r="D10802">
        <v>563</v>
      </c>
      <c r="E10802">
        <v>0</v>
      </c>
      <c r="F10802">
        <v>327</v>
      </c>
      <c r="G10802">
        <v>0</v>
      </c>
      <c r="H10802" t="s">
        <v>15713</v>
      </c>
      <c r="I10802">
        <v>12124</v>
      </c>
      <c r="J10802" t="e">
        <f>VLOOKUP(E10802,DSSpieler!A:B,2,FALSE)</f>
        <v>#N/A</v>
      </c>
    </row>
    <row r="10803" spans="1:10" x14ac:dyDescent="0.25">
      <c r="A10803">
        <v>12125</v>
      </c>
      <c r="B10803" t="s">
        <v>531</v>
      </c>
      <c r="C10803">
        <v>416</v>
      </c>
      <c r="D10803">
        <v>566</v>
      </c>
      <c r="E10803">
        <v>0</v>
      </c>
      <c r="F10803">
        <v>179</v>
      </c>
      <c r="G10803">
        <v>0</v>
      </c>
      <c r="H10803" t="s">
        <v>15714</v>
      </c>
      <c r="I10803">
        <v>12125</v>
      </c>
      <c r="J10803" t="e">
        <f>VLOOKUP(E10803,DSSpieler!A:B,2,FALSE)</f>
        <v>#N/A</v>
      </c>
    </row>
    <row r="10804" spans="1:10" x14ac:dyDescent="0.25">
      <c r="A10804">
        <v>12126</v>
      </c>
      <c r="B10804" t="s">
        <v>34344</v>
      </c>
      <c r="C10804">
        <v>475</v>
      </c>
      <c r="D10804">
        <v>606</v>
      </c>
      <c r="E10804">
        <v>9939653</v>
      </c>
      <c r="F10804">
        <v>3469</v>
      </c>
      <c r="G10804">
        <v>0</v>
      </c>
      <c r="H10804" t="s">
        <v>15715</v>
      </c>
      <c r="I10804">
        <v>12126</v>
      </c>
      <c r="J10804" t="str">
        <f>VLOOKUP(E10804,DSSpieler!A:B,2,FALSE)</f>
        <v>YONDA</v>
      </c>
    </row>
    <row r="10805" spans="1:10" x14ac:dyDescent="0.25">
      <c r="A10805">
        <v>12127</v>
      </c>
      <c r="B10805" t="s">
        <v>34345</v>
      </c>
      <c r="C10805">
        <v>568</v>
      </c>
      <c r="D10805">
        <v>581</v>
      </c>
      <c r="E10805">
        <v>1576134517</v>
      </c>
      <c r="F10805">
        <v>6928</v>
      </c>
      <c r="G10805">
        <v>0</v>
      </c>
      <c r="H10805" t="s">
        <v>15716</v>
      </c>
      <c r="I10805">
        <v>12127</v>
      </c>
      <c r="J10805" t="str">
        <f>VLOOKUP(E10805,DSSpieler!A:B,2,FALSE)</f>
        <v>Gammler9</v>
      </c>
    </row>
    <row r="10806" spans="1:10" x14ac:dyDescent="0.25">
      <c r="A10806">
        <v>12128</v>
      </c>
      <c r="B10806" t="s">
        <v>531</v>
      </c>
      <c r="C10806">
        <v>412</v>
      </c>
      <c r="D10806">
        <v>569</v>
      </c>
      <c r="E10806">
        <v>0</v>
      </c>
      <c r="F10806">
        <v>178</v>
      </c>
      <c r="G10806">
        <v>0</v>
      </c>
      <c r="H10806" t="s">
        <v>15717</v>
      </c>
      <c r="I10806">
        <v>12128</v>
      </c>
      <c r="J10806" t="e">
        <f>VLOOKUP(E10806,DSSpieler!A:B,2,FALSE)</f>
        <v>#N/A</v>
      </c>
    </row>
    <row r="10807" spans="1:10" x14ac:dyDescent="0.25">
      <c r="A10807">
        <v>12129</v>
      </c>
      <c r="B10807" t="s">
        <v>34346</v>
      </c>
      <c r="C10807">
        <v>565</v>
      </c>
      <c r="D10807">
        <v>529</v>
      </c>
      <c r="E10807">
        <v>1576926576</v>
      </c>
      <c r="F10807">
        <v>1530</v>
      </c>
      <c r="G10807">
        <v>0</v>
      </c>
      <c r="H10807" t="s">
        <v>15718</v>
      </c>
      <c r="I10807">
        <v>12129</v>
      </c>
      <c r="J10807" t="str">
        <f>VLOOKUP(E10807,DSSpieler!A:B,2,FALSE)</f>
        <v>Munin*</v>
      </c>
    </row>
    <row r="10808" spans="1:10" x14ac:dyDescent="0.25">
      <c r="A10808">
        <v>12130</v>
      </c>
      <c r="B10808" t="e">
        <f>-4-+Auerbach+i.d.Opf.</f>
        <v>#NAME?</v>
      </c>
      <c r="C10808">
        <v>417</v>
      </c>
      <c r="D10808">
        <v>429</v>
      </c>
      <c r="E10808">
        <v>1577106611</v>
      </c>
      <c r="F10808">
        <v>7257</v>
      </c>
      <c r="G10808">
        <v>0</v>
      </c>
      <c r="H10808" t="s">
        <v>15719</v>
      </c>
      <c r="I10808">
        <v>12130</v>
      </c>
      <c r="J10808" t="str">
        <f>VLOOKUP(E10808,DSSpieler!A:B,2,FALSE)</f>
        <v>elkernaso</v>
      </c>
    </row>
    <row r="10809" spans="1:10" x14ac:dyDescent="0.25">
      <c r="A10809">
        <v>12132</v>
      </c>
      <c r="B10809">
        <v>6</v>
      </c>
      <c r="C10809">
        <v>396</v>
      </c>
      <c r="D10809">
        <v>545</v>
      </c>
      <c r="E10809">
        <v>1576523771</v>
      </c>
      <c r="F10809">
        <v>4170</v>
      </c>
      <c r="G10809">
        <v>0</v>
      </c>
      <c r="H10809" t="s">
        <v>15720</v>
      </c>
      <c r="I10809">
        <v>12132</v>
      </c>
      <c r="J10809" t="str">
        <f>VLOOKUP(E10809,DSSpieler!A:B,2,FALSE)</f>
        <v>Kev1n</v>
      </c>
    </row>
    <row r="10810" spans="1:10" x14ac:dyDescent="0.25">
      <c r="A10810">
        <v>12133</v>
      </c>
      <c r="B10810" t="s">
        <v>34347</v>
      </c>
      <c r="C10810">
        <v>522</v>
      </c>
      <c r="D10810">
        <v>398</v>
      </c>
      <c r="E10810">
        <v>9355345</v>
      </c>
      <c r="F10810">
        <v>505</v>
      </c>
      <c r="G10810">
        <v>0</v>
      </c>
      <c r="H10810" t="s">
        <v>15721</v>
      </c>
      <c r="I10810">
        <v>12133</v>
      </c>
      <c r="J10810" t="str">
        <f>VLOOKUP(E10810,DSSpieler!A:B,2,FALSE)</f>
        <v>falke077</v>
      </c>
    </row>
    <row r="10811" spans="1:10" x14ac:dyDescent="0.25">
      <c r="A10811">
        <v>12134</v>
      </c>
      <c r="B10811">
        <v>3</v>
      </c>
      <c r="C10811">
        <v>482</v>
      </c>
      <c r="D10811">
        <v>545</v>
      </c>
      <c r="E10811">
        <v>1577154689</v>
      </c>
      <c r="F10811">
        <v>4436</v>
      </c>
      <c r="G10811">
        <v>0</v>
      </c>
      <c r="H10811" t="s">
        <v>15722</v>
      </c>
      <c r="I10811">
        <v>12134</v>
      </c>
      <c r="J10811" t="str">
        <f>VLOOKUP(E10811,DSSpieler!A:B,2,FALSE)</f>
        <v>butzi 1</v>
      </c>
    </row>
    <row r="10812" spans="1:10" x14ac:dyDescent="0.25">
      <c r="A10812">
        <v>12135</v>
      </c>
      <c r="B10812" t="s">
        <v>2104</v>
      </c>
      <c r="C10812">
        <v>608</v>
      </c>
      <c r="D10812">
        <v>491</v>
      </c>
      <c r="E10812">
        <v>9312082</v>
      </c>
      <c r="F10812">
        <v>2532</v>
      </c>
      <c r="G10812">
        <v>0</v>
      </c>
      <c r="H10812" t="s">
        <v>15723</v>
      </c>
      <c r="I10812">
        <v>12135</v>
      </c>
      <c r="J10812" t="str">
        <f>VLOOKUP(E10812,DSSpieler!A:B,2,FALSE)</f>
        <v>-Vanillegipfel-</v>
      </c>
    </row>
    <row r="10813" spans="1:10" x14ac:dyDescent="0.25">
      <c r="A10813">
        <v>12137</v>
      </c>
      <c r="B10813" t="s">
        <v>34348</v>
      </c>
      <c r="C10813">
        <v>557</v>
      </c>
      <c r="D10813">
        <v>408</v>
      </c>
      <c r="E10813">
        <v>1576188624</v>
      </c>
      <c r="F10813">
        <v>4996</v>
      </c>
      <c r="G10813">
        <v>0</v>
      </c>
      <c r="H10813" t="s">
        <v>15724</v>
      </c>
      <c r="I10813">
        <v>12137</v>
      </c>
      <c r="J10813" t="str">
        <f>VLOOKUP(E10813,DSSpieler!A:B,2,FALSE)</f>
        <v>kartoffelklaus1</v>
      </c>
    </row>
    <row r="10814" spans="1:10" x14ac:dyDescent="0.25">
      <c r="A10814">
        <v>12138</v>
      </c>
      <c r="B10814" t="s">
        <v>34349</v>
      </c>
      <c r="C10814">
        <v>548</v>
      </c>
      <c r="D10814">
        <v>593</v>
      </c>
      <c r="E10814">
        <v>1577199020</v>
      </c>
      <c r="F10814">
        <v>6275</v>
      </c>
      <c r="G10814">
        <v>0</v>
      </c>
      <c r="H10814" t="s">
        <v>15725</v>
      </c>
      <c r="I10814">
        <v>12138</v>
      </c>
      <c r="J10814" t="str">
        <f>VLOOKUP(E10814,DSSpieler!A:B,2,FALSE)</f>
        <v>Günther Schäfer</v>
      </c>
    </row>
    <row r="10815" spans="1:10" x14ac:dyDescent="0.25">
      <c r="A10815">
        <v>12140</v>
      </c>
      <c r="B10815" t="s">
        <v>531</v>
      </c>
      <c r="C10815">
        <v>417</v>
      </c>
      <c r="D10815">
        <v>568</v>
      </c>
      <c r="E10815">
        <v>0</v>
      </c>
      <c r="F10815">
        <v>251</v>
      </c>
      <c r="G10815">
        <v>0</v>
      </c>
      <c r="H10815" t="s">
        <v>15726</v>
      </c>
      <c r="I10815">
        <v>12140</v>
      </c>
      <c r="J10815" t="e">
        <f>VLOOKUP(E10815,DSSpieler!A:B,2,FALSE)</f>
        <v>#N/A</v>
      </c>
    </row>
    <row r="10816" spans="1:10" x14ac:dyDescent="0.25">
      <c r="A10816">
        <v>12141</v>
      </c>
      <c r="B10816" t="s">
        <v>2105</v>
      </c>
      <c r="C10816">
        <v>485</v>
      </c>
      <c r="D10816">
        <v>530</v>
      </c>
      <c r="E10816">
        <v>1577199157</v>
      </c>
      <c r="F10816">
        <v>3595</v>
      </c>
      <c r="G10816">
        <v>0</v>
      </c>
      <c r="H10816" t="s">
        <v>15727</v>
      </c>
      <c r="I10816">
        <v>12141</v>
      </c>
      <c r="J10816" t="str">
        <f>VLOOKUP(E10816,DSSpieler!A:B,2,FALSE)</f>
        <v>wgo-habasch</v>
      </c>
    </row>
    <row r="10817" spans="1:10" x14ac:dyDescent="0.25">
      <c r="A10817">
        <v>12142</v>
      </c>
      <c r="B10817" t="s">
        <v>531</v>
      </c>
      <c r="C10817">
        <v>421</v>
      </c>
      <c r="D10817">
        <v>580</v>
      </c>
      <c r="E10817">
        <v>0</v>
      </c>
      <c r="F10817">
        <v>229</v>
      </c>
      <c r="G10817">
        <v>0</v>
      </c>
      <c r="H10817" t="s">
        <v>15728</v>
      </c>
      <c r="I10817">
        <v>12142</v>
      </c>
      <c r="J10817" t="e">
        <f>VLOOKUP(E10817,DSSpieler!A:B,2,FALSE)</f>
        <v>#N/A</v>
      </c>
    </row>
    <row r="10818" spans="1:10" x14ac:dyDescent="0.25">
      <c r="A10818">
        <v>12143</v>
      </c>
      <c r="B10818" t="s">
        <v>34350</v>
      </c>
      <c r="C10818">
        <v>503</v>
      </c>
      <c r="D10818">
        <v>393</v>
      </c>
      <c r="E10818">
        <v>7777802</v>
      </c>
      <c r="F10818">
        <v>1618</v>
      </c>
      <c r="G10818">
        <v>0</v>
      </c>
      <c r="H10818" t="s">
        <v>15729</v>
      </c>
      <c r="I10818">
        <v>12143</v>
      </c>
      <c r="J10818" t="str">
        <f>VLOOKUP(E10818,DSSpieler!A:B,2,FALSE)</f>
        <v>Taramis</v>
      </c>
    </row>
    <row r="10819" spans="1:10" x14ac:dyDescent="0.25">
      <c r="A10819">
        <v>12144</v>
      </c>
      <c r="B10819" t="s">
        <v>531</v>
      </c>
      <c r="C10819">
        <v>420</v>
      </c>
      <c r="D10819">
        <v>577</v>
      </c>
      <c r="E10819">
        <v>0</v>
      </c>
      <c r="F10819">
        <v>325</v>
      </c>
      <c r="G10819">
        <v>0</v>
      </c>
      <c r="H10819" t="s">
        <v>15730</v>
      </c>
      <c r="I10819">
        <v>12144</v>
      </c>
      <c r="J10819" t="e">
        <f>VLOOKUP(E10819,DSSpieler!A:B,2,FALSE)</f>
        <v>#N/A</v>
      </c>
    </row>
    <row r="10820" spans="1:10" x14ac:dyDescent="0.25">
      <c r="A10820">
        <v>12145</v>
      </c>
      <c r="B10820" t="s">
        <v>531</v>
      </c>
      <c r="C10820">
        <v>413</v>
      </c>
      <c r="D10820">
        <v>442</v>
      </c>
      <c r="E10820">
        <v>0</v>
      </c>
      <c r="F10820">
        <v>472</v>
      </c>
      <c r="G10820">
        <v>0</v>
      </c>
      <c r="H10820" t="s">
        <v>15731</v>
      </c>
      <c r="I10820">
        <v>12145</v>
      </c>
      <c r="J10820" t="e">
        <f>VLOOKUP(E10820,DSSpieler!A:B,2,FALSE)</f>
        <v>#N/A</v>
      </c>
    </row>
    <row r="10821" spans="1:10" x14ac:dyDescent="0.25">
      <c r="A10821">
        <v>12146</v>
      </c>
      <c r="B10821" t="s">
        <v>531</v>
      </c>
      <c r="C10821">
        <v>394</v>
      </c>
      <c r="D10821">
        <v>483</v>
      </c>
      <c r="E10821">
        <v>0</v>
      </c>
      <c r="F10821">
        <v>194</v>
      </c>
      <c r="G10821">
        <v>0</v>
      </c>
      <c r="H10821" t="s">
        <v>15732</v>
      </c>
      <c r="I10821">
        <v>12146</v>
      </c>
      <c r="J10821" t="e">
        <f>VLOOKUP(E10821,DSSpieler!A:B,2,FALSE)</f>
        <v>#N/A</v>
      </c>
    </row>
    <row r="10822" spans="1:10" x14ac:dyDescent="0.25">
      <c r="A10822">
        <v>12147</v>
      </c>
      <c r="B10822" t="s">
        <v>531</v>
      </c>
      <c r="C10822">
        <v>425</v>
      </c>
      <c r="D10822">
        <v>584</v>
      </c>
      <c r="E10822">
        <v>0</v>
      </c>
      <c r="F10822">
        <v>165</v>
      </c>
      <c r="G10822">
        <v>0</v>
      </c>
      <c r="H10822" t="s">
        <v>15733</v>
      </c>
      <c r="I10822">
        <v>12147</v>
      </c>
      <c r="J10822" t="e">
        <f>VLOOKUP(E10822,DSSpieler!A:B,2,FALSE)</f>
        <v>#N/A</v>
      </c>
    </row>
    <row r="10823" spans="1:10" x14ac:dyDescent="0.25">
      <c r="A10823">
        <v>12148</v>
      </c>
      <c r="B10823" t="s">
        <v>531</v>
      </c>
      <c r="C10823">
        <v>422</v>
      </c>
      <c r="D10823">
        <v>577</v>
      </c>
      <c r="E10823">
        <v>0</v>
      </c>
      <c r="F10823">
        <v>443</v>
      </c>
      <c r="G10823">
        <v>0</v>
      </c>
      <c r="H10823" t="s">
        <v>15734</v>
      </c>
      <c r="I10823">
        <v>12148</v>
      </c>
      <c r="J10823" t="e">
        <f>VLOOKUP(E10823,DSSpieler!A:B,2,FALSE)</f>
        <v>#N/A</v>
      </c>
    </row>
    <row r="10824" spans="1:10" x14ac:dyDescent="0.25">
      <c r="A10824">
        <v>12149</v>
      </c>
      <c r="B10824" t="s">
        <v>667</v>
      </c>
      <c r="C10824">
        <v>393</v>
      </c>
      <c r="D10824">
        <v>486</v>
      </c>
      <c r="E10824">
        <v>1577198960</v>
      </c>
      <c r="F10824">
        <v>4773</v>
      </c>
      <c r="G10824">
        <v>0</v>
      </c>
      <c r="H10824" t="s">
        <v>450</v>
      </c>
      <c r="I10824">
        <v>12149</v>
      </c>
      <c r="J10824" t="str">
        <f>VLOOKUP(E10824,DSSpieler!A:B,2,FALSE)</f>
        <v>Soleya</v>
      </c>
    </row>
    <row r="10825" spans="1:10" x14ac:dyDescent="0.25">
      <c r="A10825">
        <v>12150</v>
      </c>
      <c r="B10825" t="s">
        <v>531</v>
      </c>
      <c r="C10825">
        <v>424</v>
      </c>
      <c r="D10825">
        <v>583</v>
      </c>
      <c r="E10825">
        <v>0</v>
      </c>
      <c r="F10825">
        <v>190</v>
      </c>
      <c r="G10825">
        <v>0</v>
      </c>
      <c r="H10825" t="s">
        <v>15735</v>
      </c>
      <c r="I10825">
        <v>12150</v>
      </c>
      <c r="J10825" t="e">
        <f>VLOOKUP(E10825,DSSpieler!A:B,2,FALSE)</f>
        <v>#N/A</v>
      </c>
    </row>
    <row r="10826" spans="1:10" x14ac:dyDescent="0.25">
      <c r="A10826">
        <v>12151</v>
      </c>
      <c r="B10826" t="s">
        <v>531</v>
      </c>
      <c r="C10826">
        <v>515</v>
      </c>
      <c r="D10826">
        <v>606</v>
      </c>
      <c r="E10826">
        <v>0</v>
      </c>
      <c r="F10826">
        <v>321</v>
      </c>
      <c r="G10826">
        <v>0</v>
      </c>
      <c r="H10826" t="s">
        <v>15736</v>
      </c>
      <c r="I10826">
        <v>12151</v>
      </c>
      <c r="J10826" t="e">
        <f>VLOOKUP(E10826,DSSpieler!A:B,2,FALSE)</f>
        <v>#N/A</v>
      </c>
    </row>
    <row r="10827" spans="1:10" x14ac:dyDescent="0.25">
      <c r="A10827">
        <v>12153</v>
      </c>
      <c r="B10827" t="s">
        <v>531</v>
      </c>
      <c r="C10827">
        <v>421</v>
      </c>
      <c r="D10827">
        <v>569</v>
      </c>
      <c r="E10827">
        <v>0</v>
      </c>
      <c r="F10827">
        <v>221</v>
      </c>
      <c r="G10827">
        <v>0</v>
      </c>
      <c r="H10827" t="s">
        <v>15737</v>
      </c>
      <c r="I10827">
        <v>12153</v>
      </c>
      <c r="J10827" t="e">
        <f>VLOOKUP(E10827,DSSpieler!A:B,2,FALSE)</f>
        <v>#N/A</v>
      </c>
    </row>
    <row r="10828" spans="1:10" x14ac:dyDescent="0.25">
      <c r="A10828">
        <v>12154</v>
      </c>
      <c r="B10828" t="s">
        <v>531</v>
      </c>
      <c r="C10828">
        <v>420</v>
      </c>
      <c r="D10828">
        <v>568</v>
      </c>
      <c r="E10828">
        <v>0</v>
      </c>
      <c r="F10828">
        <v>159</v>
      </c>
      <c r="G10828">
        <v>0</v>
      </c>
      <c r="H10828" t="s">
        <v>15738</v>
      </c>
      <c r="I10828">
        <v>12154</v>
      </c>
      <c r="J10828" t="e">
        <f>VLOOKUP(E10828,DSSpieler!A:B,2,FALSE)</f>
        <v>#N/A</v>
      </c>
    </row>
    <row r="10829" spans="1:10" x14ac:dyDescent="0.25">
      <c r="A10829">
        <v>12155</v>
      </c>
      <c r="B10829" t="s">
        <v>531</v>
      </c>
      <c r="C10829">
        <v>522</v>
      </c>
      <c r="D10829">
        <v>604</v>
      </c>
      <c r="E10829">
        <v>0</v>
      </c>
      <c r="F10829">
        <v>245</v>
      </c>
      <c r="G10829">
        <v>0</v>
      </c>
      <c r="H10829" t="s">
        <v>15739</v>
      </c>
      <c r="I10829">
        <v>12155</v>
      </c>
      <c r="J10829" t="e">
        <f>VLOOKUP(E10829,DSSpieler!A:B,2,FALSE)</f>
        <v>#N/A</v>
      </c>
    </row>
    <row r="10830" spans="1:10" x14ac:dyDescent="0.25">
      <c r="A10830">
        <v>12156</v>
      </c>
      <c r="B10830" t="s">
        <v>531</v>
      </c>
      <c r="C10830">
        <v>438</v>
      </c>
      <c r="D10830">
        <v>587</v>
      </c>
      <c r="E10830">
        <v>0</v>
      </c>
      <c r="F10830">
        <v>542</v>
      </c>
      <c r="G10830">
        <v>0</v>
      </c>
      <c r="H10830" t="s">
        <v>15740</v>
      </c>
      <c r="I10830">
        <v>12156</v>
      </c>
      <c r="J10830" t="e">
        <f>VLOOKUP(E10830,DSSpieler!A:B,2,FALSE)</f>
        <v>#N/A</v>
      </c>
    </row>
    <row r="10831" spans="1:10" x14ac:dyDescent="0.25">
      <c r="A10831">
        <v>12157</v>
      </c>
      <c r="B10831" t="s">
        <v>2106</v>
      </c>
      <c r="C10831">
        <v>453</v>
      </c>
      <c r="D10831">
        <v>536</v>
      </c>
      <c r="E10831">
        <v>9367366</v>
      </c>
      <c r="F10831">
        <v>1306</v>
      </c>
      <c r="G10831">
        <v>0</v>
      </c>
      <c r="H10831" t="s">
        <v>15741</v>
      </c>
      <c r="I10831">
        <v>12157</v>
      </c>
      <c r="J10831" t="str">
        <f>VLOOKUP(E10831,DSSpieler!A:B,2,FALSE)</f>
        <v>micha 98</v>
      </c>
    </row>
    <row r="10832" spans="1:10" x14ac:dyDescent="0.25">
      <c r="A10832">
        <v>12158</v>
      </c>
      <c r="B10832" t="s">
        <v>2107</v>
      </c>
      <c r="C10832">
        <v>434</v>
      </c>
      <c r="D10832">
        <v>584</v>
      </c>
      <c r="E10832">
        <v>9446231</v>
      </c>
      <c r="F10832">
        <v>4273</v>
      </c>
      <c r="G10832">
        <v>0</v>
      </c>
      <c r="H10832" t="s">
        <v>15742</v>
      </c>
      <c r="I10832">
        <v>12158</v>
      </c>
      <c r="J10832" t="str">
        <f>VLOOKUP(E10832,DSSpieler!A:B,2,FALSE)</f>
        <v>xXWaSGeHtXx</v>
      </c>
    </row>
    <row r="10833" spans="1:10" x14ac:dyDescent="0.25">
      <c r="A10833">
        <v>12159</v>
      </c>
      <c r="B10833" t="s">
        <v>531</v>
      </c>
      <c r="C10833">
        <v>430</v>
      </c>
      <c r="D10833">
        <v>584</v>
      </c>
      <c r="E10833">
        <v>0</v>
      </c>
      <c r="F10833">
        <v>130</v>
      </c>
      <c r="G10833">
        <v>0</v>
      </c>
      <c r="H10833" t="s">
        <v>15743</v>
      </c>
      <c r="I10833">
        <v>12159</v>
      </c>
      <c r="J10833" t="e">
        <f>VLOOKUP(E10833,DSSpieler!A:B,2,FALSE)</f>
        <v>#N/A</v>
      </c>
    </row>
    <row r="10834" spans="1:10" x14ac:dyDescent="0.25">
      <c r="A10834">
        <v>12160</v>
      </c>
      <c r="B10834" t="s">
        <v>531</v>
      </c>
      <c r="C10834">
        <v>429</v>
      </c>
      <c r="D10834">
        <v>582</v>
      </c>
      <c r="E10834">
        <v>0</v>
      </c>
      <c r="F10834">
        <v>123</v>
      </c>
      <c r="G10834">
        <v>0</v>
      </c>
      <c r="H10834" t="s">
        <v>15744</v>
      </c>
      <c r="I10834">
        <v>12160</v>
      </c>
      <c r="J10834" t="e">
        <f>VLOOKUP(E10834,DSSpieler!A:B,2,FALSE)</f>
        <v>#N/A</v>
      </c>
    </row>
    <row r="10835" spans="1:10" x14ac:dyDescent="0.25">
      <c r="A10835">
        <v>12161</v>
      </c>
      <c r="B10835" t="s">
        <v>531</v>
      </c>
      <c r="C10835">
        <v>427</v>
      </c>
      <c r="D10835">
        <v>576</v>
      </c>
      <c r="E10835">
        <v>0</v>
      </c>
      <c r="F10835">
        <v>127</v>
      </c>
      <c r="G10835">
        <v>0</v>
      </c>
      <c r="H10835" t="s">
        <v>15745</v>
      </c>
      <c r="I10835">
        <v>12161</v>
      </c>
      <c r="J10835" t="e">
        <f>VLOOKUP(E10835,DSSpieler!A:B,2,FALSE)</f>
        <v>#N/A</v>
      </c>
    </row>
    <row r="10836" spans="1:10" x14ac:dyDescent="0.25">
      <c r="A10836">
        <v>12162</v>
      </c>
      <c r="B10836" t="s">
        <v>531</v>
      </c>
      <c r="C10836">
        <v>391</v>
      </c>
      <c r="D10836">
        <v>507</v>
      </c>
      <c r="E10836">
        <v>0</v>
      </c>
      <c r="F10836">
        <v>189</v>
      </c>
      <c r="G10836">
        <v>0</v>
      </c>
      <c r="H10836" t="s">
        <v>15746</v>
      </c>
      <c r="I10836">
        <v>12162</v>
      </c>
      <c r="J10836" t="e">
        <f>VLOOKUP(E10836,DSSpieler!A:B,2,FALSE)</f>
        <v>#N/A</v>
      </c>
    </row>
    <row r="10837" spans="1:10" x14ac:dyDescent="0.25">
      <c r="A10837">
        <v>12163</v>
      </c>
      <c r="B10837" t="s">
        <v>531</v>
      </c>
      <c r="C10837">
        <v>429</v>
      </c>
      <c r="D10837">
        <v>574</v>
      </c>
      <c r="E10837">
        <v>0</v>
      </c>
      <c r="F10837">
        <v>334</v>
      </c>
      <c r="G10837">
        <v>0</v>
      </c>
      <c r="H10837" t="s">
        <v>15747</v>
      </c>
      <c r="I10837">
        <v>12163</v>
      </c>
      <c r="J10837" t="e">
        <f>VLOOKUP(E10837,DSSpieler!A:B,2,FALSE)</f>
        <v>#N/A</v>
      </c>
    </row>
    <row r="10838" spans="1:10" x14ac:dyDescent="0.25">
      <c r="A10838">
        <v>12164</v>
      </c>
      <c r="B10838" t="s">
        <v>531</v>
      </c>
      <c r="C10838">
        <v>421</v>
      </c>
      <c r="D10838">
        <v>575</v>
      </c>
      <c r="E10838">
        <v>0</v>
      </c>
      <c r="F10838">
        <v>479</v>
      </c>
      <c r="G10838">
        <v>0</v>
      </c>
      <c r="H10838" t="s">
        <v>15748</v>
      </c>
      <c r="I10838">
        <v>12164</v>
      </c>
      <c r="J10838" t="e">
        <f>VLOOKUP(E10838,DSSpieler!A:B,2,FALSE)</f>
        <v>#N/A</v>
      </c>
    </row>
    <row r="10839" spans="1:10" x14ac:dyDescent="0.25">
      <c r="A10839">
        <v>12165</v>
      </c>
      <c r="B10839" t="s">
        <v>531</v>
      </c>
      <c r="C10839">
        <v>407</v>
      </c>
      <c r="D10839">
        <v>444</v>
      </c>
      <c r="E10839">
        <v>0</v>
      </c>
      <c r="F10839">
        <v>330</v>
      </c>
      <c r="G10839">
        <v>0</v>
      </c>
      <c r="H10839" t="s">
        <v>15749</v>
      </c>
      <c r="I10839">
        <v>12165</v>
      </c>
      <c r="J10839" t="e">
        <f>VLOOKUP(E10839,DSSpieler!A:B,2,FALSE)</f>
        <v>#N/A</v>
      </c>
    </row>
    <row r="10840" spans="1:10" x14ac:dyDescent="0.25">
      <c r="A10840">
        <v>12167</v>
      </c>
      <c r="B10840" t="s">
        <v>34351</v>
      </c>
      <c r="C10840">
        <v>577</v>
      </c>
      <c r="D10840">
        <v>421</v>
      </c>
      <c r="E10840">
        <v>1577173984</v>
      </c>
      <c r="F10840">
        <v>3882</v>
      </c>
      <c r="G10840">
        <v>0</v>
      </c>
      <c r="H10840" t="s">
        <v>15750</v>
      </c>
      <c r="I10840">
        <v>12167</v>
      </c>
      <c r="J10840" t="str">
        <f>VLOOKUP(E10840,DSSpieler!A:B,2,FALSE)</f>
        <v>EisJ3aer4</v>
      </c>
    </row>
    <row r="10841" spans="1:10" x14ac:dyDescent="0.25">
      <c r="A10841">
        <v>12168</v>
      </c>
      <c r="B10841" t="s">
        <v>35854</v>
      </c>
      <c r="C10841">
        <v>492</v>
      </c>
      <c r="D10841">
        <v>548</v>
      </c>
      <c r="E10841">
        <v>1576996984</v>
      </c>
      <c r="F10841">
        <v>4227</v>
      </c>
      <c r="G10841">
        <v>0</v>
      </c>
      <c r="H10841" t="s">
        <v>15751</v>
      </c>
      <c r="I10841">
        <v>12168</v>
      </c>
      <c r="J10841" t="str">
        <f>VLOOKUP(E10841,DSSpieler!A:B,2,FALSE)</f>
        <v>Gallone</v>
      </c>
    </row>
    <row r="10842" spans="1:10" x14ac:dyDescent="0.25">
      <c r="A10842">
        <v>12169</v>
      </c>
      <c r="B10842" t="s">
        <v>531</v>
      </c>
      <c r="C10842">
        <v>394</v>
      </c>
      <c r="D10842">
        <v>496</v>
      </c>
      <c r="E10842">
        <v>0</v>
      </c>
      <c r="F10842">
        <v>353</v>
      </c>
      <c r="G10842">
        <v>0</v>
      </c>
      <c r="H10842" t="s">
        <v>15752</v>
      </c>
      <c r="I10842">
        <v>12169</v>
      </c>
      <c r="J10842" t="e">
        <f>VLOOKUP(E10842,DSSpieler!A:B,2,FALSE)</f>
        <v>#N/A</v>
      </c>
    </row>
    <row r="10843" spans="1:10" x14ac:dyDescent="0.25">
      <c r="A10843">
        <v>12170</v>
      </c>
      <c r="B10843" t="s">
        <v>531</v>
      </c>
      <c r="C10843">
        <v>421</v>
      </c>
      <c r="D10843">
        <v>566</v>
      </c>
      <c r="E10843">
        <v>0</v>
      </c>
      <c r="F10843">
        <v>195</v>
      </c>
      <c r="G10843">
        <v>0</v>
      </c>
      <c r="H10843" t="s">
        <v>15753</v>
      </c>
      <c r="I10843">
        <v>12170</v>
      </c>
      <c r="J10843" t="e">
        <f>VLOOKUP(E10843,DSSpieler!A:B,2,FALSE)</f>
        <v>#N/A</v>
      </c>
    </row>
    <row r="10844" spans="1:10" x14ac:dyDescent="0.25">
      <c r="A10844">
        <v>12171</v>
      </c>
      <c r="B10844" t="s">
        <v>531</v>
      </c>
      <c r="C10844">
        <v>418</v>
      </c>
      <c r="D10844">
        <v>575</v>
      </c>
      <c r="E10844">
        <v>0</v>
      </c>
      <c r="F10844">
        <v>246</v>
      </c>
      <c r="G10844">
        <v>0</v>
      </c>
      <c r="H10844" t="s">
        <v>15754</v>
      </c>
      <c r="I10844">
        <v>12171</v>
      </c>
      <c r="J10844" t="e">
        <f>VLOOKUP(E10844,DSSpieler!A:B,2,FALSE)</f>
        <v>#N/A</v>
      </c>
    </row>
    <row r="10845" spans="1:10" x14ac:dyDescent="0.25">
      <c r="A10845">
        <v>12172</v>
      </c>
      <c r="B10845" t="s">
        <v>34352</v>
      </c>
      <c r="C10845">
        <v>582</v>
      </c>
      <c r="D10845">
        <v>455</v>
      </c>
      <c r="E10845">
        <v>1577198806</v>
      </c>
      <c r="F10845">
        <v>5821</v>
      </c>
      <c r="G10845">
        <v>0</v>
      </c>
      <c r="H10845" t="s">
        <v>15755</v>
      </c>
      <c r="I10845">
        <v>12172</v>
      </c>
      <c r="J10845" t="str">
        <f>VLOOKUP(E10845,DSSpieler!A:B,2,FALSE)</f>
        <v>ForbiddenChild</v>
      </c>
    </row>
    <row r="10846" spans="1:10" x14ac:dyDescent="0.25">
      <c r="A10846">
        <v>12173</v>
      </c>
      <c r="B10846" t="s">
        <v>531</v>
      </c>
      <c r="C10846">
        <v>419</v>
      </c>
      <c r="D10846">
        <v>573</v>
      </c>
      <c r="E10846">
        <v>0</v>
      </c>
      <c r="F10846">
        <v>343</v>
      </c>
      <c r="G10846">
        <v>0</v>
      </c>
      <c r="H10846" t="s">
        <v>15756</v>
      </c>
      <c r="I10846">
        <v>12173</v>
      </c>
      <c r="J10846" t="e">
        <f>VLOOKUP(E10846,DSSpieler!A:B,2,FALSE)</f>
        <v>#N/A</v>
      </c>
    </row>
    <row r="10847" spans="1:10" x14ac:dyDescent="0.25">
      <c r="A10847">
        <v>12174</v>
      </c>
      <c r="B10847" t="s">
        <v>2108</v>
      </c>
      <c r="C10847">
        <v>502</v>
      </c>
      <c r="D10847">
        <v>518</v>
      </c>
      <c r="E10847">
        <v>1577197642</v>
      </c>
      <c r="F10847">
        <v>4696</v>
      </c>
      <c r="G10847">
        <v>0</v>
      </c>
      <c r="H10847" t="s">
        <v>15757</v>
      </c>
      <c r="I10847">
        <v>12174</v>
      </c>
      <c r="J10847" t="str">
        <f>VLOOKUP(E10847,DSSpieler!A:B,2,FALSE)</f>
        <v>18Miki</v>
      </c>
    </row>
    <row r="10848" spans="1:10" x14ac:dyDescent="0.25">
      <c r="A10848">
        <v>12175</v>
      </c>
      <c r="B10848" t="s">
        <v>531</v>
      </c>
      <c r="C10848">
        <v>431</v>
      </c>
      <c r="D10848">
        <v>572</v>
      </c>
      <c r="E10848">
        <v>0</v>
      </c>
      <c r="F10848">
        <v>184</v>
      </c>
      <c r="G10848">
        <v>0</v>
      </c>
      <c r="H10848" t="s">
        <v>15758</v>
      </c>
      <c r="I10848">
        <v>12175</v>
      </c>
      <c r="J10848" t="e">
        <f>VLOOKUP(E10848,DSSpieler!A:B,2,FALSE)</f>
        <v>#N/A</v>
      </c>
    </row>
    <row r="10849" spans="1:10" x14ac:dyDescent="0.25">
      <c r="A10849">
        <v>12176</v>
      </c>
      <c r="B10849" t="s">
        <v>780</v>
      </c>
      <c r="C10849">
        <v>604</v>
      </c>
      <c r="D10849">
        <v>541</v>
      </c>
      <c r="E10849">
        <v>9218699</v>
      </c>
      <c r="F10849">
        <v>7553</v>
      </c>
      <c r="G10849">
        <v>0</v>
      </c>
      <c r="H10849" t="s">
        <v>15759</v>
      </c>
      <c r="I10849">
        <v>12176</v>
      </c>
      <c r="J10849" t="str">
        <f>VLOOKUP(E10849,DSSpieler!A:B,2,FALSE)</f>
        <v>-powerkid*</v>
      </c>
    </row>
    <row r="10850" spans="1:10" x14ac:dyDescent="0.25">
      <c r="A10850">
        <v>12178</v>
      </c>
      <c r="B10850" t="s">
        <v>2109</v>
      </c>
      <c r="C10850">
        <v>429</v>
      </c>
      <c r="D10850">
        <v>541</v>
      </c>
      <c r="E10850">
        <v>1577129612</v>
      </c>
      <c r="F10850">
        <v>5853</v>
      </c>
      <c r="G10850">
        <v>0</v>
      </c>
      <c r="H10850" t="s">
        <v>15760</v>
      </c>
      <c r="I10850">
        <v>12178</v>
      </c>
      <c r="J10850" t="str">
        <f>VLOOKUP(E10850,DSSpieler!A:B,2,FALSE)</f>
        <v>Mqce</v>
      </c>
    </row>
    <row r="10851" spans="1:10" x14ac:dyDescent="0.25">
      <c r="A10851">
        <v>12179</v>
      </c>
      <c r="B10851" t="s">
        <v>531</v>
      </c>
      <c r="C10851">
        <v>419</v>
      </c>
      <c r="D10851">
        <v>576</v>
      </c>
      <c r="E10851">
        <v>0</v>
      </c>
      <c r="F10851">
        <v>129</v>
      </c>
      <c r="G10851">
        <v>0</v>
      </c>
      <c r="H10851" t="s">
        <v>15761</v>
      </c>
      <c r="I10851">
        <v>12179</v>
      </c>
      <c r="J10851" t="e">
        <f>VLOOKUP(E10851,DSSpieler!A:B,2,FALSE)</f>
        <v>#N/A</v>
      </c>
    </row>
    <row r="10852" spans="1:10" x14ac:dyDescent="0.25">
      <c r="A10852">
        <v>12180</v>
      </c>
      <c r="B10852" t="s">
        <v>531</v>
      </c>
      <c r="C10852">
        <v>415</v>
      </c>
      <c r="D10852">
        <v>569</v>
      </c>
      <c r="E10852">
        <v>0</v>
      </c>
      <c r="F10852">
        <v>470</v>
      </c>
      <c r="G10852">
        <v>0</v>
      </c>
      <c r="H10852" t="s">
        <v>15762</v>
      </c>
      <c r="I10852">
        <v>12180</v>
      </c>
      <c r="J10852" t="e">
        <f>VLOOKUP(E10852,DSSpieler!A:B,2,FALSE)</f>
        <v>#N/A</v>
      </c>
    </row>
    <row r="10853" spans="1:10" x14ac:dyDescent="0.25">
      <c r="A10853">
        <v>12181</v>
      </c>
      <c r="B10853" t="s">
        <v>32826</v>
      </c>
      <c r="C10853">
        <v>400</v>
      </c>
      <c r="D10853">
        <v>541</v>
      </c>
      <c r="E10853">
        <v>1577070657</v>
      </c>
      <c r="F10853">
        <v>3463</v>
      </c>
      <c r="G10853">
        <v>0</v>
      </c>
      <c r="H10853" t="s">
        <v>15763</v>
      </c>
      <c r="I10853">
        <v>12181</v>
      </c>
      <c r="J10853" t="str">
        <f>VLOOKUP(E10853,DSSpieler!A:B,2,FALSE)</f>
        <v>A.M.F.</v>
      </c>
    </row>
    <row r="10854" spans="1:10" x14ac:dyDescent="0.25">
      <c r="A10854">
        <v>12182</v>
      </c>
      <c r="B10854" t="s">
        <v>531</v>
      </c>
      <c r="C10854">
        <v>413</v>
      </c>
      <c r="D10854">
        <v>570</v>
      </c>
      <c r="E10854">
        <v>0</v>
      </c>
      <c r="F10854">
        <v>563</v>
      </c>
      <c r="G10854">
        <v>0</v>
      </c>
      <c r="H10854" t="s">
        <v>15764</v>
      </c>
      <c r="I10854">
        <v>12182</v>
      </c>
      <c r="J10854" t="e">
        <f>VLOOKUP(E10854,DSSpieler!A:B,2,FALSE)</f>
        <v>#N/A</v>
      </c>
    </row>
    <row r="10855" spans="1:10" x14ac:dyDescent="0.25">
      <c r="A10855">
        <v>12184</v>
      </c>
      <c r="B10855" s="111">
        <v>23.04</v>
      </c>
      <c r="C10855">
        <v>605</v>
      </c>
      <c r="D10855">
        <v>469</v>
      </c>
      <c r="E10855">
        <v>1577190470</v>
      </c>
      <c r="F10855">
        <v>472</v>
      </c>
      <c r="G10855">
        <v>0</v>
      </c>
      <c r="H10855" t="s">
        <v>15765</v>
      </c>
      <c r="I10855">
        <v>12184</v>
      </c>
      <c r="J10855" t="str">
        <f>VLOOKUP(E10855,DSSpieler!A:B,2,FALSE)</f>
        <v>Himbeermarmelade88</v>
      </c>
    </row>
    <row r="10856" spans="1:10" x14ac:dyDescent="0.25">
      <c r="A10856">
        <v>12185</v>
      </c>
      <c r="B10856" t="s">
        <v>531</v>
      </c>
      <c r="C10856">
        <v>424</v>
      </c>
      <c r="D10856">
        <v>571</v>
      </c>
      <c r="E10856">
        <v>0</v>
      </c>
      <c r="F10856">
        <v>213</v>
      </c>
      <c r="G10856">
        <v>0</v>
      </c>
      <c r="H10856" t="s">
        <v>15766</v>
      </c>
      <c r="I10856">
        <v>12185</v>
      </c>
      <c r="J10856" t="e">
        <f>VLOOKUP(E10856,DSSpieler!A:B,2,FALSE)</f>
        <v>#N/A</v>
      </c>
    </row>
    <row r="10857" spans="1:10" x14ac:dyDescent="0.25">
      <c r="A10857">
        <v>12186</v>
      </c>
      <c r="B10857" t="s">
        <v>531</v>
      </c>
      <c r="C10857">
        <v>416</v>
      </c>
      <c r="D10857">
        <v>567</v>
      </c>
      <c r="E10857">
        <v>1577181741</v>
      </c>
      <c r="F10857">
        <v>2517</v>
      </c>
      <c r="G10857">
        <v>0</v>
      </c>
      <c r="H10857" t="s">
        <v>15767</v>
      </c>
      <c r="I10857">
        <v>12186</v>
      </c>
      <c r="J10857" t="str">
        <f>VLOOKUP(E10857,DSSpieler!A:B,2,FALSE)</f>
        <v>Jannooo</v>
      </c>
    </row>
    <row r="10858" spans="1:10" x14ac:dyDescent="0.25">
      <c r="A10858">
        <v>12187</v>
      </c>
      <c r="B10858" t="s">
        <v>531</v>
      </c>
      <c r="C10858">
        <v>420</v>
      </c>
      <c r="D10858">
        <v>574</v>
      </c>
      <c r="E10858">
        <v>0</v>
      </c>
      <c r="F10858">
        <v>677</v>
      </c>
      <c r="G10858">
        <v>0</v>
      </c>
      <c r="H10858" t="s">
        <v>15768</v>
      </c>
      <c r="I10858">
        <v>12187</v>
      </c>
      <c r="J10858" t="e">
        <f>VLOOKUP(E10858,DSSpieler!A:B,2,FALSE)</f>
        <v>#N/A</v>
      </c>
    </row>
    <row r="10859" spans="1:10" x14ac:dyDescent="0.25">
      <c r="A10859">
        <v>12189</v>
      </c>
      <c r="B10859" t="s">
        <v>531</v>
      </c>
      <c r="C10859">
        <v>607</v>
      </c>
      <c r="D10859">
        <v>523</v>
      </c>
      <c r="E10859">
        <v>0</v>
      </c>
      <c r="F10859">
        <v>255</v>
      </c>
      <c r="G10859">
        <v>0</v>
      </c>
      <c r="H10859" t="s">
        <v>15769</v>
      </c>
      <c r="I10859">
        <v>12189</v>
      </c>
      <c r="J10859" t="e">
        <f>VLOOKUP(E10859,DSSpieler!A:B,2,FALSE)</f>
        <v>#N/A</v>
      </c>
    </row>
    <row r="10860" spans="1:10" x14ac:dyDescent="0.25">
      <c r="A10860">
        <v>12192</v>
      </c>
      <c r="B10860" t="s">
        <v>34353</v>
      </c>
      <c r="C10860">
        <v>495</v>
      </c>
      <c r="D10860">
        <v>394</v>
      </c>
      <c r="E10860">
        <v>1577170548</v>
      </c>
      <c r="F10860">
        <v>6762</v>
      </c>
      <c r="G10860">
        <v>0</v>
      </c>
      <c r="H10860" t="s">
        <v>15770</v>
      </c>
      <c r="I10860">
        <v>12192</v>
      </c>
      <c r="J10860" t="str">
        <f>VLOOKUP(E10860,DSSpieler!A:B,2,FALSE)</f>
        <v>haui04</v>
      </c>
    </row>
    <row r="10861" spans="1:10" x14ac:dyDescent="0.25">
      <c r="A10861">
        <v>12193</v>
      </c>
      <c r="B10861" t="s">
        <v>34354</v>
      </c>
      <c r="C10861">
        <v>494</v>
      </c>
      <c r="D10861">
        <v>389</v>
      </c>
      <c r="E10861">
        <v>1577054268</v>
      </c>
      <c r="F10861">
        <v>4305</v>
      </c>
      <c r="G10861">
        <v>0</v>
      </c>
      <c r="H10861" t="s">
        <v>15771</v>
      </c>
      <c r="I10861">
        <v>12193</v>
      </c>
      <c r="J10861" t="str">
        <f>VLOOKUP(E10861,DSSpieler!A:B,2,FALSE)</f>
        <v>Teer Dooht</v>
      </c>
    </row>
    <row r="10862" spans="1:10" x14ac:dyDescent="0.25">
      <c r="A10862">
        <v>12194</v>
      </c>
      <c r="B10862" t="s">
        <v>32016</v>
      </c>
      <c r="C10862">
        <v>584</v>
      </c>
      <c r="D10862">
        <v>458</v>
      </c>
      <c r="E10862">
        <v>8106081</v>
      </c>
      <c r="F10862">
        <v>3765</v>
      </c>
      <c r="G10862">
        <v>0</v>
      </c>
      <c r="H10862" t="s">
        <v>15772</v>
      </c>
      <c r="I10862">
        <v>12194</v>
      </c>
      <c r="J10862" t="str">
        <f>VLOOKUP(E10862,DSSpieler!A:B,2,FALSE)</f>
        <v>Vaadi</v>
      </c>
    </row>
    <row r="10863" spans="1:10" x14ac:dyDescent="0.25">
      <c r="A10863">
        <v>12195</v>
      </c>
      <c r="B10863" t="s">
        <v>30489</v>
      </c>
      <c r="C10863">
        <v>549</v>
      </c>
      <c r="D10863">
        <v>593</v>
      </c>
      <c r="E10863">
        <v>1577199020</v>
      </c>
      <c r="F10863">
        <v>8756</v>
      </c>
      <c r="G10863">
        <v>0</v>
      </c>
      <c r="H10863" t="s">
        <v>15773</v>
      </c>
      <c r="I10863">
        <v>12195</v>
      </c>
      <c r="J10863" t="str">
        <f>VLOOKUP(E10863,DSSpieler!A:B,2,FALSE)</f>
        <v>Günther Schäfer</v>
      </c>
    </row>
    <row r="10864" spans="1:10" x14ac:dyDescent="0.25">
      <c r="A10864">
        <v>12196</v>
      </c>
      <c r="B10864" t="s">
        <v>34355</v>
      </c>
      <c r="C10864">
        <v>426</v>
      </c>
      <c r="D10864">
        <v>573</v>
      </c>
      <c r="E10864">
        <v>1577187911</v>
      </c>
      <c r="F10864">
        <v>1611</v>
      </c>
      <c r="G10864">
        <v>0</v>
      </c>
      <c r="H10864" t="s">
        <v>15774</v>
      </c>
      <c r="I10864">
        <v>12196</v>
      </c>
      <c r="J10864" t="str">
        <f>VLOOKUP(E10864,DSSpieler!A:B,2,FALSE)</f>
        <v>icloud</v>
      </c>
    </row>
    <row r="10865" spans="1:10" x14ac:dyDescent="0.25">
      <c r="A10865">
        <v>12198</v>
      </c>
      <c r="B10865" t="s">
        <v>531</v>
      </c>
      <c r="C10865">
        <v>605</v>
      </c>
      <c r="D10865">
        <v>517</v>
      </c>
      <c r="E10865">
        <v>0</v>
      </c>
      <c r="F10865">
        <v>192</v>
      </c>
      <c r="G10865">
        <v>0</v>
      </c>
      <c r="H10865" t="s">
        <v>15775</v>
      </c>
      <c r="I10865">
        <v>12198</v>
      </c>
      <c r="J10865" t="e">
        <f>VLOOKUP(E10865,DSSpieler!A:B,2,FALSE)</f>
        <v>#N/A</v>
      </c>
    </row>
    <row r="10866" spans="1:10" x14ac:dyDescent="0.25">
      <c r="A10866">
        <v>12199</v>
      </c>
      <c r="B10866" t="s">
        <v>531</v>
      </c>
      <c r="C10866">
        <v>419</v>
      </c>
      <c r="D10866">
        <v>572</v>
      </c>
      <c r="E10866">
        <v>0</v>
      </c>
      <c r="F10866">
        <v>194</v>
      </c>
      <c r="G10866">
        <v>0</v>
      </c>
      <c r="H10866" t="s">
        <v>15776</v>
      </c>
      <c r="I10866">
        <v>12199</v>
      </c>
      <c r="J10866" t="e">
        <f>VLOOKUP(E10866,DSSpieler!A:B,2,FALSE)</f>
        <v>#N/A</v>
      </c>
    </row>
    <row r="10867" spans="1:10" x14ac:dyDescent="0.25">
      <c r="A10867">
        <v>12200</v>
      </c>
      <c r="B10867" t="s">
        <v>531</v>
      </c>
      <c r="C10867">
        <v>405</v>
      </c>
      <c r="D10867">
        <v>442</v>
      </c>
      <c r="E10867">
        <v>9834202</v>
      </c>
      <c r="F10867">
        <v>403</v>
      </c>
      <c r="G10867">
        <v>0</v>
      </c>
      <c r="H10867" t="s">
        <v>15777</v>
      </c>
      <c r="I10867">
        <v>12200</v>
      </c>
      <c r="J10867" t="str">
        <f>VLOOKUP(E10867,DSSpieler!A:B,2,FALSE)</f>
        <v>robbbert</v>
      </c>
    </row>
    <row r="10868" spans="1:10" x14ac:dyDescent="0.25">
      <c r="A10868">
        <v>12202</v>
      </c>
      <c r="B10868" t="s">
        <v>531</v>
      </c>
      <c r="C10868">
        <v>419</v>
      </c>
      <c r="D10868">
        <v>577</v>
      </c>
      <c r="E10868">
        <v>0</v>
      </c>
      <c r="F10868">
        <v>196</v>
      </c>
      <c r="G10868">
        <v>0</v>
      </c>
      <c r="H10868" t="s">
        <v>15778</v>
      </c>
      <c r="I10868">
        <v>12202</v>
      </c>
      <c r="J10868" t="e">
        <f>VLOOKUP(E10868,DSSpieler!A:B,2,FALSE)</f>
        <v>#N/A</v>
      </c>
    </row>
    <row r="10869" spans="1:10" x14ac:dyDescent="0.25">
      <c r="A10869">
        <v>12203</v>
      </c>
      <c r="B10869" t="s">
        <v>531</v>
      </c>
      <c r="C10869">
        <v>451</v>
      </c>
      <c r="D10869">
        <v>589</v>
      </c>
      <c r="E10869">
        <v>0</v>
      </c>
      <c r="F10869">
        <v>790</v>
      </c>
      <c r="G10869">
        <v>0</v>
      </c>
      <c r="H10869" t="s">
        <v>15779</v>
      </c>
      <c r="I10869">
        <v>12203</v>
      </c>
      <c r="J10869" t="e">
        <f>VLOOKUP(E10869,DSSpieler!A:B,2,FALSE)</f>
        <v>#N/A</v>
      </c>
    </row>
    <row r="10870" spans="1:10" x14ac:dyDescent="0.25">
      <c r="A10870">
        <v>12204</v>
      </c>
      <c r="B10870" t="s">
        <v>531</v>
      </c>
      <c r="C10870">
        <v>536</v>
      </c>
      <c r="D10870">
        <v>397</v>
      </c>
      <c r="E10870">
        <v>0</v>
      </c>
      <c r="F10870">
        <v>439</v>
      </c>
      <c r="G10870">
        <v>0</v>
      </c>
      <c r="H10870" t="s">
        <v>15780</v>
      </c>
      <c r="I10870">
        <v>12204</v>
      </c>
      <c r="J10870" t="e">
        <f>VLOOKUP(E10870,DSSpieler!A:B,2,FALSE)</f>
        <v>#N/A</v>
      </c>
    </row>
    <row r="10871" spans="1:10" x14ac:dyDescent="0.25">
      <c r="A10871">
        <v>12205</v>
      </c>
      <c r="B10871" t="s">
        <v>34356</v>
      </c>
      <c r="C10871">
        <v>445</v>
      </c>
      <c r="D10871">
        <v>409</v>
      </c>
      <c r="E10871">
        <v>1577010392</v>
      </c>
      <c r="F10871">
        <v>4380</v>
      </c>
      <c r="G10871">
        <v>0</v>
      </c>
      <c r="H10871" t="s">
        <v>15781</v>
      </c>
      <c r="I10871">
        <v>12205</v>
      </c>
      <c r="J10871" t="str">
        <f>VLOOKUP(E10871,DSSpieler!A:B,2,FALSE)</f>
        <v>Höni</v>
      </c>
    </row>
    <row r="10872" spans="1:10" x14ac:dyDescent="0.25">
      <c r="A10872">
        <v>12206</v>
      </c>
      <c r="B10872" t="s">
        <v>34357</v>
      </c>
      <c r="C10872">
        <v>493</v>
      </c>
      <c r="D10872">
        <v>398</v>
      </c>
      <c r="E10872">
        <v>1577153437</v>
      </c>
      <c r="F10872">
        <v>4087</v>
      </c>
      <c r="G10872">
        <v>0</v>
      </c>
      <c r="H10872" t="s">
        <v>15782</v>
      </c>
      <c r="I10872">
        <v>12206</v>
      </c>
      <c r="J10872" t="str">
        <f>VLOOKUP(E10872,DSSpieler!A:B,2,FALSE)</f>
        <v>wende</v>
      </c>
    </row>
    <row r="10873" spans="1:10" x14ac:dyDescent="0.25">
      <c r="A10873">
        <v>12207</v>
      </c>
      <c r="B10873" t="s">
        <v>150</v>
      </c>
      <c r="C10873">
        <v>496</v>
      </c>
      <c r="D10873">
        <v>395</v>
      </c>
      <c r="E10873">
        <v>1576345897</v>
      </c>
      <c r="F10873">
        <v>6169</v>
      </c>
      <c r="G10873">
        <v>0</v>
      </c>
      <c r="H10873" t="s">
        <v>15783</v>
      </c>
      <c r="I10873">
        <v>12207</v>
      </c>
      <c r="J10873" t="str">
        <f>VLOOKUP(E10873,DSSpieler!A:B,2,FALSE)</f>
        <v>Tzikguu</v>
      </c>
    </row>
    <row r="10874" spans="1:10" x14ac:dyDescent="0.25">
      <c r="A10874">
        <v>12208</v>
      </c>
      <c r="B10874" t="s">
        <v>531</v>
      </c>
      <c r="C10874">
        <v>424</v>
      </c>
      <c r="D10874">
        <v>581</v>
      </c>
      <c r="E10874">
        <v>0</v>
      </c>
      <c r="F10874">
        <v>122</v>
      </c>
      <c r="G10874">
        <v>0</v>
      </c>
      <c r="H10874" t="s">
        <v>15784</v>
      </c>
      <c r="I10874">
        <v>12208</v>
      </c>
      <c r="J10874" t="e">
        <f>VLOOKUP(E10874,DSSpieler!A:B,2,FALSE)</f>
        <v>#N/A</v>
      </c>
    </row>
    <row r="10875" spans="1:10" x14ac:dyDescent="0.25">
      <c r="A10875">
        <v>12209</v>
      </c>
      <c r="B10875" t="s">
        <v>531</v>
      </c>
      <c r="C10875">
        <v>492</v>
      </c>
      <c r="D10875">
        <v>394</v>
      </c>
      <c r="E10875">
        <v>0</v>
      </c>
      <c r="F10875">
        <v>208</v>
      </c>
      <c r="G10875">
        <v>0</v>
      </c>
      <c r="H10875" t="s">
        <v>15785</v>
      </c>
      <c r="I10875">
        <v>12209</v>
      </c>
      <c r="J10875" t="e">
        <f>VLOOKUP(E10875,DSSpieler!A:B,2,FALSE)</f>
        <v>#N/A</v>
      </c>
    </row>
    <row r="10876" spans="1:10" x14ac:dyDescent="0.25">
      <c r="A10876">
        <v>12210</v>
      </c>
      <c r="B10876" t="s">
        <v>34358</v>
      </c>
      <c r="C10876">
        <v>496</v>
      </c>
      <c r="D10876">
        <v>390</v>
      </c>
      <c r="E10876">
        <v>1576863526</v>
      </c>
      <c r="F10876">
        <v>4866</v>
      </c>
      <c r="G10876">
        <v>0</v>
      </c>
      <c r="H10876" t="s">
        <v>15786</v>
      </c>
      <c r="I10876">
        <v>12210</v>
      </c>
      <c r="J10876" t="str">
        <f>VLOOKUP(E10876,DSSpieler!A:B,2,FALSE)</f>
        <v>derRichter95</v>
      </c>
    </row>
    <row r="10877" spans="1:10" x14ac:dyDescent="0.25">
      <c r="A10877">
        <v>12211</v>
      </c>
      <c r="B10877" t="s">
        <v>531</v>
      </c>
      <c r="C10877">
        <v>427</v>
      </c>
      <c r="D10877">
        <v>574</v>
      </c>
      <c r="E10877">
        <v>0</v>
      </c>
      <c r="F10877">
        <v>177</v>
      </c>
      <c r="G10877">
        <v>0</v>
      </c>
      <c r="H10877" t="s">
        <v>15787</v>
      </c>
      <c r="I10877">
        <v>12211</v>
      </c>
      <c r="J10877" t="e">
        <f>VLOOKUP(E10877,DSSpieler!A:B,2,FALSE)</f>
        <v>#N/A</v>
      </c>
    </row>
    <row r="10878" spans="1:10" x14ac:dyDescent="0.25">
      <c r="A10878">
        <v>12212</v>
      </c>
      <c r="B10878" t="s">
        <v>531</v>
      </c>
      <c r="C10878">
        <v>395</v>
      </c>
      <c r="D10878">
        <v>524</v>
      </c>
      <c r="E10878">
        <v>0</v>
      </c>
      <c r="F10878">
        <v>127</v>
      </c>
      <c r="G10878">
        <v>0</v>
      </c>
      <c r="H10878" t="s">
        <v>15788</v>
      </c>
      <c r="I10878">
        <v>12212</v>
      </c>
      <c r="J10878" t="e">
        <f>VLOOKUP(E10878,DSSpieler!A:B,2,FALSE)</f>
        <v>#N/A</v>
      </c>
    </row>
    <row r="10879" spans="1:10" x14ac:dyDescent="0.25">
      <c r="A10879">
        <v>12213</v>
      </c>
      <c r="B10879" t="s">
        <v>1600</v>
      </c>
      <c r="C10879">
        <v>489</v>
      </c>
      <c r="D10879">
        <v>388</v>
      </c>
      <c r="E10879">
        <v>577708</v>
      </c>
      <c r="F10879">
        <v>5726</v>
      </c>
      <c r="G10879">
        <v>0</v>
      </c>
      <c r="H10879" t="s">
        <v>15789</v>
      </c>
      <c r="I10879">
        <v>12213</v>
      </c>
      <c r="J10879" t="str">
        <f>VLOOKUP(E10879,DSSpieler!A:B,2,FALSE)</f>
        <v>Seven035</v>
      </c>
    </row>
    <row r="10880" spans="1:10" x14ac:dyDescent="0.25">
      <c r="A10880">
        <v>12214</v>
      </c>
      <c r="B10880" t="s">
        <v>531</v>
      </c>
      <c r="C10880">
        <v>395</v>
      </c>
      <c r="D10880">
        <v>529</v>
      </c>
      <c r="E10880">
        <v>0</v>
      </c>
      <c r="F10880">
        <v>111</v>
      </c>
      <c r="G10880">
        <v>0</v>
      </c>
      <c r="H10880" t="s">
        <v>15790</v>
      </c>
      <c r="I10880">
        <v>12214</v>
      </c>
      <c r="J10880" t="e">
        <f>VLOOKUP(E10880,DSSpieler!A:B,2,FALSE)</f>
        <v>#N/A</v>
      </c>
    </row>
    <row r="10881" spans="1:10" x14ac:dyDescent="0.25">
      <c r="A10881">
        <v>12215</v>
      </c>
      <c r="B10881" t="s">
        <v>531</v>
      </c>
      <c r="C10881">
        <v>426</v>
      </c>
      <c r="D10881">
        <v>579</v>
      </c>
      <c r="E10881">
        <v>0</v>
      </c>
      <c r="F10881">
        <v>160</v>
      </c>
      <c r="G10881">
        <v>0</v>
      </c>
      <c r="H10881" t="s">
        <v>15791</v>
      </c>
      <c r="I10881">
        <v>12215</v>
      </c>
      <c r="J10881" t="e">
        <f>VLOOKUP(E10881,DSSpieler!A:B,2,FALSE)</f>
        <v>#N/A</v>
      </c>
    </row>
    <row r="10882" spans="1:10" x14ac:dyDescent="0.25">
      <c r="A10882">
        <v>12216</v>
      </c>
      <c r="B10882" t="s">
        <v>34359</v>
      </c>
      <c r="C10882">
        <v>487</v>
      </c>
      <c r="D10882">
        <v>392</v>
      </c>
      <c r="E10882">
        <v>1576958271</v>
      </c>
      <c r="F10882">
        <v>4842</v>
      </c>
      <c r="G10882">
        <v>0</v>
      </c>
      <c r="H10882" t="s">
        <v>15792</v>
      </c>
      <c r="I10882">
        <v>12216</v>
      </c>
      <c r="J10882" t="str">
        <f>VLOOKUP(E10882,DSSpieler!A:B,2,FALSE)</f>
        <v>jogro00</v>
      </c>
    </row>
    <row r="10883" spans="1:10" x14ac:dyDescent="0.25">
      <c r="A10883">
        <v>12217</v>
      </c>
      <c r="B10883" t="s">
        <v>31308</v>
      </c>
      <c r="C10883">
        <v>487</v>
      </c>
      <c r="D10883">
        <v>391</v>
      </c>
      <c r="E10883">
        <v>2683003</v>
      </c>
      <c r="F10883">
        <v>4995</v>
      </c>
      <c r="G10883">
        <v>0</v>
      </c>
      <c r="H10883" t="s">
        <v>15793</v>
      </c>
      <c r="I10883">
        <v>12217</v>
      </c>
      <c r="J10883" t="str">
        <f>VLOOKUP(E10883,DSSpieler!A:B,2,FALSE)</f>
        <v>Axt94</v>
      </c>
    </row>
    <row r="10884" spans="1:10" x14ac:dyDescent="0.25">
      <c r="A10884">
        <v>12218</v>
      </c>
      <c r="B10884" t="s">
        <v>531</v>
      </c>
      <c r="C10884">
        <v>577</v>
      </c>
      <c r="D10884">
        <v>426</v>
      </c>
      <c r="E10884">
        <v>0</v>
      </c>
      <c r="F10884">
        <v>180</v>
      </c>
      <c r="G10884">
        <v>0</v>
      </c>
      <c r="H10884" t="s">
        <v>15794</v>
      </c>
      <c r="I10884">
        <v>12218</v>
      </c>
      <c r="J10884" t="e">
        <f>VLOOKUP(E10884,DSSpieler!A:B,2,FALSE)</f>
        <v>#N/A</v>
      </c>
    </row>
    <row r="10885" spans="1:10" x14ac:dyDescent="0.25">
      <c r="A10885">
        <v>12219</v>
      </c>
      <c r="B10885" t="s">
        <v>531</v>
      </c>
      <c r="C10885">
        <v>420</v>
      </c>
      <c r="D10885">
        <v>580</v>
      </c>
      <c r="E10885">
        <v>0</v>
      </c>
      <c r="F10885">
        <v>235</v>
      </c>
      <c r="G10885">
        <v>0</v>
      </c>
      <c r="H10885" t="s">
        <v>15795</v>
      </c>
      <c r="I10885">
        <v>12219</v>
      </c>
      <c r="J10885" t="e">
        <f>VLOOKUP(E10885,DSSpieler!A:B,2,FALSE)</f>
        <v>#N/A</v>
      </c>
    </row>
    <row r="10886" spans="1:10" x14ac:dyDescent="0.25">
      <c r="A10886">
        <v>12220</v>
      </c>
      <c r="B10886" t="s">
        <v>531</v>
      </c>
      <c r="C10886">
        <v>587</v>
      </c>
      <c r="D10886">
        <v>434</v>
      </c>
      <c r="E10886">
        <v>0</v>
      </c>
      <c r="F10886">
        <v>151</v>
      </c>
      <c r="G10886">
        <v>0</v>
      </c>
      <c r="H10886" t="s">
        <v>15796</v>
      </c>
      <c r="I10886">
        <v>12220</v>
      </c>
      <c r="J10886" t="e">
        <f>VLOOKUP(E10886,DSSpieler!A:B,2,FALSE)</f>
        <v>#N/A</v>
      </c>
    </row>
    <row r="10887" spans="1:10" x14ac:dyDescent="0.25">
      <c r="A10887">
        <v>12221</v>
      </c>
      <c r="B10887" t="s">
        <v>1135</v>
      </c>
      <c r="C10887">
        <v>444</v>
      </c>
      <c r="D10887">
        <v>483</v>
      </c>
      <c r="E10887">
        <v>1575957171</v>
      </c>
      <c r="F10887">
        <v>5888</v>
      </c>
      <c r="G10887">
        <v>0</v>
      </c>
      <c r="H10887" t="s">
        <v>15797</v>
      </c>
      <c r="I10887">
        <v>12221</v>
      </c>
      <c r="J10887" t="str">
        <f>VLOOKUP(E10887,DSSpieler!A:B,2,FALSE)</f>
        <v>julesk</v>
      </c>
    </row>
    <row r="10888" spans="1:10" x14ac:dyDescent="0.25">
      <c r="A10888">
        <v>12222</v>
      </c>
      <c r="B10888" t="s">
        <v>531</v>
      </c>
      <c r="C10888">
        <v>486</v>
      </c>
      <c r="D10888">
        <v>608</v>
      </c>
      <c r="E10888">
        <v>0</v>
      </c>
      <c r="F10888">
        <v>197</v>
      </c>
      <c r="G10888">
        <v>0</v>
      </c>
      <c r="H10888" t="s">
        <v>15798</v>
      </c>
      <c r="I10888">
        <v>12222</v>
      </c>
      <c r="J10888" t="e">
        <f>VLOOKUP(E10888,DSSpieler!A:B,2,FALSE)</f>
        <v>#N/A</v>
      </c>
    </row>
    <row r="10889" spans="1:10" x14ac:dyDescent="0.25">
      <c r="A10889">
        <v>12223</v>
      </c>
      <c r="B10889" t="s">
        <v>2110</v>
      </c>
      <c r="C10889">
        <v>486</v>
      </c>
      <c r="D10889">
        <v>496</v>
      </c>
      <c r="E10889">
        <v>1577075103</v>
      </c>
      <c r="F10889">
        <v>3684</v>
      </c>
      <c r="G10889">
        <v>0</v>
      </c>
      <c r="H10889" t="s">
        <v>15799</v>
      </c>
      <c r="I10889">
        <v>12223</v>
      </c>
      <c r="J10889" t="str">
        <f>VLOOKUP(E10889,DSSpieler!A:B,2,FALSE)</f>
        <v>TopalOsman</v>
      </c>
    </row>
    <row r="10890" spans="1:10" x14ac:dyDescent="0.25">
      <c r="A10890">
        <v>12224</v>
      </c>
      <c r="B10890" t="s">
        <v>34360</v>
      </c>
      <c r="C10890">
        <v>498</v>
      </c>
      <c r="D10890">
        <v>390</v>
      </c>
      <c r="E10890">
        <v>1577105667</v>
      </c>
      <c r="F10890">
        <v>5433</v>
      </c>
      <c r="G10890">
        <v>0</v>
      </c>
      <c r="H10890" t="s">
        <v>15800</v>
      </c>
      <c r="I10890">
        <v>12224</v>
      </c>
      <c r="J10890" t="str">
        <f>VLOOKUP(E10890,DSSpieler!A:B,2,FALSE)</f>
        <v>solo</v>
      </c>
    </row>
    <row r="10891" spans="1:10" x14ac:dyDescent="0.25">
      <c r="A10891">
        <v>12225</v>
      </c>
      <c r="B10891" t="s">
        <v>531</v>
      </c>
      <c r="C10891">
        <v>523</v>
      </c>
      <c r="D10891">
        <v>395</v>
      </c>
      <c r="E10891">
        <v>0</v>
      </c>
      <c r="F10891">
        <v>320</v>
      </c>
      <c r="G10891">
        <v>0</v>
      </c>
      <c r="H10891" t="s">
        <v>15801</v>
      </c>
      <c r="I10891">
        <v>12225</v>
      </c>
      <c r="J10891" t="e">
        <f>VLOOKUP(E10891,DSSpieler!A:B,2,FALSE)</f>
        <v>#N/A</v>
      </c>
    </row>
    <row r="10892" spans="1:10" x14ac:dyDescent="0.25">
      <c r="A10892">
        <v>12226</v>
      </c>
      <c r="B10892" t="s">
        <v>531</v>
      </c>
      <c r="C10892">
        <v>476</v>
      </c>
      <c r="D10892">
        <v>605</v>
      </c>
      <c r="E10892">
        <v>0</v>
      </c>
      <c r="F10892">
        <v>204</v>
      </c>
      <c r="G10892">
        <v>0</v>
      </c>
      <c r="H10892" t="s">
        <v>15802</v>
      </c>
      <c r="I10892">
        <v>12226</v>
      </c>
      <c r="J10892" t="e">
        <f>VLOOKUP(E10892,DSSpieler!A:B,2,FALSE)</f>
        <v>#N/A</v>
      </c>
    </row>
    <row r="10893" spans="1:10" x14ac:dyDescent="0.25">
      <c r="A10893">
        <v>12228</v>
      </c>
      <c r="B10893" t="s">
        <v>531</v>
      </c>
      <c r="C10893">
        <v>592</v>
      </c>
      <c r="D10893">
        <v>441</v>
      </c>
      <c r="E10893">
        <v>0</v>
      </c>
      <c r="F10893">
        <v>159</v>
      </c>
      <c r="G10893">
        <v>0</v>
      </c>
      <c r="H10893" t="s">
        <v>15803</v>
      </c>
      <c r="I10893">
        <v>12228</v>
      </c>
      <c r="J10893" t="e">
        <f>VLOOKUP(E10893,DSSpieler!A:B,2,FALSE)</f>
        <v>#N/A</v>
      </c>
    </row>
    <row r="10894" spans="1:10" x14ac:dyDescent="0.25">
      <c r="A10894">
        <v>12229</v>
      </c>
      <c r="B10894" t="s">
        <v>531</v>
      </c>
      <c r="C10894">
        <v>425</v>
      </c>
      <c r="D10894">
        <v>574</v>
      </c>
      <c r="E10894">
        <v>0</v>
      </c>
      <c r="F10894">
        <v>357</v>
      </c>
      <c r="G10894">
        <v>0</v>
      </c>
      <c r="H10894" t="s">
        <v>15804</v>
      </c>
      <c r="I10894">
        <v>12229</v>
      </c>
      <c r="J10894" t="e">
        <f>VLOOKUP(E10894,DSSpieler!A:B,2,FALSE)</f>
        <v>#N/A</v>
      </c>
    </row>
    <row r="10895" spans="1:10" x14ac:dyDescent="0.25">
      <c r="A10895">
        <v>12231</v>
      </c>
      <c r="B10895" t="s">
        <v>531</v>
      </c>
      <c r="C10895">
        <v>425</v>
      </c>
      <c r="D10895">
        <v>576</v>
      </c>
      <c r="E10895">
        <v>0</v>
      </c>
      <c r="F10895">
        <v>356</v>
      </c>
      <c r="G10895">
        <v>0</v>
      </c>
      <c r="H10895" t="s">
        <v>15805</v>
      </c>
      <c r="I10895">
        <v>12231</v>
      </c>
      <c r="J10895" t="e">
        <f>VLOOKUP(E10895,DSSpieler!A:B,2,FALSE)</f>
        <v>#N/A</v>
      </c>
    </row>
    <row r="10896" spans="1:10" x14ac:dyDescent="0.25">
      <c r="A10896">
        <v>12232</v>
      </c>
      <c r="B10896" t="s">
        <v>531</v>
      </c>
      <c r="C10896">
        <v>499</v>
      </c>
      <c r="D10896">
        <v>608</v>
      </c>
      <c r="E10896">
        <v>0</v>
      </c>
      <c r="F10896">
        <v>260</v>
      </c>
      <c r="G10896">
        <v>0</v>
      </c>
      <c r="H10896" t="s">
        <v>15806</v>
      </c>
      <c r="I10896">
        <v>12232</v>
      </c>
      <c r="J10896" t="e">
        <f>VLOOKUP(E10896,DSSpieler!A:B,2,FALSE)</f>
        <v>#N/A</v>
      </c>
    </row>
    <row r="10897" spans="1:10" x14ac:dyDescent="0.25">
      <c r="A10897">
        <v>12233</v>
      </c>
      <c r="B10897" t="s">
        <v>1845</v>
      </c>
      <c r="C10897">
        <v>493</v>
      </c>
      <c r="D10897">
        <v>396</v>
      </c>
      <c r="E10897">
        <v>1577197842</v>
      </c>
      <c r="F10897">
        <v>6928</v>
      </c>
      <c r="G10897">
        <v>0</v>
      </c>
      <c r="H10897" t="s">
        <v>15807</v>
      </c>
      <c r="I10897">
        <v>12233</v>
      </c>
      <c r="J10897" t="str">
        <f>VLOOKUP(E10897,DSSpieler!A:B,2,FALSE)</f>
        <v>Nasuuus</v>
      </c>
    </row>
    <row r="10898" spans="1:10" x14ac:dyDescent="0.25">
      <c r="A10898">
        <v>12234</v>
      </c>
      <c r="B10898" t="s">
        <v>531</v>
      </c>
      <c r="C10898">
        <v>475</v>
      </c>
      <c r="D10898">
        <v>604</v>
      </c>
      <c r="E10898">
        <v>0</v>
      </c>
      <c r="F10898">
        <v>129</v>
      </c>
      <c r="G10898">
        <v>0</v>
      </c>
      <c r="H10898" t="s">
        <v>15808</v>
      </c>
      <c r="I10898">
        <v>12234</v>
      </c>
      <c r="J10898" t="e">
        <f>VLOOKUP(E10898,DSSpieler!A:B,2,FALSE)</f>
        <v>#N/A</v>
      </c>
    </row>
    <row r="10899" spans="1:10" x14ac:dyDescent="0.25">
      <c r="A10899">
        <v>12235</v>
      </c>
      <c r="B10899" t="s">
        <v>34361</v>
      </c>
      <c r="C10899">
        <v>427</v>
      </c>
      <c r="D10899">
        <v>577</v>
      </c>
      <c r="E10899">
        <v>1576978438</v>
      </c>
      <c r="F10899">
        <v>938</v>
      </c>
      <c r="G10899">
        <v>0</v>
      </c>
      <c r="H10899" t="s">
        <v>15809</v>
      </c>
      <c r="I10899">
        <v>12235</v>
      </c>
      <c r="J10899" t="str">
        <f>VLOOKUP(E10899,DSSpieler!A:B,2,FALSE)</f>
        <v>RubelDieKatz</v>
      </c>
    </row>
    <row r="10900" spans="1:10" x14ac:dyDescent="0.25">
      <c r="A10900">
        <v>12236</v>
      </c>
      <c r="B10900" t="s">
        <v>34362</v>
      </c>
      <c r="C10900">
        <v>409</v>
      </c>
      <c r="D10900">
        <v>525</v>
      </c>
      <c r="E10900">
        <v>1577198432</v>
      </c>
      <c r="F10900">
        <v>1120</v>
      </c>
      <c r="G10900">
        <v>0</v>
      </c>
      <c r="H10900" t="s">
        <v>15810</v>
      </c>
      <c r="I10900">
        <v>12236</v>
      </c>
      <c r="J10900" t="str">
        <f>VLOOKUP(E10900,DSSpieler!A:B,2,FALSE)</f>
        <v>WC-Ente</v>
      </c>
    </row>
    <row r="10901" spans="1:10" x14ac:dyDescent="0.25">
      <c r="A10901">
        <v>12237</v>
      </c>
      <c r="B10901" t="s">
        <v>531</v>
      </c>
      <c r="C10901">
        <v>407</v>
      </c>
      <c r="D10901">
        <v>558</v>
      </c>
      <c r="E10901">
        <v>0</v>
      </c>
      <c r="F10901">
        <v>350</v>
      </c>
      <c r="G10901">
        <v>0</v>
      </c>
      <c r="H10901" t="s">
        <v>15811</v>
      </c>
      <c r="I10901">
        <v>12237</v>
      </c>
      <c r="J10901" t="e">
        <f>VLOOKUP(E10901,DSSpieler!A:B,2,FALSE)</f>
        <v>#N/A</v>
      </c>
    </row>
    <row r="10902" spans="1:10" x14ac:dyDescent="0.25">
      <c r="A10902">
        <v>12238</v>
      </c>
      <c r="B10902" t="s">
        <v>31228</v>
      </c>
      <c r="C10902">
        <v>489</v>
      </c>
      <c r="D10902">
        <v>395</v>
      </c>
      <c r="E10902">
        <v>10189485</v>
      </c>
      <c r="F10902">
        <v>6490</v>
      </c>
      <c r="G10902">
        <v>0</v>
      </c>
      <c r="H10902" t="s">
        <v>15812</v>
      </c>
      <c r="I10902">
        <v>12238</v>
      </c>
      <c r="J10902" t="str">
        <f>VLOOKUP(E10902,DSSpieler!A:B,2,FALSE)</f>
        <v>Peed94</v>
      </c>
    </row>
    <row r="10903" spans="1:10" x14ac:dyDescent="0.25">
      <c r="A10903">
        <v>12239</v>
      </c>
      <c r="B10903" t="s">
        <v>2111</v>
      </c>
      <c r="C10903">
        <v>491</v>
      </c>
      <c r="D10903">
        <v>392</v>
      </c>
      <c r="E10903">
        <v>1576917303</v>
      </c>
      <c r="F10903">
        <v>5618</v>
      </c>
      <c r="G10903">
        <v>0</v>
      </c>
      <c r="H10903" t="s">
        <v>15813</v>
      </c>
      <c r="I10903">
        <v>12239</v>
      </c>
      <c r="J10903" t="str">
        <f>VLOOKUP(E10903,DSSpieler!A:B,2,FALSE)</f>
        <v>MA6IC CU3E</v>
      </c>
    </row>
    <row r="10904" spans="1:10" x14ac:dyDescent="0.25">
      <c r="A10904">
        <v>12240</v>
      </c>
      <c r="B10904" t="s">
        <v>531</v>
      </c>
      <c r="C10904">
        <v>605</v>
      </c>
      <c r="D10904">
        <v>486</v>
      </c>
      <c r="E10904">
        <v>0</v>
      </c>
      <c r="F10904">
        <v>431</v>
      </c>
      <c r="G10904">
        <v>0</v>
      </c>
      <c r="H10904" t="s">
        <v>15814</v>
      </c>
      <c r="I10904">
        <v>12240</v>
      </c>
      <c r="J10904" t="e">
        <f>VLOOKUP(E10904,DSSpieler!A:B,2,FALSE)</f>
        <v>#N/A</v>
      </c>
    </row>
    <row r="10905" spans="1:10" x14ac:dyDescent="0.25">
      <c r="A10905">
        <v>12241</v>
      </c>
      <c r="B10905" t="s">
        <v>34363</v>
      </c>
      <c r="C10905">
        <v>418</v>
      </c>
      <c r="D10905">
        <v>572</v>
      </c>
      <c r="E10905">
        <v>1577127484</v>
      </c>
      <c r="F10905">
        <v>1385</v>
      </c>
      <c r="G10905">
        <v>0</v>
      </c>
      <c r="H10905" t="s">
        <v>15815</v>
      </c>
      <c r="I10905">
        <v>12241</v>
      </c>
      <c r="J10905" t="str">
        <f>VLOOKUP(E10905,DSSpieler!A:B,2,FALSE)</f>
        <v>El Pharao</v>
      </c>
    </row>
    <row r="10906" spans="1:10" x14ac:dyDescent="0.25">
      <c r="A10906">
        <v>12244</v>
      </c>
      <c r="B10906" t="s">
        <v>531</v>
      </c>
      <c r="C10906">
        <v>417</v>
      </c>
      <c r="D10906">
        <v>572</v>
      </c>
      <c r="E10906">
        <v>0</v>
      </c>
      <c r="F10906">
        <v>499</v>
      </c>
      <c r="G10906">
        <v>0</v>
      </c>
      <c r="H10906" t="s">
        <v>15816</v>
      </c>
      <c r="I10906">
        <v>12244</v>
      </c>
      <c r="J10906" t="e">
        <f>VLOOKUP(E10906,DSSpieler!A:B,2,FALSE)</f>
        <v>#N/A</v>
      </c>
    </row>
    <row r="10907" spans="1:10" x14ac:dyDescent="0.25">
      <c r="A10907">
        <v>12245</v>
      </c>
      <c r="B10907" t="s">
        <v>2112</v>
      </c>
      <c r="C10907">
        <v>496</v>
      </c>
      <c r="D10907">
        <v>391</v>
      </c>
      <c r="E10907">
        <v>1577170733</v>
      </c>
      <c r="F10907">
        <v>5533</v>
      </c>
      <c r="G10907">
        <v>0</v>
      </c>
      <c r="H10907" t="s">
        <v>15817</v>
      </c>
      <c r="I10907">
        <v>12245</v>
      </c>
      <c r="J10907" t="str">
        <f>VLOOKUP(E10907,DSSpieler!A:B,2,FALSE)</f>
        <v>MatejDzg</v>
      </c>
    </row>
    <row r="10908" spans="1:10" x14ac:dyDescent="0.25">
      <c r="A10908">
        <v>12246</v>
      </c>
      <c r="B10908" t="s">
        <v>34364</v>
      </c>
      <c r="C10908">
        <v>499</v>
      </c>
      <c r="D10908">
        <v>388</v>
      </c>
      <c r="E10908">
        <v>1577112671</v>
      </c>
      <c r="F10908">
        <v>5183</v>
      </c>
      <c r="G10908">
        <v>0</v>
      </c>
      <c r="H10908" t="s">
        <v>15818</v>
      </c>
      <c r="I10908">
        <v>12246</v>
      </c>
      <c r="J10908" t="str">
        <f>VLOOKUP(E10908,DSSpieler!A:B,2,FALSE)</f>
        <v>TSM Drogon</v>
      </c>
    </row>
    <row r="10909" spans="1:10" x14ac:dyDescent="0.25">
      <c r="A10909">
        <v>12248</v>
      </c>
      <c r="B10909" t="s">
        <v>34365</v>
      </c>
      <c r="C10909">
        <v>555</v>
      </c>
      <c r="D10909">
        <v>405</v>
      </c>
      <c r="E10909">
        <v>1576188624</v>
      </c>
      <c r="F10909">
        <v>5079</v>
      </c>
      <c r="G10909">
        <v>0</v>
      </c>
      <c r="H10909" t="s">
        <v>15819</v>
      </c>
      <c r="I10909">
        <v>12248</v>
      </c>
      <c r="J10909" t="str">
        <f>VLOOKUP(E10909,DSSpieler!A:B,2,FALSE)</f>
        <v>kartoffelklaus1</v>
      </c>
    </row>
    <row r="10910" spans="1:10" x14ac:dyDescent="0.25">
      <c r="A10910">
        <v>12249</v>
      </c>
      <c r="B10910" t="s">
        <v>531</v>
      </c>
      <c r="C10910">
        <v>391</v>
      </c>
      <c r="D10910">
        <v>508</v>
      </c>
      <c r="E10910">
        <v>0</v>
      </c>
      <c r="F10910">
        <v>215</v>
      </c>
      <c r="G10910">
        <v>0</v>
      </c>
      <c r="H10910" t="s">
        <v>15820</v>
      </c>
      <c r="I10910">
        <v>12249</v>
      </c>
      <c r="J10910" t="e">
        <f>VLOOKUP(E10910,DSSpieler!A:B,2,FALSE)</f>
        <v>#N/A</v>
      </c>
    </row>
    <row r="10911" spans="1:10" x14ac:dyDescent="0.25">
      <c r="A10911">
        <v>12250</v>
      </c>
      <c r="B10911" t="s">
        <v>531</v>
      </c>
      <c r="C10911">
        <v>428</v>
      </c>
      <c r="D10911">
        <v>431</v>
      </c>
      <c r="E10911">
        <v>0</v>
      </c>
      <c r="F10911">
        <v>144</v>
      </c>
      <c r="G10911">
        <v>0</v>
      </c>
      <c r="H10911" t="s">
        <v>15821</v>
      </c>
      <c r="I10911">
        <v>12250</v>
      </c>
      <c r="J10911" t="e">
        <f>VLOOKUP(E10911,DSSpieler!A:B,2,FALSE)</f>
        <v>#N/A</v>
      </c>
    </row>
    <row r="10912" spans="1:10" x14ac:dyDescent="0.25">
      <c r="A10912">
        <v>12251</v>
      </c>
      <c r="B10912" t="s">
        <v>531</v>
      </c>
      <c r="C10912">
        <v>608</v>
      </c>
      <c r="D10912">
        <v>505</v>
      </c>
      <c r="E10912">
        <v>0</v>
      </c>
      <c r="F10912">
        <v>153</v>
      </c>
      <c r="G10912">
        <v>0</v>
      </c>
      <c r="H10912" t="s">
        <v>15822</v>
      </c>
      <c r="I10912">
        <v>12251</v>
      </c>
      <c r="J10912" t="e">
        <f>VLOOKUP(E10912,DSSpieler!A:B,2,FALSE)</f>
        <v>#N/A</v>
      </c>
    </row>
    <row r="10913" spans="1:10" x14ac:dyDescent="0.25">
      <c r="A10913">
        <v>12252</v>
      </c>
      <c r="B10913" t="s">
        <v>531</v>
      </c>
      <c r="C10913">
        <v>462</v>
      </c>
      <c r="D10913">
        <v>536</v>
      </c>
      <c r="E10913">
        <v>0</v>
      </c>
      <c r="F10913">
        <v>776</v>
      </c>
      <c r="G10913">
        <v>0</v>
      </c>
      <c r="H10913" t="s">
        <v>15823</v>
      </c>
      <c r="I10913">
        <v>12252</v>
      </c>
      <c r="J10913" t="e">
        <f>VLOOKUP(E10913,DSSpieler!A:B,2,FALSE)</f>
        <v>#N/A</v>
      </c>
    </row>
    <row r="10914" spans="1:10" x14ac:dyDescent="0.25">
      <c r="A10914">
        <v>12253</v>
      </c>
      <c r="B10914" t="s">
        <v>531</v>
      </c>
      <c r="C10914">
        <v>471</v>
      </c>
      <c r="D10914">
        <v>395</v>
      </c>
      <c r="E10914">
        <v>0</v>
      </c>
      <c r="F10914">
        <v>205</v>
      </c>
      <c r="G10914">
        <v>0</v>
      </c>
      <c r="H10914" t="s">
        <v>15824</v>
      </c>
      <c r="I10914">
        <v>12253</v>
      </c>
      <c r="J10914" t="e">
        <f>VLOOKUP(E10914,DSSpieler!A:B,2,FALSE)</f>
        <v>#N/A</v>
      </c>
    </row>
    <row r="10915" spans="1:10" x14ac:dyDescent="0.25">
      <c r="A10915">
        <v>12254</v>
      </c>
      <c r="B10915" t="s">
        <v>1893</v>
      </c>
      <c r="C10915">
        <v>568</v>
      </c>
      <c r="D10915">
        <v>418</v>
      </c>
      <c r="E10915">
        <v>1576998192</v>
      </c>
      <c r="F10915">
        <v>4161</v>
      </c>
      <c r="G10915">
        <v>0</v>
      </c>
      <c r="H10915" t="s">
        <v>15825</v>
      </c>
      <c r="I10915">
        <v>12254</v>
      </c>
      <c r="J10915" t="str">
        <f>VLOOKUP(E10915,DSSpieler!A:B,2,FALSE)</f>
        <v>Kastalistein</v>
      </c>
    </row>
    <row r="10916" spans="1:10" x14ac:dyDescent="0.25">
      <c r="A10916">
        <v>12255</v>
      </c>
      <c r="B10916" t="s">
        <v>531</v>
      </c>
      <c r="C10916">
        <v>609</v>
      </c>
      <c r="D10916">
        <v>513</v>
      </c>
      <c r="E10916">
        <v>0</v>
      </c>
      <c r="F10916">
        <v>334</v>
      </c>
      <c r="G10916">
        <v>0</v>
      </c>
      <c r="H10916" t="s">
        <v>15826</v>
      </c>
      <c r="I10916">
        <v>12255</v>
      </c>
      <c r="J10916" t="e">
        <f>VLOOKUP(E10916,DSSpieler!A:B,2,FALSE)</f>
        <v>#N/A</v>
      </c>
    </row>
    <row r="10917" spans="1:10" x14ac:dyDescent="0.25">
      <c r="A10917">
        <v>12256</v>
      </c>
      <c r="B10917" t="s">
        <v>531</v>
      </c>
      <c r="C10917">
        <v>599</v>
      </c>
      <c r="D10917">
        <v>545</v>
      </c>
      <c r="E10917">
        <v>0</v>
      </c>
      <c r="F10917">
        <v>439</v>
      </c>
      <c r="G10917">
        <v>0</v>
      </c>
      <c r="H10917" t="s">
        <v>15827</v>
      </c>
      <c r="I10917">
        <v>12256</v>
      </c>
      <c r="J10917" t="e">
        <f>VLOOKUP(E10917,DSSpieler!A:B,2,FALSE)</f>
        <v>#N/A</v>
      </c>
    </row>
    <row r="10918" spans="1:10" x14ac:dyDescent="0.25">
      <c r="A10918">
        <v>12258</v>
      </c>
      <c r="B10918" t="s">
        <v>531</v>
      </c>
      <c r="C10918">
        <v>606</v>
      </c>
      <c r="D10918">
        <v>478</v>
      </c>
      <c r="E10918">
        <v>0</v>
      </c>
      <c r="F10918">
        <v>270</v>
      </c>
      <c r="G10918">
        <v>0</v>
      </c>
      <c r="H10918" t="s">
        <v>15828</v>
      </c>
      <c r="I10918">
        <v>12258</v>
      </c>
      <c r="J10918" t="e">
        <f>VLOOKUP(E10918,DSSpieler!A:B,2,FALSE)</f>
        <v>#N/A</v>
      </c>
    </row>
    <row r="10919" spans="1:10" x14ac:dyDescent="0.25">
      <c r="A10919">
        <v>12259</v>
      </c>
      <c r="B10919" t="s">
        <v>531</v>
      </c>
      <c r="C10919">
        <v>570</v>
      </c>
      <c r="D10919">
        <v>442</v>
      </c>
      <c r="E10919">
        <v>0</v>
      </c>
      <c r="F10919">
        <v>179</v>
      </c>
      <c r="G10919">
        <v>0</v>
      </c>
      <c r="H10919" t="s">
        <v>15829</v>
      </c>
      <c r="I10919">
        <v>12259</v>
      </c>
      <c r="J10919" t="e">
        <f>VLOOKUP(E10919,DSSpieler!A:B,2,FALSE)</f>
        <v>#N/A</v>
      </c>
    </row>
    <row r="10920" spans="1:10" x14ac:dyDescent="0.25">
      <c r="A10920">
        <v>12261</v>
      </c>
      <c r="B10920" t="s">
        <v>2113</v>
      </c>
      <c r="C10920">
        <v>486</v>
      </c>
      <c r="D10920">
        <v>390</v>
      </c>
      <c r="E10920">
        <v>1577153348</v>
      </c>
      <c r="F10920">
        <v>3925</v>
      </c>
      <c r="G10920">
        <v>0</v>
      </c>
      <c r="H10920" t="s">
        <v>15830</v>
      </c>
      <c r="I10920">
        <v>12261</v>
      </c>
      <c r="J10920" t="str">
        <f>VLOOKUP(E10920,DSSpieler!A:B,2,FALSE)</f>
        <v>Rengeldengel86</v>
      </c>
    </row>
    <row r="10921" spans="1:10" x14ac:dyDescent="0.25">
      <c r="A10921">
        <v>12263</v>
      </c>
      <c r="B10921" t="s">
        <v>531</v>
      </c>
      <c r="C10921">
        <v>597</v>
      </c>
      <c r="D10921">
        <v>445</v>
      </c>
      <c r="E10921">
        <v>0</v>
      </c>
      <c r="F10921">
        <v>234</v>
      </c>
      <c r="G10921">
        <v>0</v>
      </c>
      <c r="H10921" t="s">
        <v>15831</v>
      </c>
      <c r="I10921">
        <v>12263</v>
      </c>
      <c r="J10921" t="e">
        <f>VLOOKUP(E10921,DSSpieler!A:B,2,FALSE)</f>
        <v>#N/A</v>
      </c>
    </row>
    <row r="10922" spans="1:10" x14ac:dyDescent="0.25">
      <c r="A10922">
        <v>12264</v>
      </c>
      <c r="B10922" t="s">
        <v>531</v>
      </c>
      <c r="C10922">
        <v>572</v>
      </c>
      <c r="D10922">
        <v>422</v>
      </c>
      <c r="E10922">
        <v>0</v>
      </c>
      <c r="F10922">
        <v>471</v>
      </c>
      <c r="G10922">
        <v>0</v>
      </c>
      <c r="H10922" t="s">
        <v>15832</v>
      </c>
      <c r="I10922">
        <v>12264</v>
      </c>
      <c r="J10922" t="e">
        <f>VLOOKUP(E10922,DSSpieler!A:B,2,FALSE)</f>
        <v>#N/A</v>
      </c>
    </row>
    <row r="10923" spans="1:10" x14ac:dyDescent="0.25">
      <c r="A10923">
        <v>12265</v>
      </c>
      <c r="B10923" t="s">
        <v>34366</v>
      </c>
      <c r="C10923">
        <v>433</v>
      </c>
      <c r="D10923">
        <v>586</v>
      </c>
      <c r="E10923">
        <v>1577193502</v>
      </c>
      <c r="F10923">
        <v>6147</v>
      </c>
      <c r="G10923">
        <v>0</v>
      </c>
      <c r="H10923" t="s">
        <v>15833</v>
      </c>
      <c r="I10923">
        <v>12265</v>
      </c>
      <c r="J10923" t="str">
        <f>VLOOKUP(E10923,DSSpieler!A:B,2,FALSE)</f>
        <v>Tomczio</v>
      </c>
    </row>
    <row r="10924" spans="1:10" x14ac:dyDescent="0.25">
      <c r="A10924">
        <v>12266</v>
      </c>
      <c r="B10924" t="s">
        <v>34367</v>
      </c>
      <c r="C10924">
        <v>480</v>
      </c>
      <c r="D10924">
        <v>606</v>
      </c>
      <c r="E10924">
        <v>1576628882</v>
      </c>
      <c r="F10924">
        <v>6281</v>
      </c>
      <c r="G10924">
        <v>0</v>
      </c>
      <c r="H10924" t="s">
        <v>15834</v>
      </c>
      <c r="I10924">
        <v>12266</v>
      </c>
      <c r="J10924" t="str">
        <f>VLOOKUP(E10924,DSSpieler!A:B,2,FALSE)</f>
        <v>Hirito Yomi</v>
      </c>
    </row>
    <row r="10925" spans="1:10" x14ac:dyDescent="0.25">
      <c r="A10925">
        <v>12267</v>
      </c>
      <c r="B10925" t="s">
        <v>34368</v>
      </c>
      <c r="C10925">
        <v>396</v>
      </c>
      <c r="D10925">
        <v>483</v>
      </c>
      <c r="E10925">
        <v>1577184624</v>
      </c>
      <c r="F10925">
        <v>2758</v>
      </c>
      <c r="G10925">
        <v>0</v>
      </c>
      <c r="H10925" t="s">
        <v>15835</v>
      </c>
      <c r="I10925">
        <v>12267</v>
      </c>
      <c r="J10925" t="str">
        <f>VLOOKUP(E10925,DSSpieler!A:B,2,FALSE)</f>
        <v>MusaBaba</v>
      </c>
    </row>
    <row r="10926" spans="1:10" x14ac:dyDescent="0.25">
      <c r="A10926">
        <v>12268</v>
      </c>
      <c r="B10926" t="s">
        <v>34369</v>
      </c>
      <c r="C10926">
        <v>481</v>
      </c>
      <c r="D10926">
        <v>393</v>
      </c>
      <c r="E10926">
        <v>3314936</v>
      </c>
      <c r="F10926">
        <v>4775</v>
      </c>
      <c r="G10926">
        <v>0</v>
      </c>
      <c r="H10926" t="s">
        <v>15836</v>
      </c>
      <c r="I10926">
        <v>12268</v>
      </c>
      <c r="J10926" t="str">
        <f>VLOOKUP(E10926,DSSpieler!A:B,2,FALSE)</f>
        <v>Matt239</v>
      </c>
    </row>
    <row r="10927" spans="1:10" x14ac:dyDescent="0.25">
      <c r="A10927">
        <v>12269</v>
      </c>
      <c r="B10927" t="s">
        <v>2114</v>
      </c>
      <c r="C10927">
        <v>488</v>
      </c>
      <c r="D10927">
        <v>387</v>
      </c>
      <c r="E10927">
        <v>1577198138</v>
      </c>
      <c r="F10927">
        <v>4681</v>
      </c>
      <c r="G10927">
        <v>0</v>
      </c>
      <c r="H10927" t="s">
        <v>15837</v>
      </c>
      <c r="I10927">
        <v>12269</v>
      </c>
      <c r="J10927" t="str">
        <f>VLOOKUP(E10927,DSSpieler!A:B,2,FALSE)</f>
        <v>Wiztard</v>
      </c>
    </row>
    <row r="10928" spans="1:10" x14ac:dyDescent="0.25">
      <c r="A10928">
        <v>12270</v>
      </c>
      <c r="B10928" t="s">
        <v>2115</v>
      </c>
      <c r="C10928">
        <v>544</v>
      </c>
      <c r="D10928">
        <v>399</v>
      </c>
      <c r="E10928">
        <v>1576732715</v>
      </c>
      <c r="F10928">
        <v>6046</v>
      </c>
      <c r="G10928">
        <v>0</v>
      </c>
      <c r="H10928" t="s">
        <v>15838</v>
      </c>
      <c r="I10928">
        <v>12270</v>
      </c>
      <c r="J10928" t="str">
        <f>VLOOKUP(E10928,DSSpieler!A:B,2,FALSE)</f>
        <v>lauridrum</v>
      </c>
    </row>
    <row r="10929" spans="1:10" x14ac:dyDescent="0.25">
      <c r="A10929">
        <v>12272</v>
      </c>
      <c r="B10929" t="s">
        <v>531</v>
      </c>
      <c r="C10929">
        <v>609</v>
      </c>
      <c r="D10929">
        <v>500</v>
      </c>
      <c r="E10929">
        <v>0</v>
      </c>
      <c r="F10929">
        <v>413</v>
      </c>
      <c r="G10929">
        <v>0</v>
      </c>
      <c r="H10929" t="s">
        <v>15839</v>
      </c>
      <c r="I10929">
        <v>12272</v>
      </c>
      <c r="J10929" t="e">
        <f>VLOOKUP(E10929,DSSpieler!A:B,2,FALSE)</f>
        <v>#N/A</v>
      </c>
    </row>
    <row r="10930" spans="1:10" x14ac:dyDescent="0.25">
      <c r="A10930">
        <v>12273</v>
      </c>
      <c r="B10930" t="s">
        <v>531</v>
      </c>
      <c r="C10930">
        <v>423</v>
      </c>
      <c r="D10930">
        <v>566</v>
      </c>
      <c r="E10930">
        <v>9974969</v>
      </c>
      <c r="F10930">
        <v>1362</v>
      </c>
      <c r="G10930">
        <v>0</v>
      </c>
      <c r="H10930" t="s">
        <v>15840</v>
      </c>
      <c r="I10930">
        <v>12273</v>
      </c>
      <c r="J10930" t="str">
        <f>VLOOKUP(E10930,DSSpieler!A:B,2,FALSE)</f>
        <v>shiiinos</v>
      </c>
    </row>
    <row r="10931" spans="1:10" x14ac:dyDescent="0.25">
      <c r="A10931">
        <v>12274</v>
      </c>
      <c r="B10931" t="s">
        <v>2116</v>
      </c>
      <c r="C10931">
        <v>423</v>
      </c>
      <c r="D10931">
        <v>431</v>
      </c>
      <c r="E10931">
        <v>1577196208</v>
      </c>
      <c r="F10931">
        <v>2017</v>
      </c>
      <c r="G10931">
        <v>0</v>
      </c>
      <c r="H10931" t="s">
        <v>15841</v>
      </c>
      <c r="I10931">
        <v>12274</v>
      </c>
      <c r="J10931" t="str">
        <f>VLOOKUP(E10931,DSSpieler!A:B,2,FALSE)</f>
        <v>Reisender.</v>
      </c>
    </row>
    <row r="10932" spans="1:10" x14ac:dyDescent="0.25">
      <c r="A10932">
        <v>12275</v>
      </c>
      <c r="B10932">
        <v>11</v>
      </c>
      <c r="C10932">
        <v>445</v>
      </c>
      <c r="D10932">
        <v>587</v>
      </c>
      <c r="E10932">
        <v>1941704</v>
      </c>
      <c r="F10932">
        <v>4190</v>
      </c>
      <c r="G10932">
        <v>0</v>
      </c>
      <c r="H10932" t="s">
        <v>15842</v>
      </c>
      <c r="I10932">
        <v>12275</v>
      </c>
      <c r="J10932" t="str">
        <f>VLOOKUP(E10932,DSSpieler!A:B,2,FALSE)</f>
        <v>jonas-97</v>
      </c>
    </row>
    <row r="10933" spans="1:10" x14ac:dyDescent="0.25">
      <c r="A10933">
        <v>12276</v>
      </c>
      <c r="B10933" t="s">
        <v>32694</v>
      </c>
      <c r="C10933">
        <v>504</v>
      </c>
      <c r="D10933">
        <v>610</v>
      </c>
      <c r="E10933">
        <v>1577100364</v>
      </c>
      <c r="F10933">
        <v>4813</v>
      </c>
      <c r="G10933">
        <v>0</v>
      </c>
      <c r="H10933" t="s">
        <v>15843</v>
      </c>
      <c r="I10933">
        <v>12276</v>
      </c>
      <c r="J10933" t="str">
        <f>VLOOKUP(E10933,DSSpieler!A:B,2,FALSE)</f>
        <v>Olga24humorlos</v>
      </c>
    </row>
    <row r="10934" spans="1:10" x14ac:dyDescent="0.25">
      <c r="A10934">
        <v>12277</v>
      </c>
      <c r="B10934" t="s">
        <v>31758</v>
      </c>
      <c r="C10934">
        <v>612</v>
      </c>
      <c r="D10934">
        <v>506</v>
      </c>
      <c r="E10934">
        <v>1577071496</v>
      </c>
      <c r="F10934">
        <v>5169</v>
      </c>
      <c r="G10934">
        <v>0</v>
      </c>
      <c r="H10934" t="s">
        <v>15844</v>
      </c>
      <c r="I10934">
        <v>12277</v>
      </c>
      <c r="J10934" t="str">
        <f>VLOOKUP(E10934,DSSpieler!A:B,2,FALSE)</f>
        <v>boombot95</v>
      </c>
    </row>
    <row r="10935" spans="1:10" x14ac:dyDescent="0.25">
      <c r="A10935">
        <v>12278</v>
      </c>
      <c r="B10935" t="s">
        <v>531</v>
      </c>
      <c r="C10935">
        <v>421</v>
      </c>
      <c r="D10935">
        <v>564</v>
      </c>
      <c r="E10935">
        <v>0</v>
      </c>
      <c r="F10935">
        <v>124</v>
      </c>
      <c r="G10935">
        <v>0</v>
      </c>
      <c r="H10935" t="s">
        <v>15845</v>
      </c>
      <c r="I10935">
        <v>12278</v>
      </c>
      <c r="J10935" t="e">
        <f>VLOOKUP(E10935,DSSpieler!A:B,2,FALSE)</f>
        <v>#N/A</v>
      </c>
    </row>
    <row r="10936" spans="1:10" x14ac:dyDescent="0.25">
      <c r="A10936">
        <v>12279</v>
      </c>
      <c r="B10936" t="s">
        <v>531</v>
      </c>
      <c r="C10936">
        <v>417</v>
      </c>
      <c r="D10936">
        <v>431</v>
      </c>
      <c r="E10936">
        <v>0</v>
      </c>
      <c r="F10936">
        <v>209</v>
      </c>
      <c r="G10936">
        <v>0</v>
      </c>
      <c r="H10936" t="s">
        <v>15846</v>
      </c>
      <c r="I10936">
        <v>12279</v>
      </c>
      <c r="J10936" t="e">
        <f>VLOOKUP(E10936,DSSpieler!A:B,2,FALSE)</f>
        <v>#N/A</v>
      </c>
    </row>
    <row r="10937" spans="1:10" x14ac:dyDescent="0.25">
      <c r="A10937">
        <v>12280</v>
      </c>
      <c r="B10937" t="s">
        <v>531</v>
      </c>
      <c r="C10937">
        <v>417</v>
      </c>
      <c r="D10937">
        <v>440</v>
      </c>
      <c r="E10937">
        <v>0</v>
      </c>
      <c r="F10937">
        <v>189</v>
      </c>
      <c r="G10937">
        <v>0</v>
      </c>
      <c r="H10937" t="s">
        <v>15847</v>
      </c>
      <c r="I10937">
        <v>12280</v>
      </c>
      <c r="J10937" t="e">
        <f>VLOOKUP(E10937,DSSpieler!A:B,2,FALSE)</f>
        <v>#N/A</v>
      </c>
    </row>
    <row r="10938" spans="1:10" x14ac:dyDescent="0.25">
      <c r="A10938">
        <v>12281</v>
      </c>
      <c r="B10938" t="s">
        <v>531</v>
      </c>
      <c r="C10938">
        <v>414</v>
      </c>
      <c r="D10938">
        <v>562</v>
      </c>
      <c r="E10938">
        <v>0</v>
      </c>
      <c r="F10938">
        <v>312</v>
      </c>
      <c r="G10938">
        <v>0</v>
      </c>
      <c r="H10938" t="s">
        <v>15848</v>
      </c>
      <c r="I10938">
        <v>12281</v>
      </c>
      <c r="J10938" t="e">
        <f>VLOOKUP(E10938,DSSpieler!A:B,2,FALSE)</f>
        <v>#N/A</v>
      </c>
    </row>
    <row r="10939" spans="1:10" x14ac:dyDescent="0.25">
      <c r="A10939">
        <v>12282</v>
      </c>
      <c r="B10939" t="s">
        <v>531</v>
      </c>
      <c r="C10939">
        <v>416</v>
      </c>
      <c r="D10939">
        <v>435</v>
      </c>
      <c r="E10939">
        <v>0</v>
      </c>
      <c r="F10939">
        <v>132</v>
      </c>
      <c r="G10939">
        <v>0</v>
      </c>
      <c r="H10939" t="s">
        <v>15849</v>
      </c>
      <c r="I10939">
        <v>12282</v>
      </c>
      <c r="J10939" t="e">
        <f>VLOOKUP(E10939,DSSpieler!A:B,2,FALSE)</f>
        <v>#N/A</v>
      </c>
    </row>
    <row r="10940" spans="1:10" x14ac:dyDescent="0.25">
      <c r="A10940">
        <v>12283</v>
      </c>
      <c r="B10940" t="s">
        <v>531</v>
      </c>
      <c r="C10940">
        <v>415</v>
      </c>
      <c r="D10940">
        <v>440</v>
      </c>
      <c r="E10940">
        <v>0</v>
      </c>
      <c r="F10940">
        <v>207</v>
      </c>
      <c r="G10940">
        <v>0</v>
      </c>
      <c r="H10940" t="s">
        <v>15850</v>
      </c>
      <c r="I10940">
        <v>12283</v>
      </c>
      <c r="J10940" t="e">
        <f>VLOOKUP(E10940,DSSpieler!A:B,2,FALSE)</f>
        <v>#N/A</v>
      </c>
    </row>
    <row r="10941" spans="1:10" x14ac:dyDescent="0.25">
      <c r="A10941">
        <v>12284</v>
      </c>
      <c r="B10941" t="s">
        <v>34370</v>
      </c>
      <c r="C10941">
        <v>522</v>
      </c>
      <c r="D10941">
        <v>575</v>
      </c>
      <c r="E10941">
        <v>1576220378</v>
      </c>
      <c r="F10941">
        <v>5697</v>
      </c>
      <c r="G10941">
        <v>0</v>
      </c>
      <c r="H10941" t="s">
        <v>15851</v>
      </c>
      <c r="I10941">
        <v>12284</v>
      </c>
      <c r="J10941" t="str">
        <f>VLOOKUP(E10941,DSSpieler!A:B,2,FALSE)</f>
        <v>Octesh</v>
      </c>
    </row>
    <row r="10942" spans="1:10" x14ac:dyDescent="0.25">
      <c r="A10942">
        <v>12285</v>
      </c>
      <c r="B10942" t="s">
        <v>531</v>
      </c>
      <c r="C10942">
        <v>557</v>
      </c>
      <c r="D10942">
        <v>594</v>
      </c>
      <c r="E10942">
        <v>0</v>
      </c>
      <c r="F10942">
        <v>408</v>
      </c>
      <c r="G10942">
        <v>0</v>
      </c>
      <c r="H10942" t="s">
        <v>15852</v>
      </c>
      <c r="I10942">
        <v>12285</v>
      </c>
      <c r="J10942" t="e">
        <f>VLOOKUP(E10942,DSSpieler!A:B,2,FALSE)</f>
        <v>#N/A</v>
      </c>
    </row>
    <row r="10943" spans="1:10" x14ac:dyDescent="0.25">
      <c r="A10943">
        <v>12286</v>
      </c>
      <c r="B10943" t="s">
        <v>531</v>
      </c>
      <c r="C10943">
        <v>456</v>
      </c>
      <c r="D10943">
        <v>402</v>
      </c>
      <c r="E10943">
        <v>0</v>
      </c>
      <c r="F10943">
        <v>230</v>
      </c>
      <c r="G10943">
        <v>0</v>
      </c>
      <c r="H10943" t="s">
        <v>15853</v>
      </c>
      <c r="I10943">
        <v>12286</v>
      </c>
      <c r="J10943" t="e">
        <f>VLOOKUP(E10943,DSSpieler!A:B,2,FALSE)</f>
        <v>#N/A</v>
      </c>
    </row>
    <row r="10944" spans="1:10" x14ac:dyDescent="0.25">
      <c r="A10944">
        <v>12288</v>
      </c>
      <c r="B10944" t="s">
        <v>531</v>
      </c>
      <c r="C10944">
        <v>609</v>
      </c>
      <c r="D10944">
        <v>495</v>
      </c>
      <c r="E10944">
        <v>0</v>
      </c>
      <c r="F10944">
        <v>159</v>
      </c>
      <c r="G10944">
        <v>0</v>
      </c>
      <c r="H10944" t="s">
        <v>15854</v>
      </c>
      <c r="I10944">
        <v>12288</v>
      </c>
      <c r="J10944" t="e">
        <f>VLOOKUP(E10944,DSSpieler!A:B,2,FALSE)</f>
        <v>#N/A</v>
      </c>
    </row>
    <row r="10945" spans="1:10" x14ac:dyDescent="0.25">
      <c r="A10945">
        <v>12289</v>
      </c>
      <c r="B10945" t="s">
        <v>531</v>
      </c>
      <c r="C10945">
        <v>600</v>
      </c>
      <c r="D10945">
        <v>543</v>
      </c>
      <c r="E10945">
        <v>0</v>
      </c>
      <c r="F10945">
        <v>228</v>
      </c>
      <c r="G10945">
        <v>0</v>
      </c>
      <c r="H10945" t="s">
        <v>15855</v>
      </c>
      <c r="I10945">
        <v>12289</v>
      </c>
      <c r="J10945" t="e">
        <f>VLOOKUP(E10945,DSSpieler!A:B,2,FALSE)</f>
        <v>#N/A</v>
      </c>
    </row>
    <row r="10946" spans="1:10" x14ac:dyDescent="0.25">
      <c r="A10946">
        <v>12291</v>
      </c>
      <c r="B10946" t="s">
        <v>34371</v>
      </c>
      <c r="C10946">
        <v>511</v>
      </c>
      <c r="D10946">
        <v>609</v>
      </c>
      <c r="E10946">
        <v>1576818849</v>
      </c>
      <c r="F10946">
        <v>555</v>
      </c>
      <c r="G10946">
        <v>0</v>
      </c>
      <c r="H10946" t="s">
        <v>15856</v>
      </c>
      <c r="I10946">
        <v>12291</v>
      </c>
      <c r="J10946" t="str">
        <f>VLOOKUP(E10946,DSSpieler!A:B,2,FALSE)</f>
        <v>Ix.An0nYm.xI</v>
      </c>
    </row>
    <row r="10947" spans="1:10" x14ac:dyDescent="0.25">
      <c r="A10947">
        <v>12292</v>
      </c>
      <c r="B10947" t="s">
        <v>531</v>
      </c>
      <c r="C10947">
        <v>608</v>
      </c>
      <c r="D10947">
        <v>476</v>
      </c>
      <c r="E10947">
        <v>0</v>
      </c>
      <c r="F10947">
        <v>182</v>
      </c>
      <c r="G10947">
        <v>0</v>
      </c>
      <c r="H10947" t="s">
        <v>15857</v>
      </c>
      <c r="I10947">
        <v>12292</v>
      </c>
      <c r="J10947" t="e">
        <f>VLOOKUP(E10947,DSSpieler!A:B,2,FALSE)</f>
        <v>#N/A</v>
      </c>
    </row>
    <row r="10948" spans="1:10" x14ac:dyDescent="0.25">
      <c r="A10948">
        <v>12293</v>
      </c>
      <c r="B10948" t="s">
        <v>34372</v>
      </c>
      <c r="C10948">
        <v>545</v>
      </c>
      <c r="D10948">
        <v>416</v>
      </c>
      <c r="E10948">
        <v>1576190508</v>
      </c>
      <c r="F10948">
        <v>5780</v>
      </c>
      <c r="G10948">
        <v>0</v>
      </c>
      <c r="H10948" t="s">
        <v>15858</v>
      </c>
      <c r="I10948">
        <v>12293</v>
      </c>
      <c r="J10948" t="str">
        <f>VLOOKUP(E10948,DSSpieler!A:B,2,FALSE)</f>
        <v>DrMurke</v>
      </c>
    </row>
    <row r="10949" spans="1:10" x14ac:dyDescent="0.25">
      <c r="A10949">
        <v>12294</v>
      </c>
      <c r="B10949" t="s">
        <v>2117</v>
      </c>
      <c r="C10949">
        <v>476</v>
      </c>
      <c r="D10949">
        <v>533</v>
      </c>
      <c r="E10949">
        <v>1577199057</v>
      </c>
      <c r="F10949">
        <v>5952</v>
      </c>
      <c r="G10949">
        <v>0</v>
      </c>
      <c r="H10949" t="s">
        <v>15859</v>
      </c>
      <c r="I10949">
        <v>12294</v>
      </c>
      <c r="J10949" t="str">
        <f>VLOOKUP(E10949,DSSpieler!A:B,2,FALSE)</f>
        <v>Black lava</v>
      </c>
    </row>
    <row r="10950" spans="1:10" x14ac:dyDescent="0.25">
      <c r="A10950">
        <v>12295</v>
      </c>
      <c r="B10950" t="s">
        <v>2118</v>
      </c>
      <c r="C10950">
        <v>524</v>
      </c>
      <c r="D10950">
        <v>395</v>
      </c>
      <c r="E10950">
        <v>1577049781</v>
      </c>
      <c r="F10950">
        <v>2353</v>
      </c>
      <c r="G10950">
        <v>0</v>
      </c>
      <c r="H10950" t="s">
        <v>15860</v>
      </c>
      <c r="I10950">
        <v>12295</v>
      </c>
      <c r="J10950" t="str">
        <f>VLOOKUP(E10950,DSSpieler!A:B,2,FALSE)</f>
        <v>kaozfreak</v>
      </c>
    </row>
    <row r="10951" spans="1:10" x14ac:dyDescent="0.25">
      <c r="A10951">
        <v>12296</v>
      </c>
      <c r="B10951" s="111">
        <v>230.03</v>
      </c>
      <c r="C10951">
        <v>535</v>
      </c>
      <c r="D10951">
        <v>400</v>
      </c>
      <c r="E10951">
        <v>1577174302</v>
      </c>
      <c r="F10951">
        <v>5086</v>
      </c>
      <c r="G10951">
        <v>0</v>
      </c>
      <c r="H10951" t="s">
        <v>15861</v>
      </c>
      <c r="I10951">
        <v>12296</v>
      </c>
      <c r="J10951" t="str">
        <f>VLOOKUP(E10951,DSSpieler!A:B,2,FALSE)</f>
        <v>datGCP</v>
      </c>
    </row>
    <row r="10952" spans="1:10" x14ac:dyDescent="0.25">
      <c r="A10952">
        <v>12297</v>
      </c>
      <c r="B10952" t="s">
        <v>531</v>
      </c>
      <c r="C10952">
        <v>506</v>
      </c>
      <c r="D10952">
        <v>610</v>
      </c>
      <c r="E10952">
        <v>0</v>
      </c>
      <c r="F10952">
        <v>327</v>
      </c>
      <c r="G10952">
        <v>0</v>
      </c>
      <c r="H10952" t="s">
        <v>15862</v>
      </c>
      <c r="I10952">
        <v>12297</v>
      </c>
      <c r="J10952" t="e">
        <f>VLOOKUP(E10952,DSSpieler!A:B,2,FALSE)</f>
        <v>#N/A</v>
      </c>
    </row>
    <row r="10953" spans="1:10" x14ac:dyDescent="0.25">
      <c r="A10953">
        <v>12299</v>
      </c>
      <c r="B10953" t="s">
        <v>34373</v>
      </c>
      <c r="C10953">
        <v>470</v>
      </c>
      <c r="D10953">
        <v>394</v>
      </c>
      <c r="E10953">
        <v>9598223</v>
      </c>
      <c r="F10953">
        <v>3739</v>
      </c>
      <c r="G10953">
        <v>0</v>
      </c>
      <c r="H10953" t="s">
        <v>15863</v>
      </c>
      <c r="I10953">
        <v>12299</v>
      </c>
      <c r="J10953" t="str">
        <f>VLOOKUP(E10953,DSSpieler!A:B,2,FALSE)</f>
        <v>radix333</v>
      </c>
    </row>
    <row r="10954" spans="1:10" x14ac:dyDescent="0.25">
      <c r="A10954">
        <v>12300</v>
      </c>
      <c r="B10954" t="s">
        <v>2119</v>
      </c>
      <c r="C10954">
        <v>453</v>
      </c>
      <c r="D10954">
        <v>603</v>
      </c>
      <c r="E10954">
        <v>7683314</v>
      </c>
      <c r="F10954">
        <v>3605</v>
      </c>
      <c r="G10954">
        <v>0</v>
      </c>
      <c r="H10954" t="s">
        <v>15864</v>
      </c>
      <c r="I10954">
        <v>12300</v>
      </c>
      <c r="J10954" t="str">
        <f>VLOOKUP(E10954,DSSpieler!A:B,2,FALSE)</f>
        <v>ARME DER GUTEN</v>
      </c>
    </row>
    <row r="10955" spans="1:10" x14ac:dyDescent="0.25">
      <c r="A10955">
        <v>12302</v>
      </c>
      <c r="B10955" t="s">
        <v>531</v>
      </c>
      <c r="C10955">
        <v>420</v>
      </c>
      <c r="D10955">
        <v>430</v>
      </c>
      <c r="E10955">
        <v>0</v>
      </c>
      <c r="F10955">
        <v>329</v>
      </c>
      <c r="G10955">
        <v>0</v>
      </c>
      <c r="H10955" t="s">
        <v>15865</v>
      </c>
      <c r="I10955">
        <v>12302</v>
      </c>
      <c r="J10955" t="e">
        <f>VLOOKUP(E10955,DSSpieler!A:B,2,FALSE)</f>
        <v>#N/A</v>
      </c>
    </row>
    <row r="10956" spans="1:10" x14ac:dyDescent="0.25">
      <c r="A10956">
        <v>12303</v>
      </c>
      <c r="B10956" t="s">
        <v>34374</v>
      </c>
      <c r="C10956">
        <v>430</v>
      </c>
      <c r="D10956">
        <v>561</v>
      </c>
      <c r="E10956">
        <v>1577199064</v>
      </c>
      <c r="F10956">
        <v>5610</v>
      </c>
      <c r="G10956">
        <v>0</v>
      </c>
      <c r="H10956" t="s">
        <v>15866</v>
      </c>
      <c r="I10956">
        <v>12303</v>
      </c>
      <c r="J10956" t="str">
        <f>VLOOKUP(E10956,DSSpieler!A:B,2,FALSE)</f>
        <v>HelleBelle</v>
      </c>
    </row>
    <row r="10957" spans="1:10" x14ac:dyDescent="0.25">
      <c r="A10957">
        <v>12304</v>
      </c>
      <c r="B10957" t="s">
        <v>531</v>
      </c>
      <c r="C10957">
        <v>414</v>
      </c>
      <c r="D10957">
        <v>436</v>
      </c>
      <c r="E10957">
        <v>0</v>
      </c>
      <c r="F10957">
        <v>166</v>
      </c>
      <c r="G10957">
        <v>0</v>
      </c>
      <c r="H10957" t="s">
        <v>15867</v>
      </c>
      <c r="I10957">
        <v>12304</v>
      </c>
      <c r="J10957" t="e">
        <f>VLOOKUP(E10957,DSSpieler!A:B,2,FALSE)</f>
        <v>#N/A</v>
      </c>
    </row>
    <row r="10958" spans="1:10" x14ac:dyDescent="0.25">
      <c r="A10958">
        <v>12305</v>
      </c>
      <c r="B10958" t="s">
        <v>531</v>
      </c>
      <c r="C10958">
        <v>603</v>
      </c>
      <c r="D10958">
        <v>522</v>
      </c>
      <c r="E10958">
        <v>0</v>
      </c>
      <c r="F10958">
        <v>259</v>
      </c>
      <c r="G10958">
        <v>0</v>
      </c>
      <c r="H10958" t="s">
        <v>15868</v>
      </c>
      <c r="I10958">
        <v>12305</v>
      </c>
      <c r="J10958" t="e">
        <f>VLOOKUP(E10958,DSSpieler!A:B,2,FALSE)</f>
        <v>#N/A</v>
      </c>
    </row>
    <row r="10959" spans="1:10" x14ac:dyDescent="0.25">
      <c r="A10959">
        <v>12308</v>
      </c>
      <c r="B10959">
        <v>2</v>
      </c>
      <c r="C10959">
        <v>400</v>
      </c>
      <c r="D10959">
        <v>476</v>
      </c>
      <c r="E10959">
        <v>10074791</v>
      </c>
      <c r="F10959">
        <v>4062</v>
      </c>
      <c r="G10959">
        <v>0</v>
      </c>
      <c r="H10959" t="s">
        <v>15869</v>
      </c>
      <c r="I10959">
        <v>12308</v>
      </c>
      <c r="J10959" t="str">
        <f>VLOOKUP(E10959,DSSpieler!A:B,2,FALSE)</f>
        <v>Weedstar07</v>
      </c>
    </row>
    <row r="10960" spans="1:10" x14ac:dyDescent="0.25">
      <c r="A10960">
        <v>12309</v>
      </c>
      <c r="B10960" t="s">
        <v>531</v>
      </c>
      <c r="C10960">
        <v>539</v>
      </c>
      <c r="D10960">
        <v>599</v>
      </c>
      <c r="E10960">
        <v>0</v>
      </c>
      <c r="F10960">
        <v>346</v>
      </c>
      <c r="G10960">
        <v>0</v>
      </c>
      <c r="H10960" t="s">
        <v>15870</v>
      </c>
      <c r="I10960">
        <v>12309</v>
      </c>
      <c r="J10960" t="e">
        <f>VLOOKUP(E10960,DSSpieler!A:B,2,FALSE)</f>
        <v>#N/A</v>
      </c>
    </row>
    <row r="10961" spans="1:10" x14ac:dyDescent="0.25">
      <c r="A10961">
        <v>12310</v>
      </c>
      <c r="B10961" t="s">
        <v>531</v>
      </c>
      <c r="C10961">
        <v>545</v>
      </c>
      <c r="D10961">
        <v>401</v>
      </c>
      <c r="E10961">
        <v>0</v>
      </c>
      <c r="F10961">
        <v>908</v>
      </c>
      <c r="G10961">
        <v>0</v>
      </c>
      <c r="H10961" t="s">
        <v>15871</v>
      </c>
      <c r="I10961">
        <v>12310</v>
      </c>
      <c r="J10961" t="e">
        <f>VLOOKUP(E10961,DSSpieler!A:B,2,FALSE)</f>
        <v>#N/A</v>
      </c>
    </row>
    <row r="10962" spans="1:10" x14ac:dyDescent="0.25">
      <c r="A10962">
        <v>12311</v>
      </c>
      <c r="B10962" t="s">
        <v>34375</v>
      </c>
      <c r="C10962">
        <v>487</v>
      </c>
      <c r="D10962">
        <v>386</v>
      </c>
      <c r="E10962">
        <v>125294</v>
      </c>
      <c r="F10962">
        <v>5104</v>
      </c>
      <c r="G10962">
        <v>0</v>
      </c>
      <c r="H10962" t="s">
        <v>15872</v>
      </c>
      <c r="I10962">
        <v>12311</v>
      </c>
      <c r="J10962" t="str">
        <f>VLOOKUP(E10962,DSSpieler!A:B,2,FALSE)</f>
        <v>buuh</v>
      </c>
    </row>
    <row r="10963" spans="1:10" x14ac:dyDescent="0.25">
      <c r="A10963">
        <v>12312</v>
      </c>
      <c r="B10963" t="s">
        <v>531</v>
      </c>
      <c r="C10963">
        <v>585</v>
      </c>
      <c r="D10963">
        <v>570</v>
      </c>
      <c r="E10963">
        <v>0</v>
      </c>
      <c r="F10963">
        <v>354</v>
      </c>
      <c r="G10963">
        <v>0</v>
      </c>
      <c r="H10963" t="s">
        <v>15873</v>
      </c>
      <c r="I10963">
        <v>12312</v>
      </c>
      <c r="J10963" t="e">
        <f>VLOOKUP(E10963,DSSpieler!A:B,2,FALSE)</f>
        <v>#N/A</v>
      </c>
    </row>
    <row r="10964" spans="1:10" x14ac:dyDescent="0.25">
      <c r="A10964">
        <v>12313</v>
      </c>
      <c r="B10964" t="s">
        <v>34376</v>
      </c>
      <c r="C10964">
        <v>435</v>
      </c>
      <c r="D10964">
        <v>418</v>
      </c>
      <c r="E10964">
        <v>9849940</v>
      </c>
      <c r="F10964">
        <v>5231</v>
      </c>
      <c r="G10964">
        <v>0</v>
      </c>
      <c r="H10964" t="s">
        <v>15874</v>
      </c>
      <c r="I10964">
        <v>12313</v>
      </c>
      <c r="J10964" t="str">
        <f>VLOOKUP(E10964,DSSpieler!A:B,2,FALSE)</f>
        <v>Lord Aarben</v>
      </c>
    </row>
    <row r="10965" spans="1:10" x14ac:dyDescent="0.25">
      <c r="A10965">
        <v>12314</v>
      </c>
      <c r="B10965" t="s">
        <v>2120</v>
      </c>
      <c r="C10965">
        <v>451</v>
      </c>
      <c r="D10965">
        <v>492</v>
      </c>
      <c r="E10965">
        <v>1577190204</v>
      </c>
      <c r="F10965">
        <v>2476</v>
      </c>
      <c r="G10965">
        <v>0</v>
      </c>
      <c r="H10965" t="s">
        <v>15875</v>
      </c>
      <c r="I10965">
        <v>12314</v>
      </c>
      <c r="J10965" t="str">
        <f>VLOOKUP(E10965,DSSpieler!A:B,2,FALSE)</f>
        <v>Seth</v>
      </c>
    </row>
    <row r="10966" spans="1:10" x14ac:dyDescent="0.25">
      <c r="A10966">
        <v>12316</v>
      </c>
      <c r="B10966" t="s">
        <v>34377</v>
      </c>
      <c r="C10966">
        <v>423</v>
      </c>
      <c r="D10966">
        <v>418</v>
      </c>
      <c r="E10966">
        <v>1577182519</v>
      </c>
      <c r="F10966">
        <v>5737</v>
      </c>
      <c r="G10966">
        <v>0</v>
      </c>
      <c r="H10966" t="s">
        <v>15876</v>
      </c>
      <c r="I10966">
        <v>12316</v>
      </c>
      <c r="J10966" t="str">
        <f>VLOOKUP(E10966,DSSpieler!A:B,2,FALSE)</f>
        <v>G1ov4nni</v>
      </c>
    </row>
    <row r="10967" spans="1:10" x14ac:dyDescent="0.25">
      <c r="A10967">
        <v>12318</v>
      </c>
      <c r="B10967" t="s">
        <v>34378</v>
      </c>
      <c r="C10967">
        <v>512</v>
      </c>
      <c r="D10967">
        <v>524</v>
      </c>
      <c r="E10967">
        <v>1576707194</v>
      </c>
      <c r="F10967">
        <v>4625</v>
      </c>
      <c r="G10967">
        <v>0</v>
      </c>
      <c r="H10967" t="s">
        <v>15877</v>
      </c>
      <c r="I10967">
        <v>12318</v>
      </c>
      <c r="J10967" t="str">
        <f>VLOOKUP(E10967,DSSpieler!A:B,2,FALSE)</f>
        <v>Sorpmeister</v>
      </c>
    </row>
    <row r="10968" spans="1:10" x14ac:dyDescent="0.25">
      <c r="A10968">
        <v>12319</v>
      </c>
      <c r="B10968" t="s">
        <v>34379</v>
      </c>
      <c r="C10968">
        <v>549</v>
      </c>
      <c r="D10968">
        <v>595</v>
      </c>
      <c r="E10968">
        <v>1577158917</v>
      </c>
      <c r="F10968">
        <v>463</v>
      </c>
      <c r="G10968">
        <v>0</v>
      </c>
      <c r="H10968" t="s">
        <v>15878</v>
      </c>
      <c r="I10968">
        <v>12319</v>
      </c>
      <c r="J10968" t="str">
        <f>VLOOKUP(E10968,DSSpieler!A:B,2,FALSE)</f>
        <v>lucymarvin</v>
      </c>
    </row>
    <row r="10969" spans="1:10" x14ac:dyDescent="0.25">
      <c r="A10969">
        <v>12320</v>
      </c>
      <c r="B10969" t="s">
        <v>34380</v>
      </c>
      <c r="C10969">
        <v>474</v>
      </c>
      <c r="D10969">
        <v>607</v>
      </c>
      <c r="E10969">
        <v>9939653</v>
      </c>
      <c r="F10969">
        <v>2503</v>
      </c>
      <c r="G10969">
        <v>0</v>
      </c>
      <c r="H10969" t="s">
        <v>15879</v>
      </c>
      <c r="I10969">
        <v>12320</v>
      </c>
      <c r="J10969" t="str">
        <f>VLOOKUP(E10969,DSSpieler!A:B,2,FALSE)</f>
        <v>YONDA</v>
      </c>
    </row>
    <row r="10970" spans="1:10" x14ac:dyDescent="0.25">
      <c r="A10970">
        <v>12321</v>
      </c>
      <c r="B10970" t="s">
        <v>34381</v>
      </c>
      <c r="C10970">
        <v>480</v>
      </c>
      <c r="D10970">
        <v>393</v>
      </c>
      <c r="E10970">
        <v>1577148907</v>
      </c>
      <c r="F10970">
        <v>3956</v>
      </c>
      <c r="G10970">
        <v>0</v>
      </c>
      <c r="H10970" t="s">
        <v>15880</v>
      </c>
      <c r="I10970">
        <v>12321</v>
      </c>
      <c r="J10970" t="str">
        <f>VLOOKUP(E10970,DSSpieler!A:B,2,FALSE)</f>
        <v>MATMAR</v>
      </c>
    </row>
    <row r="10971" spans="1:10" x14ac:dyDescent="0.25">
      <c r="A10971">
        <v>12322</v>
      </c>
      <c r="B10971" t="s">
        <v>34382</v>
      </c>
      <c r="C10971">
        <v>522</v>
      </c>
      <c r="D10971">
        <v>603</v>
      </c>
      <c r="E10971">
        <v>832699</v>
      </c>
      <c r="F10971">
        <v>5000</v>
      </c>
      <c r="G10971">
        <v>0</v>
      </c>
      <c r="H10971" t="s">
        <v>15881</v>
      </c>
      <c r="I10971">
        <v>12322</v>
      </c>
      <c r="J10971" t="str">
        <f>VLOOKUP(E10971,DSSpieler!A:B,2,FALSE)</f>
        <v>Y@r0n</v>
      </c>
    </row>
    <row r="10972" spans="1:10" x14ac:dyDescent="0.25">
      <c r="A10972">
        <v>12323</v>
      </c>
      <c r="B10972" t="s">
        <v>34383</v>
      </c>
      <c r="C10972">
        <v>394</v>
      </c>
      <c r="D10972">
        <v>508</v>
      </c>
      <c r="E10972">
        <v>9319592</v>
      </c>
      <c r="F10972">
        <v>3556</v>
      </c>
      <c r="G10972">
        <v>0</v>
      </c>
      <c r="H10972" t="s">
        <v>15882</v>
      </c>
      <c r="I10972">
        <v>12323</v>
      </c>
      <c r="J10972" t="str">
        <f>VLOOKUP(E10972,DSSpieler!A:B,2,FALSE)</f>
        <v>DieterVonHinten</v>
      </c>
    </row>
    <row r="10973" spans="1:10" x14ac:dyDescent="0.25">
      <c r="A10973">
        <v>12325</v>
      </c>
      <c r="B10973" t="s">
        <v>999</v>
      </c>
      <c r="C10973">
        <v>416</v>
      </c>
      <c r="D10973">
        <v>538</v>
      </c>
      <c r="E10973">
        <v>9705555</v>
      </c>
      <c r="F10973">
        <v>5111</v>
      </c>
      <c r="G10973">
        <v>0</v>
      </c>
      <c r="H10973" t="s">
        <v>15883</v>
      </c>
      <c r="I10973">
        <v>12325</v>
      </c>
      <c r="J10973" t="str">
        <f>VLOOKUP(E10973,DSSpieler!A:B,2,FALSE)</f>
        <v>MarcoUndNils</v>
      </c>
    </row>
    <row r="10974" spans="1:10" x14ac:dyDescent="0.25">
      <c r="A10974">
        <v>12326</v>
      </c>
      <c r="B10974" t="s">
        <v>34384</v>
      </c>
      <c r="C10974">
        <v>613</v>
      </c>
      <c r="D10974">
        <v>508</v>
      </c>
      <c r="E10974">
        <v>10104309</v>
      </c>
      <c r="F10974">
        <v>5637</v>
      </c>
      <c r="G10974">
        <v>0</v>
      </c>
      <c r="H10974" t="s">
        <v>15884</v>
      </c>
      <c r="I10974">
        <v>12326</v>
      </c>
      <c r="J10974" t="str">
        <f>VLOOKUP(E10974,DSSpieler!A:B,2,FALSE)</f>
        <v>scorpio72</v>
      </c>
    </row>
    <row r="10975" spans="1:10" x14ac:dyDescent="0.25">
      <c r="A10975">
        <v>12327</v>
      </c>
      <c r="B10975" t="s">
        <v>34385</v>
      </c>
      <c r="C10975">
        <v>425</v>
      </c>
      <c r="D10975">
        <v>556</v>
      </c>
      <c r="E10975">
        <v>1577174979</v>
      </c>
      <c r="F10975">
        <v>4282</v>
      </c>
      <c r="G10975">
        <v>0</v>
      </c>
      <c r="H10975" t="s">
        <v>15885</v>
      </c>
      <c r="I10975">
        <v>12327</v>
      </c>
      <c r="J10975" t="str">
        <f>VLOOKUP(E10975,DSSpieler!A:B,2,FALSE)</f>
        <v>Azeroth</v>
      </c>
    </row>
    <row r="10976" spans="1:10" x14ac:dyDescent="0.25">
      <c r="A10976">
        <v>12328</v>
      </c>
      <c r="B10976" t="s">
        <v>626</v>
      </c>
      <c r="C10976">
        <v>522</v>
      </c>
      <c r="D10976">
        <v>394</v>
      </c>
      <c r="E10976">
        <v>1577069277</v>
      </c>
      <c r="F10976">
        <v>6040</v>
      </c>
      <c r="G10976">
        <v>0</v>
      </c>
      <c r="H10976" t="s">
        <v>15886</v>
      </c>
      <c r="I10976">
        <v>12328</v>
      </c>
      <c r="J10976" t="str">
        <f>VLOOKUP(E10976,DSSpieler!A:B,2,FALSE)</f>
        <v>Bauer sucht Sau</v>
      </c>
    </row>
    <row r="10977" spans="1:10" x14ac:dyDescent="0.25">
      <c r="A10977">
        <v>12329</v>
      </c>
      <c r="B10977" t="s">
        <v>531</v>
      </c>
      <c r="C10977">
        <v>569</v>
      </c>
      <c r="D10977">
        <v>417</v>
      </c>
      <c r="E10977">
        <v>0</v>
      </c>
      <c r="F10977">
        <v>308</v>
      </c>
      <c r="G10977">
        <v>0</v>
      </c>
      <c r="H10977" t="s">
        <v>15887</v>
      </c>
      <c r="I10977">
        <v>12329</v>
      </c>
      <c r="J10977" t="e">
        <f>VLOOKUP(E10977,DSSpieler!A:B,2,FALSE)</f>
        <v>#N/A</v>
      </c>
    </row>
    <row r="10978" spans="1:10" x14ac:dyDescent="0.25">
      <c r="A10978">
        <v>12330</v>
      </c>
      <c r="B10978" t="s">
        <v>1944</v>
      </c>
      <c r="C10978">
        <v>519</v>
      </c>
      <c r="D10978">
        <v>606</v>
      </c>
      <c r="E10978">
        <v>577438</v>
      </c>
      <c r="F10978">
        <v>4397</v>
      </c>
      <c r="G10978">
        <v>0</v>
      </c>
      <c r="H10978" t="s">
        <v>15888</v>
      </c>
      <c r="I10978">
        <v>12330</v>
      </c>
      <c r="J10978" t="str">
        <f>VLOOKUP(E10978,DSSpieler!A:B,2,FALSE)</f>
        <v>Crowns</v>
      </c>
    </row>
    <row r="10979" spans="1:10" x14ac:dyDescent="0.25">
      <c r="A10979">
        <v>12331</v>
      </c>
      <c r="B10979" t="s">
        <v>531</v>
      </c>
      <c r="C10979">
        <v>604</v>
      </c>
      <c r="D10979">
        <v>477</v>
      </c>
      <c r="E10979">
        <v>0</v>
      </c>
      <c r="F10979">
        <v>415</v>
      </c>
      <c r="G10979">
        <v>0</v>
      </c>
      <c r="H10979" t="s">
        <v>15889</v>
      </c>
      <c r="I10979">
        <v>12331</v>
      </c>
      <c r="J10979" t="e">
        <f>VLOOKUP(E10979,DSSpieler!A:B,2,FALSE)</f>
        <v>#N/A</v>
      </c>
    </row>
    <row r="10980" spans="1:10" x14ac:dyDescent="0.25">
      <c r="A10980">
        <v>12332</v>
      </c>
      <c r="B10980" t="s">
        <v>531</v>
      </c>
      <c r="C10980">
        <v>406</v>
      </c>
      <c r="D10980">
        <v>550</v>
      </c>
      <c r="E10980">
        <v>0</v>
      </c>
      <c r="F10980">
        <v>251</v>
      </c>
      <c r="G10980">
        <v>0</v>
      </c>
      <c r="H10980" t="s">
        <v>15890</v>
      </c>
      <c r="I10980">
        <v>12332</v>
      </c>
      <c r="J10980" t="e">
        <f>VLOOKUP(E10980,DSSpieler!A:B,2,FALSE)</f>
        <v>#N/A</v>
      </c>
    </row>
    <row r="10981" spans="1:10" x14ac:dyDescent="0.25">
      <c r="A10981">
        <v>12333</v>
      </c>
      <c r="B10981" t="s">
        <v>34386</v>
      </c>
      <c r="C10981">
        <v>453</v>
      </c>
      <c r="D10981">
        <v>404</v>
      </c>
      <c r="E10981">
        <v>1577164215</v>
      </c>
      <c r="F10981">
        <v>5332</v>
      </c>
      <c r="G10981">
        <v>0</v>
      </c>
      <c r="H10981" t="s">
        <v>15891</v>
      </c>
      <c r="I10981">
        <v>12333</v>
      </c>
      <c r="J10981" t="str">
        <f>VLOOKUP(E10981,DSSpieler!A:B,2,FALSE)</f>
        <v>chrissle</v>
      </c>
    </row>
    <row r="10982" spans="1:10" x14ac:dyDescent="0.25">
      <c r="A10982">
        <v>12334</v>
      </c>
      <c r="B10982">
        <v>2</v>
      </c>
      <c r="C10982">
        <v>601</v>
      </c>
      <c r="D10982">
        <v>456</v>
      </c>
      <c r="E10982">
        <v>1576778163</v>
      </c>
      <c r="F10982">
        <v>3621</v>
      </c>
      <c r="G10982">
        <v>0</v>
      </c>
      <c r="H10982" t="s">
        <v>15892</v>
      </c>
      <c r="I10982">
        <v>12334</v>
      </c>
      <c r="J10982" t="str">
        <f>VLOOKUP(E10982,DSSpieler!A:B,2,FALSE)</f>
        <v>Hasse89</v>
      </c>
    </row>
    <row r="10983" spans="1:10" x14ac:dyDescent="0.25">
      <c r="A10983">
        <v>12335</v>
      </c>
      <c r="B10983" t="s">
        <v>2121</v>
      </c>
      <c r="C10983">
        <v>491</v>
      </c>
      <c r="D10983">
        <v>394</v>
      </c>
      <c r="E10983">
        <v>1576917303</v>
      </c>
      <c r="F10983">
        <v>2830</v>
      </c>
      <c r="G10983">
        <v>0</v>
      </c>
      <c r="H10983" t="s">
        <v>15893</v>
      </c>
      <c r="I10983">
        <v>12335</v>
      </c>
      <c r="J10983" t="str">
        <f>VLOOKUP(E10983,DSSpieler!A:B,2,FALSE)</f>
        <v>MA6IC CU3E</v>
      </c>
    </row>
    <row r="10984" spans="1:10" x14ac:dyDescent="0.25">
      <c r="A10984">
        <v>12336</v>
      </c>
      <c r="B10984" t="s">
        <v>34387</v>
      </c>
      <c r="C10984">
        <v>578</v>
      </c>
      <c r="D10984">
        <v>430</v>
      </c>
      <c r="E10984">
        <v>1086282</v>
      </c>
      <c r="F10984">
        <v>2218</v>
      </c>
      <c r="G10984">
        <v>0</v>
      </c>
      <c r="H10984" t="s">
        <v>15894</v>
      </c>
      <c r="I10984">
        <v>12336</v>
      </c>
      <c r="J10984" t="str">
        <f>VLOOKUP(E10984,DSSpieler!A:B,2,FALSE)</f>
        <v>m-k-zwonix</v>
      </c>
    </row>
    <row r="10985" spans="1:10" x14ac:dyDescent="0.25">
      <c r="A10985">
        <v>12339</v>
      </c>
      <c r="B10985" t="s">
        <v>780</v>
      </c>
      <c r="C10985">
        <v>611</v>
      </c>
      <c r="D10985">
        <v>516</v>
      </c>
      <c r="E10985">
        <v>1577127763</v>
      </c>
      <c r="F10985">
        <v>2951</v>
      </c>
      <c r="G10985">
        <v>0</v>
      </c>
      <c r="H10985" t="s">
        <v>15895</v>
      </c>
      <c r="I10985">
        <v>12339</v>
      </c>
      <c r="J10985" t="str">
        <f>VLOOKUP(E10985,DSSpieler!A:B,2,FALSE)</f>
        <v>Lord PickleRick</v>
      </c>
    </row>
    <row r="10986" spans="1:10" x14ac:dyDescent="0.25">
      <c r="A10986">
        <v>12340</v>
      </c>
      <c r="B10986">
        <v>3</v>
      </c>
      <c r="C10986">
        <v>411</v>
      </c>
      <c r="D10986">
        <v>456</v>
      </c>
      <c r="E10986">
        <v>1576703166</v>
      </c>
      <c r="F10986">
        <v>4076</v>
      </c>
      <c r="G10986">
        <v>0</v>
      </c>
      <c r="H10986" t="s">
        <v>15896</v>
      </c>
      <c r="I10986">
        <v>12340</v>
      </c>
      <c r="J10986" t="str">
        <f>VLOOKUP(E10986,DSSpieler!A:B,2,FALSE)</f>
        <v>Brettvormkopp</v>
      </c>
    </row>
    <row r="10987" spans="1:10" x14ac:dyDescent="0.25">
      <c r="A10987">
        <v>12342</v>
      </c>
      <c r="B10987" t="s">
        <v>34388</v>
      </c>
      <c r="C10987">
        <v>605</v>
      </c>
      <c r="D10987">
        <v>500</v>
      </c>
      <c r="E10987">
        <v>1576984501</v>
      </c>
      <c r="F10987">
        <v>1982</v>
      </c>
      <c r="G10987">
        <v>0</v>
      </c>
      <c r="H10987" t="s">
        <v>15897</v>
      </c>
      <c r="I10987">
        <v>12342</v>
      </c>
      <c r="J10987" t="str">
        <f>VLOOKUP(E10987,DSSpieler!A:B,2,FALSE)</f>
        <v>henben</v>
      </c>
    </row>
    <row r="10988" spans="1:10" x14ac:dyDescent="0.25">
      <c r="A10988">
        <v>12343</v>
      </c>
      <c r="B10988" t="s">
        <v>531</v>
      </c>
      <c r="C10988">
        <v>402</v>
      </c>
      <c r="D10988">
        <v>541</v>
      </c>
      <c r="E10988">
        <v>0</v>
      </c>
      <c r="F10988">
        <v>250</v>
      </c>
      <c r="G10988">
        <v>0</v>
      </c>
      <c r="H10988" t="s">
        <v>15898</v>
      </c>
      <c r="I10988">
        <v>12343</v>
      </c>
      <c r="J10988" t="e">
        <f>VLOOKUP(E10988,DSSpieler!A:B,2,FALSE)</f>
        <v>#N/A</v>
      </c>
    </row>
    <row r="10989" spans="1:10" x14ac:dyDescent="0.25">
      <c r="A10989">
        <v>12344</v>
      </c>
      <c r="B10989" t="s">
        <v>34389</v>
      </c>
      <c r="C10989">
        <v>521</v>
      </c>
      <c r="D10989">
        <v>501</v>
      </c>
      <c r="E10989">
        <v>1577171254</v>
      </c>
      <c r="F10989">
        <v>7139</v>
      </c>
      <c r="G10989">
        <v>0</v>
      </c>
      <c r="H10989" t="s">
        <v>15899</v>
      </c>
      <c r="I10989">
        <v>12344</v>
      </c>
      <c r="J10989" t="str">
        <f>VLOOKUP(E10989,DSSpieler!A:B,2,FALSE)</f>
        <v>Lord LittleGummi</v>
      </c>
    </row>
    <row r="10990" spans="1:10" x14ac:dyDescent="0.25">
      <c r="A10990">
        <v>12345</v>
      </c>
      <c r="B10990" t="s">
        <v>34390</v>
      </c>
      <c r="C10990">
        <v>392</v>
      </c>
      <c r="D10990">
        <v>480</v>
      </c>
      <c r="E10990">
        <v>1577069086</v>
      </c>
      <c r="F10990">
        <v>4419</v>
      </c>
      <c r="G10990">
        <v>0</v>
      </c>
      <c r="H10990" t="s">
        <v>430</v>
      </c>
      <c r="I10990">
        <v>12345</v>
      </c>
      <c r="J10990" t="str">
        <f>VLOOKUP(E10990,DSSpieler!A:B,2,FALSE)</f>
        <v>RpY93</v>
      </c>
    </row>
    <row r="10991" spans="1:10" x14ac:dyDescent="0.25">
      <c r="A10991">
        <v>12346</v>
      </c>
      <c r="B10991" t="s">
        <v>34391</v>
      </c>
      <c r="C10991">
        <v>423</v>
      </c>
      <c r="D10991">
        <v>458</v>
      </c>
      <c r="E10991">
        <v>1577197745</v>
      </c>
      <c r="F10991">
        <v>1374</v>
      </c>
      <c r="G10991">
        <v>0</v>
      </c>
      <c r="H10991" t="s">
        <v>15900</v>
      </c>
      <c r="I10991">
        <v>12346</v>
      </c>
      <c r="J10991" t="str">
        <f>VLOOKUP(E10991,DSSpieler!A:B,2,FALSE)</f>
        <v>KingCurrywurst</v>
      </c>
    </row>
    <row r="10992" spans="1:10" x14ac:dyDescent="0.25">
      <c r="A10992">
        <v>12347</v>
      </c>
      <c r="B10992" t="s">
        <v>531</v>
      </c>
      <c r="C10992">
        <v>408</v>
      </c>
      <c r="D10992">
        <v>440</v>
      </c>
      <c r="E10992">
        <v>0</v>
      </c>
      <c r="F10992">
        <v>162</v>
      </c>
      <c r="G10992">
        <v>0</v>
      </c>
      <c r="H10992" t="s">
        <v>15901</v>
      </c>
      <c r="I10992">
        <v>12347</v>
      </c>
      <c r="J10992" t="e">
        <f>VLOOKUP(E10992,DSSpieler!A:B,2,FALSE)</f>
        <v>#N/A</v>
      </c>
    </row>
    <row r="10993" spans="1:10" x14ac:dyDescent="0.25">
      <c r="A10993">
        <v>12348</v>
      </c>
      <c r="B10993" t="s">
        <v>531</v>
      </c>
      <c r="C10993">
        <v>420</v>
      </c>
      <c r="D10993">
        <v>427</v>
      </c>
      <c r="E10993">
        <v>0</v>
      </c>
      <c r="F10993">
        <v>409</v>
      </c>
      <c r="G10993">
        <v>0</v>
      </c>
      <c r="H10993" t="s">
        <v>15902</v>
      </c>
      <c r="I10993">
        <v>12348</v>
      </c>
      <c r="J10993" t="e">
        <f>VLOOKUP(E10993,DSSpieler!A:B,2,FALSE)</f>
        <v>#N/A</v>
      </c>
    </row>
    <row r="10994" spans="1:10" x14ac:dyDescent="0.25">
      <c r="A10994">
        <v>12349</v>
      </c>
      <c r="B10994" t="s">
        <v>2122</v>
      </c>
      <c r="C10994">
        <v>543</v>
      </c>
      <c r="D10994">
        <v>395</v>
      </c>
      <c r="E10994">
        <v>1577197899</v>
      </c>
      <c r="F10994">
        <v>4806</v>
      </c>
      <c r="G10994">
        <v>0</v>
      </c>
      <c r="H10994" t="s">
        <v>15903</v>
      </c>
      <c r="I10994">
        <v>12349</v>
      </c>
      <c r="J10994" t="str">
        <f>VLOOKUP(E10994,DSSpieler!A:B,2,FALSE)</f>
        <v>HjalmarT</v>
      </c>
    </row>
    <row r="10995" spans="1:10" x14ac:dyDescent="0.25">
      <c r="A10995">
        <v>12350</v>
      </c>
      <c r="B10995" t="s">
        <v>531</v>
      </c>
      <c r="C10995">
        <v>604</v>
      </c>
      <c r="D10995">
        <v>522</v>
      </c>
      <c r="E10995">
        <v>0</v>
      </c>
      <c r="F10995">
        <v>209</v>
      </c>
      <c r="G10995">
        <v>0</v>
      </c>
      <c r="H10995" t="s">
        <v>15904</v>
      </c>
      <c r="I10995">
        <v>12350</v>
      </c>
      <c r="J10995" t="e">
        <f>VLOOKUP(E10995,DSSpieler!A:B,2,FALSE)</f>
        <v>#N/A</v>
      </c>
    </row>
    <row r="10996" spans="1:10" x14ac:dyDescent="0.25">
      <c r="A10996">
        <v>12351</v>
      </c>
      <c r="B10996" t="s">
        <v>2123</v>
      </c>
      <c r="C10996">
        <v>607</v>
      </c>
      <c r="D10996">
        <v>482</v>
      </c>
      <c r="E10996">
        <v>1577192186</v>
      </c>
      <c r="F10996">
        <v>1189</v>
      </c>
      <c r="G10996">
        <v>0</v>
      </c>
      <c r="H10996" t="s">
        <v>15905</v>
      </c>
      <c r="I10996">
        <v>12351</v>
      </c>
      <c r="J10996" t="str">
        <f>VLOOKUP(E10996,DSSpieler!A:B,2,FALSE)</f>
        <v>Marcel der Kühne</v>
      </c>
    </row>
    <row r="10997" spans="1:10" x14ac:dyDescent="0.25">
      <c r="A10997">
        <v>12352</v>
      </c>
      <c r="B10997" t="s">
        <v>531</v>
      </c>
      <c r="C10997">
        <v>394</v>
      </c>
      <c r="D10997">
        <v>518</v>
      </c>
      <c r="E10997">
        <v>0</v>
      </c>
      <c r="F10997">
        <v>310</v>
      </c>
      <c r="G10997">
        <v>0</v>
      </c>
      <c r="H10997" t="s">
        <v>15906</v>
      </c>
      <c r="I10997">
        <v>12352</v>
      </c>
      <c r="J10997" t="e">
        <f>VLOOKUP(E10997,DSSpieler!A:B,2,FALSE)</f>
        <v>#N/A</v>
      </c>
    </row>
    <row r="10998" spans="1:10" x14ac:dyDescent="0.25">
      <c r="A10998">
        <v>12353</v>
      </c>
      <c r="B10998" t="s">
        <v>31322</v>
      </c>
      <c r="C10998">
        <v>397</v>
      </c>
      <c r="D10998">
        <v>463</v>
      </c>
      <c r="E10998">
        <v>1577199227</v>
      </c>
      <c r="F10998">
        <v>5349</v>
      </c>
      <c r="G10998">
        <v>0</v>
      </c>
      <c r="H10998" t="s">
        <v>15907</v>
      </c>
      <c r="I10998">
        <v>12353</v>
      </c>
      <c r="J10998" t="str">
        <f>VLOOKUP(E10998,DSSpieler!A:B,2,FALSE)</f>
        <v>Kapitän Glühbirne</v>
      </c>
    </row>
    <row r="10999" spans="1:10" x14ac:dyDescent="0.25">
      <c r="A10999">
        <v>12354</v>
      </c>
      <c r="B10999" t="s">
        <v>673</v>
      </c>
      <c r="C10999">
        <v>499</v>
      </c>
      <c r="D10999">
        <v>386</v>
      </c>
      <c r="E10999">
        <v>1577168330</v>
      </c>
      <c r="F10999">
        <v>5730</v>
      </c>
      <c r="G10999">
        <v>0</v>
      </c>
      <c r="H10999" t="s">
        <v>15908</v>
      </c>
      <c r="I10999">
        <v>12354</v>
      </c>
      <c r="J10999" t="str">
        <f>VLOOKUP(E10999,DSSpieler!A:B,2,FALSE)</f>
        <v>Reborning</v>
      </c>
    </row>
    <row r="11000" spans="1:10" x14ac:dyDescent="0.25">
      <c r="A11000">
        <v>12355</v>
      </c>
      <c r="B11000" t="s">
        <v>531</v>
      </c>
      <c r="C11000">
        <v>412</v>
      </c>
      <c r="D11000">
        <v>435</v>
      </c>
      <c r="E11000">
        <v>0</v>
      </c>
      <c r="F11000">
        <v>338</v>
      </c>
      <c r="G11000">
        <v>0</v>
      </c>
      <c r="H11000" t="s">
        <v>15909</v>
      </c>
      <c r="I11000">
        <v>12355</v>
      </c>
      <c r="J11000" t="e">
        <f>VLOOKUP(E11000,DSSpieler!A:B,2,FALSE)</f>
        <v>#N/A</v>
      </c>
    </row>
    <row r="11001" spans="1:10" x14ac:dyDescent="0.25">
      <c r="A11001">
        <v>12357</v>
      </c>
      <c r="B11001" t="s">
        <v>531</v>
      </c>
      <c r="C11001">
        <v>428</v>
      </c>
      <c r="D11001">
        <v>415</v>
      </c>
      <c r="E11001">
        <v>0</v>
      </c>
      <c r="F11001">
        <v>719</v>
      </c>
      <c r="G11001">
        <v>0</v>
      </c>
      <c r="H11001" t="s">
        <v>15910</v>
      </c>
      <c r="I11001">
        <v>12357</v>
      </c>
      <c r="J11001" t="e">
        <f>VLOOKUP(E11001,DSSpieler!A:B,2,FALSE)</f>
        <v>#N/A</v>
      </c>
    </row>
    <row r="11002" spans="1:10" x14ac:dyDescent="0.25">
      <c r="A11002">
        <v>12358</v>
      </c>
      <c r="B11002" t="s">
        <v>2124</v>
      </c>
      <c r="C11002">
        <v>451</v>
      </c>
      <c r="D11002">
        <v>593</v>
      </c>
      <c r="E11002">
        <v>1576572176</v>
      </c>
      <c r="F11002">
        <v>3695</v>
      </c>
      <c r="G11002">
        <v>0</v>
      </c>
      <c r="H11002" t="s">
        <v>15911</v>
      </c>
      <c r="I11002">
        <v>12358</v>
      </c>
      <c r="J11002" t="str">
        <f>VLOOKUP(E11002,DSSpieler!A:B,2,FALSE)</f>
        <v>Skellini</v>
      </c>
    </row>
    <row r="11003" spans="1:10" x14ac:dyDescent="0.25">
      <c r="A11003">
        <v>12359</v>
      </c>
      <c r="B11003" t="s">
        <v>33515</v>
      </c>
      <c r="C11003">
        <v>472</v>
      </c>
      <c r="D11003">
        <v>605</v>
      </c>
      <c r="E11003">
        <v>1577199002</v>
      </c>
      <c r="F11003">
        <v>5483</v>
      </c>
      <c r="G11003">
        <v>0</v>
      </c>
      <c r="H11003" t="s">
        <v>15912</v>
      </c>
      <c r="I11003">
        <v>12359</v>
      </c>
      <c r="J11003" t="str">
        <f>VLOOKUP(E11003,DSSpieler!A:B,2,FALSE)</f>
        <v>Memento mori</v>
      </c>
    </row>
    <row r="11004" spans="1:10" x14ac:dyDescent="0.25">
      <c r="A11004">
        <v>12361</v>
      </c>
      <c r="B11004" t="s">
        <v>2125</v>
      </c>
      <c r="C11004">
        <v>532</v>
      </c>
      <c r="D11004">
        <v>395</v>
      </c>
      <c r="E11004">
        <v>1576713156</v>
      </c>
      <c r="F11004">
        <v>5206</v>
      </c>
      <c r="G11004">
        <v>0</v>
      </c>
      <c r="H11004" t="s">
        <v>15913</v>
      </c>
      <c r="I11004">
        <v>12361</v>
      </c>
      <c r="J11004" t="str">
        <f>VLOOKUP(E11004,DSSpieler!A:B,2,FALSE)</f>
        <v>sumole</v>
      </c>
    </row>
    <row r="11005" spans="1:10" x14ac:dyDescent="0.25">
      <c r="A11005">
        <v>12362</v>
      </c>
      <c r="B11005" t="s">
        <v>531</v>
      </c>
      <c r="C11005">
        <v>407</v>
      </c>
      <c r="D11005">
        <v>442</v>
      </c>
      <c r="E11005">
        <v>0</v>
      </c>
      <c r="F11005">
        <v>343</v>
      </c>
      <c r="G11005">
        <v>0</v>
      </c>
      <c r="H11005" t="s">
        <v>15914</v>
      </c>
      <c r="I11005">
        <v>12362</v>
      </c>
      <c r="J11005" t="e">
        <f>VLOOKUP(E11005,DSSpieler!A:B,2,FALSE)</f>
        <v>#N/A</v>
      </c>
    </row>
    <row r="11006" spans="1:10" x14ac:dyDescent="0.25">
      <c r="A11006">
        <v>12363</v>
      </c>
      <c r="B11006" t="s">
        <v>34392</v>
      </c>
      <c r="C11006">
        <v>570</v>
      </c>
      <c r="D11006">
        <v>585</v>
      </c>
      <c r="E11006">
        <v>1577007288</v>
      </c>
      <c r="F11006">
        <v>4869</v>
      </c>
      <c r="G11006">
        <v>0</v>
      </c>
      <c r="H11006" t="s">
        <v>15915</v>
      </c>
      <c r="I11006">
        <v>12363</v>
      </c>
      <c r="J11006" t="str">
        <f>VLOOKUP(E11006,DSSpieler!A:B,2,FALSE)</f>
        <v>xxx90-60-90xxx</v>
      </c>
    </row>
    <row r="11007" spans="1:10" x14ac:dyDescent="0.25">
      <c r="A11007">
        <v>12364</v>
      </c>
      <c r="B11007" t="s">
        <v>531</v>
      </c>
      <c r="C11007">
        <v>523</v>
      </c>
      <c r="D11007">
        <v>604</v>
      </c>
      <c r="E11007">
        <v>0</v>
      </c>
      <c r="F11007">
        <v>561</v>
      </c>
      <c r="G11007">
        <v>0</v>
      </c>
      <c r="H11007" t="s">
        <v>15916</v>
      </c>
      <c r="I11007">
        <v>12364</v>
      </c>
      <c r="J11007" t="e">
        <f>VLOOKUP(E11007,DSSpieler!A:B,2,FALSE)</f>
        <v>#N/A</v>
      </c>
    </row>
    <row r="11008" spans="1:10" x14ac:dyDescent="0.25">
      <c r="A11008">
        <v>12365</v>
      </c>
      <c r="B11008" t="s">
        <v>34393</v>
      </c>
      <c r="C11008">
        <v>523</v>
      </c>
      <c r="D11008">
        <v>403</v>
      </c>
      <c r="E11008">
        <v>1577199095</v>
      </c>
      <c r="F11008">
        <v>4866</v>
      </c>
      <c r="G11008">
        <v>0</v>
      </c>
      <c r="H11008" t="s">
        <v>15917</v>
      </c>
      <c r="I11008">
        <v>12365</v>
      </c>
      <c r="J11008" t="str">
        <f>VLOOKUP(E11008,DSSpieler!A:B,2,FALSE)</f>
        <v>KleinerRacker</v>
      </c>
    </row>
    <row r="11009" spans="1:10" x14ac:dyDescent="0.25">
      <c r="A11009">
        <v>12366</v>
      </c>
      <c r="B11009" t="s">
        <v>34394</v>
      </c>
      <c r="C11009">
        <v>472</v>
      </c>
      <c r="D11009">
        <v>425</v>
      </c>
      <c r="E11009">
        <v>1577176338</v>
      </c>
      <c r="F11009">
        <v>2237</v>
      </c>
      <c r="G11009">
        <v>0</v>
      </c>
      <c r="H11009" t="s">
        <v>15918</v>
      </c>
      <c r="I11009">
        <v>12366</v>
      </c>
      <c r="J11009" t="str">
        <f>VLOOKUP(E11009,DSSpieler!A:B,2,FALSE)</f>
        <v>ausska</v>
      </c>
    </row>
    <row r="11010" spans="1:10" x14ac:dyDescent="0.25">
      <c r="A11010">
        <v>12367</v>
      </c>
      <c r="B11010" t="s">
        <v>531</v>
      </c>
      <c r="C11010">
        <v>430</v>
      </c>
      <c r="D11010">
        <v>426</v>
      </c>
      <c r="E11010">
        <v>0</v>
      </c>
      <c r="F11010">
        <v>387</v>
      </c>
      <c r="G11010">
        <v>0</v>
      </c>
      <c r="H11010" t="s">
        <v>15919</v>
      </c>
      <c r="I11010">
        <v>12367</v>
      </c>
      <c r="J11010" t="e">
        <f>VLOOKUP(E11010,DSSpieler!A:B,2,FALSE)</f>
        <v>#N/A</v>
      </c>
    </row>
    <row r="11011" spans="1:10" x14ac:dyDescent="0.25">
      <c r="A11011">
        <v>12368</v>
      </c>
      <c r="B11011" t="s">
        <v>531</v>
      </c>
      <c r="C11011">
        <v>392</v>
      </c>
      <c r="D11011">
        <v>513</v>
      </c>
      <c r="E11011">
        <v>0</v>
      </c>
      <c r="F11011">
        <v>207</v>
      </c>
      <c r="G11011">
        <v>0</v>
      </c>
      <c r="H11011" t="s">
        <v>15920</v>
      </c>
      <c r="I11011">
        <v>12368</v>
      </c>
      <c r="J11011" t="e">
        <f>VLOOKUP(E11011,DSSpieler!A:B,2,FALSE)</f>
        <v>#N/A</v>
      </c>
    </row>
    <row r="11012" spans="1:10" x14ac:dyDescent="0.25">
      <c r="A11012">
        <v>12369</v>
      </c>
      <c r="B11012" t="s">
        <v>531</v>
      </c>
      <c r="C11012">
        <v>521</v>
      </c>
      <c r="D11012">
        <v>393</v>
      </c>
      <c r="E11012">
        <v>0</v>
      </c>
      <c r="F11012">
        <v>335</v>
      </c>
      <c r="G11012">
        <v>0</v>
      </c>
      <c r="H11012" t="s">
        <v>15921</v>
      </c>
      <c r="I11012">
        <v>12369</v>
      </c>
      <c r="J11012" t="e">
        <f>VLOOKUP(E11012,DSSpieler!A:B,2,FALSE)</f>
        <v>#N/A</v>
      </c>
    </row>
    <row r="11013" spans="1:10" x14ac:dyDescent="0.25">
      <c r="A11013">
        <v>12371</v>
      </c>
      <c r="B11013" t="s">
        <v>531</v>
      </c>
      <c r="C11013">
        <v>403</v>
      </c>
      <c r="D11013">
        <v>539</v>
      </c>
      <c r="E11013">
        <v>0</v>
      </c>
      <c r="F11013">
        <v>338</v>
      </c>
      <c r="G11013">
        <v>0</v>
      </c>
      <c r="H11013" t="s">
        <v>15922</v>
      </c>
      <c r="I11013">
        <v>12371</v>
      </c>
      <c r="J11013" t="e">
        <f>VLOOKUP(E11013,DSSpieler!A:B,2,FALSE)</f>
        <v>#N/A</v>
      </c>
    </row>
    <row r="11014" spans="1:10" x14ac:dyDescent="0.25">
      <c r="A11014">
        <v>12372</v>
      </c>
      <c r="B11014" t="s">
        <v>531</v>
      </c>
      <c r="C11014">
        <v>606</v>
      </c>
      <c r="D11014">
        <v>475</v>
      </c>
      <c r="E11014">
        <v>0</v>
      </c>
      <c r="F11014">
        <v>324</v>
      </c>
      <c r="G11014">
        <v>0</v>
      </c>
      <c r="H11014" t="s">
        <v>15923</v>
      </c>
      <c r="I11014">
        <v>12372</v>
      </c>
      <c r="J11014" t="e">
        <f>VLOOKUP(E11014,DSSpieler!A:B,2,FALSE)</f>
        <v>#N/A</v>
      </c>
    </row>
    <row r="11015" spans="1:10" x14ac:dyDescent="0.25">
      <c r="A11015">
        <v>12373</v>
      </c>
      <c r="B11015" t="s">
        <v>531</v>
      </c>
      <c r="C11015">
        <v>393</v>
      </c>
      <c r="D11015">
        <v>479</v>
      </c>
      <c r="E11015">
        <v>0</v>
      </c>
      <c r="F11015">
        <v>469</v>
      </c>
      <c r="G11015">
        <v>0</v>
      </c>
      <c r="H11015" t="s">
        <v>15924</v>
      </c>
      <c r="I11015">
        <v>12373</v>
      </c>
      <c r="J11015" t="e">
        <f>VLOOKUP(E11015,DSSpieler!A:B,2,FALSE)</f>
        <v>#N/A</v>
      </c>
    </row>
    <row r="11016" spans="1:10" x14ac:dyDescent="0.25">
      <c r="A11016">
        <v>12375</v>
      </c>
      <c r="B11016" t="s">
        <v>531</v>
      </c>
      <c r="C11016">
        <v>559</v>
      </c>
      <c r="D11016">
        <v>408</v>
      </c>
      <c r="E11016">
        <v>0</v>
      </c>
      <c r="F11016">
        <v>248</v>
      </c>
      <c r="G11016">
        <v>0</v>
      </c>
      <c r="H11016" t="s">
        <v>15925</v>
      </c>
      <c r="I11016">
        <v>12375</v>
      </c>
      <c r="J11016" t="e">
        <f>VLOOKUP(E11016,DSSpieler!A:B,2,FALSE)</f>
        <v>#N/A</v>
      </c>
    </row>
    <row r="11017" spans="1:10" x14ac:dyDescent="0.25">
      <c r="A11017">
        <v>12376</v>
      </c>
      <c r="B11017" t="s">
        <v>531</v>
      </c>
      <c r="C11017">
        <v>400</v>
      </c>
      <c r="D11017">
        <v>455</v>
      </c>
      <c r="E11017">
        <v>0</v>
      </c>
      <c r="F11017">
        <v>41</v>
      </c>
      <c r="G11017">
        <v>0</v>
      </c>
      <c r="H11017" t="s">
        <v>15926</v>
      </c>
      <c r="I11017">
        <v>12376</v>
      </c>
      <c r="J11017" t="e">
        <f>VLOOKUP(E11017,DSSpieler!A:B,2,FALSE)</f>
        <v>#N/A</v>
      </c>
    </row>
    <row r="11018" spans="1:10" x14ac:dyDescent="0.25">
      <c r="A11018">
        <v>12377</v>
      </c>
      <c r="B11018" t="s">
        <v>34395</v>
      </c>
      <c r="C11018">
        <v>497</v>
      </c>
      <c r="D11018">
        <v>388</v>
      </c>
      <c r="E11018">
        <v>1577190752</v>
      </c>
      <c r="F11018">
        <v>5552</v>
      </c>
      <c r="G11018">
        <v>0</v>
      </c>
      <c r="H11018" t="s">
        <v>15927</v>
      </c>
      <c r="I11018">
        <v>12377</v>
      </c>
      <c r="J11018" t="str">
        <f>VLOOKUP(E11018,DSSpieler!A:B,2,FALSE)</f>
        <v>Knoedler99</v>
      </c>
    </row>
    <row r="11019" spans="1:10" x14ac:dyDescent="0.25">
      <c r="A11019">
        <v>12378</v>
      </c>
      <c r="B11019" s="111">
        <v>23.02</v>
      </c>
      <c r="C11019">
        <v>604</v>
      </c>
      <c r="D11019">
        <v>465</v>
      </c>
      <c r="E11019">
        <v>1577190470</v>
      </c>
      <c r="F11019">
        <v>729</v>
      </c>
      <c r="G11019">
        <v>0</v>
      </c>
      <c r="H11019" t="s">
        <v>15928</v>
      </c>
      <c r="I11019">
        <v>12378</v>
      </c>
      <c r="J11019" t="str">
        <f>VLOOKUP(E11019,DSSpieler!A:B,2,FALSE)</f>
        <v>Himbeermarmelade88</v>
      </c>
    </row>
    <row r="11020" spans="1:10" x14ac:dyDescent="0.25">
      <c r="A11020">
        <v>12379</v>
      </c>
      <c r="B11020" t="s">
        <v>2126</v>
      </c>
      <c r="C11020">
        <v>438</v>
      </c>
      <c r="D11020">
        <v>592</v>
      </c>
      <c r="E11020">
        <v>1576610239</v>
      </c>
      <c r="F11020">
        <v>6136</v>
      </c>
      <c r="G11020">
        <v>0</v>
      </c>
      <c r="H11020" t="s">
        <v>15929</v>
      </c>
      <c r="I11020">
        <v>12379</v>
      </c>
      <c r="J11020" t="str">
        <f>VLOOKUP(E11020,DSSpieler!A:B,2,FALSE)</f>
        <v>IMatzeI</v>
      </c>
    </row>
    <row r="11021" spans="1:10" x14ac:dyDescent="0.25">
      <c r="A11021">
        <v>12381</v>
      </c>
      <c r="B11021" t="s">
        <v>531</v>
      </c>
      <c r="C11021">
        <v>436</v>
      </c>
      <c r="D11021">
        <v>414</v>
      </c>
      <c r="E11021">
        <v>0</v>
      </c>
      <c r="F11021">
        <v>357</v>
      </c>
      <c r="G11021">
        <v>0</v>
      </c>
      <c r="H11021" t="s">
        <v>15930</v>
      </c>
      <c r="I11021">
        <v>12381</v>
      </c>
      <c r="J11021" t="e">
        <f>VLOOKUP(E11021,DSSpieler!A:B,2,FALSE)</f>
        <v>#N/A</v>
      </c>
    </row>
    <row r="11022" spans="1:10" x14ac:dyDescent="0.25">
      <c r="A11022">
        <v>12382</v>
      </c>
      <c r="B11022" t="s">
        <v>531</v>
      </c>
      <c r="C11022">
        <v>410</v>
      </c>
      <c r="D11022">
        <v>440</v>
      </c>
      <c r="E11022">
        <v>0</v>
      </c>
      <c r="F11022">
        <v>337</v>
      </c>
      <c r="G11022">
        <v>0</v>
      </c>
      <c r="H11022" t="s">
        <v>15931</v>
      </c>
      <c r="I11022">
        <v>12382</v>
      </c>
      <c r="J11022" t="e">
        <f>VLOOKUP(E11022,DSSpieler!A:B,2,FALSE)</f>
        <v>#N/A</v>
      </c>
    </row>
    <row r="11023" spans="1:10" x14ac:dyDescent="0.25">
      <c r="A11023">
        <v>12383</v>
      </c>
      <c r="B11023" t="s">
        <v>531</v>
      </c>
      <c r="C11023">
        <v>398</v>
      </c>
      <c r="D11023">
        <v>542</v>
      </c>
      <c r="E11023">
        <v>0</v>
      </c>
      <c r="F11023">
        <v>372</v>
      </c>
      <c r="G11023">
        <v>0</v>
      </c>
      <c r="H11023" t="s">
        <v>15932</v>
      </c>
      <c r="I11023">
        <v>12383</v>
      </c>
      <c r="J11023" t="e">
        <f>VLOOKUP(E11023,DSSpieler!A:B,2,FALSE)</f>
        <v>#N/A</v>
      </c>
    </row>
    <row r="11024" spans="1:10" x14ac:dyDescent="0.25">
      <c r="A11024">
        <v>12384</v>
      </c>
      <c r="B11024" t="s">
        <v>34396</v>
      </c>
      <c r="C11024">
        <v>480</v>
      </c>
      <c r="D11024">
        <v>559</v>
      </c>
      <c r="E11024">
        <v>9026066</v>
      </c>
      <c r="F11024">
        <v>6915</v>
      </c>
      <c r="G11024">
        <v>0</v>
      </c>
      <c r="H11024" t="s">
        <v>15933</v>
      </c>
      <c r="I11024">
        <v>12384</v>
      </c>
      <c r="J11024" t="str">
        <f>VLOOKUP(E11024,DSSpieler!A:B,2,FALSE)</f>
        <v>thehaaacker</v>
      </c>
    </row>
    <row r="11025" spans="1:10" x14ac:dyDescent="0.25">
      <c r="A11025">
        <v>12385</v>
      </c>
      <c r="B11025" t="s">
        <v>979</v>
      </c>
      <c r="C11025">
        <v>518</v>
      </c>
      <c r="D11025">
        <v>605</v>
      </c>
      <c r="E11025">
        <v>1577197847</v>
      </c>
      <c r="F11025">
        <v>4048</v>
      </c>
      <c r="G11025">
        <v>0</v>
      </c>
      <c r="H11025" t="s">
        <v>15934</v>
      </c>
      <c r="I11025">
        <v>12385</v>
      </c>
      <c r="J11025" t="str">
        <f>VLOOKUP(E11025,DSSpieler!A:B,2,FALSE)</f>
        <v>Dekk</v>
      </c>
    </row>
    <row r="11026" spans="1:10" x14ac:dyDescent="0.25">
      <c r="A11026">
        <v>12386</v>
      </c>
      <c r="B11026" t="s">
        <v>531</v>
      </c>
      <c r="C11026">
        <v>430</v>
      </c>
      <c r="D11026">
        <v>421</v>
      </c>
      <c r="E11026">
        <v>0</v>
      </c>
      <c r="F11026">
        <v>712</v>
      </c>
      <c r="G11026">
        <v>0</v>
      </c>
      <c r="H11026" t="s">
        <v>15935</v>
      </c>
      <c r="I11026">
        <v>12386</v>
      </c>
      <c r="J11026" t="e">
        <f>VLOOKUP(E11026,DSSpieler!A:B,2,FALSE)</f>
        <v>#N/A</v>
      </c>
    </row>
    <row r="11027" spans="1:10" x14ac:dyDescent="0.25">
      <c r="A11027">
        <v>12387</v>
      </c>
      <c r="B11027" t="s">
        <v>531</v>
      </c>
      <c r="C11027">
        <v>406</v>
      </c>
      <c r="D11027">
        <v>449</v>
      </c>
      <c r="E11027">
        <v>0</v>
      </c>
      <c r="F11027">
        <v>229</v>
      </c>
      <c r="G11027">
        <v>0</v>
      </c>
      <c r="H11027" t="s">
        <v>15936</v>
      </c>
      <c r="I11027">
        <v>12387</v>
      </c>
      <c r="J11027" t="e">
        <f>VLOOKUP(E11027,DSSpieler!A:B,2,FALSE)</f>
        <v>#N/A</v>
      </c>
    </row>
    <row r="11028" spans="1:10" x14ac:dyDescent="0.25">
      <c r="A11028">
        <v>12388</v>
      </c>
      <c r="B11028" t="s">
        <v>531</v>
      </c>
      <c r="C11028">
        <v>426</v>
      </c>
      <c r="D11028">
        <v>423</v>
      </c>
      <c r="E11028">
        <v>0</v>
      </c>
      <c r="F11028">
        <v>242</v>
      </c>
      <c r="G11028">
        <v>0</v>
      </c>
      <c r="H11028" t="s">
        <v>15937</v>
      </c>
      <c r="I11028">
        <v>12388</v>
      </c>
      <c r="J11028" t="e">
        <f>VLOOKUP(E11028,DSSpieler!A:B,2,FALSE)</f>
        <v>#N/A</v>
      </c>
    </row>
    <row r="11029" spans="1:10" x14ac:dyDescent="0.25">
      <c r="A11029">
        <v>12389</v>
      </c>
      <c r="B11029" t="s">
        <v>34397</v>
      </c>
      <c r="C11029">
        <v>466</v>
      </c>
      <c r="D11029">
        <v>422</v>
      </c>
      <c r="E11029">
        <v>1577190694</v>
      </c>
      <c r="F11029">
        <v>5583</v>
      </c>
      <c r="G11029">
        <v>0</v>
      </c>
      <c r="H11029" t="s">
        <v>15938</v>
      </c>
      <c r="I11029">
        <v>12389</v>
      </c>
      <c r="J11029" t="str">
        <f>VLOOKUP(E11029,DSSpieler!A:B,2,FALSE)</f>
        <v>Lord 3raZor</v>
      </c>
    </row>
    <row r="11030" spans="1:10" x14ac:dyDescent="0.25">
      <c r="A11030">
        <v>12390</v>
      </c>
      <c r="B11030" t="s">
        <v>531</v>
      </c>
      <c r="C11030">
        <v>523</v>
      </c>
      <c r="D11030">
        <v>608</v>
      </c>
      <c r="E11030">
        <v>0</v>
      </c>
      <c r="F11030">
        <v>358</v>
      </c>
      <c r="G11030">
        <v>0</v>
      </c>
      <c r="H11030" t="s">
        <v>15939</v>
      </c>
      <c r="I11030">
        <v>12390</v>
      </c>
      <c r="J11030" t="e">
        <f>VLOOKUP(E11030,DSSpieler!A:B,2,FALSE)</f>
        <v>#N/A</v>
      </c>
    </row>
    <row r="11031" spans="1:10" x14ac:dyDescent="0.25">
      <c r="A11031">
        <v>12392</v>
      </c>
      <c r="B11031" t="s">
        <v>531</v>
      </c>
      <c r="C11031">
        <v>553</v>
      </c>
      <c r="D11031">
        <v>406</v>
      </c>
      <c r="E11031">
        <v>0</v>
      </c>
      <c r="F11031">
        <v>156</v>
      </c>
      <c r="G11031">
        <v>0</v>
      </c>
      <c r="H11031" t="s">
        <v>15940</v>
      </c>
      <c r="I11031">
        <v>12392</v>
      </c>
      <c r="J11031" t="e">
        <f>VLOOKUP(E11031,DSSpieler!A:B,2,FALSE)</f>
        <v>#N/A</v>
      </c>
    </row>
    <row r="11032" spans="1:10" x14ac:dyDescent="0.25">
      <c r="A11032">
        <v>12393</v>
      </c>
      <c r="B11032" t="s">
        <v>34398</v>
      </c>
      <c r="C11032">
        <v>405</v>
      </c>
      <c r="D11032">
        <v>560</v>
      </c>
      <c r="E11032">
        <v>1577190635</v>
      </c>
      <c r="F11032">
        <v>4045</v>
      </c>
      <c r="G11032">
        <v>0</v>
      </c>
      <c r="H11032" t="s">
        <v>15941</v>
      </c>
      <c r="I11032">
        <v>12393</v>
      </c>
      <c r="J11032" t="str">
        <f>VLOOKUP(E11032,DSSpieler!A:B,2,FALSE)</f>
        <v>Launga</v>
      </c>
    </row>
    <row r="11033" spans="1:10" x14ac:dyDescent="0.25">
      <c r="A11033">
        <v>12394</v>
      </c>
      <c r="B11033" t="s">
        <v>531</v>
      </c>
      <c r="C11033">
        <v>582</v>
      </c>
      <c r="D11033">
        <v>566</v>
      </c>
      <c r="E11033">
        <v>0</v>
      </c>
      <c r="F11033">
        <v>237</v>
      </c>
      <c r="G11033">
        <v>0</v>
      </c>
      <c r="H11033" t="s">
        <v>15942</v>
      </c>
      <c r="I11033">
        <v>12394</v>
      </c>
      <c r="J11033" t="e">
        <f>VLOOKUP(E11033,DSSpieler!A:B,2,FALSE)</f>
        <v>#N/A</v>
      </c>
    </row>
    <row r="11034" spans="1:10" x14ac:dyDescent="0.25">
      <c r="A11034">
        <v>12395</v>
      </c>
      <c r="B11034" t="s">
        <v>34399</v>
      </c>
      <c r="C11034">
        <v>553</v>
      </c>
      <c r="D11034">
        <v>408</v>
      </c>
      <c r="E11034">
        <v>9495397</v>
      </c>
      <c r="F11034">
        <v>639</v>
      </c>
      <c r="G11034">
        <v>0</v>
      </c>
      <c r="H11034" t="s">
        <v>15943</v>
      </c>
      <c r="I11034">
        <v>12395</v>
      </c>
      <c r="J11034" t="str">
        <f>VLOOKUP(E11034,DSSpieler!A:B,2,FALSE)</f>
        <v>SsGT-FraGGy</v>
      </c>
    </row>
    <row r="11035" spans="1:10" x14ac:dyDescent="0.25">
      <c r="A11035">
        <v>12396</v>
      </c>
      <c r="B11035" t="s">
        <v>531</v>
      </c>
      <c r="C11035">
        <v>594</v>
      </c>
      <c r="D11035">
        <v>443</v>
      </c>
      <c r="E11035">
        <v>0</v>
      </c>
      <c r="F11035">
        <v>546</v>
      </c>
      <c r="G11035">
        <v>0</v>
      </c>
      <c r="H11035" t="s">
        <v>15944</v>
      </c>
      <c r="I11035">
        <v>12396</v>
      </c>
      <c r="J11035" t="e">
        <f>VLOOKUP(E11035,DSSpieler!A:B,2,FALSE)</f>
        <v>#N/A</v>
      </c>
    </row>
    <row r="11036" spans="1:10" x14ac:dyDescent="0.25">
      <c r="A11036">
        <v>12397</v>
      </c>
      <c r="B11036" t="s">
        <v>531</v>
      </c>
      <c r="C11036">
        <v>406</v>
      </c>
      <c r="D11036">
        <v>548</v>
      </c>
      <c r="E11036">
        <v>0</v>
      </c>
      <c r="F11036">
        <v>261</v>
      </c>
      <c r="G11036">
        <v>0</v>
      </c>
      <c r="H11036" t="s">
        <v>15945</v>
      </c>
      <c r="I11036">
        <v>12397</v>
      </c>
      <c r="J11036" t="e">
        <f>VLOOKUP(E11036,DSSpieler!A:B,2,FALSE)</f>
        <v>#N/A</v>
      </c>
    </row>
    <row r="11037" spans="1:10" x14ac:dyDescent="0.25">
      <c r="A11037">
        <v>12398</v>
      </c>
      <c r="B11037" t="s">
        <v>34400</v>
      </c>
      <c r="C11037">
        <v>501</v>
      </c>
      <c r="D11037">
        <v>615</v>
      </c>
      <c r="E11037">
        <v>9613683</v>
      </c>
      <c r="F11037">
        <v>5784</v>
      </c>
      <c r="G11037">
        <v>0</v>
      </c>
      <c r="H11037" t="s">
        <v>15946</v>
      </c>
      <c r="I11037">
        <v>12398</v>
      </c>
      <c r="J11037" t="str">
        <f>VLOOKUP(E11037,DSSpieler!A:B,2,FALSE)</f>
        <v>As High As Honor</v>
      </c>
    </row>
    <row r="11038" spans="1:10" x14ac:dyDescent="0.25">
      <c r="A11038">
        <v>12399</v>
      </c>
      <c r="B11038" t="s">
        <v>531</v>
      </c>
      <c r="C11038">
        <v>581</v>
      </c>
      <c r="D11038">
        <v>562</v>
      </c>
      <c r="E11038">
        <v>0</v>
      </c>
      <c r="F11038">
        <v>143</v>
      </c>
      <c r="G11038">
        <v>0</v>
      </c>
      <c r="H11038" t="s">
        <v>15947</v>
      </c>
      <c r="I11038">
        <v>12399</v>
      </c>
      <c r="J11038" t="e">
        <f>VLOOKUP(E11038,DSSpieler!A:B,2,FALSE)</f>
        <v>#N/A</v>
      </c>
    </row>
    <row r="11039" spans="1:10" x14ac:dyDescent="0.25">
      <c r="A11039">
        <v>12400</v>
      </c>
      <c r="B11039" t="s">
        <v>531</v>
      </c>
      <c r="C11039">
        <v>410</v>
      </c>
      <c r="D11039">
        <v>556</v>
      </c>
      <c r="E11039">
        <v>0</v>
      </c>
      <c r="F11039">
        <v>198</v>
      </c>
      <c r="G11039">
        <v>0</v>
      </c>
      <c r="H11039" t="s">
        <v>15948</v>
      </c>
      <c r="I11039">
        <v>12400</v>
      </c>
      <c r="J11039" t="e">
        <f>VLOOKUP(E11039,DSSpieler!A:B,2,FALSE)</f>
        <v>#N/A</v>
      </c>
    </row>
    <row r="11040" spans="1:10" x14ac:dyDescent="0.25">
      <c r="A11040">
        <v>12401</v>
      </c>
      <c r="B11040" t="s">
        <v>531</v>
      </c>
      <c r="C11040">
        <v>482</v>
      </c>
      <c r="D11040">
        <v>394</v>
      </c>
      <c r="E11040">
        <v>0</v>
      </c>
      <c r="F11040">
        <v>435</v>
      </c>
      <c r="G11040">
        <v>0</v>
      </c>
      <c r="H11040" t="s">
        <v>15949</v>
      </c>
      <c r="I11040">
        <v>12401</v>
      </c>
      <c r="J11040" t="e">
        <f>VLOOKUP(E11040,DSSpieler!A:B,2,FALSE)</f>
        <v>#N/A</v>
      </c>
    </row>
    <row r="11041" spans="1:10" x14ac:dyDescent="0.25">
      <c r="A11041">
        <v>12402</v>
      </c>
      <c r="B11041" t="s">
        <v>34401</v>
      </c>
      <c r="C11041">
        <v>417</v>
      </c>
      <c r="D11041">
        <v>570</v>
      </c>
      <c r="E11041">
        <v>1577163311</v>
      </c>
      <c r="F11041">
        <v>2576</v>
      </c>
      <c r="G11041">
        <v>0</v>
      </c>
      <c r="H11041" t="s">
        <v>15950</v>
      </c>
      <c r="I11041">
        <v>12402</v>
      </c>
      <c r="J11041" t="str">
        <f>VLOOKUP(E11041,DSSpieler!A:B,2,FALSE)</f>
        <v>Timo99</v>
      </c>
    </row>
    <row r="11042" spans="1:10" x14ac:dyDescent="0.25">
      <c r="A11042">
        <v>12405</v>
      </c>
      <c r="B11042" t="s">
        <v>780</v>
      </c>
      <c r="C11042">
        <v>610</v>
      </c>
      <c r="D11042">
        <v>507</v>
      </c>
      <c r="E11042">
        <v>1577133527</v>
      </c>
      <c r="F11042">
        <v>3783</v>
      </c>
      <c r="G11042">
        <v>0</v>
      </c>
      <c r="H11042" t="s">
        <v>15951</v>
      </c>
      <c r="I11042">
        <v>12405</v>
      </c>
      <c r="J11042" t="str">
        <f>VLOOKUP(E11042,DSSpieler!A:B,2,FALSE)</f>
        <v>Joah Theron</v>
      </c>
    </row>
    <row r="11043" spans="1:10" x14ac:dyDescent="0.25">
      <c r="A11043">
        <v>12407</v>
      </c>
      <c r="B11043" t="s">
        <v>780</v>
      </c>
      <c r="C11043">
        <v>609</v>
      </c>
      <c r="D11043">
        <v>537</v>
      </c>
      <c r="E11043">
        <v>1576939408</v>
      </c>
      <c r="F11043">
        <v>4456</v>
      </c>
      <c r="G11043">
        <v>0</v>
      </c>
      <c r="H11043" t="s">
        <v>15952</v>
      </c>
      <c r="I11043">
        <v>12407</v>
      </c>
      <c r="J11043" t="str">
        <f>VLOOKUP(E11043,DSSpieler!A:B,2,FALSE)</f>
        <v>Der Blauadler</v>
      </c>
    </row>
    <row r="11044" spans="1:10" x14ac:dyDescent="0.25">
      <c r="A11044">
        <v>12408</v>
      </c>
      <c r="B11044" t="s">
        <v>2127</v>
      </c>
      <c r="C11044">
        <v>436</v>
      </c>
      <c r="D11044">
        <v>411</v>
      </c>
      <c r="E11044">
        <v>1576765182</v>
      </c>
      <c r="F11044">
        <v>1968</v>
      </c>
      <c r="G11044">
        <v>0</v>
      </c>
      <c r="H11044" t="s">
        <v>15953</v>
      </c>
      <c r="I11044">
        <v>12408</v>
      </c>
      <c r="J11044" t="str">
        <f>VLOOKUP(E11044,DSSpieler!A:B,2,FALSE)</f>
        <v>Trassi</v>
      </c>
    </row>
    <row r="11045" spans="1:10" x14ac:dyDescent="0.25">
      <c r="A11045">
        <v>12409</v>
      </c>
      <c r="B11045" t="s">
        <v>34402</v>
      </c>
      <c r="C11045">
        <v>604</v>
      </c>
      <c r="D11045">
        <v>540</v>
      </c>
      <c r="E11045">
        <v>1576443574</v>
      </c>
      <c r="F11045">
        <v>2242</v>
      </c>
      <c r="G11045">
        <v>0</v>
      </c>
      <c r="H11045" t="s">
        <v>15954</v>
      </c>
      <c r="I11045">
        <v>12409</v>
      </c>
      <c r="J11045" t="str">
        <f>VLOOKUP(E11045,DSSpieler!A:B,2,FALSE)</f>
        <v>Kreuzzzfeuer</v>
      </c>
    </row>
    <row r="11046" spans="1:10" x14ac:dyDescent="0.25">
      <c r="A11046">
        <v>12410</v>
      </c>
      <c r="B11046" t="s">
        <v>531</v>
      </c>
      <c r="C11046">
        <v>587</v>
      </c>
      <c r="D11046">
        <v>562</v>
      </c>
      <c r="E11046">
        <v>0</v>
      </c>
      <c r="F11046">
        <v>497</v>
      </c>
      <c r="G11046">
        <v>0</v>
      </c>
      <c r="H11046" t="s">
        <v>15955</v>
      </c>
      <c r="I11046">
        <v>12410</v>
      </c>
      <c r="J11046" t="e">
        <f>VLOOKUP(E11046,DSSpieler!A:B,2,FALSE)</f>
        <v>#N/A</v>
      </c>
    </row>
    <row r="11047" spans="1:10" x14ac:dyDescent="0.25">
      <c r="A11047">
        <v>12411</v>
      </c>
      <c r="B11047" t="s">
        <v>2128</v>
      </c>
      <c r="C11047">
        <v>439</v>
      </c>
      <c r="D11047">
        <v>416</v>
      </c>
      <c r="E11047">
        <v>1577181847</v>
      </c>
      <c r="F11047">
        <v>3391</v>
      </c>
      <c r="G11047">
        <v>0</v>
      </c>
      <c r="H11047" t="s">
        <v>15956</v>
      </c>
      <c r="I11047">
        <v>12411</v>
      </c>
      <c r="J11047" t="str">
        <f>VLOOKUP(E11047,DSSpieler!A:B,2,FALSE)</f>
        <v>Parge Lenis73</v>
      </c>
    </row>
    <row r="11048" spans="1:10" x14ac:dyDescent="0.25">
      <c r="A11048">
        <v>12412</v>
      </c>
      <c r="B11048">
        <v>2</v>
      </c>
      <c r="C11048">
        <v>437</v>
      </c>
      <c r="D11048">
        <v>419</v>
      </c>
      <c r="E11048">
        <v>2723579</v>
      </c>
      <c r="F11048">
        <v>2988</v>
      </c>
      <c r="G11048">
        <v>0</v>
      </c>
      <c r="H11048" t="s">
        <v>15957</v>
      </c>
      <c r="I11048">
        <v>12412</v>
      </c>
      <c r="J11048" t="str">
        <f>VLOOKUP(E11048,DSSpieler!A:B,2,FALSE)</f>
        <v>ilja1000000</v>
      </c>
    </row>
    <row r="11049" spans="1:10" x14ac:dyDescent="0.25">
      <c r="A11049">
        <v>12413</v>
      </c>
      <c r="B11049" t="s">
        <v>531</v>
      </c>
      <c r="C11049">
        <v>477</v>
      </c>
      <c r="D11049">
        <v>463</v>
      </c>
      <c r="E11049">
        <v>0</v>
      </c>
      <c r="F11049">
        <v>400</v>
      </c>
      <c r="G11049">
        <v>0</v>
      </c>
      <c r="H11049" t="s">
        <v>15958</v>
      </c>
      <c r="I11049">
        <v>12413</v>
      </c>
      <c r="J11049" t="e">
        <f>VLOOKUP(E11049,DSSpieler!A:B,2,FALSE)</f>
        <v>#N/A</v>
      </c>
    </row>
    <row r="11050" spans="1:10" x14ac:dyDescent="0.25">
      <c r="A11050">
        <v>12414</v>
      </c>
      <c r="B11050" t="s">
        <v>865</v>
      </c>
      <c r="C11050">
        <v>581</v>
      </c>
      <c r="D11050">
        <v>428</v>
      </c>
      <c r="E11050">
        <v>1576888493</v>
      </c>
      <c r="F11050">
        <v>7375</v>
      </c>
      <c r="G11050">
        <v>0</v>
      </c>
      <c r="H11050" t="s">
        <v>15959</v>
      </c>
      <c r="I11050">
        <v>12414</v>
      </c>
      <c r="J11050" t="str">
        <f>VLOOKUP(E11050,DSSpieler!A:B,2,FALSE)</f>
        <v>Tunichgut</v>
      </c>
    </row>
    <row r="11051" spans="1:10" x14ac:dyDescent="0.25">
      <c r="A11051">
        <v>12415</v>
      </c>
      <c r="B11051" t="s">
        <v>34403</v>
      </c>
      <c r="C11051">
        <v>392</v>
      </c>
      <c r="D11051">
        <v>491</v>
      </c>
      <c r="E11051">
        <v>1576382522</v>
      </c>
      <c r="F11051">
        <v>4415</v>
      </c>
      <c r="G11051">
        <v>0</v>
      </c>
      <c r="H11051" t="s">
        <v>15960</v>
      </c>
      <c r="I11051">
        <v>12415</v>
      </c>
      <c r="J11051" t="str">
        <f>VLOOKUP(E11051,DSSpieler!A:B,2,FALSE)</f>
        <v>90sKid</v>
      </c>
    </row>
    <row r="11052" spans="1:10" x14ac:dyDescent="0.25">
      <c r="A11052">
        <v>12416</v>
      </c>
      <c r="B11052" t="s">
        <v>531</v>
      </c>
      <c r="C11052">
        <v>550</v>
      </c>
      <c r="D11052">
        <v>407</v>
      </c>
      <c r="E11052">
        <v>0</v>
      </c>
      <c r="F11052">
        <v>298</v>
      </c>
      <c r="G11052">
        <v>0</v>
      </c>
      <c r="H11052" t="s">
        <v>15961</v>
      </c>
      <c r="I11052">
        <v>12416</v>
      </c>
      <c r="J11052" t="e">
        <f>VLOOKUP(E11052,DSSpieler!A:B,2,FALSE)</f>
        <v>#N/A</v>
      </c>
    </row>
    <row r="11053" spans="1:10" x14ac:dyDescent="0.25">
      <c r="A11053">
        <v>12417</v>
      </c>
      <c r="B11053" t="s">
        <v>531</v>
      </c>
      <c r="C11053">
        <v>583</v>
      </c>
      <c r="D11053">
        <v>566</v>
      </c>
      <c r="E11053">
        <v>0</v>
      </c>
      <c r="F11053">
        <v>106</v>
      </c>
      <c r="G11053">
        <v>0</v>
      </c>
      <c r="H11053" t="s">
        <v>15962</v>
      </c>
      <c r="I11053">
        <v>12417</v>
      </c>
      <c r="J11053" t="e">
        <f>VLOOKUP(E11053,DSSpieler!A:B,2,FALSE)</f>
        <v>#N/A</v>
      </c>
    </row>
    <row r="11054" spans="1:10" x14ac:dyDescent="0.25">
      <c r="A11054">
        <v>12418</v>
      </c>
      <c r="B11054" t="s">
        <v>531</v>
      </c>
      <c r="C11054">
        <v>437</v>
      </c>
      <c r="D11054">
        <v>588</v>
      </c>
      <c r="E11054">
        <v>0</v>
      </c>
      <c r="F11054">
        <v>317</v>
      </c>
      <c r="G11054">
        <v>0</v>
      </c>
      <c r="H11054" t="s">
        <v>15963</v>
      </c>
      <c r="I11054">
        <v>12418</v>
      </c>
      <c r="J11054" t="e">
        <f>VLOOKUP(E11054,DSSpieler!A:B,2,FALSE)</f>
        <v>#N/A</v>
      </c>
    </row>
    <row r="11055" spans="1:10" x14ac:dyDescent="0.25">
      <c r="A11055">
        <v>12419</v>
      </c>
      <c r="B11055" t="s">
        <v>531</v>
      </c>
      <c r="C11055">
        <v>608</v>
      </c>
      <c r="D11055">
        <v>501</v>
      </c>
      <c r="E11055">
        <v>0</v>
      </c>
      <c r="F11055">
        <v>237</v>
      </c>
      <c r="G11055">
        <v>0</v>
      </c>
      <c r="H11055" t="s">
        <v>15964</v>
      </c>
      <c r="I11055">
        <v>12419</v>
      </c>
      <c r="J11055" t="e">
        <f>VLOOKUP(E11055,DSSpieler!A:B,2,FALSE)</f>
        <v>#N/A</v>
      </c>
    </row>
    <row r="11056" spans="1:10" x14ac:dyDescent="0.25">
      <c r="A11056">
        <v>12420</v>
      </c>
      <c r="B11056" t="s">
        <v>531</v>
      </c>
      <c r="C11056">
        <v>394</v>
      </c>
      <c r="D11056">
        <v>529</v>
      </c>
      <c r="E11056">
        <v>0</v>
      </c>
      <c r="F11056">
        <v>128</v>
      </c>
      <c r="G11056">
        <v>0</v>
      </c>
      <c r="H11056" t="s">
        <v>15965</v>
      </c>
      <c r="I11056">
        <v>12420</v>
      </c>
      <c r="J11056" t="e">
        <f>VLOOKUP(E11056,DSSpieler!A:B,2,FALSE)</f>
        <v>#N/A</v>
      </c>
    </row>
    <row r="11057" spans="1:10" x14ac:dyDescent="0.25">
      <c r="A11057">
        <v>12421</v>
      </c>
      <c r="B11057" t="s">
        <v>531</v>
      </c>
      <c r="C11057">
        <v>588</v>
      </c>
      <c r="D11057">
        <v>464</v>
      </c>
      <c r="E11057">
        <v>0</v>
      </c>
      <c r="F11057">
        <v>569</v>
      </c>
      <c r="G11057">
        <v>0</v>
      </c>
      <c r="H11057" t="s">
        <v>15966</v>
      </c>
      <c r="I11057">
        <v>12421</v>
      </c>
      <c r="J11057" t="e">
        <f>VLOOKUP(E11057,DSSpieler!A:B,2,FALSE)</f>
        <v>#N/A</v>
      </c>
    </row>
    <row r="11058" spans="1:10" x14ac:dyDescent="0.25">
      <c r="A11058">
        <v>12422</v>
      </c>
      <c r="B11058" t="s">
        <v>30574</v>
      </c>
      <c r="C11058">
        <v>483</v>
      </c>
      <c r="D11058">
        <v>604</v>
      </c>
      <c r="E11058">
        <v>3362710</v>
      </c>
      <c r="F11058">
        <v>2863</v>
      </c>
      <c r="G11058">
        <v>0</v>
      </c>
      <c r="H11058" t="s">
        <v>15967</v>
      </c>
      <c r="I11058">
        <v>12422</v>
      </c>
      <c r="J11058" t="str">
        <f>VLOOKUP(E11058,DSSpieler!A:B,2,FALSE)</f>
        <v>..Headbaenger..</v>
      </c>
    </row>
    <row r="11059" spans="1:10" x14ac:dyDescent="0.25">
      <c r="A11059">
        <v>12423</v>
      </c>
      <c r="B11059" t="s">
        <v>531</v>
      </c>
      <c r="C11059">
        <v>606</v>
      </c>
      <c r="D11059">
        <v>491</v>
      </c>
      <c r="E11059">
        <v>0</v>
      </c>
      <c r="F11059">
        <v>258</v>
      </c>
      <c r="G11059">
        <v>0</v>
      </c>
      <c r="H11059" t="s">
        <v>15968</v>
      </c>
      <c r="I11059">
        <v>12423</v>
      </c>
      <c r="J11059" t="e">
        <f>VLOOKUP(E11059,DSSpieler!A:B,2,FALSE)</f>
        <v>#N/A</v>
      </c>
    </row>
    <row r="11060" spans="1:10" x14ac:dyDescent="0.25">
      <c r="A11060">
        <v>12425</v>
      </c>
      <c r="B11060" t="s">
        <v>34404</v>
      </c>
      <c r="C11060">
        <v>547</v>
      </c>
      <c r="D11060">
        <v>403</v>
      </c>
      <c r="E11060">
        <v>1577100408</v>
      </c>
      <c r="F11060">
        <v>1640</v>
      </c>
      <c r="G11060">
        <v>0</v>
      </c>
      <c r="H11060" t="s">
        <v>15969</v>
      </c>
      <c r="I11060">
        <v>12425</v>
      </c>
      <c r="J11060" t="str">
        <f>VLOOKUP(E11060,DSSpieler!A:B,2,FALSE)</f>
        <v>nizopruegel</v>
      </c>
    </row>
    <row r="11061" spans="1:10" x14ac:dyDescent="0.25">
      <c r="A11061">
        <v>12426</v>
      </c>
      <c r="B11061" t="s">
        <v>780</v>
      </c>
      <c r="C11061">
        <v>605</v>
      </c>
      <c r="D11061">
        <v>509</v>
      </c>
      <c r="E11061">
        <v>1577177113</v>
      </c>
      <c r="F11061">
        <v>4998</v>
      </c>
      <c r="G11061">
        <v>0</v>
      </c>
      <c r="H11061" t="s">
        <v>15970</v>
      </c>
      <c r="I11061">
        <v>12426</v>
      </c>
      <c r="J11061" t="str">
        <f>VLOOKUP(E11061,DSSpieler!A:B,2,FALSE)</f>
        <v>Bulk Biceps</v>
      </c>
    </row>
    <row r="11062" spans="1:10" x14ac:dyDescent="0.25">
      <c r="A11062">
        <v>12427</v>
      </c>
      <c r="B11062" t="s">
        <v>30622</v>
      </c>
      <c r="C11062">
        <v>397</v>
      </c>
      <c r="D11062">
        <v>530</v>
      </c>
      <c r="E11062">
        <v>1577055127</v>
      </c>
      <c r="F11062">
        <v>5943</v>
      </c>
      <c r="G11062">
        <v>0</v>
      </c>
      <c r="H11062" t="s">
        <v>15971</v>
      </c>
      <c r="I11062">
        <v>12427</v>
      </c>
      <c r="J11062" t="str">
        <f>VLOOKUP(E11062,DSSpieler!A:B,2,FALSE)</f>
        <v>Karnalos</v>
      </c>
    </row>
    <row r="11063" spans="1:10" x14ac:dyDescent="0.25">
      <c r="A11063">
        <v>12428</v>
      </c>
      <c r="B11063" t="s">
        <v>531</v>
      </c>
      <c r="C11063">
        <v>607</v>
      </c>
      <c r="D11063">
        <v>513</v>
      </c>
      <c r="E11063">
        <v>0</v>
      </c>
      <c r="F11063">
        <v>223</v>
      </c>
      <c r="G11063">
        <v>0</v>
      </c>
      <c r="H11063" t="s">
        <v>15972</v>
      </c>
      <c r="I11063">
        <v>12428</v>
      </c>
      <c r="J11063" t="e">
        <f>VLOOKUP(E11063,DSSpieler!A:B,2,FALSE)</f>
        <v>#N/A</v>
      </c>
    </row>
    <row r="11064" spans="1:10" x14ac:dyDescent="0.25">
      <c r="A11064">
        <v>12429</v>
      </c>
      <c r="B11064" t="s">
        <v>780</v>
      </c>
      <c r="C11064">
        <v>609</v>
      </c>
      <c r="D11064">
        <v>512</v>
      </c>
      <c r="E11064">
        <v>1577133527</v>
      </c>
      <c r="F11064">
        <v>5873</v>
      </c>
      <c r="G11064">
        <v>0</v>
      </c>
      <c r="H11064" t="s">
        <v>15973</v>
      </c>
      <c r="I11064">
        <v>12429</v>
      </c>
      <c r="J11064" t="str">
        <f>VLOOKUP(E11064,DSSpieler!A:B,2,FALSE)</f>
        <v>Joah Theron</v>
      </c>
    </row>
    <row r="11065" spans="1:10" x14ac:dyDescent="0.25">
      <c r="A11065">
        <v>12431</v>
      </c>
      <c r="B11065" t="s">
        <v>34405</v>
      </c>
      <c r="C11065">
        <v>552</v>
      </c>
      <c r="D11065">
        <v>408</v>
      </c>
      <c r="E11065">
        <v>1577171923</v>
      </c>
      <c r="F11065">
        <v>3246</v>
      </c>
      <c r="G11065">
        <v>0</v>
      </c>
      <c r="H11065" t="s">
        <v>15974</v>
      </c>
      <c r="I11065">
        <v>12431</v>
      </c>
      <c r="J11065" t="str">
        <f>VLOOKUP(E11065,DSSpieler!A:B,2,FALSE)</f>
        <v>ShadowDragon</v>
      </c>
    </row>
    <row r="11066" spans="1:10" x14ac:dyDescent="0.25">
      <c r="A11066">
        <v>12434</v>
      </c>
      <c r="B11066" t="s">
        <v>31758</v>
      </c>
      <c r="C11066">
        <v>611</v>
      </c>
      <c r="D11066">
        <v>506</v>
      </c>
      <c r="E11066">
        <v>1577071496</v>
      </c>
      <c r="F11066">
        <v>4517</v>
      </c>
      <c r="G11066">
        <v>0</v>
      </c>
      <c r="H11066" t="s">
        <v>15975</v>
      </c>
      <c r="I11066">
        <v>12434</v>
      </c>
      <c r="J11066" t="str">
        <f>VLOOKUP(E11066,DSSpieler!A:B,2,FALSE)</f>
        <v>boombot95</v>
      </c>
    </row>
    <row r="11067" spans="1:10" x14ac:dyDescent="0.25">
      <c r="A11067">
        <v>12436</v>
      </c>
      <c r="B11067" t="s">
        <v>780</v>
      </c>
      <c r="C11067">
        <v>610</v>
      </c>
      <c r="D11067">
        <v>516</v>
      </c>
      <c r="E11067">
        <v>1577133527</v>
      </c>
      <c r="F11067">
        <v>7104</v>
      </c>
      <c r="G11067">
        <v>0</v>
      </c>
      <c r="H11067" t="s">
        <v>15976</v>
      </c>
      <c r="I11067">
        <v>12436</v>
      </c>
      <c r="J11067" t="str">
        <f>VLOOKUP(E11067,DSSpieler!A:B,2,FALSE)</f>
        <v>Joah Theron</v>
      </c>
    </row>
    <row r="11068" spans="1:10" x14ac:dyDescent="0.25">
      <c r="A11068">
        <v>12437</v>
      </c>
      <c r="B11068" t="s">
        <v>34406</v>
      </c>
      <c r="C11068">
        <v>605</v>
      </c>
      <c r="D11068">
        <v>546</v>
      </c>
      <c r="E11068">
        <v>1577077834</v>
      </c>
      <c r="F11068">
        <v>1917</v>
      </c>
      <c r="G11068">
        <v>0</v>
      </c>
      <c r="H11068" t="s">
        <v>15977</v>
      </c>
      <c r="I11068">
        <v>12437</v>
      </c>
      <c r="J11068" t="str">
        <f>VLOOKUP(E11068,DSSpieler!A:B,2,FALSE)</f>
        <v>F8Vengeance</v>
      </c>
    </row>
    <row r="11069" spans="1:10" x14ac:dyDescent="0.25">
      <c r="A11069">
        <v>12438</v>
      </c>
      <c r="B11069" t="s">
        <v>31758</v>
      </c>
      <c r="C11069">
        <v>612</v>
      </c>
      <c r="D11069">
        <v>507</v>
      </c>
      <c r="E11069">
        <v>1577071496</v>
      </c>
      <c r="F11069">
        <v>5432</v>
      </c>
      <c r="G11069">
        <v>0</v>
      </c>
      <c r="H11069" t="s">
        <v>15978</v>
      </c>
      <c r="I11069">
        <v>12438</v>
      </c>
      <c r="J11069" t="str">
        <f>VLOOKUP(E11069,DSSpieler!A:B,2,FALSE)</f>
        <v>boombot95</v>
      </c>
    </row>
    <row r="11070" spans="1:10" x14ac:dyDescent="0.25">
      <c r="A11070">
        <v>12439</v>
      </c>
      <c r="B11070" t="s">
        <v>531</v>
      </c>
      <c r="C11070">
        <v>601</v>
      </c>
      <c r="D11070">
        <v>455</v>
      </c>
      <c r="E11070">
        <v>0</v>
      </c>
      <c r="F11070">
        <v>209</v>
      </c>
      <c r="G11070">
        <v>0</v>
      </c>
      <c r="H11070" t="s">
        <v>15979</v>
      </c>
      <c r="I11070">
        <v>12439</v>
      </c>
      <c r="J11070" t="e">
        <f>VLOOKUP(E11070,DSSpieler!A:B,2,FALSE)</f>
        <v>#N/A</v>
      </c>
    </row>
    <row r="11071" spans="1:10" x14ac:dyDescent="0.25">
      <c r="A11071">
        <v>12440</v>
      </c>
      <c r="B11071" t="s">
        <v>34407</v>
      </c>
      <c r="C11071">
        <v>407</v>
      </c>
      <c r="D11071">
        <v>451</v>
      </c>
      <c r="E11071">
        <v>1577091188</v>
      </c>
      <c r="F11071">
        <v>4860</v>
      </c>
      <c r="G11071">
        <v>0</v>
      </c>
      <c r="H11071" t="s">
        <v>15980</v>
      </c>
      <c r="I11071">
        <v>12440</v>
      </c>
      <c r="J11071" t="str">
        <f>VLOOKUP(E11071,DSSpieler!A:B,2,FALSE)</f>
        <v>Tidus</v>
      </c>
    </row>
    <row r="11072" spans="1:10" x14ac:dyDescent="0.25">
      <c r="A11072">
        <v>12441</v>
      </c>
      <c r="B11072" t="s">
        <v>531</v>
      </c>
      <c r="C11072">
        <v>390</v>
      </c>
      <c r="D11072">
        <v>507</v>
      </c>
      <c r="E11072">
        <v>0</v>
      </c>
      <c r="F11072">
        <v>398</v>
      </c>
      <c r="G11072">
        <v>0</v>
      </c>
      <c r="H11072" t="s">
        <v>15981</v>
      </c>
      <c r="I11072">
        <v>12441</v>
      </c>
      <c r="J11072" t="e">
        <f>VLOOKUP(E11072,DSSpieler!A:B,2,FALSE)</f>
        <v>#N/A</v>
      </c>
    </row>
    <row r="11073" spans="1:10" x14ac:dyDescent="0.25">
      <c r="A11073">
        <v>12442</v>
      </c>
      <c r="B11073" t="s">
        <v>34408</v>
      </c>
      <c r="C11073">
        <v>609</v>
      </c>
      <c r="D11073">
        <v>479</v>
      </c>
      <c r="E11073">
        <v>9598232</v>
      </c>
      <c r="F11073">
        <v>5689</v>
      </c>
      <c r="G11073">
        <v>0</v>
      </c>
      <c r="H11073" t="s">
        <v>15982</v>
      </c>
      <c r="I11073">
        <v>12442</v>
      </c>
      <c r="J11073" t="str">
        <f>VLOOKUP(E11073,DSSpieler!A:B,2,FALSE)</f>
        <v>KrümelKeks*</v>
      </c>
    </row>
    <row r="11074" spans="1:10" x14ac:dyDescent="0.25">
      <c r="A11074">
        <v>12443</v>
      </c>
      <c r="B11074" t="s">
        <v>34409</v>
      </c>
      <c r="C11074">
        <v>505</v>
      </c>
      <c r="D11074">
        <v>613</v>
      </c>
      <c r="E11074">
        <v>8845635</v>
      </c>
      <c r="F11074">
        <v>3390</v>
      </c>
      <c r="G11074">
        <v>0</v>
      </c>
      <c r="H11074" t="s">
        <v>15983</v>
      </c>
      <c r="I11074">
        <v>12443</v>
      </c>
      <c r="J11074" t="str">
        <f>VLOOKUP(E11074,DSSpieler!A:B,2,FALSE)</f>
        <v>MakeOutHill</v>
      </c>
    </row>
    <row r="11075" spans="1:10" x14ac:dyDescent="0.25">
      <c r="A11075">
        <v>12444</v>
      </c>
      <c r="B11075" t="s">
        <v>531</v>
      </c>
      <c r="C11075">
        <v>397</v>
      </c>
      <c r="D11075">
        <v>529</v>
      </c>
      <c r="E11075">
        <v>0</v>
      </c>
      <c r="F11075">
        <v>549</v>
      </c>
      <c r="G11075">
        <v>0</v>
      </c>
      <c r="H11075" t="s">
        <v>15984</v>
      </c>
      <c r="I11075">
        <v>12444</v>
      </c>
      <c r="J11075" t="e">
        <f>VLOOKUP(E11075,DSSpieler!A:B,2,FALSE)</f>
        <v>#N/A</v>
      </c>
    </row>
    <row r="11076" spans="1:10" x14ac:dyDescent="0.25">
      <c r="A11076">
        <v>12445</v>
      </c>
      <c r="B11076" t="s">
        <v>531</v>
      </c>
      <c r="C11076">
        <v>393</v>
      </c>
      <c r="D11076">
        <v>517</v>
      </c>
      <c r="E11076">
        <v>0</v>
      </c>
      <c r="F11076">
        <v>171</v>
      </c>
      <c r="G11076">
        <v>0</v>
      </c>
      <c r="H11076" t="s">
        <v>15985</v>
      </c>
      <c r="I11076">
        <v>12445</v>
      </c>
      <c r="J11076" t="e">
        <f>VLOOKUP(E11076,DSSpieler!A:B,2,FALSE)</f>
        <v>#N/A</v>
      </c>
    </row>
    <row r="11077" spans="1:10" x14ac:dyDescent="0.25">
      <c r="A11077">
        <v>12446</v>
      </c>
      <c r="B11077" t="s">
        <v>34410</v>
      </c>
      <c r="C11077">
        <v>477</v>
      </c>
      <c r="D11077">
        <v>402</v>
      </c>
      <c r="E11077">
        <v>1577174131</v>
      </c>
      <c r="F11077">
        <v>4937</v>
      </c>
      <c r="G11077">
        <v>0</v>
      </c>
      <c r="H11077" t="s">
        <v>15986</v>
      </c>
      <c r="I11077">
        <v>12446</v>
      </c>
      <c r="J11077" t="str">
        <f>VLOOKUP(E11077,DSSpieler!A:B,2,FALSE)</f>
        <v>Schäuferla Vernichter</v>
      </c>
    </row>
    <row r="11078" spans="1:10" x14ac:dyDescent="0.25">
      <c r="A11078">
        <v>12448</v>
      </c>
      <c r="B11078" t="s">
        <v>531</v>
      </c>
      <c r="C11078">
        <v>461</v>
      </c>
      <c r="D11078">
        <v>397</v>
      </c>
      <c r="E11078">
        <v>0</v>
      </c>
      <c r="F11078">
        <v>285</v>
      </c>
      <c r="G11078">
        <v>0</v>
      </c>
      <c r="H11078" t="s">
        <v>15987</v>
      </c>
      <c r="I11078">
        <v>12448</v>
      </c>
      <c r="J11078" t="e">
        <f>VLOOKUP(E11078,DSSpieler!A:B,2,FALSE)</f>
        <v>#N/A</v>
      </c>
    </row>
    <row r="11079" spans="1:10" x14ac:dyDescent="0.25">
      <c r="A11079">
        <v>12449</v>
      </c>
      <c r="B11079" t="s">
        <v>34411</v>
      </c>
      <c r="C11079">
        <v>604</v>
      </c>
      <c r="D11079">
        <v>545</v>
      </c>
      <c r="E11079">
        <v>1577077834</v>
      </c>
      <c r="F11079">
        <v>3916</v>
      </c>
      <c r="G11079">
        <v>0</v>
      </c>
      <c r="H11079" t="s">
        <v>15988</v>
      </c>
      <c r="I11079">
        <v>12449</v>
      </c>
      <c r="J11079" t="str">
        <f>VLOOKUP(E11079,DSSpieler!A:B,2,FALSE)</f>
        <v>F8Vengeance</v>
      </c>
    </row>
    <row r="11080" spans="1:10" x14ac:dyDescent="0.25">
      <c r="A11080">
        <v>12451</v>
      </c>
      <c r="B11080" t="s">
        <v>531</v>
      </c>
      <c r="C11080">
        <v>393</v>
      </c>
      <c r="D11080">
        <v>478</v>
      </c>
      <c r="E11080">
        <v>0</v>
      </c>
      <c r="F11080">
        <v>386</v>
      </c>
      <c r="G11080">
        <v>0</v>
      </c>
      <c r="H11080" t="s">
        <v>15989</v>
      </c>
      <c r="I11080">
        <v>12451</v>
      </c>
      <c r="J11080" t="e">
        <f>VLOOKUP(E11080,DSSpieler!A:B,2,FALSE)</f>
        <v>#N/A</v>
      </c>
    </row>
    <row r="11081" spans="1:10" x14ac:dyDescent="0.25">
      <c r="A11081">
        <v>12452</v>
      </c>
      <c r="B11081" t="s">
        <v>34412</v>
      </c>
      <c r="C11081">
        <v>401</v>
      </c>
      <c r="D11081">
        <v>457</v>
      </c>
      <c r="E11081">
        <v>9925917</v>
      </c>
      <c r="F11081">
        <v>5057</v>
      </c>
      <c r="G11081">
        <v>0</v>
      </c>
      <c r="H11081" t="s">
        <v>15990</v>
      </c>
      <c r="I11081">
        <v>12452</v>
      </c>
      <c r="J11081" t="str">
        <f>VLOOKUP(E11081,DSSpieler!A:B,2,FALSE)</f>
        <v>WATB Faker</v>
      </c>
    </row>
    <row r="11082" spans="1:10" x14ac:dyDescent="0.25">
      <c r="A11082">
        <v>12453</v>
      </c>
      <c r="B11082" t="s">
        <v>988</v>
      </c>
      <c r="C11082">
        <v>392</v>
      </c>
      <c r="D11082">
        <v>484</v>
      </c>
      <c r="E11082">
        <v>1576911806</v>
      </c>
      <c r="F11082">
        <v>3717</v>
      </c>
      <c r="G11082">
        <v>0</v>
      </c>
      <c r="H11082" t="s">
        <v>433</v>
      </c>
      <c r="I11082">
        <v>12453</v>
      </c>
      <c r="J11082" t="str">
        <f>VLOOKUP(E11082,DSSpieler!A:B,2,FALSE)</f>
        <v>HGButte</v>
      </c>
    </row>
    <row r="11083" spans="1:10" x14ac:dyDescent="0.25">
      <c r="A11083">
        <v>12454</v>
      </c>
      <c r="B11083" t="s">
        <v>1716</v>
      </c>
      <c r="C11083">
        <v>441</v>
      </c>
      <c r="D11083">
        <v>571</v>
      </c>
      <c r="E11083">
        <v>1577156461</v>
      </c>
      <c r="F11083">
        <v>4554</v>
      </c>
      <c r="G11083">
        <v>0</v>
      </c>
      <c r="H11083" t="s">
        <v>15991</v>
      </c>
      <c r="I11083">
        <v>12454</v>
      </c>
      <c r="J11083" t="str">
        <f>VLOOKUP(E11083,DSSpieler!A:B,2,FALSE)</f>
        <v>FraWag</v>
      </c>
    </row>
    <row r="11084" spans="1:10" x14ac:dyDescent="0.25">
      <c r="A11084">
        <v>12455</v>
      </c>
      <c r="B11084" t="s">
        <v>34413</v>
      </c>
      <c r="C11084">
        <v>522</v>
      </c>
      <c r="D11084">
        <v>392</v>
      </c>
      <c r="E11084">
        <v>1577139691</v>
      </c>
      <c r="F11084">
        <v>4335</v>
      </c>
      <c r="G11084">
        <v>0</v>
      </c>
      <c r="H11084" t="s">
        <v>15992</v>
      </c>
      <c r="I11084">
        <v>12455</v>
      </c>
      <c r="J11084" t="str">
        <f>VLOOKUP(E11084,DSSpieler!A:B,2,FALSE)</f>
        <v>tom00saltu</v>
      </c>
    </row>
    <row r="11085" spans="1:10" x14ac:dyDescent="0.25">
      <c r="A11085">
        <v>12457</v>
      </c>
      <c r="B11085" t="s">
        <v>33784</v>
      </c>
      <c r="C11085">
        <v>566</v>
      </c>
      <c r="D11085">
        <v>567</v>
      </c>
      <c r="E11085">
        <v>1577173104</v>
      </c>
      <c r="F11085">
        <v>1056</v>
      </c>
      <c r="G11085">
        <v>0</v>
      </c>
      <c r="H11085" t="s">
        <v>15993</v>
      </c>
      <c r="I11085">
        <v>12457</v>
      </c>
      <c r="J11085" t="str">
        <f>VLOOKUP(E11085,DSSpieler!A:B,2,FALSE)</f>
        <v>Geistreich</v>
      </c>
    </row>
    <row r="11086" spans="1:10" x14ac:dyDescent="0.25">
      <c r="A11086">
        <v>12458</v>
      </c>
      <c r="B11086" t="s">
        <v>531</v>
      </c>
      <c r="C11086">
        <v>409</v>
      </c>
      <c r="D11086">
        <v>444</v>
      </c>
      <c r="E11086">
        <v>1677092</v>
      </c>
      <c r="F11086">
        <v>401</v>
      </c>
      <c r="G11086">
        <v>0</v>
      </c>
      <c r="H11086" t="s">
        <v>15994</v>
      </c>
      <c r="I11086">
        <v>12458</v>
      </c>
      <c r="J11086" t="str">
        <f>VLOOKUP(E11086,DSSpieler!A:B,2,FALSE)</f>
        <v>pöser Wichtel</v>
      </c>
    </row>
    <row r="11087" spans="1:10" x14ac:dyDescent="0.25">
      <c r="A11087">
        <v>12459</v>
      </c>
      <c r="B11087" t="s">
        <v>34414</v>
      </c>
      <c r="C11087">
        <v>559</v>
      </c>
      <c r="D11087">
        <v>418</v>
      </c>
      <c r="E11087">
        <v>8505169</v>
      </c>
      <c r="F11087">
        <v>6007</v>
      </c>
      <c r="G11087">
        <v>0</v>
      </c>
      <c r="H11087" t="s">
        <v>15995</v>
      </c>
      <c r="I11087">
        <v>12459</v>
      </c>
      <c r="J11087" t="str">
        <f>VLOOKUP(E11087,DSSpieler!A:B,2,FALSE)</f>
        <v>Platinum74</v>
      </c>
    </row>
    <row r="11088" spans="1:10" x14ac:dyDescent="0.25">
      <c r="A11088">
        <v>12460</v>
      </c>
      <c r="B11088" t="s">
        <v>531</v>
      </c>
      <c r="C11088">
        <v>396</v>
      </c>
      <c r="D11088">
        <v>476</v>
      </c>
      <c r="E11088">
        <v>0</v>
      </c>
      <c r="F11088">
        <v>184</v>
      </c>
      <c r="G11088">
        <v>0</v>
      </c>
      <c r="H11088" t="s">
        <v>15996</v>
      </c>
      <c r="I11088">
        <v>12460</v>
      </c>
      <c r="J11088" t="e">
        <f>VLOOKUP(E11088,DSSpieler!A:B,2,FALSE)</f>
        <v>#N/A</v>
      </c>
    </row>
    <row r="11089" spans="1:10" x14ac:dyDescent="0.25">
      <c r="A11089">
        <v>12462</v>
      </c>
      <c r="B11089" t="s">
        <v>34415</v>
      </c>
      <c r="C11089">
        <v>458</v>
      </c>
      <c r="D11089">
        <v>402</v>
      </c>
      <c r="E11089">
        <v>9099199</v>
      </c>
      <c r="F11089">
        <v>1266</v>
      </c>
      <c r="G11089">
        <v>0</v>
      </c>
      <c r="H11089" t="s">
        <v>15997</v>
      </c>
      <c r="I11089">
        <v>12462</v>
      </c>
      <c r="J11089" t="str">
        <f>VLOOKUP(E11089,DSSpieler!A:B,2,FALSE)</f>
        <v>revenger53</v>
      </c>
    </row>
    <row r="11090" spans="1:10" x14ac:dyDescent="0.25">
      <c r="A11090">
        <v>12463</v>
      </c>
      <c r="B11090" t="s">
        <v>34416</v>
      </c>
      <c r="C11090">
        <v>386</v>
      </c>
      <c r="D11090">
        <v>501</v>
      </c>
      <c r="E11090">
        <v>1577196816</v>
      </c>
      <c r="F11090">
        <v>4412</v>
      </c>
      <c r="G11090">
        <v>0</v>
      </c>
      <c r="H11090" t="s">
        <v>15998</v>
      </c>
      <c r="I11090">
        <v>12463</v>
      </c>
      <c r="J11090" t="str">
        <f>VLOOKUP(E11090,DSSpieler!A:B,2,FALSE)</f>
        <v>SnowxD</v>
      </c>
    </row>
    <row r="11091" spans="1:10" x14ac:dyDescent="0.25">
      <c r="A11091">
        <v>12464</v>
      </c>
      <c r="B11091" t="s">
        <v>531</v>
      </c>
      <c r="C11091">
        <v>607</v>
      </c>
      <c r="D11091">
        <v>529</v>
      </c>
      <c r="E11091">
        <v>0</v>
      </c>
      <c r="F11091">
        <v>412</v>
      </c>
      <c r="G11091">
        <v>0</v>
      </c>
      <c r="H11091" t="s">
        <v>15999</v>
      </c>
      <c r="I11091">
        <v>12464</v>
      </c>
      <c r="J11091" t="e">
        <f>VLOOKUP(E11091,DSSpieler!A:B,2,FALSE)</f>
        <v>#N/A</v>
      </c>
    </row>
    <row r="11092" spans="1:10" x14ac:dyDescent="0.25">
      <c r="A11092">
        <v>12465</v>
      </c>
      <c r="B11092">
        <v>2</v>
      </c>
      <c r="C11092">
        <v>406</v>
      </c>
      <c r="D11092">
        <v>461</v>
      </c>
      <c r="E11092">
        <v>1577107174</v>
      </c>
      <c r="F11092">
        <v>5852</v>
      </c>
      <c r="G11092">
        <v>0</v>
      </c>
      <c r="H11092" t="s">
        <v>16000</v>
      </c>
      <c r="I11092">
        <v>12465</v>
      </c>
      <c r="J11092" t="str">
        <f>VLOOKUP(E11092,DSSpieler!A:B,2,FALSE)</f>
        <v>Tischhax</v>
      </c>
    </row>
    <row r="11093" spans="1:10" x14ac:dyDescent="0.25">
      <c r="A11093">
        <v>12466</v>
      </c>
      <c r="B11093" t="s">
        <v>531</v>
      </c>
      <c r="C11093">
        <v>478</v>
      </c>
      <c r="D11093">
        <v>607</v>
      </c>
      <c r="E11093">
        <v>0</v>
      </c>
      <c r="F11093">
        <v>416</v>
      </c>
      <c r="G11093">
        <v>0</v>
      </c>
      <c r="H11093" t="s">
        <v>16001</v>
      </c>
      <c r="I11093">
        <v>12466</v>
      </c>
      <c r="J11093" t="e">
        <f>VLOOKUP(E11093,DSSpieler!A:B,2,FALSE)</f>
        <v>#N/A</v>
      </c>
    </row>
    <row r="11094" spans="1:10" x14ac:dyDescent="0.25">
      <c r="A11094">
        <v>12467</v>
      </c>
      <c r="B11094" t="s">
        <v>531</v>
      </c>
      <c r="C11094">
        <v>529</v>
      </c>
      <c r="D11094">
        <v>393</v>
      </c>
      <c r="E11094">
        <v>0</v>
      </c>
      <c r="F11094">
        <v>379</v>
      </c>
      <c r="G11094">
        <v>0</v>
      </c>
      <c r="H11094" t="s">
        <v>16002</v>
      </c>
      <c r="I11094">
        <v>12467</v>
      </c>
      <c r="J11094" t="e">
        <f>VLOOKUP(E11094,DSSpieler!A:B,2,FALSE)</f>
        <v>#N/A</v>
      </c>
    </row>
    <row r="11095" spans="1:10" x14ac:dyDescent="0.25">
      <c r="A11095">
        <v>12468</v>
      </c>
      <c r="B11095" t="s">
        <v>531</v>
      </c>
      <c r="C11095">
        <v>479</v>
      </c>
      <c r="D11095">
        <v>594</v>
      </c>
      <c r="E11095">
        <v>0</v>
      </c>
      <c r="F11095">
        <v>427</v>
      </c>
      <c r="G11095">
        <v>0</v>
      </c>
      <c r="H11095" t="s">
        <v>16003</v>
      </c>
      <c r="I11095">
        <v>12468</v>
      </c>
      <c r="J11095" t="e">
        <f>VLOOKUP(E11095,DSSpieler!A:B,2,FALSE)</f>
        <v>#N/A</v>
      </c>
    </row>
    <row r="11096" spans="1:10" x14ac:dyDescent="0.25">
      <c r="A11096">
        <v>12469</v>
      </c>
      <c r="B11096" t="s">
        <v>2129</v>
      </c>
      <c r="C11096">
        <v>416</v>
      </c>
      <c r="D11096">
        <v>429</v>
      </c>
      <c r="E11096">
        <v>941519</v>
      </c>
      <c r="F11096">
        <v>1039</v>
      </c>
      <c r="G11096">
        <v>0</v>
      </c>
      <c r="H11096" t="s">
        <v>16004</v>
      </c>
      <c r="I11096">
        <v>12469</v>
      </c>
      <c r="J11096" t="str">
        <f>VLOOKUP(E11096,DSSpieler!A:B,2,FALSE)</f>
        <v>bibi100</v>
      </c>
    </row>
    <row r="11097" spans="1:10" x14ac:dyDescent="0.25">
      <c r="A11097">
        <v>12470</v>
      </c>
      <c r="B11097" t="s">
        <v>531</v>
      </c>
      <c r="C11097">
        <v>460</v>
      </c>
      <c r="D11097">
        <v>602</v>
      </c>
      <c r="E11097">
        <v>0</v>
      </c>
      <c r="F11097">
        <v>250</v>
      </c>
      <c r="G11097">
        <v>0</v>
      </c>
      <c r="H11097" t="s">
        <v>16005</v>
      </c>
      <c r="I11097">
        <v>12470</v>
      </c>
      <c r="J11097" t="e">
        <f>VLOOKUP(E11097,DSSpieler!A:B,2,FALSE)</f>
        <v>#N/A</v>
      </c>
    </row>
    <row r="11098" spans="1:10" x14ac:dyDescent="0.25">
      <c r="A11098">
        <v>12471</v>
      </c>
      <c r="B11098" t="s">
        <v>531</v>
      </c>
      <c r="C11098">
        <v>469</v>
      </c>
      <c r="D11098">
        <v>397</v>
      </c>
      <c r="E11098">
        <v>0</v>
      </c>
      <c r="F11098">
        <v>314</v>
      </c>
      <c r="G11098">
        <v>0</v>
      </c>
      <c r="H11098" t="s">
        <v>16006</v>
      </c>
      <c r="I11098">
        <v>12471</v>
      </c>
      <c r="J11098" t="e">
        <f>VLOOKUP(E11098,DSSpieler!A:B,2,FALSE)</f>
        <v>#N/A</v>
      </c>
    </row>
    <row r="11099" spans="1:10" x14ac:dyDescent="0.25">
      <c r="A11099">
        <v>12472</v>
      </c>
      <c r="B11099" t="s">
        <v>2130</v>
      </c>
      <c r="C11099">
        <v>440</v>
      </c>
      <c r="D11099">
        <v>573</v>
      </c>
      <c r="E11099">
        <v>3294196</v>
      </c>
      <c r="F11099">
        <v>2436</v>
      </c>
      <c r="G11099">
        <v>0</v>
      </c>
      <c r="H11099" t="s">
        <v>16007</v>
      </c>
      <c r="I11099">
        <v>12472</v>
      </c>
      <c r="J11099" t="str">
        <f>VLOOKUP(E11099,DSSpieler!A:B,2,FALSE)</f>
        <v>KingKonni</v>
      </c>
    </row>
    <row r="11100" spans="1:10" x14ac:dyDescent="0.25">
      <c r="A11100">
        <v>12473</v>
      </c>
      <c r="B11100" t="s">
        <v>34417</v>
      </c>
      <c r="C11100">
        <v>523</v>
      </c>
      <c r="D11100">
        <v>391</v>
      </c>
      <c r="E11100">
        <v>1577139691</v>
      </c>
      <c r="F11100">
        <v>7361</v>
      </c>
      <c r="G11100">
        <v>0</v>
      </c>
      <c r="H11100" t="s">
        <v>16008</v>
      </c>
      <c r="I11100">
        <v>12473</v>
      </c>
      <c r="J11100" t="str">
        <f>VLOOKUP(E11100,DSSpieler!A:B,2,FALSE)</f>
        <v>tom00saltu</v>
      </c>
    </row>
    <row r="11101" spans="1:10" x14ac:dyDescent="0.25">
      <c r="A11101">
        <v>12474</v>
      </c>
      <c r="B11101" t="s">
        <v>34418</v>
      </c>
      <c r="C11101">
        <v>403</v>
      </c>
      <c r="D11101">
        <v>559</v>
      </c>
      <c r="E11101">
        <v>3037214</v>
      </c>
      <c r="F11101">
        <v>3339</v>
      </c>
      <c r="G11101">
        <v>0</v>
      </c>
      <c r="H11101" t="s">
        <v>16009</v>
      </c>
      <c r="I11101">
        <v>12474</v>
      </c>
      <c r="J11101" t="str">
        <f>VLOOKUP(E11101,DSSpieler!A:B,2,FALSE)</f>
        <v>feuerspion</v>
      </c>
    </row>
    <row r="11102" spans="1:10" x14ac:dyDescent="0.25">
      <c r="A11102">
        <v>12475</v>
      </c>
      <c r="B11102" t="s">
        <v>34419</v>
      </c>
      <c r="C11102">
        <v>424</v>
      </c>
      <c r="D11102">
        <v>563</v>
      </c>
      <c r="E11102">
        <v>1577198794</v>
      </c>
      <c r="F11102">
        <v>6290</v>
      </c>
      <c r="G11102">
        <v>0</v>
      </c>
      <c r="H11102" t="s">
        <v>16010</v>
      </c>
      <c r="I11102">
        <v>12475</v>
      </c>
      <c r="J11102" t="str">
        <f>VLOOKUP(E11102,DSSpieler!A:B,2,FALSE)</f>
        <v>Quambec</v>
      </c>
    </row>
    <row r="11103" spans="1:10" x14ac:dyDescent="0.25">
      <c r="A11103">
        <v>12476</v>
      </c>
      <c r="B11103" t="s">
        <v>34420</v>
      </c>
      <c r="C11103">
        <v>596</v>
      </c>
      <c r="D11103">
        <v>546</v>
      </c>
      <c r="E11103">
        <v>1577123742</v>
      </c>
      <c r="F11103">
        <v>2065</v>
      </c>
      <c r="G11103">
        <v>0</v>
      </c>
      <c r="H11103" t="s">
        <v>16011</v>
      </c>
      <c r="I11103">
        <v>12476</v>
      </c>
      <c r="J11103" t="str">
        <f>VLOOKUP(E11103,DSSpieler!A:B,2,FALSE)</f>
        <v>KäptnBlaubär</v>
      </c>
    </row>
    <row r="11104" spans="1:10" x14ac:dyDescent="0.25">
      <c r="A11104">
        <v>12478</v>
      </c>
      <c r="B11104" t="s">
        <v>34421</v>
      </c>
      <c r="C11104">
        <v>396</v>
      </c>
      <c r="D11104">
        <v>527</v>
      </c>
      <c r="E11104">
        <v>1577186661</v>
      </c>
      <c r="F11104">
        <v>3261</v>
      </c>
      <c r="G11104">
        <v>0</v>
      </c>
      <c r="H11104" t="s">
        <v>16012</v>
      </c>
      <c r="I11104">
        <v>12478</v>
      </c>
      <c r="J11104" t="str">
        <f>VLOOKUP(E11104,DSSpieler!A:B,2,FALSE)</f>
        <v>dredor</v>
      </c>
    </row>
    <row r="11105" spans="1:10" x14ac:dyDescent="0.25">
      <c r="A11105">
        <v>12480</v>
      </c>
      <c r="B11105" t="s">
        <v>2131</v>
      </c>
      <c r="C11105">
        <v>535</v>
      </c>
      <c r="D11105">
        <v>603</v>
      </c>
      <c r="E11105">
        <v>1577175064</v>
      </c>
      <c r="F11105">
        <v>4808</v>
      </c>
      <c r="G11105">
        <v>0</v>
      </c>
      <c r="H11105" t="s">
        <v>16013</v>
      </c>
      <c r="I11105">
        <v>12480</v>
      </c>
      <c r="J11105" t="str">
        <f>VLOOKUP(E11105,DSSpieler!A:B,2,FALSE)</f>
        <v>Neues Textdokument</v>
      </c>
    </row>
    <row r="11106" spans="1:10" x14ac:dyDescent="0.25">
      <c r="A11106">
        <v>12481</v>
      </c>
      <c r="B11106" t="s">
        <v>531</v>
      </c>
      <c r="C11106">
        <v>599</v>
      </c>
      <c r="D11106">
        <v>529</v>
      </c>
      <c r="E11106">
        <v>0</v>
      </c>
      <c r="F11106">
        <v>741</v>
      </c>
      <c r="G11106">
        <v>0</v>
      </c>
      <c r="H11106" t="s">
        <v>16014</v>
      </c>
      <c r="I11106">
        <v>12481</v>
      </c>
      <c r="J11106" t="e">
        <f>VLOOKUP(E11106,DSSpieler!A:B,2,FALSE)</f>
        <v>#N/A</v>
      </c>
    </row>
    <row r="11107" spans="1:10" x14ac:dyDescent="0.25">
      <c r="A11107">
        <v>12482</v>
      </c>
      <c r="B11107" t="s">
        <v>531</v>
      </c>
      <c r="C11107">
        <v>393</v>
      </c>
      <c r="D11107">
        <v>523</v>
      </c>
      <c r="E11107">
        <v>0</v>
      </c>
      <c r="F11107">
        <v>179</v>
      </c>
      <c r="G11107">
        <v>0</v>
      </c>
      <c r="H11107" t="s">
        <v>16015</v>
      </c>
      <c r="I11107">
        <v>12482</v>
      </c>
      <c r="J11107" t="e">
        <f>VLOOKUP(E11107,DSSpieler!A:B,2,FALSE)</f>
        <v>#N/A</v>
      </c>
    </row>
    <row r="11108" spans="1:10" x14ac:dyDescent="0.25">
      <c r="A11108">
        <v>12483</v>
      </c>
      <c r="B11108" t="s">
        <v>531</v>
      </c>
      <c r="C11108">
        <v>540</v>
      </c>
      <c r="D11108">
        <v>597</v>
      </c>
      <c r="E11108">
        <v>0</v>
      </c>
      <c r="F11108">
        <v>994</v>
      </c>
      <c r="G11108">
        <v>0</v>
      </c>
      <c r="H11108" t="s">
        <v>16016</v>
      </c>
      <c r="I11108">
        <v>12483</v>
      </c>
      <c r="J11108" t="e">
        <f>VLOOKUP(E11108,DSSpieler!A:B,2,FALSE)</f>
        <v>#N/A</v>
      </c>
    </row>
    <row r="11109" spans="1:10" x14ac:dyDescent="0.25">
      <c r="A11109">
        <v>12484</v>
      </c>
      <c r="B11109" t="s">
        <v>34422</v>
      </c>
      <c r="C11109">
        <v>445</v>
      </c>
      <c r="D11109">
        <v>405</v>
      </c>
      <c r="E11109">
        <v>1577199172</v>
      </c>
      <c r="F11109">
        <v>3506</v>
      </c>
      <c r="G11109">
        <v>0</v>
      </c>
      <c r="H11109" t="s">
        <v>16017</v>
      </c>
      <c r="I11109">
        <v>12484</v>
      </c>
      <c r="J11109" t="str">
        <f>VLOOKUP(E11109,DSSpieler!A:B,2,FALSE)</f>
        <v>DominatorPopeyeSaurus</v>
      </c>
    </row>
    <row r="11110" spans="1:10" x14ac:dyDescent="0.25">
      <c r="A11110">
        <v>12485</v>
      </c>
      <c r="B11110" t="s">
        <v>531</v>
      </c>
      <c r="C11110">
        <v>605</v>
      </c>
      <c r="D11110">
        <v>484</v>
      </c>
      <c r="E11110">
        <v>0</v>
      </c>
      <c r="F11110">
        <v>405</v>
      </c>
      <c r="G11110">
        <v>0</v>
      </c>
      <c r="H11110" t="s">
        <v>16018</v>
      </c>
      <c r="I11110">
        <v>12485</v>
      </c>
      <c r="J11110" t="e">
        <f>VLOOKUP(E11110,DSSpieler!A:B,2,FALSE)</f>
        <v>#N/A</v>
      </c>
    </row>
    <row r="11111" spans="1:10" x14ac:dyDescent="0.25">
      <c r="A11111">
        <v>12486</v>
      </c>
      <c r="B11111" t="s">
        <v>898</v>
      </c>
      <c r="C11111">
        <v>400</v>
      </c>
      <c r="D11111">
        <v>520</v>
      </c>
      <c r="E11111">
        <v>1577177037</v>
      </c>
      <c r="F11111">
        <v>7183</v>
      </c>
      <c r="G11111">
        <v>0</v>
      </c>
      <c r="H11111" t="s">
        <v>16019</v>
      </c>
      <c r="I11111">
        <v>12486</v>
      </c>
      <c r="J11111" t="str">
        <f>VLOOKUP(E11111,DSSpieler!A:B,2,FALSE)</f>
        <v>Reaperkill</v>
      </c>
    </row>
    <row r="11112" spans="1:10" x14ac:dyDescent="0.25">
      <c r="A11112">
        <v>12487</v>
      </c>
      <c r="B11112" t="s">
        <v>30622</v>
      </c>
      <c r="C11112">
        <v>399</v>
      </c>
      <c r="D11112">
        <v>466</v>
      </c>
      <c r="E11112">
        <v>1576585696</v>
      </c>
      <c r="F11112">
        <v>522</v>
      </c>
      <c r="G11112">
        <v>0</v>
      </c>
      <c r="H11112" t="s">
        <v>16020</v>
      </c>
      <c r="I11112">
        <v>12487</v>
      </c>
      <c r="J11112" t="str">
        <f>VLOOKUP(E11112,DSSpieler!A:B,2,FALSE)</f>
        <v>König Kevin die Seegurke</v>
      </c>
    </row>
    <row r="11113" spans="1:10" x14ac:dyDescent="0.25">
      <c r="A11113">
        <v>12488</v>
      </c>
      <c r="B11113" t="s">
        <v>2132</v>
      </c>
      <c r="C11113">
        <v>386</v>
      </c>
      <c r="D11113">
        <v>503</v>
      </c>
      <c r="E11113">
        <v>1577151359</v>
      </c>
      <c r="F11113">
        <v>4293</v>
      </c>
      <c r="G11113">
        <v>0</v>
      </c>
      <c r="H11113" t="s">
        <v>16021</v>
      </c>
      <c r="I11113">
        <v>12488</v>
      </c>
      <c r="J11113" t="str">
        <f>VLOOKUP(E11113,DSSpieler!A:B,2,FALSE)</f>
        <v>Lucille91</v>
      </c>
    </row>
    <row r="11114" spans="1:10" x14ac:dyDescent="0.25">
      <c r="A11114">
        <v>12489</v>
      </c>
      <c r="B11114">
        <v>3</v>
      </c>
      <c r="C11114">
        <v>395</v>
      </c>
      <c r="D11114">
        <v>515</v>
      </c>
      <c r="E11114">
        <v>9907962</v>
      </c>
      <c r="F11114">
        <v>8247</v>
      </c>
      <c r="G11114">
        <v>0</v>
      </c>
      <c r="H11114" t="s">
        <v>16022</v>
      </c>
      <c r="I11114">
        <v>12489</v>
      </c>
      <c r="J11114" t="str">
        <f>VLOOKUP(E11114,DSSpieler!A:B,2,FALSE)</f>
        <v>florator</v>
      </c>
    </row>
    <row r="11115" spans="1:10" x14ac:dyDescent="0.25">
      <c r="A11115">
        <v>12490</v>
      </c>
      <c r="B11115" t="s">
        <v>34423</v>
      </c>
      <c r="C11115">
        <v>496</v>
      </c>
      <c r="D11115">
        <v>394</v>
      </c>
      <c r="E11115">
        <v>1577199146</v>
      </c>
      <c r="F11115">
        <v>6036</v>
      </c>
      <c r="G11115">
        <v>0</v>
      </c>
      <c r="H11115" t="s">
        <v>16023</v>
      </c>
      <c r="I11115">
        <v>12490</v>
      </c>
      <c r="J11115" t="str">
        <f>VLOOKUP(E11115,DSSpieler!A:B,2,FALSE)</f>
        <v>Daison</v>
      </c>
    </row>
    <row r="11116" spans="1:10" x14ac:dyDescent="0.25">
      <c r="A11116">
        <v>12491</v>
      </c>
      <c r="B11116" t="s">
        <v>31308</v>
      </c>
      <c r="C11116">
        <v>395</v>
      </c>
      <c r="D11116">
        <v>468</v>
      </c>
      <c r="E11116">
        <v>1576585696</v>
      </c>
      <c r="F11116">
        <v>5030</v>
      </c>
      <c r="G11116">
        <v>0</v>
      </c>
      <c r="H11116" t="s">
        <v>16024</v>
      </c>
      <c r="I11116">
        <v>12491</v>
      </c>
      <c r="J11116" t="str">
        <f>VLOOKUP(E11116,DSSpieler!A:B,2,FALSE)</f>
        <v>König Kevin die Seegurke</v>
      </c>
    </row>
    <row r="11117" spans="1:10" x14ac:dyDescent="0.25">
      <c r="A11117">
        <v>12492</v>
      </c>
      <c r="B11117" t="s">
        <v>531</v>
      </c>
      <c r="C11117">
        <v>602</v>
      </c>
      <c r="D11117">
        <v>532</v>
      </c>
      <c r="E11117">
        <v>0</v>
      </c>
      <c r="F11117">
        <v>298</v>
      </c>
      <c r="G11117">
        <v>0</v>
      </c>
      <c r="H11117" t="s">
        <v>16025</v>
      </c>
      <c r="I11117">
        <v>12492</v>
      </c>
      <c r="J11117" t="e">
        <f>VLOOKUP(E11117,DSSpieler!A:B,2,FALSE)</f>
        <v>#N/A</v>
      </c>
    </row>
    <row r="11118" spans="1:10" x14ac:dyDescent="0.25">
      <c r="A11118">
        <v>12494</v>
      </c>
      <c r="B11118" t="s">
        <v>531</v>
      </c>
      <c r="C11118">
        <v>462</v>
      </c>
      <c r="D11118">
        <v>399</v>
      </c>
      <c r="E11118">
        <v>0</v>
      </c>
      <c r="F11118">
        <v>244</v>
      </c>
      <c r="G11118">
        <v>0</v>
      </c>
      <c r="H11118" t="s">
        <v>16026</v>
      </c>
      <c r="I11118">
        <v>12494</v>
      </c>
      <c r="J11118" t="e">
        <f>VLOOKUP(E11118,DSSpieler!A:B,2,FALSE)</f>
        <v>#N/A</v>
      </c>
    </row>
    <row r="11119" spans="1:10" x14ac:dyDescent="0.25">
      <c r="A11119">
        <v>12495</v>
      </c>
      <c r="B11119" t="s">
        <v>531</v>
      </c>
      <c r="C11119">
        <v>524</v>
      </c>
      <c r="D11119">
        <v>605</v>
      </c>
      <c r="E11119">
        <v>0</v>
      </c>
      <c r="F11119">
        <v>183</v>
      </c>
      <c r="G11119">
        <v>0</v>
      </c>
      <c r="H11119" t="s">
        <v>16027</v>
      </c>
      <c r="I11119">
        <v>12495</v>
      </c>
      <c r="J11119" t="e">
        <f>VLOOKUP(E11119,DSSpieler!A:B,2,FALSE)</f>
        <v>#N/A</v>
      </c>
    </row>
    <row r="11120" spans="1:10" x14ac:dyDescent="0.25">
      <c r="A11120">
        <v>12496</v>
      </c>
      <c r="B11120" t="s">
        <v>531</v>
      </c>
      <c r="C11120">
        <v>511</v>
      </c>
      <c r="D11120">
        <v>606</v>
      </c>
      <c r="E11120">
        <v>0</v>
      </c>
      <c r="F11120">
        <v>1014</v>
      </c>
      <c r="G11120">
        <v>0</v>
      </c>
      <c r="H11120" t="s">
        <v>16028</v>
      </c>
      <c r="I11120">
        <v>12496</v>
      </c>
      <c r="J11120" t="e">
        <f>VLOOKUP(E11120,DSSpieler!A:B,2,FALSE)</f>
        <v>#N/A</v>
      </c>
    </row>
    <row r="11121" spans="1:10" x14ac:dyDescent="0.25">
      <c r="A11121">
        <v>12497</v>
      </c>
      <c r="B11121" t="s">
        <v>531</v>
      </c>
      <c r="C11121">
        <v>474</v>
      </c>
      <c r="D11121">
        <v>393</v>
      </c>
      <c r="E11121">
        <v>0</v>
      </c>
      <c r="F11121">
        <v>497</v>
      </c>
      <c r="G11121">
        <v>0</v>
      </c>
      <c r="H11121" t="s">
        <v>16029</v>
      </c>
      <c r="I11121">
        <v>12497</v>
      </c>
      <c r="J11121" t="e">
        <f>VLOOKUP(E11121,DSSpieler!A:B,2,FALSE)</f>
        <v>#N/A</v>
      </c>
    </row>
    <row r="11122" spans="1:10" x14ac:dyDescent="0.25">
      <c r="A11122">
        <v>12498</v>
      </c>
      <c r="B11122" t="s">
        <v>531</v>
      </c>
      <c r="C11122">
        <v>425</v>
      </c>
      <c r="D11122">
        <v>423</v>
      </c>
      <c r="E11122">
        <v>0</v>
      </c>
      <c r="F11122">
        <v>442</v>
      </c>
      <c r="G11122">
        <v>0</v>
      </c>
      <c r="H11122" t="s">
        <v>16030</v>
      </c>
      <c r="I11122">
        <v>12498</v>
      </c>
      <c r="J11122" t="e">
        <f>VLOOKUP(E11122,DSSpieler!A:B,2,FALSE)</f>
        <v>#N/A</v>
      </c>
    </row>
    <row r="11123" spans="1:10" x14ac:dyDescent="0.25">
      <c r="A11123">
        <v>12499</v>
      </c>
      <c r="B11123" t="s">
        <v>531</v>
      </c>
      <c r="C11123">
        <v>462</v>
      </c>
      <c r="D11123">
        <v>398</v>
      </c>
      <c r="E11123">
        <v>0</v>
      </c>
      <c r="F11123">
        <v>266</v>
      </c>
      <c r="G11123">
        <v>0</v>
      </c>
      <c r="H11123" t="s">
        <v>16031</v>
      </c>
      <c r="I11123">
        <v>12499</v>
      </c>
      <c r="J11123" t="e">
        <f>VLOOKUP(E11123,DSSpieler!A:B,2,FALSE)</f>
        <v>#N/A</v>
      </c>
    </row>
    <row r="11124" spans="1:10" x14ac:dyDescent="0.25">
      <c r="A11124">
        <v>12500</v>
      </c>
      <c r="B11124" t="s">
        <v>34424</v>
      </c>
      <c r="C11124">
        <v>561</v>
      </c>
      <c r="D11124">
        <v>412</v>
      </c>
      <c r="E11124">
        <v>10028664</v>
      </c>
      <c r="F11124">
        <v>4115</v>
      </c>
      <c r="G11124">
        <v>0</v>
      </c>
      <c r="H11124" t="s">
        <v>16032</v>
      </c>
      <c r="I11124">
        <v>12500</v>
      </c>
      <c r="J11124" t="str">
        <f>VLOOKUP(E11124,DSSpieler!A:B,2,FALSE)</f>
        <v>Waldinator3005</v>
      </c>
    </row>
    <row r="11125" spans="1:10" x14ac:dyDescent="0.25">
      <c r="A11125">
        <v>12501</v>
      </c>
      <c r="B11125" t="s">
        <v>531</v>
      </c>
      <c r="C11125">
        <v>549</v>
      </c>
      <c r="D11125">
        <v>403</v>
      </c>
      <c r="E11125">
        <v>0</v>
      </c>
      <c r="F11125">
        <v>281</v>
      </c>
      <c r="G11125">
        <v>0</v>
      </c>
      <c r="H11125" t="s">
        <v>16033</v>
      </c>
      <c r="I11125">
        <v>12501</v>
      </c>
      <c r="J11125" t="e">
        <f>VLOOKUP(E11125,DSSpieler!A:B,2,FALSE)</f>
        <v>#N/A</v>
      </c>
    </row>
    <row r="11126" spans="1:10" x14ac:dyDescent="0.25">
      <c r="A11126">
        <v>12502</v>
      </c>
      <c r="B11126" t="s">
        <v>531</v>
      </c>
      <c r="C11126">
        <v>391</v>
      </c>
      <c r="D11126">
        <v>498</v>
      </c>
      <c r="E11126">
        <v>0</v>
      </c>
      <c r="F11126">
        <v>466</v>
      </c>
      <c r="G11126">
        <v>0</v>
      </c>
      <c r="H11126" t="s">
        <v>16034</v>
      </c>
      <c r="I11126">
        <v>12502</v>
      </c>
      <c r="J11126" t="e">
        <f>VLOOKUP(E11126,DSSpieler!A:B,2,FALSE)</f>
        <v>#N/A</v>
      </c>
    </row>
    <row r="11127" spans="1:10" x14ac:dyDescent="0.25">
      <c r="A11127">
        <v>12504</v>
      </c>
      <c r="B11127" t="s">
        <v>34425</v>
      </c>
      <c r="C11127">
        <v>529</v>
      </c>
      <c r="D11127">
        <v>391</v>
      </c>
      <c r="E11127">
        <v>9475407</v>
      </c>
      <c r="F11127">
        <v>1065</v>
      </c>
      <c r="G11127">
        <v>0</v>
      </c>
      <c r="H11127" t="s">
        <v>16035</v>
      </c>
      <c r="I11127">
        <v>12504</v>
      </c>
      <c r="J11127" t="str">
        <f>VLOOKUP(E11127,DSSpieler!A:B,2,FALSE)</f>
        <v>OskadaZerstörer</v>
      </c>
    </row>
    <row r="11128" spans="1:10" x14ac:dyDescent="0.25">
      <c r="A11128">
        <v>12505</v>
      </c>
      <c r="B11128" t="s">
        <v>531</v>
      </c>
      <c r="C11128">
        <v>454</v>
      </c>
      <c r="D11128">
        <v>599</v>
      </c>
      <c r="E11128">
        <v>0</v>
      </c>
      <c r="F11128">
        <v>294</v>
      </c>
      <c r="G11128">
        <v>0</v>
      </c>
      <c r="H11128" t="s">
        <v>16036</v>
      </c>
      <c r="I11128">
        <v>12505</v>
      </c>
      <c r="J11128" t="e">
        <f>VLOOKUP(E11128,DSSpieler!A:B,2,FALSE)</f>
        <v>#N/A</v>
      </c>
    </row>
    <row r="11129" spans="1:10" x14ac:dyDescent="0.25">
      <c r="A11129">
        <v>12506</v>
      </c>
      <c r="B11129" t="s">
        <v>2133</v>
      </c>
      <c r="C11129">
        <v>479</v>
      </c>
      <c r="D11129">
        <v>535</v>
      </c>
      <c r="E11129">
        <v>1577199157</v>
      </c>
      <c r="F11129">
        <v>5916</v>
      </c>
      <c r="G11129">
        <v>0</v>
      </c>
      <c r="H11129" t="s">
        <v>16037</v>
      </c>
      <c r="I11129">
        <v>12506</v>
      </c>
      <c r="J11129" t="str">
        <f>VLOOKUP(E11129,DSSpieler!A:B,2,FALSE)</f>
        <v>wgo-habasch</v>
      </c>
    </row>
    <row r="11130" spans="1:10" x14ac:dyDescent="0.25">
      <c r="A11130">
        <v>12508</v>
      </c>
      <c r="B11130" t="s">
        <v>2134</v>
      </c>
      <c r="C11130">
        <v>496</v>
      </c>
      <c r="D11130">
        <v>388</v>
      </c>
      <c r="E11130">
        <v>1576863526</v>
      </c>
      <c r="F11130">
        <v>2487</v>
      </c>
      <c r="G11130">
        <v>0</v>
      </c>
      <c r="H11130" t="s">
        <v>16038</v>
      </c>
      <c r="I11130">
        <v>12508</v>
      </c>
      <c r="J11130" t="str">
        <f>VLOOKUP(E11130,DSSpieler!A:B,2,FALSE)</f>
        <v>derRichter95</v>
      </c>
    </row>
    <row r="11131" spans="1:10" x14ac:dyDescent="0.25">
      <c r="A11131">
        <v>12509</v>
      </c>
      <c r="B11131" t="s">
        <v>531</v>
      </c>
      <c r="C11131">
        <v>519</v>
      </c>
      <c r="D11131">
        <v>392</v>
      </c>
      <c r="E11131">
        <v>0</v>
      </c>
      <c r="F11131">
        <v>240</v>
      </c>
      <c r="G11131">
        <v>0</v>
      </c>
      <c r="H11131" t="s">
        <v>16039</v>
      </c>
      <c r="I11131">
        <v>12509</v>
      </c>
      <c r="J11131" t="e">
        <f>VLOOKUP(E11131,DSSpieler!A:B,2,FALSE)</f>
        <v>#N/A</v>
      </c>
    </row>
    <row r="11132" spans="1:10" x14ac:dyDescent="0.25">
      <c r="A11132">
        <v>12510</v>
      </c>
      <c r="B11132" t="s">
        <v>31002</v>
      </c>
      <c r="C11132">
        <v>413</v>
      </c>
      <c r="D11132">
        <v>439</v>
      </c>
      <c r="E11132">
        <v>201775</v>
      </c>
      <c r="F11132">
        <v>1321</v>
      </c>
      <c r="G11132">
        <v>0</v>
      </c>
      <c r="H11132" t="s">
        <v>16040</v>
      </c>
      <c r="I11132">
        <v>12510</v>
      </c>
      <c r="J11132" t="str">
        <f>VLOOKUP(E11132,DSSpieler!A:B,2,FALSE)</f>
        <v>hoppsing</v>
      </c>
    </row>
    <row r="11133" spans="1:10" x14ac:dyDescent="0.25">
      <c r="A11133">
        <v>12511</v>
      </c>
      <c r="B11133" t="s">
        <v>531</v>
      </c>
      <c r="C11133">
        <v>526</v>
      </c>
      <c r="D11133">
        <v>519</v>
      </c>
      <c r="E11133">
        <v>0</v>
      </c>
      <c r="F11133">
        <v>838</v>
      </c>
      <c r="G11133">
        <v>0</v>
      </c>
      <c r="H11133" t="s">
        <v>16041</v>
      </c>
      <c r="I11133">
        <v>12511</v>
      </c>
      <c r="J11133" t="e">
        <f>VLOOKUP(E11133,DSSpieler!A:B,2,FALSE)</f>
        <v>#N/A</v>
      </c>
    </row>
    <row r="11134" spans="1:10" x14ac:dyDescent="0.25">
      <c r="A11134">
        <v>12512</v>
      </c>
      <c r="B11134" t="s">
        <v>32373</v>
      </c>
      <c r="C11134">
        <v>575</v>
      </c>
      <c r="D11134">
        <v>579</v>
      </c>
      <c r="E11134">
        <v>670684</v>
      </c>
      <c r="F11134">
        <v>3978</v>
      </c>
      <c r="G11134">
        <v>0</v>
      </c>
      <c r="H11134" t="s">
        <v>16042</v>
      </c>
      <c r="I11134">
        <v>12512</v>
      </c>
      <c r="J11134" t="str">
        <f>VLOOKUP(E11134,DSSpieler!A:B,2,FALSE)</f>
        <v>boosterkilla</v>
      </c>
    </row>
    <row r="11135" spans="1:10" x14ac:dyDescent="0.25">
      <c r="A11135">
        <v>12513</v>
      </c>
      <c r="B11135" t="s">
        <v>2135</v>
      </c>
      <c r="C11135">
        <v>587</v>
      </c>
      <c r="D11135">
        <v>439</v>
      </c>
      <c r="E11135">
        <v>1577116127</v>
      </c>
      <c r="F11135">
        <v>2942</v>
      </c>
      <c r="G11135">
        <v>0</v>
      </c>
      <c r="H11135" t="s">
        <v>16043</v>
      </c>
      <c r="I11135">
        <v>12513</v>
      </c>
      <c r="J11135" t="str">
        <f>VLOOKUP(E11135,DSSpieler!A:B,2,FALSE)</f>
        <v>awruK</v>
      </c>
    </row>
    <row r="11136" spans="1:10" x14ac:dyDescent="0.25">
      <c r="A11136">
        <v>12514</v>
      </c>
      <c r="B11136" t="s">
        <v>531</v>
      </c>
      <c r="C11136">
        <v>414</v>
      </c>
      <c r="D11136">
        <v>437</v>
      </c>
      <c r="E11136">
        <v>0</v>
      </c>
      <c r="F11136">
        <v>351</v>
      </c>
      <c r="G11136">
        <v>0</v>
      </c>
      <c r="H11136" t="s">
        <v>16044</v>
      </c>
      <c r="I11136">
        <v>12514</v>
      </c>
      <c r="J11136" t="e">
        <f>VLOOKUP(E11136,DSSpieler!A:B,2,FALSE)</f>
        <v>#N/A</v>
      </c>
    </row>
    <row r="11137" spans="1:10" x14ac:dyDescent="0.25">
      <c r="A11137">
        <v>12515</v>
      </c>
      <c r="B11137" t="s">
        <v>2136</v>
      </c>
      <c r="C11137">
        <v>532</v>
      </c>
      <c r="D11137">
        <v>393</v>
      </c>
      <c r="E11137">
        <v>1577183510</v>
      </c>
      <c r="F11137">
        <v>2709</v>
      </c>
      <c r="G11137">
        <v>0</v>
      </c>
      <c r="H11137" t="s">
        <v>16045</v>
      </c>
      <c r="I11137">
        <v>12515</v>
      </c>
      <c r="J11137" t="str">
        <f>VLOOKUP(E11137,DSSpieler!A:B,2,FALSE)</f>
        <v>Apfelring</v>
      </c>
    </row>
    <row r="11138" spans="1:10" x14ac:dyDescent="0.25">
      <c r="A11138">
        <v>12517</v>
      </c>
      <c r="B11138" t="s">
        <v>34426</v>
      </c>
      <c r="C11138">
        <v>488</v>
      </c>
      <c r="D11138">
        <v>394</v>
      </c>
      <c r="E11138">
        <v>9631608</v>
      </c>
      <c r="F11138">
        <v>3788</v>
      </c>
      <c r="G11138">
        <v>0</v>
      </c>
      <c r="H11138" t="s">
        <v>16046</v>
      </c>
      <c r="I11138">
        <v>12517</v>
      </c>
      <c r="J11138" t="str">
        <f>VLOOKUP(E11138,DSSpieler!A:B,2,FALSE)</f>
        <v>balin2000</v>
      </c>
    </row>
    <row r="11139" spans="1:10" x14ac:dyDescent="0.25">
      <c r="A11139">
        <v>12519</v>
      </c>
      <c r="B11139" t="s">
        <v>531</v>
      </c>
      <c r="C11139">
        <v>505</v>
      </c>
      <c r="D11139">
        <v>607</v>
      </c>
      <c r="E11139">
        <v>0</v>
      </c>
      <c r="F11139">
        <v>250</v>
      </c>
      <c r="G11139">
        <v>0</v>
      </c>
      <c r="H11139" t="s">
        <v>16047</v>
      </c>
      <c r="I11139">
        <v>12519</v>
      </c>
      <c r="J11139" t="e">
        <f>VLOOKUP(E11139,DSSpieler!A:B,2,FALSE)</f>
        <v>#N/A</v>
      </c>
    </row>
    <row r="11140" spans="1:10" x14ac:dyDescent="0.25">
      <c r="A11140">
        <v>12521</v>
      </c>
      <c r="B11140" t="s">
        <v>531</v>
      </c>
      <c r="C11140">
        <v>400</v>
      </c>
      <c r="D11140">
        <v>548</v>
      </c>
      <c r="E11140">
        <v>0</v>
      </c>
      <c r="F11140">
        <v>398</v>
      </c>
      <c r="G11140">
        <v>0</v>
      </c>
      <c r="H11140" t="s">
        <v>16048</v>
      </c>
      <c r="I11140">
        <v>12521</v>
      </c>
      <c r="J11140" t="e">
        <f>VLOOKUP(E11140,DSSpieler!A:B,2,FALSE)</f>
        <v>#N/A</v>
      </c>
    </row>
    <row r="11141" spans="1:10" x14ac:dyDescent="0.25">
      <c r="A11141">
        <v>12522</v>
      </c>
      <c r="B11141" t="s">
        <v>34427</v>
      </c>
      <c r="C11141">
        <v>547</v>
      </c>
      <c r="D11141">
        <v>412</v>
      </c>
      <c r="E11141">
        <v>1577136457</v>
      </c>
      <c r="F11141">
        <v>5055</v>
      </c>
      <c r="G11141">
        <v>0</v>
      </c>
      <c r="H11141" t="s">
        <v>16049</v>
      </c>
      <c r="I11141">
        <v>12522</v>
      </c>
      <c r="J11141" t="str">
        <f>VLOOKUP(E11141,DSSpieler!A:B,2,FALSE)</f>
        <v>BlackPanther411</v>
      </c>
    </row>
    <row r="11142" spans="1:10" x14ac:dyDescent="0.25">
      <c r="A11142">
        <v>12523</v>
      </c>
      <c r="B11142" t="s">
        <v>34428</v>
      </c>
      <c r="C11142">
        <v>462</v>
      </c>
      <c r="D11142">
        <v>587</v>
      </c>
      <c r="E11142">
        <v>1576708425</v>
      </c>
      <c r="F11142">
        <v>4395</v>
      </c>
      <c r="G11142">
        <v>0</v>
      </c>
      <c r="H11142" t="s">
        <v>16050</v>
      </c>
      <c r="I11142">
        <v>12523</v>
      </c>
      <c r="J11142" t="str">
        <f>VLOOKUP(E11142,DSSpieler!A:B,2,FALSE)</f>
        <v>Kingatala</v>
      </c>
    </row>
    <row r="11143" spans="1:10" x14ac:dyDescent="0.25">
      <c r="A11143">
        <v>12524</v>
      </c>
      <c r="B11143" t="s">
        <v>531</v>
      </c>
      <c r="C11143">
        <v>401</v>
      </c>
      <c r="D11143">
        <v>456</v>
      </c>
      <c r="E11143">
        <v>9337931</v>
      </c>
      <c r="F11143">
        <v>1903</v>
      </c>
      <c r="G11143">
        <v>0</v>
      </c>
      <c r="H11143" t="s">
        <v>16051</v>
      </c>
      <c r="I11143">
        <v>12524</v>
      </c>
      <c r="J11143" t="str">
        <f>VLOOKUP(E11143,DSSpieler!A:B,2,FALSE)</f>
        <v>Fiji auf die Uhr</v>
      </c>
    </row>
    <row r="11144" spans="1:10" x14ac:dyDescent="0.25">
      <c r="A11144">
        <v>12525</v>
      </c>
      <c r="B11144" t="s">
        <v>34429</v>
      </c>
      <c r="C11144">
        <v>497</v>
      </c>
      <c r="D11144">
        <v>392</v>
      </c>
      <c r="E11144">
        <v>1577112671</v>
      </c>
      <c r="F11144">
        <v>5472</v>
      </c>
      <c r="G11144">
        <v>0</v>
      </c>
      <c r="H11144" t="s">
        <v>16052</v>
      </c>
      <c r="I11144">
        <v>12525</v>
      </c>
      <c r="J11144" t="str">
        <f>VLOOKUP(E11144,DSSpieler!A:B,2,FALSE)</f>
        <v>TSM Drogon</v>
      </c>
    </row>
    <row r="11145" spans="1:10" x14ac:dyDescent="0.25">
      <c r="A11145">
        <v>12526</v>
      </c>
      <c r="B11145" t="s">
        <v>531</v>
      </c>
      <c r="C11145">
        <v>431</v>
      </c>
      <c r="D11145">
        <v>419</v>
      </c>
      <c r="E11145">
        <v>0</v>
      </c>
      <c r="F11145">
        <v>680</v>
      </c>
      <c r="G11145">
        <v>0</v>
      </c>
      <c r="H11145" t="s">
        <v>16053</v>
      </c>
      <c r="I11145">
        <v>12526</v>
      </c>
      <c r="J11145" t="e">
        <f>VLOOKUP(E11145,DSSpieler!A:B,2,FALSE)</f>
        <v>#N/A</v>
      </c>
    </row>
    <row r="11146" spans="1:10" x14ac:dyDescent="0.25">
      <c r="A11146">
        <v>12527</v>
      </c>
      <c r="B11146" t="s">
        <v>2137</v>
      </c>
      <c r="C11146">
        <v>534</v>
      </c>
      <c r="D11146">
        <v>575</v>
      </c>
      <c r="E11146">
        <v>1576992370</v>
      </c>
      <c r="F11146">
        <v>6523</v>
      </c>
      <c r="G11146">
        <v>0</v>
      </c>
      <c r="H11146" t="s">
        <v>16054</v>
      </c>
      <c r="I11146">
        <v>12527</v>
      </c>
      <c r="J11146" t="str">
        <f>VLOOKUP(E11146,DSSpieler!A:B,2,FALSE)</f>
        <v>MatzeSGA</v>
      </c>
    </row>
    <row r="11147" spans="1:10" x14ac:dyDescent="0.25">
      <c r="A11147">
        <v>12528</v>
      </c>
      <c r="B11147">
        <v>1902</v>
      </c>
      <c r="C11147">
        <v>562</v>
      </c>
      <c r="D11147">
        <v>406</v>
      </c>
      <c r="E11147">
        <v>1577184564</v>
      </c>
      <c r="F11147">
        <v>4118</v>
      </c>
      <c r="G11147">
        <v>0</v>
      </c>
      <c r="H11147" t="s">
        <v>16055</v>
      </c>
      <c r="I11147">
        <v>12528</v>
      </c>
      <c r="J11147" t="str">
        <f>VLOOKUP(E11147,DSSpieler!A:B,2,FALSE)</f>
        <v>Raztur</v>
      </c>
    </row>
    <row r="11148" spans="1:10" x14ac:dyDescent="0.25">
      <c r="A11148">
        <v>12530</v>
      </c>
      <c r="B11148" t="s">
        <v>531</v>
      </c>
      <c r="C11148">
        <v>449</v>
      </c>
      <c r="D11148">
        <v>403</v>
      </c>
      <c r="E11148">
        <v>0</v>
      </c>
      <c r="F11148">
        <v>269</v>
      </c>
      <c r="G11148">
        <v>0</v>
      </c>
      <c r="H11148" t="s">
        <v>16056</v>
      </c>
      <c r="I11148">
        <v>12530</v>
      </c>
      <c r="J11148" t="e">
        <f>VLOOKUP(E11148,DSSpieler!A:B,2,FALSE)</f>
        <v>#N/A</v>
      </c>
    </row>
    <row r="11149" spans="1:10" x14ac:dyDescent="0.25">
      <c r="A11149">
        <v>12531</v>
      </c>
      <c r="B11149" t="s">
        <v>34430</v>
      </c>
      <c r="C11149">
        <v>611</v>
      </c>
      <c r="D11149">
        <v>510</v>
      </c>
      <c r="E11149">
        <v>8185409</v>
      </c>
      <c r="F11149">
        <v>5112</v>
      </c>
      <c r="G11149">
        <v>0</v>
      </c>
      <c r="H11149" t="s">
        <v>16057</v>
      </c>
      <c r="I11149">
        <v>12531</v>
      </c>
      <c r="J11149" t="str">
        <f>VLOOKUP(E11149,DSSpieler!A:B,2,FALSE)</f>
        <v>Dian Keto</v>
      </c>
    </row>
    <row r="11150" spans="1:10" x14ac:dyDescent="0.25">
      <c r="A11150">
        <v>12532</v>
      </c>
      <c r="B11150" t="s">
        <v>34431</v>
      </c>
      <c r="C11150">
        <v>563</v>
      </c>
      <c r="D11150">
        <v>590</v>
      </c>
      <c r="E11150">
        <v>1576529285</v>
      </c>
      <c r="F11150">
        <v>4884</v>
      </c>
      <c r="G11150">
        <v>0</v>
      </c>
      <c r="H11150" t="s">
        <v>16058</v>
      </c>
      <c r="I11150">
        <v>12532</v>
      </c>
      <c r="J11150" t="str">
        <f>VLOOKUP(E11150,DSSpieler!A:B,2,FALSE)</f>
        <v>supinator</v>
      </c>
    </row>
    <row r="11151" spans="1:10" x14ac:dyDescent="0.25">
      <c r="A11151">
        <v>12533</v>
      </c>
      <c r="B11151" t="s">
        <v>34432</v>
      </c>
      <c r="C11151">
        <v>450</v>
      </c>
      <c r="D11151">
        <v>405</v>
      </c>
      <c r="E11151">
        <v>1577164215</v>
      </c>
      <c r="F11151">
        <v>5593</v>
      </c>
      <c r="G11151">
        <v>0</v>
      </c>
      <c r="H11151" t="s">
        <v>16059</v>
      </c>
      <c r="I11151">
        <v>12533</v>
      </c>
      <c r="J11151" t="str">
        <f>VLOOKUP(E11151,DSSpieler!A:B,2,FALSE)</f>
        <v>chrissle</v>
      </c>
    </row>
    <row r="11152" spans="1:10" x14ac:dyDescent="0.25">
      <c r="A11152">
        <v>12534</v>
      </c>
      <c r="B11152" t="s">
        <v>31311</v>
      </c>
      <c r="C11152">
        <v>558</v>
      </c>
      <c r="D11152">
        <v>589</v>
      </c>
      <c r="E11152">
        <v>1576831592</v>
      </c>
      <c r="F11152">
        <v>3982</v>
      </c>
      <c r="G11152">
        <v>0</v>
      </c>
      <c r="H11152" t="s">
        <v>16060</v>
      </c>
      <c r="I11152">
        <v>12534</v>
      </c>
      <c r="J11152" t="str">
        <f>VLOOKUP(E11152,DSSpieler!A:B,2,FALSE)</f>
        <v>UselessTeam</v>
      </c>
    </row>
    <row r="11153" spans="1:10" x14ac:dyDescent="0.25">
      <c r="A11153">
        <v>12535</v>
      </c>
      <c r="B11153" t="s">
        <v>34433</v>
      </c>
      <c r="C11153">
        <v>561</v>
      </c>
      <c r="D11153">
        <v>586</v>
      </c>
      <c r="E11153">
        <v>1576134517</v>
      </c>
      <c r="F11153">
        <v>5308</v>
      </c>
      <c r="G11153">
        <v>0</v>
      </c>
      <c r="H11153" t="s">
        <v>16061</v>
      </c>
      <c r="I11153">
        <v>12535</v>
      </c>
      <c r="J11153" t="str">
        <f>VLOOKUP(E11153,DSSpieler!A:B,2,FALSE)</f>
        <v>Gammler9</v>
      </c>
    </row>
    <row r="11154" spans="1:10" x14ac:dyDescent="0.25">
      <c r="A11154">
        <v>12536</v>
      </c>
      <c r="B11154" t="s">
        <v>31494</v>
      </c>
      <c r="C11154">
        <v>563</v>
      </c>
      <c r="D11154">
        <v>582</v>
      </c>
      <c r="E11154">
        <v>10150608</v>
      </c>
      <c r="F11154">
        <v>5428</v>
      </c>
      <c r="G11154">
        <v>0</v>
      </c>
      <c r="H11154" t="s">
        <v>16062</v>
      </c>
      <c r="I11154">
        <v>12536</v>
      </c>
      <c r="J11154" t="str">
        <f>VLOOKUP(E11154,DSSpieler!A:B,2,FALSE)</f>
        <v>L@ser</v>
      </c>
    </row>
    <row r="11155" spans="1:10" x14ac:dyDescent="0.25">
      <c r="A11155">
        <v>12537</v>
      </c>
      <c r="B11155" t="s">
        <v>2138</v>
      </c>
      <c r="C11155">
        <v>549</v>
      </c>
      <c r="D11155">
        <v>410</v>
      </c>
      <c r="E11155">
        <v>1577090084</v>
      </c>
      <c r="F11155">
        <v>2389</v>
      </c>
      <c r="G11155">
        <v>0</v>
      </c>
      <c r="H11155" t="s">
        <v>16063</v>
      </c>
      <c r="I11155">
        <v>12537</v>
      </c>
      <c r="J11155" t="str">
        <f>VLOOKUP(E11155,DSSpieler!A:B,2,FALSE)</f>
        <v>YungF</v>
      </c>
    </row>
    <row r="11156" spans="1:10" x14ac:dyDescent="0.25">
      <c r="A11156">
        <v>12538</v>
      </c>
      <c r="B11156" t="s">
        <v>531</v>
      </c>
      <c r="C11156">
        <v>424</v>
      </c>
      <c r="D11156">
        <v>420</v>
      </c>
      <c r="E11156">
        <v>0</v>
      </c>
      <c r="F11156">
        <v>253</v>
      </c>
      <c r="G11156">
        <v>0</v>
      </c>
      <c r="H11156" t="s">
        <v>16064</v>
      </c>
      <c r="I11156">
        <v>12538</v>
      </c>
      <c r="J11156" t="e">
        <f>VLOOKUP(E11156,DSSpieler!A:B,2,FALSE)</f>
        <v>#N/A</v>
      </c>
    </row>
    <row r="11157" spans="1:10" x14ac:dyDescent="0.25">
      <c r="A11157">
        <v>12539</v>
      </c>
      <c r="B11157">
        <v>1</v>
      </c>
      <c r="C11157">
        <v>396</v>
      </c>
      <c r="D11157">
        <v>534</v>
      </c>
      <c r="E11157">
        <v>1577162920</v>
      </c>
      <c r="F11157">
        <v>7459</v>
      </c>
      <c r="G11157">
        <v>0</v>
      </c>
      <c r="H11157" t="s">
        <v>16065</v>
      </c>
      <c r="I11157">
        <v>12539</v>
      </c>
      <c r="J11157" t="str">
        <f>VLOOKUP(E11157,DSSpieler!A:B,2,FALSE)</f>
        <v>V3RO</v>
      </c>
    </row>
    <row r="11158" spans="1:10" x14ac:dyDescent="0.25">
      <c r="A11158">
        <v>12541</v>
      </c>
      <c r="B11158" t="s">
        <v>34434</v>
      </c>
      <c r="C11158">
        <v>446</v>
      </c>
      <c r="D11158">
        <v>403</v>
      </c>
      <c r="E11158">
        <v>1577119218</v>
      </c>
      <c r="F11158">
        <v>1622</v>
      </c>
      <c r="G11158">
        <v>0</v>
      </c>
      <c r="H11158" t="s">
        <v>16066</v>
      </c>
      <c r="I11158">
        <v>12541</v>
      </c>
      <c r="J11158" t="str">
        <f>VLOOKUP(E11158,DSSpieler!A:B,2,FALSE)</f>
        <v>kiddykorn</v>
      </c>
    </row>
    <row r="11159" spans="1:10" x14ac:dyDescent="0.25">
      <c r="A11159">
        <v>12542</v>
      </c>
      <c r="B11159" t="s">
        <v>2139</v>
      </c>
      <c r="C11159">
        <v>559</v>
      </c>
      <c r="D11159">
        <v>407</v>
      </c>
      <c r="E11159">
        <v>1577178033</v>
      </c>
      <c r="F11159">
        <v>3717</v>
      </c>
      <c r="G11159">
        <v>0</v>
      </c>
      <c r="H11159" t="s">
        <v>16067</v>
      </c>
      <c r="I11159">
        <v>12542</v>
      </c>
      <c r="J11159" t="str">
        <f>VLOOKUP(E11159,DSSpieler!A:B,2,FALSE)</f>
        <v>Sir Norman</v>
      </c>
    </row>
    <row r="11160" spans="1:10" x14ac:dyDescent="0.25">
      <c r="A11160">
        <v>12543</v>
      </c>
      <c r="B11160" t="s">
        <v>34435</v>
      </c>
      <c r="C11160">
        <v>509</v>
      </c>
      <c r="D11160">
        <v>490</v>
      </c>
      <c r="E11160">
        <v>9102689</v>
      </c>
      <c r="F11160">
        <v>1250</v>
      </c>
      <c r="G11160">
        <v>0</v>
      </c>
      <c r="H11160" t="s">
        <v>16068</v>
      </c>
      <c r="I11160">
        <v>12543</v>
      </c>
      <c r="J11160" t="str">
        <f>VLOOKUP(E11160,DSSpieler!A:B,2,FALSE)</f>
        <v>Vanessa2704</v>
      </c>
    </row>
    <row r="11161" spans="1:10" x14ac:dyDescent="0.25">
      <c r="A11161">
        <v>12544</v>
      </c>
      <c r="B11161" t="s">
        <v>34436</v>
      </c>
      <c r="C11161">
        <v>540</v>
      </c>
      <c r="D11161">
        <v>549</v>
      </c>
      <c r="E11161">
        <v>1575830702</v>
      </c>
      <c r="F11161">
        <v>5699</v>
      </c>
      <c r="G11161">
        <v>0</v>
      </c>
      <c r="H11161" t="s">
        <v>16069</v>
      </c>
      <c r="I11161">
        <v>12544</v>
      </c>
      <c r="J11161" t="str">
        <f>VLOOKUP(E11161,DSSpieler!A:B,2,FALSE)</f>
        <v>PaPaScHuMpF</v>
      </c>
    </row>
    <row r="11162" spans="1:10" x14ac:dyDescent="0.25">
      <c r="A11162">
        <v>12545</v>
      </c>
      <c r="B11162" t="s">
        <v>34437</v>
      </c>
      <c r="C11162">
        <v>390</v>
      </c>
      <c r="D11162">
        <v>482</v>
      </c>
      <c r="E11162">
        <v>1577014267</v>
      </c>
      <c r="F11162">
        <v>5186</v>
      </c>
      <c r="G11162">
        <v>0</v>
      </c>
      <c r="H11162" t="s">
        <v>456</v>
      </c>
      <c r="I11162">
        <v>12545</v>
      </c>
      <c r="J11162" t="str">
        <f>VLOOKUP(E11162,DSSpieler!A:B,2,FALSE)</f>
        <v>Lord keulenkämpfer23</v>
      </c>
    </row>
    <row r="11163" spans="1:10" x14ac:dyDescent="0.25">
      <c r="A11163">
        <v>12546</v>
      </c>
      <c r="B11163" t="s">
        <v>546</v>
      </c>
      <c r="C11163">
        <v>497</v>
      </c>
      <c r="D11163">
        <v>447</v>
      </c>
      <c r="E11163">
        <v>9961160</v>
      </c>
      <c r="F11163">
        <v>3539</v>
      </c>
      <c r="G11163">
        <v>0</v>
      </c>
      <c r="H11163" t="s">
        <v>16070</v>
      </c>
      <c r="I11163">
        <v>12546</v>
      </c>
      <c r="J11163" t="str">
        <f>VLOOKUP(E11163,DSSpieler!A:B,2,FALSE)</f>
        <v>konkom</v>
      </c>
    </row>
    <row r="11164" spans="1:10" x14ac:dyDescent="0.25">
      <c r="A11164">
        <v>12547</v>
      </c>
      <c r="B11164" t="s">
        <v>531</v>
      </c>
      <c r="C11164">
        <v>413</v>
      </c>
      <c r="D11164">
        <v>431</v>
      </c>
      <c r="E11164">
        <v>0</v>
      </c>
      <c r="F11164">
        <v>213</v>
      </c>
      <c r="G11164">
        <v>0</v>
      </c>
      <c r="H11164" t="s">
        <v>16071</v>
      </c>
      <c r="I11164">
        <v>12547</v>
      </c>
      <c r="J11164" t="e">
        <f>VLOOKUP(E11164,DSSpieler!A:B,2,FALSE)</f>
        <v>#N/A</v>
      </c>
    </row>
    <row r="11165" spans="1:10" x14ac:dyDescent="0.25">
      <c r="A11165">
        <v>12548</v>
      </c>
      <c r="B11165" t="s">
        <v>34438</v>
      </c>
      <c r="C11165">
        <v>444</v>
      </c>
      <c r="D11165">
        <v>405</v>
      </c>
      <c r="E11165">
        <v>1577199172</v>
      </c>
      <c r="F11165">
        <v>4717</v>
      </c>
      <c r="G11165">
        <v>0</v>
      </c>
      <c r="H11165" t="s">
        <v>16072</v>
      </c>
      <c r="I11165">
        <v>12548</v>
      </c>
      <c r="J11165" t="str">
        <f>VLOOKUP(E11165,DSSpieler!A:B,2,FALSE)</f>
        <v>DominatorPopeyeSaurus</v>
      </c>
    </row>
    <row r="11166" spans="1:10" x14ac:dyDescent="0.25">
      <c r="A11166">
        <v>12549</v>
      </c>
      <c r="B11166" t="s">
        <v>34439</v>
      </c>
      <c r="C11166">
        <v>390</v>
      </c>
      <c r="D11166">
        <v>514</v>
      </c>
      <c r="E11166">
        <v>1577070192</v>
      </c>
      <c r="F11166">
        <v>5795</v>
      </c>
      <c r="G11166">
        <v>0</v>
      </c>
      <c r="H11166" t="s">
        <v>16073</v>
      </c>
      <c r="I11166">
        <v>12549</v>
      </c>
      <c r="J11166" t="str">
        <f>VLOOKUP(E11166,DSSpieler!A:B,2,FALSE)</f>
        <v>SirAmon</v>
      </c>
    </row>
    <row r="11167" spans="1:10" x14ac:dyDescent="0.25">
      <c r="A11167">
        <v>12550</v>
      </c>
      <c r="B11167" t="s">
        <v>34440</v>
      </c>
      <c r="C11167">
        <v>400</v>
      </c>
      <c r="D11167">
        <v>451</v>
      </c>
      <c r="E11167">
        <v>303009</v>
      </c>
      <c r="F11167">
        <v>3144</v>
      </c>
      <c r="G11167">
        <v>0</v>
      </c>
      <c r="H11167" t="s">
        <v>16074</v>
      </c>
      <c r="I11167">
        <v>12550</v>
      </c>
      <c r="J11167" t="str">
        <f>VLOOKUP(E11167,DSSpieler!A:B,2,FALSE)</f>
        <v>Spiritfenix</v>
      </c>
    </row>
    <row r="11168" spans="1:10" x14ac:dyDescent="0.25">
      <c r="A11168">
        <v>12552</v>
      </c>
      <c r="B11168" t="s">
        <v>531</v>
      </c>
      <c r="C11168">
        <v>397</v>
      </c>
      <c r="D11168">
        <v>471</v>
      </c>
      <c r="E11168">
        <v>0</v>
      </c>
      <c r="F11168">
        <v>252</v>
      </c>
      <c r="G11168">
        <v>0</v>
      </c>
      <c r="H11168" t="s">
        <v>16075</v>
      </c>
      <c r="I11168">
        <v>12552</v>
      </c>
      <c r="J11168" t="e">
        <f>VLOOKUP(E11168,DSSpieler!A:B,2,FALSE)</f>
        <v>#N/A</v>
      </c>
    </row>
    <row r="11169" spans="1:10" x14ac:dyDescent="0.25">
      <c r="A11169">
        <v>12553</v>
      </c>
      <c r="B11169" t="s">
        <v>2140</v>
      </c>
      <c r="C11169">
        <v>399</v>
      </c>
      <c r="D11169">
        <v>487</v>
      </c>
      <c r="E11169">
        <v>402135</v>
      </c>
      <c r="F11169">
        <v>1946</v>
      </c>
      <c r="G11169">
        <v>0</v>
      </c>
      <c r="H11169" t="s">
        <v>16076</v>
      </c>
      <c r="I11169">
        <v>12553</v>
      </c>
      <c r="J11169" t="str">
        <f>VLOOKUP(E11169,DSSpieler!A:B,2,FALSE)</f>
        <v>opossum888</v>
      </c>
    </row>
    <row r="11170" spans="1:10" x14ac:dyDescent="0.25">
      <c r="A11170">
        <v>12554</v>
      </c>
      <c r="B11170" t="s">
        <v>614</v>
      </c>
      <c r="C11170">
        <v>446</v>
      </c>
      <c r="D11170">
        <v>582</v>
      </c>
      <c r="E11170">
        <v>1577188913</v>
      </c>
      <c r="F11170">
        <v>4652</v>
      </c>
      <c r="G11170">
        <v>0</v>
      </c>
      <c r="H11170" t="s">
        <v>16077</v>
      </c>
      <c r="I11170">
        <v>12554</v>
      </c>
      <c r="J11170" t="str">
        <f>VLOOKUP(E11170,DSSpieler!A:B,2,FALSE)</f>
        <v>flexizzle</v>
      </c>
    </row>
    <row r="11171" spans="1:10" x14ac:dyDescent="0.25">
      <c r="A11171">
        <v>12555</v>
      </c>
      <c r="B11171" t="s">
        <v>34441</v>
      </c>
      <c r="C11171">
        <v>436</v>
      </c>
      <c r="D11171">
        <v>422</v>
      </c>
      <c r="E11171">
        <v>7806902</v>
      </c>
      <c r="F11171">
        <v>7502</v>
      </c>
      <c r="G11171">
        <v>0</v>
      </c>
      <c r="H11171" t="s">
        <v>16078</v>
      </c>
      <c r="I11171">
        <v>12555</v>
      </c>
      <c r="J11171" t="str">
        <f>VLOOKUP(E11171,DSSpieler!A:B,2,FALSE)</f>
        <v>Aiyomayo</v>
      </c>
    </row>
    <row r="11172" spans="1:10" x14ac:dyDescent="0.25">
      <c r="A11172">
        <v>12556</v>
      </c>
      <c r="B11172" t="s">
        <v>1801</v>
      </c>
      <c r="C11172">
        <v>445</v>
      </c>
      <c r="D11172">
        <v>579</v>
      </c>
      <c r="E11172">
        <v>1575844777</v>
      </c>
      <c r="F11172">
        <v>5078</v>
      </c>
      <c r="G11172">
        <v>0</v>
      </c>
      <c r="H11172" t="s">
        <v>16079</v>
      </c>
      <c r="I11172">
        <v>12556</v>
      </c>
      <c r="J11172" t="str">
        <f>VLOOKUP(E11172,DSSpieler!A:B,2,FALSE)</f>
        <v>TaKeItEaSy</v>
      </c>
    </row>
    <row r="11173" spans="1:10" x14ac:dyDescent="0.25">
      <c r="A11173">
        <v>12557</v>
      </c>
      <c r="B11173" t="s">
        <v>34442</v>
      </c>
      <c r="C11173">
        <v>419</v>
      </c>
      <c r="D11173">
        <v>423</v>
      </c>
      <c r="E11173">
        <v>1577175448</v>
      </c>
      <c r="F11173">
        <v>6029</v>
      </c>
      <c r="G11173">
        <v>0</v>
      </c>
      <c r="H11173" t="s">
        <v>16080</v>
      </c>
      <c r="I11173">
        <v>12557</v>
      </c>
      <c r="J11173" t="str">
        <f>VLOOKUP(E11173,DSSpieler!A:B,2,FALSE)</f>
        <v>KevinKohlrabi</v>
      </c>
    </row>
    <row r="11174" spans="1:10" x14ac:dyDescent="0.25">
      <c r="A11174">
        <v>12558</v>
      </c>
      <c r="B11174" t="s">
        <v>34443</v>
      </c>
      <c r="C11174">
        <v>537</v>
      </c>
      <c r="D11174">
        <v>395</v>
      </c>
      <c r="E11174">
        <v>1576662569</v>
      </c>
      <c r="F11174">
        <v>4553</v>
      </c>
      <c r="G11174">
        <v>0</v>
      </c>
      <c r="H11174" t="s">
        <v>16081</v>
      </c>
      <c r="I11174">
        <v>12558</v>
      </c>
      <c r="J11174" t="str">
        <f>VLOOKUP(E11174,DSSpieler!A:B,2,FALSE)</f>
        <v>anolisl</v>
      </c>
    </row>
    <row r="11175" spans="1:10" x14ac:dyDescent="0.25">
      <c r="A11175">
        <v>12559</v>
      </c>
      <c r="B11175" t="s">
        <v>531</v>
      </c>
      <c r="C11175">
        <v>560</v>
      </c>
      <c r="D11175">
        <v>591</v>
      </c>
      <c r="E11175">
        <v>0</v>
      </c>
      <c r="F11175">
        <v>728</v>
      </c>
      <c r="G11175">
        <v>0</v>
      </c>
      <c r="H11175" t="s">
        <v>16082</v>
      </c>
      <c r="I11175">
        <v>12559</v>
      </c>
      <c r="J11175" t="e">
        <f>VLOOKUP(E11175,DSSpieler!A:B,2,FALSE)</f>
        <v>#N/A</v>
      </c>
    </row>
    <row r="11176" spans="1:10" x14ac:dyDescent="0.25">
      <c r="A11176">
        <v>12560</v>
      </c>
      <c r="B11176" t="s">
        <v>531</v>
      </c>
      <c r="C11176">
        <v>531</v>
      </c>
      <c r="D11176">
        <v>393</v>
      </c>
      <c r="E11176">
        <v>0</v>
      </c>
      <c r="F11176">
        <v>672</v>
      </c>
      <c r="G11176">
        <v>0</v>
      </c>
      <c r="H11176" t="s">
        <v>16083</v>
      </c>
      <c r="I11176">
        <v>12560</v>
      </c>
      <c r="J11176" t="e">
        <f>VLOOKUP(E11176,DSSpieler!A:B,2,FALSE)</f>
        <v>#N/A</v>
      </c>
    </row>
    <row r="11177" spans="1:10" x14ac:dyDescent="0.25">
      <c r="A11177">
        <v>12561</v>
      </c>
      <c r="B11177" t="s">
        <v>34444</v>
      </c>
      <c r="C11177">
        <v>576</v>
      </c>
      <c r="D11177">
        <v>415</v>
      </c>
      <c r="E11177">
        <v>2227197</v>
      </c>
      <c r="F11177">
        <v>4475</v>
      </c>
      <c r="G11177">
        <v>0</v>
      </c>
      <c r="H11177" t="s">
        <v>16084</v>
      </c>
      <c r="I11177">
        <v>12561</v>
      </c>
      <c r="J11177" t="str">
        <f>VLOOKUP(E11177,DSSpieler!A:B,2,FALSE)</f>
        <v>Flölly</v>
      </c>
    </row>
    <row r="11178" spans="1:10" x14ac:dyDescent="0.25">
      <c r="A11178">
        <v>12562</v>
      </c>
      <c r="B11178" t="s">
        <v>979</v>
      </c>
      <c r="C11178">
        <v>510</v>
      </c>
      <c r="D11178">
        <v>588</v>
      </c>
      <c r="E11178">
        <v>1577197776</v>
      </c>
      <c r="F11178">
        <v>4336</v>
      </c>
      <c r="G11178">
        <v>0</v>
      </c>
      <c r="H11178" t="s">
        <v>16085</v>
      </c>
      <c r="I11178">
        <v>12562</v>
      </c>
      <c r="J11178" t="str">
        <f>VLOOKUP(E11178,DSSpieler!A:B,2,FALSE)</f>
        <v>Beefky</v>
      </c>
    </row>
    <row r="11179" spans="1:10" x14ac:dyDescent="0.25">
      <c r="A11179">
        <v>12563</v>
      </c>
      <c r="B11179" t="s">
        <v>531</v>
      </c>
      <c r="C11179">
        <v>423</v>
      </c>
      <c r="D11179">
        <v>420</v>
      </c>
      <c r="E11179">
        <v>0</v>
      </c>
      <c r="F11179">
        <v>225</v>
      </c>
      <c r="G11179">
        <v>0</v>
      </c>
      <c r="H11179" t="s">
        <v>16086</v>
      </c>
      <c r="I11179">
        <v>12563</v>
      </c>
      <c r="J11179" t="e">
        <f>VLOOKUP(E11179,DSSpieler!A:B,2,FALSE)</f>
        <v>#N/A</v>
      </c>
    </row>
    <row r="11180" spans="1:10" x14ac:dyDescent="0.25">
      <c r="A11180">
        <v>12564</v>
      </c>
      <c r="B11180" t="s">
        <v>2141</v>
      </c>
      <c r="C11180">
        <v>448</v>
      </c>
      <c r="D11180">
        <v>544</v>
      </c>
      <c r="E11180">
        <v>1577199176</v>
      </c>
      <c r="F11180">
        <v>3519</v>
      </c>
      <c r="G11180">
        <v>0</v>
      </c>
      <c r="H11180" t="s">
        <v>16087</v>
      </c>
      <c r="I11180">
        <v>12564</v>
      </c>
      <c r="J11180" t="str">
        <f>VLOOKUP(E11180,DSSpieler!A:B,2,FALSE)</f>
        <v>Max963235</v>
      </c>
    </row>
    <row r="11181" spans="1:10" x14ac:dyDescent="0.25">
      <c r="A11181">
        <v>12565</v>
      </c>
      <c r="B11181" s="403" t="s">
        <v>34445</v>
      </c>
      <c r="C11181">
        <v>396</v>
      </c>
      <c r="D11181">
        <v>540</v>
      </c>
      <c r="E11181">
        <v>3396933</v>
      </c>
      <c r="F11181">
        <v>2252</v>
      </c>
      <c r="G11181">
        <v>0</v>
      </c>
      <c r="H11181" t="s">
        <v>16088</v>
      </c>
      <c r="I11181">
        <v>12565</v>
      </c>
      <c r="J11181" t="str">
        <f>VLOOKUP(E11181,DSSpieler!A:B,2,FALSE)</f>
        <v>.TheSimpsons.</v>
      </c>
    </row>
    <row r="11182" spans="1:10" x14ac:dyDescent="0.25">
      <c r="A11182">
        <v>12566</v>
      </c>
      <c r="B11182" t="s">
        <v>2142</v>
      </c>
      <c r="C11182">
        <v>446</v>
      </c>
      <c r="D11182">
        <v>548</v>
      </c>
      <c r="E11182">
        <v>1577199180</v>
      </c>
      <c r="F11182">
        <v>4925</v>
      </c>
      <c r="G11182">
        <v>0</v>
      </c>
      <c r="H11182" t="s">
        <v>16089</v>
      </c>
      <c r="I11182">
        <v>12566</v>
      </c>
      <c r="J11182" t="str">
        <f>VLOOKUP(E11182,DSSpieler!A:B,2,FALSE)</f>
        <v>Socke76</v>
      </c>
    </row>
    <row r="11183" spans="1:10" x14ac:dyDescent="0.25">
      <c r="A11183">
        <v>12568</v>
      </c>
      <c r="B11183" t="s">
        <v>726</v>
      </c>
      <c r="C11183">
        <v>588</v>
      </c>
      <c r="D11183">
        <v>567</v>
      </c>
      <c r="E11183">
        <v>1576814505</v>
      </c>
      <c r="F11183">
        <v>6319</v>
      </c>
      <c r="G11183">
        <v>0</v>
      </c>
      <c r="H11183" t="s">
        <v>16090</v>
      </c>
      <c r="I11183">
        <v>12568</v>
      </c>
      <c r="J11183" t="str">
        <f>VLOOKUP(E11183,DSSpieler!A:B,2,FALSE)</f>
        <v>LeonxD</v>
      </c>
    </row>
    <row r="11184" spans="1:10" x14ac:dyDescent="0.25">
      <c r="A11184">
        <v>12569</v>
      </c>
      <c r="B11184" t="s">
        <v>531</v>
      </c>
      <c r="C11184">
        <v>401</v>
      </c>
      <c r="D11184">
        <v>548</v>
      </c>
      <c r="E11184">
        <v>0</v>
      </c>
      <c r="F11184">
        <v>300</v>
      </c>
      <c r="G11184">
        <v>0</v>
      </c>
      <c r="H11184" t="s">
        <v>16091</v>
      </c>
      <c r="I11184">
        <v>12569</v>
      </c>
      <c r="J11184" t="e">
        <f>VLOOKUP(E11184,DSSpieler!A:B,2,FALSE)</f>
        <v>#N/A</v>
      </c>
    </row>
    <row r="11185" spans="1:10" x14ac:dyDescent="0.25">
      <c r="A11185">
        <v>12570</v>
      </c>
      <c r="B11185" t="s">
        <v>531</v>
      </c>
      <c r="C11185">
        <v>562</v>
      </c>
      <c r="D11185">
        <v>412</v>
      </c>
      <c r="E11185">
        <v>0</v>
      </c>
      <c r="F11185">
        <v>385</v>
      </c>
      <c r="G11185">
        <v>0</v>
      </c>
      <c r="H11185" t="s">
        <v>16092</v>
      </c>
      <c r="I11185">
        <v>12570</v>
      </c>
      <c r="J11185" t="e">
        <f>VLOOKUP(E11185,DSSpieler!A:B,2,FALSE)</f>
        <v>#N/A</v>
      </c>
    </row>
    <row r="11186" spans="1:10" x14ac:dyDescent="0.25">
      <c r="A11186">
        <v>12571</v>
      </c>
      <c r="B11186" t="s">
        <v>34446</v>
      </c>
      <c r="C11186">
        <v>599</v>
      </c>
      <c r="D11186">
        <v>507</v>
      </c>
      <c r="E11186">
        <v>10186624</v>
      </c>
      <c r="F11186">
        <v>2013</v>
      </c>
      <c r="G11186">
        <v>0</v>
      </c>
      <c r="H11186" t="s">
        <v>16093</v>
      </c>
      <c r="I11186">
        <v>12571</v>
      </c>
      <c r="J11186" t="str">
        <f>VLOOKUP(E11186,DSSpieler!A:B,2,FALSE)</f>
        <v>luinaldo</v>
      </c>
    </row>
    <row r="11187" spans="1:10" x14ac:dyDescent="0.25">
      <c r="A11187">
        <v>12572</v>
      </c>
      <c r="B11187" t="s">
        <v>531</v>
      </c>
      <c r="C11187">
        <v>476</v>
      </c>
      <c r="D11187">
        <v>408</v>
      </c>
      <c r="E11187">
        <v>0</v>
      </c>
      <c r="F11187">
        <v>971</v>
      </c>
      <c r="G11187">
        <v>0</v>
      </c>
      <c r="H11187" t="s">
        <v>16094</v>
      </c>
      <c r="I11187">
        <v>12572</v>
      </c>
      <c r="J11187" t="e">
        <f>VLOOKUP(E11187,DSSpieler!A:B,2,FALSE)</f>
        <v>#N/A</v>
      </c>
    </row>
    <row r="11188" spans="1:10" x14ac:dyDescent="0.25">
      <c r="A11188">
        <v>12574</v>
      </c>
      <c r="B11188" t="s">
        <v>531</v>
      </c>
      <c r="C11188">
        <v>594</v>
      </c>
      <c r="D11188">
        <v>442</v>
      </c>
      <c r="E11188">
        <v>0</v>
      </c>
      <c r="F11188">
        <v>225</v>
      </c>
      <c r="G11188">
        <v>0</v>
      </c>
      <c r="H11188" t="s">
        <v>16095</v>
      </c>
      <c r="I11188">
        <v>12574</v>
      </c>
      <c r="J11188" t="e">
        <f>VLOOKUP(E11188,DSSpieler!A:B,2,FALSE)</f>
        <v>#N/A</v>
      </c>
    </row>
    <row r="11189" spans="1:10" x14ac:dyDescent="0.25">
      <c r="A11189">
        <v>12575</v>
      </c>
      <c r="B11189" t="s">
        <v>531</v>
      </c>
      <c r="C11189">
        <v>490</v>
      </c>
      <c r="D11189">
        <v>611</v>
      </c>
      <c r="E11189">
        <v>0</v>
      </c>
      <c r="F11189">
        <v>344</v>
      </c>
      <c r="G11189">
        <v>0</v>
      </c>
      <c r="H11189" t="s">
        <v>16096</v>
      </c>
      <c r="I11189">
        <v>12575</v>
      </c>
      <c r="J11189" t="e">
        <f>VLOOKUP(E11189,DSSpieler!A:B,2,FALSE)</f>
        <v>#N/A</v>
      </c>
    </row>
    <row r="11190" spans="1:10" x14ac:dyDescent="0.25">
      <c r="A11190">
        <v>12576</v>
      </c>
      <c r="B11190" t="s">
        <v>34447</v>
      </c>
      <c r="C11190">
        <v>566</v>
      </c>
      <c r="D11190">
        <v>578</v>
      </c>
      <c r="E11190">
        <v>10150018</v>
      </c>
      <c r="F11190">
        <v>4722</v>
      </c>
      <c r="G11190">
        <v>0</v>
      </c>
      <c r="H11190" t="s">
        <v>16097</v>
      </c>
      <c r="I11190">
        <v>12576</v>
      </c>
      <c r="J11190" t="str">
        <f>VLOOKUP(E11190,DSSpieler!A:B,2,FALSE)</f>
        <v>sub-t</v>
      </c>
    </row>
    <row r="11191" spans="1:10" x14ac:dyDescent="0.25">
      <c r="A11191">
        <v>12578</v>
      </c>
      <c r="B11191" t="s">
        <v>531</v>
      </c>
      <c r="C11191">
        <v>606</v>
      </c>
      <c r="D11191">
        <v>521</v>
      </c>
      <c r="E11191">
        <v>0</v>
      </c>
      <c r="F11191">
        <v>258</v>
      </c>
      <c r="G11191">
        <v>0</v>
      </c>
      <c r="H11191" t="s">
        <v>16098</v>
      </c>
      <c r="I11191">
        <v>12578</v>
      </c>
      <c r="J11191" t="e">
        <f>VLOOKUP(E11191,DSSpieler!A:B,2,FALSE)</f>
        <v>#N/A</v>
      </c>
    </row>
    <row r="11192" spans="1:10" x14ac:dyDescent="0.25">
      <c r="A11192">
        <v>12579</v>
      </c>
      <c r="B11192" t="s">
        <v>31052</v>
      </c>
      <c r="C11192">
        <v>456</v>
      </c>
      <c r="D11192">
        <v>599</v>
      </c>
      <c r="E11192">
        <v>1576661570</v>
      </c>
      <c r="F11192">
        <v>5709</v>
      </c>
      <c r="G11192">
        <v>0</v>
      </c>
      <c r="H11192" t="s">
        <v>16099</v>
      </c>
      <c r="I11192">
        <v>12579</v>
      </c>
      <c r="J11192" t="str">
        <f>VLOOKUP(E11192,DSSpieler!A:B,2,FALSE)</f>
        <v>ASAP-TEDDY</v>
      </c>
    </row>
    <row r="11193" spans="1:10" x14ac:dyDescent="0.25">
      <c r="A11193">
        <v>12580</v>
      </c>
      <c r="B11193" t="s">
        <v>2143</v>
      </c>
      <c r="C11193">
        <v>407</v>
      </c>
      <c r="D11193">
        <v>443</v>
      </c>
      <c r="E11193">
        <v>9858857</v>
      </c>
      <c r="F11193">
        <v>5472</v>
      </c>
      <c r="G11193">
        <v>0</v>
      </c>
      <c r="H11193" t="s">
        <v>16100</v>
      </c>
      <c r="I11193">
        <v>12580</v>
      </c>
      <c r="J11193" t="str">
        <f>VLOOKUP(E11193,DSSpieler!A:B,2,FALSE)</f>
        <v>griesis</v>
      </c>
    </row>
    <row r="11194" spans="1:10" x14ac:dyDescent="0.25">
      <c r="A11194">
        <v>12581</v>
      </c>
      <c r="B11194" t="s">
        <v>2144</v>
      </c>
      <c r="C11194">
        <v>475</v>
      </c>
      <c r="D11194">
        <v>392</v>
      </c>
      <c r="E11194">
        <v>9825755</v>
      </c>
      <c r="F11194">
        <v>5093</v>
      </c>
      <c r="G11194">
        <v>0</v>
      </c>
      <c r="H11194" t="s">
        <v>16101</v>
      </c>
      <c r="I11194">
        <v>12581</v>
      </c>
      <c r="J11194" t="str">
        <f>VLOOKUP(E11194,DSSpieler!A:B,2,FALSE)</f>
        <v>Ray Runner</v>
      </c>
    </row>
    <row r="11195" spans="1:10" x14ac:dyDescent="0.25">
      <c r="A11195">
        <v>12582</v>
      </c>
      <c r="B11195" t="s">
        <v>531</v>
      </c>
      <c r="C11195">
        <v>435</v>
      </c>
      <c r="D11195">
        <v>576</v>
      </c>
      <c r="E11195">
        <v>0</v>
      </c>
      <c r="F11195">
        <v>323</v>
      </c>
      <c r="G11195">
        <v>0</v>
      </c>
      <c r="H11195" t="s">
        <v>16102</v>
      </c>
      <c r="I11195">
        <v>12582</v>
      </c>
      <c r="J11195" t="e">
        <f>VLOOKUP(E11195,DSSpieler!A:B,2,FALSE)</f>
        <v>#N/A</v>
      </c>
    </row>
    <row r="11196" spans="1:10" x14ac:dyDescent="0.25">
      <c r="A11196">
        <v>12583</v>
      </c>
      <c r="B11196" t="s">
        <v>531</v>
      </c>
      <c r="C11196">
        <v>444</v>
      </c>
      <c r="D11196">
        <v>590</v>
      </c>
      <c r="E11196">
        <v>0</v>
      </c>
      <c r="F11196">
        <v>768</v>
      </c>
      <c r="G11196">
        <v>0</v>
      </c>
      <c r="H11196" t="s">
        <v>16103</v>
      </c>
      <c r="I11196">
        <v>12583</v>
      </c>
      <c r="J11196" t="e">
        <f>VLOOKUP(E11196,DSSpieler!A:B,2,FALSE)</f>
        <v>#N/A</v>
      </c>
    </row>
    <row r="11197" spans="1:10" x14ac:dyDescent="0.25">
      <c r="A11197">
        <v>12584</v>
      </c>
      <c r="B11197" t="s">
        <v>34448</v>
      </c>
      <c r="C11197">
        <v>456</v>
      </c>
      <c r="D11197">
        <v>598</v>
      </c>
      <c r="E11197">
        <v>1577102958</v>
      </c>
      <c r="F11197">
        <v>6473</v>
      </c>
      <c r="G11197">
        <v>0</v>
      </c>
      <c r="H11197" t="s">
        <v>16104</v>
      </c>
      <c r="I11197">
        <v>12584</v>
      </c>
      <c r="J11197" t="str">
        <f>VLOOKUP(E11197,DSSpieler!A:B,2,FALSE)</f>
        <v>Gang01</v>
      </c>
    </row>
    <row r="11198" spans="1:10" x14ac:dyDescent="0.25">
      <c r="A11198">
        <v>12585</v>
      </c>
      <c r="B11198" t="s">
        <v>531</v>
      </c>
      <c r="C11198">
        <v>530</v>
      </c>
      <c r="D11198">
        <v>604</v>
      </c>
      <c r="E11198">
        <v>0</v>
      </c>
      <c r="F11198">
        <v>122</v>
      </c>
      <c r="G11198">
        <v>0</v>
      </c>
      <c r="H11198" t="s">
        <v>16105</v>
      </c>
      <c r="I11198">
        <v>12585</v>
      </c>
      <c r="J11198" t="e">
        <f>VLOOKUP(E11198,DSSpieler!A:B,2,FALSE)</f>
        <v>#N/A</v>
      </c>
    </row>
    <row r="11199" spans="1:10" x14ac:dyDescent="0.25">
      <c r="A11199">
        <v>12586</v>
      </c>
      <c r="B11199" t="s">
        <v>531</v>
      </c>
      <c r="C11199">
        <v>417</v>
      </c>
      <c r="D11199">
        <v>428</v>
      </c>
      <c r="E11199">
        <v>0</v>
      </c>
      <c r="F11199">
        <v>518</v>
      </c>
      <c r="G11199">
        <v>0</v>
      </c>
      <c r="H11199" t="s">
        <v>16106</v>
      </c>
      <c r="I11199">
        <v>12586</v>
      </c>
      <c r="J11199" t="e">
        <f>VLOOKUP(E11199,DSSpieler!A:B,2,FALSE)</f>
        <v>#N/A</v>
      </c>
    </row>
    <row r="11200" spans="1:10" x14ac:dyDescent="0.25">
      <c r="A11200">
        <v>12587</v>
      </c>
      <c r="B11200" t="s">
        <v>531</v>
      </c>
      <c r="C11200">
        <v>478</v>
      </c>
      <c r="D11200">
        <v>569</v>
      </c>
      <c r="E11200">
        <v>0</v>
      </c>
      <c r="F11200">
        <v>231</v>
      </c>
      <c r="G11200">
        <v>0</v>
      </c>
      <c r="H11200" t="s">
        <v>16107</v>
      </c>
      <c r="I11200">
        <v>12587</v>
      </c>
      <c r="J11200" t="e">
        <f>VLOOKUP(E11200,DSSpieler!A:B,2,FALSE)</f>
        <v>#N/A</v>
      </c>
    </row>
    <row r="11201" spans="1:10" x14ac:dyDescent="0.25">
      <c r="A11201">
        <v>12588</v>
      </c>
      <c r="B11201" t="s">
        <v>531</v>
      </c>
      <c r="C11201">
        <v>608</v>
      </c>
      <c r="D11201">
        <v>504</v>
      </c>
      <c r="E11201">
        <v>0</v>
      </c>
      <c r="F11201">
        <v>344</v>
      </c>
      <c r="G11201">
        <v>0</v>
      </c>
      <c r="H11201" t="s">
        <v>16108</v>
      </c>
      <c r="I11201">
        <v>12588</v>
      </c>
      <c r="J11201" t="e">
        <f>VLOOKUP(E11201,DSSpieler!A:B,2,FALSE)</f>
        <v>#N/A</v>
      </c>
    </row>
    <row r="11202" spans="1:10" x14ac:dyDescent="0.25">
      <c r="A11202">
        <v>12589</v>
      </c>
      <c r="B11202" t="s">
        <v>2145</v>
      </c>
      <c r="C11202">
        <v>466</v>
      </c>
      <c r="D11202">
        <v>396</v>
      </c>
      <c r="E11202">
        <v>1183177</v>
      </c>
      <c r="F11202">
        <v>5614</v>
      </c>
      <c r="G11202">
        <v>0</v>
      </c>
      <c r="H11202" t="s">
        <v>16109</v>
      </c>
      <c r="I11202">
        <v>12589</v>
      </c>
      <c r="J11202" t="str">
        <f>VLOOKUP(E11202,DSSpieler!A:B,2,FALSE)</f>
        <v>Schaefery</v>
      </c>
    </row>
    <row r="11203" spans="1:10" x14ac:dyDescent="0.25">
      <c r="A11203">
        <v>12590</v>
      </c>
      <c r="B11203" t="s">
        <v>2146</v>
      </c>
      <c r="C11203">
        <v>435</v>
      </c>
      <c r="D11203">
        <v>585</v>
      </c>
      <c r="E11203">
        <v>1577088022</v>
      </c>
      <c r="F11203">
        <v>4416</v>
      </c>
      <c r="G11203">
        <v>0</v>
      </c>
      <c r="H11203" t="s">
        <v>16110</v>
      </c>
      <c r="I11203">
        <v>12590</v>
      </c>
      <c r="J11203" t="str">
        <f>VLOOKUP(E11203,DSSpieler!A:B,2,FALSE)</f>
        <v>Grubenleger</v>
      </c>
    </row>
    <row r="11204" spans="1:10" x14ac:dyDescent="0.25">
      <c r="A11204">
        <v>12591</v>
      </c>
      <c r="B11204" t="s">
        <v>2147</v>
      </c>
      <c r="C11204">
        <v>418</v>
      </c>
      <c r="D11204">
        <v>432</v>
      </c>
      <c r="E11204">
        <v>941519</v>
      </c>
      <c r="F11204">
        <v>3364</v>
      </c>
      <c r="G11204">
        <v>0</v>
      </c>
      <c r="H11204" t="s">
        <v>16111</v>
      </c>
      <c r="I11204">
        <v>12591</v>
      </c>
      <c r="J11204" t="str">
        <f>VLOOKUP(E11204,DSSpieler!A:B,2,FALSE)</f>
        <v>bibi100</v>
      </c>
    </row>
    <row r="11205" spans="1:10" x14ac:dyDescent="0.25">
      <c r="A11205">
        <v>12592</v>
      </c>
      <c r="B11205" t="s">
        <v>531</v>
      </c>
      <c r="C11205">
        <v>393</v>
      </c>
      <c r="D11205">
        <v>475</v>
      </c>
      <c r="E11205">
        <v>0</v>
      </c>
      <c r="F11205">
        <v>421</v>
      </c>
      <c r="G11205">
        <v>0</v>
      </c>
      <c r="H11205" t="s">
        <v>16112</v>
      </c>
      <c r="I11205">
        <v>12592</v>
      </c>
      <c r="J11205" t="e">
        <f>VLOOKUP(E11205,DSSpieler!A:B,2,FALSE)</f>
        <v>#N/A</v>
      </c>
    </row>
    <row r="11206" spans="1:10" x14ac:dyDescent="0.25">
      <c r="A11206">
        <v>12593</v>
      </c>
      <c r="B11206" t="s">
        <v>1537</v>
      </c>
      <c r="C11206">
        <v>388</v>
      </c>
      <c r="D11206">
        <v>482</v>
      </c>
      <c r="E11206">
        <v>1577014280</v>
      </c>
      <c r="F11206">
        <v>5060</v>
      </c>
      <c r="G11206">
        <v>0</v>
      </c>
      <c r="H11206" t="s">
        <v>458</v>
      </c>
      <c r="I11206">
        <v>12593</v>
      </c>
      <c r="J11206" t="str">
        <f>VLOOKUP(E11206,DSSpieler!A:B,2,FALSE)</f>
        <v>Mr.Knüppel</v>
      </c>
    </row>
    <row r="11207" spans="1:10" x14ac:dyDescent="0.25">
      <c r="A11207">
        <v>12595</v>
      </c>
      <c r="B11207" t="s">
        <v>531</v>
      </c>
      <c r="C11207">
        <v>518</v>
      </c>
      <c r="D11207">
        <v>608</v>
      </c>
      <c r="E11207">
        <v>0</v>
      </c>
      <c r="F11207">
        <v>264</v>
      </c>
      <c r="G11207">
        <v>0</v>
      </c>
      <c r="H11207" t="s">
        <v>16113</v>
      </c>
      <c r="I11207">
        <v>12595</v>
      </c>
      <c r="J11207" t="e">
        <f>VLOOKUP(E11207,DSSpieler!A:B,2,FALSE)</f>
        <v>#N/A</v>
      </c>
    </row>
    <row r="11208" spans="1:10" x14ac:dyDescent="0.25">
      <c r="A11208">
        <v>12597</v>
      </c>
      <c r="B11208" t="s">
        <v>531</v>
      </c>
      <c r="C11208">
        <v>411</v>
      </c>
      <c r="D11208">
        <v>436</v>
      </c>
      <c r="E11208">
        <v>0</v>
      </c>
      <c r="F11208">
        <v>137</v>
      </c>
      <c r="G11208">
        <v>0</v>
      </c>
      <c r="H11208" t="s">
        <v>16114</v>
      </c>
      <c r="I11208">
        <v>12597</v>
      </c>
      <c r="J11208" t="e">
        <f>VLOOKUP(E11208,DSSpieler!A:B,2,FALSE)</f>
        <v>#N/A</v>
      </c>
    </row>
    <row r="11209" spans="1:10" x14ac:dyDescent="0.25">
      <c r="A11209">
        <v>12599</v>
      </c>
      <c r="B11209" t="s">
        <v>34449</v>
      </c>
      <c r="C11209">
        <v>397</v>
      </c>
      <c r="D11209">
        <v>458</v>
      </c>
      <c r="E11209">
        <v>10270003</v>
      </c>
      <c r="F11209">
        <v>4761</v>
      </c>
      <c r="G11209">
        <v>0</v>
      </c>
      <c r="H11209" t="s">
        <v>16115</v>
      </c>
      <c r="I11209">
        <v>12599</v>
      </c>
      <c r="J11209" t="str">
        <f>VLOOKUP(E11209,DSSpieler!A:B,2,FALSE)</f>
        <v>superhuhn2013</v>
      </c>
    </row>
    <row r="11210" spans="1:10" x14ac:dyDescent="0.25">
      <c r="A11210">
        <v>12600</v>
      </c>
      <c r="B11210" t="s">
        <v>2148</v>
      </c>
      <c r="C11210">
        <v>473</v>
      </c>
      <c r="D11210">
        <v>407</v>
      </c>
      <c r="E11210">
        <v>1577113223</v>
      </c>
      <c r="F11210">
        <v>2296</v>
      </c>
      <c r="G11210">
        <v>0</v>
      </c>
      <c r="H11210" t="s">
        <v>16116</v>
      </c>
      <c r="I11210">
        <v>12600</v>
      </c>
      <c r="J11210" t="str">
        <f>VLOOKUP(E11210,DSSpieler!A:B,2,FALSE)</f>
        <v>xczeus</v>
      </c>
    </row>
    <row r="11211" spans="1:10" x14ac:dyDescent="0.25">
      <c r="A11211">
        <v>12601</v>
      </c>
      <c r="B11211" t="s">
        <v>34450</v>
      </c>
      <c r="C11211">
        <v>421</v>
      </c>
      <c r="D11211">
        <v>546</v>
      </c>
      <c r="E11211">
        <v>1577153480</v>
      </c>
      <c r="F11211">
        <v>2139</v>
      </c>
      <c r="G11211">
        <v>0</v>
      </c>
      <c r="H11211" t="s">
        <v>16117</v>
      </c>
      <c r="I11211">
        <v>12601</v>
      </c>
      <c r="J11211" t="str">
        <f>VLOOKUP(E11211,DSSpieler!A:B,2,FALSE)</f>
        <v>AxPass</v>
      </c>
    </row>
    <row r="11212" spans="1:10" x14ac:dyDescent="0.25">
      <c r="A11212">
        <v>12602</v>
      </c>
      <c r="B11212" t="s">
        <v>34451</v>
      </c>
      <c r="C11212">
        <v>548</v>
      </c>
      <c r="D11212">
        <v>403</v>
      </c>
      <c r="E11212">
        <v>1577045139</v>
      </c>
      <c r="F11212">
        <v>4949</v>
      </c>
      <c r="G11212">
        <v>0</v>
      </c>
      <c r="H11212" t="s">
        <v>16118</v>
      </c>
      <c r="I11212">
        <v>12602</v>
      </c>
      <c r="J11212" t="str">
        <f>VLOOKUP(E11212,DSSpieler!A:B,2,FALSE)</f>
        <v>Ice and Fire</v>
      </c>
    </row>
    <row r="11213" spans="1:10" x14ac:dyDescent="0.25">
      <c r="A11213">
        <v>12603</v>
      </c>
      <c r="B11213" t="s">
        <v>34452</v>
      </c>
      <c r="C11213">
        <v>452</v>
      </c>
      <c r="D11213">
        <v>531</v>
      </c>
      <c r="E11213">
        <v>1576913108</v>
      </c>
      <c r="F11213">
        <v>3881</v>
      </c>
      <c r="G11213">
        <v>0</v>
      </c>
      <c r="H11213" t="s">
        <v>16119</v>
      </c>
      <c r="I11213">
        <v>12603</v>
      </c>
      <c r="J11213" t="str">
        <f>VLOOKUP(E11213,DSSpieler!A:B,2,FALSE)</f>
        <v>bake</v>
      </c>
    </row>
    <row r="11214" spans="1:10" x14ac:dyDescent="0.25">
      <c r="A11214">
        <v>12604</v>
      </c>
      <c r="B11214" t="s">
        <v>531</v>
      </c>
      <c r="C11214">
        <v>478</v>
      </c>
      <c r="D11214">
        <v>392</v>
      </c>
      <c r="E11214">
        <v>0</v>
      </c>
      <c r="F11214">
        <v>396</v>
      </c>
      <c r="G11214">
        <v>0</v>
      </c>
      <c r="H11214" t="s">
        <v>16120</v>
      </c>
      <c r="I11214">
        <v>12604</v>
      </c>
      <c r="J11214" t="e">
        <f>VLOOKUP(E11214,DSSpieler!A:B,2,FALSE)</f>
        <v>#N/A</v>
      </c>
    </row>
    <row r="11215" spans="1:10" x14ac:dyDescent="0.25">
      <c r="A11215">
        <v>12605</v>
      </c>
      <c r="B11215" t="s">
        <v>34453</v>
      </c>
      <c r="C11215">
        <v>568</v>
      </c>
      <c r="D11215">
        <v>582</v>
      </c>
      <c r="E11215">
        <v>1577007288</v>
      </c>
      <c r="F11215">
        <v>4140</v>
      </c>
      <c r="G11215">
        <v>0</v>
      </c>
      <c r="H11215" t="s">
        <v>16121</v>
      </c>
      <c r="I11215">
        <v>12605</v>
      </c>
      <c r="J11215" t="str">
        <f>VLOOKUP(E11215,DSSpieler!A:B,2,FALSE)</f>
        <v>xxx90-60-90xxx</v>
      </c>
    </row>
    <row r="11216" spans="1:10" x14ac:dyDescent="0.25">
      <c r="A11216">
        <v>12607</v>
      </c>
      <c r="B11216" t="s">
        <v>531</v>
      </c>
      <c r="C11216">
        <v>603</v>
      </c>
      <c r="D11216">
        <v>531</v>
      </c>
      <c r="E11216">
        <v>0</v>
      </c>
      <c r="F11216">
        <v>679</v>
      </c>
      <c r="G11216">
        <v>0</v>
      </c>
      <c r="H11216" t="s">
        <v>16122</v>
      </c>
      <c r="I11216">
        <v>12607</v>
      </c>
      <c r="J11216" t="e">
        <f>VLOOKUP(E11216,DSSpieler!A:B,2,FALSE)</f>
        <v>#N/A</v>
      </c>
    </row>
    <row r="11217" spans="1:10" x14ac:dyDescent="0.25">
      <c r="A11217">
        <v>12608</v>
      </c>
      <c r="B11217">
        <v>1</v>
      </c>
      <c r="C11217">
        <v>440</v>
      </c>
      <c r="D11217">
        <v>586</v>
      </c>
      <c r="E11217">
        <v>61878</v>
      </c>
      <c r="F11217">
        <v>6632</v>
      </c>
      <c r="G11217">
        <v>0</v>
      </c>
      <c r="H11217" t="s">
        <v>16123</v>
      </c>
      <c r="I11217">
        <v>12608</v>
      </c>
      <c r="J11217" t="str">
        <f>VLOOKUP(E11217,DSSpieler!A:B,2,FALSE)</f>
        <v>Slayer17</v>
      </c>
    </row>
    <row r="11218" spans="1:10" x14ac:dyDescent="0.25">
      <c r="A11218">
        <v>12609</v>
      </c>
      <c r="B11218" t="s">
        <v>34454</v>
      </c>
      <c r="C11218">
        <v>398</v>
      </c>
      <c r="D11218">
        <v>508</v>
      </c>
      <c r="E11218">
        <v>1577177028</v>
      </c>
      <c r="F11218">
        <v>6590</v>
      </c>
      <c r="G11218">
        <v>0</v>
      </c>
      <c r="H11218" t="s">
        <v>16124</v>
      </c>
      <c r="I11218">
        <v>12609</v>
      </c>
      <c r="J11218" t="str">
        <f>VLOOKUP(E11218,DSSpieler!A:B,2,FALSE)</f>
        <v>Held des Kampfes</v>
      </c>
    </row>
    <row r="11219" spans="1:10" x14ac:dyDescent="0.25">
      <c r="A11219">
        <v>12611</v>
      </c>
      <c r="B11219">
        <v>4</v>
      </c>
      <c r="C11219">
        <v>411</v>
      </c>
      <c r="D11219">
        <v>566</v>
      </c>
      <c r="E11219">
        <v>1577201543</v>
      </c>
      <c r="F11219">
        <v>1257</v>
      </c>
      <c r="G11219">
        <v>0</v>
      </c>
      <c r="H11219" t="s">
        <v>16125</v>
      </c>
      <c r="I11219">
        <v>12611</v>
      </c>
      <c r="J11219" t="str">
        <f>VLOOKUP(E11219,DSSpieler!A:B,2,FALSE)</f>
        <v>Dr.Boss</v>
      </c>
    </row>
    <row r="11220" spans="1:10" x14ac:dyDescent="0.25">
      <c r="A11220">
        <v>12613</v>
      </c>
      <c r="B11220" t="s">
        <v>30477</v>
      </c>
      <c r="C11220">
        <v>390</v>
      </c>
      <c r="D11220">
        <v>487</v>
      </c>
      <c r="E11220">
        <v>1577015055</v>
      </c>
      <c r="F11220">
        <v>3858</v>
      </c>
      <c r="G11220">
        <v>0</v>
      </c>
      <c r="H11220" t="s">
        <v>459</v>
      </c>
      <c r="I11220">
        <v>12613</v>
      </c>
      <c r="J11220" t="str">
        <f>VLOOKUP(E11220,DSSpieler!A:B,2,FALSE)</f>
        <v>Optimus Crime</v>
      </c>
    </row>
    <row r="11221" spans="1:10" x14ac:dyDescent="0.25">
      <c r="A11221">
        <v>12614</v>
      </c>
      <c r="B11221" t="s">
        <v>531</v>
      </c>
      <c r="C11221">
        <v>395</v>
      </c>
      <c r="D11221">
        <v>525</v>
      </c>
      <c r="E11221">
        <v>0</v>
      </c>
      <c r="F11221">
        <v>253</v>
      </c>
      <c r="G11221">
        <v>0</v>
      </c>
      <c r="H11221" t="s">
        <v>16126</v>
      </c>
      <c r="I11221">
        <v>12614</v>
      </c>
      <c r="J11221" t="e">
        <f>VLOOKUP(E11221,DSSpieler!A:B,2,FALSE)</f>
        <v>#N/A</v>
      </c>
    </row>
    <row r="11222" spans="1:10" x14ac:dyDescent="0.25">
      <c r="A11222">
        <v>12615</v>
      </c>
      <c r="B11222" t="s">
        <v>2149</v>
      </c>
      <c r="C11222">
        <v>416</v>
      </c>
      <c r="D11222">
        <v>572</v>
      </c>
      <c r="E11222">
        <v>1576200718</v>
      </c>
      <c r="F11222">
        <v>1935</v>
      </c>
      <c r="G11222">
        <v>0</v>
      </c>
      <c r="H11222" t="s">
        <v>16127</v>
      </c>
      <c r="I11222">
        <v>12615</v>
      </c>
      <c r="J11222" t="str">
        <f>VLOOKUP(E11222,DSSpieler!A:B,2,FALSE)</f>
        <v>daniakaspast</v>
      </c>
    </row>
    <row r="11223" spans="1:10" x14ac:dyDescent="0.25">
      <c r="A11223">
        <v>12618</v>
      </c>
      <c r="B11223" t="s">
        <v>34455</v>
      </c>
      <c r="C11223">
        <v>480</v>
      </c>
      <c r="D11223">
        <v>388</v>
      </c>
      <c r="E11223">
        <v>1577199214</v>
      </c>
      <c r="F11223">
        <v>5741</v>
      </c>
      <c r="G11223">
        <v>0</v>
      </c>
      <c r="H11223" t="s">
        <v>16128</v>
      </c>
      <c r="I11223">
        <v>12618</v>
      </c>
      <c r="J11223" t="str">
        <f>VLOOKUP(E11223,DSSpieler!A:B,2,FALSE)</f>
        <v>extremmartin</v>
      </c>
    </row>
    <row r="11224" spans="1:10" x14ac:dyDescent="0.25">
      <c r="A11224">
        <v>12620</v>
      </c>
      <c r="B11224" t="s">
        <v>2150</v>
      </c>
      <c r="C11224">
        <v>398</v>
      </c>
      <c r="D11224">
        <v>532</v>
      </c>
      <c r="E11224">
        <v>1576933386</v>
      </c>
      <c r="F11224">
        <v>461</v>
      </c>
      <c r="G11224">
        <v>0</v>
      </c>
      <c r="H11224" t="s">
        <v>16129</v>
      </c>
      <c r="I11224">
        <v>12620</v>
      </c>
      <c r="J11224" t="str">
        <f>VLOOKUP(E11224,DSSpieler!A:B,2,FALSE)</f>
        <v>Viper1999</v>
      </c>
    </row>
    <row r="11225" spans="1:10" x14ac:dyDescent="0.25">
      <c r="A11225">
        <v>12621</v>
      </c>
      <c r="B11225" t="s">
        <v>531</v>
      </c>
      <c r="C11225">
        <v>585</v>
      </c>
      <c r="D11225">
        <v>432</v>
      </c>
      <c r="E11225">
        <v>0</v>
      </c>
      <c r="F11225">
        <v>398</v>
      </c>
      <c r="G11225">
        <v>0</v>
      </c>
      <c r="H11225" t="s">
        <v>16130</v>
      </c>
      <c r="I11225">
        <v>12621</v>
      </c>
      <c r="J11225" t="e">
        <f>VLOOKUP(E11225,DSSpieler!A:B,2,FALSE)</f>
        <v>#N/A</v>
      </c>
    </row>
    <row r="11226" spans="1:10" x14ac:dyDescent="0.25">
      <c r="A11226">
        <v>12622</v>
      </c>
      <c r="B11226" t="s">
        <v>34456</v>
      </c>
      <c r="C11226">
        <v>595</v>
      </c>
      <c r="D11226">
        <v>557</v>
      </c>
      <c r="E11226">
        <v>7985922</v>
      </c>
      <c r="F11226">
        <v>979</v>
      </c>
      <c r="G11226">
        <v>0</v>
      </c>
      <c r="H11226" t="s">
        <v>16131</v>
      </c>
      <c r="I11226">
        <v>12622</v>
      </c>
      <c r="J11226" t="str">
        <f>VLOOKUP(E11226,DSSpieler!A:B,2,FALSE)</f>
        <v>BlackWitch2</v>
      </c>
    </row>
    <row r="11227" spans="1:10" x14ac:dyDescent="0.25">
      <c r="A11227">
        <v>12623</v>
      </c>
      <c r="B11227" t="s">
        <v>2151</v>
      </c>
      <c r="C11227">
        <v>605</v>
      </c>
      <c r="D11227">
        <v>467</v>
      </c>
      <c r="E11227">
        <v>1577195777</v>
      </c>
      <c r="F11227">
        <v>3298</v>
      </c>
      <c r="G11227">
        <v>0</v>
      </c>
      <c r="H11227" t="s">
        <v>16132</v>
      </c>
      <c r="I11227">
        <v>12623</v>
      </c>
      <c r="J11227" t="str">
        <f>VLOOKUP(E11227,DSSpieler!A:B,2,FALSE)</f>
        <v>Eclair</v>
      </c>
    </row>
    <row r="11228" spans="1:10" x14ac:dyDescent="0.25">
      <c r="A11228">
        <v>12624</v>
      </c>
      <c r="B11228" t="s">
        <v>34457</v>
      </c>
      <c r="C11228">
        <v>414</v>
      </c>
      <c r="D11228">
        <v>458</v>
      </c>
      <c r="E11228">
        <v>1577199217</v>
      </c>
      <c r="F11228">
        <v>6834</v>
      </c>
      <c r="G11228">
        <v>0</v>
      </c>
      <c r="H11228" t="s">
        <v>16133</v>
      </c>
      <c r="I11228">
        <v>12624</v>
      </c>
      <c r="J11228" t="str">
        <f>VLOOKUP(E11228,DSSpieler!A:B,2,FALSE)</f>
        <v>Axelsei</v>
      </c>
    </row>
    <row r="11229" spans="1:10" x14ac:dyDescent="0.25">
      <c r="A11229">
        <v>12625</v>
      </c>
      <c r="B11229" t="s">
        <v>531</v>
      </c>
      <c r="C11229">
        <v>430</v>
      </c>
      <c r="D11229">
        <v>585</v>
      </c>
      <c r="E11229">
        <v>0</v>
      </c>
      <c r="F11229">
        <v>362</v>
      </c>
      <c r="G11229">
        <v>0</v>
      </c>
      <c r="H11229" t="s">
        <v>16134</v>
      </c>
      <c r="I11229">
        <v>12625</v>
      </c>
      <c r="J11229" t="e">
        <f>VLOOKUP(E11229,DSSpieler!A:B,2,FALSE)</f>
        <v>#N/A</v>
      </c>
    </row>
    <row r="11230" spans="1:10" x14ac:dyDescent="0.25">
      <c r="A11230">
        <v>12626</v>
      </c>
      <c r="B11230">
        <v>5</v>
      </c>
      <c r="C11230">
        <v>398</v>
      </c>
      <c r="D11230">
        <v>499</v>
      </c>
      <c r="E11230">
        <v>9642632</v>
      </c>
      <c r="F11230">
        <v>3798</v>
      </c>
      <c r="G11230">
        <v>0</v>
      </c>
      <c r="H11230" t="s">
        <v>16135</v>
      </c>
      <c r="I11230">
        <v>12626</v>
      </c>
      <c r="J11230" t="str">
        <f>VLOOKUP(E11230,DSSpieler!A:B,2,FALSE)</f>
        <v>Micha041</v>
      </c>
    </row>
    <row r="11231" spans="1:10" x14ac:dyDescent="0.25">
      <c r="A11231">
        <v>12629</v>
      </c>
      <c r="B11231" t="s">
        <v>531</v>
      </c>
      <c r="C11231">
        <v>419</v>
      </c>
      <c r="D11231">
        <v>529</v>
      </c>
      <c r="E11231">
        <v>0</v>
      </c>
      <c r="F11231">
        <v>139</v>
      </c>
      <c r="G11231">
        <v>0</v>
      </c>
      <c r="H11231" t="s">
        <v>16136</v>
      </c>
      <c r="I11231">
        <v>12629</v>
      </c>
      <c r="J11231" t="e">
        <f>VLOOKUP(E11231,DSSpieler!A:B,2,FALSE)</f>
        <v>#N/A</v>
      </c>
    </row>
    <row r="11232" spans="1:10" x14ac:dyDescent="0.25">
      <c r="A11232">
        <v>12630</v>
      </c>
      <c r="B11232" t="s">
        <v>34458</v>
      </c>
      <c r="C11232">
        <v>483</v>
      </c>
      <c r="D11232">
        <v>613</v>
      </c>
      <c r="E11232">
        <v>1576628882</v>
      </c>
      <c r="F11232">
        <v>4123</v>
      </c>
      <c r="G11232">
        <v>0</v>
      </c>
      <c r="H11232" t="s">
        <v>16137</v>
      </c>
      <c r="I11232">
        <v>12630</v>
      </c>
      <c r="J11232" t="str">
        <f>VLOOKUP(E11232,DSSpieler!A:B,2,FALSE)</f>
        <v>Hirito Yomi</v>
      </c>
    </row>
    <row r="11233" spans="1:10" x14ac:dyDescent="0.25">
      <c r="A11233">
        <v>12631</v>
      </c>
      <c r="B11233" t="s">
        <v>667</v>
      </c>
      <c r="C11233">
        <v>486</v>
      </c>
      <c r="D11233">
        <v>404</v>
      </c>
      <c r="E11233">
        <v>1577199221</v>
      </c>
      <c r="F11233">
        <v>318</v>
      </c>
      <c r="G11233">
        <v>0</v>
      </c>
      <c r="H11233" t="s">
        <v>16138</v>
      </c>
      <c r="I11233">
        <v>12631</v>
      </c>
      <c r="J11233" t="str">
        <f>VLOOKUP(E11233,DSSpieler!A:B,2,FALSE)</f>
        <v>Heide07</v>
      </c>
    </row>
    <row r="11234" spans="1:10" x14ac:dyDescent="0.25">
      <c r="A11234">
        <v>12632</v>
      </c>
      <c r="B11234" t="s">
        <v>34459</v>
      </c>
      <c r="C11234">
        <v>572</v>
      </c>
      <c r="D11234">
        <v>411</v>
      </c>
      <c r="E11234">
        <v>1577180883</v>
      </c>
      <c r="F11234">
        <v>3614</v>
      </c>
      <c r="G11234">
        <v>0</v>
      </c>
      <c r="H11234" t="s">
        <v>16139</v>
      </c>
      <c r="I11234">
        <v>12632</v>
      </c>
      <c r="J11234" t="str">
        <f>VLOOKUP(E11234,DSSpieler!A:B,2,FALSE)</f>
        <v>CYLLEYA</v>
      </c>
    </row>
    <row r="11235" spans="1:10" x14ac:dyDescent="0.25">
      <c r="A11235">
        <v>12633</v>
      </c>
      <c r="B11235" t="s">
        <v>531</v>
      </c>
      <c r="C11235">
        <v>423</v>
      </c>
      <c r="D11235">
        <v>550</v>
      </c>
      <c r="E11235">
        <v>0</v>
      </c>
      <c r="F11235">
        <v>662</v>
      </c>
      <c r="G11235">
        <v>0</v>
      </c>
      <c r="H11235" t="s">
        <v>16140</v>
      </c>
      <c r="I11235">
        <v>12633</v>
      </c>
      <c r="J11235" t="e">
        <f>VLOOKUP(E11235,DSSpieler!A:B,2,FALSE)</f>
        <v>#N/A</v>
      </c>
    </row>
    <row r="11236" spans="1:10" x14ac:dyDescent="0.25">
      <c r="A11236">
        <v>12634</v>
      </c>
      <c r="B11236" t="s">
        <v>34460</v>
      </c>
      <c r="C11236">
        <v>420</v>
      </c>
      <c r="D11236">
        <v>423</v>
      </c>
      <c r="E11236">
        <v>1576928335</v>
      </c>
      <c r="F11236">
        <v>52</v>
      </c>
      <c r="G11236">
        <v>0</v>
      </c>
      <c r="H11236" t="s">
        <v>16141</v>
      </c>
      <c r="I11236">
        <v>12634</v>
      </c>
      <c r="J11236" t="str">
        <f>VLOOKUP(E11236,DSSpieler!A:B,2,FALSE)</f>
        <v>CUB25</v>
      </c>
    </row>
    <row r="11237" spans="1:10" x14ac:dyDescent="0.25">
      <c r="A11237">
        <v>12637</v>
      </c>
      <c r="B11237" t="s">
        <v>2152</v>
      </c>
      <c r="C11237">
        <v>395</v>
      </c>
      <c r="D11237">
        <v>470</v>
      </c>
      <c r="E11237">
        <v>1576281323</v>
      </c>
      <c r="F11237">
        <v>7251</v>
      </c>
      <c r="G11237">
        <v>0</v>
      </c>
      <c r="H11237" t="s">
        <v>16142</v>
      </c>
      <c r="I11237">
        <v>12637</v>
      </c>
      <c r="J11237" t="str">
        <f>VLOOKUP(E11237,DSSpieler!A:B,2,FALSE)</f>
        <v>missdreamy</v>
      </c>
    </row>
    <row r="11238" spans="1:10" x14ac:dyDescent="0.25">
      <c r="A11238">
        <v>12638</v>
      </c>
      <c r="B11238" t="s">
        <v>531</v>
      </c>
      <c r="C11238">
        <v>394</v>
      </c>
      <c r="D11238">
        <v>506</v>
      </c>
      <c r="E11238">
        <v>0</v>
      </c>
      <c r="F11238">
        <v>346</v>
      </c>
      <c r="G11238">
        <v>0</v>
      </c>
      <c r="H11238" t="s">
        <v>16143</v>
      </c>
      <c r="I11238">
        <v>12638</v>
      </c>
      <c r="J11238" t="e">
        <f>VLOOKUP(E11238,DSSpieler!A:B,2,FALSE)</f>
        <v>#N/A</v>
      </c>
    </row>
    <row r="11239" spans="1:10" x14ac:dyDescent="0.25">
      <c r="A11239">
        <v>12639</v>
      </c>
      <c r="B11239" t="s">
        <v>531</v>
      </c>
      <c r="C11239">
        <v>524</v>
      </c>
      <c r="D11239">
        <v>606</v>
      </c>
      <c r="E11239">
        <v>0</v>
      </c>
      <c r="F11239">
        <v>318</v>
      </c>
      <c r="G11239">
        <v>0</v>
      </c>
      <c r="H11239" t="s">
        <v>16144</v>
      </c>
      <c r="I11239">
        <v>12639</v>
      </c>
      <c r="J11239" t="e">
        <f>VLOOKUP(E11239,DSSpieler!A:B,2,FALSE)</f>
        <v>#N/A</v>
      </c>
    </row>
    <row r="11240" spans="1:10" x14ac:dyDescent="0.25">
      <c r="A11240">
        <v>12642</v>
      </c>
      <c r="B11240" t="s">
        <v>531</v>
      </c>
      <c r="C11240">
        <v>406</v>
      </c>
      <c r="D11240">
        <v>445</v>
      </c>
      <c r="E11240">
        <v>0</v>
      </c>
      <c r="F11240">
        <v>355</v>
      </c>
      <c r="G11240">
        <v>0</v>
      </c>
      <c r="H11240" t="s">
        <v>16145</v>
      </c>
      <c r="I11240">
        <v>12642</v>
      </c>
      <c r="J11240" t="e">
        <f>VLOOKUP(E11240,DSSpieler!A:B,2,FALSE)</f>
        <v>#N/A</v>
      </c>
    </row>
    <row r="11241" spans="1:10" x14ac:dyDescent="0.25">
      <c r="A11241">
        <v>12643</v>
      </c>
      <c r="B11241" t="s">
        <v>2153</v>
      </c>
      <c r="C11241">
        <v>597</v>
      </c>
      <c r="D11241">
        <v>449</v>
      </c>
      <c r="E11241">
        <v>1577002061</v>
      </c>
      <c r="F11241">
        <v>4869</v>
      </c>
      <c r="G11241">
        <v>0</v>
      </c>
      <c r="H11241" t="s">
        <v>16146</v>
      </c>
      <c r="I11241">
        <v>12643</v>
      </c>
      <c r="J11241" t="str">
        <f>VLOOKUP(E11241,DSSpieler!A:B,2,FALSE)</f>
        <v>König Jonny</v>
      </c>
    </row>
    <row r="11242" spans="1:10" x14ac:dyDescent="0.25">
      <c r="A11242">
        <v>12644</v>
      </c>
      <c r="B11242" t="s">
        <v>31322</v>
      </c>
      <c r="C11242">
        <v>400</v>
      </c>
      <c r="D11242">
        <v>463</v>
      </c>
      <c r="E11242">
        <v>1577199227</v>
      </c>
      <c r="F11242">
        <v>6688</v>
      </c>
      <c r="G11242">
        <v>0</v>
      </c>
      <c r="H11242" t="s">
        <v>16147</v>
      </c>
      <c r="I11242">
        <v>12644</v>
      </c>
      <c r="J11242" t="str">
        <f>VLOOKUP(E11242,DSSpieler!A:B,2,FALSE)</f>
        <v>Kapitän Glühbirne</v>
      </c>
    </row>
    <row r="11243" spans="1:10" x14ac:dyDescent="0.25">
      <c r="A11243">
        <v>12646</v>
      </c>
      <c r="B11243" t="s">
        <v>2154</v>
      </c>
      <c r="C11243">
        <v>400</v>
      </c>
      <c r="D11243">
        <v>482</v>
      </c>
      <c r="E11243">
        <v>1577048237</v>
      </c>
      <c r="F11243">
        <v>6945</v>
      </c>
      <c r="G11243">
        <v>0</v>
      </c>
      <c r="H11243" t="s">
        <v>460</v>
      </c>
      <c r="I11243">
        <v>12646</v>
      </c>
      <c r="J11243" t="str">
        <f>VLOOKUP(E11243,DSSpieler!A:B,2,FALSE)</f>
        <v>Dantzelot</v>
      </c>
    </row>
    <row r="11244" spans="1:10" x14ac:dyDescent="0.25">
      <c r="A11244">
        <v>12647</v>
      </c>
      <c r="B11244" t="s">
        <v>531</v>
      </c>
      <c r="C11244">
        <v>472</v>
      </c>
      <c r="D11244">
        <v>427</v>
      </c>
      <c r="E11244">
        <v>0</v>
      </c>
      <c r="F11244">
        <v>672</v>
      </c>
      <c r="G11244">
        <v>0</v>
      </c>
      <c r="H11244" t="s">
        <v>16148</v>
      </c>
      <c r="I11244">
        <v>12647</v>
      </c>
      <c r="J11244" t="e">
        <f>VLOOKUP(E11244,DSSpieler!A:B,2,FALSE)</f>
        <v>#N/A</v>
      </c>
    </row>
    <row r="11245" spans="1:10" x14ac:dyDescent="0.25">
      <c r="A11245">
        <v>12648</v>
      </c>
      <c r="B11245" t="s">
        <v>979</v>
      </c>
      <c r="C11245">
        <v>484</v>
      </c>
      <c r="D11245">
        <v>607</v>
      </c>
      <c r="E11245">
        <v>1577197847</v>
      </c>
      <c r="F11245">
        <v>6834</v>
      </c>
      <c r="G11245">
        <v>0</v>
      </c>
      <c r="H11245" t="s">
        <v>16149</v>
      </c>
      <c r="I11245">
        <v>12648</v>
      </c>
      <c r="J11245" t="str">
        <f>VLOOKUP(E11245,DSSpieler!A:B,2,FALSE)</f>
        <v>Dekk</v>
      </c>
    </row>
    <row r="11246" spans="1:10" x14ac:dyDescent="0.25">
      <c r="A11246">
        <v>12649</v>
      </c>
      <c r="B11246" t="s">
        <v>531</v>
      </c>
      <c r="C11246">
        <v>520</v>
      </c>
      <c r="D11246">
        <v>607</v>
      </c>
      <c r="E11246">
        <v>0</v>
      </c>
      <c r="F11246">
        <v>322</v>
      </c>
      <c r="G11246">
        <v>0</v>
      </c>
      <c r="H11246" t="s">
        <v>16150</v>
      </c>
      <c r="I11246">
        <v>12649</v>
      </c>
      <c r="J11246" t="e">
        <f>VLOOKUP(E11246,DSSpieler!A:B,2,FALSE)</f>
        <v>#N/A</v>
      </c>
    </row>
    <row r="11247" spans="1:10" x14ac:dyDescent="0.25">
      <c r="A11247">
        <v>12650</v>
      </c>
      <c r="B11247" t="s">
        <v>531</v>
      </c>
      <c r="C11247">
        <v>490</v>
      </c>
      <c r="D11247">
        <v>607</v>
      </c>
      <c r="E11247">
        <v>0</v>
      </c>
      <c r="F11247">
        <v>371</v>
      </c>
      <c r="G11247">
        <v>0</v>
      </c>
      <c r="H11247" t="s">
        <v>16151</v>
      </c>
      <c r="I11247">
        <v>12650</v>
      </c>
      <c r="J11247" t="e">
        <f>VLOOKUP(E11247,DSSpieler!A:B,2,FALSE)</f>
        <v>#N/A</v>
      </c>
    </row>
    <row r="11248" spans="1:10" x14ac:dyDescent="0.25">
      <c r="A11248">
        <v>12652</v>
      </c>
      <c r="B11248" t="s">
        <v>34461</v>
      </c>
      <c r="C11248">
        <v>395</v>
      </c>
      <c r="D11248">
        <v>469</v>
      </c>
      <c r="E11248">
        <v>1577199231</v>
      </c>
      <c r="F11248">
        <v>2514</v>
      </c>
      <c r="G11248">
        <v>0</v>
      </c>
      <c r="H11248" t="s">
        <v>16152</v>
      </c>
      <c r="I11248">
        <v>12652</v>
      </c>
      <c r="J11248" t="str">
        <f>VLOOKUP(E11248,DSSpieler!A:B,2,FALSE)</f>
        <v>sexystämmegirl</v>
      </c>
    </row>
    <row r="11249" spans="1:10" x14ac:dyDescent="0.25">
      <c r="A11249">
        <v>12653</v>
      </c>
      <c r="B11249" t="s">
        <v>531</v>
      </c>
      <c r="C11249">
        <v>525</v>
      </c>
      <c r="D11249">
        <v>395</v>
      </c>
      <c r="E11249">
        <v>0</v>
      </c>
      <c r="F11249">
        <v>331</v>
      </c>
      <c r="G11249">
        <v>0</v>
      </c>
      <c r="H11249" t="s">
        <v>16153</v>
      </c>
      <c r="I11249">
        <v>12653</v>
      </c>
      <c r="J11249" t="e">
        <f>VLOOKUP(E11249,DSSpieler!A:B,2,FALSE)</f>
        <v>#N/A</v>
      </c>
    </row>
    <row r="11250" spans="1:10" x14ac:dyDescent="0.25">
      <c r="A11250">
        <v>12654</v>
      </c>
      <c r="B11250" t="s">
        <v>34462</v>
      </c>
      <c r="C11250">
        <v>459</v>
      </c>
      <c r="D11250">
        <v>460</v>
      </c>
      <c r="E11250">
        <v>1577019226</v>
      </c>
      <c r="F11250">
        <v>6290</v>
      </c>
      <c r="G11250">
        <v>0</v>
      </c>
      <c r="H11250" t="s">
        <v>16154</v>
      </c>
      <c r="I11250">
        <v>12654</v>
      </c>
      <c r="J11250" t="str">
        <f>VLOOKUP(E11250,DSSpieler!A:B,2,FALSE)</f>
        <v>Burn2g</v>
      </c>
    </row>
    <row r="11251" spans="1:10" x14ac:dyDescent="0.25">
      <c r="A11251">
        <v>12655</v>
      </c>
      <c r="B11251" t="s">
        <v>673</v>
      </c>
      <c r="C11251">
        <v>390</v>
      </c>
      <c r="D11251">
        <v>480</v>
      </c>
      <c r="E11251">
        <v>1577176760</v>
      </c>
      <c r="F11251">
        <v>170</v>
      </c>
      <c r="G11251">
        <v>0</v>
      </c>
      <c r="H11251" t="s">
        <v>16155</v>
      </c>
      <c r="I11251">
        <v>12655</v>
      </c>
      <c r="J11251" t="str">
        <f>VLOOKUP(E11251,DSSpieler!A:B,2,FALSE)</f>
        <v>Katapult Klaus</v>
      </c>
    </row>
    <row r="11252" spans="1:10" x14ac:dyDescent="0.25">
      <c r="A11252">
        <v>12656</v>
      </c>
      <c r="B11252" t="s">
        <v>34463</v>
      </c>
      <c r="C11252">
        <v>468</v>
      </c>
      <c r="D11252">
        <v>410</v>
      </c>
      <c r="E11252">
        <v>1576915148</v>
      </c>
      <c r="F11252">
        <v>4744</v>
      </c>
      <c r="G11252">
        <v>0</v>
      </c>
      <c r="H11252" t="s">
        <v>16156</v>
      </c>
      <c r="I11252">
        <v>12656</v>
      </c>
      <c r="J11252" t="str">
        <f>VLOOKUP(E11252,DSSpieler!A:B,2,FALSE)</f>
        <v>JuSt4FuN97</v>
      </c>
    </row>
    <row r="11253" spans="1:10" x14ac:dyDescent="0.25">
      <c r="A11253">
        <v>12657</v>
      </c>
      <c r="B11253" t="s">
        <v>780</v>
      </c>
      <c r="C11253">
        <v>609</v>
      </c>
      <c r="D11253">
        <v>508</v>
      </c>
      <c r="E11253">
        <v>1577133527</v>
      </c>
      <c r="F11253">
        <v>4483</v>
      </c>
      <c r="G11253">
        <v>0</v>
      </c>
      <c r="H11253" t="s">
        <v>16157</v>
      </c>
      <c r="I11253">
        <v>12657</v>
      </c>
      <c r="J11253" t="str">
        <f>VLOOKUP(E11253,DSSpieler!A:B,2,FALSE)</f>
        <v>Joah Theron</v>
      </c>
    </row>
    <row r="11254" spans="1:10" x14ac:dyDescent="0.25">
      <c r="A11254">
        <v>12658</v>
      </c>
      <c r="B11254" t="s">
        <v>34464</v>
      </c>
      <c r="C11254">
        <v>596</v>
      </c>
      <c r="D11254">
        <v>460</v>
      </c>
      <c r="E11254">
        <v>1576779600</v>
      </c>
      <c r="F11254">
        <v>4355</v>
      </c>
      <c r="G11254">
        <v>0</v>
      </c>
      <c r="H11254" t="s">
        <v>16158</v>
      </c>
      <c r="I11254">
        <v>12658</v>
      </c>
      <c r="J11254" t="str">
        <f>VLOOKUP(E11254,DSSpieler!A:B,2,FALSE)</f>
        <v>Badgirl.1</v>
      </c>
    </row>
    <row r="11255" spans="1:10" x14ac:dyDescent="0.25">
      <c r="A11255">
        <v>12659</v>
      </c>
      <c r="B11255" t="s">
        <v>531</v>
      </c>
      <c r="C11255">
        <v>549</v>
      </c>
      <c r="D11255">
        <v>401</v>
      </c>
      <c r="E11255">
        <v>0</v>
      </c>
      <c r="F11255">
        <v>433</v>
      </c>
      <c r="G11255">
        <v>0</v>
      </c>
      <c r="H11255" t="s">
        <v>16159</v>
      </c>
      <c r="I11255">
        <v>12659</v>
      </c>
      <c r="J11255" t="e">
        <f>VLOOKUP(E11255,DSSpieler!A:B,2,FALSE)</f>
        <v>#N/A</v>
      </c>
    </row>
    <row r="11256" spans="1:10" x14ac:dyDescent="0.25">
      <c r="A11256">
        <v>12660</v>
      </c>
      <c r="B11256" t="s">
        <v>34465</v>
      </c>
      <c r="C11256">
        <v>478</v>
      </c>
      <c r="D11256">
        <v>601</v>
      </c>
      <c r="E11256">
        <v>9064505</v>
      </c>
      <c r="F11256">
        <v>4988</v>
      </c>
      <c r="G11256">
        <v>0</v>
      </c>
      <c r="H11256" t="s">
        <v>16160</v>
      </c>
      <c r="I11256">
        <v>12660</v>
      </c>
      <c r="J11256" t="str">
        <f>VLOOKUP(E11256,DSSpieler!A:B,2,FALSE)</f>
        <v>SirLeoDer1</v>
      </c>
    </row>
    <row r="11257" spans="1:10" x14ac:dyDescent="0.25">
      <c r="A11257">
        <v>12661</v>
      </c>
      <c r="B11257">
        <v>5</v>
      </c>
      <c r="C11257">
        <v>408</v>
      </c>
      <c r="D11257">
        <v>449</v>
      </c>
      <c r="E11257">
        <v>9768664</v>
      </c>
      <c r="F11257">
        <v>5418</v>
      </c>
      <c r="G11257">
        <v>0</v>
      </c>
      <c r="H11257" t="s">
        <v>16161</v>
      </c>
      <c r="I11257">
        <v>12661</v>
      </c>
      <c r="J11257" t="str">
        <f>VLOOKUP(E11257,DSSpieler!A:B,2,FALSE)</f>
        <v>tobinator2345</v>
      </c>
    </row>
    <row r="11258" spans="1:10" x14ac:dyDescent="0.25">
      <c r="A11258">
        <v>12663</v>
      </c>
      <c r="B11258" t="s">
        <v>34466</v>
      </c>
      <c r="C11258">
        <v>544</v>
      </c>
      <c r="D11258">
        <v>400</v>
      </c>
      <c r="E11258">
        <v>1576865433</v>
      </c>
      <c r="F11258">
        <v>150</v>
      </c>
      <c r="G11258">
        <v>0</v>
      </c>
      <c r="H11258" t="s">
        <v>16162</v>
      </c>
      <c r="I11258">
        <v>12663</v>
      </c>
      <c r="J11258" t="str">
        <f>VLOOKUP(E11258,DSSpieler!A:B,2,FALSE)</f>
        <v>BashBrothers</v>
      </c>
    </row>
    <row r="11259" spans="1:10" x14ac:dyDescent="0.25">
      <c r="A11259">
        <v>12665</v>
      </c>
      <c r="B11259" t="s">
        <v>34467</v>
      </c>
      <c r="C11259">
        <v>440</v>
      </c>
      <c r="D11259">
        <v>542</v>
      </c>
      <c r="E11259">
        <v>9442447</v>
      </c>
      <c r="F11259">
        <v>422</v>
      </c>
      <c r="G11259">
        <v>0</v>
      </c>
      <c r="H11259" t="s">
        <v>16163</v>
      </c>
      <c r="I11259">
        <v>12665</v>
      </c>
      <c r="J11259" t="str">
        <f>VLOOKUP(E11259,DSSpieler!A:B,2,FALSE)</f>
        <v>snowdruss</v>
      </c>
    </row>
    <row r="11260" spans="1:10" x14ac:dyDescent="0.25">
      <c r="A11260">
        <v>12666</v>
      </c>
      <c r="B11260" t="s">
        <v>34468</v>
      </c>
      <c r="C11260">
        <v>478</v>
      </c>
      <c r="D11260">
        <v>608</v>
      </c>
      <c r="E11260">
        <v>1576628882</v>
      </c>
      <c r="F11260">
        <v>3761</v>
      </c>
      <c r="G11260">
        <v>0</v>
      </c>
      <c r="H11260" t="s">
        <v>16164</v>
      </c>
      <c r="I11260">
        <v>12666</v>
      </c>
      <c r="J11260" t="str">
        <f>VLOOKUP(E11260,DSSpieler!A:B,2,FALSE)</f>
        <v>Hirito Yomi</v>
      </c>
    </row>
    <row r="11261" spans="1:10" x14ac:dyDescent="0.25">
      <c r="A11261">
        <v>12667</v>
      </c>
      <c r="B11261" t="s">
        <v>2155</v>
      </c>
      <c r="C11261">
        <v>487</v>
      </c>
      <c r="D11261">
        <v>534</v>
      </c>
      <c r="E11261">
        <v>1577199157</v>
      </c>
      <c r="F11261">
        <v>3898</v>
      </c>
      <c r="G11261">
        <v>0</v>
      </c>
      <c r="H11261" t="s">
        <v>16165</v>
      </c>
      <c r="I11261">
        <v>12667</v>
      </c>
      <c r="J11261" t="str">
        <f>VLOOKUP(E11261,DSSpieler!A:B,2,FALSE)</f>
        <v>wgo-habasch</v>
      </c>
    </row>
    <row r="11262" spans="1:10" x14ac:dyDescent="0.25">
      <c r="A11262">
        <v>12668</v>
      </c>
      <c r="B11262" t="s">
        <v>2156</v>
      </c>
      <c r="C11262">
        <v>522</v>
      </c>
      <c r="D11262">
        <v>557</v>
      </c>
      <c r="E11262">
        <v>1577191393</v>
      </c>
      <c r="F11262">
        <v>6750</v>
      </c>
      <c r="G11262">
        <v>0</v>
      </c>
      <c r="H11262" t="s">
        <v>16166</v>
      </c>
      <c r="I11262">
        <v>12668</v>
      </c>
      <c r="J11262" t="str">
        <f>VLOOKUP(E11262,DSSpieler!A:B,2,FALSE)</f>
        <v>Mann mit Axt</v>
      </c>
    </row>
    <row r="11263" spans="1:10" x14ac:dyDescent="0.25">
      <c r="A11263">
        <v>12669</v>
      </c>
      <c r="B11263" t="s">
        <v>531</v>
      </c>
      <c r="C11263">
        <v>390</v>
      </c>
      <c r="D11263">
        <v>492</v>
      </c>
      <c r="E11263">
        <v>0</v>
      </c>
      <c r="F11263">
        <v>182</v>
      </c>
      <c r="G11263">
        <v>0</v>
      </c>
      <c r="H11263" t="s">
        <v>16167</v>
      </c>
      <c r="I11263">
        <v>12669</v>
      </c>
      <c r="J11263" t="e">
        <f>VLOOKUP(E11263,DSSpieler!A:B,2,FALSE)</f>
        <v>#N/A</v>
      </c>
    </row>
    <row r="11264" spans="1:10" x14ac:dyDescent="0.25">
      <c r="A11264">
        <v>12670</v>
      </c>
      <c r="B11264" t="s">
        <v>34469</v>
      </c>
      <c r="C11264">
        <v>587</v>
      </c>
      <c r="D11264">
        <v>441</v>
      </c>
      <c r="E11264">
        <v>1577056983</v>
      </c>
      <c r="F11264">
        <v>6878</v>
      </c>
      <c r="G11264">
        <v>0</v>
      </c>
      <c r="H11264" t="s">
        <v>16168</v>
      </c>
      <c r="I11264">
        <v>12670</v>
      </c>
      <c r="J11264" t="str">
        <f>VLOOKUP(E11264,DSSpieler!A:B,2,FALSE)</f>
        <v>angryt3chnican</v>
      </c>
    </row>
    <row r="11265" spans="1:10" x14ac:dyDescent="0.25">
      <c r="A11265">
        <v>12671</v>
      </c>
      <c r="B11265" t="s">
        <v>531</v>
      </c>
      <c r="C11265">
        <v>392</v>
      </c>
      <c r="D11265">
        <v>474</v>
      </c>
      <c r="E11265">
        <v>0</v>
      </c>
      <c r="F11265">
        <v>253</v>
      </c>
      <c r="G11265">
        <v>0</v>
      </c>
      <c r="H11265" t="s">
        <v>16169</v>
      </c>
      <c r="I11265">
        <v>12671</v>
      </c>
      <c r="J11265" t="e">
        <f>VLOOKUP(E11265,DSSpieler!A:B,2,FALSE)</f>
        <v>#N/A</v>
      </c>
    </row>
    <row r="11266" spans="1:10" x14ac:dyDescent="0.25">
      <c r="A11266">
        <v>12673</v>
      </c>
      <c r="B11266" t="s">
        <v>531</v>
      </c>
      <c r="C11266">
        <v>396</v>
      </c>
      <c r="D11266">
        <v>536</v>
      </c>
      <c r="E11266">
        <v>0</v>
      </c>
      <c r="F11266">
        <v>349</v>
      </c>
      <c r="G11266">
        <v>0</v>
      </c>
      <c r="H11266" t="s">
        <v>16170</v>
      </c>
      <c r="I11266">
        <v>12673</v>
      </c>
      <c r="J11266" t="e">
        <f>VLOOKUP(E11266,DSSpieler!A:B,2,FALSE)</f>
        <v>#N/A</v>
      </c>
    </row>
    <row r="11267" spans="1:10" x14ac:dyDescent="0.25">
      <c r="A11267">
        <v>12674</v>
      </c>
      <c r="B11267" t="s">
        <v>34470</v>
      </c>
      <c r="C11267">
        <v>391</v>
      </c>
      <c r="D11267">
        <v>513</v>
      </c>
      <c r="E11267">
        <v>1577070192</v>
      </c>
      <c r="F11267">
        <v>3795</v>
      </c>
      <c r="G11267">
        <v>0</v>
      </c>
      <c r="H11267" t="s">
        <v>16171</v>
      </c>
      <c r="I11267">
        <v>12674</v>
      </c>
      <c r="J11267" t="str">
        <f>VLOOKUP(E11267,DSSpieler!A:B,2,FALSE)</f>
        <v>SirAmon</v>
      </c>
    </row>
    <row r="11268" spans="1:10" x14ac:dyDescent="0.25">
      <c r="A11268">
        <v>12675</v>
      </c>
      <c r="B11268" t="s">
        <v>531</v>
      </c>
      <c r="C11268">
        <v>526</v>
      </c>
      <c r="D11268">
        <v>395</v>
      </c>
      <c r="E11268">
        <v>0</v>
      </c>
      <c r="F11268">
        <v>305</v>
      </c>
      <c r="G11268">
        <v>0</v>
      </c>
      <c r="H11268" t="s">
        <v>16172</v>
      </c>
      <c r="I11268">
        <v>12675</v>
      </c>
      <c r="J11268" t="e">
        <f>VLOOKUP(E11268,DSSpieler!A:B,2,FALSE)</f>
        <v>#N/A</v>
      </c>
    </row>
    <row r="11269" spans="1:10" x14ac:dyDescent="0.25">
      <c r="A11269">
        <v>12676</v>
      </c>
      <c r="B11269" t="s">
        <v>531</v>
      </c>
      <c r="C11269">
        <v>565</v>
      </c>
      <c r="D11269">
        <v>588</v>
      </c>
      <c r="E11269">
        <v>0</v>
      </c>
      <c r="F11269">
        <v>931</v>
      </c>
      <c r="G11269">
        <v>0</v>
      </c>
      <c r="H11269" t="s">
        <v>16173</v>
      </c>
      <c r="I11269">
        <v>12676</v>
      </c>
      <c r="J11269" t="e">
        <f>VLOOKUP(E11269,DSSpieler!A:B,2,FALSE)</f>
        <v>#N/A</v>
      </c>
    </row>
    <row r="11270" spans="1:10" x14ac:dyDescent="0.25">
      <c r="A11270">
        <v>12677</v>
      </c>
      <c r="B11270" t="s">
        <v>531</v>
      </c>
      <c r="C11270">
        <v>424</v>
      </c>
      <c r="D11270">
        <v>419</v>
      </c>
      <c r="E11270">
        <v>0</v>
      </c>
      <c r="F11270">
        <v>159</v>
      </c>
      <c r="G11270">
        <v>0</v>
      </c>
      <c r="H11270" t="s">
        <v>16174</v>
      </c>
      <c r="I11270">
        <v>12677</v>
      </c>
      <c r="J11270" t="e">
        <f>VLOOKUP(E11270,DSSpieler!A:B,2,FALSE)</f>
        <v>#N/A</v>
      </c>
    </row>
    <row r="11271" spans="1:10" x14ac:dyDescent="0.25">
      <c r="A11271">
        <v>12678</v>
      </c>
      <c r="B11271" t="s">
        <v>531</v>
      </c>
      <c r="C11271">
        <v>608</v>
      </c>
      <c r="D11271">
        <v>493</v>
      </c>
      <c r="E11271">
        <v>0</v>
      </c>
      <c r="F11271">
        <v>242</v>
      </c>
      <c r="G11271">
        <v>0</v>
      </c>
      <c r="H11271" t="s">
        <v>16175</v>
      </c>
      <c r="I11271">
        <v>12678</v>
      </c>
      <c r="J11271" t="e">
        <f>VLOOKUP(E11271,DSSpieler!A:B,2,FALSE)</f>
        <v>#N/A</v>
      </c>
    </row>
    <row r="11272" spans="1:10" x14ac:dyDescent="0.25">
      <c r="A11272">
        <v>12679</v>
      </c>
      <c r="B11272" t="s">
        <v>531</v>
      </c>
      <c r="C11272">
        <v>509</v>
      </c>
      <c r="D11272">
        <v>608</v>
      </c>
      <c r="E11272">
        <v>0</v>
      </c>
      <c r="F11272">
        <v>430</v>
      </c>
      <c r="G11272">
        <v>0</v>
      </c>
      <c r="H11272" t="s">
        <v>16176</v>
      </c>
      <c r="I11272">
        <v>12679</v>
      </c>
      <c r="J11272" t="e">
        <f>VLOOKUP(E11272,DSSpieler!A:B,2,FALSE)</f>
        <v>#N/A</v>
      </c>
    </row>
    <row r="11273" spans="1:10" x14ac:dyDescent="0.25">
      <c r="A11273">
        <v>12680</v>
      </c>
      <c r="B11273" t="s">
        <v>34471</v>
      </c>
      <c r="C11273">
        <v>409</v>
      </c>
      <c r="D11273">
        <v>436</v>
      </c>
      <c r="E11273">
        <v>432238</v>
      </c>
      <c r="F11273">
        <v>7034</v>
      </c>
      <c r="G11273">
        <v>0</v>
      </c>
      <c r="H11273" t="s">
        <v>16177</v>
      </c>
      <c r="I11273">
        <v>12680</v>
      </c>
      <c r="J11273" t="str">
        <f>VLOOKUP(E11273,DSSpieler!A:B,2,FALSE)</f>
        <v>JayBe</v>
      </c>
    </row>
    <row r="11274" spans="1:10" x14ac:dyDescent="0.25">
      <c r="A11274">
        <v>12681</v>
      </c>
      <c r="B11274" t="s">
        <v>531</v>
      </c>
      <c r="C11274">
        <v>576</v>
      </c>
      <c r="D11274">
        <v>575</v>
      </c>
      <c r="E11274">
        <v>0</v>
      </c>
      <c r="F11274">
        <v>217</v>
      </c>
      <c r="G11274">
        <v>0</v>
      </c>
      <c r="H11274" t="s">
        <v>16178</v>
      </c>
      <c r="I11274">
        <v>12681</v>
      </c>
      <c r="J11274" t="e">
        <f>VLOOKUP(E11274,DSSpieler!A:B,2,FALSE)</f>
        <v>#N/A</v>
      </c>
    </row>
    <row r="11275" spans="1:10" x14ac:dyDescent="0.25">
      <c r="A11275">
        <v>12682</v>
      </c>
      <c r="B11275" t="s">
        <v>34472</v>
      </c>
      <c r="C11275">
        <v>578</v>
      </c>
      <c r="D11275">
        <v>551</v>
      </c>
      <c r="E11275">
        <v>1577130480</v>
      </c>
      <c r="F11275">
        <v>5800</v>
      </c>
      <c r="G11275">
        <v>0</v>
      </c>
      <c r="H11275" t="s">
        <v>16179</v>
      </c>
      <c r="I11275">
        <v>12682</v>
      </c>
      <c r="J11275" t="str">
        <f>VLOOKUP(E11275,DSSpieler!A:B,2,FALSE)</f>
        <v>Kri1003</v>
      </c>
    </row>
    <row r="11276" spans="1:10" x14ac:dyDescent="0.25">
      <c r="A11276">
        <v>12683</v>
      </c>
      <c r="B11276">
        <v>1</v>
      </c>
      <c r="C11276">
        <v>477</v>
      </c>
      <c r="D11276">
        <v>393</v>
      </c>
      <c r="E11276">
        <v>1577064270</v>
      </c>
      <c r="F11276">
        <v>1991</v>
      </c>
      <c r="G11276">
        <v>0</v>
      </c>
      <c r="H11276" t="s">
        <v>16180</v>
      </c>
      <c r="I11276">
        <v>12683</v>
      </c>
      <c r="J11276" t="str">
        <f>VLOOKUP(E11276,DSSpieler!A:B,2,FALSE)</f>
        <v>robert47</v>
      </c>
    </row>
    <row r="11277" spans="1:10" x14ac:dyDescent="0.25">
      <c r="A11277">
        <v>12684</v>
      </c>
      <c r="B11277" t="s">
        <v>34473</v>
      </c>
      <c r="C11277">
        <v>472</v>
      </c>
      <c r="D11277">
        <v>389</v>
      </c>
      <c r="E11277">
        <v>9598223</v>
      </c>
      <c r="F11277">
        <v>1465</v>
      </c>
      <c r="G11277">
        <v>0</v>
      </c>
      <c r="H11277" t="s">
        <v>16181</v>
      </c>
      <c r="I11277">
        <v>12684</v>
      </c>
      <c r="J11277" t="str">
        <f>VLOOKUP(E11277,DSSpieler!A:B,2,FALSE)</f>
        <v>radix333</v>
      </c>
    </row>
    <row r="11278" spans="1:10" x14ac:dyDescent="0.25">
      <c r="A11278">
        <v>12685</v>
      </c>
      <c r="B11278" t="s">
        <v>31758</v>
      </c>
      <c r="C11278">
        <v>611</v>
      </c>
      <c r="D11278">
        <v>500</v>
      </c>
      <c r="E11278">
        <v>1577071496</v>
      </c>
      <c r="F11278">
        <v>4351</v>
      </c>
      <c r="G11278">
        <v>0</v>
      </c>
      <c r="H11278" t="s">
        <v>16182</v>
      </c>
      <c r="I11278">
        <v>12685</v>
      </c>
      <c r="J11278" t="str">
        <f>VLOOKUP(E11278,DSSpieler!A:B,2,FALSE)</f>
        <v>boombot95</v>
      </c>
    </row>
    <row r="11279" spans="1:10" x14ac:dyDescent="0.25">
      <c r="A11279">
        <v>12686</v>
      </c>
      <c r="B11279">
        <v>7</v>
      </c>
      <c r="C11279">
        <v>428</v>
      </c>
      <c r="D11279">
        <v>443</v>
      </c>
      <c r="E11279">
        <v>1575903781</v>
      </c>
      <c r="F11279">
        <v>2567</v>
      </c>
      <c r="G11279">
        <v>0</v>
      </c>
      <c r="H11279" t="s">
        <v>16183</v>
      </c>
      <c r="I11279">
        <v>12686</v>
      </c>
      <c r="J11279" t="str">
        <f>VLOOKUP(E11279,DSSpieler!A:B,2,FALSE)</f>
        <v>Black Trinity</v>
      </c>
    </row>
    <row r="11280" spans="1:10" x14ac:dyDescent="0.25">
      <c r="A11280">
        <v>12687</v>
      </c>
      <c r="B11280" t="s">
        <v>31494</v>
      </c>
      <c r="C11280">
        <v>558</v>
      </c>
      <c r="D11280">
        <v>593</v>
      </c>
      <c r="E11280">
        <v>1577197739</v>
      </c>
      <c r="F11280">
        <v>6753</v>
      </c>
      <c r="G11280">
        <v>0</v>
      </c>
      <c r="H11280" t="s">
        <v>16184</v>
      </c>
      <c r="I11280">
        <v>12687</v>
      </c>
      <c r="J11280" t="str">
        <f>VLOOKUP(E11280,DSSpieler!A:B,2,FALSE)</f>
        <v>WMitty</v>
      </c>
    </row>
    <row r="11281" spans="1:10" x14ac:dyDescent="0.25">
      <c r="A11281">
        <v>12688</v>
      </c>
      <c r="B11281" t="s">
        <v>531</v>
      </c>
      <c r="C11281">
        <v>480</v>
      </c>
      <c r="D11281">
        <v>416</v>
      </c>
      <c r="E11281">
        <v>0</v>
      </c>
      <c r="F11281">
        <v>920</v>
      </c>
      <c r="G11281">
        <v>0</v>
      </c>
      <c r="H11281" t="s">
        <v>16185</v>
      </c>
      <c r="I11281">
        <v>12688</v>
      </c>
      <c r="J11281" t="e">
        <f>VLOOKUP(E11281,DSSpieler!A:B,2,FALSE)</f>
        <v>#N/A</v>
      </c>
    </row>
    <row r="11282" spans="1:10" x14ac:dyDescent="0.25">
      <c r="A11282">
        <v>12689</v>
      </c>
      <c r="B11282" t="s">
        <v>34474</v>
      </c>
      <c r="C11282">
        <v>597</v>
      </c>
      <c r="D11282">
        <v>448</v>
      </c>
      <c r="E11282">
        <v>1577198140</v>
      </c>
      <c r="F11282">
        <v>3008</v>
      </c>
      <c r="G11282">
        <v>0</v>
      </c>
      <c r="H11282" t="s">
        <v>16186</v>
      </c>
      <c r="I11282">
        <v>12689</v>
      </c>
      <c r="J11282" t="str">
        <f>VLOOKUP(E11282,DSSpieler!A:B,2,FALSE)</f>
        <v>FuchsTrix</v>
      </c>
    </row>
    <row r="11283" spans="1:10" x14ac:dyDescent="0.25">
      <c r="A11283">
        <v>12690</v>
      </c>
      <c r="B11283" t="s">
        <v>34475</v>
      </c>
      <c r="C11283">
        <v>400</v>
      </c>
      <c r="D11283">
        <v>551</v>
      </c>
      <c r="E11283">
        <v>9942630</v>
      </c>
      <c r="F11283">
        <v>6196</v>
      </c>
      <c r="G11283">
        <v>0</v>
      </c>
      <c r="H11283" t="s">
        <v>16187</v>
      </c>
      <c r="I11283">
        <v>12690</v>
      </c>
      <c r="J11283" t="str">
        <f>VLOOKUP(E11283,DSSpieler!A:B,2,FALSE)</f>
        <v>Dr. med. Räscher</v>
      </c>
    </row>
    <row r="11284" spans="1:10" x14ac:dyDescent="0.25">
      <c r="A11284">
        <v>12691</v>
      </c>
      <c r="B11284" t="s">
        <v>34476</v>
      </c>
      <c r="C11284">
        <v>403</v>
      </c>
      <c r="D11284">
        <v>546</v>
      </c>
      <c r="E11284">
        <v>1576477994</v>
      </c>
      <c r="F11284">
        <v>2667</v>
      </c>
      <c r="G11284">
        <v>0</v>
      </c>
      <c r="H11284" t="s">
        <v>16188</v>
      </c>
      <c r="I11284">
        <v>12691</v>
      </c>
      <c r="J11284" t="str">
        <f>VLOOKUP(E11284,DSSpieler!A:B,2,FALSE)</f>
        <v>diegosam1000</v>
      </c>
    </row>
    <row r="11285" spans="1:10" x14ac:dyDescent="0.25">
      <c r="A11285">
        <v>12692</v>
      </c>
      <c r="B11285" t="s">
        <v>531</v>
      </c>
      <c r="C11285">
        <v>463</v>
      </c>
      <c r="D11285">
        <v>604</v>
      </c>
      <c r="E11285">
        <v>0</v>
      </c>
      <c r="F11285">
        <v>149</v>
      </c>
      <c r="G11285">
        <v>0</v>
      </c>
      <c r="H11285" t="s">
        <v>16189</v>
      </c>
      <c r="I11285">
        <v>12692</v>
      </c>
      <c r="J11285" t="e">
        <f>VLOOKUP(E11285,DSSpieler!A:B,2,FALSE)</f>
        <v>#N/A</v>
      </c>
    </row>
    <row r="11286" spans="1:10" x14ac:dyDescent="0.25">
      <c r="A11286">
        <v>12693</v>
      </c>
      <c r="B11286" t="s">
        <v>531</v>
      </c>
      <c r="C11286">
        <v>486</v>
      </c>
      <c r="D11286">
        <v>610</v>
      </c>
      <c r="E11286">
        <v>0</v>
      </c>
      <c r="F11286">
        <v>584</v>
      </c>
      <c r="G11286">
        <v>0</v>
      </c>
      <c r="H11286" t="s">
        <v>16190</v>
      </c>
      <c r="I11286">
        <v>12693</v>
      </c>
      <c r="J11286" t="e">
        <f>VLOOKUP(E11286,DSSpieler!A:B,2,FALSE)</f>
        <v>#N/A</v>
      </c>
    </row>
    <row r="11287" spans="1:10" x14ac:dyDescent="0.25">
      <c r="A11287">
        <v>12694</v>
      </c>
      <c r="B11287" t="s">
        <v>34477</v>
      </c>
      <c r="C11287">
        <v>489</v>
      </c>
      <c r="D11287">
        <v>456</v>
      </c>
      <c r="E11287">
        <v>1577182537</v>
      </c>
      <c r="F11287">
        <v>645</v>
      </c>
      <c r="G11287">
        <v>0</v>
      </c>
      <c r="H11287" t="s">
        <v>16191</v>
      </c>
      <c r="I11287">
        <v>12694</v>
      </c>
      <c r="J11287" t="str">
        <f>VLOOKUP(E11287,DSSpieler!A:B,2,FALSE)</f>
        <v>AM2824</v>
      </c>
    </row>
    <row r="11288" spans="1:10" x14ac:dyDescent="0.25">
      <c r="A11288">
        <v>12695</v>
      </c>
      <c r="B11288" t="s">
        <v>531</v>
      </c>
      <c r="C11288">
        <v>607</v>
      </c>
      <c r="D11288">
        <v>508</v>
      </c>
      <c r="E11288">
        <v>0</v>
      </c>
      <c r="F11288">
        <v>114</v>
      </c>
      <c r="G11288">
        <v>0</v>
      </c>
      <c r="H11288" t="s">
        <v>16192</v>
      </c>
      <c r="I11288">
        <v>12695</v>
      </c>
      <c r="J11288" t="e">
        <f>VLOOKUP(E11288,DSSpieler!A:B,2,FALSE)</f>
        <v>#N/A</v>
      </c>
    </row>
    <row r="11289" spans="1:10" x14ac:dyDescent="0.25">
      <c r="A11289">
        <v>12696</v>
      </c>
      <c r="B11289" t="s">
        <v>531</v>
      </c>
      <c r="C11289">
        <v>569</v>
      </c>
      <c r="D11289">
        <v>585</v>
      </c>
      <c r="E11289">
        <v>0</v>
      </c>
      <c r="F11289">
        <v>264</v>
      </c>
      <c r="G11289">
        <v>0</v>
      </c>
      <c r="H11289" t="s">
        <v>16193</v>
      </c>
      <c r="I11289">
        <v>12696</v>
      </c>
      <c r="J11289" t="e">
        <f>VLOOKUP(E11289,DSSpieler!A:B,2,FALSE)</f>
        <v>#N/A</v>
      </c>
    </row>
    <row r="11290" spans="1:10" x14ac:dyDescent="0.25">
      <c r="A11290">
        <v>12697</v>
      </c>
      <c r="B11290" t="s">
        <v>531</v>
      </c>
      <c r="C11290">
        <v>426</v>
      </c>
      <c r="D11290">
        <v>421</v>
      </c>
      <c r="E11290">
        <v>0</v>
      </c>
      <c r="F11290">
        <v>251</v>
      </c>
      <c r="G11290">
        <v>0</v>
      </c>
      <c r="H11290" t="s">
        <v>16194</v>
      </c>
      <c r="I11290">
        <v>12697</v>
      </c>
      <c r="J11290" t="e">
        <f>VLOOKUP(E11290,DSSpieler!A:B,2,FALSE)</f>
        <v>#N/A</v>
      </c>
    </row>
    <row r="11291" spans="1:10" x14ac:dyDescent="0.25">
      <c r="A11291">
        <v>12698</v>
      </c>
      <c r="B11291" t="s">
        <v>531</v>
      </c>
      <c r="C11291">
        <v>508</v>
      </c>
      <c r="D11291">
        <v>607</v>
      </c>
      <c r="E11291">
        <v>0</v>
      </c>
      <c r="F11291">
        <v>678</v>
      </c>
      <c r="G11291">
        <v>0</v>
      </c>
      <c r="H11291" t="s">
        <v>16195</v>
      </c>
      <c r="I11291">
        <v>12698</v>
      </c>
      <c r="J11291" t="e">
        <f>VLOOKUP(E11291,DSSpieler!A:B,2,FALSE)</f>
        <v>#N/A</v>
      </c>
    </row>
    <row r="11292" spans="1:10" x14ac:dyDescent="0.25">
      <c r="A11292">
        <v>12699</v>
      </c>
      <c r="B11292">
        <v>1</v>
      </c>
      <c r="C11292">
        <v>454</v>
      </c>
      <c r="D11292">
        <v>401</v>
      </c>
      <c r="E11292">
        <v>1577199261</v>
      </c>
      <c r="F11292">
        <v>7446</v>
      </c>
      <c r="G11292">
        <v>0</v>
      </c>
      <c r="H11292" t="s">
        <v>16196</v>
      </c>
      <c r="I11292">
        <v>12699</v>
      </c>
      <c r="J11292" t="str">
        <f>VLOOKUP(E11292,DSSpieler!A:B,2,FALSE)</f>
        <v>JLDD14</v>
      </c>
    </row>
    <row r="11293" spans="1:10" x14ac:dyDescent="0.25">
      <c r="A11293">
        <v>12700</v>
      </c>
      <c r="B11293" t="s">
        <v>531</v>
      </c>
      <c r="C11293">
        <v>546</v>
      </c>
      <c r="D11293">
        <v>399</v>
      </c>
      <c r="E11293">
        <v>0</v>
      </c>
      <c r="F11293">
        <v>1168</v>
      </c>
      <c r="G11293">
        <v>0</v>
      </c>
      <c r="H11293" t="s">
        <v>16197</v>
      </c>
      <c r="I11293">
        <v>12700</v>
      </c>
      <c r="J11293" t="e">
        <f>VLOOKUP(E11293,DSSpieler!A:B,2,FALSE)</f>
        <v>#N/A</v>
      </c>
    </row>
    <row r="11294" spans="1:10" x14ac:dyDescent="0.25">
      <c r="A11294">
        <v>12701</v>
      </c>
      <c r="B11294" t="s">
        <v>2157</v>
      </c>
      <c r="C11294">
        <v>434</v>
      </c>
      <c r="D11294">
        <v>589</v>
      </c>
      <c r="E11294">
        <v>1577106143</v>
      </c>
      <c r="F11294">
        <v>4893</v>
      </c>
      <c r="G11294">
        <v>0</v>
      </c>
      <c r="H11294" t="s">
        <v>16198</v>
      </c>
      <c r="I11294">
        <v>12701</v>
      </c>
      <c r="J11294" t="str">
        <f>VLOOKUP(E11294,DSSpieler!A:B,2,FALSE)</f>
        <v>DonFrodo</v>
      </c>
    </row>
    <row r="11295" spans="1:10" x14ac:dyDescent="0.25">
      <c r="A11295">
        <v>12702</v>
      </c>
      <c r="B11295" t="s">
        <v>531</v>
      </c>
      <c r="C11295">
        <v>564</v>
      </c>
      <c r="D11295">
        <v>592</v>
      </c>
      <c r="E11295">
        <v>0</v>
      </c>
      <c r="F11295">
        <v>382</v>
      </c>
      <c r="G11295">
        <v>0</v>
      </c>
      <c r="H11295" t="s">
        <v>16199</v>
      </c>
      <c r="I11295">
        <v>12702</v>
      </c>
      <c r="J11295" t="e">
        <f>VLOOKUP(E11295,DSSpieler!A:B,2,FALSE)</f>
        <v>#N/A</v>
      </c>
    </row>
    <row r="11296" spans="1:10" x14ac:dyDescent="0.25">
      <c r="A11296">
        <v>12703</v>
      </c>
      <c r="B11296" t="s">
        <v>34478</v>
      </c>
      <c r="C11296">
        <v>497</v>
      </c>
      <c r="D11296">
        <v>385</v>
      </c>
      <c r="E11296">
        <v>3031955</v>
      </c>
      <c r="F11296">
        <v>6666</v>
      </c>
      <c r="G11296">
        <v>0</v>
      </c>
      <c r="H11296" t="s">
        <v>16200</v>
      </c>
      <c r="I11296">
        <v>12703</v>
      </c>
      <c r="J11296" t="str">
        <f>VLOOKUP(E11296,DSSpieler!A:B,2,FALSE)</f>
        <v>colahefe</v>
      </c>
    </row>
    <row r="11297" spans="1:10" x14ac:dyDescent="0.25">
      <c r="A11297">
        <v>12704</v>
      </c>
      <c r="B11297" t="s">
        <v>531</v>
      </c>
      <c r="C11297">
        <v>603</v>
      </c>
      <c r="D11297">
        <v>539</v>
      </c>
      <c r="E11297">
        <v>0</v>
      </c>
      <c r="F11297">
        <v>388</v>
      </c>
      <c r="G11297">
        <v>0</v>
      </c>
      <c r="H11297" t="s">
        <v>16201</v>
      </c>
      <c r="I11297">
        <v>12704</v>
      </c>
      <c r="J11297" t="e">
        <f>VLOOKUP(E11297,DSSpieler!A:B,2,FALSE)</f>
        <v>#N/A</v>
      </c>
    </row>
    <row r="11298" spans="1:10" x14ac:dyDescent="0.25">
      <c r="A11298">
        <v>12705</v>
      </c>
      <c r="B11298" t="s">
        <v>34479</v>
      </c>
      <c r="C11298">
        <v>556</v>
      </c>
      <c r="D11298">
        <v>584</v>
      </c>
      <c r="E11298">
        <v>1577044240</v>
      </c>
      <c r="F11298">
        <v>4865</v>
      </c>
      <c r="G11298">
        <v>0</v>
      </c>
      <c r="H11298" t="s">
        <v>16202</v>
      </c>
      <c r="I11298">
        <v>12705</v>
      </c>
      <c r="J11298" t="str">
        <f>VLOOKUP(E11298,DSSpieler!A:B,2,FALSE)</f>
        <v>Inaktiv-Keine-Zeit</v>
      </c>
    </row>
    <row r="11299" spans="1:10" x14ac:dyDescent="0.25">
      <c r="A11299">
        <v>12706</v>
      </c>
      <c r="B11299" t="s">
        <v>2158</v>
      </c>
      <c r="C11299">
        <v>458</v>
      </c>
      <c r="D11299">
        <v>393</v>
      </c>
      <c r="E11299">
        <v>1577199270</v>
      </c>
      <c r="F11299">
        <v>4964</v>
      </c>
      <c r="G11299">
        <v>0</v>
      </c>
      <c r="H11299" t="s">
        <v>16203</v>
      </c>
      <c r="I11299">
        <v>12706</v>
      </c>
      <c r="J11299" t="str">
        <f>VLOOKUP(E11299,DSSpieler!A:B,2,FALSE)</f>
        <v>ElChapito</v>
      </c>
    </row>
    <row r="11300" spans="1:10" x14ac:dyDescent="0.25">
      <c r="A11300">
        <v>12707</v>
      </c>
      <c r="B11300" t="s">
        <v>531</v>
      </c>
      <c r="C11300">
        <v>392</v>
      </c>
      <c r="D11300">
        <v>510</v>
      </c>
      <c r="E11300">
        <v>0</v>
      </c>
      <c r="F11300">
        <v>370</v>
      </c>
      <c r="G11300">
        <v>0</v>
      </c>
      <c r="H11300" t="s">
        <v>16204</v>
      </c>
      <c r="I11300">
        <v>12707</v>
      </c>
      <c r="J11300" t="e">
        <f>VLOOKUP(E11300,DSSpieler!A:B,2,FALSE)</f>
        <v>#N/A</v>
      </c>
    </row>
    <row r="11301" spans="1:10" x14ac:dyDescent="0.25">
      <c r="A11301">
        <v>12708</v>
      </c>
      <c r="B11301" t="s">
        <v>2159</v>
      </c>
      <c r="C11301">
        <v>599</v>
      </c>
      <c r="D11301">
        <v>543</v>
      </c>
      <c r="E11301">
        <v>10047604</v>
      </c>
      <c r="F11301">
        <v>2447</v>
      </c>
      <c r="G11301">
        <v>0</v>
      </c>
      <c r="H11301" t="s">
        <v>16205</v>
      </c>
      <c r="I11301">
        <v>12708</v>
      </c>
      <c r="J11301" t="str">
        <f>VLOOKUP(E11301,DSSpieler!A:B,2,FALSE)</f>
        <v>biergaming</v>
      </c>
    </row>
    <row r="11302" spans="1:10" x14ac:dyDescent="0.25">
      <c r="A11302">
        <v>12709</v>
      </c>
      <c r="B11302" t="s">
        <v>531</v>
      </c>
      <c r="C11302">
        <v>523</v>
      </c>
      <c r="D11302">
        <v>394</v>
      </c>
      <c r="E11302">
        <v>0</v>
      </c>
      <c r="F11302">
        <v>438</v>
      </c>
      <c r="G11302">
        <v>0</v>
      </c>
      <c r="H11302" t="s">
        <v>16206</v>
      </c>
      <c r="I11302">
        <v>12709</v>
      </c>
      <c r="J11302" t="e">
        <f>VLOOKUP(E11302,DSSpieler!A:B,2,FALSE)</f>
        <v>#N/A</v>
      </c>
    </row>
    <row r="11303" spans="1:10" x14ac:dyDescent="0.25">
      <c r="A11303">
        <v>12710</v>
      </c>
      <c r="B11303" t="s">
        <v>2160</v>
      </c>
      <c r="C11303">
        <v>388</v>
      </c>
      <c r="D11303">
        <v>474</v>
      </c>
      <c r="E11303">
        <v>1575923303</v>
      </c>
      <c r="F11303">
        <v>5205</v>
      </c>
      <c r="G11303">
        <v>0</v>
      </c>
      <c r="H11303" t="s">
        <v>464</v>
      </c>
      <c r="I11303">
        <v>12710</v>
      </c>
      <c r="J11303" t="str">
        <f>VLOOKUP(E11303,DSSpieler!A:B,2,FALSE)</f>
        <v>matzebvb</v>
      </c>
    </row>
    <row r="11304" spans="1:10" x14ac:dyDescent="0.25">
      <c r="A11304">
        <v>12711</v>
      </c>
      <c r="B11304" t="s">
        <v>531</v>
      </c>
      <c r="C11304">
        <v>471</v>
      </c>
      <c r="D11304">
        <v>603</v>
      </c>
      <c r="E11304">
        <v>0</v>
      </c>
      <c r="F11304">
        <v>656</v>
      </c>
      <c r="G11304">
        <v>0</v>
      </c>
      <c r="H11304" t="s">
        <v>16207</v>
      </c>
      <c r="I11304">
        <v>12711</v>
      </c>
      <c r="J11304" t="e">
        <f>VLOOKUP(E11304,DSSpieler!A:B,2,FALSE)</f>
        <v>#N/A</v>
      </c>
    </row>
    <row r="11305" spans="1:10" x14ac:dyDescent="0.25">
      <c r="A11305">
        <v>12713</v>
      </c>
      <c r="B11305" t="s">
        <v>531</v>
      </c>
      <c r="C11305">
        <v>527</v>
      </c>
      <c r="D11305">
        <v>394</v>
      </c>
      <c r="E11305">
        <v>0</v>
      </c>
      <c r="F11305">
        <v>202</v>
      </c>
      <c r="G11305">
        <v>0</v>
      </c>
      <c r="H11305" t="s">
        <v>16208</v>
      </c>
      <c r="I11305">
        <v>12713</v>
      </c>
      <c r="J11305" t="e">
        <f>VLOOKUP(E11305,DSSpieler!A:B,2,FALSE)</f>
        <v>#N/A</v>
      </c>
    </row>
    <row r="11306" spans="1:10" x14ac:dyDescent="0.25">
      <c r="A11306">
        <v>12714</v>
      </c>
      <c r="B11306" s="111">
        <v>230.01</v>
      </c>
      <c r="C11306">
        <v>554</v>
      </c>
      <c r="D11306">
        <v>596</v>
      </c>
      <c r="E11306">
        <v>1577126198</v>
      </c>
      <c r="F11306">
        <v>6374</v>
      </c>
      <c r="G11306">
        <v>0</v>
      </c>
      <c r="H11306" t="s">
        <v>16209</v>
      </c>
      <c r="I11306">
        <v>12714</v>
      </c>
      <c r="J11306" t="str">
        <f>VLOOKUP(E11306,DSSpieler!A:B,2,FALSE)</f>
        <v>Yang</v>
      </c>
    </row>
    <row r="11307" spans="1:10" x14ac:dyDescent="0.25">
      <c r="A11307">
        <v>12715</v>
      </c>
      <c r="B11307" t="e">
        <f>-2-+Lima</f>
        <v>#NAME?</v>
      </c>
      <c r="C11307">
        <v>477</v>
      </c>
      <c r="D11307">
        <v>607</v>
      </c>
      <c r="E11307">
        <v>2053085</v>
      </c>
      <c r="F11307">
        <v>2230</v>
      </c>
      <c r="G11307">
        <v>0</v>
      </c>
      <c r="H11307" t="s">
        <v>16210</v>
      </c>
      <c r="I11307">
        <v>12715</v>
      </c>
      <c r="J11307" t="str">
        <f>VLOOKUP(E11307,DSSpieler!A:B,2,FALSE)</f>
        <v>der peruaner</v>
      </c>
    </row>
    <row r="11308" spans="1:10" x14ac:dyDescent="0.25">
      <c r="A11308">
        <v>12716</v>
      </c>
      <c r="B11308" t="s">
        <v>2161</v>
      </c>
      <c r="C11308">
        <v>399</v>
      </c>
      <c r="D11308">
        <v>546</v>
      </c>
      <c r="E11308">
        <v>2816098</v>
      </c>
      <c r="F11308">
        <v>5128</v>
      </c>
      <c r="G11308">
        <v>0</v>
      </c>
      <c r="H11308" t="s">
        <v>16211</v>
      </c>
      <c r="I11308">
        <v>12716</v>
      </c>
      <c r="J11308" t="str">
        <f>VLOOKUP(E11308,DSSpieler!A:B,2,FALSE)</f>
        <v>iN sM0ke</v>
      </c>
    </row>
    <row r="11309" spans="1:10" x14ac:dyDescent="0.25">
      <c r="A11309">
        <v>12717</v>
      </c>
      <c r="B11309" t="s">
        <v>34480</v>
      </c>
      <c r="C11309">
        <v>427</v>
      </c>
      <c r="D11309">
        <v>417</v>
      </c>
      <c r="E11309">
        <v>1577199274</v>
      </c>
      <c r="F11309">
        <v>848</v>
      </c>
      <c r="G11309">
        <v>0</v>
      </c>
      <c r="H11309" t="s">
        <v>16212</v>
      </c>
      <c r="I11309">
        <v>12717</v>
      </c>
      <c r="J11309" t="str">
        <f>VLOOKUP(E11309,DSSpieler!A:B,2,FALSE)</f>
        <v>LosPersos</v>
      </c>
    </row>
    <row r="11310" spans="1:10" x14ac:dyDescent="0.25">
      <c r="A11310">
        <v>12718</v>
      </c>
      <c r="B11310" t="s">
        <v>34481</v>
      </c>
      <c r="C11310">
        <v>600</v>
      </c>
      <c r="D11310">
        <v>470</v>
      </c>
      <c r="E11310">
        <v>1577175387</v>
      </c>
      <c r="F11310">
        <v>5591</v>
      </c>
      <c r="G11310">
        <v>0</v>
      </c>
      <c r="H11310" t="s">
        <v>16213</v>
      </c>
      <c r="I11310">
        <v>12718</v>
      </c>
      <c r="J11310" t="str">
        <f>VLOOKUP(E11310,DSSpieler!A:B,2,FALSE)</f>
        <v>Rand*</v>
      </c>
    </row>
    <row r="11311" spans="1:10" x14ac:dyDescent="0.25">
      <c r="A11311">
        <v>12719</v>
      </c>
      <c r="B11311" t="s">
        <v>34482</v>
      </c>
      <c r="C11311">
        <v>494</v>
      </c>
      <c r="D11311">
        <v>444</v>
      </c>
      <c r="E11311">
        <v>8499266</v>
      </c>
      <c r="F11311">
        <v>686</v>
      </c>
      <c r="G11311">
        <v>0</v>
      </c>
      <c r="H11311" t="s">
        <v>16214</v>
      </c>
      <c r="I11311">
        <v>12719</v>
      </c>
      <c r="J11311" t="str">
        <f>VLOOKUP(E11311,DSSpieler!A:B,2,FALSE)</f>
        <v>Lordmatze33</v>
      </c>
    </row>
    <row r="11312" spans="1:10" x14ac:dyDescent="0.25">
      <c r="A11312">
        <v>12720</v>
      </c>
      <c r="B11312" t="s">
        <v>34483</v>
      </c>
      <c r="C11312">
        <v>561</v>
      </c>
      <c r="D11312">
        <v>411</v>
      </c>
      <c r="E11312">
        <v>1575855752</v>
      </c>
      <c r="F11312">
        <v>4561</v>
      </c>
      <c r="G11312">
        <v>0</v>
      </c>
      <c r="H11312" t="s">
        <v>16215</v>
      </c>
      <c r="I11312">
        <v>12720</v>
      </c>
      <c r="J11312" t="str">
        <f>VLOOKUP(E11312,DSSpieler!A:B,2,FALSE)</f>
        <v>michaelsch</v>
      </c>
    </row>
    <row r="11313" spans="1:10" x14ac:dyDescent="0.25">
      <c r="A11313">
        <v>12721</v>
      </c>
      <c r="B11313" t="s">
        <v>531</v>
      </c>
      <c r="C11313">
        <v>601</v>
      </c>
      <c r="D11313">
        <v>454</v>
      </c>
      <c r="E11313">
        <v>0</v>
      </c>
      <c r="F11313">
        <v>228</v>
      </c>
      <c r="G11313">
        <v>0</v>
      </c>
      <c r="H11313" t="s">
        <v>16216</v>
      </c>
      <c r="I11313">
        <v>12721</v>
      </c>
      <c r="J11313" t="e">
        <f>VLOOKUP(E11313,DSSpieler!A:B,2,FALSE)</f>
        <v>#N/A</v>
      </c>
    </row>
    <row r="11314" spans="1:10" x14ac:dyDescent="0.25">
      <c r="A11314">
        <v>12722</v>
      </c>
      <c r="B11314" t="s">
        <v>34484</v>
      </c>
      <c r="C11314">
        <v>473</v>
      </c>
      <c r="D11314">
        <v>561</v>
      </c>
      <c r="E11314">
        <v>9026066</v>
      </c>
      <c r="F11314">
        <v>3507</v>
      </c>
      <c r="G11314">
        <v>0</v>
      </c>
      <c r="H11314" t="s">
        <v>16217</v>
      </c>
      <c r="I11314">
        <v>12722</v>
      </c>
      <c r="J11314" t="str">
        <f>VLOOKUP(E11314,DSSpieler!A:B,2,FALSE)</f>
        <v>thehaaacker</v>
      </c>
    </row>
    <row r="11315" spans="1:10" x14ac:dyDescent="0.25">
      <c r="A11315">
        <v>12723</v>
      </c>
      <c r="B11315" t="s">
        <v>31139</v>
      </c>
      <c r="C11315">
        <v>454</v>
      </c>
      <c r="D11315">
        <v>408</v>
      </c>
      <c r="E11315">
        <v>1577199279</v>
      </c>
      <c r="F11315">
        <v>6533</v>
      </c>
      <c r="G11315">
        <v>0</v>
      </c>
      <c r="H11315" t="s">
        <v>16218</v>
      </c>
      <c r="I11315">
        <v>12723</v>
      </c>
      <c r="J11315" t="str">
        <f>VLOOKUP(E11315,DSSpieler!A:B,2,FALSE)</f>
        <v>BVB.09</v>
      </c>
    </row>
    <row r="11316" spans="1:10" x14ac:dyDescent="0.25">
      <c r="A11316">
        <v>12724</v>
      </c>
      <c r="B11316" s="111">
        <v>230.04</v>
      </c>
      <c r="C11316">
        <v>552</v>
      </c>
      <c r="D11316">
        <v>597</v>
      </c>
      <c r="E11316">
        <v>1577126198</v>
      </c>
      <c r="F11316">
        <v>6570</v>
      </c>
      <c r="G11316">
        <v>0</v>
      </c>
      <c r="H11316" t="s">
        <v>16219</v>
      </c>
      <c r="I11316">
        <v>12724</v>
      </c>
      <c r="J11316" t="str">
        <f>VLOOKUP(E11316,DSSpieler!A:B,2,FALSE)</f>
        <v>Yang</v>
      </c>
    </row>
    <row r="11317" spans="1:10" x14ac:dyDescent="0.25">
      <c r="A11317">
        <v>12725</v>
      </c>
      <c r="B11317" t="s">
        <v>531</v>
      </c>
      <c r="C11317">
        <v>549</v>
      </c>
      <c r="D11317">
        <v>404</v>
      </c>
      <c r="E11317">
        <v>0</v>
      </c>
      <c r="F11317">
        <v>485</v>
      </c>
      <c r="G11317">
        <v>0</v>
      </c>
      <c r="H11317" t="s">
        <v>16220</v>
      </c>
      <c r="I11317">
        <v>12725</v>
      </c>
      <c r="J11317" t="e">
        <f>VLOOKUP(E11317,DSSpieler!A:B,2,FALSE)</f>
        <v>#N/A</v>
      </c>
    </row>
    <row r="11318" spans="1:10" x14ac:dyDescent="0.25">
      <c r="A11318">
        <v>12726</v>
      </c>
      <c r="B11318" t="s">
        <v>34485</v>
      </c>
      <c r="C11318">
        <v>489</v>
      </c>
      <c r="D11318">
        <v>442</v>
      </c>
      <c r="E11318">
        <v>1577199280</v>
      </c>
      <c r="F11318">
        <v>6745</v>
      </c>
      <c r="G11318">
        <v>0</v>
      </c>
      <c r="H11318" t="s">
        <v>16221</v>
      </c>
      <c r="I11318">
        <v>12726</v>
      </c>
      <c r="J11318" t="str">
        <f>VLOOKUP(E11318,DSSpieler!A:B,2,FALSE)</f>
        <v>König BIG KNOLL</v>
      </c>
    </row>
    <row r="11319" spans="1:10" x14ac:dyDescent="0.25">
      <c r="A11319">
        <v>12727</v>
      </c>
      <c r="B11319" t="e">
        <f>-5-+SGLog+Zernien+Spiel</f>
        <v>#NAME?</v>
      </c>
      <c r="C11319">
        <v>578</v>
      </c>
      <c r="D11319">
        <v>436</v>
      </c>
      <c r="E11319">
        <v>142049</v>
      </c>
      <c r="F11319">
        <v>4601</v>
      </c>
      <c r="G11319">
        <v>0</v>
      </c>
      <c r="H11319" t="s">
        <v>16222</v>
      </c>
      <c r="I11319">
        <v>12727</v>
      </c>
      <c r="J11319" t="str">
        <f>VLOOKUP(E11319,DSSpieler!A:B,2,FALSE)</f>
        <v>theillnes</v>
      </c>
    </row>
    <row r="11320" spans="1:10" x14ac:dyDescent="0.25">
      <c r="A11320">
        <v>12728</v>
      </c>
      <c r="B11320" t="s">
        <v>531</v>
      </c>
      <c r="C11320">
        <v>488</v>
      </c>
      <c r="D11320">
        <v>609</v>
      </c>
      <c r="E11320">
        <v>0</v>
      </c>
      <c r="F11320">
        <v>313</v>
      </c>
      <c r="G11320">
        <v>0</v>
      </c>
      <c r="H11320" t="s">
        <v>16223</v>
      </c>
      <c r="I11320">
        <v>12728</v>
      </c>
      <c r="J11320" t="e">
        <f>VLOOKUP(E11320,DSSpieler!A:B,2,FALSE)</f>
        <v>#N/A</v>
      </c>
    </row>
    <row r="11321" spans="1:10" x14ac:dyDescent="0.25">
      <c r="A11321">
        <v>12729</v>
      </c>
      <c r="B11321" t="s">
        <v>531</v>
      </c>
      <c r="C11321">
        <v>508</v>
      </c>
      <c r="D11321">
        <v>609</v>
      </c>
      <c r="E11321">
        <v>0</v>
      </c>
      <c r="F11321">
        <v>253</v>
      </c>
      <c r="G11321">
        <v>0</v>
      </c>
      <c r="H11321" t="s">
        <v>16224</v>
      </c>
      <c r="I11321">
        <v>12729</v>
      </c>
      <c r="J11321" t="e">
        <f>VLOOKUP(E11321,DSSpieler!A:B,2,FALSE)</f>
        <v>#N/A</v>
      </c>
    </row>
    <row r="11322" spans="1:10" x14ac:dyDescent="0.25">
      <c r="A11322">
        <v>12730</v>
      </c>
      <c r="B11322" t="s">
        <v>34486</v>
      </c>
      <c r="C11322">
        <v>596</v>
      </c>
      <c r="D11322">
        <v>558</v>
      </c>
      <c r="E11322">
        <v>1576963877</v>
      </c>
      <c r="F11322">
        <v>137</v>
      </c>
      <c r="G11322">
        <v>0</v>
      </c>
      <c r="H11322" t="s">
        <v>16225</v>
      </c>
      <c r="I11322">
        <v>12730</v>
      </c>
      <c r="J11322" t="str">
        <f>VLOOKUP(E11322,DSSpieler!A:B,2,FALSE)</f>
        <v>xtcwx</v>
      </c>
    </row>
    <row r="11323" spans="1:10" x14ac:dyDescent="0.25">
      <c r="A11323">
        <v>12731</v>
      </c>
      <c r="B11323" t="s">
        <v>34487</v>
      </c>
      <c r="C11323">
        <v>476</v>
      </c>
      <c r="D11323">
        <v>598</v>
      </c>
      <c r="E11323">
        <v>1576450468</v>
      </c>
      <c r="F11323">
        <v>5682</v>
      </c>
      <c r="G11323">
        <v>0</v>
      </c>
      <c r="H11323" t="s">
        <v>16226</v>
      </c>
      <c r="I11323">
        <v>12731</v>
      </c>
      <c r="J11323" t="str">
        <f>VLOOKUP(E11323,DSSpieler!A:B,2,FALSE)</f>
        <v>b0nes</v>
      </c>
    </row>
    <row r="11324" spans="1:10" x14ac:dyDescent="0.25">
      <c r="A11324">
        <v>12732</v>
      </c>
      <c r="B11324" t="s">
        <v>531</v>
      </c>
      <c r="C11324">
        <v>501</v>
      </c>
      <c r="D11324">
        <v>389</v>
      </c>
      <c r="E11324">
        <v>0</v>
      </c>
      <c r="F11324">
        <v>213</v>
      </c>
      <c r="G11324">
        <v>0</v>
      </c>
      <c r="H11324" t="s">
        <v>16227</v>
      </c>
      <c r="I11324">
        <v>12732</v>
      </c>
      <c r="J11324" t="e">
        <f>VLOOKUP(E11324,DSSpieler!A:B,2,FALSE)</f>
        <v>#N/A</v>
      </c>
    </row>
    <row r="11325" spans="1:10" x14ac:dyDescent="0.25">
      <c r="A11325">
        <v>12733</v>
      </c>
      <c r="B11325" t="s">
        <v>2162</v>
      </c>
      <c r="C11325">
        <v>451</v>
      </c>
      <c r="D11325">
        <v>411</v>
      </c>
      <c r="E11325">
        <v>1577199283</v>
      </c>
      <c r="F11325">
        <v>4687</v>
      </c>
      <c r="G11325">
        <v>0</v>
      </c>
      <c r="H11325" t="s">
        <v>16228</v>
      </c>
      <c r="I11325">
        <v>12733</v>
      </c>
      <c r="J11325" t="str">
        <f>VLOOKUP(E11325,DSSpieler!A:B,2,FALSE)</f>
        <v>Los Persos</v>
      </c>
    </row>
    <row r="11326" spans="1:10" x14ac:dyDescent="0.25">
      <c r="A11326">
        <v>12734</v>
      </c>
      <c r="B11326" t="s">
        <v>531</v>
      </c>
      <c r="C11326">
        <v>465</v>
      </c>
      <c r="D11326">
        <v>394</v>
      </c>
      <c r="E11326">
        <v>0</v>
      </c>
      <c r="F11326">
        <v>283</v>
      </c>
      <c r="G11326">
        <v>0</v>
      </c>
      <c r="H11326" t="s">
        <v>16229</v>
      </c>
      <c r="I11326">
        <v>12734</v>
      </c>
      <c r="J11326" t="e">
        <f>VLOOKUP(E11326,DSSpieler!A:B,2,FALSE)</f>
        <v>#N/A</v>
      </c>
    </row>
    <row r="11327" spans="1:10" x14ac:dyDescent="0.25">
      <c r="A11327">
        <v>12735</v>
      </c>
      <c r="B11327" t="s">
        <v>34488</v>
      </c>
      <c r="C11327">
        <v>481</v>
      </c>
      <c r="D11327">
        <v>609</v>
      </c>
      <c r="E11327">
        <v>1576628882</v>
      </c>
      <c r="F11327">
        <v>5806</v>
      </c>
      <c r="G11327">
        <v>0</v>
      </c>
      <c r="H11327" t="s">
        <v>16230</v>
      </c>
      <c r="I11327">
        <v>12735</v>
      </c>
      <c r="J11327" t="str">
        <f>VLOOKUP(E11327,DSSpieler!A:B,2,FALSE)</f>
        <v>Hirito Yomi</v>
      </c>
    </row>
    <row r="11328" spans="1:10" x14ac:dyDescent="0.25">
      <c r="A11328">
        <v>12737</v>
      </c>
      <c r="B11328" t="e">
        <f>-3-+Regensburg+i.d.Opf.</f>
        <v>#NAME?</v>
      </c>
      <c r="C11328">
        <v>416</v>
      </c>
      <c r="D11328">
        <v>425</v>
      </c>
      <c r="E11328">
        <v>1577106611</v>
      </c>
      <c r="F11328">
        <v>3994</v>
      </c>
      <c r="G11328">
        <v>0</v>
      </c>
      <c r="H11328" t="s">
        <v>16231</v>
      </c>
      <c r="I11328">
        <v>12737</v>
      </c>
      <c r="J11328" t="str">
        <f>VLOOKUP(E11328,DSSpieler!A:B,2,FALSE)</f>
        <v>elkernaso</v>
      </c>
    </row>
    <row r="11329" spans="1:10" x14ac:dyDescent="0.25">
      <c r="A11329">
        <v>12738</v>
      </c>
      <c r="B11329" t="s">
        <v>531</v>
      </c>
      <c r="C11329">
        <v>594</v>
      </c>
      <c r="D11329">
        <v>449</v>
      </c>
      <c r="E11329">
        <v>0</v>
      </c>
      <c r="F11329">
        <v>481</v>
      </c>
      <c r="G11329">
        <v>0</v>
      </c>
      <c r="H11329" t="s">
        <v>16232</v>
      </c>
      <c r="I11329">
        <v>12738</v>
      </c>
      <c r="J11329" t="e">
        <f>VLOOKUP(E11329,DSSpieler!A:B,2,FALSE)</f>
        <v>#N/A</v>
      </c>
    </row>
    <row r="11330" spans="1:10" x14ac:dyDescent="0.25">
      <c r="A11330">
        <v>12739</v>
      </c>
      <c r="B11330" t="s">
        <v>1047</v>
      </c>
      <c r="C11330">
        <v>392</v>
      </c>
      <c r="D11330">
        <v>522</v>
      </c>
      <c r="E11330">
        <v>1577071766</v>
      </c>
      <c r="F11330">
        <v>3296</v>
      </c>
      <c r="G11330">
        <v>0</v>
      </c>
      <c r="H11330" t="s">
        <v>16233</v>
      </c>
      <c r="I11330">
        <v>12739</v>
      </c>
      <c r="J11330" t="str">
        <f>VLOOKUP(E11330,DSSpieler!A:B,2,FALSE)</f>
        <v>Drizzlek</v>
      </c>
    </row>
    <row r="11331" spans="1:10" x14ac:dyDescent="0.25">
      <c r="A11331">
        <v>12740</v>
      </c>
      <c r="B11331" t="s">
        <v>531</v>
      </c>
      <c r="C11331">
        <v>527</v>
      </c>
      <c r="D11331">
        <v>608</v>
      </c>
      <c r="E11331">
        <v>0</v>
      </c>
      <c r="F11331">
        <v>243</v>
      </c>
      <c r="G11331">
        <v>0</v>
      </c>
      <c r="H11331" t="s">
        <v>16234</v>
      </c>
      <c r="I11331">
        <v>12740</v>
      </c>
      <c r="J11331" t="e">
        <f>VLOOKUP(E11331,DSSpieler!A:B,2,FALSE)</f>
        <v>#N/A</v>
      </c>
    </row>
    <row r="11332" spans="1:10" x14ac:dyDescent="0.25">
      <c r="A11332">
        <v>12741</v>
      </c>
      <c r="B11332" t="s">
        <v>531</v>
      </c>
      <c r="C11332">
        <v>392</v>
      </c>
      <c r="D11332">
        <v>525</v>
      </c>
      <c r="E11332">
        <v>0</v>
      </c>
      <c r="F11332">
        <v>231</v>
      </c>
      <c r="G11332">
        <v>0</v>
      </c>
      <c r="H11332" t="s">
        <v>16235</v>
      </c>
      <c r="I11332">
        <v>12741</v>
      </c>
      <c r="J11332" t="e">
        <f>VLOOKUP(E11332,DSSpieler!A:B,2,FALSE)</f>
        <v>#N/A</v>
      </c>
    </row>
    <row r="11333" spans="1:10" x14ac:dyDescent="0.25">
      <c r="A11333">
        <v>12742</v>
      </c>
      <c r="B11333">
        <v>4</v>
      </c>
      <c r="C11333">
        <v>598</v>
      </c>
      <c r="D11333">
        <v>450</v>
      </c>
      <c r="E11333">
        <v>10196539</v>
      </c>
      <c r="F11333">
        <v>3978</v>
      </c>
      <c r="G11333">
        <v>0</v>
      </c>
      <c r="H11333" t="s">
        <v>16236</v>
      </c>
      <c r="I11333">
        <v>12742</v>
      </c>
      <c r="J11333" t="str">
        <f>VLOOKUP(E11333,DSSpieler!A:B,2,FALSE)</f>
        <v>leaguezok</v>
      </c>
    </row>
    <row r="11334" spans="1:10" x14ac:dyDescent="0.25">
      <c r="A11334">
        <v>12743</v>
      </c>
      <c r="B11334" t="s">
        <v>531</v>
      </c>
      <c r="C11334">
        <v>500</v>
      </c>
      <c r="D11334">
        <v>612</v>
      </c>
      <c r="E11334">
        <v>0</v>
      </c>
      <c r="F11334">
        <v>887</v>
      </c>
      <c r="G11334">
        <v>0</v>
      </c>
      <c r="H11334" t="s">
        <v>16237</v>
      </c>
      <c r="I11334">
        <v>12743</v>
      </c>
      <c r="J11334" t="e">
        <f>VLOOKUP(E11334,DSSpieler!A:B,2,FALSE)</f>
        <v>#N/A</v>
      </c>
    </row>
    <row r="11335" spans="1:10" x14ac:dyDescent="0.25">
      <c r="A11335">
        <v>12744</v>
      </c>
      <c r="B11335" t="s">
        <v>531</v>
      </c>
      <c r="C11335">
        <v>393</v>
      </c>
      <c r="D11335">
        <v>484</v>
      </c>
      <c r="E11335">
        <v>0</v>
      </c>
      <c r="F11335">
        <v>121</v>
      </c>
      <c r="G11335">
        <v>0</v>
      </c>
      <c r="H11335" t="s">
        <v>16238</v>
      </c>
      <c r="I11335">
        <v>12744</v>
      </c>
      <c r="J11335" t="e">
        <f>VLOOKUP(E11335,DSSpieler!A:B,2,FALSE)</f>
        <v>#N/A</v>
      </c>
    </row>
    <row r="11336" spans="1:10" x14ac:dyDescent="0.25">
      <c r="A11336">
        <v>12746</v>
      </c>
      <c r="B11336" t="s">
        <v>2163</v>
      </c>
      <c r="C11336">
        <v>503</v>
      </c>
      <c r="D11336">
        <v>603</v>
      </c>
      <c r="E11336">
        <v>1577183540</v>
      </c>
      <c r="F11336">
        <v>3408</v>
      </c>
      <c r="G11336">
        <v>0</v>
      </c>
      <c r="H11336" t="s">
        <v>16239</v>
      </c>
      <c r="I11336">
        <v>12746</v>
      </c>
      <c r="J11336" t="str">
        <f>VLOOKUP(E11336,DSSpieler!A:B,2,FALSE)</f>
        <v>Kartenrand</v>
      </c>
    </row>
    <row r="11337" spans="1:10" x14ac:dyDescent="0.25">
      <c r="A11337">
        <v>12747</v>
      </c>
      <c r="B11337" t="s">
        <v>2164</v>
      </c>
      <c r="C11337">
        <v>420</v>
      </c>
      <c r="D11337">
        <v>579</v>
      </c>
      <c r="E11337">
        <v>1577197462</v>
      </c>
      <c r="F11337">
        <v>3814</v>
      </c>
      <c r="G11337">
        <v>0</v>
      </c>
      <c r="H11337" t="s">
        <v>16240</v>
      </c>
      <c r="I11337">
        <v>12747</v>
      </c>
      <c r="J11337" t="str">
        <f>VLOOKUP(E11337,DSSpieler!A:B,2,FALSE)</f>
        <v>SatansBratan</v>
      </c>
    </row>
    <row r="11338" spans="1:10" x14ac:dyDescent="0.25">
      <c r="A11338">
        <v>12748</v>
      </c>
      <c r="B11338" t="s">
        <v>34489</v>
      </c>
      <c r="C11338">
        <v>508</v>
      </c>
      <c r="D11338">
        <v>611</v>
      </c>
      <c r="E11338">
        <v>309707</v>
      </c>
      <c r="F11338">
        <v>3403</v>
      </c>
      <c r="G11338">
        <v>0</v>
      </c>
      <c r="H11338" t="s">
        <v>16241</v>
      </c>
      <c r="I11338">
        <v>12748</v>
      </c>
      <c r="J11338" t="str">
        <f>VLOOKUP(E11338,DSSpieler!A:B,2,FALSE)</f>
        <v>maxi der unzerstörbare</v>
      </c>
    </row>
    <row r="11339" spans="1:10" x14ac:dyDescent="0.25">
      <c r="A11339">
        <v>12749</v>
      </c>
      <c r="B11339" t="s">
        <v>34490</v>
      </c>
      <c r="C11339">
        <v>553</v>
      </c>
      <c r="D11339">
        <v>598</v>
      </c>
      <c r="E11339">
        <v>1577189854</v>
      </c>
      <c r="F11339">
        <v>79</v>
      </c>
      <c r="G11339">
        <v>0</v>
      </c>
      <c r="H11339" t="s">
        <v>16242</v>
      </c>
      <c r="I11339">
        <v>12749</v>
      </c>
      <c r="J11339" t="str">
        <f>VLOOKUP(E11339,DSSpieler!A:B,2,FALSE)</f>
        <v>risk</v>
      </c>
    </row>
    <row r="11340" spans="1:10" x14ac:dyDescent="0.25">
      <c r="A11340">
        <v>12750</v>
      </c>
      <c r="B11340" t="s">
        <v>34491</v>
      </c>
      <c r="C11340">
        <v>397</v>
      </c>
      <c r="D11340">
        <v>534</v>
      </c>
      <c r="E11340">
        <v>10182810</v>
      </c>
      <c r="F11340">
        <v>2329</v>
      </c>
      <c r="G11340">
        <v>0</v>
      </c>
      <c r="H11340" t="s">
        <v>16243</v>
      </c>
      <c r="I11340">
        <v>12750</v>
      </c>
      <c r="J11340" t="str">
        <f>VLOOKUP(E11340,DSSpieler!A:B,2,FALSE)</f>
        <v>frechplayer</v>
      </c>
    </row>
    <row r="11341" spans="1:10" x14ac:dyDescent="0.25">
      <c r="A11341">
        <v>12751</v>
      </c>
      <c r="B11341" t="s">
        <v>34492</v>
      </c>
      <c r="C11341">
        <v>511</v>
      </c>
      <c r="D11341">
        <v>527</v>
      </c>
      <c r="E11341">
        <v>10177222</v>
      </c>
      <c r="F11341">
        <v>2837</v>
      </c>
      <c r="G11341">
        <v>0</v>
      </c>
      <c r="H11341" t="s">
        <v>16244</v>
      </c>
      <c r="I11341">
        <v>12751</v>
      </c>
      <c r="J11341" t="str">
        <f>VLOOKUP(E11341,DSSpieler!A:B,2,FALSE)</f>
        <v>PRoXiS</v>
      </c>
    </row>
    <row r="11342" spans="1:10" x14ac:dyDescent="0.25">
      <c r="A11342">
        <v>12752</v>
      </c>
      <c r="B11342" t="s">
        <v>531</v>
      </c>
      <c r="C11342">
        <v>608</v>
      </c>
      <c r="D11342">
        <v>512</v>
      </c>
      <c r="E11342">
        <v>0</v>
      </c>
      <c r="F11342">
        <v>128</v>
      </c>
      <c r="G11342">
        <v>0</v>
      </c>
      <c r="H11342" t="s">
        <v>16245</v>
      </c>
      <c r="I11342">
        <v>12752</v>
      </c>
      <c r="J11342" t="e">
        <f>VLOOKUP(E11342,DSSpieler!A:B,2,FALSE)</f>
        <v>#N/A</v>
      </c>
    </row>
    <row r="11343" spans="1:10" x14ac:dyDescent="0.25">
      <c r="A11343">
        <v>12753</v>
      </c>
      <c r="B11343" t="s">
        <v>2165</v>
      </c>
      <c r="C11343">
        <v>594</v>
      </c>
      <c r="D11343">
        <v>448</v>
      </c>
      <c r="E11343">
        <v>9842736</v>
      </c>
      <c r="F11343">
        <v>4672</v>
      </c>
      <c r="G11343">
        <v>0</v>
      </c>
      <c r="H11343" t="s">
        <v>16246</v>
      </c>
      <c r="I11343">
        <v>12753</v>
      </c>
      <c r="J11343" t="str">
        <f>VLOOKUP(E11343,DSSpieler!A:B,2,FALSE)</f>
        <v>NakedPanda</v>
      </c>
    </row>
    <row r="11344" spans="1:10" x14ac:dyDescent="0.25">
      <c r="A11344">
        <v>12754</v>
      </c>
      <c r="B11344" t="s">
        <v>34493</v>
      </c>
      <c r="C11344">
        <v>399</v>
      </c>
      <c r="D11344">
        <v>457</v>
      </c>
      <c r="E11344">
        <v>1577198404</v>
      </c>
      <c r="F11344">
        <v>4589</v>
      </c>
      <c r="G11344">
        <v>0</v>
      </c>
      <c r="H11344" t="s">
        <v>16247</v>
      </c>
      <c r="I11344">
        <v>12754</v>
      </c>
      <c r="J11344" t="str">
        <f>VLOOKUP(E11344,DSSpieler!A:B,2,FALSE)</f>
        <v>Kranführer Ronny</v>
      </c>
    </row>
    <row r="11345" spans="1:10" x14ac:dyDescent="0.25">
      <c r="A11345">
        <v>12755</v>
      </c>
      <c r="B11345" t="s">
        <v>34494</v>
      </c>
      <c r="C11345">
        <v>559</v>
      </c>
      <c r="D11345">
        <v>593</v>
      </c>
      <c r="E11345">
        <v>1577197739</v>
      </c>
      <c r="F11345">
        <v>4978</v>
      </c>
      <c r="G11345">
        <v>0</v>
      </c>
      <c r="H11345" t="s">
        <v>16248</v>
      </c>
      <c r="I11345">
        <v>12755</v>
      </c>
      <c r="J11345" t="str">
        <f>VLOOKUP(E11345,DSSpieler!A:B,2,FALSE)</f>
        <v>WMitty</v>
      </c>
    </row>
    <row r="11346" spans="1:10" x14ac:dyDescent="0.25">
      <c r="A11346">
        <v>12756</v>
      </c>
      <c r="B11346" t="s">
        <v>33908</v>
      </c>
      <c r="C11346">
        <v>492</v>
      </c>
      <c r="D11346">
        <v>402</v>
      </c>
      <c r="E11346">
        <v>1577175218</v>
      </c>
      <c r="F11346">
        <v>7419</v>
      </c>
      <c r="G11346">
        <v>0</v>
      </c>
      <c r="H11346" t="s">
        <v>16249</v>
      </c>
      <c r="I11346">
        <v>12756</v>
      </c>
      <c r="J11346" t="str">
        <f>VLOOKUP(E11346,DSSpieler!A:B,2,FALSE)</f>
        <v>J0J0--</v>
      </c>
    </row>
    <row r="11347" spans="1:10" x14ac:dyDescent="0.25">
      <c r="A11347">
        <v>12757</v>
      </c>
      <c r="B11347" t="s">
        <v>531</v>
      </c>
      <c r="C11347">
        <v>399</v>
      </c>
      <c r="D11347">
        <v>460</v>
      </c>
      <c r="E11347">
        <v>0</v>
      </c>
      <c r="F11347">
        <v>312</v>
      </c>
      <c r="G11347">
        <v>0</v>
      </c>
      <c r="H11347" t="s">
        <v>16250</v>
      </c>
      <c r="I11347">
        <v>12757</v>
      </c>
      <c r="J11347" t="e">
        <f>VLOOKUP(E11347,DSSpieler!A:B,2,FALSE)</f>
        <v>#N/A</v>
      </c>
    </row>
    <row r="11348" spans="1:10" x14ac:dyDescent="0.25">
      <c r="A11348">
        <v>12758</v>
      </c>
      <c r="B11348" t="s">
        <v>34495</v>
      </c>
      <c r="C11348">
        <v>507</v>
      </c>
      <c r="D11348">
        <v>578</v>
      </c>
      <c r="E11348">
        <v>1577199356</v>
      </c>
      <c r="F11348">
        <v>776</v>
      </c>
      <c r="G11348">
        <v>0</v>
      </c>
      <c r="H11348" t="s">
        <v>16251</v>
      </c>
      <c r="I11348">
        <v>12758</v>
      </c>
      <c r="J11348" t="str">
        <f>VLOOKUP(E11348,DSSpieler!A:B,2,FALSE)</f>
        <v>Zenzei10</v>
      </c>
    </row>
    <row r="11349" spans="1:10" x14ac:dyDescent="0.25">
      <c r="A11349">
        <v>12761</v>
      </c>
      <c r="B11349" t="s">
        <v>531</v>
      </c>
      <c r="C11349">
        <v>399</v>
      </c>
      <c r="D11349">
        <v>548</v>
      </c>
      <c r="E11349">
        <v>0</v>
      </c>
      <c r="F11349">
        <v>202</v>
      </c>
      <c r="G11349">
        <v>0</v>
      </c>
      <c r="H11349" t="s">
        <v>16252</v>
      </c>
      <c r="I11349">
        <v>12761</v>
      </c>
      <c r="J11349" t="e">
        <f>VLOOKUP(E11349,DSSpieler!A:B,2,FALSE)</f>
        <v>#N/A</v>
      </c>
    </row>
    <row r="11350" spans="1:10" x14ac:dyDescent="0.25">
      <c r="A11350">
        <v>12762</v>
      </c>
      <c r="B11350" t="s">
        <v>30692</v>
      </c>
      <c r="C11350">
        <v>472</v>
      </c>
      <c r="D11350">
        <v>493</v>
      </c>
      <c r="E11350">
        <v>9823227</v>
      </c>
      <c r="F11350">
        <v>5380</v>
      </c>
      <c r="G11350">
        <v>0</v>
      </c>
      <c r="H11350" t="s">
        <v>16253</v>
      </c>
      <c r="I11350">
        <v>12762</v>
      </c>
      <c r="J11350" t="str">
        <f>VLOOKUP(E11350,DSSpieler!A:B,2,FALSE)</f>
        <v>Rainerzufall123</v>
      </c>
    </row>
    <row r="11351" spans="1:10" x14ac:dyDescent="0.25">
      <c r="A11351">
        <v>12763</v>
      </c>
      <c r="B11351" t="s">
        <v>531</v>
      </c>
      <c r="C11351">
        <v>463</v>
      </c>
      <c r="D11351">
        <v>425</v>
      </c>
      <c r="E11351">
        <v>0</v>
      </c>
      <c r="F11351">
        <v>348</v>
      </c>
      <c r="G11351">
        <v>0</v>
      </c>
      <c r="H11351" t="s">
        <v>16254</v>
      </c>
      <c r="I11351">
        <v>12763</v>
      </c>
      <c r="J11351" t="e">
        <f>VLOOKUP(E11351,DSSpieler!A:B,2,FALSE)</f>
        <v>#N/A</v>
      </c>
    </row>
    <row r="11352" spans="1:10" x14ac:dyDescent="0.25">
      <c r="A11352">
        <v>12764</v>
      </c>
      <c r="B11352" t="s">
        <v>979</v>
      </c>
      <c r="C11352">
        <v>514</v>
      </c>
      <c r="D11352">
        <v>605</v>
      </c>
      <c r="E11352">
        <v>1576807787</v>
      </c>
      <c r="F11352">
        <v>1457</v>
      </c>
      <c r="G11352">
        <v>0</v>
      </c>
      <c r="H11352" t="s">
        <v>16255</v>
      </c>
      <c r="I11352">
        <v>12764</v>
      </c>
      <c r="J11352" t="str">
        <f>VLOOKUP(E11352,DSSpieler!A:B,2,FALSE)</f>
        <v>-TeaCup*</v>
      </c>
    </row>
    <row r="11353" spans="1:10" x14ac:dyDescent="0.25">
      <c r="A11353">
        <v>12765</v>
      </c>
      <c r="B11353" t="s">
        <v>531</v>
      </c>
      <c r="C11353">
        <v>444</v>
      </c>
      <c r="D11353">
        <v>591</v>
      </c>
      <c r="E11353">
        <v>0</v>
      </c>
      <c r="F11353">
        <v>116</v>
      </c>
      <c r="G11353">
        <v>0</v>
      </c>
      <c r="H11353" t="s">
        <v>16256</v>
      </c>
      <c r="I11353">
        <v>12765</v>
      </c>
      <c r="J11353" t="e">
        <f>VLOOKUP(E11353,DSSpieler!A:B,2,FALSE)</f>
        <v>#N/A</v>
      </c>
    </row>
    <row r="11354" spans="1:10" x14ac:dyDescent="0.25">
      <c r="A11354">
        <v>12766</v>
      </c>
      <c r="B11354" t="s">
        <v>531</v>
      </c>
      <c r="C11354">
        <v>512</v>
      </c>
      <c r="D11354">
        <v>612</v>
      </c>
      <c r="E11354">
        <v>0</v>
      </c>
      <c r="F11354">
        <v>791</v>
      </c>
      <c r="G11354">
        <v>0</v>
      </c>
      <c r="H11354" t="s">
        <v>16257</v>
      </c>
      <c r="I11354">
        <v>12766</v>
      </c>
      <c r="J11354" t="e">
        <f>VLOOKUP(E11354,DSSpieler!A:B,2,FALSE)</f>
        <v>#N/A</v>
      </c>
    </row>
    <row r="11355" spans="1:10" x14ac:dyDescent="0.25">
      <c r="A11355">
        <v>12767</v>
      </c>
      <c r="B11355" t="s">
        <v>531</v>
      </c>
      <c r="C11355">
        <v>520</v>
      </c>
      <c r="D11355">
        <v>609</v>
      </c>
      <c r="E11355">
        <v>0</v>
      </c>
      <c r="F11355">
        <v>1287</v>
      </c>
      <c r="G11355">
        <v>0</v>
      </c>
      <c r="H11355" t="s">
        <v>16258</v>
      </c>
      <c r="I11355">
        <v>12767</v>
      </c>
      <c r="J11355" t="e">
        <f>VLOOKUP(E11355,DSSpieler!A:B,2,FALSE)</f>
        <v>#N/A</v>
      </c>
    </row>
    <row r="11356" spans="1:10" x14ac:dyDescent="0.25">
      <c r="A11356">
        <v>12768</v>
      </c>
      <c r="B11356" t="s">
        <v>531</v>
      </c>
      <c r="C11356">
        <v>543</v>
      </c>
      <c r="D11356">
        <v>603</v>
      </c>
      <c r="E11356">
        <v>0</v>
      </c>
      <c r="F11356">
        <v>376</v>
      </c>
      <c r="G11356">
        <v>0</v>
      </c>
      <c r="H11356" t="s">
        <v>16259</v>
      </c>
      <c r="I11356">
        <v>12768</v>
      </c>
      <c r="J11356" t="e">
        <f>VLOOKUP(E11356,DSSpieler!A:B,2,FALSE)</f>
        <v>#N/A</v>
      </c>
    </row>
    <row r="11357" spans="1:10" x14ac:dyDescent="0.25">
      <c r="A11357">
        <v>12769</v>
      </c>
      <c r="B11357" t="s">
        <v>979</v>
      </c>
      <c r="C11357">
        <v>505</v>
      </c>
      <c r="D11357">
        <v>614</v>
      </c>
      <c r="E11357">
        <v>1577198866</v>
      </c>
      <c r="F11357">
        <v>1394</v>
      </c>
      <c r="G11357">
        <v>0</v>
      </c>
      <c r="H11357" t="s">
        <v>16260</v>
      </c>
      <c r="I11357">
        <v>12769</v>
      </c>
      <c r="J11357" t="str">
        <f>VLOOKUP(E11357,DSSpieler!A:B,2,FALSE)</f>
        <v>BademeisterLuis</v>
      </c>
    </row>
    <row r="11358" spans="1:10" x14ac:dyDescent="0.25">
      <c r="A11358">
        <v>12770</v>
      </c>
      <c r="B11358" t="s">
        <v>780</v>
      </c>
      <c r="C11358">
        <v>608</v>
      </c>
      <c r="D11358">
        <v>503</v>
      </c>
      <c r="E11358">
        <v>1576021807</v>
      </c>
      <c r="F11358">
        <v>4676</v>
      </c>
      <c r="G11358">
        <v>0</v>
      </c>
      <c r="H11358" t="s">
        <v>16261</v>
      </c>
      <c r="I11358">
        <v>12770</v>
      </c>
      <c r="J11358" t="str">
        <f>VLOOKUP(E11358,DSSpieler!A:B,2,FALSE)</f>
        <v>Luddiwig</v>
      </c>
    </row>
    <row r="11359" spans="1:10" x14ac:dyDescent="0.25">
      <c r="A11359">
        <v>12771</v>
      </c>
      <c r="B11359" t="s">
        <v>531</v>
      </c>
      <c r="C11359">
        <v>611</v>
      </c>
      <c r="D11359">
        <v>495</v>
      </c>
      <c r="E11359">
        <v>0</v>
      </c>
      <c r="F11359">
        <v>237</v>
      </c>
      <c r="G11359">
        <v>0</v>
      </c>
      <c r="H11359" t="s">
        <v>16262</v>
      </c>
      <c r="I11359">
        <v>12771</v>
      </c>
      <c r="J11359" t="e">
        <f>VLOOKUP(E11359,DSSpieler!A:B,2,FALSE)</f>
        <v>#N/A</v>
      </c>
    </row>
    <row r="11360" spans="1:10" x14ac:dyDescent="0.25">
      <c r="A11360">
        <v>12772</v>
      </c>
      <c r="B11360" t="s">
        <v>531</v>
      </c>
      <c r="C11360">
        <v>556</v>
      </c>
      <c r="D11360">
        <v>406</v>
      </c>
      <c r="E11360">
        <v>0</v>
      </c>
      <c r="F11360">
        <v>299</v>
      </c>
      <c r="G11360">
        <v>0</v>
      </c>
      <c r="H11360" t="s">
        <v>16263</v>
      </c>
      <c r="I11360">
        <v>12772</v>
      </c>
      <c r="J11360" t="e">
        <f>VLOOKUP(E11360,DSSpieler!A:B,2,FALSE)</f>
        <v>#N/A</v>
      </c>
    </row>
    <row r="11361" spans="1:10" x14ac:dyDescent="0.25">
      <c r="A11361">
        <v>12773</v>
      </c>
      <c r="B11361">
        <v>5</v>
      </c>
      <c r="C11361">
        <v>394</v>
      </c>
      <c r="D11361">
        <v>534</v>
      </c>
      <c r="E11361">
        <v>1577162920</v>
      </c>
      <c r="F11361">
        <v>7954</v>
      </c>
      <c r="G11361">
        <v>0</v>
      </c>
      <c r="H11361" t="s">
        <v>16264</v>
      </c>
      <c r="I11361">
        <v>12773</v>
      </c>
      <c r="J11361" t="str">
        <f>VLOOKUP(E11361,DSSpieler!A:B,2,FALSE)</f>
        <v>V3RO</v>
      </c>
    </row>
    <row r="11362" spans="1:10" x14ac:dyDescent="0.25">
      <c r="A11362">
        <v>12774</v>
      </c>
      <c r="B11362" t="s">
        <v>30463</v>
      </c>
      <c r="C11362">
        <v>439</v>
      </c>
      <c r="D11362">
        <v>571</v>
      </c>
      <c r="E11362">
        <v>1577136017</v>
      </c>
      <c r="F11362">
        <v>4152</v>
      </c>
      <c r="G11362">
        <v>0</v>
      </c>
      <c r="H11362" t="s">
        <v>16265</v>
      </c>
      <c r="I11362">
        <v>12774</v>
      </c>
      <c r="J11362" t="str">
        <f>VLOOKUP(E11362,DSSpieler!A:B,2,FALSE)</f>
        <v>Wallbraker</v>
      </c>
    </row>
    <row r="11363" spans="1:10" x14ac:dyDescent="0.25">
      <c r="A11363">
        <v>12775</v>
      </c>
      <c r="B11363">
        <v>4</v>
      </c>
      <c r="C11363">
        <v>402</v>
      </c>
      <c r="D11363">
        <v>454</v>
      </c>
      <c r="E11363">
        <v>1576705864</v>
      </c>
      <c r="F11363">
        <v>3937</v>
      </c>
      <c r="G11363">
        <v>0</v>
      </c>
      <c r="H11363" t="s">
        <v>16266</v>
      </c>
      <c r="I11363">
        <v>12775</v>
      </c>
      <c r="J11363" t="str">
        <f>VLOOKUP(E11363,DSSpieler!A:B,2,FALSE)</f>
        <v>.FaulPilz</v>
      </c>
    </row>
    <row r="11364" spans="1:10" x14ac:dyDescent="0.25">
      <c r="A11364">
        <v>12776</v>
      </c>
      <c r="B11364" t="s">
        <v>34496</v>
      </c>
      <c r="C11364">
        <v>408</v>
      </c>
      <c r="D11364">
        <v>479</v>
      </c>
      <c r="E11364">
        <v>543291</v>
      </c>
      <c r="F11364">
        <v>2303</v>
      </c>
      <c r="G11364">
        <v>0</v>
      </c>
      <c r="H11364" t="s">
        <v>16267</v>
      </c>
      <c r="I11364">
        <v>12776</v>
      </c>
      <c r="J11364" t="str">
        <f>VLOOKUP(E11364,DSSpieler!A:B,2,FALSE)</f>
        <v>Proty</v>
      </c>
    </row>
    <row r="11365" spans="1:10" x14ac:dyDescent="0.25">
      <c r="A11365">
        <v>12777</v>
      </c>
      <c r="B11365" t="s">
        <v>531</v>
      </c>
      <c r="C11365">
        <v>387</v>
      </c>
      <c r="D11365">
        <v>512</v>
      </c>
      <c r="E11365">
        <v>0</v>
      </c>
      <c r="F11365">
        <v>930</v>
      </c>
      <c r="G11365">
        <v>0</v>
      </c>
      <c r="H11365" t="s">
        <v>16268</v>
      </c>
      <c r="I11365">
        <v>12777</v>
      </c>
      <c r="J11365" t="e">
        <f>VLOOKUP(E11365,DSSpieler!A:B,2,FALSE)</f>
        <v>#N/A</v>
      </c>
    </row>
    <row r="11366" spans="1:10" x14ac:dyDescent="0.25">
      <c r="A11366">
        <v>12778</v>
      </c>
      <c r="B11366" t="s">
        <v>34497</v>
      </c>
      <c r="C11366">
        <v>473</v>
      </c>
      <c r="D11366">
        <v>447</v>
      </c>
      <c r="E11366">
        <v>1576867448</v>
      </c>
      <c r="F11366">
        <v>3743</v>
      </c>
      <c r="G11366">
        <v>0</v>
      </c>
      <c r="H11366" t="s">
        <v>16269</v>
      </c>
      <c r="I11366">
        <v>12778</v>
      </c>
      <c r="J11366" t="str">
        <f>VLOOKUP(E11366,DSSpieler!A:B,2,FALSE)</f>
        <v>ondyyy</v>
      </c>
    </row>
    <row r="11367" spans="1:10" x14ac:dyDescent="0.25">
      <c r="A11367">
        <v>12779</v>
      </c>
      <c r="B11367" t="s">
        <v>531</v>
      </c>
      <c r="C11367">
        <v>583</v>
      </c>
      <c r="D11367">
        <v>428</v>
      </c>
      <c r="E11367">
        <v>0</v>
      </c>
      <c r="F11367">
        <v>402</v>
      </c>
      <c r="G11367">
        <v>0</v>
      </c>
      <c r="H11367" t="s">
        <v>16270</v>
      </c>
      <c r="I11367">
        <v>12779</v>
      </c>
      <c r="J11367" t="e">
        <f>VLOOKUP(E11367,DSSpieler!A:B,2,FALSE)</f>
        <v>#N/A</v>
      </c>
    </row>
    <row r="11368" spans="1:10" x14ac:dyDescent="0.25">
      <c r="A11368">
        <v>12780</v>
      </c>
      <c r="B11368">
        <v>1</v>
      </c>
      <c r="C11368">
        <v>547</v>
      </c>
      <c r="D11368">
        <v>402</v>
      </c>
      <c r="E11368">
        <v>1577199305</v>
      </c>
      <c r="F11368">
        <v>8136</v>
      </c>
      <c r="G11368">
        <v>0</v>
      </c>
      <c r="H11368" t="s">
        <v>16271</v>
      </c>
      <c r="I11368">
        <v>12780</v>
      </c>
      <c r="J11368" t="str">
        <f>VLOOKUP(E11368,DSSpieler!A:B,2,FALSE)</f>
        <v>Aela</v>
      </c>
    </row>
    <row r="11369" spans="1:10" x14ac:dyDescent="0.25">
      <c r="A11369">
        <v>12781</v>
      </c>
      <c r="B11369" t="s">
        <v>531</v>
      </c>
      <c r="C11369">
        <v>406</v>
      </c>
      <c r="D11369">
        <v>559</v>
      </c>
      <c r="E11369">
        <v>0</v>
      </c>
      <c r="F11369">
        <v>190</v>
      </c>
      <c r="G11369">
        <v>0</v>
      </c>
      <c r="H11369" t="s">
        <v>16272</v>
      </c>
      <c r="I11369">
        <v>12781</v>
      </c>
      <c r="J11369" t="e">
        <f>VLOOKUP(E11369,DSSpieler!A:B,2,FALSE)</f>
        <v>#N/A</v>
      </c>
    </row>
    <row r="11370" spans="1:10" x14ac:dyDescent="0.25">
      <c r="A11370">
        <v>12782</v>
      </c>
      <c r="B11370" t="s">
        <v>34498</v>
      </c>
      <c r="C11370">
        <v>540</v>
      </c>
      <c r="D11370">
        <v>603</v>
      </c>
      <c r="E11370">
        <v>1577028197</v>
      </c>
      <c r="F11370">
        <v>1932</v>
      </c>
      <c r="G11370">
        <v>0</v>
      </c>
      <c r="H11370" t="s">
        <v>16273</v>
      </c>
      <c r="I11370">
        <v>12782</v>
      </c>
      <c r="J11370" t="str">
        <f>VLOOKUP(E11370,DSSpieler!A:B,2,FALSE)</f>
        <v>DontDrinkAndDs</v>
      </c>
    </row>
    <row r="11371" spans="1:10" x14ac:dyDescent="0.25">
      <c r="A11371">
        <v>12783</v>
      </c>
      <c r="B11371" t="s">
        <v>531</v>
      </c>
      <c r="C11371">
        <v>394</v>
      </c>
      <c r="D11371">
        <v>520</v>
      </c>
      <c r="E11371">
        <v>0</v>
      </c>
      <c r="F11371">
        <v>188</v>
      </c>
      <c r="G11371">
        <v>0</v>
      </c>
      <c r="H11371" t="s">
        <v>16274</v>
      </c>
      <c r="I11371">
        <v>12783</v>
      </c>
      <c r="J11371" t="e">
        <f>VLOOKUP(E11371,DSSpieler!A:B,2,FALSE)</f>
        <v>#N/A</v>
      </c>
    </row>
    <row r="11372" spans="1:10" x14ac:dyDescent="0.25">
      <c r="A11372">
        <v>12785</v>
      </c>
      <c r="B11372" t="s">
        <v>531</v>
      </c>
      <c r="C11372">
        <v>415</v>
      </c>
      <c r="D11372">
        <v>565</v>
      </c>
      <c r="E11372">
        <v>0</v>
      </c>
      <c r="F11372">
        <v>318</v>
      </c>
      <c r="G11372">
        <v>0</v>
      </c>
      <c r="H11372" t="s">
        <v>16275</v>
      </c>
      <c r="I11372">
        <v>12785</v>
      </c>
      <c r="J11372" t="e">
        <f>VLOOKUP(E11372,DSSpieler!A:B,2,FALSE)</f>
        <v>#N/A</v>
      </c>
    </row>
    <row r="11373" spans="1:10" x14ac:dyDescent="0.25">
      <c r="A11373">
        <v>12786</v>
      </c>
      <c r="B11373" t="e">
        <f>-2-+Wolf</f>
        <v>#NAME?</v>
      </c>
      <c r="C11373">
        <v>540</v>
      </c>
      <c r="D11373">
        <v>599</v>
      </c>
      <c r="E11373">
        <v>1577198260</v>
      </c>
      <c r="F11373">
        <v>2624</v>
      </c>
      <c r="G11373">
        <v>0</v>
      </c>
      <c r="H11373" t="s">
        <v>16276</v>
      </c>
      <c r="I11373">
        <v>12786</v>
      </c>
      <c r="J11373" t="str">
        <f>VLOOKUP(E11373,DSSpieler!A:B,2,FALSE)</f>
        <v>Paulaner</v>
      </c>
    </row>
    <row r="11374" spans="1:10" x14ac:dyDescent="0.25">
      <c r="A11374">
        <v>12787</v>
      </c>
      <c r="B11374" t="s">
        <v>2166</v>
      </c>
      <c r="C11374">
        <v>459</v>
      </c>
      <c r="D11374">
        <v>396</v>
      </c>
      <c r="E11374">
        <v>2060664</v>
      </c>
      <c r="F11374">
        <v>1233</v>
      </c>
      <c r="G11374">
        <v>0</v>
      </c>
      <c r="H11374" t="s">
        <v>16277</v>
      </c>
      <c r="I11374">
        <v>12787</v>
      </c>
      <c r="J11374" t="str">
        <f>VLOOKUP(E11374,DSSpieler!A:B,2,FALSE)</f>
        <v>Frechdachs69</v>
      </c>
    </row>
    <row r="11375" spans="1:10" x14ac:dyDescent="0.25">
      <c r="A11375">
        <v>12788</v>
      </c>
      <c r="B11375">
        <v>1902</v>
      </c>
      <c r="C11375">
        <v>565</v>
      </c>
      <c r="D11375">
        <v>406</v>
      </c>
      <c r="E11375">
        <v>1577184564</v>
      </c>
      <c r="F11375">
        <v>4527</v>
      </c>
      <c r="G11375">
        <v>0</v>
      </c>
      <c r="H11375" t="s">
        <v>16278</v>
      </c>
      <c r="I11375">
        <v>12788</v>
      </c>
      <c r="J11375" t="str">
        <f>VLOOKUP(E11375,DSSpieler!A:B,2,FALSE)</f>
        <v>Raztur</v>
      </c>
    </row>
    <row r="11376" spans="1:10" x14ac:dyDescent="0.25">
      <c r="A11376">
        <v>12789</v>
      </c>
      <c r="B11376" t="s">
        <v>531</v>
      </c>
      <c r="C11376">
        <v>564</v>
      </c>
      <c r="D11376">
        <v>412</v>
      </c>
      <c r="E11376">
        <v>0</v>
      </c>
      <c r="F11376">
        <v>223</v>
      </c>
      <c r="G11376">
        <v>0</v>
      </c>
      <c r="H11376" t="s">
        <v>16279</v>
      </c>
      <c r="I11376">
        <v>12789</v>
      </c>
      <c r="J11376" t="e">
        <f>VLOOKUP(E11376,DSSpieler!A:B,2,FALSE)</f>
        <v>#N/A</v>
      </c>
    </row>
    <row r="11377" spans="1:10" x14ac:dyDescent="0.25">
      <c r="A11377">
        <v>12790</v>
      </c>
      <c r="B11377" t="s">
        <v>34499</v>
      </c>
      <c r="C11377">
        <v>565</v>
      </c>
      <c r="D11377">
        <v>417</v>
      </c>
      <c r="E11377">
        <v>1577180883</v>
      </c>
      <c r="F11377">
        <v>4450</v>
      </c>
      <c r="G11377">
        <v>0</v>
      </c>
      <c r="H11377" t="s">
        <v>16280</v>
      </c>
      <c r="I11377">
        <v>12790</v>
      </c>
      <c r="J11377" t="str">
        <f>VLOOKUP(E11377,DSSpieler!A:B,2,FALSE)</f>
        <v>CYLLEYA</v>
      </c>
    </row>
    <row r="11378" spans="1:10" x14ac:dyDescent="0.25">
      <c r="A11378">
        <v>12791</v>
      </c>
      <c r="B11378" t="s">
        <v>531</v>
      </c>
      <c r="C11378">
        <v>557</v>
      </c>
      <c r="D11378">
        <v>416</v>
      </c>
      <c r="E11378">
        <v>0</v>
      </c>
      <c r="F11378">
        <v>775</v>
      </c>
      <c r="G11378">
        <v>0</v>
      </c>
      <c r="H11378" t="s">
        <v>16281</v>
      </c>
      <c r="I11378">
        <v>12791</v>
      </c>
      <c r="J11378" t="e">
        <f>VLOOKUP(E11378,DSSpieler!A:B,2,FALSE)</f>
        <v>#N/A</v>
      </c>
    </row>
    <row r="11379" spans="1:10" x14ac:dyDescent="0.25">
      <c r="A11379">
        <v>12792</v>
      </c>
      <c r="B11379" t="s">
        <v>34500</v>
      </c>
      <c r="C11379">
        <v>392</v>
      </c>
      <c r="D11379">
        <v>531</v>
      </c>
      <c r="E11379">
        <v>9457306</v>
      </c>
      <c r="F11379">
        <v>6674</v>
      </c>
      <c r="G11379">
        <v>0</v>
      </c>
      <c r="H11379" t="s">
        <v>16282</v>
      </c>
      <c r="I11379">
        <v>12792</v>
      </c>
      <c r="J11379" t="str">
        <f>VLOOKUP(E11379,DSSpieler!A:B,2,FALSE)</f>
        <v>xxrexixx112</v>
      </c>
    </row>
    <row r="11380" spans="1:10" x14ac:dyDescent="0.25">
      <c r="A11380">
        <v>12793</v>
      </c>
      <c r="B11380" t="s">
        <v>34501</v>
      </c>
      <c r="C11380">
        <v>431</v>
      </c>
      <c r="D11380">
        <v>526</v>
      </c>
      <c r="E11380">
        <v>1515293</v>
      </c>
      <c r="F11380">
        <v>4992</v>
      </c>
      <c r="G11380">
        <v>0</v>
      </c>
      <c r="H11380" t="s">
        <v>16283</v>
      </c>
      <c r="I11380">
        <v>12793</v>
      </c>
      <c r="J11380" t="str">
        <f>VLOOKUP(E11380,DSSpieler!A:B,2,FALSE)</f>
        <v>Hummes</v>
      </c>
    </row>
    <row r="11381" spans="1:10" x14ac:dyDescent="0.25">
      <c r="A11381">
        <v>12794</v>
      </c>
      <c r="B11381" t="s">
        <v>531</v>
      </c>
      <c r="C11381">
        <v>593</v>
      </c>
      <c r="D11381">
        <v>559</v>
      </c>
      <c r="E11381">
        <v>0</v>
      </c>
      <c r="F11381">
        <v>602</v>
      </c>
      <c r="G11381">
        <v>0</v>
      </c>
      <c r="H11381" t="s">
        <v>16284</v>
      </c>
      <c r="I11381">
        <v>12794</v>
      </c>
      <c r="J11381" t="e">
        <f>VLOOKUP(E11381,DSSpieler!A:B,2,FALSE)</f>
        <v>#N/A</v>
      </c>
    </row>
    <row r="11382" spans="1:10" x14ac:dyDescent="0.25">
      <c r="A11382">
        <v>12795</v>
      </c>
      <c r="B11382" t="s">
        <v>34502</v>
      </c>
      <c r="C11382">
        <v>389</v>
      </c>
      <c r="D11382">
        <v>504</v>
      </c>
      <c r="E11382">
        <v>1577196332</v>
      </c>
      <c r="F11382">
        <v>978</v>
      </c>
      <c r="G11382">
        <v>0</v>
      </c>
      <c r="H11382" t="s">
        <v>16285</v>
      </c>
      <c r="I11382">
        <v>12795</v>
      </c>
      <c r="J11382" t="str">
        <f>VLOOKUP(E11382,DSSpieler!A:B,2,FALSE)</f>
        <v>Pizza Prociutto</v>
      </c>
    </row>
    <row r="11383" spans="1:10" x14ac:dyDescent="0.25">
      <c r="A11383">
        <v>12799</v>
      </c>
      <c r="B11383" t="s">
        <v>531</v>
      </c>
      <c r="C11383">
        <v>584</v>
      </c>
      <c r="D11383">
        <v>570</v>
      </c>
      <c r="E11383">
        <v>0</v>
      </c>
      <c r="F11383">
        <v>445</v>
      </c>
      <c r="G11383">
        <v>0</v>
      </c>
      <c r="H11383" t="s">
        <v>16286</v>
      </c>
      <c r="I11383">
        <v>12799</v>
      </c>
      <c r="J11383" t="e">
        <f>VLOOKUP(E11383,DSSpieler!A:B,2,FALSE)</f>
        <v>#N/A</v>
      </c>
    </row>
    <row r="11384" spans="1:10" x14ac:dyDescent="0.25">
      <c r="A11384">
        <v>12800</v>
      </c>
      <c r="B11384" t="s">
        <v>531</v>
      </c>
      <c r="C11384">
        <v>461</v>
      </c>
      <c r="D11384">
        <v>536</v>
      </c>
      <c r="E11384">
        <v>0</v>
      </c>
      <c r="F11384">
        <v>658</v>
      </c>
      <c r="G11384">
        <v>0</v>
      </c>
      <c r="H11384" t="s">
        <v>16287</v>
      </c>
      <c r="I11384">
        <v>12800</v>
      </c>
      <c r="J11384" t="e">
        <f>VLOOKUP(E11384,DSSpieler!A:B,2,FALSE)</f>
        <v>#N/A</v>
      </c>
    </row>
    <row r="11385" spans="1:10" x14ac:dyDescent="0.25">
      <c r="A11385">
        <v>12801</v>
      </c>
      <c r="B11385" t="s">
        <v>31794</v>
      </c>
      <c r="C11385">
        <v>392</v>
      </c>
      <c r="D11385">
        <v>521</v>
      </c>
      <c r="E11385">
        <v>1577071766</v>
      </c>
      <c r="F11385">
        <v>4786</v>
      </c>
      <c r="G11385">
        <v>0</v>
      </c>
      <c r="H11385" t="s">
        <v>16288</v>
      </c>
      <c r="I11385">
        <v>12801</v>
      </c>
      <c r="J11385" t="str">
        <f>VLOOKUP(E11385,DSSpieler!A:B,2,FALSE)</f>
        <v>Drizzlek</v>
      </c>
    </row>
    <row r="11386" spans="1:10" x14ac:dyDescent="0.25">
      <c r="A11386">
        <v>12803</v>
      </c>
      <c r="B11386" t="s">
        <v>34503</v>
      </c>
      <c r="C11386">
        <v>464</v>
      </c>
      <c r="D11386">
        <v>520</v>
      </c>
      <c r="E11386">
        <v>9042651</v>
      </c>
      <c r="F11386">
        <v>1331</v>
      </c>
      <c r="G11386">
        <v>0</v>
      </c>
      <c r="H11386" t="s">
        <v>16289</v>
      </c>
      <c r="I11386">
        <v>12803</v>
      </c>
      <c r="J11386" t="str">
        <f>VLOOKUP(E11386,DSSpieler!A:B,2,FALSE)</f>
        <v>CologneHighlander</v>
      </c>
    </row>
    <row r="11387" spans="1:10" x14ac:dyDescent="0.25">
      <c r="A11387">
        <v>12805</v>
      </c>
      <c r="B11387" t="s">
        <v>531</v>
      </c>
      <c r="C11387">
        <v>485</v>
      </c>
      <c r="D11387">
        <v>389</v>
      </c>
      <c r="E11387">
        <v>0</v>
      </c>
      <c r="F11387">
        <v>212</v>
      </c>
      <c r="G11387">
        <v>0</v>
      </c>
      <c r="H11387" t="s">
        <v>16290</v>
      </c>
      <c r="I11387">
        <v>12805</v>
      </c>
      <c r="J11387" t="e">
        <f>VLOOKUP(E11387,DSSpieler!A:B,2,FALSE)</f>
        <v>#N/A</v>
      </c>
    </row>
    <row r="11388" spans="1:10" x14ac:dyDescent="0.25">
      <c r="A11388">
        <v>12806</v>
      </c>
      <c r="B11388" t="s">
        <v>34504</v>
      </c>
      <c r="C11388">
        <v>571</v>
      </c>
      <c r="D11388">
        <v>445</v>
      </c>
      <c r="E11388">
        <v>1577199322</v>
      </c>
      <c r="F11388">
        <v>6157</v>
      </c>
      <c r="G11388">
        <v>0</v>
      </c>
      <c r="H11388" t="s">
        <v>16291</v>
      </c>
      <c r="I11388">
        <v>12806</v>
      </c>
      <c r="J11388" t="str">
        <f>VLOOKUP(E11388,DSSpieler!A:B,2,FALSE)</f>
        <v>Crood8</v>
      </c>
    </row>
    <row r="11389" spans="1:10" x14ac:dyDescent="0.25">
      <c r="A11389">
        <v>12807</v>
      </c>
      <c r="B11389" t="s">
        <v>531</v>
      </c>
      <c r="C11389">
        <v>416</v>
      </c>
      <c r="D11389">
        <v>446</v>
      </c>
      <c r="E11389">
        <v>0</v>
      </c>
      <c r="F11389">
        <v>411</v>
      </c>
      <c r="G11389">
        <v>0</v>
      </c>
      <c r="H11389" t="s">
        <v>16292</v>
      </c>
      <c r="I11389">
        <v>12807</v>
      </c>
      <c r="J11389" t="e">
        <f>VLOOKUP(E11389,DSSpieler!A:B,2,FALSE)</f>
        <v>#N/A</v>
      </c>
    </row>
    <row r="11390" spans="1:10" x14ac:dyDescent="0.25">
      <c r="A11390">
        <v>12808</v>
      </c>
      <c r="B11390" t="s">
        <v>34505</v>
      </c>
      <c r="C11390">
        <v>407</v>
      </c>
      <c r="D11390">
        <v>499</v>
      </c>
      <c r="E11390">
        <v>2063168</v>
      </c>
      <c r="F11390">
        <v>3217</v>
      </c>
      <c r="G11390">
        <v>0</v>
      </c>
      <c r="H11390" t="s">
        <v>16293</v>
      </c>
      <c r="I11390">
        <v>12808</v>
      </c>
      <c r="J11390" t="str">
        <f>VLOOKUP(E11390,DSSpieler!A:B,2,FALSE)</f>
        <v>TH1985</v>
      </c>
    </row>
    <row r="11391" spans="1:10" x14ac:dyDescent="0.25">
      <c r="A11391">
        <v>12810</v>
      </c>
      <c r="B11391" t="s">
        <v>531</v>
      </c>
      <c r="C11391">
        <v>441</v>
      </c>
      <c r="D11391">
        <v>406</v>
      </c>
      <c r="E11391">
        <v>0</v>
      </c>
      <c r="F11391">
        <v>231</v>
      </c>
      <c r="G11391">
        <v>0</v>
      </c>
      <c r="H11391" t="s">
        <v>16294</v>
      </c>
      <c r="I11391">
        <v>12810</v>
      </c>
      <c r="J11391" t="e">
        <f>VLOOKUP(E11391,DSSpieler!A:B,2,FALSE)</f>
        <v>#N/A</v>
      </c>
    </row>
    <row r="11392" spans="1:10" x14ac:dyDescent="0.25">
      <c r="A11392">
        <v>12812</v>
      </c>
      <c r="B11392" t="s">
        <v>531</v>
      </c>
      <c r="C11392">
        <v>412</v>
      </c>
      <c r="D11392">
        <v>443</v>
      </c>
      <c r="E11392">
        <v>0</v>
      </c>
      <c r="F11392">
        <v>897</v>
      </c>
      <c r="G11392">
        <v>0</v>
      </c>
      <c r="H11392" t="s">
        <v>16295</v>
      </c>
      <c r="I11392">
        <v>12812</v>
      </c>
      <c r="J11392" t="e">
        <f>VLOOKUP(E11392,DSSpieler!A:B,2,FALSE)</f>
        <v>#N/A</v>
      </c>
    </row>
    <row r="11393" spans="1:10" x14ac:dyDescent="0.25">
      <c r="A11393">
        <v>12813</v>
      </c>
      <c r="B11393" t="s">
        <v>531</v>
      </c>
      <c r="C11393">
        <v>397</v>
      </c>
      <c r="D11393">
        <v>523</v>
      </c>
      <c r="E11393">
        <v>0</v>
      </c>
      <c r="F11393">
        <v>182</v>
      </c>
      <c r="G11393">
        <v>0</v>
      </c>
      <c r="H11393" t="s">
        <v>16296</v>
      </c>
      <c r="I11393">
        <v>12813</v>
      </c>
      <c r="J11393" t="e">
        <f>VLOOKUP(E11393,DSSpieler!A:B,2,FALSE)</f>
        <v>#N/A</v>
      </c>
    </row>
    <row r="11394" spans="1:10" x14ac:dyDescent="0.25">
      <c r="A11394">
        <v>12814</v>
      </c>
      <c r="B11394" t="s">
        <v>2167</v>
      </c>
      <c r="C11394">
        <v>390</v>
      </c>
      <c r="D11394">
        <v>526</v>
      </c>
      <c r="E11394">
        <v>1577182487</v>
      </c>
      <c r="F11394">
        <v>6325</v>
      </c>
      <c r="G11394">
        <v>0</v>
      </c>
      <c r="H11394" t="s">
        <v>16297</v>
      </c>
      <c r="I11394">
        <v>12814</v>
      </c>
      <c r="J11394" t="str">
        <f>VLOOKUP(E11394,DSSpieler!A:B,2,FALSE)</f>
        <v>ioio1999</v>
      </c>
    </row>
    <row r="11395" spans="1:10" x14ac:dyDescent="0.25">
      <c r="A11395">
        <v>12815</v>
      </c>
      <c r="B11395" t="s">
        <v>34506</v>
      </c>
      <c r="C11395">
        <v>602</v>
      </c>
      <c r="D11395">
        <v>543</v>
      </c>
      <c r="E11395">
        <v>1576872851</v>
      </c>
      <c r="F11395">
        <v>2757</v>
      </c>
      <c r="G11395">
        <v>0</v>
      </c>
      <c r="H11395" t="s">
        <v>16298</v>
      </c>
      <c r="I11395">
        <v>12815</v>
      </c>
      <c r="J11395" t="str">
        <f>VLOOKUP(E11395,DSSpieler!A:B,2,FALSE)</f>
        <v>Darkkiller 30</v>
      </c>
    </row>
    <row r="11396" spans="1:10" x14ac:dyDescent="0.25">
      <c r="A11396">
        <v>12816</v>
      </c>
      <c r="B11396" t="s">
        <v>531</v>
      </c>
      <c r="C11396">
        <v>585</v>
      </c>
      <c r="D11396">
        <v>427</v>
      </c>
      <c r="E11396">
        <v>0</v>
      </c>
      <c r="F11396">
        <v>470</v>
      </c>
      <c r="G11396">
        <v>0</v>
      </c>
      <c r="H11396" t="s">
        <v>16299</v>
      </c>
      <c r="I11396">
        <v>12816</v>
      </c>
      <c r="J11396" t="e">
        <f>VLOOKUP(E11396,DSSpieler!A:B,2,FALSE)</f>
        <v>#N/A</v>
      </c>
    </row>
    <row r="11397" spans="1:10" x14ac:dyDescent="0.25">
      <c r="A11397">
        <v>12817</v>
      </c>
      <c r="B11397" t="s">
        <v>531</v>
      </c>
      <c r="C11397">
        <v>439</v>
      </c>
      <c r="D11397">
        <v>594</v>
      </c>
      <c r="E11397">
        <v>0</v>
      </c>
      <c r="F11397">
        <v>119</v>
      </c>
      <c r="G11397">
        <v>0</v>
      </c>
      <c r="H11397" t="s">
        <v>16300</v>
      </c>
      <c r="I11397">
        <v>12817</v>
      </c>
      <c r="J11397" t="e">
        <f>VLOOKUP(E11397,DSSpieler!A:B,2,FALSE)</f>
        <v>#N/A</v>
      </c>
    </row>
    <row r="11398" spans="1:10" x14ac:dyDescent="0.25">
      <c r="A11398">
        <v>12818</v>
      </c>
      <c r="B11398" t="s">
        <v>34507</v>
      </c>
      <c r="C11398">
        <v>598</v>
      </c>
      <c r="D11398">
        <v>547</v>
      </c>
      <c r="E11398">
        <v>1576948108</v>
      </c>
      <c r="F11398">
        <v>21</v>
      </c>
      <c r="G11398">
        <v>0</v>
      </c>
      <c r="H11398" t="s">
        <v>16301</v>
      </c>
      <c r="I11398">
        <v>12818</v>
      </c>
      <c r="J11398" t="str">
        <f>VLOOKUP(E11398,DSSpieler!A:B,2,FALSE)</f>
        <v>Revy2603</v>
      </c>
    </row>
    <row r="11399" spans="1:10" x14ac:dyDescent="0.25">
      <c r="A11399">
        <v>12819</v>
      </c>
      <c r="B11399" t="s">
        <v>531</v>
      </c>
      <c r="C11399">
        <v>417</v>
      </c>
      <c r="D11399">
        <v>438</v>
      </c>
      <c r="E11399">
        <v>0</v>
      </c>
      <c r="F11399">
        <v>598</v>
      </c>
      <c r="G11399">
        <v>0</v>
      </c>
      <c r="H11399" t="s">
        <v>16302</v>
      </c>
      <c r="I11399">
        <v>12819</v>
      </c>
      <c r="J11399" t="e">
        <f>VLOOKUP(E11399,DSSpieler!A:B,2,FALSE)</f>
        <v>#N/A</v>
      </c>
    </row>
    <row r="11400" spans="1:10" x14ac:dyDescent="0.25">
      <c r="A11400">
        <v>12820</v>
      </c>
      <c r="B11400" t="s">
        <v>33200</v>
      </c>
      <c r="C11400">
        <v>396</v>
      </c>
      <c r="D11400">
        <v>531</v>
      </c>
      <c r="E11400">
        <v>10230585</v>
      </c>
      <c r="F11400">
        <v>1240</v>
      </c>
      <c r="G11400">
        <v>0</v>
      </c>
      <c r="H11400" t="s">
        <v>16303</v>
      </c>
      <c r="I11400">
        <v>12820</v>
      </c>
      <c r="J11400" t="str">
        <f>VLOOKUP(E11400,DSSpieler!A:B,2,FALSE)</f>
        <v>Candysh0p</v>
      </c>
    </row>
    <row r="11401" spans="1:10" x14ac:dyDescent="0.25">
      <c r="A11401">
        <v>12821</v>
      </c>
      <c r="B11401" t="s">
        <v>1100</v>
      </c>
      <c r="C11401">
        <v>577</v>
      </c>
      <c r="D11401">
        <v>580</v>
      </c>
      <c r="E11401">
        <v>8703971</v>
      </c>
      <c r="F11401">
        <v>4717</v>
      </c>
      <c r="G11401">
        <v>0</v>
      </c>
      <c r="H11401" t="s">
        <v>16304</v>
      </c>
      <c r="I11401">
        <v>12821</v>
      </c>
      <c r="J11401" t="str">
        <f>VLOOKUP(E11401,DSSpieler!A:B,2,FALSE)</f>
        <v>WaBoUnleashed</v>
      </c>
    </row>
    <row r="11402" spans="1:10" x14ac:dyDescent="0.25">
      <c r="A11402">
        <v>12822</v>
      </c>
      <c r="B11402" t="s">
        <v>34508</v>
      </c>
      <c r="C11402">
        <v>462</v>
      </c>
      <c r="D11402">
        <v>523</v>
      </c>
      <c r="E11402">
        <v>1577185970</v>
      </c>
      <c r="F11402">
        <v>4290</v>
      </c>
      <c r="G11402">
        <v>0</v>
      </c>
      <c r="H11402" t="s">
        <v>16305</v>
      </c>
      <c r="I11402">
        <v>12822</v>
      </c>
      <c r="J11402" t="str">
        <f>VLOOKUP(E11402,DSSpieler!A:B,2,FALSE)</f>
        <v>Lord Kaktus</v>
      </c>
    </row>
    <row r="11403" spans="1:10" x14ac:dyDescent="0.25">
      <c r="A11403">
        <v>12823</v>
      </c>
      <c r="B11403" t="s">
        <v>710</v>
      </c>
      <c r="C11403">
        <v>579</v>
      </c>
      <c r="D11403">
        <v>438</v>
      </c>
      <c r="E11403">
        <v>1576947159</v>
      </c>
      <c r="F11403">
        <v>5243</v>
      </c>
      <c r="G11403">
        <v>0</v>
      </c>
      <c r="H11403" t="s">
        <v>16306</v>
      </c>
      <c r="I11403">
        <v>12823</v>
      </c>
      <c r="J11403" t="str">
        <f>VLOOKUP(E11403,DSSpieler!A:B,2,FALSE)</f>
        <v>TodescooI</v>
      </c>
    </row>
    <row r="11404" spans="1:10" x14ac:dyDescent="0.25">
      <c r="A11404">
        <v>12824</v>
      </c>
      <c r="B11404" t="s">
        <v>34509</v>
      </c>
      <c r="C11404">
        <v>571</v>
      </c>
      <c r="D11404">
        <v>451</v>
      </c>
      <c r="E11404">
        <v>1577199336</v>
      </c>
      <c r="F11404">
        <v>5621</v>
      </c>
      <c r="G11404">
        <v>0</v>
      </c>
      <c r="H11404" t="s">
        <v>16307</v>
      </c>
      <c r="I11404">
        <v>12824</v>
      </c>
      <c r="J11404" t="str">
        <f>VLOOKUP(E11404,DSSpieler!A:B,2,FALSE)</f>
        <v>Adelkönig</v>
      </c>
    </row>
    <row r="11405" spans="1:10" x14ac:dyDescent="0.25">
      <c r="A11405">
        <v>12827</v>
      </c>
      <c r="B11405" t="s">
        <v>34510</v>
      </c>
      <c r="C11405">
        <v>475</v>
      </c>
      <c r="D11405">
        <v>390</v>
      </c>
      <c r="E11405">
        <v>1577199214</v>
      </c>
      <c r="F11405">
        <v>2835</v>
      </c>
      <c r="G11405">
        <v>0</v>
      </c>
      <c r="H11405" t="s">
        <v>16308</v>
      </c>
      <c r="I11405">
        <v>12827</v>
      </c>
      <c r="J11405" t="str">
        <f>VLOOKUP(E11405,DSSpieler!A:B,2,FALSE)</f>
        <v>extremmartin</v>
      </c>
    </row>
    <row r="11406" spans="1:10" x14ac:dyDescent="0.25">
      <c r="A11406">
        <v>12828</v>
      </c>
      <c r="B11406" t="s">
        <v>2168</v>
      </c>
      <c r="C11406">
        <v>453</v>
      </c>
      <c r="D11406">
        <v>579</v>
      </c>
      <c r="E11406">
        <v>3230894</v>
      </c>
      <c r="F11406">
        <v>6429</v>
      </c>
      <c r="G11406">
        <v>0</v>
      </c>
      <c r="H11406" t="s">
        <v>16309</v>
      </c>
      <c r="I11406">
        <v>12828</v>
      </c>
      <c r="J11406" t="str">
        <f>VLOOKUP(E11406,DSSpieler!A:B,2,FALSE)</f>
        <v>Born2Fight87</v>
      </c>
    </row>
    <row r="11407" spans="1:10" x14ac:dyDescent="0.25">
      <c r="A11407">
        <v>12830</v>
      </c>
      <c r="B11407" t="s">
        <v>531</v>
      </c>
      <c r="C11407">
        <v>566</v>
      </c>
      <c r="D11407">
        <v>590</v>
      </c>
      <c r="E11407">
        <v>0</v>
      </c>
      <c r="F11407">
        <v>340</v>
      </c>
      <c r="G11407">
        <v>0</v>
      </c>
      <c r="H11407" t="s">
        <v>16310</v>
      </c>
      <c r="I11407">
        <v>12830</v>
      </c>
      <c r="J11407" t="e">
        <f>VLOOKUP(E11407,DSSpieler!A:B,2,FALSE)</f>
        <v>#N/A</v>
      </c>
    </row>
    <row r="11408" spans="1:10" x14ac:dyDescent="0.25">
      <c r="A11408">
        <v>12831</v>
      </c>
      <c r="B11408" t="s">
        <v>531</v>
      </c>
      <c r="C11408">
        <v>416</v>
      </c>
      <c r="D11408">
        <v>579</v>
      </c>
      <c r="E11408">
        <v>0</v>
      </c>
      <c r="F11408">
        <v>316</v>
      </c>
      <c r="G11408">
        <v>0</v>
      </c>
      <c r="H11408" t="s">
        <v>16311</v>
      </c>
      <c r="I11408">
        <v>12831</v>
      </c>
      <c r="J11408" t="e">
        <f>VLOOKUP(E11408,DSSpieler!A:B,2,FALSE)</f>
        <v>#N/A</v>
      </c>
    </row>
    <row r="11409" spans="1:10" x14ac:dyDescent="0.25">
      <c r="A11409">
        <v>12832</v>
      </c>
      <c r="B11409" t="s">
        <v>726</v>
      </c>
      <c r="C11409">
        <v>588</v>
      </c>
      <c r="D11409">
        <v>565</v>
      </c>
      <c r="E11409">
        <v>1576814505</v>
      </c>
      <c r="F11409">
        <v>5574</v>
      </c>
      <c r="G11409">
        <v>0</v>
      </c>
      <c r="H11409" t="s">
        <v>16312</v>
      </c>
      <c r="I11409">
        <v>12832</v>
      </c>
      <c r="J11409" t="str">
        <f>VLOOKUP(E11409,DSSpieler!A:B,2,FALSE)</f>
        <v>LeonxD</v>
      </c>
    </row>
    <row r="11410" spans="1:10" x14ac:dyDescent="0.25">
      <c r="A11410">
        <v>12833</v>
      </c>
      <c r="B11410" t="s">
        <v>34511</v>
      </c>
      <c r="C11410">
        <v>456</v>
      </c>
      <c r="D11410">
        <v>519</v>
      </c>
      <c r="E11410">
        <v>1576123873</v>
      </c>
      <c r="F11410">
        <v>1677</v>
      </c>
      <c r="G11410">
        <v>0</v>
      </c>
      <c r="H11410" t="s">
        <v>16313</v>
      </c>
      <c r="I11410">
        <v>12833</v>
      </c>
      <c r="J11410" t="str">
        <f>VLOOKUP(E11410,DSSpieler!A:B,2,FALSE)</f>
        <v>Lord Multan</v>
      </c>
    </row>
    <row r="11411" spans="1:10" x14ac:dyDescent="0.25">
      <c r="A11411">
        <v>12834</v>
      </c>
      <c r="B11411" t="s">
        <v>985</v>
      </c>
      <c r="C11411">
        <v>596</v>
      </c>
      <c r="D11411">
        <v>551</v>
      </c>
      <c r="E11411">
        <v>1576942861</v>
      </c>
      <c r="F11411">
        <v>2958</v>
      </c>
      <c r="G11411">
        <v>0</v>
      </c>
      <c r="H11411" t="s">
        <v>16314</v>
      </c>
      <c r="I11411">
        <v>12834</v>
      </c>
      <c r="J11411" t="str">
        <f>VLOOKUP(E11411,DSSpieler!A:B,2,FALSE)</f>
        <v>Gremlinseye</v>
      </c>
    </row>
    <row r="11412" spans="1:10" x14ac:dyDescent="0.25">
      <c r="A11412">
        <v>12835</v>
      </c>
      <c r="B11412" t="s">
        <v>2169</v>
      </c>
      <c r="C11412">
        <v>504</v>
      </c>
      <c r="D11412">
        <v>577</v>
      </c>
      <c r="E11412">
        <v>1577199356</v>
      </c>
      <c r="F11412">
        <v>4292</v>
      </c>
      <c r="G11412">
        <v>0</v>
      </c>
      <c r="H11412" t="s">
        <v>16315</v>
      </c>
      <c r="I11412">
        <v>12835</v>
      </c>
      <c r="J11412" t="str">
        <f>VLOOKUP(E11412,DSSpieler!A:B,2,FALSE)</f>
        <v>Zenzei10</v>
      </c>
    </row>
    <row r="11413" spans="1:10" x14ac:dyDescent="0.25">
      <c r="A11413">
        <v>12836</v>
      </c>
      <c r="B11413" t="s">
        <v>34512</v>
      </c>
      <c r="C11413">
        <v>472</v>
      </c>
      <c r="D11413">
        <v>604</v>
      </c>
      <c r="E11413">
        <v>9939653</v>
      </c>
      <c r="F11413">
        <v>2652</v>
      </c>
      <c r="G11413">
        <v>0</v>
      </c>
      <c r="H11413" t="s">
        <v>16316</v>
      </c>
      <c r="I11413">
        <v>12836</v>
      </c>
      <c r="J11413" t="str">
        <f>VLOOKUP(E11413,DSSpieler!A:B,2,FALSE)</f>
        <v>YONDA</v>
      </c>
    </row>
    <row r="11414" spans="1:10" x14ac:dyDescent="0.25">
      <c r="A11414">
        <v>12837</v>
      </c>
      <c r="B11414" t="s">
        <v>531</v>
      </c>
      <c r="C11414">
        <v>399</v>
      </c>
      <c r="D11414">
        <v>541</v>
      </c>
      <c r="E11414">
        <v>0</v>
      </c>
      <c r="F11414">
        <v>229</v>
      </c>
      <c r="G11414">
        <v>0</v>
      </c>
      <c r="H11414" t="s">
        <v>16317</v>
      </c>
      <c r="I11414">
        <v>12837</v>
      </c>
      <c r="J11414" t="e">
        <f>VLOOKUP(E11414,DSSpieler!A:B,2,FALSE)</f>
        <v>#N/A</v>
      </c>
    </row>
    <row r="11415" spans="1:10" x14ac:dyDescent="0.25">
      <c r="A11415">
        <v>12838</v>
      </c>
      <c r="B11415" t="s">
        <v>531</v>
      </c>
      <c r="C11415">
        <v>556</v>
      </c>
      <c r="D11415">
        <v>596</v>
      </c>
      <c r="E11415">
        <v>0</v>
      </c>
      <c r="F11415">
        <v>249</v>
      </c>
      <c r="G11415">
        <v>0</v>
      </c>
      <c r="H11415" t="s">
        <v>16318</v>
      </c>
      <c r="I11415">
        <v>12838</v>
      </c>
      <c r="J11415" t="e">
        <f>VLOOKUP(E11415,DSSpieler!A:B,2,FALSE)</f>
        <v>#N/A</v>
      </c>
    </row>
    <row r="11416" spans="1:10" x14ac:dyDescent="0.25">
      <c r="A11416">
        <v>12839</v>
      </c>
      <c r="B11416" t="s">
        <v>531</v>
      </c>
      <c r="C11416">
        <v>455</v>
      </c>
      <c r="D11416">
        <v>521</v>
      </c>
      <c r="E11416">
        <v>1577162823</v>
      </c>
      <c r="F11416">
        <v>758</v>
      </c>
      <c r="G11416">
        <v>0</v>
      </c>
      <c r="H11416" t="s">
        <v>16319</v>
      </c>
      <c r="I11416">
        <v>12839</v>
      </c>
      <c r="J11416" t="str">
        <f>VLOOKUP(E11416,DSSpieler!A:B,2,FALSE)</f>
        <v>Ruffy61</v>
      </c>
    </row>
    <row r="11417" spans="1:10" x14ac:dyDescent="0.25">
      <c r="A11417">
        <v>12840</v>
      </c>
      <c r="B11417" t="s">
        <v>34513</v>
      </c>
      <c r="C11417">
        <v>393</v>
      </c>
      <c r="D11417">
        <v>512</v>
      </c>
      <c r="E11417">
        <v>9319592</v>
      </c>
      <c r="F11417">
        <v>5501</v>
      </c>
      <c r="G11417">
        <v>0</v>
      </c>
      <c r="H11417" t="s">
        <v>16320</v>
      </c>
      <c r="I11417">
        <v>12840</v>
      </c>
      <c r="J11417" t="str">
        <f>VLOOKUP(E11417,DSSpieler!A:B,2,FALSE)</f>
        <v>DieterVonHinten</v>
      </c>
    </row>
    <row r="11418" spans="1:10" x14ac:dyDescent="0.25">
      <c r="A11418">
        <v>12841</v>
      </c>
      <c r="B11418" t="s">
        <v>531</v>
      </c>
      <c r="C11418">
        <v>416</v>
      </c>
      <c r="D11418">
        <v>426</v>
      </c>
      <c r="E11418">
        <v>0</v>
      </c>
      <c r="F11418">
        <v>128</v>
      </c>
      <c r="G11418">
        <v>0</v>
      </c>
      <c r="H11418" t="s">
        <v>16321</v>
      </c>
      <c r="I11418">
        <v>12841</v>
      </c>
      <c r="J11418" t="e">
        <f>VLOOKUP(E11418,DSSpieler!A:B,2,FALSE)</f>
        <v>#N/A</v>
      </c>
    </row>
    <row r="11419" spans="1:10" x14ac:dyDescent="0.25">
      <c r="A11419">
        <v>12842</v>
      </c>
      <c r="B11419" t="s">
        <v>531</v>
      </c>
      <c r="C11419">
        <v>488</v>
      </c>
      <c r="D11419">
        <v>611</v>
      </c>
      <c r="E11419">
        <v>0</v>
      </c>
      <c r="F11419">
        <v>516</v>
      </c>
      <c r="G11419">
        <v>0</v>
      </c>
      <c r="H11419" t="s">
        <v>16322</v>
      </c>
      <c r="I11419">
        <v>12842</v>
      </c>
      <c r="J11419" t="e">
        <f>VLOOKUP(E11419,DSSpieler!A:B,2,FALSE)</f>
        <v>#N/A</v>
      </c>
    </row>
    <row r="11420" spans="1:10" x14ac:dyDescent="0.25">
      <c r="A11420">
        <v>12843</v>
      </c>
      <c r="B11420" t="s">
        <v>556</v>
      </c>
      <c r="C11420">
        <v>510</v>
      </c>
      <c r="D11420">
        <v>475</v>
      </c>
      <c r="E11420">
        <v>1576983569</v>
      </c>
      <c r="F11420">
        <v>3436</v>
      </c>
      <c r="G11420">
        <v>0</v>
      </c>
      <c r="H11420" t="s">
        <v>16323</v>
      </c>
      <c r="I11420">
        <v>12843</v>
      </c>
      <c r="J11420" t="str">
        <f>VLOOKUP(E11420,DSSpieler!A:B,2,FALSE)</f>
        <v>Sgt-Reznov</v>
      </c>
    </row>
    <row r="11421" spans="1:10" x14ac:dyDescent="0.25">
      <c r="A11421">
        <v>12844</v>
      </c>
      <c r="B11421" t="s">
        <v>531</v>
      </c>
      <c r="C11421">
        <v>392</v>
      </c>
      <c r="D11421">
        <v>478</v>
      </c>
      <c r="E11421">
        <v>0</v>
      </c>
      <c r="F11421">
        <v>266</v>
      </c>
      <c r="G11421">
        <v>0</v>
      </c>
      <c r="H11421" t="s">
        <v>16324</v>
      </c>
      <c r="I11421">
        <v>12844</v>
      </c>
      <c r="J11421" t="e">
        <f>VLOOKUP(E11421,DSSpieler!A:B,2,FALSE)</f>
        <v>#N/A</v>
      </c>
    </row>
    <row r="11422" spans="1:10" x14ac:dyDescent="0.25">
      <c r="A11422">
        <v>12845</v>
      </c>
      <c r="B11422" t="s">
        <v>531</v>
      </c>
      <c r="C11422">
        <v>509</v>
      </c>
      <c r="D11422">
        <v>480</v>
      </c>
      <c r="E11422">
        <v>0</v>
      </c>
      <c r="F11422">
        <v>175</v>
      </c>
      <c r="G11422">
        <v>0</v>
      </c>
      <c r="H11422" t="s">
        <v>16325</v>
      </c>
      <c r="I11422">
        <v>12845</v>
      </c>
      <c r="J11422" t="e">
        <f>VLOOKUP(E11422,DSSpieler!A:B,2,FALSE)</f>
        <v>#N/A</v>
      </c>
    </row>
    <row r="11423" spans="1:10" x14ac:dyDescent="0.25">
      <c r="A11423">
        <v>12846</v>
      </c>
      <c r="B11423" t="s">
        <v>30525</v>
      </c>
      <c r="C11423">
        <v>461</v>
      </c>
      <c r="D11423">
        <v>522</v>
      </c>
      <c r="E11423">
        <v>8198259</v>
      </c>
      <c r="F11423">
        <v>1272</v>
      </c>
      <c r="G11423">
        <v>0</v>
      </c>
      <c r="H11423" t="s">
        <v>16326</v>
      </c>
      <c r="I11423">
        <v>12846</v>
      </c>
      <c r="J11423" t="str">
        <f>VLOOKUP(E11423,DSSpieler!A:B,2,FALSE)</f>
        <v>Tiger1896</v>
      </c>
    </row>
    <row r="11424" spans="1:10" x14ac:dyDescent="0.25">
      <c r="A11424">
        <v>12847</v>
      </c>
      <c r="B11424" t="s">
        <v>2170</v>
      </c>
      <c r="C11424">
        <v>611</v>
      </c>
      <c r="D11424">
        <v>496</v>
      </c>
      <c r="E11424">
        <v>1576941620</v>
      </c>
      <c r="F11424">
        <v>1076</v>
      </c>
      <c r="G11424">
        <v>0</v>
      </c>
      <c r="H11424" t="s">
        <v>16327</v>
      </c>
      <c r="I11424">
        <v>12847</v>
      </c>
      <c r="J11424" t="str">
        <f>VLOOKUP(E11424,DSSpieler!A:B,2,FALSE)</f>
        <v>gottimperator</v>
      </c>
    </row>
    <row r="11425" spans="1:10" x14ac:dyDescent="0.25">
      <c r="A11425">
        <v>12848</v>
      </c>
      <c r="B11425" t="s">
        <v>531</v>
      </c>
      <c r="C11425">
        <v>446</v>
      </c>
      <c r="D11425">
        <v>594</v>
      </c>
      <c r="E11425">
        <v>0</v>
      </c>
      <c r="F11425">
        <v>72</v>
      </c>
      <c r="G11425">
        <v>0</v>
      </c>
      <c r="H11425" t="s">
        <v>16328</v>
      </c>
      <c r="I11425">
        <v>12848</v>
      </c>
      <c r="J11425" t="e">
        <f>VLOOKUP(E11425,DSSpieler!A:B,2,FALSE)</f>
        <v>#N/A</v>
      </c>
    </row>
    <row r="11426" spans="1:10" x14ac:dyDescent="0.25">
      <c r="A11426">
        <v>12849</v>
      </c>
      <c r="B11426" t="s">
        <v>34514</v>
      </c>
      <c r="C11426">
        <v>554</v>
      </c>
      <c r="D11426">
        <v>410</v>
      </c>
      <c r="E11426">
        <v>1577171923</v>
      </c>
      <c r="F11426">
        <v>4627</v>
      </c>
      <c r="G11426">
        <v>0</v>
      </c>
      <c r="H11426" t="s">
        <v>16329</v>
      </c>
      <c r="I11426">
        <v>12849</v>
      </c>
      <c r="J11426" t="str">
        <f>VLOOKUP(E11426,DSSpieler!A:B,2,FALSE)</f>
        <v>ShadowDragon</v>
      </c>
    </row>
    <row r="11427" spans="1:10" x14ac:dyDescent="0.25">
      <c r="A11427">
        <v>12850</v>
      </c>
      <c r="B11427" t="s">
        <v>531</v>
      </c>
      <c r="C11427">
        <v>563</v>
      </c>
      <c r="D11427">
        <v>598</v>
      </c>
      <c r="E11427">
        <v>0</v>
      </c>
      <c r="F11427">
        <v>537</v>
      </c>
      <c r="G11427">
        <v>0</v>
      </c>
      <c r="H11427" t="s">
        <v>16330</v>
      </c>
      <c r="I11427">
        <v>12850</v>
      </c>
      <c r="J11427" t="e">
        <f>VLOOKUP(E11427,DSSpieler!A:B,2,FALSE)</f>
        <v>#N/A</v>
      </c>
    </row>
    <row r="11428" spans="1:10" x14ac:dyDescent="0.25">
      <c r="A11428">
        <v>12851</v>
      </c>
      <c r="B11428" t="s">
        <v>34515</v>
      </c>
      <c r="C11428">
        <v>503</v>
      </c>
      <c r="D11428">
        <v>578</v>
      </c>
      <c r="E11428">
        <v>1577026484</v>
      </c>
      <c r="F11428">
        <v>4033</v>
      </c>
      <c r="G11428">
        <v>0</v>
      </c>
      <c r="H11428" t="s">
        <v>16331</v>
      </c>
      <c r="I11428">
        <v>12851</v>
      </c>
      <c r="J11428" t="str">
        <f>VLOOKUP(E11428,DSSpieler!A:B,2,FALSE)</f>
        <v>Deffnoob</v>
      </c>
    </row>
    <row r="11429" spans="1:10" x14ac:dyDescent="0.25">
      <c r="A11429">
        <v>12852</v>
      </c>
      <c r="B11429" t="s">
        <v>531</v>
      </c>
      <c r="C11429">
        <v>607</v>
      </c>
      <c r="D11429">
        <v>528</v>
      </c>
      <c r="E11429">
        <v>0</v>
      </c>
      <c r="F11429">
        <v>688</v>
      </c>
      <c r="G11429">
        <v>0</v>
      </c>
      <c r="H11429" t="s">
        <v>16332</v>
      </c>
      <c r="I11429">
        <v>12852</v>
      </c>
      <c r="J11429" t="e">
        <f>VLOOKUP(E11429,DSSpieler!A:B,2,FALSE)</f>
        <v>#N/A</v>
      </c>
    </row>
    <row r="11430" spans="1:10" x14ac:dyDescent="0.25">
      <c r="A11430">
        <v>12853</v>
      </c>
      <c r="B11430" t="s">
        <v>2101</v>
      </c>
      <c r="C11430">
        <v>471</v>
      </c>
      <c r="D11430">
        <v>393</v>
      </c>
      <c r="E11430">
        <v>1576958889</v>
      </c>
      <c r="F11430">
        <v>6179</v>
      </c>
      <c r="G11430">
        <v>0</v>
      </c>
      <c r="H11430" t="s">
        <v>16333</v>
      </c>
      <c r="I11430">
        <v>12853</v>
      </c>
      <c r="J11430" t="str">
        <f>VLOOKUP(E11430,DSSpieler!A:B,2,FALSE)</f>
        <v>J-P-M</v>
      </c>
    </row>
    <row r="11431" spans="1:10" x14ac:dyDescent="0.25">
      <c r="A11431">
        <v>12854</v>
      </c>
      <c r="B11431" t="s">
        <v>2171</v>
      </c>
      <c r="C11431">
        <v>608</v>
      </c>
      <c r="D11431">
        <v>484</v>
      </c>
      <c r="E11431">
        <v>1577187168</v>
      </c>
      <c r="F11431">
        <v>286</v>
      </c>
      <c r="G11431">
        <v>0</v>
      </c>
      <c r="H11431" t="s">
        <v>16334</v>
      </c>
      <c r="I11431">
        <v>12854</v>
      </c>
      <c r="J11431" t="str">
        <f>VLOOKUP(E11431,DSSpieler!A:B,2,FALSE)</f>
        <v>King Atzu</v>
      </c>
    </row>
    <row r="11432" spans="1:10" x14ac:dyDescent="0.25">
      <c r="A11432">
        <v>12855</v>
      </c>
      <c r="B11432" t="s">
        <v>34516</v>
      </c>
      <c r="C11432">
        <v>527</v>
      </c>
      <c r="D11432">
        <v>529</v>
      </c>
      <c r="E11432">
        <v>8806700</v>
      </c>
      <c r="F11432">
        <v>6914</v>
      </c>
      <c r="G11432">
        <v>0</v>
      </c>
      <c r="H11432" t="s">
        <v>16335</v>
      </c>
      <c r="I11432">
        <v>12855</v>
      </c>
      <c r="J11432" t="str">
        <f>VLOOKUP(E11432,DSSpieler!A:B,2,FALSE)</f>
        <v>Eworks</v>
      </c>
    </row>
    <row r="11433" spans="1:10" x14ac:dyDescent="0.25">
      <c r="A11433">
        <v>12856</v>
      </c>
      <c r="B11433" t="s">
        <v>539</v>
      </c>
      <c r="C11433">
        <v>610</v>
      </c>
      <c r="D11433">
        <v>482</v>
      </c>
      <c r="E11433">
        <v>1577197528</v>
      </c>
      <c r="F11433">
        <v>5208</v>
      </c>
      <c r="G11433">
        <v>0</v>
      </c>
      <c r="H11433" t="s">
        <v>16336</v>
      </c>
      <c r="I11433">
        <v>12856</v>
      </c>
      <c r="J11433" t="str">
        <f>VLOOKUP(E11433,DSSpieler!A:B,2,FALSE)</f>
        <v>Schwarzwälderkirschtorte</v>
      </c>
    </row>
    <row r="11434" spans="1:10" x14ac:dyDescent="0.25">
      <c r="A11434">
        <v>12857</v>
      </c>
      <c r="B11434" t="s">
        <v>34517</v>
      </c>
      <c r="C11434">
        <v>582</v>
      </c>
      <c r="D11434">
        <v>420</v>
      </c>
      <c r="E11434">
        <v>1577146616</v>
      </c>
      <c r="F11434">
        <v>5835</v>
      </c>
      <c r="G11434">
        <v>0</v>
      </c>
      <c r="H11434" t="s">
        <v>16337</v>
      </c>
      <c r="I11434">
        <v>12857</v>
      </c>
      <c r="J11434" t="str">
        <f>VLOOKUP(E11434,DSSpieler!A:B,2,FALSE)</f>
        <v>flohchen</v>
      </c>
    </row>
    <row r="11435" spans="1:10" x14ac:dyDescent="0.25">
      <c r="A11435">
        <v>12858</v>
      </c>
      <c r="B11435" t="s">
        <v>34518</v>
      </c>
      <c r="C11435">
        <v>471</v>
      </c>
      <c r="D11435">
        <v>397</v>
      </c>
      <c r="E11435">
        <v>1577131380</v>
      </c>
      <c r="F11435">
        <v>1740</v>
      </c>
      <c r="G11435">
        <v>0</v>
      </c>
      <c r="H11435" t="s">
        <v>16338</v>
      </c>
      <c r="I11435">
        <v>12858</v>
      </c>
      <c r="J11435" t="str">
        <f>VLOOKUP(E11435,DSSpieler!A:B,2,FALSE)</f>
        <v>Pasco1</v>
      </c>
    </row>
    <row r="11436" spans="1:10" x14ac:dyDescent="0.25">
      <c r="A11436">
        <v>12859</v>
      </c>
      <c r="B11436" t="s">
        <v>531</v>
      </c>
      <c r="C11436">
        <v>400</v>
      </c>
      <c r="D11436">
        <v>452</v>
      </c>
      <c r="E11436">
        <v>0</v>
      </c>
      <c r="F11436">
        <v>400</v>
      </c>
      <c r="G11436">
        <v>0</v>
      </c>
      <c r="H11436" t="s">
        <v>16339</v>
      </c>
      <c r="I11436">
        <v>12859</v>
      </c>
      <c r="J11436" t="e">
        <f>VLOOKUP(E11436,DSSpieler!A:B,2,FALSE)</f>
        <v>#N/A</v>
      </c>
    </row>
    <row r="11437" spans="1:10" x14ac:dyDescent="0.25">
      <c r="A11437">
        <v>12860</v>
      </c>
      <c r="B11437" t="s">
        <v>34519</v>
      </c>
      <c r="C11437">
        <v>494</v>
      </c>
      <c r="D11437">
        <v>593</v>
      </c>
      <c r="E11437">
        <v>1577188163</v>
      </c>
      <c r="F11437">
        <v>6967</v>
      </c>
      <c r="G11437">
        <v>0</v>
      </c>
      <c r="H11437" t="s">
        <v>16340</v>
      </c>
      <c r="I11437">
        <v>12860</v>
      </c>
      <c r="J11437" t="str">
        <f>VLOOKUP(E11437,DSSpieler!A:B,2,FALSE)</f>
        <v>Fynnus Maximuhsus</v>
      </c>
    </row>
    <row r="11438" spans="1:10" x14ac:dyDescent="0.25">
      <c r="A11438">
        <v>12861</v>
      </c>
      <c r="B11438" t="s">
        <v>979</v>
      </c>
      <c r="C11438">
        <v>498</v>
      </c>
      <c r="D11438">
        <v>596</v>
      </c>
      <c r="E11438">
        <v>8051928</v>
      </c>
      <c r="F11438">
        <v>1831</v>
      </c>
      <c r="G11438">
        <v>0</v>
      </c>
      <c r="H11438" t="s">
        <v>16341</v>
      </c>
      <c r="I11438">
        <v>12861</v>
      </c>
      <c r="J11438" t="str">
        <f>VLOOKUP(E11438,DSSpieler!A:B,2,FALSE)</f>
        <v>Schattenlegionaer</v>
      </c>
    </row>
    <row r="11439" spans="1:10" x14ac:dyDescent="0.25">
      <c r="A11439">
        <v>12862</v>
      </c>
      <c r="B11439" t="s">
        <v>34520</v>
      </c>
      <c r="C11439">
        <v>599</v>
      </c>
      <c r="D11439">
        <v>446</v>
      </c>
      <c r="E11439">
        <v>1577182339</v>
      </c>
      <c r="F11439">
        <v>4620</v>
      </c>
      <c r="G11439">
        <v>0</v>
      </c>
      <c r="H11439" t="s">
        <v>16342</v>
      </c>
      <c r="I11439">
        <v>12862</v>
      </c>
      <c r="J11439" t="str">
        <f>VLOOKUP(E11439,DSSpieler!A:B,2,FALSE)</f>
        <v>OG BananaJoe</v>
      </c>
    </row>
    <row r="11440" spans="1:10" x14ac:dyDescent="0.25">
      <c r="A11440">
        <v>12864</v>
      </c>
      <c r="B11440" t="s">
        <v>531</v>
      </c>
      <c r="C11440">
        <v>393</v>
      </c>
      <c r="D11440">
        <v>467</v>
      </c>
      <c r="E11440">
        <v>0</v>
      </c>
      <c r="F11440">
        <v>387</v>
      </c>
      <c r="G11440">
        <v>0</v>
      </c>
      <c r="H11440" t="s">
        <v>16343</v>
      </c>
      <c r="I11440">
        <v>12864</v>
      </c>
      <c r="J11440" t="e">
        <f>VLOOKUP(E11440,DSSpieler!A:B,2,FALSE)</f>
        <v>#N/A</v>
      </c>
    </row>
    <row r="11441" spans="1:10" x14ac:dyDescent="0.25">
      <c r="A11441">
        <v>12865</v>
      </c>
      <c r="B11441" t="s">
        <v>531</v>
      </c>
      <c r="C11441">
        <v>413</v>
      </c>
      <c r="D11441">
        <v>568</v>
      </c>
      <c r="E11441">
        <v>0</v>
      </c>
      <c r="F11441">
        <v>554</v>
      </c>
      <c r="G11441">
        <v>0</v>
      </c>
      <c r="H11441" t="s">
        <v>16344</v>
      </c>
      <c r="I11441">
        <v>12865</v>
      </c>
      <c r="J11441" t="e">
        <f>VLOOKUP(E11441,DSSpieler!A:B,2,FALSE)</f>
        <v>#N/A</v>
      </c>
    </row>
    <row r="11442" spans="1:10" x14ac:dyDescent="0.25">
      <c r="A11442">
        <v>12866</v>
      </c>
      <c r="B11442" t="s">
        <v>2172</v>
      </c>
      <c r="C11442">
        <v>568</v>
      </c>
      <c r="D11442">
        <v>411</v>
      </c>
      <c r="E11442">
        <v>1577194420</v>
      </c>
      <c r="F11442">
        <v>2841</v>
      </c>
      <c r="G11442">
        <v>0</v>
      </c>
      <c r="H11442" t="s">
        <v>16345</v>
      </c>
      <c r="I11442">
        <v>12866</v>
      </c>
      <c r="J11442" t="str">
        <f>VLOOKUP(E11442,DSSpieler!A:B,2,FALSE)</f>
        <v>zappes</v>
      </c>
    </row>
    <row r="11443" spans="1:10" x14ac:dyDescent="0.25">
      <c r="A11443">
        <v>12867</v>
      </c>
      <c r="B11443" t="s">
        <v>531</v>
      </c>
      <c r="C11443">
        <v>389</v>
      </c>
      <c r="D11443">
        <v>499</v>
      </c>
      <c r="E11443">
        <v>0</v>
      </c>
      <c r="F11443">
        <v>297</v>
      </c>
      <c r="G11443">
        <v>0</v>
      </c>
      <c r="H11443" t="s">
        <v>16346</v>
      </c>
      <c r="I11443">
        <v>12867</v>
      </c>
      <c r="J11443" t="e">
        <f>VLOOKUP(E11443,DSSpieler!A:B,2,FALSE)</f>
        <v>#N/A</v>
      </c>
    </row>
    <row r="11444" spans="1:10" x14ac:dyDescent="0.25">
      <c r="A11444">
        <v>12868</v>
      </c>
      <c r="B11444" t="s">
        <v>531</v>
      </c>
      <c r="C11444">
        <v>594</v>
      </c>
      <c r="D11444">
        <v>440</v>
      </c>
      <c r="E11444">
        <v>0</v>
      </c>
      <c r="F11444">
        <v>100</v>
      </c>
      <c r="G11444">
        <v>0</v>
      </c>
      <c r="H11444" t="s">
        <v>16347</v>
      </c>
      <c r="I11444">
        <v>12868</v>
      </c>
      <c r="J11444" t="e">
        <f>VLOOKUP(E11444,DSSpieler!A:B,2,FALSE)</f>
        <v>#N/A</v>
      </c>
    </row>
    <row r="11445" spans="1:10" x14ac:dyDescent="0.25">
      <c r="A11445">
        <v>12869</v>
      </c>
      <c r="B11445" t="s">
        <v>34521</v>
      </c>
      <c r="C11445">
        <v>454</v>
      </c>
      <c r="D11445">
        <v>403</v>
      </c>
      <c r="E11445">
        <v>1577164215</v>
      </c>
      <c r="F11445">
        <v>3484</v>
      </c>
      <c r="G11445">
        <v>0</v>
      </c>
      <c r="H11445" t="s">
        <v>16348</v>
      </c>
      <c r="I11445">
        <v>12869</v>
      </c>
      <c r="J11445" t="str">
        <f>VLOOKUP(E11445,DSSpieler!A:B,2,FALSE)</f>
        <v>chrissle</v>
      </c>
    </row>
    <row r="11446" spans="1:10" x14ac:dyDescent="0.25">
      <c r="A11446">
        <v>12870</v>
      </c>
      <c r="B11446" t="s">
        <v>2173</v>
      </c>
      <c r="C11446">
        <v>533</v>
      </c>
      <c r="D11446">
        <v>414</v>
      </c>
      <c r="E11446">
        <v>1577197760</v>
      </c>
      <c r="F11446">
        <v>5264</v>
      </c>
      <c r="G11446">
        <v>0</v>
      </c>
      <c r="H11446" t="s">
        <v>16349</v>
      </c>
      <c r="I11446">
        <v>12870</v>
      </c>
      <c r="J11446" t="str">
        <f>VLOOKUP(E11446,DSSpieler!A:B,2,FALSE)</f>
        <v>Linn214</v>
      </c>
    </row>
    <row r="11447" spans="1:10" x14ac:dyDescent="0.25">
      <c r="A11447">
        <v>12871</v>
      </c>
      <c r="B11447" t="s">
        <v>34522</v>
      </c>
      <c r="C11447">
        <v>389</v>
      </c>
      <c r="D11447">
        <v>494</v>
      </c>
      <c r="E11447">
        <v>1577039508</v>
      </c>
      <c r="F11447">
        <v>4199</v>
      </c>
      <c r="G11447">
        <v>0</v>
      </c>
      <c r="H11447" t="s">
        <v>16350</v>
      </c>
      <c r="I11447">
        <v>12871</v>
      </c>
      <c r="J11447" t="str">
        <f>VLOOKUP(E11447,DSSpieler!A:B,2,FALSE)</f>
        <v>UnitedChief</v>
      </c>
    </row>
    <row r="11448" spans="1:10" x14ac:dyDescent="0.25">
      <c r="A11448">
        <v>12872</v>
      </c>
      <c r="B11448" t="s">
        <v>531</v>
      </c>
      <c r="C11448">
        <v>389</v>
      </c>
      <c r="D11448">
        <v>483</v>
      </c>
      <c r="E11448">
        <v>0</v>
      </c>
      <c r="F11448">
        <v>174</v>
      </c>
      <c r="G11448">
        <v>0</v>
      </c>
      <c r="H11448" t="s">
        <v>16351</v>
      </c>
      <c r="I11448">
        <v>12872</v>
      </c>
      <c r="J11448" t="e">
        <f>VLOOKUP(E11448,DSSpieler!A:B,2,FALSE)</f>
        <v>#N/A</v>
      </c>
    </row>
    <row r="11449" spans="1:10" x14ac:dyDescent="0.25">
      <c r="A11449">
        <v>12873</v>
      </c>
      <c r="B11449" t="s">
        <v>531</v>
      </c>
      <c r="C11449">
        <v>430</v>
      </c>
      <c r="D11449">
        <v>551</v>
      </c>
      <c r="E11449">
        <v>0</v>
      </c>
      <c r="F11449">
        <v>725</v>
      </c>
      <c r="G11449">
        <v>0</v>
      </c>
      <c r="H11449" t="s">
        <v>16352</v>
      </c>
      <c r="I11449">
        <v>12873</v>
      </c>
      <c r="J11449" t="e">
        <f>VLOOKUP(E11449,DSSpieler!A:B,2,FALSE)</f>
        <v>#N/A</v>
      </c>
    </row>
    <row r="11450" spans="1:10" x14ac:dyDescent="0.25">
      <c r="A11450">
        <v>12874</v>
      </c>
      <c r="B11450" t="s">
        <v>531</v>
      </c>
      <c r="C11450">
        <v>403</v>
      </c>
      <c r="D11450">
        <v>453</v>
      </c>
      <c r="E11450">
        <v>0</v>
      </c>
      <c r="F11450">
        <v>1010</v>
      </c>
      <c r="G11450">
        <v>0</v>
      </c>
      <c r="H11450" t="s">
        <v>16353</v>
      </c>
      <c r="I11450">
        <v>12874</v>
      </c>
      <c r="J11450" t="e">
        <f>VLOOKUP(E11450,DSSpieler!A:B,2,FALSE)</f>
        <v>#N/A</v>
      </c>
    </row>
    <row r="11451" spans="1:10" x14ac:dyDescent="0.25">
      <c r="A11451">
        <v>12875</v>
      </c>
      <c r="B11451" t="s">
        <v>34523</v>
      </c>
      <c r="C11451">
        <v>451</v>
      </c>
      <c r="D11451">
        <v>409</v>
      </c>
      <c r="E11451">
        <v>179420</v>
      </c>
      <c r="F11451">
        <v>3018</v>
      </c>
      <c r="G11451">
        <v>0</v>
      </c>
      <c r="H11451" t="s">
        <v>16354</v>
      </c>
      <c r="I11451">
        <v>12875</v>
      </c>
      <c r="J11451" t="str">
        <f>VLOOKUP(E11451,DSSpieler!A:B,2,FALSE)</f>
        <v>goldenei</v>
      </c>
    </row>
    <row r="11452" spans="1:10" x14ac:dyDescent="0.25">
      <c r="A11452">
        <v>12876</v>
      </c>
      <c r="B11452" t="s">
        <v>531</v>
      </c>
      <c r="C11452">
        <v>397</v>
      </c>
      <c r="D11452">
        <v>467</v>
      </c>
      <c r="E11452">
        <v>0</v>
      </c>
      <c r="F11452">
        <v>241</v>
      </c>
      <c r="G11452">
        <v>0</v>
      </c>
      <c r="H11452" t="s">
        <v>16355</v>
      </c>
      <c r="I11452">
        <v>12876</v>
      </c>
      <c r="J11452" t="e">
        <f>VLOOKUP(E11452,DSSpieler!A:B,2,FALSE)</f>
        <v>#N/A</v>
      </c>
    </row>
    <row r="11453" spans="1:10" x14ac:dyDescent="0.25">
      <c r="A11453">
        <v>12877</v>
      </c>
      <c r="B11453" t="s">
        <v>531</v>
      </c>
      <c r="C11453">
        <v>493</v>
      </c>
      <c r="D11453">
        <v>611</v>
      </c>
      <c r="E11453">
        <v>0</v>
      </c>
      <c r="F11453">
        <v>168</v>
      </c>
      <c r="G11453">
        <v>0</v>
      </c>
      <c r="H11453" t="s">
        <v>16356</v>
      </c>
      <c r="I11453">
        <v>12877</v>
      </c>
      <c r="J11453" t="e">
        <f>VLOOKUP(E11453,DSSpieler!A:B,2,FALSE)</f>
        <v>#N/A</v>
      </c>
    </row>
    <row r="11454" spans="1:10" x14ac:dyDescent="0.25">
      <c r="A11454">
        <v>12878</v>
      </c>
      <c r="B11454" t="s">
        <v>531</v>
      </c>
      <c r="C11454">
        <v>427</v>
      </c>
      <c r="D11454">
        <v>580</v>
      </c>
      <c r="E11454">
        <v>0</v>
      </c>
      <c r="F11454">
        <v>270</v>
      </c>
      <c r="G11454">
        <v>0</v>
      </c>
      <c r="H11454" t="s">
        <v>16357</v>
      </c>
      <c r="I11454">
        <v>12878</v>
      </c>
      <c r="J11454" t="e">
        <f>VLOOKUP(E11454,DSSpieler!A:B,2,FALSE)</f>
        <v>#N/A</v>
      </c>
    </row>
    <row r="11455" spans="1:10" x14ac:dyDescent="0.25">
      <c r="A11455">
        <v>12879</v>
      </c>
      <c r="B11455" t="s">
        <v>531</v>
      </c>
      <c r="C11455">
        <v>409</v>
      </c>
      <c r="D11455">
        <v>441</v>
      </c>
      <c r="E11455">
        <v>0</v>
      </c>
      <c r="F11455">
        <v>288</v>
      </c>
      <c r="G11455">
        <v>0</v>
      </c>
      <c r="H11455" t="s">
        <v>16358</v>
      </c>
      <c r="I11455">
        <v>12879</v>
      </c>
      <c r="J11455" t="e">
        <f>VLOOKUP(E11455,DSSpieler!A:B,2,FALSE)</f>
        <v>#N/A</v>
      </c>
    </row>
    <row r="11456" spans="1:10" x14ac:dyDescent="0.25">
      <c r="A11456">
        <v>12880</v>
      </c>
      <c r="B11456" t="s">
        <v>34524</v>
      </c>
      <c r="C11456">
        <v>542</v>
      </c>
      <c r="D11456">
        <v>561</v>
      </c>
      <c r="E11456">
        <v>9837616</v>
      </c>
      <c r="F11456">
        <v>6395</v>
      </c>
      <c r="G11456">
        <v>0</v>
      </c>
      <c r="H11456" t="s">
        <v>16359</v>
      </c>
      <c r="I11456">
        <v>12880</v>
      </c>
      <c r="J11456" t="str">
        <f>VLOOKUP(E11456,DSSpieler!A:B,2,FALSE)</f>
        <v>CheckPrime</v>
      </c>
    </row>
    <row r="11457" spans="1:10" x14ac:dyDescent="0.25">
      <c r="A11457">
        <v>12881</v>
      </c>
      <c r="B11457" t="s">
        <v>531</v>
      </c>
      <c r="C11457">
        <v>609</v>
      </c>
      <c r="D11457">
        <v>534</v>
      </c>
      <c r="E11457">
        <v>0</v>
      </c>
      <c r="F11457">
        <v>711</v>
      </c>
      <c r="G11457">
        <v>0</v>
      </c>
      <c r="H11457" t="s">
        <v>16360</v>
      </c>
      <c r="I11457">
        <v>12881</v>
      </c>
      <c r="J11457" t="e">
        <f>VLOOKUP(E11457,DSSpieler!A:B,2,FALSE)</f>
        <v>#N/A</v>
      </c>
    </row>
    <row r="11458" spans="1:10" x14ac:dyDescent="0.25">
      <c r="A11458">
        <v>12882</v>
      </c>
      <c r="B11458" t="s">
        <v>531</v>
      </c>
      <c r="C11458">
        <v>607</v>
      </c>
      <c r="D11458">
        <v>475</v>
      </c>
      <c r="E11458">
        <v>0</v>
      </c>
      <c r="F11458">
        <v>367</v>
      </c>
      <c r="G11458">
        <v>0</v>
      </c>
      <c r="H11458" t="s">
        <v>16361</v>
      </c>
      <c r="I11458">
        <v>12882</v>
      </c>
      <c r="J11458" t="e">
        <f>VLOOKUP(E11458,DSSpieler!A:B,2,FALSE)</f>
        <v>#N/A</v>
      </c>
    </row>
    <row r="11459" spans="1:10" x14ac:dyDescent="0.25">
      <c r="A11459">
        <v>12883</v>
      </c>
      <c r="B11459" t="s">
        <v>2174</v>
      </c>
      <c r="C11459">
        <v>491</v>
      </c>
      <c r="D11459">
        <v>459</v>
      </c>
      <c r="E11459">
        <v>1577161229</v>
      </c>
      <c r="F11459">
        <v>3978</v>
      </c>
      <c r="G11459">
        <v>0</v>
      </c>
      <c r="H11459" t="s">
        <v>16362</v>
      </c>
      <c r="I11459">
        <v>12883</v>
      </c>
      <c r="J11459" t="str">
        <f>VLOOKUP(E11459,DSSpieler!A:B,2,FALSE)</f>
        <v>Lord von Rotfuchs</v>
      </c>
    </row>
    <row r="11460" spans="1:10" x14ac:dyDescent="0.25">
      <c r="A11460">
        <v>12884</v>
      </c>
      <c r="B11460" t="s">
        <v>531</v>
      </c>
      <c r="C11460">
        <v>442</v>
      </c>
      <c r="D11460">
        <v>597</v>
      </c>
      <c r="E11460">
        <v>0</v>
      </c>
      <c r="F11460">
        <v>501</v>
      </c>
      <c r="G11460">
        <v>0</v>
      </c>
      <c r="H11460" t="s">
        <v>16363</v>
      </c>
      <c r="I11460">
        <v>12884</v>
      </c>
      <c r="J11460" t="e">
        <f>VLOOKUP(E11460,DSSpieler!A:B,2,FALSE)</f>
        <v>#N/A</v>
      </c>
    </row>
    <row r="11461" spans="1:10" x14ac:dyDescent="0.25">
      <c r="A11461">
        <v>12885</v>
      </c>
      <c r="B11461" t="s">
        <v>34525</v>
      </c>
      <c r="C11461">
        <v>539</v>
      </c>
      <c r="D11461">
        <v>392</v>
      </c>
      <c r="E11461">
        <v>9380418</v>
      </c>
      <c r="F11461">
        <v>5918</v>
      </c>
      <c r="G11461">
        <v>0</v>
      </c>
      <c r="H11461" t="s">
        <v>16364</v>
      </c>
      <c r="I11461">
        <v>12885</v>
      </c>
      <c r="J11461" t="str">
        <f>VLOOKUP(E11461,DSSpieler!A:B,2,FALSE)</f>
        <v>Madafiii</v>
      </c>
    </row>
    <row r="11462" spans="1:10" x14ac:dyDescent="0.25">
      <c r="A11462">
        <v>12886</v>
      </c>
      <c r="B11462" t="s">
        <v>531</v>
      </c>
      <c r="C11462">
        <v>606</v>
      </c>
      <c r="D11462">
        <v>534</v>
      </c>
      <c r="E11462">
        <v>0</v>
      </c>
      <c r="F11462">
        <v>198</v>
      </c>
      <c r="G11462">
        <v>0</v>
      </c>
      <c r="H11462" t="s">
        <v>16365</v>
      </c>
      <c r="I11462">
        <v>12886</v>
      </c>
      <c r="J11462" t="e">
        <f>VLOOKUP(E11462,DSSpieler!A:B,2,FALSE)</f>
        <v>#N/A</v>
      </c>
    </row>
    <row r="11463" spans="1:10" x14ac:dyDescent="0.25">
      <c r="A11463">
        <v>12887</v>
      </c>
      <c r="B11463" t="s">
        <v>531</v>
      </c>
      <c r="C11463">
        <v>525</v>
      </c>
      <c r="D11463">
        <v>607</v>
      </c>
      <c r="E11463">
        <v>0</v>
      </c>
      <c r="F11463">
        <v>197</v>
      </c>
      <c r="G11463">
        <v>0</v>
      </c>
      <c r="H11463" t="s">
        <v>16366</v>
      </c>
      <c r="I11463">
        <v>12887</v>
      </c>
      <c r="J11463" t="e">
        <f>VLOOKUP(E11463,DSSpieler!A:B,2,FALSE)</f>
        <v>#N/A</v>
      </c>
    </row>
    <row r="11464" spans="1:10" x14ac:dyDescent="0.25">
      <c r="A11464">
        <v>12888</v>
      </c>
      <c r="B11464" t="e">
        <f>-2-+Berliner+Luft</f>
        <v>#NAME?</v>
      </c>
      <c r="C11464">
        <v>573</v>
      </c>
      <c r="D11464">
        <v>526</v>
      </c>
      <c r="E11464">
        <v>1577099191</v>
      </c>
      <c r="F11464">
        <v>6466</v>
      </c>
      <c r="G11464">
        <v>0</v>
      </c>
      <c r="H11464" t="s">
        <v>16367</v>
      </c>
      <c r="I11464">
        <v>12888</v>
      </c>
      <c r="J11464" t="str">
        <f>VLOOKUP(E11464,DSSpieler!A:B,2,FALSE)</f>
        <v>luckum3000</v>
      </c>
    </row>
    <row r="11465" spans="1:10" x14ac:dyDescent="0.25">
      <c r="A11465">
        <v>12889</v>
      </c>
      <c r="B11465" t="s">
        <v>531</v>
      </c>
      <c r="C11465">
        <v>438</v>
      </c>
      <c r="D11465">
        <v>462</v>
      </c>
      <c r="E11465">
        <v>0</v>
      </c>
      <c r="F11465">
        <v>366</v>
      </c>
      <c r="G11465">
        <v>0</v>
      </c>
      <c r="H11465" t="s">
        <v>16368</v>
      </c>
      <c r="I11465">
        <v>12889</v>
      </c>
      <c r="J11465" t="e">
        <f>VLOOKUP(E11465,DSSpieler!A:B,2,FALSE)</f>
        <v>#N/A</v>
      </c>
    </row>
    <row r="11466" spans="1:10" x14ac:dyDescent="0.25">
      <c r="A11466">
        <v>12890</v>
      </c>
      <c r="B11466" t="s">
        <v>531</v>
      </c>
      <c r="C11466">
        <v>447</v>
      </c>
      <c r="D11466">
        <v>600</v>
      </c>
      <c r="E11466">
        <v>0</v>
      </c>
      <c r="F11466">
        <v>281</v>
      </c>
      <c r="G11466">
        <v>0</v>
      </c>
      <c r="H11466" t="s">
        <v>16369</v>
      </c>
      <c r="I11466">
        <v>12890</v>
      </c>
      <c r="J11466" t="e">
        <f>VLOOKUP(E11466,DSSpieler!A:B,2,FALSE)</f>
        <v>#N/A</v>
      </c>
    </row>
    <row r="11467" spans="1:10" x14ac:dyDescent="0.25">
      <c r="A11467">
        <v>12891</v>
      </c>
      <c r="B11467" t="s">
        <v>34526</v>
      </c>
      <c r="C11467">
        <v>393</v>
      </c>
      <c r="D11467">
        <v>487</v>
      </c>
      <c r="E11467">
        <v>465454</v>
      </c>
      <c r="F11467">
        <v>4580</v>
      </c>
      <c r="G11467">
        <v>0</v>
      </c>
      <c r="H11467" t="s">
        <v>434</v>
      </c>
      <c r="I11467">
        <v>12891</v>
      </c>
      <c r="J11467" t="str">
        <f>VLOOKUP(E11467,DSSpieler!A:B,2,FALSE)</f>
        <v>Devilkill</v>
      </c>
    </row>
    <row r="11468" spans="1:10" x14ac:dyDescent="0.25">
      <c r="A11468">
        <v>12892</v>
      </c>
      <c r="B11468" t="s">
        <v>34527</v>
      </c>
      <c r="C11468">
        <v>478</v>
      </c>
      <c r="D11468">
        <v>395</v>
      </c>
      <c r="E11468">
        <v>1577064270</v>
      </c>
      <c r="F11468">
        <v>5124</v>
      </c>
      <c r="G11468">
        <v>0</v>
      </c>
      <c r="H11468" t="s">
        <v>16370</v>
      </c>
      <c r="I11468">
        <v>12892</v>
      </c>
      <c r="J11468" t="str">
        <f>VLOOKUP(E11468,DSSpieler!A:B,2,FALSE)</f>
        <v>robert47</v>
      </c>
    </row>
    <row r="11469" spans="1:10" x14ac:dyDescent="0.25">
      <c r="A11469">
        <v>12893</v>
      </c>
      <c r="B11469" t="s">
        <v>531</v>
      </c>
      <c r="C11469">
        <v>481</v>
      </c>
      <c r="D11469">
        <v>391</v>
      </c>
      <c r="E11469">
        <v>0</v>
      </c>
      <c r="F11469">
        <v>322</v>
      </c>
      <c r="G11469">
        <v>0</v>
      </c>
      <c r="H11469" t="s">
        <v>16371</v>
      </c>
      <c r="I11469">
        <v>12893</v>
      </c>
      <c r="J11469" t="e">
        <f>VLOOKUP(E11469,DSSpieler!A:B,2,FALSE)</f>
        <v>#N/A</v>
      </c>
    </row>
    <row r="11470" spans="1:10" x14ac:dyDescent="0.25">
      <c r="A11470">
        <v>12894</v>
      </c>
      <c r="B11470" t="s">
        <v>33515</v>
      </c>
      <c r="C11470">
        <v>469</v>
      </c>
      <c r="D11470">
        <v>606</v>
      </c>
      <c r="E11470">
        <v>1577199002</v>
      </c>
      <c r="F11470">
        <v>3865</v>
      </c>
      <c r="G11470">
        <v>0</v>
      </c>
      <c r="H11470" t="s">
        <v>16372</v>
      </c>
      <c r="I11470">
        <v>12894</v>
      </c>
      <c r="J11470" t="str">
        <f>VLOOKUP(E11470,DSSpieler!A:B,2,FALSE)</f>
        <v>Memento mori</v>
      </c>
    </row>
    <row r="11471" spans="1:10" x14ac:dyDescent="0.25">
      <c r="A11471">
        <v>12895</v>
      </c>
      <c r="B11471" t="s">
        <v>34528</v>
      </c>
      <c r="C11471">
        <v>398</v>
      </c>
      <c r="D11471">
        <v>452</v>
      </c>
      <c r="E11471">
        <v>1577197846</v>
      </c>
      <c r="F11471">
        <v>1651</v>
      </c>
      <c r="G11471">
        <v>0</v>
      </c>
      <c r="H11471" t="s">
        <v>16373</v>
      </c>
      <c r="I11471">
        <v>12895</v>
      </c>
      <c r="J11471" t="str">
        <f>VLOOKUP(E11471,DSSpieler!A:B,2,FALSE)</f>
        <v>KevGoetzi</v>
      </c>
    </row>
    <row r="11472" spans="1:10" x14ac:dyDescent="0.25">
      <c r="A11472">
        <v>12896</v>
      </c>
      <c r="B11472" t="s">
        <v>34529</v>
      </c>
      <c r="C11472">
        <v>499</v>
      </c>
      <c r="D11472">
        <v>389</v>
      </c>
      <c r="E11472">
        <v>1577190752</v>
      </c>
      <c r="F11472">
        <v>2977</v>
      </c>
      <c r="G11472">
        <v>0</v>
      </c>
      <c r="H11472" t="s">
        <v>16374</v>
      </c>
      <c r="I11472">
        <v>12896</v>
      </c>
      <c r="J11472" t="str">
        <f>VLOOKUP(E11472,DSSpieler!A:B,2,FALSE)</f>
        <v>Knoedler99</v>
      </c>
    </row>
    <row r="11473" spans="1:10" x14ac:dyDescent="0.25">
      <c r="A11473">
        <v>12897</v>
      </c>
      <c r="B11473" t="s">
        <v>2175</v>
      </c>
      <c r="C11473">
        <v>419</v>
      </c>
      <c r="D11473">
        <v>449</v>
      </c>
      <c r="E11473">
        <v>1577166146</v>
      </c>
      <c r="F11473">
        <v>2583</v>
      </c>
      <c r="G11473">
        <v>0</v>
      </c>
      <c r="H11473" t="s">
        <v>16375</v>
      </c>
      <c r="I11473">
        <v>12897</v>
      </c>
      <c r="J11473" t="str">
        <f>VLOOKUP(E11473,DSSpieler!A:B,2,FALSE)</f>
        <v>Devil Dome</v>
      </c>
    </row>
    <row r="11474" spans="1:10" x14ac:dyDescent="0.25">
      <c r="A11474">
        <v>12899</v>
      </c>
      <c r="B11474" t="s">
        <v>1338</v>
      </c>
      <c r="C11474">
        <v>447</v>
      </c>
      <c r="D11474">
        <v>571</v>
      </c>
      <c r="E11474">
        <v>8457813</v>
      </c>
      <c r="F11474">
        <v>2286</v>
      </c>
      <c r="G11474">
        <v>0</v>
      </c>
      <c r="H11474" t="s">
        <v>16376</v>
      </c>
      <c r="I11474">
        <v>12899</v>
      </c>
      <c r="J11474" t="str">
        <f>VLOOKUP(E11474,DSSpieler!A:B,2,FALSE)</f>
        <v>little Lotschi</v>
      </c>
    </row>
    <row r="11475" spans="1:10" x14ac:dyDescent="0.25">
      <c r="A11475">
        <v>12900</v>
      </c>
      <c r="B11475" t="s">
        <v>531</v>
      </c>
      <c r="C11475">
        <v>399</v>
      </c>
      <c r="D11475">
        <v>454</v>
      </c>
      <c r="E11475">
        <v>0</v>
      </c>
      <c r="F11475">
        <v>233</v>
      </c>
      <c r="G11475">
        <v>0</v>
      </c>
      <c r="H11475" t="s">
        <v>16377</v>
      </c>
      <c r="I11475">
        <v>12900</v>
      </c>
      <c r="J11475" t="e">
        <f>VLOOKUP(E11475,DSSpieler!A:B,2,FALSE)</f>
        <v>#N/A</v>
      </c>
    </row>
    <row r="11476" spans="1:10" x14ac:dyDescent="0.25">
      <c r="A11476">
        <v>12902</v>
      </c>
      <c r="B11476" t="s">
        <v>34530</v>
      </c>
      <c r="C11476">
        <v>589</v>
      </c>
      <c r="D11476">
        <v>431</v>
      </c>
      <c r="E11476">
        <v>1577132809</v>
      </c>
      <c r="F11476">
        <v>717</v>
      </c>
      <c r="G11476">
        <v>0</v>
      </c>
      <c r="H11476" t="s">
        <v>16378</v>
      </c>
      <c r="I11476">
        <v>12902</v>
      </c>
      <c r="J11476" t="str">
        <f>VLOOKUP(E11476,DSSpieler!A:B,2,FALSE)</f>
        <v>LordDumpfnase</v>
      </c>
    </row>
    <row r="11477" spans="1:10" x14ac:dyDescent="0.25">
      <c r="A11477">
        <v>12905</v>
      </c>
      <c r="B11477" t="s">
        <v>531</v>
      </c>
      <c r="C11477">
        <v>436</v>
      </c>
      <c r="D11477">
        <v>408</v>
      </c>
      <c r="E11477">
        <v>0</v>
      </c>
      <c r="F11477">
        <v>537</v>
      </c>
      <c r="G11477">
        <v>0</v>
      </c>
      <c r="H11477" t="s">
        <v>16379</v>
      </c>
      <c r="I11477">
        <v>12905</v>
      </c>
      <c r="J11477" t="e">
        <f>VLOOKUP(E11477,DSSpieler!A:B,2,FALSE)</f>
        <v>#N/A</v>
      </c>
    </row>
    <row r="11478" spans="1:10" x14ac:dyDescent="0.25">
      <c r="A11478">
        <v>12906</v>
      </c>
      <c r="B11478" t="s">
        <v>531</v>
      </c>
      <c r="C11478">
        <v>512</v>
      </c>
      <c r="D11478">
        <v>593</v>
      </c>
      <c r="E11478">
        <v>0</v>
      </c>
      <c r="F11478">
        <v>482</v>
      </c>
      <c r="G11478">
        <v>0</v>
      </c>
      <c r="H11478" t="s">
        <v>16380</v>
      </c>
      <c r="I11478">
        <v>12906</v>
      </c>
      <c r="J11478" t="e">
        <f>VLOOKUP(E11478,DSSpieler!A:B,2,FALSE)</f>
        <v>#N/A</v>
      </c>
    </row>
    <row r="11479" spans="1:10" x14ac:dyDescent="0.25">
      <c r="A11479">
        <v>12907</v>
      </c>
      <c r="B11479" t="s">
        <v>531</v>
      </c>
      <c r="C11479">
        <v>401</v>
      </c>
      <c r="D11479">
        <v>553</v>
      </c>
      <c r="E11479">
        <v>0</v>
      </c>
      <c r="F11479">
        <v>364</v>
      </c>
      <c r="G11479">
        <v>0</v>
      </c>
      <c r="H11479" t="s">
        <v>16381</v>
      </c>
      <c r="I11479">
        <v>12907</v>
      </c>
      <c r="J11479" t="e">
        <f>VLOOKUP(E11479,DSSpieler!A:B,2,FALSE)</f>
        <v>#N/A</v>
      </c>
    </row>
    <row r="11480" spans="1:10" x14ac:dyDescent="0.25">
      <c r="A11480">
        <v>12908</v>
      </c>
      <c r="B11480" t="s">
        <v>31687</v>
      </c>
      <c r="C11480">
        <v>485</v>
      </c>
      <c r="D11480">
        <v>582</v>
      </c>
      <c r="E11480">
        <v>1576996406</v>
      </c>
      <c r="F11480">
        <v>5031</v>
      </c>
      <c r="G11480">
        <v>0</v>
      </c>
      <c r="H11480" t="s">
        <v>16382</v>
      </c>
      <c r="I11480">
        <v>12908</v>
      </c>
      <c r="J11480" t="str">
        <f>VLOOKUP(E11480,DSSpieler!A:B,2,FALSE)</f>
        <v>clownsq</v>
      </c>
    </row>
    <row r="11481" spans="1:10" x14ac:dyDescent="0.25">
      <c r="A11481">
        <v>12909</v>
      </c>
      <c r="B11481" t="s">
        <v>531</v>
      </c>
      <c r="C11481">
        <v>579</v>
      </c>
      <c r="D11481">
        <v>426</v>
      </c>
      <c r="E11481">
        <v>0</v>
      </c>
      <c r="F11481">
        <v>292</v>
      </c>
      <c r="G11481">
        <v>0</v>
      </c>
      <c r="H11481" t="s">
        <v>16383</v>
      </c>
      <c r="I11481">
        <v>12909</v>
      </c>
      <c r="J11481" t="e">
        <f>VLOOKUP(E11481,DSSpieler!A:B,2,FALSE)</f>
        <v>#N/A</v>
      </c>
    </row>
    <row r="11482" spans="1:10" x14ac:dyDescent="0.25">
      <c r="A11482">
        <v>12910</v>
      </c>
      <c r="B11482" t="s">
        <v>531</v>
      </c>
      <c r="C11482">
        <v>394</v>
      </c>
      <c r="D11482">
        <v>516</v>
      </c>
      <c r="E11482">
        <v>1577184804</v>
      </c>
      <c r="F11482">
        <v>604</v>
      </c>
      <c r="G11482">
        <v>0</v>
      </c>
      <c r="H11482" t="s">
        <v>16384</v>
      </c>
      <c r="I11482">
        <v>12910</v>
      </c>
      <c r="J11482" t="str">
        <f>VLOOKUP(E11482,DSSpieler!A:B,2,FALSE)</f>
        <v>Hoschweiler</v>
      </c>
    </row>
    <row r="11483" spans="1:10" x14ac:dyDescent="0.25">
      <c r="A11483">
        <v>12911</v>
      </c>
      <c r="B11483" t="s">
        <v>531</v>
      </c>
      <c r="C11483">
        <v>391</v>
      </c>
      <c r="D11483">
        <v>521</v>
      </c>
      <c r="E11483">
        <v>0</v>
      </c>
      <c r="F11483">
        <v>160</v>
      </c>
      <c r="G11483">
        <v>0</v>
      </c>
      <c r="H11483" t="s">
        <v>16385</v>
      </c>
      <c r="I11483">
        <v>12911</v>
      </c>
      <c r="J11483" t="e">
        <f>VLOOKUP(E11483,DSSpieler!A:B,2,FALSE)</f>
        <v>#N/A</v>
      </c>
    </row>
    <row r="11484" spans="1:10" x14ac:dyDescent="0.25">
      <c r="A11484">
        <v>12912</v>
      </c>
      <c r="B11484" t="s">
        <v>34531</v>
      </c>
      <c r="C11484">
        <v>511</v>
      </c>
      <c r="D11484">
        <v>464</v>
      </c>
      <c r="E11484">
        <v>1576471055</v>
      </c>
      <c r="F11484">
        <v>4759</v>
      </c>
      <c r="G11484">
        <v>0</v>
      </c>
      <c r="H11484" t="s">
        <v>16386</v>
      </c>
      <c r="I11484">
        <v>12912</v>
      </c>
      <c r="J11484" t="str">
        <f>VLOOKUP(E11484,DSSpieler!A:B,2,FALSE)</f>
        <v>Wonderboy-</v>
      </c>
    </row>
    <row r="11485" spans="1:10" x14ac:dyDescent="0.25">
      <c r="A11485">
        <v>12913</v>
      </c>
      <c r="B11485" t="s">
        <v>34532</v>
      </c>
      <c r="C11485">
        <v>414</v>
      </c>
      <c r="D11485">
        <v>551</v>
      </c>
      <c r="E11485">
        <v>9942630</v>
      </c>
      <c r="F11485">
        <v>4111</v>
      </c>
      <c r="G11485">
        <v>0</v>
      </c>
      <c r="H11485" t="s">
        <v>16387</v>
      </c>
      <c r="I11485">
        <v>12913</v>
      </c>
      <c r="J11485" t="str">
        <f>VLOOKUP(E11485,DSSpieler!A:B,2,FALSE)</f>
        <v>Dr. med. Räscher</v>
      </c>
    </row>
    <row r="11486" spans="1:10" x14ac:dyDescent="0.25">
      <c r="A11486">
        <v>12914</v>
      </c>
      <c r="B11486" t="s">
        <v>34533</v>
      </c>
      <c r="C11486">
        <v>400</v>
      </c>
      <c r="D11486">
        <v>457</v>
      </c>
      <c r="E11486">
        <v>9933981</v>
      </c>
      <c r="F11486">
        <v>2704</v>
      </c>
      <c r="G11486">
        <v>0</v>
      </c>
      <c r="H11486" t="s">
        <v>16388</v>
      </c>
      <c r="I11486">
        <v>12914</v>
      </c>
      <c r="J11486" t="str">
        <f>VLOOKUP(E11486,DSSpieler!A:B,2,FALSE)</f>
        <v>Don Juan de Johan</v>
      </c>
    </row>
    <row r="11487" spans="1:10" x14ac:dyDescent="0.25">
      <c r="A11487">
        <v>12915</v>
      </c>
      <c r="B11487">
        <v>2</v>
      </c>
      <c r="C11487">
        <v>537</v>
      </c>
      <c r="D11487">
        <v>599</v>
      </c>
      <c r="E11487">
        <v>1577198027</v>
      </c>
      <c r="F11487">
        <v>4255</v>
      </c>
      <c r="G11487">
        <v>0</v>
      </c>
      <c r="H11487" t="s">
        <v>16389</v>
      </c>
      <c r="I11487">
        <v>12915</v>
      </c>
      <c r="J11487" t="str">
        <f>VLOOKUP(E11487,DSSpieler!A:B,2,FALSE)</f>
        <v>Gargoyle123</v>
      </c>
    </row>
    <row r="11488" spans="1:10" x14ac:dyDescent="0.25">
      <c r="A11488">
        <v>12916</v>
      </c>
      <c r="B11488" t="s">
        <v>34534</v>
      </c>
      <c r="C11488">
        <v>490</v>
      </c>
      <c r="D11488">
        <v>549</v>
      </c>
      <c r="E11488">
        <v>1576996984</v>
      </c>
      <c r="F11488">
        <v>5714</v>
      </c>
      <c r="G11488">
        <v>0</v>
      </c>
      <c r="H11488" t="s">
        <v>16390</v>
      </c>
      <c r="I11488">
        <v>12916</v>
      </c>
      <c r="J11488" t="str">
        <f>VLOOKUP(E11488,DSSpieler!A:B,2,FALSE)</f>
        <v>Gallone</v>
      </c>
    </row>
    <row r="11489" spans="1:10" x14ac:dyDescent="0.25">
      <c r="A11489">
        <v>12917</v>
      </c>
      <c r="B11489" t="s">
        <v>34535</v>
      </c>
      <c r="C11489">
        <v>389</v>
      </c>
      <c r="D11489">
        <v>502</v>
      </c>
      <c r="E11489">
        <v>9694313</v>
      </c>
      <c r="F11489">
        <v>6518</v>
      </c>
      <c r="G11489">
        <v>0</v>
      </c>
      <c r="H11489" t="s">
        <v>16391</v>
      </c>
      <c r="I11489">
        <v>12917</v>
      </c>
      <c r="J11489" t="str">
        <f>VLOOKUP(E11489,DSSpieler!A:B,2,FALSE)</f>
        <v>Lerbanoel</v>
      </c>
    </row>
    <row r="11490" spans="1:10" x14ac:dyDescent="0.25">
      <c r="A11490">
        <v>12918</v>
      </c>
      <c r="B11490">
        <v>2</v>
      </c>
      <c r="C11490">
        <v>543</v>
      </c>
      <c r="D11490">
        <v>607</v>
      </c>
      <c r="E11490">
        <v>1577044901</v>
      </c>
      <c r="F11490">
        <v>2389</v>
      </c>
      <c r="G11490">
        <v>0</v>
      </c>
      <c r="H11490" t="s">
        <v>16392</v>
      </c>
      <c r="I11490">
        <v>12918</v>
      </c>
      <c r="J11490" t="str">
        <f>VLOOKUP(E11490,DSSpieler!A:B,2,FALSE)</f>
        <v>RexWolke</v>
      </c>
    </row>
    <row r="11491" spans="1:10" x14ac:dyDescent="0.25">
      <c r="A11491">
        <v>12919</v>
      </c>
      <c r="B11491" t="s">
        <v>531</v>
      </c>
      <c r="C11491">
        <v>609</v>
      </c>
      <c r="D11491">
        <v>498</v>
      </c>
      <c r="E11491">
        <v>0</v>
      </c>
      <c r="F11491">
        <v>265</v>
      </c>
      <c r="G11491">
        <v>0</v>
      </c>
      <c r="H11491" t="s">
        <v>16393</v>
      </c>
      <c r="I11491">
        <v>12919</v>
      </c>
      <c r="J11491" t="e">
        <f>VLOOKUP(E11491,DSSpieler!A:B,2,FALSE)</f>
        <v>#N/A</v>
      </c>
    </row>
    <row r="11492" spans="1:10" x14ac:dyDescent="0.25">
      <c r="A11492">
        <v>12920</v>
      </c>
      <c r="B11492" t="s">
        <v>531</v>
      </c>
      <c r="C11492">
        <v>601</v>
      </c>
      <c r="D11492">
        <v>546</v>
      </c>
      <c r="E11492">
        <v>0</v>
      </c>
      <c r="F11492">
        <v>153</v>
      </c>
      <c r="G11492">
        <v>0</v>
      </c>
      <c r="H11492" t="s">
        <v>16394</v>
      </c>
      <c r="I11492">
        <v>12920</v>
      </c>
      <c r="J11492" t="e">
        <f>VLOOKUP(E11492,DSSpieler!A:B,2,FALSE)</f>
        <v>#N/A</v>
      </c>
    </row>
    <row r="11493" spans="1:10" x14ac:dyDescent="0.25">
      <c r="A11493">
        <v>12923</v>
      </c>
      <c r="B11493" t="s">
        <v>34536</v>
      </c>
      <c r="C11493">
        <v>549</v>
      </c>
      <c r="D11493">
        <v>400</v>
      </c>
      <c r="E11493">
        <v>1577085413</v>
      </c>
      <c r="F11493">
        <v>3578</v>
      </c>
      <c r="G11493">
        <v>0</v>
      </c>
      <c r="H11493" t="s">
        <v>16395</v>
      </c>
      <c r="I11493">
        <v>12923</v>
      </c>
      <c r="J11493" t="str">
        <f>VLOOKUP(E11493,DSSpieler!A:B,2,FALSE)</f>
        <v>thompson10</v>
      </c>
    </row>
    <row r="11494" spans="1:10" x14ac:dyDescent="0.25">
      <c r="A11494">
        <v>12924</v>
      </c>
      <c r="B11494" t="s">
        <v>2176</v>
      </c>
      <c r="C11494">
        <v>608</v>
      </c>
      <c r="D11494">
        <v>469</v>
      </c>
      <c r="E11494">
        <v>1577197578</v>
      </c>
      <c r="F11494">
        <v>2022</v>
      </c>
      <c r="G11494">
        <v>0</v>
      </c>
      <c r="H11494" t="s">
        <v>16396</v>
      </c>
      <c r="I11494">
        <v>12924</v>
      </c>
      <c r="J11494" t="str">
        <f>VLOOKUP(E11494,DSSpieler!A:B,2,FALSE)</f>
        <v>EmBo123</v>
      </c>
    </row>
    <row r="11495" spans="1:10" x14ac:dyDescent="0.25">
      <c r="A11495">
        <v>12925</v>
      </c>
      <c r="B11495" t="s">
        <v>531</v>
      </c>
      <c r="C11495">
        <v>411</v>
      </c>
      <c r="D11495">
        <v>542</v>
      </c>
      <c r="E11495">
        <v>0</v>
      </c>
      <c r="F11495">
        <v>248</v>
      </c>
      <c r="G11495">
        <v>0</v>
      </c>
      <c r="H11495" t="s">
        <v>16397</v>
      </c>
      <c r="I11495">
        <v>12925</v>
      </c>
      <c r="J11495" t="e">
        <f>VLOOKUP(E11495,DSSpieler!A:B,2,FALSE)</f>
        <v>#N/A</v>
      </c>
    </row>
    <row r="11496" spans="1:10" x14ac:dyDescent="0.25">
      <c r="A11496">
        <v>12926</v>
      </c>
      <c r="B11496" t="s">
        <v>2177</v>
      </c>
      <c r="C11496">
        <v>480</v>
      </c>
      <c r="D11496">
        <v>461</v>
      </c>
      <c r="E11496">
        <v>1577174325</v>
      </c>
      <c r="F11496">
        <v>3224</v>
      </c>
      <c r="G11496">
        <v>0</v>
      </c>
      <c r="H11496" t="s">
        <v>16398</v>
      </c>
      <c r="I11496">
        <v>12926</v>
      </c>
      <c r="J11496" t="str">
        <f>VLOOKUP(E11496,DSSpieler!A:B,2,FALSE)</f>
        <v>Holzhacker</v>
      </c>
    </row>
    <row r="11497" spans="1:10" x14ac:dyDescent="0.25">
      <c r="A11497">
        <v>12927</v>
      </c>
      <c r="B11497" t="s">
        <v>34537</v>
      </c>
      <c r="C11497">
        <v>609</v>
      </c>
      <c r="D11497">
        <v>491</v>
      </c>
      <c r="E11497">
        <v>9312082</v>
      </c>
      <c r="F11497">
        <v>2519</v>
      </c>
      <c r="G11497">
        <v>0</v>
      </c>
      <c r="H11497" t="s">
        <v>16399</v>
      </c>
      <c r="I11497">
        <v>12927</v>
      </c>
      <c r="J11497" t="str">
        <f>VLOOKUP(E11497,DSSpieler!A:B,2,FALSE)</f>
        <v>-Vanillegipfel-</v>
      </c>
    </row>
    <row r="11498" spans="1:10" x14ac:dyDescent="0.25">
      <c r="A11498">
        <v>12928</v>
      </c>
      <c r="B11498" t="s">
        <v>531</v>
      </c>
      <c r="C11498">
        <v>443</v>
      </c>
      <c r="D11498">
        <v>404</v>
      </c>
      <c r="E11498">
        <v>0</v>
      </c>
      <c r="F11498">
        <v>197</v>
      </c>
      <c r="G11498">
        <v>0</v>
      </c>
      <c r="H11498" t="s">
        <v>16400</v>
      </c>
      <c r="I11498">
        <v>12928</v>
      </c>
      <c r="J11498" t="e">
        <f>VLOOKUP(E11498,DSSpieler!A:B,2,FALSE)</f>
        <v>#N/A</v>
      </c>
    </row>
    <row r="11499" spans="1:10" x14ac:dyDescent="0.25">
      <c r="A11499">
        <v>12929</v>
      </c>
      <c r="B11499" t="s">
        <v>34538</v>
      </c>
      <c r="C11499">
        <v>611</v>
      </c>
      <c r="D11499">
        <v>494</v>
      </c>
      <c r="E11499">
        <v>1577192749</v>
      </c>
      <c r="F11499">
        <v>3920</v>
      </c>
      <c r="G11499">
        <v>0</v>
      </c>
      <c r="H11499" t="s">
        <v>16401</v>
      </c>
      <c r="I11499">
        <v>12929</v>
      </c>
      <c r="J11499" t="str">
        <f>VLOOKUP(E11499,DSSpieler!A:B,2,FALSE)</f>
        <v>Mikael</v>
      </c>
    </row>
    <row r="11500" spans="1:10" x14ac:dyDescent="0.25">
      <c r="A11500">
        <v>12930</v>
      </c>
      <c r="B11500" t="s">
        <v>31362</v>
      </c>
      <c r="C11500">
        <v>433</v>
      </c>
      <c r="D11500">
        <v>589</v>
      </c>
      <c r="E11500">
        <v>1577035851</v>
      </c>
      <c r="F11500">
        <v>4755</v>
      </c>
      <c r="G11500">
        <v>0</v>
      </c>
      <c r="H11500" t="s">
        <v>16402</v>
      </c>
      <c r="I11500">
        <v>12930</v>
      </c>
      <c r="J11500" t="str">
        <f>VLOOKUP(E11500,DSSpieler!A:B,2,FALSE)</f>
        <v>Mitschi97</v>
      </c>
    </row>
    <row r="11501" spans="1:10" x14ac:dyDescent="0.25">
      <c r="A11501">
        <v>12931</v>
      </c>
      <c r="B11501" t="s">
        <v>531</v>
      </c>
      <c r="C11501">
        <v>479</v>
      </c>
      <c r="D11501">
        <v>606</v>
      </c>
      <c r="E11501">
        <v>0</v>
      </c>
      <c r="F11501">
        <v>396</v>
      </c>
      <c r="G11501">
        <v>0</v>
      </c>
      <c r="H11501" t="s">
        <v>16403</v>
      </c>
      <c r="I11501">
        <v>12931</v>
      </c>
      <c r="J11501" t="e">
        <f>VLOOKUP(E11501,DSSpieler!A:B,2,FALSE)</f>
        <v>#N/A</v>
      </c>
    </row>
    <row r="11502" spans="1:10" x14ac:dyDescent="0.25">
      <c r="A11502">
        <v>12932</v>
      </c>
      <c r="B11502" t="s">
        <v>2178</v>
      </c>
      <c r="C11502">
        <v>475</v>
      </c>
      <c r="D11502">
        <v>410</v>
      </c>
      <c r="E11502">
        <v>1577193042</v>
      </c>
      <c r="F11502">
        <v>3235</v>
      </c>
      <c r="G11502">
        <v>0</v>
      </c>
      <c r="H11502" t="s">
        <v>16404</v>
      </c>
      <c r="I11502">
        <v>12932</v>
      </c>
      <c r="J11502" t="str">
        <f>VLOOKUP(E11502,DSSpieler!A:B,2,FALSE)</f>
        <v>UltimateCuB3R</v>
      </c>
    </row>
    <row r="11503" spans="1:10" x14ac:dyDescent="0.25">
      <c r="A11503">
        <v>12933</v>
      </c>
      <c r="B11503" t="s">
        <v>2179</v>
      </c>
      <c r="C11503">
        <v>418</v>
      </c>
      <c r="D11503">
        <v>577</v>
      </c>
      <c r="E11503">
        <v>8839915</v>
      </c>
      <c r="F11503">
        <v>5109</v>
      </c>
      <c r="G11503">
        <v>0</v>
      </c>
      <c r="H11503" t="s">
        <v>16405</v>
      </c>
      <c r="I11503">
        <v>12933</v>
      </c>
      <c r="J11503" t="str">
        <f>VLOOKUP(E11503,DSSpieler!A:B,2,FALSE)</f>
        <v>BierBaron.</v>
      </c>
    </row>
    <row r="11504" spans="1:10" x14ac:dyDescent="0.25">
      <c r="A11504">
        <v>12934</v>
      </c>
      <c r="B11504" t="s">
        <v>531</v>
      </c>
      <c r="C11504">
        <v>387</v>
      </c>
      <c r="D11504">
        <v>503</v>
      </c>
      <c r="E11504">
        <v>0</v>
      </c>
      <c r="F11504">
        <v>490</v>
      </c>
      <c r="G11504">
        <v>0</v>
      </c>
      <c r="H11504" t="s">
        <v>16406</v>
      </c>
      <c r="I11504">
        <v>12934</v>
      </c>
      <c r="J11504" t="e">
        <f>VLOOKUP(E11504,DSSpieler!A:B,2,FALSE)</f>
        <v>#N/A</v>
      </c>
    </row>
    <row r="11505" spans="1:10" x14ac:dyDescent="0.25">
      <c r="A11505">
        <v>12935</v>
      </c>
      <c r="B11505" t="s">
        <v>2180</v>
      </c>
      <c r="C11505">
        <v>408</v>
      </c>
      <c r="D11505">
        <v>546</v>
      </c>
      <c r="E11505">
        <v>1576477994</v>
      </c>
      <c r="F11505">
        <v>4978</v>
      </c>
      <c r="G11505">
        <v>0</v>
      </c>
      <c r="H11505" t="s">
        <v>16407</v>
      </c>
      <c r="I11505">
        <v>12935</v>
      </c>
      <c r="J11505" t="str">
        <f>VLOOKUP(E11505,DSSpieler!A:B,2,FALSE)</f>
        <v>diegosam1000</v>
      </c>
    </row>
    <row r="11506" spans="1:10" x14ac:dyDescent="0.25">
      <c r="A11506">
        <v>12936</v>
      </c>
      <c r="B11506" t="s">
        <v>34539</v>
      </c>
      <c r="C11506">
        <v>442</v>
      </c>
      <c r="D11506">
        <v>592</v>
      </c>
      <c r="E11506">
        <v>1725309</v>
      </c>
      <c r="F11506">
        <v>5094</v>
      </c>
      <c r="G11506">
        <v>0</v>
      </c>
      <c r="H11506" t="s">
        <v>16408</v>
      </c>
      <c r="I11506">
        <v>12936</v>
      </c>
      <c r="J11506" t="str">
        <f>VLOOKUP(E11506,DSSpieler!A:B,2,FALSE)</f>
        <v>9PRF</v>
      </c>
    </row>
    <row r="11507" spans="1:10" x14ac:dyDescent="0.25">
      <c r="A11507">
        <v>12937</v>
      </c>
      <c r="B11507" t="s">
        <v>1243</v>
      </c>
      <c r="C11507">
        <v>454</v>
      </c>
      <c r="D11507">
        <v>598</v>
      </c>
      <c r="E11507">
        <v>1577138203</v>
      </c>
      <c r="F11507">
        <v>188</v>
      </c>
      <c r="G11507">
        <v>0</v>
      </c>
      <c r="H11507" t="s">
        <v>16409</v>
      </c>
      <c r="I11507">
        <v>12937</v>
      </c>
      <c r="J11507" t="str">
        <f>VLOOKUP(E11507,DSSpieler!A:B,2,FALSE)</f>
        <v>ralfiii94</v>
      </c>
    </row>
    <row r="11508" spans="1:10" x14ac:dyDescent="0.25">
      <c r="A11508">
        <v>12938</v>
      </c>
      <c r="B11508" t="s">
        <v>531</v>
      </c>
      <c r="C11508">
        <v>543</v>
      </c>
      <c r="D11508">
        <v>396</v>
      </c>
      <c r="E11508">
        <v>0</v>
      </c>
      <c r="F11508">
        <v>211</v>
      </c>
      <c r="G11508">
        <v>0</v>
      </c>
      <c r="H11508" t="s">
        <v>16410</v>
      </c>
      <c r="I11508">
        <v>12938</v>
      </c>
      <c r="J11508" t="e">
        <f>VLOOKUP(E11508,DSSpieler!A:B,2,FALSE)</f>
        <v>#N/A</v>
      </c>
    </row>
    <row r="11509" spans="1:10" x14ac:dyDescent="0.25">
      <c r="A11509">
        <v>12939</v>
      </c>
      <c r="B11509" t="s">
        <v>531</v>
      </c>
      <c r="C11509">
        <v>405</v>
      </c>
      <c r="D11509">
        <v>440</v>
      </c>
      <c r="E11509">
        <v>0</v>
      </c>
      <c r="F11509">
        <v>157</v>
      </c>
      <c r="G11509">
        <v>0</v>
      </c>
      <c r="H11509" t="s">
        <v>16411</v>
      </c>
      <c r="I11509">
        <v>12939</v>
      </c>
      <c r="J11509" t="e">
        <f>VLOOKUP(E11509,DSSpieler!A:B,2,FALSE)</f>
        <v>#N/A</v>
      </c>
    </row>
    <row r="11510" spans="1:10" x14ac:dyDescent="0.25">
      <c r="A11510">
        <v>12940</v>
      </c>
      <c r="B11510" t="s">
        <v>34540</v>
      </c>
      <c r="C11510">
        <v>416</v>
      </c>
      <c r="D11510">
        <v>574</v>
      </c>
      <c r="E11510">
        <v>1577127484</v>
      </c>
      <c r="F11510">
        <v>3454</v>
      </c>
      <c r="G11510">
        <v>0</v>
      </c>
      <c r="H11510" t="s">
        <v>16412</v>
      </c>
      <c r="I11510">
        <v>12940</v>
      </c>
      <c r="J11510" t="str">
        <f>VLOOKUP(E11510,DSSpieler!A:B,2,FALSE)</f>
        <v>El Pharao</v>
      </c>
    </row>
    <row r="11511" spans="1:10" x14ac:dyDescent="0.25">
      <c r="A11511">
        <v>12942</v>
      </c>
      <c r="B11511">
        <v>3</v>
      </c>
      <c r="C11511">
        <v>483</v>
      </c>
      <c r="D11511">
        <v>607</v>
      </c>
      <c r="E11511">
        <v>1577199230</v>
      </c>
      <c r="F11511">
        <v>809</v>
      </c>
      <c r="G11511">
        <v>0</v>
      </c>
      <c r="H11511" t="s">
        <v>16413</v>
      </c>
      <c r="I11511">
        <v>12942</v>
      </c>
      <c r="J11511" t="str">
        <f>VLOOKUP(E11511,DSSpieler!A:B,2,FALSE)</f>
        <v>Mightyace</v>
      </c>
    </row>
    <row r="11512" spans="1:10" x14ac:dyDescent="0.25">
      <c r="A11512">
        <v>12944</v>
      </c>
      <c r="B11512" t="s">
        <v>1087</v>
      </c>
      <c r="C11512">
        <v>582</v>
      </c>
      <c r="D11512">
        <v>578</v>
      </c>
      <c r="E11512">
        <v>9575066</v>
      </c>
      <c r="F11512">
        <v>4438</v>
      </c>
      <c r="G11512">
        <v>0</v>
      </c>
      <c r="H11512" t="s">
        <v>16414</v>
      </c>
      <c r="I11512">
        <v>12944</v>
      </c>
      <c r="J11512" t="str">
        <f>VLOOKUP(E11512,DSSpieler!A:B,2,FALSE)</f>
        <v>Swordmaster1200</v>
      </c>
    </row>
    <row r="11513" spans="1:10" x14ac:dyDescent="0.25">
      <c r="A11513">
        <v>12945</v>
      </c>
      <c r="B11513" t="s">
        <v>531</v>
      </c>
      <c r="C11513">
        <v>560</v>
      </c>
      <c r="D11513">
        <v>407</v>
      </c>
      <c r="E11513">
        <v>0</v>
      </c>
      <c r="F11513">
        <v>311</v>
      </c>
      <c r="G11513">
        <v>0</v>
      </c>
      <c r="H11513" t="s">
        <v>16415</v>
      </c>
      <c r="I11513">
        <v>12945</v>
      </c>
      <c r="J11513" t="e">
        <f>VLOOKUP(E11513,DSSpieler!A:B,2,FALSE)</f>
        <v>#N/A</v>
      </c>
    </row>
    <row r="11514" spans="1:10" x14ac:dyDescent="0.25">
      <c r="A11514">
        <v>12946</v>
      </c>
      <c r="B11514" t="s">
        <v>1087</v>
      </c>
      <c r="C11514">
        <v>580</v>
      </c>
      <c r="D11514">
        <v>574</v>
      </c>
      <c r="E11514">
        <v>9575066</v>
      </c>
      <c r="F11514">
        <v>6376</v>
      </c>
      <c r="G11514">
        <v>0</v>
      </c>
      <c r="H11514" t="s">
        <v>16416</v>
      </c>
      <c r="I11514">
        <v>12946</v>
      </c>
      <c r="J11514" t="str">
        <f>VLOOKUP(E11514,DSSpieler!A:B,2,FALSE)</f>
        <v>Swordmaster1200</v>
      </c>
    </row>
    <row r="11515" spans="1:10" x14ac:dyDescent="0.25">
      <c r="A11515">
        <v>12947</v>
      </c>
      <c r="B11515" t="s">
        <v>531</v>
      </c>
      <c r="C11515">
        <v>506</v>
      </c>
      <c r="D11515">
        <v>544</v>
      </c>
      <c r="E11515">
        <v>0</v>
      </c>
      <c r="F11515">
        <v>399</v>
      </c>
      <c r="G11515">
        <v>0</v>
      </c>
      <c r="H11515" t="s">
        <v>16417</v>
      </c>
      <c r="I11515">
        <v>12947</v>
      </c>
      <c r="J11515" t="e">
        <f>VLOOKUP(E11515,DSSpieler!A:B,2,FALSE)</f>
        <v>#N/A</v>
      </c>
    </row>
    <row r="11516" spans="1:10" x14ac:dyDescent="0.25">
      <c r="A11516">
        <v>12948</v>
      </c>
      <c r="B11516" t="s">
        <v>2181</v>
      </c>
      <c r="C11516">
        <v>536</v>
      </c>
      <c r="D11516">
        <v>604</v>
      </c>
      <c r="E11516">
        <v>1577201553</v>
      </c>
      <c r="F11516">
        <v>1304</v>
      </c>
      <c r="G11516">
        <v>0</v>
      </c>
      <c r="H11516" t="s">
        <v>16418</v>
      </c>
      <c r="I11516">
        <v>12948</v>
      </c>
      <c r="J11516" t="str">
        <f>VLOOKUP(E11516,DSSpieler!A:B,2,FALSE)</f>
        <v>Friese</v>
      </c>
    </row>
    <row r="11517" spans="1:10" x14ac:dyDescent="0.25">
      <c r="A11517">
        <v>12949</v>
      </c>
      <c r="B11517" t="s">
        <v>531</v>
      </c>
      <c r="C11517">
        <v>410</v>
      </c>
      <c r="D11517">
        <v>565</v>
      </c>
      <c r="E11517">
        <v>0</v>
      </c>
      <c r="F11517">
        <v>315</v>
      </c>
      <c r="G11517">
        <v>0</v>
      </c>
      <c r="H11517" t="s">
        <v>16419</v>
      </c>
      <c r="I11517">
        <v>12949</v>
      </c>
      <c r="J11517" t="e">
        <f>VLOOKUP(E11517,DSSpieler!A:B,2,FALSE)</f>
        <v>#N/A</v>
      </c>
    </row>
    <row r="11518" spans="1:10" x14ac:dyDescent="0.25">
      <c r="A11518">
        <v>12950</v>
      </c>
      <c r="B11518" t="s">
        <v>531</v>
      </c>
      <c r="C11518">
        <v>403</v>
      </c>
      <c r="D11518">
        <v>553</v>
      </c>
      <c r="E11518">
        <v>0</v>
      </c>
      <c r="F11518">
        <v>894</v>
      </c>
      <c r="G11518">
        <v>0</v>
      </c>
      <c r="H11518" t="s">
        <v>16420</v>
      </c>
      <c r="I11518">
        <v>12950</v>
      </c>
      <c r="J11518" t="e">
        <f>VLOOKUP(E11518,DSSpieler!A:B,2,FALSE)</f>
        <v>#N/A</v>
      </c>
    </row>
    <row r="11519" spans="1:10" x14ac:dyDescent="0.25">
      <c r="A11519">
        <v>12951</v>
      </c>
      <c r="B11519" t="s">
        <v>531</v>
      </c>
      <c r="C11519">
        <v>476</v>
      </c>
      <c r="D11519">
        <v>609</v>
      </c>
      <c r="E11519">
        <v>0</v>
      </c>
      <c r="F11519">
        <v>327</v>
      </c>
      <c r="G11519">
        <v>0</v>
      </c>
      <c r="H11519" t="s">
        <v>16421</v>
      </c>
      <c r="I11519">
        <v>12951</v>
      </c>
      <c r="J11519" t="e">
        <f>VLOOKUP(E11519,DSSpieler!A:B,2,FALSE)</f>
        <v>#N/A</v>
      </c>
    </row>
    <row r="11520" spans="1:10" x14ac:dyDescent="0.25">
      <c r="A11520">
        <v>12952</v>
      </c>
      <c r="B11520" t="s">
        <v>531</v>
      </c>
      <c r="C11520">
        <v>518</v>
      </c>
      <c r="D11520">
        <v>611</v>
      </c>
      <c r="E11520">
        <v>0</v>
      </c>
      <c r="F11520">
        <v>986</v>
      </c>
      <c r="G11520">
        <v>0</v>
      </c>
      <c r="H11520" t="s">
        <v>16422</v>
      </c>
      <c r="I11520">
        <v>12952</v>
      </c>
      <c r="J11520" t="e">
        <f>VLOOKUP(E11520,DSSpieler!A:B,2,FALSE)</f>
        <v>#N/A</v>
      </c>
    </row>
    <row r="11521" spans="1:10" x14ac:dyDescent="0.25">
      <c r="A11521">
        <v>12953</v>
      </c>
      <c r="B11521" t="s">
        <v>531</v>
      </c>
      <c r="C11521">
        <v>526</v>
      </c>
      <c r="D11521">
        <v>608</v>
      </c>
      <c r="E11521">
        <v>0</v>
      </c>
      <c r="F11521">
        <v>1725</v>
      </c>
      <c r="G11521">
        <v>0</v>
      </c>
      <c r="H11521" t="s">
        <v>16423</v>
      </c>
      <c r="I11521">
        <v>12953</v>
      </c>
      <c r="J11521" t="e">
        <f>VLOOKUP(E11521,DSSpieler!A:B,2,FALSE)</f>
        <v>#N/A</v>
      </c>
    </row>
    <row r="11522" spans="1:10" x14ac:dyDescent="0.25">
      <c r="A11522">
        <v>12954</v>
      </c>
      <c r="B11522" t="s">
        <v>2182</v>
      </c>
      <c r="C11522">
        <v>511</v>
      </c>
      <c r="D11522">
        <v>530</v>
      </c>
      <c r="E11522">
        <v>2368794</v>
      </c>
      <c r="F11522">
        <v>2274</v>
      </c>
      <c r="G11522">
        <v>0</v>
      </c>
      <c r="H11522" t="s">
        <v>16424</v>
      </c>
      <c r="I11522">
        <v>12954</v>
      </c>
      <c r="J11522" t="str">
        <f>VLOOKUP(E11522,DSSpieler!A:B,2,FALSE)</f>
        <v>Fransl</v>
      </c>
    </row>
    <row r="11523" spans="1:10" x14ac:dyDescent="0.25">
      <c r="A11523">
        <v>12955</v>
      </c>
      <c r="B11523" t="s">
        <v>531</v>
      </c>
      <c r="C11523">
        <v>608</v>
      </c>
      <c r="D11523">
        <v>475</v>
      </c>
      <c r="E11523">
        <v>0</v>
      </c>
      <c r="F11523">
        <v>288</v>
      </c>
      <c r="G11523">
        <v>0</v>
      </c>
      <c r="H11523" t="s">
        <v>16425</v>
      </c>
      <c r="I11523">
        <v>12955</v>
      </c>
      <c r="J11523" t="e">
        <f>VLOOKUP(E11523,DSSpieler!A:B,2,FALSE)</f>
        <v>#N/A</v>
      </c>
    </row>
    <row r="11524" spans="1:10" x14ac:dyDescent="0.25">
      <c r="A11524">
        <v>12956</v>
      </c>
      <c r="B11524" t="s">
        <v>31139</v>
      </c>
      <c r="C11524">
        <v>448</v>
      </c>
      <c r="D11524">
        <v>412</v>
      </c>
      <c r="E11524">
        <v>1577199279</v>
      </c>
      <c r="F11524">
        <v>6439</v>
      </c>
      <c r="G11524">
        <v>0</v>
      </c>
      <c r="H11524" t="s">
        <v>16426</v>
      </c>
      <c r="I11524">
        <v>12956</v>
      </c>
      <c r="J11524" t="str">
        <f>VLOOKUP(E11524,DSSpieler!A:B,2,FALSE)</f>
        <v>BVB.09</v>
      </c>
    </row>
    <row r="11525" spans="1:10" x14ac:dyDescent="0.25">
      <c r="A11525">
        <v>12957</v>
      </c>
      <c r="B11525" t="s">
        <v>34541</v>
      </c>
      <c r="C11525">
        <v>395</v>
      </c>
      <c r="D11525">
        <v>464</v>
      </c>
      <c r="E11525">
        <v>10043883</v>
      </c>
      <c r="F11525">
        <v>959</v>
      </c>
      <c r="G11525">
        <v>0</v>
      </c>
      <c r="H11525" t="s">
        <v>16427</v>
      </c>
      <c r="I11525">
        <v>12957</v>
      </c>
      <c r="J11525" t="str">
        <f>VLOOKUP(E11525,DSSpieler!A:B,2,FALSE)</f>
        <v>smotteri</v>
      </c>
    </row>
    <row r="11526" spans="1:10" x14ac:dyDescent="0.25">
      <c r="A11526">
        <v>12958</v>
      </c>
      <c r="B11526" t="s">
        <v>34542</v>
      </c>
      <c r="C11526">
        <v>390</v>
      </c>
      <c r="D11526">
        <v>523</v>
      </c>
      <c r="E11526">
        <v>1577070192</v>
      </c>
      <c r="F11526">
        <v>4666</v>
      </c>
      <c r="G11526">
        <v>0</v>
      </c>
      <c r="H11526" t="s">
        <v>16428</v>
      </c>
      <c r="I11526">
        <v>12958</v>
      </c>
      <c r="J11526" t="str">
        <f>VLOOKUP(E11526,DSSpieler!A:B,2,FALSE)</f>
        <v>SirAmon</v>
      </c>
    </row>
    <row r="11527" spans="1:10" x14ac:dyDescent="0.25">
      <c r="A11527">
        <v>12959</v>
      </c>
      <c r="B11527" t="s">
        <v>531</v>
      </c>
      <c r="C11527">
        <v>501</v>
      </c>
      <c r="D11527">
        <v>392</v>
      </c>
      <c r="E11527">
        <v>0</v>
      </c>
      <c r="F11527">
        <v>300</v>
      </c>
      <c r="G11527">
        <v>0</v>
      </c>
      <c r="H11527" t="s">
        <v>16429</v>
      </c>
      <c r="I11527">
        <v>12959</v>
      </c>
      <c r="J11527" t="e">
        <f>VLOOKUP(E11527,DSSpieler!A:B,2,FALSE)</f>
        <v>#N/A</v>
      </c>
    </row>
    <row r="11528" spans="1:10" x14ac:dyDescent="0.25">
      <c r="A11528">
        <v>12960</v>
      </c>
      <c r="B11528" t="s">
        <v>34543</v>
      </c>
      <c r="C11528">
        <v>600</v>
      </c>
      <c r="D11528">
        <v>532</v>
      </c>
      <c r="E11528">
        <v>1577199105</v>
      </c>
      <c r="F11528">
        <v>4989</v>
      </c>
      <c r="G11528">
        <v>0</v>
      </c>
      <c r="H11528" t="s">
        <v>16430</v>
      </c>
      <c r="I11528">
        <v>12960</v>
      </c>
      <c r="J11528" t="str">
        <f>VLOOKUP(E11528,DSSpieler!A:B,2,FALSE)</f>
        <v>xBergbaron</v>
      </c>
    </row>
    <row r="11529" spans="1:10" x14ac:dyDescent="0.25">
      <c r="A11529">
        <v>12961</v>
      </c>
      <c r="B11529" t="s">
        <v>34544</v>
      </c>
      <c r="C11529">
        <v>480</v>
      </c>
      <c r="D11529">
        <v>394</v>
      </c>
      <c r="E11529">
        <v>1577148907</v>
      </c>
      <c r="F11529">
        <v>2493</v>
      </c>
      <c r="G11529">
        <v>0</v>
      </c>
      <c r="H11529" t="s">
        <v>16431</v>
      </c>
      <c r="I11529">
        <v>12961</v>
      </c>
      <c r="J11529" t="str">
        <f>VLOOKUP(E11529,DSSpieler!A:B,2,FALSE)</f>
        <v>MATMAR</v>
      </c>
    </row>
    <row r="11530" spans="1:10" x14ac:dyDescent="0.25">
      <c r="A11530">
        <v>12962</v>
      </c>
      <c r="B11530" t="s">
        <v>531</v>
      </c>
      <c r="C11530">
        <v>604</v>
      </c>
      <c r="D11530">
        <v>476</v>
      </c>
      <c r="E11530">
        <v>0</v>
      </c>
      <c r="F11530">
        <v>524</v>
      </c>
      <c r="G11530">
        <v>0</v>
      </c>
      <c r="H11530" t="s">
        <v>16432</v>
      </c>
      <c r="I11530">
        <v>12962</v>
      </c>
      <c r="J11530" t="e">
        <f>VLOOKUP(E11530,DSSpieler!A:B,2,FALSE)</f>
        <v>#N/A</v>
      </c>
    </row>
    <row r="11531" spans="1:10" x14ac:dyDescent="0.25">
      <c r="A11531">
        <v>12963</v>
      </c>
      <c r="B11531">
        <v>1</v>
      </c>
      <c r="C11531">
        <v>415</v>
      </c>
      <c r="D11531">
        <v>524</v>
      </c>
      <c r="E11531">
        <v>47242</v>
      </c>
      <c r="F11531">
        <v>4740</v>
      </c>
      <c r="G11531">
        <v>0</v>
      </c>
      <c r="H11531" t="s">
        <v>16433</v>
      </c>
      <c r="I11531">
        <v>12963</v>
      </c>
      <c r="J11531" t="str">
        <f>VLOOKUP(E11531,DSSpieler!A:B,2,FALSE)</f>
        <v>pierre100</v>
      </c>
    </row>
    <row r="11532" spans="1:10" x14ac:dyDescent="0.25">
      <c r="A11532">
        <v>12964</v>
      </c>
      <c r="B11532" t="s">
        <v>34545</v>
      </c>
      <c r="C11532">
        <v>487</v>
      </c>
      <c r="D11532">
        <v>414</v>
      </c>
      <c r="E11532">
        <v>1577104598</v>
      </c>
      <c r="F11532">
        <v>6516</v>
      </c>
      <c r="G11532">
        <v>0</v>
      </c>
      <c r="H11532" t="s">
        <v>16434</v>
      </c>
      <c r="I11532">
        <v>12964</v>
      </c>
      <c r="J11532" t="str">
        <f>VLOOKUP(E11532,DSSpieler!A:B,2,FALSE)</f>
        <v>boehmi</v>
      </c>
    </row>
    <row r="11533" spans="1:10" x14ac:dyDescent="0.25">
      <c r="A11533">
        <v>12965</v>
      </c>
      <c r="B11533" t="e">
        <f>-5-+Karl-Marx-Strykehammer</f>
        <v>#NAME?</v>
      </c>
      <c r="C11533">
        <v>395</v>
      </c>
      <c r="D11533">
        <v>536</v>
      </c>
      <c r="E11533">
        <v>1576694124</v>
      </c>
      <c r="F11533">
        <v>4535</v>
      </c>
      <c r="G11533">
        <v>0</v>
      </c>
      <c r="H11533" t="s">
        <v>16435</v>
      </c>
      <c r="I11533">
        <v>12965</v>
      </c>
      <c r="J11533" t="str">
        <f>VLOOKUP(E11533,DSSpieler!A:B,2,FALSE)</f>
        <v>Trinfect</v>
      </c>
    </row>
    <row r="11534" spans="1:10" x14ac:dyDescent="0.25">
      <c r="A11534">
        <v>12966</v>
      </c>
      <c r="B11534" t="s">
        <v>531</v>
      </c>
      <c r="C11534">
        <v>516</v>
      </c>
      <c r="D11534">
        <v>609</v>
      </c>
      <c r="E11534">
        <v>0</v>
      </c>
      <c r="F11534">
        <v>204</v>
      </c>
      <c r="G11534">
        <v>0</v>
      </c>
      <c r="H11534" t="s">
        <v>16436</v>
      </c>
      <c r="I11534">
        <v>12966</v>
      </c>
      <c r="J11534" t="e">
        <f>VLOOKUP(E11534,DSSpieler!A:B,2,FALSE)</f>
        <v>#N/A</v>
      </c>
    </row>
    <row r="11535" spans="1:10" x14ac:dyDescent="0.25">
      <c r="A11535">
        <v>12968</v>
      </c>
      <c r="B11535" t="s">
        <v>531</v>
      </c>
      <c r="C11535">
        <v>585</v>
      </c>
      <c r="D11535">
        <v>574</v>
      </c>
      <c r="E11535">
        <v>0</v>
      </c>
      <c r="F11535">
        <v>298</v>
      </c>
      <c r="G11535">
        <v>0</v>
      </c>
      <c r="H11535" t="s">
        <v>16437</v>
      </c>
      <c r="I11535">
        <v>12968</v>
      </c>
      <c r="J11535" t="e">
        <f>VLOOKUP(E11535,DSSpieler!A:B,2,FALSE)</f>
        <v>#N/A</v>
      </c>
    </row>
    <row r="11536" spans="1:10" x14ac:dyDescent="0.25">
      <c r="A11536">
        <v>12970</v>
      </c>
      <c r="B11536" t="s">
        <v>531</v>
      </c>
      <c r="C11536">
        <v>564</v>
      </c>
      <c r="D11536">
        <v>408</v>
      </c>
      <c r="E11536">
        <v>0</v>
      </c>
      <c r="F11536">
        <v>299</v>
      </c>
      <c r="G11536">
        <v>0</v>
      </c>
      <c r="H11536" t="s">
        <v>16438</v>
      </c>
      <c r="I11536">
        <v>12970</v>
      </c>
      <c r="J11536" t="e">
        <f>VLOOKUP(E11536,DSSpieler!A:B,2,FALSE)</f>
        <v>#N/A</v>
      </c>
    </row>
    <row r="11537" spans="1:10" x14ac:dyDescent="0.25">
      <c r="A11537">
        <v>12971</v>
      </c>
      <c r="B11537" t="s">
        <v>34546</v>
      </c>
      <c r="C11537">
        <v>611</v>
      </c>
      <c r="D11537">
        <v>476</v>
      </c>
      <c r="E11537">
        <v>687990</v>
      </c>
      <c r="F11537">
        <v>284</v>
      </c>
      <c r="G11537">
        <v>0</v>
      </c>
      <c r="H11537" t="s">
        <v>16439</v>
      </c>
      <c r="I11537">
        <v>12971</v>
      </c>
      <c r="J11537" t="str">
        <f>VLOOKUP(E11537,DSSpieler!A:B,2,FALSE)</f>
        <v>dilo123</v>
      </c>
    </row>
    <row r="11538" spans="1:10" x14ac:dyDescent="0.25">
      <c r="A11538">
        <v>12972</v>
      </c>
      <c r="B11538" t="s">
        <v>531</v>
      </c>
      <c r="C11538">
        <v>563</v>
      </c>
      <c r="D11538">
        <v>405</v>
      </c>
      <c r="E11538">
        <v>0</v>
      </c>
      <c r="F11538">
        <v>832</v>
      </c>
      <c r="G11538">
        <v>0</v>
      </c>
      <c r="H11538" t="s">
        <v>16440</v>
      </c>
      <c r="I11538">
        <v>12972</v>
      </c>
      <c r="J11538" t="e">
        <f>VLOOKUP(E11538,DSSpieler!A:B,2,FALSE)</f>
        <v>#N/A</v>
      </c>
    </row>
    <row r="11539" spans="1:10" x14ac:dyDescent="0.25">
      <c r="A11539">
        <v>12973</v>
      </c>
      <c r="B11539" t="s">
        <v>531</v>
      </c>
      <c r="C11539">
        <v>587</v>
      </c>
      <c r="D11539">
        <v>569</v>
      </c>
      <c r="E11539">
        <v>0</v>
      </c>
      <c r="F11539">
        <v>537</v>
      </c>
      <c r="G11539">
        <v>0</v>
      </c>
      <c r="H11539" t="s">
        <v>16441</v>
      </c>
      <c r="I11539">
        <v>12973</v>
      </c>
      <c r="J11539" t="e">
        <f>VLOOKUP(E11539,DSSpieler!A:B,2,FALSE)</f>
        <v>#N/A</v>
      </c>
    </row>
    <row r="11540" spans="1:10" x14ac:dyDescent="0.25">
      <c r="A11540">
        <v>12974</v>
      </c>
      <c r="B11540" t="s">
        <v>34547</v>
      </c>
      <c r="C11540">
        <v>392</v>
      </c>
      <c r="D11540">
        <v>523</v>
      </c>
      <c r="E11540">
        <v>1577070192</v>
      </c>
      <c r="F11540">
        <v>5999</v>
      </c>
      <c r="G11540">
        <v>0</v>
      </c>
      <c r="H11540" t="s">
        <v>16442</v>
      </c>
      <c r="I11540">
        <v>12974</v>
      </c>
      <c r="J11540" t="str">
        <f>VLOOKUP(E11540,DSSpieler!A:B,2,FALSE)</f>
        <v>SirAmon</v>
      </c>
    </row>
    <row r="11541" spans="1:10" x14ac:dyDescent="0.25">
      <c r="A11541">
        <v>12975</v>
      </c>
      <c r="B11541" t="s">
        <v>34548</v>
      </c>
      <c r="C11541">
        <v>581</v>
      </c>
      <c r="D11541">
        <v>575</v>
      </c>
      <c r="E11541">
        <v>1577143632</v>
      </c>
      <c r="F11541">
        <v>4869</v>
      </c>
      <c r="G11541">
        <v>0</v>
      </c>
      <c r="H11541" t="s">
        <v>16443</v>
      </c>
      <c r="I11541">
        <v>12975</v>
      </c>
      <c r="J11541" t="str">
        <f>VLOOKUP(E11541,DSSpieler!A:B,2,FALSE)</f>
        <v>Bl00Dy</v>
      </c>
    </row>
    <row r="11542" spans="1:10" x14ac:dyDescent="0.25">
      <c r="A11542">
        <v>12976</v>
      </c>
      <c r="B11542" t="s">
        <v>531</v>
      </c>
      <c r="C11542">
        <v>518</v>
      </c>
      <c r="D11542">
        <v>609</v>
      </c>
      <c r="E11542">
        <v>0</v>
      </c>
      <c r="F11542">
        <v>389</v>
      </c>
      <c r="G11542">
        <v>0</v>
      </c>
      <c r="H11542" t="s">
        <v>16444</v>
      </c>
      <c r="I11542">
        <v>12976</v>
      </c>
      <c r="J11542" t="e">
        <f>VLOOKUP(E11542,DSSpieler!A:B,2,FALSE)</f>
        <v>#N/A</v>
      </c>
    </row>
    <row r="11543" spans="1:10" x14ac:dyDescent="0.25">
      <c r="A11543">
        <v>12977</v>
      </c>
      <c r="B11543" t="s">
        <v>531</v>
      </c>
      <c r="C11543">
        <v>499</v>
      </c>
      <c r="D11543">
        <v>392</v>
      </c>
      <c r="E11543">
        <v>0</v>
      </c>
      <c r="F11543">
        <v>289</v>
      </c>
      <c r="G11543">
        <v>0</v>
      </c>
      <c r="H11543" t="s">
        <v>16445</v>
      </c>
      <c r="I11543">
        <v>12977</v>
      </c>
      <c r="J11543" t="e">
        <f>VLOOKUP(E11543,DSSpieler!A:B,2,FALSE)</f>
        <v>#N/A</v>
      </c>
    </row>
    <row r="11544" spans="1:10" x14ac:dyDescent="0.25">
      <c r="A11544">
        <v>12978</v>
      </c>
      <c r="B11544" t="s">
        <v>34549</v>
      </c>
      <c r="C11544">
        <v>453</v>
      </c>
      <c r="D11544">
        <v>394</v>
      </c>
      <c r="E11544">
        <v>1576898576</v>
      </c>
      <c r="F11544">
        <v>4356</v>
      </c>
      <c r="G11544">
        <v>0</v>
      </c>
      <c r="H11544" t="s">
        <v>16446</v>
      </c>
      <c r="I11544">
        <v>12978</v>
      </c>
      <c r="J11544" t="str">
        <f>VLOOKUP(E11544,DSSpieler!A:B,2,FALSE)</f>
        <v>charlesloppo</v>
      </c>
    </row>
    <row r="11545" spans="1:10" x14ac:dyDescent="0.25">
      <c r="A11545">
        <v>12982</v>
      </c>
      <c r="B11545" t="s">
        <v>34550</v>
      </c>
      <c r="C11545">
        <v>469</v>
      </c>
      <c r="D11545">
        <v>459</v>
      </c>
      <c r="E11545">
        <v>144750</v>
      </c>
      <c r="F11545">
        <v>2602</v>
      </c>
      <c r="G11545">
        <v>0</v>
      </c>
      <c r="H11545" t="s">
        <v>16447</v>
      </c>
      <c r="I11545">
        <v>12982</v>
      </c>
      <c r="J11545" t="str">
        <f>VLOOKUP(E11545,DSSpieler!A:B,2,FALSE)</f>
        <v>Celina-Marie</v>
      </c>
    </row>
    <row r="11546" spans="1:10" x14ac:dyDescent="0.25">
      <c r="A11546">
        <v>12983</v>
      </c>
      <c r="B11546" t="s">
        <v>531</v>
      </c>
      <c r="C11546">
        <v>605</v>
      </c>
      <c r="D11546">
        <v>542</v>
      </c>
      <c r="E11546">
        <v>0</v>
      </c>
      <c r="F11546">
        <v>282</v>
      </c>
      <c r="G11546">
        <v>0</v>
      </c>
      <c r="H11546" t="s">
        <v>16448</v>
      </c>
      <c r="I11546">
        <v>12983</v>
      </c>
      <c r="J11546" t="e">
        <f>VLOOKUP(E11546,DSSpieler!A:B,2,FALSE)</f>
        <v>#N/A</v>
      </c>
    </row>
    <row r="11547" spans="1:10" x14ac:dyDescent="0.25">
      <c r="A11547">
        <v>12984</v>
      </c>
      <c r="B11547" t="s">
        <v>34551</v>
      </c>
      <c r="C11547">
        <v>511</v>
      </c>
      <c r="D11547">
        <v>550</v>
      </c>
      <c r="E11547">
        <v>1577191925</v>
      </c>
      <c r="F11547">
        <v>4666</v>
      </c>
      <c r="G11547">
        <v>0</v>
      </c>
      <c r="H11547" t="s">
        <v>16449</v>
      </c>
      <c r="I11547">
        <v>12984</v>
      </c>
      <c r="J11547" t="str">
        <f>VLOOKUP(E11547,DSSpieler!A:B,2,FALSE)</f>
        <v>Schreck</v>
      </c>
    </row>
    <row r="11548" spans="1:10" x14ac:dyDescent="0.25">
      <c r="A11548">
        <v>12985</v>
      </c>
      <c r="B11548" t="s">
        <v>531</v>
      </c>
      <c r="C11548">
        <v>422</v>
      </c>
      <c r="D11548">
        <v>420</v>
      </c>
      <c r="E11548">
        <v>0</v>
      </c>
      <c r="F11548">
        <v>238</v>
      </c>
      <c r="G11548">
        <v>0</v>
      </c>
      <c r="H11548" t="s">
        <v>16450</v>
      </c>
      <c r="I11548">
        <v>12985</v>
      </c>
      <c r="J11548" t="e">
        <f>VLOOKUP(E11548,DSSpieler!A:B,2,FALSE)</f>
        <v>#N/A</v>
      </c>
    </row>
    <row r="11549" spans="1:10" x14ac:dyDescent="0.25">
      <c r="A11549">
        <v>12986</v>
      </c>
      <c r="B11549" t="s">
        <v>673</v>
      </c>
      <c r="C11549">
        <v>468</v>
      </c>
      <c r="D11549">
        <v>556</v>
      </c>
      <c r="E11549">
        <v>1576998206</v>
      </c>
      <c r="F11549">
        <v>1619</v>
      </c>
      <c r="G11549">
        <v>0</v>
      </c>
      <c r="H11549" t="s">
        <v>16451</v>
      </c>
      <c r="I11549">
        <v>12986</v>
      </c>
      <c r="J11549" t="str">
        <f>VLOOKUP(E11549,DSSpieler!A:B,2,FALSE)</f>
        <v>xXshariefwinsXx</v>
      </c>
    </row>
    <row r="11550" spans="1:10" x14ac:dyDescent="0.25">
      <c r="A11550">
        <v>12987</v>
      </c>
      <c r="B11550" t="s">
        <v>34552</v>
      </c>
      <c r="C11550">
        <v>443</v>
      </c>
      <c r="D11550">
        <v>497</v>
      </c>
      <c r="E11550">
        <v>1413707</v>
      </c>
      <c r="F11550">
        <v>1796</v>
      </c>
      <c r="G11550">
        <v>0</v>
      </c>
      <c r="H11550" t="s">
        <v>16452</v>
      </c>
      <c r="I11550">
        <v>12987</v>
      </c>
      <c r="J11550" t="str">
        <f>VLOOKUP(E11550,DSSpieler!A:B,2,FALSE)</f>
        <v>Zizou1992</v>
      </c>
    </row>
    <row r="11551" spans="1:10" x14ac:dyDescent="0.25">
      <c r="A11551">
        <v>12989</v>
      </c>
      <c r="B11551" t="s">
        <v>531</v>
      </c>
      <c r="C11551">
        <v>388</v>
      </c>
      <c r="D11551">
        <v>486</v>
      </c>
      <c r="E11551">
        <v>0</v>
      </c>
      <c r="F11551">
        <v>641</v>
      </c>
      <c r="G11551">
        <v>0</v>
      </c>
      <c r="H11551" t="s">
        <v>16453</v>
      </c>
      <c r="I11551">
        <v>12989</v>
      </c>
      <c r="J11551" t="e">
        <f>VLOOKUP(E11551,DSSpieler!A:B,2,FALSE)</f>
        <v>#N/A</v>
      </c>
    </row>
    <row r="11552" spans="1:10" x14ac:dyDescent="0.25">
      <c r="A11552">
        <v>12990</v>
      </c>
      <c r="B11552" t="s">
        <v>2183</v>
      </c>
      <c r="C11552">
        <v>577</v>
      </c>
      <c r="D11552">
        <v>417</v>
      </c>
      <c r="E11552">
        <v>1577191598</v>
      </c>
      <c r="F11552">
        <v>4873</v>
      </c>
      <c r="G11552">
        <v>0</v>
      </c>
      <c r="H11552" t="s">
        <v>16454</v>
      </c>
      <c r="I11552">
        <v>12990</v>
      </c>
      <c r="J11552" t="str">
        <f>VLOOKUP(E11552,DSSpieler!A:B,2,FALSE)</f>
        <v>RoyalHxze</v>
      </c>
    </row>
    <row r="11553" spans="1:10" x14ac:dyDescent="0.25">
      <c r="A11553">
        <v>12991</v>
      </c>
      <c r="B11553" t="s">
        <v>531</v>
      </c>
      <c r="C11553">
        <v>480</v>
      </c>
      <c r="D11553">
        <v>592</v>
      </c>
      <c r="E11553">
        <v>0</v>
      </c>
      <c r="F11553">
        <v>608</v>
      </c>
      <c r="G11553">
        <v>0</v>
      </c>
      <c r="H11553" t="s">
        <v>16455</v>
      </c>
      <c r="I11553">
        <v>12991</v>
      </c>
      <c r="J11553" t="e">
        <f>VLOOKUP(E11553,DSSpieler!A:B,2,FALSE)</f>
        <v>#N/A</v>
      </c>
    </row>
    <row r="11554" spans="1:10" x14ac:dyDescent="0.25">
      <c r="A11554">
        <v>12993</v>
      </c>
      <c r="B11554" t="s">
        <v>34553</v>
      </c>
      <c r="C11554">
        <v>436</v>
      </c>
      <c r="D11554">
        <v>591</v>
      </c>
      <c r="E11554">
        <v>1577199018</v>
      </c>
      <c r="F11554">
        <v>4290</v>
      </c>
      <c r="G11554">
        <v>0</v>
      </c>
      <c r="H11554" t="s">
        <v>16456</v>
      </c>
      <c r="I11554">
        <v>12993</v>
      </c>
      <c r="J11554" t="str">
        <f>VLOOKUP(E11554,DSSpieler!A:B,2,FALSE)</f>
        <v>TheYufkaaa</v>
      </c>
    </row>
    <row r="11555" spans="1:10" x14ac:dyDescent="0.25">
      <c r="A11555">
        <v>12994</v>
      </c>
      <c r="B11555" t="s">
        <v>34554</v>
      </c>
      <c r="C11555">
        <v>445</v>
      </c>
      <c r="D11555">
        <v>495</v>
      </c>
      <c r="E11555">
        <v>1575849896</v>
      </c>
      <c r="F11555">
        <v>1069</v>
      </c>
      <c r="G11555">
        <v>0</v>
      </c>
      <c r="H11555" t="s">
        <v>16457</v>
      </c>
      <c r="I11555">
        <v>12994</v>
      </c>
      <c r="J11555" t="str">
        <f>VLOOKUP(E11555,DSSpieler!A:B,2,FALSE)</f>
        <v>Sarpentis</v>
      </c>
    </row>
    <row r="11556" spans="1:10" x14ac:dyDescent="0.25">
      <c r="A11556">
        <v>12995</v>
      </c>
      <c r="B11556" t="s">
        <v>531</v>
      </c>
      <c r="C11556">
        <v>573</v>
      </c>
      <c r="D11556">
        <v>584</v>
      </c>
      <c r="E11556">
        <v>0</v>
      </c>
      <c r="F11556">
        <v>324</v>
      </c>
      <c r="G11556">
        <v>0</v>
      </c>
      <c r="H11556" t="s">
        <v>16458</v>
      </c>
      <c r="I11556">
        <v>12995</v>
      </c>
      <c r="J11556" t="e">
        <f>VLOOKUP(E11556,DSSpieler!A:B,2,FALSE)</f>
        <v>#N/A</v>
      </c>
    </row>
    <row r="11557" spans="1:10" x14ac:dyDescent="0.25">
      <c r="A11557">
        <v>12996</v>
      </c>
      <c r="B11557" t="s">
        <v>531</v>
      </c>
      <c r="C11557">
        <v>419</v>
      </c>
      <c r="D11557">
        <v>421</v>
      </c>
      <c r="E11557">
        <v>0</v>
      </c>
      <c r="F11557">
        <v>583</v>
      </c>
      <c r="G11557">
        <v>0</v>
      </c>
      <c r="H11557" t="s">
        <v>16459</v>
      </c>
      <c r="I11557">
        <v>12996</v>
      </c>
      <c r="J11557" t="e">
        <f>VLOOKUP(E11557,DSSpieler!A:B,2,FALSE)</f>
        <v>#N/A</v>
      </c>
    </row>
    <row r="11558" spans="1:10" x14ac:dyDescent="0.25">
      <c r="A11558">
        <v>12997</v>
      </c>
      <c r="B11558" t="s">
        <v>34555</v>
      </c>
      <c r="C11558">
        <v>500</v>
      </c>
      <c r="D11558">
        <v>550</v>
      </c>
      <c r="E11558">
        <v>2372597</v>
      </c>
      <c r="F11558">
        <v>3112</v>
      </c>
      <c r="G11558">
        <v>0</v>
      </c>
      <c r="H11558" t="s">
        <v>16460</v>
      </c>
      <c r="I11558">
        <v>12997</v>
      </c>
      <c r="J11558" t="str">
        <f>VLOOKUP(E11558,DSSpieler!A:B,2,FALSE)</f>
        <v>Frohlix</v>
      </c>
    </row>
    <row r="11559" spans="1:10" x14ac:dyDescent="0.25">
      <c r="A11559">
        <v>12998</v>
      </c>
      <c r="B11559" t="s">
        <v>1152</v>
      </c>
      <c r="C11559">
        <v>441</v>
      </c>
      <c r="D11559">
        <v>586</v>
      </c>
      <c r="E11559">
        <v>9259563</v>
      </c>
      <c r="F11559">
        <v>6384</v>
      </c>
      <c r="G11559">
        <v>0</v>
      </c>
      <c r="H11559" t="s">
        <v>16461</v>
      </c>
      <c r="I11559">
        <v>12998</v>
      </c>
      <c r="J11559" t="str">
        <f>VLOOKUP(E11559,DSSpieler!A:B,2,FALSE)</f>
        <v>Kontaktverbot</v>
      </c>
    </row>
    <row r="11560" spans="1:10" x14ac:dyDescent="0.25">
      <c r="A11560">
        <v>12999</v>
      </c>
      <c r="B11560" t="s">
        <v>974</v>
      </c>
      <c r="C11560">
        <v>582</v>
      </c>
      <c r="D11560">
        <v>559</v>
      </c>
      <c r="E11560">
        <v>1577188486</v>
      </c>
      <c r="F11560">
        <v>4417</v>
      </c>
      <c r="G11560">
        <v>0</v>
      </c>
      <c r="H11560" t="s">
        <v>16462</v>
      </c>
      <c r="I11560">
        <v>12999</v>
      </c>
      <c r="J11560" t="str">
        <f>VLOOKUP(E11560,DSSpieler!A:B,2,FALSE)</f>
        <v>Gzuz von Nazareth</v>
      </c>
    </row>
    <row r="11561" spans="1:10" x14ac:dyDescent="0.25">
      <c r="A11561">
        <v>13000</v>
      </c>
      <c r="B11561" t="s">
        <v>34556</v>
      </c>
      <c r="C11561">
        <v>571</v>
      </c>
      <c r="D11561">
        <v>443</v>
      </c>
      <c r="E11561">
        <v>1577199322</v>
      </c>
      <c r="F11561">
        <v>3402</v>
      </c>
      <c r="G11561">
        <v>0</v>
      </c>
      <c r="H11561" t="s">
        <v>16463</v>
      </c>
      <c r="I11561">
        <v>13000</v>
      </c>
      <c r="J11561" t="str">
        <f>VLOOKUP(E11561,DSSpieler!A:B,2,FALSE)</f>
        <v>Crood8</v>
      </c>
    </row>
    <row r="11562" spans="1:10" x14ac:dyDescent="0.25">
      <c r="A11562">
        <v>13001</v>
      </c>
      <c r="B11562" t="s">
        <v>34557</v>
      </c>
      <c r="C11562">
        <v>556</v>
      </c>
      <c r="D11562">
        <v>421</v>
      </c>
      <c r="E11562">
        <v>1577183941</v>
      </c>
      <c r="F11562">
        <v>6204</v>
      </c>
      <c r="G11562">
        <v>0</v>
      </c>
      <c r="H11562" t="s">
        <v>16464</v>
      </c>
      <c r="I11562">
        <v>13001</v>
      </c>
      <c r="J11562" t="str">
        <f>VLOOKUP(E11562,DSSpieler!A:B,2,FALSE)</f>
        <v>maxlhimself</v>
      </c>
    </row>
    <row r="11563" spans="1:10" x14ac:dyDescent="0.25">
      <c r="A11563">
        <v>13002</v>
      </c>
      <c r="B11563" t="s">
        <v>34558</v>
      </c>
      <c r="C11563">
        <v>524</v>
      </c>
      <c r="D11563">
        <v>533</v>
      </c>
      <c r="E11563">
        <v>8806700</v>
      </c>
      <c r="F11563">
        <v>5812</v>
      </c>
      <c r="G11563">
        <v>0</v>
      </c>
      <c r="H11563" t="s">
        <v>16465</v>
      </c>
      <c r="I11563">
        <v>13002</v>
      </c>
      <c r="J11563" t="str">
        <f>VLOOKUP(E11563,DSSpieler!A:B,2,FALSE)</f>
        <v>Eworks</v>
      </c>
    </row>
    <row r="11564" spans="1:10" x14ac:dyDescent="0.25">
      <c r="A11564">
        <v>13003</v>
      </c>
      <c r="B11564" t="s">
        <v>531</v>
      </c>
      <c r="C11564">
        <v>608</v>
      </c>
      <c r="D11564">
        <v>516</v>
      </c>
      <c r="E11564">
        <v>0</v>
      </c>
      <c r="F11564">
        <v>413</v>
      </c>
      <c r="G11564">
        <v>0</v>
      </c>
      <c r="H11564" t="s">
        <v>16466</v>
      </c>
      <c r="I11564">
        <v>13003</v>
      </c>
      <c r="J11564" t="e">
        <f>VLOOKUP(E11564,DSSpieler!A:B,2,FALSE)</f>
        <v>#N/A</v>
      </c>
    </row>
    <row r="11565" spans="1:10" x14ac:dyDescent="0.25">
      <c r="A11565">
        <v>13005</v>
      </c>
      <c r="B11565" t="s">
        <v>531</v>
      </c>
      <c r="C11565">
        <v>487</v>
      </c>
      <c r="D11565">
        <v>611</v>
      </c>
      <c r="E11565">
        <v>0</v>
      </c>
      <c r="F11565">
        <v>346</v>
      </c>
      <c r="G11565">
        <v>0</v>
      </c>
      <c r="H11565" t="s">
        <v>16467</v>
      </c>
      <c r="I11565">
        <v>13005</v>
      </c>
      <c r="J11565" t="e">
        <f>VLOOKUP(E11565,DSSpieler!A:B,2,FALSE)</f>
        <v>#N/A</v>
      </c>
    </row>
    <row r="11566" spans="1:10" x14ac:dyDescent="0.25">
      <c r="A11566">
        <v>13006</v>
      </c>
      <c r="B11566">
        <v>2</v>
      </c>
      <c r="C11566">
        <v>515</v>
      </c>
      <c r="D11566">
        <v>392</v>
      </c>
      <c r="E11566">
        <v>9797650</v>
      </c>
      <c r="F11566">
        <v>5146</v>
      </c>
      <c r="G11566">
        <v>0</v>
      </c>
      <c r="H11566" t="s">
        <v>16468</v>
      </c>
      <c r="I11566">
        <v>13006</v>
      </c>
      <c r="J11566" t="str">
        <f>VLOOKUP(E11566,DSSpieler!A:B,2,FALSE)</f>
        <v>robinhood-007</v>
      </c>
    </row>
    <row r="11567" spans="1:10" x14ac:dyDescent="0.25">
      <c r="A11567">
        <v>13007</v>
      </c>
      <c r="B11567" t="s">
        <v>34559</v>
      </c>
      <c r="C11567">
        <v>525</v>
      </c>
      <c r="D11567">
        <v>390</v>
      </c>
      <c r="E11567">
        <v>1576373467</v>
      </c>
      <c r="F11567">
        <v>4002</v>
      </c>
      <c r="G11567">
        <v>0</v>
      </c>
      <c r="H11567" t="s">
        <v>16469</v>
      </c>
      <c r="I11567">
        <v>13007</v>
      </c>
      <c r="J11567" t="str">
        <f>VLOOKUP(E11567,DSSpieler!A:B,2,FALSE)</f>
        <v>Askandi</v>
      </c>
    </row>
    <row r="11568" spans="1:10" x14ac:dyDescent="0.25">
      <c r="A11568">
        <v>13008</v>
      </c>
      <c r="B11568" t="s">
        <v>531</v>
      </c>
      <c r="C11568">
        <v>480</v>
      </c>
      <c r="D11568">
        <v>391</v>
      </c>
      <c r="E11568">
        <v>0</v>
      </c>
      <c r="F11568">
        <v>152</v>
      </c>
      <c r="G11568">
        <v>0</v>
      </c>
      <c r="H11568" t="s">
        <v>16470</v>
      </c>
      <c r="I11568">
        <v>13008</v>
      </c>
      <c r="J11568" t="e">
        <f>VLOOKUP(E11568,DSSpieler!A:B,2,FALSE)</f>
        <v>#N/A</v>
      </c>
    </row>
    <row r="11569" spans="1:10" x14ac:dyDescent="0.25">
      <c r="A11569">
        <v>13009</v>
      </c>
      <c r="B11569" t="s">
        <v>531</v>
      </c>
      <c r="C11569">
        <v>596</v>
      </c>
      <c r="D11569">
        <v>441</v>
      </c>
      <c r="E11569">
        <v>0</v>
      </c>
      <c r="F11569">
        <v>223</v>
      </c>
      <c r="G11569">
        <v>0</v>
      </c>
      <c r="H11569" t="s">
        <v>16471</v>
      </c>
      <c r="I11569">
        <v>13009</v>
      </c>
      <c r="J11569" t="e">
        <f>VLOOKUP(E11569,DSSpieler!A:B,2,FALSE)</f>
        <v>#N/A</v>
      </c>
    </row>
    <row r="11570" spans="1:10" x14ac:dyDescent="0.25">
      <c r="A11570">
        <v>13011</v>
      </c>
      <c r="B11570" t="s">
        <v>531</v>
      </c>
      <c r="C11570">
        <v>403</v>
      </c>
      <c r="D11570">
        <v>444</v>
      </c>
      <c r="E11570">
        <v>0</v>
      </c>
      <c r="F11570">
        <v>209</v>
      </c>
      <c r="G11570">
        <v>0</v>
      </c>
      <c r="H11570" t="s">
        <v>16472</v>
      </c>
      <c r="I11570">
        <v>13011</v>
      </c>
      <c r="J11570" t="e">
        <f>VLOOKUP(E11570,DSSpieler!A:B,2,FALSE)</f>
        <v>#N/A</v>
      </c>
    </row>
    <row r="11571" spans="1:10" x14ac:dyDescent="0.25">
      <c r="A11571">
        <v>13012</v>
      </c>
      <c r="B11571" t="s">
        <v>531</v>
      </c>
      <c r="C11571">
        <v>566</v>
      </c>
      <c r="D11571">
        <v>410</v>
      </c>
      <c r="E11571">
        <v>0</v>
      </c>
      <c r="F11571">
        <v>506</v>
      </c>
      <c r="G11571">
        <v>0</v>
      </c>
      <c r="H11571" t="s">
        <v>16473</v>
      </c>
      <c r="I11571">
        <v>13012</v>
      </c>
      <c r="J11571" t="e">
        <f>VLOOKUP(E11571,DSSpieler!A:B,2,FALSE)</f>
        <v>#N/A</v>
      </c>
    </row>
    <row r="11572" spans="1:10" x14ac:dyDescent="0.25">
      <c r="A11572">
        <v>13013</v>
      </c>
      <c r="B11572" t="s">
        <v>34560</v>
      </c>
      <c r="C11572">
        <v>522</v>
      </c>
      <c r="D11572">
        <v>391</v>
      </c>
      <c r="E11572">
        <v>1577139691</v>
      </c>
      <c r="F11572">
        <v>3514</v>
      </c>
      <c r="G11572">
        <v>0</v>
      </c>
      <c r="H11572" t="s">
        <v>16474</v>
      </c>
      <c r="I11572">
        <v>13013</v>
      </c>
      <c r="J11572" t="str">
        <f>VLOOKUP(E11572,DSSpieler!A:B,2,FALSE)</f>
        <v>tom00saltu</v>
      </c>
    </row>
    <row r="11573" spans="1:10" x14ac:dyDescent="0.25">
      <c r="A11573">
        <v>13014</v>
      </c>
      <c r="B11573" t="s">
        <v>34561</v>
      </c>
      <c r="C11573">
        <v>573</v>
      </c>
      <c r="D11573">
        <v>416</v>
      </c>
      <c r="E11573">
        <v>2227197</v>
      </c>
      <c r="F11573">
        <v>4303</v>
      </c>
      <c r="G11573">
        <v>0</v>
      </c>
      <c r="H11573" t="s">
        <v>16475</v>
      </c>
      <c r="I11573">
        <v>13014</v>
      </c>
      <c r="J11573" t="str">
        <f>VLOOKUP(E11573,DSSpieler!A:B,2,FALSE)</f>
        <v>Flölly</v>
      </c>
    </row>
    <row r="11574" spans="1:10" x14ac:dyDescent="0.25">
      <c r="A11574">
        <v>13015</v>
      </c>
      <c r="B11574" t="s">
        <v>531</v>
      </c>
      <c r="C11574">
        <v>605</v>
      </c>
      <c r="D11574">
        <v>534</v>
      </c>
      <c r="E11574">
        <v>0</v>
      </c>
      <c r="F11574">
        <v>378</v>
      </c>
      <c r="G11574">
        <v>0</v>
      </c>
      <c r="H11574" t="s">
        <v>16476</v>
      </c>
      <c r="I11574">
        <v>13015</v>
      </c>
      <c r="J11574" t="e">
        <f>VLOOKUP(E11574,DSSpieler!A:B,2,FALSE)</f>
        <v>#N/A</v>
      </c>
    </row>
    <row r="11575" spans="1:10" x14ac:dyDescent="0.25">
      <c r="A11575">
        <v>13016</v>
      </c>
      <c r="B11575" t="s">
        <v>2184</v>
      </c>
      <c r="C11575">
        <v>540</v>
      </c>
      <c r="D11575">
        <v>602</v>
      </c>
      <c r="E11575">
        <v>10152489</v>
      </c>
      <c r="F11575">
        <v>2236</v>
      </c>
      <c r="G11575">
        <v>0</v>
      </c>
      <c r="H11575" t="s">
        <v>16477</v>
      </c>
      <c r="I11575">
        <v>13016</v>
      </c>
      <c r="J11575" t="str">
        <f>VLOOKUP(E11575,DSSpieler!A:B,2,FALSE)</f>
        <v>Lord Lord jesus</v>
      </c>
    </row>
    <row r="11576" spans="1:10" x14ac:dyDescent="0.25">
      <c r="A11576">
        <v>13017</v>
      </c>
      <c r="B11576" t="s">
        <v>34562</v>
      </c>
      <c r="C11576">
        <v>532</v>
      </c>
      <c r="D11576">
        <v>392</v>
      </c>
      <c r="E11576">
        <v>9565948</v>
      </c>
      <c r="F11576">
        <v>387</v>
      </c>
      <c r="G11576">
        <v>0</v>
      </c>
      <c r="H11576" t="s">
        <v>16478</v>
      </c>
      <c r="I11576">
        <v>13017</v>
      </c>
      <c r="J11576" t="str">
        <f>VLOOKUP(E11576,DSSpieler!A:B,2,FALSE)</f>
        <v>Alfa ti 300</v>
      </c>
    </row>
    <row r="11577" spans="1:10" x14ac:dyDescent="0.25">
      <c r="A11577">
        <v>13019</v>
      </c>
      <c r="B11577" t="s">
        <v>34563</v>
      </c>
      <c r="C11577">
        <v>524</v>
      </c>
      <c r="D11577">
        <v>388</v>
      </c>
      <c r="E11577">
        <v>10046655</v>
      </c>
      <c r="F11577">
        <v>3232</v>
      </c>
      <c r="G11577">
        <v>0</v>
      </c>
      <c r="H11577" t="s">
        <v>16479</v>
      </c>
      <c r="I11577">
        <v>13019</v>
      </c>
      <c r="J11577" t="str">
        <f>VLOOKUP(E11577,DSSpieler!A:B,2,FALSE)</f>
        <v>lokshooter</v>
      </c>
    </row>
    <row r="11578" spans="1:10" x14ac:dyDescent="0.25">
      <c r="A11578">
        <v>13021</v>
      </c>
      <c r="B11578" t="s">
        <v>732</v>
      </c>
      <c r="C11578">
        <v>518</v>
      </c>
      <c r="D11578">
        <v>394</v>
      </c>
      <c r="E11578">
        <v>1576664405</v>
      </c>
      <c r="F11578">
        <v>4491</v>
      </c>
      <c r="G11578">
        <v>0</v>
      </c>
      <c r="H11578" t="s">
        <v>16480</v>
      </c>
      <c r="I11578">
        <v>13021</v>
      </c>
      <c r="J11578" t="str">
        <f>VLOOKUP(E11578,DSSpieler!A:B,2,FALSE)</f>
        <v>Aklat</v>
      </c>
    </row>
    <row r="11579" spans="1:10" x14ac:dyDescent="0.25">
      <c r="A11579">
        <v>13022</v>
      </c>
      <c r="B11579" t="s">
        <v>34564</v>
      </c>
      <c r="C11579">
        <v>507</v>
      </c>
      <c r="D11579">
        <v>594</v>
      </c>
      <c r="E11579">
        <v>1577198777</v>
      </c>
      <c r="F11579">
        <v>1640</v>
      </c>
      <c r="G11579">
        <v>0</v>
      </c>
      <c r="H11579" t="s">
        <v>16481</v>
      </c>
      <c r="I11579">
        <v>13022</v>
      </c>
      <c r="J11579" t="str">
        <f>VLOOKUP(E11579,DSSpieler!A:B,2,FALSE)</f>
        <v>Sepp Star</v>
      </c>
    </row>
    <row r="11580" spans="1:10" x14ac:dyDescent="0.25">
      <c r="A11580">
        <v>13023</v>
      </c>
      <c r="B11580" t="s">
        <v>30912</v>
      </c>
      <c r="C11580">
        <v>573</v>
      </c>
      <c r="D11580">
        <v>414</v>
      </c>
      <c r="E11580">
        <v>1576007470</v>
      </c>
      <c r="F11580">
        <v>5101</v>
      </c>
      <c r="G11580">
        <v>0</v>
      </c>
      <c r="H11580" t="s">
        <v>16482</v>
      </c>
      <c r="I11580">
        <v>13023</v>
      </c>
      <c r="J11580" t="str">
        <f>VLOOKUP(E11580,DSSpieler!A:B,2,FALSE)</f>
        <v>König BlackAngel1994</v>
      </c>
    </row>
    <row r="11581" spans="1:10" x14ac:dyDescent="0.25">
      <c r="A11581">
        <v>13024</v>
      </c>
      <c r="B11581" t="s">
        <v>34565</v>
      </c>
      <c r="C11581">
        <v>392</v>
      </c>
      <c r="D11581">
        <v>466</v>
      </c>
      <c r="E11581">
        <v>1577196515</v>
      </c>
      <c r="F11581">
        <v>170</v>
      </c>
      <c r="G11581">
        <v>0</v>
      </c>
      <c r="H11581" t="s">
        <v>16483</v>
      </c>
      <c r="I11581">
        <v>13024</v>
      </c>
      <c r="J11581" t="str">
        <f>VLOOKUP(E11581,DSSpieler!A:B,2,FALSE)</f>
        <v>Cako73</v>
      </c>
    </row>
    <row r="11582" spans="1:10" x14ac:dyDescent="0.25">
      <c r="A11582">
        <v>13025</v>
      </c>
      <c r="B11582" t="s">
        <v>531</v>
      </c>
      <c r="C11582">
        <v>608</v>
      </c>
      <c r="D11582">
        <v>495</v>
      </c>
      <c r="E11582">
        <v>0</v>
      </c>
      <c r="F11582">
        <v>204</v>
      </c>
      <c r="G11582">
        <v>0</v>
      </c>
      <c r="H11582" t="s">
        <v>16484</v>
      </c>
      <c r="I11582">
        <v>13025</v>
      </c>
      <c r="J11582" t="e">
        <f>VLOOKUP(E11582,DSSpieler!A:B,2,FALSE)</f>
        <v>#N/A</v>
      </c>
    </row>
    <row r="11583" spans="1:10" x14ac:dyDescent="0.25">
      <c r="A11583">
        <v>13026</v>
      </c>
      <c r="B11583" t="s">
        <v>531</v>
      </c>
      <c r="C11583">
        <v>564</v>
      </c>
      <c r="D11583">
        <v>409</v>
      </c>
      <c r="E11583">
        <v>0</v>
      </c>
      <c r="F11583">
        <v>304</v>
      </c>
      <c r="G11583">
        <v>0</v>
      </c>
      <c r="H11583" t="s">
        <v>16485</v>
      </c>
      <c r="I11583">
        <v>13026</v>
      </c>
      <c r="J11583" t="e">
        <f>VLOOKUP(E11583,DSSpieler!A:B,2,FALSE)</f>
        <v>#N/A</v>
      </c>
    </row>
    <row r="11584" spans="1:10" x14ac:dyDescent="0.25">
      <c r="A11584">
        <v>13027</v>
      </c>
      <c r="B11584" t="s">
        <v>34566</v>
      </c>
      <c r="C11584">
        <v>391</v>
      </c>
      <c r="D11584">
        <v>503</v>
      </c>
      <c r="E11584">
        <v>1577196332</v>
      </c>
      <c r="F11584">
        <v>4228</v>
      </c>
      <c r="G11584">
        <v>0</v>
      </c>
      <c r="H11584" t="s">
        <v>16486</v>
      </c>
      <c r="I11584">
        <v>13027</v>
      </c>
      <c r="J11584" t="str">
        <f>VLOOKUP(E11584,DSSpieler!A:B,2,FALSE)</f>
        <v>Pizza Prociutto</v>
      </c>
    </row>
    <row r="11585" spans="1:10" x14ac:dyDescent="0.25">
      <c r="A11585">
        <v>13028</v>
      </c>
      <c r="B11585" t="s">
        <v>531</v>
      </c>
      <c r="C11585">
        <v>408</v>
      </c>
      <c r="D11585">
        <v>435</v>
      </c>
      <c r="E11585">
        <v>0</v>
      </c>
      <c r="F11585">
        <v>235</v>
      </c>
      <c r="G11585">
        <v>0</v>
      </c>
      <c r="H11585" t="s">
        <v>16487</v>
      </c>
      <c r="I11585">
        <v>13028</v>
      </c>
      <c r="J11585" t="e">
        <f>VLOOKUP(E11585,DSSpieler!A:B,2,FALSE)</f>
        <v>#N/A</v>
      </c>
    </row>
    <row r="11586" spans="1:10" x14ac:dyDescent="0.25">
      <c r="A11586">
        <v>13030</v>
      </c>
      <c r="B11586" t="s">
        <v>2185</v>
      </c>
      <c r="C11586">
        <v>433</v>
      </c>
      <c r="D11586">
        <v>595</v>
      </c>
      <c r="E11586">
        <v>1576605405</v>
      </c>
      <c r="F11586">
        <v>4780</v>
      </c>
      <c r="G11586">
        <v>0</v>
      </c>
      <c r="H11586" t="s">
        <v>16488</v>
      </c>
      <c r="I11586">
        <v>13030</v>
      </c>
      <c r="J11586" t="str">
        <f>VLOOKUP(E11586,DSSpieler!A:B,2,FALSE)</f>
        <v>klaver61</v>
      </c>
    </row>
    <row r="11587" spans="1:10" x14ac:dyDescent="0.25">
      <c r="A11587">
        <v>13031</v>
      </c>
      <c r="B11587" t="s">
        <v>531</v>
      </c>
      <c r="C11587">
        <v>517</v>
      </c>
      <c r="D11587">
        <v>610</v>
      </c>
      <c r="E11587">
        <v>0</v>
      </c>
      <c r="F11587">
        <v>960</v>
      </c>
      <c r="G11587">
        <v>0</v>
      </c>
      <c r="H11587" t="s">
        <v>16489</v>
      </c>
      <c r="I11587">
        <v>13031</v>
      </c>
      <c r="J11587" t="e">
        <f>VLOOKUP(E11587,DSSpieler!A:B,2,FALSE)</f>
        <v>#N/A</v>
      </c>
    </row>
    <row r="11588" spans="1:10" x14ac:dyDescent="0.25">
      <c r="A11588">
        <v>13032</v>
      </c>
      <c r="B11588" t="s">
        <v>531</v>
      </c>
      <c r="C11588">
        <v>390</v>
      </c>
      <c r="D11588">
        <v>525</v>
      </c>
      <c r="E11588">
        <v>0</v>
      </c>
      <c r="F11588">
        <v>637</v>
      </c>
      <c r="G11588">
        <v>0</v>
      </c>
      <c r="H11588" t="s">
        <v>16490</v>
      </c>
      <c r="I11588">
        <v>13032</v>
      </c>
      <c r="J11588" t="e">
        <f>VLOOKUP(E11588,DSSpieler!A:B,2,FALSE)</f>
        <v>#N/A</v>
      </c>
    </row>
    <row r="11589" spans="1:10" x14ac:dyDescent="0.25">
      <c r="A11589">
        <v>13033</v>
      </c>
      <c r="B11589" t="s">
        <v>531</v>
      </c>
      <c r="C11589">
        <v>610</v>
      </c>
      <c r="D11589">
        <v>504</v>
      </c>
      <c r="E11589">
        <v>0</v>
      </c>
      <c r="F11589">
        <v>99</v>
      </c>
      <c r="G11589">
        <v>0</v>
      </c>
      <c r="H11589" t="s">
        <v>16491</v>
      </c>
      <c r="I11589">
        <v>13033</v>
      </c>
      <c r="J11589" t="e">
        <f>VLOOKUP(E11589,DSSpieler!A:B,2,FALSE)</f>
        <v>#N/A</v>
      </c>
    </row>
    <row r="11590" spans="1:10" x14ac:dyDescent="0.25">
      <c r="A11590">
        <v>13034</v>
      </c>
      <c r="B11590" t="s">
        <v>531</v>
      </c>
      <c r="C11590">
        <v>397</v>
      </c>
      <c r="D11590">
        <v>456</v>
      </c>
      <c r="E11590">
        <v>0</v>
      </c>
      <c r="F11590">
        <v>383</v>
      </c>
      <c r="G11590">
        <v>0</v>
      </c>
      <c r="H11590" t="s">
        <v>16492</v>
      </c>
      <c r="I11590">
        <v>13034</v>
      </c>
      <c r="J11590" t="e">
        <f>VLOOKUP(E11590,DSSpieler!A:B,2,FALSE)</f>
        <v>#N/A</v>
      </c>
    </row>
    <row r="11591" spans="1:10" x14ac:dyDescent="0.25">
      <c r="A11591">
        <v>13035</v>
      </c>
      <c r="B11591" t="s">
        <v>531</v>
      </c>
      <c r="C11591">
        <v>478</v>
      </c>
      <c r="D11591">
        <v>389</v>
      </c>
      <c r="E11591">
        <v>0</v>
      </c>
      <c r="F11591">
        <v>459</v>
      </c>
      <c r="G11591">
        <v>0</v>
      </c>
      <c r="H11591" t="s">
        <v>16493</v>
      </c>
      <c r="I11591">
        <v>13035</v>
      </c>
      <c r="J11591" t="e">
        <f>VLOOKUP(E11591,DSSpieler!A:B,2,FALSE)</f>
        <v>#N/A</v>
      </c>
    </row>
    <row r="11592" spans="1:10" x14ac:dyDescent="0.25">
      <c r="A11592">
        <v>13036</v>
      </c>
      <c r="B11592" t="s">
        <v>34567</v>
      </c>
      <c r="C11592">
        <v>562</v>
      </c>
      <c r="D11592">
        <v>593</v>
      </c>
      <c r="E11592">
        <v>1577199522</v>
      </c>
      <c r="F11592">
        <v>1197</v>
      </c>
      <c r="G11592">
        <v>0</v>
      </c>
      <c r="H11592" t="s">
        <v>16494</v>
      </c>
      <c r="I11592">
        <v>13036</v>
      </c>
      <c r="J11592" t="str">
        <f>VLOOKUP(E11592,DSSpieler!A:B,2,FALSE)</f>
        <v>Verdeli</v>
      </c>
    </row>
    <row r="11593" spans="1:10" x14ac:dyDescent="0.25">
      <c r="A11593">
        <v>13037</v>
      </c>
      <c r="B11593" t="s">
        <v>34568</v>
      </c>
      <c r="C11593">
        <v>391</v>
      </c>
      <c r="D11593">
        <v>500</v>
      </c>
      <c r="E11593">
        <v>9694313</v>
      </c>
      <c r="F11593">
        <v>5480</v>
      </c>
      <c r="G11593">
        <v>0</v>
      </c>
      <c r="H11593" t="s">
        <v>16495</v>
      </c>
      <c r="I11593">
        <v>13037</v>
      </c>
      <c r="J11593" t="str">
        <f>VLOOKUP(E11593,DSSpieler!A:B,2,FALSE)</f>
        <v>Lerbanoel</v>
      </c>
    </row>
    <row r="11594" spans="1:10" x14ac:dyDescent="0.25">
      <c r="A11594">
        <v>13038</v>
      </c>
      <c r="B11594" t="s">
        <v>531</v>
      </c>
      <c r="C11594">
        <v>607</v>
      </c>
      <c r="D11594">
        <v>545</v>
      </c>
      <c r="E11594">
        <v>0</v>
      </c>
      <c r="F11594">
        <v>190</v>
      </c>
      <c r="G11594">
        <v>0</v>
      </c>
      <c r="H11594" t="s">
        <v>16496</v>
      </c>
      <c r="I11594">
        <v>13038</v>
      </c>
      <c r="J11594" t="e">
        <f>VLOOKUP(E11594,DSSpieler!A:B,2,FALSE)</f>
        <v>#N/A</v>
      </c>
    </row>
    <row r="11595" spans="1:10" x14ac:dyDescent="0.25">
      <c r="A11595">
        <v>13040</v>
      </c>
      <c r="B11595" t="s">
        <v>531</v>
      </c>
      <c r="C11595">
        <v>597</v>
      </c>
      <c r="D11595">
        <v>538</v>
      </c>
      <c r="E11595">
        <v>0</v>
      </c>
      <c r="F11595">
        <v>119</v>
      </c>
      <c r="G11595">
        <v>0</v>
      </c>
      <c r="H11595" t="s">
        <v>16497</v>
      </c>
      <c r="I11595">
        <v>13040</v>
      </c>
      <c r="J11595" t="e">
        <f>VLOOKUP(E11595,DSSpieler!A:B,2,FALSE)</f>
        <v>#N/A</v>
      </c>
    </row>
    <row r="11596" spans="1:10" x14ac:dyDescent="0.25">
      <c r="A11596">
        <v>13041</v>
      </c>
      <c r="B11596" t="s">
        <v>531</v>
      </c>
      <c r="C11596">
        <v>610</v>
      </c>
      <c r="D11596">
        <v>538</v>
      </c>
      <c r="E11596">
        <v>0</v>
      </c>
      <c r="F11596">
        <v>154</v>
      </c>
      <c r="G11596">
        <v>0</v>
      </c>
      <c r="H11596" t="s">
        <v>16498</v>
      </c>
      <c r="I11596">
        <v>13041</v>
      </c>
      <c r="J11596" t="e">
        <f>VLOOKUP(E11596,DSSpieler!A:B,2,FALSE)</f>
        <v>#N/A</v>
      </c>
    </row>
    <row r="11597" spans="1:10" x14ac:dyDescent="0.25">
      <c r="A11597">
        <v>13042</v>
      </c>
      <c r="B11597" t="s">
        <v>531</v>
      </c>
      <c r="C11597">
        <v>610</v>
      </c>
      <c r="D11597">
        <v>536</v>
      </c>
      <c r="E11597">
        <v>0</v>
      </c>
      <c r="F11597">
        <v>183</v>
      </c>
      <c r="G11597">
        <v>0</v>
      </c>
      <c r="H11597" t="s">
        <v>16499</v>
      </c>
      <c r="I11597">
        <v>13042</v>
      </c>
      <c r="J11597" t="e">
        <f>VLOOKUP(E11597,DSSpieler!A:B,2,FALSE)</f>
        <v>#N/A</v>
      </c>
    </row>
    <row r="11598" spans="1:10" x14ac:dyDescent="0.25">
      <c r="A11598">
        <v>13043</v>
      </c>
      <c r="B11598" t="s">
        <v>2186</v>
      </c>
      <c r="C11598">
        <v>539</v>
      </c>
      <c r="D11598">
        <v>396</v>
      </c>
      <c r="E11598">
        <v>1577197899</v>
      </c>
      <c r="F11598">
        <v>4509</v>
      </c>
      <c r="G11598">
        <v>0</v>
      </c>
      <c r="H11598" t="s">
        <v>16500</v>
      </c>
      <c r="I11598">
        <v>13043</v>
      </c>
      <c r="J11598" t="str">
        <f>VLOOKUP(E11598,DSSpieler!A:B,2,FALSE)</f>
        <v>HjalmarT</v>
      </c>
    </row>
    <row r="11599" spans="1:10" x14ac:dyDescent="0.25">
      <c r="A11599">
        <v>13045</v>
      </c>
      <c r="B11599" t="s">
        <v>531</v>
      </c>
      <c r="C11599">
        <v>538</v>
      </c>
      <c r="D11599">
        <v>604</v>
      </c>
      <c r="E11599">
        <v>0</v>
      </c>
      <c r="F11599">
        <v>270</v>
      </c>
      <c r="G11599">
        <v>0</v>
      </c>
      <c r="H11599" t="s">
        <v>16501</v>
      </c>
      <c r="I11599">
        <v>13045</v>
      </c>
      <c r="J11599" t="e">
        <f>VLOOKUP(E11599,DSSpieler!A:B,2,FALSE)</f>
        <v>#N/A</v>
      </c>
    </row>
    <row r="11600" spans="1:10" x14ac:dyDescent="0.25">
      <c r="A11600">
        <v>13046</v>
      </c>
      <c r="B11600" t="s">
        <v>34569</v>
      </c>
      <c r="C11600">
        <v>405</v>
      </c>
      <c r="D11600">
        <v>438</v>
      </c>
      <c r="E11600">
        <v>1576421275</v>
      </c>
      <c r="F11600">
        <v>689</v>
      </c>
      <c r="G11600">
        <v>0</v>
      </c>
      <c r="H11600" t="s">
        <v>16502</v>
      </c>
      <c r="I11600">
        <v>13046</v>
      </c>
      <c r="J11600" t="str">
        <f>VLOOKUP(E11600,DSSpieler!A:B,2,FALSE)</f>
        <v>Danielb93</v>
      </c>
    </row>
    <row r="11601" spans="1:10" x14ac:dyDescent="0.25">
      <c r="A11601">
        <v>13047</v>
      </c>
      <c r="B11601" t="s">
        <v>531</v>
      </c>
      <c r="C11601">
        <v>563</v>
      </c>
      <c r="D11601">
        <v>588</v>
      </c>
      <c r="E11601">
        <v>0</v>
      </c>
      <c r="F11601">
        <v>309</v>
      </c>
      <c r="G11601">
        <v>0</v>
      </c>
      <c r="H11601" t="s">
        <v>16503</v>
      </c>
      <c r="I11601">
        <v>13047</v>
      </c>
      <c r="J11601" t="e">
        <f>VLOOKUP(E11601,DSSpieler!A:B,2,FALSE)</f>
        <v>#N/A</v>
      </c>
    </row>
    <row r="11602" spans="1:10" x14ac:dyDescent="0.25">
      <c r="A11602">
        <v>13048</v>
      </c>
      <c r="B11602" t="s">
        <v>531</v>
      </c>
      <c r="C11602">
        <v>526</v>
      </c>
      <c r="D11602">
        <v>607</v>
      </c>
      <c r="E11602">
        <v>0</v>
      </c>
      <c r="F11602">
        <v>191</v>
      </c>
      <c r="G11602">
        <v>0</v>
      </c>
      <c r="H11602" t="s">
        <v>16504</v>
      </c>
      <c r="I11602">
        <v>13048</v>
      </c>
      <c r="J11602" t="e">
        <f>VLOOKUP(E11602,DSSpieler!A:B,2,FALSE)</f>
        <v>#N/A</v>
      </c>
    </row>
    <row r="11603" spans="1:10" x14ac:dyDescent="0.25">
      <c r="A11603">
        <v>13050</v>
      </c>
      <c r="B11603" t="s">
        <v>34570</v>
      </c>
      <c r="C11603">
        <v>399</v>
      </c>
      <c r="D11603">
        <v>472</v>
      </c>
      <c r="E11603">
        <v>2788871</v>
      </c>
      <c r="F11603">
        <v>6526</v>
      </c>
      <c r="G11603">
        <v>0</v>
      </c>
      <c r="H11603" t="s">
        <v>16505</v>
      </c>
      <c r="I11603">
        <v>13050</v>
      </c>
      <c r="J11603" t="str">
        <f>VLOOKUP(E11603,DSSpieler!A:B,2,FALSE)</f>
        <v>Kame22</v>
      </c>
    </row>
    <row r="11604" spans="1:10" x14ac:dyDescent="0.25">
      <c r="A11604">
        <v>13051</v>
      </c>
      <c r="B11604" t="s">
        <v>31164</v>
      </c>
      <c r="C11604">
        <v>509</v>
      </c>
      <c r="D11604">
        <v>524</v>
      </c>
      <c r="E11604">
        <v>1577197542</v>
      </c>
      <c r="F11604">
        <v>3146</v>
      </c>
      <c r="G11604">
        <v>0</v>
      </c>
      <c r="H11604" t="s">
        <v>16506</v>
      </c>
      <c r="I11604">
        <v>13051</v>
      </c>
      <c r="J11604" t="str">
        <f>VLOOKUP(E11604,DSSpieler!A:B,2,FALSE)</f>
        <v>träumerische Tim</v>
      </c>
    </row>
    <row r="11605" spans="1:10" x14ac:dyDescent="0.25">
      <c r="A11605">
        <v>13052</v>
      </c>
      <c r="B11605" t="s">
        <v>2187</v>
      </c>
      <c r="C11605">
        <v>520</v>
      </c>
      <c r="D11605">
        <v>525</v>
      </c>
      <c r="E11605">
        <v>1577138038</v>
      </c>
      <c r="F11605">
        <v>5384</v>
      </c>
      <c r="G11605">
        <v>0</v>
      </c>
      <c r="H11605" t="s">
        <v>16507</v>
      </c>
      <c r="I11605">
        <v>13052</v>
      </c>
      <c r="J11605" t="str">
        <f>VLOOKUP(E11605,DSSpieler!A:B,2,FALSE)</f>
        <v>XxXSquadXxX</v>
      </c>
    </row>
    <row r="11606" spans="1:10" x14ac:dyDescent="0.25">
      <c r="A11606">
        <v>13053</v>
      </c>
      <c r="B11606" t="s">
        <v>2188</v>
      </c>
      <c r="C11606">
        <v>518</v>
      </c>
      <c r="D11606">
        <v>531</v>
      </c>
      <c r="E11606">
        <v>1577138038</v>
      </c>
      <c r="F11606">
        <v>7318</v>
      </c>
      <c r="G11606">
        <v>0</v>
      </c>
      <c r="H11606" t="s">
        <v>16508</v>
      </c>
      <c r="I11606">
        <v>13053</v>
      </c>
      <c r="J11606" t="str">
        <f>VLOOKUP(E11606,DSSpieler!A:B,2,FALSE)</f>
        <v>XxXSquadXxX</v>
      </c>
    </row>
    <row r="11607" spans="1:10" x14ac:dyDescent="0.25">
      <c r="A11607">
        <v>13054</v>
      </c>
      <c r="B11607" t="s">
        <v>531</v>
      </c>
      <c r="C11607">
        <v>445</v>
      </c>
      <c r="D11607">
        <v>583</v>
      </c>
      <c r="E11607">
        <v>0</v>
      </c>
      <c r="F11607">
        <v>207</v>
      </c>
      <c r="G11607">
        <v>0</v>
      </c>
      <c r="H11607" t="s">
        <v>16509</v>
      </c>
      <c r="I11607">
        <v>13054</v>
      </c>
      <c r="J11607" t="e">
        <f>VLOOKUP(E11607,DSSpieler!A:B,2,FALSE)</f>
        <v>#N/A</v>
      </c>
    </row>
    <row r="11608" spans="1:10" x14ac:dyDescent="0.25">
      <c r="A11608">
        <v>13055</v>
      </c>
      <c r="B11608" t="s">
        <v>34571</v>
      </c>
      <c r="C11608">
        <v>417</v>
      </c>
      <c r="D11608">
        <v>426</v>
      </c>
      <c r="E11608">
        <v>1576942115</v>
      </c>
      <c r="F11608">
        <v>4701</v>
      </c>
      <c r="G11608">
        <v>0</v>
      </c>
      <c r="H11608" t="s">
        <v>16510</v>
      </c>
      <c r="I11608">
        <v>13055</v>
      </c>
      <c r="J11608" t="str">
        <f>VLOOKUP(E11608,DSSpieler!A:B,2,FALSE)</f>
        <v>Espritor2</v>
      </c>
    </row>
    <row r="11609" spans="1:10" x14ac:dyDescent="0.25">
      <c r="A11609">
        <v>13056</v>
      </c>
      <c r="B11609" t="s">
        <v>34572</v>
      </c>
      <c r="C11609">
        <v>471</v>
      </c>
      <c r="D11609">
        <v>394</v>
      </c>
      <c r="E11609">
        <v>1577016607</v>
      </c>
      <c r="F11609">
        <v>275</v>
      </c>
      <c r="G11609">
        <v>0</v>
      </c>
      <c r="H11609" t="s">
        <v>16511</v>
      </c>
      <c r="I11609">
        <v>13056</v>
      </c>
      <c r="J11609" t="str">
        <f>VLOOKUP(E11609,DSSpieler!A:B,2,FALSE)</f>
        <v>RedFrog2018</v>
      </c>
    </row>
    <row r="11610" spans="1:10" x14ac:dyDescent="0.25">
      <c r="A11610">
        <v>13058</v>
      </c>
      <c r="B11610" t="s">
        <v>531</v>
      </c>
      <c r="C11610">
        <v>611</v>
      </c>
      <c r="D11610">
        <v>518</v>
      </c>
      <c r="E11610">
        <v>0</v>
      </c>
      <c r="F11610">
        <v>174</v>
      </c>
      <c r="G11610">
        <v>0</v>
      </c>
      <c r="H11610" t="s">
        <v>16512</v>
      </c>
      <c r="I11610">
        <v>13058</v>
      </c>
      <c r="J11610" t="e">
        <f>VLOOKUP(E11610,DSSpieler!A:B,2,FALSE)</f>
        <v>#N/A</v>
      </c>
    </row>
    <row r="11611" spans="1:10" x14ac:dyDescent="0.25">
      <c r="A11611">
        <v>13059</v>
      </c>
      <c r="B11611" t="s">
        <v>2189</v>
      </c>
      <c r="C11611">
        <v>611</v>
      </c>
      <c r="D11611">
        <v>541</v>
      </c>
      <c r="E11611">
        <v>1577010730</v>
      </c>
      <c r="F11611">
        <v>5917</v>
      </c>
      <c r="G11611">
        <v>0</v>
      </c>
      <c r="H11611" t="s">
        <v>16513</v>
      </c>
      <c r="I11611">
        <v>13059</v>
      </c>
      <c r="J11611" t="str">
        <f>VLOOKUP(E11611,DSSpieler!A:B,2,FALSE)</f>
        <v>Mongogriepsch</v>
      </c>
    </row>
    <row r="11612" spans="1:10" x14ac:dyDescent="0.25">
      <c r="A11612">
        <v>13060</v>
      </c>
      <c r="B11612" t="s">
        <v>531</v>
      </c>
      <c r="C11612">
        <v>525</v>
      </c>
      <c r="D11612">
        <v>391</v>
      </c>
      <c r="E11612">
        <v>0</v>
      </c>
      <c r="F11612">
        <v>578</v>
      </c>
      <c r="G11612">
        <v>0</v>
      </c>
      <c r="H11612" t="s">
        <v>16514</v>
      </c>
      <c r="I11612">
        <v>13060</v>
      </c>
      <c r="J11612" t="e">
        <f>VLOOKUP(E11612,DSSpieler!A:B,2,FALSE)</f>
        <v>#N/A</v>
      </c>
    </row>
    <row r="11613" spans="1:10" x14ac:dyDescent="0.25">
      <c r="A11613">
        <v>13061</v>
      </c>
      <c r="B11613" t="s">
        <v>34573</v>
      </c>
      <c r="C11613">
        <v>389</v>
      </c>
      <c r="D11613">
        <v>505</v>
      </c>
      <c r="E11613">
        <v>1577196332</v>
      </c>
      <c r="F11613">
        <v>364</v>
      </c>
      <c r="G11613">
        <v>0</v>
      </c>
      <c r="H11613" t="s">
        <v>16515</v>
      </c>
      <c r="I11613">
        <v>13061</v>
      </c>
      <c r="J11613" t="str">
        <f>VLOOKUP(E11613,DSSpieler!A:B,2,FALSE)</f>
        <v>Pizza Prociutto</v>
      </c>
    </row>
    <row r="11614" spans="1:10" x14ac:dyDescent="0.25">
      <c r="A11614">
        <v>13062</v>
      </c>
      <c r="B11614" t="s">
        <v>531</v>
      </c>
      <c r="C11614">
        <v>575</v>
      </c>
      <c r="D11614">
        <v>582</v>
      </c>
      <c r="E11614">
        <v>0</v>
      </c>
      <c r="F11614">
        <v>183</v>
      </c>
      <c r="G11614">
        <v>0</v>
      </c>
      <c r="H11614" t="s">
        <v>16516</v>
      </c>
      <c r="I11614">
        <v>13062</v>
      </c>
      <c r="J11614" t="e">
        <f>VLOOKUP(E11614,DSSpieler!A:B,2,FALSE)</f>
        <v>#N/A</v>
      </c>
    </row>
    <row r="11615" spans="1:10" x14ac:dyDescent="0.25">
      <c r="A11615">
        <v>13063</v>
      </c>
      <c r="B11615" t="s">
        <v>531</v>
      </c>
      <c r="C11615">
        <v>589</v>
      </c>
      <c r="D11615">
        <v>568</v>
      </c>
      <c r="E11615">
        <v>0</v>
      </c>
      <c r="F11615">
        <v>197</v>
      </c>
      <c r="G11615">
        <v>0</v>
      </c>
      <c r="H11615" t="s">
        <v>16517</v>
      </c>
      <c r="I11615">
        <v>13063</v>
      </c>
      <c r="J11615" t="e">
        <f>VLOOKUP(E11615,DSSpieler!A:B,2,FALSE)</f>
        <v>#N/A</v>
      </c>
    </row>
    <row r="11616" spans="1:10" x14ac:dyDescent="0.25">
      <c r="A11616">
        <v>13064</v>
      </c>
      <c r="B11616" t="s">
        <v>531</v>
      </c>
      <c r="C11616">
        <v>604</v>
      </c>
      <c r="D11616">
        <v>543</v>
      </c>
      <c r="E11616">
        <v>0</v>
      </c>
      <c r="F11616">
        <v>292</v>
      </c>
      <c r="G11616">
        <v>0</v>
      </c>
      <c r="H11616" t="s">
        <v>16518</v>
      </c>
      <c r="I11616">
        <v>13064</v>
      </c>
      <c r="J11616" t="e">
        <f>VLOOKUP(E11616,DSSpieler!A:B,2,FALSE)</f>
        <v>#N/A</v>
      </c>
    </row>
    <row r="11617" spans="1:10" x14ac:dyDescent="0.25">
      <c r="A11617">
        <v>13066</v>
      </c>
      <c r="B11617" t="s">
        <v>531</v>
      </c>
      <c r="C11617">
        <v>584</v>
      </c>
      <c r="D11617">
        <v>574</v>
      </c>
      <c r="E11617">
        <v>0</v>
      </c>
      <c r="F11617">
        <v>249</v>
      </c>
      <c r="G11617">
        <v>0</v>
      </c>
      <c r="H11617" t="s">
        <v>16519</v>
      </c>
      <c r="I11617">
        <v>13066</v>
      </c>
      <c r="J11617" t="e">
        <f>VLOOKUP(E11617,DSSpieler!A:B,2,FALSE)</f>
        <v>#N/A</v>
      </c>
    </row>
    <row r="11618" spans="1:10" x14ac:dyDescent="0.25">
      <c r="A11618">
        <v>13067</v>
      </c>
      <c r="B11618" t="s">
        <v>531</v>
      </c>
      <c r="C11618">
        <v>448</v>
      </c>
      <c r="D11618">
        <v>400</v>
      </c>
      <c r="E11618">
        <v>0</v>
      </c>
      <c r="F11618">
        <v>419</v>
      </c>
      <c r="G11618">
        <v>0</v>
      </c>
      <c r="H11618" t="s">
        <v>16520</v>
      </c>
      <c r="I11618">
        <v>13067</v>
      </c>
      <c r="J11618" t="e">
        <f>VLOOKUP(E11618,DSSpieler!A:B,2,FALSE)</f>
        <v>#N/A</v>
      </c>
    </row>
    <row r="11619" spans="1:10" x14ac:dyDescent="0.25">
      <c r="A11619">
        <v>13068</v>
      </c>
      <c r="B11619" t="s">
        <v>531</v>
      </c>
      <c r="C11619">
        <v>607</v>
      </c>
      <c r="D11619">
        <v>536</v>
      </c>
      <c r="E11619">
        <v>0</v>
      </c>
      <c r="F11619">
        <v>350</v>
      </c>
      <c r="G11619">
        <v>0</v>
      </c>
      <c r="H11619" t="s">
        <v>16521</v>
      </c>
      <c r="I11619">
        <v>13068</v>
      </c>
      <c r="J11619" t="e">
        <f>VLOOKUP(E11619,DSSpieler!A:B,2,FALSE)</f>
        <v>#N/A</v>
      </c>
    </row>
    <row r="11620" spans="1:10" x14ac:dyDescent="0.25">
      <c r="A11620">
        <v>13069</v>
      </c>
      <c r="B11620" t="s">
        <v>531</v>
      </c>
      <c r="C11620">
        <v>563</v>
      </c>
      <c r="D11620">
        <v>599</v>
      </c>
      <c r="E11620">
        <v>0</v>
      </c>
      <c r="F11620">
        <v>467</v>
      </c>
      <c r="G11620">
        <v>0</v>
      </c>
      <c r="H11620" t="s">
        <v>16522</v>
      </c>
      <c r="I11620">
        <v>13069</v>
      </c>
      <c r="J11620" t="e">
        <f>VLOOKUP(E11620,DSSpieler!A:B,2,FALSE)</f>
        <v>#N/A</v>
      </c>
    </row>
    <row r="11621" spans="1:10" x14ac:dyDescent="0.25">
      <c r="A11621">
        <v>13070</v>
      </c>
      <c r="B11621" t="s">
        <v>34574</v>
      </c>
      <c r="C11621">
        <v>578</v>
      </c>
      <c r="D11621">
        <v>581</v>
      </c>
      <c r="E11621">
        <v>1576821617</v>
      </c>
      <c r="F11621">
        <v>331</v>
      </c>
      <c r="G11621">
        <v>0</v>
      </c>
      <c r="H11621" t="s">
        <v>16523</v>
      </c>
      <c r="I11621">
        <v>13070</v>
      </c>
      <c r="J11621" t="str">
        <f>VLOOKUP(E11621,DSSpieler!A:B,2,FALSE)</f>
        <v>wolkengestalten</v>
      </c>
    </row>
    <row r="11622" spans="1:10" x14ac:dyDescent="0.25">
      <c r="A11622">
        <v>13071</v>
      </c>
      <c r="B11622" t="s">
        <v>34575</v>
      </c>
      <c r="C11622">
        <v>391</v>
      </c>
      <c r="D11622">
        <v>474</v>
      </c>
      <c r="E11622">
        <v>1576502833</v>
      </c>
      <c r="F11622">
        <v>5199</v>
      </c>
      <c r="G11622">
        <v>0</v>
      </c>
      <c r="H11622" t="s">
        <v>465</v>
      </c>
      <c r="I11622">
        <v>13071</v>
      </c>
      <c r="J11622" t="str">
        <f>VLOOKUP(E11622,DSSpieler!A:B,2,FALSE)</f>
        <v>Goettlich</v>
      </c>
    </row>
    <row r="11623" spans="1:10" x14ac:dyDescent="0.25">
      <c r="A11623">
        <v>13073</v>
      </c>
      <c r="B11623" t="s">
        <v>531</v>
      </c>
      <c r="C11623">
        <v>592</v>
      </c>
      <c r="D11623">
        <v>566</v>
      </c>
      <c r="E11623">
        <v>0</v>
      </c>
      <c r="F11623">
        <v>428</v>
      </c>
      <c r="G11623">
        <v>0</v>
      </c>
      <c r="H11623" t="s">
        <v>16524</v>
      </c>
      <c r="I11623">
        <v>13073</v>
      </c>
      <c r="J11623" t="e">
        <f>VLOOKUP(E11623,DSSpieler!A:B,2,FALSE)</f>
        <v>#N/A</v>
      </c>
    </row>
    <row r="11624" spans="1:10" x14ac:dyDescent="0.25">
      <c r="A11624">
        <v>13074</v>
      </c>
      <c r="B11624" t="s">
        <v>34576</v>
      </c>
      <c r="C11624">
        <v>569</v>
      </c>
      <c r="D11624">
        <v>410</v>
      </c>
      <c r="E11624">
        <v>1576499941</v>
      </c>
      <c r="F11624">
        <v>5306</v>
      </c>
      <c r="G11624">
        <v>0</v>
      </c>
      <c r="H11624" t="s">
        <v>16525</v>
      </c>
      <c r="I11624">
        <v>13074</v>
      </c>
      <c r="J11624" t="str">
        <f>VLOOKUP(E11624,DSSpieler!A:B,2,FALSE)</f>
        <v>KaliTan</v>
      </c>
    </row>
    <row r="11625" spans="1:10" x14ac:dyDescent="0.25">
      <c r="A11625">
        <v>13075</v>
      </c>
      <c r="B11625" t="s">
        <v>531</v>
      </c>
      <c r="C11625">
        <v>550</v>
      </c>
      <c r="D11625">
        <v>398</v>
      </c>
      <c r="E11625">
        <v>0</v>
      </c>
      <c r="F11625">
        <v>346</v>
      </c>
      <c r="G11625">
        <v>0</v>
      </c>
      <c r="H11625" t="s">
        <v>16526</v>
      </c>
      <c r="I11625">
        <v>13075</v>
      </c>
      <c r="J11625" t="e">
        <f>VLOOKUP(E11625,DSSpieler!A:B,2,FALSE)</f>
        <v>#N/A</v>
      </c>
    </row>
    <row r="11626" spans="1:10" x14ac:dyDescent="0.25">
      <c r="A11626">
        <v>13076</v>
      </c>
      <c r="B11626" t="s">
        <v>2190</v>
      </c>
      <c r="C11626">
        <v>455</v>
      </c>
      <c r="D11626">
        <v>397</v>
      </c>
      <c r="E11626">
        <v>2060664</v>
      </c>
      <c r="F11626">
        <v>5026</v>
      </c>
      <c r="G11626">
        <v>0</v>
      </c>
      <c r="H11626" t="s">
        <v>16527</v>
      </c>
      <c r="I11626">
        <v>13076</v>
      </c>
      <c r="J11626" t="str">
        <f>VLOOKUP(E11626,DSSpieler!A:B,2,FALSE)</f>
        <v>Frechdachs69</v>
      </c>
    </row>
    <row r="11627" spans="1:10" x14ac:dyDescent="0.25">
      <c r="A11627">
        <v>13077</v>
      </c>
      <c r="B11627" t="s">
        <v>34577</v>
      </c>
      <c r="C11627">
        <v>403</v>
      </c>
      <c r="D11627">
        <v>556</v>
      </c>
      <c r="E11627">
        <v>1577168503</v>
      </c>
      <c r="F11627">
        <v>108</v>
      </c>
      <c r="G11627">
        <v>0</v>
      </c>
      <c r="H11627" t="s">
        <v>16528</v>
      </c>
      <c r="I11627">
        <v>13077</v>
      </c>
      <c r="J11627" t="str">
        <f>VLOOKUP(E11627,DSSpieler!A:B,2,FALSE)</f>
        <v>Assassin9205</v>
      </c>
    </row>
    <row r="11628" spans="1:10" x14ac:dyDescent="0.25">
      <c r="A11628">
        <v>13078</v>
      </c>
      <c r="B11628" t="s">
        <v>30661</v>
      </c>
      <c r="C11628">
        <v>392</v>
      </c>
      <c r="D11628">
        <v>483</v>
      </c>
      <c r="E11628">
        <v>1575994652</v>
      </c>
      <c r="F11628">
        <v>2706</v>
      </c>
      <c r="G11628">
        <v>0</v>
      </c>
      <c r="H11628" t="s">
        <v>16529</v>
      </c>
      <c r="I11628">
        <v>13078</v>
      </c>
      <c r="J11628" t="str">
        <f>VLOOKUP(E11628,DSSpieler!A:B,2,FALSE)</f>
        <v>Manne18</v>
      </c>
    </row>
    <row r="11629" spans="1:10" x14ac:dyDescent="0.25">
      <c r="A11629">
        <v>13079</v>
      </c>
      <c r="B11629" t="s">
        <v>34578</v>
      </c>
      <c r="C11629">
        <v>586</v>
      </c>
      <c r="D11629">
        <v>426</v>
      </c>
      <c r="E11629">
        <v>1575997882</v>
      </c>
      <c r="F11629">
        <v>563</v>
      </c>
      <c r="G11629">
        <v>0</v>
      </c>
      <c r="H11629" t="s">
        <v>16530</v>
      </c>
      <c r="I11629">
        <v>13079</v>
      </c>
      <c r="J11629" t="str">
        <f>VLOOKUP(E11629,DSSpieler!A:B,2,FALSE)</f>
        <v>Der kleine fiese</v>
      </c>
    </row>
    <row r="11630" spans="1:10" x14ac:dyDescent="0.25">
      <c r="A11630">
        <v>13080</v>
      </c>
      <c r="B11630" t="s">
        <v>34579</v>
      </c>
      <c r="C11630">
        <v>542</v>
      </c>
      <c r="D11630">
        <v>600</v>
      </c>
      <c r="E11630">
        <v>1577028197</v>
      </c>
      <c r="F11630">
        <v>4740</v>
      </c>
      <c r="G11630">
        <v>0</v>
      </c>
      <c r="H11630" t="s">
        <v>16531</v>
      </c>
      <c r="I11630">
        <v>13080</v>
      </c>
      <c r="J11630" t="str">
        <f>VLOOKUP(E11630,DSSpieler!A:B,2,FALSE)</f>
        <v>DontDrinkAndDs</v>
      </c>
    </row>
    <row r="11631" spans="1:10" x14ac:dyDescent="0.25">
      <c r="A11631">
        <v>13081</v>
      </c>
      <c r="B11631" t="s">
        <v>531</v>
      </c>
      <c r="C11631">
        <v>433</v>
      </c>
      <c r="D11631">
        <v>409</v>
      </c>
      <c r="E11631">
        <v>0</v>
      </c>
      <c r="F11631">
        <v>281</v>
      </c>
      <c r="G11631">
        <v>0</v>
      </c>
      <c r="H11631" t="s">
        <v>16532</v>
      </c>
      <c r="I11631">
        <v>13081</v>
      </c>
      <c r="J11631" t="e">
        <f>VLOOKUP(E11631,DSSpieler!A:B,2,FALSE)</f>
        <v>#N/A</v>
      </c>
    </row>
    <row r="11632" spans="1:10" x14ac:dyDescent="0.25">
      <c r="A11632">
        <v>13082</v>
      </c>
      <c r="B11632" t="s">
        <v>531</v>
      </c>
      <c r="C11632">
        <v>456</v>
      </c>
      <c r="D11632">
        <v>604</v>
      </c>
      <c r="E11632">
        <v>0</v>
      </c>
      <c r="F11632">
        <v>794</v>
      </c>
      <c r="G11632">
        <v>0</v>
      </c>
      <c r="H11632" t="s">
        <v>16533</v>
      </c>
      <c r="I11632">
        <v>13082</v>
      </c>
      <c r="J11632" t="e">
        <f>VLOOKUP(E11632,DSSpieler!A:B,2,FALSE)</f>
        <v>#N/A</v>
      </c>
    </row>
    <row r="11633" spans="1:10" x14ac:dyDescent="0.25">
      <c r="A11633">
        <v>13083</v>
      </c>
      <c r="B11633" t="s">
        <v>531</v>
      </c>
      <c r="C11633">
        <v>552</v>
      </c>
      <c r="D11633">
        <v>596</v>
      </c>
      <c r="E11633">
        <v>0</v>
      </c>
      <c r="F11633">
        <v>477</v>
      </c>
      <c r="G11633">
        <v>0</v>
      </c>
      <c r="H11633" t="s">
        <v>16534</v>
      </c>
      <c r="I11633">
        <v>13083</v>
      </c>
      <c r="J11633" t="e">
        <f>VLOOKUP(E11633,DSSpieler!A:B,2,FALSE)</f>
        <v>#N/A</v>
      </c>
    </row>
    <row r="11634" spans="1:10" x14ac:dyDescent="0.25">
      <c r="A11634">
        <v>13084</v>
      </c>
      <c r="B11634" t="s">
        <v>34580</v>
      </c>
      <c r="C11634">
        <v>568</v>
      </c>
      <c r="D11634">
        <v>417</v>
      </c>
      <c r="E11634">
        <v>1576555364</v>
      </c>
      <c r="F11634">
        <v>6673</v>
      </c>
      <c r="G11634">
        <v>0</v>
      </c>
      <c r="H11634" t="s">
        <v>16535</v>
      </c>
      <c r="I11634">
        <v>13084</v>
      </c>
      <c r="J11634" t="str">
        <f>VLOOKUP(E11634,DSSpieler!A:B,2,FALSE)</f>
        <v>König BraverFan</v>
      </c>
    </row>
    <row r="11635" spans="1:10" x14ac:dyDescent="0.25">
      <c r="A11635">
        <v>13085</v>
      </c>
      <c r="B11635" t="s">
        <v>531</v>
      </c>
      <c r="C11635">
        <v>485</v>
      </c>
      <c r="D11635">
        <v>608</v>
      </c>
      <c r="E11635">
        <v>0</v>
      </c>
      <c r="F11635">
        <v>411</v>
      </c>
      <c r="G11635">
        <v>0</v>
      </c>
      <c r="H11635" t="s">
        <v>16536</v>
      </c>
      <c r="I11635">
        <v>13085</v>
      </c>
      <c r="J11635" t="e">
        <f>VLOOKUP(E11635,DSSpieler!A:B,2,FALSE)</f>
        <v>#N/A</v>
      </c>
    </row>
    <row r="11636" spans="1:10" x14ac:dyDescent="0.25">
      <c r="A11636">
        <v>13086</v>
      </c>
      <c r="B11636" t="s">
        <v>34581</v>
      </c>
      <c r="C11636">
        <v>451</v>
      </c>
      <c r="D11636">
        <v>413</v>
      </c>
      <c r="E11636">
        <v>1577183515</v>
      </c>
      <c r="F11636">
        <v>6317</v>
      </c>
      <c r="G11636">
        <v>0</v>
      </c>
      <c r="H11636" t="s">
        <v>16537</v>
      </c>
      <c r="I11636">
        <v>13086</v>
      </c>
      <c r="J11636" t="str">
        <f>VLOOKUP(E11636,DSSpieler!A:B,2,FALSE)</f>
        <v>Pfeiler</v>
      </c>
    </row>
    <row r="11637" spans="1:10" x14ac:dyDescent="0.25">
      <c r="A11637">
        <v>13087</v>
      </c>
      <c r="B11637" t="s">
        <v>34582</v>
      </c>
      <c r="C11637">
        <v>454</v>
      </c>
      <c r="D11637">
        <v>398</v>
      </c>
      <c r="E11637">
        <v>9225710</v>
      </c>
      <c r="F11637">
        <v>4467</v>
      </c>
      <c r="G11637">
        <v>0</v>
      </c>
      <c r="H11637" t="s">
        <v>16538</v>
      </c>
      <c r="I11637">
        <v>13087</v>
      </c>
      <c r="J11637" t="str">
        <f>VLOOKUP(E11637,DSSpieler!A:B,2,FALSE)</f>
        <v>MantanaJuniors</v>
      </c>
    </row>
    <row r="11638" spans="1:10" x14ac:dyDescent="0.25">
      <c r="A11638">
        <v>13088</v>
      </c>
      <c r="B11638" t="s">
        <v>531</v>
      </c>
      <c r="C11638">
        <v>545</v>
      </c>
      <c r="D11638">
        <v>601</v>
      </c>
      <c r="E11638">
        <v>0</v>
      </c>
      <c r="F11638">
        <v>268</v>
      </c>
      <c r="G11638">
        <v>0</v>
      </c>
      <c r="H11638" t="s">
        <v>16539</v>
      </c>
      <c r="I11638">
        <v>13088</v>
      </c>
      <c r="J11638" t="e">
        <f>VLOOKUP(E11638,DSSpieler!A:B,2,FALSE)</f>
        <v>#N/A</v>
      </c>
    </row>
    <row r="11639" spans="1:10" x14ac:dyDescent="0.25">
      <c r="A11639">
        <v>13089</v>
      </c>
      <c r="B11639" t="s">
        <v>531</v>
      </c>
      <c r="C11639">
        <v>612</v>
      </c>
      <c r="D11639">
        <v>518</v>
      </c>
      <c r="E11639">
        <v>0</v>
      </c>
      <c r="F11639">
        <v>216</v>
      </c>
      <c r="G11639">
        <v>0</v>
      </c>
      <c r="H11639" t="s">
        <v>16540</v>
      </c>
      <c r="I11639">
        <v>13089</v>
      </c>
      <c r="J11639" t="e">
        <f>VLOOKUP(E11639,DSSpieler!A:B,2,FALSE)</f>
        <v>#N/A</v>
      </c>
    </row>
    <row r="11640" spans="1:10" x14ac:dyDescent="0.25">
      <c r="A11640">
        <v>13091</v>
      </c>
      <c r="B11640" t="s">
        <v>531</v>
      </c>
      <c r="C11640">
        <v>570</v>
      </c>
      <c r="D11640">
        <v>583</v>
      </c>
      <c r="E11640">
        <v>0</v>
      </c>
      <c r="F11640">
        <v>345</v>
      </c>
      <c r="G11640">
        <v>0</v>
      </c>
      <c r="H11640" t="s">
        <v>16541</v>
      </c>
      <c r="I11640">
        <v>13091</v>
      </c>
      <c r="J11640" t="e">
        <f>VLOOKUP(E11640,DSSpieler!A:B,2,FALSE)</f>
        <v>#N/A</v>
      </c>
    </row>
    <row r="11641" spans="1:10" x14ac:dyDescent="0.25">
      <c r="A11641">
        <v>13093</v>
      </c>
      <c r="B11641">
        <v>1</v>
      </c>
      <c r="C11641">
        <v>410</v>
      </c>
      <c r="D11641">
        <v>431</v>
      </c>
      <c r="E11641">
        <v>1605009</v>
      </c>
      <c r="F11641">
        <v>4009</v>
      </c>
      <c r="G11641">
        <v>0</v>
      </c>
      <c r="H11641" t="s">
        <v>16542</v>
      </c>
      <c r="I11641">
        <v>13093</v>
      </c>
      <c r="J11641" t="str">
        <f>VLOOKUP(E11641,DSSpieler!A:B,2,FALSE)</f>
        <v>Tjata</v>
      </c>
    </row>
    <row r="11642" spans="1:10" x14ac:dyDescent="0.25">
      <c r="A11642">
        <v>13095</v>
      </c>
      <c r="B11642" t="s">
        <v>34583</v>
      </c>
      <c r="C11642">
        <v>599</v>
      </c>
      <c r="D11642">
        <v>550</v>
      </c>
      <c r="E11642">
        <v>1577142104</v>
      </c>
      <c r="F11642">
        <v>574</v>
      </c>
      <c r="G11642">
        <v>0</v>
      </c>
      <c r="H11642" t="s">
        <v>16543</v>
      </c>
      <c r="I11642">
        <v>13095</v>
      </c>
      <c r="J11642" t="str">
        <f>VLOOKUP(E11642,DSSpieler!A:B,2,FALSE)</f>
        <v>deniclu</v>
      </c>
    </row>
    <row r="11643" spans="1:10" x14ac:dyDescent="0.25">
      <c r="A11643">
        <v>13096</v>
      </c>
      <c r="B11643" t="s">
        <v>2191</v>
      </c>
      <c r="C11643">
        <v>459</v>
      </c>
      <c r="D11643">
        <v>538</v>
      </c>
      <c r="E11643">
        <v>8594724</v>
      </c>
      <c r="F11643">
        <v>1721</v>
      </c>
      <c r="G11643">
        <v>0</v>
      </c>
      <c r="H11643" t="s">
        <v>16544</v>
      </c>
      <c r="I11643">
        <v>13096</v>
      </c>
      <c r="J11643" t="str">
        <f>VLOOKUP(E11643,DSSpieler!A:B,2,FALSE)</f>
        <v>Yamking1</v>
      </c>
    </row>
    <row r="11644" spans="1:10" x14ac:dyDescent="0.25">
      <c r="A11644">
        <v>13098</v>
      </c>
      <c r="B11644" t="s">
        <v>2192</v>
      </c>
      <c r="C11644">
        <v>474</v>
      </c>
      <c r="D11644">
        <v>394</v>
      </c>
      <c r="E11644">
        <v>1577131375</v>
      </c>
      <c r="F11644">
        <v>1375</v>
      </c>
      <c r="G11644">
        <v>0</v>
      </c>
      <c r="H11644" t="s">
        <v>16545</v>
      </c>
      <c r="I11644">
        <v>13098</v>
      </c>
      <c r="J11644" t="str">
        <f>VLOOKUP(E11644,DSSpieler!A:B,2,FALSE)</f>
        <v>ElliGT</v>
      </c>
    </row>
    <row r="11645" spans="1:10" x14ac:dyDescent="0.25">
      <c r="A11645">
        <v>13099</v>
      </c>
      <c r="B11645" t="s">
        <v>34584</v>
      </c>
      <c r="C11645">
        <v>570</v>
      </c>
      <c r="D11645">
        <v>588</v>
      </c>
      <c r="E11645">
        <v>9194341</v>
      </c>
      <c r="F11645">
        <v>5973</v>
      </c>
      <c r="G11645">
        <v>0</v>
      </c>
      <c r="H11645" t="s">
        <v>16546</v>
      </c>
      <c r="I11645">
        <v>13099</v>
      </c>
      <c r="J11645" t="str">
        <f>VLOOKUP(E11645,DSSpieler!A:B,2,FALSE)</f>
        <v>Simon der Groooße</v>
      </c>
    </row>
    <row r="11646" spans="1:10" x14ac:dyDescent="0.25">
      <c r="A11646">
        <v>13100</v>
      </c>
      <c r="B11646" t="s">
        <v>2193</v>
      </c>
      <c r="C11646">
        <v>527</v>
      </c>
      <c r="D11646">
        <v>387</v>
      </c>
      <c r="E11646">
        <v>1577199448</v>
      </c>
      <c r="F11646">
        <v>532</v>
      </c>
      <c r="G11646">
        <v>0</v>
      </c>
      <c r="H11646" t="s">
        <v>16547</v>
      </c>
      <c r="I11646">
        <v>13100</v>
      </c>
      <c r="J11646" t="str">
        <f>VLOOKUP(E11646,DSSpieler!A:B,2,FALSE)</f>
        <v>Pradabär</v>
      </c>
    </row>
    <row r="11647" spans="1:10" x14ac:dyDescent="0.25">
      <c r="A11647">
        <v>13101</v>
      </c>
      <c r="B11647" t="s">
        <v>531</v>
      </c>
      <c r="C11647">
        <v>527</v>
      </c>
      <c r="D11647">
        <v>393</v>
      </c>
      <c r="E11647">
        <v>0</v>
      </c>
      <c r="F11647">
        <v>277</v>
      </c>
      <c r="G11647">
        <v>0</v>
      </c>
      <c r="H11647" t="s">
        <v>16548</v>
      </c>
      <c r="I11647">
        <v>13101</v>
      </c>
      <c r="J11647" t="e">
        <f>VLOOKUP(E11647,DSSpieler!A:B,2,FALSE)</f>
        <v>#N/A</v>
      </c>
    </row>
    <row r="11648" spans="1:10" x14ac:dyDescent="0.25">
      <c r="A11648">
        <v>13102</v>
      </c>
      <c r="B11648" t="s">
        <v>531</v>
      </c>
      <c r="C11648">
        <v>522</v>
      </c>
      <c r="D11648">
        <v>395</v>
      </c>
      <c r="E11648">
        <v>0</v>
      </c>
      <c r="F11648">
        <v>278</v>
      </c>
      <c r="G11648">
        <v>0</v>
      </c>
      <c r="H11648" t="s">
        <v>16549</v>
      </c>
      <c r="I11648">
        <v>13102</v>
      </c>
      <c r="J11648" t="e">
        <f>VLOOKUP(E11648,DSSpieler!A:B,2,FALSE)</f>
        <v>#N/A</v>
      </c>
    </row>
    <row r="11649" spans="1:10" x14ac:dyDescent="0.25">
      <c r="A11649">
        <v>13103</v>
      </c>
      <c r="B11649" t="s">
        <v>531</v>
      </c>
      <c r="C11649">
        <v>610</v>
      </c>
      <c r="D11649">
        <v>500</v>
      </c>
      <c r="E11649">
        <v>0</v>
      </c>
      <c r="F11649">
        <v>258</v>
      </c>
      <c r="G11649">
        <v>0</v>
      </c>
      <c r="H11649" t="s">
        <v>16550</v>
      </c>
      <c r="I11649">
        <v>13103</v>
      </c>
      <c r="J11649" t="e">
        <f>VLOOKUP(E11649,DSSpieler!A:B,2,FALSE)</f>
        <v>#N/A</v>
      </c>
    </row>
    <row r="11650" spans="1:10" x14ac:dyDescent="0.25">
      <c r="A11650">
        <v>13106</v>
      </c>
      <c r="B11650" t="s">
        <v>531</v>
      </c>
      <c r="C11650">
        <v>563</v>
      </c>
      <c r="D11650">
        <v>410</v>
      </c>
      <c r="E11650">
        <v>0</v>
      </c>
      <c r="F11650">
        <v>153</v>
      </c>
      <c r="G11650">
        <v>0</v>
      </c>
      <c r="H11650" t="s">
        <v>16551</v>
      </c>
      <c r="I11650">
        <v>13106</v>
      </c>
      <c r="J11650" t="e">
        <f>VLOOKUP(E11650,DSSpieler!A:B,2,FALSE)</f>
        <v>#N/A</v>
      </c>
    </row>
    <row r="11651" spans="1:10" x14ac:dyDescent="0.25">
      <c r="A11651">
        <v>13107</v>
      </c>
      <c r="B11651" t="s">
        <v>34585</v>
      </c>
      <c r="C11651">
        <v>535</v>
      </c>
      <c r="D11651">
        <v>394</v>
      </c>
      <c r="E11651">
        <v>1576662569</v>
      </c>
      <c r="F11651">
        <v>1795</v>
      </c>
      <c r="G11651">
        <v>0</v>
      </c>
      <c r="H11651" t="s">
        <v>16552</v>
      </c>
      <c r="I11651">
        <v>13107</v>
      </c>
      <c r="J11651" t="str">
        <f>VLOOKUP(E11651,DSSpieler!A:B,2,FALSE)</f>
        <v>anolisl</v>
      </c>
    </row>
    <row r="11652" spans="1:10" x14ac:dyDescent="0.25">
      <c r="A11652">
        <v>13108</v>
      </c>
      <c r="B11652" t="s">
        <v>531</v>
      </c>
      <c r="C11652">
        <v>528</v>
      </c>
      <c r="D11652">
        <v>398</v>
      </c>
      <c r="E11652">
        <v>0</v>
      </c>
      <c r="F11652">
        <v>309</v>
      </c>
      <c r="G11652">
        <v>0</v>
      </c>
      <c r="H11652" t="s">
        <v>16553</v>
      </c>
      <c r="I11652">
        <v>13108</v>
      </c>
      <c r="J11652" t="e">
        <f>VLOOKUP(E11652,DSSpieler!A:B,2,FALSE)</f>
        <v>#N/A</v>
      </c>
    </row>
    <row r="11653" spans="1:10" x14ac:dyDescent="0.25">
      <c r="A11653">
        <v>13109</v>
      </c>
      <c r="B11653" t="s">
        <v>34586</v>
      </c>
      <c r="C11653">
        <v>401</v>
      </c>
      <c r="D11653">
        <v>454</v>
      </c>
      <c r="E11653">
        <v>1577190132</v>
      </c>
      <c r="F11653">
        <v>26</v>
      </c>
      <c r="G11653">
        <v>0</v>
      </c>
      <c r="H11653" t="s">
        <v>16554</v>
      </c>
      <c r="I11653">
        <v>13109</v>
      </c>
      <c r="J11653" t="str">
        <f>VLOOKUP(E11653,DSSpieler!A:B,2,FALSE)</f>
        <v>almalike</v>
      </c>
    </row>
    <row r="11654" spans="1:10" x14ac:dyDescent="0.25">
      <c r="A11654">
        <v>13110</v>
      </c>
      <c r="B11654" t="s">
        <v>531</v>
      </c>
      <c r="C11654">
        <v>613</v>
      </c>
      <c r="D11654">
        <v>507</v>
      </c>
      <c r="E11654">
        <v>0</v>
      </c>
      <c r="F11654">
        <v>114</v>
      </c>
      <c r="G11654">
        <v>0</v>
      </c>
      <c r="H11654" t="s">
        <v>16555</v>
      </c>
      <c r="I11654">
        <v>13110</v>
      </c>
      <c r="J11654" t="e">
        <f>VLOOKUP(E11654,DSSpieler!A:B,2,FALSE)</f>
        <v>#N/A</v>
      </c>
    </row>
    <row r="11655" spans="1:10" x14ac:dyDescent="0.25">
      <c r="A11655">
        <v>13111</v>
      </c>
      <c r="B11655" t="s">
        <v>531</v>
      </c>
      <c r="C11655">
        <v>579</v>
      </c>
      <c r="D11655">
        <v>420</v>
      </c>
      <c r="E11655">
        <v>0</v>
      </c>
      <c r="F11655">
        <v>141</v>
      </c>
      <c r="G11655">
        <v>0</v>
      </c>
      <c r="H11655" t="s">
        <v>16556</v>
      </c>
      <c r="I11655">
        <v>13111</v>
      </c>
      <c r="J11655" t="e">
        <f>VLOOKUP(E11655,DSSpieler!A:B,2,FALSE)</f>
        <v>#N/A</v>
      </c>
    </row>
    <row r="11656" spans="1:10" x14ac:dyDescent="0.25">
      <c r="A11656">
        <v>13112</v>
      </c>
      <c r="B11656" t="s">
        <v>34587</v>
      </c>
      <c r="C11656">
        <v>615</v>
      </c>
      <c r="D11656">
        <v>523</v>
      </c>
      <c r="E11656">
        <v>1577134617</v>
      </c>
      <c r="F11656">
        <v>950</v>
      </c>
      <c r="G11656">
        <v>0</v>
      </c>
      <c r="H11656" t="s">
        <v>16557</v>
      </c>
      <c r="I11656">
        <v>13112</v>
      </c>
      <c r="J11656" t="str">
        <f>VLOOKUP(E11656,DSSpieler!A:B,2,FALSE)</f>
        <v>meusamm</v>
      </c>
    </row>
    <row r="11657" spans="1:10" x14ac:dyDescent="0.25">
      <c r="A11657">
        <v>13115</v>
      </c>
      <c r="B11657" t="s">
        <v>531</v>
      </c>
      <c r="C11657">
        <v>611</v>
      </c>
      <c r="D11657">
        <v>526</v>
      </c>
      <c r="E11657">
        <v>0</v>
      </c>
      <c r="F11657">
        <v>185</v>
      </c>
      <c r="G11657">
        <v>0</v>
      </c>
      <c r="H11657" t="s">
        <v>16558</v>
      </c>
      <c r="I11657">
        <v>13115</v>
      </c>
      <c r="J11657" t="e">
        <f>VLOOKUP(E11657,DSSpieler!A:B,2,FALSE)</f>
        <v>#N/A</v>
      </c>
    </row>
    <row r="11658" spans="1:10" x14ac:dyDescent="0.25">
      <c r="A11658">
        <v>13116</v>
      </c>
      <c r="B11658" t="s">
        <v>33965</v>
      </c>
      <c r="C11658">
        <v>609</v>
      </c>
      <c r="D11658">
        <v>492</v>
      </c>
      <c r="E11658">
        <v>1577157364</v>
      </c>
      <c r="F11658">
        <v>1667</v>
      </c>
      <c r="G11658">
        <v>0</v>
      </c>
      <c r="H11658" t="s">
        <v>16559</v>
      </c>
      <c r="I11658">
        <v>13116</v>
      </c>
      <c r="J11658" t="str">
        <f>VLOOKUP(E11658,DSSpieler!A:B,2,FALSE)</f>
        <v>Sa-Men</v>
      </c>
    </row>
    <row r="11659" spans="1:10" x14ac:dyDescent="0.25">
      <c r="A11659">
        <v>13119</v>
      </c>
      <c r="B11659" t="s">
        <v>531</v>
      </c>
      <c r="C11659">
        <v>454</v>
      </c>
      <c r="D11659">
        <v>399</v>
      </c>
      <c r="E11659">
        <v>0</v>
      </c>
      <c r="F11659">
        <v>203</v>
      </c>
      <c r="G11659">
        <v>0</v>
      </c>
      <c r="H11659" t="s">
        <v>16560</v>
      </c>
      <c r="I11659">
        <v>13119</v>
      </c>
      <c r="J11659" t="e">
        <f>VLOOKUP(E11659,DSSpieler!A:B,2,FALSE)</f>
        <v>#N/A</v>
      </c>
    </row>
    <row r="11660" spans="1:10" x14ac:dyDescent="0.25">
      <c r="A11660">
        <v>13121</v>
      </c>
      <c r="B11660" t="s">
        <v>726</v>
      </c>
      <c r="C11660">
        <v>589</v>
      </c>
      <c r="D11660">
        <v>567</v>
      </c>
      <c r="E11660">
        <v>1576814505</v>
      </c>
      <c r="F11660">
        <v>4158</v>
      </c>
      <c r="G11660">
        <v>0</v>
      </c>
      <c r="H11660" t="s">
        <v>16561</v>
      </c>
      <c r="I11660">
        <v>13121</v>
      </c>
      <c r="J11660" t="str">
        <f>VLOOKUP(E11660,DSSpieler!A:B,2,FALSE)</f>
        <v>LeonxD</v>
      </c>
    </row>
    <row r="11661" spans="1:10" x14ac:dyDescent="0.25">
      <c r="A11661">
        <v>13124</v>
      </c>
      <c r="B11661" t="s">
        <v>726</v>
      </c>
      <c r="C11661">
        <v>589</v>
      </c>
      <c r="D11661">
        <v>564</v>
      </c>
      <c r="E11661">
        <v>1576814505</v>
      </c>
      <c r="F11661">
        <v>5121</v>
      </c>
      <c r="G11661">
        <v>0</v>
      </c>
      <c r="H11661" t="s">
        <v>16562</v>
      </c>
      <c r="I11661">
        <v>13124</v>
      </c>
      <c r="J11661" t="str">
        <f>VLOOKUP(E11661,DSSpieler!A:B,2,FALSE)</f>
        <v>LeonxD</v>
      </c>
    </row>
    <row r="11662" spans="1:10" x14ac:dyDescent="0.25">
      <c r="A11662">
        <v>13126</v>
      </c>
      <c r="B11662" t="s">
        <v>34588</v>
      </c>
      <c r="C11662">
        <v>612</v>
      </c>
      <c r="D11662">
        <v>499</v>
      </c>
      <c r="E11662">
        <v>1577106802</v>
      </c>
      <c r="F11662">
        <v>3753</v>
      </c>
      <c r="G11662">
        <v>0</v>
      </c>
      <c r="H11662" t="s">
        <v>16563</v>
      </c>
      <c r="I11662">
        <v>13126</v>
      </c>
      <c r="J11662" t="str">
        <f>VLOOKUP(E11662,DSSpieler!A:B,2,FALSE)</f>
        <v>Gimli der Zwerg</v>
      </c>
    </row>
    <row r="11663" spans="1:10" x14ac:dyDescent="0.25">
      <c r="A11663">
        <v>13127</v>
      </c>
      <c r="B11663" t="s">
        <v>531</v>
      </c>
      <c r="C11663">
        <v>524</v>
      </c>
      <c r="D11663">
        <v>389</v>
      </c>
      <c r="E11663">
        <v>0</v>
      </c>
      <c r="F11663">
        <v>944</v>
      </c>
      <c r="G11663">
        <v>0</v>
      </c>
      <c r="H11663" t="s">
        <v>16564</v>
      </c>
      <c r="I11663">
        <v>13127</v>
      </c>
      <c r="J11663" t="e">
        <f>VLOOKUP(E11663,DSSpieler!A:B,2,FALSE)</f>
        <v>#N/A</v>
      </c>
    </row>
    <row r="11664" spans="1:10" x14ac:dyDescent="0.25">
      <c r="A11664">
        <v>13128</v>
      </c>
      <c r="B11664" t="s">
        <v>780</v>
      </c>
      <c r="C11664">
        <v>612</v>
      </c>
      <c r="D11664">
        <v>528</v>
      </c>
      <c r="E11664">
        <v>1576221095</v>
      </c>
      <c r="F11664">
        <v>7231</v>
      </c>
      <c r="G11664">
        <v>0</v>
      </c>
      <c r="H11664" t="s">
        <v>16565</v>
      </c>
      <c r="I11664">
        <v>13128</v>
      </c>
      <c r="J11664" t="str">
        <f>VLOOKUP(E11664,DSSpieler!A:B,2,FALSE)</f>
        <v>WarumDefen?</v>
      </c>
    </row>
    <row r="11665" spans="1:10" x14ac:dyDescent="0.25">
      <c r="A11665">
        <v>13129</v>
      </c>
      <c r="B11665" t="s">
        <v>531</v>
      </c>
      <c r="C11665">
        <v>585</v>
      </c>
      <c r="D11665">
        <v>572</v>
      </c>
      <c r="E11665">
        <v>0</v>
      </c>
      <c r="F11665">
        <v>282</v>
      </c>
      <c r="G11665">
        <v>0</v>
      </c>
      <c r="H11665" t="s">
        <v>16566</v>
      </c>
      <c r="I11665">
        <v>13129</v>
      </c>
      <c r="J11665" t="e">
        <f>VLOOKUP(E11665,DSSpieler!A:B,2,FALSE)</f>
        <v>#N/A</v>
      </c>
    </row>
    <row r="11666" spans="1:10" x14ac:dyDescent="0.25">
      <c r="A11666">
        <v>13130</v>
      </c>
      <c r="B11666" t="s">
        <v>2194</v>
      </c>
      <c r="C11666">
        <v>401</v>
      </c>
      <c r="D11666">
        <v>489</v>
      </c>
      <c r="E11666">
        <v>1576870112</v>
      </c>
      <c r="F11666">
        <v>1671</v>
      </c>
      <c r="G11666">
        <v>0</v>
      </c>
      <c r="H11666" t="s">
        <v>445</v>
      </c>
      <c r="I11666">
        <v>13130</v>
      </c>
      <c r="J11666" t="str">
        <f>VLOOKUP(E11666,DSSpieler!A:B,2,FALSE)</f>
        <v>nepobjediv55</v>
      </c>
    </row>
    <row r="11667" spans="1:10" x14ac:dyDescent="0.25">
      <c r="A11667">
        <v>13131</v>
      </c>
      <c r="B11667" t="s">
        <v>531</v>
      </c>
      <c r="C11667">
        <v>394</v>
      </c>
      <c r="D11667">
        <v>462</v>
      </c>
      <c r="E11667">
        <v>0</v>
      </c>
      <c r="F11667">
        <v>357</v>
      </c>
      <c r="G11667">
        <v>0</v>
      </c>
      <c r="H11667" t="s">
        <v>16567</v>
      </c>
      <c r="I11667">
        <v>13131</v>
      </c>
      <c r="J11667" t="e">
        <f>VLOOKUP(E11667,DSSpieler!A:B,2,FALSE)</f>
        <v>#N/A</v>
      </c>
    </row>
    <row r="11668" spans="1:10" x14ac:dyDescent="0.25">
      <c r="A11668">
        <v>13132</v>
      </c>
      <c r="B11668" t="s">
        <v>531</v>
      </c>
      <c r="C11668">
        <v>607</v>
      </c>
      <c r="D11668">
        <v>472</v>
      </c>
      <c r="E11668">
        <v>0</v>
      </c>
      <c r="F11668">
        <v>500</v>
      </c>
      <c r="G11668">
        <v>0</v>
      </c>
      <c r="H11668" t="s">
        <v>16568</v>
      </c>
      <c r="I11668">
        <v>13132</v>
      </c>
      <c r="J11668" t="e">
        <f>VLOOKUP(E11668,DSSpieler!A:B,2,FALSE)</f>
        <v>#N/A</v>
      </c>
    </row>
    <row r="11669" spans="1:10" x14ac:dyDescent="0.25">
      <c r="A11669">
        <v>13134</v>
      </c>
      <c r="B11669" t="s">
        <v>531</v>
      </c>
      <c r="C11669">
        <v>456</v>
      </c>
      <c r="D11669">
        <v>399</v>
      </c>
      <c r="E11669">
        <v>0</v>
      </c>
      <c r="F11669">
        <v>478</v>
      </c>
      <c r="G11669">
        <v>0</v>
      </c>
      <c r="H11669" t="s">
        <v>16569</v>
      </c>
      <c r="I11669">
        <v>13134</v>
      </c>
      <c r="J11669" t="e">
        <f>VLOOKUP(E11669,DSSpieler!A:B,2,FALSE)</f>
        <v>#N/A</v>
      </c>
    </row>
    <row r="11670" spans="1:10" x14ac:dyDescent="0.25">
      <c r="A11670">
        <v>13136</v>
      </c>
      <c r="B11670" t="s">
        <v>531</v>
      </c>
      <c r="C11670">
        <v>568</v>
      </c>
      <c r="D11670">
        <v>537</v>
      </c>
      <c r="E11670">
        <v>0</v>
      </c>
      <c r="F11670">
        <v>773</v>
      </c>
      <c r="G11670">
        <v>0</v>
      </c>
      <c r="H11670" t="s">
        <v>16570</v>
      </c>
      <c r="I11670">
        <v>13136</v>
      </c>
      <c r="J11670" t="e">
        <f>VLOOKUP(E11670,DSSpieler!A:B,2,FALSE)</f>
        <v>#N/A</v>
      </c>
    </row>
    <row r="11671" spans="1:10" x14ac:dyDescent="0.25">
      <c r="A11671">
        <v>13137</v>
      </c>
      <c r="B11671" t="s">
        <v>531</v>
      </c>
      <c r="C11671">
        <v>607</v>
      </c>
      <c r="D11671">
        <v>516</v>
      </c>
      <c r="E11671">
        <v>0</v>
      </c>
      <c r="F11671">
        <v>234</v>
      </c>
      <c r="G11671">
        <v>0</v>
      </c>
      <c r="H11671" t="s">
        <v>16571</v>
      </c>
      <c r="I11671">
        <v>13137</v>
      </c>
      <c r="J11671" t="e">
        <f>VLOOKUP(E11671,DSSpieler!A:B,2,FALSE)</f>
        <v>#N/A</v>
      </c>
    </row>
    <row r="11672" spans="1:10" x14ac:dyDescent="0.25">
      <c r="A11672">
        <v>13138</v>
      </c>
      <c r="B11672" t="s">
        <v>531</v>
      </c>
      <c r="C11672">
        <v>528</v>
      </c>
      <c r="D11672">
        <v>606</v>
      </c>
      <c r="E11672">
        <v>0</v>
      </c>
      <c r="F11672">
        <v>1032</v>
      </c>
      <c r="G11672">
        <v>0</v>
      </c>
      <c r="H11672" t="s">
        <v>16572</v>
      </c>
      <c r="I11672">
        <v>13138</v>
      </c>
      <c r="J11672" t="e">
        <f>VLOOKUP(E11672,DSSpieler!A:B,2,FALSE)</f>
        <v>#N/A</v>
      </c>
    </row>
    <row r="11673" spans="1:10" x14ac:dyDescent="0.25">
      <c r="A11673">
        <v>13142</v>
      </c>
      <c r="B11673" t="s">
        <v>2195</v>
      </c>
      <c r="C11673">
        <v>596</v>
      </c>
      <c r="D11673">
        <v>439</v>
      </c>
      <c r="E11673">
        <v>9842736</v>
      </c>
      <c r="F11673">
        <v>5817</v>
      </c>
      <c r="G11673">
        <v>0</v>
      </c>
      <c r="H11673" t="s">
        <v>16573</v>
      </c>
      <c r="I11673">
        <v>13142</v>
      </c>
      <c r="J11673" t="str">
        <f>VLOOKUP(E11673,DSSpieler!A:B,2,FALSE)</f>
        <v>NakedPanda</v>
      </c>
    </row>
    <row r="11674" spans="1:10" x14ac:dyDescent="0.25">
      <c r="A11674">
        <v>13143</v>
      </c>
      <c r="B11674" s="403" t="s">
        <v>34589</v>
      </c>
      <c r="C11674">
        <v>394</v>
      </c>
      <c r="D11674">
        <v>539</v>
      </c>
      <c r="E11674">
        <v>3396933</v>
      </c>
      <c r="F11674">
        <v>7748</v>
      </c>
      <c r="G11674">
        <v>0</v>
      </c>
      <c r="H11674" t="s">
        <v>16574</v>
      </c>
      <c r="I11674">
        <v>13143</v>
      </c>
      <c r="J11674" t="str">
        <f>VLOOKUP(E11674,DSSpieler!A:B,2,FALSE)</f>
        <v>.TheSimpsons.</v>
      </c>
    </row>
    <row r="11675" spans="1:10" x14ac:dyDescent="0.25">
      <c r="A11675">
        <v>13145</v>
      </c>
      <c r="B11675" t="s">
        <v>531</v>
      </c>
      <c r="C11675">
        <v>503</v>
      </c>
      <c r="D11675">
        <v>387</v>
      </c>
      <c r="E11675">
        <v>0</v>
      </c>
      <c r="F11675">
        <v>311</v>
      </c>
      <c r="G11675">
        <v>0</v>
      </c>
      <c r="H11675" t="s">
        <v>16575</v>
      </c>
      <c r="I11675">
        <v>13145</v>
      </c>
      <c r="J11675" t="e">
        <f>VLOOKUP(E11675,DSSpieler!A:B,2,FALSE)</f>
        <v>#N/A</v>
      </c>
    </row>
    <row r="11676" spans="1:10" x14ac:dyDescent="0.25">
      <c r="A11676">
        <v>13146</v>
      </c>
      <c r="B11676" t="s">
        <v>34590</v>
      </c>
      <c r="C11676">
        <v>465</v>
      </c>
      <c r="D11676">
        <v>607</v>
      </c>
      <c r="E11676">
        <v>1576990988</v>
      </c>
      <c r="F11676">
        <v>1862</v>
      </c>
      <c r="G11676">
        <v>0</v>
      </c>
      <c r="H11676" t="s">
        <v>16576</v>
      </c>
      <c r="I11676">
        <v>13146</v>
      </c>
      <c r="J11676" t="str">
        <f>VLOOKUP(E11676,DSSpieler!A:B,2,FALSE)</f>
        <v>Overflow</v>
      </c>
    </row>
    <row r="11677" spans="1:10" x14ac:dyDescent="0.25">
      <c r="A11677">
        <v>13147</v>
      </c>
      <c r="B11677" t="s">
        <v>2196</v>
      </c>
      <c r="C11677">
        <v>389</v>
      </c>
      <c r="D11677">
        <v>519</v>
      </c>
      <c r="E11677">
        <v>1577071766</v>
      </c>
      <c r="F11677">
        <v>4399</v>
      </c>
      <c r="G11677">
        <v>0</v>
      </c>
      <c r="H11677" t="s">
        <v>16577</v>
      </c>
      <c r="I11677">
        <v>13147</v>
      </c>
      <c r="J11677" t="str">
        <f>VLOOKUP(E11677,DSSpieler!A:B,2,FALSE)</f>
        <v>Drizzlek</v>
      </c>
    </row>
    <row r="11678" spans="1:10" x14ac:dyDescent="0.25">
      <c r="A11678">
        <v>13148</v>
      </c>
      <c r="B11678" t="s">
        <v>2197</v>
      </c>
      <c r="C11678">
        <v>568</v>
      </c>
      <c r="D11678">
        <v>407</v>
      </c>
      <c r="E11678">
        <v>1576614137</v>
      </c>
      <c r="F11678">
        <v>4848</v>
      </c>
      <c r="G11678">
        <v>0</v>
      </c>
      <c r="H11678" t="s">
        <v>16578</v>
      </c>
      <c r="I11678">
        <v>13148</v>
      </c>
      <c r="J11678" t="str">
        <f>VLOOKUP(E11678,DSSpieler!A:B,2,FALSE)</f>
        <v>Haze Slayer</v>
      </c>
    </row>
    <row r="11679" spans="1:10" x14ac:dyDescent="0.25">
      <c r="A11679">
        <v>13149</v>
      </c>
      <c r="B11679">
        <v>2</v>
      </c>
      <c r="C11679">
        <v>440</v>
      </c>
      <c r="D11679">
        <v>404</v>
      </c>
      <c r="E11679">
        <v>1577012688</v>
      </c>
      <c r="F11679">
        <v>4727</v>
      </c>
      <c r="G11679">
        <v>0</v>
      </c>
      <c r="H11679" t="s">
        <v>16579</v>
      </c>
      <c r="I11679">
        <v>13149</v>
      </c>
      <c r="J11679" t="str">
        <f>VLOOKUP(E11679,DSSpieler!A:B,2,FALSE)</f>
        <v>LoopingLouie99</v>
      </c>
    </row>
    <row r="11680" spans="1:10" x14ac:dyDescent="0.25">
      <c r="A11680">
        <v>13150</v>
      </c>
      <c r="B11680" t="s">
        <v>531</v>
      </c>
      <c r="C11680">
        <v>500</v>
      </c>
      <c r="D11680">
        <v>604</v>
      </c>
      <c r="E11680">
        <v>0</v>
      </c>
      <c r="F11680">
        <v>802</v>
      </c>
      <c r="G11680">
        <v>0</v>
      </c>
      <c r="H11680" t="s">
        <v>16580</v>
      </c>
      <c r="I11680">
        <v>13150</v>
      </c>
      <c r="J11680" t="e">
        <f>VLOOKUP(E11680,DSSpieler!A:B,2,FALSE)</f>
        <v>#N/A</v>
      </c>
    </row>
    <row r="11681" spans="1:10" x14ac:dyDescent="0.25">
      <c r="A11681">
        <v>13151</v>
      </c>
      <c r="B11681" t="s">
        <v>34591</v>
      </c>
      <c r="C11681">
        <v>599</v>
      </c>
      <c r="D11681">
        <v>501</v>
      </c>
      <c r="E11681">
        <v>2917196</v>
      </c>
      <c r="F11681">
        <v>4686</v>
      </c>
      <c r="G11681">
        <v>0</v>
      </c>
      <c r="H11681" t="s">
        <v>16581</v>
      </c>
      <c r="I11681">
        <v>13151</v>
      </c>
      <c r="J11681" t="str">
        <f>VLOOKUP(E11681,DSSpieler!A:B,2,FALSE)</f>
        <v>zelli46</v>
      </c>
    </row>
    <row r="11682" spans="1:10" x14ac:dyDescent="0.25">
      <c r="A11682">
        <v>13152</v>
      </c>
      <c r="B11682" t="s">
        <v>531</v>
      </c>
      <c r="C11682">
        <v>443</v>
      </c>
      <c r="D11682">
        <v>597</v>
      </c>
      <c r="E11682">
        <v>0</v>
      </c>
      <c r="F11682">
        <v>42</v>
      </c>
      <c r="G11682">
        <v>0</v>
      </c>
      <c r="H11682" t="s">
        <v>16582</v>
      </c>
      <c r="I11682">
        <v>13152</v>
      </c>
      <c r="J11682" t="e">
        <f>VLOOKUP(E11682,DSSpieler!A:B,2,FALSE)</f>
        <v>#N/A</v>
      </c>
    </row>
    <row r="11683" spans="1:10" x14ac:dyDescent="0.25">
      <c r="A11683">
        <v>13153</v>
      </c>
      <c r="B11683">
        <v>111</v>
      </c>
      <c r="C11683">
        <v>603</v>
      </c>
      <c r="D11683">
        <v>456</v>
      </c>
      <c r="E11683">
        <v>1577187246</v>
      </c>
      <c r="F11683">
        <v>5950</v>
      </c>
      <c r="G11683">
        <v>0</v>
      </c>
      <c r="H11683" t="s">
        <v>16583</v>
      </c>
      <c r="I11683">
        <v>13153</v>
      </c>
      <c r="J11683" t="str">
        <f>VLOOKUP(E11683,DSSpieler!A:B,2,FALSE)</f>
        <v>alteeer</v>
      </c>
    </row>
    <row r="11684" spans="1:10" x14ac:dyDescent="0.25">
      <c r="A11684">
        <v>13154</v>
      </c>
      <c r="B11684" t="s">
        <v>531</v>
      </c>
      <c r="C11684">
        <v>389</v>
      </c>
      <c r="D11684">
        <v>514</v>
      </c>
      <c r="E11684">
        <v>0</v>
      </c>
      <c r="F11684">
        <v>303</v>
      </c>
      <c r="G11684">
        <v>0</v>
      </c>
      <c r="H11684" t="s">
        <v>16584</v>
      </c>
      <c r="I11684">
        <v>13154</v>
      </c>
      <c r="J11684" t="e">
        <f>VLOOKUP(E11684,DSSpieler!A:B,2,FALSE)</f>
        <v>#N/A</v>
      </c>
    </row>
    <row r="11685" spans="1:10" x14ac:dyDescent="0.25">
      <c r="A11685">
        <v>13155</v>
      </c>
      <c r="B11685" t="s">
        <v>531</v>
      </c>
      <c r="C11685">
        <v>490</v>
      </c>
      <c r="D11685">
        <v>612</v>
      </c>
      <c r="E11685">
        <v>0</v>
      </c>
      <c r="F11685">
        <v>381</v>
      </c>
      <c r="G11685">
        <v>0</v>
      </c>
      <c r="H11685" t="s">
        <v>16585</v>
      </c>
      <c r="I11685">
        <v>13155</v>
      </c>
      <c r="J11685" t="e">
        <f>VLOOKUP(E11685,DSSpieler!A:B,2,FALSE)</f>
        <v>#N/A</v>
      </c>
    </row>
    <row r="11686" spans="1:10" x14ac:dyDescent="0.25">
      <c r="A11686">
        <v>13156</v>
      </c>
      <c r="B11686" t="s">
        <v>34592</v>
      </c>
      <c r="C11686">
        <v>398</v>
      </c>
      <c r="D11686">
        <v>453</v>
      </c>
      <c r="E11686">
        <v>312204</v>
      </c>
      <c r="F11686">
        <v>506</v>
      </c>
      <c r="G11686">
        <v>0</v>
      </c>
      <c r="H11686" t="s">
        <v>16586</v>
      </c>
      <c r="I11686">
        <v>13156</v>
      </c>
      <c r="J11686" t="str">
        <f>VLOOKUP(E11686,DSSpieler!A:B,2,FALSE)</f>
        <v>Stiesel</v>
      </c>
    </row>
    <row r="11687" spans="1:10" x14ac:dyDescent="0.25">
      <c r="A11687">
        <v>13157</v>
      </c>
      <c r="B11687" t="s">
        <v>531</v>
      </c>
      <c r="C11687">
        <v>399</v>
      </c>
      <c r="D11687">
        <v>461</v>
      </c>
      <c r="E11687">
        <v>0</v>
      </c>
      <c r="F11687">
        <v>357</v>
      </c>
      <c r="G11687">
        <v>0</v>
      </c>
      <c r="H11687" t="s">
        <v>16587</v>
      </c>
      <c r="I11687">
        <v>13157</v>
      </c>
      <c r="J11687" t="e">
        <f>VLOOKUP(E11687,DSSpieler!A:B,2,FALSE)</f>
        <v>#N/A</v>
      </c>
    </row>
    <row r="11688" spans="1:10" x14ac:dyDescent="0.25">
      <c r="A11688">
        <v>13158</v>
      </c>
      <c r="B11688" t="s">
        <v>531</v>
      </c>
      <c r="C11688">
        <v>543</v>
      </c>
      <c r="D11688">
        <v>398</v>
      </c>
      <c r="E11688">
        <v>0</v>
      </c>
      <c r="F11688">
        <v>566</v>
      </c>
      <c r="G11688">
        <v>0</v>
      </c>
      <c r="H11688" t="s">
        <v>16588</v>
      </c>
      <c r="I11688">
        <v>13158</v>
      </c>
      <c r="J11688" t="e">
        <f>VLOOKUP(E11688,DSSpieler!A:B,2,FALSE)</f>
        <v>#N/A</v>
      </c>
    </row>
    <row r="11689" spans="1:10" x14ac:dyDescent="0.25">
      <c r="A11689">
        <v>13159</v>
      </c>
      <c r="B11689" t="s">
        <v>2198</v>
      </c>
      <c r="C11689">
        <v>603</v>
      </c>
      <c r="D11689">
        <v>540</v>
      </c>
      <c r="E11689">
        <v>1577010730</v>
      </c>
      <c r="F11689">
        <v>5103</v>
      </c>
      <c r="G11689">
        <v>0</v>
      </c>
      <c r="H11689" t="s">
        <v>16589</v>
      </c>
      <c r="I11689">
        <v>13159</v>
      </c>
      <c r="J11689" t="str">
        <f>VLOOKUP(E11689,DSSpieler!A:B,2,FALSE)</f>
        <v>Mongogriepsch</v>
      </c>
    </row>
    <row r="11690" spans="1:10" x14ac:dyDescent="0.25">
      <c r="A11690">
        <v>13160</v>
      </c>
      <c r="B11690" t="s">
        <v>34593</v>
      </c>
      <c r="C11690">
        <v>538</v>
      </c>
      <c r="D11690">
        <v>508</v>
      </c>
      <c r="E11690">
        <v>1577168204</v>
      </c>
      <c r="F11690">
        <v>2060</v>
      </c>
      <c r="G11690">
        <v>0</v>
      </c>
      <c r="H11690" t="s">
        <v>16590</v>
      </c>
      <c r="I11690">
        <v>13160</v>
      </c>
      <c r="J11690" t="str">
        <f>VLOOKUP(E11690,DSSpieler!A:B,2,FALSE)</f>
        <v>Argeast</v>
      </c>
    </row>
    <row r="11691" spans="1:10" x14ac:dyDescent="0.25">
      <c r="A11691">
        <v>13161</v>
      </c>
      <c r="B11691" t="s">
        <v>2199</v>
      </c>
      <c r="C11691">
        <v>465</v>
      </c>
      <c r="D11691">
        <v>395</v>
      </c>
      <c r="E11691">
        <v>1183177</v>
      </c>
      <c r="F11691">
        <v>5085</v>
      </c>
      <c r="G11691">
        <v>0</v>
      </c>
      <c r="H11691" t="s">
        <v>16591</v>
      </c>
      <c r="I11691">
        <v>13161</v>
      </c>
      <c r="J11691" t="str">
        <f>VLOOKUP(E11691,DSSpieler!A:B,2,FALSE)</f>
        <v>Schaefery</v>
      </c>
    </row>
    <row r="11692" spans="1:10" x14ac:dyDescent="0.25">
      <c r="A11692">
        <v>13162</v>
      </c>
      <c r="B11692" t="s">
        <v>34594</v>
      </c>
      <c r="C11692">
        <v>397</v>
      </c>
      <c r="D11692">
        <v>548</v>
      </c>
      <c r="E11692">
        <v>2816098</v>
      </c>
      <c r="F11692">
        <v>4904</v>
      </c>
      <c r="G11692">
        <v>0</v>
      </c>
      <c r="H11692" t="s">
        <v>16592</v>
      </c>
      <c r="I11692">
        <v>13162</v>
      </c>
      <c r="J11692" t="str">
        <f>VLOOKUP(E11692,DSSpieler!A:B,2,FALSE)</f>
        <v>iN sM0ke</v>
      </c>
    </row>
    <row r="11693" spans="1:10" x14ac:dyDescent="0.25">
      <c r="A11693">
        <v>13163</v>
      </c>
      <c r="B11693" t="s">
        <v>531</v>
      </c>
      <c r="C11693">
        <v>476</v>
      </c>
      <c r="D11693">
        <v>390</v>
      </c>
      <c r="E11693">
        <v>0</v>
      </c>
      <c r="F11693">
        <v>302</v>
      </c>
      <c r="G11693">
        <v>0</v>
      </c>
      <c r="H11693" t="s">
        <v>16593</v>
      </c>
      <c r="I11693">
        <v>13163</v>
      </c>
      <c r="J11693" t="e">
        <f>VLOOKUP(E11693,DSSpieler!A:B,2,FALSE)</f>
        <v>#N/A</v>
      </c>
    </row>
    <row r="11694" spans="1:10" x14ac:dyDescent="0.25">
      <c r="A11694">
        <v>13164</v>
      </c>
      <c r="B11694" t="s">
        <v>2200</v>
      </c>
      <c r="C11694">
        <v>601</v>
      </c>
      <c r="D11694">
        <v>457</v>
      </c>
      <c r="E11694">
        <v>1577002061</v>
      </c>
      <c r="F11694">
        <v>6045</v>
      </c>
      <c r="G11694">
        <v>0</v>
      </c>
      <c r="H11694" t="s">
        <v>16594</v>
      </c>
      <c r="I11694">
        <v>13164</v>
      </c>
      <c r="J11694" t="str">
        <f>VLOOKUP(E11694,DSSpieler!A:B,2,FALSE)</f>
        <v>König Jonny</v>
      </c>
    </row>
    <row r="11695" spans="1:10" x14ac:dyDescent="0.25">
      <c r="A11695">
        <v>13165</v>
      </c>
      <c r="B11695" t="s">
        <v>34595</v>
      </c>
      <c r="C11695">
        <v>388</v>
      </c>
      <c r="D11695">
        <v>506</v>
      </c>
      <c r="E11695">
        <v>1576147930</v>
      </c>
      <c r="F11695">
        <v>4601</v>
      </c>
      <c r="G11695">
        <v>0</v>
      </c>
      <c r="H11695" t="s">
        <v>16595</v>
      </c>
      <c r="I11695">
        <v>13165</v>
      </c>
      <c r="J11695" t="str">
        <f>VLOOKUP(E11695,DSSpieler!A:B,2,FALSE)</f>
        <v>Fruchtsaftschorle</v>
      </c>
    </row>
    <row r="11696" spans="1:10" x14ac:dyDescent="0.25">
      <c r="A11696">
        <v>13166</v>
      </c>
      <c r="B11696" t="s">
        <v>531</v>
      </c>
      <c r="C11696">
        <v>595</v>
      </c>
      <c r="D11696">
        <v>561</v>
      </c>
      <c r="E11696">
        <v>0</v>
      </c>
      <c r="F11696">
        <v>197</v>
      </c>
      <c r="G11696">
        <v>0</v>
      </c>
      <c r="H11696" t="s">
        <v>16596</v>
      </c>
      <c r="I11696">
        <v>13166</v>
      </c>
      <c r="J11696" t="e">
        <f>VLOOKUP(E11696,DSSpieler!A:B,2,FALSE)</f>
        <v>#N/A</v>
      </c>
    </row>
    <row r="11697" spans="1:10" x14ac:dyDescent="0.25">
      <c r="A11697">
        <v>13167</v>
      </c>
      <c r="B11697" t="s">
        <v>34596</v>
      </c>
      <c r="C11697">
        <v>568</v>
      </c>
      <c r="D11697">
        <v>583</v>
      </c>
      <c r="E11697">
        <v>9194341</v>
      </c>
      <c r="F11697">
        <v>5006</v>
      </c>
      <c r="G11697">
        <v>0</v>
      </c>
      <c r="H11697" t="s">
        <v>16597</v>
      </c>
      <c r="I11697">
        <v>13167</v>
      </c>
      <c r="J11697" t="str">
        <f>VLOOKUP(E11697,DSSpieler!A:B,2,FALSE)</f>
        <v>Simon der Groooße</v>
      </c>
    </row>
    <row r="11698" spans="1:10" x14ac:dyDescent="0.25">
      <c r="A11698">
        <v>13168</v>
      </c>
      <c r="B11698" t="s">
        <v>531</v>
      </c>
      <c r="C11698">
        <v>441</v>
      </c>
      <c r="D11698">
        <v>597</v>
      </c>
      <c r="E11698">
        <v>0</v>
      </c>
      <c r="F11698">
        <v>271</v>
      </c>
      <c r="G11698">
        <v>0</v>
      </c>
      <c r="H11698" t="s">
        <v>16598</v>
      </c>
      <c r="I11698">
        <v>13168</v>
      </c>
      <c r="J11698" t="e">
        <f>VLOOKUP(E11698,DSSpieler!A:B,2,FALSE)</f>
        <v>#N/A</v>
      </c>
    </row>
    <row r="11699" spans="1:10" x14ac:dyDescent="0.25">
      <c r="A11699">
        <v>13169</v>
      </c>
      <c r="B11699" t="s">
        <v>531</v>
      </c>
      <c r="C11699">
        <v>408</v>
      </c>
      <c r="D11699">
        <v>560</v>
      </c>
      <c r="E11699">
        <v>0</v>
      </c>
      <c r="F11699">
        <v>311</v>
      </c>
      <c r="G11699">
        <v>0</v>
      </c>
      <c r="H11699" t="s">
        <v>16599</v>
      </c>
      <c r="I11699">
        <v>13169</v>
      </c>
      <c r="J11699" t="e">
        <f>VLOOKUP(E11699,DSSpieler!A:B,2,FALSE)</f>
        <v>#N/A</v>
      </c>
    </row>
    <row r="11700" spans="1:10" x14ac:dyDescent="0.25">
      <c r="A11700">
        <v>13171</v>
      </c>
      <c r="B11700" t="s">
        <v>531</v>
      </c>
      <c r="C11700">
        <v>476</v>
      </c>
      <c r="D11700">
        <v>610</v>
      </c>
      <c r="E11700">
        <v>0</v>
      </c>
      <c r="F11700">
        <v>256</v>
      </c>
      <c r="G11700">
        <v>0</v>
      </c>
      <c r="H11700" t="s">
        <v>16600</v>
      </c>
      <c r="I11700">
        <v>13171</v>
      </c>
      <c r="J11700" t="e">
        <f>VLOOKUP(E11700,DSSpieler!A:B,2,FALSE)</f>
        <v>#N/A</v>
      </c>
    </row>
    <row r="11701" spans="1:10" x14ac:dyDescent="0.25">
      <c r="A11701">
        <v>13172</v>
      </c>
      <c r="B11701" t="s">
        <v>531</v>
      </c>
      <c r="C11701">
        <v>438</v>
      </c>
      <c r="D11701">
        <v>593</v>
      </c>
      <c r="E11701">
        <v>0</v>
      </c>
      <c r="F11701">
        <v>188</v>
      </c>
      <c r="G11701">
        <v>0</v>
      </c>
      <c r="H11701" t="s">
        <v>16601</v>
      </c>
      <c r="I11701">
        <v>13172</v>
      </c>
      <c r="J11701" t="e">
        <f>VLOOKUP(E11701,DSSpieler!A:B,2,FALSE)</f>
        <v>#N/A</v>
      </c>
    </row>
    <row r="11702" spans="1:10" x14ac:dyDescent="0.25">
      <c r="A11702">
        <v>13173</v>
      </c>
      <c r="B11702" t="s">
        <v>34597</v>
      </c>
      <c r="C11702">
        <v>529</v>
      </c>
      <c r="D11702">
        <v>611</v>
      </c>
      <c r="E11702">
        <v>832699</v>
      </c>
      <c r="F11702">
        <v>5864</v>
      </c>
      <c r="G11702">
        <v>0</v>
      </c>
      <c r="H11702" t="s">
        <v>16602</v>
      </c>
      <c r="I11702">
        <v>13173</v>
      </c>
      <c r="J11702" t="str">
        <f>VLOOKUP(E11702,DSSpieler!A:B,2,FALSE)</f>
        <v>Y@r0n</v>
      </c>
    </row>
    <row r="11703" spans="1:10" x14ac:dyDescent="0.25">
      <c r="A11703">
        <v>13174</v>
      </c>
      <c r="B11703" t="s">
        <v>2201</v>
      </c>
      <c r="C11703">
        <v>496</v>
      </c>
      <c r="D11703">
        <v>386</v>
      </c>
      <c r="E11703">
        <v>10226787</v>
      </c>
      <c r="F11703">
        <v>825</v>
      </c>
      <c r="G11703">
        <v>0</v>
      </c>
      <c r="H11703" t="s">
        <v>16603</v>
      </c>
      <c r="I11703">
        <v>13174</v>
      </c>
      <c r="J11703" t="str">
        <f>VLOOKUP(E11703,DSSpieler!A:B,2,FALSE)</f>
        <v>LoLLoL111</v>
      </c>
    </row>
    <row r="11704" spans="1:10" x14ac:dyDescent="0.25">
      <c r="A11704">
        <v>13175</v>
      </c>
      <c r="B11704" t="s">
        <v>531</v>
      </c>
      <c r="C11704">
        <v>582</v>
      </c>
      <c r="D11704">
        <v>428</v>
      </c>
      <c r="E11704">
        <v>0</v>
      </c>
      <c r="F11704">
        <v>176</v>
      </c>
      <c r="G11704">
        <v>0</v>
      </c>
      <c r="H11704" t="s">
        <v>16604</v>
      </c>
      <c r="I11704">
        <v>13175</v>
      </c>
      <c r="J11704" t="e">
        <f>VLOOKUP(E11704,DSSpieler!A:B,2,FALSE)</f>
        <v>#N/A</v>
      </c>
    </row>
    <row r="11705" spans="1:10" x14ac:dyDescent="0.25">
      <c r="A11705">
        <v>13176</v>
      </c>
      <c r="B11705" t="s">
        <v>531</v>
      </c>
      <c r="C11705">
        <v>499</v>
      </c>
      <c r="D11705">
        <v>384</v>
      </c>
      <c r="E11705">
        <v>0</v>
      </c>
      <c r="F11705">
        <v>326</v>
      </c>
      <c r="G11705">
        <v>0</v>
      </c>
      <c r="H11705" t="s">
        <v>16605</v>
      </c>
      <c r="I11705">
        <v>13176</v>
      </c>
      <c r="J11705" t="e">
        <f>VLOOKUP(E11705,DSSpieler!A:B,2,FALSE)</f>
        <v>#N/A</v>
      </c>
    </row>
    <row r="11706" spans="1:10" x14ac:dyDescent="0.25">
      <c r="A11706">
        <v>13177</v>
      </c>
      <c r="B11706" t="s">
        <v>34598</v>
      </c>
      <c r="C11706">
        <v>404</v>
      </c>
      <c r="D11706">
        <v>555</v>
      </c>
      <c r="E11706">
        <v>287459</v>
      </c>
      <c r="F11706">
        <v>281</v>
      </c>
      <c r="G11706">
        <v>0</v>
      </c>
      <c r="H11706" t="s">
        <v>16606</v>
      </c>
      <c r="I11706">
        <v>13177</v>
      </c>
      <c r="J11706" t="str">
        <f>VLOOKUP(E11706,DSSpieler!A:B,2,FALSE)</f>
        <v>Evangelina</v>
      </c>
    </row>
    <row r="11707" spans="1:10" x14ac:dyDescent="0.25">
      <c r="A11707">
        <v>13178</v>
      </c>
      <c r="B11707" t="s">
        <v>30980</v>
      </c>
      <c r="C11707">
        <v>427</v>
      </c>
      <c r="D11707">
        <v>446</v>
      </c>
      <c r="E11707">
        <v>1576923004</v>
      </c>
      <c r="F11707">
        <v>5633</v>
      </c>
      <c r="G11707">
        <v>0</v>
      </c>
      <c r="H11707" t="s">
        <v>16607</v>
      </c>
      <c r="I11707">
        <v>13178</v>
      </c>
      <c r="J11707" t="str">
        <f>VLOOKUP(E11707,DSSpieler!A:B,2,FALSE)</f>
        <v>Ahaleks</v>
      </c>
    </row>
    <row r="11708" spans="1:10" x14ac:dyDescent="0.25">
      <c r="A11708">
        <v>13180</v>
      </c>
      <c r="B11708" t="s">
        <v>31977</v>
      </c>
      <c r="C11708">
        <v>570</v>
      </c>
      <c r="D11708">
        <v>412</v>
      </c>
      <c r="E11708">
        <v>3130049</v>
      </c>
      <c r="F11708">
        <v>1740</v>
      </c>
      <c r="G11708">
        <v>0</v>
      </c>
      <c r="H11708" t="s">
        <v>16608</v>
      </c>
      <c r="I11708">
        <v>13180</v>
      </c>
      <c r="J11708" t="str">
        <f>VLOOKUP(E11708,DSSpieler!A:B,2,FALSE)</f>
        <v>crazy1206</v>
      </c>
    </row>
    <row r="11709" spans="1:10" x14ac:dyDescent="0.25">
      <c r="A11709">
        <v>13181</v>
      </c>
      <c r="B11709" t="s">
        <v>531</v>
      </c>
      <c r="C11709">
        <v>562</v>
      </c>
      <c r="D11709">
        <v>594</v>
      </c>
      <c r="E11709">
        <v>0</v>
      </c>
      <c r="F11709">
        <v>934</v>
      </c>
      <c r="G11709">
        <v>0</v>
      </c>
      <c r="H11709" t="s">
        <v>16609</v>
      </c>
      <c r="I11709">
        <v>13181</v>
      </c>
      <c r="J11709" t="e">
        <f>VLOOKUP(E11709,DSSpieler!A:B,2,FALSE)</f>
        <v>#N/A</v>
      </c>
    </row>
    <row r="11710" spans="1:10" x14ac:dyDescent="0.25">
      <c r="A11710">
        <v>13182</v>
      </c>
      <c r="B11710" t="s">
        <v>546</v>
      </c>
      <c r="C11710">
        <v>507</v>
      </c>
      <c r="D11710">
        <v>422</v>
      </c>
      <c r="E11710">
        <v>1577199618</v>
      </c>
      <c r="F11710">
        <v>7796</v>
      </c>
      <c r="G11710">
        <v>0</v>
      </c>
      <c r="H11710" t="s">
        <v>16610</v>
      </c>
      <c r="I11710">
        <v>13182</v>
      </c>
      <c r="J11710" t="str">
        <f>VLOOKUP(E11710,DSSpieler!A:B,2,FALSE)</f>
        <v>Silverspeed</v>
      </c>
    </row>
    <row r="11711" spans="1:10" x14ac:dyDescent="0.25">
      <c r="A11711">
        <v>13183</v>
      </c>
      <c r="B11711" t="s">
        <v>2202</v>
      </c>
      <c r="C11711">
        <v>515</v>
      </c>
      <c r="D11711">
        <v>423</v>
      </c>
      <c r="E11711">
        <v>9132493</v>
      </c>
      <c r="F11711">
        <v>7101</v>
      </c>
      <c r="G11711">
        <v>0</v>
      </c>
      <c r="H11711" t="s">
        <v>16611</v>
      </c>
      <c r="I11711">
        <v>13183</v>
      </c>
      <c r="J11711" t="str">
        <f>VLOOKUP(E11711,DSSpieler!A:B,2,FALSE)</f>
        <v>RaZE pWnz EU</v>
      </c>
    </row>
    <row r="11712" spans="1:10" x14ac:dyDescent="0.25">
      <c r="A11712">
        <v>13184</v>
      </c>
      <c r="B11712" t="s">
        <v>531</v>
      </c>
      <c r="C11712">
        <v>544</v>
      </c>
      <c r="D11712">
        <v>603</v>
      </c>
      <c r="E11712">
        <v>0</v>
      </c>
      <c r="F11712">
        <v>593</v>
      </c>
      <c r="G11712">
        <v>0</v>
      </c>
      <c r="H11712" t="s">
        <v>16612</v>
      </c>
      <c r="I11712">
        <v>13184</v>
      </c>
      <c r="J11712" t="e">
        <f>VLOOKUP(E11712,DSSpieler!A:B,2,FALSE)</f>
        <v>#N/A</v>
      </c>
    </row>
    <row r="11713" spans="1:10" x14ac:dyDescent="0.25">
      <c r="A11713">
        <v>13185</v>
      </c>
      <c r="B11713" t="s">
        <v>34599</v>
      </c>
      <c r="C11713">
        <v>581</v>
      </c>
      <c r="D11713">
        <v>460</v>
      </c>
      <c r="E11713">
        <v>1577185442</v>
      </c>
      <c r="F11713">
        <v>5077</v>
      </c>
      <c r="G11713">
        <v>0</v>
      </c>
      <c r="H11713" t="s">
        <v>16613</v>
      </c>
      <c r="I11713">
        <v>13185</v>
      </c>
      <c r="J11713" t="str">
        <f>VLOOKUP(E11713,DSSpieler!A:B,2,FALSE)</f>
        <v>phagozyt</v>
      </c>
    </row>
    <row r="11714" spans="1:10" x14ac:dyDescent="0.25">
      <c r="A11714">
        <v>13186</v>
      </c>
      <c r="B11714">
        <v>1</v>
      </c>
      <c r="C11714">
        <v>437</v>
      </c>
      <c r="D11714">
        <v>594</v>
      </c>
      <c r="E11714">
        <v>1576237852</v>
      </c>
      <c r="F11714">
        <v>4556</v>
      </c>
      <c r="G11714">
        <v>0</v>
      </c>
      <c r="H11714" t="s">
        <v>16614</v>
      </c>
      <c r="I11714">
        <v>13186</v>
      </c>
      <c r="J11714" t="str">
        <f>VLOOKUP(E11714,DSSpieler!A:B,2,FALSE)</f>
        <v>arijen92</v>
      </c>
    </row>
    <row r="11715" spans="1:10" x14ac:dyDescent="0.25">
      <c r="A11715">
        <v>13187</v>
      </c>
      <c r="B11715" t="s">
        <v>34600</v>
      </c>
      <c r="C11715">
        <v>475</v>
      </c>
      <c r="D11715">
        <v>389</v>
      </c>
      <c r="E11715">
        <v>3314936</v>
      </c>
      <c r="F11715">
        <v>3691</v>
      </c>
      <c r="G11715">
        <v>0</v>
      </c>
      <c r="H11715" t="s">
        <v>16615</v>
      </c>
      <c r="I11715">
        <v>13187</v>
      </c>
      <c r="J11715" t="str">
        <f>VLOOKUP(E11715,DSSpieler!A:B,2,FALSE)</f>
        <v>Matt239</v>
      </c>
    </row>
    <row r="11716" spans="1:10" x14ac:dyDescent="0.25">
      <c r="A11716">
        <v>13188</v>
      </c>
      <c r="B11716" t="s">
        <v>2203</v>
      </c>
      <c r="C11716">
        <v>388</v>
      </c>
      <c r="D11716">
        <v>505</v>
      </c>
      <c r="E11716">
        <v>1576147930</v>
      </c>
      <c r="F11716">
        <v>7338</v>
      </c>
      <c r="G11716">
        <v>0</v>
      </c>
      <c r="H11716" t="s">
        <v>16616</v>
      </c>
      <c r="I11716">
        <v>13188</v>
      </c>
      <c r="J11716" t="str">
        <f>VLOOKUP(E11716,DSSpieler!A:B,2,FALSE)</f>
        <v>Fruchtsaftschorle</v>
      </c>
    </row>
    <row r="11717" spans="1:10" x14ac:dyDescent="0.25">
      <c r="A11717">
        <v>13189</v>
      </c>
      <c r="B11717" t="s">
        <v>531</v>
      </c>
      <c r="C11717">
        <v>540</v>
      </c>
      <c r="D11717">
        <v>605</v>
      </c>
      <c r="E11717">
        <v>0</v>
      </c>
      <c r="F11717">
        <v>375</v>
      </c>
      <c r="G11717">
        <v>0</v>
      </c>
      <c r="H11717" t="s">
        <v>16617</v>
      </c>
      <c r="I11717">
        <v>13189</v>
      </c>
      <c r="J11717" t="e">
        <f>VLOOKUP(E11717,DSSpieler!A:B,2,FALSE)</f>
        <v>#N/A</v>
      </c>
    </row>
    <row r="11718" spans="1:10" x14ac:dyDescent="0.25">
      <c r="A11718">
        <v>13190</v>
      </c>
      <c r="B11718">
        <v>3</v>
      </c>
      <c r="C11718">
        <v>476</v>
      </c>
      <c r="D11718">
        <v>404</v>
      </c>
      <c r="E11718">
        <v>1577069780</v>
      </c>
      <c r="F11718">
        <v>3647</v>
      </c>
      <c r="G11718">
        <v>0</v>
      </c>
      <c r="H11718" t="s">
        <v>16618</v>
      </c>
      <c r="I11718">
        <v>13190</v>
      </c>
      <c r="J11718" t="str">
        <f>VLOOKUP(E11718,DSSpieler!A:B,2,FALSE)</f>
        <v>46erOberweite</v>
      </c>
    </row>
    <row r="11719" spans="1:10" x14ac:dyDescent="0.25">
      <c r="A11719">
        <v>13192</v>
      </c>
      <c r="B11719" t="s">
        <v>531</v>
      </c>
      <c r="C11719">
        <v>478</v>
      </c>
      <c r="D11719">
        <v>413</v>
      </c>
      <c r="E11719">
        <v>0</v>
      </c>
      <c r="F11719">
        <v>1025</v>
      </c>
      <c r="G11719">
        <v>0</v>
      </c>
      <c r="H11719" t="s">
        <v>16619</v>
      </c>
      <c r="I11719">
        <v>13192</v>
      </c>
      <c r="J11719" t="e">
        <f>VLOOKUP(E11719,DSSpieler!A:B,2,FALSE)</f>
        <v>#N/A</v>
      </c>
    </row>
    <row r="11720" spans="1:10" x14ac:dyDescent="0.25">
      <c r="A11720">
        <v>13193</v>
      </c>
      <c r="B11720" t="s">
        <v>531</v>
      </c>
      <c r="C11720">
        <v>554</v>
      </c>
      <c r="D11720">
        <v>458</v>
      </c>
      <c r="E11720">
        <v>0</v>
      </c>
      <c r="F11720">
        <v>242</v>
      </c>
      <c r="G11720">
        <v>0</v>
      </c>
      <c r="H11720" t="s">
        <v>16620</v>
      </c>
      <c r="I11720">
        <v>13193</v>
      </c>
      <c r="J11720" t="e">
        <f>VLOOKUP(E11720,DSSpieler!A:B,2,FALSE)</f>
        <v>#N/A</v>
      </c>
    </row>
    <row r="11721" spans="1:10" x14ac:dyDescent="0.25">
      <c r="A11721">
        <v>13194</v>
      </c>
      <c r="B11721" t="s">
        <v>34601</v>
      </c>
      <c r="C11721">
        <v>562</v>
      </c>
      <c r="D11721">
        <v>425</v>
      </c>
      <c r="E11721">
        <v>1162784</v>
      </c>
      <c r="F11721">
        <v>7606</v>
      </c>
      <c r="G11721">
        <v>0</v>
      </c>
      <c r="H11721" t="s">
        <v>16621</v>
      </c>
      <c r="I11721">
        <v>13194</v>
      </c>
      <c r="J11721" t="str">
        <f>VLOOKUP(E11721,DSSpieler!A:B,2,FALSE)</f>
        <v>cVraCer</v>
      </c>
    </row>
    <row r="11722" spans="1:10" x14ac:dyDescent="0.25">
      <c r="A11722">
        <v>13195</v>
      </c>
      <c r="B11722" t="s">
        <v>34602</v>
      </c>
      <c r="C11722">
        <v>559</v>
      </c>
      <c r="D11722">
        <v>600</v>
      </c>
      <c r="E11722">
        <v>1577184112</v>
      </c>
      <c r="F11722">
        <v>5986</v>
      </c>
      <c r="G11722">
        <v>0</v>
      </c>
      <c r="H11722" t="s">
        <v>16622</v>
      </c>
      <c r="I11722">
        <v>13195</v>
      </c>
      <c r="J11722" t="str">
        <f>VLOOKUP(E11722,DSSpieler!A:B,2,FALSE)</f>
        <v>aTioXueL</v>
      </c>
    </row>
    <row r="11723" spans="1:10" x14ac:dyDescent="0.25">
      <c r="A11723">
        <v>13197</v>
      </c>
      <c r="B11723" t="s">
        <v>2204</v>
      </c>
      <c r="C11723">
        <v>460</v>
      </c>
      <c r="D11723">
        <v>412</v>
      </c>
      <c r="E11723">
        <v>1577008422</v>
      </c>
      <c r="F11723">
        <v>1443</v>
      </c>
      <c r="G11723">
        <v>0</v>
      </c>
      <c r="H11723" t="s">
        <v>16623</v>
      </c>
      <c r="I11723">
        <v>13197</v>
      </c>
      <c r="J11723" t="str">
        <f>VLOOKUP(E11723,DSSpieler!A:B,2,FALSE)</f>
        <v>Kevko94</v>
      </c>
    </row>
    <row r="11724" spans="1:10" x14ac:dyDescent="0.25">
      <c r="A11724">
        <v>13199</v>
      </c>
      <c r="B11724" t="s">
        <v>531</v>
      </c>
      <c r="C11724">
        <v>596</v>
      </c>
      <c r="D11724">
        <v>442</v>
      </c>
      <c r="E11724">
        <v>0</v>
      </c>
      <c r="F11724">
        <v>613</v>
      </c>
      <c r="G11724">
        <v>0</v>
      </c>
      <c r="H11724" t="s">
        <v>16624</v>
      </c>
      <c r="I11724">
        <v>13199</v>
      </c>
      <c r="J11724" t="e">
        <f>VLOOKUP(E11724,DSSpieler!A:B,2,FALSE)</f>
        <v>#N/A</v>
      </c>
    </row>
    <row r="11725" spans="1:10" x14ac:dyDescent="0.25">
      <c r="A11725">
        <v>13200</v>
      </c>
      <c r="B11725" t="s">
        <v>34603</v>
      </c>
      <c r="C11725">
        <v>445</v>
      </c>
      <c r="D11725">
        <v>404</v>
      </c>
      <c r="E11725">
        <v>1577126240</v>
      </c>
      <c r="F11725">
        <v>6778</v>
      </c>
      <c r="G11725">
        <v>0</v>
      </c>
      <c r="H11725" t="s">
        <v>16625</v>
      </c>
      <c r="I11725">
        <v>13200</v>
      </c>
      <c r="J11725" t="str">
        <f>VLOOKUP(E11725,DSSpieler!A:B,2,FALSE)</f>
        <v>T-Eazy</v>
      </c>
    </row>
    <row r="11726" spans="1:10" x14ac:dyDescent="0.25">
      <c r="A11726">
        <v>13201</v>
      </c>
      <c r="B11726" t="s">
        <v>531</v>
      </c>
      <c r="C11726">
        <v>523</v>
      </c>
      <c r="D11726">
        <v>393</v>
      </c>
      <c r="E11726">
        <v>0</v>
      </c>
      <c r="F11726">
        <v>157</v>
      </c>
      <c r="G11726">
        <v>0</v>
      </c>
      <c r="H11726" t="s">
        <v>16626</v>
      </c>
      <c r="I11726">
        <v>13201</v>
      </c>
      <c r="J11726" t="e">
        <f>VLOOKUP(E11726,DSSpieler!A:B,2,FALSE)</f>
        <v>#N/A</v>
      </c>
    </row>
    <row r="11727" spans="1:10" x14ac:dyDescent="0.25">
      <c r="A11727">
        <v>13202</v>
      </c>
      <c r="B11727" t="s">
        <v>34604</v>
      </c>
      <c r="C11727">
        <v>584</v>
      </c>
      <c r="D11727">
        <v>489</v>
      </c>
      <c r="E11727">
        <v>1576434748</v>
      </c>
      <c r="F11727">
        <v>701</v>
      </c>
      <c r="G11727">
        <v>0</v>
      </c>
      <c r="H11727" t="s">
        <v>16627</v>
      </c>
      <c r="I11727">
        <v>13202</v>
      </c>
      <c r="J11727" t="str">
        <f>VLOOKUP(E11727,DSSpieler!A:B,2,FALSE)</f>
        <v>FAITH</v>
      </c>
    </row>
    <row r="11728" spans="1:10" x14ac:dyDescent="0.25">
      <c r="A11728">
        <v>13203</v>
      </c>
      <c r="B11728" t="s">
        <v>34605</v>
      </c>
      <c r="C11728">
        <v>413</v>
      </c>
      <c r="D11728">
        <v>571</v>
      </c>
      <c r="E11728">
        <v>1577107373</v>
      </c>
      <c r="F11728">
        <v>3167</v>
      </c>
      <c r="G11728">
        <v>0</v>
      </c>
      <c r="H11728" t="s">
        <v>16628</v>
      </c>
      <c r="I11728">
        <v>13203</v>
      </c>
      <c r="J11728" t="str">
        <f>VLOOKUP(E11728,DSSpieler!A:B,2,FALSE)</f>
        <v>neondlegend</v>
      </c>
    </row>
    <row r="11729" spans="1:10" x14ac:dyDescent="0.25">
      <c r="A11729">
        <v>13204</v>
      </c>
      <c r="B11729" t="s">
        <v>34606</v>
      </c>
      <c r="C11729">
        <v>491</v>
      </c>
      <c r="D11729">
        <v>573</v>
      </c>
      <c r="E11729">
        <v>1577197880</v>
      </c>
      <c r="F11729">
        <v>5502</v>
      </c>
      <c r="G11729">
        <v>0</v>
      </c>
      <c r="H11729" t="s">
        <v>16629</v>
      </c>
      <c r="I11729">
        <v>13204</v>
      </c>
      <c r="J11729" t="str">
        <f>VLOOKUP(E11729,DSSpieler!A:B,2,FALSE)</f>
        <v>jakusizz</v>
      </c>
    </row>
    <row r="11730" spans="1:10" x14ac:dyDescent="0.25">
      <c r="A11730">
        <v>13205</v>
      </c>
      <c r="B11730" t="s">
        <v>531</v>
      </c>
      <c r="C11730">
        <v>473</v>
      </c>
      <c r="D11730">
        <v>394</v>
      </c>
      <c r="E11730">
        <v>0</v>
      </c>
      <c r="F11730">
        <v>345</v>
      </c>
      <c r="G11730">
        <v>0</v>
      </c>
      <c r="H11730" t="s">
        <v>16630</v>
      </c>
      <c r="I11730">
        <v>13205</v>
      </c>
      <c r="J11730" t="e">
        <f>VLOOKUP(E11730,DSSpieler!A:B,2,FALSE)</f>
        <v>#N/A</v>
      </c>
    </row>
    <row r="11731" spans="1:10" x14ac:dyDescent="0.25">
      <c r="A11731">
        <v>13206</v>
      </c>
      <c r="B11731" t="s">
        <v>34607</v>
      </c>
      <c r="C11731">
        <v>518</v>
      </c>
      <c r="D11731">
        <v>603</v>
      </c>
      <c r="E11731">
        <v>1576761768</v>
      </c>
      <c r="F11731">
        <v>6902</v>
      </c>
      <c r="G11731">
        <v>0</v>
      </c>
      <c r="H11731" t="s">
        <v>16631</v>
      </c>
      <c r="I11731">
        <v>13206</v>
      </c>
      <c r="J11731" t="str">
        <f>VLOOKUP(E11731,DSSpieler!A:B,2,FALSE)</f>
        <v>lakinho</v>
      </c>
    </row>
    <row r="11732" spans="1:10" x14ac:dyDescent="0.25">
      <c r="A11732">
        <v>13207</v>
      </c>
      <c r="B11732" t="s">
        <v>531</v>
      </c>
      <c r="C11732">
        <v>547</v>
      </c>
      <c r="D11732">
        <v>413</v>
      </c>
      <c r="E11732">
        <v>0</v>
      </c>
      <c r="F11732">
        <v>367</v>
      </c>
      <c r="G11732">
        <v>0</v>
      </c>
      <c r="H11732" t="s">
        <v>16632</v>
      </c>
      <c r="I11732">
        <v>13207</v>
      </c>
      <c r="J11732" t="e">
        <f>VLOOKUP(E11732,DSSpieler!A:B,2,FALSE)</f>
        <v>#N/A</v>
      </c>
    </row>
    <row r="11733" spans="1:10" x14ac:dyDescent="0.25">
      <c r="A11733">
        <v>13208</v>
      </c>
      <c r="B11733" t="s">
        <v>531</v>
      </c>
      <c r="C11733">
        <v>559</v>
      </c>
      <c r="D11733">
        <v>594</v>
      </c>
      <c r="E11733">
        <v>0</v>
      </c>
      <c r="F11733">
        <v>366</v>
      </c>
      <c r="G11733">
        <v>0</v>
      </c>
      <c r="H11733" t="s">
        <v>16633</v>
      </c>
      <c r="I11733">
        <v>13208</v>
      </c>
      <c r="J11733" t="e">
        <f>VLOOKUP(E11733,DSSpieler!A:B,2,FALSE)</f>
        <v>#N/A</v>
      </c>
    </row>
    <row r="11734" spans="1:10" x14ac:dyDescent="0.25">
      <c r="A11734">
        <v>13209</v>
      </c>
      <c r="B11734" t="s">
        <v>34608</v>
      </c>
      <c r="C11734">
        <v>443</v>
      </c>
      <c r="D11734">
        <v>415</v>
      </c>
      <c r="E11734">
        <v>1576850271</v>
      </c>
      <c r="F11734">
        <v>5696</v>
      </c>
      <c r="G11734">
        <v>0</v>
      </c>
      <c r="H11734" t="s">
        <v>16634</v>
      </c>
      <c r="I11734">
        <v>13209</v>
      </c>
      <c r="J11734" t="str">
        <f>VLOOKUP(E11734,DSSpieler!A:B,2,FALSE)</f>
        <v>Schaui.</v>
      </c>
    </row>
    <row r="11735" spans="1:10" x14ac:dyDescent="0.25">
      <c r="A11735">
        <v>13210</v>
      </c>
      <c r="B11735" t="s">
        <v>2205</v>
      </c>
      <c r="C11735">
        <v>569</v>
      </c>
      <c r="D11735">
        <v>479</v>
      </c>
      <c r="E11735">
        <v>1123668</v>
      </c>
      <c r="F11735">
        <v>5835</v>
      </c>
      <c r="G11735">
        <v>0</v>
      </c>
      <c r="H11735" t="s">
        <v>16635</v>
      </c>
      <c r="I11735">
        <v>13210</v>
      </c>
      <c r="J11735" t="str">
        <f>VLOOKUP(E11735,DSSpieler!A:B,2,FALSE)</f>
        <v>0815kh</v>
      </c>
    </row>
    <row r="11736" spans="1:10" x14ac:dyDescent="0.25">
      <c r="A11736">
        <v>13211</v>
      </c>
      <c r="B11736" t="s">
        <v>531</v>
      </c>
      <c r="C11736">
        <v>393</v>
      </c>
      <c r="D11736">
        <v>529</v>
      </c>
      <c r="E11736">
        <v>0</v>
      </c>
      <c r="F11736">
        <v>287</v>
      </c>
      <c r="G11736">
        <v>0</v>
      </c>
      <c r="H11736" t="s">
        <v>16636</v>
      </c>
      <c r="I11736">
        <v>13211</v>
      </c>
      <c r="J11736" t="e">
        <f>VLOOKUP(E11736,DSSpieler!A:B,2,FALSE)</f>
        <v>#N/A</v>
      </c>
    </row>
    <row r="11737" spans="1:10" x14ac:dyDescent="0.25">
      <c r="A11737">
        <v>13212</v>
      </c>
      <c r="B11737" t="s">
        <v>531</v>
      </c>
      <c r="C11737">
        <v>602</v>
      </c>
      <c r="D11737">
        <v>550</v>
      </c>
      <c r="E11737">
        <v>0</v>
      </c>
      <c r="F11737">
        <v>232</v>
      </c>
      <c r="G11737">
        <v>0</v>
      </c>
      <c r="H11737" t="s">
        <v>16637</v>
      </c>
      <c r="I11737">
        <v>13212</v>
      </c>
      <c r="J11737" t="e">
        <f>VLOOKUP(E11737,DSSpieler!A:B,2,FALSE)</f>
        <v>#N/A</v>
      </c>
    </row>
    <row r="11738" spans="1:10" x14ac:dyDescent="0.25">
      <c r="A11738">
        <v>13213</v>
      </c>
      <c r="B11738" t="s">
        <v>34609</v>
      </c>
      <c r="C11738">
        <v>488</v>
      </c>
      <c r="D11738">
        <v>613</v>
      </c>
      <c r="E11738">
        <v>10242175</v>
      </c>
      <c r="F11738">
        <v>4381</v>
      </c>
      <c r="G11738">
        <v>0</v>
      </c>
      <c r="H11738" t="s">
        <v>16638</v>
      </c>
      <c r="I11738">
        <v>13213</v>
      </c>
      <c r="J11738" t="str">
        <f>VLOOKUP(E11738,DSSpieler!A:B,2,FALSE)</f>
        <v>tufiga</v>
      </c>
    </row>
    <row r="11739" spans="1:10" x14ac:dyDescent="0.25">
      <c r="A11739">
        <v>13214</v>
      </c>
      <c r="B11739" t="s">
        <v>531</v>
      </c>
      <c r="C11739">
        <v>514</v>
      </c>
      <c r="D11739">
        <v>388</v>
      </c>
      <c r="E11739">
        <v>0</v>
      </c>
      <c r="F11739">
        <v>480</v>
      </c>
      <c r="G11739">
        <v>0</v>
      </c>
      <c r="H11739" t="s">
        <v>16639</v>
      </c>
      <c r="I11739">
        <v>13214</v>
      </c>
      <c r="J11739" t="e">
        <f>VLOOKUP(E11739,DSSpieler!A:B,2,FALSE)</f>
        <v>#N/A</v>
      </c>
    </row>
    <row r="11740" spans="1:10" x14ac:dyDescent="0.25">
      <c r="A11740">
        <v>13215</v>
      </c>
      <c r="B11740" t="s">
        <v>34610</v>
      </c>
      <c r="C11740">
        <v>473</v>
      </c>
      <c r="D11740">
        <v>518</v>
      </c>
      <c r="E11740">
        <v>1576687794</v>
      </c>
      <c r="F11740">
        <v>1294</v>
      </c>
      <c r="G11740">
        <v>0</v>
      </c>
      <c r="H11740" t="s">
        <v>16640</v>
      </c>
      <c r="I11740">
        <v>13215</v>
      </c>
      <c r="J11740" t="str">
        <f>VLOOKUP(E11740,DSSpieler!A:B,2,FALSE)</f>
        <v>Renegade Corps</v>
      </c>
    </row>
    <row r="11741" spans="1:10" x14ac:dyDescent="0.25">
      <c r="A11741">
        <v>13216</v>
      </c>
      <c r="B11741" t="s">
        <v>531</v>
      </c>
      <c r="C11741">
        <v>501</v>
      </c>
      <c r="D11741">
        <v>602</v>
      </c>
      <c r="E11741">
        <v>0</v>
      </c>
      <c r="F11741">
        <v>368</v>
      </c>
      <c r="G11741">
        <v>0</v>
      </c>
      <c r="H11741" t="s">
        <v>16641</v>
      </c>
      <c r="I11741">
        <v>13216</v>
      </c>
      <c r="J11741" t="e">
        <f>VLOOKUP(E11741,DSSpieler!A:B,2,FALSE)</f>
        <v>#N/A</v>
      </c>
    </row>
    <row r="11742" spans="1:10" x14ac:dyDescent="0.25">
      <c r="A11742">
        <v>13217</v>
      </c>
      <c r="B11742">
        <v>5</v>
      </c>
      <c r="C11742">
        <v>442</v>
      </c>
      <c r="D11742">
        <v>560</v>
      </c>
      <c r="E11742">
        <v>1577197805</v>
      </c>
      <c r="F11742">
        <v>5978</v>
      </c>
      <c r="G11742">
        <v>0</v>
      </c>
      <c r="H11742" t="s">
        <v>16642</v>
      </c>
      <c r="I11742">
        <v>13217</v>
      </c>
      <c r="J11742" t="str">
        <f>VLOOKUP(E11742,DSSpieler!A:B,2,FALSE)</f>
        <v>TheOneAndOnly</v>
      </c>
    </row>
    <row r="11743" spans="1:10" x14ac:dyDescent="0.25">
      <c r="A11743">
        <v>13219</v>
      </c>
      <c r="B11743" t="s">
        <v>531</v>
      </c>
      <c r="C11743">
        <v>471</v>
      </c>
      <c r="D11743">
        <v>610</v>
      </c>
      <c r="E11743">
        <v>0</v>
      </c>
      <c r="F11743">
        <v>712</v>
      </c>
      <c r="G11743">
        <v>0</v>
      </c>
      <c r="H11743" t="s">
        <v>16643</v>
      </c>
      <c r="I11743">
        <v>13219</v>
      </c>
      <c r="J11743" t="e">
        <f>VLOOKUP(E11743,DSSpieler!A:B,2,FALSE)</f>
        <v>#N/A</v>
      </c>
    </row>
    <row r="11744" spans="1:10" x14ac:dyDescent="0.25">
      <c r="A11744">
        <v>13220</v>
      </c>
      <c r="B11744" t="s">
        <v>531</v>
      </c>
      <c r="C11744">
        <v>431</v>
      </c>
      <c r="D11744">
        <v>418</v>
      </c>
      <c r="E11744">
        <v>0</v>
      </c>
      <c r="F11744">
        <v>190</v>
      </c>
      <c r="G11744">
        <v>0</v>
      </c>
      <c r="H11744" t="s">
        <v>16644</v>
      </c>
      <c r="I11744">
        <v>13220</v>
      </c>
      <c r="J11744" t="e">
        <f>VLOOKUP(E11744,DSSpieler!A:B,2,FALSE)</f>
        <v>#N/A</v>
      </c>
    </row>
    <row r="11745" spans="1:10" x14ac:dyDescent="0.25">
      <c r="A11745">
        <v>13221</v>
      </c>
      <c r="B11745" t="s">
        <v>2206</v>
      </c>
      <c r="C11745">
        <v>616</v>
      </c>
      <c r="D11745">
        <v>489</v>
      </c>
      <c r="E11745">
        <v>9989147</v>
      </c>
      <c r="F11745">
        <v>4569</v>
      </c>
      <c r="G11745">
        <v>0</v>
      </c>
      <c r="H11745" t="s">
        <v>16645</v>
      </c>
      <c r="I11745">
        <v>13221</v>
      </c>
      <c r="J11745" t="str">
        <f>VLOOKUP(E11745,DSSpieler!A:B,2,FALSE)</f>
        <v>Harlekin77</v>
      </c>
    </row>
    <row r="11746" spans="1:10" x14ac:dyDescent="0.25">
      <c r="A11746">
        <v>13222</v>
      </c>
      <c r="B11746" t="s">
        <v>531</v>
      </c>
      <c r="C11746">
        <v>553</v>
      </c>
      <c r="D11746">
        <v>597</v>
      </c>
      <c r="E11746">
        <v>0</v>
      </c>
      <c r="F11746">
        <v>834</v>
      </c>
      <c r="G11746">
        <v>0</v>
      </c>
      <c r="H11746" t="s">
        <v>16646</v>
      </c>
      <c r="I11746">
        <v>13222</v>
      </c>
      <c r="J11746" t="e">
        <f>VLOOKUP(E11746,DSSpieler!A:B,2,FALSE)</f>
        <v>#N/A</v>
      </c>
    </row>
    <row r="11747" spans="1:10" x14ac:dyDescent="0.25">
      <c r="A11747">
        <v>13223</v>
      </c>
      <c r="B11747" t="s">
        <v>531</v>
      </c>
      <c r="C11747">
        <v>423</v>
      </c>
      <c r="D11747">
        <v>568</v>
      </c>
      <c r="E11747">
        <v>0</v>
      </c>
      <c r="F11747">
        <v>727</v>
      </c>
      <c r="G11747">
        <v>0</v>
      </c>
      <c r="H11747" t="s">
        <v>16647</v>
      </c>
      <c r="I11747">
        <v>13223</v>
      </c>
      <c r="J11747" t="e">
        <f>VLOOKUP(E11747,DSSpieler!A:B,2,FALSE)</f>
        <v>#N/A</v>
      </c>
    </row>
    <row r="11748" spans="1:10" x14ac:dyDescent="0.25">
      <c r="A11748">
        <v>13224</v>
      </c>
      <c r="B11748" t="s">
        <v>34611</v>
      </c>
      <c r="C11748">
        <v>595</v>
      </c>
      <c r="D11748">
        <v>566</v>
      </c>
      <c r="E11748">
        <v>1576004479</v>
      </c>
      <c r="F11748">
        <v>1220</v>
      </c>
      <c r="G11748">
        <v>0</v>
      </c>
      <c r="H11748" t="s">
        <v>16648</v>
      </c>
      <c r="I11748">
        <v>13224</v>
      </c>
      <c r="J11748" t="str">
        <f>VLOOKUP(E11748,DSSpieler!A:B,2,FALSE)</f>
        <v>kilian1104</v>
      </c>
    </row>
    <row r="11749" spans="1:10" x14ac:dyDescent="0.25">
      <c r="A11749">
        <v>13225</v>
      </c>
      <c r="B11749" t="s">
        <v>34612</v>
      </c>
      <c r="C11749">
        <v>570</v>
      </c>
      <c r="D11749">
        <v>587</v>
      </c>
      <c r="E11749">
        <v>1576134517</v>
      </c>
      <c r="F11749">
        <v>4434</v>
      </c>
      <c r="G11749">
        <v>0</v>
      </c>
      <c r="H11749" t="s">
        <v>16649</v>
      </c>
      <c r="I11749">
        <v>13225</v>
      </c>
      <c r="J11749" t="str">
        <f>VLOOKUP(E11749,DSSpieler!A:B,2,FALSE)</f>
        <v>Gammler9</v>
      </c>
    </row>
    <row r="11750" spans="1:10" x14ac:dyDescent="0.25">
      <c r="A11750">
        <v>13226</v>
      </c>
      <c r="B11750" t="s">
        <v>531</v>
      </c>
      <c r="C11750">
        <v>589</v>
      </c>
      <c r="D11750">
        <v>428</v>
      </c>
      <c r="E11750">
        <v>0</v>
      </c>
      <c r="F11750">
        <v>401</v>
      </c>
      <c r="G11750">
        <v>0</v>
      </c>
      <c r="H11750" t="s">
        <v>16650</v>
      </c>
      <c r="I11750">
        <v>13226</v>
      </c>
      <c r="J11750" t="e">
        <f>VLOOKUP(E11750,DSSpieler!A:B,2,FALSE)</f>
        <v>#N/A</v>
      </c>
    </row>
    <row r="11751" spans="1:10" x14ac:dyDescent="0.25">
      <c r="A11751">
        <v>13227</v>
      </c>
      <c r="B11751" t="s">
        <v>34613</v>
      </c>
      <c r="C11751">
        <v>598</v>
      </c>
      <c r="D11751">
        <v>512</v>
      </c>
      <c r="E11751">
        <v>1577173881</v>
      </c>
      <c r="F11751">
        <v>2448</v>
      </c>
      <c r="G11751">
        <v>0</v>
      </c>
      <c r="H11751" t="s">
        <v>16651</v>
      </c>
      <c r="I11751">
        <v>13227</v>
      </c>
      <c r="J11751" t="str">
        <f>VLOOKUP(E11751,DSSpieler!A:B,2,FALSE)</f>
        <v>Simione11</v>
      </c>
    </row>
    <row r="11752" spans="1:10" x14ac:dyDescent="0.25">
      <c r="A11752">
        <v>13228</v>
      </c>
      <c r="B11752" t="s">
        <v>34614</v>
      </c>
      <c r="C11752">
        <v>568</v>
      </c>
      <c r="D11752">
        <v>577</v>
      </c>
      <c r="E11752">
        <v>1577199650</v>
      </c>
      <c r="F11752">
        <v>4129</v>
      </c>
      <c r="G11752">
        <v>0</v>
      </c>
      <c r="H11752" t="s">
        <v>16652</v>
      </c>
      <c r="I11752">
        <v>13228</v>
      </c>
      <c r="J11752" t="str">
        <f>VLOOKUP(E11752,DSSpieler!A:B,2,FALSE)</f>
        <v>Pascal2303</v>
      </c>
    </row>
    <row r="11753" spans="1:10" x14ac:dyDescent="0.25">
      <c r="A11753">
        <v>13230</v>
      </c>
      <c r="B11753" t="s">
        <v>531</v>
      </c>
      <c r="C11753">
        <v>480</v>
      </c>
      <c r="D11753">
        <v>607</v>
      </c>
      <c r="E11753">
        <v>0</v>
      </c>
      <c r="F11753">
        <v>558</v>
      </c>
      <c r="G11753">
        <v>0</v>
      </c>
      <c r="H11753" t="s">
        <v>16653</v>
      </c>
      <c r="I11753">
        <v>13230</v>
      </c>
      <c r="J11753" t="e">
        <f>VLOOKUP(E11753,DSSpieler!A:B,2,FALSE)</f>
        <v>#N/A</v>
      </c>
    </row>
    <row r="11754" spans="1:10" x14ac:dyDescent="0.25">
      <c r="A11754">
        <v>13231</v>
      </c>
      <c r="B11754" t="s">
        <v>531</v>
      </c>
      <c r="C11754">
        <v>603</v>
      </c>
      <c r="D11754">
        <v>471</v>
      </c>
      <c r="E11754">
        <v>0</v>
      </c>
      <c r="F11754">
        <v>202</v>
      </c>
      <c r="G11754">
        <v>0</v>
      </c>
      <c r="H11754" t="s">
        <v>16654</v>
      </c>
      <c r="I11754">
        <v>13231</v>
      </c>
      <c r="J11754" t="e">
        <f>VLOOKUP(E11754,DSSpieler!A:B,2,FALSE)</f>
        <v>#N/A</v>
      </c>
    </row>
    <row r="11755" spans="1:10" x14ac:dyDescent="0.25">
      <c r="A11755">
        <v>13233</v>
      </c>
      <c r="B11755" t="s">
        <v>531</v>
      </c>
      <c r="C11755">
        <v>406</v>
      </c>
      <c r="D11755">
        <v>437</v>
      </c>
      <c r="E11755">
        <v>0</v>
      </c>
      <c r="F11755">
        <v>193</v>
      </c>
      <c r="G11755">
        <v>0</v>
      </c>
      <c r="H11755" t="s">
        <v>16655</v>
      </c>
      <c r="I11755">
        <v>13233</v>
      </c>
      <c r="J11755" t="e">
        <f>VLOOKUP(E11755,DSSpieler!A:B,2,FALSE)</f>
        <v>#N/A</v>
      </c>
    </row>
    <row r="11756" spans="1:10" x14ac:dyDescent="0.25">
      <c r="A11756">
        <v>13234</v>
      </c>
      <c r="B11756" t="s">
        <v>531</v>
      </c>
      <c r="C11756">
        <v>540</v>
      </c>
      <c r="D11756">
        <v>489</v>
      </c>
      <c r="E11756">
        <v>0</v>
      </c>
      <c r="F11756">
        <v>260</v>
      </c>
      <c r="G11756">
        <v>0</v>
      </c>
      <c r="H11756" t="s">
        <v>16656</v>
      </c>
      <c r="I11756">
        <v>13234</v>
      </c>
      <c r="J11756" t="e">
        <f>VLOOKUP(E11756,DSSpieler!A:B,2,FALSE)</f>
        <v>#N/A</v>
      </c>
    </row>
    <row r="11757" spans="1:10" x14ac:dyDescent="0.25">
      <c r="A11757">
        <v>13235</v>
      </c>
      <c r="B11757" t="s">
        <v>34615</v>
      </c>
      <c r="C11757">
        <v>603</v>
      </c>
      <c r="D11757">
        <v>457</v>
      </c>
      <c r="E11757">
        <v>1576413140</v>
      </c>
      <c r="F11757">
        <v>7097</v>
      </c>
      <c r="G11757">
        <v>0</v>
      </c>
      <c r="H11757" t="s">
        <v>16657</v>
      </c>
      <c r="I11757">
        <v>13235</v>
      </c>
      <c r="J11757" t="str">
        <f>VLOOKUP(E11757,DSSpieler!A:B,2,FALSE)</f>
        <v>darwyn</v>
      </c>
    </row>
    <row r="11758" spans="1:10" x14ac:dyDescent="0.25">
      <c r="A11758">
        <v>13236</v>
      </c>
      <c r="B11758" t="s">
        <v>2207</v>
      </c>
      <c r="C11758">
        <v>402</v>
      </c>
      <c r="D11758">
        <v>512</v>
      </c>
      <c r="E11758">
        <v>8712330</v>
      </c>
      <c r="F11758">
        <v>1566</v>
      </c>
      <c r="G11758">
        <v>0</v>
      </c>
      <c r="H11758" t="s">
        <v>16658</v>
      </c>
      <c r="I11758">
        <v>13236</v>
      </c>
      <c r="J11758" t="str">
        <f>VLOOKUP(E11758,DSSpieler!A:B,2,FALSE)</f>
        <v>Bahoz91</v>
      </c>
    </row>
    <row r="11759" spans="1:10" x14ac:dyDescent="0.25">
      <c r="A11759">
        <v>13237</v>
      </c>
      <c r="B11759" t="s">
        <v>531</v>
      </c>
      <c r="C11759">
        <v>597</v>
      </c>
      <c r="D11759">
        <v>557</v>
      </c>
      <c r="E11759">
        <v>0</v>
      </c>
      <c r="F11759">
        <v>178</v>
      </c>
      <c r="G11759">
        <v>0</v>
      </c>
      <c r="H11759" t="s">
        <v>16659</v>
      </c>
      <c r="I11759">
        <v>13237</v>
      </c>
      <c r="J11759" t="e">
        <f>VLOOKUP(E11759,DSSpieler!A:B,2,FALSE)</f>
        <v>#N/A</v>
      </c>
    </row>
    <row r="11760" spans="1:10" x14ac:dyDescent="0.25">
      <c r="A11760">
        <v>13238</v>
      </c>
      <c r="B11760" t="s">
        <v>660</v>
      </c>
      <c r="C11760">
        <v>391</v>
      </c>
      <c r="D11760">
        <v>485</v>
      </c>
      <c r="E11760">
        <v>1577198960</v>
      </c>
      <c r="F11760">
        <v>3062</v>
      </c>
      <c r="G11760">
        <v>0</v>
      </c>
      <c r="H11760" t="s">
        <v>451</v>
      </c>
      <c r="I11760">
        <v>13238</v>
      </c>
      <c r="J11760" t="str">
        <f>VLOOKUP(E11760,DSSpieler!A:B,2,FALSE)</f>
        <v>Soleya</v>
      </c>
    </row>
    <row r="11761" spans="1:10" x14ac:dyDescent="0.25">
      <c r="A11761">
        <v>13239</v>
      </c>
      <c r="B11761" t="s">
        <v>531</v>
      </c>
      <c r="C11761">
        <v>386</v>
      </c>
      <c r="D11761">
        <v>508</v>
      </c>
      <c r="E11761">
        <v>0</v>
      </c>
      <c r="F11761">
        <v>307</v>
      </c>
      <c r="G11761">
        <v>0</v>
      </c>
      <c r="H11761" t="s">
        <v>16660</v>
      </c>
      <c r="I11761">
        <v>13239</v>
      </c>
      <c r="J11761" t="e">
        <f>VLOOKUP(E11761,DSSpieler!A:B,2,FALSE)</f>
        <v>#N/A</v>
      </c>
    </row>
    <row r="11762" spans="1:10" x14ac:dyDescent="0.25">
      <c r="A11762">
        <v>13240</v>
      </c>
      <c r="B11762" t="s">
        <v>531</v>
      </c>
      <c r="C11762">
        <v>584</v>
      </c>
      <c r="D11762">
        <v>456</v>
      </c>
      <c r="E11762">
        <v>0</v>
      </c>
      <c r="F11762">
        <v>199</v>
      </c>
      <c r="G11762">
        <v>0</v>
      </c>
      <c r="H11762" t="s">
        <v>16661</v>
      </c>
      <c r="I11762">
        <v>13240</v>
      </c>
      <c r="J11762" t="e">
        <f>VLOOKUP(E11762,DSSpieler!A:B,2,FALSE)</f>
        <v>#N/A</v>
      </c>
    </row>
    <row r="11763" spans="1:10" x14ac:dyDescent="0.25">
      <c r="A11763">
        <v>13242</v>
      </c>
      <c r="B11763" t="s">
        <v>34616</v>
      </c>
      <c r="C11763">
        <v>566</v>
      </c>
      <c r="D11763">
        <v>411</v>
      </c>
      <c r="E11763">
        <v>1576818116</v>
      </c>
      <c r="F11763">
        <v>26</v>
      </c>
      <c r="G11763">
        <v>0</v>
      </c>
      <c r="H11763" t="s">
        <v>16662</v>
      </c>
      <c r="I11763">
        <v>13242</v>
      </c>
      <c r="J11763" t="str">
        <f>VLOOKUP(E11763,DSSpieler!A:B,2,FALSE)</f>
        <v>Z KALAZIA</v>
      </c>
    </row>
    <row r="11764" spans="1:10" x14ac:dyDescent="0.25">
      <c r="A11764">
        <v>13243</v>
      </c>
      <c r="B11764" t="s">
        <v>34617</v>
      </c>
      <c r="C11764">
        <v>387</v>
      </c>
      <c r="D11764">
        <v>502</v>
      </c>
      <c r="E11764">
        <v>1577196816</v>
      </c>
      <c r="F11764">
        <v>866</v>
      </c>
      <c r="G11764">
        <v>0</v>
      </c>
      <c r="H11764" t="s">
        <v>16663</v>
      </c>
      <c r="I11764">
        <v>13243</v>
      </c>
      <c r="J11764" t="str">
        <f>VLOOKUP(E11764,DSSpieler!A:B,2,FALSE)</f>
        <v>SnowxD</v>
      </c>
    </row>
    <row r="11765" spans="1:10" x14ac:dyDescent="0.25">
      <c r="A11765">
        <v>13245</v>
      </c>
      <c r="B11765" t="s">
        <v>2208</v>
      </c>
      <c r="C11765">
        <v>392</v>
      </c>
      <c r="D11765">
        <v>538</v>
      </c>
      <c r="E11765">
        <v>1577199673</v>
      </c>
      <c r="F11765">
        <v>428</v>
      </c>
      <c r="G11765">
        <v>0</v>
      </c>
      <c r="H11765" t="s">
        <v>16664</v>
      </c>
      <c r="I11765">
        <v>13245</v>
      </c>
      <c r="J11765" t="str">
        <f>VLOOKUP(E11765,DSSpieler!A:B,2,FALSE)</f>
        <v>Trapsetter</v>
      </c>
    </row>
    <row r="11766" spans="1:10" x14ac:dyDescent="0.25">
      <c r="A11766">
        <v>13246</v>
      </c>
      <c r="B11766" t="s">
        <v>34618</v>
      </c>
      <c r="C11766">
        <v>518</v>
      </c>
      <c r="D11766">
        <v>551</v>
      </c>
      <c r="E11766">
        <v>1577199672</v>
      </c>
      <c r="F11766">
        <v>5735</v>
      </c>
      <c r="G11766">
        <v>0</v>
      </c>
      <c r="H11766" t="s">
        <v>16665</v>
      </c>
      <c r="I11766">
        <v>13246</v>
      </c>
      <c r="J11766" t="str">
        <f>VLOOKUP(E11766,DSSpieler!A:B,2,FALSE)</f>
        <v>Urbanizer1412</v>
      </c>
    </row>
    <row r="11767" spans="1:10" x14ac:dyDescent="0.25">
      <c r="A11767">
        <v>13247</v>
      </c>
      <c r="B11767" t="s">
        <v>34619</v>
      </c>
      <c r="C11767">
        <v>453</v>
      </c>
      <c r="D11767">
        <v>397</v>
      </c>
      <c r="E11767">
        <v>1577199669</v>
      </c>
      <c r="F11767">
        <v>4103</v>
      </c>
      <c r="G11767">
        <v>0</v>
      </c>
      <c r="H11767" t="s">
        <v>16666</v>
      </c>
      <c r="I11767">
        <v>13247</v>
      </c>
      <c r="J11767" t="str">
        <f>VLOOKUP(E11767,DSSpieler!A:B,2,FALSE)</f>
        <v>Kapslbracker</v>
      </c>
    </row>
    <row r="11768" spans="1:10" x14ac:dyDescent="0.25">
      <c r="A11768">
        <v>13248</v>
      </c>
      <c r="B11768" t="s">
        <v>531</v>
      </c>
      <c r="C11768">
        <v>504</v>
      </c>
      <c r="D11768">
        <v>609</v>
      </c>
      <c r="E11768">
        <v>0</v>
      </c>
      <c r="F11768">
        <v>810</v>
      </c>
      <c r="G11768">
        <v>0</v>
      </c>
      <c r="H11768" t="s">
        <v>16667</v>
      </c>
      <c r="I11768">
        <v>13248</v>
      </c>
      <c r="J11768" t="e">
        <f>VLOOKUP(E11768,DSSpieler!A:B,2,FALSE)</f>
        <v>#N/A</v>
      </c>
    </row>
    <row r="11769" spans="1:10" x14ac:dyDescent="0.25">
      <c r="A11769">
        <v>13249</v>
      </c>
      <c r="B11769" t="s">
        <v>531</v>
      </c>
      <c r="C11769">
        <v>449</v>
      </c>
      <c r="D11769">
        <v>583</v>
      </c>
      <c r="E11769">
        <v>0</v>
      </c>
      <c r="F11769">
        <v>275</v>
      </c>
      <c r="G11769">
        <v>0</v>
      </c>
      <c r="H11769" t="s">
        <v>16668</v>
      </c>
      <c r="I11769">
        <v>13249</v>
      </c>
      <c r="J11769" t="e">
        <f>VLOOKUP(E11769,DSSpieler!A:B,2,FALSE)</f>
        <v>#N/A</v>
      </c>
    </row>
    <row r="11770" spans="1:10" x14ac:dyDescent="0.25">
      <c r="A11770">
        <v>13251</v>
      </c>
      <c r="B11770" t="s">
        <v>34620</v>
      </c>
      <c r="C11770">
        <v>396</v>
      </c>
      <c r="D11770">
        <v>473</v>
      </c>
      <c r="E11770">
        <v>1577199227</v>
      </c>
      <c r="F11770">
        <v>5721</v>
      </c>
      <c r="G11770">
        <v>0</v>
      </c>
      <c r="H11770" t="s">
        <v>16669</v>
      </c>
      <c r="I11770">
        <v>13251</v>
      </c>
      <c r="J11770" t="str">
        <f>VLOOKUP(E11770,DSSpieler!A:B,2,FALSE)</f>
        <v>Kapitän Glühbirne</v>
      </c>
    </row>
    <row r="11771" spans="1:10" x14ac:dyDescent="0.25">
      <c r="A11771">
        <v>13252</v>
      </c>
      <c r="B11771" t="s">
        <v>531</v>
      </c>
      <c r="C11771">
        <v>399</v>
      </c>
      <c r="D11771">
        <v>450</v>
      </c>
      <c r="E11771">
        <v>0</v>
      </c>
      <c r="F11771">
        <v>550</v>
      </c>
      <c r="G11771">
        <v>0</v>
      </c>
      <c r="H11771" t="s">
        <v>16670</v>
      </c>
      <c r="I11771">
        <v>13252</v>
      </c>
      <c r="J11771" t="e">
        <f>VLOOKUP(E11771,DSSpieler!A:B,2,FALSE)</f>
        <v>#N/A</v>
      </c>
    </row>
    <row r="11772" spans="1:10" x14ac:dyDescent="0.25">
      <c r="A11772">
        <v>13254</v>
      </c>
      <c r="B11772" t="s">
        <v>2209</v>
      </c>
      <c r="C11772">
        <v>575</v>
      </c>
      <c r="D11772">
        <v>417</v>
      </c>
      <c r="E11772">
        <v>1577136354</v>
      </c>
      <c r="F11772">
        <v>1314</v>
      </c>
      <c r="G11772">
        <v>0</v>
      </c>
      <c r="H11772" t="s">
        <v>16671</v>
      </c>
      <c r="I11772">
        <v>13254</v>
      </c>
      <c r="J11772" t="str">
        <f>VLOOKUP(E11772,DSSpieler!A:B,2,FALSE)</f>
        <v>Babler007</v>
      </c>
    </row>
    <row r="11773" spans="1:10" x14ac:dyDescent="0.25">
      <c r="A11773">
        <v>13255</v>
      </c>
      <c r="B11773" t="s">
        <v>531</v>
      </c>
      <c r="C11773">
        <v>503</v>
      </c>
      <c r="D11773">
        <v>610</v>
      </c>
      <c r="E11773">
        <v>0</v>
      </c>
      <c r="F11773">
        <v>248</v>
      </c>
      <c r="G11773">
        <v>0</v>
      </c>
      <c r="H11773" t="s">
        <v>16672</v>
      </c>
      <c r="I11773">
        <v>13255</v>
      </c>
      <c r="J11773" t="e">
        <f>VLOOKUP(E11773,DSSpieler!A:B,2,FALSE)</f>
        <v>#N/A</v>
      </c>
    </row>
    <row r="11774" spans="1:10" x14ac:dyDescent="0.25">
      <c r="A11774">
        <v>13256</v>
      </c>
      <c r="B11774" t="e">
        <f>-2-+Hemau+i.d.Opf.</f>
        <v>#NAME?</v>
      </c>
      <c r="C11774">
        <v>420</v>
      </c>
      <c r="D11774">
        <v>425</v>
      </c>
      <c r="E11774">
        <v>1577106611</v>
      </c>
      <c r="F11774">
        <v>4579</v>
      </c>
      <c r="G11774">
        <v>0</v>
      </c>
      <c r="H11774" t="s">
        <v>16673</v>
      </c>
      <c r="I11774">
        <v>13256</v>
      </c>
      <c r="J11774" t="str">
        <f>VLOOKUP(E11774,DSSpieler!A:B,2,FALSE)</f>
        <v>elkernaso</v>
      </c>
    </row>
    <row r="11775" spans="1:10" x14ac:dyDescent="0.25">
      <c r="A11775">
        <v>13257</v>
      </c>
      <c r="B11775" t="s">
        <v>531</v>
      </c>
      <c r="C11775">
        <v>475</v>
      </c>
      <c r="D11775">
        <v>401</v>
      </c>
      <c r="E11775">
        <v>0</v>
      </c>
      <c r="F11775">
        <v>799</v>
      </c>
      <c r="G11775">
        <v>0</v>
      </c>
      <c r="H11775" t="s">
        <v>16674</v>
      </c>
      <c r="I11775">
        <v>13257</v>
      </c>
      <c r="J11775" t="e">
        <f>VLOOKUP(E11775,DSSpieler!A:B,2,FALSE)</f>
        <v>#N/A</v>
      </c>
    </row>
    <row r="11776" spans="1:10" x14ac:dyDescent="0.25">
      <c r="A11776">
        <v>13258</v>
      </c>
      <c r="B11776" t="s">
        <v>531</v>
      </c>
      <c r="C11776">
        <v>420</v>
      </c>
      <c r="D11776">
        <v>422</v>
      </c>
      <c r="E11776">
        <v>0</v>
      </c>
      <c r="F11776">
        <v>416</v>
      </c>
      <c r="G11776">
        <v>0</v>
      </c>
      <c r="H11776" t="s">
        <v>16675</v>
      </c>
      <c r="I11776">
        <v>13258</v>
      </c>
      <c r="J11776" t="e">
        <f>VLOOKUP(E11776,DSSpieler!A:B,2,FALSE)</f>
        <v>#N/A</v>
      </c>
    </row>
    <row r="11777" spans="1:10" x14ac:dyDescent="0.25">
      <c r="A11777">
        <v>13259</v>
      </c>
      <c r="B11777" t="s">
        <v>531</v>
      </c>
      <c r="C11777">
        <v>479</v>
      </c>
      <c r="D11777">
        <v>416</v>
      </c>
      <c r="E11777">
        <v>0</v>
      </c>
      <c r="F11777">
        <v>382</v>
      </c>
      <c r="G11777">
        <v>0</v>
      </c>
      <c r="H11777" t="s">
        <v>16676</v>
      </c>
      <c r="I11777">
        <v>13259</v>
      </c>
      <c r="J11777" t="e">
        <f>VLOOKUP(E11777,DSSpieler!A:B,2,FALSE)</f>
        <v>#N/A</v>
      </c>
    </row>
    <row r="11778" spans="1:10" x14ac:dyDescent="0.25">
      <c r="A11778">
        <v>13260</v>
      </c>
      <c r="B11778" t="s">
        <v>30946</v>
      </c>
      <c r="C11778">
        <v>578</v>
      </c>
      <c r="D11778">
        <v>452</v>
      </c>
      <c r="E11778">
        <v>1509395</v>
      </c>
      <c r="F11778">
        <v>4002</v>
      </c>
      <c r="G11778">
        <v>0</v>
      </c>
      <c r="H11778" t="s">
        <v>16677</v>
      </c>
      <c r="I11778">
        <v>13260</v>
      </c>
      <c r="J11778" t="str">
        <f>VLOOKUP(E11778,DSSpieler!A:B,2,FALSE)</f>
        <v>hoyohoyo</v>
      </c>
    </row>
    <row r="11779" spans="1:10" x14ac:dyDescent="0.25">
      <c r="A11779">
        <v>13261</v>
      </c>
      <c r="B11779" t="s">
        <v>531</v>
      </c>
      <c r="C11779">
        <v>404</v>
      </c>
      <c r="D11779">
        <v>553</v>
      </c>
      <c r="E11779">
        <v>0</v>
      </c>
      <c r="F11779">
        <v>262</v>
      </c>
      <c r="G11779">
        <v>0</v>
      </c>
      <c r="H11779" t="s">
        <v>16678</v>
      </c>
      <c r="I11779">
        <v>13261</v>
      </c>
      <c r="J11779" t="e">
        <f>VLOOKUP(E11779,DSSpieler!A:B,2,FALSE)</f>
        <v>#N/A</v>
      </c>
    </row>
    <row r="11780" spans="1:10" x14ac:dyDescent="0.25">
      <c r="A11780">
        <v>13262</v>
      </c>
      <c r="B11780" t="s">
        <v>34621</v>
      </c>
      <c r="C11780">
        <v>390</v>
      </c>
      <c r="D11780">
        <v>506</v>
      </c>
      <c r="E11780">
        <v>1576572910</v>
      </c>
      <c r="F11780">
        <v>4903</v>
      </c>
      <c r="G11780">
        <v>0</v>
      </c>
      <c r="H11780" t="s">
        <v>16679</v>
      </c>
      <c r="I11780">
        <v>13262</v>
      </c>
      <c r="J11780" t="str">
        <f>VLOOKUP(E11780,DSSpieler!A:B,2,FALSE)</f>
        <v>Lord Swagstau</v>
      </c>
    </row>
    <row r="11781" spans="1:10" x14ac:dyDescent="0.25">
      <c r="A11781">
        <v>13263</v>
      </c>
      <c r="B11781" t="s">
        <v>531</v>
      </c>
      <c r="C11781">
        <v>459</v>
      </c>
      <c r="D11781">
        <v>605</v>
      </c>
      <c r="E11781">
        <v>0</v>
      </c>
      <c r="F11781">
        <v>966</v>
      </c>
      <c r="G11781">
        <v>0</v>
      </c>
      <c r="H11781" t="s">
        <v>16680</v>
      </c>
      <c r="I11781">
        <v>13263</v>
      </c>
      <c r="J11781" t="e">
        <f>VLOOKUP(E11781,DSSpieler!A:B,2,FALSE)</f>
        <v>#N/A</v>
      </c>
    </row>
    <row r="11782" spans="1:10" x14ac:dyDescent="0.25">
      <c r="A11782">
        <v>13265</v>
      </c>
      <c r="B11782" t="s">
        <v>531</v>
      </c>
      <c r="C11782">
        <v>398</v>
      </c>
      <c r="D11782">
        <v>541</v>
      </c>
      <c r="E11782">
        <v>0</v>
      </c>
      <c r="F11782">
        <v>223</v>
      </c>
      <c r="G11782">
        <v>0</v>
      </c>
      <c r="H11782" t="s">
        <v>16681</v>
      </c>
      <c r="I11782">
        <v>13265</v>
      </c>
      <c r="J11782" t="e">
        <f>VLOOKUP(E11782,DSSpieler!A:B,2,FALSE)</f>
        <v>#N/A</v>
      </c>
    </row>
    <row r="11783" spans="1:10" x14ac:dyDescent="0.25">
      <c r="A11783">
        <v>13266</v>
      </c>
      <c r="B11783" t="s">
        <v>34622</v>
      </c>
      <c r="C11783">
        <v>393</v>
      </c>
      <c r="D11783">
        <v>524</v>
      </c>
      <c r="E11783">
        <v>1577070192</v>
      </c>
      <c r="F11783">
        <v>4077</v>
      </c>
      <c r="G11783">
        <v>0</v>
      </c>
      <c r="H11783" t="s">
        <v>16682</v>
      </c>
      <c r="I11783">
        <v>13266</v>
      </c>
      <c r="J11783" t="str">
        <f>VLOOKUP(E11783,DSSpieler!A:B,2,FALSE)</f>
        <v>SirAmon</v>
      </c>
    </row>
    <row r="11784" spans="1:10" x14ac:dyDescent="0.25">
      <c r="A11784">
        <v>13267</v>
      </c>
      <c r="B11784" t="s">
        <v>531</v>
      </c>
      <c r="C11784">
        <v>456</v>
      </c>
      <c r="D11784">
        <v>395</v>
      </c>
      <c r="E11784">
        <v>0</v>
      </c>
      <c r="F11784">
        <v>461</v>
      </c>
      <c r="G11784">
        <v>0</v>
      </c>
      <c r="H11784" t="s">
        <v>16683</v>
      </c>
      <c r="I11784">
        <v>13267</v>
      </c>
      <c r="J11784" t="e">
        <f>VLOOKUP(E11784,DSSpieler!A:B,2,FALSE)</f>
        <v>#N/A</v>
      </c>
    </row>
    <row r="11785" spans="1:10" x14ac:dyDescent="0.25">
      <c r="A11785">
        <v>13269</v>
      </c>
      <c r="B11785" t="s">
        <v>531</v>
      </c>
      <c r="C11785">
        <v>428</v>
      </c>
      <c r="D11785">
        <v>585</v>
      </c>
      <c r="E11785">
        <v>0</v>
      </c>
      <c r="F11785">
        <v>216</v>
      </c>
      <c r="G11785">
        <v>0</v>
      </c>
      <c r="H11785" t="s">
        <v>16684</v>
      </c>
      <c r="I11785">
        <v>13269</v>
      </c>
      <c r="J11785" t="e">
        <f>VLOOKUP(E11785,DSSpieler!A:B,2,FALSE)</f>
        <v>#N/A</v>
      </c>
    </row>
    <row r="11786" spans="1:10" x14ac:dyDescent="0.25">
      <c r="A11786">
        <v>13271</v>
      </c>
      <c r="B11786">
        <v>2</v>
      </c>
      <c r="C11786">
        <v>396</v>
      </c>
      <c r="D11786">
        <v>494</v>
      </c>
      <c r="E11786">
        <v>9642632</v>
      </c>
      <c r="F11786">
        <v>2452</v>
      </c>
      <c r="G11786">
        <v>0</v>
      </c>
      <c r="H11786" t="s">
        <v>16685</v>
      </c>
      <c r="I11786">
        <v>13271</v>
      </c>
      <c r="J11786" t="str">
        <f>VLOOKUP(E11786,DSSpieler!A:B,2,FALSE)</f>
        <v>Micha041</v>
      </c>
    </row>
    <row r="11787" spans="1:10" x14ac:dyDescent="0.25">
      <c r="A11787">
        <v>13272</v>
      </c>
      <c r="B11787" t="s">
        <v>531</v>
      </c>
      <c r="C11787">
        <v>594</v>
      </c>
      <c r="D11787">
        <v>436</v>
      </c>
      <c r="E11787">
        <v>0</v>
      </c>
      <c r="F11787">
        <v>241</v>
      </c>
      <c r="G11787">
        <v>0</v>
      </c>
      <c r="H11787" t="s">
        <v>16686</v>
      </c>
      <c r="I11787">
        <v>13272</v>
      </c>
      <c r="J11787" t="e">
        <f>VLOOKUP(E11787,DSSpieler!A:B,2,FALSE)</f>
        <v>#N/A</v>
      </c>
    </row>
    <row r="11788" spans="1:10" x14ac:dyDescent="0.25">
      <c r="A11788">
        <v>13273</v>
      </c>
      <c r="B11788" t="s">
        <v>34623</v>
      </c>
      <c r="C11788">
        <v>397</v>
      </c>
      <c r="D11788">
        <v>546</v>
      </c>
      <c r="E11788">
        <v>2816098</v>
      </c>
      <c r="F11788">
        <v>5150</v>
      </c>
      <c r="G11788">
        <v>0</v>
      </c>
      <c r="H11788" t="s">
        <v>16687</v>
      </c>
      <c r="I11788">
        <v>13273</v>
      </c>
      <c r="J11788" t="str">
        <f>VLOOKUP(E11788,DSSpieler!A:B,2,FALSE)</f>
        <v>iN sM0ke</v>
      </c>
    </row>
    <row r="11789" spans="1:10" x14ac:dyDescent="0.25">
      <c r="A11789">
        <v>13274</v>
      </c>
      <c r="B11789" t="s">
        <v>1433</v>
      </c>
      <c r="C11789">
        <v>402</v>
      </c>
      <c r="D11789">
        <v>548</v>
      </c>
      <c r="E11789">
        <v>9961010</v>
      </c>
      <c r="F11789">
        <v>2165</v>
      </c>
      <c r="G11789">
        <v>0</v>
      </c>
      <c r="H11789" t="s">
        <v>16688</v>
      </c>
      <c r="I11789">
        <v>13274</v>
      </c>
      <c r="J11789" t="str">
        <f>VLOOKUP(E11789,DSSpieler!A:B,2,FALSE)</f>
        <v>Cpt.Sinep</v>
      </c>
    </row>
    <row r="11790" spans="1:10" x14ac:dyDescent="0.25">
      <c r="A11790">
        <v>13276</v>
      </c>
      <c r="B11790" t="s">
        <v>531</v>
      </c>
      <c r="C11790">
        <v>456</v>
      </c>
      <c r="D11790">
        <v>433</v>
      </c>
      <c r="E11790">
        <v>0</v>
      </c>
      <c r="F11790">
        <v>697</v>
      </c>
      <c r="G11790">
        <v>0</v>
      </c>
      <c r="H11790" t="s">
        <v>16689</v>
      </c>
      <c r="I11790">
        <v>13276</v>
      </c>
      <c r="J11790" t="e">
        <f>VLOOKUP(E11790,DSSpieler!A:B,2,FALSE)</f>
        <v>#N/A</v>
      </c>
    </row>
    <row r="11791" spans="1:10" x14ac:dyDescent="0.25">
      <c r="A11791">
        <v>13278</v>
      </c>
      <c r="B11791" t="s">
        <v>2210</v>
      </c>
      <c r="C11791">
        <v>515</v>
      </c>
      <c r="D11791">
        <v>535</v>
      </c>
      <c r="E11791">
        <v>1577197019</v>
      </c>
      <c r="F11791">
        <v>5960</v>
      </c>
      <c r="G11791">
        <v>0</v>
      </c>
      <c r="H11791" t="s">
        <v>16690</v>
      </c>
      <c r="I11791">
        <v>13278</v>
      </c>
      <c r="J11791" t="str">
        <f>VLOOKUP(E11791,DSSpieler!A:B,2,FALSE)</f>
        <v>jürgenevers</v>
      </c>
    </row>
    <row r="11792" spans="1:10" x14ac:dyDescent="0.25">
      <c r="A11792">
        <v>13279</v>
      </c>
      <c r="B11792" t="e">
        <f>-4-+Ebensee</f>
        <v>#NAME?</v>
      </c>
      <c r="C11792">
        <v>395</v>
      </c>
      <c r="D11792">
        <v>537</v>
      </c>
      <c r="E11792">
        <v>1576694124</v>
      </c>
      <c r="F11792">
        <v>6106</v>
      </c>
      <c r="G11792">
        <v>0</v>
      </c>
      <c r="H11792" t="s">
        <v>16691</v>
      </c>
      <c r="I11792">
        <v>13279</v>
      </c>
      <c r="J11792" t="str">
        <f>VLOOKUP(E11792,DSSpieler!A:B,2,FALSE)</f>
        <v>Trinfect</v>
      </c>
    </row>
    <row r="11793" spans="1:10" x14ac:dyDescent="0.25">
      <c r="A11793">
        <v>13280</v>
      </c>
      <c r="B11793" t="s">
        <v>2211</v>
      </c>
      <c r="C11793">
        <v>448</v>
      </c>
      <c r="D11793">
        <v>416</v>
      </c>
      <c r="E11793">
        <v>1577154958</v>
      </c>
      <c r="F11793">
        <v>4120</v>
      </c>
      <c r="G11793">
        <v>0</v>
      </c>
      <c r="H11793" t="s">
        <v>16692</v>
      </c>
      <c r="I11793">
        <v>13280</v>
      </c>
      <c r="J11793" t="str">
        <f>VLOOKUP(E11793,DSSpieler!A:B,2,FALSE)</f>
        <v>UpNextLevel</v>
      </c>
    </row>
    <row r="11794" spans="1:10" x14ac:dyDescent="0.25">
      <c r="A11794">
        <v>13281</v>
      </c>
      <c r="B11794" t="s">
        <v>531</v>
      </c>
      <c r="C11794">
        <v>425</v>
      </c>
      <c r="D11794">
        <v>417</v>
      </c>
      <c r="E11794">
        <v>0</v>
      </c>
      <c r="F11794">
        <v>945</v>
      </c>
      <c r="G11794">
        <v>0</v>
      </c>
      <c r="H11794" t="s">
        <v>16693</v>
      </c>
      <c r="I11794">
        <v>13281</v>
      </c>
      <c r="J11794" t="e">
        <f>VLOOKUP(E11794,DSSpieler!A:B,2,FALSE)</f>
        <v>#N/A</v>
      </c>
    </row>
    <row r="11795" spans="1:10" x14ac:dyDescent="0.25">
      <c r="A11795">
        <v>13282</v>
      </c>
      <c r="B11795" t="s">
        <v>34624</v>
      </c>
      <c r="C11795">
        <v>403</v>
      </c>
      <c r="D11795">
        <v>460</v>
      </c>
      <c r="E11795">
        <v>10270003</v>
      </c>
      <c r="F11795">
        <v>4773</v>
      </c>
      <c r="G11795">
        <v>0</v>
      </c>
      <c r="H11795" t="s">
        <v>16694</v>
      </c>
      <c r="I11795">
        <v>13282</v>
      </c>
      <c r="J11795" t="str">
        <f>VLOOKUP(E11795,DSSpieler!A:B,2,FALSE)</f>
        <v>superhuhn2013</v>
      </c>
    </row>
    <row r="11796" spans="1:10" x14ac:dyDescent="0.25">
      <c r="A11796">
        <v>13283</v>
      </c>
      <c r="B11796" t="s">
        <v>34625</v>
      </c>
      <c r="C11796">
        <v>605</v>
      </c>
      <c r="D11796">
        <v>493</v>
      </c>
      <c r="E11796">
        <v>1576478650</v>
      </c>
      <c r="F11796">
        <v>3150</v>
      </c>
      <c r="G11796">
        <v>0</v>
      </c>
      <c r="H11796" t="s">
        <v>16695</v>
      </c>
      <c r="I11796">
        <v>13283</v>
      </c>
      <c r="J11796" t="str">
        <f>VLOOKUP(E11796,DSSpieler!A:B,2,FALSE)</f>
        <v>JohnyBravo</v>
      </c>
    </row>
    <row r="11797" spans="1:10" x14ac:dyDescent="0.25">
      <c r="A11797">
        <v>13284</v>
      </c>
      <c r="B11797" t="s">
        <v>531</v>
      </c>
      <c r="C11797">
        <v>515</v>
      </c>
      <c r="D11797">
        <v>389</v>
      </c>
      <c r="E11797">
        <v>0</v>
      </c>
      <c r="F11797">
        <v>160</v>
      </c>
      <c r="G11797">
        <v>0</v>
      </c>
      <c r="H11797" t="s">
        <v>16696</v>
      </c>
      <c r="I11797">
        <v>13284</v>
      </c>
      <c r="J11797" t="e">
        <f>VLOOKUP(E11797,DSSpieler!A:B,2,FALSE)</f>
        <v>#N/A</v>
      </c>
    </row>
    <row r="11798" spans="1:10" x14ac:dyDescent="0.25">
      <c r="A11798">
        <v>13285</v>
      </c>
      <c r="B11798" t="s">
        <v>531</v>
      </c>
      <c r="C11798">
        <v>566</v>
      </c>
      <c r="D11798">
        <v>594</v>
      </c>
      <c r="E11798">
        <v>0</v>
      </c>
      <c r="F11798">
        <v>261</v>
      </c>
      <c r="G11798">
        <v>0</v>
      </c>
      <c r="H11798" t="s">
        <v>16697</v>
      </c>
      <c r="I11798">
        <v>13285</v>
      </c>
      <c r="J11798" t="e">
        <f>VLOOKUP(E11798,DSSpieler!A:B,2,FALSE)</f>
        <v>#N/A</v>
      </c>
    </row>
    <row r="11799" spans="1:10" x14ac:dyDescent="0.25">
      <c r="A11799">
        <v>13286</v>
      </c>
      <c r="B11799" t="s">
        <v>531</v>
      </c>
      <c r="C11799">
        <v>528</v>
      </c>
      <c r="D11799">
        <v>394</v>
      </c>
      <c r="E11799">
        <v>0</v>
      </c>
      <c r="F11799">
        <v>303</v>
      </c>
      <c r="G11799">
        <v>0</v>
      </c>
      <c r="H11799" t="s">
        <v>16698</v>
      </c>
      <c r="I11799">
        <v>13286</v>
      </c>
      <c r="J11799" t="e">
        <f>VLOOKUP(E11799,DSSpieler!A:B,2,FALSE)</f>
        <v>#N/A</v>
      </c>
    </row>
    <row r="11800" spans="1:10" x14ac:dyDescent="0.25">
      <c r="A11800">
        <v>13287</v>
      </c>
      <c r="B11800" t="s">
        <v>34626</v>
      </c>
      <c r="C11800">
        <v>496</v>
      </c>
      <c r="D11800">
        <v>522</v>
      </c>
      <c r="E11800">
        <v>1577192893</v>
      </c>
      <c r="F11800">
        <v>1956</v>
      </c>
      <c r="G11800">
        <v>0</v>
      </c>
      <c r="H11800" t="s">
        <v>16699</v>
      </c>
      <c r="I11800">
        <v>13287</v>
      </c>
      <c r="J11800" t="str">
        <f>VLOOKUP(E11800,DSSpieler!A:B,2,FALSE)</f>
        <v>eric-2602</v>
      </c>
    </row>
    <row r="11801" spans="1:10" x14ac:dyDescent="0.25">
      <c r="A11801">
        <v>13288</v>
      </c>
      <c r="B11801" t="s">
        <v>34627</v>
      </c>
      <c r="C11801">
        <v>501</v>
      </c>
      <c r="D11801">
        <v>509</v>
      </c>
      <c r="E11801">
        <v>1577199733</v>
      </c>
      <c r="F11801">
        <v>4264</v>
      </c>
      <c r="G11801">
        <v>0</v>
      </c>
      <c r="H11801" t="s">
        <v>16700</v>
      </c>
      <c r="I11801">
        <v>13288</v>
      </c>
      <c r="J11801" t="str">
        <f>VLOOKUP(E11801,DSSpieler!A:B,2,FALSE)</f>
        <v>shigamini1</v>
      </c>
    </row>
    <row r="11802" spans="1:10" x14ac:dyDescent="0.25">
      <c r="A11802">
        <v>13289</v>
      </c>
      <c r="B11802" t="s">
        <v>34628</v>
      </c>
      <c r="C11802">
        <v>396</v>
      </c>
      <c r="D11802">
        <v>537</v>
      </c>
      <c r="E11802">
        <v>2646418</v>
      </c>
      <c r="F11802">
        <v>2330</v>
      </c>
      <c r="G11802">
        <v>0</v>
      </c>
      <c r="H11802" t="s">
        <v>16701</v>
      </c>
      <c r="I11802">
        <v>13289</v>
      </c>
      <c r="J11802" t="str">
        <f>VLOOKUP(E11802,DSSpieler!A:B,2,FALSE)</f>
        <v>Frostmonarch44</v>
      </c>
    </row>
    <row r="11803" spans="1:10" x14ac:dyDescent="0.25">
      <c r="A11803">
        <v>13290</v>
      </c>
      <c r="B11803" t="s">
        <v>604</v>
      </c>
      <c r="C11803">
        <v>388</v>
      </c>
      <c r="D11803">
        <v>517</v>
      </c>
      <c r="E11803">
        <v>1577071766</v>
      </c>
      <c r="F11803">
        <v>4003</v>
      </c>
      <c r="G11803">
        <v>0</v>
      </c>
      <c r="H11803" t="s">
        <v>16702</v>
      </c>
      <c r="I11803">
        <v>13290</v>
      </c>
      <c r="J11803" t="str">
        <f>VLOOKUP(E11803,DSSpieler!A:B,2,FALSE)</f>
        <v>Drizzlek</v>
      </c>
    </row>
    <row r="11804" spans="1:10" x14ac:dyDescent="0.25">
      <c r="A11804">
        <v>13291</v>
      </c>
      <c r="B11804" t="s">
        <v>531</v>
      </c>
      <c r="C11804">
        <v>397</v>
      </c>
      <c r="D11804">
        <v>537</v>
      </c>
      <c r="E11804">
        <v>0</v>
      </c>
      <c r="F11804">
        <v>529</v>
      </c>
      <c r="G11804">
        <v>0</v>
      </c>
      <c r="H11804" t="s">
        <v>16703</v>
      </c>
      <c r="I11804">
        <v>13291</v>
      </c>
      <c r="J11804" t="e">
        <f>VLOOKUP(E11804,DSSpieler!A:B,2,FALSE)</f>
        <v>#N/A</v>
      </c>
    </row>
    <row r="11805" spans="1:10" x14ac:dyDescent="0.25">
      <c r="A11805">
        <v>13292</v>
      </c>
      <c r="B11805" t="s">
        <v>531</v>
      </c>
      <c r="C11805">
        <v>615</v>
      </c>
      <c r="D11805">
        <v>506</v>
      </c>
      <c r="E11805">
        <v>0</v>
      </c>
      <c r="F11805">
        <v>241</v>
      </c>
      <c r="G11805">
        <v>0</v>
      </c>
      <c r="H11805" t="s">
        <v>16704</v>
      </c>
      <c r="I11805">
        <v>13292</v>
      </c>
      <c r="J11805" t="e">
        <f>VLOOKUP(E11805,DSSpieler!A:B,2,FALSE)</f>
        <v>#N/A</v>
      </c>
    </row>
    <row r="11806" spans="1:10" x14ac:dyDescent="0.25">
      <c r="A11806">
        <v>13293</v>
      </c>
      <c r="B11806" t="s">
        <v>34629</v>
      </c>
      <c r="C11806">
        <v>497</v>
      </c>
      <c r="D11806">
        <v>613</v>
      </c>
      <c r="E11806">
        <v>7916427</v>
      </c>
      <c r="F11806">
        <v>4838</v>
      </c>
      <c r="G11806">
        <v>0</v>
      </c>
      <c r="H11806" t="s">
        <v>16705</v>
      </c>
      <c r="I11806">
        <v>13293</v>
      </c>
      <c r="J11806" t="str">
        <f>VLOOKUP(E11806,DSSpieler!A:B,2,FALSE)</f>
        <v>TheGold4me</v>
      </c>
    </row>
    <row r="11807" spans="1:10" x14ac:dyDescent="0.25">
      <c r="A11807">
        <v>13294</v>
      </c>
      <c r="B11807" t="s">
        <v>34630</v>
      </c>
      <c r="C11807">
        <v>386</v>
      </c>
      <c r="D11807">
        <v>519</v>
      </c>
      <c r="E11807">
        <v>1577199737</v>
      </c>
      <c r="F11807">
        <v>1629</v>
      </c>
      <c r="G11807">
        <v>0</v>
      </c>
      <c r="H11807" t="s">
        <v>16706</v>
      </c>
      <c r="I11807">
        <v>13294</v>
      </c>
      <c r="J11807" t="str">
        <f>VLOOKUP(E11807,DSSpieler!A:B,2,FALSE)</f>
        <v>99my99</v>
      </c>
    </row>
    <row r="11808" spans="1:10" x14ac:dyDescent="0.25">
      <c r="A11808">
        <v>13296</v>
      </c>
      <c r="B11808" t="s">
        <v>531</v>
      </c>
      <c r="C11808">
        <v>482</v>
      </c>
      <c r="D11808">
        <v>391</v>
      </c>
      <c r="E11808">
        <v>0</v>
      </c>
      <c r="F11808">
        <v>584</v>
      </c>
      <c r="G11808">
        <v>0</v>
      </c>
      <c r="H11808" t="s">
        <v>16707</v>
      </c>
      <c r="I11808">
        <v>13296</v>
      </c>
      <c r="J11808" t="e">
        <f>VLOOKUP(E11808,DSSpieler!A:B,2,FALSE)</f>
        <v>#N/A</v>
      </c>
    </row>
    <row r="11809" spans="1:10" x14ac:dyDescent="0.25">
      <c r="A11809">
        <v>13297</v>
      </c>
      <c r="B11809" t="s">
        <v>34631</v>
      </c>
      <c r="C11809">
        <v>544</v>
      </c>
      <c r="D11809">
        <v>415</v>
      </c>
      <c r="E11809">
        <v>1576654615</v>
      </c>
      <c r="F11809">
        <v>3773</v>
      </c>
      <c r="G11809">
        <v>0</v>
      </c>
      <c r="H11809" t="s">
        <v>16708</v>
      </c>
      <c r="I11809">
        <v>13297</v>
      </c>
      <c r="J11809" t="str">
        <f>VLOOKUP(E11809,DSSpieler!A:B,2,FALSE)</f>
        <v>bimmeldings</v>
      </c>
    </row>
    <row r="11810" spans="1:10" x14ac:dyDescent="0.25">
      <c r="A11810">
        <v>13298</v>
      </c>
      <c r="B11810" t="s">
        <v>34632</v>
      </c>
      <c r="C11810">
        <v>484</v>
      </c>
      <c r="D11810">
        <v>615</v>
      </c>
      <c r="E11810">
        <v>10242175</v>
      </c>
      <c r="F11810">
        <v>5343</v>
      </c>
      <c r="G11810">
        <v>0</v>
      </c>
      <c r="H11810" t="s">
        <v>16709</v>
      </c>
      <c r="I11810">
        <v>13298</v>
      </c>
      <c r="J11810" t="str">
        <f>VLOOKUP(E11810,DSSpieler!A:B,2,FALSE)</f>
        <v>tufiga</v>
      </c>
    </row>
    <row r="11811" spans="1:10" x14ac:dyDescent="0.25">
      <c r="A11811">
        <v>13299</v>
      </c>
      <c r="B11811" t="s">
        <v>34633</v>
      </c>
      <c r="C11811">
        <v>576</v>
      </c>
      <c r="D11811">
        <v>586</v>
      </c>
      <c r="E11811">
        <v>1576134517</v>
      </c>
      <c r="F11811">
        <v>4163</v>
      </c>
      <c r="G11811">
        <v>0</v>
      </c>
      <c r="H11811" t="s">
        <v>16710</v>
      </c>
      <c r="I11811">
        <v>13299</v>
      </c>
      <c r="J11811" t="str">
        <f>VLOOKUP(E11811,DSSpieler!A:B,2,FALSE)</f>
        <v>Gammler9</v>
      </c>
    </row>
    <row r="11812" spans="1:10" x14ac:dyDescent="0.25">
      <c r="A11812">
        <v>13300</v>
      </c>
      <c r="B11812" t="s">
        <v>531</v>
      </c>
      <c r="C11812">
        <v>391</v>
      </c>
      <c r="D11812">
        <v>480</v>
      </c>
      <c r="E11812">
        <v>0</v>
      </c>
      <c r="F11812">
        <v>340</v>
      </c>
      <c r="G11812">
        <v>0</v>
      </c>
      <c r="H11812" t="s">
        <v>16711</v>
      </c>
      <c r="I11812">
        <v>13300</v>
      </c>
      <c r="J11812" t="e">
        <f>VLOOKUP(E11812,DSSpieler!A:B,2,FALSE)</f>
        <v>#N/A</v>
      </c>
    </row>
    <row r="11813" spans="1:10" x14ac:dyDescent="0.25">
      <c r="A11813">
        <v>13301</v>
      </c>
      <c r="B11813" t="s">
        <v>34634</v>
      </c>
      <c r="C11813">
        <v>576</v>
      </c>
      <c r="D11813">
        <v>421</v>
      </c>
      <c r="E11813">
        <v>1577199690</v>
      </c>
      <c r="F11813">
        <v>5064</v>
      </c>
      <c r="G11813">
        <v>0</v>
      </c>
      <c r="H11813" t="s">
        <v>16712</v>
      </c>
      <c r="I11813">
        <v>13301</v>
      </c>
      <c r="J11813" t="str">
        <f>VLOOKUP(E11813,DSSpieler!A:B,2,FALSE)</f>
        <v>Caligo de Zerfigger</v>
      </c>
    </row>
    <row r="11814" spans="1:10" x14ac:dyDescent="0.25">
      <c r="A11814">
        <v>13302</v>
      </c>
      <c r="B11814" t="s">
        <v>531</v>
      </c>
      <c r="C11814">
        <v>574</v>
      </c>
      <c r="D11814">
        <v>428</v>
      </c>
      <c r="E11814">
        <v>0</v>
      </c>
      <c r="F11814">
        <v>963</v>
      </c>
      <c r="G11814">
        <v>0</v>
      </c>
      <c r="H11814" t="s">
        <v>16713</v>
      </c>
      <c r="I11814">
        <v>13302</v>
      </c>
      <c r="J11814" t="e">
        <f>VLOOKUP(E11814,DSSpieler!A:B,2,FALSE)</f>
        <v>#N/A</v>
      </c>
    </row>
    <row r="11815" spans="1:10" x14ac:dyDescent="0.25">
      <c r="A11815">
        <v>13304</v>
      </c>
      <c r="B11815" t="s">
        <v>531</v>
      </c>
      <c r="C11815">
        <v>595</v>
      </c>
      <c r="D11815">
        <v>439</v>
      </c>
      <c r="E11815">
        <v>0</v>
      </c>
      <c r="F11815">
        <v>223</v>
      </c>
      <c r="G11815">
        <v>0</v>
      </c>
      <c r="H11815" t="s">
        <v>16714</v>
      </c>
      <c r="I11815">
        <v>13304</v>
      </c>
      <c r="J11815" t="e">
        <f>VLOOKUP(E11815,DSSpieler!A:B,2,FALSE)</f>
        <v>#N/A</v>
      </c>
    </row>
    <row r="11816" spans="1:10" x14ac:dyDescent="0.25">
      <c r="A11816">
        <v>13307</v>
      </c>
      <c r="B11816" t="s">
        <v>531</v>
      </c>
      <c r="C11816">
        <v>434</v>
      </c>
      <c r="D11816">
        <v>456</v>
      </c>
      <c r="E11816">
        <v>0</v>
      </c>
      <c r="F11816">
        <v>246</v>
      </c>
      <c r="G11816">
        <v>0</v>
      </c>
      <c r="H11816" t="s">
        <v>16715</v>
      </c>
      <c r="I11816">
        <v>13307</v>
      </c>
      <c r="J11816" t="e">
        <f>VLOOKUP(E11816,DSSpieler!A:B,2,FALSE)</f>
        <v>#N/A</v>
      </c>
    </row>
    <row r="11817" spans="1:10" x14ac:dyDescent="0.25">
      <c r="A11817">
        <v>13308</v>
      </c>
      <c r="B11817" t="s">
        <v>531</v>
      </c>
      <c r="C11817">
        <v>607</v>
      </c>
      <c r="D11817">
        <v>465</v>
      </c>
      <c r="E11817">
        <v>0</v>
      </c>
      <c r="F11817">
        <v>149</v>
      </c>
      <c r="G11817">
        <v>0</v>
      </c>
      <c r="H11817" t="s">
        <v>16716</v>
      </c>
      <c r="I11817">
        <v>13308</v>
      </c>
      <c r="J11817" t="e">
        <f>VLOOKUP(E11817,DSSpieler!A:B,2,FALSE)</f>
        <v>#N/A</v>
      </c>
    </row>
    <row r="11818" spans="1:10" x14ac:dyDescent="0.25">
      <c r="A11818">
        <v>13309</v>
      </c>
      <c r="B11818" t="s">
        <v>531</v>
      </c>
      <c r="C11818">
        <v>389</v>
      </c>
      <c r="D11818">
        <v>508</v>
      </c>
      <c r="E11818">
        <v>0</v>
      </c>
      <c r="F11818">
        <v>326</v>
      </c>
      <c r="G11818">
        <v>0</v>
      </c>
      <c r="H11818" t="s">
        <v>16717</v>
      </c>
      <c r="I11818">
        <v>13309</v>
      </c>
      <c r="J11818" t="e">
        <f>VLOOKUP(E11818,DSSpieler!A:B,2,FALSE)</f>
        <v>#N/A</v>
      </c>
    </row>
    <row r="11819" spans="1:10" x14ac:dyDescent="0.25">
      <c r="A11819">
        <v>13310</v>
      </c>
      <c r="B11819">
        <v>3</v>
      </c>
      <c r="C11819">
        <v>564</v>
      </c>
      <c r="D11819">
        <v>431</v>
      </c>
      <c r="E11819">
        <v>1577168667</v>
      </c>
      <c r="F11819">
        <v>6933</v>
      </c>
      <c r="G11819">
        <v>0</v>
      </c>
      <c r="H11819" t="s">
        <v>16718</v>
      </c>
      <c r="I11819">
        <v>13310</v>
      </c>
      <c r="J11819" t="str">
        <f>VLOOKUP(E11819,DSSpieler!A:B,2,FALSE)</f>
        <v>CeeJayzn</v>
      </c>
    </row>
    <row r="11820" spans="1:10" x14ac:dyDescent="0.25">
      <c r="A11820">
        <v>13311</v>
      </c>
      <c r="B11820" t="s">
        <v>531</v>
      </c>
      <c r="C11820">
        <v>613</v>
      </c>
      <c r="D11820">
        <v>495</v>
      </c>
      <c r="E11820">
        <v>0</v>
      </c>
      <c r="F11820">
        <v>381</v>
      </c>
      <c r="G11820">
        <v>0</v>
      </c>
      <c r="H11820" t="s">
        <v>16719</v>
      </c>
      <c r="I11820">
        <v>13311</v>
      </c>
      <c r="J11820" t="e">
        <f>VLOOKUP(E11820,DSSpieler!A:B,2,FALSE)</f>
        <v>#N/A</v>
      </c>
    </row>
    <row r="11821" spans="1:10" x14ac:dyDescent="0.25">
      <c r="A11821">
        <v>13312</v>
      </c>
      <c r="B11821" t="s">
        <v>531</v>
      </c>
      <c r="C11821">
        <v>565</v>
      </c>
      <c r="D11821">
        <v>593</v>
      </c>
      <c r="E11821">
        <v>0</v>
      </c>
      <c r="F11821">
        <v>235</v>
      </c>
      <c r="G11821">
        <v>0</v>
      </c>
      <c r="H11821" t="s">
        <v>16720</v>
      </c>
      <c r="I11821">
        <v>13312</v>
      </c>
      <c r="J11821" t="e">
        <f>VLOOKUP(E11821,DSSpieler!A:B,2,FALSE)</f>
        <v>#N/A</v>
      </c>
    </row>
    <row r="11822" spans="1:10" x14ac:dyDescent="0.25">
      <c r="A11822">
        <v>13313</v>
      </c>
      <c r="B11822" t="s">
        <v>34635</v>
      </c>
      <c r="C11822">
        <v>404</v>
      </c>
      <c r="D11822">
        <v>561</v>
      </c>
      <c r="E11822">
        <v>1577006207</v>
      </c>
      <c r="F11822">
        <v>5949</v>
      </c>
      <c r="G11822">
        <v>0</v>
      </c>
      <c r="H11822" t="s">
        <v>16721</v>
      </c>
      <c r="I11822">
        <v>13313</v>
      </c>
      <c r="J11822" t="str">
        <f>VLOOKUP(E11822,DSSpieler!A:B,2,FALSE)</f>
        <v>m.freemann</v>
      </c>
    </row>
    <row r="11823" spans="1:10" x14ac:dyDescent="0.25">
      <c r="A11823">
        <v>13314</v>
      </c>
      <c r="B11823" t="s">
        <v>34636</v>
      </c>
      <c r="C11823">
        <v>417</v>
      </c>
      <c r="D11823">
        <v>432</v>
      </c>
      <c r="E11823">
        <v>1577199768</v>
      </c>
      <c r="F11823">
        <v>7440</v>
      </c>
      <c r="G11823">
        <v>0</v>
      </c>
      <c r="H11823" t="s">
        <v>16722</v>
      </c>
      <c r="I11823">
        <v>13314</v>
      </c>
      <c r="J11823" t="str">
        <f>VLOOKUP(E11823,DSSpieler!A:B,2,FALSE)</f>
        <v>Orgasmusmensch</v>
      </c>
    </row>
    <row r="11824" spans="1:10" x14ac:dyDescent="0.25">
      <c r="A11824">
        <v>13316</v>
      </c>
      <c r="B11824" t="s">
        <v>531</v>
      </c>
      <c r="C11824">
        <v>444</v>
      </c>
      <c r="D11824">
        <v>503</v>
      </c>
      <c r="E11824">
        <v>0</v>
      </c>
      <c r="F11824">
        <v>413</v>
      </c>
      <c r="G11824">
        <v>0</v>
      </c>
      <c r="H11824" t="s">
        <v>16723</v>
      </c>
      <c r="I11824">
        <v>13316</v>
      </c>
      <c r="J11824" t="e">
        <f>VLOOKUP(E11824,DSSpieler!A:B,2,FALSE)</f>
        <v>#N/A</v>
      </c>
    </row>
    <row r="11825" spans="1:10" x14ac:dyDescent="0.25">
      <c r="A11825">
        <v>13317</v>
      </c>
      <c r="B11825" t="s">
        <v>531</v>
      </c>
      <c r="C11825">
        <v>439</v>
      </c>
      <c r="D11825">
        <v>597</v>
      </c>
      <c r="E11825">
        <v>0</v>
      </c>
      <c r="F11825">
        <v>202</v>
      </c>
      <c r="G11825">
        <v>0</v>
      </c>
      <c r="H11825" t="s">
        <v>16724</v>
      </c>
      <c r="I11825">
        <v>13317</v>
      </c>
      <c r="J11825" t="e">
        <f>VLOOKUP(E11825,DSSpieler!A:B,2,FALSE)</f>
        <v>#N/A</v>
      </c>
    </row>
    <row r="11826" spans="1:10" x14ac:dyDescent="0.25">
      <c r="A11826">
        <v>13318</v>
      </c>
      <c r="B11826" t="s">
        <v>34637</v>
      </c>
      <c r="C11826">
        <v>529</v>
      </c>
      <c r="D11826">
        <v>609</v>
      </c>
      <c r="E11826">
        <v>1577199096</v>
      </c>
      <c r="F11826">
        <v>378</v>
      </c>
      <c r="G11826">
        <v>0</v>
      </c>
      <c r="H11826" t="s">
        <v>16725</v>
      </c>
      <c r="I11826">
        <v>13318</v>
      </c>
      <c r="J11826" t="str">
        <f>VLOOKUP(E11826,DSSpieler!A:B,2,FALSE)</f>
        <v>Icky95</v>
      </c>
    </row>
    <row r="11827" spans="1:10" x14ac:dyDescent="0.25">
      <c r="A11827">
        <v>13319</v>
      </c>
      <c r="B11827" t="s">
        <v>531</v>
      </c>
      <c r="C11827">
        <v>455</v>
      </c>
      <c r="D11827">
        <v>395</v>
      </c>
      <c r="E11827">
        <v>0</v>
      </c>
      <c r="F11827">
        <v>383</v>
      </c>
      <c r="G11827">
        <v>0</v>
      </c>
      <c r="H11827" t="s">
        <v>16726</v>
      </c>
      <c r="I11827">
        <v>13319</v>
      </c>
      <c r="J11827" t="e">
        <f>VLOOKUP(E11827,DSSpieler!A:B,2,FALSE)</f>
        <v>#N/A</v>
      </c>
    </row>
    <row r="11828" spans="1:10" x14ac:dyDescent="0.25">
      <c r="A11828">
        <v>13320</v>
      </c>
      <c r="B11828" t="s">
        <v>531</v>
      </c>
      <c r="C11828">
        <v>612</v>
      </c>
      <c r="D11828">
        <v>521</v>
      </c>
      <c r="E11828">
        <v>0</v>
      </c>
      <c r="F11828">
        <v>216</v>
      </c>
      <c r="G11828">
        <v>0</v>
      </c>
      <c r="H11828" t="s">
        <v>16727</v>
      </c>
      <c r="I11828">
        <v>13320</v>
      </c>
      <c r="J11828" t="e">
        <f>VLOOKUP(E11828,DSSpieler!A:B,2,FALSE)</f>
        <v>#N/A</v>
      </c>
    </row>
    <row r="11829" spans="1:10" x14ac:dyDescent="0.25">
      <c r="A11829">
        <v>13321</v>
      </c>
      <c r="B11829" t="s">
        <v>34638</v>
      </c>
      <c r="C11829">
        <v>498</v>
      </c>
      <c r="D11829">
        <v>613</v>
      </c>
      <c r="E11829">
        <v>9613683</v>
      </c>
      <c r="F11829">
        <v>4135</v>
      </c>
      <c r="G11829">
        <v>0</v>
      </c>
      <c r="H11829" t="s">
        <v>16728</v>
      </c>
      <c r="I11829">
        <v>13321</v>
      </c>
      <c r="J11829" t="str">
        <f>VLOOKUP(E11829,DSSpieler!A:B,2,FALSE)</f>
        <v>As High As Honor</v>
      </c>
    </row>
    <row r="11830" spans="1:10" x14ac:dyDescent="0.25">
      <c r="A11830">
        <v>13322</v>
      </c>
      <c r="B11830" t="s">
        <v>531</v>
      </c>
      <c r="C11830">
        <v>608</v>
      </c>
      <c r="D11830">
        <v>530</v>
      </c>
      <c r="E11830">
        <v>0</v>
      </c>
      <c r="F11830">
        <v>239</v>
      </c>
      <c r="G11830">
        <v>0</v>
      </c>
      <c r="H11830" t="s">
        <v>16729</v>
      </c>
      <c r="I11830">
        <v>13322</v>
      </c>
      <c r="J11830" t="e">
        <f>VLOOKUP(E11830,DSSpieler!A:B,2,FALSE)</f>
        <v>#N/A</v>
      </c>
    </row>
    <row r="11831" spans="1:10" x14ac:dyDescent="0.25">
      <c r="A11831">
        <v>13324</v>
      </c>
      <c r="B11831" t="s">
        <v>33275</v>
      </c>
      <c r="C11831">
        <v>484</v>
      </c>
      <c r="D11831">
        <v>488</v>
      </c>
      <c r="E11831">
        <v>1576991907</v>
      </c>
      <c r="F11831">
        <v>4620</v>
      </c>
      <c r="G11831">
        <v>0</v>
      </c>
      <c r="H11831" t="s">
        <v>16730</v>
      </c>
      <c r="I11831">
        <v>13324</v>
      </c>
      <c r="J11831" t="str">
        <f>VLOOKUP(E11831,DSSpieler!A:B,2,FALSE)</f>
        <v>Wagner1860</v>
      </c>
    </row>
    <row r="11832" spans="1:10" x14ac:dyDescent="0.25">
      <c r="A11832">
        <v>13326</v>
      </c>
      <c r="B11832" t="s">
        <v>531</v>
      </c>
      <c r="C11832">
        <v>603</v>
      </c>
      <c r="D11832">
        <v>545</v>
      </c>
      <c r="E11832">
        <v>0</v>
      </c>
      <c r="F11832">
        <v>182</v>
      </c>
      <c r="G11832">
        <v>0</v>
      </c>
      <c r="H11832" t="s">
        <v>16731</v>
      </c>
      <c r="I11832">
        <v>13326</v>
      </c>
      <c r="J11832" t="e">
        <f>VLOOKUP(E11832,DSSpieler!A:B,2,FALSE)</f>
        <v>#N/A</v>
      </c>
    </row>
    <row r="11833" spans="1:10" x14ac:dyDescent="0.25">
      <c r="A11833">
        <v>13327</v>
      </c>
      <c r="B11833" t="s">
        <v>531</v>
      </c>
      <c r="C11833">
        <v>465</v>
      </c>
      <c r="D11833">
        <v>396</v>
      </c>
      <c r="E11833">
        <v>0</v>
      </c>
      <c r="F11833">
        <v>155</v>
      </c>
      <c r="G11833">
        <v>0</v>
      </c>
      <c r="H11833" t="s">
        <v>16732</v>
      </c>
      <c r="I11833">
        <v>13327</v>
      </c>
      <c r="J11833" t="e">
        <f>VLOOKUP(E11833,DSSpieler!A:B,2,FALSE)</f>
        <v>#N/A</v>
      </c>
    </row>
    <row r="11834" spans="1:10" x14ac:dyDescent="0.25">
      <c r="A11834">
        <v>13328</v>
      </c>
      <c r="B11834" t="s">
        <v>34639</v>
      </c>
      <c r="C11834">
        <v>606</v>
      </c>
      <c r="D11834">
        <v>455</v>
      </c>
      <c r="E11834">
        <v>1576413140</v>
      </c>
      <c r="F11834">
        <v>1310</v>
      </c>
      <c r="G11834">
        <v>0</v>
      </c>
      <c r="H11834" t="s">
        <v>16733</v>
      </c>
      <c r="I11834">
        <v>13328</v>
      </c>
      <c r="J11834" t="str">
        <f>VLOOKUP(E11834,DSSpieler!A:B,2,FALSE)</f>
        <v>darwyn</v>
      </c>
    </row>
    <row r="11835" spans="1:10" x14ac:dyDescent="0.25">
      <c r="A11835">
        <v>13329</v>
      </c>
      <c r="B11835" t="s">
        <v>780</v>
      </c>
      <c r="C11835">
        <v>601</v>
      </c>
      <c r="D11835">
        <v>551</v>
      </c>
      <c r="E11835">
        <v>1577070025</v>
      </c>
      <c r="F11835">
        <v>5342</v>
      </c>
      <c r="G11835">
        <v>0</v>
      </c>
      <c r="H11835" t="s">
        <v>16734</v>
      </c>
      <c r="I11835">
        <v>13329</v>
      </c>
      <c r="J11835" t="str">
        <f>VLOOKUP(E11835,DSSpieler!A:B,2,FALSE)</f>
        <v>SteveIRL07</v>
      </c>
    </row>
    <row r="11836" spans="1:10" x14ac:dyDescent="0.25">
      <c r="A11836">
        <v>13330</v>
      </c>
      <c r="B11836" s="111">
        <v>230.03</v>
      </c>
      <c r="C11836">
        <v>553</v>
      </c>
      <c r="D11836">
        <v>596</v>
      </c>
      <c r="E11836">
        <v>1577126198</v>
      </c>
      <c r="F11836">
        <v>5443</v>
      </c>
      <c r="G11836">
        <v>0</v>
      </c>
      <c r="H11836" t="s">
        <v>16735</v>
      </c>
      <c r="I11836">
        <v>13330</v>
      </c>
      <c r="J11836" t="str">
        <f>VLOOKUP(E11836,DSSpieler!A:B,2,FALSE)</f>
        <v>Yang</v>
      </c>
    </row>
    <row r="11837" spans="1:10" x14ac:dyDescent="0.25">
      <c r="A11837">
        <v>13331</v>
      </c>
      <c r="B11837" t="s">
        <v>2212</v>
      </c>
      <c r="C11837">
        <v>609</v>
      </c>
      <c r="D11837">
        <v>485</v>
      </c>
      <c r="E11837">
        <v>1577187168</v>
      </c>
      <c r="F11837">
        <v>920</v>
      </c>
      <c r="G11837">
        <v>0</v>
      </c>
      <c r="H11837" t="s">
        <v>16736</v>
      </c>
      <c r="I11837">
        <v>13331</v>
      </c>
      <c r="J11837" t="str">
        <f>VLOOKUP(E11837,DSSpieler!A:B,2,FALSE)</f>
        <v>King Atzu</v>
      </c>
    </row>
    <row r="11838" spans="1:10" x14ac:dyDescent="0.25">
      <c r="A11838">
        <v>13332</v>
      </c>
      <c r="B11838" t="s">
        <v>2213</v>
      </c>
      <c r="C11838">
        <v>567</v>
      </c>
      <c r="D11838">
        <v>458</v>
      </c>
      <c r="E11838">
        <v>1576751873</v>
      </c>
      <c r="F11838">
        <v>4719</v>
      </c>
      <c r="G11838">
        <v>0</v>
      </c>
      <c r="H11838" t="s">
        <v>16737</v>
      </c>
      <c r="I11838">
        <v>13332</v>
      </c>
      <c r="J11838" t="str">
        <f>VLOOKUP(E11838,DSSpieler!A:B,2,FALSE)</f>
        <v>King MKay</v>
      </c>
    </row>
    <row r="11839" spans="1:10" x14ac:dyDescent="0.25">
      <c r="A11839">
        <v>13333</v>
      </c>
      <c r="B11839" t="e">
        <f>-2-+AC+II</f>
        <v>#NAME?</v>
      </c>
      <c r="C11839">
        <v>615</v>
      </c>
      <c r="D11839">
        <v>490</v>
      </c>
      <c r="E11839">
        <v>2241597</v>
      </c>
      <c r="F11839">
        <v>2275</v>
      </c>
      <c r="G11839">
        <v>0</v>
      </c>
      <c r="H11839" t="s">
        <v>16738</v>
      </c>
      <c r="I11839">
        <v>13333</v>
      </c>
      <c r="J11839" t="str">
        <f>VLOOKUP(E11839,DSSpieler!A:B,2,FALSE)</f>
        <v>Darkrico</v>
      </c>
    </row>
    <row r="11840" spans="1:10" x14ac:dyDescent="0.25">
      <c r="A11840">
        <v>13334</v>
      </c>
      <c r="B11840" t="s">
        <v>531</v>
      </c>
      <c r="C11840">
        <v>566</v>
      </c>
      <c r="D11840">
        <v>589</v>
      </c>
      <c r="E11840">
        <v>0</v>
      </c>
      <c r="F11840">
        <v>359</v>
      </c>
      <c r="G11840">
        <v>0</v>
      </c>
      <c r="H11840" t="s">
        <v>16739</v>
      </c>
      <c r="I11840">
        <v>13334</v>
      </c>
      <c r="J11840" t="e">
        <f>VLOOKUP(E11840,DSSpieler!A:B,2,FALSE)</f>
        <v>#N/A</v>
      </c>
    </row>
    <row r="11841" spans="1:10" x14ac:dyDescent="0.25">
      <c r="A11841">
        <v>13335</v>
      </c>
      <c r="B11841" t="s">
        <v>34640</v>
      </c>
      <c r="C11841">
        <v>531</v>
      </c>
      <c r="D11841">
        <v>390</v>
      </c>
      <c r="E11841">
        <v>1577173067</v>
      </c>
      <c r="F11841">
        <v>4518</v>
      </c>
      <c r="G11841">
        <v>0</v>
      </c>
      <c r="H11841" t="s">
        <v>16740</v>
      </c>
      <c r="I11841">
        <v>13335</v>
      </c>
      <c r="J11841" t="str">
        <f>VLOOKUP(E11841,DSSpieler!A:B,2,FALSE)</f>
        <v>SylarX</v>
      </c>
    </row>
    <row r="11842" spans="1:10" x14ac:dyDescent="0.25">
      <c r="A11842">
        <v>13336</v>
      </c>
      <c r="B11842" t="s">
        <v>31311</v>
      </c>
      <c r="C11842">
        <v>398</v>
      </c>
      <c r="D11842">
        <v>470</v>
      </c>
      <c r="E11842">
        <v>1576585696</v>
      </c>
      <c r="F11842">
        <v>2491</v>
      </c>
      <c r="G11842">
        <v>0</v>
      </c>
      <c r="H11842" t="s">
        <v>16741</v>
      </c>
      <c r="I11842">
        <v>13336</v>
      </c>
      <c r="J11842" t="str">
        <f>VLOOKUP(E11842,DSSpieler!A:B,2,FALSE)</f>
        <v>König Kevin die Seegurke</v>
      </c>
    </row>
    <row r="11843" spans="1:10" x14ac:dyDescent="0.25">
      <c r="A11843">
        <v>13337</v>
      </c>
      <c r="B11843" t="s">
        <v>531</v>
      </c>
      <c r="C11843">
        <v>450</v>
      </c>
      <c r="D11843">
        <v>491</v>
      </c>
      <c r="E11843">
        <v>0</v>
      </c>
      <c r="F11843">
        <v>500</v>
      </c>
      <c r="G11843">
        <v>0</v>
      </c>
      <c r="H11843" t="s">
        <v>16742</v>
      </c>
      <c r="I11843">
        <v>13337</v>
      </c>
      <c r="J11843" t="e">
        <f>VLOOKUP(E11843,DSSpieler!A:B,2,FALSE)</f>
        <v>#N/A</v>
      </c>
    </row>
    <row r="11844" spans="1:10" x14ac:dyDescent="0.25">
      <c r="A11844">
        <v>13338</v>
      </c>
      <c r="B11844" t="s">
        <v>531</v>
      </c>
      <c r="C11844">
        <v>609</v>
      </c>
      <c r="D11844">
        <v>532</v>
      </c>
      <c r="E11844">
        <v>0</v>
      </c>
      <c r="F11844">
        <v>239</v>
      </c>
      <c r="G11844">
        <v>0</v>
      </c>
      <c r="H11844" t="s">
        <v>16743</v>
      </c>
      <c r="I11844">
        <v>13338</v>
      </c>
      <c r="J11844" t="e">
        <f>VLOOKUP(E11844,DSSpieler!A:B,2,FALSE)</f>
        <v>#N/A</v>
      </c>
    </row>
    <row r="11845" spans="1:10" x14ac:dyDescent="0.25">
      <c r="A11845">
        <v>13339</v>
      </c>
      <c r="B11845" t="s">
        <v>32352</v>
      </c>
      <c r="C11845">
        <v>530</v>
      </c>
      <c r="D11845">
        <v>582</v>
      </c>
      <c r="E11845">
        <v>1577163137</v>
      </c>
      <c r="F11845">
        <v>5853</v>
      </c>
      <c r="G11845">
        <v>0</v>
      </c>
      <c r="H11845" t="s">
        <v>16744</v>
      </c>
      <c r="I11845">
        <v>13339</v>
      </c>
      <c r="J11845" t="str">
        <f>VLOOKUP(E11845,DSSpieler!A:B,2,FALSE)</f>
        <v>Lord Herkulles4444</v>
      </c>
    </row>
    <row r="11846" spans="1:10" x14ac:dyDescent="0.25">
      <c r="A11846">
        <v>13340</v>
      </c>
      <c r="B11846" t="s">
        <v>31434</v>
      </c>
      <c r="C11846">
        <v>492</v>
      </c>
      <c r="D11846">
        <v>611</v>
      </c>
      <c r="E11846">
        <v>337584</v>
      </c>
      <c r="F11846">
        <v>2637</v>
      </c>
      <c r="G11846">
        <v>0</v>
      </c>
      <c r="H11846" t="s">
        <v>16745</v>
      </c>
      <c r="I11846">
        <v>13340</v>
      </c>
      <c r="J11846" t="str">
        <f>VLOOKUP(E11846,DSSpieler!A:B,2,FALSE)</f>
        <v>der letzte hashishin</v>
      </c>
    </row>
    <row r="11847" spans="1:10" x14ac:dyDescent="0.25">
      <c r="A11847">
        <v>13341</v>
      </c>
      <c r="B11847">
        <v>3</v>
      </c>
      <c r="C11847">
        <v>515</v>
      </c>
      <c r="D11847">
        <v>387</v>
      </c>
      <c r="E11847">
        <v>9797650</v>
      </c>
      <c r="F11847">
        <v>4384</v>
      </c>
      <c r="G11847">
        <v>0</v>
      </c>
      <c r="H11847" t="s">
        <v>16746</v>
      </c>
      <c r="I11847">
        <v>13341</v>
      </c>
      <c r="J11847" t="str">
        <f>VLOOKUP(E11847,DSSpieler!A:B,2,FALSE)</f>
        <v>robinhood-007</v>
      </c>
    </row>
    <row r="11848" spans="1:10" x14ac:dyDescent="0.25">
      <c r="A11848">
        <v>13342</v>
      </c>
      <c r="B11848" t="s">
        <v>32454</v>
      </c>
      <c r="C11848">
        <v>493</v>
      </c>
      <c r="D11848">
        <v>400</v>
      </c>
      <c r="E11848">
        <v>10241426</v>
      </c>
      <c r="F11848">
        <v>1374</v>
      </c>
      <c r="G11848">
        <v>0</v>
      </c>
      <c r="H11848" t="s">
        <v>16747</v>
      </c>
      <c r="I11848">
        <v>13342</v>
      </c>
      <c r="J11848" t="str">
        <f>VLOOKUP(E11848,DSSpieler!A:B,2,FALSE)</f>
        <v>Sir Eric Cartman</v>
      </c>
    </row>
    <row r="11849" spans="1:10" x14ac:dyDescent="0.25">
      <c r="A11849">
        <v>13343</v>
      </c>
      <c r="B11849" t="s">
        <v>34641</v>
      </c>
      <c r="C11849">
        <v>482</v>
      </c>
      <c r="D11849">
        <v>465</v>
      </c>
      <c r="E11849">
        <v>1577199786</v>
      </c>
      <c r="F11849">
        <v>5065</v>
      </c>
      <c r="G11849">
        <v>0</v>
      </c>
      <c r="H11849" t="s">
        <v>16748</v>
      </c>
      <c r="I11849">
        <v>13343</v>
      </c>
      <c r="J11849" t="str">
        <f>VLOOKUP(E11849,DSSpieler!A:B,2,FALSE)</f>
        <v>vintruxius</v>
      </c>
    </row>
    <row r="11850" spans="1:10" x14ac:dyDescent="0.25">
      <c r="A11850">
        <v>13344</v>
      </c>
      <c r="B11850" t="s">
        <v>34642</v>
      </c>
      <c r="C11850">
        <v>548</v>
      </c>
      <c r="D11850">
        <v>398</v>
      </c>
      <c r="E11850">
        <v>1576189514</v>
      </c>
      <c r="F11850">
        <v>5504</v>
      </c>
      <c r="G11850">
        <v>0</v>
      </c>
      <c r="H11850" t="s">
        <v>16749</v>
      </c>
      <c r="I11850">
        <v>13344</v>
      </c>
      <c r="J11850" t="str">
        <f>VLOOKUP(E11850,DSSpieler!A:B,2,FALSE)</f>
        <v>Skellofraktur</v>
      </c>
    </row>
    <row r="11851" spans="1:10" x14ac:dyDescent="0.25">
      <c r="A11851">
        <v>13345</v>
      </c>
      <c r="B11851" t="s">
        <v>2214</v>
      </c>
      <c r="C11851">
        <v>422</v>
      </c>
      <c r="D11851">
        <v>557</v>
      </c>
      <c r="E11851">
        <v>1577174979</v>
      </c>
      <c r="F11851">
        <v>3315</v>
      </c>
      <c r="G11851">
        <v>0</v>
      </c>
      <c r="H11851" t="s">
        <v>16750</v>
      </c>
      <c r="I11851">
        <v>13345</v>
      </c>
      <c r="J11851" t="str">
        <f>VLOOKUP(E11851,DSSpieler!A:B,2,FALSE)</f>
        <v>Azeroth</v>
      </c>
    </row>
    <row r="11852" spans="1:10" x14ac:dyDescent="0.25">
      <c r="A11852">
        <v>13346</v>
      </c>
      <c r="B11852" t="s">
        <v>531</v>
      </c>
      <c r="C11852">
        <v>529</v>
      </c>
      <c r="D11852">
        <v>389</v>
      </c>
      <c r="E11852">
        <v>0</v>
      </c>
      <c r="F11852">
        <v>197</v>
      </c>
      <c r="G11852">
        <v>0</v>
      </c>
      <c r="H11852" t="s">
        <v>16751</v>
      </c>
      <c r="I11852">
        <v>13346</v>
      </c>
      <c r="J11852" t="e">
        <f>VLOOKUP(E11852,DSSpieler!A:B,2,FALSE)</f>
        <v>#N/A</v>
      </c>
    </row>
    <row r="11853" spans="1:10" x14ac:dyDescent="0.25">
      <c r="A11853">
        <v>13347</v>
      </c>
      <c r="B11853" t="s">
        <v>31205</v>
      </c>
      <c r="C11853">
        <v>464</v>
      </c>
      <c r="D11853">
        <v>408</v>
      </c>
      <c r="E11853">
        <v>1576997334</v>
      </c>
      <c r="F11853">
        <v>3242</v>
      </c>
      <c r="G11853">
        <v>0</v>
      </c>
      <c r="H11853" t="s">
        <v>16752</v>
      </c>
      <c r="I11853">
        <v>13347</v>
      </c>
      <c r="J11853" t="str">
        <f>VLOOKUP(E11853,DSSpieler!A:B,2,FALSE)</f>
        <v>SirNatsch</v>
      </c>
    </row>
    <row r="11854" spans="1:10" x14ac:dyDescent="0.25">
      <c r="A11854">
        <v>13348</v>
      </c>
      <c r="B11854" t="s">
        <v>34643</v>
      </c>
      <c r="C11854">
        <v>474</v>
      </c>
      <c r="D11854">
        <v>407</v>
      </c>
      <c r="E11854">
        <v>1577197317</v>
      </c>
      <c r="F11854">
        <v>5269</v>
      </c>
      <c r="G11854">
        <v>0</v>
      </c>
      <c r="H11854" t="s">
        <v>16753</v>
      </c>
      <c r="I11854">
        <v>13348</v>
      </c>
      <c r="J11854" t="str">
        <f>VLOOKUP(E11854,DSSpieler!A:B,2,FALSE)</f>
        <v>DieWaldfee</v>
      </c>
    </row>
    <row r="11855" spans="1:10" x14ac:dyDescent="0.25">
      <c r="A11855">
        <v>13349</v>
      </c>
      <c r="B11855" t="s">
        <v>2215</v>
      </c>
      <c r="C11855">
        <v>386</v>
      </c>
      <c r="D11855">
        <v>488</v>
      </c>
      <c r="E11855">
        <v>1576382522</v>
      </c>
      <c r="F11855">
        <v>4192</v>
      </c>
      <c r="G11855">
        <v>0</v>
      </c>
      <c r="H11855" t="s">
        <v>16754</v>
      </c>
      <c r="I11855">
        <v>13349</v>
      </c>
      <c r="J11855" t="str">
        <f>VLOOKUP(E11855,DSSpieler!A:B,2,FALSE)</f>
        <v>90sKid</v>
      </c>
    </row>
    <row r="11856" spans="1:10" x14ac:dyDescent="0.25">
      <c r="A11856">
        <v>13350</v>
      </c>
      <c r="B11856" t="s">
        <v>531</v>
      </c>
      <c r="C11856">
        <v>403</v>
      </c>
      <c r="D11856">
        <v>555</v>
      </c>
      <c r="E11856">
        <v>0</v>
      </c>
      <c r="F11856">
        <v>352</v>
      </c>
      <c r="G11856">
        <v>0</v>
      </c>
      <c r="H11856" t="s">
        <v>16755</v>
      </c>
      <c r="I11856">
        <v>13350</v>
      </c>
      <c r="J11856" t="e">
        <f>VLOOKUP(E11856,DSSpieler!A:B,2,FALSE)</f>
        <v>#N/A</v>
      </c>
    </row>
    <row r="11857" spans="1:10" x14ac:dyDescent="0.25">
      <c r="A11857">
        <v>13352</v>
      </c>
      <c r="B11857" t="s">
        <v>531</v>
      </c>
      <c r="C11857">
        <v>432</v>
      </c>
      <c r="D11857">
        <v>408</v>
      </c>
      <c r="E11857">
        <v>0</v>
      </c>
      <c r="F11857">
        <v>300</v>
      </c>
      <c r="G11857">
        <v>0</v>
      </c>
      <c r="H11857" t="s">
        <v>16756</v>
      </c>
      <c r="I11857">
        <v>13352</v>
      </c>
      <c r="J11857" t="e">
        <f>VLOOKUP(E11857,DSSpieler!A:B,2,FALSE)</f>
        <v>#N/A</v>
      </c>
    </row>
    <row r="11858" spans="1:10" x14ac:dyDescent="0.25">
      <c r="A11858">
        <v>13353</v>
      </c>
      <c r="B11858" t="s">
        <v>531</v>
      </c>
      <c r="C11858">
        <v>539</v>
      </c>
      <c r="D11858">
        <v>602</v>
      </c>
      <c r="E11858">
        <v>0</v>
      </c>
      <c r="F11858">
        <v>269</v>
      </c>
      <c r="G11858">
        <v>0</v>
      </c>
      <c r="H11858" t="s">
        <v>16757</v>
      </c>
      <c r="I11858">
        <v>13353</v>
      </c>
      <c r="J11858" t="e">
        <f>VLOOKUP(E11858,DSSpieler!A:B,2,FALSE)</f>
        <v>#N/A</v>
      </c>
    </row>
    <row r="11859" spans="1:10" x14ac:dyDescent="0.25">
      <c r="A11859">
        <v>13354</v>
      </c>
      <c r="B11859" t="s">
        <v>531</v>
      </c>
      <c r="C11859">
        <v>536</v>
      </c>
      <c r="D11859">
        <v>392</v>
      </c>
      <c r="E11859">
        <v>0</v>
      </c>
      <c r="F11859">
        <v>206</v>
      </c>
      <c r="G11859">
        <v>0</v>
      </c>
      <c r="H11859" t="s">
        <v>16758</v>
      </c>
      <c r="I11859">
        <v>13354</v>
      </c>
      <c r="J11859" t="e">
        <f>VLOOKUP(E11859,DSSpieler!A:B,2,FALSE)</f>
        <v>#N/A</v>
      </c>
    </row>
    <row r="11860" spans="1:10" x14ac:dyDescent="0.25">
      <c r="A11860">
        <v>13355</v>
      </c>
      <c r="B11860" t="s">
        <v>531</v>
      </c>
      <c r="C11860">
        <v>493</v>
      </c>
      <c r="D11860">
        <v>389</v>
      </c>
      <c r="E11860">
        <v>0</v>
      </c>
      <c r="F11860">
        <v>232</v>
      </c>
      <c r="G11860">
        <v>0</v>
      </c>
      <c r="H11860" t="s">
        <v>16759</v>
      </c>
      <c r="I11860">
        <v>13355</v>
      </c>
      <c r="J11860" t="e">
        <f>VLOOKUP(E11860,DSSpieler!A:B,2,FALSE)</f>
        <v>#N/A</v>
      </c>
    </row>
    <row r="11861" spans="1:10" x14ac:dyDescent="0.25">
      <c r="A11861">
        <v>13356</v>
      </c>
      <c r="B11861" t="s">
        <v>34644</v>
      </c>
      <c r="C11861">
        <v>593</v>
      </c>
      <c r="D11861">
        <v>558</v>
      </c>
      <c r="E11861">
        <v>1576277382</v>
      </c>
      <c r="F11861">
        <v>1446</v>
      </c>
      <c r="G11861">
        <v>0</v>
      </c>
      <c r="H11861" t="s">
        <v>16760</v>
      </c>
      <c r="I11861">
        <v>13356</v>
      </c>
      <c r="J11861" t="str">
        <f>VLOOKUP(E11861,DSSpieler!A:B,2,FALSE)</f>
        <v>Sasna12</v>
      </c>
    </row>
    <row r="11862" spans="1:10" x14ac:dyDescent="0.25">
      <c r="A11862">
        <v>13357</v>
      </c>
      <c r="B11862" t="s">
        <v>531</v>
      </c>
      <c r="C11862">
        <v>417</v>
      </c>
      <c r="D11862">
        <v>423</v>
      </c>
      <c r="E11862">
        <v>0</v>
      </c>
      <c r="F11862">
        <v>524</v>
      </c>
      <c r="G11862">
        <v>0</v>
      </c>
      <c r="H11862" t="s">
        <v>16761</v>
      </c>
      <c r="I11862">
        <v>13357</v>
      </c>
      <c r="J11862" t="e">
        <f>VLOOKUP(E11862,DSSpieler!A:B,2,FALSE)</f>
        <v>#N/A</v>
      </c>
    </row>
    <row r="11863" spans="1:10" x14ac:dyDescent="0.25">
      <c r="A11863">
        <v>13358</v>
      </c>
      <c r="B11863">
        <v>4</v>
      </c>
      <c r="C11863">
        <v>438</v>
      </c>
      <c r="D11863">
        <v>561</v>
      </c>
      <c r="E11863">
        <v>1577197805</v>
      </c>
      <c r="F11863">
        <v>4626</v>
      </c>
      <c r="G11863">
        <v>0</v>
      </c>
      <c r="H11863" t="s">
        <v>16762</v>
      </c>
      <c r="I11863">
        <v>13358</v>
      </c>
      <c r="J11863" t="str">
        <f>VLOOKUP(E11863,DSSpieler!A:B,2,FALSE)</f>
        <v>TheOneAndOnly</v>
      </c>
    </row>
    <row r="11864" spans="1:10" x14ac:dyDescent="0.25">
      <c r="A11864">
        <v>13359</v>
      </c>
      <c r="B11864" t="s">
        <v>34645</v>
      </c>
      <c r="C11864">
        <v>592</v>
      </c>
      <c r="D11864">
        <v>556</v>
      </c>
      <c r="E11864">
        <v>9395622</v>
      </c>
      <c r="F11864">
        <v>1401</v>
      </c>
      <c r="G11864">
        <v>0</v>
      </c>
      <c r="H11864" t="s">
        <v>16763</v>
      </c>
      <c r="I11864">
        <v>13359</v>
      </c>
      <c r="J11864" t="str">
        <f>VLOOKUP(E11864,DSSpieler!A:B,2,FALSE)</f>
        <v>Tommyli1</v>
      </c>
    </row>
    <row r="11865" spans="1:10" x14ac:dyDescent="0.25">
      <c r="A11865">
        <v>13360</v>
      </c>
      <c r="B11865" t="s">
        <v>531</v>
      </c>
      <c r="C11865">
        <v>418</v>
      </c>
      <c r="D11865">
        <v>421</v>
      </c>
      <c r="E11865">
        <v>0</v>
      </c>
      <c r="F11865">
        <v>550</v>
      </c>
      <c r="G11865">
        <v>0</v>
      </c>
      <c r="H11865" t="s">
        <v>16764</v>
      </c>
      <c r="I11865">
        <v>13360</v>
      </c>
      <c r="J11865" t="e">
        <f>VLOOKUP(E11865,DSSpieler!A:B,2,FALSE)</f>
        <v>#N/A</v>
      </c>
    </row>
    <row r="11866" spans="1:10" x14ac:dyDescent="0.25">
      <c r="A11866">
        <v>13361</v>
      </c>
      <c r="B11866" t="s">
        <v>531</v>
      </c>
      <c r="C11866">
        <v>537</v>
      </c>
      <c r="D11866">
        <v>391</v>
      </c>
      <c r="E11866">
        <v>0</v>
      </c>
      <c r="F11866">
        <v>142</v>
      </c>
      <c r="G11866">
        <v>0</v>
      </c>
      <c r="H11866" t="s">
        <v>16765</v>
      </c>
      <c r="I11866">
        <v>13361</v>
      </c>
      <c r="J11866" t="e">
        <f>VLOOKUP(E11866,DSSpieler!A:B,2,FALSE)</f>
        <v>#N/A</v>
      </c>
    </row>
    <row r="11867" spans="1:10" x14ac:dyDescent="0.25">
      <c r="A11867">
        <v>13362</v>
      </c>
      <c r="B11867" t="s">
        <v>531</v>
      </c>
      <c r="C11867">
        <v>598</v>
      </c>
      <c r="D11867">
        <v>448</v>
      </c>
      <c r="E11867">
        <v>0</v>
      </c>
      <c r="F11867">
        <v>326</v>
      </c>
      <c r="G11867">
        <v>0</v>
      </c>
      <c r="H11867" t="s">
        <v>16766</v>
      </c>
      <c r="I11867">
        <v>13362</v>
      </c>
      <c r="J11867" t="e">
        <f>VLOOKUP(E11867,DSSpieler!A:B,2,FALSE)</f>
        <v>#N/A</v>
      </c>
    </row>
    <row r="11868" spans="1:10" x14ac:dyDescent="0.25">
      <c r="A11868">
        <v>13363</v>
      </c>
      <c r="B11868" t="s">
        <v>34646</v>
      </c>
      <c r="C11868">
        <v>399</v>
      </c>
      <c r="D11868">
        <v>506</v>
      </c>
      <c r="E11868">
        <v>1577177028</v>
      </c>
      <c r="F11868">
        <v>7045</v>
      </c>
      <c r="G11868">
        <v>0</v>
      </c>
      <c r="H11868" t="s">
        <v>16767</v>
      </c>
      <c r="I11868">
        <v>13363</v>
      </c>
      <c r="J11868" t="str">
        <f>VLOOKUP(E11868,DSSpieler!A:B,2,FALSE)</f>
        <v>Held des Kampfes</v>
      </c>
    </row>
    <row r="11869" spans="1:10" x14ac:dyDescent="0.25">
      <c r="A11869">
        <v>13364</v>
      </c>
      <c r="B11869" t="s">
        <v>531</v>
      </c>
      <c r="C11869">
        <v>610</v>
      </c>
      <c r="D11869">
        <v>473</v>
      </c>
      <c r="E11869">
        <v>0</v>
      </c>
      <c r="F11869">
        <v>199</v>
      </c>
      <c r="G11869">
        <v>0</v>
      </c>
      <c r="H11869" t="s">
        <v>16768</v>
      </c>
      <c r="I11869">
        <v>13364</v>
      </c>
      <c r="J11869" t="e">
        <f>VLOOKUP(E11869,DSSpieler!A:B,2,FALSE)</f>
        <v>#N/A</v>
      </c>
    </row>
    <row r="11870" spans="1:10" x14ac:dyDescent="0.25">
      <c r="A11870">
        <v>13365</v>
      </c>
      <c r="B11870" t="s">
        <v>531</v>
      </c>
      <c r="C11870">
        <v>594</v>
      </c>
      <c r="D11870">
        <v>555</v>
      </c>
      <c r="E11870">
        <v>0</v>
      </c>
      <c r="F11870">
        <v>189</v>
      </c>
      <c r="G11870">
        <v>0</v>
      </c>
      <c r="H11870" t="s">
        <v>16769</v>
      </c>
      <c r="I11870">
        <v>13365</v>
      </c>
      <c r="J11870" t="e">
        <f>VLOOKUP(E11870,DSSpieler!A:B,2,FALSE)</f>
        <v>#N/A</v>
      </c>
    </row>
    <row r="11871" spans="1:10" x14ac:dyDescent="0.25">
      <c r="A11871">
        <v>13366</v>
      </c>
      <c r="B11871" t="s">
        <v>34647</v>
      </c>
      <c r="C11871">
        <v>416</v>
      </c>
      <c r="D11871">
        <v>576</v>
      </c>
      <c r="E11871">
        <v>8839915</v>
      </c>
      <c r="F11871">
        <v>5460</v>
      </c>
      <c r="G11871">
        <v>0</v>
      </c>
      <c r="H11871" t="s">
        <v>16770</v>
      </c>
      <c r="I11871">
        <v>13366</v>
      </c>
      <c r="J11871" t="str">
        <f>VLOOKUP(E11871,DSSpieler!A:B,2,FALSE)</f>
        <v>BierBaron.</v>
      </c>
    </row>
    <row r="11872" spans="1:10" x14ac:dyDescent="0.25">
      <c r="A11872">
        <v>13367</v>
      </c>
      <c r="B11872" t="s">
        <v>531</v>
      </c>
      <c r="C11872">
        <v>602</v>
      </c>
      <c r="D11872">
        <v>452</v>
      </c>
      <c r="E11872">
        <v>0</v>
      </c>
      <c r="F11872">
        <v>219</v>
      </c>
      <c r="G11872">
        <v>0</v>
      </c>
      <c r="H11872" t="s">
        <v>16771</v>
      </c>
      <c r="I11872">
        <v>13367</v>
      </c>
      <c r="J11872" t="e">
        <f>VLOOKUP(E11872,DSSpieler!A:B,2,FALSE)</f>
        <v>#N/A</v>
      </c>
    </row>
    <row r="11873" spans="1:10" x14ac:dyDescent="0.25">
      <c r="A11873">
        <v>13368</v>
      </c>
      <c r="B11873">
        <v>3</v>
      </c>
      <c r="C11873">
        <v>441</v>
      </c>
      <c r="D11873">
        <v>573</v>
      </c>
      <c r="E11873">
        <v>2710916</v>
      </c>
      <c r="F11873">
        <v>3241</v>
      </c>
      <c r="G11873">
        <v>0</v>
      </c>
      <c r="H11873" t="s">
        <v>16772</v>
      </c>
      <c r="I11873">
        <v>13368</v>
      </c>
      <c r="J11873" t="str">
        <f>VLOOKUP(E11873,DSSpieler!A:B,2,FALSE)</f>
        <v>frederike b.</v>
      </c>
    </row>
    <row r="11874" spans="1:10" x14ac:dyDescent="0.25">
      <c r="A11874">
        <v>13369</v>
      </c>
      <c r="B11874" t="s">
        <v>34648</v>
      </c>
      <c r="C11874">
        <v>426</v>
      </c>
      <c r="D11874">
        <v>445</v>
      </c>
      <c r="E11874">
        <v>1577187590</v>
      </c>
      <c r="F11874">
        <v>313</v>
      </c>
      <c r="G11874">
        <v>0</v>
      </c>
      <c r="H11874" t="s">
        <v>16773</v>
      </c>
      <c r="I11874">
        <v>13369</v>
      </c>
      <c r="J11874" t="str">
        <f>VLOOKUP(E11874,DSSpieler!A:B,2,FALSE)</f>
        <v>MachoMacho</v>
      </c>
    </row>
    <row r="11875" spans="1:10" x14ac:dyDescent="0.25">
      <c r="A11875">
        <v>13370</v>
      </c>
      <c r="B11875" t="s">
        <v>531</v>
      </c>
      <c r="C11875">
        <v>493</v>
      </c>
      <c r="D11875">
        <v>387</v>
      </c>
      <c r="E11875">
        <v>0</v>
      </c>
      <c r="F11875">
        <v>285</v>
      </c>
      <c r="G11875">
        <v>0</v>
      </c>
      <c r="H11875" t="s">
        <v>16774</v>
      </c>
      <c r="I11875">
        <v>13370</v>
      </c>
      <c r="J11875" t="e">
        <f>VLOOKUP(E11875,DSSpieler!A:B,2,FALSE)</f>
        <v>#N/A</v>
      </c>
    </row>
    <row r="11876" spans="1:10" x14ac:dyDescent="0.25">
      <c r="A11876">
        <v>13371</v>
      </c>
      <c r="B11876" t="s">
        <v>531</v>
      </c>
      <c r="C11876">
        <v>597</v>
      </c>
      <c r="D11876">
        <v>441</v>
      </c>
      <c r="E11876">
        <v>0</v>
      </c>
      <c r="F11876">
        <v>174</v>
      </c>
      <c r="G11876">
        <v>0</v>
      </c>
      <c r="H11876" t="s">
        <v>16775</v>
      </c>
      <c r="I11876">
        <v>13371</v>
      </c>
      <c r="J11876" t="e">
        <f>VLOOKUP(E11876,DSSpieler!A:B,2,FALSE)</f>
        <v>#N/A</v>
      </c>
    </row>
    <row r="11877" spans="1:10" x14ac:dyDescent="0.25">
      <c r="A11877">
        <v>13372</v>
      </c>
      <c r="B11877" t="s">
        <v>2216</v>
      </c>
      <c r="C11877">
        <v>614</v>
      </c>
      <c r="D11877">
        <v>488</v>
      </c>
      <c r="E11877">
        <v>881657</v>
      </c>
      <c r="F11877">
        <v>3566</v>
      </c>
      <c r="G11877">
        <v>0</v>
      </c>
      <c r="H11877" t="s">
        <v>16776</v>
      </c>
      <c r="I11877">
        <v>13372</v>
      </c>
      <c r="J11877" t="str">
        <f>VLOOKUP(E11877,DSSpieler!A:B,2,FALSE)</f>
        <v>Der Hanseat</v>
      </c>
    </row>
    <row r="11878" spans="1:10" x14ac:dyDescent="0.25">
      <c r="A11878">
        <v>13373</v>
      </c>
      <c r="B11878" t="s">
        <v>531</v>
      </c>
      <c r="C11878">
        <v>536</v>
      </c>
      <c r="D11878">
        <v>393</v>
      </c>
      <c r="E11878">
        <v>0</v>
      </c>
      <c r="F11878">
        <v>716</v>
      </c>
      <c r="G11878">
        <v>0</v>
      </c>
      <c r="H11878" t="s">
        <v>16777</v>
      </c>
      <c r="I11878">
        <v>13373</v>
      </c>
      <c r="J11878" t="e">
        <f>VLOOKUP(E11878,DSSpieler!A:B,2,FALSE)</f>
        <v>#N/A</v>
      </c>
    </row>
    <row r="11879" spans="1:10" x14ac:dyDescent="0.25">
      <c r="A11879">
        <v>13374</v>
      </c>
      <c r="B11879" t="s">
        <v>30877</v>
      </c>
      <c r="C11879">
        <v>438</v>
      </c>
      <c r="D11879">
        <v>423</v>
      </c>
      <c r="E11879">
        <v>1576973298</v>
      </c>
      <c r="F11879">
        <v>2331</v>
      </c>
      <c r="G11879">
        <v>0</v>
      </c>
      <c r="H11879" t="s">
        <v>16778</v>
      </c>
      <c r="I11879">
        <v>13374</v>
      </c>
      <c r="J11879" t="str">
        <f>VLOOKUP(E11879,DSSpieler!A:B,2,FALSE)</f>
        <v>pickman969</v>
      </c>
    </row>
    <row r="11880" spans="1:10" x14ac:dyDescent="0.25">
      <c r="A11880">
        <v>13375</v>
      </c>
      <c r="B11880" t="s">
        <v>34649</v>
      </c>
      <c r="C11880">
        <v>595</v>
      </c>
      <c r="D11880">
        <v>449</v>
      </c>
      <c r="E11880">
        <v>1577182339</v>
      </c>
      <c r="F11880">
        <v>4277</v>
      </c>
      <c r="G11880">
        <v>0</v>
      </c>
      <c r="H11880" t="s">
        <v>16779</v>
      </c>
      <c r="I11880">
        <v>13375</v>
      </c>
      <c r="J11880" t="str">
        <f>VLOOKUP(E11880,DSSpieler!A:B,2,FALSE)</f>
        <v>OG BananaJoe</v>
      </c>
    </row>
    <row r="11881" spans="1:10" x14ac:dyDescent="0.25">
      <c r="A11881">
        <v>13376</v>
      </c>
      <c r="B11881" t="s">
        <v>531</v>
      </c>
      <c r="C11881">
        <v>399</v>
      </c>
      <c r="D11881">
        <v>542</v>
      </c>
      <c r="E11881">
        <v>0</v>
      </c>
      <c r="F11881">
        <v>302</v>
      </c>
      <c r="G11881">
        <v>0</v>
      </c>
      <c r="H11881" t="s">
        <v>16780</v>
      </c>
      <c r="I11881">
        <v>13376</v>
      </c>
      <c r="J11881" t="e">
        <f>VLOOKUP(E11881,DSSpieler!A:B,2,FALSE)</f>
        <v>#N/A</v>
      </c>
    </row>
    <row r="11882" spans="1:10" x14ac:dyDescent="0.25">
      <c r="A11882">
        <v>13377</v>
      </c>
      <c r="B11882" t="s">
        <v>2217</v>
      </c>
      <c r="C11882">
        <v>583</v>
      </c>
      <c r="D11882">
        <v>523</v>
      </c>
      <c r="E11882">
        <v>1577199829</v>
      </c>
      <c r="F11882">
        <v>6597</v>
      </c>
      <c r="G11882">
        <v>0</v>
      </c>
      <c r="H11882" t="s">
        <v>16781</v>
      </c>
      <c r="I11882">
        <v>13377</v>
      </c>
      <c r="J11882" t="str">
        <f>VLOOKUP(E11882,DSSpieler!A:B,2,FALSE)</f>
        <v>ThiccChicc</v>
      </c>
    </row>
    <row r="11883" spans="1:10" x14ac:dyDescent="0.25">
      <c r="A11883">
        <v>13378</v>
      </c>
      <c r="B11883" t="s">
        <v>1084</v>
      </c>
      <c r="C11883">
        <v>387</v>
      </c>
      <c r="D11883">
        <v>510</v>
      </c>
      <c r="E11883">
        <v>1577202552</v>
      </c>
      <c r="F11883">
        <v>4882</v>
      </c>
      <c r="G11883">
        <v>0</v>
      </c>
      <c r="H11883" t="s">
        <v>16782</v>
      </c>
      <c r="I11883">
        <v>13378</v>
      </c>
      <c r="J11883" t="str">
        <f>VLOOKUP(E11883,DSSpieler!A:B,2,FALSE)</f>
        <v>Kleiner Bruder</v>
      </c>
    </row>
    <row r="11884" spans="1:10" x14ac:dyDescent="0.25">
      <c r="A11884">
        <v>13379</v>
      </c>
      <c r="B11884" t="s">
        <v>34650</v>
      </c>
      <c r="C11884">
        <v>494</v>
      </c>
      <c r="D11884">
        <v>616</v>
      </c>
      <c r="E11884">
        <v>1577168872</v>
      </c>
      <c r="F11884">
        <v>3626</v>
      </c>
      <c r="G11884">
        <v>0</v>
      </c>
      <c r="H11884" t="s">
        <v>16783</v>
      </c>
      <c r="I11884">
        <v>13379</v>
      </c>
      <c r="J11884" t="str">
        <f>VLOOKUP(E11884,DSSpieler!A:B,2,FALSE)</f>
        <v>Garten1210</v>
      </c>
    </row>
    <row r="11885" spans="1:10" x14ac:dyDescent="0.25">
      <c r="A11885">
        <v>13380</v>
      </c>
      <c r="B11885" t="s">
        <v>531</v>
      </c>
      <c r="C11885">
        <v>494</v>
      </c>
      <c r="D11885">
        <v>386</v>
      </c>
      <c r="E11885">
        <v>0</v>
      </c>
      <c r="F11885">
        <v>310</v>
      </c>
      <c r="G11885">
        <v>0</v>
      </c>
      <c r="H11885" t="s">
        <v>16784</v>
      </c>
      <c r="I11885">
        <v>13380</v>
      </c>
      <c r="J11885" t="e">
        <f>VLOOKUP(E11885,DSSpieler!A:B,2,FALSE)</f>
        <v>#N/A</v>
      </c>
    </row>
    <row r="11886" spans="1:10" x14ac:dyDescent="0.25">
      <c r="A11886">
        <v>13381</v>
      </c>
      <c r="B11886" t="s">
        <v>531</v>
      </c>
      <c r="C11886">
        <v>409</v>
      </c>
      <c r="D11886">
        <v>433</v>
      </c>
      <c r="E11886">
        <v>0</v>
      </c>
      <c r="F11886">
        <v>192</v>
      </c>
      <c r="G11886">
        <v>0</v>
      </c>
      <c r="H11886" t="s">
        <v>16785</v>
      </c>
      <c r="I11886">
        <v>13381</v>
      </c>
      <c r="J11886" t="e">
        <f>VLOOKUP(E11886,DSSpieler!A:B,2,FALSE)</f>
        <v>#N/A</v>
      </c>
    </row>
    <row r="11887" spans="1:10" x14ac:dyDescent="0.25">
      <c r="A11887">
        <v>13382</v>
      </c>
      <c r="B11887" t="s">
        <v>531</v>
      </c>
      <c r="C11887">
        <v>529</v>
      </c>
      <c r="D11887">
        <v>607</v>
      </c>
      <c r="E11887">
        <v>0</v>
      </c>
      <c r="F11887">
        <v>1633</v>
      </c>
      <c r="G11887">
        <v>0</v>
      </c>
      <c r="H11887" t="s">
        <v>16786</v>
      </c>
      <c r="I11887">
        <v>13382</v>
      </c>
      <c r="J11887" t="e">
        <f>VLOOKUP(E11887,DSSpieler!A:B,2,FALSE)</f>
        <v>#N/A</v>
      </c>
    </row>
    <row r="11888" spans="1:10" x14ac:dyDescent="0.25">
      <c r="A11888">
        <v>13383</v>
      </c>
      <c r="B11888" t="s">
        <v>34651</v>
      </c>
      <c r="C11888">
        <v>565</v>
      </c>
      <c r="D11888">
        <v>409</v>
      </c>
      <c r="E11888">
        <v>10058709</v>
      </c>
      <c r="F11888">
        <v>294</v>
      </c>
      <c r="G11888">
        <v>0</v>
      </c>
      <c r="H11888" t="s">
        <v>16787</v>
      </c>
      <c r="I11888">
        <v>13383</v>
      </c>
      <c r="J11888" t="str">
        <f>VLOOKUP(E11888,DSSpieler!A:B,2,FALSE)</f>
        <v>xXNadjeschdaXx</v>
      </c>
    </row>
    <row r="11889" spans="1:10" x14ac:dyDescent="0.25">
      <c r="A11889">
        <v>13384</v>
      </c>
      <c r="B11889" t="s">
        <v>531</v>
      </c>
      <c r="C11889">
        <v>597</v>
      </c>
      <c r="D11889">
        <v>443</v>
      </c>
      <c r="E11889">
        <v>0</v>
      </c>
      <c r="F11889">
        <v>185</v>
      </c>
      <c r="G11889">
        <v>0</v>
      </c>
      <c r="H11889" t="s">
        <v>16788</v>
      </c>
      <c r="I11889">
        <v>13384</v>
      </c>
      <c r="J11889" t="e">
        <f>VLOOKUP(E11889,DSSpieler!A:B,2,FALSE)</f>
        <v>#N/A</v>
      </c>
    </row>
    <row r="11890" spans="1:10" x14ac:dyDescent="0.25">
      <c r="A11890">
        <v>13385</v>
      </c>
      <c r="B11890">
        <v>1</v>
      </c>
      <c r="C11890">
        <v>571</v>
      </c>
      <c r="D11890">
        <v>405</v>
      </c>
      <c r="E11890">
        <v>1577151068</v>
      </c>
      <c r="F11890">
        <v>5872</v>
      </c>
      <c r="G11890">
        <v>0</v>
      </c>
      <c r="H11890" t="s">
        <v>16789</v>
      </c>
      <c r="I11890">
        <v>13385</v>
      </c>
      <c r="J11890" t="str">
        <f>VLOOKUP(E11890,DSSpieler!A:B,2,FALSE)</f>
        <v>Arthurdasalpaka</v>
      </c>
    </row>
    <row r="11891" spans="1:10" x14ac:dyDescent="0.25">
      <c r="A11891">
        <v>13386</v>
      </c>
      <c r="B11891">
        <v>1</v>
      </c>
      <c r="C11891">
        <v>588</v>
      </c>
      <c r="D11891">
        <v>434</v>
      </c>
      <c r="E11891">
        <v>1577199847</v>
      </c>
      <c r="F11891">
        <v>2770</v>
      </c>
      <c r="G11891">
        <v>0</v>
      </c>
      <c r="H11891" t="s">
        <v>16790</v>
      </c>
      <c r="I11891">
        <v>13386</v>
      </c>
      <c r="J11891" t="str">
        <f>VLOOKUP(E11891,DSSpieler!A:B,2,FALSE)</f>
        <v>NewDesign</v>
      </c>
    </row>
    <row r="11892" spans="1:10" x14ac:dyDescent="0.25">
      <c r="A11892">
        <v>13387</v>
      </c>
      <c r="B11892" t="s">
        <v>34652</v>
      </c>
      <c r="C11892">
        <v>498</v>
      </c>
      <c r="D11892">
        <v>541</v>
      </c>
      <c r="E11892">
        <v>1577196116</v>
      </c>
      <c r="F11892">
        <v>4392</v>
      </c>
      <c r="G11892">
        <v>0</v>
      </c>
      <c r="H11892" t="s">
        <v>16791</v>
      </c>
      <c r="I11892">
        <v>13387</v>
      </c>
      <c r="J11892" t="str">
        <f>VLOOKUP(E11892,DSSpieler!A:B,2,FALSE)</f>
        <v>Kinglu-N</v>
      </c>
    </row>
    <row r="11893" spans="1:10" x14ac:dyDescent="0.25">
      <c r="A11893">
        <v>13388</v>
      </c>
      <c r="B11893" t="s">
        <v>531</v>
      </c>
      <c r="C11893">
        <v>527</v>
      </c>
      <c r="D11893">
        <v>606</v>
      </c>
      <c r="E11893">
        <v>0</v>
      </c>
      <c r="F11893">
        <v>460</v>
      </c>
      <c r="G11893">
        <v>0</v>
      </c>
      <c r="H11893" t="s">
        <v>16792</v>
      </c>
      <c r="I11893">
        <v>13388</v>
      </c>
      <c r="J11893" t="e">
        <f>VLOOKUP(E11893,DSSpieler!A:B,2,FALSE)</f>
        <v>#N/A</v>
      </c>
    </row>
    <row r="11894" spans="1:10" x14ac:dyDescent="0.25">
      <c r="A11894">
        <v>13389</v>
      </c>
      <c r="B11894" t="s">
        <v>31494</v>
      </c>
      <c r="C11894">
        <v>554</v>
      </c>
      <c r="D11894">
        <v>600</v>
      </c>
      <c r="E11894">
        <v>9654874</v>
      </c>
      <c r="F11894">
        <v>4127</v>
      </c>
      <c r="G11894">
        <v>0</v>
      </c>
      <c r="H11894" t="s">
        <v>16793</v>
      </c>
      <c r="I11894">
        <v>13389</v>
      </c>
      <c r="J11894" t="str">
        <f>VLOOKUP(E11894,DSSpieler!A:B,2,FALSE)</f>
        <v>Milady Marian</v>
      </c>
    </row>
    <row r="11895" spans="1:10" x14ac:dyDescent="0.25">
      <c r="A11895">
        <v>13390</v>
      </c>
      <c r="B11895" t="s">
        <v>2218</v>
      </c>
      <c r="C11895">
        <v>613</v>
      </c>
      <c r="D11895">
        <v>488</v>
      </c>
      <c r="E11895">
        <v>1577199852</v>
      </c>
      <c r="F11895">
        <v>4388</v>
      </c>
      <c r="G11895">
        <v>0</v>
      </c>
      <c r="H11895" t="s">
        <v>16794</v>
      </c>
      <c r="I11895">
        <v>13390</v>
      </c>
      <c r="J11895" t="str">
        <f>VLOOKUP(E11895,DSSpieler!A:B,2,FALSE)</f>
        <v>KingRain</v>
      </c>
    </row>
    <row r="11896" spans="1:10" x14ac:dyDescent="0.25">
      <c r="A11896">
        <v>13391</v>
      </c>
      <c r="B11896" t="s">
        <v>531</v>
      </c>
      <c r="C11896">
        <v>551</v>
      </c>
      <c r="D11896">
        <v>398</v>
      </c>
      <c r="E11896">
        <v>0</v>
      </c>
      <c r="F11896">
        <v>273</v>
      </c>
      <c r="G11896">
        <v>0</v>
      </c>
      <c r="H11896" t="s">
        <v>16795</v>
      </c>
      <c r="I11896">
        <v>13391</v>
      </c>
      <c r="J11896" t="e">
        <f>VLOOKUP(E11896,DSSpieler!A:B,2,FALSE)</f>
        <v>#N/A</v>
      </c>
    </row>
    <row r="11897" spans="1:10" x14ac:dyDescent="0.25">
      <c r="A11897">
        <v>13392</v>
      </c>
      <c r="B11897" t="s">
        <v>531</v>
      </c>
      <c r="C11897">
        <v>539</v>
      </c>
      <c r="D11897">
        <v>395</v>
      </c>
      <c r="E11897">
        <v>0</v>
      </c>
      <c r="F11897">
        <v>339</v>
      </c>
      <c r="G11897">
        <v>0</v>
      </c>
      <c r="H11897" t="s">
        <v>16796</v>
      </c>
      <c r="I11897">
        <v>13392</v>
      </c>
      <c r="J11897" t="e">
        <f>VLOOKUP(E11897,DSSpieler!A:B,2,FALSE)</f>
        <v>#N/A</v>
      </c>
    </row>
    <row r="11898" spans="1:10" x14ac:dyDescent="0.25">
      <c r="A11898">
        <v>13393</v>
      </c>
      <c r="B11898" t="s">
        <v>780</v>
      </c>
      <c r="C11898">
        <v>604</v>
      </c>
      <c r="D11898">
        <v>524</v>
      </c>
      <c r="E11898">
        <v>9410032</v>
      </c>
      <c r="F11898">
        <v>5820</v>
      </c>
      <c r="G11898">
        <v>0</v>
      </c>
      <c r="H11898" t="s">
        <v>16797</v>
      </c>
      <c r="I11898">
        <v>13393</v>
      </c>
      <c r="J11898" t="str">
        <f>VLOOKUP(E11898,DSSpieler!A:B,2,FALSE)</f>
        <v>Darth Stitch</v>
      </c>
    </row>
    <row r="11899" spans="1:10" x14ac:dyDescent="0.25">
      <c r="A11899">
        <v>13394</v>
      </c>
      <c r="B11899" t="s">
        <v>531</v>
      </c>
      <c r="C11899">
        <v>470</v>
      </c>
      <c r="D11899">
        <v>610</v>
      </c>
      <c r="E11899">
        <v>0</v>
      </c>
      <c r="F11899">
        <v>284</v>
      </c>
      <c r="G11899">
        <v>0</v>
      </c>
      <c r="H11899" t="s">
        <v>16798</v>
      </c>
      <c r="I11899">
        <v>13394</v>
      </c>
      <c r="J11899" t="e">
        <f>VLOOKUP(E11899,DSSpieler!A:B,2,FALSE)</f>
        <v>#N/A</v>
      </c>
    </row>
    <row r="11900" spans="1:10" x14ac:dyDescent="0.25">
      <c r="A11900">
        <v>13395</v>
      </c>
      <c r="B11900" t="s">
        <v>780</v>
      </c>
      <c r="C11900">
        <v>600</v>
      </c>
      <c r="D11900">
        <v>551</v>
      </c>
      <c r="E11900">
        <v>1577070025</v>
      </c>
      <c r="F11900">
        <v>3660</v>
      </c>
      <c r="G11900">
        <v>0</v>
      </c>
      <c r="H11900" t="s">
        <v>16799</v>
      </c>
      <c r="I11900">
        <v>13395</v>
      </c>
      <c r="J11900" t="str">
        <f>VLOOKUP(E11900,DSSpieler!A:B,2,FALSE)</f>
        <v>SteveIRL07</v>
      </c>
    </row>
    <row r="11901" spans="1:10" x14ac:dyDescent="0.25">
      <c r="A11901">
        <v>13396</v>
      </c>
      <c r="B11901" t="s">
        <v>531</v>
      </c>
      <c r="C11901">
        <v>592</v>
      </c>
      <c r="D11901">
        <v>561</v>
      </c>
      <c r="E11901">
        <v>0</v>
      </c>
      <c r="F11901">
        <v>258</v>
      </c>
      <c r="G11901">
        <v>0</v>
      </c>
      <c r="H11901" t="s">
        <v>16800</v>
      </c>
      <c r="I11901">
        <v>13396</v>
      </c>
      <c r="J11901" t="e">
        <f>VLOOKUP(E11901,DSSpieler!A:B,2,FALSE)</f>
        <v>#N/A</v>
      </c>
    </row>
    <row r="11902" spans="1:10" x14ac:dyDescent="0.25">
      <c r="A11902">
        <v>13397</v>
      </c>
      <c r="B11902" t="s">
        <v>531</v>
      </c>
      <c r="C11902">
        <v>608</v>
      </c>
      <c r="D11902">
        <v>508</v>
      </c>
      <c r="E11902">
        <v>0</v>
      </c>
      <c r="F11902">
        <v>246</v>
      </c>
      <c r="G11902">
        <v>0</v>
      </c>
      <c r="H11902" t="s">
        <v>16801</v>
      </c>
      <c r="I11902">
        <v>13397</v>
      </c>
      <c r="J11902" t="e">
        <f>VLOOKUP(E11902,DSSpieler!A:B,2,FALSE)</f>
        <v>#N/A</v>
      </c>
    </row>
    <row r="11903" spans="1:10" x14ac:dyDescent="0.25">
      <c r="A11903">
        <v>13398</v>
      </c>
      <c r="B11903" t="s">
        <v>531</v>
      </c>
      <c r="C11903">
        <v>443</v>
      </c>
      <c r="D11903">
        <v>403</v>
      </c>
      <c r="E11903">
        <v>0</v>
      </c>
      <c r="F11903">
        <v>308</v>
      </c>
      <c r="G11903">
        <v>0</v>
      </c>
      <c r="H11903" t="s">
        <v>16802</v>
      </c>
      <c r="I11903">
        <v>13398</v>
      </c>
      <c r="J11903" t="e">
        <f>VLOOKUP(E11903,DSSpieler!A:B,2,FALSE)</f>
        <v>#N/A</v>
      </c>
    </row>
    <row r="11904" spans="1:10" x14ac:dyDescent="0.25">
      <c r="A11904">
        <v>13399</v>
      </c>
      <c r="B11904" t="s">
        <v>34653</v>
      </c>
      <c r="C11904">
        <v>402</v>
      </c>
      <c r="D11904">
        <v>551</v>
      </c>
      <c r="E11904">
        <v>1576876853</v>
      </c>
      <c r="F11904">
        <v>4192</v>
      </c>
      <c r="G11904">
        <v>0</v>
      </c>
      <c r="H11904" t="s">
        <v>16803</v>
      </c>
      <c r="I11904">
        <v>13399</v>
      </c>
      <c r="J11904" t="str">
        <f>VLOOKUP(E11904,DSSpieler!A:B,2,FALSE)</f>
        <v>Butcher007</v>
      </c>
    </row>
    <row r="11905" spans="1:10" x14ac:dyDescent="0.25">
      <c r="A11905">
        <v>13400</v>
      </c>
      <c r="B11905" t="s">
        <v>1093</v>
      </c>
      <c r="C11905">
        <v>463</v>
      </c>
      <c r="D11905">
        <v>606</v>
      </c>
      <c r="E11905">
        <v>1577197712</v>
      </c>
      <c r="F11905">
        <v>5896</v>
      </c>
      <c r="G11905">
        <v>0</v>
      </c>
      <c r="H11905" t="s">
        <v>16804</v>
      </c>
      <c r="I11905">
        <v>13400</v>
      </c>
      <c r="J11905" t="str">
        <f>VLOOKUP(E11905,DSSpieler!A:B,2,FALSE)</f>
        <v>Revenge is sweet</v>
      </c>
    </row>
    <row r="11906" spans="1:10" x14ac:dyDescent="0.25">
      <c r="A11906">
        <v>13401</v>
      </c>
      <c r="B11906" t="s">
        <v>2219</v>
      </c>
      <c r="C11906">
        <v>454</v>
      </c>
      <c r="D11906">
        <v>396</v>
      </c>
      <c r="E11906">
        <v>1577046240</v>
      </c>
      <c r="F11906">
        <v>532</v>
      </c>
      <c r="G11906">
        <v>0</v>
      </c>
      <c r="H11906" t="s">
        <v>16805</v>
      </c>
      <c r="I11906">
        <v>13401</v>
      </c>
      <c r="J11906" t="str">
        <f>VLOOKUP(E11906,DSSpieler!A:B,2,FALSE)</f>
        <v>Paladin68</v>
      </c>
    </row>
    <row r="11907" spans="1:10" x14ac:dyDescent="0.25">
      <c r="A11907">
        <v>13404</v>
      </c>
      <c r="B11907" t="s">
        <v>34654</v>
      </c>
      <c r="C11907">
        <v>576</v>
      </c>
      <c r="D11907">
        <v>585</v>
      </c>
      <c r="E11907">
        <v>1576134517</v>
      </c>
      <c r="F11907">
        <v>5722</v>
      </c>
      <c r="G11907">
        <v>0</v>
      </c>
      <c r="H11907" t="s">
        <v>16806</v>
      </c>
      <c r="I11907">
        <v>13404</v>
      </c>
      <c r="J11907" t="str">
        <f>VLOOKUP(E11907,DSSpieler!A:B,2,FALSE)</f>
        <v>Gammler9</v>
      </c>
    </row>
    <row r="11908" spans="1:10" x14ac:dyDescent="0.25">
      <c r="A11908">
        <v>13405</v>
      </c>
      <c r="B11908" t="s">
        <v>34655</v>
      </c>
      <c r="C11908">
        <v>455</v>
      </c>
      <c r="D11908">
        <v>392</v>
      </c>
      <c r="E11908">
        <v>1576598298</v>
      </c>
      <c r="F11908">
        <v>5558</v>
      </c>
      <c r="G11908">
        <v>0</v>
      </c>
      <c r="H11908" t="s">
        <v>16807</v>
      </c>
      <c r="I11908">
        <v>13405</v>
      </c>
      <c r="J11908" t="str">
        <f>VLOOKUP(E11908,DSSpieler!A:B,2,FALSE)</f>
        <v>Spartacus20</v>
      </c>
    </row>
    <row r="11909" spans="1:10" x14ac:dyDescent="0.25">
      <c r="A11909">
        <v>13406</v>
      </c>
      <c r="B11909" t="s">
        <v>34656</v>
      </c>
      <c r="C11909">
        <v>392</v>
      </c>
      <c r="D11909">
        <v>477</v>
      </c>
      <c r="E11909">
        <v>1576502833</v>
      </c>
      <c r="F11909">
        <v>3037</v>
      </c>
      <c r="G11909">
        <v>0</v>
      </c>
      <c r="H11909" t="s">
        <v>468</v>
      </c>
      <c r="I11909">
        <v>13406</v>
      </c>
      <c r="J11909" t="str">
        <f>VLOOKUP(E11909,DSSpieler!A:B,2,FALSE)</f>
        <v>Goettlich</v>
      </c>
    </row>
    <row r="11910" spans="1:10" x14ac:dyDescent="0.25">
      <c r="A11910">
        <v>13407</v>
      </c>
      <c r="B11910" t="s">
        <v>34657</v>
      </c>
      <c r="C11910">
        <v>409</v>
      </c>
      <c r="D11910">
        <v>432</v>
      </c>
      <c r="E11910">
        <v>8137802</v>
      </c>
      <c r="F11910">
        <v>319</v>
      </c>
      <c r="G11910">
        <v>0</v>
      </c>
      <c r="H11910" t="s">
        <v>16808</v>
      </c>
      <c r="I11910">
        <v>13407</v>
      </c>
      <c r="J11910" t="str">
        <f>VLOOKUP(E11910,DSSpieler!A:B,2,FALSE)</f>
        <v>ToxArchos</v>
      </c>
    </row>
    <row r="11911" spans="1:10" x14ac:dyDescent="0.25">
      <c r="A11911">
        <v>13408</v>
      </c>
      <c r="B11911" t="s">
        <v>2220</v>
      </c>
      <c r="C11911">
        <v>561</v>
      </c>
      <c r="D11911">
        <v>421</v>
      </c>
      <c r="E11911">
        <v>1577199868</v>
      </c>
      <c r="F11911">
        <v>4824</v>
      </c>
      <c r="G11911">
        <v>0</v>
      </c>
      <c r="H11911" t="s">
        <v>16809</v>
      </c>
      <c r="I11911">
        <v>13408</v>
      </c>
      <c r="J11911" t="str">
        <f>VLOOKUP(E11911,DSSpieler!A:B,2,FALSE)</f>
        <v>Hugo-XXX</v>
      </c>
    </row>
    <row r="11912" spans="1:10" x14ac:dyDescent="0.25">
      <c r="A11912">
        <v>13409</v>
      </c>
      <c r="B11912" t="s">
        <v>531</v>
      </c>
      <c r="C11912">
        <v>428</v>
      </c>
      <c r="D11912">
        <v>411</v>
      </c>
      <c r="E11912">
        <v>0</v>
      </c>
      <c r="F11912">
        <v>442</v>
      </c>
      <c r="G11912">
        <v>0</v>
      </c>
      <c r="H11912" t="s">
        <v>16810</v>
      </c>
      <c r="I11912">
        <v>13409</v>
      </c>
      <c r="J11912" t="e">
        <f>VLOOKUP(E11912,DSSpieler!A:B,2,FALSE)</f>
        <v>#N/A</v>
      </c>
    </row>
    <row r="11913" spans="1:10" x14ac:dyDescent="0.25">
      <c r="A11913">
        <v>13410</v>
      </c>
      <c r="B11913" t="s">
        <v>34658</v>
      </c>
      <c r="C11913">
        <v>472</v>
      </c>
      <c r="D11913">
        <v>610</v>
      </c>
      <c r="E11913">
        <v>1576572030</v>
      </c>
      <c r="F11913">
        <v>195</v>
      </c>
      <c r="G11913">
        <v>0</v>
      </c>
      <c r="H11913" t="s">
        <v>16811</v>
      </c>
      <c r="I11913">
        <v>13410</v>
      </c>
      <c r="J11913" t="str">
        <f>VLOOKUP(E11913,DSSpieler!A:B,2,FALSE)</f>
        <v>nachtii</v>
      </c>
    </row>
    <row r="11914" spans="1:10" x14ac:dyDescent="0.25">
      <c r="A11914">
        <v>13411</v>
      </c>
      <c r="B11914" t="s">
        <v>2221</v>
      </c>
      <c r="C11914">
        <v>386</v>
      </c>
      <c r="D11914">
        <v>510</v>
      </c>
      <c r="E11914">
        <v>1577132274</v>
      </c>
      <c r="F11914">
        <v>1295</v>
      </c>
      <c r="G11914">
        <v>0</v>
      </c>
      <c r="H11914" t="s">
        <v>16812</v>
      </c>
      <c r="I11914">
        <v>13411</v>
      </c>
      <c r="J11914" t="str">
        <f>VLOOKUP(E11914,DSSpieler!A:B,2,FALSE)</f>
        <v>Why-SoS-erious</v>
      </c>
    </row>
    <row r="11915" spans="1:10" x14ac:dyDescent="0.25">
      <c r="A11915">
        <v>13413</v>
      </c>
      <c r="B11915" t="s">
        <v>34659</v>
      </c>
      <c r="C11915">
        <v>387</v>
      </c>
      <c r="D11915">
        <v>506</v>
      </c>
      <c r="E11915">
        <v>1576147930</v>
      </c>
      <c r="F11915">
        <v>3097</v>
      </c>
      <c r="G11915">
        <v>0</v>
      </c>
      <c r="H11915" t="s">
        <v>16813</v>
      </c>
      <c r="I11915">
        <v>13413</v>
      </c>
      <c r="J11915" t="str">
        <f>VLOOKUP(E11915,DSSpieler!A:B,2,FALSE)</f>
        <v>Fruchtsaftschorle</v>
      </c>
    </row>
    <row r="11916" spans="1:10" x14ac:dyDescent="0.25">
      <c r="A11916">
        <v>13414</v>
      </c>
      <c r="B11916" t="s">
        <v>34660</v>
      </c>
      <c r="C11916">
        <v>390</v>
      </c>
      <c r="D11916">
        <v>485</v>
      </c>
      <c r="E11916">
        <v>1577069086</v>
      </c>
      <c r="F11916">
        <v>1998</v>
      </c>
      <c r="G11916">
        <v>0</v>
      </c>
      <c r="H11916" t="s">
        <v>16814</v>
      </c>
      <c r="I11916">
        <v>13414</v>
      </c>
      <c r="J11916" t="str">
        <f>VLOOKUP(E11916,DSSpieler!A:B,2,FALSE)</f>
        <v>RpY93</v>
      </c>
    </row>
    <row r="11917" spans="1:10" x14ac:dyDescent="0.25">
      <c r="A11917">
        <v>13415</v>
      </c>
      <c r="B11917" t="s">
        <v>34661</v>
      </c>
      <c r="C11917">
        <v>395</v>
      </c>
      <c r="D11917">
        <v>539</v>
      </c>
      <c r="E11917">
        <v>597086</v>
      </c>
      <c r="F11917">
        <v>302</v>
      </c>
      <c r="G11917">
        <v>0</v>
      </c>
      <c r="H11917" t="s">
        <v>16815</v>
      </c>
      <c r="I11917">
        <v>13415</v>
      </c>
      <c r="J11917" t="str">
        <f>VLOOKUP(E11917,DSSpieler!A:B,2,FALSE)</f>
        <v>Knecht 1</v>
      </c>
    </row>
    <row r="11918" spans="1:10" x14ac:dyDescent="0.25">
      <c r="A11918">
        <v>13416</v>
      </c>
      <c r="B11918" t="s">
        <v>531</v>
      </c>
      <c r="C11918">
        <v>419</v>
      </c>
      <c r="D11918">
        <v>422</v>
      </c>
      <c r="E11918">
        <v>0</v>
      </c>
      <c r="F11918">
        <v>264</v>
      </c>
      <c r="G11918">
        <v>0</v>
      </c>
      <c r="H11918" t="s">
        <v>16816</v>
      </c>
      <c r="I11918">
        <v>13416</v>
      </c>
      <c r="J11918" t="e">
        <f>VLOOKUP(E11918,DSSpieler!A:B,2,FALSE)</f>
        <v>#N/A</v>
      </c>
    </row>
    <row r="11919" spans="1:10" x14ac:dyDescent="0.25">
      <c r="A11919">
        <v>13417</v>
      </c>
      <c r="B11919" t="s">
        <v>531</v>
      </c>
      <c r="C11919">
        <v>610</v>
      </c>
      <c r="D11919">
        <v>490</v>
      </c>
      <c r="E11919">
        <v>0</v>
      </c>
      <c r="F11919">
        <v>220</v>
      </c>
      <c r="G11919">
        <v>0</v>
      </c>
      <c r="H11919" t="s">
        <v>16817</v>
      </c>
      <c r="I11919">
        <v>13417</v>
      </c>
      <c r="J11919" t="e">
        <f>VLOOKUP(E11919,DSSpieler!A:B,2,FALSE)</f>
        <v>#N/A</v>
      </c>
    </row>
    <row r="11920" spans="1:10" x14ac:dyDescent="0.25">
      <c r="A11920">
        <v>13418</v>
      </c>
      <c r="B11920" t="s">
        <v>34662</v>
      </c>
      <c r="C11920">
        <v>545</v>
      </c>
      <c r="D11920">
        <v>497</v>
      </c>
      <c r="E11920">
        <v>1577168029</v>
      </c>
      <c r="F11920">
        <v>3907</v>
      </c>
      <c r="G11920">
        <v>0</v>
      </c>
      <c r="H11920" t="s">
        <v>16818</v>
      </c>
      <c r="I11920">
        <v>13418</v>
      </c>
      <c r="J11920" t="str">
        <f>VLOOKUP(E11920,DSSpieler!A:B,2,FALSE)</f>
        <v>RustyNail</v>
      </c>
    </row>
    <row r="11921" spans="1:10" x14ac:dyDescent="0.25">
      <c r="A11921">
        <v>13419</v>
      </c>
      <c r="B11921" t="s">
        <v>531</v>
      </c>
      <c r="C11921">
        <v>612</v>
      </c>
      <c r="D11921">
        <v>524</v>
      </c>
      <c r="E11921">
        <v>0</v>
      </c>
      <c r="F11921">
        <v>129</v>
      </c>
      <c r="G11921">
        <v>0</v>
      </c>
      <c r="H11921" t="s">
        <v>16819</v>
      </c>
      <c r="I11921">
        <v>13419</v>
      </c>
      <c r="J11921" t="e">
        <f>VLOOKUP(E11921,DSSpieler!A:B,2,FALSE)</f>
        <v>#N/A</v>
      </c>
    </row>
    <row r="11922" spans="1:10" x14ac:dyDescent="0.25">
      <c r="A11922">
        <v>13420</v>
      </c>
      <c r="B11922" t="s">
        <v>531</v>
      </c>
      <c r="C11922">
        <v>388</v>
      </c>
      <c r="D11922">
        <v>509</v>
      </c>
      <c r="E11922">
        <v>0</v>
      </c>
      <c r="F11922">
        <v>216</v>
      </c>
      <c r="G11922">
        <v>0</v>
      </c>
      <c r="H11922" t="s">
        <v>16820</v>
      </c>
      <c r="I11922">
        <v>13420</v>
      </c>
      <c r="J11922" t="e">
        <f>VLOOKUP(E11922,DSSpieler!A:B,2,FALSE)</f>
        <v>#N/A</v>
      </c>
    </row>
    <row r="11923" spans="1:10" x14ac:dyDescent="0.25">
      <c r="A11923">
        <v>13421</v>
      </c>
      <c r="B11923">
        <v>3</v>
      </c>
      <c r="C11923">
        <v>395</v>
      </c>
      <c r="D11923">
        <v>457</v>
      </c>
      <c r="E11923">
        <v>1577064688</v>
      </c>
      <c r="F11923">
        <v>4985</v>
      </c>
      <c r="G11923">
        <v>0</v>
      </c>
      <c r="H11923" t="s">
        <v>16821</v>
      </c>
      <c r="I11923">
        <v>13421</v>
      </c>
      <c r="J11923" t="str">
        <f>VLOOKUP(E11923,DSSpieler!A:B,2,FALSE)</f>
        <v>Dumbstar</v>
      </c>
    </row>
    <row r="11924" spans="1:10" x14ac:dyDescent="0.25">
      <c r="A11924">
        <v>13422</v>
      </c>
      <c r="B11924" t="s">
        <v>531</v>
      </c>
      <c r="C11924">
        <v>457</v>
      </c>
      <c r="D11924">
        <v>604</v>
      </c>
      <c r="E11924">
        <v>0</v>
      </c>
      <c r="F11924">
        <v>380</v>
      </c>
      <c r="G11924">
        <v>0</v>
      </c>
      <c r="H11924" t="s">
        <v>16822</v>
      </c>
      <c r="I11924">
        <v>13422</v>
      </c>
      <c r="J11924" t="e">
        <f>VLOOKUP(E11924,DSSpieler!A:B,2,FALSE)</f>
        <v>#N/A</v>
      </c>
    </row>
    <row r="11925" spans="1:10" x14ac:dyDescent="0.25">
      <c r="A11925">
        <v>13423</v>
      </c>
      <c r="B11925" t="s">
        <v>531</v>
      </c>
      <c r="C11925">
        <v>388</v>
      </c>
      <c r="D11925">
        <v>483</v>
      </c>
      <c r="E11925">
        <v>0</v>
      </c>
      <c r="F11925">
        <v>184</v>
      </c>
      <c r="G11925">
        <v>0</v>
      </c>
      <c r="H11925" t="s">
        <v>16823</v>
      </c>
      <c r="I11925">
        <v>13423</v>
      </c>
      <c r="J11925" t="e">
        <f>VLOOKUP(E11925,DSSpieler!A:B,2,FALSE)</f>
        <v>#N/A</v>
      </c>
    </row>
    <row r="11926" spans="1:10" x14ac:dyDescent="0.25">
      <c r="A11926">
        <v>13424</v>
      </c>
      <c r="B11926" t="s">
        <v>34663</v>
      </c>
      <c r="C11926">
        <v>483</v>
      </c>
      <c r="D11926">
        <v>389</v>
      </c>
      <c r="E11926">
        <v>9631608</v>
      </c>
      <c r="F11926">
        <v>881</v>
      </c>
      <c r="G11926">
        <v>0</v>
      </c>
      <c r="H11926" t="s">
        <v>16824</v>
      </c>
      <c r="I11926">
        <v>13424</v>
      </c>
      <c r="J11926" t="str">
        <f>VLOOKUP(E11926,DSSpieler!A:B,2,FALSE)</f>
        <v>balin2000</v>
      </c>
    </row>
    <row r="11927" spans="1:10" x14ac:dyDescent="0.25">
      <c r="A11927">
        <v>13425</v>
      </c>
      <c r="B11927" t="s">
        <v>531</v>
      </c>
      <c r="C11927">
        <v>598</v>
      </c>
      <c r="D11927">
        <v>551</v>
      </c>
      <c r="E11927">
        <v>0</v>
      </c>
      <c r="F11927">
        <v>332</v>
      </c>
      <c r="G11927">
        <v>0</v>
      </c>
      <c r="H11927" t="s">
        <v>16825</v>
      </c>
      <c r="I11927">
        <v>13425</v>
      </c>
      <c r="J11927" t="e">
        <f>VLOOKUP(E11927,DSSpieler!A:B,2,FALSE)</f>
        <v>#N/A</v>
      </c>
    </row>
    <row r="11928" spans="1:10" x14ac:dyDescent="0.25">
      <c r="A11928">
        <v>13427</v>
      </c>
      <c r="B11928" t="s">
        <v>34664</v>
      </c>
      <c r="C11928">
        <v>419</v>
      </c>
      <c r="D11928">
        <v>527</v>
      </c>
      <c r="E11928">
        <v>1577192835</v>
      </c>
      <c r="F11928">
        <v>516</v>
      </c>
      <c r="G11928">
        <v>0</v>
      </c>
      <c r="H11928" t="s">
        <v>16826</v>
      </c>
      <c r="I11928">
        <v>13427</v>
      </c>
      <c r="J11928" t="str">
        <f>VLOOKUP(E11928,DSSpieler!A:B,2,FALSE)</f>
        <v>j0si</v>
      </c>
    </row>
    <row r="11929" spans="1:10" x14ac:dyDescent="0.25">
      <c r="A11929">
        <v>13428</v>
      </c>
      <c r="B11929" t="s">
        <v>31434</v>
      </c>
      <c r="C11929">
        <v>487</v>
      </c>
      <c r="D11929">
        <v>614</v>
      </c>
      <c r="E11929">
        <v>337584</v>
      </c>
      <c r="F11929">
        <v>5801</v>
      </c>
      <c r="G11929">
        <v>0</v>
      </c>
      <c r="H11929" t="s">
        <v>16827</v>
      </c>
      <c r="I11929">
        <v>13428</v>
      </c>
      <c r="J11929" t="str">
        <f>VLOOKUP(E11929,DSSpieler!A:B,2,FALSE)</f>
        <v>der letzte hashishin</v>
      </c>
    </row>
    <row r="11930" spans="1:10" x14ac:dyDescent="0.25">
      <c r="A11930">
        <v>13429</v>
      </c>
      <c r="B11930" t="s">
        <v>34665</v>
      </c>
      <c r="C11930">
        <v>438</v>
      </c>
      <c r="D11930">
        <v>402</v>
      </c>
      <c r="E11930">
        <v>3055612</v>
      </c>
      <c r="F11930">
        <v>4772</v>
      </c>
      <c r="G11930">
        <v>0</v>
      </c>
      <c r="H11930" t="s">
        <v>16828</v>
      </c>
      <c r="I11930">
        <v>13429</v>
      </c>
      <c r="J11930" t="str">
        <f>VLOOKUP(E11930,DSSpieler!A:B,2,FALSE)</f>
        <v>ressus der I</v>
      </c>
    </row>
    <row r="11931" spans="1:10" x14ac:dyDescent="0.25">
      <c r="A11931">
        <v>13430</v>
      </c>
      <c r="B11931" t="s">
        <v>34666</v>
      </c>
      <c r="C11931">
        <v>403</v>
      </c>
      <c r="D11931">
        <v>558</v>
      </c>
      <c r="E11931">
        <v>1577091938</v>
      </c>
      <c r="F11931">
        <v>4484</v>
      </c>
      <c r="G11931">
        <v>0</v>
      </c>
      <c r="H11931" t="s">
        <v>16829</v>
      </c>
      <c r="I11931">
        <v>13430</v>
      </c>
      <c r="J11931" t="str">
        <f>VLOOKUP(E11931,DSSpieler!A:B,2,FALSE)</f>
        <v>tp1904</v>
      </c>
    </row>
    <row r="11932" spans="1:10" x14ac:dyDescent="0.25">
      <c r="A11932">
        <v>13431</v>
      </c>
      <c r="B11932" t="s">
        <v>30523</v>
      </c>
      <c r="C11932">
        <v>457</v>
      </c>
      <c r="D11932">
        <v>517</v>
      </c>
      <c r="E11932">
        <v>824769</v>
      </c>
      <c r="F11932">
        <v>454</v>
      </c>
      <c r="G11932">
        <v>0</v>
      </c>
      <c r="H11932" t="s">
        <v>16830</v>
      </c>
      <c r="I11932">
        <v>13431</v>
      </c>
      <c r="J11932" t="str">
        <f>VLOOKUP(E11932,DSSpieler!A:B,2,FALSE)</f>
        <v>3PAR</v>
      </c>
    </row>
    <row r="11933" spans="1:10" x14ac:dyDescent="0.25">
      <c r="A11933">
        <v>13432</v>
      </c>
      <c r="B11933" t="s">
        <v>531</v>
      </c>
      <c r="C11933">
        <v>402</v>
      </c>
      <c r="D11933">
        <v>559</v>
      </c>
      <c r="E11933">
        <v>0</v>
      </c>
      <c r="F11933">
        <v>143</v>
      </c>
      <c r="G11933">
        <v>0</v>
      </c>
      <c r="H11933" t="s">
        <v>16831</v>
      </c>
      <c r="I11933">
        <v>13432</v>
      </c>
      <c r="J11933" t="e">
        <f>VLOOKUP(E11933,DSSpieler!A:B,2,FALSE)</f>
        <v>#N/A</v>
      </c>
    </row>
    <row r="11934" spans="1:10" x14ac:dyDescent="0.25">
      <c r="A11934">
        <v>13433</v>
      </c>
      <c r="B11934">
        <v>1902</v>
      </c>
      <c r="C11934">
        <v>560</v>
      </c>
      <c r="D11934">
        <v>406</v>
      </c>
      <c r="E11934">
        <v>1577184564</v>
      </c>
      <c r="F11934">
        <v>3007</v>
      </c>
      <c r="G11934">
        <v>0</v>
      </c>
      <c r="H11934" t="s">
        <v>16832</v>
      </c>
      <c r="I11934">
        <v>13433</v>
      </c>
      <c r="J11934" t="str">
        <f>VLOOKUP(E11934,DSSpieler!A:B,2,FALSE)</f>
        <v>Raztur</v>
      </c>
    </row>
    <row r="11935" spans="1:10" x14ac:dyDescent="0.25">
      <c r="A11935">
        <v>13434</v>
      </c>
      <c r="B11935" t="s">
        <v>34667</v>
      </c>
      <c r="C11935">
        <v>386</v>
      </c>
      <c r="D11935">
        <v>496</v>
      </c>
      <c r="E11935">
        <v>1577196816</v>
      </c>
      <c r="F11935">
        <v>4184</v>
      </c>
      <c r="G11935">
        <v>0</v>
      </c>
      <c r="H11935" t="s">
        <v>16833</v>
      </c>
      <c r="I11935">
        <v>13434</v>
      </c>
      <c r="J11935" t="str">
        <f>VLOOKUP(E11935,DSSpieler!A:B,2,FALSE)</f>
        <v>SnowxD</v>
      </c>
    </row>
    <row r="11936" spans="1:10" x14ac:dyDescent="0.25">
      <c r="A11936">
        <v>13436</v>
      </c>
      <c r="B11936" t="s">
        <v>531</v>
      </c>
      <c r="C11936">
        <v>608</v>
      </c>
      <c r="D11936">
        <v>522</v>
      </c>
      <c r="E11936">
        <v>0</v>
      </c>
      <c r="F11936">
        <v>114</v>
      </c>
      <c r="G11936">
        <v>0</v>
      </c>
      <c r="H11936" t="s">
        <v>16834</v>
      </c>
      <c r="I11936">
        <v>13436</v>
      </c>
      <c r="J11936" t="e">
        <f>VLOOKUP(E11936,DSSpieler!A:B,2,FALSE)</f>
        <v>#N/A</v>
      </c>
    </row>
    <row r="11937" spans="1:10" x14ac:dyDescent="0.25">
      <c r="A11937">
        <v>13437</v>
      </c>
      <c r="B11937">
        <v>1</v>
      </c>
      <c r="C11937">
        <v>431</v>
      </c>
      <c r="D11937">
        <v>409</v>
      </c>
      <c r="E11937">
        <v>1577012688</v>
      </c>
      <c r="F11937">
        <v>3930</v>
      </c>
      <c r="G11937">
        <v>0</v>
      </c>
      <c r="H11937" t="s">
        <v>16835</v>
      </c>
      <c r="I11937">
        <v>13437</v>
      </c>
      <c r="J11937" t="str">
        <f>VLOOKUP(E11937,DSSpieler!A:B,2,FALSE)</f>
        <v>LoopingLouie99</v>
      </c>
    </row>
    <row r="11938" spans="1:10" x14ac:dyDescent="0.25">
      <c r="A11938">
        <v>13438</v>
      </c>
      <c r="B11938" t="s">
        <v>34668</v>
      </c>
      <c r="C11938">
        <v>529</v>
      </c>
      <c r="D11938">
        <v>519</v>
      </c>
      <c r="E11938">
        <v>1577197494</v>
      </c>
      <c r="F11938">
        <v>5492</v>
      </c>
      <c r="G11938">
        <v>0</v>
      </c>
      <c r="H11938" t="s">
        <v>16836</v>
      </c>
      <c r="I11938">
        <v>13438</v>
      </c>
      <c r="J11938" t="str">
        <f>VLOOKUP(E11938,DSSpieler!A:B,2,FALSE)</f>
        <v>roger98</v>
      </c>
    </row>
    <row r="11939" spans="1:10" x14ac:dyDescent="0.25">
      <c r="A11939">
        <v>13443</v>
      </c>
      <c r="B11939" t="s">
        <v>34669</v>
      </c>
      <c r="C11939">
        <v>402</v>
      </c>
      <c r="D11939">
        <v>471</v>
      </c>
      <c r="E11939">
        <v>10184986</v>
      </c>
      <c r="F11939">
        <v>1794</v>
      </c>
      <c r="G11939">
        <v>0</v>
      </c>
      <c r="H11939" t="s">
        <v>16837</v>
      </c>
      <c r="I11939">
        <v>13443</v>
      </c>
      <c r="J11939" t="str">
        <f>VLOOKUP(E11939,DSSpieler!A:B,2,FALSE)</f>
        <v>König Marcelinho 1992</v>
      </c>
    </row>
    <row r="11940" spans="1:10" x14ac:dyDescent="0.25">
      <c r="A11940">
        <v>13445</v>
      </c>
      <c r="B11940" t="s">
        <v>34670</v>
      </c>
      <c r="C11940">
        <v>391</v>
      </c>
      <c r="D11940">
        <v>536</v>
      </c>
      <c r="E11940">
        <v>10182810</v>
      </c>
      <c r="F11940">
        <v>2696</v>
      </c>
      <c r="G11940">
        <v>0</v>
      </c>
      <c r="H11940" t="s">
        <v>16838</v>
      </c>
      <c r="I11940">
        <v>13445</v>
      </c>
      <c r="J11940" t="str">
        <f>VLOOKUP(E11940,DSSpieler!A:B,2,FALSE)</f>
        <v>frechplayer</v>
      </c>
    </row>
    <row r="11941" spans="1:10" x14ac:dyDescent="0.25">
      <c r="A11941">
        <v>13446</v>
      </c>
      <c r="B11941" t="s">
        <v>2222</v>
      </c>
      <c r="C11941">
        <v>444</v>
      </c>
      <c r="D11941">
        <v>417</v>
      </c>
      <c r="E11941">
        <v>1576765186</v>
      </c>
      <c r="F11941">
        <v>2123</v>
      </c>
      <c r="G11941">
        <v>0</v>
      </c>
      <c r="H11941" t="s">
        <v>16839</v>
      </c>
      <c r="I11941">
        <v>13446</v>
      </c>
      <c r="J11941" t="str">
        <f>VLOOKUP(E11941,DSSpieler!A:B,2,FALSE)</f>
        <v>ffcbr</v>
      </c>
    </row>
    <row r="11942" spans="1:10" x14ac:dyDescent="0.25">
      <c r="A11942">
        <v>13447</v>
      </c>
      <c r="B11942" t="s">
        <v>531</v>
      </c>
      <c r="C11942">
        <v>493</v>
      </c>
      <c r="D11942">
        <v>615</v>
      </c>
      <c r="E11942">
        <v>0</v>
      </c>
      <c r="F11942">
        <v>367</v>
      </c>
      <c r="G11942">
        <v>0</v>
      </c>
      <c r="H11942" t="s">
        <v>16840</v>
      </c>
      <c r="I11942">
        <v>13447</v>
      </c>
      <c r="J11942" t="e">
        <f>VLOOKUP(E11942,DSSpieler!A:B,2,FALSE)</f>
        <v>#N/A</v>
      </c>
    </row>
    <row r="11943" spans="1:10" x14ac:dyDescent="0.25">
      <c r="A11943">
        <v>13448</v>
      </c>
      <c r="B11943">
        <v>2</v>
      </c>
      <c r="C11943">
        <v>547</v>
      </c>
      <c r="D11943">
        <v>399</v>
      </c>
      <c r="E11943">
        <v>1577199305</v>
      </c>
      <c r="F11943">
        <v>3054</v>
      </c>
      <c r="G11943">
        <v>0</v>
      </c>
      <c r="H11943" t="s">
        <v>16841</v>
      </c>
      <c r="I11943">
        <v>13448</v>
      </c>
      <c r="J11943" t="str">
        <f>VLOOKUP(E11943,DSSpieler!A:B,2,FALSE)</f>
        <v>Aela</v>
      </c>
    </row>
    <row r="11944" spans="1:10" x14ac:dyDescent="0.25">
      <c r="A11944">
        <v>13449</v>
      </c>
      <c r="B11944" t="s">
        <v>34671</v>
      </c>
      <c r="C11944">
        <v>538</v>
      </c>
      <c r="D11944">
        <v>605</v>
      </c>
      <c r="E11944">
        <v>1577183068</v>
      </c>
      <c r="F11944">
        <v>5330</v>
      </c>
      <c r="G11944">
        <v>0</v>
      </c>
      <c r="H11944" t="s">
        <v>16842</v>
      </c>
      <c r="I11944">
        <v>13449</v>
      </c>
      <c r="J11944" t="str">
        <f>VLOOKUP(E11944,DSSpieler!A:B,2,FALSE)</f>
        <v>Chaot777</v>
      </c>
    </row>
    <row r="11945" spans="1:10" x14ac:dyDescent="0.25">
      <c r="A11945">
        <v>13450</v>
      </c>
      <c r="B11945" t="s">
        <v>1057</v>
      </c>
      <c r="C11945">
        <v>467</v>
      </c>
      <c r="D11945">
        <v>430</v>
      </c>
      <c r="E11945">
        <v>8897367</v>
      </c>
      <c r="F11945">
        <v>7700</v>
      </c>
      <c r="G11945">
        <v>0</v>
      </c>
      <c r="H11945" t="s">
        <v>16843</v>
      </c>
      <c r="I11945">
        <v>13450</v>
      </c>
      <c r="J11945" t="str">
        <f>VLOOKUP(E11945,DSSpieler!A:B,2,FALSE)</f>
        <v>Zwoogel1</v>
      </c>
    </row>
    <row r="11946" spans="1:10" x14ac:dyDescent="0.25">
      <c r="A11946">
        <v>13451</v>
      </c>
      <c r="B11946" t="s">
        <v>2223</v>
      </c>
      <c r="C11946">
        <v>510</v>
      </c>
      <c r="D11946">
        <v>432</v>
      </c>
      <c r="E11946">
        <v>1577194676</v>
      </c>
      <c r="F11946">
        <v>197</v>
      </c>
      <c r="G11946">
        <v>0</v>
      </c>
      <c r="H11946" t="s">
        <v>16844</v>
      </c>
      <c r="I11946">
        <v>13451</v>
      </c>
      <c r="J11946" t="str">
        <f>VLOOKUP(E11946,DSSpieler!A:B,2,FALSE)</f>
        <v>Xzabe901</v>
      </c>
    </row>
    <row r="11947" spans="1:10" x14ac:dyDescent="0.25">
      <c r="A11947">
        <v>13452</v>
      </c>
      <c r="B11947" t="s">
        <v>531</v>
      </c>
      <c r="C11947">
        <v>610</v>
      </c>
      <c r="D11947">
        <v>530</v>
      </c>
      <c r="E11947">
        <v>0</v>
      </c>
      <c r="F11947">
        <v>220</v>
      </c>
      <c r="G11947">
        <v>0</v>
      </c>
      <c r="H11947" t="s">
        <v>16845</v>
      </c>
      <c r="I11947">
        <v>13452</v>
      </c>
      <c r="J11947" t="e">
        <f>VLOOKUP(E11947,DSSpieler!A:B,2,FALSE)</f>
        <v>#N/A</v>
      </c>
    </row>
    <row r="11948" spans="1:10" x14ac:dyDescent="0.25">
      <c r="A11948">
        <v>13453</v>
      </c>
      <c r="B11948" t="s">
        <v>33799</v>
      </c>
      <c r="C11948">
        <v>613</v>
      </c>
      <c r="D11948">
        <v>516</v>
      </c>
      <c r="E11948">
        <v>3059201</v>
      </c>
      <c r="F11948">
        <v>2546</v>
      </c>
      <c r="G11948">
        <v>0</v>
      </c>
      <c r="H11948" t="s">
        <v>16846</v>
      </c>
      <c r="I11948">
        <v>13453</v>
      </c>
      <c r="J11948" t="str">
        <f>VLOOKUP(E11948,DSSpieler!A:B,2,FALSE)</f>
        <v>Bodum</v>
      </c>
    </row>
    <row r="11949" spans="1:10" x14ac:dyDescent="0.25">
      <c r="A11949">
        <v>13454</v>
      </c>
      <c r="B11949" t="s">
        <v>34672</v>
      </c>
      <c r="C11949">
        <v>456</v>
      </c>
      <c r="D11949">
        <v>591</v>
      </c>
      <c r="E11949">
        <v>908297</v>
      </c>
      <c r="F11949">
        <v>2719</v>
      </c>
      <c r="G11949">
        <v>0</v>
      </c>
      <c r="H11949" t="s">
        <v>16847</v>
      </c>
      <c r="I11949">
        <v>13454</v>
      </c>
      <c r="J11949" t="str">
        <f>VLOOKUP(E11949,DSSpieler!A:B,2,FALSE)</f>
        <v>toni 5900</v>
      </c>
    </row>
    <row r="11950" spans="1:10" x14ac:dyDescent="0.25">
      <c r="A11950">
        <v>13455</v>
      </c>
      <c r="B11950" t="s">
        <v>34673</v>
      </c>
      <c r="C11950">
        <v>451</v>
      </c>
      <c r="D11950">
        <v>396</v>
      </c>
      <c r="E11950">
        <v>1577199669</v>
      </c>
      <c r="F11950">
        <v>4742</v>
      </c>
      <c r="G11950">
        <v>0</v>
      </c>
      <c r="H11950" t="s">
        <v>16848</v>
      </c>
      <c r="I11950">
        <v>13455</v>
      </c>
      <c r="J11950" t="str">
        <f>VLOOKUP(E11950,DSSpieler!A:B,2,FALSE)</f>
        <v>Kapslbracker</v>
      </c>
    </row>
    <row r="11951" spans="1:10" x14ac:dyDescent="0.25">
      <c r="A11951">
        <v>13456</v>
      </c>
      <c r="B11951" t="s">
        <v>34674</v>
      </c>
      <c r="C11951">
        <v>466</v>
      </c>
      <c r="D11951">
        <v>400</v>
      </c>
      <c r="E11951">
        <v>3167113</v>
      </c>
      <c r="F11951">
        <v>5092</v>
      </c>
      <c r="G11951">
        <v>0</v>
      </c>
      <c r="H11951" t="s">
        <v>16849</v>
      </c>
      <c r="I11951">
        <v>13456</v>
      </c>
      <c r="J11951" t="str">
        <f>VLOOKUP(E11951,DSSpieler!A:B,2,FALSE)</f>
        <v>König der Raute</v>
      </c>
    </row>
    <row r="11952" spans="1:10" x14ac:dyDescent="0.25">
      <c r="A11952">
        <v>13457</v>
      </c>
      <c r="B11952" t="s">
        <v>531</v>
      </c>
      <c r="C11952">
        <v>525</v>
      </c>
      <c r="D11952">
        <v>610</v>
      </c>
      <c r="E11952">
        <v>0</v>
      </c>
      <c r="F11952">
        <v>382</v>
      </c>
      <c r="G11952">
        <v>0</v>
      </c>
      <c r="H11952" t="s">
        <v>16850</v>
      </c>
      <c r="I11952">
        <v>13457</v>
      </c>
      <c r="J11952" t="e">
        <f>VLOOKUP(E11952,DSSpieler!A:B,2,FALSE)</f>
        <v>#N/A</v>
      </c>
    </row>
    <row r="11953" spans="1:10" x14ac:dyDescent="0.25">
      <c r="A11953">
        <v>13459</v>
      </c>
      <c r="B11953" t="s">
        <v>531</v>
      </c>
      <c r="C11953">
        <v>444</v>
      </c>
      <c r="D11953">
        <v>581</v>
      </c>
      <c r="E11953">
        <v>0</v>
      </c>
      <c r="F11953">
        <v>256</v>
      </c>
      <c r="G11953">
        <v>0</v>
      </c>
      <c r="H11953" t="s">
        <v>16851</v>
      </c>
      <c r="I11953">
        <v>13459</v>
      </c>
      <c r="J11953" t="e">
        <f>VLOOKUP(E11953,DSSpieler!A:B,2,FALSE)</f>
        <v>#N/A</v>
      </c>
    </row>
    <row r="11954" spans="1:10" x14ac:dyDescent="0.25">
      <c r="A11954">
        <v>13460</v>
      </c>
      <c r="B11954" t="s">
        <v>34675</v>
      </c>
      <c r="C11954">
        <v>475</v>
      </c>
      <c r="D11954">
        <v>577</v>
      </c>
      <c r="E11954">
        <v>1576776463</v>
      </c>
      <c r="F11954">
        <v>136</v>
      </c>
      <c r="G11954">
        <v>0</v>
      </c>
      <c r="H11954" t="s">
        <v>16852</v>
      </c>
      <c r="I11954">
        <v>13460</v>
      </c>
      <c r="J11954" t="str">
        <f>VLOOKUP(E11954,DSSpieler!A:B,2,FALSE)</f>
        <v>Luggi0110</v>
      </c>
    </row>
    <row r="11955" spans="1:10" x14ac:dyDescent="0.25">
      <c r="A11955">
        <v>13461</v>
      </c>
      <c r="B11955" t="s">
        <v>2224</v>
      </c>
      <c r="C11955">
        <v>514</v>
      </c>
      <c r="D11955">
        <v>548</v>
      </c>
      <c r="E11955">
        <v>1577175352</v>
      </c>
      <c r="F11955">
        <v>4863</v>
      </c>
      <c r="G11955">
        <v>0</v>
      </c>
      <c r="H11955" t="s">
        <v>16853</v>
      </c>
      <c r="I11955">
        <v>13461</v>
      </c>
      <c r="J11955" t="str">
        <f>VLOOKUP(E11955,DSSpieler!A:B,2,FALSE)</f>
        <v>L4nz3l0b3r</v>
      </c>
    </row>
    <row r="11956" spans="1:10" x14ac:dyDescent="0.25">
      <c r="A11956">
        <v>13462</v>
      </c>
      <c r="B11956" t="s">
        <v>531</v>
      </c>
      <c r="C11956">
        <v>613</v>
      </c>
      <c r="D11956">
        <v>502</v>
      </c>
      <c r="E11956">
        <v>0</v>
      </c>
      <c r="F11956">
        <v>170</v>
      </c>
      <c r="G11956">
        <v>0</v>
      </c>
      <c r="H11956" t="s">
        <v>16854</v>
      </c>
      <c r="I11956">
        <v>13462</v>
      </c>
      <c r="J11956" t="e">
        <f>VLOOKUP(E11956,DSSpieler!A:B,2,FALSE)</f>
        <v>#N/A</v>
      </c>
    </row>
    <row r="11957" spans="1:10" x14ac:dyDescent="0.25">
      <c r="A11957">
        <v>13463</v>
      </c>
      <c r="B11957" t="s">
        <v>2225</v>
      </c>
      <c r="C11957">
        <v>457</v>
      </c>
      <c r="D11957">
        <v>605</v>
      </c>
      <c r="E11957">
        <v>9767107</v>
      </c>
      <c r="F11957">
        <v>3644</v>
      </c>
      <c r="G11957">
        <v>0</v>
      </c>
      <c r="H11957" t="s">
        <v>16855</v>
      </c>
      <c r="I11957">
        <v>13463</v>
      </c>
      <c r="J11957" t="str">
        <f>VLOOKUP(E11957,DSSpieler!A:B,2,FALSE)</f>
        <v>Erharn</v>
      </c>
    </row>
    <row r="11958" spans="1:10" x14ac:dyDescent="0.25">
      <c r="A11958">
        <v>13464</v>
      </c>
      <c r="B11958" t="s">
        <v>33666</v>
      </c>
      <c r="C11958">
        <v>489</v>
      </c>
      <c r="D11958">
        <v>418</v>
      </c>
      <c r="E11958">
        <v>1576057331</v>
      </c>
      <c r="F11958">
        <v>5086</v>
      </c>
      <c r="G11958">
        <v>0</v>
      </c>
      <c r="H11958" t="s">
        <v>16856</v>
      </c>
      <c r="I11958">
        <v>13464</v>
      </c>
      <c r="J11958" t="str">
        <f>VLOOKUP(E11958,DSSpieler!A:B,2,FALSE)</f>
        <v>baarbratings</v>
      </c>
    </row>
    <row r="11959" spans="1:10" x14ac:dyDescent="0.25">
      <c r="A11959">
        <v>13465</v>
      </c>
      <c r="B11959" t="s">
        <v>531</v>
      </c>
      <c r="C11959">
        <v>528</v>
      </c>
      <c r="D11959">
        <v>390</v>
      </c>
      <c r="E11959">
        <v>0</v>
      </c>
      <c r="F11959">
        <v>333</v>
      </c>
      <c r="G11959">
        <v>0</v>
      </c>
      <c r="H11959" t="s">
        <v>16857</v>
      </c>
      <c r="I11959">
        <v>13465</v>
      </c>
      <c r="J11959" t="e">
        <f>VLOOKUP(E11959,DSSpieler!A:B,2,FALSE)</f>
        <v>#N/A</v>
      </c>
    </row>
    <row r="11960" spans="1:10" x14ac:dyDescent="0.25">
      <c r="A11960">
        <v>13467</v>
      </c>
      <c r="B11960" t="s">
        <v>31869</v>
      </c>
      <c r="C11960">
        <v>554</v>
      </c>
      <c r="D11960">
        <v>461</v>
      </c>
      <c r="E11960">
        <v>1577199899</v>
      </c>
      <c r="F11960">
        <v>3200</v>
      </c>
      <c r="G11960">
        <v>0</v>
      </c>
      <c r="H11960" t="s">
        <v>16858</v>
      </c>
      <c r="I11960">
        <v>13467</v>
      </c>
      <c r="J11960" t="str">
        <f>VLOOKUP(E11960,DSSpieler!A:B,2,FALSE)</f>
        <v>Katazing87</v>
      </c>
    </row>
    <row r="11961" spans="1:10" x14ac:dyDescent="0.25">
      <c r="A11961">
        <v>13468</v>
      </c>
      <c r="B11961" t="s">
        <v>531</v>
      </c>
      <c r="C11961">
        <v>565</v>
      </c>
      <c r="D11961">
        <v>590</v>
      </c>
      <c r="E11961">
        <v>0</v>
      </c>
      <c r="F11961">
        <v>557</v>
      </c>
      <c r="G11961">
        <v>0</v>
      </c>
      <c r="H11961" t="s">
        <v>16859</v>
      </c>
      <c r="I11961">
        <v>13468</v>
      </c>
      <c r="J11961" t="e">
        <f>VLOOKUP(E11961,DSSpieler!A:B,2,FALSE)</f>
        <v>#N/A</v>
      </c>
    </row>
    <row r="11962" spans="1:10" x14ac:dyDescent="0.25">
      <c r="A11962">
        <v>13470</v>
      </c>
      <c r="B11962" t="s">
        <v>34676</v>
      </c>
      <c r="C11962">
        <v>389</v>
      </c>
      <c r="D11962">
        <v>523</v>
      </c>
      <c r="E11962">
        <v>1577070192</v>
      </c>
      <c r="F11962">
        <v>4407</v>
      </c>
      <c r="G11962">
        <v>0</v>
      </c>
      <c r="H11962" t="s">
        <v>16860</v>
      </c>
      <c r="I11962">
        <v>13470</v>
      </c>
      <c r="J11962" t="str">
        <f>VLOOKUP(E11962,DSSpieler!A:B,2,FALSE)</f>
        <v>SirAmon</v>
      </c>
    </row>
    <row r="11963" spans="1:10" x14ac:dyDescent="0.25">
      <c r="A11963">
        <v>13471</v>
      </c>
      <c r="B11963" t="s">
        <v>531</v>
      </c>
      <c r="C11963">
        <v>580</v>
      </c>
      <c r="D11963">
        <v>422</v>
      </c>
      <c r="E11963">
        <v>0</v>
      </c>
      <c r="F11963">
        <v>240</v>
      </c>
      <c r="G11963">
        <v>0</v>
      </c>
      <c r="H11963" t="s">
        <v>16861</v>
      </c>
      <c r="I11963">
        <v>13471</v>
      </c>
      <c r="J11963" t="e">
        <f>VLOOKUP(E11963,DSSpieler!A:B,2,FALSE)</f>
        <v>#N/A</v>
      </c>
    </row>
    <row r="11964" spans="1:10" x14ac:dyDescent="0.25">
      <c r="A11964">
        <v>13472</v>
      </c>
      <c r="B11964" t="s">
        <v>34677</v>
      </c>
      <c r="C11964">
        <v>387</v>
      </c>
      <c r="D11964">
        <v>517</v>
      </c>
      <c r="E11964">
        <v>1577070192</v>
      </c>
      <c r="F11964">
        <v>4386</v>
      </c>
      <c r="G11964">
        <v>0</v>
      </c>
      <c r="H11964" t="s">
        <v>16862</v>
      </c>
      <c r="I11964">
        <v>13472</v>
      </c>
      <c r="J11964" t="str">
        <f>VLOOKUP(E11964,DSSpieler!A:B,2,FALSE)</f>
        <v>SirAmon</v>
      </c>
    </row>
    <row r="11965" spans="1:10" x14ac:dyDescent="0.25">
      <c r="A11965">
        <v>13473</v>
      </c>
      <c r="B11965" t="s">
        <v>2226</v>
      </c>
      <c r="C11965">
        <v>412</v>
      </c>
      <c r="D11965">
        <v>572</v>
      </c>
      <c r="E11965">
        <v>42840</v>
      </c>
      <c r="F11965">
        <v>1556</v>
      </c>
      <c r="G11965">
        <v>0</v>
      </c>
      <c r="H11965" t="s">
        <v>16863</v>
      </c>
      <c r="I11965">
        <v>13473</v>
      </c>
      <c r="J11965" t="str">
        <f>VLOOKUP(E11965,DSSpieler!A:B,2,FALSE)</f>
        <v>ANTWORLD</v>
      </c>
    </row>
    <row r="11966" spans="1:10" x14ac:dyDescent="0.25">
      <c r="A11966">
        <v>13474</v>
      </c>
      <c r="B11966" t="s">
        <v>531</v>
      </c>
      <c r="C11966">
        <v>389</v>
      </c>
      <c r="D11966">
        <v>501</v>
      </c>
      <c r="E11966">
        <v>0</v>
      </c>
      <c r="F11966">
        <v>279</v>
      </c>
      <c r="G11966">
        <v>0</v>
      </c>
      <c r="H11966" t="s">
        <v>16864</v>
      </c>
      <c r="I11966">
        <v>13474</v>
      </c>
      <c r="J11966" t="e">
        <f>VLOOKUP(E11966,DSSpieler!A:B,2,FALSE)</f>
        <v>#N/A</v>
      </c>
    </row>
    <row r="11967" spans="1:10" x14ac:dyDescent="0.25">
      <c r="A11967">
        <v>13475</v>
      </c>
      <c r="B11967" t="s">
        <v>531</v>
      </c>
      <c r="C11967">
        <v>388</v>
      </c>
      <c r="D11967">
        <v>510</v>
      </c>
      <c r="E11967">
        <v>0</v>
      </c>
      <c r="F11967">
        <v>205</v>
      </c>
      <c r="G11967">
        <v>0</v>
      </c>
      <c r="H11967" t="s">
        <v>16865</v>
      </c>
      <c r="I11967">
        <v>13475</v>
      </c>
      <c r="J11967" t="e">
        <f>VLOOKUP(E11967,DSSpieler!A:B,2,FALSE)</f>
        <v>#N/A</v>
      </c>
    </row>
    <row r="11968" spans="1:10" x14ac:dyDescent="0.25">
      <c r="A11968">
        <v>13476</v>
      </c>
      <c r="B11968" t="s">
        <v>34678</v>
      </c>
      <c r="C11968">
        <v>512</v>
      </c>
      <c r="D11968">
        <v>613</v>
      </c>
      <c r="E11968">
        <v>8845635</v>
      </c>
      <c r="F11968">
        <v>4629</v>
      </c>
      <c r="G11968">
        <v>0</v>
      </c>
      <c r="H11968" t="s">
        <v>16866</v>
      </c>
      <c r="I11968">
        <v>13476</v>
      </c>
      <c r="J11968" t="str">
        <f>VLOOKUP(E11968,DSSpieler!A:B,2,FALSE)</f>
        <v>MakeOutHill</v>
      </c>
    </row>
    <row r="11969" spans="1:10" x14ac:dyDescent="0.25">
      <c r="A11969">
        <v>13477</v>
      </c>
      <c r="B11969" t="s">
        <v>531</v>
      </c>
      <c r="C11969">
        <v>406</v>
      </c>
      <c r="D11969">
        <v>558</v>
      </c>
      <c r="E11969">
        <v>0</v>
      </c>
      <c r="F11969">
        <v>443</v>
      </c>
      <c r="G11969">
        <v>0</v>
      </c>
      <c r="H11969" t="s">
        <v>16867</v>
      </c>
      <c r="I11969">
        <v>13477</v>
      </c>
      <c r="J11969" t="e">
        <f>VLOOKUP(E11969,DSSpieler!A:B,2,FALSE)</f>
        <v>#N/A</v>
      </c>
    </row>
    <row r="11970" spans="1:10" x14ac:dyDescent="0.25">
      <c r="A11970">
        <v>13478</v>
      </c>
      <c r="B11970" t="s">
        <v>2227</v>
      </c>
      <c r="C11970">
        <v>460</v>
      </c>
      <c r="D11970">
        <v>394</v>
      </c>
      <c r="E11970">
        <v>1577183245</v>
      </c>
      <c r="F11970">
        <v>4141</v>
      </c>
      <c r="G11970">
        <v>0</v>
      </c>
      <c r="H11970" t="s">
        <v>16868</v>
      </c>
      <c r="I11970">
        <v>13478</v>
      </c>
      <c r="J11970" t="str">
        <f>VLOOKUP(E11970,DSSpieler!A:B,2,FALSE)</f>
        <v>Hooodiinii</v>
      </c>
    </row>
    <row r="11971" spans="1:10" x14ac:dyDescent="0.25">
      <c r="A11971">
        <v>13479</v>
      </c>
      <c r="B11971" t="s">
        <v>2228</v>
      </c>
      <c r="C11971">
        <v>395</v>
      </c>
      <c r="D11971">
        <v>546</v>
      </c>
      <c r="E11971">
        <v>2816098</v>
      </c>
      <c r="F11971">
        <v>2149</v>
      </c>
      <c r="G11971">
        <v>0</v>
      </c>
      <c r="H11971" t="s">
        <v>16869</v>
      </c>
      <c r="I11971">
        <v>13479</v>
      </c>
      <c r="J11971" t="str">
        <f>VLOOKUP(E11971,DSSpieler!A:B,2,FALSE)</f>
        <v>iN sM0ke</v>
      </c>
    </row>
    <row r="11972" spans="1:10" x14ac:dyDescent="0.25">
      <c r="A11972">
        <v>13481</v>
      </c>
      <c r="B11972" t="s">
        <v>531</v>
      </c>
      <c r="C11972">
        <v>398</v>
      </c>
      <c r="D11972">
        <v>451</v>
      </c>
      <c r="E11972">
        <v>0</v>
      </c>
      <c r="F11972">
        <v>213</v>
      </c>
      <c r="G11972">
        <v>0</v>
      </c>
      <c r="H11972" t="s">
        <v>16870</v>
      </c>
      <c r="I11972">
        <v>13481</v>
      </c>
      <c r="J11972" t="e">
        <f>VLOOKUP(E11972,DSSpieler!A:B,2,FALSE)</f>
        <v>#N/A</v>
      </c>
    </row>
    <row r="11973" spans="1:10" x14ac:dyDescent="0.25">
      <c r="A11973">
        <v>13482</v>
      </c>
      <c r="B11973" t="s">
        <v>34679</v>
      </c>
      <c r="C11973">
        <v>574</v>
      </c>
      <c r="D11973">
        <v>414</v>
      </c>
      <c r="E11973">
        <v>9657555</v>
      </c>
      <c r="F11973">
        <v>681</v>
      </c>
      <c r="G11973">
        <v>0</v>
      </c>
      <c r="H11973" t="s">
        <v>16871</v>
      </c>
      <c r="I11973">
        <v>13482</v>
      </c>
      <c r="J11973" t="str">
        <f>VLOOKUP(E11973,DSSpieler!A:B,2,FALSE)</f>
        <v>saubau..42</v>
      </c>
    </row>
    <row r="11974" spans="1:10" x14ac:dyDescent="0.25">
      <c r="A11974">
        <v>13483</v>
      </c>
      <c r="B11974" t="s">
        <v>531</v>
      </c>
      <c r="C11974">
        <v>607</v>
      </c>
      <c r="D11974">
        <v>502</v>
      </c>
      <c r="E11974">
        <v>0</v>
      </c>
      <c r="F11974">
        <v>86</v>
      </c>
      <c r="G11974">
        <v>0</v>
      </c>
      <c r="H11974" t="s">
        <v>16872</v>
      </c>
      <c r="I11974">
        <v>13483</v>
      </c>
      <c r="J11974" t="e">
        <f>VLOOKUP(E11974,DSSpieler!A:B,2,FALSE)</f>
        <v>#N/A</v>
      </c>
    </row>
    <row r="11975" spans="1:10" x14ac:dyDescent="0.25">
      <c r="A11975">
        <v>13484</v>
      </c>
      <c r="B11975" t="s">
        <v>2229</v>
      </c>
      <c r="C11975">
        <v>456</v>
      </c>
      <c r="D11975">
        <v>389</v>
      </c>
      <c r="E11975">
        <v>1577186101</v>
      </c>
      <c r="F11975">
        <v>4725</v>
      </c>
      <c r="G11975">
        <v>0</v>
      </c>
      <c r="H11975" t="s">
        <v>16873</v>
      </c>
      <c r="I11975">
        <v>13484</v>
      </c>
      <c r="J11975" t="str">
        <f>VLOOKUP(E11975,DSSpieler!A:B,2,FALSE)</f>
        <v>Talon der Wanderer</v>
      </c>
    </row>
    <row r="11976" spans="1:10" x14ac:dyDescent="0.25">
      <c r="A11976">
        <v>13485</v>
      </c>
      <c r="B11976" t="s">
        <v>531</v>
      </c>
      <c r="C11976">
        <v>589</v>
      </c>
      <c r="D11976">
        <v>566</v>
      </c>
      <c r="E11976">
        <v>0</v>
      </c>
      <c r="F11976">
        <v>357</v>
      </c>
      <c r="G11976">
        <v>0</v>
      </c>
      <c r="H11976" t="s">
        <v>16874</v>
      </c>
      <c r="I11976">
        <v>13485</v>
      </c>
      <c r="J11976" t="e">
        <f>VLOOKUP(E11976,DSSpieler!A:B,2,FALSE)</f>
        <v>#N/A</v>
      </c>
    </row>
    <row r="11977" spans="1:10" x14ac:dyDescent="0.25">
      <c r="A11977">
        <v>13486</v>
      </c>
      <c r="B11977">
        <v>0</v>
      </c>
      <c r="C11977">
        <v>532</v>
      </c>
      <c r="D11977">
        <v>597</v>
      </c>
      <c r="E11977">
        <v>1577198027</v>
      </c>
      <c r="F11977">
        <v>5666</v>
      </c>
      <c r="G11977">
        <v>0</v>
      </c>
      <c r="H11977" t="s">
        <v>16875</v>
      </c>
      <c r="I11977">
        <v>13486</v>
      </c>
      <c r="J11977" t="str">
        <f>VLOOKUP(E11977,DSSpieler!A:B,2,FALSE)</f>
        <v>Gargoyle123</v>
      </c>
    </row>
    <row r="11978" spans="1:10" x14ac:dyDescent="0.25">
      <c r="A11978">
        <v>13487</v>
      </c>
      <c r="B11978">
        <v>3</v>
      </c>
      <c r="C11978">
        <v>439</v>
      </c>
      <c r="D11978">
        <v>405</v>
      </c>
      <c r="E11978">
        <v>1577012688</v>
      </c>
      <c r="F11978">
        <v>4363</v>
      </c>
      <c r="G11978">
        <v>0</v>
      </c>
      <c r="H11978" t="s">
        <v>16876</v>
      </c>
      <c r="I11978">
        <v>13487</v>
      </c>
      <c r="J11978" t="str">
        <f>VLOOKUP(E11978,DSSpieler!A:B,2,FALSE)</f>
        <v>LoopingLouie99</v>
      </c>
    </row>
    <row r="11979" spans="1:10" x14ac:dyDescent="0.25">
      <c r="A11979">
        <v>13488</v>
      </c>
      <c r="B11979" t="s">
        <v>546</v>
      </c>
      <c r="C11979">
        <v>513</v>
      </c>
      <c r="D11979">
        <v>419</v>
      </c>
      <c r="E11979">
        <v>1576795490</v>
      </c>
      <c r="F11979">
        <v>632</v>
      </c>
      <c r="G11979">
        <v>0</v>
      </c>
      <c r="H11979" t="s">
        <v>16877</v>
      </c>
      <c r="I11979">
        <v>13488</v>
      </c>
      <c r="J11979" t="str">
        <f>VLOOKUP(E11979,DSSpieler!A:B,2,FALSE)</f>
        <v>mani9107</v>
      </c>
    </row>
    <row r="11980" spans="1:10" x14ac:dyDescent="0.25">
      <c r="A11980">
        <v>13489</v>
      </c>
      <c r="B11980" t="s">
        <v>660</v>
      </c>
      <c r="C11980">
        <v>530</v>
      </c>
      <c r="D11980">
        <v>391</v>
      </c>
      <c r="E11980">
        <v>1577096644</v>
      </c>
      <c r="F11980">
        <v>2813</v>
      </c>
      <c r="G11980">
        <v>0</v>
      </c>
      <c r="H11980" t="s">
        <v>16878</v>
      </c>
      <c r="I11980">
        <v>13489</v>
      </c>
      <c r="J11980" t="str">
        <f>VLOOKUP(E11980,DSSpieler!A:B,2,FALSE)</f>
        <v>Gunti</v>
      </c>
    </row>
    <row r="11981" spans="1:10" x14ac:dyDescent="0.25">
      <c r="A11981">
        <v>13490</v>
      </c>
      <c r="B11981" t="s">
        <v>34680</v>
      </c>
      <c r="C11981">
        <v>592</v>
      </c>
      <c r="D11981">
        <v>439</v>
      </c>
      <c r="E11981">
        <v>8532220</v>
      </c>
      <c r="F11981">
        <v>1945</v>
      </c>
      <c r="G11981">
        <v>0</v>
      </c>
      <c r="H11981" t="s">
        <v>16879</v>
      </c>
      <c r="I11981">
        <v>13490</v>
      </c>
      <c r="J11981" t="str">
        <f>VLOOKUP(E11981,DSSpieler!A:B,2,FALSE)</f>
        <v>fabian A.</v>
      </c>
    </row>
    <row r="11982" spans="1:10" x14ac:dyDescent="0.25">
      <c r="A11982">
        <v>13491</v>
      </c>
      <c r="B11982" t="s">
        <v>531</v>
      </c>
      <c r="C11982">
        <v>394</v>
      </c>
      <c r="D11982">
        <v>467</v>
      </c>
      <c r="E11982">
        <v>0</v>
      </c>
      <c r="F11982">
        <v>188</v>
      </c>
      <c r="G11982">
        <v>0</v>
      </c>
      <c r="H11982" t="s">
        <v>16880</v>
      </c>
      <c r="I11982">
        <v>13491</v>
      </c>
      <c r="J11982" t="e">
        <f>VLOOKUP(E11982,DSSpieler!A:B,2,FALSE)</f>
        <v>#N/A</v>
      </c>
    </row>
    <row r="11983" spans="1:10" x14ac:dyDescent="0.25">
      <c r="A11983">
        <v>13492</v>
      </c>
      <c r="B11983" t="s">
        <v>531</v>
      </c>
      <c r="C11983">
        <v>539</v>
      </c>
      <c r="D11983">
        <v>604</v>
      </c>
      <c r="E11983">
        <v>0</v>
      </c>
      <c r="F11983">
        <v>831</v>
      </c>
      <c r="G11983">
        <v>0</v>
      </c>
      <c r="H11983" t="s">
        <v>16881</v>
      </c>
      <c r="I11983">
        <v>13492</v>
      </c>
      <c r="J11983" t="e">
        <f>VLOOKUP(E11983,DSSpieler!A:B,2,FALSE)</f>
        <v>#N/A</v>
      </c>
    </row>
    <row r="11984" spans="1:10" x14ac:dyDescent="0.25">
      <c r="A11984">
        <v>13493</v>
      </c>
      <c r="B11984" t="s">
        <v>34681</v>
      </c>
      <c r="C11984">
        <v>602</v>
      </c>
      <c r="D11984">
        <v>512</v>
      </c>
      <c r="E11984">
        <v>1547124</v>
      </c>
      <c r="F11984">
        <v>1366</v>
      </c>
      <c r="G11984">
        <v>0</v>
      </c>
      <c r="H11984" t="s">
        <v>16882</v>
      </c>
      <c r="I11984">
        <v>13493</v>
      </c>
      <c r="J11984" t="str">
        <f>VLOOKUP(E11984,DSSpieler!A:B,2,FALSE)</f>
        <v>HijaDelFuego</v>
      </c>
    </row>
    <row r="11985" spans="1:10" x14ac:dyDescent="0.25">
      <c r="A11985">
        <v>13494</v>
      </c>
      <c r="B11985" t="s">
        <v>34682</v>
      </c>
      <c r="C11985">
        <v>520</v>
      </c>
      <c r="D11985">
        <v>601</v>
      </c>
      <c r="E11985">
        <v>1576761768</v>
      </c>
      <c r="F11985">
        <v>5947</v>
      </c>
      <c r="G11985">
        <v>0</v>
      </c>
      <c r="H11985" t="s">
        <v>16883</v>
      </c>
      <c r="I11985">
        <v>13494</v>
      </c>
      <c r="J11985" t="str">
        <f>VLOOKUP(E11985,DSSpieler!A:B,2,FALSE)</f>
        <v>lakinho</v>
      </c>
    </row>
    <row r="11986" spans="1:10" x14ac:dyDescent="0.25">
      <c r="A11986">
        <v>13495</v>
      </c>
      <c r="B11986" t="s">
        <v>1799</v>
      </c>
      <c r="C11986">
        <v>573</v>
      </c>
      <c r="D11986">
        <v>481</v>
      </c>
      <c r="E11986">
        <v>1577161751</v>
      </c>
      <c r="F11986">
        <v>2841</v>
      </c>
      <c r="G11986">
        <v>0</v>
      </c>
      <c r="H11986" t="s">
        <v>16884</v>
      </c>
      <c r="I11986">
        <v>13495</v>
      </c>
      <c r="J11986" t="str">
        <f>VLOOKUP(E11986,DSSpieler!A:B,2,FALSE)</f>
        <v>thedarklordrises</v>
      </c>
    </row>
    <row r="11987" spans="1:10" x14ac:dyDescent="0.25">
      <c r="A11987">
        <v>13496</v>
      </c>
      <c r="B11987" t="s">
        <v>2230</v>
      </c>
      <c r="C11987">
        <v>499</v>
      </c>
      <c r="D11987">
        <v>517</v>
      </c>
      <c r="E11987">
        <v>1577199789</v>
      </c>
      <c r="F11987">
        <v>3563</v>
      </c>
      <c r="G11987">
        <v>0</v>
      </c>
      <c r="H11987" t="s">
        <v>16885</v>
      </c>
      <c r="I11987">
        <v>13496</v>
      </c>
      <c r="J11987" t="str">
        <f>VLOOKUP(E11987,DSSpieler!A:B,2,FALSE)</f>
        <v>h010</v>
      </c>
    </row>
    <row r="11988" spans="1:10" x14ac:dyDescent="0.25">
      <c r="A11988">
        <v>13497</v>
      </c>
      <c r="B11988" t="s">
        <v>531</v>
      </c>
      <c r="C11988">
        <v>492</v>
      </c>
      <c r="D11988">
        <v>389</v>
      </c>
      <c r="E11988">
        <v>0</v>
      </c>
      <c r="F11988">
        <v>509</v>
      </c>
      <c r="G11988">
        <v>0</v>
      </c>
      <c r="H11988" t="s">
        <v>16886</v>
      </c>
      <c r="I11988">
        <v>13497</v>
      </c>
      <c r="J11988" t="e">
        <f>VLOOKUP(E11988,DSSpieler!A:B,2,FALSE)</f>
        <v>#N/A</v>
      </c>
    </row>
    <row r="11989" spans="1:10" x14ac:dyDescent="0.25">
      <c r="A11989">
        <v>13500</v>
      </c>
      <c r="B11989" t="s">
        <v>2231</v>
      </c>
      <c r="C11989">
        <v>588</v>
      </c>
      <c r="D11989">
        <v>427</v>
      </c>
      <c r="E11989">
        <v>1577199929</v>
      </c>
      <c r="F11989">
        <v>4298</v>
      </c>
      <c r="G11989">
        <v>0</v>
      </c>
      <c r="H11989" t="s">
        <v>16887</v>
      </c>
      <c r="I11989">
        <v>13500</v>
      </c>
      <c r="J11989" t="str">
        <f>VLOOKUP(E11989,DSSpieler!A:B,2,FALSE)</f>
        <v>baba1</v>
      </c>
    </row>
    <row r="11990" spans="1:10" x14ac:dyDescent="0.25">
      <c r="A11990">
        <v>13502</v>
      </c>
      <c r="B11990" t="s">
        <v>31594</v>
      </c>
      <c r="C11990">
        <v>535</v>
      </c>
      <c r="D11990">
        <v>604</v>
      </c>
      <c r="E11990">
        <v>1576500928</v>
      </c>
      <c r="F11990">
        <v>4714</v>
      </c>
      <c r="G11990">
        <v>0</v>
      </c>
      <c r="H11990" t="s">
        <v>16888</v>
      </c>
      <c r="I11990">
        <v>13502</v>
      </c>
      <c r="J11990" t="str">
        <f>VLOOKUP(E11990,DSSpieler!A:B,2,FALSE)</f>
        <v>IsoldeMaduschen</v>
      </c>
    </row>
    <row r="11991" spans="1:10" x14ac:dyDescent="0.25">
      <c r="A11991">
        <v>13503</v>
      </c>
      <c r="B11991">
        <v>1</v>
      </c>
      <c r="C11991">
        <v>531</v>
      </c>
      <c r="D11991">
        <v>610</v>
      </c>
      <c r="E11991">
        <v>1576933147</v>
      </c>
      <c r="F11991">
        <v>3880</v>
      </c>
      <c r="G11991">
        <v>0</v>
      </c>
      <c r="H11991" t="s">
        <v>16889</v>
      </c>
      <c r="I11991">
        <v>13503</v>
      </c>
      <c r="J11991" t="str">
        <f>VLOOKUP(E11991,DSSpieler!A:B,2,FALSE)</f>
        <v>TheJoker08-16</v>
      </c>
    </row>
    <row r="11992" spans="1:10" x14ac:dyDescent="0.25">
      <c r="A11992">
        <v>13504</v>
      </c>
      <c r="B11992" t="s">
        <v>531</v>
      </c>
      <c r="C11992">
        <v>535</v>
      </c>
      <c r="D11992">
        <v>609</v>
      </c>
      <c r="E11992">
        <v>0</v>
      </c>
      <c r="F11992">
        <v>390</v>
      </c>
      <c r="G11992">
        <v>0</v>
      </c>
      <c r="H11992" t="s">
        <v>16890</v>
      </c>
      <c r="I11992">
        <v>13504</v>
      </c>
      <c r="J11992" t="e">
        <f>VLOOKUP(E11992,DSSpieler!A:B,2,FALSE)</f>
        <v>#N/A</v>
      </c>
    </row>
    <row r="11993" spans="1:10" x14ac:dyDescent="0.25">
      <c r="A11993">
        <v>13505</v>
      </c>
      <c r="B11993" t="s">
        <v>531</v>
      </c>
      <c r="C11993">
        <v>385</v>
      </c>
      <c r="D11993">
        <v>513</v>
      </c>
      <c r="E11993">
        <v>0</v>
      </c>
      <c r="F11993">
        <v>295</v>
      </c>
      <c r="G11993">
        <v>0</v>
      </c>
      <c r="H11993" t="s">
        <v>16891</v>
      </c>
      <c r="I11993">
        <v>13505</v>
      </c>
      <c r="J11993" t="e">
        <f>VLOOKUP(E11993,DSSpieler!A:B,2,FALSE)</f>
        <v>#N/A</v>
      </c>
    </row>
    <row r="11994" spans="1:10" x14ac:dyDescent="0.25">
      <c r="A11994">
        <v>13506</v>
      </c>
      <c r="B11994" t="s">
        <v>2232</v>
      </c>
      <c r="C11994">
        <v>388</v>
      </c>
      <c r="D11994">
        <v>473</v>
      </c>
      <c r="E11994">
        <v>1575923303</v>
      </c>
      <c r="F11994">
        <v>1975</v>
      </c>
      <c r="G11994">
        <v>0</v>
      </c>
      <c r="H11994" t="s">
        <v>461</v>
      </c>
      <c r="I11994">
        <v>13506</v>
      </c>
      <c r="J11994" t="str">
        <f>VLOOKUP(E11994,DSSpieler!A:B,2,FALSE)</f>
        <v>matzebvb</v>
      </c>
    </row>
    <row r="11995" spans="1:10" x14ac:dyDescent="0.25">
      <c r="A11995">
        <v>13507</v>
      </c>
      <c r="B11995" t="s">
        <v>531</v>
      </c>
      <c r="C11995">
        <v>489</v>
      </c>
      <c r="D11995">
        <v>611</v>
      </c>
      <c r="E11995">
        <v>0</v>
      </c>
      <c r="F11995">
        <v>188</v>
      </c>
      <c r="G11995">
        <v>0</v>
      </c>
      <c r="H11995" t="s">
        <v>16892</v>
      </c>
      <c r="I11995">
        <v>13507</v>
      </c>
      <c r="J11995" t="e">
        <f>VLOOKUP(E11995,DSSpieler!A:B,2,FALSE)</f>
        <v>#N/A</v>
      </c>
    </row>
    <row r="11996" spans="1:10" x14ac:dyDescent="0.25">
      <c r="A11996">
        <v>13508</v>
      </c>
      <c r="B11996" t="s">
        <v>1985</v>
      </c>
      <c r="C11996">
        <v>388</v>
      </c>
      <c r="D11996">
        <v>518</v>
      </c>
      <c r="E11996">
        <v>1577182487</v>
      </c>
      <c r="F11996">
        <v>4692</v>
      </c>
      <c r="G11996">
        <v>0</v>
      </c>
      <c r="H11996" t="s">
        <v>16893</v>
      </c>
      <c r="I11996">
        <v>13508</v>
      </c>
      <c r="J11996" t="str">
        <f>VLOOKUP(E11996,DSSpieler!A:B,2,FALSE)</f>
        <v>ioio1999</v>
      </c>
    </row>
    <row r="11997" spans="1:10" x14ac:dyDescent="0.25">
      <c r="A11997">
        <v>13509</v>
      </c>
      <c r="B11997" t="s">
        <v>531</v>
      </c>
      <c r="C11997">
        <v>521</v>
      </c>
      <c r="D11997">
        <v>611</v>
      </c>
      <c r="E11997">
        <v>0</v>
      </c>
      <c r="F11997">
        <v>367</v>
      </c>
      <c r="G11997">
        <v>0</v>
      </c>
      <c r="H11997" t="s">
        <v>16894</v>
      </c>
      <c r="I11997">
        <v>13509</v>
      </c>
      <c r="J11997" t="e">
        <f>VLOOKUP(E11997,DSSpieler!A:B,2,FALSE)</f>
        <v>#N/A</v>
      </c>
    </row>
    <row r="11998" spans="1:10" x14ac:dyDescent="0.25">
      <c r="A11998">
        <v>13510</v>
      </c>
      <c r="B11998" t="s">
        <v>34683</v>
      </c>
      <c r="C11998">
        <v>480</v>
      </c>
      <c r="D11998">
        <v>387</v>
      </c>
      <c r="E11998">
        <v>1577153348</v>
      </c>
      <c r="F11998">
        <v>3865</v>
      </c>
      <c r="G11998">
        <v>0</v>
      </c>
      <c r="H11998" t="s">
        <v>16895</v>
      </c>
      <c r="I11998">
        <v>13510</v>
      </c>
      <c r="J11998" t="str">
        <f>VLOOKUP(E11998,DSSpieler!A:B,2,FALSE)</f>
        <v>Rengeldengel86</v>
      </c>
    </row>
    <row r="11999" spans="1:10" x14ac:dyDescent="0.25">
      <c r="A11999">
        <v>13511</v>
      </c>
      <c r="B11999" t="s">
        <v>34684</v>
      </c>
      <c r="C11999">
        <v>502</v>
      </c>
      <c r="D11999">
        <v>387</v>
      </c>
      <c r="E11999">
        <v>1577008198</v>
      </c>
      <c r="F11999">
        <v>46</v>
      </c>
      <c r="G11999">
        <v>0</v>
      </c>
      <c r="H11999" t="s">
        <v>16896</v>
      </c>
      <c r="I11999">
        <v>13511</v>
      </c>
      <c r="J11999" t="str">
        <f>VLOOKUP(E11999,DSSpieler!A:B,2,FALSE)</f>
        <v>Future777</v>
      </c>
    </row>
    <row r="12000" spans="1:10" x14ac:dyDescent="0.25">
      <c r="A12000">
        <v>13512</v>
      </c>
      <c r="B12000" t="s">
        <v>2233</v>
      </c>
      <c r="C12000">
        <v>531</v>
      </c>
      <c r="D12000">
        <v>512</v>
      </c>
      <c r="E12000">
        <v>1577198119</v>
      </c>
      <c r="F12000">
        <v>1204</v>
      </c>
      <c r="G12000">
        <v>0</v>
      </c>
      <c r="H12000" t="s">
        <v>16897</v>
      </c>
      <c r="I12000">
        <v>13512</v>
      </c>
      <c r="J12000" t="str">
        <f>VLOOKUP(E12000,DSSpieler!A:B,2,FALSE)</f>
        <v>Roja</v>
      </c>
    </row>
    <row r="12001" spans="1:10" x14ac:dyDescent="0.25">
      <c r="A12001">
        <v>13513</v>
      </c>
      <c r="B12001" t="s">
        <v>34685</v>
      </c>
      <c r="C12001">
        <v>453</v>
      </c>
      <c r="D12001">
        <v>395</v>
      </c>
      <c r="E12001">
        <v>1576909773</v>
      </c>
      <c r="F12001">
        <v>3277</v>
      </c>
      <c r="G12001">
        <v>0</v>
      </c>
      <c r="H12001" t="s">
        <v>16898</v>
      </c>
      <c r="I12001">
        <v>13513</v>
      </c>
      <c r="J12001" t="str">
        <f>VLOOKUP(E12001,DSSpieler!A:B,2,FALSE)</f>
        <v>TheRedDevil</v>
      </c>
    </row>
    <row r="12002" spans="1:10" x14ac:dyDescent="0.25">
      <c r="A12002">
        <v>13514</v>
      </c>
      <c r="B12002" t="s">
        <v>531</v>
      </c>
      <c r="C12002">
        <v>501</v>
      </c>
      <c r="D12002">
        <v>390</v>
      </c>
      <c r="E12002">
        <v>0</v>
      </c>
      <c r="F12002">
        <v>386</v>
      </c>
      <c r="G12002">
        <v>0</v>
      </c>
      <c r="H12002" t="s">
        <v>16899</v>
      </c>
      <c r="I12002">
        <v>13514</v>
      </c>
      <c r="J12002" t="e">
        <f>VLOOKUP(E12002,DSSpieler!A:B,2,FALSE)</f>
        <v>#N/A</v>
      </c>
    </row>
    <row r="12003" spans="1:10" x14ac:dyDescent="0.25">
      <c r="A12003">
        <v>13515</v>
      </c>
      <c r="B12003" t="s">
        <v>531</v>
      </c>
      <c r="C12003">
        <v>487</v>
      </c>
      <c r="D12003">
        <v>383</v>
      </c>
      <c r="E12003">
        <v>0</v>
      </c>
      <c r="F12003">
        <v>375</v>
      </c>
      <c r="G12003">
        <v>0</v>
      </c>
      <c r="H12003" t="s">
        <v>16900</v>
      </c>
      <c r="I12003">
        <v>13515</v>
      </c>
      <c r="J12003" t="e">
        <f>VLOOKUP(E12003,DSSpieler!A:B,2,FALSE)</f>
        <v>#N/A</v>
      </c>
    </row>
    <row r="12004" spans="1:10" x14ac:dyDescent="0.25">
      <c r="A12004">
        <v>13516</v>
      </c>
      <c r="B12004" t="s">
        <v>531</v>
      </c>
      <c r="C12004">
        <v>488</v>
      </c>
      <c r="D12004">
        <v>388</v>
      </c>
      <c r="E12004">
        <v>0</v>
      </c>
      <c r="F12004">
        <v>282</v>
      </c>
      <c r="G12004">
        <v>0</v>
      </c>
      <c r="H12004" t="s">
        <v>16901</v>
      </c>
      <c r="I12004">
        <v>13516</v>
      </c>
      <c r="J12004" t="e">
        <f>VLOOKUP(E12004,DSSpieler!A:B,2,FALSE)</f>
        <v>#N/A</v>
      </c>
    </row>
    <row r="12005" spans="1:10" x14ac:dyDescent="0.25">
      <c r="A12005">
        <v>13517</v>
      </c>
      <c r="B12005" t="s">
        <v>531</v>
      </c>
      <c r="C12005">
        <v>491</v>
      </c>
      <c r="D12005">
        <v>391</v>
      </c>
      <c r="E12005">
        <v>0</v>
      </c>
      <c r="F12005">
        <v>473</v>
      </c>
      <c r="G12005">
        <v>0</v>
      </c>
      <c r="H12005" t="s">
        <v>16902</v>
      </c>
      <c r="I12005">
        <v>13517</v>
      </c>
      <c r="J12005" t="e">
        <f>VLOOKUP(E12005,DSSpieler!A:B,2,FALSE)</f>
        <v>#N/A</v>
      </c>
    </row>
    <row r="12006" spans="1:10" x14ac:dyDescent="0.25">
      <c r="A12006">
        <v>13518</v>
      </c>
      <c r="B12006" t="s">
        <v>31816</v>
      </c>
      <c r="C12006">
        <v>488</v>
      </c>
      <c r="D12006">
        <v>389</v>
      </c>
      <c r="E12006">
        <v>577708</v>
      </c>
      <c r="F12006">
        <v>2294</v>
      </c>
      <c r="G12006">
        <v>0</v>
      </c>
      <c r="H12006" t="s">
        <v>16903</v>
      </c>
      <c r="I12006">
        <v>13518</v>
      </c>
      <c r="J12006" t="str">
        <f>VLOOKUP(E12006,DSSpieler!A:B,2,FALSE)</f>
        <v>Seven035</v>
      </c>
    </row>
    <row r="12007" spans="1:10" x14ac:dyDescent="0.25">
      <c r="A12007">
        <v>13519</v>
      </c>
      <c r="B12007" t="s">
        <v>531</v>
      </c>
      <c r="C12007">
        <v>473</v>
      </c>
      <c r="D12007">
        <v>389</v>
      </c>
      <c r="E12007">
        <v>0</v>
      </c>
      <c r="F12007">
        <v>118</v>
      </c>
      <c r="G12007">
        <v>0</v>
      </c>
      <c r="H12007" t="s">
        <v>16904</v>
      </c>
      <c r="I12007">
        <v>13519</v>
      </c>
      <c r="J12007" t="e">
        <f>VLOOKUP(E12007,DSSpieler!A:B,2,FALSE)</f>
        <v>#N/A</v>
      </c>
    </row>
    <row r="12008" spans="1:10" x14ac:dyDescent="0.25">
      <c r="A12008">
        <v>13520</v>
      </c>
      <c r="B12008" t="s">
        <v>673</v>
      </c>
      <c r="C12008">
        <v>498</v>
      </c>
      <c r="D12008">
        <v>385</v>
      </c>
      <c r="E12008">
        <v>1577168330</v>
      </c>
      <c r="F12008">
        <v>1719</v>
      </c>
      <c r="G12008">
        <v>0</v>
      </c>
      <c r="H12008" t="s">
        <v>16905</v>
      </c>
      <c r="I12008">
        <v>13520</v>
      </c>
      <c r="J12008" t="str">
        <f>VLOOKUP(E12008,DSSpieler!A:B,2,FALSE)</f>
        <v>Reborning</v>
      </c>
    </row>
    <row r="12009" spans="1:10" x14ac:dyDescent="0.25">
      <c r="A12009">
        <v>13521</v>
      </c>
      <c r="B12009" t="s">
        <v>557</v>
      </c>
      <c r="C12009">
        <v>523</v>
      </c>
      <c r="D12009">
        <v>465</v>
      </c>
      <c r="E12009">
        <v>1577041400</v>
      </c>
      <c r="F12009">
        <v>3182</v>
      </c>
      <c r="G12009">
        <v>0</v>
      </c>
      <c r="H12009" t="s">
        <v>16906</v>
      </c>
      <c r="I12009">
        <v>13521</v>
      </c>
      <c r="J12009" t="str">
        <f>VLOOKUP(E12009,DSSpieler!A:B,2,FALSE)</f>
        <v>JJ2002</v>
      </c>
    </row>
    <row r="12010" spans="1:10" x14ac:dyDescent="0.25">
      <c r="A12010">
        <v>13522</v>
      </c>
      <c r="B12010" t="s">
        <v>531</v>
      </c>
      <c r="C12010">
        <v>466</v>
      </c>
      <c r="D12010">
        <v>429</v>
      </c>
      <c r="E12010">
        <v>0</v>
      </c>
      <c r="F12010">
        <v>1019</v>
      </c>
      <c r="G12010">
        <v>0</v>
      </c>
      <c r="H12010" t="s">
        <v>16907</v>
      </c>
      <c r="I12010">
        <v>13522</v>
      </c>
      <c r="J12010" t="e">
        <f>VLOOKUP(E12010,DSSpieler!A:B,2,FALSE)</f>
        <v>#N/A</v>
      </c>
    </row>
    <row r="12011" spans="1:10" x14ac:dyDescent="0.25">
      <c r="A12011">
        <v>13523</v>
      </c>
      <c r="B12011" t="s">
        <v>531</v>
      </c>
      <c r="C12011">
        <v>401</v>
      </c>
      <c r="D12011">
        <v>558</v>
      </c>
      <c r="E12011">
        <v>0</v>
      </c>
      <c r="F12011">
        <v>316</v>
      </c>
      <c r="G12011">
        <v>0</v>
      </c>
      <c r="H12011" t="s">
        <v>16908</v>
      </c>
      <c r="I12011">
        <v>13523</v>
      </c>
      <c r="J12011" t="e">
        <f>VLOOKUP(E12011,DSSpieler!A:B,2,FALSE)</f>
        <v>#N/A</v>
      </c>
    </row>
    <row r="12012" spans="1:10" x14ac:dyDescent="0.25">
      <c r="A12012">
        <v>13524</v>
      </c>
      <c r="B12012" t="s">
        <v>2234</v>
      </c>
      <c r="C12012">
        <v>400</v>
      </c>
      <c r="D12012">
        <v>554</v>
      </c>
      <c r="E12012">
        <v>8064569</v>
      </c>
      <c r="F12012">
        <v>5072</v>
      </c>
      <c r="G12012">
        <v>0</v>
      </c>
      <c r="H12012" t="s">
        <v>16909</v>
      </c>
      <c r="I12012">
        <v>13524</v>
      </c>
      <c r="J12012" t="str">
        <f>VLOOKUP(E12012,DSSpieler!A:B,2,FALSE)</f>
        <v>DasZombieJo</v>
      </c>
    </row>
    <row r="12013" spans="1:10" x14ac:dyDescent="0.25">
      <c r="A12013">
        <v>13525</v>
      </c>
      <c r="B12013" t="s">
        <v>1182</v>
      </c>
      <c r="C12013">
        <v>600</v>
      </c>
      <c r="D12013">
        <v>452</v>
      </c>
      <c r="E12013">
        <v>1577197648</v>
      </c>
      <c r="F12013">
        <v>4689</v>
      </c>
      <c r="G12013">
        <v>0</v>
      </c>
      <c r="H12013" t="s">
        <v>16910</v>
      </c>
      <c r="I12013">
        <v>13525</v>
      </c>
      <c r="J12013" t="str">
        <f>VLOOKUP(E12013,DSSpieler!A:B,2,FALSE)</f>
        <v>Reeses</v>
      </c>
    </row>
    <row r="12014" spans="1:10" x14ac:dyDescent="0.25">
      <c r="A12014">
        <v>13526</v>
      </c>
      <c r="B12014" t="s">
        <v>531</v>
      </c>
      <c r="C12014">
        <v>509</v>
      </c>
      <c r="D12014">
        <v>387</v>
      </c>
      <c r="E12014">
        <v>0</v>
      </c>
      <c r="F12014">
        <v>121</v>
      </c>
      <c r="G12014">
        <v>0</v>
      </c>
      <c r="H12014" t="s">
        <v>16911</v>
      </c>
      <c r="I12014">
        <v>13526</v>
      </c>
      <c r="J12014" t="e">
        <f>VLOOKUP(E12014,DSSpieler!A:B,2,FALSE)</f>
        <v>#N/A</v>
      </c>
    </row>
    <row r="12015" spans="1:10" x14ac:dyDescent="0.25">
      <c r="A12015">
        <v>13527</v>
      </c>
      <c r="B12015" t="s">
        <v>531</v>
      </c>
      <c r="C12015">
        <v>396</v>
      </c>
      <c r="D12015">
        <v>464</v>
      </c>
      <c r="E12015">
        <v>0</v>
      </c>
      <c r="F12015">
        <v>261</v>
      </c>
      <c r="G12015">
        <v>0</v>
      </c>
      <c r="H12015" t="s">
        <v>16912</v>
      </c>
      <c r="I12015">
        <v>13527</v>
      </c>
      <c r="J12015" t="e">
        <f>VLOOKUP(E12015,DSSpieler!A:B,2,FALSE)</f>
        <v>#N/A</v>
      </c>
    </row>
    <row r="12016" spans="1:10" x14ac:dyDescent="0.25">
      <c r="A12016">
        <v>13528</v>
      </c>
      <c r="B12016" t="s">
        <v>531</v>
      </c>
      <c r="C12016">
        <v>405</v>
      </c>
      <c r="D12016">
        <v>556</v>
      </c>
      <c r="E12016">
        <v>0</v>
      </c>
      <c r="F12016">
        <v>171</v>
      </c>
      <c r="G12016">
        <v>0</v>
      </c>
      <c r="H12016" t="s">
        <v>16913</v>
      </c>
      <c r="I12016">
        <v>13528</v>
      </c>
      <c r="J12016" t="e">
        <f>VLOOKUP(E12016,DSSpieler!A:B,2,FALSE)</f>
        <v>#N/A</v>
      </c>
    </row>
    <row r="12017" spans="1:10" x14ac:dyDescent="0.25">
      <c r="A12017">
        <v>13529</v>
      </c>
      <c r="B12017" t="s">
        <v>33285</v>
      </c>
      <c r="C12017">
        <v>563</v>
      </c>
      <c r="D12017">
        <v>562</v>
      </c>
      <c r="E12017">
        <v>1576027166</v>
      </c>
      <c r="F12017">
        <v>4629</v>
      </c>
      <c r="G12017">
        <v>0</v>
      </c>
      <c r="H12017" t="s">
        <v>16914</v>
      </c>
      <c r="I12017">
        <v>13529</v>
      </c>
      <c r="J12017" t="str">
        <f>VLOOKUP(E12017,DSSpieler!A:B,2,FALSE)</f>
        <v>Bauer19</v>
      </c>
    </row>
    <row r="12018" spans="1:10" x14ac:dyDescent="0.25">
      <c r="A12018">
        <v>13530</v>
      </c>
      <c r="B12018" t="s">
        <v>531</v>
      </c>
      <c r="C12018">
        <v>593</v>
      </c>
      <c r="D12018">
        <v>435</v>
      </c>
      <c r="E12018">
        <v>0</v>
      </c>
      <c r="F12018">
        <v>150</v>
      </c>
      <c r="G12018">
        <v>0</v>
      </c>
      <c r="H12018" t="s">
        <v>16915</v>
      </c>
      <c r="I12018">
        <v>13530</v>
      </c>
      <c r="J12018" t="e">
        <f>VLOOKUP(E12018,DSSpieler!A:B,2,FALSE)</f>
        <v>#N/A</v>
      </c>
    </row>
    <row r="12019" spans="1:10" x14ac:dyDescent="0.25">
      <c r="A12019">
        <v>13531</v>
      </c>
      <c r="B12019" t="s">
        <v>531</v>
      </c>
      <c r="C12019">
        <v>390</v>
      </c>
      <c r="D12019">
        <v>481</v>
      </c>
      <c r="E12019">
        <v>0</v>
      </c>
      <c r="F12019">
        <v>338</v>
      </c>
      <c r="G12019">
        <v>0</v>
      </c>
      <c r="H12019" t="s">
        <v>16916</v>
      </c>
      <c r="I12019">
        <v>13531</v>
      </c>
      <c r="J12019" t="e">
        <f>VLOOKUP(E12019,DSSpieler!A:B,2,FALSE)</f>
        <v>#N/A</v>
      </c>
    </row>
    <row r="12020" spans="1:10" x14ac:dyDescent="0.25">
      <c r="A12020">
        <v>13532</v>
      </c>
      <c r="B12020" t="s">
        <v>531</v>
      </c>
      <c r="C12020">
        <v>601</v>
      </c>
      <c r="D12020">
        <v>555</v>
      </c>
      <c r="E12020">
        <v>0</v>
      </c>
      <c r="F12020">
        <v>1846</v>
      </c>
      <c r="G12020">
        <v>0</v>
      </c>
      <c r="H12020" t="s">
        <v>16917</v>
      </c>
      <c r="I12020">
        <v>13532</v>
      </c>
      <c r="J12020" t="e">
        <f>VLOOKUP(E12020,DSSpieler!A:B,2,FALSE)</f>
        <v>#N/A</v>
      </c>
    </row>
    <row r="12021" spans="1:10" x14ac:dyDescent="0.25">
      <c r="A12021">
        <v>13533</v>
      </c>
      <c r="B12021" t="s">
        <v>34686</v>
      </c>
      <c r="C12021">
        <v>423</v>
      </c>
      <c r="D12021">
        <v>415</v>
      </c>
      <c r="E12021">
        <v>1576761492</v>
      </c>
      <c r="F12021">
        <v>75</v>
      </c>
      <c r="G12021">
        <v>0</v>
      </c>
      <c r="H12021" t="s">
        <v>16918</v>
      </c>
      <c r="I12021">
        <v>13533</v>
      </c>
      <c r="J12021" t="str">
        <f>VLOOKUP(E12021,DSSpieler!A:B,2,FALSE)</f>
        <v>janwe01</v>
      </c>
    </row>
    <row r="12022" spans="1:10" x14ac:dyDescent="0.25">
      <c r="A12022">
        <v>13534</v>
      </c>
      <c r="B12022" t="s">
        <v>32373</v>
      </c>
      <c r="C12022">
        <v>575</v>
      </c>
      <c r="D12022">
        <v>583</v>
      </c>
      <c r="E12022">
        <v>670684</v>
      </c>
      <c r="F12022">
        <v>6294</v>
      </c>
      <c r="G12022">
        <v>0</v>
      </c>
      <c r="H12022" t="s">
        <v>16919</v>
      </c>
      <c r="I12022">
        <v>13534</v>
      </c>
      <c r="J12022" t="str">
        <f>VLOOKUP(E12022,DSSpieler!A:B,2,FALSE)</f>
        <v>boosterkilla</v>
      </c>
    </row>
    <row r="12023" spans="1:10" x14ac:dyDescent="0.25">
      <c r="A12023">
        <v>13535</v>
      </c>
      <c r="B12023" t="s">
        <v>34687</v>
      </c>
      <c r="C12023">
        <v>455</v>
      </c>
      <c r="D12023">
        <v>559</v>
      </c>
      <c r="E12023">
        <v>9416029</v>
      </c>
      <c r="F12023">
        <v>5325</v>
      </c>
      <c r="G12023">
        <v>0</v>
      </c>
      <c r="H12023" t="s">
        <v>16920</v>
      </c>
      <c r="I12023">
        <v>13535</v>
      </c>
      <c r="J12023" t="str">
        <f>VLOOKUP(E12023,DSSpieler!A:B,2,FALSE)</f>
        <v>zwin</v>
      </c>
    </row>
    <row r="12024" spans="1:10" x14ac:dyDescent="0.25">
      <c r="A12024">
        <v>13536</v>
      </c>
      <c r="B12024" t="s">
        <v>34688</v>
      </c>
      <c r="C12024">
        <v>427</v>
      </c>
      <c r="D12024">
        <v>412</v>
      </c>
      <c r="E12024">
        <v>9678817</v>
      </c>
      <c r="F12024">
        <v>126</v>
      </c>
      <c r="G12024">
        <v>0</v>
      </c>
      <c r="H12024" t="s">
        <v>16921</v>
      </c>
      <c r="I12024">
        <v>13536</v>
      </c>
      <c r="J12024" t="str">
        <f>VLOOKUP(E12024,DSSpieler!A:B,2,FALSE)</f>
        <v>FoE0001</v>
      </c>
    </row>
    <row r="12025" spans="1:10" x14ac:dyDescent="0.25">
      <c r="A12025">
        <v>13537</v>
      </c>
      <c r="B12025" t="s">
        <v>531</v>
      </c>
      <c r="C12025">
        <v>530</v>
      </c>
      <c r="D12025">
        <v>608</v>
      </c>
      <c r="E12025">
        <v>0</v>
      </c>
      <c r="F12025">
        <v>362</v>
      </c>
      <c r="G12025">
        <v>0</v>
      </c>
      <c r="H12025" t="s">
        <v>16922</v>
      </c>
      <c r="I12025">
        <v>13537</v>
      </c>
      <c r="J12025" t="e">
        <f>VLOOKUP(E12025,DSSpieler!A:B,2,FALSE)</f>
        <v>#N/A</v>
      </c>
    </row>
    <row r="12026" spans="1:10" x14ac:dyDescent="0.25">
      <c r="A12026">
        <v>13538</v>
      </c>
      <c r="B12026" t="s">
        <v>2235</v>
      </c>
      <c r="C12026">
        <v>469</v>
      </c>
      <c r="D12026">
        <v>466</v>
      </c>
      <c r="E12026">
        <v>1577199965</v>
      </c>
      <c r="F12026">
        <v>5438</v>
      </c>
      <c r="G12026">
        <v>0</v>
      </c>
      <c r="H12026" t="s">
        <v>16923</v>
      </c>
      <c r="I12026">
        <v>13538</v>
      </c>
      <c r="J12026" t="str">
        <f>VLOOKUP(E12026,DSSpieler!A:B,2,FALSE)</f>
        <v>Gurkerllift</v>
      </c>
    </row>
    <row r="12027" spans="1:10" x14ac:dyDescent="0.25">
      <c r="A12027">
        <v>13540</v>
      </c>
      <c r="B12027" t="s">
        <v>865</v>
      </c>
      <c r="C12027">
        <v>584</v>
      </c>
      <c r="D12027">
        <v>424</v>
      </c>
      <c r="E12027">
        <v>1576888493</v>
      </c>
      <c r="F12027">
        <v>4765</v>
      </c>
      <c r="G12027">
        <v>0</v>
      </c>
      <c r="H12027" t="s">
        <v>16924</v>
      </c>
      <c r="I12027">
        <v>13540</v>
      </c>
      <c r="J12027" t="str">
        <f>VLOOKUP(E12027,DSSpieler!A:B,2,FALSE)</f>
        <v>Tunichgut</v>
      </c>
    </row>
    <row r="12028" spans="1:10" x14ac:dyDescent="0.25">
      <c r="A12028">
        <v>13541</v>
      </c>
      <c r="B12028" t="s">
        <v>531</v>
      </c>
      <c r="C12028">
        <v>504</v>
      </c>
      <c r="D12028">
        <v>398</v>
      </c>
      <c r="E12028">
        <v>0</v>
      </c>
      <c r="F12028">
        <v>175</v>
      </c>
      <c r="G12028">
        <v>0</v>
      </c>
      <c r="H12028" t="s">
        <v>16925</v>
      </c>
      <c r="I12028">
        <v>13541</v>
      </c>
      <c r="J12028" t="e">
        <f>VLOOKUP(E12028,DSSpieler!A:B,2,FALSE)</f>
        <v>#N/A</v>
      </c>
    </row>
    <row r="12029" spans="1:10" x14ac:dyDescent="0.25">
      <c r="A12029">
        <v>13542</v>
      </c>
      <c r="B12029" t="s">
        <v>34689</v>
      </c>
      <c r="C12029">
        <v>507</v>
      </c>
      <c r="D12029">
        <v>613</v>
      </c>
      <c r="E12029">
        <v>309707</v>
      </c>
      <c r="F12029">
        <v>2444</v>
      </c>
      <c r="G12029">
        <v>0</v>
      </c>
      <c r="H12029" t="s">
        <v>16926</v>
      </c>
      <c r="I12029">
        <v>13542</v>
      </c>
      <c r="J12029" t="str">
        <f>VLOOKUP(E12029,DSSpieler!A:B,2,FALSE)</f>
        <v>maxi der unzerstörbare</v>
      </c>
    </row>
    <row r="12030" spans="1:10" x14ac:dyDescent="0.25">
      <c r="A12030">
        <v>13543</v>
      </c>
      <c r="B12030" t="s">
        <v>531</v>
      </c>
      <c r="C12030">
        <v>501</v>
      </c>
      <c r="D12030">
        <v>388</v>
      </c>
      <c r="E12030">
        <v>0</v>
      </c>
      <c r="F12030">
        <v>201</v>
      </c>
      <c r="G12030">
        <v>0</v>
      </c>
      <c r="H12030" t="s">
        <v>16927</v>
      </c>
      <c r="I12030">
        <v>13543</v>
      </c>
      <c r="J12030" t="e">
        <f>VLOOKUP(E12030,DSSpieler!A:B,2,FALSE)</f>
        <v>#N/A</v>
      </c>
    </row>
    <row r="12031" spans="1:10" x14ac:dyDescent="0.25">
      <c r="A12031">
        <v>13544</v>
      </c>
      <c r="B12031" t="s">
        <v>1100</v>
      </c>
      <c r="C12031">
        <v>577</v>
      </c>
      <c r="D12031">
        <v>579</v>
      </c>
      <c r="E12031">
        <v>8703971</v>
      </c>
      <c r="F12031">
        <v>4424</v>
      </c>
      <c r="G12031">
        <v>0</v>
      </c>
      <c r="H12031" t="s">
        <v>16928</v>
      </c>
      <c r="I12031">
        <v>13544</v>
      </c>
      <c r="J12031" t="str">
        <f>VLOOKUP(E12031,DSSpieler!A:B,2,FALSE)</f>
        <v>WaBoUnleashed</v>
      </c>
    </row>
    <row r="12032" spans="1:10" x14ac:dyDescent="0.25">
      <c r="A12032">
        <v>13546</v>
      </c>
      <c r="B12032" t="s">
        <v>531</v>
      </c>
      <c r="C12032">
        <v>506</v>
      </c>
      <c r="D12032">
        <v>615</v>
      </c>
      <c r="E12032">
        <v>0</v>
      </c>
      <c r="F12032">
        <v>371</v>
      </c>
      <c r="G12032">
        <v>0</v>
      </c>
      <c r="H12032" t="s">
        <v>16929</v>
      </c>
      <c r="I12032">
        <v>13546</v>
      </c>
      <c r="J12032" t="e">
        <f>VLOOKUP(E12032,DSSpieler!A:B,2,FALSE)</f>
        <v>#N/A</v>
      </c>
    </row>
    <row r="12033" spans="1:10" x14ac:dyDescent="0.25">
      <c r="A12033">
        <v>13547</v>
      </c>
      <c r="B12033" t="s">
        <v>531</v>
      </c>
      <c r="C12033">
        <v>595</v>
      </c>
      <c r="D12033">
        <v>560</v>
      </c>
      <c r="E12033">
        <v>0</v>
      </c>
      <c r="F12033">
        <v>322</v>
      </c>
      <c r="G12033">
        <v>0</v>
      </c>
      <c r="H12033" t="s">
        <v>16930</v>
      </c>
      <c r="I12033">
        <v>13547</v>
      </c>
      <c r="J12033" t="e">
        <f>VLOOKUP(E12033,DSSpieler!A:B,2,FALSE)</f>
        <v>#N/A</v>
      </c>
    </row>
    <row r="12034" spans="1:10" x14ac:dyDescent="0.25">
      <c r="A12034">
        <v>13548</v>
      </c>
      <c r="B12034" t="s">
        <v>531</v>
      </c>
      <c r="C12034">
        <v>542</v>
      </c>
      <c r="D12034">
        <v>395</v>
      </c>
      <c r="E12034">
        <v>0</v>
      </c>
      <c r="F12034">
        <v>604</v>
      </c>
      <c r="G12034">
        <v>0</v>
      </c>
      <c r="H12034" t="s">
        <v>16931</v>
      </c>
      <c r="I12034">
        <v>13548</v>
      </c>
      <c r="J12034" t="e">
        <f>VLOOKUP(E12034,DSSpieler!A:B,2,FALSE)</f>
        <v>#N/A</v>
      </c>
    </row>
    <row r="12035" spans="1:10" x14ac:dyDescent="0.25">
      <c r="A12035">
        <v>13550</v>
      </c>
      <c r="B12035" t="s">
        <v>34690</v>
      </c>
      <c r="C12035">
        <v>609</v>
      </c>
      <c r="D12035">
        <v>522</v>
      </c>
      <c r="E12035">
        <v>9287475</v>
      </c>
      <c r="F12035">
        <v>514</v>
      </c>
      <c r="G12035">
        <v>0</v>
      </c>
      <c r="H12035" t="s">
        <v>16932</v>
      </c>
      <c r="I12035">
        <v>13550</v>
      </c>
      <c r="J12035" t="str">
        <f>VLOOKUP(E12035,DSSpieler!A:B,2,FALSE)</f>
        <v>icebreaker59</v>
      </c>
    </row>
    <row r="12036" spans="1:10" x14ac:dyDescent="0.25">
      <c r="A12036">
        <v>13552</v>
      </c>
      <c r="B12036" t="s">
        <v>2236</v>
      </c>
      <c r="C12036">
        <v>557</v>
      </c>
      <c r="D12036">
        <v>588</v>
      </c>
      <c r="E12036">
        <v>1577197739</v>
      </c>
      <c r="F12036">
        <v>3545</v>
      </c>
      <c r="G12036">
        <v>0</v>
      </c>
      <c r="H12036" t="s">
        <v>16933</v>
      </c>
      <c r="I12036">
        <v>13552</v>
      </c>
      <c r="J12036" t="str">
        <f>VLOOKUP(E12036,DSSpieler!A:B,2,FALSE)</f>
        <v>WMitty</v>
      </c>
    </row>
    <row r="12037" spans="1:10" x14ac:dyDescent="0.25">
      <c r="A12037">
        <v>13553</v>
      </c>
      <c r="B12037" t="s">
        <v>780</v>
      </c>
      <c r="C12037">
        <v>613</v>
      </c>
      <c r="D12037">
        <v>515</v>
      </c>
      <c r="E12037">
        <v>1577133527</v>
      </c>
      <c r="F12037">
        <v>6832</v>
      </c>
      <c r="G12037">
        <v>0</v>
      </c>
      <c r="H12037" t="s">
        <v>16934</v>
      </c>
      <c r="I12037">
        <v>13553</v>
      </c>
      <c r="J12037" t="str">
        <f>VLOOKUP(E12037,DSSpieler!A:B,2,FALSE)</f>
        <v>Joah Theron</v>
      </c>
    </row>
    <row r="12038" spans="1:10" x14ac:dyDescent="0.25">
      <c r="A12038">
        <v>13554</v>
      </c>
      <c r="B12038" t="s">
        <v>34691</v>
      </c>
      <c r="C12038">
        <v>606</v>
      </c>
      <c r="D12038">
        <v>508</v>
      </c>
      <c r="E12038">
        <v>1577199977</v>
      </c>
      <c r="F12038">
        <v>3869</v>
      </c>
      <c r="G12038">
        <v>0</v>
      </c>
      <c r="H12038" t="s">
        <v>16935</v>
      </c>
      <c r="I12038">
        <v>13554</v>
      </c>
      <c r="J12038" t="str">
        <f>VLOOKUP(E12038,DSSpieler!A:B,2,FALSE)</f>
        <v>S1qube</v>
      </c>
    </row>
    <row r="12039" spans="1:10" x14ac:dyDescent="0.25">
      <c r="A12039">
        <v>13555</v>
      </c>
      <c r="B12039" t="s">
        <v>531</v>
      </c>
      <c r="C12039">
        <v>385</v>
      </c>
      <c r="D12039">
        <v>497</v>
      </c>
      <c r="E12039">
        <v>0</v>
      </c>
      <c r="F12039">
        <v>1404</v>
      </c>
      <c r="G12039">
        <v>0</v>
      </c>
      <c r="H12039" t="s">
        <v>16936</v>
      </c>
      <c r="I12039">
        <v>13555</v>
      </c>
      <c r="J12039" t="e">
        <f>VLOOKUP(E12039,DSSpieler!A:B,2,FALSE)</f>
        <v>#N/A</v>
      </c>
    </row>
    <row r="12040" spans="1:10" x14ac:dyDescent="0.25">
      <c r="A12040">
        <v>13557</v>
      </c>
      <c r="B12040" t="s">
        <v>31169</v>
      </c>
      <c r="C12040">
        <v>387</v>
      </c>
      <c r="D12040">
        <v>476</v>
      </c>
      <c r="E12040">
        <v>1577000951</v>
      </c>
      <c r="F12040">
        <v>4643</v>
      </c>
      <c r="G12040">
        <v>0</v>
      </c>
      <c r="H12040" t="s">
        <v>471</v>
      </c>
      <c r="I12040">
        <v>13557</v>
      </c>
      <c r="J12040" t="str">
        <f>VLOOKUP(E12040,DSSpieler!A:B,2,FALSE)</f>
        <v>Steeegi</v>
      </c>
    </row>
    <row r="12041" spans="1:10" x14ac:dyDescent="0.25">
      <c r="A12041">
        <v>13558</v>
      </c>
      <c r="B12041" t="s">
        <v>34692</v>
      </c>
      <c r="C12041">
        <v>407</v>
      </c>
      <c r="D12041">
        <v>433</v>
      </c>
      <c r="E12041">
        <v>1577183786</v>
      </c>
      <c r="F12041">
        <v>2312</v>
      </c>
      <c r="G12041">
        <v>0</v>
      </c>
      <c r="H12041" t="s">
        <v>16937</v>
      </c>
      <c r="I12041">
        <v>13558</v>
      </c>
      <c r="J12041" t="str">
        <f>VLOOKUP(E12041,DSSpieler!A:B,2,FALSE)</f>
        <v>Rouv826</v>
      </c>
    </row>
    <row r="12042" spans="1:10" x14ac:dyDescent="0.25">
      <c r="A12042">
        <v>13559</v>
      </c>
      <c r="B12042" t="s">
        <v>531</v>
      </c>
      <c r="C12042">
        <v>409</v>
      </c>
      <c r="D12042">
        <v>439</v>
      </c>
      <c r="E12042">
        <v>0</v>
      </c>
      <c r="F12042">
        <v>596</v>
      </c>
      <c r="G12042">
        <v>0</v>
      </c>
      <c r="H12042" t="s">
        <v>16938</v>
      </c>
      <c r="I12042">
        <v>13559</v>
      </c>
      <c r="J12042" t="e">
        <f>VLOOKUP(E12042,DSSpieler!A:B,2,FALSE)</f>
        <v>#N/A</v>
      </c>
    </row>
    <row r="12043" spans="1:10" x14ac:dyDescent="0.25">
      <c r="A12043">
        <v>13560</v>
      </c>
      <c r="B12043" t="s">
        <v>34693</v>
      </c>
      <c r="C12043">
        <v>450</v>
      </c>
      <c r="D12043">
        <v>396</v>
      </c>
      <c r="E12043">
        <v>1576598298</v>
      </c>
      <c r="F12043">
        <v>745</v>
      </c>
      <c r="G12043">
        <v>0</v>
      </c>
      <c r="H12043" t="s">
        <v>16939</v>
      </c>
      <c r="I12043">
        <v>13560</v>
      </c>
      <c r="J12043" t="str">
        <f>VLOOKUP(E12043,DSSpieler!A:B,2,FALSE)</f>
        <v>Spartacus20</v>
      </c>
    </row>
    <row r="12044" spans="1:10" x14ac:dyDescent="0.25">
      <c r="A12044">
        <v>13561</v>
      </c>
      <c r="B12044" t="s">
        <v>531</v>
      </c>
      <c r="C12044">
        <v>545</v>
      </c>
      <c r="D12044">
        <v>396</v>
      </c>
      <c r="E12044">
        <v>0</v>
      </c>
      <c r="F12044">
        <v>428</v>
      </c>
      <c r="G12044">
        <v>0</v>
      </c>
      <c r="H12044" t="s">
        <v>16940</v>
      </c>
      <c r="I12044">
        <v>13561</v>
      </c>
      <c r="J12044" t="e">
        <f>VLOOKUP(E12044,DSSpieler!A:B,2,FALSE)</f>
        <v>#N/A</v>
      </c>
    </row>
    <row r="12045" spans="1:10" x14ac:dyDescent="0.25">
      <c r="A12045">
        <v>13562</v>
      </c>
      <c r="B12045" t="s">
        <v>2237</v>
      </c>
      <c r="C12045">
        <v>568</v>
      </c>
      <c r="D12045">
        <v>428</v>
      </c>
      <c r="E12045">
        <v>1577199976</v>
      </c>
      <c r="F12045">
        <v>6368</v>
      </c>
      <c r="G12045">
        <v>0</v>
      </c>
      <c r="H12045" t="s">
        <v>16941</v>
      </c>
      <c r="I12045">
        <v>13562</v>
      </c>
      <c r="J12045" t="str">
        <f>VLOOKUP(E12045,DSSpieler!A:B,2,FALSE)</f>
        <v>Lord Scheo</v>
      </c>
    </row>
    <row r="12046" spans="1:10" x14ac:dyDescent="0.25">
      <c r="A12046">
        <v>13563</v>
      </c>
      <c r="B12046" t="s">
        <v>531</v>
      </c>
      <c r="C12046">
        <v>445</v>
      </c>
      <c r="D12046">
        <v>601</v>
      </c>
      <c r="E12046">
        <v>0</v>
      </c>
      <c r="F12046">
        <v>283</v>
      </c>
      <c r="G12046">
        <v>0</v>
      </c>
      <c r="H12046" t="s">
        <v>16942</v>
      </c>
      <c r="I12046">
        <v>13563</v>
      </c>
      <c r="J12046" t="e">
        <f>VLOOKUP(E12046,DSSpieler!A:B,2,FALSE)</f>
        <v>#N/A</v>
      </c>
    </row>
    <row r="12047" spans="1:10" x14ac:dyDescent="0.25">
      <c r="A12047">
        <v>13564</v>
      </c>
      <c r="B12047" t="s">
        <v>34694</v>
      </c>
      <c r="C12047">
        <v>504</v>
      </c>
      <c r="D12047">
        <v>506</v>
      </c>
      <c r="E12047">
        <v>1577177303</v>
      </c>
      <c r="F12047">
        <v>1183</v>
      </c>
      <c r="G12047">
        <v>0</v>
      </c>
      <c r="H12047" t="s">
        <v>16943</v>
      </c>
      <c r="I12047">
        <v>13564</v>
      </c>
      <c r="J12047" t="str">
        <f>VLOOKUP(E12047,DSSpieler!A:B,2,FALSE)</f>
        <v>steffanka85</v>
      </c>
    </row>
    <row r="12048" spans="1:10" x14ac:dyDescent="0.25">
      <c r="A12048">
        <v>13565</v>
      </c>
      <c r="B12048" t="s">
        <v>31934</v>
      </c>
      <c r="C12048">
        <v>600</v>
      </c>
      <c r="D12048">
        <v>480</v>
      </c>
      <c r="E12048">
        <v>3240324</v>
      </c>
      <c r="F12048">
        <v>3088</v>
      </c>
      <c r="G12048">
        <v>0</v>
      </c>
      <c r="H12048" t="s">
        <v>16944</v>
      </c>
      <c r="I12048">
        <v>13565</v>
      </c>
      <c r="J12048" t="str">
        <f>VLOOKUP(E12048,DSSpieler!A:B,2,FALSE)</f>
        <v>luckylos3r</v>
      </c>
    </row>
    <row r="12049" spans="1:10" x14ac:dyDescent="0.25">
      <c r="A12049">
        <v>13566</v>
      </c>
      <c r="B12049" t="s">
        <v>34695</v>
      </c>
      <c r="C12049">
        <v>534</v>
      </c>
      <c r="D12049">
        <v>614</v>
      </c>
      <c r="E12049">
        <v>832699</v>
      </c>
      <c r="F12049">
        <v>6237</v>
      </c>
      <c r="G12049">
        <v>0</v>
      </c>
      <c r="H12049" t="s">
        <v>16945</v>
      </c>
      <c r="I12049">
        <v>13566</v>
      </c>
      <c r="J12049" t="str">
        <f>VLOOKUP(E12049,DSSpieler!A:B,2,FALSE)</f>
        <v>Y@r0n</v>
      </c>
    </row>
    <row r="12050" spans="1:10" x14ac:dyDescent="0.25">
      <c r="A12050">
        <v>13569</v>
      </c>
      <c r="B12050" t="s">
        <v>531</v>
      </c>
      <c r="C12050">
        <v>410</v>
      </c>
      <c r="D12050">
        <v>568</v>
      </c>
      <c r="E12050">
        <v>0</v>
      </c>
      <c r="F12050">
        <v>195</v>
      </c>
      <c r="G12050">
        <v>0</v>
      </c>
      <c r="H12050" t="s">
        <v>16946</v>
      </c>
      <c r="I12050">
        <v>13569</v>
      </c>
      <c r="J12050" t="e">
        <f>VLOOKUP(E12050,DSSpieler!A:B,2,FALSE)</f>
        <v>#N/A</v>
      </c>
    </row>
    <row r="12051" spans="1:10" x14ac:dyDescent="0.25">
      <c r="A12051">
        <v>13570</v>
      </c>
      <c r="B12051" t="s">
        <v>531</v>
      </c>
      <c r="C12051">
        <v>556</v>
      </c>
      <c r="D12051">
        <v>404</v>
      </c>
      <c r="E12051">
        <v>0</v>
      </c>
      <c r="F12051">
        <v>469</v>
      </c>
      <c r="G12051">
        <v>0</v>
      </c>
      <c r="H12051" t="s">
        <v>16947</v>
      </c>
      <c r="I12051">
        <v>13570</v>
      </c>
      <c r="J12051" t="e">
        <f>VLOOKUP(E12051,DSSpieler!A:B,2,FALSE)</f>
        <v>#N/A</v>
      </c>
    </row>
    <row r="12052" spans="1:10" x14ac:dyDescent="0.25">
      <c r="A12052">
        <v>13571</v>
      </c>
      <c r="B12052" t="s">
        <v>34696</v>
      </c>
      <c r="C12052">
        <v>415</v>
      </c>
      <c r="D12052">
        <v>559</v>
      </c>
      <c r="E12052">
        <v>1577163180</v>
      </c>
      <c r="F12052">
        <v>3897</v>
      </c>
      <c r="G12052">
        <v>0</v>
      </c>
      <c r="H12052" t="s">
        <v>16948</v>
      </c>
      <c r="I12052">
        <v>13571</v>
      </c>
      <c r="J12052" t="str">
        <f>VLOOKUP(E12052,DSSpieler!A:B,2,FALSE)</f>
        <v>Rofa TTN</v>
      </c>
    </row>
    <row r="12053" spans="1:10" x14ac:dyDescent="0.25">
      <c r="A12053">
        <v>13572</v>
      </c>
      <c r="B12053" t="s">
        <v>34697</v>
      </c>
      <c r="C12053">
        <v>463</v>
      </c>
      <c r="D12053">
        <v>608</v>
      </c>
      <c r="E12053">
        <v>1315856</v>
      </c>
      <c r="F12053">
        <v>340</v>
      </c>
      <c r="G12053">
        <v>0</v>
      </c>
      <c r="H12053" t="s">
        <v>16949</v>
      </c>
      <c r="I12053">
        <v>13572</v>
      </c>
      <c r="J12053" t="str">
        <f>VLOOKUP(E12053,DSSpieler!A:B,2,FALSE)</f>
        <v>King of Cambodia</v>
      </c>
    </row>
    <row r="12054" spans="1:10" x14ac:dyDescent="0.25">
      <c r="A12054">
        <v>13573</v>
      </c>
      <c r="B12054" t="s">
        <v>531</v>
      </c>
      <c r="C12054">
        <v>429</v>
      </c>
      <c r="D12054">
        <v>413</v>
      </c>
      <c r="E12054">
        <v>0</v>
      </c>
      <c r="F12054">
        <v>219</v>
      </c>
      <c r="G12054">
        <v>0</v>
      </c>
      <c r="H12054" t="s">
        <v>16950</v>
      </c>
      <c r="I12054">
        <v>13573</v>
      </c>
      <c r="J12054" t="e">
        <f>VLOOKUP(E12054,DSSpieler!A:B,2,FALSE)</f>
        <v>#N/A</v>
      </c>
    </row>
    <row r="12055" spans="1:10" x14ac:dyDescent="0.25">
      <c r="A12055">
        <v>13574</v>
      </c>
      <c r="B12055" t="s">
        <v>531</v>
      </c>
      <c r="C12055">
        <v>531</v>
      </c>
      <c r="D12055">
        <v>391</v>
      </c>
      <c r="E12055">
        <v>0</v>
      </c>
      <c r="F12055">
        <v>326</v>
      </c>
      <c r="G12055">
        <v>0</v>
      </c>
      <c r="H12055" t="s">
        <v>16951</v>
      </c>
      <c r="I12055">
        <v>13574</v>
      </c>
      <c r="J12055" t="e">
        <f>VLOOKUP(E12055,DSSpieler!A:B,2,FALSE)</f>
        <v>#N/A</v>
      </c>
    </row>
    <row r="12056" spans="1:10" x14ac:dyDescent="0.25">
      <c r="A12056">
        <v>13575</v>
      </c>
      <c r="B12056" t="s">
        <v>531</v>
      </c>
      <c r="C12056">
        <v>520</v>
      </c>
      <c r="D12056">
        <v>391</v>
      </c>
      <c r="E12056">
        <v>0</v>
      </c>
      <c r="F12056">
        <v>218</v>
      </c>
      <c r="G12056">
        <v>0</v>
      </c>
      <c r="H12056" t="s">
        <v>16952</v>
      </c>
      <c r="I12056">
        <v>13575</v>
      </c>
      <c r="J12056" t="e">
        <f>VLOOKUP(E12056,DSSpieler!A:B,2,FALSE)</f>
        <v>#N/A</v>
      </c>
    </row>
    <row r="12057" spans="1:10" x14ac:dyDescent="0.25">
      <c r="A12057">
        <v>13576</v>
      </c>
      <c r="B12057" t="s">
        <v>531</v>
      </c>
      <c r="C12057">
        <v>412</v>
      </c>
      <c r="D12057">
        <v>425</v>
      </c>
      <c r="E12057">
        <v>0</v>
      </c>
      <c r="F12057">
        <v>222</v>
      </c>
      <c r="G12057">
        <v>0</v>
      </c>
      <c r="H12057" t="s">
        <v>16953</v>
      </c>
      <c r="I12057">
        <v>13576</v>
      </c>
      <c r="J12057" t="e">
        <f>VLOOKUP(E12057,DSSpieler!A:B,2,FALSE)</f>
        <v>#N/A</v>
      </c>
    </row>
    <row r="12058" spans="1:10" x14ac:dyDescent="0.25">
      <c r="A12058">
        <v>13577</v>
      </c>
      <c r="B12058" t="s">
        <v>34698</v>
      </c>
      <c r="C12058">
        <v>441</v>
      </c>
      <c r="D12058">
        <v>596</v>
      </c>
      <c r="E12058">
        <v>9675094</v>
      </c>
      <c r="F12058">
        <v>5265</v>
      </c>
      <c r="G12058">
        <v>0</v>
      </c>
      <c r="H12058" t="s">
        <v>16954</v>
      </c>
      <c r="I12058">
        <v>13577</v>
      </c>
      <c r="J12058" t="str">
        <f>VLOOKUP(E12058,DSSpieler!A:B,2,FALSE)</f>
        <v>Lumpi1995</v>
      </c>
    </row>
    <row r="12059" spans="1:10" x14ac:dyDescent="0.25">
      <c r="A12059">
        <v>13578</v>
      </c>
      <c r="B12059" t="s">
        <v>34699</v>
      </c>
      <c r="C12059">
        <v>400</v>
      </c>
      <c r="D12059">
        <v>505</v>
      </c>
      <c r="E12059">
        <v>9386350</v>
      </c>
      <c r="F12059">
        <v>3916</v>
      </c>
      <c r="G12059">
        <v>0</v>
      </c>
      <c r="H12059" t="s">
        <v>16955</v>
      </c>
      <c r="I12059">
        <v>13578</v>
      </c>
      <c r="J12059" t="str">
        <f>VLOOKUP(E12059,DSSpieler!A:B,2,FALSE)</f>
        <v>*Fuldozer*</v>
      </c>
    </row>
    <row r="12060" spans="1:10" x14ac:dyDescent="0.25">
      <c r="A12060">
        <v>13580</v>
      </c>
      <c r="B12060" t="s">
        <v>2238</v>
      </c>
      <c r="C12060">
        <v>401</v>
      </c>
      <c r="D12060">
        <v>444</v>
      </c>
      <c r="E12060">
        <v>1446206</v>
      </c>
      <c r="F12060">
        <v>713</v>
      </c>
      <c r="G12060">
        <v>0</v>
      </c>
      <c r="H12060" t="s">
        <v>16956</v>
      </c>
      <c r="I12060">
        <v>13580</v>
      </c>
      <c r="J12060" t="str">
        <f>VLOOKUP(E12060,DSSpieler!A:B,2,FALSE)</f>
        <v>bigpapa66</v>
      </c>
    </row>
    <row r="12061" spans="1:10" x14ac:dyDescent="0.25">
      <c r="A12061">
        <v>13582</v>
      </c>
      <c r="B12061" t="s">
        <v>531</v>
      </c>
      <c r="C12061">
        <v>578</v>
      </c>
      <c r="D12061">
        <v>423</v>
      </c>
      <c r="E12061">
        <v>0</v>
      </c>
      <c r="F12061">
        <v>210</v>
      </c>
      <c r="G12061">
        <v>0</v>
      </c>
      <c r="H12061" t="s">
        <v>16957</v>
      </c>
      <c r="I12061">
        <v>13582</v>
      </c>
      <c r="J12061" t="e">
        <f>VLOOKUP(E12061,DSSpieler!A:B,2,FALSE)</f>
        <v>#N/A</v>
      </c>
    </row>
    <row r="12062" spans="1:10" x14ac:dyDescent="0.25">
      <c r="A12062">
        <v>13583</v>
      </c>
      <c r="B12062" t="s">
        <v>2239</v>
      </c>
      <c r="C12062">
        <v>566</v>
      </c>
      <c r="D12062">
        <v>432</v>
      </c>
      <c r="E12062">
        <v>1577199976</v>
      </c>
      <c r="F12062">
        <v>1811</v>
      </c>
      <c r="G12062">
        <v>0</v>
      </c>
      <c r="H12062" t="s">
        <v>16958</v>
      </c>
      <c r="I12062">
        <v>13583</v>
      </c>
      <c r="J12062" t="str">
        <f>VLOOKUP(E12062,DSSpieler!A:B,2,FALSE)</f>
        <v>Lord Scheo</v>
      </c>
    </row>
    <row r="12063" spans="1:10" x14ac:dyDescent="0.25">
      <c r="A12063">
        <v>13585</v>
      </c>
      <c r="B12063" t="s">
        <v>531</v>
      </c>
      <c r="C12063">
        <v>534</v>
      </c>
      <c r="D12063">
        <v>605</v>
      </c>
      <c r="E12063">
        <v>0</v>
      </c>
      <c r="F12063">
        <v>163</v>
      </c>
      <c r="G12063">
        <v>0</v>
      </c>
      <c r="H12063" t="s">
        <v>16959</v>
      </c>
      <c r="I12063">
        <v>13585</v>
      </c>
      <c r="J12063" t="e">
        <f>VLOOKUP(E12063,DSSpieler!A:B,2,FALSE)</f>
        <v>#N/A</v>
      </c>
    </row>
    <row r="12064" spans="1:10" x14ac:dyDescent="0.25">
      <c r="A12064">
        <v>13586</v>
      </c>
      <c r="B12064" t="s">
        <v>531</v>
      </c>
      <c r="C12064">
        <v>598</v>
      </c>
      <c r="D12064">
        <v>561</v>
      </c>
      <c r="E12064">
        <v>0</v>
      </c>
      <c r="F12064">
        <v>197</v>
      </c>
      <c r="G12064">
        <v>0</v>
      </c>
      <c r="H12064" t="s">
        <v>16960</v>
      </c>
      <c r="I12064">
        <v>13586</v>
      </c>
      <c r="J12064" t="e">
        <f>VLOOKUP(E12064,DSSpieler!A:B,2,FALSE)</f>
        <v>#N/A</v>
      </c>
    </row>
    <row r="12065" spans="1:10" x14ac:dyDescent="0.25">
      <c r="A12065">
        <v>13588</v>
      </c>
      <c r="B12065">
        <v>5</v>
      </c>
      <c r="C12065">
        <v>432</v>
      </c>
      <c r="D12065">
        <v>409</v>
      </c>
      <c r="E12065">
        <v>1577012688</v>
      </c>
      <c r="F12065">
        <v>4569</v>
      </c>
      <c r="G12065">
        <v>0</v>
      </c>
      <c r="H12065" t="s">
        <v>16961</v>
      </c>
      <c r="I12065">
        <v>13588</v>
      </c>
      <c r="J12065" t="str">
        <f>VLOOKUP(E12065,DSSpieler!A:B,2,FALSE)</f>
        <v>LoopingLouie99</v>
      </c>
    </row>
    <row r="12066" spans="1:10" x14ac:dyDescent="0.25">
      <c r="A12066">
        <v>13589</v>
      </c>
      <c r="B12066" t="s">
        <v>531</v>
      </c>
      <c r="C12066">
        <v>568</v>
      </c>
      <c r="D12066">
        <v>439</v>
      </c>
      <c r="E12066">
        <v>0</v>
      </c>
      <c r="F12066">
        <v>227</v>
      </c>
      <c r="G12066">
        <v>0</v>
      </c>
      <c r="H12066" t="s">
        <v>16962</v>
      </c>
      <c r="I12066">
        <v>13589</v>
      </c>
      <c r="J12066" t="e">
        <f>VLOOKUP(E12066,DSSpieler!A:B,2,FALSE)</f>
        <v>#N/A</v>
      </c>
    </row>
    <row r="12067" spans="1:10" x14ac:dyDescent="0.25">
      <c r="A12067">
        <v>13590</v>
      </c>
      <c r="B12067" t="s">
        <v>34700</v>
      </c>
      <c r="C12067">
        <v>506</v>
      </c>
      <c r="D12067">
        <v>436</v>
      </c>
      <c r="E12067">
        <v>1577006772</v>
      </c>
      <c r="F12067">
        <v>2480</v>
      </c>
      <c r="G12067">
        <v>0</v>
      </c>
      <c r="H12067" t="s">
        <v>16963</v>
      </c>
      <c r="I12067">
        <v>13590</v>
      </c>
      <c r="J12067" t="str">
        <f>VLOOKUP(E12067,DSSpieler!A:B,2,FALSE)</f>
        <v>Toolrebel</v>
      </c>
    </row>
    <row r="12068" spans="1:10" x14ac:dyDescent="0.25">
      <c r="A12068">
        <v>13591</v>
      </c>
      <c r="B12068" t="s">
        <v>531</v>
      </c>
      <c r="C12068">
        <v>396</v>
      </c>
      <c r="D12068">
        <v>548</v>
      </c>
      <c r="E12068">
        <v>0</v>
      </c>
      <c r="F12068">
        <v>242</v>
      </c>
      <c r="G12068">
        <v>0</v>
      </c>
      <c r="H12068" t="s">
        <v>16964</v>
      </c>
      <c r="I12068">
        <v>13591</v>
      </c>
      <c r="J12068" t="e">
        <f>VLOOKUP(E12068,DSSpieler!A:B,2,FALSE)</f>
        <v>#N/A</v>
      </c>
    </row>
    <row r="12069" spans="1:10" x14ac:dyDescent="0.25">
      <c r="A12069">
        <v>13592</v>
      </c>
      <c r="B12069" t="s">
        <v>34701</v>
      </c>
      <c r="C12069">
        <v>486</v>
      </c>
      <c r="D12069">
        <v>546</v>
      </c>
      <c r="E12069">
        <v>1577077828</v>
      </c>
      <c r="F12069">
        <v>7343</v>
      </c>
      <c r="G12069">
        <v>0</v>
      </c>
      <c r="H12069" t="s">
        <v>16965</v>
      </c>
      <c r="I12069">
        <v>13592</v>
      </c>
      <c r="J12069" t="str">
        <f>VLOOKUP(E12069,DSSpieler!A:B,2,FALSE)</f>
        <v>QuaponiiX</v>
      </c>
    </row>
    <row r="12070" spans="1:10" x14ac:dyDescent="0.25">
      <c r="A12070">
        <v>13593</v>
      </c>
      <c r="B12070" t="s">
        <v>34702</v>
      </c>
      <c r="C12070">
        <v>601</v>
      </c>
      <c r="D12070">
        <v>510</v>
      </c>
      <c r="E12070">
        <v>1577200018</v>
      </c>
      <c r="F12070">
        <v>1101</v>
      </c>
      <c r="G12070">
        <v>0</v>
      </c>
      <c r="H12070" t="s">
        <v>16966</v>
      </c>
      <c r="I12070">
        <v>13593</v>
      </c>
      <c r="J12070" t="str">
        <f>VLOOKUP(E12070,DSSpieler!A:B,2,FALSE)</f>
        <v>Death Killer</v>
      </c>
    </row>
    <row r="12071" spans="1:10" x14ac:dyDescent="0.25">
      <c r="A12071">
        <v>13594</v>
      </c>
      <c r="B12071" t="s">
        <v>2240</v>
      </c>
      <c r="C12071">
        <v>528</v>
      </c>
      <c r="D12071">
        <v>391</v>
      </c>
      <c r="E12071">
        <v>1577183510</v>
      </c>
      <c r="F12071">
        <v>5244</v>
      </c>
      <c r="G12071">
        <v>0</v>
      </c>
      <c r="H12071" t="s">
        <v>16967</v>
      </c>
      <c r="I12071">
        <v>13594</v>
      </c>
      <c r="J12071" t="str">
        <f>VLOOKUP(E12071,DSSpieler!A:B,2,FALSE)</f>
        <v>Apfelring</v>
      </c>
    </row>
    <row r="12072" spans="1:10" x14ac:dyDescent="0.25">
      <c r="A12072">
        <v>13595</v>
      </c>
      <c r="B12072" t="s">
        <v>34703</v>
      </c>
      <c r="C12072">
        <v>613</v>
      </c>
      <c r="D12072">
        <v>482</v>
      </c>
      <c r="E12072">
        <v>9113869</v>
      </c>
      <c r="F12072">
        <v>151</v>
      </c>
      <c r="G12072">
        <v>0</v>
      </c>
      <c r="H12072" t="s">
        <v>16968</v>
      </c>
      <c r="I12072">
        <v>13595</v>
      </c>
      <c r="J12072" t="str">
        <f>VLOOKUP(E12072,DSSpieler!A:B,2,FALSE)</f>
        <v>Gladiator2112</v>
      </c>
    </row>
    <row r="12073" spans="1:10" x14ac:dyDescent="0.25">
      <c r="A12073">
        <v>13597</v>
      </c>
      <c r="B12073" t="s">
        <v>531</v>
      </c>
      <c r="C12073">
        <v>456</v>
      </c>
      <c r="D12073">
        <v>449</v>
      </c>
      <c r="E12073">
        <v>0</v>
      </c>
      <c r="F12073">
        <v>605</v>
      </c>
      <c r="G12073">
        <v>0</v>
      </c>
      <c r="H12073" t="s">
        <v>16969</v>
      </c>
      <c r="I12073">
        <v>13597</v>
      </c>
      <c r="J12073" t="e">
        <f>VLOOKUP(E12073,DSSpieler!A:B,2,FALSE)</f>
        <v>#N/A</v>
      </c>
    </row>
    <row r="12074" spans="1:10" x14ac:dyDescent="0.25">
      <c r="A12074">
        <v>13598</v>
      </c>
      <c r="B12074" t="s">
        <v>2241</v>
      </c>
      <c r="C12074">
        <v>528</v>
      </c>
      <c r="D12074">
        <v>604</v>
      </c>
      <c r="E12074">
        <v>1577180191</v>
      </c>
      <c r="F12074">
        <v>6114</v>
      </c>
      <c r="G12074">
        <v>0</v>
      </c>
      <c r="H12074" t="s">
        <v>16970</v>
      </c>
      <c r="I12074">
        <v>13598</v>
      </c>
      <c r="J12074" t="str">
        <f>VLOOKUP(E12074,DSSpieler!A:B,2,FALSE)</f>
        <v>Gary</v>
      </c>
    </row>
    <row r="12075" spans="1:10" x14ac:dyDescent="0.25">
      <c r="A12075">
        <v>13599</v>
      </c>
      <c r="B12075" t="s">
        <v>531</v>
      </c>
      <c r="C12075">
        <v>411</v>
      </c>
      <c r="D12075">
        <v>570</v>
      </c>
      <c r="E12075">
        <v>0</v>
      </c>
      <c r="F12075">
        <v>840</v>
      </c>
      <c r="G12075">
        <v>0</v>
      </c>
      <c r="H12075" t="s">
        <v>16971</v>
      </c>
      <c r="I12075">
        <v>13599</v>
      </c>
      <c r="J12075" t="e">
        <f>VLOOKUP(E12075,DSSpieler!A:B,2,FALSE)</f>
        <v>#N/A</v>
      </c>
    </row>
    <row r="12076" spans="1:10" x14ac:dyDescent="0.25">
      <c r="A12076">
        <v>13600</v>
      </c>
      <c r="B12076" t="s">
        <v>531</v>
      </c>
      <c r="C12076">
        <v>465</v>
      </c>
      <c r="D12076">
        <v>609</v>
      </c>
      <c r="E12076">
        <v>0</v>
      </c>
      <c r="F12076">
        <v>234</v>
      </c>
      <c r="G12076">
        <v>0</v>
      </c>
      <c r="H12076" t="s">
        <v>16972</v>
      </c>
      <c r="I12076">
        <v>13600</v>
      </c>
      <c r="J12076" t="e">
        <f>VLOOKUP(E12076,DSSpieler!A:B,2,FALSE)</f>
        <v>#N/A</v>
      </c>
    </row>
    <row r="12077" spans="1:10" x14ac:dyDescent="0.25">
      <c r="A12077">
        <v>13601</v>
      </c>
      <c r="B12077" t="s">
        <v>531</v>
      </c>
      <c r="C12077">
        <v>438</v>
      </c>
      <c r="D12077">
        <v>598</v>
      </c>
      <c r="E12077">
        <v>0</v>
      </c>
      <c r="F12077">
        <v>178</v>
      </c>
      <c r="G12077">
        <v>0</v>
      </c>
      <c r="H12077" t="s">
        <v>16973</v>
      </c>
      <c r="I12077">
        <v>13601</v>
      </c>
      <c r="J12077" t="e">
        <f>VLOOKUP(E12077,DSSpieler!A:B,2,FALSE)</f>
        <v>#N/A</v>
      </c>
    </row>
    <row r="12078" spans="1:10" x14ac:dyDescent="0.25">
      <c r="A12078">
        <v>13602</v>
      </c>
      <c r="B12078" t="s">
        <v>531</v>
      </c>
      <c r="C12078">
        <v>528</v>
      </c>
      <c r="D12078">
        <v>608</v>
      </c>
      <c r="E12078">
        <v>0</v>
      </c>
      <c r="F12078">
        <v>94</v>
      </c>
      <c r="G12078">
        <v>0</v>
      </c>
      <c r="H12078" t="s">
        <v>16974</v>
      </c>
      <c r="I12078">
        <v>13602</v>
      </c>
      <c r="J12078" t="e">
        <f>VLOOKUP(E12078,DSSpieler!A:B,2,FALSE)</f>
        <v>#N/A</v>
      </c>
    </row>
    <row r="12079" spans="1:10" x14ac:dyDescent="0.25">
      <c r="A12079">
        <v>13603</v>
      </c>
      <c r="B12079" t="s">
        <v>34704</v>
      </c>
      <c r="C12079">
        <v>589</v>
      </c>
      <c r="D12079">
        <v>432</v>
      </c>
      <c r="E12079">
        <v>1577201098</v>
      </c>
      <c r="F12079">
        <v>1640</v>
      </c>
      <c r="G12079">
        <v>0</v>
      </c>
      <c r="H12079" t="s">
        <v>16975</v>
      </c>
      <c r="I12079">
        <v>13603</v>
      </c>
      <c r="J12079" t="str">
        <f>VLOOKUP(E12079,DSSpieler!A:B,2,FALSE)</f>
        <v>Thor Odinson</v>
      </c>
    </row>
    <row r="12080" spans="1:10" x14ac:dyDescent="0.25">
      <c r="A12080">
        <v>13604</v>
      </c>
      <c r="B12080" t="s">
        <v>531</v>
      </c>
      <c r="C12080">
        <v>412</v>
      </c>
      <c r="D12080">
        <v>574</v>
      </c>
      <c r="E12080">
        <v>0</v>
      </c>
      <c r="F12080">
        <v>920</v>
      </c>
      <c r="G12080">
        <v>0</v>
      </c>
      <c r="H12080" t="s">
        <v>16976</v>
      </c>
      <c r="I12080">
        <v>13604</v>
      </c>
      <c r="J12080" t="e">
        <f>VLOOKUP(E12080,DSSpieler!A:B,2,FALSE)</f>
        <v>#N/A</v>
      </c>
    </row>
    <row r="12081" spans="1:10" x14ac:dyDescent="0.25">
      <c r="A12081">
        <v>13605</v>
      </c>
      <c r="B12081" t="s">
        <v>531</v>
      </c>
      <c r="C12081">
        <v>416</v>
      </c>
      <c r="D12081">
        <v>577</v>
      </c>
      <c r="E12081">
        <v>0</v>
      </c>
      <c r="F12081">
        <v>265</v>
      </c>
      <c r="G12081">
        <v>0</v>
      </c>
      <c r="H12081" t="s">
        <v>16977</v>
      </c>
      <c r="I12081">
        <v>13605</v>
      </c>
      <c r="J12081" t="e">
        <f>VLOOKUP(E12081,DSSpieler!A:B,2,FALSE)</f>
        <v>#N/A</v>
      </c>
    </row>
    <row r="12082" spans="1:10" x14ac:dyDescent="0.25">
      <c r="A12082">
        <v>13606</v>
      </c>
      <c r="B12082" t="s">
        <v>2242</v>
      </c>
      <c r="C12082">
        <v>536</v>
      </c>
      <c r="D12082">
        <v>489</v>
      </c>
      <c r="E12082">
        <v>1576247329</v>
      </c>
      <c r="F12082">
        <v>3282</v>
      </c>
      <c r="G12082">
        <v>0</v>
      </c>
      <c r="H12082" t="s">
        <v>16978</v>
      </c>
      <c r="I12082">
        <v>13606</v>
      </c>
      <c r="J12082" t="str">
        <f>VLOOKUP(E12082,DSSpieler!A:B,2,FALSE)</f>
        <v>J M K</v>
      </c>
    </row>
    <row r="12083" spans="1:10" x14ac:dyDescent="0.25">
      <c r="A12083">
        <v>13608</v>
      </c>
      <c r="B12083" t="s">
        <v>531</v>
      </c>
      <c r="C12083">
        <v>394</v>
      </c>
      <c r="D12083">
        <v>536</v>
      </c>
      <c r="E12083">
        <v>0</v>
      </c>
      <c r="F12083">
        <v>378</v>
      </c>
      <c r="G12083">
        <v>0</v>
      </c>
      <c r="H12083" t="s">
        <v>16979</v>
      </c>
      <c r="I12083">
        <v>13608</v>
      </c>
      <c r="J12083" t="e">
        <f>VLOOKUP(E12083,DSSpieler!A:B,2,FALSE)</f>
        <v>#N/A</v>
      </c>
    </row>
    <row r="12084" spans="1:10" x14ac:dyDescent="0.25">
      <c r="A12084">
        <v>13609</v>
      </c>
      <c r="B12084" t="s">
        <v>531</v>
      </c>
      <c r="C12084">
        <v>610</v>
      </c>
      <c r="D12084">
        <v>470</v>
      </c>
      <c r="E12084">
        <v>0</v>
      </c>
      <c r="F12084">
        <v>295</v>
      </c>
      <c r="G12084">
        <v>0</v>
      </c>
      <c r="H12084" t="s">
        <v>16980</v>
      </c>
      <c r="I12084">
        <v>13609</v>
      </c>
      <c r="J12084" t="e">
        <f>VLOOKUP(E12084,DSSpieler!A:B,2,FALSE)</f>
        <v>#N/A</v>
      </c>
    </row>
    <row r="12085" spans="1:10" x14ac:dyDescent="0.25">
      <c r="A12085">
        <v>13610</v>
      </c>
      <c r="B12085">
        <v>0</v>
      </c>
      <c r="C12085">
        <v>538</v>
      </c>
      <c r="D12085">
        <v>606</v>
      </c>
      <c r="E12085">
        <v>1577044901</v>
      </c>
      <c r="F12085">
        <v>5742</v>
      </c>
      <c r="G12085">
        <v>0</v>
      </c>
      <c r="H12085" t="s">
        <v>16981</v>
      </c>
      <c r="I12085">
        <v>13610</v>
      </c>
      <c r="J12085" t="str">
        <f>VLOOKUP(E12085,DSSpieler!A:B,2,FALSE)</f>
        <v>RexWolke</v>
      </c>
    </row>
    <row r="12086" spans="1:10" x14ac:dyDescent="0.25">
      <c r="A12086">
        <v>13611</v>
      </c>
      <c r="B12086" t="s">
        <v>34705</v>
      </c>
      <c r="C12086">
        <v>407</v>
      </c>
      <c r="D12086">
        <v>498</v>
      </c>
      <c r="E12086">
        <v>1577194180</v>
      </c>
      <c r="F12086">
        <v>786</v>
      </c>
      <c r="G12086">
        <v>0</v>
      </c>
      <c r="H12086" t="s">
        <v>16982</v>
      </c>
      <c r="I12086">
        <v>13611</v>
      </c>
      <c r="J12086" t="str">
        <f>VLOOKUP(E12086,DSSpieler!A:B,2,FALSE)</f>
        <v>Dr.Stein</v>
      </c>
    </row>
    <row r="12087" spans="1:10" x14ac:dyDescent="0.25">
      <c r="A12087">
        <v>13612</v>
      </c>
      <c r="B12087" t="s">
        <v>531</v>
      </c>
      <c r="C12087">
        <v>477</v>
      </c>
      <c r="D12087">
        <v>492</v>
      </c>
      <c r="E12087">
        <v>0</v>
      </c>
      <c r="F12087">
        <v>318</v>
      </c>
      <c r="G12087">
        <v>0</v>
      </c>
      <c r="H12087" t="s">
        <v>16983</v>
      </c>
      <c r="I12087">
        <v>13612</v>
      </c>
      <c r="J12087" t="e">
        <f>VLOOKUP(E12087,DSSpieler!A:B,2,FALSE)</f>
        <v>#N/A</v>
      </c>
    </row>
    <row r="12088" spans="1:10" x14ac:dyDescent="0.25">
      <c r="A12088">
        <v>13613</v>
      </c>
      <c r="B12088" t="s">
        <v>604</v>
      </c>
      <c r="C12088">
        <v>401</v>
      </c>
      <c r="D12088">
        <v>502</v>
      </c>
      <c r="E12088">
        <v>1577164462</v>
      </c>
      <c r="F12088">
        <v>2842</v>
      </c>
      <c r="G12088">
        <v>0</v>
      </c>
      <c r="H12088" t="s">
        <v>16984</v>
      </c>
      <c r="I12088">
        <v>13613</v>
      </c>
      <c r="J12088" t="str">
        <f>VLOOKUP(E12088,DSSpieler!A:B,2,FALSE)</f>
        <v>azog83</v>
      </c>
    </row>
    <row r="12089" spans="1:10" x14ac:dyDescent="0.25">
      <c r="A12089">
        <v>13614</v>
      </c>
      <c r="B12089" t="s">
        <v>531</v>
      </c>
      <c r="C12089">
        <v>605</v>
      </c>
      <c r="D12089">
        <v>459</v>
      </c>
      <c r="E12089">
        <v>0</v>
      </c>
      <c r="F12089">
        <v>279</v>
      </c>
      <c r="G12089">
        <v>0</v>
      </c>
      <c r="H12089" t="s">
        <v>16985</v>
      </c>
      <c r="I12089">
        <v>13614</v>
      </c>
      <c r="J12089" t="e">
        <f>VLOOKUP(E12089,DSSpieler!A:B,2,FALSE)</f>
        <v>#N/A</v>
      </c>
    </row>
    <row r="12090" spans="1:10" x14ac:dyDescent="0.25">
      <c r="A12090">
        <v>13615</v>
      </c>
      <c r="B12090" t="s">
        <v>34706</v>
      </c>
      <c r="C12090">
        <v>539</v>
      </c>
      <c r="D12090">
        <v>394</v>
      </c>
      <c r="E12090">
        <v>10020820</v>
      </c>
      <c r="F12090">
        <v>3840</v>
      </c>
      <c r="G12090">
        <v>0</v>
      </c>
      <c r="H12090" t="s">
        <v>16986</v>
      </c>
      <c r="I12090">
        <v>13615</v>
      </c>
      <c r="J12090" t="str">
        <f>VLOOKUP(E12090,DSSpieler!A:B,2,FALSE)</f>
        <v>RaVeR 91</v>
      </c>
    </row>
    <row r="12091" spans="1:10" x14ac:dyDescent="0.25">
      <c r="A12091">
        <v>13616</v>
      </c>
      <c r="B12091" t="s">
        <v>531</v>
      </c>
      <c r="C12091">
        <v>579</v>
      </c>
      <c r="D12091">
        <v>418</v>
      </c>
      <c r="E12091">
        <v>0</v>
      </c>
      <c r="F12091">
        <v>169</v>
      </c>
      <c r="G12091">
        <v>0</v>
      </c>
      <c r="H12091" t="s">
        <v>16987</v>
      </c>
      <c r="I12091">
        <v>13616</v>
      </c>
      <c r="J12091" t="e">
        <f>VLOOKUP(E12091,DSSpieler!A:B,2,FALSE)</f>
        <v>#N/A</v>
      </c>
    </row>
    <row r="12092" spans="1:10" x14ac:dyDescent="0.25">
      <c r="A12092">
        <v>13617</v>
      </c>
      <c r="B12092" t="s">
        <v>34707</v>
      </c>
      <c r="C12092">
        <v>506</v>
      </c>
      <c r="D12092">
        <v>616</v>
      </c>
      <c r="E12092">
        <v>1577000579</v>
      </c>
      <c r="F12092">
        <v>4627</v>
      </c>
      <c r="G12092">
        <v>0</v>
      </c>
      <c r="H12092" t="s">
        <v>16988</v>
      </c>
      <c r="I12092">
        <v>13617</v>
      </c>
      <c r="J12092" t="str">
        <f>VLOOKUP(E12092,DSSpieler!A:B,2,FALSE)</f>
        <v>Account umbenennen</v>
      </c>
    </row>
    <row r="12093" spans="1:10" x14ac:dyDescent="0.25">
      <c r="A12093">
        <v>13618</v>
      </c>
      <c r="B12093" t="s">
        <v>531</v>
      </c>
      <c r="C12093">
        <v>486</v>
      </c>
      <c r="D12093">
        <v>612</v>
      </c>
      <c r="E12093">
        <v>0</v>
      </c>
      <c r="F12093">
        <v>195</v>
      </c>
      <c r="G12093">
        <v>0</v>
      </c>
      <c r="H12093" t="s">
        <v>16989</v>
      </c>
      <c r="I12093">
        <v>13618</v>
      </c>
      <c r="J12093" t="e">
        <f>VLOOKUP(E12093,DSSpieler!A:B,2,FALSE)</f>
        <v>#N/A</v>
      </c>
    </row>
    <row r="12094" spans="1:10" x14ac:dyDescent="0.25">
      <c r="A12094">
        <v>13619</v>
      </c>
      <c r="B12094" t="s">
        <v>531</v>
      </c>
      <c r="C12094">
        <v>525</v>
      </c>
      <c r="D12094">
        <v>432</v>
      </c>
      <c r="E12094">
        <v>0</v>
      </c>
      <c r="F12094">
        <v>895</v>
      </c>
      <c r="G12094">
        <v>0</v>
      </c>
      <c r="H12094" t="s">
        <v>16990</v>
      </c>
      <c r="I12094">
        <v>13619</v>
      </c>
      <c r="J12094" t="e">
        <f>VLOOKUP(E12094,DSSpieler!A:B,2,FALSE)</f>
        <v>#N/A</v>
      </c>
    </row>
    <row r="12095" spans="1:10" x14ac:dyDescent="0.25">
      <c r="A12095">
        <v>13620</v>
      </c>
      <c r="B12095" t="s">
        <v>531</v>
      </c>
      <c r="C12095">
        <v>491</v>
      </c>
      <c r="D12095">
        <v>611</v>
      </c>
      <c r="E12095">
        <v>0</v>
      </c>
      <c r="F12095">
        <v>815</v>
      </c>
      <c r="G12095">
        <v>0</v>
      </c>
      <c r="H12095" t="s">
        <v>16991</v>
      </c>
      <c r="I12095">
        <v>13620</v>
      </c>
      <c r="J12095" t="e">
        <f>VLOOKUP(E12095,DSSpieler!A:B,2,FALSE)</f>
        <v>#N/A</v>
      </c>
    </row>
    <row r="12096" spans="1:10" x14ac:dyDescent="0.25">
      <c r="A12096">
        <v>13621</v>
      </c>
      <c r="B12096" t="s">
        <v>531</v>
      </c>
      <c r="C12096">
        <v>454</v>
      </c>
      <c r="D12096">
        <v>395</v>
      </c>
      <c r="E12096">
        <v>0</v>
      </c>
      <c r="F12096">
        <v>173</v>
      </c>
      <c r="G12096">
        <v>0</v>
      </c>
      <c r="H12096" t="s">
        <v>16992</v>
      </c>
      <c r="I12096">
        <v>13621</v>
      </c>
      <c r="J12096" t="e">
        <f>VLOOKUP(E12096,DSSpieler!A:B,2,FALSE)</f>
        <v>#N/A</v>
      </c>
    </row>
    <row r="12097" spans="1:10" x14ac:dyDescent="0.25">
      <c r="A12097">
        <v>13622</v>
      </c>
      <c r="B12097" t="s">
        <v>531</v>
      </c>
      <c r="C12097">
        <v>502</v>
      </c>
      <c r="D12097">
        <v>389</v>
      </c>
      <c r="E12097">
        <v>0</v>
      </c>
      <c r="F12097">
        <v>332</v>
      </c>
      <c r="G12097">
        <v>0</v>
      </c>
      <c r="H12097" t="s">
        <v>16993</v>
      </c>
      <c r="I12097">
        <v>13622</v>
      </c>
      <c r="J12097" t="e">
        <f>VLOOKUP(E12097,DSSpieler!A:B,2,FALSE)</f>
        <v>#N/A</v>
      </c>
    </row>
    <row r="12098" spans="1:10" x14ac:dyDescent="0.25">
      <c r="A12098">
        <v>13623</v>
      </c>
      <c r="B12098" t="s">
        <v>34708</v>
      </c>
      <c r="C12098">
        <v>394</v>
      </c>
      <c r="D12098">
        <v>538</v>
      </c>
      <c r="E12098">
        <v>9457258</v>
      </c>
      <c r="F12098">
        <v>4291</v>
      </c>
      <c r="G12098">
        <v>0</v>
      </c>
      <c r="H12098" t="s">
        <v>16994</v>
      </c>
      <c r="I12098">
        <v>13623</v>
      </c>
      <c r="J12098" t="str">
        <f>VLOOKUP(E12098,DSSpieler!A:B,2,FALSE)</f>
        <v>Therux1122</v>
      </c>
    </row>
    <row r="12099" spans="1:10" x14ac:dyDescent="0.25">
      <c r="A12099">
        <v>13626</v>
      </c>
      <c r="B12099" t="s">
        <v>34709</v>
      </c>
      <c r="C12099">
        <v>429</v>
      </c>
      <c r="D12099">
        <v>408</v>
      </c>
      <c r="E12099">
        <v>1577199989</v>
      </c>
      <c r="F12099">
        <v>4335</v>
      </c>
      <c r="G12099">
        <v>0</v>
      </c>
      <c r="H12099" t="s">
        <v>16995</v>
      </c>
      <c r="I12099">
        <v>13626</v>
      </c>
      <c r="J12099" t="str">
        <f>VLOOKUP(E12099,DSSpieler!A:B,2,FALSE)</f>
        <v>KarlDerGroße</v>
      </c>
    </row>
    <row r="12100" spans="1:10" x14ac:dyDescent="0.25">
      <c r="A12100">
        <v>13627</v>
      </c>
      <c r="B12100" t="s">
        <v>34710</v>
      </c>
      <c r="C12100">
        <v>394</v>
      </c>
      <c r="D12100">
        <v>533</v>
      </c>
      <c r="E12100">
        <v>9457306</v>
      </c>
      <c r="F12100">
        <v>6279</v>
      </c>
      <c r="G12100">
        <v>0</v>
      </c>
      <c r="H12100" t="s">
        <v>16996</v>
      </c>
      <c r="I12100">
        <v>13627</v>
      </c>
      <c r="J12100" t="str">
        <f>VLOOKUP(E12100,DSSpieler!A:B,2,FALSE)</f>
        <v>xxrexixx112</v>
      </c>
    </row>
    <row r="12101" spans="1:10" x14ac:dyDescent="0.25">
      <c r="A12101">
        <v>13628</v>
      </c>
      <c r="B12101" t="s">
        <v>34711</v>
      </c>
      <c r="C12101">
        <v>432</v>
      </c>
      <c r="D12101">
        <v>404</v>
      </c>
      <c r="E12101">
        <v>1577190187</v>
      </c>
      <c r="F12101">
        <v>3952</v>
      </c>
      <c r="G12101">
        <v>0</v>
      </c>
      <c r="H12101" t="s">
        <v>16997</v>
      </c>
      <c r="I12101">
        <v>13628</v>
      </c>
      <c r="J12101" t="str">
        <f>VLOOKUP(E12101,DSSpieler!A:B,2,FALSE)</f>
        <v>henhil24</v>
      </c>
    </row>
    <row r="12102" spans="1:10" x14ac:dyDescent="0.25">
      <c r="A12102">
        <v>13629</v>
      </c>
      <c r="B12102" t="s">
        <v>34712</v>
      </c>
      <c r="C12102">
        <v>541</v>
      </c>
      <c r="D12102">
        <v>606</v>
      </c>
      <c r="E12102">
        <v>1327189</v>
      </c>
      <c r="F12102">
        <v>5594</v>
      </c>
      <c r="G12102">
        <v>0</v>
      </c>
      <c r="H12102" t="s">
        <v>16998</v>
      </c>
      <c r="I12102">
        <v>13629</v>
      </c>
      <c r="J12102" t="str">
        <f>VLOOKUP(E12102,DSSpieler!A:B,2,FALSE)</f>
        <v>DerBoeseBub</v>
      </c>
    </row>
    <row r="12103" spans="1:10" x14ac:dyDescent="0.25">
      <c r="A12103">
        <v>13630</v>
      </c>
      <c r="B12103" t="s">
        <v>34713</v>
      </c>
      <c r="C12103">
        <v>393</v>
      </c>
      <c r="D12103">
        <v>528</v>
      </c>
      <c r="E12103">
        <v>1576783585</v>
      </c>
      <c r="F12103">
        <v>4938</v>
      </c>
      <c r="G12103">
        <v>0</v>
      </c>
      <c r="H12103" t="s">
        <v>16999</v>
      </c>
      <c r="I12103">
        <v>13630</v>
      </c>
      <c r="J12103" t="str">
        <f>VLOOKUP(E12103,DSSpieler!A:B,2,FALSE)</f>
        <v>Gillette Marcus</v>
      </c>
    </row>
    <row r="12104" spans="1:10" x14ac:dyDescent="0.25">
      <c r="A12104">
        <v>13632</v>
      </c>
      <c r="B12104" t="s">
        <v>531</v>
      </c>
      <c r="C12104">
        <v>396</v>
      </c>
      <c r="D12104">
        <v>554</v>
      </c>
      <c r="E12104">
        <v>0</v>
      </c>
      <c r="F12104">
        <v>436</v>
      </c>
      <c r="G12104">
        <v>0</v>
      </c>
      <c r="H12104" t="s">
        <v>17000</v>
      </c>
      <c r="I12104">
        <v>13632</v>
      </c>
      <c r="J12104" t="e">
        <f>VLOOKUP(E12104,DSSpieler!A:B,2,FALSE)</f>
        <v>#N/A</v>
      </c>
    </row>
    <row r="12105" spans="1:10" x14ac:dyDescent="0.25">
      <c r="A12105">
        <v>13633</v>
      </c>
      <c r="B12105">
        <v>1</v>
      </c>
      <c r="C12105">
        <v>542</v>
      </c>
      <c r="D12105">
        <v>606</v>
      </c>
      <c r="E12105">
        <v>1577044901</v>
      </c>
      <c r="F12105">
        <v>5017</v>
      </c>
      <c r="G12105">
        <v>0</v>
      </c>
      <c r="H12105" t="s">
        <v>17001</v>
      </c>
      <c r="I12105">
        <v>13633</v>
      </c>
      <c r="J12105" t="str">
        <f>VLOOKUP(E12105,DSSpieler!A:B,2,FALSE)</f>
        <v>RexWolke</v>
      </c>
    </row>
    <row r="12106" spans="1:10" x14ac:dyDescent="0.25">
      <c r="A12106">
        <v>13634</v>
      </c>
      <c r="B12106" t="s">
        <v>531</v>
      </c>
      <c r="C12106">
        <v>551</v>
      </c>
      <c r="D12106">
        <v>602</v>
      </c>
      <c r="E12106">
        <v>0</v>
      </c>
      <c r="F12106">
        <v>223</v>
      </c>
      <c r="G12106">
        <v>0</v>
      </c>
      <c r="H12106" t="s">
        <v>17002</v>
      </c>
      <c r="I12106">
        <v>13634</v>
      </c>
      <c r="J12106" t="e">
        <f>VLOOKUP(E12106,DSSpieler!A:B,2,FALSE)</f>
        <v>#N/A</v>
      </c>
    </row>
    <row r="12107" spans="1:10" x14ac:dyDescent="0.25">
      <c r="A12107">
        <v>13635</v>
      </c>
      <c r="B12107" t="s">
        <v>531</v>
      </c>
      <c r="C12107">
        <v>610</v>
      </c>
      <c r="D12107">
        <v>515</v>
      </c>
      <c r="E12107">
        <v>0</v>
      </c>
      <c r="F12107">
        <v>102</v>
      </c>
      <c r="G12107">
        <v>0</v>
      </c>
      <c r="H12107" t="s">
        <v>17003</v>
      </c>
      <c r="I12107">
        <v>13635</v>
      </c>
      <c r="J12107" t="e">
        <f>VLOOKUP(E12107,DSSpieler!A:B,2,FALSE)</f>
        <v>#N/A</v>
      </c>
    </row>
    <row r="12108" spans="1:10" x14ac:dyDescent="0.25">
      <c r="A12108">
        <v>13636</v>
      </c>
      <c r="B12108" t="s">
        <v>33870</v>
      </c>
      <c r="C12108">
        <v>543</v>
      </c>
      <c r="D12108">
        <v>611</v>
      </c>
      <c r="E12108">
        <v>1327189</v>
      </c>
      <c r="F12108">
        <v>6502</v>
      </c>
      <c r="G12108">
        <v>0</v>
      </c>
      <c r="H12108" t="s">
        <v>17004</v>
      </c>
      <c r="I12108">
        <v>13636</v>
      </c>
      <c r="J12108" t="str">
        <f>VLOOKUP(E12108,DSSpieler!A:B,2,FALSE)</f>
        <v>DerBoeseBub</v>
      </c>
    </row>
    <row r="12109" spans="1:10" x14ac:dyDescent="0.25">
      <c r="A12109">
        <v>13637</v>
      </c>
      <c r="B12109" t="s">
        <v>2243</v>
      </c>
      <c r="C12109">
        <v>539</v>
      </c>
      <c r="D12109">
        <v>607</v>
      </c>
      <c r="E12109">
        <v>10259310</v>
      </c>
      <c r="F12109">
        <v>4412</v>
      </c>
      <c r="G12109">
        <v>0</v>
      </c>
      <c r="H12109" t="s">
        <v>17005</v>
      </c>
      <c r="I12109">
        <v>13637</v>
      </c>
      <c r="J12109" t="str">
        <f>VLOOKUP(E12109,DSSpieler!A:B,2,FALSE)</f>
        <v>Mongo6000</v>
      </c>
    </row>
    <row r="12110" spans="1:10" x14ac:dyDescent="0.25">
      <c r="A12110">
        <v>13638</v>
      </c>
      <c r="B12110" t="s">
        <v>531</v>
      </c>
      <c r="C12110">
        <v>433</v>
      </c>
      <c r="D12110">
        <v>417</v>
      </c>
      <c r="E12110">
        <v>0</v>
      </c>
      <c r="F12110">
        <v>186</v>
      </c>
      <c r="G12110">
        <v>0</v>
      </c>
      <c r="H12110" t="s">
        <v>17006</v>
      </c>
      <c r="I12110">
        <v>13638</v>
      </c>
      <c r="J12110" t="e">
        <f>VLOOKUP(E12110,DSSpieler!A:B,2,FALSE)</f>
        <v>#N/A</v>
      </c>
    </row>
    <row r="12111" spans="1:10" x14ac:dyDescent="0.25">
      <c r="A12111">
        <v>13639</v>
      </c>
      <c r="B12111" t="s">
        <v>531</v>
      </c>
      <c r="C12111">
        <v>540</v>
      </c>
      <c r="D12111">
        <v>393</v>
      </c>
      <c r="E12111">
        <v>0</v>
      </c>
      <c r="F12111">
        <v>357</v>
      </c>
      <c r="G12111">
        <v>0</v>
      </c>
      <c r="H12111" t="s">
        <v>17007</v>
      </c>
      <c r="I12111">
        <v>13639</v>
      </c>
      <c r="J12111" t="e">
        <f>VLOOKUP(E12111,DSSpieler!A:B,2,FALSE)</f>
        <v>#N/A</v>
      </c>
    </row>
    <row r="12112" spans="1:10" x14ac:dyDescent="0.25">
      <c r="A12112">
        <v>13640</v>
      </c>
      <c r="B12112" t="s">
        <v>531</v>
      </c>
      <c r="C12112">
        <v>526</v>
      </c>
      <c r="D12112">
        <v>391</v>
      </c>
      <c r="E12112">
        <v>0</v>
      </c>
      <c r="F12112">
        <v>609</v>
      </c>
      <c r="G12112">
        <v>0</v>
      </c>
      <c r="H12112" t="s">
        <v>17008</v>
      </c>
      <c r="I12112">
        <v>13640</v>
      </c>
      <c r="J12112" t="e">
        <f>VLOOKUP(E12112,DSSpieler!A:B,2,FALSE)</f>
        <v>#N/A</v>
      </c>
    </row>
    <row r="12113" spans="1:10" x14ac:dyDescent="0.25">
      <c r="A12113">
        <v>13641</v>
      </c>
      <c r="B12113" t="s">
        <v>531</v>
      </c>
      <c r="C12113">
        <v>614</v>
      </c>
      <c r="D12113">
        <v>509</v>
      </c>
      <c r="E12113">
        <v>0</v>
      </c>
      <c r="F12113">
        <v>222</v>
      </c>
      <c r="G12113">
        <v>0</v>
      </c>
      <c r="H12113" t="s">
        <v>17009</v>
      </c>
      <c r="I12113">
        <v>13641</v>
      </c>
      <c r="J12113" t="e">
        <f>VLOOKUP(E12113,DSSpieler!A:B,2,FALSE)</f>
        <v>#N/A</v>
      </c>
    </row>
    <row r="12114" spans="1:10" x14ac:dyDescent="0.25">
      <c r="A12114">
        <v>13642</v>
      </c>
      <c r="B12114" t="s">
        <v>531</v>
      </c>
      <c r="C12114">
        <v>405</v>
      </c>
      <c r="D12114">
        <v>566</v>
      </c>
      <c r="E12114">
        <v>0</v>
      </c>
      <c r="F12114">
        <v>227</v>
      </c>
      <c r="G12114">
        <v>0</v>
      </c>
      <c r="H12114" t="s">
        <v>17010</v>
      </c>
      <c r="I12114">
        <v>13642</v>
      </c>
      <c r="J12114" t="e">
        <f>VLOOKUP(E12114,DSSpieler!A:B,2,FALSE)</f>
        <v>#N/A</v>
      </c>
    </row>
    <row r="12115" spans="1:10" x14ac:dyDescent="0.25">
      <c r="A12115">
        <v>13643</v>
      </c>
      <c r="B12115" t="s">
        <v>30817</v>
      </c>
      <c r="C12115">
        <v>586</v>
      </c>
      <c r="D12115">
        <v>519</v>
      </c>
      <c r="E12115">
        <v>1577170716</v>
      </c>
      <c r="F12115">
        <v>3149</v>
      </c>
      <c r="G12115">
        <v>0</v>
      </c>
      <c r="H12115" t="s">
        <v>17011</v>
      </c>
      <c r="I12115">
        <v>13643</v>
      </c>
      <c r="J12115" t="str">
        <f>VLOOKUP(E12115,DSSpieler!A:B,2,FALSE)</f>
        <v>Perser-Krieger</v>
      </c>
    </row>
    <row r="12116" spans="1:10" x14ac:dyDescent="0.25">
      <c r="A12116">
        <v>13644</v>
      </c>
      <c r="B12116" t="s">
        <v>531</v>
      </c>
      <c r="C12116">
        <v>615</v>
      </c>
      <c r="D12116">
        <v>507</v>
      </c>
      <c r="E12116">
        <v>0</v>
      </c>
      <c r="F12116">
        <v>102</v>
      </c>
      <c r="G12116">
        <v>0</v>
      </c>
      <c r="H12116" t="s">
        <v>17012</v>
      </c>
      <c r="I12116">
        <v>13644</v>
      </c>
      <c r="J12116" t="e">
        <f>VLOOKUP(E12116,DSSpieler!A:B,2,FALSE)</f>
        <v>#N/A</v>
      </c>
    </row>
    <row r="12117" spans="1:10" x14ac:dyDescent="0.25">
      <c r="A12117">
        <v>13645</v>
      </c>
      <c r="B12117" t="s">
        <v>34714</v>
      </c>
      <c r="C12117">
        <v>447</v>
      </c>
      <c r="D12117">
        <v>531</v>
      </c>
      <c r="E12117">
        <v>9551701</v>
      </c>
      <c r="F12117">
        <v>4545</v>
      </c>
      <c r="G12117">
        <v>0</v>
      </c>
      <c r="H12117" t="s">
        <v>17013</v>
      </c>
      <c r="I12117">
        <v>13645</v>
      </c>
      <c r="J12117" t="str">
        <f>VLOOKUP(E12117,DSSpieler!A:B,2,FALSE)</f>
        <v>OJO der Große</v>
      </c>
    </row>
    <row r="12118" spans="1:10" x14ac:dyDescent="0.25">
      <c r="A12118">
        <v>13646</v>
      </c>
      <c r="B12118" t="s">
        <v>34715</v>
      </c>
      <c r="C12118">
        <v>501</v>
      </c>
      <c r="D12118">
        <v>384</v>
      </c>
      <c r="E12118">
        <v>7654698</v>
      </c>
      <c r="F12118">
        <v>2378</v>
      </c>
      <c r="G12118">
        <v>0</v>
      </c>
      <c r="H12118" t="s">
        <v>17014</v>
      </c>
      <c r="I12118">
        <v>13646</v>
      </c>
      <c r="J12118" t="str">
        <f>VLOOKUP(E12118,DSSpieler!A:B,2,FALSE)</f>
        <v>Vinfox2</v>
      </c>
    </row>
    <row r="12119" spans="1:10" x14ac:dyDescent="0.25">
      <c r="A12119">
        <v>13647</v>
      </c>
      <c r="B12119" t="s">
        <v>34716</v>
      </c>
      <c r="C12119">
        <v>538</v>
      </c>
      <c r="D12119">
        <v>609</v>
      </c>
      <c r="E12119">
        <v>10259310</v>
      </c>
      <c r="F12119">
        <v>4919</v>
      </c>
      <c r="G12119">
        <v>0</v>
      </c>
      <c r="H12119" t="s">
        <v>17015</v>
      </c>
      <c r="I12119">
        <v>13647</v>
      </c>
      <c r="J12119" t="str">
        <f>VLOOKUP(E12119,DSSpieler!A:B,2,FALSE)</f>
        <v>Mongo6000</v>
      </c>
    </row>
    <row r="12120" spans="1:10" x14ac:dyDescent="0.25">
      <c r="A12120">
        <v>13648</v>
      </c>
      <c r="B12120" t="s">
        <v>34717</v>
      </c>
      <c r="C12120">
        <v>592</v>
      </c>
      <c r="D12120">
        <v>562</v>
      </c>
      <c r="E12120">
        <v>1576935425</v>
      </c>
      <c r="F12120">
        <v>625</v>
      </c>
      <c r="G12120">
        <v>0</v>
      </c>
      <c r="H12120" t="s">
        <v>17016</v>
      </c>
      <c r="I12120">
        <v>13648</v>
      </c>
      <c r="J12120" t="str">
        <f>VLOOKUP(E12120,DSSpieler!A:B,2,FALSE)</f>
        <v>bendermeyang</v>
      </c>
    </row>
    <row r="12121" spans="1:10" x14ac:dyDescent="0.25">
      <c r="A12121">
        <v>13649</v>
      </c>
      <c r="B12121" t="s">
        <v>34718</v>
      </c>
      <c r="C12121">
        <v>400</v>
      </c>
      <c r="D12121">
        <v>443</v>
      </c>
      <c r="E12121">
        <v>1575967084</v>
      </c>
      <c r="F12121">
        <v>152</v>
      </c>
      <c r="G12121">
        <v>0</v>
      </c>
      <c r="H12121" t="s">
        <v>17017</v>
      </c>
      <c r="I12121">
        <v>13649</v>
      </c>
      <c r="J12121" t="str">
        <f>VLOOKUP(E12121,DSSpieler!A:B,2,FALSE)</f>
        <v>Black.Hawk</v>
      </c>
    </row>
    <row r="12122" spans="1:10" x14ac:dyDescent="0.25">
      <c r="A12122">
        <v>13650</v>
      </c>
      <c r="B12122" t="s">
        <v>531</v>
      </c>
      <c r="C12122">
        <v>528</v>
      </c>
      <c r="D12122">
        <v>610</v>
      </c>
      <c r="E12122">
        <v>0</v>
      </c>
      <c r="F12122">
        <v>319</v>
      </c>
      <c r="G12122">
        <v>0</v>
      </c>
      <c r="H12122" t="s">
        <v>17018</v>
      </c>
      <c r="I12122">
        <v>13650</v>
      </c>
      <c r="J12122" t="e">
        <f>VLOOKUP(E12122,DSSpieler!A:B,2,FALSE)</f>
        <v>#N/A</v>
      </c>
    </row>
    <row r="12123" spans="1:10" x14ac:dyDescent="0.25">
      <c r="A12123">
        <v>13651</v>
      </c>
      <c r="B12123" t="s">
        <v>34719</v>
      </c>
      <c r="C12123">
        <v>567</v>
      </c>
      <c r="D12123">
        <v>407</v>
      </c>
      <c r="E12123">
        <v>10159854</v>
      </c>
      <c r="F12123">
        <v>156</v>
      </c>
      <c r="G12123">
        <v>0</v>
      </c>
      <c r="H12123" t="s">
        <v>17019</v>
      </c>
      <c r="I12123">
        <v>13651</v>
      </c>
      <c r="J12123" t="str">
        <f>VLOOKUP(E12123,DSSpieler!A:B,2,FALSE)</f>
        <v>Big Crazy Horse</v>
      </c>
    </row>
    <row r="12124" spans="1:10" x14ac:dyDescent="0.25">
      <c r="A12124">
        <v>13652</v>
      </c>
      <c r="B12124" t="s">
        <v>34720</v>
      </c>
      <c r="C12124">
        <v>392</v>
      </c>
      <c r="D12124">
        <v>460</v>
      </c>
      <c r="E12124">
        <v>9628170</v>
      </c>
      <c r="F12124">
        <v>4412</v>
      </c>
      <c r="G12124">
        <v>0</v>
      </c>
      <c r="H12124" t="s">
        <v>473</v>
      </c>
      <c r="I12124">
        <v>13652</v>
      </c>
      <c r="J12124" t="str">
        <f>VLOOKUP(E12124,DSSpieler!A:B,2,FALSE)</f>
        <v>BruderAbraham</v>
      </c>
    </row>
    <row r="12125" spans="1:10" x14ac:dyDescent="0.25">
      <c r="A12125">
        <v>13653</v>
      </c>
      <c r="B12125" t="s">
        <v>531</v>
      </c>
      <c r="C12125">
        <v>505</v>
      </c>
      <c r="D12125">
        <v>616</v>
      </c>
      <c r="E12125">
        <v>0</v>
      </c>
      <c r="F12125">
        <v>63</v>
      </c>
      <c r="G12125">
        <v>0</v>
      </c>
      <c r="H12125" t="s">
        <v>17020</v>
      </c>
      <c r="I12125">
        <v>13653</v>
      </c>
      <c r="J12125" t="e">
        <f>VLOOKUP(E12125,DSSpieler!A:B,2,FALSE)</f>
        <v>#N/A</v>
      </c>
    </row>
    <row r="12126" spans="1:10" x14ac:dyDescent="0.25">
      <c r="A12126">
        <v>13654</v>
      </c>
      <c r="B12126" t="s">
        <v>34721</v>
      </c>
      <c r="C12126">
        <v>567</v>
      </c>
      <c r="D12126">
        <v>406</v>
      </c>
      <c r="E12126">
        <v>1577200732</v>
      </c>
      <c r="F12126">
        <v>1317</v>
      </c>
      <c r="G12126">
        <v>0</v>
      </c>
      <c r="H12126" t="s">
        <v>17021</v>
      </c>
      <c r="I12126">
        <v>13654</v>
      </c>
      <c r="J12126" t="str">
        <f>VLOOKUP(E12126,DSSpieler!A:B,2,FALSE)</f>
        <v>DerHanner</v>
      </c>
    </row>
    <row r="12127" spans="1:10" x14ac:dyDescent="0.25">
      <c r="A12127">
        <v>13655</v>
      </c>
      <c r="B12127" t="s">
        <v>531</v>
      </c>
      <c r="C12127">
        <v>616</v>
      </c>
      <c r="D12127">
        <v>493</v>
      </c>
      <c r="E12127">
        <v>0</v>
      </c>
      <c r="F12127">
        <v>264</v>
      </c>
      <c r="G12127">
        <v>0</v>
      </c>
      <c r="H12127" t="s">
        <v>17022</v>
      </c>
      <c r="I12127">
        <v>13655</v>
      </c>
      <c r="J12127" t="e">
        <f>VLOOKUP(E12127,DSSpieler!A:B,2,FALSE)</f>
        <v>#N/A</v>
      </c>
    </row>
    <row r="12128" spans="1:10" x14ac:dyDescent="0.25">
      <c r="A12128">
        <v>13656</v>
      </c>
      <c r="B12128" t="s">
        <v>31711</v>
      </c>
      <c r="C12128">
        <v>577</v>
      </c>
      <c r="D12128">
        <v>566</v>
      </c>
      <c r="E12128">
        <v>8639312</v>
      </c>
      <c r="F12128">
        <v>6152</v>
      </c>
      <c r="G12128">
        <v>0</v>
      </c>
      <c r="H12128" t="s">
        <v>17023</v>
      </c>
      <c r="I12128">
        <v>13656</v>
      </c>
      <c r="J12128" t="str">
        <f>VLOOKUP(E12128,DSSpieler!A:B,2,FALSE)</f>
        <v>J--O</v>
      </c>
    </row>
    <row r="12129" spans="1:10" x14ac:dyDescent="0.25">
      <c r="A12129">
        <v>13657</v>
      </c>
      <c r="B12129" t="s">
        <v>531</v>
      </c>
      <c r="C12129">
        <v>537</v>
      </c>
      <c r="D12129">
        <v>407</v>
      </c>
      <c r="E12129">
        <v>0</v>
      </c>
      <c r="F12129">
        <v>1501</v>
      </c>
      <c r="G12129">
        <v>0</v>
      </c>
      <c r="H12129" t="s">
        <v>17024</v>
      </c>
      <c r="I12129">
        <v>13657</v>
      </c>
      <c r="J12129" t="e">
        <f>VLOOKUP(E12129,DSSpieler!A:B,2,FALSE)</f>
        <v>#N/A</v>
      </c>
    </row>
    <row r="12130" spans="1:10" x14ac:dyDescent="0.25">
      <c r="A12130">
        <v>13658</v>
      </c>
      <c r="B12130" t="s">
        <v>531</v>
      </c>
      <c r="C12130">
        <v>558</v>
      </c>
      <c r="D12130">
        <v>405</v>
      </c>
      <c r="E12130">
        <v>0</v>
      </c>
      <c r="F12130">
        <v>219</v>
      </c>
      <c r="G12130">
        <v>0</v>
      </c>
      <c r="H12130" t="s">
        <v>17025</v>
      </c>
      <c r="I12130">
        <v>13658</v>
      </c>
      <c r="J12130" t="e">
        <f>VLOOKUP(E12130,DSSpieler!A:B,2,FALSE)</f>
        <v>#N/A</v>
      </c>
    </row>
    <row r="12131" spans="1:10" x14ac:dyDescent="0.25">
      <c r="A12131">
        <v>13659</v>
      </c>
      <c r="B12131" t="s">
        <v>34722</v>
      </c>
      <c r="C12131">
        <v>468</v>
      </c>
      <c r="D12131">
        <v>389</v>
      </c>
      <c r="E12131">
        <v>1575967068</v>
      </c>
      <c r="F12131">
        <v>162</v>
      </c>
      <c r="G12131">
        <v>0</v>
      </c>
      <c r="H12131" t="s">
        <v>17026</v>
      </c>
      <c r="I12131">
        <v>13659</v>
      </c>
      <c r="J12131" t="str">
        <f>VLOOKUP(E12131,DSSpieler!A:B,2,FALSE)</f>
        <v>Tecumseh</v>
      </c>
    </row>
    <row r="12132" spans="1:10" x14ac:dyDescent="0.25">
      <c r="A12132">
        <v>13660</v>
      </c>
      <c r="B12132" t="s">
        <v>2101</v>
      </c>
      <c r="C12132">
        <v>469</v>
      </c>
      <c r="D12132">
        <v>395</v>
      </c>
      <c r="E12132">
        <v>1576958889</v>
      </c>
      <c r="F12132">
        <v>4563</v>
      </c>
      <c r="G12132">
        <v>0</v>
      </c>
      <c r="H12132" t="s">
        <v>17027</v>
      </c>
      <c r="I12132">
        <v>13660</v>
      </c>
      <c r="J12132" t="str">
        <f>VLOOKUP(E12132,DSSpieler!A:B,2,FALSE)</f>
        <v>J-P-M</v>
      </c>
    </row>
    <row r="12133" spans="1:10" x14ac:dyDescent="0.25">
      <c r="A12133">
        <v>13661</v>
      </c>
      <c r="B12133" t="s">
        <v>34723</v>
      </c>
      <c r="C12133">
        <v>493</v>
      </c>
      <c r="D12133">
        <v>388</v>
      </c>
      <c r="E12133">
        <v>1576384260</v>
      </c>
      <c r="F12133">
        <v>4502</v>
      </c>
      <c r="G12133">
        <v>0</v>
      </c>
      <c r="H12133" t="s">
        <v>17028</v>
      </c>
      <c r="I12133">
        <v>13661</v>
      </c>
      <c r="J12133" t="str">
        <f>VLOOKUP(E12133,DSSpieler!A:B,2,FALSE)</f>
        <v>Asgardinger</v>
      </c>
    </row>
    <row r="12134" spans="1:10" x14ac:dyDescent="0.25">
      <c r="A12134">
        <v>13662</v>
      </c>
      <c r="B12134" t="s">
        <v>34724</v>
      </c>
      <c r="C12134">
        <v>496</v>
      </c>
      <c r="D12134">
        <v>384</v>
      </c>
      <c r="E12134">
        <v>1577200092</v>
      </c>
      <c r="F12134">
        <v>4019</v>
      </c>
      <c r="G12134">
        <v>0</v>
      </c>
      <c r="H12134" t="s">
        <v>17029</v>
      </c>
      <c r="I12134">
        <v>13662</v>
      </c>
      <c r="J12134" t="str">
        <f>VLOOKUP(E12134,DSSpieler!A:B,2,FALSE)</f>
        <v>rikao</v>
      </c>
    </row>
    <row r="12135" spans="1:10" x14ac:dyDescent="0.25">
      <c r="A12135">
        <v>13663</v>
      </c>
      <c r="B12135" t="s">
        <v>1092</v>
      </c>
      <c r="C12135">
        <v>498</v>
      </c>
      <c r="D12135">
        <v>582</v>
      </c>
      <c r="E12135">
        <v>1576918886</v>
      </c>
      <c r="F12135">
        <v>4728</v>
      </c>
      <c r="G12135">
        <v>0</v>
      </c>
      <c r="H12135" t="s">
        <v>17030</v>
      </c>
      <c r="I12135">
        <v>13663</v>
      </c>
      <c r="J12135" t="str">
        <f>VLOOKUP(E12135,DSSpieler!A:B,2,FALSE)</f>
        <v>tuete1</v>
      </c>
    </row>
    <row r="12136" spans="1:10" x14ac:dyDescent="0.25">
      <c r="A12136">
        <v>13664</v>
      </c>
      <c r="B12136" t="s">
        <v>531</v>
      </c>
      <c r="C12136">
        <v>611</v>
      </c>
      <c r="D12136">
        <v>530</v>
      </c>
      <c r="E12136">
        <v>0</v>
      </c>
      <c r="F12136">
        <v>401</v>
      </c>
      <c r="G12136">
        <v>0</v>
      </c>
      <c r="H12136" t="s">
        <v>17031</v>
      </c>
      <c r="I12136">
        <v>13664</v>
      </c>
      <c r="J12136" t="e">
        <f>VLOOKUP(E12136,DSSpieler!A:B,2,FALSE)</f>
        <v>#N/A</v>
      </c>
    </row>
    <row r="12137" spans="1:10" x14ac:dyDescent="0.25">
      <c r="A12137">
        <v>13665</v>
      </c>
      <c r="B12137" t="s">
        <v>34725</v>
      </c>
      <c r="C12137">
        <v>495</v>
      </c>
      <c r="D12137">
        <v>386</v>
      </c>
      <c r="E12137">
        <v>8674699</v>
      </c>
      <c r="F12137">
        <v>2612</v>
      </c>
      <c r="G12137">
        <v>0</v>
      </c>
      <c r="H12137" t="s">
        <v>17032</v>
      </c>
      <c r="I12137">
        <v>13665</v>
      </c>
      <c r="J12137" t="str">
        <f>VLOOKUP(E12137,DSSpieler!A:B,2,FALSE)</f>
        <v>Patta1997</v>
      </c>
    </row>
    <row r="12138" spans="1:10" x14ac:dyDescent="0.25">
      <c r="A12138">
        <v>13667</v>
      </c>
      <c r="B12138" t="s">
        <v>34726</v>
      </c>
      <c r="C12138">
        <v>427</v>
      </c>
      <c r="D12138">
        <v>584</v>
      </c>
      <c r="E12138">
        <v>1577021125</v>
      </c>
      <c r="F12138">
        <v>1568</v>
      </c>
      <c r="G12138">
        <v>0</v>
      </c>
      <c r="H12138" t="s">
        <v>17033</v>
      </c>
      <c r="I12138">
        <v>13667</v>
      </c>
      <c r="J12138" t="str">
        <f>VLOOKUP(E12138,DSSpieler!A:B,2,FALSE)</f>
        <v>sWEN8055</v>
      </c>
    </row>
    <row r="12139" spans="1:10" x14ac:dyDescent="0.25">
      <c r="A12139">
        <v>13668</v>
      </c>
      <c r="B12139" t="s">
        <v>2244</v>
      </c>
      <c r="C12139">
        <v>485</v>
      </c>
      <c r="D12139">
        <v>394</v>
      </c>
      <c r="E12139">
        <v>1576917303</v>
      </c>
      <c r="F12139">
        <v>3788</v>
      </c>
      <c r="G12139">
        <v>0</v>
      </c>
      <c r="H12139" t="s">
        <v>17034</v>
      </c>
      <c r="I12139">
        <v>13668</v>
      </c>
      <c r="J12139" t="str">
        <f>VLOOKUP(E12139,DSSpieler!A:B,2,FALSE)</f>
        <v>MA6IC CU3E</v>
      </c>
    </row>
    <row r="12140" spans="1:10" x14ac:dyDescent="0.25">
      <c r="A12140">
        <v>13669</v>
      </c>
      <c r="B12140" t="s">
        <v>531</v>
      </c>
      <c r="C12140">
        <v>571</v>
      </c>
      <c r="D12140">
        <v>412</v>
      </c>
      <c r="E12140">
        <v>0</v>
      </c>
      <c r="F12140">
        <v>144</v>
      </c>
      <c r="G12140">
        <v>0</v>
      </c>
      <c r="H12140" t="s">
        <v>17035</v>
      </c>
      <c r="I12140">
        <v>13669</v>
      </c>
      <c r="J12140" t="e">
        <f>VLOOKUP(E12140,DSSpieler!A:B,2,FALSE)</f>
        <v>#N/A</v>
      </c>
    </row>
    <row r="12141" spans="1:10" x14ac:dyDescent="0.25">
      <c r="A12141">
        <v>13670</v>
      </c>
      <c r="B12141" t="s">
        <v>531</v>
      </c>
      <c r="C12141">
        <v>555</v>
      </c>
      <c r="D12141">
        <v>404</v>
      </c>
      <c r="E12141">
        <v>0</v>
      </c>
      <c r="F12141">
        <v>288</v>
      </c>
      <c r="G12141">
        <v>0</v>
      </c>
      <c r="H12141" t="s">
        <v>17036</v>
      </c>
      <c r="I12141">
        <v>13670</v>
      </c>
      <c r="J12141" t="e">
        <f>VLOOKUP(E12141,DSSpieler!A:B,2,FALSE)</f>
        <v>#N/A</v>
      </c>
    </row>
    <row r="12142" spans="1:10" x14ac:dyDescent="0.25">
      <c r="A12142">
        <v>13671</v>
      </c>
      <c r="B12142" t="s">
        <v>2245</v>
      </c>
      <c r="C12142">
        <v>399</v>
      </c>
      <c r="D12142">
        <v>503</v>
      </c>
      <c r="E12142">
        <v>9016434</v>
      </c>
      <c r="F12142">
        <v>4189</v>
      </c>
      <c r="G12142">
        <v>0</v>
      </c>
      <c r="H12142" t="s">
        <v>17037</v>
      </c>
      <c r="I12142">
        <v>13671</v>
      </c>
      <c r="J12142" t="str">
        <f>VLOOKUP(E12142,DSSpieler!A:B,2,FALSE)</f>
        <v>Ole66</v>
      </c>
    </row>
    <row r="12143" spans="1:10" x14ac:dyDescent="0.25">
      <c r="A12143">
        <v>13673</v>
      </c>
      <c r="B12143" t="s">
        <v>531</v>
      </c>
      <c r="C12143">
        <v>386</v>
      </c>
      <c r="D12143">
        <v>492</v>
      </c>
      <c r="E12143">
        <v>0</v>
      </c>
      <c r="F12143">
        <v>164</v>
      </c>
      <c r="G12143">
        <v>0</v>
      </c>
      <c r="H12143" t="s">
        <v>17038</v>
      </c>
      <c r="I12143">
        <v>13673</v>
      </c>
      <c r="J12143" t="e">
        <f>VLOOKUP(E12143,DSSpieler!A:B,2,FALSE)</f>
        <v>#N/A</v>
      </c>
    </row>
    <row r="12144" spans="1:10" x14ac:dyDescent="0.25">
      <c r="A12144">
        <v>13674</v>
      </c>
      <c r="B12144" t="s">
        <v>531</v>
      </c>
      <c r="C12144">
        <v>391</v>
      </c>
      <c r="D12144">
        <v>461</v>
      </c>
      <c r="E12144">
        <v>0</v>
      </c>
      <c r="F12144">
        <v>429</v>
      </c>
      <c r="G12144">
        <v>0</v>
      </c>
      <c r="H12144" t="s">
        <v>17039</v>
      </c>
      <c r="I12144">
        <v>13674</v>
      </c>
      <c r="J12144" t="e">
        <f>VLOOKUP(E12144,DSSpieler!A:B,2,FALSE)</f>
        <v>#N/A</v>
      </c>
    </row>
    <row r="12145" spans="1:10" x14ac:dyDescent="0.25">
      <c r="A12145">
        <v>13676</v>
      </c>
      <c r="B12145" t="s">
        <v>34727</v>
      </c>
      <c r="C12145">
        <v>403</v>
      </c>
      <c r="D12145">
        <v>549</v>
      </c>
      <c r="E12145">
        <v>1576876853</v>
      </c>
      <c r="F12145">
        <v>6560</v>
      </c>
      <c r="G12145">
        <v>0</v>
      </c>
      <c r="H12145" t="s">
        <v>17040</v>
      </c>
      <c r="I12145">
        <v>13676</v>
      </c>
      <c r="J12145" t="str">
        <f>VLOOKUP(E12145,DSSpieler!A:B,2,FALSE)</f>
        <v>Butcher007</v>
      </c>
    </row>
    <row r="12146" spans="1:10" x14ac:dyDescent="0.25">
      <c r="A12146">
        <v>13677</v>
      </c>
      <c r="B12146" t="s">
        <v>34728</v>
      </c>
      <c r="C12146">
        <v>393</v>
      </c>
      <c r="D12146">
        <v>547</v>
      </c>
      <c r="E12146">
        <v>1577201590</v>
      </c>
      <c r="F12146">
        <v>5459</v>
      </c>
      <c r="G12146">
        <v>0</v>
      </c>
      <c r="H12146" t="s">
        <v>17041</v>
      </c>
      <c r="I12146">
        <v>13677</v>
      </c>
      <c r="J12146" t="str">
        <f>VLOOKUP(E12146,DSSpieler!A:B,2,FALSE)</f>
        <v>Eckbert von Eckenhagen</v>
      </c>
    </row>
    <row r="12147" spans="1:10" x14ac:dyDescent="0.25">
      <c r="A12147">
        <v>13678</v>
      </c>
      <c r="B12147" t="s">
        <v>2246</v>
      </c>
      <c r="C12147">
        <v>484</v>
      </c>
      <c r="D12147">
        <v>497</v>
      </c>
      <c r="E12147">
        <v>1577200051</v>
      </c>
      <c r="F12147">
        <v>2050</v>
      </c>
      <c r="G12147">
        <v>0</v>
      </c>
      <c r="H12147" t="s">
        <v>17042</v>
      </c>
      <c r="I12147">
        <v>13678</v>
      </c>
      <c r="J12147" t="str">
        <f>VLOOKUP(E12147,DSSpieler!A:B,2,FALSE)</f>
        <v>Blackarrow</v>
      </c>
    </row>
    <row r="12148" spans="1:10" x14ac:dyDescent="0.25">
      <c r="A12148">
        <v>13680</v>
      </c>
      <c r="B12148" t="s">
        <v>531</v>
      </c>
      <c r="C12148">
        <v>390</v>
      </c>
      <c r="D12148">
        <v>518</v>
      </c>
      <c r="E12148">
        <v>0</v>
      </c>
      <c r="F12148">
        <v>180</v>
      </c>
      <c r="G12148">
        <v>0</v>
      </c>
      <c r="H12148" t="s">
        <v>17043</v>
      </c>
      <c r="I12148">
        <v>13680</v>
      </c>
      <c r="J12148" t="e">
        <f>VLOOKUP(E12148,DSSpieler!A:B,2,FALSE)</f>
        <v>#N/A</v>
      </c>
    </row>
    <row r="12149" spans="1:10" x14ac:dyDescent="0.25">
      <c r="A12149">
        <v>13681</v>
      </c>
      <c r="B12149" t="s">
        <v>531</v>
      </c>
      <c r="C12149">
        <v>432</v>
      </c>
      <c r="D12149">
        <v>587</v>
      </c>
      <c r="E12149">
        <v>0</v>
      </c>
      <c r="F12149">
        <v>178</v>
      </c>
      <c r="G12149">
        <v>0</v>
      </c>
      <c r="H12149" t="s">
        <v>17044</v>
      </c>
      <c r="I12149">
        <v>13681</v>
      </c>
      <c r="J12149" t="e">
        <f>VLOOKUP(E12149,DSSpieler!A:B,2,FALSE)</f>
        <v>#N/A</v>
      </c>
    </row>
    <row r="12150" spans="1:10" x14ac:dyDescent="0.25">
      <c r="A12150">
        <v>13682</v>
      </c>
      <c r="B12150" t="s">
        <v>531</v>
      </c>
      <c r="C12150">
        <v>466</v>
      </c>
      <c r="D12150">
        <v>610</v>
      </c>
      <c r="E12150">
        <v>0</v>
      </c>
      <c r="F12150">
        <v>275</v>
      </c>
      <c r="G12150">
        <v>0</v>
      </c>
      <c r="H12150" t="s">
        <v>17045</v>
      </c>
      <c r="I12150">
        <v>13682</v>
      </c>
      <c r="J12150" t="e">
        <f>VLOOKUP(E12150,DSSpieler!A:B,2,FALSE)</f>
        <v>#N/A</v>
      </c>
    </row>
    <row r="12151" spans="1:10" x14ac:dyDescent="0.25">
      <c r="A12151">
        <v>13683</v>
      </c>
      <c r="B12151" t="s">
        <v>531</v>
      </c>
      <c r="C12151">
        <v>589</v>
      </c>
      <c r="D12151">
        <v>565</v>
      </c>
      <c r="E12151">
        <v>0</v>
      </c>
      <c r="F12151">
        <v>472</v>
      </c>
      <c r="G12151">
        <v>0</v>
      </c>
      <c r="H12151" t="s">
        <v>17046</v>
      </c>
      <c r="I12151">
        <v>13683</v>
      </c>
      <c r="J12151" t="e">
        <f>VLOOKUP(E12151,DSSpieler!A:B,2,FALSE)</f>
        <v>#N/A</v>
      </c>
    </row>
    <row r="12152" spans="1:10" x14ac:dyDescent="0.25">
      <c r="A12152">
        <v>13684</v>
      </c>
      <c r="B12152" t="s">
        <v>531</v>
      </c>
      <c r="C12152">
        <v>521</v>
      </c>
      <c r="D12152">
        <v>614</v>
      </c>
      <c r="E12152">
        <v>0</v>
      </c>
      <c r="F12152">
        <v>149</v>
      </c>
      <c r="G12152">
        <v>0</v>
      </c>
      <c r="H12152" t="s">
        <v>17047</v>
      </c>
      <c r="I12152">
        <v>13684</v>
      </c>
      <c r="J12152" t="e">
        <f>VLOOKUP(E12152,DSSpieler!A:B,2,FALSE)</f>
        <v>#N/A</v>
      </c>
    </row>
    <row r="12153" spans="1:10" x14ac:dyDescent="0.25">
      <c r="A12153">
        <v>13686</v>
      </c>
      <c r="B12153" t="s">
        <v>531</v>
      </c>
      <c r="C12153">
        <v>563</v>
      </c>
      <c r="D12153">
        <v>462</v>
      </c>
      <c r="E12153">
        <v>0</v>
      </c>
      <c r="F12153">
        <v>259</v>
      </c>
      <c r="G12153">
        <v>0</v>
      </c>
      <c r="H12153" t="s">
        <v>17048</v>
      </c>
      <c r="I12153">
        <v>13686</v>
      </c>
      <c r="J12153" t="e">
        <f>VLOOKUP(E12153,DSSpieler!A:B,2,FALSE)</f>
        <v>#N/A</v>
      </c>
    </row>
    <row r="12154" spans="1:10" x14ac:dyDescent="0.25">
      <c r="A12154">
        <v>13687</v>
      </c>
      <c r="B12154">
        <v>6</v>
      </c>
      <c r="C12154">
        <v>526</v>
      </c>
      <c r="D12154">
        <v>389</v>
      </c>
      <c r="E12154">
        <v>9797650</v>
      </c>
      <c r="F12154">
        <v>2853</v>
      </c>
      <c r="G12154">
        <v>0</v>
      </c>
      <c r="H12154" t="s">
        <v>17049</v>
      </c>
      <c r="I12154">
        <v>13687</v>
      </c>
      <c r="J12154" t="str">
        <f>VLOOKUP(E12154,DSSpieler!A:B,2,FALSE)</f>
        <v>robinhood-007</v>
      </c>
    </row>
    <row r="12155" spans="1:10" x14ac:dyDescent="0.25">
      <c r="A12155">
        <v>13688</v>
      </c>
      <c r="B12155">
        <v>3</v>
      </c>
      <c r="C12155">
        <v>410</v>
      </c>
      <c r="D12155">
        <v>571</v>
      </c>
      <c r="E12155">
        <v>1577201543</v>
      </c>
      <c r="F12155">
        <v>4439</v>
      </c>
      <c r="G12155">
        <v>0</v>
      </c>
      <c r="H12155" t="s">
        <v>17050</v>
      </c>
      <c r="I12155">
        <v>13688</v>
      </c>
      <c r="J12155" t="str">
        <f>VLOOKUP(E12155,DSSpieler!A:B,2,FALSE)</f>
        <v>Dr.Boss</v>
      </c>
    </row>
    <row r="12156" spans="1:10" x14ac:dyDescent="0.25">
      <c r="A12156">
        <v>13689</v>
      </c>
      <c r="B12156" t="s">
        <v>33724</v>
      </c>
      <c r="C12156">
        <v>552</v>
      </c>
      <c r="D12156">
        <v>603</v>
      </c>
      <c r="E12156">
        <v>1327189</v>
      </c>
      <c r="F12156">
        <v>5983</v>
      </c>
      <c r="G12156">
        <v>0</v>
      </c>
      <c r="H12156" t="s">
        <v>17051</v>
      </c>
      <c r="I12156">
        <v>13689</v>
      </c>
      <c r="J12156" t="str">
        <f>VLOOKUP(E12156,DSSpieler!A:B,2,FALSE)</f>
        <v>DerBoeseBub</v>
      </c>
    </row>
    <row r="12157" spans="1:10" x14ac:dyDescent="0.25">
      <c r="A12157">
        <v>13690</v>
      </c>
      <c r="B12157" t="s">
        <v>531</v>
      </c>
      <c r="C12157">
        <v>609</v>
      </c>
      <c r="D12157">
        <v>465</v>
      </c>
      <c r="E12157">
        <v>0</v>
      </c>
      <c r="F12157">
        <v>172</v>
      </c>
      <c r="G12157">
        <v>0</v>
      </c>
      <c r="H12157" t="s">
        <v>17052</v>
      </c>
      <c r="I12157">
        <v>13690</v>
      </c>
      <c r="J12157" t="e">
        <f>VLOOKUP(E12157,DSSpieler!A:B,2,FALSE)</f>
        <v>#N/A</v>
      </c>
    </row>
    <row r="12158" spans="1:10" x14ac:dyDescent="0.25">
      <c r="A12158">
        <v>13691</v>
      </c>
      <c r="B12158" t="s">
        <v>2247</v>
      </c>
      <c r="C12158">
        <v>445</v>
      </c>
      <c r="D12158">
        <v>397</v>
      </c>
      <c r="E12158">
        <v>1577200124</v>
      </c>
      <c r="F12158">
        <v>1152</v>
      </c>
      <c r="G12158">
        <v>0</v>
      </c>
      <c r="H12158" t="s">
        <v>17053</v>
      </c>
      <c r="I12158">
        <v>13691</v>
      </c>
      <c r="J12158" t="str">
        <f>VLOOKUP(E12158,DSSpieler!A:B,2,FALSE)</f>
        <v>kuchengurl</v>
      </c>
    </row>
    <row r="12159" spans="1:10" x14ac:dyDescent="0.25">
      <c r="A12159">
        <v>13693</v>
      </c>
      <c r="B12159" t="s">
        <v>531</v>
      </c>
      <c r="C12159">
        <v>559</v>
      </c>
      <c r="D12159">
        <v>597</v>
      </c>
      <c r="E12159">
        <v>0</v>
      </c>
      <c r="F12159">
        <v>843</v>
      </c>
      <c r="G12159">
        <v>0</v>
      </c>
      <c r="H12159" t="s">
        <v>17054</v>
      </c>
      <c r="I12159">
        <v>13693</v>
      </c>
      <c r="J12159" t="e">
        <f>VLOOKUP(E12159,DSSpieler!A:B,2,FALSE)</f>
        <v>#N/A</v>
      </c>
    </row>
    <row r="12160" spans="1:10" x14ac:dyDescent="0.25">
      <c r="A12160">
        <v>13694</v>
      </c>
      <c r="B12160">
        <v>1001000</v>
      </c>
      <c r="C12160">
        <v>614</v>
      </c>
      <c r="D12160">
        <v>495</v>
      </c>
      <c r="E12160">
        <v>3299904</v>
      </c>
      <c r="F12160">
        <v>4874</v>
      </c>
      <c r="G12160">
        <v>0</v>
      </c>
      <c r="H12160" t="s">
        <v>17055</v>
      </c>
      <c r="I12160">
        <v>13694</v>
      </c>
      <c r="J12160" t="str">
        <f>VLOOKUP(E12160,DSSpieler!A:B,2,FALSE)</f>
        <v>Kikas Reich</v>
      </c>
    </row>
    <row r="12161" spans="1:10" x14ac:dyDescent="0.25">
      <c r="A12161">
        <v>13695</v>
      </c>
      <c r="B12161" t="s">
        <v>531</v>
      </c>
      <c r="C12161">
        <v>547</v>
      </c>
      <c r="D12161">
        <v>599</v>
      </c>
      <c r="E12161">
        <v>0</v>
      </c>
      <c r="F12161">
        <v>964</v>
      </c>
      <c r="G12161">
        <v>0</v>
      </c>
      <c r="H12161" t="s">
        <v>17056</v>
      </c>
      <c r="I12161">
        <v>13695</v>
      </c>
      <c r="J12161" t="e">
        <f>VLOOKUP(E12161,DSSpieler!A:B,2,FALSE)</f>
        <v>#N/A</v>
      </c>
    </row>
    <row r="12162" spans="1:10" x14ac:dyDescent="0.25">
      <c r="A12162">
        <v>13696</v>
      </c>
      <c r="B12162" t="s">
        <v>34729</v>
      </c>
      <c r="C12162">
        <v>496</v>
      </c>
      <c r="D12162">
        <v>541</v>
      </c>
      <c r="E12162">
        <v>1577196116</v>
      </c>
      <c r="F12162">
        <v>6087</v>
      </c>
      <c r="G12162">
        <v>0</v>
      </c>
      <c r="H12162" t="s">
        <v>17057</v>
      </c>
      <c r="I12162">
        <v>13696</v>
      </c>
      <c r="J12162" t="str">
        <f>VLOOKUP(E12162,DSSpieler!A:B,2,FALSE)</f>
        <v>Kinglu-N</v>
      </c>
    </row>
    <row r="12163" spans="1:10" x14ac:dyDescent="0.25">
      <c r="A12163">
        <v>13697</v>
      </c>
      <c r="B12163" t="s">
        <v>2248</v>
      </c>
      <c r="C12163">
        <v>616</v>
      </c>
      <c r="D12163">
        <v>501</v>
      </c>
      <c r="E12163">
        <v>1577151864</v>
      </c>
      <c r="F12163">
        <v>5208</v>
      </c>
      <c r="G12163">
        <v>0</v>
      </c>
      <c r="H12163" t="s">
        <v>17058</v>
      </c>
      <c r="I12163">
        <v>13697</v>
      </c>
      <c r="J12163" t="str">
        <f>VLOOKUP(E12163,DSSpieler!A:B,2,FALSE)</f>
        <v>König Felix19</v>
      </c>
    </row>
    <row r="12164" spans="1:10" x14ac:dyDescent="0.25">
      <c r="A12164">
        <v>13698</v>
      </c>
      <c r="B12164" t="s">
        <v>34730</v>
      </c>
      <c r="C12164">
        <v>548</v>
      </c>
      <c r="D12164">
        <v>596</v>
      </c>
      <c r="E12164">
        <v>1577199020</v>
      </c>
      <c r="F12164">
        <v>1497</v>
      </c>
      <c r="G12164">
        <v>0</v>
      </c>
      <c r="H12164" t="s">
        <v>17059</v>
      </c>
      <c r="I12164">
        <v>13698</v>
      </c>
      <c r="J12164" t="str">
        <f>VLOOKUP(E12164,DSSpieler!A:B,2,FALSE)</f>
        <v>Günther Schäfer</v>
      </c>
    </row>
    <row r="12165" spans="1:10" x14ac:dyDescent="0.25">
      <c r="A12165">
        <v>13699</v>
      </c>
      <c r="B12165" t="s">
        <v>34731</v>
      </c>
      <c r="C12165">
        <v>618</v>
      </c>
      <c r="D12165">
        <v>498</v>
      </c>
      <c r="E12165">
        <v>9752994</v>
      </c>
      <c r="F12165">
        <v>5139</v>
      </c>
      <c r="G12165">
        <v>0</v>
      </c>
      <c r="H12165" t="s">
        <v>17060</v>
      </c>
      <c r="I12165">
        <v>13699</v>
      </c>
      <c r="J12165" t="str">
        <f>VLOOKUP(E12165,DSSpieler!A:B,2,FALSE)</f>
        <v>Dr. Laggs</v>
      </c>
    </row>
    <row r="12166" spans="1:10" x14ac:dyDescent="0.25">
      <c r="A12166">
        <v>13700</v>
      </c>
      <c r="B12166" t="s">
        <v>2249</v>
      </c>
      <c r="C12166">
        <v>464</v>
      </c>
      <c r="D12166">
        <v>449</v>
      </c>
      <c r="E12166">
        <v>793981</v>
      </c>
      <c r="F12166">
        <v>5416</v>
      </c>
      <c r="G12166">
        <v>0</v>
      </c>
      <c r="H12166" t="s">
        <v>17061</v>
      </c>
      <c r="I12166">
        <v>13700</v>
      </c>
      <c r="J12166" t="str">
        <f>VLOOKUP(E12166,DSSpieler!A:B,2,FALSE)</f>
        <v>phönix03</v>
      </c>
    </row>
    <row r="12167" spans="1:10" x14ac:dyDescent="0.25">
      <c r="A12167">
        <v>13701</v>
      </c>
      <c r="B12167" t="s">
        <v>2250</v>
      </c>
      <c r="C12167">
        <v>576</v>
      </c>
      <c r="D12167">
        <v>583</v>
      </c>
      <c r="E12167">
        <v>1577122221</v>
      </c>
      <c r="F12167">
        <v>296</v>
      </c>
      <c r="G12167">
        <v>0</v>
      </c>
      <c r="H12167" t="s">
        <v>17062</v>
      </c>
      <c r="I12167">
        <v>13701</v>
      </c>
      <c r="J12167" t="str">
        <f>VLOOKUP(E12167,DSSpieler!A:B,2,FALSE)</f>
        <v>OnkelPhil</v>
      </c>
    </row>
    <row r="12168" spans="1:10" x14ac:dyDescent="0.25">
      <c r="A12168">
        <v>13702</v>
      </c>
      <c r="B12168" t="s">
        <v>531</v>
      </c>
      <c r="C12168">
        <v>543</v>
      </c>
      <c r="D12168">
        <v>606</v>
      </c>
      <c r="E12168">
        <v>0</v>
      </c>
      <c r="F12168">
        <v>843</v>
      </c>
      <c r="G12168">
        <v>0</v>
      </c>
      <c r="H12168" t="s">
        <v>17063</v>
      </c>
      <c r="I12168">
        <v>13702</v>
      </c>
      <c r="J12168" t="e">
        <f>VLOOKUP(E12168,DSSpieler!A:B,2,FALSE)</f>
        <v>#N/A</v>
      </c>
    </row>
    <row r="12169" spans="1:10" x14ac:dyDescent="0.25">
      <c r="A12169">
        <v>13703</v>
      </c>
      <c r="B12169" t="s">
        <v>531</v>
      </c>
      <c r="C12169">
        <v>470</v>
      </c>
      <c r="D12169">
        <v>389</v>
      </c>
      <c r="E12169">
        <v>0</v>
      </c>
      <c r="F12169">
        <v>275</v>
      </c>
      <c r="G12169">
        <v>0</v>
      </c>
      <c r="H12169" t="s">
        <v>17064</v>
      </c>
      <c r="I12169">
        <v>13703</v>
      </c>
      <c r="J12169" t="e">
        <f>VLOOKUP(E12169,DSSpieler!A:B,2,FALSE)</f>
        <v>#N/A</v>
      </c>
    </row>
    <row r="12170" spans="1:10" x14ac:dyDescent="0.25">
      <c r="A12170">
        <v>13704</v>
      </c>
      <c r="B12170" t="s">
        <v>34732</v>
      </c>
      <c r="C12170">
        <v>569</v>
      </c>
      <c r="D12170">
        <v>588</v>
      </c>
      <c r="E12170">
        <v>10094389</v>
      </c>
      <c r="F12170">
        <v>113</v>
      </c>
      <c r="G12170">
        <v>0</v>
      </c>
      <c r="H12170" t="s">
        <v>17065</v>
      </c>
      <c r="I12170">
        <v>13704</v>
      </c>
      <c r="J12170" t="str">
        <f>VLOOKUP(E12170,DSSpieler!A:B,2,FALSE)</f>
        <v>Yeronimo</v>
      </c>
    </row>
    <row r="12171" spans="1:10" x14ac:dyDescent="0.25">
      <c r="A12171">
        <v>13705</v>
      </c>
      <c r="B12171" t="s">
        <v>531</v>
      </c>
      <c r="C12171">
        <v>388</v>
      </c>
      <c r="D12171">
        <v>521</v>
      </c>
      <c r="E12171">
        <v>0</v>
      </c>
      <c r="F12171">
        <v>382</v>
      </c>
      <c r="G12171">
        <v>0</v>
      </c>
      <c r="H12171" t="s">
        <v>17066</v>
      </c>
      <c r="I12171">
        <v>13705</v>
      </c>
      <c r="J12171" t="e">
        <f>VLOOKUP(E12171,DSSpieler!A:B,2,FALSE)</f>
        <v>#N/A</v>
      </c>
    </row>
    <row r="12172" spans="1:10" x14ac:dyDescent="0.25">
      <c r="A12172">
        <v>13706</v>
      </c>
      <c r="B12172" t="s">
        <v>531</v>
      </c>
      <c r="C12172">
        <v>548</v>
      </c>
      <c r="D12172">
        <v>609</v>
      </c>
      <c r="E12172">
        <v>0</v>
      </c>
      <c r="F12172">
        <v>1040</v>
      </c>
      <c r="G12172">
        <v>0</v>
      </c>
      <c r="H12172" t="s">
        <v>17067</v>
      </c>
      <c r="I12172">
        <v>13706</v>
      </c>
      <c r="J12172" t="e">
        <f>VLOOKUP(E12172,DSSpieler!A:B,2,FALSE)</f>
        <v>#N/A</v>
      </c>
    </row>
    <row r="12173" spans="1:10" x14ac:dyDescent="0.25">
      <c r="A12173">
        <v>13707</v>
      </c>
      <c r="B12173" t="s">
        <v>2101</v>
      </c>
      <c r="C12173">
        <v>462</v>
      </c>
      <c r="D12173">
        <v>393</v>
      </c>
      <c r="E12173">
        <v>1576958889</v>
      </c>
      <c r="F12173">
        <v>5476</v>
      </c>
      <c r="G12173">
        <v>0</v>
      </c>
      <c r="H12173" t="s">
        <v>17068</v>
      </c>
      <c r="I12173">
        <v>13707</v>
      </c>
      <c r="J12173" t="str">
        <f>VLOOKUP(E12173,DSSpieler!A:B,2,FALSE)</f>
        <v>J-P-M</v>
      </c>
    </row>
    <row r="12174" spans="1:10" x14ac:dyDescent="0.25">
      <c r="A12174">
        <v>13708</v>
      </c>
      <c r="B12174" t="s">
        <v>32943</v>
      </c>
      <c r="C12174">
        <v>553</v>
      </c>
      <c r="D12174">
        <v>603</v>
      </c>
      <c r="E12174">
        <v>1327189</v>
      </c>
      <c r="F12174">
        <v>4945</v>
      </c>
      <c r="G12174">
        <v>0</v>
      </c>
      <c r="H12174" t="s">
        <v>17069</v>
      </c>
      <c r="I12174">
        <v>13708</v>
      </c>
      <c r="J12174" t="str">
        <f>VLOOKUP(E12174,DSSpieler!A:B,2,FALSE)</f>
        <v>DerBoeseBub</v>
      </c>
    </row>
    <row r="12175" spans="1:10" x14ac:dyDescent="0.25">
      <c r="A12175">
        <v>13709</v>
      </c>
      <c r="B12175" t="s">
        <v>531</v>
      </c>
      <c r="C12175">
        <v>410</v>
      </c>
      <c r="D12175">
        <v>567</v>
      </c>
      <c r="E12175">
        <v>0</v>
      </c>
      <c r="F12175">
        <v>499</v>
      </c>
      <c r="G12175">
        <v>0</v>
      </c>
      <c r="H12175" t="s">
        <v>17070</v>
      </c>
      <c r="I12175">
        <v>13709</v>
      </c>
      <c r="J12175" t="e">
        <f>VLOOKUP(E12175,DSSpieler!A:B,2,FALSE)</f>
        <v>#N/A</v>
      </c>
    </row>
    <row r="12176" spans="1:10" x14ac:dyDescent="0.25">
      <c r="A12176">
        <v>13710</v>
      </c>
      <c r="B12176" t="s">
        <v>34733</v>
      </c>
      <c r="C12176">
        <v>614</v>
      </c>
      <c r="D12176">
        <v>487</v>
      </c>
      <c r="E12176">
        <v>1577199852</v>
      </c>
      <c r="F12176">
        <v>1168</v>
      </c>
      <c r="G12176">
        <v>0</v>
      </c>
      <c r="H12176" t="s">
        <v>17071</v>
      </c>
      <c r="I12176">
        <v>13710</v>
      </c>
      <c r="J12176" t="str">
        <f>VLOOKUP(E12176,DSSpieler!A:B,2,FALSE)</f>
        <v>KingRain</v>
      </c>
    </row>
    <row r="12177" spans="1:10" x14ac:dyDescent="0.25">
      <c r="A12177">
        <v>13711</v>
      </c>
      <c r="B12177" t="s">
        <v>531</v>
      </c>
      <c r="C12177">
        <v>430</v>
      </c>
      <c r="D12177">
        <v>587</v>
      </c>
      <c r="E12177">
        <v>0</v>
      </c>
      <c r="F12177">
        <v>734</v>
      </c>
      <c r="G12177">
        <v>0</v>
      </c>
      <c r="H12177" t="s">
        <v>17072</v>
      </c>
      <c r="I12177">
        <v>13711</v>
      </c>
      <c r="J12177" t="e">
        <f>VLOOKUP(E12177,DSSpieler!A:B,2,FALSE)</f>
        <v>#N/A</v>
      </c>
    </row>
    <row r="12178" spans="1:10" x14ac:dyDescent="0.25">
      <c r="A12178">
        <v>13712</v>
      </c>
      <c r="B12178" t="s">
        <v>34734</v>
      </c>
      <c r="C12178">
        <v>388</v>
      </c>
      <c r="D12178">
        <v>493</v>
      </c>
      <c r="E12178">
        <v>1575967104</v>
      </c>
      <c r="F12178">
        <v>147</v>
      </c>
      <c r="G12178">
        <v>0</v>
      </c>
      <c r="H12178" t="s">
        <v>17073</v>
      </c>
      <c r="I12178">
        <v>13712</v>
      </c>
      <c r="J12178" t="str">
        <f>VLOOKUP(E12178,DSSpieler!A:B,2,FALSE)</f>
        <v>Keocuk</v>
      </c>
    </row>
    <row r="12179" spans="1:10" x14ac:dyDescent="0.25">
      <c r="A12179">
        <v>13713</v>
      </c>
      <c r="B12179" t="s">
        <v>630</v>
      </c>
      <c r="C12179">
        <v>388</v>
      </c>
      <c r="D12179">
        <v>536</v>
      </c>
      <c r="E12179">
        <v>1577200135</v>
      </c>
      <c r="F12179">
        <v>6641</v>
      </c>
      <c r="G12179">
        <v>0</v>
      </c>
      <c r="H12179" t="s">
        <v>17074</v>
      </c>
      <c r="I12179">
        <v>13713</v>
      </c>
      <c r="J12179" t="str">
        <f>VLOOKUP(E12179,DSSpieler!A:B,2,FALSE)</f>
        <v>S1ckFlick</v>
      </c>
    </row>
    <row r="12180" spans="1:10" x14ac:dyDescent="0.25">
      <c r="A12180">
        <v>13714</v>
      </c>
      <c r="B12180" t="s">
        <v>531</v>
      </c>
      <c r="C12180">
        <v>388</v>
      </c>
      <c r="D12180">
        <v>516</v>
      </c>
      <c r="E12180">
        <v>0</v>
      </c>
      <c r="F12180">
        <v>229</v>
      </c>
      <c r="G12180">
        <v>0</v>
      </c>
      <c r="H12180" t="s">
        <v>17075</v>
      </c>
      <c r="I12180">
        <v>13714</v>
      </c>
      <c r="J12180" t="e">
        <f>VLOOKUP(E12180,DSSpieler!A:B,2,FALSE)</f>
        <v>#N/A</v>
      </c>
    </row>
    <row r="12181" spans="1:10" x14ac:dyDescent="0.25">
      <c r="A12181">
        <v>13715</v>
      </c>
      <c r="B12181" t="s">
        <v>34735</v>
      </c>
      <c r="C12181">
        <v>462</v>
      </c>
      <c r="D12181">
        <v>394</v>
      </c>
      <c r="E12181">
        <v>1576914597</v>
      </c>
      <c r="F12181">
        <v>5898</v>
      </c>
      <c r="G12181">
        <v>0</v>
      </c>
      <c r="H12181" t="s">
        <v>17076</v>
      </c>
      <c r="I12181">
        <v>13715</v>
      </c>
      <c r="J12181" t="str">
        <f>VLOOKUP(E12181,DSSpieler!A:B,2,FALSE)</f>
        <v>malomsderechte</v>
      </c>
    </row>
    <row r="12182" spans="1:10" x14ac:dyDescent="0.25">
      <c r="A12182">
        <v>13716</v>
      </c>
      <c r="B12182" t="s">
        <v>531</v>
      </c>
      <c r="C12182">
        <v>555</v>
      </c>
      <c r="D12182">
        <v>597</v>
      </c>
      <c r="E12182">
        <v>0</v>
      </c>
      <c r="F12182">
        <v>298</v>
      </c>
      <c r="G12182">
        <v>0</v>
      </c>
      <c r="H12182" t="s">
        <v>17077</v>
      </c>
      <c r="I12182">
        <v>13716</v>
      </c>
      <c r="J12182" t="e">
        <f>VLOOKUP(E12182,DSSpieler!A:B,2,FALSE)</f>
        <v>#N/A</v>
      </c>
    </row>
    <row r="12183" spans="1:10" x14ac:dyDescent="0.25">
      <c r="A12183">
        <v>13717</v>
      </c>
      <c r="B12183" t="s">
        <v>34736</v>
      </c>
      <c r="C12183">
        <v>464</v>
      </c>
      <c r="D12183">
        <v>394</v>
      </c>
      <c r="E12183">
        <v>3167113</v>
      </c>
      <c r="F12183">
        <v>3705</v>
      </c>
      <c r="G12183">
        <v>0</v>
      </c>
      <c r="H12183" t="s">
        <v>17078</v>
      </c>
      <c r="I12183">
        <v>13717</v>
      </c>
      <c r="J12183" t="str">
        <f>VLOOKUP(E12183,DSSpieler!A:B,2,FALSE)</f>
        <v>König der Raute</v>
      </c>
    </row>
    <row r="12184" spans="1:10" x14ac:dyDescent="0.25">
      <c r="A12184">
        <v>13718</v>
      </c>
      <c r="B12184" t="s">
        <v>34737</v>
      </c>
      <c r="C12184">
        <v>440</v>
      </c>
      <c r="D12184">
        <v>432</v>
      </c>
      <c r="E12184">
        <v>3449535</v>
      </c>
      <c r="F12184">
        <v>3746</v>
      </c>
      <c r="G12184">
        <v>0</v>
      </c>
      <c r="H12184" t="s">
        <v>17079</v>
      </c>
      <c r="I12184">
        <v>13718</v>
      </c>
      <c r="J12184" t="str">
        <f>VLOOKUP(E12184,DSSpieler!A:B,2,FALSE)</f>
        <v>Melniebone</v>
      </c>
    </row>
    <row r="12185" spans="1:10" x14ac:dyDescent="0.25">
      <c r="A12185">
        <v>13719</v>
      </c>
      <c r="B12185" t="s">
        <v>34738</v>
      </c>
      <c r="C12185">
        <v>518</v>
      </c>
      <c r="D12185">
        <v>614</v>
      </c>
      <c r="E12185">
        <v>2451330</v>
      </c>
      <c r="F12185">
        <v>4635</v>
      </c>
      <c r="G12185">
        <v>0</v>
      </c>
      <c r="H12185" t="s">
        <v>17080</v>
      </c>
      <c r="I12185">
        <v>13719</v>
      </c>
      <c r="J12185" t="str">
        <f>VLOOKUP(E12185,DSSpieler!A:B,2,FALSE)</f>
        <v>Norminho</v>
      </c>
    </row>
    <row r="12186" spans="1:10" x14ac:dyDescent="0.25">
      <c r="A12186">
        <v>13720</v>
      </c>
      <c r="B12186" t="s">
        <v>2251</v>
      </c>
      <c r="C12186">
        <v>431</v>
      </c>
      <c r="D12186">
        <v>408</v>
      </c>
      <c r="E12186">
        <v>1575900433</v>
      </c>
      <c r="F12186">
        <v>1707</v>
      </c>
      <c r="G12186">
        <v>0</v>
      </c>
      <c r="H12186" t="s">
        <v>17081</v>
      </c>
      <c r="I12186">
        <v>13720</v>
      </c>
      <c r="J12186" t="str">
        <f>VLOOKUP(E12186,DSSpieler!A:B,2,FALSE)</f>
        <v>samlalap</v>
      </c>
    </row>
    <row r="12187" spans="1:10" x14ac:dyDescent="0.25">
      <c r="A12187">
        <v>13721</v>
      </c>
      <c r="B12187">
        <v>2</v>
      </c>
      <c r="C12187">
        <v>536</v>
      </c>
      <c r="D12187">
        <v>573</v>
      </c>
      <c r="E12187">
        <v>1576992370</v>
      </c>
      <c r="F12187">
        <v>1718</v>
      </c>
      <c r="G12187">
        <v>0</v>
      </c>
      <c r="H12187" t="s">
        <v>17082</v>
      </c>
      <c r="I12187">
        <v>13721</v>
      </c>
      <c r="J12187" t="str">
        <f>VLOOKUP(E12187,DSSpieler!A:B,2,FALSE)</f>
        <v>MatzeSGA</v>
      </c>
    </row>
    <row r="12188" spans="1:10" x14ac:dyDescent="0.25">
      <c r="A12188">
        <v>13722</v>
      </c>
      <c r="B12188" t="s">
        <v>2252</v>
      </c>
      <c r="C12188">
        <v>457</v>
      </c>
      <c r="D12188">
        <v>606</v>
      </c>
      <c r="E12188">
        <v>9767107</v>
      </c>
      <c r="F12188">
        <v>4146</v>
      </c>
      <c r="G12188">
        <v>0</v>
      </c>
      <c r="H12188" t="s">
        <v>17083</v>
      </c>
      <c r="I12188">
        <v>13722</v>
      </c>
      <c r="J12188" t="str">
        <f>VLOOKUP(E12188,DSSpieler!A:B,2,FALSE)</f>
        <v>Erharn</v>
      </c>
    </row>
    <row r="12189" spans="1:10" x14ac:dyDescent="0.25">
      <c r="A12189">
        <v>13723</v>
      </c>
      <c r="B12189" t="s">
        <v>531</v>
      </c>
      <c r="C12189">
        <v>430</v>
      </c>
      <c r="D12189">
        <v>409</v>
      </c>
      <c r="E12189">
        <v>0</v>
      </c>
      <c r="F12189">
        <v>321</v>
      </c>
      <c r="G12189">
        <v>0</v>
      </c>
      <c r="H12189" t="s">
        <v>17084</v>
      </c>
      <c r="I12189">
        <v>13723</v>
      </c>
      <c r="J12189" t="e">
        <f>VLOOKUP(E12189,DSSpieler!A:B,2,FALSE)</f>
        <v>#N/A</v>
      </c>
    </row>
    <row r="12190" spans="1:10" x14ac:dyDescent="0.25">
      <c r="A12190">
        <v>13724</v>
      </c>
      <c r="B12190" t="s">
        <v>34739</v>
      </c>
      <c r="C12190">
        <v>474</v>
      </c>
      <c r="D12190">
        <v>609</v>
      </c>
      <c r="E12190">
        <v>2053085</v>
      </c>
      <c r="F12190">
        <v>1235</v>
      </c>
      <c r="G12190">
        <v>0</v>
      </c>
      <c r="H12190" t="s">
        <v>17085</v>
      </c>
      <c r="I12190">
        <v>13724</v>
      </c>
      <c r="J12190" t="str">
        <f>VLOOKUP(E12190,DSSpieler!A:B,2,FALSE)</f>
        <v>der peruaner</v>
      </c>
    </row>
    <row r="12191" spans="1:10" x14ac:dyDescent="0.25">
      <c r="A12191">
        <v>13725</v>
      </c>
      <c r="B12191" t="s">
        <v>531</v>
      </c>
      <c r="C12191">
        <v>409</v>
      </c>
      <c r="D12191">
        <v>571</v>
      </c>
      <c r="E12191">
        <v>0</v>
      </c>
      <c r="F12191">
        <v>227</v>
      </c>
      <c r="G12191">
        <v>0</v>
      </c>
      <c r="H12191" t="s">
        <v>17086</v>
      </c>
      <c r="I12191">
        <v>13725</v>
      </c>
      <c r="J12191" t="e">
        <f>VLOOKUP(E12191,DSSpieler!A:B,2,FALSE)</f>
        <v>#N/A</v>
      </c>
    </row>
    <row r="12192" spans="1:10" x14ac:dyDescent="0.25">
      <c r="A12192">
        <v>13726</v>
      </c>
      <c r="B12192" t="s">
        <v>2253</v>
      </c>
      <c r="C12192">
        <v>616</v>
      </c>
      <c r="D12192">
        <v>503</v>
      </c>
      <c r="E12192">
        <v>1577151864</v>
      </c>
      <c r="F12192">
        <v>3023</v>
      </c>
      <c r="G12192">
        <v>0</v>
      </c>
      <c r="H12192" t="s">
        <v>17087</v>
      </c>
      <c r="I12192">
        <v>13726</v>
      </c>
      <c r="J12192" t="str">
        <f>VLOOKUP(E12192,DSSpieler!A:B,2,FALSE)</f>
        <v>König Felix19</v>
      </c>
    </row>
    <row r="12193" spans="1:10" x14ac:dyDescent="0.25">
      <c r="A12193">
        <v>13727</v>
      </c>
      <c r="B12193" t="s">
        <v>34740</v>
      </c>
      <c r="C12193">
        <v>496</v>
      </c>
      <c r="D12193">
        <v>614</v>
      </c>
      <c r="E12193">
        <v>1577199142</v>
      </c>
      <c r="F12193">
        <v>69</v>
      </c>
      <c r="G12193">
        <v>0</v>
      </c>
      <c r="H12193" t="s">
        <v>17088</v>
      </c>
      <c r="I12193">
        <v>13727</v>
      </c>
      <c r="J12193" t="str">
        <f>VLOOKUP(E12193,DSSpieler!A:B,2,FALSE)</f>
        <v>Dr.Srwall</v>
      </c>
    </row>
    <row r="12194" spans="1:10" x14ac:dyDescent="0.25">
      <c r="A12194">
        <v>13728</v>
      </c>
      <c r="B12194" t="s">
        <v>531</v>
      </c>
      <c r="C12194">
        <v>594</v>
      </c>
      <c r="D12194">
        <v>564</v>
      </c>
      <c r="E12194">
        <v>0</v>
      </c>
      <c r="F12194">
        <v>247</v>
      </c>
      <c r="G12194">
        <v>0</v>
      </c>
      <c r="H12194" t="s">
        <v>17089</v>
      </c>
      <c r="I12194">
        <v>13728</v>
      </c>
      <c r="J12194" t="e">
        <f>VLOOKUP(E12194,DSSpieler!A:B,2,FALSE)</f>
        <v>#N/A</v>
      </c>
    </row>
    <row r="12195" spans="1:10" x14ac:dyDescent="0.25">
      <c r="A12195">
        <v>13729</v>
      </c>
      <c r="B12195" t="s">
        <v>34741</v>
      </c>
      <c r="C12195">
        <v>539</v>
      </c>
      <c r="D12195">
        <v>389</v>
      </c>
      <c r="E12195">
        <v>9380418</v>
      </c>
      <c r="F12195">
        <v>3508</v>
      </c>
      <c r="G12195">
        <v>0</v>
      </c>
      <c r="H12195" t="s">
        <v>17090</v>
      </c>
      <c r="I12195">
        <v>13729</v>
      </c>
      <c r="J12195" t="str">
        <f>VLOOKUP(E12195,DSSpieler!A:B,2,FALSE)</f>
        <v>Madafiii</v>
      </c>
    </row>
    <row r="12196" spans="1:10" x14ac:dyDescent="0.25">
      <c r="A12196">
        <v>13730</v>
      </c>
      <c r="B12196" t="s">
        <v>34742</v>
      </c>
      <c r="C12196">
        <v>559</v>
      </c>
      <c r="D12196">
        <v>405</v>
      </c>
      <c r="E12196">
        <v>1575899639</v>
      </c>
      <c r="F12196">
        <v>3879</v>
      </c>
      <c r="G12196">
        <v>0</v>
      </c>
      <c r="H12196" t="s">
        <v>17091</v>
      </c>
      <c r="I12196">
        <v>13730</v>
      </c>
      <c r="J12196" t="str">
        <f>VLOOKUP(E12196,DSSpieler!A:B,2,FALSE)</f>
        <v>psycho-destroyer</v>
      </c>
    </row>
    <row r="12197" spans="1:10" x14ac:dyDescent="0.25">
      <c r="A12197">
        <v>13731</v>
      </c>
      <c r="B12197" t="s">
        <v>34743</v>
      </c>
      <c r="C12197">
        <v>387</v>
      </c>
      <c r="D12197">
        <v>472</v>
      </c>
      <c r="E12197">
        <v>1576818570</v>
      </c>
      <c r="F12197">
        <v>4474</v>
      </c>
      <c r="G12197">
        <v>0</v>
      </c>
      <c r="H12197" t="s">
        <v>474</v>
      </c>
      <c r="I12197">
        <v>13731</v>
      </c>
      <c r="J12197" t="str">
        <f>VLOOKUP(E12197,DSSpieler!A:B,2,FALSE)</f>
        <v>Niclas1904</v>
      </c>
    </row>
    <row r="12198" spans="1:10" x14ac:dyDescent="0.25">
      <c r="A12198">
        <v>13732</v>
      </c>
      <c r="B12198" t="s">
        <v>531</v>
      </c>
      <c r="C12198">
        <v>581</v>
      </c>
      <c r="D12198">
        <v>417</v>
      </c>
      <c r="E12198">
        <v>0</v>
      </c>
      <c r="F12198">
        <v>171</v>
      </c>
      <c r="G12198">
        <v>0</v>
      </c>
      <c r="H12198" t="s">
        <v>17092</v>
      </c>
      <c r="I12198">
        <v>13732</v>
      </c>
      <c r="J12198" t="e">
        <f>VLOOKUP(E12198,DSSpieler!A:B,2,FALSE)</f>
        <v>#N/A</v>
      </c>
    </row>
    <row r="12199" spans="1:10" x14ac:dyDescent="0.25">
      <c r="A12199">
        <v>13734</v>
      </c>
      <c r="B12199" t="s">
        <v>1056</v>
      </c>
      <c r="C12199">
        <v>592</v>
      </c>
      <c r="D12199">
        <v>432</v>
      </c>
      <c r="E12199">
        <v>3300124</v>
      </c>
      <c r="F12199">
        <v>3332</v>
      </c>
      <c r="G12199">
        <v>0</v>
      </c>
      <c r="H12199" t="s">
        <v>17093</v>
      </c>
      <c r="I12199">
        <v>13734</v>
      </c>
      <c r="J12199" t="str">
        <f>VLOOKUP(E12199,DSSpieler!A:B,2,FALSE)</f>
        <v>King of World 30</v>
      </c>
    </row>
    <row r="12200" spans="1:10" x14ac:dyDescent="0.25">
      <c r="A12200">
        <v>13735</v>
      </c>
      <c r="B12200" t="s">
        <v>2254</v>
      </c>
      <c r="C12200">
        <v>590</v>
      </c>
      <c r="D12200">
        <v>424</v>
      </c>
      <c r="E12200">
        <v>1577200162</v>
      </c>
      <c r="F12200">
        <v>5302</v>
      </c>
      <c r="G12200">
        <v>0</v>
      </c>
      <c r="H12200" t="s">
        <v>17094</v>
      </c>
      <c r="I12200">
        <v>13735</v>
      </c>
      <c r="J12200" t="str">
        <f>VLOOKUP(E12200,DSSpieler!A:B,2,FALSE)</f>
        <v>schaneider</v>
      </c>
    </row>
    <row r="12201" spans="1:10" x14ac:dyDescent="0.25">
      <c r="A12201">
        <v>13736</v>
      </c>
      <c r="B12201" t="s">
        <v>34744</v>
      </c>
      <c r="C12201">
        <v>585</v>
      </c>
      <c r="D12201">
        <v>428</v>
      </c>
      <c r="E12201">
        <v>9287099</v>
      </c>
      <c r="F12201">
        <v>3554</v>
      </c>
      <c r="G12201">
        <v>0</v>
      </c>
      <c r="H12201" t="s">
        <v>17095</v>
      </c>
      <c r="I12201">
        <v>13736</v>
      </c>
      <c r="J12201" t="str">
        <f>VLOOKUP(E12201,DSSpieler!A:B,2,FALSE)</f>
        <v>Dango37</v>
      </c>
    </row>
    <row r="12202" spans="1:10" x14ac:dyDescent="0.25">
      <c r="A12202">
        <v>13737</v>
      </c>
      <c r="B12202" t="s">
        <v>2255</v>
      </c>
      <c r="C12202">
        <v>408</v>
      </c>
      <c r="D12202">
        <v>527</v>
      </c>
      <c r="E12202">
        <v>1577200170</v>
      </c>
      <c r="F12202">
        <v>3705</v>
      </c>
      <c r="G12202">
        <v>0</v>
      </c>
      <c r="H12202" t="s">
        <v>17096</v>
      </c>
      <c r="I12202">
        <v>13737</v>
      </c>
      <c r="J12202" t="str">
        <f>VLOOKUP(E12202,DSSpieler!A:B,2,FALSE)</f>
        <v>Just</v>
      </c>
    </row>
    <row r="12203" spans="1:10" x14ac:dyDescent="0.25">
      <c r="A12203">
        <v>13738</v>
      </c>
      <c r="B12203" t="s">
        <v>531</v>
      </c>
      <c r="C12203">
        <v>571</v>
      </c>
      <c r="D12203">
        <v>409</v>
      </c>
      <c r="E12203">
        <v>0</v>
      </c>
      <c r="F12203">
        <v>180</v>
      </c>
      <c r="G12203">
        <v>0</v>
      </c>
      <c r="H12203" t="s">
        <v>17097</v>
      </c>
      <c r="I12203">
        <v>13738</v>
      </c>
      <c r="J12203" t="e">
        <f>VLOOKUP(E12203,DSSpieler!A:B,2,FALSE)</f>
        <v>#N/A</v>
      </c>
    </row>
    <row r="12204" spans="1:10" x14ac:dyDescent="0.25">
      <c r="A12204">
        <v>13739</v>
      </c>
      <c r="B12204" t="s">
        <v>531</v>
      </c>
      <c r="C12204">
        <v>426</v>
      </c>
      <c r="D12204">
        <v>418</v>
      </c>
      <c r="E12204">
        <v>0</v>
      </c>
      <c r="F12204">
        <v>367</v>
      </c>
      <c r="G12204">
        <v>0</v>
      </c>
      <c r="H12204" t="s">
        <v>17098</v>
      </c>
      <c r="I12204">
        <v>13739</v>
      </c>
      <c r="J12204" t="e">
        <f>VLOOKUP(E12204,DSSpieler!A:B,2,FALSE)</f>
        <v>#N/A</v>
      </c>
    </row>
    <row r="12205" spans="1:10" x14ac:dyDescent="0.25">
      <c r="A12205">
        <v>13742</v>
      </c>
      <c r="B12205" t="s">
        <v>31376</v>
      </c>
      <c r="C12205">
        <v>409</v>
      </c>
      <c r="D12205">
        <v>431</v>
      </c>
      <c r="E12205">
        <v>1576135165</v>
      </c>
      <c r="F12205">
        <v>5136</v>
      </c>
      <c r="G12205">
        <v>0</v>
      </c>
      <c r="H12205" t="s">
        <v>17099</v>
      </c>
      <c r="I12205">
        <v>13742</v>
      </c>
      <c r="J12205" t="str">
        <f>VLOOKUP(E12205,DSSpieler!A:B,2,FALSE)</f>
        <v>BV Renekton</v>
      </c>
    </row>
    <row r="12206" spans="1:10" x14ac:dyDescent="0.25">
      <c r="A12206">
        <v>13743</v>
      </c>
      <c r="B12206">
        <v>1001011</v>
      </c>
      <c r="C12206">
        <v>616</v>
      </c>
      <c r="D12206">
        <v>492</v>
      </c>
      <c r="E12206">
        <v>3299904</v>
      </c>
      <c r="F12206">
        <v>2764</v>
      </c>
      <c r="G12206">
        <v>0</v>
      </c>
      <c r="H12206" t="s">
        <v>17100</v>
      </c>
      <c r="I12206">
        <v>13743</v>
      </c>
      <c r="J12206" t="str">
        <f>VLOOKUP(E12206,DSSpieler!A:B,2,FALSE)</f>
        <v>Kikas Reich</v>
      </c>
    </row>
    <row r="12207" spans="1:10" x14ac:dyDescent="0.25">
      <c r="A12207">
        <v>13744</v>
      </c>
      <c r="B12207" t="s">
        <v>531</v>
      </c>
      <c r="C12207">
        <v>461</v>
      </c>
      <c r="D12207">
        <v>394</v>
      </c>
      <c r="E12207">
        <v>0</v>
      </c>
      <c r="F12207">
        <v>168</v>
      </c>
      <c r="G12207">
        <v>0</v>
      </c>
      <c r="H12207" t="s">
        <v>17101</v>
      </c>
      <c r="I12207">
        <v>13744</v>
      </c>
      <c r="J12207" t="e">
        <f>VLOOKUP(E12207,DSSpieler!A:B,2,FALSE)</f>
        <v>#N/A</v>
      </c>
    </row>
    <row r="12208" spans="1:10" x14ac:dyDescent="0.25">
      <c r="A12208">
        <v>13745</v>
      </c>
      <c r="B12208" t="s">
        <v>531</v>
      </c>
      <c r="C12208">
        <v>606</v>
      </c>
      <c r="D12208">
        <v>535</v>
      </c>
      <c r="E12208">
        <v>0</v>
      </c>
      <c r="F12208">
        <v>232</v>
      </c>
      <c r="G12208">
        <v>0</v>
      </c>
      <c r="H12208" t="s">
        <v>17102</v>
      </c>
      <c r="I12208">
        <v>13745</v>
      </c>
      <c r="J12208" t="e">
        <f>VLOOKUP(E12208,DSSpieler!A:B,2,FALSE)</f>
        <v>#N/A</v>
      </c>
    </row>
    <row r="12209" spans="1:10" x14ac:dyDescent="0.25">
      <c r="A12209">
        <v>13746</v>
      </c>
      <c r="B12209" t="s">
        <v>531</v>
      </c>
      <c r="C12209">
        <v>384</v>
      </c>
      <c r="D12209">
        <v>492</v>
      </c>
      <c r="E12209">
        <v>0</v>
      </c>
      <c r="F12209">
        <v>180</v>
      </c>
      <c r="G12209">
        <v>0</v>
      </c>
      <c r="H12209" t="s">
        <v>17103</v>
      </c>
      <c r="I12209">
        <v>13746</v>
      </c>
      <c r="J12209" t="e">
        <f>VLOOKUP(E12209,DSSpieler!A:B,2,FALSE)</f>
        <v>#N/A</v>
      </c>
    </row>
    <row r="12210" spans="1:10" x14ac:dyDescent="0.25">
      <c r="A12210">
        <v>13747</v>
      </c>
      <c r="B12210" t="s">
        <v>531</v>
      </c>
      <c r="C12210">
        <v>406</v>
      </c>
      <c r="D12210">
        <v>564</v>
      </c>
      <c r="E12210">
        <v>0</v>
      </c>
      <c r="F12210">
        <v>317</v>
      </c>
      <c r="G12210">
        <v>0</v>
      </c>
      <c r="H12210" t="s">
        <v>17104</v>
      </c>
      <c r="I12210">
        <v>13747</v>
      </c>
      <c r="J12210" t="e">
        <f>VLOOKUP(E12210,DSSpieler!A:B,2,FALSE)</f>
        <v>#N/A</v>
      </c>
    </row>
    <row r="12211" spans="1:10" x14ac:dyDescent="0.25">
      <c r="A12211">
        <v>13748</v>
      </c>
      <c r="B12211" t="s">
        <v>34745</v>
      </c>
      <c r="C12211">
        <v>589</v>
      </c>
      <c r="D12211">
        <v>526</v>
      </c>
      <c r="E12211">
        <v>1577200180</v>
      </c>
      <c r="F12211">
        <v>5621</v>
      </c>
      <c r="G12211">
        <v>0</v>
      </c>
      <c r="H12211" t="s">
        <v>17105</v>
      </c>
      <c r="I12211">
        <v>13748</v>
      </c>
      <c r="J12211" t="str">
        <f>VLOOKUP(E12211,DSSpieler!A:B,2,FALSE)</f>
        <v>LadyTyrann</v>
      </c>
    </row>
    <row r="12212" spans="1:10" x14ac:dyDescent="0.25">
      <c r="A12212">
        <v>13749</v>
      </c>
      <c r="B12212" t="s">
        <v>531</v>
      </c>
      <c r="C12212">
        <v>439</v>
      </c>
      <c r="D12212">
        <v>402</v>
      </c>
      <c r="E12212">
        <v>0</v>
      </c>
      <c r="F12212">
        <v>177</v>
      </c>
      <c r="G12212">
        <v>0</v>
      </c>
      <c r="H12212" t="s">
        <v>17106</v>
      </c>
      <c r="I12212">
        <v>13749</v>
      </c>
      <c r="J12212" t="e">
        <f>VLOOKUP(E12212,DSSpieler!A:B,2,FALSE)</f>
        <v>#N/A</v>
      </c>
    </row>
    <row r="12213" spans="1:10" x14ac:dyDescent="0.25">
      <c r="A12213">
        <v>13750</v>
      </c>
      <c r="B12213" t="s">
        <v>531</v>
      </c>
      <c r="C12213">
        <v>614</v>
      </c>
      <c r="D12213">
        <v>480</v>
      </c>
      <c r="E12213">
        <v>0</v>
      </c>
      <c r="F12213">
        <v>224</v>
      </c>
      <c r="G12213">
        <v>0</v>
      </c>
      <c r="H12213" t="s">
        <v>17107</v>
      </c>
      <c r="I12213">
        <v>13750</v>
      </c>
      <c r="J12213" t="e">
        <f>VLOOKUP(E12213,DSSpieler!A:B,2,FALSE)</f>
        <v>#N/A</v>
      </c>
    </row>
    <row r="12214" spans="1:10" x14ac:dyDescent="0.25">
      <c r="A12214">
        <v>13751</v>
      </c>
      <c r="B12214" t="s">
        <v>2256</v>
      </c>
      <c r="C12214">
        <v>424</v>
      </c>
      <c r="D12214">
        <v>414</v>
      </c>
      <c r="E12214">
        <v>1577200167</v>
      </c>
      <c r="F12214">
        <v>1722</v>
      </c>
      <c r="G12214">
        <v>0</v>
      </c>
      <c r="H12214" t="s">
        <v>17108</v>
      </c>
      <c r="I12214">
        <v>13751</v>
      </c>
      <c r="J12214" t="str">
        <f>VLOOKUP(E12214,DSSpieler!A:B,2,FALSE)</f>
        <v>wubbelus</v>
      </c>
    </row>
    <row r="12215" spans="1:10" x14ac:dyDescent="0.25">
      <c r="A12215">
        <v>13752</v>
      </c>
      <c r="B12215" t="s">
        <v>531</v>
      </c>
      <c r="C12215">
        <v>407</v>
      </c>
      <c r="D12215">
        <v>567</v>
      </c>
      <c r="E12215">
        <v>0</v>
      </c>
      <c r="F12215">
        <v>824</v>
      </c>
      <c r="G12215">
        <v>0</v>
      </c>
      <c r="H12215" t="s">
        <v>17109</v>
      </c>
      <c r="I12215">
        <v>13752</v>
      </c>
      <c r="J12215" t="e">
        <f>VLOOKUP(E12215,DSSpieler!A:B,2,FALSE)</f>
        <v>#N/A</v>
      </c>
    </row>
    <row r="12216" spans="1:10" x14ac:dyDescent="0.25">
      <c r="A12216">
        <v>13754</v>
      </c>
      <c r="B12216" t="s">
        <v>2257</v>
      </c>
      <c r="C12216">
        <v>553</v>
      </c>
      <c r="D12216">
        <v>600</v>
      </c>
      <c r="E12216">
        <v>9654874</v>
      </c>
      <c r="F12216">
        <v>2220</v>
      </c>
      <c r="G12216">
        <v>0</v>
      </c>
      <c r="H12216" t="s">
        <v>17110</v>
      </c>
      <c r="I12216">
        <v>13754</v>
      </c>
      <c r="J12216" t="str">
        <f>VLOOKUP(E12216,DSSpieler!A:B,2,FALSE)</f>
        <v>Milady Marian</v>
      </c>
    </row>
    <row r="12217" spans="1:10" x14ac:dyDescent="0.25">
      <c r="A12217">
        <v>13755</v>
      </c>
      <c r="B12217" t="s">
        <v>34746</v>
      </c>
      <c r="C12217">
        <v>419</v>
      </c>
      <c r="D12217">
        <v>544</v>
      </c>
      <c r="E12217">
        <v>10036893</v>
      </c>
      <c r="F12217">
        <v>5590</v>
      </c>
      <c r="G12217">
        <v>0</v>
      </c>
      <c r="H12217" t="s">
        <v>17111</v>
      </c>
      <c r="I12217">
        <v>13755</v>
      </c>
      <c r="J12217" t="str">
        <f>VLOOKUP(E12217,DSSpieler!A:B,2,FALSE)</f>
        <v>Dihydrogenmonoxid</v>
      </c>
    </row>
    <row r="12218" spans="1:10" x14ac:dyDescent="0.25">
      <c r="A12218">
        <v>13757</v>
      </c>
      <c r="B12218" t="s">
        <v>32356</v>
      </c>
      <c r="C12218">
        <v>388</v>
      </c>
      <c r="D12218">
        <v>528</v>
      </c>
      <c r="E12218">
        <v>1577071766</v>
      </c>
      <c r="F12218">
        <v>3941</v>
      </c>
      <c r="G12218">
        <v>0</v>
      </c>
      <c r="H12218" t="s">
        <v>17112</v>
      </c>
      <c r="I12218">
        <v>13757</v>
      </c>
      <c r="J12218" t="str">
        <f>VLOOKUP(E12218,DSSpieler!A:B,2,FALSE)</f>
        <v>Drizzlek</v>
      </c>
    </row>
    <row r="12219" spans="1:10" x14ac:dyDescent="0.25">
      <c r="A12219">
        <v>13758</v>
      </c>
      <c r="B12219" t="s">
        <v>31184</v>
      </c>
      <c r="C12219">
        <v>583</v>
      </c>
      <c r="D12219">
        <v>419</v>
      </c>
      <c r="E12219">
        <v>1577183278</v>
      </c>
      <c r="F12219">
        <v>4052</v>
      </c>
      <c r="G12219">
        <v>0</v>
      </c>
      <c r="H12219" t="s">
        <v>17113</v>
      </c>
      <c r="I12219">
        <v>13758</v>
      </c>
      <c r="J12219" t="str">
        <f>VLOOKUP(E12219,DSSpieler!A:B,2,FALSE)</f>
        <v>haltdieFresse-Ingo</v>
      </c>
    </row>
    <row r="12220" spans="1:10" x14ac:dyDescent="0.25">
      <c r="A12220">
        <v>13759</v>
      </c>
      <c r="B12220" t="s">
        <v>34747</v>
      </c>
      <c r="C12220">
        <v>573</v>
      </c>
      <c r="D12220">
        <v>415</v>
      </c>
      <c r="E12220">
        <v>9657555</v>
      </c>
      <c r="F12220">
        <v>4710</v>
      </c>
      <c r="G12220">
        <v>0</v>
      </c>
      <c r="H12220" t="s">
        <v>17114</v>
      </c>
      <c r="I12220">
        <v>13759</v>
      </c>
      <c r="J12220" t="str">
        <f>VLOOKUP(E12220,DSSpieler!A:B,2,FALSE)</f>
        <v>saubau..42</v>
      </c>
    </row>
    <row r="12221" spans="1:10" x14ac:dyDescent="0.25">
      <c r="A12221">
        <v>13760</v>
      </c>
      <c r="B12221" t="s">
        <v>34748</v>
      </c>
      <c r="C12221">
        <v>588</v>
      </c>
      <c r="D12221">
        <v>428</v>
      </c>
      <c r="E12221">
        <v>1577199929</v>
      </c>
      <c r="F12221">
        <v>3314</v>
      </c>
      <c r="G12221">
        <v>0</v>
      </c>
      <c r="H12221" t="s">
        <v>17115</v>
      </c>
      <c r="I12221">
        <v>13760</v>
      </c>
      <c r="J12221" t="str">
        <f>VLOOKUP(E12221,DSSpieler!A:B,2,FALSE)</f>
        <v>baba1</v>
      </c>
    </row>
    <row r="12222" spans="1:10" x14ac:dyDescent="0.25">
      <c r="A12222">
        <v>13761</v>
      </c>
      <c r="B12222" t="s">
        <v>531</v>
      </c>
      <c r="C12222">
        <v>594</v>
      </c>
      <c r="D12222">
        <v>545</v>
      </c>
      <c r="E12222">
        <v>0</v>
      </c>
      <c r="F12222">
        <v>458</v>
      </c>
      <c r="G12222">
        <v>0</v>
      </c>
      <c r="H12222" t="s">
        <v>17116</v>
      </c>
      <c r="I12222">
        <v>13761</v>
      </c>
      <c r="J12222" t="e">
        <f>VLOOKUP(E12222,DSSpieler!A:B,2,FALSE)</f>
        <v>#N/A</v>
      </c>
    </row>
    <row r="12223" spans="1:10" x14ac:dyDescent="0.25">
      <c r="A12223">
        <v>13762</v>
      </c>
      <c r="B12223" t="s">
        <v>531</v>
      </c>
      <c r="C12223">
        <v>611</v>
      </c>
      <c r="D12223">
        <v>492</v>
      </c>
      <c r="E12223">
        <v>0</v>
      </c>
      <c r="F12223">
        <v>412</v>
      </c>
      <c r="G12223">
        <v>0</v>
      </c>
      <c r="H12223" t="s">
        <v>17117</v>
      </c>
      <c r="I12223">
        <v>13762</v>
      </c>
      <c r="J12223" t="e">
        <f>VLOOKUP(E12223,DSSpieler!A:B,2,FALSE)</f>
        <v>#N/A</v>
      </c>
    </row>
    <row r="12224" spans="1:10" x14ac:dyDescent="0.25">
      <c r="A12224">
        <v>13763</v>
      </c>
      <c r="B12224" t="s">
        <v>34749</v>
      </c>
      <c r="C12224">
        <v>564</v>
      </c>
      <c r="D12224">
        <v>520</v>
      </c>
      <c r="E12224">
        <v>1577163731</v>
      </c>
      <c r="F12224">
        <v>7092</v>
      </c>
      <c r="G12224">
        <v>0</v>
      </c>
      <c r="H12224" t="s">
        <v>17118</v>
      </c>
      <c r="I12224">
        <v>13763</v>
      </c>
      <c r="J12224" t="str">
        <f>VLOOKUP(E12224,DSSpieler!A:B,2,FALSE)</f>
        <v>Zabum</v>
      </c>
    </row>
    <row r="12225" spans="1:10" x14ac:dyDescent="0.25">
      <c r="A12225">
        <v>13764</v>
      </c>
      <c r="B12225" t="s">
        <v>2258</v>
      </c>
      <c r="C12225">
        <v>498</v>
      </c>
      <c r="D12225">
        <v>401</v>
      </c>
      <c r="E12225">
        <v>1577176424</v>
      </c>
      <c r="F12225">
        <v>774</v>
      </c>
      <c r="G12225">
        <v>0</v>
      </c>
      <c r="H12225" t="s">
        <v>17119</v>
      </c>
      <c r="I12225">
        <v>13764</v>
      </c>
      <c r="J12225" t="str">
        <f>VLOOKUP(E12225,DSSpieler!A:B,2,FALSE)</f>
        <v>Bierabteilung</v>
      </c>
    </row>
    <row r="12226" spans="1:10" x14ac:dyDescent="0.25">
      <c r="A12226">
        <v>13765</v>
      </c>
      <c r="B12226" t="s">
        <v>531</v>
      </c>
      <c r="C12226">
        <v>486</v>
      </c>
      <c r="D12226">
        <v>388</v>
      </c>
      <c r="E12226">
        <v>0</v>
      </c>
      <c r="F12226">
        <v>402</v>
      </c>
      <c r="G12226">
        <v>0</v>
      </c>
      <c r="H12226" t="s">
        <v>17120</v>
      </c>
      <c r="I12226">
        <v>13765</v>
      </c>
      <c r="J12226" t="e">
        <f>VLOOKUP(E12226,DSSpieler!A:B,2,FALSE)</f>
        <v>#N/A</v>
      </c>
    </row>
    <row r="12227" spans="1:10" x14ac:dyDescent="0.25">
      <c r="A12227">
        <v>13766</v>
      </c>
      <c r="B12227" t="s">
        <v>531</v>
      </c>
      <c r="C12227">
        <v>523</v>
      </c>
      <c r="D12227">
        <v>606</v>
      </c>
      <c r="E12227">
        <v>0</v>
      </c>
      <c r="F12227">
        <v>785</v>
      </c>
      <c r="G12227">
        <v>0</v>
      </c>
      <c r="H12227" t="s">
        <v>17121</v>
      </c>
      <c r="I12227">
        <v>13766</v>
      </c>
      <c r="J12227" t="e">
        <f>VLOOKUP(E12227,DSSpieler!A:B,2,FALSE)</f>
        <v>#N/A</v>
      </c>
    </row>
    <row r="12228" spans="1:10" x14ac:dyDescent="0.25">
      <c r="A12228">
        <v>13767</v>
      </c>
      <c r="B12228" t="s">
        <v>531</v>
      </c>
      <c r="C12228">
        <v>435</v>
      </c>
      <c r="D12228">
        <v>590</v>
      </c>
      <c r="E12228">
        <v>0</v>
      </c>
      <c r="F12228">
        <v>169</v>
      </c>
      <c r="G12228">
        <v>0</v>
      </c>
      <c r="H12228" t="s">
        <v>17122</v>
      </c>
      <c r="I12228">
        <v>13767</v>
      </c>
      <c r="J12228" t="e">
        <f>VLOOKUP(E12228,DSSpieler!A:B,2,FALSE)</f>
        <v>#N/A</v>
      </c>
    </row>
    <row r="12229" spans="1:10" x14ac:dyDescent="0.25">
      <c r="A12229">
        <v>13768</v>
      </c>
      <c r="B12229" t="s">
        <v>34750</v>
      </c>
      <c r="C12229">
        <v>614</v>
      </c>
      <c r="D12229">
        <v>477</v>
      </c>
      <c r="E12229">
        <v>1577167171</v>
      </c>
      <c r="F12229">
        <v>1530</v>
      </c>
      <c r="G12229">
        <v>0</v>
      </c>
      <c r="H12229" t="s">
        <v>17123</v>
      </c>
      <c r="I12229">
        <v>13768</v>
      </c>
      <c r="J12229" t="str">
        <f>VLOOKUP(E12229,DSSpieler!A:B,2,FALSE)</f>
        <v>affenstuhl</v>
      </c>
    </row>
    <row r="12230" spans="1:10" x14ac:dyDescent="0.25">
      <c r="A12230">
        <v>13769</v>
      </c>
      <c r="B12230" t="s">
        <v>34751</v>
      </c>
      <c r="C12230">
        <v>481</v>
      </c>
      <c r="D12230">
        <v>458</v>
      </c>
      <c r="E12230">
        <v>1576533418</v>
      </c>
      <c r="F12230">
        <v>1046</v>
      </c>
      <c r="G12230">
        <v>0</v>
      </c>
      <c r="H12230" t="s">
        <v>17124</v>
      </c>
      <c r="I12230">
        <v>13769</v>
      </c>
      <c r="J12230" t="str">
        <f>VLOOKUP(E12230,DSSpieler!A:B,2,FALSE)</f>
        <v>likeHell</v>
      </c>
    </row>
    <row r="12231" spans="1:10" x14ac:dyDescent="0.25">
      <c r="A12231">
        <v>13770</v>
      </c>
      <c r="B12231" t="s">
        <v>531</v>
      </c>
      <c r="C12231">
        <v>439</v>
      </c>
      <c r="D12231">
        <v>596</v>
      </c>
      <c r="E12231">
        <v>0</v>
      </c>
      <c r="F12231">
        <v>334</v>
      </c>
      <c r="G12231">
        <v>0</v>
      </c>
      <c r="H12231" t="s">
        <v>17125</v>
      </c>
      <c r="I12231">
        <v>13770</v>
      </c>
      <c r="J12231" t="e">
        <f>VLOOKUP(E12231,DSSpieler!A:B,2,FALSE)</f>
        <v>#N/A</v>
      </c>
    </row>
    <row r="12232" spans="1:10" x14ac:dyDescent="0.25">
      <c r="A12232">
        <v>13772</v>
      </c>
      <c r="B12232" t="s">
        <v>34752</v>
      </c>
      <c r="C12232">
        <v>393</v>
      </c>
      <c r="D12232">
        <v>457</v>
      </c>
      <c r="E12232">
        <v>1577192142</v>
      </c>
      <c r="F12232">
        <v>5302</v>
      </c>
      <c r="G12232">
        <v>0</v>
      </c>
      <c r="H12232" t="s">
        <v>501</v>
      </c>
      <c r="I12232">
        <v>13772</v>
      </c>
      <c r="J12232" t="str">
        <f>VLOOKUP(E12232,DSSpieler!A:B,2,FALSE)</f>
        <v>Ovii</v>
      </c>
    </row>
    <row r="12233" spans="1:10" x14ac:dyDescent="0.25">
      <c r="A12233">
        <v>13773</v>
      </c>
      <c r="B12233" t="s">
        <v>34753</v>
      </c>
      <c r="C12233">
        <v>475</v>
      </c>
      <c r="D12233">
        <v>585</v>
      </c>
      <c r="E12233">
        <v>1577160660</v>
      </c>
      <c r="F12233">
        <v>6654</v>
      </c>
      <c r="G12233">
        <v>0</v>
      </c>
      <c r="H12233" t="s">
        <v>17126</v>
      </c>
      <c r="I12233">
        <v>13773</v>
      </c>
      <c r="J12233" t="str">
        <f>VLOOKUP(E12233,DSSpieler!A:B,2,FALSE)</f>
        <v>Muddii</v>
      </c>
    </row>
    <row r="12234" spans="1:10" x14ac:dyDescent="0.25">
      <c r="A12234">
        <v>13774</v>
      </c>
      <c r="B12234" t="s">
        <v>34754</v>
      </c>
      <c r="C12234">
        <v>387</v>
      </c>
      <c r="D12234">
        <v>507</v>
      </c>
      <c r="E12234">
        <v>1577037525</v>
      </c>
      <c r="F12234">
        <v>275</v>
      </c>
      <c r="G12234">
        <v>0</v>
      </c>
      <c r="H12234" t="s">
        <v>17127</v>
      </c>
      <c r="I12234">
        <v>13774</v>
      </c>
      <c r="J12234" t="str">
        <f>VLOOKUP(E12234,DSSpieler!A:B,2,FALSE)</f>
        <v>lenfealis is back</v>
      </c>
    </row>
    <row r="12235" spans="1:10" x14ac:dyDescent="0.25">
      <c r="A12235">
        <v>13775</v>
      </c>
      <c r="B12235" t="s">
        <v>531</v>
      </c>
      <c r="C12235">
        <v>455</v>
      </c>
      <c r="D12235">
        <v>396</v>
      </c>
      <c r="E12235">
        <v>0</v>
      </c>
      <c r="F12235">
        <v>238</v>
      </c>
      <c r="G12235">
        <v>0</v>
      </c>
      <c r="H12235" t="s">
        <v>17128</v>
      </c>
      <c r="I12235">
        <v>13775</v>
      </c>
      <c r="J12235" t="e">
        <f>VLOOKUP(E12235,DSSpieler!A:B,2,FALSE)</f>
        <v>#N/A</v>
      </c>
    </row>
    <row r="12236" spans="1:10" x14ac:dyDescent="0.25">
      <c r="A12236">
        <v>13776</v>
      </c>
      <c r="B12236" t="s">
        <v>34755</v>
      </c>
      <c r="C12236">
        <v>392</v>
      </c>
      <c r="D12236">
        <v>468</v>
      </c>
      <c r="E12236">
        <v>9759172</v>
      </c>
      <c r="F12236">
        <v>5453</v>
      </c>
      <c r="G12236">
        <v>0</v>
      </c>
      <c r="H12236" t="s">
        <v>476</v>
      </c>
      <c r="I12236">
        <v>13776</v>
      </c>
      <c r="J12236" t="str">
        <f>VLOOKUP(E12236,DSSpieler!A:B,2,FALSE)</f>
        <v>mykeee</v>
      </c>
    </row>
    <row r="12237" spans="1:10" x14ac:dyDescent="0.25">
      <c r="A12237">
        <v>13778</v>
      </c>
      <c r="B12237" t="s">
        <v>34756</v>
      </c>
      <c r="C12237">
        <v>498</v>
      </c>
      <c r="D12237">
        <v>465</v>
      </c>
      <c r="E12237">
        <v>1577200214</v>
      </c>
      <c r="F12237">
        <v>6571</v>
      </c>
      <c r="G12237">
        <v>0</v>
      </c>
      <c r="H12237" t="s">
        <v>17129</v>
      </c>
      <c r="I12237">
        <v>13778</v>
      </c>
      <c r="J12237" t="str">
        <f>VLOOKUP(E12237,DSSpieler!A:B,2,FALSE)</f>
        <v>Huraknächt</v>
      </c>
    </row>
    <row r="12238" spans="1:10" x14ac:dyDescent="0.25">
      <c r="A12238">
        <v>13779</v>
      </c>
      <c r="B12238" t="s">
        <v>531</v>
      </c>
      <c r="C12238">
        <v>598</v>
      </c>
      <c r="D12238">
        <v>447</v>
      </c>
      <c r="E12238">
        <v>0</v>
      </c>
      <c r="F12238">
        <v>178</v>
      </c>
      <c r="G12238">
        <v>0</v>
      </c>
      <c r="H12238" t="s">
        <v>17130</v>
      </c>
      <c r="I12238">
        <v>13779</v>
      </c>
      <c r="J12238" t="e">
        <f>VLOOKUP(E12238,DSSpieler!A:B,2,FALSE)</f>
        <v>#N/A</v>
      </c>
    </row>
    <row r="12239" spans="1:10" x14ac:dyDescent="0.25">
      <c r="A12239">
        <v>13780</v>
      </c>
      <c r="B12239">
        <v>1</v>
      </c>
      <c r="C12239">
        <v>606</v>
      </c>
      <c r="D12239">
        <v>453</v>
      </c>
      <c r="E12239">
        <v>1790768</v>
      </c>
      <c r="F12239">
        <v>5318</v>
      </c>
      <c r="G12239">
        <v>0</v>
      </c>
      <c r="H12239" t="s">
        <v>17131</v>
      </c>
      <c r="I12239">
        <v>13780</v>
      </c>
      <c r="J12239" t="str">
        <f>VLOOKUP(E12239,DSSpieler!A:B,2,FALSE)</f>
        <v>afa11</v>
      </c>
    </row>
    <row r="12240" spans="1:10" x14ac:dyDescent="0.25">
      <c r="A12240">
        <v>13781</v>
      </c>
      <c r="B12240" t="s">
        <v>34757</v>
      </c>
      <c r="C12240">
        <v>447</v>
      </c>
      <c r="D12240">
        <v>592</v>
      </c>
      <c r="E12240">
        <v>9336009</v>
      </c>
      <c r="F12240">
        <v>2485</v>
      </c>
      <c r="G12240">
        <v>0</v>
      </c>
      <c r="H12240" t="s">
        <v>17132</v>
      </c>
      <c r="I12240">
        <v>13781</v>
      </c>
      <c r="J12240" t="str">
        <f>VLOOKUP(E12240,DSSpieler!A:B,2,FALSE)</f>
        <v>Spielmann Lindner</v>
      </c>
    </row>
    <row r="12241" spans="1:10" x14ac:dyDescent="0.25">
      <c r="A12241">
        <v>13782</v>
      </c>
      <c r="B12241" t="s">
        <v>531</v>
      </c>
      <c r="C12241">
        <v>403</v>
      </c>
      <c r="D12241">
        <v>557</v>
      </c>
      <c r="E12241">
        <v>0</v>
      </c>
      <c r="F12241">
        <v>170</v>
      </c>
      <c r="G12241">
        <v>0</v>
      </c>
      <c r="H12241" t="s">
        <v>17133</v>
      </c>
      <c r="I12241">
        <v>13782</v>
      </c>
      <c r="J12241" t="e">
        <f>VLOOKUP(E12241,DSSpieler!A:B,2,FALSE)</f>
        <v>#N/A</v>
      </c>
    </row>
    <row r="12242" spans="1:10" x14ac:dyDescent="0.25">
      <c r="A12242">
        <v>13783</v>
      </c>
      <c r="B12242" t="s">
        <v>531</v>
      </c>
      <c r="C12242">
        <v>405</v>
      </c>
      <c r="D12242">
        <v>433</v>
      </c>
      <c r="E12242">
        <v>0</v>
      </c>
      <c r="F12242">
        <v>320</v>
      </c>
      <c r="G12242">
        <v>0</v>
      </c>
      <c r="H12242" t="s">
        <v>17134</v>
      </c>
      <c r="I12242">
        <v>13783</v>
      </c>
      <c r="J12242" t="e">
        <f>VLOOKUP(E12242,DSSpieler!A:B,2,FALSE)</f>
        <v>#N/A</v>
      </c>
    </row>
    <row r="12243" spans="1:10" x14ac:dyDescent="0.25">
      <c r="A12243">
        <v>13784</v>
      </c>
      <c r="B12243" t="s">
        <v>2259</v>
      </c>
      <c r="C12243">
        <v>387</v>
      </c>
      <c r="D12243">
        <v>474</v>
      </c>
      <c r="E12243">
        <v>1575923303</v>
      </c>
      <c r="F12243">
        <v>2982</v>
      </c>
      <c r="G12243">
        <v>0</v>
      </c>
      <c r="H12243" t="s">
        <v>463</v>
      </c>
      <c r="I12243">
        <v>13784</v>
      </c>
      <c r="J12243" t="str">
        <f>VLOOKUP(E12243,DSSpieler!A:B,2,FALSE)</f>
        <v>matzebvb</v>
      </c>
    </row>
    <row r="12244" spans="1:10" x14ac:dyDescent="0.25">
      <c r="A12244">
        <v>13785</v>
      </c>
      <c r="B12244" t="s">
        <v>1323</v>
      </c>
      <c r="C12244">
        <v>424</v>
      </c>
      <c r="D12244">
        <v>586</v>
      </c>
      <c r="E12244">
        <v>8342313</v>
      </c>
      <c r="F12244">
        <v>964</v>
      </c>
      <c r="G12244">
        <v>0</v>
      </c>
      <c r="H12244" t="s">
        <v>17135</v>
      </c>
      <c r="I12244">
        <v>13785</v>
      </c>
      <c r="J12244" t="str">
        <f>VLOOKUP(E12244,DSSpieler!A:B,2,FALSE)</f>
        <v>Jaqen H ghar</v>
      </c>
    </row>
    <row r="12245" spans="1:10" x14ac:dyDescent="0.25">
      <c r="A12245">
        <v>13786</v>
      </c>
      <c r="B12245" t="s">
        <v>1311</v>
      </c>
      <c r="C12245">
        <v>389</v>
      </c>
      <c r="D12245">
        <v>542</v>
      </c>
      <c r="E12245">
        <v>1577200135</v>
      </c>
      <c r="F12245">
        <v>4904</v>
      </c>
      <c r="G12245">
        <v>0</v>
      </c>
      <c r="H12245" t="s">
        <v>17136</v>
      </c>
      <c r="I12245">
        <v>13786</v>
      </c>
      <c r="J12245" t="str">
        <f>VLOOKUP(E12245,DSSpieler!A:B,2,FALSE)</f>
        <v>S1ckFlick</v>
      </c>
    </row>
    <row r="12246" spans="1:10" x14ac:dyDescent="0.25">
      <c r="A12246">
        <v>13788</v>
      </c>
      <c r="B12246" t="s">
        <v>531</v>
      </c>
      <c r="C12246">
        <v>396</v>
      </c>
      <c r="D12246">
        <v>461</v>
      </c>
      <c r="E12246">
        <v>0</v>
      </c>
      <c r="F12246">
        <v>517</v>
      </c>
      <c r="G12246">
        <v>0</v>
      </c>
      <c r="H12246" t="s">
        <v>17137</v>
      </c>
      <c r="I12246">
        <v>13788</v>
      </c>
      <c r="J12246" t="e">
        <f>VLOOKUP(E12246,DSSpieler!A:B,2,FALSE)</f>
        <v>#N/A</v>
      </c>
    </row>
    <row r="12247" spans="1:10" x14ac:dyDescent="0.25">
      <c r="A12247">
        <v>13789</v>
      </c>
      <c r="B12247" t="s">
        <v>593</v>
      </c>
      <c r="C12247">
        <v>608</v>
      </c>
      <c r="D12247">
        <v>460</v>
      </c>
      <c r="E12247">
        <v>1577196233</v>
      </c>
      <c r="F12247">
        <v>4346</v>
      </c>
      <c r="G12247">
        <v>0</v>
      </c>
      <c r="H12247" t="s">
        <v>17138</v>
      </c>
      <c r="I12247">
        <v>13789</v>
      </c>
      <c r="J12247" t="str">
        <f>VLOOKUP(E12247,DSSpieler!A:B,2,FALSE)</f>
        <v>Bakeroll</v>
      </c>
    </row>
    <row r="12248" spans="1:10" x14ac:dyDescent="0.25">
      <c r="A12248">
        <v>13790</v>
      </c>
      <c r="B12248" t="s">
        <v>2260</v>
      </c>
      <c r="C12248">
        <v>616</v>
      </c>
      <c r="D12248">
        <v>511</v>
      </c>
      <c r="E12248">
        <v>8848121</v>
      </c>
      <c r="F12248">
        <v>456</v>
      </c>
      <c r="G12248">
        <v>0</v>
      </c>
      <c r="H12248" t="s">
        <v>17139</v>
      </c>
      <c r="I12248">
        <v>13790</v>
      </c>
      <c r="J12248" t="str">
        <f>VLOOKUP(E12248,DSSpieler!A:B,2,FALSE)</f>
        <v>Light Lion</v>
      </c>
    </row>
    <row r="12249" spans="1:10" x14ac:dyDescent="0.25">
      <c r="A12249">
        <v>13791</v>
      </c>
      <c r="B12249" t="s">
        <v>2261</v>
      </c>
      <c r="C12249">
        <v>428</v>
      </c>
      <c r="D12249">
        <v>412</v>
      </c>
      <c r="E12249">
        <v>7904967</v>
      </c>
      <c r="F12249">
        <v>232</v>
      </c>
      <c r="G12249">
        <v>0</v>
      </c>
      <c r="H12249" t="s">
        <v>17140</v>
      </c>
      <c r="I12249">
        <v>13791</v>
      </c>
      <c r="J12249" t="str">
        <f>VLOOKUP(E12249,DSSpieler!A:B,2,FALSE)</f>
        <v>East India Company</v>
      </c>
    </row>
    <row r="12250" spans="1:10" x14ac:dyDescent="0.25">
      <c r="A12250">
        <v>13792</v>
      </c>
      <c r="B12250" t="s">
        <v>2262</v>
      </c>
      <c r="C12250">
        <v>430</v>
      </c>
      <c r="D12250">
        <v>406</v>
      </c>
      <c r="E12250">
        <v>1575900433</v>
      </c>
      <c r="F12250">
        <v>1132</v>
      </c>
      <c r="G12250">
        <v>0</v>
      </c>
      <c r="H12250" t="s">
        <v>17141</v>
      </c>
      <c r="I12250">
        <v>13792</v>
      </c>
      <c r="J12250" t="str">
        <f>VLOOKUP(E12250,DSSpieler!A:B,2,FALSE)</f>
        <v>samlalap</v>
      </c>
    </row>
    <row r="12251" spans="1:10" x14ac:dyDescent="0.25">
      <c r="A12251">
        <v>13794</v>
      </c>
      <c r="B12251" t="s">
        <v>531</v>
      </c>
      <c r="C12251">
        <v>467</v>
      </c>
      <c r="D12251">
        <v>610</v>
      </c>
      <c r="E12251">
        <v>0</v>
      </c>
      <c r="F12251">
        <v>896</v>
      </c>
      <c r="G12251">
        <v>0</v>
      </c>
      <c r="H12251" t="s">
        <v>17142</v>
      </c>
      <c r="I12251">
        <v>13794</v>
      </c>
      <c r="J12251" t="e">
        <f>VLOOKUP(E12251,DSSpieler!A:B,2,FALSE)</f>
        <v>#N/A</v>
      </c>
    </row>
    <row r="12252" spans="1:10" x14ac:dyDescent="0.25">
      <c r="A12252">
        <v>13795</v>
      </c>
      <c r="B12252" t="s">
        <v>531</v>
      </c>
      <c r="C12252">
        <v>577</v>
      </c>
      <c r="D12252">
        <v>416</v>
      </c>
      <c r="E12252">
        <v>0</v>
      </c>
      <c r="F12252">
        <v>243</v>
      </c>
      <c r="G12252">
        <v>0</v>
      </c>
      <c r="H12252" t="s">
        <v>17143</v>
      </c>
      <c r="I12252">
        <v>13795</v>
      </c>
      <c r="J12252" t="e">
        <f>VLOOKUP(E12252,DSSpieler!A:B,2,FALSE)</f>
        <v>#N/A</v>
      </c>
    </row>
    <row r="12253" spans="1:10" x14ac:dyDescent="0.25">
      <c r="A12253">
        <v>13796</v>
      </c>
      <c r="B12253" t="s">
        <v>531</v>
      </c>
      <c r="C12253">
        <v>394</v>
      </c>
      <c r="D12253">
        <v>540</v>
      </c>
      <c r="E12253">
        <v>0</v>
      </c>
      <c r="F12253">
        <v>290</v>
      </c>
      <c r="G12253">
        <v>0</v>
      </c>
      <c r="H12253" t="s">
        <v>17144</v>
      </c>
      <c r="I12253">
        <v>13796</v>
      </c>
      <c r="J12253" t="e">
        <f>VLOOKUP(E12253,DSSpieler!A:B,2,FALSE)</f>
        <v>#N/A</v>
      </c>
    </row>
    <row r="12254" spans="1:10" x14ac:dyDescent="0.25">
      <c r="A12254">
        <v>13797</v>
      </c>
      <c r="B12254" t="s">
        <v>531</v>
      </c>
      <c r="C12254">
        <v>562</v>
      </c>
      <c r="D12254">
        <v>592</v>
      </c>
      <c r="E12254">
        <v>0</v>
      </c>
      <c r="F12254">
        <v>299</v>
      </c>
      <c r="G12254">
        <v>0</v>
      </c>
      <c r="H12254" t="s">
        <v>17145</v>
      </c>
      <c r="I12254">
        <v>13797</v>
      </c>
      <c r="J12254" t="e">
        <f>VLOOKUP(E12254,DSSpieler!A:B,2,FALSE)</f>
        <v>#N/A</v>
      </c>
    </row>
    <row r="12255" spans="1:10" x14ac:dyDescent="0.25">
      <c r="A12255">
        <v>13798</v>
      </c>
      <c r="B12255" t="s">
        <v>531</v>
      </c>
      <c r="C12255">
        <v>419</v>
      </c>
      <c r="D12255">
        <v>520</v>
      </c>
      <c r="E12255">
        <v>1577114186</v>
      </c>
      <c r="F12255">
        <v>1475</v>
      </c>
      <c r="G12255">
        <v>0</v>
      </c>
      <c r="H12255" t="s">
        <v>17146</v>
      </c>
      <c r="I12255">
        <v>13798</v>
      </c>
      <c r="J12255" t="str">
        <f>VLOOKUP(E12255,DSSpieler!A:B,2,FALSE)</f>
        <v>gruber</v>
      </c>
    </row>
    <row r="12256" spans="1:10" x14ac:dyDescent="0.25">
      <c r="A12256">
        <v>13799</v>
      </c>
      <c r="B12256" t="s">
        <v>34758</v>
      </c>
      <c r="C12256">
        <v>454</v>
      </c>
      <c r="D12256">
        <v>525</v>
      </c>
      <c r="E12256">
        <v>1577135728</v>
      </c>
      <c r="F12256">
        <v>7021</v>
      </c>
      <c r="G12256">
        <v>0</v>
      </c>
      <c r="H12256" t="s">
        <v>17147</v>
      </c>
      <c r="I12256">
        <v>13799</v>
      </c>
      <c r="J12256" t="str">
        <f>VLOOKUP(E12256,DSSpieler!A:B,2,FALSE)</f>
        <v>Nilser</v>
      </c>
    </row>
    <row r="12257" spans="1:10" x14ac:dyDescent="0.25">
      <c r="A12257">
        <v>13800</v>
      </c>
      <c r="B12257" t="s">
        <v>531</v>
      </c>
      <c r="C12257">
        <v>396</v>
      </c>
      <c r="D12257">
        <v>457</v>
      </c>
      <c r="E12257">
        <v>0</v>
      </c>
      <c r="F12257">
        <v>314</v>
      </c>
      <c r="G12257">
        <v>0</v>
      </c>
      <c r="H12257" t="s">
        <v>17148</v>
      </c>
      <c r="I12257">
        <v>13800</v>
      </c>
      <c r="J12257" t="e">
        <f>VLOOKUP(E12257,DSSpieler!A:B,2,FALSE)</f>
        <v>#N/A</v>
      </c>
    </row>
    <row r="12258" spans="1:10" x14ac:dyDescent="0.25">
      <c r="A12258">
        <v>13802</v>
      </c>
      <c r="B12258" t="s">
        <v>531</v>
      </c>
      <c r="C12258">
        <v>490</v>
      </c>
      <c r="D12258">
        <v>615</v>
      </c>
      <c r="E12258">
        <v>0</v>
      </c>
      <c r="F12258">
        <v>290</v>
      </c>
      <c r="G12258">
        <v>0</v>
      </c>
      <c r="H12258" t="s">
        <v>17149</v>
      </c>
      <c r="I12258">
        <v>13802</v>
      </c>
      <c r="J12258" t="e">
        <f>VLOOKUP(E12258,DSSpieler!A:B,2,FALSE)</f>
        <v>#N/A</v>
      </c>
    </row>
    <row r="12259" spans="1:10" x14ac:dyDescent="0.25">
      <c r="A12259">
        <v>13803</v>
      </c>
      <c r="B12259" t="s">
        <v>531</v>
      </c>
      <c r="C12259">
        <v>483</v>
      </c>
      <c r="D12259">
        <v>568</v>
      </c>
      <c r="E12259">
        <v>0</v>
      </c>
      <c r="F12259">
        <v>75</v>
      </c>
      <c r="G12259">
        <v>0</v>
      </c>
      <c r="H12259" t="s">
        <v>17150</v>
      </c>
      <c r="I12259">
        <v>13803</v>
      </c>
      <c r="J12259" t="e">
        <f>VLOOKUP(E12259,DSSpieler!A:B,2,FALSE)</f>
        <v>#N/A</v>
      </c>
    </row>
    <row r="12260" spans="1:10" x14ac:dyDescent="0.25">
      <c r="A12260">
        <v>13804</v>
      </c>
      <c r="B12260" t="s">
        <v>34759</v>
      </c>
      <c r="C12260">
        <v>475</v>
      </c>
      <c r="D12260">
        <v>557</v>
      </c>
      <c r="E12260">
        <v>1577077828</v>
      </c>
      <c r="F12260">
        <v>2518</v>
      </c>
      <c r="G12260">
        <v>0</v>
      </c>
      <c r="H12260" t="s">
        <v>17151</v>
      </c>
      <c r="I12260">
        <v>13804</v>
      </c>
      <c r="J12260" t="str">
        <f>VLOOKUP(E12260,DSSpieler!A:B,2,FALSE)</f>
        <v>QuaponiiX</v>
      </c>
    </row>
    <row r="12261" spans="1:10" x14ac:dyDescent="0.25">
      <c r="A12261">
        <v>13805</v>
      </c>
      <c r="B12261" t="s">
        <v>531</v>
      </c>
      <c r="C12261">
        <v>464</v>
      </c>
      <c r="D12261">
        <v>610</v>
      </c>
      <c r="E12261">
        <v>0</v>
      </c>
      <c r="F12261">
        <v>90</v>
      </c>
      <c r="G12261">
        <v>0</v>
      </c>
      <c r="H12261" t="s">
        <v>17152</v>
      </c>
      <c r="I12261">
        <v>13805</v>
      </c>
      <c r="J12261" t="e">
        <f>VLOOKUP(E12261,DSSpieler!A:B,2,FALSE)</f>
        <v>#N/A</v>
      </c>
    </row>
    <row r="12262" spans="1:10" x14ac:dyDescent="0.25">
      <c r="A12262">
        <v>13806</v>
      </c>
      <c r="B12262" t="s">
        <v>531</v>
      </c>
      <c r="C12262">
        <v>439</v>
      </c>
      <c r="D12262">
        <v>403</v>
      </c>
      <c r="E12262">
        <v>0</v>
      </c>
      <c r="F12262">
        <v>273</v>
      </c>
      <c r="G12262">
        <v>0</v>
      </c>
      <c r="H12262" t="s">
        <v>17153</v>
      </c>
      <c r="I12262">
        <v>13806</v>
      </c>
      <c r="J12262" t="e">
        <f>VLOOKUP(E12262,DSSpieler!A:B,2,FALSE)</f>
        <v>#N/A</v>
      </c>
    </row>
    <row r="12263" spans="1:10" x14ac:dyDescent="0.25">
      <c r="A12263">
        <v>13807</v>
      </c>
      <c r="B12263" t="s">
        <v>2263</v>
      </c>
      <c r="C12263">
        <v>394</v>
      </c>
      <c r="D12263">
        <v>498</v>
      </c>
      <c r="E12263">
        <v>1576776027</v>
      </c>
      <c r="F12263">
        <v>1822</v>
      </c>
      <c r="G12263">
        <v>0</v>
      </c>
      <c r="H12263" t="s">
        <v>17154</v>
      </c>
      <c r="I12263">
        <v>13807</v>
      </c>
      <c r="J12263" t="str">
        <f>VLOOKUP(E12263,DSSpieler!A:B,2,FALSE)</f>
        <v>Bierchen812</v>
      </c>
    </row>
    <row r="12264" spans="1:10" x14ac:dyDescent="0.25">
      <c r="A12264">
        <v>13808</v>
      </c>
      <c r="B12264">
        <v>1</v>
      </c>
      <c r="C12264">
        <v>471</v>
      </c>
      <c r="D12264">
        <v>563</v>
      </c>
      <c r="E12264">
        <v>1428213</v>
      </c>
      <c r="F12264">
        <v>2042</v>
      </c>
      <c r="G12264">
        <v>0</v>
      </c>
      <c r="H12264" t="s">
        <v>17155</v>
      </c>
      <c r="I12264">
        <v>13808</v>
      </c>
      <c r="J12264" t="str">
        <f>VLOOKUP(E12264,DSSpieler!A:B,2,FALSE)</f>
        <v>diedadu</v>
      </c>
    </row>
    <row r="12265" spans="1:10" x14ac:dyDescent="0.25">
      <c r="A12265">
        <v>13809</v>
      </c>
      <c r="B12265" t="s">
        <v>34760</v>
      </c>
      <c r="C12265">
        <v>501</v>
      </c>
      <c r="D12265">
        <v>528</v>
      </c>
      <c r="E12265">
        <v>1577196461</v>
      </c>
      <c r="F12265">
        <v>4697</v>
      </c>
      <c r="G12265">
        <v>0</v>
      </c>
      <c r="H12265" t="s">
        <v>17156</v>
      </c>
      <c r="I12265">
        <v>13809</v>
      </c>
      <c r="J12265" t="str">
        <f>VLOOKUP(E12265,DSSpieler!A:B,2,FALSE)</f>
        <v>Roastbeef Terry</v>
      </c>
    </row>
    <row r="12266" spans="1:10" x14ac:dyDescent="0.25">
      <c r="A12266">
        <v>13810</v>
      </c>
      <c r="B12266" t="s">
        <v>531</v>
      </c>
      <c r="C12266">
        <v>614</v>
      </c>
      <c r="D12266">
        <v>479</v>
      </c>
      <c r="E12266">
        <v>0</v>
      </c>
      <c r="F12266">
        <v>334</v>
      </c>
      <c r="G12266">
        <v>0</v>
      </c>
      <c r="H12266" t="s">
        <v>17157</v>
      </c>
      <c r="I12266">
        <v>13810</v>
      </c>
      <c r="J12266" t="e">
        <f>VLOOKUP(E12266,DSSpieler!A:B,2,FALSE)</f>
        <v>#N/A</v>
      </c>
    </row>
    <row r="12267" spans="1:10" x14ac:dyDescent="0.25">
      <c r="A12267">
        <v>13811</v>
      </c>
      <c r="B12267" t="s">
        <v>2264</v>
      </c>
      <c r="C12267">
        <v>490</v>
      </c>
      <c r="D12267">
        <v>399</v>
      </c>
      <c r="E12267">
        <v>10257301</v>
      </c>
      <c r="F12267">
        <v>3554</v>
      </c>
      <c r="G12267">
        <v>0</v>
      </c>
      <c r="H12267" t="s">
        <v>17158</v>
      </c>
      <c r="I12267">
        <v>13811</v>
      </c>
      <c r="J12267" t="str">
        <f>VLOOKUP(E12267,DSSpieler!A:B,2,FALSE)</f>
        <v>marceltressl</v>
      </c>
    </row>
    <row r="12268" spans="1:10" x14ac:dyDescent="0.25">
      <c r="A12268">
        <v>13812</v>
      </c>
      <c r="B12268" t="s">
        <v>531</v>
      </c>
      <c r="C12268">
        <v>612</v>
      </c>
      <c r="D12268">
        <v>516</v>
      </c>
      <c r="E12268">
        <v>0</v>
      </c>
      <c r="F12268">
        <v>98</v>
      </c>
      <c r="G12268">
        <v>0</v>
      </c>
      <c r="H12268" t="s">
        <v>17159</v>
      </c>
      <c r="I12268">
        <v>13812</v>
      </c>
      <c r="J12268" t="e">
        <f>VLOOKUP(E12268,DSSpieler!A:B,2,FALSE)</f>
        <v>#N/A</v>
      </c>
    </row>
    <row r="12269" spans="1:10" x14ac:dyDescent="0.25">
      <c r="A12269">
        <v>13813</v>
      </c>
      <c r="B12269" t="s">
        <v>531</v>
      </c>
      <c r="C12269">
        <v>489</v>
      </c>
      <c r="D12269">
        <v>389</v>
      </c>
      <c r="E12269">
        <v>0</v>
      </c>
      <c r="F12269">
        <v>308</v>
      </c>
      <c r="G12269">
        <v>0</v>
      </c>
      <c r="H12269" t="s">
        <v>17160</v>
      </c>
      <c r="I12269">
        <v>13813</v>
      </c>
      <c r="J12269" t="e">
        <f>VLOOKUP(E12269,DSSpieler!A:B,2,FALSE)</f>
        <v>#N/A</v>
      </c>
    </row>
    <row r="12270" spans="1:10" x14ac:dyDescent="0.25">
      <c r="A12270">
        <v>13814</v>
      </c>
      <c r="B12270" t="s">
        <v>531</v>
      </c>
      <c r="C12270">
        <v>449</v>
      </c>
      <c r="D12270">
        <v>400</v>
      </c>
      <c r="E12270">
        <v>0</v>
      </c>
      <c r="F12270">
        <v>313</v>
      </c>
      <c r="G12270">
        <v>0</v>
      </c>
      <c r="H12270" t="s">
        <v>17161</v>
      </c>
      <c r="I12270">
        <v>13814</v>
      </c>
      <c r="J12270" t="e">
        <f>VLOOKUP(E12270,DSSpieler!A:B,2,FALSE)</f>
        <v>#N/A</v>
      </c>
    </row>
    <row r="12271" spans="1:10" x14ac:dyDescent="0.25">
      <c r="A12271">
        <v>13815</v>
      </c>
      <c r="B12271" t="s">
        <v>531</v>
      </c>
      <c r="C12271">
        <v>455</v>
      </c>
      <c r="D12271">
        <v>606</v>
      </c>
      <c r="E12271">
        <v>0</v>
      </c>
      <c r="F12271">
        <v>133</v>
      </c>
      <c r="G12271">
        <v>0</v>
      </c>
      <c r="H12271" t="s">
        <v>17162</v>
      </c>
      <c r="I12271">
        <v>13815</v>
      </c>
      <c r="J12271" t="e">
        <f>VLOOKUP(E12271,DSSpieler!A:B,2,FALSE)</f>
        <v>#N/A</v>
      </c>
    </row>
    <row r="12272" spans="1:10" x14ac:dyDescent="0.25">
      <c r="A12272">
        <v>13816</v>
      </c>
      <c r="B12272" t="s">
        <v>531</v>
      </c>
      <c r="C12272">
        <v>425</v>
      </c>
      <c r="D12272">
        <v>560</v>
      </c>
      <c r="E12272">
        <v>0</v>
      </c>
      <c r="F12272">
        <v>292</v>
      </c>
      <c r="G12272">
        <v>0</v>
      </c>
      <c r="H12272" t="s">
        <v>17163</v>
      </c>
      <c r="I12272">
        <v>13816</v>
      </c>
      <c r="J12272" t="e">
        <f>VLOOKUP(E12272,DSSpieler!A:B,2,FALSE)</f>
        <v>#N/A</v>
      </c>
    </row>
    <row r="12273" spans="1:10" x14ac:dyDescent="0.25">
      <c r="A12273">
        <v>13817</v>
      </c>
      <c r="B12273" t="s">
        <v>531</v>
      </c>
      <c r="C12273">
        <v>410</v>
      </c>
      <c r="D12273">
        <v>432</v>
      </c>
      <c r="E12273">
        <v>0</v>
      </c>
      <c r="F12273">
        <v>335</v>
      </c>
      <c r="G12273">
        <v>0</v>
      </c>
      <c r="H12273" t="s">
        <v>17164</v>
      </c>
      <c r="I12273">
        <v>13817</v>
      </c>
      <c r="J12273" t="e">
        <f>VLOOKUP(E12273,DSSpieler!A:B,2,FALSE)</f>
        <v>#N/A</v>
      </c>
    </row>
    <row r="12274" spans="1:10" x14ac:dyDescent="0.25">
      <c r="A12274">
        <v>13818</v>
      </c>
      <c r="B12274" t="s">
        <v>34761</v>
      </c>
      <c r="C12274">
        <v>428</v>
      </c>
      <c r="D12274">
        <v>410</v>
      </c>
      <c r="E12274">
        <v>9088382</v>
      </c>
      <c r="F12274">
        <v>272</v>
      </c>
      <c r="G12274">
        <v>0</v>
      </c>
      <c r="H12274" t="s">
        <v>17165</v>
      </c>
      <c r="I12274">
        <v>13818</v>
      </c>
      <c r="J12274" t="str">
        <f>VLOOKUP(E12274,DSSpieler!A:B,2,FALSE)</f>
        <v>Brenni2011</v>
      </c>
    </row>
    <row r="12275" spans="1:10" x14ac:dyDescent="0.25">
      <c r="A12275">
        <v>13820</v>
      </c>
      <c r="B12275" t="s">
        <v>531</v>
      </c>
      <c r="C12275">
        <v>386</v>
      </c>
      <c r="D12275">
        <v>506</v>
      </c>
      <c r="E12275">
        <v>0</v>
      </c>
      <c r="F12275">
        <v>296</v>
      </c>
      <c r="G12275">
        <v>0</v>
      </c>
      <c r="H12275" t="s">
        <v>17166</v>
      </c>
      <c r="I12275">
        <v>13820</v>
      </c>
      <c r="J12275" t="e">
        <f>VLOOKUP(E12275,DSSpieler!A:B,2,FALSE)</f>
        <v>#N/A</v>
      </c>
    </row>
    <row r="12276" spans="1:10" x14ac:dyDescent="0.25">
      <c r="A12276">
        <v>13821</v>
      </c>
      <c r="B12276" t="s">
        <v>34762</v>
      </c>
      <c r="C12276">
        <v>446</v>
      </c>
      <c r="D12276">
        <v>398</v>
      </c>
      <c r="E12276">
        <v>1577200259</v>
      </c>
      <c r="F12276">
        <v>4593</v>
      </c>
      <c r="G12276">
        <v>0</v>
      </c>
      <c r="H12276" t="s">
        <v>17167</v>
      </c>
      <c r="I12276">
        <v>13821</v>
      </c>
      <c r="J12276" t="str">
        <f>VLOOKUP(E12276,DSSpieler!A:B,2,FALSE)</f>
        <v>federerer</v>
      </c>
    </row>
    <row r="12277" spans="1:10" x14ac:dyDescent="0.25">
      <c r="A12277">
        <v>13822</v>
      </c>
      <c r="B12277" t="s">
        <v>531</v>
      </c>
      <c r="C12277">
        <v>615</v>
      </c>
      <c r="D12277">
        <v>482</v>
      </c>
      <c r="E12277">
        <v>0</v>
      </c>
      <c r="F12277">
        <v>318</v>
      </c>
      <c r="G12277">
        <v>0</v>
      </c>
      <c r="H12277" t="s">
        <v>17168</v>
      </c>
      <c r="I12277">
        <v>13822</v>
      </c>
      <c r="J12277" t="e">
        <f>VLOOKUP(E12277,DSSpieler!A:B,2,FALSE)</f>
        <v>#N/A</v>
      </c>
    </row>
    <row r="12278" spans="1:10" x14ac:dyDescent="0.25">
      <c r="A12278">
        <v>13823</v>
      </c>
      <c r="B12278" t="s">
        <v>2265</v>
      </c>
      <c r="C12278">
        <v>541</v>
      </c>
      <c r="D12278">
        <v>437</v>
      </c>
      <c r="E12278">
        <v>9473617</v>
      </c>
      <c r="F12278">
        <v>3104</v>
      </c>
      <c r="G12278">
        <v>0</v>
      </c>
      <c r="H12278" t="s">
        <v>17169</v>
      </c>
      <c r="I12278">
        <v>13823</v>
      </c>
      <c r="J12278" t="str">
        <f>VLOOKUP(E12278,DSSpieler!A:B,2,FALSE)</f>
        <v>Ratze89</v>
      </c>
    </row>
    <row r="12279" spans="1:10" x14ac:dyDescent="0.25">
      <c r="A12279">
        <v>13824</v>
      </c>
      <c r="B12279" t="s">
        <v>34763</v>
      </c>
      <c r="C12279">
        <v>392</v>
      </c>
      <c r="D12279">
        <v>534</v>
      </c>
      <c r="E12279">
        <v>1577069264</v>
      </c>
      <c r="F12279">
        <v>1001</v>
      </c>
      <c r="G12279">
        <v>0</v>
      </c>
      <c r="H12279" t="s">
        <v>17170</v>
      </c>
      <c r="I12279">
        <v>13824</v>
      </c>
      <c r="J12279" t="str">
        <f>VLOOKUP(E12279,DSSpieler!A:B,2,FALSE)</f>
        <v>555RGNE</v>
      </c>
    </row>
    <row r="12280" spans="1:10" x14ac:dyDescent="0.25">
      <c r="A12280">
        <v>13825</v>
      </c>
      <c r="B12280" t="s">
        <v>531</v>
      </c>
      <c r="C12280">
        <v>557</v>
      </c>
      <c r="D12280">
        <v>590</v>
      </c>
      <c r="E12280">
        <v>0</v>
      </c>
      <c r="F12280">
        <v>500</v>
      </c>
      <c r="G12280">
        <v>0</v>
      </c>
      <c r="H12280" t="s">
        <v>17171</v>
      </c>
      <c r="I12280">
        <v>13825</v>
      </c>
      <c r="J12280" t="e">
        <f>VLOOKUP(E12280,DSSpieler!A:B,2,FALSE)</f>
        <v>#N/A</v>
      </c>
    </row>
    <row r="12281" spans="1:10" x14ac:dyDescent="0.25">
      <c r="A12281">
        <v>13826</v>
      </c>
      <c r="B12281" t="s">
        <v>780</v>
      </c>
      <c r="C12281">
        <v>613</v>
      </c>
      <c r="D12281">
        <v>517</v>
      </c>
      <c r="E12281">
        <v>1577133527</v>
      </c>
      <c r="F12281">
        <v>6334</v>
      </c>
      <c r="G12281">
        <v>0</v>
      </c>
      <c r="H12281" t="s">
        <v>17172</v>
      </c>
      <c r="I12281">
        <v>13826</v>
      </c>
      <c r="J12281" t="str">
        <f>VLOOKUP(E12281,DSSpieler!A:B,2,FALSE)</f>
        <v>Joah Theron</v>
      </c>
    </row>
    <row r="12282" spans="1:10" x14ac:dyDescent="0.25">
      <c r="A12282">
        <v>13827</v>
      </c>
      <c r="B12282" t="s">
        <v>531</v>
      </c>
      <c r="C12282">
        <v>421</v>
      </c>
      <c r="D12282">
        <v>418</v>
      </c>
      <c r="E12282">
        <v>0</v>
      </c>
      <c r="F12282">
        <v>1585</v>
      </c>
      <c r="G12282">
        <v>0</v>
      </c>
      <c r="H12282" t="s">
        <v>17173</v>
      </c>
      <c r="I12282">
        <v>13827</v>
      </c>
      <c r="J12282" t="e">
        <f>VLOOKUP(E12282,DSSpieler!A:B,2,FALSE)</f>
        <v>#N/A</v>
      </c>
    </row>
    <row r="12283" spans="1:10" x14ac:dyDescent="0.25">
      <c r="A12283">
        <v>13828</v>
      </c>
      <c r="B12283" t="s">
        <v>531</v>
      </c>
      <c r="C12283">
        <v>388</v>
      </c>
      <c r="D12283">
        <v>513</v>
      </c>
      <c r="E12283">
        <v>0</v>
      </c>
      <c r="F12283">
        <v>148</v>
      </c>
      <c r="G12283">
        <v>0</v>
      </c>
      <c r="H12283" t="s">
        <v>17174</v>
      </c>
      <c r="I12283">
        <v>13828</v>
      </c>
      <c r="J12283" t="e">
        <f>VLOOKUP(E12283,DSSpieler!A:B,2,FALSE)</f>
        <v>#N/A</v>
      </c>
    </row>
    <row r="12284" spans="1:10" x14ac:dyDescent="0.25">
      <c r="A12284">
        <v>13829</v>
      </c>
      <c r="B12284" t="s">
        <v>531</v>
      </c>
      <c r="C12284">
        <v>592</v>
      </c>
      <c r="D12284">
        <v>565</v>
      </c>
      <c r="E12284">
        <v>0</v>
      </c>
      <c r="F12284">
        <v>391</v>
      </c>
      <c r="G12284">
        <v>0</v>
      </c>
      <c r="H12284" t="s">
        <v>17175</v>
      </c>
      <c r="I12284">
        <v>13829</v>
      </c>
      <c r="J12284" t="e">
        <f>VLOOKUP(E12284,DSSpieler!A:B,2,FALSE)</f>
        <v>#N/A</v>
      </c>
    </row>
    <row r="12285" spans="1:10" x14ac:dyDescent="0.25">
      <c r="A12285">
        <v>13830</v>
      </c>
      <c r="B12285" t="s">
        <v>531</v>
      </c>
      <c r="C12285">
        <v>437</v>
      </c>
      <c r="D12285">
        <v>403</v>
      </c>
      <c r="E12285">
        <v>0</v>
      </c>
      <c r="F12285">
        <v>356</v>
      </c>
      <c r="G12285">
        <v>0</v>
      </c>
      <c r="H12285" t="s">
        <v>17176</v>
      </c>
      <c r="I12285">
        <v>13830</v>
      </c>
      <c r="J12285" t="e">
        <f>VLOOKUP(E12285,DSSpieler!A:B,2,FALSE)</f>
        <v>#N/A</v>
      </c>
    </row>
    <row r="12286" spans="1:10" x14ac:dyDescent="0.25">
      <c r="A12286">
        <v>13831</v>
      </c>
      <c r="B12286" t="s">
        <v>2266</v>
      </c>
      <c r="C12286">
        <v>509</v>
      </c>
      <c r="D12286">
        <v>613</v>
      </c>
      <c r="E12286">
        <v>1577200265</v>
      </c>
      <c r="F12286">
        <v>6678</v>
      </c>
      <c r="G12286">
        <v>0</v>
      </c>
      <c r="H12286" t="s">
        <v>17177</v>
      </c>
      <c r="I12286">
        <v>13831</v>
      </c>
      <c r="J12286" t="str">
        <f>VLOOKUP(E12286,DSSpieler!A:B,2,FALSE)</f>
        <v>DaJuWi</v>
      </c>
    </row>
    <row r="12287" spans="1:10" x14ac:dyDescent="0.25">
      <c r="A12287">
        <v>13832</v>
      </c>
      <c r="B12287" t="s">
        <v>34764</v>
      </c>
      <c r="C12287">
        <v>391</v>
      </c>
      <c r="D12287">
        <v>467</v>
      </c>
      <c r="E12287">
        <v>1577192142</v>
      </c>
      <c r="F12287">
        <v>1252</v>
      </c>
      <c r="G12287">
        <v>0</v>
      </c>
      <c r="H12287" t="s">
        <v>500</v>
      </c>
      <c r="I12287">
        <v>13832</v>
      </c>
      <c r="J12287" t="str">
        <f>VLOOKUP(E12287,DSSpieler!A:B,2,FALSE)</f>
        <v>Ovii</v>
      </c>
    </row>
    <row r="12288" spans="1:10" x14ac:dyDescent="0.25">
      <c r="A12288">
        <v>13833</v>
      </c>
      <c r="B12288" t="s">
        <v>34765</v>
      </c>
      <c r="C12288">
        <v>492</v>
      </c>
      <c r="D12288">
        <v>386</v>
      </c>
      <c r="E12288">
        <v>1576440587</v>
      </c>
      <c r="F12288">
        <v>4735</v>
      </c>
      <c r="G12288">
        <v>0</v>
      </c>
      <c r="H12288" t="s">
        <v>17178</v>
      </c>
      <c r="I12288">
        <v>13833</v>
      </c>
      <c r="J12288" t="str">
        <f>VLOOKUP(E12288,DSSpieler!A:B,2,FALSE)</f>
        <v>Jonas2303</v>
      </c>
    </row>
    <row r="12289" spans="1:10" x14ac:dyDescent="0.25">
      <c r="A12289">
        <v>13834</v>
      </c>
      <c r="B12289" t="s">
        <v>741</v>
      </c>
      <c r="C12289">
        <v>533</v>
      </c>
      <c r="D12289">
        <v>388</v>
      </c>
      <c r="E12289">
        <v>1576863915</v>
      </c>
      <c r="F12289">
        <v>1533</v>
      </c>
      <c r="G12289">
        <v>0</v>
      </c>
      <c r="H12289" t="s">
        <v>17179</v>
      </c>
      <c r="I12289">
        <v>13834</v>
      </c>
      <c r="J12289" t="str">
        <f>VLOOKUP(E12289,DSSpieler!A:B,2,FALSE)</f>
        <v>lubenko1</v>
      </c>
    </row>
    <row r="12290" spans="1:10" x14ac:dyDescent="0.25">
      <c r="A12290">
        <v>13835</v>
      </c>
      <c r="B12290" t="s">
        <v>531</v>
      </c>
      <c r="C12290">
        <v>583</v>
      </c>
      <c r="D12290">
        <v>422</v>
      </c>
      <c r="E12290">
        <v>0</v>
      </c>
      <c r="F12290">
        <v>172</v>
      </c>
      <c r="G12290">
        <v>0</v>
      </c>
      <c r="H12290" t="s">
        <v>17180</v>
      </c>
      <c r="I12290">
        <v>13835</v>
      </c>
      <c r="J12290" t="e">
        <f>VLOOKUP(E12290,DSSpieler!A:B,2,FALSE)</f>
        <v>#N/A</v>
      </c>
    </row>
    <row r="12291" spans="1:10" x14ac:dyDescent="0.25">
      <c r="A12291">
        <v>13836</v>
      </c>
      <c r="B12291" t="s">
        <v>531</v>
      </c>
      <c r="C12291">
        <v>612</v>
      </c>
      <c r="D12291">
        <v>523</v>
      </c>
      <c r="E12291">
        <v>0</v>
      </c>
      <c r="F12291">
        <v>178</v>
      </c>
      <c r="G12291">
        <v>0</v>
      </c>
      <c r="H12291" t="s">
        <v>17181</v>
      </c>
      <c r="I12291">
        <v>13836</v>
      </c>
      <c r="J12291" t="e">
        <f>VLOOKUP(E12291,DSSpieler!A:B,2,FALSE)</f>
        <v>#N/A</v>
      </c>
    </row>
    <row r="12292" spans="1:10" x14ac:dyDescent="0.25">
      <c r="A12292">
        <v>13837</v>
      </c>
      <c r="B12292" t="s">
        <v>531</v>
      </c>
      <c r="C12292">
        <v>589</v>
      </c>
      <c r="D12292">
        <v>427</v>
      </c>
      <c r="E12292">
        <v>0</v>
      </c>
      <c r="F12292">
        <v>189</v>
      </c>
      <c r="G12292">
        <v>0</v>
      </c>
      <c r="H12292" t="s">
        <v>17182</v>
      </c>
      <c r="I12292">
        <v>13837</v>
      </c>
      <c r="J12292" t="e">
        <f>VLOOKUP(E12292,DSSpieler!A:B,2,FALSE)</f>
        <v>#N/A</v>
      </c>
    </row>
    <row r="12293" spans="1:10" x14ac:dyDescent="0.25">
      <c r="A12293">
        <v>13838</v>
      </c>
      <c r="B12293" t="s">
        <v>34766</v>
      </c>
      <c r="C12293">
        <v>401</v>
      </c>
      <c r="D12293">
        <v>542</v>
      </c>
      <c r="E12293">
        <v>1577200279</v>
      </c>
      <c r="F12293">
        <v>1921</v>
      </c>
      <c r="G12293">
        <v>0</v>
      </c>
      <c r="H12293" t="s">
        <v>17183</v>
      </c>
      <c r="I12293">
        <v>13838</v>
      </c>
      <c r="J12293" t="str">
        <f>VLOOKUP(E12293,DSSpieler!A:B,2,FALSE)</f>
        <v>Wuestenfuchs</v>
      </c>
    </row>
    <row r="12294" spans="1:10" x14ac:dyDescent="0.25">
      <c r="A12294">
        <v>13839</v>
      </c>
      <c r="B12294" t="s">
        <v>531</v>
      </c>
      <c r="C12294">
        <v>510</v>
      </c>
      <c r="D12294">
        <v>613</v>
      </c>
      <c r="E12294">
        <v>0</v>
      </c>
      <c r="F12294">
        <v>232</v>
      </c>
      <c r="G12294">
        <v>0</v>
      </c>
      <c r="H12294" t="s">
        <v>17184</v>
      </c>
      <c r="I12294">
        <v>13839</v>
      </c>
      <c r="J12294" t="e">
        <f>VLOOKUP(E12294,DSSpieler!A:B,2,FALSE)</f>
        <v>#N/A</v>
      </c>
    </row>
    <row r="12295" spans="1:10" x14ac:dyDescent="0.25">
      <c r="A12295">
        <v>13840</v>
      </c>
      <c r="B12295">
        <v>4</v>
      </c>
      <c r="C12295">
        <v>398</v>
      </c>
      <c r="D12295">
        <v>455</v>
      </c>
      <c r="E12295">
        <v>1577064688</v>
      </c>
      <c r="F12295">
        <v>1773</v>
      </c>
      <c r="G12295">
        <v>0</v>
      </c>
      <c r="H12295" t="s">
        <v>17185</v>
      </c>
      <c r="I12295">
        <v>13840</v>
      </c>
      <c r="J12295" t="str">
        <f>VLOOKUP(E12295,DSSpieler!A:B,2,FALSE)</f>
        <v>Dumbstar</v>
      </c>
    </row>
    <row r="12296" spans="1:10" x14ac:dyDescent="0.25">
      <c r="A12296">
        <v>13841</v>
      </c>
      <c r="B12296" t="s">
        <v>531</v>
      </c>
      <c r="C12296">
        <v>584</v>
      </c>
      <c r="D12296">
        <v>576</v>
      </c>
      <c r="E12296">
        <v>0</v>
      </c>
      <c r="F12296">
        <v>160</v>
      </c>
      <c r="G12296">
        <v>0</v>
      </c>
      <c r="H12296" t="s">
        <v>17186</v>
      </c>
      <c r="I12296">
        <v>13841</v>
      </c>
      <c r="J12296" t="e">
        <f>VLOOKUP(E12296,DSSpieler!A:B,2,FALSE)</f>
        <v>#N/A</v>
      </c>
    </row>
    <row r="12297" spans="1:10" x14ac:dyDescent="0.25">
      <c r="A12297">
        <v>13842</v>
      </c>
      <c r="B12297" t="s">
        <v>2267</v>
      </c>
      <c r="C12297">
        <v>571</v>
      </c>
      <c r="D12297">
        <v>589</v>
      </c>
      <c r="E12297">
        <v>1576886117</v>
      </c>
      <c r="F12297">
        <v>4165</v>
      </c>
      <c r="G12297">
        <v>0</v>
      </c>
      <c r="H12297" t="s">
        <v>17187</v>
      </c>
      <c r="I12297">
        <v>13842</v>
      </c>
      <c r="J12297" t="str">
        <f>VLOOKUP(E12297,DSSpieler!A:B,2,FALSE)</f>
        <v>Trashtan</v>
      </c>
    </row>
    <row r="12298" spans="1:10" x14ac:dyDescent="0.25">
      <c r="A12298">
        <v>13843</v>
      </c>
      <c r="B12298" t="s">
        <v>531</v>
      </c>
      <c r="C12298">
        <v>431</v>
      </c>
      <c r="D12298">
        <v>412</v>
      </c>
      <c r="E12298">
        <v>0</v>
      </c>
      <c r="F12298">
        <v>183</v>
      </c>
      <c r="G12298">
        <v>0</v>
      </c>
      <c r="H12298" t="s">
        <v>17188</v>
      </c>
      <c r="I12298">
        <v>13843</v>
      </c>
      <c r="J12298" t="e">
        <f>VLOOKUP(E12298,DSSpieler!A:B,2,FALSE)</f>
        <v>#N/A</v>
      </c>
    </row>
    <row r="12299" spans="1:10" x14ac:dyDescent="0.25">
      <c r="A12299">
        <v>13844</v>
      </c>
      <c r="B12299" t="s">
        <v>34767</v>
      </c>
      <c r="C12299">
        <v>461</v>
      </c>
      <c r="D12299">
        <v>610</v>
      </c>
      <c r="E12299">
        <v>1577148628</v>
      </c>
      <c r="F12299">
        <v>285</v>
      </c>
      <c r="G12299">
        <v>0</v>
      </c>
      <c r="H12299" t="s">
        <v>17189</v>
      </c>
      <c r="I12299">
        <v>13844</v>
      </c>
      <c r="J12299" t="str">
        <f>VLOOKUP(E12299,DSSpieler!A:B,2,FALSE)</f>
        <v>baumoosa</v>
      </c>
    </row>
    <row r="12300" spans="1:10" x14ac:dyDescent="0.25">
      <c r="A12300">
        <v>13845</v>
      </c>
      <c r="B12300" t="s">
        <v>531</v>
      </c>
      <c r="C12300">
        <v>436</v>
      </c>
      <c r="D12300">
        <v>592</v>
      </c>
      <c r="E12300">
        <v>0</v>
      </c>
      <c r="F12300">
        <v>86</v>
      </c>
      <c r="G12300">
        <v>0</v>
      </c>
      <c r="H12300" t="s">
        <v>17190</v>
      </c>
      <c r="I12300">
        <v>13845</v>
      </c>
      <c r="J12300" t="e">
        <f>VLOOKUP(E12300,DSSpieler!A:B,2,FALSE)</f>
        <v>#N/A</v>
      </c>
    </row>
    <row r="12301" spans="1:10" x14ac:dyDescent="0.25">
      <c r="A12301">
        <v>13846</v>
      </c>
      <c r="B12301" t="s">
        <v>531</v>
      </c>
      <c r="C12301">
        <v>614</v>
      </c>
      <c r="D12301">
        <v>494</v>
      </c>
      <c r="E12301">
        <v>0</v>
      </c>
      <c r="F12301">
        <v>401</v>
      </c>
      <c r="G12301">
        <v>0</v>
      </c>
      <c r="H12301" t="s">
        <v>17191</v>
      </c>
      <c r="I12301">
        <v>13846</v>
      </c>
      <c r="J12301" t="e">
        <f>VLOOKUP(E12301,DSSpieler!A:B,2,FALSE)</f>
        <v>#N/A</v>
      </c>
    </row>
    <row r="12302" spans="1:10" x14ac:dyDescent="0.25">
      <c r="A12302">
        <v>13847</v>
      </c>
      <c r="B12302" t="s">
        <v>531</v>
      </c>
      <c r="C12302">
        <v>515</v>
      </c>
      <c r="D12302">
        <v>388</v>
      </c>
      <c r="E12302">
        <v>0</v>
      </c>
      <c r="F12302">
        <v>298</v>
      </c>
      <c r="G12302">
        <v>0</v>
      </c>
      <c r="H12302" t="s">
        <v>17192</v>
      </c>
      <c r="I12302">
        <v>13847</v>
      </c>
      <c r="J12302" t="e">
        <f>VLOOKUP(E12302,DSSpieler!A:B,2,FALSE)</f>
        <v>#N/A</v>
      </c>
    </row>
    <row r="12303" spans="1:10" x14ac:dyDescent="0.25">
      <c r="A12303">
        <v>13848</v>
      </c>
      <c r="B12303" t="s">
        <v>531</v>
      </c>
      <c r="C12303">
        <v>537</v>
      </c>
      <c r="D12303">
        <v>606</v>
      </c>
      <c r="E12303">
        <v>0</v>
      </c>
      <c r="F12303">
        <v>309</v>
      </c>
      <c r="G12303">
        <v>0</v>
      </c>
      <c r="H12303" t="s">
        <v>17193</v>
      </c>
      <c r="I12303">
        <v>13848</v>
      </c>
      <c r="J12303" t="e">
        <f>VLOOKUP(E12303,DSSpieler!A:B,2,FALSE)</f>
        <v>#N/A</v>
      </c>
    </row>
    <row r="12304" spans="1:10" x14ac:dyDescent="0.25">
      <c r="A12304">
        <v>13849</v>
      </c>
      <c r="B12304" t="s">
        <v>34768</v>
      </c>
      <c r="C12304">
        <v>441</v>
      </c>
      <c r="D12304">
        <v>408</v>
      </c>
      <c r="E12304">
        <v>1577189837</v>
      </c>
      <c r="F12304">
        <v>2387</v>
      </c>
      <c r="G12304">
        <v>0</v>
      </c>
      <c r="H12304" t="s">
        <v>17194</v>
      </c>
      <c r="I12304">
        <v>13849</v>
      </c>
      <c r="J12304" t="str">
        <f>VLOOKUP(E12304,DSSpieler!A:B,2,FALSE)</f>
        <v>wisel3000</v>
      </c>
    </row>
    <row r="12305" spans="1:10" x14ac:dyDescent="0.25">
      <c r="A12305">
        <v>13850</v>
      </c>
      <c r="B12305" t="s">
        <v>2268</v>
      </c>
      <c r="C12305">
        <v>431</v>
      </c>
      <c r="D12305">
        <v>565</v>
      </c>
      <c r="E12305">
        <v>1577199064</v>
      </c>
      <c r="F12305">
        <v>1851</v>
      </c>
      <c r="G12305">
        <v>0</v>
      </c>
      <c r="H12305" t="s">
        <v>17195</v>
      </c>
      <c r="I12305">
        <v>13850</v>
      </c>
      <c r="J12305" t="str">
        <f>VLOOKUP(E12305,DSSpieler!A:B,2,FALSE)</f>
        <v>HelleBelle</v>
      </c>
    </row>
    <row r="12306" spans="1:10" x14ac:dyDescent="0.25">
      <c r="A12306">
        <v>13851</v>
      </c>
      <c r="B12306" t="s">
        <v>2269</v>
      </c>
      <c r="C12306">
        <v>385</v>
      </c>
      <c r="D12306">
        <v>489</v>
      </c>
      <c r="E12306">
        <v>1576174494</v>
      </c>
      <c r="F12306">
        <v>4266</v>
      </c>
      <c r="G12306">
        <v>0</v>
      </c>
      <c r="H12306" t="s">
        <v>17196</v>
      </c>
      <c r="I12306">
        <v>13851</v>
      </c>
      <c r="J12306" t="str">
        <f>VLOOKUP(E12306,DSSpieler!A:B,2,FALSE)</f>
        <v>Die Erntehelfer</v>
      </c>
    </row>
    <row r="12307" spans="1:10" x14ac:dyDescent="0.25">
      <c r="A12307">
        <v>13852</v>
      </c>
      <c r="B12307" t="s">
        <v>531</v>
      </c>
      <c r="C12307">
        <v>565</v>
      </c>
      <c r="D12307">
        <v>597</v>
      </c>
      <c r="E12307">
        <v>0</v>
      </c>
      <c r="F12307">
        <v>410</v>
      </c>
      <c r="G12307">
        <v>0</v>
      </c>
      <c r="H12307" t="s">
        <v>17197</v>
      </c>
      <c r="I12307">
        <v>13852</v>
      </c>
      <c r="J12307" t="e">
        <f>VLOOKUP(E12307,DSSpieler!A:B,2,FALSE)</f>
        <v>#N/A</v>
      </c>
    </row>
    <row r="12308" spans="1:10" x14ac:dyDescent="0.25">
      <c r="A12308">
        <v>13853</v>
      </c>
      <c r="B12308" t="s">
        <v>34769</v>
      </c>
      <c r="C12308">
        <v>389</v>
      </c>
      <c r="D12308">
        <v>524</v>
      </c>
      <c r="E12308">
        <v>1576783585</v>
      </c>
      <c r="F12308">
        <v>5155</v>
      </c>
      <c r="G12308">
        <v>0</v>
      </c>
      <c r="H12308" t="s">
        <v>17198</v>
      </c>
      <c r="I12308">
        <v>13853</v>
      </c>
      <c r="J12308" t="str">
        <f>VLOOKUP(E12308,DSSpieler!A:B,2,FALSE)</f>
        <v>Gillette Marcus</v>
      </c>
    </row>
    <row r="12309" spans="1:10" x14ac:dyDescent="0.25">
      <c r="A12309">
        <v>13854</v>
      </c>
      <c r="B12309" t="s">
        <v>531</v>
      </c>
      <c r="C12309">
        <v>442</v>
      </c>
      <c r="D12309">
        <v>402</v>
      </c>
      <c r="E12309">
        <v>0</v>
      </c>
      <c r="F12309">
        <v>254</v>
      </c>
      <c r="G12309">
        <v>0</v>
      </c>
      <c r="H12309" t="s">
        <v>17199</v>
      </c>
      <c r="I12309">
        <v>13854</v>
      </c>
      <c r="J12309" t="e">
        <f>VLOOKUP(E12309,DSSpieler!A:B,2,FALSE)</f>
        <v>#N/A</v>
      </c>
    </row>
    <row r="12310" spans="1:10" x14ac:dyDescent="0.25">
      <c r="A12310">
        <v>13855</v>
      </c>
      <c r="B12310" t="s">
        <v>2270</v>
      </c>
      <c r="C12310">
        <v>496</v>
      </c>
      <c r="D12310">
        <v>534</v>
      </c>
      <c r="E12310">
        <v>10074124</v>
      </c>
      <c r="F12310">
        <v>4342</v>
      </c>
      <c r="G12310">
        <v>0</v>
      </c>
      <c r="H12310" t="s">
        <v>17200</v>
      </c>
      <c r="I12310">
        <v>13855</v>
      </c>
      <c r="J12310" t="str">
        <f>VLOOKUP(E12310,DSSpieler!A:B,2,FALSE)</f>
        <v>Ojeh</v>
      </c>
    </row>
    <row r="12311" spans="1:10" x14ac:dyDescent="0.25">
      <c r="A12311">
        <v>13856</v>
      </c>
      <c r="B12311" t="s">
        <v>531</v>
      </c>
      <c r="C12311">
        <v>602</v>
      </c>
      <c r="D12311">
        <v>553</v>
      </c>
      <c r="E12311">
        <v>0</v>
      </c>
      <c r="F12311">
        <v>245</v>
      </c>
      <c r="G12311">
        <v>0</v>
      </c>
      <c r="H12311" t="s">
        <v>17201</v>
      </c>
      <c r="I12311">
        <v>13856</v>
      </c>
      <c r="J12311" t="e">
        <f>VLOOKUP(E12311,DSSpieler!A:B,2,FALSE)</f>
        <v>#N/A</v>
      </c>
    </row>
    <row r="12312" spans="1:10" x14ac:dyDescent="0.25">
      <c r="A12312">
        <v>13857</v>
      </c>
      <c r="B12312" t="s">
        <v>2271</v>
      </c>
      <c r="C12312">
        <v>514</v>
      </c>
      <c r="D12312">
        <v>538</v>
      </c>
      <c r="E12312">
        <v>1577193610</v>
      </c>
      <c r="F12312">
        <v>5016</v>
      </c>
      <c r="G12312">
        <v>0</v>
      </c>
      <c r="H12312" t="s">
        <v>17202</v>
      </c>
      <c r="I12312">
        <v>13857</v>
      </c>
      <c r="J12312" t="str">
        <f>VLOOKUP(E12312,DSSpieler!A:B,2,FALSE)</f>
        <v>Earlyeve</v>
      </c>
    </row>
    <row r="12313" spans="1:10" x14ac:dyDescent="0.25">
      <c r="A12313">
        <v>13859</v>
      </c>
      <c r="B12313" t="s">
        <v>531</v>
      </c>
      <c r="C12313">
        <v>617</v>
      </c>
      <c r="D12313">
        <v>493</v>
      </c>
      <c r="E12313">
        <v>0</v>
      </c>
      <c r="F12313">
        <v>216</v>
      </c>
      <c r="G12313">
        <v>0</v>
      </c>
      <c r="H12313" t="s">
        <v>17203</v>
      </c>
      <c r="I12313">
        <v>13859</v>
      </c>
      <c r="J12313" t="e">
        <f>VLOOKUP(E12313,DSSpieler!A:B,2,FALSE)</f>
        <v>#N/A</v>
      </c>
    </row>
    <row r="12314" spans="1:10" x14ac:dyDescent="0.25">
      <c r="A12314">
        <v>13860</v>
      </c>
      <c r="B12314" t="s">
        <v>2272</v>
      </c>
      <c r="C12314">
        <v>508</v>
      </c>
      <c r="D12314">
        <v>543</v>
      </c>
      <c r="E12314">
        <v>1577193545</v>
      </c>
      <c r="F12314">
        <v>4808</v>
      </c>
      <c r="G12314">
        <v>0</v>
      </c>
      <c r="H12314" t="s">
        <v>17204</v>
      </c>
      <c r="I12314">
        <v>13860</v>
      </c>
      <c r="J12314" t="str">
        <f>VLOOKUP(E12314,DSSpieler!A:B,2,FALSE)</f>
        <v>earlyd</v>
      </c>
    </row>
    <row r="12315" spans="1:10" x14ac:dyDescent="0.25">
      <c r="A12315">
        <v>13861</v>
      </c>
      <c r="B12315" t="s">
        <v>34770</v>
      </c>
      <c r="C12315">
        <v>395</v>
      </c>
      <c r="D12315">
        <v>552</v>
      </c>
      <c r="E12315">
        <v>9839438</v>
      </c>
      <c r="F12315">
        <v>3958</v>
      </c>
      <c r="G12315">
        <v>0</v>
      </c>
      <c r="H12315" t="s">
        <v>17205</v>
      </c>
      <c r="I12315">
        <v>13861</v>
      </c>
      <c r="J12315" t="str">
        <f>VLOOKUP(E12315,DSSpieler!A:B,2,FALSE)</f>
        <v>Spackmann</v>
      </c>
    </row>
    <row r="12316" spans="1:10" x14ac:dyDescent="0.25">
      <c r="A12316">
        <v>13862</v>
      </c>
      <c r="B12316" t="s">
        <v>34771</v>
      </c>
      <c r="C12316">
        <v>526</v>
      </c>
      <c r="D12316">
        <v>413</v>
      </c>
      <c r="E12316">
        <v>1576698432</v>
      </c>
      <c r="F12316">
        <v>2184</v>
      </c>
      <c r="G12316">
        <v>0</v>
      </c>
      <c r="H12316" t="s">
        <v>17206</v>
      </c>
      <c r="I12316">
        <v>13862</v>
      </c>
      <c r="J12316" t="str">
        <f>VLOOKUP(E12316,DSSpieler!A:B,2,FALSE)</f>
        <v>Einmal mit Profis</v>
      </c>
    </row>
    <row r="12317" spans="1:10" x14ac:dyDescent="0.25">
      <c r="A12317">
        <v>13863</v>
      </c>
      <c r="B12317" t="s">
        <v>531</v>
      </c>
      <c r="C12317">
        <v>554</v>
      </c>
      <c r="D12317">
        <v>602</v>
      </c>
      <c r="E12317">
        <v>0</v>
      </c>
      <c r="F12317">
        <v>184</v>
      </c>
      <c r="G12317">
        <v>0</v>
      </c>
      <c r="H12317" t="s">
        <v>17207</v>
      </c>
      <c r="I12317">
        <v>13863</v>
      </c>
      <c r="J12317" t="e">
        <f>VLOOKUP(E12317,DSSpieler!A:B,2,FALSE)</f>
        <v>#N/A</v>
      </c>
    </row>
    <row r="12318" spans="1:10" x14ac:dyDescent="0.25">
      <c r="A12318">
        <v>13864</v>
      </c>
      <c r="B12318" t="s">
        <v>34772</v>
      </c>
      <c r="C12318">
        <v>601</v>
      </c>
      <c r="D12318">
        <v>484</v>
      </c>
      <c r="E12318">
        <v>9296261</v>
      </c>
      <c r="F12318">
        <v>4248</v>
      </c>
      <c r="G12318">
        <v>0</v>
      </c>
      <c r="H12318" t="s">
        <v>17208</v>
      </c>
      <c r="I12318">
        <v>13864</v>
      </c>
      <c r="J12318" t="str">
        <f>VLOOKUP(E12318,DSSpieler!A:B,2,FALSE)</f>
        <v>EvilPups</v>
      </c>
    </row>
    <row r="12319" spans="1:10" x14ac:dyDescent="0.25">
      <c r="A12319">
        <v>13865</v>
      </c>
      <c r="B12319" t="s">
        <v>2273</v>
      </c>
      <c r="C12319">
        <v>440</v>
      </c>
      <c r="D12319">
        <v>452</v>
      </c>
      <c r="E12319">
        <v>1577200099</v>
      </c>
      <c r="F12319">
        <v>1648</v>
      </c>
      <c r="G12319">
        <v>0</v>
      </c>
      <c r="H12319" t="s">
        <v>17209</v>
      </c>
      <c r="I12319">
        <v>13865</v>
      </c>
      <c r="J12319">
        <f>VLOOKUP(E12319,DSSpieler!A:B,2,FALSE)</f>
        <v>1577200099</v>
      </c>
    </row>
    <row r="12320" spans="1:10" x14ac:dyDescent="0.25">
      <c r="A12320">
        <v>13866</v>
      </c>
      <c r="B12320" t="s">
        <v>34773</v>
      </c>
      <c r="C12320">
        <v>587</v>
      </c>
      <c r="D12320">
        <v>440</v>
      </c>
      <c r="E12320">
        <v>1577056983</v>
      </c>
      <c r="F12320">
        <v>1052</v>
      </c>
      <c r="G12320">
        <v>0</v>
      </c>
      <c r="H12320" t="s">
        <v>17210</v>
      </c>
      <c r="I12320">
        <v>13866</v>
      </c>
      <c r="J12320" t="str">
        <f>VLOOKUP(E12320,DSSpieler!A:B,2,FALSE)</f>
        <v>angryt3chnican</v>
      </c>
    </row>
    <row r="12321" spans="1:10" x14ac:dyDescent="0.25">
      <c r="A12321">
        <v>13867</v>
      </c>
      <c r="B12321" t="s">
        <v>531</v>
      </c>
      <c r="C12321">
        <v>396</v>
      </c>
      <c r="D12321">
        <v>451</v>
      </c>
      <c r="E12321">
        <v>0</v>
      </c>
      <c r="F12321">
        <v>799</v>
      </c>
      <c r="G12321">
        <v>0</v>
      </c>
      <c r="H12321" t="s">
        <v>17211</v>
      </c>
      <c r="I12321">
        <v>13867</v>
      </c>
      <c r="J12321" t="e">
        <f>VLOOKUP(E12321,DSSpieler!A:B,2,FALSE)</f>
        <v>#N/A</v>
      </c>
    </row>
    <row r="12322" spans="1:10" x14ac:dyDescent="0.25">
      <c r="A12322">
        <v>13868</v>
      </c>
      <c r="B12322">
        <v>2</v>
      </c>
      <c r="C12322">
        <v>465</v>
      </c>
      <c r="D12322">
        <v>392</v>
      </c>
      <c r="E12322">
        <v>1576948132</v>
      </c>
      <c r="F12322">
        <v>5655</v>
      </c>
      <c r="G12322">
        <v>0</v>
      </c>
      <c r="H12322" t="s">
        <v>17212</v>
      </c>
      <c r="I12322">
        <v>13868</v>
      </c>
      <c r="J12322" t="str">
        <f>VLOOKUP(E12322,DSSpieler!A:B,2,FALSE)</f>
        <v>NoSkill justLuck</v>
      </c>
    </row>
    <row r="12323" spans="1:10" x14ac:dyDescent="0.25">
      <c r="A12323">
        <v>13869</v>
      </c>
      <c r="B12323" t="s">
        <v>31403</v>
      </c>
      <c r="C12323">
        <v>389</v>
      </c>
      <c r="D12323">
        <v>478</v>
      </c>
      <c r="E12323">
        <v>1577000951</v>
      </c>
      <c r="F12323">
        <v>754</v>
      </c>
      <c r="G12323">
        <v>0</v>
      </c>
      <c r="H12323" t="s">
        <v>472</v>
      </c>
      <c r="I12323">
        <v>13869</v>
      </c>
      <c r="J12323" t="str">
        <f>VLOOKUP(E12323,DSSpieler!A:B,2,FALSE)</f>
        <v>Steeegi</v>
      </c>
    </row>
    <row r="12324" spans="1:10" x14ac:dyDescent="0.25">
      <c r="A12324">
        <v>13870</v>
      </c>
      <c r="B12324" t="s">
        <v>531</v>
      </c>
      <c r="C12324">
        <v>403</v>
      </c>
      <c r="D12324">
        <v>436</v>
      </c>
      <c r="E12324">
        <v>0</v>
      </c>
      <c r="F12324">
        <v>1065</v>
      </c>
      <c r="G12324">
        <v>0</v>
      </c>
      <c r="H12324" t="s">
        <v>17213</v>
      </c>
      <c r="I12324">
        <v>13870</v>
      </c>
      <c r="J12324" t="e">
        <f>VLOOKUP(E12324,DSSpieler!A:B,2,FALSE)</f>
        <v>#N/A</v>
      </c>
    </row>
    <row r="12325" spans="1:10" x14ac:dyDescent="0.25">
      <c r="A12325">
        <v>13872</v>
      </c>
      <c r="B12325" t="s">
        <v>33632</v>
      </c>
      <c r="C12325">
        <v>600</v>
      </c>
      <c r="D12325">
        <v>442</v>
      </c>
      <c r="E12325">
        <v>8300935</v>
      </c>
      <c r="F12325">
        <v>5168</v>
      </c>
      <c r="G12325">
        <v>0</v>
      </c>
      <c r="H12325" t="s">
        <v>17214</v>
      </c>
      <c r="I12325">
        <v>13872</v>
      </c>
      <c r="J12325" t="str">
        <f>VLOOKUP(E12325,DSSpieler!A:B,2,FALSE)</f>
        <v>Bashtime?</v>
      </c>
    </row>
    <row r="12326" spans="1:10" x14ac:dyDescent="0.25">
      <c r="A12326">
        <v>13874</v>
      </c>
      <c r="B12326" t="s">
        <v>531</v>
      </c>
      <c r="C12326">
        <v>613</v>
      </c>
      <c r="D12326">
        <v>472</v>
      </c>
      <c r="E12326">
        <v>0</v>
      </c>
      <c r="F12326">
        <v>279</v>
      </c>
      <c r="G12326">
        <v>0</v>
      </c>
      <c r="H12326" t="s">
        <v>17215</v>
      </c>
      <c r="I12326">
        <v>13874</v>
      </c>
      <c r="J12326" t="e">
        <f>VLOOKUP(E12326,DSSpieler!A:B,2,FALSE)</f>
        <v>#N/A</v>
      </c>
    </row>
    <row r="12327" spans="1:10" x14ac:dyDescent="0.25">
      <c r="A12327">
        <v>13876</v>
      </c>
      <c r="B12327" t="s">
        <v>2047</v>
      </c>
      <c r="C12327">
        <v>467</v>
      </c>
      <c r="D12327">
        <v>390</v>
      </c>
      <c r="E12327">
        <v>1577191019</v>
      </c>
      <c r="F12327">
        <v>4797</v>
      </c>
      <c r="G12327">
        <v>0</v>
      </c>
      <c r="H12327" t="s">
        <v>17216</v>
      </c>
      <c r="I12327">
        <v>13876</v>
      </c>
      <c r="J12327" t="str">
        <f>VLOOKUP(E12327,DSSpieler!A:B,2,FALSE)</f>
        <v>.P0WERR4DE*</v>
      </c>
    </row>
    <row r="12328" spans="1:10" x14ac:dyDescent="0.25">
      <c r="A12328">
        <v>13877</v>
      </c>
      <c r="B12328">
        <v>4</v>
      </c>
      <c r="C12328">
        <v>434</v>
      </c>
      <c r="D12328">
        <v>407</v>
      </c>
      <c r="E12328">
        <v>1577012688</v>
      </c>
      <c r="F12328">
        <v>4980</v>
      </c>
      <c r="G12328">
        <v>0</v>
      </c>
      <c r="H12328" t="s">
        <v>17217</v>
      </c>
      <c r="I12328">
        <v>13877</v>
      </c>
      <c r="J12328" t="str">
        <f>VLOOKUP(E12328,DSSpieler!A:B,2,FALSE)</f>
        <v>LoopingLouie99</v>
      </c>
    </row>
    <row r="12329" spans="1:10" x14ac:dyDescent="0.25">
      <c r="A12329">
        <v>13878</v>
      </c>
      <c r="B12329" t="s">
        <v>2274</v>
      </c>
      <c r="C12329">
        <v>557</v>
      </c>
      <c r="D12329">
        <v>497</v>
      </c>
      <c r="E12329">
        <v>1577200292</v>
      </c>
      <c r="F12329">
        <v>2599</v>
      </c>
      <c r="G12329">
        <v>0</v>
      </c>
      <c r="H12329" t="s">
        <v>17218</v>
      </c>
      <c r="I12329">
        <v>13878</v>
      </c>
      <c r="J12329" t="str">
        <f>VLOOKUP(E12329,DSSpieler!A:B,2,FALSE)</f>
        <v>LilJoseph27</v>
      </c>
    </row>
    <row r="12330" spans="1:10" x14ac:dyDescent="0.25">
      <c r="A12330">
        <v>13879</v>
      </c>
      <c r="B12330" t="s">
        <v>34774</v>
      </c>
      <c r="C12330">
        <v>538</v>
      </c>
      <c r="D12330">
        <v>571</v>
      </c>
      <c r="E12330">
        <v>1576838265</v>
      </c>
      <c r="F12330">
        <v>3135</v>
      </c>
      <c r="G12330">
        <v>0</v>
      </c>
      <c r="H12330" t="s">
        <v>17219</v>
      </c>
      <c r="I12330">
        <v>13879</v>
      </c>
      <c r="J12330" t="str">
        <f>VLOOKUP(E12330,DSSpieler!A:B,2,FALSE)</f>
        <v>NeTsRaK3107</v>
      </c>
    </row>
    <row r="12331" spans="1:10" x14ac:dyDescent="0.25">
      <c r="A12331">
        <v>13880</v>
      </c>
      <c r="B12331" t="s">
        <v>34775</v>
      </c>
      <c r="C12331">
        <v>411</v>
      </c>
      <c r="D12331">
        <v>569</v>
      </c>
      <c r="E12331">
        <v>1577156927</v>
      </c>
      <c r="F12331">
        <v>2103</v>
      </c>
      <c r="G12331">
        <v>0</v>
      </c>
      <c r="H12331" t="s">
        <v>17220</v>
      </c>
      <c r="I12331">
        <v>13880</v>
      </c>
      <c r="J12331" t="str">
        <f>VLOOKUP(E12331,DSSpieler!A:B,2,FALSE)</f>
        <v>Zac Pac</v>
      </c>
    </row>
    <row r="12332" spans="1:10" x14ac:dyDescent="0.25">
      <c r="A12332">
        <v>13881</v>
      </c>
      <c r="B12332" t="s">
        <v>2275</v>
      </c>
      <c r="C12332">
        <v>499</v>
      </c>
      <c r="D12332">
        <v>466</v>
      </c>
      <c r="E12332">
        <v>1577200331</v>
      </c>
      <c r="F12332">
        <v>6151</v>
      </c>
      <c r="G12332">
        <v>0</v>
      </c>
      <c r="H12332" t="s">
        <v>17221</v>
      </c>
      <c r="I12332">
        <v>13881</v>
      </c>
      <c r="J12332" t="str">
        <f>VLOOKUP(E12332,DSSpieler!A:B,2,FALSE)</f>
        <v>KeverKatever</v>
      </c>
    </row>
    <row r="12333" spans="1:10" x14ac:dyDescent="0.25">
      <c r="A12333">
        <v>13882</v>
      </c>
      <c r="B12333" t="s">
        <v>531</v>
      </c>
      <c r="C12333">
        <v>615</v>
      </c>
      <c r="D12333">
        <v>516</v>
      </c>
      <c r="E12333">
        <v>0</v>
      </c>
      <c r="F12333">
        <v>418</v>
      </c>
      <c r="G12333">
        <v>0</v>
      </c>
      <c r="H12333" t="s">
        <v>17222</v>
      </c>
      <c r="I12333">
        <v>13882</v>
      </c>
      <c r="J12333" t="e">
        <f>VLOOKUP(E12333,DSSpieler!A:B,2,FALSE)</f>
        <v>#N/A</v>
      </c>
    </row>
    <row r="12334" spans="1:10" x14ac:dyDescent="0.25">
      <c r="A12334">
        <v>13883</v>
      </c>
      <c r="B12334" t="s">
        <v>531</v>
      </c>
      <c r="C12334">
        <v>574</v>
      </c>
      <c r="D12334">
        <v>511</v>
      </c>
      <c r="E12334">
        <v>0</v>
      </c>
      <c r="F12334">
        <v>174</v>
      </c>
      <c r="G12334">
        <v>0</v>
      </c>
      <c r="H12334" t="s">
        <v>17223</v>
      </c>
      <c r="I12334">
        <v>13883</v>
      </c>
      <c r="J12334" t="e">
        <f>VLOOKUP(E12334,DSSpieler!A:B,2,FALSE)</f>
        <v>#N/A</v>
      </c>
    </row>
    <row r="12335" spans="1:10" x14ac:dyDescent="0.25">
      <c r="A12335">
        <v>13884</v>
      </c>
      <c r="B12335" t="s">
        <v>34776</v>
      </c>
      <c r="C12335">
        <v>405</v>
      </c>
      <c r="D12335">
        <v>532</v>
      </c>
      <c r="E12335">
        <v>1576221415</v>
      </c>
      <c r="F12335">
        <v>2008</v>
      </c>
      <c r="G12335">
        <v>0</v>
      </c>
      <c r="H12335" t="s">
        <v>17224</v>
      </c>
      <c r="I12335">
        <v>13884</v>
      </c>
      <c r="J12335" t="str">
        <f>VLOOKUP(E12335,DSSpieler!A:B,2,FALSE)</f>
        <v>Lady Sommersprosse</v>
      </c>
    </row>
    <row r="12336" spans="1:10" x14ac:dyDescent="0.25">
      <c r="A12336">
        <v>13885</v>
      </c>
      <c r="B12336" t="s">
        <v>531</v>
      </c>
      <c r="C12336">
        <v>614</v>
      </c>
      <c r="D12336">
        <v>502</v>
      </c>
      <c r="E12336">
        <v>0</v>
      </c>
      <c r="F12336">
        <v>357</v>
      </c>
      <c r="G12336">
        <v>0</v>
      </c>
      <c r="H12336" t="s">
        <v>17225</v>
      </c>
      <c r="I12336">
        <v>13885</v>
      </c>
      <c r="J12336" t="e">
        <f>VLOOKUP(E12336,DSSpieler!A:B,2,FALSE)</f>
        <v>#N/A</v>
      </c>
    </row>
    <row r="12337" spans="1:10" x14ac:dyDescent="0.25">
      <c r="A12337">
        <v>13886</v>
      </c>
      <c r="B12337" t="s">
        <v>2276</v>
      </c>
      <c r="C12337">
        <v>588</v>
      </c>
      <c r="D12337">
        <v>569</v>
      </c>
      <c r="E12337">
        <v>9945482</v>
      </c>
      <c r="F12337">
        <v>1455</v>
      </c>
      <c r="G12337">
        <v>0</v>
      </c>
      <c r="H12337" t="s">
        <v>17226</v>
      </c>
      <c r="I12337">
        <v>13886</v>
      </c>
      <c r="J12337" t="str">
        <f>VLOOKUP(E12337,DSSpieler!A:B,2,FALSE)</f>
        <v>LgPrantas</v>
      </c>
    </row>
    <row r="12338" spans="1:10" x14ac:dyDescent="0.25">
      <c r="A12338">
        <v>13887</v>
      </c>
      <c r="B12338" t="s">
        <v>2277</v>
      </c>
      <c r="C12338">
        <v>550</v>
      </c>
      <c r="D12338">
        <v>521</v>
      </c>
      <c r="E12338">
        <v>1577197427</v>
      </c>
      <c r="F12338">
        <v>6154</v>
      </c>
      <c r="G12338">
        <v>0</v>
      </c>
      <c r="H12338" t="s">
        <v>17227</v>
      </c>
      <c r="I12338">
        <v>13887</v>
      </c>
      <c r="J12338" t="str">
        <f>VLOOKUP(E12338,DSSpieler!A:B,2,FALSE)</f>
        <v>snagghetty</v>
      </c>
    </row>
    <row r="12339" spans="1:10" x14ac:dyDescent="0.25">
      <c r="A12339">
        <v>13888</v>
      </c>
      <c r="B12339" t="s">
        <v>531</v>
      </c>
      <c r="C12339">
        <v>389</v>
      </c>
      <c r="D12339">
        <v>522</v>
      </c>
      <c r="E12339">
        <v>0</v>
      </c>
      <c r="F12339">
        <v>110</v>
      </c>
      <c r="G12339">
        <v>0</v>
      </c>
      <c r="H12339" t="s">
        <v>17228</v>
      </c>
      <c r="I12339">
        <v>13888</v>
      </c>
      <c r="J12339" t="e">
        <f>VLOOKUP(E12339,DSSpieler!A:B,2,FALSE)</f>
        <v>#N/A</v>
      </c>
    </row>
    <row r="12340" spans="1:10" x14ac:dyDescent="0.25">
      <c r="A12340">
        <v>13889</v>
      </c>
      <c r="B12340">
        <v>0</v>
      </c>
      <c r="C12340">
        <v>430</v>
      </c>
      <c r="D12340">
        <v>410</v>
      </c>
      <c r="E12340">
        <v>8428504</v>
      </c>
      <c r="F12340">
        <v>1742</v>
      </c>
      <c r="G12340">
        <v>0</v>
      </c>
      <c r="H12340" t="s">
        <v>17229</v>
      </c>
      <c r="I12340">
        <v>13889</v>
      </c>
      <c r="J12340" t="str">
        <f>VLOOKUP(E12340,DSSpieler!A:B,2,FALSE)</f>
        <v>nico144123</v>
      </c>
    </row>
    <row r="12341" spans="1:10" x14ac:dyDescent="0.25">
      <c r="A12341">
        <v>13890</v>
      </c>
      <c r="B12341" t="s">
        <v>531</v>
      </c>
      <c r="C12341">
        <v>395</v>
      </c>
      <c r="D12341">
        <v>450</v>
      </c>
      <c r="E12341">
        <v>0</v>
      </c>
      <c r="F12341">
        <v>167</v>
      </c>
      <c r="G12341">
        <v>0</v>
      </c>
      <c r="H12341" t="s">
        <v>17230</v>
      </c>
      <c r="I12341">
        <v>13890</v>
      </c>
      <c r="J12341" t="e">
        <f>VLOOKUP(E12341,DSSpieler!A:B,2,FALSE)</f>
        <v>#N/A</v>
      </c>
    </row>
    <row r="12342" spans="1:10" x14ac:dyDescent="0.25">
      <c r="A12342">
        <v>13892</v>
      </c>
      <c r="B12342" t="s">
        <v>34777</v>
      </c>
      <c r="C12342">
        <v>426</v>
      </c>
      <c r="D12342">
        <v>413</v>
      </c>
      <c r="E12342">
        <v>1789761</v>
      </c>
      <c r="F12342">
        <v>5270</v>
      </c>
      <c r="G12342">
        <v>0</v>
      </c>
      <c r="H12342" t="s">
        <v>17231</v>
      </c>
      <c r="I12342">
        <v>13892</v>
      </c>
      <c r="J12342" t="str">
        <f>VLOOKUP(E12342,DSSpieler!A:B,2,FALSE)</f>
        <v>Leonardo di Caprisonne</v>
      </c>
    </row>
    <row r="12343" spans="1:10" x14ac:dyDescent="0.25">
      <c r="A12343">
        <v>13895</v>
      </c>
      <c r="B12343" t="s">
        <v>531</v>
      </c>
      <c r="C12343">
        <v>604</v>
      </c>
      <c r="D12343">
        <v>456</v>
      </c>
      <c r="E12343">
        <v>0</v>
      </c>
      <c r="F12343">
        <v>388</v>
      </c>
      <c r="G12343">
        <v>0</v>
      </c>
      <c r="H12343" t="s">
        <v>17232</v>
      </c>
      <c r="I12343">
        <v>13895</v>
      </c>
      <c r="J12343" t="e">
        <f>VLOOKUP(E12343,DSSpieler!A:B,2,FALSE)</f>
        <v>#N/A</v>
      </c>
    </row>
    <row r="12344" spans="1:10" x14ac:dyDescent="0.25">
      <c r="A12344">
        <v>13896</v>
      </c>
      <c r="B12344" t="s">
        <v>34778</v>
      </c>
      <c r="C12344">
        <v>592</v>
      </c>
      <c r="D12344">
        <v>573</v>
      </c>
      <c r="E12344">
        <v>1577185898</v>
      </c>
      <c r="F12344">
        <v>3774</v>
      </c>
      <c r="G12344">
        <v>0</v>
      </c>
      <c r="H12344" t="s">
        <v>17233</v>
      </c>
      <c r="I12344">
        <v>13896</v>
      </c>
      <c r="J12344" t="str">
        <f>VLOOKUP(E12344,DSSpieler!A:B,2,FALSE)</f>
        <v>xIncr3dible</v>
      </c>
    </row>
    <row r="12345" spans="1:10" x14ac:dyDescent="0.25">
      <c r="A12345">
        <v>13897</v>
      </c>
      <c r="B12345" t="s">
        <v>531</v>
      </c>
      <c r="C12345">
        <v>426</v>
      </c>
      <c r="D12345">
        <v>422</v>
      </c>
      <c r="E12345">
        <v>0</v>
      </c>
      <c r="F12345">
        <v>1122</v>
      </c>
      <c r="G12345">
        <v>0</v>
      </c>
      <c r="H12345" t="s">
        <v>17234</v>
      </c>
      <c r="I12345">
        <v>13897</v>
      </c>
      <c r="J12345" t="e">
        <f>VLOOKUP(E12345,DSSpieler!A:B,2,FALSE)</f>
        <v>#N/A</v>
      </c>
    </row>
    <row r="12346" spans="1:10" x14ac:dyDescent="0.25">
      <c r="A12346">
        <v>13898</v>
      </c>
      <c r="B12346" t="s">
        <v>2278</v>
      </c>
      <c r="C12346">
        <v>429</v>
      </c>
      <c r="D12346">
        <v>412</v>
      </c>
      <c r="E12346">
        <v>10077190</v>
      </c>
      <c r="F12346">
        <v>2483</v>
      </c>
      <c r="G12346">
        <v>0</v>
      </c>
      <c r="H12346" t="s">
        <v>17235</v>
      </c>
      <c r="I12346">
        <v>13898</v>
      </c>
      <c r="J12346" t="str">
        <f>VLOOKUP(E12346,DSSpieler!A:B,2,FALSE)</f>
        <v>lR a Z o lR</v>
      </c>
    </row>
    <row r="12347" spans="1:10" x14ac:dyDescent="0.25">
      <c r="A12347">
        <v>13899</v>
      </c>
      <c r="B12347" t="s">
        <v>2279</v>
      </c>
      <c r="C12347">
        <v>582</v>
      </c>
      <c r="D12347">
        <v>417</v>
      </c>
      <c r="E12347">
        <v>1575853380</v>
      </c>
      <c r="F12347">
        <v>3061</v>
      </c>
      <c r="G12347">
        <v>0</v>
      </c>
      <c r="H12347" t="s">
        <v>17236</v>
      </c>
      <c r="I12347">
        <v>13899</v>
      </c>
      <c r="J12347" t="str">
        <f>VLOOKUP(E12347,DSSpieler!A:B,2,FALSE)</f>
        <v>Dana-cup</v>
      </c>
    </row>
    <row r="12348" spans="1:10" x14ac:dyDescent="0.25">
      <c r="A12348">
        <v>13901</v>
      </c>
      <c r="B12348" t="s">
        <v>2280</v>
      </c>
      <c r="C12348">
        <v>437</v>
      </c>
      <c r="D12348">
        <v>411</v>
      </c>
      <c r="E12348">
        <v>1576765182</v>
      </c>
      <c r="F12348">
        <v>4463</v>
      </c>
      <c r="G12348">
        <v>0</v>
      </c>
      <c r="H12348" t="s">
        <v>17237</v>
      </c>
      <c r="I12348">
        <v>13901</v>
      </c>
      <c r="J12348" t="str">
        <f>VLOOKUP(E12348,DSSpieler!A:B,2,FALSE)</f>
        <v>Trassi</v>
      </c>
    </row>
    <row r="12349" spans="1:10" x14ac:dyDescent="0.25">
      <c r="A12349">
        <v>13902</v>
      </c>
      <c r="B12349" t="s">
        <v>34779</v>
      </c>
      <c r="C12349">
        <v>428</v>
      </c>
      <c r="D12349">
        <v>413</v>
      </c>
      <c r="E12349">
        <v>1789761</v>
      </c>
      <c r="F12349">
        <v>5020</v>
      </c>
      <c r="G12349">
        <v>0</v>
      </c>
      <c r="H12349" t="s">
        <v>17238</v>
      </c>
      <c r="I12349">
        <v>13902</v>
      </c>
      <c r="J12349" t="str">
        <f>VLOOKUP(E12349,DSSpieler!A:B,2,FALSE)</f>
        <v>Leonardo di Caprisonne</v>
      </c>
    </row>
    <row r="12350" spans="1:10" x14ac:dyDescent="0.25">
      <c r="A12350">
        <v>13904</v>
      </c>
      <c r="B12350" t="s">
        <v>531</v>
      </c>
      <c r="C12350">
        <v>407</v>
      </c>
      <c r="D12350">
        <v>564</v>
      </c>
      <c r="E12350">
        <v>0</v>
      </c>
      <c r="F12350">
        <v>292</v>
      </c>
      <c r="G12350">
        <v>0</v>
      </c>
      <c r="H12350" t="s">
        <v>17239</v>
      </c>
      <c r="I12350">
        <v>13904</v>
      </c>
      <c r="J12350" t="e">
        <f>VLOOKUP(E12350,DSSpieler!A:B,2,FALSE)</f>
        <v>#N/A</v>
      </c>
    </row>
    <row r="12351" spans="1:10" x14ac:dyDescent="0.25">
      <c r="A12351">
        <v>13905</v>
      </c>
      <c r="B12351" t="s">
        <v>531</v>
      </c>
      <c r="C12351">
        <v>593</v>
      </c>
      <c r="D12351">
        <v>568</v>
      </c>
      <c r="E12351">
        <v>0</v>
      </c>
      <c r="F12351">
        <v>524</v>
      </c>
      <c r="G12351">
        <v>0</v>
      </c>
      <c r="H12351" t="s">
        <v>17240</v>
      </c>
      <c r="I12351">
        <v>13905</v>
      </c>
      <c r="J12351" t="e">
        <f>VLOOKUP(E12351,DSSpieler!A:B,2,FALSE)</f>
        <v>#N/A</v>
      </c>
    </row>
    <row r="12352" spans="1:10" x14ac:dyDescent="0.25">
      <c r="A12352">
        <v>13906</v>
      </c>
      <c r="B12352" t="s">
        <v>531</v>
      </c>
      <c r="C12352">
        <v>604</v>
      </c>
      <c r="D12352">
        <v>446</v>
      </c>
      <c r="E12352">
        <v>0</v>
      </c>
      <c r="F12352">
        <v>731</v>
      </c>
      <c r="G12352">
        <v>0</v>
      </c>
      <c r="H12352" t="s">
        <v>17241</v>
      </c>
      <c r="I12352">
        <v>13906</v>
      </c>
      <c r="J12352" t="e">
        <f>VLOOKUP(E12352,DSSpieler!A:B,2,FALSE)</f>
        <v>#N/A</v>
      </c>
    </row>
    <row r="12353" spans="1:10" x14ac:dyDescent="0.25">
      <c r="A12353">
        <v>13907</v>
      </c>
      <c r="B12353" t="s">
        <v>531</v>
      </c>
      <c r="C12353">
        <v>600</v>
      </c>
      <c r="D12353">
        <v>444</v>
      </c>
      <c r="E12353">
        <v>0</v>
      </c>
      <c r="F12353">
        <v>382</v>
      </c>
      <c r="G12353">
        <v>0</v>
      </c>
      <c r="H12353" t="s">
        <v>17242</v>
      </c>
      <c r="I12353">
        <v>13907</v>
      </c>
      <c r="J12353" t="e">
        <f>VLOOKUP(E12353,DSSpieler!A:B,2,FALSE)</f>
        <v>#N/A</v>
      </c>
    </row>
    <row r="12354" spans="1:10" x14ac:dyDescent="0.25">
      <c r="A12354">
        <v>13909</v>
      </c>
      <c r="B12354" t="s">
        <v>34780</v>
      </c>
      <c r="C12354">
        <v>602</v>
      </c>
      <c r="D12354">
        <v>445</v>
      </c>
      <c r="E12354">
        <v>1576473817</v>
      </c>
      <c r="F12354">
        <v>1937</v>
      </c>
      <c r="G12354">
        <v>0</v>
      </c>
      <c r="H12354" t="s">
        <v>17243</v>
      </c>
      <c r="I12354">
        <v>13909</v>
      </c>
      <c r="J12354" t="str">
        <f>VLOOKUP(E12354,DSSpieler!A:B,2,FALSE)</f>
        <v>Robert9663</v>
      </c>
    </row>
    <row r="12355" spans="1:10" x14ac:dyDescent="0.25">
      <c r="A12355">
        <v>13910</v>
      </c>
      <c r="B12355" t="s">
        <v>34781</v>
      </c>
      <c r="C12355">
        <v>581</v>
      </c>
      <c r="D12355">
        <v>422</v>
      </c>
      <c r="E12355">
        <v>1577173984</v>
      </c>
      <c r="F12355">
        <v>3688</v>
      </c>
      <c r="G12355">
        <v>0</v>
      </c>
      <c r="H12355" t="s">
        <v>17244</v>
      </c>
      <c r="I12355">
        <v>13910</v>
      </c>
      <c r="J12355" t="str">
        <f>VLOOKUP(E12355,DSSpieler!A:B,2,FALSE)</f>
        <v>EisJ3aer4</v>
      </c>
    </row>
    <row r="12356" spans="1:10" x14ac:dyDescent="0.25">
      <c r="A12356">
        <v>13911</v>
      </c>
      <c r="B12356" t="s">
        <v>531</v>
      </c>
      <c r="C12356">
        <v>387</v>
      </c>
      <c r="D12356">
        <v>466</v>
      </c>
      <c r="E12356">
        <v>0</v>
      </c>
      <c r="F12356">
        <v>231</v>
      </c>
      <c r="G12356">
        <v>0</v>
      </c>
      <c r="H12356" t="s">
        <v>17245</v>
      </c>
      <c r="I12356">
        <v>13911</v>
      </c>
      <c r="J12356" t="e">
        <f>VLOOKUP(E12356,DSSpieler!A:B,2,FALSE)</f>
        <v>#N/A</v>
      </c>
    </row>
    <row r="12357" spans="1:10" x14ac:dyDescent="0.25">
      <c r="A12357">
        <v>13912</v>
      </c>
      <c r="B12357">
        <v>1001010</v>
      </c>
      <c r="C12357">
        <v>611</v>
      </c>
      <c r="D12357">
        <v>497</v>
      </c>
      <c r="E12357">
        <v>3299904</v>
      </c>
      <c r="F12357">
        <v>4034</v>
      </c>
      <c r="G12357">
        <v>0</v>
      </c>
      <c r="H12357" t="s">
        <v>17246</v>
      </c>
      <c r="I12357">
        <v>13912</v>
      </c>
      <c r="J12357" t="str">
        <f>VLOOKUP(E12357,DSSpieler!A:B,2,FALSE)</f>
        <v>Kikas Reich</v>
      </c>
    </row>
    <row r="12358" spans="1:10" x14ac:dyDescent="0.25">
      <c r="A12358">
        <v>13913</v>
      </c>
      <c r="B12358" t="s">
        <v>2281</v>
      </c>
      <c r="C12358">
        <v>611</v>
      </c>
      <c r="D12358">
        <v>503</v>
      </c>
      <c r="E12358">
        <v>10089720</v>
      </c>
      <c r="F12358">
        <v>3024</v>
      </c>
      <c r="G12358">
        <v>0</v>
      </c>
      <c r="H12358" t="s">
        <v>17247</v>
      </c>
      <c r="I12358">
        <v>13913</v>
      </c>
      <c r="J12358" t="str">
        <f>VLOOKUP(E12358,DSSpieler!A:B,2,FALSE)</f>
        <v>Dawul</v>
      </c>
    </row>
    <row r="12359" spans="1:10" x14ac:dyDescent="0.25">
      <c r="A12359">
        <v>13915</v>
      </c>
      <c r="B12359" t="s">
        <v>531</v>
      </c>
      <c r="C12359">
        <v>478</v>
      </c>
      <c r="D12359">
        <v>614</v>
      </c>
      <c r="E12359">
        <v>0</v>
      </c>
      <c r="F12359">
        <v>301</v>
      </c>
      <c r="G12359">
        <v>0</v>
      </c>
      <c r="H12359" t="s">
        <v>17248</v>
      </c>
      <c r="I12359">
        <v>13915</v>
      </c>
      <c r="J12359" t="e">
        <f>VLOOKUP(E12359,DSSpieler!A:B,2,FALSE)</f>
        <v>#N/A</v>
      </c>
    </row>
    <row r="12360" spans="1:10" x14ac:dyDescent="0.25">
      <c r="A12360">
        <v>13916</v>
      </c>
      <c r="B12360">
        <v>2</v>
      </c>
      <c r="C12360">
        <v>386</v>
      </c>
      <c r="D12360">
        <v>476</v>
      </c>
      <c r="E12360">
        <v>1577179274</v>
      </c>
      <c r="F12360">
        <v>4143</v>
      </c>
      <c r="G12360">
        <v>0</v>
      </c>
      <c r="H12360" t="s">
        <v>508</v>
      </c>
      <c r="I12360">
        <v>13916</v>
      </c>
      <c r="J12360" t="str">
        <f>VLOOKUP(E12360,DSSpieler!A:B,2,FALSE)</f>
        <v>MasonGunner</v>
      </c>
    </row>
    <row r="12361" spans="1:10" x14ac:dyDescent="0.25">
      <c r="A12361">
        <v>13917</v>
      </c>
      <c r="B12361" t="s">
        <v>34782</v>
      </c>
      <c r="C12361">
        <v>527</v>
      </c>
      <c r="D12361">
        <v>389</v>
      </c>
      <c r="E12361">
        <v>10046655</v>
      </c>
      <c r="F12361">
        <v>4320</v>
      </c>
      <c r="G12361">
        <v>0</v>
      </c>
      <c r="H12361" t="s">
        <v>17249</v>
      </c>
      <c r="I12361">
        <v>13917</v>
      </c>
      <c r="J12361" t="str">
        <f>VLOOKUP(E12361,DSSpieler!A:B,2,FALSE)</f>
        <v>lokshooter</v>
      </c>
    </row>
    <row r="12362" spans="1:10" x14ac:dyDescent="0.25">
      <c r="A12362">
        <v>13918</v>
      </c>
      <c r="B12362" t="s">
        <v>531</v>
      </c>
      <c r="C12362">
        <v>592</v>
      </c>
      <c r="D12362">
        <v>564</v>
      </c>
      <c r="E12362">
        <v>0</v>
      </c>
      <c r="F12362">
        <v>204</v>
      </c>
      <c r="G12362">
        <v>0</v>
      </c>
      <c r="H12362" t="s">
        <v>17250</v>
      </c>
      <c r="I12362">
        <v>13918</v>
      </c>
      <c r="J12362" t="e">
        <f>VLOOKUP(E12362,DSSpieler!A:B,2,FALSE)</f>
        <v>#N/A</v>
      </c>
    </row>
    <row r="12363" spans="1:10" x14ac:dyDescent="0.25">
      <c r="A12363">
        <v>13919</v>
      </c>
      <c r="B12363" t="s">
        <v>34783</v>
      </c>
      <c r="C12363">
        <v>408</v>
      </c>
      <c r="D12363">
        <v>570</v>
      </c>
      <c r="E12363">
        <v>1576133947</v>
      </c>
      <c r="F12363">
        <v>2699</v>
      </c>
      <c r="G12363">
        <v>0</v>
      </c>
      <c r="H12363" t="s">
        <v>17251</v>
      </c>
      <c r="I12363">
        <v>13919</v>
      </c>
      <c r="J12363" t="str">
        <f>VLOOKUP(E12363,DSSpieler!A:B,2,FALSE)</f>
        <v>DasHaze</v>
      </c>
    </row>
    <row r="12364" spans="1:10" x14ac:dyDescent="0.25">
      <c r="A12364">
        <v>13920</v>
      </c>
      <c r="B12364" t="s">
        <v>2282</v>
      </c>
      <c r="C12364">
        <v>446</v>
      </c>
      <c r="D12364">
        <v>502</v>
      </c>
      <c r="E12364">
        <v>1577197425</v>
      </c>
      <c r="F12364">
        <v>2544</v>
      </c>
      <c r="G12364">
        <v>0</v>
      </c>
      <c r="H12364" t="s">
        <v>17252</v>
      </c>
      <c r="I12364">
        <v>13920</v>
      </c>
      <c r="J12364" t="str">
        <f>VLOOKUP(E12364,DSSpieler!A:B,2,FALSE)</f>
        <v>Körnivasall</v>
      </c>
    </row>
    <row r="12365" spans="1:10" x14ac:dyDescent="0.25">
      <c r="A12365">
        <v>13921</v>
      </c>
      <c r="B12365" t="s">
        <v>2283</v>
      </c>
      <c r="C12365">
        <v>571</v>
      </c>
      <c r="D12365">
        <v>408</v>
      </c>
      <c r="E12365">
        <v>3058830</v>
      </c>
      <c r="F12365">
        <v>875</v>
      </c>
      <c r="G12365">
        <v>0</v>
      </c>
      <c r="H12365" t="s">
        <v>17253</v>
      </c>
      <c r="I12365">
        <v>13921</v>
      </c>
      <c r="J12365" t="str">
        <f>VLOOKUP(E12365,DSSpieler!A:B,2,FALSE)</f>
        <v>mungo133</v>
      </c>
    </row>
    <row r="12366" spans="1:10" x14ac:dyDescent="0.25">
      <c r="A12366">
        <v>13922</v>
      </c>
      <c r="B12366" t="s">
        <v>531</v>
      </c>
      <c r="C12366">
        <v>610</v>
      </c>
      <c r="D12366">
        <v>539</v>
      </c>
      <c r="E12366">
        <v>0</v>
      </c>
      <c r="F12366">
        <v>248</v>
      </c>
      <c r="G12366">
        <v>0</v>
      </c>
      <c r="H12366" t="s">
        <v>17254</v>
      </c>
      <c r="I12366">
        <v>13922</v>
      </c>
      <c r="J12366" t="e">
        <f>VLOOKUP(E12366,DSSpieler!A:B,2,FALSE)</f>
        <v>#N/A</v>
      </c>
    </row>
    <row r="12367" spans="1:10" x14ac:dyDescent="0.25">
      <c r="A12367">
        <v>13923</v>
      </c>
      <c r="B12367" t="s">
        <v>531</v>
      </c>
      <c r="C12367">
        <v>562</v>
      </c>
      <c r="D12367">
        <v>404</v>
      </c>
      <c r="E12367">
        <v>0</v>
      </c>
      <c r="F12367">
        <v>289</v>
      </c>
      <c r="G12367">
        <v>0</v>
      </c>
      <c r="H12367" t="s">
        <v>17255</v>
      </c>
      <c r="I12367">
        <v>13923</v>
      </c>
      <c r="J12367" t="e">
        <f>VLOOKUP(E12367,DSSpieler!A:B,2,FALSE)</f>
        <v>#N/A</v>
      </c>
    </row>
    <row r="12368" spans="1:10" x14ac:dyDescent="0.25">
      <c r="A12368">
        <v>13924</v>
      </c>
      <c r="B12368" t="s">
        <v>531</v>
      </c>
      <c r="C12368">
        <v>601</v>
      </c>
      <c r="D12368">
        <v>449</v>
      </c>
      <c r="E12368">
        <v>0</v>
      </c>
      <c r="F12368">
        <v>350</v>
      </c>
      <c r="G12368">
        <v>0</v>
      </c>
      <c r="H12368" t="s">
        <v>17256</v>
      </c>
      <c r="I12368">
        <v>13924</v>
      </c>
      <c r="J12368" t="e">
        <f>VLOOKUP(E12368,DSSpieler!A:B,2,FALSE)</f>
        <v>#N/A</v>
      </c>
    </row>
    <row r="12369" spans="1:10" x14ac:dyDescent="0.25">
      <c r="A12369">
        <v>13925</v>
      </c>
      <c r="B12369" t="s">
        <v>531</v>
      </c>
      <c r="C12369">
        <v>385</v>
      </c>
      <c r="D12369">
        <v>481</v>
      </c>
      <c r="E12369">
        <v>0</v>
      </c>
      <c r="F12369">
        <v>191</v>
      </c>
      <c r="G12369">
        <v>0</v>
      </c>
      <c r="H12369" t="s">
        <v>17257</v>
      </c>
      <c r="I12369">
        <v>13925</v>
      </c>
      <c r="J12369" t="e">
        <f>VLOOKUP(E12369,DSSpieler!A:B,2,FALSE)</f>
        <v>#N/A</v>
      </c>
    </row>
    <row r="12370" spans="1:10" x14ac:dyDescent="0.25">
      <c r="A12370">
        <v>13926</v>
      </c>
      <c r="B12370" t="s">
        <v>780</v>
      </c>
      <c r="C12370">
        <v>600</v>
      </c>
      <c r="D12370">
        <v>552</v>
      </c>
      <c r="E12370">
        <v>1577070025</v>
      </c>
      <c r="F12370">
        <v>5914</v>
      </c>
      <c r="G12370">
        <v>0</v>
      </c>
      <c r="H12370" t="s">
        <v>17258</v>
      </c>
      <c r="I12370">
        <v>13926</v>
      </c>
      <c r="J12370" t="str">
        <f>VLOOKUP(E12370,DSSpieler!A:B,2,FALSE)</f>
        <v>SteveIRL07</v>
      </c>
    </row>
    <row r="12371" spans="1:10" x14ac:dyDescent="0.25">
      <c r="A12371">
        <v>13927</v>
      </c>
      <c r="B12371" t="s">
        <v>531</v>
      </c>
      <c r="C12371">
        <v>402</v>
      </c>
      <c r="D12371">
        <v>438</v>
      </c>
      <c r="E12371">
        <v>0</v>
      </c>
      <c r="F12371">
        <v>357</v>
      </c>
      <c r="G12371">
        <v>0</v>
      </c>
      <c r="H12371" t="s">
        <v>17259</v>
      </c>
      <c r="I12371">
        <v>13927</v>
      </c>
      <c r="J12371" t="e">
        <f>VLOOKUP(E12371,DSSpieler!A:B,2,FALSE)</f>
        <v>#N/A</v>
      </c>
    </row>
    <row r="12372" spans="1:10" x14ac:dyDescent="0.25">
      <c r="A12372">
        <v>13928</v>
      </c>
      <c r="B12372" t="s">
        <v>531</v>
      </c>
      <c r="C12372">
        <v>423</v>
      </c>
      <c r="D12372">
        <v>588</v>
      </c>
      <c r="E12372">
        <v>0</v>
      </c>
      <c r="F12372">
        <v>164</v>
      </c>
      <c r="G12372">
        <v>0</v>
      </c>
      <c r="H12372" t="s">
        <v>17260</v>
      </c>
      <c r="I12372">
        <v>13928</v>
      </c>
      <c r="J12372" t="e">
        <f>VLOOKUP(E12372,DSSpieler!A:B,2,FALSE)</f>
        <v>#N/A</v>
      </c>
    </row>
    <row r="12373" spans="1:10" x14ac:dyDescent="0.25">
      <c r="A12373">
        <v>13929</v>
      </c>
      <c r="B12373" t="s">
        <v>531</v>
      </c>
      <c r="C12373">
        <v>576</v>
      </c>
      <c r="D12373">
        <v>419</v>
      </c>
      <c r="E12373">
        <v>0</v>
      </c>
      <c r="F12373">
        <v>330</v>
      </c>
      <c r="G12373">
        <v>0</v>
      </c>
      <c r="H12373" t="s">
        <v>17261</v>
      </c>
      <c r="I12373">
        <v>13929</v>
      </c>
      <c r="J12373" t="e">
        <f>VLOOKUP(E12373,DSSpieler!A:B,2,FALSE)</f>
        <v>#N/A</v>
      </c>
    </row>
    <row r="12374" spans="1:10" x14ac:dyDescent="0.25">
      <c r="A12374">
        <v>13931</v>
      </c>
      <c r="B12374" t="s">
        <v>2284</v>
      </c>
      <c r="C12374">
        <v>417</v>
      </c>
      <c r="D12374">
        <v>548</v>
      </c>
      <c r="E12374">
        <v>9961010</v>
      </c>
      <c r="F12374">
        <v>1317</v>
      </c>
      <c r="G12374">
        <v>0</v>
      </c>
      <c r="H12374" t="s">
        <v>17262</v>
      </c>
      <c r="I12374">
        <v>13931</v>
      </c>
      <c r="J12374" t="str">
        <f>VLOOKUP(E12374,DSSpieler!A:B,2,FALSE)</f>
        <v>Cpt.Sinep</v>
      </c>
    </row>
    <row r="12375" spans="1:10" x14ac:dyDescent="0.25">
      <c r="A12375">
        <v>13932</v>
      </c>
      <c r="B12375" t="s">
        <v>2285</v>
      </c>
      <c r="C12375">
        <v>605</v>
      </c>
      <c r="D12375">
        <v>472</v>
      </c>
      <c r="E12375">
        <v>1577171746</v>
      </c>
      <c r="F12375">
        <v>5214</v>
      </c>
      <c r="G12375">
        <v>0</v>
      </c>
      <c r="H12375" t="s">
        <v>17263</v>
      </c>
      <c r="I12375">
        <v>13932</v>
      </c>
      <c r="J12375" t="str">
        <f>VLOOKUP(E12375,DSSpieler!A:B,2,FALSE)</f>
        <v>ArmeRitter</v>
      </c>
    </row>
    <row r="12376" spans="1:10" x14ac:dyDescent="0.25">
      <c r="A12376">
        <v>13933</v>
      </c>
      <c r="B12376" t="s">
        <v>2286</v>
      </c>
      <c r="C12376">
        <v>440</v>
      </c>
      <c r="D12376">
        <v>504</v>
      </c>
      <c r="E12376">
        <v>10034688</v>
      </c>
      <c r="F12376">
        <v>152</v>
      </c>
      <c r="G12376">
        <v>0</v>
      </c>
      <c r="H12376" t="s">
        <v>17264</v>
      </c>
      <c r="I12376">
        <v>13933</v>
      </c>
      <c r="J12376" t="str">
        <f>VLOOKUP(E12376,DSSpieler!A:B,2,FALSE)</f>
        <v>Pic1000</v>
      </c>
    </row>
    <row r="12377" spans="1:10" x14ac:dyDescent="0.25">
      <c r="A12377">
        <v>13934</v>
      </c>
      <c r="B12377" t="s">
        <v>531</v>
      </c>
      <c r="C12377">
        <v>391</v>
      </c>
      <c r="D12377">
        <v>550</v>
      </c>
      <c r="E12377">
        <v>0</v>
      </c>
      <c r="F12377">
        <v>233</v>
      </c>
      <c r="G12377">
        <v>0</v>
      </c>
      <c r="H12377" t="s">
        <v>17265</v>
      </c>
      <c r="I12377">
        <v>13934</v>
      </c>
      <c r="J12377" t="e">
        <f>VLOOKUP(E12377,DSSpieler!A:B,2,FALSE)</f>
        <v>#N/A</v>
      </c>
    </row>
    <row r="12378" spans="1:10" x14ac:dyDescent="0.25">
      <c r="A12378">
        <v>13935</v>
      </c>
      <c r="B12378" t="s">
        <v>34784</v>
      </c>
      <c r="C12378">
        <v>497</v>
      </c>
      <c r="D12378">
        <v>537</v>
      </c>
      <c r="E12378">
        <v>2372597</v>
      </c>
      <c r="F12378">
        <v>5158</v>
      </c>
      <c r="G12378">
        <v>0</v>
      </c>
      <c r="H12378" t="s">
        <v>17266</v>
      </c>
      <c r="I12378">
        <v>13935</v>
      </c>
      <c r="J12378" t="str">
        <f>VLOOKUP(E12378,DSSpieler!A:B,2,FALSE)</f>
        <v>Frohlix</v>
      </c>
    </row>
    <row r="12379" spans="1:10" x14ac:dyDescent="0.25">
      <c r="A12379">
        <v>13936</v>
      </c>
      <c r="B12379" t="s">
        <v>35855</v>
      </c>
      <c r="C12379">
        <v>564</v>
      </c>
      <c r="D12379">
        <v>593</v>
      </c>
      <c r="E12379">
        <v>1576529285</v>
      </c>
      <c r="F12379">
        <v>1463</v>
      </c>
      <c r="G12379">
        <v>0</v>
      </c>
      <c r="H12379" t="s">
        <v>17267</v>
      </c>
      <c r="I12379">
        <v>13936</v>
      </c>
      <c r="J12379" t="str">
        <f>VLOOKUP(E12379,DSSpieler!A:B,2,FALSE)</f>
        <v>supinator</v>
      </c>
    </row>
    <row r="12380" spans="1:10" x14ac:dyDescent="0.25">
      <c r="A12380">
        <v>13937</v>
      </c>
      <c r="B12380" t="s">
        <v>531</v>
      </c>
      <c r="C12380">
        <v>395</v>
      </c>
      <c r="D12380">
        <v>538</v>
      </c>
      <c r="E12380">
        <v>1577004052</v>
      </c>
      <c r="F12380">
        <v>372</v>
      </c>
      <c r="G12380">
        <v>0</v>
      </c>
      <c r="H12380" t="s">
        <v>17268</v>
      </c>
      <c r="I12380">
        <v>13937</v>
      </c>
      <c r="J12380" t="str">
        <f>VLOOKUP(E12380,DSSpieler!A:B,2,FALSE)</f>
        <v>Gimilay</v>
      </c>
    </row>
    <row r="12381" spans="1:10" x14ac:dyDescent="0.25">
      <c r="A12381">
        <v>13938</v>
      </c>
      <c r="B12381" t="s">
        <v>34785</v>
      </c>
      <c r="C12381">
        <v>417</v>
      </c>
      <c r="D12381">
        <v>581</v>
      </c>
      <c r="E12381">
        <v>1576260161</v>
      </c>
      <c r="F12381">
        <v>4154</v>
      </c>
      <c r="G12381">
        <v>0</v>
      </c>
      <c r="H12381" t="s">
        <v>17269</v>
      </c>
      <c r="I12381">
        <v>13938</v>
      </c>
      <c r="J12381" t="str">
        <f>VLOOKUP(E12381,DSSpieler!A:B,2,FALSE)</f>
        <v>Nar Garzhvog</v>
      </c>
    </row>
    <row r="12382" spans="1:10" x14ac:dyDescent="0.25">
      <c r="A12382">
        <v>13939</v>
      </c>
      <c r="B12382" t="s">
        <v>531</v>
      </c>
      <c r="C12382">
        <v>393</v>
      </c>
      <c r="D12382">
        <v>538</v>
      </c>
      <c r="E12382">
        <v>0</v>
      </c>
      <c r="F12382">
        <v>665</v>
      </c>
      <c r="G12382">
        <v>0</v>
      </c>
      <c r="H12382" t="s">
        <v>17270</v>
      </c>
      <c r="I12382">
        <v>13939</v>
      </c>
      <c r="J12382" t="e">
        <f>VLOOKUP(E12382,DSSpieler!A:B,2,FALSE)</f>
        <v>#N/A</v>
      </c>
    </row>
    <row r="12383" spans="1:10" x14ac:dyDescent="0.25">
      <c r="A12383">
        <v>13940</v>
      </c>
      <c r="B12383" t="s">
        <v>34786</v>
      </c>
      <c r="C12383">
        <v>619</v>
      </c>
      <c r="D12383">
        <v>496</v>
      </c>
      <c r="E12383">
        <v>9738149</v>
      </c>
      <c r="F12383">
        <v>5299</v>
      </c>
      <c r="G12383">
        <v>0</v>
      </c>
      <c r="H12383" t="s">
        <v>17271</v>
      </c>
      <c r="I12383">
        <v>13940</v>
      </c>
      <c r="J12383" t="str">
        <f>VLOOKUP(E12383,DSSpieler!A:B,2,FALSE)</f>
        <v>TELETUBBIE.</v>
      </c>
    </row>
    <row r="12384" spans="1:10" x14ac:dyDescent="0.25">
      <c r="A12384">
        <v>13941</v>
      </c>
      <c r="B12384" t="s">
        <v>531</v>
      </c>
      <c r="C12384">
        <v>390</v>
      </c>
      <c r="D12384">
        <v>538</v>
      </c>
      <c r="E12384">
        <v>0</v>
      </c>
      <c r="F12384">
        <v>300</v>
      </c>
      <c r="G12384">
        <v>0</v>
      </c>
      <c r="H12384" t="s">
        <v>17272</v>
      </c>
      <c r="I12384">
        <v>13941</v>
      </c>
      <c r="J12384" t="e">
        <f>VLOOKUP(E12384,DSSpieler!A:B,2,FALSE)</f>
        <v>#N/A</v>
      </c>
    </row>
    <row r="12385" spans="1:10" x14ac:dyDescent="0.25">
      <c r="A12385">
        <v>13942</v>
      </c>
      <c r="B12385" t="s">
        <v>1087</v>
      </c>
      <c r="C12385">
        <v>581</v>
      </c>
      <c r="D12385">
        <v>570</v>
      </c>
      <c r="E12385">
        <v>9575066</v>
      </c>
      <c r="F12385">
        <v>4961</v>
      </c>
      <c r="G12385">
        <v>0</v>
      </c>
      <c r="H12385" t="s">
        <v>17273</v>
      </c>
      <c r="I12385">
        <v>13942</v>
      </c>
      <c r="J12385" t="str">
        <f>VLOOKUP(E12385,DSSpieler!A:B,2,FALSE)</f>
        <v>Swordmaster1200</v>
      </c>
    </row>
    <row r="12386" spans="1:10" x14ac:dyDescent="0.25">
      <c r="A12386">
        <v>13943</v>
      </c>
      <c r="B12386" t="s">
        <v>531</v>
      </c>
      <c r="C12386">
        <v>580</v>
      </c>
      <c r="D12386">
        <v>580</v>
      </c>
      <c r="E12386">
        <v>0</v>
      </c>
      <c r="F12386">
        <v>140</v>
      </c>
      <c r="G12386">
        <v>0</v>
      </c>
      <c r="H12386" t="s">
        <v>17274</v>
      </c>
      <c r="I12386">
        <v>13943</v>
      </c>
      <c r="J12386" t="e">
        <f>VLOOKUP(E12386,DSSpieler!A:B,2,FALSE)</f>
        <v>#N/A</v>
      </c>
    </row>
    <row r="12387" spans="1:10" x14ac:dyDescent="0.25">
      <c r="A12387">
        <v>13945</v>
      </c>
      <c r="B12387" t="s">
        <v>2287</v>
      </c>
      <c r="C12387">
        <v>496</v>
      </c>
      <c r="D12387">
        <v>460</v>
      </c>
      <c r="E12387">
        <v>1577200408</v>
      </c>
      <c r="F12387">
        <v>7281</v>
      </c>
      <c r="G12387">
        <v>0</v>
      </c>
      <c r="H12387" t="s">
        <v>17275</v>
      </c>
      <c r="I12387">
        <v>13945</v>
      </c>
      <c r="J12387" t="str">
        <f>VLOOKUP(E12387,DSSpieler!A:B,2,FALSE)</f>
        <v>Crazy-Jo</v>
      </c>
    </row>
    <row r="12388" spans="1:10" x14ac:dyDescent="0.25">
      <c r="A12388">
        <v>13946</v>
      </c>
      <c r="B12388" t="s">
        <v>531</v>
      </c>
      <c r="C12388">
        <v>386</v>
      </c>
      <c r="D12388">
        <v>517</v>
      </c>
      <c r="E12388">
        <v>0</v>
      </c>
      <c r="F12388">
        <v>106</v>
      </c>
      <c r="G12388">
        <v>0</v>
      </c>
      <c r="H12388" t="s">
        <v>17276</v>
      </c>
      <c r="I12388">
        <v>13946</v>
      </c>
      <c r="J12388" t="e">
        <f>VLOOKUP(E12388,DSSpieler!A:B,2,FALSE)</f>
        <v>#N/A</v>
      </c>
    </row>
    <row r="12389" spans="1:10" x14ac:dyDescent="0.25">
      <c r="A12389">
        <v>13947</v>
      </c>
      <c r="B12389" t="s">
        <v>531</v>
      </c>
      <c r="C12389">
        <v>388</v>
      </c>
      <c r="D12389">
        <v>527</v>
      </c>
      <c r="E12389">
        <v>0</v>
      </c>
      <c r="F12389">
        <v>171</v>
      </c>
      <c r="G12389">
        <v>0</v>
      </c>
      <c r="H12389" t="s">
        <v>17277</v>
      </c>
      <c r="I12389">
        <v>13947</v>
      </c>
      <c r="J12389" t="e">
        <f>VLOOKUP(E12389,DSSpieler!A:B,2,FALSE)</f>
        <v>#N/A</v>
      </c>
    </row>
    <row r="12390" spans="1:10" x14ac:dyDescent="0.25">
      <c r="A12390">
        <v>13948</v>
      </c>
      <c r="B12390" t="s">
        <v>531</v>
      </c>
      <c r="C12390">
        <v>439</v>
      </c>
      <c r="D12390">
        <v>497</v>
      </c>
      <c r="E12390">
        <v>0</v>
      </c>
      <c r="F12390">
        <v>654</v>
      </c>
      <c r="G12390">
        <v>0</v>
      </c>
      <c r="H12390" t="s">
        <v>17278</v>
      </c>
      <c r="I12390">
        <v>13948</v>
      </c>
      <c r="J12390" t="e">
        <f>VLOOKUP(E12390,DSSpieler!A:B,2,FALSE)</f>
        <v>#N/A</v>
      </c>
    </row>
    <row r="12391" spans="1:10" x14ac:dyDescent="0.25">
      <c r="A12391">
        <v>13951</v>
      </c>
      <c r="B12391" t="s">
        <v>531</v>
      </c>
      <c r="C12391">
        <v>548</v>
      </c>
      <c r="D12391">
        <v>601</v>
      </c>
      <c r="E12391">
        <v>0</v>
      </c>
      <c r="F12391">
        <v>341</v>
      </c>
      <c r="G12391">
        <v>0</v>
      </c>
      <c r="H12391" t="s">
        <v>17279</v>
      </c>
      <c r="I12391">
        <v>13951</v>
      </c>
      <c r="J12391" t="e">
        <f>VLOOKUP(E12391,DSSpieler!A:B,2,FALSE)</f>
        <v>#N/A</v>
      </c>
    </row>
    <row r="12392" spans="1:10" x14ac:dyDescent="0.25">
      <c r="A12392">
        <v>13952</v>
      </c>
      <c r="B12392" t="s">
        <v>34787</v>
      </c>
      <c r="C12392">
        <v>460</v>
      </c>
      <c r="D12392">
        <v>591</v>
      </c>
      <c r="E12392">
        <v>1577047370</v>
      </c>
      <c r="F12392">
        <v>115</v>
      </c>
      <c r="G12392">
        <v>0</v>
      </c>
      <c r="H12392" t="s">
        <v>17280</v>
      </c>
      <c r="I12392">
        <v>13952</v>
      </c>
      <c r="J12392" t="str">
        <f>VLOOKUP(E12392,DSSpieler!A:B,2,FALSE)</f>
        <v>berni365</v>
      </c>
    </row>
    <row r="12393" spans="1:10" x14ac:dyDescent="0.25">
      <c r="A12393">
        <v>13953</v>
      </c>
      <c r="B12393" t="s">
        <v>1100</v>
      </c>
      <c r="C12393">
        <v>579</v>
      </c>
      <c r="D12393">
        <v>581</v>
      </c>
      <c r="E12393">
        <v>8703971</v>
      </c>
      <c r="F12393">
        <v>4995</v>
      </c>
      <c r="G12393">
        <v>0</v>
      </c>
      <c r="H12393" t="s">
        <v>17281</v>
      </c>
      <c r="I12393">
        <v>13953</v>
      </c>
      <c r="J12393" t="str">
        <f>VLOOKUP(E12393,DSSpieler!A:B,2,FALSE)</f>
        <v>WaBoUnleashed</v>
      </c>
    </row>
    <row r="12394" spans="1:10" x14ac:dyDescent="0.25">
      <c r="A12394">
        <v>13954</v>
      </c>
      <c r="B12394" t="s">
        <v>34788</v>
      </c>
      <c r="C12394">
        <v>486</v>
      </c>
      <c r="D12394">
        <v>462</v>
      </c>
      <c r="E12394">
        <v>1577198021</v>
      </c>
      <c r="F12394">
        <v>7184</v>
      </c>
      <c r="G12394">
        <v>0</v>
      </c>
      <c r="H12394" t="s">
        <v>17282</v>
      </c>
      <c r="I12394">
        <v>13954</v>
      </c>
      <c r="J12394" t="str">
        <f>VLOOKUP(E12394,DSSpieler!A:B,2,FALSE)</f>
        <v>Bierstattskill</v>
      </c>
    </row>
    <row r="12395" spans="1:10" x14ac:dyDescent="0.25">
      <c r="A12395">
        <v>13955</v>
      </c>
      <c r="B12395" t="s">
        <v>531</v>
      </c>
      <c r="C12395">
        <v>448</v>
      </c>
      <c r="D12395">
        <v>403</v>
      </c>
      <c r="E12395">
        <v>0</v>
      </c>
      <c r="F12395">
        <v>190</v>
      </c>
      <c r="G12395">
        <v>0</v>
      </c>
      <c r="H12395" t="s">
        <v>17283</v>
      </c>
      <c r="I12395">
        <v>13955</v>
      </c>
      <c r="J12395" t="e">
        <f>VLOOKUP(E12395,DSSpieler!A:B,2,FALSE)</f>
        <v>#N/A</v>
      </c>
    </row>
    <row r="12396" spans="1:10" x14ac:dyDescent="0.25">
      <c r="A12396">
        <v>13956</v>
      </c>
      <c r="B12396" t="s">
        <v>531</v>
      </c>
      <c r="C12396">
        <v>605</v>
      </c>
      <c r="D12396">
        <v>545</v>
      </c>
      <c r="E12396">
        <v>0</v>
      </c>
      <c r="F12396">
        <v>267</v>
      </c>
      <c r="G12396">
        <v>0</v>
      </c>
      <c r="H12396" t="s">
        <v>17284</v>
      </c>
      <c r="I12396">
        <v>13956</v>
      </c>
      <c r="J12396" t="e">
        <f>VLOOKUP(E12396,DSSpieler!A:B,2,FALSE)</f>
        <v>#N/A</v>
      </c>
    </row>
    <row r="12397" spans="1:10" x14ac:dyDescent="0.25">
      <c r="A12397">
        <v>13957</v>
      </c>
      <c r="B12397" t="s">
        <v>531</v>
      </c>
      <c r="C12397">
        <v>563</v>
      </c>
      <c r="D12397">
        <v>404</v>
      </c>
      <c r="E12397">
        <v>0</v>
      </c>
      <c r="F12397">
        <v>237</v>
      </c>
      <c r="G12397">
        <v>0</v>
      </c>
      <c r="H12397" t="s">
        <v>17285</v>
      </c>
      <c r="I12397">
        <v>13957</v>
      </c>
      <c r="J12397" t="e">
        <f>VLOOKUP(E12397,DSSpieler!A:B,2,FALSE)</f>
        <v>#N/A</v>
      </c>
    </row>
    <row r="12398" spans="1:10" x14ac:dyDescent="0.25">
      <c r="A12398">
        <v>13958</v>
      </c>
      <c r="B12398" t="s">
        <v>34789</v>
      </c>
      <c r="C12398">
        <v>387</v>
      </c>
      <c r="D12398">
        <v>489</v>
      </c>
      <c r="E12398">
        <v>1576699542</v>
      </c>
      <c r="F12398">
        <v>3676</v>
      </c>
      <c r="G12398">
        <v>0</v>
      </c>
      <c r="H12398" t="s">
        <v>17286</v>
      </c>
      <c r="I12398">
        <v>13958</v>
      </c>
      <c r="J12398" t="str">
        <f>VLOOKUP(E12398,DSSpieler!A:B,2,FALSE)</f>
        <v>Froztea</v>
      </c>
    </row>
    <row r="12399" spans="1:10" x14ac:dyDescent="0.25">
      <c r="A12399">
        <v>13959</v>
      </c>
      <c r="B12399" t="s">
        <v>531</v>
      </c>
      <c r="C12399">
        <v>546</v>
      </c>
      <c r="D12399">
        <v>605</v>
      </c>
      <c r="E12399">
        <v>0</v>
      </c>
      <c r="F12399">
        <v>280</v>
      </c>
      <c r="G12399">
        <v>0</v>
      </c>
      <c r="H12399" t="s">
        <v>17287</v>
      </c>
      <c r="I12399">
        <v>13959</v>
      </c>
      <c r="J12399" t="e">
        <f>VLOOKUP(E12399,DSSpieler!A:B,2,FALSE)</f>
        <v>#N/A</v>
      </c>
    </row>
    <row r="12400" spans="1:10" x14ac:dyDescent="0.25">
      <c r="A12400">
        <v>13960</v>
      </c>
      <c r="B12400" t="s">
        <v>34790</v>
      </c>
      <c r="C12400">
        <v>389</v>
      </c>
      <c r="D12400">
        <v>515</v>
      </c>
      <c r="E12400">
        <v>1577070192</v>
      </c>
      <c r="F12400">
        <v>4271</v>
      </c>
      <c r="G12400">
        <v>0</v>
      </c>
      <c r="H12400" t="s">
        <v>17288</v>
      </c>
      <c r="I12400">
        <v>13960</v>
      </c>
      <c r="J12400" t="str">
        <f>VLOOKUP(E12400,DSSpieler!A:B,2,FALSE)</f>
        <v>SirAmon</v>
      </c>
    </row>
    <row r="12401" spans="1:10" x14ac:dyDescent="0.25">
      <c r="A12401">
        <v>13962</v>
      </c>
      <c r="B12401" t="s">
        <v>34791</v>
      </c>
      <c r="C12401">
        <v>387</v>
      </c>
      <c r="D12401">
        <v>519</v>
      </c>
      <c r="E12401">
        <v>1577201524</v>
      </c>
      <c r="F12401">
        <v>801</v>
      </c>
      <c r="G12401">
        <v>0</v>
      </c>
      <c r="H12401" t="s">
        <v>17289</v>
      </c>
      <c r="I12401">
        <v>13962</v>
      </c>
      <c r="J12401" t="str">
        <f>VLOOKUP(E12401,DSSpieler!A:B,2,FALSE)</f>
        <v>Mirandena</v>
      </c>
    </row>
    <row r="12402" spans="1:10" x14ac:dyDescent="0.25">
      <c r="A12402">
        <v>13963</v>
      </c>
      <c r="B12402" t="s">
        <v>531</v>
      </c>
      <c r="C12402">
        <v>453</v>
      </c>
      <c r="D12402">
        <v>398</v>
      </c>
      <c r="E12402">
        <v>0</v>
      </c>
      <c r="F12402">
        <v>470</v>
      </c>
      <c r="G12402">
        <v>0</v>
      </c>
      <c r="H12402" t="s">
        <v>17290</v>
      </c>
      <c r="I12402">
        <v>13963</v>
      </c>
      <c r="J12402" t="e">
        <f>VLOOKUP(E12402,DSSpieler!A:B,2,FALSE)</f>
        <v>#N/A</v>
      </c>
    </row>
    <row r="12403" spans="1:10" x14ac:dyDescent="0.25">
      <c r="A12403">
        <v>13964</v>
      </c>
      <c r="B12403" t="s">
        <v>2288</v>
      </c>
      <c r="C12403">
        <v>490</v>
      </c>
      <c r="D12403">
        <v>460</v>
      </c>
      <c r="E12403">
        <v>1577200430</v>
      </c>
      <c r="F12403">
        <v>4679</v>
      </c>
      <c r="G12403">
        <v>0</v>
      </c>
      <c r="H12403" t="s">
        <v>17291</v>
      </c>
      <c r="I12403">
        <v>13964</v>
      </c>
      <c r="J12403" t="str">
        <f>VLOOKUP(E12403,DSSpieler!A:B,2,FALSE)</f>
        <v>Schoscho</v>
      </c>
    </row>
    <row r="12404" spans="1:10" x14ac:dyDescent="0.25">
      <c r="A12404">
        <v>13966</v>
      </c>
      <c r="B12404" t="s">
        <v>531</v>
      </c>
      <c r="C12404">
        <v>445</v>
      </c>
      <c r="D12404">
        <v>401</v>
      </c>
      <c r="E12404">
        <v>0</v>
      </c>
      <c r="F12404">
        <v>338</v>
      </c>
      <c r="G12404">
        <v>0</v>
      </c>
      <c r="H12404" t="s">
        <v>17292</v>
      </c>
      <c r="I12404">
        <v>13966</v>
      </c>
      <c r="J12404" t="e">
        <f>VLOOKUP(E12404,DSSpieler!A:B,2,FALSE)</f>
        <v>#N/A</v>
      </c>
    </row>
    <row r="12405" spans="1:10" x14ac:dyDescent="0.25">
      <c r="A12405">
        <v>13968</v>
      </c>
      <c r="B12405" t="s">
        <v>34792</v>
      </c>
      <c r="C12405">
        <v>453</v>
      </c>
      <c r="D12405">
        <v>392</v>
      </c>
      <c r="E12405">
        <v>1576909773</v>
      </c>
      <c r="F12405">
        <v>4629</v>
      </c>
      <c r="G12405">
        <v>0</v>
      </c>
      <c r="H12405" t="s">
        <v>17293</v>
      </c>
      <c r="I12405">
        <v>13968</v>
      </c>
      <c r="J12405" t="str">
        <f>VLOOKUP(E12405,DSSpieler!A:B,2,FALSE)</f>
        <v>TheRedDevil</v>
      </c>
    </row>
    <row r="12406" spans="1:10" x14ac:dyDescent="0.25">
      <c r="A12406">
        <v>13969</v>
      </c>
      <c r="B12406">
        <v>3</v>
      </c>
      <c r="C12406">
        <v>416</v>
      </c>
      <c r="D12406">
        <v>518</v>
      </c>
      <c r="E12406">
        <v>1577018427</v>
      </c>
      <c r="F12406">
        <v>5026</v>
      </c>
      <c r="G12406">
        <v>0</v>
      </c>
      <c r="H12406" t="s">
        <v>17294</v>
      </c>
      <c r="I12406">
        <v>13969</v>
      </c>
      <c r="J12406" t="str">
        <f>VLOOKUP(E12406,DSSpieler!A:B,2,FALSE)</f>
        <v>Zottel96</v>
      </c>
    </row>
    <row r="12407" spans="1:10" x14ac:dyDescent="0.25">
      <c r="A12407">
        <v>13970</v>
      </c>
      <c r="B12407" t="s">
        <v>531</v>
      </c>
      <c r="C12407">
        <v>438</v>
      </c>
      <c r="D12407">
        <v>597</v>
      </c>
      <c r="E12407">
        <v>0</v>
      </c>
      <c r="F12407">
        <v>449</v>
      </c>
      <c r="G12407">
        <v>0</v>
      </c>
      <c r="H12407" t="s">
        <v>17295</v>
      </c>
      <c r="I12407">
        <v>13970</v>
      </c>
      <c r="J12407" t="e">
        <f>VLOOKUP(E12407,DSSpieler!A:B,2,FALSE)</f>
        <v>#N/A</v>
      </c>
    </row>
    <row r="12408" spans="1:10" x14ac:dyDescent="0.25">
      <c r="A12408">
        <v>13971</v>
      </c>
      <c r="B12408" t="s">
        <v>531</v>
      </c>
      <c r="C12408">
        <v>461</v>
      </c>
      <c r="D12408">
        <v>387</v>
      </c>
      <c r="E12408">
        <v>0</v>
      </c>
      <c r="F12408">
        <v>274</v>
      </c>
      <c r="G12408">
        <v>0</v>
      </c>
      <c r="H12408" t="s">
        <v>17296</v>
      </c>
      <c r="I12408">
        <v>13971</v>
      </c>
      <c r="J12408" t="e">
        <f>VLOOKUP(E12408,DSSpieler!A:B,2,FALSE)</f>
        <v>#N/A</v>
      </c>
    </row>
    <row r="12409" spans="1:10" x14ac:dyDescent="0.25">
      <c r="A12409">
        <v>13972</v>
      </c>
      <c r="B12409" t="s">
        <v>34793</v>
      </c>
      <c r="C12409">
        <v>449</v>
      </c>
      <c r="D12409">
        <v>393</v>
      </c>
      <c r="E12409">
        <v>1576142627</v>
      </c>
      <c r="F12409">
        <v>5436</v>
      </c>
      <c r="G12409">
        <v>0</v>
      </c>
      <c r="H12409" t="s">
        <v>17297</v>
      </c>
      <c r="I12409">
        <v>13972</v>
      </c>
      <c r="J12409" t="str">
        <f>VLOOKUP(E12409,DSSpieler!A:B,2,FALSE)</f>
        <v>Tobackg</v>
      </c>
    </row>
    <row r="12410" spans="1:10" x14ac:dyDescent="0.25">
      <c r="A12410">
        <v>13973</v>
      </c>
      <c r="B12410" t="s">
        <v>2289</v>
      </c>
      <c r="C12410">
        <v>446</v>
      </c>
      <c r="D12410">
        <v>460</v>
      </c>
      <c r="E12410">
        <v>1577200442</v>
      </c>
      <c r="F12410">
        <v>3830</v>
      </c>
      <c r="G12410">
        <v>0</v>
      </c>
      <c r="H12410" t="s">
        <v>17298</v>
      </c>
      <c r="I12410">
        <v>13973</v>
      </c>
      <c r="J12410" t="str">
        <f>VLOOKUP(E12410,DSSpieler!A:B,2,FALSE)</f>
        <v>MrBones</v>
      </c>
    </row>
    <row r="12411" spans="1:10" x14ac:dyDescent="0.25">
      <c r="A12411">
        <v>13974</v>
      </c>
      <c r="B12411" t="s">
        <v>531</v>
      </c>
      <c r="C12411">
        <v>395</v>
      </c>
      <c r="D12411">
        <v>543</v>
      </c>
      <c r="E12411">
        <v>0</v>
      </c>
      <c r="F12411">
        <v>237</v>
      </c>
      <c r="G12411">
        <v>0</v>
      </c>
      <c r="H12411" t="s">
        <v>17299</v>
      </c>
      <c r="I12411">
        <v>13974</v>
      </c>
      <c r="J12411" t="e">
        <f>VLOOKUP(E12411,DSSpieler!A:B,2,FALSE)</f>
        <v>#N/A</v>
      </c>
    </row>
    <row r="12412" spans="1:10" x14ac:dyDescent="0.25">
      <c r="A12412">
        <v>13975</v>
      </c>
      <c r="B12412" t="s">
        <v>531</v>
      </c>
      <c r="C12412">
        <v>511</v>
      </c>
      <c r="D12412">
        <v>385</v>
      </c>
      <c r="E12412">
        <v>0</v>
      </c>
      <c r="F12412">
        <v>423</v>
      </c>
      <c r="G12412">
        <v>0</v>
      </c>
      <c r="H12412" t="s">
        <v>17300</v>
      </c>
      <c r="I12412">
        <v>13975</v>
      </c>
      <c r="J12412" t="e">
        <f>VLOOKUP(E12412,DSSpieler!A:B,2,FALSE)</f>
        <v>#N/A</v>
      </c>
    </row>
    <row r="12413" spans="1:10" x14ac:dyDescent="0.25">
      <c r="A12413">
        <v>13976</v>
      </c>
      <c r="B12413" t="s">
        <v>531</v>
      </c>
      <c r="C12413">
        <v>428</v>
      </c>
      <c r="D12413">
        <v>591</v>
      </c>
      <c r="E12413">
        <v>0</v>
      </c>
      <c r="F12413">
        <v>297</v>
      </c>
      <c r="G12413">
        <v>0</v>
      </c>
      <c r="H12413" t="s">
        <v>17301</v>
      </c>
      <c r="I12413">
        <v>13976</v>
      </c>
      <c r="J12413" t="e">
        <f>VLOOKUP(E12413,DSSpieler!A:B,2,FALSE)</f>
        <v>#N/A</v>
      </c>
    </row>
    <row r="12414" spans="1:10" x14ac:dyDescent="0.25">
      <c r="A12414">
        <v>13977</v>
      </c>
      <c r="B12414" t="s">
        <v>34794</v>
      </c>
      <c r="C12414">
        <v>442</v>
      </c>
      <c r="D12414">
        <v>399</v>
      </c>
      <c r="E12414">
        <v>10024490</v>
      </c>
      <c r="F12414">
        <v>237</v>
      </c>
      <c r="G12414">
        <v>0</v>
      </c>
      <c r="H12414" t="s">
        <v>17302</v>
      </c>
      <c r="I12414">
        <v>13977</v>
      </c>
      <c r="J12414" t="str">
        <f>VLOOKUP(E12414,DSSpieler!A:B,2,FALSE)</f>
        <v>Braiser94</v>
      </c>
    </row>
    <row r="12415" spans="1:10" x14ac:dyDescent="0.25">
      <c r="A12415">
        <v>13978</v>
      </c>
      <c r="B12415" t="s">
        <v>531</v>
      </c>
      <c r="C12415">
        <v>401</v>
      </c>
      <c r="D12415">
        <v>443</v>
      </c>
      <c r="E12415">
        <v>0</v>
      </c>
      <c r="F12415">
        <v>156</v>
      </c>
      <c r="G12415">
        <v>0</v>
      </c>
      <c r="H12415" t="s">
        <v>17303</v>
      </c>
      <c r="I12415">
        <v>13978</v>
      </c>
      <c r="J12415" t="e">
        <f>VLOOKUP(E12415,DSSpieler!A:B,2,FALSE)</f>
        <v>#N/A</v>
      </c>
    </row>
    <row r="12416" spans="1:10" x14ac:dyDescent="0.25">
      <c r="A12416">
        <v>13979</v>
      </c>
      <c r="B12416" t="s">
        <v>34795</v>
      </c>
      <c r="C12416">
        <v>569</v>
      </c>
      <c r="D12416">
        <v>594</v>
      </c>
      <c r="E12416">
        <v>1759370</v>
      </c>
      <c r="F12416">
        <v>5454</v>
      </c>
      <c r="G12416">
        <v>0</v>
      </c>
      <c r="H12416" t="s">
        <v>17304</v>
      </c>
      <c r="I12416">
        <v>13979</v>
      </c>
      <c r="J12416" t="str">
        <f>VLOOKUP(E12416,DSSpieler!A:B,2,FALSE)</f>
        <v>Dalledara</v>
      </c>
    </row>
    <row r="12417" spans="1:10" x14ac:dyDescent="0.25">
      <c r="A12417">
        <v>13980</v>
      </c>
      <c r="B12417" t="s">
        <v>531</v>
      </c>
      <c r="C12417">
        <v>552</v>
      </c>
      <c r="D12417">
        <v>398</v>
      </c>
      <c r="E12417">
        <v>0</v>
      </c>
      <c r="F12417">
        <v>695</v>
      </c>
      <c r="G12417">
        <v>0</v>
      </c>
      <c r="H12417" t="s">
        <v>17305</v>
      </c>
      <c r="I12417">
        <v>13980</v>
      </c>
      <c r="J12417" t="e">
        <f>VLOOKUP(E12417,DSSpieler!A:B,2,FALSE)</f>
        <v>#N/A</v>
      </c>
    </row>
    <row r="12418" spans="1:10" x14ac:dyDescent="0.25">
      <c r="A12418">
        <v>13981</v>
      </c>
      <c r="B12418" t="s">
        <v>531</v>
      </c>
      <c r="C12418">
        <v>385</v>
      </c>
      <c r="D12418">
        <v>507</v>
      </c>
      <c r="E12418">
        <v>0</v>
      </c>
      <c r="F12418">
        <v>193</v>
      </c>
      <c r="G12418">
        <v>0</v>
      </c>
      <c r="H12418" t="s">
        <v>17306</v>
      </c>
      <c r="I12418">
        <v>13981</v>
      </c>
      <c r="J12418" t="e">
        <f>VLOOKUP(E12418,DSSpieler!A:B,2,FALSE)</f>
        <v>#N/A</v>
      </c>
    </row>
    <row r="12419" spans="1:10" x14ac:dyDescent="0.25">
      <c r="A12419">
        <v>13983</v>
      </c>
      <c r="B12419" t="s">
        <v>531</v>
      </c>
      <c r="C12419">
        <v>504</v>
      </c>
      <c r="D12419">
        <v>613</v>
      </c>
      <c r="E12419">
        <v>0</v>
      </c>
      <c r="F12419">
        <v>176</v>
      </c>
      <c r="G12419">
        <v>0</v>
      </c>
      <c r="H12419" t="s">
        <v>17307</v>
      </c>
      <c r="I12419">
        <v>13983</v>
      </c>
      <c r="J12419" t="e">
        <f>VLOOKUP(E12419,DSSpieler!A:B,2,FALSE)</f>
        <v>#N/A</v>
      </c>
    </row>
    <row r="12420" spans="1:10" x14ac:dyDescent="0.25">
      <c r="A12420">
        <v>13984</v>
      </c>
      <c r="B12420" t="s">
        <v>531</v>
      </c>
      <c r="C12420">
        <v>522</v>
      </c>
      <c r="D12420">
        <v>613</v>
      </c>
      <c r="E12420">
        <v>0</v>
      </c>
      <c r="F12420">
        <v>420</v>
      </c>
      <c r="G12420">
        <v>0</v>
      </c>
      <c r="H12420" t="s">
        <v>17308</v>
      </c>
      <c r="I12420">
        <v>13984</v>
      </c>
      <c r="J12420" t="e">
        <f>VLOOKUP(E12420,DSSpieler!A:B,2,FALSE)</f>
        <v>#N/A</v>
      </c>
    </row>
    <row r="12421" spans="1:10" x14ac:dyDescent="0.25">
      <c r="A12421">
        <v>13985</v>
      </c>
      <c r="B12421" t="s">
        <v>531</v>
      </c>
      <c r="C12421">
        <v>401</v>
      </c>
      <c r="D12421">
        <v>557</v>
      </c>
      <c r="E12421">
        <v>0</v>
      </c>
      <c r="F12421">
        <v>171</v>
      </c>
      <c r="G12421">
        <v>0</v>
      </c>
      <c r="H12421" t="s">
        <v>17309</v>
      </c>
      <c r="I12421">
        <v>13985</v>
      </c>
      <c r="J12421" t="e">
        <f>VLOOKUP(E12421,DSSpieler!A:B,2,FALSE)</f>
        <v>#N/A</v>
      </c>
    </row>
    <row r="12422" spans="1:10" x14ac:dyDescent="0.25">
      <c r="A12422">
        <v>13986</v>
      </c>
      <c r="B12422" t="s">
        <v>531</v>
      </c>
      <c r="C12422">
        <v>553</v>
      </c>
      <c r="D12422">
        <v>601</v>
      </c>
      <c r="E12422">
        <v>0</v>
      </c>
      <c r="F12422">
        <v>479</v>
      </c>
      <c r="G12422">
        <v>0</v>
      </c>
      <c r="H12422" t="s">
        <v>17310</v>
      </c>
      <c r="I12422">
        <v>13986</v>
      </c>
      <c r="J12422" t="e">
        <f>VLOOKUP(E12422,DSSpieler!A:B,2,FALSE)</f>
        <v>#N/A</v>
      </c>
    </row>
    <row r="12423" spans="1:10" x14ac:dyDescent="0.25">
      <c r="A12423">
        <v>13987</v>
      </c>
      <c r="B12423" t="e">
        <f>-3-+Vici+Viertel+Vidi</f>
        <v>#NAME?</v>
      </c>
      <c r="C12423">
        <v>406</v>
      </c>
      <c r="D12423">
        <v>503</v>
      </c>
      <c r="E12423">
        <v>8712301</v>
      </c>
      <c r="F12423">
        <v>4591</v>
      </c>
      <c r="G12423">
        <v>0</v>
      </c>
      <c r="H12423" t="s">
        <v>17311</v>
      </c>
      <c r="I12423">
        <v>13987</v>
      </c>
      <c r="J12423" t="str">
        <f>VLOOKUP(E12423,DSSpieler!A:B,2,FALSE)</f>
        <v>XmetonX</v>
      </c>
    </row>
    <row r="12424" spans="1:10" x14ac:dyDescent="0.25">
      <c r="A12424">
        <v>13988</v>
      </c>
      <c r="B12424" t="s">
        <v>2290</v>
      </c>
      <c r="C12424">
        <v>597</v>
      </c>
      <c r="D12424">
        <v>440</v>
      </c>
      <c r="E12424">
        <v>1576833093</v>
      </c>
      <c r="F12424">
        <v>5102</v>
      </c>
      <c r="G12424">
        <v>0</v>
      </c>
      <c r="H12424" t="s">
        <v>17312</v>
      </c>
      <c r="I12424">
        <v>13988</v>
      </c>
      <c r="J12424" t="str">
        <f>VLOOKUP(E12424,DSSpieler!A:B,2,FALSE)</f>
        <v>Schnubbo</v>
      </c>
    </row>
    <row r="12425" spans="1:10" x14ac:dyDescent="0.25">
      <c r="A12425">
        <v>13989</v>
      </c>
      <c r="B12425" t="s">
        <v>531</v>
      </c>
      <c r="C12425">
        <v>521</v>
      </c>
      <c r="D12425">
        <v>612</v>
      </c>
      <c r="E12425">
        <v>0</v>
      </c>
      <c r="F12425">
        <v>1118</v>
      </c>
      <c r="G12425">
        <v>0</v>
      </c>
      <c r="H12425" t="s">
        <v>17313</v>
      </c>
      <c r="I12425">
        <v>13989</v>
      </c>
      <c r="J12425" t="e">
        <f>VLOOKUP(E12425,DSSpieler!A:B,2,FALSE)</f>
        <v>#N/A</v>
      </c>
    </row>
    <row r="12426" spans="1:10" x14ac:dyDescent="0.25">
      <c r="A12426">
        <v>13990</v>
      </c>
      <c r="B12426" t="e">
        <f>-1-+Vici+Viertel+Vidi</f>
        <v>#NAME?</v>
      </c>
      <c r="C12426">
        <v>402</v>
      </c>
      <c r="D12426">
        <v>494</v>
      </c>
      <c r="E12426">
        <v>8712301</v>
      </c>
      <c r="F12426">
        <v>5622</v>
      </c>
      <c r="G12426">
        <v>0</v>
      </c>
      <c r="H12426" t="s">
        <v>17314</v>
      </c>
      <c r="I12426">
        <v>13990</v>
      </c>
      <c r="J12426" t="str">
        <f>VLOOKUP(E12426,DSSpieler!A:B,2,FALSE)</f>
        <v>XmetonX</v>
      </c>
    </row>
    <row r="12427" spans="1:10" x14ac:dyDescent="0.25">
      <c r="A12427">
        <v>13991</v>
      </c>
      <c r="B12427" t="s">
        <v>531</v>
      </c>
      <c r="C12427">
        <v>466</v>
      </c>
      <c r="D12427">
        <v>393</v>
      </c>
      <c r="E12427">
        <v>0</v>
      </c>
      <c r="F12427">
        <v>436</v>
      </c>
      <c r="G12427">
        <v>0</v>
      </c>
      <c r="H12427" t="s">
        <v>17315</v>
      </c>
      <c r="I12427">
        <v>13991</v>
      </c>
      <c r="J12427" t="e">
        <f>VLOOKUP(E12427,DSSpieler!A:B,2,FALSE)</f>
        <v>#N/A</v>
      </c>
    </row>
    <row r="12428" spans="1:10" x14ac:dyDescent="0.25">
      <c r="A12428">
        <v>13992</v>
      </c>
      <c r="B12428" t="s">
        <v>34796</v>
      </c>
      <c r="C12428">
        <v>463</v>
      </c>
      <c r="D12428">
        <v>393</v>
      </c>
      <c r="E12428">
        <v>1577197660</v>
      </c>
      <c r="F12428">
        <v>2693</v>
      </c>
      <c r="G12428">
        <v>0</v>
      </c>
      <c r="H12428" t="s">
        <v>17316</v>
      </c>
      <c r="I12428">
        <v>13992</v>
      </c>
      <c r="J12428" t="str">
        <f>VLOOKUP(E12428,DSSpieler!A:B,2,FALSE)</f>
        <v>Capipizza</v>
      </c>
    </row>
    <row r="12429" spans="1:10" x14ac:dyDescent="0.25">
      <c r="A12429">
        <v>13994</v>
      </c>
      <c r="B12429" t="s">
        <v>531</v>
      </c>
      <c r="C12429">
        <v>576</v>
      </c>
      <c r="D12429">
        <v>417</v>
      </c>
      <c r="E12429">
        <v>0</v>
      </c>
      <c r="F12429">
        <v>277</v>
      </c>
      <c r="G12429">
        <v>0</v>
      </c>
      <c r="H12429" t="s">
        <v>17317</v>
      </c>
      <c r="I12429">
        <v>13994</v>
      </c>
      <c r="J12429" t="e">
        <f>VLOOKUP(E12429,DSSpieler!A:B,2,FALSE)</f>
        <v>#N/A</v>
      </c>
    </row>
    <row r="12430" spans="1:10" x14ac:dyDescent="0.25">
      <c r="A12430">
        <v>13995</v>
      </c>
      <c r="B12430" t="s">
        <v>531</v>
      </c>
      <c r="C12430">
        <v>451</v>
      </c>
      <c r="D12430">
        <v>605</v>
      </c>
      <c r="E12430">
        <v>0</v>
      </c>
      <c r="F12430">
        <v>102</v>
      </c>
      <c r="G12430">
        <v>0</v>
      </c>
      <c r="H12430" t="s">
        <v>17318</v>
      </c>
      <c r="I12430">
        <v>13995</v>
      </c>
      <c r="J12430" t="e">
        <f>VLOOKUP(E12430,DSSpieler!A:B,2,FALSE)</f>
        <v>#N/A</v>
      </c>
    </row>
    <row r="12431" spans="1:10" x14ac:dyDescent="0.25">
      <c r="A12431">
        <v>13996</v>
      </c>
      <c r="B12431" t="s">
        <v>531</v>
      </c>
      <c r="C12431">
        <v>567</v>
      </c>
      <c r="D12431">
        <v>594</v>
      </c>
      <c r="E12431">
        <v>0</v>
      </c>
      <c r="F12431">
        <v>572</v>
      </c>
      <c r="G12431">
        <v>0</v>
      </c>
      <c r="H12431" t="s">
        <v>17319</v>
      </c>
      <c r="I12431">
        <v>13996</v>
      </c>
      <c r="J12431" t="e">
        <f>VLOOKUP(E12431,DSSpieler!A:B,2,FALSE)</f>
        <v>#N/A</v>
      </c>
    </row>
    <row r="12432" spans="1:10" x14ac:dyDescent="0.25">
      <c r="A12432">
        <v>13997</v>
      </c>
      <c r="B12432" t="s">
        <v>531</v>
      </c>
      <c r="C12432">
        <v>409</v>
      </c>
      <c r="D12432">
        <v>570</v>
      </c>
      <c r="E12432">
        <v>0</v>
      </c>
      <c r="F12432">
        <v>271</v>
      </c>
      <c r="G12432">
        <v>0</v>
      </c>
      <c r="H12432" t="s">
        <v>17320</v>
      </c>
      <c r="I12432">
        <v>13997</v>
      </c>
      <c r="J12432" t="e">
        <f>VLOOKUP(E12432,DSSpieler!A:B,2,FALSE)</f>
        <v>#N/A</v>
      </c>
    </row>
    <row r="12433" spans="1:10" x14ac:dyDescent="0.25">
      <c r="A12433">
        <v>13999</v>
      </c>
      <c r="B12433" t="s">
        <v>531</v>
      </c>
      <c r="C12433">
        <v>614</v>
      </c>
      <c r="D12433">
        <v>499</v>
      </c>
      <c r="E12433">
        <v>0</v>
      </c>
      <c r="F12433">
        <v>485</v>
      </c>
      <c r="G12433">
        <v>0</v>
      </c>
      <c r="H12433" t="s">
        <v>17321</v>
      </c>
      <c r="I12433">
        <v>13999</v>
      </c>
      <c r="J12433" t="e">
        <f>VLOOKUP(E12433,DSSpieler!A:B,2,FALSE)</f>
        <v>#N/A</v>
      </c>
    </row>
    <row r="12434" spans="1:10" x14ac:dyDescent="0.25">
      <c r="A12434">
        <v>14000</v>
      </c>
      <c r="B12434" t="s">
        <v>34797</v>
      </c>
      <c r="C12434">
        <v>386</v>
      </c>
      <c r="D12434">
        <v>514</v>
      </c>
      <c r="E12434">
        <v>1577000278</v>
      </c>
      <c r="F12434">
        <v>3741</v>
      </c>
      <c r="G12434">
        <v>0</v>
      </c>
      <c r="H12434" t="s">
        <v>17322</v>
      </c>
      <c r="I12434">
        <v>14000</v>
      </c>
      <c r="J12434" t="str">
        <f>VLOOKUP(E12434,DSSpieler!A:B,2,FALSE)</f>
        <v>Taschi18</v>
      </c>
    </row>
    <row r="12435" spans="1:10" x14ac:dyDescent="0.25">
      <c r="A12435">
        <v>14001</v>
      </c>
      <c r="B12435" t="s">
        <v>531</v>
      </c>
      <c r="C12435">
        <v>596</v>
      </c>
      <c r="D12435">
        <v>561</v>
      </c>
      <c r="E12435">
        <v>0</v>
      </c>
      <c r="F12435">
        <v>123</v>
      </c>
      <c r="G12435">
        <v>0</v>
      </c>
      <c r="H12435" t="s">
        <v>17323</v>
      </c>
      <c r="I12435">
        <v>14001</v>
      </c>
      <c r="J12435" t="e">
        <f>VLOOKUP(E12435,DSSpieler!A:B,2,FALSE)</f>
        <v>#N/A</v>
      </c>
    </row>
    <row r="12436" spans="1:10" x14ac:dyDescent="0.25">
      <c r="A12436">
        <v>14002</v>
      </c>
      <c r="B12436" t="s">
        <v>531</v>
      </c>
      <c r="C12436">
        <v>605</v>
      </c>
      <c r="D12436">
        <v>551</v>
      </c>
      <c r="E12436">
        <v>0</v>
      </c>
      <c r="F12436">
        <v>150</v>
      </c>
      <c r="G12436">
        <v>0</v>
      </c>
      <c r="H12436" t="s">
        <v>17324</v>
      </c>
      <c r="I12436">
        <v>14002</v>
      </c>
      <c r="J12436" t="e">
        <f>VLOOKUP(E12436,DSSpieler!A:B,2,FALSE)</f>
        <v>#N/A</v>
      </c>
    </row>
    <row r="12437" spans="1:10" x14ac:dyDescent="0.25">
      <c r="A12437">
        <v>14004</v>
      </c>
      <c r="B12437" t="s">
        <v>2291</v>
      </c>
      <c r="C12437">
        <v>403</v>
      </c>
      <c r="D12437">
        <v>494</v>
      </c>
      <c r="E12437">
        <v>1577044442</v>
      </c>
      <c r="F12437">
        <v>5659</v>
      </c>
      <c r="G12437">
        <v>0</v>
      </c>
      <c r="H12437" t="s">
        <v>17325</v>
      </c>
      <c r="I12437">
        <v>14004</v>
      </c>
      <c r="J12437" t="str">
        <f>VLOOKUP(E12437,DSSpieler!A:B,2,FALSE)</f>
        <v>BlueHeisenberg</v>
      </c>
    </row>
    <row r="12438" spans="1:10" x14ac:dyDescent="0.25">
      <c r="A12438">
        <v>14005</v>
      </c>
      <c r="B12438" t="s">
        <v>531</v>
      </c>
      <c r="C12438">
        <v>438</v>
      </c>
      <c r="D12438">
        <v>599</v>
      </c>
      <c r="E12438">
        <v>0</v>
      </c>
      <c r="F12438">
        <v>610</v>
      </c>
      <c r="G12438">
        <v>0</v>
      </c>
      <c r="H12438" t="s">
        <v>17326</v>
      </c>
      <c r="I12438">
        <v>14005</v>
      </c>
      <c r="J12438" t="e">
        <f>VLOOKUP(E12438,DSSpieler!A:B,2,FALSE)</f>
        <v>#N/A</v>
      </c>
    </row>
    <row r="12439" spans="1:10" x14ac:dyDescent="0.25">
      <c r="A12439">
        <v>14007</v>
      </c>
      <c r="B12439" t="s">
        <v>531</v>
      </c>
      <c r="C12439">
        <v>394</v>
      </c>
      <c r="D12439">
        <v>547</v>
      </c>
      <c r="E12439">
        <v>0</v>
      </c>
      <c r="F12439">
        <v>190</v>
      </c>
      <c r="G12439">
        <v>0</v>
      </c>
      <c r="H12439" t="s">
        <v>17327</v>
      </c>
      <c r="I12439">
        <v>14007</v>
      </c>
      <c r="J12439" t="e">
        <f>VLOOKUP(E12439,DSSpieler!A:B,2,FALSE)</f>
        <v>#N/A</v>
      </c>
    </row>
    <row r="12440" spans="1:10" x14ac:dyDescent="0.25">
      <c r="A12440">
        <v>14008</v>
      </c>
      <c r="B12440">
        <v>2</v>
      </c>
      <c r="C12440">
        <v>605</v>
      </c>
      <c r="D12440">
        <v>454</v>
      </c>
      <c r="E12440">
        <v>1790768</v>
      </c>
      <c r="F12440">
        <v>4022</v>
      </c>
      <c r="G12440">
        <v>0</v>
      </c>
      <c r="H12440" t="s">
        <v>17328</v>
      </c>
      <c r="I12440">
        <v>14008</v>
      </c>
      <c r="J12440" t="str">
        <f>VLOOKUP(E12440,DSSpieler!A:B,2,FALSE)</f>
        <v>afa11</v>
      </c>
    </row>
    <row r="12441" spans="1:10" x14ac:dyDescent="0.25">
      <c r="A12441">
        <v>14009</v>
      </c>
      <c r="B12441" t="s">
        <v>531</v>
      </c>
      <c r="C12441">
        <v>394</v>
      </c>
      <c r="D12441">
        <v>460</v>
      </c>
      <c r="E12441">
        <v>0</v>
      </c>
      <c r="F12441">
        <v>167</v>
      </c>
      <c r="G12441">
        <v>0</v>
      </c>
      <c r="H12441" t="s">
        <v>17329</v>
      </c>
      <c r="I12441">
        <v>14009</v>
      </c>
      <c r="J12441" t="e">
        <f>VLOOKUP(E12441,DSSpieler!A:B,2,FALSE)</f>
        <v>#N/A</v>
      </c>
    </row>
    <row r="12442" spans="1:10" x14ac:dyDescent="0.25">
      <c r="A12442">
        <v>14010</v>
      </c>
      <c r="B12442" t="s">
        <v>531</v>
      </c>
      <c r="C12442">
        <v>514</v>
      </c>
      <c r="D12442">
        <v>394</v>
      </c>
      <c r="E12442">
        <v>0</v>
      </c>
      <c r="F12442">
        <v>146</v>
      </c>
      <c r="G12442">
        <v>0</v>
      </c>
      <c r="H12442" t="s">
        <v>17330</v>
      </c>
      <c r="I12442">
        <v>14010</v>
      </c>
      <c r="J12442" t="e">
        <f>VLOOKUP(E12442,DSSpieler!A:B,2,FALSE)</f>
        <v>#N/A</v>
      </c>
    </row>
    <row r="12443" spans="1:10" x14ac:dyDescent="0.25">
      <c r="A12443">
        <v>14011</v>
      </c>
      <c r="B12443" t="s">
        <v>531</v>
      </c>
      <c r="C12443">
        <v>526</v>
      </c>
      <c r="D12443">
        <v>388</v>
      </c>
      <c r="E12443">
        <v>0</v>
      </c>
      <c r="F12443">
        <v>439</v>
      </c>
      <c r="G12443">
        <v>0</v>
      </c>
      <c r="H12443" t="s">
        <v>17331</v>
      </c>
      <c r="I12443">
        <v>14011</v>
      </c>
      <c r="J12443" t="e">
        <f>VLOOKUP(E12443,DSSpieler!A:B,2,FALSE)</f>
        <v>#N/A</v>
      </c>
    </row>
    <row r="12444" spans="1:10" x14ac:dyDescent="0.25">
      <c r="A12444">
        <v>14012</v>
      </c>
      <c r="B12444" t="s">
        <v>1549</v>
      </c>
      <c r="C12444">
        <v>564</v>
      </c>
      <c r="D12444">
        <v>586</v>
      </c>
      <c r="E12444">
        <v>1577200500</v>
      </c>
      <c r="F12444">
        <v>3615</v>
      </c>
      <c r="G12444">
        <v>0</v>
      </c>
      <c r="H12444" t="s">
        <v>17332</v>
      </c>
      <c r="I12444">
        <v>14012</v>
      </c>
      <c r="J12444" t="str">
        <f>VLOOKUP(E12444,DSSpieler!A:B,2,FALSE)</f>
        <v>Kamato</v>
      </c>
    </row>
    <row r="12445" spans="1:10" x14ac:dyDescent="0.25">
      <c r="A12445">
        <v>14013</v>
      </c>
      <c r="B12445" t="s">
        <v>531</v>
      </c>
      <c r="C12445">
        <v>582</v>
      </c>
      <c r="D12445">
        <v>582</v>
      </c>
      <c r="E12445">
        <v>0</v>
      </c>
      <c r="F12445">
        <v>511</v>
      </c>
      <c r="G12445">
        <v>0</v>
      </c>
      <c r="H12445" t="s">
        <v>17333</v>
      </c>
      <c r="I12445">
        <v>14013</v>
      </c>
      <c r="J12445" t="e">
        <f>VLOOKUP(E12445,DSSpieler!A:B,2,FALSE)</f>
        <v>#N/A</v>
      </c>
    </row>
    <row r="12446" spans="1:10" x14ac:dyDescent="0.25">
      <c r="A12446">
        <v>14014</v>
      </c>
      <c r="B12446" t="s">
        <v>531</v>
      </c>
      <c r="C12446">
        <v>530</v>
      </c>
      <c r="D12446">
        <v>612</v>
      </c>
      <c r="E12446">
        <v>0</v>
      </c>
      <c r="F12446">
        <v>205</v>
      </c>
      <c r="G12446">
        <v>0</v>
      </c>
      <c r="H12446" t="s">
        <v>17334</v>
      </c>
      <c r="I12446">
        <v>14014</v>
      </c>
      <c r="J12446" t="e">
        <f>VLOOKUP(E12446,DSSpieler!A:B,2,FALSE)</f>
        <v>#N/A</v>
      </c>
    </row>
    <row r="12447" spans="1:10" x14ac:dyDescent="0.25">
      <c r="A12447">
        <v>14015</v>
      </c>
      <c r="B12447" t="s">
        <v>531</v>
      </c>
      <c r="C12447">
        <v>405</v>
      </c>
      <c r="D12447">
        <v>437</v>
      </c>
      <c r="E12447">
        <v>0</v>
      </c>
      <c r="F12447">
        <v>308</v>
      </c>
      <c r="G12447">
        <v>0</v>
      </c>
      <c r="H12447" t="s">
        <v>17335</v>
      </c>
      <c r="I12447">
        <v>14015</v>
      </c>
      <c r="J12447" t="e">
        <f>VLOOKUP(E12447,DSSpieler!A:B,2,FALSE)</f>
        <v>#N/A</v>
      </c>
    </row>
    <row r="12448" spans="1:10" x14ac:dyDescent="0.25">
      <c r="A12448">
        <v>14016</v>
      </c>
      <c r="B12448" t="s">
        <v>2292</v>
      </c>
      <c r="C12448">
        <v>585</v>
      </c>
      <c r="D12448">
        <v>422</v>
      </c>
      <c r="E12448">
        <v>1576975116</v>
      </c>
      <c r="F12448">
        <v>3763</v>
      </c>
      <c r="G12448">
        <v>0</v>
      </c>
      <c r="H12448" t="s">
        <v>17336</v>
      </c>
      <c r="I12448">
        <v>14016</v>
      </c>
      <c r="J12448" t="str">
        <f>VLOOKUP(E12448,DSSpieler!A:B,2,FALSE)</f>
        <v>Cojones1</v>
      </c>
    </row>
    <row r="12449" spans="1:10" x14ac:dyDescent="0.25">
      <c r="A12449">
        <v>14017</v>
      </c>
      <c r="B12449" t="s">
        <v>2293</v>
      </c>
      <c r="C12449">
        <v>496</v>
      </c>
      <c r="D12449">
        <v>473</v>
      </c>
      <c r="E12449">
        <v>3220309</v>
      </c>
      <c r="F12449">
        <v>3968</v>
      </c>
      <c r="G12449">
        <v>0</v>
      </c>
      <c r="H12449" t="s">
        <v>17337</v>
      </c>
      <c r="I12449">
        <v>14017</v>
      </c>
      <c r="J12449" t="str">
        <f>VLOOKUP(E12449,DSSpieler!A:B,2,FALSE)</f>
        <v>Prinz-Porko</v>
      </c>
    </row>
    <row r="12450" spans="1:10" x14ac:dyDescent="0.25">
      <c r="A12450">
        <v>14019</v>
      </c>
      <c r="B12450" t="s">
        <v>32356</v>
      </c>
      <c r="C12450">
        <v>566</v>
      </c>
      <c r="D12450">
        <v>405</v>
      </c>
      <c r="E12450">
        <v>1577064018</v>
      </c>
      <c r="F12450">
        <v>2577</v>
      </c>
      <c r="G12450">
        <v>0</v>
      </c>
      <c r="H12450" t="s">
        <v>17338</v>
      </c>
      <c r="I12450">
        <v>14019</v>
      </c>
      <c r="J12450" t="str">
        <f>VLOOKUP(E12450,DSSpieler!A:B,2,FALSE)</f>
        <v>Maze</v>
      </c>
    </row>
    <row r="12451" spans="1:10" x14ac:dyDescent="0.25">
      <c r="A12451">
        <v>14020</v>
      </c>
      <c r="B12451" t="s">
        <v>531</v>
      </c>
      <c r="C12451">
        <v>402</v>
      </c>
      <c r="D12451">
        <v>558</v>
      </c>
      <c r="E12451">
        <v>0</v>
      </c>
      <c r="F12451">
        <v>251</v>
      </c>
      <c r="G12451">
        <v>0</v>
      </c>
      <c r="H12451" t="s">
        <v>17339</v>
      </c>
      <c r="I12451">
        <v>14020</v>
      </c>
      <c r="J12451" t="e">
        <f>VLOOKUP(E12451,DSSpieler!A:B,2,FALSE)</f>
        <v>#N/A</v>
      </c>
    </row>
    <row r="12452" spans="1:10" x14ac:dyDescent="0.25">
      <c r="A12452">
        <v>14021</v>
      </c>
      <c r="B12452" t="s">
        <v>780</v>
      </c>
      <c r="C12452">
        <v>614</v>
      </c>
      <c r="D12452">
        <v>521</v>
      </c>
      <c r="E12452">
        <v>1576110914</v>
      </c>
      <c r="F12452">
        <v>3349</v>
      </c>
      <c r="G12452">
        <v>0</v>
      </c>
      <c r="H12452" t="s">
        <v>17340</v>
      </c>
      <c r="I12452">
        <v>14021</v>
      </c>
      <c r="J12452" t="str">
        <f>VLOOKUP(E12452,DSSpieler!A:B,2,FALSE)</f>
        <v>Graf Sinus</v>
      </c>
    </row>
    <row r="12453" spans="1:10" x14ac:dyDescent="0.25">
      <c r="A12453">
        <v>14022</v>
      </c>
      <c r="B12453" t="s">
        <v>34798</v>
      </c>
      <c r="C12453">
        <v>393</v>
      </c>
      <c r="D12453">
        <v>453</v>
      </c>
      <c r="E12453">
        <v>1577167189</v>
      </c>
      <c r="F12453">
        <v>1964</v>
      </c>
      <c r="G12453">
        <v>0</v>
      </c>
      <c r="H12453" t="s">
        <v>17341</v>
      </c>
      <c r="I12453">
        <v>14022</v>
      </c>
      <c r="J12453" t="str">
        <f>VLOOKUP(E12453,DSSpieler!A:B,2,FALSE)</f>
        <v>Dorina</v>
      </c>
    </row>
    <row r="12454" spans="1:10" x14ac:dyDescent="0.25">
      <c r="A12454">
        <v>14023</v>
      </c>
      <c r="B12454" t="s">
        <v>531</v>
      </c>
      <c r="C12454">
        <v>594</v>
      </c>
      <c r="D12454">
        <v>543</v>
      </c>
      <c r="E12454">
        <v>0</v>
      </c>
      <c r="F12454">
        <v>358</v>
      </c>
      <c r="G12454">
        <v>0</v>
      </c>
      <c r="H12454" t="s">
        <v>17342</v>
      </c>
      <c r="I12454">
        <v>14023</v>
      </c>
      <c r="J12454" t="e">
        <f>VLOOKUP(E12454,DSSpieler!A:B,2,FALSE)</f>
        <v>#N/A</v>
      </c>
    </row>
    <row r="12455" spans="1:10" x14ac:dyDescent="0.25">
      <c r="A12455">
        <v>14024</v>
      </c>
      <c r="B12455" t="s">
        <v>34799</v>
      </c>
      <c r="C12455">
        <v>574</v>
      </c>
      <c r="D12455">
        <v>412</v>
      </c>
      <c r="E12455">
        <v>9338566</v>
      </c>
      <c r="F12455">
        <v>3308</v>
      </c>
      <c r="G12455">
        <v>0</v>
      </c>
      <c r="H12455" t="s">
        <v>17343</v>
      </c>
      <c r="I12455">
        <v>14024</v>
      </c>
      <c r="J12455" t="str">
        <f>VLOOKUP(E12455,DSSpieler!A:B,2,FALSE)</f>
        <v>Bruntus</v>
      </c>
    </row>
    <row r="12456" spans="1:10" x14ac:dyDescent="0.25">
      <c r="A12456">
        <v>14026</v>
      </c>
      <c r="B12456" t="s">
        <v>34800</v>
      </c>
      <c r="C12456">
        <v>474</v>
      </c>
      <c r="D12456">
        <v>432</v>
      </c>
      <c r="E12456">
        <v>135780</v>
      </c>
      <c r="F12456">
        <v>4037</v>
      </c>
      <c r="G12456">
        <v>0</v>
      </c>
      <c r="H12456" t="s">
        <v>17344</v>
      </c>
      <c r="I12456">
        <v>14026</v>
      </c>
      <c r="J12456" t="str">
        <f>VLOOKUP(E12456,DSSpieler!A:B,2,FALSE)</f>
        <v>Master Magic</v>
      </c>
    </row>
    <row r="12457" spans="1:10" x14ac:dyDescent="0.25">
      <c r="A12457">
        <v>14027</v>
      </c>
      <c r="B12457" t="s">
        <v>2294</v>
      </c>
      <c r="C12457">
        <v>468</v>
      </c>
      <c r="D12457">
        <v>550</v>
      </c>
      <c r="E12457">
        <v>1576583180</v>
      </c>
      <c r="F12457">
        <v>4248</v>
      </c>
      <c r="G12457">
        <v>0</v>
      </c>
      <c r="H12457" t="s">
        <v>17345</v>
      </c>
      <c r="I12457">
        <v>14027</v>
      </c>
      <c r="J12457" t="str">
        <f>VLOOKUP(E12457,DSSpieler!A:B,2,FALSE)</f>
        <v>opjeff</v>
      </c>
    </row>
    <row r="12458" spans="1:10" x14ac:dyDescent="0.25">
      <c r="A12458">
        <v>14028</v>
      </c>
      <c r="B12458" t="s">
        <v>531</v>
      </c>
      <c r="C12458">
        <v>443</v>
      </c>
      <c r="D12458">
        <v>399</v>
      </c>
      <c r="E12458">
        <v>0</v>
      </c>
      <c r="F12458">
        <v>809</v>
      </c>
      <c r="G12458">
        <v>0</v>
      </c>
      <c r="H12458" t="s">
        <v>17346</v>
      </c>
      <c r="I12458">
        <v>14028</v>
      </c>
      <c r="J12458" t="e">
        <f>VLOOKUP(E12458,DSSpieler!A:B,2,FALSE)</f>
        <v>#N/A</v>
      </c>
    </row>
    <row r="12459" spans="1:10" x14ac:dyDescent="0.25">
      <c r="A12459">
        <v>14029</v>
      </c>
      <c r="B12459" t="s">
        <v>531</v>
      </c>
      <c r="C12459">
        <v>596</v>
      </c>
      <c r="D12459">
        <v>445</v>
      </c>
      <c r="E12459">
        <v>0</v>
      </c>
      <c r="F12459">
        <v>1415</v>
      </c>
      <c r="G12459">
        <v>0</v>
      </c>
      <c r="H12459" t="s">
        <v>17347</v>
      </c>
      <c r="I12459">
        <v>14029</v>
      </c>
      <c r="J12459" t="e">
        <f>VLOOKUP(E12459,DSSpieler!A:B,2,FALSE)</f>
        <v>#N/A</v>
      </c>
    </row>
    <row r="12460" spans="1:10" x14ac:dyDescent="0.25">
      <c r="A12460">
        <v>14030</v>
      </c>
      <c r="B12460" t="s">
        <v>34801</v>
      </c>
      <c r="C12460">
        <v>435</v>
      </c>
      <c r="D12460">
        <v>406</v>
      </c>
      <c r="E12460">
        <v>1577179752</v>
      </c>
      <c r="F12460">
        <v>1102</v>
      </c>
      <c r="G12460">
        <v>0</v>
      </c>
      <c r="H12460" t="s">
        <v>17348</v>
      </c>
      <c r="I12460">
        <v>14030</v>
      </c>
      <c r="J12460" t="str">
        <f>VLOOKUP(E12460,DSSpieler!A:B,2,FALSE)</f>
        <v>thoja137</v>
      </c>
    </row>
    <row r="12461" spans="1:10" x14ac:dyDescent="0.25">
      <c r="A12461">
        <v>14031</v>
      </c>
      <c r="B12461" t="s">
        <v>34802</v>
      </c>
      <c r="C12461">
        <v>496</v>
      </c>
      <c r="D12461">
        <v>515</v>
      </c>
      <c r="E12461">
        <v>1577195588</v>
      </c>
      <c r="F12461">
        <v>2822</v>
      </c>
      <c r="G12461">
        <v>0</v>
      </c>
      <c r="H12461" t="s">
        <v>17349</v>
      </c>
      <c r="I12461">
        <v>14031</v>
      </c>
      <c r="J12461" t="str">
        <f>VLOOKUP(E12461,DSSpieler!A:B,2,FALSE)</f>
        <v>Quastenflosser</v>
      </c>
    </row>
    <row r="12462" spans="1:10" x14ac:dyDescent="0.25">
      <c r="A12462">
        <v>14032</v>
      </c>
      <c r="B12462" t="s">
        <v>34803</v>
      </c>
      <c r="C12462">
        <v>430</v>
      </c>
      <c r="D12462">
        <v>540</v>
      </c>
      <c r="E12462">
        <v>1577176914</v>
      </c>
      <c r="F12462">
        <v>1469</v>
      </c>
      <c r="G12462">
        <v>0</v>
      </c>
      <c r="H12462" t="s">
        <v>17350</v>
      </c>
      <c r="I12462">
        <v>14032</v>
      </c>
      <c r="J12462" t="str">
        <f>VLOOKUP(E12462,DSSpieler!A:B,2,FALSE)</f>
        <v>SkiRiiEach</v>
      </c>
    </row>
    <row r="12463" spans="1:10" x14ac:dyDescent="0.25">
      <c r="A12463">
        <v>14033</v>
      </c>
      <c r="B12463" t="s">
        <v>34804</v>
      </c>
      <c r="C12463">
        <v>542</v>
      </c>
      <c r="D12463">
        <v>598</v>
      </c>
      <c r="E12463">
        <v>10088272</v>
      </c>
      <c r="F12463">
        <v>3747</v>
      </c>
      <c r="G12463">
        <v>0</v>
      </c>
      <c r="H12463" t="s">
        <v>17351</v>
      </c>
      <c r="I12463">
        <v>14033</v>
      </c>
      <c r="J12463" t="str">
        <f>VLOOKUP(E12463,DSSpieler!A:B,2,FALSE)</f>
        <v>nycros1</v>
      </c>
    </row>
    <row r="12464" spans="1:10" x14ac:dyDescent="0.25">
      <c r="A12464">
        <v>14034</v>
      </c>
      <c r="B12464" t="s">
        <v>2295</v>
      </c>
      <c r="C12464">
        <v>478</v>
      </c>
      <c r="D12464">
        <v>439</v>
      </c>
      <c r="E12464">
        <v>1577070261</v>
      </c>
      <c r="F12464">
        <v>3578</v>
      </c>
      <c r="G12464">
        <v>0</v>
      </c>
      <c r="H12464" t="s">
        <v>17352</v>
      </c>
      <c r="I12464">
        <v>14034</v>
      </c>
      <c r="J12464" t="str">
        <f>VLOOKUP(E12464,DSSpieler!A:B,2,FALSE)</f>
        <v>the Godfather</v>
      </c>
    </row>
    <row r="12465" spans="1:10" x14ac:dyDescent="0.25">
      <c r="A12465">
        <v>14035</v>
      </c>
      <c r="B12465" t="s">
        <v>531</v>
      </c>
      <c r="C12465">
        <v>422</v>
      </c>
      <c r="D12465">
        <v>586</v>
      </c>
      <c r="E12465">
        <v>0</v>
      </c>
      <c r="F12465">
        <v>226</v>
      </c>
      <c r="G12465">
        <v>0</v>
      </c>
      <c r="H12465" t="s">
        <v>17353</v>
      </c>
      <c r="I12465">
        <v>14035</v>
      </c>
      <c r="J12465" t="e">
        <f>VLOOKUP(E12465,DSSpieler!A:B,2,FALSE)</f>
        <v>#N/A</v>
      </c>
    </row>
    <row r="12466" spans="1:10" x14ac:dyDescent="0.25">
      <c r="A12466">
        <v>14036</v>
      </c>
      <c r="B12466" t="s">
        <v>531</v>
      </c>
      <c r="C12466">
        <v>421</v>
      </c>
      <c r="D12466">
        <v>421</v>
      </c>
      <c r="E12466">
        <v>0</v>
      </c>
      <c r="F12466">
        <v>405</v>
      </c>
      <c r="G12466">
        <v>0</v>
      </c>
      <c r="H12466" t="s">
        <v>17354</v>
      </c>
      <c r="I12466">
        <v>14036</v>
      </c>
      <c r="J12466" t="e">
        <f>VLOOKUP(E12466,DSSpieler!A:B,2,FALSE)</f>
        <v>#N/A</v>
      </c>
    </row>
    <row r="12467" spans="1:10" x14ac:dyDescent="0.25">
      <c r="A12467">
        <v>14037</v>
      </c>
      <c r="B12467" t="s">
        <v>34805</v>
      </c>
      <c r="C12467">
        <v>599</v>
      </c>
      <c r="D12467">
        <v>481</v>
      </c>
      <c r="E12467">
        <v>1576806947</v>
      </c>
      <c r="F12467">
        <v>6688</v>
      </c>
      <c r="G12467">
        <v>0</v>
      </c>
      <c r="H12467" t="s">
        <v>17355</v>
      </c>
      <c r="I12467">
        <v>14037</v>
      </c>
      <c r="J12467" t="str">
        <f>VLOOKUP(E12467,DSSpieler!A:B,2,FALSE)</f>
        <v>Grendler</v>
      </c>
    </row>
    <row r="12468" spans="1:10" x14ac:dyDescent="0.25">
      <c r="A12468">
        <v>14038</v>
      </c>
      <c r="B12468" t="s">
        <v>531</v>
      </c>
      <c r="C12468">
        <v>583</v>
      </c>
      <c r="D12468">
        <v>424</v>
      </c>
      <c r="E12468">
        <v>0</v>
      </c>
      <c r="F12468">
        <v>123</v>
      </c>
      <c r="G12468">
        <v>0</v>
      </c>
      <c r="H12468" t="s">
        <v>17356</v>
      </c>
      <c r="I12468">
        <v>14038</v>
      </c>
      <c r="J12468" t="e">
        <f>VLOOKUP(E12468,DSSpieler!A:B,2,FALSE)</f>
        <v>#N/A</v>
      </c>
    </row>
    <row r="12469" spans="1:10" x14ac:dyDescent="0.25">
      <c r="A12469">
        <v>14039</v>
      </c>
      <c r="B12469" t="s">
        <v>531</v>
      </c>
      <c r="C12469">
        <v>383</v>
      </c>
      <c r="D12469">
        <v>488</v>
      </c>
      <c r="E12469">
        <v>0</v>
      </c>
      <c r="F12469">
        <v>331</v>
      </c>
      <c r="G12469">
        <v>0</v>
      </c>
      <c r="H12469" t="s">
        <v>17357</v>
      </c>
      <c r="I12469">
        <v>14039</v>
      </c>
      <c r="J12469" t="e">
        <f>VLOOKUP(E12469,DSSpieler!A:B,2,FALSE)</f>
        <v>#N/A</v>
      </c>
    </row>
    <row r="12470" spans="1:10" x14ac:dyDescent="0.25">
      <c r="A12470">
        <v>14040</v>
      </c>
      <c r="B12470" t="s">
        <v>979</v>
      </c>
      <c r="C12470">
        <v>497</v>
      </c>
      <c r="D12470">
        <v>614</v>
      </c>
      <c r="E12470">
        <v>1576934386</v>
      </c>
      <c r="F12470">
        <v>4420</v>
      </c>
      <c r="G12470">
        <v>0</v>
      </c>
      <c r="H12470" t="s">
        <v>17358</v>
      </c>
      <c r="I12470">
        <v>14040</v>
      </c>
      <c r="J12470" t="str">
        <f>VLOOKUP(E12470,DSSpieler!A:B,2,FALSE)</f>
        <v>Signed1</v>
      </c>
    </row>
    <row r="12471" spans="1:10" x14ac:dyDescent="0.25">
      <c r="A12471">
        <v>14041</v>
      </c>
      <c r="B12471" t="s">
        <v>531</v>
      </c>
      <c r="C12471">
        <v>394</v>
      </c>
      <c r="D12471">
        <v>535</v>
      </c>
      <c r="E12471">
        <v>0</v>
      </c>
      <c r="F12471">
        <v>247</v>
      </c>
      <c r="G12471">
        <v>0</v>
      </c>
      <c r="H12471" t="s">
        <v>17359</v>
      </c>
      <c r="I12471">
        <v>14041</v>
      </c>
      <c r="J12471" t="e">
        <f>VLOOKUP(E12471,DSSpieler!A:B,2,FALSE)</f>
        <v>#N/A</v>
      </c>
    </row>
    <row r="12472" spans="1:10" x14ac:dyDescent="0.25">
      <c r="A12472">
        <v>14042</v>
      </c>
      <c r="B12472" t="s">
        <v>2128</v>
      </c>
      <c r="C12472">
        <v>503</v>
      </c>
      <c r="D12472">
        <v>518</v>
      </c>
      <c r="E12472">
        <v>1577197642</v>
      </c>
      <c r="F12472">
        <v>1640</v>
      </c>
      <c r="G12472">
        <v>0</v>
      </c>
      <c r="H12472" t="s">
        <v>17360</v>
      </c>
      <c r="I12472">
        <v>14042</v>
      </c>
      <c r="J12472" t="str">
        <f>VLOOKUP(E12472,DSSpieler!A:B,2,FALSE)</f>
        <v>18Miki</v>
      </c>
    </row>
    <row r="12473" spans="1:10" x14ac:dyDescent="0.25">
      <c r="A12473">
        <v>14043</v>
      </c>
      <c r="B12473" t="s">
        <v>531</v>
      </c>
      <c r="C12473">
        <v>426</v>
      </c>
      <c r="D12473">
        <v>412</v>
      </c>
      <c r="E12473">
        <v>0</v>
      </c>
      <c r="F12473">
        <v>312</v>
      </c>
      <c r="G12473">
        <v>0</v>
      </c>
      <c r="H12473" t="s">
        <v>17361</v>
      </c>
      <c r="I12473">
        <v>14043</v>
      </c>
      <c r="J12473" t="e">
        <f>VLOOKUP(E12473,DSSpieler!A:B,2,FALSE)</f>
        <v>#N/A</v>
      </c>
    </row>
    <row r="12474" spans="1:10" x14ac:dyDescent="0.25">
      <c r="A12474">
        <v>14045</v>
      </c>
      <c r="B12474" t="s">
        <v>531</v>
      </c>
      <c r="C12474">
        <v>544</v>
      </c>
      <c r="D12474">
        <v>393</v>
      </c>
      <c r="E12474">
        <v>0</v>
      </c>
      <c r="F12474">
        <v>30</v>
      </c>
      <c r="G12474">
        <v>0</v>
      </c>
      <c r="H12474" t="s">
        <v>17362</v>
      </c>
      <c r="I12474">
        <v>14045</v>
      </c>
      <c r="J12474" t="e">
        <f>VLOOKUP(E12474,DSSpieler!A:B,2,FALSE)</f>
        <v>#N/A</v>
      </c>
    </row>
    <row r="12475" spans="1:10" x14ac:dyDescent="0.25">
      <c r="A12475">
        <v>14048</v>
      </c>
      <c r="B12475" t="s">
        <v>531</v>
      </c>
      <c r="C12475">
        <v>616</v>
      </c>
      <c r="D12475">
        <v>532</v>
      </c>
      <c r="E12475">
        <v>0</v>
      </c>
      <c r="F12475">
        <v>238</v>
      </c>
      <c r="G12475">
        <v>0</v>
      </c>
      <c r="H12475" t="s">
        <v>17363</v>
      </c>
      <c r="I12475">
        <v>14048</v>
      </c>
      <c r="J12475" t="e">
        <f>VLOOKUP(E12475,DSSpieler!A:B,2,FALSE)</f>
        <v>#N/A</v>
      </c>
    </row>
    <row r="12476" spans="1:10" x14ac:dyDescent="0.25">
      <c r="A12476">
        <v>14049</v>
      </c>
      <c r="B12476" t="s">
        <v>34806</v>
      </c>
      <c r="C12476">
        <v>572</v>
      </c>
      <c r="D12476">
        <v>585</v>
      </c>
      <c r="E12476">
        <v>1577007288</v>
      </c>
      <c r="F12476">
        <v>2314</v>
      </c>
      <c r="G12476">
        <v>0</v>
      </c>
      <c r="H12476" t="s">
        <v>17364</v>
      </c>
      <c r="I12476">
        <v>14049</v>
      </c>
      <c r="J12476" t="str">
        <f>VLOOKUP(E12476,DSSpieler!A:B,2,FALSE)</f>
        <v>xxx90-60-90xxx</v>
      </c>
    </row>
    <row r="12477" spans="1:10" x14ac:dyDescent="0.25">
      <c r="A12477">
        <v>14050</v>
      </c>
      <c r="B12477" t="s">
        <v>531</v>
      </c>
      <c r="C12477">
        <v>477</v>
      </c>
      <c r="D12477">
        <v>612</v>
      </c>
      <c r="E12477">
        <v>0</v>
      </c>
      <c r="F12477">
        <v>290</v>
      </c>
      <c r="G12477">
        <v>0</v>
      </c>
      <c r="H12477" t="s">
        <v>17365</v>
      </c>
      <c r="I12477">
        <v>14050</v>
      </c>
      <c r="J12477" t="e">
        <f>VLOOKUP(E12477,DSSpieler!A:B,2,FALSE)</f>
        <v>#N/A</v>
      </c>
    </row>
    <row r="12478" spans="1:10" x14ac:dyDescent="0.25">
      <c r="A12478">
        <v>14051</v>
      </c>
      <c r="B12478" t="s">
        <v>531</v>
      </c>
      <c r="C12478">
        <v>615</v>
      </c>
      <c r="D12478">
        <v>532</v>
      </c>
      <c r="E12478">
        <v>0</v>
      </c>
      <c r="F12478">
        <v>222</v>
      </c>
      <c r="G12478">
        <v>0</v>
      </c>
      <c r="H12478" t="s">
        <v>17366</v>
      </c>
      <c r="I12478">
        <v>14051</v>
      </c>
      <c r="J12478" t="e">
        <f>VLOOKUP(E12478,DSSpieler!A:B,2,FALSE)</f>
        <v>#N/A</v>
      </c>
    </row>
    <row r="12479" spans="1:10" x14ac:dyDescent="0.25">
      <c r="A12479">
        <v>14053</v>
      </c>
      <c r="B12479" t="s">
        <v>31745</v>
      </c>
      <c r="C12479">
        <v>449</v>
      </c>
      <c r="D12479">
        <v>458</v>
      </c>
      <c r="E12479">
        <v>9376750</v>
      </c>
      <c r="F12479">
        <v>2894</v>
      </c>
      <c r="G12479">
        <v>0</v>
      </c>
      <c r="H12479" t="s">
        <v>17367</v>
      </c>
      <c r="I12479">
        <v>14053</v>
      </c>
      <c r="J12479" t="str">
        <f>VLOOKUP(E12479,DSSpieler!A:B,2,FALSE)</f>
        <v>Beisch</v>
      </c>
    </row>
    <row r="12480" spans="1:10" x14ac:dyDescent="0.25">
      <c r="A12480">
        <v>14054</v>
      </c>
      <c r="B12480" t="s">
        <v>531</v>
      </c>
      <c r="C12480">
        <v>614</v>
      </c>
      <c r="D12480">
        <v>491</v>
      </c>
      <c r="E12480">
        <v>0</v>
      </c>
      <c r="F12480">
        <v>150</v>
      </c>
      <c r="G12480">
        <v>0</v>
      </c>
      <c r="H12480" t="s">
        <v>17368</v>
      </c>
      <c r="I12480">
        <v>14054</v>
      </c>
      <c r="J12480" t="e">
        <f>VLOOKUP(E12480,DSSpieler!A:B,2,FALSE)</f>
        <v>#N/A</v>
      </c>
    </row>
    <row r="12481" spans="1:10" x14ac:dyDescent="0.25">
      <c r="A12481">
        <v>14055</v>
      </c>
      <c r="B12481" t="s">
        <v>531</v>
      </c>
      <c r="C12481">
        <v>616</v>
      </c>
      <c r="D12481">
        <v>525</v>
      </c>
      <c r="E12481">
        <v>0</v>
      </c>
      <c r="F12481">
        <v>208</v>
      </c>
      <c r="G12481">
        <v>0</v>
      </c>
      <c r="H12481" t="s">
        <v>17369</v>
      </c>
      <c r="I12481">
        <v>14055</v>
      </c>
      <c r="J12481" t="e">
        <f>VLOOKUP(E12481,DSSpieler!A:B,2,FALSE)</f>
        <v>#N/A</v>
      </c>
    </row>
    <row r="12482" spans="1:10" x14ac:dyDescent="0.25">
      <c r="A12482">
        <v>14056</v>
      </c>
      <c r="B12482" t="s">
        <v>34196</v>
      </c>
      <c r="C12482">
        <v>446</v>
      </c>
      <c r="D12482">
        <v>401</v>
      </c>
      <c r="E12482">
        <v>1577183344</v>
      </c>
      <c r="F12482">
        <v>2201</v>
      </c>
      <c r="G12482">
        <v>0</v>
      </c>
      <c r="H12482" t="s">
        <v>17370</v>
      </c>
      <c r="I12482">
        <v>14056</v>
      </c>
      <c r="J12482" t="str">
        <f>VLOOKUP(E12482,DSSpieler!A:B,2,FALSE)</f>
        <v>WerkstattStufe15</v>
      </c>
    </row>
    <row r="12483" spans="1:10" x14ac:dyDescent="0.25">
      <c r="A12483">
        <v>14057</v>
      </c>
      <c r="B12483" t="s">
        <v>531</v>
      </c>
      <c r="C12483">
        <v>483</v>
      </c>
      <c r="D12483">
        <v>616</v>
      </c>
      <c r="E12483">
        <v>0</v>
      </c>
      <c r="F12483">
        <v>321</v>
      </c>
      <c r="G12483">
        <v>0</v>
      </c>
      <c r="H12483" t="s">
        <v>17371</v>
      </c>
      <c r="I12483">
        <v>14057</v>
      </c>
      <c r="J12483" t="e">
        <f>VLOOKUP(E12483,DSSpieler!A:B,2,FALSE)</f>
        <v>#N/A</v>
      </c>
    </row>
    <row r="12484" spans="1:10" x14ac:dyDescent="0.25">
      <c r="A12484">
        <v>14058</v>
      </c>
      <c r="B12484" t="s">
        <v>531</v>
      </c>
      <c r="C12484">
        <v>540</v>
      </c>
      <c r="D12484">
        <v>608</v>
      </c>
      <c r="E12484">
        <v>0</v>
      </c>
      <c r="F12484">
        <v>209</v>
      </c>
      <c r="G12484">
        <v>0</v>
      </c>
      <c r="H12484" t="s">
        <v>17372</v>
      </c>
      <c r="I12484">
        <v>14058</v>
      </c>
      <c r="J12484" t="e">
        <f>VLOOKUP(E12484,DSSpieler!A:B,2,FALSE)</f>
        <v>#N/A</v>
      </c>
    </row>
    <row r="12485" spans="1:10" x14ac:dyDescent="0.25">
      <c r="A12485">
        <v>14059</v>
      </c>
      <c r="B12485" t="s">
        <v>531</v>
      </c>
      <c r="C12485">
        <v>608</v>
      </c>
      <c r="D12485">
        <v>536</v>
      </c>
      <c r="E12485">
        <v>0</v>
      </c>
      <c r="F12485">
        <v>603</v>
      </c>
      <c r="G12485">
        <v>0</v>
      </c>
      <c r="H12485" t="s">
        <v>17373</v>
      </c>
      <c r="I12485">
        <v>14059</v>
      </c>
      <c r="J12485" t="e">
        <f>VLOOKUP(E12485,DSSpieler!A:B,2,FALSE)</f>
        <v>#N/A</v>
      </c>
    </row>
    <row r="12486" spans="1:10" x14ac:dyDescent="0.25">
      <c r="A12486">
        <v>14062</v>
      </c>
      <c r="B12486" t="s">
        <v>531</v>
      </c>
      <c r="C12486">
        <v>479</v>
      </c>
      <c r="D12486">
        <v>612</v>
      </c>
      <c r="E12486">
        <v>0</v>
      </c>
      <c r="F12486">
        <v>941</v>
      </c>
      <c r="G12486">
        <v>0</v>
      </c>
      <c r="H12486" t="s">
        <v>17374</v>
      </c>
      <c r="I12486">
        <v>14062</v>
      </c>
      <c r="J12486" t="e">
        <f>VLOOKUP(E12486,DSSpieler!A:B,2,FALSE)</f>
        <v>#N/A</v>
      </c>
    </row>
    <row r="12487" spans="1:10" x14ac:dyDescent="0.25">
      <c r="A12487">
        <v>14064</v>
      </c>
      <c r="B12487" t="s">
        <v>34807</v>
      </c>
      <c r="C12487">
        <v>425</v>
      </c>
      <c r="D12487">
        <v>591</v>
      </c>
      <c r="E12487">
        <v>9996271</v>
      </c>
      <c r="F12487">
        <v>1081</v>
      </c>
      <c r="G12487">
        <v>0</v>
      </c>
      <c r="H12487" t="s">
        <v>17375</v>
      </c>
      <c r="I12487">
        <v>14064</v>
      </c>
      <c r="J12487" t="str">
        <f>VLOOKUP(E12487,DSSpieler!A:B,2,FALSE)</f>
        <v>König Nigel</v>
      </c>
    </row>
    <row r="12488" spans="1:10" x14ac:dyDescent="0.25">
      <c r="A12488">
        <v>14065</v>
      </c>
      <c r="B12488" t="s">
        <v>30582</v>
      </c>
      <c r="C12488">
        <v>474</v>
      </c>
      <c r="D12488">
        <v>608</v>
      </c>
      <c r="E12488">
        <v>1577174726</v>
      </c>
      <c r="F12488">
        <v>2570</v>
      </c>
      <c r="G12488">
        <v>0</v>
      </c>
      <c r="H12488" t="s">
        <v>17376</v>
      </c>
      <c r="I12488">
        <v>14065</v>
      </c>
      <c r="J12488" t="str">
        <f>VLOOKUP(E12488,DSSpieler!A:B,2,FALSE)</f>
        <v>Nevada.vP</v>
      </c>
    </row>
    <row r="12489" spans="1:10" x14ac:dyDescent="0.25">
      <c r="A12489">
        <v>14066</v>
      </c>
      <c r="B12489" t="s">
        <v>34808</v>
      </c>
      <c r="C12489">
        <v>385</v>
      </c>
      <c r="D12489">
        <v>499</v>
      </c>
      <c r="E12489">
        <v>1577178932</v>
      </c>
      <c r="F12489">
        <v>4336</v>
      </c>
      <c r="G12489">
        <v>0</v>
      </c>
      <c r="H12489" t="s">
        <v>17377</v>
      </c>
      <c r="I12489">
        <v>14066</v>
      </c>
      <c r="J12489" t="str">
        <f>VLOOKUP(E12489,DSSpieler!A:B,2,FALSE)</f>
        <v>Lord alpenrahm</v>
      </c>
    </row>
    <row r="12490" spans="1:10" x14ac:dyDescent="0.25">
      <c r="A12490">
        <v>14067</v>
      </c>
      <c r="B12490" t="s">
        <v>531</v>
      </c>
      <c r="C12490">
        <v>476</v>
      </c>
      <c r="D12490">
        <v>387</v>
      </c>
      <c r="E12490">
        <v>0</v>
      </c>
      <c r="F12490">
        <v>190</v>
      </c>
      <c r="G12490">
        <v>0</v>
      </c>
      <c r="H12490" t="s">
        <v>17378</v>
      </c>
      <c r="I12490">
        <v>14067</v>
      </c>
      <c r="J12490" t="e">
        <f>VLOOKUP(E12490,DSSpieler!A:B,2,FALSE)</f>
        <v>#N/A</v>
      </c>
    </row>
    <row r="12491" spans="1:10" x14ac:dyDescent="0.25">
      <c r="A12491">
        <v>14069</v>
      </c>
      <c r="B12491" t="s">
        <v>531</v>
      </c>
      <c r="C12491">
        <v>420</v>
      </c>
      <c r="D12491">
        <v>583</v>
      </c>
      <c r="E12491">
        <v>1576790536</v>
      </c>
      <c r="F12491">
        <v>707</v>
      </c>
      <c r="G12491">
        <v>0</v>
      </c>
      <c r="H12491" t="s">
        <v>17379</v>
      </c>
      <c r="I12491">
        <v>14069</v>
      </c>
      <c r="J12491" t="str">
        <f>VLOOKUP(E12491,DSSpieler!A:B,2,FALSE)</f>
        <v>csonny</v>
      </c>
    </row>
    <row r="12492" spans="1:10" x14ac:dyDescent="0.25">
      <c r="A12492">
        <v>14070</v>
      </c>
      <c r="B12492" t="s">
        <v>31536</v>
      </c>
      <c r="C12492">
        <v>591</v>
      </c>
      <c r="D12492">
        <v>434</v>
      </c>
      <c r="E12492">
        <v>1577127638</v>
      </c>
      <c r="F12492">
        <v>2500</v>
      </c>
      <c r="G12492">
        <v>0</v>
      </c>
      <c r="H12492" t="s">
        <v>17380</v>
      </c>
      <c r="I12492">
        <v>14070</v>
      </c>
      <c r="J12492" t="str">
        <f>VLOOKUP(E12492,DSSpieler!A:B,2,FALSE)</f>
        <v>dirtymonkey</v>
      </c>
    </row>
    <row r="12493" spans="1:10" x14ac:dyDescent="0.25">
      <c r="A12493">
        <v>14071</v>
      </c>
      <c r="B12493" t="s">
        <v>2296</v>
      </c>
      <c r="C12493">
        <v>435</v>
      </c>
      <c r="D12493">
        <v>589</v>
      </c>
      <c r="E12493">
        <v>1577200586</v>
      </c>
      <c r="F12493">
        <v>526</v>
      </c>
      <c r="G12493">
        <v>0</v>
      </c>
      <c r="H12493" t="s">
        <v>17381</v>
      </c>
      <c r="I12493">
        <v>14071</v>
      </c>
      <c r="J12493" t="str">
        <f>VLOOKUP(E12493,DSSpieler!A:B,2,FALSE)</f>
        <v>Lord Shisui</v>
      </c>
    </row>
    <row r="12494" spans="1:10" x14ac:dyDescent="0.25">
      <c r="A12494">
        <v>14072</v>
      </c>
      <c r="B12494" t="s">
        <v>34809</v>
      </c>
      <c r="C12494">
        <v>581</v>
      </c>
      <c r="D12494">
        <v>425</v>
      </c>
      <c r="E12494">
        <v>1577176252</v>
      </c>
      <c r="F12494">
        <v>3420</v>
      </c>
      <c r="G12494">
        <v>0</v>
      </c>
      <c r="H12494" t="s">
        <v>17382</v>
      </c>
      <c r="I12494">
        <v>14072</v>
      </c>
      <c r="J12494" t="str">
        <f>VLOOKUP(E12494,DSSpieler!A:B,2,FALSE)</f>
        <v>Spidlex</v>
      </c>
    </row>
    <row r="12495" spans="1:10" x14ac:dyDescent="0.25">
      <c r="A12495">
        <v>14073</v>
      </c>
      <c r="B12495" t="s">
        <v>34810</v>
      </c>
      <c r="C12495">
        <v>598</v>
      </c>
      <c r="D12495">
        <v>564</v>
      </c>
      <c r="E12495">
        <v>1577198547</v>
      </c>
      <c r="F12495">
        <v>3711</v>
      </c>
      <c r="G12495">
        <v>0</v>
      </c>
      <c r="H12495" t="s">
        <v>17383</v>
      </c>
      <c r="I12495">
        <v>14073</v>
      </c>
      <c r="J12495" t="str">
        <f>VLOOKUP(E12495,DSSpieler!A:B,2,FALSE)</f>
        <v>blackout.</v>
      </c>
    </row>
    <row r="12496" spans="1:10" x14ac:dyDescent="0.25">
      <c r="A12496">
        <v>14076</v>
      </c>
      <c r="B12496" t="s">
        <v>531</v>
      </c>
      <c r="C12496">
        <v>550</v>
      </c>
      <c r="D12496">
        <v>395</v>
      </c>
      <c r="E12496">
        <v>0</v>
      </c>
      <c r="F12496">
        <v>153</v>
      </c>
      <c r="G12496">
        <v>0</v>
      </c>
      <c r="H12496" t="s">
        <v>17384</v>
      </c>
      <c r="I12496">
        <v>14076</v>
      </c>
      <c r="J12496" t="e">
        <f>VLOOKUP(E12496,DSSpieler!A:B,2,FALSE)</f>
        <v>#N/A</v>
      </c>
    </row>
    <row r="12497" spans="1:10" x14ac:dyDescent="0.25">
      <c r="A12497">
        <v>14077</v>
      </c>
      <c r="B12497" t="s">
        <v>531</v>
      </c>
      <c r="C12497">
        <v>388</v>
      </c>
      <c r="D12497">
        <v>500</v>
      </c>
      <c r="E12497">
        <v>0</v>
      </c>
      <c r="F12497">
        <v>213</v>
      </c>
      <c r="G12497">
        <v>0</v>
      </c>
      <c r="H12497" t="s">
        <v>17385</v>
      </c>
      <c r="I12497">
        <v>14077</v>
      </c>
      <c r="J12497" t="e">
        <f>VLOOKUP(E12497,DSSpieler!A:B,2,FALSE)</f>
        <v>#N/A</v>
      </c>
    </row>
    <row r="12498" spans="1:10" x14ac:dyDescent="0.25">
      <c r="A12498">
        <v>14078</v>
      </c>
      <c r="B12498" t="s">
        <v>531</v>
      </c>
      <c r="C12498">
        <v>563</v>
      </c>
      <c r="D12498">
        <v>403</v>
      </c>
      <c r="E12498">
        <v>0</v>
      </c>
      <c r="F12498">
        <v>341</v>
      </c>
      <c r="G12498">
        <v>0</v>
      </c>
      <c r="H12498" t="s">
        <v>17386</v>
      </c>
      <c r="I12498">
        <v>14078</v>
      </c>
      <c r="J12498" t="e">
        <f>VLOOKUP(E12498,DSSpieler!A:B,2,FALSE)</f>
        <v>#N/A</v>
      </c>
    </row>
    <row r="12499" spans="1:10" x14ac:dyDescent="0.25">
      <c r="A12499">
        <v>14079</v>
      </c>
      <c r="B12499" t="s">
        <v>531</v>
      </c>
      <c r="C12499">
        <v>519</v>
      </c>
      <c r="D12499">
        <v>385</v>
      </c>
      <c r="E12499">
        <v>0</v>
      </c>
      <c r="F12499">
        <v>144</v>
      </c>
      <c r="G12499">
        <v>0</v>
      </c>
      <c r="H12499" t="s">
        <v>17387</v>
      </c>
      <c r="I12499">
        <v>14079</v>
      </c>
      <c r="J12499" t="e">
        <f>VLOOKUP(E12499,DSSpieler!A:B,2,FALSE)</f>
        <v>#N/A</v>
      </c>
    </row>
    <row r="12500" spans="1:10" x14ac:dyDescent="0.25">
      <c r="A12500">
        <v>14080</v>
      </c>
      <c r="B12500" t="s">
        <v>531</v>
      </c>
      <c r="C12500">
        <v>432</v>
      </c>
      <c r="D12500">
        <v>410</v>
      </c>
      <c r="E12500">
        <v>0</v>
      </c>
      <c r="F12500">
        <v>721</v>
      </c>
      <c r="G12500">
        <v>0</v>
      </c>
      <c r="H12500" t="s">
        <v>17388</v>
      </c>
      <c r="I12500">
        <v>14080</v>
      </c>
      <c r="J12500" t="e">
        <f>VLOOKUP(E12500,DSSpieler!A:B,2,FALSE)</f>
        <v>#N/A</v>
      </c>
    </row>
    <row r="12501" spans="1:10" x14ac:dyDescent="0.25">
      <c r="A12501">
        <v>14081</v>
      </c>
      <c r="B12501" t="s">
        <v>34811</v>
      </c>
      <c r="C12501">
        <v>585</v>
      </c>
      <c r="D12501">
        <v>580</v>
      </c>
      <c r="E12501">
        <v>1577155354</v>
      </c>
      <c r="F12501">
        <v>4855</v>
      </c>
      <c r="G12501">
        <v>0</v>
      </c>
      <c r="H12501" t="s">
        <v>17389</v>
      </c>
      <c r="I12501">
        <v>14081</v>
      </c>
      <c r="J12501" t="str">
        <f>VLOOKUP(E12501,DSSpieler!A:B,2,FALSE)</f>
        <v>Kulturbanause</v>
      </c>
    </row>
    <row r="12502" spans="1:10" x14ac:dyDescent="0.25">
      <c r="A12502">
        <v>14082</v>
      </c>
      <c r="B12502" t="s">
        <v>531</v>
      </c>
      <c r="C12502">
        <v>561</v>
      </c>
      <c r="D12502">
        <v>565</v>
      </c>
      <c r="E12502">
        <v>0</v>
      </c>
      <c r="F12502">
        <v>532</v>
      </c>
      <c r="G12502">
        <v>0</v>
      </c>
      <c r="H12502" t="s">
        <v>17390</v>
      </c>
      <c r="I12502">
        <v>14082</v>
      </c>
      <c r="J12502" t="e">
        <f>VLOOKUP(E12502,DSSpieler!A:B,2,FALSE)</f>
        <v>#N/A</v>
      </c>
    </row>
    <row r="12503" spans="1:10" x14ac:dyDescent="0.25">
      <c r="A12503">
        <v>14083</v>
      </c>
      <c r="B12503" t="s">
        <v>531</v>
      </c>
      <c r="C12503">
        <v>547</v>
      </c>
      <c r="D12503">
        <v>393</v>
      </c>
      <c r="E12503">
        <v>0</v>
      </c>
      <c r="F12503">
        <v>372</v>
      </c>
      <c r="G12503">
        <v>0</v>
      </c>
      <c r="H12503" t="s">
        <v>17391</v>
      </c>
      <c r="I12503">
        <v>14083</v>
      </c>
      <c r="J12503" t="e">
        <f>VLOOKUP(E12503,DSSpieler!A:B,2,FALSE)</f>
        <v>#N/A</v>
      </c>
    </row>
    <row r="12504" spans="1:10" x14ac:dyDescent="0.25">
      <c r="A12504">
        <v>14084</v>
      </c>
      <c r="B12504" t="s">
        <v>34812</v>
      </c>
      <c r="C12504">
        <v>525</v>
      </c>
      <c r="D12504">
        <v>393</v>
      </c>
      <c r="E12504">
        <v>1576373467</v>
      </c>
      <c r="F12504">
        <v>4363</v>
      </c>
      <c r="G12504">
        <v>0</v>
      </c>
      <c r="H12504" t="s">
        <v>17392</v>
      </c>
      <c r="I12504">
        <v>14084</v>
      </c>
      <c r="J12504" t="str">
        <f>VLOOKUP(E12504,DSSpieler!A:B,2,FALSE)</f>
        <v>Askandi</v>
      </c>
    </row>
    <row r="12505" spans="1:10" x14ac:dyDescent="0.25">
      <c r="A12505">
        <v>14085</v>
      </c>
      <c r="B12505" t="s">
        <v>531</v>
      </c>
      <c r="C12505">
        <v>410</v>
      </c>
      <c r="D12505">
        <v>498</v>
      </c>
      <c r="E12505">
        <v>0</v>
      </c>
      <c r="F12505">
        <v>511</v>
      </c>
      <c r="G12505">
        <v>0</v>
      </c>
      <c r="H12505" t="s">
        <v>17393</v>
      </c>
      <c r="I12505">
        <v>14085</v>
      </c>
      <c r="J12505" t="e">
        <f>VLOOKUP(E12505,DSSpieler!A:B,2,FALSE)</f>
        <v>#N/A</v>
      </c>
    </row>
    <row r="12506" spans="1:10" x14ac:dyDescent="0.25">
      <c r="A12506">
        <v>14086</v>
      </c>
      <c r="B12506" t="s">
        <v>531</v>
      </c>
      <c r="C12506">
        <v>602</v>
      </c>
      <c r="D12506">
        <v>455</v>
      </c>
      <c r="E12506">
        <v>0</v>
      </c>
      <c r="F12506">
        <v>179</v>
      </c>
      <c r="G12506">
        <v>0</v>
      </c>
      <c r="H12506" t="s">
        <v>17394</v>
      </c>
      <c r="I12506">
        <v>14086</v>
      </c>
      <c r="J12506" t="e">
        <f>VLOOKUP(E12506,DSSpieler!A:B,2,FALSE)</f>
        <v>#N/A</v>
      </c>
    </row>
    <row r="12507" spans="1:10" x14ac:dyDescent="0.25">
      <c r="A12507">
        <v>14087</v>
      </c>
      <c r="B12507" t="s">
        <v>34813</v>
      </c>
      <c r="C12507">
        <v>612</v>
      </c>
      <c r="D12507">
        <v>505</v>
      </c>
      <c r="E12507">
        <v>8185409</v>
      </c>
      <c r="F12507">
        <v>2420</v>
      </c>
      <c r="G12507">
        <v>0</v>
      </c>
      <c r="H12507" t="s">
        <v>17395</v>
      </c>
      <c r="I12507">
        <v>14087</v>
      </c>
      <c r="J12507" t="str">
        <f>VLOOKUP(E12507,DSSpieler!A:B,2,FALSE)</f>
        <v>Dian Keto</v>
      </c>
    </row>
    <row r="12508" spans="1:10" x14ac:dyDescent="0.25">
      <c r="A12508">
        <v>14088</v>
      </c>
      <c r="B12508" t="s">
        <v>34814</v>
      </c>
      <c r="C12508">
        <v>584</v>
      </c>
      <c r="D12508">
        <v>422</v>
      </c>
      <c r="E12508">
        <v>1576975116</v>
      </c>
      <c r="F12508">
        <v>508</v>
      </c>
      <c r="G12508">
        <v>0</v>
      </c>
      <c r="H12508" t="s">
        <v>17396</v>
      </c>
      <c r="I12508">
        <v>14088</v>
      </c>
      <c r="J12508" t="str">
        <f>VLOOKUP(E12508,DSSpieler!A:B,2,FALSE)</f>
        <v>Cojones1</v>
      </c>
    </row>
    <row r="12509" spans="1:10" x14ac:dyDescent="0.25">
      <c r="A12509">
        <v>14089</v>
      </c>
      <c r="B12509" t="s">
        <v>34815</v>
      </c>
      <c r="C12509">
        <v>577</v>
      </c>
      <c r="D12509">
        <v>581</v>
      </c>
      <c r="E12509">
        <v>1577187330</v>
      </c>
      <c r="F12509">
        <v>2916</v>
      </c>
      <c r="G12509">
        <v>0</v>
      </c>
      <c r="H12509" t="s">
        <v>17397</v>
      </c>
      <c r="I12509">
        <v>14089</v>
      </c>
      <c r="J12509" t="str">
        <f>VLOOKUP(E12509,DSSpieler!A:B,2,FALSE)</f>
        <v>tapp0</v>
      </c>
    </row>
    <row r="12510" spans="1:10" x14ac:dyDescent="0.25">
      <c r="A12510">
        <v>14090</v>
      </c>
      <c r="B12510" t="s">
        <v>34816</v>
      </c>
      <c r="C12510">
        <v>586</v>
      </c>
      <c r="D12510">
        <v>572</v>
      </c>
      <c r="E12510">
        <v>1577185898</v>
      </c>
      <c r="F12510">
        <v>5187</v>
      </c>
      <c r="G12510">
        <v>0</v>
      </c>
      <c r="H12510" t="s">
        <v>17398</v>
      </c>
      <c r="I12510">
        <v>14090</v>
      </c>
      <c r="J12510" t="str">
        <f>VLOOKUP(E12510,DSSpieler!A:B,2,FALSE)</f>
        <v>xIncr3dible</v>
      </c>
    </row>
    <row r="12511" spans="1:10" x14ac:dyDescent="0.25">
      <c r="A12511">
        <v>14091</v>
      </c>
      <c r="B12511" t="s">
        <v>531</v>
      </c>
      <c r="C12511">
        <v>454</v>
      </c>
      <c r="D12511">
        <v>603</v>
      </c>
      <c r="E12511">
        <v>0</v>
      </c>
      <c r="F12511">
        <v>261</v>
      </c>
      <c r="G12511">
        <v>0</v>
      </c>
      <c r="H12511" t="s">
        <v>17399</v>
      </c>
      <c r="I12511">
        <v>14091</v>
      </c>
      <c r="J12511" t="e">
        <f>VLOOKUP(E12511,DSSpieler!A:B,2,FALSE)</f>
        <v>#N/A</v>
      </c>
    </row>
    <row r="12512" spans="1:10" x14ac:dyDescent="0.25">
      <c r="A12512">
        <v>14092</v>
      </c>
      <c r="B12512" t="s">
        <v>2297</v>
      </c>
      <c r="C12512">
        <v>408</v>
      </c>
      <c r="D12512">
        <v>544</v>
      </c>
      <c r="E12512">
        <v>8833591</v>
      </c>
      <c r="F12512">
        <v>3617</v>
      </c>
      <c r="G12512">
        <v>0</v>
      </c>
      <c r="H12512" t="s">
        <v>17400</v>
      </c>
      <c r="I12512">
        <v>14092</v>
      </c>
      <c r="J12512" t="str">
        <f>VLOOKUP(E12512,DSSpieler!A:B,2,FALSE)</f>
        <v>Slytherin1997</v>
      </c>
    </row>
    <row r="12513" spans="1:10" x14ac:dyDescent="0.25">
      <c r="A12513">
        <v>14093</v>
      </c>
      <c r="B12513" t="s">
        <v>531</v>
      </c>
      <c r="C12513">
        <v>603</v>
      </c>
      <c r="D12513">
        <v>542</v>
      </c>
      <c r="E12513">
        <v>0</v>
      </c>
      <c r="F12513">
        <v>118</v>
      </c>
      <c r="G12513">
        <v>0</v>
      </c>
      <c r="H12513" t="s">
        <v>17401</v>
      </c>
      <c r="I12513">
        <v>14093</v>
      </c>
      <c r="J12513" t="e">
        <f>VLOOKUP(E12513,DSSpieler!A:B,2,FALSE)</f>
        <v>#N/A</v>
      </c>
    </row>
    <row r="12514" spans="1:10" x14ac:dyDescent="0.25">
      <c r="A12514">
        <v>14094</v>
      </c>
      <c r="B12514" t="s">
        <v>531</v>
      </c>
      <c r="C12514">
        <v>542</v>
      </c>
      <c r="D12514">
        <v>607</v>
      </c>
      <c r="E12514">
        <v>0</v>
      </c>
      <c r="F12514">
        <v>1346</v>
      </c>
      <c r="G12514">
        <v>0</v>
      </c>
      <c r="H12514" t="s">
        <v>17402</v>
      </c>
      <c r="I12514">
        <v>14094</v>
      </c>
      <c r="J12514" t="e">
        <f>VLOOKUP(E12514,DSSpieler!A:B,2,FALSE)</f>
        <v>#N/A</v>
      </c>
    </row>
    <row r="12515" spans="1:10" x14ac:dyDescent="0.25">
      <c r="A12515">
        <v>14095</v>
      </c>
      <c r="B12515" t="s">
        <v>531</v>
      </c>
      <c r="C12515">
        <v>429</v>
      </c>
      <c r="D12515">
        <v>407</v>
      </c>
      <c r="E12515">
        <v>0</v>
      </c>
      <c r="F12515">
        <v>188</v>
      </c>
      <c r="G12515">
        <v>0</v>
      </c>
      <c r="H12515" t="s">
        <v>17403</v>
      </c>
      <c r="I12515">
        <v>14095</v>
      </c>
      <c r="J12515" t="e">
        <f>VLOOKUP(E12515,DSSpieler!A:B,2,FALSE)</f>
        <v>#N/A</v>
      </c>
    </row>
    <row r="12516" spans="1:10" x14ac:dyDescent="0.25">
      <c r="A12516">
        <v>14096</v>
      </c>
      <c r="B12516" t="s">
        <v>531</v>
      </c>
      <c r="C12516">
        <v>578</v>
      </c>
      <c r="D12516">
        <v>582</v>
      </c>
      <c r="E12516">
        <v>0</v>
      </c>
      <c r="F12516">
        <v>288</v>
      </c>
      <c r="G12516">
        <v>0</v>
      </c>
      <c r="H12516" t="s">
        <v>17404</v>
      </c>
      <c r="I12516">
        <v>14096</v>
      </c>
      <c r="J12516" t="e">
        <f>VLOOKUP(E12516,DSSpieler!A:B,2,FALSE)</f>
        <v>#N/A</v>
      </c>
    </row>
    <row r="12517" spans="1:10" x14ac:dyDescent="0.25">
      <c r="A12517">
        <v>14097</v>
      </c>
      <c r="B12517" t="s">
        <v>531</v>
      </c>
      <c r="C12517">
        <v>485</v>
      </c>
      <c r="D12517">
        <v>388</v>
      </c>
      <c r="E12517">
        <v>0</v>
      </c>
      <c r="F12517">
        <v>224</v>
      </c>
      <c r="G12517">
        <v>0</v>
      </c>
      <c r="H12517" t="s">
        <v>17405</v>
      </c>
      <c r="I12517">
        <v>14097</v>
      </c>
      <c r="J12517" t="e">
        <f>VLOOKUP(E12517,DSSpieler!A:B,2,FALSE)</f>
        <v>#N/A</v>
      </c>
    </row>
    <row r="12518" spans="1:10" x14ac:dyDescent="0.25">
      <c r="A12518">
        <v>14098</v>
      </c>
      <c r="B12518" t="s">
        <v>531</v>
      </c>
      <c r="C12518">
        <v>388</v>
      </c>
      <c r="D12518">
        <v>525</v>
      </c>
      <c r="E12518">
        <v>0</v>
      </c>
      <c r="F12518">
        <v>943</v>
      </c>
      <c r="G12518">
        <v>0</v>
      </c>
      <c r="H12518" t="s">
        <v>17406</v>
      </c>
      <c r="I12518">
        <v>14098</v>
      </c>
      <c r="J12518" t="e">
        <f>VLOOKUP(E12518,DSSpieler!A:B,2,FALSE)</f>
        <v>#N/A</v>
      </c>
    </row>
    <row r="12519" spans="1:10" x14ac:dyDescent="0.25">
      <c r="A12519">
        <v>14099</v>
      </c>
      <c r="B12519" t="s">
        <v>531</v>
      </c>
      <c r="C12519">
        <v>386</v>
      </c>
      <c r="D12519">
        <v>475</v>
      </c>
      <c r="E12519">
        <v>0</v>
      </c>
      <c r="F12519">
        <v>105</v>
      </c>
      <c r="G12519">
        <v>0</v>
      </c>
      <c r="H12519" t="s">
        <v>17407</v>
      </c>
      <c r="I12519">
        <v>14099</v>
      </c>
      <c r="J12519" t="e">
        <f>VLOOKUP(E12519,DSSpieler!A:B,2,FALSE)</f>
        <v>#N/A</v>
      </c>
    </row>
    <row r="12520" spans="1:10" x14ac:dyDescent="0.25">
      <c r="A12520">
        <v>14100</v>
      </c>
      <c r="B12520" t="s">
        <v>531</v>
      </c>
      <c r="C12520">
        <v>391</v>
      </c>
      <c r="D12520">
        <v>535</v>
      </c>
      <c r="E12520">
        <v>0</v>
      </c>
      <c r="F12520">
        <v>315</v>
      </c>
      <c r="G12520">
        <v>0</v>
      </c>
      <c r="H12520" t="s">
        <v>17408</v>
      </c>
      <c r="I12520">
        <v>14100</v>
      </c>
      <c r="J12520" t="e">
        <f>VLOOKUP(E12520,DSSpieler!A:B,2,FALSE)</f>
        <v>#N/A</v>
      </c>
    </row>
    <row r="12521" spans="1:10" x14ac:dyDescent="0.25">
      <c r="A12521">
        <v>14101</v>
      </c>
      <c r="B12521" t="s">
        <v>531</v>
      </c>
      <c r="C12521">
        <v>451</v>
      </c>
      <c r="D12521">
        <v>395</v>
      </c>
      <c r="E12521">
        <v>0</v>
      </c>
      <c r="F12521">
        <v>721</v>
      </c>
      <c r="G12521">
        <v>0</v>
      </c>
      <c r="H12521" t="s">
        <v>17409</v>
      </c>
      <c r="I12521">
        <v>14101</v>
      </c>
      <c r="J12521" t="e">
        <f>VLOOKUP(E12521,DSSpieler!A:B,2,FALSE)</f>
        <v>#N/A</v>
      </c>
    </row>
    <row r="12522" spans="1:10" x14ac:dyDescent="0.25">
      <c r="A12522">
        <v>14102</v>
      </c>
      <c r="B12522" t="s">
        <v>531</v>
      </c>
      <c r="C12522">
        <v>563</v>
      </c>
      <c r="D12522">
        <v>408</v>
      </c>
      <c r="E12522">
        <v>0</v>
      </c>
      <c r="F12522">
        <v>139</v>
      </c>
      <c r="G12522">
        <v>0</v>
      </c>
      <c r="H12522" t="s">
        <v>17410</v>
      </c>
      <c r="I12522">
        <v>14102</v>
      </c>
      <c r="J12522" t="e">
        <f>VLOOKUP(E12522,DSSpieler!A:B,2,FALSE)</f>
        <v>#N/A</v>
      </c>
    </row>
    <row r="12523" spans="1:10" x14ac:dyDescent="0.25">
      <c r="A12523">
        <v>14103</v>
      </c>
      <c r="B12523" t="s">
        <v>34817</v>
      </c>
      <c r="C12523">
        <v>397</v>
      </c>
      <c r="D12523">
        <v>453</v>
      </c>
      <c r="E12523">
        <v>9787214</v>
      </c>
      <c r="F12523">
        <v>4259</v>
      </c>
      <c r="G12523">
        <v>0</v>
      </c>
      <c r="H12523" t="s">
        <v>17411</v>
      </c>
      <c r="I12523">
        <v>14103</v>
      </c>
      <c r="J12523" t="str">
        <f>VLOOKUP(E12523,DSSpieler!A:B,2,FALSE)</f>
        <v>cKiesco</v>
      </c>
    </row>
    <row r="12524" spans="1:10" x14ac:dyDescent="0.25">
      <c r="A12524">
        <v>14108</v>
      </c>
      <c r="B12524" t="s">
        <v>531</v>
      </c>
      <c r="C12524">
        <v>401</v>
      </c>
      <c r="D12524">
        <v>552</v>
      </c>
      <c r="E12524">
        <v>0</v>
      </c>
      <c r="F12524">
        <v>271</v>
      </c>
      <c r="G12524">
        <v>0</v>
      </c>
      <c r="H12524" t="s">
        <v>17412</v>
      </c>
      <c r="I12524">
        <v>14108</v>
      </c>
      <c r="J12524" t="e">
        <f>VLOOKUP(E12524,DSSpieler!A:B,2,FALSE)</f>
        <v>#N/A</v>
      </c>
    </row>
    <row r="12525" spans="1:10" x14ac:dyDescent="0.25">
      <c r="A12525">
        <v>14109</v>
      </c>
      <c r="B12525" t="s">
        <v>34818</v>
      </c>
      <c r="C12525">
        <v>465</v>
      </c>
      <c r="D12525">
        <v>608</v>
      </c>
      <c r="E12525">
        <v>7805538</v>
      </c>
      <c r="F12525">
        <v>592</v>
      </c>
      <c r="G12525">
        <v>0</v>
      </c>
      <c r="H12525" t="s">
        <v>17413</v>
      </c>
      <c r="I12525">
        <v>14109</v>
      </c>
      <c r="J12525" t="str">
        <f>VLOOKUP(E12525,DSSpieler!A:B,2,FALSE)</f>
        <v>Matzerot29</v>
      </c>
    </row>
    <row r="12526" spans="1:10" x14ac:dyDescent="0.25">
      <c r="A12526">
        <v>14111</v>
      </c>
      <c r="B12526" t="s">
        <v>2298</v>
      </c>
      <c r="C12526">
        <v>568</v>
      </c>
      <c r="D12526">
        <v>592</v>
      </c>
      <c r="E12526">
        <v>1576886117</v>
      </c>
      <c r="F12526">
        <v>1866</v>
      </c>
      <c r="G12526">
        <v>0</v>
      </c>
      <c r="H12526" t="s">
        <v>17414</v>
      </c>
      <c r="I12526">
        <v>14111</v>
      </c>
      <c r="J12526" t="str">
        <f>VLOOKUP(E12526,DSSpieler!A:B,2,FALSE)</f>
        <v>Trashtan</v>
      </c>
    </row>
    <row r="12527" spans="1:10" x14ac:dyDescent="0.25">
      <c r="A12527">
        <v>14113</v>
      </c>
      <c r="B12527" t="s">
        <v>531</v>
      </c>
      <c r="C12527">
        <v>487</v>
      </c>
      <c r="D12527">
        <v>615</v>
      </c>
      <c r="E12527">
        <v>0</v>
      </c>
      <c r="F12527">
        <v>345</v>
      </c>
      <c r="G12527">
        <v>0</v>
      </c>
      <c r="H12527" t="s">
        <v>17415</v>
      </c>
      <c r="I12527">
        <v>14113</v>
      </c>
      <c r="J12527" t="e">
        <f>VLOOKUP(E12527,DSSpieler!A:B,2,FALSE)</f>
        <v>#N/A</v>
      </c>
    </row>
    <row r="12528" spans="1:10" x14ac:dyDescent="0.25">
      <c r="A12528">
        <v>14114</v>
      </c>
      <c r="B12528" t="s">
        <v>531</v>
      </c>
      <c r="C12528">
        <v>483</v>
      </c>
      <c r="D12528">
        <v>615</v>
      </c>
      <c r="E12528">
        <v>0</v>
      </c>
      <c r="F12528">
        <v>474</v>
      </c>
      <c r="G12528">
        <v>0</v>
      </c>
      <c r="H12528" t="s">
        <v>17416</v>
      </c>
      <c r="I12528">
        <v>14114</v>
      </c>
      <c r="J12528" t="e">
        <f>VLOOKUP(E12528,DSSpieler!A:B,2,FALSE)</f>
        <v>#N/A</v>
      </c>
    </row>
    <row r="12529" spans="1:10" x14ac:dyDescent="0.25">
      <c r="A12529">
        <v>14121</v>
      </c>
      <c r="B12529" t="s">
        <v>531</v>
      </c>
      <c r="C12529">
        <v>414</v>
      </c>
      <c r="D12529">
        <v>425</v>
      </c>
      <c r="E12529">
        <v>0</v>
      </c>
      <c r="F12529">
        <v>190</v>
      </c>
      <c r="G12529">
        <v>0</v>
      </c>
      <c r="H12529" t="s">
        <v>17417</v>
      </c>
      <c r="I12529">
        <v>14121</v>
      </c>
      <c r="J12529" t="e">
        <f>VLOOKUP(E12529,DSSpieler!A:B,2,FALSE)</f>
        <v>#N/A</v>
      </c>
    </row>
    <row r="12530" spans="1:10" x14ac:dyDescent="0.25">
      <c r="A12530">
        <v>14122</v>
      </c>
      <c r="B12530" t="s">
        <v>34819</v>
      </c>
      <c r="C12530">
        <v>557</v>
      </c>
      <c r="D12530">
        <v>402</v>
      </c>
      <c r="E12530">
        <v>1577200652</v>
      </c>
      <c r="F12530">
        <v>398</v>
      </c>
      <c r="G12530">
        <v>0</v>
      </c>
      <c r="H12530" t="s">
        <v>17418</v>
      </c>
      <c r="I12530">
        <v>14122</v>
      </c>
      <c r="J12530" t="str">
        <f>VLOOKUP(E12530,DSSpieler!A:B,2,FALSE)</f>
        <v>Mr.Jarves</v>
      </c>
    </row>
    <row r="12531" spans="1:10" x14ac:dyDescent="0.25">
      <c r="A12531">
        <v>14123</v>
      </c>
      <c r="B12531" t="s">
        <v>32955</v>
      </c>
      <c r="C12531">
        <v>440</v>
      </c>
      <c r="D12531">
        <v>571</v>
      </c>
      <c r="E12531">
        <v>8776383</v>
      </c>
      <c r="F12531">
        <v>5348</v>
      </c>
      <c r="G12531">
        <v>0</v>
      </c>
      <c r="H12531" t="s">
        <v>17419</v>
      </c>
      <c r="I12531">
        <v>14123</v>
      </c>
      <c r="J12531" t="str">
        <f>VLOOKUP(E12531,DSSpieler!A:B,2,FALSE)</f>
        <v>Super Fabio</v>
      </c>
    </row>
    <row r="12532" spans="1:10" x14ac:dyDescent="0.25">
      <c r="A12532">
        <v>14124</v>
      </c>
      <c r="B12532" t="s">
        <v>34820</v>
      </c>
      <c r="C12532">
        <v>553</v>
      </c>
      <c r="D12532">
        <v>590</v>
      </c>
      <c r="E12532">
        <v>897823</v>
      </c>
      <c r="F12532">
        <v>2384</v>
      </c>
      <c r="G12532">
        <v>0</v>
      </c>
      <c r="H12532" t="s">
        <v>17420</v>
      </c>
      <c r="I12532">
        <v>14124</v>
      </c>
      <c r="J12532" t="str">
        <f>VLOOKUP(E12532,DSSpieler!A:B,2,FALSE)</f>
        <v>Blackeagle2000</v>
      </c>
    </row>
    <row r="12533" spans="1:10" x14ac:dyDescent="0.25">
      <c r="A12533">
        <v>14127</v>
      </c>
      <c r="B12533" t="s">
        <v>34821</v>
      </c>
      <c r="C12533">
        <v>482</v>
      </c>
      <c r="D12533">
        <v>385</v>
      </c>
      <c r="E12533">
        <v>8250743</v>
      </c>
      <c r="F12533">
        <v>4125</v>
      </c>
      <c r="G12533">
        <v>0</v>
      </c>
      <c r="H12533" t="s">
        <v>17421</v>
      </c>
      <c r="I12533">
        <v>14127</v>
      </c>
      <c r="J12533" t="str">
        <f>VLOOKUP(E12533,DSSpieler!A:B,2,FALSE)</f>
        <v>Dark Knait</v>
      </c>
    </row>
    <row r="12534" spans="1:10" x14ac:dyDescent="0.25">
      <c r="A12534">
        <v>14129</v>
      </c>
      <c r="B12534" t="s">
        <v>34822</v>
      </c>
      <c r="C12534">
        <v>399</v>
      </c>
      <c r="D12534">
        <v>451</v>
      </c>
      <c r="E12534">
        <v>1577025920</v>
      </c>
      <c r="F12534">
        <v>3298</v>
      </c>
      <c r="G12534">
        <v>0</v>
      </c>
      <c r="H12534" t="s">
        <v>17422</v>
      </c>
      <c r="I12534">
        <v>14129</v>
      </c>
      <c r="J12534" t="str">
        <f>VLOOKUP(E12534,DSSpieler!A:B,2,FALSE)</f>
        <v>Sikk97</v>
      </c>
    </row>
    <row r="12535" spans="1:10" x14ac:dyDescent="0.25">
      <c r="A12535">
        <v>14130</v>
      </c>
      <c r="B12535" t="s">
        <v>531</v>
      </c>
      <c r="C12535">
        <v>413</v>
      </c>
      <c r="D12535">
        <v>423</v>
      </c>
      <c r="E12535">
        <v>0</v>
      </c>
      <c r="F12535">
        <v>287</v>
      </c>
      <c r="G12535">
        <v>0</v>
      </c>
      <c r="H12535" t="s">
        <v>17423</v>
      </c>
      <c r="I12535">
        <v>14130</v>
      </c>
      <c r="J12535" t="e">
        <f>VLOOKUP(E12535,DSSpieler!A:B,2,FALSE)</f>
        <v>#N/A</v>
      </c>
    </row>
    <row r="12536" spans="1:10" x14ac:dyDescent="0.25">
      <c r="A12536">
        <v>14131</v>
      </c>
      <c r="B12536" t="s">
        <v>531</v>
      </c>
      <c r="C12536">
        <v>400</v>
      </c>
      <c r="D12536">
        <v>560</v>
      </c>
      <c r="E12536">
        <v>0</v>
      </c>
      <c r="F12536">
        <v>304</v>
      </c>
      <c r="G12536">
        <v>0</v>
      </c>
      <c r="H12536" t="s">
        <v>17424</v>
      </c>
      <c r="I12536">
        <v>14131</v>
      </c>
      <c r="J12536" t="e">
        <f>VLOOKUP(E12536,DSSpieler!A:B,2,FALSE)</f>
        <v>#N/A</v>
      </c>
    </row>
    <row r="12537" spans="1:10" x14ac:dyDescent="0.25">
      <c r="A12537">
        <v>14132</v>
      </c>
      <c r="B12537">
        <v>2</v>
      </c>
      <c r="C12537">
        <v>386</v>
      </c>
      <c r="D12537">
        <v>477</v>
      </c>
      <c r="E12537">
        <v>1577044420</v>
      </c>
      <c r="F12537">
        <v>1731</v>
      </c>
      <c r="G12537">
        <v>0</v>
      </c>
      <c r="H12537" t="s">
        <v>482</v>
      </c>
      <c r="I12537">
        <v>14132</v>
      </c>
      <c r="J12537" t="str">
        <f>VLOOKUP(E12537,DSSpieler!A:B,2,FALSE)</f>
        <v>DonJenser</v>
      </c>
    </row>
    <row r="12538" spans="1:10" x14ac:dyDescent="0.25">
      <c r="A12538">
        <v>14133</v>
      </c>
      <c r="B12538" t="s">
        <v>782</v>
      </c>
      <c r="C12538">
        <v>474</v>
      </c>
      <c r="D12538">
        <v>605</v>
      </c>
      <c r="E12538">
        <v>1577180871</v>
      </c>
      <c r="F12538">
        <v>4184</v>
      </c>
      <c r="G12538">
        <v>0</v>
      </c>
      <c r="H12538" t="s">
        <v>17425</v>
      </c>
      <c r="I12538">
        <v>14133</v>
      </c>
      <c r="J12538" t="str">
        <f>VLOOKUP(E12538,DSSpieler!A:B,2,FALSE)</f>
        <v>T0TI</v>
      </c>
    </row>
    <row r="12539" spans="1:10" x14ac:dyDescent="0.25">
      <c r="A12539">
        <v>14134</v>
      </c>
      <c r="B12539" t="s">
        <v>531</v>
      </c>
      <c r="C12539">
        <v>387</v>
      </c>
      <c r="D12539">
        <v>490</v>
      </c>
      <c r="E12539">
        <v>0</v>
      </c>
      <c r="F12539">
        <v>170</v>
      </c>
      <c r="G12539">
        <v>0</v>
      </c>
      <c r="H12539" t="s">
        <v>17426</v>
      </c>
      <c r="I12539">
        <v>14134</v>
      </c>
      <c r="J12539" t="e">
        <f>VLOOKUP(E12539,DSSpieler!A:B,2,FALSE)</f>
        <v>#N/A</v>
      </c>
    </row>
    <row r="12540" spans="1:10" x14ac:dyDescent="0.25">
      <c r="A12540">
        <v>14135</v>
      </c>
      <c r="B12540">
        <v>2</v>
      </c>
      <c r="C12540">
        <v>419</v>
      </c>
      <c r="D12540">
        <v>514</v>
      </c>
      <c r="E12540">
        <v>1577018450</v>
      </c>
      <c r="F12540">
        <v>2687</v>
      </c>
      <c r="G12540">
        <v>0</v>
      </c>
      <c r="H12540" t="s">
        <v>17427</v>
      </c>
      <c r="I12540">
        <v>14135</v>
      </c>
      <c r="J12540" t="str">
        <f>VLOOKUP(E12540,DSSpieler!A:B,2,FALSE)</f>
        <v>Karpfen96</v>
      </c>
    </row>
    <row r="12541" spans="1:10" x14ac:dyDescent="0.25">
      <c r="A12541">
        <v>14136</v>
      </c>
      <c r="B12541" t="s">
        <v>2299</v>
      </c>
      <c r="C12541">
        <v>396</v>
      </c>
      <c r="D12541">
        <v>547</v>
      </c>
      <c r="E12541">
        <v>2816098</v>
      </c>
      <c r="F12541">
        <v>4475</v>
      </c>
      <c r="G12541">
        <v>0</v>
      </c>
      <c r="H12541" t="s">
        <v>17428</v>
      </c>
      <c r="I12541">
        <v>14136</v>
      </c>
      <c r="J12541" t="str">
        <f>VLOOKUP(E12541,DSSpieler!A:B,2,FALSE)</f>
        <v>iN sM0ke</v>
      </c>
    </row>
    <row r="12542" spans="1:10" x14ac:dyDescent="0.25">
      <c r="A12542">
        <v>14137</v>
      </c>
      <c r="B12542" t="s">
        <v>34823</v>
      </c>
      <c r="C12542">
        <v>550</v>
      </c>
      <c r="D12542">
        <v>605</v>
      </c>
      <c r="E12542">
        <v>897823</v>
      </c>
      <c r="F12542">
        <v>4042</v>
      </c>
      <c r="G12542">
        <v>0</v>
      </c>
      <c r="H12542" t="s">
        <v>17429</v>
      </c>
      <c r="I12542">
        <v>14137</v>
      </c>
      <c r="J12542" t="str">
        <f>VLOOKUP(E12542,DSSpieler!A:B,2,FALSE)</f>
        <v>Blackeagle2000</v>
      </c>
    </row>
    <row r="12543" spans="1:10" x14ac:dyDescent="0.25">
      <c r="A12543">
        <v>14138</v>
      </c>
      <c r="B12543" t="s">
        <v>531</v>
      </c>
      <c r="C12543">
        <v>389</v>
      </c>
      <c r="D12543">
        <v>525</v>
      </c>
      <c r="E12543">
        <v>0</v>
      </c>
      <c r="F12543">
        <v>237</v>
      </c>
      <c r="G12543">
        <v>0</v>
      </c>
      <c r="H12543" t="s">
        <v>17430</v>
      </c>
      <c r="I12543">
        <v>14138</v>
      </c>
      <c r="J12543" t="e">
        <f>VLOOKUP(E12543,DSSpieler!A:B,2,FALSE)</f>
        <v>#N/A</v>
      </c>
    </row>
    <row r="12544" spans="1:10" x14ac:dyDescent="0.25">
      <c r="A12544">
        <v>14139</v>
      </c>
      <c r="B12544" t="s">
        <v>30622</v>
      </c>
      <c r="C12544">
        <v>552</v>
      </c>
      <c r="D12544">
        <v>602</v>
      </c>
      <c r="E12544">
        <v>1327189</v>
      </c>
      <c r="F12544">
        <v>4891</v>
      </c>
      <c r="G12544">
        <v>0</v>
      </c>
      <c r="H12544" t="s">
        <v>17431</v>
      </c>
      <c r="I12544">
        <v>14139</v>
      </c>
      <c r="J12544" t="str">
        <f>VLOOKUP(E12544,DSSpieler!A:B,2,FALSE)</f>
        <v>DerBoeseBub</v>
      </c>
    </row>
    <row r="12545" spans="1:10" x14ac:dyDescent="0.25">
      <c r="A12545">
        <v>14140</v>
      </c>
      <c r="B12545" t="s">
        <v>531</v>
      </c>
      <c r="C12545">
        <v>386</v>
      </c>
      <c r="D12545">
        <v>489</v>
      </c>
      <c r="E12545">
        <v>0</v>
      </c>
      <c r="F12545">
        <v>404</v>
      </c>
      <c r="G12545">
        <v>0</v>
      </c>
      <c r="H12545" t="s">
        <v>17432</v>
      </c>
      <c r="I12545">
        <v>14140</v>
      </c>
      <c r="J12545" t="e">
        <f>VLOOKUP(E12545,DSSpieler!A:B,2,FALSE)</f>
        <v>#N/A</v>
      </c>
    </row>
    <row r="12546" spans="1:10" x14ac:dyDescent="0.25">
      <c r="A12546">
        <v>14143</v>
      </c>
      <c r="B12546" t="s">
        <v>531</v>
      </c>
      <c r="C12546">
        <v>419</v>
      </c>
      <c r="D12546">
        <v>584</v>
      </c>
      <c r="E12546">
        <v>0</v>
      </c>
      <c r="F12546">
        <v>356</v>
      </c>
      <c r="G12546">
        <v>0</v>
      </c>
      <c r="H12546" t="s">
        <v>17433</v>
      </c>
      <c r="I12546">
        <v>14143</v>
      </c>
      <c r="J12546" t="e">
        <f>VLOOKUP(E12546,DSSpieler!A:B,2,FALSE)</f>
        <v>#N/A</v>
      </c>
    </row>
    <row r="12547" spans="1:10" x14ac:dyDescent="0.25">
      <c r="A12547">
        <v>14144</v>
      </c>
      <c r="B12547" t="s">
        <v>531</v>
      </c>
      <c r="C12547">
        <v>392</v>
      </c>
      <c r="D12547">
        <v>456</v>
      </c>
      <c r="E12547">
        <v>0</v>
      </c>
      <c r="F12547">
        <v>279</v>
      </c>
      <c r="G12547">
        <v>0</v>
      </c>
      <c r="H12547" t="s">
        <v>17434</v>
      </c>
      <c r="I12547">
        <v>14144</v>
      </c>
      <c r="J12547" t="e">
        <f>VLOOKUP(E12547,DSSpieler!A:B,2,FALSE)</f>
        <v>#N/A</v>
      </c>
    </row>
    <row r="12548" spans="1:10" x14ac:dyDescent="0.25">
      <c r="A12548">
        <v>14146</v>
      </c>
      <c r="B12548" t="s">
        <v>531</v>
      </c>
      <c r="C12548">
        <v>516</v>
      </c>
      <c r="D12548">
        <v>586</v>
      </c>
      <c r="E12548">
        <v>0</v>
      </c>
      <c r="F12548">
        <v>369</v>
      </c>
      <c r="G12548">
        <v>0</v>
      </c>
      <c r="H12548" t="s">
        <v>17435</v>
      </c>
      <c r="I12548">
        <v>14146</v>
      </c>
      <c r="J12548" t="e">
        <f>VLOOKUP(E12548,DSSpieler!A:B,2,FALSE)</f>
        <v>#N/A</v>
      </c>
    </row>
    <row r="12549" spans="1:10" x14ac:dyDescent="0.25">
      <c r="A12549">
        <v>14147</v>
      </c>
      <c r="B12549" t="s">
        <v>2300</v>
      </c>
      <c r="C12549">
        <v>406</v>
      </c>
      <c r="D12549">
        <v>486</v>
      </c>
      <c r="E12549">
        <v>1576846818</v>
      </c>
      <c r="F12549">
        <v>1931</v>
      </c>
      <c r="G12549">
        <v>0</v>
      </c>
      <c r="H12549" t="s">
        <v>17436</v>
      </c>
      <c r="I12549">
        <v>14147</v>
      </c>
      <c r="J12549" t="str">
        <f>VLOOKUP(E12549,DSSpieler!A:B,2,FALSE)</f>
        <v>caspi11</v>
      </c>
    </row>
    <row r="12550" spans="1:10" x14ac:dyDescent="0.25">
      <c r="A12550">
        <v>14148</v>
      </c>
      <c r="B12550" t="s">
        <v>34824</v>
      </c>
      <c r="C12550">
        <v>429</v>
      </c>
      <c r="D12550">
        <v>410</v>
      </c>
      <c r="E12550">
        <v>385305</v>
      </c>
      <c r="F12550">
        <v>3246</v>
      </c>
      <c r="G12550">
        <v>0</v>
      </c>
      <c r="H12550" t="s">
        <v>17437</v>
      </c>
      <c r="I12550">
        <v>14148</v>
      </c>
      <c r="J12550" t="str">
        <f>VLOOKUP(E12550,DSSpieler!A:B,2,FALSE)</f>
        <v>Taeler</v>
      </c>
    </row>
    <row r="12551" spans="1:10" x14ac:dyDescent="0.25">
      <c r="A12551">
        <v>14149</v>
      </c>
      <c r="B12551" t="s">
        <v>34825</v>
      </c>
      <c r="C12551">
        <v>444</v>
      </c>
      <c r="D12551">
        <v>401</v>
      </c>
      <c r="E12551">
        <v>1575856912</v>
      </c>
      <c r="F12551">
        <v>4399</v>
      </c>
      <c r="G12551">
        <v>0</v>
      </c>
      <c r="H12551" t="s">
        <v>17438</v>
      </c>
      <c r="I12551">
        <v>14149</v>
      </c>
      <c r="J12551" t="str">
        <f>VLOOKUP(E12551,DSSpieler!A:B,2,FALSE)</f>
        <v>xabel</v>
      </c>
    </row>
    <row r="12552" spans="1:10" x14ac:dyDescent="0.25">
      <c r="A12552">
        <v>14150</v>
      </c>
      <c r="B12552" t="s">
        <v>531</v>
      </c>
      <c r="C12552">
        <v>389</v>
      </c>
      <c r="D12552">
        <v>518</v>
      </c>
      <c r="E12552">
        <v>0</v>
      </c>
      <c r="F12552">
        <v>203</v>
      </c>
      <c r="G12552">
        <v>0</v>
      </c>
      <c r="H12552" t="s">
        <v>17439</v>
      </c>
      <c r="I12552">
        <v>14150</v>
      </c>
      <c r="J12552" t="e">
        <f>VLOOKUP(E12552,DSSpieler!A:B,2,FALSE)</f>
        <v>#N/A</v>
      </c>
    </row>
    <row r="12553" spans="1:10" x14ac:dyDescent="0.25">
      <c r="A12553">
        <v>14152</v>
      </c>
      <c r="B12553" t="s">
        <v>34826</v>
      </c>
      <c r="C12553">
        <v>500</v>
      </c>
      <c r="D12553">
        <v>384</v>
      </c>
      <c r="E12553">
        <v>8968731</v>
      </c>
      <c r="F12553">
        <v>4675</v>
      </c>
      <c r="G12553">
        <v>0</v>
      </c>
      <c r="H12553" t="s">
        <v>17440</v>
      </c>
      <c r="I12553">
        <v>14152</v>
      </c>
      <c r="J12553" t="str">
        <f>VLOOKUP(E12553,DSSpieler!A:B,2,FALSE)</f>
        <v>Interceptor96</v>
      </c>
    </row>
    <row r="12554" spans="1:10" x14ac:dyDescent="0.25">
      <c r="A12554">
        <v>14154</v>
      </c>
      <c r="B12554" t="s">
        <v>531</v>
      </c>
      <c r="C12554">
        <v>530</v>
      </c>
      <c r="D12554">
        <v>387</v>
      </c>
      <c r="E12554">
        <v>0</v>
      </c>
      <c r="F12554">
        <v>117</v>
      </c>
      <c r="G12554">
        <v>0</v>
      </c>
      <c r="H12554" t="s">
        <v>17441</v>
      </c>
      <c r="I12554">
        <v>14154</v>
      </c>
      <c r="J12554" t="e">
        <f>VLOOKUP(E12554,DSSpieler!A:B,2,FALSE)</f>
        <v>#N/A</v>
      </c>
    </row>
    <row r="12555" spans="1:10" x14ac:dyDescent="0.25">
      <c r="A12555">
        <v>14155</v>
      </c>
      <c r="B12555" t="s">
        <v>780</v>
      </c>
      <c r="C12555">
        <v>614</v>
      </c>
      <c r="D12555">
        <v>519</v>
      </c>
      <c r="E12555">
        <v>1576221095</v>
      </c>
      <c r="F12555">
        <v>4563</v>
      </c>
      <c r="G12555">
        <v>0</v>
      </c>
      <c r="H12555" t="s">
        <v>17442</v>
      </c>
      <c r="I12555">
        <v>14155</v>
      </c>
      <c r="J12555" t="str">
        <f>VLOOKUP(E12555,DSSpieler!A:B,2,FALSE)</f>
        <v>WarumDefen?</v>
      </c>
    </row>
    <row r="12556" spans="1:10" x14ac:dyDescent="0.25">
      <c r="A12556">
        <v>14156</v>
      </c>
      <c r="B12556" t="s">
        <v>780</v>
      </c>
      <c r="C12556">
        <v>615</v>
      </c>
      <c r="D12556">
        <v>519</v>
      </c>
      <c r="E12556">
        <v>1576221095</v>
      </c>
      <c r="F12556">
        <v>4729</v>
      </c>
      <c r="G12556">
        <v>0</v>
      </c>
      <c r="H12556" t="s">
        <v>17443</v>
      </c>
      <c r="I12556">
        <v>14156</v>
      </c>
      <c r="J12556" t="str">
        <f>VLOOKUP(E12556,DSSpieler!A:B,2,FALSE)</f>
        <v>WarumDefen?</v>
      </c>
    </row>
    <row r="12557" spans="1:10" x14ac:dyDescent="0.25">
      <c r="A12557">
        <v>14157</v>
      </c>
      <c r="B12557" t="s">
        <v>780</v>
      </c>
      <c r="C12557">
        <v>612</v>
      </c>
      <c r="D12557">
        <v>510</v>
      </c>
      <c r="E12557">
        <v>767751</v>
      </c>
      <c r="F12557">
        <v>4443</v>
      </c>
      <c r="G12557">
        <v>0</v>
      </c>
      <c r="H12557" t="s">
        <v>17444</v>
      </c>
      <c r="I12557">
        <v>14157</v>
      </c>
      <c r="J12557" t="str">
        <f>VLOOKUP(E12557,DSSpieler!A:B,2,FALSE)</f>
        <v>Go D. Usopp</v>
      </c>
    </row>
    <row r="12558" spans="1:10" x14ac:dyDescent="0.25">
      <c r="A12558">
        <v>14158</v>
      </c>
      <c r="B12558" t="s">
        <v>34827</v>
      </c>
      <c r="C12558">
        <v>614</v>
      </c>
      <c r="D12558">
        <v>513</v>
      </c>
      <c r="E12558">
        <v>1577061560</v>
      </c>
      <c r="F12558">
        <v>6105</v>
      </c>
      <c r="G12558">
        <v>0</v>
      </c>
      <c r="H12558" t="s">
        <v>17445</v>
      </c>
      <c r="I12558">
        <v>14158</v>
      </c>
      <c r="J12558" t="str">
        <f>VLOOKUP(E12558,DSSpieler!A:B,2,FALSE)</f>
        <v>KingArthursBruder</v>
      </c>
    </row>
    <row r="12559" spans="1:10" x14ac:dyDescent="0.25">
      <c r="A12559">
        <v>14159</v>
      </c>
      <c r="B12559" t="s">
        <v>531</v>
      </c>
      <c r="C12559">
        <v>506</v>
      </c>
      <c r="D12559">
        <v>473</v>
      </c>
      <c r="E12559">
        <v>0</v>
      </c>
      <c r="F12559">
        <v>565</v>
      </c>
      <c r="G12559">
        <v>0</v>
      </c>
      <c r="H12559" t="s">
        <v>17446</v>
      </c>
      <c r="I12559">
        <v>14159</v>
      </c>
      <c r="J12559" t="e">
        <f>VLOOKUP(E12559,DSSpieler!A:B,2,FALSE)</f>
        <v>#N/A</v>
      </c>
    </row>
    <row r="12560" spans="1:10" x14ac:dyDescent="0.25">
      <c r="A12560">
        <v>14160</v>
      </c>
      <c r="B12560" t="s">
        <v>531</v>
      </c>
      <c r="C12560">
        <v>610</v>
      </c>
      <c r="D12560">
        <v>476</v>
      </c>
      <c r="E12560">
        <v>0</v>
      </c>
      <c r="F12560">
        <v>355</v>
      </c>
      <c r="G12560">
        <v>0</v>
      </c>
      <c r="H12560" t="s">
        <v>17447</v>
      </c>
      <c r="I12560">
        <v>14160</v>
      </c>
      <c r="J12560" t="e">
        <f>VLOOKUP(E12560,DSSpieler!A:B,2,FALSE)</f>
        <v>#N/A</v>
      </c>
    </row>
    <row r="12561" spans="1:10" x14ac:dyDescent="0.25">
      <c r="A12561">
        <v>14161</v>
      </c>
      <c r="B12561" t="s">
        <v>531</v>
      </c>
      <c r="C12561">
        <v>407</v>
      </c>
      <c r="D12561">
        <v>569</v>
      </c>
      <c r="E12561">
        <v>0</v>
      </c>
      <c r="F12561">
        <v>532</v>
      </c>
      <c r="G12561">
        <v>0</v>
      </c>
      <c r="H12561" t="s">
        <v>17448</v>
      </c>
      <c r="I12561">
        <v>14161</v>
      </c>
      <c r="J12561" t="e">
        <f>VLOOKUP(E12561,DSSpieler!A:B,2,FALSE)</f>
        <v>#N/A</v>
      </c>
    </row>
    <row r="12562" spans="1:10" x14ac:dyDescent="0.25">
      <c r="A12562">
        <v>14162</v>
      </c>
      <c r="B12562" t="s">
        <v>897</v>
      </c>
      <c r="C12562">
        <v>444</v>
      </c>
      <c r="D12562">
        <v>548</v>
      </c>
      <c r="E12562">
        <v>1577197615</v>
      </c>
      <c r="F12562">
        <v>5229</v>
      </c>
      <c r="G12562">
        <v>0</v>
      </c>
      <c r="H12562" t="s">
        <v>17449</v>
      </c>
      <c r="I12562">
        <v>14162</v>
      </c>
      <c r="J12562" t="str">
        <f>VLOOKUP(E12562,DSSpieler!A:B,2,FALSE)</f>
        <v>Tsume</v>
      </c>
    </row>
    <row r="12563" spans="1:10" x14ac:dyDescent="0.25">
      <c r="A12563">
        <v>14163</v>
      </c>
      <c r="B12563" t="s">
        <v>531</v>
      </c>
      <c r="C12563">
        <v>579</v>
      </c>
      <c r="D12563">
        <v>416</v>
      </c>
      <c r="E12563">
        <v>0</v>
      </c>
      <c r="F12563">
        <v>269</v>
      </c>
      <c r="G12563">
        <v>0</v>
      </c>
      <c r="H12563" t="s">
        <v>17450</v>
      </c>
      <c r="I12563">
        <v>14163</v>
      </c>
      <c r="J12563" t="e">
        <f>VLOOKUP(E12563,DSSpieler!A:B,2,FALSE)</f>
        <v>#N/A</v>
      </c>
    </row>
    <row r="12564" spans="1:10" x14ac:dyDescent="0.25">
      <c r="A12564">
        <v>14164</v>
      </c>
      <c r="B12564" t="s">
        <v>531</v>
      </c>
      <c r="C12564">
        <v>482</v>
      </c>
      <c r="D12564">
        <v>573</v>
      </c>
      <c r="E12564">
        <v>0</v>
      </c>
      <c r="F12564">
        <v>428</v>
      </c>
      <c r="G12564">
        <v>0</v>
      </c>
      <c r="H12564" t="s">
        <v>17451</v>
      </c>
      <c r="I12564">
        <v>14164</v>
      </c>
      <c r="J12564" t="e">
        <f>VLOOKUP(E12564,DSSpieler!A:B,2,FALSE)</f>
        <v>#N/A</v>
      </c>
    </row>
    <row r="12565" spans="1:10" x14ac:dyDescent="0.25">
      <c r="A12565">
        <v>14165</v>
      </c>
      <c r="B12565" t="s">
        <v>2301</v>
      </c>
      <c r="C12565">
        <v>619</v>
      </c>
      <c r="D12565">
        <v>512</v>
      </c>
      <c r="E12565">
        <v>8618504</v>
      </c>
      <c r="F12565">
        <v>4063</v>
      </c>
      <c r="G12565">
        <v>0</v>
      </c>
      <c r="H12565" t="s">
        <v>17452</v>
      </c>
      <c r="I12565">
        <v>14165</v>
      </c>
      <c r="J12565" t="str">
        <f>VLOOKUP(E12565,DSSpieler!A:B,2,FALSE)</f>
        <v>Cuij</v>
      </c>
    </row>
    <row r="12566" spans="1:10" x14ac:dyDescent="0.25">
      <c r="A12566">
        <v>14166</v>
      </c>
      <c r="B12566" t="s">
        <v>31687</v>
      </c>
      <c r="C12566">
        <v>481</v>
      </c>
      <c r="D12566">
        <v>579</v>
      </c>
      <c r="E12566">
        <v>1576996406</v>
      </c>
      <c r="F12566">
        <v>2844</v>
      </c>
      <c r="G12566">
        <v>0</v>
      </c>
      <c r="H12566" t="s">
        <v>17453</v>
      </c>
      <c r="I12566">
        <v>14166</v>
      </c>
      <c r="J12566" t="str">
        <f>VLOOKUP(E12566,DSSpieler!A:B,2,FALSE)</f>
        <v>clownsq</v>
      </c>
    </row>
    <row r="12567" spans="1:10" x14ac:dyDescent="0.25">
      <c r="A12567">
        <v>14167</v>
      </c>
      <c r="B12567" t="s">
        <v>31494</v>
      </c>
      <c r="C12567">
        <v>562</v>
      </c>
      <c r="D12567">
        <v>589</v>
      </c>
      <c r="E12567">
        <v>1577184107</v>
      </c>
      <c r="F12567">
        <v>4242</v>
      </c>
      <c r="G12567">
        <v>0</v>
      </c>
      <c r="H12567" t="s">
        <v>17454</v>
      </c>
      <c r="I12567">
        <v>14167</v>
      </c>
      <c r="J12567" t="str">
        <f>VLOOKUP(E12567,DSSpieler!A:B,2,FALSE)</f>
        <v>rAYRYN</v>
      </c>
    </row>
    <row r="12568" spans="1:10" x14ac:dyDescent="0.25">
      <c r="A12568">
        <v>14168</v>
      </c>
      <c r="B12568" t="s">
        <v>531</v>
      </c>
      <c r="C12568">
        <v>504</v>
      </c>
      <c r="D12568">
        <v>614</v>
      </c>
      <c r="E12568">
        <v>0</v>
      </c>
      <c r="F12568">
        <v>405</v>
      </c>
      <c r="G12568">
        <v>0</v>
      </c>
      <c r="H12568" t="s">
        <v>17455</v>
      </c>
      <c r="I12568">
        <v>14168</v>
      </c>
      <c r="J12568" t="e">
        <f>VLOOKUP(E12568,DSSpieler!A:B,2,FALSE)</f>
        <v>#N/A</v>
      </c>
    </row>
    <row r="12569" spans="1:10" x14ac:dyDescent="0.25">
      <c r="A12569">
        <v>14169</v>
      </c>
      <c r="B12569" t="s">
        <v>34828</v>
      </c>
      <c r="C12569">
        <v>493</v>
      </c>
      <c r="D12569">
        <v>458</v>
      </c>
      <c r="E12569">
        <v>1577200697</v>
      </c>
      <c r="F12569">
        <v>5847</v>
      </c>
      <c r="G12569">
        <v>0</v>
      </c>
      <c r="H12569" t="s">
        <v>17456</v>
      </c>
      <c r="I12569">
        <v>14169</v>
      </c>
      <c r="J12569" t="str">
        <f>VLOOKUP(E12569,DSSpieler!A:B,2,FALSE)</f>
        <v>Andruscha</v>
      </c>
    </row>
    <row r="12570" spans="1:10" x14ac:dyDescent="0.25">
      <c r="A12570">
        <v>14171</v>
      </c>
      <c r="B12570" t="s">
        <v>2302</v>
      </c>
      <c r="C12570">
        <v>569</v>
      </c>
      <c r="D12570">
        <v>409</v>
      </c>
      <c r="E12570">
        <v>1577194420</v>
      </c>
      <c r="F12570">
        <v>1184</v>
      </c>
      <c r="G12570">
        <v>0</v>
      </c>
      <c r="H12570" t="s">
        <v>17457</v>
      </c>
      <c r="I12570">
        <v>14171</v>
      </c>
      <c r="J12570" t="str">
        <f>VLOOKUP(E12570,DSSpieler!A:B,2,FALSE)</f>
        <v>zappes</v>
      </c>
    </row>
    <row r="12571" spans="1:10" x14ac:dyDescent="0.25">
      <c r="A12571">
        <v>14172</v>
      </c>
      <c r="B12571" t="s">
        <v>531</v>
      </c>
      <c r="C12571">
        <v>397</v>
      </c>
      <c r="D12571">
        <v>553</v>
      </c>
      <c r="E12571">
        <v>0</v>
      </c>
      <c r="F12571">
        <v>218</v>
      </c>
      <c r="G12571">
        <v>0</v>
      </c>
      <c r="H12571" t="s">
        <v>17458</v>
      </c>
      <c r="I12571">
        <v>14172</v>
      </c>
      <c r="J12571" t="e">
        <f>VLOOKUP(E12571,DSSpieler!A:B,2,FALSE)</f>
        <v>#N/A</v>
      </c>
    </row>
    <row r="12572" spans="1:10" x14ac:dyDescent="0.25">
      <c r="A12572">
        <v>14174</v>
      </c>
      <c r="B12572" t="s">
        <v>531</v>
      </c>
      <c r="C12572">
        <v>476</v>
      </c>
      <c r="D12572">
        <v>611</v>
      </c>
      <c r="E12572">
        <v>0</v>
      </c>
      <c r="F12572">
        <v>470</v>
      </c>
      <c r="G12572">
        <v>0</v>
      </c>
      <c r="H12572" t="s">
        <v>17459</v>
      </c>
      <c r="I12572">
        <v>14174</v>
      </c>
      <c r="J12572" t="e">
        <f>VLOOKUP(E12572,DSSpieler!A:B,2,FALSE)</f>
        <v>#N/A</v>
      </c>
    </row>
    <row r="12573" spans="1:10" x14ac:dyDescent="0.25">
      <c r="A12573">
        <v>14175</v>
      </c>
      <c r="B12573" t="s">
        <v>531</v>
      </c>
      <c r="C12573">
        <v>586</v>
      </c>
      <c r="D12573">
        <v>428</v>
      </c>
      <c r="E12573">
        <v>0</v>
      </c>
      <c r="F12573">
        <v>218</v>
      </c>
      <c r="G12573">
        <v>0</v>
      </c>
      <c r="H12573" t="s">
        <v>17460</v>
      </c>
      <c r="I12573">
        <v>14175</v>
      </c>
      <c r="J12573" t="e">
        <f>VLOOKUP(E12573,DSSpieler!A:B,2,FALSE)</f>
        <v>#N/A</v>
      </c>
    </row>
    <row r="12574" spans="1:10" x14ac:dyDescent="0.25">
      <c r="A12574">
        <v>14176</v>
      </c>
      <c r="B12574">
        <v>4</v>
      </c>
      <c r="C12574">
        <v>465</v>
      </c>
      <c r="D12574">
        <v>606</v>
      </c>
      <c r="E12574">
        <v>8392517</v>
      </c>
      <c r="F12574">
        <v>1280</v>
      </c>
      <c r="G12574">
        <v>0</v>
      </c>
      <c r="H12574" t="s">
        <v>17461</v>
      </c>
      <c r="I12574">
        <v>14176</v>
      </c>
      <c r="J12574" t="str">
        <f>VLOOKUP(E12574,DSSpieler!A:B,2,FALSE)</f>
        <v>JayX</v>
      </c>
    </row>
    <row r="12575" spans="1:10" x14ac:dyDescent="0.25">
      <c r="A12575">
        <v>14177</v>
      </c>
      <c r="B12575" t="s">
        <v>531</v>
      </c>
      <c r="C12575">
        <v>391</v>
      </c>
      <c r="D12575">
        <v>540</v>
      </c>
      <c r="E12575">
        <v>0</v>
      </c>
      <c r="F12575">
        <v>176</v>
      </c>
      <c r="G12575">
        <v>0</v>
      </c>
      <c r="H12575" t="s">
        <v>17462</v>
      </c>
      <c r="I12575">
        <v>14177</v>
      </c>
      <c r="J12575" t="e">
        <f>VLOOKUP(E12575,DSSpieler!A:B,2,FALSE)</f>
        <v>#N/A</v>
      </c>
    </row>
    <row r="12576" spans="1:10" x14ac:dyDescent="0.25">
      <c r="A12576">
        <v>14178</v>
      </c>
      <c r="B12576" t="s">
        <v>531</v>
      </c>
      <c r="C12576">
        <v>544</v>
      </c>
      <c r="D12576">
        <v>424</v>
      </c>
      <c r="E12576">
        <v>0</v>
      </c>
      <c r="F12576">
        <v>443</v>
      </c>
      <c r="G12576">
        <v>0</v>
      </c>
      <c r="H12576" t="s">
        <v>17463</v>
      </c>
      <c r="I12576">
        <v>14178</v>
      </c>
      <c r="J12576" t="e">
        <f>VLOOKUP(E12576,DSSpieler!A:B,2,FALSE)</f>
        <v>#N/A</v>
      </c>
    </row>
    <row r="12577" spans="1:10" x14ac:dyDescent="0.25">
      <c r="A12577">
        <v>14179</v>
      </c>
      <c r="B12577" t="s">
        <v>531</v>
      </c>
      <c r="C12577">
        <v>606</v>
      </c>
      <c r="D12577">
        <v>522</v>
      </c>
      <c r="E12577">
        <v>0</v>
      </c>
      <c r="F12577">
        <v>455</v>
      </c>
      <c r="G12577">
        <v>0</v>
      </c>
      <c r="H12577" t="s">
        <v>17464</v>
      </c>
      <c r="I12577">
        <v>14179</v>
      </c>
      <c r="J12577" t="e">
        <f>VLOOKUP(E12577,DSSpieler!A:B,2,FALSE)</f>
        <v>#N/A</v>
      </c>
    </row>
    <row r="12578" spans="1:10" x14ac:dyDescent="0.25">
      <c r="A12578">
        <v>14180</v>
      </c>
      <c r="B12578" t="s">
        <v>531</v>
      </c>
      <c r="C12578">
        <v>616</v>
      </c>
      <c r="D12578">
        <v>513</v>
      </c>
      <c r="E12578">
        <v>0</v>
      </c>
      <c r="F12578">
        <v>180</v>
      </c>
      <c r="G12578">
        <v>0</v>
      </c>
      <c r="H12578" t="s">
        <v>17465</v>
      </c>
      <c r="I12578">
        <v>14180</v>
      </c>
      <c r="J12578" t="e">
        <f>VLOOKUP(E12578,DSSpieler!A:B,2,FALSE)</f>
        <v>#N/A</v>
      </c>
    </row>
    <row r="12579" spans="1:10" x14ac:dyDescent="0.25">
      <c r="A12579">
        <v>14181</v>
      </c>
      <c r="B12579" t="s">
        <v>34829</v>
      </c>
      <c r="C12579">
        <v>501</v>
      </c>
      <c r="D12579">
        <v>617</v>
      </c>
      <c r="E12579">
        <v>1576398791</v>
      </c>
      <c r="F12579">
        <v>1420</v>
      </c>
      <c r="G12579">
        <v>0</v>
      </c>
      <c r="H12579" t="s">
        <v>17466</v>
      </c>
      <c r="I12579">
        <v>14181</v>
      </c>
      <c r="J12579" t="str">
        <f>VLOOKUP(E12579,DSSpieler!A:B,2,FALSE)</f>
        <v>Inferos</v>
      </c>
    </row>
    <row r="12580" spans="1:10" x14ac:dyDescent="0.25">
      <c r="A12580">
        <v>14182</v>
      </c>
      <c r="B12580" t="s">
        <v>531</v>
      </c>
      <c r="C12580">
        <v>498</v>
      </c>
      <c r="D12580">
        <v>383</v>
      </c>
      <c r="E12580">
        <v>0</v>
      </c>
      <c r="F12580">
        <v>283</v>
      </c>
      <c r="G12580">
        <v>0</v>
      </c>
      <c r="H12580" t="s">
        <v>17467</v>
      </c>
      <c r="I12580">
        <v>14182</v>
      </c>
      <c r="J12580" t="e">
        <f>VLOOKUP(E12580,DSSpieler!A:B,2,FALSE)</f>
        <v>#N/A</v>
      </c>
    </row>
    <row r="12581" spans="1:10" x14ac:dyDescent="0.25">
      <c r="A12581">
        <v>14183</v>
      </c>
      <c r="B12581" t="s">
        <v>531</v>
      </c>
      <c r="C12581">
        <v>613</v>
      </c>
      <c r="D12581">
        <v>521</v>
      </c>
      <c r="E12581">
        <v>0</v>
      </c>
      <c r="F12581">
        <v>560</v>
      </c>
      <c r="G12581">
        <v>0</v>
      </c>
      <c r="H12581" t="s">
        <v>17468</v>
      </c>
      <c r="I12581">
        <v>14183</v>
      </c>
      <c r="J12581" t="e">
        <f>VLOOKUP(E12581,DSSpieler!A:B,2,FALSE)</f>
        <v>#N/A</v>
      </c>
    </row>
    <row r="12582" spans="1:10" x14ac:dyDescent="0.25">
      <c r="A12582">
        <v>14184</v>
      </c>
      <c r="B12582" t="s">
        <v>150</v>
      </c>
      <c r="C12582">
        <v>386</v>
      </c>
      <c r="D12582">
        <v>507</v>
      </c>
      <c r="E12582">
        <v>10220537</v>
      </c>
      <c r="F12582">
        <v>1983</v>
      </c>
      <c r="G12582">
        <v>0</v>
      </c>
      <c r="H12582" t="s">
        <v>17469</v>
      </c>
      <c r="I12582">
        <v>14184</v>
      </c>
      <c r="J12582" t="str">
        <f>VLOOKUP(E12582,DSSpieler!A:B,2,FALSE)</f>
        <v>Rabadon1</v>
      </c>
    </row>
    <row r="12583" spans="1:10" x14ac:dyDescent="0.25">
      <c r="A12583">
        <v>14185</v>
      </c>
      <c r="B12583" t="s">
        <v>531</v>
      </c>
      <c r="C12583">
        <v>385</v>
      </c>
      <c r="D12583">
        <v>512</v>
      </c>
      <c r="E12583">
        <v>0</v>
      </c>
      <c r="F12583">
        <v>241</v>
      </c>
      <c r="G12583">
        <v>0</v>
      </c>
      <c r="H12583" t="s">
        <v>17470</v>
      </c>
      <c r="I12583">
        <v>14185</v>
      </c>
      <c r="J12583" t="e">
        <f>VLOOKUP(E12583,DSSpieler!A:B,2,FALSE)</f>
        <v>#N/A</v>
      </c>
    </row>
    <row r="12584" spans="1:10" x14ac:dyDescent="0.25">
      <c r="A12584">
        <v>14186</v>
      </c>
      <c r="B12584" t="s">
        <v>34830</v>
      </c>
      <c r="C12584">
        <v>387</v>
      </c>
      <c r="D12584">
        <v>505</v>
      </c>
      <c r="E12584">
        <v>1576147930</v>
      </c>
      <c r="F12584">
        <v>464</v>
      </c>
      <c r="G12584">
        <v>0</v>
      </c>
      <c r="H12584" t="s">
        <v>17471</v>
      </c>
      <c r="I12584">
        <v>14186</v>
      </c>
      <c r="J12584" t="str">
        <f>VLOOKUP(E12584,DSSpieler!A:B,2,FALSE)</f>
        <v>Fruchtsaftschorle</v>
      </c>
    </row>
    <row r="12585" spans="1:10" x14ac:dyDescent="0.25">
      <c r="A12585">
        <v>14188</v>
      </c>
      <c r="B12585" t="s">
        <v>531</v>
      </c>
      <c r="C12585">
        <v>548</v>
      </c>
      <c r="D12585">
        <v>395</v>
      </c>
      <c r="E12585">
        <v>0</v>
      </c>
      <c r="F12585">
        <v>152</v>
      </c>
      <c r="G12585">
        <v>0</v>
      </c>
      <c r="H12585" t="s">
        <v>17472</v>
      </c>
      <c r="I12585">
        <v>14188</v>
      </c>
      <c r="J12585" t="e">
        <f>VLOOKUP(E12585,DSSpieler!A:B,2,FALSE)</f>
        <v>#N/A</v>
      </c>
    </row>
    <row r="12586" spans="1:10" x14ac:dyDescent="0.25">
      <c r="A12586">
        <v>14189</v>
      </c>
      <c r="B12586" t="s">
        <v>788</v>
      </c>
      <c r="C12586">
        <v>595</v>
      </c>
      <c r="D12586">
        <v>567</v>
      </c>
      <c r="E12586">
        <v>1577196280</v>
      </c>
      <c r="F12586">
        <v>4543</v>
      </c>
      <c r="G12586">
        <v>0</v>
      </c>
      <c r="H12586" t="s">
        <v>17473</v>
      </c>
      <c r="I12586">
        <v>14189</v>
      </c>
      <c r="J12586" t="str">
        <f>VLOOKUP(E12586,DSSpieler!A:B,2,FALSE)</f>
        <v>Toller Hecht</v>
      </c>
    </row>
    <row r="12587" spans="1:10" x14ac:dyDescent="0.25">
      <c r="A12587">
        <v>14190</v>
      </c>
      <c r="B12587" t="s">
        <v>531</v>
      </c>
      <c r="C12587">
        <v>502</v>
      </c>
      <c r="D12587">
        <v>615</v>
      </c>
      <c r="E12587">
        <v>0</v>
      </c>
      <c r="F12587">
        <v>355</v>
      </c>
      <c r="G12587">
        <v>0</v>
      </c>
      <c r="H12587" t="s">
        <v>17474</v>
      </c>
      <c r="I12587">
        <v>14190</v>
      </c>
      <c r="J12587" t="e">
        <f>VLOOKUP(E12587,DSSpieler!A:B,2,FALSE)</f>
        <v>#N/A</v>
      </c>
    </row>
    <row r="12588" spans="1:10" x14ac:dyDescent="0.25">
      <c r="A12588">
        <v>14191</v>
      </c>
      <c r="B12588" t="s">
        <v>2303</v>
      </c>
      <c r="C12588">
        <v>432</v>
      </c>
      <c r="D12588">
        <v>406</v>
      </c>
      <c r="E12588">
        <v>1575900433</v>
      </c>
      <c r="F12588">
        <v>4224</v>
      </c>
      <c r="G12588">
        <v>0</v>
      </c>
      <c r="H12588" t="s">
        <v>17475</v>
      </c>
      <c r="I12588">
        <v>14191</v>
      </c>
      <c r="J12588" t="str">
        <f>VLOOKUP(E12588,DSSpieler!A:B,2,FALSE)</f>
        <v>samlalap</v>
      </c>
    </row>
    <row r="12589" spans="1:10" x14ac:dyDescent="0.25">
      <c r="A12589">
        <v>14192</v>
      </c>
      <c r="B12589" t="s">
        <v>531</v>
      </c>
      <c r="C12589">
        <v>393</v>
      </c>
      <c r="D12589">
        <v>468</v>
      </c>
      <c r="E12589">
        <v>0</v>
      </c>
      <c r="F12589">
        <v>289</v>
      </c>
      <c r="G12589">
        <v>0</v>
      </c>
      <c r="H12589" t="s">
        <v>17476</v>
      </c>
      <c r="I12589">
        <v>14192</v>
      </c>
      <c r="J12589" t="e">
        <f>VLOOKUP(E12589,DSSpieler!A:B,2,FALSE)</f>
        <v>#N/A</v>
      </c>
    </row>
    <row r="12590" spans="1:10" x14ac:dyDescent="0.25">
      <c r="A12590">
        <v>14193</v>
      </c>
      <c r="B12590" t="s">
        <v>34831</v>
      </c>
      <c r="C12590">
        <v>435</v>
      </c>
      <c r="D12590">
        <v>404</v>
      </c>
      <c r="E12590">
        <v>1577072203</v>
      </c>
      <c r="F12590">
        <v>3728</v>
      </c>
      <c r="G12590">
        <v>0</v>
      </c>
      <c r="H12590" t="s">
        <v>17477</v>
      </c>
      <c r="I12590">
        <v>14193</v>
      </c>
      <c r="J12590" t="str">
        <f>VLOOKUP(E12590,DSSpieler!A:B,2,FALSE)</f>
        <v>Raucus</v>
      </c>
    </row>
    <row r="12591" spans="1:10" x14ac:dyDescent="0.25">
      <c r="A12591">
        <v>14194</v>
      </c>
      <c r="B12591" t="s">
        <v>531</v>
      </c>
      <c r="C12591">
        <v>615</v>
      </c>
      <c r="D12591">
        <v>476</v>
      </c>
      <c r="E12591">
        <v>0</v>
      </c>
      <c r="F12591">
        <v>255</v>
      </c>
      <c r="G12591">
        <v>0</v>
      </c>
      <c r="H12591" t="s">
        <v>17478</v>
      </c>
      <c r="I12591">
        <v>14194</v>
      </c>
      <c r="J12591" t="e">
        <f>VLOOKUP(E12591,DSSpieler!A:B,2,FALSE)</f>
        <v>#N/A</v>
      </c>
    </row>
    <row r="12592" spans="1:10" x14ac:dyDescent="0.25">
      <c r="A12592">
        <v>14195</v>
      </c>
      <c r="B12592" t="s">
        <v>531</v>
      </c>
      <c r="C12592">
        <v>518</v>
      </c>
      <c r="D12592">
        <v>612</v>
      </c>
      <c r="E12592">
        <v>0</v>
      </c>
      <c r="F12592">
        <v>356</v>
      </c>
      <c r="G12592">
        <v>0</v>
      </c>
      <c r="H12592" t="s">
        <v>17479</v>
      </c>
      <c r="I12592">
        <v>14195</v>
      </c>
      <c r="J12592" t="e">
        <f>VLOOKUP(E12592,DSSpieler!A:B,2,FALSE)</f>
        <v>#N/A</v>
      </c>
    </row>
    <row r="12593" spans="1:10" x14ac:dyDescent="0.25">
      <c r="A12593">
        <v>14196</v>
      </c>
      <c r="B12593" t="s">
        <v>531</v>
      </c>
      <c r="C12593">
        <v>411</v>
      </c>
      <c r="D12593">
        <v>428</v>
      </c>
      <c r="E12593">
        <v>0</v>
      </c>
      <c r="F12593">
        <v>140</v>
      </c>
      <c r="G12593">
        <v>0</v>
      </c>
      <c r="H12593" t="s">
        <v>17480</v>
      </c>
      <c r="I12593">
        <v>14196</v>
      </c>
      <c r="J12593" t="e">
        <f>VLOOKUP(E12593,DSSpieler!A:B,2,FALSE)</f>
        <v>#N/A</v>
      </c>
    </row>
    <row r="12594" spans="1:10" x14ac:dyDescent="0.25">
      <c r="A12594">
        <v>14197</v>
      </c>
      <c r="B12594" t="s">
        <v>531</v>
      </c>
      <c r="C12594">
        <v>399</v>
      </c>
      <c r="D12594">
        <v>442</v>
      </c>
      <c r="E12594">
        <v>0</v>
      </c>
      <c r="F12594">
        <v>233</v>
      </c>
      <c r="G12594">
        <v>0</v>
      </c>
      <c r="H12594" t="s">
        <v>17481</v>
      </c>
      <c r="I12594">
        <v>14197</v>
      </c>
      <c r="J12594" t="e">
        <f>VLOOKUP(E12594,DSSpieler!A:B,2,FALSE)</f>
        <v>#N/A</v>
      </c>
    </row>
    <row r="12595" spans="1:10" x14ac:dyDescent="0.25">
      <c r="A12595">
        <v>14198</v>
      </c>
      <c r="B12595" t="s">
        <v>531</v>
      </c>
      <c r="C12595">
        <v>507</v>
      </c>
      <c r="D12595">
        <v>385</v>
      </c>
      <c r="E12595">
        <v>0</v>
      </c>
      <c r="F12595">
        <v>449</v>
      </c>
      <c r="G12595">
        <v>0</v>
      </c>
      <c r="H12595" t="s">
        <v>17482</v>
      </c>
      <c r="I12595">
        <v>14198</v>
      </c>
      <c r="J12595" t="e">
        <f>VLOOKUP(E12595,DSSpieler!A:B,2,FALSE)</f>
        <v>#N/A</v>
      </c>
    </row>
    <row r="12596" spans="1:10" x14ac:dyDescent="0.25">
      <c r="A12596">
        <v>14199</v>
      </c>
      <c r="B12596" t="s">
        <v>34832</v>
      </c>
      <c r="C12596">
        <v>497</v>
      </c>
      <c r="D12596">
        <v>581</v>
      </c>
      <c r="E12596">
        <v>1577026484</v>
      </c>
      <c r="F12596">
        <v>3126</v>
      </c>
      <c r="G12596">
        <v>0</v>
      </c>
      <c r="H12596" t="s">
        <v>17483</v>
      </c>
      <c r="I12596">
        <v>14199</v>
      </c>
      <c r="J12596" t="str">
        <f>VLOOKUP(E12596,DSSpieler!A:B,2,FALSE)</f>
        <v>Deffnoob</v>
      </c>
    </row>
    <row r="12597" spans="1:10" x14ac:dyDescent="0.25">
      <c r="A12597">
        <v>14200</v>
      </c>
      <c r="B12597" t="s">
        <v>34612</v>
      </c>
      <c r="C12597">
        <v>566</v>
      </c>
      <c r="D12597">
        <v>593</v>
      </c>
      <c r="E12597">
        <v>1759370</v>
      </c>
      <c r="F12597">
        <v>3716</v>
      </c>
      <c r="G12597">
        <v>0</v>
      </c>
      <c r="H12597" t="s">
        <v>17484</v>
      </c>
      <c r="I12597">
        <v>14200</v>
      </c>
      <c r="J12597" t="str">
        <f>VLOOKUP(E12597,DSSpieler!A:B,2,FALSE)</f>
        <v>Dalledara</v>
      </c>
    </row>
    <row r="12598" spans="1:10" x14ac:dyDescent="0.25">
      <c r="A12598">
        <v>14201</v>
      </c>
      <c r="B12598" t="s">
        <v>531</v>
      </c>
      <c r="C12598">
        <v>587</v>
      </c>
      <c r="D12598">
        <v>577</v>
      </c>
      <c r="E12598">
        <v>0</v>
      </c>
      <c r="F12598">
        <v>276</v>
      </c>
      <c r="G12598">
        <v>0</v>
      </c>
      <c r="H12598" t="s">
        <v>17485</v>
      </c>
      <c r="I12598">
        <v>14201</v>
      </c>
      <c r="J12598" t="e">
        <f>VLOOKUP(E12598,DSSpieler!A:B,2,FALSE)</f>
        <v>#N/A</v>
      </c>
    </row>
    <row r="12599" spans="1:10" x14ac:dyDescent="0.25">
      <c r="A12599">
        <v>14202</v>
      </c>
      <c r="B12599" t="s">
        <v>34833</v>
      </c>
      <c r="C12599">
        <v>566</v>
      </c>
      <c r="D12599">
        <v>599</v>
      </c>
      <c r="E12599">
        <v>1576529285</v>
      </c>
      <c r="F12599">
        <v>4816</v>
      </c>
      <c r="G12599">
        <v>0</v>
      </c>
      <c r="H12599" t="s">
        <v>17486</v>
      </c>
      <c r="I12599">
        <v>14202</v>
      </c>
      <c r="J12599" t="str">
        <f>VLOOKUP(E12599,DSSpieler!A:B,2,FALSE)</f>
        <v>supinator</v>
      </c>
    </row>
    <row r="12600" spans="1:10" x14ac:dyDescent="0.25">
      <c r="A12600">
        <v>14203</v>
      </c>
      <c r="B12600" t="s">
        <v>34834</v>
      </c>
      <c r="C12600">
        <v>494</v>
      </c>
      <c r="D12600">
        <v>465</v>
      </c>
      <c r="E12600">
        <v>1577200750</v>
      </c>
      <c r="F12600">
        <v>3650</v>
      </c>
      <c r="G12600">
        <v>0</v>
      </c>
      <c r="H12600" t="s">
        <v>17487</v>
      </c>
      <c r="I12600">
        <v>14203</v>
      </c>
      <c r="J12600" t="str">
        <f>VLOOKUP(E12600,DSSpieler!A:B,2,FALSE)</f>
        <v>Akki</v>
      </c>
    </row>
    <row r="12601" spans="1:10" x14ac:dyDescent="0.25">
      <c r="A12601">
        <v>14204</v>
      </c>
      <c r="B12601" t="s">
        <v>531</v>
      </c>
      <c r="C12601">
        <v>474</v>
      </c>
      <c r="D12601">
        <v>599</v>
      </c>
      <c r="E12601">
        <v>0</v>
      </c>
      <c r="F12601">
        <v>504</v>
      </c>
      <c r="G12601">
        <v>0</v>
      </c>
      <c r="H12601" t="s">
        <v>17488</v>
      </c>
      <c r="I12601">
        <v>14204</v>
      </c>
      <c r="J12601" t="e">
        <f>VLOOKUP(E12601,DSSpieler!A:B,2,FALSE)</f>
        <v>#N/A</v>
      </c>
    </row>
    <row r="12602" spans="1:10" x14ac:dyDescent="0.25">
      <c r="A12602">
        <v>14205</v>
      </c>
      <c r="B12602" t="s">
        <v>34835</v>
      </c>
      <c r="C12602">
        <v>556</v>
      </c>
      <c r="D12602">
        <v>595</v>
      </c>
      <c r="E12602">
        <v>1576721973</v>
      </c>
      <c r="F12602">
        <v>4495</v>
      </c>
      <c r="G12602">
        <v>0</v>
      </c>
      <c r="H12602" t="s">
        <v>17489</v>
      </c>
      <c r="I12602">
        <v>14205</v>
      </c>
      <c r="J12602" t="str">
        <f>VLOOKUP(E12602,DSSpieler!A:B,2,FALSE)</f>
        <v>Absoluter Diplomatierer</v>
      </c>
    </row>
    <row r="12603" spans="1:10" x14ac:dyDescent="0.25">
      <c r="A12603">
        <v>14206</v>
      </c>
      <c r="B12603" t="s">
        <v>2304</v>
      </c>
      <c r="C12603">
        <v>387</v>
      </c>
      <c r="D12603">
        <v>491</v>
      </c>
      <c r="E12603">
        <v>1576174494</v>
      </c>
      <c r="F12603">
        <v>3626</v>
      </c>
      <c r="G12603">
        <v>0</v>
      </c>
      <c r="H12603" t="s">
        <v>17490</v>
      </c>
      <c r="I12603">
        <v>14206</v>
      </c>
      <c r="J12603" t="str">
        <f>VLOOKUP(E12603,DSSpieler!A:B,2,FALSE)</f>
        <v>Die Erntehelfer</v>
      </c>
    </row>
    <row r="12604" spans="1:10" x14ac:dyDescent="0.25">
      <c r="A12604">
        <v>14209</v>
      </c>
      <c r="B12604" t="s">
        <v>531</v>
      </c>
      <c r="C12604">
        <v>457</v>
      </c>
      <c r="D12604">
        <v>608</v>
      </c>
      <c r="E12604">
        <v>0</v>
      </c>
      <c r="F12604">
        <v>614</v>
      </c>
      <c r="G12604">
        <v>0</v>
      </c>
      <c r="H12604" t="s">
        <v>17491</v>
      </c>
      <c r="I12604">
        <v>14209</v>
      </c>
      <c r="J12604" t="e">
        <f>VLOOKUP(E12604,DSSpieler!A:B,2,FALSE)</f>
        <v>#N/A</v>
      </c>
    </row>
    <row r="12605" spans="1:10" x14ac:dyDescent="0.25">
      <c r="A12605">
        <v>14210</v>
      </c>
      <c r="B12605" t="s">
        <v>34836</v>
      </c>
      <c r="C12605">
        <v>387</v>
      </c>
      <c r="D12605">
        <v>500</v>
      </c>
      <c r="E12605">
        <v>1577196816</v>
      </c>
      <c r="F12605">
        <v>5083</v>
      </c>
      <c r="G12605">
        <v>0</v>
      </c>
      <c r="H12605" t="s">
        <v>17492</v>
      </c>
      <c r="I12605">
        <v>14210</v>
      </c>
      <c r="J12605" t="str">
        <f>VLOOKUP(E12605,DSSpieler!A:B,2,FALSE)</f>
        <v>SnowxD</v>
      </c>
    </row>
    <row r="12606" spans="1:10" x14ac:dyDescent="0.25">
      <c r="A12606">
        <v>14211</v>
      </c>
      <c r="B12606" t="s">
        <v>34837</v>
      </c>
      <c r="C12606">
        <v>511</v>
      </c>
      <c r="D12606">
        <v>474</v>
      </c>
      <c r="E12606">
        <v>1577174875</v>
      </c>
      <c r="F12606">
        <v>3597</v>
      </c>
      <c r="G12606">
        <v>0</v>
      </c>
      <c r="H12606" t="s">
        <v>17493</v>
      </c>
      <c r="I12606">
        <v>14211</v>
      </c>
      <c r="J12606" t="str">
        <f>VLOOKUP(E12606,DSSpieler!A:B,2,FALSE)</f>
        <v>Der mit das Gerät</v>
      </c>
    </row>
    <row r="12607" spans="1:10" x14ac:dyDescent="0.25">
      <c r="A12607">
        <v>14212</v>
      </c>
      <c r="B12607" t="s">
        <v>531</v>
      </c>
      <c r="C12607">
        <v>470</v>
      </c>
      <c r="D12607">
        <v>611</v>
      </c>
      <c r="E12607">
        <v>0</v>
      </c>
      <c r="F12607">
        <v>289</v>
      </c>
      <c r="G12607">
        <v>0</v>
      </c>
      <c r="H12607" t="s">
        <v>17494</v>
      </c>
      <c r="I12607">
        <v>14212</v>
      </c>
      <c r="J12607" t="e">
        <f>VLOOKUP(E12607,DSSpieler!A:B,2,FALSE)</f>
        <v>#N/A</v>
      </c>
    </row>
    <row r="12608" spans="1:10" x14ac:dyDescent="0.25">
      <c r="A12608">
        <v>14213</v>
      </c>
      <c r="B12608" t="s">
        <v>531</v>
      </c>
      <c r="C12608">
        <v>504</v>
      </c>
      <c r="D12608">
        <v>387</v>
      </c>
      <c r="E12608">
        <v>0</v>
      </c>
      <c r="F12608">
        <v>264</v>
      </c>
      <c r="G12608">
        <v>0</v>
      </c>
      <c r="H12608" t="s">
        <v>17495</v>
      </c>
      <c r="I12608">
        <v>14213</v>
      </c>
      <c r="J12608" t="e">
        <f>VLOOKUP(E12608,DSSpieler!A:B,2,FALSE)</f>
        <v>#N/A</v>
      </c>
    </row>
    <row r="12609" spans="1:10" x14ac:dyDescent="0.25">
      <c r="A12609">
        <v>14214</v>
      </c>
      <c r="B12609" t="s">
        <v>34838</v>
      </c>
      <c r="C12609">
        <v>415</v>
      </c>
      <c r="D12609">
        <v>566</v>
      </c>
      <c r="E12609">
        <v>1577163287</v>
      </c>
      <c r="F12609">
        <v>3848</v>
      </c>
      <c r="G12609">
        <v>0</v>
      </c>
      <c r="H12609" t="s">
        <v>17496</v>
      </c>
      <c r="I12609">
        <v>14214</v>
      </c>
      <c r="J12609" t="str">
        <f>VLOOKUP(E12609,DSSpieler!A:B,2,FALSE)</f>
        <v>Sändi99</v>
      </c>
    </row>
    <row r="12610" spans="1:10" x14ac:dyDescent="0.25">
      <c r="A12610">
        <v>14215</v>
      </c>
      <c r="B12610" t="s">
        <v>531</v>
      </c>
      <c r="C12610">
        <v>612</v>
      </c>
      <c r="D12610">
        <v>474</v>
      </c>
      <c r="E12610">
        <v>0</v>
      </c>
      <c r="F12610">
        <v>225</v>
      </c>
      <c r="G12610">
        <v>0</v>
      </c>
      <c r="H12610" t="s">
        <v>17497</v>
      </c>
      <c r="I12610">
        <v>14215</v>
      </c>
      <c r="J12610" t="e">
        <f>VLOOKUP(E12610,DSSpieler!A:B,2,FALSE)</f>
        <v>#N/A</v>
      </c>
    </row>
    <row r="12611" spans="1:10" x14ac:dyDescent="0.25">
      <c r="A12611">
        <v>14216</v>
      </c>
      <c r="B12611" t="s">
        <v>34839</v>
      </c>
      <c r="C12611">
        <v>408</v>
      </c>
      <c r="D12611">
        <v>495</v>
      </c>
      <c r="E12611">
        <v>2063168</v>
      </c>
      <c r="F12611">
        <v>1561</v>
      </c>
      <c r="G12611">
        <v>0</v>
      </c>
      <c r="H12611" t="s">
        <v>17498</v>
      </c>
      <c r="I12611">
        <v>14216</v>
      </c>
      <c r="J12611" t="str">
        <f>VLOOKUP(E12611,DSSpieler!A:B,2,FALSE)</f>
        <v>TH1985</v>
      </c>
    </row>
    <row r="12612" spans="1:10" x14ac:dyDescent="0.25">
      <c r="A12612">
        <v>14217</v>
      </c>
      <c r="B12612" t="s">
        <v>531</v>
      </c>
      <c r="C12612">
        <v>403</v>
      </c>
      <c r="D12612">
        <v>497</v>
      </c>
      <c r="E12612">
        <v>0</v>
      </c>
      <c r="F12612">
        <v>1001</v>
      </c>
      <c r="G12612">
        <v>0</v>
      </c>
      <c r="H12612" t="s">
        <v>17499</v>
      </c>
      <c r="I12612">
        <v>14217</v>
      </c>
      <c r="J12612" t="e">
        <f>VLOOKUP(E12612,DSSpieler!A:B,2,FALSE)</f>
        <v>#N/A</v>
      </c>
    </row>
    <row r="12613" spans="1:10" x14ac:dyDescent="0.25">
      <c r="A12613">
        <v>14218</v>
      </c>
      <c r="B12613" t="s">
        <v>531</v>
      </c>
      <c r="C12613">
        <v>586</v>
      </c>
      <c r="D12613">
        <v>577</v>
      </c>
      <c r="E12613">
        <v>0</v>
      </c>
      <c r="F12613">
        <v>308</v>
      </c>
      <c r="G12613">
        <v>0</v>
      </c>
      <c r="H12613" t="s">
        <v>17500</v>
      </c>
      <c r="I12613">
        <v>14218</v>
      </c>
      <c r="J12613" t="e">
        <f>VLOOKUP(E12613,DSSpieler!A:B,2,FALSE)</f>
        <v>#N/A</v>
      </c>
    </row>
    <row r="12614" spans="1:10" x14ac:dyDescent="0.25">
      <c r="A12614">
        <v>14219</v>
      </c>
      <c r="B12614" t="s">
        <v>531</v>
      </c>
      <c r="C12614">
        <v>536</v>
      </c>
      <c r="D12614">
        <v>611</v>
      </c>
      <c r="E12614">
        <v>0</v>
      </c>
      <c r="F12614">
        <v>513</v>
      </c>
      <c r="G12614">
        <v>0</v>
      </c>
      <c r="H12614" t="s">
        <v>17501</v>
      </c>
      <c r="I12614">
        <v>14219</v>
      </c>
      <c r="J12614" t="e">
        <f>VLOOKUP(E12614,DSSpieler!A:B,2,FALSE)</f>
        <v>#N/A</v>
      </c>
    </row>
    <row r="12615" spans="1:10" x14ac:dyDescent="0.25">
      <c r="A12615">
        <v>14220</v>
      </c>
      <c r="B12615" t="s">
        <v>34840</v>
      </c>
      <c r="C12615">
        <v>475</v>
      </c>
      <c r="D12615">
        <v>553</v>
      </c>
      <c r="E12615">
        <v>1577191193</v>
      </c>
      <c r="F12615">
        <v>4298</v>
      </c>
      <c r="G12615">
        <v>0</v>
      </c>
      <c r="H12615" t="s">
        <v>17502</v>
      </c>
      <c r="I12615">
        <v>14220</v>
      </c>
      <c r="J12615" t="str">
        <f>VLOOKUP(E12615,DSSpieler!A:B,2,FALSE)</f>
        <v>Azubie</v>
      </c>
    </row>
    <row r="12616" spans="1:10" x14ac:dyDescent="0.25">
      <c r="A12616">
        <v>14221</v>
      </c>
      <c r="B12616" t="s">
        <v>531</v>
      </c>
      <c r="C12616">
        <v>569</v>
      </c>
      <c r="D12616">
        <v>593</v>
      </c>
      <c r="E12616">
        <v>0</v>
      </c>
      <c r="F12616">
        <v>199</v>
      </c>
      <c r="G12616">
        <v>0</v>
      </c>
      <c r="H12616" t="s">
        <v>17503</v>
      </c>
      <c r="I12616">
        <v>14221</v>
      </c>
      <c r="J12616" t="e">
        <f>VLOOKUP(E12616,DSSpieler!A:B,2,FALSE)</f>
        <v>#N/A</v>
      </c>
    </row>
    <row r="12617" spans="1:10" x14ac:dyDescent="0.25">
      <c r="A12617">
        <v>14222</v>
      </c>
      <c r="B12617" t="s">
        <v>531</v>
      </c>
      <c r="C12617">
        <v>549</v>
      </c>
      <c r="D12617">
        <v>601</v>
      </c>
      <c r="E12617">
        <v>0</v>
      </c>
      <c r="F12617">
        <v>477</v>
      </c>
      <c r="G12617">
        <v>0</v>
      </c>
      <c r="H12617" t="s">
        <v>17504</v>
      </c>
      <c r="I12617">
        <v>14222</v>
      </c>
      <c r="J12617" t="e">
        <f>VLOOKUP(E12617,DSSpieler!A:B,2,FALSE)</f>
        <v>#N/A</v>
      </c>
    </row>
    <row r="12618" spans="1:10" x14ac:dyDescent="0.25">
      <c r="A12618">
        <v>14223</v>
      </c>
      <c r="B12618" t="s">
        <v>531</v>
      </c>
      <c r="C12618">
        <v>478</v>
      </c>
      <c r="D12618">
        <v>612</v>
      </c>
      <c r="E12618">
        <v>0</v>
      </c>
      <c r="F12618">
        <v>307</v>
      </c>
      <c r="G12618">
        <v>0</v>
      </c>
      <c r="H12618" t="s">
        <v>17505</v>
      </c>
      <c r="I12618">
        <v>14223</v>
      </c>
      <c r="J12618" t="e">
        <f>VLOOKUP(E12618,DSSpieler!A:B,2,FALSE)</f>
        <v>#N/A</v>
      </c>
    </row>
    <row r="12619" spans="1:10" x14ac:dyDescent="0.25">
      <c r="A12619">
        <v>14224</v>
      </c>
      <c r="B12619" t="s">
        <v>2305</v>
      </c>
      <c r="C12619">
        <v>414</v>
      </c>
      <c r="D12619">
        <v>572</v>
      </c>
      <c r="E12619">
        <v>1577137866</v>
      </c>
      <c r="F12619">
        <v>2197</v>
      </c>
      <c r="G12619">
        <v>0</v>
      </c>
      <c r="H12619" t="s">
        <v>17506</v>
      </c>
      <c r="I12619">
        <v>14224</v>
      </c>
      <c r="J12619" t="str">
        <f>VLOOKUP(E12619,DSSpieler!A:B,2,FALSE)</f>
        <v>SliXz</v>
      </c>
    </row>
    <row r="12620" spans="1:10" x14ac:dyDescent="0.25">
      <c r="A12620">
        <v>14225</v>
      </c>
      <c r="B12620" t="s">
        <v>531</v>
      </c>
      <c r="C12620">
        <v>413</v>
      </c>
      <c r="D12620">
        <v>575</v>
      </c>
      <c r="E12620">
        <v>0</v>
      </c>
      <c r="F12620">
        <v>194</v>
      </c>
      <c r="G12620">
        <v>0</v>
      </c>
      <c r="H12620" t="s">
        <v>17507</v>
      </c>
      <c r="I12620">
        <v>14225</v>
      </c>
      <c r="J12620" t="e">
        <f>VLOOKUP(E12620,DSSpieler!A:B,2,FALSE)</f>
        <v>#N/A</v>
      </c>
    </row>
    <row r="12621" spans="1:10" x14ac:dyDescent="0.25">
      <c r="A12621">
        <v>14226</v>
      </c>
      <c r="B12621" t="s">
        <v>531</v>
      </c>
      <c r="C12621">
        <v>422</v>
      </c>
      <c r="D12621">
        <v>413</v>
      </c>
      <c r="E12621">
        <v>0</v>
      </c>
      <c r="F12621">
        <v>198</v>
      </c>
      <c r="G12621">
        <v>0</v>
      </c>
      <c r="H12621" t="s">
        <v>17508</v>
      </c>
      <c r="I12621">
        <v>14226</v>
      </c>
      <c r="J12621" t="e">
        <f>VLOOKUP(E12621,DSSpieler!A:B,2,FALSE)</f>
        <v>#N/A</v>
      </c>
    </row>
    <row r="12622" spans="1:10" x14ac:dyDescent="0.25">
      <c r="A12622">
        <v>14227</v>
      </c>
      <c r="B12622" t="s">
        <v>531</v>
      </c>
      <c r="C12622">
        <v>591</v>
      </c>
      <c r="D12622">
        <v>432</v>
      </c>
      <c r="E12622">
        <v>0</v>
      </c>
      <c r="F12622">
        <v>136</v>
      </c>
      <c r="G12622">
        <v>0</v>
      </c>
      <c r="H12622" t="s">
        <v>17509</v>
      </c>
      <c r="I12622">
        <v>14227</v>
      </c>
      <c r="J12622" t="e">
        <f>VLOOKUP(E12622,DSSpieler!A:B,2,FALSE)</f>
        <v>#N/A</v>
      </c>
    </row>
    <row r="12623" spans="1:10" x14ac:dyDescent="0.25">
      <c r="A12623">
        <v>14230</v>
      </c>
      <c r="B12623" t="s">
        <v>531</v>
      </c>
      <c r="C12623">
        <v>570</v>
      </c>
      <c r="D12623">
        <v>407</v>
      </c>
      <c r="E12623">
        <v>0</v>
      </c>
      <c r="F12623">
        <v>318</v>
      </c>
      <c r="G12623">
        <v>0</v>
      </c>
      <c r="H12623" t="s">
        <v>17510</v>
      </c>
      <c r="I12623">
        <v>14230</v>
      </c>
      <c r="J12623" t="e">
        <f>VLOOKUP(E12623,DSSpieler!A:B,2,FALSE)</f>
        <v>#N/A</v>
      </c>
    </row>
    <row r="12624" spans="1:10" x14ac:dyDescent="0.25">
      <c r="A12624">
        <v>14231</v>
      </c>
      <c r="B12624" t="s">
        <v>531</v>
      </c>
      <c r="C12624">
        <v>448</v>
      </c>
      <c r="D12624">
        <v>396</v>
      </c>
      <c r="E12624">
        <v>0</v>
      </c>
      <c r="F12624">
        <v>537</v>
      </c>
      <c r="G12624">
        <v>0</v>
      </c>
      <c r="H12624" t="s">
        <v>17511</v>
      </c>
      <c r="I12624">
        <v>14231</v>
      </c>
      <c r="J12624" t="e">
        <f>VLOOKUP(E12624,DSSpieler!A:B,2,FALSE)</f>
        <v>#N/A</v>
      </c>
    </row>
    <row r="12625" spans="1:10" x14ac:dyDescent="0.25">
      <c r="A12625">
        <v>14234</v>
      </c>
      <c r="B12625" t="s">
        <v>531</v>
      </c>
      <c r="C12625">
        <v>489</v>
      </c>
      <c r="D12625">
        <v>385</v>
      </c>
      <c r="E12625">
        <v>0</v>
      </c>
      <c r="F12625">
        <v>177</v>
      </c>
      <c r="G12625">
        <v>0</v>
      </c>
      <c r="H12625" t="s">
        <v>17512</v>
      </c>
      <c r="I12625">
        <v>14234</v>
      </c>
      <c r="J12625" t="e">
        <f>VLOOKUP(E12625,DSSpieler!A:B,2,FALSE)</f>
        <v>#N/A</v>
      </c>
    </row>
    <row r="12626" spans="1:10" x14ac:dyDescent="0.25">
      <c r="A12626">
        <v>14235</v>
      </c>
      <c r="B12626" t="s">
        <v>531</v>
      </c>
      <c r="C12626">
        <v>388</v>
      </c>
      <c r="D12626">
        <v>530</v>
      </c>
      <c r="E12626">
        <v>0</v>
      </c>
      <c r="F12626">
        <v>313</v>
      </c>
      <c r="G12626">
        <v>0</v>
      </c>
      <c r="H12626" t="s">
        <v>17513</v>
      </c>
      <c r="I12626">
        <v>14235</v>
      </c>
      <c r="J12626" t="e">
        <f>VLOOKUP(E12626,DSSpieler!A:B,2,FALSE)</f>
        <v>#N/A</v>
      </c>
    </row>
    <row r="12627" spans="1:10" x14ac:dyDescent="0.25">
      <c r="A12627">
        <v>14236</v>
      </c>
      <c r="B12627" t="s">
        <v>531</v>
      </c>
      <c r="C12627">
        <v>575</v>
      </c>
      <c r="D12627">
        <v>585</v>
      </c>
      <c r="E12627">
        <v>0</v>
      </c>
      <c r="F12627">
        <v>226</v>
      </c>
      <c r="G12627">
        <v>0</v>
      </c>
      <c r="H12627" t="s">
        <v>17514</v>
      </c>
      <c r="I12627">
        <v>14236</v>
      </c>
      <c r="J12627" t="e">
        <f>VLOOKUP(E12627,DSSpieler!A:B,2,FALSE)</f>
        <v>#N/A</v>
      </c>
    </row>
    <row r="12628" spans="1:10" x14ac:dyDescent="0.25">
      <c r="A12628">
        <v>14237</v>
      </c>
      <c r="B12628" t="s">
        <v>531</v>
      </c>
      <c r="C12628">
        <v>398</v>
      </c>
      <c r="D12628">
        <v>446</v>
      </c>
      <c r="E12628">
        <v>0</v>
      </c>
      <c r="F12628">
        <v>193</v>
      </c>
      <c r="G12628">
        <v>0</v>
      </c>
      <c r="H12628" t="s">
        <v>17515</v>
      </c>
      <c r="I12628">
        <v>14237</v>
      </c>
      <c r="J12628" t="e">
        <f>VLOOKUP(E12628,DSSpieler!A:B,2,FALSE)</f>
        <v>#N/A</v>
      </c>
    </row>
    <row r="12629" spans="1:10" x14ac:dyDescent="0.25">
      <c r="A12629">
        <v>14238</v>
      </c>
      <c r="B12629" t="s">
        <v>531</v>
      </c>
      <c r="C12629">
        <v>550</v>
      </c>
      <c r="D12629">
        <v>604</v>
      </c>
      <c r="E12629">
        <v>0</v>
      </c>
      <c r="F12629">
        <v>240</v>
      </c>
      <c r="G12629">
        <v>0</v>
      </c>
      <c r="H12629" t="s">
        <v>17516</v>
      </c>
      <c r="I12629">
        <v>14238</v>
      </c>
      <c r="J12629" t="e">
        <f>VLOOKUP(E12629,DSSpieler!A:B,2,FALSE)</f>
        <v>#N/A</v>
      </c>
    </row>
    <row r="12630" spans="1:10" x14ac:dyDescent="0.25">
      <c r="A12630">
        <v>14240</v>
      </c>
      <c r="B12630" t="s">
        <v>34841</v>
      </c>
      <c r="C12630">
        <v>599</v>
      </c>
      <c r="D12630">
        <v>438</v>
      </c>
      <c r="E12630">
        <v>1576446607</v>
      </c>
      <c r="F12630">
        <v>647</v>
      </c>
      <c r="G12630">
        <v>0</v>
      </c>
      <c r="H12630" t="s">
        <v>17517</v>
      </c>
      <c r="I12630">
        <v>14240</v>
      </c>
      <c r="J12630" t="str">
        <f>VLOOKUP(E12630,DSSpieler!A:B,2,FALSE)</f>
        <v>Gbaboc</v>
      </c>
    </row>
    <row r="12631" spans="1:10" x14ac:dyDescent="0.25">
      <c r="A12631">
        <v>14241</v>
      </c>
      <c r="B12631" t="s">
        <v>34842</v>
      </c>
      <c r="C12631">
        <v>402</v>
      </c>
      <c r="D12631">
        <v>563</v>
      </c>
      <c r="E12631">
        <v>1638706</v>
      </c>
      <c r="F12631">
        <v>385</v>
      </c>
      <c r="G12631">
        <v>0</v>
      </c>
      <c r="H12631" t="s">
        <v>17518</v>
      </c>
      <c r="I12631">
        <v>14241</v>
      </c>
      <c r="J12631" t="str">
        <f>VLOOKUP(E12631,DSSpieler!A:B,2,FALSE)</f>
        <v>Raubmörder2</v>
      </c>
    </row>
    <row r="12632" spans="1:10" x14ac:dyDescent="0.25">
      <c r="A12632">
        <v>14242</v>
      </c>
      <c r="B12632" t="s">
        <v>531</v>
      </c>
      <c r="C12632">
        <v>438</v>
      </c>
      <c r="D12632">
        <v>596</v>
      </c>
      <c r="E12632">
        <v>0</v>
      </c>
      <c r="F12632">
        <v>266</v>
      </c>
      <c r="G12632">
        <v>0</v>
      </c>
      <c r="H12632" t="s">
        <v>17519</v>
      </c>
      <c r="I12632">
        <v>14242</v>
      </c>
      <c r="J12632" t="e">
        <f>VLOOKUP(E12632,DSSpieler!A:B,2,FALSE)</f>
        <v>#N/A</v>
      </c>
    </row>
    <row r="12633" spans="1:10" x14ac:dyDescent="0.25">
      <c r="A12633">
        <v>14243</v>
      </c>
      <c r="B12633" t="s">
        <v>531</v>
      </c>
      <c r="C12633">
        <v>572</v>
      </c>
      <c r="D12633">
        <v>409</v>
      </c>
      <c r="E12633">
        <v>0</v>
      </c>
      <c r="F12633">
        <v>210</v>
      </c>
      <c r="G12633">
        <v>0</v>
      </c>
      <c r="H12633" t="s">
        <v>17520</v>
      </c>
      <c r="I12633">
        <v>14243</v>
      </c>
      <c r="J12633" t="e">
        <f>VLOOKUP(E12633,DSSpieler!A:B,2,FALSE)</f>
        <v>#N/A</v>
      </c>
    </row>
    <row r="12634" spans="1:10" x14ac:dyDescent="0.25">
      <c r="A12634">
        <v>14245</v>
      </c>
      <c r="B12634" t="s">
        <v>34843</v>
      </c>
      <c r="C12634">
        <v>446</v>
      </c>
      <c r="D12634">
        <v>596</v>
      </c>
      <c r="E12634">
        <v>1577197250</v>
      </c>
      <c r="F12634">
        <v>4405</v>
      </c>
      <c r="G12634">
        <v>0</v>
      </c>
      <c r="H12634" t="s">
        <v>17521</v>
      </c>
      <c r="I12634">
        <v>14245</v>
      </c>
      <c r="J12634" t="str">
        <f>VLOOKUP(E12634,DSSpieler!A:B,2,FALSE)</f>
        <v>PurpleUnicum</v>
      </c>
    </row>
    <row r="12635" spans="1:10" x14ac:dyDescent="0.25">
      <c r="A12635">
        <v>14246</v>
      </c>
      <c r="B12635" t="s">
        <v>531</v>
      </c>
      <c r="C12635">
        <v>414</v>
      </c>
      <c r="D12635">
        <v>426</v>
      </c>
      <c r="E12635">
        <v>0</v>
      </c>
      <c r="F12635">
        <v>403</v>
      </c>
      <c r="G12635">
        <v>0</v>
      </c>
      <c r="H12635" t="s">
        <v>17522</v>
      </c>
      <c r="I12635">
        <v>14246</v>
      </c>
      <c r="J12635" t="e">
        <f>VLOOKUP(E12635,DSSpieler!A:B,2,FALSE)</f>
        <v>#N/A</v>
      </c>
    </row>
    <row r="12636" spans="1:10" x14ac:dyDescent="0.25">
      <c r="A12636">
        <v>14247</v>
      </c>
      <c r="B12636" t="s">
        <v>782</v>
      </c>
      <c r="C12636">
        <v>467</v>
      </c>
      <c r="D12636">
        <v>607</v>
      </c>
      <c r="E12636">
        <v>1577180871</v>
      </c>
      <c r="F12636">
        <v>2050</v>
      </c>
      <c r="G12636">
        <v>0</v>
      </c>
      <c r="H12636" t="s">
        <v>17523</v>
      </c>
      <c r="I12636">
        <v>14247</v>
      </c>
      <c r="J12636" t="str">
        <f>VLOOKUP(E12636,DSSpieler!A:B,2,FALSE)</f>
        <v>T0TI</v>
      </c>
    </row>
    <row r="12637" spans="1:10" x14ac:dyDescent="0.25">
      <c r="A12637">
        <v>14248</v>
      </c>
      <c r="B12637" t="s">
        <v>531</v>
      </c>
      <c r="C12637">
        <v>564</v>
      </c>
      <c r="D12637">
        <v>404</v>
      </c>
      <c r="E12637">
        <v>0</v>
      </c>
      <c r="F12637">
        <v>323</v>
      </c>
      <c r="G12637">
        <v>0</v>
      </c>
      <c r="H12637" t="s">
        <v>17524</v>
      </c>
      <c r="I12637">
        <v>14248</v>
      </c>
      <c r="J12637" t="e">
        <f>VLOOKUP(E12637,DSSpieler!A:B,2,FALSE)</f>
        <v>#N/A</v>
      </c>
    </row>
    <row r="12638" spans="1:10" x14ac:dyDescent="0.25">
      <c r="A12638">
        <v>14249</v>
      </c>
      <c r="B12638" t="s">
        <v>34844</v>
      </c>
      <c r="C12638">
        <v>412</v>
      </c>
      <c r="D12638">
        <v>495</v>
      </c>
      <c r="E12638">
        <v>1576510718</v>
      </c>
      <c r="F12638">
        <v>1181</v>
      </c>
      <c r="G12638">
        <v>0</v>
      </c>
      <c r="H12638" t="s">
        <v>17525</v>
      </c>
      <c r="I12638">
        <v>14249</v>
      </c>
      <c r="J12638" t="str">
        <f>VLOOKUP(E12638,DSSpieler!A:B,2,FALSE)</f>
        <v>OnlyHD</v>
      </c>
    </row>
    <row r="12639" spans="1:10" x14ac:dyDescent="0.25">
      <c r="A12639">
        <v>14251</v>
      </c>
      <c r="B12639" t="s">
        <v>2306</v>
      </c>
      <c r="C12639">
        <v>383</v>
      </c>
      <c r="D12639">
        <v>505</v>
      </c>
      <c r="E12639">
        <v>1577132274</v>
      </c>
      <c r="F12639">
        <v>4492</v>
      </c>
      <c r="G12639">
        <v>0</v>
      </c>
      <c r="H12639" t="s">
        <v>17526</v>
      </c>
      <c r="I12639">
        <v>14251</v>
      </c>
      <c r="J12639" t="str">
        <f>VLOOKUP(E12639,DSSpieler!A:B,2,FALSE)</f>
        <v>Why-SoS-erious</v>
      </c>
    </row>
    <row r="12640" spans="1:10" x14ac:dyDescent="0.25">
      <c r="A12640">
        <v>14252</v>
      </c>
      <c r="B12640" t="s">
        <v>531</v>
      </c>
      <c r="C12640">
        <v>415</v>
      </c>
      <c r="D12640">
        <v>420</v>
      </c>
      <c r="E12640">
        <v>0</v>
      </c>
      <c r="F12640">
        <v>177</v>
      </c>
      <c r="G12640">
        <v>0</v>
      </c>
      <c r="H12640" t="s">
        <v>17527</v>
      </c>
      <c r="I12640">
        <v>14252</v>
      </c>
      <c r="J12640" t="e">
        <f>VLOOKUP(E12640,DSSpieler!A:B,2,FALSE)</f>
        <v>#N/A</v>
      </c>
    </row>
    <row r="12641" spans="1:10" x14ac:dyDescent="0.25">
      <c r="A12641">
        <v>14253</v>
      </c>
      <c r="B12641" t="s">
        <v>531</v>
      </c>
      <c r="C12641">
        <v>614</v>
      </c>
      <c r="D12641">
        <v>474</v>
      </c>
      <c r="E12641">
        <v>0</v>
      </c>
      <c r="F12641">
        <v>183</v>
      </c>
      <c r="G12641">
        <v>0</v>
      </c>
      <c r="H12641" t="s">
        <v>17528</v>
      </c>
      <c r="I12641">
        <v>14253</v>
      </c>
      <c r="J12641" t="e">
        <f>VLOOKUP(E12641,DSSpieler!A:B,2,FALSE)</f>
        <v>#N/A</v>
      </c>
    </row>
    <row r="12642" spans="1:10" x14ac:dyDescent="0.25">
      <c r="A12642">
        <v>14254</v>
      </c>
      <c r="B12642" t="s">
        <v>531</v>
      </c>
      <c r="C12642">
        <v>526</v>
      </c>
      <c r="D12642">
        <v>610</v>
      </c>
      <c r="E12642">
        <v>0</v>
      </c>
      <c r="F12642">
        <v>301</v>
      </c>
      <c r="G12642">
        <v>0</v>
      </c>
      <c r="H12642" t="s">
        <v>17529</v>
      </c>
      <c r="I12642">
        <v>14254</v>
      </c>
      <c r="J12642" t="e">
        <f>VLOOKUP(E12642,DSSpieler!A:B,2,FALSE)</f>
        <v>#N/A</v>
      </c>
    </row>
    <row r="12643" spans="1:10" x14ac:dyDescent="0.25">
      <c r="A12643">
        <v>14255</v>
      </c>
      <c r="B12643" t="s">
        <v>2307</v>
      </c>
      <c r="C12643">
        <v>525</v>
      </c>
      <c r="D12643">
        <v>611</v>
      </c>
      <c r="E12643">
        <v>1168769</v>
      </c>
      <c r="F12643">
        <v>4434</v>
      </c>
      <c r="G12643">
        <v>0</v>
      </c>
      <c r="H12643" t="s">
        <v>17530</v>
      </c>
      <c r="I12643">
        <v>14255</v>
      </c>
      <c r="J12643" t="str">
        <f>VLOOKUP(E12643,DSSpieler!A:B,2,FALSE)</f>
        <v>andrestaar</v>
      </c>
    </row>
    <row r="12644" spans="1:10" x14ac:dyDescent="0.25">
      <c r="A12644">
        <v>14256</v>
      </c>
      <c r="B12644" t="s">
        <v>531</v>
      </c>
      <c r="C12644">
        <v>533</v>
      </c>
      <c r="D12644">
        <v>389</v>
      </c>
      <c r="E12644">
        <v>0</v>
      </c>
      <c r="F12644">
        <v>307</v>
      </c>
      <c r="G12644">
        <v>0</v>
      </c>
      <c r="H12644" t="s">
        <v>17531</v>
      </c>
      <c r="I12644">
        <v>14256</v>
      </c>
      <c r="J12644" t="e">
        <f>VLOOKUP(E12644,DSSpieler!A:B,2,FALSE)</f>
        <v>#N/A</v>
      </c>
    </row>
    <row r="12645" spans="1:10" x14ac:dyDescent="0.25">
      <c r="A12645">
        <v>14257</v>
      </c>
      <c r="B12645">
        <v>1</v>
      </c>
      <c r="C12645">
        <v>570</v>
      </c>
      <c r="D12645">
        <v>410</v>
      </c>
      <c r="E12645">
        <v>9691813</v>
      </c>
      <c r="F12645">
        <v>4313</v>
      </c>
      <c r="G12645">
        <v>0</v>
      </c>
      <c r="H12645" t="s">
        <v>17532</v>
      </c>
      <c r="I12645">
        <v>14257</v>
      </c>
      <c r="J12645" t="str">
        <f>VLOOKUP(E12645,DSSpieler!A:B,2,FALSE)</f>
        <v>Capu u Keks</v>
      </c>
    </row>
    <row r="12646" spans="1:10" x14ac:dyDescent="0.25">
      <c r="A12646">
        <v>14258</v>
      </c>
      <c r="B12646" t="s">
        <v>531</v>
      </c>
      <c r="C12646">
        <v>415</v>
      </c>
      <c r="D12646">
        <v>575</v>
      </c>
      <c r="E12646">
        <v>0</v>
      </c>
      <c r="F12646">
        <v>372</v>
      </c>
      <c r="G12646">
        <v>0</v>
      </c>
      <c r="H12646" t="s">
        <v>17533</v>
      </c>
      <c r="I12646">
        <v>14258</v>
      </c>
      <c r="J12646" t="e">
        <f>VLOOKUP(E12646,DSSpieler!A:B,2,FALSE)</f>
        <v>#N/A</v>
      </c>
    </row>
    <row r="12647" spans="1:10" x14ac:dyDescent="0.25">
      <c r="A12647">
        <v>14261</v>
      </c>
      <c r="B12647" t="s">
        <v>531</v>
      </c>
      <c r="C12647">
        <v>509</v>
      </c>
      <c r="D12647">
        <v>385</v>
      </c>
      <c r="E12647">
        <v>0</v>
      </c>
      <c r="F12647">
        <v>76</v>
      </c>
      <c r="G12647">
        <v>0</v>
      </c>
      <c r="H12647" t="s">
        <v>17534</v>
      </c>
      <c r="I12647">
        <v>14261</v>
      </c>
      <c r="J12647" t="e">
        <f>VLOOKUP(E12647,DSSpieler!A:B,2,FALSE)</f>
        <v>#N/A</v>
      </c>
    </row>
    <row r="12648" spans="1:10" x14ac:dyDescent="0.25">
      <c r="A12648">
        <v>14262</v>
      </c>
      <c r="B12648" t="s">
        <v>1182</v>
      </c>
      <c r="C12648">
        <v>610</v>
      </c>
      <c r="D12648">
        <v>461</v>
      </c>
      <c r="E12648">
        <v>1998195</v>
      </c>
      <c r="F12648">
        <v>3293</v>
      </c>
      <c r="G12648">
        <v>0</v>
      </c>
      <c r="H12648" t="s">
        <v>17535</v>
      </c>
      <c r="I12648">
        <v>14262</v>
      </c>
      <c r="J12648" t="str">
        <f>VLOOKUP(E12648,DSSpieler!A:B,2,FALSE)</f>
        <v>Neron D Arc</v>
      </c>
    </row>
    <row r="12649" spans="1:10" x14ac:dyDescent="0.25">
      <c r="A12649">
        <v>14263</v>
      </c>
      <c r="B12649" t="s">
        <v>531</v>
      </c>
      <c r="C12649">
        <v>390</v>
      </c>
      <c r="D12649">
        <v>532</v>
      </c>
      <c r="E12649">
        <v>0</v>
      </c>
      <c r="F12649">
        <v>280</v>
      </c>
      <c r="G12649">
        <v>0</v>
      </c>
      <c r="H12649" t="s">
        <v>17536</v>
      </c>
      <c r="I12649">
        <v>14263</v>
      </c>
      <c r="J12649" t="e">
        <f>VLOOKUP(E12649,DSSpieler!A:B,2,FALSE)</f>
        <v>#N/A</v>
      </c>
    </row>
    <row r="12650" spans="1:10" x14ac:dyDescent="0.25">
      <c r="A12650">
        <v>14264</v>
      </c>
      <c r="B12650" t="s">
        <v>613</v>
      </c>
      <c r="C12650">
        <v>502</v>
      </c>
      <c r="D12650">
        <v>561</v>
      </c>
      <c r="E12650">
        <v>1576785796</v>
      </c>
      <c r="F12650">
        <v>5551</v>
      </c>
      <c r="G12650">
        <v>0</v>
      </c>
      <c r="H12650" t="s">
        <v>17537</v>
      </c>
      <c r="I12650">
        <v>14264</v>
      </c>
      <c r="J12650" t="str">
        <f>VLOOKUP(E12650,DSSpieler!A:B,2,FALSE)</f>
        <v>Bpic</v>
      </c>
    </row>
    <row r="12651" spans="1:10" x14ac:dyDescent="0.25">
      <c r="A12651">
        <v>14266</v>
      </c>
      <c r="B12651" t="s">
        <v>531</v>
      </c>
      <c r="C12651">
        <v>393</v>
      </c>
      <c r="D12651">
        <v>454</v>
      </c>
      <c r="E12651">
        <v>0</v>
      </c>
      <c r="F12651">
        <v>190</v>
      </c>
      <c r="G12651">
        <v>0</v>
      </c>
      <c r="H12651" t="s">
        <v>17538</v>
      </c>
      <c r="I12651">
        <v>14266</v>
      </c>
      <c r="J12651" t="e">
        <f>VLOOKUP(E12651,DSSpieler!A:B,2,FALSE)</f>
        <v>#N/A</v>
      </c>
    </row>
    <row r="12652" spans="1:10" x14ac:dyDescent="0.25">
      <c r="A12652">
        <v>14267</v>
      </c>
      <c r="B12652" t="s">
        <v>34845</v>
      </c>
      <c r="C12652">
        <v>533</v>
      </c>
      <c r="D12652">
        <v>610</v>
      </c>
      <c r="E12652">
        <v>1577134947</v>
      </c>
      <c r="F12652">
        <v>2963</v>
      </c>
      <c r="G12652">
        <v>0</v>
      </c>
      <c r="H12652" t="s">
        <v>17539</v>
      </c>
      <c r="I12652">
        <v>14267</v>
      </c>
      <c r="J12652" t="str">
        <f>VLOOKUP(E12652,DSSpieler!A:B,2,FALSE)</f>
        <v>Seeburg</v>
      </c>
    </row>
    <row r="12653" spans="1:10" x14ac:dyDescent="0.25">
      <c r="A12653">
        <v>14268</v>
      </c>
      <c r="B12653" t="s">
        <v>34846</v>
      </c>
      <c r="C12653">
        <v>414</v>
      </c>
      <c r="D12653">
        <v>579</v>
      </c>
      <c r="E12653">
        <v>10235219</v>
      </c>
      <c r="F12653">
        <v>2881</v>
      </c>
      <c r="G12653">
        <v>0</v>
      </c>
      <c r="H12653" t="s">
        <v>17540</v>
      </c>
      <c r="I12653">
        <v>14268</v>
      </c>
      <c r="J12653" t="str">
        <f>VLOOKUP(E12653,DSSpieler!A:B,2,FALSE)</f>
        <v>ProMoise</v>
      </c>
    </row>
    <row r="12654" spans="1:10" x14ac:dyDescent="0.25">
      <c r="A12654">
        <v>14269</v>
      </c>
      <c r="B12654" t="s">
        <v>531</v>
      </c>
      <c r="C12654">
        <v>607</v>
      </c>
      <c r="D12654">
        <v>542</v>
      </c>
      <c r="E12654">
        <v>0</v>
      </c>
      <c r="F12654">
        <v>346</v>
      </c>
      <c r="G12654">
        <v>0</v>
      </c>
      <c r="H12654" t="s">
        <v>17541</v>
      </c>
      <c r="I12654">
        <v>14269</v>
      </c>
      <c r="J12654" t="e">
        <f>VLOOKUP(E12654,DSSpieler!A:B,2,FALSE)</f>
        <v>#N/A</v>
      </c>
    </row>
    <row r="12655" spans="1:10" x14ac:dyDescent="0.25">
      <c r="A12655">
        <v>14270</v>
      </c>
      <c r="B12655" t="s">
        <v>2308</v>
      </c>
      <c r="C12655">
        <v>495</v>
      </c>
      <c r="D12655">
        <v>388</v>
      </c>
      <c r="E12655">
        <v>7719918</v>
      </c>
      <c r="F12655">
        <v>2316</v>
      </c>
      <c r="G12655">
        <v>0</v>
      </c>
      <c r="H12655" t="s">
        <v>17542</v>
      </c>
      <c r="I12655">
        <v>14270</v>
      </c>
      <c r="J12655" t="str">
        <f>VLOOKUP(E12655,DSSpieler!A:B,2,FALSE)</f>
        <v>julien the king</v>
      </c>
    </row>
    <row r="12656" spans="1:10" x14ac:dyDescent="0.25">
      <c r="A12656">
        <v>14271</v>
      </c>
      <c r="B12656" t="s">
        <v>531</v>
      </c>
      <c r="C12656">
        <v>407</v>
      </c>
      <c r="D12656">
        <v>479</v>
      </c>
      <c r="E12656">
        <v>0</v>
      </c>
      <c r="F12656">
        <v>385</v>
      </c>
      <c r="G12656">
        <v>0</v>
      </c>
      <c r="H12656" t="s">
        <v>17543</v>
      </c>
      <c r="I12656">
        <v>14271</v>
      </c>
      <c r="J12656" t="e">
        <f>VLOOKUP(E12656,DSSpieler!A:B,2,FALSE)</f>
        <v>#N/A</v>
      </c>
    </row>
    <row r="12657" spans="1:10" x14ac:dyDescent="0.25">
      <c r="A12657">
        <v>14272</v>
      </c>
      <c r="B12657" t="s">
        <v>150</v>
      </c>
      <c r="C12657">
        <v>540</v>
      </c>
      <c r="D12657">
        <v>594</v>
      </c>
      <c r="E12657">
        <v>10023564</v>
      </c>
      <c r="F12657">
        <v>4943</v>
      </c>
      <c r="G12657">
        <v>0</v>
      </c>
      <c r="H12657" t="s">
        <v>17544</v>
      </c>
      <c r="I12657">
        <v>14272</v>
      </c>
      <c r="J12657" t="str">
        <f>VLOOKUP(E12657,DSSpieler!A:B,2,FALSE)</f>
        <v>Joheger95</v>
      </c>
    </row>
    <row r="12658" spans="1:10" x14ac:dyDescent="0.25">
      <c r="A12658">
        <v>14273</v>
      </c>
      <c r="B12658" t="s">
        <v>531</v>
      </c>
      <c r="C12658">
        <v>483</v>
      </c>
      <c r="D12658">
        <v>384</v>
      </c>
      <c r="E12658">
        <v>0</v>
      </c>
      <c r="F12658">
        <v>205</v>
      </c>
      <c r="G12658">
        <v>0</v>
      </c>
      <c r="H12658" t="s">
        <v>17545</v>
      </c>
      <c r="I12658">
        <v>14273</v>
      </c>
      <c r="J12658" t="e">
        <f>VLOOKUP(E12658,DSSpieler!A:B,2,FALSE)</f>
        <v>#N/A</v>
      </c>
    </row>
    <row r="12659" spans="1:10" x14ac:dyDescent="0.25">
      <c r="A12659">
        <v>14274</v>
      </c>
      <c r="B12659" t="s">
        <v>531</v>
      </c>
      <c r="C12659">
        <v>616</v>
      </c>
      <c r="D12659">
        <v>491</v>
      </c>
      <c r="E12659">
        <v>0</v>
      </c>
      <c r="F12659">
        <v>168</v>
      </c>
      <c r="G12659">
        <v>0</v>
      </c>
      <c r="H12659" t="s">
        <v>17546</v>
      </c>
      <c r="I12659">
        <v>14274</v>
      </c>
      <c r="J12659" t="e">
        <f>VLOOKUP(E12659,DSSpieler!A:B,2,FALSE)</f>
        <v>#N/A</v>
      </c>
    </row>
    <row r="12660" spans="1:10" x14ac:dyDescent="0.25">
      <c r="A12660">
        <v>14276</v>
      </c>
      <c r="B12660" t="s">
        <v>531</v>
      </c>
      <c r="C12660">
        <v>418</v>
      </c>
      <c r="D12660">
        <v>416</v>
      </c>
      <c r="E12660">
        <v>0</v>
      </c>
      <c r="F12660">
        <v>448</v>
      </c>
      <c r="G12660">
        <v>0</v>
      </c>
      <c r="H12660" t="s">
        <v>17547</v>
      </c>
      <c r="I12660">
        <v>14276</v>
      </c>
      <c r="J12660" t="e">
        <f>VLOOKUP(E12660,DSSpieler!A:B,2,FALSE)</f>
        <v>#N/A</v>
      </c>
    </row>
    <row r="12661" spans="1:10" x14ac:dyDescent="0.25">
      <c r="A12661">
        <v>14277</v>
      </c>
      <c r="B12661" t="s">
        <v>34847</v>
      </c>
      <c r="C12661">
        <v>603</v>
      </c>
      <c r="D12661">
        <v>476</v>
      </c>
      <c r="E12661">
        <v>1577196233</v>
      </c>
      <c r="F12661">
        <v>3507</v>
      </c>
      <c r="G12661">
        <v>0</v>
      </c>
      <c r="H12661" t="s">
        <v>17548</v>
      </c>
      <c r="I12661">
        <v>14277</v>
      </c>
      <c r="J12661" t="str">
        <f>VLOOKUP(E12661,DSSpieler!A:B,2,FALSE)</f>
        <v>Bakeroll</v>
      </c>
    </row>
    <row r="12662" spans="1:10" x14ac:dyDescent="0.25">
      <c r="A12662">
        <v>14278</v>
      </c>
      <c r="B12662" t="s">
        <v>34848</v>
      </c>
      <c r="C12662">
        <v>468</v>
      </c>
      <c r="D12662">
        <v>392</v>
      </c>
      <c r="E12662">
        <v>8790349</v>
      </c>
      <c r="F12662">
        <v>3310</v>
      </c>
      <c r="G12662">
        <v>0</v>
      </c>
      <c r="H12662" t="s">
        <v>17549</v>
      </c>
      <c r="I12662">
        <v>14278</v>
      </c>
      <c r="J12662" t="str">
        <f>VLOOKUP(E12662,DSSpieler!A:B,2,FALSE)</f>
        <v>.King-Dani.</v>
      </c>
    </row>
    <row r="12663" spans="1:10" x14ac:dyDescent="0.25">
      <c r="A12663">
        <v>14279</v>
      </c>
      <c r="B12663" t="s">
        <v>2309</v>
      </c>
      <c r="C12663">
        <v>407</v>
      </c>
      <c r="D12663">
        <v>566</v>
      </c>
      <c r="E12663">
        <v>1577197958</v>
      </c>
      <c r="F12663">
        <v>1401</v>
      </c>
      <c r="G12663">
        <v>0</v>
      </c>
      <c r="H12663" t="s">
        <v>17550</v>
      </c>
      <c r="I12663">
        <v>14279</v>
      </c>
      <c r="J12663" t="str">
        <f>VLOOKUP(E12663,DSSpieler!A:B,2,FALSE)</f>
        <v>Elastris</v>
      </c>
    </row>
    <row r="12664" spans="1:10" x14ac:dyDescent="0.25">
      <c r="A12664">
        <v>14280</v>
      </c>
      <c r="B12664" t="s">
        <v>531</v>
      </c>
      <c r="C12664">
        <v>570</v>
      </c>
      <c r="D12664">
        <v>592</v>
      </c>
      <c r="E12664">
        <v>0</v>
      </c>
      <c r="F12664">
        <v>835</v>
      </c>
      <c r="G12664">
        <v>0</v>
      </c>
      <c r="H12664" t="s">
        <v>17551</v>
      </c>
      <c r="I12664">
        <v>14280</v>
      </c>
      <c r="J12664" t="e">
        <f>VLOOKUP(E12664,DSSpieler!A:B,2,FALSE)</f>
        <v>#N/A</v>
      </c>
    </row>
    <row r="12665" spans="1:10" x14ac:dyDescent="0.25">
      <c r="A12665">
        <v>14281</v>
      </c>
      <c r="B12665" t="s">
        <v>531</v>
      </c>
      <c r="C12665">
        <v>464</v>
      </c>
      <c r="D12665">
        <v>611</v>
      </c>
      <c r="E12665">
        <v>0</v>
      </c>
      <c r="F12665">
        <v>2116</v>
      </c>
      <c r="G12665">
        <v>0</v>
      </c>
      <c r="H12665" t="s">
        <v>17552</v>
      </c>
      <c r="I12665">
        <v>14281</v>
      </c>
      <c r="J12665" t="e">
        <f>VLOOKUP(E12665,DSSpieler!A:B,2,FALSE)</f>
        <v>#N/A</v>
      </c>
    </row>
    <row r="12666" spans="1:10" x14ac:dyDescent="0.25">
      <c r="A12666">
        <v>14282</v>
      </c>
      <c r="B12666" t="s">
        <v>531</v>
      </c>
      <c r="C12666">
        <v>421</v>
      </c>
      <c r="D12666">
        <v>585</v>
      </c>
      <c r="E12666">
        <v>0</v>
      </c>
      <c r="F12666">
        <v>339</v>
      </c>
      <c r="G12666">
        <v>0</v>
      </c>
      <c r="H12666" t="s">
        <v>17553</v>
      </c>
      <c r="I12666">
        <v>14282</v>
      </c>
      <c r="J12666" t="e">
        <f>VLOOKUP(E12666,DSSpieler!A:B,2,FALSE)</f>
        <v>#N/A</v>
      </c>
    </row>
    <row r="12667" spans="1:10" x14ac:dyDescent="0.25">
      <c r="A12667">
        <v>14283</v>
      </c>
      <c r="B12667">
        <v>1</v>
      </c>
      <c r="C12667">
        <v>407</v>
      </c>
      <c r="D12667">
        <v>471</v>
      </c>
      <c r="E12667">
        <v>10267140</v>
      </c>
      <c r="F12667">
        <v>3959</v>
      </c>
      <c r="G12667">
        <v>0</v>
      </c>
      <c r="H12667" t="s">
        <v>17554</v>
      </c>
      <c r="I12667">
        <v>14283</v>
      </c>
      <c r="J12667" t="str">
        <f>VLOOKUP(E12667,DSSpieler!A:B,2,FALSE)</f>
        <v>Gudanggaram</v>
      </c>
    </row>
    <row r="12668" spans="1:10" x14ac:dyDescent="0.25">
      <c r="A12668">
        <v>14284</v>
      </c>
      <c r="B12668" t="s">
        <v>979</v>
      </c>
      <c r="C12668">
        <v>524</v>
      </c>
      <c r="D12668">
        <v>600</v>
      </c>
      <c r="E12668">
        <v>1577198370</v>
      </c>
      <c r="F12668">
        <v>3916</v>
      </c>
      <c r="G12668">
        <v>0</v>
      </c>
      <c r="H12668" t="s">
        <v>17555</v>
      </c>
      <c r="I12668">
        <v>14284</v>
      </c>
      <c r="J12668" t="str">
        <f>VLOOKUP(E12668,DSSpieler!A:B,2,FALSE)</f>
        <v>Cludeo</v>
      </c>
    </row>
    <row r="12669" spans="1:10" x14ac:dyDescent="0.25">
      <c r="A12669">
        <v>14285</v>
      </c>
      <c r="B12669" t="s">
        <v>531</v>
      </c>
      <c r="C12669">
        <v>390</v>
      </c>
      <c r="D12669">
        <v>462</v>
      </c>
      <c r="E12669">
        <v>0</v>
      </c>
      <c r="F12669">
        <v>146</v>
      </c>
      <c r="G12669">
        <v>0</v>
      </c>
      <c r="H12669" t="s">
        <v>17556</v>
      </c>
      <c r="I12669">
        <v>14285</v>
      </c>
      <c r="J12669" t="e">
        <f>VLOOKUP(E12669,DSSpieler!A:B,2,FALSE)</f>
        <v>#N/A</v>
      </c>
    </row>
    <row r="12670" spans="1:10" x14ac:dyDescent="0.25">
      <c r="A12670">
        <v>14287</v>
      </c>
      <c r="B12670" t="s">
        <v>34849</v>
      </c>
      <c r="C12670">
        <v>424</v>
      </c>
      <c r="D12670">
        <v>408</v>
      </c>
      <c r="E12670">
        <v>1789761</v>
      </c>
      <c r="F12670">
        <v>5462</v>
      </c>
      <c r="G12670">
        <v>0</v>
      </c>
      <c r="H12670" t="s">
        <v>17557</v>
      </c>
      <c r="I12670">
        <v>14287</v>
      </c>
      <c r="J12670" t="str">
        <f>VLOOKUP(E12670,DSSpieler!A:B,2,FALSE)</f>
        <v>Leonardo di Caprisonne</v>
      </c>
    </row>
    <row r="12671" spans="1:10" x14ac:dyDescent="0.25">
      <c r="A12671">
        <v>14288</v>
      </c>
      <c r="B12671" t="s">
        <v>531</v>
      </c>
      <c r="C12671">
        <v>504</v>
      </c>
      <c r="D12671">
        <v>615</v>
      </c>
      <c r="E12671">
        <v>0</v>
      </c>
      <c r="F12671">
        <v>403</v>
      </c>
      <c r="G12671">
        <v>0</v>
      </c>
      <c r="H12671" t="s">
        <v>17558</v>
      </c>
      <c r="I12671">
        <v>14288</v>
      </c>
      <c r="J12671" t="e">
        <f>VLOOKUP(E12671,DSSpieler!A:B,2,FALSE)</f>
        <v>#N/A</v>
      </c>
    </row>
    <row r="12672" spans="1:10" x14ac:dyDescent="0.25">
      <c r="A12672">
        <v>14289</v>
      </c>
      <c r="B12672" t="s">
        <v>531</v>
      </c>
      <c r="C12672">
        <v>548</v>
      </c>
      <c r="D12672">
        <v>603</v>
      </c>
      <c r="E12672">
        <v>0</v>
      </c>
      <c r="F12672">
        <v>356</v>
      </c>
      <c r="G12672">
        <v>0</v>
      </c>
      <c r="H12672" t="s">
        <v>17559</v>
      </c>
      <c r="I12672">
        <v>14289</v>
      </c>
      <c r="J12672" t="e">
        <f>VLOOKUP(E12672,DSSpieler!A:B,2,FALSE)</f>
        <v>#N/A</v>
      </c>
    </row>
    <row r="12673" spans="1:10" x14ac:dyDescent="0.25">
      <c r="A12673">
        <v>14292</v>
      </c>
      <c r="B12673" t="s">
        <v>2310</v>
      </c>
      <c r="C12673">
        <v>579</v>
      </c>
      <c r="D12673">
        <v>580</v>
      </c>
      <c r="E12673">
        <v>1577200737</v>
      </c>
      <c r="F12673">
        <v>1786</v>
      </c>
      <c r="G12673">
        <v>0</v>
      </c>
      <c r="H12673" t="s">
        <v>17560</v>
      </c>
      <c r="I12673">
        <v>14292</v>
      </c>
      <c r="J12673" t="str">
        <f>VLOOKUP(E12673,DSSpieler!A:B,2,FALSE)</f>
        <v>konfuzius16</v>
      </c>
    </row>
    <row r="12674" spans="1:10" x14ac:dyDescent="0.25">
      <c r="A12674">
        <v>14293</v>
      </c>
      <c r="B12674" t="s">
        <v>34850</v>
      </c>
      <c r="C12674">
        <v>577</v>
      </c>
      <c r="D12674">
        <v>578</v>
      </c>
      <c r="E12674">
        <v>1577200738</v>
      </c>
      <c r="F12674">
        <v>2011</v>
      </c>
      <c r="G12674">
        <v>0</v>
      </c>
      <c r="H12674" t="s">
        <v>17561</v>
      </c>
      <c r="I12674">
        <v>14293</v>
      </c>
      <c r="J12674" t="str">
        <f>VLOOKUP(E12674,DSSpieler!A:B,2,FALSE)</f>
        <v>oli42</v>
      </c>
    </row>
    <row r="12675" spans="1:10" x14ac:dyDescent="0.25">
      <c r="A12675">
        <v>14294</v>
      </c>
      <c r="B12675" t="s">
        <v>531</v>
      </c>
      <c r="C12675">
        <v>548</v>
      </c>
      <c r="D12675">
        <v>607</v>
      </c>
      <c r="E12675">
        <v>0</v>
      </c>
      <c r="F12675">
        <v>493</v>
      </c>
      <c r="G12675">
        <v>0</v>
      </c>
      <c r="H12675" t="s">
        <v>17562</v>
      </c>
      <c r="I12675">
        <v>14294</v>
      </c>
      <c r="J12675" t="e">
        <f>VLOOKUP(E12675,DSSpieler!A:B,2,FALSE)</f>
        <v>#N/A</v>
      </c>
    </row>
    <row r="12676" spans="1:10" x14ac:dyDescent="0.25">
      <c r="A12676">
        <v>14295</v>
      </c>
      <c r="B12676" t="s">
        <v>34851</v>
      </c>
      <c r="C12676">
        <v>495</v>
      </c>
      <c r="D12676">
        <v>385</v>
      </c>
      <c r="E12676">
        <v>1577196855</v>
      </c>
      <c r="F12676">
        <v>3013</v>
      </c>
      <c r="G12676">
        <v>0</v>
      </c>
      <c r="H12676" t="s">
        <v>17563</v>
      </c>
      <c r="I12676">
        <v>14295</v>
      </c>
      <c r="J12676" t="str">
        <f>VLOOKUP(E12676,DSSpieler!A:B,2,FALSE)</f>
        <v>Jocki</v>
      </c>
    </row>
    <row r="12677" spans="1:10" x14ac:dyDescent="0.25">
      <c r="A12677">
        <v>14296</v>
      </c>
      <c r="B12677" t="s">
        <v>531</v>
      </c>
      <c r="C12677">
        <v>616</v>
      </c>
      <c r="D12677">
        <v>518</v>
      </c>
      <c r="E12677">
        <v>0</v>
      </c>
      <c r="F12677">
        <v>205</v>
      </c>
      <c r="G12677">
        <v>0</v>
      </c>
      <c r="H12677" t="s">
        <v>17564</v>
      </c>
      <c r="I12677">
        <v>14296</v>
      </c>
      <c r="J12677" t="e">
        <f>VLOOKUP(E12677,DSSpieler!A:B,2,FALSE)</f>
        <v>#N/A</v>
      </c>
    </row>
    <row r="12678" spans="1:10" x14ac:dyDescent="0.25">
      <c r="A12678">
        <v>14297</v>
      </c>
      <c r="B12678" t="s">
        <v>34852</v>
      </c>
      <c r="C12678">
        <v>508</v>
      </c>
      <c r="D12678">
        <v>385</v>
      </c>
      <c r="E12678">
        <v>3485059</v>
      </c>
      <c r="F12678">
        <v>3470</v>
      </c>
      <c r="G12678">
        <v>0</v>
      </c>
      <c r="H12678" t="s">
        <v>17565</v>
      </c>
      <c r="I12678">
        <v>14297</v>
      </c>
      <c r="J12678" t="str">
        <f>VLOOKUP(E12678,DSSpieler!A:B,2,FALSE)</f>
        <v>esterhazy</v>
      </c>
    </row>
    <row r="12679" spans="1:10" x14ac:dyDescent="0.25">
      <c r="A12679">
        <v>14298</v>
      </c>
      <c r="B12679" t="s">
        <v>531</v>
      </c>
      <c r="C12679">
        <v>391</v>
      </c>
      <c r="D12679">
        <v>471</v>
      </c>
      <c r="E12679">
        <v>0</v>
      </c>
      <c r="F12679">
        <v>220</v>
      </c>
      <c r="G12679">
        <v>0</v>
      </c>
      <c r="H12679" t="s">
        <v>17566</v>
      </c>
      <c r="I12679">
        <v>14298</v>
      </c>
      <c r="J12679" t="e">
        <f>VLOOKUP(E12679,DSSpieler!A:B,2,FALSE)</f>
        <v>#N/A</v>
      </c>
    </row>
    <row r="12680" spans="1:10" x14ac:dyDescent="0.25">
      <c r="A12680">
        <v>14301</v>
      </c>
      <c r="B12680" t="s">
        <v>34853</v>
      </c>
      <c r="C12680">
        <v>387</v>
      </c>
      <c r="D12680">
        <v>497</v>
      </c>
      <c r="E12680">
        <v>1576039154</v>
      </c>
      <c r="F12680">
        <v>1402</v>
      </c>
      <c r="G12680">
        <v>0</v>
      </c>
      <c r="H12680" t="s">
        <v>17567</v>
      </c>
      <c r="I12680">
        <v>14301</v>
      </c>
      <c r="J12680" t="str">
        <f>VLOOKUP(E12680,DSSpieler!A:B,2,FALSE)</f>
        <v>Der Stammälteste</v>
      </c>
    </row>
    <row r="12681" spans="1:10" x14ac:dyDescent="0.25">
      <c r="A12681">
        <v>14302</v>
      </c>
      <c r="B12681" t="s">
        <v>531</v>
      </c>
      <c r="C12681">
        <v>429</v>
      </c>
      <c r="D12681">
        <v>409</v>
      </c>
      <c r="E12681">
        <v>0</v>
      </c>
      <c r="F12681">
        <v>131</v>
      </c>
      <c r="G12681">
        <v>0</v>
      </c>
      <c r="H12681" t="s">
        <v>17568</v>
      </c>
      <c r="I12681">
        <v>14302</v>
      </c>
      <c r="J12681" t="e">
        <f>VLOOKUP(E12681,DSSpieler!A:B,2,FALSE)</f>
        <v>#N/A</v>
      </c>
    </row>
    <row r="12682" spans="1:10" x14ac:dyDescent="0.25">
      <c r="A12682">
        <v>14303</v>
      </c>
      <c r="B12682" t="s">
        <v>2311</v>
      </c>
      <c r="C12682">
        <v>580</v>
      </c>
      <c r="D12682">
        <v>416</v>
      </c>
      <c r="E12682">
        <v>1577200902</v>
      </c>
      <c r="F12682">
        <v>1828</v>
      </c>
      <c r="G12682">
        <v>0</v>
      </c>
      <c r="H12682" t="s">
        <v>17569</v>
      </c>
      <c r="I12682">
        <v>14303</v>
      </c>
      <c r="J12682" t="str">
        <f>VLOOKUP(E12682,DSSpieler!A:B,2,FALSE)</f>
        <v>Hinni Labrador</v>
      </c>
    </row>
    <row r="12683" spans="1:10" x14ac:dyDescent="0.25">
      <c r="A12683">
        <v>14304</v>
      </c>
      <c r="B12683" t="s">
        <v>531</v>
      </c>
      <c r="C12683">
        <v>387</v>
      </c>
      <c r="D12683">
        <v>492</v>
      </c>
      <c r="E12683">
        <v>0</v>
      </c>
      <c r="F12683">
        <v>268</v>
      </c>
      <c r="G12683">
        <v>0</v>
      </c>
      <c r="H12683" t="s">
        <v>17570</v>
      </c>
      <c r="I12683">
        <v>14304</v>
      </c>
      <c r="J12683" t="e">
        <f>VLOOKUP(E12683,DSSpieler!A:B,2,FALSE)</f>
        <v>#N/A</v>
      </c>
    </row>
    <row r="12684" spans="1:10" x14ac:dyDescent="0.25">
      <c r="A12684">
        <v>14305</v>
      </c>
      <c r="B12684" t="s">
        <v>531</v>
      </c>
      <c r="C12684">
        <v>617</v>
      </c>
      <c r="D12684">
        <v>509</v>
      </c>
      <c r="E12684">
        <v>0</v>
      </c>
      <c r="F12684">
        <v>204</v>
      </c>
      <c r="G12684">
        <v>0</v>
      </c>
      <c r="H12684" t="s">
        <v>17571</v>
      </c>
      <c r="I12684">
        <v>14305</v>
      </c>
      <c r="J12684" t="e">
        <f>VLOOKUP(E12684,DSSpieler!A:B,2,FALSE)</f>
        <v>#N/A</v>
      </c>
    </row>
    <row r="12685" spans="1:10" x14ac:dyDescent="0.25">
      <c r="A12685">
        <v>14306</v>
      </c>
      <c r="B12685" t="s">
        <v>34854</v>
      </c>
      <c r="C12685">
        <v>505</v>
      </c>
      <c r="D12685">
        <v>394</v>
      </c>
      <c r="E12685">
        <v>1577181266</v>
      </c>
      <c r="F12685">
        <v>3952</v>
      </c>
      <c r="G12685">
        <v>0</v>
      </c>
      <c r="H12685" t="s">
        <v>17572</v>
      </c>
      <c r="I12685">
        <v>14306</v>
      </c>
      <c r="J12685" t="str">
        <f>VLOOKUP(E12685,DSSpieler!A:B,2,FALSE)</f>
        <v>Vumas</v>
      </c>
    </row>
    <row r="12686" spans="1:10" x14ac:dyDescent="0.25">
      <c r="A12686">
        <v>14307</v>
      </c>
      <c r="B12686" t="s">
        <v>531</v>
      </c>
      <c r="C12686">
        <v>524</v>
      </c>
      <c r="D12686">
        <v>602</v>
      </c>
      <c r="E12686">
        <v>0</v>
      </c>
      <c r="F12686">
        <v>595</v>
      </c>
      <c r="G12686">
        <v>0</v>
      </c>
      <c r="H12686" t="s">
        <v>17573</v>
      </c>
      <c r="I12686">
        <v>14307</v>
      </c>
      <c r="J12686" t="e">
        <f>VLOOKUP(E12686,DSSpieler!A:B,2,FALSE)</f>
        <v>#N/A</v>
      </c>
    </row>
    <row r="12687" spans="1:10" x14ac:dyDescent="0.25">
      <c r="A12687">
        <v>14308</v>
      </c>
      <c r="B12687" t="s">
        <v>531</v>
      </c>
      <c r="C12687">
        <v>444</v>
      </c>
      <c r="D12687">
        <v>598</v>
      </c>
      <c r="E12687">
        <v>0</v>
      </c>
      <c r="F12687">
        <v>163</v>
      </c>
      <c r="G12687">
        <v>0</v>
      </c>
      <c r="H12687" t="s">
        <v>17574</v>
      </c>
      <c r="I12687">
        <v>14308</v>
      </c>
      <c r="J12687" t="e">
        <f>VLOOKUP(E12687,DSSpieler!A:B,2,FALSE)</f>
        <v>#N/A</v>
      </c>
    </row>
    <row r="12688" spans="1:10" x14ac:dyDescent="0.25">
      <c r="A12688">
        <v>14309</v>
      </c>
      <c r="B12688" t="s">
        <v>531</v>
      </c>
      <c r="C12688">
        <v>594</v>
      </c>
      <c r="D12688">
        <v>432</v>
      </c>
      <c r="E12688">
        <v>0</v>
      </c>
      <c r="F12688">
        <v>409</v>
      </c>
      <c r="G12688">
        <v>0</v>
      </c>
      <c r="H12688" t="s">
        <v>17575</v>
      </c>
      <c r="I12688">
        <v>14309</v>
      </c>
      <c r="J12688" t="e">
        <f>VLOOKUP(E12688,DSSpieler!A:B,2,FALSE)</f>
        <v>#N/A</v>
      </c>
    </row>
    <row r="12689" spans="1:10" x14ac:dyDescent="0.25">
      <c r="A12689">
        <v>14310</v>
      </c>
      <c r="B12689" t="s">
        <v>531</v>
      </c>
      <c r="C12689">
        <v>593</v>
      </c>
      <c r="D12689">
        <v>567</v>
      </c>
      <c r="E12689">
        <v>0</v>
      </c>
      <c r="F12689">
        <v>384</v>
      </c>
      <c r="G12689">
        <v>0</v>
      </c>
      <c r="H12689" t="s">
        <v>17576</v>
      </c>
      <c r="I12689">
        <v>14310</v>
      </c>
      <c r="J12689" t="e">
        <f>VLOOKUP(E12689,DSSpieler!A:B,2,FALSE)</f>
        <v>#N/A</v>
      </c>
    </row>
    <row r="12690" spans="1:10" x14ac:dyDescent="0.25">
      <c r="A12690">
        <v>14311</v>
      </c>
      <c r="B12690" t="s">
        <v>531</v>
      </c>
      <c r="C12690">
        <v>588</v>
      </c>
      <c r="D12690">
        <v>422</v>
      </c>
      <c r="E12690">
        <v>0</v>
      </c>
      <c r="F12690">
        <v>213</v>
      </c>
      <c r="G12690">
        <v>0</v>
      </c>
      <c r="H12690" t="s">
        <v>17577</v>
      </c>
      <c r="I12690">
        <v>14311</v>
      </c>
      <c r="J12690" t="e">
        <f>VLOOKUP(E12690,DSSpieler!A:B,2,FALSE)</f>
        <v>#N/A</v>
      </c>
    </row>
    <row r="12691" spans="1:10" x14ac:dyDescent="0.25">
      <c r="A12691">
        <v>14313</v>
      </c>
      <c r="B12691" t="s">
        <v>34855</v>
      </c>
      <c r="C12691">
        <v>514</v>
      </c>
      <c r="D12691">
        <v>614</v>
      </c>
      <c r="E12691">
        <v>9237489</v>
      </c>
      <c r="F12691">
        <v>4165</v>
      </c>
      <c r="G12691">
        <v>0</v>
      </c>
      <c r="H12691" t="s">
        <v>17578</v>
      </c>
      <c r="I12691">
        <v>14313</v>
      </c>
      <c r="J12691" t="str">
        <f>VLOOKUP(E12691,DSSpieler!A:B,2,FALSE)</f>
        <v>Pettiwa</v>
      </c>
    </row>
    <row r="12692" spans="1:10" x14ac:dyDescent="0.25">
      <c r="A12692">
        <v>14314</v>
      </c>
      <c r="B12692" t="s">
        <v>34856</v>
      </c>
      <c r="C12692">
        <v>388</v>
      </c>
      <c r="D12692">
        <v>531</v>
      </c>
      <c r="E12692">
        <v>9457258</v>
      </c>
      <c r="F12692">
        <v>5162</v>
      </c>
      <c r="G12692">
        <v>0</v>
      </c>
      <c r="H12692" t="s">
        <v>17579</v>
      </c>
      <c r="I12692">
        <v>14314</v>
      </c>
      <c r="J12692" t="str">
        <f>VLOOKUP(E12692,DSSpieler!A:B,2,FALSE)</f>
        <v>Therux1122</v>
      </c>
    </row>
    <row r="12693" spans="1:10" x14ac:dyDescent="0.25">
      <c r="A12693">
        <v>14315</v>
      </c>
      <c r="B12693" t="s">
        <v>531</v>
      </c>
      <c r="C12693">
        <v>429</v>
      </c>
      <c r="D12693">
        <v>587</v>
      </c>
      <c r="E12693">
        <v>0</v>
      </c>
      <c r="F12693">
        <v>593</v>
      </c>
      <c r="G12693">
        <v>0</v>
      </c>
      <c r="H12693" t="s">
        <v>17580</v>
      </c>
      <c r="I12693">
        <v>14315</v>
      </c>
      <c r="J12693" t="e">
        <f>VLOOKUP(E12693,DSSpieler!A:B,2,FALSE)</f>
        <v>#N/A</v>
      </c>
    </row>
    <row r="12694" spans="1:10" x14ac:dyDescent="0.25">
      <c r="A12694">
        <v>14317</v>
      </c>
      <c r="B12694" t="s">
        <v>34857</v>
      </c>
      <c r="C12694">
        <v>500</v>
      </c>
      <c r="D12694">
        <v>453</v>
      </c>
      <c r="E12694">
        <v>1576955646</v>
      </c>
      <c r="F12694">
        <v>5535</v>
      </c>
      <c r="G12694">
        <v>0</v>
      </c>
      <c r="H12694" t="s">
        <v>17581</v>
      </c>
      <c r="I12694">
        <v>14317</v>
      </c>
      <c r="J12694" t="str">
        <f>VLOOKUP(E12694,DSSpieler!A:B,2,FALSE)</f>
        <v>mofugga</v>
      </c>
    </row>
    <row r="12695" spans="1:10" x14ac:dyDescent="0.25">
      <c r="A12695">
        <v>14318</v>
      </c>
      <c r="B12695" t="s">
        <v>34858</v>
      </c>
      <c r="C12695">
        <v>499</v>
      </c>
      <c r="D12695">
        <v>385</v>
      </c>
      <c r="E12695">
        <v>1576459902</v>
      </c>
      <c r="F12695">
        <v>46</v>
      </c>
      <c r="G12695">
        <v>0</v>
      </c>
      <c r="H12695" t="s">
        <v>17582</v>
      </c>
      <c r="I12695">
        <v>14318</v>
      </c>
      <c r="J12695" t="str">
        <f>VLOOKUP(E12695,DSSpieler!A:B,2,FALSE)</f>
        <v>oldmarcel</v>
      </c>
    </row>
    <row r="12696" spans="1:10" x14ac:dyDescent="0.25">
      <c r="A12696">
        <v>14319</v>
      </c>
      <c r="B12696" t="s">
        <v>531</v>
      </c>
      <c r="C12696">
        <v>396</v>
      </c>
      <c r="D12696">
        <v>546</v>
      </c>
      <c r="E12696">
        <v>0</v>
      </c>
      <c r="F12696">
        <v>180</v>
      </c>
      <c r="G12696">
        <v>0</v>
      </c>
      <c r="H12696" t="s">
        <v>17583</v>
      </c>
      <c r="I12696">
        <v>14319</v>
      </c>
      <c r="J12696" t="e">
        <f>VLOOKUP(E12696,DSSpieler!A:B,2,FALSE)</f>
        <v>#N/A</v>
      </c>
    </row>
    <row r="12697" spans="1:10" x14ac:dyDescent="0.25">
      <c r="A12697">
        <v>14320</v>
      </c>
      <c r="B12697" t="s">
        <v>531</v>
      </c>
      <c r="C12697">
        <v>598</v>
      </c>
      <c r="D12697">
        <v>556</v>
      </c>
      <c r="E12697">
        <v>0</v>
      </c>
      <c r="F12697">
        <v>114</v>
      </c>
      <c r="G12697">
        <v>0</v>
      </c>
      <c r="H12697" t="s">
        <v>17584</v>
      </c>
      <c r="I12697">
        <v>14320</v>
      </c>
      <c r="J12697" t="e">
        <f>VLOOKUP(E12697,DSSpieler!A:B,2,FALSE)</f>
        <v>#N/A</v>
      </c>
    </row>
    <row r="12698" spans="1:10" x14ac:dyDescent="0.25">
      <c r="A12698">
        <v>14321</v>
      </c>
      <c r="B12698" t="s">
        <v>531</v>
      </c>
      <c r="C12698">
        <v>601</v>
      </c>
      <c r="D12698">
        <v>440</v>
      </c>
      <c r="E12698">
        <v>0</v>
      </c>
      <c r="F12698">
        <v>118</v>
      </c>
      <c r="G12698">
        <v>0</v>
      </c>
      <c r="H12698" t="s">
        <v>17585</v>
      </c>
      <c r="I12698">
        <v>14321</v>
      </c>
      <c r="J12698" t="e">
        <f>VLOOKUP(E12698,DSSpieler!A:B,2,FALSE)</f>
        <v>#N/A</v>
      </c>
    </row>
    <row r="12699" spans="1:10" x14ac:dyDescent="0.25">
      <c r="A12699">
        <v>14322</v>
      </c>
      <c r="B12699" t="s">
        <v>531</v>
      </c>
      <c r="C12699">
        <v>458</v>
      </c>
      <c r="D12699">
        <v>391</v>
      </c>
      <c r="E12699">
        <v>0</v>
      </c>
      <c r="F12699">
        <v>114</v>
      </c>
      <c r="G12699">
        <v>0</v>
      </c>
      <c r="H12699" t="s">
        <v>17586</v>
      </c>
      <c r="I12699">
        <v>14322</v>
      </c>
      <c r="J12699" t="e">
        <f>VLOOKUP(E12699,DSSpieler!A:B,2,FALSE)</f>
        <v>#N/A</v>
      </c>
    </row>
    <row r="12700" spans="1:10" x14ac:dyDescent="0.25">
      <c r="A12700">
        <v>14323</v>
      </c>
      <c r="B12700" t="s">
        <v>531</v>
      </c>
      <c r="C12700">
        <v>577</v>
      </c>
      <c r="D12700">
        <v>588</v>
      </c>
      <c r="E12700">
        <v>0</v>
      </c>
      <c r="F12700">
        <v>190</v>
      </c>
      <c r="G12700">
        <v>0</v>
      </c>
      <c r="H12700" t="s">
        <v>17587</v>
      </c>
      <c r="I12700">
        <v>14323</v>
      </c>
      <c r="J12700" t="e">
        <f>VLOOKUP(E12700,DSSpieler!A:B,2,FALSE)</f>
        <v>#N/A</v>
      </c>
    </row>
    <row r="12701" spans="1:10" x14ac:dyDescent="0.25">
      <c r="A12701">
        <v>14324</v>
      </c>
      <c r="B12701" t="s">
        <v>33632</v>
      </c>
      <c r="C12701">
        <v>598</v>
      </c>
      <c r="D12701">
        <v>442</v>
      </c>
      <c r="E12701">
        <v>8300935</v>
      </c>
      <c r="F12701">
        <v>3269</v>
      </c>
      <c r="G12701">
        <v>0</v>
      </c>
      <c r="H12701" t="s">
        <v>17588</v>
      </c>
      <c r="I12701">
        <v>14324</v>
      </c>
      <c r="J12701" t="str">
        <f>VLOOKUP(E12701,DSSpieler!A:B,2,FALSE)</f>
        <v>Bashtime?</v>
      </c>
    </row>
    <row r="12702" spans="1:10" x14ac:dyDescent="0.25">
      <c r="A12702">
        <v>14325</v>
      </c>
      <c r="B12702" t="s">
        <v>531</v>
      </c>
      <c r="C12702">
        <v>439</v>
      </c>
      <c r="D12702">
        <v>601</v>
      </c>
      <c r="E12702">
        <v>0</v>
      </c>
      <c r="F12702">
        <v>74</v>
      </c>
      <c r="G12702">
        <v>0</v>
      </c>
      <c r="H12702" t="s">
        <v>17589</v>
      </c>
      <c r="I12702">
        <v>14325</v>
      </c>
      <c r="J12702" t="e">
        <f>VLOOKUP(E12702,DSSpieler!A:B,2,FALSE)</f>
        <v>#N/A</v>
      </c>
    </row>
    <row r="12703" spans="1:10" x14ac:dyDescent="0.25">
      <c r="A12703">
        <v>14326</v>
      </c>
      <c r="B12703" t="s">
        <v>2312</v>
      </c>
      <c r="C12703">
        <v>593</v>
      </c>
      <c r="D12703">
        <v>443</v>
      </c>
      <c r="E12703">
        <v>1576833093</v>
      </c>
      <c r="F12703">
        <v>4233</v>
      </c>
      <c r="G12703">
        <v>0</v>
      </c>
      <c r="H12703" t="s">
        <v>17590</v>
      </c>
      <c r="I12703">
        <v>14326</v>
      </c>
      <c r="J12703" t="str">
        <f>VLOOKUP(E12703,DSSpieler!A:B,2,FALSE)</f>
        <v>Schnubbo</v>
      </c>
    </row>
    <row r="12704" spans="1:10" x14ac:dyDescent="0.25">
      <c r="A12704">
        <v>14327</v>
      </c>
      <c r="B12704" t="s">
        <v>531</v>
      </c>
      <c r="C12704">
        <v>596</v>
      </c>
      <c r="D12704">
        <v>437</v>
      </c>
      <c r="E12704">
        <v>0</v>
      </c>
      <c r="F12704">
        <v>609</v>
      </c>
      <c r="G12704">
        <v>0</v>
      </c>
      <c r="H12704" t="s">
        <v>17591</v>
      </c>
      <c r="I12704">
        <v>14327</v>
      </c>
      <c r="J12704" t="e">
        <f>VLOOKUP(E12704,DSSpieler!A:B,2,FALSE)</f>
        <v>#N/A</v>
      </c>
    </row>
    <row r="12705" spans="1:10" x14ac:dyDescent="0.25">
      <c r="A12705">
        <v>14329</v>
      </c>
      <c r="B12705" t="s">
        <v>1570</v>
      </c>
      <c r="C12705">
        <v>405</v>
      </c>
      <c r="D12705">
        <v>529</v>
      </c>
      <c r="E12705">
        <v>9806947</v>
      </c>
      <c r="F12705">
        <v>5614</v>
      </c>
      <c r="G12705">
        <v>0</v>
      </c>
      <c r="H12705" t="s">
        <v>17592</v>
      </c>
      <c r="I12705">
        <v>14329</v>
      </c>
      <c r="J12705" t="str">
        <f>VLOOKUP(E12705,DSSpieler!A:B,2,FALSE)</f>
        <v>TTinglE</v>
      </c>
    </row>
    <row r="12706" spans="1:10" x14ac:dyDescent="0.25">
      <c r="A12706">
        <v>14330</v>
      </c>
      <c r="B12706" t="s">
        <v>34859</v>
      </c>
      <c r="C12706">
        <v>435</v>
      </c>
      <c r="D12706">
        <v>409</v>
      </c>
      <c r="E12706">
        <v>1577179752</v>
      </c>
      <c r="F12706">
        <v>1108</v>
      </c>
      <c r="G12706">
        <v>0</v>
      </c>
      <c r="H12706" t="s">
        <v>17593</v>
      </c>
      <c r="I12706">
        <v>14330</v>
      </c>
      <c r="J12706" t="str">
        <f>VLOOKUP(E12706,DSSpieler!A:B,2,FALSE)</f>
        <v>thoja137</v>
      </c>
    </row>
    <row r="12707" spans="1:10" x14ac:dyDescent="0.25">
      <c r="A12707">
        <v>14332</v>
      </c>
      <c r="B12707" t="s">
        <v>34860</v>
      </c>
      <c r="C12707">
        <v>500</v>
      </c>
      <c r="D12707">
        <v>390</v>
      </c>
      <c r="E12707">
        <v>2910580</v>
      </c>
      <c r="F12707">
        <v>2240</v>
      </c>
      <c r="G12707">
        <v>0</v>
      </c>
      <c r="H12707" t="s">
        <v>17594</v>
      </c>
      <c r="I12707">
        <v>14332</v>
      </c>
      <c r="J12707" t="str">
        <f>VLOOKUP(E12707,DSSpieler!A:B,2,FALSE)</f>
        <v>Desiel</v>
      </c>
    </row>
    <row r="12708" spans="1:10" x14ac:dyDescent="0.25">
      <c r="A12708">
        <v>14333</v>
      </c>
      <c r="B12708" t="s">
        <v>34861</v>
      </c>
      <c r="C12708">
        <v>423</v>
      </c>
      <c r="D12708">
        <v>582</v>
      </c>
      <c r="E12708">
        <v>1577137896</v>
      </c>
      <c r="F12708">
        <v>4811</v>
      </c>
      <c r="G12708">
        <v>0</v>
      </c>
      <c r="H12708" t="s">
        <v>17595</v>
      </c>
      <c r="I12708">
        <v>14333</v>
      </c>
      <c r="J12708" t="str">
        <f>VLOOKUP(E12708,DSSpieler!A:B,2,FALSE)</f>
        <v>KingNorbi</v>
      </c>
    </row>
    <row r="12709" spans="1:10" x14ac:dyDescent="0.25">
      <c r="A12709">
        <v>14334</v>
      </c>
      <c r="B12709" t="s">
        <v>34862</v>
      </c>
      <c r="C12709">
        <v>506</v>
      </c>
      <c r="D12709">
        <v>383</v>
      </c>
      <c r="E12709">
        <v>1577199850</v>
      </c>
      <c r="F12709">
        <v>4824</v>
      </c>
      <c r="G12709">
        <v>0</v>
      </c>
      <c r="H12709" t="s">
        <v>17596</v>
      </c>
      <c r="I12709">
        <v>14334</v>
      </c>
      <c r="J12709" t="str">
        <f>VLOOKUP(E12709,DSSpieler!A:B,2,FALSE)</f>
        <v>philobi237</v>
      </c>
    </row>
    <row r="12710" spans="1:10" x14ac:dyDescent="0.25">
      <c r="A12710">
        <v>14335</v>
      </c>
      <c r="B12710" t="e">
        <f>-2-+DaPidtown</f>
        <v>#NAME?</v>
      </c>
      <c r="C12710">
        <v>518</v>
      </c>
      <c r="D12710">
        <v>383</v>
      </c>
      <c r="E12710">
        <v>1577189209</v>
      </c>
      <c r="F12710">
        <v>2737</v>
      </c>
      <c r="G12710">
        <v>0</v>
      </c>
      <c r="H12710" t="s">
        <v>17597</v>
      </c>
      <c r="I12710">
        <v>14335</v>
      </c>
      <c r="J12710" t="str">
        <f>VLOOKUP(E12710,DSSpieler!A:B,2,FALSE)</f>
        <v>DaPidi</v>
      </c>
    </row>
    <row r="12711" spans="1:10" x14ac:dyDescent="0.25">
      <c r="A12711">
        <v>14336</v>
      </c>
      <c r="B12711" t="s">
        <v>34863</v>
      </c>
      <c r="C12711">
        <v>504</v>
      </c>
      <c r="D12711">
        <v>389</v>
      </c>
      <c r="E12711">
        <v>1577181266</v>
      </c>
      <c r="F12711">
        <v>3155</v>
      </c>
      <c r="G12711">
        <v>0</v>
      </c>
      <c r="H12711" t="s">
        <v>17598</v>
      </c>
      <c r="I12711">
        <v>14336</v>
      </c>
      <c r="J12711" t="str">
        <f>VLOOKUP(E12711,DSSpieler!A:B,2,FALSE)</f>
        <v>Vumas</v>
      </c>
    </row>
    <row r="12712" spans="1:10" x14ac:dyDescent="0.25">
      <c r="A12712">
        <v>14337</v>
      </c>
      <c r="B12712" t="s">
        <v>34864</v>
      </c>
      <c r="C12712">
        <v>393</v>
      </c>
      <c r="D12712">
        <v>535</v>
      </c>
      <c r="E12712">
        <v>9457306</v>
      </c>
      <c r="F12712">
        <v>1483</v>
      </c>
      <c r="G12712">
        <v>0</v>
      </c>
      <c r="H12712" t="s">
        <v>17599</v>
      </c>
      <c r="I12712">
        <v>14337</v>
      </c>
      <c r="J12712" t="str">
        <f>VLOOKUP(E12712,DSSpieler!A:B,2,FALSE)</f>
        <v>xxrexixx112</v>
      </c>
    </row>
    <row r="12713" spans="1:10" x14ac:dyDescent="0.25">
      <c r="A12713">
        <v>14338</v>
      </c>
      <c r="B12713" t="s">
        <v>34674</v>
      </c>
      <c r="C12713">
        <v>464</v>
      </c>
      <c r="D12713">
        <v>401</v>
      </c>
      <c r="E12713">
        <v>3167113</v>
      </c>
      <c r="F12713">
        <v>3321</v>
      </c>
      <c r="G12713">
        <v>0</v>
      </c>
      <c r="H12713" t="s">
        <v>17600</v>
      </c>
      <c r="I12713">
        <v>14338</v>
      </c>
      <c r="J12713" t="str">
        <f>VLOOKUP(E12713,DSSpieler!A:B,2,FALSE)</f>
        <v>König der Raute</v>
      </c>
    </row>
    <row r="12714" spans="1:10" x14ac:dyDescent="0.25">
      <c r="A12714">
        <v>14339</v>
      </c>
      <c r="B12714" t="s">
        <v>2313</v>
      </c>
      <c r="C12714">
        <v>438</v>
      </c>
      <c r="D12714">
        <v>538</v>
      </c>
      <c r="E12714">
        <v>1577200938</v>
      </c>
      <c r="F12714">
        <v>2176</v>
      </c>
      <c r="G12714">
        <v>0</v>
      </c>
      <c r="H12714" t="s">
        <v>17601</v>
      </c>
      <c r="I12714">
        <v>14339</v>
      </c>
      <c r="J12714" t="str">
        <f>VLOOKUP(E12714,DSSpieler!A:B,2,FALSE)</f>
        <v>Lord Hideki</v>
      </c>
    </row>
    <row r="12715" spans="1:10" x14ac:dyDescent="0.25">
      <c r="A12715">
        <v>14340</v>
      </c>
      <c r="B12715" t="s">
        <v>34735</v>
      </c>
      <c r="C12715">
        <v>461</v>
      </c>
      <c r="D12715">
        <v>393</v>
      </c>
      <c r="E12715">
        <v>1576914597</v>
      </c>
      <c r="F12715">
        <v>3242</v>
      </c>
      <c r="G12715">
        <v>0</v>
      </c>
      <c r="H12715" t="s">
        <v>17602</v>
      </c>
      <c r="I12715">
        <v>14340</v>
      </c>
      <c r="J12715" t="str">
        <f>VLOOKUP(E12715,DSSpieler!A:B,2,FALSE)</f>
        <v>malomsderechte</v>
      </c>
    </row>
    <row r="12716" spans="1:10" x14ac:dyDescent="0.25">
      <c r="A12716">
        <v>14341</v>
      </c>
      <c r="B12716" t="s">
        <v>34865</v>
      </c>
      <c r="C12716">
        <v>393</v>
      </c>
      <c r="D12716">
        <v>544</v>
      </c>
      <c r="E12716">
        <v>1576655476</v>
      </c>
      <c r="F12716">
        <v>4652</v>
      </c>
      <c r="G12716">
        <v>0</v>
      </c>
      <c r="H12716" t="s">
        <v>17603</v>
      </c>
      <c r="I12716">
        <v>14341</v>
      </c>
      <c r="J12716" t="str">
        <f>VLOOKUP(E12716,DSSpieler!A:B,2,FALSE)</f>
        <v>Antey</v>
      </c>
    </row>
    <row r="12717" spans="1:10" x14ac:dyDescent="0.25">
      <c r="A12717">
        <v>14342</v>
      </c>
      <c r="B12717" t="s">
        <v>33200</v>
      </c>
      <c r="C12717">
        <v>394</v>
      </c>
      <c r="D12717">
        <v>537</v>
      </c>
      <c r="E12717">
        <v>10230585</v>
      </c>
      <c r="F12717">
        <v>4163</v>
      </c>
      <c r="G12717">
        <v>0</v>
      </c>
      <c r="H12717" t="s">
        <v>17604</v>
      </c>
      <c r="I12717">
        <v>14342</v>
      </c>
      <c r="J12717" t="str">
        <f>VLOOKUP(E12717,DSSpieler!A:B,2,FALSE)</f>
        <v>Candysh0p</v>
      </c>
    </row>
    <row r="12718" spans="1:10" x14ac:dyDescent="0.25">
      <c r="A12718">
        <v>14343</v>
      </c>
      <c r="B12718" t="s">
        <v>531</v>
      </c>
      <c r="C12718">
        <v>613</v>
      </c>
      <c r="D12718">
        <v>520</v>
      </c>
      <c r="E12718">
        <v>0</v>
      </c>
      <c r="F12718">
        <v>286</v>
      </c>
      <c r="G12718">
        <v>0</v>
      </c>
      <c r="H12718" t="s">
        <v>17605</v>
      </c>
      <c r="I12718">
        <v>14343</v>
      </c>
      <c r="J12718" t="e">
        <f>VLOOKUP(E12718,DSSpieler!A:B,2,FALSE)</f>
        <v>#N/A</v>
      </c>
    </row>
    <row r="12719" spans="1:10" x14ac:dyDescent="0.25">
      <c r="A12719">
        <v>14345</v>
      </c>
      <c r="B12719" t="s">
        <v>531</v>
      </c>
      <c r="C12719">
        <v>464</v>
      </c>
      <c r="D12719">
        <v>607</v>
      </c>
      <c r="E12719">
        <v>0</v>
      </c>
      <c r="F12719">
        <v>217</v>
      </c>
      <c r="G12719">
        <v>0</v>
      </c>
      <c r="H12719" t="s">
        <v>17606</v>
      </c>
      <c r="I12719">
        <v>14345</v>
      </c>
      <c r="J12719" t="e">
        <f>VLOOKUP(E12719,DSSpieler!A:B,2,FALSE)</f>
        <v>#N/A</v>
      </c>
    </row>
    <row r="12720" spans="1:10" x14ac:dyDescent="0.25">
      <c r="A12720">
        <v>14347</v>
      </c>
      <c r="B12720" t="s">
        <v>34866</v>
      </c>
      <c r="C12720">
        <v>506</v>
      </c>
      <c r="D12720">
        <v>385</v>
      </c>
      <c r="E12720">
        <v>3485059</v>
      </c>
      <c r="F12720">
        <v>3883</v>
      </c>
      <c r="G12720">
        <v>0</v>
      </c>
      <c r="H12720" t="s">
        <v>17607</v>
      </c>
      <c r="I12720">
        <v>14347</v>
      </c>
      <c r="J12720" t="str">
        <f>VLOOKUP(E12720,DSSpieler!A:B,2,FALSE)</f>
        <v>esterhazy</v>
      </c>
    </row>
    <row r="12721" spans="1:10" x14ac:dyDescent="0.25">
      <c r="A12721">
        <v>14348</v>
      </c>
      <c r="B12721" t="s">
        <v>34867</v>
      </c>
      <c r="C12721">
        <v>573</v>
      </c>
      <c r="D12721">
        <v>411</v>
      </c>
      <c r="E12721">
        <v>1577004627</v>
      </c>
      <c r="F12721">
        <v>193</v>
      </c>
      <c r="G12721">
        <v>0</v>
      </c>
      <c r="H12721" t="s">
        <v>17608</v>
      </c>
      <c r="I12721">
        <v>14348</v>
      </c>
      <c r="J12721" t="str">
        <f>VLOOKUP(E12721,DSSpieler!A:B,2,FALSE)</f>
        <v>KingArdi72</v>
      </c>
    </row>
    <row r="12722" spans="1:10" x14ac:dyDescent="0.25">
      <c r="A12722">
        <v>14349</v>
      </c>
      <c r="B12722" t="s">
        <v>2314</v>
      </c>
      <c r="C12722">
        <v>515</v>
      </c>
      <c r="D12722">
        <v>385</v>
      </c>
      <c r="E12722">
        <v>1575871779</v>
      </c>
      <c r="F12722">
        <v>3538</v>
      </c>
      <c r="G12722">
        <v>0</v>
      </c>
      <c r="H12722" t="s">
        <v>17609</v>
      </c>
      <c r="I12722">
        <v>14349</v>
      </c>
      <c r="J12722" t="str">
        <f>VLOOKUP(E12722,DSSpieler!A:B,2,FALSE)</f>
        <v>sebi97</v>
      </c>
    </row>
    <row r="12723" spans="1:10" x14ac:dyDescent="0.25">
      <c r="A12723">
        <v>14350</v>
      </c>
      <c r="B12723" t="s">
        <v>531</v>
      </c>
      <c r="C12723">
        <v>492</v>
      </c>
      <c r="D12723">
        <v>615</v>
      </c>
      <c r="E12723">
        <v>0</v>
      </c>
      <c r="F12723">
        <v>170</v>
      </c>
      <c r="G12723">
        <v>0</v>
      </c>
      <c r="H12723" t="s">
        <v>17610</v>
      </c>
      <c r="I12723">
        <v>14350</v>
      </c>
      <c r="J12723" t="e">
        <f>VLOOKUP(E12723,DSSpieler!A:B,2,FALSE)</f>
        <v>#N/A</v>
      </c>
    </row>
    <row r="12724" spans="1:10" x14ac:dyDescent="0.25">
      <c r="A12724">
        <v>14351</v>
      </c>
      <c r="B12724" t="s">
        <v>34868</v>
      </c>
      <c r="C12724">
        <v>433</v>
      </c>
      <c r="D12724">
        <v>596</v>
      </c>
      <c r="E12724">
        <v>1577198531</v>
      </c>
      <c r="F12724">
        <v>3030</v>
      </c>
      <c r="G12724">
        <v>0</v>
      </c>
      <c r="H12724" t="s">
        <v>17611</v>
      </c>
      <c r="I12724">
        <v>14351</v>
      </c>
      <c r="J12724" t="str">
        <f>VLOOKUP(E12724,DSSpieler!A:B,2,FALSE)</f>
        <v>OG-Lakers</v>
      </c>
    </row>
    <row r="12725" spans="1:10" x14ac:dyDescent="0.25">
      <c r="A12725">
        <v>14352</v>
      </c>
      <c r="B12725" t="s">
        <v>531</v>
      </c>
      <c r="C12725">
        <v>470</v>
      </c>
      <c r="D12725">
        <v>613</v>
      </c>
      <c r="E12725">
        <v>0</v>
      </c>
      <c r="F12725">
        <v>354</v>
      </c>
      <c r="G12725">
        <v>0</v>
      </c>
      <c r="H12725" t="s">
        <v>17612</v>
      </c>
      <c r="I12725">
        <v>14352</v>
      </c>
      <c r="J12725" t="e">
        <f>VLOOKUP(E12725,DSSpieler!A:B,2,FALSE)</f>
        <v>#N/A</v>
      </c>
    </row>
    <row r="12726" spans="1:10" x14ac:dyDescent="0.25">
      <c r="A12726">
        <v>14353</v>
      </c>
      <c r="B12726" t="s">
        <v>531</v>
      </c>
      <c r="C12726">
        <v>540</v>
      </c>
      <c r="D12726">
        <v>610</v>
      </c>
      <c r="E12726">
        <v>0</v>
      </c>
      <c r="F12726">
        <v>750</v>
      </c>
      <c r="G12726">
        <v>0</v>
      </c>
      <c r="H12726" t="s">
        <v>17613</v>
      </c>
      <c r="I12726">
        <v>14353</v>
      </c>
      <c r="J12726" t="e">
        <f>VLOOKUP(E12726,DSSpieler!A:B,2,FALSE)</f>
        <v>#N/A</v>
      </c>
    </row>
    <row r="12727" spans="1:10" x14ac:dyDescent="0.25">
      <c r="A12727">
        <v>14354</v>
      </c>
      <c r="B12727" t="s">
        <v>34869</v>
      </c>
      <c r="C12727">
        <v>414</v>
      </c>
      <c r="D12727">
        <v>559</v>
      </c>
      <c r="E12727">
        <v>1577198549</v>
      </c>
      <c r="F12727">
        <v>1576</v>
      </c>
      <c r="G12727">
        <v>0</v>
      </c>
      <c r="H12727" t="s">
        <v>17614</v>
      </c>
      <c r="I12727">
        <v>14354</v>
      </c>
      <c r="J12727" t="str">
        <f>VLOOKUP(E12727,DSSpieler!A:B,2,FALSE)</f>
        <v>bigpi</v>
      </c>
    </row>
    <row r="12728" spans="1:10" x14ac:dyDescent="0.25">
      <c r="A12728">
        <v>14355</v>
      </c>
      <c r="B12728" t="s">
        <v>34870</v>
      </c>
      <c r="C12728">
        <v>506</v>
      </c>
      <c r="D12728">
        <v>391</v>
      </c>
      <c r="E12728">
        <v>1577062800</v>
      </c>
      <c r="F12728">
        <v>1636</v>
      </c>
      <c r="G12728">
        <v>0</v>
      </c>
      <c r="H12728" t="s">
        <v>17615</v>
      </c>
      <c r="I12728">
        <v>14355</v>
      </c>
      <c r="J12728" t="str">
        <f>VLOOKUP(E12728,DSSpieler!A:B,2,FALSE)</f>
        <v>Jorlen</v>
      </c>
    </row>
    <row r="12729" spans="1:10" x14ac:dyDescent="0.25">
      <c r="A12729">
        <v>14356</v>
      </c>
      <c r="B12729" t="s">
        <v>34871</v>
      </c>
      <c r="C12729">
        <v>446</v>
      </c>
      <c r="D12729">
        <v>414</v>
      </c>
      <c r="E12729">
        <v>1539246</v>
      </c>
      <c r="F12729">
        <v>4002</v>
      </c>
      <c r="G12729">
        <v>0</v>
      </c>
      <c r="H12729" t="s">
        <v>17616</v>
      </c>
      <c r="I12729">
        <v>14356</v>
      </c>
      <c r="J12729" t="str">
        <f>VLOOKUP(E12729,DSSpieler!A:B,2,FALSE)</f>
        <v>Klose100</v>
      </c>
    </row>
    <row r="12730" spans="1:10" x14ac:dyDescent="0.25">
      <c r="A12730">
        <v>14358</v>
      </c>
      <c r="B12730" t="s">
        <v>34872</v>
      </c>
      <c r="C12730">
        <v>434</v>
      </c>
      <c r="D12730">
        <v>580</v>
      </c>
      <c r="E12730">
        <v>1577146753</v>
      </c>
      <c r="F12730">
        <v>188</v>
      </c>
      <c r="G12730">
        <v>0</v>
      </c>
      <c r="H12730" t="s">
        <v>17617</v>
      </c>
      <c r="I12730">
        <v>14358</v>
      </c>
      <c r="J12730" t="str">
        <f>VLOOKUP(E12730,DSSpieler!A:B,2,FALSE)</f>
        <v>VeYsooo</v>
      </c>
    </row>
    <row r="12731" spans="1:10" x14ac:dyDescent="0.25">
      <c r="A12731">
        <v>14359</v>
      </c>
      <c r="B12731" t="s">
        <v>34873</v>
      </c>
      <c r="C12731">
        <v>504</v>
      </c>
      <c r="D12731">
        <v>395</v>
      </c>
      <c r="E12731">
        <v>1577018397</v>
      </c>
      <c r="F12731">
        <v>2922</v>
      </c>
      <c r="G12731">
        <v>0</v>
      </c>
      <c r="H12731" t="s">
        <v>17618</v>
      </c>
      <c r="I12731">
        <v>14359</v>
      </c>
      <c r="J12731" t="str">
        <f>VLOOKUP(E12731,DSSpieler!A:B,2,FALSE)</f>
        <v>Royale22000</v>
      </c>
    </row>
    <row r="12732" spans="1:10" x14ac:dyDescent="0.25">
      <c r="A12732">
        <v>14361</v>
      </c>
      <c r="B12732" t="s">
        <v>2315</v>
      </c>
      <c r="C12732">
        <v>499</v>
      </c>
      <c r="D12732">
        <v>530</v>
      </c>
      <c r="E12732">
        <v>1577184411</v>
      </c>
      <c r="F12732">
        <v>2327</v>
      </c>
      <c r="G12732">
        <v>0</v>
      </c>
      <c r="H12732" t="s">
        <v>17619</v>
      </c>
      <c r="I12732">
        <v>14361</v>
      </c>
      <c r="J12732" t="str">
        <f>VLOOKUP(E12732,DSSpieler!A:B,2,FALSE)</f>
        <v>Meister Klaus</v>
      </c>
    </row>
    <row r="12733" spans="1:10" x14ac:dyDescent="0.25">
      <c r="A12733">
        <v>14362</v>
      </c>
      <c r="B12733" t="s">
        <v>34735</v>
      </c>
      <c r="C12733">
        <v>458</v>
      </c>
      <c r="D12733">
        <v>394</v>
      </c>
      <c r="E12733">
        <v>1576914597</v>
      </c>
      <c r="F12733">
        <v>1868</v>
      </c>
      <c r="G12733">
        <v>0</v>
      </c>
      <c r="H12733" t="s">
        <v>17620</v>
      </c>
      <c r="I12733">
        <v>14362</v>
      </c>
      <c r="J12733" t="str">
        <f>VLOOKUP(E12733,DSSpieler!A:B,2,FALSE)</f>
        <v>malomsderechte</v>
      </c>
    </row>
    <row r="12734" spans="1:10" x14ac:dyDescent="0.25">
      <c r="A12734">
        <v>14363</v>
      </c>
      <c r="B12734" t="s">
        <v>531</v>
      </c>
      <c r="C12734">
        <v>487</v>
      </c>
      <c r="D12734">
        <v>613</v>
      </c>
      <c r="E12734">
        <v>0</v>
      </c>
      <c r="F12734">
        <v>1059</v>
      </c>
      <c r="G12734">
        <v>0</v>
      </c>
      <c r="H12734" t="s">
        <v>17621</v>
      </c>
      <c r="I12734">
        <v>14363</v>
      </c>
      <c r="J12734" t="e">
        <f>VLOOKUP(E12734,DSSpieler!A:B,2,FALSE)</f>
        <v>#N/A</v>
      </c>
    </row>
    <row r="12735" spans="1:10" x14ac:dyDescent="0.25">
      <c r="A12735">
        <v>14364</v>
      </c>
      <c r="B12735" t="s">
        <v>34874</v>
      </c>
      <c r="C12735">
        <v>414</v>
      </c>
      <c r="D12735">
        <v>423</v>
      </c>
      <c r="E12735">
        <v>1577145994</v>
      </c>
      <c r="F12735">
        <v>2146</v>
      </c>
      <c r="G12735">
        <v>0</v>
      </c>
      <c r="H12735" t="s">
        <v>17622</v>
      </c>
      <c r="I12735">
        <v>14364</v>
      </c>
      <c r="J12735" t="str">
        <f>VLOOKUP(E12735,DSSpieler!A:B,2,FALSE)</f>
        <v>pascal96</v>
      </c>
    </row>
    <row r="12736" spans="1:10" x14ac:dyDescent="0.25">
      <c r="A12736">
        <v>14367</v>
      </c>
      <c r="B12736" t="s">
        <v>2316</v>
      </c>
      <c r="C12736">
        <v>463</v>
      </c>
      <c r="D12736">
        <v>389</v>
      </c>
      <c r="E12736">
        <v>1575974550</v>
      </c>
      <c r="F12736">
        <v>2387</v>
      </c>
      <c r="G12736">
        <v>0</v>
      </c>
      <c r="H12736" t="s">
        <v>17623</v>
      </c>
      <c r="I12736">
        <v>14367</v>
      </c>
      <c r="J12736" t="str">
        <f>VLOOKUP(E12736,DSSpieler!A:B,2,FALSE)</f>
        <v>SaschaFC</v>
      </c>
    </row>
    <row r="12737" spans="1:10" x14ac:dyDescent="0.25">
      <c r="A12737">
        <v>14368</v>
      </c>
      <c r="B12737" t="s">
        <v>531</v>
      </c>
      <c r="C12737">
        <v>542</v>
      </c>
      <c r="D12737">
        <v>393</v>
      </c>
      <c r="E12737">
        <v>0</v>
      </c>
      <c r="F12737">
        <v>218</v>
      </c>
      <c r="G12737">
        <v>0</v>
      </c>
      <c r="H12737" t="s">
        <v>17624</v>
      </c>
      <c r="I12737">
        <v>14368</v>
      </c>
      <c r="J12737" t="e">
        <f>VLOOKUP(E12737,DSSpieler!A:B,2,FALSE)</f>
        <v>#N/A</v>
      </c>
    </row>
    <row r="12738" spans="1:10" x14ac:dyDescent="0.25">
      <c r="A12738">
        <v>14369</v>
      </c>
      <c r="B12738" t="s">
        <v>2317</v>
      </c>
      <c r="C12738">
        <v>449</v>
      </c>
      <c r="D12738">
        <v>396</v>
      </c>
      <c r="E12738">
        <v>9863797</v>
      </c>
      <c r="F12738">
        <v>1339</v>
      </c>
      <c r="G12738">
        <v>0</v>
      </c>
      <c r="H12738" t="s">
        <v>17625</v>
      </c>
      <c r="I12738">
        <v>14369</v>
      </c>
      <c r="J12738" t="str">
        <f>VLOOKUP(E12738,DSSpieler!A:B,2,FALSE)</f>
        <v>Lord Wormar</v>
      </c>
    </row>
    <row r="12739" spans="1:10" x14ac:dyDescent="0.25">
      <c r="A12739">
        <v>14370</v>
      </c>
      <c r="B12739" t="s">
        <v>531</v>
      </c>
      <c r="C12739">
        <v>442</v>
      </c>
      <c r="D12739">
        <v>401</v>
      </c>
      <c r="E12739">
        <v>0</v>
      </c>
      <c r="F12739">
        <v>243</v>
      </c>
      <c r="G12739">
        <v>0</v>
      </c>
      <c r="H12739" t="s">
        <v>17626</v>
      </c>
      <c r="I12739">
        <v>14370</v>
      </c>
      <c r="J12739" t="e">
        <f>VLOOKUP(E12739,DSSpieler!A:B,2,FALSE)</f>
        <v>#N/A</v>
      </c>
    </row>
    <row r="12740" spans="1:10" x14ac:dyDescent="0.25">
      <c r="A12740">
        <v>14371</v>
      </c>
      <c r="B12740" t="s">
        <v>531</v>
      </c>
      <c r="C12740">
        <v>519</v>
      </c>
      <c r="D12740">
        <v>613</v>
      </c>
      <c r="E12740">
        <v>0</v>
      </c>
      <c r="F12740">
        <v>1517</v>
      </c>
      <c r="G12740">
        <v>0</v>
      </c>
      <c r="H12740" t="s">
        <v>17627</v>
      </c>
      <c r="I12740">
        <v>14371</v>
      </c>
      <c r="J12740" t="e">
        <f>VLOOKUP(E12740,DSSpieler!A:B,2,FALSE)</f>
        <v>#N/A</v>
      </c>
    </row>
    <row r="12741" spans="1:10" x14ac:dyDescent="0.25">
      <c r="A12741">
        <v>14372</v>
      </c>
      <c r="B12741" t="s">
        <v>531</v>
      </c>
      <c r="C12741">
        <v>517</v>
      </c>
      <c r="D12741">
        <v>411</v>
      </c>
      <c r="E12741">
        <v>0</v>
      </c>
      <c r="F12741">
        <v>973</v>
      </c>
      <c r="G12741">
        <v>0</v>
      </c>
      <c r="H12741" t="s">
        <v>17628</v>
      </c>
      <c r="I12741">
        <v>14372</v>
      </c>
      <c r="J12741" t="e">
        <f>VLOOKUP(E12741,DSSpieler!A:B,2,FALSE)</f>
        <v>#N/A</v>
      </c>
    </row>
    <row r="12742" spans="1:10" x14ac:dyDescent="0.25">
      <c r="A12742">
        <v>14373</v>
      </c>
      <c r="B12742" t="s">
        <v>531</v>
      </c>
      <c r="C12742">
        <v>481</v>
      </c>
      <c r="D12742">
        <v>389</v>
      </c>
      <c r="E12742">
        <v>0</v>
      </c>
      <c r="F12742">
        <v>434</v>
      </c>
      <c r="G12742">
        <v>0</v>
      </c>
      <c r="H12742" t="s">
        <v>17629</v>
      </c>
      <c r="I12742">
        <v>14373</v>
      </c>
      <c r="J12742" t="e">
        <f>VLOOKUP(E12742,DSSpieler!A:B,2,FALSE)</f>
        <v>#N/A</v>
      </c>
    </row>
    <row r="12743" spans="1:10" x14ac:dyDescent="0.25">
      <c r="A12743">
        <v>14374</v>
      </c>
      <c r="B12743" t="s">
        <v>531</v>
      </c>
      <c r="C12743">
        <v>598</v>
      </c>
      <c r="D12743">
        <v>555</v>
      </c>
      <c r="E12743">
        <v>0</v>
      </c>
      <c r="F12743">
        <v>130</v>
      </c>
      <c r="G12743">
        <v>0</v>
      </c>
      <c r="H12743" t="s">
        <v>17630</v>
      </c>
      <c r="I12743">
        <v>14374</v>
      </c>
      <c r="J12743" t="e">
        <f>VLOOKUP(E12743,DSSpieler!A:B,2,FALSE)</f>
        <v>#N/A</v>
      </c>
    </row>
    <row r="12744" spans="1:10" x14ac:dyDescent="0.25">
      <c r="A12744">
        <v>14375</v>
      </c>
      <c r="B12744" t="s">
        <v>531</v>
      </c>
      <c r="C12744">
        <v>488</v>
      </c>
      <c r="D12744">
        <v>386</v>
      </c>
      <c r="E12744">
        <v>0</v>
      </c>
      <c r="F12744">
        <v>490</v>
      </c>
      <c r="G12744">
        <v>0</v>
      </c>
      <c r="H12744" t="s">
        <v>17631</v>
      </c>
      <c r="I12744">
        <v>14375</v>
      </c>
      <c r="J12744" t="e">
        <f>VLOOKUP(E12744,DSSpieler!A:B,2,FALSE)</f>
        <v>#N/A</v>
      </c>
    </row>
    <row r="12745" spans="1:10" x14ac:dyDescent="0.25">
      <c r="A12745">
        <v>14376</v>
      </c>
      <c r="B12745" t="s">
        <v>34875</v>
      </c>
      <c r="C12745">
        <v>387</v>
      </c>
      <c r="D12745">
        <v>468</v>
      </c>
      <c r="E12745">
        <v>1575873872</v>
      </c>
      <c r="F12745">
        <v>6108</v>
      </c>
      <c r="G12745">
        <v>0</v>
      </c>
      <c r="H12745" t="s">
        <v>479</v>
      </c>
      <c r="I12745">
        <v>14376</v>
      </c>
      <c r="J12745" t="str">
        <f>VLOOKUP(E12745,DSSpieler!A:B,2,FALSE)</f>
        <v>ulchenbbq</v>
      </c>
    </row>
    <row r="12746" spans="1:10" x14ac:dyDescent="0.25">
      <c r="A12746">
        <v>14378</v>
      </c>
      <c r="B12746" t="s">
        <v>531</v>
      </c>
      <c r="C12746">
        <v>537</v>
      </c>
      <c r="D12746">
        <v>609</v>
      </c>
      <c r="E12746">
        <v>0</v>
      </c>
      <c r="F12746">
        <v>197</v>
      </c>
      <c r="G12746">
        <v>0</v>
      </c>
      <c r="H12746" t="s">
        <v>17632</v>
      </c>
      <c r="I12746">
        <v>14378</v>
      </c>
      <c r="J12746" t="e">
        <f>VLOOKUP(E12746,DSSpieler!A:B,2,FALSE)</f>
        <v>#N/A</v>
      </c>
    </row>
    <row r="12747" spans="1:10" x14ac:dyDescent="0.25">
      <c r="A12747">
        <v>14379</v>
      </c>
      <c r="B12747" t="s">
        <v>531</v>
      </c>
      <c r="C12747">
        <v>607</v>
      </c>
      <c r="D12747">
        <v>541</v>
      </c>
      <c r="E12747">
        <v>0</v>
      </c>
      <c r="F12747">
        <v>167</v>
      </c>
      <c r="G12747">
        <v>0</v>
      </c>
      <c r="H12747" t="s">
        <v>17633</v>
      </c>
      <c r="I12747">
        <v>14379</v>
      </c>
      <c r="J12747" t="e">
        <f>VLOOKUP(E12747,DSSpieler!A:B,2,FALSE)</f>
        <v>#N/A</v>
      </c>
    </row>
    <row r="12748" spans="1:10" x14ac:dyDescent="0.25">
      <c r="A12748">
        <v>14380</v>
      </c>
      <c r="B12748" t="s">
        <v>531</v>
      </c>
      <c r="C12748">
        <v>529</v>
      </c>
      <c r="D12748">
        <v>394</v>
      </c>
      <c r="E12748">
        <v>0</v>
      </c>
      <c r="F12748">
        <v>243</v>
      </c>
      <c r="G12748">
        <v>0</v>
      </c>
      <c r="H12748" t="s">
        <v>17634</v>
      </c>
      <c r="I12748">
        <v>14380</v>
      </c>
      <c r="J12748" t="e">
        <f>VLOOKUP(E12748,DSSpieler!A:B,2,FALSE)</f>
        <v>#N/A</v>
      </c>
    </row>
    <row r="12749" spans="1:10" x14ac:dyDescent="0.25">
      <c r="A12749">
        <v>14381</v>
      </c>
      <c r="B12749" t="s">
        <v>34876</v>
      </c>
      <c r="C12749">
        <v>503</v>
      </c>
      <c r="D12749">
        <v>559</v>
      </c>
      <c r="E12749">
        <v>1577171065</v>
      </c>
      <c r="F12749">
        <v>3052</v>
      </c>
      <c r="G12749">
        <v>0</v>
      </c>
      <c r="H12749" t="s">
        <v>17635</v>
      </c>
      <c r="I12749">
        <v>14381</v>
      </c>
      <c r="J12749" t="str">
        <f>VLOOKUP(E12749,DSSpieler!A:B,2,FALSE)</f>
        <v>Destonix</v>
      </c>
    </row>
    <row r="12750" spans="1:10" x14ac:dyDescent="0.25">
      <c r="A12750">
        <v>14383</v>
      </c>
      <c r="B12750" t="s">
        <v>593</v>
      </c>
      <c r="C12750">
        <v>531</v>
      </c>
      <c r="D12750">
        <v>389</v>
      </c>
      <c r="E12750">
        <v>1576917322</v>
      </c>
      <c r="F12750">
        <v>3872</v>
      </c>
      <c r="G12750">
        <v>0</v>
      </c>
      <c r="H12750" t="s">
        <v>17636</v>
      </c>
      <c r="I12750">
        <v>14383</v>
      </c>
      <c r="J12750" t="str">
        <f>VLOOKUP(E12750,DSSpieler!A:B,2,FALSE)</f>
        <v>Tony Ciccione</v>
      </c>
    </row>
    <row r="12751" spans="1:10" x14ac:dyDescent="0.25">
      <c r="A12751">
        <v>14385</v>
      </c>
      <c r="B12751" t="s">
        <v>531</v>
      </c>
      <c r="C12751">
        <v>503</v>
      </c>
      <c r="D12751">
        <v>613</v>
      </c>
      <c r="E12751">
        <v>0</v>
      </c>
      <c r="F12751">
        <v>158</v>
      </c>
      <c r="G12751">
        <v>0</v>
      </c>
      <c r="H12751" t="s">
        <v>17637</v>
      </c>
      <c r="I12751">
        <v>14385</v>
      </c>
      <c r="J12751" t="e">
        <f>VLOOKUP(E12751,DSSpieler!A:B,2,FALSE)</f>
        <v>#N/A</v>
      </c>
    </row>
    <row r="12752" spans="1:10" x14ac:dyDescent="0.25">
      <c r="A12752">
        <v>14386</v>
      </c>
      <c r="B12752" t="s">
        <v>34877</v>
      </c>
      <c r="C12752">
        <v>593</v>
      </c>
      <c r="D12752">
        <v>427</v>
      </c>
      <c r="E12752">
        <v>8683830</v>
      </c>
      <c r="F12752">
        <v>5517</v>
      </c>
      <c r="G12752">
        <v>0</v>
      </c>
      <c r="H12752" t="s">
        <v>17638</v>
      </c>
      <c r="I12752">
        <v>14386</v>
      </c>
      <c r="J12752" t="str">
        <f>VLOOKUP(E12752,DSSpieler!A:B,2,FALSE)</f>
        <v>Bangodboya</v>
      </c>
    </row>
    <row r="12753" spans="1:10" x14ac:dyDescent="0.25">
      <c r="A12753">
        <v>14387</v>
      </c>
      <c r="B12753" t="s">
        <v>531</v>
      </c>
      <c r="C12753">
        <v>498</v>
      </c>
      <c r="D12753">
        <v>608</v>
      </c>
      <c r="E12753">
        <v>0</v>
      </c>
      <c r="F12753">
        <v>128</v>
      </c>
      <c r="G12753">
        <v>0</v>
      </c>
      <c r="H12753" t="s">
        <v>17639</v>
      </c>
      <c r="I12753">
        <v>14387</v>
      </c>
      <c r="J12753" t="e">
        <f>VLOOKUP(E12753,DSSpieler!A:B,2,FALSE)</f>
        <v>#N/A</v>
      </c>
    </row>
    <row r="12754" spans="1:10" x14ac:dyDescent="0.25">
      <c r="A12754">
        <v>14388</v>
      </c>
      <c r="B12754" t="s">
        <v>32694</v>
      </c>
      <c r="C12754">
        <v>503</v>
      </c>
      <c r="D12754">
        <v>604</v>
      </c>
      <c r="E12754">
        <v>1577100364</v>
      </c>
      <c r="F12754">
        <v>4308</v>
      </c>
      <c r="G12754">
        <v>0</v>
      </c>
      <c r="H12754" t="s">
        <v>17640</v>
      </c>
      <c r="I12754">
        <v>14388</v>
      </c>
      <c r="J12754" t="str">
        <f>VLOOKUP(E12754,DSSpieler!A:B,2,FALSE)</f>
        <v>Olga24humorlos</v>
      </c>
    </row>
    <row r="12755" spans="1:10" x14ac:dyDescent="0.25">
      <c r="A12755">
        <v>14389</v>
      </c>
      <c r="B12755" t="s">
        <v>34878</v>
      </c>
      <c r="C12755">
        <v>441</v>
      </c>
      <c r="D12755">
        <v>398</v>
      </c>
      <c r="E12755">
        <v>8042533</v>
      </c>
      <c r="F12755">
        <v>4489</v>
      </c>
      <c r="G12755">
        <v>0</v>
      </c>
      <c r="H12755" t="s">
        <v>17641</v>
      </c>
      <c r="I12755">
        <v>14389</v>
      </c>
      <c r="J12755" t="str">
        <f>VLOOKUP(E12755,DSSpieler!A:B,2,FALSE)</f>
        <v>DerRode</v>
      </c>
    </row>
    <row r="12756" spans="1:10" x14ac:dyDescent="0.25">
      <c r="A12756">
        <v>14390</v>
      </c>
      <c r="B12756" t="s">
        <v>531</v>
      </c>
      <c r="C12756">
        <v>502</v>
      </c>
      <c r="D12756">
        <v>610</v>
      </c>
      <c r="E12756">
        <v>0</v>
      </c>
      <c r="F12756">
        <v>591</v>
      </c>
      <c r="G12756">
        <v>0</v>
      </c>
      <c r="H12756" t="s">
        <v>17642</v>
      </c>
      <c r="I12756">
        <v>14390</v>
      </c>
      <c r="J12756" t="e">
        <f>VLOOKUP(E12756,DSSpieler!A:B,2,FALSE)</f>
        <v>#N/A</v>
      </c>
    </row>
    <row r="12757" spans="1:10" x14ac:dyDescent="0.25">
      <c r="A12757">
        <v>14391</v>
      </c>
      <c r="B12757" t="s">
        <v>531</v>
      </c>
      <c r="C12757">
        <v>387</v>
      </c>
      <c r="D12757">
        <v>526</v>
      </c>
      <c r="E12757">
        <v>0</v>
      </c>
      <c r="F12757">
        <v>114</v>
      </c>
      <c r="G12757">
        <v>0</v>
      </c>
      <c r="H12757" t="s">
        <v>17643</v>
      </c>
      <c r="I12757">
        <v>14391</v>
      </c>
      <c r="J12757" t="e">
        <f>VLOOKUP(E12757,DSSpieler!A:B,2,FALSE)</f>
        <v>#N/A</v>
      </c>
    </row>
    <row r="12758" spans="1:10" x14ac:dyDescent="0.25">
      <c r="A12758">
        <v>14392</v>
      </c>
      <c r="B12758" t="s">
        <v>531</v>
      </c>
      <c r="C12758">
        <v>560</v>
      </c>
      <c r="D12758">
        <v>596</v>
      </c>
      <c r="E12758">
        <v>0</v>
      </c>
      <c r="F12758">
        <v>531</v>
      </c>
      <c r="G12758">
        <v>0</v>
      </c>
      <c r="H12758" t="s">
        <v>17644</v>
      </c>
      <c r="I12758">
        <v>14392</v>
      </c>
      <c r="J12758" t="e">
        <f>VLOOKUP(E12758,DSSpieler!A:B,2,FALSE)</f>
        <v>#N/A</v>
      </c>
    </row>
    <row r="12759" spans="1:10" x14ac:dyDescent="0.25">
      <c r="A12759">
        <v>14393</v>
      </c>
      <c r="B12759" t="s">
        <v>531</v>
      </c>
      <c r="C12759">
        <v>592</v>
      </c>
      <c r="D12759">
        <v>567</v>
      </c>
      <c r="E12759">
        <v>0</v>
      </c>
      <c r="F12759">
        <v>286</v>
      </c>
      <c r="G12759">
        <v>0</v>
      </c>
      <c r="H12759" t="s">
        <v>17645</v>
      </c>
      <c r="I12759">
        <v>14393</v>
      </c>
      <c r="J12759" t="e">
        <f>VLOOKUP(E12759,DSSpieler!A:B,2,FALSE)</f>
        <v>#N/A</v>
      </c>
    </row>
    <row r="12760" spans="1:10" x14ac:dyDescent="0.25">
      <c r="A12760">
        <v>14394</v>
      </c>
      <c r="B12760" t="s">
        <v>531</v>
      </c>
      <c r="C12760">
        <v>617</v>
      </c>
      <c r="D12760">
        <v>495</v>
      </c>
      <c r="E12760">
        <v>0</v>
      </c>
      <c r="F12760">
        <v>133</v>
      </c>
      <c r="G12760">
        <v>0</v>
      </c>
      <c r="H12760" t="s">
        <v>17646</v>
      </c>
      <c r="I12760">
        <v>14394</v>
      </c>
      <c r="J12760" t="e">
        <f>VLOOKUP(E12760,DSSpieler!A:B,2,FALSE)</f>
        <v>#N/A</v>
      </c>
    </row>
    <row r="12761" spans="1:10" x14ac:dyDescent="0.25">
      <c r="A12761">
        <v>14395</v>
      </c>
      <c r="B12761" t="s">
        <v>531</v>
      </c>
      <c r="C12761">
        <v>505</v>
      </c>
      <c r="D12761">
        <v>603</v>
      </c>
      <c r="E12761">
        <v>0</v>
      </c>
      <c r="F12761">
        <v>207</v>
      </c>
      <c r="G12761">
        <v>0</v>
      </c>
      <c r="H12761" t="s">
        <v>17647</v>
      </c>
      <c r="I12761">
        <v>14395</v>
      </c>
      <c r="J12761" t="e">
        <f>VLOOKUP(E12761,DSSpieler!A:B,2,FALSE)</f>
        <v>#N/A</v>
      </c>
    </row>
    <row r="12762" spans="1:10" x14ac:dyDescent="0.25">
      <c r="A12762">
        <v>14397</v>
      </c>
      <c r="B12762" t="s">
        <v>34879</v>
      </c>
      <c r="C12762">
        <v>402</v>
      </c>
      <c r="D12762">
        <v>555</v>
      </c>
      <c r="E12762">
        <v>1577197544</v>
      </c>
      <c r="F12762">
        <v>4527</v>
      </c>
      <c r="G12762">
        <v>0</v>
      </c>
      <c r="H12762" t="s">
        <v>17648</v>
      </c>
      <c r="I12762">
        <v>14397</v>
      </c>
      <c r="J12762" t="str">
        <f>VLOOKUP(E12762,DSSpieler!A:B,2,FALSE)</f>
        <v>Adelnos</v>
      </c>
    </row>
    <row r="12763" spans="1:10" x14ac:dyDescent="0.25">
      <c r="A12763">
        <v>14398</v>
      </c>
      <c r="B12763" t="s">
        <v>531</v>
      </c>
      <c r="C12763">
        <v>503</v>
      </c>
      <c r="D12763">
        <v>617</v>
      </c>
      <c r="E12763">
        <v>0</v>
      </c>
      <c r="F12763">
        <v>215</v>
      </c>
      <c r="G12763">
        <v>0</v>
      </c>
      <c r="H12763" t="s">
        <v>17649</v>
      </c>
      <c r="I12763">
        <v>14398</v>
      </c>
      <c r="J12763" t="e">
        <f>VLOOKUP(E12763,DSSpieler!A:B,2,FALSE)</f>
        <v>#N/A</v>
      </c>
    </row>
    <row r="12764" spans="1:10" x14ac:dyDescent="0.25">
      <c r="A12764">
        <v>14399</v>
      </c>
      <c r="B12764" t="s">
        <v>531</v>
      </c>
      <c r="C12764">
        <v>499</v>
      </c>
      <c r="D12764">
        <v>616</v>
      </c>
      <c r="E12764">
        <v>0</v>
      </c>
      <c r="F12764">
        <v>182</v>
      </c>
      <c r="G12764">
        <v>0</v>
      </c>
      <c r="H12764" t="s">
        <v>17650</v>
      </c>
      <c r="I12764">
        <v>14399</v>
      </c>
      <c r="J12764" t="e">
        <f>VLOOKUP(E12764,DSSpieler!A:B,2,FALSE)</f>
        <v>#N/A</v>
      </c>
    </row>
    <row r="12765" spans="1:10" x14ac:dyDescent="0.25">
      <c r="A12765">
        <v>14400</v>
      </c>
      <c r="B12765" t="s">
        <v>531</v>
      </c>
      <c r="C12765">
        <v>460</v>
      </c>
      <c r="D12765">
        <v>390</v>
      </c>
      <c r="E12765">
        <v>0</v>
      </c>
      <c r="F12765">
        <v>295</v>
      </c>
      <c r="G12765">
        <v>0</v>
      </c>
      <c r="H12765" t="s">
        <v>17651</v>
      </c>
      <c r="I12765">
        <v>14400</v>
      </c>
      <c r="J12765" t="e">
        <f>VLOOKUP(E12765,DSSpieler!A:B,2,FALSE)</f>
        <v>#N/A</v>
      </c>
    </row>
    <row r="12766" spans="1:10" x14ac:dyDescent="0.25">
      <c r="A12766">
        <v>14401</v>
      </c>
      <c r="B12766" t="s">
        <v>531</v>
      </c>
      <c r="C12766">
        <v>501</v>
      </c>
      <c r="D12766">
        <v>611</v>
      </c>
      <c r="E12766">
        <v>0</v>
      </c>
      <c r="F12766">
        <v>660</v>
      </c>
      <c r="G12766">
        <v>0</v>
      </c>
      <c r="H12766" t="s">
        <v>17652</v>
      </c>
      <c r="I12766">
        <v>14401</v>
      </c>
      <c r="J12766" t="e">
        <f>VLOOKUP(E12766,DSSpieler!A:B,2,FALSE)</f>
        <v>#N/A</v>
      </c>
    </row>
    <row r="12767" spans="1:10" x14ac:dyDescent="0.25">
      <c r="A12767">
        <v>14402</v>
      </c>
      <c r="B12767" t="s">
        <v>32694</v>
      </c>
      <c r="C12767">
        <v>502</v>
      </c>
      <c r="D12767">
        <v>607</v>
      </c>
      <c r="E12767">
        <v>1577100364</v>
      </c>
      <c r="F12767">
        <v>4661</v>
      </c>
      <c r="G12767">
        <v>0</v>
      </c>
      <c r="H12767" t="s">
        <v>17653</v>
      </c>
      <c r="I12767">
        <v>14402</v>
      </c>
      <c r="J12767" t="str">
        <f>VLOOKUP(E12767,DSSpieler!A:B,2,FALSE)</f>
        <v>Olga24humorlos</v>
      </c>
    </row>
    <row r="12768" spans="1:10" x14ac:dyDescent="0.25">
      <c r="A12768">
        <v>14403</v>
      </c>
      <c r="B12768" t="s">
        <v>531</v>
      </c>
      <c r="C12768">
        <v>500</v>
      </c>
      <c r="D12768">
        <v>617</v>
      </c>
      <c r="E12768">
        <v>0</v>
      </c>
      <c r="F12768">
        <v>184</v>
      </c>
      <c r="G12768">
        <v>0</v>
      </c>
      <c r="H12768" t="s">
        <v>17654</v>
      </c>
      <c r="I12768">
        <v>14403</v>
      </c>
      <c r="J12768" t="e">
        <f>VLOOKUP(E12768,DSSpieler!A:B,2,FALSE)</f>
        <v>#N/A</v>
      </c>
    </row>
    <row r="12769" spans="1:10" x14ac:dyDescent="0.25">
      <c r="A12769">
        <v>14404</v>
      </c>
      <c r="B12769" t="s">
        <v>531</v>
      </c>
      <c r="C12769">
        <v>527</v>
      </c>
      <c r="D12769">
        <v>611</v>
      </c>
      <c r="E12769">
        <v>0</v>
      </c>
      <c r="F12769">
        <v>121</v>
      </c>
      <c r="G12769">
        <v>0</v>
      </c>
      <c r="H12769" t="s">
        <v>17655</v>
      </c>
      <c r="I12769">
        <v>14404</v>
      </c>
      <c r="J12769" t="e">
        <f>VLOOKUP(E12769,DSSpieler!A:B,2,FALSE)</f>
        <v>#N/A</v>
      </c>
    </row>
    <row r="12770" spans="1:10" x14ac:dyDescent="0.25">
      <c r="A12770">
        <v>14405</v>
      </c>
      <c r="B12770" t="s">
        <v>1476</v>
      </c>
      <c r="C12770">
        <v>452</v>
      </c>
      <c r="D12770">
        <v>587</v>
      </c>
      <c r="E12770">
        <v>9864236</v>
      </c>
      <c r="F12770">
        <v>3346</v>
      </c>
      <c r="G12770">
        <v>0</v>
      </c>
      <c r="H12770" t="s">
        <v>17656</v>
      </c>
      <c r="I12770">
        <v>14405</v>
      </c>
      <c r="J12770" t="str">
        <f>VLOOKUP(E12770,DSSpieler!A:B,2,FALSE)</f>
        <v>SoeSide</v>
      </c>
    </row>
    <row r="12771" spans="1:10" x14ac:dyDescent="0.25">
      <c r="A12771">
        <v>14406</v>
      </c>
      <c r="B12771" t="s">
        <v>2318</v>
      </c>
      <c r="C12771">
        <v>541</v>
      </c>
      <c r="D12771">
        <v>395</v>
      </c>
      <c r="E12771">
        <v>1577197899</v>
      </c>
      <c r="F12771">
        <v>3131</v>
      </c>
      <c r="G12771">
        <v>0</v>
      </c>
      <c r="H12771" t="s">
        <v>17657</v>
      </c>
      <c r="I12771">
        <v>14406</v>
      </c>
      <c r="J12771" t="str">
        <f>VLOOKUP(E12771,DSSpieler!A:B,2,FALSE)</f>
        <v>HjalmarT</v>
      </c>
    </row>
    <row r="12772" spans="1:10" x14ac:dyDescent="0.25">
      <c r="A12772">
        <v>14407</v>
      </c>
      <c r="B12772" t="s">
        <v>2319</v>
      </c>
      <c r="C12772">
        <v>609</v>
      </c>
      <c r="D12772">
        <v>471</v>
      </c>
      <c r="E12772">
        <v>9757149</v>
      </c>
      <c r="F12772">
        <v>2538</v>
      </c>
      <c r="G12772">
        <v>0</v>
      </c>
      <c r="H12772" t="s">
        <v>17658</v>
      </c>
      <c r="I12772">
        <v>14407</v>
      </c>
      <c r="J12772" t="str">
        <f>VLOOKUP(E12772,DSSpieler!A:B,2,FALSE)</f>
        <v>toxic*vision</v>
      </c>
    </row>
    <row r="12773" spans="1:10" x14ac:dyDescent="0.25">
      <c r="A12773">
        <v>14408</v>
      </c>
      <c r="B12773" t="s">
        <v>34880</v>
      </c>
      <c r="C12773">
        <v>390</v>
      </c>
      <c r="D12773">
        <v>474</v>
      </c>
      <c r="E12773">
        <v>1576502833</v>
      </c>
      <c r="F12773">
        <v>2042</v>
      </c>
      <c r="G12773">
        <v>0</v>
      </c>
      <c r="H12773" t="s">
        <v>466</v>
      </c>
      <c r="I12773">
        <v>14408</v>
      </c>
      <c r="J12773" t="str">
        <f>VLOOKUP(E12773,DSSpieler!A:B,2,FALSE)</f>
        <v>Goettlich</v>
      </c>
    </row>
    <row r="12774" spans="1:10" x14ac:dyDescent="0.25">
      <c r="A12774">
        <v>14409</v>
      </c>
      <c r="B12774" t="s">
        <v>531</v>
      </c>
      <c r="C12774">
        <v>609</v>
      </c>
      <c r="D12774">
        <v>533</v>
      </c>
      <c r="E12774">
        <v>0</v>
      </c>
      <c r="F12774">
        <v>186</v>
      </c>
      <c r="G12774">
        <v>0</v>
      </c>
      <c r="H12774" t="s">
        <v>17659</v>
      </c>
      <c r="I12774">
        <v>14409</v>
      </c>
      <c r="J12774" t="e">
        <f>VLOOKUP(E12774,DSSpieler!A:B,2,FALSE)</f>
        <v>#N/A</v>
      </c>
    </row>
    <row r="12775" spans="1:10" x14ac:dyDescent="0.25">
      <c r="A12775">
        <v>14411</v>
      </c>
      <c r="B12775" t="s">
        <v>2320</v>
      </c>
      <c r="C12775">
        <v>575</v>
      </c>
      <c r="D12775">
        <v>416</v>
      </c>
      <c r="E12775">
        <v>7801082</v>
      </c>
      <c r="F12775">
        <v>3443</v>
      </c>
      <c r="G12775">
        <v>0</v>
      </c>
      <c r="H12775" t="s">
        <v>17660</v>
      </c>
      <c r="I12775">
        <v>14411</v>
      </c>
      <c r="J12775" t="str">
        <f>VLOOKUP(E12775,DSSpieler!A:B,2,FALSE)</f>
        <v>Saxo 1974</v>
      </c>
    </row>
    <row r="12776" spans="1:10" x14ac:dyDescent="0.25">
      <c r="A12776">
        <v>14413</v>
      </c>
      <c r="B12776" t="s">
        <v>34008</v>
      </c>
      <c r="C12776">
        <v>603</v>
      </c>
      <c r="D12776">
        <v>501</v>
      </c>
      <c r="E12776">
        <v>1577191762</v>
      </c>
      <c r="F12776">
        <v>1588</v>
      </c>
      <c r="G12776">
        <v>0</v>
      </c>
      <c r="H12776" t="s">
        <v>17661</v>
      </c>
      <c r="I12776">
        <v>14413</v>
      </c>
      <c r="J12776" t="str">
        <f>VLOOKUP(E12776,DSSpieler!A:B,2,FALSE)</f>
        <v>Enno</v>
      </c>
    </row>
    <row r="12777" spans="1:10" x14ac:dyDescent="0.25">
      <c r="A12777">
        <v>14414</v>
      </c>
      <c r="B12777" t="s">
        <v>34881</v>
      </c>
      <c r="C12777">
        <v>525</v>
      </c>
      <c r="D12777">
        <v>385</v>
      </c>
      <c r="E12777">
        <v>1577201020</v>
      </c>
      <c r="F12777">
        <v>4976</v>
      </c>
      <c r="G12777">
        <v>0</v>
      </c>
      <c r="H12777" t="s">
        <v>17662</v>
      </c>
      <c r="I12777">
        <v>14414</v>
      </c>
      <c r="J12777" t="str">
        <f>VLOOKUP(E12777,DSSpieler!A:B,2,FALSE)</f>
        <v>carecry123</v>
      </c>
    </row>
    <row r="12778" spans="1:10" x14ac:dyDescent="0.25">
      <c r="A12778">
        <v>14415</v>
      </c>
      <c r="B12778" t="s">
        <v>531</v>
      </c>
      <c r="C12778">
        <v>594</v>
      </c>
      <c r="D12778">
        <v>572</v>
      </c>
      <c r="E12778">
        <v>0</v>
      </c>
      <c r="F12778">
        <v>312</v>
      </c>
      <c r="G12778">
        <v>0</v>
      </c>
      <c r="H12778" t="s">
        <v>17663</v>
      </c>
      <c r="I12778">
        <v>14415</v>
      </c>
      <c r="J12778" t="e">
        <f>VLOOKUP(E12778,DSSpieler!A:B,2,FALSE)</f>
        <v>#N/A</v>
      </c>
    </row>
    <row r="12779" spans="1:10" x14ac:dyDescent="0.25">
      <c r="A12779">
        <v>14416</v>
      </c>
      <c r="B12779" t="s">
        <v>531</v>
      </c>
      <c r="C12779">
        <v>422</v>
      </c>
      <c r="D12779">
        <v>583</v>
      </c>
      <c r="E12779">
        <v>0</v>
      </c>
      <c r="F12779">
        <v>177</v>
      </c>
      <c r="G12779">
        <v>0</v>
      </c>
      <c r="H12779" t="s">
        <v>17664</v>
      </c>
      <c r="I12779">
        <v>14416</v>
      </c>
      <c r="J12779" t="e">
        <f>VLOOKUP(E12779,DSSpieler!A:B,2,FALSE)</f>
        <v>#N/A</v>
      </c>
    </row>
    <row r="12780" spans="1:10" x14ac:dyDescent="0.25">
      <c r="A12780">
        <v>14418</v>
      </c>
      <c r="B12780" t="s">
        <v>531</v>
      </c>
      <c r="C12780">
        <v>527</v>
      </c>
      <c r="D12780">
        <v>614</v>
      </c>
      <c r="E12780">
        <v>0</v>
      </c>
      <c r="F12780">
        <v>186</v>
      </c>
      <c r="G12780">
        <v>0</v>
      </c>
      <c r="H12780" t="s">
        <v>17665</v>
      </c>
      <c r="I12780">
        <v>14418</v>
      </c>
      <c r="J12780" t="e">
        <f>VLOOKUP(E12780,DSSpieler!A:B,2,FALSE)</f>
        <v>#N/A</v>
      </c>
    </row>
    <row r="12781" spans="1:10" x14ac:dyDescent="0.25">
      <c r="A12781">
        <v>14419</v>
      </c>
      <c r="B12781" t="s">
        <v>531</v>
      </c>
      <c r="C12781">
        <v>610</v>
      </c>
      <c r="D12781">
        <v>460</v>
      </c>
      <c r="E12781">
        <v>0</v>
      </c>
      <c r="F12781">
        <v>169</v>
      </c>
      <c r="G12781">
        <v>0</v>
      </c>
      <c r="H12781" t="s">
        <v>17666</v>
      </c>
      <c r="I12781">
        <v>14419</v>
      </c>
      <c r="J12781" t="e">
        <f>VLOOKUP(E12781,DSSpieler!A:B,2,FALSE)</f>
        <v>#N/A</v>
      </c>
    </row>
    <row r="12782" spans="1:10" x14ac:dyDescent="0.25">
      <c r="A12782">
        <v>14420</v>
      </c>
      <c r="B12782" t="s">
        <v>34882</v>
      </c>
      <c r="C12782">
        <v>509</v>
      </c>
      <c r="D12782">
        <v>382</v>
      </c>
      <c r="E12782">
        <v>1074846</v>
      </c>
      <c r="F12782">
        <v>3833</v>
      </c>
      <c r="G12782">
        <v>0</v>
      </c>
      <c r="H12782" t="s">
        <v>17667</v>
      </c>
      <c r="I12782">
        <v>14420</v>
      </c>
      <c r="J12782" t="str">
        <f>VLOOKUP(E12782,DSSpieler!A:B,2,FALSE)</f>
        <v>eminem01379</v>
      </c>
    </row>
    <row r="12783" spans="1:10" x14ac:dyDescent="0.25">
      <c r="A12783">
        <v>14421</v>
      </c>
      <c r="B12783" t="s">
        <v>545</v>
      </c>
      <c r="C12783">
        <v>470</v>
      </c>
      <c r="D12783">
        <v>550</v>
      </c>
      <c r="E12783">
        <v>1577188737</v>
      </c>
      <c r="F12783">
        <v>2614</v>
      </c>
      <c r="G12783">
        <v>0</v>
      </c>
      <c r="H12783" t="s">
        <v>17668</v>
      </c>
      <c r="I12783">
        <v>14421</v>
      </c>
      <c r="J12783" t="str">
        <f>VLOOKUP(E12783,DSSpieler!A:B,2,FALSE)</f>
        <v>Ron1604</v>
      </c>
    </row>
    <row r="12784" spans="1:10" x14ac:dyDescent="0.25">
      <c r="A12784">
        <v>14422</v>
      </c>
      <c r="B12784" t="s">
        <v>531</v>
      </c>
      <c r="C12784">
        <v>401</v>
      </c>
      <c r="D12784">
        <v>447</v>
      </c>
      <c r="E12784">
        <v>0</v>
      </c>
      <c r="F12784">
        <v>125</v>
      </c>
      <c r="G12784">
        <v>0</v>
      </c>
      <c r="H12784" t="s">
        <v>17669</v>
      </c>
      <c r="I12784">
        <v>14422</v>
      </c>
      <c r="J12784" t="e">
        <f>VLOOKUP(E12784,DSSpieler!A:B,2,FALSE)</f>
        <v>#N/A</v>
      </c>
    </row>
    <row r="12785" spans="1:10" x14ac:dyDescent="0.25">
      <c r="A12785">
        <v>14423</v>
      </c>
      <c r="B12785" t="s">
        <v>531</v>
      </c>
      <c r="C12785">
        <v>510</v>
      </c>
      <c r="D12785">
        <v>607</v>
      </c>
      <c r="E12785">
        <v>0</v>
      </c>
      <c r="F12785">
        <v>184</v>
      </c>
      <c r="G12785">
        <v>0</v>
      </c>
      <c r="H12785" t="s">
        <v>17670</v>
      </c>
      <c r="I12785">
        <v>14423</v>
      </c>
      <c r="J12785" t="e">
        <f>VLOOKUP(E12785,DSSpieler!A:B,2,FALSE)</f>
        <v>#N/A</v>
      </c>
    </row>
    <row r="12786" spans="1:10" x14ac:dyDescent="0.25">
      <c r="A12786">
        <v>14424</v>
      </c>
      <c r="B12786" t="s">
        <v>531</v>
      </c>
      <c r="C12786">
        <v>603</v>
      </c>
      <c r="D12786">
        <v>546</v>
      </c>
      <c r="E12786">
        <v>0</v>
      </c>
      <c r="F12786">
        <v>340</v>
      </c>
      <c r="G12786">
        <v>0</v>
      </c>
      <c r="H12786" t="s">
        <v>17671</v>
      </c>
      <c r="I12786">
        <v>14424</v>
      </c>
      <c r="J12786" t="e">
        <f>VLOOKUP(E12786,DSSpieler!A:B,2,FALSE)</f>
        <v>#N/A</v>
      </c>
    </row>
    <row r="12787" spans="1:10" x14ac:dyDescent="0.25">
      <c r="A12787">
        <v>14425</v>
      </c>
      <c r="B12787" t="s">
        <v>531</v>
      </c>
      <c r="C12787">
        <v>496</v>
      </c>
      <c r="D12787">
        <v>601</v>
      </c>
      <c r="E12787">
        <v>0</v>
      </c>
      <c r="F12787">
        <v>136</v>
      </c>
      <c r="G12787">
        <v>0</v>
      </c>
      <c r="H12787" t="s">
        <v>17672</v>
      </c>
      <c r="I12787">
        <v>14425</v>
      </c>
      <c r="J12787" t="e">
        <f>VLOOKUP(E12787,DSSpieler!A:B,2,FALSE)</f>
        <v>#N/A</v>
      </c>
    </row>
    <row r="12788" spans="1:10" x14ac:dyDescent="0.25">
      <c r="A12788">
        <v>14426</v>
      </c>
      <c r="B12788" t="s">
        <v>531</v>
      </c>
      <c r="C12788">
        <v>498</v>
      </c>
      <c r="D12788">
        <v>603</v>
      </c>
      <c r="E12788">
        <v>0</v>
      </c>
      <c r="F12788">
        <v>127</v>
      </c>
      <c r="G12788">
        <v>0</v>
      </c>
      <c r="H12788" t="s">
        <v>17673</v>
      </c>
      <c r="I12788">
        <v>14426</v>
      </c>
      <c r="J12788" t="e">
        <f>VLOOKUP(E12788,DSSpieler!A:B,2,FALSE)</f>
        <v>#N/A</v>
      </c>
    </row>
    <row r="12789" spans="1:10" x14ac:dyDescent="0.25">
      <c r="A12789">
        <v>14427</v>
      </c>
      <c r="B12789" t="s">
        <v>531</v>
      </c>
      <c r="C12789">
        <v>571</v>
      </c>
      <c r="D12789">
        <v>591</v>
      </c>
      <c r="E12789">
        <v>0</v>
      </c>
      <c r="F12789">
        <v>321</v>
      </c>
      <c r="G12789">
        <v>0</v>
      </c>
      <c r="H12789" t="s">
        <v>17674</v>
      </c>
      <c r="I12789">
        <v>14427</v>
      </c>
      <c r="J12789" t="e">
        <f>VLOOKUP(E12789,DSSpieler!A:B,2,FALSE)</f>
        <v>#N/A</v>
      </c>
    </row>
    <row r="12790" spans="1:10" x14ac:dyDescent="0.25">
      <c r="A12790">
        <v>14428</v>
      </c>
      <c r="B12790" t="s">
        <v>531</v>
      </c>
      <c r="C12790">
        <v>500</v>
      </c>
      <c r="D12790">
        <v>615</v>
      </c>
      <c r="E12790">
        <v>0</v>
      </c>
      <c r="F12790">
        <v>156</v>
      </c>
      <c r="G12790">
        <v>0</v>
      </c>
      <c r="H12790" t="s">
        <v>17675</v>
      </c>
      <c r="I12790">
        <v>14428</v>
      </c>
      <c r="J12790" t="e">
        <f>VLOOKUP(E12790,DSSpieler!A:B,2,FALSE)</f>
        <v>#N/A</v>
      </c>
    </row>
    <row r="12791" spans="1:10" x14ac:dyDescent="0.25">
      <c r="A12791">
        <v>14429</v>
      </c>
      <c r="B12791" t="s">
        <v>531</v>
      </c>
      <c r="C12791">
        <v>496</v>
      </c>
      <c r="D12791">
        <v>615</v>
      </c>
      <c r="E12791">
        <v>0</v>
      </c>
      <c r="F12791">
        <v>151</v>
      </c>
      <c r="G12791">
        <v>0</v>
      </c>
      <c r="H12791" t="s">
        <v>17676</v>
      </c>
      <c r="I12791">
        <v>14429</v>
      </c>
      <c r="J12791" t="e">
        <f>VLOOKUP(E12791,DSSpieler!A:B,2,FALSE)</f>
        <v>#N/A</v>
      </c>
    </row>
    <row r="12792" spans="1:10" x14ac:dyDescent="0.25">
      <c r="A12792">
        <v>14430</v>
      </c>
      <c r="B12792" t="s">
        <v>531</v>
      </c>
      <c r="C12792">
        <v>492</v>
      </c>
      <c r="D12792">
        <v>613</v>
      </c>
      <c r="E12792">
        <v>0</v>
      </c>
      <c r="F12792">
        <v>269</v>
      </c>
      <c r="G12792">
        <v>0</v>
      </c>
      <c r="H12792" t="s">
        <v>17677</v>
      </c>
      <c r="I12792">
        <v>14430</v>
      </c>
      <c r="J12792" t="e">
        <f>VLOOKUP(E12792,DSSpieler!A:B,2,FALSE)</f>
        <v>#N/A</v>
      </c>
    </row>
    <row r="12793" spans="1:10" x14ac:dyDescent="0.25">
      <c r="A12793">
        <v>14431</v>
      </c>
      <c r="B12793" t="s">
        <v>531</v>
      </c>
      <c r="C12793">
        <v>518</v>
      </c>
      <c r="D12793">
        <v>615</v>
      </c>
      <c r="E12793">
        <v>0</v>
      </c>
      <c r="F12793">
        <v>1618</v>
      </c>
      <c r="G12793">
        <v>0</v>
      </c>
      <c r="H12793" t="s">
        <v>17678</v>
      </c>
      <c r="I12793">
        <v>14431</v>
      </c>
      <c r="J12793" t="e">
        <f>VLOOKUP(E12793,DSSpieler!A:B,2,FALSE)</f>
        <v>#N/A</v>
      </c>
    </row>
    <row r="12794" spans="1:10" x14ac:dyDescent="0.25">
      <c r="A12794">
        <v>14432</v>
      </c>
      <c r="B12794" t="s">
        <v>531</v>
      </c>
      <c r="C12794">
        <v>495</v>
      </c>
      <c r="D12794">
        <v>616</v>
      </c>
      <c r="E12794">
        <v>0</v>
      </c>
      <c r="F12794">
        <v>887</v>
      </c>
      <c r="G12794">
        <v>0</v>
      </c>
      <c r="H12794" t="s">
        <v>17679</v>
      </c>
      <c r="I12794">
        <v>14432</v>
      </c>
      <c r="J12794" t="e">
        <f>VLOOKUP(E12794,DSSpieler!A:B,2,FALSE)</f>
        <v>#N/A</v>
      </c>
    </row>
    <row r="12795" spans="1:10" x14ac:dyDescent="0.25">
      <c r="A12795">
        <v>14433</v>
      </c>
      <c r="B12795" t="s">
        <v>531</v>
      </c>
      <c r="C12795">
        <v>615</v>
      </c>
      <c r="D12795">
        <v>483</v>
      </c>
      <c r="E12795">
        <v>0</v>
      </c>
      <c r="F12795">
        <v>224</v>
      </c>
      <c r="G12795">
        <v>0</v>
      </c>
      <c r="H12795" t="s">
        <v>17680</v>
      </c>
      <c r="I12795">
        <v>14433</v>
      </c>
      <c r="J12795" t="e">
        <f>VLOOKUP(E12795,DSSpieler!A:B,2,FALSE)</f>
        <v>#N/A</v>
      </c>
    </row>
    <row r="12796" spans="1:10" x14ac:dyDescent="0.25">
      <c r="A12796">
        <v>14434</v>
      </c>
      <c r="B12796" t="s">
        <v>34883</v>
      </c>
      <c r="C12796">
        <v>584</v>
      </c>
      <c r="D12796">
        <v>418</v>
      </c>
      <c r="E12796">
        <v>1576516780</v>
      </c>
      <c r="F12796">
        <v>3926</v>
      </c>
      <c r="G12796">
        <v>0</v>
      </c>
      <c r="H12796" t="s">
        <v>17681</v>
      </c>
      <c r="I12796">
        <v>14434</v>
      </c>
      <c r="J12796" t="str">
        <f>VLOOKUP(E12796,DSSpieler!A:B,2,FALSE)</f>
        <v>michibe1</v>
      </c>
    </row>
    <row r="12797" spans="1:10" x14ac:dyDescent="0.25">
      <c r="A12797">
        <v>14435</v>
      </c>
      <c r="B12797" t="s">
        <v>531</v>
      </c>
      <c r="C12797">
        <v>477</v>
      </c>
      <c r="D12797">
        <v>386</v>
      </c>
      <c r="E12797">
        <v>0</v>
      </c>
      <c r="F12797">
        <v>788</v>
      </c>
      <c r="G12797">
        <v>0</v>
      </c>
      <c r="H12797" t="s">
        <v>17682</v>
      </c>
      <c r="I12797">
        <v>14435</v>
      </c>
      <c r="J12797" t="e">
        <f>VLOOKUP(E12797,DSSpieler!A:B,2,FALSE)</f>
        <v>#N/A</v>
      </c>
    </row>
    <row r="12798" spans="1:10" x14ac:dyDescent="0.25">
      <c r="A12798">
        <v>14436</v>
      </c>
      <c r="B12798" t="s">
        <v>531</v>
      </c>
      <c r="C12798">
        <v>482</v>
      </c>
      <c r="D12798">
        <v>616</v>
      </c>
      <c r="E12798">
        <v>0</v>
      </c>
      <c r="F12798">
        <v>291</v>
      </c>
      <c r="G12798">
        <v>0</v>
      </c>
      <c r="H12798" t="s">
        <v>17683</v>
      </c>
      <c r="I12798">
        <v>14436</v>
      </c>
      <c r="J12798" t="e">
        <f>VLOOKUP(E12798,DSSpieler!A:B,2,FALSE)</f>
        <v>#N/A</v>
      </c>
    </row>
    <row r="12799" spans="1:10" x14ac:dyDescent="0.25">
      <c r="A12799">
        <v>14438</v>
      </c>
      <c r="B12799" t="s">
        <v>531</v>
      </c>
      <c r="C12799">
        <v>428</v>
      </c>
      <c r="D12799">
        <v>592</v>
      </c>
      <c r="E12799">
        <v>0</v>
      </c>
      <c r="F12799">
        <v>120</v>
      </c>
      <c r="G12799">
        <v>0</v>
      </c>
      <c r="H12799" t="s">
        <v>17684</v>
      </c>
      <c r="I12799">
        <v>14438</v>
      </c>
      <c r="J12799" t="e">
        <f>VLOOKUP(E12799,DSSpieler!A:B,2,FALSE)</f>
        <v>#N/A</v>
      </c>
    </row>
    <row r="12800" spans="1:10" x14ac:dyDescent="0.25">
      <c r="A12800">
        <v>14439</v>
      </c>
      <c r="B12800" t="s">
        <v>2321</v>
      </c>
      <c r="C12800">
        <v>485</v>
      </c>
      <c r="D12800">
        <v>615</v>
      </c>
      <c r="E12800">
        <v>10044977</v>
      </c>
      <c r="F12800">
        <v>1470</v>
      </c>
      <c r="G12800">
        <v>0</v>
      </c>
      <c r="H12800" t="s">
        <v>17685</v>
      </c>
      <c r="I12800">
        <v>14439</v>
      </c>
      <c r="J12800" t="str">
        <f>VLOOKUP(E12800,DSSpieler!A:B,2,FALSE)</f>
        <v>Lady Shania</v>
      </c>
    </row>
    <row r="12801" spans="1:10" x14ac:dyDescent="0.25">
      <c r="A12801">
        <v>14441</v>
      </c>
      <c r="B12801" t="s">
        <v>2322</v>
      </c>
      <c r="C12801">
        <v>396</v>
      </c>
      <c r="D12801">
        <v>448</v>
      </c>
      <c r="E12801">
        <v>7764645</v>
      </c>
      <c r="F12801">
        <v>553</v>
      </c>
      <c r="G12801">
        <v>0</v>
      </c>
      <c r="H12801" t="s">
        <v>17686</v>
      </c>
      <c r="I12801">
        <v>14441</v>
      </c>
      <c r="J12801" t="str">
        <f>VLOOKUP(E12801,DSSpieler!A:B,2,FALSE)</f>
        <v>Lionheart II</v>
      </c>
    </row>
    <row r="12802" spans="1:10" x14ac:dyDescent="0.25">
      <c r="A12802">
        <v>14442</v>
      </c>
      <c r="B12802" t="s">
        <v>35856</v>
      </c>
      <c r="C12802">
        <v>507</v>
      </c>
      <c r="D12802">
        <v>456</v>
      </c>
      <c r="E12802">
        <v>1577198978</v>
      </c>
      <c r="F12802">
        <v>954</v>
      </c>
      <c r="G12802">
        <v>0</v>
      </c>
      <c r="H12802" t="s">
        <v>17687</v>
      </c>
      <c r="I12802">
        <v>14442</v>
      </c>
      <c r="J12802" t="str">
        <f>VLOOKUP(E12802,DSSpieler!A:B,2,FALSE)</f>
        <v>lucas112</v>
      </c>
    </row>
    <row r="12803" spans="1:10" x14ac:dyDescent="0.25">
      <c r="A12803">
        <v>14443</v>
      </c>
      <c r="B12803" t="s">
        <v>2323</v>
      </c>
      <c r="C12803">
        <v>587</v>
      </c>
      <c r="D12803">
        <v>424</v>
      </c>
      <c r="E12803">
        <v>1576501444</v>
      </c>
      <c r="F12803">
        <v>4227</v>
      </c>
      <c r="G12803">
        <v>0</v>
      </c>
      <c r="H12803" t="s">
        <v>17688</v>
      </c>
      <c r="I12803">
        <v>14443</v>
      </c>
      <c r="J12803" t="str">
        <f>VLOOKUP(E12803,DSSpieler!A:B,2,FALSE)</f>
        <v>König Bananenbauer</v>
      </c>
    </row>
    <row r="12804" spans="1:10" x14ac:dyDescent="0.25">
      <c r="A12804">
        <v>14444</v>
      </c>
      <c r="B12804" t="s">
        <v>2324</v>
      </c>
      <c r="C12804">
        <v>384</v>
      </c>
      <c r="D12804">
        <v>512</v>
      </c>
      <c r="E12804">
        <v>2201913</v>
      </c>
      <c r="F12804">
        <v>2098</v>
      </c>
      <c r="G12804">
        <v>0</v>
      </c>
      <c r="H12804" t="s">
        <v>17689</v>
      </c>
      <c r="I12804">
        <v>14444</v>
      </c>
      <c r="J12804" t="str">
        <f>VLOOKUP(E12804,DSSpieler!A:B,2,FALSE)</f>
        <v>freddy1972</v>
      </c>
    </row>
    <row r="12805" spans="1:10" x14ac:dyDescent="0.25">
      <c r="A12805">
        <v>14445</v>
      </c>
      <c r="B12805" t="s">
        <v>32161</v>
      </c>
      <c r="C12805">
        <v>388</v>
      </c>
      <c r="D12805">
        <v>515</v>
      </c>
      <c r="E12805">
        <v>1577181197</v>
      </c>
      <c r="F12805">
        <v>2128</v>
      </c>
      <c r="G12805">
        <v>0</v>
      </c>
      <c r="H12805" t="s">
        <v>17690</v>
      </c>
      <c r="I12805">
        <v>14445</v>
      </c>
      <c r="J12805" t="str">
        <f>VLOOKUP(E12805,DSSpieler!A:B,2,FALSE)</f>
        <v>Bausi the best</v>
      </c>
    </row>
    <row r="12806" spans="1:10" x14ac:dyDescent="0.25">
      <c r="A12806">
        <v>14446</v>
      </c>
      <c r="B12806" t="s">
        <v>34884</v>
      </c>
      <c r="C12806">
        <v>545</v>
      </c>
      <c r="D12806">
        <v>393</v>
      </c>
      <c r="E12806">
        <v>9979692</v>
      </c>
      <c r="F12806">
        <v>1201</v>
      </c>
      <c r="G12806">
        <v>0</v>
      </c>
      <c r="H12806" t="s">
        <v>17691</v>
      </c>
      <c r="I12806">
        <v>14446</v>
      </c>
      <c r="J12806" t="str">
        <f>VLOOKUP(E12806,DSSpieler!A:B,2,FALSE)</f>
        <v>WennaMorloch</v>
      </c>
    </row>
    <row r="12807" spans="1:10" x14ac:dyDescent="0.25">
      <c r="A12807">
        <v>14447</v>
      </c>
      <c r="B12807" t="s">
        <v>531</v>
      </c>
      <c r="C12807">
        <v>387</v>
      </c>
      <c r="D12807">
        <v>518</v>
      </c>
      <c r="E12807">
        <v>0</v>
      </c>
      <c r="F12807">
        <v>666</v>
      </c>
      <c r="G12807">
        <v>0</v>
      </c>
      <c r="H12807" t="s">
        <v>17692</v>
      </c>
      <c r="I12807">
        <v>14447</v>
      </c>
      <c r="J12807" t="e">
        <f>VLOOKUP(E12807,DSSpieler!A:B,2,FALSE)</f>
        <v>#N/A</v>
      </c>
    </row>
    <row r="12808" spans="1:10" x14ac:dyDescent="0.25">
      <c r="A12808">
        <v>14448</v>
      </c>
      <c r="B12808" t="s">
        <v>34885</v>
      </c>
      <c r="C12808">
        <v>548</v>
      </c>
      <c r="D12808">
        <v>606</v>
      </c>
      <c r="E12808">
        <v>1576082944</v>
      </c>
      <c r="F12808">
        <v>1489</v>
      </c>
      <c r="G12808">
        <v>0</v>
      </c>
      <c r="H12808" t="s">
        <v>17693</v>
      </c>
      <c r="I12808">
        <v>14448</v>
      </c>
      <c r="J12808" t="str">
        <f>VLOOKUP(E12808,DSSpieler!A:B,2,FALSE)</f>
        <v>Hoerstchen</v>
      </c>
    </row>
    <row r="12809" spans="1:10" x14ac:dyDescent="0.25">
      <c r="A12809">
        <v>14449</v>
      </c>
      <c r="B12809" t="s">
        <v>531</v>
      </c>
      <c r="C12809">
        <v>568</v>
      </c>
      <c r="D12809">
        <v>404</v>
      </c>
      <c r="E12809">
        <v>0</v>
      </c>
      <c r="F12809">
        <v>254</v>
      </c>
      <c r="G12809">
        <v>0</v>
      </c>
      <c r="H12809" t="s">
        <v>17694</v>
      </c>
      <c r="I12809">
        <v>14449</v>
      </c>
      <c r="J12809" t="e">
        <f>VLOOKUP(E12809,DSSpieler!A:B,2,FALSE)</f>
        <v>#N/A</v>
      </c>
    </row>
    <row r="12810" spans="1:10" x14ac:dyDescent="0.25">
      <c r="A12810">
        <v>14450</v>
      </c>
      <c r="B12810" t="s">
        <v>1365</v>
      </c>
      <c r="C12810">
        <v>462</v>
      </c>
      <c r="D12810">
        <v>439</v>
      </c>
      <c r="E12810">
        <v>1576265517</v>
      </c>
      <c r="F12810">
        <v>5861</v>
      </c>
      <c r="G12810">
        <v>0</v>
      </c>
      <c r="H12810" t="s">
        <v>17695</v>
      </c>
      <c r="I12810">
        <v>14450</v>
      </c>
      <c r="J12810" t="str">
        <f>VLOOKUP(E12810,DSSpieler!A:B,2,FALSE)</f>
        <v>ekaan</v>
      </c>
    </row>
    <row r="12811" spans="1:10" x14ac:dyDescent="0.25">
      <c r="A12811">
        <v>14451</v>
      </c>
      <c r="B12811" t="s">
        <v>34886</v>
      </c>
      <c r="C12811">
        <v>577</v>
      </c>
      <c r="D12811">
        <v>583</v>
      </c>
      <c r="E12811">
        <v>1577143632</v>
      </c>
      <c r="F12811">
        <v>1366</v>
      </c>
      <c r="G12811">
        <v>0</v>
      </c>
      <c r="H12811" t="s">
        <v>17696</v>
      </c>
      <c r="I12811">
        <v>14451</v>
      </c>
      <c r="J12811" t="str">
        <f>VLOOKUP(E12811,DSSpieler!A:B,2,FALSE)</f>
        <v>Bl00Dy</v>
      </c>
    </row>
    <row r="12812" spans="1:10" x14ac:dyDescent="0.25">
      <c r="A12812">
        <v>14452</v>
      </c>
      <c r="B12812" t="s">
        <v>722</v>
      </c>
      <c r="C12812">
        <v>549</v>
      </c>
      <c r="D12812">
        <v>393</v>
      </c>
      <c r="E12812">
        <v>1577150723</v>
      </c>
      <c r="F12812">
        <v>3023</v>
      </c>
      <c r="G12812">
        <v>0</v>
      </c>
      <c r="H12812" t="s">
        <v>17697</v>
      </c>
      <c r="I12812">
        <v>14452</v>
      </c>
      <c r="J12812" t="str">
        <f>VLOOKUP(E12812,DSSpieler!A:B,2,FALSE)</f>
        <v>XXDarkNightXX</v>
      </c>
    </row>
    <row r="12813" spans="1:10" x14ac:dyDescent="0.25">
      <c r="A12813">
        <v>14453</v>
      </c>
      <c r="B12813" t="s">
        <v>531</v>
      </c>
      <c r="C12813">
        <v>392</v>
      </c>
      <c r="D12813">
        <v>453</v>
      </c>
      <c r="E12813">
        <v>0</v>
      </c>
      <c r="F12813">
        <v>635</v>
      </c>
      <c r="G12813">
        <v>0</v>
      </c>
      <c r="H12813" t="s">
        <v>17698</v>
      </c>
      <c r="I12813">
        <v>14453</v>
      </c>
      <c r="J12813" t="e">
        <f>VLOOKUP(E12813,DSSpieler!A:B,2,FALSE)</f>
        <v>#N/A</v>
      </c>
    </row>
    <row r="12814" spans="1:10" x14ac:dyDescent="0.25">
      <c r="A12814">
        <v>14454</v>
      </c>
      <c r="B12814" t="s">
        <v>531</v>
      </c>
      <c r="C12814">
        <v>596</v>
      </c>
      <c r="D12814">
        <v>569</v>
      </c>
      <c r="E12814">
        <v>0</v>
      </c>
      <c r="F12814">
        <v>288</v>
      </c>
      <c r="G12814">
        <v>0</v>
      </c>
      <c r="H12814" t="s">
        <v>17699</v>
      </c>
      <c r="I12814">
        <v>14454</v>
      </c>
      <c r="J12814" t="e">
        <f>VLOOKUP(E12814,DSSpieler!A:B,2,FALSE)</f>
        <v>#N/A</v>
      </c>
    </row>
    <row r="12815" spans="1:10" x14ac:dyDescent="0.25">
      <c r="A12815">
        <v>14455</v>
      </c>
      <c r="B12815" t="s">
        <v>34887</v>
      </c>
      <c r="C12815">
        <v>451</v>
      </c>
      <c r="D12815">
        <v>532</v>
      </c>
      <c r="E12815">
        <v>9551701</v>
      </c>
      <c r="F12815">
        <v>5311</v>
      </c>
      <c r="G12815">
        <v>0</v>
      </c>
      <c r="H12815" t="s">
        <v>17700</v>
      </c>
      <c r="I12815">
        <v>14455</v>
      </c>
      <c r="J12815" t="str">
        <f>VLOOKUP(E12815,DSSpieler!A:B,2,FALSE)</f>
        <v>OJO der Große</v>
      </c>
    </row>
    <row r="12816" spans="1:10" x14ac:dyDescent="0.25">
      <c r="A12816">
        <v>14456</v>
      </c>
      <c r="B12816" t="s">
        <v>34888</v>
      </c>
      <c r="C12816">
        <v>574</v>
      </c>
      <c r="D12816">
        <v>596</v>
      </c>
      <c r="E12816">
        <v>1576936217</v>
      </c>
      <c r="F12816">
        <v>3982</v>
      </c>
      <c r="G12816">
        <v>0</v>
      </c>
      <c r="H12816" t="s">
        <v>17701</v>
      </c>
      <c r="I12816">
        <v>14456</v>
      </c>
      <c r="J12816" t="str">
        <f>VLOOKUP(E12816,DSSpieler!A:B,2,FALSE)</f>
        <v>TimS</v>
      </c>
    </row>
    <row r="12817" spans="1:10" x14ac:dyDescent="0.25">
      <c r="A12817">
        <v>14457</v>
      </c>
      <c r="B12817" t="s">
        <v>531</v>
      </c>
      <c r="C12817">
        <v>617</v>
      </c>
      <c r="D12817">
        <v>519</v>
      </c>
      <c r="E12817">
        <v>0</v>
      </c>
      <c r="F12817">
        <v>1645</v>
      </c>
      <c r="G12817">
        <v>0</v>
      </c>
      <c r="H12817" t="s">
        <v>17702</v>
      </c>
      <c r="I12817">
        <v>14457</v>
      </c>
      <c r="J12817" t="e">
        <f>VLOOKUP(E12817,DSSpieler!A:B,2,FALSE)</f>
        <v>#N/A</v>
      </c>
    </row>
    <row r="12818" spans="1:10" x14ac:dyDescent="0.25">
      <c r="A12818">
        <v>14458</v>
      </c>
      <c r="B12818" t="s">
        <v>531</v>
      </c>
      <c r="C12818">
        <v>395</v>
      </c>
      <c r="D12818">
        <v>553</v>
      </c>
      <c r="E12818">
        <v>0</v>
      </c>
      <c r="F12818">
        <v>278</v>
      </c>
      <c r="G12818">
        <v>0</v>
      </c>
      <c r="H12818" t="s">
        <v>17703</v>
      </c>
      <c r="I12818">
        <v>14458</v>
      </c>
      <c r="J12818" t="e">
        <f>VLOOKUP(E12818,DSSpieler!A:B,2,FALSE)</f>
        <v>#N/A</v>
      </c>
    </row>
    <row r="12819" spans="1:10" x14ac:dyDescent="0.25">
      <c r="A12819">
        <v>14459</v>
      </c>
      <c r="B12819" t="s">
        <v>34889</v>
      </c>
      <c r="C12819">
        <v>568</v>
      </c>
      <c r="D12819">
        <v>588</v>
      </c>
      <c r="E12819">
        <v>1577087190</v>
      </c>
      <c r="F12819">
        <v>3248</v>
      </c>
      <c r="G12819">
        <v>0</v>
      </c>
      <c r="H12819" t="s">
        <v>17704</v>
      </c>
      <c r="I12819">
        <v>14459</v>
      </c>
      <c r="J12819" t="str">
        <f>VLOOKUP(E12819,DSSpieler!A:B,2,FALSE)</f>
        <v>K1R3</v>
      </c>
    </row>
    <row r="12820" spans="1:10" x14ac:dyDescent="0.25">
      <c r="A12820">
        <v>14460</v>
      </c>
      <c r="B12820" t="s">
        <v>531</v>
      </c>
      <c r="C12820">
        <v>453</v>
      </c>
      <c r="D12820">
        <v>493</v>
      </c>
      <c r="E12820">
        <v>0</v>
      </c>
      <c r="F12820">
        <v>142</v>
      </c>
      <c r="G12820">
        <v>0</v>
      </c>
      <c r="H12820" t="s">
        <v>17705</v>
      </c>
      <c r="I12820">
        <v>14460</v>
      </c>
      <c r="J12820" t="e">
        <f>VLOOKUP(E12820,DSSpieler!A:B,2,FALSE)</f>
        <v>#N/A</v>
      </c>
    </row>
    <row r="12821" spans="1:10" x14ac:dyDescent="0.25">
      <c r="A12821">
        <v>14462</v>
      </c>
      <c r="B12821" t="s">
        <v>34890</v>
      </c>
      <c r="C12821">
        <v>442</v>
      </c>
      <c r="D12821">
        <v>400</v>
      </c>
      <c r="E12821">
        <v>10044025</v>
      </c>
      <c r="F12821">
        <v>4636</v>
      </c>
      <c r="G12821">
        <v>0</v>
      </c>
      <c r="H12821" t="s">
        <v>17706</v>
      </c>
      <c r="I12821">
        <v>14462</v>
      </c>
      <c r="J12821" t="str">
        <f>VLOOKUP(E12821,DSSpieler!A:B,2,FALSE)</f>
        <v>iz00n</v>
      </c>
    </row>
    <row r="12822" spans="1:10" x14ac:dyDescent="0.25">
      <c r="A12822">
        <v>14463</v>
      </c>
      <c r="B12822" t="s">
        <v>531</v>
      </c>
      <c r="C12822">
        <v>519</v>
      </c>
      <c r="D12822">
        <v>386</v>
      </c>
      <c r="E12822">
        <v>0</v>
      </c>
      <c r="F12822">
        <v>1101</v>
      </c>
      <c r="G12822">
        <v>0</v>
      </c>
      <c r="H12822" t="s">
        <v>17707</v>
      </c>
      <c r="I12822">
        <v>14463</v>
      </c>
      <c r="J12822" t="e">
        <f>VLOOKUP(E12822,DSSpieler!A:B,2,FALSE)</f>
        <v>#N/A</v>
      </c>
    </row>
    <row r="12823" spans="1:10" x14ac:dyDescent="0.25">
      <c r="A12823">
        <v>14464</v>
      </c>
      <c r="B12823" t="s">
        <v>531</v>
      </c>
      <c r="C12823">
        <v>597</v>
      </c>
      <c r="D12823">
        <v>439</v>
      </c>
      <c r="E12823">
        <v>0</v>
      </c>
      <c r="F12823">
        <v>131</v>
      </c>
      <c r="G12823">
        <v>0</v>
      </c>
      <c r="H12823" t="s">
        <v>17708</v>
      </c>
      <c r="I12823">
        <v>14464</v>
      </c>
      <c r="J12823" t="e">
        <f>VLOOKUP(E12823,DSSpieler!A:B,2,FALSE)</f>
        <v>#N/A</v>
      </c>
    </row>
    <row r="12824" spans="1:10" x14ac:dyDescent="0.25">
      <c r="A12824">
        <v>14465</v>
      </c>
      <c r="B12824" t="s">
        <v>34891</v>
      </c>
      <c r="C12824">
        <v>470</v>
      </c>
      <c r="D12824">
        <v>605</v>
      </c>
      <c r="E12824">
        <v>1577201074</v>
      </c>
      <c r="F12824">
        <v>1554</v>
      </c>
      <c r="G12824">
        <v>0</v>
      </c>
      <c r="H12824" t="s">
        <v>17709</v>
      </c>
      <c r="I12824">
        <v>14465</v>
      </c>
      <c r="J12824" t="str">
        <f>VLOOKUP(E12824,DSSpieler!A:B,2,FALSE)</f>
        <v>Nowak1956</v>
      </c>
    </row>
    <row r="12825" spans="1:10" x14ac:dyDescent="0.25">
      <c r="A12825">
        <v>14467</v>
      </c>
      <c r="B12825" t="s">
        <v>531</v>
      </c>
      <c r="C12825">
        <v>559</v>
      </c>
      <c r="D12825">
        <v>599</v>
      </c>
      <c r="E12825">
        <v>0</v>
      </c>
      <c r="F12825">
        <v>141</v>
      </c>
      <c r="G12825">
        <v>0</v>
      </c>
      <c r="H12825" t="s">
        <v>17710</v>
      </c>
      <c r="I12825">
        <v>14467</v>
      </c>
      <c r="J12825" t="e">
        <f>VLOOKUP(E12825,DSSpieler!A:B,2,FALSE)</f>
        <v>#N/A</v>
      </c>
    </row>
    <row r="12826" spans="1:10" x14ac:dyDescent="0.25">
      <c r="A12826">
        <v>14468</v>
      </c>
      <c r="B12826" t="s">
        <v>531</v>
      </c>
      <c r="C12826">
        <v>546</v>
      </c>
      <c r="D12826">
        <v>493</v>
      </c>
      <c r="E12826">
        <v>0</v>
      </c>
      <c r="F12826">
        <v>492</v>
      </c>
      <c r="G12826">
        <v>0</v>
      </c>
      <c r="H12826" t="s">
        <v>17711</v>
      </c>
      <c r="I12826">
        <v>14468</v>
      </c>
      <c r="J12826" t="e">
        <f>VLOOKUP(E12826,DSSpieler!A:B,2,FALSE)</f>
        <v>#N/A</v>
      </c>
    </row>
    <row r="12827" spans="1:10" x14ac:dyDescent="0.25">
      <c r="A12827">
        <v>14470</v>
      </c>
      <c r="B12827" t="s">
        <v>34892</v>
      </c>
      <c r="C12827">
        <v>430</v>
      </c>
      <c r="D12827">
        <v>418</v>
      </c>
      <c r="E12827">
        <v>7806902</v>
      </c>
      <c r="F12827">
        <v>6281</v>
      </c>
      <c r="G12827">
        <v>0</v>
      </c>
      <c r="H12827" t="s">
        <v>17712</v>
      </c>
      <c r="I12827">
        <v>14470</v>
      </c>
      <c r="J12827" t="str">
        <f>VLOOKUP(E12827,DSSpieler!A:B,2,FALSE)</f>
        <v>Aiyomayo</v>
      </c>
    </row>
    <row r="12828" spans="1:10" x14ac:dyDescent="0.25">
      <c r="A12828">
        <v>14471</v>
      </c>
      <c r="B12828" t="s">
        <v>531</v>
      </c>
      <c r="C12828">
        <v>565</v>
      </c>
      <c r="D12828">
        <v>594</v>
      </c>
      <c r="E12828">
        <v>0</v>
      </c>
      <c r="F12828">
        <v>380</v>
      </c>
      <c r="G12828">
        <v>0</v>
      </c>
      <c r="H12828" t="s">
        <v>17713</v>
      </c>
      <c r="I12828">
        <v>14471</v>
      </c>
      <c r="J12828" t="e">
        <f>VLOOKUP(E12828,DSSpieler!A:B,2,FALSE)</f>
        <v>#N/A</v>
      </c>
    </row>
    <row r="12829" spans="1:10" x14ac:dyDescent="0.25">
      <c r="A12829">
        <v>14472</v>
      </c>
      <c r="B12829" t="s">
        <v>531</v>
      </c>
      <c r="C12829">
        <v>440</v>
      </c>
      <c r="D12829">
        <v>403</v>
      </c>
      <c r="E12829">
        <v>0</v>
      </c>
      <c r="F12829">
        <v>163</v>
      </c>
      <c r="G12829">
        <v>0</v>
      </c>
      <c r="H12829" t="s">
        <v>17714</v>
      </c>
      <c r="I12829">
        <v>14472</v>
      </c>
      <c r="J12829" t="e">
        <f>VLOOKUP(E12829,DSSpieler!A:B,2,FALSE)</f>
        <v>#N/A</v>
      </c>
    </row>
    <row r="12830" spans="1:10" x14ac:dyDescent="0.25">
      <c r="A12830">
        <v>14473</v>
      </c>
      <c r="B12830" t="s">
        <v>34893</v>
      </c>
      <c r="C12830">
        <v>393</v>
      </c>
      <c r="D12830">
        <v>543</v>
      </c>
      <c r="E12830">
        <v>1576655476</v>
      </c>
      <c r="F12830">
        <v>2533</v>
      </c>
      <c r="G12830">
        <v>0</v>
      </c>
      <c r="H12830" t="s">
        <v>17715</v>
      </c>
      <c r="I12830">
        <v>14473</v>
      </c>
      <c r="J12830" t="str">
        <f>VLOOKUP(E12830,DSSpieler!A:B,2,FALSE)</f>
        <v>Antey</v>
      </c>
    </row>
    <row r="12831" spans="1:10" x14ac:dyDescent="0.25">
      <c r="A12831">
        <v>14474</v>
      </c>
      <c r="B12831" t="s">
        <v>34894</v>
      </c>
      <c r="C12831">
        <v>514</v>
      </c>
      <c r="D12831">
        <v>617</v>
      </c>
      <c r="E12831">
        <v>2451330</v>
      </c>
      <c r="F12831">
        <v>5110</v>
      </c>
      <c r="G12831">
        <v>0</v>
      </c>
      <c r="H12831" t="s">
        <v>17716</v>
      </c>
      <c r="I12831">
        <v>14474</v>
      </c>
      <c r="J12831" t="str">
        <f>VLOOKUP(E12831,DSSpieler!A:B,2,FALSE)</f>
        <v>Norminho</v>
      </c>
    </row>
    <row r="12832" spans="1:10" x14ac:dyDescent="0.25">
      <c r="A12832">
        <v>14475</v>
      </c>
      <c r="B12832" t="s">
        <v>34895</v>
      </c>
      <c r="C12832">
        <v>397</v>
      </c>
      <c r="D12832">
        <v>491</v>
      </c>
      <c r="E12832">
        <v>1577201087</v>
      </c>
      <c r="F12832">
        <v>4352</v>
      </c>
      <c r="G12832">
        <v>0</v>
      </c>
      <c r="H12832" t="s">
        <v>441</v>
      </c>
      <c r="I12832">
        <v>14475</v>
      </c>
      <c r="J12832" t="str">
        <f>VLOOKUP(E12832,DSSpieler!A:B,2,FALSE)</f>
        <v>Gartoffel</v>
      </c>
    </row>
    <row r="12833" spans="1:10" x14ac:dyDescent="0.25">
      <c r="A12833">
        <v>14476</v>
      </c>
      <c r="B12833" t="s">
        <v>2325</v>
      </c>
      <c r="C12833">
        <v>472</v>
      </c>
      <c r="D12833">
        <v>609</v>
      </c>
      <c r="E12833">
        <v>1577162680</v>
      </c>
      <c r="F12833">
        <v>971</v>
      </c>
      <c r="G12833">
        <v>0</v>
      </c>
      <c r="H12833" t="s">
        <v>17717</v>
      </c>
      <c r="I12833">
        <v>14476</v>
      </c>
      <c r="J12833" t="str">
        <f>VLOOKUP(E12833,DSSpieler!A:B,2,FALSE)</f>
        <v>Dammei64</v>
      </c>
    </row>
    <row r="12834" spans="1:10" x14ac:dyDescent="0.25">
      <c r="A12834">
        <v>14477</v>
      </c>
      <c r="B12834" t="s">
        <v>531</v>
      </c>
      <c r="C12834">
        <v>478</v>
      </c>
      <c r="D12834">
        <v>385</v>
      </c>
      <c r="E12834">
        <v>0</v>
      </c>
      <c r="F12834">
        <v>217</v>
      </c>
      <c r="G12834">
        <v>0</v>
      </c>
      <c r="H12834" t="s">
        <v>17718</v>
      </c>
      <c r="I12834">
        <v>14477</v>
      </c>
      <c r="J12834" t="e">
        <f>VLOOKUP(E12834,DSSpieler!A:B,2,FALSE)</f>
        <v>#N/A</v>
      </c>
    </row>
    <row r="12835" spans="1:10" x14ac:dyDescent="0.25">
      <c r="A12835">
        <v>14478</v>
      </c>
      <c r="B12835" t="s">
        <v>531</v>
      </c>
      <c r="C12835">
        <v>437</v>
      </c>
      <c r="D12835">
        <v>593</v>
      </c>
      <c r="E12835">
        <v>0</v>
      </c>
      <c r="F12835">
        <v>115</v>
      </c>
      <c r="G12835">
        <v>0</v>
      </c>
      <c r="H12835" t="s">
        <v>17719</v>
      </c>
      <c r="I12835">
        <v>14478</v>
      </c>
      <c r="J12835" t="e">
        <f>VLOOKUP(E12835,DSSpieler!A:B,2,FALSE)</f>
        <v>#N/A</v>
      </c>
    </row>
    <row r="12836" spans="1:10" x14ac:dyDescent="0.25">
      <c r="A12836">
        <v>14479</v>
      </c>
      <c r="B12836" t="s">
        <v>531</v>
      </c>
      <c r="C12836">
        <v>605</v>
      </c>
      <c r="D12836">
        <v>447</v>
      </c>
      <c r="E12836">
        <v>0</v>
      </c>
      <c r="F12836">
        <v>290</v>
      </c>
      <c r="G12836">
        <v>0</v>
      </c>
      <c r="H12836" t="s">
        <v>17720</v>
      </c>
      <c r="I12836">
        <v>14479</v>
      </c>
      <c r="J12836" t="e">
        <f>VLOOKUP(E12836,DSSpieler!A:B,2,FALSE)</f>
        <v>#N/A</v>
      </c>
    </row>
    <row r="12837" spans="1:10" x14ac:dyDescent="0.25">
      <c r="A12837">
        <v>14480</v>
      </c>
      <c r="B12837" t="s">
        <v>531</v>
      </c>
      <c r="C12837">
        <v>570</v>
      </c>
      <c r="D12837">
        <v>405</v>
      </c>
      <c r="E12837">
        <v>0</v>
      </c>
      <c r="F12837">
        <v>169</v>
      </c>
      <c r="G12837">
        <v>0</v>
      </c>
      <c r="H12837" t="s">
        <v>17721</v>
      </c>
      <c r="I12837">
        <v>14480</v>
      </c>
      <c r="J12837" t="e">
        <f>VLOOKUP(E12837,DSSpieler!A:B,2,FALSE)</f>
        <v>#N/A</v>
      </c>
    </row>
    <row r="12838" spans="1:10" x14ac:dyDescent="0.25">
      <c r="A12838">
        <v>14481</v>
      </c>
      <c r="B12838">
        <v>1</v>
      </c>
      <c r="C12838">
        <v>507</v>
      </c>
      <c r="D12838">
        <v>620</v>
      </c>
      <c r="E12838">
        <v>7782438</v>
      </c>
      <c r="F12838">
        <v>7142</v>
      </c>
      <c r="G12838">
        <v>0</v>
      </c>
      <c r="H12838" t="s">
        <v>17722</v>
      </c>
      <c r="I12838">
        <v>14481</v>
      </c>
      <c r="J12838" t="str">
        <f>VLOOKUP(E12838,DSSpieler!A:B,2,FALSE)</f>
        <v>dick sein ist rund</v>
      </c>
    </row>
    <row r="12839" spans="1:10" x14ac:dyDescent="0.25">
      <c r="A12839">
        <v>14482</v>
      </c>
      <c r="B12839">
        <v>2</v>
      </c>
      <c r="C12839">
        <v>383</v>
      </c>
      <c r="D12839">
        <v>485</v>
      </c>
      <c r="E12839">
        <v>9394779</v>
      </c>
      <c r="F12839">
        <v>3744</v>
      </c>
      <c r="G12839">
        <v>0</v>
      </c>
      <c r="H12839" t="s">
        <v>17723</v>
      </c>
      <c r="I12839">
        <v>14482</v>
      </c>
      <c r="J12839" t="str">
        <f>VLOOKUP(E12839,DSSpieler!A:B,2,FALSE)</f>
        <v>L3on07</v>
      </c>
    </row>
    <row r="12840" spans="1:10" x14ac:dyDescent="0.25">
      <c r="A12840">
        <v>14483</v>
      </c>
      <c r="B12840">
        <v>1</v>
      </c>
      <c r="C12840">
        <v>467</v>
      </c>
      <c r="D12840">
        <v>392</v>
      </c>
      <c r="E12840">
        <v>1576948132</v>
      </c>
      <c r="F12840">
        <v>4759</v>
      </c>
      <c r="G12840">
        <v>0</v>
      </c>
      <c r="H12840" t="s">
        <v>17724</v>
      </c>
      <c r="I12840">
        <v>14483</v>
      </c>
      <c r="J12840" t="str">
        <f>VLOOKUP(E12840,DSSpieler!A:B,2,FALSE)</f>
        <v>NoSkill justLuck</v>
      </c>
    </row>
    <row r="12841" spans="1:10" x14ac:dyDescent="0.25">
      <c r="A12841">
        <v>14484</v>
      </c>
      <c r="B12841" t="s">
        <v>34896</v>
      </c>
      <c r="C12841">
        <v>510</v>
      </c>
      <c r="D12841">
        <v>614</v>
      </c>
      <c r="E12841">
        <v>311215</v>
      </c>
      <c r="F12841">
        <v>5635</v>
      </c>
      <c r="G12841">
        <v>0</v>
      </c>
      <c r="H12841" t="s">
        <v>17725</v>
      </c>
      <c r="I12841">
        <v>14484</v>
      </c>
      <c r="J12841" t="str">
        <f>VLOOKUP(E12841,DSSpieler!A:B,2,FALSE)</f>
        <v>Stadler27</v>
      </c>
    </row>
    <row r="12842" spans="1:10" x14ac:dyDescent="0.25">
      <c r="A12842">
        <v>14485</v>
      </c>
      <c r="B12842" t="s">
        <v>34897</v>
      </c>
      <c r="C12842">
        <v>408</v>
      </c>
      <c r="D12842">
        <v>578</v>
      </c>
      <c r="E12842">
        <v>1577163180</v>
      </c>
      <c r="F12842">
        <v>4557</v>
      </c>
      <c r="G12842">
        <v>0</v>
      </c>
      <c r="H12842" t="s">
        <v>17726</v>
      </c>
      <c r="I12842">
        <v>14485</v>
      </c>
      <c r="J12842" t="str">
        <f>VLOOKUP(E12842,DSSpieler!A:B,2,FALSE)</f>
        <v>Rofa TTN</v>
      </c>
    </row>
    <row r="12843" spans="1:10" x14ac:dyDescent="0.25">
      <c r="A12843">
        <v>14486</v>
      </c>
      <c r="B12843" t="s">
        <v>31376</v>
      </c>
      <c r="C12843">
        <v>404</v>
      </c>
      <c r="D12843">
        <v>432</v>
      </c>
      <c r="E12843">
        <v>1576135165</v>
      </c>
      <c r="F12843">
        <v>5267</v>
      </c>
      <c r="G12843">
        <v>0</v>
      </c>
      <c r="H12843" t="s">
        <v>17727</v>
      </c>
      <c r="I12843">
        <v>14486</v>
      </c>
      <c r="J12843" t="str">
        <f>VLOOKUP(E12843,DSSpieler!A:B,2,FALSE)</f>
        <v>BV Renekton</v>
      </c>
    </row>
    <row r="12844" spans="1:10" x14ac:dyDescent="0.25">
      <c r="A12844">
        <v>14487</v>
      </c>
      <c r="B12844" t="s">
        <v>34898</v>
      </c>
      <c r="C12844">
        <v>592</v>
      </c>
      <c r="D12844">
        <v>429</v>
      </c>
      <c r="E12844">
        <v>1577201098</v>
      </c>
      <c r="F12844">
        <v>5674</v>
      </c>
      <c r="G12844">
        <v>0</v>
      </c>
      <c r="H12844" t="s">
        <v>17728</v>
      </c>
      <c r="I12844">
        <v>14487</v>
      </c>
      <c r="J12844" t="str">
        <f>VLOOKUP(E12844,DSSpieler!A:B,2,FALSE)</f>
        <v>Thor Odinson</v>
      </c>
    </row>
    <row r="12845" spans="1:10" x14ac:dyDescent="0.25">
      <c r="A12845">
        <v>14488</v>
      </c>
      <c r="B12845" t="e">
        <f>-3-+Los+Chicos</f>
        <v>#NAME?</v>
      </c>
      <c r="C12845">
        <v>427</v>
      </c>
      <c r="D12845">
        <v>421</v>
      </c>
      <c r="E12845">
        <v>1577188841</v>
      </c>
      <c r="F12845">
        <v>3718</v>
      </c>
      <c r="G12845">
        <v>0</v>
      </c>
      <c r="H12845" t="s">
        <v>17729</v>
      </c>
      <c r="I12845">
        <v>14488</v>
      </c>
      <c r="J12845" t="str">
        <f>VLOOKUP(E12845,DSSpieler!A:B,2,FALSE)</f>
        <v>drodo</v>
      </c>
    </row>
    <row r="12846" spans="1:10" x14ac:dyDescent="0.25">
      <c r="A12846">
        <v>14489</v>
      </c>
      <c r="B12846" t="s">
        <v>34899</v>
      </c>
      <c r="C12846">
        <v>416</v>
      </c>
      <c r="D12846">
        <v>416</v>
      </c>
      <c r="E12846">
        <v>1577182519</v>
      </c>
      <c r="F12846">
        <v>4139</v>
      </c>
      <c r="G12846">
        <v>0</v>
      </c>
      <c r="H12846" t="s">
        <v>17730</v>
      </c>
      <c r="I12846">
        <v>14489</v>
      </c>
      <c r="J12846" t="str">
        <f>VLOOKUP(E12846,DSSpieler!A:B,2,FALSE)</f>
        <v>G1ov4nni</v>
      </c>
    </row>
    <row r="12847" spans="1:10" x14ac:dyDescent="0.25">
      <c r="A12847">
        <v>14490</v>
      </c>
      <c r="B12847" t="s">
        <v>531</v>
      </c>
      <c r="C12847">
        <v>521</v>
      </c>
      <c r="D12847">
        <v>615</v>
      </c>
      <c r="E12847">
        <v>0</v>
      </c>
      <c r="F12847">
        <v>253</v>
      </c>
      <c r="G12847">
        <v>0</v>
      </c>
      <c r="H12847" t="s">
        <v>17731</v>
      </c>
      <c r="I12847">
        <v>14490</v>
      </c>
      <c r="J12847" t="e">
        <f>VLOOKUP(E12847,DSSpieler!A:B,2,FALSE)</f>
        <v>#N/A</v>
      </c>
    </row>
    <row r="12848" spans="1:10" x14ac:dyDescent="0.25">
      <c r="A12848">
        <v>14491</v>
      </c>
      <c r="B12848" t="s">
        <v>2326</v>
      </c>
      <c r="C12848">
        <v>414</v>
      </c>
      <c r="D12848">
        <v>421</v>
      </c>
      <c r="E12848">
        <v>1577045005</v>
      </c>
      <c r="F12848">
        <v>4246</v>
      </c>
      <c r="G12848">
        <v>0</v>
      </c>
      <c r="H12848" t="s">
        <v>17732</v>
      </c>
      <c r="I12848">
        <v>14491</v>
      </c>
      <c r="J12848" t="str">
        <f>VLOOKUP(E12848,DSSpieler!A:B,2,FALSE)</f>
        <v>KingKuh</v>
      </c>
    </row>
    <row r="12849" spans="1:10" x14ac:dyDescent="0.25">
      <c r="A12849">
        <v>14492</v>
      </c>
      <c r="B12849" t="s">
        <v>34900</v>
      </c>
      <c r="C12849">
        <v>420</v>
      </c>
      <c r="D12849">
        <v>420</v>
      </c>
      <c r="E12849">
        <v>1577201108</v>
      </c>
      <c r="F12849">
        <v>2435</v>
      </c>
      <c r="G12849">
        <v>0</v>
      </c>
      <c r="H12849" t="s">
        <v>17733</v>
      </c>
      <c r="I12849">
        <v>14492</v>
      </c>
      <c r="J12849" t="str">
        <f>VLOOKUP(E12849,DSSpieler!A:B,2,FALSE)</f>
        <v>Thom4Zz</v>
      </c>
    </row>
    <row r="12850" spans="1:10" x14ac:dyDescent="0.25">
      <c r="A12850">
        <v>14493</v>
      </c>
      <c r="B12850" t="s">
        <v>2327</v>
      </c>
      <c r="C12850">
        <v>585</v>
      </c>
      <c r="D12850">
        <v>425</v>
      </c>
      <c r="E12850">
        <v>1576501444</v>
      </c>
      <c r="F12850">
        <v>2509</v>
      </c>
      <c r="G12850">
        <v>0</v>
      </c>
      <c r="H12850" t="s">
        <v>17734</v>
      </c>
      <c r="I12850">
        <v>14493</v>
      </c>
      <c r="J12850" t="str">
        <f>VLOOKUP(E12850,DSSpieler!A:B,2,FALSE)</f>
        <v>König Bananenbauer</v>
      </c>
    </row>
    <row r="12851" spans="1:10" x14ac:dyDescent="0.25">
      <c r="A12851">
        <v>14494</v>
      </c>
      <c r="B12851" t="s">
        <v>34901</v>
      </c>
      <c r="C12851">
        <v>613</v>
      </c>
      <c r="D12851">
        <v>477</v>
      </c>
      <c r="E12851">
        <v>2314068</v>
      </c>
      <c r="F12851">
        <v>2560</v>
      </c>
      <c r="G12851">
        <v>0</v>
      </c>
      <c r="H12851" t="s">
        <v>17735</v>
      </c>
      <c r="I12851">
        <v>14494</v>
      </c>
      <c r="J12851" t="str">
        <f>VLOOKUP(E12851,DSSpieler!A:B,2,FALSE)</f>
        <v>turbobaerchen</v>
      </c>
    </row>
    <row r="12852" spans="1:10" x14ac:dyDescent="0.25">
      <c r="A12852">
        <v>14496</v>
      </c>
      <c r="B12852" t="s">
        <v>34902</v>
      </c>
      <c r="C12852">
        <v>516</v>
      </c>
      <c r="D12852">
        <v>614</v>
      </c>
      <c r="E12852">
        <v>9493909</v>
      </c>
      <c r="F12852">
        <v>505</v>
      </c>
      <c r="G12852">
        <v>0</v>
      </c>
      <c r="H12852" t="s">
        <v>17736</v>
      </c>
      <c r="I12852">
        <v>14496</v>
      </c>
      <c r="J12852" t="str">
        <f>VLOOKUP(E12852,DSSpieler!A:B,2,FALSE)</f>
        <v>dieList?</v>
      </c>
    </row>
    <row r="12853" spans="1:10" x14ac:dyDescent="0.25">
      <c r="A12853">
        <v>14497</v>
      </c>
      <c r="B12853" t="s">
        <v>531</v>
      </c>
      <c r="C12853">
        <v>487</v>
      </c>
      <c r="D12853">
        <v>384</v>
      </c>
      <c r="E12853">
        <v>0</v>
      </c>
      <c r="F12853">
        <v>193</v>
      </c>
      <c r="G12853">
        <v>0</v>
      </c>
      <c r="H12853" t="s">
        <v>17737</v>
      </c>
      <c r="I12853">
        <v>14497</v>
      </c>
      <c r="J12853" t="e">
        <f>VLOOKUP(E12853,DSSpieler!A:B,2,FALSE)</f>
        <v>#N/A</v>
      </c>
    </row>
    <row r="12854" spans="1:10" x14ac:dyDescent="0.25">
      <c r="A12854">
        <v>14498</v>
      </c>
      <c r="B12854" t="s">
        <v>531</v>
      </c>
      <c r="C12854">
        <v>418</v>
      </c>
      <c r="D12854">
        <v>418</v>
      </c>
      <c r="E12854">
        <v>0</v>
      </c>
      <c r="F12854">
        <v>379</v>
      </c>
      <c r="G12854">
        <v>0</v>
      </c>
      <c r="H12854" t="s">
        <v>17738</v>
      </c>
      <c r="I12854">
        <v>14498</v>
      </c>
      <c r="J12854" t="e">
        <f>VLOOKUP(E12854,DSSpieler!A:B,2,FALSE)</f>
        <v>#N/A</v>
      </c>
    </row>
    <row r="12855" spans="1:10" x14ac:dyDescent="0.25">
      <c r="A12855">
        <v>14499</v>
      </c>
      <c r="B12855" t="s">
        <v>531</v>
      </c>
      <c r="C12855">
        <v>596</v>
      </c>
      <c r="D12855">
        <v>434</v>
      </c>
      <c r="E12855">
        <v>0</v>
      </c>
      <c r="F12855">
        <v>791</v>
      </c>
      <c r="G12855">
        <v>0</v>
      </c>
      <c r="H12855" t="s">
        <v>17739</v>
      </c>
      <c r="I12855">
        <v>14499</v>
      </c>
      <c r="J12855" t="e">
        <f>VLOOKUP(E12855,DSSpieler!A:B,2,FALSE)</f>
        <v>#N/A</v>
      </c>
    </row>
    <row r="12856" spans="1:10" x14ac:dyDescent="0.25">
      <c r="A12856">
        <v>14503</v>
      </c>
      <c r="B12856" t="s">
        <v>34903</v>
      </c>
      <c r="C12856">
        <v>491</v>
      </c>
      <c r="D12856">
        <v>385</v>
      </c>
      <c r="E12856">
        <v>1576440587</v>
      </c>
      <c r="F12856">
        <v>1416</v>
      </c>
      <c r="G12856">
        <v>0</v>
      </c>
      <c r="H12856" t="s">
        <v>17740</v>
      </c>
      <c r="I12856">
        <v>14503</v>
      </c>
      <c r="J12856" t="str">
        <f>VLOOKUP(E12856,DSSpieler!A:B,2,FALSE)</f>
        <v>Jonas2303</v>
      </c>
    </row>
    <row r="12857" spans="1:10" x14ac:dyDescent="0.25">
      <c r="A12857">
        <v>14504</v>
      </c>
      <c r="B12857" t="s">
        <v>2328</v>
      </c>
      <c r="C12857">
        <v>516</v>
      </c>
      <c r="D12857">
        <v>616</v>
      </c>
      <c r="E12857">
        <v>8574065</v>
      </c>
      <c r="F12857">
        <v>4712</v>
      </c>
      <c r="G12857">
        <v>0</v>
      </c>
      <c r="H12857" t="s">
        <v>17741</v>
      </c>
      <c r="I12857">
        <v>14504</v>
      </c>
      <c r="J12857" t="str">
        <f>VLOOKUP(E12857,DSSpieler!A:B,2,FALSE)</f>
        <v>Dead Money</v>
      </c>
    </row>
    <row r="12858" spans="1:10" x14ac:dyDescent="0.25">
      <c r="A12858">
        <v>14505</v>
      </c>
      <c r="B12858" t="s">
        <v>531</v>
      </c>
      <c r="C12858">
        <v>409</v>
      </c>
      <c r="D12858">
        <v>569</v>
      </c>
      <c r="E12858">
        <v>0</v>
      </c>
      <c r="F12858">
        <v>381</v>
      </c>
      <c r="G12858">
        <v>0</v>
      </c>
      <c r="H12858" t="s">
        <v>17742</v>
      </c>
      <c r="I12858">
        <v>14505</v>
      </c>
      <c r="J12858" t="e">
        <f>VLOOKUP(E12858,DSSpieler!A:B,2,FALSE)</f>
        <v>#N/A</v>
      </c>
    </row>
    <row r="12859" spans="1:10" x14ac:dyDescent="0.25">
      <c r="A12859">
        <v>14506</v>
      </c>
      <c r="B12859" t="s">
        <v>531</v>
      </c>
      <c r="C12859">
        <v>423</v>
      </c>
      <c r="D12859">
        <v>587</v>
      </c>
      <c r="E12859">
        <v>0</v>
      </c>
      <c r="F12859">
        <v>252</v>
      </c>
      <c r="G12859">
        <v>0</v>
      </c>
      <c r="H12859" t="s">
        <v>17743</v>
      </c>
      <c r="I12859">
        <v>14506</v>
      </c>
      <c r="J12859" t="e">
        <f>VLOOKUP(E12859,DSSpieler!A:B,2,FALSE)</f>
        <v>#N/A</v>
      </c>
    </row>
    <row r="12860" spans="1:10" x14ac:dyDescent="0.25">
      <c r="A12860">
        <v>14507</v>
      </c>
      <c r="B12860" t="s">
        <v>34904</v>
      </c>
      <c r="C12860">
        <v>520</v>
      </c>
      <c r="D12860">
        <v>616</v>
      </c>
      <c r="E12860">
        <v>2451330</v>
      </c>
      <c r="F12860">
        <v>4246</v>
      </c>
      <c r="G12860">
        <v>0</v>
      </c>
      <c r="H12860" t="s">
        <v>17744</v>
      </c>
      <c r="I12860">
        <v>14507</v>
      </c>
      <c r="J12860" t="str">
        <f>VLOOKUP(E12860,DSSpieler!A:B,2,FALSE)</f>
        <v>Norminho</v>
      </c>
    </row>
    <row r="12861" spans="1:10" x14ac:dyDescent="0.25">
      <c r="A12861">
        <v>14508</v>
      </c>
      <c r="B12861" t="s">
        <v>531</v>
      </c>
      <c r="C12861">
        <v>618</v>
      </c>
      <c r="D12861">
        <v>506</v>
      </c>
      <c r="E12861">
        <v>0</v>
      </c>
      <c r="F12861">
        <v>224</v>
      </c>
      <c r="G12861">
        <v>0</v>
      </c>
      <c r="H12861" t="s">
        <v>17745</v>
      </c>
      <c r="I12861">
        <v>14508</v>
      </c>
      <c r="J12861" t="e">
        <f>VLOOKUP(E12861,DSSpieler!A:B,2,FALSE)</f>
        <v>#N/A</v>
      </c>
    </row>
    <row r="12862" spans="1:10" x14ac:dyDescent="0.25">
      <c r="A12862">
        <v>14510</v>
      </c>
      <c r="B12862" t="s">
        <v>531</v>
      </c>
      <c r="C12862">
        <v>444</v>
      </c>
      <c r="D12862">
        <v>397</v>
      </c>
      <c r="E12862">
        <v>0</v>
      </c>
      <c r="F12862">
        <v>309</v>
      </c>
      <c r="G12862">
        <v>0</v>
      </c>
      <c r="H12862" t="s">
        <v>17746</v>
      </c>
      <c r="I12862">
        <v>14510</v>
      </c>
      <c r="J12862" t="e">
        <f>VLOOKUP(E12862,DSSpieler!A:B,2,FALSE)</f>
        <v>#N/A</v>
      </c>
    </row>
    <row r="12863" spans="1:10" x14ac:dyDescent="0.25">
      <c r="A12863">
        <v>14512</v>
      </c>
      <c r="B12863" t="s">
        <v>531</v>
      </c>
      <c r="C12863">
        <v>613</v>
      </c>
      <c r="D12863">
        <v>519</v>
      </c>
      <c r="E12863">
        <v>0</v>
      </c>
      <c r="F12863">
        <v>1024</v>
      </c>
      <c r="G12863">
        <v>0</v>
      </c>
      <c r="H12863" t="s">
        <v>17747</v>
      </c>
      <c r="I12863">
        <v>14512</v>
      </c>
      <c r="J12863" t="e">
        <f>VLOOKUP(E12863,DSSpieler!A:B,2,FALSE)</f>
        <v>#N/A</v>
      </c>
    </row>
    <row r="12864" spans="1:10" x14ac:dyDescent="0.25">
      <c r="A12864">
        <v>14513</v>
      </c>
      <c r="B12864" t="s">
        <v>531</v>
      </c>
      <c r="C12864">
        <v>583</v>
      </c>
      <c r="D12864">
        <v>423</v>
      </c>
      <c r="E12864">
        <v>0</v>
      </c>
      <c r="F12864">
        <v>200</v>
      </c>
      <c r="G12864">
        <v>0</v>
      </c>
      <c r="H12864" t="s">
        <v>17748</v>
      </c>
      <c r="I12864">
        <v>14513</v>
      </c>
      <c r="J12864" t="e">
        <f>VLOOKUP(E12864,DSSpieler!A:B,2,FALSE)</f>
        <v>#N/A</v>
      </c>
    </row>
    <row r="12865" spans="1:10" x14ac:dyDescent="0.25">
      <c r="A12865">
        <v>14514</v>
      </c>
      <c r="B12865">
        <v>1</v>
      </c>
      <c r="C12865">
        <v>388</v>
      </c>
      <c r="D12865">
        <v>476</v>
      </c>
      <c r="E12865">
        <v>1577044420</v>
      </c>
      <c r="F12865">
        <v>4877</v>
      </c>
      <c r="G12865">
        <v>0</v>
      </c>
      <c r="H12865" t="s">
        <v>481</v>
      </c>
      <c r="I12865">
        <v>14514</v>
      </c>
      <c r="J12865" t="str">
        <f>VLOOKUP(E12865,DSSpieler!A:B,2,FALSE)</f>
        <v>DonJenser</v>
      </c>
    </row>
    <row r="12866" spans="1:10" x14ac:dyDescent="0.25">
      <c r="A12866">
        <v>14515</v>
      </c>
      <c r="B12866" t="s">
        <v>34905</v>
      </c>
      <c r="C12866">
        <v>503</v>
      </c>
      <c r="D12866">
        <v>618</v>
      </c>
      <c r="E12866">
        <v>1576398791</v>
      </c>
      <c r="F12866">
        <v>4602</v>
      </c>
      <c r="G12866">
        <v>0</v>
      </c>
      <c r="H12866" t="s">
        <v>17749</v>
      </c>
      <c r="I12866">
        <v>14515</v>
      </c>
      <c r="J12866" t="str">
        <f>VLOOKUP(E12866,DSSpieler!A:B,2,FALSE)</f>
        <v>Inferos</v>
      </c>
    </row>
    <row r="12867" spans="1:10" x14ac:dyDescent="0.25">
      <c r="A12867">
        <v>14516</v>
      </c>
      <c r="B12867" t="s">
        <v>34906</v>
      </c>
      <c r="C12867">
        <v>614</v>
      </c>
      <c r="D12867">
        <v>475</v>
      </c>
      <c r="E12867">
        <v>1577167171</v>
      </c>
      <c r="F12867">
        <v>6814</v>
      </c>
      <c r="G12867">
        <v>0</v>
      </c>
      <c r="H12867" t="s">
        <v>17750</v>
      </c>
      <c r="I12867">
        <v>14516</v>
      </c>
      <c r="J12867" t="str">
        <f>VLOOKUP(E12867,DSSpieler!A:B,2,FALSE)</f>
        <v>affenstuhl</v>
      </c>
    </row>
    <row r="12868" spans="1:10" x14ac:dyDescent="0.25">
      <c r="A12868">
        <v>14517</v>
      </c>
      <c r="B12868" t="s">
        <v>531</v>
      </c>
      <c r="C12868">
        <v>580</v>
      </c>
      <c r="D12868">
        <v>581</v>
      </c>
      <c r="E12868">
        <v>0</v>
      </c>
      <c r="F12868">
        <v>251</v>
      </c>
      <c r="G12868">
        <v>0</v>
      </c>
      <c r="H12868" t="s">
        <v>17751</v>
      </c>
      <c r="I12868">
        <v>14517</v>
      </c>
      <c r="J12868" t="e">
        <f>VLOOKUP(E12868,DSSpieler!A:B,2,FALSE)</f>
        <v>#N/A</v>
      </c>
    </row>
    <row r="12869" spans="1:10" x14ac:dyDescent="0.25">
      <c r="A12869">
        <v>14518</v>
      </c>
      <c r="B12869" t="s">
        <v>34907</v>
      </c>
      <c r="C12869">
        <v>398</v>
      </c>
      <c r="D12869">
        <v>444</v>
      </c>
      <c r="E12869">
        <v>1577102455</v>
      </c>
      <c r="F12869">
        <v>3404</v>
      </c>
      <c r="G12869">
        <v>0</v>
      </c>
      <c r="H12869" t="s">
        <v>17752</v>
      </c>
      <c r="I12869">
        <v>14518</v>
      </c>
      <c r="J12869" t="str">
        <f>VLOOKUP(E12869,DSSpieler!A:B,2,FALSE)</f>
        <v>vogelspinne 1</v>
      </c>
    </row>
    <row r="12870" spans="1:10" x14ac:dyDescent="0.25">
      <c r="A12870">
        <v>14519</v>
      </c>
      <c r="B12870" t="s">
        <v>531</v>
      </c>
      <c r="C12870">
        <v>617</v>
      </c>
      <c r="D12870">
        <v>513</v>
      </c>
      <c r="E12870">
        <v>0</v>
      </c>
      <c r="F12870">
        <v>274</v>
      </c>
      <c r="G12870">
        <v>0</v>
      </c>
      <c r="H12870" t="s">
        <v>17753</v>
      </c>
      <c r="I12870">
        <v>14519</v>
      </c>
      <c r="J12870" t="e">
        <f>VLOOKUP(E12870,DSSpieler!A:B,2,FALSE)</f>
        <v>#N/A</v>
      </c>
    </row>
    <row r="12871" spans="1:10" x14ac:dyDescent="0.25">
      <c r="A12871">
        <v>14520</v>
      </c>
      <c r="B12871" t="s">
        <v>531</v>
      </c>
      <c r="C12871">
        <v>575</v>
      </c>
      <c r="D12871">
        <v>587</v>
      </c>
      <c r="E12871">
        <v>0</v>
      </c>
      <c r="F12871">
        <v>259</v>
      </c>
      <c r="G12871">
        <v>0</v>
      </c>
      <c r="H12871" t="s">
        <v>17754</v>
      </c>
      <c r="I12871">
        <v>14520</v>
      </c>
      <c r="J12871" t="e">
        <f>VLOOKUP(E12871,DSSpieler!A:B,2,FALSE)</f>
        <v>#N/A</v>
      </c>
    </row>
    <row r="12872" spans="1:10" x14ac:dyDescent="0.25">
      <c r="A12872">
        <v>14521</v>
      </c>
      <c r="B12872" t="s">
        <v>1312</v>
      </c>
      <c r="C12872">
        <v>403</v>
      </c>
      <c r="D12872">
        <v>486</v>
      </c>
      <c r="E12872">
        <v>10214231</v>
      </c>
      <c r="F12872">
        <v>2395</v>
      </c>
      <c r="G12872">
        <v>0</v>
      </c>
      <c r="H12872" t="s">
        <v>17755</v>
      </c>
      <c r="I12872">
        <v>14521</v>
      </c>
      <c r="J12872" t="str">
        <f>VLOOKUP(E12872,DSSpieler!A:B,2,FALSE)</f>
        <v>Weizen19</v>
      </c>
    </row>
    <row r="12873" spans="1:10" x14ac:dyDescent="0.25">
      <c r="A12873">
        <v>14523</v>
      </c>
      <c r="B12873">
        <v>4</v>
      </c>
      <c r="C12873">
        <v>449</v>
      </c>
      <c r="D12873">
        <v>515</v>
      </c>
      <c r="E12873">
        <v>1577183825</v>
      </c>
      <c r="F12873">
        <v>1375</v>
      </c>
      <c r="G12873">
        <v>0</v>
      </c>
      <c r="H12873" t="s">
        <v>17756</v>
      </c>
      <c r="I12873">
        <v>14523</v>
      </c>
      <c r="J12873" t="str">
        <f>VLOOKUP(E12873,DSSpieler!A:B,2,FALSE)</f>
        <v>Watzinger95</v>
      </c>
    </row>
    <row r="12874" spans="1:10" x14ac:dyDescent="0.25">
      <c r="A12874">
        <v>14524</v>
      </c>
      <c r="B12874" t="s">
        <v>531</v>
      </c>
      <c r="C12874">
        <v>386</v>
      </c>
      <c r="D12874">
        <v>483</v>
      </c>
      <c r="E12874">
        <v>0</v>
      </c>
      <c r="F12874">
        <v>196</v>
      </c>
      <c r="G12874">
        <v>0</v>
      </c>
      <c r="H12874" t="s">
        <v>17757</v>
      </c>
      <c r="I12874">
        <v>14524</v>
      </c>
      <c r="J12874" t="e">
        <f>VLOOKUP(E12874,DSSpieler!A:B,2,FALSE)</f>
        <v>#N/A</v>
      </c>
    </row>
    <row r="12875" spans="1:10" x14ac:dyDescent="0.25">
      <c r="A12875">
        <v>14526</v>
      </c>
      <c r="B12875" t="s">
        <v>531</v>
      </c>
      <c r="C12875">
        <v>472</v>
      </c>
      <c r="D12875">
        <v>390</v>
      </c>
      <c r="E12875">
        <v>0</v>
      </c>
      <c r="F12875">
        <v>352</v>
      </c>
      <c r="G12875">
        <v>0</v>
      </c>
      <c r="H12875" t="s">
        <v>17758</v>
      </c>
      <c r="I12875">
        <v>14526</v>
      </c>
      <c r="J12875" t="e">
        <f>VLOOKUP(E12875,DSSpieler!A:B,2,FALSE)</f>
        <v>#N/A</v>
      </c>
    </row>
    <row r="12876" spans="1:10" x14ac:dyDescent="0.25">
      <c r="A12876">
        <v>14527</v>
      </c>
      <c r="B12876" t="s">
        <v>601</v>
      </c>
      <c r="C12876">
        <v>603</v>
      </c>
      <c r="D12876">
        <v>445</v>
      </c>
      <c r="E12876">
        <v>1576998130</v>
      </c>
      <c r="F12876">
        <v>1622</v>
      </c>
      <c r="G12876">
        <v>0</v>
      </c>
      <c r="H12876" t="s">
        <v>17759</v>
      </c>
      <c r="I12876">
        <v>14527</v>
      </c>
      <c r="J12876" t="str">
        <f>VLOOKUP(E12876,DSSpieler!A:B,2,FALSE)</f>
        <v>AlbiZH</v>
      </c>
    </row>
    <row r="12877" spans="1:10" x14ac:dyDescent="0.25">
      <c r="A12877">
        <v>14529</v>
      </c>
      <c r="B12877" t="s">
        <v>34908</v>
      </c>
      <c r="C12877">
        <v>418</v>
      </c>
      <c r="D12877">
        <v>415</v>
      </c>
      <c r="E12877">
        <v>1576884345</v>
      </c>
      <c r="F12877">
        <v>3427</v>
      </c>
      <c r="G12877">
        <v>0</v>
      </c>
      <c r="H12877" t="s">
        <v>17760</v>
      </c>
      <c r="I12877">
        <v>14529</v>
      </c>
      <c r="J12877" t="str">
        <f>VLOOKUP(E12877,DSSpieler!A:B,2,FALSE)</f>
        <v>Hakuna-</v>
      </c>
    </row>
    <row r="12878" spans="1:10" x14ac:dyDescent="0.25">
      <c r="A12878">
        <v>14530</v>
      </c>
      <c r="B12878" t="s">
        <v>2329</v>
      </c>
      <c r="C12878">
        <v>581</v>
      </c>
      <c r="D12878">
        <v>586</v>
      </c>
      <c r="E12878">
        <v>1576403267</v>
      </c>
      <c r="F12878">
        <v>3483</v>
      </c>
      <c r="G12878">
        <v>0</v>
      </c>
      <c r="H12878" t="s">
        <v>17761</v>
      </c>
      <c r="I12878">
        <v>14530</v>
      </c>
      <c r="J12878" t="str">
        <f>VLOOKUP(E12878,DSSpieler!A:B,2,FALSE)</f>
        <v>Selandra</v>
      </c>
    </row>
    <row r="12879" spans="1:10" x14ac:dyDescent="0.25">
      <c r="A12879">
        <v>14531</v>
      </c>
      <c r="B12879" t="s">
        <v>531</v>
      </c>
      <c r="C12879">
        <v>550</v>
      </c>
      <c r="D12879">
        <v>607</v>
      </c>
      <c r="E12879">
        <v>0</v>
      </c>
      <c r="F12879">
        <v>177</v>
      </c>
      <c r="G12879">
        <v>0</v>
      </c>
      <c r="H12879" t="s">
        <v>17762</v>
      </c>
      <c r="I12879">
        <v>14531</v>
      </c>
      <c r="J12879" t="e">
        <f>VLOOKUP(E12879,DSSpieler!A:B,2,FALSE)</f>
        <v>#N/A</v>
      </c>
    </row>
    <row r="12880" spans="1:10" x14ac:dyDescent="0.25">
      <c r="A12880">
        <v>14532</v>
      </c>
      <c r="B12880" t="s">
        <v>531</v>
      </c>
      <c r="C12880">
        <v>606</v>
      </c>
      <c r="D12880">
        <v>452</v>
      </c>
      <c r="E12880">
        <v>0</v>
      </c>
      <c r="F12880">
        <v>301</v>
      </c>
      <c r="G12880">
        <v>0</v>
      </c>
      <c r="H12880" t="s">
        <v>17763</v>
      </c>
      <c r="I12880">
        <v>14532</v>
      </c>
      <c r="J12880" t="e">
        <f>VLOOKUP(E12880,DSSpieler!A:B,2,FALSE)</f>
        <v>#N/A</v>
      </c>
    </row>
    <row r="12881" spans="1:10" x14ac:dyDescent="0.25">
      <c r="A12881">
        <v>14533</v>
      </c>
      <c r="B12881" t="s">
        <v>2330</v>
      </c>
      <c r="C12881">
        <v>584</v>
      </c>
      <c r="D12881">
        <v>585</v>
      </c>
      <c r="E12881">
        <v>1577201169</v>
      </c>
      <c r="F12881">
        <v>3499</v>
      </c>
      <c r="G12881">
        <v>0</v>
      </c>
      <c r="H12881" t="s">
        <v>17764</v>
      </c>
      <c r="I12881">
        <v>14533</v>
      </c>
      <c r="J12881" t="str">
        <f>VLOOKUP(E12881,DSSpieler!A:B,2,FALSE)</f>
        <v>RoastedAmena</v>
      </c>
    </row>
    <row r="12882" spans="1:10" x14ac:dyDescent="0.25">
      <c r="A12882">
        <v>14534</v>
      </c>
      <c r="B12882" t="s">
        <v>34909</v>
      </c>
      <c r="C12882">
        <v>437</v>
      </c>
      <c r="D12882">
        <v>598</v>
      </c>
      <c r="E12882">
        <v>1577138594</v>
      </c>
      <c r="F12882">
        <v>180</v>
      </c>
      <c r="G12882">
        <v>0</v>
      </c>
      <c r="H12882" t="s">
        <v>17765</v>
      </c>
      <c r="I12882">
        <v>14534</v>
      </c>
      <c r="J12882" t="str">
        <f>VLOOKUP(E12882,DSSpieler!A:B,2,FALSE)</f>
        <v>TatusIsGod</v>
      </c>
    </row>
    <row r="12883" spans="1:10" x14ac:dyDescent="0.25">
      <c r="A12883">
        <v>14535</v>
      </c>
      <c r="B12883" t="s">
        <v>34910</v>
      </c>
      <c r="C12883">
        <v>506</v>
      </c>
      <c r="D12883">
        <v>617</v>
      </c>
      <c r="E12883">
        <v>309707</v>
      </c>
      <c r="F12883">
        <v>5945</v>
      </c>
      <c r="G12883">
        <v>0</v>
      </c>
      <c r="H12883" t="s">
        <v>17766</v>
      </c>
      <c r="I12883">
        <v>14535</v>
      </c>
      <c r="J12883" t="str">
        <f>VLOOKUP(E12883,DSSpieler!A:B,2,FALSE)</f>
        <v>maxi der unzerstörbare</v>
      </c>
    </row>
    <row r="12884" spans="1:10" x14ac:dyDescent="0.25">
      <c r="A12884">
        <v>14536</v>
      </c>
      <c r="B12884" t="s">
        <v>531</v>
      </c>
      <c r="C12884">
        <v>530</v>
      </c>
      <c r="D12884">
        <v>609</v>
      </c>
      <c r="E12884">
        <v>0</v>
      </c>
      <c r="F12884">
        <v>1233</v>
      </c>
      <c r="G12884">
        <v>0</v>
      </c>
      <c r="H12884" t="s">
        <v>17767</v>
      </c>
      <c r="I12884">
        <v>14536</v>
      </c>
      <c r="J12884" t="e">
        <f>VLOOKUP(E12884,DSSpieler!A:B,2,FALSE)</f>
        <v>#N/A</v>
      </c>
    </row>
    <row r="12885" spans="1:10" x14ac:dyDescent="0.25">
      <c r="A12885">
        <v>14537</v>
      </c>
      <c r="B12885" t="s">
        <v>34911</v>
      </c>
      <c r="C12885">
        <v>586</v>
      </c>
      <c r="D12885">
        <v>580</v>
      </c>
      <c r="E12885">
        <v>1577187503</v>
      </c>
      <c r="F12885">
        <v>105</v>
      </c>
      <c r="G12885">
        <v>0</v>
      </c>
      <c r="H12885" t="s">
        <v>17768</v>
      </c>
      <c r="I12885">
        <v>14537</v>
      </c>
      <c r="J12885" t="str">
        <f>VLOOKUP(E12885,DSSpieler!A:B,2,FALSE)</f>
        <v>Kleineraffe</v>
      </c>
    </row>
    <row r="12886" spans="1:10" x14ac:dyDescent="0.25">
      <c r="A12886">
        <v>14538</v>
      </c>
      <c r="B12886" t="s">
        <v>531</v>
      </c>
      <c r="C12886">
        <v>529</v>
      </c>
      <c r="D12886">
        <v>388</v>
      </c>
      <c r="E12886">
        <v>0</v>
      </c>
      <c r="F12886">
        <v>480</v>
      </c>
      <c r="G12886">
        <v>0</v>
      </c>
      <c r="H12886" t="s">
        <v>17769</v>
      </c>
      <c r="I12886">
        <v>14538</v>
      </c>
      <c r="J12886" t="e">
        <f>VLOOKUP(E12886,DSSpieler!A:B,2,FALSE)</f>
        <v>#N/A</v>
      </c>
    </row>
    <row r="12887" spans="1:10" x14ac:dyDescent="0.25">
      <c r="A12887">
        <v>14539</v>
      </c>
      <c r="B12887" t="s">
        <v>531</v>
      </c>
      <c r="C12887">
        <v>502</v>
      </c>
      <c r="D12887">
        <v>587</v>
      </c>
      <c r="E12887">
        <v>0</v>
      </c>
      <c r="F12887">
        <v>1031</v>
      </c>
      <c r="G12887">
        <v>0</v>
      </c>
      <c r="H12887" t="s">
        <v>17770</v>
      </c>
      <c r="I12887">
        <v>14539</v>
      </c>
      <c r="J12887" t="e">
        <f>VLOOKUP(E12887,DSSpieler!A:B,2,FALSE)</f>
        <v>#N/A</v>
      </c>
    </row>
    <row r="12888" spans="1:10" x14ac:dyDescent="0.25">
      <c r="A12888">
        <v>14541</v>
      </c>
      <c r="B12888" t="s">
        <v>531</v>
      </c>
      <c r="C12888">
        <v>605</v>
      </c>
      <c r="D12888">
        <v>458</v>
      </c>
      <c r="E12888">
        <v>0</v>
      </c>
      <c r="F12888">
        <v>176</v>
      </c>
      <c r="G12888">
        <v>0</v>
      </c>
      <c r="H12888" t="s">
        <v>17771</v>
      </c>
      <c r="I12888">
        <v>14541</v>
      </c>
      <c r="J12888" t="e">
        <f>VLOOKUP(E12888,DSSpieler!A:B,2,FALSE)</f>
        <v>#N/A</v>
      </c>
    </row>
    <row r="12889" spans="1:10" x14ac:dyDescent="0.25">
      <c r="A12889">
        <v>14542</v>
      </c>
      <c r="B12889" t="s">
        <v>531</v>
      </c>
      <c r="C12889">
        <v>491</v>
      </c>
      <c r="D12889">
        <v>386</v>
      </c>
      <c r="E12889">
        <v>0</v>
      </c>
      <c r="F12889">
        <v>143</v>
      </c>
      <c r="G12889">
        <v>0</v>
      </c>
      <c r="H12889" t="s">
        <v>17772</v>
      </c>
      <c r="I12889">
        <v>14542</v>
      </c>
      <c r="J12889" t="e">
        <f>VLOOKUP(E12889,DSSpieler!A:B,2,FALSE)</f>
        <v>#N/A</v>
      </c>
    </row>
    <row r="12890" spans="1:10" x14ac:dyDescent="0.25">
      <c r="A12890">
        <v>14543</v>
      </c>
      <c r="B12890" t="s">
        <v>34912</v>
      </c>
      <c r="C12890">
        <v>446</v>
      </c>
      <c r="D12890">
        <v>496</v>
      </c>
      <c r="E12890">
        <v>1576641692</v>
      </c>
      <c r="F12890">
        <v>208</v>
      </c>
      <c r="G12890">
        <v>0</v>
      </c>
      <c r="H12890" t="s">
        <v>17773</v>
      </c>
      <c r="I12890">
        <v>14543</v>
      </c>
      <c r="J12890" t="str">
        <f>VLOOKUP(E12890,DSSpieler!A:B,2,FALSE)</f>
        <v>Marcaul</v>
      </c>
    </row>
    <row r="12891" spans="1:10" x14ac:dyDescent="0.25">
      <c r="A12891">
        <v>14544</v>
      </c>
      <c r="B12891" t="s">
        <v>531</v>
      </c>
      <c r="C12891">
        <v>615</v>
      </c>
      <c r="D12891">
        <v>529</v>
      </c>
      <c r="E12891">
        <v>0</v>
      </c>
      <c r="F12891">
        <v>94</v>
      </c>
      <c r="G12891">
        <v>0</v>
      </c>
      <c r="H12891" t="s">
        <v>17774</v>
      </c>
      <c r="I12891">
        <v>14544</v>
      </c>
      <c r="J12891" t="e">
        <f>VLOOKUP(E12891,DSSpieler!A:B,2,FALSE)</f>
        <v>#N/A</v>
      </c>
    </row>
    <row r="12892" spans="1:10" x14ac:dyDescent="0.25">
      <c r="A12892">
        <v>14545</v>
      </c>
      <c r="B12892" t="s">
        <v>531</v>
      </c>
      <c r="C12892">
        <v>430</v>
      </c>
      <c r="D12892">
        <v>411</v>
      </c>
      <c r="E12892">
        <v>0</v>
      </c>
      <c r="F12892">
        <v>230</v>
      </c>
      <c r="G12892">
        <v>0</v>
      </c>
      <c r="H12892" t="s">
        <v>17775</v>
      </c>
      <c r="I12892">
        <v>14545</v>
      </c>
      <c r="J12892" t="e">
        <f>VLOOKUP(E12892,DSSpieler!A:B,2,FALSE)</f>
        <v>#N/A</v>
      </c>
    </row>
    <row r="12893" spans="1:10" x14ac:dyDescent="0.25">
      <c r="A12893">
        <v>14548</v>
      </c>
      <c r="B12893" t="s">
        <v>34913</v>
      </c>
      <c r="C12893">
        <v>579</v>
      </c>
      <c r="D12893">
        <v>419</v>
      </c>
      <c r="E12893">
        <v>1577126872</v>
      </c>
      <c r="F12893">
        <v>1050</v>
      </c>
      <c r="G12893">
        <v>0</v>
      </c>
      <c r="H12893" t="s">
        <v>17776</v>
      </c>
      <c r="I12893">
        <v>14548</v>
      </c>
      <c r="J12893" t="str">
        <f>VLOOKUP(E12893,DSSpieler!A:B,2,FALSE)</f>
        <v>cremerius</v>
      </c>
    </row>
    <row r="12894" spans="1:10" x14ac:dyDescent="0.25">
      <c r="A12894">
        <v>14549</v>
      </c>
      <c r="B12894" t="s">
        <v>150</v>
      </c>
      <c r="C12894">
        <v>414</v>
      </c>
      <c r="D12894">
        <v>420</v>
      </c>
      <c r="E12894">
        <v>9909100</v>
      </c>
      <c r="F12894">
        <v>279</v>
      </c>
      <c r="G12894">
        <v>0</v>
      </c>
      <c r="H12894" t="s">
        <v>17777</v>
      </c>
      <c r="I12894">
        <v>14549</v>
      </c>
      <c r="J12894" t="str">
        <f>VLOOKUP(E12894,DSSpieler!A:B,2,FALSE)</f>
        <v>Daniel455</v>
      </c>
    </row>
    <row r="12895" spans="1:10" x14ac:dyDescent="0.25">
      <c r="A12895">
        <v>14550</v>
      </c>
      <c r="B12895" t="s">
        <v>531</v>
      </c>
      <c r="C12895">
        <v>499</v>
      </c>
      <c r="D12895">
        <v>399</v>
      </c>
      <c r="E12895">
        <v>0</v>
      </c>
      <c r="F12895">
        <v>622</v>
      </c>
      <c r="G12895">
        <v>0</v>
      </c>
      <c r="H12895" t="s">
        <v>17778</v>
      </c>
      <c r="I12895">
        <v>14550</v>
      </c>
      <c r="J12895" t="e">
        <f>VLOOKUP(E12895,DSSpieler!A:B,2,FALSE)</f>
        <v>#N/A</v>
      </c>
    </row>
    <row r="12896" spans="1:10" x14ac:dyDescent="0.25">
      <c r="A12896">
        <v>14551</v>
      </c>
      <c r="B12896" t="s">
        <v>34914</v>
      </c>
      <c r="C12896">
        <v>409</v>
      </c>
      <c r="D12896">
        <v>467</v>
      </c>
      <c r="E12896">
        <v>9536436</v>
      </c>
      <c r="F12896">
        <v>4069</v>
      </c>
      <c r="G12896">
        <v>0</v>
      </c>
      <c r="H12896" t="s">
        <v>17779</v>
      </c>
      <c r="I12896">
        <v>14551</v>
      </c>
      <c r="J12896" t="str">
        <f>VLOOKUP(E12896,DSSpieler!A:B,2,FALSE)</f>
        <v>keniboy89</v>
      </c>
    </row>
    <row r="12897" spans="1:10" x14ac:dyDescent="0.25">
      <c r="A12897">
        <v>14552</v>
      </c>
      <c r="B12897" t="s">
        <v>2331</v>
      </c>
      <c r="C12897">
        <v>425</v>
      </c>
      <c r="D12897">
        <v>416</v>
      </c>
      <c r="E12897">
        <v>7806902</v>
      </c>
      <c r="F12897">
        <v>5240</v>
      </c>
      <c r="G12897">
        <v>0</v>
      </c>
      <c r="H12897" t="s">
        <v>17780</v>
      </c>
      <c r="I12897">
        <v>14552</v>
      </c>
      <c r="J12897" t="str">
        <f>VLOOKUP(E12897,DSSpieler!A:B,2,FALSE)</f>
        <v>Aiyomayo</v>
      </c>
    </row>
    <row r="12898" spans="1:10" x14ac:dyDescent="0.25">
      <c r="A12898">
        <v>14553</v>
      </c>
      <c r="B12898" t="s">
        <v>531</v>
      </c>
      <c r="C12898">
        <v>598</v>
      </c>
      <c r="D12898">
        <v>558</v>
      </c>
      <c r="E12898">
        <v>0</v>
      </c>
      <c r="F12898">
        <v>407</v>
      </c>
      <c r="G12898">
        <v>0</v>
      </c>
      <c r="H12898" t="s">
        <v>17781</v>
      </c>
      <c r="I12898">
        <v>14553</v>
      </c>
      <c r="J12898" t="e">
        <f>VLOOKUP(E12898,DSSpieler!A:B,2,FALSE)</f>
        <v>#N/A</v>
      </c>
    </row>
    <row r="12899" spans="1:10" x14ac:dyDescent="0.25">
      <c r="A12899">
        <v>14554</v>
      </c>
      <c r="B12899" t="s">
        <v>531</v>
      </c>
      <c r="C12899">
        <v>382</v>
      </c>
      <c r="D12899">
        <v>505</v>
      </c>
      <c r="E12899">
        <v>0</v>
      </c>
      <c r="F12899">
        <v>360</v>
      </c>
      <c r="G12899">
        <v>0</v>
      </c>
      <c r="H12899" t="s">
        <v>17782</v>
      </c>
      <c r="I12899">
        <v>14554</v>
      </c>
      <c r="J12899" t="e">
        <f>VLOOKUP(E12899,DSSpieler!A:B,2,FALSE)</f>
        <v>#N/A</v>
      </c>
    </row>
    <row r="12900" spans="1:10" x14ac:dyDescent="0.25">
      <c r="A12900">
        <v>14555</v>
      </c>
      <c r="B12900" t="s">
        <v>34915</v>
      </c>
      <c r="C12900">
        <v>518</v>
      </c>
      <c r="D12900">
        <v>610</v>
      </c>
      <c r="E12900">
        <v>832699</v>
      </c>
      <c r="F12900">
        <v>6804</v>
      </c>
      <c r="G12900">
        <v>0</v>
      </c>
      <c r="H12900" t="s">
        <v>17783</v>
      </c>
      <c r="I12900">
        <v>14555</v>
      </c>
      <c r="J12900" t="str">
        <f>VLOOKUP(E12900,DSSpieler!A:B,2,FALSE)</f>
        <v>Y@r0n</v>
      </c>
    </row>
    <row r="12901" spans="1:10" x14ac:dyDescent="0.25">
      <c r="A12901">
        <v>14556</v>
      </c>
      <c r="B12901" t="s">
        <v>531</v>
      </c>
      <c r="C12901">
        <v>617</v>
      </c>
      <c r="D12901">
        <v>515</v>
      </c>
      <c r="E12901">
        <v>0</v>
      </c>
      <c r="F12901">
        <v>405</v>
      </c>
      <c r="G12901">
        <v>0</v>
      </c>
      <c r="H12901" t="s">
        <v>17784</v>
      </c>
      <c r="I12901">
        <v>14556</v>
      </c>
      <c r="J12901" t="e">
        <f>VLOOKUP(E12901,DSSpieler!A:B,2,FALSE)</f>
        <v>#N/A</v>
      </c>
    </row>
    <row r="12902" spans="1:10" x14ac:dyDescent="0.25">
      <c r="A12902">
        <v>14557</v>
      </c>
      <c r="B12902" t="s">
        <v>34735</v>
      </c>
      <c r="C12902">
        <v>460</v>
      </c>
      <c r="D12902">
        <v>389</v>
      </c>
      <c r="E12902">
        <v>1576914597</v>
      </c>
      <c r="F12902">
        <v>5116</v>
      </c>
      <c r="G12902">
        <v>0</v>
      </c>
      <c r="H12902" t="s">
        <v>17785</v>
      </c>
      <c r="I12902">
        <v>14557</v>
      </c>
      <c r="J12902" t="str">
        <f>VLOOKUP(E12902,DSSpieler!A:B,2,FALSE)</f>
        <v>malomsderechte</v>
      </c>
    </row>
    <row r="12903" spans="1:10" x14ac:dyDescent="0.25">
      <c r="A12903">
        <v>14559</v>
      </c>
      <c r="B12903" t="s">
        <v>2332</v>
      </c>
      <c r="C12903">
        <v>612</v>
      </c>
      <c r="D12903">
        <v>514</v>
      </c>
      <c r="E12903">
        <v>1577201218</v>
      </c>
      <c r="F12903">
        <v>4867</v>
      </c>
      <c r="G12903">
        <v>0</v>
      </c>
      <c r="H12903" t="s">
        <v>17786</v>
      </c>
      <c r="I12903">
        <v>14559</v>
      </c>
      <c r="J12903" t="str">
        <f>VLOOKUP(E12903,DSSpieler!A:B,2,FALSE)</f>
        <v>achim32</v>
      </c>
    </row>
    <row r="12904" spans="1:10" x14ac:dyDescent="0.25">
      <c r="A12904">
        <v>14560</v>
      </c>
      <c r="B12904" t="s">
        <v>531</v>
      </c>
      <c r="C12904">
        <v>516</v>
      </c>
      <c r="D12904">
        <v>613</v>
      </c>
      <c r="E12904">
        <v>0</v>
      </c>
      <c r="F12904">
        <v>297</v>
      </c>
      <c r="G12904">
        <v>0</v>
      </c>
      <c r="H12904" t="s">
        <v>17787</v>
      </c>
      <c r="I12904">
        <v>14560</v>
      </c>
      <c r="J12904" t="e">
        <f>VLOOKUP(E12904,DSSpieler!A:B,2,FALSE)</f>
        <v>#N/A</v>
      </c>
    </row>
    <row r="12905" spans="1:10" x14ac:dyDescent="0.25">
      <c r="A12905">
        <v>14561</v>
      </c>
      <c r="B12905" t="s">
        <v>531</v>
      </c>
      <c r="C12905">
        <v>530</v>
      </c>
      <c r="D12905">
        <v>390</v>
      </c>
      <c r="E12905">
        <v>0</v>
      </c>
      <c r="F12905">
        <v>396</v>
      </c>
      <c r="G12905">
        <v>0</v>
      </c>
      <c r="H12905" t="s">
        <v>17788</v>
      </c>
      <c r="I12905">
        <v>14561</v>
      </c>
      <c r="J12905" t="e">
        <f>VLOOKUP(E12905,DSSpieler!A:B,2,FALSE)</f>
        <v>#N/A</v>
      </c>
    </row>
    <row r="12906" spans="1:10" x14ac:dyDescent="0.25">
      <c r="A12906">
        <v>14562</v>
      </c>
      <c r="B12906" t="s">
        <v>531</v>
      </c>
      <c r="C12906">
        <v>545</v>
      </c>
      <c r="D12906">
        <v>392</v>
      </c>
      <c r="E12906">
        <v>0</v>
      </c>
      <c r="F12906">
        <v>619</v>
      </c>
      <c r="G12906">
        <v>0</v>
      </c>
      <c r="H12906" t="s">
        <v>17789</v>
      </c>
      <c r="I12906">
        <v>14562</v>
      </c>
      <c r="J12906" t="e">
        <f>VLOOKUP(E12906,DSSpieler!A:B,2,FALSE)</f>
        <v>#N/A</v>
      </c>
    </row>
    <row r="12907" spans="1:10" x14ac:dyDescent="0.25">
      <c r="A12907">
        <v>14563</v>
      </c>
      <c r="B12907" t="s">
        <v>531</v>
      </c>
      <c r="C12907">
        <v>472</v>
      </c>
      <c r="D12907">
        <v>499</v>
      </c>
      <c r="E12907">
        <v>0</v>
      </c>
      <c r="F12907">
        <v>162</v>
      </c>
      <c r="G12907">
        <v>0</v>
      </c>
      <c r="H12907" t="s">
        <v>17790</v>
      </c>
      <c r="I12907">
        <v>14563</v>
      </c>
      <c r="J12907" t="e">
        <f>VLOOKUP(E12907,DSSpieler!A:B,2,FALSE)</f>
        <v>#N/A</v>
      </c>
    </row>
    <row r="12908" spans="1:10" x14ac:dyDescent="0.25">
      <c r="A12908">
        <v>14564</v>
      </c>
      <c r="B12908" t="s">
        <v>34916</v>
      </c>
      <c r="C12908">
        <v>505</v>
      </c>
      <c r="D12908">
        <v>379</v>
      </c>
      <c r="E12908">
        <v>1577200801</v>
      </c>
      <c r="F12908">
        <v>2852</v>
      </c>
      <c r="G12908">
        <v>0</v>
      </c>
      <c r="H12908" t="s">
        <v>17791</v>
      </c>
      <c r="I12908">
        <v>14564</v>
      </c>
      <c r="J12908" t="str">
        <f>VLOOKUP(E12908,DSSpieler!A:B,2,FALSE)</f>
        <v>Biaboy</v>
      </c>
    </row>
    <row r="12909" spans="1:10" x14ac:dyDescent="0.25">
      <c r="A12909">
        <v>14565</v>
      </c>
      <c r="B12909" t="s">
        <v>34917</v>
      </c>
      <c r="C12909">
        <v>512</v>
      </c>
      <c r="D12909">
        <v>621</v>
      </c>
      <c r="E12909">
        <v>1575862578</v>
      </c>
      <c r="F12909">
        <v>6279</v>
      </c>
      <c r="G12909">
        <v>0</v>
      </c>
      <c r="H12909" t="s">
        <v>17792</v>
      </c>
      <c r="I12909">
        <v>14565</v>
      </c>
      <c r="J12909" t="str">
        <f>VLOOKUP(E12909,DSSpieler!A:B,2,FALSE)</f>
        <v>XXscarXX</v>
      </c>
    </row>
    <row r="12910" spans="1:10" x14ac:dyDescent="0.25">
      <c r="A12910">
        <v>14566</v>
      </c>
      <c r="B12910" t="s">
        <v>531</v>
      </c>
      <c r="C12910">
        <v>574</v>
      </c>
      <c r="D12910">
        <v>409</v>
      </c>
      <c r="E12910">
        <v>0</v>
      </c>
      <c r="F12910">
        <v>181</v>
      </c>
      <c r="G12910">
        <v>0</v>
      </c>
      <c r="H12910" t="s">
        <v>17793</v>
      </c>
      <c r="I12910">
        <v>14566</v>
      </c>
      <c r="J12910" t="e">
        <f>VLOOKUP(E12910,DSSpieler!A:B,2,FALSE)</f>
        <v>#N/A</v>
      </c>
    </row>
    <row r="12911" spans="1:10" x14ac:dyDescent="0.25">
      <c r="A12911">
        <v>14567</v>
      </c>
      <c r="B12911" t="s">
        <v>531</v>
      </c>
      <c r="C12911">
        <v>416</v>
      </c>
      <c r="D12911">
        <v>418</v>
      </c>
      <c r="E12911">
        <v>0</v>
      </c>
      <c r="F12911">
        <v>316</v>
      </c>
      <c r="G12911">
        <v>0</v>
      </c>
      <c r="H12911" t="s">
        <v>17794</v>
      </c>
      <c r="I12911">
        <v>14567</v>
      </c>
      <c r="J12911" t="e">
        <f>VLOOKUP(E12911,DSSpieler!A:B,2,FALSE)</f>
        <v>#N/A</v>
      </c>
    </row>
    <row r="12912" spans="1:10" x14ac:dyDescent="0.25">
      <c r="A12912">
        <v>14568</v>
      </c>
      <c r="B12912" t="s">
        <v>531</v>
      </c>
      <c r="C12912">
        <v>444</v>
      </c>
      <c r="D12912">
        <v>602</v>
      </c>
      <c r="E12912">
        <v>0</v>
      </c>
      <c r="F12912">
        <v>273</v>
      </c>
      <c r="G12912">
        <v>0</v>
      </c>
      <c r="H12912" t="s">
        <v>17795</v>
      </c>
      <c r="I12912">
        <v>14568</v>
      </c>
      <c r="J12912" t="e">
        <f>VLOOKUP(E12912,DSSpieler!A:B,2,FALSE)</f>
        <v>#N/A</v>
      </c>
    </row>
    <row r="12913" spans="1:10" x14ac:dyDescent="0.25">
      <c r="A12913">
        <v>14569</v>
      </c>
      <c r="B12913" t="s">
        <v>531</v>
      </c>
      <c r="C12913">
        <v>516</v>
      </c>
      <c r="D12913">
        <v>387</v>
      </c>
      <c r="E12913">
        <v>0</v>
      </c>
      <c r="F12913">
        <v>475</v>
      </c>
      <c r="G12913">
        <v>0</v>
      </c>
      <c r="H12913" t="s">
        <v>17796</v>
      </c>
      <c r="I12913">
        <v>14569</v>
      </c>
      <c r="J12913" t="e">
        <f>VLOOKUP(E12913,DSSpieler!A:B,2,FALSE)</f>
        <v>#N/A</v>
      </c>
    </row>
    <row r="12914" spans="1:10" x14ac:dyDescent="0.25">
      <c r="A12914">
        <v>14570</v>
      </c>
      <c r="B12914" t="s">
        <v>531</v>
      </c>
      <c r="C12914">
        <v>411</v>
      </c>
      <c r="D12914">
        <v>571</v>
      </c>
      <c r="E12914">
        <v>0</v>
      </c>
      <c r="F12914">
        <v>274</v>
      </c>
      <c r="G12914">
        <v>0</v>
      </c>
      <c r="H12914" t="s">
        <v>17797</v>
      </c>
      <c r="I12914">
        <v>14570</v>
      </c>
      <c r="J12914" t="e">
        <f>VLOOKUP(E12914,DSSpieler!A:B,2,FALSE)</f>
        <v>#N/A</v>
      </c>
    </row>
    <row r="12915" spans="1:10" x14ac:dyDescent="0.25">
      <c r="A12915">
        <v>14571</v>
      </c>
      <c r="B12915" t="s">
        <v>34918</v>
      </c>
      <c r="C12915">
        <v>548</v>
      </c>
      <c r="D12915">
        <v>420</v>
      </c>
      <c r="E12915">
        <v>1577201227</v>
      </c>
      <c r="F12915">
        <v>609</v>
      </c>
      <c r="G12915">
        <v>0</v>
      </c>
      <c r="H12915" t="s">
        <v>17798</v>
      </c>
      <c r="I12915">
        <v>14571</v>
      </c>
      <c r="J12915" t="str">
        <f>VLOOKUP(E12915,DSSpieler!A:B,2,FALSE)</f>
        <v>guanako20</v>
      </c>
    </row>
    <row r="12916" spans="1:10" x14ac:dyDescent="0.25">
      <c r="A12916">
        <v>14572</v>
      </c>
      <c r="B12916" t="s">
        <v>2333</v>
      </c>
      <c r="C12916">
        <v>455</v>
      </c>
      <c r="D12916">
        <v>608</v>
      </c>
      <c r="E12916">
        <v>1577170914</v>
      </c>
      <c r="F12916">
        <v>2129</v>
      </c>
      <c r="G12916">
        <v>0</v>
      </c>
      <c r="H12916" t="s">
        <v>17799</v>
      </c>
      <c r="I12916">
        <v>14572</v>
      </c>
      <c r="J12916" t="str">
        <f>VLOOKUP(E12916,DSSpieler!A:B,2,FALSE)</f>
        <v>Xyvio</v>
      </c>
    </row>
    <row r="12917" spans="1:10" x14ac:dyDescent="0.25">
      <c r="A12917">
        <v>14573</v>
      </c>
      <c r="B12917" t="s">
        <v>531</v>
      </c>
      <c r="C12917">
        <v>566</v>
      </c>
      <c r="D12917">
        <v>407</v>
      </c>
      <c r="E12917">
        <v>0</v>
      </c>
      <c r="F12917">
        <v>314</v>
      </c>
      <c r="G12917">
        <v>0</v>
      </c>
      <c r="H12917" t="s">
        <v>17800</v>
      </c>
      <c r="I12917">
        <v>14573</v>
      </c>
      <c r="J12917" t="e">
        <f>VLOOKUP(E12917,DSSpieler!A:B,2,FALSE)</f>
        <v>#N/A</v>
      </c>
    </row>
    <row r="12918" spans="1:10" x14ac:dyDescent="0.25">
      <c r="A12918">
        <v>14574</v>
      </c>
      <c r="B12918" t="s">
        <v>531</v>
      </c>
      <c r="C12918">
        <v>386</v>
      </c>
      <c r="D12918">
        <v>521</v>
      </c>
      <c r="E12918">
        <v>0</v>
      </c>
      <c r="F12918">
        <v>157</v>
      </c>
      <c r="G12918">
        <v>0</v>
      </c>
      <c r="H12918" t="s">
        <v>17801</v>
      </c>
      <c r="I12918">
        <v>14574</v>
      </c>
      <c r="J12918" t="e">
        <f>VLOOKUP(E12918,DSSpieler!A:B,2,FALSE)</f>
        <v>#N/A</v>
      </c>
    </row>
    <row r="12919" spans="1:10" x14ac:dyDescent="0.25">
      <c r="A12919">
        <v>14575</v>
      </c>
      <c r="B12919" t="s">
        <v>531</v>
      </c>
      <c r="C12919">
        <v>517</v>
      </c>
      <c r="D12919">
        <v>614</v>
      </c>
      <c r="E12919">
        <v>0</v>
      </c>
      <c r="F12919">
        <v>205</v>
      </c>
      <c r="G12919">
        <v>0</v>
      </c>
      <c r="H12919" t="s">
        <v>17802</v>
      </c>
      <c r="I12919">
        <v>14575</v>
      </c>
      <c r="J12919" t="e">
        <f>VLOOKUP(E12919,DSSpieler!A:B,2,FALSE)</f>
        <v>#N/A</v>
      </c>
    </row>
    <row r="12920" spans="1:10" x14ac:dyDescent="0.25">
      <c r="A12920">
        <v>14576</v>
      </c>
      <c r="B12920" t="s">
        <v>531</v>
      </c>
      <c r="C12920">
        <v>468</v>
      </c>
      <c r="D12920">
        <v>390</v>
      </c>
      <c r="E12920">
        <v>0</v>
      </c>
      <c r="F12920">
        <v>211</v>
      </c>
      <c r="G12920">
        <v>0</v>
      </c>
      <c r="H12920" t="s">
        <v>17803</v>
      </c>
      <c r="I12920">
        <v>14576</v>
      </c>
      <c r="J12920" t="e">
        <f>VLOOKUP(E12920,DSSpieler!A:B,2,FALSE)</f>
        <v>#N/A</v>
      </c>
    </row>
    <row r="12921" spans="1:10" x14ac:dyDescent="0.25">
      <c r="A12921">
        <v>14578</v>
      </c>
      <c r="B12921" t="s">
        <v>531</v>
      </c>
      <c r="C12921">
        <v>600</v>
      </c>
      <c r="D12921">
        <v>440</v>
      </c>
      <c r="E12921">
        <v>0</v>
      </c>
      <c r="F12921">
        <v>148</v>
      </c>
      <c r="G12921">
        <v>0</v>
      </c>
      <c r="H12921" t="s">
        <v>17804</v>
      </c>
      <c r="I12921">
        <v>14578</v>
      </c>
      <c r="J12921" t="e">
        <f>VLOOKUP(E12921,DSSpieler!A:B,2,FALSE)</f>
        <v>#N/A</v>
      </c>
    </row>
    <row r="12922" spans="1:10" x14ac:dyDescent="0.25">
      <c r="A12922">
        <v>14579</v>
      </c>
      <c r="B12922" t="s">
        <v>531</v>
      </c>
      <c r="C12922">
        <v>412</v>
      </c>
      <c r="D12922">
        <v>428</v>
      </c>
      <c r="E12922">
        <v>0</v>
      </c>
      <c r="F12922">
        <v>327</v>
      </c>
      <c r="G12922">
        <v>0</v>
      </c>
      <c r="H12922" t="s">
        <v>17805</v>
      </c>
      <c r="I12922">
        <v>14579</v>
      </c>
      <c r="J12922" t="e">
        <f>VLOOKUP(E12922,DSSpieler!A:B,2,FALSE)</f>
        <v>#N/A</v>
      </c>
    </row>
    <row r="12923" spans="1:10" x14ac:dyDescent="0.25">
      <c r="A12923">
        <v>14581</v>
      </c>
      <c r="B12923" t="s">
        <v>2334</v>
      </c>
      <c r="C12923">
        <v>385</v>
      </c>
      <c r="D12923">
        <v>482</v>
      </c>
      <c r="E12923">
        <v>1576382522</v>
      </c>
      <c r="F12923">
        <v>3133</v>
      </c>
      <c r="G12923">
        <v>0</v>
      </c>
      <c r="H12923" t="s">
        <v>17806</v>
      </c>
      <c r="I12923">
        <v>14581</v>
      </c>
      <c r="J12923" t="str">
        <f>VLOOKUP(E12923,DSSpieler!A:B,2,FALSE)</f>
        <v>90sKid</v>
      </c>
    </row>
    <row r="12924" spans="1:10" x14ac:dyDescent="0.25">
      <c r="A12924">
        <v>14582</v>
      </c>
      <c r="B12924" t="s">
        <v>34919</v>
      </c>
      <c r="C12924">
        <v>403</v>
      </c>
      <c r="D12924">
        <v>438</v>
      </c>
      <c r="E12924">
        <v>1576203801</v>
      </c>
      <c r="F12924">
        <v>3768</v>
      </c>
      <c r="G12924">
        <v>0</v>
      </c>
      <c r="H12924" t="s">
        <v>17807</v>
      </c>
      <c r="I12924">
        <v>14582</v>
      </c>
      <c r="J12924" t="str">
        <f>VLOOKUP(E12924,DSSpieler!A:B,2,FALSE)</f>
        <v>X1312</v>
      </c>
    </row>
    <row r="12925" spans="1:10" x14ac:dyDescent="0.25">
      <c r="A12925">
        <v>14583</v>
      </c>
      <c r="B12925" t="s">
        <v>531</v>
      </c>
      <c r="C12925">
        <v>578</v>
      </c>
      <c r="D12925">
        <v>585</v>
      </c>
      <c r="E12925">
        <v>0</v>
      </c>
      <c r="F12925">
        <v>695</v>
      </c>
      <c r="G12925">
        <v>0</v>
      </c>
      <c r="H12925" t="s">
        <v>17808</v>
      </c>
      <c r="I12925">
        <v>14583</v>
      </c>
      <c r="J12925" t="e">
        <f>VLOOKUP(E12925,DSSpieler!A:B,2,FALSE)</f>
        <v>#N/A</v>
      </c>
    </row>
    <row r="12926" spans="1:10" x14ac:dyDescent="0.25">
      <c r="A12926">
        <v>14584</v>
      </c>
      <c r="B12926" t="s">
        <v>531</v>
      </c>
      <c r="C12926">
        <v>524</v>
      </c>
      <c r="D12926">
        <v>425</v>
      </c>
      <c r="E12926">
        <v>0</v>
      </c>
      <c r="F12926">
        <v>508</v>
      </c>
      <c r="G12926">
        <v>0</v>
      </c>
      <c r="H12926" t="s">
        <v>17809</v>
      </c>
      <c r="I12926">
        <v>14584</v>
      </c>
      <c r="J12926" t="e">
        <f>VLOOKUP(E12926,DSSpieler!A:B,2,FALSE)</f>
        <v>#N/A</v>
      </c>
    </row>
    <row r="12927" spans="1:10" x14ac:dyDescent="0.25">
      <c r="A12927">
        <v>14585</v>
      </c>
      <c r="B12927" t="s">
        <v>531</v>
      </c>
      <c r="C12927">
        <v>453</v>
      </c>
      <c r="D12927">
        <v>396</v>
      </c>
      <c r="E12927">
        <v>0</v>
      </c>
      <c r="F12927">
        <v>233</v>
      </c>
      <c r="G12927">
        <v>0</v>
      </c>
      <c r="H12927" t="s">
        <v>17810</v>
      </c>
      <c r="I12927">
        <v>14585</v>
      </c>
      <c r="J12927" t="e">
        <f>VLOOKUP(E12927,DSSpieler!A:B,2,FALSE)</f>
        <v>#N/A</v>
      </c>
    </row>
    <row r="12928" spans="1:10" x14ac:dyDescent="0.25">
      <c r="A12928">
        <v>14586</v>
      </c>
      <c r="B12928" t="s">
        <v>531</v>
      </c>
      <c r="C12928">
        <v>401</v>
      </c>
      <c r="D12928">
        <v>434</v>
      </c>
      <c r="E12928">
        <v>0</v>
      </c>
      <c r="F12928">
        <v>168</v>
      </c>
      <c r="G12928">
        <v>0</v>
      </c>
      <c r="H12928" t="s">
        <v>17811</v>
      </c>
      <c r="I12928">
        <v>14586</v>
      </c>
      <c r="J12928" t="e">
        <f>VLOOKUP(E12928,DSSpieler!A:B,2,FALSE)</f>
        <v>#N/A</v>
      </c>
    </row>
    <row r="12929" spans="1:10" x14ac:dyDescent="0.25">
      <c r="A12929">
        <v>14587</v>
      </c>
      <c r="B12929" t="s">
        <v>150</v>
      </c>
      <c r="C12929">
        <v>491</v>
      </c>
      <c r="D12929">
        <v>469</v>
      </c>
      <c r="E12929">
        <v>1577201231</v>
      </c>
      <c r="F12929">
        <v>4735</v>
      </c>
      <c r="G12929">
        <v>0</v>
      </c>
      <c r="H12929" t="s">
        <v>17812</v>
      </c>
      <c r="I12929">
        <v>14587</v>
      </c>
      <c r="J12929" t="str">
        <f>VLOOKUP(E12929,DSSpieler!A:B,2,FALSE)</f>
        <v>schame</v>
      </c>
    </row>
    <row r="12930" spans="1:10" x14ac:dyDescent="0.25">
      <c r="A12930">
        <v>14588</v>
      </c>
      <c r="B12930" t="s">
        <v>34920</v>
      </c>
      <c r="C12930">
        <v>591</v>
      </c>
      <c r="D12930">
        <v>429</v>
      </c>
      <c r="E12930">
        <v>1577201098</v>
      </c>
      <c r="F12930">
        <v>3373</v>
      </c>
      <c r="G12930">
        <v>0</v>
      </c>
      <c r="H12930" t="s">
        <v>17813</v>
      </c>
      <c r="I12930">
        <v>14588</v>
      </c>
      <c r="J12930" t="str">
        <f>VLOOKUP(E12930,DSSpieler!A:B,2,FALSE)</f>
        <v>Thor Odinson</v>
      </c>
    </row>
    <row r="12931" spans="1:10" x14ac:dyDescent="0.25">
      <c r="A12931">
        <v>14590</v>
      </c>
      <c r="B12931" t="s">
        <v>34921</v>
      </c>
      <c r="C12931">
        <v>456</v>
      </c>
      <c r="D12931">
        <v>392</v>
      </c>
      <c r="E12931">
        <v>1840322</v>
      </c>
      <c r="F12931">
        <v>5874</v>
      </c>
      <c r="G12931">
        <v>0</v>
      </c>
      <c r="H12931" t="s">
        <v>17814</v>
      </c>
      <c r="I12931">
        <v>14590</v>
      </c>
      <c r="J12931" t="str">
        <f>VLOOKUP(E12931,DSSpieler!A:B,2,FALSE)</f>
        <v>Gratschi</v>
      </c>
    </row>
    <row r="12932" spans="1:10" x14ac:dyDescent="0.25">
      <c r="A12932">
        <v>14591</v>
      </c>
      <c r="B12932" t="s">
        <v>531</v>
      </c>
      <c r="C12932">
        <v>486</v>
      </c>
      <c r="D12932">
        <v>617</v>
      </c>
      <c r="E12932">
        <v>0</v>
      </c>
      <c r="F12932">
        <v>365</v>
      </c>
      <c r="G12932">
        <v>0</v>
      </c>
      <c r="H12932" t="s">
        <v>17815</v>
      </c>
      <c r="I12932">
        <v>14591</v>
      </c>
      <c r="J12932" t="e">
        <f>VLOOKUP(E12932,DSSpieler!A:B,2,FALSE)</f>
        <v>#N/A</v>
      </c>
    </row>
    <row r="12933" spans="1:10" x14ac:dyDescent="0.25">
      <c r="A12933">
        <v>14592</v>
      </c>
      <c r="B12933" t="s">
        <v>34922</v>
      </c>
      <c r="C12933">
        <v>453</v>
      </c>
      <c r="D12933">
        <v>393</v>
      </c>
      <c r="E12933">
        <v>1576909773</v>
      </c>
      <c r="F12933">
        <v>3080</v>
      </c>
      <c r="G12933">
        <v>0</v>
      </c>
      <c r="H12933" t="s">
        <v>17816</v>
      </c>
      <c r="I12933">
        <v>14592</v>
      </c>
      <c r="J12933" t="str">
        <f>VLOOKUP(E12933,DSSpieler!A:B,2,FALSE)</f>
        <v>TheRedDevil</v>
      </c>
    </row>
    <row r="12934" spans="1:10" x14ac:dyDescent="0.25">
      <c r="A12934">
        <v>14593</v>
      </c>
      <c r="B12934" t="s">
        <v>531</v>
      </c>
      <c r="C12934">
        <v>490</v>
      </c>
      <c r="D12934">
        <v>618</v>
      </c>
      <c r="E12934">
        <v>0</v>
      </c>
      <c r="F12934">
        <v>139</v>
      </c>
      <c r="G12934">
        <v>0</v>
      </c>
      <c r="H12934" t="s">
        <v>17817</v>
      </c>
      <c r="I12934">
        <v>14593</v>
      </c>
      <c r="J12934" t="e">
        <f>VLOOKUP(E12934,DSSpieler!A:B,2,FALSE)</f>
        <v>#N/A</v>
      </c>
    </row>
    <row r="12935" spans="1:10" x14ac:dyDescent="0.25">
      <c r="A12935">
        <v>14595</v>
      </c>
      <c r="B12935" t="s">
        <v>34923</v>
      </c>
      <c r="C12935">
        <v>558</v>
      </c>
      <c r="D12935">
        <v>403</v>
      </c>
      <c r="E12935">
        <v>1576351396</v>
      </c>
      <c r="F12935">
        <v>84</v>
      </c>
      <c r="G12935">
        <v>0</v>
      </c>
      <c r="H12935" t="s">
        <v>17818</v>
      </c>
      <c r="I12935">
        <v>14595</v>
      </c>
      <c r="J12935" t="str">
        <f>VLOOKUP(E12935,DSSpieler!A:B,2,FALSE)</f>
        <v>PriMiSco</v>
      </c>
    </row>
    <row r="12936" spans="1:10" x14ac:dyDescent="0.25">
      <c r="A12936">
        <v>14596</v>
      </c>
      <c r="B12936" t="s">
        <v>531</v>
      </c>
      <c r="C12936">
        <v>482</v>
      </c>
      <c r="D12936">
        <v>615</v>
      </c>
      <c r="E12936">
        <v>0</v>
      </c>
      <c r="F12936">
        <v>249</v>
      </c>
      <c r="G12936">
        <v>0</v>
      </c>
      <c r="H12936" t="s">
        <v>17819</v>
      </c>
      <c r="I12936">
        <v>14596</v>
      </c>
      <c r="J12936" t="e">
        <f>VLOOKUP(E12936,DSSpieler!A:B,2,FALSE)</f>
        <v>#N/A</v>
      </c>
    </row>
    <row r="12937" spans="1:10" x14ac:dyDescent="0.25">
      <c r="A12937">
        <v>14598</v>
      </c>
      <c r="B12937" t="s">
        <v>34924</v>
      </c>
      <c r="C12937">
        <v>397</v>
      </c>
      <c r="D12937">
        <v>559</v>
      </c>
      <c r="E12937">
        <v>1997079</v>
      </c>
      <c r="F12937">
        <v>5103</v>
      </c>
      <c r="G12937">
        <v>0</v>
      </c>
      <c r="H12937" t="s">
        <v>17820</v>
      </c>
      <c r="I12937">
        <v>14598</v>
      </c>
      <c r="J12937" t="str">
        <f>VLOOKUP(E12937,DSSpieler!A:B,2,FALSE)</f>
        <v>Tell 10</v>
      </c>
    </row>
    <row r="12938" spans="1:10" x14ac:dyDescent="0.25">
      <c r="A12938">
        <v>14599</v>
      </c>
      <c r="B12938" t="s">
        <v>531</v>
      </c>
      <c r="C12938">
        <v>413</v>
      </c>
      <c r="D12938">
        <v>420</v>
      </c>
      <c r="E12938">
        <v>0</v>
      </c>
      <c r="F12938">
        <v>307</v>
      </c>
      <c r="G12938">
        <v>0</v>
      </c>
      <c r="H12938" t="s">
        <v>17821</v>
      </c>
      <c r="I12938">
        <v>14599</v>
      </c>
      <c r="J12938" t="e">
        <f>VLOOKUP(E12938,DSSpieler!A:B,2,FALSE)</f>
        <v>#N/A</v>
      </c>
    </row>
    <row r="12939" spans="1:10" x14ac:dyDescent="0.25">
      <c r="A12939">
        <v>14600</v>
      </c>
      <c r="B12939" t="s">
        <v>34172</v>
      </c>
      <c r="C12939">
        <v>407</v>
      </c>
      <c r="D12939">
        <v>572</v>
      </c>
      <c r="E12939">
        <v>9623859</v>
      </c>
      <c r="F12939">
        <v>4355</v>
      </c>
      <c r="G12939">
        <v>0</v>
      </c>
      <c r="H12939" t="s">
        <v>17822</v>
      </c>
      <c r="I12939">
        <v>14600</v>
      </c>
      <c r="J12939" t="str">
        <f>VLOOKUP(E12939,DSSpieler!A:B,2,FALSE)</f>
        <v>N o v a a R</v>
      </c>
    </row>
    <row r="12940" spans="1:10" x14ac:dyDescent="0.25">
      <c r="A12940">
        <v>14602</v>
      </c>
      <c r="B12940" t="s">
        <v>34925</v>
      </c>
      <c r="C12940">
        <v>396</v>
      </c>
      <c r="D12940">
        <v>556</v>
      </c>
      <c r="E12940">
        <v>9839438</v>
      </c>
      <c r="F12940">
        <v>5907</v>
      </c>
      <c r="G12940">
        <v>0</v>
      </c>
      <c r="H12940" t="s">
        <v>17823</v>
      </c>
      <c r="I12940">
        <v>14602</v>
      </c>
      <c r="J12940" t="str">
        <f>VLOOKUP(E12940,DSSpieler!A:B,2,FALSE)</f>
        <v>Spackmann</v>
      </c>
    </row>
    <row r="12941" spans="1:10" x14ac:dyDescent="0.25">
      <c r="A12941">
        <v>14603</v>
      </c>
      <c r="B12941" t="s">
        <v>531</v>
      </c>
      <c r="C12941">
        <v>487</v>
      </c>
      <c r="D12941">
        <v>618</v>
      </c>
      <c r="E12941">
        <v>0</v>
      </c>
      <c r="F12941">
        <v>276</v>
      </c>
      <c r="G12941">
        <v>0</v>
      </c>
      <c r="H12941" t="s">
        <v>17824</v>
      </c>
      <c r="I12941">
        <v>14603</v>
      </c>
      <c r="J12941" t="e">
        <f>VLOOKUP(E12941,DSSpieler!A:B,2,FALSE)</f>
        <v>#N/A</v>
      </c>
    </row>
    <row r="12942" spans="1:10" x14ac:dyDescent="0.25">
      <c r="A12942">
        <v>14604</v>
      </c>
      <c r="B12942" t="s">
        <v>531</v>
      </c>
      <c r="C12942">
        <v>443</v>
      </c>
      <c r="D12942">
        <v>397</v>
      </c>
      <c r="E12942">
        <v>0</v>
      </c>
      <c r="F12942">
        <v>407</v>
      </c>
      <c r="G12942">
        <v>0</v>
      </c>
      <c r="H12942" t="s">
        <v>17825</v>
      </c>
      <c r="I12942">
        <v>14604</v>
      </c>
      <c r="J12942" t="e">
        <f>VLOOKUP(E12942,DSSpieler!A:B,2,FALSE)</f>
        <v>#N/A</v>
      </c>
    </row>
    <row r="12943" spans="1:10" x14ac:dyDescent="0.25">
      <c r="A12943">
        <v>14605</v>
      </c>
      <c r="B12943" t="s">
        <v>2335</v>
      </c>
      <c r="C12943">
        <v>387</v>
      </c>
      <c r="D12943">
        <v>463</v>
      </c>
      <c r="E12943">
        <v>1577191249</v>
      </c>
      <c r="F12943">
        <v>7123</v>
      </c>
      <c r="G12943">
        <v>0</v>
      </c>
      <c r="H12943" t="s">
        <v>487</v>
      </c>
      <c r="I12943">
        <v>14605</v>
      </c>
      <c r="J12943" t="str">
        <f>VLOOKUP(E12943,DSSpieler!A:B,2,FALSE)</f>
        <v>Succoso</v>
      </c>
    </row>
    <row r="12944" spans="1:10" x14ac:dyDescent="0.25">
      <c r="A12944">
        <v>14607</v>
      </c>
      <c r="B12944" t="s">
        <v>531</v>
      </c>
      <c r="C12944">
        <v>433</v>
      </c>
      <c r="D12944">
        <v>410</v>
      </c>
      <c r="E12944">
        <v>0</v>
      </c>
      <c r="F12944">
        <v>214</v>
      </c>
      <c r="G12944">
        <v>0</v>
      </c>
      <c r="H12944" t="s">
        <v>17826</v>
      </c>
      <c r="I12944">
        <v>14607</v>
      </c>
      <c r="J12944" t="e">
        <f>VLOOKUP(E12944,DSSpieler!A:B,2,FALSE)</f>
        <v>#N/A</v>
      </c>
    </row>
    <row r="12945" spans="1:10" x14ac:dyDescent="0.25">
      <c r="A12945">
        <v>14610</v>
      </c>
      <c r="B12945" t="s">
        <v>531</v>
      </c>
      <c r="C12945">
        <v>493</v>
      </c>
      <c r="D12945">
        <v>617</v>
      </c>
      <c r="E12945">
        <v>0</v>
      </c>
      <c r="F12945">
        <v>431</v>
      </c>
      <c r="G12945">
        <v>0</v>
      </c>
      <c r="H12945" t="s">
        <v>17827</v>
      </c>
      <c r="I12945">
        <v>14610</v>
      </c>
      <c r="J12945" t="e">
        <f>VLOOKUP(E12945,DSSpieler!A:B,2,FALSE)</f>
        <v>#N/A</v>
      </c>
    </row>
    <row r="12946" spans="1:10" x14ac:dyDescent="0.25">
      <c r="A12946">
        <v>14611</v>
      </c>
      <c r="B12946" t="s">
        <v>531</v>
      </c>
      <c r="C12946">
        <v>419</v>
      </c>
      <c r="D12946">
        <v>585</v>
      </c>
      <c r="E12946">
        <v>0</v>
      </c>
      <c r="F12946">
        <v>129</v>
      </c>
      <c r="G12946">
        <v>0</v>
      </c>
      <c r="H12946" t="s">
        <v>17828</v>
      </c>
      <c r="I12946">
        <v>14611</v>
      </c>
      <c r="J12946" t="e">
        <f>VLOOKUP(E12946,DSSpieler!A:B,2,FALSE)</f>
        <v>#N/A</v>
      </c>
    </row>
    <row r="12947" spans="1:10" x14ac:dyDescent="0.25">
      <c r="A12947">
        <v>14612</v>
      </c>
      <c r="B12947">
        <v>1</v>
      </c>
      <c r="C12947">
        <v>389</v>
      </c>
      <c r="D12947">
        <v>468</v>
      </c>
      <c r="E12947">
        <v>1576987194</v>
      </c>
      <c r="F12947">
        <v>4625</v>
      </c>
      <c r="G12947">
        <v>0</v>
      </c>
      <c r="H12947" t="s">
        <v>483</v>
      </c>
      <c r="I12947">
        <v>14612</v>
      </c>
      <c r="J12947" t="str">
        <f>VLOOKUP(E12947,DSSpieler!A:B,2,FALSE)</f>
        <v>Zoipa</v>
      </c>
    </row>
    <row r="12948" spans="1:10" x14ac:dyDescent="0.25">
      <c r="A12948">
        <v>14613</v>
      </c>
      <c r="B12948" t="s">
        <v>2336</v>
      </c>
      <c r="C12948">
        <v>515</v>
      </c>
      <c r="D12948">
        <v>384</v>
      </c>
      <c r="E12948">
        <v>1575871779</v>
      </c>
      <c r="F12948">
        <v>5065</v>
      </c>
      <c r="G12948">
        <v>0</v>
      </c>
      <c r="H12948" t="s">
        <v>17829</v>
      </c>
      <c r="I12948">
        <v>14613</v>
      </c>
      <c r="J12948" t="str">
        <f>VLOOKUP(E12948,DSSpieler!A:B,2,FALSE)</f>
        <v>sebi97</v>
      </c>
    </row>
    <row r="12949" spans="1:10" x14ac:dyDescent="0.25">
      <c r="A12949">
        <v>14615</v>
      </c>
      <c r="B12949" t="s">
        <v>34926</v>
      </c>
      <c r="C12949">
        <v>421</v>
      </c>
      <c r="D12949">
        <v>410</v>
      </c>
      <c r="E12949">
        <v>1789761</v>
      </c>
      <c r="F12949">
        <v>4987</v>
      </c>
      <c r="G12949">
        <v>0</v>
      </c>
      <c r="H12949" t="s">
        <v>17830</v>
      </c>
      <c r="I12949">
        <v>14615</v>
      </c>
      <c r="J12949" t="str">
        <f>VLOOKUP(E12949,DSSpieler!A:B,2,FALSE)</f>
        <v>Leonardo di Caprisonne</v>
      </c>
    </row>
    <row r="12950" spans="1:10" x14ac:dyDescent="0.25">
      <c r="A12950">
        <v>14616</v>
      </c>
      <c r="B12950" t="s">
        <v>531</v>
      </c>
      <c r="C12950">
        <v>614</v>
      </c>
      <c r="D12950">
        <v>531</v>
      </c>
      <c r="E12950">
        <v>0</v>
      </c>
      <c r="F12950">
        <v>172</v>
      </c>
      <c r="G12950">
        <v>0</v>
      </c>
      <c r="H12950" t="s">
        <v>17831</v>
      </c>
      <c r="I12950">
        <v>14616</v>
      </c>
      <c r="J12950" t="e">
        <f>VLOOKUP(E12950,DSSpieler!A:B,2,FALSE)</f>
        <v>#N/A</v>
      </c>
    </row>
    <row r="12951" spans="1:10" x14ac:dyDescent="0.25">
      <c r="A12951">
        <v>14617</v>
      </c>
      <c r="B12951">
        <v>2</v>
      </c>
      <c r="C12951">
        <v>449</v>
      </c>
      <c r="D12951">
        <v>398</v>
      </c>
      <c r="E12951">
        <v>1576352386</v>
      </c>
      <c r="F12951">
        <v>2629</v>
      </c>
      <c r="G12951">
        <v>0</v>
      </c>
      <c r="H12951" t="s">
        <v>17832</v>
      </c>
      <c r="I12951">
        <v>14617</v>
      </c>
      <c r="J12951" t="str">
        <f>VLOOKUP(E12951,DSSpieler!A:B,2,FALSE)</f>
        <v>xandrej</v>
      </c>
    </row>
    <row r="12952" spans="1:10" x14ac:dyDescent="0.25">
      <c r="A12952">
        <v>14618</v>
      </c>
      <c r="B12952" t="s">
        <v>531</v>
      </c>
      <c r="C12952">
        <v>397</v>
      </c>
      <c r="D12952">
        <v>527</v>
      </c>
      <c r="E12952">
        <v>0</v>
      </c>
      <c r="F12952">
        <v>188</v>
      </c>
      <c r="G12952">
        <v>0</v>
      </c>
      <c r="H12952" t="s">
        <v>17833</v>
      </c>
      <c r="I12952">
        <v>14618</v>
      </c>
      <c r="J12952" t="e">
        <f>VLOOKUP(E12952,DSSpieler!A:B,2,FALSE)</f>
        <v>#N/A</v>
      </c>
    </row>
    <row r="12953" spans="1:10" x14ac:dyDescent="0.25">
      <c r="A12953">
        <v>14619</v>
      </c>
      <c r="B12953" t="s">
        <v>531</v>
      </c>
      <c r="C12953">
        <v>489</v>
      </c>
      <c r="D12953">
        <v>387</v>
      </c>
      <c r="E12953">
        <v>0</v>
      </c>
      <c r="F12953">
        <v>411</v>
      </c>
      <c r="G12953">
        <v>0</v>
      </c>
      <c r="H12953" t="s">
        <v>17834</v>
      </c>
      <c r="I12953">
        <v>14619</v>
      </c>
      <c r="J12953" t="e">
        <f>VLOOKUP(E12953,DSSpieler!A:B,2,FALSE)</f>
        <v>#N/A</v>
      </c>
    </row>
    <row r="12954" spans="1:10" x14ac:dyDescent="0.25">
      <c r="A12954">
        <v>14620</v>
      </c>
      <c r="B12954" t="s">
        <v>34927</v>
      </c>
      <c r="C12954">
        <v>545</v>
      </c>
      <c r="D12954">
        <v>582</v>
      </c>
      <c r="E12954">
        <v>1577198836</v>
      </c>
      <c r="F12954">
        <v>964</v>
      </c>
      <c r="G12954">
        <v>0</v>
      </c>
      <c r="H12954" t="s">
        <v>17835</v>
      </c>
      <c r="I12954">
        <v>14620</v>
      </c>
      <c r="J12954" t="str">
        <f>VLOOKUP(E12954,DSSpieler!A:B,2,FALSE)</f>
        <v>kloetentoeter</v>
      </c>
    </row>
    <row r="12955" spans="1:10" x14ac:dyDescent="0.25">
      <c r="A12955">
        <v>14621</v>
      </c>
      <c r="B12955">
        <v>2</v>
      </c>
      <c r="C12955">
        <v>395</v>
      </c>
      <c r="D12955">
        <v>534</v>
      </c>
      <c r="E12955">
        <v>1577162920</v>
      </c>
      <c r="F12955">
        <v>5396</v>
      </c>
      <c r="G12955">
        <v>0</v>
      </c>
      <c r="H12955" t="s">
        <v>17836</v>
      </c>
      <c r="I12955">
        <v>14621</v>
      </c>
      <c r="J12955" t="str">
        <f>VLOOKUP(E12955,DSSpieler!A:B,2,FALSE)</f>
        <v>V3RO</v>
      </c>
    </row>
    <row r="12956" spans="1:10" x14ac:dyDescent="0.25">
      <c r="A12956">
        <v>14622</v>
      </c>
      <c r="B12956" t="s">
        <v>531</v>
      </c>
      <c r="C12956">
        <v>416</v>
      </c>
      <c r="D12956">
        <v>417</v>
      </c>
      <c r="E12956">
        <v>0</v>
      </c>
      <c r="F12956">
        <v>96</v>
      </c>
      <c r="G12956">
        <v>0</v>
      </c>
      <c r="H12956" t="s">
        <v>17837</v>
      </c>
      <c r="I12956">
        <v>14622</v>
      </c>
      <c r="J12956" t="e">
        <f>VLOOKUP(E12956,DSSpieler!A:B,2,FALSE)</f>
        <v>#N/A</v>
      </c>
    </row>
    <row r="12957" spans="1:10" x14ac:dyDescent="0.25">
      <c r="A12957">
        <v>14623</v>
      </c>
      <c r="B12957" t="s">
        <v>2337</v>
      </c>
      <c r="C12957">
        <v>388</v>
      </c>
      <c r="D12957">
        <v>537</v>
      </c>
      <c r="E12957">
        <v>1577201274</v>
      </c>
      <c r="F12957">
        <v>1069</v>
      </c>
      <c r="G12957">
        <v>0</v>
      </c>
      <c r="H12957" t="s">
        <v>17838</v>
      </c>
      <c r="I12957">
        <v>14623</v>
      </c>
      <c r="J12957" t="str">
        <f>VLOOKUP(E12957,DSSpieler!A:B,2,FALSE)</f>
        <v>chw42413</v>
      </c>
    </row>
    <row r="12958" spans="1:10" x14ac:dyDescent="0.25">
      <c r="A12958">
        <v>14624</v>
      </c>
      <c r="B12958" t="s">
        <v>34928</v>
      </c>
      <c r="C12958">
        <v>428</v>
      </c>
      <c r="D12958">
        <v>405</v>
      </c>
      <c r="E12958">
        <v>1789761</v>
      </c>
      <c r="F12958">
        <v>3963</v>
      </c>
      <c r="G12958">
        <v>0</v>
      </c>
      <c r="H12958" t="s">
        <v>17839</v>
      </c>
      <c r="I12958">
        <v>14624</v>
      </c>
      <c r="J12958" t="str">
        <f>VLOOKUP(E12958,DSSpieler!A:B,2,FALSE)</f>
        <v>Leonardo di Caprisonne</v>
      </c>
    </row>
    <row r="12959" spans="1:10" x14ac:dyDescent="0.25">
      <c r="A12959">
        <v>14625</v>
      </c>
      <c r="B12959" t="s">
        <v>531</v>
      </c>
      <c r="C12959">
        <v>471</v>
      </c>
      <c r="D12959">
        <v>524</v>
      </c>
      <c r="E12959">
        <v>0</v>
      </c>
      <c r="F12959">
        <v>146</v>
      </c>
      <c r="G12959">
        <v>0</v>
      </c>
      <c r="H12959" t="s">
        <v>17840</v>
      </c>
      <c r="I12959">
        <v>14625</v>
      </c>
      <c r="J12959" t="e">
        <f>VLOOKUP(E12959,DSSpieler!A:B,2,FALSE)</f>
        <v>#N/A</v>
      </c>
    </row>
    <row r="12960" spans="1:10" x14ac:dyDescent="0.25">
      <c r="A12960">
        <v>14626</v>
      </c>
      <c r="B12960" t="s">
        <v>946</v>
      </c>
      <c r="C12960">
        <v>427</v>
      </c>
      <c r="D12960">
        <v>410</v>
      </c>
      <c r="E12960">
        <v>10077190</v>
      </c>
      <c r="F12960">
        <v>5593</v>
      </c>
      <c r="G12960">
        <v>0</v>
      </c>
      <c r="H12960" t="s">
        <v>17841</v>
      </c>
      <c r="I12960">
        <v>14626</v>
      </c>
      <c r="J12960" t="str">
        <f>VLOOKUP(E12960,DSSpieler!A:B,2,FALSE)</f>
        <v>lR a Z o lR</v>
      </c>
    </row>
    <row r="12961" spans="1:10" x14ac:dyDescent="0.25">
      <c r="A12961">
        <v>14628</v>
      </c>
      <c r="B12961" t="s">
        <v>34929</v>
      </c>
      <c r="C12961">
        <v>604</v>
      </c>
      <c r="D12961">
        <v>445</v>
      </c>
      <c r="E12961">
        <v>1577201263</v>
      </c>
      <c r="F12961">
        <v>95</v>
      </c>
      <c r="G12961">
        <v>0</v>
      </c>
      <c r="H12961" t="s">
        <v>17842</v>
      </c>
      <c r="I12961">
        <v>14628</v>
      </c>
      <c r="J12961" t="str">
        <f>VLOOKUP(E12961,DSSpieler!A:B,2,FALSE)</f>
        <v>FullMetalBender</v>
      </c>
    </row>
    <row r="12962" spans="1:10" x14ac:dyDescent="0.25">
      <c r="A12962">
        <v>14629</v>
      </c>
      <c r="B12962" t="s">
        <v>2338</v>
      </c>
      <c r="C12962">
        <v>611</v>
      </c>
      <c r="D12962">
        <v>521</v>
      </c>
      <c r="E12962">
        <v>1577198510</v>
      </c>
      <c r="F12962">
        <v>500</v>
      </c>
      <c r="G12962">
        <v>0</v>
      </c>
      <c r="H12962" t="s">
        <v>17843</v>
      </c>
      <c r="I12962">
        <v>14629</v>
      </c>
      <c r="J12962" t="str">
        <f>VLOOKUP(E12962,DSSpieler!A:B,2,FALSE)</f>
        <v>icebreaker88</v>
      </c>
    </row>
    <row r="12963" spans="1:10" x14ac:dyDescent="0.25">
      <c r="A12963">
        <v>14630</v>
      </c>
      <c r="B12963" t="s">
        <v>34930</v>
      </c>
      <c r="C12963">
        <v>568</v>
      </c>
      <c r="D12963">
        <v>405</v>
      </c>
      <c r="E12963">
        <v>1577200732</v>
      </c>
      <c r="F12963">
        <v>5277</v>
      </c>
      <c r="G12963">
        <v>0</v>
      </c>
      <c r="H12963" t="s">
        <v>17844</v>
      </c>
      <c r="I12963">
        <v>14630</v>
      </c>
      <c r="J12963" t="str">
        <f>VLOOKUP(E12963,DSSpieler!A:B,2,FALSE)</f>
        <v>DerHanner</v>
      </c>
    </row>
    <row r="12964" spans="1:10" x14ac:dyDescent="0.25">
      <c r="A12964">
        <v>14631</v>
      </c>
      <c r="B12964" t="s">
        <v>531</v>
      </c>
      <c r="C12964">
        <v>438</v>
      </c>
      <c r="D12964">
        <v>404</v>
      </c>
      <c r="E12964">
        <v>0</v>
      </c>
      <c r="F12964">
        <v>616</v>
      </c>
      <c r="G12964">
        <v>0</v>
      </c>
      <c r="H12964" t="s">
        <v>17845</v>
      </c>
      <c r="I12964">
        <v>14631</v>
      </c>
      <c r="J12964" t="e">
        <f>VLOOKUP(E12964,DSSpieler!A:B,2,FALSE)</f>
        <v>#N/A</v>
      </c>
    </row>
    <row r="12965" spans="1:10" x14ac:dyDescent="0.25">
      <c r="A12965">
        <v>14632</v>
      </c>
      <c r="B12965" t="s">
        <v>531</v>
      </c>
      <c r="C12965">
        <v>420</v>
      </c>
      <c r="D12965">
        <v>581</v>
      </c>
      <c r="E12965">
        <v>0</v>
      </c>
      <c r="F12965">
        <v>449</v>
      </c>
      <c r="G12965">
        <v>0</v>
      </c>
      <c r="H12965" t="s">
        <v>17846</v>
      </c>
      <c r="I12965">
        <v>14632</v>
      </c>
      <c r="J12965" t="e">
        <f>VLOOKUP(E12965,DSSpieler!A:B,2,FALSE)</f>
        <v>#N/A</v>
      </c>
    </row>
    <row r="12966" spans="1:10" x14ac:dyDescent="0.25">
      <c r="A12966">
        <v>14634</v>
      </c>
      <c r="B12966" t="s">
        <v>1323</v>
      </c>
      <c r="C12966">
        <v>421</v>
      </c>
      <c r="D12966">
        <v>581</v>
      </c>
      <c r="E12966">
        <v>8342313</v>
      </c>
      <c r="F12966">
        <v>2345</v>
      </c>
      <c r="G12966">
        <v>0</v>
      </c>
      <c r="H12966" t="s">
        <v>17847</v>
      </c>
      <c r="I12966">
        <v>14634</v>
      </c>
      <c r="J12966" t="str">
        <f>VLOOKUP(E12966,DSSpieler!A:B,2,FALSE)</f>
        <v>Jaqen H ghar</v>
      </c>
    </row>
    <row r="12967" spans="1:10" x14ac:dyDescent="0.25">
      <c r="A12967">
        <v>14635</v>
      </c>
      <c r="B12967" t="s">
        <v>531</v>
      </c>
      <c r="C12967">
        <v>411</v>
      </c>
      <c r="D12967">
        <v>453</v>
      </c>
      <c r="E12967">
        <v>0</v>
      </c>
      <c r="F12967">
        <v>204</v>
      </c>
      <c r="G12967">
        <v>0</v>
      </c>
      <c r="H12967" t="s">
        <v>17848</v>
      </c>
      <c r="I12967">
        <v>14635</v>
      </c>
      <c r="J12967" t="e">
        <f>VLOOKUP(E12967,DSSpieler!A:B,2,FALSE)</f>
        <v>#N/A</v>
      </c>
    </row>
    <row r="12968" spans="1:10" x14ac:dyDescent="0.25">
      <c r="A12968">
        <v>14637</v>
      </c>
      <c r="B12968" t="s">
        <v>531</v>
      </c>
      <c r="C12968">
        <v>418</v>
      </c>
      <c r="D12968">
        <v>588</v>
      </c>
      <c r="E12968">
        <v>0</v>
      </c>
      <c r="F12968">
        <v>96</v>
      </c>
      <c r="G12968">
        <v>0</v>
      </c>
      <c r="H12968" t="s">
        <v>17849</v>
      </c>
      <c r="I12968">
        <v>14637</v>
      </c>
      <c r="J12968" t="e">
        <f>VLOOKUP(E12968,DSSpieler!A:B,2,FALSE)</f>
        <v>#N/A</v>
      </c>
    </row>
    <row r="12969" spans="1:10" x14ac:dyDescent="0.25">
      <c r="A12969">
        <v>14638</v>
      </c>
      <c r="B12969" t="s">
        <v>531</v>
      </c>
      <c r="C12969">
        <v>425</v>
      </c>
      <c r="D12969">
        <v>587</v>
      </c>
      <c r="E12969">
        <v>0</v>
      </c>
      <c r="F12969">
        <v>135</v>
      </c>
      <c r="G12969">
        <v>0</v>
      </c>
      <c r="H12969" t="s">
        <v>17850</v>
      </c>
      <c r="I12969">
        <v>14638</v>
      </c>
      <c r="J12969" t="e">
        <f>VLOOKUP(E12969,DSSpieler!A:B,2,FALSE)</f>
        <v>#N/A</v>
      </c>
    </row>
    <row r="12970" spans="1:10" x14ac:dyDescent="0.25">
      <c r="A12970">
        <v>14640</v>
      </c>
      <c r="B12970" t="s">
        <v>34931</v>
      </c>
      <c r="C12970">
        <v>508</v>
      </c>
      <c r="D12970">
        <v>615</v>
      </c>
      <c r="E12970">
        <v>8359919</v>
      </c>
      <c r="F12970">
        <v>6486</v>
      </c>
      <c r="G12970">
        <v>0</v>
      </c>
      <c r="H12970" t="s">
        <v>17851</v>
      </c>
      <c r="I12970">
        <v>14640</v>
      </c>
      <c r="J12970" t="str">
        <f>VLOOKUP(E12970,DSSpieler!A:B,2,FALSE)</f>
        <v>LolliNWO</v>
      </c>
    </row>
    <row r="12971" spans="1:10" x14ac:dyDescent="0.25">
      <c r="A12971">
        <v>14641</v>
      </c>
      <c r="B12971" t="s">
        <v>531</v>
      </c>
      <c r="C12971">
        <v>495</v>
      </c>
      <c r="D12971">
        <v>615</v>
      </c>
      <c r="E12971">
        <v>0</v>
      </c>
      <c r="F12971">
        <v>158</v>
      </c>
      <c r="G12971">
        <v>0</v>
      </c>
      <c r="H12971" t="s">
        <v>17852</v>
      </c>
      <c r="I12971">
        <v>14641</v>
      </c>
      <c r="J12971" t="e">
        <f>VLOOKUP(E12971,DSSpieler!A:B,2,FALSE)</f>
        <v>#N/A</v>
      </c>
    </row>
    <row r="12972" spans="1:10" x14ac:dyDescent="0.25">
      <c r="A12972">
        <v>14642</v>
      </c>
      <c r="B12972" t="s">
        <v>531</v>
      </c>
      <c r="C12972">
        <v>537</v>
      </c>
      <c r="D12972">
        <v>611</v>
      </c>
      <c r="E12972">
        <v>0</v>
      </c>
      <c r="F12972">
        <v>317</v>
      </c>
      <c r="G12972">
        <v>0</v>
      </c>
      <c r="H12972" t="s">
        <v>17853</v>
      </c>
      <c r="I12972">
        <v>14642</v>
      </c>
      <c r="J12972" t="e">
        <f>VLOOKUP(E12972,DSSpieler!A:B,2,FALSE)</f>
        <v>#N/A</v>
      </c>
    </row>
    <row r="12973" spans="1:10" x14ac:dyDescent="0.25">
      <c r="A12973">
        <v>14643</v>
      </c>
      <c r="B12973" t="s">
        <v>34932</v>
      </c>
      <c r="C12973">
        <v>464</v>
      </c>
      <c r="D12973">
        <v>387</v>
      </c>
      <c r="E12973">
        <v>1575974550</v>
      </c>
      <c r="F12973">
        <v>4129</v>
      </c>
      <c r="G12973">
        <v>0</v>
      </c>
      <c r="H12973" t="s">
        <v>17854</v>
      </c>
      <c r="I12973">
        <v>14643</v>
      </c>
      <c r="J12973" t="str">
        <f>VLOOKUP(E12973,DSSpieler!A:B,2,FALSE)</f>
        <v>SaschaFC</v>
      </c>
    </row>
    <row r="12974" spans="1:10" x14ac:dyDescent="0.25">
      <c r="A12974">
        <v>14644</v>
      </c>
      <c r="B12974" t="s">
        <v>531</v>
      </c>
      <c r="C12974">
        <v>613</v>
      </c>
      <c r="D12974">
        <v>483</v>
      </c>
      <c r="E12974">
        <v>0</v>
      </c>
      <c r="F12974">
        <v>190</v>
      </c>
      <c r="G12974">
        <v>0</v>
      </c>
      <c r="H12974" t="s">
        <v>17855</v>
      </c>
      <c r="I12974">
        <v>14644</v>
      </c>
      <c r="J12974" t="e">
        <f>VLOOKUP(E12974,DSSpieler!A:B,2,FALSE)</f>
        <v>#N/A</v>
      </c>
    </row>
    <row r="12975" spans="1:10" x14ac:dyDescent="0.25">
      <c r="A12975">
        <v>14645</v>
      </c>
      <c r="B12975" t="s">
        <v>531</v>
      </c>
      <c r="C12975">
        <v>467</v>
      </c>
      <c r="D12975">
        <v>388</v>
      </c>
      <c r="E12975">
        <v>0</v>
      </c>
      <c r="F12975">
        <v>293</v>
      </c>
      <c r="G12975">
        <v>0</v>
      </c>
      <c r="H12975" t="s">
        <v>17856</v>
      </c>
      <c r="I12975">
        <v>14645</v>
      </c>
      <c r="J12975" t="e">
        <f>VLOOKUP(E12975,DSSpieler!A:B,2,FALSE)</f>
        <v>#N/A</v>
      </c>
    </row>
    <row r="12976" spans="1:10" x14ac:dyDescent="0.25">
      <c r="A12976">
        <v>14646</v>
      </c>
      <c r="B12976" t="s">
        <v>531</v>
      </c>
      <c r="C12976">
        <v>444</v>
      </c>
      <c r="D12976">
        <v>399</v>
      </c>
      <c r="E12976">
        <v>0</v>
      </c>
      <c r="F12976">
        <v>624</v>
      </c>
      <c r="G12976">
        <v>0</v>
      </c>
      <c r="H12976" t="s">
        <v>17857</v>
      </c>
      <c r="I12976">
        <v>14646</v>
      </c>
      <c r="J12976" t="e">
        <f>VLOOKUP(E12976,DSSpieler!A:B,2,FALSE)</f>
        <v>#N/A</v>
      </c>
    </row>
    <row r="12977" spans="1:10" x14ac:dyDescent="0.25">
      <c r="A12977">
        <v>14647</v>
      </c>
      <c r="B12977" t="s">
        <v>531</v>
      </c>
      <c r="C12977">
        <v>404</v>
      </c>
      <c r="D12977">
        <v>565</v>
      </c>
      <c r="E12977">
        <v>0</v>
      </c>
      <c r="F12977">
        <v>311</v>
      </c>
      <c r="G12977">
        <v>0</v>
      </c>
      <c r="H12977" t="s">
        <v>17858</v>
      </c>
      <c r="I12977">
        <v>14647</v>
      </c>
      <c r="J12977" t="e">
        <f>VLOOKUP(E12977,DSSpieler!A:B,2,FALSE)</f>
        <v>#N/A</v>
      </c>
    </row>
    <row r="12978" spans="1:10" x14ac:dyDescent="0.25">
      <c r="A12978">
        <v>14648</v>
      </c>
      <c r="B12978" t="s">
        <v>531</v>
      </c>
      <c r="C12978">
        <v>423</v>
      </c>
      <c r="D12978">
        <v>583</v>
      </c>
      <c r="E12978">
        <v>0</v>
      </c>
      <c r="F12978">
        <v>297</v>
      </c>
      <c r="G12978">
        <v>0</v>
      </c>
      <c r="H12978" t="s">
        <v>17859</v>
      </c>
      <c r="I12978">
        <v>14648</v>
      </c>
      <c r="J12978" t="e">
        <f>VLOOKUP(E12978,DSSpieler!A:B,2,FALSE)</f>
        <v>#N/A</v>
      </c>
    </row>
    <row r="12979" spans="1:10" x14ac:dyDescent="0.25">
      <c r="A12979">
        <v>14650</v>
      </c>
      <c r="B12979" t="s">
        <v>531</v>
      </c>
      <c r="C12979">
        <v>613</v>
      </c>
      <c r="D12979">
        <v>511</v>
      </c>
      <c r="E12979">
        <v>0</v>
      </c>
      <c r="F12979">
        <v>107</v>
      </c>
      <c r="G12979">
        <v>0</v>
      </c>
      <c r="H12979" t="s">
        <v>17860</v>
      </c>
      <c r="I12979">
        <v>14650</v>
      </c>
      <c r="J12979" t="e">
        <f>VLOOKUP(E12979,DSSpieler!A:B,2,FALSE)</f>
        <v>#N/A</v>
      </c>
    </row>
    <row r="12980" spans="1:10" x14ac:dyDescent="0.25">
      <c r="A12980">
        <v>14651</v>
      </c>
      <c r="B12980" t="s">
        <v>34933</v>
      </c>
      <c r="C12980">
        <v>419</v>
      </c>
      <c r="D12980">
        <v>419</v>
      </c>
      <c r="E12980">
        <v>1577182519</v>
      </c>
      <c r="F12980">
        <v>3805</v>
      </c>
      <c r="G12980">
        <v>0</v>
      </c>
      <c r="H12980" t="s">
        <v>17861</v>
      </c>
      <c r="I12980">
        <v>14651</v>
      </c>
      <c r="J12980" t="str">
        <f>VLOOKUP(E12980,DSSpieler!A:B,2,FALSE)</f>
        <v>G1ov4nni</v>
      </c>
    </row>
    <row r="12981" spans="1:10" x14ac:dyDescent="0.25">
      <c r="A12981">
        <v>14652</v>
      </c>
      <c r="B12981" t="s">
        <v>531</v>
      </c>
      <c r="C12981">
        <v>387</v>
      </c>
      <c r="D12981">
        <v>520</v>
      </c>
      <c r="E12981">
        <v>0</v>
      </c>
      <c r="F12981">
        <v>207</v>
      </c>
      <c r="G12981">
        <v>0</v>
      </c>
      <c r="H12981" t="s">
        <v>17862</v>
      </c>
      <c r="I12981">
        <v>14652</v>
      </c>
      <c r="J12981" t="e">
        <f>VLOOKUP(E12981,DSSpieler!A:B,2,FALSE)</f>
        <v>#N/A</v>
      </c>
    </row>
    <row r="12982" spans="1:10" x14ac:dyDescent="0.25">
      <c r="A12982">
        <v>14653</v>
      </c>
      <c r="B12982" t="s">
        <v>2339</v>
      </c>
      <c r="C12982">
        <v>517</v>
      </c>
      <c r="D12982">
        <v>382</v>
      </c>
      <c r="E12982">
        <v>3467530</v>
      </c>
      <c r="F12982">
        <v>5743</v>
      </c>
      <c r="G12982">
        <v>0</v>
      </c>
      <c r="H12982" t="s">
        <v>17863</v>
      </c>
      <c r="I12982">
        <v>14653</v>
      </c>
      <c r="J12982" t="str">
        <f>VLOOKUP(E12982,DSSpieler!A:B,2,FALSE)</f>
        <v>Ego93</v>
      </c>
    </row>
    <row r="12983" spans="1:10" x14ac:dyDescent="0.25">
      <c r="A12983">
        <v>14654</v>
      </c>
      <c r="B12983" t="s">
        <v>34934</v>
      </c>
      <c r="C12983">
        <v>513</v>
      </c>
      <c r="D12983">
        <v>616</v>
      </c>
      <c r="E12983">
        <v>1097975</v>
      </c>
      <c r="F12983">
        <v>2935</v>
      </c>
      <c r="G12983">
        <v>0</v>
      </c>
      <c r="H12983" t="s">
        <v>17864</v>
      </c>
      <c r="I12983">
        <v>14654</v>
      </c>
      <c r="J12983" t="str">
        <f>VLOOKUP(E12983,DSSpieler!A:B,2,FALSE)</f>
        <v>unwitzig</v>
      </c>
    </row>
    <row r="12984" spans="1:10" x14ac:dyDescent="0.25">
      <c r="A12984">
        <v>14655</v>
      </c>
      <c r="B12984" t="s">
        <v>531</v>
      </c>
      <c r="C12984">
        <v>462</v>
      </c>
      <c r="D12984">
        <v>388</v>
      </c>
      <c r="E12984">
        <v>0</v>
      </c>
      <c r="F12984">
        <v>396</v>
      </c>
      <c r="G12984">
        <v>0</v>
      </c>
      <c r="H12984" t="s">
        <v>17865</v>
      </c>
      <c r="I12984">
        <v>14655</v>
      </c>
      <c r="J12984" t="e">
        <f>VLOOKUP(E12984,DSSpieler!A:B,2,FALSE)</f>
        <v>#N/A</v>
      </c>
    </row>
    <row r="12985" spans="1:10" x14ac:dyDescent="0.25">
      <c r="A12985">
        <v>14656</v>
      </c>
      <c r="B12985" t="s">
        <v>531</v>
      </c>
      <c r="C12985">
        <v>526</v>
      </c>
      <c r="D12985">
        <v>384</v>
      </c>
      <c r="E12985">
        <v>0</v>
      </c>
      <c r="F12985">
        <v>155</v>
      </c>
      <c r="G12985">
        <v>0</v>
      </c>
      <c r="H12985" t="s">
        <v>17866</v>
      </c>
      <c r="I12985">
        <v>14656</v>
      </c>
      <c r="J12985" t="e">
        <f>VLOOKUP(E12985,DSSpieler!A:B,2,FALSE)</f>
        <v>#N/A</v>
      </c>
    </row>
    <row r="12986" spans="1:10" x14ac:dyDescent="0.25">
      <c r="A12986">
        <v>14657</v>
      </c>
      <c r="B12986" t="s">
        <v>531</v>
      </c>
      <c r="C12986">
        <v>604</v>
      </c>
      <c r="D12986">
        <v>448</v>
      </c>
      <c r="E12986">
        <v>0</v>
      </c>
      <c r="F12986">
        <v>286</v>
      </c>
      <c r="G12986">
        <v>0</v>
      </c>
      <c r="H12986" t="s">
        <v>17867</v>
      </c>
      <c r="I12986">
        <v>14657</v>
      </c>
      <c r="J12986" t="e">
        <f>VLOOKUP(E12986,DSSpieler!A:B,2,FALSE)</f>
        <v>#N/A</v>
      </c>
    </row>
    <row r="12987" spans="1:10" x14ac:dyDescent="0.25">
      <c r="A12987">
        <v>14658</v>
      </c>
      <c r="B12987" t="s">
        <v>531</v>
      </c>
      <c r="C12987">
        <v>524</v>
      </c>
      <c r="D12987">
        <v>391</v>
      </c>
      <c r="E12987">
        <v>0</v>
      </c>
      <c r="F12987">
        <v>210</v>
      </c>
      <c r="G12987">
        <v>0</v>
      </c>
      <c r="H12987" t="s">
        <v>17868</v>
      </c>
      <c r="I12987">
        <v>14658</v>
      </c>
      <c r="J12987" t="e">
        <f>VLOOKUP(E12987,DSSpieler!A:B,2,FALSE)</f>
        <v>#N/A</v>
      </c>
    </row>
    <row r="12988" spans="1:10" x14ac:dyDescent="0.25">
      <c r="A12988">
        <v>14659</v>
      </c>
      <c r="B12988" t="s">
        <v>34935</v>
      </c>
      <c r="C12988">
        <v>444</v>
      </c>
      <c r="D12988">
        <v>391</v>
      </c>
      <c r="E12988">
        <v>8042533</v>
      </c>
      <c r="F12988">
        <v>2624</v>
      </c>
      <c r="G12988">
        <v>0</v>
      </c>
      <c r="H12988" t="s">
        <v>17869</v>
      </c>
      <c r="I12988">
        <v>14659</v>
      </c>
      <c r="J12988" t="str">
        <f>VLOOKUP(E12988,DSSpieler!A:B,2,FALSE)</f>
        <v>DerRode</v>
      </c>
    </row>
    <row r="12989" spans="1:10" x14ac:dyDescent="0.25">
      <c r="A12989">
        <v>14661</v>
      </c>
      <c r="B12989" t="s">
        <v>531</v>
      </c>
      <c r="C12989">
        <v>590</v>
      </c>
      <c r="D12989">
        <v>426</v>
      </c>
      <c r="E12989">
        <v>0</v>
      </c>
      <c r="F12989">
        <v>287</v>
      </c>
      <c r="G12989">
        <v>0</v>
      </c>
      <c r="H12989" t="s">
        <v>17870</v>
      </c>
      <c r="I12989">
        <v>14661</v>
      </c>
      <c r="J12989" t="e">
        <f>VLOOKUP(E12989,DSSpieler!A:B,2,FALSE)</f>
        <v>#N/A</v>
      </c>
    </row>
    <row r="12990" spans="1:10" x14ac:dyDescent="0.25">
      <c r="A12990">
        <v>14662</v>
      </c>
      <c r="B12990" t="s">
        <v>531</v>
      </c>
      <c r="C12990">
        <v>421</v>
      </c>
      <c r="D12990">
        <v>567</v>
      </c>
      <c r="E12990">
        <v>0</v>
      </c>
      <c r="F12990">
        <v>175</v>
      </c>
      <c r="G12990">
        <v>0</v>
      </c>
      <c r="H12990" t="s">
        <v>17871</v>
      </c>
      <c r="I12990">
        <v>14662</v>
      </c>
      <c r="J12990" t="e">
        <f>VLOOKUP(E12990,DSSpieler!A:B,2,FALSE)</f>
        <v>#N/A</v>
      </c>
    </row>
    <row r="12991" spans="1:10" x14ac:dyDescent="0.25">
      <c r="A12991">
        <v>14664</v>
      </c>
      <c r="B12991" t="s">
        <v>531</v>
      </c>
      <c r="C12991">
        <v>393</v>
      </c>
      <c r="D12991">
        <v>450</v>
      </c>
      <c r="E12991">
        <v>0</v>
      </c>
      <c r="F12991">
        <v>409</v>
      </c>
      <c r="G12991">
        <v>0</v>
      </c>
      <c r="H12991" t="s">
        <v>17872</v>
      </c>
      <c r="I12991">
        <v>14664</v>
      </c>
      <c r="J12991" t="e">
        <f>VLOOKUP(E12991,DSSpieler!A:B,2,FALSE)</f>
        <v>#N/A</v>
      </c>
    </row>
    <row r="12992" spans="1:10" x14ac:dyDescent="0.25">
      <c r="A12992">
        <v>14665</v>
      </c>
      <c r="B12992" t="s">
        <v>531</v>
      </c>
      <c r="C12992">
        <v>599</v>
      </c>
      <c r="D12992">
        <v>555</v>
      </c>
      <c r="E12992">
        <v>0</v>
      </c>
      <c r="F12992">
        <v>1491</v>
      </c>
      <c r="G12992">
        <v>0</v>
      </c>
      <c r="H12992" t="s">
        <v>17873</v>
      </c>
      <c r="I12992">
        <v>14665</v>
      </c>
      <c r="J12992" t="e">
        <f>VLOOKUP(E12992,DSSpieler!A:B,2,FALSE)</f>
        <v>#N/A</v>
      </c>
    </row>
    <row r="12993" spans="1:10" x14ac:dyDescent="0.25">
      <c r="A12993">
        <v>14666</v>
      </c>
      <c r="B12993" t="s">
        <v>531</v>
      </c>
      <c r="C12993">
        <v>419</v>
      </c>
      <c r="D12993">
        <v>557</v>
      </c>
      <c r="E12993">
        <v>0</v>
      </c>
      <c r="F12993">
        <v>105</v>
      </c>
      <c r="G12993">
        <v>0</v>
      </c>
      <c r="H12993" t="s">
        <v>17874</v>
      </c>
      <c r="I12993">
        <v>14666</v>
      </c>
      <c r="J12993" t="e">
        <f>VLOOKUP(E12993,DSSpieler!A:B,2,FALSE)</f>
        <v>#N/A</v>
      </c>
    </row>
    <row r="12994" spans="1:10" x14ac:dyDescent="0.25">
      <c r="A12994">
        <v>14667</v>
      </c>
      <c r="B12994" t="s">
        <v>531</v>
      </c>
      <c r="C12994">
        <v>446</v>
      </c>
      <c r="D12994">
        <v>400</v>
      </c>
      <c r="E12994">
        <v>0</v>
      </c>
      <c r="F12994">
        <v>651</v>
      </c>
      <c r="G12994">
        <v>0</v>
      </c>
      <c r="H12994" t="s">
        <v>17875</v>
      </c>
      <c r="I12994">
        <v>14667</v>
      </c>
      <c r="J12994" t="e">
        <f>VLOOKUP(E12994,DSSpieler!A:B,2,FALSE)</f>
        <v>#N/A</v>
      </c>
    </row>
    <row r="12995" spans="1:10" x14ac:dyDescent="0.25">
      <c r="A12995">
        <v>14668</v>
      </c>
      <c r="B12995" t="s">
        <v>531</v>
      </c>
      <c r="C12995">
        <v>523</v>
      </c>
      <c r="D12995">
        <v>472</v>
      </c>
      <c r="E12995">
        <v>0</v>
      </c>
      <c r="F12995">
        <v>205</v>
      </c>
      <c r="G12995">
        <v>0</v>
      </c>
      <c r="H12995" t="s">
        <v>17876</v>
      </c>
      <c r="I12995">
        <v>14668</v>
      </c>
      <c r="J12995" t="e">
        <f>VLOOKUP(E12995,DSSpieler!A:B,2,FALSE)</f>
        <v>#N/A</v>
      </c>
    </row>
    <row r="12996" spans="1:10" x14ac:dyDescent="0.25">
      <c r="A12996">
        <v>14669</v>
      </c>
      <c r="B12996" t="s">
        <v>531</v>
      </c>
      <c r="C12996">
        <v>613</v>
      </c>
      <c r="D12996">
        <v>533</v>
      </c>
      <c r="E12996">
        <v>0</v>
      </c>
      <c r="F12996">
        <v>199</v>
      </c>
      <c r="G12996">
        <v>0</v>
      </c>
      <c r="H12996" t="s">
        <v>17877</v>
      </c>
      <c r="I12996">
        <v>14669</v>
      </c>
      <c r="J12996" t="e">
        <f>VLOOKUP(E12996,DSSpieler!A:B,2,FALSE)</f>
        <v>#N/A</v>
      </c>
    </row>
    <row r="12997" spans="1:10" x14ac:dyDescent="0.25">
      <c r="A12997">
        <v>14670</v>
      </c>
      <c r="B12997" t="s">
        <v>531</v>
      </c>
      <c r="C12997">
        <v>419</v>
      </c>
      <c r="D12997">
        <v>581</v>
      </c>
      <c r="E12997">
        <v>0</v>
      </c>
      <c r="F12997">
        <v>197</v>
      </c>
      <c r="G12997">
        <v>0</v>
      </c>
      <c r="H12997" t="s">
        <v>17878</v>
      </c>
      <c r="I12997">
        <v>14670</v>
      </c>
      <c r="J12997" t="e">
        <f>VLOOKUP(E12997,DSSpieler!A:B,2,FALSE)</f>
        <v>#N/A</v>
      </c>
    </row>
    <row r="12998" spans="1:10" x14ac:dyDescent="0.25">
      <c r="A12998">
        <v>14671</v>
      </c>
      <c r="B12998" t="s">
        <v>531</v>
      </c>
      <c r="C12998">
        <v>425</v>
      </c>
      <c r="D12998">
        <v>585</v>
      </c>
      <c r="E12998">
        <v>0</v>
      </c>
      <c r="F12998">
        <v>205</v>
      </c>
      <c r="G12998">
        <v>0</v>
      </c>
      <c r="H12998" t="s">
        <v>17879</v>
      </c>
      <c r="I12998">
        <v>14671</v>
      </c>
      <c r="J12998" t="e">
        <f>VLOOKUP(E12998,DSSpieler!A:B,2,FALSE)</f>
        <v>#N/A</v>
      </c>
    </row>
    <row r="12999" spans="1:10" x14ac:dyDescent="0.25">
      <c r="A12999">
        <v>14672</v>
      </c>
      <c r="B12999" t="s">
        <v>2340</v>
      </c>
      <c r="C12999">
        <v>592</v>
      </c>
      <c r="D12999">
        <v>447</v>
      </c>
      <c r="E12999">
        <v>8374321</v>
      </c>
      <c r="F12999">
        <v>3089</v>
      </c>
      <c r="G12999">
        <v>0</v>
      </c>
      <c r="H12999" t="s">
        <v>17880</v>
      </c>
      <c r="I12999">
        <v>14672</v>
      </c>
      <c r="J12999" t="str">
        <f>VLOOKUP(E12999,DSSpieler!A:B,2,FALSE)</f>
        <v>WindLegioner</v>
      </c>
    </row>
    <row r="13000" spans="1:10" x14ac:dyDescent="0.25">
      <c r="A13000">
        <v>14673</v>
      </c>
      <c r="B13000" t="s">
        <v>531</v>
      </c>
      <c r="C13000">
        <v>599</v>
      </c>
      <c r="D13000">
        <v>440</v>
      </c>
      <c r="E13000">
        <v>0</v>
      </c>
      <c r="F13000">
        <v>330</v>
      </c>
      <c r="G13000">
        <v>0</v>
      </c>
      <c r="H13000" t="s">
        <v>17881</v>
      </c>
      <c r="I13000">
        <v>14673</v>
      </c>
      <c r="J13000" t="e">
        <f>VLOOKUP(E13000,DSSpieler!A:B,2,FALSE)</f>
        <v>#N/A</v>
      </c>
    </row>
    <row r="13001" spans="1:10" x14ac:dyDescent="0.25">
      <c r="A13001">
        <v>14675</v>
      </c>
      <c r="B13001" t="s">
        <v>2341</v>
      </c>
      <c r="C13001">
        <v>562</v>
      </c>
      <c r="D13001">
        <v>403</v>
      </c>
      <c r="E13001">
        <v>1577178033</v>
      </c>
      <c r="F13001">
        <v>2858</v>
      </c>
      <c r="G13001">
        <v>0</v>
      </c>
      <c r="H13001" t="s">
        <v>17882</v>
      </c>
      <c r="I13001">
        <v>14675</v>
      </c>
      <c r="J13001" t="str">
        <f>VLOOKUP(E13001,DSSpieler!A:B,2,FALSE)</f>
        <v>Sir Norman</v>
      </c>
    </row>
    <row r="13002" spans="1:10" x14ac:dyDescent="0.25">
      <c r="A13002">
        <v>14676</v>
      </c>
      <c r="B13002" t="s">
        <v>531</v>
      </c>
      <c r="C13002">
        <v>539</v>
      </c>
      <c r="D13002">
        <v>436</v>
      </c>
      <c r="E13002">
        <v>0</v>
      </c>
      <c r="F13002">
        <v>209</v>
      </c>
      <c r="G13002">
        <v>0</v>
      </c>
      <c r="H13002" t="s">
        <v>17883</v>
      </c>
      <c r="I13002">
        <v>14676</v>
      </c>
      <c r="J13002" t="e">
        <f>VLOOKUP(E13002,DSSpieler!A:B,2,FALSE)</f>
        <v>#N/A</v>
      </c>
    </row>
    <row r="13003" spans="1:10" x14ac:dyDescent="0.25">
      <c r="A13003">
        <v>14677</v>
      </c>
      <c r="B13003" t="s">
        <v>531</v>
      </c>
      <c r="C13003">
        <v>564</v>
      </c>
      <c r="D13003">
        <v>401</v>
      </c>
      <c r="E13003">
        <v>0</v>
      </c>
      <c r="F13003">
        <v>323</v>
      </c>
      <c r="G13003">
        <v>0</v>
      </c>
      <c r="H13003" t="s">
        <v>17884</v>
      </c>
      <c r="I13003">
        <v>14677</v>
      </c>
      <c r="J13003" t="e">
        <f>VLOOKUP(E13003,DSSpieler!A:B,2,FALSE)</f>
        <v>#N/A</v>
      </c>
    </row>
    <row r="13004" spans="1:10" x14ac:dyDescent="0.25">
      <c r="A13004">
        <v>14678</v>
      </c>
      <c r="B13004" t="s">
        <v>1041</v>
      </c>
      <c r="C13004">
        <v>590</v>
      </c>
      <c r="D13004">
        <v>425</v>
      </c>
      <c r="E13004">
        <v>1577197513</v>
      </c>
      <c r="F13004">
        <v>224</v>
      </c>
      <c r="G13004">
        <v>0</v>
      </c>
      <c r="H13004" t="s">
        <v>17885</v>
      </c>
      <c r="I13004">
        <v>14678</v>
      </c>
      <c r="J13004" t="str">
        <f>VLOOKUP(E13004,DSSpieler!A:B,2,FALSE)</f>
        <v>Trainspot</v>
      </c>
    </row>
    <row r="13005" spans="1:10" x14ac:dyDescent="0.25">
      <c r="A13005">
        <v>14679</v>
      </c>
      <c r="B13005" t="s">
        <v>531</v>
      </c>
      <c r="C13005">
        <v>405</v>
      </c>
      <c r="D13005">
        <v>570</v>
      </c>
      <c r="E13005">
        <v>0</v>
      </c>
      <c r="F13005">
        <v>676</v>
      </c>
      <c r="G13005">
        <v>0</v>
      </c>
      <c r="H13005" t="s">
        <v>17886</v>
      </c>
      <c r="I13005">
        <v>14679</v>
      </c>
      <c r="J13005" t="e">
        <f>VLOOKUP(E13005,DSSpieler!A:B,2,FALSE)</f>
        <v>#N/A</v>
      </c>
    </row>
    <row r="13006" spans="1:10" x14ac:dyDescent="0.25">
      <c r="A13006">
        <v>14680</v>
      </c>
      <c r="B13006" t="s">
        <v>531</v>
      </c>
      <c r="C13006">
        <v>602</v>
      </c>
      <c r="D13006">
        <v>554</v>
      </c>
      <c r="E13006">
        <v>0</v>
      </c>
      <c r="F13006">
        <v>392</v>
      </c>
      <c r="G13006">
        <v>0</v>
      </c>
      <c r="H13006" t="s">
        <v>17887</v>
      </c>
      <c r="I13006">
        <v>14680</v>
      </c>
      <c r="J13006" t="e">
        <f>VLOOKUP(E13006,DSSpieler!A:B,2,FALSE)</f>
        <v>#N/A</v>
      </c>
    </row>
    <row r="13007" spans="1:10" x14ac:dyDescent="0.25">
      <c r="A13007">
        <v>14681</v>
      </c>
      <c r="B13007" t="s">
        <v>34936</v>
      </c>
      <c r="C13007">
        <v>463</v>
      </c>
      <c r="D13007">
        <v>611</v>
      </c>
      <c r="E13007">
        <v>9569148</v>
      </c>
      <c r="F13007">
        <v>4885</v>
      </c>
      <c r="G13007">
        <v>0</v>
      </c>
      <c r="H13007" t="s">
        <v>17888</v>
      </c>
      <c r="I13007">
        <v>14681</v>
      </c>
      <c r="J13007" t="str">
        <f>VLOOKUP(E13007,DSSpieler!A:B,2,FALSE)</f>
        <v>079*</v>
      </c>
    </row>
    <row r="13008" spans="1:10" x14ac:dyDescent="0.25">
      <c r="A13008">
        <v>14682</v>
      </c>
      <c r="B13008" t="s">
        <v>531</v>
      </c>
      <c r="C13008">
        <v>600</v>
      </c>
      <c r="D13008">
        <v>564</v>
      </c>
      <c r="E13008">
        <v>0</v>
      </c>
      <c r="F13008">
        <v>167</v>
      </c>
      <c r="G13008">
        <v>0</v>
      </c>
      <c r="H13008" t="s">
        <v>17889</v>
      </c>
      <c r="I13008">
        <v>14682</v>
      </c>
      <c r="J13008" t="e">
        <f>VLOOKUP(E13008,DSSpieler!A:B,2,FALSE)</f>
        <v>#N/A</v>
      </c>
    </row>
    <row r="13009" spans="1:10" x14ac:dyDescent="0.25">
      <c r="A13009">
        <v>14683</v>
      </c>
      <c r="B13009" t="s">
        <v>34937</v>
      </c>
      <c r="C13009">
        <v>418</v>
      </c>
      <c r="D13009">
        <v>442</v>
      </c>
      <c r="E13009">
        <v>1577201476</v>
      </c>
      <c r="F13009">
        <v>1146</v>
      </c>
      <c r="G13009">
        <v>0</v>
      </c>
      <c r="H13009" t="s">
        <v>17890</v>
      </c>
      <c r="I13009">
        <v>14683</v>
      </c>
      <c r="J13009" t="str">
        <f>VLOOKUP(E13009,DSSpieler!A:B,2,FALSE)</f>
        <v>Sparkman</v>
      </c>
    </row>
    <row r="13010" spans="1:10" x14ac:dyDescent="0.25">
      <c r="A13010">
        <v>14684</v>
      </c>
      <c r="B13010" t="s">
        <v>34938</v>
      </c>
      <c r="C13010">
        <v>415</v>
      </c>
      <c r="D13010">
        <v>427</v>
      </c>
      <c r="E13010">
        <v>1577185747</v>
      </c>
      <c r="F13010">
        <v>2174</v>
      </c>
      <c r="G13010">
        <v>0</v>
      </c>
      <c r="H13010" t="s">
        <v>17891</v>
      </c>
      <c r="I13010">
        <v>14684</v>
      </c>
      <c r="J13010" t="str">
        <f>VLOOKUP(E13010,DSSpieler!A:B,2,FALSE)</f>
        <v>floriii</v>
      </c>
    </row>
    <row r="13011" spans="1:10" x14ac:dyDescent="0.25">
      <c r="A13011">
        <v>14685</v>
      </c>
      <c r="B13011" t="s">
        <v>2342</v>
      </c>
      <c r="C13011">
        <v>382</v>
      </c>
      <c r="D13011">
        <v>508</v>
      </c>
      <c r="E13011">
        <v>1577018348</v>
      </c>
      <c r="F13011">
        <v>3956</v>
      </c>
      <c r="G13011">
        <v>0</v>
      </c>
      <c r="H13011" t="s">
        <v>17892</v>
      </c>
      <c r="I13011">
        <v>14685</v>
      </c>
      <c r="J13011" t="str">
        <f>VLOOKUP(E13011,DSSpieler!A:B,2,FALSE)</f>
        <v>salitoz</v>
      </c>
    </row>
    <row r="13012" spans="1:10" x14ac:dyDescent="0.25">
      <c r="A13012">
        <v>14686</v>
      </c>
      <c r="B13012" t="s">
        <v>34939</v>
      </c>
      <c r="C13012">
        <v>408</v>
      </c>
      <c r="D13012">
        <v>576</v>
      </c>
      <c r="E13012">
        <v>1577163180</v>
      </c>
      <c r="F13012">
        <v>257</v>
      </c>
      <c r="G13012">
        <v>0</v>
      </c>
      <c r="H13012" t="s">
        <v>17893</v>
      </c>
      <c r="I13012">
        <v>14686</v>
      </c>
      <c r="J13012" t="str">
        <f>VLOOKUP(E13012,DSSpieler!A:B,2,FALSE)</f>
        <v>Rofa TTN</v>
      </c>
    </row>
    <row r="13013" spans="1:10" x14ac:dyDescent="0.25">
      <c r="A13013">
        <v>14687</v>
      </c>
      <c r="B13013" t="s">
        <v>531</v>
      </c>
      <c r="C13013">
        <v>389</v>
      </c>
      <c r="D13013">
        <v>511</v>
      </c>
      <c r="E13013">
        <v>0</v>
      </c>
      <c r="F13013">
        <v>672</v>
      </c>
      <c r="G13013">
        <v>0</v>
      </c>
      <c r="H13013" t="s">
        <v>17894</v>
      </c>
      <c r="I13013">
        <v>14687</v>
      </c>
      <c r="J13013" t="e">
        <f>VLOOKUP(E13013,DSSpieler!A:B,2,FALSE)</f>
        <v>#N/A</v>
      </c>
    </row>
    <row r="13014" spans="1:10" x14ac:dyDescent="0.25">
      <c r="A13014">
        <v>14688</v>
      </c>
      <c r="B13014" t="s">
        <v>2343</v>
      </c>
      <c r="C13014">
        <v>386</v>
      </c>
      <c r="D13014">
        <v>505</v>
      </c>
      <c r="E13014">
        <v>1577018347</v>
      </c>
      <c r="F13014">
        <v>2239</v>
      </c>
      <c r="G13014">
        <v>0</v>
      </c>
      <c r="H13014" t="s">
        <v>17895</v>
      </c>
      <c r="I13014">
        <v>14688</v>
      </c>
      <c r="J13014" t="str">
        <f>VLOOKUP(E13014,DSSpieler!A:B,2,FALSE)</f>
        <v>Peanutfarmer</v>
      </c>
    </row>
    <row r="13015" spans="1:10" x14ac:dyDescent="0.25">
      <c r="A13015">
        <v>14689</v>
      </c>
      <c r="B13015" t="s">
        <v>32352</v>
      </c>
      <c r="C13015">
        <v>414</v>
      </c>
      <c r="D13015">
        <v>435</v>
      </c>
      <c r="E13015">
        <v>201775</v>
      </c>
      <c r="F13015">
        <v>1618</v>
      </c>
      <c r="G13015">
        <v>0</v>
      </c>
      <c r="H13015" t="s">
        <v>17896</v>
      </c>
      <c r="I13015">
        <v>14689</v>
      </c>
      <c r="J13015" t="str">
        <f>VLOOKUP(E13015,DSSpieler!A:B,2,FALSE)</f>
        <v>hoppsing</v>
      </c>
    </row>
    <row r="13016" spans="1:10" x14ac:dyDescent="0.25">
      <c r="A13016">
        <v>14690</v>
      </c>
      <c r="B13016" t="s">
        <v>34940</v>
      </c>
      <c r="C13016">
        <v>409</v>
      </c>
      <c r="D13016">
        <v>430</v>
      </c>
      <c r="E13016">
        <v>1577183786</v>
      </c>
      <c r="F13016">
        <v>5395</v>
      </c>
      <c r="G13016">
        <v>0</v>
      </c>
      <c r="H13016" t="s">
        <v>17897</v>
      </c>
      <c r="I13016">
        <v>14690</v>
      </c>
      <c r="J13016" t="str">
        <f>VLOOKUP(E13016,DSSpieler!A:B,2,FALSE)</f>
        <v>Rouv826</v>
      </c>
    </row>
    <row r="13017" spans="1:10" x14ac:dyDescent="0.25">
      <c r="A13017">
        <v>14692</v>
      </c>
      <c r="B13017" t="s">
        <v>531</v>
      </c>
      <c r="C13017">
        <v>582</v>
      </c>
      <c r="D13017">
        <v>580</v>
      </c>
      <c r="E13017">
        <v>0</v>
      </c>
      <c r="F13017">
        <v>123</v>
      </c>
      <c r="G13017">
        <v>0</v>
      </c>
      <c r="H13017" t="s">
        <v>17898</v>
      </c>
      <c r="I13017">
        <v>14692</v>
      </c>
      <c r="J13017" t="e">
        <f>VLOOKUP(E13017,DSSpieler!A:B,2,FALSE)</f>
        <v>#N/A</v>
      </c>
    </row>
    <row r="13018" spans="1:10" x14ac:dyDescent="0.25">
      <c r="A13018">
        <v>14693</v>
      </c>
      <c r="B13018" t="s">
        <v>531</v>
      </c>
      <c r="C13018">
        <v>390</v>
      </c>
      <c r="D13018">
        <v>457</v>
      </c>
      <c r="E13018">
        <v>0</v>
      </c>
      <c r="F13018">
        <v>292</v>
      </c>
      <c r="G13018">
        <v>0</v>
      </c>
      <c r="H13018" t="s">
        <v>17899</v>
      </c>
      <c r="I13018">
        <v>14693</v>
      </c>
      <c r="J13018" t="e">
        <f>VLOOKUP(E13018,DSSpieler!A:B,2,FALSE)</f>
        <v>#N/A</v>
      </c>
    </row>
    <row r="13019" spans="1:10" x14ac:dyDescent="0.25">
      <c r="A13019">
        <v>14694</v>
      </c>
      <c r="B13019" t="s">
        <v>30465</v>
      </c>
      <c r="C13019">
        <v>422</v>
      </c>
      <c r="D13019">
        <v>440</v>
      </c>
      <c r="E13019">
        <v>7785606</v>
      </c>
      <c r="F13019">
        <v>4274</v>
      </c>
      <c r="G13019">
        <v>0</v>
      </c>
      <c r="H13019" t="s">
        <v>17900</v>
      </c>
      <c r="I13019">
        <v>14694</v>
      </c>
      <c r="J13019" t="str">
        <f>VLOOKUP(E13019,DSSpieler!A:B,2,FALSE)</f>
        <v>-Schpider*</v>
      </c>
    </row>
    <row r="13020" spans="1:10" x14ac:dyDescent="0.25">
      <c r="A13020">
        <v>14695</v>
      </c>
      <c r="B13020" t="s">
        <v>531</v>
      </c>
      <c r="C13020">
        <v>398</v>
      </c>
      <c r="D13020">
        <v>552</v>
      </c>
      <c r="E13020">
        <v>0</v>
      </c>
      <c r="F13020">
        <v>176</v>
      </c>
      <c r="G13020">
        <v>0</v>
      </c>
      <c r="H13020" t="s">
        <v>17901</v>
      </c>
      <c r="I13020">
        <v>14695</v>
      </c>
      <c r="J13020" t="e">
        <f>VLOOKUP(E13020,DSSpieler!A:B,2,FALSE)</f>
        <v>#N/A</v>
      </c>
    </row>
    <row r="13021" spans="1:10" x14ac:dyDescent="0.25">
      <c r="A13021">
        <v>14696</v>
      </c>
      <c r="B13021" t="s">
        <v>531</v>
      </c>
      <c r="C13021">
        <v>384</v>
      </c>
      <c r="D13021">
        <v>489</v>
      </c>
      <c r="E13021">
        <v>0</v>
      </c>
      <c r="F13021">
        <v>72</v>
      </c>
      <c r="G13021">
        <v>0</v>
      </c>
      <c r="H13021" t="s">
        <v>17902</v>
      </c>
      <c r="I13021">
        <v>14696</v>
      </c>
      <c r="J13021" t="e">
        <f>VLOOKUP(E13021,DSSpieler!A:B,2,FALSE)</f>
        <v>#N/A</v>
      </c>
    </row>
    <row r="13022" spans="1:10" x14ac:dyDescent="0.25">
      <c r="A13022">
        <v>14698</v>
      </c>
      <c r="B13022" t="s">
        <v>531</v>
      </c>
      <c r="C13022">
        <v>556</v>
      </c>
      <c r="D13022">
        <v>400</v>
      </c>
      <c r="E13022">
        <v>0</v>
      </c>
      <c r="F13022">
        <v>159</v>
      </c>
      <c r="G13022">
        <v>0</v>
      </c>
      <c r="H13022" t="s">
        <v>17903</v>
      </c>
      <c r="I13022">
        <v>14698</v>
      </c>
      <c r="J13022" t="e">
        <f>VLOOKUP(E13022,DSSpieler!A:B,2,FALSE)</f>
        <v>#N/A</v>
      </c>
    </row>
    <row r="13023" spans="1:10" x14ac:dyDescent="0.25">
      <c r="A13023">
        <v>14700</v>
      </c>
      <c r="B13023" t="s">
        <v>34941</v>
      </c>
      <c r="C13023">
        <v>597</v>
      </c>
      <c r="D13023">
        <v>561</v>
      </c>
      <c r="E13023">
        <v>1577198547</v>
      </c>
      <c r="F13023">
        <v>4661</v>
      </c>
      <c r="G13023">
        <v>0</v>
      </c>
      <c r="H13023" t="s">
        <v>17904</v>
      </c>
      <c r="I13023">
        <v>14700</v>
      </c>
      <c r="J13023" t="str">
        <f>VLOOKUP(E13023,DSSpieler!A:B,2,FALSE)</f>
        <v>blackout.</v>
      </c>
    </row>
    <row r="13024" spans="1:10" x14ac:dyDescent="0.25">
      <c r="A13024">
        <v>14701</v>
      </c>
      <c r="B13024" t="s">
        <v>531</v>
      </c>
      <c r="C13024">
        <v>422</v>
      </c>
      <c r="D13024">
        <v>589</v>
      </c>
      <c r="E13024">
        <v>0</v>
      </c>
      <c r="F13024">
        <v>157</v>
      </c>
      <c r="G13024">
        <v>0</v>
      </c>
      <c r="H13024" t="s">
        <v>17905</v>
      </c>
      <c r="I13024">
        <v>14701</v>
      </c>
      <c r="J13024" t="e">
        <f>VLOOKUP(E13024,DSSpieler!A:B,2,FALSE)</f>
        <v>#N/A</v>
      </c>
    </row>
    <row r="13025" spans="1:10" x14ac:dyDescent="0.25">
      <c r="A13025">
        <v>14702</v>
      </c>
      <c r="B13025" t="s">
        <v>531</v>
      </c>
      <c r="C13025">
        <v>608</v>
      </c>
      <c r="D13025">
        <v>533</v>
      </c>
      <c r="E13025">
        <v>0</v>
      </c>
      <c r="F13025">
        <v>134</v>
      </c>
      <c r="G13025">
        <v>0</v>
      </c>
      <c r="H13025" t="s">
        <v>17906</v>
      </c>
      <c r="I13025">
        <v>14702</v>
      </c>
      <c r="J13025" t="e">
        <f>VLOOKUP(E13025,DSSpieler!A:B,2,FALSE)</f>
        <v>#N/A</v>
      </c>
    </row>
    <row r="13026" spans="1:10" x14ac:dyDescent="0.25">
      <c r="A13026">
        <v>14704</v>
      </c>
      <c r="B13026" t="s">
        <v>34942</v>
      </c>
      <c r="C13026">
        <v>535</v>
      </c>
      <c r="D13026">
        <v>483</v>
      </c>
      <c r="E13026">
        <v>9948333</v>
      </c>
      <c r="F13026">
        <v>1054</v>
      </c>
      <c r="G13026">
        <v>0</v>
      </c>
      <c r="H13026" t="s">
        <v>17907</v>
      </c>
      <c r="I13026">
        <v>14704</v>
      </c>
      <c r="J13026" t="str">
        <f>VLOOKUP(E13026,DSSpieler!A:B,2,FALSE)</f>
        <v>Grizzles</v>
      </c>
    </row>
    <row r="13027" spans="1:10" x14ac:dyDescent="0.25">
      <c r="A13027">
        <v>14705</v>
      </c>
      <c r="B13027" t="s">
        <v>531</v>
      </c>
      <c r="C13027">
        <v>612</v>
      </c>
      <c r="D13027">
        <v>473</v>
      </c>
      <c r="E13027">
        <v>0</v>
      </c>
      <c r="F13027">
        <v>180</v>
      </c>
      <c r="G13027">
        <v>0</v>
      </c>
      <c r="H13027" t="s">
        <v>17908</v>
      </c>
      <c r="I13027">
        <v>14705</v>
      </c>
      <c r="J13027" t="e">
        <f>VLOOKUP(E13027,DSSpieler!A:B,2,FALSE)</f>
        <v>#N/A</v>
      </c>
    </row>
    <row r="13028" spans="1:10" x14ac:dyDescent="0.25">
      <c r="A13028">
        <v>14707</v>
      </c>
      <c r="B13028" t="s">
        <v>34943</v>
      </c>
      <c r="C13028">
        <v>506</v>
      </c>
      <c r="D13028">
        <v>382</v>
      </c>
      <c r="E13028">
        <v>1577201324</v>
      </c>
      <c r="F13028">
        <v>5066</v>
      </c>
      <c r="G13028">
        <v>0</v>
      </c>
      <c r="H13028" t="s">
        <v>17909</v>
      </c>
      <c r="I13028">
        <v>14707</v>
      </c>
      <c r="J13028" t="str">
        <f>VLOOKUP(E13028,DSSpieler!A:B,2,FALSE)</f>
        <v>Trolly</v>
      </c>
    </row>
    <row r="13029" spans="1:10" x14ac:dyDescent="0.25">
      <c r="A13029">
        <v>14708</v>
      </c>
      <c r="B13029" t="s">
        <v>531</v>
      </c>
      <c r="C13029">
        <v>390</v>
      </c>
      <c r="D13029">
        <v>468</v>
      </c>
      <c r="E13029">
        <v>0</v>
      </c>
      <c r="F13029">
        <v>542</v>
      </c>
      <c r="G13029">
        <v>0</v>
      </c>
      <c r="H13029" t="s">
        <v>17910</v>
      </c>
      <c r="I13029">
        <v>14708</v>
      </c>
      <c r="J13029" t="e">
        <f>VLOOKUP(E13029,DSSpieler!A:B,2,FALSE)</f>
        <v>#N/A</v>
      </c>
    </row>
    <row r="13030" spans="1:10" x14ac:dyDescent="0.25">
      <c r="A13030">
        <v>14709</v>
      </c>
      <c r="B13030" t="s">
        <v>531</v>
      </c>
      <c r="C13030">
        <v>549</v>
      </c>
      <c r="D13030">
        <v>608</v>
      </c>
      <c r="E13030">
        <v>0</v>
      </c>
      <c r="F13030">
        <v>402</v>
      </c>
      <c r="G13030">
        <v>0</v>
      </c>
      <c r="H13030" t="s">
        <v>17911</v>
      </c>
      <c r="I13030">
        <v>14709</v>
      </c>
      <c r="J13030" t="e">
        <f>VLOOKUP(E13030,DSSpieler!A:B,2,FALSE)</f>
        <v>#N/A</v>
      </c>
    </row>
    <row r="13031" spans="1:10" x14ac:dyDescent="0.25">
      <c r="A13031">
        <v>14710</v>
      </c>
      <c r="B13031" t="s">
        <v>531</v>
      </c>
      <c r="C13031">
        <v>487</v>
      </c>
      <c r="D13031">
        <v>617</v>
      </c>
      <c r="E13031">
        <v>0</v>
      </c>
      <c r="F13031">
        <v>254</v>
      </c>
      <c r="G13031">
        <v>0</v>
      </c>
      <c r="H13031" t="s">
        <v>17912</v>
      </c>
      <c r="I13031">
        <v>14710</v>
      </c>
      <c r="J13031" t="e">
        <f>VLOOKUP(E13031,DSSpieler!A:B,2,FALSE)</f>
        <v>#N/A</v>
      </c>
    </row>
    <row r="13032" spans="1:10" x14ac:dyDescent="0.25">
      <c r="A13032">
        <v>14712</v>
      </c>
      <c r="B13032" t="s">
        <v>531</v>
      </c>
      <c r="C13032">
        <v>390</v>
      </c>
      <c r="D13032">
        <v>471</v>
      </c>
      <c r="E13032">
        <v>0</v>
      </c>
      <c r="F13032">
        <v>534</v>
      </c>
      <c r="G13032">
        <v>0</v>
      </c>
      <c r="H13032" t="s">
        <v>17913</v>
      </c>
      <c r="I13032">
        <v>14712</v>
      </c>
      <c r="J13032" t="e">
        <f>VLOOKUP(E13032,DSSpieler!A:B,2,FALSE)</f>
        <v>#N/A</v>
      </c>
    </row>
    <row r="13033" spans="1:10" x14ac:dyDescent="0.25">
      <c r="A13033">
        <v>14713</v>
      </c>
      <c r="B13033" t="s">
        <v>2344</v>
      </c>
      <c r="C13033">
        <v>498</v>
      </c>
      <c r="D13033">
        <v>379</v>
      </c>
      <c r="E13033">
        <v>1577196362</v>
      </c>
      <c r="F13033">
        <v>5168</v>
      </c>
      <c r="G13033">
        <v>0</v>
      </c>
      <c r="H13033" t="s">
        <v>17914</v>
      </c>
      <c r="I13033">
        <v>14713</v>
      </c>
      <c r="J13033" t="str">
        <f>VLOOKUP(E13033,DSSpieler!A:B,2,FALSE)</f>
        <v>voitijaner</v>
      </c>
    </row>
    <row r="13034" spans="1:10" x14ac:dyDescent="0.25">
      <c r="A13034">
        <v>14714</v>
      </c>
      <c r="B13034" t="s">
        <v>34944</v>
      </c>
      <c r="C13034">
        <v>504</v>
      </c>
      <c r="D13034">
        <v>379</v>
      </c>
      <c r="E13034">
        <v>1577200801</v>
      </c>
      <c r="F13034">
        <v>5170</v>
      </c>
      <c r="G13034">
        <v>0</v>
      </c>
      <c r="H13034" t="s">
        <v>17915</v>
      </c>
      <c r="I13034">
        <v>14714</v>
      </c>
      <c r="J13034" t="str">
        <f>VLOOKUP(E13034,DSSpieler!A:B,2,FALSE)</f>
        <v>Biaboy</v>
      </c>
    </row>
    <row r="13035" spans="1:10" x14ac:dyDescent="0.25">
      <c r="A13035">
        <v>14715</v>
      </c>
      <c r="B13035" t="s">
        <v>2345</v>
      </c>
      <c r="C13035">
        <v>496</v>
      </c>
      <c r="D13035">
        <v>378</v>
      </c>
      <c r="E13035">
        <v>1577200778</v>
      </c>
      <c r="F13035">
        <v>4844</v>
      </c>
      <c r="G13035">
        <v>0</v>
      </c>
      <c r="H13035" t="s">
        <v>17916</v>
      </c>
      <c r="I13035">
        <v>14715</v>
      </c>
      <c r="J13035" t="str">
        <f>VLOOKUP(E13035,DSSpieler!A:B,2,FALSE)</f>
        <v>UtzPalutz</v>
      </c>
    </row>
    <row r="13036" spans="1:10" x14ac:dyDescent="0.25">
      <c r="A13036">
        <v>14716</v>
      </c>
      <c r="B13036" t="s">
        <v>531</v>
      </c>
      <c r="C13036">
        <v>540</v>
      </c>
      <c r="D13036">
        <v>391</v>
      </c>
      <c r="E13036">
        <v>0</v>
      </c>
      <c r="F13036">
        <v>575</v>
      </c>
      <c r="G13036">
        <v>0</v>
      </c>
      <c r="H13036" t="s">
        <v>17917</v>
      </c>
      <c r="I13036">
        <v>14716</v>
      </c>
      <c r="J13036" t="e">
        <f>VLOOKUP(E13036,DSSpieler!A:B,2,FALSE)</f>
        <v>#N/A</v>
      </c>
    </row>
    <row r="13037" spans="1:10" x14ac:dyDescent="0.25">
      <c r="A13037">
        <v>14717</v>
      </c>
      <c r="B13037" t="s">
        <v>531</v>
      </c>
      <c r="C13037">
        <v>572</v>
      </c>
      <c r="D13037">
        <v>591</v>
      </c>
      <c r="E13037">
        <v>0</v>
      </c>
      <c r="F13037">
        <v>171</v>
      </c>
      <c r="G13037">
        <v>0</v>
      </c>
      <c r="H13037" t="s">
        <v>17918</v>
      </c>
      <c r="I13037">
        <v>14717</v>
      </c>
      <c r="J13037" t="e">
        <f>VLOOKUP(E13037,DSSpieler!A:B,2,FALSE)</f>
        <v>#N/A</v>
      </c>
    </row>
    <row r="13038" spans="1:10" x14ac:dyDescent="0.25">
      <c r="A13038">
        <v>14718</v>
      </c>
      <c r="B13038" t="s">
        <v>531</v>
      </c>
      <c r="C13038">
        <v>606</v>
      </c>
      <c r="D13038">
        <v>504</v>
      </c>
      <c r="E13038">
        <v>0</v>
      </c>
      <c r="F13038">
        <v>124</v>
      </c>
      <c r="G13038">
        <v>0</v>
      </c>
      <c r="H13038" t="s">
        <v>17919</v>
      </c>
      <c r="I13038">
        <v>14718</v>
      </c>
      <c r="J13038" t="e">
        <f>VLOOKUP(E13038,DSSpieler!A:B,2,FALSE)</f>
        <v>#N/A</v>
      </c>
    </row>
    <row r="13039" spans="1:10" x14ac:dyDescent="0.25">
      <c r="A13039">
        <v>14719</v>
      </c>
      <c r="B13039" t="s">
        <v>34945</v>
      </c>
      <c r="C13039">
        <v>385</v>
      </c>
      <c r="D13039">
        <v>470</v>
      </c>
      <c r="E13039">
        <v>9888987</v>
      </c>
      <c r="F13039">
        <v>1513</v>
      </c>
      <c r="G13039">
        <v>0</v>
      </c>
      <c r="H13039" t="s">
        <v>470</v>
      </c>
      <c r="I13039">
        <v>14719</v>
      </c>
      <c r="J13039" t="str">
        <f>VLOOKUP(E13039,DSSpieler!A:B,2,FALSE)</f>
        <v>KingGino1998</v>
      </c>
    </row>
    <row r="13040" spans="1:10" x14ac:dyDescent="0.25">
      <c r="A13040">
        <v>14720</v>
      </c>
      <c r="B13040" t="s">
        <v>780</v>
      </c>
      <c r="C13040">
        <v>617</v>
      </c>
      <c r="D13040">
        <v>526</v>
      </c>
      <c r="E13040">
        <v>9410032</v>
      </c>
      <c r="F13040">
        <v>3633</v>
      </c>
      <c r="G13040">
        <v>0</v>
      </c>
      <c r="H13040" t="s">
        <v>17920</v>
      </c>
      <c r="I13040">
        <v>14720</v>
      </c>
      <c r="J13040" t="str">
        <f>VLOOKUP(E13040,DSSpieler!A:B,2,FALSE)</f>
        <v>Darth Stitch</v>
      </c>
    </row>
    <row r="13041" spans="1:10" x14ac:dyDescent="0.25">
      <c r="A13041">
        <v>14721</v>
      </c>
      <c r="B13041" t="s">
        <v>531</v>
      </c>
      <c r="C13041">
        <v>578</v>
      </c>
      <c r="D13041">
        <v>412</v>
      </c>
      <c r="E13041">
        <v>0</v>
      </c>
      <c r="F13041">
        <v>294</v>
      </c>
      <c r="G13041">
        <v>0</v>
      </c>
      <c r="H13041" t="s">
        <v>17921</v>
      </c>
      <c r="I13041">
        <v>14721</v>
      </c>
      <c r="J13041" t="e">
        <f>VLOOKUP(E13041,DSSpieler!A:B,2,FALSE)</f>
        <v>#N/A</v>
      </c>
    </row>
    <row r="13042" spans="1:10" x14ac:dyDescent="0.25">
      <c r="A13042">
        <v>14722</v>
      </c>
      <c r="B13042" t="s">
        <v>34946</v>
      </c>
      <c r="C13042">
        <v>610</v>
      </c>
      <c r="D13042">
        <v>511</v>
      </c>
      <c r="E13042">
        <v>1577069886</v>
      </c>
      <c r="F13042">
        <v>4649</v>
      </c>
      <c r="G13042">
        <v>0</v>
      </c>
      <c r="H13042" t="s">
        <v>17922</v>
      </c>
      <c r="I13042">
        <v>14722</v>
      </c>
      <c r="J13042" t="str">
        <f>VLOOKUP(E13042,DSSpieler!A:B,2,FALSE)</f>
        <v>onur3838</v>
      </c>
    </row>
    <row r="13043" spans="1:10" x14ac:dyDescent="0.25">
      <c r="A13043">
        <v>14723</v>
      </c>
      <c r="B13043" t="s">
        <v>2346</v>
      </c>
      <c r="C13043">
        <v>412</v>
      </c>
      <c r="D13043">
        <v>426</v>
      </c>
      <c r="E13043">
        <v>1577176708</v>
      </c>
      <c r="F13043">
        <v>3080</v>
      </c>
      <c r="G13043">
        <v>0</v>
      </c>
      <c r="H13043" t="s">
        <v>17923</v>
      </c>
      <c r="I13043">
        <v>14723</v>
      </c>
      <c r="J13043" t="str">
        <f>VLOOKUP(E13043,DSSpieler!A:B,2,FALSE)</f>
        <v>Calalal</v>
      </c>
    </row>
    <row r="13044" spans="1:10" x14ac:dyDescent="0.25">
      <c r="A13044">
        <v>14724</v>
      </c>
      <c r="B13044" t="s">
        <v>2347</v>
      </c>
      <c r="C13044">
        <v>499</v>
      </c>
      <c r="D13044">
        <v>379</v>
      </c>
      <c r="E13044">
        <v>1577201348</v>
      </c>
      <c r="F13044">
        <v>6358</v>
      </c>
      <c r="G13044">
        <v>0</v>
      </c>
      <c r="H13044" t="s">
        <v>17924</v>
      </c>
      <c r="I13044">
        <v>14724</v>
      </c>
      <c r="J13044" t="str">
        <f>VLOOKUP(E13044,DSSpieler!A:B,2,FALSE)</f>
        <v>ossi978</v>
      </c>
    </row>
    <row r="13045" spans="1:10" x14ac:dyDescent="0.25">
      <c r="A13045">
        <v>14725</v>
      </c>
      <c r="B13045" t="s">
        <v>2348</v>
      </c>
      <c r="C13045">
        <v>457</v>
      </c>
      <c r="D13045">
        <v>395</v>
      </c>
      <c r="E13045">
        <v>1576577871</v>
      </c>
      <c r="F13045">
        <v>4511</v>
      </c>
      <c r="G13045">
        <v>0</v>
      </c>
      <c r="H13045" t="s">
        <v>17925</v>
      </c>
      <c r="I13045">
        <v>14725</v>
      </c>
      <c r="J13045" t="str">
        <f>VLOOKUP(E13045,DSSpieler!A:B,2,FALSE)</f>
        <v>xInfamous</v>
      </c>
    </row>
    <row r="13046" spans="1:10" x14ac:dyDescent="0.25">
      <c r="A13046">
        <v>14726</v>
      </c>
      <c r="B13046" t="s">
        <v>531</v>
      </c>
      <c r="C13046">
        <v>469</v>
      </c>
      <c r="D13046">
        <v>613</v>
      </c>
      <c r="E13046">
        <v>0</v>
      </c>
      <c r="F13046">
        <v>159</v>
      </c>
      <c r="G13046">
        <v>0</v>
      </c>
      <c r="H13046" t="s">
        <v>17926</v>
      </c>
      <c r="I13046">
        <v>14726</v>
      </c>
      <c r="J13046" t="e">
        <f>VLOOKUP(E13046,DSSpieler!A:B,2,FALSE)</f>
        <v>#N/A</v>
      </c>
    </row>
    <row r="13047" spans="1:10" x14ac:dyDescent="0.25">
      <c r="A13047">
        <v>14727</v>
      </c>
      <c r="B13047" t="s">
        <v>531</v>
      </c>
      <c r="C13047">
        <v>610</v>
      </c>
      <c r="D13047">
        <v>471</v>
      </c>
      <c r="E13047">
        <v>0</v>
      </c>
      <c r="F13047">
        <v>247</v>
      </c>
      <c r="G13047">
        <v>0</v>
      </c>
      <c r="H13047" t="s">
        <v>17927</v>
      </c>
      <c r="I13047">
        <v>14727</v>
      </c>
      <c r="J13047" t="e">
        <f>VLOOKUP(E13047,DSSpieler!A:B,2,FALSE)</f>
        <v>#N/A</v>
      </c>
    </row>
    <row r="13048" spans="1:10" x14ac:dyDescent="0.25">
      <c r="A13048">
        <v>14728</v>
      </c>
      <c r="B13048" t="s">
        <v>531</v>
      </c>
      <c r="C13048">
        <v>383</v>
      </c>
      <c r="D13048">
        <v>503</v>
      </c>
      <c r="E13048">
        <v>1577183594</v>
      </c>
      <c r="F13048">
        <v>273</v>
      </c>
      <c r="G13048">
        <v>0</v>
      </c>
      <c r="H13048" t="s">
        <v>17928</v>
      </c>
      <c r="I13048">
        <v>14728</v>
      </c>
      <c r="J13048" t="str">
        <f>VLOOKUP(E13048,DSSpieler!A:B,2,FALSE)</f>
        <v>Eule42</v>
      </c>
    </row>
    <row r="13049" spans="1:10" x14ac:dyDescent="0.25">
      <c r="A13049">
        <v>14729</v>
      </c>
      <c r="B13049" t="s">
        <v>2349</v>
      </c>
      <c r="C13049">
        <v>503</v>
      </c>
      <c r="D13049">
        <v>384</v>
      </c>
      <c r="E13049">
        <v>1577201351</v>
      </c>
      <c r="F13049">
        <v>2457</v>
      </c>
      <c r="G13049">
        <v>0</v>
      </c>
      <c r="H13049" t="s">
        <v>17929</v>
      </c>
      <c r="I13049">
        <v>14729</v>
      </c>
      <c r="J13049" t="str">
        <f>VLOOKUP(E13049,DSSpieler!A:B,2,FALSE)</f>
        <v>SpicyCunt</v>
      </c>
    </row>
    <row r="13050" spans="1:10" x14ac:dyDescent="0.25">
      <c r="A13050">
        <v>14730</v>
      </c>
      <c r="B13050" t="s">
        <v>2350</v>
      </c>
      <c r="C13050">
        <v>505</v>
      </c>
      <c r="D13050">
        <v>381</v>
      </c>
      <c r="E13050">
        <v>1577201353</v>
      </c>
      <c r="F13050">
        <v>4705</v>
      </c>
      <c r="G13050">
        <v>0</v>
      </c>
      <c r="H13050" t="s">
        <v>17930</v>
      </c>
      <c r="I13050">
        <v>14730</v>
      </c>
      <c r="J13050" t="str">
        <f>VLOOKUP(E13050,DSSpieler!A:B,2,FALSE)</f>
        <v>WildHuntn9R</v>
      </c>
    </row>
    <row r="13051" spans="1:10" x14ac:dyDescent="0.25">
      <c r="A13051">
        <v>14731</v>
      </c>
      <c r="B13051" t="s">
        <v>531</v>
      </c>
      <c r="C13051">
        <v>506</v>
      </c>
      <c r="D13051">
        <v>386</v>
      </c>
      <c r="E13051">
        <v>0</v>
      </c>
      <c r="F13051">
        <v>257</v>
      </c>
      <c r="G13051">
        <v>0</v>
      </c>
      <c r="H13051" t="s">
        <v>17931</v>
      </c>
      <c r="I13051">
        <v>14731</v>
      </c>
      <c r="J13051" t="e">
        <f>VLOOKUP(E13051,DSSpieler!A:B,2,FALSE)</f>
        <v>#N/A</v>
      </c>
    </row>
    <row r="13052" spans="1:10" x14ac:dyDescent="0.25">
      <c r="A13052">
        <v>14732</v>
      </c>
      <c r="B13052" t="s">
        <v>34947</v>
      </c>
      <c r="C13052">
        <v>417</v>
      </c>
      <c r="D13052">
        <v>416</v>
      </c>
      <c r="E13052">
        <v>1577201107</v>
      </c>
      <c r="F13052">
        <v>2618</v>
      </c>
      <c r="G13052">
        <v>0</v>
      </c>
      <c r="H13052" t="s">
        <v>17932</v>
      </c>
      <c r="I13052">
        <v>14732</v>
      </c>
      <c r="J13052" t="str">
        <f>VLOOKUP(E13052,DSSpieler!A:B,2,FALSE)</f>
        <v>chocka7</v>
      </c>
    </row>
    <row r="13053" spans="1:10" x14ac:dyDescent="0.25">
      <c r="A13053">
        <v>14733</v>
      </c>
      <c r="B13053" t="s">
        <v>34948</v>
      </c>
      <c r="C13053">
        <v>383</v>
      </c>
      <c r="D13053">
        <v>519</v>
      </c>
      <c r="E13053">
        <v>1577070192</v>
      </c>
      <c r="F13053">
        <v>4902</v>
      </c>
      <c r="G13053">
        <v>0</v>
      </c>
      <c r="H13053" t="s">
        <v>17933</v>
      </c>
      <c r="I13053">
        <v>14733</v>
      </c>
      <c r="J13053" t="str">
        <f>VLOOKUP(E13053,DSSpieler!A:B,2,FALSE)</f>
        <v>SirAmon</v>
      </c>
    </row>
    <row r="13054" spans="1:10" x14ac:dyDescent="0.25">
      <c r="A13054">
        <v>14734</v>
      </c>
      <c r="B13054" t="s">
        <v>531</v>
      </c>
      <c r="C13054">
        <v>609</v>
      </c>
      <c r="D13054">
        <v>531</v>
      </c>
      <c r="E13054">
        <v>0</v>
      </c>
      <c r="F13054">
        <v>501</v>
      </c>
      <c r="G13054">
        <v>0</v>
      </c>
      <c r="H13054" t="s">
        <v>17934</v>
      </c>
      <c r="I13054">
        <v>14734</v>
      </c>
      <c r="J13054" t="e">
        <f>VLOOKUP(E13054,DSSpieler!A:B,2,FALSE)</f>
        <v>#N/A</v>
      </c>
    </row>
    <row r="13055" spans="1:10" x14ac:dyDescent="0.25">
      <c r="A13055">
        <v>14735</v>
      </c>
      <c r="B13055" t="s">
        <v>531</v>
      </c>
      <c r="C13055">
        <v>537</v>
      </c>
      <c r="D13055">
        <v>389</v>
      </c>
      <c r="E13055">
        <v>0</v>
      </c>
      <c r="F13055">
        <v>307</v>
      </c>
      <c r="G13055">
        <v>0</v>
      </c>
      <c r="H13055" t="s">
        <v>17935</v>
      </c>
      <c r="I13055">
        <v>14735</v>
      </c>
      <c r="J13055" t="e">
        <f>VLOOKUP(E13055,DSSpieler!A:B,2,FALSE)</f>
        <v>#N/A</v>
      </c>
    </row>
    <row r="13056" spans="1:10" x14ac:dyDescent="0.25">
      <c r="A13056">
        <v>14736</v>
      </c>
      <c r="B13056" t="s">
        <v>2351</v>
      </c>
      <c r="C13056">
        <v>614</v>
      </c>
      <c r="D13056">
        <v>482</v>
      </c>
      <c r="E13056">
        <v>469654</v>
      </c>
      <c r="F13056">
        <v>2842</v>
      </c>
      <c r="G13056">
        <v>0</v>
      </c>
      <c r="H13056" t="s">
        <v>17936</v>
      </c>
      <c r="I13056">
        <v>14736</v>
      </c>
      <c r="J13056" t="str">
        <f>VLOOKUP(E13056,DSSpieler!A:B,2,FALSE)</f>
        <v>Pemi</v>
      </c>
    </row>
    <row r="13057" spans="1:10" x14ac:dyDescent="0.25">
      <c r="A13057">
        <v>14737</v>
      </c>
      <c r="B13057" t="s">
        <v>2352</v>
      </c>
      <c r="C13057">
        <v>457</v>
      </c>
      <c r="D13057">
        <v>610</v>
      </c>
      <c r="E13057">
        <v>9297409</v>
      </c>
      <c r="F13057">
        <v>878</v>
      </c>
      <c r="G13057">
        <v>0</v>
      </c>
      <c r="H13057" t="s">
        <v>17937</v>
      </c>
      <c r="I13057">
        <v>14737</v>
      </c>
      <c r="J13057" t="str">
        <f>VLOOKUP(E13057,DSSpieler!A:B,2,FALSE)</f>
        <v>Tarrja</v>
      </c>
    </row>
    <row r="13058" spans="1:10" x14ac:dyDescent="0.25">
      <c r="A13058">
        <v>14738</v>
      </c>
      <c r="B13058" t="s">
        <v>34949</v>
      </c>
      <c r="C13058">
        <v>390</v>
      </c>
      <c r="D13058">
        <v>550</v>
      </c>
      <c r="E13058">
        <v>1577201590</v>
      </c>
      <c r="F13058">
        <v>3800</v>
      </c>
      <c r="G13058">
        <v>0</v>
      </c>
      <c r="H13058" t="s">
        <v>17938</v>
      </c>
      <c r="I13058">
        <v>14738</v>
      </c>
      <c r="J13058" t="str">
        <f>VLOOKUP(E13058,DSSpieler!A:B,2,FALSE)</f>
        <v>Eckbert von Eckenhagen</v>
      </c>
    </row>
    <row r="13059" spans="1:10" x14ac:dyDescent="0.25">
      <c r="A13059">
        <v>14739</v>
      </c>
      <c r="B13059" t="s">
        <v>531</v>
      </c>
      <c r="C13059">
        <v>515</v>
      </c>
      <c r="D13059">
        <v>386</v>
      </c>
      <c r="E13059">
        <v>0</v>
      </c>
      <c r="F13059">
        <v>944</v>
      </c>
      <c r="G13059">
        <v>0</v>
      </c>
      <c r="H13059" t="s">
        <v>17939</v>
      </c>
      <c r="I13059">
        <v>14739</v>
      </c>
      <c r="J13059" t="e">
        <f>VLOOKUP(E13059,DSSpieler!A:B,2,FALSE)</f>
        <v>#N/A</v>
      </c>
    </row>
    <row r="13060" spans="1:10" x14ac:dyDescent="0.25">
      <c r="A13060">
        <v>14740</v>
      </c>
      <c r="B13060" t="s">
        <v>531</v>
      </c>
      <c r="C13060">
        <v>436</v>
      </c>
      <c r="D13060">
        <v>597</v>
      </c>
      <c r="E13060">
        <v>0</v>
      </c>
      <c r="F13060">
        <v>188</v>
      </c>
      <c r="G13060">
        <v>0</v>
      </c>
      <c r="H13060" t="s">
        <v>17940</v>
      </c>
      <c r="I13060">
        <v>14740</v>
      </c>
      <c r="J13060" t="e">
        <f>VLOOKUP(E13060,DSSpieler!A:B,2,FALSE)</f>
        <v>#N/A</v>
      </c>
    </row>
    <row r="13061" spans="1:10" x14ac:dyDescent="0.25">
      <c r="A13061">
        <v>14741</v>
      </c>
      <c r="B13061" t="s">
        <v>531</v>
      </c>
      <c r="C13061">
        <v>602</v>
      </c>
      <c r="D13061">
        <v>552</v>
      </c>
      <c r="E13061">
        <v>0</v>
      </c>
      <c r="F13061">
        <v>94</v>
      </c>
      <c r="G13061">
        <v>0</v>
      </c>
      <c r="H13061" t="s">
        <v>17941</v>
      </c>
      <c r="I13061">
        <v>14741</v>
      </c>
      <c r="J13061" t="e">
        <f>VLOOKUP(E13061,DSSpieler!A:B,2,FALSE)</f>
        <v>#N/A</v>
      </c>
    </row>
    <row r="13062" spans="1:10" x14ac:dyDescent="0.25">
      <c r="A13062">
        <v>14742</v>
      </c>
      <c r="B13062" t="s">
        <v>531</v>
      </c>
      <c r="C13062">
        <v>603</v>
      </c>
      <c r="D13062">
        <v>554</v>
      </c>
      <c r="E13062">
        <v>0</v>
      </c>
      <c r="F13062">
        <v>144</v>
      </c>
      <c r="G13062">
        <v>0</v>
      </c>
      <c r="H13062" t="s">
        <v>17942</v>
      </c>
      <c r="I13062">
        <v>14742</v>
      </c>
      <c r="J13062" t="e">
        <f>VLOOKUP(E13062,DSSpieler!A:B,2,FALSE)</f>
        <v>#N/A</v>
      </c>
    </row>
    <row r="13063" spans="1:10" x14ac:dyDescent="0.25">
      <c r="A13063">
        <v>14743</v>
      </c>
      <c r="B13063" t="s">
        <v>531</v>
      </c>
      <c r="C13063">
        <v>387</v>
      </c>
      <c r="D13063">
        <v>482</v>
      </c>
      <c r="E13063">
        <v>0</v>
      </c>
      <c r="F13063">
        <v>222</v>
      </c>
      <c r="G13063">
        <v>0</v>
      </c>
      <c r="H13063" t="s">
        <v>17943</v>
      </c>
      <c r="I13063">
        <v>14743</v>
      </c>
      <c r="J13063" t="e">
        <f>VLOOKUP(E13063,DSSpieler!A:B,2,FALSE)</f>
        <v>#N/A</v>
      </c>
    </row>
    <row r="13064" spans="1:10" x14ac:dyDescent="0.25">
      <c r="A13064">
        <v>14744</v>
      </c>
      <c r="B13064" t="s">
        <v>34950</v>
      </c>
      <c r="C13064">
        <v>523</v>
      </c>
      <c r="D13064">
        <v>389</v>
      </c>
      <c r="E13064">
        <v>9226556</v>
      </c>
      <c r="F13064">
        <v>4276</v>
      </c>
      <c r="G13064">
        <v>0</v>
      </c>
      <c r="H13064" t="s">
        <v>17944</v>
      </c>
      <c r="I13064">
        <v>14744</v>
      </c>
      <c r="J13064" t="str">
        <f>VLOOKUP(E13064,DSSpieler!A:B,2,FALSE)</f>
        <v>LE-GE</v>
      </c>
    </row>
    <row r="13065" spans="1:10" x14ac:dyDescent="0.25">
      <c r="A13065">
        <v>14747</v>
      </c>
      <c r="B13065" t="s">
        <v>34951</v>
      </c>
      <c r="C13065">
        <v>384</v>
      </c>
      <c r="D13065">
        <v>511</v>
      </c>
      <c r="E13065">
        <v>1576886830</v>
      </c>
      <c r="F13065">
        <v>2891</v>
      </c>
      <c r="G13065">
        <v>0</v>
      </c>
      <c r="H13065" t="s">
        <v>17945</v>
      </c>
      <c r="I13065">
        <v>14747</v>
      </c>
      <c r="J13065" t="str">
        <f>VLOOKUP(E13065,DSSpieler!A:B,2,FALSE)</f>
        <v>Pacino576</v>
      </c>
    </row>
    <row r="13066" spans="1:10" x14ac:dyDescent="0.25">
      <c r="A13066">
        <v>14748</v>
      </c>
      <c r="B13066" t="s">
        <v>2353</v>
      </c>
      <c r="C13066">
        <v>563</v>
      </c>
      <c r="D13066">
        <v>596</v>
      </c>
      <c r="E13066">
        <v>1576947003</v>
      </c>
      <c r="F13066">
        <v>4097</v>
      </c>
      <c r="G13066">
        <v>0</v>
      </c>
      <c r="H13066" t="s">
        <v>17946</v>
      </c>
      <c r="I13066">
        <v>14748</v>
      </c>
      <c r="J13066" t="str">
        <f>VLOOKUP(E13066,DSSpieler!A:B,2,FALSE)</f>
        <v>Kamunraah</v>
      </c>
    </row>
    <row r="13067" spans="1:10" x14ac:dyDescent="0.25">
      <c r="A13067">
        <v>14750</v>
      </c>
      <c r="B13067" t="s">
        <v>531</v>
      </c>
      <c r="C13067">
        <v>449</v>
      </c>
      <c r="D13067">
        <v>607</v>
      </c>
      <c r="E13067">
        <v>0</v>
      </c>
      <c r="F13067">
        <v>195</v>
      </c>
      <c r="G13067">
        <v>0</v>
      </c>
      <c r="H13067" t="s">
        <v>17947</v>
      </c>
      <c r="I13067">
        <v>14750</v>
      </c>
      <c r="J13067" t="e">
        <f>VLOOKUP(E13067,DSSpieler!A:B,2,FALSE)</f>
        <v>#N/A</v>
      </c>
    </row>
    <row r="13068" spans="1:10" x14ac:dyDescent="0.25">
      <c r="A13068">
        <v>14752</v>
      </c>
      <c r="B13068" t="s">
        <v>531</v>
      </c>
      <c r="C13068">
        <v>440</v>
      </c>
      <c r="D13068">
        <v>398</v>
      </c>
      <c r="E13068">
        <v>0</v>
      </c>
      <c r="F13068">
        <v>73</v>
      </c>
      <c r="G13068">
        <v>0</v>
      </c>
      <c r="H13068" t="s">
        <v>17948</v>
      </c>
      <c r="I13068">
        <v>14752</v>
      </c>
      <c r="J13068" t="e">
        <f>VLOOKUP(E13068,DSSpieler!A:B,2,FALSE)</f>
        <v>#N/A</v>
      </c>
    </row>
    <row r="13069" spans="1:10" x14ac:dyDescent="0.25">
      <c r="A13069">
        <v>14753</v>
      </c>
      <c r="B13069" t="s">
        <v>34952</v>
      </c>
      <c r="C13069">
        <v>544</v>
      </c>
      <c r="D13069">
        <v>443</v>
      </c>
      <c r="E13069">
        <v>10077002</v>
      </c>
      <c r="F13069">
        <v>5071</v>
      </c>
      <c r="G13069">
        <v>0</v>
      </c>
      <c r="H13069" t="s">
        <v>17949</v>
      </c>
      <c r="I13069">
        <v>14753</v>
      </c>
      <c r="J13069" t="str">
        <f>VLOOKUP(E13069,DSSpieler!A:B,2,FALSE)</f>
        <v>HillesXx</v>
      </c>
    </row>
    <row r="13070" spans="1:10" x14ac:dyDescent="0.25">
      <c r="A13070">
        <v>14754</v>
      </c>
      <c r="B13070" t="s">
        <v>34953</v>
      </c>
      <c r="C13070">
        <v>398</v>
      </c>
      <c r="D13070">
        <v>558</v>
      </c>
      <c r="E13070">
        <v>1576135928</v>
      </c>
      <c r="F13070">
        <v>5599</v>
      </c>
      <c r="G13070">
        <v>0</v>
      </c>
      <c r="H13070" t="s">
        <v>17950</v>
      </c>
      <c r="I13070">
        <v>14754</v>
      </c>
      <c r="J13070" t="str">
        <f>VLOOKUP(E13070,DSSpieler!A:B,2,FALSE)</f>
        <v>ludwiga</v>
      </c>
    </row>
    <row r="13071" spans="1:10" x14ac:dyDescent="0.25">
      <c r="A13071">
        <v>14755</v>
      </c>
      <c r="B13071" t="s">
        <v>34954</v>
      </c>
      <c r="C13071">
        <v>559</v>
      </c>
      <c r="D13071">
        <v>400</v>
      </c>
      <c r="E13071">
        <v>1576500302</v>
      </c>
      <c r="F13071">
        <v>4704</v>
      </c>
      <c r="G13071">
        <v>0</v>
      </c>
      <c r="H13071" t="s">
        <v>17951</v>
      </c>
      <c r="I13071">
        <v>14755</v>
      </c>
      <c r="J13071" t="str">
        <f>VLOOKUP(E13071,DSSpieler!A:B,2,FALSE)</f>
        <v>Calypso1919</v>
      </c>
    </row>
    <row r="13072" spans="1:10" x14ac:dyDescent="0.25">
      <c r="A13072">
        <v>14757</v>
      </c>
      <c r="B13072" t="s">
        <v>2354</v>
      </c>
      <c r="C13072">
        <v>607</v>
      </c>
      <c r="D13072">
        <v>461</v>
      </c>
      <c r="E13072">
        <v>1577127316</v>
      </c>
      <c r="F13072">
        <v>654</v>
      </c>
      <c r="G13072">
        <v>0</v>
      </c>
      <c r="H13072" t="s">
        <v>17952</v>
      </c>
      <c r="I13072">
        <v>14757</v>
      </c>
      <c r="J13072" t="str">
        <f>VLOOKUP(E13072,DSSpieler!A:B,2,FALSE)</f>
        <v>Störtebeker I.</v>
      </c>
    </row>
    <row r="13073" spans="1:10" x14ac:dyDescent="0.25">
      <c r="A13073">
        <v>14758</v>
      </c>
      <c r="B13073" t="s">
        <v>31758</v>
      </c>
      <c r="C13073">
        <v>615</v>
      </c>
      <c r="D13073">
        <v>502</v>
      </c>
      <c r="E13073">
        <v>1577071496</v>
      </c>
      <c r="F13073">
        <v>4615</v>
      </c>
      <c r="G13073">
        <v>0</v>
      </c>
      <c r="H13073" t="s">
        <v>17953</v>
      </c>
      <c r="I13073">
        <v>14758</v>
      </c>
      <c r="J13073" t="str">
        <f>VLOOKUP(E13073,DSSpieler!A:B,2,FALSE)</f>
        <v>boombot95</v>
      </c>
    </row>
    <row r="13074" spans="1:10" x14ac:dyDescent="0.25">
      <c r="A13074">
        <v>14759</v>
      </c>
      <c r="B13074" t="s">
        <v>531</v>
      </c>
      <c r="C13074">
        <v>617</v>
      </c>
      <c r="D13074">
        <v>483</v>
      </c>
      <c r="E13074">
        <v>0</v>
      </c>
      <c r="F13074">
        <v>344</v>
      </c>
      <c r="G13074">
        <v>0</v>
      </c>
      <c r="H13074" t="s">
        <v>17954</v>
      </c>
      <c r="I13074">
        <v>14759</v>
      </c>
      <c r="J13074" t="e">
        <f>VLOOKUP(E13074,DSSpieler!A:B,2,FALSE)</f>
        <v>#N/A</v>
      </c>
    </row>
    <row r="13075" spans="1:10" x14ac:dyDescent="0.25">
      <c r="A13075">
        <v>14760</v>
      </c>
      <c r="B13075" t="s">
        <v>531</v>
      </c>
      <c r="C13075">
        <v>532</v>
      </c>
      <c r="D13075">
        <v>391</v>
      </c>
      <c r="E13075">
        <v>0</v>
      </c>
      <c r="F13075">
        <v>396</v>
      </c>
      <c r="G13075">
        <v>0</v>
      </c>
      <c r="H13075" t="s">
        <v>17955</v>
      </c>
      <c r="I13075">
        <v>14760</v>
      </c>
      <c r="J13075" t="e">
        <f>VLOOKUP(E13075,DSSpieler!A:B,2,FALSE)</f>
        <v>#N/A</v>
      </c>
    </row>
    <row r="13076" spans="1:10" x14ac:dyDescent="0.25">
      <c r="A13076">
        <v>14761</v>
      </c>
      <c r="B13076" t="s">
        <v>531</v>
      </c>
      <c r="C13076">
        <v>545</v>
      </c>
      <c r="D13076">
        <v>604</v>
      </c>
      <c r="E13076">
        <v>0</v>
      </c>
      <c r="F13076">
        <v>182</v>
      </c>
      <c r="G13076">
        <v>0</v>
      </c>
      <c r="H13076" t="s">
        <v>17956</v>
      </c>
      <c r="I13076">
        <v>14761</v>
      </c>
      <c r="J13076" t="e">
        <f>VLOOKUP(E13076,DSSpieler!A:B,2,FALSE)</f>
        <v>#N/A</v>
      </c>
    </row>
    <row r="13077" spans="1:10" x14ac:dyDescent="0.25">
      <c r="A13077">
        <v>14762</v>
      </c>
      <c r="B13077" t="s">
        <v>531</v>
      </c>
      <c r="C13077">
        <v>391</v>
      </c>
      <c r="D13077">
        <v>464</v>
      </c>
      <c r="E13077">
        <v>0</v>
      </c>
      <c r="F13077">
        <v>164</v>
      </c>
      <c r="G13077">
        <v>0</v>
      </c>
      <c r="H13077" t="s">
        <v>17957</v>
      </c>
      <c r="I13077">
        <v>14762</v>
      </c>
      <c r="J13077" t="e">
        <f>VLOOKUP(E13077,DSSpieler!A:B,2,FALSE)</f>
        <v>#N/A</v>
      </c>
    </row>
    <row r="13078" spans="1:10" x14ac:dyDescent="0.25">
      <c r="A13078">
        <v>14764</v>
      </c>
      <c r="B13078" t="s">
        <v>531</v>
      </c>
      <c r="C13078">
        <v>613</v>
      </c>
      <c r="D13078">
        <v>486</v>
      </c>
      <c r="E13078">
        <v>0</v>
      </c>
      <c r="F13078">
        <v>140</v>
      </c>
      <c r="G13078">
        <v>0</v>
      </c>
      <c r="H13078" t="s">
        <v>17958</v>
      </c>
      <c r="I13078">
        <v>14764</v>
      </c>
      <c r="J13078" t="e">
        <f>VLOOKUP(E13078,DSSpieler!A:B,2,FALSE)</f>
        <v>#N/A</v>
      </c>
    </row>
    <row r="13079" spans="1:10" x14ac:dyDescent="0.25">
      <c r="A13079">
        <v>14765</v>
      </c>
      <c r="B13079" t="s">
        <v>34955</v>
      </c>
      <c r="C13079">
        <v>388</v>
      </c>
      <c r="D13079">
        <v>472</v>
      </c>
      <c r="E13079">
        <v>1576525211</v>
      </c>
      <c r="F13079">
        <v>94</v>
      </c>
      <c r="G13079">
        <v>0</v>
      </c>
      <c r="H13079" t="s">
        <v>17959</v>
      </c>
      <c r="I13079">
        <v>14765</v>
      </c>
      <c r="J13079" t="str">
        <f>VLOOKUP(E13079,DSSpieler!A:B,2,FALSE)</f>
        <v>dome.</v>
      </c>
    </row>
    <row r="13080" spans="1:10" x14ac:dyDescent="0.25">
      <c r="A13080">
        <v>14766</v>
      </c>
      <c r="B13080" t="s">
        <v>531</v>
      </c>
      <c r="C13080">
        <v>604</v>
      </c>
      <c r="D13080">
        <v>547</v>
      </c>
      <c r="E13080">
        <v>0</v>
      </c>
      <c r="F13080">
        <v>692</v>
      </c>
      <c r="G13080">
        <v>0</v>
      </c>
      <c r="H13080" t="s">
        <v>17960</v>
      </c>
      <c r="I13080">
        <v>14766</v>
      </c>
      <c r="J13080" t="e">
        <f>VLOOKUP(E13080,DSSpieler!A:B,2,FALSE)</f>
        <v>#N/A</v>
      </c>
    </row>
    <row r="13081" spans="1:10" x14ac:dyDescent="0.25">
      <c r="A13081">
        <v>14768</v>
      </c>
      <c r="B13081" t="s">
        <v>531</v>
      </c>
      <c r="C13081">
        <v>570</v>
      </c>
      <c r="D13081">
        <v>594</v>
      </c>
      <c r="E13081">
        <v>0</v>
      </c>
      <c r="F13081">
        <v>317</v>
      </c>
      <c r="G13081">
        <v>0</v>
      </c>
      <c r="H13081" t="s">
        <v>17961</v>
      </c>
      <c r="I13081">
        <v>14768</v>
      </c>
      <c r="J13081" t="e">
        <f>VLOOKUP(E13081,DSSpieler!A:B,2,FALSE)</f>
        <v>#N/A</v>
      </c>
    </row>
    <row r="13082" spans="1:10" x14ac:dyDescent="0.25">
      <c r="A13082">
        <v>14769</v>
      </c>
      <c r="B13082" t="s">
        <v>34956</v>
      </c>
      <c r="C13082">
        <v>572</v>
      </c>
      <c r="D13082">
        <v>406</v>
      </c>
      <c r="E13082">
        <v>1577169904</v>
      </c>
      <c r="F13082">
        <v>6832</v>
      </c>
      <c r="G13082">
        <v>0</v>
      </c>
      <c r="H13082" t="s">
        <v>17962</v>
      </c>
      <c r="I13082">
        <v>14769</v>
      </c>
      <c r="J13082" t="str">
        <f>VLOOKUP(E13082,DSSpieler!A:B,2,FALSE)</f>
        <v>Schengor</v>
      </c>
    </row>
    <row r="13083" spans="1:10" x14ac:dyDescent="0.25">
      <c r="A13083">
        <v>14770</v>
      </c>
      <c r="B13083" t="s">
        <v>31376</v>
      </c>
      <c r="C13083">
        <v>405</v>
      </c>
      <c r="D13083">
        <v>428</v>
      </c>
      <c r="E13083">
        <v>1576135165</v>
      </c>
      <c r="F13083">
        <v>5545</v>
      </c>
      <c r="G13083">
        <v>0</v>
      </c>
      <c r="H13083" t="s">
        <v>17963</v>
      </c>
      <c r="I13083">
        <v>14770</v>
      </c>
      <c r="J13083" t="str">
        <f>VLOOKUP(E13083,DSSpieler!A:B,2,FALSE)</f>
        <v>BV Renekton</v>
      </c>
    </row>
    <row r="13084" spans="1:10" x14ac:dyDescent="0.25">
      <c r="A13084">
        <v>14771</v>
      </c>
      <c r="B13084" t="s">
        <v>531</v>
      </c>
      <c r="C13084">
        <v>390</v>
      </c>
      <c r="D13084">
        <v>537</v>
      </c>
      <c r="E13084">
        <v>0</v>
      </c>
      <c r="F13084">
        <v>33</v>
      </c>
      <c r="G13084">
        <v>0</v>
      </c>
      <c r="H13084" t="s">
        <v>17964</v>
      </c>
      <c r="I13084">
        <v>14771</v>
      </c>
      <c r="J13084" t="e">
        <f>VLOOKUP(E13084,DSSpieler!A:B,2,FALSE)</f>
        <v>#N/A</v>
      </c>
    </row>
    <row r="13085" spans="1:10" x14ac:dyDescent="0.25">
      <c r="A13085">
        <v>14773</v>
      </c>
      <c r="B13085" t="s">
        <v>531</v>
      </c>
      <c r="C13085">
        <v>388</v>
      </c>
      <c r="D13085">
        <v>464</v>
      </c>
      <c r="E13085">
        <v>0</v>
      </c>
      <c r="F13085">
        <v>350</v>
      </c>
      <c r="G13085">
        <v>0</v>
      </c>
      <c r="H13085" t="s">
        <v>17965</v>
      </c>
      <c r="I13085">
        <v>14773</v>
      </c>
      <c r="J13085" t="e">
        <f>VLOOKUP(E13085,DSSpieler!A:B,2,FALSE)</f>
        <v>#N/A</v>
      </c>
    </row>
    <row r="13086" spans="1:10" x14ac:dyDescent="0.25">
      <c r="A13086">
        <v>14774</v>
      </c>
      <c r="B13086" t="s">
        <v>2355</v>
      </c>
      <c r="C13086">
        <v>520</v>
      </c>
      <c r="D13086">
        <v>613</v>
      </c>
      <c r="E13086">
        <v>1576947832</v>
      </c>
      <c r="F13086">
        <v>597</v>
      </c>
      <c r="G13086">
        <v>0</v>
      </c>
      <c r="H13086" t="s">
        <v>17966</v>
      </c>
      <c r="I13086">
        <v>14774</v>
      </c>
      <c r="J13086" t="str">
        <f>VLOOKUP(E13086,DSSpieler!A:B,2,FALSE)</f>
        <v>AlterMann</v>
      </c>
    </row>
    <row r="13087" spans="1:10" x14ac:dyDescent="0.25">
      <c r="A13087">
        <v>14775</v>
      </c>
      <c r="B13087" t="s">
        <v>2356</v>
      </c>
      <c r="C13087">
        <v>583</v>
      </c>
      <c r="D13087">
        <v>417</v>
      </c>
      <c r="E13087">
        <v>1576516780</v>
      </c>
      <c r="F13087">
        <v>1452</v>
      </c>
      <c r="G13087">
        <v>0</v>
      </c>
      <c r="H13087" t="s">
        <v>17967</v>
      </c>
      <c r="I13087">
        <v>14775</v>
      </c>
      <c r="J13087" t="str">
        <f>VLOOKUP(E13087,DSSpieler!A:B,2,FALSE)</f>
        <v>michibe1</v>
      </c>
    </row>
    <row r="13088" spans="1:10" x14ac:dyDescent="0.25">
      <c r="A13088">
        <v>14778</v>
      </c>
      <c r="B13088" t="s">
        <v>34957</v>
      </c>
      <c r="C13088">
        <v>397</v>
      </c>
      <c r="D13088">
        <v>552</v>
      </c>
      <c r="E13088">
        <v>9839438</v>
      </c>
      <c r="F13088">
        <v>4549</v>
      </c>
      <c r="G13088">
        <v>0</v>
      </c>
      <c r="H13088" t="s">
        <v>17968</v>
      </c>
      <c r="I13088">
        <v>14778</v>
      </c>
      <c r="J13088" t="str">
        <f>VLOOKUP(E13088,DSSpieler!A:B,2,FALSE)</f>
        <v>Spackmann</v>
      </c>
    </row>
    <row r="13089" spans="1:10" x14ac:dyDescent="0.25">
      <c r="A13089">
        <v>14779</v>
      </c>
      <c r="B13089" t="s">
        <v>531</v>
      </c>
      <c r="C13089">
        <v>466</v>
      </c>
      <c r="D13089">
        <v>389</v>
      </c>
      <c r="E13089">
        <v>0</v>
      </c>
      <c r="F13089">
        <v>264</v>
      </c>
      <c r="G13089">
        <v>0</v>
      </c>
      <c r="H13089" t="s">
        <v>17969</v>
      </c>
      <c r="I13089">
        <v>14779</v>
      </c>
      <c r="J13089" t="e">
        <f>VLOOKUP(E13089,DSSpieler!A:B,2,FALSE)</f>
        <v>#N/A</v>
      </c>
    </row>
    <row r="13090" spans="1:10" x14ac:dyDescent="0.25">
      <c r="A13090">
        <v>14780</v>
      </c>
      <c r="B13090" t="s">
        <v>34958</v>
      </c>
      <c r="C13090">
        <v>545</v>
      </c>
      <c r="D13090">
        <v>566</v>
      </c>
      <c r="E13090">
        <v>1577192716</v>
      </c>
      <c r="F13090">
        <v>1960</v>
      </c>
      <c r="G13090">
        <v>0</v>
      </c>
      <c r="H13090" t="s">
        <v>17970</v>
      </c>
      <c r="I13090">
        <v>14780</v>
      </c>
      <c r="J13090" t="str">
        <f>VLOOKUP(E13090,DSSpieler!A:B,2,FALSE)</f>
        <v>anotherpog</v>
      </c>
    </row>
    <row r="13091" spans="1:10" x14ac:dyDescent="0.25">
      <c r="A13091">
        <v>14781</v>
      </c>
      <c r="B13091" t="s">
        <v>531</v>
      </c>
      <c r="C13091">
        <v>571</v>
      </c>
      <c r="D13091">
        <v>502</v>
      </c>
      <c r="E13091">
        <v>0</v>
      </c>
      <c r="F13091">
        <v>294</v>
      </c>
      <c r="G13091">
        <v>0</v>
      </c>
      <c r="H13091" t="s">
        <v>17971</v>
      </c>
      <c r="I13091">
        <v>14781</v>
      </c>
      <c r="J13091" t="e">
        <f>VLOOKUP(E13091,DSSpieler!A:B,2,FALSE)</f>
        <v>#N/A</v>
      </c>
    </row>
    <row r="13092" spans="1:10" x14ac:dyDescent="0.25">
      <c r="A13092">
        <v>14782</v>
      </c>
      <c r="B13092" t="s">
        <v>2357</v>
      </c>
      <c r="C13092">
        <v>617</v>
      </c>
      <c r="D13092">
        <v>479</v>
      </c>
      <c r="E13092">
        <v>1577197178</v>
      </c>
      <c r="F13092">
        <v>385</v>
      </c>
      <c r="G13092">
        <v>0</v>
      </c>
      <c r="H13092" t="s">
        <v>17972</v>
      </c>
      <c r="I13092">
        <v>14782</v>
      </c>
      <c r="J13092" t="str">
        <f>VLOOKUP(E13092,DSSpieler!A:B,2,FALSE)</f>
        <v>darth vadr</v>
      </c>
    </row>
    <row r="13093" spans="1:10" x14ac:dyDescent="0.25">
      <c r="A13093">
        <v>14783</v>
      </c>
      <c r="B13093" t="s">
        <v>531</v>
      </c>
      <c r="C13093">
        <v>382</v>
      </c>
      <c r="D13093">
        <v>510</v>
      </c>
      <c r="E13093">
        <v>0</v>
      </c>
      <c r="F13093">
        <v>122</v>
      </c>
      <c r="G13093">
        <v>0</v>
      </c>
      <c r="H13093" t="s">
        <v>17973</v>
      </c>
      <c r="I13093">
        <v>14783</v>
      </c>
      <c r="J13093" t="e">
        <f>VLOOKUP(E13093,DSSpieler!A:B,2,FALSE)</f>
        <v>#N/A</v>
      </c>
    </row>
    <row r="13094" spans="1:10" x14ac:dyDescent="0.25">
      <c r="A13094">
        <v>14784</v>
      </c>
      <c r="B13094" t="s">
        <v>34959</v>
      </c>
      <c r="C13094">
        <v>426</v>
      </c>
      <c r="D13094">
        <v>535</v>
      </c>
      <c r="E13094">
        <v>1577168646</v>
      </c>
      <c r="F13094">
        <v>931</v>
      </c>
      <c r="G13094">
        <v>0</v>
      </c>
      <c r="H13094" t="s">
        <v>17974</v>
      </c>
      <c r="I13094">
        <v>14784</v>
      </c>
      <c r="J13094" t="str">
        <f>VLOOKUP(E13094,DSSpieler!A:B,2,FALSE)</f>
        <v>Burgrammler</v>
      </c>
    </row>
    <row r="13095" spans="1:10" x14ac:dyDescent="0.25">
      <c r="A13095">
        <v>14785</v>
      </c>
      <c r="B13095" t="s">
        <v>531</v>
      </c>
      <c r="C13095">
        <v>549</v>
      </c>
      <c r="D13095">
        <v>395</v>
      </c>
      <c r="E13095">
        <v>0</v>
      </c>
      <c r="F13095">
        <v>146</v>
      </c>
      <c r="G13095">
        <v>0</v>
      </c>
      <c r="H13095" t="s">
        <v>17975</v>
      </c>
      <c r="I13095">
        <v>14785</v>
      </c>
      <c r="J13095" t="e">
        <f>VLOOKUP(E13095,DSSpieler!A:B,2,FALSE)</f>
        <v>#N/A</v>
      </c>
    </row>
    <row r="13096" spans="1:10" x14ac:dyDescent="0.25">
      <c r="A13096">
        <v>14786</v>
      </c>
      <c r="B13096" t="s">
        <v>34960</v>
      </c>
      <c r="C13096">
        <v>595</v>
      </c>
      <c r="D13096">
        <v>437</v>
      </c>
      <c r="E13096">
        <v>1577200763</v>
      </c>
      <c r="F13096">
        <v>1317</v>
      </c>
      <c r="G13096">
        <v>0</v>
      </c>
      <c r="H13096" t="s">
        <v>17976</v>
      </c>
      <c r="I13096">
        <v>14786</v>
      </c>
      <c r="J13096" t="str">
        <f>VLOOKUP(E13096,DSSpieler!A:B,2,FALSE)</f>
        <v>eno19</v>
      </c>
    </row>
    <row r="13097" spans="1:10" x14ac:dyDescent="0.25">
      <c r="A13097">
        <v>14787</v>
      </c>
      <c r="B13097" t="s">
        <v>531</v>
      </c>
      <c r="C13097">
        <v>598</v>
      </c>
      <c r="D13097">
        <v>566</v>
      </c>
      <c r="E13097">
        <v>0</v>
      </c>
      <c r="F13097">
        <v>159</v>
      </c>
      <c r="G13097">
        <v>0</v>
      </c>
      <c r="H13097" t="s">
        <v>17977</v>
      </c>
      <c r="I13097">
        <v>14787</v>
      </c>
      <c r="J13097" t="e">
        <f>VLOOKUP(E13097,DSSpieler!A:B,2,FALSE)</f>
        <v>#N/A</v>
      </c>
    </row>
    <row r="13098" spans="1:10" x14ac:dyDescent="0.25">
      <c r="A13098">
        <v>14788</v>
      </c>
      <c r="B13098">
        <v>1001001</v>
      </c>
      <c r="C13098">
        <v>615</v>
      </c>
      <c r="D13098">
        <v>499</v>
      </c>
      <c r="E13098">
        <v>3299904</v>
      </c>
      <c r="F13098">
        <v>2682</v>
      </c>
      <c r="G13098">
        <v>0</v>
      </c>
      <c r="H13098" t="s">
        <v>17978</v>
      </c>
      <c r="I13098">
        <v>14788</v>
      </c>
      <c r="J13098" t="str">
        <f>VLOOKUP(E13098,DSSpieler!A:B,2,FALSE)</f>
        <v>Kikas Reich</v>
      </c>
    </row>
    <row r="13099" spans="1:10" x14ac:dyDescent="0.25">
      <c r="A13099">
        <v>14789</v>
      </c>
      <c r="B13099" t="s">
        <v>2358</v>
      </c>
      <c r="C13099">
        <v>405</v>
      </c>
      <c r="D13099">
        <v>429</v>
      </c>
      <c r="E13099">
        <v>9164856</v>
      </c>
      <c r="F13099">
        <v>386</v>
      </c>
      <c r="G13099">
        <v>0</v>
      </c>
      <c r="H13099" t="s">
        <v>17979</v>
      </c>
      <c r="I13099">
        <v>14789</v>
      </c>
      <c r="J13099" t="str">
        <f>VLOOKUP(E13099,DSSpieler!A:B,2,FALSE)</f>
        <v>Waikiki00</v>
      </c>
    </row>
    <row r="13100" spans="1:10" x14ac:dyDescent="0.25">
      <c r="A13100">
        <v>14790</v>
      </c>
      <c r="B13100" t="e">
        <f>-2-+Fisch</f>
        <v>#NAME?</v>
      </c>
      <c r="C13100">
        <v>421</v>
      </c>
      <c r="D13100">
        <v>439</v>
      </c>
      <c r="E13100">
        <v>1576966416</v>
      </c>
      <c r="F13100">
        <v>2422</v>
      </c>
      <c r="G13100">
        <v>0</v>
      </c>
      <c r="H13100" t="s">
        <v>17980</v>
      </c>
      <c r="I13100">
        <v>14790</v>
      </c>
      <c r="J13100" t="str">
        <f>VLOOKUP(E13100,DSSpieler!A:B,2,FALSE)</f>
        <v>Sirex</v>
      </c>
    </row>
    <row r="13101" spans="1:10" x14ac:dyDescent="0.25">
      <c r="A13101">
        <v>14792</v>
      </c>
      <c r="B13101" t="s">
        <v>531</v>
      </c>
      <c r="C13101">
        <v>384</v>
      </c>
      <c r="D13101">
        <v>490</v>
      </c>
      <c r="E13101">
        <v>0</v>
      </c>
      <c r="F13101">
        <v>221</v>
      </c>
      <c r="G13101">
        <v>0</v>
      </c>
      <c r="H13101" t="s">
        <v>17981</v>
      </c>
      <c r="I13101">
        <v>14792</v>
      </c>
      <c r="J13101" t="e">
        <f>VLOOKUP(E13101,DSSpieler!A:B,2,FALSE)</f>
        <v>#N/A</v>
      </c>
    </row>
    <row r="13102" spans="1:10" x14ac:dyDescent="0.25">
      <c r="A13102">
        <v>14793</v>
      </c>
      <c r="B13102" t="s">
        <v>31237</v>
      </c>
      <c r="C13102">
        <v>386</v>
      </c>
      <c r="D13102">
        <v>494</v>
      </c>
      <c r="E13102">
        <v>1577201430</v>
      </c>
      <c r="F13102">
        <v>4027</v>
      </c>
      <c r="G13102">
        <v>0</v>
      </c>
      <c r="H13102" t="s">
        <v>17982</v>
      </c>
      <c r="I13102">
        <v>14793</v>
      </c>
      <c r="J13102" t="str">
        <f>VLOOKUP(E13102,DSSpieler!A:B,2,FALSE)</f>
        <v>Oldschooler is back</v>
      </c>
    </row>
    <row r="13103" spans="1:10" x14ac:dyDescent="0.25">
      <c r="A13103">
        <v>14794</v>
      </c>
      <c r="B13103" t="s">
        <v>2359</v>
      </c>
      <c r="C13103">
        <v>610</v>
      </c>
      <c r="D13103">
        <v>502</v>
      </c>
      <c r="E13103">
        <v>1577106802</v>
      </c>
      <c r="F13103">
        <v>3013</v>
      </c>
      <c r="G13103">
        <v>0</v>
      </c>
      <c r="H13103" t="s">
        <v>17983</v>
      </c>
      <c r="I13103">
        <v>14794</v>
      </c>
      <c r="J13103" t="str">
        <f>VLOOKUP(E13103,DSSpieler!A:B,2,FALSE)</f>
        <v>Gimli der Zwerg</v>
      </c>
    </row>
    <row r="13104" spans="1:10" x14ac:dyDescent="0.25">
      <c r="A13104">
        <v>14795</v>
      </c>
      <c r="B13104" t="s">
        <v>34961</v>
      </c>
      <c r="C13104">
        <v>500</v>
      </c>
      <c r="D13104">
        <v>614</v>
      </c>
      <c r="E13104">
        <v>1576542711</v>
      </c>
      <c r="F13104">
        <v>118</v>
      </c>
      <c r="G13104">
        <v>0</v>
      </c>
      <c r="H13104" t="s">
        <v>17984</v>
      </c>
      <c r="I13104">
        <v>14795</v>
      </c>
      <c r="J13104" t="str">
        <f>VLOOKUP(E13104,DSSpieler!A:B,2,FALSE)</f>
        <v>Nackt</v>
      </c>
    </row>
    <row r="13105" spans="1:10" x14ac:dyDescent="0.25">
      <c r="A13105">
        <v>14796</v>
      </c>
      <c r="B13105">
        <v>8</v>
      </c>
      <c r="C13105">
        <v>538</v>
      </c>
      <c r="D13105">
        <v>517</v>
      </c>
      <c r="E13105">
        <v>1577070621</v>
      </c>
      <c r="F13105">
        <v>2500</v>
      </c>
      <c r="G13105">
        <v>0</v>
      </c>
      <c r="H13105" t="s">
        <v>17985</v>
      </c>
      <c r="I13105">
        <v>14796</v>
      </c>
      <c r="J13105" t="str">
        <f>VLOOKUP(E13105,DSSpieler!A:B,2,FALSE)</f>
        <v>mulan1982</v>
      </c>
    </row>
    <row r="13106" spans="1:10" x14ac:dyDescent="0.25">
      <c r="A13106">
        <v>14797</v>
      </c>
      <c r="B13106" t="s">
        <v>531</v>
      </c>
      <c r="C13106">
        <v>382</v>
      </c>
      <c r="D13106">
        <v>496</v>
      </c>
      <c r="E13106">
        <v>0</v>
      </c>
      <c r="F13106">
        <v>185</v>
      </c>
      <c r="G13106">
        <v>0</v>
      </c>
      <c r="H13106" t="s">
        <v>17986</v>
      </c>
      <c r="I13106">
        <v>14797</v>
      </c>
      <c r="J13106" t="e">
        <f>VLOOKUP(E13106,DSSpieler!A:B,2,FALSE)</f>
        <v>#N/A</v>
      </c>
    </row>
    <row r="13107" spans="1:10" x14ac:dyDescent="0.25">
      <c r="A13107">
        <v>14799</v>
      </c>
      <c r="B13107" t="s">
        <v>1231</v>
      </c>
      <c r="C13107">
        <v>394</v>
      </c>
      <c r="D13107">
        <v>445</v>
      </c>
      <c r="E13107">
        <v>1577109286</v>
      </c>
      <c r="F13107">
        <v>3720</v>
      </c>
      <c r="G13107">
        <v>0</v>
      </c>
      <c r="H13107" t="s">
        <v>490</v>
      </c>
      <c r="I13107">
        <v>14799</v>
      </c>
      <c r="J13107" t="str">
        <f>VLOOKUP(E13107,DSSpieler!A:B,2,FALSE)</f>
        <v>Rentierhunter</v>
      </c>
    </row>
    <row r="13108" spans="1:10" x14ac:dyDescent="0.25">
      <c r="A13108">
        <v>14800</v>
      </c>
      <c r="B13108" t="s">
        <v>531</v>
      </c>
      <c r="C13108">
        <v>425</v>
      </c>
      <c r="D13108">
        <v>586</v>
      </c>
      <c r="E13108">
        <v>0</v>
      </c>
      <c r="F13108">
        <v>234</v>
      </c>
      <c r="G13108">
        <v>0</v>
      </c>
      <c r="H13108" t="s">
        <v>17987</v>
      </c>
      <c r="I13108">
        <v>14800</v>
      </c>
      <c r="J13108" t="e">
        <f>VLOOKUP(E13108,DSSpieler!A:B,2,FALSE)</f>
        <v>#N/A</v>
      </c>
    </row>
    <row r="13109" spans="1:10" x14ac:dyDescent="0.25">
      <c r="A13109">
        <v>14802</v>
      </c>
      <c r="B13109" t="s">
        <v>34962</v>
      </c>
      <c r="C13109">
        <v>617</v>
      </c>
      <c r="D13109">
        <v>492</v>
      </c>
      <c r="E13109">
        <v>1577199314</v>
      </c>
      <c r="F13109">
        <v>3756</v>
      </c>
      <c r="G13109">
        <v>0</v>
      </c>
      <c r="H13109" t="s">
        <v>17988</v>
      </c>
      <c r="I13109">
        <v>14802</v>
      </c>
      <c r="J13109" t="str">
        <f>VLOOKUP(E13109,DSSpieler!A:B,2,FALSE)</f>
        <v>lynex</v>
      </c>
    </row>
    <row r="13110" spans="1:10" x14ac:dyDescent="0.25">
      <c r="A13110">
        <v>14803</v>
      </c>
      <c r="B13110" t="s">
        <v>531</v>
      </c>
      <c r="C13110">
        <v>618</v>
      </c>
      <c r="D13110">
        <v>509</v>
      </c>
      <c r="E13110">
        <v>0</v>
      </c>
      <c r="F13110">
        <v>196</v>
      </c>
      <c r="G13110">
        <v>0</v>
      </c>
      <c r="H13110" t="s">
        <v>17989</v>
      </c>
      <c r="I13110">
        <v>14803</v>
      </c>
      <c r="J13110" t="e">
        <f>VLOOKUP(E13110,DSSpieler!A:B,2,FALSE)</f>
        <v>#N/A</v>
      </c>
    </row>
    <row r="13111" spans="1:10" x14ac:dyDescent="0.25">
      <c r="A13111">
        <v>14804</v>
      </c>
      <c r="B13111" t="s">
        <v>2360</v>
      </c>
      <c r="C13111">
        <v>519</v>
      </c>
      <c r="D13111">
        <v>609</v>
      </c>
      <c r="E13111">
        <v>1577201444</v>
      </c>
      <c r="F13111">
        <v>3803</v>
      </c>
      <c r="G13111">
        <v>0</v>
      </c>
      <c r="H13111" t="s">
        <v>17990</v>
      </c>
      <c r="I13111">
        <v>14804</v>
      </c>
      <c r="J13111" t="str">
        <f>VLOOKUP(E13111,DSSpieler!A:B,2,FALSE)</f>
        <v>Lord Wuepper</v>
      </c>
    </row>
    <row r="13112" spans="1:10" x14ac:dyDescent="0.25">
      <c r="A13112">
        <v>14805</v>
      </c>
      <c r="B13112" t="s">
        <v>2361</v>
      </c>
      <c r="C13112">
        <v>385</v>
      </c>
      <c r="D13112">
        <v>477</v>
      </c>
      <c r="E13112">
        <v>1577155079</v>
      </c>
      <c r="F13112">
        <v>352</v>
      </c>
      <c r="G13112">
        <v>0</v>
      </c>
      <c r="H13112" t="s">
        <v>17991</v>
      </c>
      <c r="I13112">
        <v>14805</v>
      </c>
      <c r="J13112" t="str">
        <f>VLOOKUP(E13112,DSSpieler!A:B,2,FALSE)</f>
        <v>Smaragd666</v>
      </c>
    </row>
    <row r="13113" spans="1:10" x14ac:dyDescent="0.25">
      <c r="A13113">
        <v>14806</v>
      </c>
      <c r="B13113" t="s">
        <v>531</v>
      </c>
      <c r="C13113">
        <v>546</v>
      </c>
      <c r="D13113">
        <v>394</v>
      </c>
      <c r="E13113">
        <v>0</v>
      </c>
      <c r="F13113">
        <v>288</v>
      </c>
      <c r="G13113">
        <v>0</v>
      </c>
      <c r="H13113" t="s">
        <v>17992</v>
      </c>
      <c r="I13113">
        <v>14806</v>
      </c>
      <c r="J13113" t="e">
        <f>VLOOKUP(E13113,DSSpieler!A:B,2,FALSE)</f>
        <v>#N/A</v>
      </c>
    </row>
    <row r="13114" spans="1:10" x14ac:dyDescent="0.25">
      <c r="A13114">
        <v>14808</v>
      </c>
      <c r="B13114" t="s">
        <v>34963</v>
      </c>
      <c r="C13114">
        <v>425</v>
      </c>
      <c r="D13114">
        <v>431</v>
      </c>
      <c r="E13114">
        <v>1575977810</v>
      </c>
      <c r="F13114">
        <v>3095</v>
      </c>
      <c r="G13114">
        <v>0</v>
      </c>
      <c r="H13114" t="s">
        <v>17993</v>
      </c>
      <c r="I13114">
        <v>14808</v>
      </c>
      <c r="J13114" t="str">
        <f>VLOOKUP(E13114,DSSpieler!A:B,2,FALSE)</f>
        <v>FliNN.q</v>
      </c>
    </row>
    <row r="13115" spans="1:10" x14ac:dyDescent="0.25">
      <c r="A13115">
        <v>14809</v>
      </c>
      <c r="B13115" t="s">
        <v>2362</v>
      </c>
      <c r="C13115">
        <v>399</v>
      </c>
      <c r="D13115">
        <v>439</v>
      </c>
      <c r="E13115">
        <v>1577188135</v>
      </c>
      <c r="F13115">
        <v>3661</v>
      </c>
      <c r="G13115">
        <v>0</v>
      </c>
      <c r="H13115" t="s">
        <v>17994</v>
      </c>
      <c r="I13115">
        <v>14809</v>
      </c>
      <c r="J13115" t="str">
        <f>VLOOKUP(E13115,DSSpieler!A:B,2,FALSE)</f>
        <v>s1m199</v>
      </c>
    </row>
    <row r="13116" spans="1:10" x14ac:dyDescent="0.25">
      <c r="A13116">
        <v>14810</v>
      </c>
      <c r="B13116" t="s">
        <v>34964</v>
      </c>
      <c r="C13116">
        <v>530</v>
      </c>
      <c r="D13116">
        <v>614</v>
      </c>
      <c r="E13116">
        <v>1577168312</v>
      </c>
      <c r="F13116">
        <v>107</v>
      </c>
      <c r="G13116">
        <v>0</v>
      </c>
      <c r="H13116" t="s">
        <v>17995</v>
      </c>
      <c r="I13116">
        <v>14810</v>
      </c>
      <c r="J13116" t="str">
        <f>VLOOKUP(E13116,DSSpieler!A:B,2,FALSE)</f>
        <v>bluechick</v>
      </c>
    </row>
    <row r="13117" spans="1:10" x14ac:dyDescent="0.25">
      <c r="A13117">
        <v>14811</v>
      </c>
      <c r="B13117" t="s">
        <v>531</v>
      </c>
      <c r="C13117">
        <v>439</v>
      </c>
      <c r="D13117">
        <v>501</v>
      </c>
      <c r="E13117">
        <v>0</v>
      </c>
      <c r="F13117">
        <v>202</v>
      </c>
      <c r="G13117">
        <v>0</v>
      </c>
      <c r="H13117" t="s">
        <v>17996</v>
      </c>
      <c r="I13117">
        <v>14811</v>
      </c>
      <c r="J13117" t="e">
        <f>VLOOKUP(E13117,DSSpieler!A:B,2,FALSE)</f>
        <v>#N/A</v>
      </c>
    </row>
    <row r="13118" spans="1:10" x14ac:dyDescent="0.25">
      <c r="A13118">
        <v>14812</v>
      </c>
      <c r="B13118" t="s">
        <v>531</v>
      </c>
      <c r="C13118">
        <v>587</v>
      </c>
      <c r="D13118">
        <v>425</v>
      </c>
      <c r="E13118">
        <v>0</v>
      </c>
      <c r="F13118">
        <v>93</v>
      </c>
      <c r="G13118">
        <v>0</v>
      </c>
      <c r="H13118" t="s">
        <v>17997</v>
      </c>
      <c r="I13118">
        <v>14812</v>
      </c>
      <c r="J13118" t="e">
        <f>VLOOKUP(E13118,DSSpieler!A:B,2,FALSE)</f>
        <v>#N/A</v>
      </c>
    </row>
    <row r="13119" spans="1:10" x14ac:dyDescent="0.25">
      <c r="A13119">
        <v>14813</v>
      </c>
      <c r="B13119" t="s">
        <v>531</v>
      </c>
      <c r="C13119">
        <v>608</v>
      </c>
      <c r="D13119">
        <v>548</v>
      </c>
      <c r="E13119">
        <v>0</v>
      </c>
      <c r="F13119">
        <v>362</v>
      </c>
      <c r="G13119">
        <v>0</v>
      </c>
      <c r="H13119" t="s">
        <v>17998</v>
      </c>
      <c r="I13119">
        <v>14813</v>
      </c>
      <c r="J13119" t="e">
        <f>VLOOKUP(E13119,DSSpieler!A:B,2,FALSE)</f>
        <v>#N/A</v>
      </c>
    </row>
    <row r="13120" spans="1:10" x14ac:dyDescent="0.25">
      <c r="A13120">
        <v>14814</v>
      </c>
      <c r="B13120" t="s">
        <v>531</v>
      </c>
      <c r="C13120">
        <v>388</v>
      </c>
      <c r="D13120">
        <v>478</v>
      </c>
      <c r="E13120">
        <v>0</v>
      </c>
      <c r="F13120">
        <v>253</v>
      </c>
      <c r="G13120">
        <v>0</v>
      </c>
      <c r="H13120" t="s">
        <v>17999</v>
      </c>
      <c r="I13120">
        <v>14814</v>
      </c>
      <c r="J13120" t="e">
        <f>VLOOKUP(E13120,DSSpieler!A:B,2,FALSE)</f>
        <v>#N/A</v>
      </c>
    </row>
    <row r="13121" spans="1:10" x14ac:dyDescent="0.25">
      <c r="A13121">
        <v>14816</v>
      </c>
      <c r="B13121" t="s">
        <v>531</v>
      </c>
      <c r="C13121">
        <v>399</v>
      </c>
      <c r="D13121">
        <v>443</v>
      </c>
      <c r="E13121">
        <v>0</v>
      </c>
      <c r="F13121">
        <v>389</v>
      </c>
      <c r="G13121">
        <v>0</v>
      </c>
      <c r="H13121" t="s">
        <v>18000</v>
      </c>
      <c r="I13121">
        <v>14816</v>
      </c>
      <c r="J13121" t="e">
        <f>VLOOKUP(E13121,DSSpieler!A:B,2,FALSE)</f>
        <v>#N/A</v>
      </c>
    </row>
    <row r="13122" spans="1:10" x14ac:dyDescent="0.25">
      <c r="A13122">
        <v>14817</v>
      </c>
      <c r="B13122" t="s">
        <v>531</v>
      </c>
      <c r="C13122">
        <v>554</v>
      </c>
      <c r="D13122">
        <v>601</v>
      </c>
      <c r="E13122">
        <v>0</v>
      </c>
      <c r="F13122">
        <v>158</v>
      </c>
      <c r="G13122">
        <v>0</v>
      </c>
      <c r="H13122" t="s">
        <v>18001</v>
      </c>
      <c r="I13122">
        <v>14817</v>
      </c>
      <c r="J13122" t="e">
        <f>VLOOKUP(E13122,DSSpieler!A:B,2,FALSE)</f>
        <v>#N/A</v>
      </c>
    </row>
    <row r="13123" spans="1:10" x14ac:dyDescent="0.25">
      <c r="A13123">
        <v>14818</v>
      </c>
      <c r="B13123" t="s">
        <v>531</v>
      </c>
      <c r="C13123">
        <v>459</v>
      </c>
      <c r="D13123">
        <v>391</v>
      </c>
      <c r="E13123">
        <v>0</v>
      </c>
      <c r="F13123">
        <v>243</v>
      </c>
      <c r="G13123">
        <v>0</v>
      </c>
      <c r="H13123" t="s">
        <v>18002</v>
      </c>
      <c r="I13123">
        <v>14818</v>
      </c>
      <c r="J13123" t="e">
        <f>VLOOKUP(E13123,DSSpieler!A:B,2,FALSE)</f>
        <v>#N/A</v>
      </c>
    </row>
    <row r="13124" spans="1:10" x14ac:dyDescent="0.25">
      <c r="A13124">
        <v>14819</v>
      </c>
      <c r="B13124" t="s">
        <v>2363</v>
      </c>
      <c r="C13124">
        <v>511</v>
      </c>
      <c r="D13124">
        <v>618</v>
      </c>
      <c r="E13124">
        <v>1577184162</v>
      </c>
      <c r="F13124">
        <v>4920</v>
      </c>
      <c r="G13124">
        <v>0</v>
      </c>
      <c r="H13124" t="s">
        <v>18003</v>
      </c>
      <c r="I13124">
        <v>14819</v>
      </c>
      <c r="J13124" t="str">
        <f>VLOOKUP(E13124,DSSpieler!A:B,2,FALSE)</f>
        <v>HellGamer90</v>
      </c>
    </row>
    <row r="13125" spans="1:10" x14ac:dyDescent="0.25">
      <c r="A13125">
        <v>14820</v>
      </c>
      <c r="B13125" t="s">
        <v>31308</v>
      </c>
      <c r="C13125">
        <v>506</v>
      </c>
      <c r="D13125">
        <v>618</v>
      </c>
      <c r="E13125">
        <v>9571698</v>
      </c>
      <c r="F13125">
        <v>5026</v>
      </c>
      <c r="G13125">
        <v>0</v>
      </c>
      <c r="H13125" t="s">
        <v>18004</v>
      </c>
      <c r="I13125">
        <v>14820</v>
      </c>
      <c r="J13125" t="str">
        <f>VLOOKUP(E13125,DSSpieler!A:B,2,FALSE)</f>
        <v>erbeben</v>
      </c>
    </row>
    <row r="13126" spans="1:10" x14ac:dyDescent="0.25">
      <c r="A13126">
        <v>14821</v>
      </c>
      <c r="B13126" t="s">
        <v>2364</v>
      </c>
      <c r="C13126">
        <v>420</v>
      </c>
      <c r="D13126">
        <v>440</v>
      </c>
      <c r="E13126">
        <v>1577201476</v>
      </c>
      <c r="F13126">
        <v>3620</v>
      </c>
      <c r="G13126">
        <v>0</v>
      </c>
      <c r="H13126" t="s">
        <v>18005</v>
      </c>
      <c r="I13126">
        <v>14821</v>
      </c>
      <c r="J13126" t="str">
        <f>VLOOKUP(E13126,DSSpieler!A:B,2,FALSE)</f>
        <v>Sparkman</v>
      </c>
    </row>
    <row r="13127" spans="1:10" x14ac:dyDescent="0.25">
      <c r="A13127">
        <v>14822</v>
      </c>
      <c r="B13127" t="s">
        <v>34965</v>
      </c>
      <c r="C13127">
        <v>507</v>
      </c>
      <c r="D13127">
        <v>615</v>
      </c>
      <c r="E13127">
        <v>311215</v>
      </c>
      <c r="F13127">
        <v>5716</v>
      </c>
      <c r="G13127">
        <v>0</v>
      </c>
      <c r="H13127" t="s">
        <v>18006</v>
      </c>
      <c r="I13127">
        <v>14822</v>
      </c>
      <c r="J13127" t="str">
        <f>VLOOKUP(E13127,DSSpieler!A:B,2,FALSE)</f>
        <v>Stadler27</v>
      </c>
    </row>
    <row r="13128" spans="1:10" x14ac:dyDescent="0.25">
      <c r="A13128">
        <v>14823</v>
      </c>
      <c r="B13128">
        <v>666</v>
      </c>
      <c r="C13128">
        <v>445</v>
      </c>
      <c r="D13128">
        <v>605</v>
      </c>
      <c r="E13128">
        <v>9675094</v>
      </c>
      <c r="F13128">
        <v>1348</v>
      </c>
      <c r="G13128">
        <v>0</v>
      </c>
      <c r="H13128" t="s">
        <v>18007</v>
      </c>
      <c r="I13128">
        <v>14823</v>
      </c>
      <c r="J13128" t="str">
        <f>VLOOKUP(E13128,DSSpieler!A:B,2,FALSE)</f>
        <v>Lumpi1995</v>
      </c>
    </row>
    <row r="13129" spans="1:10" x14ac:dyDescent="0.25">
      <c r="A13129">
        <v>14824</v>
      </c>
      <c r="B13129" t="s">
        <v>531</v>
      </c>
      <c r="C13129">
        <v>412</v>
      </c>
      <c r="D13129">
        <v>576</v>
      </c>
      <c r="E13129">
        <v>0</v>
      </c>
      <c r="F13129">
        <v>405</v>
      </c>
      <c r="G13129">
        <v>0</v>
      </c>
      <c r="H13129" t="s">
        <v>18008</v>
      </c>
      <c r="I13129">
        <v>14824</v>
      </c>
      <c r="J13129" t="e">
        <f>VLOOKUP(E13129,DSSpieler!A:B,2,FALSE)</f>
        <v>#N/A</v>
      </c>
    </row>
    <row r="13130" spans="1:10" x14ac:dyDescent="0.25">
      <c r="A13130">
        <v>14825</v>
      </c>
      <c r="B13130" t="s">
        <v>34966</v>
      </c>
      <c r="C13130">
        <v>391</v>
      </c>
      <c r="D13130">
        <v>460</v>
      </c>
      <c r="E13130">
        <v>734126</v>
      </c>
      <c r="F13130">
        <v>549</v>
      </c>
      <c r="G13130">
        <v>0</v>
      </c>
      <c r="H13130" t="s">
        <v>18009</v>
      </c>
      <c r="I13130">
        <v>14825</v>
      </c>
      <c r="J13130" t="str">
        <f>VLOOKUP(E13130,DSSpieler!A:B,2,FALSE)</f>
        <v>manni60</v>
      </c>
    </row>
    <row r="13131" spans="1:10" x14ac:dyDescent="0.25">
      <c r="A13131">
        <v>14826</v>
      </c>
      <c r="B13131" t="s">
        <v>34967</v>
      </c>
      <c r="C13131">
        <v>490</v>
      </c>
      <c r="D13131">
        <v>455</v>
      </c>
      <c r="E13131">
        <v>1577190281</v>
      </c>
      <c r="F13131">
        <v>1605</v>
      </c>
      <c r="G13131">
        <v>0</v>
      </c>
      <c r="H13131" t="s">
        <v>18010</v>
      </c>
      <c r="I13131">
        <v>14826</v>
      </c>
      <c r="J13131" t="str">
        <f>VLOOKUP(E13131,DSSpieler!A:B,2,FALSE)</f>
        <v>Salomin</v>
      </c>
    </row>
    <row r="13132" spans="1:10" x14ac:dyDescent="0.25">
      <c r="A13132">
        <v>14828</v>
      </c>
      <c r="B13132" t="s">
        <v>531</v>
      </c>
      <c r="C13132">
        <v>442</v>
      </c>
      <c r="D13132">
        <v>603</v>
      </c>
      <c r="E13132">
        <v>0</v>
      </c>
      <c r="F13132">
        <v>251</v>
      </c>
      <c r="G13132">
        <v>0</v>
      </c>
      <c r="H13132" t="s">
        <v>18011</v>
      </c>
      <c r="I13132">
        <v>14828</v>
      </c>
      <c r="J13132" t="e">
        <f>VLOOKUP(E13132,DSSpieler!A:B,2,FALSE)</f>
        <v>#N/A</v>
      </c>
    </row>
    <row r="13133" spans="1:10" x14ac:dyDescent="0.25">
      <c r="A13133">
        <v>14829</v>
      </c>
      <c r="B13133" t="s">
        <v>531</v>
      </c>
      <c r="C13133">
        <v>580</v>
      </c>
      <c r="D13133">
        <v>414</v>
      </c>
      <c r="E13133">
        <v>0</v>
      </c>
      <c r="F13133">
        <v>644</v>
      </c>
      <c r="G13133">
        <v>0</v>
      </c>
      <c r="H13133" t="s">
        <v>18012</v>
      </c>
      <c r="I13133">
        <v>14829</v>
      </c>
      <c r="J13133" t="e">
        <f>VLOOKUP(E13133,DSSpieler!A:B,2,FALSE)</f>
        <v>#N/A</v>
      </c>
    </row>
    <row r="13134" spans="1:10" x14ac:dyDescent="0.25">
      <c r="A13134">
        <v>14830</v>
      </c>
      <c r="B13134" t="s">
        <v>531</v>
      </c>
      <c r="C13134">
        <v>465</v>
      </c>
      <c r="D13134">
        <v>386</v>
      </c>
      <c r="E13134">
        <v>0</v>
      </c>
      <c r="F13134">
        <v>135</v>
      </c>
      <c r="G13134">
        <v>0</v>
      </c>
      <c r="H13134" t="s">
        <v>18013</v>
      </c>
      <c r="I13134">
        <v>14830</v>
      </c>
      <c r="J13134" t="e">
        <f>VLOOKUP(E13134,DSSpieler!A:B,2,FALSE)</f>
        <v>#N/A</v>
      </c>
    </row>
    <row r="13135" spans="1:10" x14ac:dyDescent="0.25">
      <c r="A13135">
        <v>14831</v>
      </c>
      <c r="B13135" t="s">
        <v>531</v>
      </c>
      <c r="C13135">
        <v>567</v>
      </c>
      <c r="D13135">
        <v>404</v>
      </c>
      <c r="E13135">
        <v>0</v>
      </c>
      <c r="F13135">
        <v>273</v>
      </c>
      <c r="G13135">
        <v>0</v>
      </c>
      <c r="H13135" t="s">
        <v>18014</v>
      </c>
      <c r="I13135">
        <v>14831</v>
      </c>
      <c r="J13135" t="e">
        <f>VLOOKUP(E13135,DSSpieler!A:B,2,FALSE)</f>
        <v>#N/A</v>
      </c>
    </row>
    <row r="13136" spans="1:10" x14ac:dyDescent="0.25">
      <c r="A13136">
        <v>14832</v>
      </c>
      <c r="B13136" t="s">
        <v>34968</v>
      </c>
      <c r="C13136">
        <v>413</v>
      </c>
      <c r="D13136">
        <v>427</v>
      </c>
      <c r="E13136">
        <v>1577199512</v>
      </c>
      <c r="F13136">
        <v>1623</v>
      </c>
      <c r="G13136">
        <v>0</v>
      </c>
      <c r="H13136" t="s">
        <v>18015</v>
      </c>
      <c r="I13136">
        <v>14832</v>
      </c>
      <c r="J13136" t="str">
        <f>VLOOKUP(E13136,DSSpieler!A:B,2,FALSE)</f>
        <v>Mo1608</v>
      </c>
    </row>
    <row r="13137" spans="1:10" x14ac:dyDescent="0.25">
      <c r="A13137">
        <v>14833</v>
      </c>
      <c r="B13137" t="s">
        <v>34969</v>
      </c>
      <c r="C13137">
        <v>407</v>
      </c>
      <c r="D13137">
        <v>430</v>
      </c>
      <c r="E13137">
        <v>7879300</v>
      </c>
      <c r="F13137">
        <v>1102</v>
      </c>
      <c r="G13137">
        <v>0</v>
      </c>
      <c r="H13137" t="s">
        <v>18016</v>
      </c>
      <c r="I13137">
        <v>14833</v>
      </c>
      <c r="J13137" t="str">
        <f>VLOOKUP(E13137,DSSpieler!A:B,2,FALSE)</f>
        <v>Johel</v>
      </c>
    </row>
    <row r="13138" spans="1:10" x14ac:dyDescent="0.25">
      <c r="A13138">
        <v>14834</v>
      </c>
      <c r="B13138" t="s">
        <v>2365</v>
      </c>
      <c r="C13138">
        <v>615</v>
      </c>
      <c r="D13138">
        <v>511</v>
      </c>
      <c r="E13138">
        <v>8848121</v>
      </c>
      <c r="F13138">
        <v>3408</v>
      </c>
      <c r="G13138">
        <v>0</v>
      </c>
      <c r="H13138" t="s">
        <v>18017</v>
      </c>
      <c r="I13138">
        <v>14834</v>
      </c>
      <c r="J13138" t="str">
        <f>VLOOKUP(E13138,DSSpieler!A:B,2,FALSE)</f>
        <v>Light Lion</v>
      </c>
    </row>
    <row r="13139" spans="1:10" x14ac:dyDescent="0.25">
      <c r="A13139">
        <v>14835</v>
      </c>
      <c r="B13139" t="s">
        <v>531</v>
      </c>
      <c r="C13139">
        <v>407</v>
      </c>
      <c r="D13139">
        <v>429</v>
      </c>
      <c r="E13139">
        <v>0</v>
      </c>
      <c r="F13139">
        <v>242</v>
      </c>
      <c r="G13139">
        <v>0</v>
      </c>
      <c r="H13139" t="s">
        <v>18018</v>
      </c>
      <c r="I13139">
        <v>14835</v>
      </c>
      <c r="J13139" t="e">
        <f>VLOOKUP(E13139,DSSpieler!A:B,2,FALSE)</f>
        <v>#N/A</v>
      </c>
    </row>
    <row r="13140" spans="1:10" x14ac:dyDescent="0.25">
      <c r="A13140">
        <v>14836</v>
      </c>
      <c r="B13140" t="s">
        <v>34970</v>
      </c>
      <c r="C13140">
        <v>511</v>
      </c>
      <c r="D13140">
        <v>610</v>
      </c>
      <c r="E13140">
        <v>10207083</v>
      </c>
      <c r="F13140">
        <v>985</v>
      </c>
      <c r="G13140">
        <v>0</v>
      </c>
      <c r="H13140" t="s">
        <v>18019</v>
      </c>
      <c r="I13140">
        <v>14836</v>
      </c>
      <c r="J13140" t="str">
        <f>VLOOKUP(E13140,DSSpieler!A:B,2,FALSE)</f>
        <v>Lord Bigan</v>
      </c>
    </row>
    <row r="13141" spans="1:10" x14ac:dyDescent="0.25">
      <c r="A13141">
        <v>14838</v>
      </c>
      <c r="B13141" t="s">
        <v>531</v>
      </c>
      <c r="C13141">
        <v>596</v>
      </c>
      <c r="D13141">
        <v>568</v>
      </c>
      <c r="E13141">
        <v>0</v>
      </c>
      <c r="F13141">
        <v>166</v>
      </c>
      <c r="G13141">
        <v>0</v>
      </c>
      <c r="H13141" t="s">
        <v>18020</v>
      </c>
      <c r="I13141">
        <v>14838</v>
      </c>
      <c r="J13141" t="e">
        <f>VLOOKUP(E13141,DSSpieler!A:B,2,FALSE)</f>
        <v>#N/A</v>
      </c>
    </row>
    <row r="13142" spans="1:10" x14ac:dyDescent="0.25">
      <c r="A13142">
        <v>14839</v>
      </c>
      <c r="B13142" t="s">
        <v>34971</v>
      </c>
      <c r="C13142">
        <v>512</v>
      </c>
      <c r="D13142">
        <v>617</v>
      </c>
      <c r="E13142">
        <v>2451330</v>
      </c>
      <c r="F13142">
        <v>5102</v>
      </c>
      <c r="G13142">
        <v>0</v>
      </c>
      <c r="H13142" t="s">
        <v>18021</v>
      </c>
      <c r="I13142">
        <v>14839</v>
      </c>
      <c r="J13142" t="str">
        <f>VLOOKUP(E13142,DSSpieler!A:B,2,FALSE)</f>
        <v>Norminho</v>
      </c>
    </row>
    <row r="13143" spans="1:10" x14ac:dyDescent="0.25">
      <c r="A13143">
        <v>14840</v>
      </c>
      <c r="B13143" t="s">
        <v>965</v>
      </c>
      <c r="C13143">
        <v>526</v>
      </c>
      <c r="D13143">
        <v>556</v>
      </c>
      <c r="E13143">
        <v>1576715249</v>
      </c>
      <c r="F13143">
        <v>3101</v>
      </c>
      <c r="G13143">
        <v>0</v>
      </c>
      <c r="H13143" t="s">
        <v>18022</v>
      </c>
      <c r="I13143">
        <v>14840</v>
      </c>
      <c r="J13143" t="str">
        <f>VLOOKUP(E13143,DSSpieler!A:B,2,FALSE)</f>
        <v>thorina</v>
      </c>
    </row>
    <row r="13144" spans="1:10" x14ac:dyDescent="0.25">
      <c r="A13144">
        <v>14841</v>
      </c>
      <c r="B13144" t="s">
        <v>2366</v>
      </c>
      <c r="C13144">
        <v>476</v>
      </c>
      <c r="D13144">
        <v>617</v>
      </c>
      <c r="E13144">
        <v>3269983</v>
      </c>
      <c r="F13144">
        <v>4303</v>
      </c>
      <c r="G13144">
        <v>0</v>
      </c>
      <c r="H13144" t="s">
        <v>18023</v>
      </c>
      <c r="I13144">
        <v>14841</v>
      </c>
      <c r="J13144" t="str">
        <f>VLOOKUP(E13144,DSSpieler!A:B,2,FALSE)</f>
        <v>SvenC@</v>
      </c>
    </row>
    <row r="13145" spans="1:10" x14ac:dyDescent="0.25">
      <c r="A13145">
        <v>14842</v>
      </c>
      <c r="B13145" t="s">
        <v>2367</v>
      </c>
      <c r="C13145">
        <v>573</v>
      </c>
      <c r="D13145">
        <v>587</v>
      </c>
      <c r="E13145">
        <v>1576886117</v>
      </c>
      <c r="F13145">
        <v>1363</v>
      </c>
      <c r="G13145">
        <v>0</v>
      </c>
      <c r="H13145" t="s">
        <v>18024</v>
      </c>
      <c r="I13145">
        <v>14842</v>
      </c>
      <c r="J13145" t="str">
        <f>VLOOKUP(E13145,DSSpieler!A:B,2,FALSE)</f>
        <v>Trashtan</v>
      </c>
    </row>
    <row r="13146" spans="1:10" x14ac:dyDescent="0.25">
      <c r="A13146">
        <v>14846</v>
      </c>
      <c r="B13146" t="s">
        <v>531</v>
      </c>
      <c r="C13146">
        <v>511</v>
      </c>
      <c r="D13146">
        <v>382</v>
      </c>
      <c r="E13146">
        <v>0</v>
      </c>
      <c r="F13146">
        <v>294</v>
      </c>
      <c r="G13146">
        <v>0</v>
      </c>
      <c r="H13146" t="s">
        <v>18025</v>
      </c>
      <c r="I13146">
        <v>14846</v>
      </c>
      <c r="J13146" t="e">
        <f>VLOOKUP(E13146,DSSpieler!A:B,2,FALSE)</f>
        <v>#N/A</v>
      </c>
    </row>
    <row r="13147" spans="1:10" x14ac:dyDescent="0.25">
      <c r="A13147">
        <v>14848</v>
      </c>
      <c r="B13147" t="s">
        <v>34972</v>
      </c>
      <c r="C13147">
        <v>511</v>
      </c>
      <c r="D13147">
        <v>616</v>
      </c>
      <c r="E13147">
        <v>823432</v>
      </c>
      <c r="F13147">
        <v>158</v>
      </c>
      <c r="G13147">
        <v>0</v>
      </c>
      <c r="H13147" t="s">
        <v>18026</v>
      </c>
      <c r="I13147">
        <v>14848</v>
      </c>
      <c r="J13147" t="str">
        <f>VLOOKUP(E13147,DSSpieler!A:B,2,FALSE)</f>
        <v>chacky chan</v>
      </c>
    </row>
    <row r="13148" spans="1:10" x14ac:dyDescent="0.25">
      <c r="A13148">
        <v>14849</v>
      </c>
      <c r="B13148" t="s">
        <v>531</v>
      </c>
      <c r="C13148">
        <v>403</v>
      </c>
      <c r="D13148">
        <v>561</v>
      </c>
      <c r="E13148">
        <v>0</v>
      </c>
      <c r="F13148">
        <v>274</v>
      </c>
      <c r="G13148">
        <v>0</v>
      </c>
      <c r="H13148" t="s">
        <v>18027</v>
      </c>
      <c r="I13148">
        <v>14849</v>
      </c>
      <c r="J13148" t="e">
        <f>VLOOKUP(E13148,DSSpieler!A:B,2,FALSE)</f>
        <v>#N/A</v>
      </c>
    </row>
    <row r="13149" spans="1:10" x14ac:dyDescent="0.25">
      <c r="A13149">
        <v>14850</v>
      </c>
      <c r="B13149" t="s">
        <v>552</v>
      </c>
      <c r="C13149">
        <v>389</v>
      </c>
      <c r="D13149">
        <v>529</v>
      </c>
      <c r="E13149">
        <v>1577200135</v>
      </c>
      <c r="F13149">
        <v>5374</v>
      </c>
      <c r="G13149">
        <v>0</v>
      </c>
      <c r="H13149" t="s">
        <v>18028</v>
      </c>
      <c r="I13149">
        <v>14850</v>
      </c>
      <c r="J13149" t="str">
        <f>VLOOKUP(E13149,DSSpieler!A:B,2,FALSE)</f>
        <v>S1ckFlick</v>
      </c>
    </row>
    <row r="13150" spans="1:10" x14ac:dyDescent="0.25">
      <c r="A13150">
        <v>14851</v>
      </c>
      <c r="B13150" t="s">
        <v>531</v>
      </c>
      <c r="C13150">
        <v>519</v>
      </c>
      <c r="D13150">
        <v>396</v>
      </c>
      <c r="E13150">
        <v>0</v>
      </c>
      <c r="F13150">
        <v>209</v>
      </c>
      <c r="G13150">
        <v>0</v>
      </c>
      <c r="H13150" t="s">
        <v>18029</v>
      </c>
      <c r="I13150">
        <v>14851</v>
      </c>
      <c r="J13150" t="e">
        <f>VLOOKUP(E13150,DSSpieler!A:B,2,FALSE)</f>
        <v>#N/A</v>
      </c>
    </row>
    <row r="13151" spans="1:10" x14ac:dyDescent="0.25">
      <c r="A13151">
        <v>14852</v>
      </c>
      <c r="B13151" t="s">
        <v>34973</v>
      </c>
      <c r="C13151">
        <v>390</v>
      </c>
      <c r="D13151">
        <v>519</v>
      </c>
      <c r="E13151">
        <v>1577186661</v>
      </c>
      <c r="F13151">
        <v>3295</v>
      </c>
      <c r="G13151">
        <v>0</v>
      </c>
      <c r="H13151" t="s">
        <v>18030</v>
      </c>
      <c r="I13151">
        <v>14852</v>
      </c>
      <c r="J13151" t="str">
        <f>VLOOKUP(E13151,DSSpieler!A:B,2,FALSE)</f>
        <v>dredor</v>
      </c>
    </row>
    <row r="13152" spans="1:10" x14ac:dyDescent="0.25">
      <c r="A13152">
        <v>14853</v>
      </c>
      <c r="B13152" t="s">
        <v>531</v>
      </c>
      <c r="C13152">
        <v>499</v>
      </c>
      <c r="D13152">
        <v>618</v>
      </c>
      <c r="E13152">
        <v>0</v>
      </c>
      <c r="F13152">
        <v>341</v>
      </c>
      <c r="G13152">
        <v>0</v>
      </c>
      <c r="H13152" t="s">
        <v>18031</v>
      </c>
      <c r="I13152">
        <v>14853</v>
      </c>
      <c r="J13152" t="e">
        <f>VLOOKUP(E13152,DSSpieler!A:B,2,FALSE)</f>
        <v>#N/A</v>
      </c>
    </row>
    <row r="13153" spans="1:10" x14ac:dyDescent="0.25">
      <c r="A13153">
        <v>14854</v>
      </c>
      <c r="B13153" t="s">
        <v>531</v>
      </c>
      <c r="C13153">
        <v>607</v>
      </c>
      <c r="D13153">
        <v>458</v>
      </c>
      <c r="E13153">
        <v>0</v>
      </c>
      <c r="F13153">
        <v>104</v>
      </c>
      <c r="G13153">
        <v>0</v>
      </c>
      <c r="H13153" t="s">
        <v>18032</v>
      </c>
      <c r="I13153">
        <v>14854</v>
      </c>
      <c r="J13153" t="e">
        <f>VLOOKUP(E13153,DSSpieler!A:B,2,FALSE)</f>
        <v>#N/A</v>
      </c>
    </row>
    <row r="13154" spans="1:10" x14ac:dyDescent="0.25">
      <c r="A13154">
        <v>14855</v>
      </c>
      <c r="B13154" t="s">
        <v>2368</v>
      </c>
      <c r="C13154">
        <v>469</v>
      </c>
      <c r="D13154">
        <v>386</v>
      </c>
      <c r="E13154">
        <v>1577201526</v>
      </c>
      <c r="F13154">
        <v>4791</v>
      </c>
      <c r="G13154">
        <v>0</v>
      </c>
      <c r="H13154" t="s">
        <v>18033</v>
      </c>
      <c r="I13154">
        <v>14855</v>
      </c>
      <c r="J13154" t="str">
        <f>VLOOKUP(E13154,DSSpieler!A:B,2,FALSE)</f>
        <v>Vurok</v>
      </c>
    </row>
    <row r="13155" spans="1:10" x14ac:dyDescent="0.25">
      <c r="A13155">
        <v>14856</v>
      </c>
      <c r="B13155" t="s">
        <v>34974</v>
      </c>
      <c r="C13155">
        <v>445</v>
      </c>
      <c r="D13155">
        <v>395</v>
      </c>
      <c r="E13155">
        <v>1576909773</v>
      </c>
      <c r="F13155">
        <v>3345</v>
      </c>
      <c r="G13155">
        <v>0</v>
      </c>
      <c r="H13155" t="s">
        <v>18034</v>
      </c>
      <c r="I13155">
        <v>14856</v>
      </c>
      <c r="J13155" t="str">
        <f>VLOOKUP(E13155,DSSpieler!A:B,2,FALSE)</f>
        <v>TheRedDevil</v>
      </c>
    </row>
    <row r="13156" spans="1:10" x14ac:dyDescent="0.25">
      <c r="A13156">
        <v>14857</v>
      </c>
      <c r="B13156" t="s">
        <v>531</v>
      </c>
      <c r="C13156">
        <v>525</v>
      </c>
      <c r="D13156">
        <v>384</v>
      </c>
      <c r="E13156">
        <v>0</v>
      </c>
      <c r="F13156">
        <v>223</v>
      </c>
      <c r="G13156">
        <v>0</v>
      </c>
      <c r="H13156" t="s">
        <v>18035</v>
      </c>
      <c r="I13156">
        <v>14857</v>
      </c>
      <c r="J13156" t="e">
        <f>VLOOKUP(E13156,DSSpieler!A:B,2,FALSE)</f>
        <v>#N/A</v>
      </c>
    </row>
    <row r="13157" spans="1:10" x14ac:dyDescent="0.25">
      <c r="A13157">
        <v>14858</v>
      </c>
      <c r="B13157" t="s">
        <v>531</v>
      </c>
      <c r="C13157">
        <v>592</v>
      </c>
      <c r="D13157">
        <v>433</v>
      </c>
      <c r="E13157">
        <v>0</v>
      </c>
      <c r="F13157">
        <v>233</v>
      </c>
      <c r="G13157">
        <v>0</v>
      </c>
      <c r="H13157" t="s">
        <v>18036</v>
      </c>
      <c r="I13157">
        <v>14858</v>
      </c>
      <c r="J13157" t="e">
        <f>VLOOKUP(E13157,DSSpieler!A:B,2,FALSE)</f>
        <v>#N/A</v>
      </c>
    </row>
    <row r="13158" spans="1:10" x14ac:dyDescent="0.25">
      <c r="A13158">
        <v>14859</v>
      </c>
      <c r="B13158" t="s">
        <v>34975</v>
      </c>
      <c r="C13158">
        <v>443</v>
      </c>
      <c r="D13158">
        <v>405</v>
      </c>
      <c r="E13158">
        <v>8655873</v>
      </c>
      <c r="F13158">
        <v>3559</v>
      </c>
      <c r="G13158">
        <v>0</v>
      </c>
      <c r="H13158" t="s">
        <v>18037</v>
      </c>
      <c r="I13158">
        <v>14859</v>
      </c>
      <c r="J13158" t="str">
        <f>VLOOKUP(E13158,DSSpieler!A:B,2,FALSE)</f>
        <v>.Klaue4.</v>
      </c>
    </row>
    <row r="13159" spans="1:10" x14ac:dyDescent="0.25">
      <c r="A13159">
        <v>14860</v>
      </c>
      <c r="B13159" t="s">
        <v>34976</v>
      </c>
      <c r="C13159">
        <v>565</v>
      </c>
      <c r="D13159">
        <v>403</v>
      </c>
      <c r="E13159">
        <v>10006430</v>
      </c>
      <c r="F13159">
        <v>113</v>
      </c>
      <c r="G13159">
        <v>0</v>
      </c>
      <c r="H13159" t="s">
        <v>18038</v>
      </c>
      <c r="I13159">
        <v>14860</v>
      </c>
      <c r="J13159" t="str">
        <f>VLOOKUP(E13159,DSSpieler!A:B,2,FALSE)</f>
        <v>Blupperich</v>
      </c>
    </row>
    <row r="13160" spans="1:10" x14ac:dyDescent="0.25">
      <c r="A13160">
        <v>14861</v>
      </c>
      <c r="B13160" t="s">
        <v>34977</v>
      </c>
      <c r="C13160">
        <v>444</v>
      </c>
      <c r="D13160">
        <v>411</v>
      </c>
      <c r="E13160">
        <v>1576681333</v>
      </c>
      <c r="F13160">
        <v>2592</v>
      </c>
      <c r="G13160">
        <v>0</v>
      </c>
      <c r="H13160" t="s">
        <v>18039</v>
      </c>
      <c r="I13160">
        <v>14861</v>
      </c>
      <c r="J13160" t="str">
        <f>VLOOKUP(E13160,DSSpieler!A:B,2,FALSE)</f>
        <v>.Datzi22.</v>
      </c>
    </row>
    <row r="13161" spans="1:10" x14ac:dyDescent="0.25">
      <c r="A13161">
        <v>14862</v>
      </c>
      <c r="B13161" t="s">
        <v>531</v>
      </c>
      <c r="C13161">
        <v>440</v>
      </c>
      <c r="D13161">
        <v>402</v>
      </c>
      <c r="E13161">
        <v>0</v>
      </c>
      <c r="F13161">
        <v>120</v>
      </c>
      <c r="G13161">
        <v>0</v>
      </c>
      <c r="H13161" t="s">
        <v>18040</v>
      </c>
      <c r="I13161">
        <v>14862</v>
      </c>
      <c r="J13161" t="e">
        <f>VLOOKUP(E13161,DSSpieler!A:B,2,FALSE)</f>
        <v>#N/A</v>
      </c>
    </row>
    <row r="13162" spans="1:10" x14ac:dyDescent="0.25">
      <c r="A13162">
        <v>14863</v>
      </c>
      <c r="B13162" t="s">
        <v>1220</v>
      </c>
      <c r="C13162">
        <v>423</v>
      </c>
      <c r="D13162">
        <v>564</v>
      </c>
      <c r="E13162">
        <v>2412701</v>
      </c>
      <c r="F13162">
        <v>2205</v>
      </c>
      <c r="G13162">
        <v>0</v>
      </c>
      <c r="H13162" t="s">
        <v>18041</v>
      </c>
      <c r="I13162">
        <v>14863</v>
      </c>
      <c r="J13162" t="str">
        <f>VLOOKUP(E13162,DSSpieler!A:B,2,FALSE)</f>
        <v>Pippiar</v>
      </c>
    </row>
    <row r="13163" spans="1:10" x14ac:dyDescent="0.25">
      <c r="A13163">
        <v>14864</v>
      </c>
      <c r="B13163" t="s">
        <v>34978</v>
      </c>
      <c r="C13163">
        <v>594</v>
      </c>
      <c r="D13163">
        <v>566</v>
      </c>
      <c r="E13163">
        <v>1576838849</v>
      </c>
      <c r="F13163">
        <v>357</v>
      </c>
      <c r="G13163">
        <v>0</v>
      </c>
      <c r="H13163" t="s">
        <v>18042</v>
      </c>
      <c r="I13163">
        <v>14864</v>
      </c>
      <c r="J13163" t="str">
        <f>VLOOKUP(E13163,DSSpieler!A:B,2,FALSE)</f>
        <v>Inv1ctus*</v>
      </c>
    </row>
    <row r="13164" spans="1:10" x14ac:dyDescent="0.25">
      <c r="A13164">
        <v>14866</v>
      </c>
      <c r="B13164" t="s">
        <v>531</v>
      </c>
      <c r="C13164">
        <v>510</v>
      </c>
      <c r="D13164">
        <v>382</v>
      </c>
      <c r="E13164">
        <v>0</v>
      </c>
      <c r="F13164">
        <v>212</v>
      </c>
      <c r="G13164">
        <v>0</v>
      </c>
      <c r="H13164" t="s">
        <v>18043</v>
      </c>
      <c r="I13164">
        <v>14866</v>
      </c>
      <c r="J13164" t="e">
        <f>VLOOKUP(E13164,DSSpieler!A:B,2,FALSE)</f>
        <v>#N/A</v>
      </c>
    </row>
    <row r="13165" spans="1:10" x14ac:dyDescent="0.25">
      <c r="A13165">
        <v>14867</v>
      </c>
      <c r="B13165" t="s">
        <v>2369</v>
      </c>
      <c r="C13165">
        <v>535</v>
      </c>
      <c r="D13165">
        <v>391</v>
      </c>
      <c r="E13165">
        <v>9380418</v>
      </c>
      <c r="F13165">
        <v>4149</v>
      </c>
      <c r="G13165">
        <v>0</v>
      </c>
      <c r="H13165" t="s">
        <v>18044</v>
      </c>
      <c r="I13165">
        <v>14867</v>
      </c>
      <c r="J13165" t="str">
        <f>VLOOKUP(E13165,DSSpieler!A:B,2,FALSE)</f>
        <v>Madafiii</v>
      </c>
    </row>
    <row r="13166" spans="1:10" x14ac:dyDescent="0.25">
      <c r="A13166">
        <v>14868</v>
      </c>
      <c r="B13166" t="s">
        <v>531</v>
      </c>
      <c r="C13166">
        <v>618</v>
      </c>
      <c r="D13166">
        <v>505</v>
      </c>
      <c r="E13166">
        <v>0</v>
      </c>
      <c r="F13166">
        <v>598</v>
      </c>
      <c r="G13166">
        <v>0</v>
      </c>
      <c r="H13166" t="s">
        <v>18045</v>
      </c>
      <c r="I13166">
        <v>14868</v>
      </c>
      <c r="J13166" t="e">
        <f>VLOOKUP(E13166,DSSpieler!A:B,2,FALSE)</f>
        <v>#N/A</v>
      </c>
    </row>
    <row r="13167" spans="1:10" x14ac:dyDescent="0.25">
      <c r="A13167">
        <v>14869</v>
      </c>
      <c r="B13167" t="s">
        <v>2370</v>
      </c>
      <c r="C13167">
        <v>407</v>
      </c>
      <c r="D13167">
        <v>434</v>
      </c>
      <c r="E13167">
        <v>1575978100</v>
      </c>
      <c r="F13167">
        <v>1458</v>
      </c>
      <c r="G13167">
        <v>0</v>
      </c>
      <c r="H13167" t="s">
        <v>18046</v>
      </c>
      <c r="I13167">
        <v>14869</v>
      </c>
      <c r="J13167" t="str">
        <f>VLOOKUP(E13167,DSSpieler!A:B,2,FALSE)</f>
        <v>Lord Philipp der Erste</v>
      </c>
    </row>
    <row r="13168" spans="1:10" x14ac:dyDescent="0.25">
      <c r="A13168">
        <v>14870</v>
      </c>
      <c r="B13168" t="s">
        <v>531</v>
      </c>
      <c r="C13168">
        <v>536</v>
      </c>
      <c r="D13168">
        <v>391</v>
      </c>
      <c r="E13168">
        <v>0</v>
      </c>
      <c r="F13168">
        <v>155</v>
      </c>
      <c r="G13168">
        <v>0</v>
      </c>
      <c r="H13168" t="s">
        <v>18047</v>
      </c>
      <c r="I13168">
        <v>14870</v>
      </c>
      <c r="J13168" t="e">
        <f>VLOOKUP(E13168,DSSpieler!A:B,2,FALSE)</f>
        <v>#N/A</v>
      </c>
    </row>
    <row r="13169" spans="1:10" x14ac:dyDescent="0.25">
      <c r="A13169">
        <v>14871</v>
      </c>
      <c r="B13169" t="s">
        <v>531</v>
      </c>
      <c r="C13169">
        <v>467</v>
      </c>
      <c r="D13169">
        <v>612</v>
      </c>
      <c r="E13169">
        <v>0</v>
      </c>
      <c r="F13169">
        <v>164</v>
      </c>
      <c r="G13169">
        <v>0</v>
      </c>
      <c r="H13169" t="s">
        <v>18048</v>
      </c>
      <c r="I13169">
        <v>14871</v>
      </c>
      <c r="J13169" t="e">
        <f>VLOOKUP(E13169,DSSpieler!A:B,2,FALSE)</f>
        <v>#N/A</v>
      </c>
    </row>
    <row r="13170" spans="1:10" x14ac:dyDescent="0.25">
      <c r="A13170">
        <v>14872</v>
      </c>
      <c r="B13170" t="s">
        <v>531</v>
      </c>
      <c r="C13170">
        <v>508</v>
      </c>
      <c r="D13170">
        <v>383</v>
      </c>
      <c r="E13170">
        <v>0</v>
      </c>
      <c r="F13170">
        <v>160</v>
      </c>
      <c r="G13170">
        <v>0</v>
      </c>
      <c r="H13170" t="s">
        <v>18049</v>
      </c>
      <c r="I13170">
        <v>14872</v>
      </c>
      <c r="J13170" t="e">
        <f>VLOOKUP(E13170,DSSpieler!A:B,2,FALSE)</f>
        <v>#N/A</v>
      </c>
    </row>
    <row r="13171" spans="1:10" x14ac:dyDescent="0.25">
      <c r="A13171">
        <v>14873</v>
      </c>
      <c r="B13171" t="s">
        <v>2371</v>
      </c>
      <c r="C13171">
        <v>570</v>
      </c>
      <c r="D13171">
        <v>436</v>
      </c>
      <c r="E13171">
        <v>1377467</v>
      </c>
      <c r="F13171">
        <v>3573</v>
      </c>
      <c r="G13171">
        <v>0</v>
      </c>
      <c r="H13171" t="s">
        <v>18050</v>
      </c>
      <c r="I13171">
        <v>14873</v>
      </c>
      <c r="J13171" t="str">
        <f>VLOOKUP(E13171,DSSpieler!A:B,2,FALSE)</f>
        <v>Fabi Khan</v>
      </c>
    </row>
    <row r="13172" spans="1:10" x14ac:dyDescent="0.25">
      <c r="A13172">
        <v>14874</v>
      </c>
      <c r="B13172" t="s">
        <v>531</v>
      </c>
      <c r="C13172">
        <v>598</v>
      </c>
      <c r="D13172">
        <v>435</v>
      </c>
      <c r="E13172">
        <v>0</v>
      </c>
      <c r="F13172">
        <v>240</v>
      </c>
      <c r="G13172">
        <v>0</v>
      </c>
      <c r="H13172" t="s">
        <v>18051</v>
      </c>
      <c r="I13172">
        <v>14874</v>
      </c>
      <c r="J13172" t="e">
        <f>VLOOKUP(E13172,DSSpieler!A:B,2,FALSE)</f>
        <v>#N/A</v>
      </c>
    </row>
    <row r="13173" spans="1:10" x14ac:dyDescent="0.25">
      <c r="A13173">
        <v>14876</v>
      </c>
      <c r="B13173" t="s">
        <v>531</v>
      </c>
      <c r="C13173">
        <v>616</v>
      </c>
      <c r="D13173">
        <v>509</v>
      </c>
      <c r="E13173">
        <v>0</v>
      </c>
      <c r="F13173">
        <v>129</v>
      </c>
      <c r="G13173">
        <v>0</v>
      </c>
      <c r="H13173" t="s">
        <v>18052</v>
      </c>
      <c r="I13173">
        <v>14876</v>
      </c>
      <c r="J13173" t="e">
        <f>VLOOKUP(E13173,DSSpieler!A:B,2,FALSE)</f>
        <v>#N/A</v>
      </c>
    </row>
    <row r="13174" spans="1:10" x14ac:dyDescent="0.25">
      <c r="A13174">
        <v>14877</v>
      </c>
      <c r="B13174" t="s">
        <v>2108</v>
      </c>
      <c r="C13174">
        <v>400</v>
      </c>
      <c r="D13174">
        <v>435</v>
      </c>
      <c r="E13174">
        <v>9953171</v>
      </c>
      <c r="F13174">
        <v>936</v>
      </c>
      <c r="G13174">
        <v>0</v>
      </c>
      <c r="H13174" t="s">
        <v>18053</v>
      </c>
      <c r="I13174">
        <v>14877</v>
      </c>
      <c r="J13174" t="str">
        <f>VLOOKUP(E13174,DSSpieler!A:B,2,FALSE)</f>
        <v>john956</v>
      </c>
    </row>
    <row r="13175" spans="1:10" x14ac:dyDescent="0.25">
      <c r="A13175">
        <v>14878</v>
      </c>
      <c r="B13175" t="s">
        <v>531</v>
      </c>
      <c r="C13175">
        <v>594</v>
      </c>
      <c r="D13175">
        <v>570</v>
      </c>
      <c r="E13175">
        <v>0</v>
      </c>
      <c r="F13175">
        <v>222</v>
      </c>
      <c r="G13175">
        <v>0</v>
      </c>
      <c r="H13175" t="s">
        <v>18054</v>
      </c>
      <c r="I13175">
        <v>14878</v>
      </c>
      <c r="J13175" t="e">
        <f>VLOOKUP(E13175,DSSpieler!A:B,2,FALSE)</f>
        <v>#N/A</v>
      </c>
    </row>
    <row r="13176" spans="1:10" x14ac:dyDescent="0.25">
      <c r="A13176">
        <v>14880</v>
      </c>
      <c r="B13176">
        <v>1</v>
      </c>
      <c r="C13176">
        <v>405</v>
      </c>
      <c r="D13176">
        <v>569</v>
      </c>
      <c r="E13176">
        <v>1577201543</v>
      </c>
      <c r="F13176">
        <v>4634</v>
      </c>
      <c r="G13176">
        <v>0</v>
      </c>
      <c r="H13176" t="s">
        <v>18055</v>
      </c>
      <c r="I13176">
        <v>14880</v>
      </c>
      <c r="J13176" t="str">
        <f>VLOOKUP(E13176,DSSpieler!A:B,2,FALSE)</f>
        <v>Dr.Boss</v>
      </c>
    </row>
    <row r="13177" spans="1:10" x14ac:dyDescent="0.25">
      <c r="A13177">
        <v>14881</v>
      </c>
      <c r="B13177" t="s">
        <v>34979</v>
      </c>
      <c r="C13177">
        <v>519</v>
      </c>
      <c r="D13177">
        <v>614</v>
      </c>
      <c r="E13177">
        <v>2451330</v>
      </c>
      <c r="F13177">
        <v>2940</v>
      </c>
      <c r="G13177">
        <v>0</v>
      </c>
      <c r="H13177" t="s">
        <v>18056</v>
      </c>
      <c r="I13177">
        <v>14881</v>
      </c>
      <c r="J13177" t="str">
        <f>VLOOKUP(E13177,DSSpieler!A:B,2,FALSE)</f>
        <v>Norminho</v>
      </c>
    </row>
    <row r="13178" spans="1:10" x14ac:dyDescent="0.25">
      <c r="A13178">
        <v>14884</v>
      </c>
      <c r="B13178" t="s">
        <v>34980</v>
      </c>
      <c r="C13178">
        <v>569</v>
      </c>
      <c r="D13178">
        <v>407</v>
      </c>
      <c r="E13178">
        <v>3058830</v>
      </c>
      <c r="F13178">
        <v>4432</v>
      </c>
      <c r="G13178">
        <v>0</v>
      </c>
      <c r="H13178" t="s">
        <v>18057</v>
      </c>
      <c r="I13178">
        <v>14884</v>
      </c>
      <c r="J13178" t="str">
        <f>VLOOKUP(E13178,DSSpieler!A:B,2,FALSE)</f>
        <v>mungo133</v>
      </c>
    </row>
    <row r="13179" spans="1:10" x14ac:dyDescent="0.25">
      <c r="A13179">
        <v>14885</v>
      </c>
      <c r="B13179" t="s">
        <v>531</v>
      </c>
      <c r="C13179">
        <v>425</v>
      </c>
      <c r="D13179">
        <v>592</v>
      </c>
      <c r="E13179">
        <v>0</v>
      </c>
      <c r="F13179">
        <v>290</v>
      </c>
      <c r="G13179">
        <v>0</v>
      </c>
      <c r="H13179" t="s">
        <v>18058</v>
      </c>
      <c r="I13179">
        <v>14885</v>
      </c>
      <c r="J13179" t="e">
        <f>VLOOKUP(E13179,DSSpieler!A:B,2,FALSE)</f>
        <v>#N/A</v>
      </c>
    </row>
    <row r="13180" spans="1:10" x14ac:dyDescent="0.25">
      <c r="A13180">
        <v>14886</v>
      </c>
      <c r="B13180" t="s">
        <v>531</v>
      </c>
      <c r="C13180">
        <v>613</v>
      </c>
      <c r="D13180">
        <v>530</v>
      </c>
      <c r="E13180">
        <v>0</v>
      </c>
      <c r="F13180">
        <v>126</v>
      </c>
      <c r="G13180">
        <v>0</v>
      </c>
      <c r="H13180" t="s">
        <v>18059</v>
      </c>
      <c r="I13180">
        <v>14886</v>
      </c>
      <c r="J13180" t="e">
        <f>VLOOKUP(E13180,DSSpieler!A:B,2,FALSE)</f>
        <v>#N/A</v>
      </c>
    </row>
    <row r="13181" spans="1:10" x14ac:dyDescent="0.25">
      <c r="A13181">
        <v>14887</v>
      </c>
      <c r="B13181" t="s">
        <v>2372</v>
      </c>
      <c r="C13181">
        <v>533</v>
      </c>
      <c r="D13181">
        <v>606</v>
      </c>
      <c r="E13181">
        <v>1577201553</v>
      </c>
      <c r="F13181">
        <v>3225</v>
      </c>
      <c r="G13181">
        <v>0</v>
      </c>
      <c r="H13181" t="s">
        <v>18060</v>
      </c>
      <c r="I13181">
        <v>14887</v>
      </c>
      <c r="J13181" t="str">
        <f>VLOOKUP(E13181,DSSpieler!A:B,2,FALSE)</f>
        <v>Friese</v>
      </c>
    </row>
    <row r="13182" spans="1:10" x14ac:dyDescent="0.25">
      <c r="A13182">
        <v>14888</v>
      </c>
      <c r="B13182" t="s">
        <v>34981</v>
      </c>
      <c r="C13182">
        <v>387</v>
      </c>
      <c r="D13182">
        <v>473</v>
      </c>
      <c r="E13182">
        <v>1577201556</v>
      </c>
      <c r="F13182">
        <v>4927</v>
      </c>
      <c r="G13182">
        <v>0</v>
      </c>
      <c r="H13182" t="s">
        <v>491</v>
      </c>
      <c r="I13182">
        <v>14888</v>
      </c>
      <c r="J13182" t="str">
        <f>VLOOKUP(E13182,DSSpieler!A:B,2,FALSE)</f>
        <v>Verräterrus</v>
      </c>
    </row>
    <row r="13183" spans="1:10" x14ac:dyDescent="0.25">
      <c r="A13183">
        <v>14890</v>
      </c>
      <c r="B13183" t="s">
        <v>531</v>
      </c>
      <c r="C13183">
        <v>595</v>
      </c>
      <c r="D13183">
        <v>564</v>
      </c>
      <c r="E13183">
        <v>0</v>
      </c>
      <c r="F13183">
        <v>220</v>
      </c>
      <c r="G13183">
        <v>0</v>
      </c>
      <c r="H13183" t="s">
        <v>18061</v>
      </c>
      <c r="I13183">
        <v>14890</v>
      </c>
      <c r="J13183" t="e">
        <f>VLOOKUP(E13183,DSSpieler!A:B,2,FALSE)</f>
        <v>#N/A</v>
      </c>
    </row>
    <row r="13184" spans="1:10" x14ac:dyDescent="0.25">
      <c r="A13184">
        <v>14891</v>
      </c>
      <c r="B13184" t="s">
        <v>531</v>
      </c>
      <c r="C13184">
        <v>418</v>
      </c>
      <c r="D13184">
        <v>417</v>
      </c>
      <c r="E13184">
        <v>0</v>
      </c>
      <c r="F13184">
        <v>158</v>
      </c>
      <c r="G13184">
        <v>0</v>
      </c>
      <c r="H13184" t="s">
        <v>18062</v>
      </c>
      <c r="I13184">
        <v>14891</v>
      </c>
      <c r="J13184" t="e">
        <f>VLOOKUP(E13184,DSSpieler!A:B,2,FALSE)</f>
        <v>#N/A</v>
      </c>
    </row>
    <row r="13185" spans="1:10" x14ac:dyDescent="0.25">
      <c r="A13185">
        <v>14892</v>
      </c>
      <c r="B13185" t="s">
        <v>531</v>
      </c>
      <c r="C13185">
        <v>570</v>
      </c>
      <c r="D13185">
        <v>591</v>
      </c>
      <c r="E13185">
        <v>0</v>
      </c>
      <c r="F13185">
        <v>317</v>
      </c>
      <c r="G13185">
        <v>0</v>
      </c>
      <c r="H13185" t="s">
        <v>18063</v>
      </c>
      <c r="I13185">
        <v>14892</v>
      </c>
      <c r="J13185" t="e">
        <f>VLOOKUP(E13185,DSSpieler!A:B,2,FALSE)</f>
        <v>#N/A</v>
      </c>
    </row>
    <row r="13186" spans="1:10" x14ac:dyDescent="0.25">
      <c r="A13186">
        <v>14893</v>
      </c>
      <c r="B13186" t="s">
        <v>34982</v>
      </c>
      <c r="C13186">
        <v>614</v>
      </c>
      <c r="D13186">
        <v>510</v>
      </c>
      <c r="E13186">
        <v>1577069886</v>
      </c>
      <c r="F13186">
        <v>2312</v>
      </c>
      <c r="G13186">
        <v>0</v>
      </c>
      <c r="H13186" t="s">
        <v>18064</v>
      </c>
      <c r="I13186">
        <v>14893</v>
      </c>
      <c r="J13186" t="str">
        <f>VLOOKUP(E13186,DSSpieler!A:B,2,FALSE)</f>
        <v>onur3838</v>
      </c>
    </row>
    <row r="13187" spans="1:10" x14ac:dyDescent="0.25">
      <c r="A13187">
        <v>14894</v>
      </c>
      <c r="B13187" t="s">
        <v>34983</v>
      </c>
      <c r="C13187">
        <v>420</v>
      </c>
      <c r="D13187">
        <v>415</v>
      </c>
      <c r="E13187">
        <v>1577200226</v>
      </c>
      <c r="F13187">
        <v>71</v>
      </c>
      <c r="G13187">
        <v>0</v>
      </c>
      <c r="H13187" t="s">
        <v>18065</v>
      </c>
      <c r="I13187">
        <v>14894</v>
      </c>
      <c r="J13187" t="str">
        <f>VLOOKUP(E13187,DSSpieler!A:B,2,FALSE)</f>
        <v>e-di</v>
      </c>
    </row>
    <row r="13188" spans="1:10" x14ac:dyDescent="0.25">
      <c r="A13188">
        <v>14895</v>
      </c>
      <c r="B13188" t="s">
        <v>34984</v>
      </c>
      <c r="C13188">
        <v>500</v>
      </c>
      <c r="D13188">
        <v>508</v>
      </c>
      <c r="E13188">
        <v>1576940166</v>
      </c>
      <c r="F13188">
        <v>3300</v>
      </c>
      <c r="G13188">
        <v>0</v>
      </c>
      <c r="H13188" t="s">
        <v>18066</v>
      </c>
      <c r="I13188">
        <v>14895</v>
      </c>
      <c r="J13188" t="str">
        <f>VLOOKUP(E13188,DSSpieler!A:B,2,FALSE)</f>
        <v>TimJJ</v>
      </c>
    </row>
    <row r="13189" spans="1:10" x14ac:dyDescent="0.25">
      <c r="A13189">
        <v>14897</v>
      </c>
      <c r="B13189" t="s">
        <v>2373</v>
      </c>
      <c r="C13189">
        <v>490</v>
      </c>
      <c r="D13189">
        <v>384</v>
      </c>
      <c r="E13189">
        <v>1577198138</v>
      </c>
      <c r="F13189">
        <v>2766</v>
      </c>
      <c r="G13189">
        <v>0</v>
      </c>
      <c r="H13189" t="s">
        <v>18067</v>
      </c>
      <c r="I13189">
        <v>14897</v>
      </c>
      <c r="J13189" t="str">
        <f>VLOOKUP(E13189,DSSpieler!A:B,2,FALSE)</f>
        <v>Wiztard</v>
      </c>
    </row>
    <row r="13190" spans="1:10" x14ac:dyDescent="0.25">
      <c r="A13190">
        <v>14898</v>
      </c>
      <c r="B13190" t="s">
        <v>531</v>
      </c>
      <c r="C13190">
        <v>392</v>
      </c>
      <c r="D13190">
        <v>544</v>
      </c>
      <c r="E13190">
        <v>0</v>
      </c>
      <c r="F13190">
        <v>193</v>
      </c>
      <c r="G13190">
        <v>0</v>
      </c>
      <c r="H13190" t="s">
        <v>18068</v>
      </c>
      <c r="I13190">
        <v>14898</v>
      </c>
      <c r="J13190" t="e">
        <f>VLOOKUP(E13190,DSSpieler!A:B,2,FALSE)</f>
        <v>#N/A</v>
      </c>
    </row>
    <row r="13191" spans="1:10" x14ac:dyDescent="0.25">
      <c r="A13191">
        <v>14899</v>
      </c>
      <c r="B13191" t="s">
        <v>531</v>
      </c>
      <c r="C13191">
        <v>430</v>
      </c>
      <c r="D13191">
        <v>595</v>
      </c>
      <c r="E13191">
        <v>0</v>
      </c>
      <c r="F13191">
        <v>276</v>
      </c>
      <c r="G13191">
        <v>0</v>
      </c>
      <c r="H13191" t="s">
        <v>18069</v>
      </c>
      <c r="I13191">
        <v>14899</v>
      </c>
      <c r="J13191" t="e">
        <f>VLOOKUP(E13191,DSSpieler!A:B,2,FALSE)</f>
        <v>#N/A</v>
      </c>
    </row>
    <row r="13192" spans="1:10" x14ac:dyDescent="0.25">
      <c r="A13192">
        <v>14900</v>
      </c>
      <c r="B13192" t="s">
        <v>34985</v>
      </c>
      <c r="C13192">
        <v>572</v>
      </c>
      <c r="D13192">
        <v>405</v>
      </c>
      <c r="E13192">
        <v>8332271</v>
      </c>
      <c r="F13192">
        <v>4161</v>
      </c>
      <c r="G13192">
        <v>0</v>
      </c>
      <c r="H13192" t="s">
        <v>18070</v>
      </c>
      <c r="I13192">
        <v>14900</v>
      </c>
      <c r="J13192" t="str">
        <f>VLOOKUP(E13192,DSSpieler!A:B,2,FALSE)</f>
        <v>nonstop6</v>
      </c>
    </row>
    <row r="13193" spans="1:10" x14ac:dyDescent="0.25">
      <c r="A13193">
        <v>14901</v>
      </c>
      <c r="B13193" t="s">
        <v>1549</v>
      </c>
      <c r="C13193">
        <v>414</v>
      </c>
      <c r="D13193">
        <v>418</v>
      </c>
      <c r="E13193">
        <v>1577184000</v>
      </c>
      <c r="F13193">
        <v>2487</v>
      </c>
      <c r="G13193">
        <v>0</v>
      </c>
      <c r="H13193" t="s">
        <v>18071</v>
      </c>
      <c r="I13193">
        <v>14901</v>
      </c>
      <c r="J13193" t="str">
        <f>VLOOKUP(E13193,DSSpieler!A:B,2,FALSE)</f>
        <v>astralavista</v>
      </c>
    </row>
    <row r="13194" spans="1:10" x14ac:dyDescent="0.25">
      <c r="A13194">
        <v>14903</v>
      </c>
      <c r="B13194" t="s">
        <v>531</v>
      </c>
      <c r="C13194">
        <v>567</v>
      </c>
      <c r="D13194">
        <v>405</v>
      </c>
      <c r="E13194">
        <v>0</v>
      </c>
      <c r="F13194">
        <v>194</v>
      </c>
      <c r="G13194">
        <v>0</v>
      </c>
      <c r="H13194" t="s">
        <v>18072</v>
      </c>
      <c r="I13194">
        <v>14903</v>
      </c>
      <c r="J13194" t="e">
        <f>VLOOKUP(E13194,DSSpieler!A:B,2,FALSE)</f>
        <v>#N/A</v>
      </c>
    </row>
    <row r="13195" spans="1:10" x14ac:dyDescent="0.25">
      <c r="A13195">
        <v>14904</v>
      </c>
      <c r="B13195" t="s">
        <v>531</v>
      </c>
      <c r="C13195">
        <v>470</v>
      </c>
      <c r="D13195">
        <v>387</v>
      </c>
      <c r="E13195">
        <v>0</v>
      </c>
      <c r="F13195">
        <v>196</v>
      </c>
      <c r="G13195">
        <v>0</v>
      </c>
      <c r="H13195" t="s">
        <v>18073</v>
      </c>
      <c r="I13195">
        <v>14904</v>
      </c>
      <c r="J13195" t="e">
        <f>VLOOKUP(E13195,DSSpieler!A:B,2,FALSE)</f>
        <v>#N/A</v>
      </c>
    </row>
    <row r="13196" spans="1:10" x14ac:dyDescent="0.25">
      <c r="A13196">
        <v>14905</v>
      </c>
      <c r="B13196" t="s">
        <v>695</v>
      </c>
      <c r="C13196">
        <v>392</v>
      </c>
      <c r="D13196">
        <v>459</v>
      </c>
      <c r="E13196">
        <v>1577189065</v>
      </c>
      <c r="F13196">
        <v>4452</v>
      </c>
      <c r="G13196">
        <v>0</v>
      </c>
      <c r="H13196" t="s">
        <v>493</v>
      </c>
      <c r="I13196">
        <v>14905</v>
      </c>
      <c r="J13196" t="str">
        <f>VLOOKUP(E13196,DSSpieler!A:B,2,FALSE)</f>
        <v>xD3L4x</v>
      </c>
    </row>
    <row r="13197" spans="1:10" x14ac:dyDescent="0.25">
      <c r="A13197">
        <v>14906</v>
      </c>
      <c r="B13197" t="s">
        <v>531</v>
      </c>
      <c r="C13197">
        <v>402</v>
      </c>
      <c r="D13197">
        <v>437</v>
      </c>
      <c r="E13197">
        <v>0</v>
      </c>
      <c r="F13197">
        <v>152</v>
      </c>
      <c r="G13197">
        <v>0</v>
      </c>
      <c r="H13197" t="s">
        <v>18074</v>
      </c>
      <c r="I13197">
        <v>14906</v>
      </c>
      <c r="J13197" t="e">
        <f>VLOOKUP(E13197,DSSpieler!A:B,2,FALSE)</f>
        <v>#N/A</v>
      </c>
    </row>
    <row r="13198" spans="1:10" x14ac:dyDescent="0.25">
      <c r="A13198">
        <v>14907</v>
      </c>
      <c r="B13198" t="s">
        <v>34986</v>
      </c>
      <c r="C13198">
        <v>388</v>
      </c>
      <c r="D13198">
        <v>471</v>
      </c>
      <c r="E13198">
        <v>1575873872</v>
      </c>
      <c r="F13198">
        <v>2870</v>
      </c>
      <c r="G13198">
        <v>0</v>
      </c>
      <c r="H13198" t="s">
        <v>480</v>
      </c>
      <c r="I13198">
        <v>14907</v>
      </c>
      <c r="J13198" t="str">
        <f>VLOOKUP(E13198,DSSpieler!A:B,2,FALSE)</f>
        <v>ulchenbbq</v>
      </c>
    </row>
    <row r="13199" spans="1:10" x14ac:dyDescent="0.25">
      <c r="A13199">
        <v>14908</v>
      </c>
      <c r="B13199" t="s">
        <v>531</v>
      </c>
      <c r="C13199">
        <v>570</v>
      </c>
      <c r="D13199">
        <v>589</v>
      </c>
      <c r="E13199">
        <v>0</v>
      </c>
      <c r="F13199">
        <v>149</v>
      </c>
      <c r="G13199">
        <v>0</v>
      </c>
      <c r="H13199" t="s">
        <v>18075</v>
      </c>
      <c r="I13199">
        <v>14908</v>
      </c>
      <c r="J13199" t="e">
        <f>VLOOKUP(E13199,DSSpieler!A:B,2,FALSE)</f>
        <v>#N/A</v>
      </c>
    </row>
    <row r="13200" spans="1:10" x14ac:dyDescent="0.25">
      <c r="A13200">
        <v>14909</v>
      </c>
      <c r="B13200" t="s">
        <v>34987</v>
      </c>
      <c r="C13200">
        <v>505</v>
      </c>
      <c r="D13200">
        <v>468</v>
      </c>
      <c r="E13200">
        <v>1577140025</v>
      </c>
      <c r="F13200">
        <v>3337</v>
      </c>
      <c r="G13200">
        <v>0</v>
      </c>
      <c r="H13200" t="s">
        <v>18076</v>
      </c>
      <c r="I13200">
        <v>14909</v>
      </c>
      <c r="J13200" t="str">
        <f>VLOOKUP(E13200,DSSpieler!A:B,2,FALSE)</f>
        <v>Chamsif</v>
      </c>
    </row>
    <row r="13201" spans="1:10" x14ac:dyDescent="0.25">
      <c r="A13201">
        <v>14910</v>
      </c>
      <c r="B13201" t="s">
        <v>531</v>
      </c>
      <c r="C13201">
        <v>387</v>
      </c>
      <c r="D13201">
        <v>525</v>
      </c>
      <c r="E13201">
        <v>0</v>
      </c>
      <c r="F13201">
        <v>123</v>
      </c>
      <c r="G13201">
        <v>0</v>
      </c>
      <c r="H13201" t="s">
        <v>18077</v>
      </c>
      <c r="I13201">
        <v>14910</v>
      </c>
      <c r="J13201" t="e">
        <f>VLOOKUP(E13201,DSSpieler!A:B,2,FALSE)</f>
        <v>#N/A</v>
      </c>
    </row>
    <row r="13202" spans="1:10" x14ac:dyDescent="0.25">
      <c r="A13202">
        <v>14912</v>
      </c>
      <c r="B13202">
        <v>178</v>
      </c>
      <c r="C13202">
        <v>431</v>
      </c>
      <c r="D13202">
        <v>578</v>
      </c>
      <c r="E13202">
        <v>1577173012</v>
      </c>
      <c r="F13202">
        <v>277</v>
      </c>
      <c r="G13202">
        <v>0</v>
      </c>
      <c r="H13202" t="s">
        <v>18078</v>
      </c>
      <c r="I13202">
        <v>14912</v>
      </c>
      <c r="J13202" t="str">
        <f>VLOOKUP(E13202,DSSpieler!A:B,2,FALSE)</f>
        <v>gschisti-gschasti</v>
      </c>
    </row>
    <row r="13203" spans="1:10" x14ac:dyDescent="0.25">
      <c r="A13203">
        <v>14913</v>
      </c>
      <c r="B13203" t="s">
        <v>34988</v>
      </c>
      <c r="C13203">
        <v>403</v>
      </c>
      <c r="D13203">
        <v>528</v>
      </c>
      <c r="E13203">
        <v>1577149855</v>
      </c>
      <c r="F13203">
        <v>2942</v>
      </c>
      <c r="G13203">
        <v>0</v>
      </c>
      <c r="H13203" t="s">
        <v>18079</v>
      </c>
      <c r="I13203">
        <v>14913</v>
      </c>
      <c r="J13203" t="str">
        <f>VLOOKUP(E13203,DSSpieler!A:B,2,FALSE)</f>
        <v>Flo1995</v>
      </c>
    </row>
    <row r="13204" spans="1:10" x14ac:dyDescent="0.25">
      <c r="A13204">
        <v>14915</v>
      </c>
      <c r="B13204">
        <v>1902</v>
      </c>
      <c r="C13204">
        <v>565</v>
      </c>
      <c r="D13204">
        <v>404</v>
      </c>
      <c r="E13204">
        <v>1577184564</v>
      </c>
      <c r="F13204">
        <v>4740</v>
      </c>
      <c r="G13204">
        <v>0</v>
      </c>
      <c r="H13204" t="s">
        <v>18080</v>
      </c>
      <c r="I13204">
        <v>14915</v>
      </c>
      <c r="J13204" t="str">
        <f>VLOOKUP(E13204,DSSpieler!A:B,2,FALSE)</f>
        <v>Raztur</v>
      </c>
    </row>
    <row r="13205" spans="1:10" x14ac:dyDescent="0.25">
      <c r="A13205">
        <v>14916</v>
      </c>
      <c r="B13205" t="s">
        <v>531</v>
      </c>
      <c r="C13205">
        <v>391</v>
      </c>
      <c r="D13205">
        <v>533</v>
      </c>
      <c r="E13205">
        <v>0</v>
      </c>
      <c r="F13205">
        <v>222</v>
      </c>
      <c r="G13205">
        <v>0</v>
      </c>
      <c r="H13205" t="s">
        <v>18081</v>
      </c>
      <c r="I13205">
        <v>14916</v>
      </c>
      <c r="J13205" t="e">
        <f>VLOOKUP(E13205,DSSpieler!A:B,2,FALSE)</f>
        <v>#N/A</v>
      </c>
    </row>
    <row r="13206" spans="1:10" x14ac:dyDescent="0.25">
      <c r="A13206">
        <v>14917</v>
      </c>
      <c r="B13206" t="s">
        <v>34989</v>
      </c>
      <c r="C13206">
        <v>405</v>
      </c>
      <c r="D13206">
        <v>521</v>
      </c>
      <c r="E13206">
        <v>1577159152</v>
      </c>
      <c r="F13206">
        <v>2238</v>
      </c>
      <c r="G13206">
        <v>0</v>
      </c>
      <c r="H13206" t="s">
        <v>18082</v>
      </c>
      <c r="I13206">
        <v>14917</v>
      </c>
      <c r="J13206" t="str">
        <f>VLOOKUP(E13206,DSSpieler!A:B,2,FALSE)</f>
        <v>bubiwa13</v>
      </c>
    </row>
    <row r="13207" spans="1:10" x14ac:dyDescent="0.25">
      <c r="A13207">
        <v>14918</v>
      </c>
      <c r="B13207" t="s">
        <v>2374</v>
      </c>
      <c r="C13207">
        <v>452</v>
      </c>
      <c r="D13207">
        <v>609</v>
      </c>
      <c r="E13207">
        <v>9461419</v>
      </c>
      <c r="F13207">
        <v>5091</v>
      </c>
      <c r="G13207">
        <v>0</v>
      </c>
      <c r="H13207" t="s">
        <v>18083</v>
      </c>
      <c r="I13207">
        <v>14918</v>
      </c>
      <c r="J13207" t="str">
        <f>VLOOKUP(E13207,DSSpieler!A:B,2,FALSE)</f>
        <v>Kasbianx3</v>
      </c>
    </row>
    <row r="13208" spans="1:10" x14ac:dyDescent="0.25">
      <c r="A13208">
        <v>14919</v>
      </c>
      <c r="B13208" t="s">
        <v>34990</v>
      </c>
      <c r="C13208">
        <v>491</v>
      </c>
      <c r="D13208">
        <v>384</v>
      </c>
      <c r="E13208">
        <v>1577193999</v>
      </c>
      <c r="F13208">
        <v>291</v>
      </c>
      <c r="G13208">
        <v>0</v>
      </c>
      <c r="H13208" t="s">
        <v>18084</v>
      </c>
      <c r="I13208">
        <v>14919</v>
      </c>
      <c r="J13208" t="str">
        <f>VLOOKUP(E13208,DSSpieler!A:B,2,FALSE)</f>
        <v>mulek</v>
      </c>
    </row>
    <row r="13209" spans="1:10" x14ac:dyDescent="0.25">
      <c r="A13209">
        <v>14920</v>
      </c>
      <c r="B13209" t="s">
        <v>531</v>
      </c>
      <c r="C13209">
        <v>397</v>
      </c>
      <c r="D13209">
        <v>554</v>
      </c>
      <c r="E13209">
        <v>0</v>
      </c>
      <c r="F13209">
        <v>191</v>
      </c>
      <c r="G13209">
        <v>0</v>
      </c>
      <c r="H13209" t="s">
        <v>18085</v>
      </c>
      <c r="I13209">
        <v>14920</v>
      </c>
      <c r="J13209" t="e">
        <f>VLOOKUP(E13209,DSSpieler!A:B,2,FALSE)</f>
        <v>#N/A</v>
      </c>
    </row>
    <row r="13210" spans="1:10" x14ac:dyDescent="0.25">
      <c r="A13210">
        <v>14921</v>
      </c>
      <c r="B13210" t="s">
        <v>531</v>
      </c>
      <c r="C13210">
        <v>382</v>
      </c>
      <c r="D13210">
        <v>471</v>
      </c>
      <c r="E13210">
        <v>0</v>
      </c>
      <c r="F13210">
        <v>317</v>
      </c>
      <c r="G13210">
        <v>0</v>
      </c>
      <c r="H13210" t="s">
        <v>18086</v>
      </c>
      <c r="I13210">
        <v>14921</v>
      </c>
      <c r="J13210" t="e">
        <f>VLOOKUP(E13210,DSSpieler!A:B,2,FALSE)</f>
        <v>#N/A</v>
      </c>
    </row>
    <row r="13211" spans="1:10" x14ac:dyDescent="0.25">
      <c r="A13211">
        <v>14923</v>
      </c>
      <c r="B13211" t="s">
        <v>34991</v>
      </c>
      <c r="C13211">
        <v>393</v>
      </c>
      <c r="D13211">
        <v>550</v>
      </c>
      <c r="E13211">
        <v>1577201590</v>
      </c>
      <c r="F13211">
        <v>4262</v>
      </c>
      <c r="G13211">
        <v>0</v>
      </c>
      <c r="H13211" t="s">
        <v>18087</v>
      </c>
      <c r="I13211">
        <v>14923</v>
      </c>
      <c r="J13211" t="str">
        <f>VLOOKUP(E13211,DSSpieler!A:B,2,FALSE)</f>
        <v>Eckbert von Eckenhagen</v>
      </c>
    </row>
    <row r="13212" spans="1:10" x14ac:dyDescent="0.25">
      <c r="A13212">
        <v>14924</v>
      </c>
      <c r="B13212" t="s">
        <v>531</v>
      </c>
      <c r="C13212">
        <v>384</v>
      </c>
      <c r="D13212">
        <v>493</v>
      </c>
      <c r="E13212">
        <v>0</v>
      </c>
      <c r="F13212">
        <v>160</v>
      </c>
      <c r="G13212">
        <v>0</v>
      </c>
      <c r="H13212" t="s">
        <v>18088</v>
      </c>
      <c r="I13212">
        <v>14924</v>
      </c>
      <c r="J13212" t="e">
        <f>VLOOKUP(E13212,DSSpieler!A:B,2,FALSE)</f>
        <v>#N/A</v>
      </c>
    </row>
    <row r="13213" spans="1:10" x14ac:dyDescent="0.25">
      <c r="A13213">
        <v>14925</v>
      </c>
      <c r="B13213" t="s">
        <v>2375</v>
      </c>
      <c r="C13213">
        <v>401</v>
      </c>
      <c r="D13213">
        <v>539</v>
      </c>
      <c r="E13213">
        <v>1577201599</v>
      </c>
      <c r="F13213">
        <v>952</v>
      </c>
      <c r="G13213">
        <v>0</v>
      </c>
      <c r="H13213" t="s">
        <v>18089</v>
      </c>
      <c r="I13213">
        <v>14925</v>
      </c>
      <c r="J13213" t="str">
        <f>VLOOKUP(E13213,DSSpieler!A:B,2,FALSE)</f>
        <v>bloder19</v>
      </c>
    </row>
    <row r="13214" spans="1:10" x14ac:dyDescent="0.25">
      <c r="A13214">
        <v>14927</v>
      </c>
      <c r="B13214" t="s">
        <v>34992</v>
      </c>
      <c r="C13214">
        <v>516</v>
      </c>
      <c r="D13214">
        <v>618</v>
      </c>
      <c r="E13214">
        <v>1097975</v>
      </c>
      <c r="F13214">
        <v>337</v>
      </c>
      <c r="G13214">
        <v>0</v>
      </c>
      <c r="H13214" t="s">
        <v>18090</v>
      </c>
      <c r="I13214">
        <v>14927</v>
      </c>
      <c r="J13214" t="str">
        <f>VLOOKUP(E13214,DSSpieler!A:B,2,FALSE)</f>
        <v>unwitzig</v>
      </c>
    </row>
    <row r="13215" spans="1:10" x14ac:dyDescent="0.25">
      <c r="A13215">
        <v>14928</v>
      </c>
      <c r="B13215" t="s">
        <v>2376</v>
      </c>
      <c r="C13215">
        <v>454</v>
      </c>
      <c r="D13215">
        <v>390</v>
      </c>
      <c r="E13215">
        <v>9254584</v>
      </c>
      <c r="F13215">
        <v>3357</v>
      </c>
      <c r="G13215">
        <v>0</v>
      </c>
      <c r="H13215" t="s">
        <v>18091</v>
      </c>
      <c r="I13215">
        <v>14928</v>
      </c>
      <c r="J13215" t="str">
        <f>VLOOKUP(E13215,DSSpieler!A:B,2,FALSE)</f>
        <v>Eis-Wolf</v>
      </c>
    </row>
    <row r="13216" spans="1:10" x14ac:dyDescent="0.25">
      <c r="A13216">
        <v>14929</v>
      </c>
      <c r="B13216" t="s">
        <v>531</v>
      </c>
      <c r="C13216">
        <v>474</v>
      </c>
      <c r="D13216">
        <v>385</v>
      </c>
      <c r="E13216">
        <v>0</v>
      </c>
      <c r="F13216">
        <v>134</v>
      </c>
      <c r="G13216">
        <v>0</v>
      </c>
      <c r="H13216" t="s">
        <v>18092</v>
      </c>
      <c r="I13216">
        <v>14929</v>
      </c>
      <c r="J13216" t="e">
        <f>VLOOKUP(E13216,DSSpieler!A:B,2,FALSE)</f>
        <v>#N/A</v>
      </c>
    </row>
    <row r="13217" spans="1:10" x14ac:dyDescent="0.25">
      <c r="A13217">
        <v>14930</v>
      </c>
      <c r="B13217" t="s">
        <v>979</v>
      </c>
      <c r="C13217">
        <v>503</v>
      </c>
      <c r="D13217">
        <v>584</v>
      </c>
      <c r="E13217">
        <v>9875916</v>
      </c>
      <c r="F13217">
        <v>3771</v>
      </c>
      <c r="G13217">
        <v>0</v>
      </c>
      <c r="H13217" t="s">
        <v>18093</v>
      </c>
      <c r="I13217">
        <v>14930</v>
      </c>
      <c r="J13217" t="str">
        <f>VLOOKUP(E13217,DSSpieler!A:B,2,FALSE)</f>
        <v>Tassos81</v>
      </c>
    </row>
    <row r="13218" spans="1:10" x14ac:dyDescent="0.25">
      <c r="A13218">
        <v>14931</v>
      </c>
      <c r="B13218" t="s">
        <v>531</v>
      </c>
      <c r="C13218">
        <v>514</v>
      </c>
      <c r="D13218">
        <v>528</v>
      </c>
      <c r="E13218">
        <v>0</v>
      </c>
      <c r="F13218">
        <v>159</v>
      </c>
      <c r="G13218">
        <v>0</v>
      </c>
      <c r="H13218" t="s">
        <v>18094</v>
      </c>
      <c r="I13218">
        <v>14931</v>
      </c>
      <c r="J13218" t="e">
        <f>VLOOKUP(E13218,DSSpieler!A:B,2,FALSE)</f>
        <v>#N/A</v>
      </c>
    </row>
    <row r="13219" spans="1:10" x14ac:dyDescent="0.25">
      <c r="A13219">
        <v>14932</v>
      </c>
      <c r="B13219">
        <v>3</v>
      </c>
      <c r="C13219">
        <v>421</v>
      </c>
      <c r="D13219">
        <v>428</v>
      </c>
      <c r="E13219">
        <v>1577085651</v>
      </c>
      <c r="F13219">
        <v>4356</v>
      </c>
      <c r="G13219">
        <v>0</v>
      </c>
      <c r="H13219" t="s">
        <v>18095</v>
      </c>
      <c r="I13219">
        <v>14932</v>
      </c>
      <c r="J13219" t="str">
        <f>VLOOKUP(E13219,DSSpieler!A:B,2,FALSE)</f>
        <v>-schpider *</v>
      </c>
    </row>
    <row r="13220" spans="1:10" x14ac:dyDescent="0.25">
      <c r="A13220">
        <v>14933</v>
      </c>
      <c r="B13220" t="s">
        <v>531</v>
      </c>
      <c r="C13220">
        <v>497</v>
      </c>
      <c r="D13220">
        <v>616</v>
      </c>
      <c r="E13220">
        <v>0</v>
      </c>
      <c r="F13220">
        <v>112</v>
      </c>
      <c r="G13220">
        <v>0</v>
      </c>
      <c r="H13220" t="s">
        <v>18096</v>
      </c>
      <c r="I13220">
        <v>14933</v>
      </c>
      <c r="J13220" t="e">
        <f>VLOOKUP(E13220,DSSpieler!A:B,2,FALSE)</f>
        <v>#N/A</v>
      </c>
    </row>
    <row r="13221" spans="1:10" x14ac:dyDescent="0.25">
      <c r="A13221">
        <v>14934</v>
      </c>
      <c r="B13221" t="s">
        <v>531</v>
      </c>
      <c r="C13221">
        <v>391</v>
      </c>
      <c r="D13221">
        <v>543</v>
      </c>
      <c r="E13221">
        <v>0</v>
      </c>
      <c r="F13221">
        <v>339</v>
      </c>
      <c r="G13221">
        <v>0</v>
      </c>
      <c r="H13221" t="s">
        <v>18097</v>
      </c>
      <c r="I13221">
        <v>14934</v>
      </c>
      <c r="J13221" t="e">
        <f>VLOOKUP(E13221,DSSpieler!A:B,2,FALSE)</f>
        <v>#N/A</v>
      </c>
    </row>
    <row r="13222" spans="1:10" x14ac:dyDescent="0.25">
      <c r="A13222">
        <v>14935</v>
      </c>
      <c r="B13222" t="s">
        <v>531</v>
      </c>
      <c r="C13222">
        <v>585</v>
      </c>
      <c r="D13222">
        <v>576</v>
      </c>
      <c r="E13222">
        <v>0</v>
      </c>
      <c r="F13222">
        <v>260</v>
      </c>
      <c r="G13222">
        <v>0</v>
      </c>
      <c r="H13222" t="s">
        <v>18098</v>
      </c>
      <c r="I13222">
        <v>14935</v>
      </c>
      <c r="J13222" t="e">
        <f>VLOOKUP(E13222,DSSpieler!A:B,2,FALSE)</f>
        <v>#N/A</v>
      </c>
    </row>
    <row r="13223" spans="1:10" x14ac:dyDescent="0.25">
      <c r="A13223">
        <v>14936</v>
      </c>
      <c r="B13223" t="s">
        <v>34993</v>
      </c>
      <c r="C13223">
        <v>551</v>
      </c>
      <c r="D13223">
        <v>604</v>
      </c>
      <c r="E13223">
        <v>897823</v>
      </c>
      <c r="F13223">
        <v>3264</v>
      </c>
      <c r="G13223">
        <v>0</v>
      </c>
      <c r="H13223" t="s">
        <v>18099</v>
      </c>
      <c r="I13223">
        <v>14936</v>
      </c>
      <c r="J13223" t="str">
        <f>VLOOKUP(E13223,DSSpieler!A:B,2,FALSE)</f>
        <v>Blackeagle2000</v>
      </c>
    </row>
    <row r="13224" spans="1:10" x14ac:dyDescent="0.25">
      <c r="A13224">
        <v>14937</v>
      </c>
      <c r="B13224" t="s">
        <v>531</v>
      </c>
      <c r="C13224">
        <v>617</v>
      </c>
      <c r="D13224">
        <v>511</v>
      </c>
      <c r="E13224">
        <v>0</v>
      </c>
      <c r="F13224">
        <v>207</v>
      </c>
      <c r="G13224">
        <v>0</v>
      </c>
      <c r="H13224" t="s">
        <v>18100</v>
      </c>
      <c r="I13224">
        <v>14937</v>
      </c>
      <c r="J13224" t="e">
        <f>VLOOKUP(E13224,DSSpieler!A:B,2,FALSE)</f>
        <v>#N/A</v>
      </c>
    </row>
    <row r="13225" spans="1:10" x14ac:dyDescent="0.25">
      <c r="A13225">
        <v>14938</v>
      </c>
      <c r="B13225" t="s">
        <v>2377</v>
      </c>
      <c r="C13225">
        <v>585</v>
      </c>
      <c r="D13225">
        <v>426</v>
      </c>
      <c r="E13225">
        <v>1577184390</v>
      </c>
      <c r="F13225">
        <v>4643</v>
      </c>
      <c r="G13225">
        <v>0</v>
      </c>
      <c r="H13225" t="s">
        <v>18101</v>
      </c>
      <c r="I13225">
        <v>14938</v>
      </c>
      <c r="J13225" t="str">
        <f>VLOOKUP(E13225,DSSpieler!A:B,2,FALSE)</f>
        <v>FaDoS</v>
      </c>
    </row>
    <row r="13226" spans="1:10" x14ac:dyDescent="0.25">
      <c r="A13226">
        <v>14939</v>
      </c>
      <c r="B13226" t="s">
        <v>531</v>
      </c>
      <c r="C13226">
        <v>461</v>
      </c>
      <c r="D13226">
        <v>613</v>
      </c>
      <c r="E13226">
        <v>0</v>
      </c>
      <c r="F13226">
        <v>301</v>
      </c>
      <c r="G13226">
        <v>0</v>
      </c>
      <c r="H13226" t="s">
        <v>18102</v>
      </c>
      <c r="I13226">
        <v>14939</v>
      </c>
      <c r="J13226" t="e">
        <f>VLOOKUP(E13226,DSSpieler!A:B,2,FALSE)</f>
        <v>#N/A</v>
      </c>
    </row>
    <row r="13227" spans="1:10" x14ac:dyDescent="0.25">
      <c r="A13227">
        <v>14940</v>
      </c>
      <c r="B13227" t="s">
        <v>34994</v>
      </c>
      <c r="C13227">
        <v>585</v>
      </c>
      <c r="D13227">
        <v>429</v>
      </c>
      <c r="E13227">
        <v>9287099</v>
      </c>
      <c r="F13227">
        <v>4610</v>
      </c>
      <c r="G13227">
        <v>0</v>
      </c>
      <c r="H13227" t="s">
        <v>18103</v>
      </c>
      <c r="I13227">
        <v>14940</v>
      </c>
      <c r="J13227" t="str">
        <f>VLOOKUP(E13227,DSSpieler!A:B,2,FALSE)</f>
        <v>Dango37</v>
      </c>
    </row>
    <row r="13228" spans="1:10" x14ac:dyDescent="0.25">
      <c r="A13228">
        <v>14941</v>
      </c>
      <c r="B13228" t="s">
        <v>33666</v>
      </c>
      <c r="C13228">
        <v>489</v>
      </c>
      <c r="D13228">
        <v>411</v>
      </c>
      <c r="E13228">
        <v>1576057331</v>
      </c>
      <c r="F13228">
        <v>4265</v>
      </c>
      <c r="G13228">
        <v>0</v>
      </c>
      <c r="H13228" t="s">
        <v>18104</v>
      </c>
      <c r="I13228">
        <v>14941</v>
      </c>
      <c r="J13228" t="str">
        <f>VLOOKUP(E13228,DSSpieler!A:B,2,FALSE)</f>
        <v>baarbratings</v>
      </c>
    </row>
    <row r="13229" spans="1:10" x14ac:dyDescent="0.25">
      <c r="A13229">
        <v>14942</v>
      </c>
      <c r="B13229" t="s">
        <v>34995</v>
      </c>
      <c r="C13229">
        <v>591</v>
      </c>
      <c r="D13229">
        <v>431</v>
      </c>
      <c r="E13229">
        <v>1577201098</v>
      </c>
      <c r="F13229">
        <v>4524</v>
      </c>
      <c r="G13229">
        <v>0</v>
      </c>
      <c r="H13229" t="s">
        <v>18105</v>
      </c>
      <c r="I13229">
        <v>14942</v>
      </c>
      <c r="J13229" t="str">
        <f>VLOOKUP(E13229,DSSpieler!A:B,2,FALSE)</f>
        <v>Thor Odinson</v>
      </c>
    </row>
    <row r="13230" spans="1:10" x14ac:dyDescent="0.25">
      <c r="A13230">
        <v>14945</v>
      </c>
      <c r="B13230" t="s">
        <v>780</v>
      </c>
      <c r="C13230">
        <v>602</v>
      </c>
      <c r="D13230">
        <v>546</v>
      </c>
      <c r="E13230">
        <v>1577201631</v>
      </c>
      <c r="F13230">
        <v>6189</v>
      </c>
      <c r="G13230">
        <v>0</v>
      </c>
      <c r="H13230" t="s">
        <v>18106</v>
      </c>
      <c r="I13230">
        <v>14945</v>
      </c>
      <c r="J13230" t="str">
        <f>VLOOKUP(E13230,DSSpieler!A:B,2,FALSE)</f>
        <v>Captain Buggy</v>
      </c>
    </row>
    <row r="13231" spans="1:10" x14ac:dyDescent="0.25">
      <c r="A13231">
        <v>14946</v>
      </c>
      <c r="B13231" t="s">
        <v>34996</v>
      </c>
      <c r="C13231">
        <v>593</v>
      </c>
      <c r="D13231">
        <v>431</v>
      </c>
      <c r="E13231">
        <v>1577116127</v>
      </c>
      <c r="F13231">
        <v>2315</v>
      </c>
      <c r="G13231">
        <v>0</v>
      </c>
      <c r="H13231" t="s">
        <v>18107</v>
      </c>
      <c r="I13231">
        <v>14946</v>
      </c>
      <c r="J13231" t="str">
        <f>VLOOKUP(E13231,DSSpieler!A:B,2,FALSE)</f>
        <v>awruK</v>
      </c>
    </row>
    <row r="13232" spans="1:10" x14ac:dyDescent="0.25">
      <c r="A13232">
        <v>14947</v>
      </c>
      <c r="B13232" t="s">
        <v>531</v>
      </c>
      <c r="C13232">
        <v>472</v>
      </c>
      <c r="D13232">
        <v>614</v>
      </c>
      <c r="E13232">
        <v>0</v>
      </c>
      <c r="F13232">
        <v>349</v>
      </c>
      <c r="G13232">
        <v>0</v>
      </c>
      <c r="H13232" t="s">
        <v>18108</v>
      </c>
      <c r="I13232">
        <v>14947</v>
      </c>
      <c r="J13232" t="e">
        <f>VLOOKUP(E13232,DSSpieler!A:B,2,FALSE)</f>
        <v>#N/A</v>
      </c>
    </row>
    <row r="13233" spans="1:10" x14ac:dyDescent="0.25">
      <c r="A13233">
        <v>14948</v>
      </c>
      <c r="B13233" t="s">
        <v>34997</v>
      </c>
      <c r="C13233">
        <v>418</v>
      </c>
      <c r="D13233">
        <v>433</v>
      </c>
      <c r="E13233">
        <v>941519</v>
      </c>
      <c r="F13233">
        <v>1773</v>
      </c>
      <c r="G13233">
        <v>0</v>
      </c>
      <c r="H13233" t="s">
        <v>18109</v>
      </c>
      <c r="I13233">
        <v>14948</v>
      </c>
      <c r="J13233" t="str">
        <f>VLOOKUP(E13233,DSSpieler!A:B,2,FALSE)</f>
        <v>bibi100</v>
      </c>
    </row>
    <row r="13234" spans="1:10" x14ac:dyDescent="0.25">
      <c r="A13234">
        <v>14949</v>
      </c>
      <c r="B13234" t="s">
        <v>2378</v>
      </c>
      <c r="C13234">
        <v>409</v>
      </c>
      <c r="D13234">
        <v>572</v>
      </c>
      <c r="E13234">
        <v>1577201640</v>
      </c>
      <c r="F13234">
        <v>3659</v>
      </c>
      <c r="G13234">
        <v>0</v>
      </c>
      <c r="H13234" t="s">
        <v>18110</v>
      </c>
      <c r="I13234">
        <v>14949</v>
      </c>
      <c r="J13234" t="str">
        <f>VLOOKUP(E13234,DSSpieler!A:B,2,FALSE)</f>
        <v>Kimberly</v>
      </c>
    </row>
    <row r="13235" spans="1:10" x14ac:dyDescent="0.25">
      <c r="A13235">
        <v>14950</v>
      </c>
      <c r="B13235" t="s">
        <v>531</v>
      </c>
      <c r="C13235">
        <v>427</v>
      </c>
      <c r="D13235">
        <v>593</v>
      </c>
      <c r="E13235">
        <v>0</v>
      </c>
      <c r="F13235">
        <v>352</v>
      </c>
      <c r="G13235">
        <v>0</v>
      </c>
      <c r="H13235" t="s">
        <v>18111</v>
      </c>
      <c r="I13235">
        <v>14950</v>
      </c>
      <c r="J13235" t="e">
        <f>VLOOKUP(E13235,DSSpieler!A:B,2,FALSE)</f>
        <v>#N/A</v>
      </c>
    </row>
    <row r="13236" spans="1:10" x14ac:dyDescent="0.25">
      <c r="A13236">
        <v>14951</v>
      </c>
      <c r="B13236" t="s">
        <v>531</v>
      </c>
      <c r="C13236">
        <v>384</v>
      </c>
      <c r="D13236">
        <v>488</v>
      </c>
      <c r="E13236">
        <v>0</v>
      </c>
      <c r="F13236">
        <v>741</v>
      </c>
      <c r="G13236">
        <v>0</v>
      </c>
      <c r="H13236" t="s">
        <v>18112</v>
      </c>
      <c r="I13236">
        <v>14951</v>
      </c>
      <c r="J13236" t="e">
        <f>VLOOKUP(E13236,DSSpieler!A:B,2,FALSE)</f>
        <v>#N/A</v>
      </c>
    </row>
    <row r="13237" spans="1:10" x14ac:dyDescent="0.25">
      <c r="A13237">
        <v>14953</v>
      </c>
      <c r="B13237" t="s">
        <v>531</v>
      </c>
      <c r="C13237">
        <v>418</v>
      </c>
      <c r="D13237">
        <v>580</v>
      </c>
      <c r="E13237">
        <v>0</v>
      </c>
      <c r="F13237">
        <v>482</v>
      </c>
      <c r="G13237">
        <v>0</v>
      </c>
      <c r="H13237" t="s">
        <v>18113</v>
      </c>
      <c r="I13237">
        <v>14953</v>
      </c>
      <c r="J13237" t="e">
        <f>VLOOKUP(E13237,DSSpieler!A:B,2,FALSE)</f>
        <v>#N/A</v>
      </c>
    </row>
    <row r="13238" spans="1:10" x14ac:dyDescent="0.25">
      <c r="A13238">
        <v>14954</v>
      </c>
      <c r="B13238" t="s">
        <v>531</v>
      </c>
      <c r="C13238">
        <v>413</v>
      </c>
      <c r="D13238">
        <v>572</v>
      </c>
      <c r="E13238">
        <v>0</v>
      </c>
      <c r="F13238">
        <v>169</v>
      </c>
      <c r="G13238">
        <v>0</v>
      </c>
      <c r="H13238" t="s">
        <v>18114</v>
      </c>
      <c r="I13238">
        <v>14954</v>
      </c>
      <c r="J13238" t="e">
        <f>VLOOKUP(E13238,DSSpieler!A:B,2,FALSE)</f>
        <v>#N/A</v>
      </c>
    </row>
    <row r="13239" spans="1:10" x14ac:dyDescent="0.25">
      <c r="A13239">
        <v>14955</v>
      </c>
      <c r="B13239" t="s">
        <v>531</v>
      </c>
      <c r="C13239">
        <v>415</v>
      </c>
      <c r="D13239">
        <v>577</v>
      </c>
      <c r="E13239">
        <v>0</v>
      </c>
      <c r="F13239">
        <v>140</v>
      </c>
      <c r="G13239">
        <v>0</v>
      </c>
      <c r="H13239" t="s">
        <v>18115</v>
      </c>
      <c r="I13239">
        <v>14955</v>
      </c>
      <c r="J13239" t="e">
        <f>VLOOKUP(E13239,DSSpieler!A:B,2,FALSE)</f>
        <v>#N/A</v>
      </c>
    </row>
    <row r="13240" spans="1:10" x14ac:dyDescent="0.25">
      <c r="A13240">
        <v>14956</v>
      </c>
      <c r="B13240" t="s">
        <v>531</v>
      </c>
      <c r="C13240">
        <v>602</v>
      </c>
      <c r="D13240">
        <v>556</v>
      </c>
      <c r="E13240">
        <v>0</v>
      </c>
      <c r="F13240">
        <v>212</v>
      </c>
      <c r="G13240">
        <v>0</v>
      </c>
      <c r="H13240" t="s">
        <v>18116</v>
      </c>
      <c r="I13240">
        <v>14956</v>
      </c>
      <c r="J13240" t="e">
        <f>VLOOKUP(E13240,DSSpieler!A:B,2,FALSE)</f>
        <v>#N/A</v>
      </c>
    </row>
    <row r="13241" spans="1:10" x14ac:dyDescent="0.25">
      <c r="A13241">
        <v>14957</v>
      </c>
      <c r="B13241" t="s">
        <v>531</v>
      </c>
      <c r="C13241">
        <v>408</v>
      </c>
      <c r="D13241">
        <v>571</v>
      </c>
      <c r="E13241">
        <v>0</v>
      </c>
      <c r="F13241">
        <v>138</v>
      </c>
      <c r="G13241">
        <v>0</v>
      </c>
      <c r="H13241" t="s">
        <v>18117</v>
      </c>
      <c r="I13241">
        <v>14957</v>
      </c>
      <c r="J13241" t="e">
        <f>VLOOKUP(E13241,DSSpieler!A:B,2,FALSE)</f>
        <v>#N/A</v>
      </c>
    </row>
    <row r="13242" spans="1:10" x14ac:dyDescent="0.25">
      <c r="A13242">
        <v>14958</v>
      </c>
      <c r="B13242" t="s">
        <v>34998</v>
      </c>
      <c r="C13242">
        <v>546</v>
      </c>
      <c r="D13242">
        <v>391</v>
      </c>
      <c r="E13242">
        <v>1576189514</v>
      </c>
      <c r="F13242">
        <v>4017</v>
      </c>
      <c r="G13242">
        <v>0</v>
      </c>
      <c r="H13242" t="s">
        <v>18118</v>
      </c>
      <c r="I13242">
        <v>14958</v>
      </c>
      <c r="J13242" t="str">
        <f>VLOOKUP(E13242,DSSpieler!A:B,2,FALSE)</f>
        <v>Skellofraktur</v>
      </c>
    </row>
    <row r="13243" spans="1:10" x14ac:dyDescent="0.25">
      <c r="A13243">
        <v>14959</v>
      </c>
      <c r="B13243" t="s">
        <v>34999</v>
      </c>
      <c r="C13243">
        <v>478</v>
      </c>
      <c r="D13243">
        <v>617</v>
      </c>
      <c r="E13243">
        <v>7818701</v>
      </c>
      <c r="F13243">
        <v>2586</v>
      </c>
      <c r="G13243">
        <v>0</v>
      </c>
      <c r="H13243" t="s">
        <v>18119</v>
      </c>
      <c r="I13243">
        <v>14959</v>
      </c>
      <c r="J13243" t="str">
        <f>VLOOKUP(E13243,DSSpieler!A:B,2,FALSE)</f>
        <v>Daniel8880</v>
      </c>
    </row>
    <row r="13244" spans="1:10" x14ac:dyDescent="0.25">
      <c r="A13244">
        <v>14960</v>
      </c>
      <c r="B13244" t="s">
        <v>531</v>
      </c>
      <c r="C13244">
        <v>611</v>
      </c>
      <c r="D13244">
        <v>533</v>
      </c>
      <c r="E13244">
        <v>0</v>
      </c>
      <c r="F13244">
        <v>401</v>
      </c>
      <c r="G13244">
        <v>0</v>
      </c>
      <c r="H13244" t="s">
        <v>18120</v>
      </c>
      <c r="I13244">
        <v>14960</v>
      </c>
      <c r="J13244" t="e">
        <f>VLOOKUP(E13244,DSSpieler!A:B,2,FALSE)</f>
        <v>#N/A</v>
      </c>
    </row>
    <row r="13245" spans="1:10" x14ac:dyDescent="0.25">
      <c r="A13245">
        <v>14961</v>
      </c>
      <c r="B13245" t="s">
        <v>531</v>
      </c>
      <c r="C13245">
        <v>443</v>
      </c>
      <c r="D13245">
        <v>601</v>
      </c>
      <c r="E13245">
        <v>0</v>
      </c>
      <c r="F13245">
        <v>1049</v>
      </c>
      <c r="G13245">
        <v>0</v>
      </c>
      <c r="H13245" t="s">
        <v>18121</v>
      </c>
      <c r="I13245">
        <v>14961</v>
      </c>
      <c r="J13245" t="e">
        <f>VLOOKUP(E13245,DSSpieler!A:B,2,FALSE)</f>
        <v>#N/A</v>
      </c>
    </row>
    <row r="13246" spans="1:10" x14ac:dyDescent="0.25">
      <c r="A13246">
        <v>14962</v>
      </c>
      <c r="B13246" t="s">
        <v>531</v>
      </c>
      <c r="C13246">
        <v>522</v>
      </c>
      <c r="D13246">
        <v>611</v>
      </c>
      <c r="E13246">
        <v>0</v>
      </c>
      <c r="F13246">
        <v>396</v>
      </c>
      <c r="G13246">
        <v>0</v>
      </c>
      <c r="H13246" t="s">
        <v>18122</v>
      </c>
      <c r="I13246">
        <v>14962</v>
      </c>
      <c r="J13246" t="e">
        <f>VLOOKUP(E13246,DSSpieler!A:B,2,FALSE)</f>
        <v>#N/A</v>
      </c>
    </row>
    <row r="13247" spans="1:10" x14ac:dyDescent="0.25">
      <c r="A13247">
        <v>14963</v>
      </c>
      <c r="B13247" t="s">
        <v>531</v>
      </c>
      <c r="C13247">
        <v>510</v>
      </c>
      <c r="D13247">
        <v>619</v>
      </c>
      <c r="E13247">
        <v>0</v>
      </c>
      <c r="F13247">
        <v>161</v>
      </c>
      <c r="G13247">
        <v>0</v>
      </c>
      <c r="H13247" t="s">
        <v>18123</v>
      </c>
      <c r="I13247">
        <v>14963</v>
      </c>
      <c r="J13247" t="e">
        <f>VLOOKUP(E13247,DSSpieler!A:B,2,FALSE)</f>
        <v>#N/A</v>
      </c>
    </row>
    <row r="13248" spans="1:10" x14ac:dyDescent="0.25">
      <c r="A13248">
        <v>14964</v>
      </c>
      <c r="B13248" t="s">
        <v>35000</v>
      </c>
      <c r="C13248">
        <v>507</v>
      </c>
      <c r="D13248">
        <v>386</v>
      </c>
      <c r="E13248">
        <v>1577195488</v>
      </c>
      <c r="F13248">
        <v>3915</v>
      </c>
      <c r="G13248">
        <v>0</v>
      </c>
      <c r="H13248" t="s">
        <v>18124</v>
      </c>
      <c r="I13248">
        <v>14964</v>
      </c>
      <c r="J13248" t="str">
        <f>VLOOKUP(E13248,DSSpieler!A:B,2,FALSE)</f>
        <v>Ittai</v>
      </c>
    </row>
    <row r="13249" spans="1:10" x14ac:dyDescent="0.25">
      <c r="A13249">
        <v>14965</v>
      </c>
      <c r="B13249" t="s">
        <v>531</v>
      </c>
      <c r="C13249">
        <v>436</v>
      </c>
      <c r="D13249">
        <v>399</v>
      </c>
      <c r="E13249">
        <v>0</v>
      </c>
      <c r="F13249">
        <v>569</v>
      </c>
      <c r="G13249">
        <v>0</v>
      </c>
      <c r="H13249" t="s">
        <v>18125</v>
      </c>
      <c r="I13249">
        <v>14965</v>
      </c>
      <c r="J13249" t="e">
        <f>VLOOKUP(E13249,DSSpieler!A:B,2,FALSE)</f>
        <v>#N/A</v>
      </c>
    </row>
    <row r="13250" spans="1:10" x14ac:dyDescent="0.25">
      <c r="A13250">
        <v>14966</v>
      </c>
      <c r="B13250" t="s">
        <v>35001</v>
      </c>
      <c r="C13250">
        <v>541</v>
      </c>
      <c r="D13250">
        <v>384</v>
      </c>
      <c r="E13250">
        <v>1577201672</v>
      </c>
      <c r="F13250">
        <v>163</v>
      </c>
      <c r="G13250">
        <v>0</v>
      </c>
      <c r="H13250" t="s">
        <v>18126</v>
      </c>
      <c r="I13250">
        <v>14966</v>
      </c>
      <c r="J13250" t="str">
        <f>VLOOKUP(E13250,DSSpieler!A:B,2,FALSE)</f>
        <v>Saftladen</v>
      </c>
    </row>
    <row r="13251" spans="1:10" x14ac:dyDescent="0.25">
      <c r="A13251">
        <v>14967</v>
      </c>
      <c r="B13251" t="s">
        <v>531</v>
      </c>
      <c r="C13251">
        <v>477</v>
      </c>
      <c r="D13251">
        <v>383</v>
      </c>
      <c r="E13251">
        <v>0</v>
      </c>
      <c r="F13251">
        <v>121</v>
      </c>
      <c r="G13251">
        <v>0</v>
      </c>
      <c r="H13251" t="s">
        <v>18127</v>
      </c>
      <c r="I13251">
        <v>14967</v>
      </c>
      <c r="J13251" t="e">
        <f>VLOOKUP(E13251,DSSpieler!A:B,2,FALSE)</f>
        <v>#N/A</v>
      </c>
    </row>
    <row r="13252" spans="1:10" x14ac:dyDescent="0.25">
      <c r="A13252">
        <v>14968</v>
      </c>
      <c r="B13252" t="s">
        <v>2379</v>
      </c>
      <c r="C13252">
        <v>459</v>
      </c>
      <c r="D13252">
        <v>611</v>
      </c>
      <c r="E13252">
        <v>1576183074</v>
      </c>
      <c r="F13252">
        <v>4711</v>
      </c>
      <c r="G13252">
        <v>0</v>
      </c>
      <c r="H13252" t="s">
        <v>18128</v>
      </c>
      <c r="I13252">
        <v>14968</v>
      </c>
      <c r="J13252" t="str">
        <f>VLOOKUP(E13252,DSSpieler!A:B,2,FALSE)</f>
        <v>KaptainObvious</v>
      </c>
    </row>
    <row r="13253" spans="1:10" x14ac:dyDescent="0.25">
      <c r="A13253">
        <v>14970</v>
      </c>
      <c r="B13253" t="s">
        <v>531</v>
      </c>
      <c r="C13253">
        <v>542</v>
      </c>
      <c r="D13253">
        <v>611</v>
      </c>
      <c r="E13253">
        <v>0</v>
      </c>
      <c r="F13253">
        <v>121</v>
      </c>
      <c r="G13253">
        <v>0</v>
      </c>
      <c r="H13253" t="s">
        <v>18129</v>
      </c>
      <c r="I13253">
        <v>14970</v>
      </c>
      <c r="J13253" t="e">
        <f>VLOOKUP(E13253,DSSpieler!A:B,2,FALSE)</f>
        <v>#N/A</v>
      </c>
    </row>
    <row r="13254" spans="1:10" x14ac:dyDescent="0.25">
      <c r="A13254">
        <v>14971</v>
      </c>
      <c r="B13254">
        <v>3</v>
      </c>
      <c r="C13254">
        <v>392</v>
      </c>
      <c r="D13254">
        <v>458</v>
      </c>
      <c r="E13254">
        <v>1576311874</v>
      </c>
      <c r="F13254">
        <v>3157</v>
      </c>
      <c r="G13254">
        <v>0</v>
      </c>
      <c r="H13254" t="s">
        <v>496</v>
      </c>
      <c r="I13254">
        <v>14971</v>
      </c>
      <c r="J13254" t="str">
        <f>VLOOKUP(E13254,DSSpieler!A:B,2,FALSE)</f>
        <v>Jakob.1</v>
      </c>
    </row>
    <row r="13255" spans="1:10" x14ac:dyDescent="0.25">
      <c r="A13255">
        <v>14972</v>
      </c>
      <c r="B13255" t="s">
        <v>35002</v>
      </c>
      <c r="C13255">
        <v>391</v>
      </c>
      <c r="D13255">
        <v>454</v>
      </c>
      <c r="E13255">
        <v>1577197893</v>
      </c>
      <c r="F13255">
        <v>1582</v>
      </c>
      <c r="G13255">
        <v>0</v>
      </c>
      <c r="H13255" t="s">
        <v>447</v>
      </c>
      <c r="I13255">
        <v>14972</v>
      </c>
      <c r="J13255" t="str">
        <f>VLOOKUP(E13255,DSSpieler!A:B,2,FALSE)</f>
        <v>Greidl</v>
      </c>
    </row>
    <row r="13256" spans="1:10" x14ac:dyDescent="0.25">
      <c r="A13256">
        <v>14973</v>
      </c>
      <c r="B13256" t="s">
        <v>531</v>
      </c>
      <c r="C13256">
        <v>514</v>
      </c>
      <c r="D13256">
        <v>385</v>
      </c>
      <c r="E13256">
        <v>0</v>
      </c>
      <c r="F13256">
        <v>290</v>
      </c>
      <c r="G13256">
        <v>0</v>
      </c>
      <c r="H13256" t="s">
        <v>18130</v>
      </c>
      <c r="I13256">
        <v>14973</v>
      </c>
      <c r="J13256" t="e">
        <f>VLOOKUP(E13256,DSSpieler!A:B,2,FALSE)</f>
        <v>#N/A</v>
      </c>
    </row>
    <row r="13257" spans="1:10" x14ac:dyDescent="0.25">
      <c r="A13257">
        <v>14974</v>
      </c>
      <c r="B13257" t="s">
        <v>35003</v>
      </c>
      <c r="C13257">
        <v>578</v>
      </c>
      <c r="D13257">
        <v>586</v>
      </c>
      <c r="E13257">
        <v>1576664721</v>
      </c>
      <c r="F13257">
        <v>1377</v>
      </c>
      <c r="G13257">
        <v>0</v>
      </c>
      <c r="H13257" t="s">
        <v>18131</v>
      </c>
      <c r="I13257">
        <v>14974</v>
      </c>
      <c r="J13257" t="str">
        <f>VLOOKUP(E13257,DSSpieler!A:B,2,FALSE)</f>
        <v>stuzelchen</v>
      </c>
    </row>
    <row r="13258" spans="1:10" x14ac:dyDescent="0.25">
      <c r="A13258">
        <v>14975</v>
      </c>
      <c r="B13258" t="s">
        <v>35004</v>
      </c>
      <c r="C13258">
        <v>399</v>
      </c>
      <c r="D13258">
        <v>452</v>
      </c>
      <c r="E13258">
        <v>9787214</v>
      </c>
      <c r="F13258">
        <v>5799</v>
      </c>
      <c r="G13258">
        <v>0</v>
      </c>
      <c r="H13258" t="s">
        <v>18132</v>
      </c>
      <c r="I13258">
        <v>14975</v>
      </c>
      <c r="J13258" t="str">
        <f>VLOOKUP(E13258,DSSpieler!A:B,2,FALSE)</f>
        <v>cKiesco</v>
      </c>
    </row>
    <row r="13259" spans="1:10" x14ac:dyDescent="0.25">
      <c r="A13259">
        <v>14977</v>
      </c>
      <c r="B13259" t="s">
        <v>35005</v>
      </c>
      <c r="C13259">
        <v>506</v>
      </c>
      <c r="D13259">
        <v>388</v>
      </c>
      <c r="E13259">
        <v>1577018397</v>
      </c>
      <c r="F13259">
        <v>2023</v>
      </c>
      <c r="G13259">
        <v>0</v>
      </c>
      <c r="H13259" t="s">
        <v>18133</v>
      </c>
      <c r="I13259">
        <v>14977</v>
      </c>
      <c r="J13259" t="str">
        <f>VLOOKUP(E13259,DSSpieler!A:B,2,FALSE)</f>
        <v>Royale22000</v>
      </c>
    </row>
    <row r="13260" spans="1:10" x14ac:dyDescent="0.25">
      <c r="A13260">
        <v>14978</v>
      </c>
      <c r="B13260" t="s">
        <v>33632</v>
      </c>
      <c r="C13260">
        <v>600</v>
      </c>
      <c r="D13260">
        <v>437</v>
      </c>
      <c r="E13260">
        <v>8300935</v>
      </c>
      <c r="F13260">
        <v>5057</v>
      </c>
      <c r="G13260">
        <v>0</v>
      </c>
      <c r="H13260" t="s">
        <v>18134</v>
      </c>
      <c r="I13260">
        <v>14978</v>
      </c>
      <c r="J13260" t="str">
        <f>VLOOKUP(E13260,DSSpieler!A:B,2,FALSE)</f>
        <v>Bashtime?</v>
      </c>
    </row>
    <row r="13261" spans="1:10" x14ac:dyDescent="0.25">
      <c r="A13261">
        <v>14979</v>
      </c>
      <c r="B13261" t="s">
        <v>35006</v>
      </c>
      <c r="C13261">
        <v>564</v>
      </c>
      <c r="D13261">
        <v>599</v>
      </c>
      <c r="E13261">
        <v>1759370</v>
      </c>
      <c r="F13261">
        <v>4617</v>
      </c>
      <c r="G13261">
        <v>0</v>
      </c>
      <c r="H13261" t="s">
        <v>18135</v>
      </c>
      <c r="I13261">
        <v>14979</v>
      </c>
      <c r="J13261" t="str">
        <f>VLOOKUP(E13261,DSSpieler!A:B,2,FALSE)</f>
        <v>Dalledara</v>
      </c>
    </row>
    <row r="13262" spans="1:10" x14ac:dyDescent="0.25">
      <c r="A13262">
        <v>14980</v>
      </c>
      <c r="B13262" t="s">
        <v>35007</v>
      </c>
      <c r="C13262">
        <v>399</v>
      </c>
      <c r="D13262">
        <v>441</v>
      </c>
      <c r="E13262">
        <v>1577188135</v>
      </c>
      <c r="F13262">
        <v>3176</v>
      </c>
      <c r="G13262">
        <v>0</v>
      </c>
      <c r="H13262" t="s">
        <v>18136</v>
      </c>
      <c r="I13262">
        <v>14980</v>
      </c>
      <c r="J13262" t="str">
        <f>VLOOKUP(E13262,DSSpieler!A:B,2,FALSE)</f>
        <v>s1m199</v>
      </c>
    </row>
    <row r="13263" spans="1:10" x14ac:dyDescent="0.25">
      <c r="A13263">
        <v>14981</v>
      </c>
      <c r="B13263" t="s">
        <v>35008</v>
      </c>
      <c r="C13263">
        <v>384</v>
      </c>
      <c r="D13263">
        <v>491</v>
      </c>
      <c r="E13263">
        <v>1576780512</v>
      </c>
      <c r="F13263">
        <v>3511</v>
      </c>
      <c r="G13263">
        <v>0</v>
      </c>
      <c r="H13263" t="s">
        <v>18137</v>
      </c>
      <c r="I13263">
        <v>14981</v>
      </c>
      <c r="J13263" t="str">
        <f>VLOOKUP(E13263,DSSpieler!A:B,2,FALSE)</f>
        <v>WildeWaldelfe</v>
      </c>
    </row>
    <row r="13264" spans="1:10" x14ac:dyDescent="0.25">
      <c r="A13264">
        <v>14982</v>
      </c>
      <c r="B13264" t="s">
        <v>35009</v>
      </c>
      <c r="C13264">
        <v>385</v>
      </c>
      <c r="D13264">
        <v>518</v>
      </c>
      <c r="E13264">
        <v>1577183526</v>
      </c>
      <c r="F13264">
        <v>826</v>
      </c>
      <c r="G13264">
        <v>0</v>
      </c>
      <c r="H13264" t="s">
        <v>18138</v>
      </c>
      <c r="I13264">
        <v>14982</v>
      </c>
      <c r="J13264" t="str">
        <f>VLOOKUP(E13264,DSSpieler!A:B,2,FALSE)</f>
        <v>Almbach</v>
      </c>
    </row>
    <row r="13265" spans="1:10" x14ac:dyDescent="0.25">
      <c r="A13265">
        <v>14983</v>
      </c>
      <c r="B13265">
        <v>1</v>
      </c>
      <c r="C13265">
        <v>391</v>
      </c>
      <c r="D13265">
        <v>452</v>
      </c>
      <c r="E13265">
        <v>1576311874</v>
      </c>
      <c r="F13265">
        <v>4674</v>
      </c>
      <c r="G13265">
        <v>0</v>
      </c>
      <c r="H13265" t="s">
        <v>494</v>
      </c>
      <c r="I13265">
        <v>14983</v>
      </c>
      <c r="J13265" t="str">
        <f>VLOOKUP(E13265,DSSpieler!A:B,2,FALSE)</f>
        <v>Jakob.1</v>
      </c>
    </row>
    <row r="13266" spans="1:10" x14ac:dyDescent="0.25">
      <c r="A13266">
        <v>14984</v>
      </c>
      <c r="B13266" t="s">
        <v>35010</v>
      </c>
      <c r="C13266">
        <v>553</v>
      </c>
      <c r="D13266">
        <v>414</v>
      </c>
      <c r="E13266">
        <v>8505169</v>
      </c>
      <c r="F13266">
        <v>4739</v>
      </c>
      <c r="G13266">
        <v>0</v>
      </c>
      <c r="H13266" t="s">
        <v>18139</v>
      </c>
      <c r="I13266">
        <v>14984</v>
      </c>
      <c r="J13266" t="str">
        <f>VLOOKUP(E13266,DSSpieler!A:B,2,FALSE)</f>
        <v>Platinum74</v>
      </c>
    </row>
    <row r="13267" spans="1:10" x14ac:dyDescent="0.25">
      <c r="A13267">
        <v>14985</v>
      </c>
      <c r="B13267" t="s">
        <v>35011</v>
      </c>
      <c r="C13267">
        <v>610</v>
      </c>
      <c r="D13267">
        <v>510</v>
      </c>
      <c r="E13267">
        <v>1577069886</v>
      </c>
      <c r="F13267">
        <v>1333</v>
      </c>
      <c r="G13267">
        <v>0</v>
      </c>
      <c r="H13267" t="s">
        <v>18140</v>
      </c>
      <c r="I13267">
        <v>14985</v>
      </c>
      <c r="J13267" t="str">
        <f>VLOOKUP(E13267,DSSpieler!A:B,2,FALSE)</f>
        <v>onur3838</v>
      </c>
    </row>
    <row r="13268" spans="1:10" x14ac:dyDescent="0.25">
      <c r="A13268">
        <v>14986</v>
      </c>
      <c r="B13268" t="s">
        <v>531</v>
      </c>
      <c r="C13268">
        <v>475</v>
      </c>
      <c r="D13268">
        <v>388</v>
      </c>
      <c r="E13268">
        <v>0</v>
      </c>
      <c r="F13268">
        <v>282</v>
      </c>
      <c r="G13268">
        <v>0</v>
      </c>
      <c r="H13268" t="s">
        <v>18141</v>
      </c>
      <c r="I13268">
        <v>14986</v>
      </c>
      <c r="J13268" t="e">
        <f>VLOOKUP(E13268,DSSpieler!A:B,2,FALSE)</f>
        <v>#N/A</v>
      </c>
    </row>
    <row r="13269" spans="1:10" x14ac:dyDescent="0.25">
      <c r="A13269">
        <v>14987</v>
      </c>
      <c r="B13269" t="s">
        <v>531</v>
      </c>
      <c r="C13269">
        <v>485</v>
      </c>
      <c r="D13269">
        <v>382</v>
      </c>
      <c r="E13269">
        <v>0</v>
      </c>
      <c r="F13269">
        <v>341</v>
      </c>
      <c r="G13269">
        <v>0</v>
      </c>
      <c r="H13269" t="s">
        <v>18142</v>
      </c>
      <c r="I13269">
        <v>14987</v>
      </c>
      <c r="J13269" t="e">
        <f>VLOOKUP(E13269,DSSpieler!A:B,2,FALSE)</f>
        <v>#N/A</v>
      </c>
    </row>
    <row r="13270" spans="1:10" x14ac:dyDescent="0.25">
      <c r="A13270">
        <v>14988</v>
      </c>
      <c r="B13270" t="s">
        <v>531</v>
      </c>
      <c r="C13270">
        <v>447</v>
      </c>
      <c r="D13270">
        <v>583</v>
      </c>
      <c r="E13270">
        <v>0</v>
      </c>
      <c r="F13270">
        <v>489</v>
      </c>
      <c r="G13270">
        <v>0</v>
      </c>
      <c r="H13270" t="s">
        <v>18143</v>
      </c>
      <c r="I13270">
        <v>14988</v>
      </c>
      <c r="J13270" t="e">
        <f>VLOOKUP(E13270,DSSpieler!A:B,2,FALSE)</f>
        <v>#N/A</v>
      </c>
    </row>
    <row r="13271" spans="1:10" x14ac:dyDescent="0.25">
      <c r="A13271">
        <v>14989</v>
      </c>
      <c r="B13271" t="s">
        <v>531</v>
      </c>
      <c r="C13271">
        <v>437</v>
      </c>
      <c r="D13271">
        <v>404</v>
      </c>
      <c r="E13271">
        <v>0</v>
      </c>
      <c r="F13271">
        <v>274</v>
      </c>
      <c r="G13271">
        <v>0</v>
      </c>
      <c r="H13271" t="s">
        <v>18144</v>
      </c>
      <c r="I13271">
        <v>14989</v>
      </c>
      <c r="J13271" t="e">
        <f>VLOOKUP(E13271,DSSpieler!A:B,2,FALSE)</f>
        <v>#N/A</v>
      </c>
    </row>
    <row r="13272" spans="1:10" x14ac:dyDescent="0.25">
      <c r="A13272">
        <v>14990</v>
      </c>
      <c r="B13272" t="s">
        <v>2380</v>
      </c>
      <c r="C13272">
        <v>384</v>
      </c>
      <c r="D13272">
        <v>501</v>
      </c>
      <c r="E13272">
        <v>1577183594</v>
      </c>
      <c r="F13272">
        <v>4298</v>
      </c>
      <c r="G13272">
        <v>0</v>
      </c>
      <c r="H13272" t="s">
        <v>18145</v>
      </c>
      <c r="I13272">
        <v>14990</v>
      </c>
      <c r="J13272" t="str">
        <f>VLOOKUP(E13272,DSSpieler!A:B,2,FALSE)</f>
        <v>Eule42</v>
      </c>
    </row>
    <row r="13273" spans="1:10" x14ac:dyDescent="0.25">
      <c r="A13273">
        <v>14991</v>
      </c>
      <c r="B13273" t="s">
        <v>531</v>
      </c>
      <c r="C13273">
        <v>617</v>
      </c>
      <c r="D13273">
        <v>478</v>
      </c>
      <c r="E13273">
        <v>0</v>
      </c>
      <c r="F13273">
        <v>319</v>
      </c>
      <c r="G13273">
        <v>0</v>
      </c>
      <c r="H13273" t="s">
        <v>18146</v>
      </c>
      <c r="I13273">
        <v>14991</v>
      </c>
      <c r="J13273" t="e">
        <f>VLOOKUP(E13273,DSSpieler!A:B,2,FALSE)</f>
        <v>#N/A</v>
      </c>
    </row>
    <row r="13274" spans="1:10" x14ac:dyDescent="0.25">
      <c r="A13274">
        <v>14992</v>
      </c>
      <c r="B13274" t="s">
        <v>531</v>
      </c>
      <c r="C13274">
        <v>612</v>
      </c>
      <c r="D13274">
        <v>460</v>
      </c>
      <c r="E13274">
        <v>0</v>
      </c>
      <c r="F13274">
        <v>140</v>
      </c>
      <c r="G13274">
        <v>0</v>
      </c>
      <c r="H13274" t="s">
        <v>18147</v>
      </c>
      <c r="I13274">
        <v>14992</v>
      </c>
      <c r="J13274" t="e">
        <f>VLOOKUP(E13274,DSSpieler!A:B,2,FALSE)</f>
        <v>#N/A</v>
      </c>
    </row>
    <row r="13275" spans="1:10" x14ac:dyDescent="0.25">
      <c r="A13275">
        <v>14993</v>
      </c>
      <c r="B13275" t="s">
        <v>35012</v>
      </c>
      <c r="C13275">
        <v>599</v>
      </c>
      <c r="D13275">
        <v>564</v>
      </c>
      <c r="E13275">
        <v>1577198547</v>
      </c>
      <c r="F13275">
        <v>3408</v>
      </c>
      <c r="G13275">
        <v>0</v>
      </c>
      <c r="H13275" t="s">
        <v>18148</v>
      </c>
      <c r="I13275">
        <v>14993</v>
      </c>
      <c r="J13275" t="str">
        <f>VLOOKUP(E13275,DSSpieler!A:B,2,FALSE)</f>
        <v>blackout.</v>
      </c>
    </row>
    <row r="13276" spans="1:10" x14ac:dyDescent="0.25">
      <c r="A13276">
        <v>14994</v>
      </c>
      <c r="B13276" t="s">
        <v>35013</v>
      </c>
      <c r="C13276">
        <v>577</v>
      </c>
      <c r="D13276">
        <v>589</v>
      </c>
      <c r="E13276">
        <v>2969329</v>
      </c>
      <c r="F13276">
        <v>1323</v>
      </c>
      <c r="G13276">
        <v>0</v>
      </c>
      <c r="H13276" t="s">
        <v>18149</v>
      </c>
      <c r="I13276">
        <v>14994</v>
      </c>
      <c r="J13276" t="str">
        <f>VLOOKUP(E13276,DSSpieler!A:B,2,FALSE)</f>
        <v>Djego66</v>
      </c>
    </row>
    <row r="13277" spans="1:10" x14ac:dyDescent="0.25">
      <c r="A13277">
        <v>14998</v>
      </c>
      <c r="B13277" t="s">
        <v>35014</v>
      </c>
      <c r="C13277">
        <v>390</v>
      </c>
      <c r="D13277">
        <v>464</v>
      </c>
      <c r="E13277">
        <v>1577192142</v>
      </c>
      <c r="F13277">
        <v>4888</v>
      </c>
      <c r="G13277">
        <v>0</v>
      </c>
      <c r="H13277" t="s">
        <v>499</v>
      </c>
      <c r="I13277">
        <v>14998</v>
      </c>
      <c r="J13277" t="str">
        <f>VLOOKUP(E13277,DSSpieler!A:B,2,FALSE)</f>
        <v>Ovii</v>
      </c>
    </row>
    <row r="13278" spans="1:10" x14ac:dyDescent="0.25">
      <c r="A13278">
        <v>14999</v>
      </c>
      <c r="B13278" t="s">
        <v>2381</v>
      </c>
      <c r="C13278">
        <v>386</v>
      </c>
      <c r="D13278">
        <v>482</v>
      </c>
      <c r="E13278">
        <v>1577014267</v>
      </c>
      <c r="F13278">
        <v>1221</v>
      </c>
      <c r="G13278">
        <v>0</v>
      </c>
      <c r="H13278" t="s">
        <v>457</v>
      </c>
      <c r="I13278">
        <v>14999</v>
      </c>
      <c r="J13278" t="str">
        <f>VLOOKUP(E13278,DSSpieler!A:B,2,FALSE)</f>
        <v>Lord keulenkämpfer23</v>
      </c>
    </row>
    <row r="13279" spans="1:10" x14ac:dyDescent="0.25">
      <c r="A13279">
        <v>15000</v>
      </c>
      <c r="B13279" t="s">
        <v>35015</v>
      </c>
      <c r="C13279">
        <v>421</v>
      </c>
      <c r="D13279">
        <v>590</v>
      </c>
      <c r="E13279">
        <v>9418772</v>
      </c>
      <c r="F13279">
        <v>1997</v>
      </c>
      <c r="G13279">
        <v>0</v>
      </c>
      <c r="H13279" t="s">
        <v>18150</v>
      </c>
      <c r="I13279">
        <v>15000</v>
      </c>
      <c r="J13279" t="str">
        <f>VLOOKUP(E13279,DSSpieler!A:B,2,FALSE)</f>
        <v>Karl der Unbeirrbare</v>
      </c>
    </row>
    <row r="13280" spans="1:10" x14ac:dyDescent="0.25">
      <c r="A13280">
        <v>15002</v>
      </c>
      <c r="B13280" t="s">
        <v>2382</v>
      </c>
      <c r="C13280">
        <v>457</v>
      </c>
      <c r="D13280">
        <v>390</v>
      </c>
      <c r="E13280">
        <v>1577186101</v>
      </c>
      <c r="F13280">
        <v>1246</v>
      </c>
      <c r="G13280">
        <v>0</v>
      </c>
      <c r="H13280" t="s">
        <v>18151</v>
      </c>
      <c r="I13280">
        <v>15002</v>
      </c>
      <c r="J13280" t="str">
        <f>VLOOKUP(E13280,DSSpieler!A:B,2,FALSE)</f>
        <v>Talon der Wanderer</v>
      </c>
    </row>
    <row r="13281" spans="1:10" x14ac:dyDescent="0.25">
      <c r="A13281">
        <v>15005</v>
      </c>
      <c r="B13281" t="s">
        <v>531</v>
      </c>
      <c r="C13281">
        <v>526</v>
      </c>
      <c r="D13281">
        <v>387</v>
      </c>
      <c r="E13281">
        <v>0</v>
      </c>
      <c r="F13281">
        <v>257</v>
      </c>
      <c r="G13281">
        <v>0</v>
      </c>
      <c r="H13281" t="s">
        <v>18152</v>
      </c>
      <c r="I13281">
        <v>15005</v>
      </c>
      <c r="J13281" t="e">
        <f>VLOOKUP(E13281,DSSpieler!A:B,2,FALSE)</f>
        <v>#N/A</v>
      </c>
    </row>
    <row r="13282" spans="1:10" x14ac:dyDescent="0.25">
      <c r="A13282">
        <v>15006</v>
      </c>
      <c r="B13282" t="s">
        <v>531</v>
      </c>
      <c r="C13282">
        <v>395</v>
      </c>
      <c r="D13282">
        <v>458</v>
      </c>
      <c r="E13282">
        <v>0</v>
      </c>
      <c r="F13282">
        <v>288</v>
      </c>
      <c r="G13282">
        <v>0</v>
      </c>
      <c r="H13282" t="s">
        <v>18153</v>
      </c>
      <c r="I13282">
        <v>15006</v>
      </c>
      <c r="J13282" t="e">
        <f>VLOOKUP(E13282,DSSpieler!A:B,2,FALSE)</f>
        <v>#N/A</v>
      </c>
    </row>
    <row r="13283" spans="1:10" x14ac:dyDescent="0.25">
      <c r="A13283">
        <v>15007</v>
      </c>
      <c r="B13283" t="s">
        <v>2383</v>
      </c>
      <c r="C13283">
        <v>386</v>
      </c>
      <c r="D13283">
        <v>463</v>
      </c>
      <c r="E13283">
        <v>1577201730</v>
      </c>
      <c r="F13283">
        <v>4959</v>
      </c>
      <c r="G13283">
        <v>0</v>
      </c>
      <c r="H13283" t="s">
        <v>505</v>
      </c>
      <c r="I13283">
        <v>15007</v>
      </c>
      <c r="J13283" t="str">
        <f>VLOOKUP(E13283,DSSpieler!A:B,2,FALSE)</f>
        <v>Kuisil</v>
      </c>
    </row>
    <row r="13284" spans="1:10" x14ac:dyDescent="0.25">
      <c r="A13284">
        <v>15008</v>
      </c>
      <c r="B13284" t="s">
        <v>531</v>
      </c>
      <c r="C13284">
        <v>466</v>
      </c>
      <c r="D13284">
        <v>562</v>
      </c>
      <c r="E13284">
        <v>0</v>
      </c>
      <c r="F13284">
        <v>161</v>
      </c>
      <c r="G13284">
        <v>0</v>
      </c>
      <c r="H13284" t="s">
        <v>18154</v>
      </c>
      <c r="I13284">
        <v>15008</v>
      </c>
      <c r="J13284" t="e">
        <f>VLOOKUP(E13284,DSSpieler!A:B,2,FALSE)</f>
        <v>#N/A</v>
      </c>
    </row>
    <row r="13285" spans="1:10" x14ac:dyDescent="0.25">
      <c r="A13285">
        <v>15010</v>
      </c>
      <c r="B13285" t="s">
        <v>531</v>
      </c>
      <c r="C13285">
        <v>615</v>
      </c>
      <c r="D13285">
        <v>473</v>
      </c>
      <c r="E13285">
        <v>0</v>
      </c>
      <c r="F13285">
        <v>373</v>
      </c>
      <c r="G13285">
        <v>0</v>
      </c>
      <c r="H13285" t="s">
        <v>18155</v>
      </c>
      <c r="I13285">
        <v>15010</v>
      </c>
      <c r="J13285" t="e">
        <f>VLOOKUP(E13285,DSSpieler!A:B,2,FALSE)</f>
        <v>#N/A</v>
      </c>
    </row>
    <row r="13286" spans="1:10" x14ac:dyDescent="0.25">
      <c r="A13286">
        <v>15011</v>
      </c>
      <c r="B13286" t="s">
        <v>531</v>
      </c>
      <c r="C13286">
        <v>386</v>
      </c>
      <c r="D13286">
        <v>474</v>
      </c>
      <c r="E13286">
        <v>0</v>
      </c>
      <c r="F13286">
        <v>63</v>
      </c>
      <c r="G13286">
        <v>0</v>
      </c>
      <c r="H13286" t="s">
        <v>18156</v>
      </c>
      <c r="I13286">
        <v>15011</v>
      </c>
      <c r="J13286" t="e">
        <f>VLOOKUP(E13286,DSSpieler!A:B,2,FALSE)</f>
        <v>#N/A</v>
      </c>
    </row>
    <row r="13287" spans="1:10" x14ac:dyDescent="0.25">
      <c r="A13287">
        <v>15012</v>
      </c>
      <c r="B13287" t="s">
        <v>531</v>
      </c>
      <c r="C13287">
        <v>389</v>
      </c>
      <c r="D13287">
        <v>538</v>
      </c>
      <c r="E13287">
        <v>0</v>
      </c>
      <c r="F13287">
        <v>176</v>
      </c>
      <c r="G13287">
        <v>0</v>
      </c>
      <c r="H13287" t="s">
        <v>18157</v>
      </c>
      <c r="I13287">
        <v>15012</v>
      </c>
      <c r="J13287" t="e">
        <f>VLOOKUP(E13287,DSSpieler!A:B,2,FALSE)</f>
        <v>#N/A</v>
      </c>
    </row>
    <row r="13288" spans="1:10" x14ac:dyDescent="0.25">
      <c r="A13288">
        <v>15014</v>
      </c>
      <c r="B13288">
        <v>4802</v>
      </c>
      <c r="C13288">
        <v>616</v>
      </c>
      <c r="D13288">
        <v>499</v>
      </c>
      <c r="E13288">
        <v>7973746</v>
      </c>
      <c r="F13288">
        <v>4607</v>
      </c>
      <c r="G13288">
        <v>0</v>
      </c>
      <c r="H13288" t="s">
        <v>18158</v>
      </c>
      <c r="I13288">
        <v>15014</v>
      </c>
      <c r="J13288" t="str">
        <f>VLOOKUP(E13288,DSSpieler!A:B,2,FALSE)</f>
        <v>Laky1222</v>
      </c>
    </row>
    <row r="13289" spans="1:10" x14ac:dyDescent="0.25">
      <c r="A13289">
        <v>15016</v>
      </c>
      <c r="B13289" t="s">
        <v>35016</v>
      </c>
      <c r="C13289">
        <v>570</v>
      </c>
      <c r="D13289">
        <v>593</v>
      </c>
      <c r="E13289">
        <v>1576867434</v>
      </c>
      <c r="F13289">
        <v>1600</v>
      </c>
      <c r="G13289">
        <v>0</v>
      </c>
      <c r="H13289" t="s">
        <v>18159</v>
      </c>
      <c r="I13289">
        <v>15016</v>
      </c>
      <c r="J13289" t="str">
        <f>VLOOKUP(E13289,DSSpieler!A:B,2,FALSE)</f>
        <v>CommanderLarry</v>
      </c>
    </row>
    <row r="13290" spans="1:10" x14ac:dyDescent="0.25">
      <c r="A13290">
        <v>15018</v>
      </c>
      <c r="B13290">
        <v>3</v>
      </c>
      <c r="C13290">
        <v>465</v>
      </c>
      <c r="D13290">
        <v>389</v>
      </c>
      <c r="E13290">
        <v>1576948132</v>
      </c>
      <c r="F13290">
        <v>2846</v>
      </c>
      <c r="G13290">
        <v>0</v>
      </c>
      <c r="H13290" t="s">
        <v>18160</v>
      </c>
      <c r="I13290">
        <v>15018</v>
      </c>
      <c r="J13290" t="str">
        <f>VLOOKUP(E13290,DSSpieler!A:B,2,FALSE)</f>
        <v>NoSkill justLuck</v>
      </c>
    </row>
    <row r="13291" spans="1:10" x14ac:dyDescent="0.25">
      <c r="A13291">
        <v>15019</v>
      </c>
      <c r="B13291" t="s">
        <v>531</v>
      </c>
      <c r="C13291">
        <v>429</v>
      </c>
      <c r="D13291">
        <v>579</v>
      </c>
      <c r="E13291">
        <v>0</v>
      </c>
      <c r="F13291">
        <v>265</v>
      </c>
      <c r="G13291">
        <v>0</v>
      </c>
      <c r="H13291" t="s">
        <v>18161</v>
      </c>
      <c r="I13291">
        <v>15019</v>
      </c>
      <c r="J13291" t="e">
        <f>VLOOKUP(E13291,DSSpieler!A:B,2,FALSE)</f>
        <v>#N/A</v>
      </c>
    </row>
    <row r="13292" spans="1:10" x14ac:dyDescent="0.25">
      <c r="A13292">
        <v>15021</v>
      </c>
      <c r="B13292" t="s">
        <v>531</v>
      </c>
      <c r="C13292">
        <v>390</v>
      </c>
      <c r="D13292">
        <v>461</v>
      </c>
      <c r="E13292">
        <v>0</v>
      </c>
      <c r="F13292">
        <v>172</v>
      </c>
      <c r="G13292">
        <v>0</v>
      </c>
      <c r="H13292" t="s">
        <v>18162</v>
      </c>
      <c r="I13292">
        <v>15021</v>
      </c>
      <c r="J13292" t="e">
        <f>VLOOKUP(E13292,DSSpieler!A:B,2,FALSE)</f>
        <v>#N/A</v>
      </c>
    </row>
    <row r="13293" spans="1:10" x14ac:dyDescent="0.25">
      <c r="A13293">
        <v>15022</v>
      </c>
      <c r="B13293" t="s">
        <v>2384</v>
      </c>
      <c r="C13293">
        <v>382</v>
      </c>
      <c r="D13293">
        <v>512</v>
      </c>
      <c r="E13293">
        <v>1577199823</v>
      </c>
      <c r="F13293">
        <v>4088</v>
      </c>
      <c r="G13293">
        <v>0</v>
      </c>
      <c r="H13293" t="s">
        <v>18163</v>
      </c>
      <c r="I13293">
        <v>15022</v>
      </c>
      <c r="J13293" t="str">
        <f>VLOOKUP(E13293,DSSpieler!A:B,2,FALSE)</f>
        <v>Rico90</v>
      </c>
    </row>
    <row r="13294" spans="1:10" x14ac:dyDescent="0.25">
      <c r="A13294">
        <v>15023</v>
      </c>
      <c r="B13294" t="s">
        <v>531</v>
      </c>
      <c r="C13294">
        <v>490</v>
      </c>
      <c r="D13294">
        <v>386</v>
      </c>
      <c r="E13294">
        <v>0</v>
      </c>
      <c r="F13294">
        <v>152</v>
      </c>
      <c r="G13294">
        <v>0</v>
      </c>
      <c r="H13294" t="s">
        <v>18164</v>
      </c>
      <c r="I13294">
        <v>15023</v>
      </c>
      <c r="J13294" t="e">
        <f>VLOOKUP(E13294,DSSpieler!A:B,2,FALSE)</f>
        <v>#N/A</v>
      </c>
    </row>
    <row r="13295" spans="1:10" x14ac:dyDescent="0.25">
      <c r="A13295">
        <v>15024</v>
      </c>
      <c r="B13295" t="s">
        <v>531</v>
      </c>
      <c r="C13295">
        <v>600</v>
      </c>
      <c r="D13295">
        <v>436</v>
      </c>
      <c r="E13295">
        <v>0</v>
      </c>
      <c r="F13295">
        <v>252</v>
      </c>
      <c r="G13295">
        <v>0</v>
      </c>
      <c r="H13295" t="s">
        <v>18165</v>
      </c>
      <c r="I13295">
        <v>15024</v>
      </c>
      <c r="J13295" t="e">
        <f>VLOOKUP(E13295,DSSpieler!A:B,2,FALSE)</f>
        <v>#N/A</v>
      </c>
    </row>
    <row r="13296" spans="1:10" x14ac:dyDescent="0.25">
      <c r="A13296">
        <v>15025</v>
      </c>
      <c r="B13296" t="s">
        <v>35017</v>
      </c>
      <c r="C13296">
        <v>617</v>
      </c>
      <c r="D13296">
        <v>529</v>
      </c>
      <c r="E13296">
        <v>10167441</v>
      </c>
      <c r="F13296">
        <v>5323</v>
      </c>
      <c r="G13296">
        <v>0</v>
      </c>
      <c r="H13296" t="s">
        <v>18166</v>
      </c>
      <c r="I13296">
        <v>15025</v>
      </c>
      <c r="J13296" t="str">
        <f>VLOOKUP(E13296,DSSpieler!A:B,2,FALSE)</f>
        <v>Didek</v>
      </c>
    </row>
    <row r="13297" spans="1:10" x14ac:dyDescent="0.25">
      <c r="A13297">
        <v>15026</v>
      </c>
      <c r="B13297" t="s">
        <v>531</v>
      </c>
      <c r="C13297">
        <v>405</v>
      </c>
      <c r="D13297">
        <v>434</v>
      </c>
      <c r="E13297">
        <v>0</v>
      </c>
      <c r="F13297">
        <v>237</v>
      </c>
      <c r="G13297">
        <v>0</v>
      </c>
      <c r="H13297" t="s">
        <v>18167</v>
      </c>
      <c r="I13297">
        <v>15026</v>
      </c>
      <c r="J13297" t="e">
        <f>VLOOKUP(E13297,DSSpieler!A:B,2,FALSE)</f>
        <v>#N/A</v>
      </c>
    </row>
    <row r="13298" spans="1:10" x14ac:dyDescent="0.25">
      <c r="A13298">
        <v>15027</v>
      </c>
      <c r="B13298" t="s">
        <v>531</v>
      </c>
      <c r="C13298">
        <v>382</v>
      </c>
      <c r="D13298">
        <v>507</v>
      </c>
      <c r="E13298">
        <v>0</v>
      </c>
      <c r="F13298">
        <v>417</v>
      </c>
      <c r="G13298">
        <v>0</v>
      </c>
      <c r="H13298" t="s">
        <v>18168</v>
      </c>
      <c r="I13298">
        <v>15027</v>
      </c>
      <c r="J13298" t="e">
        <f>VLOOKUP(E13298,DSSpieler!A:B,2,FALSE)</f>
        <v>#N/A</v>
      </c>
    </row>
    <row r="13299" spans="1:10" x14ac:dyDescent="0.25">
      <c r="A13299">
        <v>15028</v>
      </c>
      <c r="B13299" t="s">
        <v>35018</v>
      </c>
      <c r="C13299">
        <v>469</v>
      </c>
      <c r="D13299">
        <v>388</v>
      </c>
      <c r="E13299">
        <v>1577201713</v>
      </c>
      <c r="F13299">
        <v>51</v>
      </c>
      <c r="G13299">
        <v>0</v>
      </c>
      <c r="H13299" t="s">
        <v>18169</v>
      </c>
      <c r="I13299">
        <v>15028</v>
      </c>
      <c r="J13299" t="str">
        <f>VLOOKUP(E13299,DSSpieler!A:B,2,FALSE)</f>
        <v>torvinho</v>
      </c>
    </row>
    <row r="13300" spans="1:10" x14ac:dyDescent="0.25">
      <c r="A13300">
        <v>15029</v>
      </c>
      <c r="B13300" t="s">
        <v>531</v>
      </c>
      <c r="C13300">
        <v>596</v>
      </c>
      <c r="D13300">
        <v>571</v>
      </c>
      <c r="E13300">
        <v>0</v>
      </c>
      <c r="F13300">
        <v>1346</v>
      </c>
      <c r="G13300">
        <v>0</v>
      </c>
      <c r="H13300" t="s">
        <v>18170</v>
      </c>
      <c r="I13300">
        <v>15029</v>
      </c>
      <c r="J13300" t="e">
        <f>VLOOKUP(E13300,DSSpieler!A:B,2,FALSE)</f>
        <v>#N/A</v>
      </c>
    </row>
    <row r="13301" spans="1:10" x14ac:dyDescent="0.25">
      <c r="A13301">
        <v>15030</v>
      </c>
      <c r="B13301" t="s">
        <v>35019</v>
      </c>
      <c r="C13301">
        <v>610</v>
      </c>
      <c r="D13301">
        <v>459</v>
      </c>
      <c r="E13301">
        <v>1577181917</v>
      </c>
      <c r="F13301">
        <v>113</v>
      </c>
      <c r="G13301">
        <v>0</v>
      </c>
      <c r="H13301" t="s">
        <v>18171</v>
      </c>
      <c r="I13301">
        <v>15030</v>
      </c>
      <c r="J13301" t="str">
        <f>VLOOKUP(E13301,DSSpieler!A:B,2,FALSE)</f>
        <v>Napoleon66</v>
      </c>
    </row>
    <row r="13302" spans="1:10" x14ac:dyDescent="0.25">
      <c r="A13302">
        <v>15031</v>
      </c>
      <c r="B13302" t="s">
        <v>531</v>
      </c>
      <c r="C13302">
        <v>523</v>
      </c>
      <c r="D13302">
        <v>617</v>
      </c>
      <c r="E13302">
        <v>0</v>
      </c>
      <c r="F13302">
        <v>261</v>
      </c>
      <c r="G13302">
        <v>0</v>
      </c>
      <c r="H13302" t="s">
        <v>18172</v>
      </c>
      <c r="I13302">
        <v>15031</v>
      </c>
      <c r="J13302" t="e">
        <f>VLOOKUP(E13302,DSSpieler!A:B,2,FALSE)</f>
        <v>#N/A</v>
      </c>
    </row>
    <row r="13303" spans="1:10" x14ac:dyDescent="0.25">
      <c r="A13303">
        <v>15033</v>
      </c>
      <c r="B13303" t="s">
        <v>531</v>
      </c>
      <c r="C13303">
        <v>555</v>
      </c>
      <c r="D13303">
        <v>606</v>
      </c>
      <c r="E13303">
        <v>0</v>
      </c>
      <c r="F13303">
        <v>250</v>
      </c>
      <c r="G13303">
        <v>0</v>
      </c>
      <c r="H13303" t="s">
        <v>18173</v>
      </c>
      <c r="I13303">
        <v>15033</v>
      </c>
      <c r="J13303" t="e">
        <f>VLOOKUP(E13303,DSSpieler!A:B,2,FALSE)</f>
        <v>#N/A</v>
      </c>
    </row>
    <row r="13304" spans="1:10" x14ac:dyDescent="0.25">
      <c r="A13304">
        <v>15035</v>
      </c>
      <c r="B13304" t="s">
        <v>35020</v>
      </c>
      <c r="C13304">
        <v>568</v>
      </c>
      <c r="D13304">
        <v>596</v>
      </c>
      <c r="E13304">
        <v>81115</v>
      </c>
      <c r="F13304">
        <v>1357</v>
      </c>
      <c r="G13304">
        <v>0</v>
      </c>
      <c r="H13304" t="s">
        <v>18174</v>
      </c>
      <c r="I13304">
        <v>15035</v>
      </c>
      <c r="J13304" t="str">
        <f>VLOOKUP(E13304,DSSpieler!A:B,2,FALSE)</f>
        <v>Floridus</v>
      </c>
    </row>
    <row r="13305" spans="1:10" x14ac:dyDescent="0.25">
      <c r="A13305">
        <v>15036</v>
      </c>
      <c r="B13305">
        <v>1</v>
      </c>
      <c r="C13305">
        <v>383</v>
      </c>
      <c r="D13305">
        <v>520</v>
      </c>
      <c r="E13305">
        <v>1576438900</v>
      </c>
      <c r="F13305">
        <v>1261</v>
      </c>
      <c r="G13305">
        <v>0</v>
      </c>
      <c r="H13305" t="s">
        <v>18175</v>
      </c>
      <c r="I13305">
        <v>15036</v>
      </c>
      <c r="J13305" t="str">
        <f>VLOOKUP(E13305,DSSpieler!A:B,2,FALSE)</f>
        <v>El-chefo-Hias</v>
      </c>
    </row>
    <row r="13306" spans="1:10" x14ac:dyDescent="0.25">
      <c r="A13306">
        <v>15037</v>
      </c>
      <c r="B13306" t="s">
        <v>531</v>
      </c>
      <c r="C13306">
        <v>385</v>
      </c>
      <c r="D13306">
        <v>494</v>
      </c>
      <c r="E13306">
        <v>0</v>
      </c>
      <c r="F13306">
        <v>213</v>
      </c>
      <c r="G13306">
        <v>0</v>
      </c>
      <c r="H13306" t="s">
        <v>18176</v>
      </c>
      <c r="I13306">
        <v>15037</v>
      </c>
      <c r="J13306" t="e">
        <f>VLOOKUP(E13306,DSSpieler!A:B,2,FALSE)</f>
        <v>#N/A</v>
      </c>
    </row>
    <row r="13307" spans="1:10" x14ac:dyDescent="0.25">
      <c r="A13307">
        <v>15038</v>
      </c>
      <c r="B13307" t="s">
        <v>531</v>
      </c>
      <c r="C13307">
        <v>523</v>
      </c>
      <c r="D13307">
        <v>384</v>
      </c>
      <c r="E13307">
        <v>0</v>
      </c>
      <c r="F13307">
        <v>134</v>
      </c>
      <c r="G13307">
        <v>0</v>
      </c>
      <c r="H13307" t="s">
        <v>18177</v>
      </c>
      <c r="I13307">
        <v>15038</v>
      </c>
      <c r="J13307" t="e">
        <f>VLOOKUP(E13307,DSSpieler!A:B,2,FALSE)</f>
        <v>#N/A</v>
      </c>
    </row>
    <row r="13308" spans="1:10" x14ac:dyDescent="0.25">
      <c r="A13308">
        <v>15039</v>
      </c>
      <c r="B13308" t="s">
        <v>31536</v>
      </c>
      <c r="C13308">
        <v>595</v>
      </c>
      <c r="D13308">
        <v>428</v>
      </c>
      <c r="E13308">
        <v>1577127638</v>
      </c>
      <c r="F13308">
        <v>4658</v>
      </c>
      <c r="G13308">
        <v>0</v>
      </c>
      <c r="H13308" t="s">
        <v>18178</v>
      </c>
      <c r="I13308">
        <v>15039</v>
      </c>
      <c r="J13308" t="str">
        <f>VLOOKUP(E13308,DSSpieler!A:B,2,FALSE)</f>
        <v>dirtymonkey</v>
      </c>
    </row>
    <row r="13309" spans="1:10" x14ac:dyDescent="0.25">
      <c r="A13309">
        <v>15040</v>
      </c>
      <c r="B13309" t="s">
        <v>2385</v>
      </c>
      <c r="C13309">
        <v>470</v>
      </c>
      <c r="D13309">
        <v>385</v>
      </c>
      <c r="E13309">
        <v>1577201526</v>
      </c>
      <c r="F13309">
        <v>2675</v>
      </c>
      <c r="G13309">
        <v>0</v>
      </c>
      <c r="H13309" t="s">
        <v>18179</v>
      </c>
      <c r="I13309">
        <v>15040</v>
      </c>
      <c r="J13309" t="str">
        <f>VLOOKUP(E13309,DSSpieler!A:B,2,FALSE)</f>
        <v>Vurok</v>
      </c>
    </row>
    <row r="13310" spans="1:10" x14ac:dyDescent="0.25">
      <c r="A13310">
        <v>15042</v>
      </c>
      <c r="B13310" t="s">
        <v>531</v>
      </c>
      <c r="C13310">
        <v>533</v>
      </c>
      <c r="D13310">
        <v>614</v>
      </c>
      <c r="E13310">
        <v>1577198435</v>
      </c>
      <c r="F13310">
        <v>3580</v>
      </c>
      <c r="G13310">
        <v>0</v>
      </c>
      <c r="H13310" t="s">
        <v>18180</v>
      </c>
      <c r="I13310">
        <v>15042</v>
      </c>
      <c r="J13310" t="str">
        <f>VLOOKUP(E13310,DSSpieler!A:B,2,FALSE)</f>
        <v>redien</v>
      </c>
    </row>
    <row r="13311" spans="1:10" x14ac:dyDescent="0.25">
      <c r="A13311">
        <v>15043</v>
      </c>
      <c r="B13311" t="s">
        <v>35021</v>
      </c>
      <c r="C13311">
        <v>568</v>
      </c>
      <c r="D13311">
        <v>406</v>
      </c>
      <c r="E13311">
        <v>1577201776</v>
      </c>
      <c r="F13311">
        <v>2407</v>
      </c>
      <c r="G13311">
        <v>0</v>
      </c>
      <c r="H13311" t="s">
        <v>18181</v>
      </c>
      <c r="I13311">
        <v>15043</v>
      </c>
      <c r="J13311" t="str">
        <f>VLOOKUP(E13311,DSSpieler!A:B,2,FALSE)</f>
        <v>mifry</v>
      </c>
    </row>
    <row r="13312" spans="1:10" x14ac:dyDescent="0.25">
      <c r="A13312">
        <v>15045</v>
      </c>
      <c r="B13312" t="s">
        <v>531</v>
      </c>
      <c r="C13312">
        <v>529</v>
      </c>
      <c r="D13312">
        <v>614</v>
      </c>
      <c r="E13312">
        <v>0</v>
      </c>
      <c r="F13312">
        <v>350</v>
      </c>
      <c r="G13312">
        <v>0</v>
      </c>
      <c r="H13312" t="s">
        <v>18182</v>
      </c>
      <c r="I13312">
        <v>15045</v>
      </c>
      <c r="J13312" t="e">
        <f>VLOOKUP(E13312,DSSpieler!A:B,2,FALSE)</f>
        <v>#N/A</v>
      </c>
    </row>
    <row r="13313" spans="1:10" x14ac:dyDescent="0.25">
      <c r="A13313">
        <v>15046</v>
      </c>
      <c r="B13313" t="s">
        <v>531</v>
      </c>
      <c r="C13313">
        <v>543</v>
      </c>
      <c r="D13313">
        <v>389</v>
      </c>
      <c r="E13313">
        <v>0</v>
      </c>
      <c r="F13313">
        <v>150</v>
      </c>
      <c r="G13313">
        <v>0</v>
      </c>
      <c r="H13313" t="s">
        <v>18183</v>
      </c>
      <c r="I13313">
        <v>15046</v>
      </c>
      <c r="J13313" t="e">
        <f>VLOOKUP(E13313,DSSpieler!A:B,2,FALSE)</f>
        <v>#N/A</v>
      </c>
    </row>
    <row r="13314" spans="1:10" x14ac:dyDescent="0.25">
      <c r="A13314">
        <v>15047</v>
      </c>
      <c r="B13314" t="s">
        <v>35022</v>
      </c>
      <c r="C13314">
        <v>574</v>
      </c>
      <c r="D13314">
        <v>449</v>
      </c>
      <c r="E13314">
        <v>1577172923</v>
      </c>
      <c r="F13314">
        <v>5426</v>
      </c>
      <c r="G13314">
        <v>0</v>
      </c>
      <c r="H13314" t="s">
        <v>18184</v>
      </c>
      <c r="I13314">
        <v>15047</v>
      </c>
      <c r="J13314" t="str">
        <f>VLOOKUP(E13314,DSSpieler!A:B,2,FALSE)</f>
        <v>Kemperatze</v>
      </c>
    </row>
    <row r="13315" spans="1:10" x14ac:dyDescent="0.25">
      <c r="A13315">
        <v>15048</v>
      </c>
      <c r="B13315" t="s">
        <v>531</v>
      </c>
      <c r="C13315">
        <v>597</v>
      </c>
      <c r="D13315">
        <v>566</v>
      </c>
      <c r="E13315">
        <v>0</v>
      </c>
      <c r="F13315">
        <v>172</v>
      </c>
      <c r="G13315">
        <v>0</v>
      </c>
      <c r="H13315" t="s">
        <v>18185</v>
      </c>
      <c r="I13315">
        <v>15048</v>
      </c>
      <c r="J13315" t="e">
        <f>VLOOKUP(E13315,DSSpieler!A:B,2,FALSE)</f>
        <v>#N/A</v>
      </c>
    </row>
    <row r="13316" spans="1:10" x14ac:dyDescent="0.25">
      <c r="A13316">
        <v>15050</v>
      </c>
      <c r="B13316" t="s">
        <v>531</v>
      </c>
      <c r="C13316">
        <v>492</v>
      </c>
      <c r="D13316">
        <v>619</v>
      </c>
      <c r="E13316">
        <v>0</v>
      </c>
      <c r="F13316">
        <v>294</v>
      </c>
      <c r="G13316">
        <v>0</v>
      </c>
      <c r="H13316" t="s">
        <v>18186</v>
      </c>
      <c r="I13316">
        <v>15050</v>
      </c>
      <c r="J13316" t="e">
        <f>VLOOKUP(E13316,DSSpieler!A:B,2,FALSE)</f>
        <v>#N/A</v>
      </c>
    </row>
    <row r="13317" spans="1:10" x14ac:dyDescent="0.25">
      <c r="A13317">
        <v>15051</v>
      </c>
      <c r="B13317" t="s">
        <v>531</v>
      </c>
      <c r="C13317">
        <v>489</v>
      </c>
      <c r="D13317">
        <v>617</v>
      </c>
      <c r="E13317">
        <v>0</v>
      </c>
      <c r="F13317">
        <v>139</v>
      </c>
      <c r="G13317">
        <v>0</v>
      </c>
      <c r="H13317" t="s">
        <v>18187</v>
      </c>
      <c r="I13317">
        <v>15051</v>
      </c>
      <c r="J13317" t="e">
        <f>VLOOKUP(E13317,DSSpieler!A:B,2,FALSE)</f>
        <v>#N/A</v>
      </c>
    </row>
    <row r="13318" spans="1:10" x14ac:dyDescent="0.25">
      <c r="A13318">
        <v>15052</v>
      </c>
      <c r="B13318" t="s">
        <v>531</v>
      </c>
      <c r="C13318">
        <v>456</v>
      </c>
      <c r="D13318">
        <v>606</v>
      </c>
      <c r="E13318">
        <v>0</v>
      </c>
      <c r="F13318">
        <v>122</v>
      </c>
      <c r="G13318">
        <v>0</v>
      </c>
      <c r="H13318" t="s">
        <v>18188</v>
      </c>
      <c r="I13318">
        <v>15052</v>
      </c>
      <c r="J13318" t="e">
        <f>VLOOKUP(E13318,DSSpieler!A:B,2,FALSE)</f>
        <v>#N/A</v>
      </c>
    </row>
    <row r="13319" spans="1:10" x14ac:dyDescent="0.25">
      <c r="A13319">
        <v>15053</v>
      </c>
      <c r="B13319" t="s">
        <v>35023</v>
      </c>
      <c r="C13319">
        <v>483</v>
      </c>
      <c r="D13319">
        <v>385</v>
      </c>
      <c r="E13319">
        <v>1577201794</v>
      </c>
      <c r="F13319">
        <v>4661</v>
      </c>
      <c r="G13319">
        <v>0</v>
      </c>
      <c r="H13319" t="s">
        <v>18189</v>
      </c>
      <c r="I13319">
        <v>15053</v>
      </c>
      <c r="J13319" t="str">
        <f>VLOOKUP(E13319,DSSpieler!A:B,2,FALSE)</f>
        <v>Sir vom Sieg</v>
      </c>
    </row>
    <row r="13320" spans="1:10" x14ac:dyDescent="0.25">
      <c r="A13320">
        <v>15054</v>
      </c>
      <c r="B13320" t="s">
        <v>531</v>
      </c>
      <c r="C13320">
        <v>412</v>
      </c>
      <c r="D13320">
        <v>427</v>
      </c>
      <c r="E13320">
        <v>0</v>
      </c>
      <c r="F13320">
        <v>343</v>
      </c>
      <c r="G13320">
        <v>0</v>
      </c>
      <c r="H13320" t="s">
        <v>18190</v>
      </c>
      <c r="I13320">
        <v>15054</v>
      </c>
      <c r="J13320" t="e">
        <f>VLOOKUP(E13320,DSSpieler!A:B,2,FALSE)</f>
        <v>#N/A</v>
      </c>
    </row>
    <row r="13321" spans="1:10" x14ac:dyDescent="0.25">
      <c r="A13321">
        <v>15055</v>
      </c>
      <c r="B13321" t="s">
        <v>35024</v>
      </c>
      <c r="C13321">
        <v>491</v>
      </c>
      <c r="D13321">
        <v>381</v>
      </c>
      <c r="E13321">
        <v>1576779265</v>
      </c>
      <c r="F13321">
        <v>5633</v>
      </c>
      <c r="G13321">
        <v>0</v>
      </c>
      <c r="H13321" t="s">
        <v>18191</v>
      </c>
      <c r="I13321">
        <v>15055</v>
      </c>
      <c r="J13321" t="str">
        <f>VLOOKUP(E13321,DSSpieler!A:B,2,FALSE)</f>
        <v>Sir Feldherr</v>
      </c>
    </row>
    <row r="13322" spans="1:10" x14ac:dyDescent="0.25">
      <c r="A13322">
        <v>15056</v>
      </c>
      <c r="B13322" t="s">
        <v>531</v>
      </c>
      <c r="C13322">
        <v>387</v>
      </c>
      <c r="D13322">
        <v>461</v>
      </c>
      <c r="E13322">
        <v>0</v>
      </c>
      <c r="F13322">
        <v>214</v>
      </c>
      <c r="G13322">
        <v>0</v>
      </c>
      <c r="H13322" t="s">
        <v>18192</v>
      </c>
      <c r="I13322">
        <v>15056</v>
      </c>
      <c r="J13322" t="e">
        <f>VLOOKUP(E13322,DSSpieler!A:B,2,FALSE)</f>
        <v>#N/A</v>
      </c>
    </row>
    <row r="13323" spans="1:10" x14ac:dyDescent="0.25">
      <c r="A13323">
        <v>15057</v>
      </c>
      <c r="B13323" t="s">
        <v>531</v>
      </c>
      <c r="C13323">
        <v>435</v>
      </c>
      <c r="D13323">
        <v>414</v>
      </c>
      <c r="E13323">
        <v>0</v>
      </c>
      <c r="F13323">
        <v>262</v>
      </c>
      <c r="G13323">
        <v>0</v>
      </c>
      <c r="H13323" t="s">
        <v>18193</v>
      </c>
      <c r="I13323">
        <v>15057</v>
      </c>
      <c r="J13323" t="e">
        <f>VLOOKUP(E13323,DSSpieler!A:B,2,FALSE)</f>
        <v>#N/A</v>
      </c>
    </row>
    <row r="13324" spans="1:10" x14ac:dyDescent="0.25">
      <c r="A13324">
        <v>15058</v>
      </c>
      <c r="B13324" t="s">
        <v>531</v>
      </c>
      <c r="C13324">
        <v>496</v>
      </c>
      <c r="D13324">
        <v>618</v>
      </c>
      <c r="E13324">
        <v>0</v>
      </c>
      <c r="F13324">
        <v>204</v>
      </c>
      <c r="G13324">
        <v>0</v>
      </c>
      <c r="H13324" t="s">
        <v>18194</v>
      </c>
      <c r="I13324">
        <v>15058</v>
      </c>
      <c r="J13324" t="e">
        <f>VLOOKUP(E13324,DSSpieler!A:B,2,FALSE)</f>
        <v>#N/A</v>
      </c>
    </row>
    <row r="13325" spans="1:10" x14ac:dyDescent="0.25">
      <c r="A13325">
        <v>15059</v>
      </c>
      <c r="B13325">
        <v>3</v>
      </c>
      <c r="C13325">
        <v>466</v>
      </c>
      <c r="D13325">
        <v>611</v>
      </c>
      <c r="E13325">
        <v>3269983</v>
      </c>
      <c r="F13325">
        <v>3251</v>
      </c>
      <c r="G13325">
        <v>0</v>
      </c>
      <c r="H13325" t="s">
        <v>18195</v>
      </c>
      <c r="I13325">
        <v>15059</v>
      </c>
      <c r="J13325" t="str">
        <f>VLOOKUP(E13325,DSSpieler!A:B,2,FALSE)</f>
        <v>SvenC@</v>
      </c>
    </row>
    <row r="13326" spans="1:10" x14ac:dyDescent="0.25">
      <c r="A13326">
        <v>15060</v>
      </c>
      <c r="B13326" t="s">
        <v>35025</v>
      </c>
      <c r="C13326">
        <v>579</v>
      </c>
      <c r="D13326">
        <v>467</v>
      </c>
      <c r="E13326">
        <v>1577197727</v>
      </c>
      <c r="F13326">
        <v>3720</v>
      </c>
      <c r="G13326">
        <v>0</v>
      </c>
      <c r="H13326" t="s">
        <v>18196</v>
      </c>
      <c r="I13326">
        <v>15060</v>
      </c>
      <c r="J13326" t="str">
        <f>VLOOKUP(E13326,DSSpieler!A:B,2,FALSE)</f>
        <v>Korir</v>
      </c>
    </row>
    <row r="13327" spans="1:10" x14ac:dyDescent="0.25">
      <c r="A13327">
        <v>15061</v>
      </c>
      <c r="B13327" t="s">
        <v>531</v>
      </c>
      <c r="C13327">
        <v>580</v>
      </c>
      <c r="D13327">
        <v>584</v>
      </c>
      <c r="E13327">
        <v>0</v>
      </c>
      <c r="F13327">
        <v>198</v>
      </c>
      <c r="G13327">
        <v>0</v>
      </c>
      <c r="H13327" t="s">
        <v>18197</v>
      </c>
      <c r="I13327">
        <v>15061</v>
      </c>
      <c r="J13327" t="e">
        <f>VLOOKUP(E13327,DSSpieler!A:B,2,FALSE)</f>
        <v>#N/A</v>
      </c>
    </row>
    <row r="13328" spans="1:10" x14ac:dyDescent="0.25">
      <c r="A13328">
        <v>15062</v>
      </c>
      <c r="B13328" t="s">
        <v>531</v>
      </c>
      <c r="C13328">
        <v>578</v>
      </c>
      <c r="D13328">
        <v>569</v>
      </c>
      <c r="E13328">
        <v>0</v>
      </c>
      <c r="F13328">
        <v>341</v>
      </c>
      <c r="G13328">
        <v>0</v>
      </c>
      <c r="H13328" t="s">
        <v>18198</v>
      </c>
      <c r="I13328">
        <v>15062</v>
      </c>
      <c r="J13328" t="e">
        <f>VLOOKUP(E13328,DSSpieler!A:B,2,FALSE)</f>
        <v>#N/A</v>
      </c>
    </row>
    <row r="13329" spans="1:10" x14ac:dyDescent="0.25">
      <c r="A13329">
        <v>15063</v>
      </c>
      <c r="B13329" t="s">
        <v>35026</v>
      </c>
      <c r="C13329">
        <v>587</v>
      </c>
      <c r="D13329">
        <v>420</v>
      </c>
      <c r="E13329">
        <v>1575920032</v>
      </c>
      <c r="F13329">
        <v>148</v>
      </c>
      <c r="G13329">
        <v>0</v>
      </c>
      <c r="H13329" t="s">
        <v>18199</v>
      </c>
      <c r="I13329">
        <v>15063</v>
      </c>
      <c r="J13329" t="str">
        <f>VLOOKUP(E13329,DSSpieler!A:B,2,FALSE)</f>
        <v>König Lord r2d2</v>
      </c>
    </row>
    <row r="13330" spans="1:10" x14ac:dyDescent="0.25">
      <c r="A13330">
        <v>15064</v>
      </c>
      <c r="B13330" t="s">
        <v>531</v>
      </c>
      <c r="C13330">
        <v>571</v>
      </c>
      <c r="D13330">
        <v>594</v>
      </c>
      <c r="E13330">
        <v>0</v>
      </c>
      <c r="F13330">
        <v>297</v>
      </c>
      <c r="G13330">
        <v>0</v>
      </c>
      <c r="H13330" t="s">
        <v>18200</v>
      </c>
      <c r="I13330">
        <v>15064</v>
      </c>
      <c r="J13330" t="e">
        <f>VLOOKUP(E13330,DSSpieler!A:B,2,FALSE)</f>
        <v>#N/A</v>
      </c>
    </row>
    <row r="13331" spans="1:10" x14ac:dyDescent="0.25">
      <c r="A13331">
        <v>15065</v>
      </c>
      <c r="B13331" t="s">
        <v>35027</v>
      </c>
      <c r="C13331">
        <v>541</v>
      </c>
      <c r="D13331">
        <v>388</v>
      </c>
      <c r="E13331">
        <v>8505169</v>
      </c>
      <c r="F13331">
        <v>3238</v>
      </c>
      <c r="G13331">
        <v>0</v>
      </c>
      <c r="H13331" t="s">
        <v>18201</v>
      </c>
      <c r="I13331">
        <v>15065</v>
      </c>
      <c r="J13331" t="str">
        <f>VLOOKUP(E13331,DSSpieler!A:B,2,FALSE)</f>
        <v>Platinum74</v>
      </c>
    </row>
    <row r="13332" spans="1:10" x14ac:dyDescent="0.25">
      <c r="A13332">
        <v>15066</v>
      </c>
      <c r="B13332" t="s">
        <v>531</v>
      </c>
      <c r="C13332">
        <v>425</v>
      </c>
      <c r="D13332">
        <v>410</v>
      </c>
      <c r="E13332">
        <v>0</v>
      </c>
      <c r="F13332">
        <v>468</v>
      </c>
      <c r="G13332">
        <v>0</v>
      </c>
      <c r="H13332" t="s">
        <v>18202</v>
      </c>
      <c r="I13332">
        <v>15066</v>
      </c>
      <c r="J13332" t="e">
        <f>VLOOKUP(E13332,DSSpieler!A:B,2,FALSE)</f>
        <v>#N/A</v>
      </c>
    </row>
    <row r="13333" spans="1:10" x14ac:dyDescent="0.25">
      <c r="A13333">
        <v>15067</v>
      </c>
      <c r="B13333" t="s">
        <v>531</v>
      </c>
      <c r="C13333">
        <v>407</v>
      </c>
      <c r="D13333">
        <v>425</v>
      </c>
      <c r="E13333">
        <v>0</v>
      </c>
      <c r="F13333">
        <v>188</v>
      </c>
      <c r="G13333">
        <v>0</v>
      </c>
      <c r="H13333" t="s">
        <v>18203</v>
      </c>
      <c r="I13333">
        <v>15067</v>
      </c>
      <c r="J13333" t="e">
        <f>VLOOKUP(E13333,DSSpieler!A:B,2,FALSE)</f>
        <v>#N/A</v>
      </c>
    </row>
    <row r="13334" spans="1:10" x14ac:dyDescent="0.25">
      <c r="A13334">
        <v>15069</v>
      </c>
      <c r="B13334" t="s">
        <v>34957</v>
      </c>
      <c r="C13334">
        <v>396</v>
      </c>
      <c r="D13334">
        <v>553</v>
      </c>
      <c r="E13334">
        <v>9839438</v>
      </c>
      <c r="F13334">
        <v>1803</v>
      </c>
      <c r="G13334">
        <v>0</v>
      </c>
      <c r="H13334" t="s">
        <v>18204</v>
      </c>
      <c r="I13334">
        <v>15069</v>
      </c>
      <c r="J13334" t="str">
        <f>VLOOKUP(E13334,DSSpieler!A:B,2,FALSE)</f>
        <v>Spackmann</v>
      </c>
    </row>
    <row r="13335" spans="1:10" x14ac:dyDescent="0.25">
      <c r="A13335">
        <v>15071</v>
      </c>
      <c r="B13335" t="s">
        <v>643</v>
      </c>
      <c r="C13335">
        <v>452</v>
      </c>
      <c r="D13335">
        <v>608</v>
      </c>
      <c r="E13335">
        <v>9461419</v>
      </c>
      <c r="F13335">
        <v>4019</v>
      </c>
      <c r="G13335">
        <v>0</v>
      </c>
      <c r="H13335" t="s">
        <v>18205</v>
      </c>
      <c r="I13335">
        <v>15071</v>
      </c>
      <c r="J13335" t="str">
        <f>VLOOKUP(E13335,DSSpieler!A:B,2,FALSE)</f>
        <v>Kasbianx3</v>
      </c>
    </row>
    <row r="13336" spans="1:10" x14ac:dyDescent="0.25">
      <c r="A13336">
        <v>15072</v>
      </c>
      <c r="B13336" t="s">
        <v>531</v>
      </c>
      <c r="C13336">
        <v>604</v>
      </c>
      <c r="D13336">
        <v>554</v>
      </c>
      <c r="E13336">
        <v>0</v>
      </c>
      <c r="F13336">
        <v>127</v>
      </c>
      <c r="G13336">
        <v>0</v>
      </c>
      <c r="H13336" t="s">
        <v>18206</v>
      </c>
      <c r="I13336">
        <v>15072</v>
      </c>
      <c r="J13336" t="e">
        <f>VLOOKUP(E13336,DSSpieler!A:B,2,FALSE)</f>
        <v>#N/A</v>
      </c>
    </row>
    <row r="13337" spans="1:10" x14ac:dyDescent="0.25">
      <c r="A13337">
        <v>15073</v>
      </c>
      <c r="B13337" t="s">
        <v>531</v>
      </c>
      <c r="C13337">
        <v>556</v>
      </c>
      <c r="D13337">
        <v>605</v>
      </c>
      <c r="E13337">
        <v>0</v>
      </c>
      <c r="F13337">
        <v>198</v>
      </c>
      <c r="G13337">
        <v>0</v>
      </c>
      <c r="H13337" t="s">
        <v>18207</v>
      </c>
      <c r="I13337">
        <v>15073</v>
      </c>
      <c r="J13337" t="e">
        <f>VLOOKUP(E13337,DSSpieler!A:B,2,FALSE)</f>
        <v>#N/A</v>
      </c>
    </row>
    <row r="13338" spans="1:10" x14ac:dyDescent="0.25">
      <c r="A13338">
        <v>15074</v>
      </c>
      <c r="B13338" t="s">
        <v>531</v>
      </c>
      <c r="C13338">
        <v>419</v>
      </c>
      <c r="D13338">
        <v>586</v>
      </c>
      <c r="E13338">
        <v>0</v>
      </c>
      <c r="F13338">
        <v>157</v>
      </c>
      <c r="G13338">
        <v>0</v>
      </c>
      <c r="H13338" t="s">
        <v>18208</v>
      </c>
      <c r="I13338">
        <v>15074</v>
      </c>
      <c r="J13338" t="e">
        <f>VLOOKUP(E13338,DSSpieler!A:B,2,FALSE)</f>
        <v>#N/A</v>
      </c>
    </row>
    <row r="13339" spans="1:10" x14ac:dyDescent="0.25">
      <c r="A13339">
        <v>15075</v>
      </c>
      <c r="B13339" t="s">
        <v>531</v>
      </c>
      <c r="C13339">
        <v>396</v>
      </c>
      <c r="D13339">
        <v>507</v>
      </c>
      <c r="E13339">
        <v>0</v>
      </c>
      <c r="F13339">
        <v>441</v>
      </c>
      <c r="G13339">
        <v>0</v>
      </c>
      <c r="H13339" t="s">
        <v>18209</v>
      </c>
      <c r="I13339">
        <v>15075</v>
      </c>
      <c r="J13339" t="e">
        <f>VLOOKUP(E13339,DSSpieler!A:B,2,FALSE)</f>
        <v>#N/A</v>
      </c>
    </row>
    <row r="13340" spans="1:10" x14ac:dyDescent="0.25">
      <c r="A13340">
        <v>15076</v>
      </c>
      <c r="B13340" t="s">
        <v>531</v>
      </c>
      <c r="C13340">
        <v>430</v>
      </c>
      <c r="D13340">
        <v>579</v>
      </c>
      <c r="E13340">
        <v>0</v>
      </c>
      <c r="F13340">
        <v>116</v>
      </c>
      <c r="G13340">
        <v>0</v>
      </c>
      <c r="H13340" t="s">
        <v>18210</v>
      </c>
      <c r="I13340">
        <v>15076</v>
      </c>
      <c r="J13340" t="e">
        <f>VLOOKUP(E13340,DSSpieler!A:B,2,FALSE)</f>
        <v>#N/A</v>
      </c>
    </row>
    <row r="13341" spans="1:10" x14ac:dyDescent="0.25">
      <c r="A13341">
        <v>15077</v>
      </c>
      <c r="B13341" t="s">
        <v>726</v>
      </c>
      <c r="C13341">
        <v>603</v>
      </c>
      <c r="D13341">
        <v>567</v>
      </c>
      <c r="E13341">
        <v>1576814505</v>
      </c>
      <c r="F13341">
        <v>3927</v>
      </c>
      <c r="G13341">
        <v>0</v>
      </c>
      <c r="H13341" t="s">
        <v>18211</v>
      </c>
      <c r="I13341">
        <v>15077</v>
      </c>
      <c r="J13341" t="str">
        <f>VLOOKUP(E13341,DSSpieler!A:B,2,FALSE)</f>
        <v>LeonxD</v>
      </c>
    </row>
    <row r="13342" spans="1:10" x14ac:dyDescent="0.25">
      <c r="A13342">
        <v>15078</v>
      </c>
      <c r="B13342" t="s">
        <v>531</v>
      </c>
      <c r="C13342">
        <v>414</v>
      </c>
      <c r="D13342">
        <v>563</v>
      </c>
      <c r="E13342">
        <v>0</v>
      </c>
      <c r="F13342">
        <v>180</v>
      </c>
      <c r="G13342">
        <v>0</v>
      </c>
      <c r="H13342" t="s">
        <v>18212</v>
      </c>
      <c r="I13342">
        <v>15078</v>
      </c>
      <c r="J13342" t="e">
        <f>VLOOKUP(E13342,DSSpieler!A:B,2,FALSE)</f>
        <v>#N/A</v>
      </c>
    </row>
    <row r="13343" spans="1:10" x14ac:dyDescent="0.25">
      <c r="A13343">
        <v>15079</v>
      </c>
      <c r="B13343">
        <v>3</v>
      </c>
      <c r="C13343">
        <v>604</v>
      </c>
      <c r="D13343">
        <v>451</v>
      </c>
      <c r="E13343">
        <v>10196539</v>
      </c>
      <c r="F13343">
        <v>2987</v>
      </c>
      <c r="G13343">
        <v>0</v>
      </c>
      <c r="H13343" t="s">
        <v>18213</v>
      </c>
      <c r="I13343">
        <v>15079</v>
      </c>
      <c r="J13343" t="str">
        <f>VLOOKUP(E13343,DSSpieler!A:B,2,FALSE)</f>
        <v>leaguezok</v>
      </c>
    </row>
    <row r="13344" spans="1:10" x14ac:dyDescent="0.25">
      <c r="A13344">
        <v>15080</v>
      </c>
      <c r="B13344" t="s">
        <v>531</v>
      </c>
      <c r="C13344">
        <v>383</v>
      </c>
      <c r="D13344">
        <v>477</v>
      </c>
      <c r="E13344">
        <v>0</v>
      </c>
      <c r="F13344">
        <v>217</v>
      </c>
      <c r="G13344">
        <v>0</v>
      </c>
      <c r="H13344" t="s">
        <v>18214</v>
      </c>
      <c r="I13344">
        <v>15080</v>
      </c>
      <c r="J13344" t="e">
        <f>VLOOKUP(E13344,DSSpieler!A:B,2,FALSE)</f>
        <v>#N/A</v>
      </c>
    </row>
    <row r="13345" spans="1:10" x14ac:dyDescent="0.25">
      <c r="A13345">
        <v>15081</v>
      </c>
      <c r="B13345" t="s">
        <v>531</v>
      </c>
      <c r="C13345">
        <v>413</v>
      </c>
      <c r="D13345">
        <v>578</v>
      </c>
      <c r="E13345">
        <v>0</v>
      </c>
      <c r="F13345">
        <v>136</v>
      </c>
      <c r="G13345">
        <v>0</v>
      </c>
      <c r="H13345" t="s">
        <v>18215</v>
      </c>
      <c r="I13345">
        <v>15081</v>
      </c>
      <c r="J13345" t="e">
        <f>VLOOKUP(E13345,DSSpieler!A:B,2,FALSE)</f>
        <v>#N/A</v>
      </c>
    </row>
    <row r="13346" spans="1:10" x14ac:dyDescent="0.25">
      <c r="A13346">
        <v>15082</v>
      </c>
      <c r="B13346" t="s">
        <v>2386</v>
      </c>
      <c r="C13346">
        <v>608</v>
      </c>
      <c r="D13346">
        <v>560</v>
      </c>
      <c r="E13346">
        <v>1577201849</v>
      </c>
      <c r="F13346">
        <v>3619</v>
      </c>
      <c r="G13346">
        <v>0</v>
      </c>
      <c r="H13346" t="s">
        <v>18216</v>
      </c>
      <c r="I13346">
        <v>15082</v>
      </c>
      <c r="J13346" t="str">
        <f>VLOOKUP(E13346,DSSpieler!A:B,2,FALSE)</f>
        <v>murxlboellern</v>
      </c>
    </row>
    <row r="13347" spans="1:10" x14ac:dyDescent="0.25">
      <c r="A13347">
        <v>15083</v>
      </c>
      <c r="B13347" t="s">
        <v>531</v>
      </c>
      <c r="C13347">
        <v>580</v>
      </c>
      <c r="D13347">
        <v>583</v>
      </c>
      <c r="E13347">
        <v>0</v>
      </c>
      <c r="F13347">
        <v>307</v>
      </c>
      <c r="G13347">
        <v>0</v>
      </c>
      <c r="H13347" t="s">
        <v>18217</v>
      </c>
      <c r="I13347">
        <v>15083</v>
      </c>
      <c r="J13347" t="e">
        <f>VLOOKUP(E13347,DSSpieler!A:B,2,FALSE)</f>
        <v>#N/A</v>
      </c>
    </row>
    <row r="13348" spans="1:10" x14ac:dyDescent="0.25">
      <c r="A13348">
        <v>15084</v>
      </c>
      <c r="B13348" t="s">
        <v>531</v>
      </c>
      <c r="C13348">
        <v>423</v>
      </c>
      <c r="D13348">
        <v>571</v>
      </c>
      <c r="E13348">
        <v>0</v>
      </c>
      <c r="F13348">
        <v>134</v>
      </c>
      <c r="G13348">
        <v>0</v>
      </c>
      <c r="H13348" t="s">
        <v>18218</v>
      </c>
      <c r="I13348">
        <v>15084</v>
      </c>
      <c r="J13348" t="e">
        <f>VLOOKUP(E13348,DSSpieler!A:B,2,FALSE)</f>
        <v>#N/A</v>
      </c>
    </row>
    <row r="13349" spans="1:10" x14ac:dyDescent="0.25">
      <c r="A13349">
        <v>15085</v>
      </c>
      <c r="B13349" t="s">
        <v>610</v>
      </c>
      <c r="C13349">
        <v>591</v>
      </c>
      <c r="D13349">
        <v>458</v>
      </c>
      <c r="E13349">
        <v>1577141115</v>
      </c>
      <c r="F13349">
        <v>4592</v>
      </c>
      <c r="G13349">
        <v>0</v>
      </c>
      <c r="H13349" t="s">
        <v>18219</v>
      </c>
      <c r="I13349">
        <v>15085</v>
      </c>
      <c r="J13349" t="str">
        <f>VLOOKUP(E13349,DSSpieler!A:B,2,FALSE)</f>
        <v>MJ267-</v>
      </c>
    </row>
    <row r="13350" spans="1:10" x14ac:dyDescent="0.25">
      <c r="A13350">
        <v>15087</v>
      </c>
      <c r="B13350">
        <v>2</v>
      </c>
      <c r="C13350">
        <v>410</v>
      </c>
      <c r="D13350">
        <v>574</v>
      </c>
      <c r="E13350">
        <v>1577201543</v>
      </c>
      <c r="F13350">
        <v>3645</v>
      </c>
      <c r="G13350">
        <v>0</v>
      </c>
      <c r="H13350" t="s">
        <v>18220</v>
      </c>
      <c r="I13350">
        <v>15087</v>
      </c>
      <c r="J13350" t="str">
        <f>VLOOKUP(E13350,DSSpieler!A:B,2,FALSE)</f>
        <v>Dr.Boss</v>
      </c>
    </row>
    <row r="13351" spans="1:10" x14ac:dyDescent="0.25">
      <c r="A13351">
        <v>15088</v>
      </c>
      <c r="B13351" t="s">
        <v>2387</v>
      </c>
      <c r="C13351">
        <v>617</v>
      </c>
      <c r="D13351">
        <v>521</v>
      </c>
      <c r="E13351">
        <v>1577201826</v>
      </c>
      <c r="F13351">
        <v>6058</v>
      </c>
      <c r="G13351">
        <v>0</v>
      </c>
      <c r="H13351" t="s">
        <v>18221</v>
      </c>
      <c r="I13351">
        <v>15088</v>
      </c>
      <c r="J13351" t="str">
        <f>VLOOKUP(E13351,DSSpieler!A:B,2,FALSE)</f>
        <v>pfeife</v>
      </c>
    </row>
    <row r="13352" spans="1:10" x14ac:dyDescent="0.25">
      <c r="A13352">
        <v>15089</v>
      </c>
      <c r="B13352" t="s">
        <v>531</v>
      </c>
      <c r="C13352">
        <v>586</v>
      </c>
      <c r="D13352">
        <v>583</v>
      </c>
      <c r="E13352">
        <v>0</v>
      </c>
      <c r="F13352">
        <v>286</v>
      </c>
      <c r="G13352">
        <v>0</v>
      </c>
      <c r="H13352" t="s">
        <v>18222</v>
      </c>
      <c r="I13352">
        <v>15089</v>
      </c>
      <c r="J13352" t="e">
        <f>VLOOKUP(E13352,DSSpieler!A:B,2,FALSE)</f>
        <v>#N/A</v>
      </c>
    </row>
    <row r="13353" spans="1:10" x14ac:dyDescent="0.25">
      <c r="A13353">
        <v>15090</v>
      </c>
      <c r="B13353" t="s">
        <v>531</v>
      </c>
      <c r="C13353">
        <v>488</v>
      </c>
      <c r="D13353">
        <v>618</v>
      </c>
      <c r="E13353">
        <v>0</v>
      </c>
      <c r="F13353">
        <v>243</v>
      </c>
      <c r="G13353">
        <v>0</v>
      </c>
      <c r="H13353" t="s">
        <v>18223</v>
      </c>
      <c r="I13353">
        <v>15090</v>
      </c>
      <c r="J13353" t="e">
        <f>VLOOKUP(E13353,DSSpieler!A:B,2,FALSE)</f>
        <v>#N/A</v>
      </c>
    </row>
    <row r="13354" spans="1:10" x14ac:dyDescent="0.25">
      <c r="A13354">
        <v>15091</v>
      </c>
      <c r="B13354" t="s">
        <v>531</v>
      </c>
      <c r="C13354">
        <v>606</v>
      </c>
      <c r="D13354">
        <v>450</v>
      </c>
      <c r="E13354">
        <v>0</v>
      </c>
      <c r="F13354">
        <v>107</v>
      </c>
      <c r="G13354">
        <v>0</v>
      </c>
      <c r="H13354" t="s">
        <v>18224</v>
      </c>
      <c r="I13354">
        <v>15091</v>
      </c>
      <c r="J13354" t="e">
        <f>VLOOKUP(E13354,DSSpieler!A:B,2,FALSE)</f>
        <v>#N/A</v>
      </c>
    </row>
    <row r="13355" spans="1:10" x14ac:dyDescent="0.25">
      <c r="A13355">
        <v>15092</v>
      </c>
      <c r="B13355" t="s">
        <v>35028</v>
      </c>
      <c r="C13355">
        <v>508</v>
      </c>
      <c r="D13355">
        <v>619</v>
      </c>
      <c r="E13355">
        <v>1577184567</v>
      </c>
      <c r="F13355">
        <v>4845</v>
      </c>
      <c r="G13355">
        <v>0</v>
      </c>
      <c r="H13355" t="s">
        <v>18225</v>
      </c>
      <c r="I13355">
        <v>15092</v>
      </c>
      <c r="J13355" t="str">
        <f>VLOOKUP(E13355,DSSpieler!A:B,2,FALSE)</f>
        <v>hoi-</v>
      </c>
    </row>
    <row r="13356" spans="1:10" x14ac:dyDescent="0.25">
      <c r="A13356">
        <v>15093</v>
      </c>
      <c r="B13356" t="s">
        <v>531</v>
      </c>
      <c r="C13356">
        <v>414</v>
      </c>
      <c r="D13356">
        <v>583</v>
      </c>
      <c r="E13356">
        <v>0</v>
      </c>
      <c r="F13356">
        <v>109</v>
      </c>
      <c r="G13356">
        <v>0</v>
      </c>
      <c r="H13356" t="s">
        <v>18226</v>
      </c>
      <c r="I13356">
        <v>15093</v>
      </c>
      <c r="J13356" t="e">
        <f>VLOOKUP(E13356,DSSpieler!A:B,2,FALSE)</f>
        <v>#N/A</v>
      </c>
    </row>
    <row r="13357" spans="1:10" x14ac:dyDescent="0.25">
      <c r="A13357">
        <v>15094</v>
      </c>
      <c r="B13357" t="s">
        <v>35029</v>
      </c>
      <c r="C13357">
        <v>515</v>
      </c>
      <c r="D13357">
        <v>621</v>
      </c>
      <c r="E13357">
        <v>1577184162</v>
      </c>
      <c r="F13357">
        <v>1945</v>
      </c>
      <c r="G13357">
        <v>0</v>
      </c>
      <c r="H13357" t="s">
        <v>18227</v>
      </c>
      <c r="I13357">
        <v>15094</v>
      </c>
      <c r="J13357" t="str">
        <f>VLOOKUP(E13357,DSSpieler!A:B,2,FALSE)</f>
        <v>HellGamer90</v>
      </c>
    </row>
    <row r="13358" spans="1:10" x14ac:dyDescent="0.25">
      <c r="A13358">
        <v>15095</v>
      </c>
      <c r="B13358" t="s">
        <v>531</v>
      </c>
      <c r="C13358">
        <v>429</v>
      </c>
      <c r="D13358">
        <v>581</v>
      </c>
      <c r="E13358">
        <v>0</v>
      </c>
      <c r="F13358">
        <v>93</v>
      </c>
      <c r="G13358">
        <v>0</v>
      </c>
      <c r="H13358" t="s">
        <v>18228</v>
      </c>
      <c r="I13358">
        <v>15095</v>
      </c>
      <c r="J13358" t="e">
        <f>VLOOKUP(E13358,DSSpieler!A:B,2,FALSE)</f>
        <v>#N/A</v>
      </c>
    </row>
    <row r="13359" spans="1:10" x14ac:dyDescent="0.25">
      <c r="A13359">
        <v>15096</v>
      </c>
      <c r="B13359" t="s">
        <v>2388</v>
      </c>
      <c r="C13359">
        <v>528</v>
      </c>
      <c r="D13359">
        <v>616</v>
      </c>
      <c r="E13359">
        <v>1577201756</v>
      </c>
      <c r="F13359">
        <v>4211</v>
      </c>
      <c r="G13359">
        <v>0</v>
      </c>
      <c r="H13359" t="s">
        <v>18229</v>
      </c>
      <c r="I13359">
        <v>15096</v>
      </c>
      <c r="J13359" t="str">
        <f>VLOOKUP(E13359,DSSpieler!A:B,2,FALSE)</f>
        <v>TN14</v>
      </c>
    </row>
    <row r="13360" spans="1:10" x14ac:dyDescent="0.25">
      <c r="A13360">
        <v>15097</v>
      </c>
      <c r="B13360" t="s">
        <v>531</v>
      </c>
      <c r="C13360">
        <v>417</v>
      </c>
      <c r="D13360">
        <v>576</v>
      </c>
      <c r="E13360">
        <v>0</v>
      </c>
      <c r="F13360">
        <v>143</v>
      </c>
      <c r="G13360">
        <v>0</v>
      </c>
      <c r="H13360" t="s">
        <v>18230</v>
      </c>
      <c r="I13360">
        <v>15097</v>
      </c>
      <c r="J13360" t="e">
        <f>VLOOKUP(E13360,DSSpieler!A:B,2,FALSE)</f>
        <v>#N/A</v>
      </c>
    </row>
    <row r="13361" spans="1:10" x14ac:dyDescent="0.25">
      <c r="A13361">
        <v>15098</v>
      </c>
      <c r="B13361" t="s">
        <v>531</v>
      </c>
      <c r="C13361">
        <v>608</v>
      </c>
      <c r="D13361">
        <v>454</v>
      </c>
      <c r="E13361">
        <v>0</v>
      </c>
      <c r="F13361">
        <v>253</v>
      </c>
      <c r="G13361">
        <v>0</v>
      </c>
      <c r="H13361" t="s">
        <v>18231</v>
      </c>
      <c r="I13361">
        <v>15098</v>
      </c>
      <c r="J13361" t="e">
        <f>VLOOKUP(E13361,DSSpieler!A:B,2,FALSE)</f>
        <v>#N/A</v>
      </c>
    </row>
    <row r="13362" spans="1:10" x14ac:dyDescent="0.25">
      <c r="A13362">
        <v>15099</v>
      </c>
      <c r="B13362" t="s">
        <v>35030</v>
      </c>
      <c r="C13362">
        <v>618</v>
      </c>
      <c r="D13362">
        <v>507</v>
      </c>
      <c r="E13362">
        <v>1577143275</v>
      </c>
      <c r="F13362">
        <v>2123</v>
      </c>
      <c r="G13362">
        <v>0</v>
      </c>
      <c r="H13362" t="s">
        <v>18232</v>
      </c>
      <c r="I13362">
        <v>15099</v>
      </c>
      <c r="J13362" t="str">
        <f>VLOOKUP(E13362,DSSpieler!A:B,2,FALSE)</f>
        <v>Rob961004</v>
      </c>
    </row>
    <row r="13363" spans="1:10" x14ac:dyDescent="0.25">
      <c r="A13363">
        <v>15100</v>
      </c>
      <c r="B13363" t="s">
        <v>531</v>
      </c>
      <c r="C13363">
        <v>614</v>
      </c>
      <c r="D13363">
        <v>468</v>
      </c>
      <c r="E13363">
        <v>0</v>
      </c>
      <c r="F13363">
        <v>187</v>
      </c>
      <c r="G13363">
        <v>0</v>
      </c>
      <c r="H13363" t="s">
        <v>18233</v>
      </c>
      <c r="I13363">
        <v>15100</v>
      </c>
      <c r="J13363" t="e">
        <f>VLOOKUP(E13363,DSSpieler!A:B,2,FALSE)</f>
        <v>#N/A</v>
      </c>
    </row>
    <row r="13364" spans="1:10" x14ac:dyDescent="0.25">
      <c r="A13364">
        <v>15101</v>
      </c>
      <c r="B13364" t="s">
        <v>531</v>
      </c>
      <c r="C13364">
        <v>428</v>
      </c>
      <c r="D13364">
        <v>584</v>
      </c>
      <c r="E13364">
        <v>0</v>
      </c>
      <c r="F13364">
        <v>202</v>
      </c>
      <c r="G13364">
        <v>0</v>
      </c>
      <c r="H13364" t="s">
        <v>18234</v>
      </c>
      <c r="I13364">
        <v>15101</v>
      </c>
      <c r="J13364" t="e">
        <f>VLOOKUP(E13364,DSSpieler!A:B,2,FALSE)</f>
        <v>#N/A</v>
      </c>
    </row>
    <row r="13365" spans="1:10" x14ac:dyDescent="0.25">
      <c r="A13365">
        <v>15102</v>
      </c>
      <c r="B13365" t="s">
        <v>2389</v>
      </c>
      <c r="C13365">
        <v>613</v>
      </c>
      <c r="D13365">
        <v>465</v>
      </c>
      <c r="E13365">
        <v>9757149</v>
      </c>
      <c r="F13365">
        <v>5070</v>
      </c>
      <c r="G13365">
        <v>0</v>
      </c>
      <c r="H13365" t="s">
        <v>18235</v>
      </c>
      <c r="I13365">
        <v>15102</v>
      </c>
      <c r="J13365" t="str">
        <f>VLOOKUP(E13365,DSSpieler!A:B,2,FALSE)</f>
        <v>toxic*vision</v>
      </c>
    </row>
    <row r="13366" spans="1:10" x14ac:dyDescent="0.25">
      <c r="A13366">
        <v>15103</v>
      </c>
      <c r="B13366" t="s">
        <v>531</v>
      </c>
      <c r="C13366">
        <v>385</v>
      </c>
      <c r="D13366">
        <v>508</v>
      </c>
      <c r="E13366">
        <v>0</v>
      </c>
      <c r="F13366">
        <v>179</v>
      </c>
      <c r="G13366">
        <v>0</v>
      </c>
      <c r="H13366" t="s">
        <v>18236</v>
      </c>
      <c r="I13366">
        <v>15103</v>
      </c>
      <c r="J13366" t="e">
        <f>VLOOKUP(E13366,DSSpieler!A:B,2,FALSE)</f>
        <v>#N/A</v>
      </c>
    </row>
    <row r="13367" spans="1:10" x14ac:dyDescent="0.25">
      <c r="A13367">
        <v>15104</v>
      </c>
      <c r="B13367" t="s">
        <v>35031</v>
      </c>
      <c r="C13367">
        <v>563</v>
      </c>
      <c r="D13367">
        <v>577</v>
      </c>
      <c r="E13367">
        <v>1577134166</v>
      </c>
      <c r="F13367">
        <v>501</v>
      </c>
      <c r="G13367">
        <v>0</v>
      </c>
      <c r="H13367" t="s">
        <v>18237</v>
      </c>
      <c r="I13367">
        <v>15104</v>
      </c>
      <c r="J13367" t="str">
        <f>VLOOKUP(E13367,DSSpieler!A:B,2,FALSE)</f>
        <v>Esylum</v>
      </c>
    </row>
    <row r="13368" spans="1:10" x14ac:dyDescent="0.25">
      <c r="A13368">
        <v>15105</v>
      </c>
      <c r="B13368" t="s">
        <v>531</v>
      </c>
      <c r="C13368">
        <v>429</v>
      </c>
      <c r="D13368">
        <v>575</v>
      </c>
      <c r="E13368">
        <v>0</v>
      </c>
      <c r="F13368">
        <v>135</v>
      </c>
      <c r="G13368">
        <v>0</v>
      </c>
      <c r="H13368" t="s">
        <v>18238</v>
      </c>
      <c r="I13368">
        <v>15105</v>
      </c>
      <c r="J13368" t="e">
        <f>VLOOKUP(E13368,DSSpieler!A:B,2,FALSE)</f>
        <v>#N/A</v>
      </c>
    </row>
    <row r="13369" spans="1:10" x14ac:dyDescent="0.25">
      <c r="A13369">
        <v>15106</v>
      </c>
      <c r="B13369" t="s">
        <v>531</v>
      </c>
      <c r="C13369">
        <v>382</v>
      </c>
      <c r="D13369">
        <v>514</v>
      </c>
      <c r="E13369">
        <v>0</v>
      </c>
      <c r="F13369">
        <v>161</v>
      </c>
      <c r="G13369">
        <v>0</v>
      </c>
      <c r="H13369" t="s">
        <v>18239</v>
      </c>
      <c r="I13369">
        <v>15106</v>
      </c>
      <c r="J13369" t="e">
        <f>VLOOKUP(E13369,DSSpieler!A:B,2,FALSE)</f>
        <v>#N/A</v>
      </c>
    </row>
    <row r="13370" spans="1:10" x14ac:dyDescent="0.25">
      <c r="A13370">
        <v>15107</v>
      </c>
      <c r="B13370" t="s">
        <v>35032</v>
      </c>
      <c r="C13370">
        <v>616</v>
      </c>
      <c r="D13370">
        <v>488</v>
      </c>
      <c r="E13370">
        <v>126031</v>
      </c>
      <c r="F13370">
        <v>1569</v>
      </c>
      <c r="G13370">
        <v>0</v>
      </c>
      <c r="H13370" t="s">
        <v>18240</v>
      </c>
      <c r="I13370">
        <v>15107</v>
      </c>
      <c r="J13370" t="str">
        <f>VLOOKUP(E13370,DSSpieler!A:B,2,FALSE)</f>
        <v>Getisch</v>
      </c>
    </row>
    <row r="13371" spans="1:10" x14ac:dyDescent="0.25">
      <c r="A13371">
        <v>15108</v>
      </c>
      <c r="B13371" t="s">
        <v>667</v>
      </c>
      <c r="C13371">
        <v>525</v>
      </c>
      <c r="D13371">
        <v>615</v>
      </c>
      <c r="E13371">
        <v>1577196346</v>
      </c>
      <c r="F13371">
        <v>3094</v>
      </c>
      <c r="G13371">
        <v>0</v>
      </c>
      <c r="H13371" t="s">
        <v>18241</v>
      </c>
      <c r="I13371">
        <v>15108</v>
      </c>
      <c r="J13371" t="str">
        <f>VLOOKUP(E13371,DSSpieler!A:B,2,FALSE)</f>
        <v>Lord Fiebs</v>
      </c>
    </row>
    <row r="13372" spans="1:10" x14ac:dyDescent="0.25">
      <c r="A13372">
        <v>15109</v>
      </c>
      <c r="B13372" t="s">
        <v>531</v>
      </c>
      <c r="C13372">
        <v>417</v>
      </c>
      <c r="D13372">
        <v>577</v>
      </c>
      <c r="E13372">
        <v>0</v>
      </c>
      <c r="F13372">
        <v>151</v>
      </c>
      <c r="G13372">
        <v>0</v>
      </c>
      <c r="H13372" t="s">
        <v>18242</v>
      </c>
      <c r="I13372">
        <v>15109</v>
      </c>
      <c r="J13372" t="e">
        <f>VLOOKUP(E13372,DSSpieler!A:B,2,FALSE)</f>
        <v>#N/A</v>
      </c>
    </row>
    <row r="13373" spans="1:10" x14ac:dyDescent="0.25">
      <c r="A13373">
        <v>15110</v>
      </c>
      <c r="B13373" t="s">
        <v>531</v>
      </c>
      <c r="C13373">
        <v>563</v>
      </c>
      <c r="D13373">
        <v>597</v>
      </c>
      <c r="E13373">
        <v>0</v>
      </c>
      <c r="F13373">
        <v>165</v>
      </c>
      <c r="G13373">
        <v>0</v>
      </c>
      <c r="H13373" t="s">
        <v>18243</v>
      </c>
      <c r="I13373">
        <v>15110</v>
      </c>
      <c r="J13373" t="e">
        <f>VLOOKUP(E13373,DSSpieler!A:B,2,FALSE)</f>
        <v>#N/A</v>
      </c>
    </row>
    <row r="13374" spans="1:10" x14ac:dyDescent="0.25">
      <c r="A13374">
        <v>15111</v>
      </c>
      <c r="B13374" t="s">
        <v>531</v>
      </c>
      <c r="C13374">
        <v>608</v>
      </c>
      <c r="D13374">
        <v>544</v>
      </c>
      <c r="E13374">
        <v>0</v>
      </c>
      <c r="F13374">
        <v>490</v>
      </c>
      <c r="G13374">
        <v>0</v>
      </c>
      <c r="H13374" t="s">
        <v>18244</v>
      </c>
      <c r="I13374">
        <v>15111</v>
      </c>
      <c r="J13374" t="e">
        <f>VLOOKUP(E13374,DSSpieler!A:B,2,FALSE)</f>
        <v>#N/A</v>
      </c>
    </row>
    <row r="13375" spans="1:10" x14ac:dyDescent="0.25">
      <c r="A13375">
        <v>15112</v>
      </c>
      <c r="B13375" t="s">
        <v>35033</v>
      </c>
      <c r="C13375">
        <v>383</v>
      </c>
      <c r="D13375">
        <v>497</v>
      </c>
      <c r="E13375">
        <v>1576039154</v>
      </c>
      <c r="F13375">
        <v>4199</v>
      </c>
      <c r="G13375">
        <v>0</v>
      </c>
      <c r="H13375" t="s">
        <v>18245</v>
      </c>
      <c r="I13375">
        <v>15112</v>
      </c>
      <c r="J13375" t="str">
        <f>VLOOKUP(E13375,DSSpieler!A:B,2,FALSE)</f>
        <v>Der Stammälteste</v>
      </c>
    </row>
    <row r="13376" spans="1:10" x14ac:dyDescent="0.25">
      <c r="A13376">
        <v>15113</v>
      </c>
      <c r="B13376" t="s">
        <v>531</v>
      </c>
      <c r="C13376">
        <v>479</v>
      </c>
      <c r="D13376">
        <v>538</v>
      </c>
      <c r="E13376">
        <v>0</v>
      </c>
      <c r="F13376">
        <v>237</v>
      </c>
      <c r="G13376">
        <v>0</v>
      </c>
      <c r="H13376" t="s">
        <v>18246</v>
      </c>
      <c r="I13376">
        <v>15113</v>
      </c>
      <c r="J13376" t="e">
        <f>VLOOKUP(E13376,DSSpieler!A:B,2,FALSE)</f>
        <v>#N/A</v>
      </c>
    </row>
    <row r="13377" spans="1:10" x14ac:dyDescent="0.25">
      <c r="A13377">
        <v>15114</v>
      </c>
      <c r="B13377" t="s">
        <v>667</v>
      </c>
      <c r="C13377">
        <v>381</v>
      </c>
      <c r="D13377">
        <v>502</v>
      </c>
      <c r="E13377">
        <v>1576430467</v>
      </c>
      <c r="F13377">
        <v>5323</v>
      </c>
      <c r="G13377">
        <v>0</v>
      </c>
      <c r="H13377" t="s">
        <v>18247</v>
      </c>
      <c r="I13377">
        <v>15114</v>
      </c>
      <c r="J13377" t="str">
        <f>VLOOKUP(E13377,DSSpieler!A:B,2,FALSE)</f>
        <v>KingPin301</v>
      </c>
    </row>
    <row r="13378" spans="1:10" x14ac:dyDescent="0.25">
      <c r="A13378">
        <v>15115</v>
      </c>
      <c r="B13378" t="s">
        <v>531</v>
      </c>
      <c r="C13378">
        <v>495</v>
      </c>
      <c r="D13378">
        <v>381</v>
      </c>
      <c r="E13378">
        <v>0</v>
      </c>
      <c r="F13378">
        <v>270</v>
      </c>
      <c r="G13378">
        <v>0</v>
      </c>
      <c r="H13378" t="s">
        <v>18248</v>
      </c>
      <c r="I13378">
        <v>15115</v>
      </c>
      <c r="J13378" t="e">
        <f>VLOOKUP(E13378,DSSpieler!A:B,2,FALSE)</f>
        <v>#N/A</v>
      </c>
    </row>
    <row r="13379" spans="1:10" x14ac:dyDescent="0.25">
      <c r="A13379">
        <v>15116</v>
      </c>
      <c r="B13379" t="s">
        <v>531</v>
      </c>
      <c r="C13379">
        <v>532</v>
      </c>
      <c r="D13379">
        <v>384</v>
      </c>
      <c r="E13379">
        <v>0</v>
      </c>
      <c r="F13379">
        <v>352</v>
      </c>
      <c r="G13379">
        <v>0</v>
      </c>
      <c r="H13379" t="s">
        <v>18249</v>
      </c>
      <c r="I13379">
        <v>15116</v>
      </c>
      <c r="J13379" t="e">
        <f>VLOOKUP(E13379,DSSpieler!A:B,2,FALSE)</f>
        <v>#N/A</v>
      </c>
    </row>
    <row r="13380" spans="1:10" x14ac:dyDescent="0.25">
      <c r="A13380">
        <v>15117</v>
      </c>
      <c r="B13380" t="s">
        <v>35034</v>
      </c>
      <c r="C13380">
        <v>587</v>
      </c>
      <c r="D13380">
        <v>423</v>
      </c>
      <c r="E13380">
        <v>2590130</v>
      </c>
      <c r="F13380">
        <v>267</v>
      </c>
      <c r="G13380">
        <v>0</v>
      </c>
      <c r="H13380" t="s">
        <v>18250</v>
      </c>
      <c r="I13380">
        <v>15117</v>
      </c>
      <c r="J13380" t="str">
        <f>VLOOKUP(E13380,DSSpieler!A:B,2,FALSE)</f>
        <v>der anfaenger</v>
      </c>
    </row>
    <row r="13381" spans="1:10" x14ac:dyDescent="0.25">
      <c r="A13381">
        <v>15118</v>
      </c>
      <c r="B13381" t="s">
        <v>35035</v>
      </c>
      <c r="C13381">
        <v>425</v>
      </c>
      <c r="D13381">
        <v>564</v>
      </c>
      <c r="E13381">
        <v>2298209</v>
      </c>
      <c r="F13381">
        <v>1031</v>
      </c>
      <c r="G13381">
        <v>0</v>
      </c>
      <c r="H13381" t="s">
        <v>18251</v>
      </c>
      <c r="I13381">
        <v>15118</v>
      </c>
      <c r="J13381" t="str">
        <f>VLOOKUP(E13381,DSSpieler!A:B,2,FALSE)</f>
        <v>Völkerbund</v>
      </c>
    </row>
    <row r="13382" spans="1:10" x14ac:dyDescent="0.25">
      <c r="A13382">
        <v>15119</v>
      </c>
      <c r="B13382" t="s">
        <v>2390</v>
      </c>
      <c r="C13382">
        <v>617</v>
      </c>
      <c r="D13382">
        <v>504</v>
      </c>
      <c r="E13382">
        <v>1577151864</v>
      </c>
      <c r="F13382">
        <v>1790</v>
      </c>
      <c r="G13382">
        <v>0</v>
      </c>
      <c r="H13382" t="s">
        <v>18252</v>
      </c>
      <c r="I13382">
        <v>15119</v>
      </c>
      <c r="J13382" t="str">
        <f>VLOOKUP(E13382,DSSpieler!A:B,2,FALSE)</f>
        <v>König Felix19</v>
      </c>
    </row>
    <row r="13383" spans="1:10" x14ac:dyDescent="0.25">
      <c r="A13383">
        <v>15120</v>
      </c>
      <c r="B13383" t="s">
        <v>531</v>
      </c>
      <c r="C13383">
        <v>452</v>
      </c>
      <c r="D13383">
        <v>395</v>
      </c>
      <c r="E13383">
        <v>0</v>
      </c>
      <c r="F13383">
        <v>277</v>
      </c>
      <c r="G13383">
        <v>0</v>
      </c>
      <c r="H13383" t="s">
        <v>18253</v>
      </c>
      <c r="I13383">
        <v>15120</v>
      </c>
      <c r="J13383" t="e">
        <f>VLOOKUP(E13383,DSSpieler!A:B,2,FALSE)</f>
        <v>#N/A</v>
      </c>
    </row>
    <row r="13384" spans="1:10" x14ac:dyDescent="0.25">
      <c r="A13384">
        <v>15121</v>
      </c>
      <c r="B13384" t="s">
        <v>35036</v>
      </c>
      <c r="C13384">
        <v>618</v>
      </c>
      <c r="D13384">
        <v>497</v>
      </c>
      <c r="E13384">
        <v>9752994</v>
      </c>
      <c r="F13384">
        <v>3106</v>
      </c>
      <c r="G13384">
        <v>0</v>
      </c>
      <c r="H13384" t="s">
        <v>18254</v>
      </c>
      <c r="I13384">
        <v>15121</v>
      </c>
      <c r="J13384" t="str">
        <f>VLOOKUP(E13384,DSSpieler!A:B,2,FALSE)</f>
        <v>Dr. Laggs</v>
      </c>
    </row>
    <row r="13385" spans="1:10" x14ac:dyDescent="0.25">
      <c r="A13385">
        <v>15122</v>
      </c>
      <c r="B13385" t="s">
        <v>531</v>
      </c>
      <c r="C13385">
        <v>416</v>
      </c>
      <c r="D13385">
        <v>583</v>
      </c>
      <c r="E13385">
        <v>0</v>
      </c>
      <c r="F13385">
        <v>139</v>
      </c>
      <c r="G13385">
        <v>0</v>
      </c>
      <c r="H13385" t="s">
        <v>18255</v>
      </c>
      <c r="I13385">
        <v>15122</v>
      </c>
      <c r="J13385" t="e">
        <f>VLOOKUP(E13385,DSSpieler!A:B,2,FALSE)</f>
        <v>#N/A</v>
      </c>
    </row>
    <row r="13386" spans="1:10" x14ac:dyDescent="0.25">
      <c r="A13386">
        <v>15123</v>
      </c>
      <c r="B13386" t="s">
        <v>531</v>
      </c>
      <c r="C13386">
        <v>388</v>
      </c>
      <c r="D13386">
        <v>539</v>
      </c>
      <c r="E13386">
        <v>0</v>
      </c>
      <c r="F13386">
        <v>127</v>
      </c>
      <c r="G13386">
        <v>0</v>
      </c>
      <c r="H13386" t="s">
        <v>18256</v>
      </c>
      <c r="I13386">
        <v>15123</v>
      </c>
      <c r="J13386" t="e">
        <f>VLOOKUP(E13386,DSSpieler!A:B,2,FALSE)</f>
        <v>#N/A</v>
      </c>
    </row>
    <row r="13387" spans="1:10" x14ac:dyDescent="0.25">
      <c r="A13387">
        <v>15124</v>
      </c>
      <c r="B13387" t="s">
        <v>531</v>
      </c>
      <c r="C13387">
        <v>415</v>
      </c>
      <c r="D13387">
        <v>578</v>
      </c>
      <c r="E13387">
        <v>0</v>
      </c>
      <c r="F13387">
        <v>208</v>
      </c>
      <c r="G13387">
        <v>0</v>
      </c>
      <c r="H13387" t="s">
        <v>18257</v>
      </c>
      <c r="I13387">
        <v>15124</v>
      </c>
      <c r="J13387" t="e">
        <f>VLOOKUP(E13387,DSSpieler!A:B,2,FALSE)</f>
        <v>#N/A</v>
      </c>
    </row>
    <row r="13388" spans="1:10" x14ac:dyDescent="0.25">
      <c r="A13388">
        <v>15125</v>
      </c>
      <c r="B13388" t="s">
        <v>531</v>
      </c>
      <c r="C13388">
        <v>424</v>
      </c>
      <c r="D13388">
        <v>582</v>
      </c>
      <c r="E13388">
        <v>0</v>
      </c>
      <c r="F13388">
        <v>156</v>
      </c>
      <c r="G13388">
        <v>0</v>
      </c>
      <c r="H13388" t="s">
        <v>18258</v>
      </c>
      <c r="I13388">
        <v>15125</v>
      </c>
      <c r="J13388" t="e">
        <f>VLOOKUP(E13388,DSSpieler!A:B,2,FALSE)</f>
        <v>#N/A</v>
      </c>
    </row>
    <row r="13389" spans="1:10" x14ac:dyDescent="0.25">
      <c r="A13389">
        <v>15126</v>
      </c>
      <c r="B13389" t="s">
        <v>35037</v>
      </c>
      <c r="C13389">
        <v>426</v>
      </c>
      <c r="D13389">
        <v>564</v>
      </c>
      <c r="E13389">
        <v>1577135956</v>
      </c>
      <c r="F13389">
        <v>260</v>
      </c>
      <c r="G13389">
        <v>0</v>
      </c>
      <c r="H13389" t="s">
        <v>18259</v>
      </c>
      <c r="I13389">
        <v>15126</v>
      </c>
      <c r="J13389" t="str">
        <f>VLOOKUP(E13389,DSSpieler!A:B,2,FALSE)</f>
        <v>Beagle73</v>
      </c>
    </row>
    <row r="13390" spans="1:10" x14ac:dyDescent="0.25">
      <c r="A13390">
        <v>15127</v>
      </c>
      <c r="B13390" t="s">
        <v>531</v>
      </c>
      <c r="C13390">
        <v>607</v>
      </c>
      <c r="D13390">
        <v>446</v>
      </c>
      <c r="E13390">
        <v>0</v>
      </c>
      <c r="F13390">
        <v>372</v>
      </c>
      <c r="G13390">
        <v>0</v>
      </c>
      <c r="H13390" t="s">
        <v>18260</v>
      </c>
      <c r="I13390">
        <v>15127</v>
      </c>
      <c r="J13390" t="e">
        <f>VLOOKUP(E13390,DSSpieler!A:B,2,FALSE)</f>
        <v>#N/A</v>
      </c>
    </row>
    <row r="13391" spans="1:10" x14ac:dyDescent="0.25">
      <c r="A13391">
        <v>15128</v>
      </c>
      <c r="B13391" t="s">
        <v>35038</v>
      </c>
      <c r="C13391">
        <v>422</v>
      </c>
      <c r="D13391">
        <v>415</v>
      </c>
      <c r="E13391">
        <v>1577182519</v>
      </c>
      <c r="F13391">
        <v>4829</v>
      </c>
      <c r="G13391">
        <v>0</v>
      </c>
      <c r="H13391" t="s">
        <v>18261</v>
      </c>
      <c r="I13391">
        <v>15128</v>
      </c>
      <c r="J13391" t="str">
        <f>VLOOKUP(E13391,DSSpieler!A:B,2,FALSE)</f>
        <v>G1ov4nni</v>
      </c>
    </row>
    <row r="13392" spans="1:10" x14ac:dyDescent="0.25">
      <c r="A13392">
        <v>15129</v>
      </c>
      <c r="B13392" t="s">
        <v>2391</v>
      </c>
      <c r="C13392">
        <v>606</v>
      </c>
      <c r="D13392">
        <v>445</v>
      </c>
      <c r="E13392">
        <v>1577059202</v>
      </c>
      <c r="F13392">
        <v>5000</v>
      </c>
      <c r="G13392">
        <v>0</v>
      </c>
      <c r="H13392" t="s">
        <v>18262</v>
      </c>
      <c r="I13392">
        <v>15129</v>
      </c>
      <c r="J13392" t="str">
        <f>VLOOKUP(E13392,DSSpieler!A:B,2,FALSE)</f>
        <v>Kettenkrieger</v>
      </c>
    </row>
    <row r="13393" spans="1:10" x14ac:dyDescent="0.25">
      <c r="A13393">
        <v>15130</v>
      </c>
      <c r="B13393" t="s">
        <v>531</v>
      </c>
      <c r="C13393">
        <v>513</v>
      </c>
      <c r="D13393">
        <v>619</v>
      </c>
      <c r="E13393">
        <v>0</v>
      </c>
      <c r="F13393">
        <v>139</v>
      </c>
      <c r="G13393">
        <v>0</v>
      </c>
      <c r="H13393" t="s">
        <v>18263</v>
      </c>
      <c r="I13393">
        <v>15130</v>
      </c>
      <c r="J13393" t="e">
        <f>VLOOKUP(E13393,DSSpieler!A:B,2,FALSE)</f>
        <v>#N/A</v>
      </c>
    </row>
    <row r="13394" spans="1:10" x14ac:dyDescent="0.25">
      <c r="A13394">
        <v>15131</v>
      </c>
      <c r="B13394" t="s">
        <v>531</v>
      </c>
      <c r="C13394">
        <v>435</v>
      </c>
      <c r="D13394">
        <v>403</v>
      </c>
      <c r="E13394">
        <v>0</v>
      </c>
      <c r="F13394">
        <v>278</v>
      </c>
      <c r="G13394">
        <v>0</v>
      </c>
      <c r="H13394" t="s">
        <v>18264</v>
      </c>
      <c r="I13394">
        <v>15131</v>
      </c>
      <c r="J13394" t="e">
        <f>VLOOKUP(E13394,DSSpieler!A:B,2,FALSE)</f>
        <v>#N/A</v>
      </c>
    </row>
    <row r="13395" spans="1:10" x14ac:dyDescent="0.25">
      <c r="A13395">
        <v>15132</v>
      </c>
      <c r="B13395" t="s">
        <v>531</v>
      </c>
      <c r="C13395">
        <v>532</v>
      </c>
      <c r="D13395">
        <v>613</v>
      </c>
      <c r="E13395">
        <v>0</v>
      </c>
      <c r="F13395">
        <v>246</v>
      </c>
      <c r="G13395">
        <v>0</v>
      </c>
      <c r="H13395" t="s">
        <v>18265</v>
      </c>
      <c r="I13395">
        <v>15132</v>
      </c>
      <c r="J13395" t="e">
        <f>VLOOKUP(E13395,DSSpieler!A:B,2,FALSE)</f>
        <v>#N/A</v>
      </c>
    </row>
    <row r="13396" spans="1:10" x14ac:dyDescent="0.25">
      <c r="A13396">
        <v>15133</v>
      </c>
      <c r="B13396" t="s">
        <v>531</v>
      </c>
      <c r="C13396">
        <v>612</v>
      </c>
      <c r="D13396">
        <v>458</v>
      </c>
      <c r="E13396">
        <v>0</v>
      </c>
      <c r="F13396">
        <v>219</v>
      </c>
      <c r="G13396">
        <v>0</v>
      </c>
      <c r="H13396" t="s">
        <v>18266</v>
      </c>
      <c r="I13396">
        <v>15133</v>
      </c>
      <c r="J13396" t="e">
        <f>VLOOKUP(E13396,DSSpieler!A:B,2,FALSE)</f>
        <v>#N/A</v>
      </c>
    </row>
    <row r="13397" spans="1:10" x14ac:dyDescent="0.25">
      <c r="A13397">
        <v>15134</v>
      </c>
      <c r="B13397" t="s">
        <v>531</v>
      </c>
      <c r="C13397">
        <v>435</v>
      </c>
      <c r="D13397">
        <v>400</v>
      </c>
      <c r="E13397">
        <v>0</v>
      </c>
      <c r="F13397">
        <v>119</v>
      </c>
      <c r="G13397">
        <v>0</v>
      </c>
      <c r="H13397" t="s">
        <v>18267</v>
      </c>
      <c r="I13397">
        <v>15134</v>
      </c>
      <c r="J13397" t="e">
        <f>VLOOKUP(E13397,DSSpieler!A:B,2,FALSE)</f>
        <v>#N/A</v>
      </c>
    </row>
    <row r="13398" spans="1:10" x14ac:dyDescent="0.25">
      <c r="A13398">
        <v>15136</v>
      </c>
      <c r="B13398" t="s">
        <v>531</v>
      </c>
      <c r="C13398">
        <v>404</v>
      </c>
      <c r="D13398">
        <v>485</v>
      </c>
      <c r="E13398">
        <v>0</v>
      </c>
      <c r="F13398">
        <v>500</v>
      </c>
      <c r="G13398">
        <v>0</v>
      </c>
      <c r="H13398" t="s">
        <v>18268</v>
      </c>
      <c r="I13398">
        <v>15136</v>
      </c>
      <c r="J13398" t="e">
        <f>VLOOKUP(E13398,DSSpieler!A:B,2,FALSE)</f>
        <v>#N/A</v>
      </c>
    </row>
    <row r="13399" spans="1:10" x14ac:dyDescent="0.25">
      <c r="A13399">
        <v>15137</v>
      </c>
      <c r="B13399" t="s">
        <v>35039</v>
      </c>
      <c r="C13399">
        <v>475</v>
      </c>
      <c r="D13399">
        <v>385</v>
      </c>
      <c r="E13399">
        <v>3314936</v>
      </c>
      <c r="F13399">
        <v>2469</v>
      </c>
      <c r="G13399">
        <v>0</v>
      </c>
      <c r="H13399" t="s">
        <v>18269</v>
      </c>
      <c r="I13399">
        <v>15137</v>
      </c>
      <c r="J13399" t="str">
        <f>VLOOKUP(E13399,DSSpieler!A:B,2,FALSE)</f>
        <v>Matt239</v>
      </c>
    </row>
    <row r="13400" spans="1:10" x14ac:dyDescent="0.25">
      <c r="A13400">
        <v>15138</v>
      </c>
      <c r="B13400" t="s">
        <v>531</v>
      </c>
      <c r="C13400">
        <v>413</v>
      </c>
      <c r="D13400">
        <v>582</v>
      </c>
      <c r="E13400">
        <v>0</v>
      </c>
      <c r="F13400">
        <v>195</v>
      </c>
      <c r="G13400">
        <v>0</v>
      </c>
      <c r="H13400" t="s">
        <v>18270</v>
      </c>
      <c r="I13400">
        <v>15138</v>
      </c>
      <c r="J13400" t="e">
        <f>VLOOKUP(E13400,DSSpieler!A:B,2,FALSE)</f>
        <v>#N/A</v>
      </c>
    </row>
    <row r="13401" spans="1:10" x14ac:dyDescent="0.25">
      <c r="A13401">
        <v>15139</v>
      </c>
      <c r="B13401" t="s">
        <v>531</v>
      </c>
      <c r="C13401">
        <v>431</v>
      </c>
      <c r="D13401">
        <v>574</v>
      </c>
      <c r="E13401">
        <v>0</v>
      </c>
      <c r="F13401">
        <v>186</v>
      </c>
      <c r="G13401">
        <v>0</v>
      </c>
      <c r="H13401" t="s">
        <v>18271</v>
      </c>
      <c r="I13401">
        <v>15139</v>
      </c>
      <c r="J13401" t="e">
        <f>VLOOKUP(E13401,DSSpieler!A:B,2,FALSE)</f>
        <v>#N/A</v>
      </c>
    </row>
    <row r="13402" spans="1:10" x14ac:dyDescent="0.25">
      <c r="A13402">
        <v>15140</v>
      </c>
      <c r="B13402" t="s">
        <v>2392</v>
      </c>
      <c r="C13402">
        <v>608</v>
      </c>
      <c r="D13402">
        <v>449</v>
      </c>
      <c r="E13402">
        <v>1577059202</v>
      </c>
      <c r="F13402">
        <v>3904</v>
      </c>
      <c r="G13402">
        <v>0</v>
      </c>
      <c r="H13402" t="s">
        <v>18272</v>
      </c>
      <c r="I13402">
        <v>15140</v>
      </c>
      <c r="J13402" t="str">
        <f>VLOOKUP(E13402,DSSpieler!A:B,2,FALSE)</f>
        <v>Kettenkrieger</v>
      </c>
    </row>
    <row r="13403" spans="1:10" x14ac:dyDescent="0.25">
      <c r="A13403">
        <v>15141</v>
      </c>
      <c r="B13403" t="s">
        <v>531</v>
      </c>
      <c r="C13403">
        <v>430</v>
      </c>
      <c r="D13403">
        <v>568</v>
      </c>
      <c r="E13403">
        <v>0</v>
      </c>
      <c r="F13403">
        <v>136</v>
      </c>
      <c r="G13403">
        <v>0</v>
      </c>
      <c r="H13403" t="s">
        <v>18273</v>
      </c>
      <c r="I13403">
        <v>15141</v>
      </c>
      <c r="J13403" t="e">
        <f>VLOOKUP(E13403,DSSpieler!A:B,2,FALSE)</f>
        <v>#N/A</v>
      </c>
    </row>
    <row r="13404" spans="1:10" x14ac:dyDescent="0.25">
      <c r="A13404">
        <v>15143</v>
      </c>
      <c r="B13404" t="s">
        <v>531</v>
      </c>
      <c r="C13404">
        <v>412</v>
      </c>
      <c r="D13404">
        <v>580</v>
      </c>
      <c r="E13404">
        <v>0</v>
      </c>
      <c r="F13404">
        <v>215</v>
      </c>
      <c r="G13404">
        <v>0</v>
      </c>
      <c r="H13404" t="s">
        <v>18274</v>
      </c>
      <c r="I13404">
        <v>15143</v>
      </c>
      <c r="J13404" t="e">
        <f>VLOOKUP(E13404,DSSpieler!A:B,2,FALSE)</f>
        <v>#N/A</v>
      </c>
    </row>
    <row r="13405" spans="1:10" x14ac:dyDescent="0.25">
      <c r="A13405">
        <v>15145</v>
      </c>
      <c r="B13405" t="s">
        <v>531</v>
      </c>
      <c r="C13405">
        <v>463</v>
      </c>
      <c r="D13405">
        <v>613</v>
      </c>
      <c r="E13405">
        <v>0</v>
      </c>
      <c r="F13405">
        <v>174</v>
      </c>
      <c r="G13405">
        <v>0</v>
      </c>
      <c r="H13405" t="s">
        <v>18275</v>
      </c>
      <c r="I13405">
        <v>15145</v>
      </c>
      <c r="J13405" t="e">
        <f>VLOOKUP(E13405,DSSpieler!A:B,2,FALSE)</f>
        <v>#N/A</v>
      </c>
    </row>
    <row r="13406" spans="1:10" x14ac:dyDescent="0.25">
      <c r="A13406">
        <v>15147</v>
      </c>
      <c r="B13406" t="s">
        <v>35040</v>
      </c>
      <c r="C13406">
        <v>608</v>
      </c>
      <c r="D13406">
        <v>558</v>
      </c>
      <c r="E13406">
        <v>1577201907</v>
      </c>
      <c r="F13406">
        <v>3191</v>
      </c>
      <c r="G13406">
        <v>0</v>
      </c>
      <c r="H13406" t="s">
        <v>18276</v>
      </c>
      <c r="I13406">
        <v>15147</v>
      </c>
      <c r="J13406" t="str">
        <f>VLOOKUP(E13406,DSSpieler!A:B,2,FALSE)</f>
        <v>Lady Berti</v>
      </c>
    </row>
    <row r="13407" spans="1:10" x14ac:dyDescent="0.25">
      <c r="A13407">
        <v>15148</v>
      </c>
      <c r="B13407" t="s">
        <v>531</v>
      </c>
      <c r="C13407">
        <v>426</v>
      </c>
      <c r="D13407">
        <v>582</v>
      </c>
      <c r="E13407">
        <v>0</v>
      </c>
      <c r="F13407">
        <v>134</v>
      </c>
      <c r="G13407">
        <v>0</v>
      </c>
      <c r="H13407" t="s">
        <v>18277</v>
      </c>
      <c r="I13407">
        <v>15148</v>
      </c>
      <c r="J13407" t="e">
        <f>VLOOKUP(E13407,DSSpieler!A:B,2,FALSE)</f>
        <v>#N/A</v>
      </c>
    </row>
    <row r="13408" spans="1:10" x14ac:dyDescent="0.25">
      <c r="A13408">
        <v>15149</v>
      </c>
      <c r="B13408" t="s">
        <v>1825</v>
      </c>
      <c r="C13408">
        <v>444</v>
      </c>
      <c r="D13408">
        <v>542</v>
      </c>
      <c r="E13408">
        <v>1577190735</v>
      </c>
      <c r="F13408">
        <v>2066</v>
      </c>
      <c r="G13408">
        <v>0</v>
      </c>
      <c r="H13408" t="s">
        <v>18278</v>
      </c>
      <c r="I13408">
        <v>15149</v>
      </c>
      <c r="J13408" t="str">
        <f>VLOOKUP(E13408,DSSpieler!A:B,2,FALSE)</f>
        <v>.Django.</v>
      </c>
    </row>
    <row r="13409" spans="1:10" x14ac:dyDescent="0.25">
      <c r="A13409">
        <v>15150</v>
      </c>
      <c r="B13409" t="s">
        <v>531</v>
      </c>
      <c r="C13409">
        <v>430</v>
      </c>
      <c r="D13409">
        <v>582</v>
      </c>
      <c r="E13409">
        <v>0</v>
      </c>
      <c r="F13409">
        <v>89</v>
      </c>
      <c r="G13409">
        <v>0</v>
      </c>
      <c r="H13409" t="s">
        <v>18279</v>
      </c>
      <c r="I13409">
        <v>15150</v>
      </c>
      <c r="J13409" t="e">
        <f>VLOOKUP(E13409,DSSpieler!A:B,2,FALSE)</f>
        <v>#N/A</v>
      </c>
    </row>
    <row r="13410" spans="1:10" x14ac:dyDescent="0.25">
      <c r="A13410">
        <v>15151</v>
      </c>
      <c r="B13410" t="s">
        <v>531</v>
      </c>
      <c r="C13410">
        <v>581</v>
      </c>
      <c r="D13410">
        <v>583</v>
      </c>
      <c r="E13410">
        <v>0</v>
      </c>
      <c r="F13410">
        <v>185</v>
      </c>
      <c r="G13410">
        <v>0</v>
      </c>
      <c r="H13410" t="s">
        <v>18280</v>
      </c>
      <c r="I13410">
        <v>15151</v>
      </c>
      <c r="J13410" t="e">
        <f>VLOOKUP(E13410,DSSpieler!A:B,2,FALSE)</f>
        <v>#N/A</v>
      </c>
    </row>
    <row r="13411" spans="1:10" x14ac:dyDescent="0.25">
      <c r="A13411">
        <v>15152</v>
      </c>
      <c r="B13411" t="s">
        <v>2393</v>
      </c>
      <c r="C13411">
        <v>610</v>
      </c>
      <c r="D13411">
        <v>497</v>
      </c>
      <c r="E13411">
        <v>1576941620</v>
      </c>
      <c r="F13411">
        <v>3496</v>
      </c>
      <c r="G13411">
        <v>0</v>
      </c>
      <c r="H13411" t="s">
        <v>18281</v>
      </c>
      <c r="I13411">
        <v>15152</v>
      </c>
      <c r="J13411" t="str">
        <f>VLOOKUP(E13411,DSSpieler!A:B,2,FALSE)</f>
        <v>gottimperator</v>
      </c>
    </row>
    <row r="13412" spans="1:10" x14ac:dyDescent="0.25">
      <c r="A13412">
        <v>15153</v>
      </c>
      <c r="B13412" t="s">
        <v>531</v>
      </c>
      <c r="C13412">
        <v>408</v>
      </c>
      <c r="D13412">
        <v>424</v>
      </c>
      <c r="E13412">
        <v>0</v>
      </c>
      <c r="F13412">
        <v>235</v>
      </c>
      <c r="G13412">
        <v>0</v>
      </c>
      <c r="H13412" t="s">
        <v>18282</v>
      </c>
      <c r="I13412">
        <v>15153</v>
      </c>
      <c r="J13412" t="e">
        <f>VLOOKUP(E13412,DSSpieler!A:B,2,FALSE)</f>
        <v>#N/A</v>
      </c>
    </row>
    <row r="13413" spans="1:10" x14ac:dyDescent="0.25">
      <c r="A13413">
        <v>15154</v>
      </c>
      <c r="B13413" t="s">
        <v>531</v>
      </c>
      <c r="C13413">
        <v>417</v>
      </c>
      <c r="D13413">
        <v>573</v>
      </c>
      <c r="E13413">
        <v>0</v>
      </c>
      <c r="F13413">
        <v>182</v>
      </c>
      <c r="G13413">
        <v>0</v>
      </c>
      <c r="H13413" t="s">
        <v>18283</v>
      </c>
      <c r="I13413">
        <v>15154</v>
      </c>
      <c r="J13413" t="e">
        <f>VLOOKUP(E13413,DSSpieler!A:B,2,FALSE)</f>
        <v>#N/A</v>
      </c>
    </row>
    <row r="13414" spans="1:10" x14ac:dyDescent="0.25">
      <c r="A13414">
        <v>15155</v>
      </c>
      <c r="B13414" t="s">
        <v>531</v>
      </c>
      <c r="C13414">
        <v>448</v>
      </c>
      <c r="D13414">
        <v>397</v>
      </c>
      <c r="E13414">
        <v>0</v>
      </c>
      <c r="F13414">
        <v>269</v>
      </c>
      <c r="G13414">
        <v>0</v>
      </c>
      <c r="H13414" t="s">
        <v>18284</v>
      </c>
      <c r="I13414">
        <v>15155</v>
      </c>
      <c r="J13414" t="e">
        <f>VLOOKUP(E13414,DSSpieler!A:B,2,FALSE)</f>
        <v>#N/A</v>
      </c>
    </row>
    <row r="13415" spans="1:10" x14ac:dyDescent="0.25">
      <c r="A13415">
        <v>15156</v>
      </c>
      <c r="B13415" t="s">
        <v>531</v>
      </c>
      <c r="C13415">
        <v>426</v>
      </c>
      <c r="D13415">
        <v>583</v>
      </c>
      <c r="E13415">
        <v>0</v>
      </c>
      <c r="F13415">
        <v>133</v>
      </c>
      <c r="G13415">
        <v>0</v>
      </c>
      <c r="H13415" t="s">
        <v>18285</v>
      </c>
      <c r="I13415">
        <v>15156</v>
      </c>
      <c r="J13415" t="e">
        <f>VLOOKUP(E13415,DSSpieler!A:B,2,FALSE)</f>
        <v>#N/A</v>
      </c>
    </row>
    <row r="13416" spans="1:10" x14ac:dyDescent="0.25">
      <c r="A13416">
        <v>15157</v>
      </c>
      <c r="B13416" t="s">
        <v>35041</v>
      </c>
      <c r="C13416">
        <v>607</v>
      </c>
      <c r="D13416">
        <v>453</v>
      </c>
      <c r="E13416">
        <v>1576999407</v>
      </c>
      <c r="F13416">
        <v>3587</v>
      </c>
      <c r="G13416">
        <v>0</v>
      </c>
      <c r="H13416" t="s">
        <v>18286</v>
      </c>
      <c r="I13416">
        <v>15157</v>
      </c>
      <c r="J13416" t="str">
        <f>VLOOKUP(E13416,DSSpieler!A:B,2,FALSE)</f>
        <v>Adolphina</v>
      </c>
    </row>
    <row r="13417" spans="1:10" x14ac:dyDescent="0.25">
      <c r="A13417">
        <v>15158</v>
      </c>
      <c r="B13417" t="s">
        <v>35042</v>
      </c>
      <c r="C13417">
        <v>612</v>
      </c>
      <c r="D13417">
        <v>454</v>
      </c>
      <c r="E13417">
        <v>1575967615</v>
      </c>
      <c r="F13417">
        <v>4242</v>
      </c>
      <c r="G13417">
        <v>0</v>
      </c>
      <c r="H13417" t="s">
        <v>18287</v>
      </c>
      <c r="I13417">
        <v>15158</v>
      </c>
      <c r="J13417" t="str">
        <f>VLOOKUP(E13417,DSSpieler!A:B,2,FALSE)</f>
        <v>Torix</v>
      </c>
    </row>
    <row r="13418" spans="1:10" x14ac:dyDescent="0.25">
      <c r="A13418">
        <v>15159</v>
      </c>
      <c r="B13418" t="s">
        <v>35043</v>
      </c>
      <c r="C13418">
        <v>422</v>
      </c>
      <c r="D13418">
        <v>410</v>
      </c>
      <c r="E13418">
        <v>9209107</v>
      </c>
      <c r="F13418">
        <v>2041</v>
      </c>
      <c r="G13418">
        <v>0</v>
      </c>
      <c r="H13418" t="s">
        <v>18288</v>
      </c>
      <c r="I13418">
        <v>15159</v>
      </c>
      <c r="J13418" t="str">
        <f>VLOOKUP(E13418,DSSpieler!A:B,2,FALSE)</f>
        <v>Nini der Ritter</v>
      </c>
    </row>
    <row r="13419" spans="1:10" x14ac:dyDescent="0.25">
      <c r="A13419">
        <v>15160</v>
      </c>
      <c r="B13419" t="s">
        <v>531</v>
      </c>
      <c r="C13419">
        <v>447</v>
      </c>
      <c r="D13419">
        <v>602</v>
      </c>
      <c r="E13419">
        <v>0</v>
      </c>
      <c r="F13419">
        <v>170</v>
      </c>
      <c r="G13419">
        <v>0</v>
      </c>
      <c r="H13419" t="s">
        <v>18289</v>
      </c>
      <c r="I13419">
        <v>15160</v>
      </c>
      <c r="J13419" t="e">
        <f>VLOOKUP(E13419,DSSpieler!A:B,2,FALSE)</f>
        <v>#N/A</v>
      </c>
    </row>
    <row r="13420" spans="1:10" x14ac:dyDescent="0.25">
      <c r="A13420">
        <v>15161</v>
      </c>
      <c r="B13420" t="s">
        <v>35044</v>
      </c>
      <c r="C13420">
        <v>432</v>
      </c>
      <c r="D13420">
        <v>598</v>
      </c>
      <c r="E13420">
        <v>1577200888</v>
      </c>
      <c r="F13420">
        <v>2459</v>
      </c>
      <c r="G13420">
        <v>0</v>
      </c>
      <c r="H13420" t="s">
        <v>18290</v>
      </c>
      <c r="I13420">
        <v>15161</v>
      </c>
      <c r="J13420" t="str">
        <f>VLOOKUP(E13420,DSSpieler!A:B,2,FALSE)</f>
        <v>welovefeedz</v>
      </c>
    </row>
    <row r="13421" spans="1:10" x14ac:dyDescent="0.25">
      <c r="A13421">
        <v>15162</v>
      </c>
      <c r="B13421" t="s">
        <v>531</v>
      </c>
      <c r="C13421">
        <v>410</v>
      </c>
      <c r="D13421">
        <v>427</v>
      </c>
      <c r="E13421">
        <v>0</v>
      </c>
      <c r="F13421">
        <v>771</v>
      </c>
      <c r="G13421">
        <v>0</v>
      </c>
      <c r="H13421" t="s">
        <v>18291</v>
      </c>
      <c r="I13421">
        <v>15162</v>
      </c>
      <c r="J13421" t="e">
        <f>VLOOKUP(E13421,DSSpieler!A:B,2,FALSE)</f>
        <v>#N/A</v>
      </c>
    </row>
    <row r="13422" spans="1:10" x14ac:dyDescent="0.25">
      <c r="A13422">
        <v>15163</v>
      </c>
      <c r="B13422" t="s">
        <v>35045</v>
      </c>
      <c r="C13422">
        <v>516</v>
      </c>
      <c r="D13422">
        <v>590</v>
      </c>
      <c r="E13422">
        <v>9239094</v>
      </c>
      <c r="F13422">
        <v>2579</v>
      </c>
      <c r="G13422">
        <v>0</v>
      </c>
      <c r="H13422" t="s">
        <v>18292</v>
      </c>
      <c r="I13422">
        <v>15163</v>
      </c>
      <c r="J13422" t="str">
        <f>VLOOKUP(E13422,DSSpieler!A:B,2,FALSE)</f>
        <v>beckdan936</v>
      </c>
    </row>
    <row r="13423" spans="1:10" x14ac:dyDescent="0.25">
      <c r="A13423">
        <v>15164</v>
      </c>
      <c r="B13423" t="s">
        <v>531</v>
      </c>
      <c r="C13423">
        <v>410</v>
      </c>
      <c r="D13423">
        <v>578</v>
      </c>
      <c r="E13423">
        <v>0</v>
      </c>
      <c r="F13423">
        <v>232</v>
      </c>
      <c r="G13423">
        <v>0</v>
      </c>
      <c r="H13423" t="s">
        <v>18293</v>
      </c>
      <c r="I13423">
        <v>15164</v>
      </c>
      <c r="J13423" t="e">
        <f>VLOOKUP(E13423,DSSpieler!A:B,2,FALSE)</f>
        <v>#N/A</v>
      </c>
    </row>
    <row r="13424" spans="1:10" x14ac:dyDescent="0.25">
      <c r="A13424">
        <v>15165</v>
      </c>
      <c r="B13424" t="s">
        <v>531</v>
      </c>
      <c r="C13424">
        <v>489</v>
      </c>
      <c r="D13424">
        <v>381</v>
      </c>
      <c r="E13424">
        <v>0</v>
      </c>
      <c r="F13424">
        <v>237</v>
      </c>
      <c r="G13424">
        <v>0</v>
      </c>
      <c r="H13424" t="s">
        <v>18294</v>
      </c>
      <c r="I13424">
        <v>15165</v>
      </c>
      <c r="J13424" t="e">
        <f>VLOOKUP(E13424,DSSpieler!A:B,2,FALSE)</f>
        <v>#N/A</v>
      </c>
    </row>
    <row r="13425" spans="1:10" x14ac:dyDescent="0.25">
      <c r="A13425">
        <v>15166</v>
      </c>
      <c r="B13425" t="s">
        <v>531</v>
      </c>
      <c r="C13425">
        <v>387</v>
      </c>
      <c r="D13425">
        <v>537</v>
      </c>
      <c r="E13425">
        <v>0</v>
      </c>
      <c r="F13425">
        <v>189</v>
      </c>
      <c r="G13425">
        <v>0</v>
      </c>
      <c r="H13425" t="s">
        <v>18295</v>
      </c>
      <c r="I13425">
        <v>15166</v>
      </c>
      <c r="J13425" t="e">
        <f>VLOOKUP(E13425,DSSpieler!A:B,2,FALSE)</f>
        <v>#N/A</v>
      </c>
    </row>
    <row r="13426" spans="1:10" x14ac:dyDescent="0.25">
      <c r="A13426">
        <v>15167</v>
      </c>
      <c r="B13426" t="s">
        <v>531</v>
      </c>
      <c r="C13426">
        <v>422</v>
      </c>
      <c r="D13426">
        <v>409</v>
      </c>
      <c r="E13426">
        <v>0</v>
      </c>
      <c r="F13426">
        <v>410</v>
      </c>
      <c r="G13426">
        <v>0</v>
      </c>
      <c r="H13426" t="s">
        <v>18296</v>
      </c>
      <c r="I13426">
        <v>15167</v>
      </c>
      <c r="J13426" t="e">
        <f>VLOOKUP(E13426,DSSpieler!A:B,2,FALSE)</f>
        <v>#N/A</v>
      </c>
    </row>
    <row r="13427" spans="1:10" x14ac:dyDescent="0.25">
      <c r="A13427">
        <v>15168</v>
      </c>
      <c r="B13427" t="s">
        <v>35046</v>
      </c>
      <c r="C13427">
        <v>614</v>
      </c>
      <c r="D13427">
        <v>516</v>
      </c>
      <c r="E13427">
        <v>1576992254</v>
      </c>
      <c r="F13427">
        <v>26</v>
      </c>
      <c r="G13427">
        <v>0</v>
      </c>
      <c r="H13427" t="s">
        <v>18297</v>
      </c>
      <c r="I13427">
        <v>15168</v>
      </c>
      <c r="J13427" t="str">
        <f>VLOOKUP(E13427,DSSpieler!A:B,2,FALSE)</f>
        <v>legrend</v>
      </c>
    </row>
    <row r="13428" spans="1:10" x14ac:dyDescent="0.25">
      <c r="A13428">
        <v>15169</v>
      </c>
      <c r="B13428" t="s">
        <v>667</v>
      </c>
      <c r="C13428">
        <v>396</v>
      </c>
      <c r="D13428">
        <v>442</v>
      </c>
      <c r="E13428">
        <v>1577063007</v>
      </c>
      <c r="F13428">
        <v>2521</v>
      </c>
      <c r="G13428">
        <v>0</v>
      </c>
      <c r="H13428" t="s">
        <v>18298</v>
      </c>
      <c r="I13428">
        <v>15169</v>
      </c>
      <c r="J13428" t="str">
        <f>VLOOKUP(E13428,DSSpieler!A:B,2,FALSE)</f>
        <v>xSynC1992</v>
      </c>
    </row>
    <row r="13429" spans="1:10" x14ac:dyDescent="0.25">
      <c r="A13429">
        <v>15171</v>
      </c>
      <c r="B13429" t="s">
        <v>35047</v>
      </c>
      <c r="C13429">
        <v>493</v>
      </c>
      <c r="D13429">
        <v>385</v>
      </c>
      <c r="E13429">
        <v>3031955</v>
      </c>
      <c r="F13429">
        <v>2549</v>
      </c>
      <c r="G13429">
        <v>0</v>
      </c>
      <c r="H13429" t="s">
        <v>18299</v>
      </c>
      <c r="I13429">
        <v>15171</v>
      </c>
      <c r="J13429" t="str">
        <f>VLOOKUP(E13429,DSSpieler!A:B,2,FALSE)</f>
        <v>colahefe</v>
      </c>
    </row>
    <row r="13430" spans="1:10" x14ac:dyDescent="0.25">
      <c r="A13430">
        <v>15172</v>
      </c>
      <c r="B13430" t="s">
        <v>531</v>
      </c>
      <c r="C13430">
        <v>396</v>
      </c>
      <c r="D13430">
        <v>446</v>
      </c>
      <c r="E13430">
        <v>0</v>
      </c>
      <c r="F13430">
        <v>418</v>
      </c>
      <c r="G13430">
        <v>0</v>
      </c>
      <c r="H13430" t="s">
        <v>18300</v>
      </c>
      <c r="I13430">
        <v>15172</v>
      </c>
      <c r="J13430" t="e">
        <f>VLOOKUP(E13430,DSSpieler!A:B,2,FALSE)</f>
        <v>#N/A</v>
      </c>
    </row>
    <row r="13431" spans="1:10" x14ac:dyDescent="0.25">
      <c r="A13431">
        <v>15173</v>
      </c>
      <c r="B13431" t="s">
        <v>35048</v>
      </c>
      <c r="C13431">
        <v>447</v>
      </c>
      <c r="D13431">
        <v>552</v>
      </c>
      <c r="E13431">
        <v>1577201721</v>
      </c>
      <c r="F13431">
        <v>2249</v>
      </c>
      <c r="G13431">
        <v>0</v>
      </c>
      <c r="H13431" t="s">
        <v>18301</v>
      </c>
      <c r="I13431">
        <v>15173</v>
      </c>
      <c r="J13431" t="str">
        <f>VLOOKUP(E13431,DSSpieler!A:B,2,FALSE)</f>
        <v>TheRealRBB</v>
      </c>
    </row>
    <row r="13432" spans="1:10" x14ac:dyDescent="0.25">
      <c r="A13432">
        <v>15174</v>
      </c>
      <c r="B13432" t="s">
        <v>35049</v>
      </c>
      <c r="C13432">
        <v>490</v>
      </c>
      <c r="D13432">
        <v>617</v>
      </c>
      <c r="E13432">
        <v>3210799</v>
      </c>
      <c r="F13432">
        <v>4932</v>
      </c>
      <c r="G13432">
        <v>0</v>
      </c>
      <c r="H13432" t="s">
        <v>18302</v>
      </c>
      <c r="I13432">
        <v>15174</v>
      </c>
      <c r="J13432" t="str">
        <f>VLOOKUP(E13432,DSSpieler!A:B,2,FALSE)</f>
        <v>fekiks</v>
      </c>
    </row>
    <row r="13433" spans="1:10" x14ac:dyDescent="0.25">
      <c r="A13433">
        <v>15175</v>
      </c>
      <c r="B13433" t="s">
        <v>531</v>
      </c>
      <c r="C13433">
        <v>428</v>
      </c>
      <c r="D13433">
        <v>589</v>
      </c>
      <c r="E13433">
        <v>0</v>
      </c>
      <c r="F13433">
        <v>257</v>
      </c>
      <c r="G13433">
        <v>0</v>
      </c>
      <c r="H13433" t="s">
        <v>18303</v>
      </c>
      <c r="I13433">
        <v>15175</v>
      </c>
      <c r="J13433" t="e">
        <f>VLOOKUP(E13433,DSSpieler!A:B,2,FALSE)</f>
        <v>#N/A</v>
      </c>
    </row>
    <row r="13434" spans="1:10" x14ac:dyDescent="0.25">
      <c r="A13434">
        <v>15176</v>
      </c>
      <c r="B13434" t="s">
        <v>2394</v>
      </c>
      <c r="C13434">
        <v>590</v>
      </c>
      <c r="D13434">
        <v>429</v>
      </c>
      <c r="E13434">
        <v>1577186645</v>
      </c>
      <c r="F13434">
        <v>2215</v>
      </c>
      <c r="G13434">
        <v>0</v>
      </c>
      <c r="H13434" t="s">
        <v>18304</v>
      </c>
      <c r="I13434">
        <v>15176</v>
      </c>
      <c r="J13434" t="str">
        <f>VLOOKUP(E13434,DSSpieler!A:B,2,FALSE)</f>
        <v>innerdreamz</v>
      </c>
    </row>
    <row r="13435" spans="1:10" x14ac:dyDescent="0.25">
      <c r="A13435">
        <v>15177</v>
      </c>
      <c r="B13435" t="s">
        <v>2395</v>
      </c>
      <c r="C13435">
        <v>613</v>
      </c>
      <c r="D13435">
        <v>461</v>
      </c>
      <c r="E13435">
        <v>1577193907</v>
      </c>
      <c r="F13435">
        <v>2015</v>
      </c>
      <c r="G13435">
        <v>0</v>
      </c>
      <c r="H13435" t="s">
        <v>18305</v>
      </c>
      <c r="I13435">
        <v>15177</v>
      </c>
      <c r="J13435" t="str">
        <f>VLOOKUP(E13435,DSSpieler!A:B,2,FALSE)</f>
        <v>Scorpo</v>
      </c>
    </row>
    <row r="13436" spans="1:10" x14ac:dyDescent="0.25">
      <c r="A13436">
        <v>15178</v>
      </c>
      <c r="B13436" t="s">
        <v>2396</v>
      </c>
      <c r="C13436">
        <v>616</v>
      </c>
      <c r="D13436">
        <v>457</v>
      </c>
      <c r="E13436">
        <v>1577201959</v>
      </c>
      <c r="F13436">
        <v>2209</v>
      </c>
      <c r="G13436">
        <v>0</v>
      </c>
      <c r="H13436" t="s">
        <v>18306</v>
      </c>
      <c r="I13436">
        <v>15178</v>
      </c>
      <c r="J13436" t="str">
        <f>VLOOKUP(E13436,DSSpieler!A:B,2,FALSE)</f>
        <v>HolzBurg</v>
      </c>
    </row>
    <row r="13437" spans="1:10" x14ac:dyDescent="0.25">
      <c r="A13437">
        <v>15179</v>
      </c>
      <c r="B13437" t="s">
        <v>35050</v>
      </c>
      <c r="C13437">
        <v>611</v>
      </c>
      <c r="D13437">
        <v>461</v>
      </c>
      <c r="E13437">
        <v>1576473817</v>
      </c>
      <c r="F13437">
        <v>2615</v>
      </c>
      <c r="G13437">
        <v>0</v>
      </c>
      <c r="H13437" t="s">
        <v>18307</v>
      </c>
      <c r="I13437">
        <v>15179</v>
      </c>
      <c r="J13437" t="str">
        <f>VLOOKUP(E13437,DSSpieler!A:B,2,FALSE)</f>
        <v>Robert9663</v>
      </c>
    </row>
    <row r="13438" spans="1:10" x14ac:dyDescent="0.25">
      <c r="A13438">
        <v>15180</v>
      </c>
      <c r="B13438" t="s">
        <v>531</v>
      </c>
      <c r="C13438">
        <v>467</v>
      </c>
      <c r="D13438">
        <v>387</v>
      </c>
      <c r="E13438">
        <v>0</v>
      </c>
      <c r="F13438">
        <v>264</v>
      </c>
      <c r="G13438">
        <v>0</v>
      </c>
      <c r="H13438" t="s">
        <v>18308</v>
      </c>
      <c r="I13438">
        <v>15180</v>
      </c>
      <c r="J13438" t="e">
        <f>VLOOKUP(E13438,DSSpieler!A:B,2,FALSE)</f>
        <v>#N/A</v>
      </c>
    </row>
    <row r="13439" spans="1:10" x14ac:dyDescent="0.25">
      <c r="A13439">
        <v>15181</v>
      </c>
      <c r="B13439" t="s">
        <v>531</v>
      </c>
      <c r="C13439">
        <v>519</v>
      </c>
      <c r="D13439">
        <v>615</v>
      </c>
      <c r="E13439">
        <v>0</v>
      </c>
      <c r="F13439">
        <v>481</v>
      </c>
      <c r="G13439">
        <v>0</v>
      </c>
      <c r="H13439" t="s">
        <v>18309</v>
      </c>
      <c r="I13439">
        <v>15181</v>
      </c>
      <c r="J13439" t="e">
        <f>VLOOKUP(E13439,DSSpieler!A:B,2,FALSE)</f>
        <v>#N/A</v>
      </c>
    </row>
    <row r="13440" spans="1:10" x14ac:dyDescent="0.25">
      <c r="A13440">
        <v>15182</v>
      </c>
      <c r="B13440" t="s">
        <v>30724</v>
      </c>
      <c r="C13440">
        <v>416</v>
      </c>
      <c r="D13440">
        <v>419</v>
      </c>
      <c r="E13440">
        <v>1577144409</v>
      </c>
      <c r="F13440">
        <v>4189</v>
      </c>
      <c r="G13440">
        <v>0</v>
      </c>
      <c r="H13440" t="s">
        <v>18310</v>
      </c>
      <c r="I13440">
        <v>15182</v>
      </c>
      <c r="J13440" t="str">
        <f>VLOOKUP(E13440,DSSpieler!A:B,2,FALSE)</f>
        <v>Gero1909</v>
      </c>
    </row>
    <row r="13441" spans="1:10" x14ac:dyDescent="0.25">
      <c r="A13441">
        <v>15183</v>
      </c>
      <c r="B13441" t="s">
        <v>531</v>
      </c>
      <c r="C13441">
        <v>591</v>
      </c>
      <c r="D13441">
        <v>574</v>
      </c>
      <c r="E13441">
        <v>0</v>
      </c>
      <c r="F13441">
        <v>383</v>
      </c>
      <c r="G13441">
        <v>0</v>
      </c>
      <c r="H13441" t="s">
        <v>18311</v>
      </c>
      <c r="I13441">
        <v>15183</v>
      </c>
      <c r="J13441" t="e">
        <f>VLOOKUP(E13441,DSSpieler!A:B,2,FALSE)</f>
        <v>#N/A</v>
      </c>
    </row>
    <row r="13442" spans="1:10" x14ac:dyDescent="0.25">
      <c r="A13442">
        <v>15184</v>
      </c>
      <c r="B13442" t="s">
        <v>35051</v>
      </c>
      <c r="C13442">
        <v>544</v>
      </c>
      <c r="D13442">
        <v>408</v>
      </c>
      <c r="E13442">
        <v>8076591</v>
      </c>
      <c r="F13442">
        <v>2030</v>
      </c>
      <c r="G13442">
        <v>0</v>
      </c>
      <c r="H13442" t="s">
        <v>18312</v>
      </c>
      <c r="I13442">
        <v>15184</v>
      </c>
      <c r="J13442" t="str">
        <f>VLOOKUP(E13442,DSSpieler!A:B,2,FALSE)</f>
        <v>Hinsel</v>
      </c>
    </row>
    <row r="13443" spans="1:10" x14ac:dyDescent="0.25">
      <c r="A13443">
        <v>15185</v>
      </c>
      <c r="B13443" t="s">
        <v>531</v>
      </c>
      <c r="C13443">
        <v>446</v>
      </c>
      <c r="D13443">
        <v>604</v>
      </c>
      <c r="E13443">
        <v>0</v>
      </c>
      <c r="F13443">
        <v>170</v>
      </c>
      <c r="G13443">
        <v>0</v>
      </c>
      <c r="H13443" t="s">
        <v>18313</v>
      </c>
      <c r="I13443">
        <v>15185</v>
      </c>
      <c r="J13443" t="e">
        <f>VLOOKUP(E13443,DSSpieler!A:B,2,FALSE)</f>
        <v>#N/A</v>
      </c>
    </row>
    <row r="13444" spans="1:10" x14ac:dyDescent="0.25">
      <c r="A13444">
        <v>15187</v>
      </c>
      <c r="B13444" t="s">
        <v>600</v>
      </c>
      <c r="C13444">
        <v>592</v>
      </c>
      <c r="D13444">
        <v>425</v>
      </c>
      <c r="E13444">
        <v>7906356</v>
      </c>
      <c r="F13444">
        <v>3233</v>
      </c>
      <c r="G13444">
        <v>0</v>
      </c>
      <c r="H13444" t="s">
        <v>18314</v>
      </c>
      <c r="I13444">
        <v>15187</v>
      </c>
      <c r="J13444" t="str">
        <f>VLOOKUP(E13444,DSSpieler!A:B,2,FALSE)</f>
        <v>Aggaliy</v>
      </c>
    </row>
    <row r="13445" spans="1:10" x14ac:dyDescent="0.25">
      <c r="A13445">
        <v>15188</v>
      </c>
      <c r="B13445" t="s">
        <v>35052</v>
      </c>
      <c r="C13445">
        <v>442</v>
      </c>
      <c r="D13445">
        <v>407</v>
      </c>
      <c r="E13445">
        <v>1577189837</v>
      </c>
      <c r="F13445">
        <v>2036</v>
      </c>
      <c r="G13445">
        <v>0</v>
      </c>
      <c r="H13445" t="s">
        <v>18315</v>
      </c>
      <c r="I13445">
        <v>15188</v>
      </c>
      <c r="J13445" t="str">
        <f>VLOOKUP(E13445,DSSpieler!A:B,2,FALSE)</f>
        <v>wisel3000</v>
      </c>
    </row>
    <row r="13446" spans="1:10" x14ac:dyDescent="0.25">
      <c r="A13446">
        <v>15189</v>
      </c>
      <c r="B13446" t="s">
        <v>35053</v>
      </c>
      <c r="C13446">
        <v>481</v>
      </c>
      <c r="D13446">
        <v>505</v>
      </c>
      <c r="E13446">
        <v>1576565351</v>
      </c>
      <c r="F13446">
        <v>1830</v>
      </c>
      <c r="G13446">
        <v>0</v>
      </c>
      <c r="H13446" t="s">
        <v>18316</v>
      </c>
      <c r="I13446">
        <v>15189</v>
      </c>
      <c r="J13446" t="str">
        <f>VLOOKUP(E13446,DSSpieler!A:B,2,FALSE)</f>
        <v>Kiyosuki</v>
      </c>
    </row>
    <row r="13447" spans="1:10" x14ac:dyDescent="0.25">
      <c r="A13447">
        <v>15190</v>
      </c>
      <c r="B13447" t="s">
        <v>985</v>
      </c>
      <c r="C13447">
        <v>587</v>
      </c>
      <c r="D13447">
        <v>555</v>
      </c>
      <c r="E13447">
        <v>1576942861</v>
      </c>
      <c r="F13447">
        <v>4177</v>
      </c>
      <c r="G13447">
        <v>0</v>
      </c>
      <c r="H13447" t="s">
        <v>18317</v>
      </c>
      <c r="I13447">
        <v>15190</v>
      </c>
      <c r="J13447" t="str">
        <f>VLOOKUP(E13447,DSSpieler!A:B,2,FALSE)</f>
        <v>Gremlinseye</v>
      </c>
    </row>
    <row r="13448" spans="1:10" x14ac:dyDescent="0.25">
      <c r="A13448">
        <v>15191</v>
      </c>
      <c r="B13448" t="s">
        <v>531</v>
      </c>
      <c r="C13448">
        <v>383</v>
      </c>
      <c r="D13448">
        <v>483</v>
      </c>
      <c r="E13448">
        <v>0</v>
      </c>
      <c r="F13448">
        <v>205</v>
      </c>
      <c r="G13448">
        <v>0</v>
      </c>
      <c r="H13448" t="s">
        <v>18318</v>
      </c>
      <c r="I13448">
        <v>15191</v>
      </c>
      <c r="J13448" t="e">
        <f>VLOOKUP(E13448,DSSpieler!A:B,2,FALSE)</f>
        <v>#N/A</v>
      </c>
    </row>
    <row r="13449" spans="1:10" x14ac:dyDescent="0.25">
      <c r="A13449">
        <v>15192</v>
      </c>
      <c r="B13449" t="s">
        <v>2397</v>
      </c>
      <c r="C13449">
        <v>521</v>
      </c>
      <c r="D13449">
        <v>531</v>
      </c>
      <c r="E13449">
        <v>1577201988</v>
      </c>
      <c r="F13449">
        <v>3898</v>
      </c>
      <c r="G13449">
        <v>0</v>
      </c>
      <c r="H13449" t="s">
        <v>18319</v>
      </c>
      <c r="I13449">
        <v>15192</v>
      </c>
      <c r="J13449" t="str">
        <f>VLOOKUP(E13449,DSSpieler!A:B,2,FALSE)</f>
        <v>executer44</v>
      </c>
    </row>
    <row r="13450" spans="1:10" x14ac:dyDescent="0.25">
      <c r="A13450">
        <v>15193</v>
      </c>
      <c r="B13450" t="s">
        <v>35054</v>
      </c>
      <c r="C13450">
        <v>570</v>
      </c>
      <c r="D13450">
        <v>456</v>
      </c>
      <c r="E13450">
        <v>1577199336</v>
      </c>
      <c r="F13450">
        <v>3112</v>
      </c>
      <c r="G13450">
        <v>0</v>
      </c>
      <c r="H13450" t="s">
        <v>18320</v>
      </c>
      <c r="I13450">
        <v>15193</v>
      </c>
      <c r="J13450" t="str">
        <f>VLOOKUP(E13450,DSSpieler!A:B,2,FALSE)</f>
        <v>Adelkönig</v>
      </c>
    </row>
    <row r="13451" spans="1:10" x14ac:dyDescent="0.25">
      <c r="A13451">
        <v>15194</v>
      </c>
      <c r="B13451" t="s">
        <v>35055</v>
      </c>
      <c r="C13451">
        <v>551</v>
      </c>
      <c r="D13451">
        <v>609</v>
      </c>
      <c r="E13451">
        <v>1327189</v>
      </c>
      <c r="F13451">
        <v>3539</v>
      </c>
      <c r="G13451">
        <v>0</v>
      </c>
      <c r="H13451" t="s">
        <v>18321</v>
      </c>
      <c r="I13451">
        <v>15194</v>
      </c>
      <c r="J13451" t="str">
        <f>VLOOKUP(E13451,DSSpieler!A:B,2,FALSE)</f>
        <v>DerBoeseBub</v>
      </c>
    </row>
    <row r="13452" spans="1:10" x14ac:dyDescent="0.25">
      <c r="A13452">
        <v>15195</v>
      </c>
      <c r="B13452" t="s">
        <v>35056</v>
      </c>
      <c r="C13452">
        <v>464</v>
      </c>
      <c r="D13452">
        <v>615</v>
      </c>
      <c r="E13452">
        <v>1576183074</v>
      </c>
      <c r="F13452">
        <v>3675</v>
      </c>
      <c r="G13452">
        <v>0</v>
      </c>
      <c r="H13452" t="s">
        <v>18322</v>
      </c>
      <c r="I13452">
        <v>15195</v>
      </c>
      <c r="J13452" t="str">
        <f>VLOOKUP(E13452,DSSpieler!A:B,2,FALSE)</f>
        <v>KaptainObvious</v>
      </c>
    </row>
    <row r="13453" spans="1:10" x14ac:dyDescent="0.25">
      <c r="A13453">
        <v>15196</v>
      </c>
      <c r="B13453" t="s">
        <v>35057</v>
      </c>
      <c r="C13453">
        <v>390</v>
      </c>
      <c r="D13453">
        <v>465</v>
      </c>
      <c r="E13453">
        <v>1577191249</v>
      </c>
      <c r="F13453">
        <v>2024</v>
      </c>
      <c r="G13453">
        <v>0</v>
      </c>
      <c r="H13453" t="s">
        <v>485</v>
      </c>
      <c r="I13453">
        <v>15196</v>
      </c>
      <c r="J13453" t="str">
        <f>VLOOKUP(E13453,DSSpieler!A:B,2,FALSE)</f>
        <v>Succoso</v>
      </c>
    </row>
    <row r="13454" spans="1:10" x14ac:dyDescent="0.25">
      <c r="A13454">
        <v>15197</v>
      </c>
      <c r="B13454" t="s">
        <v>531</v>
      </c>
      <c r="C13454">
        <v>400</v>
      </c>
      <c r="D13454">
        <v>561</v>
      </c>
      <c r="E13454">
        <v>0</v>
      </c>
      <c r="F13454">
        <v>539</v>
      </c>
      <c r="G13454">
        <v>0</v>
      </c>
      <c r="H13454" t="s">
        <v>18323</v>
      </c>
      <c r="I13454">
        <v>15197</v>
      </c>
      <c r="J13454" t="e">
        <f>VLOOKUP(E13454,DSSpieler!A:B,2,FALSE)</f>
        <v>#N/A</v>
      </c>
    </row>
    <row r="13455" spans="1:10" x14ac:dyDescent="0.25">
      <c r="A13455">
        <v>15198</v>
      </c>
      <c r="B13455" t="s">
        <v>531</v>
      </c>
      <c r="C13455">
        <v>590</v>
      </c>
      <c r="D13455">
        <v>568</v>
      </c>
      <c r="E13455">
        <v>0</v>
      </c>
      <c r="F13455">
        <v>146</v>
      </c>
      <c r="G13455">
        <v>0</v>
      </c>
      <c r="H13455" t="s">
        <v>18324</v>
      </c>
      <c r="I13455">
        <v>15198</v>
      </c>
      <c r="J13455" t="e">
        <f>VLOOKUP(E13455,DSSpieler!A:B,2,FALSE)</f>
        <v>#N/A</v>
      </c>
    </row>
    <row r="13456" spans="1:10" x14ac:dyDescent="0.25">
      <c r="A13456">
        <v>15199</v>
      </c>
      <c r="B13456" t="s">
        <v>31164</v>
      </c>
      <c r="C13456">
        <v>511</v>
      </c>
      <c r="D13456">
        <v>525</v>
      </c>
      <c r="E13456">
        <v>1577197542</v>
      </c>
      <c r="F13456">
        <v>4207</v>
      </c>
      <c r="G13456">
        <v>0</v>
      </c>
      <c r="H13456" t="s">
        <v>18325</v>
      </c>
      <c r="I13456">
        <v>15199</v>
      </c>
      <c r="J13456" t="str">
        <f>VLOOKUP(E13456,DSSpieler!A:B,2,FALSE)</f>
        <v>träumerische Tim</v>
      </c>
    </row>
    <row r="13457" spans="1:10" x14ac:dyDescent="0.25">
      <c r="A13457">
        <v>15200</v>
      </c>
      <c r="B13457" t="s">
        <v>531</v>
      </c>
      <c r="C13457">
        <v>549</v>
      </c>
      <c r="D13457">
        <v>604</v>
      </c>
      <c r="E13457">
        <v>0</v>
      </c>
      <c r="F13457">
        <v>98</v>
      </c>
      <c r="G13457">
        <v>0</v>
      </c>
      <c r="H13457" t="s">
        <v>18326</v>
      </c>
      <c r="I13457">
        <v>15200</v>
      </c>
      <c r="J13457" t="e">
        <f>VLOOKUP(E13457,DSSpieler!A:B,2,FALSE)</f>
        <v>#N/A</v>
      </c>
    </row>
    <row r="13458" spans="1:10" x14ac:dyDescent="0.25">
      <c r="A13458">
        <v>15201</v>
      </c>
      <c r="B13458" t="s">
        <v>531</v>
      </c>
      <c r="C13458">
        <v>494</v>
      </c>
      <c r="D13458">
        <v>614</v>
      </c>
      <c r="E13458">
        <v>0</v>
      </c>
      <c r="F13458">
        <v>812</v>
      </c>
      <c r="G13458">
        <v>0</v>
      </c>
      <c r="H13458" t="s">
        <v>18327</v>
      </c>
      <c r="I13458">
        <v>15201</v>
      </c>
      <c r="J13458" t="e">
        <f>VLOOKUP(E13458,DSSpieler!A:B,2,FALSE)</f>
        <v>#N/A</v>
      </c>
    </row>
    <row r="13459" spans="1:10" x14ac:dyDescent="0.25">
      <c r="A13459">
        <v>15207</v>
      </c>
      <c r="B13459" t="s">
        <v>531</v>
      </c>
      <c r="C13459">
        <v>615</v>
      </c>
      <c r="D13459">
        <v>492</v>
      </c>
      <c r="E13459">
        <v>0</v>
      </c>
      <c r="F13459">
        <v>222</v>
      </c>
      <c r="G13459">
        <v>0</v>
      </c>
      <c r="H13459" t="s">
        <v>18328</v>
      </c>
      <c r="I13459">
        <v>15207</v>
      </c>
      <c r="J13459" t="e">
        <f>VLOOKUP(E13459,DSSpieler!A:B,2,FALSE)</f>
        <v>#N/A</v>
      </c>
    </row>
    <row r="13460" spans="1:10" x14ac:dyDescent="0.25">
      <c r="A13460">
        <v>15208</v>
      </c>
      <c r="B13460" t="s">
        <v>531</v>
      </c>
      <c r="C13460">
        <v>413</v>
      </c>
      <c r="D13460">
        <v>422</v>
      </c>
      <c r="E13460">
        <v>0</v>
      </c>
      <c r="F13460">
        <v>246</v>
      </c>
      <c r="G13460">
        <v>0</v>
      </c>
      <c r="H13460" t="s">
        <v>18329</v>
      </c>
      <c r="I13460">
        <v>15208</v>
      </c>
      <c r="J13460" t="e">
        <f>VLOOKUP(E13460,DSSpieler!A:B,2,FALSE)</f>
        <v>#N/A</v>
      </c>
    </row>
    <row r="13461" spans="1:10" x14ac:dyDescent="0.25">
      <c r="A13461">
        <v>15209</v>
      </c>
      <c r="B13461" t="s">
        <v>531</v>
      </c>
      <c r="C13461">
        <v>458</v>
      </c>
      <c r="D13461">
        <v>608</v>
      </c>
      <c r="E13461">
        <v>0</v>
      </c>
      <c r="F13461">
        <v>278</v>
      </c>
      <c r="G13461">
        <v>0</v>
      </c>
      <c r="H13461" t="s">
        <v>18330</v>
      </c>
      <c r="I13461">
        <v>15209</v>
      </c>
      <c r="J13461" t="e">
        <f>VLOOKUP(E13461,DSSpieler!A:B,2,FALSE)</f>
        <v>#N/A</v>
      </c>
    </row>
    <row r="13462" spans="1:10" x14ac:dyDescent="0.25">
      <c r="A13462">
        <v>15210</v>
      </c>
      <c r="B13462" t="s">
        <v>31429</v>
      </c>
      <c r="C13462">
        <v>549</v>
      </c>
      <c r="D13462">
        <v>527</v>
      </c>
      <c r="E13462">
        <v>1576872895</v>
      </c>
      <c r="F13462">
        <v>4230</v>
      </c>
      <c r="G13462">
        <v>0</v>
      </c>
      <c r="H13462" t="s">
        <v>18331</v>
      </c>
      <c r="I13462">
        <v>15210</v>
      </c>
      <c r="J13462" t="str">
        <f>VLOOKUP(E13462,DSSpieler!A:B,2,FALSE)</f>
        <v>Strüffler</v>
      </c>
    </row>
    <row r="13463" spans="1:10" x14ac:dyDescent="0.25">
      <c r="A13463">
        <v>15211</v>
      </c>
      <c r="B13463" t="s">
        <v>35058</v>
      </c>
      <c r="C13463">
        <v>391</v>
      </c>
      <c r="D13463">
        <v>547</v>
      </c>
      <c r="E13463">
        <v>1576655476</v>
      </c>
      <c r="F13463">
        <v>5755</v>
      </c>
      <c r="G13463">
        <v>0</v>
      </c>
      <c r="H13463" t="s">
        <v>18332</v>
      </c>
      <c r="I13463">
        <v>15211</v>
      </c>
      <c r="J13463" t="str">
        <f>VLOOKUP(E13463,DSSpieler!A:B,2,FALSE)</f>
        <v>Antey</v>
      </c>
    </row>
    <row r="13464" spans="1:10" x14ac:dyDescent="0.25">
      <c r="A13464">
        <v>15214</v>
      </c>
      <c r="B13464" t="s">
        <v>531</v>
      </c>
      <c r="C13464">
        <v>607</v>
      </c>
      <c r="D13464">
        <v>549</v>
      </c>
      <c r="E13464">
        <v>0</v>
      </c>
      <c r="F13464">
        <v>108</v>
      </c>
      <c r="G13464">
        <v>0</v>
      </c>
      <c r="H13464" t="s">
        <v>18333</v>
      </c>
      <c r="I13464">
        <v>15214</v>
      </c>
      <c r="J13464" t="e">
        <f>VLOOKUP(E13464,DSSpieler!A:B,2,FALSE)</f>
        <v>#N/A</v>
      </c>
    </row>
    <row r="13465" spans="1:10" x14ac:dyDescent="0.25">
      <c r="A13465">
        <v>15215</v>
      </c>
      <c r="B13465" t="s">
        <v>35059</v>
      </c>
      <c r="C13465">
        <v>587</v>
      </c>
      <c r="D13465">
        <v>418</v>
      </c>
      <c r="E13465">
        <v>8839309</v>
      </c>
      <c r="F13465">
        <v>26</v>
      </c>
      <c r="G13465">
        <v>0</v>
      </c>
      <c r="H13465" t="s">
        <v>18334</v>
      </c>
      <c r="I13465">
        <v>15215</v>
      </c>
      <c r="J13465" t="str">
        <f>VLOOKUP(E13465,DSSpieler!A:B,2,FALSE)</f>
        <v>FabyH</v>
      </c>
    </row>
    <row r="13466" spans="1:10" x14ac:dyDescent="0.25">
      <c r="A13466">
        <v>15216</v>
      </c>
      <c r="B13466" t="s">
        <v>531</v>
      </c>
      <c r="C13466">
        <v>619</v>
      </c>
      <c r="D13466">
        <v>495</v>
      </c>
      <c r="E13466">
        <v>0</v>
      </c>
      <c r="F13466">
        <v>216</v>
      </c>
      <c r="G13466">
        <v>0</v>
      </c>
      <c r="H13466" t="s">
        <v>18335</v>
      </c>
      <c r="I13466">
        <v>15216</v>
      </c>
      <c r="J13466" t="e">
        <f>VLOOKUP(E13466,DSSpieler!A:B,2,FALSE)</f>
        <v>#N/A</v>
      </c>
    </row>
    <row r="13467" spans="1:10" x14ac:dyDescent="0.25">
      <c r="A13467">
        <v>15217</v>
      </c>
      <c r="B13467" t="s">
        <v>35060</v>
      </c>
      <c r="C13467">
        <v>610</v>
      </c>
      <c r="D13467">
        <v>445</v>
      </c>
      <c r="E13467">
        <v>449511</v>
      </c>
      <c r="F13467">
        <v>2446</v>
      </c>
      <c r="G13467">
        <v>0</v>
      </c>
      <c r="H13467" t="s">
        <v>18336</v>
      </c>
      <c r="I13467">
        <v>15217</v>
      </c>
      <c r="J13467" t="str">
        <f>VLOOKUP(E13467,DSSpieler!A:B,2,FALSE)</f>
        <v>Janusch</v>
      </c>
    </row>
    <row r="13468" spans="1:10" x14ac:dyDescent="0.25">
      <c r="A13468">
        <v>15218</v>
      </c>
      <c r="B13468" t="s">
        <v>531</v>
      </c>
      <c r="C13468">
        <v>401</v>
      </c>
      <c r="D13468">
        <v>436</v>
      </c>
      <c r="E13468">
        <v>0</v>
      </c>
      <c r="F13468">
        <v>194</v>
      </c>
      <c r="G13468">
        <v>0</v>
      </c>
      <c r="H13468" t="s">
        <v>18337</v>
      </c>
      <c r="I13468">
        <v>15218</v>
      </c>
      <c r="J13468" t="e">
        <f>VLOOKUP(E13468,DSSpieler!A:B,2,FALSE)</f>
        <v>#N/A</v>
      </c>
    </row>
    <row r="13469" spans="1:10" x14ac:dyDescent="0.25">
      <c r="A13469">
        <v>15219</v>
      </c>
      <c r="B13469" t="s">
        <v>531</v>
      </c>
      <c r="C13469">
        <v>550</v>
      </c>
      <c r="D13469">
        <v>392</v>
      </c>
      <c r="E13469">
        <v>0</v>
      </c>
      <c r="F13469">
        <v>196</v>
      </c>
      <c r="G13469">
        <v>0</v>
      </c>
      <c r="H13469" t="s">
        <v>18338</v>
      </c>
      <c r="I13469">
        <v>15219</v>
      </c>
      <c r="J13469" t="e">
        <f>VLOOKUP(E13469,DSSpieler!A:B,2,FALSE)</f>
        <v>#N/A</v>
      </c>
    </row>
    <row r="13470" spans="1:10" x14ac:dyDescent="0.25">
      <c r="A13470">
        <v>15220</v>
      </c>
      <c r="B13470" t="s">
        <v>35061</v>
      </c>
      <c r="C13470">
        <v>441</v>
      </c>
      <c r="D13470">
        <v>396</v>
      </c>
      <c r="E13470">
        <v>1576865740</v>
      </c>
      <c r="F13470">
        <v>4019</v>
      </c>
      <c r="G13470">
        <v>0</v>
      </c>
      <c r="H13470" t="s">
        <v>18339</v>
      </c>
      <c r="I13470">
        <v>15220</v>
      </c>
      <c r="J13470" t="str">
        <f>VLOOKUP(E13470,DSSpieler!A:B,2,FALSE)</f>
        <v>Tankfrank</v>
      </c>
    </row>
    <row r="13471" spans="1:10" x14ac:dyDescent="0.25">
      <c r="A13471">
        <v>15221</v>
      </c>
      <c r="B13471" t="s">
        <v>531</v>
      </c>
      <c r="C13471">
        <v>504</v>
      </c>
      <c r="D13471">
        <v>386</v>
      </c>
      <c r="E13471">
        <v>0</v>
      </c>
      <c r="F13471">
        <v>452</v>
      </c>
      <c r="G13471">
        <v>0</v>
      </c>
      <c r="H13471" t="s">
        <v>18340</v>
      </c>
      <c r="I13471">
        <v>15221</v>
      </c>
      <c r="J13471" t="e">
        <f>VLOOKUP(E13471,DSSpieler!A:B,2,FALSE)</f>
        <v>#N/A</v>
      </c>
    </row>
    <row r="13472" spans="1:10" x14ac:dyDescent="0.25">
      <c r="A13472">
        <v>15222</v>
      </c>
      <c r="B13472" t="s">
        <v>531</v>
      </c>
      <c r="C13472">
        <v>449</v>
      </c>
      <c r="D13472">
        <v>492</v>
      </c>
      <c r="E13472">
        <v>0</v>
      </c>
      <c r="F13472">
        <v>161</v>
      </c>
      <c r="G13472">
        <v>0</v>
      </c>
      <c r="H13472" t="s">
        <v>18341</v>
      </c>
      <c r="I13472">
        <v>15222</v>
      </c>
      <c r="J13472" t="e">
        <f>VLOOKUP(E13472,DSSpieler!A:B,2,FALSE)</f>
        <v>#N/A</v>
      </c>
    </row>
    <row r="13473" spans="1:10" x14ac:dyDescent="0.25">
      <c r="A13473">
        <v>15223</v>
      </c>
      <c r="B13473" t="s">
        <v>35062</v>
      </c>
      <c r="C13473">
        <v>440</v>
      </c>
      <c r="D13473">
        <v>400</v>
      </c>
      <c r="E13473">
        <v>7775748</v>
      </c>
      <c r="F13473">
        <v>4912</v>
      </c>
      <c r="G13473">
        <v>0</v>
      </c>
      <c r="H13473" t="s">
        <v>18342</v>
      </c>
      <c r="I13473">
        <v>15223</v>
      </c>
      <c r="J13473" t="str">
        <f>VLOOKUP(E13473,DSSpieler!A:B,2,FALSE)</f>
        <v>Rübenstein</v>
      </c>
    </row>
    <row r="13474" spans="1:10" x14ac:dyDescent="0.25">
      <c r="A13474">
        <v>15224</v>
      </c>
      <c r="B13474" t="s">
        <v>531</v>
      </c>
      <c r="C13474">
        <v>585</v>
      </c>
      <c r="D13474">
        <v>579</v>
      </c>
      <c r="E13474">
        <v>0</v>
      </c>
      <c r="F13474">
        <v>280</v>
      </c>
      <c r="G13474">
        <v>0</v>
      </c>
      <c r="H13474" t="s">
        <v>18343</v>
      </c>
      <c r="I13474">
        <v>15224</v>
      </c>
      <c r="J13474" t="e">
        <f>VLOOKUP(E13474,DSSpieler!A:B,2,FALSE)</f>
        <v>#N/A</v>
      </c>
    </row>
    <row r="13475" spans="1:10" x14ac:dyDescent="0.25">
      <c r="A13475">
        <v>15225</v>
      </c>
      <c r="B13475" t="s">
        <v>35063</v>
      </c>
      <c r="C13475">
        <v>566</v>
      </c>
      <c r="D13475">
        <v>400</v>
      </c>
      <c r="E13475">
        <v>2133543</v>
      </c>
      <c r="F13475">
        <v>947</v>
      </c>
      <c r="G13475">
        <v>0</v>
      </c>
      <c r="H13475" t="s">
        <v>18344</v>
      </c>
      <c r="I13475">
        <v>15225</v>
      </c>
      <c r="J13475" t="str">
        <f>VLOOKUP(E13475,DSSpieler!A:B,2,FALSE)</f>
        <v>von Aschen</v>
      </c>
    </row>
    <row r="13476" spans="1:10" x14ac:dyDescent="0.25">
      <c r="A13476">
        <v>15227</v>
      </c>
      <c r="B13476" t="s">
        <v>531</v>
      </c>
      <c r="C13476">
        <v>389</v>
      </c>
      <c r="D13476">
        <v>472</v>
      </c>
      <c r="E13476">
        <v>0</v>
      </c>
      <c r="F13476">
        <v>267</v>
      </c>
      <c r="G13476">
        <v>0</v>
      </c>
      <c r="H13476" t="s">
        <v>18345</v>
      </c>
      <c r="I13476">
        <v>15227</v>
      </c>
      <c r="J13476" t="e">
        <f>VLOOKUP(E13476,DSSpieler!A:B,2,FALSE)</f>
        <v>#N/A</v>
      </c>
    </row>
    <row r="13477" spans="1:10" x14ac:dyDescent="0.25">
      <c r="A13477">
        <v>15228</v>
      </c>
      <c r="B13477" t="s">
        <v>531</v>
      </c>
      <c r="C13477">
        <v>562</v>
      </c>
      <c r="D13477">
        <v>602</v>
      </c>
      <c r="E13477">
        <v>0</v>
      </c>
      <c r="F13477">
        <v>99</v>
      </c>
      <c r="G13477">
        <v>0</v>
      </c>
      <c r="H13477" t="s">
        <v>18346</v>
      </c>
      <c r="I13477">
        <v>15228</v>
      </c>
      <c r="J13477" t="e">
        <f>VLOOKUP(E13477,DSSpieler!A:B,2,FALSE)</f>
        <v>#N/A</v>
      </c>
    </row>
    <row r="13478" spans="1:10" x14ac:dyDescent="0.25">
      <c r="A13478">
        <v>15229</v>
      </c>
      <c r="B13478" t="s">
        <v>2398</v>
      </c>
      <c r="C13478">
        <v>609</v>
      </c>
      <c r="D13478">
        <v>550</v>
      </c>
      <c r="E13478">
        <v>1577201614</v>
      </c>
      <c r="F13478">
        <v>4162</v>
      </c>
      <c r="G13478">
        <v>0</v>
      </c>
      <c r="H13478" t="s">
        <v>18347</v>
      </c>
      <c r="I13478">
        <v>15229</v>
      </c>
      <c r="J13478" t="str">
        <f>VLOOKUP(E13478,DSSpieler!A:B,2,FALSE)</f>
        <v>GreeceMousse</v>
      </c>
    </row>
    <row r="13479" spans="1:10" x14ac:dyDescent="0.25">
      <c r="A13479">
        <v>15230</v>
      </c>
      <c r="B13479" t="s">
        <v>35064</v>
      </c>
      <c r="C13479">
        <v>495</v>
      </c>
      <c r="D13479">
        <v>469</v>
      </c>
      <c r="E13479">
        <v>1577202073</v>
      </c>
      <c r="F13479">
        <v>5129</v>
      </c>
      <c r="G13479">
        <v>0</v>
      </c>
      <c r="H13479" t="s">
        <v>18348</v>
      </c>
      <c r="I13479">
        <v>15230</v>
      </c>
      <c r="J13479" t="str">
        <f>VLOOKUP(E13479,DSSpieler!A:B,2,FALSE)</f>
        <v>König Lord Blackheart</v>
      </c>
    </row>
    <row r="13480" spans="1:10" x14ac:dyDescent="0.25">
      <c r="A13480">
        <v>15231</v>
      </c>
      <c r="B13480" t="s">
        <v>35065</v>
      </c>
      <c r="C13480">
        <v>598</v>
      </c>
      <c r="D13480">
        <v>443</v>
      </c>
      <c r="E13480">
        <v>1577185831</v>
      </c>
      <c r="F13480">
        <v>1390</v>
      </c>
      <c r="G13480">
        <v>0</v>
      </c>
      <c r="H13480" t="s">
        <v>18349</v>
      </c>
      <c r="I13480">
        <v>15231</v>
      </c>
      <c r="J13480" t="str">
        <f>VLOOKUP(E13480,DSSpieler!A:B,2,FALSE)</f>
        <v>ExpersGratia.</v>
      </c>
    </row>
    <row r="13481" spans="1:10" x14ac:dyDescent="0.25">
      <c r="A13481">
        <v>15232</v>
      </c>
      <c r="B13481" t="s">
        <v>35066</v>
      </c>
      <c r="C13481">
        <v>489</v>
      </c>
      <c r="D13481">
        <v>622</v>
      </c>
      <c r="E13481">
        <v>1577153083</v>
      </c>
      <c r="F13481">
        <v>3548</v>
      </c>
      <c r="G13481">
        <v>0</v>
      </c>
      <c r="H13481" t="s">
        <v>18350</v>
      </c>
      <c r="I13481">
        <v>15232</v>
      </c>
      <c r="J13481" t="str">
        <f>VLOOKUP(E13481,DSSpieler!A:B,2,FALSE)</f>
        <v>HisDudeness</v>
      </c>
    </row>
    <row r="13482" spans="1:10" x14ac:dyDescent="0.25">
      <c r="A13482">
        <v>15233</v>
      </c>
      <c r="B13482" t="s">
        <v>531</v>
      </c>
      <c r="C13482">
        <v>561</v>
      </c>
      <c r="D13482">
        <v>598</v>
      </c>
      <c r="E13482">
        <v>0</v>
      </c>
      <c r="F13482">
        <v>211</v>
      </c>
      <c r="G13482">
        <v>0</v>
      </c>
      <c r="H13482" t="s">
        <v>18351</v>
      </c>
      <c r="I13482">
        <v>15233</v>
      </c>
      <c r="J13482" t="e">
        <f>VLOOKUP(E13482,DSSpieler!A:B,2,FALSE)</f>
        <v>#N/A</v>
      </c>
    </row>
    <row r="13483" spans="1:10" x14ac:dyDescent="0.25">
      <c r="A13483">
        <v>15234</v>
      </c>
      <c r="B13483" t="s">
        <v>531</v>
      </c>
      <c r="C13483">
        <v>588</v>
      </c>
      <c r="D13483">
        <v>419</v>
      </c>
      <c r="E13483">
        <v>0</v>
      </c>
      <c r="F13483">
        <v>133</v>
      </c>
      <c r="G13483">
        <v>0</v>
      </c>
      <c r="H13483" t="s">
        <v>18352</v>
      </c>
      <c r="I13483">
        <v>15234</v>
      </c>
      <c r="J13483" t="e">
        <f>VLOOKUP(E13483,DSSpieler!A:B,2,FALSE)</f>
        <v>#N/A</v>
      </c>
    </row>
    <row r="13484" spans="1:10" x14ac:dyDescent="0.25">
      <c r="A13484">
        <v>15235</v>
      </c>
      <c r="B13484" t="s">
        <v>531</v>
      </c>
      <c r="C13484">
        <v>402</v>
      </c>
      <c r="D13484">
        <v>431</v>
      </c>
      <c r="E13484">
        <v>0</v>
      </c>
      <c r="F13484">
        <v>135</v>
      </c>
      <c r="G13484">
        <v>0</v>
      </c>
      <c r="H13484" t="s">
        <v>18353</v>
      </c>
      <c r="I13484">
        <v>15235</v>
      </c>
      <c r="J13484" t="e">
        <f>VLOOKUP(E13484,DSSpieler!A:B,2,FALSE)</f>
        <v>#N/A</v>
      </c>
    </row>
    <row r="13485" spans="1:10" x14ac:dyDescent="0.25">
      <c r="A13485">
        <v>15236</v>
      </c>
      <c r="B13485" t="s">
        <v>35067</v>
      </c>
      <c r="C13485">
        <v>409</v>
      </c>
      <c r="D13485">
        <v>426</v>
      </c>
      <c r="E13485">
        <v>1576357129</v>
      </c>
      <c r="F13485">
        <v>591</v>
      </c>
      <c r="G13485">
        <v>0</v>
      </c>
      <c r="H13485" t="s">
        <v>18354</v>
      </c>
      <c r="I13485">
        <v>15236</v>
      </c>
      <c r="J13485" t="str">
        <f>VLOOKUP(E13485,DSSpieler!A:B,2,FALSE)</f>
        <v>Taygco</v>
      </c>
    </row>
    <row r="13486" spans="1:10" x14ac:dyDescent="0.25">
      <c r="A13486">
        <v>15237</v>
      </c>
      <c r="B13486" t="s">
        <v>35068</v>
      </c>
      <c r="C13486">
        <v>557</v>
      </c>
      <c r="D13486">
        <v>427</v>
      </c>
      <c r="E13486">
        <v>9953901</v>
      </c>
      <c r="F13486">
        <v>4299</v>
      </c>
      <c r="G13486">
        <v>0</v>
      </c>
      <c r="H13486" t="s">
        <v>18355</v>
      </c>
      <c r="I13486">
        <v>15237</v>
      </c>
      <c r="J13486" t="str">
        <f>VLOOKUP(E13486,DSSpieler!A:B,2,FALSE)</f>
        <v>sVraCer</v>
      </c>
    </row>
    <row r="13487" spans="1:10" x14ac:dyDescent="0.25">
      <c r="A13487">
        <v>15238</v>
      </c>
      <c r="B13487" t="s">
        <v>35069</v>
      </c>
      <c r="C13487">
        <v>475</v>
      </c>
      <c r="D13487">
        <v>616</v>
      </c>
      <c r="E13487">
        <v>9768832</v>
      </c>
      <c r="F13487">
        <v>1216</v>
      </c>
      <c r="G13487">
        <v>0</v>
      </c>
      <c r="H13487" t="s">
        <v>18356</v>
      </c>
      <c r="I13487">
        <v>15238</v>
      </c>
      <c r="J13487" t="str">
        <f>VLOOKUP(E13487,DSSpieler!A:B,2,FALSE)</f>
        <v>Orka07</v>
      </c>
    </row>
    <row r="13488" spans="1:10" x14ac:dyDescent="0.25">
      <c r="A13488">
        <v>15239</v>
      </c>
      <c r="B13488" t="s">
        <v>35070</v>
      </c>
      <c r="C13488">
        <v>441</v>
      </c>
      <c r="D13488">
        <v>400</v>
      </c>
      <c r="E13488">
        <v>9778036</v>
      </c>
      <c r="F13488">
        <v>3790</v>
      </c>
      <c r="G13488">
        <v>0</v>
      </c>
      <c r="H13488" t="s">
        <v>18357</v>
      </c>
      <c r="I13488">
        <v>15239</v>
      </c>
      <c r="J13488" t="str">
        <f>VLOOKUP(E13488,DSSpieler!A:B,2,FALSE)</f>
        <v>2Crapy4Bash</v>
      </c>
    </row>
    <row r="13489" spans="1:10" x14ac:dyDescent="0.25">
      <c r="A13489">
        <v>15243</v>
      </c>
      <c r="B13489" t="s">
        <v>531</v>
      </c>
      <c r="C13489">
        <v>555</v>
      </c>
      <c r="D13489">
        <v>596</v>
      </c>
      <c r="E13489">
        <v>0</v>
      </c>
      <c r="F13489">
        <v>228</v>
      </c>
      <c r="G13489">
        <v>0</v>
      </c>
      <c r="H13489" t="s">
        <v>18358</v>
      </c>
      <c r="I13489">
        <v>15243</v>
      </c>
      <c r="J13489" t="e">
        <f>VLOOKUP(E13489,DSSpieler!A:B,2,FALSE)</f>
        <v>#N/A</v>
      </c>
    </row>
    <row r="13490" spans="1:10" x14ac:dyDescent="0.25">
      <c r="A13490">
        <v>15245</v>
      </c>
      <c r="B13490" t="s">
        <v>531</v>
      </c>
      <c r="C13490">
        <v>596</v>
      </c>
      <c r="D13490">
        <v>570</v>
      </c>
      <c r="E13490">
        <v>0</v>
      </c>
      <c r="F13490">
        <v>882</v>
      </c>
      <c r="G13490">
        <v>0</v>
      </c>
      <c r="H13490" t="s">
        <v>18359</v>
      </c>
      <c r="I13490">
        <v>15245</v>
      </c>
      <c r="J13490" t="e">
        <f>VLOOKUP(E13490,DSSpieler!A:B,2,FALSE)</f>
        <v>#N/A</v>
      </c>
    </row>
    <row r="13491" spans="1:10" x14ac:dyDescent="0.25">
      <c r="A13491">
        <v>15246</v>
      </c>
      <c r="B13491" t="s">
        <v>30943</v>
      </c>
      <c r="C13491">
        <v>597</v>
      </c>
      <c r="D13491">
        <v>571</v>
      </c>
      <c r="E13491">
        <v>9846715</v>
      </c>
      <c r="F13491">
        <v>3558</v>
      </c>
      <c r="G13491">
        <v>0</v>
      </c>
      <c r="H13491" t="s">
        <v>18360</v>
      </c>
      <c r="I13491">
        <v>15246</v>
      </c>
      <c r="J13491" t="str">
        <f>VLOOKUP(E13491,DSSpieler!A:B,2,FALSE)</f>
        <v>Cheese03</v>
      </c>
    </row>
    <row r="13492" spans="1:10" x14ac:dyDescent="0.25">
      <c r="A13492">
        <v>15247</v>
      </c>
      <c r="B13492" t="s">
        <v>531</v>
      </c>
      <c r="C13492">
        <v>439</v>
      </c>
      <c r="D13492">
        <v>400</v>
      </c>
      <c r="E13492">
        <v>0</v>
      </c>
      <c r="F13492">
        <v>245</v>
      </c>
      <c r="G13492">
        <v>0</v>
      </c>
      <c r="H13492" t="s">
        <v>18361</v>
      </c>
      <c r="I13492">
        <v>15247</v>
      </c>
      <c r="J13492" t="e">
        <f>VLOOKUP(E13492,DSSpieler!A:B,2,FALSE)</f>
        <v>#N/A</v>
      </c>
    </row>
    <row r="13493" spans="1:10" x14ac:dyDescent="0.25">
      <c r="A13493">
        <v>15248</v>
      </c>
      <c r="B13493" t="s">
        <v>35071</v>
      </c>
      <c r="C13493">
        <v>545</v>
      </c>
      <c r="D13493">
        <v>608</v>
      </c>
      <c r="E13493">
        <v>1327189</v>
      </c>
      <c r="F13493">
        <v>4626</v>
      </c>
      <c r="G13493">
        <v>0</v>
      </c>
      <c r="H13493" t="s">
        <v>18362</v>
      </c>
      <c r="I13493">
        <v>15248</v>
      </c>
      <c r="J13493" t="str">
        <f>VLOOKUP(E13493,DSSpieler!A:B,2,FALSE)</f>
        <v>DerBoeseBub</v>
      </c>
    </row>
    <row r="13494" spans="1:10" x14ac:dyDescent="0.25">
      <c r="A13494">
        <v>15249</v>
      </c>
      <c r="B13494" t="s">
        <v>2399</v>
      </c>
      <c r="C13494">
        <v>383</v>
      </c>
      <c r="D13494">
        <v>492</v>
      </c>
      <c r="E13494">
        <v>1577201914</v>
      </c>
      <c r="F13494">
        <v>3241</v>
      </c>
      <c r="G13494">
        <v>0</v>
      </c>
      <c r="H13494" t="s">
        <v>18363</v>
      </c>
      <c r="I13494">
        <v>15249</v>
      </c>
      <c r="J13494" t="str">
        <f>VLOOKUP(E13494,DSSpieler!A:B,2,FALSE)</f>
        <v>R3tard</v>
      </c>
    </row>
    <row r="13495" spans="1:10" x14ac:dyDescent="0.25">
      <c r="A13495">
        <v>15251</v>
      </c>
      <c r="B13495" t="s">
        <v>531</v>
      </c>
      <c r="C13495">
        <v>490</v>
      </c>
      <c r="D13495">
        <v>382</v>
      </c>
      <c r="E13495">
        <v>0</v>
      </c>
      <c r="F13495">
        <v>168</v>
      </c>
      <c r="G13495">
        <v>0</v>
      </c>
      <c r="H13495" t="s">
        <v>18364</v>
      </c>
      <c r="I13495">
        <v>15251</v>
      </c>
      <c r="J13495" t="e">
        <f>VLOOKUP(E13495,DSSpieler!A:B,2,FALSE)</f>
        <v>#N/A</v>
      </c>
    </row>
    <row r="13496" spans="1:10" x14ac:dyDescent="0.25">
      <c r="A13496">
        <v>15252</v>
      </c>
      <c r="B13496" t="s">
        <v>531</v>
      </c>
      <c r="C13496">
        <v>597</v>
      </c>
      <c r="D13496">
        <v>436</v>
      </c>
      <c r="E13496">
        <v>0</v>
      </c>
      <c r="F13496">
        <v>137</v>
      </c>
      <c r="G13496">
        <v>0</v>
      </c>
      <c r="H13496" t="s">
        <v>18365</v>
      </c>
      <c r="I13496">
        <v>15252</v>
      </c>
      <c r="J13496" t="e">
        <f>VLOOKUP(E13496,DSSpieler!A:B,2,FALSE)</f>
        <v>#N/A</v>
      </c>
    </row>
    <row r="13497" spans="1:10" x14ac:dyDescent="0.25">
      <c r="A13497">
        <v>15254</v>
      </c>
      <c r="B13497" t="s">
        <v>531</v>
      </c>
      <c r="C13497">
        <v>448</v>
      </c>
      <c r="D13497">
        <v>395</v>
      </c>
      <c r="E13497">
        <v>0</v>
      </c>
      <c r="F13497">
        <v>572</v>
      </c>
      <c r="G13497">
        <v>0</v>
      </c>
      <c r="H13497" t="s">
        <v>18366</v>
      </c>
      <c r="I13497">
        <v>15254</v>
      </c>
      <c r="J13497" t="e">
        <f>VLOOKUP(E13497,DSSpieler!A:B,2,FALSE)</f>
        <v>#N/A</v>
      </c>
    </row>
    <row r="13498" spans="1:10" x14ac:dyDescent="0.25">
      <c r="A13498">
        <v>15255</v>
      </c>
      <c r="B13498" t="s">
        <v>531</v>
      </c>
      <c r="C13498">
        <v>383</v>
      </c>
      <c r="D13498">
        <v>510</v>
      </c>
      <c r="E13498">
        <v>0</v>
      </c>
      <c r="F13498">
        <v>290</v>
      </c>
      <c r="G13498">
        <v>0</v>
      </c>
      <c r="H13498" t="s">
        <v>18367</v>
      </c>
      <c r="I13498">
        <v>15255</v>
      </c>
      <c r="J13498" t="e">
        <f>VLOOKUP(E13498,DSSpieler!A:B,2,FALSE)</f>
        <v>#N/A</v>
      </c>
    </row>
    <row r="13499" spans="1:10" x14ac:dyDescent="0.25">
      <c r="A13499">
        <v>15256</v>
      </c>
      <c r="B13499" t="s">
        <v>531</v>
      </c>
      <c r="C13499">
        <v>617</v>
      </c>
      <c r="D13499">
        <v>508</v>
      </c>
      <c r="E13499">
        <v>0</v>
      </c>
      <c r="F13499">
        <v>131</v>
      </c>
      <c r="G13499">
        <v>0</v>
      </c>
      <c r="H13499" t="s">
        <v>18368</v>
      </c>
      <c r="I13499">
        <v>15256</v>
      </c>
      <c r="J13499" t="e">
        <f>VLOOKUP(E13499,DSSpieler!A:B,2,FALSE)</f>
        <v>#N/A</v>
      </c>
    </row>
    <row r="13500" spans="1:10" x14ac:dyDescent="0.25">
      <c r="A13500">
        <v>15258</v>
      </c>
      <c r="B13500" t="s">
        <v>531</v>
      </c>
      <c r="C13500">
        <v>511</v>
      </c>
      <c r="D13500">
        <v>619</v>
      </c>
      <c r="E13500">
        <v>0</v>
      </c>
      <c r="F13500">
        <v>140</v>
      </c>
      <c r="G13500">
        <v>0</v>
      </c>
      <c r="H13500" t="s">
        <v>18369</v>
      </c>
      <c r="I13500">
        <v>15258</v>
      </c>
      <c r="J13500" t="e">
        <f>VLOOKUP(E13500,DSSpieler!A:B,2,FALSE)</f>
        <v>#N/A</v>
      </c>
    </row>
    <row r="13501" spans="1:10" x14ac:dyDescent="0.25">
      <c r="A13501">
        <v>15259</v>
      </c>
      <c r="B13501" t="s">
        <v>531</v>
      </c>
      <c r="C13501">
        <v>592</v>
      </c>
      <c r="D13501">
        <v>577</v>
      </c>
      <c r="E13501">
        <v>0</v>
      </c>
      <c r="F13501">
        <v>181</v>
      </c>
      <c r="G13501">
        <v>0</v>
      </c>
      <c r="H13501" t="s">
        <v>18370</v>
      </c>
      <c r="I13501">
        <v>15259</v>
      </c>
      <c r="J13501" t="e">
        <f>VLOOKUP(E13501,DSSpieler!A:B,2,FALSE)</f>
        <v>#N/A</v>
      </c>
    </row>
    <row r="13502" spans="1:10" x14ac:dyDescent="0.25">
      <c r="A13502">
        <v>15260</v>
      </c>
      <c r="B13502" t="s">
        <v>531</v>
      </c>
      <c r="C13502">
        <v>469</v>
      </c>
      <c r="D13502">
        <v>390</v>
      </c>
      <c r="E13502">
        <v>0</v>
      </c>
      <c r="F13502">
        <v>194</v>
      </c>
      <c r="G13502">
        <v>0</v>
      </c>
      <c r="H13502" t="s">
        <v>18371</v>
      </c>
      <c r="I13502">
        <v>15260</v>
      </c>
      <c r="J13502" t="e">
        <f>VLOOKUP(E13502,DSSpieler!A:B,2,FALSE)</f>
        <v>#N/A</v>
      </c>
    </row>
    <row r="13503" spans="1:10" x14ac:dyDescent="0.25">
      <c r="A13503">
        <v>15261</v>
      </c>
      <c r="B13503" t="s">
        <v>531</v>
      </c>
      <c r="C13503">
        <v>393</v>
      </c>
      <c r="D13503">
        <v>458</v>
      </c>
      <c r="E13503">
        <v>0</v>
      </c>
      <c r="F13503">
        <v>144</v>
      </c>
      <c r="G13503">
        <v>0</v>
      </c>
      <c r="H13503" t="s">
        <v>18372</v>
      </c>
      <c r="I13503">
        <v>15261</v>
      </c>
      <c r="J13503" t="e">
        <f>VLOOKUP(E13503,DSSpieler!A:B,2,FALSE)</f>
        <v>#N/A</v>
      </c>
    </row>
    <row r="13504" spans="1:10" x14ac:dyDescent="0.25">
      <c r="A13504">
        <v>15262</v>
      </c>
      <c r="B13504" t="s">
        <v>2400</v>
      </c>
      <c r="C13504">
        <v>579</v>
      </c>
      <c r="D13504">
        <v>415</v>
      </c>
      <c r="E13504">
        <v>1577191598</v>
      </c>
      <c r="F13504">
        <v>1262</v>
      </c>
      <c r="G13504">
        <v>0</v>
      </c>
      <c r="H13504" t="s">
        <v>18373</v>
      </c>
      <c r="I13504">
        <v>15262</v>
      </c>
      <c r="J13504" t="str">
        <f>VLOOKUP(E13504,DSSpieler!A:B,2,FALSE)</f>
        <v>RoyalHxze</v>
      </c>
    </row>
    <row r="13505" spans="1:10" x14ac:dyDescent="0.25">
      <c r="A13505">
        <v>15263</v>
      </c>
      <c r="B13505" t="s">
        <v>531</v>
      </c>
      <c r="C13505">
        <v>523</v>
      </c>
      <c r="D13505">
        <v>618</v>
      </c>
      <c r="E13505">
        <v>0</v>
      </c>
      <c r="F13505">
        <v>301</v>
      </c>
      <c r="G13505">
        <v>0</v>
      </c>
      <c r="H13505" t="s">
        <v>18374</v>
      </c>
      <c r="I13505">
        <v>15263</v>
      </c>
      <c r="J13505" t="e">
        <f>VLOOKUP(E13505,DSSpieler!A:B,2,FALSE)</f>
        <v>#N/A</v>
      </c>
    </row>
    <row r="13506" spans="1:10" x14ac:dyDescent="0.25">
      <c r="A13506">
        <v>15264</v>
      </c>
      <c r="B13506" t="s">
        <v>35072</v>
      </c>
      <c r="C13506">
        <v>475</v>
      </c>
      <c r="D13506">
        <v>419</v>
      </c>
      <c r="E13506">
        <v>1577202101</v>
      </c>
      <c r="F13506">
        <v>4354</v>
      </c>
      <c r="G13506">
        <v>0</v>
      </c>
      <c r="H13506" t="s">
        <v>18375</v>
      </c>
      <c r="I13506">
        <v>15264</v>
      </c>
      <c r="J13506" t="str">
        <f>VLOOKUP(E13506,DSSpieler!A:B,2,FALSE)</f>
        <v>Der Afrikaner</v>
      </c>
    </row>
    <row r="13507" spans="1:10" x14ac:dyDescent="0.25">
      <c r="A13507">
        <v>15266</v>
      </c>
      <c r="B13507" t="s">
        <v>531</v>
      </c>
      <c r="C13507">
        <v>577</v>
      </c>
      <c r="D13507">
        <v>415</v>
      </c>
      <c r="E13507">
        <v>0</v>
      </c>
      <c r="F13507">
        <v>169</v>
      </c>
      <c r="G13507">
        <v>0</v>
      </c>
      <c r="H13507" t="s">
        <v>18376</v>
      </c>
      <c r="I13507">
        <v>15266</v>
      </c>
      <c r="J13507" t="e">
        <f>VLOOKUP(E13507,DSSpieler!A:B,2,FALSE)</f>
        <v>#N/A</v>
      </c>
    </row>
    <row r="13508" spans="1:10" x14ac:dyDescent="0.25">
      <c r="A13508">
        <v>15268</v>
      </c>
      <c r="B13508" t="s">
        <v>531</v>
      </c>
      <c r="C13508">
        <v>529</v>
      </c>
      <c r="D13508">
        <v>383</v>
      </c>
      <c r="E13508">
        <v>0</v>
      </c>
      <c r="F13508">
        <v>168</v>
      </c>
      <c r="G13508">
        <v>0</v>
      </c>
      <c r="H13508" t="s">
        <v>18377</v>
      </c>
      <c r="I13508">
        <v>15268</v>
      </c>
      <c r="J13508" t="e">
        <f>VLOOKUP(E13508,DSSpieler!A:B,2,FALSE)</f>
        <v>#N/A</v>
      </c>
    </row>
    <row r="13509" spans="1:10" x14ac:dyDescent="0.25">
      <c r="A13509">
        <v>15269</v>
      </c>
      <c r="B13509" t="s">
        <v>531</v>
      </c>
      <c r="C13509">
        <v>482</v>
      </c>
      <c r="D13509">
        <v>378</v>
      </c>
      <c r="E13509">
        <v>0</v>
      </c>
      <c r="F13509">
        <v>213</v>
      </c>
      <c r="G13509">
        <v>0</v>
      </c>
      <c r="H13509" t="s">
        <v>18378</v>
      </c>
      <c r="I13509">
        <v>15269</v>
      </c>
      <c r="J13509" t="e">
        <f>VLOOKUP(E13509,DSSpieler!A:B,2,FALSE)</f>
        <v>#N/A</v>
      </c>
    </row>
    <row r="13510" spans="1:10" x14ac:dyDescent="0.25">
      <c r="A13510">
        <v>15270</v>
      </c>
      <c r="B13510" t="s">
        <v>531</v>
      </c>
      <c r="C13510">
        <v>485</v>
      </c>
      <c r="D13510">
        <v>386</v>
      </c>
      <c r="E13510">
        <v>0</v>
      </c>
      <c r="F13510">
        <v>185</v>
      </c>
      <c r="G13510">
        <v>0</v>
      </c>
      <c r="H13510" t="s">
        <v>18379</v>
      </c>
      <c r="I13510">
        <v>15270</v>
      </c>
      <c r="J13510" t="e">
        <f>VLOOKUP(E13510,DSSpieler!A:B,2,FALSE)</f>
        <v>#N/A</v>
      </c>
    </row>
    <row r="13511" spans="1:10" x14ac:dyDescent="0.25">
      <c r="A13511">
        <v>15271</v>
      </c>
      <c r="B13511" t="s">
        <v>531</v>
      </c>
      <c r="C13511">
        <v>613</v>
      </c>
      <c r="D13511">
        <v>539</v>
      </c>
      <c r="E13511">
        <v>0</v>
      </c>
      <c r="F13511">
        <v>178</v>
      </c>
      <c r="G13511">
        <v>0</v>
      </c>
      <c r="H13511" t="s">
        <v>18380</v>
      </c>
      <c r="I13511">
        <v>15271</v>
      </c>
      <c r="J13511" t="e">
        <f>VLOOKUP(E13511,DSSpieler!A:B,2,FALSE)</f>
        <v>#N/A</v>
      </c>
    </row>
    <row r="13512" spans="1:10" x14ac:dyDescent="0.25">
      <c r="A13512">
        <v>15272</v>
      </c>
      <c r="B13512" t="s">
        <v>531</v>
      </c>
      <c r="C13512">
        <v>382</v>
      </c>
      <c r="D13512">
        <v>487</v>
      </c>
      <c r="E13512">
        <v>0</v>
      </c>
      <c r="F13512">
        <v>1055</v>
      </c>
      <c r="G13512">
        <v>0</v>
      </c>
      <c r="H13512" t="s">
        <v>18381</v>
      </c>
      <c r="I13512">
        <v>15272</v>
      </c>
      <c r="J13512" t="e">
        <f>VLOOKUP(E13512,DSSpieler!A:B,2,FALSE)</f>
        <v>#N/A</v>
      </c>
    </row>
    <row r="13513" spans="1:10" x14ac:dyDescent="0.25">
      <c r="A13513">
        <v>15273</v>
      </c>
      <c r="B13513" t="s">
        <v>531</v>
      </c>
      <c r="C13513">
        <v>581</v>
      </c>
      <c r="D13513">
        <v>412</v>
      </c>
      <c r="E13513">
        <v>0</v>
      </c>
      <c r="F13513">
        <v>194</v>
      </c>
      <c r="G13513">
        <v>0</v>
      </c>
      <c r="H13513" t="s">
        <v>18382</v>
      </c>
      <c r="I13513">
        <v>15273</v>
      </c>
      <c r="J13513" t="e">
        <f>VLOOKUP(E13513,DSSpieler!A:B,2,FALSE)</f>
        <v>#N/A</v>
      </c>
    </row>
    <row r="13514" spans="1:10" x14ac:dyDescent="0.25">
      <c r="A13514">
        <v>15274</v>
      </c>
      <c r="B13514" t="s">
        <v>531</v>
      </c>
      <c r="C13514">
        <v>486</v>
      </c>
      <c r="D13514">
        <v>385</v>
      </c>
      <c r="E13514">
        <v>0</v>
      </c>
      <c r="F13514">
        <v>133</v>
      </c>
      <c r="G13514">
        <v>0</v>
      </c>
      <c r="H13514" t="s">
        <v>18383</v>
      </c>
      <c r="I13514">
        <v>15274</v>
      </c>
      <c r="J13514" t="e">
        <f>VLOOKUP(E13514,DSSpieler!A:B,2,FALSE)</f>
        <v>#N/A</v>
      </c>
    </row>
    <row r="13515" spans="1:10" x14ac:dyDescent="0.25">
      <c r="A13515">
        <v>15275</v>
      </c>
      <c r="B13515" t="s">
        <v>726</v>
      </c>
      <c r="C13515">
        <v>592</v>
      </c>
      <c r="D13515">
        <v>569</v>
      </c>
      <c r="E13515">
        <v>1576814505</v>
      </c>
      <c r="F13515">
        <v>4281</v>
      </c>
      <c r="G13515">
        <v>0</v>
      </c>
      <c r="H13515" t="s">
        <v>18384</v>
      </c>
      <c r="I13515">
        <v>15275</v>
      </c>
      <c r="J13515" t="str">
        <f>VLOOKUP(E13515,DSSpieler!A:B,2,FALSE)</f>
        <v>LeonxD</v>
      </c>
    </row>
    <row r="13516" spans="1:10" x14ac:dyDescent="0.25">
      <c r="A13516">
        <v>15277</v>
      </c>
      <c r="B13516" t="s">
        <v>531</v>
      </c>
      <c r="C13516">
        <v>393</v>
      </c>
      <c r="D13516">
        <v>506</v>
      </c>
      <c r="E13516">
        <v>0</v>
      </c>
      <c r="F13516">
        <v>505</v>
      </c>
      <c r="G13516">
        <v>0</v>
      </c>
      <c r="H13516" t="s">
        <v>18385</v>
      </c>
      <c r="I13516">
        <v>15277</v>
      </c>
      <c r="J13516" t="e">
        <f>VLOOKUP(E13516,DSSpieler!A:B,2,FALSE)</f>
        <v>#N/A</v>
      </c>
    </row>
    <row r="13517" spans="1:10" x14ac:dyDescent="0.25">
      <c r="A13517">
        <v>15278</v>
      </c>
      <c r="B13517" t="s">
        <v>531</v>
      </c>
      <c r="C13517">
        <v>559</v>
      </c>
      <c r="D13517">
        <v>598</v>
      </c>
      <c r="E13517">
        <v>0</v>
      </c>
      <c r="F13517">
        <v>154</v>
      </c>
      <c r="G13517">
        <v>0</v>
      </c>
      <c r="H13517" t="s">
        <v>18386</v>
      </c>
      <c r="I13517">
        <v>15278</v>
      </c>
      <c r="J13517" t="e">
        <f>VLOOKUP(E13517,DSSpieler!A:B,2,FALSE)</f>
        <v>#N/A</v>
      </c>
    </row>
    <row r="13518" spans="1:10" x14ac:dyDescent="0.25">
      <c r="A13518">
        <v>15279</v>
      </c>
      <c r="B13518" t="s">
        <v>531</v>
      </c>
      <c r="C13518">
        <v>554</v>
      </c>
      <c r="D13518">
        <v>399</v>
      </c>
      <c r="E13518">
        <v>0</v>
      </c>
      <c r="F13518">
        <v>224</v>
      </c>
      <c r="G13518">
        <v>0</v>
      </c>
      <c r="H13518" t="s">
        <v>18387</v>
      </c>
      <c r="I13518">
        <v>15279</v>
      </c>
      <c r="J13518" t="e">
        <f>VLOOKUP(E13518,DSSpieler!A:B,2,FALSE)</f>
        <v>#N/A</v>
      </c>
    </row>
    <row r="13519" spans="1:10" x14ac:dyDescent="0.25">
      <c r="A13519">
        <v>15280</v>
      </c>
      <c r="B13519" t="s">
        <v>35073</v>
      </c>
      <c r="C13519">
        <v>381</v>
      </c>
      <c r="D13519">
        <v>489</v>
      </c>
      <c r="E13519">
        <v>1577137125</v>
      </c>
      <c r="F13519">
        <v>1325</v>
      </c>
      <c r="G13519">
        <v>0</v>
      </c>
      <c r="H13519" t="s">
        <v>18388</v>
      </c>
      <c r="I13519">
        <v>15280</v>
      </c>
      <c r="J13519" t="str">
        <f>VLOOKUP(E13519,DSSpieler!A:B,2,FALSE)</f>
        <v>Sille56</v>
      </c>
    </row>
    <row r="13520" spans="1:10" x14ac:dyDescent="0.25">
      <c r="A13520">
        <v>15281</v>
      </c>
      <c r="B13520" t="s">
        <v>531</v>
      </c>
      <c r="C13520">
        <v>456</v>
      </c>
      <c r="D13520">
        <v>391</v>
      </c>
      <c r="E13520">
        <v>0</v>
      </c>
      <c r="F13520">
        <v>170</v>
      </c>
      <c r="G13520">
        <v>0</v>
      </c>
      <c r="H13520" t="s">
        <v>18389</v>
      </c>
      <c r="I13520">
        <v>15281</v>
      </c>
      <c r="J13520" t="e">
        <f>VLOOKUP(E13520,DSSpieler!A:B,2,FALSE)</f>
        <v>#N/A</v>
      </c>
    </row>
    <row r="13521" spans="1:10" x14ac:dyDescent="0.25">
      <c r="A13521">
        <v>15283</v>
      </c>
      <c r="B13521" t="s">
        <v>35074</v>
      </c>
      <c r="C13521">
        <v>615</v>
      </c>
      <c r="D13521">
        <v>487</v>
      </c>
      <c r="E13521">
        <v>9989147</v>
      </c>
      <c r="F13521">
        <v>1514</v>
      </c>
      <c r="G13521">
        <v>0</v>
      </c>
      <c r="H13521" t="s">
        <v>18390</v>
      </c>
      <c r="I13521">
        <v>15283</v>
      </c>
      <c r="J13521" t="str">
        <f>VLOOKUP(E13521,DSSpieler!A:B,2,FALSE)</f>
        <v>Harlekin77</v>
      </c>
    </row>
    <row r="13522" spans="1:10" x14ac:dyDescent="0.25">
      <c r="A13522">
        <v>15284</v>
      </c>
      <c r="B13522" t="s">
        <v>35075</v>
      </c>
      <c r="C13522">
        <v>421</v>
      </c>
      <c r="D13522">
        <v>589</v>
      </c>
      <c r="E13522">
        <v>1577051035</v>
      </c>
      <c r="F13522">
        <v>303</v>
      </c>
      <c r="G13522">
        <v>0</v>
      </c>
      <c r="H13522" t="s">
        <v>18391</v>
      </c>
      <c r="I13522">
        <v>15284</v>
      </c>
      <c r="J13522" t="str">
        <f>VLOOKUP(E13522,DSSpieler!A:B,2,FALSE)</f>
        <v>Jodler</v>
      </c>
    </row>
    <row r="13523" spans="1:10" x14ac:dyDescent="0.25">
      <c r="A13523">
        <v>15285</v>
      </c>
      <c r="B13523" t="s">
        <v>660</v>
      </c>
      <c r="C13523">
        <v>524</v>
      </c>
      <c r="D13523">
        <v>615</v>
      </c>
      <c r="E13523">
        <v>1577196346</v>
      </c>
      <c r="F13523">
        <v>443</v>
      </c>
      <c r="G13523">
        <v>0</v>
      </c>
      <c r="H13523" t="s">
        <v>18392</v>
      </c>
      <c r="I13523">
        <v>15285</v>
      </c>
      <c r="J13523" t="str">
        <f>VLOOKUP(E13523,DSSpieler!A:B,2,FALSE)</f>
        <v>Lord Fiebs</v>
      </c>
    </row>
    <row r="13524" spans="1:10" x14ac:dyDescent="0.25">
      <c r="A13524">
        <v>15286</v>
      </c>
      <c r="B13524" t="s">
        <v>531</v>
      </c>
      <c r="C13524">
        <v>466</v>
      </c>
      <c r="D13524">
        <v>391</v>
      </c>
      <c r="E13524">
        <v>0</v>
      </c>
      <c r="F13524">
        <v>165</v>
      </c>
      <c r="G13524">
        <v>0</v>
      </c>
      <c r="H13524" t="s">
        <v>18393</v>
      </c>
      <c r="I13524">
        <v>15286</v>
      </c>
      <c r="J13524" t="e">
        <f>VLOOKUP(E13524,DSSpieler!A:B,2,FALSE)</f>
        <v>#N/A</v>
      </c>
    </row>
    <row r="13525" spans="1:10" x14ac:dyDescent="0.25">
      <c r="A13525">
        <v>15287</v>
      </c>
      <c r="B13525" t="s">
        <v>531</v>
      </c>
      <c r="C13525">
        <v>474</v>
      </c>
      <c r="D13525">
        <v>387</v>
      </c>
      <c r="E13525">
        <v>0</v>
      </c>
      <c r="F13525">
        <v>113</v>
      </c>
      <c r="G13525">
        <v>0</v>
      </c>
      <c r="H13525" t="s">
        <v>18394</v>
      </c>
      <c r="I13525">
        <v>15287</v>
      </c>
      <c r="J13525" t="e">
        <f>VLOOKUP(E13525,DSSpieler!A:B,2,FALSE)</f>
        <v>#N/A</v>
      </c>
    </row>
    <row r="13526" spans="1:10" x14ac:dyDescent="0.25">
      <c r="A13526">
        <v>15288</v>
      </c>
      <c r="B13526" t="s">
        <v>531</v>
      </c>
      <c r="C13526">
        <v>416</v>
      </c>
      <c r="D13526">
        <v>578</v>
      </c>
      <c r="E13526">
        <v>0</v>
      </c>
      <c r="F13526">
        <v>150</v>
      </c>
      <c r="G13526">
        <v>0</v>
      </c>
      <c r="H13526" t="s">
        <v>18395</v>
      </c>
      <c r="I13526">
        <v>15288</v>
      </c>
      <c r="J13526" t="e">
        <f>VLOOKUP(E13526,DSSpieler!A:B,2,FALSE)</f>
        <v>#N/A</v>
      </c>
    </row>
    <row r="13527" spans="1:10" x14ac:dyDescent="0.25">
      <c r="A13527">
        <v>15289</v>
      </c>
      <c r="B13527" t="s">
        <v>531</v>
      </c>
      <c r="C13527">
        <v>543</v>
      </c>
      <c r="D13527">
        <v>612</v>
      </c>
      <c r="E13527">
        <v>0</v>
      </c>
      <c r="F13527">
        <v>144</v>
      </c>
      <c r="G13527">
        <v>0</v>
      </c>
      <c r="H13527" t="s">
        <v>18396</v>
      </c>
      <c r="I13527">
        <v>15289</v>
      </c>
      <c r="J13527" t="e">
        <f>VLOOKUP(E13527,DSSpieler!A:B,2,FALSE)</f>
        <v>#N/A</v>
      </c>
    </row>
    <row r="13528" spans="1:10" x14ac:dyDescent="0.25">
      <c r="A13528">
        <v>15290</v>
      </c>
      <c r="B13528" t="s">
        <v>531</v>
      </c>
      <c r="C13528">
        <v>516</v>
      </c>
      <c r="D13528">
        <v>381</v>
      </c>
      <c r="E13528">
        <v>0</v>
      </c>
      <c r="F13528">
        <v>91</v>
      </c>
      <c r="G13528">
        <v>0</v>
      </c>
      <c r="H13528" t="s">
        <v>18397</v>
      </c>
      <c r="I13528">
        <v>15290</v>
      </c>
      <c r="J13528" t="e">
        <f>VLOOKUP(E13528,DSSpieler!A:B,2,FALSE)</f>
        <v>#N/A</v>
      </c>
    </row>
    <row r="13529" spans="1:10" x14ac:dyDescent="0.25">
      <c r="A13529">
        <v>15291</v>
      </c>
      <c r="B13529" t="s">
        <v>531</v>
      </c>
      <c r="C13529">
        <v>447</v>
      </c>
      <c r="D13529">
        <v>607</v>
      </c>
      <c r="E13529">
        <v>0</v>
      </c>
      <c r="F13529">
        <v>89</v>
      </c>
      <c r="G13529">
        <v>0</v>
      </c>
      <c r="H13529" t="s">
        <v>18398</v>
      </c>
      <c r="I13529">
        <v>15291</v>
      </c>
      <c r="J13529" t="e">
        <f>VLOOKUP(E13529,DSSpieler!A:B,2,FALSE)</f>
        <v>#N/A</v>
      </c>
    </row>
    <row r="13530" spans="1:10" x14ac:dyDescent="0.25">
      <c r="A13530">
        <v>15293</v>
      </c>
      <c r="B13530" t="s">
        <v>531</v>
      </c>
      <c r="C13530">
        <v>596</v>
      </c>
      <c r="D13530">
        <v>435</v>
      </c>
      <c r="E13530">
        <v>0</v>
      </c>
      <c r="F13530">
        <v>130</v>
      </c>
      <c r="G13530">
        <v>0</v>
      </c>
      <c r="H13530" t="s">
        <v>18399</v>
      </c>
      <c r="I13530">
        <v>15293</v>
      </c>
      <c r="J13530" t="e">
        <f>VLOOKUP(E13530,DSSpieler!A:B,2,FALSE)</f>
        <v>#N/A</v>
      </c>
    </row>
    <row r="13531" spans="1:10" x14ac:dyDescent="0.25">
      <c r="A13531">
        <v>15294</v>
      </c>
      <c r="B13531" t="s">
        <v>531</v>
      </c>
      <c r="C13531">
        <v>424</v>
      </c>
      <c r="D13531">
        <v>587</v>
      </c>
      <c r="E13531">
        <v>0</v>
      </c>
      <c r="F13531">
        <v>210</v>
      </c>
      <c r="G13531">
        <v>0</v>
      </c>
      <c r="H13531" t="s">
        <v>18400</v>
      </c>
      <c r="I13531">
        <v>15294</v>
      </c>
      <c r="J13531" t="e">
        <f>VLOOKUP(E13531,DSSpieler!A:B,2,FALSE)</f>
        <v>#N/A</v>
      </c>
    </row>
    <row r="13532" spans="1:10" x14ac:dyDescent="0.25">
      <c r="A13532">
        <v>15295</v>
      </c>
      <c r="B13532" t="s">
        <v>531</v>
      </c>
      <c r="C13532">
        <v>619</v>
      </c>
      <c r="D13532">
        <v>490</v>
      </c>
      <c r="E13532">
        <v>0</v>
      </c>
      <c r="F13532">
        <v>125</v>
      </c>
      <c r="G13532">
        <v>0</v>
      </c>
      <c r="H13532" t="s">
        <v>18401</v>
      </c>
      <c r="I13532">
        <v>15295</v>
      </c>
      <c r="J13532" t="e">
        <f>VLOOKUP(E13532,DSSpieler!A:B,2,FALSE)</f>
        <v>#N/A</v>
      </c>
    </row>
    <row r="13533" spans="1:10" x14ac:dyDescent="0.25">
      <c r="A13533">
        <v>15296</v>
      </c>
      <c r="B13533" t="s">
        <v>531</v>
      </c>
      <c r="C13533">
        <v>554</v>
      </c>
      <c r="D13533">
        <v>606</v>
      </c>
      <c r="E13533">
        <v>0</v>
      </c>
      <c r="F13533">
        <v>172</v>
      </c>
      <c r="G13533">
        <v>0</v>
      </c>
      <c r="H13533" t="s">
        <v>18402</v>
      </c>
      <c r="I13533">
        <v>15296</v>
      </c>
      <c r="J13533" t="e">
        <f>VLOOKUP(E13533,DSSpieler!A:B,2,FALSE)</f>
        <v>#N/A</v>
      </c>
    </row>
    <row r="13534" spans="1:10" x14ac:dyDescent="0.25">
      <c r="A13534">
        <v>15297</v>
      </c>
      <c r="B13534" t="s">
        <v>531</v>
      </c>
      <c r="C13534">
        <v>514</v>
      </c>
      <c r="D13534">
        <v>382</v>
      </c>
      <c r="E13534">
        <v>0</v>
      </c>
      <c r="F13534">
        <v>123</v>
      </c>
      <c r="G13534">
        <v>0</v>
      </c>
      <c r="H13534" t="s">
        <v>18403</v>
      </c>
      <c r="I13534">
        <v>15297</v>
      </c>
      <c r="J13534" t="e">
        <f>VLOOKUP(E13534,DSSpieler!A:B,2,FALSE)</f>
        <v>#N/A</v>
      </c>
    </row>
    <row r="13535" spans="1:10" x14ac:dyDescent="0.25">
      <c r="A13535">
        <v>15299</v>
      </c>
      <c r="B13535" t="s">
        <v>35076</v>
      </c>
      <c r="C13535">
        <v>493</v>
      </c>
      <c r="D13535">
        <v>619</v>
      </c>
      <c r="E13535">
        <v>1577199732</v>
      </c>
      <c r="F13535">
        <v>382</v>
      </c>
      <c r="G13535">
        <v>0</v>
      </c>
      <c r="H13535" t="s">
        <v>18404</v>
      </c>
      <c r="I13535">
        <v>15299</v>
      </c>
      <c r="J13535" t="str">
        <f>VLOOKUP(E13535,DSSpieler!A:B,2,FALSE)</f>
        <v>pSwag</v>
      </c>
    </row>
    <row r="13536" spans="1:10" x14ac:dyDescent="0.25">
      <c r="A13536">
        <v>15300</v>
      </c>
      <c r="B13536" t="s">
        <v>35077</v>
      </c>
      <c r="C13536">
        <v>618</v>
      </c>
      <c r="D13536">
        <v>496</v>
      </c>
      <c r="E13536">
        <v>9752994</v>
      </c>
      <c r="F13536">
        <v>2963</v>
      </c>
      <c r="G13536">
        <v>0</v>
      </c>
      <c r="H13536" t="s">
        <v>18405</v>
      </c>
      <c r="I13536">
        <v>15300</v>
      </c>
      <c r="J13536" t="str">
        <f>VLOOKUP(E13536,DSSpieler!A:B,2,FALSE)</f>
        <v>Dr. Laggs</v>
      </c>
    </row>
    <row r="13537" spans="1:10" x14ac:dyDescent="0.25">
      <c r="A13537">
        <v>15301</v>
      </c>
      <c r="B13537" t="s">
        <v>531</v>
      </c>
      <c r="C13537">
        <v>590</v>
      </c>
      <c r="D13537">
        <v>428</v>
      </c>
      <c r="E13537">
        <v>0</v>
      </c>
      <c r="F13537">
        <v>199</v>
      </c>
      <c r="G13537">
        <v>0</v>
      </c>
      <c r="H13537" t="s">
        <v>18406</v>
      </c>
      <c r="I13537">
        <v>15301</v>
      </c>
      <c r="J13537" t="e">
        <f>VLOOKUP(E13537,DSSpieler!A:B,2,FALSE)</f>
        <v>#N/A</v>
      </c>
    </row>
    <row r="13538" spans="1:10" x14ac:dyDescent="0.25">
      <c r="A13538">
        <v>15302</v>
      </c>
      <c r="B13538" t="s">
        <v>531</v>
      </c>
      <c r="C13538">
        <v>397</v>
      </c>
      <c r="D13538">
        <v>449</v>
      </c>
      <c r="E13538">
        <v>0</v>
      </c>
      <c r="F13538">
        <v>527</v>
      </c>
      <c r="G13538">
        <v>0</v>
      </c>
      <c r="H13538" t="s">
        <v>18407</v>
      </c>
      <c r="I13538">
        <v>15302</v>
      </c>
      <c r="J13538" t="e">
        <f>VLOOKUP(E13538,DSSpieler!A:B,2,FALSE)</f>
        <v>#N/A</v>
      </c>
    </row>
    <row r="13539" spans="1:10" x14ac:dyDescent="0.25">
      <c r="A13539">
        <v>15303</v>
      </c>
      <c r="B13539" t="s">
        <v>35078</v>
      </c>
      <c r="C13539">
        <v>418</v>
      </c>
      <c r="D13539">
        <v>422</v>
      </c>
      <c r="E13539">
        <v>1577175448</v>
      </c>
      <c r="F13539">
        <v>1296</v>
      </c>
      <c r="G13539">
        <v>0</v>
      </c>
      <c r="H13539" t="s">
        <v>18408</v>
      </c>
      <c r="I13539">
        <v>15303</v>
      </c>
      <c r="J13539" t="str">
        <f>VLOOKUP(E13539,DSSpieler!A:B,2,FALSE)</f>
        <v>KevinKohlrabi</v>
      </c>
    </row>
    <row r="13540" spans="1:10" x14ac:dyDescent="0.25">
      <c r="A13540">
        <v>15304</v>
      </c>
      <c r="B13540" t="s">
        <v>35079</v>
      </c>
      <c r="C13540">
        <v>413</v>
      </c>
      <c r="D13540">
        <v>418</v>
      </c>
      <c r="E13540">
        <v>1577045005</v>
      </c>
      <c r="F13540">
        <v>3285</v>
      </c>
      <c r="G13540">
        <v>0</v>
      </c>
      <c r="H13540" t="s">
        <v>18409</v>
      </c>
      <c r="I13540">
        <v>15304</v>
      </c>
      <c r="J13540" t="str">
        <f>VLOOKUP(E13540,DSSpieler!A:B,2,FALSE)</f>
        <v>KingKuh</v>
      </c>
    </row>
    <row r="13541" spans="1:10" x14ac:dyDescent="0.25">
      <c r="A13541">
        <v>15305</v>
      </c>
      <c r="B13541" t="s">
        <v>2401</v>
      </c>
      <c r="C13541">
        <v>415</v>
      </c>
      <c r="D13541">
        <v>451</v>
      </c>
      <c r="E13541">
        <v>7932390</v>
      </c>
      <c r="F13541">
        <v>3577</v>
      </c>
      <c r="G13541">
        <v>0</v>
      </c>
      <c r="H13541" t="s">
        <v>18410</v>
      </c>
      <c r="I13541">
        <v>15305</v>
      </c>
      <c r="J13541" t="str">
        <f>VLOOKUP(E13541,DSSpieler!A:B,2,FALSE)</f>
        <v>DerCemo47</v>
      </c>
    </row>
    <row r="13542" spans="1:10" x14ac:dyDescent="0.25">
      <c r="A13542">
        <v>15306</v>
      </c>
      <c r="B13542" t="s">
        <v>35080</v>
      </c>
      <c r="C13542">
        <v>523</v>
      </c>
      <c r="D13542">
        <v>383</v>
      </c>
      <c r="E13542">
        <v>1577201020</v>
      </c>
      <c r="F13542">
        <v>2216</v>
      </c>
      <c r="G13542">
        <v>0</v>
      </c>
      <c r="H13542" t="s">
        <v>18411</v>
      </c>
      <c r="I13542">
        <v>15306</v>
      </c>
      <c r="J13542" t="str">
        <f>VLOOKUP(E13542,DSSpieler!A:B,2,FALSE)</f>
        <v>carecry123</v>
      </c>
    </row>
    <row r="13543" spans="1:10" x14ac:dyDescent="0.25">
      <c r="A13543">
        <v>15307</v>
      </c>
      <c r="B13543">
        <v>3</v>
      </c>
      <c r="C13543">
        <v>565</v>
      </c>
      <c r="D13543">
        <v>451</v>
      </c>
      <c r="E13543">
        <v>3479010</v>
      </c>
      <c r="F13543">
        <v>1844</v>
      </c>
      <c r="G13543">
        <v>0</v>
      </c>
      <c r="H13543" t="s">
        <v>18412</v>
      </c>
      <c r="I13543">
        <v>15307</v>
      </c>
      <c r="J13543" t="str">
        <f>VLOOKUP(E13543,DSSpieler!A:B,2,FALSE)</f>
        <v>Lieskauer</v>
      </c>
    </row>
    <row r="13544" spans="1:10" x14ac:dyDescent="0.25">
      <c r="A13544">
        <v>15308</v>
      </c>
      <c r="B13544" t="s">
        <v>531</v>
      </c>
      <c r="C13544">
        <v>443</v>
      </c>
      <c r="D13544">
        <v>600</v>
      </c>
      <c r="E13544">
        <v>0</v>
      </c>
      <c r="F13544">
        <v>105</v>
      </c>
      <c r="G13544">
        <v>0</v>
      </c>
      <c r="H13544" t="s">
        <v>18413</v>
      </c>
      <c r="I13544">
        <v>15308</v>
      </c>
      <c r="J13544" t="e">
        <f>VLOOKUP(E13544,DSSpieler!A:B,2,FALSE)</f>
        <v>#N/A</v>
      </c>
    </row>
    <row r="13545" spans="1:10" x14ac:dyDescent="0.25">
      <c r="A13545">
        <v>15309</v>
      </c>
      <c r="B13545" t="s">
        <v>531</v>
      </c>
      <c r="C13545">
        <v>411</v>
      </c>
      <c r="D13545">
        <v>425</v>
      </c>
      <c r="E13545">
        <v>0</v>
      </c>
      <c r="F13545">
        <v>1244</v>
      </c>
      <c r="G13545">
        <v>0</v>
      </c>
      <c r="H13545" t="s">
        <v>18414</v>
      </c>
      <c r="I13545">
        <v>15309</v>
      </c>
      <c r="J13545" t="e">
        <f>VLOOKUP(E13545,DSSpieler!A:B,2,FALSE)</f>
        <v>#N/A</v>
      </c>
    </row>
    <row r="13546" spans="1:10" x14ac:dyDescent="0.25">
      <c r="A13546">
        <v>15310</v>
      </c>
      <c r="B13546" t="s">
        <v>531</v>
      </c>
      <c r="C13546">
        <v>618</v>
      </c>
      <c r="D13546">
        <v>504</v>
      </c>
      <c r="E13546">
        <v>0</v>
      </c>
      <c r="F13546">
        <v>169</v>
      </c>
      <c r="G13546">
        <v>0</v>
      </c>
      <c r="H13546" t="s">
        <v>18415</v>
      </c>
      <c r="I13546">
        <v>15310</v>
      </c>
      <c r="J13546" t="e">
        <f>VLOOKUP(E13546,DSSpieler!A:B,2,FALSE)</f>
        <v>#N/A</v>
      </c>
    </row>
    <row r="13547" spans="1:10" x14ac:dyDescent="0.25">
      <c r="A13547">
        <v>15311</v>
      </c>
      <c r="B13547" t="s">
        <v>35081</v>
      </c>
      <c r="C13547">
        <v>608</v>
      </c>
      <c r="D13547">
        <v>459</v>
      </c>
      <c r="E13547">
        <v>1576049187</v>
      </c>
      <c r="F13547">
        <v>1699</v>
      </c>
      <c r="G13547">
        <v>0</v>
      </c>
      <c r="H13547" t="s">
        <v>18416</v>
      </c>
      <c r="I13547">
        <v>15311</v>
      </c>
      <c r="J13547" t="str">
        <f>VLOOKUP(E13547,DSSpieler!A:B,2,FALSE)</f>
        <v>dark knight88</v>
      </c>
    </row>
    <row r="13548" spans="1:10" x14ac:dyDescent="0.25">
      <c r="A13548">
        <v>15313</v>
      </c>
      <c r="B13548" t="s">
        <v>35082</v>
      </c>
      <c r="C13548">
        <v>474</v>
      </c>
      <c r="D13548">
        <v>616</v>
      </c>
      <c r="E13548">
        <v>10240562</v>
      </c>
      <c r="F13548">
        <v>3235</v>
      </c>
      <c r="G13548">
        <v>0</v>
      </c>
      <c r="H13548" t="s">
        <v>18417</v>
      </c>
      <c r="I13548">
        <v>15313</v>
      </c>
      <c r="J13548" t="str">
        <f>VLOOKUP(E13548,DSSpieler!A:B,2,FALSE)</f>
        <v>dome261</v>
      </c>
    </row>
    <row r="13549" spans="1:10" x14ac:dyDescent="0.25">
      <c r="A13549">
        <v>15314</v>
      </c>
      <c r="B13549" t="s">
        <v>531</v>
      </c>
      <c r="C13549">
        <v>550</v>
      </c>
      <c r="D13549">
        <v>396</v>
      </c>
      <c r="E13549">
        <v>0</v>
      </c>
      <c r="F13549">
        <v>311</v>
      </c>
      <c r="G13549">
        <v>0</v>
      </c>
      <c r="H13549" t="s">
        <v>18418</v>
      </c>
      <c r="I13549">
        <v>15314</v>
      </c>
      <c r="J13549" t="e">
        <f>VLOOKUP(E13549,DSSpieler!A:B,2,FALSE)</f>
        <v>#N/A</v>
      </c>
    </row>
    <row r="13550" spans="1:10" x14ac:dyDescent="0.25">
      <c r="A13550">
        <v>15315</v>
      </c>
      <c r="B13550" t="s">
        <v>531</v>
      </c>
      <c r="C13550">
        <v>489</v>
      </c>
      <c r="D13550">
        <v>618</v>
      </c>
      <c r="E13550">
        <v>0</v>
      </c>
      <c r="F13550">
        <v>273</v>
      </c>
      <c r="G13550">
        <v>0</v>
      </c>
      <c r="H13550" t="s">
        <v>18419</v>
      </c>
      <c r="I13550">
        <v>15315</v>
      </c>
      <c r="J13550" t="e">
        <f>VLOOKUP(E13550,DSSpieler!A:B,2,FALSE)</f>
        <v>#N/A</v>
      </c>
    </row>
    <row r="13551" spans="1:10" x14ac:dyDescent="0.25">
      <c r="A13551">
        <v>15316</v>
      </c>
      <c r="B13551" t="s">
        <v>2402</v>
      </c>
      <c r="C13551">
        <v>571</v>
      </c>
      <c r="D13551">
        <v>406</v>
      </c>
      <c r="E13551">
        <v>3058830</v>
      </c>
      <c r="F13551">
        <v>1692</v>
      </c>
      <c r="G13551">
        <v>0</v>
      </c>
      <c r="H13551" t="s">
        <v>18420</v>
      </c>
      <c r="I13551">
        <v>15316</v>
      </c>
      <c r="J13551" t="str">
        <f>VLOOKUP(E13551,DSSpieler!A:B,2,FALSE)</f>
        <v>mungo133</v>
      </c>
    </row>
    <row r="13552" spans="1:10" x14ac:dyDescent="0.25">
      <c r="A13552">
        <v>15317</v>
      </c>
      <c r="B13552" t="s">
        <v>35083</v>
      </c>
      <c r="C13552">
        <v>412</v>
      </c>
      <c r="D13552">
        <v>581</v>
      </c>
      <c r="E13552">
        <v>1576260161</v>
      </c>
      <c r="F13552">
        <v>4396</v>
      </c>
      <c r="G13552">
        <v>0</v>
      </c>
      <c r="H13552" t="s">
        <v>18421</v>
      </c>
      <c r="I13552">
        <v>15317</v>
      </c>
      <c r="J13552" t="str">
        <f>VLOOKUP(E13552,DSSpieler!A:B,2,FALSE)</f>
        <v>Nar Garzhvog</v>
      </c>
    </row>
    <row r="13553" spans="1:10" x14ac:dyDescent="0.25">
      <c r="A13553">
        <v>15318</v>
      </c>
      <c r="B13553" t="s">
        <v>531</v>
      </c>
      <c r="C13553">
        <v>450</v>
      </c>
      <c r="D13553">
        <v>391</v>
      </c>
      <c r="E13553">
        <v>0</v>
      </c>
      <c r="F13553">
        <v>275</v>
      </c>
      <c r="G13553">
        <v>0</v>
      </c>
      <c r="H13553" t="s">
        <v>18422</v>
      </c>
      <c r="I13553">
        <v>15318</v>
      </c>
      <c r="J13553" t="e">
        <f>VLOOKUP(E13553,DSSpieler!A:B,2,FALSE)</f>
        <v>#N/A</v>
      </c>
    </row>
    <row r="13554" spans="1:10" x14ac:dyDescent="0.25">
      <c r="A13554">
        <v>15319</v>
      </c>
      <c r="B13554" t="s">
        <v>531</v>
      </c>
      <c r="C13554">
        <v>388</v>
      </c>
      <c r="D13554">
        <v>455</v>
      </c>
      <c r="E13554">
        <v>0</v>
      </c>
      <c r="F13554">
        <v>220</v>
      </c>
      <c r="G13554">
        <v>0</v>
      </c>
      <c r="H13554" t="s">
        <v>18423</v>
      </c>
      <c r="I13554">
        <v>15319</v>
      </c>
      <c r="J13554" t="e">
        <f>VLOOKUP(E13554,DSSpieler!A:B,2,FALSE)</f>
        <v>#N/A</v>
      </c>
    </row>
    <row r="13555" spans="1:10" x14ac:dyDescent="0.25">
      <c r="A13555">
        <v>15320</v>
      </c>
      <c r="B13555" t="s">
        <v>722</v>
      </c>
      <c r="C13555">
        <v>551</v>
      </c>
      <c r="D13555">
        <v>396</v>
      </c>
      <c r="E13555">
        <v>1577150723</v>
      </c>
      <c r="F13555">
        <v>2546</v>
      </c>
      <c r="G13555">
        <v>0</v>
      </c>
      <c r="H13555" t="s">
        <v>18424</v>
      </c>
      <c r="I13555">
        <v>15320</v>
      </c>
      <c r="J13555" t="str">
        <f>VLOOKUP(E13555,DSSpieler!A:B,2,FALSE)</f>
        <v>XXDarkNightXX</v>
      </c>
    </row>
    <row r="13556" spans="1:10" x14ac:dyDescent="0.25">
      <c r="A13556">
        <v>15321</v>
      </c>
      <c r="B13556" t="s">
        <v>35084</v>
      </c>
      <c r="C13556">
        <v>416</v>
      </c>
      <c r="D13556">
        <v>584</v>
      </c>
      <c r="E13556">
        <v>1576969430</v>
      </c>
      <c r="F13556">
        <v>203</v>
      </c>
      <c r="G13556">
        <v>0</v>
      </c>
      <c r="H13556" t="s">
        <v>18425</v>
      </c>
      <c r="I13556">
        <v>15321</v>
      </c>
      <c r="J13556" t="str">
        <f>VLOOKUP(E13556,DSSpieler!A:B,2,FALSE)</f>
        <v>Berthold13</v>
      </c>
    </row>
    <row r="13557" spans="1:10" x14ac:dyDescent="0.25">
      <c r="A13557">
        <v>15322</v>
      </c>
      <c r="B13557" t="s">
        <v>531</v>
      </c>
      <c r="C13557">
        <v>601</v>
      </c>
      <c r="D13557">
        <v>557</v>
      </c>
      <c r="E13557">
        <v>0</v>
      </c>
      <c r="F13557">
        <v>212</v>
      </c>
      <c r="G13557">
        <v>0</v>
      </c>
      <c r="H13557" t="s">
        <v>18426</v>
      </c>
      <c r="I13557">
        <v>15322</v>
      </c>
      <c r="J13557" t="e">
        <f>VLOOKUP(E13557,DSSpieler!A:B,2,FALSE)</f>
        <v>#N/A</v>
      </c>
    </row>
    <row r="13558" spans="1:10" x14ac:dyDescent="0.25">
      <c r="A13558">
        <v>15323</v>
      </c>
      <c r="B13558" t="s">
        <v>531</v>
      </c>
      <c r="C13558">
        <v>613</v>
      </c>
      <c r="D13558">
        <v>467</v>
      </c>
      <c r="E13558">
        <v>0</v>
      </c>
      <c r="F13558">
        <v>155</v>
      </c>
      <c r="G13558">
        <v>0</v>
      </c>
      <c r="H13558" t="s">
        <v>18427</v>
      </c>
      <c r="I13558">
        <v>15323</v>
      </c>
      <c r="J13558" t="e">
        <f>VLOOKUP(E13558,DSSpieler!A:B,2,FALSE)</f>
        <v>#N/A</v>
      </c>
    </row>
    <row r="13559" spans="1:10" x14ac:dyDescent="0.25">
      <c r="A13559">
        <v>15324</v>
      </c>
      <c r="B13559" t="s">
        <v>35085</v>
      </c>
      <c r="C13559">
        <v>525</v>
      </c>
      <c r="D13559">
        <v>613</v>
      </c>
      <c r="E13559">
        <v>1577104233</v>
      </c>
      <c r="F13559">
        <v>2198</v>
      </c>
      <c r="G13559">
        <v>0</v>
      </c>
      <c r="H13559" t="s">
        <v>18428</v>
      </c>
      <c r="I13559">
        <v>15324</v>
      </c>
      <c r="J13559" t="str">
        <f>VLOOKUP(E13559,DSSpieler!A:B,2,FALSE)</f>
        <v>stehbeisl3002</v>
      </c>
    </row>
    <row r="13560" spans="1:10" x14ac:dyDescent="0.25">
      <c r="A13560">
        <v>15325</v>
      </c>
      <c r="B13560" t="s">
        <v>35086</v>
      </c>
      <c r="C13560">
        <v>419</v>
      </c>
      <c r="D13560">
        <v>418</v>
      </c>
      <c r="E13560">
        <v>1789761</v>
      </c>
      <c r="F13560">
        <v>5184</v>
      </c>
      <c r="G13560">
        <v>0</v>
      </c>
      <c r="H13560" t="s">
        <v>18429</v>
      </c>
      <c r="I13560">
        <v>15325</v>
      </c>
      <c r="J13560" t="str">
        <f>VLOOKUP(E13560,DSSpieler!A:B,2,FALSE)</f>
        <v>Leonardo di Caprisonne</v>
      </c>
    </row>
    <row r="13561" spans="1:10" x14ac:dyDescent="0.25">
      <c r="A13561">
        <v>15326</v>
      </c>
      <c r="B13561" t="s">
        <v>35087</v>
      </c>
      <c r="C13561">
        <v>440</v>
      </c>
      <c r="D13561">
        <v>435</v>
      </c>
      <c r="E13561">
        <v>1577186220</v>
      </c>
      <c r="F13561">
        <v>4349</v>
      </c>
      <c r="G13561">
        <v>0</v>
      </c>
      <c r="H13561" t="s">
        <v>18430</v>
      </c>
      <c r="I13561">
        <v>15326</v>
      </c>
      <c r="J13561" t="str">
        <f>VLOOKUP(E13561,DSSpieler!A:B,2,FALSE)</f>
        <v>Zlatantim</v>
      </c>
    </row>
    <row r="13562" spans="1:10" x14ac:dyDescent="0.25">
      <c r="A13562">
        <v>15327</v>
      </c>
      <c r="B13562" t="s">
        <v>531</v>
      </c>
      <c r="C13562">
        <v>495</v>
      </c>
      <c r="D13562">
        <v>619</v>
      </c>
      <c r="E13562">
        <v>0</v>
      </c>
      <c r="F13562">
        <v>317</v>
      </c>
      <c r="G13562">
        <v>0</v>
      </c>
      <c r="H13562" t="s">
        <v>18431</v>
      </c>
      <c r="I13562">
        <v>15327</v>
      </c>
      <c r="J13562" t="e">
        <f>VLOOKUP(E13562,DSSpieler!A:B,2,FALSE)</f>
        <v>#N/A</v>
      </c>
    </row>
    <row r="13563" spans="1:10" x14ac:dyDescent="0.25">
      <c r="A13563">
        <v>15328</v>
      </c>
      <c r="B13563" t="s">
        <v>531</v>
      </c>
      <c r="C13563">
        <v>617</v>
      </c>
      <c r="D13563">
        <v>514</v>
      </c>
      <c r="E13563">
        <v>0</v>
      </c>
      <c r="F13563">
        <v>204</v>
      </c>
      <c r="G13563">
        <v>0</v>
      </c>
      <c r="H13563" t="s">
        <v>18432</v>
      </c>
      <c r="I13563">
        <v>15328</v>
      </c>
      <c r="J13563" t="e">
        <f>VLOOKUP(E13563,DSSpieler!A:B,2,FALSE)</f>
        <v>#N/A</v>
      </c>
    </row>
    <row r="13564" spans="1:10" x14ac:dyDescent="0.25">
      <c r="A13564">
        <v>15329</v>
      </c>
      <c r="B13564" t="s">
        <v>531</v>
      </c>
      <c r="C13564">
        <v>445</v>
      </c>
      <c r="D13564">
        <v>393</v>
      </c>
      <c r="E13564">
        <v>0</v>
      </c>
      <c r="F13564">
        <v>267</v>
      </c>
      <c r="G13564">
        <v>0</v>
      </c>
      <c r="H13564" t="s">
        <v>18433</v>
      </c>
      <c r="I13564">
        <v>15329</v>
      </c>
      <c r="J13564" t="e">
        <f>VLOOKUP(E13564,DSSpieler!A:B,2,FALSE)</f>
        <v>#N/A</v>
      </c>
    </row>
    <row r="13565" spans="1:10" x14ac:dyDescent="0.25">
      <c r="A13565">
        <v>15330</v>
      </c>
      <c r="B13565" t="s">
        <v>531</v>
      </c>
      <c r="C13565">
        <v>614</v>
      </c>
      <c r="D13565">
        <v>522</v>
      </c>
      <c r="E13565">
        <v>0</v>
      </c>
      <c r="F13565">
        <v>900</v>
      </c>
      <c r="G13565">
        <v>0</v>
      </c>
      <c r="H13565" t="s">
        <v>18434</v>
      </c>
      <c r="I13565">
        <v>15330</v>
      </c>
      <c r="J13565" t="e">
        <f>VLOOKUP(E13565,DSSpieler!A:B,2,FALSE)</f>
        <v>#N/A</v>
      </c>
    </row>
    <row r="13566" spans="1:10" x14ac:dyDescent="0.25">
      <c r="A13566">
        <v>15331</v>
      </c>
      <c r="B13566" t="s">
        <v>531</v>
      </c>
      <c r="C13566">
        <v>620</v>
      </c>
      <c r="D13566">
        <v>509</v>
      </c>
      <c r="E13566">
        <v>0</v>
      </c>
      <c r="F13566">
        <v>152</v>
      </c>
      <c r="G13566">
        <v>0</v>
      </c>
      <c r="H13566" t="s">
        <v>18435</v>
      </c>
      <c r="I13566">
        <v>15331</v>
      </c>
      <c r="J13566" t="e">
        <f>VLOOKUP(E13566,DSSpieler!A:B,2,FALSE)</f>
        <v>#N/A</v>
      </c>
    </row>
    <row r="13567" spans="1:10" x14ac:dyDescent="0.25">
      <c r="A13567">
        <v>15332</v>
      </c>
      <c r="B13567" t="s">
        <v>531</v>
      </c>
      <c r="C13567">
        <v>551</v>
      </c>
      <c r="D13567">
        <v>603</v>
      </c>
      <c r="E13567">
        <v>0</v>
      </c>
      <c r="F13567">
        <v>585</v>
      </c>
      <c r="G13567">
        <v>0</v>
      </c>
      <c r="H13567" t="s">
        <v>18436</v>
      </c>
      <c r="I13567">
        <v>15332</v>
      </c>
      <c r="J13567" t="e">
        <f>VLOOKUP(E13567,DSSpieler!A:B,2,FALSE)</f>
        <v>#N/A</v>
      </c>
    </row>
    <row r="13568" spans="1:10" x14ac:dyDescent="0.25">
      <c r="A13568">
        <v>15333</v>
      </c>
      <c r="B13568">
        <v>178</v>
      </c>
      <c r="C13568">
        <v>381</v>
      </c>
      <c r="D13568">
        <v>511</v>
      </c>
      <c r="E13568">
        <v>9108586</v>
      </c>
      <c r="F13568">
        <v>3964</v>
      </c>
      <c r="G13568">
        <v>0</v>
      </c>
      <c r="H13568" t="s">
        <v>18437</v>
      </c>
      <c r="I13568">
        <v>15333</v>
      </c>
      <c r="J13568" t="str">
        <f>VLOOKUP(E13568,DSSpieler!A:B,2,FALSE)</f>
        <v>schnauzevollnix</v>
      </c>
    </row>
    <row r="13569" spans="1:10" x14ac:dyDescent="0.25">
      <c r="A13569">
        <v>15334</v>
      </c>
      <c r="B13569">
        <v>1</v>
      </c>
      <c r="C13569">
        <v>510</v>
      </c>
      <c r="D13569">
        <v>383</v>
      </c>
      <c r="E13569">
        <v>1576104415</v>
      </c>
      <c r="F13569">
        <v>5046</v>
      </c>
      <c r="G13569">
        <v>0</v>
      </c>
      <c r="H13569" t="s">
        <v>18438</v>
      </c>
      <c r="I13569">
        <v>15334</v>
      </c>
      <c r="J13569" t="str">
        <f>VLOOKUP(E13569,DSSpieler!A:B,2,FALSE)</f>
        <v>Raymez</v>
      </c>
    </row>
    <row r="13570" spans="1:10" x14ac:dyDescent="0.25">
      <c r="A13570">
        <v>15335</v>
      </c>
      <c r="B13570" t="s">
        <v>531</v>
      </c>
      <c r="C13570">
        <v>523</v>
      </c>
      <c r="D13570">
        <v>382</v>
      </c>
      <c r="E13570">
        <v>0</v>
      </c>
      <c r="F13570">
        <v>180</v>
      </c>
      <c r="G13570">
        <v>0</v>
      </c>
      <c r="H13570" t="s">
        <v>18439</v>
      </c>
      <c r="I13570">
        <v>15335</v>
      </c>
      <c r="J13570" t="e">
        <f>VLOOKUP(E13570,DSSpieler!A:B,2,FALSE)</f>
        <v>#N/A</v>
      </c>
    </row>
    <row r="13571" spans="1:10" x14ac:dyDescent="0.25">
      <c r="A13571">
        <v>15336</v>
      </c>
      <c r="B13571" t="s">
        <v>531</v>
      </c>
      <c r="C13571">
        <v>461</v>
      </c>
      <c r="D13571">
        <v>386</v>
      </c>
      <c r="E13571">
        <v>0</v>
      </c>
      <c r="F13571">
        <v>756</v>
      </c>
      <c r="G13571">
        <v>0</v>
      </c>
      <c r="H13571" t="s">
        <v>18440</v>
      </c>
      <c r="I13571">
        <v>15336</v>
      </c>
      <c r="J13571" t="e">
        <f>VLOOKUP(E13571,DSSpieler!A:B,2,FALSE)</f>
        <v>#N/A</v>
      </c>
    </row>
    <row r="13572" spans="1:10" x14ac:dyDescent="0.25">
      <c r="A13572">
        <v>15337</v>
      </c>
      <c r="B13572" t="s">
        <v>2403</v>
      </c>
      <c r="C13572">
        <v>555</v>
      </c>
      <c r="D13572">
        <v>398</v>
      </c>
      <c r="E13572">
        <v>1577198400</v>
      </c>
      <c r="F13572">
        <v>2152</v>
      </c>
      <c r="G13572">
        <v>0</v>
      </c>
      <c r="H13572" t="s">
        <v>18441</v>
      </c>
      <c r="I13572">
        <v>15337</v>
      </c>
      <c r="J13572" t="str">
        <f>VLOOKUP(E13572,DSSpieler!A:B,2,FALSE)</f>
        <v>Rush5</v>
      </c>
    </row>
    <row r="13573" spans="1:10" x14ac:dyDescent="0.25">
      <c r="A13573">
        <v>15339</v>
      </c>
      <c r="B13573" t="s">
        <v>35088</v>
      </c>
      <c r="C13573">
        <v>496</v>
      </c>
      <c r="D13573">
        <v>519</v>
      </c>
      <c r="E13573">
        <v>1577182420</v>
      </c>
      <c r="F13573">
        <v>3779</v>
      </c>
      <c r="G13573">
        <v>0</v>
      </c>
      <c r="H13573" t="s">
        <v>18442</v>
      </c>
      <c r="I13573">
        <v>15339</v>
      </c>
      <c r="J13573" t="str">
        <f>VLOOKUP(E13573,DSSpieler!A:B,2,FALSE)</f>
        <v>Rob301096</v>
      </c>
    </row>
    <row r="13574" spans="1:10" x14ac:dyDescent="0.25">
      <c r="A13574">
        <v>15340</v>
      </c>
      <c r="B13574" t="s">
        <v>531</v>
      </c>
      <c r="C13574">
        <v>560</v>
      </c>
      <c r="D13574">
        <v>400</v>
      </c>
      <c r="E13574">
        <v>0</v>
      </c>
      <c r="F13574">
        <v>153</v>
      </c>
      <c r="G13574">
        <v>0</v>
      </c>
      <c r="H13574" t="s">
        <v>18443</v>
      </c>
      <c r="I13574">
        <v>15340</v>
      </c>
      <c r="J13574" t="e">
        <f>VLOOKUP(E13574,DSSpieler!A:B,2,FALSE)</f>
        <v>#N/A</v>
      </c>
    </row>
    <row r="13575" spans="1:10" x14ac:dyDescent="0.25">
      <c r="A13575">
        <v>15341</v>
      </c>
      <c r="B13575" t="s">
        <v>531</v>
      </c>
      <c r="C13575">
        <v>406</v>
      </c>
      <c r="D13575">
        <v>573</v>
      </c>
      <c r="E13575">
        <v>0</v>
      </c>
      <c r="F13575">
        <v>191</v>
      </c>
      <c r="G13575">
        <v>0</v>
      </c>
      <c r="H13575" t="s">
        <v>18444</v>
      </c>
      <c r="I13575">
        <v>15341</v>
      </c>
      <c r="J13575" t="e">
        <f>VLOOKUP(E13575,DSSpieler!A:B,2,FALSE)</f>
        <v>#N/A</v>
      </c>
    </row>
    <row r="13576" spans="1:10" x14ac:dyDescent="0.25">
      <c r="A13576">
        <v>15342</v>
      </c>
      <c r="B13576" t="s">
        <v>531</v>
      </c>
      <c r="C13576">
        <v>390</v>
      </c>
      <c r="D13576">
        <v>546</v>
      </c>
      <c r="E13576">
        <v>0</v>
      </c>
      <c r="F13576">
        <v>146</v>
      </c>
      <c r="G13576">
        <v>0</v>
      </c>
      <c r="H13576" t="s">
        <v>18445</v>
      </c>
      <c r="I13576">
        <v>15342</v>
      </c>
      <c r="J13576" t="e">
        <f>VLOOKUP(E13576,DSSpieler!A:B,2,FALSE)</f>
        <v>#N/A</v>
      </c>
    </row>
    <row r="13577" spans="1:10" x14ac:dyDescent="0.25">
      <c r="A13577">
        <v>15343</v>
      </c>
      <c r="B13577" t="s">
        <v>30491</v>
      </c>
      <c r="C13577">
        <v>583</v>
      </c>
      <c r="D13577">
        <v>451</v>
      </c>
      <c r="E13577">
        <v>1577202215</v>
      </c>
      <c r="F13577">
        <v>775</v>
      </c>
      <c r="G13577">
        <v>0</v>
      </c>
      <c r="H13577" t="s">
        <v>18446</v>
      </c>
      <c r="I13577">
        <v>15343</v>
      </c>
      <c r="J13577" t="str">
        <f>VLOOKUP(E13577,DSSpieler!A:B,2,FALSE)</f>
        <v>Maximilian 723</v>
      </c>
    </row>
    <row r="13578" spans="1:10" x14ac:dyDescent="0.25">
      <c r="A13578">
        <v>15344</v>
      </c>
      <c r="B13578" t="s">
        <v>35089</v>
      </c>
      <c r="C13578">
        <v>445</v>
      </c>
      <c r="D13578">
        <v>546</v>
      </c>
      <c r="E13578">
        <v>1577197618</v>
      </c>
      <c r="F13578">
        <v>2472</v>
      </c>
      <c r="G13578">
        <v>0</v>
      </c>
      <c r="H13578" t="s">
        <v>18447</v>
      </c>
      <c r="I13578">
        <v>15344</v>
      </c>
      <c r="J13578" t="str">
        <f>VLOOKUP(E13578,DSSpieler!A:B,2,FALSE)</f>
        <v>Hypax</v>
      </c>
    </row>
    <row r="13579" spans="1:10" x14ac:dyDescent="0.25">
      <c r="A13579">
        <v>15345</v>
      </c>
      <c r="B13579" t="s">
        <v>531</v>
      </c>
      <c r="C13579">
        <v>533</v>
      </c>
      <c r="D13579">
        <v>616</v>
      </c>
      <c r="E13579">
        <v>0</v>
      </c>
      <c r="F13579">
        <v>275</v>
      </c>
      <c r="G13579">
        <v>0</v>
      </c>
      <c r="H13579" t="s">
        <v>18448</v>
      </c>
      <c r="I13579">
        <v>15345</v>
      </c>
      <c r="J13579" t="e">
        <f>VLOOKUP(E13579,DSSpieler!A:B,2,FALSE)</f>
        <v>#N/A</v>
      </c>
    </row>
    <row r="13580" spans="1:10" x14ac:dyDescent="0.25">
      <c r="A13580">
        <v>15346</v>
      </c>
      <c r="B13580" t="s">
        <v>531</v>
      </c>
      <c r="C13580">
        <v>511</v>
      </c>
      <c r="D13580">
        <v>393</v>
      </c>
      <c r="E13580">
        <v>0</v>
      </c>
      <c r="F13580">
        <v>169</v>
      </c>
      <c r="G13580">
        <v>0</v>
      </c>
      <c r="H13580" t="s">
        <v>18449</v>
      </c>
      <c r="I13580">
        <v>15346</v>
      </c>
      <c r="J13580" t="e">
        <f>VLOOKUP(E13580,DSSpieler!A:B,2,FALSE)</f>
        <v>#N/A</v>
      </c>
    </row>
    <row r="13581" spans="1:10" x14ac:dyDescent="0.25">
      <c r="A13581">
        <v>15347</v>
      </c>
      <c r="B13581" t="s">
        <v>35090</v>
      </c>
      <c r="C13581">
        <v>569</v>
      </c>
      <c r="D13581">
        <v>445</v>
      </c>
      <c r="E13581">
        <v>1577199322</v>
      </c>
      <c r="F13581">
        <v>1656</v>
      </c>
      <c r="G13581">
        <v>0</v>
      </c>
      <c r="H13581" t="s">
        <v>18450</v>
      </c>
      <c r="I13581">
        <v>15347</v>
      </c>
      <c r="J13581" t="str">
        <f>VLOOKUP(E13581,DSSpieler!A:B,2,FALSE)</f>
        <v>Crood8</v>
      </c>
    </row>
    <row r="13582" spans="1:10" x14ac:dyDescent="0.25">
      <c r="A13582">
        <v>15348</v>
      </c>
      <c r="B13582" t="s">
        <v>531</v>
      </c>
      <c r="C13582">
        <v>584</v>
      </c>
      <c r="D13582">
        <v>414</v>
      </c>
      <c r="E13582">
        <v>0</v>
      </c>
      <c r="F13582">
        <v>167</v>
      </c>
      <c r="G13582">
        <v>0</v>
      </c>
      <c r="H13582" t="s">
        <v>18451</v>
      </c>
      <c r="I13582">
        <v>15348</v>
      </c>
      <c r="J13582" t="e">
        <f>VLOOKUP(E13582,DSSpieler!A:B,2,FALSE)</f>
        <v>#N/A</v>
      </c>
    </row>
    <row r="13583" spans="1:10" x14ac:dyDescent="0.25">
      <c r="A13583">
        <v>15349</v>
      </c>
      <c r="B13583" t="s">
        <v>2404</v>
      </c>
      <c r="C13583">
        <v>575</v>
      </c>
      <c r="D13583">
        <v>561</v>
      </c>
      <c r="E13583">
        <v>1577202213</v>
      </c>
      <c r="F13583">
        <v>1132</v>
      </c>
      <c r="G13583">
        <v>0</v>
      </c>
      <c r="H13583" t="s">
        <v>18452</v>
      </c>
      <c r="I13583">
        <v>15349</v>
      </c>
      <c r="J13583" t="str">
        <f>VLOOKUP(E13583,DSSpieler!A:B,2,FALSE)</f>
        <v>skuppi21</v>
      </c>
    </row>
    <row r="13584" spans="1:10" x14ac:dyDescent="0.25">
      <c r="A13584">
        <v>15353</v>
      </c>
      <c r="B13584" t="s">
        <v>531</v>
      </c>
      <c r="C13584">
        <v>509</v>
      </c>
      <c r="D13584">
        <v>619</v>
      </c>
      <c r="E13584">
        <v>0</v>
      </c>
      <c r="F13584">
        <v>277</v>
      </c>
      <c r="G13584">
        <v>0</v>
      </c>
      <c r="H13584" t="s">
        <v>18453</v>
      </c>
      <c r="I13584">
        <v>15353</v>
      </c>
      <c r="J13584" t="e">
        <f>VLOOKUP(E13584,DSSpieler!A:B,2,FALSE)</f>
        <v>#N/A</v>
      </c>
    </row>
    <row r="13585" spans="1:10" x14ac:dyDescent="0.25">
      <c r="A13585">
        <v>15356</v>
      </c>
      <c r="B13585" t="s">
        <v>531</v>
      </c>
      <c r="C13585">
        <v>430</v>
      </c>
      <c r="D13585">
        <v>598</v>
      </c>
      <c r="E13585">
        <v>0</v>
      </c>
      <c r="F13585">
        <v>158</v>
      </c>
      <c r="G13585">
        <v>0</v>
      </c>
      <c r="H13585" t="s">
        <v>18454</v>
      </c>
      <c r="I13585">
        <v>15356</v>
      </c>
      <c r="J13585" t="e">
        <f>VLOOKUP(E13585,DSSpieler!A:B,2,FALSE)</f>
        <v>#N/A</v>
      </c>
    </row>
    <row r="13586" spans="1:10" x14ac:dyDescent="0.25">
      <c r="A13586">
        <v>15357</v>
      </c>
      <c r="B13586" t="s">
        <v>35091</v>
      </c>
      <c r="C13586">
        <v>509</v>
      </c>
      <c r="D13586">
        <v>615</v>
      </c>
      <c r="E13586">
        <v>2270158</v>
      </c>
      <c r="F13586">
        <v>30</v>
      </c>
      <c r="G13586">
        <v>0</v>
      </c>
      <c r="H13586" t="s">
        <v>18455</v>
      </c>
      <c r="I13586">
        <v>15357</v>
      </c>
      <c r="J13586" t="str">
        <f>VLOOKUP(E13586,DSSpieler!A:B,2,FALSE)</f>
        <v>Rudi das Rüsslschwein</v>
      </c>
    </row>
    <row r="13587" spans="1:10" x14ac:dyDescent="0.25">
      <c r="A13587">
        <v>15358</v>
      </c>
      <c r="B13587" t="s">
        <v>35092</v>
      </c>
      <c r="C13587">
        <v>450</v>
      </c>
      <c r="D13587">
        <v>554</v>
      </c>
      <c r="E13587">
        <v>1687534</v>
      </c>
      <c r="F13587">
        <v>1034</v>
      </c>
      <c r="G13587">
        <v>0</v>
      </c>
      <c r="H13587" t="s">
        <v>18456</v>
      </c>
      <c r="I13587">
        <v>15358</v>
      </c>
      <c r="J13587" t="str">
        <f>VLOOKUP(E13587,DSSpieler!A:B,2,FALSE)</f>
        <v>LG KE</v>
      </c>
    </row>
    <row r="13588" spans="1:10" x14ac:dyDescent="0.25">
      <c r="A13588">
        <v>15359</v>
      </c>
      <c r="B13588" t="s">
        <v>531</v>
      </c>
      <c r="C13588">
        <v>594</v>
      </c>
      <c r="D13588">
        <v>575</v>
      </c>
      <c r="E13588">
        <v>0</v>
      </c>
      <c r="F13588">
        <v>168</v>
      </c>
      <c r="G13588">
        <v>0</v>
      </c>
      <c r="H13588" t="s">
        <v>18457</v>
      </c>
      <c r="I13588">
        <v>15359</v>
      </c>
      <c r="J13588" t="e">
        <f>VLOOKUP(E13588,DSSpieler!A:B,2,FALSE)</f>
        <v>#N/A</v>
      </c>
    </row>
    <row r="13589" spans="1:10" x14ac:dyDescent="0.25">
      <c r="A13589">
        <v>15360</v>
      </c>
      <c r="B13589" t="s">
        <v>531</v>
      </c>
      <c r="C13589">
        <v>438</v>
      </c>
      <c r="D13589">
        <v>397</v>
      </c>
      <c r="E13589">
        <v>0</v>
      </c>
      <c r="F13589">
        <v>201</v>
      </c>
      <c r="G13589">
        <v>0</v>
      </c>
      <c r="H13589" t="s">
        <v>18458</v>
      </c>
      <c r="I13589">
        <v>15360</v>
      </c>
      <c r="J13589" t="e">
        <f>VLOOKUP(E13589,DSSpieler!A:B,2,FALSE)</f>
        <v>#N/A</v>
      </c>
    </row>
    <row r="13590" spans="1:10" x14ac:dyDescent="0.25">
      <c r="A13590">
        <v>15361</v>
      </c>
      <c r="B13590" t="s">
        <v>531</v>
      </c>
      <c r="C13590">
        <v>411</v>
      </c>
      <c r="D13590">
        <v>576</v>
      </c>
      <c r="E13590">
        <v>0</v>
      </c>
      <c r="F13590">
        <v>209</v>
      </c>
      <c r="G13590">
        <v>0</v>
      </c>
      <c r="H13590" t="s">
        <v>18459</v>
      </c>
      <c r="I13590">
        <v>15361</v>
      </c>
      <c r="J13590" t="e">
        <f>VLOOKUP(E13590,DSSpieler!A:B,2,FALSE)</f>
        <v>#N/A</v>
      </c>
    </row>
    <row r="13591" spans="1:10" x14ac:dyDescent="0.25">
      <c r="A13591">
        <v>15362</v>
      </c>
      <c r="B13591">
        <v>-4</v>
      </c>
      <c r="C13591">
        <v>467</v>
      </c>
      <c r="D13591">
        <v>613</v>
      </c>
      <c r="E13591">
        <v>1577197106</v>
      </c>
      <c r="F13591">
        <v>2963</v>
      </c>
      <c r="G13591">
        <v>0</v>
      </c>
      <c r="H13591" t="s">
        <v>18460</v>
      </c>
      <c r="I13591">
        <v>15362</v>
      </c>
      <c r="J13591" t="str">
        <f>VLOOKUP(E13591,DSSpieler!A:B,2,FALSE)</f>
        <v>marcelbk</v>
      </c>
    </row>
    <row r="13592" spans="1:10" x14ac:dyDescent="0.25">
      <c r="A13592">
        <v>15363</v>
      </c>
      <c r="B13592" t="s">
        <v>531</v>
      </c>
      <c r="C13592">
        <v>383</v>
      </c>
      <c r="D13592">
        <v>507</v>
      </c>
      <c r="E13592">
        <v>0</v>
      </c>
      <c r="F13592">
        <v>514</v>
      </c>
      <c r="G13592">
        <v>0</v>
      </c>
      <c r="H13592" t="s">
        <v>18461</v>
      </c>
      <c r="I13592">
        <v>15363</v>
      </c>
      <c r="J13592" t="e">
        <f>VLOOKUP(E13592,DSSpieler!A:B,2,FALSE)</f>
        <v>#N/A</v>
      </c>
    </row>
    <row r="13593" spans="1:10" x14ac:dyDescent="0.25">
      <c r="A13593">
        <v>15364</v>
      </c>
      <c r="B13593">
        <v>3</v>
      </c>
      <c r="C13593">
        <v>383</v>
      </c>
      <c r="D13593">
        <v>486</v>
      </c>
      <c r="E13593">
        <v>9394779</v>
      </c>
      <c r="F13593">
        <v>2841</v>
      </c>
      <c r="G13593">
        <v>0</v>
      </c>
      <c r="H13593" t="s">
        <v>18462</v>
      </c>
      <c r="I13593">
        <v>15364</v>
      </c>
      <c r="J13593" t="str">
        <f>VLOOKUP(E13593,DSSpieler!A:B,2,FALSE)</f>
        <v>L3on07</v>
      </c>
    </row>
    <row r="13594" spans="1:10" x14ac:dyDescent="0.25">
      <c r="A13594">
        <v>15365</v>
      </c>
      <c r="B13594" t="s">
        <v>35093</v>
      </c>
      <c r="C13594">
        <v>548</v>
      </c>
      <c r="D13594">
        <v>610</v>
      </c>
      <c r="E13594">
        <v>1327189</v>
      </c>
      <c r="F13594">
        <v>4911</v>
      </c>
      <c r="G13594">
        <v>0</v>
      </c>
      <c r="H13594" t="s">
        <v>18463</v>
      </c>
      <c r="I13594">
        <v>15365</v>
      </c>
      <c r="J13594" t="str">
        <f>VLOOKUP(E13594,DSSpieler!A:B,2,FALSE)</f>
        <v>DerBoeseBub</v>
      </c>
    </row>
    <row r="13595" spans="1:10" x14ac:dyDescent="0.25">
      <c r="A13595">
        <v>15366</v>
      </c>
      <c r="B13595" t="s">
        <v>531</v>
      </c>
      <c r="C13595">
        <v>525</v>
      </c>
      <c r="D13595">
        <v>612</v>
      </c>
      <c r="E13595">
        <v>0</v>
      </c>
      <c r="F13595">
        <v>195</v>
      </c>
      <c r="G13595">
        <v>0</v>
      </c>
      <c r="H13595" t="s">
        <v>18464</v>
      </c>
      <c r="I13595">
        <v>15366</v>
      </c>
      <c r="J13595" t="e">
        <f>VLOOKUP(E13595,DSSpieler!A:B,2,FALSE)</f>
        <v>#N/A</v>
      </c>
    </row>
    <row r="13596" spans="1:10" x14ac:dyDescent="0.25">
      <c r="A13596">
        <v>15367</v>
      </c>
      <c r="B13596" t="s">
        <v>35094</v>
      </c>
      <c r="C13596">
        <v>393</v>
      </c>
      <c r="D13596">
        <v>552</v>
      </c>
      <c r="E13596">
        <v>1577201911</v>
      </c>
      <c r="F13596">
        <v>1302</v>
      </c>
      <c r="G13596">
        <v>0</v>
      </c>
      <c r="H13596" t="s">
        <v>18465</v>
      </c>
      <c r="I13596">
        <v>15367</v>
      </c>
      <c r="J13596" t="str">
        <f>VLOOKUP(E13596,DSSpieler!A:B,2,FALSE)</f>
        <v>maicham</v>
      </c>
    </row>
    <row r="13597" spans="1:10" x14ac:dyDescent="0.25">
      <c r="A13597">
        <v>15368</v>
      </c>
      <c r="B13597" t="s">
        <v>35095</v>
      </c>
      <c r="C13597">
        <v>385</v>
      </c>
      <c r="D13597">
        <v>488</v>
      </c>
      <c r="E13597">
        <v>9850930</v>
      </c>
      <c r="F13597">
        <v>421</v>
      </c>
      <c r="G13597">
        <v>0</v>
      </c>
      <c r="H13597" t="s">
        <v>18466</v>
      </c>
      <c r="I13597">
        <v>15368</v>
      </c>
      <c r="J13597" t="str">
        <f>VLOOKUP(E13597,DSSpieler!A:B,2,FALSE)</f>
        <v>Graf Maori</v>
      </c>
    </row>
    <row r="13598" spans="1:10" x14ac:dyDescent="0.25">
      <c r="A13598">
        <v>15369</v>
      </c>
      <c r="B13598">
        <v>1</v>
      </c>
      <c r="C13598">
        <v>382</v>
      </c>
      <c r="D13598">
        <v>490</v>
      </c>
      <c r="E13598">
        <v>1788622</v>
      </c>
      <c r="F13598">
        <v>624</v>
      </c>
      <c r="G13598">
        <v>0</v>
      </c>
      <c r="H13598" t="s">
        <v>18467</v>
      </c>
      <c r="I13598">
        <v>15369</v>
      </c>
      <c r="J13598" t="str">
        <f>VLOOKUP(E13598,DSSpieler!A:B,2,FALSE)</f>
        <v>L-e-s-m-o-n-a</v>
      </c>
    </row>
    <row r="13599" spans="1:10" x14ac:dyDescent="0.25">
      <c r="A13599">
        <v>15370</v>
      </c>
      <c r="B13599" t="s">
        <v>35096</v>
      </c>
      <c r="C13599">
        <v>592</v>
      </c>
      <c r="D13599">
        <v>574</v>
      </c>
      <c r="E13599">
        <v>1577185898</v>
      </c>
      <c r="F13599">
        <v>4555</v>
      </c>
      <c r="G13599">
        <v>0</v>
      </c>
      <c r="H13599" t="s">
        <v>18468</v>
      </c>
      <c r="I13599">
        <v>15370</v>
      </c>
      <c r="J13599" t="str">
        <f>VLOOKUP(E13599,DSSpieler!A:B,2,FALSE)</f>
        <v>xIncr3dible</v>
      </c>
    </row>
    <row r="13600" spans="1:10" x14ac:dyDescent="0.25">
      <c r="A13600">
        <v>15371</v>
      </c>
      <c r="B13600" t="s">
        <v>531</v>
      </c>
      <c r="C13600">
        <v>385</v>
      </c>
      <c r="D13600">
        <v>483</v>
      </c>
      <c r="E13600">
        <v>0</v>
      </c>
      <c r="F13600">
        <v>166</v>
      </c>
      <c r="G13600">
        <v>0</v>
      </c>
      <c r="H13600" t="s">
        <v>18469</v>
      </c>
      <c r="I13600">
        <v>15371</v>
      </c>
      <c r="J13600" t="e">
        <f>VLOOKUP(E13600,DSSpieler!A:B,2,FALSE)</f>
        <v>#N/A</v>
      </c>
    </row>
    <row r="13601" spans="1:10" x14ac:dyDescent="0.25">
      <c r="A13601">
        <v>15373</v>
      </c>
      <c r="B13601" t="s">
        <v>531</v>
      </c>
      <c r="C13601">
        <v>616</v>
      </c>
      <c r="D13601">
        <v>515</v>
      </c>
      <c r="E13601">
        <v>0</v>
      </c>
      <c r="F13601">
        <v>254</v>
      </c>
      <c r="G13601">
        <v>0</v>
      </c>
      <c r="H13601" t="s">
        <v>18470</v>
      </c>
      <c r="I13601">
        <v>15373</v>
      </c>
      <c r="J13601" t="e">
        <f>VLOOKUP(E13601,DSSpieler!A:B,2,FALSE)</f>
        <v>#N/A</v>
      </c>
    </row>
    <row r="13602" spans="1:10" x14ac:dyDescent="0.25">
      <c r="A13602">
        <v>15374</v>
      </c>
      <c r="B13602" t="s">
        <v>35097</v>
      </c>
      <c r="C13602">
        <v>503</v>
      </c>
      <c r="D13602">
        <v>386</v>
      </c>
      <c r="E13602">
        <v>1577196536</v>
      </c>
      <c r="F13602">
        <v>4127</v>
      </c>
      <c r="G13602">
        <v>0</v>
      </c>
      <c r="H13602" t="s">
        <v>18471</v>
      </c>
      <c r="I13602">
        <v>15374</v>
      </c>
      <c r="J13602" t="str">
        <f>VLOOKUP(E13602,DSSpieler!A:B,2,FALSE)</f>
        <v>TrQ Deqoutee</v>
      </c>
    </row>
    <row r="13603" spans="1:10" x14ac:dyDescent="0.25">
      <c r="A13603">
        <v>15375</v>
      </c>
      <c r="B13603" t="s">
        <v>33200</v>
      </c>
      <c r="C13603">
        <v>389</v>
      </c>
      <c r="D13603">
        <v>540</v>
      </c>
      <c r="E13603">
        <v>10230585</v>
      </c>
      <c r="F13603">
        <v>2171</v>
      </c>
      <c r="G13603">
        <v>0</v>
      </c>
      <c r="H13603" t="s">
        <v>18472</v>
      </c>
      <c r="I13603">
        <v>15375</v>
      </c>
      <c r="J13603" t="str">
        <f>VLOOKUP(E13603,DSSpieler!A:B,2,FALSE)</f>
        <v>Candysh0p</v>
      </c>
    </row>
    <row r="13604" spans="1:10" x14ac:dyDescent="0.25">
      <c r="A13604">
        <v>15376</v>
      </c>
      <c r="B13604" t="s">
        <v>531</v>
      </c>
      <c r="C13604">
        <v>582</v>
      </c>
      <c r="D13604">
        <v>584</v>
      </c>
      <c r="E13604">
        <v>0</v>
      </c>
      <c r="F13604">
        <v>319</v>
      </c>
      <c r="G13604">
        <v>0</v>
      </c>
      <c r="H13604" t="s">
        <v>18473</v>
      </c>
      <c r="I13604">
        <v>15376</v>
      </c>
      <c r="J13604" t="e">
        <f>VLOOKUP(E13604,DSSpieler!A:B,2,FALSE)</f>
        <v>#N/A</v>
      </c>
    </row>
    <row r="13605" spans="1:10" x14ac:dyDescent="0.25">
      <c r="A13605">
        <v>15377</v>
      </c>
      <c r="B13605" t="s">
        <v>531</v>
      </c>
      <c r="C13605">
        <v>433</v>
      </c>
      <c r="D13605">
        <v>404</v>
      </c>
      <c r="E13605">
        <v>0</v>
      </c>
      <c r="F13605">
        <v>312</v>
      </c>
      <c r="G13605">
        <v>0</v>
      </c>
      <c r="H13605" t="s">
        <v>18474</v>
      </c>
      <c r="I13605">
        <v>15377</v>
      </c>
      <c r="J13605" t="e">
        <f>VLOOKUP(E13605,DSSpieler!A:B,2,FALSE)</f>
        <v>#N/A</v>
      </c>
    </row>
    <row r="13606" spans="1:10" x14ac:dyDescent="0.25">
      <c r="A13606">
        <v>15378</v>
      </c>
      <c r="B13606" t="s">
        <v>2405</v>
      </c>
      <c r="C13606">
        <v>513</v>
      </c>
      <c r="D13606">
        <v>382</v>
      </c>
      <c r="E13606">
        <v>1577202257</v>
      </c>
      <c r="F13606">
        <v>3969</v>
      </c>
      <c r="G13606">
        <v>0</v>
      </c>
      <c r="H13606" t="s">
        <v>18475</v>
      </c>
      <c r="I13606">
        <v>15378</v>
      </c>
      <c r="J13606" t="str">
        <f>VLOOKUP(E13606,DSSpieler!A:B,2,FALSE)</f>
        <v>Heinzine</v>
      </c>
    </row>
    <row r="13607" spans="1:10" x14ac:dyDescent="0.25">
      <c r="A13607">
        <v>15380</v>
      </c>
      <c r="B13607" t="s">
        <v>35098</v>
      </c>
      <c r="C13607">
        <v>519</v>
      </c>
      <c r="D13607">
        <v>384</v>
      </c>
      <c r="E13607">
        <v>1577202259</v>
      </c>
      <c r="F13607">
        <v>3450</v>
      </c>
      <c r="G13607">
        <v>0</v>
      </c>
      <c r="H13607" t="s">
        <v>18476</v>
      </c>
      <c r="I13607">
        <v>15380</v>
      </c>
      <c r="J13607" t="str">
        <f>VLOOKUP(E13607,DSSpieler!A:B,2,FALSE)</f>
        <v>Charama</v>
      </c>
    </row>
    <row r="13608" spans="1:10" x14ac:dyDescent="0.25">
      <c r="A13608">
        <v>15381</v>
      </c>
      <c r="B13608" t="s">
        <v>35099</v>
      </c>
      <c r="C13608">
        <v>505</v>
      </c>
      <c r="D13608">
        <v>618</v>
      </c>
      <c r="E13608">
        <v>1575862578</v>
      </c>
      <c r="F13608">
        <v>5096</v>
      </c>
      <c r="G13608">
        <v>0</v>
      </c>
      <c r="H13608" t="s">
        <v>18477</v>
      </c>
      <c r="I13608">
        <v>15381</v>
      </c>
      <c r="J13608" t="str">
        <f>VLOOKUP(E13608,DSSpieler!A:B,2,FALSE)</f>
        <v>XXscarXX</v>
      </c>
    </row>
    <row r="13609" spans="1:10" x14ac:dyDescent="0.25">
      <c r="A13609">
        <v>15382</v>
      </c>
      <c r="B13609" t="s">
        <v>531</v>
      </c>
      <c r="C13609">
        <v>393</v>
      </c>
      <c r="D13609">
        <v>445</v>
      </c>
      <c r="E13609">
        <v>0</v>
      </c>
      <c r="F13609">
        <v>232</v>
      </c>
      <c r="G13609">
        <v>0</v>
      </c>
      <c r="H13609" t="s">
        <v>18478</v>
      </c>
      <c r="I13609">
        <v>15382</v>
      </c>
      <c r="J13609" t="e">
        <f>VLOOKUP(E13609,DSSpieler!A:B,2,FALSE)</f>
        <v>#N/A</v>
      </c>
    </row>
    <row r="13610" spans="1:10" x14ac:dyDescent="0.25">
      <c r="A13610">
        <v>15383</v>
      </c>
      <c r="B13610" t="s">
        <v>531</v>
      </c>
      <c r="C13610">
        <v>408</v>
      </c>
      <c r="D13610">
        <v>569</v>
      </c>
      <c r="E13610">
        <v>0</v>
      </c>
      <c r="F13610">
        <v>194</v>
      </c>
      <c r="G13610">
        <v>0</v>
      </c>
      <c r="H13610" t="s">
        <v>18479</v>
      </c>
      <c r="I13610">
        <v>15383</v>
      </c>
      <c r="J13610" t="e">
        <f>VLOOKUP(E13610,DSSpieler!A:B,2,FALSE)</f>
        <v>#N/A</v>
      </c>
    </row>
    <row r="13611" spans="1:10" x14ac:dyDescent="0.25">
      <c r="A13611">
        <v>15384</v>
      </c>
      <c r="B13611" t="s">
        <v>531</v>
      </c>
      <c r="C13611">
        <v>616</v>
      </c>
      <c r="D13611">
        <v>517</v>
      </c>
      <c r="E13611">
        <v>0</v>
      </c>
      <c r="F13611">
        <v>141</v>
      </c>
      <c r="G13611">
        <v>0</v>
      </c>
      <c r="H13611" t="s">
        <v>18480</v>
      </c>
      <c r="I13611">
        <v>15384</v>
      </c>
      <c r="J13611" t="e">
        <f>VLOOKUP(E13611,DSSpieler!A:B,2,FALSE)</f>
        <v>#N/A</v>
      </c>
    </row>
    <row r="13612" spans="1:10" x14ac:dyDescent="0.25">
      <c r="A13612">
        <v>15385</v>
      </c>
      <c r="B13612" t="s">
        <v>35100</v>
      </c>
      <c r="C13612">
        <v>446</v>
      </c>
      <c r="D13612">
        <v>404</v>
      </c>
      <c r="E13612">
        <v>1577126240</v>
      </c>
      <c r="F13612">
        <v>1133</v>
      </c>
      <c r="G13612">
        <v>0</v>
      </c>
      <c r="H13612" t="s">
        <v>18481</v>
      </c>
      <c r="I13612">
        <v>15385</v>
      </c>
      <c r="J13612" t="str">
        <f>VLOOKUP(E13612,DSSpieler!A:B,2,FALSE)</f>
        <v>T-Eazy</v>
      </c>
    </row>
    <row r="13613" spans="1:10" x14ac:dyDescent="0.25">
      <c r="A13613">
        <v>15386</v>
      </c>
      <c r="B13613" t="s">
        <v>531</v>
      </c>
      <c r="C13613">
        <v>572</v>
      </c>
      <c r="D13613">
        <v>408</v>
      </c>
      <c r="E13613">
        <v>0</v>
      </c>
      <c r="F13613">
        <v>105</v>
      </c>
      <c r="G13613">
        <v>0</v>
      </c>
      <c r="H13613" t="s">
        <v>18482</v>
      </c>
      <c r="I13613">
        <v>15386</v>
      </c>
      <c r="J13613" t="e">
        <f>VLOOKUP(E13613,DSSpieler!A:B,2,FALSE)</f>
        <v>#N/A</v>
      </c>
    </row>
    <row r="13614" spans="1:10" x14ac:dyDescent="0.25">
      <c r="A13614">
        <v>15387</v>
      </c>
      <c r="B13614" t="s">
        <v>2406</v>
      </c>
      <c r="C13614">
        <v>550</v>
      </c>
      <c r="D13614">
        <v>490</v>
      </c>
      <c r="E13614">
        <v>1577174600</v>
      </c>
      <c r="F13614">
        <v>350</v>
      </c>
      <c r="G13614">
        <v>0</v>
      </c>
      <c r="H13614" t="s">
        <v>18483</v>
      </c>
      <c r="I13614">
        <v>15387</v>
      </c>
      <c r="J13614" t="str">
        <f>VLOOKUP(E13614,DSSpieler!A:B,2,FALSE)</f>
        <v>svenja</v>
      </c>
    </row>
    <row r="13615" spans="1:10" x14ac:dyDescent="0.25">
      <c r="A13615">
        <v>15389</v>
      </c>
      <c r="B13615" t="s">
        <v>35101</v>
      </c>
      <c r="C13615">
        <v>426</v>
      </c>
      <c r="D13615">
        <v>591</v>
      </c>
      <c r="E13615">
        <v>1576882233</v>
      </c>
      <c r="F13615">
        <v>4869</v>
      </c>
      <c r="G13615">
        <v>0</v>
      </c>
      <c r="H13615" t="s">
        <v>18484</v>
      </c>
      <c r="I13615">
        <v>15389</v>
      </c>
      <c r="J13615" t="str">
        <f>VLOOKUP(E13615,DSSpieler!A:B,2,FALSE)</f>
        <v>JasperSt.iNCt</v>
      </c>
    </row>
    <row r="13616" spans="1:10" x14ac:dyDescent="0.25">
      <c r="A13616">
        <v>15390</v>
      </c>
      <c r="B13616" t="s">
        <v>35102</v>
      </c>
      <c r="C13616">
        <v>620</v>
      </c>
      <c r="D13616">
        <v>520</v>
      </c>
      <c r="E13616">
        <v>1577202268</v>
      </c>
      <c r="F13616">
        <v>247</v>
      </c>
      <c r="G13616">
        <v>0</v>
      </c>
      <c r="H13616" t="s">
        <v>18485</v>
      </c>
      <c r="I13616">
        <v>15390</v>
      </c>
      <c r="J13616" t="str">
        <f>VLOOKUP(E13616,DSSpieler!A:B,2,FALSE)</f>
        <v>GeniusRosa</v>
      </c>
    </row>
    <row r="13617" spans="1:10" x14ac:dyDescent="0.25">
      <c r="A13617">
        <v>15391</v>
      </c>
      <c r="B13617" t="s">
        <v>531</v>
      </c>
      <c r="C13617">
        <v>519</v>
      </c>
      <c r="D13617">
        <v>383</v>
      </c>
      <c r="E13617">
        <v>0</v>
      </c>
      <c r="F13617">
        <v>193</v>
      </c>
      <c r="G13617">
        <v>0</v>
      </c>
      <c r="H13617" t="s">
        <v>18486</v>
      </c>
      <c r="I13617">
        <v>15391</v>
      </c>
      <c r="J13617" t="e">
        <f>VLOOKUP(E13617,DSSpieler!A:B,2,FALSE)</f>
        <v>#N/A</v>
      </c>
    </row>
    <row r="13618" spans="1:10" x14ac:dyDescent="0.25">
      <c r="A13618">
        <v>15394</v>
      </c>
      <c r="B13618" t="s">
        <v>2407</v>
      </c>
      <c r="C13618">
        <v>604</v>
      </c>
      <c r="D13618">
        <v>447</v>
      </c>
      <c r="E13618">
        <v>1577109450</v>
      </c>
      <c r="F13618">
        <v>2034</v>
      </c>
      <c r="G13618">
        <v>0</v>
      </c>
      <c r="H13618" t="s">
        <v>18487</v>
      </c>
      <c r="I13618">
        <v>15394</v>
      </c>
      <c r="J13618" t="str">
        <f>VLOOKUP(E13618,DSSpieler!A:B,2,FALSE)</f>
        <v>Karl Adalbert Friederich</v>
      </c>
    </row>
    <row r="13619" spans="1:10" x14ac:dyDescent="0.25">
      <c r="A13619">
        <v>15395</v>
      </c>
      <c r="B13619" t="s">
        <v>35103</v>
      </c>
      <c r="C13619">
        <v>401</v>
      </c>
      <c r="D13619">
        <v>559</v>
      </c>
      <c r="E13619">
        <v>3037214</v>
      </c>
      <c r="F13619">
        <v>4477</v>
      </c>
      <c r="G13619">
        <v>0</v>
      </c>
      <c r="H13619" t="s">
        <v>18488</v>
      </c>
      <c r="I13619">
        <v>15395</v>
      </c>
      <c r="J13619" t="str">
        <f>VLOOKUP(E13619,DSSpieler!A:B,2,FALSE)</f>
        <v>feuerspion</v>
      </c>
    </row>
    <row r="13620" spans="1:10" x14ac:dyDescent="0.25">
      <c r="A13620">
        <v>15396</v>
      </c>
      <c r="B13620" t="s">
        <v>35104</v>
      </c>
      <c r="C13620">
        <v>386</v>
      </c>
      <c r="D13620">
        <v>522</v>
      </c>
      <c r="E13620">
        <v>1576416278</v>
      </c>
      <c r="F13620">
        <v>1917</v>
      </c>
      <c r="G13620">
        <v>0</v>
      </c>
      <c r="H13620" t="s">
        <v>18489</v>
      </c>
      <c r="I13620">
        <v>15396</v>
      </c>
      <c r="J13620" t="str">
        <f>VLOOKUP(E13620,DSSpieler!A:B,2,FALSE)</f>
        <v>mystery castle</v>
      </c>
    </row>
    <row r="13621" spans="1:10" x14ac:dyDescent="0.25">
      <c r="A13621">
        <v>15398</v>
      </c>
      <c r="B13621" t="s">
        <v>531</v>
      </c>
      <c r="C13621">
        <v>455</v>
      </c>
      <c r="D13621">
        <v>445</v>
      </c>
      <c r="E13621">
        <v>0</v>
      </c>
      <c r="F13621">
        <v>515</v>
      </c>
      <c r="G13621">
        <v>0</v>
      </c>
      <c r="H13621" t="s">
        <v>18490</v>
      </c>
      <c r="I13621">
        <v>15398</v>
      </c>
      <c r="J13621" t="e">
        <f>VLOOKUP(E13621,DSSpieler!A:B,2,FALSE)</f>
        <v>#N/A</v>
      </c>
    </row>
    <row r="13622" spans="1:10" x14ac:dyDescent="0.25">
      <c r="A13622">
        <v>15399</v>
      </c>
      <c r="B13622" t="s">
        <v>35105</v>
      </c>
      <c r="C13622">
        <v>575</v>
      </c>
      <c r="D13622">
        <v>411</v>
      </c>
      <c r="E13622">
        <v>9338566</v>
      </c>
      <c r="F13622">
        <v>762</v>
      </c>
      <c r="G13622">
        <v>0</v>
      </c>
      <c r="H13622" t="s">
        <v>18491</v>
      </c>
      <c r="I13622">
        <v>15399</v>
      </c>
      <c r="J13622" t="str">
        <f>VLOOKUP(E13622,DSSpieler!A:B,2,FALSE)</f>
        <v>Bruntus</v>
      </c>
    </row>
    <row r="13623" spans="1:10" x14ac:dyDescent="0.25">
      <c r="A13623">
        <v>15400</v>
      </c>
      <c r="B13623" t="s">
        <v>531</v>
      </c>
      <c r="C13623">
        <v>384</v>
      </c>
      <c r="D13623">
        <v>483</v>
      </c>
      <c r="E13623">
        <v>0</v>
      </c>
      <c r="F13623">
        <v>277</v>
      </c>
      <c r="G13623">
        <v>0</v>
      </c>
      <c r="H13623" t="s">
        <v>18492</v>
      </c>
      <c r="I13623">
        <v>15400</v>
      </c>
      <c r="J13623" t="e">
        <f>VLOOKUP(E13623,DSSpieler!A:B,2,FALSE)</f>
        <v>#N/A</v>
      </c>
    </row>
    <row r="13624" spans="1:10" x14ac:dyDescent="0.25">
      <c r="A13624">
        <v>15401</v>
      </c>
      <c r="B13624" t="s">
        <v>35106</v>
      </c>
      <c r="C13624">
        <v>512</v>
      </c>
      <c r="D13624">
        <v>384</v>
      </c>
      <c r="E13624">
        <v>1575914865</v>
      </c>
      <c r="F13624">
        <v>3066</v>
      </c>
      <c r="G13624">
        <v>0</v>
      </c>
      <c r="H13624" t="s">
        <v>18493</v>
      </c>
      <c r="I13624">
        <v>15401</v>
      </c>
      <c r="J13624" t="str">
        <f>VLOOKUP(E13624,DSSpieler!A:B,2,FALSE)</f>
        <v>CrazyTyp</v>
      </c>
    </row>
    <row r="13625" spans="1:10" x14ac:dyDescent="0.25">
      <c r="A13625">
        <v>15403</v>
      </c>
      <c r="B13625" t="s">
        <v>531</v>
      </c>
      <c r="C13625">
        <v>618</v>
      </c>
      <c r="D13625">
        <v>510</v>
      </c>
      <c r="E13625">
        <v>0</v>
      </c>
      <c r="F13625">
        <v>185</v>
      </c>
      <c r="G13625">
        <v>0</v>
      </c>
      <c r="H13625" t="s">
        <v>18494</v>
      </c>
      <c r="I13625">
        <v>15403</v>
      </c>
      <c r="J13625" t="e">
        <f>VLOOKUP(E13625,DSSpieler!A:B,2,FALSE)</f>
        <v>#N/A</v>
      </c>
    </row>
    <row r="13626" spans="1:10" x14ac:dyDescent="0.25">
      <c r="A13626">
        <v>15404</v>
      </c>
      <c r="B13626" t="s">
        <v>531</v>
      </c>
      <c r="C13626">
        <v>604</v>
      </c>
      <c r="D13626">
        <v>509</v>
      </c>
      <c r="E13626">
        <v>0</v>
      </c>
      <c r="F13626">
        <v>147</v>
      </c>
      <c r="G13626">
        <v>0</v>
      </c>
      <c r="H13626" t="s">
        <v>18495</v>
      </c>
      <c r="I13626">
        <v>15404</v>
      </c>
      <c r="J13626" t="e">
        <f>VLOOKUP(E13626,DSSpieler!A:B,2,FALSE)</f>
        <v>#N/A</v>
      </c>
    </row>
    <row r="13627" spans="1:10" x14ac:dyDescent="0.25">
      <c r="A13627">
        <v>15405</v>
      </c>
      <c r="B13627" t="s">
        <v>531</v>
      </c>
      <c r="C13627">
        <v>604</v>
      </c>
      <c r="D13627">
        <v>510</v>
      </c>
      <c r="E13627">
        <v>0</v>
      </c>
      <c r="F13627">
        <v>257</v>
      </c>
      <c r="G13627">
        <v>0</v>
      </c>
      <c r="H13627" t="s">
        <v>18496</v>
      </c>
      <c r="I13627">
        <v>15405</v>
      </c>
      <c r="J13627" t="e">
        <f>VLOOKUP(E13627,DSSpieler!A:B,2,FALSE)</f>
        <v>#N/A</v>
      </c>
    </row>
    <row r="13628" spans="1:10" x14ac:dyDescent="0.25">
      <c r="A13628">
        <v>15406</v>
      </c>
      <c r="B13628" t="s">
        <v>531</v>
      </c>
      <c r="C13628">
        <v>382</v>
      </c>
      <c r="D13628">
        <v>491</v>
      </c>
      <c r="E13628">
        <v>0</v>
      </c>
      <c r="F13628">
        <v>315</v>
      </c>
      <c r="G13628">
        <v>0</v>
      </c>
      <c r="H13628" t="s">
        <v>18497</v>
      </c>
      <c r="I13628">
        <v>15406</v>
      </c>
      <c r="J13628" t="e">
        <f>VLOOKUP(E13628,DSSpieler!A:B,2,FALSE)</f>
        <v>#N/A</v>
      </c>
    </row>
    <row r="13629" spans="1:10" x14ac:dyDescent="0.25">
      <c r="A13629">
        <v>15407</v>
      </c>
      <c r="B13629" t="s">
        <v>531</v>
      </c>
      <c r="C13629">
        <v>488</v>
      </c>
      <c r="D13629">
        <v>620</v>
      </c>
      <c r="E13629">
        <v>0</v>
      </c>
      <c r="F13629">
        <v>89</v>
      </c>
      <c r="G13629">
        <v>0</v>
      </c>
      <c r="H13629" t="s">
        <v>18498</v>
      </c>
      <c r="I13629">
        <v>15407</v>
      </c>
      <c r="J13629" t="e">
        <f>VLOOKUP(E13629,DSSpieler!A:B,2,FALSE)</f>
        <v>#N/A</v>
      </c>
    </row>
    <row r="13630" spans="1:10" x14ac:dyDescent="0.25">
      <c r="A13630">
        <v>15408</v>
      </c>
      <c r="B13630" t="s">
        <v>35107</v>
      </c>
      <c r="C13630">
        <v>501</v>
      </c>
      <c r="D13630">
        <v>622</v>
      </c>
      <c r="E13630">
        <v>1577202300</v>
      </c>
      <c r="F13630">
        <v>5443</v>
      </c>
      <c r="G13630">
        <v>0</v>
      </c>
      <c r="H13630" t="s">
        <v>18499</v>
      </c>
      <c r="I13630">
        <v>15408</v>
      </c>
      <c r="J13630" t="str">
        <f>VLOOKUP(E13630,DSSpieler!A:B,2,FALSE)</f>
        <v>Amin</v>
      </c>
    </row>
    <row r="13631" spans="1:10" x14ac:dyDescent="0.25">
      <c r="A13631">
        <v>15409</v>
      </c>
      <c r="B13631" t="s">
        <v>531</v>
      </c>
      <c r="C13631">
        <v>445</v>
      </c>
      <c r="D13631">
        <v>396</v>
      </c>
      <c r="E13631">
        <v>0</v>
      </c>
      <c r="F13631">
        <v>108</v>
      </c>
      <c r="G13631">
        <v>0</v>
      </c>
      <c r="H13631" t="s">
        <v>18500</v>
      </c>
      <c r="I13631">
        <v>15409</v>
      </c>
      <c r="J13631" t="e">
        <f>VLOOKUP(E13631,DSSpieler!A:B,2,FALSE)</f>
        <v>#N/A</v>
      </c>
    </row>
    <row r="13632" spans="1:10" x14ac:dyDescent="0.25">
      <c r="A13632">
        <v>15410</v>
      </c>
      <c r="B13632" t="s">
        <v>531</v>
      </c>
      <c r="C13632">
        <v>617</v>
      </c>
      <c r="D13632">
        <v>516</v>
      </c>
      <c r="E13632">
        <v>0</v>
      </c>
      <c r="F13632">
        <v>321</v>
      </c>
      <c r="G13632">
        <v>0</v>
      </c>
      <c r="H13632" t="s">
        <v>18501</v>
      </c>
      <c r="I13632">
        <v>15410</v>
      </c>
      <c r="J13632" t="e">
        <f>VLOOKUP(E13632,DSSpieler!A:B,2,FALSE)</f>
        <v>#N/A</v>
      </c>
    </row>
    <row r="13633" spans="1:10" x14ac:dyDescent="0.25">
      <c r="A13633">
        <v>15411</v>
      </c>
      <c r="B13633" t="s">
        <v>673</v>
      </c>
      <c r="C13633">
        <v>407</v>
      </c>
      <c r="D13633">
        <v>432</v>
      </c>
      <c r="E13633">
        <v>1577198585</v>
      </c>
      <c r="F13633">
        <v>2113</v>
      </c>
      <c r="G13633">
        <v>0</v>
      </c>
      <c r="H13633" t="s">
        <v>18502</v>
      </c>
      <c r="I13633">
        <v>15411</v>
      </c>
      <c r="J13633" t="str">
        <f>VLOOKUP(E13633,DSSpieler!A:B,2,FALSE)</f>
        <v>Kingxg</v>
      </c>
    </row>
    <row r="13634" spans="1:10" x14ac:dyDescent="0.25">
      <c r="A13634">
        <v>15412</v>
      </c>
      <c r="B13634" t="s">
        <v>35108</v>
      </c>
      <c r="C13634">
        <v>605</v>
      </c>
      <c r="D13634">
        <v>513</v>
      </c>
      <c r="E13634">
        <v>1577202310</v>
      </c>
      <c r="F13634">
        <v>240</v>
      </c>
      <c r="G13634">
        <v>0</v>
      </c>
      <c r="H13634" t="s">
        <v>18503</v>
      </c>
      <c r="I13634">
        <v>15412</v>
      </c>
      <c r="J13634" t="str">
        <f>VLOOKUP(E13634,DSSpieler!A:B,2,FALSE)</f>
        <v>Teacapunt</v>
      </c>
    </row>
    <row r="13635" spans="1:10" x14ac:dyDescent="0.25">
      <c r="A13635">
        <v>15413</v>
      </c>
      <c r="B13635" t="s">
        <v>35109</v>
      </c>
      <c r="C13635">
        <v>580</v>
      </c>
      <c r="D13635">
        <v>410</v>
      </c>
      <c r="E13635">
        <v>1577163094</v>
      </c>
      <c r="F13635">
        <v>3092</v>
      </c>
      <c r="G13635">
        <v>0</v>
      </c>
      <c r="H13635" t="s">
        <v>18504</v>
      </c>
      <c r="I13635">
        <v>15413</v>
      </c>
      <c r="J13635" t="str">
        <f>VLOOKUP(E13635,DSSpieler!A:B,2,FALSE)</f>
        <v>BurnMofo</v>
      </c>
    </row>
    <row r="13636" spans="1:10" x14ac:dyDescent="0.25">
      <c r="A13636">
        <v>15414</v>
      </c>
      <c r="B13636" t="s">
        <v>35110</v>
      </c>
      <c r="C13636">
        <v>617</v>
      </c>
      <c r="D13636">
        <v>480</v>
      </c>
      <c r="E13636">
        <v>1576802413</v>
      </c>
      <c r="F13636">
        <v>2702</v>
      </c>
      <c r="G13636">
        <v>0</v>
      </c>
      <c r="H13636" t="s">
        <v>18505</v>
      </c>
      <c r="I13636">
        <v>15414</v>
      </c>
      <c r="J13636" t="str">
        <f>VLOOKUP(E13636,DSSpieler!A:B,2,FALSE)</f>
        <v>Lord Wischnboart</v>
      </c>
    </row>
    <row r="13637" spans="1:10" x14ac:dyDescent="0.25">
      <c r="A13637">
        <v>15415</v>
      </c>
      <c r="B13637" t="s">
        <v>531</v>
      </c>
      <c r="C13637">
        <v>435</v>
      </c>
      <c r="D13637">
        <v>399</v>
      </c>
      <c r="E13637">
        <v>0</v>
      </c>
      <c r="F13637">
        <v>201</v>
      </c>
      <c r="G13637">
        <v>0</v>
      </c>
      <c r="H13637" t="s">
        <v>18506</v>
      </c>
      <c r="I13637">
        <v>15415</v>
      </c>
      <c r="J13637" t="e">
        <f>VLOOKUP(E13637,DSSpieler!A:B,2,FALSE)</f>
        <v>#N/A</v>
      </c>
    </row>
    <row r="13638" spans="1:10" x14ac:dyDescent="0.25">
      <c r="A13638">
        <v>15416</v>
      </c>
      <c r="B13638" t="s">
        <v>531</v>
      </c>
      <c r="C13638">
        <v>461</v>
      </c>
      <c r="D13638">
        <v>427</v>
      </c>
      <c r="E13638">
        <v>0</v>
      </c>
      <c r="F13638">
        <v>179</v>
      </c>
      <c r="G13638">
        <v>0</v>
      </c>
      <c r="H13638" t="s">
        <v>18507</v>
      </c>
      <c r="I13638">
        <v>15416</v>
      </c>
      <c r="J13638" t="e">
        <f>VLOOKUP(E13638,DSSpieler!A:B,2,FALSE)</f>
        <v>#N/A</v>
      </c>
    </row>
    <row r="13639" spans="1:10" x14ac:dyDescent="0.25">
      <c r="A13639">
        <v>15417</v>
      </c>
      <c r="B13639" t="s">
        <v>531</v>
      </c>
      <c r="C13639">
        <v>451</v>
      </c>
      <c r="D13639">
        <v>410</v>
      </c>
      <c r="E13639">
        <v>0</v>
      </c>
      <c r="F13639">
        <v>981</v>
      </c>
      <c r="G13639">
        <v>0</v>
      </c>
      <c r="H13639" t="s">
        <v>18508</v>
      </c>
      <c r="I13639">
        <v>15417</v>
      </c>
      <c r="J13639" t="e">
        <f>VLOOKUP(E13639,DSSpieler!A:B,2,FALSE)</f>
        <v>#N/A</v>
      </c>
    </row>
    <row r="13640" spans="1:10" x14ac:dyDescent="0.25">
      <c r="A13640">
        <v>15419</v>
      </c>
      <c r="B13640" t="s">
        <v>531</v>
      </c>
      <c r="C13640">
        <v>608</v>
      </c>
      <c r="D13640">
        <v>542</v>
      </c>
      <c r="E13640">
        <v>0</v>
      </c>
      <c r="F13640">
        <v>135</v>
      </c>
      <c r="G13640">
        <v>0</v>
      </c>
      <c r="H13640" t="s">
        <v>18509</v>
      </c>
      <c r="I13640">
        <v>15419</v>
      </c>
      <c r="J13640" t="e">
        <f>VLOOKUP(E13640,DSSpieler!A:B,2,FALSE)</f>
        <v>#N/A</v>
      </c>
    </row>
    <row r="13641" spans="1:10" x14ac:dyDescent="0.25">
      <c r="A13641">
        <v>15420</v>
      </c>
      <c r="B13641" t="s">
        <v>2408</v>
      </c>
      <c r="C13641">
        <v>471</v>
      </c>
      <c r="D13641">
        <v>618</v>
      </c>
      <c r="E13641">
        <v>1577201694</v>
      </c>
      <c r="F13641">
        <v>1748</v>
      </c>
      <c r="G13641">
        <v>0</v>
      </c>
      <c r="H13641" t="s">
        <v>18510</v>
      </c>
      <c r="I13641">
        <v>15420</v>
      </c>
      <c r="J13641" t="str">
        <f>VLOOKUP(E13641,DSSpieler!A:B,2,FALSE)</f>
        <v>InfernoDer1</v>
      </c>
    </row>
    <row r="13642" spans="1:10" x14ac:dyDescent="0.25">
      <c r="A13642">
        <v>15421</v>
      </c>
      <c r="B13642" t="s">
        <v>531</v>
      </c>
      <c r="C13642">
        <v>385</v>
      </c>
      <c r="D13642">
        <v>472</v>
      </c>
      <c r="E13642">
        <v>0</v>
      </c>
      <c r="F13642">
        <v>332</v>
      </c>
      <c r="G13642">
        <v>0</v>
      </c>
      <c r="H13642" t="s">
        <v>18511</v>
      </c>
      <c r="I13642">
        <v>15421</v>
      </c>
      <c r="J13642" t="e">
        <f>VLOOKUP(E13642,DSSpieler!A:B,2,FALSE)</f>
        <v>#N/A</v>
      </c>
    </row>
    <row r="13643" spans="1:10" x14ac:dyDescent="0.25">
      <c r="A13643">
        <v>15422</v>
      </c>
      <c r="B13643" t="s">
        <v>2409</v>
      </c>
      <c r="C13643">
        <v>428</v>
      </c>
      <c r="D13643">
        <v>595</v>
      </c>
      <c r="E13643">
        <v>1577136306</v>
      </c>
      <c r="F13643">
        <v>3069</v>
      </c>
      <c r="G13643">
        <v>0</v>
      </c>
      <c r="H13643" t="s">
        <v>18512</v>
      </c>
      <c r="I13643">
        <v>15422</v>
      </c>
      <c r="J13643" t="str">
        <f>VLOOKUP(E13643,DSSpieler!A:B,2,FALSE)</f>
        <v>Rudi Ratlos</v>
      </c>
    </row>
    <row r="13644" spans="1:10" x14ac:dyDescent="0.25">
      <c r="A13644">
        <v>15423</v>
      </c>
      <c r="B13644" t="s">
        <v>531</v>
      </c>
      <c r="C13644">
        <v>383</v>
      </c>
      <c r="D13644">
        <v>514</v>
      </c>
      <c r="E13644">
        <v>0</v>
      </c>
      <c r="F13644">
        <v>219</v>
      </c>
      <c r="G13644">
        <v>0</v>
      </c>
      <c r="H13644" t="s">
        <v>18513</v>
      </c>
      <c r="I13644">
        <v>15423</v>
      </c>
      <c r="J13644" t="e">
        <f>VLOOKUP(E13644,DSSpieler!A:B,2,FALSE)</f>
        <v>#N/A</v>
      </c>
    </row>
    <row r="13645" spans="1:10" x14ac:dyDescent="0.25">
      <c r="A13645">
        <v>15424</v>
      </c>
      <c r="B13645" t="s">
        <v>35111</v>
      </c>
      <c r="C13645">
        <v>396</v>
      </c>
      <c r="D13645">
        <v>555</v>
      </c>
      <c r="E13645">
        <v>1577187998</v>
      </c>
      <c r="F13645">
        <v>639</v>
      </c>
      <c r="G13645">
        <v>0</v>
      </c>
      <c r="H13645" t="s">
        <v>18514</v>
      </c>
      <c r="I13645">
        <v>15424</v>
      </c>
      <c r="J13645" t="str">
        <f>VLOOKUP(E13645,DSSpieler!A:B,2,FALSE)</f>
        <v>ebber</v>
      </c>
    </row>
    <row r="13646" spans="1:10" x14ac:dyDescent="0.25">
      <c r="A13646">
        <v>15425</v>
      </c>
      <c r="B13646" t="s">
        <v>531</v>
      </c>
      <c r="C13646">
        <v>531</v>
      </c>
      <c r="D13646">
        <v>613</v>
      </c>
      <c r="E13646">
        <v>0</v>
      </c>
      <c r="F13646">
        <v>122</v>
      </c>
      <c r="G13646">
        <v>0</v>
      </c>
      <c r="H13646" t="s">
        <v>18515</v>
      </c>
      <c r="I13646">
        <v>15425</v>
      </c>
      <c r="J13646" t="e">
        <f>VLOOKUP(E13646,DSSpieler!A:B,2,FALSE)</f>
        <v>#N/A</v>
      </c>
    </row>
    <row r="13647" spans="1:10" x14ac:dyDescent="0.25">
      <c r="A13647">
        <v>15426</v>
      </c>
      <c r="B13647" t="s">
        <v>531</v>
      </c>
      <c r="C13647">
        <v>557</v>
      </c>
      <c r="D13647">
        <v>399</v>
      </c>
      <c r="E13647">
        <v>0</v>
      </c>
      <c r="F13647">
        <v>126</v>
      </c>
      <c r="G13647">
        <v>0</v>
      </c>
      <c r="H13647" t="s">
        <v>18516</v>
      </c>
      <c r="I13647">
        <v>15426</v>
      </c>
      <c r="J13647" t="e">
        <f>VLOOKUP(E13647,DSSpieler!A:B,2,FALSE)</f>
        <v>#N/A</v>
      </c>
    </row>
    <row r="13648" spans="1:10" x14ac:dyDescent="0.25">
      <c r="A13648">
        <v>15427</v>
      </c>
      <c r="B13648" t="s">
        <v>35112</v>
      </c>
      <c r="C13648">
        <v>620</v>
      </c>
      <c r="D13648">
        <v>511</v>
      </c>
      <c r="E13648">
        <v>1576728802</v>
      </c>
      <c r="F13648">
        <v>3475</v>
      </c>
      <c r="G13648">
        <v>0</v>
      </c>
      <c r="H13648" t="s">
        <v>18517</v>
      </c>
      <c r="I13648">
        <v>15427</v>
      </c>
      <c r="J13648" t="str">
        <f>VLOOKUP(E13648,DSSpieler!A:B,2,FALSE)</f>
        <v>ac10003</v>
      </c>
    </row>
    <row r="13649" spans="1:10" x14ac:dyDescent="0.25">
      <c r="A13649">
        <v>15429</v>
      </c>
      <c r="B13649" t="s">
        <v>35113</v>
      </c>
      <c r="C13649">
        <v>397</v>
      </c>
      <c r="D13649">
        <v>447</v>
      </c>
      <c r="E13649">
        <v>1577193425</v>
      </c>
      <c r="F13649">
        <v>3670</v>
      </c>
      <c r="G13649">
        <v>0</v>
      </c>
      <c r="H13649" t="s">
        <v>18518</v>
      </c>
      <c r="I13649">
        <v>15429</v>
      </c>
      <c r="J13649" t="str">
        <f>VLOOKUP(E13649,DSSpieler!A:B,2,FALSE)</f>
        <v>saschaaa</v>
      </c>
    </row>
    <row r="13650" spans="1:10" x14ac:dyDescent="0.25">
      <c r="A13650">
        <v>15430</v>
      </c>
      <c r="B13650" t="s">
        <v>531</v>
      </c>
      <c r="C13650">
        <v>614</v>
      </c>
      <c r="D13650">
        <v>523</v>
      </c>
      <c r="E13650">
        <v>0</v>
      </c>
      <c r="F13650">
        <v>211</v>
      </c>
      <c r="G13650">
        <v>0</v>
      </c>
      <c r="H13650" t="s">
        <v>18519</v>
      </c>
      <c r="I13650">
        <v>15430</v>
      </c>
      <c r="J13650" t="e">
        <f>VLOOKUP(E13650,DSSpieler!A:B,2,FALSE)</f>
        <v>#N/A</v>
      </c>
    </row>
    <row r="13651" spans="1:10" x14ac:dyDescent="0.25">
      <c r="A13651">
        <v>15431</v>
      </c>
      <c r="B13651" t="s">
        <v>531</v>
      </c>
      <c r="C13651">
        <v>578</v>
      </c>
      <c r="D13651">
        <v>587</v>
      </c>
      <c r="E13651">
        <v>0</v>
      </c>
      <c r="F13651">
        <v>143</v>
      </c>
      <c r="G13651">
        <v>0</v>
      </c>
      <c r="H13651" t="s">
        <v>18520</v>
      </c>
      <c r="I13651">
        <v>15431</v>
      </c>
      <c r="J13651" t="e">
        <f>VLOOKUP(E13651,DSSpieler!A:B,2,FALSE)</f>
        <v>#N/A</v>
      </c>
    </row>
    <row r="13652" spans="1:10" x14ac:dyDescent="0.25">
      <c r="A13652">
        <v>15432</v>
      </c>
      <c r="B13652" t="s">
        <v>531</v>
      </c>
      <c r="C13652">
        <v>533</v>
      </c>
      <c r="D13652">
        <v>613</v>
      </c>
      <c r="E13652">
        <v>0</v>
      </c>
      <c r="F13652">
        <v>360</v>
      </c>
      <c r="G13652">
        <v>0</v>
      </c>
      <c r="H13652" t="s">
        <v>18521</v>
      </c>
      <c r="I13652">
        <v>15432</v>
      </c>
      <c r="J13652" t="e">
        <f>VLOOKUP(E13652,DSSpieler!A:B,2,FALSE)</f>
        <v>#N/A</v>
      </c>
    </row>
    <row r="13653" spans="1:10" x14ac:dyDescent="0.25">
      <c r="A13653">
        <v>15433</v>
      </c>
      <c r="B13653" t="s">
        <v>531</v>
      </c>
      <c r="C13653">
        <v>474</v>
      </c>
      <c r="D13653">
        <v>384</v>
      </c>
      <c r="E13653">
        <v>0</v>
      </c>
      <c r="F13653">
        <v>118</v>
      </c>
      <c r="G13653">
        <v>0</v>
      </c>
      <c r="H13653" t="s">
        <v>18522</v>
      </c>
      <c r="I13653">
        <v>15433</v>
      </c>
      <c r="J13653" t="e">
        <f>VLOOKUP(E13653,DSSpieler!A:B,2,FALSE)</f>
        <v>#N/A</v>
      </c>
    </row>
    <row r="13654" spans="1:10" x14ac:dyDescent="0.25">
      <c r="A13654">
        <v>15434</v>
      </c>
      <c r="B13654" t="s">
        <v>35114</v>
      </c>
      <c r="C13654">
        <v>392</v>
      </c>
      <c r="D13654">
        <v>455</v>
      </c>
      <c r="E13654">
        <v>7923684</v>
      </c>
      <c r="F13654">
        <v>449</v>
      </c>
      <c r="G13654">
        <v>0</v>
      </c>
      <c r="H13654" t="s">
        <v>18523</v>
      </c>
      <c r="I13654">
        <v>15434</v>
      </c>
      <c r="J13654" t="str">
        <f>VLOOKUP(E13654,DSSpieler!A:B,2,FALSE)</f>
        <v>terranueva</v>
      </c>
    </row>
    <row r="13655" spans="1:10" x14ac:dyDescent="0.25">
      <c r="A13655">
        <v>15435</v>
      </c>
      <c r="B13655" t="s">
        <v>531</v>
      </c>
      <c r="C13655">
        <v>599</v>
      </c>
      <c r="D13655">
        <v>561</v>
      </c>
      <c r="E13655">
        <v>0</v>
      </c>
      <c r="F13655">
        <v>78</v>
      </c>
      <c r="G13655">
        <v>0</v>
      </c>
      <c r="H13655" t="s">
        <v>18524</v>
      </c>
      <c r="I13655">
        <v>15435</v>
      </c>
      <c r="J13655" t="e">
        <f>VLOOKUP(E13655,DSSpieler!A:B,2,FALSE)</f>
        <v>#N/A</v>
      </c>
    </row>
    <row r="13656" spans="1:10" x14ac:dyDescent="0.25">
      <c r="A13656">
        <v>15436</v>
      </c>
      <c r="B13656" t="s">
        <v>531</v>
      </c>
      <c r="C13656">
        <v>425</v>
      </c>
      <c r="D13656">
        <v>588</v>
      </c>
      <c r="E13656">
        <v>0</v>
      </c>
      <c r="F13656">
        <v>127</v>
      </c>
      <c r="G13656">
        <v>0</v>
      </c>
      <c r="H13656" t="s">
        <v>18525</v>
      </c>
      <c r="I13656">
        <v>15436</v>
      </c>
      <c r="J13656" t="e">
        <f>VLOOKUP(E13656,DSSpieler!A:B,2,FALSE)</f>
        <v>#N/A</v>
      </c>
    </row>
    <row r="13657" spans="1:10" x14ac:dyDescent="0.25">
      <c r="A13657">
        <v>15437</v>
      </c>
      <c r="B13657" t="s">
        <v>30459</v>
      </c>
      <c r="C13657">
        <v>608</v>
      </c>
      <c r="D13657">
        <v>553</v>
      </c>
      <c r="E13657">
        <v>468795</v>
      </c>
      <c r="F13657">
        <v>4579</v>
      </c>
      <c r="G13657">
        <v>0</v>
      </c>
      <c r="H13657" t="s">
        <v>18526</v>
      </c>
      <c r="I13657">
        <v>15437</v>
      </c>
      <c r="J13657" t="str">
        <f>VLOOKUP(E13657,DSSpieler!A:B,2,FALSE)</f>
        <v>Päuli</v>
      </c>
    </row>
    <row r="13658" spans="1:10" x14ac:dyDescent="0.25">
      <c r="A13658">
        <v>15438</v>
      </c>
      <c r="B13658" t="s">
        <v>531</v>
      </c>
      <c r="C13658">
        <v>587</v>
      </c>
      <c r="D13658">
        <v>578</v>
      </c>
      <c r="E13658">
        <v>0</v>
      </c>
      <c r="F13658">
        <v>336</v>
      </c>
      <c r="G13658">
        <v>0</v>
      </c>
      <c r="H13658" t="s">
        <v>18527</v>
      </c>
      <c r="I13658">
        <v>15438</v>
      </c>
      <c r="J13658" t="e">
        <f>VLOOKUP(E13658,DSSpieler!A:B,2,FALSE)</f>
        <v>#N/A</v>
      </c>
    </row>
    <row r="13659" spans="1:10" x14ac:dyDescent="0.25">
      <c r="A13659">
        <v>15439</v>
      </c>
      <c r="B13659" t="s">
        <v>531</v>
      </c>
      <c r="C13659">
        <v>612</v>
      </c>
      <c r="D13659">
        <v>463</v>
      </c>
      <c r="E13659">
        <v>0</v>
      </c>
      <c r="F13659">
        <v>96</v>
      </c>
      <c r="G13659">
        <v>0</v>
      </c>
      <c r="H13659" t="s">
        <v>18528</v>
      </c>
      <c r="I13659">
        <v>15439</v>
      </c>
      <c r="J13659" t="e">
        <f>VLOOKUP(E13659,DSSpieler!A:B,2,FALSE)</f>
        <v>#N/A</v>
      </c>
    </row>
    <row r="13660" spans="1:10" x14ac:dyDescent="0.25">
      <c r="A13660">
        <v>15441</v>
      </c>
      <c r="B13660" t="s">
        <v>2410</v>
      </c>
      <c r="C13660">
        <v>536</v>
      </c>
      <c r="D13660">
        <v>586</v>
      </c>
      <c r="E13660">
        <v>1577110897</v>
      </c>
      <c r="F13660">
        <v>3770</v>
      </c>
      <c r="G13660">
        <v>0</v>
      </c>
      <c r="H13660" t="s">
        <v>18529</v>
      </c>
      <c r="I13660">
        <v>15441</v>
      </c>
      <c r="J13660" t="str">
        <f>VLOOKUP(E13660,DSSpieler!A:B,2,FALSE)</f>
        <v>KingKasper</v>
      </c>
    </row>
    <row r="13661" spans="1:10" x14ac:dyDescent="0.25">
      <c r="A13661">
        <v>15442</v>
      </c>
      <c r="B13661" t="s">
        <v>531</v>
      </c>
      <c r="C13661">
        <v>549</v>
      </c>
      <c r="D13661">
        <v>610</v>
      </c>
      <c r="E13661">
        <v>0</v>
      </c>
      <c r="F13661">
        <v>140</v>
      </c>
      <c r="G13661">
        <v>0</v>
      </c>
      <c r="H13661" t="s">
        <v>18530</v>
      </c>
      <c r="I13661">
        <v>15442</v>
      </c>
      <c r="J13661" t="e">
        <f>VLOOKUP(E13661,DSSpieler!A:B,2,FALSE)</f>
        <v>#N/A</v>
      </c>
    </row>
    <row r="13662" spans="1:10" x14ac:dyDescent="0.25">
      <c r="A13662">
        <v>15443</v>
      </c>
      <c r="B13662" t="s">
        <v>531</v>
      </c>
      <c r="C13662">
        <v>433</v>
      </c>
      <c r="D13662">
        <v>413</v>
      </c>
      <c r="E13662">
        <v>0</v>
      </c>
      <c r="F13662">
        <v>161</v>
      </c>
      <c r="G13662">
        <v>0</v>
      </c>
      <c r="H13662" t="s">
        <v>18531</v>
      </c>
      <c r="I13662">
        <v>15443</v>
      </c>
      <c r="J13662" t="e">
        <f>VLOOKUP(E13662,DSSpieler!A:B,2,FALSE)</f>
        <v>#N/A</v>
      </c>
    </row>
    <row r="13663" spans="1:10" x14ac:dyDescent="0.25">
      <c r="A13663">
        <v>15444</v>
      </c>
      <c r="B13663" t="s">
        <v>1505</v>
      </c>
      <c r="C13663">
        <v>527</v>
      </c>
      <c r="D13663">
        <v>531</v>
      </c>
      <c r="E13663">
        <v>8545785</v>
      </c>
      <c r="F13663">
        <v>1975</v>
      </c>
      <c r="G13663">
        <v>0</v>
      </c>
      <c r="H13663" t="s">
        <v>18532</v>
      </c>
      <c r="I13663">
        <v>15444</v>
      </c>
      <c r="J13663" t="str">
        <f>VLOOKUP(E13663,DSSpieler!A:B,2,FALSE)</f>
        <v>Nairolflol</v>
      </c>
    </row>
    <row r="13664" spans="1:10" x14ac:dyDescent="0.25">
      <c r="A13664">
        <v>15445</v>
      </c>
      <c r="B13664" t="s">
        <v>531</v>
      </c>
      <c r="C13664">
        <v>582</v>
      </c>
      <c r="D13664">
        <v>583</v>
      </c>
      <c r="E13664">
        <v>0</v>
      </c>
      <c r="F13664">
        <v>285</v>
      </c>
      <c r="G13664">
        <v>0</v>
      </c>
      <c r="H13664" t="s">
        <v>18533</v>
      </c>
      <c r="I13664">
        <v>15445</v>
      </c>
      <c r="J13664" t="e">
        <f>VLOOKUP(E13664,DSSpieler!A:B,2,FALSE)</f>
        <v>#N/A</v>
      </c>
    </row>
    <row r="13665" spans="1:10" x14ac:dyDescent="0.25">
      <c r="A13665">
        <v>15446</v>
      </c>
      <c r="B13665" t="s">
        <v>531</v>
      </c>
      <c r="C13665">
        <v>558</v>
      </c>
      <c r="D13665">
        <v>397</v>
      </c>
      <c r="E13665">
        <v>0</v>
      </c>
      <c r="F13665">
        <v>701</v>
      </c>
      <c r="G13665">
        <v>0</v>
      </c>
      <c r="H13665" t="s">
        <v>18534</v>
      </c>
      <c r="I13665">
        <v>15446</v>
      </c>
      <c r="J13665" t="e">
        <f>VLOOKUP(E13665,DSSpieler!A:B,2,FALSE)</f>
        <v>#N/A</v>
      </c>
    </row>
    <row r="13666" spans="1:10" x14ac:dyDescent="0.25">
      <c r="A13666">
        <v>15447</v>
      </c>
      <c r="B13666" t="s">
        <v>35115</v>
      </c>
      <c r="C13666">
        <v>438</v>
      </c>
      <c r="D13666">
        <v>602</v>
      </c>
      <c r="E13666">
        <v>1577198531</v>
      </c>
      <c r="F13666">
        <v>2461</v>
      </c>
      <c r="G13666">
        <v>0</v>
      </c>
      <c r="H13666" t="s">
        <v>18535</v>
      </c>
      <c r="I13666">
        <v>15447</v>
      </c>
      <c r="J13666" t="str">
        <f>VLOOKUP(E13666,DSSpieler!A:B,2,FALSE)</f>
        <v>OG-Lakers</v>
      </c>
    </row>
    <row r="13667" spans="1:10" x14ac:dyDescent="0.25">
      <c r="A13667">
        <v>15448</v>
      </c>
      <c r="B13667" t="s">
        <v>150</v>
      </c>
      <c r="C13667">
        <v>378</v>
      </c>
      <c r="D13667">
        <v>497</v>
      </c>
      <c r="E13667">
        <v>1575963464</v>
      </c>
      <c r="F13667">
        <v>5868</v>
      </c>
      <c r="G13667">
        <v>0</v>
      </c>
      <c r="H13667" t="s">
        <v>18536</v>
      </c>
      <c r="I13667">
        <v>15448</v>
      </c>
      <c r="J13667" t="str">
        <f>VLOOKUP(E13667,DSSpieler!A:B,2,FALSE)</f>
        <v>Henning88</v>
      </c>
    </row>
    <row r="13668" spans="1:10" x14ac:dyDescent="0.25">
      <c r="A13668">
        <v>15450</v>
      </c>
      <c r="B13668" t="s">
        <v>531</v>
      </c>
      <c r="C13668">
        <v>398</v>
      </c>
      <c r="D13668">
        <v>436</v>
      </c>
      <c r="E13668">
        <v>0</v>
      </c>
      <c r="F13668">
        <v>187</v>
      </c>
      <c r="G13668">
        <v>0</v>
      </c>
      <c r="H13668" t="s">
        <v>18537</v>
      </c>
      <c r="I13668">
        <v>15450</v>
      </c>
      <c r="J13668" t="e">
        <f>VLOOKUP(E13668,DSSpieler!A:B,2,FALSE)</f>
        <v>#N/A</v>
      </c>
    </row>
    <row r="13669" spans="1:10" x14ac:dyDescent="0.25">
      <c r="A13669">
        <v>15453</v>
      </c>
      <c r="B13669" t="s">
        <v>531</v>
      </c>
      <c r="C13669">
        <v>584</v>
      </c>
      <c r="D13669">
        <v>579</v>
      </c>
      <c r="E13669">
        <v>0</v>
      </c>
      <c r="F13669">
        <v>100</v>
      </c>
      <c r="G13669">
        <v>0</v>
      </c>
      <c r="H13669" t="s">
        <v>18538</v>
      </c>
      <c r="I13669">
        <v>15453</v>
      </c>
      <c r="J13669" t="e">
        <f>VLOOKUP(E13669,DSSpieler!A:B,2,FALSE)</f>
        <v>#N/A</v>
      </c>
    </row>
    <row r="13670" spans="1:10" x14ac:dyDescent="0.25">
      <c r="A13670">
        <v>15454</v>
      </c>
      <c r="B13670" t="s">
        <v>531</v>
      </c>
      <c r="C13670">
        <v>463</v>
      </c>
      <c r="D13670">
        <v>614</v>
      </c>
      <c r="E13670">
        <v>0</v>
      </c>
      <c r="F13670">
        <v>126</v>
      </c>
      <c r="G13670">
        <v>0</v>
      </c>
      <c r="H13670" t="s">
        <v>18539</v>
      </c>
      <c r="I13670">
        <v>15454</v>
      </c>
      <c r="J13670" t="e">
        <f>VLOOKUP(E13670,DSSpieler!A:B,2,FALSE)</f>
        <v>#N/A</v>
      </c>
    </row>
    <row r="13671" spans="1:10" x14ac:dyDescent="0.25">
      <c r="A13671">
        <v>15455</v>
      </c>
      <c r="B13671" t="s">
        <v>531</v>
      </c>
      <c r="C13671">
        <v>466</v>
      </c>
      <c r="D13671">
        <v>612</v>
      </c>
      <c r="E13671">
        <v>0</v>
      </c>
      <c r="F13671">
        <v>250</v>
      </c>
      <c r="G13671">
        <v>0</v>
      </c>
      <c r="H13671" t="s">
        <v>18540</v>
      </c>
      <c r="I13671">
        <v>15455</v>
      </c>
      <c r="J13671" t="e">
        <f>VLOOKUP(E13671,DSSpieler!A:B,2,FALSE)</f>
        <v>#N/A</v>
      </c>
    </row>
    <row r="13672" spans="1:10" x14ac:dyDescent="0.25">
      <c r="A13672">
        <v>15457</v>
      </c>
      <c r="B13672">
        <v>2</v>
      </c>
      <c r="C13672">
        <v>438</v>
      </c>
      <c r="D13672">
        <v>601</v>
      </c>
      <c r="E13672">
        <v>1576237852</v>
      </c>
      <c r="F13672">
        <v>1507</v>
      </c>
      <c r="G13672">
        <v>0</v>
      </c>
      <c r="H13672" t="s">
        <v>18541</v>
      </c>
      <c r="I13672">
        <v>15457</v>
      </c>
      <c r="J13672" t="str">
        <f>VLOOKUP(E13672,DSSpieler!A:B,2,FALSE)</f>
        <v>arijen92</v>
      </c>
    </row>
    <row r="13673" spans="1:10" x14ac:dyDescent="0.25">
      <c r="A13673">
        <v>15458</v>
      </c>
      <c r="B13673" t="s">
        <v>531</v>
      </c>
      <c r="C13673">
        <v>481</v>
      </c>
      <c r="D13673">
        <v>383</v>
      </c>
      <c r="E13673">
        <v>0</v>
      </c>
      <c r="F13673">
        <v>114</v>
      </c>
      <c r="G13673">
        <v>0</v>
      </c>
      <c r="H13673" t="s">
        <v>18542</v>
      </c>
      <c r="I13673">
        <v>15458</v>
      </c>
      <c r="J13673" t="e">
        <f>VLOOKUP(E13673,DSSpieler!A:B,2,FALSE)</f>
        <v>#N/A</v>
      </c>
    </row>
    <row r="13674" spans="1:10" x14ac:dyDescent="0.25">
      <c r="A13674">
        <v>15460</v>
      </c>
      <c r="B13674" t="s">
        <v>35116</v>
      </c>
      <c r="C13674">
        <v>430</v>
      </c>
      <c r="D13674">
        <v>435</v>
      </c>
      <c r="E13674">
        <v>1577130176</v>
      </c>
      <c r="F13674">
        <v>5370</v>
      </c>
      <c r="G13674">
        <v>0</v>
      </c>
      <c r="H13674" t="s">
        <v>18543</v>
      </c>
      <c r="I13674">
        <v>15460</v>
      </c>
      <c r="J13674" t="str">
        <f>VLOOKUP(E13674,DSSpieler!A:B,2,FALSE)</f>
        <v>ciniminik</v>
      </c>
    </row>
    <row r="13675" spans="1:10" x14ac:dyDescent="0.25">
      <c r="A13675">
        <v>15461</v>
      </c>
      <c r="B13675" t="s">
        <v>531</v>
      </c>
      <c r="C13675">
        <v>476</v>
      </c>
      <c r="D13675">
        <v>615</v>
      </c>
      <c r="E13675">
        <v>0</v>
      </c>
      <c r="F13675">
        <v>400</v>
      </c>
      <c r="G13675">
        <v>0</v>
      </c>
      <c r="H13675" t="s">
        <v>18544</v>
      </c>
      <c r="I13675">
        <v>15461</v>
      </c>
      <c r="J13675" t="e">
        <f>VLOOKUP(E13675,DSSpieler!A:B,2,FALSE)</f>
        <v>#N/A</v>
      </c>
    </row>
    <row r="13676" spans="1:10" x14ac:dyDescent="0.25">
      <c r="A13676">
        <v>15462</v>
      </c>
      <c r="B13676" t="s">
        <v>35117</v>
      </c>
      <c r="C13676">
        <v>388</v>
      </c>
      <c r="D13676">
        <v>465</v>
      </c>
      <c r="E13676">
        <v>9759172</v>
      </c>
      <c r="F13676">
        <v>2421</v>
      </c>
      <c r="G13676">
        <v>0</v>
      </c>
      <c r="H13676" t="s">
        <v>477</v>
      </c>
      <c r="I13676">
        <v>15462</v>
      </c>
      <c r="J13676" t="str">
        <f>VLOOKUP(E13676,DSSpieler!A:B,2,FALSE)</f>
        <v>mykeee</v>
      </c>
    </row>
    <row r="13677" spans="1:10" x14ac:dyDescent="0.25">
      <c r="A13677">
        <v>15463</v>
      </c>
      <c r="B13677" t="s">
        <v>531</v>
      </c>
      <c r="C13677">
        <v>596</v>
      </c>
      <c r="D13677">
        <v>429</v>
      </c>
      <c r="E13677">
        <v>0</v>
      </c>
      <c r="F13677">
        <v>530</v>
      </c>
      <c r="G13677">
        <v>0</v>
      </c>
      <c r="H13677" t="s">
        <v>18545</v>
      </c>
      <c r="I13677">
        <v>15463</v>
      </c>
      <c r="J13677" t="e">
        <f>VLOOKUP(E13677,DSSpieler!A:B,2,FALSE)</f>
        <v>#N/A</v>
      </c>
    </row>
    <row r="13678" spans="1:10" x14ac:dyDescent="0.25">
      <c r="A13678">
        <v>15464</v>
      </c>
      <c r="B13678" t="s">
        <v>531</v>
      </c>
      <c r="C13678">
        <v>487</v>
      </c>
      <c r="D13678">
        <v>619</v>
      </c>
      <c r="E13678">
        <v>0</v>
      </c>
      <c r="F13678">
        <v>194</v>
      </c>
      <c r="G13678">
        <v>0</v>
      </c>
      <c r="H13678" t="s">
        <v>18546</v>
      </c>
      <c r="I13678">
        <v>15464</v>
      </c>
      <c r="J13678" t="e">
        <f>VLOOKUP(E13678,DSSpieler!A:B,2,FALSE)</f>
        <v>#N/A</v>
      </c>
    </row>
    <row r="13679" spans="1:10" x14ac:dyDescent="0.25">
      <c r="A13679">
        <v>15465</v>
      </c>
      <c r="B13679" t="s">
        <v>531</v>
      </c>
      <c r="C13679">
        <v>458</v>
      </c>
      <c r="D13679">
        <v>609</v>
      </c>
      <c r="E13679">
        <v>0</v>
      </c>
      <c r="F13679">
        <v>282</v>
      </c>
      <c r="G13679">
        <v>0</v>
      </c>
      <c r="H13679" t="s">
        <v>18547</v>
      </c>
      <c r="I13679">
        <v>15465</v>
      </c>
      <c r="J13679" t="e">
        <f>VLOOKUP(E13679,DSSpieler!A:B,2,FALSE)</f>
        <v>#N/A</v>
      </c>
    </row>
    <row r="13680" spans="1:10" x14ac:dyDescent="0.25">
      <c r="A13680">
        <v>15466</v>
      </c>
      <c r="B13680" t="s">
        <v>35118</v>
      </c>
      <c r="C13680">
        <v>428</v>
      </c>
      <c r="D13680">
        <v>434</v>
      </c>
      <c r="E13680">
        <v>1577198703</v>
      </c>
      <c r="F13680">
        <v>1096</v>
      </c>
      <c r="G13680">
        <v>0</v>
      </c>
      <c r="H13680" t="s">
        <v>18548</v>
      </c>
      <c r="I13680">
        <v>15466</v>
      </c>
      <c r="J13680" t="str">
        <f>VLOOKUP(E13680,DSSpieler!A:B,2,FALSE)</f>
        <v>JayJayoko</v>
      </c>
    </row>
    <row r="13681" spans="1:10" x14ac:dyDescent="0.25">
      <c r="A13681">
        <v>15467</v>
      </c>
      <c r="B13681" t="s">
        <v>531</v>
      </c>
      <c r="C13681">
        <v>458</v>
      </c>
      <c r="D13681">
        <v>389</v>
      </c>
      <c r="E13681">
        <v>0</v>
      </c>
      <c r="F13681">
        <v>448</v>
      </c>
      <c r="G13681">
        <v>0</v>
      </c>
      <c r="H13681" t="s">
        <v>18549</v>
      </c>
      <c r="I13681">
        <v>15467</v>
      </c>
      <c r="J13681" t="e">
        <f>VLOOKUP(E13681,DSSpieler!A:B,2,FALSE)</f>
        <v>#N/A</v>
      </c>
    </row>
    <row r="13682" spans="1:10" x14ac:dyDescent="0.25">
      <c r="A13682">
        <v>15468</v>
      </c>
      <c r="B13682" t="s">
        <v>35119</v>
      </c>
      <c r="C13682">
        <v>486</v>
      </c>
      <c r="D13682">
        <v>386</v>
      </c>
      <c r="E13682">
        <v>125294</v>
      </c>
      <c r="F13682">
        <v>2387</v>
      </c>
      <c r="G13682">
        <v>0</v>
      </c>
      <c r="H13682" t="s">
        <v>18550</v>
      </c>
      <c r="I13682">
        <v>15468</v>
      </c>
      <c r="J13682" t="str">
        <f>VLOOKUP(E13682,DSSpieler!A:B,2,FALSE)</f>
        <v>buuh</v>
      </c>
    </row>
    <row r="13683" spans="1:10" x14ac:dyDescent="0.25">
      <c r="A13683">
        <v>15469</v>
      </c>
      <c r="B13683" t="s">
        <v>531</v>
      </c>
      <c r="C13683">
        <v>619</v>
      </c>
      <c r="D13683">
        <v>501</v>
      </c>
      <c r="E13683">
        <v>0</v>
      </c>
      <c r="F13683">
        <v>133</v>
      </c>
      <c r="G13683">
        <v>0</v>
      </c>
      <c r="H13683" t="s">
        <v>18551</v>
      </c>
      <c r="I13683">
        <v>15469</v>
      </c>
      <c r="J13683" t="e">
        <f>VLOOKUP(E13683,DSSpieler!A:B,2,FALSE)</f>
        <v>#N/A</v>
      </c>
    </row>
    <row r="13684" spans="1:10" x14ac:dyDescent="0.25">
      <c r="A13684">
        <v>15470</v>
      </c>
      <c r="B13684" s="111">
        <v>23.02</v>
      </c>
      <c r="C13684">
        <v>459</v>
      </c>
      <c r="D13684">
        <v>602</v>
      </c>
      <c r="E13684">
        <v>1575988694</v>
      </c>
      <c r="F13684">
        <v>3242</v>
      </c>
      <c r="G13684">
        <v>0</v>
      </c>
      <c r="H13684" t="s">
        <v>18552</v>
      </c>
      <c r="I13684">
        <v>15470</v>
      </c>
      <c r="J13684" t="str">
        <f>VLOOKUP(E13684,DSSpieler!A:B,2,FALSE)</f>
        <v>Lord topsi</v>
      </c>
    </row>
    <row r="13685" spans="1:10" x14ac:dyDescent="0.25">
      <c r="A13685">
        <v>15472</v>
      </c>
      <c r="B13685" t="s">
        <v>35120</v>
      </c>
      <c r="C13685">
        <v>482</v>
      </c>
      <c r="D13685">
        <v>548</v>
      </c>
      <c r="E13685">
        <v>1576925641</v>
      </c>
      <c r="F13685">
        <v>827</v>
      </c>
      <c r="G13685">
        <v>0</v>
      </c>
      <c r="H13685" t="s">
        <v>18553</v>
      </c>
      <c r="I13685">
        <v>15472</v>
      </c>
      <c r="J13685" t="str">
        <f>VLOOKUP(E13685,DSSpieler!A:B,2,FALSE)</f>
        <v>John Shelby</v>
      </c>
    </row>
    <row r="13686" spans="1:10" x14ac:dyDescent="0.25">
      <c r="A13686">
        <v>15474</v>
      </c>
      <c r="B13686" t="s">
        <v>35121</v>
      </c>
      <c r="C13686">
        <v>543</v>
      </c>
      <c r="D13686">
        <v>580</v>
      </c>
      <c r="E13686">
        <v>1577186761</v>
      </c>
      <c r="F13686">
        <v>3438</v>
      </c>
      <c r="G13686">
        <v>0</v>
      </c>
      <c r="H13686" t="s">
        <v>18554</v>
      </c>
      <c r="I13686">
        <v>15474</v>
      </c>
      <c r="J13686" t="str">
        <f>VLOOKUP(E13686,DSSpieler!A:B,2,FALSE)</f>
        <v>kinimod 96</v>
      </c>
    </row>
    <row r="13687" spans="1:10" x14ac:dyDescent="0.25">
      <c r="A13687">
        <v>15476</v>
      </c>
      <c r="B13687" t="s">
        <v>30459</v>
      </c>
      <c r="C13687">
        <v>606</v>
      </c>
      <c r="D13687">
        <v>556</v>
      </c>
      <c r="E13687">
        <v>468795</v>
      </c>
      <c r="F13687">
        <v>2546</v>
      </c>
      <c r="G13687">
        <v>0</v>
      </c>
      <c r="H13687" t="s">
        <v>18555</v>
      </c>
      <c r="I13687">
        <v>15476</v>
      </c>
      <c r="J13687" t="str">
        <f>VLOOKUP(E13687,DSSpieler!A:B,2,FALSE)</f>
        <v>Päuli</v>
      </c>
    </row>
    <row r="13688" spans="1:10" x14ac:dyDescent="0.25">
      <c r="A13688">
        <v>15477</v>
      </c>
      <c r="B13688" t="s">
        <v>531</v>
      </c>
      <c r="C13688">
        <v>421</v>
      </c>
      <c r="D13688">
        <v>591</v>
      </c>
      <c r="E13688">
        <v>0</v>
      </c>
      <c r="F13688">
        <v>225</v>
      </c>
      <c r="G13688">
        <v>0</v>
      </c>
      <c r="H13688" t="s">
        <v>18556</v>
      </c>
      <c r="I13688">
        <v>15477</v>
      </c>
      <c r="J13688" t="e">
        <f>VLOOKUP(E13688,DSSpieler!A:B,2,FALSE)</f>
        <v>#N/A</v>
      </c>
    </row>
    <row r="13689" spans="1:10" x14ac:dyDescent="0.25">
      <c r="A13689">
        <v>15478</v>
      </c>
      <c r="B13689" t="s">
        <v>531</v>
      </c>
      <c r="C13689">
        <v>616</v>
      </c>
      <c r="D13689">
        <v>516</v>
      </c>
      <c r="E13689">
        <v>0</v>
      </c>
      <c r="F13689">
        <v>115</v>
      </c>
      <c r="G13689">
        <v>0</v>
      </c>
      <c r="H13689" t="s">
        <v>18557</v>
      </c>
      <c r="I13689">
        <v>15478</v>
      </c>
      <c r="J13689" t="e">
        <f>VLOOKUP(E13689,DSSpieler!A:B,2,FALSE)</f>
        <v>#N/A</v>
      </c>
    </row>
    <row r="13690" spans="1:10" x14ac:dyDescent="0.25">
      <c r="A13690">
        <v>15479</v>
      </c>
      <c r="B13690" t="s">
        <v>2411</v>
      </c>
      <c r="C13690">
        <v>590</v>
      </c>
      <c r="D13690">
        <v>573</v>
      </c>
      <c r="E13690">
        <v>1577000918</v>
      </c>
      <c r="F13690">
        <v>1265</v>
      </c>
      <c r="G13690">
        <v>0</v>
      </c>
      <c r="H13690" t="s">
        <v>18558</v>
      </c>
      <c r="I13690">
        <v>15479</v>
      </c>
      <c r="J13690" t="str">
        <f>VLOOKUP(E13690,DSSpieler!A:B,2,FALSE)</f>
        <v>Termina</v>
      </c>
    </row>
    <row r="13691" spans="1:10" x14ac:dyDescent="0.25">
      <c r="A13691">
        <v>15480</v>
      </c>
      <c r="B13691" t="s">
        <v>531</v>
      </c>
      <c r="C13691">
        <v>398</v>
      </c>
      <c r="D13691">
        <v>560</v>
      </c>
      <c r="E13691">
        <v>0</v>
      </c>
      <c r="F13691">
        <v>170</v>
      </c>
      <c r="G13691">
        <v>0</v>
      </c>
      <c r="H13691" t="s">
        <v>18559</v>
      </c>
      <c r="I13691">
        <v>15480</v>
      </c>
      <c r="J13691" t="e">
        <f>VLOOKUP(E13691,DSSpieler!A:B,2,FALSE)</f>
        <v>#N/A</v>
      </c>
    </row>
    <row r="13692" spans="1:10" x14ac:dyDescent="0.25">
      <c r="A13692">
        <v>15481</v>
      </c>
      <c r="B13692" t="s">
        <v>531</v>
      </c>
      <c r="C13692">
        <v>407</v>
      </c>
      <c r="D13692">
        <v>431</v>
      </c>
      <c r="E13692">
        <v>0</v>
      </c>
      <c r="F13692">
        <v>756</v>
      </c>
      <c r="G13692">
        <v>0</v>
      </c>
      <c r="H13692" t="s">
        <v>18560</v>
      </c>
      <c r="I13692">
        <v>15481</v>
      </c>
      <c r="J13692" t="e">
        <f>VLOOKUP(E13692,DSSpieler!A:B,2,FALSE)</f>
        <v>#N/A</v>
      </c>
    </row>
    <row r="13693" spans="1:10" x14ac:dyDescent="0.25">
      <c r="A13693">
        <v>15483</v>
      </c>
      <c r="B13693" t="s">
        <v>531</v>
      </c>
      <c r="C13693">
        <v>442</v>
      </c>
      <c r="D13693">
        <v>395</v>
      </c>
      <c r="E13693">
        <v>0</v>
      </c>
      <c r="F13693">
        <v>308</v>
      </c>
      <c r="G13693">
        <v>0</v>
      </c>
      <c r="H13693" t="s">
        <v>18561</v>
      </c>
      <c r="I13693">
        <v>15483</v>
      </c>
      <c r="J13693" t="e">
        <f>VLOOKUP(E13693,DSSpieler!A:B,2,FALSE)</f>
        <v>#N/A</v>
      </c>
    </row>
    <row r="13694" spans="1:10" x14ac:dyDescent="0.25">
      <c r="A13694">
        <v>15484</v>
      </c>
      <c r="B13694" t="s">
        <v>531</v>
      </c>
      <c r="C13694">
        <v>620</v>
      </c>
      <c r="D13694">
        <v>485</v>
      </c>
      <c r="E13694">
        <v>0</v>
      </c>
      <c r="F13694">
        <v>112</v>
      </c>
      <c r="G13694">
        <v>0</v>
      </c>
      <c r="H13694" t="s">
        <v>18562</v>
      </c>
      <c r="I13694">
        <v>15484</v>
      </c>
      <c r="J13694" t="e">
        <f>VLOOKUP(E13694,DSSpieler!A:B,2,FALSE)</f>
        <v>#N/A</v>
      </c>
    </row>
    <row r="13695" spans="1:10" x14ac:dyDescent="0.25">
      <c r="A13695">
        <v>15485</v>
      </c>
      <c r="B13695" t="s">
        <v>1041</v>
      </c>
      <c r="C13695">
        <v>527</v>
      </c>
      <c r="D13695">
        <v>384</v>
      </c>
      <c r="E13695">
        <v>1577202333</v>
      </c>
      <c r="F13695">
        <v>483</v>
      </c>
      <c r="G13695">
        <v>0</v>
      </c>
      <c r="H13695" t="s">
        <v>18563</v>
      </c>
      <c r="I13695">
        <v>15485</v>
      </c>
      <c r="J13695" t="str">
        <f>VLOOKUP(E13695,DSSpieler!A:B,2,FALSE)</f>
        <v>Hamad72</v>
      </c>
    </row>
    <row r="13696" spans="1:10" x14ac:dyDescent="0.25">
      <c r="A13696">
        <v>15486</v>
      </c>
      <c r="B13696" t="s">
        <v>531</v>
      </c>
      <c r="C13696">
        <v>448</v>
      </c>
      <c r="D13696">
        <v>609</v>
      </c>
      <c r="E13696">
        <v>0</v>
      </c>
      <c r="F13696">
        <v>169</v>
      </c>
      <c r="G13696">
        <v>0</v>
      </c>
      <c r="H13696" t="s">
        <v>18564</v>
      </c>
      <c r="I13696">
        <v>15486</v>
      </c>
      <c r="J13696" t="e">
        <f>VLOOKUP(E13696,DSSpieler!A:B,2,FALSE)</f>
        <v>#N/A</v>
      </c>
    </row>
    <row r="13697" spans="1:10" x14ac:dyDescent="0.25">
      <c r="A13697">
        <v>15488</v>
      </c>
      <c r="B13697" t="s">
        <v>30820</v>
      </c>
      <c r="C13697">
        <v>586</v>
      </c>
      <c r="D13697">
        <v>538</v>
      </c>
      <c r="E13697">
        <v>1577178554</v>
      </c>
      <c r="F13697">
        <v>4860</v>
      </c>
      <c r="G13697">
        <v>0</v>
      </c>
      <c r="H13697" t="s">
        <v>18565</v>
      </c>
      <c r="I13697">
        <v>15488</v>
      </c>
      <c r="J13697" t="str">
        <f>VLOOKUP(E13697,DSSpieler!A:B,2,FALSE)</f>
        <v>Nicer Dude</v>
      </c>
    </row>
    <row r="13698" spans="1:10" x14ac:dyDescent="0.25">
      <c r="A13698">
        <v>15489</v>
      </c>
      <c r="B13698" t="s">
        <v>35122</v>
      </c>
      <c r="C13698">
        <v>470</v>
      </c>
      <c r="D13698">
        <v>383</v>
      </c>
      <c r="E13698">
        <v>1577028811</v>
      </c>
      <c r="F13698">
        <v>176</v>
      </c>
      <c r="G13698">
        <v>0</v>
      </c>
      <c r="H13698" t="s">
        <v>18566</v>
      </c>
      <c r="I13698">
        <v>15489</v>
      </c>
      <c r="J13698" t="str">
        <f>VLOOKUP(E13698,DSSpieler!A:B,2,FALSE)</f>
        <v>Pierrevowi</v>
      </c>
    </row>
    <row r="13699" spans="1:10" x14ac:dyDescent="0.25">
      <c r="A13699">
        <v>15490</v>
      </c>
      <c r="B13699" t="s">
        <v>35123</v>
      </c>
      <c r="C13699">
        <v>386</v>
      </c>
      <c r="D13699">
        <v>468</v>
      </c>
      <c r="E13699">
        <v>1576502833</v>
      </c>
      <c r="F13699">
        <v>3821</v>
      </c>
      <c r="G13699">
        <v>0</v>
      </c>
      <c r="H13699" t="s">
        <v>467</v>
      </c>
      <c r="I13699">
        <v>15490</v>
      </c>
      <c r="J13699" t="str">
        <f>VLOOKUP(E13699,DSSpieler!A:B,2,FALSE)</f>
        <v>Goettlich</v>
      </c>
    </row>
    <row r="13700" spans="1:10" x14ac:dyDescent="0.25">
      <c r="A13700">
        <v>15491</v>
      </c>
      <c r="B13700" t="s">
        <v>2412</v>
      </c>
      <c r="C13700">
        <v>603</v>
      </c>
      <c r="D13700">
        <v>444</v>
      </c>
      <c r="E13700">
        <v>1577202164</v>
      </c>
      <c r="F13700">
        <v>2726</v>
      </c>
      <c r="G13700">
        <v>0</v>
      </c>
      <c r="H13700" t="s">
        <v>18567</v>
      </c>
      <c r="I13700">
        <v>15491</v>
      </c>
      <c r="J13700" t="str">
        <f>VLOOKUP(E13700,DSSpieler!A:B,2,FALSE)</f>
        <v>iChris226</v>
      </c>
    </row>
    <row r="13701" spans="1:10" x14ac:dyDescent="0.25">
      <c r="A13701">
        <v>15492</v>
      </c>
      <c r="B13701" t="s">
        <v>531</v>
      </c>
      <c r="C13701">
        <v>583</v>
      </c>
      <c r="D13701">
        <v>584</v>
      </c>
      <c r="E13701">
        <v>0</v>
      </c>
      <c r="F13701">
        <v>103</v>
      </c>
      <c r="G13701">
        <v>0</v>
      </c>
      <c r="H13701" t="s">
        <v>18568</v>
      </c>
      <c r="I13701">
        <v>15492</v>
      </c>
      <c r="J13701" t="e">
        <f>VLOOKUP(E13701,DSSpieler!A:B,2,FALSE)</f>
        <v>#N/A</v>
      </c>
    </row>
    <row r="13702" spans="1:10" x14ac:dyDescent="0.25">
      <c r="A13702">
        <v>15493</v>
      </c>
      <c r="B13702" t="s">
        <v>531</v>
      </c>
      <c r="C13702">
        <v>398</v>
      </c>
      <c r="D13702">
        <v>437</v>
      </c>
      <c r="E13702">
        <v>0</v>
      </c>
      <c r="F13702">
        <v>71</v>
      </c>
      <c r="G13702">
        <v>0</v>
      </c>
      <c r="H13702" t="s">
        <v>18569</v>
      </c>
      <c r="I13702">
        <v>15493</v>
      </c>
      <c r="J13702" t="e">
        <f>VLOOKUP(E13702,DSSpieler!A:B,2,FALSE)</f>
        <v>#N/A</v>
      </c>
    </row>
    <row r="13703" spans="1:10" x14ac:dyDescent="0.25">
      <c r="A13703">
        <v>15494</v>
      </c>
      <c r="B13703" t="s">
        <v>531</v>
      </c>
      <c r="C13703">
        <v>587</v>
      </c>
      <c r="D13703">
        <v>582</v>
      </c>
      <c r="E13703">
        <v>0</v>
      </c>
      <c r="F13703">
        <v>330</v>
      </c>
      <c r="G13703">
        <v>0</v>
      </c>
      <c r="H13703" t="s">
        <v>18570</v>
      </c>
      <c r="I13703">
        <v>15494</v>
      </c>
      <c r="J13703" t="e">
        <f>VLOOKUP(E13703,DSSpieler!A:B,2,FALSE)</f>
        <v>#N/A</v>
      </c>
    </row>
    <row r="13704" spans="1:10" x14ac:dyDescent="0.25">
      <c r="A13704">
        <v>15495</v>
      </c>
      <c r="B13704" t="s">
        <v>35124</v>
      </c>
      <c r="C13704">
        <v>606</v>
      </c>
      <c r="D13704">
        <v>495</v>
      </c>
      <c r="E13704">
        <v>1577192749</v>
      </c>
      <c r="F13704">
        <v>2413</v>
      </c>
      <c r="G13704">
        <v>0</v>
      </c>
      <c r="H13704" t="s">
        <v>18571</v>
      </c>
      <c r="I13704">
        <v>15495</v>
      </c>
      <c r="J13704" t="str">
        <f>VLOOKUP(E13704,DSSpieler!A:B,2,FALSE)</f>
        <v>Mikael</v>
      </c>
    </row>
    <row r="13705" spans="1:10" x14ac:dyDescent="0.25">
      <c r="A13705">
        <v>15496</v>
      </c>
      <c r="B13705" t="s">
        <v>531</v>
      </c>
      <c r="C13705">
        <v>556</v>
      </c>
      <c r="D13705">
        <v>602</v>
      </c>
      <c r="E13705">
        <v>0</v>
      </c>
      <c r="F13705">
        <v>207</v>
      </c>
      <c r="G13705">
        <v>0</v>
      </c>
      <c r="H13705" t="s">
        <v>18572</v>
      </c>
      <c r="I13705">
        <v>15496</v>
      </c>
      <c r="J13705" t="e">
        <f>VLOOKUP(E13705,DSSpieler!A:B,2,FALSE)</f>
        <v>#N/A</v>
      </c>
    </row>
    <row r="13706" spans="1:10" x14ac:dyDescent="0.25">
      <c r="A13706">
        <v>15497</v>
      </c>
      <c r="B13706" t="s">
        <v>531</v>
      </c>
      <c r="C13706">
        <v>495</v>
      </c>
      <c r="D13706">
        <v>622</v>
      </c>
      <c r="E13706">
        <v>0</v>
      </c>
      <c r="F13706">
        <v>823</v>
      </c>
      <c r="G13706">
        <v>0</v>
      </c>
      <c r="H13706" t="s">
        <v>18573</v>
      </c>
      <c r="I13706">
        <v>15497</v>
      </c>
      <c r="J13706" t="e">
        <f>VLOOKUP(E13706,DSSpieler!A:B,2,FALSE)</f>
        <v>#N/A</v>
      </c>
    </row>
    <row r="13707" spans="1:10" x14ac:dyDescent="0.25">
      <c r="A13707">
        <v>15498</v>
      </c>
      <c r="B13707" t="s">
        <v>531</v>
      </c>
      <c r="C13707">
        <v>596</v>
      </c>
      <c r="D13707">
        <v>427</v>
      </c>
      <c r="E13707">
        <v>0</v>
      </c>
      <c r="F13707">
        <v>892</v>
      </c>
      <c r="G13707">
        <v>0</v>
      </c>
      <c r="H13707" t="s">
        <v>18574</v>
      </c>
      <c r="I13707">
        <v>15498</v>
      </c>
      <c r="J13707" t="e">
        <f>VLOOKUP(E13707,DSSpieler!A:B,2,FALSE)</f>
        <v>#N/A</v>
      </c>
    </row>
    <row r="13708" spans="1:10" x14ac:dyDescent="0.25">
      <c r="A13708">
        <v>15499</v>
      </c>
      <c r="B13708" t="s">
        <v>531</v>
      </c>
      <c r="C13708">
        <v>504</v>
      </c>
      <c r="D13708">
        <v>617</v>
      </c>
      <c r="E13708">
        <v>0</v>
      </c>
      <c r="F13708">
        <v>487</v>
      </c>
      <c r="G13708">
        <v>0</v>
      </c>
      <c r="H13708" t="s">
        <v>18575</v>
      </c>
      <c r="I13708">
        <v>15499</v>
      </c>
      <c r="J13708" t="e">
        <f>VLOOKUP(E13708,DSSpieler!A:B,2,FALSE)</f>
        <v>#N/A</v>
      </c>
    </row>
    <row r="13709" spans="1:10" x14ac:dyDescent="0.25">
      <c r="A13709">
        <v>15500</v>
      </c>
      <c r="B13709" t="s">
        <v>531</v>
      </c>
      <c r="C13709">
        <v>506</v>
      </c>
      <c r="D13709">
        <v>384</v>
      </c>
      <c r="E13709">
        <v>0</v>
      </c>
      <c r="F13709">
        <v>60</v>
      </c>
      <c r="G13709">
        <v>0</v>
      </c>
      <c r="H13709" t="s">
        <v>18576</v>
      </c>
      <c r="I13709">
        <v>15500</v>
      </c>
      <c r="J13709" t="e">
        <f>VLOOKUP(E13709,DSSpieler!A:B,2,FALSE)</f>
        <v>#N/A</v>
      </c>
    </row>
    <row r="13710" spans="1:10" x14ac:dyDescent="0.25">
      <c r="A13710">
        <v>15501</v>
      </c>
      <c r="B13710" t="s">
        <v>531</v>
      </c>
      <c r="C13710">
        <v>544</v>
      </c>
      <c r="D13710">
        <v>577</v>
      </c>
      <c r="E13710">
        <v>0</v>
      </c>
      <c r="F13710">
        <v>369</v>
      </c>
      <c r="G13710">
        <v>0</v>
      </c>
      <c r="H13710" t="s">
        <v>18577</v>
      </c>
      <c r="I13710">
        <v>15501</v>
      </c>
      <c r="J13710" t="e">
        <f>VLOOKUP(E13710,DSSpieler!A:B,2,FALSE)</f>
        <v>#N/A</v>
      </c>
    </row>
    <row r="13711" spans="1:10" x14ac:dyDescent="0.25">
      <c r="A13711">
        <v>15502</v>
      </c>
      <c r="B13711" t="s">
        <v>2413</v>
      </c>
      <c r="C13711">
        <v>577</v>
      </c>
      <c r="D13711">
        <v>412</v>
      </c>
      <c r="E13711">
        <v>8613959</v>
      </c>
      <c r="F13711">
        <v>1924</v>
      </c>
      <c r="G13711">
        <v>0</v>
      </c>
      <c r="H13711" t="s">
        <v>18578</v>
      </c>
      <c r="I13711">
        <v>15502</v>
      </c>
      <c r="J13711" t="str">
        <f>VLOOKUP(E13711,DSSpieler!A:B,2,FALSE)</f>
        <v>Jo.Mi.</v>
      </c>
    </row>
    <row r="13712" spans="1:10" x14ac:dyDescent="0.25">
      <c r="A13712">
        <v>15503</v>
      </c>
      <c r="B13712" t="s">
        <v>531</v>
      </c>
      <c r="C13712">
        <v>380</v>
      </c>
      <c r="D13712">
        <v>516</v>
      </c>
      <c r="E13712">
        <v>0</v>
      </c>
      <c r="F13712">
        <v>109</v>
      </c>
      <c r="G13712">
        <v>0</v>
      </c>
      <c r="H13712" t="s">
        <v>18579</v>
      </c>
      <c r="I13712">
        <v>15503</v>
      </c>
      <c r="J13712" t="e">
        <f>VLOOKUP(E13712,DSSpieler!A:B,2,FALSE)</f>
        <v>#N/A</v>
      </c>
    </row>
    <row r="13713" spans="1:10" x14ac:dyDescent="0.25">
      <c r="A13713">
        <v>15505</v>
      </c>
      <c r="B13713">
        <v>10</v>
      </c>
      <c r="C13713">
        <v>417</v>
      </c>
      <c r="D13713">
        <v>453</v>
      </c>
      <c r="E13713">
        <v>1576879408</v>
      </c>
      <c r="F13713">
        <v>5314</v>
      </c>
      <c r="G13713">
        <v>0</v>
      </c>
      <c r="H13713" t="s">
        <v>18580</v>
      </c>
      <c r="I13713">
        <v>15505</v>
      </c>
      <c r="J13713" t="str">
        <f>VLOOKUP(E13713,DSSpieler!A:B,2,FALSE)</f>
        <v>chris3009</v>
      </c>
    </row>
    <row r="13714" spans="1:10" x14ac:dyDescent="0.25">
      <c r="A13714">
        <v>15506</v>
      </c>
      <c r="B13714" t="s">
        <v>2414</v>
      </c>
      <c r="C13714">
        <v>387</v>
      </c>
      <c r="D13714">
        <v>541</v>
      </c>
      <c r="E13714">
        <v>1577200135</v>
      </c>
      <c r="F13714">
        <v>2668</v>
      </c>
      <c r="G13714">
        <v>0</v>
      </c>
      <c r="H13714" t="s">
        <v>18581</v>
      </c>
      <c r="I13714">
        <v>15506</v>
      </c>
      <c r="J13714" t="str">
        <f>VLOOKUP(E13714,DSSpieler!A:B,2,FALSE)</f>
        <v>S1ckFlick</v>
      </c>
    </row>
    <row r="13715" spans="1:10" x14ac:dyDescent="0.25">
      <c r="A13715">
        <v>15507</v>
      </c>
      <c r="B13715" t="s">
        <v>531</v>
      </c>
      <c r="C13715">
        <v>405</v>
      </c>
      <c r="D13715">
        <v>426</v>
      </c>
      <c r="E13715">
        <v>0</v>
      </c>
      <c r="F13715">
        <v>743</v>
      </c>
      <c r="G13715">
        <v>0</v>
      </c>
      <c r="H13715" t="s">
        <v>18582</v>
      </c>
      <c r="I13715">
        <v>15507</v>
      </c>
      <c r="J13715" t="e">
        <f>VLOOKUP(E13715,DSSpieler!A:B,2,FALSE)</f>
        <v>#N/A</v>
      </c>
    </row>
    <row r="13716" spans="1:10" x14ac:dyDescent="0.25">
      <c r="A13716">
        <v>15508</v>
      </c>
      <c r="B13716" t="s">
        <v>35125</v>
      </c>
      <c r="C13716">
        <v>598</v>
      </c>
      <c r="D13716">
        <v>499</v>
      </c>
      <c r="E13716">
        <v>10186624</v>
      </c>
      <c r="F13716">
        <v>3915</v>
      </c>
      <c r="G13716">
        <v>0</v>
      </c>
      <c r="H13716" t="s">
        <v>18583</v>
      </c>
      <c r="I13716">
        <v>15508</v>
      </c>
      <c r="J13716" t="str">
        <f>VLOOKUP(E13716,DSSpieler!A:B,2,FALSE)</f>
        <v>luinaldo</v>
      </c>
    </row>
    <row r="13717" spans="1:10" x14ac:dyDescent="0.25">
      <c r="A13717">
        <v>15509</v>
      </c>
      <c r="B13717" t="s">
        <v>35126</v>
      </c>
      <c r="C13717">
        <v>414</v>
      </c>
      <c r="D13717">
        <v>463</v>
      </c>
      <c r="E13717">
        <v>1576742492</v>
      </c>
      <c r="F13717">
        <v>1991</v>
      </c>
      <c r="G13717">
        <v>0</v>
      </c>
      <c r="H13717" t="s">
        <v>18584</v>
      </c>
      <c r="I13717">
        <v>15509</v>
      </c>
      <c r="J13717" t="str">
        <f>VLOOKUP(E13717,DSSpieler!A:B,2,FALSE)</f>
        <v>Diegoslav</v>
      </c>
    </row>
    <row r="13718" spans="1:10" x14ac:dyDescent="0.25">
      <c r="A13718">
        <v>15511</v>
      </c>
      <c r="B13718" t="s">
        <v>531</v>
      </c>
      <c r="C13718">
        <v>380</v>
      </c>
      <c r="D13718">
        <v>486</v>
      </c>
      <c r="E13718">
        <v>0</v>
      </c>
      <c r="F13718">
        <v>163</v>
      </c>
      <c r="G13718">
        <v>0</v>
      </c>
      <c r="H13718" t="s">
        <v>18585</v>
      </c>
      <c r="I13718">
        <v>15511</v>
      </c>
      <c r="J13718" t="e">
        <f>VLOOKUP(E13718,DSSpieler!A:B,2,FALSE)</f>
        <v>#N/A</v>
      </c>
    </row>
    <row r="13719" spans="1:10" x14ac:dyDescent="0.25">
      <c r="A13719">
        <v>15512</v>
      </c>
      <c r="B13719" t="s">
        <v>531</v>
      </c>
      <c r="C13719">
        <v>586</v>
      </c>
      <c r="D13719">
        <v>585</v>
      </c>
      <c r="E13719">
        <v>0</v>
      </c>
      <c r="F13719">
        <v>132</v>
      </c>
      <c r="G13719">
        <v>0</v>
      </c>
      <c r="H13719" t="s">
        <v>18586</v>
      </c>
      <c r="I13719">
        <v>15512</v>
      </c>
      <c r="J13719" t="e">
        <f>VLOOKUP(E13719,DSSpieler!A:B,2,FALSE)</f>
        <v>#N/A</v>
      </c>
    </row>
    <row r="13720" spans="1:10" x14ac:dyDescent="0.25">
      <c r="A13720">
        <v>15513</v>
      </c>
      <c r="B13720" t="s">
        <v>531</v>
      </c>
      <c r="C13720">
        <v>618</v>
      </c>
      <c r="D13720">
        <v>487</v>
      </c>
      <c r="E13720">
        <v>0</v>
      </c>
      <c r="F13720">
        <v>350</v>
      </c>
      <c r="G13720">
        <v>0</v>
      </c>
      <c r="H13720" t="s">
        <v>18587</v>
      </c>
      <c r="I13720">
        <v>15513</v>
      </c>
      <c r="J13720" t="e">
        <f>VLOOKUP(E13720,DSSpieler!A:B,2,FALSE)</f>
        <v>#N/A</v>
      </c>
    </row>
    <row r="13721" spans="1:10" x14ac:dyDescent="0.25">
      <c r="A13721">
        <v>15514</v>
      </c>
      <c r="B13721" t="s">
        <v>35127</v>
      </c>
      <c r="C13721">
        <v>526</v>
      </c>
      <c r="D13721">
        <v>418</v>
      </c>
      <c r="E13721">
        <v>1577131626</v>
      </c>
      <c r="F13721">
        <v>2501</v>
      </c>
      <c r="G13721">
        <v>0</v>
      </c>
      <c r="H13721" t="s">
        <v>18588</v>
      </c>
      <c r="I13721">
        <v>15514</v>
      </c>
      <c r="J13721" t="str">
        <f>VLOOKUP(E13721,DSSpieler!A:B,2,FALSE)</f>
        <v>sins</v>
      </c>
    </row>
    <row r="13722" spans="1:10" x14ac:dyDescent="0.25">
      <c r="A13722">
        <v>15515</v>
      </c>
      <c r="B13722" t="s">
        <v>531</v>
      </c>
      <c r="C13722">
        <v>415</v>
      </c>
      <c r="D13722">
        <v>415</v>
      </c>
      <c r="E13722">
        <v>0</v>
      </c>
      <c r="F13722">
        <v>264</v>
      </c>
      <c r="G13722">
        <v>0</v>
      </c>
      <c r="H13722" t="s">
        <v>18589</v>
      </c>
      <c r="I13722">
        <v>15515</v>
      </c>
      <c r="J13722" t="e">
        <f>VLOOKUP(E13722,DSSpieler!A:B,2,FALSE)</f>
        <v>#N/A</v>
      </c>
    </row>
    <row r="13723" spans="1:10" x14ac:dyDescent="0.25">
      <c r="A13723">
        <v>15516</v>
      </c>
      <c r="B13723" t="s">
        <v>531</v>
      </c>
      <c r="C13723">
        <v>494</v>
      </c>
      <c r="D13723">
        <v>615</v>
      </c>
      <c r="E13723">
        <v>0</v>
      </c>
      <c r="F13723">
        <v>276</v>
      </c>
      <c r="G13723">
        <v>0</v>
      </c>
      <c r="H13723" t="s">
        <v>18590</v>
      </c>
      <c r="I13723">
        <v>15516</v>
      </c>
      <c r="J13723" t="e">
        <f>VLOOKUP(E13723,DSSpieler!A:B,2,FALSE)</f>
        <v>#N/A</v>
      </c>
    </row>
    <row r="13724" spans="1:10" x14ac:dyDescent="0.25">
      <c r="A13724">
        <v>15518</v>
      </c>
      <c r="B13724" t="s">
        <v>556</v>
      </c>
      <c r="C13724">
        <v>523</v>
      </c>
      <c r="D13724">
        <v>477</v>
      </c>
      <c r="E13724">
        <v>1577168732</v>
      </c>
      <c r="F13724">
        <v>3438</v>
      </c>
      <c r="G13724">
        <v>0</v>
      </c>
      <c r="H13724" t="s">
        <v>18591</v>
      </c>
      <c r="I13724">
        <v>15518</v>
      </c>
      <c r="J13724" t="str">
        <f>VLOOKUP(E13724,DSSpieler!A:B,2,FALSE)</f>
        <v>gcz025</v>
      </c>
    </row>
    <row r="13725" spans="1:10" x14ac:dyDescent="0.25">
      <c r="A13725">
        <v>15519</v>
      </c>
      <c r="B13725" t="s">
        <v>531</v>
      </c>
      <c r="C13725">
        <v>384</v>
      </c>
      <c r="D13725">
        <v>494</v>
      </c>
      <c r="E13725">
        <v>0</v>
      </c>
      <c r="F13725">
        <v>410</v>
      </c>
      <c r="G13725">
        <v>0</v>
      </c>
      <c r="H13725" t="s">
        <v>18592</v>
      </c>
      <c r="I13725">
        <v>15519</v>
      </c>
      <c r="J13725" t="e">
        <f>VLOOKUP(E13725,DSSpieler!A:B,2,FALSE)</f>
        <v>#N/A</v>
      </c>
    </row>
    <row r="13726" spans="1:10" x14ac:dyDescent="0.25">
      <c r="A13726">
        <v>15520</v>
      </c>
      <c r="B13726" t="s">
        <v>531</v>
      </c>
      <c r="C13726">
        <v>454</v>
      </c>
      <c r="D13726">
        <v>610</v>
      </c>
      <c r="E13726">
        <v>0</v>
      </c>
      <c r="F13726">
        <v>198</v>
      </c>
      <c r="G13726">
        <v>0</v>
      </c>
      <c r="H13726" t="s">
        <v>18593</v>
      </c>
      <c r="I13726">
        <v>15520</v>
      </c>
      <c r="J13726" t="e">
        <f>VLOOKUP(E13726,DSSpieler!A:B,2,FALSE)</f>
        <v>#N/A</v>
      </c>
    </row>
    <row r="13727" spans="1:10" x14ac:dyDescent="0.25">
      <c r="A13727">
        <v>15521</v>
      </c>
      <c r="B13727" t="s">
        <v>531</v>
      </c>
      <c r="C13727">
        <v>403</v>
      </c>
      <c r="D13727">
        <v>569</v>
      </c>
      <c r="E13727">
        <v>0</v>
      </c>
      <c r="F13727">
        <v>948</v>
      </c>
      <c r="G13727">
        <v>0</v>
      </c>
      <c r="H13727" t="s">
        <v>18594</v>
      </c>
      <c r="I13727">
        <v>15521</v>
      </c>
      <c r="J13727" t="e">
        <f>VLOOKUP(E13727,DSSpieler!A:B,2,FALSE)</f>
        <v>#N/A</v>
      </c>
    </row>
    <row r="13728" spans="1:10" x14ac:dyDescent="0.25">
      <c r="A13728">
        <v>15522</v>
      </c>
      <c r="B13728" t="s">
        <v>35128</v>
      </c>
      <c r="C13728">
        <v>525</v>
      </c>
      <c r="D13728">
        <v>543</v>
      </c>
      <c r="E13728">
        <v>1577086173</v>
      </c>
      <c r="F13728">
        <v>4439</v>
      </c>
      <c r="G13728">
        <v>0</v>
      </c>
      <c r="H13728" t="s">
        <v>18595</v>
      </c>
      <c r="I13728">
        <v>15522</v>
      </c>
      <c r="J13728" t="str">
        <f>VLOOKUP(E13728,DSSpieler!A:B,2,FALSE)</f>
        <v>Svobby</v>
      </c>
    </row>
    <row r="13729" spans="1:10" x14ac:dyDescent="0.25">
      <c r="A13729">
        <v>15523</v>
      </c>
      <c r="B13729" t="s">
        <v>35129</v>
      </c>
      <c r="C13729">
        <v>503</v>
      </c>
      <c r="D13729">
        <v>519</v>
      </c>
      <c r="E13729">
        <v>1230608</v>
      </c>
      <c r="F13729">
        <v>2306</v>
      </c>
      <c r="G13729">
        <v>0</v>
      </c>
      <c r="H13729" t="s">
        <v>18596</v>
      </c>
      <c r="I13729">
        <v>15523</v>
      </c>
      <c r="J13729" t="str">
        <f>VLOOKUP(E13729,DSSpieler!A:B,2,FALSE)</f>
        <v>jomag</v>
      </c>
    </row>
    <row r="13730" spans="1:10" x14ac:dyDescent="0.25">
      <c r="A13730">
        <v>15524</v>
      </c>
      <c r="B13730" t="s">
        <v>35130</v>
      </c>
      <c r="C13730">
        <v>386</v>
      </c>
      <c r="D13730">
        <v>470</v>
      </c>
      <c r="E13730">
        <v>9888987</v>
      </c>
      <c r="F13730">
        <v>3426</v>
      </c>
      <c r="G13730">
        <v>0</v>
      </c>
      <c r="H13730" t="s">
        <v>469</v>
      </c>
      <c r="I13730">
        <v>15524</v>
      </c>
      <c r="J13730" t="str">
        <f>VLOOKUP(E13730,DSSpieler!A:B,2,FALSE)</f>
        <v>KingGino1998</v>
      </c>
    </row>
    <row r="13731" spans="1:10" x14ac:dyDescent="0.25">
      <c r="A13731">
        <v>15527</v>
      </c>
      <c r="B13731" t="s">
        <v>531</v>
      </c>
      <c r="C13731">
        <v>417</v>
      </c>
      <c r="D13731">
        <v>588</v>
      </c>
      <c r="E13731">
        <v>0</v>
      </c>
      <c r="F13731">
        <v>225</v>
      </c>
      <c r="G13731">
        <v>0</v>
      </c>
      <c r="H13731" t="s">
        <v>18597</v>
      </c>
      <c r="I13731">
        <v>15527</v>
      </c>
      <c r="J13731" t="e">
        <f>VLOOKUP(E13731,DSSpieler!A:B,2,FALSE)</f>
        <v>#N/A</v>
      </c>
    </row>
    <row r="13732" spans="1:10" x14ac:dyDescent="0.25">
      <c r="A13732">
        <v>15528</v>
      </c>
      <c r="B13732" t="s">
        <v>531</v>
      </c>
      <c r="C13732">
        <v>454</v>
      </c>
      <c r="D13732">
        <v>393</v>
      </c>
      <c r="E13732">
        <v>0</v>
      </c>
      <c r="F13732">
        <v>177</v>
      </c>
      <c r="G13732">
        <v>0</v>
      </c>
      <c r="H13732" t="s">
        <v>18598</v>
      </c>
      <c r="I13732">
        <v>15528</v>
      </c>
      <c r="J13732" t="e">
        <f>VLOOKUP(E13732,DSSpieler!A:B,2,FALSE)</f>
        <v>#N/A</v>
      </c>
    </row>
    <row r="13733" spans="1:10" x14ac:dyDescent="0.25">
      <c r="A13733">
        <v>15529</v>
      </c>
      <c r="B13733" t="s">
        <v>35131</v>
      </c>
      <c r="C13733">
        <v>538</v>
      </c>
      <c r="D13733">
        <v>388</v>
      </c>
      <c r="E13733">
        <v>9380742</v>
      </c>
      <c r="F13733">
        <v>2743</v>
      </c>
      <c r="G13733">
        <v>0</v>
      </c>
      <c r="H13733" t="s">
        <v>18599</v>
      </c>
      <c r="I13733">
        <v>15529</v>
      </c>
      <c r="J13733" t="str">
        <f>VLOOKUP(E13733,DSSpieler!A:B,2,FALSE)</f>
        <v>PoStI94</v>
      </c>
    </row>
    <row r="13734" spans="1:10" x14ac:dyDescent="0.25">
      <c r="A13734">
        <v>15530</v>
      </c>
      <c r="B13734" t="s">
        <v>2415</v>
      </c>
      <c r="C13734">
        <v>530</v>
      </c>
      <c r="D13734">
        <v>419</v>
      </c>
      <c r="E13734">
        <v>3143028</v>
      </c>
      <c r="F13734">
        <v>2781</v>
      </c>
      <c r="G13734">
        <v>0</v>
      </c>
      <c r="H13734" t="s">
        <v>18600</v>
      </c>
      <c r="I13734">
        <v>15530</v>
      </c>
      <c r="J13734" t="str">
        <f>VLOOKUP(E13734,DSSpieler!A:B,2,FALSE)</f>
        <v>Tom Traitor</v>
      </c>
    </row>
    <row r="13735" spans="1:10" x14ac:dyDescent="0.25">
      <c r="A13735">
        <v>15531</v>
      </c>
      <c r="B13735" t="s">
        <v>531</v>
      </c>
      <c r="C13735">
        <v>609</v>
      </c>
      <c r="D13735">
        <v>538</v>
      </c>
      <c r="E13735">
        <v>0</v>
      </c>
      <c r="F13735">
        <v>302</v>
      </c>
      <c r="G13735">
        <v>0</v>
      </c>
      <c r="H13735" t="s">
        <v>18601</v>
      </c>
      <c r="I13735">
        <v>15531</v>
      </c>
      <c r="J13735" t="e">
        <f>VLOOKUP(E13735,DSSpieler!A:B,2,FALSE)</f>
        <v>#N/A</v>
      </c>
    </row>
    <row r="13736" spans="1:10" x14ac:dyDescent="0.25">
      <c r="A13736">
        <v>15532</v>
      </c>
      <c r="B13736" t="s">
        <v>531</v>
      </c>
      <c r="C13736">
        <v>434</v>
      </c>
      <c r="D13736">
        <v>598</v>
      </c>
      <c r="E13736">
        <v>0</v>
      </c>
      <c r="F13736">
        <v>187</v>
      </c>
      <c r="G13736">
        <v>0</v>
      </c>
      <c r="H13736" t="s">
        <v>18602</v>
      </c>
      <c r="I13736">
        <v>15532</v>
      </c>
      <c r="J13736" t="e">
        <f>VLOOKUP(E13736,DSSpieler!A:B,2,FALSE)</f>
        <v>#N/A</v>
      </c>
    </row>
    <row r="13737" spans="1:10" x14ac:dyDescent="0.25">
      <c r="A13737">
        <v>15533</v>
      </c>
      <c r="B13737" t="s">
        <v>34665</v>
      </c>
      <c r="C13737">
        <v>437</v>
      </c>
      <c r="D13737">
        <v>401</v>
      </c>
      <c r="E13737">
        <v>3055612</v>
      </c>
      <c r="F13737">
        <v>4801</v>
      </c>
      <c r="G13737">
        <v>0</v>
      </c>
      <c r="H13737" t="s">
        <v>18603</v>
      </c>
      <c r="I13737">
        <v>15533</v>
      </c>
      <c r="J13737" t="str">
        <f>VLOOKUP(E13737,DSSpieler!A:B,2,FALSE)</f>
        <v>ressus der I</v>
      </c>
    </row>
    <row r="13738" spans="1:10" x14ac:dyDescent="0.25">
      <c r="A13738">
        <v>15534</v>
      </c>
      <c r="B13738" t="s">
        <v>35132</v>
      </c>
      <c r="C13738">
        <v>403</v>
      </c>
      <c r="D13738">
        <v>570</v>
      </c>
      <c r="E13738">
        <v>1576133947</v>
      </c>
      <c r="F13738">
        <v>4272</v>
      </c>
      <c r="G13738">
        <v>0</v>
      </c>
      <c r="H13738" t="s">
        <v>18604</v>
      </c>
      <c r="I13738">
        <v>15534</v>
      </c>
      <c r="J13738" t="str">
        <f>VLOOKUP(E13738,DSSpieler!A:B,2,FALSE)</f>
        <v>DasHaze</v>
      </c>
    </row>
    <row r="13739" spans="1:10" x14ac:dyDescent="0.25">
      <c r="A13739">
        <v>15535</v>
      </c>
      <c r="B13739" t="s">
        <v>531</v>
      </c>
      <c r="C13739">
        <v>595</v>
      </c>
      <c r="D13739">
        <v>431</v>
      </c>
      <c r="E13739">
        <v>0</v>
      </c>
      <c r="F13739">
        <v>309</v>
      </c>
      <c r="G13739">
        <v>0</v>
      </c>
      <c r="H13739" t="s">
        <v>18605</v>
      </c>
      <c r="I13739">
        <v>15535</v>
      </c>
      <c r="J13739" t="e">
        <f>VLOOKUP(E13739,DSSpieler!A:B,2,FALSE)</f>
        <v>#N/A</v>
      </c>
    </row>
    <row r="13740" spans="1:10" x14ac:dyDescent="0.25">
      <c r="A13740">
        <v>15536</v>
      </c>
      <c r="B13740" t="s">
        <v>35133</v>
      </c>
      <c r="C13740">
        <v>600</v>
      </c>
      <c r="D13740">
        <v>561</v>
      </c>
      <c r="E13740">
        <v>1576971611</v>
      </c>
      <c r="F13740">
        <v>2124</v>
      </c>
      <c r="G13740">
        <v>0</v>
      </c>
      <c r="H13740" t="s">
        <v>18606</v>
      </c>
      <c r="I13740">
        <v>15536</v>
      </c>
      <c r="J13740" t="str">
        <f>VLOOKUP(E13740,DSSpieler!A:B,2,FALSE)</f>
        <v>Ben I do rechtig?</v>
      </c>
    </row>
    <row r="13741" spans="1:10" x14ac:dyDescent="0.25">
      <c r="A13741">
        <v>15537</v>
      </c>
      <c r="B13741" t="s">
        <v>35134</v>
      </c>
      <c r="C13741">
        <v>403</v>
      </c>
      <c r="D13741">
        <v>564</v>
      </c>
      <c r="E13741">
        <v>1577006207</v>
      </c>
      <c r="F13741">
        <v>1516</v>
      </c>
      <c r="G13741">
        <v>0</v>
      </c>
      <c r="H13741" t="s">
        <v>18607</v>
      </c>
      <c r="I13741">
        <v>15537</v>
      </c>
      <c r="J13741" t="str">
        <f>VLOOKUP(E13741,DSSpieler!A:B,2,FALSE)</f>
        <v>m.freemann</v>
      </c>
    </row>
    <row r="13742" spans="1:10" x14ac:dyDescent="0.25">
      <c r="A13742">
        <v>15538</v>
      </c>
      <c r="B13742" t="s">
        <v>2416</v>
      </c>
      <c r="C13742">
        <v>410</v>
      </c>
      <c r="D13742">
        <v>566</v>
      </c>
      <c r="E13742">
        <v>9058777</v>
      </c>
      <c r="F13742">
        <v>3297</v>
      </c>
      <c r="G13742">
        <v>0</v>
      </c>
      <c r="H13742" t="s">
        <v>18608</v>
      </c>
      <c r="I13742">
        <v>15538</v>
      </c>
      <c r="J13742" t="str">
        <f>VLOOKUP(E13742,DSSpieler!A:B,2,FALSE)</f>
        <v>ghlk15</v>
      </c>
    </row>
    <row r="13743" spans="1:10" x14ac:dyDescent="0.25">
      <c r="A13743">
        <v>15539</v>
      </c>
      <c r="B13743" t="s">
        <v>150</v>
      </c>
      <c r="C13743">
        <v>385</v>
      </c>
      <c r="D13743">
        <v>511</v>
      </c>
      <c r="E13743">
        <v>1577202552</v>
      </c>
      <c r="F13743">
        <v>5703</v>
      </c>
      <c r="G13743">
        <v>0</v>
      </c>
      <c r="H13743" t="s">
        <v>18609</v>
      </c>
      <c r="I13743">
        <v>15539</v>
      </c>
      <c r="J13743" t="str">
        <f>VLOOKUP(E13743,DSSpieler!A:B,2,FALSE)</f>
        <v>Kleiner Bruder</v>
      </c>
    </row>
    <row r="13744" spans="1:10" x14ac:dyDescent="0.25">
      <c r="A13744">
        <v>15540</v>
      </c>
      <c r="B13744" t="s">
        <v>35135</v>
      </c>
      <c r="C13744">
        <v>404</v>
      </c>
      <c r="D13744">
        <v>570</v>
      </c>
      <c r="E13744">
        <v>1576133947</v>
      </c>
      <c r="F13744">
        <v>4208</v>
      </c>
      <c r="G13744">
        <v>0</v>
      </c>
      <c r="H13744" t="s">
        <v>18610</v>
      </c>
      <c r="I13744">
        <v>15540</v>
      </c>
      <c r="J13744" t="str">
        <f>VLOOKUP(E13744,DSSpieler!A:B,2,FALSE)</f>
        <v>DasHaze</v>
      </c>
    </row>
    <row r="13745" spans="1:10" x14ac:dyDescent="0.25">
      <c r="A13745">
        <v>15541</v>
      </c>
      <c r="B13745" t="s">
        <v>35136</v>
      </c>
      <c r="C13745">
        <v>504</v>
      </c>
      <c r="D13745">
        <v>409</v>
      </c>
      <c r="E13745">
        <v>10109027</v>
      </c>
      <c r="F13745">
        <v>3293</v>
      </c>
      <c r="G13745">
        <v>0</v>
      </c>
      <c r="H13745" t="s">
        <v>18611</v>
      </c>
      <c r="I13745">
        <v>15541</v>
      </c>
      <c r="J13745" t="str">
        <f>VLOOKUP(E13745,DSSpieler!A:B,2,FALSE)</f>
        <v>Stifti97</v>
      </c>
    </row>
    <row r="13746" spans="1:10" x14ac:dyDescent="0.25">
      <c r="A13746">
        <v>15542</v>
      </c>
      <c r="B13746" t="s">
        <v>35137</v>
      </c>
      <c r="C13746">
        <v>521</v>
      </c>
      <c r="D13746">
        <v>619</v>
      </c>
      <c r="E13746">
        <v>1576103513</v>
      </c>
      <c r="F13746">
        <v>4220</v>
      </c>
      <c r="G13746">
        <v>0</v>
      </c>
      <c r="H13746" t="s">
        <v>18612</v>
      </c>
      <c r="I13746">
        <v>15542</v>
      </c>
      <c r="J13746" t="str">
        <f>VLOOKUP(E13746,DSSpieler!A:B,2,FALSE)</f>
        <v>imchen12</v>
      </c>
    </row>
    <row r="13747" spans="1:10" x14ac:dyDescent="0.25">
      <c r="A13747">
        <v>15543</v>
      </c>
      <c r="B13747" t="s">
        <v>35138</v>
      </c>
      <c r="C13747">
        <v>396</v>
      </c>
      <c r="D13747">
        <v>565</v>
      </c>
      <c r="E13747">
        <v>1997079</v>
      </c>
      <c r="F13747">
        <v>1988</v>
      </c>
      <c r="G13747">
        <v>0</v>
      </c>
      <c r="H13747" t="s">
        <v>18613</v>
      </c>
      <c r="I13747">
        <v>15543</v>
      </c>
      <c r="J13747" t="str">
        <f>VLOOKUP(E13747,DSSpieler!A:B,2,FALSE)</f>
        <v>Tell 10</v>
      </c>
    </row>
    <row r="13748" spans="1:10" x14ac:dyDescent="0.25">
      <c r="A13748">
        <v>15544</v>
      </c>
      <c r="B13748" t="e">
        <f>-Project+Yokohama-secret+Dorf</f>
        <v>#NAME?</v>
      </c>
      <c r="C13748">
        <v>402</v>
      </c>
      <c r="D13748">
        <v>570</v>
      </c>
      <c r="E13748">
        <v>1576175317</v>
      </c>
      <c r="F13748">
        <v>2164</v>
      </c>
      <c r="G13748">
        <v>0</v>
      </c>
      <c r="H13748" t="s">
        <v>18614</v>
      </c>
      <c r="I13748">
        <v>15544</v>
      </c>
      <c r="J13748" t="str">
        <f>VLOOKUP(E13748,DSSpieler!A:B,2,FALSE)</f>
        <v>-Project X-</v>
      </c>
    </row>
    <row r="13749" spans="1:10" x14ac:dyDescent="0.25">
      <c r="A13749">
        <v>15545</v>
      </c>
      <c r="B13749" t="s">
        <v>1269</v>
      </c>
      <c r="C13749">
        <v>412</v>
      </c>
      <c r="D13749">
        <v>573</v>
      </c>
      <c r="E13749">
        <v>1577202556</v>
      </c>
      <c r="F13749">
        <v>2172</v>
      </c>
      <c r="G13749">
        <v>0</v>
      </c>
      <c r="H13749" t="s">
        <v>18615</v>
      </c>
      <c r="I13749">
        <v>15545</v>
      </c>
      <c r="J13749" t="str">
        <f>VLOOKUP(E13749,DSSpieler!A:B,2,FALSE)</f>
        <v>D-Town</v>
      </c>
    </row>
    <row r="13750" spans="1:10" x14ac:dyDescent="0.25">
      <c r="A13750">
        <v>15546</v>
      </c>
      <c r="B13750" t="s">
        <v>531</v>
      </c>
      <c r="C13750">
        <v>389</v>
      </c>
      <c r="D13750">
        <v>548</v>
      </c>
      <c r="E13750">
        <v>0</v>
      </c>
      <c r="F13750">
        <v>875</v>
      </c>
      <c r="G13750">
        <v>0</v>
      </c>
      <c r="H13750" t="s">
        <v>18616</v>
      </c>
      <c r="I13750">
        <v>15546</v>
      </c>
      <c r="J13750" t="e">
        <f>VLOOKUP(E13750,DSSpieler!A:B,2,FALSE)</f>
        <v>#N/A</v>
      </c>
    </row>
    <row r="13751" spans="1:10" x14ac:dyDescent="0.25">
      <c r="A13751">
        <v>15547</v>
      </c>
      <c r="B13751" t="s">
        <v>531</v>
      </c>
      <c r="C13751">
        <v>414</v>
      </c>
      <c r="D13751">
        <v>578</v>
      </c>
      <c r="E13751">
        <v>0</v>
      </c>
      <c r="F13751">
        <v>114</v>
      </c>
      <c r="G13751">
        <v>0</v>
      </c>
      <c r="H13751" t="s">
        <v>18617</v>
      </c>
      <c r="I13751">
        <v>15547</v>
      </c>
      <c r="J13751" t="e">
        <f>VLOOKUP(E13751,DSSpieler!A:B,2,FALSE)</f>
        <v>#N/A</v>
      </c>
    </row>
    <row r="13752" spans="1:10" x14ac:dyDescent="0.25">
      <c r="A13752">
        <v>15548</v>
      </c>
      <c r="B13752" t="s">
        <v>660</v>
      </c>
      <c r="C13752">
        <v>383</v>
      </c>
      <c r="D13752">
        <v>501</v>
      </c>
      <c r="E13752">
        <v>1576430467</v>
      </c>
      <c r="F13752">
        <v>2067</v>
      </c>
      <c r="G13752">
        <v>0</v>
      </c>
      <c r="H13752" t="s">
        <v>18618</v>
      </c>
      <c r="I13752">
        <v>15548</v>
      </c>
      <c r="J13752" t="str">
        <f>VLOOKUP(E13752,DSSpieler!A:B,2,FALSE)</f>
        <v>KingPin301</v>
      </c>
    </row>
    <row r="13753" spans="1:10" x14ac:dyDescent="0.25">
      <c r="A13753">
        <v>15549</v>
      </c>
      <c r="B13753" t="s">
        <v>31619</v>
      </c>
      <c r="C13753">
        <v>516</v>
      </c>
      <c r="D13753">
        <v>418</v>
      </c>
      <c r="E13753">
        <v>1577197561</v>
      </c>
      <c r="F13753">
        <v>5167</v>
      </c>
      <c r="G13753">
        <v>0</v>
      </c>
      <c r="H13753" t="s">
        <v>18619</v>
      </c>
      <c r="I13753">
        <v>15549</v>
      </c>
      <c r="J13753" t="str">
        <f>VLOOKUP(E13753,DSSpieler!A:B,2,FALSE)</f>
        <v>Tim Traitor</v>
      </c>
    </row>
    <row r="13754" spans="1:10" x14ac:dyDescent="0.25">
      <c r="A13754">
        <v>15550</v>
      </c>
      <c r="B13754" t="s">
        <v>35139</v>
      </c>
      <c r="C13754">
        <v>381</v>
      </c>
      <c r="D13754">
        <v>507</v>
      </c>
      <c r="E13754">
        <v>1577202446</v>
      </c>
      <c r="F13754">
        <v>1718</v>
      </c>
      <c r="G13754">
        <v>0</v>
      </c>
      <c r="H13754" t="s">
        <v>18620</v>
      </c>
      <c r="I13754">
        <v>15550</v>
      </c>
      <c r="J13754" t="str">
        <f>VLOOKUP(E13754,DSSpieler!A:B,2,FALSE)</f>
        <v>L36abc</v>
      </c>
    </row>
    <row r="13755" spans="1:10" x14ac:dyDescent="0.25">
      <c r="A13755">
        <v>15551</v>
      </c>
      <c r="B13755" t="s">
        <v>35140</v>
      </c>
      <c r="C13755">
        <v>532</v>
      </c>
      <c r="D13755">
        <v>387</v>
      </c>
      <c r="E13755">
        <v>1577188381</v>
      </c>
      <c r="F13755">
        <v>2596</v>
      </c>
      <c r="G13755">
        <v>0</v>
      </c>
      <c r="H13755" t="s">
        <v>18621</v>
      </c>
      <c r="I13755">
        <v>15551</v>
      </c>
      <c r="J13755" t="str">
        <f>VLOOKUP(E13755,DSSpieler!A:B,2,FALSE)</f>
        <v>Alum578</v>
      </c>
    </row>
    <row r="13756" spans="1:10" x14ac:dyDescent="0.25">
      <c r="A13756">
        <v>15552</v>
      </c>
      <c r="B13756" t="s">
        <v>2417</v>
      </c>
      <c r="C13756">
        <v>510</v>
      </c>
      <c r="D13756">
        <v>380</v>
      </c>
      <c r="E13756">
        <v>1202637</v>
      </c>
      <c r="F13756">
        <v>5339</v>
      </c>
      <c r="G13756">
        <v>0</v>
      </c>
      <c r="H13756" t="s">
        <v>18622</v>
      </c>
      <c r="I13756">
        <v>15552</v>
      </c>
      <c r="J13756" t="str">
        <f>VLOOKUP(E13756,DSSpieler!A:B,2,FALSE)</f>
        <v>Motfahrer</v>
      </c>
    </row>
    <row r="13757" spans="1:10" x14ac:dyDescent="0.25">
      <c r="A13757">
        <v>15553</v>
      </c>
      <c r="B13757" t="s">
        <v>531</v>
      </c>
      <c r="C13757">
        <v>499</v>
      </c>
      <c r="D13757">
        <v>621</v>
      </c>
      <c r="E13757">
        <v>0</v>
      </c>
      <c r="F13757">
        <v>116</v>
      </c>
      <c r="G13757">
        <v>0</v>
      </c>
      <c r="H13757" t="s">
        <v>18623</v>
      </c>
      <c r="I13757">
        <v>15553</v>
      </c>
      <c r="J13757" t="e">
        <f>VLOOKUP(E13757,DSSpieler!A:B,2,FALSE)</f>
        <v>#N/A</v>
      </c>
    </row>
    <row r="13758" spans="1:10" x14ac:dyDescent="0.25">
      <c r="A13758">
        <v>15554</v>
      </c>
      <c r="B13758" t="s">
        <v>531</v>
      </c>
      <c r="C13758">
        <v>395</v>
      </c>
      <c r="D13758">
        <v>551</v>
      </c>
      <c r="E13758">
        <v>0</v>
      </c>
      <c r="F13758">
        <v>238</v>
      </c>
      <c r="G13758">
        <v>0</v>
      </c>
      <c r="H13758" t="s">
        <v>18624</v>
      </c>
      <c r="I13758">
        <v>15554</v>
      </c>
      <c r="J13758" t="e">
        <f>VLOOKUP(E13758,DSSpieler!A:B,2,FALSE)</f>
        <v>#N/A</v>
      </c>
    </row>
    <row r="13759" spans="1:10" x14ac:dyDescent="0.25">
      <c r="A13759">
        <v>15556</v>
      </c>
      <c r="B13759" t="s">
        <v>35141</v>
      </c>
      <c r="C13759">
        <v>464</v>
      </c>
      <c r="D13759">
        <v>407</v>
      </c>
      <c r="E13759">
        <v>1577202568</v>
      </c>
      <c r="F13759">
        <v>2549</v>
      </c>
      <c r="G13759">
        <v>0</v>
      </c>
      <c r="H13759" t="s">
        <v>18625</v>
      </c>
      <c r="I13759">
        <v>15556</v>
      </c>
      <c r="J13759" t="str">
        <f>VLOOKUP(E13759,DSSpieler!A:B,2,FALSE)</f>
        <v>FimbultyrOdin</v>
      </c>
    </row>
    <row r="13760" spans="1:10" x14ac:dyDescent="0.25">
      <c r="A13760">
        <v>15558</v>
      </c>
      <c r="B13760" t="s">
        <v>35142</v>
      </c>
      <c r="C13760">
        <v>475</v>
      </c>
      <c r="D13760">
        <v>552</v>
      </c>
      <c r="E13760">
        <v>8707637</v>
      </c>
      <c r="F13760">
        <v>1678</v>
      </c>
      <c r="G13760">
        <v>0</v>
      </c>
      <c r="H13760" t="s">
        <v>18626</v>
      </c>
      <c r="I13760">
        <v>15558</v>
      </c>
      <c r="J13760" t="str">
        <f>VLOOKUP(E13760,DSSpieler!A:B,2,FALSE)</f>
        <v>Surtic09</v>
      </c>
    </row>
    <row r="13761" spans="1:10" x14ac:dyDescent="0.25">
      <c r="A13761">
        <v>15560</v>
      </c>
      <c r="B13761" t="s">
        <v>531</v>
      </c>
      <c r="C13761">
        <v>526</v>
      </c>
      <c r="D13761">
        <v>382</v>
      </c>
      <c r="E13761">
        <v>0</v>
      </c>
      <c r="F13761">
        <v>139</v>
      </c>
      <c r="G13761">
        <v>0</v>
      </c>
      <c r="H13761" t="s">
        <v>18627</v>
      </c>
      <c r="I13761">
        <v>15560</v>
      </c>
      <c r="J13761" t="e">
        <f>VLOOKUP(E13761,DSSpieler!A:B,2,FALSE)</f>
        <v>#N/A</v>
      </c>
    </row>
    <row r="13762" spans="1:10" x14ac:dyDescent="0.25">
      <c r="A13762">
        <v>15561</v>
      </c>
      <c r="B13762" t="s">
        <v>35143</v>
      </c>
      <c r="C13762">
        <v>610</v>
      </c>
      <c r="D13762">
        <v>554</v>
      </c>
      <c r="E13762">
        <v>1576659054</v>
      </c>
      <c r="F13762">
        <v>4938</v>
      </c>
      <c r="G13762">
        <v>0</v>
      </c>
      <c r="H13762" t="s">
        <v>18628</v>
      </c>
      <c r="I13762">
        <v>15561</v>
      </c>
      <c r="J13762" t="str">
        <f>VLOOKUP(E13762,DSSpieler!A:B,2,FALSE)</f>
        <v>Tenue korrigiere</v>
      </c>
    </row>
    <row r="13763" spans="1:10" x14ac:dyDescent="0.25">
      <c r="A13763">
        <v>15562</v>
      </c>
      <c r="B13763" t="s">
        <v>531</v>
      </c>
      <c r="C13763">
        <v>382</v>
      </c>
      <c r="D13763">
        <v>519</v>
      </c>
      <c r="E13763">
        <v>0</v>
      </c>
      <c r="F13763">
        <v>96</v>
      </c>
      <c r="G13763">
        <v>0</v>
      </c>
      <c r="H13763" t="s">
        <v>18629</v>
      </c>
      <c r="I13763">
        <v>15562</v>
      </c>
      <c r="J13763" t="e">
        <f>VLOOKUP(E13763,DSSpieler!A:B,2,FALSE)</f>
        <v>#N/A</v>
      </c>
    </row>
    <row r="13764" spans="1:10" x14ac:dyDescent="0.25">
      <c r="A13764">
        <v>15563</v>
      </c>
      <c r="B13764" t="s">
        <v>30591</v>
      </c>
      <c r="C13764">
        <v>407</v>
      </c>
      <c r="D13764">
        <v>424</v>
      </c>
      <c r="E13764">
        <v>7867799</v>
      </c>
      <c r="F13764">
        <v>2548</v>
      </c>
      <c r="G13764">
        <v>0</v>
      </c>
      <c r="H13764" t="s">
        <v>18630</v>
      </c>
      <c r="I13764">
        <v>15563</v>
      </c>
      <c r="J13764" t="str">
        <f>VLOOKUP(E13764,DSSpieler!A:B,2,FALSE)</f>
        <v>rachus</v>
      </c>
    </row>
    <row r="13765" spans="1:10" x14ac:dyDescent="0.25">
      <c r="A13765">
        <v>15566</v>
      </c>
      <c r="B13765" t="s">
        <v>531</v>
      </c>
      <c r="C13765">
        <v>581</v>
      </c>
      <c r="D13765">
        <v>414</v>
      </c>
      <c r="E13765">
        <v>0</v>
      </c>
      <c r="F13765">
        <v>105</v>
      </c>
      <c r="G13765">
        <v>0</v>
      </c>
      <c r="H13765" t="s">
        <v>18631</v>
      </c>
      <c r="I13765">
        <v>15566</v>
      </c>
      <c r="J13765" t="e">
        <f>VLOOKUP(E13765,DSSpieler!A:B,2,FALSE)</f>
        <v>#N/A</v>
      </c>
    </row>
    <row r="13766" spans="1:10" x14ac:dyDescent="0.25">
      <c r="A13766">
        <v>15567</v>
      </c>
      <c r="B13766">
        <v>3</v>
      </c>
      <c r="C13766">
        <v>507</v>
      </c>
      <c r="D13766">
        <v>490</v>
      </c>
      <c r="E13766">
        <v>1576879196</v>
      </c>
      <c r="F13766">
        <v>4200</v>
      </c>
      <c r="G13766">
        <v>0</v>
      </c>
      <c r="H13766" t="s">
        <v>18632</v>
      </c>
      <c r="I13766">
        <v>15567</v>
      </c>
      <c r="J13766" t="str">
        <f>VLOOKUP(E13766,DSSpieler!A:B,2,FALSE)</f>
        <v>Grünkohl90</v>
      </c>
    </row>
    <row r="13767" spans="1:10" x14ac:dyDescent="0.25">
      <c r="A13767">
        <v>15568</v>
      </c>
      <c r="B13767" t="s">
        <v>531</v>
      </c>
      <c r="C13767">
        <v>606</v>
      </c>
      <c r="D13767">
        <v>448</v>
      </c>
      <c r="E13767">
        <v>0</v>
      </c>
      <c r="F13767">
        <v>123</v>
      </c>
      <c r="G13767">
        <v>0</v>
      </c>
      <c r="H13767" t="s">
        <v>18633</v>
      </c>
      <c r="I13767">
        <v>15568</v>
      </c>
      <c r="J13767" t="e">
        <f>VLOOKUP(E13767,DSSpieler!A:B,2,FALSE)</f>
        <v>#N/A</v>
      </c>
    </row>
    <row r="13768" spans="1:10" x14ac:dyDescent="0.25">
      <c r="A13768">
        <v>15569</v>
      </c>
      <c r="B13768" t="s">
        <v>531</v>
      </c>
      <c r="C13768">
        <v>599</v>
      </c>
      <c r="D13768">
        <v>567</v>
      </c>
      <c r="E13768">
        <v>0</v>
      </c>
      <c r="F13768">
        <v>158</v>
      </c>
      <c r="G13768">
        <v>0</v>
      </c>
      <c r="H13768" t="s">
        <v>18634</v>
      </c>
      <c r="I13768">
        <v>15569</v>
      </c>
      <c r="J13768" t="e">
        <f>VLOOKUP(E13768,DSSpieler!A:B,2,FALSE)</f>
        <v>#N/A</v>
      </c>
    </row>
    <row r="13769" spans="1:10" x14ac:dyDescent="0.25">
      <c r="A13769">
        <v>15570</v>
      </c>
      <c r="B13769" t="s">
        <v>35144</v>
      </c>
      <c r="C13769">
        <v>400</v>
      </c>
      <c r="D13769">
        <v>544</v>
      </c>
      <c r="E13769">
        <v>1577039544</v>
      </c>
      <c r="F13769">
        <v>1185</v>
      </c>
      <c r="G13769">
        <v>0</v>
      </c>
      <c r="H13769" t="s">
        <v>18635</v>
      </c>
      <c r="I13769">
        <v>15570</v>
      </c>
      <c r="J13769" t="str">
        <f>VLOOKUP(E13769,DSSpieler!A:B,2,FALSE)</f>
        <v>Konexxx</v>
      </c>
    </row>
    <row r="13770" spans="1:10" x14ac:dyDescent="0.25">
      <c r="A13770">
        <v>15571</v>
      </c>
      <c r="B13770" t="s">
        <v>531</v>
      </c>
      <c r="C13770">
        <v>457</v>
      </c>
      <c r="D13770">
        <v>391</v>
      </c>
      <c r="E13770">
        <v>0</v>
      </c>
      <c r="F13770">
        <v>537</v>
      </c>
      <c r="G13770">
        <v>0</v>
      </c>
      <c r="H13770" t="s">
        <v>18636</v>
      </c>
      <c r="I13770">
        <v>15571</v>
      </c>
      <c r="J13770" t="e">
        <f>VLOOKUP(E13770,DSSpieler!A:B,2,FALSE)</f>
        <v>#N/A</v>
      </c>
    </row>
    <row r="13771" spans="1:10" x14ac:dyDescent="0.25">
      <c r="A13771">
        <v>15574</v>
      </c>
      <c r="B13771" t="s">
        <v>35145</v>
      </c>
      <c r="C13771">
        <v>430</v>
      </c>
      <c r="D13771">
        <v>424</v>
      </c>
      <c r="E13771">
        <v>1575911462</v>
      </c>
      <c r="F13771">
        <v>4951</v>
      </c>
      <c r="G13771">
        <v>0</v>
      </c>
      <c r="H13771" t="s">
        <v>18637</v>
      </c>
      <c r="I13771">
        <v>15574</v>
      </c>
      <c r="J13771" t="str">
        <f>VLOOKUP(E13771,DSSpieler!A:B,2,FALSE)</f>
        <v>killtecs</v>
      </c>
    </row>
    <row r="13772" spans="1:10" x14ac:dyDescent="0.25">
      <c r="A13772">
        <v>15575</v>
      </c>
      <c r="B13772" t="s">
        <v>35146</v>
      </c>
      <c r="C13772">
        <v>612</v>
      </c>
      <c r="D13772">
        <v>465</v>
      </c>
      <c r="E13772">
        <v>1576802900</v>
      </c>
      <c r="F13772">
        <v>186</v>
      </c>
      <c r="G13772">
        <v>0</v>
      </c>
      <c r="H13772" t="s">
        <v>18638</v>
      </c>
      <c r="I13772">
        <v>15575</v>
      </c>
      <c r="J13772" t="str">
        <f>VLOOKUP(E13772,DSSpieler!A:B,2,FALSE)</f>
        <v>Heineken909</v>
      </c>
    </row>
    <row r="13773" spans="1:10" x14ac:dyDescent="0.25">
      <c r="A13773">
        <v>15576</v>
      </c>
      <c r="B13773" t="s">
        <v>35147</v>
      </c>
      <c r="C13773">
        <v>610</v>
      </c>
      <c r="D13773">
        <v>469</v>
      </c>
      <c r="E13773">
        <v>9757149</v>
      </c>
      <c r="F13773">
        <v>514</v>
      </c>
      <c r="G13773">
        <v>0</v>
      </c>
      <c r="H13773" t="s">
        <v>18639</v>
      </c>
      <c r="I13773">
        <v>15576</v>
      </c>
      <c r="J13773" t="str">
        <f>VLOOKUP(E13773,DSSpieler!A:B,2,FALSE)</f>
        <v>toxic*vision</v>
      </c>
    </row>
    <row r="13774" spans="1:10" x14ac:dyDescent="0.25">
      <c r="A13774">
        <v>15577</v>
      </c>
      <c r="B13774" t="s">
        <v>2418</v>
      </c>
      <c r="C13774">
        <v>616</v>
      </c>
      <c r="D13774">
        <v>535</v>
      </c>
      <c r="E13774">
        <v>1576679949</v>
      </c>
      <c r="F13774">
        <v>362</v>
      </c>
      <c r="G13774">
        <v>0</v>
      </c>
      <c r="H13774" t="s">
        <v>18640</v>
      </c>
      <c r="I13774">
        <v>15577</v>
      </c>
      <c r="J13774" t="str">
        <f>VLOOKUP(E13774,DSSpieler!A:B,2,FALSE)</f>
        <v>ashalion</v>
      </c>
    </row>
    <row r="13775" spans="1:10" x14ac:dyDescent="0.25">
      <c r="A13775">
        <v>15578</v>
      </c>
      <c r="B13775" t="s">
        <v>531</v>
      </c>
      <c r="C13775">
        <v>615</v>
      </c>
      <c r="D13775">
        <v>474</v>
      </c>
      <c r="E13775">
        <v>0</v>
      </c>
      <c r="F13775">
        <v>419</v>
      </c>
      <c r="G13775">
        <v>0</v>
      </c>
      <c r="H13775" t="s">
        <v>18641</v>
      </c>
      <c r="I13775">
        <v>15578</v>
      </c>
      <c r="J13775" t="e">
        <f>VLOOKUP(E13775,DSSpieler!A:B,2,FALSE)</f>
        <v>#N/A</v>
      </c>
    </row>
    <row r="13776" spans="1:10" x14ac:dyDescent="0.25">
      <c r="A13776">
        <v>15579</v>
      </c>
      <c r="B13776" t="s">
        <v>531</v>
      </c>
      <c r="C13776">
        <v>447</v>
      </c>
      <c r="D13776">
        <v>608</v>
      </c>
      <c r="E13776">
        <v>0</v>
      </c>
      <c r="F13776">
        <v>277</v>
      </c>
      <c r="G13776">
        <v>0</v>
      </c>
      <c r="H13776" t="s">
        <v>18642</v>
      </c>
      <c r="I13776">
        <v>15579</v>
      </c>
      <c r="J13776" t="e">
        <f>VLOOKUP(E13776,DSSpieler!A:B,2,FALSE)</f>
        <v>#N/A</v>
      </c>
    </row>
    <row r="13777" spans="1:10" x14ac:dyDescent="0.25">
      <c r="A13777">
        <v>15580</v>
      </c>
      <c r="B13777" t="s">
        <v>531</v>
      </c>
      <c r="C13777">
        <v>433</v>
      </c>
      <c r="D13777">
        <v>400</v>
      </c>
      <c r="E13777">
        <v>0</v>
      </c>
      <c r="F13777">
        <v>340</v>
      </c>
      <c r="G13777">
        <v>0</v>
      </c>
      <c r="H13777" t="s">
        <v>18643</v>
      </c>
      <c r="I13777">
        <v>15580</v>
      </c>
      <c r="J13777" t="e">
        <f>VLOOKUP(E13777,DSSpieler!A:B,2,FALSE)</f>
        <v>#N/A</v>
      </c>
    </row>
    <row r="13778" spans="1:10" x14ac:dyDescent="0.25">
      <c r="A13778">
        <v>15581</v>
      </c>
      <c r="B13778" t="s">
        <v>531</v>
      </c>
      <c r="C13778">
        <v>618</v>
      </c>
      <c r="D13778">
        <v>523</v>
      </c>
      <c r="E13778">
        <v>0</v>
      </c>
      <c r="F13778">
        <v>293</v>
      </c>
      <c r="G13778">
        <v>0</v>
      </c>
      <c r="H13778" t="s">
        <v>18644</v>
      </c>
      <c r="I13778">
        <v>15581</v>
      </c>
      <c r="J13778" t="e">
        <f>VLOOKUP(E13778,DSSpieler!A:B,2,FALSE)</f>
        <v>#N/A</v>
      </c>
    </row>
    <row r="13779" spans="1:10" x14ac:dyDescent="0.25">
      <c r="A13779">
        <v>15582</v>
      </c>
      <c r="B13779" t="s">
        <v>35148</v>
      </c>
      <c r="C13779">
        <v>614</v>
      </c>
      <c r="D13779">
        <v>470</v>
      </c>
      <c r="E13779">
        <v>1577195981</v>
      </c>
      <c r="F13779">
        <v>1430</v>
      </c>
      <c r="G13779">
        <v>0</v>
      </c>
      <c r="H13779" t="s">
        <v>18645</v>
      </c>
      <c r="I13779">
        <v>15582</v>
      </c>
      <c r="J13779" t="str">
        <f>VLOOKUP(E13779,DSSpieler!A:B,2,FALSE)</f>
        <v>Törtchen</v>
      </c>
    </row>
    <row r="13780" spans="1:10" x14ac:dyDescent="0.25">
      <c r="A13780">
        <v>15583</v>
      </c>
      <c r="B13780" t="s">
        <v>531</v>
      </c>
      <c r="C13780">
        <v>599</v>
      </c>
      <c r="D13780">
        <v>563</v>
      </c>
      <c r="E13780">
        <v>0</v>
      </c>
      <c r="F13780">
        <v>245</v>
      </c>
      <c r="G13780">
        <v>0</v>
      </c>
      <c r="H13780" t="s">
        <v>18646</v>
      </c>
      <c r="I13780">
        <v>15583</v>
      </c>
      <c r="J13780" t="e">
        <f>VLOOKUP(E13780,DSSpieler!A:B,2,FALSE)</f>
        <v>#N/A</v>
      </c>
    </row>
    <row r="13781" spans="1:10" x14ac:dyDescent="0.25">
      <c r="A13781">
        <v>15584</v>
      </c>
      <c r="B13781" t="s">
        <v>35149</v>
      </c>
      <c r="C13781">
        <v>419</v>
      </c>
      <c r="D13781">
        <v>587</v>
      </c>
      <c r="E13781">
        <v>1577131966</v>
      </c>
      <c r="F13781">
        <v>255</v>
      </c>
      <c r="G13781">
        <v>0</v>
      </c>
      <c r="H13781" t="s">
        <v>18647</v>
      </c>
      <c r="I13781">
        <v>15584</v>
      </c>
      <c r="J13781" t="str">
        <f>VLOOKUP(E13781,DSSpieler!A:B,2,FALSE)</f>
        <v>seu-madruga</v>
      </c>
    </row>
    <row r="13782" spans="1:10" x14ac:dyDescent="0.25">
      <c r="A13782">
        <v>15585</v>
      </c>
      <c r="B13782" t="s">
        <v>531</v>
      </c>
      <c r="C13782">
        <v>577</v>
      </c>
      <c r="D13782">
        <v>409</v>
      </c>
      <c r="E13782">
        <v>0</v>
      </c>
      <c r="F13782">
        <v>116</v>
      </c>
      <c r="G13782">
        <v>0</v>
      </c>
      <c r="H13782" t="s">
        <v>18648</v>
      </c>
      <c r="I13782">
        <v>15585</v>
      </c>
      <c r="J13782" t="e">
        <f>VLOOKUP(E13782,DSSpieler!A:B,2,FALSE)</f>
        <v>#N/A</v>
      </c>
    </row>
    <row r="13783" spans="1:10" x14ac:dyDescent="0.25">
      <c r="A13783">
        <v>15586</v>
      </c>
      <c r="B13783" t="s">
        <v>35150</v>
      </c>
      <c r="C13783">
        <v>590</v>
      </c>
      <c r="D13783">
        <v>421</v>
      </c>
      <c r="E13783">
        <v>1577200305</v>
      </c>
      <c r="F13783">
        <v>3162</v>
      </c>
      <c r="G13783">
        <v>0</v>
      </c>
      <c r="H13783" t="s">
        <v>18649</v>
      </c>
      <c r="I13783">
        <v>15586</v>
      </c>
      <c r="J13783" t="str">
        <f>VLOOKUP(E13783,DSSpieler!A:B,2,FALSE)</f>
        <v>Dat Lisbett</v>
      </c>
    </row>
    <row r="13784" spans="1:10" x14ac:dyDescent="0.25">
      <c r="A13784">
        <v>15587</v>
      </c>
      <c r="B13784">
        <v>333</v>
      </c>
      <c r="C13784">
        <v>608</v>
      </c>
      <c r="D13784">
        <v>448</v>
      </c>
      <c r="E13784">
        <v>1577187246</v>
      </c>
      <c r="F13784">
        <v>988</v>
      </c>
      <c r="G13784">
        <v>0</v>
      </c>
      <c r="H13784" t="s">
        <v>18650</v>
      </c>
      <c r="I13784">
        <v>15587</v>
      </c>
      <c r="J13784" t="str">
        <f>VLOOKUP(E13784,DSSpieler!A:B,2,FALSE)</f>
        <v>alteeer</v>
      </c>
    </row>
    <row r="13785" spans="1:10" x14ac:dyDescent="0.25">
      <c r="A13785">
        <v>15588</v>
      </c>
      <c r="B13785" t="s">
        <v>531</v>
      </c>
      <c r="C13785">
        <v>402</v>
      </c>
      <c r="D13785">
        <v>564</v>
      </c>
      <c r="E13785">
        <v>0</v>
      </c>
      <c r="F13785">
        <v>695</v>
      </c>
      <c r="G13785">
        <v>0</v>
      </c>
      <c r="H13785" t="s">
        <v>18651</v>
      </c>
      <c r="I13785">
        <v>15588</v>
      </c>
      <c r="J13785" t="e">
        <f>VLOOKUP(E13785,DSSpieler!A:B,2,FALSE)</f>
        <v>#N/A</v>
      </c>
    </row>
    <row r="13786" spans="1:10" x14ac:dyDescent="0.25">
      <c r="A13786">
        <v>15589</v>
      </c>
      <c r="B13786" t="s">
        <v>35151</v>
      </c>
      <c r="C13786">
        <v>399</v>
      </c>
      <c r="D13786">
        <v>559</v>
      </c>
      <c r="E13786">
        <v>8064569</v>
      </c>
      <c r="F13786">
        <v>3059</v>
      </c>
      <c r="G13786">
        <v>0</v>
      </c>
      <c r="H13786" t="s">
        <v>18652</v>
      </c>
      <c r="I13786">
        <v>15589</v>
      </c>
      <c r="J13786" t="str">
        <f>VLOOKUP(E13786,DSSpieler!A:B,2,FALSE)</f>
        <v>DasZombieJo</v>
      </c>
    </row>
    <row r="13787" spans="1:10" x14ac:dyDescent="0.25">
      <c r="A13787">
        <v>15591</v>
      </c>
      <c r="B13787" t="s">
        <v>35152</v>
      </c>
      <c r="C13787">
        <v>432</v>
      </c>
      <c r="D13787">
        <v>600</v>
      </c>
      <c r="E13787">
        <v>1577164925</v>
      </c>
      <c r="F13787">
        <v>276</v>
      </c>
      <c r="G13787">
        <v>0</v>
      </c>
      <c r="H13787" t="s">
        <v>18653</v>
      </c>
      <c r="I13787">
        <v>15591</v>
      </c>
      <c r="J13787" t="str">
        <f>VLOOKUP(E13787,DSSpieler!A:B,2,FALSE)</f>
        <v>Simonika</v>
      </c>
    </row>
    <row r="13788" spans="1:10" x14ac:dyDescent="0.25">
      <c r="A13788">
        <v>15592</v>
      </c>
      <c r="B13788" t="s">
        <v>531</v>
      </c>
      <c r="C13788">
        <v>382</v>
      </c>
      <c r="D13788">
        <v>479</v>
      </c>
      <c r="E13788">
        <v>0</v>
      </c>
      <c r="F13788">
        <v>139</v>
      </c>
      <c r="G13788">
        <v>0</v>
      </c>
      <c r="H13788" t="s">
        <v>18654</v>
      </c>
      <c r="I13788">
        <v>15592</v>
      </c>
      <c r="J13788" t="e">
        <f>VLOOKUP(E13788,DSSpieler!A:B,2,FALSE)</f>
        <v>#N/A</v>
      </c>
    </row>
    <row r="13789" spans="1:10" x14ac:dyDescent="0.25">
      <c r="A13789">
        <v>15593</v>
      </c>
      <c r="B13789" t="s">
        <v>35153</v>
      </c>
      <c r="C13789">
        <v>576</v>
      </c>
      <c r="D13789">
        <v>581</v>
      </c>
      <c r="E13789">
        <v>1577123140</v>
      </c>
      <c r="F13789">
        <v>2629</v>
      </c>
      <c r="G13789">
        <v>0</v>
      </c>
      <c r="H13789" t="s">
        <v>18655</v>
      </c>
      <c r="I13789">
        <v>15593</v>
      </c>
      <c r="J13789" t="str">
        <f>VLOOKUP(E13789,DSSpieler!A:B,2,FALSE)</f>
        <v>Owain</v>
      </c>
    </row>
    <row r="13790" spans="1:10" x14ac:dyDescent="0.25">
      <c r="A13790">
        <v>15594</v>
      </c>
      <c r="B13790" t="s">
        <v>531</v>
      </c>
      <c r="C13790">
        <v>572</v>
      </c>
      <c r="D13790">
        <v>592</v>
      </c>
      <c r="E13790">
        <v>0</v>
      </c>
      <c r="F13790">
        <v>783</v>
      </c>
      <c r="G13790">
        <v>0</v>
      </c>
      <c r="H13790" t="s">
        <v>18656</v>
      </c>
      <c r="I13790">
        <v>15594</v>
      </c>
      <c r="J13790" t="e">
        <f>VLOOKUP(E13790,DSSpieler!A:B,2,FALSE)</f>
        <v>#N/A</v>
      </c>
    </row>
    <row r="13791" spans="1:10" x14ac:dyDescent="0.25">
      <c r="A13791">
        <v>15595</v>
      </c>
      <c r="B13791" t="s">
        <v>35154</v>
      </c>
      <c r="C13791">
        <v>428</v>
      </c>
      <c r="D13791">
        <v>597</v>
      </c>
      <c r="E13791">
        <v>1576882233</v>
      </c>
      <c r="F13791">
        <v>4596</v>
      </c>
      <c r="G13791">
        <v>0</v>
      </c>
      <c r="H13791" t="s">
        <v>18657</v>
      </c>
      <c r="I13791">
        <v>15595</v>
      </c>
      <c r="J13791" t="str">
        <f>VLOOKUP(E13791,DSSpieler!A:B,2,FALSE)</f>
        <v>JasperSt.iNCt</v>
      </c>
    </row>
    <row r="13792" spans="1:10" x14ac:dyDescent="0.25">
      <c r="A13792">
        <v>15596</v>
      </c>
      <c r="B13792" t="s">
        <v>531</v>
      </c>
      <c r="C13792">
        <v>387</v>
      </c>
      <c r="D13792">
        <v>475</v>
      </c>
      <c r="E13792">
        <v>0</v>
      </c>
      <c r="F13792">
        <v>320</v>
      </c>
      <c r="G13792">
        <v>0</v>
      </c>
      <c r="H13792" t="s">
        <v>18658</v>
      </c>
      <c r="I13792">
        <v>15596</v>
      </c>
      <c r="J13792" t="e">
        <f>VLOOKUP(E13792,DSSpieler!A:B,2,FALSE)</f>
        <v>#N/A</v>
      </c>
    </row>
    <row r="13793" spans="1:10" x14ac:dyDescent="0.25">
      <c r="A13793">
        <v>15597</v>
      </c>
      <c r="B13793" t="s">
        <v>943</v>
      </c>
      <c r="C13793">
        <v>583</v>
      </c>
      <c r="D13793">
        <v>412</v>
      </c>
      <c r="E13793">
        <v>9828921</v>
      </c>
      <c r="F13793">
        <v>1159</v>
      </c>
      <c r="G13793">
        <v>0</v>
      </c>
      <c r="H13793" t="s">
        <v>18659</v>
      </c>
      <c r="I13793">
        <v>15597</v>
      </c>
      <c r="J13793" t="str">
        <f>VLOOKUP(E13793,DSSpieler!A:B,2,FALSE)</f>
        <v>MR. Hotzenplotz</v>
      </c>
    </row>
    <row r="13794" spans="1:10" x14ac:dyDescent="0.25">
      <c r="A13794">
        <v>15598</v>
      </c>
      <c r="B13794" t="s">
        <v>35155</v>
      </c>
      <c r="C13794">
        <v>397</v>
      </c>
      <c r="D13794">
        <v>558</v>
      </c>
      <c r="E13794">
        <v>1576513182</v>
      </c>
      <c r="F13794">
        <v>4282</v>
      </c>
      <c r="G13794">
        <v>0</v>
      </c>
      <c r="H13794" t="s">
        <v>18660</v>
      </c>
      <c r="I13794">
        <v>15598</v>
      </c>
      <c r="J13794" t="str">
        <f>VLOOKUP(E13794,DSSpieler!A:B,2,FALSE)</f>
        <v>Trollingislife</v>
      </c>
    </row>
    <row r="13795" spans="1:10" x14ac:dyDescent="0.25">
      <c r="A13795">
        <v>15599</v>
      </c>
      <c r="B13795" t="s">
        <v>531</v>
      </c>
      <c r="C13795">
        <v>410</v>
      </c>
      <c r="D13795">
        <v>423</v>
      </c>
      <c r="E13795">
        <v>0</v>
      </c>
      <c r="F13795">
        <v>730</v>
      </c>
      <c r="G13795">
        <v>0</v>
      </c>
      <c r="H13795" t="s">
        <v>18661</v>
      </c>
      <c r="I13795">
        <v>15599</v>
      </c>
      <c r="J13795" t="e">
        <f>VLOOKUP(E13795,DSSpieler!A:B,2,FALSE)</f>
        <v>#N/A</v>
      </c>
    </row>
    <row r="13796" spans="1:10" x14ac:dyDescent="0.25">
      <c r="A13796">
        <v>15600</v>
      </c>
      <c r="B13796" t="s">
        <v>1916</v>
      </c>
      <c r="C13796">
        <v>617</v>
      </c>
      <c r="D13796">
        <v>470</v>
      </c>
      <c r="E13796">
        <v>469654</v>
      </c>
      <c r="F13796">
        <v>4432</v>
      </c>
      <c r="G13796">
        <v>0</v>
      </c>
      <c r="H13796" t="s">
        <v>18662</v>
      </c>
      <c r="I13796">
        <v>15600</v>
      </c>
      <c r="J13796" t="str">
        <f>VLOOKUP(E13796,DSSpieler!A:B,2,FALSE)</f>
        <v>Pemi</v>
      </c>
    </row>
    <row r="13797" spans="1:10" x14ac:dyDescent="0.25">
      <c r="A13797">
        <v>15601</v>
      </c>
      <c r="B13797" t="s">
        <v>531</v>
      </c>
      <c r="C13797">
        <v>610</v>
      </c>
      <c r="D13797">
        <v>546</v>
      </c>
      <c r="E13797">
        <v>0</v>
      </c>
      <c r="F13797">
        <v>114</v>
      </c>
      <c r="G13797">
        <v>0</v>
      </c>
      <c r="H13797" t="s">
        <v>18663</v>
      </c>
      <c r="I13797">
        <v>15601</v>
      </c>
      <c r="J13797" t="e">
        <f>VLOOKUP(E13797,DSSpieler!A:B,2,FALSE)</f>
        <v>#N/A</v>
      </c>
    </row>
    <row r="13798" spans="1:10" x14ac:dyDescent="0.25">
      <c r="A13798">
        <v>15602</v>
      </c>
      <c r="B13798" t="s">
        <v>531</v>
      </c>
      <c r="C13798">
        <v>525</v>
      </c>
      <c r="D13798">
        <v>619</v>
      </c>
      <c r="E13798">
        <v>0</v>
      </c>
      <c r="F13798">
        <v>250</v>
      </c>
      <c r="G13798">
        <v>0</v>
      </c>
      <c r="H13798" t="s">
        <v>18664</v>
      </c>
      <c r="I13798">
        <v>15602</v>
      </c>
      <c r="J13798" t="e">
        <f>VLOOKUP(E13798,DSSpieler!A:B,2,FALSE)</f>
        <v>#N/A</v>
      </c>
    </row>
    <row r="13799" spans="1:10" x14ac:dyDescent="0.25">
      <c r="A13799">
        <v>15603</v>
      </c>
      <c r="B13799" t="s">
        <v>531</v>
      </c>
      <c r="C13799">
        <v>520</v>
      </c>
      <c r="D13799">
        <v>518</v>
      </c>
      <c r="E13799">
        <v>0</v>
      </c>
      <c r="F13799">
        <v>297</v>
      </c>
      <c r="G13799">
        <v>0</v>
      </c>
      <c r="H13799" t="s">
        <v>18665</v>
      </c>
      <c r="I13799">
        <v>15603</v>
      </c>
      <c r="J13799" t="e">
        <f>VLOOKUP(E13799,DSSpieler!A:B,2,FALSE)</f>
        <v>#N/A</v>
      </c>
    </row>
    <row r="13800" spans="1:10" x14ac:dyDescent="0.25">
      <c r="A13800">
        <v>15604</v>
      </c>
      <c r="B13800" t="s">
        <v>531</v>
      </c>
      <c r="C13800">
        <v>494</v>
      </c>
      <c r="D13800">
        <v>601</v>
      </c>
      <c r="E13800">
        <v>0</v>
      </c>
      <c r="F13800">
        <v>382</v>
      </c>
      <c r="G13800">
        <v>0</v>
      </c>
      <c r="H13800" t="s">
        <v>18666</v>
      </c>
      <c r="I13800">
        <v>15604</v>
      </c>
      <c r="J13800" t="e">
        <f>VLOOKUP(E13800,DSSpieler!A:B,2,FALSE)</f>
        <v>#N/A</v>
      </c>
    </row>
    <row r="13801" spans="1:10" x14ac:dyDescent="0.25">
      <c r="A13801">
        <v>15605</v>
      </c>
      <c r="B13801" t="s">
        <v>35156</v>
      </c>
      <c r="C13801">
        <v>613</v>
      </c>
      <c r="D13801">
        <v>475</v>
      </c>
      <c r="E13801">
        <v>1577167171</v>
      </c>
      <c r="F13801">
        <v>3936</v>
      </c>
      <c r="G13801">
        <v>0</v>
      </c>
      <c r="H13801" t="s">
        <v>18667</v>
      </c>
      <c r="I13801">
        <v>15605</v>
      </c>
      <c r="J13801" t="str">
        <f>VLOOKUP(E13801,DSSpieler!A:B,2,FALSE)</f>
        <v>affenstuhl</v>
      </c>
    </row>
    <row r="13802" spans="1:10" x14ac:dyDescent="0.25">
      <c r="A13802">
        <v>15606</v>
      </c>
      <c r="B13802" t="s">
        <v>531</v>
      </c>
      <c r="C13802">
        <v>431</v>
      </c>
      <c r="D13802">
        <v>406</v>
      </c>
      <c r="E13802">
        <v>0</v>
      </c>
      <c r="F13802">
        <v>176</v>
      </c>
      <c r="G13802">
        <v>0</v>
      </c>
      <c r="H13802" t="s">
        <v>18668</v>
      </c>
      <c r="I13802">
        <v>15606</v>
      </c>
      <c r="J13802" t="e">
        <f>VLOOKUP(E13802,DSSpieler!A:B,2,FALSE)</f>
        <v>#N/A</v>
      </c>
    </row>
    <row r="13803" spans="1:10" x14ac:dyDescent="0.25">
      <c r="A13803">
        <v>15607</v>
      </c>
      <c r="B13803" t="s">
        <v>35157</v>
      </c>
      <c r="C13803">
        <v>532</v>
      </c>
      <c r="D13803">
        <v>615</v>
      </c>
      <c r="E13803">
        <v>1576038493</v>
      </c>
      <c r="F13803">
        <v>2866</v>
      </c>
      <c r="G13803">
        <v>0</v>
      </c>
      <c r="H13803" t="s">
        <v>18669</v>
      </c>
      <c r="I13803">
        <v>15607</v>
      </c>
      <c r="J13803" t="str">
        <f>VLOOKUP(E13803,DSSpieler!A:B,2,FALSE)</f>
        <v>Der0lle</v>
      </c>
    </row>
    <row r="13804" spans="1:10" x14ac:dyDescent="0.25">
      <c r="A13804">
        <v>15608</v>
      </c>
      <c r="B13804" t="s">
        <v>531</v>
      </c>
      <c r="C13804">
        <v>603</v>
      </c>
      <c r="D13804">
        <v>436</v>
      </c>
      <c r="E13804">
        <v>0</v>
      </c>
      <c r="F13804">
        <v>1587</v>
      </c>
      <c r="G13804">
        <v>0</v>
      </c>
      <c r="H13804" t="s">
        <v>18670</v>
      </c>
      <c r="I13804">
        <v>15608</v>
      </c>
      <c r="J13804" t="e">
        <f>VLOOKUP(E13804,DSSpieler!A:B,2,FALSE)</f>
        <v>#N/A</v>
      </c>
    </row>
    <row r="13805" spans="1:10" x14ac:dyDescent="0.25">
      <c r="A13805">
        <v>15609</v>
      </c>
      <c r="B13805" t="s">
        <v>2419</v>
      </c>
      <c r="C13805">
        <v>617</v>
      </c>
      <c r="D13805">
        <v>471</v>
      </c>
      <c r="E13805">
        <v>1577197624</v>
      </c>
      <c r="F13805">
        <v>2105</v>
      </c>
      <c r="G13805">
        <v>0</v>
      </c>
      <c r="H13805" t="s">
        <v>18671</v>
      </c>
      <c r="I13805">
        <v>15609</v>
      </c>
      <c r="J13805" t="str">
        <f>VLOOKUP(E13805,DSSpieler!A:B,2,FALSE)</f>
        <v>Cup-Cake</v>
      </c>
    </row>
    <row r="13806" spans="1:10" x14ac:dyDescent="0.25">
      <c r="A13806">
        <v>15610</v>
      </c>
      <c r="B13806" t="s">
        <v>531</v>
      </c>
      <c r="C13806">
        <v>452</v>
      </c>
      <c r="D13806">
        <v>391</v>
      </c>
      <c r="E13806">
        <v>0</v>
      </c>
      <c r="F13806">
        <v>171</v>
      </c>
      <c r="G13806">
        <v>0</v>
      </c>
      <c r="H13806" t="s">
        <v>18672</v>
      </c>
      <c r="I13806">
        <v>15610</v>
      </c>
      <c r="J13806" t="e">
        <f>VLOOKUP(E13806,DSSpieler!A:B,2,FALSE)</f>
        <v>#N/A</v>
      </c>
    </row>
    <row r="13807" spans="1:10" x14ac:dyDescent="0.25">
      <c r="A13807">
        <v>15611</v>
      </c>
      <c r="B13807" t="s">
        <v>35158</v>
      </c>
      <c r="C13807">
        <v>389</v>
      </c>
      <c r="D13807">
        <v>549</v>
      </c>
      <c r="E13807">
        <v>1577191510</v>
      </c>
      <c r="F13807">
        <v>26</v>
      </c>
      <c r="G13807">
        <v>0</v>
      </c>
      <c r="H13807" t="s">
        <v>18673</v>
      </c>
      <c r="I13807">
        <v>15611</v>
      </c>
      <c r="J13807" t="str">
        <f>VLOOKUP(E13807,DSSpieler!A:B,2,FALSE)</f>
        <v>simonduck111</v>
      </c>
    </row>
    <row r="13808" spans="1:10" x14ac:dyDescent="0.25">
      <c r="A13808">
        <v>15612</v>
      </c>
      <c r="B13808" t="s">
        <v>531</v>
      </c>
      <c r="C13808">
        <v>417</v>
      </c>
      <c r="D13808">
        <v>418</v>
      </c>
      <c r="E13808">
        <v>0</v>
      </c>
      <c r="F13808">
        <v>268</v>
      </c>
      <c r="G13808">
        <v>0</v>
      </c>
      <c r="H13808" t="s">
        <v>18674</v>
      </c>
      <c r="I13808">
        <v>15612</v>
      </c>
      <c r="J13808" t="e">
        <f>VLOOKUP(E13808,DSSpieler!A:B,2,FALSE)</f>
        <v>#N/A</v>
      </c>
    </row>
    <row r="13809" spans="1:10" x14ac:dyDescent="0.25">
      <c r="A13809">
        <v>15613</v>
      </c>
      <c r="B13809" t="s">
        <v>35159</v>
      </c>
      <c r="C13809">
        <v>617</v>
      </c>
      <c r="D13809">
        <v>512</v>
      </c>
      <c r="E13809">
        <v>1577061560</v>
      </c>
      <c r="F13809">
        <v>1992</v>
      </c>
      <c r="G13809">
        <v>0</v>
      </c>
      <c r="H13809" t="s">
        <v>18675</v>
      </c>
      <c r="I13809">
        <v>15613</v>
      </c>
      <c r="J13809" t="str">
        <f>VLOOKUP(E13809,DSSpieler!A:B,2,FALSE)</f>
        <v>KingArthursBruder</v>
      </c>
    </row>
    <row r="13810" spans="1:10" x14ac:dyDescent="0.25">
      <c r="A13810">
        <v>15614</v>
      </c>
      <c r="B13810" t="s">
        <v>531</v>
      </c>
      <c r="C13810">
        <v>484</v>
      </c>
      <c r="D13810">
        <v>618</v>
      </c>
      <c r="E13810">
        <v>0</v>
      </c>
      <c r="F13810">
        <v>269</v>
      </c>
      <c r="G13810">
        <v>0</v>
      </c>
      <c r="H13810" t="s">
        <v>18676</v>
      </c>
      <c r="I13810">
        <v>15614</v>
      </c>
      <c r="J13810" t="e">
        <f>VLOOKUP(E13810,DSSpieler!A:B,2,FALSE)</f>
        <v>#N/A</v>
      </c>
    </row>
    <row r="13811" spans="1:10" x14ac:dyDescent="0.25">
      <c r="A13811">
        <v>15615</v>
      </c>
      <c r="B13811" t="s">
        <v>35160</v>
      </c>
      <c r="C13811">
        <v>621</v>
      </c>
      <c r="D13811">
        <v>505</v>
      </c>
      <c r="E13811">
        <v>1576960909</v>
      </c>
      <c r="F13811">
        <v>1066</v>
      </c>
      <c r="G13811">
        <v>0</v>
      </c>
      <c r="H13811" t="s">
        <v>18677</v>
      </c>
      <c r="I13811">
        <v>15615</v>
      </c>
      <c r="J13811" t="str">
        <f>VLOOKUP(E13811,DSSpieler!A:B,2,FALSE)</f>
        <v>KiritoFP</v>
      </c>
    </row>
    <row r="13812" spans="1:10" x14ac:dyDescent="0.25">
      <c r="A13812">
        <v>15616</v>
      </c>
      <c r="B13812" t="s">
        <v>531</v>
      </c>
      <c r="C13812">
        <v>498</v>
      </c>
      <c r="D13812">
        <v>618</v>
      </c>
      <c r="E13812">
        <v>0</v>
      </c>
      <c r="F13812">
        <v>339</v>
      </c>
      <c r="G13812">
        <v>0</v>
      </c>
      <c r="H13812" t="s">
        <v>18678</v>
      </c>
      <c r="I13812">
        <v>15616</v>
      </c>
      <c r="J13812" t="e">
        <f>VLOOKUP(E13812,DSSpieler!A:B,2,FALSE)</f>
        <v>#N/A</v>
      </c>
    </row>
    <row r="13813" spans="1:10" x14ac:dyDescent="0.25">
      <c r="A13813">
        <v>15617</v>
      </c>
      <c r="B13813" t="s">
        <v>531</v>
      </c>
      <c r="C13813">
        <v>557</v>
      </c>
      <c r="D13813">
        <v>397</v>
      </c>
      <c r="E13813">
        <v>0</v>
      </c>
      <c r="F13813">
        <v>79</v>
      </c>
      <c r="G13813">
        <v>0</v>
      </c>
      <c r="H13813" t="s">
        <v>18679</v>
      </c>
      <c r="I13813">
        <v>15617</v>
      </c>
      <c r="J13813" t="e">
        <f>VLOOKUP(E13813,DSSpieler!A:B,2,FALSE)</f>
        <v>#N/A</v>
      </c>
    </row>
    <row r="13814" spans="1:10" x14ac:dyDescent="0.25">
      <c r="A13814">
        <v>15618</v>
      </c>
      <c r="B13814" t="s">
        <v>531</v>
      </c>
      <c r="C13814">
        <v>610</v>
      </c>
      <c r="D13814">
        <v>544</v>
      </c>
      <c r="E13814">
        <v>0</v>
      </c>
      <c r="F13814">
        <v>145</v>
      </c>
      <c r="G13814">
        <v>0</v>
      </c>
      <c r="H13814" t="s">
        <v>18680</v>
      </c>
      <c r="I13814">
        <v>15618</v>
      </c>
      <c r="J13814" t="e">
        <f>VLOOKUP(E13814,DSSpieler!A:B,2,FALSE)</f>
        <v>#N/A</v>
      </c>
    </row>
    <row r="13815" spans="1:10" x14ac:dyDescent="0.25">
      <c r="A13815">
        <v>15619</v>
      </c>
      <c r="B13815" t="s">
        <v>35161</v>
      </c>
      <c r="C13815">
        <v>382</v>
      </c>
      <c r="D13815">
        <v>468</v>
      </c>
      <c r="E13815">
        <v>1576890987</v>
      </c>
      <c r="F13815">
        <v>4166</v>
      </c>
      <c r="G13815">
        <v>0</v>
      </c>
      <c r="H13815" t="s">
        <v>506</v>
      </c>
      <c r="I13815">
        <v>15619</v>
      </c>
      <c r="J13815" t="str">
        <f>VLOOKUP(E13815,DSSpieler!A:B,2,FALSE)</f>
        <v>Piwi1994</v>
      </c>
    </row>
    <row r="13816" spans="1:10" x14ac:dyDescent="0.25">
      <c r="A13816">
        <v>15620</v>
      </c>
      <c r="B13816" t="s">
        <v>531</v>
      </c>
      <c r="C13816">
        <v>486</v>
      </c>
      <c r="D13816">
        <v>616</v>
      </c>
      <c r="E13816">
        <v>0</v>
      </c>
      <c r="F13816">
        <v>122</v>
      </c>
      <c r="G13816">
        <v>0</v>
      </c>
      <c r="H13816" t="s">
        <v>18681</v>
      </c>
      <c r="I13816">
        <v>15620</v>
      </c>
      <c r="J13816" t="e">
        <f>VLOOKUP(E13816,DSSpieler!A:B,2,FALSE)</f>
        <v>#N/A</v>
      </c>
    </row>
    <row r="13817" spans="1:10" x14ac:dyDescent="0.25">
      <c r="A13817">
        <v>15621</v>
      </c>
      <c r="B13817" t="s">
        <v>604</v>
      </c>
      <c r="C13817">
        <v>483</v>
      </c>
      <c r="D13817">
        <v>581</v>
      </c>
      <c r="E13817">
        <v>1576840841</v>
      </c>
      <c r="F13817">
        <v>5144</v>
      </c>
      <c r="G13817">
        <v>0</v>
      </c>
      <c r="H13817" t="s">
        <v>18682</v>
      </c>
      <c r="I13817">
        <v>15621</v>
      </c>
      <c r="J13817" t="str">
        <f>VLOOKUP(E13817,DSSpieler!A:B,2,FALSE)</f>
        <v>Geggi93</v>
      </c>
    </row>
    <row r="13818" spans="1:10" x14ac:dyDescent="0.25">
      <c r="A13818">
        <v>15622</v>
      </c>
      <c r="B13818" t="s">
        <v>35162</v>
      </c>
      <c r="C13818">
        <v>531</v>
      </c>
      <c r="D13818">
        <v>405</v>
      </c>
      <c r="E13818">
        <v>1576698432</v>
      </c>
      <c r="F13818">
        <v>2927</v>
      </c>
      <c r="G13818">
        <v>0</v>
      </c>
      <c r="H13818" t="s">
        <v>18683</v>
      </c>
      <c r="I13818">
        <v>15622</v>
      </c>
      <c r="J13818" t="str">
        <f>VLOOKUP(E13818,DSSpieler!A:B,2,FALSE)</f>
        <v>Einmal mit Profis</v>
      </c>
    </row>
    <row r="13819" spans="1:10" x14ac:dyDescent="0.25">
      <c r="A13819">
        <v>15623</v>
      </c>
      <c r="B13819" t="s">
        <v>35163</v>
      </c>
      <c r="C13819">
        <v>470</v>
      </c>
      <c r="D13819">
        <v>437</v>
      </c>
      <c r="E13819">
        <v>1577196112</v>
      </c>
      <c r="F13819">
        <v>3748</v>
      </c>
      <c r="G13819">
        <v>0</v>
      </c>
      <c r="H13819" t="s">
        <v>18684</v>
      </c>
      <c r="I13819">
        <v>15623</v>
      </c>
      <c r="J13819" t="str">
        <f>VLOOKUP(E13819,DSSpieler!A:B,2,FALSE)</f>
        <v>klaus4</v>
      </c>
    </row>
    <row r="13820" spans="1:10" x14ac:dyDescent="0.25">
      <c r="A13820">
        <v>15624</v>
      </c>
      <c r="B13820" t="s">
        <v>531</v>
      </c>
      <c r="C13820">
        <v>400</v>
      </c>
      <c r="D13820">
        <v>433</v>
      </c>
      <c r="E13820">
        <v>0</v>
      </c>
      <c r="F13820">
        <v>216</v>
      </c>
      <c r="G13820">
        <v>0</v>
      </c>
      <c r="H13820" t="s">
        <v>18685</v>
      </c>
      <c r="I13820">
        <v>15624</v>
      </c>
      <c r="J13820" t="e">
        <f>VLOOKUP(E13820,DSSpieler!A:B,2,FALSE)</f>
        <v>#N/A</v>
      </c>
    </row>
    <row r="13821" spans="1:10" x14ac:dyDescent="0.25">
      <c r="A13821">
        <v>15625</v>
      </c>
      <c r="B13821" s="111">
        <v>23.03</v>
      </c>
      <c r="C13821">
        <v>612</v>
      </c>
      <c r="D13821">
        <v>468</v>
      </c>
      <c r="E13821">
        <v>1577190470</v>
      </c>
      <c r="F13821">
        <v>497</v>
      </c>
      <c r="G13821">
        <v>0</v>
      </c>
      <c r="H13821" t="s">
        <v>18686</v>
      </c>
      <c r="I13821">
        <v>15625</v>
      </c>
      <c r="J13821" t="str">
        <f>VLOOKUP(E13821,DSSpieler!A:B,2,FALSE)</f>
        <v>Himbeermarmelade88</v>
      </c>
    </row>
    <row r="13822" spans="1:10" x14ac:dyDescent="0.25">
      <c r="A13822">
        <v>15626</v>
      </c>
      <c r="B13822" t="s">
        <v>531</v>
      </c>
      <c r="C13822">
        <v>537</v>
      </c>
      <c r="D13822">
        <v>419</v>
      </c>
      <c r="E13822">
        <v>0</v>
      </c>
      <c r="F13822">
        <v>53</v>
      </c>
      <c r="G13822">
        <v>0</v>
      </c>
      <c r="H13822" t="s">
        <v>18687</v>
      </c>
      <c r="I13822">
        <v>15626</v>
      </c>
      <c r="J13822" t="e">
        <f>VLOOKUP(E13822,DSSpieler!A:B,2,FALSE)</f>
        <v>#N/A</v>
      </c>
    </row>
    <row r="13823" spans="1:10" x14ac:dyDescent="0.25">
      <c r="A13823">
        <v>15627</v>
      </c>
      <c r="B13823" t="s">
        <v>531</v>
      </c>
      <c r="C13823">
        <v>381</v>
      </c>
      <c r="D13823">
        <v>509</v>
      </c>
      <c r="E13823">
        <v>0</v>
      </c>
      <c r="F13823">
        <v>141</v>
      </c>
      <c r="G13823">
        <v>0</v>
      </c>
      <c r="H13823" t="s">
        <v>18688</v>
      </c>
      <c r="I13823">
        <v>15627</v>
      </c>
      <c r="J13823" t="e">
        <f>VLOOKUP(E13823,DSSpieler!A:B,2,FALSE)</f>
        <v>#N/A</v>
      </c>
    </row>
    <row r="13824" spans="1:10" x14ac:dyDescent="0.25">
      <c r="A13824">
        <v>15632</v>
      </c>
      <c r="B13824" t="s">
        <v>531</v>
      </c>
      <c r="C13824">
        <v>560</v>
      </c>
      <c r="D13824">
        <v>601</v>
      </c>
      <c r="E13824">
        <v>0</v>
      </c>
      <c r="F13824">
        <v>202</v>
      </c>
      <c r="G13824">
        <v>0</v>
      </c>
      <c r="H13824" t="s">
        <v>18689</v>
      </c>
      <c r="I13824">
        <v>15632</v>
      </c>
      <c r="J13824" t="e">
        <f>VLOOKUP(E13824,DSSpieler!A:B,2,FALSE)</f>
        <v>#N/A</v>
      </c>
    </row>
    <row r="13825" spans="1:10" x14ac:dyDescent="0.25">
      <c r="A13825">
        <v>15634</v>
      </c>
      <c r="B13825" t="s">
        <v>2420</v>
      </c>
      <c r="C13825">
        <v>381</v>
      </c>
      <c r="D13825">
        <v>508</v>
      </c>
      <c r="E13825">
        <v>1577018348</v>
      </c>
      <c r="F13825">
        <v>1885</v>
      </c>
      <c r="G13825">
        <v>0</v>
      </c>
      <c r="H13825" t="s">
        <v>18690</v>
      </c>
      <c r="I13825">
        <v>15634</v>
      </c>
      <c r="J13825" t="str">
        <f>VLOOKUP(E13825,DSSpieler!A:B,2,FALSE)</f>
        <v>salitoz</v>
      </c>
    </row>
    <row r="13826" spans="1:10" x14ac:dyDescent="0.25">
      <c r="A13826">
        <v>15635</v>
      </c>
      <c r="B13826" t="s">
        <v>531</v>
      </c>
      <c r="C13826">
        <v>497</v>
      </c>
      <c r="D13826">
        <v>383</v>
      </c>
      <c r="E13826">
        <v>0</v>
      </c>
      <c r="F13826">
        <v>182</v>
      </c>
      <c r="G13826">
        <v>0</v>
      </c>
      <c r="H13826" t="s">
        <v>18691</v>
      </c>
      <c r="I13826">
        <v>15635</v>
      </c>
      <c r="J13826" t="e">
        <f>VLOOKUP(E13826,DSSpieler!A:B,2,FALSE)</f>
        <v>#N/A</v>
      </c>
    </row>
    <row r="13827" spans="1:10" x14ac:dyDescent="0.25">
      <c r="A13827">
        <v>15636</v>
      </c>
      <c r="B13827" t="s">
        <v>531</v>
      </c>
      <c r="C13827">
        <v>472</v>
      </c>
      <c r="D13827">
        <v>521</v>
      </c>
      <c r="E13827">
        <v>0</v>
      </c>
      <c r="F13827">
        <v>176</v>
      </c>
      <c r="G13827">
        <v>0</v>
      </c>
      <c r="H13827" t="s">
        <v>18692</v>
      </c>
      <c r="I13827">
        <v>15636</v>
      </c>
      <c r="J13827" t="e">
        <f>VLOOKUP(E13827,DSSpieler!A:B,2,FALSE)</f>
        <v>#N/A</v>
      </c>
    </row>
    <row r="13828" spans="1:10" x14ac:dyDescent="0.25">
      <c r="A13828">
        <v>15637</v>
      </c>
      <c r="B13828" t="s">
        <v>531</v>
      </c>
      <c r="C13828">
        <v>467</v>
      </c>
      <c r="D13828">
        <v>524</v>
      </c>
      <c r="E13828">
        <v>0</v>
      </c>
      <c r="F13828">
        <v>150</v>
      </c>
      <c r="G13828">
        <v>0</v>
      </c>
      <c r="H13828" t="s">
        <v>18693</v>
      </c>
      <c r="I13828">
        <v>15637</v>
      </c>
      <c r="J13828" t="e">
        <f>VLOOKUP(E13828,DSSpieler!A:B,2,FALSE)</f>
        <v>#N/A</v>
      </c>
    </row>
    <row r="13829" spans="1:10" x14ac:dyDescent="0.25">
      <c r="A13829">
        <v>15638</v>
      </c>
      <c r="B13829" t="s">
        <v>35164</v>
      </c>
      <c r="C13829">
        <v>499</v>
      </c>
      <c r="D13829">
        <v>571</v>
      </c>
      <c r="E13829">
        <v>2760238</v>
      </c>
      <c r="F13829">
        <v>1952</v>
      </c>
      <c r="G13829">
        <v>0</v>
      </c>
      <c r="H13829" t="s">
        <v>18694</v>
      </c>
      <c r="I13829">
        <v>15638</v>
      </c>
      <c r="J13829" t="str">
        <f>VLOOKUP(E13829,DSSpieler!A:B,2,FALSE)</f>
        <v>Adisch</v>
      </c>
    </row>
    <row r="13830" spans="1:10" x14ac:dyDescent="0.25">
      <c r="A13830">
        <v>15639</v>
      </c>
      <c r="B13830" t="s">
        <v>2421</v>
      </c>
      <c r="C13830">
        <v>382</v>
      </c>
      <c r="D13830">
        <v>474</v>
      </c>
      <c r="E13830">
        <v>1577201101</v>
      </c>
      <c r="F13830">
        <v>2339</v>
      </c>
      <c r="G13830">
        <v>0</v>
      </c>
      <c r="H13830" t="s">
        <v>507</v>
      </c>
      <c r="I13830">
        <v>15639</v>
      </c>
      <c r="J13830" t="str">
        <f>VLOOKUP(E13830,DSSpieler!A:B,2,FALSE)</f>
        <v>2way</v>
      </c>
    </row>
    <row r="13831" spans="1:10" x14ac:dyDescent="0.25">
      <c r="A13831">
        <v>15640</v>
      </c>
      <c r="B13831" t="s">
        <v>531</v>
      </c>
      <c r="C13831">
        <v>612</v>
      </c>
      <c r="D13831">
        <v>462</v>
      </c>
      <c r="E13831">
        <v>0</v>
      </c>
      <c r="F13831">
        <v>103</v>
      </c>
      <c r="G13831">
        <v>0</v>
      </c>
      <c r="H13831" t="s">
        <v>18695</v>
      </c>
      <c r="I13831">
        <v>15640</v>
      </c>
      <c r="J13831" t="e">
        <f>VLOOKUP(E13831,DSSpieler!A:B,2,FALSE)</f>
        <v>#N/A</v>
      </c>
    </row>
    <row r="13832" spans="1:10" x14ac:dyDescent="0.25">
      <c r="A13832">
        <v>15641</v>
      </c>
      <c r="B13832" t="s">
        <v>531</v>
      </c>
      <c r="C13832">
        <v>585</v>
      </c>
      <c r="D13832">
        <v>419</v>
      </c>
      <c r="E13832">
        <v>0</v>
      </c>
      <c r="F13832">
        <v>157</v>
      </c>
      <c r="G13832">
        <v>0</v>
      </c>
      <c r="H13832" t="s">
        <v>18696</v>
      </c>
      <c r="I13832">
        <v>15641</v>
      </c>
      <c r="J13832" t="e">
        <f>VLOOKUP(E13832,DSSpieler!A:B,2,FALSE)</f>
        <v>#N/A</v>
      </c>
    </row>
    <row r="13833" spans="1:10" x14ac:dyDescent="0.25">
      <c r="A13833">
        <v>15642</v>
      </c>
      <c r="B13833" t="s">
        <v>531</v>
      </c>
      <c r="C13833">
        <v>379</v>
      </c>
      <c r="D13833">
        <v>493</v>
      </c>
      <c r="E13833">
        <v>0</v>
      </c>
      <c r="F13833">
        <v>75</v>
      </c>
      <c r="G13833">
        <v>0</v>
      </c>
      <c r="H13833" t="s">
        <v>18697</v>
      </c>
      <c r="I13833">
        <v>15642</v>
      </c>
      <c r="J13833" t="e">
        <f>VLOOKUP(E13833,DSSpieler!A:B,2,FALSE)</f>
        <v>#N/A</v>
      </c>
    </row>
    <row r="13834" spans="1:10" x14ac:dyDescent="0.25">
      <c r="A13834">
        <v>15644</v>
      </c>
      <c r="B13834" t="s">
        <v>531</v>
      </c>
      <c r="C13834">
        <v>423</v>
      </c>
      <c r="D13834">
        <v>410</v>
      </c>
      <c r="E13834">
        <v>0</v>
      </c>
      <c r="F13834">
        <v>202</v>
      </c>
      <c r="G13834">
        <v>0</v>
      </c>
      <c r="H13834" t="s">
        <v>18698</v>
      </c>
      <c r="I13834">
        <v>15644</v>
      </c>
      <c r="J13834" t="e">
        <f>VLOOKUP(E13834,DSSpieler!A:B,2,FALSE)</f>
        <v>#N/A</v>
      </c>
    </row>
    <row r="13835" spans="1:10" x14ac:dyDescent="0.25">
      <c r="A13835">
        <v>15645</v>
      </c>
      <c r="B13835" t="s">
        <v>531</v>
      </c>
      <c r="C13835">
        <v>554</v>
      </c>
      <c r="D13835">
        <v>605</v>
      </c>
      <c r="E13835">
        <v>0</v>
      </c>
      <c r="F13835">
        <v>784</v>
      </c>
      <c r="G13835">
        <v>0</v>
      </c>
      <c r="H13835" t="s">
        <v>18699</v>
      </c>
      <c r="I13835">
        <v>15645</v>
      </c>
      <c r="J13835" t="e">
        <f>VLOOKUP(E13835,DSSpieler!A:B,2,FALSE)</f>
        <v>#N/A</v>
      </c>
    </row>
    <row r="13836" spans="1:10" x14ac:dyDescent="0.25">
      <c r="A13836">
        <v>15646</v>
      </c>
      <c r="B13836" t="s">
        <v>531</v>
      </c>
      <c r="C13836">
        <v>467</v>
      </c>
      <c r="D13836">
        <v>614</v>
      </c>
      <c r="E13836">
        <v>0</v>
      </c>
      <c r="F13836">
        <v>48</v>
      </c>
      <c r="G13836">
        <v>0</v>
      </c>
      <c r="H13836" t="s">
        <v>18700</v>
      </c>
      <c r="I13836">
        <v>15646</v>
      </c>
      <c r="J13836" t="e">
        <f>VLOOKUP(E13836,DSSpieler!A:B,2,FALSE)</f>
        <v>#N/A</v>
      </c>
    </row>
    <row r="13837" spans="1:10" x14ac:dyDescent="0.25">
      <c r="A13837">
        <v>15647</v>
      </c>
      <c r="B13837" t="s">
        <v>531</v>
      </c>
      <c r="C13837">
        <v>392</v>
      </c>
      <c r="D13837">
        <v>551</v>
      </c>
      <c r="E13837">
        <v>0</v>
      </c>
      <c r="F13837">
        <v>975</v>
      </c>
      <c r="G13837">
        <v>0</v>
      </c>
      <c r="H13837" t="s">
        <v>18701</v>
      </c>
      <c r="I13837">
        <v>15647</v>
      </c>
      <c r="J13837" t="e">
        <f>VLOOKUP(E13837,DSSpieler!A:B,2,FALSE)</f>
        <v>#N/A</v>
      </c>
    </row>
    <row r="13838" spans="1:10" x14ac:dyDescent="0.25">
      <c r="A13838">
        <v>15648</v>
      </c>
      <c r="B13838" t="s">
        <v>2422</v>
      </c>
      <c r="C13838">
        <v>531</v>
      </c>
      <c r="D13838">
        <v>386</v>
      </c>
      <c r="E13838">
        <v>1577148073</v>
      </c>
      <c r="F13838">
        <v>2255</v>
      </c>
      <c r="G13838">
        <v>0</v>
      </c>
      <c r="H13838" t="s">
        <v>18702</v>
      </c>
      <c r="I13838">
        <v>15648</v>
      </c>
      <c r="J13838" t="str">
        <f>VLOOKUP(E13838,DSSpieler!A:B,2,FALSE)</f>
        <v>Karlsen</v>
      </c>
    </row>
    <row r="13839" spans="1:10" x14ac:dyDescent="0.25">
      <c r="A13839">
        <v>15649</v>
      </c>
      <c r="B13839" t="s">
        <v>2423</v>
      </c>
      <c r="C13839">
        <v>582</v>
      </c>
      <c r="D13839">
        <v>588</v>
      </c>
      <c r="E13839">
        <v>1576403267</v>
      </c>
      <c r="F13839">
        <v>1967</v>
      </c>
      <c r="G13839">
        <v>0</v>
      </c>
      <c r="H13839" t="s">
        <v>18703</v>
      </c>
      <c r="I13839">
        <v>15649</v>
      </c>
      <c r="J13839" t="str">
        <f>VLOOKUP(E13839,DSSpieler!A:B,2,FALSE)</f>
        <v>Selandra</v>
      </c>
    </row>
    <row r="13840" spans="1:10" x14ac:dyDescent="0.25">
      <c r="A13840">
        <v>15651</v>
      </c>
      <c r="B13840" t="s">
        <v>531</v>
      </c>
      <c r="C13840">
        <v>613</v>
      </c>
      <c r="D13840">
        <v>536</v>
      </c>
      <c r="E13840">
        <v>0</v>
      </c>
      <c r="F13840">
        <v>150</v>
      </c>
      <c r="G13840">
        <v>0</v>
      </c>
      <c r="H13840" t="s">
        <v>18704</v>
      </c>
      <c r="I13840">
        <v>15651</v>
      </c>
      <c r="J13840" t="e">
        <f>VLOOKUP(E13840,DSSpieler!A:B,2,FALSE)</f>
        <v>#N/A</v>
      </c>
    </row>
    <row r="13841" spans="1:10" x14ac:dyDescent="0.25">
      <c r="A13841">
        <v>15652</v>
      </c>
      <c r="B13841" t="s">
        <v>531</v>
      </c>
      <c r="C13841">
        <v>395</v>
      </c>
      <c r="D13841">
        <v>550</v>
      </c>
      <c r="E13841">
        <v>0</v>
      </c>
      <c r="F13841">
        <v>467</v>
      </c>
      <c r="G13841">
        <v>0</v>
      </c>
      <c r="H13841" t="s">
        <v>18705</v>
      </c>
      <c r="I13841">
        <v>15652</v>
      </c>
      <c r="J13841" t="e">
        <f>VLOOKUP(E13841,DSSpieler!A:B,2,FALSE)</f>
        <v>#N/A</v>
      </c>
    </row>
    <row r="13842" spans="1:10" x14ac:dyDescent="0.25">
      <c r="A13842">
        <v>15653</v>
      </c>
      <c r="B13842" t="s">
        <v>35165</v>
      </c>
      <c r="C13842">
        <v>514</v>
      </c>
      <c r="D13842">
        <v>619</v>
      </c>
      <c r="E13842">
        <v>862232</v>
      </c>
      <c r="F13842">
        <v>527</v>
      </c>
      <c r="G13842">
        <v>0</v>
      </c>
      <c r="H13842" t="s">
        <v>18706</v>
      </c>
      <c r="I13842">
        <v>15653</v>
      </c>
      <c r="J13842" t="str">
        <f>VLOOKUP(E13842,DSSpieler!A:B,2,FALSE)</f>
        <v>asd12345</v>
      </c>
    </row>
    <row r="13843" spans="1:10" x14ac:dyDescent="0.25">
      <c r="A13843">
        <v>15654</v>
      </c>
      <c r="B13843" t="s">
        <v>35166</v>
      </c>
      <c r="C13843">
        <v>469</v>
      </c>
      <c r="D13843">
        <v>383</v>
      </c>
      <c r="E13843">
        <v>1577201526</v>
      </c>
      <c r="F13843">
        <v>2362</v>
      </c>
      <c r="G13843">
        <v>0</v>
      </c>
      <c r="H13843" t="s">
        <v>18707</v>
      </c>
      <c r="I13843">
        <v>15654</v>
      </c>
      <c r="J13843" t="str">
        <f>VLOOKUP(E13843,DSSpieler!A:B,2,FALSE)</f>
        <v>Vurok</v>
      </c>
    </row>
    <row r="13844" spans="1:10" x14ac:dyDescent="0.25">
      <c r="A13844">
        <v>15655</v>
      </c>
      <c r="B13844" t="s">
        <v>531</v>
      </c>
      <c r="C13844">
        <v>437</v>
      </c>
      <c r="D13844">
        <v>400</v>
      </c>
      <c r="E13844">
        <v>0</v>
      </c>
      <c r="F13844">
        <v>235</v>
      </c>
      <c r="G13844">
        <v>0</v>
      </c>
      <c r="H13844" t="s">
        <v>18708</v>
      </c>
      <c r="I13844">
        <v>15655</v>
      </c>
      <c r="J13844" t="e">
        <f>VLOOKUP(E13844,DSSpieler!A:B,2,FALSE)</f>
        <v>#N/A</v>
      </c>
    </row>
    <row r="13845" spans="1:10" x14ac:dyDescent="0.25">
      <c r="A13845">
        <v>15656</v>
      </c>
      <c r="B13845" t="s">
        <v>531</v>
      </c>
      <c r="C13845">
        <v>389</v>
      </c>
      <c r="D13845">
        <v>533</v>
      </c>
      <c r="E13845">
        <v>0</v>
      </c>
      <c r="F13845">
        <v>130</v>
      </c>
      <c r="G13845">
        <v>0</v>
      </c>
      <c r="H13845" t="s">
        <v>18709</v>
      </c>
      <c r="I13845">
        <v>15656</v>
      </c>
      <c r="J13845" t="e">
        <f>VLOOKUP(E13845,DSSpieler!A:B,2,FALSE)</f>
        <v>#N/A</v>
      </c>
    </row>
    <row r="13846" spans="1:10" x14ac:dyDescent="0.25">
      <c r="A13846">
        <v>15657</v>
      </c>
      <c r="B13846" t="s">
        <v>531</v>
      </c>
      <c r="C13846">
        <v>383</v>
      </c>
      <c r="D13846">
        <v>481</v>
      </c>
      <c r="E13846">
        <v>0</v>
      </c>
      <c r="F13846">
        <v>244</v>
      </c>
      <c r="G13846">
        <v>0</v>
      </c>
      <c r="H13846" t="s">
        <v>18710</v>
      </c>
      <c r="I13846">
        <v>15657</v>
      </c>
      <c r="J13846" t="e">
        <f>VLOOKUP(E13846,DSSpieler!A:B,2,FALSE)</f>
        <v>#N/A</v>
      </c>
    </row>
    <row r="13847" spans="1:10" x14ac:dyDescent="0.25">
      <c r="A13847">
        <v>15658</v>
      </c>
      <c r="B13847" t="s">
        <v>531</v>
      </c>
      <c r="C13847">
        <v>379</v>
      </c>
      <c r="D13847">
        <v>508</v>
      </c>
      <c r="E13847">
        <v>0</v>
      </c>
      <c r="F13847">
        <v>174</v>
      </c>
      <c r="G13847">
        <v>0</v>
      </c>
      <c r="H13847" t="s">
        <v>18711</v>
      </c>
      <c r="I13847">
        <v>15658</v>
      </c>
      <c r="J13847" t="e">
        <f>VLOOKUP(E13847,DSSpieler!A:B,2,FALSE)</f>
        <v>#N/A</v>
      </c>
    </row>
    <row r="13848" spans="1:10" x14ac:dyDescent="0.25">
      <c r="A13848">
        <v>15659</v>
      </c>
      <c r="B13848" t="s">
        <v>531</v>
      </c>
      <c r="C13848">
        <v>475</v>
      </c>
      <c r="D13848">
        <v>613</v>
      </c>
      <c r="E13848">
        <v>0</v>
      </c>
      <c r="F13848">
        <v>121</v>
      </c>
      <c r="G13848">
        <v>0</v>
      </c>
      <c r="H13848" t="s">
        <v>18712</v>
      </c>
      <c r="I13848">
        <v>15659</v>
      </c>
      <c r="J13848" t="e">
        <f>VLOOKUP(E13848,DSSpieler!A:B,2,FALSE)</f>
        <v>#N/A</v>
      </c>
    </row>
    <row r="13849" spans="1:10" x14ac:dyDescent="0.25">
      <c r="A13849">
        <v>15660</v>
      </c>
      <c r="B13849" t="s">
        <v>1907</v>
      </c>
      <c r="C13849">
        <v>379</v>
      </c>
      <c r="D13849">
        <v>510</v>
      </c>
      <c r="E13849">
        <v>1577202690</v>
      </c>
      <c r="F13849">
        <v>671</v>
      </c>
      <c r="G13849">
        <v>0</v>
      </c>
      <c r="H13849" t="s">
        <v>18713</v>
      </c>
      <c r="I13849">
        <v>15660</v>
      </c>
      <c r="J13849" t="str">
        <f>VLOOKUP(E13849,DSSpieler!A:B,2,FALSE)</f>
        <v>nurmalschaun</v>
      </c>
    </row>
    <row r="13850" spans="1:10" x14ac:dyDescent="0.25">
      <c r="A13850">
        <v>15662</v>
      </c>
      <c r="B13850" t="s">
        <v>30475</v>
      </c>
      <c r="C13850">
        <v>420</v>
      </c>
      <c r="D13850">
        <v>589</v>
      </c>
      <c r="E13850">
        <v>1576847585</v>
      </c>
      <c r="F13850">
        <v>757</v>
      </c>
      <c r="G13850">
        <v>0</v>
      </c>
      <c r="H13850" t="s">
        <v>18714</v>
      </c>
      <c r="I13850">
        <v>15662</v>
      </c>
      <c r="J13850" t="str">
        <f>VLOOKUP(E13850,DSSpieler!A:B,2,FALSE)</f>
        <v>nur mal schaun</v>
      </c>
    </row>
    <row r="13851" spans="1:10" x14ac:dyDescent="0.25">
      <c r="A13851">
        <v>15663</v>
      </c>
      <c r="B13851" t="s">
        <v>531</v>
      </c>
      <c r="C13851">
        <v>466</v>
      </c>
      <c r="D13851">
        <v>386</v>
      </c>
      <c r="E13851">
        <v>0</v>
      </c>
      <c r="F13851">
        <v>766</v>
      </c>
      <c r="G13851">
        <v>0</v>
      </c>
      <c r="H13851" t="s">
        <v>18715</v>
      </c>
      <c r="I13851">
        <v>15663</v>
      </c>
      <c r="J13851" t="e">
        <f>VLOOKUP(E13851,DSSpieler!A:B,2,FALSE)</f>
        <v>#N/A</v>
      </c>
    </row>
    <row r="13852" spans="1:10" x14ac:dyDescent="0.25">
      <c r="A13852">
        <v>15664</v>
      </c>
      <c r="B13852" t="s">
        <v>531</v>
      </c>
      <c r="C13852">
        <v>381</v>
      </c>
      <c r="D13852">
        <v>518</v>
      </c>
      <c r="E13852">
        <v>0</v>
      </c>
      <c r="F13852">
        <v>197</v>
      </c>
      <c r="G13852">
        <v>0</v>
      </c>
      <c r="H13852" t="s">
        <v>18716</v>
      </c>
      <c r="I13852">
        <v>15664</v>
      </c>
      <c r="J13852" t="e">
        <f>VLOOKUP(E13852,DSSpieler!A:B,2,FALSE)</f>
        <v>#N/A</v>
      </c>
    </row>
    <row r="13853" spans="1:10" x14ac:dyDescent="0.25">
      <c r="A13853">
        <v>15666</v>
      </c>
      <c r="B13853" t="s">
        <v>531</v>
      </c>
      <c r="C13853">
        <v>428</v>
      </c>
      <c r="D13853">
        <v>403</v>
      </c>
      <c r="E13853">
        <v>0</v>
      </c>
      <c r="F13853">
        <v>1017</v>
      </c>
      <c r="G13853">
        <v>0</v>
      </c>
      <c r="H13853" t="s">
        <v>18717</v>
      </c>
      <c r="I13853">
        <v>15666</v>
      </c>
      <c r="J13853" t="e">
        <f>VLOOKUP(E13853,DSSpieler!A:B,2,FALSE)</f>
        <v>#N/A</v>
      </c>
    </row>
    <row r="13854" spans="1:10" x14ac:dyDescent="0.25">
      <c r="A13854">
        <v>15667</v>
      </c>
      <c r="B13854" t="s">
        <v>35167</v>
      </c>
      <c r="C13854">
        <v>440</v>
      </c>
      <c r="D13854">
        <v>395</v>
      </c>
      <c r="E13854">
        <v>8804334</v>
      </c>
      <c r="F13854">
        <v>2361</v>
      </c>
      <c r="G13854">
        <v>0</v>
      </c>
      <c r="H13854" t="s">
        <v>18718</v>
      </c>
      <c r="I13854">
        <v>15667</v>
      </c>
      <c r="J13854" t="str">
        <f>VLOOKUP(E13854,DSSpieler!A:B,2,FALSE)</f>
        <v>Schbabba</v>
      </c>
    </row>
    <row r="13855" spans="1:10" x14ac:dyDescent="0.25">
      <c r="A13855">
        <v>15669</v>
      </c>
      <c r="B13855" t="s">
        <v>531</v>
      </c>
      <c r="C13855">
        <v>613</v>
      </c>
      <c r="D13855">
        <v>535</v>
      </c>
      <c r="E13855">
        <v>0</v>
      </c>
      <c r="F13855">
        <v>140</v>
      </c>
      <c r="G13855">
        <v>0</v>
      </c>
      <c r="H13855" t="s">
        <v>18719</v>
      </c>
      <c r="I13855">
        <v>15669</v>
      </c>
      <c r="J13855" t="e">
        <f>VLOOKUP(E13855,DSSpieler!A:B,2,FALSE)</f>
        <v>#N/A</v>
      </c>
    </row>
    <row r="13856" spans="1:10" x14ac:dyDescent="0.25">
      <c r="A13856">
        <v>15670</v>
      </c>
      <c r="B13856" t="s">
        <v>35168</v>
      </c>
      <c r="C13856">
        <v>597</v>
      </c>
      <c r="D13856">
        <v>427</v>
      </c>
      <c r="E13856">
        <v>232227</v>
      </c>
      <c r="F13856">
        <v>419</v>
      </c>
      <c r="G13856">
        <v>0</v>
      </c>
      <c r="H13856" t="s">
        <v>18720</v>
      </c>
      <c r="I13856">
        <v>15670</v>
      </c>
      <c r="J13856" t="str">
        <f>VLOOKUP(E13856,DSSpieler!A:B,2,FALSE)</f>
        <v>xmarlon</v>
      </c>
    </row>
    <row r="13857" spans="1:10" x14ac:dyDescent="0.25">
      <c r="A13857">
        <v>15671</v>
      </c>
      <c r="B13857" t="s">
        <v>531</v>
      </c>
      <c r="C13857">
        <v>431</v>
      </c>
      <c r="D13857">
        <v>405</v>
      </c>
      <c r="E13857">
        <v>0</v>
      </c>
      <c r="F13857">
        <v>130</v>
      </c>
      <c r="G13857">
        <v>0</v>
      </c>
      <c r="H13857" t="s">
        <v>18721</v>
      </c>
      <c r="I13857">
        <v>15671</v>
      </c>
      <c r="J13857" t="e">
        <f>VLOOKUP(E13857,DSSpieler!A:B,2,FALSE)</f>
        <v>#N/A</v>
      </c>
    </row>
    <row r="13858" spans="1:10" x14ac:dyDescent="0.25">
      <c r="A13858">
        <v>15674</v>
      </c>
      <c r="B13858" t="s">
        <v>2424</v>
      </c>
      <c r="C13858">
        <v>467</v>
      </c>
      <c r="D13858">
        <v>386</v>
      </c>
      <c r="E13858">
        <v>1577201526</v>
      </c>
      <c r="F13858">
        <v>4303</v>
      </c>
      <c r="G13858">
        <v>0</v>
      </c>
      <c r="H13858" t="s">
        <v>18722</v>
      </c>
      <c r="I13858">
        <v>15674</v>
      </c>
      <c r="J13858" t="str">
        <f>VLOOKUP(E13858,DSSpieler!A:B,2,FALSE)</f>
        <v>Vurok</v>
      </c>
    </row>
    <row r="13859" spans="1:10" x14ac:dyDescent="0.25">
      <c r="A13859">
        <v>15675</v>
      </c>
      <c r="B13859" t="s">
        <v>531</v>
      </c>
      <c r="C13859">
        <v>455</v>
      </c>
      <c r="D13859">
        <v>389</v>
      </c>
      <c r="E13859">
        <v>0</v>
      </c>
      <c r="F13859">
        <v>176</v>
      </c>
      <c r="G13859">
        <v>0</v>
      </c>
      <c r="H13859" t="s">
        <v>18723</v>
      </c>
      <c r="I13859">
        <v>15675</v>
      </c>
      <c r="J13859" t="e">
        <f>VLOOKUP(E13859,DSSpieler!A:B,2,FALSE)</f>
        <v>#N/A</v>
      </c>
    </row>
    <row r="13860" spans="1:10" x14ac:dyDescent="0.25">
      <c r="A13860">
        <v>15676</v>
      </c>
      <c r="B13860">
        <v>1</v>
      </c>
      <c r="C13860">
        <v>384</v>
      </c>
      <c r="D13860">
        <v>485</v>
      </c>
      <c r="E13860">
        <v>9394779</v>
      </c>
      <c r="F13860">
        <v>4820</v>
      </c>
      <c r="G13860">
        <v>0</v>
      </c>
      <c r="H13860" t="s">
        <v>18724</v>
      </c>
      <c r="I13860">
        <v>15676</v>
      </c>
      <c r="J13860" t="str">
        <f>VLOOKUP(E13860,DSSpieler!A:B,2,FALSE)</f>
        <v>L3on07</v>
      </c>
    </row>
    <row r="13861" spans="1:10" x14ac:dyDescent="0.25">
      <c r="A13861">
        <v>15677</v>
      </c>
      <c r="B13861" t="s">
        <v>531</v>
      </c>
      <c r="C13861">
        <v>516</v>
      </c>
      <c r="D13861">
        <v>393</v>
      </c>
      <c r="E13861">
        <v>0</v>
      </c>
      <c r="F13861">
        <v>205</v>
      </c>
      <c r="G13861">
        <v>0</v>
      </c>
      <c r="H13861" t="s">
        <v>18725</v>
      </c>
      <c r="I13861">
        <v>15677</v>
      </c>
      <c r="J13861" t="e">
        <f>VLOOKUP(E13861,DSSpieler!A:B,2,FALSE)</f>
        <v>#N/A</v>
      </c>
    </row>
    <row r="13862" spans="1:10" x14ac:dyDescent="0.25">
      <c r="A13862">
        <v>15679</v>
      </c>
      <c r="B13862" t="s">
        <v>35169</v>
      </c>
      <c r="C13862">
        <v>406</v>
      </c>
      <c r="D13862">
        <v>423</v>
      </c>
      <c r="E13862">
        <v>1576904547</v>
      </c>
      <c r="F13862">
        <v>525</v>
      </c>
      <c r="G13862">
        <v>0</v>
      </c>
      <c r="H13862" t="s">
        <v>18726</v>
      </c>
      <c r="I13862">
        <v>15679</v>
      </c>
      <c r="J13862" t="str">
        <f>VLOOKUP(E13862,DSSpieler!A:B,2,FALSE)</f>
        <v>pt1102</v>
      </c>
    </row>
    <row r="13863" spans="1:10" x14ac:dyDescent="0.25">
      <c r="A13863">
        <v>15680</v>
      </c>
      <c r="B13863" t="s">
        <v>2425</v>
      </c>
      <c r="C13863">
        <v>602</v>
      </c>
      <c r="D13863">
        <v>562</v>
      </c>
      <c r="E13863">
        <v>848875464</v>
      </c>
      <c r="F13863">
        <v>2894</v>
      </c>
      <c r="G13863">
        <v>0</v>
      </c>
      <c r="H13863" t="s">
        <v>18727</v>
      </c>
      <c r="I13863">
        <v>15680</v>
      </c>
      <c r="J13863" t="str">
        <f>VLOOKUP(E13863,DSSpieler!A:B,2,FALSE)</f>
        <v>Ewedor</v>
      </c>
    </row>
    <row r="13864" spans="1:10" x14ac:dyDescent="0.25">
      <c r="A13864">
        <v>15681</v>
      </c>
      <c r="B13864">
        <v>3</v>
      </c>
      <c r="C13864">
        <v>506</v>
      </c>
      <c r="D13864">
        <v>620</v>
      </c>
      <c r="E13864">
        <v>7782438</v>
      </c>
      <c r="F13864">
        <v>314</v>
      </c>
      <c r="G13864">
        <v>0</v>
      </c>
      <c r="H13864" t="s">
        <v>18728</v>
      </c>
      <c r="I13864">
        <v>15681</v>
      </c>
      <c r="J13864" t="str">
        <f>VLOOKUP(E13864,DSSpieler!A:B,2,FALSE)</f>
        <v>dick sein ist rund</v>
      </c>
    </row>
    <row r="13865" spans="1:10" x14ac:dyDescent="0.25">
      <c r="A13865">
        <v>15682</v>
      </c>
      <c r="B13865" t="s">
        <v>531</v>
      </c>
      <c r="C13865">
        <v>621</v>
      </c>
      <c r="D13865">
        <v>498</v>
      </c>
      <c r="E13865">
        <v>0</v>
      </c>
      <c r="F13865">
        <v>116</v>
      </c>
      <c r="G13865">
        <v>0</v>
      </c>
      <c r="H13865" t="s">
        <v>18729</v>
      </c>
      <c r="I13865">
        <v>15682</v>
      </c>
      <c r="J13865" t="e">
        <f>VLOOKUP(E13865,DSSpieler!A:B,2,FALSE)</f>
        <v>#N/A</v>
      </c>
    </row>
    <row r="13866" spans="1:10" x14ac:dyDescent="0.25">
      <c r="A13866">
        <v>15684</v>
      </c>
      <c r="B13866" t="s">
        <v>531</v>
      </c>
      <c r="C13866">
        <v>454</v>
      </c>
      <c r="D13866">
        <v>392</v>
      </c>
      <c r="E13866">
        <v>0</v>
      </c>
      <c r="F13866">
        <v>109</v>
      </c>
      <c r="G13866">
        <v>0</v>
      </c>
      <c r="H13866" t="s">
        <v>18730</v>
      </c>
      <c r="I13866">
        <v>15684</v>
      </c>
      <c r="J13866" t="e">
        <f>VLOOKUP(E13866,DSSpieler!A:B,2,FALSE)</f>
        <v>#N/A</v>
      </c>
    </row>
    <row r="13867" spans="1:10" x14ac:dyDescent="0.25">
      <c r="A13867">
        <v>15685</v>
      </c>
      <c r="B13867" t="s">
        <v>2426</v>
      </c>
      <c r="C13867">
        <v>488</v>
      </c>
      <c r="D13867">
        <v>621</v>
      </c>
      <c r="E13867">
        <v>1577161997</v>
      </c>
      <c r="F13867">
        <v>346</v>
      </c>
      <c r="G13867">
        <v>0</v>
      </c>
      <c r="H13867" t="s">
        <v>18731</v>
      </c>
      <c r="I13867">
        <v>15685</v>
      </c>
      <c r="J13867" t="str">
        <f>VLOOKUP(E13867,DSSpieler!A:B,2,FALSE)</f>
        <v>LadyHara</v>
      </c>
    </row>
    <row r="13868" spans="1:10" x14ac:dyDescent="0.25">
      <c r="A13868">
        <v>15686</v>
      </c>
      <c r="B13868" t="s">
        <v>531</v>
      </c>
      <c r="C13868">
        <v>440</v>
      </c>
      <c r="D13868">
        <v>604</v>
      </c>
      <c r="E13868">
        <v>0</v>
      </c>
      <c r="F13868">
        <v>85</v>
      </c>
      <c r="G13868">
        <v>0</v>
      </c>
      <c r="H13868" t="s">
        <v>18732</v>
      </c>
      <c r="I13868">
        <v>15686</v>
      </c>
      <c r="J13868" t="e">
        <f>VLOOKUP(E13868,DSSpieler!A:B,2,FALSE)</f>
        <v>#N/A</v>
      </c>
    </row>
    <row r="13869" spans="1:10" x14ac:dyDescent="0.25">
      <c r="A13869">
        <v>15687</v>
      </c>
      <c r="B13869" t="s">
        <v>531</v>
      </c>
      <c r="C13869">
        <v>393</v>
      </c>
      <c r="D13869">
        <v>452</v>
      </c>
      <c r="E13869">
        <v>0</v>
      </c>
      <c r="F13869">
        <v>129</v>
      </c>
      <c r="G13869">
        <v>0</v>
      </c>
      <c r="H13869" t="s">
        <v>18733</v>
      </c>
      <c r="I13869">
        <v>15687</v>
      </c>
      <c r="J13869" t="e">
        <f>VLOOKUP(E13869,DSSpieler!A:B,2,FALSE)</f>
        <v>#N/A</v>
      </c>
    </row>
    <row r="13870" spans="1:10" x14ac:dyDescent="0.25">
      <c r="A13870">
        <v>15688</v>
      </c>
      <c r="B13870" t="s">
        <v>35170</v>
      </c>
      <c r="C13870">
        <v>590</v>
      </c>
      <c r="D13870">
        <v>579</v>
      </c>
      <c r="E13870">
        <v>1577202202</v>
      </c>
      <c r="F13870">
        <v>1479</v>
      </c>
      <c r="G13870">
        <v>0</v>
      </c>
      <c r="H13870" t="s">
        <v>18734</v>
      </c>
      <c r="I13870">
        <v>15688</v>
      </c>
      <c r="J13870" t="str">
        <f>VLOOKUP(E13870,DSSpieler!A:B,2,FALSE)</f>
        <v>Corsinbro</v>
      </c>
    </row>
    <row r="13871" spans="1:10" x14ac:dyDescent="0.25">
      <c r="A13871">
        <v>15689</v>
      </c>
      <c r="B13871" t="s">
        <v>2427</v>
      </c>
      <c r="C13871">
        <v>420</v>
      </c>
      <c r="D13871">
        <v>411</v>
      </c>
      <c r="E13871">
        <v>1577202386</v>
      </c>
      <c r="F13871">
        <v>259</v>
      </c>
      <c r="G13871">
        <v>0</v>
      </c>
      <c r="H13871" t="s">
        <v>18735</v>
      </c>
      <c r="I13871">
        <v>15689</v>
      </c>
      <c r="J13871" t="str">
        <f>VLOOKUP(E13871,DSSpieler!A:B,2,FALSE)</f>
        <v>Hulla</v>
      </c>
    </row>
    <row r="13872" spans="1:10" x14ac:dyDescent="0.25">
      <c r="A13872">
        <v>15690</v>
      </c>
      <c r="B13872" t="s">
        <v>2428</v>
      </c>
      <c r="C13872">
        <v>524</v>
      </c>
      <c r="D13872">
        <v>384</v>
      </c>
      <c r="E13872">
        <v>1577202765</v>
      </c>
      <c r="F13872">
        <v>4337</v>
      </c>
      <c r="G13872">
        <v>0</v>
      </c>
      <c r="H13872" t="s">
        <v>18736</v>
      </c>
      <c r="I13872">
        <v>15690</v>
      </c>
      <c r="J13872" t="str">
        <f>VLOOKUP(E13872,DSSpieler!A:B,2,FALSE)</f>
        <v>FrogWithCloak</v>
      </c>
    </row>
    <row r="13873" spans="1:10" x14ac:dyDescent="0.25">
      <c r="A13873">
        <v>15691</v>
      </c>
      <c r="B13873" t="s">
        <v>531</v>
      </c>
      <c r="C13873">
        <v>430</v>
      </c>
      <c r="D13873">
        <v>599</v>
      </c>
      <c r="E13873">
        <v>0</v>
      </c>
      <c r="F13873">
        <v>503</v>
      </c>
      <c r="G13873">
        <v>0</v>
      </c>
      <c r="H13873" t="s">
        <v>18737</v>
      </c>
      <c r="I13873">
        <v>15691</v>
      </c>
      <c r="J13873" t="e">
        <f>VLOOKUP(E13873,DSSpieler!A:B,2,FALSE)</f>
        <v>#N/A</v>
      </c>
    </row>
    <row r="13874" spans="1:10" x14ac:dyDescent="0.25">
      <c r="A13874">
        <v>15692</v>
      </c>
      <c r="B13874" t="s">
        <v>531</v>
      </c>
      <c r="C13874">
        <v>496</v>
      </c>
      <c r="D13874">
        <v>379</v>
      </c>
      <c r="E13874">
        <v>0</v>
      </c>
      <c r="F13874">
        <v>92</v>
      </c>
      <c r="G13874">
        <v>0</v>
      </c>
      <c r="H13874" t="s">
        <v>18738</v>
      </c>
      <c r="I13874">
        <v>15692</v>
      </c>
      <c r="J13874" t="e">
        <f>VLOOKUP(E13874,DSSpieler!A:B,2,FALSE)</f>
        <v>#N/A</v>
      </c>
    </row>
    <row r="13875" spans="1:10" x14ac:dyDescent="0.25">
      <c r="A13875">
        <v>15693</v>
      </c>
      <c r="B13875" t="s">
        <v>531</v>
      </c>
      <c r="C13875">
        <v>469</v>
      </c>
      <c r="D13875">
        <v>382</v>
      </c>
      <c r="E13875">
        <v>0</v>
      </c>
      <c r="F13875">
        <v>255</v>
      </c>
      <c r="G13875">
        <v>0</v>
      </c>
      <c r="H13875" t="s">
        <v>18739</v>
      </c>
      <c r="I13875">
        <v>15693</v>
      </c>
      <c r="J13875" t="e">
        <f>VLOOKUP(E13875,DSSpieler!A:B,2,FALSE)</f>
        <v>#N/A</v>
      </c>
    </row>
    <row r="13876" spans="1:10" x14ac:dyDescent="0.25">
      <c r="A13876">
        <v>15694</v>
      </c>
      <c r="B13876" t="s">
        <v>30492</v>
      </c>
      <c r="C13876">
        <v>426</v>
      </c>
      <c r="D13876">
        <v>593</v>
      </c>
      <c r="E13876">
        <v>1577202769</v>
      </c>
      <c r="F13876">
        <v>764</v>
      </c>
      <c r="G13876">
        <v>0</v>
      </c>
      <c r="H13876" t="s">
        <v>18740</v>
      </c>
      <c r="I13876">
        <v>15694</v>
      </c>
      <c r="J13876" t="str">
        <f>VLOOKUP(E13876,DSSpieler!A:B,2,FALSE)</f>
        <v>huba bubba</v>
      </c>
    </row>
    <row r="13877" spans="1:10" x14ac:dyDescent="0.25">
      <c r="A13877">
        <v>15695</v>
      </c>
      <c r="B13877">
        <v>2</v>
      </c>
      <c r="C13877">
        <v>388</v>
      </c>
      <c r="D13877">
        <v>453</v>
      </c>
      <c r="E13877">
        <v>1576311874</v>
      </c>
      <c r="F13877">
        <v>4066</v>
      </c>
      <c r="G13877">
        <v>0</v>
      </c>
      <c r="H13877" t="s">
        <v>495</v>
      </c>
      <c r="I13877">
        <v>15695</v>
      </c>
      <c r="J13877" t="str">
        <f>VLOOKUP(E13877,DSSpieler!A:B,2,FALSE)</f>
        <v>Jakob.1</v>
      </c>
    </row>
    <row r="13878" spans="1:10" x14ac:dyDescent="0.25">
      <c r="A13878">
        <v>15697</v>
      </c>
      <c r="B13878" t="s">
        <v>35171</v>
      </c>
      <c r="C13878">
        <v>380</v>
      </c>
      <c r="D13878">
        <v>483</v>
      </c>
      <c r="E13878">
        <v>1577065593</v>
      </c>
      <c r="F13878">
        <v>338</v>
      </c>
      <c r="G13878">
        <v>0</v>
      </c>
      <c r="H13878" t="s">
        <v>18741</v>
      </c>
      <c r="I13878">
        <v>15697</v>
      </c>
      <c r="J13878" t="str">
        <f>VLOOKUP(E13878,DSSpieler!A:B,2,FALSE)</f>
        <v>DomiZockt17</v>
      </c>
    </row>
    <row r="13879" spans="1:10" x14ac:dyDescent="0.25">
      <c r="A13879">
        <v>15698</v>
      </c>
      <c r="B13879" t="s">
        <v>604</v>
      </c>
      <c r="C13879">
        <v>516</v>
      </c>
      <c r="D13879">
        <v>380</v>
      </c>
      <c r="E13879">
        <v>2557919</v>
      </c>
      <c r="F13879">
        <v>2083</v>
      </c>
      <c r="G13879">
        <v>0</v>
      </c>
      <c r="H13879" t="s">
        <v>18742</v>
      </c>
      <c r="I13879">
        <v>15698</v>
      </c>
      <c r="J13879" t="str">
        <f>VLOOKUP(E13879,DSSpieler!A:B,2,FALSE)</f>
        <v>niklerarasa</v>
      </c>
    </row>
    <row r="13880" spans="1:10" x14ac:dyDescent="0.25">
      <c r="A13880">
        <v>15699</v>
      </c>
      <c r="B13880" t="s">
        <v>531</v>
      </c>
      <c r="C13880">
        <v>488</v>
      </c>
      <c r="D13880">
        <v>385</v>
      </c>
      <c r="E13880">
        <v>0</v>
      </c>
      <c r="F13880">
        <v>111</v>
      </c>
      <c r="G13880">
        <v>0</v>
      </c>
      <c r="H13880" t="s">
        <v>18743</v>
      </c>
      <c r="I13880">
        <v>15699</v>
      </c>
      <c r="J13880" t="e">
        <f>VLOOKUP(E13880,DSSpieler!A:B,2,FALSE)</f>
        <v>#N/A</v>
      </c>
    </row>
    <row r="13881" spans="1:10" x14ac:dyDescent="0.25">
      <c r="A13881">
        <v>15700</v>
      </c>
      <c r="B13881" t="s">
        <v>531</v>
      </c>
      <c r="C13881">
        <v>530</v>
      </c>
      <c r="D13881">
        <v>384</v>
      </c>
      <c r="E13881">
        <v>0</v>
      </c>
      <c r="F13881">
        <v>102</v>
      </c>
      <c r="G13881">
        <v>0</v>
      </c>
      <c r="H13881" t="s">
        <v>18744</v>
      </c>
      <c r="I13881">
        <v>15700</v>
      </c>
      <c r="J13881" t="e">
        <f>VLOOKUP(E13881,DSSpieler!A:B,2,FALSE)</f>
        <v>#N/A</v>
      </c>
    </row>
    <row r="13882" spans="1:10" x14ac:dyDescent="0.25">
      <c r="A13882">
        <v>15701</v>
      </c>
      <c r="B13882" t="s">
        <v>35172</v>
      </c>
      <c r="C13882">
        <v>575</v>
      </c>
      <c r="D13882">
        <v>410</v>
      </c>
      <c r="E13882">
        <v>9900841</v>
      </c>
      <c r="F13882">
        <v>38</v>
      </c>
      <c r="G13882">
        <v>0</v>
      </c>
      <c r="H13882" t="s">
        <v>18745</v>
      </c>
      <c r="I13882">
        <v>15701</v>
      </c>
      <c r="J13882" t="str">
        <f>VLOOKUP(E13882,DSSpieler!A:B,2,FALSE)</f>
        <v>Gustav xD</v>
      </c>
    </row>
    <row r="13883" spans="1:10" x14ac:dyDescent="0.25">
      <c r="A13883">
        <v>15702</v>
      </c>
      <c r="B13883" t="s">
        <v>2429</v>
      </c>
      <c r="C13883">
        <v>435</v>
      </c>
      <c r="D13883">
        <v>602</v>
      </c>
      <c r="E13883">
        <v>1577202788</v>
      </c>
      <c r="F13883">
        <v>878</v>
      </c>
      <c r="G13883">
        <v>0</v>
      </c>
      <c r="H13883" t="s">
        <v>18746</v>
      </c>
      <c r="I13883">
        <v>15702</v>
      </c>
      <c r="J13883" t="str">
        <f>VLOOKUP(E13883,DSSpieler!A:B,2,FALSE)</f>
        <v>Jochen25</v>
      </c>
    </row>
    <row r="13884" spans="1:10" x14ac:dyDescent="0.25">
      <c r="A13884">
        <v>15703</v>
      </c>
      <c r="B13884" t="s">
        <v>531</v>
      </c>
      <c r="C13884">
        <v>486</v>
      </c>
      <c r="D13884">
        <v>447</v>
      </c>
      <c r="E13884">
        <v>0</v>
      </c>
      <c r="F13884">
        <v>196</v>
      </c>
      <c r="G13884">
        <v>0</v>
      </c>
      <c r="H13884" t="s">
        <v>18747</v>
      </c>
      <c r="I13884">
        <v>15703</v>
      </c>
      <c r="J13884" t="e">
        <f>VLOOKUP(E13884,DSSpieler!A:B,2,FALSE)</f>
        <v>#N/A</v>
      </c>
    </row>
    <row r="13885" spans="1:10" x14ac:dyDescent="0.25">
      <c r="A13885">
        <v>15704</v>
      </c>
      <c r="B13885" t="s">
        <v>35173</v>
      </c>
      <c r="C13885">
        <v>461</v>
      </c>
      <c r="D13885">
        <v>614</v>
      </c>
      <c r="E13885">
        <v>1577202794</v>
      </c>
      <c r="F13885">
        <v>3858</v>
      </c>
      <c r="G13885">
        <v>0</v>
      </c>
      <c r="H13885" t="s">
        <v>18748</v>
      </c>
      <c r="I13885">
        <v>15704</v>
      </c>
      <c r="J13885" t="str">
        <f>VLOOKUP(E13885,DSSpieler!A:B,2,FALSE)</f>
        <v>Rödler</v>
      </c>
    </row>
    <row r="13886" spans="1:10" x14ac:dyDescent="0.25">
      <c r="A13886">
        <v>15705</v>
      </c>
      <c r="B13886" t="s">
        <v>35174</v>
      </c>
      <c r="C13886">
        <v>383</v>
      </c>
      <c r="D13886">
        <v>494</v>
      </c>
      <c r="E13886">
        <v>1577160244</v>
      </c>
      <c r="F13886">
        <v>430</v>
      </c>
      <c r="G13886">
        <v>0</v>
      </c>
      <c r="H13886" t="s">
        <v>18749</v>
      </c>
      <c r="I13886">
        <v>15705</v>
      </c>
      <c r="J13886" t="str">
        <f>VLOOKUP(E13886,DSSpieler!A:B,2,FALSE)</f>
        <v>lord s23</v>
      </c>
    </row>
    <row r="13887" spans="1:10" x14ac:dyDescent="0.25">
      <c r="A13887">
        <v>15707</v>
      </c>
      <c r="B13887" t="s">
        <v>2430</v>
      </c>
      <c r="C13887">
        <v>510</v>
      </c>
      <c r="D13887">
        <v>515</v>
      </c>
      <c r="E13887">
        <v>8945393</v>
      </c>
      <c r="F13887">
        <v>2082</v>
      </c>
      <c r="G13887">
        <v>0</v>
      </c>
      <c r="H13887" t="s">
        <v>18750</v>
      </c>
      <c r="I13887">
        <v>15707</v>
      </c>
      <c r="J13887" t="str">
        <f>VLOOKUP(E13887,DSSpieler!A:B,2,FALSE)</f>
        <v>Maus-15</v>
      </c>
    </row>
    <row r="13888" spans="1:10" x14ac:dyDescent="0.25">
      <c r="A13888">
        <v>15708</v>
      </c>
      <c r="B13888" t="s">
        <v>531</v>
      </c>
      <c r="C13888">
        <v>621</v>
      </c>
      <c r="D13888">
        <v>506</v>
      </c>
      <c r="E13888">
        <v>0</v>
      </c>
      <c r="F13888">
        <v>58</v>
      </c>
      <c r="G13888">
        <v>0</v>
      </c>
      <c r="H13888" t="s">
        <v>18751</v>
      </c>
      <c r="I13888">
        <v>15708</v>
      </c>
      <c r="J13888" t="e">
        <f>VLOOKUP(E13888,DSSpieler!A:B,2,FALSE)</f>
        <v>#N/A</v>
      </c>
    </row>
    <row r="13889" spans="1:10" x14ac:dyDescent="0.25">
      <c r="A13889">
        <v>15709</v>
      </c>
      <c r="B13889" t="s">
        <v>531</v>
      </c>
      <c r="C13889">
        <v>435</v>
      </c>
      <c r="D13889">
        <v>402</v>
      </c>
      <c r="E13889">
        <v>0</v>
      </c>
      <c r="F13889">
        <v>222</v>
      </c>
      <c r="G13889">
        <v>0</v>
      </c>
      <c r="H13889" t="s">
        <v>18752</v>
      </c>
      <c r="I13889">
        <v>15709</v>
      </c>
      <c r="J13889" t="e">
        <f>VLOOKUP(E13889,DSSpieler!A:B,2,FALSE)</f>
        <v>#N/A</v>
      </c>
    </row>
    <row r="13890" spans="1:10" x14ac:dyDescent="0.25">
      <c r="A13890">
        <v>15710</v>
      </c>
      <c r="B13890" t="s">
        <v>2431</v>
      </c>
      <c r="C13890">
        <v>391</v>
      </c>
      <c r="D13890">
        <v>555</v>
      </c>
      <c r="E13890">
        <v>1577202806</v>
      </c>
      <c r="F13890">
        <v>701</v>
      </c>
      <c r="G13890">
        <v>0</v>
      </c>
      <c r="H13890" t="s">
        <v>18753</v>
      </c>
      <c r="I13890">
        <v>15710</v>
      </c>
      <c r="J13890" t="str">
        <f>VLOOKUP(E13890,DSSpieler!A:B,2,FALSE)</f>
        <v>Slaughter</v>
      </c>
    </row>
    <row r="13891" spans="1:10" x14ac:dyDescent="0.25">
      <c r="A13891">
        <v>15711</v>
      </c>
      <c r="B13891" t="s">
        <v>531</v>
      </c>
      <c r="C13891">
        <v>422</v>
      </c>
      <c r="D13891">
        <v>590</v>
      </c>
      <c r="E13891">
        <v>0</v>
      </c>
      <c r="F13891">
        <v>75</v>
      </c>
      <c r="G13891">
        <v>0</v>
      </c>
      <c r="H13891" t="s">
        <v>18754</v>
      </c>
      <c r="I13891">
        <v>15711</v>
      </c>
      <c r="J13891" t="e">
        <f>VLOOKUP(E13891,DSSpieler!A:B,2,FALSE)</f>
        <v>#N/A</v>
      </c>
    </row>
    <row r="13892" spans="1:10" x14ac:dyDescent="0.25">
      <c r="A13892">
        <v>15712</v>
      </c>
      <c r="B13892" t="s">
        <v>35857</v>
      </c>
      <c r="C13892">
        <v>422</v>
      </c>
      <c r="D13892">
        <v>582</v>
      </c>
      <c r="E13892">
        <v>8342313</v>
      </c>
      <c r="F13892">
        <v>6124</v>
      </c>
      <c r="G13892">
        <v>0</v>
      </c>
      <c r="H13892" t="s">
        <v>18755</v>
      </c>
      <c r="I13892">
        <v>15712</v>
      </c>
      <c r="J13892" t="str">
        <f>VLOOKUP(E13892,DSSpieler!A:B,2,FALSE)</f>
        <v>Jaqen H ghar</v>
      </c>
    </row>
    <row r="13893" spans="1:10" x14ac:dyDescent="0.25">
      <c r="A13893">
        <v>15713</v>
      </c>
      <c r="B13893" t="s">
        <v>2432</v>
      </c>
      <c r="C13893">
        <v>551</v>
      </c>
      <c r="D13893">
        <v>594</v>
      </c>
      <c r="E13893">
        <v>1576956415</v>
      </c>
      <c r="F13893">
        <v>2091</v>
      </c>
      <c r="G13893">
        <v>0</v>
      </c>
      <c r="H13893" t="s">
        <v>18756</v>
      </c>
      <c r="I13893">
        <v>15713</v>
      </c>
      <c r="J13893" t="str">
        <f>VLOOKUP(E13893,DSSpieler!A:B,2,FALSE)</f>
        <v>dafälltmirnixein</v>
      </c>
    </row>
    <row r="13894" spans="1:10" x14ac:dyDescent="0.25">
      <c r="A13894">
        <v>15714</v>
      </c>
      <c r="B13894" t="s">
        <v>531</v>
      </c>
      <c r="C13894">
        <v>620</v>
      </c>
      <c r="D13894">
        <v>491</v>
      </c>
      <c r="E13894">
        <v>0</v>
      </c>
      <c r="F13894">
        <v>182</v>
      </c>
      <c r="G13894">
        <v>0</v>
      </c>
      <c r="H13894" t="s">
        <v>18757</v>
      </c>
      <c r="I13894">
        <v>15714</v>
      </c>
      <c r="J13894" t="e">
        <f>VLOOKUP(E13894,DSSpieler!A:B,2,FALSE)</f>
        <v>#N/A</v>
      </c>
    </row>
    <row r="13895" spans="1:10" x14ac:dyDescent="0.25">
      <c r="A13895">
        <v>15715</v>
      </c>
      <c r="B13895" t="s">
        <v>531</v>
      </c>
      <c r="C13895">
        <v>444</v>
      </c>
      <c r="D13895">
        <v>603</v>
      </c>
      <c r="E13895">
        <v>0</v>
      </c>
      <c r="F13895">
        <v>33</v>
      </c>
      <c r="G13895">
        <v>0</v>
      </c>
      <c r="H13895" t="s">
        <v>18758</v>
      </c>
      <c r="I13895">
        <v>15715</v>
      </c>
      <c r="J13895" t="e">
        <f>VLOOKUP(E13895,DSSpieler!A:B,2,FALSE)</f>
        <v>#N/A</v>
      </c>
    </row>
    <row r="13896" spans="1:10" x14ac:dyDescent="0.25">
      <c r="A13896">
        <v>15717</v>
      </c>
      <c r="B13896" t="s">
        <v>531</v>
      </c>
      <c r="C13896">
        <v>619</v>
      </c>
      <c r="D13896">
        <v>500</v>
      </c>
      <c r="E13896">
        <v>0</v>
      </c>
      <c r="F13896">
        <v>313</v>
      </c>
      <c r="G13896">
        <v>0</v>
      </c>
      <c r="H13896" t="s">
        <v>18759</v>
      </c>
      <c r="I13896">
        <v>15717</v>
      </c>
      <c r="J13896" t="e">
        <f>VLOOKUP(E13896,DSSpieler!A:B,2,FALSE)</f>
        <v>#N/A</v>
      </c>
    </row>
    <row r="13897" spans="1:10" x14ac:dyDescent="0.25">
      <c r="A13897">
        <v>15718</v>
      </c>
      <c r="B13897" t="s">
        <v>531</v>
      </c>
      <c r="C13897">
        <v>609</v>
      </c>
      <c r="D13897">
        <v>460</v>
      </c>
      <c r="E13897">
        <v>0</v>
      </c>
      <c r="F13897">
        <v>212</v>
      </c>
      <c r="G13897">
        <v>0</v>
      </c>
      <c r="H13897" t="s">
        <v>18760</v>
      </c>
      <c r="I13897">
        <v>15718</v>
      </c>
      <c r="J13897" t="e">
        <f>VLOOKUP(E13897,DSSpieler!A:B,2,FALSE)</f>
        <v>#N/A</v>
      </c>
    </row>
    <row r="13898" spans="1:10" x14ac:dyDescent="0.25">
      <c r="A13898">
        <v>15719</v>
      </c>
      <c r="B13898" t="s">
        <v>35175</v>
      </c>
      <c r="C13898">
        <v>480</v>
      </c>
      <c r="D13898">
        <v>384</v>
      </c>
      <c r="E13898">
        <v>2485478</v>
      </c>
      <c r="F13898">
        <v>2209</v>
      </c>
      <c r="G13898">
        <v>0</v>
      </c>
      <c r="H13898" t="s">
        <v>18761</v>
      </c>
      <c r="I13898">
        <v>15719</v>
      </c>
      <c r="J13898" t="str">
        <f>VLOOKUP(E13898,DSSpieler!A:B,2,FALSE)</f>
        <v>Sneeter</v>
      </c>
    </row>
    <row r="13899" spans="1:10" x14ac:dyDescent="0.25">
      <c r="A13899">
        <v>15720</v>
      </c>
      <c r="B13899" t="s">
        <v>531</v>
      </c>
      <c r="C13899">
        <v>379</v>
      </c>
      <c r="D13899">
        <v>509</v>
      </c>
      <c r="E13899">
        <v>0</v>
      </c>
      <c r="F13899">
        <v>113</v>
      </c>
      <c r="G13899">
        <v>0</v>
      </c>
      <c r="H13899" t="s">
        <v>18762</v>
      </c>
      <c r="I13899">
        <v>15720</v>
      </c>
      <c r="J13899" t="e">
        <f>VLOOKUP(E13899,DSSpieler!A:B,2,FALSE)</f>
        <v>#N/A</v>
      </c>
    </row>
    <row r="13900" spans="1:10" x14ac:dyDescent="0.25">
      <c r="A13900">
        <v>15721</v>
      </c>
      <c r="B13900" t="s">
        <v>35176</v>
      </c>
      <c r="C13900">
        <v>561</v>
      </c>
      <c r="D13900">
        <v>401</v>
      </c>
      <c r="E13900">
        <v>1576500302</v>
      </c>
      <c r="F13900">
        <v>3896</v>
      </c>
      <c r="G13900">
        <v>0</v>
      </c>
      <c r="H13900" t="s">
        <v>18763</v>
      </c>
      <c r="I13900">
        <v>15721</v>
      </c>
      <c r="J13900" t="str">
        <f>VLOOKUP(E13900,DSSpieler!A:B,2,FALSE)</f>
        <v>Calypso1919</v>
      </c>
    </row>
    <row r="13901" spans="1:10" x14ac:dyDescent="0.25">
      <c r="A13901">
        <v>15722</v>
      </c>
      <c r="B13901" t="s">
        <v>667</v>
      </c>
      <c r="C13901">
        <v>398</v>
      </c>
      <c r="D13901">
        <v>441</v>
      </c>
      <c r="E13901">
        <v>76346</v>
      </c>
      <c r="F13901">
        <v>912</v>
      </c>
      <c r="G13901">
        <v>0</v>
      </c>
      <c r="H13901" t="s">
        <v>18764</v>
      </c>
      <c r="I13901">
        <v>15722</v>
      </c>
      <c r="J13901" t="str">
        <f>VLOOKUP(E13901,DSSpieler!A:B,2,FALSE)</f>
        <v>Meierd2</v>
      </c>
    </row>
    <row r="13902" spans="1:10" x14ac:dyDescent="0.25">
      <c r="A13902">
        <v>15723</v>
      </c>
      <c r="B13902" t="s">
        <v>30493</v>
      </c>
      <c r="C13902">
        <v>618</v>
      </c>
      <c r="D13902">
        <v>479</v>
      </c>
      <c r="E13902">
        <v>1577202839</v>
      </c>
      <c r="F13902">
        <v>199</v>
      </c>
      <c r="G13902">
        <v>0</v>
      </c>
      <c r="H13902" t="s">
        <v>18765</v>
      </c>
      <c r="I13902">
        <v>15723</v>
      </c>
      <c r="J13902" t="str">
        <f>VLOOKUP(E13902,DSSpieler!A:B,2,FALSE)</f>
        <v>LäBär04</v>
      </c>
    </row>
    <row r="13903" spans="1:10" x14ac:dyDescent="0.25">
      <c r="A13903">
        <v>15724</v>
      </c>
      <c r="B13903" t="s">
        <v>531</v>
      </c>
      <c r="C13903">
        <v>406</v>
      </c>
      <c r="D13903">
        <v>429</v>
      </c>
      <c r="E13903">
        <v>0</v>
      </c>
      <c r="F13903">
        <v>196</v>
      </c>
      <c r="G13903">
        <v>0</v>
      </c>
      <c r="H13903" t="s">
        <v>18766</v>
      </c>
      <c r="I13903">
        <v>15724</v>
      </c>
      <c r="J13903" t="e">
        <f>VLOOKUP(E13903,DSSpieler!A:B,2,FALSE)</f>
        <v>#N/A</v>
      </c>
    </row>
    <row r="13904" spans="1:10" x14ac:dyDescent="0.25">
      <c r="A13904">
        <v>15725</v>
      </c>
      <c r="B13904">
        <v>-3</v>
      </c>
      <c r="C13904">
        <v>468</v>
      </c>
      <c r="D13904">
        <v>612</v>
      </c>
      <c r="E13904">
        <v>1577197106</v>
      </c>
      <c r="F13904">
        <v>1701</v>
      </c>
      <c r="G13904">
        <v>0</v>
      </c>
      <c r="H13904" t="s">
        <v>18767</v>
      </c>
      <c r="I13904">
        <v>15725</v>
      </c>
      <c r="J13904" t="str">
        <f>VLOOKUP(E13904,DSSpieler!A:B,2,FALSE)</f>
        <v>marcelbk</v>
      </c>
    </row>
    <row r="13905" spans="1:10" x14ac:dyDescent="0.25">
      <c r="A13905">
        <v>15726</v>
      </c>
      <c r="B13905" t="s">
        <v>531</v>
      </c>
      <c r="C13905">
        <v>421</v>
      </c>
      <c r="D13905">
        <v>586</v>
      </c>
      <c r="E13905">
        <v>0</v>
      </c>
      <c r="F13905">
        <v>151</v>
      </c>
      <c r="G13905">
        <v>0</v>
      </c>
      <c r="H13905" t="s">
        <v>18768</v>
      </c>
      <c r="I13905">
        <v>15726</v>
      </c>
      <c r="J13905" t="e">
        <f>VLOOKUP(E13905,DSSpieler!A:B,2,FALSE)</f>
        <v>#N/A</v>
      </c>
    </row>
    <row r="13906" spans="1:10" x14ac:dyDescent="0.25">
      <c r="A13906">
        <v>15727</v>
      </c>
      <c r="B13906" t="s">
        <v>531</v>
      </c>
      <c r="C13906">
        <v>585</v>
      </c>
      <c r="D13906">
        <v>581</v>
      </c>
      <c r="E13906">
        <v>0</v>
      </c>
      <c r="F13906">
        <v>133</v>
      </c>
      <c r="G13906">
        <v>0</v>
      </c>
      <c r="H13906" t="s">
        <v>18769</v>
      </c>
      <c r="I13906">
        <v>15727</v>
      </c>
      <c r="J13906" t="e">
        <f>VLOOKUP(E13906,DSSpieler!A:B,2,FALSE)</f>
        <v>#N/A</v>
      </c>
    </row>
    <row r="13907" spans="1:10" x14ac:dyDescent="0.25">
      <c r="A13907">
        <v>15729</v>
      </c>
      <c r="B13907" t="s">
        <v>531</v>
      </c>
      <c r="C13907">
        <v>414</v>
      </c>
      <c r="D13907">
        <v>447</v>
      </c>
      <c r="E13907">
        <v>0</v>
      </c>
      <c r="F13907">
        <v>212</v>
      </c>
      <c r="G13907">
        <v>0</v>
      </c>
      <c r="H13907" t="s">
        <v>18770</v>
      </c>
      <c r="I13907">
        <v>15729</v>
      </c>
      <c r="J13907" t="e">
        <f>VLOOKUP(E13907,DSSpieler!A:B,2,FALSE)</f>
        <v>#N/A</v>
      </c>
    </row>
    <row r="13908" spans="1:10" x14ac:dyDescent="0.25">
      <c r="A13908">
        <v>15730</v>
      </c>
      <c r="B13908" t="s">
        <v>531</v>
      </c>
      <c r="C13908">
        <v>507</v>
      </c>
      <c r="D13908">
        <v>619</v>
      </c>
      <c r="E13908">
        <v>0</v>
      </c>
      <c r="F13908">
        <v>270</v>
      </c>
      <c r="G13908">
        <v>0</v>
      </c>
      <c r="H13908" t="s">
        <v>18771</v>
      </c>
      <c r="I13908">
        <v>15730</v>
      </c>
      <c r="J13908" t="e">
        <f>VLOOKUP(E13908,DSSpieler!A:B,2,FALSE)</f>
        <v>#N/A</v>
      </c>
    </row>
    <row r="13909" spans="1:10" x14ac:dyDescent="0.25">
      <c r="A13909">
        <v>15731</v>
      </c>
      <c r="B13909" t="s">
        <v>531</v>
      </c>
      <c r="C13909">
        <v>433</v>
      </c>
      <c r="D13909">
        <v>597</v>
      </c>
      <c r="E13909">
        <v>0</v>
      </c>
      <c r="F13909">
        <v>81</v>
      </c>
      <c r="G13909">
        <v>0</v>
      </c>
      <c r="H13909" t="s">
        <v>18772</v>
      </c>
      <c r="I13909">
        <v>15731</v>
      </c>
      <c r="J13909" t="e">
        <f>VLOOKUP(E13909,DSSpieler!A:B,2,FALSE)</f>
        <v>#N/A</v>
      </c>
    </row>
    <row r="13910" spans="1:10" x14ac:dyDescent="0.25">
      <c r="A13910">
        <v>15732</v>
      </c>
      <c r="B13910" t="s">
        <v>2433</v>
      </c>
      <c r="C13910">
        <v>430</v>
      </c>
      <c r="D13910">
        <v>600</v>
      </c>
      <c r="E13910">
        <v>1576610239</v>
      </c>
      <c r="F13910">
        <v>3607</v>
      </c>
      <c r="G13910">
        <v>0</v>
      </c>
      <c r="H13910" t="s">
        <v>18773</v>
      </c>
      <c r="I13910">
        <v>15732</v>
      </c>
      <c r="J13910" t="str">
        <f>VLOOKUP(E13910,DSSpieler!A:B,2,FALSE)</f>
        <v>IMatzeI</v>
      </c>
    </row>
    <row r="13911" spans="1:10" x14ac:dyDescent="0.25">
      <c r="A13911">
        <v>15734</v>
      </c>
      <c r="B13911" t="s">
        <v>35177</v>
      </c>
      <c r="C13911">
        <v>416</v>
      </c>
      <c r="D13911">
        <v>413</v>
      </c>
      <c r="E13911">
        <v>1575888967</v>
      </c>
      <c r="F13911">
        <v>648</v>
      </c>
      <c r="G13911">
        <v>0</v>
      </c>
      <c r="H13911" t="s">
        <v>18774</v>
      </c>
      <c r="I13911">
        <v>15734</v>
      </c>
      <c r="J13911" t="str">
        <f>VLOOKUP(E13911,DSSpieler!A:B,2,FALSE)</f>
        <v>NightReptile</v>
      </c>
    </row>
    <row r="13912" spans="1:10" x14ac:dyDescent="0.25">
      <c r="A13912">
        <v>15735</v>
      </c>
      <c r="B13912" t="s">
        <v>531</v>
      </c>
      <c r="C13912">
        <v>619</v>
      </c>
      <c r="D13912">
        <v>485</v>
      </c>
      <c r="E13912">
        <v>0</v>
      </c>
      <c r="F13912">
        <v>256</v>
      </c>
      <c r="G13912">
        <v>0</v>
      </c>
      <c r="H13912" t="s">
        <v>18775</v>
      </c>
      <c r="I13912">
        <v>15735</v>
      </c>
      <c r="J13912" t="e">
        <f>VLOOKUP(E13912,DSSpieler!A:B,2,FALSE)</f>
        <v>#N/A</v>
      </c>
    </row>
    <row r="13913" spans="1:10" x14ac:dyDescent="0.25">
      <c r="A13913">
        <v>15736</v>
      </c>
      <c r="B13913" t="s">
        <v>531</v>
      </c>
      <c r="C13913">
        <v>576</v>
      </c>
      <c r="D13913">
        <v>410</v>
      </c>
      <c r="E13913">
        <v>0</v>
      </c>
      <c r="F13913">
        <v>135</v>
      </c>
      <c r="G13913">
        <v>0</v>
      </c>
      <c r="H13913" t="s">
        <v>18776</v>
      </c>
      <c r="I13913">
        <v>15736</v>
      </c>
      <c r="J13913" t="e">
        <f>VLOOKUP(E13913,DSSpieler!A:B,2,FALSE)</f>
        <v>#N/A</v>
      </c>
    </row>
    <row r="13914" spans="1:10" x14ac:dyDescent="0.25">
      <c r="A13914">
        <v>15737</v>
      </c>
      <c r="B13914" t="s">
        <v>531</v>
      </c>
      <c r="C13914">
        <v>463</v>
      </c>
      <c r="D13914">
        <v>385</v>
      </c>
      <c r="E13914">
        <v>0</v>
      </c>
      <c r="F13914">
        <v>523</v>
      </c>
      <c r="G13914">
        <v>0</v>
      </c>
      <c r="H13914" t="s">
        <v>18777</v>
      </c>
      <c r="I13914">
        <v>15737</v>
      </c>
      <c r="J13914" t="e">
        <f>VLOOKUP(E13914,DSSpieler!A:B,2,FALSE)</f>
        <v>#N/A</v>
      </c>
    </row>
    <row r="13915" spans="1:10" x14ac:dyDescent="0.25">
      <c r="A13915">
        <v>15738</v>
      </c>
      <c r="B13915" t="s">
        <v>2434</v>
      </c>
      <c r="C13915">
        <v>539</v>
      </c>
      <c r="D13915">
        <v>614</v>
      </c>
      <c r="E13915">
        <v>1577069804</v>
      </c>
      <c r="F13915">
        <v>852</v>
      </c>
      <c r="G13915">
        <v>0</v>
      </c>
      <c r="H13915" t="s">
        <v>18778</v>
      </c>
      <c r="I13915">
        <v>15738</v>
      </c>
      <c r="J13915" t="str">
        <f>VLOOKUP(E13915,DSSpieler!A:B,2,FALSE)</f>
        <v>eragon</v>
      </c>
    </row>
    <row r="13916" spans="1:10" x14ac:dyDescent="0.25">
      <c r="A13916">
        <v>15740</v>
      </c>
      <c r="B13916" t="s">
        <v>531</v>
      </c>
      <c r="C13916">
        <v>584</v>
      </c>
      <c r="D13916">
        <v>417</v>
      </c>
      <c r="E13916">
        <v>0</v>
      </c>
      <c r="F13916">
        <v>267</v>
      </c>
      <c r="G13916">
        <v>0</v>
      </c>
      <c r="H13916" t="s">
        <v>18779</v>
      </c>
      <c r="I13916">
        <v>15740</v>
      </c>
      <c r="J13916" t="e">
        <f>VLOOKUP(E13916,DSSpieler!A:B,2,FALSE)</f>
        <v>#N/A</v>
      </c>
    </row>
    <row r="13917" spans="1:10" x14ac:dyDescent="0.25">
      <c r="A13917">
        <v>15741</v>
      </c>
      <c r="B13917" t="s">
        <v>2435</v>
      </c>
      <c r="C13917">
        <v>568</v>
      </c>
      <c r="D13917">
        <v>597</v>
      </c>
      <c r="E13917">
        <v>1577145105</v>
      </c>
      <c r="F13917">
        <v>358</v>
      </c>
      <c r="G13917">
        <v>0</v>
      </c>
      <c r="H13917" t="s">
        <v>18780</v>
      </c>
      <c r="I13917">
        <v>15741</v>
      </c>
      <c r="J13917" t="str">
        <f>VLOOKUP(E13917,DSSpieler!A:B,2,FALSE)</f>
        <v>adamweisshaupt</v>
      </c>
    </row>
    <row r="13918" spans="1:10" x14ac:dyDescent="0.25">
      <c r="A13918">
        <v>15742</v>
      </c>
      <c r="B13918" t="s">
        <v>35178</v>
      </c>
      <c r="C13918">
        <v>478</v>
      </c>
      <c r="D13918">
        <v>386</v>
      </c>
      <c r="E13918">
        <v>1577153348</v>
      </c>
      <c r="F13918">
        <v>1944</v>
      </c>
      <c r="G13918">
        <v>0</v>
      </c>
      <c r="H13918" t="s">
        <v>18781</v>
      </c>
      <c r="I13918">
        <v>15742</v>
      </c>
      <c r="J13918" t="str">
        <f>VLOOKUP(E13918,DSSpieler!A:B,2,FALSE)</f>
        <v>Rengeldengel86</v>
      </c>
    </row>
    <row r="13919" spans="1:10" x14ac:dyDescent="0.25">
      <c r="A13919">
        <v>15743</v>
      </c>
      <c r="B13919" t="s">
        <v>774</v>
      </c>
      <c r="C13919">
        <v>420</v>
      </c>
      <c r="D13919">
        <v>416</v>
      </c>
      <c r="E13919">
        <v>1577158010</v>
      </c>
      <c r="F13919">
        <v>978</v>
      </c>
      <c r="G13919">
        <v>0</v>
      </c>
      <c r="H13919" t="s">
        <v>18782</v>
      </c>
      <c r="I13919">
        <v>15743</v>
      </c>
      <c r="J13919" t="str">
        <f>VLOOKUP(E13919,DSSpieler!A:B,2,FALSE)</f>
        <v>mnzke</v>
      </c>
    </row>
    <row r="13920" spans="1:10" x14ac:dyDescent="0.25">
      <c r="A13920">
        <v>15744</v>
      </c>
      <c r="B13920" t="s">
        <v>531</v>
      </c>
      <c r="C13920">
        <v>615</v>
      </c>
      <c r="D13920">
        <v>468</v>
      </c>
      <c r="E13920">
        <v>0</v>
      </c>
      <c r="F13920">
        <v>105</v>
      </c>
      <c r="G13920">
        <v>0</v>
      </c>
      <c r="H13920" t="s">
        <v>18783</v>
      </c>
      <c r="I13920">
        <v>15744</v>
      </c>
      <c r="J13920" t="e">
        <f>VLOOKUP(E13920,DSSpieler!A:B,2,FALSE)</f>
        <v>#N/A</v>
      </c>
    </row>
    <row r="13921" spans="1:10" x14ac:dyDescent="0.25">
      <c r="A13921">
        <v>15745</v>
      </c>
      <c r="B13921" t="s">
        <v>531</v>
      </c>
      <c r="C13921">
        <v>602</v>
      </c>
      <c r="D13921">
        <v>558</v>
      </c>
      <c r="E13921">
        <v>0</v>
      </c>
      <c r="F13921">
        <v>189</v>
      </c>
      <c r="G13921">
        <v>0</v>
      </c>
      <c r="H13921" t="s">
        <v>18784</v>
      </c>
      <c r="I13921">
        <v>15745</v>
      </c>
      <c r="J13921" t="e">
        <f>VLOOKUP(E13921,DSSpieler!A:B,2,FALSE)</f>
        <v>#N/A</v>
      </c>
    </row>
    <row r="13922" spans="1:10" x14ac:dyDescent="0.25">
      <c r="A13922">
        <v>15746</v>
      </c>
      <c r="B13922" t="s">
        <v>531</v>
      </c>
      <c r="C13922">
        <v>497</v>
      </c>
      <c r="D13922">
        <v>540</v>
      </c>
      <c r="E13922">
        <v>0</v>
      </c>
      <c r="F13922">
        <v>616</v>
      </c>
      <c r="G13922">
        <v>0</v>
      </c>
      <c r="H13922" t="s">
        <v>18785</v>
      </c>
      <c r="I13922">
        <v>15746</v>
      </c>
      <c r="J13922" t="e">
        <f>VLOOKUP(E13922,DSSpieler!A:B,2,FALSE)</f>
        <v>#N/A</v>
      </c>
    </row>
    <row r="13923" spans="1:10" x14ac:dyDescent="0.25">
      <c r="A13923">
        <v>15747</v>
      </c>
      <c r="B13923" t="s">
        <v>531</v>
      </c>
      <c r="C13923">
        <v>482</v>
      </c>
      <c r="D13923">
        <v>382</v>
      </c>
      <c r="E13923">
        <v>0</v>
      </c>
      <c r="F13923">
        <v>381</v>
      </c>
      <c r="G13923">
        <v>0</v>
      </c>
      <c r="H13923" t="s">
        <v>18786</v>
      </c>
      <c r="I13923">
        <v>15747</v>
      </c>
      <c r="J13923" t="e">
        <f>VLOOKUP(E13923,DSSpieler!A:B,2,FALSE)</f>
        <v>#N/A</v>
      </c>
    </row>
    <row r="13924" spans="1:10" x14ac:dyDescent="0.25">
      <c r="A13924">
        <v>15748</v>
      </c>
      <c r="B13924" t="s">
        <v>35179</v>
      </c>
      <c r="C13924">
        <v>511</v>
      </c>
      <c r="D13924">
        <v>620</v>
      </c>
      <c r="E13924">
        <v>1577202894</v>
      </c>
      <c r="F13924">
        <v>4951</v>
      </c>
      <c r="G13924">
        <v>0</v>
      </c>
      <c r="H13924" t="s">
        <v>18787</v>
      </c>
      <c r="I13924">
        <v>15748</v>
      </c>
      <c r="J13924" t="str">
        <f>VLOOKUP(E13924,DSSpieler!A:B,2,FALSE)</f>
        <v>BreakTheCircle</v>
      </c>
    </row>
    <row r="13925" spans="1:10" x14ac:dyDescent="0.25">
      <c r="A13925">
        <v>15749</v>
      </c>
      <c r="B13925" t="s">
        <v>531</v>
      </c>
      <c r="C13925">
        <v>397</v>
      </c>
      <c r="D13925">
        <v>436</v>
      </c>
      <c r="E13925">
        <v>0</v>
      </c>
      <c r="F13925">
        <v>224</v>
      </c>
      <c r="G13925">
        <v>0</v>
      </c>
      <c r="H13925" t="s">
        <v>18788</v>
      </c>
      <c r="I13925">
        <v>15749</v>
      </c>
      <c r="J13925" t="e">
        <f>VLOOKUP(E13925,DSSpieler!A:B,2,FALSE)</f>
        <v>#N/A</v>
      </c>
    </row>
    <row r="13926" spans="1:10" x14ac:dyDescent="0.25">
      <c r="A13926">
        <v>15750</v>
      </c>
      <c r="B13926" t="s">
        <v>531</v>
      </c>
      <c r="C13926">
        <v>440</v>
      </c>
      <c r="D13926">
        <v>602</v>
      </c>
      <c r="E13926">
        <v>0</v>
      </c>
      <c r="F13926">
        <v>991</v>
      </c>
      <c r="G13926">
        <v>0</v>
      </c>
      <c r="H13926" t="s">
        <v>18789</v>
      </c>
      <c r="I13926">
        <v>15750</v>
      </c>
      <c r="J13926" t="e">
        <f>VLOOKUP(E13926,DSSpieler!A:B,2,FALSE)</f>
        <v>#N/A</v>
      </c>
    </row>
    <row r="13927" spans="1:10" x14ac:dyDescent="0.25">
      <c r="A13927">
        <v>15751</v>
      </c>
      <c r="B13927" t="s">
        <v>35180</v>
      </c>
      <c r="C13927">
        <v>478</v>
      </c>
      <c r="D13927">
        <v>384</v>
      </c>
      <c r="E13927">
        <v>2740401</v>
      </c>
      <c r="F13927">
        <v>1706</v>
      </c>
      <c r="G13927">
        <v>0</v>
      </c>
      <c r="H13927" t="s">
        <v>18790</v>
      </c>
      <c r="I13927">
        <v>15751</v>
      </c>
      <c r="J13927" t="str">
        <f>VLOOKUP(E13927,DSSpieler!A:B,2,FALSE)</f>
        <v>keppi1968</v>
      </c>
    </row>
    <row r="13928" spans="1:10" x14ac:dyDescent="0.25">
      <c r="A13928">
        <v>15752</v>
      </c>
      <c r="B13928" t="s">
        <v>531</v>
      </c>
      <c r="C13928">
        <v>392</v>
      </c>
      <c r="D13928">
        <v>450</v>
      </c>
      <c r="E13928">
        <v>0</v>
      </c>
      <c r="F13928">
        <v>137</v>
      </c>
      <c r="G13928">
        <v>0</v>
      </c>
      <c r="H13928" t="s">
        <v>18791</v>
      </c>
      <c r="I13928">
        <v>15752</v>
      </c>
      <c r="J13928" t="e">
        <f>VLOOKUP(E13928,DSSpieler!A:B,2,FALSE)</f>
        <v>#N/A</v>
      </c>
    </row>
    <row r="13929" spans="1:10" x14ac:dyDescent="0.25">
      <c r="A13929">
        <v>15753</v>
      </c>
      <c r="B13929" t="s">
        <v>531</v>
      </c>
      <c r="C13929">
        <v>533</v>
      </c>
      <c r="D13929">
        <v>612</v>
      </c>
      <c r="E13929">
        <v>0</v>
      </c>
      <c r="F13929">
        <v>128</v>
      </c>
      <c r="G13929">
        <v>0</v>
      </c>
      <c r="H13929" t="s">
        <v>18792</v>
      </c>
      <c r="I13929">
        <v>15753</v>
      </c>
      <c r="J13929" t="e">
        <f>VLOOKUP(E13929,DSSpieler!A:B,2,FALSE)</f>
        <v>#N/A</v>
      </c>
    </row>
    <row r="13930" spans="1:10" x14ac:dyDescent="0.25">
      <c r="A13930">
        <v>15755</v>
      </c>
      <c r="B13930" t="s">
        <v>531</v>
      </c>
      <c r="C13930">
        <v>549</v>
      </c>
      <c r="D13930">
        <v>605</v>
      </c>
      <c r="E13930">
        <v>0</v>
      </c>
      <c r="F13930">
        <v>233</v>
      </c>
      <c r="G13930">
        <v>0</v>
      </c>
      <c r="H13930" t="s">
        <v>18793</v>
      </c>
      <c r="I13930">
        <v>15755</v>
      </c>
      <c r="J13930" t="e">
        <f>VLOOKUP(E13930,DSSpieler!A:B,2,FALSE)</f>
        <v>#N/A</v>
      </c>
    </row>
    <row r="13931" spans="1:10" x14ac:dyDescent="0.25">
      <c r="A13931">
        <v>15756</v>
      </c>
      <c r="B13931" t="s">
        <v>2436</v>
      </c>
      <c r="C13931">
        <v>432</v>
      </c>
      <c r="D13931">
        <v>402</v>
      </c>
      <c r="E13931">
        <v>9891889</v>
      </c>
      <c r="F13931">
        <v>3504</v>
      </c>
      <c r="G13931">
        <v>0</v>
      </c>
      <c r="H13931" t="s">
        <v>18794</v>
      </c>
      <c r="I13931">
        <v>15756</v>
      </c>
      <c r="J13931" t="str">
        <f>VLOOKUP(E13931,DSSpieler!A:B,2,FALSE)</f>
        <v>yumSchoki</v>
      </c>
    </row>
    <row r="13932" spans="1:10" x14ac:dyDescent="0.25">
      <c r="A13932">
        <v>15757</v>
      </c>
      <c r="B13932" t="s">
        <v>531</v>
      </c>
      <c r="C13932">
        <v>577</v>
      </c>
      <c r="D13932">
        <v>408</v>
      </c>
      <c r="E13932">
        <v>0</v>
      </c>
      <c r="F13932">
        <v>205</v>
      </c>
      <c r="G13932">
        <v>0</v>
      </c>
      <c r="H13932" t="s">
        <v>18795</v>
      </c>
      <c r="I13932">
        <v>15757</v>
      </c>
      <c r="J13932" t="e">
        <f>VLOOKUP(E13932,DSSpieler!A:B,2,FALSE)</f>
        <v>#N/A</v>
      </c>
    </row>
    <row r="13933" spans="1:10" x14ac:dyDescent="0.25">
      <c r="A13933">
        <v>15758</v>
      </c>
      <c r="B13933" t="s">
        <v>531</v>
      </c>
      <c r="C13933">
        <v>603</v>
      </c>
      <c r="D13933">
        <v>557</v>
      </c>
      <c r="E13933">
        <v>0</v>
      </c>
      <c r="F13933">
        <v>364</v>
      </c>
      <c r="G13933">
        <v>0</v>
      </c>
      <c r="H13933" t="s">
        <v>18796</v>
      </c>
      <c r="I13933">
        <v>15758</v>
      </c>
      <c r="J13933" t="e">
        <f>VLOOKUP(E13933,DSSpieler!A:B,2,FALSE)</f>
        <v>#N/A</v>
      </c>
    </row>
    <row r="13934" spans="1:10" x14ac:dyDescent="0.25">
      <c r="A13934">
        <v>15759</v>
      </c>
      <c r="B13934" t="s">
        <v>531</v>
      </c>
      <c r="C13934">
        <v>424</v>
      </c>
      <c r="D13934">
        <v>588</v>
      </c>
      <c r="E13934">
        <v>0</v>
      </c>
      <c r="F13934">
        <v>172</v>
      </c>
      <c r="G13934">
        <v>0</v>
      </c>
      <c r="H13934" t="s">
        <v>18797</v>
      </c>
      <c r="I13934">
        <v>15759</v>
      </c>
      <c r="J13934" t="e">
        <f>VLOOKUP(E13934,DSSpieler!A:B,2,FALSE)</f>
        <v>#N/A</v>
      </c>
    </row>
    <row r="13935" spans="1:10" x14ac:dyDescent="0.25">
      <c r="A13935">
        <v>15761</v>
      </c>
      <c r="B13935" t="s">
        <v>531</v>
      </c>
      <c r="C13935">
        <v>379</v>
      </c>
      <c r="D13935">
        <v>504</v>
      </c>
      <c r="E13935">
        <v>0</v>
      </c>
      <c r="F13935">
        <v>114</v>
      </c>
      <c r="G13935">
        <v>0</v>
      </c>
      <c r="H13935" t="s">
        <v>18798</v>
      </c>
      <c r="I13935">
        <v>15761</v>
      </c>
      <c r="J13935" t="e">
        <f>VLOOKUP(E13935,DSSpieler!A:B,2,FALSE)</f>
        <v>#N/A</v>
      </c>
    </row>
    <row r="13936" spans="1:10" x14ac:dyDescent="0.25">
      <c r="A13936">
        <v>15762</v>
      </c>
      <c r="B13936" t="s">
        <v>31062</v>
      </c>
      <c r="C13936">
        <v>466</v>
      </c>
      <c r="D13936">
        <v>601</v>
      </c>
      <c r="E13936">
        <v>9706179</v>
      </c>
      <c r="F13936">
        <v>2647</v>
      </c>
      <c r="G13936">
        <v>0</v>
      </c>
      <c r="H13936" t="s">
        <v>18799</v>
      </c>
      <c r="I13936">
        <v>15762</v>
      </c>
      <c r="J13936" t="str">
        <f>VLOOKUP(E13936,DSSpieler!A:B,2,FALSE)</f>
        <v>up to no good</v>
      </c>
    </row>
    <row r="13937" spans="1:10" x14ac:dyDescent="0.25">
      <c r="A13937">
        <v>15763</v>
      </c>
      <c r="B13937" t="s">
        <v>35181</v>
      </c>
      <c r="C13937">
        <v>485</v>
      </c>
      <c r="D13937">
        <v>380</v>
      </c>
      <c r="E13937">
        <v>908101</v>
      </c>
      <c r="F13937">
        <v>1053</v>
      </c>
      <c r="G13937">
        <v>0</v>
      </c>
      <c r="H13937" t="s">
        <v>18800</v>
      </c>
      <c r="I13937">
        <v>15763</v>
      </c>
      <c r="J13937" t="str">
        <f>VLOOKUP(E13937,DSSpieler!A:B,2,FALSE)</f>
        <v>slaven-town</v>
      </c>
    </row>
    <row r="13938" spans="1:10" x14ac:dyDescent="0.25">
      <c r="A13938">
        <v>15764</v>
      </c>
      <c r="B13938" t="s">
        <v>531</v>
      </c>
      <c r="C13938">
        <v>382</v>
      </c>
      <c r="D13938">
        <v>476</v>
      </c>
      <c r="E13938">
        <v>0</v>
      </c>
      <c r="F13938">
        <v>107</v>
      </c>
      <c r="G13938">
        <v>0</v>
      </c>
      <c r="H13938" t="s">
        <v>18801</v>
      </c>
      <c r="I13938">
        <v>15764</v>
      </c>
      <c r="J13938" t="e">
        <f>VLOOKUP(E13938,DSSpieler!A:B,2,FALSE)</f>
        <v>#N/A</v>
      </c>
    </row>
    <row r="13939" spans="1:10" x14ac:dyDescent="0.25">
      <c r="A13939">
        <v>15765</v>
      </c>
      <c r="B13939" t="s">
        <v>531</v>
      </c>
      <c r="C13939">
        <v>420</v>
      </c>
      <c r="D13939">
        <v>585</v>
      </c>
      <c r="E13939">
        <v>0</v>
      </c>
      <c r="F13939">
        <v>247</v>
      </c>
      <c r="G13939">
        <v>0</v>
      </c>
      <c r="H13939" t="s">
        <v>18802</v>
      </c>
      <c r="I13939">
        <v>15765</v>
      </c>
      <c r="J13939" t="e">
        <f>VLOOKUP(E13939,DSSpieler!A:B,2,FALSE)</f>
        <v>#N/A</v>
      </c>
    </row>
    <row r="13940" spans="1:10" x14ac:dyDescent="0.25">
      <c r="A13940">
        <v>15766</v>
      </c>
      <c r="B13940" t="s">
        <v>2437</v>
      </c>
      <c r="C13940">
        <v>591</v>
      </c>
      <c r="D13940">
        <v>577</v>
      </c>
      <c r="E13940">
        <v>1577033300</v>
      </c>
      <c r="F13940">
        <v>5194</v>
      </c>
      <c r="G13940">
        <v>0</v>
      </c>
      <c r="H13940" t="s">
        <v>18803</v>
      </c>
      <c r="I13940">
        <v>15766</v>
      </c>
      <c r="J13940" t="str">
        <f>VLOOKUP(E13940,DSSpieler!A:B,2,FALSE)</f>
        <v>Umanic</v>
      </c>
    </row>
    <row r="13941" spans="1:10" x14ac:dyDescent="0.25">
      <c r="A13941">
        <v>15767</v>
      </c>
      <c r="B13941" t="s">
        <v>2438</v>
      </c>
      <c r="C13941">
        <v>483</v>
      </c>
      <c r="D13941">
        <v>388</v>
      </c>
      <c r="E13941">
        <v>10257301</v>
      </c>
      <c r="F13941">
        <v>1220</v>
      </c>
      <c r="G13941">
        <v>0</v>
      </c>
      <c r="H13941" t="s">
        <v>18804</v>
      </c>
      <c r="I13941">
        <v>15767</v>
      </c>
      <c r="J13941" t="str">
        <f>VLOOKUP(E13941,DSSpieler!A:B,2,FALSE)</f>
        <v>marceltressl</v>
      </c>
    </row>
    <row r="13942" spans="1:10" x14ac:dyDescent="0.25">
      <c r="A13942">
        <v>15768</v>
      </c>
      <c r="B13942" t="s">
        <v>35182</v>
      </c>
      <c r="C13942">
        <v>592</v>
      </c>
      <c r="D13942">
        <v>513</v>
      </c>
      <c r="E13942">
        <v>1575980673</v>
      </c>
      <c r="F13942">
        <v>227</v>
      </c>
      <c r="G13942">
        <v>0</v>
      </c>
      <c r="H13942" t="s">
        <v>18805</v>
      </c>
      <c r="I13942">
        <v>15768</v>
      </c>
      <c r="J13942" t="str">
        <f>VLOOKUP(E13942,DSSpieler!A:B,2,FALSE)</f>
        <v>Bauer03</v>
      </c>
    </row>
    <row r="13943" spans="1:10" x14ac:dyDescent="0.25">
      <c r="A13943">
        <v>15769</v>
      </c>
      <c r="B13943" t="s">
        <v>531</v>
      </c>
      <c r="C13943">
        <v>453</v>
      </c>
      <c r="D13943">
        <v>391</v>
      </c>
      <c r="E13943">
        <v>0</v>
      </c>
      <c r="F13943">
        <v>224</v>
      </c>
      <c r="G13943">
        <v>0</v>
      </c>
      <c r="H13943" t="s">
        <v>18806</v>
      </c>
      <c r="I13943">
        <v>15769</v>
      </c>
      <c r="J13943" t="e">
        <f>VLOOKUP(E13943,DSSpieler!A:B,2,FALSE)</f>
        <v>#N/A</v>
      </c>
    </row>
    <row r="13944" spans="1:10" x14ac:dyDescent="0.25">
      <c r="A13944">
        <v>15770</v>
      </c>
      <c r="B13944" t="s">
        <v>531</v>
      </c>
      <c r="C13944">
        <v>602</v>
      </c>
      <c r="D13944">
        <v>442</v>
      </c>
      <c r="E13944">
        <v>0</v>
      </c>
      <c r="F13944">
        <v>94</v>
      </c>
      <c r="G13944">
        <v>0</v>
      </c>
      <c r="H13944" t="s">
        <v>18807</v>
      </c>
      <c r="I13944">
        <v>15770</v>
      </c>
      <c r="J13944" t="e">
        <f>VLOOKUP(E13944,DSSpieler!A:B,2,FALSE)</f>
        <v>#N/A</v>
      </c>
    </row>
    <row r="13945" spans="1:10" x14ac:dyDescent="0.25">
      <c r="A13945">
        <v>15771</v>
      </c>
      <c r="B13945" t="s">
        <v>531</v>
      </c>
      <c r="C13945">
        <v>559</v>
      </c>
      <c r="D13945">
        <v>576</v>
      </c>
      <c r="E13945">
        <v>0</v>
      </c>
      <c r="F13945">
        <v>171</v>
      </c>
      <c r="G13945">
        <v>0</v>
      </c>
      <c r="H13945" t="s">
        <v>18808</v>
      </c>
      <c r="I13945">
        <v>15771</v>
      </c>
      <c r="J13945" t="e">
        <f>VLOOKUP(E13945,DSSpieler!A:B,2,FALSE)</f>
        <v>#N/A</v>
      </c>
    </row>
    <row r="13946" spans="1:10" x14ac:dyDescent="0.25">
      <c r="A13946">
        <v>15772</v>
      </c>
      <c r="B13946" t="s">
        <v>35183</v>
      </c>
      <c r="C13946">
        <v>594</v>
      </c>
      <c r="D13946">
        <v>423</v>
      </c>
      <c r="E13946">
        <v>412698</v>
      </c>
      <c r="F13946">
        <v>3641</v>
      </c>
      <c r="G13946">
        <v>0</v>
      </c>
      <c r="H13946" t="s">
        <v>18809</v>
      </c>
      <c r="I13946">
        <v>15772</v>
      </c>
      <c r="J13946" t="str">
        <f>VLOOKUP(E13946,DSSpieler!A:B,2,FALSE)</f>
        <v>Berlichingen</v>
      </c>
    </row>
    <row r="13947" spans="1:10" x14ac:dyDescent="0.25">
      <c r="A13947">
        <v>15774</v>
      </c>
      <c r="B13947" t="s">
        <v>531</v>
      </c>
      <c r="C13947">
        <v>505</v>
      </c>
      <c r="D13947">
        <v>535</v>
      </c>
      <c r="E13947">
        <v>0</v>
      </c>
      <c r="F13947">
        <v>312</v>
      </c>
      <c r="G13947">
        <v>0</v>
      </c>
      <c r="H13947" t="s">
        <v>18810</v>
      </c>
      <c r="I13947">
        <v>15774</v>
      </c>
      <c r="J13947" t="e">
        <f>VLOOKUP(E13947,DSSpieler!A:B,2,FALSE)</f>
        <v>#N/A</v>
      </c>
    </row>
    <row r="13948" spans="1:10" x14ac:dyDescent="0.25">
      <c r="A13948">
        <v>15775</v>
      </c>
      <c r="B13948" t="s">
        <v>726</v>
      </c>
      <c r="C13948">
        <v>598</v>
      </c>
      <c r="D13948">
        <v>573</v>
      </c>
      <c r="E13948">
        <v>1576814505</v>
      </c>
      <c r="F13948">
        <v>3759</v>
      </c>
      <c r="G13948">
        <v>0</v>
      </c>
      <c r="H13948" t="s">
        <v>18811</v>
      </c>
      <c r="I13948">
        <v>15775</v>
      </c>
      <c r="J13948" t="str">
        <f>VLOOKUP(E13948,DSSpieler!A:B,2,FALSE)</f>
        <v>LeonxD</v>
      </c>
    </row>
    <row r="13949" spans="1:10" x14ac:dyDescent="0.25">
      <c r="A13949">
        <v>15776</v>
      </c>
      <c r="B13949" t="s">
        <v>35184</v>
      </c>
      <c r="C13949">
        <v>588</v>
      </c>
      <c r="D13949">
        <v>583</v>
      </c>
      <c r="E13949">
        <v>1577157514</v>
      </c>
      <c r="F13949">
        <v>102</v>
      </c>
      <c r="G13949">
        <v>0</v>
      </c>
      <c r="H13949" t="s">
        <v>18812</v>
      </c>
      <c r="I13949">
        <v>15776</v>
      </c>
      <c r="J13949" t="str">
        <f>VLOOKUP(E13949,DSSpieler!A:B,2,FALSE)</f>
        <v>Germane147</v>
      </c>
    </row>
    <row r="13950" spans="1:10" x14ac:dyDescent="0.25">
      <c r="A13950">
        <v>15777</v>
      </c>
      <c r="B13950" t="s">
        <v>35185</v>
      </c>
      <c r="C13950">
        <v>476</v>
      </c>
      <c r="D13950">
        <v>382</v>
      </c>
      <c r="E13950">
        <v>1577202956</v>
      </c>
      <c r="F13950">
        <v>4253</v>
      </c>
      <c r="G13950">
        <v>0</v>
      </c>
      <c r="H13950" t="s">
        <v>18813</v>
      </c>
      <c r="I13950">
        <v>15777</v>
      </c>
      <c r="J13950" t="str">
        <f>VLOOKUP(E13950,DSSpieler!A:B,2,FALSE)</f>
        <v>MasterMlnd</v>
      </c>
    </row>
    <row r="13951" spans="1:10" x14ac:dyDescent="0.25">
      <c r="A13951">
        <v>15778</v>
      </c>
      <c r="B13951" t="s">
        <v>531</v>
      </c>
      <c r="C13951">
        <v>382</v>
      </c>
      <c r="D13951">
        <v>489</v>
      </c>
      <c r="E13951">
        <v>0</v>
      </c>
      <c r="F13951">
        <v>239</v>
      </c>
      <c r="G13951">
        <v>0</v>
      </c>
      <c r="H13951" t="s">
        <v>18814</v>
      </c>
      <c r="I13951">
        <v>15778</v>
      </c>
      <c r="J13951" t="e">
        <f>VLOOKUP(E13951,DSSpieler!A:B,2,FALSE)</f>
        <v>#N/A</v>
      </c>
    </row>
    <row r="13952" spans="1:10" x14ac:dyDescent="0.25">
      <c r="A13952">
        <v>15779</v>
      </c>
      <c r="B13952" t="s">
        <v>531</v>
      </c>
      <c r="C13952">
        <v>600</v>
      </c>
      <c r="D13952">
        <v>567</v>
      </c>
      <c r="E13952">
        <v>0</v>
      </c>
      <c r="F13952">
        <v>225</v>
      </c>
      <c r="G13952">
        <v>0</v>
      </c>
      <c r="H13952" t="s">
        <v>18815</v>
      </c>
      <c r="I13952">
        <v>15779</v>
      </c>
      <c r="J13952" t="e">
        <f>VLOOKUP(E13952,DSSpieler!A:B,2,FALSE)</f>
        <v>#N/A</v>
      </c>
    </row>
    <row r="13953" spans="1:10" x14ac:dyDescent="0.25">
      <c r="A13953">
        <v>15780</v>
      </c>
      <c r="B13953" t="s">
        <v>531</v>
      </c>
      <c r="C13953">
        <v>517</v>
      </c>
      <c r="D13953">
        <v>380</v>
      </c>
      <c r="E13953">
        <v>0</v>
      </c>
      <c r="F13953">
        <v>157</v>
      </c>
      <c r="G13953">
        <v>0</v>
      </c>
      <c r="H13953" t="s">
        <v>18816</v>
      </c>
      <c r="I13953">
        <v>15780</v>
      </c>
      <c r="J13953" t="e">
        <f>VLOOKUP(E13953,DSSpieler!A:B,2,FALSE)</f>
        <v>#N/A</v>
      </c>
    </row>
    <row r="13954" spans="1:10" x14ac:dyDescent="0.25">
      <c r="A13954">
        <v>15781</v>
      </c>
      <c r="B13954" t="s">
        <v>531</v>
      </c>
      <c r="C13954">
        <v>382</v>
      </c>
      <c r="D13954">
        <v>504</v>
      </c>
      <c r="E13954">
        <v>0</v>
      </c>
      <c r="F13954">
        <v>123</v>
      </c>
      <c r="G13954">
        <v>0</v>
      </c>
      <c r="H13954" t="s">
        <v>18817</v>
      </c>
      <c r="I13954">
        <v>15781</v>
      </c>
      <c r="J13954" t="e">
        <f>VLOOKUP(E13954,DSSpieler!A:B,2,FALSE)</f>
        <v>#N/A</v>
      </c>
    </row>
    <row r="13955" spans="1:10" x14ac:dyDescent="0.25">
      <c r="A13955">
        <v>15782</v>
      </c>
      <c r="B13955" t="s">
        <v>2439</v>
      </c>
      <c r="C13955">
        <v>394</v>
      </c>
      <c r="D13955">
        <v>559</v>
      </c>
      <c r="E13955">
        <v>8064569</v>
      </c>
      <c r="F13955">
        <v>2260</v>
      </c>
      <c r="G13955">
        <v>0</v>
      </c>
      <c r="H13955" t="s">
        <v>18818</v>
      </c>
      <c r="I13955">
        <v>15782</v>
      </c>
      <c r="J13955" t="str">
        <f>VLOOKUP(E13955,DSSpieler!A:B,2,FALSE)</f>
        <v>DasZombieJo</v>
      </c>
    </row>
    <row r="13956" spans="1:10" x14ac:dyDescent="0.25">
      <c r="A13956">
        <v>15783</v>
      </c>
      <c r="B13956" t="s">
        <v>35186</v>
      </c>
      <c r="C13956">
        <v>567</v>
      </c>
      <c r="D13956">
        <v>399</v>
      </c>
      <c r="E13956">
        <v>8288027</v>
      </c>
      <c r="F13956">
        <v>2522</v>
      </c>
      <c r="G13956">
        <v>0</v>
      </c>
      <c r="H13956" t="s">
        <v>18819</v>
      </c>
      <c r="I13956">
        <v>15783</v>
      </c>
      <c r="J13956" t="str">
        <f>VLOOKUP(E13956,DSSpieler!A:B,2,FALSE)</f>
        <v>Der dunkle Vater</v>
      </c>
    </row>
    <row r="13957" spans="1:10" x14ac:dyDescent="0.25">
      <c r="A13957">
        <v>15784</v>
      </c>
      <c r="B13957" t="s">
        <v>35187</v>
      </c>
      <c r="C13957">
        <v>570</v>
      </c>
      <c r="D13957">
        <v>402</v>
      </c>
      <c r="E13957">
        <v>2859975</v>
      </c>
      <c r="F13957">
        <v>2689</v>
      </c>
      <c r="G13957">
        <v>0</v>
      </c>
      <c r="H13957" t="s">
        <v>18820</v>
      </c>
      <c r="I13957">
        <v>15784</v>
      </c>
      <c r="J13957" t="str">
        <f>VLOOKUP(E13957,DSSpieler!A:B,2,FALSE)</f>
        <v>navy25</v>
      </c>
    </row>
    <row r="13958" spans="1:10" x14ac:dyDescent="0.25">
      <c r="A13958">
        <v>15785</v>
      </c>
      <c r="B13958" t="s">
        <v>35188</v>
      </c>
      <c r="C13958">
        <v>564</v>
      </c>
      <c r="D13958">
        <v>602</v>
      </c>
      <c r="E13958">
        <v>1577182358</v>
      </c>
      <c r="F13958">
        <v>3783</v>
      </c>
      <c r="G13958">
        <v>0</v>
      </c>
      <c r="H13958" t="s">
        <v>18821</v>
      </c>
      <c r="I13958">
        <v>15785</v>
      </c>
      <c r="J13958" t="str">
        <f>VLOOKUP(E13958,DSSpieler!A:B,2,FALSE)</f>
        <v>Kalle1992</v>
      </c>
    </row>
    <row r="13959" spans="1:10" x14ac:dyDescent="0.25">
      <c r="A13959">
        <v>15786</v>
      </c>
      <c r="B13959" t="s">
        <v>531</v>
      </c>
      <c r="C13959">
        <v>595</v>
      </c>
      <c r="D13959">
        <v>571</v>
      </c>
      <c r="E13959">
        <v>0</v>
      </c>
      <c r="F13959">
        <v>154</v>
      </c>
      <c r="G13959">
        <v>0</v>
      </c>
      <c r="H13959" t="s">
        <v>18822</v>
      </c>
      <c r="I13959">
        <v>15786</v>
      </c>
      <c r="J13959" t="e">
        <f>VLOOKUP(E13959,DSSpieler!A:B,2,FALSE)</f>
        <v>#N/A</v>
      </c>
    </row>
    <row r="13960" spans="1:10" x14ac:dyDescent="0.25">
      <c r="A13960">
        <v>15787</v>
      </c>
      <c r="B13960" t="s">
        <v>531</v>
      </c>
      <c r="C13960">
        <v>616</v>
      </c>
      <c r="D13960">
        <v>463</v>
      </c>
      <c r="E13960">
        <v>0</v>
      </c>
      <c r="F13960">
        <v>215</v>
      </c>
      <c r="G13960">
        <v>0</v>
      </c>
      <c r="H13960" t="s">
        <v>18823</v>
      </c>
      <c r="I13960">
        <v>15787</v>
      </c>
      <c r="J13960" t="e">
        <f>VLOOKUP(E13960,DSSpieler!A:B,2,FALSE)</f>
        <v>#N/A</v>
      </c>
    </row>
    <row r="13961" spans="1:10" x14ac:dyDescent="0.25">
      <c r="A13961">
        <v>15788</v>
      </c>
      <c r="B13961" t="s">
        <v>531</v>
      </c>
      <c r="C13961">
        <v>613</v>
      </c>
      <c r="D13961">
        <v>541</v>
      </c>
      <c r="E13961">
        <v>0</v>
      </c>
      <c r="F13961">
        <v>92</v>
      </c>
      <c r="G13961">
        <v>0</v>
      </c>
      <c r="H13961" t="s">
        <v>18824</v>
      </c>
      <c r="I13961">
        <v>15788</v>
      </c>
      <c r="J13961" t="e">
        <f>VLOOKUP(E13961,DSSpieler!A:B,2,FALSE)</f>
        <v>#N/A</v>
      </c>
    </row>
    <row r="13962" spans="1:10" x14ac:dyDescent="0.25">
      <c r="A13962">
        <v>15789</v>
      </c>
      <c r="B13962" t="s">
        <v>31311</v>
      </c>
      <c r="C13962">
        <v>487</v>
      </c>
      <c r="D13962">
        <v>390</v>
      </c>
      <c r="E13962">
        <v>2683003</v>
      </c>
      <c r="F13962">
        <v>1852</v>
      </c>
      <c r="G13962">
        <v>0</v>
      </c>
      <c r="H13962" t="s">
        <v>18825</v>
      </c>
      <c r="I13962">
        <v>15789</v>
      </c>
      <c r="J13962" t="str">
        <f>VLOOKUP(E13962,DSSpieler!A:B,2,FALSE)</f>
        <v>Axt94</v>
      </c>
    </row>
    <row r="13963" spans="1:10" x14ac:dyDescent="0.25">
      <c r="A13963">
        <v>15790</v>
      </c>
      <c r="B13963" t="s">
        <v>531</v>
      </c>
      <c r="C13963">
        <v>385</v>
      </c>
      <c r="D13963">
        <v>530</v>
      </c>
      <c r="E13963">
        <v>0</v>
      </c>
      <c r="F13963">
        <v>231</v>
      </c>
      <c r="G13963">
        <v>0</v>
      </c>
      <c r="H13963" t="s">
        <v>18826</v>
      </c>
      <c r="I13963">
        <v>15790</v>
      </c>
      <c r="J13963" t="e">
        <f>VLOOKUP(E13963,DSSpieler!A:B,2,FALSE)</f>
        <v>#N/A</v>
      </c>
    </row>
    <row r="13964" spans="1:10" x14ac:dyDescent="0.25">
      <c r="A13964">
        <v>15791</v>
      </c>
      <c r="B13964" t="s">
        <v>531</v>
      </c>
      <c r="C13964">
        <v>566</v>
      </c>
      <c r="D13964">
        <v>598</v>
      </c>
      <c r="E13964">
        <v>0</v>
      </c>
      <c r="F13964">
        <v>251</v>
      </c>
      <c r="G13964">
        <v>0</v>
      </c>
      <c r="H13964" t="s">
        <v>18827</v>
      </c>
      <c r="I13964">
        <v>15791</v>
      </c>
      <c r="J13964" t="e">
        <f>VLOOKUP(E13964,DSSpieler!A:B,2,FALSE)</f>
        <v>#N/A</v>
      </c>
    </row>
    <row r="13965" spans="1:10" x14ac:dyDescent="0.25">
      <c r="A13965">
        <v>15792</v>
      </c>
      <c r="B13965" t="s">
        <v>2440</v>
      </c>
      <c r="C13965">
        <v>472</v>
      </c>
      <c r="D13965">
        <v>617</v>
      </c>
      <c r="E13965">
        <v>9964090</v>
      </c>
      <c r="F13965">
        <v>2805</v>
      </c>
      <c r="G13965">
        <v>0</v>
      </c>
      <c r="H13965" t="s">
        <v>18828</v>
      </c>
      <c r="I13965">
        <v>15792</v>
      </c>
      <c r="J13965" t="str">
        <f>VLOOKUP(E13965,DSSpieler!A:B,2,FALSE)</f>
        <v>Abelos</v>
      </c>
    </row>
    <row r="13966" spans="1:10" x14ac:dyDescent="0.25">
      <c r="A13966">
        <v>15793</v>
      </c>
      <c r="B13966" t="s">
        <v>531</v>
      </c>
      <c r="C13966">
        <v>472</v>
      </c>
      <c r="D13966">
        <v>612</v>
      </c>
      <c r="E13966">
        <v>0</v>
      </c>
      <c r="F13966">
        <v>1396</v>
      </c>
      <c r="G13966">
        <v>0</v>
      </c>
      <c r="H13966" t="s">
        <v>18829</v>
      </c>
      <c r="I13966">
        <v>15793</v>
      </c>
      <c r="J13966" t="e">
        <f>VLOOKUP(E13966,DSSpieler!A:B,2,FALSE)</f>
        <v>#N/A</v>
      </c>
    </row>
    <row r="13967" spans="1:10" x14ac:dyDescent="0.25">
      <c r="A13967">
        <v>15794</v>
      </c>
      <c r="B13967" t="s">
        <v>531</v>
      </c>
      <c r="C13967">
        <v>381</v>
      </c>
      <c r="D13967">
        <v>520</v>
      </c>
      <c r="E13967">
        <v>0</v>
      </c>
      <c r="F13967">
        <v>255</v>
      </c>
      <c r="G13967">
        <v>0</v>
      </c>
      <c r="H13967" t="s">
        <v>18830</v>
      </c>
      <c r="I13967">
        <v>15794</v>
      </c>
      <c r="J13967" t="e">
        <f>VLOOKUP(E13967,DSSpieler!A:B,2,FALSE)</f>
        <v>#N/A</v>
      </c>
    </row>
    <row r="13968" spans="1:10" x14ac:dyDescent="0.25">
      <c r="A13968">
        <v>15795</v>
      </c>
      <c r="B13968" t="s">
        <v>531</v>
      </c>
      <c r="C13968">
        <v>556</v>
      </c>
      <c r="D13968">
        <v>604</v>
      </c>
      <c r="E13968">
        <v>0</v>
      </c>
      <c r="F13968">
        <v>227</v>
      </c>
      <c r="G13968">
        <v>0</v>
      </c>
      <c r="H13968" t="s">
        <v>18831</v>
      </c>
      <c r="I13968">
        <v>15795</v>
      </c>
      <c r="J13968" t="e">
        <f>VLOOKUP(E13968,DSSpieler!A:B,2,FALSE)</f>
        <v>#N/A</v>
      </c>
    </row>
    <row r="13969" spans="1:10" x14ac:dyDescent="0.25">
      <c r="A13969">
        <v>15796</v>
      </c>
      <c r="B13969" t="s">
        <v>531</v>
      </c>
      <c r="C13969">
        <v>589</v>
      </c>
      <c r="D13969">
        <v>433</v>
      </c>
      <c r="E13969">
        <v>0</v>
      </c>
      <c r="F13969">
        <v>202</v>
      </c>
      <c r="G13969">
        <v>0</v>
      </c>
      <c r="H13969" t="s">
        <v>18832</v>
      </c>
      <c r="I13969">
        <v>15796</v>
      </c>
      <c r="J13969" t="e">
        <f>VLOOKUP(E13969,DSSpieler!A:B,2,FALSE)</f>
        <v>#N/A</v>
      </c>
    </row>
    <row r="13970" spans="1:10" x14ac:dyDescent="0.25">
      <c r="A13970">
        <v>15797</v>
      </c>
      <c r="B13970" t="s">
        <v>35189</v>
      </c>
      <c r="C13970">
        <v>417</v>
      </c>
      <c r="D13970">
        <v>587</v>
      </c>
      <c r="E13970">
        <v>1577198203</v>
      </c>
      <c r="F13970">
        <v>2850</v>
      </c>
      <c r="G13970">
        <v>0</v>
      </c>
      <c r="H13970" t="s">
        <v>18833</v>
      </c>
      <c r="I13970">
        <v>15797</v>
      </c>
      <c r="J13970" t="str">
        <f>VLOOKUP(E13970,DSSpieler!A:B,2,FALSE)</f>
        <v>OBiOnEX</v>
      </c>
    </row>
    <row r="13971" spans="1:10" x14ac:dyDescent="0.25">
      <c r="A13971">
        <v>15798</v>
      </c>
      <c r="B13971" t="s">
        <v>531</v>
      </c>
      <c r="C13971">
        <v>437</v>
      </c>
      <c r="D13971">
        <v>397</v>
      </c>
      <c r="E13971">
        <v>0</v>
      </c>
      <c r="F13971">
        <v>266</v>
      </c>
      <c r="G13971">
        <v>0</v>
      </c>
      <c r="H13971" t="s">
        <v>18834</v>
      </c>
      <c r="I13971">
        <v>15798</v>
      </c>
      <c r="J13971" t="e">
        <f>VLOOKUP(E13971,DSSpieler!A:B,2,FALSE)</f>
        <v>#N/A</v>
      </c>
    </row>
    <row r="13972" spans="1:10" x14ac:dyDescent="0.25">
      <c r="A13972">
        <v>15799</v>
      </c>
      <c r="B13972" t="s">
        <v>531</v>
      </c>
      <c r="C13972">
        <v>521</v>
      </c>
      <c r="D13972">
        <v>620</v>
      </c>
      <c r="E13972">
        <v>0</v>
      </c>
      <c r="F13972">
        <v>217</v>
      </c>
      <c r="G13972">
        <v>0</v>
      </c>
      <c r="H13972" t="s">
        <v>18835</v>
      </c>
      <c r="I13972">
        <v>15799</v>
      </c>
      <c r="J13972" t="e">
        <f>VLOOKUP(E13972,DSSpieler!A:B,2,FALSE)</f>
        <v>#N/A</v>
      </c>
    </row>
    <row r="13973" spans="1:10" x14ac:dyDescent="0.25">
      <c r="A13973">
        <v>15800</v>
      </c>
      <c r="B13973" t="s">
        <v>531</v>
      </c>
      <c r="C13973">
        <v>525</v>
      </c>
      <c r="D13973">
        <v>383</v>
      </c>
      <c r="E13973">
        <v>0</v>
      </c>
      <c r="F13973">
        <v>107</v>
      </c>
      <c r="G13973">
        <v>0</v>
      </c>
      <c r="H13973" t="s">
        <v>18836</v>
      </c>
      <c r="I13973">
        <v>15800</v>
      </c>
      <c r="J13973" t="e">
        <f>VLOOKUP(E13973,DSSpieler!A:B,2,FALSE)</f>
        <v>#N/A</v>
      </c>
    </row>
    <row r="13974" spans="1:10" x14ac:dyDescent="0.25">
      <c r="A13974">
        <v>15801</v>
      </c>
      <c r="B13974" t="s">
        <v>35190</v>
      </c>
      <c r="C13974">
        <v>511</v>
      </c>
      <c r="D13974">
        <v>617</v>
      </c>
      <c r="E13974">
        <v>1575862578</v>
      </c>
      <c r="F13974">
        <v>2933</v>
      </c>
      <c r="G13974">
        <v>0</v>
      </c>
      <c r="H13974" t="s">
        <v>18837</v>
      </c>
      <c r="I13974">
        <v>15801</v>
      </c>
      <c r="J13974" t="str">
        <f>VLOOKUP(E13974,DSSpieler!A:B,2,FALSE)</f>
        <v>XXscarXX</v>
      </c>
    </row>
    <row r="13975" spans="1:10" x14ac:dyDescent="0.25">
      <c r="A13975">
        <v>15802</v>
      </c>
      <c r="B13975" t="s">
        <v>531</v>
      </c>
      <c r="C13975">
        <v>468</v>
      </c>
      <c r="D13975">
        <v>616</v>
      </c>
      <c r="E13975">
        <v>0</v>
      </c>
      <c r="F13975">
        <v>140</v>
      </c>
      <c r="G13975">
        <v>0</v>
      </c>
      <c r="H13975" t="s">
        <v>18838</v>
      </c>
      <c r="I13975">
        <v>15802</v>
      </c>
      <c r="J13975" t="e">
        <f>VLOOKUP(E13975,DSSpieler!A:B,2,FALSE)</f>
        <v>#N/A</v>
      </c>
    </row>
    <row r="13976" spans="1:10" x14ac:dyDescent="0.25">
      <c r="A13976">
        <v>15803</v>
      </c>
      <c r="B13976" t="s">
        <v>531</v>
      </c>
      <c r="C13976">
        <v>615</v>
      </c>
      <c r="D13976">
        <v>536</v>
      </c>
      <c r="E13976">
        <v>0</v>
      </c>
      <c r="F13976">
        <v>150</v>
      </c>
      <c r="G13976">
        <v>0</v>
      </c>
      <c r="H13976" t="s">
        <v>18839</v>
      </c>
      <c r="I13976">
        <v>15803</v>
      </c>
      <c r="J13976" t="e">
        <f>VLOOKUP(E13976,DSSpieler!A:B,2,FALSE)</f>
        <v>#N/A</v>
      </c>
    </row>
    <row r="13977" spans="1:10" x14ac:dyDescent="0.25">
      <c r="A13977">
        <v>15804</v>
      </c>
      <c r="B13977" t="s">
        <v>2441</v>
      </c>
      <c r="C13977">
        <v>453</v>
      </c>
      <c r="D13977">
        <v>388</v>
      </c>
      <c r="E13977">
        <v>1577161800</v>
      </c>
      <c r="F13977">
        <v>4370</v>
      </c>
      <c r="G13977">
        <v>0</v>
      </c>
      <c r="H13977" t="s">
        <v>18840</v>
      </c>
      <c r="I13977">
        <v>15804</v>
      </c>
      <c r="J13977" t="str">
        <f>VLOOKUP(E13977,DSSpieler!A:B,2,FALSE)</f>
        <v>Kaisers</v>
      </c>
    </row>
    <row r="13978" spans="1:10" x14ac:dyDescent="0.25">
      <c r="A13978">
        <v>15805</v>
      </c>
      <c r="B13978" t="s">
        <v>35191</v>
      </c>
      <c r="C13978">
        <v>595</v>
      </c>
      <c r="D13978">
        <v>432</v>
      </c>
      <c r="E13978">
        <v>1577202825</v>
      </c>
      <c r="F13978">
        <v>241</v>
      </c>
      <c r="G13978">
        <v>0</v>
      </c>
      <c r="H13978" t="s">
        <v>18841</v>
      </c>
      <c r="I13978">
        <v>15805</v>
      </c>
      <c r="J13978" t="str">
        <f>VLOOKUP(E13978,DSSpieler!A:B,2,FALSE)</f>
        <v>Mr-D</v>
      </c>
    </row>
    <row r="13979" spans="1:10" x14ac:dyDescent="0.25">
      <c r="A13979">
        <v>15806</v>
      </c>
      <c r="B13979" t="s">
        <v>531</v>
      </c>
      <c r="C13979">
        <v>381</v>
      </c>
      <c r="D13979">
        <v>485</v>
      </c>
      <c r="E13979">
        <v>0</v>
      </c>
      <c r="F13979">
        <v>96</v>
      </c>
      <c r="G13979">
        <v>0</v>
      </c>
      <c r="H13979" t="s">
        <v>18842</v>
      </c>
      <c r="I13979">
        <v>15806</v>
      </c>
      <c r="J13979" t="e">
        <f>VLOOKUP(E13979,DSSpieler!A:B,2,FALSE)</f>
        <v>#N/A</v>
      </c>
    </row>
    <row r="13980" spans="1:10" x14ac:dyDescent="0.25">
      <c r="A13980">
        <v>15807</v>
      </c>
      <c r="B13980" t="s">
        <v>2403</v>
      </c>
      <c r="C13980">
        <v>452</v>
      </c>
      <c r="D13980">
        <v>387</v>
      </c>
      <c r="E13980">
        <v>1577203035</v>
      </c>
      <c r="F13980">
        <v>4496</v>
      </c>
      <c r="G13980">
        <v>0</v>
      </c>
      <c r="H13980" t="s">
        <v>18843</v>
      </c>
      <c r="I13980">
        <v>15807</v>
      </c>
      <c r="J13980" t="str">
        <f>VLOOKUP(E13980,DSSpieler!A:B,2,FALSE)</f>
        <v>KilzHuz</v>
      </c>
    </row>
    <row r="13981" spans="1:10" x14ac:dyDescent="0.25">
      <c r="A13981">
        <v>15808</v>
      </c>
      <c r="B13981" t="s">
        <v>531</v>
      </c>
      <c r="C13981">
        <v>444</v>
      </c>
      <c r="D13981">
        <v>607</v>
      </c>
      <c r="E13981">
        <v>0</v>
      </c>
      <c r="F13981">
        <v>141</v>
      </c>
      <c r="G13981">
        <v>0</v>
      </c>
      <c r="H13981" t="s">
        <v>18844</v>
      </c>
      <c r="I13981">
        <v>15808</v>
      </c>
      <c r="J13981" t="e">
        <f>VLOOKUP(E13981,DSSpieler!A:B,2,FALSE)</f>
        <v>#N/A</v>
      </c>
    </row>
    <row r="13982" spans="1:10" x14ac:dyDescent="0.25">
      <c r="A13982">
        <v>15809</v>
      </c>
      <c r="B13982" t="s">
        <v>2442</v>
      </c>
      <c r="C13982">
        <v>599</v>
      </c>
      <c r="D13982">
        <v>572</v>
      </c>
      <c r="E13982">
        <v>1577201843</v>
      </c>
      <c r="F13982">
        <v>2193</v>
      </c>
      <c r="G13982">
        <v>0</v>
      </c>
      <c r="H13982" t="s">
        <v>18845</v>
      </c>
      <c r="I13982">
        <v>15809</v>
      </c>
      <c r="J13982" t="str">
        <f>VLOOKUP(E13982,DSSpieler!A:B,2,FALSE)</f>
        <v>j0onEs</v>
      </c>
    </row>
    <row r="13983" spans="1:10" x14ac:dyDescent="0.25">
      <c r="A13983">
        <v>15810</v>
      </c>
      <c r="B13983" t="s">
        <v>2443</v>
      </c>
      <c r="C13983">
        <v>539</v>
      </c>
      <c r="D13983">
        <v>616</v>
      </c>
      <c r="E13983">
        <v>9703535</v>
      </c>
      <c r="F13983">
        <v>2102</v>
      </c>
      <c r="G13983">
        <v>0</v>
      </c>
      <c r="H13983" t="s">
        <v>18846</v>
      </c>
      <c r="I13983">
        <v>15810</v>
      </c>
      <c r="J13983" t="str">
        <f>VLOOKUP(E13983,DSSpieler!A:B,2,FALSE)</f>
        <v>Broda</v>
      </c>
    </row>
    <row r="13984" spans="1:10" x14ac:dyDescent="0.25">
      <c r="A13984">
        <v>15811</v>
      </c>
      <c r="B13984" t="s">
        <v>660</v>
      </c>
      <c r="C13984">
        <v>472</v>
      </c>
      <c r="D13984">
        <v>391</v>
      </c>
      <c r="E13984">
        <v>1577197344</v>
      </c>
      <c r="F13984">
        <v>2890</v>
      </c>
      <c r="G13984">
        <v>0</v>
      </c>
      <c r="H13984" t="s">
        <v>18847</v>
      </c>
      <c r="I13984">
        <v>15811</v>
      </c>
      <c r="J13984" t="str">
        <f>VLOOKUP(E13984,DSSpieler!A:B,2,FALSE)</f>
        <v>FreeVolmer</v>
      </c>
    </row>
    <row r="13985" spans="1:10" x14ac:dyDescent="0.25">
      <c r="A13985">
        <v>15812</v>
      </c>
      <c r="B13985" t="s">
        <v>531</v>
      </c>
      <c r="C13985">
        <v>603</v>
      </c>
      <c r="D13985">
        <v>535</v>
      </c>
      <c r="E13985">
        <v>0</v>
      </c>
      <c r="F13985">
        <v>646</v>
      </c>
      <c r="G13985">
        <v>0</v>
      </c>
      <c r="H13985" t="s">
        <v>18848</v>
      </c>
      <c r="I13985">
        <v>15812</v>
      </c>
      <c r="J13985" t="e">
        <f>VLOOKUP(E13985,DSSpieler!A:B,2,FALSE)</f>
        <v>#N/A</v>
      </c>
    </row>
    <row r="13986" spans="1:10" x14ac:dyDescent="0.25">
      <c r="A13986">
        <v>15813</v>
      </c>
      <c r="B13986" t="s">
        <v>531</v>
      </c>
      <c r="C13986">
        <v>612</v>
      </c>
      <c r="D13986">
        <v>537</v>
      </c>
      <c r="E13986">
        <v>0</v>
      </c>
      <c r="F13986">
        <v>102</v>
      </c>
      <c r="G13986">
        <v>0</v>
      </c>
      <c r="H13986" t="s">
        <v>18849</v>
      </c>
      <c r="I13986">
        <v>15813</v>
      </c>
      <c r="J13986" t="e">
        <f>VLOOKUP(E13986,DSSpieler!A:B,2,FALSE)</f>
        <v>#N/A</v>
      </c>
    </row>
    <row r="13987" spans="1:10" x14ac:dyDescent="0.25">
      <c r="A13987">
        <v>15814</v>
      </c>
      <c r="B13987" t="s">
        <v>531</v>
      </c>
      <c r="C13987">
        <v>576</v>
      </c>
      <c r="D13987">
        <v>408</v>
      </c>
      <c r="E13987">
        <v>0</v>
      </c>
      <c r="F13987">
        <v>160</v>
      </c>
      <c r="G13987">
        <v>0</v>
      </c>
      <c r="H13987" t="s">
        <v>18850</v>
      </c>
      <c r="I13987">
        <v>15814</v>
      </c>
      <c r="J13987" t="e">
        <f>VLOOKUP(E13987,DSSpieler!A:B,2,FALSE)</f>
        <v>#N/A</v>
      </c>
    </row>
    <row r="13988" spans="1:10" x14ac:dyDescent="0.25">
      <c r="A13988">
        <v>15815</v>
      </c>
      <c r="B13988" t="s">
        <v>531</v>
      </c>
      <c r="C13988">
        <v>521</v>
      </c>
      <c r="D13988">
        <v>383</v>
      </c>
      <c r="E13988">
        <v>0</v>
      </c>
      <c r="F13988">
        <v>208</v>
      </c>
      <c r="G13988">
        <v>0</v>
      </c>
      <c r="H13988" t="s">
        <v>18851</v>
      </c>
      <c r="I13988">
        <v>15815</v>
      </c>
      <c r="J13988" t="e">
        <f>VLOOKUP(E13988,DSSpieler!A:B,2,FALSE)</f>
        <v>#N/A</v>
      </c>
    </row>
    <row r="13989" spans="1:10" x14ac:dyDescent="0.25">
      <c r="A13989">
        <v>15816</v>
      </c>
      <c r="B13989" t="s">
        <v>35192</v>
      </c>
      <c r="C13989">
        <v>385</v>
      </c>
      <c r="D13989">
        <v>490</v>
      </c>
      <c r="E13989">
        <v>1576174494</v>
      </c>
      <c r="F13989">
        <v>6676</v>
      </c>
      <c r="G13989">
        <v>0</v>
      </c>
      <c r="H13989" t="s">
        <v>18852</v>
      </c>
      <c r="I13989">
        <v>15816</v>
      </c>
      <c r="J13989" t="str">
        <f>VLOOKUP(E13989,DSSpieler!A:B,2,FALSE)</f>
        <v>Die Erntehelfer</v>
      </c>
    </row>
    <row r="13990" spans="1:10" x14ac:dyDescent="0.25">
      <c r="A13990">
        <v>15818</v>
      </c>
      <c r="B13990" t="s">
        <v>531</v>
      </c>
      <c r="C13990">
        <v>611</v>
      </c>
      <c r="D13990">
        <v>453</v>
      </c>
      <c r="E13990">
        <v>0</v>
      </c>
      <c r="F13990">
        <v>792</v>
      </c>
      <c r="G13990">
        <v>0</v>
      </c>
      <c r="H13990" t="s">
        <v>18853</v>
      </c>
      <c r="I13990">
        <v>15818</v>
      </c>
      <c r="J13990" t="e">
        <f>VLOOKUP(E13990,DSSpieler!A:B,2,FALSE)</f>
        <v>#N/A</v>
      </c>
    </row>
    <row r="13991" spans="1:10" x14ac:dyDescent="0.25">
      <c r="A13991">
        <v>15819</v>
      </c>
      <c r="B13991" t="s">
        <v>531</v>
      </c>
      <c r="C13991">
        <v>572</v>
      </c>
      <c r="D13991">
        <v>407</v>
      </c>
      <c r="E13991">
        <v>0</v>
      </c>
      <c r="F13991">
        <v>172</v>
      </c>
      <c r="G13991">
        <v>0</v>
      </c>
      <c r="H13991" t="s">
        <v>18854</v>
      </c>
      <c r="I13991">
        <v>15819</v>
      </c>
      <c r="J13991" t="e">
        <f>VLOOKUP(E13991,DSSpieler!A:B,2,FALSE)</f>
        <v>#N/A</v>
      </c>
    </row>
    <row r="13992" spans="1:10" x14ac:dyDescent="0.25">
      <c r="A13992">
        <v>15820</v>
      </c>
      <c r="B13992" t="s">
        <v>531</v>
      </c>
      <c r="C13992">
        <v>471</v>
      </c>
      <c r="D13992">
        <v>617</v>
      </c>
      <c r="E13992">
        <v>0</v>
      </c>
      <c r="F13992">
        <v>216</v>
      </c>
      <c r="G13992">
        <v>0</v>
      </c>
      <c r="H13992" t="s">
        <v>18855</v>
      </c>
      <c r="I13992">
        <v>15820</v>
      </c>
      <c r="J13992" t="e">
        <f>VLOOKUP(E13992,DSSpieler!A:B,2,FALSE)</f>
        <v>#N/A</v>
      </c>
    </row>
    <row r="13993" spans="1:10" x14ac:dyDescent="0.25">
      <c r="A13993">
        <v>15821</v>
      </c>
      <c r="B13993" t="s">
        <v>531</v>
      </c>
      <c r="C13993">
        <v>608</v>
      </c>
      <c r="D13993">
        <v>452</v>
      </c>
      <c r="E13993">
        <v>0</v>
      </c>
      <c r="F13993">
        <v>96</v>
      </c>
      <c r="G13993">
        <v>0</v>
      </c>
      <c r="H13993" t="s">
        <v>18856</v>
      </c>
      <c r="I13993">
        <v>15821</v>
      </c>
      <c r="J13993" t="e">
        <f>VLOOKUP(E13993,DSSpieler!A:B,2,FALSE)</f>
        <v>#N/A</v>
      </c>
    </row>
    <row r="13994" spans="1:10" x14ac:dyDescent="0.25">
      <c r="A13994">
        <v>15822</v>
      </c>
      <c r="B13994" t="s">
        <v>35193</v>
      </c>
      <c r="C13994">
        <v>473</v>
      </c>
      <c r="D13994">
        <v>614</v>
      </c>
      <c r="E13994">
        <v>9876439</v>
      </c>
      <c r="F13994">
        <v>2741</v>
      </c>
      <c r="G13994">
        <v>0</v>
      </c>
      <c r="H13994" t="s">
        <v>18857</v>
      </c>
      <c r="I13994">
        <v>15822</v>
      </c>
      <c r="J13994" t="str">
        <f>VLOOKUP(E13994,DSSpieler!A:B,2,FALSE)</f>
        <v>Ronny263</v>
      </c>
    </row>
    <row r="13995" spans="1:10" x14ac:dyDescent="0.25">
      <c r="A13995">
        <v>15823</v>
      </c>
      <c r="B13995" t="s">
        <v>531</v>
      </c>
      <c r="C13995">
        <v>541</v>
      </c>
      <c r="D13995">
        <v>611</v>
      </c>
      <c r="E13995">
        <v>0</v>
      </c>
      <c r="F13995">
        <v>405</v>
      </c>
      <c r="G13995">
        <v>0</v>
      </c>
      <c r="H13995" t="s">
        <v>18858</v>
      </c>
      <c r="I13995">
        <v>15823</v>
      </c>
      <c r="J13995" t="e">
        <f>VLOOKUP(E13995,DSSpieler!A:B,2,FALSE)</f>
        <v>#N/A</v>
      </c>
    </row>
    <row r="13996" spans="1:10" x14ac:dyDescent="0.25">
      <c r="A13996">
        <v>15824</v>
      </c>
      <c r="B13996" t="s">
        <v>2328</v>
      </c>
      <c r="C13996">
        <v>517</v>
      </c>
      <c r="D13996">
        <v>618</v>
      </c>
      <c r="E13996">
        <v>8574065</v>
      </c>
      <c r="F13996">
        <v>3860</v>
      </c>
      <c r="G13996">
        <v>0</v>
      </c>
      <c r="H13996" t="s">
        <v>18859</v>
      </c>
      <c r="I13996">
        <v>15824</v>
      </c>
      <c r="J13996" t="str">
        <f>VLOOKUP(E13996,DSSpieler!A:B,2,FALSE)</f>
        <v>Dead Money</v>
      </c>
    </row>
    <row r="13997" spans="1:10" x14ac:dyDescent="0.25">
      <c r="A13997">
        <v>15825</v>
      </c>
      <c r="B13997" t="s">
        <v>35194</v>
      </c>
      <c r="C13997">
        <v>480</v>
      </c>
      <c r="D13997">
        <v>379</v>
      </c>
      <c r="E13997">
        <v>1577203079</v>
      </c>
      <c r="F13997">
        <v>4331</v>
      </c>
      <c r="G13997">
        <v>0</v>
      </c>
      <c r="H13997" t="s">
        <v>18860</v>
      </c>
      <c r="I13997">
        <v>15825</v>
      </c>
      <c r="J13997" t="str">
        <f>VLOOKUP(E13997,DSSpieler!A:B,2,FALSE)</f>
        <v>MakroMan</v>
      </c>
    </row>
    <row r="13998" spans="1:10" x14ac:dyDescent="0.25">
      <c r="A13998">
        <v>15826</v>
      </c>
      <c r="B13998" t="s">
        <v>531</v>
      </c>
      <c r="C13998">
        <v>599</v>
      </c>
      <c r="D13998">
        <v>435</v>
      </c>
      <c r="E13998">
        <v>0</v>
      </c>
      <c r="F13998">
        <v>199</v>
      </c>
      <c r="G13998">
        <v>0</v>
      </c>
      <c r="H13998" t="s">
        <v>18861</v>
      </c>
      <c r="I13998">
        <v>15826</v>
      </c>
      <c r="J13998" t="e">
        <f>VLOOKUP(E13998,DSSpieler!A:B,2,FALSE)</f>
        <v>#N/A</v>
      </c>
    </row>
    <row r="13999" spans="1:10" x14ac:dyDescent="0.25">
      <c r="A13999">
        <v>15827</v>
      </c>
      <c r="B13999" t="s">
        <v>35195</v>
      </c>
      <c r="C13999">
        <v>402</v>
      </c>
      <c r="D13999">
        <v>566</v>
      </c>
      <c r="E13999">
        <v>1577083172</v>
      </c>
      <c r="F13999">
        <v>2099</v>
      </c>
      <c r="G13999">
        <v>0</v>
      </c>
      <c r="H13999" t="s">
        <v>18862</v>
      </c>
      <c r="I13999">
        <v>15827</v>
      </c>
      <c r="J13999" t="str">
        <f>VLOOKUP(E13999,DSSpieler!A:B,2,FALSE)</f>
        <v>dorschden</v>
      </c>
    </row>
    <row r="14000" spans="1:10" x14ac:dyDescent="0.25">
      <c r="A14000">
        <v>15828</v>
      </c>
      <c r="B14000" t="s">
        <v>35196</v>
      </c>
      <c r="C14000">
        <v>478</v>
      </c>
      <c r="D14000">
        <v>393</v>
      </c>
      <c r="E14000">
        <v>3314936</v>
      </c>
      <c r="F14000">
        <v>2651</v>
      </c>
      <c r="G14000">
        <v>0</v>
      </c>
      <c r="H14000" t="s">
        <v>18863</v>
      </c>
      <c r="I14000">
        <v>15828</v>
      </c>
      <c r="J14000" t="str">
        <f>VLOOKUP(E14000,DSSpieler!A:B,2,FALSE)</f>
        <v>Matt239</v>
      </c>
    </row>
    <row r="14001" spans="1:10" x14ac:dyDescent="0.25">
      <c r="A14001">
        <v>15829</v>
      </c>
      <c r="B14001" t="s">
        <v>2444</v>
      </c>
      <c r="C14001">
        <v>471</v>
      </c>
      <c r="D14001">
        <v>386</v>
      </c>
      <c r="E14001">
        <v>1577202737</v>
      </c>
      <c r="F14001">
        <v>921</v>
      </c>
      <c r="G14001">
        <v>0</v>
      </c>
      <c r="H14001" t="s">
        <v>18864</v>
      </c>
      <c r="I14001">
        <v>15829</v>
      </c>
      <c r="J14001" t="str">
        <f>VLOOKUP(E14001,DSSpieler!A:B,2,FALSE)</f>
        <v>emft</v>
      </c>
    </row>
    <row r="14002" spans="1:10" x14ac:dyDescent="0.25">
      <c r="A14002">
        <v>15830</v>
      </c>
      <c r="B14002" t="s">
        <v>531</v>
      </c>
      <c r="C14002">
        <v>390</v>
      </c>
      <c r="D14002">
        <v>449</v>
      </c>
      <c r="E14002">
        <v>0</v>
      </c>
      <c r="F14002">
        <v>178</v>
      </c>
      <c r="G14002">
        <v>0</v>
      </c>
      <c r="H14002" t="s">
        <v>18865</v>
      </c>
      <c r="I14002">
        <v>15830</v>
      </c>
      <c r="J14002" t="e">
        <f>VLOOKUP(E14002,DSSpieler!A:B,2,FALSE)</f>
        <v>#N/A</v>
      </c>
    </row>
    <row r="14003" spans="1:10" x14ac:dyDescent="0.25">
      <c r="A14003">
        <v>15831</v>
      </c>
      <c r="B14003" t="s">
        <v>31159</v>
      </c>
      <c r="C14003">
        <v>380</v>
      </c>
      <c r="D14003">
        <v>492</v>
      </c>
      <c r="E14003">
        <v>1577203101</v>
      </c>
      <c r="F14003">
        <v>4408</v>
      </c>
      <c r="G14003">
        <v>0</v>
      </c>
      <c r="H14003" t="s">
        <v>18866</v>
      </c>
      <c r="I14003">
        <v>15831</v>
      </c>
      <c r="J14003" t="str">
        <f>VLOOKUP(E14003,DSSpieler!A:B,2,FALSE)</f>
        <v>I2eichsritter</v>
      </c>
    </row>
    <row r="14004" spans="1:10" x14ac:dyDescent="0.25">
      <c r="A14004">
        <v>15833</v>
      </c>
      <c r="B14004" t="s">
        <v>2445</v>
      </c>
      <c r="C14004">
        <v>424</v>
      </c>
      <c r="D14004">
        <v>595</v>
      </c>
      <c r="E14004">
        <v>9758051</v>
      </c>
      <c r="F14004">
        <v>2704</v>
      </c>
      <c r="G14004">
        <v>0</v>
      </c>
      <c r="H14004" t="s">
        <v>18867</v>
      </c>
      <c r="I14004">
        <v>15833</v>
      </c>
      <c r="J14004" t="str">
        <f>VLOOKUP(E14004,DSSpieler!A:B,2,FALSE)</f>
        <v>Dovev</v>
      </c>
    </row>
    <row r="14005" spans="1:10" x14ac:dyDescent="0.25">
      <c r="A14005">
        <v>15834</v>
      </c>
      <c r="B14005" t="s">
        <v>2446</v>
      </c>
      <c r="C14005">
        <v>385</v>
      </c>
      <c r="D14005">
        <v>462</v>
      </c>
      <c r="E14005">
        <v>1577191249</v>
      </c>
      <c r="F14005">
        <v>3399</v>
      </c>
      <c r="G14005">
        <v>0</v>
      </c>
      <c r="H14005" t="s">
        <v>486</v>
      </c>
      <c r="I14005">
        <v>15834</v>
      </c>
      <c r="J14005" t="str">
        <f>VLOOKUP(E14005,DSSpieler!A:B,2,FALSE)</f>
        <v>Succoso</v>
      </c>
    </row>
    <row r="14006" spans="1:10" x14ac:dyDescent="0.25">
      <c r="A14006">
        <v>15835</v>
      </c>
      <c r="B14006" t="s">
        <v>531</v>
      </c>
      <c r="C14006">
        <v>601</v>
      </c>
      <c r="D14006">
        <v>438</v>
      </c>
      <c r="E14006">
        <v>0</v>
      </c>
      <c r="F14006">
        <v>138</v>
      </c>
      <c r="G14006">
        <v>0</v>
      </c>
      <c r="H14006" t="s">
        <v>18868</v>
      </c>
      <c r="I14006">
        <v>15835</v>
      </c>
      <c r="J14006" t="e">
        <f>VLOOKUP(E14006,DSSpieler!A:B,2,FALSE)</f>
        <v>#N/A</v>
      </c>
    </row>
    <row r="14007" spans="1:10" x14ac:dyDescent="0.25">
      <c r="A14007">
        <v>15836</v>
      </c>
      <c r="B14007" t="s">
        <v>35197</v>
      </c>
      <c r="C14007">
        <v>409</v>
      </c>
      <c r="D14007">
        <v>420</v>
      </c>
      <c r="E14007">
        <v>3304353</v>
      </c>
      <c r="F14007">
        <v>2897</v>
      </c>
      <c r="G14007">
        <v>0</v>
      </c>
      <c r="H14007" t="s">
        <v>18869</v>
      </c>
      <c r="I14007">
        <v>15836</v>
      </c>
      <c r="J14007" t="str">
        <f>VLOOKUP(E14007,DSSpieler!A:B,2,FALSE)</f>
        <v>kunigunde62</v>
      </c>
    </row>
    <row r="14008" spans="1:10" x14ac:dyDescent="0.25">
      <c r="A14008">
        <v>15837</v>
      </c>
      <c r="B14008" t="s">
        <v>35198</v>
      </c>
      <c r="C14008">
        <v>556</v>
      </c>
      <c r="D14008">
        <v>593</v>
      </c>
      <c r="E14008">
        <v>1577203124</v>
      </c>
      <c r="F14008">
        <v>370</v>
      </c>
      <c r="G14008">
        <v>0</v>
      </c>
      <c r="H14008" t="s">
        <v>18870</v>
      </c>
      <c r="I14008">
        <v>15837</v>
      </c>
      <c r="J14008" t="str">
        <f>VLOOKUP(E14008,DSSpieler!A:B,2,FALSE)</f>
        <v>Jokerjulian</v>
      </c>
    </row>
    <row r="14009" spans="1:10" x14ac:dyDescent="0.25">
      <c r="A14009">
        <v>15839</v>
      </c>
      <c r="B14009" t="s">
        <v>35199</v>
      </c>
      <c r="C14009">
        <v>494</v>
      </c>
      <c r="D14009">
        <v>388</v>
      </c>
      <c r="E14009">
        <v>3031955</v>
      </c>
      <c r="F14009">
        <v>4237</v>
      </c>
      <c r="G14009">
        <v>0</v>
      </c>
      <c r="H14009" t="s">
        <v>18871</v>
      </c>
      <c r="I14009">
        <v>15839</v>
      </c>
      <c r="J14009" t="str">
        <f>VLOOKUP(E14009,DSSpieler!A:B,2,FALSE)</f>
        <v>colahefe</v>
      </c>
    </row>
    <row r="14010" spans="1:10" x14ac:dyDescent="0.25">
      <c r="A14010">
        <v>15841</v>
      </c>
      <c r="B14010" t="s">
        <v>1965</v>
      </c>
      <c r="C14010">
        <v>545</v>
      </c>
      <c r="D14010">
        <v>384</v>
      </c>
      <c r="E14010">
        <v>1577203135</v>
      </c>
      <c r="F14010">
        <v>3250</v>
      </c>
      <c r="G14010">
        <v>0</v>
      </c>
      <c r="H14010" t="s">
        <v>18872</v>
      </c>
      <c r="I14010">
        <v>15841</v>
      </c>
      <c r="J14010" t="str">
        <f>VLOOKUP(E14010,DSSpieler!A:B,2,FALSE)</f>
        <v>Resti</v>
      </c>
    </row>
    <row r="14011" spans="1:10" x14ac:dyDescent="0.25">
      <c r="A14011">
        <v>15842</v>
      </c>
      <c r="B14011" t="s">
        <v>531</v>
      </c>
      <c r="C14011">
        <v>414</v>
      </c>
      <c r="D14011">
        <v>419</v>
      </c>
      <c r="E14011">
        <v>0</v>
      </c>
      <c r="F14011">
        <v>318</v>
      </c>
      <c r="G14011">
        <v>0</v>
      </c>
      <c r="H14011" t="s">
        <v>18873</v>
      </c>
      <c r="I14011">
        <v>15842</v>
      </c>
      <c r="J14011" t="e">
        <f>VLOOKUP(E14011,DSSpieler!A:B,2,FALSE)</f>
        <v>#N/A</v>
      </c>
    </row>
    <row r="14012" spans="1:10" x14ac:dyDescent="0.25">
      <c r="A14012">
        <v>15844</v>
      </c>
      <c r="B14012" t="s">
        <v>35200</v>
      </c>
      <c r="C14012">
        <v>390</v>
      </c>
      <c r="D14012">
        <v>534</v>
      </c>
      <c r="E14012">
        <v>1577203137</v>
      </c>
      <c r="F14012">
        <v>572</v>
      </c>
      <c r="G14012">
        <v>0</v>
      </c>
      <c r="H14012" t="s">
        <v>18874</v>
      </c>
      <c r="I14012">
        <v>15844</v>
      </c>
      <c r="J14012" t="str">
        <f>VLOOKUP(E14012,DSSpieler!A:B,2,FALSE)</f>
        <v>GERMarveX</v>
      </c>
    </row>
    <row r="14013" spans="1:10" x14ac:dyDescent="0.25">
      <c r="A14013">
        <v>15845</v>
      </c>
      <c r="B14013" t="s">
        <v>531</v>
      </c>
      <c r="C14013">
        <v>483</v>
      </c>
      <c r="D14013">
        <v>617</v>
      </c>
      <c r="E14013">
        <v>0</v>
      </c>
      <c r="F14013">
        <v>225</v>
      </c>
      <c r="G14013">
        <v>0</v>
      </c>
      <c r="H14013" t="s">
        <v>18875</v>
      </c>
      <c r="I14013">
        <v>15845</v>
      </c>
      <c r="J14013" t="e">
        <f>VLOOKUP(E14013,DSSpieler!A:B,2,FALSE)</f>
        <v>#N/A</v>
      </c>
    </row>
    <row r="14014" spans="1:10" x14ac:dyDescent="0.25">
      <c r="A14014">
        <v>15846</v>
      </c>
      <c r="B14014">
        <v>2</v>
      </c>
      <c r="C14014">
        <v>510</v>
      </c>
      <c r="D14014">
        <v>621</v>
      </c>
      <c r="E14014">
        <v>7782438</v>
      </c>
      <c r="F14014">
        <v>468</v>
      </c>
      <c r="G14014">
        <v>0</v>
      </c>
      <c r="H14014" t="s">
        <v>18876</v>
      </c>
      <c r="I14014">
        <v>15846</v>
      </c>
      <c r="J14014" t="str">
        <f>VLOOKUP(E14014,DSSpieler!A:B,2,FALSE)</f>
        <v>dick sein ist rund</v>
      </c>
    </row>
    <row r="14015" spans="1:10" x14ac:dyDescent="0.25">
      <c r="A14015">
        <v>15847</v>
      </c>
      <c r="B14015" t="s">
        <v>531</v>
      </c>
      <c r="C14015">
        <v>461</v>
      </c>
      <c r="D14015">
        <v>619</v>
      </c>
      <c r="E14015">
        <v>0</v>
      </c>
      <c r="F14015">
        <v>1416</v>
      </c>
      <c r="G14015">
        <v>0</v>
      </c>
      <c r="H14015" t="s">
        <v>18877</v>
      </c>
      <c r="I14015">
        <v>15847</v>
      </c>
      <c r="J14015" t="e">
        <f>VLOOKUP(E14015,DSSpieler!A:B,2,FALSE)</f>
        <v>#N/A</v>
      </c>
    </row>
    <row r="14016" spans="1:10" x14ac:dyDescent="0.25">
      <c r="A14016">
        <v>15849</v>
      </c>
      <c r="B14016" t="s">
        <v>2447</v>
      </c>
      <c r="C14016">
        <v>412</v>
      </c>
      <c r="D14016">
        <v>421</v>
      </c>
      <c r="E14016">
        <v>1577199076</v>
      </c>
      <c r="F14016">
        <v>718</v>
      </c>
      <c r="G14016">
        <v>0</v>
      </c>
      <c r="H14016" t="s">
        <v>18878</v>
      </c>
      <c r="I14016">
        <v>15849</v>
      </c>
      <c r="J14016" t="str">
        <f>VLOOKUP(E14016,DSSpieler!A:B,2,FALSE)</f>
        <v>TobyG235</v>
      </c>
    </row>
    <row r="14017" spans="1:10" x14ac:dyDescent="0.25">
      <c r="A14017">
        <v>15850</v>
      </c>
      <c r="B14017" t="s">
        <v>531</v>
      </c>
      <c r="C14017">
        <v>497</v>
      </c>
      <c r="D14017">
        <v>380</v>
      </c>
      <c r="E14017">
        <v>0</v>
      </c>
      <c r="F14017">
        <v>124</v>
      </c>
      <c r="G14017">
        <v>0</v>
      </c>
      <c r="H14017" t="s">
        <v>18879</v>
      </c>
      <c r="I14017">
        <v>15850</v>
      </c>
      <c r="J14017" t="e">
        <f>VLOOKUP(E14017,DSSpieler!A:B,2,FALSE)</f>
        <v>#N/A</v>
      </c>
    </row>
    <row r="14018" spans="1:10" x14ac:dyDescent="0.25">
      <c r="A14018">
        <v>15851</v>
      </c>
      <c r="B14018" t="s">
        <v>531</v>
      </c>
      <c r="C14018">
        <v>461</v>
      </c>
      <c r="D14018">
        <v>615</v>
      </c>
      <c r="E14018">
        <v>0</v>
      </c>
      <c r="F14018">
        <v>641</v>
      </c>
      <c r="G14018">
        <v>0</v>
      </c>
      <c r="H14018" t="s">
        <v>18880</v>
      </c>
      <c r="I14018">
        <v>15851</v>
      </c>
      <c r="J14018" t="e">
        <f>VLOOKUP(E14018,DSSpieler!A:B,2,FALSE)</f>
        <v>#N/A</v>
      </c>
    </row>
    <row r="14019" spans="1:10" x14ac:dyDescent="0.25">
      <c r="A14019">
        <v>15852</v>
      </c>
      <c r="B14019" t="s">
        <v>531</v>
      </c>
      <c r="C14019">
        <v>477</v>
      </c>
      <c r="D14019">
        <v>381</v>
      </c>
      <c r="E14019">
        <v>0</v>
      </c>
      <c r="F14019">
        <v>121</v>
      </c>
      <c r="G14019">
        <v>0</v>
      </c>
      <c r="H14019" t="s">
        <v>18881</v>
      </c>
      <c r="I14019">
        <v>15852</v>
      </c>
      <c r="J14019" t="e">
        <f>VLOOKUP(E14019,DSSpieler!A:B,2,FALSE)</f>
        <v>#N/A</v>
      </c>
    </row>
    <row r="14020" spans="1:10" x14ac:dyDescent="0.25">
      <c r="A14020">
        <v>15853</v>
      </c>
      <c r="B14020" t="s">
        <v>35201</v>
      </c>
      <c r="C14020">
        <v>534</v>
      </c>
      <c r="D14020">
        <v>383</v>
      </c>
      <c r="E14020">
        <v>9567678</v>
      </c>
      <c r="F14020">
        <v>189</v>
      </c>
      <c r="G14020">
        <v>0</v>
      </c>
      <c r="H14020" t="s">
        <v>18882</v>
      </c>
      <c r="I14020">
        <v>15853</v>
      </c>
      <c r="J14020" t="str">
        <f>VLOOKUP(E14020,DSSpieler!A:B,2,FALSE)</f>
        <v>Masterali</v>
      </c>
    </row>
    <row r="14021" spans="1:10" x14ac:dyDescent="0.25">
      <c r="A14021">
        <v>15854</v>
      </c>
      <c r="B14021" t="s">
        <v>531</v>
      </c>
      <c r="C14021">
        <v>575</v>
      </c>
      <c r="D14021">
        <v>404</v>
      </c>
      <c r="E14021">
        <v>0</v>
      </c>
      <c r="F14021">
        <v>91</v>
      </c>
      <c r="G14021">
        <v>0</v>
      </c>
      <c r="H14021" t="s">
        <v>18883</v>
      </c>
      <c r="I14021">
        <v>15854</v>
      </c>
      <c r="J14021" t="e">
        <f>VLOOKUP(E14021,DSSpieler!A:B,2,FALSE)</f>
        <v>#N/A</v>
      </c>
    </row>
    <row r="14022" spans="1:10" x14ac:dyDescent="0.25">
      <c r="A14022">
        <v>15855</v>
      </c>
      <c r="B14022" t="s">
        <v>531</v>
      </c>
      <c r="C14022">
        <v>424</v>
      </c>
      <c r="D14022">
        <v>411</v>
      </c>
      <c r="E14022">
        <v>0</v>
      </c>
      <c r="F14022">
        <v>290</v>
      </c>
      <c r="G14022">
        <v>0</v>
      </c>
      <c r="H14022" t="s">
        <v>18884</v>
      </c>
      <c r="I14022">
        <v>15855</v>
      </c>
      <c r="J14022" t="e">
        <f>VLOOKUP(E14022,DSSpieler!A:B,2,FALSE)</f>
        <v>#N/A</v>
      </c>
    </row>
    <row r="14023" spans="1:10" x14ac:dyDescent="0.25">
      <c r="A14023">
        <v>15856</v>
      </c>
      <c r="B14023" t="s">
        <v>531</v>
      </c>
      <c r="C14023">
        <v>602</v>
      </c>
      <c r="D14023">
        <v>448</v>
      </c>
      <c r="E14023">
        <v>0</v>
      </c>
      <c r="F14023">
        <v>174</v>
      </c>
      <c r="G14023">
        <v>0</v>
      </c>
      <c r="H14023" t="s">
        <v>18885</v>
      </c>
      <c r="I14023">
        <v>15856</v>
      </c>
      <c r="J14023" t="e">
        <f>VLOOKUP(E14023,DSSpieler!A:B,2,FALSE)</f>
        <v>#N/A</v>
      </c>
    </row>
    <row r="14024" spans="1:10" x14ac:dyDescent="0.25">
      <c r="A14024">
        <v>15857</v>
      </c>
      <c r="B14024" t="s">
        <v>531</v>
      </c>
      <c r="C14024">
        <v>601</v>
      </c>
      <c r="D14024">
        <v>558</v>
      </c>
      <c r="E14024">
        <v>0</v>
      </c>
      <c r="F14024">
        <v>363</v>
      </c>
      <c r="G14024">
        <v>0</v>
      </c>
      <c r="H14024" t="s">
        <v>18886</v>
      </c>
      <c r="I14024">
        <v>15857</v>
      </c>
      <c r="J14024" t="e">
        <f>VLOOKUP(E14024,DSSpieler!A:B,2,FALSE)</f>
        <v>#N/A</v>
      </c>
    </row>
    <row r="14025" spans="1:10" x14ac:dyDescent="0.25">
      <c r="A14025">
        <v>15858</v>
      </c>
      <c r="B14025" t="s">
        <v>531</v>
      </c>
      <c r="C14025">
        <v>602</v>
      </c>
      <c r="D14025">
        <v>568</v>
      </c>
      <c r="E14025">
        <v>0</v>
      </c>
      <c r="F14025">
        <v>571</v>
      </c>
      <c r="G14025">
        <v>0</v>
      </c>
      <c r="H14025" t="s">
        <v>18887</v>
      </c>
      <c r="I14025">
        <v>15858</v>
      </c>
      <c r="J14025" t="e">
        <f>VLOOKUP(E14025,DSSpieler!A:B,2,FALSE)</f>
        <v>#N/A</v>
      </c>
    </row>
    <row r="14026" spans="1:10" x14ac:dyDescent="0.25">
      <c r="A14026">
        <v>15859</v>
      </c>
      <c r="B14026" t="s">
        <v>531</v>
      </c>
      <c r="C14026">
        <v>599</v>
      </c>
      <c r="D14026">
        <v>547</v>
      </c>
      <c r="E14026">
        <v>0</v>
      </c>
      <c r="F14026">
        <v>302</v>
      </c>
      <c r="G14026">
        <v>0</v>
      </c>
      <c r="H14026" t="s">
        <v>18888</v>
      </c>
      <c r="I14026">
        <v>15859</v>
      </c>
      <c r="J14026" t="e">
        <f>VLOOKUP(E14026,DSSpieler!A:B,2,FALSE)</f>
        <v>#N/A</v>
      </c>
    </row>
    <row r="14027" spans="1:10" x14ac:dyDescent="0.25">
      <c r="A14027">
        <v>15860</v>
      </c>
      <c r="B14027" t="s">
        <v>531</v>
      </c>
      <c r="C14027">
        <v>487</v>
      </c>
      <c r="D14027">
        <v>380</v>
      </c>
      <c r="E14027">
        <v>0</v>
      </c>
      <c r="F14027">
        <v>494</v>
      </c>
      <c r="G14027">
        <v>0</v>
      </c>
      <c r="H14027" t="s">
        <v>18889</v>
      </c>
      <c r="I14027">
        <v>15860</v>
      </c>
      <c r="J14027" t="e">
        <f>VLOOKUP(E14027,DSSpieler!A:B,2,FALSE)</f>
        <v>#N/A</v>
      </c>
    </row>
    <row r="14028" spans="1:10" x14ac:dyDescent="0.25">
      <c r="A14028">
        <v>15861</v>
      </c>
      <c r="B14028" t="s">
        <v>531</v>
      </c>
      <c r="C14028">
        <v>498</v>
      </c>
      <c r="D14028">
        <v>500</v>
      </c>
      <c r="E14028">
        <v>0</v>
      </c>
      <c r="F14028">
        <v>632</v>
      </c>
      <c r="G14028">
        <v>0</v>
      </c>
      <c r="H14028" t="s">
        <v>18890</v>
      </c>
      <c r="I14028">
        <v>15861</v>
      </c>
      <c r="J14028" t="e">
        <f>VLOOKUP(E14028,DSSpieler!A:B,2,FALSE)</f>
        <v>#N/A</v>
      </c>
    </row>
    <row r="14029" spans="1:10" x14ac:dyDescent="0.25">
      <c r="A14029">
        <v>15862</v>
      </c>
      <c r="B14029" t="s">
        <v>531</v>
      </c>
      <c r="C14029">
        <v>621</v>
      </c>
      <c r="D14029">
        <v>514</v>
      </c>
      <c r="E14029">
        <v>0</v>
      </c>
      <c r="F14029">
        <v>249</v>
      </c>
      <c r="G14029">
        <v>0</v>
      </c>
      <c r="H14029" t="s">
        <v>18891</v>
      </c>
      <c r="I14029">
        <v>15862</v>
      </c>
      <c r="J14029" t="e">
        <f>VLOOKUP(E14029,DSSpieler!A:B,2,FALSE)</f>
        <v>#N/A</v>
      </c>
    </row>
    <row r="14030" spans="1:10" x14ac:dyDescent="0.25">
      <c r="A14030">
        <v>15863</v>
      </c>
      <c r="B14030">
        <v>1</v>
      </c>
      <c r="C14030">
        <v>592</v>
      </c>
      <c r="D14030">
        <v>576</v>
      </c>
      <c r="E14030">
        <v>1576874690</v>
      </c>
      <c r="F14030">
        <v>729</v>
      </c>
      <c r="G14030">
        <v>0</v>
      </c>
      <c r="H14030" t="s">
        <v>18892</v>
      </c>
      <c r="I14030">
        <v>15863</v>
      </c>
      <c r="J14030" t="str">
        <f>VLOOKUP(E14030,DSSpieler!A:B,2,FALSE)</f>
        <v>eufi</v>
      </c>
    </row>
    <row r="14031" spans="1:10" x14ac:dyDescent="0.25">
      <c r="A14031">
        <v>15864</v>
      </c>
      <c r="B14031" t="s">
        <v>531</v>
      </c>
      <c r="C14031">
        <v>438</v>
      </c>
      <c r="D14031">
        <v>396</v>
      </c>
      <c r="E14031">
        <v>0</v>
      </c>
      <c r="F14031">
        <v>151</v>
      </c>
      <c r="G14031">
        <v>0</v>
      </c>
      <c r="H14031" t="s">
        <v>18893</v>
      </c>
      <c r="I14031">
        <v>15864</v>
      </c>
      <c r="J14031" t="e">
        <f>VLOOKUP(E14031,DSSpieler!A:B,2,FALSE)</f>
        <v>#N/A</v>
      </c>
    </row>
    <row r="14032" spans="1:10" x14ac:dyDescent="0.25">
      <c r="A14032">
        <v>15866</v>
      </c>
      <c r="B14032" t="s">
        <v>2448</v>
      </c>
      <c r="C14032">
        <v>579</v>
      </c>
      <c r="D14032">
        <v>591</v>
      </c>
      <c r="E14032">
        <v>1577201169</v>
      </c>
      <c r="F14032">
        <v>3641</v>
      </c>
      <c r="G14032">
        <v>0</v>
      </c>
      <c r="H14032" t="s">
        <v>18894</v>
      </c>
      <c r="I14032">
        <v>15866</v>
      </c>
      <c r="J14032" t="str">
        <f>VLOOKUP(E14032,DSSpieler!A:B,2,FALSE)</f>
        <v>RoastedAmena</v>
      </c>
    </row>
    <row r="14033" spans="1:10" x14ac:dyDescent="0.25">
      <c r="A14033">
        <v>15868</v>
      </c>
      <c r="B14033" t="s">
        <v>35202</v>
      </c>
      <c r="C14033">
        <v>466</v>
      </c>
      <c r="D14033">
        <v>463</v>
      </c>
      <c r="E14033">
        <v>1577197647</v>
      </c>
      <c r="F14033">
        <v>1403</v>
      </c>
      <c r="G14033">
        <v>0</v>
      </c>
      <c r="H14033" t="s">
        <v>18895</v>
      </c>
      <c r="I14033">
        <v>15868</v>
      </c>
      <c r="J14033" t="str">
        <f>VLOOKUP(E14033,DSSpieler!A:B,2,FALSE)</f>
        <v>hardknorr</v>
      </c>
    </row>
    <row r="14034" spans="1:10" x14ac:dyDescent="0.25">
      <c r="A14034">
        <v>15870</v>
      </c>
      <c r="B14034" t="s">
        <v>2449</v>
      </c>
      <c r="C14034">
        <v>562</v>
      </c>
      <c r="D14034">
        <v>604</v>
      </c>
      <c r="E14034">
        <v>1576609927</v>
      </c>
      <c r="F14034">
        <v>1444</v>
      </c>
      <c r="G14034">
        <v>0</v>
      </c>
      <c r="H14034" t="s">
        <v>18896</v>
      </c>
      <c r="I14034">
        <v>15870</v>
      </c>
      <c r="J14034" t="str">
        <f>VLOOKUP(E14034,DSSpieler!A:B,2,FALSE)</f>
        <v>Der Krieger Gondors.</v>
      </c>
    </row>
    <row r="14035" spans="1:10" x14ac:dyDescent="0.25">
      <c r="A14035">
        <v>15871</v>
      </c>
      <c r="B14035" t="s">
        <v>531</v>
      </c>
      <c r="C14035">
        <v>574</v>
      </c>
      <c r="D14035">
        <v>403</v>
      </c>
      <c r="E14035">
        <v>0</v>
      </c>
      <c r="F14035">
        <v>523</v>
      </c>
      <c r="G14035">
        <v>0</v>
      </c>
      <c r="H14035" t="s">
        <v>18897</v>
      </c>
      <c r="I14035">
        <v>15871</v>
      </c>
      <c r="J14035" t="e">
        <f>VLOOKUP(E14035,DSSpieler!A:B,2,FALSE)</f>
        <v>#N/A</v>
      </c>
    </row>
    <row r="14036" spans="1:10" x14ac:dyDescent="0.25">
      <c r="A14036">
        <v>15872</v>
      </c>
      <c r="B14036" t="s">
        <v>531</v>
      </c>
      <c r="C14036">
        <v>518</v>
      </c>
      <c r="D14036">
        <v>495</v>
      </c>
      <c r="E14036">
        <v>0</v>
      </c>
      <c r="F14036">
        <v>173</v>
      </c>
      <c r="G14036">
        <v>0</v>
      </c>
      <c r="H14036" t="s">
        <v>18898</v>
      </c>
      <c r="I14036">
        <v>15872</v>
      </c>
      <c r="J14036" t="e">
        <f>VLOOKUP(E14036,DSSpieler!A:B,2,FALSE)</f>
        <v>#N/A</v>
      </c>
    </row>
    <row r="14037" spans="1:10" x14ac:dyDescent="0.25">
      <c r="A14037">
        <v>15873</v>
      </c>
      <c r="B14037" t="s">
        <v>531</v>
      </c>
      <c r="C14037">
        <v>388</v>
      </c>
      <c r="D14037">
        <v>548</v>
      </c>
      <c r="E14037">
        <v>0</v>
      </c>
      <c r="F14037">
        <v>129</v>
      </c>
      <c r="G14037">
        <v>0</v>
      </c>
      <c r="H14037" t="s">
        <v>18899</v>
      </c>
      <c r="I14037">
        <v>15873</v>
      </c>
      <c r="J14037" t="e">
        <f>VLOOKUP(E14037,DSSpieler!A:B,2,FALSE)</f>
        <v>#N/A</v>
      </c>
    </row>
    <row r="14038" spans="1:10" x14ac:dyDescent="0.25">
      <c r="A14038">
        <v>15874</v>
      </c>
      <c r="B14038" t="s">
        <v>531</v>
      </c>
      <c r="C14038">
        <v>586</v>
      </c>
      <c r="D14038">
        <v>581</v>
      </c>
      <c r="E14038">
        <v>0</v>
      </c>
      <c r="F14038">
        <v>186</v>
      </c>
      <c r="G14038">
        <v>0</v>
      </c>
      <c r="H14038" t="s">
        <v>18900</v>
      </c>
      <c r="I14038">
        <v>15874</v>
      </c>
      <c r="J14038" t="e">
        <f>VLOOKUP(E14038,DSSpieler!A:B,2,FALSE)</f>
        <v>#N/A</v>
      </c>
    </row>
    <row r="14039" spans="1:10" x14ac:dyDescent="0.25">
      <c r="A14039">
        <v>15875</v>
      </c>
      <c r="B14039" t="s">
        <v>531</v>
      </c>
      <c r="C14039">
        <v>400</v>
      </c>
      <c r="D14039">
        <v>437</v>
      </c>
      <c r="E14039">
        <v>0</v>
      </c>
      <c r="F14039">
        <v>218</v>
      </c>
      <c r="G14039">
        <v>0</v>
      </c>
      <c r="H14039" t="s">
        <v>18901</v>
      </c>
      <c r="I14039">
        <v>15875</v>
      </c>
      <c r="J14039" t="e">
        <f>VLOOKUP(E14039,DSSpieler!A:B,2,FALSE)</f>
        <v>#N/A</v>
      </c>
    </row>
    <row r="14040" spans="1:10" x14ac:dyDescent="0.25">
      <c r="A14040">
        <v>15876</v>
      </c>
      <c r="B14040" t="s">
        <v>531</v>
      </c>
      <c r="C14040">
        <v>388</v>
      </c>
      <c r="D14040">
        <v>546</v>
      </c>
      <c r="E14040">
        <v>0</v>
      </c>
      <c r="F14040">
        <v>307</v>
      </c>
      <c r="G14040">
        <v>0</v>
      </c>
      <c r="H14040" t="s">
        <v>18902</v>
      </c>
      <c r="I14040">
        <v>15876</v>
      </c>
      <c r="J14040" t="e">
        <f>VLOOKUP(E14040,DSSpieler!A:B,2,FALSE)</f>
        <v>#N/A</v>
      </c>
    </row>
    <row r="14041" spans="1:10" x14ac:dyDescent="0.25">
      <c r="A14041">
        <v>15877</v>
      </c>
      <c r="B14041" t="s">
        <v>35203</v>
      </c>
      <c r="C14041">
        <v>381</v>
      </c>
      <c r="D14041">
        <v>496</v>
      </c>
      <c r="E14041">
        <v>1576434225</v>
      </c>
      <c r="F14041">
        <v>490</v>
      </c>
      <c r="G14041">
        <v>0</v>
      </c>
      <c r="H14041" t="s">
        <v>18903</v>
      </c>
      <c r="I14041">
        <v>15877</v>
      </c>
      <c r="J14041" t="str">
        <f>VLOOKUP(E14041,DSSpieler!A:B,2,FALSE)</f>
        <v>tekkneut</v>
      </c>
    </row>
    <row r="14042" spans="1:10" x14ac:dyDescent="0.25">
      <c r="A14042">
        <v>15878</v>
      </c>
      <c r="B14042" t="s">
        <v>531</v>
      </c>
      <c r="C14042">
        <v>532</v>
      </c>
      <c r="D14042">
        <v>612</v>
      </c>
      <c r="E14042">
        <v>0</v>
      </c>
      <c r="F14042">
        <v>104</v>
      </c>
      <c r="G14042">
        <v>0</v>
      </c>
      <c r="H14042" t="s">
        <v>18904</v>
      </c>
      <c r="I14042">
        <v>15878</v>
      </c>
      <c r="J14042" t="e">
        <f>VLOOKUP(E14042,DSSpieler!A:B,2,FALSE)</f>
        <v>#N/A</v>
      </c>
    </row>
    <row r="14043" spans="1:10" x14ac:dyDescent="0.25">
      <c r="A14043">
        <v>15879</v>
      </c>
      <c r="B14043" t="s">
        <v>531</v>
      </c>
      <c r="C14043">
        <v>616</v>
      </c>
      <c r="D14043">
        <v>514</v>
      </c>
      <c r="E14043">
        <v>0</v>
      </c>
      <c r="F14043">
        <v>96</v>
      </c>
      <c r="G14043">
        <v>0</v>
      </c>
      <c r="H14043" t="s">
        <v>18905</v>
      </c>
      <c r="I14043">
        <v>15879</v>
      </c>
      <c r="J14043" t="e">
        <f>VLOOKUP(E14043,DSSpieler!A:B,2,FALSE)</f>
        <v>#N/A</v>
      </c>
    </row>
    <row r="14044" spans="1:10" x14ac:dyDescent="0.25">
      <c r="A14044">
        <v>15880</v>
      </c>
      <c r="B14044" t="s">
        <v>531</v>
      </c>
      <c r="C14044">
        <v>615</v>
      </c>
      <c r="D14044">
        <v>526</v>
      </c>
      <c r="E14044">
        <v>0</v>
      </c>
      <c r="F14044">
        <v>112</v>
      </c>
      <c r="G14044">
        <v>0</v>
      </c>
      <c r="H14044" t="s">
        <v>18906</v>
      </c>
      <c r="I14044">
        <v>15880</v>
      </c>
      <c r="J14044" t="e">
        <f>VLOOKUP(E14044,DSSpieler!A:B,2,FALSE)</f>
        <v>#N/A</v>
      </c>
    </row>
    <row r="14045" spans="1:10" x14ac:dyDescent="0.25">
      <c r="A14045">
        <v>15882</v>
      </c>
      <c r="B14045" t="s">
        <v>531</v>
      </c>
      <c r="C14045">
        <v>399</v>
      </c>
      <c r="D14045">
        <v>564</v>
      </c>
      <c r="E14045">
        <v>0</v>
      </c>
      <c r="F14045">
        <v>234</v>
      </c>
      <c r="G14045">
        <v>0</v>
      </c>
      <c r="H14045" t="s">
        <v>18907</v>
      </c>
      <c r="I14045">
        <v>15882</v>
      </c>
      <c r="J14045" t="e">
        <f>VLOOKUP(E14045,DSSpieler!A:B,2,FALSE)</f>
        <v>#N/A</v>
      </c>
    </row>
    <row r="14046" spans="1:10" x14ac:dyDescent="0.25">
      <c r="A14046">
        <v>15883</v>
      </c>
      <c r="B14046" t="s">
        <v>531</v>
      </c>
      <c r="C14046">
        <v>598</v>
      </c>
      <c r="D14046">
        <v>567</v>
      </c>
      <c r="E14046">
        <v>0</v>
      </c>
      <c r="F14046">
        <v>189</v>
      </c>
      <c r="G14046">
        <v>0</v>
      </c>
      <c r="H14046" t="s">
        <v>18908</v>
      </c>
      <c r="I14046">
        <v>15883</v>
      </c>
      <c r="J14046" t="e">
        <f>VLOOKUP(E14046,DSSpieler!A:B,2,FALSE)</f>
        <v>#N/A</v>
      </c>
    </row>
    <row r="14047" spans="1:10" x14ac:dyDescent="0.25">
      <c r="A14047">
        <v>15884</v>
      </c>
      <c r="B14047" t="s">
        <v>531</v>
      </c>
      <c r="C14047">
        <v>554</v>
      </c>
      <c r="D14047">
        <v>395</v>
      </c>
      <c r="E14047">
        <v>0</v>
      </c>
      <c r="F14047">
        <v>95</v>
      </c>
      <c r="G14047">
        <v>0</v>
      </c>
      <c r="H14047" t="s">
        <v>18909</v>
      </c>
      <c r="I14047">
        <v>15884</v>
      </c>
      <c r="J14047" t="e">
        <f>VLOOKUP(E14047,DSSpieler!A:B,2,FALSE)</f>
        <v>#N/A</v>
      </c>
    </row>
    <row r="14048" spans="1:10" x14ac:dyDescent="0.25">
      <c r="A14048">
        <v>15885</v>
      </c>
      <c r="B14048" t="s">
        <v>35204</v>
      </c>
      <c r="C14048">
        <v>503</v>
      </c>
      <c r="D14048">
        <v>516</v>
      </c>
      <c r="E14048">
        <v>1577197886</v>
      </c>
      <c r="F14048">
        <v>1778</v>
      </c>
      <c r="G14048">
        <v>0</v>
      </c>
      <c r="H14048" t="s">
        <v>18910</v>
      </c>
      <c r="I14048">
        <v>15885</v>
      </c>
      <c r="J14048" t="str">
        <f>VLOOKUP(E14048,DSSpieler!A:B,2,FALSE)</f>
        <v>Wolfgang85</v>
      </c>
    </row>
    <row r="14049" spans="1:10" x14ac:dyDescent="0.25">
      <c r="A14049">
        <v>15886</v>
      </c>
      <c r="B14049" t="s">
        <v>531</v>
      </c>
      <c r="C14049">
        <v>618</v>
      </c>
      <c r="D14049">
        <v>468</v>
      </c>
      <c r="E14049">
        <v>0</v>
      </c>
      <c r="F14049">
        <v>139</v>
      </c>
      <c r="G14049">
        <v>0</v>
      </c>
      <c r="H14049" t="s">
        <v>18911</v>
      </c>
      <c r="I14049">
        <v>15886</v>
      </c>
      <c r="J14049" t="e">
        <f>VLOOKUP(E14049,DSSpieler!A:B,2,FALSE)</f>
        <v>#N/A</v>
      </c>
    </row>
    <row r="14050" spans="1:10" x14ac:dyDescent="0.25">
      <c r="A14050">
        <v>15887</v>
      </c>
      <c r="B14050" t="s">
        <v>531</v>
      </c>
      <c r="C14050">
        <v>383</v>
      </c>
      <c r="D14050">
        <v>465</v>
      </c>
      <c r="E14050">
        <v>0</v>
      </c>
      <c r="F14050">
        <v>187</v>
      </c>
      <c r="G14050">
        <v>0</v>
      </c>
      <c r="H14050" t="s">
        <v>18912</v>
      </c>
      <c r="I14050">
        <v>15887</v>
      </c>
      <c r="J14050" t="e">
        <f>VLOOKUP(E14050,DSSpieler!A:B,2,FALSE)</f>
        <v>#N/A</v>
      </c>
    </row>
    <row r="14051" spans="1:10" x14ac:dyDescent="0.25">
      <c r="A14051">
        <v>15888</v>
      </c>
      <c r="B14051" t="s">
        <v>531</v>
      </c>
      <c r="C14051">
        <v>405</v>
      </c>
      <c r="D14051">
        <v>568</v>
      </c>
      <c r="E14051">
        <v>0</v>
      </c>
      <c r="F14051">
        <v>39</v>
      </c>
      <c r="G14051">
        <v>0</v>
      </c>
      <c r="H14051" t="s">
        <v>18913</v>
      </c>
      <c r="I14051">
        <v>15888</v>
      </c>
      <c r="J14051" t="e">
        <f>VLOOKUP(E14051,DSSpieler!A:B,2,FALSE)</f>
        <v>#N/A</v>
      </c>
    </row>
    <row r="14052" spans="1:10" x14ac:dyDescent="0.25">
      <c r="A14052">
        <v>15889</v>
      </c>
      <c r="B14052" t="s">
        <v>531</v>
      </c>
      <c r="C14052">
        <v>614</v>
      </c>
      <c r="D14052">
        <v>536</v>
      </c>
      <c r="E14052">
        <v>0</v>
      </c>
      <c r="F14052">
        <v>395</v>
      </c>
      <c r="G14052">
        <v>0</v>
      </c>
      <c r="H14052" t="s">
        <v>18914</v>
      </c>
      <c r="I14052">
        <v>15889</v>
      </c>
      <c r="J14052" t="e">
        <f>VLOOKUP(E14052,DSSpieler!A:B,2,FALSE)</f>
        <v>#N/A</v>
      </c>
    </row>
    <row r="14053" spans="1:10" x14ac:dyDescent="0.25">
      <c r="A14053">
        <v>15890</v>
      </c>
      <c r="B14053" t="s">
        <v>35205</v>
      </c>
      <c r="C14053">
        <v>450</v>
      </c>
      <c r="D14053">
        <v>612</v>
      </c>
      <c r="E14053">
        <v>1576956198</v>
      </c>
      <c r="F14053">
        <v>111</v>
      </c>
      <c r="G14053">
        <v>0</v>
      </c>
      <c r="H14053" t="s">
        <v>18915</v>
      </c>
      <c r="I14053">
        <v>15890</v>
      </c>
      <c r="J14053" t="str">
        <f>VLOOKUP(E14053,DSSpieler!A:B,2,FALSE)</f>
        <v>Marion1</v>
      </c>
    </row>
    <row r="14054" spans="1:10" x14ac:dyDescent="0.25">
      <c r="A14054">
        <v>15891</v>
      </c>
      <c r="B14054" t="s">
        <v>531</v>
      </c>
      <c r="C14054">
        <v>476</v>
      </c>
      <c r="D14054">
        <v>616</v>
      </c>
      <c r="E14054">
        <v>0</v>
      </c>
      <c r="F14054">
        <v>168</v>
      </c>
      <c r="G14054">
        <v>0</v>
      </c>
      <c r="H14054" t="s">
        <v>18916</v>
      </c>
      <c r="I14054">
        <v>15891</v>
      </c>
      <c r="J14054" t="e">
        <f>VLOOKUP(E14054,DSSpieler!A:B,2,FALSE)</f>
        <v>#N/A</v>
      </c>
    </row>
    <row r="14055" spans="1:10" x14ac:dyDescent="0.25">
      <c r="A14055">
        <v>15892</v>
      </c>
      <c r="B14055" t="s">
        <v>531</v>
      </c>
      <c r="C14055">
        <v>473</v>
      </c>
      <c r="D14055">
        <v>381</v>
      </c>
      <c r="E14055">
        <v>0</v>
      </c>
      <c r="F14055">
        <v>180</v>
      </c>
      <c r="G14055">
        <v>0</v>
      </c>
      <c r="H14055" t="s">
        <v>18917</v>
      </c>
      <c r="I14055">
        <v>15892</v>
      </c>
      <c r="J14055" t="e">
        <f>VLOOKUP(E14055,DSSpieler!A:B,2,FALSE)</f>
        <v>#N/A</v>
      </c>
    </row>
    <row r="14056" spans="1:10" x14ac:dyDescent="0.25">
      <c r="A14056">
        <v>15893</v>
      </c>
      <c r="B14056" t="s">
        <v>2450</v>
      </c>
      <c r="C14056">
        <v>591</v>
      </c>
      <c r="D14056">
        <v>418</v>
      </c>
      <c r="E14056">
        <v>9765485</v>
      </c>
      <c r="F14056">
        <v>3976</v>
      </c>
      <c r="G14056">
        <v>0</v>
      </c>
      <c r="H14056" t="s">
        <v>18918</v>
      </c>
      <c r="I14056">
        <v>15893</v>
      </c>
      <c r="J14056" t="str">
        <f>VLOOKUP(E14056,DSSpieler!A:B,2,FALSE)</f>
        <v>Drekotta</v>
      </c>
    </row>
    <row r="14057" spans="1:10" x14ac:dyDescent="0.25">
      <c r="A14057">
        <v>15894</v>
      </c>
      <c r="B14057" t="s">
        <v>531</v>
      </c>
      <c r="C14057">
        <v>488</v>
      </c>
      <c r="D14057">
        <v>619</v>
      </c>
      <c r="E14057">
        <v>0</v>
      </c>
      <c r="F14057">
        <v>685</v>
      </c>
      <c r="G14057">
        <v>0</v>
      </c>
      <c r="H14057" t="s">
        <v>18919</v>
      </c>
      <c r="I14057">
        <v>15894</v>
      </c>
      <c r="J14057" t="e">
        <f>VLOOKUP(E14057,DSSpieler!A:B,2,FALSE)</f>
        <v>#N/A</v>
      </c>
    </row>
    <row r="14058" spans="1:10" x14ac:dyDescent="0.25">
      <c r="A14058">
        <v>15895</v>
      </c>
      <c r="B14058">
        <v>3</v>
      </c>
      <c r="C14058">
        <v>494</v>
      </c>
      <c r="D14058">
        <v>620</v>
      </c>
      <c r="E14058">
        <v>10174050</v>
      </c>
      <c r="F14058">
        <v>2750</v>
      </c>
      <c r="G14058">
        <v>0</v>
      </c>
      <c r="H14058" t="s">
        <v>18920</v>
      </c>
      <c r="I14058">
        <v>15895</v>
      </c>
      <c r="J14058" t="str">
        <f>VLOOKUP(E14058,DSSpieler!A:B,2,FALSE)</f>
        <v>Chilla008</v>
      </c>
    </row>
    <row r="14059" spans="1:10" x14ac:dyDescent="0.25">
      <c r="A14059">
        <v>15896</v>
      </c>
      <c r="B14059" t="s">
        <v>531</v>
      </c>
      <c r="C14059">
        <v>602</v>
      </c>
      <c r="D14059">
        <v>559</v>
      </c>
      <c r="E14059">
        <v>0</v>
      </c>
      <c r="F14059">
        <v>193</v>
      </c>
      <c r="G14059">
        <v>0</v>
      </c>
      <c r="H14059" t="s">
        <v>18921</v>
      </c>
      <c r="I14059">
        <v>15896</v>
      </c>
      <c r="J14059" t="e">
        <f>VLOOKUP(E14059,DSSpieler!A:B,2,FALSE)</f>
        <v>#N/A</v>
      </c>
    </row>
    <row r="14060" spans="1:10" x14ac:dyDescent="0.25">
      <c r="A14060">
        <v>15897</v>
      </c>
      <c r="B14060" t="s">
        <v>2451</v>
      </c>
      <c r="C14060">
        <v>478</v>
      </c>
      <c r="D14060">
        <v>380</v>
      </c>
      <c r="E14060">
        <v>1577179201</v>
      </c>
      <c r="F14060">
        <v>4137</v>
      </c>
      <c r="G14060">
        <v>0</v>
      </c>
      <c r="H14060" t="s">
        <v>18922</v>
      </c>
      <c r="I14060">
        <v>15897</v>
      </c>
      <c r="J14060" t="str">
        <f>VLOOKUP(E14060,DSSpieler!A:B,2,FALSE)</f>
        <v>RumfürAlle</v>
      </c>
    </row>
    <row r="14061" spans="1:10" x14ac:dyDescent="0.25">
      <c r="A14061">
        <v>15898</v>
      </c>
      <c r="B14061" t="s">
        <v>531</v>
      </c>
      <c r="C14061">
        <v>488</v>
      </c>
      <c r="D14061">
        <v>401</v>
      </c>
      <c r="E14061">
        <v>0</v>
      </c>
      <c r="F14061">
        <v>267</v>
      </c>
      <c r="G14061">
        <v>0</v>
      </c>
      <c r="H14061" t="s">
        <v>18923</v>
      </c>
      <c r="I14061">
        <v>15898</v>
      </c>
      <c r="J14061" t="e">
        <f>VLOOKUP(E14061,DSSpieler!A:B,2,FALSE)</f>
        <v>#N/A</v>
      </c>
    </row>
    <row r="14062" spans="1:10" x14ac:dyDescent="0.25">
      <c r="A14062">
        <v>15899</v>
      </c>
      <c r="B14062" t="s">
        <v>35206</v>
      </c>
      <c r="C14062">
        <v>478</v>
      </c>
      <c r="D14062">
        <v>383</v>
      </c>
      <c r="E14062">
        <v>1577179201</v>
      </c>
      <c r="F14062">
        <v>3208</v>
      </c>
      <c r="G14062">
        <v>0</v>
      </c>
      <c r="H14062" t="s">
        <v>18924</v>
      </c>
      <c r="I14062">
        <v>15899</v>
      </c>
      <c r="J14062" t="str">
        <f>VLOOKUP(E14062,DSSpieler!A:B,2,FALSE)</f>
        <v>RumfürAlle</v>
      </c>
    </row>
    <row r="14063" spans="1:10" x14ac:dyDescent="0.25">
      <c r="A14063">
        <v>15900</v>
      </c>
      <c r="B14063" t="s">
        <v>531</v>
      </c>
      <c r="C14063">
        <v>546</v>
      </c>
      <c r="D14063">
        <v>609</v>
      </c>
      <c r="E14063">
        <v>0</v>
      </c>
      <c r="F14063">
        <v>609</v>
      </c>
      <c r="G14063">
        <v>0</v>
      </c>
      <c r="H14063" t="s">
        <v>18925</v>
      </c>
      <c r="I14063">
        <v>15900</v>
      </c>
      <c r="J14063" t="e">
        <f>VLOOKUP(E14063,DSSpieler!A:B,2,FALSE)</f>
        <v>#N/A</v>
      </c>
    </row>
    <row r="14064" spans="1:10" x14ac:dyDescent="0.25">
      <c r="A14064">
        <v>15902</v>
      </c>
      <c r="B14064" t="s">
        <v>531</v>
      </c>
      <c r="C14064">
        <v>518</v>
      </c>
      <c r="D14064">
        <v>621</v>
      </c>
      <c r="E14064">
        <v>0</v>
      </c>
      <c r="F14064">
        <v>198</v>
      </c>
      <c r="G14064">
        <v>0</v>
      </c>
      <c r="H14064" t="s">
        <v>18926</v>
      </c>
      <c r="I14064">
        <v>15902</v>
      </c>
      <c r="J14064" t="e">
        <f>VLOOKUP(E14064,DSSpieler!A:B,2,FALSE)</f>
        <v>#N/A</v>
      </c>
    </row>
    <row r="14065" spans="1:10" x14ac:dyDescent="0.25">
      <c r="A14065">
        <v>15903</v>
      </c>
      <c r="B14065" t="s">
        <v>531</v>
      </c>
      <c r="C14065">
        <v>473</v>
      </c>
      <c r="D14065">
        <v>385</v>
      </c>
      <c r="E14065">
        <v>0</v>
      </c>
      <c r="F14065">
        <v>241</v>
      </c>
      <c r="G14065">
        <v>0</v>
      </c>
      <c r="H14065" t="s">
        <v>18927</v>
      </c>
      <c r="I14065">
        <v>15903</v>
      </c>
      <c r="J14065" t="e">
        <f>VLOOKUP(E14065,DSSpieler!A:B,2,FALSE)</f>
        <v>#N/A</v>
      </c>
    </row>
    <row r="14066" spans="1:10" x14ac:dyDescent="0.25">
      <c r="A14066">
        <v>15904</v>
      </c>
      <c r="B14066" t="s">
        <v>531</v>
      </c>
      <c r="C14066">
        <v>585</v>
      </c>
      <c r="D14066">
        <v>416</v>
      </c>
      <c r="E14066">
        <v>0</v>
      </c>
      <c r="F14066">
        <v>136</v>
      </c>
      <c r="G14066">
        <v>0</v>
      </c>
      <c r="H14066" t="s">
        <v>18928</v>
      </c>
      <c r="I14066">
        <v>15904</v>
      </c>
      <c r="J14066" t="e">
        <f>VLOOKUP(E14066,DSSpieler!A:B,2,FALSE)</f>
        <v>#N/A</v>
      </c>
    </row>
    <row r="14067" spans="1:10" x14ac:dyDescent="0.25">
      <c r="A14067">
        <v>15905</v>
      </c>
      <c r="B14067" t="s">
        <v>531</v>
      </c>
      <c r="C14067">
        <v>618</v>
      </c>
      <c r="D14067">
        <v>503</v>
      </c>
      <c r="E14067">
        <v>0</v>
      </c>
      <c r="F14067">
        <v>455</v>
      </c>
      <c r="G14067">
        <v>0</v>
      </c>
      <c r="H14067" t="s">
        <v>18929</v>
      </c>
      <c r="I14067">
        <v>15905</v>
      </c>
      <c r="J14067" t="e">
        <f>VLOOKUP(E14067,DSSpieler!A:B,2,FALSE)</f>
        <v>#N/A</v>
      </c>
    </row>
    <row r="14068" spans="1:10" x14ac:dyDescent="0.25">
      <c r="A14068">
        <v>15906</v>
      </c>
      <c r="B14068" t="s">
        <v>531</v>
      </c>
      <c r="C14068">
        <v>577</v>
      </c>
      <c r="D14068">
        <v>594</v>
      </c>
      <c r="E14068">
        <v>0</v>
      </c>
      <c r="F14068">
        <v>114</v>
      </c>
      <c r="G14068">
        <v>0</v>
      </c>
      <c r="H14068" t="s">
        <v>18930</v>
      </c>
      <c r="I14068">
        <v>15906</v>
      </c>
      <c r="J14068" t="e">
        <f>VLOOKUP(E14068,DSSpieler!A:B,2,FALSE)</f>
        <v>#N/A</v>
      </c>
    </row>
    <row r="14069" spans="1:10" x14ac:dyDescent="0.25">
      <c r="A14069">
        <v>15907</v>
      </c>
      <c r="B14069" t="s">
        <v>35207</v>
      </c>
      <c r="C14069">
        <v>611</v>
      </c>
      <c r="D14069">
        <v>454</v>
      </c>
      <c r="E14069">
        <v>1575967615</v>
      </c>
      <c r="F14069">
        <v>1259</v>
      </c>
      <c r="G14069">
        <v>0</v>
      </c>
      <c r="H14069" t="s">
        <v>18931</v>
      </c>
      <c r="I14069">
        <v>15907</v>
      </c>
      <c r="J14069" t="str">
        <f>VLOOKUP(E14069,DSSpieler!A:B,2,FALSE)</f>
        <v>Torix</v>
      </c>
    </row>
    <row r="14070" spans="1:10" x14ac:dyDescent="0.25">
      <c r="A14070">
        <v>15908</v>
      </c>
      <c r="B14070" t="s">
        <v>531</v>
      </c>
      <c r="C14070">
        <v>430</v>
      </c>
      <c r="D14070">
        <v>399</v>
      </c>
      <c r="E14070">
        <v>0</v>
      </c>
      <c r="F14070">
        <v>234</v>
      </c>
      <c r="G14070">
        <v>0</v>
      </c>
      <c r="H14070" t="s">
        <v>18932</v>
      </c>
      <c r="I14070">
        <v>15908</v>
      </c>
      <c r="J14070" t="e">
        <f>VLOOKUP(E14070,DSSpieler!A:B,2,FALSE)</f>
        <v>#N/A</v>
      </c>
    </row>
    <row r="14071" spans="1:10" x14ac:dyDescent="0.25">
      <c r="A14071">
        <v>15909</v>
      </c>
      <c r="B14071" t="s">
        <v>2452</v>
      </c>
      <c r="C14071">
        <v>473</v>
      </c>
      <c r="D14071">
        <v>465</v>
      </c>
      <c r="E14071">
        <v>1576861081</v>
      </c>
      <c r="F14071">
        <v>3099</v>
      </c>
      <c r="G14071">
        <v>0</v>
      </c>
      <c r="H14071" t="s">
        <v>18933</v>
      </c>
      <c r="I14071">
        <v>15909</v>
      </c>
      <c r="J14071" t="str">
        <f>VLOOKUP(E14071,DSSpieler!A:B,2,FALSE)</f>
        <v>Eisblumme1996</v>
      </c>
    </row>
    <row r="14072" spans="1:10" x14ac:dyDescent="0.25">
      <c r="A14072">
        <v>15910</v>
      </c>
      <c r="B14072" t="s">
        <v>35208</v>
      </c>
      <c r="C14072">
        <v>616</v>
      </c>
      <c r="D14072">
        <v>490</v>
      </c>
      <c r="E14072">
        <v>9989147</v>
      </c>
      <c r="F14072">
        <v>382</v>
      </c>
      <c r="G14072">
        <v>0</v>
      </c>
      <c r="H14072" t="s">
        <v>18934</v>
      </c>
      <c r="I14072">
        <v>15910</v>
      </c>
      <c r="J14072" t="str">
        <f>VLOOKUP(E14072,DSSpieler!A:B,2,FALSE)</f>
        <v>Harlekin77</v>
      </c>
    </row>
    <row r="14073" spans="1:10" x14ac:dyDescent="0.25">
      <c r="A14073">
        <v>15911</v>
      </c>
      <c r="B14073" t="s">
        <v>531</v>
      </c>
      <c r="C14073">
        <v>403</v>
      </c>
      <c r="D14073">
        <v>573</v>
      </c>
      <c r="E14073">
        <v>0</v>
      </c>
      <c r="F14073">
        <v>90</v>
      </c>
      <c r="G14073">
        <v>0</v>
      </c>
      <c r="H14073" t="s">
        <v>18935</v>
      </c>
      <c r="I14073">
        <v>15911</v>
      </c>
      <c r="J14073" t="e">
        <f>VLOOKUP(E14073,DSSpieler!A:B,2,FALSE)</f>
        <v>#N/A</v>
      </c>
    </row>
    <row r="14074" spans="1:10" x14ac:dyDescent="0.25">
      <c r="A14074">
        <v>15912</v>
      </c>
      <c r="B14074" t="s">
        <v>531</v>
      </c>
      <c r="C14074">
        <v>392</v>
      </c>
      <c r="D14074">
        <v>454</v>
      </c>
      <c r="E14074">
        <v>0</v>
      </c>
      <c r="F14074">
        <v>226</v>
      </c>
      <c r="G14074">
        <v>0</v>
      </c>
      <c r="H14074" t="s">
        <v>18936</v>
      </c>
      <c r="I14074">
        <v>15912</v>
      </c>
      <c r="J14074" t="e">
        <f>VLOOKUP(E14074,DSSpieler!A:B,2,FALSE)</f>
        <v>#N/A</v>
      </c>
    </row>
    <row r="14075" spans="1:10" x14ac:dyDescent="0.25">
      <c r="A14075">
        <v>15913</v>
      </c>
      <c r="B14075" t="e">
        <f>-3-+Der+mit+dem+X+the</f>
        <v>#NAME?</v>
      </c>
      <c r="C14075">
        <v>564</v>
      </c>
      <c r="D14075">
        <v>400</v>
      </c>
      <c r="E14075">
        <v>8333854</v>
      </c>
      <c r="F14075">
        <v>4514</v>
      </c>
      <c r="G14075">
        <v>0</v>
      </c>
      <c r="H14075" t="s">
        <v>18937</v>
      </c>
      <c r="I14075">
        <v>15913</v>
      </c>
      <c r="J14075" t="str">
        <f>VLOOKUP(E14075,DSSpieler!A:B,2,FALSE)</f>
        <v>Tutuvina</v>
      </c>
    </row>
    <row r="14076" spans="1:10" x14ac:dyDescent="0.25">
      <c r="A14076">
        <v>15914</v>
      </c>
      <c r="B14076" t="s">
        <v>531</v>
      </c>
      <c r="C14076">
        <v>497</v>
      </c>
      <c r="D14076">
        <v>381</v>
      </c>
      <c r="E14076">
        <v>0</v>
      </c>
      <c r="F14076">
        <v>166</v>
      </c>
      <c r="G14076">
        <v>0</v>
      </c>
      <c r="H14076" t="s">
        <v>18938</v>
      </c>
      <c r="I14076">
        <v>15914</v>
      </c>
      <c r="J14076" t="e">
        <f>VLOOKUP(E14076,DSSpieler!A:B,2,FALSE)</f>
        <v>#N/A</v>
      </c>
    </row>
    <row r="14077" spans="1:10" x14ac:dyDescent="0.25">
      <c r="A14077">
        <v>15915</v>
      </c>
      <c r="B14077" t="s">
        <v>35209</v>
      </c>
      <c r="C14077">
        <v>617</v>
      </c>
      <c r="D14077">
        <v>507</v>
      </c>
      <c r="E14077">
        <v>10089720</v>
      </c>
      <c r="F14077">
        <v>3182</v>
      </c>
      <c r="G14077">
        <v>0</v>
      </c>
      <c r="H14077" t="s">
        <v>18939</v>
      </c>
      <c r="I14077">
        <v>15915</v>
      </c>
      <c r="J14077" t="str">
        <f>VLOOKUP(E14077,DSSpieler!A:B,2,FALSE)</f>
        <v>Dawul</v>
      </c>
    </row>
    <row r="14078" spans="1:10" x14ac:dyDescent="0.25">
      <c r="A14078">
        <v>15917</v>
      </c>
      <c r="B14078" t="s">
        <v>531</v>
      </c>
      <c r="C14078">
        <v>606</v>
      </c>
      <c r="D14078">
        <v>531</v>
      </c>
      <c r="E14078">
        <v>0</v>
      </c>
      <c r="F14078">
        <v>1104</v>
      </c>
      <c r="G14078">
        <v>0</v>
      </c>
      <c r="H14078" t="s">
        <v>18940</v>
      </c>
      <c r="I14078">
        <v>15917</v>
      </c>
      <c r="J14078" t="e">
        <f>VLOOKUP(E14078,DSSpieler!A:B,2,FALSE)</f>
        <v>#N/A</v>
      </c>
    </row>
    <row r="14079" spans="1:10" x14ac:dyDescent="0.25">
      <c r="A14079">
        <v>15918</v>
      </c>
      <c r="B14079" t="s">
        <v>531</v>
      </c>
      <c r="C14079">
        <v>451</v>
      </c>
      <c r="D14079">
        <v>390</v>
      </c>
      <c r="E14079">
        <v>0</v>
      </c>
      <c r="F14079">
        <v>189</v>
      </c>
      <c r="G14079">
        <v>0</v>
      </c>
      <c r="H14079" t="s">
        <v>18941</v>
      </c>
      <c r="I14079">
        <v>15918</v>
      </c>
      <c r="J14079" t="e">
        <f>VLOOKUP(E14079,DSSpieler!A:B,2,FALSE)</f>
        <v>#N/A</v>
      </c>
    </row>
    <row r="14080" spans="1:10" x14ac:dyDescent="0.25">
      <c r="A14080">
        <v>15920</v>
      </c>
      <c r="B14080" t="s">
        <v>531</v>
      </c>
      <c r="C14080">
        <v>614</v>
      </c>
      <c r="D14080">
        <v>542</v>
      </c>
      <c r="E14080">
        <v>0</v>
      </c>
      <c r="F14080">
        <v>104</v>
      </c>
      <c r="G14080">
        <v>0</v>
      </c>
      <c r="H14080" t="s">
        <v>18942</v>
      </c>
      <c r="I14080">
        <v>15920</v>
      </c>
      <c r="J14080" t="e">
        <f>VLOOKUP(E14080,DSSpieler!A:B,2,FALSE)</f>
        <v>#N/A</v>
      </c>
    </row>
    <row r="14081" spans="1:10" x14ac:dyDescent="0.25">
      <c r="A14081">
        <v>15921</v>
      </c>
      <c r="B14081" t="s">
        <v>531</v>
      </c>
      <c r="C14081">
        <v>386</v>
      </c>
      <c r="D14081">
        <v>539</v>
      </c>
      <c r="E14081">
        <v>0</v>
      </c>
      <c r="F14081">
        <v>982</v>
      </c>
      <c r="G14081">
        <v>0</v>
      </c>
      <c r="H14081" t="s">
        <v>18943</v>
      </c>
      <c r="I14081">
        <v>15921</v>
      </c>
      <c r="J14081" t="e">
        <f>VLOOKUP(E14081,DSSpieler!A:B,2,FALSE)</f>
        <v>#N/A</v>
      </c>
    </row>
    <row r="14082" spans="1:10" x14ac:dyDescent="0.25">
      <c r="A14082">
        <v>15922</v>
      </c>
      <c r="B14082" t="s">
        <v>531</v>
      </c>
      <c r="C14082">
        <v>417</v>
      </c>
      <c r="D14082">
        <v>411</v>
      </c>
      <c r="E14082">
        <v>0</v>
      </c>
      <c r="F14082">
        <v>130</v>
      </c>
      <c r="G14082">
        <v>0</v>
      </c>
      <c r="H14082" t="s">
        <v>18944</v>
      </c>
      <c r="I14082">
        <v>15922</v>
      </c>
      <c r="J14082" t="e">
        <f>VLOOKUP(E14082,DSSpieler!A:B,2,FALSE)</f>
        <v>#N/A</v>
      </c>
    </row>
    <row r="14083" spans="1:10" x14ac:dyDescent="0.25">
      <c r="A14083">
        <v>15923</v>
      </c>
      <c r="B14083" t="s">
        <v>531</v>
      </c>
      <c r="C14083">
        <v>544</v>
      </c>
      <c r="D14083">
        <v>389</v>
      </c>
      <c r="E14083">
        <v>0</v>
      </c>
      <c r="F14083">
        <v>282</v>
      </c>
      <c r="G14083">
        <v>0</v>
      </c>
      <c r="H14083" t="s">
        <v>18945</v>
      </c>
      <c r="I14083">
        <v>15923</v>
      </c>
      <c r="J14083" t="e">
        <f>VLOOKUP(E14083,DSSpieler!A:B,2,FALSE)</f>
        <v>#N/A</v>
      </c>
    </row>
    <row r="14084" spans="1:10" x14ac:dyDescent="0.25">
      <c r="A14084">
        <v>15924</v>
      </c>
      <c r="B14084" t="s">
        <v>531</v>
      </c>
      <c r="C14084">
        <v>606</v>
      </c>
      <c r="D14084">
        <v>446</v>
      </c>
      <c r="E14084">
        <v>0</v>
      </c>
      <c r="F14084">
        <v>310</v>
      </c>
      <c r="G14084">
        <v>0</v>
      </c>
      <c r="H14084" t="s">
        <v>18946</v>
      </c>
      <c r="I14084">
        <v>15924</v>
      </c>
      <c r="J14084" t="e">
        <f>VLOOKUP(E14084,DSSpieler!A:B,2,FALSE)</f>
        <v>#N/A</v>
      </c>
    </row>
    <row r="14085" spans="1:10" x14ac:dyDescent="0.25">
      <c r="A14085">
        <v>15925</v>
      </c>
      <c r="B14085" t="s">
        <v>35210</v>
      </c>
      <c r="C14085">
        <v>615</v>
      </c>
      <c r="D14085">
        <v>477</v>
      </c>
      <c r="E14085">
        <v>10001525</v>
      </c>
      <c r="F14085">
        <v>2988</v>
      </c>
      <c r="G14085">
        <v>0</v>
      </c>
      <c r="H14085" t="s">
        <v>18947</v>
      </c>
      <c r="I14085">
        <v>15925</v>
      </c>
      <c r="J14085" t="str">
        <f>VLOOKUP(E14085,DSSpieler!A:B,2,FALSE)</f>
        <v>SirVendetta</v>
      </c>
    </row>
    <row r="14086" spans="1:10" x14ac:dyDescent="0.25">
      <c r="A14086">
        <v>15926</v>
      </c>
      <c r="B14086" t="s">
        <v>531</v>
      </c>
      <c r="C14086">
        <v>408</v>
      </c>
      <c r="D14086">
        <v>421</v>
      </c>
      <c r="E14086">
        <v>0</v>
      </c>
      <c r="F14086">
        <v>257</v>
      </c>
      <c r="G14086">
        <v>0</v>
      </c>
      <c r="H14086" t="s">
        <v>18948</v>
      </c>
      <c r="I14086">
        <v>15926</v>
      </c>
      <c r="J14086" t="e">
        <f>VLOOKUP(E14086,DSSpieler!A:B,2,FALSE)</f>
        <v>#N/A</v>
      </c>
    </row>
    <row r="14087" spans="1:10" x14ac:dyDescent="0.25">
      <c r="A14087">
        <v>15928</v>
      </c>
      <c r="B14087" t="s">
        <v>531</v>
      </c>
      <c r="C14087">
        <v>614</v>
      </c>
      <c r="D14087">
        <v>544</v>
      </c>
      <c r="E14087">
        <v>0</v>
      </c>
      <c r="F14087">
        <v>258</v>
      </c>
      <c r="G14087">
        <v>0</v>
      </c>
      <c r="H14087" t="s">
        <v>18949</v>
      </c>
      <c r="I14087">
        <v>15928</v>
      </c>
      <c r="J14087" t="e">
        <f>VLOOKUP(E14087,DSSpieler!A:B,2,FALSE)</f>
        <v>#N/A</v>
      </c>
    </row>
    <row r="14088" spans="1:10" x14ac:dyDescent="0.25">
      <c r="A14088">
        <v>15929</v>
      </c>
      <c r="B14088" t="s">
        <v>35211</v>
      </c>
      <c r="C14088">
        <v>482</v>
      </c>
      <c r="D14088">
        <v>376</v>
      </c>
      <c r="E14088">
        <v>1577117777</v>
      </c>
      <c r="F14088">
        <v>26</v>
      </c>
      <c r="G14088">
        <v>0</v>
      </c>
      <c r="H14088" t="s">
        <v>18950</v>
      </c>
      <c r="I14088">
        <v>15929</v>
      </c>
      <c r="J14088" t="str">
        <f>VLOOKUP(E14088,DSSpieler!A:B,2,FALSE)</f>
        <v>BlackerPearl</v>
      </c>
    </row>
    <row r="14089" spans="1:10" x14ac:dyDescent="0.25">
      <c r="A14089">
        <v>15930</v>
      </c>
      <c r="B14089" t="s">
        <v>531</v>
      </c>
      <c r="C14089">
        <v>397</v>
      </c>
      <c r="D14089">
        <v>557</v>
      </c>
      <c r="E14089">
        <v>0</v>
      </c>
      <c r="F14089">
        <v>98</v>
      </c>
      <c r="G14089">
        <v>0</v>
      </c>
      <c r="H14089" t="s">
        <v>18951</v>
      </c>
      <c r="I14089">
        <v>15930</v>
      </c>
      <c r="J14089" t="e">
        <f>VLOOKUP(E14089,DSSpieler!A:B,2,FALSE)</f>
        <v>#N/A</v>
      </c>
    </row>
    <row r="14090" spans="1:10" x14ac:dyDescent="0.25">
      <c r="A14090">
        <v>15931</v>
      </c>
      <c r="B14090" t="s">
        <v>35212</v>
      </c>
      <c r="C14090">
        <v>459</v>
      </c>
      <c r="D14090">
        <v>388</v>
      </c>
      <c r="E14090">
        <v>1577179275</v>
      </c>
      <c r="F14090">
        <v>564</v>
      </c>
      <c r="G14090">
        <v>0</v>
      </c>
      <c r="H14090" t="s">
        <v>18952</v>
      </c>
      <c r="I14090">
        <v>15931</v>
      </c>
      <c r="J14090" t="str">
        <f>VLOOKUP(E14090,DSSpieler!A:B,2,FALSE)</f>
        <v>Deditus</v>
      </c>
    </row>
    <row r="14091" spans="1:10" x14ac:dyDescent="0.25">
      <c r="A14091">
        <v>15932</v>
      </c>
      <c r="B14091" t="s">
        <v>531</v>
      </c>
      <c r="C14091">
        <v>575</v>
      </c>
      <c r="D14091">
        <v>589</v>
      </c>
      <c r="E14091">
        <v>0</v>
      </c>
      <c r="F14091">
        <v>139</v>
      </c>
      <c r="G14091">
        <v>0</v>
      </c>
      <c r="H14091" t="s">
        <v>18953</v>
      </c>
      <c r="I14091">
        <v>15932</v>
      </c>
      <c r="J14091" t="e">
        <f>VLOOKUP(E14091,DSSpieler!A:B,2,FALSE)</f>
        <v>#N/A</v>
      </c>
    </row>
    <row r="14092" spans="1:10" x14ac:dyDescent="0.25">
      <c r="A14092">
        <v>15933</v>
      </c>
      <c r="B14092" t="s">
        <v>531</v>
      </c>
      <c r="C14092">
        <v>467</v>
      </c>
      <c r="D14092">
        <v>617</v>
      </c>
      <c r="E14092">
        <v>0</v>
      </c>
      <c r="F14092">
        <v>175</v>
      </c>
      <c r="G14092">
        <v>0</v>
      </c>
      <c r="H14092" t="s">
        <v>18954</v>
      </c>
      <c r="I14092">
        <v>15933</v>
      </c>
      <c r="J14092" t="e">
        <f>VLOOKUP(E14092,DSSpieler!A:B,2,FALSE)</f>
        <v>#N/A</v>
      </c>
    </row>
    <row r="14093" spans="1:10" x14ac:dyDescent="0.25">
      <c r="A14093">
        <v>15934</v>
      </c>
      <c r="B14093" t="s">
        <v>531</v>
      </c>
      <c r="C14093">
        <v>621</v>
      </c>
      <c r="D14093">
        <v>482</v>
      </c>
      <c r="E14093">
        <v>0</v>
      </c>
      <c r="F14093">
        <v>256</v>
      </c>
      <c r="G14093">
        <v>0</v>
      </c>
      <c r="H14093" t="s">
        <v>18955</v>
      </c>
      <c r="I14093">
        <v>15934</v>
      </c>
      <c r="J14093" t="e">
        <f>VLOOKUP(E14093,DSSpieler!A:B,2,FALSE)</f>
        <v>#N/A</v>
      </c>
    </row>
    <row r="14094" spans="1:10" x14ac:dyDescent="0.25">
      <c r="A14094">
        <v>15935</v>
      </c>
      <c r="B14094" t="s">
        <v>531</v>
      </c>
      <c r="C14094">
        <v>475</v>
      </c>
      <c r="D14094">
        <v>620</v>
      </c>
      <c r="E14094">
        <v>0</v>
      </c>
      <c r="F14094">
        <v>191</v>
      </c>
      <c r="G14094">
        <v>0</v>
      </c>
      <c r="H14094" t="s">
        <v>18956</v>
      </c>
      <c r="I14094">
        <v>15935</v>
      </c>
      <c r="J14094" t="e">
        <f>VLOOKUP(E14094,DSSpieler!A:B,2,FALSE)</f>
        <v>#N/A</v>
      </c>
    </row>
    <row r="14095" spans="1:10" x14ac:dyDescent="0.25">
      <c r="A14095">
        <v>15936</v>
      </c>
      <c r="B14095" t="s">
        <v>531</v>
      </c>
      <c r="C14095">
        <v>587</v>
      </c>
      <c r="D14095">
        <v>581</v>
      </c>
      <c r="E14095">
        <v>0</v>
      </c>
      <c r="F14095">
        <v>140</v>
      </c>
      <c r="G14095">
        <v>0</v>
      </c>
      <c r="H14095" t="s">
        <v>18957</v>
      </c>
      <c r="I14095">
        <v>15936</v>
      </c>
      <c r="J14095" t="e">
        <f>VLOOKUP(E14095,DSSpieler!A:B,2,FALSE)</f>
        <v>#N/A</v>
      </c>
    </row>
    <row r="14096" spans="1:10" x14ac:dyDescent="0.25">
      <c r="A14096">
        <v>15937</v>
      </c>
      <c r="B14096" t="s">
        <v>531</v>
      </c>
      <c r="C14096">
        <v>529</v>
      </c>
      <c r="D14096">
        <v>387</v>
      </c>
      <c r="E14096">
        <v>0</v>
      </c>
      <c r="F14096">
        <v>155</v>
      </c>
      <c r="G14096">
        <v>0</v>
      </c>
      <c r="H14096" t="s">
        <v>18958</v>
      </c>
      <c r="I14096">
        <v>15937</v>
      </c>
      <c r="J14096" t="e">
        <f>VLOOKUP(E14096,DSSpieler!A:B,2,FALSE)</f>
        <v>#N/A</v>
      </c>
    </row>
    <row r="14097" spans="1:10" x14ac:dyDescent="0.25">
      <c r="A14097">
        <v>15938</v>
      </c>
      <c r="B14097" t="s">
        <v>2453</v>
      </c>
      <c r="C14097">
        <v>477</v>
      </c>
      <c r="D14097">
        <v>616</v>
      </c>
      <c r="E14097">
        <v>1577203319</v>
      </c>
      <c r="F14097">
        <v>570</v>
      </c>
      <c r="G14097">
        <v>0</v>
      </c>
      <c r="H14097" t="s">
        <v>18959</v>
      </c>
      <c r="I14097">
        <v>15938</v>
      </c>
      <c r="J14097" t="str">
        <f>VLOOKUP(E14097,DSSpieler!A:B,2,FALSE)</f>
        <v>steffi18</v>
      </c>
    </row>
    <row r="14098" spans="1:10" x14ac:dyDescent="0.25">
      <c r="A14098">
        <v>15939</v>
      </c>
      <c r="B14098" t="s">
        <v>531</v>
      </c>
      <c r="C14098">
        <v>380</v>
      </c>
      <c r="D14098">
        <v>507</v>
      </c>
      <c r="E14098">
        <v>0</v>
      </c>
      <c r="F14098">
        <v>152</v>
      </c>
      <c r="G14098">
        <v>0</v>
      </c>
      <c r="H14098" t="s">
        <v>18960</v>
      </c>
      <c r="I14098">
        <v>15939</v>
      </c>
      <c r="J14098" t="e">
        <f>VLOOKUP(E14098,DSSpieler!A:B,2,FALSE)</f>
        <v>#N/A</v>
      </c>
    </row>
    <row r="14099" spans="1:10" x14ac:dyDescent="0.25">
      <c r="A14099">
        <v>15940</v>
      </c>
      <c r="B14099" t="s">
        <v>531</v>
      </c>
      <c r="C14099">
        <v>513</v>
      </c>
      <c r="D14099">
        <v>383</v>
      </c>
      <c r="E14099">
        <v>0</v>
      </c>
      <c r="F14099">
        <v>238</v>
      </c>
      <c r="G14099">
        <v>0</v>
      </c>
      <c r="H14099" t="s">
        <v>18961</v>
      </c>
      <c r="I14099">
        <v>15940</v>
      </c>
      <c r="J14099" t="e">
        <f>VLOOKUP(E14099,DSSpieler!A:B,2,FALSE)</f>
        <v>#N/A</v>
      </c>
    </row>
    <row r="14100" spans="1:10" x14ac:dyDescent="0.25">
      <c r="A14100">
        <v>15941</v>
      </c>
      <c r="B14100" t="s">
        <v>35213</v>
      </c>
      <c r="C14100">
        <v>489</v>
      </c>
      <c r="D14100">
        <v>619</v>
      </c>
      <c r="E14100">
        <v>1577153083</v>
      </c>
      <c r="F14100">
        <v>1241</v>
      </c>
      <c r="G14100">
        <v>0</v>
      </c>
      <c r="H14100" t="s">
        <v>18962</v>
      </c>
      <c r="I14100">
        <v>15941</v>
      </c>
      <c r="J14100" t="str">
        <f>VLOOKUP(E14100,DSSpieler!A:B,2,FALSE)</f>
        <v>HisDudeness</v>
      </c>
    </row>
    <row r="14101" spans="1:10" x14ac:dyDescent="0.25">
      <c r="A14101">
        <v>15943</v>
      </c>
      <c r="B14101" t="s">
        <v>35214</v>
      </c>
      <c r="C14101">
        <v>436</v>
      </c>
      <c r="D14101">
        <v>598</v>
      </c>
      <c r="E14101">
        <v>625537</v>
      </c>
      <c r="F14101">
        <v>2166</v>
      </c>
      <c r="G14101">
        <v>0</v>
      </c>
      <c r="H14101" t="s">
        <v>18963</v>
      </c>
      <c r="I14101">
        <v>15943</v>
      </c>
      <c r="J14101" t="str">
        <f>VLOOKUP(E14101,DSSpieler!A:B,2,FALSE)</f>
        <v>CrowBlackHorse</v>
      </c>
    </row>
    <row r="14102" spans="1:10" x14ac:dyDescent="0.25">
      <c r="A14102">
        <v>15944</v>
      </c>
      <c r="B14102" t="s">
        <v>35215</v>
      </c>
      <c r="C14102">
        <v>508</v>
      </c>
      <c r="D14102">
        <v>544</v>
      </c>
      <c r="E14102">
        <v>1577105668</v>
      </c>
      <c r="F14102">
        <v>354</v>
      </c>
      <c r="G14102">
        <v>0</v>
      </c>
      <c r="H14102" t="s">
        <v>18964</v>
      </c>
      <c r="I14102">
        <v>15944</v>
      </c>
      <c r="J14102" t="str">
        <f>VLOOKUP(E14102,DSSpieler!A:B,2,FALSE)</f>
        <v>Koile</v>
      </c>
    </row>
    <row r="14103" spans="1:10" x14ac:dyDescent="0.25">
      <c r="A14103">
        <v>15945</v>
      </c>
      <c r="B14103" t="s">
        <v>2454</v>
      </c>
      <c r="C14103">
        <v>394</v>
      </c>
      <c r="D14103">
        <v>450</v>
      </c>
      <c r="E14103">
        <v>1576927155</v>
      </c>
      <c r="F14103">
        <v>2296</v>
      </c>
      <c r="G14103">
        <v>0</v>
      </c>
      <c r="H14103" t="s">
        <v>18965</v>
      </c>
      <c r="I14103">
        <v>15945</v>
      </c>
      <c r="J14103" t="str">
        <f>VLOOKUP(E14103,DSSpieler!A:B,2,FALSE)</f>
        <v>Don Poseidon</v>
      </c>
    </row>
    <row r="14104" spans="1:10" x14ac:dyDescent="0.25">
      <c r="A14104">
        <v>15946</v>
      </c>
      <c r="B14104" t="s">
        <v>531</v>
      </c>
      <c r="C14104">
        <v>411</v>
      </c>
      <c r="D14104">
        <v>578</v>
      </c>
      <c r="E14104">
        <v>0</v>
      </c>
      <c r="F14104">
        <v>129</v>
      </c>
      <c r="G14104">
        <v>0</v>
      </c>
      <c r="H14104" t="s">
        <v>18966</v>
      </c>
      <c r="I14104">
        <v>15946</v>
      </c>
      <c r="J14104" t="e">
        <f>VLOOKUP(E14104,DSSpieler!A:B,2,FALSE)</f>
        <v>#N/A</v>
      </c>
    </row>
    <row r="14105" spans="1:10" x14ac:dyDescent="0.25">
      <c r="A14105">
        <v>15947</v>
      </c>
      <c r="B14105" t="s">
        <v>531</v>
      </c>
      <c r="C14105">
        <v>562</v>
      </c>
      <c r="D14105">
        <v>397</v>
      </c>
      <c r="E14105">
        <v>0</v>
      </c>
      <c r="F14105">
        <v>95</v>
      </c>
      <c r="G14105">
        <v>0</v>
      </c>
      <c r="H14105" t="s">
        <v>18967</v>
      </c>
      <c r="I14105">
        <v>15947</v>
      </c>
      <c r="J14105" t="e">
        <f>VLOOKUP(E14105,DSSpieler!A:B,2,FALSE)</f>
        <v>#N/A</v>
      </c>
    </row>
    <row r="14106" spans="1:10" x14ac:dyDescent="0.25">
      <c r="A14106">
        <v>15948</v>
      </c>
      <c r="B14106" t="s">
        <v>531</v>
      </c>
      <c r="C14106">
        <v>619</v>
      </c>
      <c r="D14106">
        <v>522</v>
      </c>
      <c r="E14106">
        <v>0</v>
      </c>
      <c r="F14106">
        <v>99</v>
      </c>
      <c r="G14106">
        <v>0</v>
      </c>
      <c r="H14106" t="s">
        <v>18968</v>
      </c>
      <c r="I14106">
        <v>15948</v>
      </c>
      <c r="J14106" t="e">
        <f>VLOOKUP(E14106,DSSpieler!A:B,2,FALSE)</f>
        <v>#N/A</v>
      </c>
    </row>
    <row r="14107" spans="1:10" x14ac:dyDescent="0.25">
      <c r="A14107">
        <v>15949</v>
      </c>
      <c r="B14107" t="s">
        <v>531</v>
      </c>
      <c r="C14107">
        <v>611</v>
      </c>
      <c r="D14107">
        <v>540</v>
      </c>
      <c r="E14107">
        <v>0</v>
      </c>
      <c r="F14107">
        <v>88</v>
      </c>
      <c r="G14107">
        <v>0</v>
      </c>
      <c r="H14107" t="s">
        <v>18969</v>
      </c>
      <c r="I14107">
        <v>15949</v>
      </c>
      <c r="J14107" t="e">
        <f>VLOOKUP(E14107,DSSpieler!A:B,2,FALSE)</f>
        <v>#N/A</v>
      </c>
    </row>
    <row r="14108" spans="1:10" x14ac:dyDescent="0.25">
      <c r="A14108">
        <v>15950</v>
      </c>
      <c r="B14108" t="s">
        <v>35216</v>
      </c>
      <c r="C14108">
        <v>419</v>
      </c>
      <c r="D14108">
        <v>588</v>
      </c>
      <c r="E14108">
        <v>1577058788</v>
      </c>
      <c r="F14108">
        <v>2868</v>
      </c>
      <c r="G14108">
        <v>0</v>
      </c>
      <c r="H14108" t="s">
        <v>18970</v>
      </c>
      <c r="I14108">
        <v>15950</v>
      </c>
      <c r="J14108" t="str">
        <f>VLOOKUP(E14108,DSSpieler!A:B,2,FALSE)</f>
        <v>Danbil</v>
      </c>
    </row>
    <row r="14109" spans="1:10" x14ac:dyDescent="0.25">
      <c r="A14109">
        <v>15951</v>
      </c>
      <c r="B14109" t="s">
        <v>531</v>
      </c>
      <c r="C14109">
        <v>520</v>
      </c>
      <c r="D14109">
        <v>617</v>
      </c>
      <c r="E14109">
        <v>0</v>
      </c>
      <c r="F14109">
        <v>222</v>
      </c>
      <c r="G14109">
        <v>0</v>
      </c>
      <c r="H14109" t="s">
        <v>18971</v>
      </c>
      <c r="I14109">
        <v>15951</v>
      </c>
      <c r="J14109" t="e">
        <f>VLOOKUP(E14109,DSSpieler!A:B,2,FALSE)</f>
        <v>#N/A</v>
      </c>
    </row>
    <row r="14110" spans="1:10" x14ac:dyDescent="0.25">
      <c r="A14110">
        <v>15952</v>
      </c>
      <c r="B14110" t="s">
        <v>531</v>
      </c>
      <c r="C14110">
        <v>592</v>
      </c>
      <c r="D14110">
        <v>422</v>
      </c>
      <c r="E14110">
        <v>0</v>
      </c>
      <c r="F14110">
        <v>129</v>
      </c>
      <c r="G14110">
        <v>0</v>
      </c>
      <c r="H14110" t="s">
        <v>18972</v>
      </c>
      <c r="I14110">
        <v>15952</v>
      </c>
      <c r="J14110" t="e">
        <f>VLOOKUP(E14110,DSSpieler!A:B,2,FALSE)</f>
        <v>#N/A</v>
      </c>
    </row>
    <row r="14111" spans="1:10" x14ac:dyDescent="0.25">
      <c r="A14111">
        <v>15953</v>
      </c>
      <c r="B14111" t="s">
        <v>531</v>
      </c>
      <c r="C14111">
        <v>615</v>
      </c>
      <c r="D14111">
        <v>525</v>
      </c>
      <c r="E14111">
        <v>0</v>
      </c>
      <c r="F14111">
        <v>163</v>
      </c>
      <c r="G14111">
        <v>0</v>
      </c>
      <c r="H14111" t="s">
        <v>18973</v>
      </c>
      <c r="I14111">
        <v>15953</v>
      </c>
      <c r="J14111" t="e">
        <f>VLOOKUP(E14111,DSSpieler!A:B,2,FALSE)</f>
        <v>#N/A</v>
      </c>
    </row>
    <row r="14112" spans="1:10" x14ac:dyDescent="0.25">
      <c r="A14112">
        <v>15954</v>
      </c>
      <c r="B14112" t="s">
        <v>35217</v>
      </c>
      <c r="C14112">
        <v>571</v>
      </c>
      <c r="D14112">
        <v>401</v>
      </c>
      <c r="E14112">
        <v>1577187576</v>
      </c>
      <c r="F14112">
        <v>3260</v>
      </c>
      <c r="G14112">
        <v>0</v>
      </c>
      <c r="H14112" t="s">
        <v>18974</v>
      </c>
      <c r="I14112">
        <v>15954</v>
      </c>
      <c r="J14112" t="str">
        <f>VLOOKUP(E14112,DSSpieler!A:B,2,FALSE)</f>
        <v>petrickstar</v>
      </c>
    </row>
    <row r="14113" spans="1:10" x14ac:dyDescent="0.25">
      <c r="A14113">
        <v>15955</v>
      </c>
      <c r="B14113" t="s">
        <v>531</v>
      </c>
      <c r="C14113">
        <v>584</v>
      </c>
      <c r="D14113">
        <v>416</v>
      </c>
      <c r="E14113">
        <v>0</v>
      </c>
      <c r="F14113">
        <v>160</v>
      </c>
      <c r="G14113">
        <v>0</v>
      </c>
      <c r="H14113" t="s">
        <v>18975</v>
      </c>
      <c r="I14113">
        <v>15955</v>
      </c>
      <c r="J14113" t="e">
        <f>VLOOKUP(E14113,DSSpieler!A:B,2,FALSE)</f>
        <v>#N/A</v>
      </c>
    </row>
    <row r="14114" spans="1:10" x14ac:dyDescent="0.25">
      <c r="A14114">
        <v>15957</v>
      </c>
      <c r="B14114" t="s">
        <v>35218</v>
      </c>
      <c r="C14114">
        <v>484</v>
      </c>
      <c r="D14114">
        <v>382</v>
      </c>
      <c r="E14114">
        <v>2485478</v>
      </c>
      <c r="F14114">
        <v>4068</v>
      </c>
      <c r="G14114">
        <v>0</v>
      </c>
      <c r="H14114" t="s">
        <v>18976</v>
      </c>
      <c r="I14114">
        <v>15957</v>
      </c>
      <c r="J14114" t="str">
        <f>VLOOKUP(E14114,DSSpieler!A:B,2,FALSE)</f>
        <v>Sneeter</v>
      </c>
    </row>
    <row r="14115" spans="1:10" x14ac:dyDescent="0.25">
      <c r="A14115">
        <v>15958</v>
      </c>
      <c r="B14115" t="s">
        <v>531</v>
      </c>
      <c r="C14115">
        <v>451</v>
      </c>
      <c r="D14115">
        <v>391</v>
      </c>
      <c r="E14115">
        <v>0</v>
      </c>
      <c r="F14115">
        <v>131</v>
      </c>
      <c r="G14115">
        <v>0</v>
      </c>
      <c r="H14115" t="s">
        <v>18977</v>
      </c>
      <c r="I14115">
        <v>15958</v>
      </c>
      <c r="J14115" t="e">
        <f>VLOOKUP(E14115,DSSpieler!A:B,2,FALSE)</f>
        <v>#N/A</v>
      </c>
    </row>
    <row r="14116" spans="1:10" x14ac:dyDescent="0.25">
      <c r="A14116">
        <v>15959</v>
      </c>
      <c r="B14116" t="s">
        <v>531</v>
      </c>
      <c r="C14116">
        <v>574</v>
      </c>
      <c r="D14116">
        <v>408</v>
      </c>
      <c r="E14116">
        <v>0</v>
      </c>
      <c r="F14116">
        <v>132</v>
      </c>
      <c r="G14116">
        <v>0</v>
      </c>
      <c r="H14116" t="s">
        <v>18978</v>
      </c>
      <c r="I14116">
        <v>15959</v>
      </c>
      <c r="J14116" t="e">
        <f>VLOOKUP(E14116,DSSpieler!A:B,2,FALSE)</f>
        <v>#N/A</v>
      </c>
    </row>
    <row r="14117" spans="1:10" x14ac:dyDescent="0.25">
      <c r="A14117">
        <v>15960</v>
      </c>
      <c r="B14117" t="s">
        <v>2455</v>
      </c>
      <c r="C14117">
        <v>497</v>
      </c>
      <c r="D14117">
        <v>379</v>
      </c>
      <c r="E14117">
        <v>1577200778</v>
      </c>
      <c r="F14117">
        <v>2489</v>
      </c>
      <c r="G14117">
        <v>0</v>
      </c>
      <c r="H14117" t="s">
        <v>18979</v>
      </c>
      <c r="I14117">
        <v>15960</v>
      </c>
      <c r="J14117" t="str">
        <f>VLOOKUP(E14117,DSSpieler!A:B,2,FALSE)</f>
        <v>UtzPalutz</v>
      </c>
    </row>
    <row r="14118" spans="1:10" x14ac:dyDescent="0.25">
      <c r="A14118">
        <v>15961</v>
      </c>
      <c r="B14118" t="s">
        <v>531</v>
      </c>
      <c r="C14118">
        <v>379</v>
      </c>
      <c r="D14118">
        <v>515</v>
      </c>
      <c r="E14118">
        <v>0</v>
      </c>
      <c r="F14118">
        <v>87</v>
      </c>
      <c r="G14118">
        <v>0</v>
      </c>
      <c r="H14118" t="s">
        <v>18980</v>
      </c>
      <c r="I14118">
        <v>15961</v>
      </c>
      <c r="J14118" t="e">
        <f>VLOOKUP(E14118,DSSpieler!A:B,2,FALSE)</f>
        <v>#N/A</v>
      </c>
    </row>
    <row r="14119" spans="1:10" x14ac:dyDescent="0.25">
      <c r="A14119">
        <v>15962</v>
      </c>
      <c r="B14119" t="s">
        <v>531</v>
      </c>
      <c r="C14119">
        <v>386</v>
      </c>
      <c r="D14119">
        <v>528</v>
      </c>
      <c r="E14119">
        <v>0</v>
      </c>
      <c r="F14119">
        <v>142</v>
      </c>
      <c r="G14119">
        <v>0</v>
      </c>
      <c r="H14119" t="s">
        <v>18981</v>
      </c>
      <c r="I14119">
        <v>15962</v>
      </c>
      <c r="J14119" t="e">
        <f>VLOOKUP(E14119,DSSpieler!A:B,2,FALSE)</f>
        <v>#N/A</v>
      </c>
    </row>
    <row r="14120" spans="1:10" x14ac:dyDescent="0.25">
      <c r="A14120">
        <v>15964</v>
      </c>
      <c r="B14120" t="s">
        <v>531</v>
      </c>
      <c r="C14120">
        <v>389</v>
      </c>
      <c r="D14120">
        <v>461</v>
      </c>
      <c r="E14120">
        <v>0</v>
      </c>
      <c r="F14120">
        <v>127</v>
      </c>
      <c r="G14120">
        <v>0</v>
      </c>
      <c r="H14120" t="s">
        <v>18982</v>
      </c>
      <c r="I14120">
        <v>15964</v>
      </c>
      <c r="J14120" t="e">
        <f>VLOOKUP(E14120,DSSpieler!A:B,2,FALSE)</f>
        <v>#N/A</v>
      </c>
    </row>
    <row r="14121" spans="1:10" x14ac:dyDescent="0.25">
      <c r="A14121">
        <v>15965</v>
      </c>
      <c r="B14121" t="s">
        <v>2456</v>
      </c>
      <c r="C14121">
        <v>475</v>
      </c>
      <c r="D14121">
        <v>598</v>
      </c>
      <c r="E14121">
        <v>1577176518</v>
      </c>
      <c r="F14121">
        <v>1800</v>
      </c>
      <c r="G14121">
        <v>0</v>
      </c>
      <c r="H14121" t="s">
        <v>18983</v>
      </c>
      <c r="I14121">
        <v>15965</v>
      </c>
      <c r="J14121" t="str">
        <f>VLOOKUP(E14121,DSSpieler!A:B,2,FALSE)</f>
        <v>Alsazar</v>
      </c>
    </row>
    <row r="14122" spans="1:10" x14ac:dyDescent="0.25">
      <c r="A14122">
        <v>15966</v>
      </c>
      <c r="B14122" t="s">
        <v>531</v>
      </c>
      <c r="C14122">
        <v>585</v>
      </c>
      <c r="D14122">
        <v>586</v>
      </c>
      <c r="E14122">
        <v>0</v>
      </c>
      <c r="F14122">
        <v>114</v>
      </c>
      <c r="G14122">
        <v>0</v>
      </c>
      <c r="H14122" t="s">
        <v>18984</v>
      </c>
      <c r="I14122">
        <v>15966</v>
      </c>
      <c r="J14122" t="e">
        <f>VLOOKUP(E14122,DSSpieler!A:B,2,FALSE)</f>
        <v>#N/A</v>
      </c>
    </row>
    <row r="14123" spans="1:10" x14ac:dyDescent="0.25">
      <c r="A14123">
        <v>15967</v>
      </c>
      <c r="B14123" t="s">
        <v>35219</v>
      </c>
      <c r="C14123">
        <v>611</v>
      </c>
      <c r="D14123">
        <v>459</v>
      </c>
      <c r="E14123">
        <v>9915682</v>
      </c>
      <c r="F14123">
        <v>6087</v>
      </c>
      <c r="G14123">
        <v>0</v>
      </c>
      <c r="H14123" t="s">
        <v>18985</v>
      </c>
      <c r="I14123">
        <v>15967</v>
      </c>
      <c r="J14123" t="str">
        <f>VLOOKUP(E14123,DSSpieler!A:B,2,FALSE)</f>
        <v>Marius73</v>
      </c>
    </row>
    <row r="14124" spans="1:10" x14ac:dyDescent="0.25">
      <c r="A14124">
        <v>15969</v>
      </c>
      <c r="B14124" t="s">
        <v>531</v>
      </c>
      <c r="C14124">
        <v>408</v>
      </c>
      <c r="D14124">
        <v>419</v>
      </c>
      <c r="E14124">
        <v>0</v>
      </c>
      <c r="F14124">
        <v>367</v>
      </c>
      <c r="G14124">
        <v>0</v>
      </c>
      <c r="H14124" t="s">
        <v>18986</v>
      </c>
      <c r="I14124">
        <v>15969</v>
      </c>
      <c r="J14124" t="e">
        <f>VLOOKUP(E14124,DSSpieler!A:B,2,FALSE)</f>
        <v>#N/A</v>
      </c>
    </row>
    <row r="14125" spans="1:10" x14ac:dyDescent="0.25">
      <c r="A14125">
        <v>15971</v>
      </c>
      <c r="B14125" t="s">
        <v>531</v>
      </c>
      <c r="C14125">
        <v>586</v>
      </c>
      <c r="D14125">
        <v>582</v>
      </c>
      <c r="E14125">
        <v>0</v>
      </c>
      <c r="F14125">
        <v>116</v>
      </c>
      <c r="G14125">
        <v>0</v>
      </c>
      <c r="H14125" t="s">
        <v>18987</v>
      </c>
      <c r="I14125">
        <v>15971</v>
      </c>
      <c r="J14125" t="e">
        <f>VLOOKUP(E14125,DSSpieler!A:B,2,FALSE)</f>
        <v>#N/A</v>
      </c>
    </row>
    <row r="14126" spans="1:10" x14ac:dyDescent="0.25">
      <c r="A14126">
        <v>15972</v>
      </c>
      <c r="B14126" t="s">
        <v>35220</v>
      </c>
      <c r="C14126">
        <v>486</v>
      </c>
      <c r="D14126">
        <v>380</v>
      </c>
      <c r="E14126">
        <v>1577196177</v>
      </c>
      <c r="F14126">
        <v>3441</v>
      </c>
      <c r="G14126">
        <v>0</v>
      </c>
      <c r="H14126" t="s">
        <v>18988</v>
      </c>
      <c r="I14126">
        <v>15972</v>
      </c>
      <c r="J14126" t="str">
        <f>VLOOKUP(E14126,DSSpieler!A:B,2,FALSE)</f>
        <v>Sev01</v>
      </c>
    </row>
    <row r="14127" spans="1:10" x14ac:dyDescent="0.25">
      <c r="A14127">
        <v>15973</v>
      </c>
      <c r="B14127" t="s">
        <v>2457</v>
      </c>
      <c r="C14127">
        <v>620</v>
      </c>
      <c r="D14127">
        <v>517</v>
      </c>
      <c r="E14127">
        <v>8618504</v>
      </c>
      <c r="F14127">
        <v>4336</v>
      </c>
      <c r="G14127">
        <v>0</v>
      </c>
      <c r="H14127" t="s">
        <v>18989</v>
      </c>
      <c r="I14127">
        <v>15973</v>
      </c>
      <c r="J14127" t="str">
        <f>VLOOKUP(E14127,DSSpieler!A:B,2,FALSE)</f>
        <v>Cuij</v>
      </c>
    </row>
    <row r="14128" spans="1:10" x14ac:dyDescent="0.25">
      <c r="A14128">
        <v>15974</v>
      </c>
      <c r="B14128" t="s">
        <v>531</v>
      </c>
      <c r="C14128">
        <v>565</v>
      </c>
      <c r="D14128">
        <v>397</v>
      </c>
      <c r="E14128">
        <v>0</v>
      </c>
      <c r="F14128">
        <v>253</v>
      </c>
      <c r="G14128">
        <v>0</v>
      </c>
      <c r="H14128" t="s">
        <v>18990</v>
      </c>
      <c r="I14128">
        <v>15974</v>
      </c>
      <c r="J14128" t="e">
        <f>VLOOKUP(E14128,DSSpieler!A:B,2,FALSE)</f>
        <v>#N/A</v>
      </c>
    </row>
    <row r="14129" spans="1:10" x14ac:dyDescent="0.25">
      <c r="A14129">
        <v>15975</v>
      </c>
      <c r="B14129" t="s">
        <v>2458</v>
      </c>
      <c r="C14129">
        <v>614</v>
      </c>
      <c r="D14129">
        <v>455</v>
      </c>
      <c r="E14129">
        <v>1577201215</v>
      </c>
      <c r="F14129">
        <v>152</v>
      </c>
      <c r="G14129">
        <v>0</v>
      </c>
      <c r="H14129" t="s">
        <v>18991</v>
      </c>
      <c r="I14129">
        <v>15975</v>
      </c>
      <c r="J14129" t="str">
        <f>VLOOKUP(E14129,DSSpieler!A:B,2,FALSE)</f>
        <v>Enorev</v>
      </c>
    </row>
    <row r="14130" spans="1:10" x14ac:dyDescent="0.25">
      <c r="A14130">
        <v>15976</v>
      </c>
      <c r="B14130" t="s">
        <v>531</v>
      </c>
      <c r="C14130">
        <v>584</v>
      </c>
      <c r="D14130">
        <v>412</v>
      </c>
      <c r="E14130">
        <v>0</v>
      </c>
      <c r="F14130">
        <v>257</v>
      </c>
      <c r="G14130">
        <v>0</v>
      </c>
      <c r="H14130" t="s">
        <v>18992</v>
      </c>
      <c r="I14130">
        <v>15976</v>
      </c>
      <c r="J14130" t="e">
        <f>VLOOKUP(E14130,DSSpieler!A:B,2,FALSE)</f>
        <v>#N/A</v>
      </c>
    </row>
    <row r="14131" spans="1:10" x14ac:dyDescent="0.25">
      <c r="A14131">
        <v>15977</v>
      </c>
      <c r="B14131" t="s">
        <v>531</v>
      </c>
      <c r="C14131">
        <v>402</v>
      </c>
      <c r="D14131">
        <v>567</v>
      </c>
      <c r="E14131">
        <v>0</v>
      </c>
      <c r="F14131">
        <v>201</v>
      </c>
      <c r="G14131">
        <v>0</v>
      </c>
      <c r="H14131" t="s">
        <v>18993</v>
      </c>
      <c r="I14131">
        <v>15977</v>
      </c>
      <c r="J14131" t="e">
        <f>VLOOKUP(E14131,DSSpieler!A:B,2,FALSE)</f>
        <v>#N/A</v>
      </c>
    </row>
    <row r="14132" spans="1:10" x14ac:dyDescent="0.25">
      <c r="A14132">
        <v>15978</v>
      </c>
      <c r="B14132" t="s">
        <v>531</v>
      </c>
      <c r="C14132">
        <v>401</v>
      </c>
      <c r="D14132">
        <v>568</v>
      </c>
      <c r="E14132">
        <v>0</v>
      </c>
      <c r="F14132">
        <v>208</v>
      </c>
      <c r="G14132">
        <v>0</v>
      </c>
      <c r="H14132" t="s">
        <v>18994</v>
      </c>
      <c r="I14132">
        <v>15978</v>
      </c>
      <c r="J14132" t="e">
        <f>VLOOKUP(E14132,DSSpieler!A:B,2,FALSE)</f>
        <v>#N/A</v>
      </c>
    </row>
    <row r="14133" spans="1:10" x14ac:dyDescent="0.25">
      <c r="A14133">
        <v>15980</v>
      </c>
      <c r="B14133" t="s">
        <v>35221</v>
      </c>
      <c r="C14133">
        <v>440</v>
      </c>
      <c r="D14133">
        <v>439</v>
      </c>
      <c r="E14133">
        <v>9168836</v>
      </c>
      <c r="F14133">
        <v>2581</v>
      </c>
      <c r="G14133">
        <v>0</v>
      </c>
      <c r="H14133" t="s">
        <v>18995</v>
      </c>
      <c r="I14133">
        <v>15980</v>
      </c>
      <c r="J14133" t="str">
        <f>VLOOKUP(E14133,DSSpieler!A:B,2,FALSE)</f>
        <v>Fortunator96</v>
      </c>
    </row>
    <row r="14134" spans="1:10" x14ac:dyDescent="0.25">
      <c r="A14134">
        <v>15981</v>
      </c>
      <c r="B14134" t="s">
        <v>531</v>
      </c>
      <c r="C14134">
        <v>387</v>
      </c>
      <c r="D14134">
        <v>538</v>
      </c>
      <c r="E14134">
        <v>0</v>
      </c>
      <c r="F14134">
        <v>176</v>
      </c>
      <c r="G14134">
        <v>0</v>
      </c>
      <c r="H14134" t="s">
        <v>18996</v>
      </c>
      <c r="I14134">
        <v>15981</v>
      </c>
      <c r="J14134" t="e">
        <f>VLOOKUP(E14134,DSSpieler!A:B,2,FALSE)</f>
        <v>#N/A</v>
      </c>
    </row>
    <row r="14135" spans="1:10" x14ac:dyDescent="0.25">
      <c r="A14135">
        <v>15982</v>
      </c>
      <c r="B14135">
        <v>1</v>
      </c>
      <c r="C14135">
        <v>382</v>
      </c>
      <c r="D14135">
        <v>475</v>
      </c>
      <c r="E14135">
        <v>1577179274</v>
      </c>
      <c r="F14135">
        <v>6044</v>
      </c>
      <c r="G14135">
        <v>0</v>
      </c>
      <c r="H14135" t="s">
        <v>395</v>
      </c>
      <c r="I14135">
        <v>15982</v>
      </c>
      <c r="J14135" t="str">
        <f>VLOOKUP(E14135,DSSpieler!A:B,2,FALSE)</f>
        <v>MasonGunner</v>
      </c>
    </row>
    <row r="14136" spans="1:10" x14ac:dyDescent="0.25">
      <c r="A14136">
        <v>15983</v>
      </c>
      <c r="B14136" t="s">
        <v>531</v>
      </c>
      <c r="C14136">
        <v>508</v>
      </c>
      <c r="D14136">
        <v>380</v>
      </c>
      <c r="E14136">
        <v>0</v>
      </c>
      <c r="F14136">
        <v>102</v>
      </c>
      <c r="G14136">
        <v>0</v>
      </c>
      <c r="H14136" t="s">
        <v>18997</v>
      </c>
      <c r="I14136">
        <v>15983</v>
      </c>
      <c r="J14136" t="e">
        <f>VLOOKUP(E14136,DSSpieler!A:B,2,FALSE)</f>
        <v>#N/A</v>
      </c>
    </row>
    <row r="14137" spans="1:10" x14ac:dyDescent="0.25">
      <c r="A14137">
        <v>15984</v>
      </c>
      <c r="B14137" t="s">
        <v>35222</v>
      </c>
      <c r="C14137">
        <v>384</v>
      </c>
      <c r="D14137">
        <v>528</v>
      </c>
      <c r="E14137">
        <v>9200868</v>
      </c>
      <c r="F14137">
        <v>26</v>
      </c>
      <c r="G14137">
        <v>0</v>
      </c>
      <c r="H14137" t="s">
        <v>18998</v>
      </c>
      <c r="I14137">
        <v>15984</v>
      </c>
      <c r="J14137" t="str">
        <f>VLOOKUP(E14137,DSSpieler!A:B,2,FALSE)</f>
        <v>Der Blaue Lord Helmchen</v>
      </c>
    </row>
    <row r="14138" spans="1:10" x14ac:dyDescent="0.25">
      <c r="A14138">
        <v>15985</v>
      </c>
      <c r="B14138" t="s">
        <v>531</v>
      </c>
      <c r="C14138">
        <v>470</v>
      </c>
      <c r="D14138">
        <v>382</v>
      </c>
      <c r="E14138">
        <v>0</v>
      </c>
      <c r="F14138">
        <v>236</v>
      </c>
      <c r="G14138">
        <v>0</v>
      </c>
      <c r="H14138" t="s">
        <v>18999</v>
      </c>
      <c r="I14138">
        <v>15985</v>
      </c>
      <c r="J14138" t="e">
        <f>VLOOKUP(E14138,DSSpieler!A:B,2,FALSE)</f>
        <v>#N/A</v>
      </c>
    </row>
    <row r="14139" spans="1:10" x14ac:dyDescent="0.25">
      <c r="A14139">
        <v>15986</v>
      </c>
      <c r="B14139" t="s">
        <v>531</v>
      </c>
      <c r="C14139">
        <v>381</v>
      </c>
      <c r="D14139">
        <v>474</v>
      </c>
      <c r="E14139">
        <v>0</v>
      </c>
      <c r="F14139">
        <v>313</v>
      </c>
      <c r="G14139">
        <v>0</v>
      </c>
      <c r="H14139" t="s">
        <v>380</v>
      </c>
      <c r="I14139">
        <v>15986</v>
      </c>
      <c r="J14139" t="e">
        <f>VLOOKUP(E14139,DSSpieler!A:B,2,FALSE)</f>
        <v>#N/A</v>
      </c>
    </row>
    <row r="14140" spans="1:10" x14ac:dyDescent="0.25">
      <c r="A14140">
        <v>15987</v>
      </c>
      <c r="B14140" t="s">
        <v>2459</v>
      </c>
      <c r="C14140">
        <v>508</v>
      </c>
      <c r="D14140">
        <v>382</v>
      </c>
      <c r="E14140">
        <v>1577201324</v>
      </c>
      <c r="F14140">
        <v>1574</v>
      </c>
      <c r="G14140">
        <v>0</v>
      </c>
      <c r="H14140" t="s">
        <v>19000</v>
      </c>
      <c r="I14140">
        <v>15987</v>
      </c>
      <c r="J14140" t="str">
        <f>VLOOKUP(E14140,DSSpieler!A:B,2,FALSE)</f>
        <v>Trolly</v>
      </c>
    </row>
    <row r="14141" spans="1:10" x14ac:dyDescent="0.25">
      <c r="A14141">
        <v>15990</v>
      </c>
      <c r="B14141" t="s">
        <v>531</v>
      </c>
      <c r="C14141">
        <v>450</v>
      </c>
      <c r="D14141">
        <v>611</v>
      </c>
      <c r="E14141">
        <v>0</v>
      </c>
      <c r="F14141">
        <v>95</v>
      </c>
      <c r="G14141">
        <v>0</v>
      </c>
      <c r="H14141" t="s">
        <v>19001</v>
      </c>
      <c r="I14141">
        <v>15990</v>
      </c>
      <c r="J14141" t="e">
        <f>VLOOKUP(E14141,DSSpieler!A:B,2,FALSE)</f>
        <v>#N/A</v>
      </c>
    </row>
    <row r="14142" spans="1:10" x14ac:dyDescent="0.25">
      <c r="A14142">
        <v>15991</v>
      </c>
      <c r="B14142" t="s">
        <v>531</v>
      </c>
      <c r="C14142">
        <v>381</v>
      </c>
      <c r="D14142">
        <v>476</v>
      </c>
      <c r="E14142">
        <v>0</v>
      </c>
      <c r="F14142">
        <v>94</v>
      </c>
      <c r="G14142">
        <v>0</v>
      </c>
      <c r="H14142" t="s">
        <v>19002</v>
      </c>
      <c r="I14142">
        <v>15991</v>
      </c>
      <c r="J14142" t="e">
        <f>VLOOKUP(E14142,DSSpieler!A:B,2,FALSE)</f>
        <v>#N/A</v>
      </c>
    </row>
    <row r="14143" spans="1:10" x14ac:dyDescent="0.25">
      <c r="A14143">
        <v>15992</v>
      </c>
      <c r="B14143" t="s">
        <v>531</v>
      </c>
      <c r="C14143">
        <v>442</v>
      </c>
      <c r="D14143">
        <v>393</v>
      </c>
      <c r="E14143">
        <v>0</v>
      </c>
      <c r="F14143">
        <v>173</v>
      </c>
      <c r="G14143">
        <v>0</v>
      </c>
      <c r="H14143" t="s">
        <v>19003</v>
      </c>
      <c r="I14143">
        <v>15992</v>
      </c>
      <c r="J14143" t="e">
        <f>VLOOKUP(E14143,DSSpieler!A:B,2,FALSE)</f>
        <v>#N/A</v>
      </c>
    </row>
    <row r="14144" spans="1:10" x14ac:dyDescent="0.25">
      <c r="A14144">
        <v>15993</v>
      </c>
      <c r="B14144" t="s">
        <v>35223</v>
      </c>
      <c r="C14144">
        <v>383</v>
      </c>
      <c r="D14144">
        <v>517</v>
      </c>
      <c r="E14144">
        <v>9449591</v>
      </c>
      <c r="F14144">
        <v>442</v>
      </c>
      <c r="G14144">
        <v>0</v>
      </c>
      <c r="H14144" t="s">
        <v>19004</v>
      </c>
      <c r="I14144">
        <v>15993</v>
      </c>
      <c r="J14144" t="str">
        <f>VLOOKUP(E14144,DSSpieler!A:B,2,FALSE)</f>
        <v>lenzi1112</v>
      </c>
    </row>
    <row r="14145" spans="1:10" x14ac:dyDescent="0.25">
      <c r="A14145">
        <v>15994</v>
      </c>
      <c r="B14145" t="s">
        <v>531</v>
      </c>
      <c r="C14145">
        <v>393</v>
      </c>
      <c r="D14145">
        <v>446</v>
      </c>
      <c r="E14145">
        <v>0</v>
      </c>
      <c r="F14145">
        <v>200</v>
      </c>
      <c r="G14145">
        <v>0</v>
      </c>
      <c r="H14145" t="s">
        <v>19005</v>
      </c>
      <c r="I14145">
        <v>15994</v>
      </c>
      <c r="J14145" t="e">
        <f>VLOOKUP(E14145,DSSpieler!A:B,2,FALSE)</f>
        <v>#N/A</v>
      </c>
    </row>
    <row r="14146" spans="1:10" x14ac:dyDescent="0.25">
      <c r="A14146">
        <v>15995</v>
      </c>
      <c r="B14146" t="s">
        <v>531</v>
      </c>
      <c r="C14146">
        <v>481</v>
      </c>
      <c r="D14146">
        <v>384</v>
      </c>
      <c r="E14146">
        <v>0</v>
      </c>
      <c r="F14146">
        <v>218</v>
      </c>
      <c r="G14146">
        <v>0</v>
      </c>
      <c r="H14146" t="s">
        <v>19006</v>
      </c>
      <c r="I14146">
        <v>15995</v>
      </c>
      <c r="J14146" t="e">
        <f>VLOOKUP(E14146,DSSpieler!A:B,2,FALSE)</f>
        <v>#N/A</v>
      </c>
    </row>
    <row r="14147" spans="1:10" x14ac:dyDescent="0.25">
      <c r="A14147">
        <v>15996</v>
      </c>
      <c r="B14147" t="s">
        <v>35858</v>
      </c>
      <c r="C14147">
        <v>517</v>
      </c>
      <c r="D14147">
        <v>525</v>
      </c>
      <c r="E14147">
        <v>1577197050</v>
      </c>
      <c r="F14147">
        <v>837</v>
      </c>
      <c r="G14147">
        <v>0</v>
      </c>
      <c r="H14147" t="s">
        <v>19007</v>
      </c>
      <c r="I14147">
        <v>15996</v>
      </c>
      <c r="J14147" t="str">
        <f>VLOOKUP(E14147,DSSpieler!A:B,2,FALSE)</f>
        <v>wrzlprzl</v>
      </c>
    </row>
    <row r="14148" spans="1:10" x14ac:dyDescent="0.25">
      <c r="A14148">
        <v>15997</v>
      </c>
      <c r="B14148" t="s">
        <v>698</v>
      </c>
      <c r="C14148">
        <v>381</v>
      </c>
      <c r="D14148">
        <v>473</v>
      </c>
      <c r="E14148">
        <v>7592744</v>
      </c>
      <c r="F14148">
        <v>1188</v>
      </c>
      <c r="G14148">
        <v>0</v>
      </c>
      <c r="H14148" t="s">
        <v>509</v>
      </c>
      <c r="I14148">
        <v>15997</v>
      </c>
      <c r="J14148" t="str">
        <f>VLOOKUP(E14148,DSSpieler!A:B,2,FALSE)</f>
        <v>True-Death</v>
      </c>
    </row>
    <row r="14149" spans="1:10" x14ac:dyDescent="0.25">
      <c r="A14149">
        <v>15998</v>
      </c>
      <c r="B14149">
        <v>2</v>
      </c>
      <c r="C14149">
        <v>394</v>
      </c>
      <c r="D14149">
        <v>440</v>
      </c>
      <c r="E14149">
        <v>1576942745</v>
      </c>
      <c r="F14149">
        <v>2370</v>
      </c>
      <c r="G14149">
        <v>0</v>
      </c>
      <c r="H14149" t="s">
        <v>19008</v>
      </c>
      <c r="I14149">
        <v>15998</v>
      </c>
      <c r="J14149" t="str">
        <f>VLOOKUP(E14149,DSSpieler!A:B,2,FALSE)</f>
        <v>pyromanoid</v>
      </c>
    </row>
    <row r="14150" spans="1:10" x14ac:dyDescent="0.25">
      <c r="A14150">
        <v>15999</v>
      </c>
      <c r="B14150" t="s">
        <v>531</v>
      </c>
      <c r="C14150">
        <v>595</v>
      </c>
      <c r="D14150">
        <v>577</v>
      </c>
      <c r="E14150">
        <v>0</v>
      </c>
      <c r="F14150">
        <v>112</v>
      </c>
      <c r="G14150">
        <v>0</v>
      </c>
      <c r="H14150" t="s">
        <v>19009</v>
      </c>
      <c r="I14150">
        <v>15999</v>
      </c>
      <c r="J14150" t="e">
        <f>VLOOKUP(E14150,DSSpieler!A:B,2,FALSE)</f>
        <v>#N/A</v>
      </c>
    </row>
    <row r="14151" spans="1:10" x14ac:dyDescent="0.25">
      <c r="A14151">
        <v>16000</v>
      </c>
      <c r="B14151" t="s">
        <v>531</v>
      </c>
      <c r="C14151">
        <v>582</v>
      </c>
      <c r="D14151">
        <v>585</v>
      </c>
      <c r="E14151">
        <v>0</v>
      </c>
      <c r="F14151">
        <v>198</v>
      </c>
      <c r="G14151">
        <v>0</v>
      </c>
      <c r="H14151" t="s">
        <v>19010</v>
      </c>
      <c r="I14151">
        <v>16000</v>
      </c>
      <c r="J14151" t="e">
        <f>VLOOKUP(E14151,DSSpieler!A:B,2,FALSE)</f>
        <v>#N/A</v>
      </c>
    </row>
    <row r="14152" spans="1:10" x14ac:dyDescent="0.25">
      <c r="A14152">
        <v>16001</v>
      </c>
      <c r="B14152" t="s">
        <v>35224</v>
      </c>
      <c r="C14152">
        <v>500</v>
      </c>
      <c r="D14152">
        <v>382</v>
      </c>
      <c r="E14152">
        <v>8968731</v>
      </c>
      <c r="F14152">
        <v>1274</v>
      </c>
      <c r="G14152">
        <v>0</v>
      </c>
      <c r="H14152" t="s">
        <v>19011</v>
      </c>
      <c r="I14152">
        <v>16001</v>
      </c>
      <c r="J14152" t="str">
        <f>VLOOKUP(E14152,DSSpieler!A:B,2,FALSE)</f>
        <v>Interceptor96</v>
      </c>
    </row>
    <row r="14153" spans="1:10" x14ac:dyDescent="0.25">
      <c r="A14153">
        <v>16002</v>
      </c>
      <c r="B14153" t="s">
        <v>531</v>
      </c>
      <c r="C14153">
        <v>595</v>
      </c>
      <c r="D14153">
        <v>570</v>
      </c>
      <c r="E14153">
        <v>0</v>
      </c>
      <c r="F14153">
        <v>332</v>
      </c>
      <c r="G14153">
        <v>0</v>
      </c>
      <c r="H14153" t="s">
        <v>19012</v>
      </c>
      <c r="I14153">
        <v>16002</v>
      </c>
      <c r="J14153" t="e">
        <f>VLOOKUP(E14153,DSSpieler!A:B,2,FALSE)</f>
        <v>#N/A</v>
      </c>
    </row>
    <row r="14154" spans="1:10" x14ac:dyDescent="0.25">
      <c r="A14154">
        <v>16003</v>
      </c>
      <c r="B14154" t="s">
        <v>35225</v>
      </c>
      <c r="C14154">
        <v>591</v>
      </c>
      <c r="D14154">
        <v>444</v>
      </c>
      <c r="E14154">
        <v>1576991474</v>
      </c>
      <c r="F14154">
        <v>380</v>
      </c>
      <c r="G14154">
        <v>0</v>
      </c>
      <c r="H14154" t="s">
        <v>19013</v>
      </c>
      <c r="I14154">
        <v>16003</v>
      </c>
      <c r="J14154" t="str">
        <f>VLOOKUP(E14154,DSSpieler!A:B,2,FALSE)</f>
        <v>Toinok</v>
      </c>
    </row>
    <row r="14155" spans="1:10" x14ac:dyDescent="0.25">
      <c r="A14155">
        <v>16004</v>
      </c>
      <c r="B14155" t="s">
        <v>531</v>
      </c>
      <c r="C14155">
        <v>421</v>
      </c>
      <c r="D14155">
        <v>593</v>
      </c>
      <c r="E14155">
        <v>0</v>
      </c>
      <c r="F14155">
        <v>369</v>
      </c>
      <c r="G14155">
        <v>0</v>
      </c>
      <c r="H14155" t="s">
        <v>19014</v>
      </c>
      <c r="I14155">
        <v>16004</v>
      </c>
      <c r="J14155" t="e">
        <f>VLOOKUP(E14155,DSSpieler!A:B,2,FALSE)</f>
        <v>#N/A</v>
      </c>
    </row>
    <row r="14156" spans="1:10" x14ac:dyDescent="0.25">
      <c r="A14156">
        <v>16007</v>
      </c>
      <c r="B14156" t="s">
        <v>531</v>
      </c>
      <c r="C14156">
        <v>398</v>
      </c>
      <c r="D14156">
        <v>564</v>
      </c>
      <c r="E14156">
        <v>0</v>
      </c>
      <c r="F14156">
        <v>618</v>
      </c>
      <c r="G14156">
        <v>0</v>
      </c>
      <c r="H14156" t="s">
        <v>19015</v>
      </c>
      <c r="I14156">
        <v>16007</v>
      </c>
      <c r="J14156" t="e">
        <f>VLOOKUP(E14156,DSSpieler!A:B,2,FALSE)</f>
        <v>#N/A</v>
      </c>
    </row>
    <row r="14157" spans="1:10" x14ac:dyDescent="0.25">
      <c r="A14157">
        <v>16008</v>
      </c>
      <c r="B14157" t="s">
        <v>531</v>
      </c>
      <c r="C14157">
        <v>381</v>
      </c>
      <c r="D14157">
        <v>483</v>
      </c>
      <c r="E14157">
        <v>0</v>
      </c>
      <c r="F14157">
        <v>225</v>
      </c>
      <c r="G14157">
        <v>0</v>
      </c>
      <c r="H14157" t="s">
        <v>19016</v>
      </c>
      <c r="I14157">
        <v>16008</v>
      </c>
      <c r="J14157" t="e">
        <f>VLOOKUP(E14157,DSSpieler!A:B,2,FALSE)</f>
        <v>#N/A</v>
      </c>
    </row>
    <row r="14158" spans="1:10" x14ac:dyDescent="0.25">
      <c r="A14158">
        <v>16009</v>
      </c>
      <c r="B14158" t="s">
        <v>2460</v>
      </c>
      <c r="C14158">
        <v>403</v>
      </c>
      <c r="D14158">
        <v>574</v>
      </c>
      <c r="E14158">
        <v>8775769</v>
      </c>
      <c r="F14158">
        <v>746</v>
      </c>
      <c r="G14158">
        <v>0</v>
      </c>
      <c r="H14158" t="s">
        <v>19017</v>
      </c>
      <c r="I14158">
        <v>16009</v>
      </c>
      <c r="J14158" t="str">
        <f>VLOOKUP(E14158,DSSpieler!A:B,2,FALSE)</f>
        <v>Hamamelis</v>
      </c>
    </row>
    <row r="14159" spans="1:10" x14ac:dyDescent="0.25">
      <c r="A14159">
        <v>16010</v>
      </c>
      <c r="B14159" t="s">
        <v>531</v>
      </c>
      <c r="C14159">
        <v>589</v>
      </c>
      <c r="D14159">
        <v>448</v>
      </c>
      <c r="E14159">
        <v>0</v>
      </c>
      <c r="F14159">
        <v>361</v>
      </c>
      <c r="G14159">
        <v>0</v>
      </c>
      <c r="H14159" t="s">
        <v>19018</v>
      </c>
      <c r="I14159">
        <v>16010</v>
      </c>
      <c r="J14159" t="e">
        <f>VLOOKUP(E14159,DSSpieler!A:B,2,FALSE)</f>
        <v>#N/A</v>
      </c>
    </row>
    <row r="14160" spans="1:10" x14ac:dyDescent="0.25">
      <c r="A14160">
        <v>16011</v>
      </c>
      <c r="B14160" t="s">
        <v>35226</v>
      </c>
      <c r="C14160">
        <v>384</v>
      </c>
      <c r="D14160">
        <v>473</v>
      </c>
      <c r="E14160">
        <v>1577201556</v>
      </c>
      <c r="F14160">
        <v>1776</v>
      </c>
      <c r="G14160">
        <v>0</v>
      </c>
      <c r="H14160" t="s">
        <v>492</v>
      </c>
      <c r="I14160">
        <v>16011</v>
      </c>
      <c r="J14160" t="str">
        <f>VLOOKUP(E14160,DSSpieler!A:B,2,FALSE)</f>
        <v>Verräterrus</v>
      </c>
    </row>
    <row r="14161" spans="1:10" x14ac:dyDescent="0.25">
      <c r="A14161">
        <v>16013</v>
      </c>
      <c r="B14161" t="s">
        <v>660</v>
      </c>
      <c r="C14161">
        <v>500</v>
      </c>
      <c r="D14161">
        <v>447</v>
      </c>
      <c r="E14161">
        <v>1576764081</v>
      </c>
      <c r="F14161">
        <v>1496</v>
      </c>
      <c r="G14161">
        <v>0</v>
      </c>
      <c r="H14161" t="s">
        <v>19019</v>
      </c>
      <c r="I14161">
        <v>16013</v>
      </c>
      <c r="J14161" t="str">
        <f>VLOOKUP(E14161,DSSpieler!A:B,2,FALSE)</f>
        <v>Cedric89</v>
      </c>
    </row>
    <row r="14162" spans="1:10" x14ac:dyDescent="0.25">
      <c r="A14162">
        <v>16014</v>
      </c>
      <c r="B14162" t="s">
        <v>531</v>
      </c>
      <c r="C14162">
        <v>541</v>
      </c>
      <c r="D14162">
        <v>386</v>
      </c>
      <c r="E14162">
        <v>0</v>
      </c>
      <c r="F14162">
        <v>137</v>
      </c>
      <c r="G14162">
        <v>0</v>
      </c>
      <c r="H14162" t="s">
        <v>19020</v>
      </c>
      <c r="I14162">
        <v>16014</v>
      </c>
      <c r="J14162" t="e">
        <f>VLOOKUP(E14162,DSSpieler!A:B,2,FALSE)</f>
        <v>#N/A</v>
      </c>
    </row>
    <row r="14163" spans="1:10" x14ac:dyDescent="0.25">
      <c r="A14163">
        <v>16015</v>
      </c>
      <c r="B14163" t="s">
        <v>35227</v>
      </c>
      <c r="C14163">
        <v>579</v>
      </c>
      <c r="D14163">
        <v>521</v>
      </c>
      <c r="E14163">
        <v>1577203459</v>
      </c>
      <c r="F14163">
        <v>3361</v>
      </c>
      <c r="G14163">
        <v>0</v>
      </c>
      <c r="H14163" t="s">
        <v>19021</v>
      </c>
      <c r="I14163">
        <v>16015</v>
      </c>
      <c r="J14163" t="str">
        <f>VLOOKUP(E14163,DSSpieler!A:B,2,FALSE)</f>
        <v>WeedEnjoyer 420</v>
      </c>
    </row>
    <row r="14164" spans="1:10" x14ac:dyDescent="0.25">
      <c r="A14164">
        <v>16016</v>
      </c>
      <c r="B14164" t="s">
        <v>531</v>
      </c>
      <c r="C14164">
        <v>432</v>
      </c>
      <c r="D14164">
        <v>601</v>
      </c>
      <c r="E14164">
        <v>0</v>
      </c>
      <c r="F14164">
        <v>265</v>
      </c>
      <c r="G14164">
        <v>0</v>
      </c>
      <c r="H14164" t="s">
        <v>19022</v>
      </c>
      <c r="I14164">
        <v>16016</v>
      </c>
      <c r="J14164" t="e">
        <f>VLOOKUP(E14164,DSSpieler!A:B,2,FALSE)</f>
        <v>#N/A</v>
      </c>
    </row>
    <row r="14165" spans="1:10" x14ac:dyDescent="0.25">
      <c r="A14165">
        <v>16017</v>
      </c>
      <c r="B14165" t="s">
        <v>2461</v>
      </c>
      <c r="C14165">
        <v>578</v>
      </c>
      <c r="D14165">
        <v>532</v>
      </c>
      <c r="E14165">
        <v>9918583</v>
      </c>
      <c r="F14165">
        <v>1806</v>
      </c>
      <c r="G14165">
        <v>0</v>
      </c>
      <c r="H14165" t="s">
        <v>19023</v>
      </c>
      <c r="I14165">
        <v>16017</v>
      </c>
      <c r="J14165" t="str">
        <f>VLOOKUP(E14165,DSSpieler!A:B,2,FALSE)</f>
        <v>Millepora</v>
      </c>
    </row>
    <row r="14166" spans="1:10" x14ac:dyDescent="0.25">
      <c r="A14166">
        <v>16018</v>
      </c>
      <c r="B14166" t="s">
        <v>2462</v>
      </c>
      <c r="C14166">
        <v>414</v>
      </c>
      <c r="D14166">
        <v>413</v>
      </c>
      <c r="E14166">
        <v>1577203465</v>
      </c>
      <c r="F14166">
        <v>4121</v>
      </c>
      <c r="G14166">
        <v>0</v>
      </c>
      <c r="H14166" t="s">
        <v>19024</v>
      </c>
      <c r="I14166">
        <v>16018</v>
      </c>
      <c r="J14166" t="str">
        <f>VLOOKUP(E14166,DSSpieler!A:B,2,FALSE)</f>
        <v>legalgras</v>
      </c>
    </row>
    <row r="14167" spans="1:10" x14ac:dyDescent="0.25">
      <c r="A14167">
        <v>16019</v>
      </c>
      <c r="B14167" t="s">
        <v>531</v>
      </c>
      <c r="C14167">
        <v>469</v>
      </c>
      <c r="D14167">
        <v>387</v>
      </c>
      <c r="E14167">
        <v>0</v>
      </c>
      <c r="F14167">
        <v>155</v>
      </c>
      <c r="G14167">
        <v>0</v>
      </c>
      <c r="H14167" t="s">
        <v>19025</v>
      </c>
      <c r="I14167">
        <v>16019</v>
      </c>
      <c r="J14167" t="e">
        <f>VLOOKUP(E14167,DSSpieler!A:B,2,FALSE)</f>
        <v>#N/A</v>
      </c>
    </row>
    <row r="14168" spans="1:10" x14ac:dyDescent="0.25">
      <c r="A14168">
        <v>16020</v>
      </c>
      <c r="B14168" t="s">
        <v>531</v>
      </c>
      <c r="C14168">
        <v>383</v>
      </c>
      <c r="D14168">
        <v>473</v>
      </c>
      <c r="E14168">
        <v>0</v>
      </c>
      <c r="F14168">
        <v>178</v>
      </c>
      <c r="G14168">
        <v>0</v>
      </c>
      <c r="H14168" t="s">
        <v>376</v>
      </c>
      <c r="I14168">
        <v>16020</v>
      </c>
      <c r="J14168" t="e">
        <f>VLOOKUP(E14168,DSSpieler!A:B,2,FALSE)</f>
        <v>#N/A</v>
      </c>
    </row>
    <row r="14169" spans="1:10" x14ac:dyDescent="0.25">
      <c r="A14169">
        <v>16021</v>
      </c>
      <c r="B14169" t="s">
        <v>531</v>
      </c>
      <c r="C14169">
        <v>385</v>
      </c>
      <c r="D14169">
        <v>480</v>
      </c>
      <c r="E14169">
        <v>0</v>
      </c>
      <c r="F14169">
        <v>113</v>
      </c>
      <c r="G14169">
        <v>0</v>
      </c>
      <c r="H14169" t="s">
        <v>19026</v>
      </c>
      <c r="I14169">
        <v>16021</v>
      </c>
      <c r="J14169" t="e">
        <f>VLOOKUP(E14169,DSSpieler!A:B,2,FALSE)</f>
        <v>#N/A</v>
      </c>
    </row>
    <row r="14170" spans="1:10" x14ac:dyDescent="0.25">
      <c r="A14170">
        <v>16022</v>
      </c>
      <c r="B14170" t="s">
        <v>531</v>
      </c>
      <c r="C14170">
        <v>391</v>
      </c>
      <c r="D14170">
        <v>556</v>
      </c>
      <c r="E14170">
        <v>0</v>
      </c>
      <c r="F14170">
        <v>149</v>
      </c>
      <c r="G14170">
        <v>0</v>
      </c>
      <c r="H14170" t="s">
        <v>19027</v>
      </c>
      <c r="I14170">
        <v>16022</v>
      </c>
      <c r="J14170" t="e">
        <f>VLOOKUP(E14170,DSSpieler!A:B,2,FALSE)</f>
        <v>#N/A</v>
      </c>
    </row>
    <row r="14171" spans="1:10" x14ac:dyDescent="0.25">
      <c r="A14171">
        <v>16023</v>
      </c>
      <c r="B14171" t="s">
        <v>531</v>
      </c>
      <c r="C14171">
        <v>604</v>
      </c>
      <c r="D14171">
        <v>553</v>
      </c>
      <c r="E14171">
        <v>0</v>
      </c>
      <c r="F14171">
        <v>105</v>
      </c>
      <c r="G14171">
        <v>0</v>
      </c>
      <c r="H14171" t="s">
        <v>19028</v>
      </c>
      <c r="I14171">
        <v>16023</v>
      </c>
      <c r="J14171" t="e">
        <f>VLOOKUP(E14171,DSSpieler!A:B,2,FALSE)</f>
        <v>#N/A</v>
      </c>
    </row>
    <row r="14172" spans="1:10" x14ac:dyDescent="0.25">
      <c r="A14172">
        <v>16024</v>
      </c>
      <c r="B14172" t="s">
        <v>531</v>
      </c>
      <c r="C14172">
        <v>389</v>
      </c>
      <c r="D14172">
        <v>539</v>
      </c>
      <c r="E14172">
        <v>0</v>
      </c>
      <c r="F14172">
        <v>334</v>
      </c>
      <c r="G14172">
        <v>0</v>
      </c>
      <c r="H14172" t="s">
        <v>19029</v>
      </c>
      <c r="I14172">
        <v>16024</v>
      </c>
      <c r="J14172" t="e">
        <f>VLOOKUP(E14172,DSSpieler!A:B,2,FALSE)</f>
        <v>#N/A</v>
      </c>
    </row>
    <row r="14173" spans="1:10" x14ac:dyDescent="0.25">
      <c r="A14173">
        <v>16026</v>
      </c>
      <c r="B14173" t="s">
        <v>35228</v>
      </c>
      <c r="C14173">
        <v>456</v>
      </c>
      <c r="D14173">
        <v>613</v>
      </c>
      <c r="E14173">
        <v>9513814</v>
      </c>
      <c r="F14173">
        <v>3043</v>
      </c>
      <c r="G14173">
        <v>0</v>
      </c>
      <c r="H14173" t="s">
        <v>19030</v>
      </c>
      <c r="I14173">
        <v>16026</v>
      </c>
      <c r="J14173" t="str">
        <f>VLOOKUP(E14173,DSSpieler!A:B,2,FALSE)</f>
        <v>Warum liegt hier Stroh?</v>
      </c>
    </row>
    <row r="14174" spans="1:10" x14ac:dyDescent="0.25">
      <c r="A14174">
        <v>16028</v>
      </c>
      <c r="B14174" t="s">
        <v>35229</v>
      </c>
      <c r="C14174">
        <v>492</v>
      </c>
      <c r="D14174">
        <v>617</v>
      </c>
      <c r="E14174">
        <v>10242175</v>
      </c>
      <c r="F14174">
        <v>3539</v>
      </c>
      <c r="G14174">
        <v>0</v>
      </c>
      <c r="H14174" t="s">
        <v>19031</v>
      </c>
      <c r="I14174">
        <v>16028</v>
      </c>
      <c r="J14174" t="str">
        <f>VLOOKUP(E14174,DSSpieler!A:B,2,FALSE)</f>
        <v>tufiga</v>
      </c>
    </row>
    <row r="14175" spans="1:10" x14ac:dyDescent="0.25">
      <c r="A14175">
        <v>16029</v>
      </c>
      <c r="B14175" t="s">
        <v>35230</v>
      </c>
      <c r="C14175">
        <v>547</v>
      </c>
      <c r="D14175">
        <v>611</v>
      </c>
      <c r="E14175">
        <v>1577173898</v>
      </c>
      <c r="F14175">
        <v>102</v>
      </c>
      <c r="G14175">
        <v>0</v>
      </c>
      <c r="H14175" t="s">
        <v>19032</v>
      </c>
      <c r="I14175">
        <v>16029</v>
      </c>
      <c r="J14175" t="str">
        <f>VLOOKUP(E14175,DSSpieler!A:B,2,FALSE)</f>
        <v>AkitoReborn</v>
      </c>
    </row>
    <row r="14176" spans="1:10" x14ac:dyDescent="0.25">
      <c r="A14176">
        <v>16030</v>
      </c>
      <c r="B14176" t="s">
        <v>35231</v>
      </c>
      <c r="C14176">
        <v>512</v>
      </c>
      <c r="D14176">
        <v>619</v>
      </c>
      <c r="E14176">
        <v>1577184162</v>
      </c>
      <c r="F14176">
        <v>438</v>
      </c>
      <c r="G14176">
        <v>0</v>
      </c>
      <c r="H14176" t="s">
        <v>19033</v>
      </c>
      <c r="I14176">
        <v>16030</v>
      </c>
      <c r="J14176" t="str">
        <f>VLOOKUP(E14176,DSSpieler!A:B,2,FALSE)</f>
        <v>HellGamer90</v>
      </c>
    </row>
    <row r="14177" spans="1:10" x14ac:dyDescent="0.25">
      <c r="A14177">
        <v>16031</v>
      </c>
      <c r="B14177" t="s">
        <v>531</v>
      </c>
      <c r="C14177">
        <v>518</v>
      </c>
      <c r="D14177">
        <v>619</v>
      </c>
      <c r="E14177">
        <v>0</v>
      </c>
      <c r="F14177">
        <v>120</v>
      </c>
      <c r="G14177">
        <v>0</v>
      </c>
      <c r="H14177" t="s">
        <v>19034</v>
      </c>
      <c r="I14177">
        <v>16031</v>
      </c>
      <c r="J14177" t="e">
        <f>VLOOKUP(E14177,DSSpieler!A:B,2,FALSE)</f>
        <v>#N/A</v>
      </c>
    </row>
    <row r="14178" spans="1:10" x14ac:dyDescent="0.25">
      <c r="A14178">
        <v>16032</v>
      </c>
      <c r="B14178" t="s">
        <v>35232</v>
      </c>
      <c r="C14178">
        <v>458</v>
      </c>
      <c r="D14178">
        <v>386</v>
      </c>
      <c r="E14178">
        <v>1527141</v>
      </c>
      <c r="F14178">
        <v>3492</v>
      </c>
      <c r="G14178">
        <v>0</v>
      </c>
      <c r="H14178" t="s">
        <v>19035</v>
      </c>
      <c r="I14178">
        <v>16032</v>
      </c>
      <c r="J14178" t="str">
        <f>VLOOKUP(E14178,DSSpieler!A:B,2,FALSE)</f>
        <v>Strength Cartel</v>
      </c>
    </row>
    <row r="14179" spans="1:10" x14ac:dyDescent="0.25">
      <c r="A14179">
        <v>16033</v>
      </c>
      <c r="B14179" t="s">
        <v>2463</v>
      </c>
      <c r="C14179">
        <v>459</v>
      </c>
      <c r="D14179">
        <v>394</v>
      </c>
      <c r="E14179">
        <v>1577183245</v>
      </c>
      <c r="F14179">
        <v>225</v>
      </c>
      <c r="G14179">
        <v>0</v>
      </c>
      <c r="H14179" t="s">
        <v>19036</v>
      </c>
      <c r="I14179">
        <v>16033</v>
      </c>
      <c r="J14179" t="str">
        <f>VLOOKUP(E14179,DSSpieler!A:B,2,FALSE)</f>
        <v>Hooodiinii</v>
      </c>
    </row>
    <row r="14180" spans="1:10" x14ac:dyDescent="0.25">
      <c r="A14180">
        <v>16035</v>
      </c>
      <c r="B14180" t="s">
        <v>531</v>
      </c>
      <c r="C14180">
        <v>511</v>
      </c>
      <c r="D14180">
        <v>381</v>
      </c>
      <c r="E14180">
        <v>0</v>
      </c>
      <c r="F14180">
        <v>172</v>
      </c>
      <c r="G14180">
        <v>0</v>
      </c>
      <c r="H14180" t="s">
        <v>19037</v>
      </c>
      <c r="I14180">
        <v>16035</v>
      </c>
      <c r="J14180" t="e">
        <f>VLOOKUP(E14180,DSSpieler!A:B,2,FALSE)</f>
        <v>#N/A</v>
      </c>
    </row>
    <row r="14181" spans="1:10" x14ac:dyDescent="0.25">
      <c r="A14181">
        <v>16036</v>
      </c>
      <c r="B14181" t="s">
        <v>35233</v>
      </c>
      <c r="C14181">
        <v>604</v>
      </c>
      <c r="D14181">
        <v>557</v>
      </c>
      <c r="E14181">
        <v>1577077834</v>
      </c>
      <c r="F14181">
        <v>2274</v>
      </c>
      <c r="G14181">
        <v>0</v>
      </c>
      <c r="H14181" t="s">
        <v>19038</v>
      </c>
      <c r="I14181">
        <v>16036</v>
      </c>
      <c r="J14181" t="str">
        <f>VLOOKUP(E14181,DSSpieler!A:B,2,FALSE)</f>
        <v>F8Vengeance</v>
      </c>
    </row>
    <row r="14182" spans="1:10" x14ac:dyDescent="0.25">
      <c r="A14182">
        <v>16037</v>
      </c>
      <c r="B14182" t="s">
        <v>2464</v>
      </c>
      <c r="C14182">
        <v>423</v>
      </c>
      <c r="D14182">
        <v>595</v>
      </c>
      <c r="E14182">
        <v>1577069936</v>
      </c>
      <c r="F14182">
        <v>1812</v>
      </c>
      <c r="G14182">
        <v>0</v>
      </c>
      <c r="H14182" t="s">
        <v>19039</v>
      </c>
      <c r="I14182">
        <v>16037</v>
      </c>
      <c r="J14182" t="str">
        <f>VLOOKUP(E14182,DSSpieler!A:B,2,FALSE)</f>
        <v>Pflanzenvolumen</v>
      </c>
    </row>
    <row r="14183" spans="1:10" x14ac:dyDescent="0.25">
      <c r="A14183">
        <v>16038</v>
      </c>
      <c r="B14183" t="s">
        <v>531</v>
      </c>
      <c r="C14183">
        <v>447</v>
      </c>
      <c r="D14183">
        <v>391</v>
      </c>
      <c r="E14183">
        <v>0</v>
      </c>
      <c r="F14183">
        <v>115</v>
      </c>
      <c r="G14183">
        <v>0</v>
      </c>
      <c r="H14183" t="s">
        <v>19040</v>
      </c>
      <c r="I14183">
        <v>16038</v>
      </c>
      <c r="J14183" t="e">
        <f>VLOOKUP(E14183,DSSpieler!A:B,2,FALSE)</f>
        <v>#N/A</v>
      </c>
    </row>
    <row r="14184" spans="1:10" x14ac:dyDescent="0.25">
      <c r="A14184">
        <v>16039</v>
      </c>
      <c r="B14184" t="s">
        <v>531</v>
      </c>
      <c r="C14184">
        <v>449</v>
      </c>
      <c r="D14184">
        <v>389</v>
      </c>
      <c r="E14184">
        <v>0</v>
      </c>
      <c r="F14184">
        <v>233</v>
      </c>
      <c r="G14184">
        <v>0</v>
      </c>
      <c r="H14184" t="s">
        <v>19041</v>
      </c>
      <c r="I14184">
        <v>16039</v>
      </c>
      <c r="J14184" t="e">
        <f>VLOOKUP(E14184,DSSpieler!A:B,2,FALSE)</f>
        <v>#N/A</v>
      </c>
    </row>
    <row r="14185" spans="1:10" x14ac:dyDescent="0.25">
      <c r="A14185">
        <v>16040</v>
      </c>
      <c r="B14185" t="s">
        <v>531</v>
      </c>
      <c r="C14185">
        <v>581</v>
      </c>
      <c r="D14185">
        <v>410</v>
      </c>
      <c r="E14185">
        <v>0</v>
      </c>
      <c r="F14185">
        <v>320</v>
      </c>
      <c r="G14185">
        <v>0</v>
      </c>
      <c r="H14185" t="s">
        <v>19042</v>
      </c>
      <c r="I14185">
        <v>16040</v>
      </c>
      <c r="J14185" t="e">
        <f>VLOOKUP(E14185,DSSpieler!A:B,2,FALSE)</f>
        <v>#N/A</v>
      </c>
    </row>
    <row r="14186" spans="1:10" x14ac:dyDescent="0.25">
      <c r="A14186">
        <v>16042</v>
      </c>
      <c r="B14186" t="s">
        <v>531</v>
      </c>
      <c r="C14186">
        <v>396</v>
      </c>
      <c r="D14186">
        <v>437</v>
      </c>
      <c r="E14186">
        <v>0</v>
      </c>
      <c r="F14186">
        <v>235</v>
      </c>
      <c r="G14186">
        <v>0</v>
      </c>
      <c r="H14186" t="s">
        <v>19043</v>
      </c>
      <c r="I14186">
        <v>16042</v>
      </c>
      <c r="J14186" t="e">
        <f>VLOOKUP(E14186,DSSpieler!A:B,2,FALSE)</f>
        <v>#N/A</v>
      </c>
    </row>
    <row r="14187" spans="1:10" x14ac:dyDescent="0.25">
      <c r="A14187">
        <v>16043</v>
      </c>
      <c r="B14187" t="s">
        <v>643</v>
      </c>
      <c r="C14187">
        <v>381</v>
      </c>
      <c r="D14187">
        <v>472</v>
      </c>
      <c r="E14187">
        <v>7592744</v>
      </c>
      <c r="F14187">
        <v>3399</v>
      </c>
      <c r="G14187">
        <v>0</v>
      </c>
      <c r="H14187" t="s">
        <v>510</v>
      </c>
      <c r="I14187">
        <v>16043</v>
      </c>
      <c r="J14187" t="str">
        <f>VLOOKUP(E14187,DSSpieler!A:B,2,FALSE)</f>
        <v>True-Death</v>
      </c>
    </row>
    <row r="14188" spans="1:10" x14ac:dyDescent="0.25">
      <c r="A14188">
        <v>16044</v>
      </c>
      <c r="B14188" t="s">
        <v>531</v>
      </c>
      <c r="C14188">
        <v>547</v>
      </c>
      <c r="D14188">
        <v>392</v>
      </c>
      <c r="E14188">
        <v>0</v>
      </c>
      <c r="F14188">
        <v>199</v>
      </c>
      <c r="G14188">
        <v>0</v>
      </c>
      <c r="H14188" t="s">
        <v>19044</v>
      </c>
      <c r="I14188">
        <v>16044</v>
      </c>
      <c r="J14188" t="e">
        <f>VLOOKUP(E14188,DSSpieler!A:B,2,FALSE)</f>
        <v>#N/A</v>
      </c>
    </row>
    <row r="14189" spans="1:10" x14ac:dyDescent="0.25">
      <c r="A14189">
        <v>16045</v>
      </c>
      <c r="B14189" t="s">
        <v>531</v>
      </c>
      <c r="C14189">
        <v>596</v>
      </c>
      <c r="D14189">
        <v>567</v>
      </c>
      <c r="E14189">
        <v>0</v>
      </c>
      <c r="F14189">
        <v>457</v>
      </c>
      <c r="G14189">
        <v>0</v>
      </c>
      <c r="H14189" t="s">
        <v>19045</v>
      </c>
      <c r="I14189">
        <v>16045</v>
      </c>
      <c r="J14189" t="e">
        <f>VLOOKUP(E14189,DSSpieler!A:B,2,FALSE)</f>
        <v>#N/A</v>
      </c>
    </row>
    <row r="14190" spans="1:10" x14ac:dyDescent="0.25">
      <c r="A14190">
        <v>16046</v>
      </c>
      <c r="B14190" t="s">
        <v>531</v>
      </c>
      <c r="C14190">
        <v>597</v>
      </c>
      <c r="D14190">
        <v>469</v>
      </c>
      <c r="E14190">
        <v>0</v>
      </c>
      <c r="F14190">
        <v>150</v>
      </c>
      <c r="G14190">
        <v>0</v>
      </c>
      <c r="H14190" t="s">
        <v>19046</v>
      </c>
      <c r="I14190">
        <v>16046</v>
      </c>
      <c r="J14190" t="e">
        <f>VLOOKUP(E14190,DSSpieler!A:B,2,FALSE)</f>
        <v>#N/A</v>
      </c>
    </row>
    <row r="14191" spans="1:10" x14ac:dyDescent="0.25">
      <c r="A14191">
        <v>16048</v>
      </c>
      <c r="B14191" t="s">
        <v>2465</v>
      </c>
      <c r="C14191">
        <v>596</v>
      </c>
      <c r="D14191">
        <v>432</v>
      </c>
      <c r="E14191">
        <v>1577189770</v>
      </c>
      <c r="F14191">
        <v>2737</v>
      </c>
      <c r="G14191">
        <v>0</v>
      </c>
      <c r="H14191" t="s">
        <v>19047</v>
      </c>
      <c r="I14191">
        <v>16048</v>
      </c>
      <c r="J14191" t="str">
        <f>VLOOKUP(E14191,DSSpieler!A:B,2,FALSE)</f>
        <v>lordina</v>
      </c>
    </row>
    <row r="14192" spans="1:10" x14ac:dyDescent="0.25">
      <c r="A14192">
        <v>16049</v>
      </c>
      <c r="B14192" t="s">
        <v>531</v>
      </c>
      <c r="C14192">
        <v>444</v>
      </c>
      <c r="D14192">
        <v>394</v>
      </c>
      <c r="E14192">
        <v>0</v>
      </c>
      <c r="F14192">
        <v>104</v>
      </c>
      <c r="G14192">
        <v>0</v>
      </c>
      <c r="H14192" t="s">
        <v>19048</v>
      </c>
      <c r="I14192">
        <v>16049</v>
      </c>
      <c r="J14192" t="e">
        <f>VLOOKUP(E14192,DSSpieler!A:B,2,FALSE)</f>
        <v>#N/A</v>
      </c>
    </row>
    <row r="14193" spans="1:10" x14ac:dyDescent="0.25">
      <c r="A14193">
        <v>16050</v>
      </c>
      <c r="B14193" t="s">
        <v>531</v>
      </c>
      <c r="C14193">
        <v>426</v>
      </c>
      <c r="D14193">
        <v>406</v>
      </c>
      <c r="E14193">
        <v>0</v>
      </c>
      <c r="F14193">
        <v>289</v>
      </c>
      <c r="G14193">
        <v>0</v>
      </c>
      <c r="H14193" t="s">
        <v>19049</v>
      </c>
      <c r="I14193">
        <v>16050</v>
      </c>
      <c r="J14193" t="e">
        <f>VLOOKUP(E14193,DSSpieler!A:B,2,FALSE)</f>
        <v>#N/A</v>
      </c>
    </row>
    <row r="14194" spans="1:10" x14ac:dyDescent="0.25">
      <c r="A14194">
        <v>16051</v>
      </c>
      <c r="B14194" t="s">
        <v>531</v>
      </c>
      <c r="C14194">
        <v>598</v>
      </c>
      <c r="D14194">
        <v>571</v>
      </c>
      <c r="E14194">
        <v>0</v>
      </c>
      <c r="F14194">
        <v>77</v>
      </c>
      <c r="G14194">
        <v>0</v>
      </c>
      <c r="H14194" t="s">
        <v>19050</v>
      </c>
      <c r="I14194">
        <v>16051</v>
      </c>
      <c r="J14194" t="e">
        <f>VLOOKUP(E14194,DSSpieler!A:B,2,FALSE)</f>
        <v>#N/A</v>
      </c>
    </row>
    <row r="14195" spans="1:10" x14ac:dyDescent="0.25">
      <c r="A14195">
        <v>16052</v>
      </c>
      <c r="B14195" t="s">
        <v>531</v>
      </c>
      <c r="C14195">
        <v>537</v>
      </c>
      <c r="D14195">
        <v>615</v>
      </c>
      <c r="E14195">
        <v>0</v>
      </c>
      <c r="F14195">
        <v>448</v>
      </c>
      <c r="G14195">
        <v>0</v>
      </c>
      <c r="H14195" t="s">
        <v>19051</v>
      </c>
      <c r="I14195">
        <v>16052</v>
      </c>
      <c r="J14195" t="e">
        <f>VLOOKUP(E14195,DSSpieler!A:B,2,FALSE)</f>
        <v>#N/A</v>
      </c>
    </row>
    <row r="14196" spans="1:10" x14ac:dyDescent="0.25">
      <c r="A14196">
        <v>16053</v>
      </c>
      <c r="B14196" t="s">
        <v>531</v>
      </c>
      <c r="C14196">
        <v>588</v>
      </c>
      <c r="D14196">
        <v>415</v>
      </c>
      <c r="E14196">
        <v>0</v>
      </c>
      <c r="F14196">
        <v>238</v>
      </c>
      <c r="G14196">
        <v>0</v>
      </c>
      <c r="H14196" t="s">
        <v>19052</v>
      </c>
      <c r="I14196">
        <v>16053</v>
      </c>
      <c r="J14196" t="e">
        <f>VLOOKUP(E14196,DSSpieler!A:B,2,FALSE)</f>
        <v>#N/A</v>
      </c>
    </row>
    <row r="14197" spans="1:10" x14ac:dyDescent="0.25">
      <c r="A14197">
        <v>16054</v>
      </c>
      <c r="B14197" t="s">
        <v>531</v>
      </c>
      <c r="C14197">
        <v>621</v>
      </c>
      <c r="D14197">
        <v>490</v>
      </c>
      <c r="E14197">
        <v>0</v>
      </c>
      <c r="F14197">
        <v>134</v>
      </c>
      <c r="G14197">
        <v>0</v>
      </c>
      <c r="H14197" t="s">
        <v>19053</v>
      </c>
      <c r="I14197">
        <v>16054</v>
      </c>
      <c r="J14197" t="e">
        <f>VLOOKUP(E14197,DSSpieler!A:B,2,FALSE)</f>
        <v>#N/A</v>
      </c>
    </row>
    <row r="14198" spans="1:10" x14ac:dyDescent="0.25">
      <c r="A14198">
        <v>16055</v>
      </c>
      <c r="B14198" t="s">
        <v>531</v>
      </c>
      <c r="C14198">
        <v>618</v>
      </c>
      <c r="D14198">
        <v>530</v>
      </c>
      <c r="E14198">
        <v>0</v>
      </c>
      <c r="F14198">
        <v>64</v>
      </c>
      <c r="G14198">
        <v>0</v>
      </c>
      <c r="H14198" t="s">
        <v>19054</v>
      </c>
      <c r="I14198">
        <v>16055</v>
      </c>
      <c r="J14198" t="e">
        <f>VLOOKUP(E14198,DSSpieler!A:B,2,FALSE)</f>
        <v>#N/A</v>
      </c>
    </row>
    <row r="14199" spans="1:10" x14ac:dyDescent="0.25">
      <c r="A14199">
        <v>16057</v>
      </c>
      <c r="B14199" t="s">
        <v>531</v>
      </c>
      <c r="C14199">
        <v>412</v>
      </c>
      <c r="D14199">
        <v>585</v>
      </c>
      <c r="E14199">
        <v>0</v>
      </c>
      <c r="F14199">
        <v>373</v>
      </c>
      <c r="G14199">
        <v>0</v>
      </c>
      <c r="H14199" t="s">
        <v>19055</v>
      </c>
      <c r="I14199">
        <v>16057</v>
      </c>
      <c r="J14199" t="e">
        <f>VLOOKUP(E14199,DSSpieler!A:B,2,FALSE)</f>
        <v>#N/A</v>
      </c>
    </row>
    <row r="14200" spans="1:10" x14ac:dyDescent="0.25">
      <c r="A14200">
        <v>16059</v>
      </c>
      <c r="B14200" t="s">
        <v>531</v>
      </c>
      <c r="C14200">
        <v>470</v>
      </c>
      <c r="D14200">
        <v>381</v>
      </c>
      <c r="E14200">
        <v>0</v>
      </c>
      <c r="F14200">
        <v>639</v>
      </c>
      <c r="G14200">
        <v>0</v>
      </c>
      <c r="H14200" t="s">
        <v>19056</v>
      </c>
      <c r="I14200">
        <v>16059</v>
      </c>
      <c r="J14200" t="e">
        <f>VLOOKUP(E14200,DSSpieler!A:B,2,FALSE)</f>
        <v>#N/A</v>
      </c>
    </row>
    <row r="14201" spans="1:10" x14ac:dyDescent="0.25">
      <c r="A14201">
        <v>16060</v>
      </c>
      <c r="B14201" t="s">
        <v>531</v>
      </c>
      <c r="C14201">
        <v>614</v>
      </c>
      <c r="D14201">
        <v>454</v>
      </c>
      <c r="E14201">
        <v>0</v>
      </c>
      <c r="F14201">
        <v>259</v>
      </c>
      <c r="G14201">
        <v>0</v>
      </c>
      <c r="H14201" t="s">
        <v>19057</v>
      </c>
      <c r="I14201">
        <v>16060</v>
      </c>
      <c r="J14201" t="e">
        <f>VLOOKUP(E14201,DSSpieler!A:B,2,FALSE)</f>
        <v>#N/A</v>
      </c>
    </row>
    <row r="14202" spans="1:10" x14ac:dyDescent="0.25">
      <c r="A14202">
        <v>16061</v>
      </c>
      <c r="B14202" t="s">
        <v>531</v>
      </c>
      <c r="C14202">
        <v>410</v>
      </c>
      <c r="D14202">
        <v>422</v>
      </c>
      <c r="E14202">
        <v>0</v>
      </c>
      <c r="F14202">
        <v>908</v>
      </c>
      <c r="G14202">
        <v>0</v>
      </c>
      <c r="H14202" t="s">
        <v>19058</v>
      </c>
      <c r="I14202">
        <v>16061</v>
      </c>
      <c r="J14202" t="e">
        <f>VLOOKUP(E14202,DSSpieler!A:B,2,FALSE)</f>
        <v>#N/A</v>
      </c>
    </row>
    <row r="14203" spans="1:10" x14ac:dyDescent="0.25">
      <c r="A14203">
        <v>16062</v>
      </c>
      <c r="B14203" t="s">
        <v>2466</v>
      </c>
      <c r="C14203">
        <v>385</v>
      </c>
      <c r="D14203">
        <v>491</v>
      </c>
      <c r="E14203">
        <v>8372557</v>
      </c>
      <c r="F14203">
        <v>4513</v>
      </c>
      <c r="G14203">
        <v>0</v>
      </c>
      <c r="H14203" t="s">
        <v>19059</v>
      </c>
      <c r="I14203">
        <v>16062</v>
      </c>
      <c r="J14203" t="str">
        <f>VLOOKUP(E14203,DSSpieler!A:B,2,FALSE)</f>
        <v>Freiherr von Sternberg</v>
      </c>
    </row>
    <row r="14204" spans="1:10" x14ac:dyDescent="0.25">
      <c r="A14204">
        <v>16063</v>
      </c>
      <c r="B14204" t="s">
        <v>531</v>
      </c>
      <c r="C14204">
        <v>417</v>
      </c>
      <c r="D14204">
        <v>417</v>
      </c>
      <c r="E14204">
        <v>0</v>
      </c>
      <c r="F14204">
        <v>291</v>
      </c>
      <c r="G14204">
        <v>0</v>
      </c>
      <c r="H14204" t="s">
        <v>19060</v>
      </c>
      <c r="I14204">
        <v>16063</v>
      </c>
      <c r="J14204" t="e">
        <f>VLOOKUP(E14204,DSSpieler!A:B,2,FALSE)</f>
        <v>#N/A</v>
      </c>
    </row>
    <row r="14205" spans="1:10" x14ac:dyDescent="0.25">
      <c r="A14205">
        <v>16064</v>
      </c>
      <c r="B14205">
        <v>3</v>
      </c>
      <c r="C14205">
        <v>612</v>
      </c>
      <c r="D14205">
        <v>448</v>
      </c>
      <c r="E14205">
        <v>1790768</v>
      </c>
      <c r="F14205">
        <v>2454</v>
      </c>
      <c r="G14205">
        <v>0</v>
      </c>
      <c r="H14205" t="s">
        <v>19061</v>
      </c>
      <c r="I14205">
        <v>16064</v>
      </c>
      <c r="J14205" t="str">
        <f>VLOOKUP(E14205,DSSpieler!A:B,2,FALSE)</f>
        <v>afa11</v>
      </c>
    </row>
    <row r="14206" spans="1:10" x14ac:dyDescent="0.25">
      <c r="A14206">
        <v>16065</v>
      </c>
      <c r="B14206" t="s">
        <v>613</v>
      </c>
      <c r="C14206">
        <v>396</v>
      </c>
      <c r="D14206">
        <v>487</v>
      </c>
      <c r="E14206">
        <v>1577198960</v>
      </c>
      <c r="F14206">
        <v>2088</v>
      </c>
      <c r="G14206">
        <v>0</v>
      </c>
      <c r="H14206" t="s">
        <v>453</v>
      </c>
      <c r="I14206">
        <v>16065</v>
      </c>
      <c r="J14206" t="str">
        <f>VLOOKUP(E14206,DSSpieler!A:B,2,FALSE)</f>
        <v>Soleya</v>
      </c>
    </row>
    <row r="14207" spans="1:10" x14ac:dyDescent="0.25">
      <c r="A14207">
        <v>16066</v>
      </c>
      <c r="B14207" t="s">
        <v>2467</v>
      </c>
      <c r="C14207">
        <v>532</v>
      </c>
      <c r="D14207">
        <v>382</v>
      </c>
      <c r="E14207">
        <v>1576963824</v>
      </c>
      <c r="F14207">
        <v>2178</v>
      </c>
      <c r="G14207">
        <v>0</v>
      </c>
      <c r="H14207" t="s">
        <v>19062</v>
      </c>
      <c r="I14207">
        <v>16066</v>
      </c>
      <c r="J14207" t="str">
        <f>VLOOKUP(E14207,DSSpieler!A:B,2,FALSE)</f>
        <v>rowo</v>
      </c>
    </row>
    <row r="14208" spans="1:10" x14ac:dyDescent="0.25">
      <c r="A14208">
        <v>16067</v>
      </c>
      <c r="B14208" t="s">
        <v>531</v>
      </c>
      <c r="C14208">
        <v>593</v>
      </c>
      <c r="D14208">
        <v>575</v>
      </c>
      <c r="E14208">
        <v>0</v>
      </c>
      <c r="F14208">
        <v>721</v>
      </c>
      <c r="G14208">
        <v>0</v>
      </c>
      <c r="H14208" t="s">
        <v>19063</v>
      </c>
      <c r="I14208">
        <v>16067</v>
      </c>
      <c r="J14208" t="e">
        <f>VLOOKUP(E14208,DSSpieler!A:B,2,FALSE)</f>
        <v>#N/A</v>
      </c>
    </row>
    <row r="14209" spans="1:10" x14ac:dyDescent="0.25">
      <c r="A14209">
        <v>16069</v>
      </c>
      <c r="B14209" t="s">
        <v>35234</v>
      </c>
      <c r="C14209">
        <v>593</v>
      </c>
      <c r="D14209">
        <v>425</v>
      </c>
      <c r="E14209">
        <v>1577118786</v>
      </c>
      <c r="F14209">
        <v>26</v>
      </c>
      <c r="G14209">
        <v>0</v>
      </c>
      <c r="H14209" t="s">
        <v>19064</v>
      </c>
      <c r="I14209">
        <v>16069</v>
      </c>
      <c r="J14209" t="str">
        <f>VLOOKUP(E14209,DSSpieler!A:B,2,FALSE)</f>
        <v>imschn</v>
      </c>
    </row>
    <row r="14210" spans="1:10" x14ac:dyDescent="0.25">
      <c r="A14210">
        <v>16070</v>
      </c>
      <c r="B14210" t="s">
        <v>531</v>
      </c>
      <c r="C14210">
        <v>555</v>
      </c>
      <c r="D14210">
        <v>394</v>
      </c>
      <c r="E14210">
        <v>0</v>
      </c>
      <c r="F14210">
        <v>232</v>
      </c>
      <c r="G14210">
        <v>0</v>
      </c>
      <c r="H14210" t="s">
        <v>19065</v>
      </c>
      <c r="I14210">
        <v>16070</v>
      </c>
      <c r="J14210" t="e">
        <f>VLOOKUP(E14210,DSSpieler!A:B,2,FALSE)</f>
        <v>#N/A</v>
      </c>
    </row>
    <row r="14211" spans="1:10" x14ac:dyDescent="0.25">
      <c r="A14211">
        <v>16071</v>
      </c>
      <c r="B14211" t="s">
        <v>531</v>
      </c>
      <c r="C14211">
        <v>620</v>
      </c>
      <c r="D14211">
        <v>488</v>
      </c>
      <c r="E14211">
        <v>0</v>
      </c>
      <c r="F14211">
        <v>76</v>
      </c>
      <c r="G14211">
        <v>0</v>
      </c>
      <c r="H14211" t="s">
        <v>19066</v>
      </c>
      <c r="I14211">
        <v>16071</v>
      </c>
      <c r="J14211" t="e">
        <f>VLOOKUP(E14211,DSSpieler!A:B,2,FALSE)</f>
        <v>#N/A</v>
      </c>
    </row>
    <row r="14212" spans="1:10" x14ac:dyDescent="0.25">
      <c r="A14212">
        <v>16072</v>
      </c>
      <c r="B14212" t="s">
        <v>31159</v>
      </c>
      <c r="C14212">
        <v>595</v>
      </c>
      <c r="D14212">
        <v>576</v>
      </c>
      <c r="E14212">
        <v>1577193872</v>
      </c>
      <c r="F14212">
        <v>4371</v>
      </c>
      <c r="G14212">
        <v>0</v>
      </c>
      <c r="H14212" t="s">
        <v>19067</v>
      </c>
      <c r="I14212">
        <v>16072</v>
      </c>
      <c r="J14212" t="str">
        <f>VLOOKUP(E14212,DSSpieler!A:B,2,FALSE)</f>
        <v>PHMU</v>
      </c>
    </row>
    <row r="14213" spans="1:10" x14ac:dyDescent="0.25">
      <c r="A14213">
        <v>16073</v>
      </c>
      <c r="B14213" t="s">
        <v>35235</v>
      </c>
      <c r="C14213">
        <v>536</v>
      </c>
      <c r="D14213">
        <v>615</v>
      </c>
      <c r="E14213">
        <v>1577177793</v>
      </c>
      <c r="F14213">
        <v>26</v>
      </c>
      <c r="G14213">
        <v>0</v>
      </c>
      <c r="H14213" t="s">
        <v>19068</v>
      </c>
      <c r="I14213">
        <v>16073</v>
      </c>
      <c r="J14213" t="str">
        <f>VLOOKUP(E14213,DSSpieler!A:B,2,FALSE)</f>
        <v>avavi</v>
      </c>
    </row>
    <row r="14214" spans="1:10" x14ac:dyDescent="0.25">
      <c r="A14214">
        <v>16074</v>
      </c>
      <c r="B14214" t="s">
        <v>531</v>
      </c>
      <c r="C14214">
        <v>389</v>
      </c>
      <c r="D14214">
        <v>449</v>
      </c>
      <c r="E14214">
        <v>0</v>
      </c>
      <c r="F14214">
        <v>130</v>
      </c>
      <c r="G14214">
        <v>0</v>
      </c>
      <c r="H14214" t="s">
        <v>19069</v>
      </c>
      <c r="I14214">
        <v>16074</v>
      </c>
      <c r="J14214" t="e">
        <f>VLOOKUP(E14214,DSSpieler!A:B,2,FALSE)</f>
        <v>#N/A</v>
      </c>
    </row>
    <row r="14215" spans="1:10" x14ac:dyDescent="0.25">
      <c r="A14215">
        <v>16075</v>
      </c>
      <c r="B14215" t="s">
        <v>531</v>
      </c>
      <c r="C14215">
        <v>591</v>
      </c>
      <c r="D14215">
        <v>423</v>
      </c>
      <c r="E14215">
        <v>0</v>
      </c>
      <c r="F14215">
        <v>402</v>
      </c>
      <c r="G14215">
        <v>0</v>
      </c>
      <c r="H14215" t="s">
        <v>19070</v>
      </c>
      <c r="I14215">
        <v>16075</v>
      </c>
      <c r="J14215" t="e">
        <f>VLOOKUP(E14215,DSSpieler!A:B,2,FALSE)</f>
        <v>#N/A</v>
      </c>
    </row>
    <row r="14216" spans="1:10" x14ac:dyDescent="0.25">
      <c r="A14216">
        <v>16076</v>
      </c>
      <c r="B14216" t="s">
        <v>30622</v>
      </c>
      <c r="C14216">
        <v>560</v>
      </c>
      <c r="D14216">
        <v>595</v>
      </c>
      <c r="E14216">
        <v>1577162918</v>
      </c>
      <c r="F14216">
        <v>1954</v>
      </c>
      <c r="G14216">
        <v>0</v>
      </c>
      <c r="H14216" t="s">
        <v>19071</v>
      </c>
      <c r="I14216">
        <v>16076</v>
      </c>
      <c r="J14216" t="str">
        <f>VLOOKUP(E14216,DSSpieler!A:B,2,FALSE)</f>
        <v>Jonas617</v>
      </c>
    </row>
    <row r="14217" spans="1:10" x14ac:dyDescent="0.25">
      <c r="A14217">
        <v>16077</v>
      </c>
      <c r="B14217">
        <v>1</v>
      </c>
      <c r="C14217">
        <v>580</v>
      </c>
      <c r="D14217">
        <v>590</v>
      </c>
      <c r="E14217">
        <v>2302059</v>
      </c>
      <c r="F14217">
        <v>3426</v>
      </c>
      <c r="G14217">
        <v>0</v>
      </c>
      <c r="H14217" t="s">
        <v>19072</v>
      </c>
      <c r="I14217">
        <v>16077</v>
      </c>
      <c r="J14217" t="str">
        <f>VLOOKUP(E14217,DSSpieler!A:B,2,FALSE)</f>
        <v>Vallian</v>
      </c>
    </row>
    <row r="14218" spans="1:10" x14ac:dyDescent="0.25">
      <c r="A14218">
        <v>16078</v>
      </c>
      <c r="B14218" t="s">
        <v>35236</v>
      </c>
      <c r="C14218">
        <v>463</v>
      </c>
      <c r="D14218">
        <v>386</v>
      </c>
      <c r="E14218">
        <v>1577203526</v>
      </c>
      <c r="F14218">
        <v>26</v>
      </c>
      <c r="G14218">
        <v>0</v>
      </c>
      <c r="H14218" t="s">
        <v>19073</v>
      </c>
      <c r="I14218">
        <v>16078</v>
      </c>
      <c r="J14218" t="str">
        <f>VLOOKUP(E14218,DSSpieler!A:B,2,FALSE)</f>
        <v>neble</v>
      </c>
    </row>
    <row r="14219" spans="1:10" x14ac:dyDescent="0.25">
      <c r="A14219">
        <v>16079</v>
      </c>
      <c r="B14219" t="s">
        <v>35237</v>
      </c>
      <c r="C14219">
        <v>597</v>
      </c>
      <c r="D14219">
        <v>575</v>
      </c>
      <c r="E14219">
        <v>1577202451</v>
      </c>
      <c r="F14219">
        <v>2075</v>
      </c>
      <c r="G14219">
        <v>0</v>
      </c>
      <c r="H14219" t="s">
        <v>19074</v>
      </c>
      <c r="I14219">
        <v>16079</v>
      </c>
      <c r="J14219" t="str">
        <f>VLOOKUP(E14219,DSSpieler!A:B,2,FALSE)</f>
        <v>Kamoi</v>
      </c>
    </row>
    <row r="14220" spans="1:10" x14ac:dyDescent="0.25">
      <c r="A14220">
        <v>16080</v>
      </c>
      <c r="B14220" t="s">
        <v>531</v>
      </c>
      <c r="C14220">
        <v>562</v>
      </c>
      <c r="D14220">
        <v>605</v>
      </c>
      <c r="E14220">
        <v>0</v>
      </c>
      <c r="F14220">
        <v>470</v>
      </c>
      <c r="G14220">
        <v>0</v>
      </c>
      <c r="H14220" t="s">
        <v>19075</v>
      </c>
      <c r="I14220">
        <v>16080</v>
      </c>
      <c r="J14220" t="e">
        <f>VLOOKUP(E14220,DSSpieler!A:B,2,FALSE)</f>
        <v>#N/A</v>
      </c>
    </row>
    <row r="14221" spans="1:10" x14ac:dyDescent="0.25">
      <c r="A14221">
        <v>16081</v>
      </c>
      <c r="B14221" t="s">
        <v>531</v>
      </c>
      <c r="C14221">
        <v>511</v>
      </c>
      <c r="D14221">
        <v>379</v>
      </c>
      <c r="E14221">
        <v>0</v>
      </c>
      <c r="F14221">
        <v>202</v>
      </c>
      <c r="G14221">
        <v>0</v>
      </c>
      <c r="H14221" t="s">
        <v>19076</v>
      </c>
      <c r="I14221">
        <v>16081</v>
      </c>
      <c r="J14221" t="e">
        <f>VLOOKUP(E14221,DSSpieler!A:B,2,FALSE)</f>
        <v>#N/A</v>
      </c>
    </row>
    <row r="14222" spans="1:10" x14ac:dyDescent="0.25">
      <c r="A14222">
        <v>16082</v>
      </c>
      <c r="B14222" t="s">
        <v>35238</v>
      </c>
      <c r="C14222">
        <v>385</v>
      </c>
      <c r="D14222">
        <v>535</v>
      </c>
      <c r="E14222">
        <v>1577102819</v>
      </c>
      <c r="F14222">
        <v>66</v>
      </c>
      <c r="G14222">
        <v>0</v>
      </c>
      <c r="H14222" t="s">
        <v>19077</v>
      </c>
      <c r="I14222">
        <v>16082</v>
      </c>
      <c r="J14222" t="str">
        <f>VLOOKUP(E14222,DSSpieler!A:B,2,FALSE)</f>
        <v>FvN1899</v>
      </c>
    </row>
    <row r="14223" spans="1:10" x14ac:dyDescent="0.25">
      <c r="A14223">
        <v>16083</v>
      </c>
      <c r="B14223" t="s">
        <v>531</v>
      </c>
      <c r="C14223">
        <v>615</v>
      </c>
      <c r="D14223">
        <v>530</v>
      </c>
      <c r="E14223">
        <v>0</v>
      </c>
      <c r="F14223">
        <v>114</v>
      </c>
      <c r="G14223">
        <v>0</v>
      </c>
      <c r="H14223" t="s">
        <v>19078</v>
      </c>
      <c r="I14223">
        <v>16083</v>
      </c>
      <c r="J14223" t="e">
        <f>VLOOKUP(E14223,DSSpieler!A:B,2,FALSE)</f>
        <v>#N/A</v>
      </c>
    </row>
    <row r="14224" spans="1:10" x14ac:dyDescent="0.25">
      <c r="A14224">
        <v>16084</v>
      </c>
      <c r="B14224" t="s">
        <v>2468</v>
      </c>
      <c r="C14224">
        <v>507</v>
      </c>
      <c r="D14224">
        <v>382</v>
      </c>
      <c r="E14224">
        <v>1577203551</v>
      </c>
      <c r="F14224">
        <v>1566</v>
      </c>
      <c r="G14224">
        <v>0</v>
      </c>
      <c r="H14224" t="s">
        <v>19079</v>
      </c>
      <c r="I14224">
        <v>16084</v>
      </c>
      <c r="J14224" t="str">
        <f>VLOOKUP(E14224,DSSpieler!A:B,2,FALSE)</f>
        <v>Ronald the Raper</v>
      </c>
    </row>
    <row r="14225" spans="1:10" x14ac:dyDescent="0.25">
      <c r="A14225">
        <v>16085</v>
      </c>
      <c r="B14225" t="s">
        <v>35239</v>
      </c>
      <c r="C14225">
        <v>378</v>
      </c>
      <c r="D14225">
        <v>513</v>
      </c>
      <c r="E14225">
        <v>1480582</v>
      </c>
      <c r="F14225">
        <v>4385</v>
      </c>
      <c r="G14225">
        <v>0</v>
      </c>
      <c r="H14225" t="s">
        <v>19080</v>
      </c>
      <c r="I14225">
        <v>16085</v>
      </c>
      <c r="J14225" t="str">
        <f>VLOOKUP(E14225,DSSpieler!A:B,2,FALSE)</f>
        <v>alu73</v>
      </c>
    </row>
    <row r="14226" spans="1:10" x14ac:dyDescent="0.25">
      <c r="A14226">
        <v>16086</v>
      </c>
      <c r="B14226" t="s">
        <v>2469</v>
      </c>
      <c r="C14226">
        <v>504</v>
      </c>
      <c r="D14226">
        <v>378</v>
      </c>
      <c r="E14226">
        <v>1577203555</v>
      </c>
      <c r="F14226">
        <v>1986</v>
      </c>
      <c r="G14226">
        <v>0</v>
      </c>
      <c r="H14226" t="s">
        <v>19081</v>
      </c>
      <c r="I14226">
        <v>16086</v>
      </c>
      <c r="J14226" t="str">
        <f>VLOOKUP(E14226,DSSpieler!A:B,2,FALSE)</f>
        <v>GlockOuDroTop</v>
      </c>
    </row>
    <row r="14227" spans="1:10" x14ac:dyDescent="0.25">
      <c r="A14227">
        <v>16087</v>
      </c>
      <c r="B14227" t="s">
        <v>531</v>
      </c>
      <c r="C14227">
        <v>378</v>
      </c>
      <c r="D14227">
        <v>486</v>
      </c>
      <c r="E14227">
        <v>0</v>
      </c>
      <c r="F14227">
        <v>90</v>
      </c>
      <c r="G14227">
        <v>0</v>
      </c>
      <c r="H14227" t="s">
        <v>19082</v>
      </c>
      <c r="I14227">
        <v>16087</v>
      </c>
      <c r="J14227" t="e">
        <f>VLOOKUP(E14227,DSSpieler!A:B,2,FALSE)</f>
        <v>#N/A</v>
      </c>
    </row>
    <row r="14228" spans="1:10" x14ac:dyDescent="0.25">
      <c r="A14228">
        <v>16088</v>
      </c>
      <c r="B14228" t="s">
        <v>531</v>
      </c>
      <c r="C14228">
        <v>398</v>
      </c>
      <c r="D14228">
        <v>559</v>
      </c>
      <c r="E14228">
        <v>0</v>
      </c>
      <c r="F14228">
        <v>223</v>
      </c>
      <c r="G14228">
        <v>0</v>
      </c>
      <c r="H14228" t="s">
        <v>19083</v>
      </c>
      <c r="I14228">
        <v>16088</v>
      </c>
      <c r="J14228" t="e">
        <f>VLOOKUP(E14228,DSSpieler!A:B,2,FALSE)</f>
        <v>#N/A</v>
      </c>
    </row>
    <row r="14229" spans="1:10" x14ac:dyDescent="0.25">
      <c r="A14229">
        <v>16089</v>
      </c>
      <c r="B14229">
        <v>222</v>
      </c>
      <c r="C14229">
        <v>608</v>
      </c>
      <c r="D14229">
        <v>453</v>
      </c>
      <c r="E14229">
        <v>1577187246</v>
      </c>
      <c r="F14229">
        <v>1548</v>
      </c>
      <c r="G14229">
        <v>0</v>
      </c>
      <c r="H14229" t="s">
        <v>19084</v>
      </c>
      <c r="I14229">
        <v>16089</v>
      </c>
      <c r="J14229" t="str">
        <f>VLOOKUP(E14229,DSSpieler!A:B,2,FALSE)</f>
        <v>alteeer</v>
      </c>
    </row>
    <row r="14230" spans="1:10" x14ac:dyDescent="0.25">
      <c r="A14230">
        <v>16090</v>
      </c>
      <c r="B14230" t="s">
        <v>35240</v>
      </c>
      <c r="C14230">
        <v>588</v>
      </c>
      <c r="D14230">
        <v>417</v>
      </c>
      <c r="E14230">
        <v>1577076487</v>
      </c>
      <c r="F14230">
        <v>465</v>
      </c>
      <c r="G14230">
        <v>0</v>
      </c>
      <c r="H14230" t="s">
        <v>19085</v>
      </c>
      <c r="I14230">
        <v>16090</v>
      </c>
      <c r="J14230" t="str">
        <f>VLOOKUP(E14230,DSSpieler!A:B,2,FALSE)</f>
        <v>König ritter wittstock</v>
      </c>
    </row>
    <row r="14231" spans="1:10" x14ac:dyDescent="0.25">
      <c r="A14231">
        <v>16091</v>
      </c>
      <c r="B14231" t="s">
        <v>531</v>
      </c>
      <c r="C14231">
        <v>613</v>
      </c>
      <c r="D14231">
        <v>543</v>
      </c>
      <c r="E14231">
        <v>0</v>
      </c>
      <c r="F14231">
        <v>94</v>
      </c>
      <c r="G14231">
        <v>0</v>
      </c>
      <c r="H14231" t="s">
        <v>19086</v>
      </c>
      <c r="I14231">
        <v>16091</v>
      </c>
      <c r="J14231" t="e">
        <f>VLOOKUP(E14231,DSSpieler!A:B,2,FALSE)</f>
        <v>#N/A</v>
      </c>
    </row>
    <row r="14232" spans="1:10" x14ac:dyDescent="0.25">
      <c r="A14232">
        <v>16092</v>
      </c>
      <c r="B14232" t="s">
        <v>531</v>
      </c>
      <c r="C14232">
        <v>498</v>
      </c>
      <c r="D14232">
        <v>623</v>
      </c>
      <c r="E14232">
        <v>0</v>
      </c>
      <c r="F14232">
        <v>244</v>
      </c>
      <c r="G14232">
        <v>0</v>
      </c>
      <c r="H14232" t="s">
        <v>19087</v>
      </c>
      <c r="I14232">
        <v>16092</v>
      </c>
      <c r="J14232" t="e">
        <f>VLOOKUP(E14232,DSSpieler!A:B,2,FALSE)</f>
        <v>#N/A</v>
      </c>
    </row>
    <row r="14233" spans="1:10" x14ac:dyDescent="0.25">
      <c r="A14233">
        <v>16093</v>
      </c>
      <c r="B14233" t="s">
        <v>2470</v>
      </c>
      <c r="C14233">
        <v>412</v>
      </c>
      <c r="D14233">
        <v>419</v>
      </c>
      <c r="E14233">
        <v>1577202272</v>
      </c>
      <c r="F14233">
        <v>737</v>
      </c>
      <c r="G14233">
        <v>0</v>
      </c>
      <c r="H14233" t="s">
        <v>19088</v>
      </c>
      <c r="I14233">
        <v>16093</v>
      </c>
      <c r="J14233" t="str">
        <f>VLOOKUP(E14233,DSSpieler!A:B,2,FALSE)</f>
        <v>König Rexo</v>
      </c>
    </row>
    <row r="14234" spans="1:10" x14ac:dyDescent="0.25">
      <c r="A14234">
        <v>16094</v>
      </c>
      <c r="B14234" t="s">
        <v>531</v>
      </c>
      <c r="C14234">
        <v>618</v>
      </c>
      <c r="D14234">
        <v>511</v>
      </c>
      <c r="E14234">
        <v>1576728802</v>
      </c>
      <c r="F14234">
        <v>520</v>
      </c>
      <c r="G14234">
        <v>0</v>
      </c>
      <c r="H14234" t="s">
        <v>19089</v>
      </c>
      <c r="I14234">
        <v>16094</v>
      </c>
      <c r="J14234" t="str">
        <f>VLOOKUP(E14234,DSSpieler!A:B,2,FALSE)</f>
        <v>ac10003</v>
      </c>
    </row>
    <row r="14235" spans="1:10" x14ac:dyDescent="0.25">
      <c r="A14235">
        <v>16095</v>
      </c>
      <c r="B14235" t="s">
        <v>2471</v>
      </c>
      <c r="C14235">
        <v>541</v>
      </c>
      <c r="D14235">
        <v>387</v>
      </c>
      <c r="E14235">
        <v>1577098485</v>
      </c>
      <c r="F14235">
        <v>2713</v>
      </c>
      <c r="G14235">
        <v>0</v>
      </c>
      <c r="H14235" t="s">
        <v>19090</v>
      </c>
      <c r="I14235">
        <v>16095</v>
      </c>
      <c r="J14235" t="str">
        <f>VLOOKUP(E14235,DSSpieler!A:B,2,FALSE)</f>
        <v>Passing</v>
      </c>
    </row>
    <row r="14236" spans="1:10" x14ac:dyDescent="0.25">
      <c r="A14236">
        <v>16096</v>
      </c>
      <c r="B14236" t="s">
        <v>35241</v>
      </c>
      <c r="C14236">
        <v>434</v>
      </c>
      <c r="D14236">
        <v>597</v>
      </c>
      <c r="E14236">
        <v>1576114840</v>
      </c>
      <c r="F14236">
        <v>961</v>
      </c>
      <c r="G14236">
        <v>0</v>
      </c>
      <c r="H14236" t="s">
        <v>19091</v>
      </c>
      <c r="I14236">
        <v>16096</v>
      </c>
      <c r="J14236" t="str">
        <f>VLOOKUP(E14236,DSSpieler!A:B,2,FALSE)</f>
        <v>maxwell.</v>
      </c>
    </row>
    <row r="14237" spans="1:10" x14ac:dyDescent="0.25">
      <c r="A14237">
        <v>16097</v>
      </c>
      <c r="B14237" t="s">
        <v>531</v>
      </c>
      <c r="C14237">
        <v>619</v>
      </c>
      <c r="D14237">
        <v>498</v>
      </c>
      <c r="E14237">
        <v>0</v>
      </c>
      <c r="F14237">
        <v>235</v>
      </c>
      <c r="G14237">
        <v>0</v>
      </c>
      <c r="H14237" t="s">
        <v>19092</v>
      </c>
      <c r="I14237">
        <v>16097</v>
      </c>
      <c r="J14237" t="e">
        <f>VLOOKUP(E14237,DSSpieler!A:B,2,FALSE)</f>
        <v>#N/A</v>
      </c>
    </row>
    <row r="14238" spans="1:10" x14ac:dyDescent="0.25">
      <c r="A14238">
        <v>16098</v>
      </c>
      <c r="B14238" t="s">
        <v>531</v>
      </c>
      <c r="C14238">
        <v>456</v>
      </c>
      <c r="D14238">
        <v>612</v>
      </c>
      <c r="E14238">
        <v>0</v>
      </c>
      <c r="F14238">
        <v>80</v>
      </c>
      <c r="G14238">
        <v>0</v>
      </c>
      <c r="H14238" t="s">
        <v>19093</v>
      </c>
      <c r="I14238">
        <v>16098</v>
      </c>
      <c r="J14238" t="e">
        <f>VLOOKUP(E14238,DSSpieler!A:B,2,FALSE)</f>
        <v>#N/A</v>
      </c>
    </row>
    <row r="14239" spans="1:10" x14ac:dyDescent="0.25">
      <c r="A14239">
        <v>16099</v>
      </c>
      <c r="B14239" t="s">
        <v>34811</v>
      </c>
      <c r="C14239">
        <v>587</v>
      </c>
      <c r="D14239">
        <v>579</v>
      </c>
      <c r="E14239">
        <v>1577155354</v>
      </c>
      <c r="F14239">
        <v>3125</v>
      </c>
      <c r="G14239">
        <v>0</v>
      </c>
      <c r="H14239" t="s">
        <v>19094</v>
      </c>
      <c r="I14239">
        <v>16099</v>
      </c>
      <c r="J14239" t="str">
        <f>VLOOKUP(E14239,DSSpieler!A:B,2,FALSE)</f>
        <v>Kulturbanause</v>
      </c>
    </row>
    <row r="14240" spans="1:10" x14ac:dyDescent="0.25">
      <c r="A14240">
        <v>16100</v>
      </c>
      <c r="B14240" t="s">
        <v>2472</v>
      </c>
      <c r="C14240">
        <v>402</v>
      </c>
      <c r="D14240">
        <v>534</v>
      </c>
      <c r="E14240">
        <v>1577203601</v>
      </c>
      <c r="F14240">
        <v>1155</v>
      </c>
      <c r="G14240">
        <v>0</v>
      </c>
      <c r="H14240" t="s">
        <v>19095</v>
      </c>
      <c r="I14240">
        <v>16100</v>
      </c>
      <c r="J14240" t="str">
        <f>VLOOKUP(E14240,DSSpieler!A:B,2,FALSE)</f>
        <v>Marco1197</v>
      </c>
    </row>
    <row r="14241" spans="1:10" x14ac:dyDescent="0.25">
      <c r="A14241">
        <v>16102</v>
      </c>
      <c r="B14241" t="s">
        <v>531</v>
      </c>
      <c r="C14241">
        <v>570</v>
      </c>
      <c r="D14241">
        <v>404</v>
      </c>
      <c r="E14241">
        <v>0</v>
      </c>
      <c r="F14241">
        <v>208</v>
      </c>
      <c r="G14241">
        <v>0</v>
      </c>
      <c r="H14241" t="s">
        <v>19096</v>
      </c>
      <c r="I14241">
        <v>16102</v>
      </c>
      <c r="J14241" t="e">
        <f>VLOOKUP(E14241,DSSpieler!A:B,2,FALSE)</f>
        <v>#N/A</v>
      </c>
    </row>
    <row r="14242" spans="1:10" x14ac:dyDescent="0.25">
      <c r="A14242">
        <v>16104</v>
      </c>
      <c r="B14242">
        <v>1</v>
      </c>
      <c r="C14242">
        <v>620</v>
      </c>
      <c r="D14242">
        <v>504</v>
      </c>
      <c r="E14242">
        <v>1577203615</v>
      </c>
      <c r="F14242">
        <v>1785</v>
      </c>
      <c r="G14242">
        <v>0</v>
      </c>
      <c r="H14242" t="s">
        <v>19097</v>
      </c>
      <c r="I14242">
        <v>16104</v>
      </c>
      <c r="J14242" t="str">
        <f>VLOOKUP(E14242,DSSpieler!A:B,2,FALSE)</f>
        <v>Feldhai</v>
      </c>
    </row>
    <row r="14243" spans="1:10" x14ac:dyDescent="0.25">
      <c r="A14243">
        <v>16105</v>
      </c>
      <c r="B14243" t="s">
        <v>531</v>
      </c>
      <c r="C14243">
        <v>395</v>
      </c>
      <c r="D14243">
        <v>555</v>
      </c>
      <c r="E14243">
        <v>0</v>
      </c>
      <c r="F14243">
        <v>448</v>
      </c>
      <c r="G14243">
        <v>0</v>
      </c>
      <c r="H14243" t="s">
        <v>19098</v>
      </c>
      <c r="I14243">
        <v>16105</v>
      </c>
      <c r="J14243" t="e">
        <f>VLOOKUP(E14243,DSSpieler!A:B,2,FALSE)</f>
        <v>#N/A</v>
      </c>
    </row>
    <row r="14244" spans="1:10" x14ac:dyDescent="0.25">
      <c r="A14244">
        <v>16106</v>
      </c>
      <c r="B14244" t="s">
        <v>35242</v>
      </c>
      <c r="C14244">
        <v>506</v>
      </c>
      <c r="D14244">
        <v>622</v>
      </c>
      <c r="E14244">
        <v>10286045</v>
      </c>
      <c r="F14244">
        <v>26</v>
      </c>
      <c r="G14244">
        <v>0</v>
      </c>
      <c r="H14244" t="s">
        <v>19099</v>
      </c>
      <c r="I14244">
        <v>16106</v>
      </c>
      <c r="J14244" t="str">
        <f>VLOOKUP(E14244,DSSpieler!A:B,2,FALSE)</f>
        <v>einsamer Wolf54</v>
      </c>
    </row>
    <row r="14245" spans="1:10" x14ac:dyDescent="0.25">
      <c r="A14245">
        <v>16108</v>
      </c>
      <c r="B14245" t="s">
        <v>30481</v>
      </c>
      <c r="C14245">
        <v>568</v>
      </c>
      <c r="D14245">
        <v>403</v>
      </c>
      <c r="E14245">
        <v>1577161990</v>
      </c>
      <c r="F14245">
        <v>3409</v>
      </c>
      <c r="G14245">
        <v>0</v>
      </c>
      <c r="H14245" t="s">
        <v>19100</v>
      </c>
      <c r="I14245">
        <v>16108</v>
      </c>
      <c r="J14245" t="str">
        <f>VLOOKUP(E14245,DSSpieler!A:B,2,FALSE)</f>
        <v>Big Boss 69</v>
      </c>
    </row>
    <row r="14246" spans="1:10" x14ac:dyDescent="0.25">
      <c r="A14246">
        <v>16109</v>
      </c>
      <c r="B14246" t="s">
        <v>35243</v>
      </c>
      <c r="C14246">
        <v>477</v>
      </c>
      <c r="D14246">
        <v>619</v>
      </c>
      <c r="E14246">
        <v>1577203620</v>
      </c>
      <c r="F14246">
        <v>3519</v>
      </c>
      <c r="G14246">
        <v>0</v>
      </c>
      <c r="H14246" t="s">
        <v>19101</v>
      </c>
      <c r="I14246">
        <v>16109</v>
      </c>
      <c r="J14246" t="str">
        <f>VLOOKUP(E14246,DSSpieler!A:B,2,FALSE)</f>
        <v>Darry</v>
      </c>
    </row>
    <row r="14247" spans="1:10" x14ac:dyDescent="0.25">
      <c r="A14247">
        <v>16110</v>
      </c>
      <c r="B14247" t="s">
        <v>35244</v>
      </c>
      <c r="C14247">
        <v>427</v>
      </c>
      <c r="D14247">
        <v>566</v>
      </c>
      <c r="E14247">
        <v>1577139072</v>
      </c>
      <c r="F14247">
        <v>2964</v>
      </c>
      <c r="G14247">
        <v>0</v>
      </c>
      <c r="H14247" t="s">
        <v>19102</v>
      </c>
      <c r="I14247">
        <v>16110</v>
      </c>
      <c r="J14247" t="str">
        <f>VLOOKUP(E14247,DSSpieler!A:B,2,FALSE)</f>
        <v>Imochdiplatt</v>
      </c>
    </row>
    <row r="14248" spans="1:10" x14ac:dyDescent="0.25">
      <c r="A14248">
        <v>16111</v>
      </c>
      <c r="B14248" t="s">
        <v>531</v>
      </c>
      <c r="C14248">
        <v>424</v>
      </c>
      <c r="D14248">
        <v>592</v>
      </c>
      <c r="E14248">
        <v>0</v>
      </c>
      <c r="F14248">
        <v>335</v>
      </c>
      <c r="G14248">
        <v>0</v>
      </c>
      <c r="H14248" t="s">
        <v>19103</v>
      </c>
      <c r="I14248">
        <v>16111</v>
      </c>
      <c r="J14248" t="e">
        <f>VLOOKUP(E14248,DSSpieler!A:B,2,FALSE)</f>
        <v>#N/A</v>
      </c>
    </row>
    <row r="14249" spans="1:10" x14ac:dyDescent="0.25">
      <c r="A14249">
        <v>16112</v>
      </c>
      <c r="B14249" t="s">
        <v>531</v>
      </c>
      <c r="C14249">
        <v>446</v>
      </c>
      <c r="D14249">
        <v>605</v>
      </c>
      <c r="E14249">
        <v>0</v>
      </c>
      <c r="F14249">
        <v>125</v>
      </c>
      <c r="G14249">
        <v>0</v>
      </c>
      <c r="H14249" t="s">
        <v>19104</v>
      </c>
      <c r="I14249">
        <v>16112</v>
      </c>
      <c r="J14249" t="e">
        <f>VLOOKUP(E14249,DSSpieler!A:B,2,FALSE)</f>
        <v>#N/A</v>
      </c>
    </row>
    <row r="14250" spans="1:10" x14ac:dyDescent="0.25">
      <c r="A14250">
        <v>16113</v>
      </c>
      <c r="B14250" t="s">
        <v>2473</v>
      </c>
      <c r="C14250">
        <v>509</v>
      </c>
      <c r="D14250">
        <v>468</v>
      </c>
      <c r="E14250">
        <v>1577203632</v>
      </c>
      <c r="F14250">
        <v>503</v>
      </c>
      <c r="G14250">
        <v>0</v>
      </c>
      <c r="H14250" t="s">
        <v>19105</v>
      </c>
      <c r="I14250">
        <v>16113</v>
      </c>
      <c r="J14250" t="str">
        <f>VLOOKUP(E14250,DSSpieler!A:B,2,FALSE)</f>
        <v>Pedacore1000</v>
      </c>
    </row>
    <row r="14251" spans="1:10" x14ac:dyDescent="0.25">
      <c r="A14251">
        <v>16114</v>
      </c>
      <c r="B14251" t="s">
        <v>2474</v>
      </c>
      <c r="C14251">
        <v>570</v>
      </c>
      <c r="D14251">
        <v>604</v>
      </c>
      <c r="E14251">
        <v>2513190</v>
      </c>
      <c r="F14251">
        <v>2444</v>
      </c>
      <c r="G14251">
        <v>0</v>
      </c>
      <c r="H14251" t="s">
        <v>19106</v>
      </c>
      <c r="I14251">
        <v>16114</v>
      </c>
      <c r="J14251" t="str">
        <f>VLOOKUP(E14251,DSSpieler!A:B,2,FALSE)</f>
        <v>Groschatau</v>
      </c>
    </row>
    <row r="14252" spans="1:10" x14ac:dyDescent="0.25">
      <c r="A14252">
        <v>16115</v>
      </c>
      <c r="B14252" t="s">
        <v>35245</v>
      </c>
      <c r="C14252">
        <v>381</v>
      </c>
      <c r="D14252">
        <v>466</v>
      </c>
      <c r="E14252">
        <v>1577190555</v>
      </c>
      <c r="F14252">
        <v>4292</v>
      </c>
      <c r="G14252">
        <v>0</v>
      </c>
      <c r="H14252" t="s">
        <v>512</v>
      </c>
      <c r="I14252">
        <v>16115</v>
      </c>
      <c r="J14252" t="str">
        <f>VLOOKUP(E14252,DSSpieler!A:B,2,FALSE)</f>
        <v>Invader80</v>
      </c>
    </row>
    <row r="14253" spans="1:10" x14ac:dyDescent="0.25">
      <c r="A14253">
        <v>16116</v>
      </c>
      <c r="B14253" t="s">
        <v>35246</v>
      </c>
      <c r="C14253">
        <v>533</v>
      </c>
      <c r="D14253">
        <v>382</v>
      </c>
      <c r="E14253">
        <v>7951778</v>
      </c>
      <c r="F14253">
        <v>1075</v>
      </c>
      <c r="G14253">
        <v>0</v>
      </c>
      <c r="H14253" t="s">
        <v>19107</v>
      </c>
      <c r="I14253">
        <v>16116</v>
      </c>
      <c r="J14253" t="str">
        <f>VLOOKUP(E14253,DSSpieler!A:B,2,FALSE)</f>
        <v>Süsse Sandra</v>
      </c>
    </row>
    <row r="14254" spans="1:10" x14ac:dyDescent="0.25">
      <c r="A14254">
        <v>16117</v>
      </c>
      <c r="B14254" t="s">
        <v>35247</v>
      </c>
      <c r="C14254">
        <v>387</v>
      </c>
      <c r="D14254">
        <v>458</v>
      </c>
      <c r="E14254">
        <v>8036229</v>
      </c>
      <c r="F14254">
        <v>4507</v>
      </c>
      <c r="G14254">
        <v>0</v>
      </c>
      <c r="H14254" t="s">
        <v>511</v>
      </c>
      <c r="I14254">
        <v>16117</v>
      </c>
      <c r="J14254" t="str">
        <f>VLOOKUP(E14254,DSSpieler!A:B,2,FALSE)</f>
        <v>Lipsiator</v>
      </c>
    </row>
    <row r="14255" spans="1:10" x14ac:dyDescent="0.25">
      <c r="A14255">
        <v>16118</v>
      </c>
      <c r="B14255" t="s">
        <v>531</v>
      </c>
      <c r="C14255">
        <v>568</v>
      </c>
      <c r="D14255">
        <v>502</v>
      </c>
      <c r="E14255">
        <v>0</v>
      </c>
      <c r="F14255">
        <v>115</v>
      </c>
      <c r="G14255">
        <v>0</v>
      </c>
      <c r="H14255" t="s">
        <v>19108</v>
      </c>
      <c r="I14255">
        <v>16118</v>
      </c>
      <c r="J14255" t="e">
        <f>VLOOKUP(E14255,DSSpieler!A:B,2,FALSE)</f>
        <v>#N/A</v>
      </c>
    </row>
    <row r="14256" spans="1:10" x14ac:dyDescent="0.25">
      <c r="A14256">
        <v>16119</v>
      </c>
      <c r="B14256" t="s">
        <v>34665</v>
      </c>
      <c r="C14256">
        <v>436</v>
      </c>
      <c r="D14256">
        <v>396</v>
      </c>
      <c r="E14256">
        <v>3055612</v>
      </c>
      <c r="F14256">
        <v>2545</v>
      </c>
      <c r="G14256">
        <v>0</v>
      </c>
      <c r="H14256" t="s">
        <v>19109</v>
      </c>
      <c r="I14256">
        <v>16119</v>
      </c>
      <c r="J14256" t="str">
        <f>VLOOKUP(E14256,DSSpieler!A:B,2,FALSE)</f>
        <v>ressus der I</v>
      </c>
    </row>
    <row r="14257" spans="1:10" x14ac:dyDescent="0.25">
      <c r="A14257">
        <v>16120</v>
      </c>
      <c r="B14257" t="s">
        <v>35248</v>
      </c>
      <c r="C14257">
        <v>494</v>
      </c>
      <c r="D14257">
        <v>622</v>
      </c>
      <c r="E14257">
        <v>1577202300</v>
      </c>
      <c r="F14257">
        <v>1751</v>
      </c>
      <c r="G14257">
        <v>0</v>
      </c>
      <c r="H14257" t="s">
        <v>19110</v>
      </c>
      <c r="I14257">
        <v>16120</v>
      </c>
      <c r="J14257" t="str">
        <f>VLOOKUP(E14257,DSSpieler!A:B,2,FALSE)</f>
        <v>Amin</v>
      </c>
    </row>
    <row r="14258" spans="1:10" x14ac:dyDescent="0.25">
      <c r="A14258">
        <v>16121</v>
      </c>
      <c r="B14258" t="s">
        <v>35249</v>
      </c>
      <c r="C14258">
        <v>485</v>
      </c>
      <c r="D14258">
        <v>617</v>
      </c>
      <c r="E14258">
        <v>1577201921</v>
      </c>
      <c r="F14258">
        <v>617</v>
      </c>
      <c r="G14258">
        <v>0</v>
      </c>
      <c r="H14258" t="s">
        <v>19111</v>
      </c>
      <c r="I14258">
        <v>16121</v>
      </c>
      <c r="J14258" t="str">
        <f>VLOOKUP(E14258,DSSpieler!A:B,2,FALSE)</f>
        <v>Murx</v>
      </c>
    </row>
    <row r="14259" spans="1:10" x14ac:dyDescent="0.25">
      <c r="A14259">
        <v>16122</v>
      </c>
      <c r="B14259" t="s">
        <v>35250</v>
      </c>
      <c r="C14259">
        <v>578</v>
      </c>
      <c r="D14259">
        <v>511</v>
      </c>
      <c r="E14259">
        <v>1577203648</v>
      </c>
      <c r="F14259">
        <v>4589</v>
      </c>
      <c r="G14259">
        <v>0</v>
      </c>
      <c r="H14259" t="s">
        <v>19112</v>
      </c>
      <c r="I14259">
        <v>16122</v>
      </c>
      <c r="J14259" t="str">
        <f>VLOOKUP(E14259,DSSpieler!A:B,2,FALSE)</f>
        <v>MyphisTheKing</v>
      </c>
    </row>
    <row r="14260" spans="1:10" x14ac:dyDescent="0.25">
      <c r="A14260">
        <v>16123</v>
      </c>
      <c r="B14260" t="s">
        <v>531</v>
      </c>
      <c r="C14260">
        <v>543</v>
      </c>
      <c r="D14260">
        <v>615</v>
      </c>
      <c r="E14260">
        <v>0</v>
      </c>
      <c r="F14260">
        <v>245</v>
      </c>
      <c r="G14260">
        <v>0</v>
      </c>
      <c r="H14260" t="s">
        <v>19113</v>
      </c>
      <c r="I14260">
        <v>16123</v>
      </c>
      <c r="J14260" t="e">
        <f>VLOOKUP(E14260,DSSpieler!A:B,2,FALSE)</f>
        <v>#N/A</v>
      </c>
    </row>
    <row r="14261" spans="1:10" x14ac:dyDescent="0.25">
      <c r="A14261">
        <v>16124</v>
      </c>
      <c r="B14261" t="s">
        <v>35251</v>
      </c>
      <c r="C14261">
        <v>397</v>
      </c>
      <c r="D14261">
        <v>566</v>
      </c>
      <c r="E14261">
        <v>1711657</v>
      </c>
      <c r="F14261">
        <v>664</v>
      </c>
      <c r="G14261">
        <v>0</v>
      </c>
      <c r="H14261" t="s">
        <v>19114</v>
      </c>
      <c r="I14261">
        <v>16124</v>
      </c>
      <c r="J14261" t="str">
        <f>VLOOKUP(E14261,DSSpieler!A:B,2,FALSE)</f>
        <v>-.ShocK.-</v>
      </c>
    </row>
    <row r="14262" spans="1:10" x14ac:dyDescent="0.25">
      <c r="A14262">
        <v>16126</v>
      </c>
      <c r="B14262" t="s">
        <v>35252</v>
      </c>
      <c r="C14262">
        <v>416</v>
      </c>
      <c r="D14262">
        <v>410</v>
      </c>
      <c r="E14262">
        <v>1577201327</v>
      </c>
      <c r="F14262">
        <v>624</v>
      </c>
      <c r="G14262">
        <v>0</v>
      </c>
      <c r="H14262" t="s">
        <v>19115</v>
      </c>
      <c r="I14262">
        <v>16126</v>
      </c>
      <c r="J14262" t="str">
        <f>VLOOKUP(E14262,DSSpieler!A:B,2,FALSE)</f>
        <v>Jo98hannes</v>
      </c>
    </row>
    <row r="14263" spans="1:10" x14ac:dyDescent="0.25">
      <c r="A14263">
        <v>16127</v>
      </c>
      <c r="B14263" t="s">
        <v>2475</v>
      </c>
      <c r="C14263">
        <v>619</v>
      </c>
      <c r="D14263">
        <v>514</v>
      </c>
      <c r="E14263">
        <v>8618504</v>
      </c>
      <c r="F14263">
        <v>3464</v>
      </c>
      <c r="G14263">
        <v>0</v>
      </c>
      <c r="H14263" t="s">
        <v>19116</v>
      </c>
      <c r="I14263">
        <v>16127</v>
      </c>
      <c r="J14263" t="str">
        <f>VLOOKUP(E14263,DSSpieler!A:B,2,FALSE)</f>
        <v>Cuij</v>
      </c>
    </row>
    <row r="14264" spans="1:10" x14ac:dyDescent="0.25">
      <c r="A14264">
        <v>16128</v>
      </c>
      <c r="B14264" t="s">
        <v>531</v>
      </c>
      <c r="C14264">
        <v>621</v>
      </c>
      <c r="D14264">
        <v>488</v>
      </c>
      <c r="E14264">
        <v>0</v>
      </c>
      <c r="F14264">
        <v>244</v>
      </c>
      <c r="G14264">
        <v>0</v>
      </c>
      <c r="H14264" t="s">
        <v>19117</v>
      </c>
      <c r="I14264">
        <v>16128</v>
      </c>
      <c r="J14264" t="e">
        <f>VLOOKUP(E14264,DSSpieler!A:B,2,FALSE)</f>
        <v>#N/A</v>
      </c>
    </row>
    <row r="14265" spans="1:10" x14ac:dyDescent="0.25">
      <c r="A14265">
        <v>16130</v>
      </c>
      <c r="B14265" t="s">
        <v>531</v>
      </c>
      <c r="C14265">
        <v>380</v>
      </c>
      <c r="D14265">
        <v>504</v>
      </c>
      <c r="E14265">
        <v>0</v>
      </c>
      <c r="F14265">
        <v>307</v>
      </c>
      <c r="G14265">
        <v>0</v>
      </c>
      <c r="H14265" t="s">
        <v>19118</v>
      </c>
      <c r="I14265">
        <v>16130</v>
      </c>
      <c r="J14265" t="e">
        <f>VLOOKUP(E14265,DSSpieler!A:B,2,FALSE)</f>
        <v>#N/A</v>
      </c>
    </row>
    <row r="14266" spans="1:10" x14ac:dyDescent="0.25">
      <c r="A14266">
        <v>16131</v>
      </c>
      <c r="B14266" t="s">
        <v>35253</v>
      </c>
      <c r="C14266">
        <v>611</v>
      </c>
      <c r="D14266">
        <v>552</v>
      </c>
      <c r="E14266">
        <v>1576260277</v>
      </c>
      <c r="F14266">
        <v>286</v>
      </c>
      <c r="G14266">
        <v>0</v>
      </c>
      <c r="H14266" t="s">
        <v>19119</v>
      </c>
      <c r="I14266">
        <v>16131</v>
      </c>
      <c r="J14266" t="str">
        <f>VLOOKUP(E14266,DSSpieler!A:B,2,FALSE)</f>
        <v>Pfandwart88</v>
      </c>
    </row>
    <row r="14267" spans="1:10" x14ac:dyDescent="0.25">
      <c r="A14267">
        <v>16132</v>
      </c>
      <c r="B14267" t="s">
        <v>531</v>
      </c>
      <c r="C14267">
        <v>562</v>
      </c>
      <c r="D14267">
        <v>399</v>
      </c>
      <c r="E14267">
        <v>0</v>
      </c>
      <c r="F14267">
        <v>87</v>
      </c>
      <c r="G14267">
        <v>0</v>
      </c>
      <c r="H14267" t="s">
        <v>19120</v>
      </c>
      <c r="I14267">
        <v>16132</v>
      </c>
      <c r="J14267" t="e">
        <f>VLOOKUP(E14267,DSSpieler!A:B,2,FALSE)</f>
        <v>#N/A</v>
      </c>
    </row>
    <row r="14268" spans="1:10" x14ac:dyDescent="0.25">
      <c r="A14268">
        <v>16134</v>
      </c>
      <c r="B14268" t="s">
        <v>531</v>
      </c>
      <c r="C14268">
        <v>540</v>
      </c>
      <c r="D14268">
        <v>387</v>
      </c>
      <c r="E14268">
        <v>0</v>
      </c>
      <c r="F14268">
        <v>49</v>
      </c>
      <c r="G14268">
        <v>0</v>
      </c>
      <c r="H14268" t="s">
        <v>19121</v>
      </c>
      <c r="I14268">
        <v>16134</v>
      </c>
      <c r="J14268" t="e">
        <f>VLOOKUP(E14268,DSSpieler!A:B,2,FALSE)</f>
        <v>#N/A</v>
      </c>
    </row>
    <row r="14269" spans="1:10" x14ac:dyDescent="0.25">
      <c r="A14269">
        <v>16138</v>
      </c>
      <c r="B14269" t="s">
        <v>531</v>
      </c>
      <c r="C14269">
        <v>427</v>
      </c>
      <c r="D14269">
        <v>404</v>
      </c>
      <c r="E14269">
        <v>0</v>
      </c>
      <c r="F14269">
        <v>124</v>
      </c>
      <c r="G14269">
        <v>0</v>
      </c>
      <c r="H14269" t="s">
        <v>19122</v>
      </c>
      <c r="I14269">
        <v>16138</v>
      </c>
      <c r="J14269" t="e">
        <f>VLOOKUP(E14269,DSSpieler!A:B,2,FALSE)</f>
        <v>#N/A</v>
      </c>
    </row>
    <row r="14270" spans="1:10" x14ac:dyDescent="0.25">
      <c r="A14270">
        <v>16139</v>
      </c>
      <c r="B14270" t="s">
        <v>531</v>
      </c>
      <c r="C14270">
        <v>382</v>
      </c>
      <c r="D14270">
        <v>509</v>
      </c>
      <c r="E14270">
        <v>0</v>
      </c>
      <c r="F14270">
        <v>70</v>
      </c>
      <c r="G14270">
        <v>0</v>
      </c>
      <c r="H14270" t="s">
        <v>19123</v>
      </c>
      <c r="I14270">
        <v>16139</v>
      </c>
      <c r="J14270" t="e">
        <f>VLOOKUP(E14270,DSSpieler!A:B,2,FALSE)</f>
        <v>#N/A</v>
      </c>
    </row>
    <row r="14271" spans="1:10" x14ac:dyDescent="0.25">
      <c r="A14271">
        <v>16140</v>
      </c>
      <c r="B14271" t="s">
        <v>35254</v>
      </c>
      <c r="C14271">
        <v>495</v>
      </c>
      <c r="D14271">
        <v>620</v>
      </c>
      <c r="E14271">
        <v>9613683</v>
      </c>
      <c r="F14271">
        <v>3328</v>
      </c>
      <c r="G14271">
        <v>0</v>
      </c>
      <c r="H14271" t="s">
        <v>19124</v>
      </c>
      <c r="I14271">
        <v>16140</v>
      </c>
      <c r="J14271" t="str">
        <f>VLOOKUP(E14271,DSSpieler!A:B,2,FALSE)</f>
        <v>As High As Honor</v>
      </c>
    </row>
    <row r="14272" spans="1:10" x14ac:dyDescent="0.25">
      <c r="A14272">
        <v>16141</v>
      </c>
      <c r="B14272">
        <v>1</v>
      </c>
      <c r="C14272">
        <v>420</v>
      </c>
      <c r="D14272">
        <v>586</v>
      </c>
      <c r="E14272">
        <v>1577137896</v>
      </c>
      <c r="F14272">
        <v>2457</v>
      </c>
      <c r="G14272">
        <v>0</v>
      </c>
      <c r="H14272" t="s">
        <v>19125</v>
      </c>
      <c r="I14272">
        <v>16141</v>
      </c>
      <c r="J14272" t="str">
        <f>VLOOKUP(E14272,DSSpieler!A:B,2,FALSE)</f>
        <v>KingNorbi</v>
      </c>
    </row>
    <row r="14273" spans="1:10" x14ac:dyDescent="0.25">
      <c r="A14273">
        <v>16142</v>
      </c>
      <c r="B14273" t="s">
        <v>2476</v>
      </c>
      <c r="C14273">
        <v>466</v>
      </c>
      <c r="D14273">
        <v>616</v>
      </c>
      <c r="E14273">
        <v>1577203680</v>
      </c>
      <c r="F14273">
        <v>2338</v>
      </c>
      <c r="G14273">
        <v>0</v>
      </c>
      <c r="H14273" t="s">
        <v>19126</v>
      </c>
      <c r="I14273">
        <v>16142</v>
      </c>
      <c r="J14273" t="str">
        <f>VLOOKUP(E14273,DSSpieler!A:B,2,FALSE)</f>
        <v>Viperfeeling</v>
      </c>
    </row>
    <row r="14274" spans="1:10" x14ac:dyDescent="0.25">
      <c r="A14274">
        <v>16143</v>
      </c>
      <c r="B14274" t="s">
        <v>35255</v>
      </c>
      <c r="C14274">
        <v>529</v>
      </c>
      <c r="D14274">
        <v>507</v>
      </c>
      <c r="E14274">
        <v>1577203684</v>
      </c>
      <c r="F14274">
        <v>185</v>
      </c>
      <c r="G14274">
        <v>0</v>
      </c>
      <c r="H14274" t="s">
        <v>19127</v>
      </c>
      <c r="I14274">
        <v>16143</v>
      </c>
      <c r="J14274" t="str">
        <f>VLOOKUP(E14274,DSSpieler!A:B,2,FALSE)</f>
        <v>Deam</v>
      </c>
    </row>
    <row r="14275" spans="1:10" x14ac:dyDescent="0.25">
      <c r="A14275">
        <v>16144</v>
      </c>
      <c r="B14275" t="s">
        <v>531</v>
      </c>
      <c r="C14275">
        <v>391</v>
      </c>
      <c r="D14275">
        <v>448</v>
      </c>
      <c r="E14275">
        <v>0</v>
      </c>
      <c r="F14275">
        <v>699</v>
      </c>
      <c r="G14275">
        <v>0</v>
      </c>
      <c r="H14275" t="s">
        <v>19128</v>
      </c>
      <c r="I14275">
        <v>16144</v>
      </c>
      <c r="J14275" t="e">
        <f>VLOOKUP(E14275,DSSpieler!A:B,2,FALSE)</f>
        <v>#N/A</v>
      </c>
    </row>
    <row r="14276" spans="1:10" x14ac:dyDescent="0.25">
      <c r="A14276">
        <v>16145</v>
      </c>
      <c r="B14276" t="s">
        <v>531</v>
      </c>
      <c r="C14276">
        <v>434</v>
      </c>
      <c r="D14276">
        <v>602</v>
      </c>
      <c r="E14276">
        <v>0</v>
      </c>
      <c r="F14276">
        <v>217</v>
      </c>
      <c r="G14276">
        <v>0</v>
      </c>
      <c r="H14276" t="s">
        <v>19129</v>
      </c>
      <c r="I14276">
        <v>16145</v>
      </c>
      <c r="J14276" t="e">
        <f>VLOOKUP(E14276,DSSpieler!A:B,2,FALSE)</f>
        <v>#N/A</v>
      </c>
    </row>
    <row r="14277" spans="1:10" x14ac:dyDescent="0.25">
      <c r="A14277">
        <v>16146</v>
      </c>
      <c r="B14277" t="s">
        <v>35256</v>
      </c>
      <c r="C14277">
        <v>516</v>
      </c>
      <c r="D14277">
        <v>382</v>
      </c>
      <c r="E14277">
        <v>1577192259</v>
      </c>
      <c r="F14277">
        <v>1333</v>
      </c>
      <c r="G14277">
        <v>0</v>
      </c>
      <c r="H14277" t="s">
        <v>19130</v>
      </c>
      <c r="I14277">
        <v>16146</v>
      </c>
      <c r="J14277" t="str">
        <f>VLOOKUP(E14277,DSSpieler!A:B,2,FALSE)</f>
        <v>hptmBuck</v>
      </c>
    </row>
    <row r="14278" spans="1:10" x14ac:dyDescent="0.25">
      <c r="A14278">
        <v>16147</v>
      </c>
      <c r="B14278" t="s">
        <v>35257</v>
      </c>
      <c r="C14278">
        <v>388</v>
      </c>
      <c r="D14278">
        <v>508</v>
      </c>
      <c r="E14278">
        <v>1576147930</v>
      </c>
      <c r="F14278">
        <v>715</v>
      </c>
      <c r="G14278">
        <v>0</v>
      </c>
      <c r="H14278" t="s">
        <v>19131</v>
      </c>
      <c r="I14278">
        <v>16147</v>
      </c>
      <c r="J14278" t="str">
        <f>VLOOKUP(E14278,DSSpieler!A:B,2,FALSE)</f>
        <v>Fruchtsaftschorle</v>
      </c>
    </row>
    <row r="14279" spans="1:10" x14ac:dyDescent="0.25">
      <c r="A14279">
        <v>16148</v>
      </c>
      <c r="B14279" t="s">
        <v>35258</v>
      </c>
      <c r="C14279">
        <v>449</v>
      </c>
      <c r="D14279">
        <v>388</v>
      </c>
      <c r="E14279">
        <v>1780900</v>
      </c>
      <c r="F14279">
        <v>722</v>
      </c>
      <c r="G14279">
        <v>0</v>
      </c>
      <c r="H14279" t="s">
        <v>19132</v>
      </c>
      <c r="I14279">
        <v>16148</v>
      </c>
      <c r="J14279" t="str">
        <f>VLOOKUP(E14279,DSSpieler!A:B,2,FALSE)</f>
        <v>Hlinka10</v>
      </c>
    </row>
    <row r="14280" spans="1:10" x14ac:dyDescent="0.25">
      <c r="A14280">
        <v>16149</v>
      </c>
      <c r="B14280" t="s">
        <v>2477</v>
      </c>
      <c r="C14280">
        <v>398</v>
      </c>
      <c r="D14280">
        <v>561</v>
      </c>
      <c r="E14280">
        <v>1576513182</v>
      </c>
      <c r="F14280">
        <v>760</v>
      </c>
      <c r="G14280">
        <v>0</v>
      </c>
      <c r="H14280" t="s">
        <v>19133</v>
      </c>
      <c r="I14280">
        <v>16149</v>
      </c>
      <c r="J14280" t="str">
        <f>VLOOKUP(E14280,DSSpieler!A:B,2,FALSE)</f>
        <v>Trollingislife</v>
      </c>
    </row>
    <row r="14281" spans="1:10" x14ac:dyDescent="0.25">
      <c r="A14281">
        <v>16150</v>
      </c>
      <c r="B14281" t="s">
        <v>35259</v>
      </c>
      <c r="C14281">
        <v>387</v>
      </c>
      <c r="D14281">
        <v>548</v>
      </c>
      <c r="E14281">
        <v>1576655476</v>
      </c>
      <c r="F14281">
        <v>2171</v>
      </c>
      <c r="G14281">
        <v>0</v>
      </c>
      <c r="H14281" t="s">
        <v>19134</v>
      </c>
      <c r="I14281">
        <v>16150</v>
      </c>
      <c r="J14281" t="str">
        <f>VLOOKUP(E14281,DSSpieler!A:B,2,FALSE)</f>
        <v>Antey</v>
      </c>
    </row>
    <row r="14282" spans="1:10" x14ac:dyDescent="0.25">
      <c r="A14282">
        <v>16151</v>
      </c>
      <c r="B14282" t="s">
        <v>531</v>
      </c>
      <c r="C14282">
        <v>453</v>
      </c>
      <c r="D14282">
        <v>387</v>
      </c>
      <c r="E14282">
        <v>0</v>
      </c>
      <c r="F14282">
        <v>190</v>
      </c>
      <c r="G14282">
        <v>0</v>
      </c>
      <c r="H14282" t="s">
        <v>19135</v>
      </c>
      <c r="I14282">
        <v>16151</v>
      </c>
      <c r="J14282" t="e">
        <f>VLOOKUP(E14282,DSSpieler!A:B,2,FALSE)</f>
        <v>#N/A</v>
      </c>
    </row>
    <row r="14283" spans="1:10" x14ac:dyDescent="0.25">
      <c r="A14283">
        <v>16153</v>
      </c>
      <c r="B14283" t="s">
        <v>1977</v>
      </c>
      <c r="C14283">
        <v>483</v>
      </c>
      <c r="D14283">
        <v>620</v>
      </c>
      <c r="E14283">
        <v>9960007</v>
      </c>
      <c r="F14283">
        <v>1758</v>
      </c>
      <c r="G14283">
        <v>0</v>
      </c>
      <c r="H14283" t="s">
        <v>19136</v>
      </c>
      <c r="I14283">
        <v>16153</v>
      </c>
      <c r="J14283" t="str">
        <f>VLOOKUP(E14283,DSSpieler!A:B,2,FALSE)</f>
        <v>stigokiller</v>
      </c>
    </row>
    <row r="14284" spans="1:10" x14ac:dyDescent="0.25">
      <c r="A14284">
        <v>16154</v>
      </c>
      <c r="B14284" t="s">
        <v>531</v>
      </c>
      <c r="C14284">
        <v>490</v>
      </c>
      <c r="D14284">
        <v>378</v>
      </c>
      <c r="E14284">
        <v>0</v>
      </c>
      <c r="F14284">
        <v>225</v>
      </c>
      <c r="G14284">
        <v>0</v>
      </c>
      <c r="H14284" t="s">
        <v>19137</v>
      </c>
      <c r="I14284">
        <v>16154</v>
      </c>
      <c r="J14284" t="e">
        <f>VLOOKUP(E14284,DSSpieler!A:B,2,FALSE)</f>
        <v>#N/A</v>
      </c>
    </row>
    <row r="14285" spans="1:10" x14ac:dyDescent="0.25">
      <c r="A14285">
        <v>16155</v>
      </c>
      <c r="B14285" t="s">
        <v>531</v>
      </c>
      <c r="C14285">
        <v>380</v>
      </c>
      <c r="D14285">
        <v>490</v>
      </c>
      <c r="E14285">
        <v>0</v>
      </c>
      <c r="F14285">
        <v>390</v>
      </c>
      <c r="G14285">
        <v>0</v>
      </c>
      <c r="H14285" t="s">
        <v>19138</v>
      </c>
      <c r="I14285">
        <v>16155</v>
      </c>
      <c r="J14285" t="e">
        <f>VLOOKUP(E14285,DSSpieler!A:B,2,FALSE)</f>
        <v>#N/A</v>
      </c>
    </row>
    <row r="14286" spans="1:10" x14ac:dyDescent="0.25">
      <c r="A14286">
        <v>16156</v>
      </c>
      <c r="B14286" t="s">
        <v>531</v>
      </c>
      <c r="C14286">
        <v>461</v>
      </c>
      <c r="D14286">
        <v>612</v>
      </c>
      <c r="E14286">
        <v>0</v>
      </c>
      <c r="F14286">
        <v>70</v>
      </c>
      <c r="G14286">
        <v>0</v>
      </c>
      <c r="H14286" t="s">
        <v>19139</v>
      </c>
      <c r="I14286">
        <v>16156</v>
      </c>
      <c r="J14286" t="e">
        <f>VLOOKUP(E14286,DSSpieler!A:B,2,FALSE)</f>
        <v>#N/A</v>
      </c>
    </row>
    <row r="14287" spans="1:10" x14ac:dyDescent="0.25">
      <c r="A14287">
        <v>16157</v>
      </c>
      <c r="B14287" t="s">
        <v>531</v>
      </c>
      <c r="C14287">
        <v>544</v>
      </c>
      <c r="D14287">
        <v>386</v>
      </c>
      <c r="E14287">
        <v>0</v>
      </c>
      <c r="F14287">
        <v>127</v>
      </c>
      <c r="G14287">
        <v>0</v>
      </c>
      <c r="H14287" t="s">
        <v>19140</v>
      </c>
      <c r="I14287">
        <v>16157</v>
      </c>
      <c r="J14287" t="e">
        <f>VLOOKUP(E14287,DSSpieler!A:B,2,FALSE)</f>
        <v>#N/A</v>
      </c>
    </row>
    <row r="14288" spans="1:10" x14ac:dyDescent="0.25">
      <c r="A14288">
        <v>16158</v>
      </c>
      <c r="B14288" t="s">
        <v>35260</v>
      </c>
      <c r="C14288">
        <v>522</v>
      </c>
      <c r="D14288">
        <v>508</v>
      </c>
      <c r="E14288">
        <v>8945393</v>
      </c>
      <c r="F14288">
        <v>2429</v>
      </c>
      <c r="G14288">
        <v>0</v>
      </c>
      <c r="H14288" t="s">
        <v>19141</v>
      </c>
      <c r="I14288">
        <v>16158</v>
      </c>
      <c r="J14288" t="str">
        <f>VLOOKUP(E14288,DSSpieler!A:B,2,FALSE)</f>
        <v>Maus-15</v>
      </c>
    </row>
    <row r="14289" spans="1:10" x14ac:dyDescent="0.25">
      <c r="A14289">
        <v>16159</v>
      </c>
      <c r="B14289" t="s">
        <v>35261</v>
      </c>
      <c r="C14289">
        <v>609</v>
      </c>
      <c r="D14289">
        <v>553</v>
      </c>
      <c r="E14289">
        <v>1577014152</v>
      </c>
      <c r="F14289">
        <v>91</v>
      </c>
      <c r="G14289">
        <v>0</v>
      </c>
      <c r="H14289" t="s">
        <v>19142</v>
      </c>
      <c r="I14289">
        <v>16159</v>
      </c>
      <c r="J14289" t="str">
        <f>VLOOKUP(E14289,DSSpieler!A:B,2,FALSE)</f>
        <v>Achillesx</v>
      </c>
    </row>
    <row r="14290" spans="1:10" x14ac:dyDescent="0.25">
      <c r="A14290">
        <v>16160</v>
      </c>
      <c r="B14290" t="s">
        <v>35262</v>
      </c>
      <c r="C14290">
        <v>553</v>
      </c>
      <c r="D14290">
        <v>393</v>
      </c>
      <c r="E14290">
        <v>1577085413</v>
      </c>
      <c r="F14290">
        <v>2777</v>
      </c>
      <c r="G14290">
        <v>0</v>
      </c>
      <c r="H14290" t="s">
        <v>19143</v>
      </c>
      <c r="I14290">
        <v>16160</v>
      </c>
      <c r="J14290" t="str">
        <f>VLOOKUP(E14290,DSSpieler!A:B,2,FALSE)</f>
        <v>thompson10</v>
      </c>
    </row>
    <row r="14291" spans="1:10" x14ac:dyDescent="0.25">
      <c r="A14291">
        <v>16161</v>
      </c>
      <c r="B14291" t="s">
        <v>531</v>
      </c>
      <c r="C14291">
        <v>618</v>
      </c>
      <c r="D14291">
        <v>502</v>
      </c>
      <c r="E14291">
        <v>0</v>
      </c>
      <c r="F14291">
        <v>193</v>
      </c>
      <c r="G14291">
        <v>0</v>
      </c>
      <c r="H14291" t="s">
        <v>19144</v>
      </c>
      <c r="I14291">
        <v>16161</v>
      </c>
      <c r="J14291" t="e">
        <f>VLOOKUP(E14291,DSSpieler!A:B,2,FALSE)</f>
        <v>#N/A</v>
      </c>
    </row>
    <row r="14292" spans="1:10" x14ac:dyDescent="0.25">
      <c r="A14292">
        <v>16162</v>
      </c>
      <c r="B14292" t="s">
        <v>35263</v>
      </c>
      <c r="C14292">
        <v>383</v>
      </c>
      <c r="D14292">
        <v>534</v>
      </c>
      <c r="E14292">
        <v>2865628</v>
      </c>
      <c r="F14292">
        <v>1349</v>
      </c>
      <c r="G14292">
        <v>0</v>
      </c>
      <c r="H14292" t="s">
        <v>19145</v>
      </c>
      <c r="I14292">
        <v>16162</v>
      </c>
      <c r="J14292" t="str">
        <f>VLOOKUP(E14292,DSSpieler!A:B,2,FALSE)</f>
        <v>tankris</v>
      </c>
    </row>
    <row r="14293" spans="1:10" x14ac:dyDescent="0.25">
      <c r="A14293">
        <v>16163</v>
      </c>
      <c r="B14293">
        <v>1</v>
      </c>
      <c r="C14293">
        <v>537</v>
      </c>
      <c r="D14293">
        <v>610</v>
      </c>
      <c r="E14293">
        <v>10259310</v>
      </c>
      <c r="F14293">
        <v>1675</v>
      </c>
      <c r="G14293">
        <v>0</v>
      </c>
      <c r="H14293" t="s">
        <v>19146</v>
      </c>
      <c r="I14293">
        <v>16163</v>
      </c>
      <c r="J14293" t="str">
        <f>VLOOKUP(E14293,DSSpieler!A:B,2,FALSE)</f>
        <v>Mongo6000</v>
      </c>
    </row>
    <row r="14294" spans="1:10" x14ac:dyDescent="0.25">
      <c r="A14294">
        <v>16164</v>
      </c>
      <c r="B14294" t="s">
        <v>2478</v>
      </c>
      <c r="C14294">
        <v>615</v>
      </c>
      <c r="D14294">
        <v>540</v>
      </c>
      <c r="E14294">
        <v>1577203721</v>
      </c>
      <c r="F14294">
        <v>1084</v>
      </c>
      <c r="G14294">
        <v>0</v>
      </c>
      <c r="H14294" t="s">
        <v>19147</v>
      </c>
      <c r="I14294">
        <v>16164</v>
      </c>
      <c r="J14294" t="str">
        <f>VLOOKUP(E14294,DSSpieler!A:B,2,FALSE)</f>
        <v>Shrokenbard</v>
      </c>
    </row>
    <row r="14295" spans="1:10" x14ac:dyDescent="0.25">
      <c r="A14295">
        <v>16165</v>
      </c>
      <c r="B14295" t="s">
        <v>556</v>
      </c>
      <c r="C14295">
        <v>512</v>
      </c>
      <c r="D14295">
        <v>480</v>
      </c>
      <c r="E14295">
        <v>1577190516</v>
      </c>
      <c r="F14295">
        <v>1676</v>
      </c>
      <c r="G14295">
        <v>0</v>
      </c>
      <c r="H14295" t="s">
        <v>19148</v>
      </c>
      <c r="I14295">
        <v>16165</v>
      </c>
      <c r="J14295" t="str">
        <f>VLOOKUP(E14295,DSSpieler!A:B,2,FALSE)</f>
        <v>-CHUI-</v>
      </c>
    </row>
    <row r="14296" spans="1:10" x14ac:dyDescent="0.25">
      <c r="A14296">
        <v>16166</v>
      </c>
      <c r="B14296">
        <v>1</v>
      </c>
      <c r="C14296">
        <v>622</v>
      </c>
      <c r="D14296">
        <v>502</v>
      </c>
      <c r="E14296">
        <v>8863214</v>
      </c>
      <c r="F14296">
        <v>2014</v>
      </c>
      <c r="G14296">
        <v>0</v>
      </c>
      <c r="H14296" t="s">
        <v>19149</v>
      </c>
      <c r="I14296">
        <v>16166</v>
      </c>
      <c r="J14296" t="str">
        <f>VLOOKUP(E14296,DSSpieler!A:B,2,FALSE)</f>
        <v>Enforcer41</v>
      </c>
    </row>
    <row r="14297" spans="1:10" x14ac:dyDescent="0.25">
      <c r="A14297">
        <v>16167</v>
      </c>
      <c r="B14297" t="s">
        <v>531</v>
      </c>
      <c r="C14297">
        <v>599</v>
      </c>
      <c r="D14297">
        <v>566</v>
      </c>
      <c r="E14297">
        <v>0</v>
      </c>
      <c r="F14297">
        <v>142</v>
      </c>
      <c r="G14297">
        <v>0</v>
      </c>
      <c r="H14297" t="s">
        <v>19150</v>
      </c>
      <c r="I14297">
        <v>16167</v>
      </c>
      <c r="J14297" t="e">
        <f>VLOOKUP(E14297,DSSpieler!A:B,2,FALSE)</f>
        <v>#N/A</v>
      </c>
    </row>
    <row r="14298" spans="1:10" x14ac:dyDescent="0.25">
      <c r="A14298">
        <v>16168</v>
      </c>
      <c r="B14298" t="s">
        <v>531</v>
      </c>
      <c r="C14298">
        <v>505</v>
      </c>
      <c r="D14298">
        <v>377</v>
      </c>
      <c r="E14298">
        <v>0</v>
      </c>
      <c r="F14298">
        <v>96</v>
      </c>
      <c r="G14298">
        <v>0</v>
      </c>
      <c r="H14298" t="s">
        <v>19151</v>
      </c>
      <c r="I14298">
        <v>16168</v>
      </c>
      <c r="J14298" t="e">
        <f>VLOOKUP(E14298,DSSpieler!A:B,2,FALSE)</f>
        <v>#N/A</v>
      </c>
    </row>
    <row r="14299" spans="1:10" x14ac:dyDescent="0.25">
      <c r="A14299">
        <v>16169</v>
      </c>
      <c r="B14299" t="s">
        <v>531</v>
      </c>
      <c r="C14299">
        <v>412</v>
      </c>
      <c r="D14299">
        <v>416</v>
      </c>
      <c r="E14299">
        <v>0</v>
      </c>
      <c r="F14299">
        <v>345</v>
      </c>
      <c r="G14299">
        <v>0</v>
      </c>
      <c r="H14299" t="s">
        <v>19152</v>
      </c>
      <c r="I14299">
        <v>16169</v>
      </c>
      <c r="J14299" t="e">
        <f>VLOOKUP(E14299,DSSpieler!A:B,2,FALSE)</f>
        <v>#N/A</v>
      </c>
    </row>
    <row r="14300" spans="1:10" x14ac:dyDescent="0.25">
      <c r="A14300">
        <v>16170</v>
      </c>
      <c r="B14300" t="s">
        <v>531</v>
      </c>
      <c r="C14300">
        <v>440</v>
      </c>
      <c r="D14300">
        <v>607</v>
      </c>
      <c r="E14300">
        <v>0</v>
      </c>
      <c r="F14300">
        <v>469</v>
      </c>
      <c r="G14300">
        <v>0</v>
      </c>
      <c r="H14300" t="s">
        <v>19153</v>
      </c>
      <c r="I14300">
        <v>16170</v>
      </c>
      <c r="J14300" t="e">
        <f>VLOOKUP(E14300,DSSpieler!A:B,2,FALSE)</f>
        <v>#N/A</v>
      </c>
    </row>
    <row r="14301" spans="1:10" x14ac:dyDescent="0.25">
      <c r="A14301">
        <v>16171</v>
      </c>
      <c r="B14301" t="s">
        <v>2479</v>
      </c>
      <c r="C14301">
        <v>384</v>
      </c>
      <c r="D14301">
        <v>539</v>
      </c>
      <c r="E14301">
        <v>1512868</v>
      </c>
      <c r="F14301">
        <v>2830</v>
      </c>
      <c r="G14301">
        <v>0</v>
      </c>
      <c r="H14301" t="s">
        <v>19154</v>
      </c>
      <c r="I14301">
        <v>16171</v>
      </c>
      <c r="J14301" t="str">
        <f>VLOOKUP(E14301,DSSpieler!A:B,2,FALSE)</f>
        <v>Deadman1995</v>
      </c>
    </row>
    <row r="14302" spans="1:10" x14ac:dyDescent="0.25">
      <c r="A14302">
        <v>16172</v>
      </c>
      <c r="B14302" t="s">
        <v>531</v>
      </c>
      <c r="C14302">
        <v>442</v>
      </c>
      <c r="D14302">
        <v>392</v>
      </c>
      <c r="E14302">
        <v>0</v>
      </c>
      <c r="F14302">
        <v>97</v>
      </c>
      <c r="G14302">
        <v>0</v>
      </c>
      <c r="H14302" t="s">
        <v>19155</v>
      </c>
      <c r="I14302">
        <v>16172</v>
      </c>
      <c r="J14302" t="e">
        <f>VLOOKUP(E14302,DSSpieler!A:B,2,FALSE)</f>
        <v>#N/A</v>
      </c>
    </row>
    <row r="14303" spans="1:10" x14ac:dyDescent="0.25">
      <c r="A14303">
        <v>16173</v>
      </c>
      <c r="B14303" t="s">
        <v>35264</v>
      </c>
      <c r="C14303">
        <v>425</v>
      </c>
      <c r="D14303">
        <v>597</v>
      </c>
      <c r="E14303">
        <v>1317679</v>
      </c>
      <c r="F14303">
        <v>796</v>
      </c>
      <c r="G14303">
        <v>0</v>
      </c>
      <c r="H14303" t="s">
        <v>19156</v>
      </c>
      <c r="I14303">
        <v>16173</v>
      </c>
      <c r="J14303" t="str">
        <f>VLOOKUP(E14303,DSSpieler!A:B,2,FALSE)</f>
        <v>Schatten Clan</v>
      </c>
    </row>
    <row r="14304" spans="1:10" x14ac:dyDescent="0.25">
      <c r="A14304">
        <v>16175</v>
      </c>
      <c r="B14304" t="s">
        <v>531</v>
      </c>
      <c r="C14304">
        <v>506</v>
      </c>
      <c r="D14304">
        <v>619</v>
      </c>
      <c r="E14304">
        <v>0</v>
      </c>
      <c r="F14304">
        <v>225</v>
      </c>
      <c r="G14304">
        <v>0</v>
      </c>
      <c r="H14304" t="s">
        <v>19157</v>
      </c>
      <c r="I14304">
        <v>16175</v>
      </c>
      <c r="J14304" t="e">
        <f>VLOOKUP(E14304,DSSpieler!A:B,2,FALSE)</f>
        <v>#N/A</v>
      </c>
    </row>
    <row r="14305" spans="1:10" x14ac:dyDescent="0.25">
      <c r="A14305">
        <v>16179</v>
      </c>
      <c r="B14305" t="s">
        <v>531</v>
      </c>
      <c r="C14305">
        <v>480</v>
      </c>
      <c r="D14305">
        <v>618</v>
      </c>
      <c r="E14305">
        <v>0</v>
      </c>
      <c r="F14305">
        <v>228</v>
      </c>
      <c r="G14305">
        <v>0</v>
      </c>
      <c r="H14305" t="s">
        <v>19158</v>
      </c>
      <c r="I14305">
        <v>16179</v>
      </c>
      <c r="J14305" t="e">
        <f>VLOOKUP(E14305,DSSpieler!A:B,2,FALSE)</f>
        <v>#N/A</v>
      </c>
    </row>
    <row r="14306" spans="1:10" x14ac:dyDescent="0.25">
      <c r="A14306">
        <v>16180</v>
      </c>
      <c r="B14306" t="s">
        <v>35265</v>
      </c>
      <c r="C14306">
        <v>466</v>
      </c>
      <c r="D14306">
        <v>385</v>
      </c>
      <c r="E14306">
        <v>1577195778</v>
      </c>
      <c r="F14306">
        <v>1438</v>
      </c>
      <c r="G14306">
        <v>0</v>
      </c>
      <c r="H14306" t="s">
        <v>19159</v>
      </c>
      <c r="I14306">
        <v>16180</v>
      </c>
      <c r="J14306" t="str">
        <f>VLOOKUP(E14306,DSSpieler!A:B,2,FALSE)</f>
        <v>Overdose704</v>
      </c>
    </row>
    <row r="14307" spans="1:10" x14ac:dyDescent="0.25">
      <c r="A14307">
        <v>16181</v>
      </c>
      <c r="B14307" t="s">
        <v>35266</v>
      </c>
      <c r="C14307">
        <v>618</v>
      </c>
      <c r="D14307">
        <v>483</v>
      </c>
      <c r="E14307">
        <v>10001525</v>
      </c>
      <c r="F14307">
        <v>2046</v>
      </c>
      <c r="G14307">
        <v>0</v>
      </c>
      <c r="H14307" t="s">
        <v>19160</v>
      </c>
      <c r="I14307">
        <v>16181</v>
      </c>
      <c r="J14307" t="str">
        <f>VLOOKUP(E14307,DSSpieler!A:B,2,FALSE)</f>
        <v>SirVendetta</v>
      </c>
    </row>
    <row r="14308" spans="1:10" x14ac:dyDescent="0.25">
      <c r="A14308">
        <v>16182</v>
      </c>
      <c r="B14308" t="s">
        <v>531</v>
      </c>
      <c r="C14308">
        <v>413</v>
      </c>
      <c r="D14308">
        <v>415</v>
      </c>
      <c r="E14308">
        <v>0</v>
      </c>
      <c r="F14308">
        <v>206</v>
      </c>
      <c r="G14308">
        <v>0</v>
      </c>
      <c r="H14308" t="s">
        <v>19161</v>
      </c>
      <c r="I14308">
        <v>16182</v>
      </c>
      <c r="J14308" t="e">
        <f>VLOOKUP(E14308,DSSpieler!A:B,2,FALSE)</f>
        <v>#N/A</v>
      </c>
    </row>
    <row r="14309" spans="1:10" x14ac:dyDescent="0.25">
      <c r="A14309">
        <v>16183</v>
      </c>
      <c r="B14309" t="s">
        <v>2480</v>
      </c>
      <c r="C14309">
        <v>385</v>
      </c>
      <c r="D14309">
        <v>474</v>
      </c>
      <c r="E14309">
        <v>3075885</v>
      </c>
      <c r="F14309">
        <v>3303</v>
      </c>
      <c r="G14309">
        <v>0</v>
      </c>
      <c r="H14309" t="s">
        <v>513</v>
      </c>
      <c r="I14309">
        <v>16183</v>
      </c>
      <c r="J14309" t="str">
        <f>VLOOKUP(E14309,DSSpieler!A:B,2,FALSE)</f>
        <v>Kiffelowbob</v>
      </c>
    </row>
    <row r="14310" spans="1:10" x14ac:dyDescent="0.25">
      <c r="A14310">
        <v>16184</v>
      </c>
      <c r="B14310" t="s">
        <v>531</v>
      </c>
      <c r="C14310">
        <v>592</v>
      </c>
      <c r="D14310">
        <v>420</v>
      </c>
      <c r="E14310">
        <v>0</v>
      </c>
      <c r="F14310">
        <v>193</v>
      </c>
      <c r="G14310">
        <v>0</v>
      </c>
      <c r="H14310" t="s">
        <v>19162</v>
      </c>
      <c r="I14310">
        <v>16184</v>
      </c>
      <c r="J14310" t="e">
        <f>VLOOKUP(E14310,DSSpieler!A:B,2,FALSE)</f>
        <v>#N/A</v>
      </c>
    </row>
    <row r="14311" spans="1:10" x14ac:dyDescent="0.25">
      <c r="A14311">
        <v>16185</v>
      </c>
      <c r="B14311" t="s">
        <v>35267</v>
      </c>
      <c r="C14311">
        <v>589</v>
      </c>
      <c r="D14311">
        <v>416</v>
      </c>
      <c r="E14311">
        <v>9765485</v>
      </c>
      <c r="F14311">
        <v>3072</v>
      </c>
      <c r="G14311">
        <v>0</v>
      </c>
      <c r="H14311" t="s">
        <v>19163</v>
      </c>
      <c r="I14311">
        <v>16185</v>
      </c>
      <c r="J14311" t="str">
        <f>VLOOKUP(E14311,DSSpieler!A:B,2,FALSE)</f>
        <v>Drekotta</v>
      </c>
    </row>
    <row r="14312" spans="1:10" x14ac:dyDescent="0.25">
      <c r="A14312">
        <v>16187</v>
      </c>
      <c r="B14312" t="s">
        <v>531</v>
      </c>
      <c r="C14312">
        <v>619</v>
      </c>
      <c r="D14312">
        <v>477</v>
      </c>
      <c r="E14312">
        <v>0</v>
      </c>
      <c r="F14312">
        <v>797</v>
      </c>
      <c r="G14312">
        <v>0</v>
      </c>
      <c r="H14312" t="s">
        <v>19164</v>
      </c>
      <c r="I14312">
        <v>16187</v>
      </c>
      <c r="J14312" t="e">
        <f>VLOOKUP(E14312,DSSpieler!A:B,2,FALSE)</f>
        <v>#N/A</v>
      </c>
    </row>
    <row r="14313" spans="1:10" x14ac:dyDescent="0.25">
      <c r="A14313">
        <v>16188</v>
      </c>
      <c r="B14313" t="s">
        <v>531</v>
      </c>
      <c r="C14313">
        <v>531</v>
      </c>
      <c r="D14313">
        <v>619</v>
      </c>
      <c r="E14313">
        <v>0</v>
      </c>
      <c r="F14313">
        <v>273</v>
      </c>
      <c r="G14313">
        <v>0</v>
      </c>
      <c r="H14313" t="s">
        <v>19165</v>
      </c>
      <c r="I14313">
        <v>16188</v>
      </c>
      <c r="J14313" t="e">
        <f>VLOOKUP(E14313,DSSpieler!A:B,2,FALSE)</f>
        <v>#N/A</v>
      </c>
    </row>
    <row r="14314" spans="1:10" x14ac:dyDescent="0.25">
      <c r="A14314">
        <v>16190</v>
      </c>
      <c r="B14314" t="s">
        <v>35268</v>
      </c>
      <c r="C14314">
        <v>396</v>
      </c>
      <c r="D14314">
        <v>562</v>
      </c>
      <c r="E14314">
        <v>1576551502</v>
      </c>
      <c r="F14314">
        <v>617</v>
      </c>
      <c r="G14314">
        <v>0</v>
      </c>
      <c r="H14314" t="s">
        <v>19166</v>
      </c>
      <c r="I14314">
        <v>16190</v>
      </c>
      <c r="J14314" t="str">
        <f>VLOOKUP(E14314,DSSpieler!A:B,2,FALSE)</f>
        <v>idiot auf reise</v>
      </c>
    </row>
    <row r="14315" spans="1:10" x14ac:dyDescent="0.25">
      <c r="A14315">
        <v>16191</v>
      </c>
      <c r="B14315" t="s">
        <v>531</v>
      </c>
      <c r="C14315">
        <v>616</v>
      </c>
      <c r="D14315">
        <v>527</v>
      </c>
      <c r="E14315">
        <v>0</v>
      </c>
      <c r="F14315">
        <v>135</v>
      </c>
      <c r="G14315">
        <v>0</v>
      </c>
      <c r="H14315" t="s">
        <v>19167</v>
      </c>
      <c r="I14315">
        <v>16191</v>
      </c>
      <c r="J14315" t="e">
        <f>VLOOKUP(E14315,DSSpieler!A:B,2,FALSE)</f>
        <v>#N/A</v>
      </c>
    </row>
    <row r="14316" spans="1:10" x14ac:dyDescent="0.25">
      <c r="A14316">
        <v>16192</v>
      </c>
      <c r="B14316" t="s">
        <v>531</v>
      </c>
      <c r="C14316">
        <v>580</v>
      </c>
      <c r="D14316">
        <v>408</v>
      </c>
      <c r="E14316">
        <v>0</v>
      </c>
      <c r="F14316">
        <v>145</v>
      </c>
      <c r="G14316">
        <v>0</v>
      </c>
      <c r="H14316" t="s">
        <v>19168</v>
      </c>
      <c r="I14316">
        <v>16192</v>
      </c>
      <c r="J14316" t="e">
        <f>VLOOKUP(E14316,DSSpieler!A:B,2,FALSE)</f>
        <v>#N/A</v>
      </c>
    </row>
    <row r="14317" spans="1:10" x14ac:dyDescent="0.25">
      <c r="A14317">
        <v>16193</v>
      </c>
      <c r="B14317" t="s">
        <v>701</v>
      </c>
      <c r="C14317">
        <v>622</v>
      </c>
      <c r="D14317">
        <v>512</v>
      </c>
      <c r="E14317">
        <v>1576984666</v>
      </c>
      <c r="F14317">
        <v>887</v>
      </c>
      <c r="G14317">
        <v>0</v>
      </c>
      <c r="H14317" t="s">
        <v>19169</v>
      </c>
      <c r="I14317">
        <v>16193</v>
      </c>
      <c r="J14317" t="str">
        <f>VLOOKUP(E14317,DSSpieler!A:B,2,FALSE)</f>
        <v>Yggrasil</v>
      </c>
    </row>
    <row r="14318" spans="1:10" x14ac:dyDescent="0.25">
      <c r="A14318">
        <v>16194</v>
      </c>
      <c r="B14318" t="s">
        <v>531</v>
      </c>
      <c r="C14318">
        <v>566</v>
      </c>
      <c r="D14318">
        <v>603</v>
      </c>
      <c r="E14318">
        <v>0</v>
      </c>
      <c r="F14318">
        <v>154</v>
      </c>
      <c r="G14318">
        <v>0</v>
      </c>
      <c r="H14318" t="s">
        <v>19170</v>
      </c>
      <c r="I14318">
        <v>16194</v>
      </c>
      <c r="J14318" t="e">
        <f>VLOOKUP(E14318,DSSpieler!A:B,2,FALSE)</f>
        <v>#N/A</v>
      </c>
    </row>
    <row r="14319" spans="1:10" x14ac:dyDescent="0.25">
      <c r="A14319">
        <v>16195</v>
      </c>
      <c r="B14319" t="s">
        <v>531</v>
      </c>
      <c r="C14319">
        <v>533</v>
      </c>
      <c r="D14319">
        <v>384</v>
      </c>
      <c r="E14319">
        <v>0</v>
      </c>
      <c r="F14319">
        <v>192</v>
      </c>
      <c r="G14319">
        <v>0</v>
      </c>
      <c r="H14319" t="s">
        <v>19171</v>
      </c>
      <c r="I14319">
        <v>16195</v>
      </c>
      <c r="J14319" t="e">
        <f>VLOOKUP(E14319,DSSpieler!A:B,2,FALSE)</f>
        <v>#N/A</v>
      </c>
    </row>
    <row r="14320" spans="1:10" x14ac:dyDescent="0.25">
      <c r="A14320">
        <v>16196</v>
      </c>
      <c r="B14320" t="s">
        <v>531</v>
      </c>
      <c r="C14320">
        <v>541</v>
      </c>
      <c r="D14320">
        <v>616</v>
      </c>
      <c r="E14320">
        <v>0</v>
      </c>
      <c r="F14320">
        <v>359</v>
      </c>
      <c r="G14320">
        <v>0</v>
      </c>
      <c r="H14320" t="s">
        <v>19172</v>
      </c>
      <c r="I14320">
        <v>16196</v>
      </c>
      <c r="J14320" t="e">
        <f>VLOOKUP(E14320,DSSpieler!A:B,2,FALSE)</f>
        <v>#N/A</v>
      </c>
    </row>
    <row r="14321" spans="1:10" x14ac:dyDescent="0.25">
      <c r="A14321">
        <v>16197</v>
      </c>
      <c r="B14321" t="s">
        <v>531</v>
      </c>
      <c r="C14321">
        <v>415</v>
      </c>
      <c r="D14321">
        <v>419</v>
      </c>
      <c r="E14321">
        <v>0</v>
      </c>
      <c r="F14321">
        <v>187</v>
      </c>
      <c r="G14321">
        <v>0</v>
      </c>
      <c r="H14321" t="s">
        <v>19173</v>
      </c>
      <c r="I14321">
        <v>16197</v>
      </c>
      <c r="J14321" t="e">
        <f>VLOOKUP(E14321,DSSpieler!A:B,2,FALSE)</f>
        <v>#N/A</v>
      </c>
    </row>
    <row r="14322" spans="1:10" x14ac:dyDescent="0.25">
      <c r="A14322">
        <v>16198</v>
      </c>
      <c r="B14322" t="s">
        <v>531</v>
      </c>
      <c r="C14322">
        <v>453</v>
      </c>
      <c r="D14322">
        <v>609</v>
      </c>
      <c r="E14322">
        <v>0</v>
      </c>
      <c r="F14322">
        <v>105</v>
      </c>
      <c r="G14322">
        <v>0</v>
      </c>
      <c r="H14322" t="s">
        <v>19174</v>
      </c>
      <c r="I14322">
        <v>16198</v>
      </c>
      <c r="J14322" t="e">
        <f>VLOOKUP(E14322,DSSpieler!A:B,2,FALSE)</f>
        <v>#N/A</v>
      </c>
    </row>
    <row r="14323" spans="1:10" x14ac:dyDescent="0.25">
      <c r="A14323">
        <v>16199</v>
      </c>
      <c r="B14323" t="s">
        <v>531</v>
      </c>
      <c r="C14323">
        <v>548</v>
      </c>
      <c r="D14323">
        <v>386</v>
      </c>
      <c r="E14323">
        <v>0</v>
      </c>
      <c r="F14323">
        <v>78</v>
      </c>
      <c r="G14323">
        <v>0</v>
      </c>
      <c r="H14323" t="s">
        <v>19175</v>
      </c>
      <c r="I14323">
        <v>16199</v>
      </c>
      <c r="J14323" t="e">
        <f>VLOOKUP(E14323,DSSpieler!A:B,2,FALSE)</f>
        <v>#N/A</v>
      </c>
    </row>
    <row r="14324" spans="1:10" x14ac:dyDescent="0.25">
      <c r="A14324">
        <v>16200</v>
      </c>
      <c r="B14324" t="s">
        <v>35269</v>
      </c>
      <c r="C14324">
        <v>544</v>
      </c>
      <c r="D14324">
        <v>385</v>
      </c>
      <c r="E14324">
        <v>1577203765</v>
      </c>
      <c r="F14324">
        <v>2735</v>
      </c>
      <c r="G14324">
        <v>0</v>
      </c>
      <c r="H14324" t="s">
        <v>19176</v>
      </c>
      <c r="I14324">
        <v>16200</v>
      </c>
      <c r="J14324" t="str">
        <f>VLOOKUP(E14324,DSSpieler!A:B,2,FALSE)</f>
        <v>Padex</v>
      </c>
    </row>
    <row r="14325" spans="1:10" x14ac:dyDescent="0.25">
      <c r="A14325">
        <v>16201</v>
      </c>
      <c r="B14325" t="s">
        <v>531</v>
      </c>
      <c r="C14325">
        <v>482</v>
      </c>
      <c r="D14325">
        <v>380</v>
      </c>
      <c r="E14325">
        <v>0</v>
      </c>
      <c r="F14325">
        <v>345</v>
      </c>
      <c r="G14325">
        <v>0</v>
      </c>
      <c r="H14325" t="s">
        <v>19177</v>
      </c>
      <c r="I14325">
        <v>16201</v>
      </c>
      <c r="J14325" t="e">
        <f>VLOOKUP(E14325,DSSpieler!A:B,2,FALSE)</f>
        <v>#N/A</v>
      </c>
    </row>
    <row r="14326" spans="1:10" x14ac:dyDescent="0.25">
      <c r="A14326">
        <v>16202</v>
      </c>
      <c r="B14326" t="s">
        <v>35270</v>
      </c>
      <c r="C14326">
        <v>384</v>
      </c>
      <c r="D14326">
        <v>530</v>
      </c>
      <c r="E14326">
        <v>1577185467</v>
      </c>
      <c r="F14326">
        <v>2583</v>
      </c>
      <c r="G14326">
        <v>0</v>
      </c>
      <c r="H14326" t="s">
        <v>19178</v>
      </c>
      <c r="I14326">
        <v>16202</v>
      </c>
      <c r="J14326" t="str">
        <f>VLOOKUP(E14326,DSSpieler!A:B,2,FALSE)</f>
        <v>-Samra*</v>
      </c>
    </row>
    <row r="14327" spans="1:10" x14ac:dyDescent="0.25">
      <c r="A14327">
        <v>16203</v>
      </c>
      <c r="B14327" t="s">
        <v>35271</v>
      </c>
      <c r="C14327">
        <v>620</v>
      </c>
      <c r="D14327">
        <v>499</v>
      </c>
      <c r="E14327">
        <v>342608</v>
      </c>
      <c r="F14327">
        <v>752</v>
      </c>
      <c r="G14327">
        <v>0</v>
      </c>
      <c r="H14327" t="s">
        <v>19179</v>
      </c>
      <c r="I14327">
        <v>16203</v>
      </c>
      <c r="J14327" t="str">
        <f>VLOOKUP(E14327,DSSpieler!A:B,2,FALSE)</f>
        <v>der slawe</v>
      </c>
    </row>
    <row r="14328" spans="1:10" x14ac:dyDescent="0.25">
      <c r="A14328">
        <v>16204</v>
      </c>
      <c r="B14328" t="s">
        <v>531</v>
      </c>
      <c r="C14328">
        <v>430</v>
      </c>
      <c r="D14328">
        <v>594</v>
      </c>
      <c r="E14328">
        <v>0</v>
      </c>
      <c r="F14328">
        <v>530</v>
      </c>
      <c r="G14328">
        <v>0</v>
      </c>
      <c r="H14328" t="s">
        <v>19180</v>
      </c>
      <c r="I14328">
        <v>16204</v>
      </c>
      <c r="J14328" t="e">
        <f>VLOOKUP(E14328,DSSpieler!A:B,2,FALSE)</f>
        <v>#N/A</v>
      </c>
    </row>
    <row r="14329" spans="1:10" x14ac:dyDescent="0.25">
      <c r="A14329">
        <v>16205</v>
      </c>
      <c r="B14329" t="s">
        <v>531</v>
      </c>
      <c r="C14329">
        <v>621</v>
      </c>
      <c r="D14329">
        <v>513</v>
      </c>
      <c r="E14329">
        <v>0</v>
      </c>
      <c r="F14329">
        <v>45</v>
      </c>
      <c r="G14329">
        <v>0</v>
      </c>
      <c r="H14329" t="s">
        <v>19181</v>
      </c>
      <c r="I14329">
        <v>16205</v>
      </c>
      <c r="J14329" t="e">
        <f>VLOOKUP(E14329,DSSpieler!A:B,2,FALSE)</f>
        <v>#N/A</v>
      </c>
    </row>
    <row r="14330" spans="1:10" x14ac:dyDescent="0.25">
      <c r="A14330">
        <v>16206</v>
      </c>
      <c r="B14330" t="s">
        <v>531</v>
      </c>
      <c r="C14330">
        <v>557</v>
      </c>
      <c r="D14330">
        <v>394</v>
      </c>
      <c r="E14330">
        <v>0</v>
      </c>
      <c r="F14330">
        <v>97</v>
      </c>
      <c r="G14330">
        <v>0</v>
      </c>
      <c r="H14330" t="s">
        <v>19182</v>
      </c>
      <c r="I14330">
        <v>16206</v>
      </c>
      <c r="J14330" t="e">
        <f>VLOOKUP(E14330,DSSpieler!A:B,2,FALSE)</f>
        <v>#N/A</v>
      </c>
    </row>
    <row r="14331" spans="1:10" x14ac:dyDescent="0.25">
      <c r="A14331">
        <v>16207</v>
      </c>
      <c r="B14331" t="s">
        <v>35272</v>
      </c>
      <c r="C14331">
        <v>593</v>
      </c>
      <c r="D14331">
        <v>451</v>
      </c>
      <c r="E14331">
        <v>1577203777</v>
      </c>
      <c r="F14331">
        <v>489</v>
      </c>
      <c r="G14331">
        <v>0</v>
      </c>
      <c r="H14331" t="s">
        <v>19183</v>
      </c>
      <c r="I14331">
        <v>16207</v>
      </c>
      <c r="J14331" t="str">
        <f>VLOOKUP(E14331,DSSpieler!A:B,2,FALSE)</f>
        <v>beni8scb</v>
      </c>
    </row>
    <row r="14332" spans="1:10" x14ac:dyDescent="0.25">
      <c r="A14332">
        <v>16208</v>
      </c>
      <c r="B14332" t="s">
        <v>35273</v>
      </c>
      <c r="C14332">
        <v>556</v>
      </c>
      <c r="D14332">
        <v>608</v>
      </c>
      <c r="E14332">
        <v>1577200749</v>
      </c>
      <c r="F14332">
        <v>1782</v>
      </c>
      <c r="G14332">
        <v>0</v>
      </c>
      <c r="H14332" t="s">
        <v>19184</v>
      </c>
      <c r="I14332">
        <v>16208</v>
      </c>
      <c r="J14332" t="str">
        <f>VLOOKUP(E14332,DSSpieler!A:B,2,FALSE)</f>
        <v>XandorDD</v>
      </c>
    </row>
    <row r="14333" spans="1:10" x14ac:dyDescent="0.25">
      <c r="A14333">
        <v>16211</v>
      </c>
      <c r="B14333" t="s">
        <v>35274</v>
      </c>
      <c r="C14333">
        <v>504</v>
      </c>
      <c r="D14333">
        <v>619</v>
      </c>
      <c r="E14333">
        <v>1575862578</v>
      </c>
      <c r="F14333">
        <v>1230</v>
      </c>
      <c r="G14333">
        <v>0</v>
      </c>
      <c r="H14333" t="s">
        <v>19185</v>
      </c>
      <c r="I14333">
        <v>16211</v>
      </c>
      <c r="J14333" t="str">
        <f>VLOOKUP(E14333,DSSpieler!A:B,2,FALSE)</f>
        <v>XXscarXX</v>
      </c>
    </row>
    <row r="14334" spans="1:10" x14ac:dyDescent="0.25">
      <c r="A14334">
        <v>16212</v>
      </c>
      <c r="B14334" t="s">
        <v>2481</v>
      </c>
      <c r="C14334">
        <v>403</v>
      </c>
      <c r="D14334">
        <v>431</v>
      </c>
      <c r="E14334">
        <v>1575946215</v>
      </c>
      <c r="F14334">
        <v>2805</v>
      </c>
      <c r="G14334">
        <v>0</v>
      </c>
      <c r="H14334" t="s">
        <v>19186</v>
      </c>
      <c r="I14334">
        <v>16212</v>
      </c>
      <c r="J14334" t="str">
        <f>VLOOKUP(E14334,DSSpieler!A:B,2,FALSE)</f>
        <v>Lord Harris</v>
      </c>
    </row>
    <row r="14335" spans="1:10" x14ac:dyDescent="0.25">
      <c r="A14335">
        <v>16213</v>
      </c>
      <c r="B14335" t="s">
        <v>35275</v>
      </c>
      <c r="C14335">
        <v>620</v>
      </c>
      <c r="D14335">
        <v>519</v>
      </c>
      <c r="E14335">
        <v>1577027732</v>
      </c>
      <c r="F14335">
        <v>1238</v>
      </c>
      <c r="G14335">
        <v>0</v>
      </c>
      <c r="H14335" t="s">
        <v>19187</v>
      </c>
      <c r="I14335">
        <v>16213</v>
      </c>
      <c r="J14335" t="str">
        <f>VLOOKUP(E14335,DSSpieler!A:B,2,FALSE)</f>
        <v>schulli1</v>
      </c>
    </row>
    <row r="14336" spans="1:10" x14ac:dyDescent="0.25">
      <c r="A14336">
        <v>16214</v>
      </c>
      <c r="B14336" t="s">
        <v>35276</v>
      </c>
      <c r="C14336">
        <v>472</v>
      </c>
      <c r="D14336">
        <v>562</v>
      </c>
      <c r="E14336">
        <v>1576676103</v>
      </c>
      <c r="F14336">
        <v>868</v>
      </c>
      <c r="G14336">
        <v>0</v>
      </c>
      <c r="H14336" t="s">
        <v>19188</v>
      </c>
      <c r="I14336">
        <v>16214</v>
      </c>
      <c r="J14336" t="str">
        <f>VLOOKUP(E14336,DSSpieler!A:B,2,FALSE)</f>
        <v>Lady Many</v>
      </c>
    </row>
    <row r="14337" spans="1:10" x14ac:dyDescent="0.25">
      <c r="A14337">
        <v>16215</v>
      </c>
      <c r="B14337" t="s">
        <v>35277</v>
      </c>
      <c r="C14337">
        <v>395</v>
      </c>
      <c r="D14337">
        <v>557</v>
      </c>
      <c r="E14337">
        <v>9839438</v>
      </c>
      <c r="F14337">
        <v>1710</v>
      </c>
      <c r="G14337">
        <v>0</v>
      </c>
      <c r="H14337" t="s">
        <v>19189</v>
      </c>
      <c r="I14337">
        <v>16215</v>
      </c>
      <c r="J14337" t="str">
        <f>VLOOKUP(E14337,DSSpieler!A:B,2,FALSE)</f>
        <v>Spackmann</v>
      </c>
    </row>
    <row r="14338" spans="1:10" x14ac:dyDescent="0.25">
      <c r="A14338">
        <v>16216</v>
      </c>
      <c r="B14338" t="s">
        <v>531</v>
      </c>
      <c r="C14338">
        <v>616</v>
      </c>
      <c r="D14338">
        <v>462</v>
      </c>
      <c r="E14338">
        <v>0</v>
      </c>
      <c r="F14338">
        <v>257</v>
      </c>
      <c r="G14338">
        <v>0</v>
      </c>
      <c r="H14338" t="s">
        <v>19190</v>
      </c>
      <c r="I14338">
        <v>16216</v>
      </c>
      <c r="J14338" t="e">
        <f>VLOOKUP(E14338,DSSpieler!A:B,2,FALSE)</f>
        <v>#N/A</v>
      </c>
    </row>
    <row r="14339" spans="1:10" x14ac:dyDescent="0.25">
      <c r="A14339">
        <v>16217</v>
      </c>
      <c r="B14339" t="s">
        <v>35278</v>
      </c>
      <c r="C14339">
        <v>620</v>
      </c>
      <c r="D14339">
        <v>494</v>
      </c>
      <c r="E14339">
        <v>9738149</v>
      </c>
      <c r="F14339">
        <v>1307</v>
      </c>
      <c r="G14339">
        <v>0</v>
      </c>
      <c r="H14339" t="s">
        <v>19191</v>
      </c>
      <c r="I14339">
        <v>16217</v>
      </c>
      <c r="J14339" t="str">
        <f>VLOOKUP(E14339,DSSpieler!A:B,2,FALSE)</f>
        <v>TELETUBBIE.</v>
      </c>
    </row>
    <row r="14340" spans="1:10" x14ac:dyDescent="0.25">
      <c r="A14340">
        <v>16218</v>
      </c>
      <c r="B14340" t="s">
        <v>35279</v>
      </c>
      <c r="C14340">
        <v>619</v>
      </c>
      <c r="D14340">
        <v>497</v>
      </c>
      <c r="E14340">
        <v>9752994</v>
      </c>
      <c r="F14340">
        <v>2448</v>
      </c>
      <c r="G14340">
        <v>0</v>
      </c>
      <c r="H14340" t="s">
        <v>19192</v>
      </c>
      <c r="I14340">
        <v>16218</v>
      </c>
      <c r="J14340" t="str">
        <f>VLOOKUP(E14340,DSSpieler!A:B,2,FALSE)</f>
        <v>Dr. Laggs</v>
      </c>
    </row>
    <row r="14341" spans="1:10" x14ac:dyDescent="0.25">
      <c r="A14341">
        <v>16219</v>
      </c>
      <c r="B14341" t="s">
        <v>531</v>
      </c>
      <c r="C14341">
        <v>598</v>
      </c>
      <c r="D14341">
        <v>426</v>
      </c>
      <c r="E14341">
        <v>0</v>
      </c>
      <c r="F14341">
        <v>205</v>
      </c>
      <c r="G14341">
        <v>0</v>
      </c>
      <c r="H14341" t="s">
        <v>19193</v>
      </c>
      <c r="I14341">
        <v>16219</v>
      </c>
      <c r="J14341" t="e">
        <f>VLOOKUP(E14341,DSSpieler!A:B,2,FALSE)</f>
        <v>#N/A</v>
      </c>
    </row>
    <row r="14342" spans="1:10" x14ac:dyDescent="0.25">
      <c r="A14342">
        <v>16220</v>
      </c>
      <c r="B14342" t="s">
        <v>531</v>
      </c>
      <c r="C14342">
        <v>618</v>
      </c>
      <c r="D14342">
        <v>533</v>
      </c>
      <c r="E14342">
        <v>0</v>
      </c>
      <c r="F14342">
        <v>868</v>
      </c>
      <c r="G14342">
        <v>0</v>
      </c>
      <c r="H14342" t="s">
        <v>19194</v>
      </c>
      <c r="I14342">
        <v>16220</v>
      </c>
      <c r="J14342" t="e">
        <f>VLOOKUP(E14342,DSSpieler!A:B,2,FALSE)</f>
        <v>#N/A</v>
      </c>
    </row>
    <row r="14343" spans="1:10" x14ac:dyDescent="0.25">
      <c r="A14343">
        <v>16221</v>
      </c>
      <c r="B14343" t="s">
        <v>531</v>
      </c>
      <c r="C14343">
        <v>378</v>
      </c>
      <c r="D14343">
        <v>485</v>
      </c>
      <c r="E14343">
        <v>0</v>
      </c>
      <c r="F14343">
        <v>235</v>
      </c>
      <c r="G14343">
        <v>0</v>
      </c>
      <c r="H14343" t="s">
        <v>19195</v>
      </c>
      <c r="I14343">
        <v>16221</v>
      </c>
      <c r="J14343" t="e">
        <f>VLOOKUP(E14343,DSSpieler!A:B,2,FALSE)</f>
        <v>#N/A</v>
      </c>
    </row>
    <row r="14344" spans="1:10" x14ac:dyDescent="0.25">
      <c r="A14344">
        <v>16223</v>
      </c>
      <c r="B14344" t="s">
        <v>2482</v>
      </c>
      <c r="C14344">
        <v>431</v>
      </c>
      <c r="D14344">
        <v>414</v>
      </c>
      <c r="E14344">
        <v>1575914765</v>
      </c>
      <c r="F14344">
        <v>775</v>
      </c>
      <c r="G14344">
        <v>0</v>
      </c>
      <c r="H14344" t="s">
        <v>19196</v>
      </c>
      <c r="I14344">
        <v>16223</v>
      </c>
      <c r="J14344" t="str">
        <f>VLOOKUP(E14344,DSSpieler!A:B,2,FALSE)</f>
        <v>nacktschnecke69</v>
      </c>
    </row>
    <row r="14345" spans="1:10" x14ac:dyDescent="0.25">
      <c r="A14345">
        <v>16224</v>
      </c>
      <c r="B14345" t="s">
        <v>531</v>
      </c>
      <c r="C14345">
        <v>610</v>
      </c>
      <c r="D14345">
        <v>547</v>
      </c>
      <c r="E14345">
        <v>0</v>
      </c>
      <c r="F14345">
        <v>92</v>
      </c>
      <c r="G14345">
        <v>0</v>
      </c>
      <c r="H14345" t="s">
        <v>19197</v>
      </c>
      <c r="I14345">
        <v>16224</v>
      </c>
      <c r="J14345" t="e">
        <f>VLOOKUP(E14345,DSSpieler!A:B,2,FALSE)</f>
        <v>#N/A</v>
      </c>
    </row>
    <row r="14346" spans="1:10" x14ac:dyDescent="0.25">
      <c r="A14346">
        <v>16225</v>
      </c>
      <c r="B14346" t="s">
        <v>531</v>
      </c>
      <c r="C14346">
        <v>522</v>
      </c>
      <c r="D14346">
        <v>620</v>
      </c>
      <c r="E14346">
        <v>0</v>
      </c>
      <c r="F14346">
        <v>616</v>
      </c>
      <c r="G14346">
        <v>0</v>
      </c>
      <c r="H14346" t="s">
        <v>19198</v>
      </c>
      <c r="I14346">
        <v>16225</v>
      </c>
      <c r="J14346" t="e">
        <f>VLOOKUP(E14346,DSSpieler!A:B,2,FALSE)</f>
        <v>#N/A</v>
      </c>
    </row>
    <row r="14347" spans="1:10" x14ac:dyDescent="0.25">
      <c r="A14347">
        <v>16226</v>
      </c>
      <c r="B14347" t="s">
        <v>531</v>
      </c>
      <c r="C14347">
        <v>516</v>
      </c>
      <c r="D14347">
        <v>621</v>
      </c>
      <c r="E14347">
        <v>0</v>
      </c>
      <c r="F14347">
        <v>233</v>
      </c>
      <c r="G14347">
        <v>0</v>
      </c>
      <c r="H14347" t="s">
        <v>19199</v>
      </c>
      <c r="I14347">
        <v>16226</v>
      </c>
      <c r="J14347" t="e">
        <f>VLOOKUP(E14347,DSSpieler!A:B,2,FALSE)</f>
        <v>#N/A</v>
      </c>
    </row>
    <row r="14348" spans="1:10" x14ac:dyDescent="0.25">
      <c r="A14348">
        <v>16227</v>
      </c>
      <c r="B14348" t="s">
        <v>531</v>
      </c>
      <c r="C14348">
        <v>500</v>
      </c>
      <c r="D14348">
        <v>381</v>
      </c>
      <c r="E14348">
        <v>0</v>
      </c>
      <c r="F14348">
        <v>129</v>
      </c>
      <c r="G14348">
        <v>0</v>
      </c>
      <c r="H14348" t="s">
        <v>19200</v>
      </c>
      <c r="I14348">
        <v>16227</v>
      </c>
      <c r="J14348" t="e">
        <f>VLOOKUP(E14348,DSSpieler!A:B,2,FALSE)</f>
        <v>#N/A</v>
      </c>
    </row>
    <row r="14349" spans="1:10" x14ac:dyDescent="0.25">
      <c r="A14349">
        <v>16228</v>
      </c>
      <c r="B14349" t="s">
        <v>531</v>
      </c>
      <c r="C14349">
        <v>457</v>
      </c>
      <c r="D14349">
        <v>615</v>
      </c>
      <c r="E14349">
        <v>0</v>
      </c>
      <c r="F14349">
        <v>112</v>
      </c>
      <c r="G14349">
        <v>0</v>
      </c>
      <c r="H14349" t="s">
        <v>19201</v>
      </c>
      <c r="I14349">
        <v>16228</v>
      </c>
      <c r="J14349" t="e">
        <f>VLOOKUP(E14349,DSSpieler!A:B,2,FALSE)</f>
        <v>#N/A</v>
      </c>
    </row>
    <row r="14350" spans="1:10" x14ac:dyDescent="0.25">
      <c r="A14350">
        <v>16229</v>
      </c>
      <c r="B14350" t="s">
        <v>2483</v>
      </c>
      <c r="C14350">
        <v>501</v>
      </c>
      <c r="D14350">
        <v>473</v>
      </c>
      <c r="E14350">
        <v>3144164</v>
      </c>
      <c r="F14350">
        <v>2106</v>
      </c>
      <c r="G14350">
        <v>0</v>
      </c>
      <c r="H14350" t="s">
        <v>19202</v>
      </c>
      <c r="I14350">
        <v>16229</v>
      </c>
      <c r="J14350" t="str">
        <f>VLOOKUP(E14350,DSSpieler!A:B,2,FALSE)</f>
        <v>kampfzahn</v>
      </c>
    </row>
    <row r="14351" spans="1:10" x14ac:dyDescent="0.25">
      <c r="A14351">
        <v>16230</v>
      </c>
      <c r="B14351" t="s">
        <v>2484</v>
      </c>
      <c r="C14351">
        <v>446</v>
      </c>
      <c r="D14351">
        <v>609</v>
      </c>
      <c r="E14351">
        <v>1577189088</v>
      </c>
      <c r="F14351">
        <v>368</v>
      </c>
      <c r="G14351">
        <v>0</v>
      </c>
      <c r="H14351" t="s">
        <v>19203</v>
      </c>
      <c r="I14351">
        <v>16230</v>
      </c>
      <c r="J14351" t="str">
        <f>VLOOKUP(E14351,DSSpieler!A:B,2,FALSE)</f>
        <v>Rohan92</v>
      </c>
    </row>
    <row r="14352" spans="1:10" x14ac:dyDescent="0.25">
      <c r="A14352">
        <v>16232</v>
      </c>
      <c r="B14352" t="s">
        <v>531</v>
      </c>
      <c r="C14352">
        <v>436</v>
      </c>
      <c r="D14352">
        <v>601</v>
      </c>
      <c r="E14352">
        <v>0</v>
      </c>
      <c r="F14352">
        <v>861</v>
      </c>
      <c r="G14352">
        <v>0</v>
      </c>
      <c r="H14352" t="s">
        <v>19204</v>
      </c>
      <c r="I14352">
        <v>16232</v>
      </c>
      <c r="J14352" t="e">
        <f>VLOOKUP(E14352,DSSpieler!A:B,2,FALSE)</f>
        <v>#N/A</v>
      </c>
    </row>
    <row r="14353" spans="1:10" x14ac:dyDescent="0.25">
      <c r="A14353">
        <v>16233</v>
      </c>
      <c r="B14353" t="s">
        <v>531</v>
      </c>
      <c r="C14353">
        <v>590</v>
      </c>
      <c r="D14353">
        <v>584</v>
      </c>
      <c r="E14353">
        <v>0</v>
      </c>
      <c r="F14353">
        <v>147</v>
      </c>
      <c r="G14353">
        <v>0</v>
      </c>
      <c r="H14353" t="s">
        <v>19205</v>
      </c>
      <c r="I14353">
        <v>16233</v>
      </c>
      <c r="J14353" t="e">
        <f>VLOOKUP(E14353,DSSpieler!A:B,2,FALSE)</f>
        <v>#N/A</v>
      </c>
    </row>
    <row r="14354" spans="1:10" x14ac:dyDescent="0.25">
      <c r="A14354">
        <v>16234</v>
      </c>
      <c r="B14354" t="s">
        <v>531</v>
      </c>
      <c r="C14354">
        <v>620</v>
      </c>
      <c r="D14354">
        <v>479</v>
      </c>
      <c r="E14354">
        <v>0</v>
      </c>
      <c r="F14354">
        <v>123</v>
      </c>
      <c r="G14354">
        <v>0</v>
      </c>
      <c r="H14354" t="s">
        <v>19206</v>
      </c>
      <c r="I14354">
        <v>16234</v>
      </c>
      <c r="J14354" t="e">
        <f>VLOOKUP(E14354,DSSpieler!A:B,2,FALSE)</f>
        <v>#N/A</v>
      </c>
    </row>
    <row r="14355" spans="1:10" x14ac:dyDescent="0.25">
      <c r="A14355">
        <v>16235</v>
      </c>
      <c r="B14355" t="s">
        <v>35280</v>
      </c>
      <c r="C14355">
        <v>397</v>
      </c>
      <c r="D14355">
        <v>564</v>
      </c>
      <c r="E14355">
        <v>1576512079</v>
      </c>
      <c r="F14355">
        <v>446</v>
      </c>
      <c r="G14355">
        <v>0</v>
      </c>
      <c r="H14355" t="s">
        <v>19207</v>
      </c>
      <c r="I14355">
        <v>16235</v>
      </c>
      <c r="J14355" t="str">
        <f>VLOOKUP(E14355,DSSpieler!A:B,2,FALSE)</f>
        <v>Lord Urdnot Wrex</v>
      </c>
    </row>
    <row r="14356" spans="1:10" x14ac:dyDescent="0.25">
      <c r="A14356">
        <v>16236</v>
      </c>
      <c r="B14356" t="s">
        <v>35281</v>
      </c>
      <c r="C14356">
        <v>621</v>
      </c>
      <c r="D14356">
        <v>500</v>
      </c>
      <c r="E14356">
        <v>1577200153</v>
      </c>
      <c r="F14356">
        <v>82</v>
      </c>
      <c r="G14356">
        <v>0</v>
      </c>
      <c r="H14356" t="s">
        <v>19208</v>
      </c>
      <c r="I14356">
        <v>16236</v>
      </c>
      <c r="J14356" t="str">
        <f>VLOOKUP(E14356,DSSpieler!A:B,2,FALSE)</f>
        <v>Lord PwndByPony</v>
      </c>
    </row>
    <row r="14357" spans="1:10" x14ac:dyDescent="0.25">
      <c r="A14357">
        <v>16237</v>
      </c>
      <c r="B14357" t="s">
        <v>531</v>
      </c>
      <c r="C14357">
        <v>615</v>
      </c>
      <c r="D14357">
        <v>495</v>
      </c>
      <c r="E14357">
        <v>0</v>
      </c>
      <c r="F14357">
        <v>133</v>
      </c>
      <c r="G14357">
        <v>0</v>
      </c>
      <c r="H14357" t="s">
        <v>19209</v>
      </c>
      <c r="I14357">
        <v>16237</v>
      </c>
      <c r="J14357" t="e">
        <f>VLOOKUP(E14357,DSSpieler!A:B,2,FALSE)</f>
        <v>#N/A</v>
      </c>
    </row>
    <row r="14358" spans="1:10" x14ac:dyDescent="0.25">
      <c r="A14358">
        <v>16238</v>
      </c>
      <c r="B14358" t="s">
        <v>531</v>
      </c>
      <c r="C14358">
        <v>531</v>
      </c>
      <c r="D14358">
        <v>384</v>
      </c>
      <c r="E14358">
        <v>0</v>
      </c>
      <c r="F14358">
        <v>507</v>
      </c>
      <c r="G14358">
        <v>0</v>
      </c>
      <c r="H14358" t="s">
        <v>19210</v>
      </c>
      <c r="I14358">
        <v>16238</v>
      </c>
      <c r="J14358" t="e">
        <f>VLOOKUP(E14358,DSSpieler!A:B,2,FALSE)</f>
        <v>#N/A</v>
      </c>
    </row>
    <row r="14359" spans="1:10" x14ac:dyDescent="0.25">
      <c r="A14359">
        <v>16239</v>
      </c>
      <c r="B14359" t="s">
        <v>35282</v>
      </c>
      <c r="C14359">
        <v>455</v>
      </c>
      <c r="D14359">
        <v>612</v>
      </c>
      <c r="E14359">
        <v>8363670</v>
      </c>
      <c r="F14359">
        <v>1485</v>
      </c>
      <c r="G14359">
        <v>0</v>
      </c>
      <c r="H14359" t="s">
        <v>19211</v>
      </c>
      <c r="I14359">
        <v>16239</v>
      </c>
      <c r="J14359" t="str">
        <f>VLOOKUP(E14359,DSSpieler!A:B,2,FALSE)</f>
        <v>motz31</v>
      </c>
    </row>
    <row r="14360" spans="1:10" x14ac:dyDescent="0.25">
      <c r="A14360">
        <v>16240</v>
      </c>
      <c r="B14360" t="s">
        <v>531</v>
      </c>
      <c r="C14360">
        <v>439</v>
      </c>
      <c r="D14360">
        <v>604</v>
      </c>
      <c r="E14360">
        <v>0</v>
      </c>
      <c r="F14360">
        <v>69</v>
      </c>
      <c r="G14360">
        <v>0</v>
      </c>
      <c r="H14360" t="s">
        <v>19212</v>
      </c>
      <c r="I14360">
        <v>16240</v>
      </c>
      <c r="J14360" t="e">
        <f>VLOOKUP(E14360,DSSpieler!A:B,2,FALSE)</f>
        <v>#N/A</v>
      </c>
    </row>
    <row r="14361" spans="1:10" x14ac:dyDescent="0.25">
      <c r="A14361">
        <v>16241</v>
      </c>
      <c r="B14361" t="s">
        <v>531</v>
      </c>
      <c r="C14361">
        <v>395</v>
      </c>
      <c r="D14361">
        <v>441</v>
      </c>
      <c r="E14361">
        <v>0</v>
      </c>
      <c r="F14361">
        <v>131</v>
      </c>
      <c r="G14361">
        <v>0</v>
      </c>
      <c r="H14361" t="s">
        <v>19213</v>
      </c>
      <c r="I14361">
        <v>16241</v>
      </c>
      <c r="J14361" t="e">
        <f>VLOOKUP(E14361,DSSpieler!A:B,2,FALSE)</f>
        <v>#N/A</v>
      </c>
    </row>
    <row r="14362" spans="1:10" x14ac:dyDescent="0.25">
      <c r="A14362">
        <v>16242</v>
      </c>
      <c r="B14362" t="s">
        <v>2485</v>
      </c>
      <c r="C14362">
        <v>447</v>
      </c>
      <c r="D14362">
        <v>397</v>
      </c>
      <c r="E14362">
        <v>1577203845</v>
      </c>
      <c r="F14362">
        <v>1900</v>
      </c>
      <c r="G14362">
        <v>0</v>
      </c>
      <c r="H14362" t="s">
        <v>19214</v>
      </c>
      <c r="I14362">
        <v>16242</v>
      </c>
      <c r="J14362" t="str">
        <f>VLOOKUP(E14362,DSSpieler!A:B,2,FALSE)</f>
        <v>Luxl</v>
      </c>
    </row>
    <row r="14363" spans="1:10" x14ac:dyDescent="0.25">
      <c r="A14363">
        <v>16243</v>
      </c>
      <c r="B14363" t="s">
        <v>2486</v>
      </c>
      <c r="C14363">
        <v>446</v>
      </c>
      <c r="D14363">
        <v>397</v>
      </c>
      <c r="E14363">
        <v>1577203851</v>
      </c>
      <c r="F14363">
        <v>2394</v>
      </c>
      <c r="G14363">
        <v>0</v>
      </c>
      <c r="H14363" t="s">
        <v>19215</v>
      </c>
      <c r="I14363">
        <v>16243</v>
      </c>
      <c r="J14363" t="str">
        <f>VLOOKUP(E14363,DSSpieler!A:B,2,FALSE)</f>
        <v>Schmidl</v>
      </c>
    </row>
    <row r="14364" spans="1:10" x14ac:dyDescent="0.25">
      <c r="A14364">
        <v>16246</v>
      </c>
      <c r="B14364" t="s">
        <v>531</v>
      </c>
      <c r="C14364">
        <v>611</v>
      </c>
      <c r="D14364">
        <v>548</v>
      </c>
      <c r="E14364">
        <v>0</v>
      </c>
      <c r="F14364">
        <v>160</v>
      </c>
      <c r="G14364">
        <v>0</v>
      </c>
      <c r="H14364" t="s">
        <v>19216</v>
      </c>
      <c r="I14364">
        <v>16246</v>
      </c>
      <c r="J14364" t="e">
        <f>VLOOKUP(E14364,DSSpieler!A:B,2,FALSE)</f>
        <v>#N/A</v>
      </c>
    </row>
    <row r="14365" spans="1:10" x14ac:dyDescent="0.25">
      <c r="A14365">
        <v>16247</v>
      </c>
      <c r="B14365" t="s">
        <v>531</v>
      </c>
      <c r="C14365">
        <v>519</v>
      </c>
      <c r="D14365">
        <v>619</v>
      </c>
      <c r="E14365">
        <v>0</v>
      </c>
      <c r="F14365">
        <v>380</v>
      </c>
      <c r="G14365">
        <v>0</v>
      </c>
      <c r="H14365" t="s">
        <v>19217</v>
      </c>
      <c r="I14365">
        <v>16247</v>
      </c>
      <c r="J14365" t="e">
        <f>VLOOKUP(E14365,DSSpieler!A:B,2,FALSE)</f>
        <v>#N/A</v>
      </c>
    </row>
    <row r="14366" spans="1:10" x14ac:dyDescent="0.25">
      <c r="A14366">
        <v>16248</v>
      </c>
      <c r="B14366" t="s">
        <v>2487</v>
      </c>
      <c r="C14366">
        <v>438</v>
      </c>
      <c r="D14366">
        <v>607</v>
      </c>
      <c r="E14366">
        <v>1577203858</v>
      </c>
      <c r="F14366">
        <v>2400</v>
      </c>
      <c r="G14366">
        <v>0</v>
      </c>
      <c r="H14366" t="s">
        <v>19218</v>
      </c>
      <c r="I14366">
        <v>16248</v>
      </c>
      <c r="J14366" t="str">
        <f>VLOOKUP(E14366,DSSpieler!A:B,2,FALSE)</f>
        <v>berti04</v>
      </c>
    </row>
    <row r="14367" spans="1:10" x14ac:dyDescent="0.25">
      <c r="A14367">
        <v>16249</v>
      </c>
      <c r="B14367" s="403" t="s">
        <v>35283</v>
      </c>
      <c r="C14367">
        <v>387</v>
      </c>
      <c r="D14367">
        <v>546</v>
      </c>
      <c r="E14367">
        <v>3396933</v>
      </c>
      <c r="F14367">
        <v>3612</v>
      </c>
      <c r="G14367">
        <v>0</v>
      </c>
      <c r="H14367" t="s">
        <v>19219</v>
      </c>
      <c r="I14367">
        <v>16249</v>
      </c>
      <c r="J14367" t="str">
        <f>VLOOKUP(E14367,DSSpieler!A:B,2,FALSE)</f>
        <v>.TheSimpsons.</v>
      </c>
    </row>
    <row r="14368" spans="1:10" x14ac:dyDescent="0.25">
      <c r="A14368">
        <v>16250</v>
      </c>
      <c r="B14368">
        <v>4</v>
      </c>
      <c r="C14368">
        <v>385</v>
      </c>
      <c r="D14368">
        <v>534</v>
      </c>
      <c r="E14368">
        <v>1577162920</v>
      </c>
      <c r="F14368">
        <v>1814</v>
      </c>
      <c r="G14368">
        <v>0</v>
      </c>
      <c r="H14368" t="s">
        <v>19220</v>
      </c>
      <c r="I14368">
        <v>16250</v>
      </c>
      <c r="J14368" t="str">
        <f>VLOOKUP(E14368,DSSpieler!A:B,2,FALSE)</f>
        <v>V3RO</v>
      </c>
    </row>
    <row r="14369" spans="1:10" x14ac:dyDescent="0.25">
      <c r="A14369">
        <v>16251</v>
      </c>
      <c r="B14369" t="s">
        <v>531</v>
      </c>
      <c r="C14369">
        <v>609</v>
      </c>
      <c r="D14369">
        <v>454</v>
      </c>
      <c r="E14369">
        <v>0</v>
      </c>
      <c r="F14369">
        <v>208</v>
      </c>
      <c r="G14369">
        <v>0</v>
      </c>
      <c r="H14369" t="s">
        <v>19221</v>
      </c>
      <c r="I14369">
        <v>16251</v>
      </c>
      <c r="J14369" t="e">
        <f>VLOOKUP(E14369,DSSpieler!A:B,2,FALSE)</f>
        <v>#N/A</v>
      </c>
    </row>
    <row r="14370" spans="1:10" x14ac:dyDescent="0.25">
      <c r="A14370">
        <v>16252</v>
      </c>
      <c r="B14370" t="s">
        <v>35284</v>
      </c>
      <c r="C14370">
        <v>460</v>
      </c>
      <c r="D14370">
        <v>385</v>
      </c>
      <c r="E14370">
        <v>1527141</v>
      </c>
      <c r="F14370">
        <v>3377</v>
      </c>
      <c r="G14370">
        <v>0</v>
      </c>
      <c r="H14370" t="s">
        <v>19222</v>
      </c>
      <c r="I14370">
        <v>16252</v>
      </c>
      <c r="J14370" t="str">
        <f>VLOOKUP(E14370,DSSpieler!A:B,2,FALSE)</f>
        <v>Strength Cartel</v>
      </c>
    </row>
    <row r="14371" spans="1:10" x14ac:dyDescent="0.25">
      <c r="A14371">
        <v>16253</v>
      </c>
      <c r="B14371" t="s">
        <v>2488</v>
      </c>
      <c r="C14371">
        <v>578</v>
      </c>
      <c r="D14371">
        <v>593</v>
      </c>
      <c r="E14371">
        <v>1577203861</v>
      </c>
      <c r="F14371">
        <v>3382</v>
      </c>
      <c r="G14371">
        <v>0</v>
      </c>
      <c r="H14371" t="s">
        <v>19223</v>
      </c>
      <c r="I14371">
        <v>16253</v>
      </c>
      <c r="J14371" t="str">
        <f>VLOOKUP(E14371,DSSpieler!A:B,2,FALSE)</f>
        <v>MarcoMarcoo</v>
      </c>
    </row>
    <row r="14372" spans="1:10" x14ac:dyDescent="0.25">
      <c r="A14372">
        <v>16254</v>
      </c>
      <c r="B14372" t="s">
        <v>531</v>
      </c>
      <c r="C14372">
        <v>618</v>
      </c>
      <c r="D14372">
        <v>520</v>
      </c>
      <c r="E14372">
        <v>0</v>
      </c>
      <c r="F14372">
        <v>116</v>
      </c>
      <c r="G14372">
        <v>0</v>
      </c>
      <c r="H14372" t="s">
        <v>19224</v>
      </c>
      <c r="I14372">
        <v>16254</v>
      </c>
      <c r="J14372" t="e">
        <f>VLOOKUP(E14372,DSSpieler!A:B,2,FALSE)</f>
        <v>#N/A</v>
      </c>
    </row>
    <row r="14373" spans="1:10" x14ac:dyDescent="0.25">
      <c r="A14373">
        <v>16255</v>
      </c>
      <c r="B14373" t="s">
        <v>531</v>
      </c>
      <c r="C14373">
        <v>451</v>
      </c>
      <c r="D14373">
        <v>608</v>
      </c>
      <c r="E14373">
        <v>0</v>
      </c>
      <c r="F14373">
        <v>132</v>
      </c>
      <c r="G14373">
        <v>0</v>
      </c>
      <c r="H14373" t="s">
        <v>19225</v>
      </c>
      <c r="I14373">
        <v>16255</v>
      </c>
      <c r="J14373" t="e">
        <f>VLOOKUP(E14373,DSSpieler!A:B,2,FALSE)</f>
        <v>#N/A</v>
      </c>
    </row>
    <row r="14374" spans="1:10" x14ac:dyDescent="0.25">
      <c r="A14374">
        <v>16256</v>
      </c>
      <c r="B14374" t="s">
        <v>35285</v>
      </c>
      <c r="C14374">
        <v>600</v>
      </c>
      <c r="D14374">
        <v>566</v>
      </c>
      <c r="E14374">
        <v>1577200998</v>
      </c>
      <c r="F14374">
        <v>245</v>
      </c>
      <c r="G14374">
        <v>0</v>
      </c>
      <c r="H14374" t="s">
        <v>19226</v>
      </c>
      <c r="I14374">
        <v>16256</v>
      </c>
      <c r="J14374" t="str">
        <f>VLOOKUP(E14374,DSSpieler!A:B,2,FALSE)</f>
        <v>Huuan</v>
      </c>
    </row>
    <row r="14375" spans="1:10" x14ac:dyDescent="0.25">
      <c r="A14375">
        <v>16257</v>
      </c>
      <c r="B14375" t="s">
        <v>531</v>
      </c>
      <c r="C14375">
        <v>486</v>
      </c>
      <c r="D14375">
        <v>620</v>
      </c>
      <c r="E14375">
        <v>0</v>
      </c>
      <c r="F14375">
        <v>116</v>
      </c>
      <c r="G14375">
        <v>0</v>
      </c>
      <c r="H14375" t="s">
        <v>19227</v>
      </c>
      <c r="I14375">
        <v>16257</v>
      </c>
      <c r="J14375" t="e">
        <f>VLOOKUP(E14375,DSSpieler!A:B,2,FALSE)</f>
        <v>#N/A</v>
      </c>
    </row>
    <row r="14376" spans="1:10" x14ac:dyDescent="0.25">
      <c r="A14376">
        <v>16258</v>
      </c>
      <c r="B14376" t="s">
        <v>35286</v>
      </c>
      <c r="C14376">
        <v>399</v>
      </c>
      <c r="D14376">
        <v>567</v>
      </c>
      <c r="E14376">
        <v>1577200165</v>
      </c>
      <c r="F14376">
        <v>175</v>
      </c>
      <c r="G14376">
        <v>0</v>
      </c>
      <c r="H14376" t="s">
        <v>19228</v>
      </c>
      <c r="I14376">
        <v>16258</v>
      </c>
      <c r="J14376" t="str">
        <f>VLOOKUP(E14376,DSSpieler!A:B,2,FALSE)</f>
        <v>resurrection117</v>
      </c>
    </row>
    <row r="14377" spans="1:10" x14ac:dyDescent="0.25">
      <c r="A14377">
        <v>16259</v>
      </c>
      <c r="B14377" t="s">
        <v>531</v>
      </c>
      <c r="C14377">
        <v>383</v>
      </c>
      <c r="D14377">
        <v>484</v>
      </c>
      <c r="E14377">
        <v>0</v>
      </c>
      <c r="F14377">
        <v>146</v>
      </c>
      <c r="G14377">
        <v>0</v>
      </c>
      <c r="H14377" t="s">
        <v>19229</v>
      </c>
      <c r="I14377">
        <v>16259</v>
      </c>
      <c r="J14377" t="e">
        <f>VLOOKUP(E14377,DSSpieler!A:B,2,FALSE)</f>
        <v>#N/A</v>
      </c>
    </row>
    <row r="14378" spans="1:10" x14ac:dyDescent="0.25">
      <c r="A14378">
        <v>16260</v>
      </c>
      <c r="B14378" t="s">
        <v>644</v>
      </c>
      <c r="C14378">
        <v>415</v>
      </c>
      <c r="D14378">
        <v>412</v>
      </c>
      <c r="E14378">
        <v>1577203864</v>
      </c>
      <c r="F14378">
        <v>4011</v>
      </c>
      <c r="G14378">
        <v>0</v>
      </c>
      <c r="H14378" t="s">
        <v>19230</v>
      </c>
      <c r="I14378">
        <v>16260</v>
      </c>
      <c r="J14378" t="str">
        <f>VLOOKUP(E14378,DSSpieler!A:B,2,FALSE)</f>
        <v>Lopalli97</v>
      </c>
    </row>
    <row r="14379" spans="1:10" x14ac:dyDescent="0.25">
      <c r="A14379">
        <v>16261</v>
      </c>
      <c r="B14379" t="s">
        <v>35287</v>
      </c>
      <c r="C14379">
        <v>391</v>
      </c>
      <c r="D14379">
        <v>524</v>
      </c>
      <c r="E14379">
        <v>1577150137</v>
      </c>
      <c r="F14379">
        <v>1183</v>
      </c>
      <c r="G14379">
        <v>0</v>
      </c>
      <c r="H14379" t="s">
        <v>19231</v>
      </c>
      <c r="I14379">
        <v>16261</v>
      </c>
      <c r="J14379" t="str">
        <f>VLOOKUP(E14379,DSSpieler!A:B,2,FALSE)</f>
        <v>Benutztername</v>
      </c>
    </row>
    <row r="14380" spans="1:10" x14ac:dyDescent="0.25">
      <c r="A14380">
        <v>16262</v>
      </c>
      <c r="B14380" t="s">
        <v>531</v>
      </c>
      <c r="C14380">
        <v>463</v>
      </c>
      <c r="D14380">
        <v>383</v>
      </c>
      <c r="E14380">
        <v>0</v>
      </c>
      <c r="F14380">
        <v>114</v>
      </c>
      <c r="G14380">
        <v>0</v>
      </c>
      <c r="H14380" t="s">
        <v>19232</v>
      </c>
      <c r="I14380">
        <v>16262</v>
      </c>
      <c r="J14380" t="e">
        <f>VLOOKUP(E14380,DSSpieler!A:B,2,FALSE)</f>
        <v>#N/A</v>
      </c>
    </row>
    <row r="14381" spans="1:10" x14ac:dyDescent="0.25">
      <c r="A14381">
        <v>16263</v>
      </c>
      <c r="B14381" t="s">
        <v>35288</v>
      </c>
      <c r="C14381">
        <v>565</v>
      </c>
      <c r="D14381">
        <v>395</v>
      </c>
      <c r="E14381">
        <v>8333854</v>
      </c>
      <c r="F14381">
        <v>3085</v>
      </c>
      <c r="G14381">
        <v>0</v>
      </c>
      <c r="H14381" t="s">
        <v>19233</v>
      </c>
      <c r="I14381">
        <v>16263</v>
      </c>
      <c r="J14381" t="str">
        <f>VLOOKUP(E14381,DSSpieler!A:B,2,FALSE)</f>
        <v>Tutuvina</v>
      </c>
    </row>
    <row r="14382" spans="1:10" x14ac:dyDescent="0.25">
      <c r="A14382">
        <v>16267</v>
      </c>
      <c r="B14382" t="s">
        <v>531</v>
      </c>
      <c r="C14382">
        <v>429</v>
      </c>
      <c r="D14382">
        <v>596</v>
      </c>
      <c r="E14382">
        <v>0</v>
      </c>
      <c r="F14382">
        <v>232</v>
      </c>
      <c r="G14382">
        <v>0</v>
      </c>
      <c r="H14382" t="s">
        <v>19234</v>
      </c>
      <c r="I14382">
        <v>16267</v>
      </c>
      <c r="J14382" t="e">
        <f>VLOOKUP(E14382,DSSpieler!A:B,2,FALSE)</f>
        <v>#N/A</v>
      </c>
    </row>
    <row r="14383" spans="1:10" x14ac:dyDescent="0.25">
      <c r="A14383">
        <v>16268</v>
      </c>
      <c r="B14383" t="s">
        <v>531</v>
      </c>
      <c r="C14383">
        <v>599</v>
      </c>
      <c r="D14383">
        <v>568</v>
      </c>
      <c r="E14383">
        <v>0</v>
      </c>
      <c r="F14383">
        <v>197</v>
      </c>
      <c r="G14383">
        <v>0</v>
      </c>
      <c r="H14383" t="s">
        <v>19235</v>
      </c>
      <c r="I14383">
        <v>16268</v>
      </c>
      <c r="J14383" t="e">
        <f>VLOOKUP(E14383,DSSpieler!A:B,2,FALSE)</f>
        <v>#N/A</v>
      </c>
    </row>
    <row r="14384" spans="1:10" x14ac:dyDescent="0.25">
      <c r="A14384">
        <v>16270</v>
      </c>
      <c r="B14384" t="s">
        <v>531</v>
      </c>
      <c r="C14384">
        <v>388</v>
      </c>
      <c r="D14384">
        <v>524</v>
      </c>
      <c r="E14384">
        <v>0</v>
      </c>
      <c r="F14384">
        <v>94</v>
      </c>
      <c r="G14384">
        <v>0</v>
      </c>
      <c r="H14384" t="s">
        <v>19236</v>
      </c>
      <c r="I14384">
        <v>16270</v>
      </c>
      <c r="J14384" t="e">
        <f>VLOOKUP(E14384,DSSpieler!A:B,2,FALSE)</f>
        <v>#N/A</v>
      </c>
    </row>
    <row r="14385" spans="1:10" x14ac:dyDescent="0.25">
      <c r="A14385">
        <v>16271</v>
      </c>
      <c r="B14385" t="s">
        <v>35289</v>
      </c>
      <c r="C14385">
        <v>452</v>
      </c>
      <c r="D14385">
        <v>388</v>
      </c>
      <c r="E14385">
        <v>8589345</v>
      </c>
      <c r="F14385">
        <v>3500</v>
      </c>
      <c r="G14385">
        <v>0</v>
      </c>
      <c r="H14385" t="s">
        <v>19237</v>
      </c>
      <c r="I14385">
        <v>16271</v>
      </c>
      <c r="J14385" t="str">
        <f>VLOOKUP(E14385,DSSpieler!A:B,2,FALSE)</f>
        <v>gregsen</v>
      </c>
    </row>
    <row r="14386" spans="1:10" x14ac:dyDescent="0.25">
      <c r="A14386">
        <v>16273</v>
      </c>
      <c r="B14386" t="s">
        <v>531</v>
      </c>
      <c r="C14386">
        <v>405</v>
      </c>
      <c r="D14386">
        <v>577</v>
      </c>
      <c r="E14386">
        <v>0</v>
      </c>
      <c r="F14386">
        <v>119</v>
      </c>
      <c r="G14386">
        <v>0</v>
      </c>
      <c r="H14386" t="s">
        <v>19238</v>
      </c>
      <c r="I14386">
        <v>16273</v>
      </c>
      <c r="J14386" t="e">
        <f>VLOOKUP(E14386,DSSpieler!A:B,2,FALSE)</f>
        <v>#N/A</v>
      </c>
    </row>
    <row r="14387" spans="1:10" x14ac:dyDescent="0.25">
      <c r="A14387">
        <v>16274</v>
      </c>
      <c r="B14387" t="s">
        <v>531</v>
      </c>
      <c r="C14387">
        <v>386</v>
      </c>
      <c r="D14387">
        <v>460</v>
      </c>
      <c r="E14387">
        <v>0</v>
      </c>
      <c r="F14387">
        <v>173</v>
      </c>
      <c r="G14387">
        <v>0</v>
      </c>
      <c r="H14387" t="s">
        <v>19239</v>
      </c>
      <c r="I14387">
        <v>16274</v>
      </c>
      <c r="J14387" t="e">
        <f>VLOOKUP(E14387,DSSpieler!A:B,2,FALSE)</f>
        <v>#N/A</v>
      </c>
    </row>
    <row r="14388" spans="1:10" x14ac:dyDescent="0.25">
      <c r="A14388">
        <v>16275</v>
      </c>
      <c r="B14388" t="s">
        <v>531</v>
      </c>
      <c r="C14388">
        <v>435</v>
      </c>
      <c r="D14388">
        <v>603</v>
      </c>
      <c r="E14388">
        <v>0</v>
      </c>
      <c r="F14388">
        <v>112</v>
      </c>
      <c r="G14388">
        <v>0</v>
      </c>
      <c r="H14388" t="s">
        <v>19240</v>
      </c>
      <c r="I14388">
        <v>16275</v>
      </c>
      <c r="J14388" t="e">
        <f>VLOOKUP(E14388,DSSpieler!A:B,2,FALSE)</f>
        <v>#N/A</v>
      </c>
    </row>
    <row r="14389" spans="1:10" x14ac:dyDescent="0.25">
      <c r="A14389">
        <v>16276</v>
      </c>
      <c r="B14389" t="s">
        <v>531</v>
      </c>
      <c r="C14389">
        <v>534</v>
      </c>
      <c r="D14389">
        <v>384</v>
      </c>
      <c r="E14389">
        <v>0</v>
      </c>
      <c r="F14389">
        <v>177</v>
      </c>
      <c r="G14389">
        <v>0</v>
      </c>
      <c r="H14389" t="s">
        <v>19241</v>
      </c>
      <c r="I14389">
        <v>16276</v>
      </c>
      <c r="J14389" t="e">
        <f>VLOOKUP(E14389,DSSpieler!A:B,2,FALSE)</f>
        <v>#N/A</v>
      </c>
    </row>
    <row r="14390" spans="1:10" x14ac:dyDescent="0.25">
      <c r="A14390">
        <v>16279</v>
      </c>
      <c r="B14390" t="s">
        <v>531</v>
      </c>
      <c r="C14390">
        <v>381</v>
      </c>
      <c r="D14390">
        <v>501</v>
      </c>
      <c r="E14390">
        <v>0</v>
      </c>
      <c r="F14390">
        <v>185</v>
      </c>
      <c r="G14390">
        <v>0</v>
      </c>
      <c r="H14390" t="s">
        <v>19242</v>
      </c>
      <c r="I14390">
        <v>16279</v>
      </c>
      <c r="J14390" t="e">
        <f>VLOOKUP(E14390,DSSpieler!A:B,2,FALSE)</f>
        <v>#N/A</v>
      </c>
    </row>
    <row r="14391" spans="1:10" x14ac:dyDescent="0.25">
      <c r="A14391">
        <v>16280</v>
      </c>
      <c r="B14391" t="s">
        <v>35290</v>
      </c>
      <c r="C14391">
        <v>561</v>
      </c>
      <c r="D14391">
        <v>391</v>
      </c>
      <c r="E14391">
        <v>1576170098</v>
      </c>
      <c r="F14391">
        <v>1448</v>
      </c>
      <c r="G14391">
        <v>0</v>
      </c>
      <c r="H14391" t="s">
        <v>19243</v>
      </c>
      <c r="I14391">
        <v>16280</v>
      </c>
      <c r="J14391" t="str">
        <f>VLOOKUP(E14391,DSSpieler!A:B,2,FALSE)</f>
        <v>Porky</v>
      </c>
    </row>
    <row r="14392" spans="1:10" x14ac:dyDescent="0.25">
      <c r="A14392">
        <v>16281</v>
      </c>
      <c r="B14392" t="s">
        <v>35291</v>
      </c>
      <c r="C14392">
        <v>611</v>
      </c>
      <c r="D14392">
        <v>544</v>
      </c>
      <c r="E14392">
        <v>9726912</v>
      </c>
      <c r="F14392">
        <v>2445</v>
      </c>
      <c r="G14392">
        <v>0</v>
      </c>
      <c r="H14392" t="s">
        <v>19244</v>
      </c>
      <c r="I14392">
        <v>16281</v>
      </c>
      <c r="J14392" t="str">
        <f>VLOOKUP(E14392,DSSpieler!A:B,2,FALSE)</f>
        <v>Cadaverous66</v>
      </c>
    </row>
    <row r="14393" spans="1:10" x14ac:dyDescent="0.25">
      <c r="A14393">
        <v>16283</v>
      </c>
      <c r="B14393" t="s">
        <v>2489</v>
      </c>
      <c r="C14393">
        <v>570</v>
      </c>
      <c r="D14393">
        <v>396</v>
      </c>
      <c r="E14393">
        <v>1577053473</v>
      </c>
      <c r="F14393">
        <v>2372</v>
      </c>
      <c r="G14393">
        <v>0</v>
      </c>
      <c r="H14393" t="s">
        <v>19245</v>
      </c>
      <c r="I14393">
        <v>16283</v>
      </c>
      <c r="J14393" t="str">
        <f>VLOOKUP(E14393,DSSpieler!A:B,2,FALSE)</f>
        <v>Schmendrick</v>
      </c>
    </row>
    <row r="14394" spans="1:10" x14ac:dyDescent="0.25">
      <c r="A14394">
        <v>16285</v>
      </c>
      <c r="B14394" t="s">
        <v>531</v>
      </c>
      <c r="C14394">
        <v>618</v>
      </c>
      <c r="D14394">
        <v>489</v>
      </c>
      <c r="E14394">
        <v>0</v>
      </c>
      <c r="F14394">
        <v>209</v>
      </c>
      <c r="G14394">
        <v>0</v>
      </c>
      <c r="H14394" t="s">
        <v>19246</v>
      </c>
      <c r="I14394">
        <v>16285</v>
      </c>
      <c r="J14394" t="e">
        <f>VLOOKUP(E14394,DSSpieler!A:B,2,FALSE)</f>
        <v>#N/A</v>
      </c>
    </row>
    <row r="14395" spans="1:10" x14ac:dyDescent="0.25">
      <c r="A14395">
        <v>16286</v>
      </c>
      <c r="B14395" t="s">
        <v>531</v>
      </c>
      <c r="C14395">
        <v>620</v>
      </c>
      <c r="D14395">
        <v>476</v>
      </c>
      <c r="E14395">
        <v>0</v>
      </c>
      <c r="F14395">
        <v>264</v>
      </c>
      <c r="G14395">
        <v>0</v>
      </c>
      <c r="H14395" t="s">
        <v>19247</v>
      </c>
      <c r="I14395">
        <v>16286</v>
      </c>
      <c r="J14395" t="e">
        <f>VLOOKUP(E14395,DSSpieler!A:B,2,FALSE)</f>
        <v>#N/A</v>
      </c>
    </row>
    <row r="14396" spans="1:10" x14ac:dyDescent="0.25">
      <c r="A14396">
        <v>16288</v>
      </c>
      <c r="B14396" t="s">
        <v>531</v>
      </c>
      <c r="C14396">
        <v>400</v>
      </c>
      <c r="D14396">
        <v>431</v>
      </c>
      <c r="E14396">
        <v>0</v>
      </c>
      <c r="F14396">
        <v>217</v>
      </c>
      <c r="G14396">
        <v>0</v>
      </c>
      <c r="H14396" t="s">
        <v>19248</v>
      </c>
      <c r="I14396">
        <v>16288</v>
      </c>
      <c r="J14396" t="e">
        <f>VLOOKUP(E14396,DSSpieler!A:B,2,FALSE)</f>
        <v>#N/A</v>
      </c>
    </row>
    <row r="14397" spans="1:10" x14ac:dyDescent="0.25">
      <c r="A14397">
        <v>16289</v>
      </c>
      <c r="B14397" t="s">
        <v>35292</v>
      </c>
      <c r="C14397">
        <v>474</v>
      </c>
      <c r="D14397">
        <v>379</v>
      </c>
      <c r="E14397">
        <v>1577200904</v>
      </c>
      <c r="F14397">
        <v>487</v>
      </c>
      <c r="G14397">
        <v>0</v>
      </c>
      <c r="H14397" t="s">
        <v>19249</v>
      </c>
      <c r="I14397">
        <v>16289</v>
      </c>
      <c r="J14397" t="str">
        <f>VLOOKUP(E14397,DSSpieler!A:B,2,FALSE)</f>
        <v>BW Galgenmoor</v>
      </c>
    </row>
    <row r="14398" spans="1:10" x14ac:dyDescent="0.25">
      <c r="A14398">
        <v>16290</v>
      </c>
      <c r="B14398" t="s">
        <v>531</v>
      </c>
      <c r="C14398">
        <v>618</v>
      </c>
      <c r="D14398">
        <v>482</v>
      </c>
      <c r="E14398">
        <v>0</v>
      </c>
      <c r="F14398">
        <v>219</v>
      </c>
      <c r="G14398">
        <v>0</v>
      </c>
      <c r="H14398" t="s">
        <v>19250</v>
      </c>
      <c r="I14398">
        <v>16290</v>
      </c>
      <c r="J14398" t="e">
        <f>VLOOKUP(E14398,DSSpieler!A:B,2,FALSE)</f>
        <v>#N/A</v>
      </c>
    </row>
    <row r="14399" spans="1:10" x14ac:dyDescent="0.25">
      <c r="A14399">
        <v>16291</v>
      </c>
      <c r="B14399" t="s">
        <v>531</v>
      </c>
      <c r="C14399">
        <v>542</v>
      </c>
      <c r="D14399">
        <v>387</v>
      </c>
      <c r="E14399">
        <v>0</v>
      </c>
      <c r="F14399">
        <v>103</v>
      </c>
      <c r="G14399">
        <v>0</v>
      </c>
      <c r="H14399" t="s">
        <v>19251</v>
      </c>
      <c r="I14399">
        <v>16291</v>
      </c>
      <c r="J14399" t="e">
        <f>VLOOKUP(E14399,DSSpieler!A:B,2,FALSE)</f>
        <v>#N/A</v>
      </c>
    </row>
    <row r="14400" spans="1:10" x14ac:dyDescent="0.25">
      <c r="A14400">
        <v>16292</v>
      </c>
      <c r="B14400" t="s">
        <v>531</v>
      </c>
      <c r="C14400">
        <v>476</v>
      </c>
      <c r="D14400">
        <v>619</v>
      </c>
      <c r="E14400">
        <v>0</v>
      </c>
      <c r="F14400">
        <v>138</v>
      </c>
      <c r="G14400">
        <v>0</v>
      </c>
      <c r="H14400" t="s">
        <v>19252</v>
      </c>
      <c r="I14400">
        <v>16292</v>
      </c>
      <c r="J14400" t="e">
        <f>VLOOKUP(E14400,DSSpieler!A:B,2,FALSE)</f>
        <v>#N/A</v>
      </c>
    </row>
    <row r="14401" spans="1:10" x14ac:dyDescent="0.25">
      <c r="A14401">
        <v>16293</v>
      </c>
      <c r="B14401" t="s">
        <v>531</v>
      </c>
      <c r="C14401">
        <v>615</v>
      </c>
      <c r="D14401">
        <v>531</v>
      </c>
      <c r="E14401">
        <v>0</v>
      </c>
      <c r="F14401">
        <v>74</v>
      </c>
      <c r="G14401">
        <v>0</v>
      </c>
      <c r="H14401" t="s">
        <v>19253</v>
      </c>
      <c r="I14401">
        <v>16293</v>
      </c>
      <c r="J14401" t="e">
        <f>VLOOKUP(E14401,DSSpieler!A:B,2,FALSE)</f>
        <v>#N/A</v>
      </c>
    </row>
    <row r="14402" spans="1:10" x14ac:dyDescent="0.25">
      <c r="A14402">
        <v>16295</v>
      </c>
      <c r="B14402" t="s">
        <v>531</v>
      </c>
      <c r="C14402">
        <v>395</v>
      </c>
      <c r="D14402">
        <v>556</v>
      </c>
      <c r="E14402">
        <v>0</v>
      </c>
      <c r="F14402">
        <v>145</v>
      </c>
      <c r="G14402">
        <v>0</v>
      </c>
      <c r="H14402" t="s">
        <v>19254</v>
      </c>
      <c r="I14402">
        <v>16295</v>
      </c>
      <c r="J14402" t="e">
        <f>VLOOKUP(E14402,DSSpieler!A:B,2,FALSE)</f>
        <v>#N/A</v>
      </c>
    </row>
    <row r="14403" spans="1:10" x14ac:dyDescent="0.25">
      <c r="A14403">
        <v>16296</v>
      </c>
      <c r="B14403" t="s">
        <v>35293</v>
      </c>
      <c r="C14403">
        <v>403</v>
      </c>
      <c r="D14403">
        <v>424</v>
      </c>
      <c r="E14403">
        <v>1576699219</v>
      </c>
      <c r="F14403">
        <v>70</v>
      </c>
      <c r="G14403">
        <v>0</v>
      </c>
      <c r="H14403" t="s">
        <v>19255</v>
      </c>
      <c r="I14403">
        <v>16296</v>
      </c>
      <c r="J14403" t="str">
        <f>VLOOKUP(E14403,DSSpieler!A:B,2,FALSE)</f>
        <v>Steeeve</v>
      </c>
    </row>
    <row r="14404" spans="1:10" x14ac:dyDescent="0.25">
      <c r="A14404">
        <v>16297</v>
      </c>
      <c r="B14404" t="s">
        <v>1317</v>
      </c>
      <c r="C14404">
        <v>623</v>
      </c>
      <c r="D14404">
        <v>492</v>
      </c>
      <c r="E14404">
        <v>1577203957</v>
      </c>
      <c r="F14404">
        <v>2013</v>
      </c>
      <c r="G14404">
        <v>0</v>
      </c>
      <c r="H14404" t="s">
        <v>19256</v>
      </c>
      <c r="I14404">
        <v>16297</v>
      </c>
      <c r="J14404" t="str">
        <f>VLOOKUP(E14404,DSSpieler!A:B,2,FALSE)</f>
        <v>Blazze</v>
      </c>
    </row>
    <row r="14405" spans="1:10" x14ac:dyDescent="0.25">
      <c r="A14405">
        <v>16298</v>
      </c>
      <c r="B14405" t="s">
        <v>35294</v>
      </c>
      <c r="C14405">
        <v>489</v>
      </c>
      <c r="D14405">
        <v>378</v>
      </c>
      <c r="E14405">
        <v>543535</v>
      </c>
      <c r="F14405">
        <v>187</v>
      </c>
      <c r="G14405">
        <v>0</v>
      </c>
      <c r="H14405" t="s">
        <v>19257</v>
      </c>
      <c r="I14405">
        <v>16298</v>
      </c>
      <c r="J14405" t="str">
        <f>VLOOKUP(E14405,DSSpieler!A:B,2,FALSE)</f>
        <v>mantu</v>
      </c>
    </row>
    <row r="14406" spans="1:10" x14ac:dyDescent="0.25">
      <c r="A14406">
        <v>16299</v>
      </c>
      <c r="B14406" t="s">
        <v>2490</v>
      </c>
      <c r="C14406">
        <v>382</v>
      </c>
      <c r="D14406">
        <v>527</v>
      </c>
      <c r="E14406">
        <v>7816945</v>
      </c>
      <c r="F14406">
        <v>4151</v>
      </c>
      <c r="G14406">
        <v>0</v>
      </c>
      <c r="H14406" t="s">
        <v>19258</v>
      </c>
      <c r="I14406">
        <v>16299</v>
      </c>
      <c r="J14406" t="str">
        <f>VLOOKUP(E14406,DSSpieler!A:B,2,FALSE)</f>
        <v>König van der Heid</v>
      </c>
    </row>
    <row r="14407" spans="1:10" x14ac:dyDescent="0.25">
      <c r="A14407">
        <v>16300</v>
      </c>
      <c r="B14407" t="s">
        <v>531</v>
      </c>
      <c r="C14407">
        <v>407</v>
      </c>
      <c r="D14407">
        <v>554</v>
      </c>
      <c r="E14407">
        <v>0</v>
      </c>
      <c r="F14407">
        <v>178</v>
      </c>
      <c r="G14407">
        <v>0</v>
      </c>
      <c r="H14407" t="s">
        <v>19259</v>
      </c>
      <c r="I14407">
        <v>16300</v>
      </c>
      <c r="J14407" t="e">
        <f>VLOOKUP(E14407,DSSpieler!A:B,2,FALSE)</f>
        <v>#N/A</v>
      </c>
    </row>
    <row r="14408" spans="1:10" x14ac:dyDescent="0.25">
      <c r="A14408">
        <v>16301</v>
      </c>
      <c r="B14408" t="s">
        <v>2491</v>
      </c>
      <c r="C14408">
        <v>615</v>
      </c>
      <c r="D14408">
        <v>463</v>
      </c>
      <c r="E14408">
        <v>1577197624</v>
      </c>
      <c r="F14408">
        <v>2275</v>
      </c>
      <c r="G14408">
        <v>0</v>
      </c>
      <c r="H14408" t="s">
        <v>19260</v>
      </c>
      <c r="I14408">
        <v>16301</v>
      </c>
      <c r="J14408" t="str">
        <f>VLOOKUP(E14408,DSSpieler!A:B,2,FALSE)</f>
        <v>Cup-Cake</v>
      </c>
    </row>
    <row r="14409" spans="1:10" x14ac:dyDescent="0.25">
      <c r="A14409">
        <v>16302</v>
      </c>
      <c r="B14409" t="s">
        <v>35295</v>
      </c>
      <c r="C14409">
        <v>562</v>
      </c>
      <c r="D14409">
        <v>603</v>
      </c>
      <c r="E14409">
        <v>2835790</v>
      </c>
      <c r="F14409">
        <v>1401</v>
      </c>
      <c r="G14409">
        <v>0</v>
      </c>
      <c r="H14409" t="s">
        <v>19261</v>
      </c>
      <c r="I14409">
        <v>16302</v>
      </c>
      <c r="J14409" t="str">
        <f>VLOOKUP(E14409,DSSpieler!A:B,2,FALSE)</f>
        <v>Tettenbura</v>
      </c>
    </row>
    <row r="14410" spans="1:10" x14ac:dyDescent="0.25">
      <c r="A14410">
        <v>16304</v>
      </c>
      <c r="B14410" t="s">
        <v>35296</v>
      </c>
      <c r="C14410">
        <v>547</v>
      </c>
      <c r="D14410">
        <v>387</v>
      </c>
      <c r="E14410">
        <v>1577045139</v>
      </c>
      <c r="F14410">
        <v>2882</v>
      </c>
      <c r="G14410">
        <v>0</v>
      </c>
      <c r="H14410" t="s">
        <v>19262</v>
      </c>
      <c r="I14410">
        <v>16304</v>
      </c>
      <c r="J14410" t="str">
        <f>VLOOKUP(E14410,DSSpieler!A:B,2,FALSE)</f>
        <v>Ice and Fire</v>
      </c>
    </row>
    <row r="14411" spans="1:10" x14ac:dyDescent="0.25">
      <c r="A14411">
        <v>16305</v>
      </c>
      <c r="B14411" t="s">
        <v>531</v>
      </c>
      <c r="C14411">
        <v>565</v>
      </c>
      <c r="D14411">
        <v>605</v>
      </c>
      <c r="E14411">
        <v>0</v>
      </c>
      <c r="F14411">
        <v>310</v>
      </c>
      <c r="G14411">
        <v>0</v>
      </c>
      <c r="H14411" t="s">
        <v>19263</v>
      </c>
      <c r="I14411">
        <v>16305</v>
      </c>
      <c r="J14411" t="e">
        <f>VLOOKUP(E14411,DSSpieler!A:B,2,FALSE)</f>
        <v>#N/A</v>
      </c>
    </row>
    <row r="14412" spans="1:10" x14ac:dyDescent="0.25">
      <c r="A14412">
        <v>16306</v>
      </c>
      <c r="B14412">
        <v>4</v>
      </c>
      <c r="C14412">
        <v>390</v>
      </c>
      <c r="D14412">
        <v>455</v>
      </c>
      <c r="E14412">
        <v>1576311874</v>
      </c>
      <c r="F14412">
        <v>1782</v>
      </c>
      <c r="G14412">
        <v>0</v>
      </c>
      <c r="H14412" t="s">
        <v>497</v>
      </c>
      <c r="I14412">
        <v>16306</v>
      </c>
      <c r="J14412" t="str">
        <f>VLOOKUP(E14412,DSSpieler!A:B,2,FALSE)</f>
        <v>Jakob.1</v>
      </c>
    </row>
    <row r="14413" spans="1:10" x14ac:dyDescent="0.25">
      <c r="A14413">
        <v>16307</v>
      </c>
      <c r="B14413" t="s">
        <v>30494</v>
      </c>
      <c r="C14413">
        <v>557</v>
      </c>
      <c r="D14413">
        <v>608</v>
      </c>
      <c r="E14413">
        <v>1577204302</v>
      </c>
      <c r="F14413">
        <v>3850</v>
      </c>
      <c r="G14413">
        <v>0</v>
      </c>
      <c r="H14413" t="s">
        <v>19264</v>
      </c>
      <c r="I14413">
        <v>16307</v>
      </c>
      <c r="J14413" t="str">
        <f>VLOOKUP(E14413,DSSpieler!A:B,2,FALSE)</f>
        <v>Lord Dome</v>
      </c>
    </row>
    <row r="14414" spans="1:10" x14ac:dyDescent="0.25">
      <c r="A14414">
        <v>16308</v>
      </c>
      <c r="B14414" t="s">
        <v>531</v>
      </c>
      <c r="C14414">
        <v>586</v>
      </c>
      <c r="D14414">
        <v>587</v>
      </c>
      <c r="E14414">
        <v>0</v>
      </c>
      <c r="F14414">
        <v>902</v>
      </c>
      <c r="G14414">
        <v>0</v>
      </c>
      <c r="H14414" t="s">
        <v>19265</v>
      </c>
      <c r="I14414">
        <v>16308</v>
      </c>
      <c r="J14414" t="e">
        <f>VLOOKUP(E14414,DSSpieler!A:B,2,FALSE)</f>
        <v>#N/A</v>
      </c>
    </row>
    <row r="14415" spans="1:10" x14ac:dyDescent="0.25">
      <c r="A14415">
        <v>16309</v>
      </c>
      <c r="B14415" t="s">
        <v>2492</v>
      </c>
      <c r="C14415">
        <v>543</v>
      </c>
      <c r="D14415">
        <v>386</v>
      </c>
      <c r="E14415">
        <v>2987629</v>
      </c>
      <c r="F14415">
        <v>2379</v>
      </c>
      <c r="G14415">
        <v>0</v>
      </c>
      <c r="H14415" t="s">
        <v>19266</v>
      </c>
      <c r="I14415">
        <v>16309</v>
      </c>
      <c r="J14415" t="str">
        <f>VLOOKUP(E14415,DSSpieler!A:B,2,FALSE)</f>
        <v>Grauhelm</v>
      </c>
    </row>
    <row r="14416" spans="1:10" x14ac:dyDescent="0.25">
      <c r="A14416">
        <v>16310</v>
      </c>
      <c r="B14416" t="s">
        <v>531</v>
      </c>
      <c r="C14416">
        <v>558</v>
      </c>
      <c r="D14416">
        <v>396</v>
      </c>
      <c r="E14416">
        <v>0</v>
      </c>
      <c r="F14416">
        <v>184</v>
      </c>
      <c r="G14416">
        <v>0</v>
      </c>
      <c r="H14416" t="s">
        <v>19267</v>
      </c>
      <c r="I14416">
        <v>16310</v>
      </c>
      <c r="J14416" t="e">
        <f>VLOOKUP(E14416,DSSpieler!A:B,2,FALSE)</f>
        <v>#N/A</v>
      </c>
    </row>
    <row r="14417" spans="1:10" x14ac:dyDescent="0.25">
      <c r="A14417">
        <v>16311</v>
      </c>
      <c r="B14417" t="s">
        <v>35297</v>
      </c>
      <c r="C14417">
        <v>476</v>
      </c>
      <c r="D14417">
        <v>620</v>
      </c>
      <c r="E14417">
        <v>1577203620</v>
      </c>
      <c r="F14417">
        <v>1261</v>
      </c>
      <c r="G14417">
        <v>0</v>
      </c>
      <c r="H14417" t="s">
        <v>19268</v>
      </c>
      <c r="I14417">
        <v>16311</v>
      </c>
      <c r="J14417" t="str">
        <f>VLOOKUP(E14417,DSSpieler!A:B,2,FALSE)</f>
        <v>Darry</v>
      </c>
    </row>
    <row r="14418" spans="1:10" x14ac:dyDescent="0.25">
      <c r="A14418">
        <v>16313</v>
      </c>
      <c r="B14418" t="s">
        <v>2493</v>
      </c>
      <c r="C14418">
        <v>540</v>
      </c>
      <c r="D14418">
        <v>451</v>
      </c>
      <c r="E14418">
        <v>1577183460</v>
      </c>
      <c r="F14418">
        <v>3328</v>
      </c>
      <c r="G14418">
        <v>0</v>
      </c>
      <c r="H14418" t="s">
        <v>19269</v>
      </c>
      <c r="I14418">
        <v>16313</v>
      </c>
      <c r="J14418" t="str">
        <f>VLOOKUP(E14418,DSSpieler!A:B,2,FALSE)</f>
        <v>TrollPick</v>
      </c>
    </row>
    <row r="14419" spans="1:10" x14ac:dyDescent="0.25">
      <c r="A14419">
        <v>16314</v>
      </c>
      <c r="B14419" t="s">
        <v>35298</v>
      </c>
      <c r="C14419">
        <v>428</v>
      </c>
      <c r="D14419">
        <v>504</v>
      </c>
      <c r="E14419">
        <v>1324412</v>
      </c>
      <c r="F14419">
        <v>3077</v>
      </c>
      <c r="G14419">
        <v>0</v>
      </c>
      <c r="H14419" t="s">
        <v>19270</v>
      </c>
      <c r="I14419">
        <v>16314</v>
      </c>
      <c r="J14419" t="str">
        <f>VLOOKUP(E14419,DSSpieler!A:B,2,FALSE)</f>
        <v>Chico99</v>
      </c>
    </row>
    <row r="14420" spans="1:10" x14ac:dyDescent="0.25">
      <c r="A14420">
        <v>16315</v>
      </c>
      <c r="B14420" t="s">
        <v>35299</v>
      </c>
      <c r="C14420">
        <v>496</v>
      </c>
      <c r="D14420">
        <v>524</v>
      </c>
      <c r="E14420">
        <v>1230608</v>
      </c>
      <c r="F14420">
        <v>1521</v>
      </c>
      <c r="G14420">
        <v>0</v>
      </c>
      <c r="H14420" t="s">
        <v>19271</v>
      </c>
      <c r="I14420">
        <v>16315</v>
      </c>
      <c r="J14420" t="str">
        <f>VLOOKUP(E14420,DSSpieler!A:B,2,FALSE)</f>
        <v>jomag</v>
      </c>
    </row>
    <row r="14421" spans="1:10" x14ac:dyDescent="0.25">
      <c r="A14421">
        <v>16316</v>
      </c>
      <c r="B14421" t="s">
        <v>35300</v>
      </c>
      <c r="C14421">
        <v>540</v>
      </c>
      <c r="D14421">
        <v>389</v>
      </c>
      <c r="E14421">
        <v>1577197031</v>
      </c>
      <c r="F14421">
        <v>4002</v>
      </c>
      <c r="G14421">
        <v>0</v>
      </c>
      <c r="H14421" t="s">
        <v>19272</v>
      </c>
      <c r="I14421">
        <v>16316</v>
      </c>
      <c r="J14421" t="str">
        <f>VLOOKUP(E14421,DSSpieler!A:B,2,FALSE)</f>
        <v>Thisek</v>
      </c>
    </row>
    <row r="14422" spans="1:10" x14ac:dyDescent="0.25">
      <c r="A14422">
        <v>16317</v>
      </c>
      <c r="B14422" t="s">
        <v>732</v>
      </c>
      <c r="C14422">
        <v>381</v>
      </c>
      <c r="D14422">
        <v>500</v>
      </c>
      <c r="E14422">
        <v>1576430467</v>
      </c>
      <c r="F14422">
        <v>1243</v>
      </c>
      <c r="G14422">
        <v>0</v>
      </c>
      <c r="H14422" t="s">
        <v>19273</v>
      </c>
      <c r="I14422">
        <v>16317</v>
      </c>
      <c r="J14422" t="str">
        <f>VLOOKUP(E14422,DSSpieler!A:B,2,FALSE)</f>
        <v>KingPin301</v>
      </c>
    </row>
    <row r="14423" spans="1:10" x14ac:dyDescent="0.25">
      <c r="A14423">
        <v>16318</v>
      </c>
      <c r="B14423" t="s">
        <v>30467</v>
      </c>
      <c r="C14423">
        <v>533</v>
      </c>
      <c r="D14423">
        <v>378</v>
      </c>
      <c r="E14423">
        <v>9003808</v>
      </c>
      <c r="F14423">
        <v>3450</v>
      </c>
      <c r="G14423">
        <v>0</v>
      </c>
      <c r="H14423" t="s">
        <v>19274</v>
      </c>
      <c r="I14423">
        <v>16318</v>
      </c>
      <c r="J14423" t="str">
        <f>VLOOKUP(E14423,DSSpieler!A:B,2,FALSE)</f>
        <v>Mr. MacDonald</v>
      </c>
    </row>
    <row r="14424" spans="1:10" x14ac:dyDescent="0.25">
      <c r="A14424">
        <v>16319</v>
      </c>
      <c r="B14424" t="s">
        <v>35301</v>
      </c>
      <c r="C14424">
        <v>620</v>
      </c>
      <c r="D14424">
        <v>512</v>
      </c>
      <c r="E14424">
        <v>1576293851</v>
      </c>
      <c r="F14424">
        <v>3520</v>
      </c>
      <c r="G14424">
        <v>0</v>
      </c>
      <c r="H14424" t="s">
        <v>19275</v>
      </c>
      <c r="I14424">
        <v>16319</v>
      </c>
      <c r="J14424" t="str">
        <f>VLOOKUP(E14424,DSSpieler!A:B,2,FALSE)</f>
        <v>Strezzer</v>
      </c>
    </row>
    <row r="14425" spans="1:10" x14ac:dyDescent="0.25">
      <c r="A14425">
        <v>16320</v>
      </c>
      <c r="B14425" t="s">
        <v>30485</v>
      </c>
      <c r="C14425">
        <v>530</v>
      </c>
      <c r="D14425">
        <v>383</v>
      </c>
      <c r="E14425">
        <v>1577197192</v>
      </c>
      <c r="F14425">
        <v>5604</v>
      </c>
      <c r="G14425">
        <v>0</v>
      </c>
      <c r="H14425" t="s">
        <v>19276</v>
      </c>
      <c r="I14425">
        <v>16320</v>
      </c>
      <c r="J14425" t="str">
        <f>VLOOKUP(E14425,DSSpieler!A:B,2,FALSE)</f>
        <v>Dr. Power</v>
      </c>
    </row>
    <row r="14426" spans="1:10" x14ac:dyDescent="0.25">
      <c r="A14426">
        <v>16321</v>
      </c>
      <c r="B14426" t="s">
        <v>531</v>
      </c>
      <c r="C14426">
        <v>580</v>
      </c>
      <c r="D14426">
        <v>407</v>
      </c>
      <c r="E14426">
        <v>0</v>
      </c>
      <c r="F14426">
        <v>206</v>
      </c>
      <c r="G14426">
        <v>0</v>
      </c>
      <c r="H14426" t="s">
        <v>19277</v>
      </c>
      <c r="I14426">
        <v>16321</v>
      </c>
      <c r="J14426" t="e">
        <f>VLOOKUP(E14426,DSSpieler!A:B,2,FALSE)</f>
        <v>#N/A</v>
      </c>
    </row>
    <row r="14427" spans="1:10" x14ac:dyDescent="0.25">
      <c r="A14427">
        <v>16322</v>
      </c>
      <c r="B14427" t="s">
        <v>2494</v>
      </c>
      <c r="C14427">
        <v>534</v>
      </c>
      <c r="D14427">
        <v>382</v>
      </c>
      <c r="E14427">
        <v>1577197049</v>
      </c>
      <c r="F14427">
        <v>3179</v>
      </c>
      <c r="G14427">
        <v>0</v>
      </c>
      <c r="H14427" t="s">
        <v>19278</v>
      </c>
      <c r="I14427">
        <v>16322</v>
      </c>
      <c r="J14427" t="str">
        <f>VLOOKUP(E14427,DSSpieler!A:B,2,FALSE)</f>
        <v>Spindoctor</v>
      </c>
    </row>
    <row r="14428" spans="1:10" x14ac:dyDescent="0.25">
      <c r="A14428">
        <v>16323</v>
      </c>
      <c r="B14428" t="s">
        <v>531</v>
      </c>
      <c r="C14428">
        <v>456</v>
      </c>
      <c r="D14428">
        <v>609</v>
      </c>
      <c r="E14428">
        <v>0</v>
      </c>
      <c r="F14428">
        <v>52</v>
      </c>
      <c r="G14428">
        <v>0</v>
      </c>
      <c r="H14428" t="s">
        <v>19279</v>
      </c>
      <c r="I14428">
        <v>16323</v>
      </c>
      <c r="J14428" t="e">
        <f>VLOOKUP(E14428,DSSpieler!A:B,2,FALSE)</f>
        <v>#N/A</v>
      </c>
    </row>
    <row r="14429" spans="1:10" x14ac:dyDescent="0.25">
      <c r="A14429">
        <v>16324</v>
      </c>
      <c r="B14429" t="s">
        <v>35302</v>
      </c>
      <c r="C14429">
        <v>413</v>
      </c>
      <c r="D14429">
        <v>419</v>
      </c>
      <c r="E14429">
        <v>1577201107</v>
      </c>
      <c r="F14429">
        <v>1580</v>
      </c>
      <c r="G14429">
        <v>0</v>
      </c>
      <c r="H14429" t="s">
        <v>19280</v>
      </c>
      <c r="I14429">
        <v>16324</v>
      </c>
      <c r="J14429" t="str">
        <f>VLOOKUP(E14429,DSSpieler!A:B,2,FALSE)</f>
        <v>chocka7</v>
      </c>
    </row>
    <row r="14430" spans="1:10" x14ac:dyDescent="0.25">
      <c r="A14430">
        <v>16325</v>
      </c>
      <c r="B14430" t="s">
        <v>531</v>
      </c>
      <c r="C14430">
        <v>460</v>
      </c>
      <c r="D14430">
        <v>611</v>
      </c>
      <c r="E14430">
        <v>0</v>
      </c>
      <c r="F14430">
        <v>124</v>
      </c>
      <c r="G14430">
        <v>0</v>
      </c>
      <c r="H14430" t="s">
        <v>19281</v>
      </c>
      <c r="I14430">
        <v>16325</v>
      </c>
      <c r="J14430" t="e">
        <f>VLOOKUP(E14430,DSSpieler!A:B,2,FALSE)</f>
        <v>#N/A</v>
      </c>
    </row>
    <row r="14431" spans="1:10" x14ac:dyDescent="0.25">
      <c r="A14431">
        <v>16326</v>
      </c>
      <c r="B14431" t="s">
        <v>531</v>
      </c>
      <c r="C14431">
        <v>386</v>
      </c>
      <c r="D14431">
        <v>548</v>
      </c>
      <c r="E14431">
        <v>0</v>
      </c>
      <c r="F14431">
        <v>171</v>
      </c>
      <c r="G14431">
        <v>0</v>
      </c>
      <c r="H14431" t="s">
        <v>19282</v>
      </c>
      <c r="I14431">
        <v>16326</v>
      </c>
      <c r="J14431" t="e">
        <f>VLOOKUP(E14431,DSSpieler!A:B,2,FALSE)</f>
        <v>#N/A</v>
      </c>
    </row>
    <row r="14432" spans="1:10" x14ac:dyDescent="0.25">
      <c r="A14432">
        <v>16328</v>
      </c>
      <c r="B14432" t="s">
        <v>531</v>
      </c>
      <c r="C14432">
        <v>382</v>
      </c>
      <c r="D14432">
        <v>501</v>
      </c>
      <c r="E14432">
        <v>0</v>
      </c>
      <c r="F14432">
        <v>78</v>
      </c>
      <c r="G14432">
        <v>0</v>
      </c>
      <c r="H14432" t="s">
        <v>19283</v>
      </c>
      <c r="I14432">
        <v>16328</v>
      </c>
      <c r="J14432" t="e">
        <f>VLOOKUP(E14432,DSSpieler!A:B,2,FALSE)</f>
        <v>#N/A</v>
      </c>
    </row>
    <row r="14433" spans="1:10" x14ac:dyDescent="0.25">
      <c r="A14433">
        <v>16329</v>
      </c>
      <c r="B14433" t="s">
        <v>531</v>
      </c>
      <c r="C14433">
        <v>612</v>
      </c>
      <c r="D14433">
        <v>511</v>
      </c>
      <c r="E14433">
        <v>0</v>
      </c>
      <c r="F14433">
        <v>118</v>
      </c>
      <c r="G14433">
        <v>0</v>
      </c>
      <c r="H14433" t="s">
        <v>19284</v>
      </c>
      <c r="I14433">
        <v>16329</v>
      </c>
      <c r="J14433" t="e">
        <f>VLOOKUP(E14433,DSSpieler!A:B,2,FALSE)</f>
        <v>#N/A</v>
      </c>
    </row>
    <row r="14434" spans="1:10" x14ac:dyDescent="0.25">
      <c r="A14434">
        <v>16330</v>
      </c>
      <c r="B14434" t="s">
        <v>531</v>
      </c>
      <c r="C14434">
        <v>446</v>
      </c>
      <c r="D14434">
        <v>610</v>
      </c>
      <c r="E14434">
        <v>0</v>
      </c>
      <c r="F14434">
        <v>165</v>
      </c>
      <c r="G14434">
        <v>0</v>
      </c>
      <c r="H14434" t="s">
        <v>19285</v>
      </c>
      <c r="I14434">
        <v>16330</v>
      </c>
      <c r="J14434" t="e">
        <f>VLOOKUP(E14434,DSSpieler!A:B,2,FALSE)</f>
        <v>#N/A</v>
      </c>
    </row>
    <row r="14435" spans="1:10" x14ac:dyDescent="0.25">
      <c r="A14435">
        <v>16332</v>
      </c>
      <c r="B14435" t="s">
        <v>35303</v>
      </c>
      <c r="C14435">
        <v>585</v>
      </c>
      <c r="D14435">
        <v>587</v>
      </c>
      <c r="E14435">
        <v>9784818</v>
      </c>
      <c r="F14435">
        <v>1150</v>
      </c>
      <c r="G14435">
        <v>0</v>
      </c>
      <c r="H14435" t="s">
        <v>19286</v>
      </c>
      <c r="I14435">
        <v>16332</v>
      </c>
      <c r="J14435" t="str">
        <f>VLOOKUP(E14435,DSSpieler!A:B,2,FALSE)</f>
        <v>Donut08</v>
      </c>
    </row>
    <row r="14436" spans="1:10" x14ac:dyDescent="0.25">
      <c r="A14436">
        <v>16333</v>
      </c>
      <c r="B14436" t="s">
        <v>531</v>
      </c>
      <c r="C14436">
        <v>477</v>
      </c>
      <c r="D14436">
        <v>380</v>
      </c>
      <c r="E14436">
        <v>0</v>
      </c>
      <c r="F14436">
        <v>154</v>
      </c>
      <c r="G14436">
        <v>0</v>
      </c>
      <c r="H14436" t="s">
        <v>19287</v>
      </c>
      <c r="I14436">
        <v>16333</v>
      </c>
      <c r="J14436" t="e">
        <f>VLOOKUP(E14436,DSSpieler!A:B,2,FALSE)</f>
        <v>#N/A</v>
      </c>
    </row>
    <row r="14437" spans="1:10" x14ac:dyDescent="0.25">
      <c r="A14437">
        <v>16334</v>
      </c>
      <c r="B14437" t="s">
        <v>35304</v>
      </c>
      <c r="C14437">
        <v>496</v>
      </c>
      <c r="D14437">
        <v>566</v>
      </c>
      <c r="E14437">
        <v>1577130606</v>
      </c>
      <c r="F14437">
        <v>424</v>
      </c>
      <c r="G14437">
        <v>0</v>
      </c>
      <c r="H14437" t="s">
        <v>19288</v>
      </c>
      <c r="I14437">
        <v>16334</v>
      </c>
      <c r="J14437" t="str">
        <f>VLOOKUP(E14437,DSSpieler!A:B,2,FALSE)</f>
        <v>cheekynuts</v>
      </c>
    </row>
    <row r="14438" spans="1:10" x14ac:dyDescent="0.25">
      <c r="A14438">
        <v>16335</v>
      </c>
      <c r="B14438" t="s">
        <v>35305</v>
      </c>
      <c r="C14438">
        <v>534</v>
      </c>
      <c r="D14438">
        <v>379</v>
      </c>
      <c r="E14438">
        <v>1577202908</v>
      </c>
      <c r="F14438">
        <v>4225</v>
      </c>
      <c r="G14438">
        <v>0</v>
      </c>
      <c r="H14438" t="s">
        <v>19289</v>
      </c>
      <c r="I14438">
        <v>16335</v>
      </c>
      <c r="J14438" t="str">
        <f>VLOOKUP(E14438,DSSpieler!A:B,2,FALSE)</f>
        <v>Vahoi</v>
      </c>
    </row>
    <row r="14439" spans="1:10" x14ac:dyDescent="0.25">
      <c r="A14439">
        <v>16336</v>
      </c>
      <c r="B14439" t="s">
        <v>531</v>
      </c>
      <c r="C14439">
        <v>463</v>
      </c>
      <c r="D14439">
        <v>617</v>
      </c>
      <c r="E14439">
        <v>0</v>
      </c>
      <c r="F14439">
        <v>229</v>
      </c>
      <c r="G14439">
        <v>0</v>
      </c>
      <c r="H14439" t="s">
        <v>19290</v>
      </c>
      <c r="I14439">
        <v>16336</v>
      </c>
      <c r="J14439" t="e">
        <f>VLOOKUP(E14439,DSSpieler!A:B,2,FALSE)</f>
        <v>#N/A</v>
      </c>
    </row>
    <row r="14440" spans="1:10" x14ac:dyDescent="0.25">
      <c r="A14440">
        <v>16337</v>
      </c>
      <c r="B14440" t="s">
        <v>2495</v>
      </c>
      <c r="C14440">
        <v>538</v>
      </c>
      <c r="D14440">
        <v>396</v>
      </c>
      <c r="E14440">
        <v>1577197569</v>
      </c>
      <c r="F14440">
        <v>3055</v>
      </c>
      <c r="G14440">
        <v>0</v>
      </c>
      <c r="H14440" t="s">
        <v>19291</v>
      </c>
      <c r="I14440">
        <v>16337</v>
      </c>
      <c r="J14440" t="str">
        <f>VLOOKUP(E14440,DSSpieler!A:B,2,FALSE)</f>
        <v>Schnilsi</v>
      </c>
    </row>
    <row r="14441" spans="1:10" x14ac:dyDescent="0.25">
      <c r="A14441">
        <v>16338</v>
      </c>
      <c r="B14441" t="s">
        <v>531</v>
      </c>
      <c r="C14441">
        <v>531</v>
      </c>
      <c r="D14441">
        <v>383</v>
      </c>
      <c r="E14441">
        <v>0</v>
      </c>
      <c r="F14441">
        <v>83</v>
      </c>
      <c r="G14441">
        <v>0</v>
      </c>
      <c r="H14441" t="s">
        <v>19292</v>
      </c>
      <c r="I14441">
        <v>16338</v>
      </c>
      <c r="J14441" t="e">
        <f>VLOOKUP(E14441,DSSpieler!A:B,2,FALSE)</f>
        <v>#N/A</v>
      </c>
    </row>
    <row r="14442" spans="1:10" x14ac:dyDescent="0.25">
      <c r="A14442">
        <v>16339</v>
      </c>
      <c r="B14442" t="s">
        <v>531</v>
      </c>
      <c r="C14442">
        <v>575</v>
      </c>
      <c r="D14442">
        <v>408</v>
      </c>
      <c r="E14442">
        <v>0</v>
      </c>
      <c r="F14442">
        <v>199</v>
      </c>
      <c r="G14442">
        <v>0</v>
      </c>
      <c r="H14442" t="s">
        <v>19293</v>
      </c>
      <c r="I14442">
        <v>16339</v>
      </c>
      <c r="J14442" t="e">
        <f>VLOOKUP(E14442,DSSpieler!A:B,2,FALSE)</f>
        <v>#N/A</v>
      </c>
    </row>
    <row r="14443" spans="1:10" x14ac:dyDescent="0.25">
      <c r="A14443">
        <v>16340</v>
      </c>
      <c r="B14443" t="s">
        <v>531</v>
      </c>
      <c r="C14443">
        <v>561</v>
      </c>
      <c r="D14443">
        <v>604</v>
      </c>
      <c r="E14443">
        <v>0</v>
      </c>
      <c r="F14443">
        <v>102</v>
      </c>
      <c r="G14443">
        <v>0</v>
      </c>
      <c r="H14443" t="s">
        <v>19294</v>
      </c>
      <c r="I14443">
        <v>16340</v>
      </c>
      <c r="J14443" t="e">
        <f>VLOOKUP(E14443,DSSpieler!A:B,2,FALSE)</f>
        <v>#N/A</v>
      </c>
    </row>
    <row r="14444" spans="1:10" x14ac:dyDescent="0.25">
      <c r="A14444">
        <v>16341</v>
      </c>
      <c r="B14444" t="s">
        <v>531</v>
      </c>
      <c r="C14444">
        <v>551</v>
      </c>
      <c r="D14444">
        <v>393</v>
      </c>
      <c r="E14444">
        <v>0</v>
      </c>
      <c r="F14444">
        <v>388</v>
      </c>
      <c r="G14444">
        <v>0</v>
      </c>
      <c r="H14444" t="s">
        <v>19295</v>
      </c>
      <c r="I14444">
        <v>16341</v>
      </c>
      <c r="J14444" t="e">
        <f>VLOOKUP(E14444,DSSpieler!A:B,2,FALSE)</f>
        <v>#N/A</v>
      </c>
    </row>
    <row r="14445" spans="1:10" x14ac:dyDescent="0.25">
      <c r="A14445">
        <v>16342</v>
      </c>
      <c r="B14445" t="s">
        <v>35306</v>
      </c>
      <c r="C14445">
        <v>477</v>
      </c>
      <c r="D14445">
        <v>379</v>
      </c>
      <c r="E14445">
        <v>9476482</v>
      </c>
      <c r="F14445">
        <v>3692</v>
      </c>
      <c r="G14445">
        <v>0</v>
      </c>
      <c r="H14445" t="s">
        <v>19296</v>
      </c>
      <c r="I14445">
        <v>16342</v>
      </c>
      <c r="J14445" t="str">
        <f>VLOOKUP(E14445,DSSpieler!A:B,2,FALSE)</f>
        <v>MRDriver</v>
      </c>
    </row>
    <row r="14446" spans="1:10" x14ac:dyDescent="0.25">
      <c r="A14446">
        <v>16343</v>
      </c>
      <c r="B14446" t="s">
        <v>531</v>
      </c>
      <c r="C14446">
        <v>612</v>
      </c>
      <c r="D14446">
        <v>450</v>
      </c>
      <c r="E14446">
        <v>0</v>
      </c>
      <c r="F14446">
        <v>215</v>
      </c>
      <c r="G14446">
        <v>0</v>
      </c>
      <c r="H14446" t="s">
        <v>19297</v>
      </c>
      <c r="I14446">
        <v>16343</v>
      </c>
      <c r="J14446" t="e">
        <f>VLOOKUP(E14446,DSSpieler!A:B,2,FALSE)</f>
        <v>#N/A</v>
      </c>
    </row>
    <row r="14447" spans="1:10" x14ac:dyDescent="0.25">
      <c r="A14447">
        <v>16344</v>
      </c>
      <c r="B14447" t="s">
        <v>531</v>
      </c>
      <c r="C14447">
        <v>466</v>
      </c>
      <c r="D14447">
        <v>382</v>
      </c>
      <c r="E14447">
        <v>0</v>
      </c>
      <c r="F14447">
        <v>536</v>
      </c>
      <c r="G14447">
        <v>0</v>
      </c>
      <c r="H14447" t="s">
        <v>19298</v>
      </c>
      <c r="I14447">
        <v>16344</v>
      </c>
      <c r="J14447" t="e">
        <f>VLOOKUP(E14447,DSSpieler!A:B,2,FALSE)</f>
        <v>#N/A</v>
      </c>
    </row>
    <row r="14448" spans="1:10" x14ac:dyDescent="0.25">
      <c r="A14448">
        <v>16345</v>
      </c>
      <c r="B14448" t="s">
        <v>35307</v>
      </c>
      <c r="C14448">
        <v>420</v>
      </c>
      <c r="D14448">
        <v>408</v>
      </c>
      <c r="E14448">
        <v>1577202098</v>
      </c>
      <c r="F14448">
        <v>2797</v>
      </c>
      <c r="G14448">
        <v>0</v>
      </c>
      <c r="H14448" t="s">
        <v>19299</v>
      </c>
      <c r="I14448">
        <v>16345</v>
      </c>
      <c r="J14448" t="str">
        <f>VLOOKUP(E14448,DSSpieler!A:B,2,FALSE)</f>
        <v>Franky De Witt</v>
      </c>
    </row>
    <row r="14449" spans="1:10" x14ac:dyDescent="0.25">
      <c r="A14449">
        <v>16347</v>
      </c>
      <c r="B14449" t="s">
        <v>2496</v>
      </c>
      <c r="C14449">
        <v>404</v>
      </c>
      <c r="D14449">
        <v>531</v>
      </c>
      <c r="E14449">
        <v>1577164111</v>
      </c>
      <c r="F14449">
        <v>1632</v>
      </c>
      <c r="G14449">
        <v>0</v>
      </c>
      <c r="H14449" t="s">
        <v>19300</v>
      </c>
      <c r="I14449">
        <v>16347</v>
      </c>
      <c r="J14449" t="str">
        <f>VLOOKUP(E14449,DSSpieler!A:B,2,FALSE)</f>
        <v>Lord wankelhoden</v>
      </c>
    </row>
    <row r="14450" spans="1:10" x14ac:dyDescent="0.25">
      <c r="A14450">
        <v>16348</v>
      </c>
      <c r="B14450" t="s">
        <v>2497</v>
      </c>
      <c r="C14450">
        <v>469</v>
      </c>
      <c r="D14450">
        <v>602</v>
      </c>
      <c r="E14450">
        <v>1577180419</v>
      </c>
      <c r="F14450">
        <v>2928</v>
      </c>
      <c r="G14450">
        <v>0</v>
      </c>
      <c r="H14450" t="s">
        <v>19301</v>
      </c>
      <c r="I14450">
        <v>16348</v>
      </c>
      <c r="J14450" t="str">
        <f>VLOOKUP(E14450,DSSpieler!A:B,2,FALSE)</f>
        <v>Dr.NOo</v>
      </c>
    </row>
    <row r="14451" spans="1:10" x14ac:dyDescent="0.25">
      <c r="A14451">
        <v>16349</v>
      </c>
      <c r="B14451" t="s">
        <v>2498</v>
      </c>
      <c r="C14451">
        <v>617</v>
      </c>
      <c r="D14451">
        <v>462</v>
      </c>
      <c r="E14451">
        <v>9757149</v>
      </c>
      <c r="F14451">
        <v>1356</v>
      </c>
      <c r="G14451">
        <v>0</v>
      </c>
      <c r="H14451" t="s">
        <v>19302</v>
      </c>
      <c r="I14451">
        <v>16349</v>
      </c>
      <c r="J14451" t="str">
        <f>VLOOKUP(E14451,DSSpieler!A:B,2,FALSE)</f>
        <v>toxic*vision</v>
      </c>
    </row>
    <row r="14452" spans="1:10" x14ac:dyDescent="0.25">
      <c r="A14452">
        <v>16350</v>
      </c>
      <c r="B14452" t="s">
        <v>35308</v>
      </c>
      <c r="C14452">
        <v>492</v>
      </c>
      <c r="D14452">
        <v>379</v>
      </c>
      <c r="E14452">
        <v>1577204037</v>
      </c>
      <c r="F14452">
        <v>84</v>
      </c>
      <c r="G14452">
        <v>0</v>
      </c>
      <c r="H14452" t="s">
        <v>19303</v>
      </c>
      <c r="I14452">
        <v>16350</v>
      </c>
      <c r="J14452" t="str">
        <f>VLOOKUP(E14452,DSSpieler!A:B,2,FALSE)</f>
        <v>Friesä</v>
      </c>
    </row>
    <row r="14453" spans="1:10" x14ac:dyDescent="0.25">
      <c r="A14453">
        <v>16351</v>
      </c>
      <c r="B14453" t="s">
        <v>35309</v>
      </c>
      <c r="C14453">
        <v>486</v>
      </c>
      <c r="D14453">
        <v>621</v>
      </c>
      <c r="E14453">
        <v>7599264</v>
      </c>
      <c r="F14453">
        <v>2039</v>
      </c>
      <c r="G14453">
        <v>0</v>
      </c>
      <c r="H14453" t="s">
        <v>19304</v>
      </c>
      <c r="I14453">
        <v>16351</v>
      </c>
      <c r="J14453" t="str">
        <f>VLOOKUP(E14453,DSSpieler!A:B,2,FALSE)</f>
        <v>%C3%84h %C3%84h %C3%84h</v>
      </c>
    </row>
    <row r="14454" spans="1:10" x14ac:dyDescent="0.25">
      <c r="A14454">
        <v>16352</v>
      </c>
      <c r="B14454" t="s">
        <v>35310</v>
      </c>
      <c r="C14454">
        <v>531</v>
      </c>
      <c r="D14454">
        <v>382</v>
      </c>
      <c r="E14454">
        <v>7951778</v>
      </c>
      <c r="F14454">
        <v>3760</v>
      </c>
      <c r="G14454">
        <v>0</v>
      </c>
      <c r="H14454" t="s">
        <v>19305</v>
      </c>
      <c r="I14454">
        <v>16352</v>
      </c>
      <c r="J14454" t="str">
        <f>VLOOKUP(E14454,DSSpieler!A:B,2,FALSE)</f>
        <v>Süsse Sandra</v>
      </c>
    </row>
    <row r="14455" spans="1:10" x14ac:dyDescent="0.25">
      <c r="A14455">
        <v>16353</v>
      </c>
      <c r="B14455" t="s">
        <v>531</v>
      </c>
      <c r="C14455">
        <v>487</v>
      </c>
      <c r="D14455">
        <v>379</v>
      </c>
      <c r="E14455">
        <v>0</v>
      </c>
      <c r="F14455">
        <v>593</v>
      </c>
      <c r="G14455">
        <v>0</v>
      </c>
      <c r="H14455" t="s">
        <v>19306</v>
      </c>
      <c r="I14455">
        <v>16353</v>
      </c>
      <c r="J14455" t="e">
        <f>VLOOKUP(E14455,DSSpieler!A:B,2,FALSE)</f>
        <v>#N/A</v>
      </c>
    </row>
    <row r="14456" spans="1:10" x14ac:dyDescent="0.25">
      <c r="A14456">
        <v>16354</v>
      </c>
      <c r="B14456" t="s">
        <v>35311</v>
      </c>
      <c r="C14456">
        <v>576</v>
      </c>
      <c r="D14456">
        <v>454</v>
      </c>
      <c r="E14456">
        <v>1577183863</v>
      </c>
      <c r="F14456">
        <v>1204</v>
      </c>
      <c r="G14456">
        <v>0</v>
      </c>
      <c r="H14456" t="s">
        <v>19307</v>
      </c>
      <c r="I14456">
        <v>16354</v>
      </c>
      <c r="J14456" t="str">
        <f>VLOOKUP(E14456,DSSpieler!A:B,2,FALSE)</f>
        <v>exoh</v>
      </c>
    </row>
    <row r="14457" spans="1:10" x14ac:dyDescent="0.25">
      <c r="A14457">
        <v>16355</v>
      </c>
      <c r="B14457" t="s">
        <v>531</v>
      </c>
      <c r="C14457">
        <v>474</v>
      </c>
      <c r="D14457">
        <v>620</v>
      </c>
      <c r="E14457">
        <v>0</v>
      </c>
      <c r="F14457">
        <v>51</v>
      </c>
      <c r="G14457">
        <v>0</v>
      </c>
      <c r="H14457" t="s">
        <v>19308</v>
      </c>
      <c r="I14457">
        <v>16355</v>
      </c>
      <c r="J14457" t="e">
        <f>VLOOKUP(E14457,DSSpieler!A:B,2,FALSE)</f>
        <v>#N/A</v>
      </c>
    </row>
    <row r="14458" spans="1:10" x14ac:dyDescent="0.25">
      <c r="A14458">
        <v>16356</v>
      </c>
      <c r="B14458" t="s">
        <v>531</v>
      </c>
      <c r="C14458">
        <v>391</v>
      </c>
      <c r="D14458">
        <v>442</v>
      </c>
      <c r="E14458">
        <v>0</v>
      </c>
      <c r="F14458">
        <v>170</v>
      </c>
      <c r="G14458">
        <v>0</v>
      </c>
      <c r="H14458" t="s">
        <v>19309</v>
      </c>
      <c r="I14458">
        <v>16356</v>
      </c>
      <c r="J14458" t="e">
        <f>VLOOKUP(E14458,DSSpieler!A:B,2,FALSE)</f>
        <v>#N/A</v>
      </c>
    </row>
    <row r="14459" spans="1:10" x14ac:dyDescent="0.25">
      <c r="A14459">
        <v>16357</v>
      </c>
      <c r="B14459" t="s">
        <v>35312</v>
      </c>
      <c r="C14459">
        <v>535</v>
      </c>
      <c r="D14459">
        <v>616</v>
      </c>
      <c r="E14459">
        <v>10016176</v>
      </c>
      <c r="F14459">
        <v>3313</v>
      </c>
      <c r="G14459">
        <v>0</v>
      </c>
      <c r="H14459" t="s">
        <v>19310</v>
      </c>
      <c r="I14459">
        <v>16357</v>
      </c>
      <c r="J14459" t="str">
        <f>VLOOKUP(E14459,DSSpieler!A:B,2,FALSE)</f>
        <v>Ghostsight7</v>
      </c>
    </row>
    <row r="14460" spans="1:10" x14ac:dyDescent="0.25">
      <c r="A14460">
        <v>16358</v>
      </c>
      <c r="B14460" t="s">
        <v>35313</v>
      </c>
      <c r="C14460">
        <v>433</v>
      </c>
      <c r="D14460">
        <v>598</v>
      </c>
      <c r="E14460">
        <v>1577165923</v>
      </c>
      <c r="F14460">
        <v>787</v>
      </c>
      <c r="G14460">
        <v>0</v>
      </c>
      <c r="H14460" t="s">
        <v>19311</v>
      </c>
      <c r="I14460">
        <v>16358</v>
      </c>
      <c r="J14460" t="str">
        <f>VLOOKUP(E14460,DSSpieler!A:B,2,FALSE)</f>
        <v>kingbobby</v>
      </c>
    </row>
    <row r="14461" spans="1:10" x14ac:dyDescent="0.25">
      <c r="A14461">
        <v>16359</v>
      </c>
      <c r="B14461" t="s">
        <v>531</v>
      </c>
      <c r="C14461">
        <v>444</v>
      </c>
      <c r="D14461">
        <v>396</v>
      </c>
      <c r="E14461">
        <v>0</v>
      </c>
      <c r="F14461">
        <v>173</v>
      </c>
      <c r="G14461">
        <v>0</v>
      </c>
      <c r="H14461" t="s">
        <v>19312</v>
      </c>
      <c r="I14461">
        <v>16359</v>
      </c>
      <c r="J14461" t="e">
        <f>VLOOKUP(E14461,DSSpieler!A:B,2,FALSE)</f>
        <v>#N/A</v>
      </c>
    </row>
    <row r="14462" spans="1:10" x14ac:dyDescent="0.25">
      <c r="A14462">
        <v>16361</v>
      </c>
      <c r="B14462" t="s">
        <v>35314</v>
      </c>
      <c r="C14462">
        <v>502</v>
      </c>
      <c r="D14462">
        <v>381</v>
      </c>
      <c r="E14462">
        <v>1577201348</v>
      </c>
      <c r="F14462">
        <v>2743</v>
      </c>
      <c r="G14462">
        <v>0</v>
      </c>
      <c r="H14462" t="s">
        <v>19313</v>
      </c>
      <c r="I14462">
        <v>16361</v>
      </c>
      <c r="J14462" t="str">
        <f>VLOOKUP(E14462,DSSpieler!A:B,2,FALSE)</f>
        <v>ossi978</v>
      </c>
    </row>
    <row r="14463" spans="1:10" x14ac:dyDescent="0.25">
      <c r="A14463">
        <v>16362</v>
      </c>
      <c r="B14463" t="s">
        <v>531</v>
      </c>
      <c r="C14463">
        <v>605</v>
      </c>
      <c r="D14463">
        <v>434</v>
      </c>
      <c r="E14463">
        <v>0</v>
      </c>
      <c r="F14463">
        <v>107</v>
      </c>
      <c r="G14463">
        <v>0</v>
      </c>
      <c r="H14463" t="s">
        <v>19314</v>
      </c>
      <c r="I14463">
        <v>16362</v>
      </c>
      <c r="J14463" t="e">
        <f>VLOOKUP(E14463,DSSpieler!A:B,2,FALSE)</f>
        <v>#N/A</v>
      </c>
    </row>
    <row r="14464" spans="1:10" x14ac:dyDescent="0.25">
      <c r="A14464">
        <v>16363</v>
      </c>
      <c r="B14464" t="s">
        <v>531</v>
      </c>
      <c r="C14464">
        <v>540</v>
      </c>
      <c r="D14464">
        <v>388</v>
      </c>
      <c r="E14464">
        <v>0</v>
      </c>
      <c r="F14464">
        <v>249</v>
      </c>
      <c r="G14464">
        <v>0</v>
      </c>
      <c r="H14464" t="s">
        <v>19315</v>
      </c>
      <c r="I14464">
        <v>16363</v>
      </c>
      <c r="J14464" t="e">
        <f>VLOOKUP(E14464,DSSpieler!A:B,2,FALSE)</f>
        <v>#N/A</v>
      </c>
    </row>
    <row r="14465" spans="1:10" x14ac:dyDescent="0.25">
      <c r="A14465">
        <v>16364</v>
      </c>
      <c r="B14465" t="s">
        <v>35315</v>
      </c>
      <c r="C14465">
        <v>536</v>
      </c>
      <c r="D14465">
        <v>386</v>
      </c>
      <c r="E14465">
        <v>1577197012</v>
      </c>
      <c r="F14465">
        <v>4755</v>
      </c>
      <c r="G14465">
        <v>0</v>
      </c>
      <c r="H14465" t="s">
        <v>19316</v>
      </c>
      <c r="I14465">
        <v>16364</v>
      </c>
      <c r="J14465" t="str">
        <f>VLOOKUP(E14465,DSSpieler!A:B,2,FALSE)</f>
        <v>Luts</v>
      </c>
    </row>
    <row r="14466" spans="1:10" x14ac:dyDescent="0.25">
      <c r="A14466">
        <v>16365</v>
      </c>
      <c r="B14466" t="s">
        <v>898</v>
      </c>
      <c r="C14466">
        <v>404</v>
      </c>
      <c r="D14466">
        <v>423</v>
      </c>
      <c r="E14466">
        <v>1576242125</v>
      </c>
      <c r="F14466">
        <v>2948</v>
      </c>
      <c r="G14466">
        <v>0</v>
      </c>
      <c r="H14466" t="s">
        <v>19317</v>
      </c>
      <c r="I14466">
        <v>16365</v>
      </c>
      <c r="J14466" t="str">
        <f>VLOOKUP(E14466,DSSpieler!A:B,2,FALSE)</f>
        <v>MurphyMcLoud</v>
      </c>
    </row>
    <row r="14467" spans="1:10" x14ac:dyDescent="0.25">
      <c r="A14467">
        <v>16366</v>
      </c>
      <c r="B14467" t="s">
        <v>531</v>
      </c>
      <c r="C14467">
        <v>581</v>
      </c>
      <c r="D14467">
        <v>593</v>
      </c>
      <c r="E14467">
        <v>0</v>
      </c>
      <c r="F14467">
        <v>123</v>
      </c>
      <c r="G14467">
        <v>0</v>
      </c>
      <c r="H14467" t="s">
        <v>19318</v>
      </c>
      <c r="I14467">
        <v>16366</v>
      </c>
      <c r="J14467" t="e">
        <f>VLOOKUP(E14467,DSSpieler!A:B,2,FALSE)</f>
        <v>#N/A</v>
      </c>
    </row>
    <row r="14468" spans="1:10" x14ac:dyDescent="0.25">
      <c r="A14468">
        <v>16367</v>
      </c>
      <c r="B14468" t="s">
        <v>531</v>
      </c>
      <c r="C14468">
        <v>620</v>
      </c>
      <c r="D14468">
        <v>501</v>
      </c>
      <c r="E14468">
        <v>0</v>
      </c>
      <c r="F14468">
        <v>127</v>
      </c>
      <c r="G14468">
        <v>0</v>
      </c>
      <c r="H14468" t="s">
        <v>19319</v>
      </c>
      <c r="I14468">
        <v>16367</v>
      </c>
      <c r="J14468" t="e">
        <f>VLOOKUP(E14468,DSSpieler!A:B,2,FALSE)</f>
        <v>#N/A</v>
      </c>
    </row>
    <row r="14469" spans="1:10" x14ac:dyDescent="0.25">
      <c r="A14469">
        <v>16368</v>
      </c>
      <c r="B14469" t="s">
        <v>531</v>
      </c>
      <c r="C14469">
        <v>619</v>
      </c>
      <c r="D14469">
        <v>523</v>
      </c>
      <c r="E14469">
        <v>0</v>
      </c>
      <c r="F14469">
        <v>294</v>
      </c>
      <c r="G14469">
        <v>0</v>
      </c>
      <c r="H14469" t="s">
        <v>19320</v>
      </c>
      <c r="I14469">
        <v>16368</v>
      </c>
      <c r="J14469" t="e">
        <f>VLOOKUP(E14469,DSSpieler!A:B,2,FALSE)</f>
        <v>#N/A</v>
      </c>
    </row>
    <row r="14470" spans="1:10" x14ac:dyDescent="0.25">
      <c r="A14470">
        <v>16369</v>
      </c>
      <c r="B14470" t="s">
        <v>531</v>
      </c>
      <c r="C14470">
        <v>382</v>
      </c>
      <c r="D14470">
        <v>532</v>
      </c>
      <c r="E14470">
        <v>0</v>
      </c>
      <c r="F14470">
        <v>251</v>
      </c>
      <c r="G14470">
        <v>0</v>
      </c>
      <c r="H14470" t="s">
        <v>19321</v>
      </c>
      <c r="I14470">
        <v>16369</v>
      </c>
      <c r="J14470" t="e">
        <f>VLOOKUP(E14470,DSSpieler!A:B,2,FALSE)</f>
        <v>#N/A</v>
      </c>
    </row>
    <row r="14471" spans="1:10" x14ac:dyDescent="0.25">
      <c r="A14471">
        <v>16370</v>
      </c>
      <c r="B14471" t="s">
        <v>35316</v>
      </c>
      <c r="C14471">
        <v>614</v>
      </c>
      <c r="D14471">
        <v>456</v>
      </c>
      <c r="E14471">
        <v>1577194980</v>
      </c>
      <c r="F14471">
        <v>3958</v>
      </c>
      <c r="G14471">
        <v>0</v>
      </c>
      <c r="H14471" t="s">
        <v>19322</v>
      </c>
      <c r="I14471">
        <v>16370</v>
      </c>
      <c r="J14471" t="str">
        <f>VLOOKUP(E14471,DSSpieler!A:B,2,FALSE)</f>
        <v>SendMeNoodles</v>
      </c>
    </row>
    <row r="14472" spans="1:10" x14ac:dyDescent="0.25">
      <c r="A14472">
        <v>16371</v>
      </c>
      <c r="B14472" t="s">
        <v>531</v>
      </c>
      <c r="C14472">
        <v>590</v>
      </c>
      <c r="D14472">
        <v>419</v>
      </c>
      <c r="E14472">
        <v>0</v>
      </c>
      <c r="F14472">
        <v>121</v>
      </c>
      <c r="G14472">
        <v>0</v>
      </c>
      <c r="H14472" t="s">
        <v>19323</v>
      </c>
      <c r="I14472">
        <v>16371</v>
      </c>
      <c r="J14472" t="e">
        <f>VLOOKUP(E14472,DSSpieler!A:B,2,FALSE)</f>
        <v>#N/A</v>
      </c>
    </row>
    <row r="14473" spans="1:10" x14ac:dyDescent="0.25">
      <c r="A14473">
        <v>16372</v>
      </c>
      <c r="B14473" t="s">
        <v>35317</v>
      </c>
      <c r="C14473">
        <v>618</v>
      </c>
      <c r="D14473">
        <v>458</v>
      </c>
      <c r="E14473">
        <v>1577194980</v>
      </c>
      <c r="F14473">
        <v>1937</v>
      </c>
      <c r="G14473">
        <v>0</v>
      </c>
      <c r="H14473" t="s">
        <v>19324</v>
      </c>
      <c r="I14473">
        <v>16372</v>
      </c>
      <c r="J14473" t="str">
        <f>VLOOKUP(E14473,DSSpieler!A:B,2,FALSE)</f>
        <v>SendMeNoodles</v>
      </c>
    </row>
    <row r="14474" spans="1:10" x14ac:dyDescent="0.25">
      <c r="A14474">
        <v>16373</v>
      </c>
      <c r="B14474" t="s">
        <v>2499</v>
      </c>
      <c r="C14474">
        <v>593</v>
      </c>
      <c r="D14474">
        <v>421</v>
      </c>
      <c r="E14474">
        <v>10080317</v>
      </c>
      <c r="F14474">
        <v>1640</v>
      </c>
      <c r="G14474">
        <v>0</v>
      </c>
      <c r="H14474" t="s">
        <v>19325</v>
      </c>
      <c r="I14474">
        <v>16373</v>
      </c>
      <c r="J14474" t="str">
        <f>VLOOKUP(E14474,DSSpieler!A:B,2,FALSE)</f>
        <v>racing60</v>
      </c>
    </row>
    <row r="14475" spans="1:10" x14ac:dyDescent="0.25">
      <c r="A14475">
        <v>16374</v>
      </c>
      <c r="B14475" t="s">
        <v>531</v>
      </c>
      <c r="C14475">
        <v>604</v>
      </c>
      <c r="D14475">
        <v>561</v>
      </c>
      <c r="E14475">
        <v>0</v>
      </c>
      <c r="F14475">
        <v>150</v>
      </c>
      <c r="G14475">
        <v>0</v>
      </c>
      <c r="H14475" t="s">
        <v>19326</v>
      </c>
      <c r="I14475">
        <v>16374</v>
      </c>
      <c r="J14475" t="e">
        <f>VLOOKUP(E14475,DSSpieler!A:B,2,FALSE)</f>
        <v>#N/A</v>
      </c>
    </row>
    <row r="14476" spans="1:10" x14ac:dyDescent="0.25">
      <c r="A14476">
        <v>16375</v>
      </c>
      <c r="B14476" t="s">
        <v>531</v>
      </c>
      <c r="C14476">
        <v>541</v>
      </c>
      <c r="D14476">
        <v>389</v>
      </c>
      <c r="E14476">
        <v>0</v>
      </c>
      <c r="F14476">
        <v>361</v>
      </c>
      <c r="G14476">
        <v>0</v>
      </c>
      <c r="H14476" t="s">
        <v>19327</v>
      </c>
      <c r="I14476">
        <v>16375</v>
      </c>
      <c r="J14476" t="e">
        <f>VLOOKUP(E14476,DSSpieler!A:B,2,FALSE)</f>
        <v>#N/A</v>
      </c>
    </row>
    <row r="14477" spans="1:10" x14ac:dyDescent="0.25">
      <c r="A14477">
        <v>16376</v>
      </c>
      <c r="B14477" t="s">
        <v>741</v>
      </c>
      <c r="C14477">
        <v>376</v>
      </c>
      <c r="D14477">
        <v>498</v>
      </c>
      <c r="E14477">
        <v>1575963464</v>
      </c>
      <c r="F14477">
        <v>968</v>
      </c>
      <c r="G14477">
        <v>0</v>
      </c>
      <c r="H14477" t="s">
        <v>19328</v>
      </c>
      <c r="I14477">
        <v>16376</v>
      </c>
      <c r="J14477" t="str">
        <f>VLOOKUP(E14477,DSSpieler!A:B,2,FALSE)</f>
        <v>Henning88</v>
      </c>
    </row>
    <row r="14478" spans="1:10" x14ac:dyDescent="0.25">
      <c r="A14478">
        <v>16377</v>
      </c>
      <c r="B14478" t="s">
        <v>531</v>
      </c>
      <c r="C14478">
        <v>389</v>
      </c>
      <c r="D14478">
        <v>458</v>
      </c>
      <c r="E14478">
        <v>0</v>
      </c>
      <c r="F14478">
        <v>111</v>
      </c>
      <c r="G14478">
        <v>0</v>
      </c>
      <c r="H14478" t="s">
        <v>19329</v>
      </c>
      <c r="I14478">
        <v>16377</v>
      </c>
      <c r="J14478" t="e">
        <f>VLOOKUP(E14478,DSSpieler!A:B,2,FALSE)</f>
        <v>#N/A</v>
      </c>
    </row>
    <row r="14479" spans="1:10" x14ac:dyDescent="0.25">
      <c r="A14479">
        <v>16378</v>
      </c>
      <c r="B14479" t="s">
        <v>531</v>
      </c>
      <c r="C14479">
        <v>620</v>
      </c>
      <c r="D14479">
        <v>483</v>
      </c>
      <c r="E14479">
        <v>0</v>
      </c>
      <c r="F14479">
        <v>130</v>
      </c>
      <c r="G14479">
        <v>0</v>
      </c>
      <c r="H14479" t="s">
        <v>19330</v>
      </c>
      <c r="I14479">
        <v>16378</v>
      </c>
      <c r="J14479" t="e">
        <f>VLOOKUP(E14479,DSSpieler!A:B,2,FALSE)</f>
        <v>#N/A</v>
      </c>
    </row>
    <row r="14480" spans="1:10" x14ac:dyDescent="0.25">
      <c r="A14480">
        <v>16379</v>
      </c>
      <c r="B14480" t="s">
        <v>35318</v>
      </c>
      <c r="C14480">
        <v>618</v>
      </c>
      <c r="D14480">
        <v>486</v>
      </c>
      <c r="E14480">
        <v>1576447732</v>
      </c>
      <c r="F14480">
        <v>3104</v>
      </c>
      <c r="G14480">
        <v>0</v>
      </c>
      <c r="H14480" t="s">
        <v>19331</v>
      </c>
      <c r="I14480">
        <v>16379</v>
      </c>
      <c r="J14480" t="str">
        <f>VLOOKUP(E14480,DSSpieler!A:B,2,FALSE)</f>
        <v>zentraler</v>
      </c>
    </row>
    <row r="14481" spans="1:10" x14ac:dyDescent="0.25">
      <c r="A14481">
        <v>16381</v>
      </c>
      <c r="B14481" t="s">
        <v>2500</v>
      </c>
      <c r="C14481">
        <v>442</v>
      </c>
      <c r="D14481">
        <v>606</v>
      </c>
      <c r="E14481">
        <v>1577204071</v>
      </c>
      <c r="F14481">
        <v>3697</v>
      </c>
      <c r="G14481">
        <v>0</v>
      </c>
      <c r="H14481" t="s">
        <v>19332</v>
      </c>
      <c r="I14481">
        <v>16381</v>
      </c>
      <c r="J14481" t="str">
        <f>VLOOKUP(E14481,DSSpieler!A:B,2,FALSE)</f>
        <v>der wahre schweiger</v>
      </c>
    </row>
    <row r="14482" spans="1:10" x14ac:dyDescent="0.25">
      <c r="A14482">
        <v>16382</v>
      </c>
      <c r="B14482">
        <v>1</v>
      </c>
      <c r="C14482">
        <v>478</v>
      </c>
      <c r="D14482">
        <v>620</v>
      </c>
      <c r="E14482">
        <v>1576952391</v>
      </c>
      <c r="F14482">
        <v>3360</v>
      </c>
      <c r="G14482">
        <v>0</v>
      </c>
      <c r="H14482" t="s">
        <v>19333</v>
      </c>
      <c r="I14482">
        <v>16382</v>
      </c>
      <c r="J14482" t="str">
        <f>VLOOKUP(E14482,DSSpieler!A:B,2,FALSE)</f>
        <v>D1A9M9i0EN</v>
      </c>
    </row>
    <row r="14483" spans="1:10" x14ac:dyDescent="0.25">
      <c r="A14483">
        <v>16384</v>
      </c>
      <c r="B14483" t="s">
        <v>531</v>
      </c>
      <c r="C14483">
        <v>577</v>
      </c>
      <c r="D14483">
        <v>597</v>
      </c>
      <c r="E14483">
        <v>0</v>
      </c>
      <c r="F14483">
        <v>120</v>
      </c>
      <c r="G14483">
        <v>0</v>
      </c>
      <c r="H14483" t="s">
        <v>19334</v>
      </c>
      <c r="I14483">
        <v>16384</v>
      </c>
      <c r="J14483" t="e">
        <f>VLOOKUP(E14483,DSSpieler!A:B,2,FALSE)</f>
        <v>#N/A</v>
      </c>
    </row>
    <row r="14484" spans="1:10" x14ac:dyDescent="0.25">
      <c r="A14484">
        <v>16385</v>
      </c>
      <c r="B14484" t="s">
        <v>2501</v>
      </c>
      <c r="C14484">
        <v>580</v>
      </c>
      <c r="D14484">
        <v>588</v>
      </c>
      <c r="E14484">
        <v>1577204108</v>
      </c>
      <c r="F14484">
        <v>1740</v>
      </c>
      <c r="G14484">
        <v>0</v>
      </c>
      <c r="H14484" t="s">
        <v>19335</v>
      </c>
      <c r="I14484">
        <v>16385</v>
      </c>
      <c r="J14484" t="str">
        <f>VLOOKUP(E14484,DSSpieler!A:B,2,FALSE)</f>
        <v>great live</v>
      </c>
    </row>
    <row r="14485" spans="1:10" x14ac:dyDescent="0.25">
      <c r="A14485">
        <v>16386</v>
      </c>
      <c r="B14485" t="s">
        <v>35319</v>
      </c>
      <c r="C14485">
        <v>397</v>
      </c>
      <c r="D14485">
        <v>474</v>
      </c>
      <c r="E14485">
        <v>1577164612</v>
      </c>
      <c r="F14485">
        <v>1782</v>
      </c>
      <c r="G14485">
        <v>0</v>
      </c>
      <c r="H14485" t="s">
        <v>19336</v>
      </c>
      <c r="I14485">
        <v>16386</v>
      </c>
      <c r="J14485" t="str">
        <f>VLOOKUP(E14485,DSSpieler!A:B,2,FALSE)</f>
        <v>yeter001</v>
      </c>
    </row>
    <row r="14486" spans="1:10" x14ac:dyDescent="0.25">
      <c r="A14486">
        <v>16387</v>
      </c>
      <c r="B14486" t="s">
        <v>2502</v>
      </c>
      <c r="C14486">
        <v>468</v>
      </c>
      <c r="D14486">
        <v>383</v>
      </c>
      <c r="E14486">
        <v>1577175388</v>
      </c>
      <c r="F14486">
        <v>1222</v>
      </c>
      <c r="G14486">
        <v>0</v>
      </c>
      <c r="H14486" t="s">
        <v>19337</v>
      </c>
      <c r="I14486">
        <v>16387</v>
      </c>
      <c r="J14486" t="str">
        <f>VLOOKUP(E14486,DSSpieler!A:B,2,FALSE)</f>
        <v>RecurRampage</v>
      </c>
    </row>
    <row r="14487" spans="1:10" x14ac:dyDescent="0.25">
      <c r="A14487">
        <v>16388</v>
      </c>
      <c r="B14487" t="s">
        <v>531</v>
      </c>
      <c r="C14487">
        <v>491</v>
      </c>
      <c r="D14487">
        <v>619</v>
      </c>
      <c r="E14487">
        <v>0</v>
      </c>
      <c r="F14487">
        <v>186</v>
      </c>
      <c r="G14487">
        <v>0</v>
      </c>
      <c r="H14487" t="s">
        <v>19338</v>
      </c>
      <c r="I14487">
        <v>16388</v>
      </c>
      <c r="J14487" t="e">
        <f>VLOOKUP(E14487,DSSpieler!A:B,2,FALSE)</f>
        <v>#N/A</v>
      </c>
    </row>
    <row r="14488" spans="1:10" x14ac:dyDescent="0.25">
      <c r="A14488">
        <v>16389</v>
      </c>
      <c r="B14488" t="s">
        <v>2503</v>
      </c>
      <c r="C14488">
        <v>472</v>
      </c>
      <c r="D14488">
        <v>385</v>
      </c>
      <c r="E14488">
        <v>1577204109</v>
      </c>
      <c r="F14488">
        <v>1354</v>
      </c>
      <c r="G14488">
        <v>0</v>
      </c>
      <c r="H14488" t="s">
        <v>19339</v>
      </c>
      <c r="I14488">
        <v>16389</v>
      </c>
      <c r="J14488" t="str">
        <f>VLOOKUP(E14488,DSSpieler!A:B,2,FALSE)</f>
        <v>voormii</v>
      </c>
    </row>
    <row r="14489" spans="1:10" x14ac:dyDescent="0.25">
      <c r="A14489">
        <v>16390</v>
      </c>
      <c r="B14489" t="s">
        <v>531</v>
      </c>
      <c r="C14489">
        <v>459</v>
      </c>
      <c r="D14489">
        <v>389</v>
      </c>
      <c r="E14489">
        <v>0</v>
      </c>
      <c r="F14489">
        <v>339</v>
      </c>
      <c r="G14489">
        <v>0</v>
      </c>
      <c r="H14489" t="s">
        <v>19340</v>
      </c>
      <c r="I14489">
        <v>16390</v>
      </c>
      <c r="J14489" t="e">
        <f>VLOOKUP(E14489,DSSpieler!A:B,2,FALSE)</f>
        <v>#N/A</v>
      </c>
    </row>
    <row r="14490" spans="1:10" x14ac:dyDescent="0.25">
      <c r="A14490">
        <v>16391</v>
      </c>
      <c r="B14490" t="s">
        <v>531</v>
      </c>
      <c r="C14490">
        <v>601</v>
      </c>
      <c r="D14490">
        <v>567</v>
      </c>
      <c r="E14490">
        <v>0</v>
      </c>
      <c r="F14490">
        <v>98</v>
      </c>
      <c r="G14490">
        <v>0</v>
      </c>
      <c r="H14490" t="s">
        <v>19341</v>
      </c>
      <c r="I14490">
        <v>16391</v>
      </c>
      <c r="J14490" t="e">
        <f>VLOOKUP(E14490,DSSpieler!A:B,2,FALSE)</f>
        <v>#N/A</v>
      </c>
    </row>
    <row r="14491" spans="1:10" x14ac:dyDescent="0.25">
      <c r="A14491">
        <v>16392</v>
      </c>
      <c r="B14491" t="s">
        <v>531</v>
      </c>
      <c r="C14491">
        <v>612</v>
      </c>
      <c r="D14491">
        <v>452</v>
      </c>
      <c r="E14491">
        <v>0</v>
      </c>
      <c r="F14491">
        <v>291</v>
      </c>
      <c r="G14491">
        <v>0</v>
      </c>
      <c r="H14491" t="s">
        <v>19342</v>
      </c>
      <c r="I14491">
        <v>16392</v>
      </c>
      <c r="J14491" t="e">
        <f>VLOOKUP(E14491,DSSpieler!A:B,2,FALSE)</f>
        <v>#N/A</v>
      </c>
    </row>
    <row r="14492" spans="1:10" x14ac:dyDescent="0.25">
      <c r="A14492">
        <v>16393</v>
      </c>
      <c r="B14492" t="s">
        <v>531</v>
      </c>
      <c r="C14492">
        <v>563</v>
      </c>
      <c r="D14492">
        <v>397</v>
      </c>
      <c r="E14492">
        <v>0</v>
      </c>
      <c r="F14492">
        <v>228</v>
      </c>
      <c r="G14492">
        <v>0</v>
      </c>
      <c r="H14492" t="s">
        <v>19343</v>
      </c>
      <c r="I14492">
        <v>16393</v>
      </c>
      <c r="J14492" t="e">
        <f>VLOOKUP(E14492,DSSpieler!A:B,2,FALSE)</f>
        <v>#N/A</v>
      </c>
    </row>
    <row r="14493" spans="1:10" x14ac:dyDescent="0.25">
      <c r="A14493">
        <v>16394</v>
      </c>
      <c r="B14493" t="s">
        <v>35320</v>
      </c>
      <c r="C14493">
        <v>611</v>
      </c>
      <c r="D14493">
        <v>527</v>
      </c>
      <c r="E14493">
        <v>1577151635</v>
      </c>
      <c r="F14493">
        <v>1622</v>
      </c>
      <c r="G14493">
        <v>0</v>
      </c>
      <c r="H14493" t="s">
        <v>19344</v>
      </c>
      <c r="I14493">
        <v>16394</v>
      </c>
      <c r="J14493" t="str">
        <f>VLOOKUP(E14493,DSSpieler!A:B,2,FALSE)</f>
        <v>Mostuff86</v>
      </c>
    </row>
    <row r="14494" spans="1:10" x14ac:dyDescent="0.25">
      <c r="A14494">
        <v>16395</v>
      </c>
      <c r="B14494" t="s">
        <v>2504</v>
      </c>
      <c r="C14494">
        <v>417</v>
      </c>
      <c r="D14494">
        <v>591</v>
      </c>
      <c r="E14494">
        <v>1577161511</v>
      </c>
      <c r="F14494">
        <v>2048</v>
      </c>
      <c r="G14494">
        <v>0</v>
      </c>
      <c r="H14494" t="s">
        <v>19345</v>
      </c>
      <c r="I14494">
        <v>16395</v>
      </c>
      <c r="J14494" t="str">
        <f>VLOOKUP(E14494,DSSpieler!A:B,2,FALSE)</f>
        <v>kapuzo</v>
      </c>
    </row>
    <row r="14495" spans="1:10" x14ac:dyDescent="0.25">
      <c r="A14495">
        <v>16396</v>
      </c>
      <c r="B14495" t="s">
        <v>35321</v>
      </c>
      <c r="C14495">
        <v>514</v>
      </c>
      <c r="D14495">
        <v>379</v>
      </c>
      <c r="E14495">
        <v>1577202257</v>
      </c>
      <c r="F14495">
        <v>285</v>
      </c>
      <c r="G14495">
        <v>0</v>
      </c>
      <c r="H14495" t="s">
        <v>19346</v>
      </c>
      <c r="I14495">
        <v>16396</v>
      </c>
      <c r="J14495" t="str">
        <f>VLOOKUP(E14495,DSSpieler!A:B,2,FALSE)</f>
        <v>Heinzine</v>
      </c>
    </row>
    <row r="14496" spans="1:10" x14ac:dyDescent="0.25">
      <c r="A14496">
        <v>16397</v>
      </c>
      <c r="B14496" t="s">
        <v>1439</v>
      </c>
      <c r="C14496">
        <v>538</v>
      </c>
      <c r="D14496">
        <v>397</v>
      </c>
      <c r="E14496">
        <v>1180176</v>
      </c>
      <c r="F14496">
        <v>3466</v>
      </c>
      <c r="G14496">
        <v>0</v>
      </c>
      <c r="H14496" t="s">
        <v>19347</v>
      </c>
      <c r="I14496">
        <v>16397</v>
      </c>
      <c r="J14496" t="str">
        <f>VLOOKUP(E14496,DSSpieler!A:B,2,FALSE)</f>
        <v>Grassi07</v>
      </c>
    </row>
    <row r="14497" spans="1:10" x14ac:dyDescent="0.25">
      <c r="A14497">
        <v>16398</v>
      </c>
      <c r="B14497" t="s">
        <v>35322</v>
      </c>
      <c r="C14497">
        <v>591</v>
      </c>
      <c r="D14497">
        <v>580</v>
      </c>
      <c r="E14497">
        <v>1576070819</v>
      </c>
      <c r="F14497">
        <v>1965</v>
      </c>
      <c r="G14497">
        <v>0</v>
      </c>
      <c r="H14497" t="s">
        <v>19348</v>
      </c>
      <c r="I14497">
        <v>16398</v>
      </c>
      <c r="J14497" t="str">
        <f>VLOOKUP(E14497,DSSpieler!A:B,2,FALSE)</f>
        <v>Smard-king</v>
      </c>
    </row>
    <row r="14498" spans="1:10" x14ac:dyDescent="0.25">
      <c r="A14498">
        <v>16399</v>
      </c>
      <c r="B14498" t="s">
        <v>35323</v>
      </c>
      <c r="C14498">
        <v>489</v>
      </c>
      <c r="D14498">
        <v>564</v>
      </c>
      <c r="E14498">
        <v>1576684501</v>
      </c>
      <c r="F14498">
        <v>3225</v>
      </c>
      <c r="G14498">
        <v>0</v>
      </c>
      <c r="H14498" t="s">
        <v>19349</v>
      </c>
      <c r="I14498">
        <v>16399</v>
      </c>
      <c r="J14498" t="str">
        <f>VLOOKUP(E14498,DSSpieler!A:B,2,FALSE)</f>
        <v>Lord the nox</v>
      </c>
    </row>
    <row r="14499" spans="1:10" x14ac:dyDescent="0.25">
      <c r="A14499">
        <v>16400</v>
      </c>
      <c r="B14499" t="s">
        <v>35324</v>
      </c>
      <c r="C14499">
        <v>394</v>
      </c>
      <c r="D14499">
        <v>564</v>
      </c>
      <c r="E14499">
        <v>10115932</v>
      </c>
      <c r="F14499">
        <v>4493</v>
      </c>
      <c r="G14499">
        <v>0</v>
      </c>
      <c r="H14499" t="s">
        <v>19350</v>
      </c>
      <c r="I14499">
        <v>16400</v>
      </c>
      <c r="J14499" t="str">
        <f>VLOOKUP(E14499,DSSpieler!A:B,2,FALSE)</f>
        <v>Delicious007</v>
      </c>
    </row>
    <row r="14500" spans="1:10" x14ac:dyDescent="0.25">
      <c r="A14500">
        <v>16401</v>
      </c>
      <c r="B14500" t="s">
        <v>531</v>
      </c>
      <c r="C14500">
        <v>546</v>
      </c>
      <c r="D14500">
        <v>614</v>
      </c>
      <c r="E14500">
        <v>0</v>
      </c>
      <c r="F14500">
        <v>101</v>
      </c>
      <c r="G14500">
        <v>0</v>
      </c>
      <c r="H14500" t="s">
        <v>19351</v>
      </c>
      <c r="I14500">
        <v>16401</v>
      </c>
      <c r="J14500" t="e">
        <f>VLOOKUP(E14500,DSSpieler!A:B,2,FALSE)</f>
        <v>#N/A</v>
      </c>
    </row>
    <row r="14501" spans="1:10" x14ac:dyDescent="0.25">
      <c r="A14501">
        <v>16402</v>
      </c>
      <c r="B14501" t="s">
        <v>2505</v>
      </c>
      <c r="C14501">
        <v>519</v>
      </c>
      <c r="D14501">
        <v>551</v>
      </c>
      <c r="E14501">
        <v>1577204122</v>
      </c>
      <c r="F14501">
        <v>2072</v>
      </c>
      <c r="G14501">
        <v>0</v>
      </c>
      <c r="H14501" t="s">
        <v>19352</v>
      </c>
      <c r="I14501">
        <v>16402</v>
      </c>
      <c r="J14501" t="str">
        <f>VLOOKUP(E14501,DSSpieler!A:B,2,FALSE)</f>
        <v>Golfballtaucher</v>
      </c>
    </row>
    <row r="14502" spans="1:10" x14ac:dyDescent="0.25">
      <c r="A14502">
        <v>16404</v>
      </c>
      <c r="B14502" t="s">
        <v>531</v>
      </c>
      <c r="C14502">
        <v>427</v>
      </c>
      <c r="D14502">
        <v>400</v>
      </c>
      <c r="E14502">
        <v>0</v>
      </c>
      <c r="F14502">
        <v>98</v>
      </c>
      <c r="G14502">
        <v>0</v>
      </c>
      <c r="H14502" t="s">
        <v>19353</v>
      </c>
      <c r="I14502">
        <v>16404</v>
      </c>
      <c r="J14502" t="e">
        <f>VLOOKUP(E14502,DSSpieler!A:B,2,FALSE)</f>
        <v>#N/A</v>
      </c>
    </row>
    <row r="14503" spans="1:10" x14ac:dyDescent="0.25">
      <c r="A14503">
        <v>16406</v>
      </c>
      <c r="B14503" t="s">
        <v>531</v>
      </c>
      <c r="C14503">
        <v>408</v>
      </c>
      <c r="D14503">
        <v>420</v>
      </c>
      <c r="E14503">
        <v>0</v>
      </c>
      <c r="F14503">
        <v>200</v>
      </c>
      <c r="G14503">
        <v>0</v>
      </c>
      <c r="H14503" t="s">
        <v>19354</v>
      </c>
      <c r="I14503">
        <v>16406</v>
      </c>
      <c r="J14503" t="e">
        <f>VLOOKUP(E14503,DSSpieler!A:B,2,FALSE)</f>
        <v>#N/A</v>
      </c>
    </row>
    <row r="14504" spans="1:10" x14ac:dyDescent="0.25">
      <c r="A14504">
        <v>16407</v>
      </c>
      <c r="B14504" t="s">
        <v>531</v>
      </c>
      <c r="C14504">
        <v>579</v>
      </c>
      <c r="D14504">
        <v>590</v>
      </c>
      <c r="E14504">
        <v>0</v>
      </c>
      <c r="F14504">
        <v>369</v>
      </c>
      <c r="G14504">
        <v>0</v>
      </c>
      <c r="H14504" t="s">
        <v>19355</v>
      </c>
      <c r="I14504">
        <v>16407</v>
      </c>
      <c r="J14504" t="e">
        <f>VLOOKUP(E14504,DSSpieler!A:B,2,FALSE)</f>
        <v>#N/A</v>
      </c>
    </row>
    <row r="14505" spans="1:10" x14ac:dyDescent="0.25">
      <c r="A14505">
        <v>16408</v>
      </c>
      <c r="B14505" t="s">
        <v>531</v>
      </c>
      <c r="C14505">
        <v>449</v>
      </c>
      <c r="D14505">
        <v>392</v>
      </c>
      <c r="E14505">
        <v>0</v>
      </c>
      <c r="F14505">
        <v>266</v>
      </c>
      <c r="G14505">
        <v>0</v>
      </c>
      <c r="H14505" t="s">
        <v>19356</v>
      </c>
      <c r="I14505">
        <v>16408</v>
      </c>
      <c r="J14505" t="e">
        <f>VLOOKUP(E14505,DSSpieler!A:B,2,FALSE)</f>
        <v>#N/A</v>
      </c>
    </row>
    <row r="14506" spans="1:10" x14ac:dyDescent="0.25">
      <c r="A14506">
        <v>16409</v>
      </c>
      <c r="B14506" t="s">
        <v>35325</v>
      </c>
      <c r="C14506">
        <v>538</v>
      </c>
      <c r="D14506">
        <v>385</v>
      </c>
      <c r="E14506">
        <v>1577195599</v>
      </c>
      <c r="F14506">
        <v>3611</v>
      </c>
      <c r="G14506">
        <v>0</v>
      </c>
      <c r="H14506" t="s">
        <v>19357</v>
      </c>
      <c r="I14506">
        <v>16409</v>
      </c>
      <c r="J14506" t="str">
        <f>VLOOKUP(E14506,DSSpieler!A:B,2,FALSE)</f>
        <v>Camacho</v>
      </c>
    </row>
    <row r="14507" spans="1:10" x14ac:dyDescent="0.25">
      <c r="A14507">
        <v>16410</v>
      </c>
      <c r="B14507" t="s">
        <v>531</v>
      </c>
      <c r="C14507">
        <v>589</v>
      </c>
      <c r="D14507">
        <v>419</v>
      </c>
      <c r="E14507">
        <v>0</v>
      </c>
      <c r="F14507">
        <v>309</v>
      </c>
      <c r="G14507">
        <v>0</v>
      </c>
      <c r="H14507" t="s">
        <v>19358</v>
      </c>
      <c r="I14507">
        <v>16410</v>
      </c>
      <c r="J14507" t="e">
        <f>VLOOKUP(E14507,DSSpieler!A:B,2,FALSE)</f>
        <v>#N/A</v>
      </c>
    </row>
    <row r="14508" spans="1:10" x14ac:dyDescent="0.25">
      <c r="A14508">
        <v>16411</v>
      </c>
      <c r="B14508" t="s">
        <v>673</v>
      </c>
      <c r="C14508">
        <v>395</v>
      </c>
      <c r="D14508">
        <v>564</v>
      </c>
      <c r="E14508">
        <v>1577204134</v>
      </c>
      <c r="F14508">
        <v>4472</v>
      </c>
      <c r="G14508">
        <v>0</v>
      </c>
      <c r="H14508" t="s">
        <v>19359</v>
      </c>
      <c r="I14508">
        <v>16411</v>
      </c>
      <c r="J14508" t="str">
        <f>VLOOKUP(E14508,DSSpieler!A:B,2,FALSE)</f>
        <v>Stamm1234</v>
      </c>
    </row>
    <row r="14509" spans="1:10" x14ac:dyDescent="0.25">
      <c r="A14509">
        <v>16412</v>
      </c>
      <c r="B14509" t="s">
        <v>2506</v>
      </c>
      <c r="C14509">
        <v>390</v>
      </c>
      <c r="D14509">
        <v>563</v>
      </c>
      <c r="E14509">
        <v>1577204136</v>
      </c>
      <c r="F14509">
        <v>1269</v>
      </c>
      <c r="G14509">
        <v>0</v>
      </c>
      <c r="H14509" t="s">
        <v>19360</v>
      </c>
      <c r="I14509">
        <v>16412</v>
      </c>
      <c r="J14509" t="str">
        <f>VLOOKUP(E14509,DSSpieler!A:B,2,FALSE)</f>
        <v>deltar</v>
      </c>
    </row>
    <row r="14510" spans="1:10" x14ac:dyDescent="0.25">
      <c r="A14510">
        <v>16413</v>
      </c>
      <c r="B14510" t="s">
        <v>531</v>
      </c>
      <c r="C14510">
        <v>592</v>
      </c>
      <c r="D14510">
        <v>578</v>
      </c>
      <c r="E14510">
        <v>0</v>
      </c>
      <c r="F14510">
        <v>104</v>
      </c>
      <c r="G14510">
        <v>0</v>
      </c>
      <c r="H14510" t="s">
        <v>19361</v>
      </c>
      <c r="I14510">
        <v>16413</v>
      </c>
      <c r="J14510" t="e">
        <f>VLOOKUP(E14510,DSSpieler!A:B,2,FALSE)</f>
        <v>#N/A</v>
      </c>
    </row>
    <row r="14511" spans="1:10" x14ac:dyDescent="0.25">
      <c r="A14511">
        <v>16414</v>
      </c>
      <c r="B14511" t="s">
        <v>531</v>
      </c>
      <c r="C14511">
        <v>576</v>
      </c>
      <c r="D14511">
        <v>407</v>
      </c>
      <c r="E14511">
        <v>0</v>
      </c>
      <c r="F14511">
        <v>227</v>
      </c>
      <c r="G14511">
        <v>0</v>
      </c>
      <c r="H14511" t="s">
        <v>19362</v>
      </c>
      <c r="I14511">
        <v>16414</v>
      </c>
      <c r="J14511" t="e">
        <f>VLOOKUP(E14511,DSSpieler!A:B,2,FALSE)</f>
        <v>#N/A</v>
      </c>
    </row>
    <row r="14512" spans="1:10" x14ac:dyDescent="0.25">
      <c r="A14512">
        <v>16415</v>
      </c>
      <c r="B14512" t="s">
        <v>35326</v>
      </c>
      <c r="C14512">
        <v>549</v>
      </c>
      <c r="D14512">
        <v>390</v>
      </c>
      <c r="E14512">
        <v>8947272</v>
      </c>
      <c r="F14512">
        <v>649</v>
      </c>
      <c r="G14512">
        <v>0</v>
      </c>
      <c r="H14512" t="s">
        <v>19363</v>
      </c>
      <c r="I14512">
        <v>16415</v>
      </c>
      <c r="J14512" t="str">
        <f>VLOOKUP(E14512,DSSpieler!A:B,2,FALSE)</f>
        <v>Wingendorfer</v>
      </c>
    </row>
    <row r="14513" spans="1:10" x14ac:dyDescent="0.25">
      <c r="A14513">
        <v>16417</v>
      </c>
      <c r="B14513" t="s">
        <v>531</v>
      </c>
      <c r="C14513">
        <v>584</v>
      </c>
      <c r="D14513">
        <v>413</v>
      </c>
      <c r="E14513">
        <v>0</v>
      </c>
      <c r="F14513">
        <v>170</v>
      </c>
      <c r="G14513">
        <v>0</v>
      </c>
      <c r="H14513" t="s">
        <v>19364</v>
      </c>
      <c r="I14513">
        <v>16417</v>
      </c>
      <c r="J14513" t="e">
        <f>VLOOKUP(E14513,DSSpieler!A:B,2,FALSE)</f>
        <v>#N/A</v>
      </c>
    </row>
    <row r="14514" spans="1:10" x14ac:dyDescent="0.25">
      <c r="A14514">
        <v>16418</v>
      </c>
      <c r="B14514" t="s">
        <v>531</v>
      </c>
      <c r="C14514">
        <v>549</v>
      </c>
      <c r="D14514">
        <v>387</v>
      </c>
      <c r="E14514">
        <v>0</v>
      </c>
      <c r="F14514">
        <v>114</v>
      </c>
      <c r="G14514">
        <v>0</v>
      </c>
      <c r="H14514" t="s">
        <v>19365</v>
      </c>
      <c r="I14514">
        <v>16418</v>
      </c>
      <c r="J14514" t="e">
        <f>VLOOKUP(E14514,DSSpieler!A:B,2,FALSE)</f>
        <v>#N/A</v>
      </c>
    </row>
    <row r="14515" spans="1:10" x14ac:dyDescent="0.25">
      <c r="A14515">
        <v>16419</v>
      </c>
      <c r="B14515" t="s">
        <v>531</v>
      </c>
      <c r="C14515">
        <v>380</v>
      </c>
      <c r="D14515">
        <v>526</v>
      </c>
      <c r="E14515">
        <v>0</v>
      </c>
      <c r="F14515">
        <v>81</v>
      </c>
      <c r="G14515">
        <v>0</v>
      </c>
      <c r="H14515" t="s">
        <v>19366</v>
      </c>
      <c r="I14515">
        <v>16419</v>
      </c>
      <c r="J14515" t="e">
        <f>VLOOKUP(E14515,DSSpieler!A:B,2,FALSE)</f>
        <v>#N/A</v>
      </c>
    </row>
    <row r="14516" spans="1:10" x14ac:dyDescent="0.25">
      <c r="A14516">
        <v>16420</v>
      </c>
      <c r="B14516" t="s">
        <v>593</v>
      </c>
      <c r="C14516">
        <v>572</v>
      </c>
      <c r="D14516">
        <v>594</v>
      </c>
      <c r="E14516">
        <v>1576936217</v>
      </c>
      <c r="F14516">
        <v>1592</v>
      </c>
      <c r="G14516">
        <v>0</v>
      </c>
      <c r="H14516" t="s">
        <v>19367</v>
      </c>
      <c r="I14516">
        <v>16420</v>
      </c>
      <c r="J14516" t="str">
        <f>VLOOKUP(E14516,DSSpieler!A:B,2,FALSE)</f>
        <v>TimS</v>
      </c>
    </row>
    <row r="14517" spans="1:10" x14ac:dyDescent="0.25">
      <c r="A14517">
        <v>16421</v>
      </c>
      <c r="B14517" t="s">
        <v>35327</v>
      </c>
      <c r="C14517">
        <v>623</v>
      </c>
      <c r="D14517">
        <v>494</v>
      </c>
      <c r="E14517">
        <v>9726417</v>
      </c>
      <c r="F14517">
        <v>91</v>
      </c>
      <c r="G14517">
        <v>0</v>
      </c>
      <c r="H14517" t="s">
        <v>19368</v>
      </c>
      <c r="I14517">
        <v>16421</v>
      </c>
      <c r="J14517" t="str">
        <f>VLOOKUP(E14517,DSSpieler!A:B,2,FALSE)</f>
        <v>Corvus-noctis</v>
      </c>
    </row>
    <row r="14518" spans="1:10" x14ac:dyDescent="0.25">
      <c r="A14518">
        <v>16422</v>
      </c>
      <c r="B14518" t="s">
        <v>531</v>
      </c>
      <c r="C14518">
        <v>432</v>
      </c>
      <c r="D14518">
        <v>452</v>
      </c>
      <c r="E14518">
        <v>0</v>
      </c>
      <c r="F14518">
        <v>244</v>
      </c>
      <c r="G14518">
        <v>0</v>
      </c>
      <c r="H14518" t="s">
        <v>19369</v>
      </c>
      <c r="I14518">
        <v>16422</v>
      </c>
      <c r="J14518" t="e">
        <f>VLOOKUP(E14518,DSSpieler!A:B,2,FALSE)</f>
        <v>#N/A</v>
      </c>
    </row>
    <row r="14519" spans="1:10" x14ac:dyDescent="0.25">
      <c r="A14519">
        <v>16423</v>
      </c>
      <c r="B14519" t="s">
        <v>531</v>
      </c>
      <c r="C14519">
        <v>413</v>
      </c>
      <c r="D14519">
        <v>416</v>
      </c>
      <c r="E14519">
        <v>0</v>
      </c>
      <c r="F14519">
        <v>281</v>
      </c>
      <c r="G14519">
        <v>0</v>
      </c>
      <c r="H14519" t="s">
        <v>19370</v>
      </c>
      <c r="I14519">
        <v>16423</v>
      </c>
      <c r="J14519" t="e">
        <f>VLOOKUP(E14519,DSSpieler!A:B,2,FALSE)</f>
        <v>#N/A</v>
      </c>
    </row>
    <row r="14520" spans="1:10" x14ac:dyDescent="0.25">
      <c r="A14520">
        <v>16424</v>
      </c>
      <c r="B14520" t="s">
        <v>35328</v>
      </c>
      <c r="C14520">
        <v>607</v>
      </c>
      <c r="D14520">
        <v>444</v>
      </c>
      <c r="E14520">
        <v>1577203538</v>
      </c>
      <c r="F14520">
        <v>3687</v>
      </c>
      <c r="G14520">
        <v>0</v>
      </c>
      <c r="H14520" t="s">
        <v>19371</v>
      </c>
      <c r="I14520">
        <v>16424</v>
      </c>
      <c r="J14520" t="str">
        <f>VLOOKUP(E14520,DSSpieler!A:B,2,FALSE)</f>
        <v>Dave I</v>
      </c>
    </row>
    <row r="14521" spans="1:10" x14ac:dyDescent="0.25">
      <c r="A14521">
        <v>16425</v>
      </c>
      <c r="B14521" t="s">
        <v>531</v>
      </c>
      <c r="C14521">
        <v>609</v>
      </c>
      <c r="D14521">
        <v>438</v>
      </c>
      <c r="E14521">
        <v>0</v>
      </c>
      <c r="F14521">
        <v>278</v>
      </c>
      <c r="G14521">
        <v>0</v>
      </c>
      <c r="H14521" t="s">
        <v>19372</v>
      </c>
      <c r="I14521">
        <v>16425</v>
      </c>
      <c r="J14521" t="e">
        <f>VLOOKUP(E14521,DSSpieler!A:B,2,FALSE)</f>
        <v>#N/A</v>
      </c>
    </row>
    <row r="14522" spans="1:10" x14ac:dyDescent="0.25">
      <c r="A14522">
        <v>16426</v>
      </c>
      <c r="B14522" t="s">
        <v>2507</v>
      </c>
      <c r="C14522">
        <v>571</v>
      </c>
      <c r="D14522">
        <v>434</v>
      </c>
      <c r="E14522">
        <v>1577204167</v>
      </c>
      <c r="F14522">
        <v>3070</v>
      </c>
      <c r="G14522">
        <v>0</v>
      </c>
      <c r="H14522" t="s">
        <v>19373</v>
      </c>
      <c r="I14522">
        <v>16426</v>
      </c>
      <c r="J14522" t="str">
        <f>VLOOKUP(E14522,DSSpieler!A:B,2,FALSE)</f>
        <v>cittycat</v>
      </c>
    </row>
    <row r="14523" spans="1:10" x14ac:dyDescent="0.25">
      <c r="A14523">
        <v>16427</v>
      </c>
      <c r="B14523" t="s">
        <v>531</v>
      </c>
      <c r="C14523">
        <v>506</v>
      </c>
      <c r="D14523">
        <v>378</v>
      </c>
      <c r="E14523">
        <v>0</v>
      </c>
      <c r="F14523">
        <v>167</v>
      </c>
      <c r="G14523">
        <v>0</v>
      </c>
      <c r="H14523" t="s">
        <v>19374</v>
      </c>
      <c r="I14523">
        <v>16427</v>
      </c>
      <c r="J14523" t="e">
        <f>VLOOKUP(E14523,DSSpieler!A:B,2,FALSE)</f>
        <v>#N/A</v>
      </c>
    </row>
    <row r="14524" spans="1:10" x14ac:dyDescent="0.25">
      <c r="A14524">
        <v>16428</v>
      </c>
      <c r="B14524" t="s">
        <v>35329</v>
      </c>
      <c r="C14524">
        <v>506</v>
      </c>
      <c r="D14524">
        <v>623</v>
      </c>
      <c r="E14524">
        <v>1577202300</v>
      </c>
      <c r="F14524">
        <v>2180</v>
      </c>
      <c r="G14524">
        <v>0</v>
      </c>
      <c r="H14524" t="s">
        <v>19375</v>
      </c>
      <c r="I14524">
        <v>16428</v>
      </c>
      <c r="J14524" t="str">
        <f>VLOOKUP(E14524,DSSpieler!A:B,2,FALSE)</f>
        <v>Amin</v>
      </c>
    </row>
    <row r="14525" spans="1:10" x14ac:dyDescent="0.25">
      <c r="A14525">
        <v>16429</v>
      </c>
      <c r="B14525" t="s">
        <v>35330</v>
      </c>
      <c r="C14525">
        <v>511</v>
      </c>
      <c r="D14525">
        <v>622</v>
      </c>
      <c r="E14525">
        <v>1575862578</v>
      </c>
      <c r="F14525">
        <v>2395</v>
      </c>
      <c r="G14525">
        <v>0</v>
      </c>
      <c r="H14525" t="s">
        <v>19376</v>
      </c>
      <c r="I14525">
        <v>16429</v>
      </c>
      <c r="J14525" t="str">
        <f>VLOOKUP(E14525,DSSpieler!A:B,2,FALSE)</f>
        <v>XXscarXX</v>
      </c>
    </row>
    <row r="14526" spans="1:10" x14ac:dyDescent="0.25">
      <c r="A14526">
        <v>16430</v>
      </c>
      <c r="B14526">
        <v>4</v>
      </c>
      <c r="C14526">
        <v>612</v>
      </c>
      <c r="D14526">
        <v>447</v>
      </c>
      <c r="E14526">
        <v>1790768</v>
      </c>
      <c r="F14526">
        <v>1788</v>
      </c>
      <c r="G14526">
        <v>0</v>
      </c>
      <c r="H14526" t="s">
        <v>19377</v>
      </c>
      <c r="I14526">
        <v>16430</v>
      </c>
      <c r="J14526" t="str">
        <f>VLOOKUP(E14526,DSSpieler!A:B,2,FALSE)</f>
        <v>afa11</v>
      </c>
    </row>
    <row r="14527" spans="1:10" x14ac:dyDescent="0.25">
      <c r="A14527">
        <v>16431</v>
      </c>
      <c r="B14527" t="s">
        <v>531</v>
      </c>
      <c r="C14527">
        <v>546</v>
      </c>
      <c r="D14527">
        <v>390</v>
      </c>
      <c r="E14527">
        <v>0</v>
      </c>
      <c r="F14527">
        <v>131</v>
      </c>
      <c r="G14527">
        <v>0</v>
      </c>
      <c r="H14527" t="s">
        <v>19378</v>
      </c>
      <c r="I14527">
        <v>16431</v>
      </c>
      <c r="J14527" t="e">
        <f>VLOOKUP(E14527,DSSpieler!A:B,2,FALSE)</f>
        <v>#N/A</v>
      </c>
    </row>
    <row r="14528" spans="1:10" x14ac:dyDescent="0.25">
      <c r="A14528">
        <v>16432</v>
      </c>
      <c r="B14528" t="s">
        <v>35331</v>
      </c>
      <c r="C14528">
        <v>452</v>
      </c>
      <c r="D14528">
        <v>389</v>
      </c>
      <c r="E14528">
        <v>1577158777</v>
      </c>
      <c r="F14528">
        <v>26</v>
      </c>
      <c r="G14528">
        <v>0</v>
      </c>
      <c r="H14528" t="s">
        <v>19379</v>
      </c>
      <c r="I14528">
        <v>16432</v>
      </c>
      <c r="J14528" t="str">
        <f>VLOOKUP(E14528,DSSpieler!A:B,2,FALSE)</f>
        <v>MD1999</v>
      </c>
    </row>
    <row r="14529" spans="1:10" x14ac:dyDescent="0.25">
      <c r="A14529">
        <v>16433</v>
      </c>
      <c r="B14529" t="s">
        <v>531</v>
      </c>
      <c r="C14529">
        <v>515</v>
      </c>
      <c r="D14529">
        <v>378</v>
      </c>
      <c r="E14529">
        <v>0</v>
      </c>
      <c r="F14529">
        <v>144</v>
      </c>
      <c r="G14529">
        <v>0</v>
      </c>
      <c r="H14529" t="s">
        <v>19380</v>
      </c>
      <c r="I14529">
        <v>16433</v>
      </c>
      <c r="J14529" t="e">
        <f>VLOOKUP(E14529,DSSpieler!A:B,2,FALSE)</f>
        <v>#N/A</v>
      </c>
    </row>
    <row r="14530" spans="1:10" x14ac:dyDescent="0.25">
      <c r="A14530">
        <v>16434</v>
      </c>
      <c r="B14530" t="s">
        <v>35332</v>
      </c>
      <c r="C14530">
        <v>423</v>
      </c>
      <c r="D14530">
        <v>403</v>
      </c>
      <c r="E14530">
        <v>1577192118</v>
      </c>
      <c r="F14530">
        <v>31</v>
      </c>
      <c r="G14530">
        <v>0</v>
      </c>
      <c r="H14530" t="s">
        <v>19381</v>
      </c>
      <c r="I14530">
        <v>16434</v>
      </c>
      <c r="J14530" t="str">
        <f>VLOOKUP(E14530,DSSpieler!A:B,2,FALSE)</f>
        <v>keithstackz1</v>
      </c>
    </row>
    <row r="14531" spans="1:10" x14ac:dyDescent="0.25">
      <c r="A14531">
        <v>16435</v>
      </c>
      <c r="B14531" t="s">
        <v>35333</v>
      </c>
      <c r="C14531">
        <v>428</v>
      </c>
      <c r="D14531">
        <v>399</v>
      </c>
      <c r="E14531">
        <v>1577202780</v>
      </c>
      <c r="F14531">
        <v>1790</v>
      </c>
      <c r="G14531">
        <v>0</v>
      </c>
      <c r="H14531" t="s">
        <v>19382</v>
      </c>
      <c r="I14531">
        <v>16435</v>
      </c>
      <c r="J14531" t="str">
        <f>VLOOKUP(E14531,DSSpieler!A:B,2,FALSE)</f>
        <v>Kaiser3dabei</v>
      </c>
    </row>
    <row r="14532" spans="1:10" x14ac:dyDescent="0.25">
      <c r="A14532">
        <v>16436</v>
      </c>
      <c r="B14532" t="s">
        <v>35334</v>
      </c>
      <c r="C14532">
        <v>577</v>
      </c>
      <c r="D14532">
        <v>431</v>
      </c>
      <c r="E14532">
        <v>1577204188</v>
      </c>
      <c r="F14532">
        <v>651</v>
      </c>
      <c r="G14532">
        <v>0</v>
      </c>
      <c r="H14532" t="s">
        <v>19383</v>
      </c>
      <c r="I14532">
        <v>16436</v>
      </c>
      <c r="J14532" t="str">
        <f>VLOOKUP(E14532,DSSpieler!A:B,2,FALSE)</f>
        <v>Schwanz18</v>
      </c>
    </row>
    <row r="14533" spans="1:10" x14ac:dyDescent="0.25">
      <c r="A14533">
        <v>16437</v>
      </c>
      <c r="B14533" t="s">
        <v>35335</v>
      </c>
      <c r="C14533">
        <v>403</v>
      </c>
      <c r="D14533">
        <v>429</v>
      </c>
      <c r="E14533">
        <v>1577193290</v>
      </c>
      <c r="F14533">
        <v>32</v>
      </c>
      <c r="G14533">
        <v>0</v>
      </c>
      <c r="H14533" t="s">
        <v>19384</v>
      </c>
      <c r="I14533">
        <v>16437</v>
      </c>
      <c r="J14533" t="str">
        <f>VLOOKUP(E14533,DSSpieler!A:B,2,FALSE)</f>
        <v>rurik1338</v>
      </c>
    </row>
    <row r="14534" spans="1:10" x14ac:dyDescent="0.25">
      <c r="A14534">
        <v>16438</v>
      </c>
      <c r="B14534" t="s">
        <v>531</v>
      </c>
      <c r="C14534">
        <v>593</v>
      </c>
      <c r="D14534">
        <v>580</v>
      </c>
      <c r="E14534">
        <v>0</v>
      </c>
      <c r="F14534">
        <v>199</v>
      </c>
      <c r="G14534">
        <v>0</v>
      </c>
      <c r="H14534" t="s">
        <v>19385</v>
      </c>
      <c r="I14534">
        <v>16438</v>
      </c>
      <c r="J14534" t="e">
        <f>VLOOKUP(E14534,DSSpieler!A:B,2,FALSE)</f>
        <v>#N/A</v>
      </c>
    </row>
    <row r="14535" spans="1:10" x14ac:dyDescent="0.25">
      <c r="A14535">
        <v>16439</v>
      </c>
      <c r="B14535" t="s">
        <v>531</v>
      </c>
      <c r="C14535">
        <v>622</v>
      </c>
      <c r="D14535">
        <v>503</v>
      </c>
      <c r="E14535">
        <v>0</v>
      </c>
      <c r="F14535">
        <v>118</v>
      </c>
      <c r="G14535">
        <v>0</v>
      </c>
      <c r="H14535" t="s">
        <v>19386</v>
      </c>
      <c r="I14535">
        <v>16439</v>
      </c>
      <c r="J14535" t="e">
        <f>VLOOKUP(E14535,DSSpieler!A:B,2,FALSE)</f>
        <v>#N/A</v>
      </c>
    </row>
    <row r="14536" spans="1:10" x14ac:dyDescent="0.25">
      <c r="A14536">
        <v>16440</v>
      </c>
      <c r="B14536" t="s">
        <v>2508</v>
      </c>
      <c r="C14536">
        <v>428</v>
      </c>
      <c r="D14536">
        <v>601</v>
      </c>
      <c r="E14536">
        <v>1577204075</v>
      </c>
      <c r="F14536">
        <v>4187</v>
      </c>
      <c r="G14536">
        <v>0</v>
      </c>
      <c r="H14536" t="s">
        <v>19387</v>
      </c>
      <c r="I14536">
        <v>16440</v>
      </c>
      <c r="J14536" t="str">
        <f>VLOOKUP(E14536,DSSpieler!A:B,2,FALSE)</f>
        <v>Bl3k</v>
      </c>
    </row>
    <row r="14537" spans="1:10" x14ac:dyDescent="0.25">
      <c r="A14537">
        <v>16441</v>
      </c>
      <c r="B14537" t="s">
        <v>531</v>
      </c>
      <c r="C14537">
        <v>405</v>
      </c>
      <c r="D14537">
        <v>421</v>
      </c>
      <c r="E14537">
        <v>0</v>
      </c>
      <c r="F14537">
        <v>190</v>
      </c>
      <c r="G14537">
        <v>0</v>
      </c>
      <c r="H14537" t="s">
        <v>19388</v>
      </c>
      <c r="I14537">
        <v>16441</v>
      </c>
      <c r="J14537" t="e">
        <f>VLOOKUP(E14537,DSSpieler!A:B,2,FALSE)</f>
        <v>#N/A</v>
      </c>
    </row>
    <row r="14538" spans="1:10" x14ac:dyDescent="0.25">
      <c r="A14538">
        <v>16442</v>
      </c>
      <c r="B14538" t="s">
        <v>35336</v>
      </c>
      <c r="C14538">
        <v>434</v>
      </c>
      <c r="D14538">
        <v>607</v>
      </c>
      <c r="E14538">
        <v>1577203464</v>
      </c>
      <c r="F14538">
        <v>2718</v>
      </c>
      <c r="G14538">
        <v>0</v>
      </c>
      <c r="H14538" t="s">
        <v>19389</v>
      </c>
      <c r="I14538">
        <v>16442</v>
      </c>
      <c r="J14538" t="str">
        <f>VLOOKUP(E14538,DSSpieler!A:B,2,FALSE)</f>
        <v>Titankaempfer</v>
      </c>
    </row>
    <row r="14539" spans="1:10" x14ac:dyDescent="0.25">
      <c r="A14539">
        <v>16443</v>
      </c>
      <c r="B14539" t="s">
        <v>35337</v>
      </c>
      <c r="C14539">
        <v>615</v>
      </c>
      <c r="D14539">
        <v>460</v>
      </c>
      <c r="E14539">
        <v>1577040924</v>
      </c>
      <c r="F14539">
        <v>1197</v>
      </c>
      <c r="G14539">
        <v>0</v>
      </c>
      <c r="H14539" t="s">
        <v>19390</v>
      </c>
      <c r="I14539">
        <v>16443</v>
      </c>
      <c r="J14539" t="str">
        <f>VLOOKUP(E14539,DSSpieler!A:B,2,FALSE)</f>
        <v>Zephirus</v>
      </c>
    </row>
    <row r="14540" spans="1:10" x14ac:dyDescent="0.25">
      <c r="A14540">
        <v>16444</v>
      </c>
      <c r="B14540" t="s">
        <v>531</v>
      </c>
      <c r="C14540">
        <v>609</v>
      </c>
      <c r="D14540">
        <v>549</v>
      </c>
      <c r="E14540">
        <v>0</v>
      </c>
      <c r="F14540">
        <v>83</v>
      </c>
      <c r="G14540">
        <v>0</v>
      </c>
      <c r="H14540" t="s">
        <v>19391</v>
      </c>
      <c r="I14540">
        <v>16444</v>
      </c>
      <c r="J14540" t="e">
        <f>VLOOKUP(E14540,DSSpieler!A:B,2,FALSE)</f>
        <v>#N/A</v>
      </c>
    </row>
    <row r="14541" spans="1:10" x14ac:dyDescent="0.25">
      <c r="A14541">
        <v>16445</v>
      </c>
      <c r="B14541" t="s">
        <v>531</v>
      </c>
      <c r="C14541">
        <v>530</v>
      </c>
      <c r="D14541">
        <v>617</v>
      </c>
      <c r="E14541">
        <v>0</v>
      </c>
      <c r="F14541">
        <v>127</v>
      </c>
      <c r="G14541">
        <v>0</v>
      </c>
      <c r="H14541" t="s">
        <v>19392</v>
      </c>
      <c r="I14541">
        <v>16445</v>
      </c>
      <c r="J14541" t="e">
        <f>VLOOKUP(E14541,DSSpieler!A:B,2,FALSE)</f>
        <v>#N/A</v>
      </c>
    </row>
    <row r="14542" spans="1:10" x14ac:dyDescent="0.25">
      <c r="A14542">
        <v>16446</v>
      </c>
      <c r="B14542" t="s">
        <v>531</v>
      </c>
      <c r="C14542">
        <v>492</v>
      </c>
      <c r="D14542">
        <v>377</v>
      </c>
      <c r="E14542">
        <v>0</v>
      </c>
      <c r="F14542">
        <v>279</v>
      </c>
      <c r="G14542">
        <v>0</v>
      </c>
      <c r="H14542" t="s">
        <v>19393</v>
      </c>
      <c r="I14542">
        <v>16446</v>
      </c>
      <c r="J14542" t="e">
        <f>VLOOKUP(E14542,DSSpieler!A:B,2,FALSE)</f>
        <v>#N/A</v>
      </c>
    </row>
    <row r="14543" spans="1:10" x14ac:dyDescent="0.25">
      <c r="A14543">
        <v>16448</v>
      </c>
      <c r="B14543">
        <v>2</v>
      </c>
      <c r="C14543">
        <v>436</v>
      </c>
      <c r="D14543">
        <v>596</v>
      </c>
      <c r="E14543">
        <v>61878</v>
      </c>
      <c r="F14543">
        <v>3278</v>
      </c>
      <c r="G14543">
        <v>0</v>
      </c>
      <c r="H14543" t="s">
        <v>19394</v>
      </c>
      <c r="I14543">
        <v>16448</v>
      </c>
      <c r="J14543" t="str">
        <f>VLOOKUP(E14543,DSSpieler!A:B,2,FALSE)</f>
        <v>Slayer17</v>
      </c>
    </row>
    <row r="14544" spans="1:10" x14ac:dyDescent="0.25">
      <c r="A14544">
        <v>16449</v>
      </c>
      <c r="B14544" t="s">
        <v>35338</v>
      </c>
      <c r="C14544">
        <v>378</v>
      </c>
      <c r="D14544">
        <v>499</v>
      </c>
      <c r="E14544">
        <v>1576995701</v>
      </c>
      <c r="F14544">
        <v>194</v>
      </c>
      <c r="G14544">
        <v>0</v>
      </c>
      <c r="H14544" t="s">
        <v>19395</v>
      </c>
      <c r="I14544">
        <v>16449</v>
      </c>
      <c r="J14544" t="str">
        <f>VLOOKUP(E14544,DSSpieler!A:B,2,FALSE)</f>
        <v>MäxPower98</v>
      </c>
    </row>
    <row r="14545" spans="1:10" x14ac:dyDescent="0.25">
      <c r="A14545">
        <v>16450</v>
      </c>
      <c r="B14545" t="s">
        <v>531</v>
      </c>
      <c r="C14545">
        <v>520</v>
      </c>
      <c r="D14545">
        <v>379</v>
      </c>
      <c r="E14545">
        <v>0</v>
      </c>
      <c r="F14545">
        <v>239</v>
      </c>
      <c r="G14545">
        <v>0</v>
      </c>
      <c r="H14545" t="s">
        <v>19396</v>
      </c>
      <c r="I14545">
        <v>16450</v>
      </c>
      <c r="J14545" t="e">
        <f>VLOOKUP(E14545,DSSpieler!A:B,2,FALSE)</f>
        <v>#N/A</v>
      </c>
    </row>
    <row r="14546" spans="1:10" x14ac:dyDescent="0.25">
      <c r="A14546">
        <v>16451</v>
      </c>
      <c r="B14546" t="s">
        <v>35339</v>
      </c>
      <c r="C14546">
        <v>622</v>
      </c>
      <c r="D14546">
        <v>511</v>
      </c>
      <c r="E14546">
        <v>1576976314</v>
      </c>
      <c r="F14546">
        <v>3795</v>
      </c>
      <c r="G14546">
        <v>0</v>
      </c>
      <c r="H14546" t="s">
        <v>19397</v>
      </c>
      <c r="I14546">
        <v>16451</v>
      </c>
      <c r="J14546" t="str">
        <f>VLOOKUP(E14546,DSSpieler!A:B,2,FALSE)</f>
        <v>Susanna Glocke</v>
      </c>
    </row>
    <row r="14547" spans="1:10" x14ac:dyDescent="0.25">
      <c r="A14547">
        <v>16452</v>
      </c>
      <c r="B14547" t="s">
        <v>531</v>
      </c>
      <c r="C14547">
        <v>381</v>
      </c>
      <c r="D14547">
        <v>531</v>
      </c>
      <c r="E14547">
        <v>0</v>
      </c>
      <c r="F14547">
        <v>511</v>
      </c>
      <c r="G14547">
        <v>0</v>
      </c>
      <c r="H14547" t="s">
        <v>19398</v>
      </c>
      <c r="I14547">
        <v>16452</v>
      </c>
      <c r="J14547" t="e">
        <f>VLOOKUP(E14547,DSSpieler!A:B,2,FALSE)</f>
        <v>#N/A</v>
      </c>
    </row>
    <row r="14548" spans="1:10" x14ac:dyDescent="0.25">
      <c r="A14548">
        <v>16453</v>
      </c>
      <c r="B14548" t="s">
        <v>35340</v>
      </c>
      <c r="C14548">
        <v>548</v>
      </c>
      <c r="D14548">
        <v>404</v>
      </c>
      <c r="E14548">
        <v>2650614</v>
      </c>
      <c r="F14548">
        <v>49</v>
      </c>
      <c r="G14548">
        <v>0</v>
      </c>
      <c r="H14548" t="s">
        <v>19399</v>
      </c>
      <c r="I14548">
        <v>16453</v>
      </c>
      <c r="J14548" t="str">
        <f>VLOOKUP(E14548,DSSpieler!A:B,2,FALSE)</f>
        <v>oli55</v>
      </c>
    </row>
    <row r="14549" spans="1:10" x14ac:dyDescent="0.25">
      <c r="A14549">
        <v>16455</v>
      </c>
      <c r="B14549" t="s">
        <v>2509</v>
      </c>
      <c r="C14549">
        <v>384</v>
      </c>
      <c r="D14549">
        <v>457</v>
      </c>
      <c r="E14549">
        <v>136338</v>
      </c>
      <c r="F14549">
        <v>3776</v>
      </c>
      <c r="G14549">
        <v>0</v>
      </c>
      <c r="H14549" t="s">
        <v>514</v>
      </c>
      <c r="I14549">
        <v>16455</v>
      </c>
      <c r="J14549" t="str">
        <f>VLOOKUP(E14549,DSSpieler!A:B,2,FALSE)</f>
        <v>leon.s.kennedy</v>
      </c>
    </row>
    <row r="14550" spans="1:10" x14ac:dyDescent="0.25">
      <c r="A14550">
        <v>16456</v>
      </c>
      <c r="B14550" t="s">
        <v>2510</v>
      </c>
      <c r="C14550">
        <v>408</v>
      </c>
      <c r="D14550">
        <v>575</v>
      </c>
      <c r="E14550">
        <v>1577204234</v>
      </c>
      <c r="F14550">
        <v>1241</v>
      </c>
      <c r="G14550">
        <v>0</v>
      </c>
      <c r="H14550" t="s">
        <v>19400</v>
      </c>
      <c r="I14550">
        <v>16456</v>
      </c>
      <c r="J14550" t="str">
        <f>VLOOKUP(E14550,DSSpieler!A:B,2,FALSE)</f>
        <v>ACTOFRAGE</v>
      </c>
    </row>
    <row r="14551" spans="1:10" x14ac:dyDescent="0.25">
      <c r="A14551">
        <v>16457</v>
      </c>
      <c r="B14551" t="s">
        <v>531</v>
      </c>
      <c r="C14551">
        <v>570</v>
      </c>
      <c r="D14551">
        <v>600</v>
      </c>
      <c r="E14551">
        <v>0</v>
      </c>
      <c r="F14551">
        <v>166</v>
      </c>
      <c r="G14551">
        <v>0</v>
      </c>
      <c r="H14551" t="s">
        <v>19401</v>
      </c>
      <c r="I14551">
        <v>16457</v>
      </c>
      <c r="J14551" t="e">
        <f>VLOOKUP(E14551,DSSpieler!A:B,2,FALSE)</f>
        <v>#N/A</v>
      </c>
    </row>
    <row r="14552" spans="1:10" x14ac:dyDescent="0.25">
      <c r="A14552">
        <v>16458</v>
      </c>
      <c r="B14552" t="s">
        <v>531</v>
      </c>
      <c r="C14552">
        <v>605</v>
      </c>
      <c r="D14552">
        <v>560</v>
      </c>
      <c r="E14552">
        <v>0</v>
      </c>
      <c r="F14552">
        <v>84</v>
      </c>
      <c r="G14552">
        <v>0</v>
      </c>
      <c r="H14552" t="s">
        <v>19402</v>
      </c>
      <c r="I14552">
        <v>16458</v>
      </c>
      <c r="J14552" t="e">
        <f>VLOOKUP(E14552,DSSpieler!A:B,2,FALSE)</f>
        <v>#N/A</v>
      </c>
    </row>
    <row r="14553" spans="1:10" x14ac:dyDescent="0.25">
      <c r="A14553">
        <v>16459</v>
      </c>
      <c r="B14553" t="s">
        <v>35341</v>
      </c>
      <c r="C14553">
        <v>620</v>
      </c>
      <c r="D14553">
        <v>490</v>
      </c>
      <c r="E14553">
        <v>1576994865</v>
      </c>
      <c r="F14553">
        <v>216</v>
      </c>
      <c r="G14553">
        <v>0</v>
      </c>
      <c r="H14553" t="s">
        <v>19403</v>
      </c>
      <c r="I14553">
        <v>16459</v>
      </c>
      <c r="J14553" t="str">
        <f>VLOOKUP(E14553,DSSpieler!A:B,2,FALSE)</f>
        <v>accab1</v>
      </c>
    </row>
    <row r="14554" spans="1:10" x14ac:dyDescent="0.25">
      <c r="A14554">
        <v>16460</v>
      </c>
      <c r="B14554">
        <v>3</v>
      </c>
      <c r="C14554">
        <v>477</v>
      </c>
      <c r="D14554">
        <v>499</v>
      </c>
      <c r="E14554">
        <v>1577142959</v>
      </c>
      <c r="F14554">
        <v>1227</v>
      </c>
      <c r="G14554">
        <v>0</v>
      </c>
      <c r="H14554" t="s">
        <v>19404</v>
      </c>
      <c r="I14554">
        <v>16460</v>
      </c>
      <c r="J14554" t="str">
        <f>VLOOKUP(E14554,DSSpieler!A:B,2,FALSE)</f>
        <v>lxmk</v>
      </c>
    </row>
    <row r="14555" spans="1:10" x14ac:dyDescent="0.25">
      <c r="A14555">
        <v>16461</v>
      </c>
      <c r="B14555" t="s">
        <v>531</v>
      </c>
      <c r="C14555">
        <v>595</v>
      </c>
      <c r="D14555">
        <v>575</v>
      </c>
      <c r="E14555">
        <v>0</v>
      </c>
      <c r="F14555">
        <v>206</v>
      </c>
      <c r="G14555">
        <v>0</v>
      </c>
      <c r="H14555" t="s">
        <v>19405</v>
      </c>
      <c r="I14555">
        <v>16461</v>
      </c>
      <c r="J14555" t="e">
        <f>VLOOKUP(E14555,DSSpieler!A:B,2,FALSE)</f>
        <v>#N/A</v>
      </c>
    </row>
    <row r="14556" spans="1:10" x14ac:dyDescent="0.25">
      <c r="A14556">
        <v>16462</v>
      </c>
      <c r="B14556">
        <v>300</v>
      </c>
      <c r="C14556">
        <v>434</v>
      </c>
      <c r="D14556">
        <v>399</v>
      </c>
      <c r="E14556">
        <v>9637656</v>
      </c>
      <c r="F14556">
        <v>190</v>
      </c>
      <c r="G14556">
        <v>0</v>
      </c>
      <c r="H14556" t="s">
        <v>19406</v>
      </c>
      <c r="I14556">
        <v>16462</v>
      </c>
      <c r="J14556" t="str">
        <f>VLOOKUP(E14556,DSSpieler!A:B,2,FALSE)</f>
        <v>kjelder</v>
      </c>
    </row>
    <row r="14557" spans="1:10" x14ac:dyDescent="0.25">
      <c r="A14557">
        <v>16463</v>
      </c>
      <c r="B14557" t="s">
        <v>531</v>
      </c>
      <c r="C14557">
        <v>386</v>
      </c>
      <c r="D14557">
        <v>465</v>
      </c>
      <c r="E14557">
        <v>0</v>
      </c>
      <c r="F14557">
        <v>165</v>
      </c>
      <c r="G14557">
        <v>0</v>
      </c>
      <c r="H14557" t="s">
        <v>19407</v>
      </c>
      <c r="I14557">
        <v>16463</v>
      </c>
      <c r="J14557" t="e">
        <f>VLOOKUP(E14557,DSSpieler!A:B,2,FALSE)</f>
        <v>#N/A</v>
      </c>
    </row>
    <row r="14558" spans="1:10" x14ac:dyDescent="0.25">
      <c r="A14558">
        <v>16464</v>
      </c>
      <c r="B14558" t="s">
        <v>35342</v>
      </c>
      <c r="C14558">
        <v>499</v>
      </c>
      <c r="D14558">
        <v>620</v>
      </c>
      <c r="E14558">
        <v>1577202300</v>
      </c>
      <c r="F14558">
        <v>2866</v>
      </c>
      <c r="G14558">
        <v>0</v>
      </c>
      <c r="H14558" t="s">
        <v>19408</v>
      </c>
      <c r="I14558">
        <v>16464</v>
      </c>
      <c r="J14558" t="str">
        <f>VLOOKUP(E14558,DSSpieler!A:B,2,FALSE)</f>
        <v>Amin</v>
      </c>
    </row>
    <row r="14559" spans="1:10" x14ac:dyDescent="0.25">
      <c r="A14559">
        <v>16465</v>
      </c>
      <c r="B14559" t="s">
        <v>35343</v>
      </c>
      <c r="C14559">
        <v>553</v>
      </c>
      <c r="D14559">
        <v>389</v>
      </c>
      <c r="E14559">
        <v>8391066</v>
      </c>
      <c r="F14559">
        <v>1214</v>
      </c>
      <c r="G14559">
        <v>0</v>
      </c>
      <c r="H14559" t="s">
        <v>19409</v>
      </c>
      <c r="I14559">
        <v>16465</v>
      </c>
      <c r="J14559" t="str">
        <f>VLOOKUP(E14559,DSSpieler!A:B,2,FALSE)</f>
        <v>Aphrodite66</v>
      </c>
    </row>
    <row r="14560" spans="1:10" x14ac:dyDescent="0.25">
      <c r="A14560">
        <v>16466</v>
      </c>
      <c r="B14560" t="s">
        <v>531</v>
      </c>
      <c r="C14560">
        <v>379</v>
      </c>
      <c r="D14560">
        <v>483</v>
      </c>
      <c r="E14560">
        <v>0</v>
      </c>
      <c r="F14560">
        <v>244</v>
      </c>
      <c r="G14560">
        <v>0</v>
      </c>
      <c r="H14560" t="s">
        <v>19410</v>
      </c>
      <c r="I14560">
        <v>16466</v>
      </c>
      <c r="J14560" t="e">
        <f>VLOOKUP(E14560,DSSpieler!A:B,2,FALSE)</f>
        <v>#N/A</v>
      </c>
    </row>
    <row r="14561" spans="1:10" x14ac:dyDescent="0.25">
      <c r="A14561">
        <v>16467</v>
      </c>
      <c r="B14561" t="s">
        <v>531</v>
      </c>
      <c r="C14561">
        <v>472</v>
      </c>
      <c r="D14561">
        <v>504</v>
      </c>
      <c r="E14561">
        <v>0</v>
      </c>
      <c r="F14561">
        <v>124</v>
      </c>
      <c r="G14561">
        <v>0</v>
      </c>
      <c r="H14561" t="s">
        <v>19411</v>
      </c>
      <c r="I14561">
        <v>16467</v>
      </c>
      <c r="J14561" t="e">
        <f>VLOOKUP(E14561,DSSpieler!A:B,2,FALSE)</f>
        <v>#N/A</v>
      </c>
    </row>
    <row r="14562" spans="1:10" x14ac:dyDescent="0.25">
      <c r="A14562">
        <v>16468</v>
      </c>
      <c r="B14562" t="s">
        <v>531</v>
      </c>
      <c r="C14562">
        <v>619</v>
      </c>
      <c r="D14562">
        <v>508</v>
      </c>
      <c r="E14562">
        <v>0</v>
      </c>
      <c r="F14562">
        <v>278</v>
      </c>
      <c r="G14562">
        <v>0</v>
      </c>
      <c r="H14562" t="s">
        <v>19412</v>
      </c>
      <c r="I14562">
        <v>16468</v>
      </c>
      <c r="J14562" t="e">
        <f>VLOOKUP(E14562,DSSpieler!A:B,2,FALSE)</f>
        <v>#N/A</v>
      </c>
    </row>
    <row r="14563" spans="1:10" x14ac:dyDescent="0.25">
      <c r="A14563">
        <v>16469</v>
      </c>
      <c r="B14563" t="s">
        <v>531</v>
      </c>
      <c r="C14563">
        <v>488</v>
      </c>
      <c r="D14563">
        <v>377</v>
      </c>
      <c r="E14563">
        <v>0</v>
      </c>
      <c r="F14563">
        <v>119</v>
      </c>
      <c r="G14563">
        <v>0</v>
      </c>
      <c r="H14563" t="s">
        <v>19413</v>
      </c>
      <c r="I14563">
        <v>16469</v>
      </c>
      <c r="J14563" t="e">
        <f>VLOOKUP(E14563,DSSpieler!A:B,2,FALSE)</f>
        <v>#N/A</v>
      </c>
    </row>
    <row r="14564" spans="1:10" x14ac:dyDescent="0.25">
      <c r="A14564">
        <v>16470</v>
      </c>
      <c r="B14564" t="s">
        <v>531</v>
      </c>
      <c r="C14564">
        <v>488</v>
      </c>
      <c r="D14564">
        <v>382</v>
      </c>
      <c r="E14564">
        <v>0</v>
      </c>
      <c r="F14564">
        <v>77</v>
      </c>
      <c r="G14564">
        <v>0</v>
      </c>
      <c r="H14564" t="s">
        <v>19414</v>
      </c>
      <c r="I14564">
        <v>16470</v>
      </c>
      <c r="J14564" t="e">
        <f>VLOOKUP(E14564,DSSpieler!A:B,2,FALSE)</f>
        <v>#N/A</v>
      </c>
    </row>
    <row r="14565" spans="1:10" x14ac:dyDescent="0.25">
      <c r="A14565">
        <v>16471</v>
      </c>
      <c r="B14565" t="s">
        <v>2511</v>
      </c>
      <c r="C14565">
        <v>622</v>
      </c>
      <c r="D14565">
        <v>507</v>
      </c>
      <c r="E14565">
        <v>1062503</v>
      </c>
      <c r="F14565">
        <v>2079</v>
      </c>
      <c r="G14565">
        <v>0</v>
      </c>
      <c r="H14565" t="s">
        <v>19415</v>
      </c>
      <c r="I14565">
        <v>16471</v>
      </c>
      <c r="J14565" t="str">
        <f>VLOOKUP(E14565,DSSpieler!A:B,2,FALSE)</f>
        <v>Master E.</v>
      </c>
    </row>
    <row r="14566" spans="1:10" x14ac:dyDescent="0.25">
      <c r="A14566">
        <v>16473</v>
      </c>
      <c r="B14566" t="s">
        <v>531</v>
      </c>
      <c r="C14566">
        <v>395</v>
      </c>
      <c r="D14566">
        <v>433</v>
      </c>
      <c r="E14566">
        <v>0</v>
      </c>
      <c r="F14566">
        <v>120</v>
      </c>
      <c r="G14566">
        <v>0</v>
      </c>
      <c r="H14566" t="s">
        <v>19416</v>
      </c>
      <c r="I14566">
        <v>16473</v>
      </c>
      <c r="J14566" t="e">
        <f>VLOOKUP(E14566,DSSpieler!A:B,2,FALSE)</f>
        <v>#N/A</v>
      </c>
    </row>
    <row r="14567" spans="1:10" x14ac:dyDescent="0.25">
      <c r="A14567">
        <v>16474</v>
      </c>
      <c r="B14567" t="s">
        <v>35344</v>
      </c>
      <c r="C14567">
        <v>529</v>
      </c>
      <c r="D14567">
        <v>617</v>
      </c>
      <c r="E14567">
        <v>1577204238</v>
      </c>
      <c r="F14567">
        <v>1768</v>
      </c>
      <c r="G14567">
        <v>0</v>
      </c>
      <c r="H14567" t="s">
        <v>19417</v>
      </c>
      <c r="I14567">
        <v>16474</v>
      </c>
      <c r="J14567" t="str">
        <f>VLOOKUP(E14567,DSSpieler!A:B,2,FALSE)</f>
        <v>LuckyNation</v>
      </c>
    </row>
    <row r="14568" spans="1:10" x14ac:dyDescent="0.25">
      <c r="A14568">
        <v>16475</v>
      </c>
      <c r="B14568" t="s">
        <v>205</v>
      </c>
      <c r="C14568">
        <v>532</v>
      </c>
      <c r="D14568">
        <v>389</v>
      </c>
      <c r="E14568">
        <v>1577197501</v>
      </c>
      <c r="F14568">
        <v>3443</v>
      </c>
      <c r="G14568">
        <v>0</v>
      </c>
      <c r="H14568" t="s">
        <v>19418</v>
      </c>
      <c r="I14568">
        <v>16475</v>
      </c>
      <c r="J14568" t="str">
        <f>VLOOKUP(E14568,DSSpieler!A:B,2,FALSE)</f>
        <v>tunk</v>
      </c>
    </row>
    <row r="14569" spans="1:10" x14ac:dyDescent="0.25">
      <c r="A14569">
        <v>16476</v>
      </c>
      <c r="B14569" t="s">
        <v>531</v>
      </c>
      <c r="C14569">
        <v>533</v>
      </c>
      <c r="D14569">
        <v>603</v>
      </c>
      <c r="E14569">
        <v>0</v>
      </c>
      <c r="F14569">
        <v>460</v>
      </c>
      <c r="G14569">
        <v>0</v>
      </c>
      <c r="H14569" t="s">
        <v>19419</v>
      </c>
      <c r="I14569">
        <v>16476</v>
      </c>
      <c r="J14569" t="e">
        <f>VLOOKUP(E14569,DSSpieler!A:B,2,FALSE)</f>
        <v>#N/A</v>
      </c>
    </row>
    <row r="14570" spans="1:10" x14ac:dyDescent="0.25">
      <c r="A14570">
        <v>16477</v>
      </c>
      <c r="B14570" t="s">
        <v>531</v>
      </c>
      <c r="C14570">
        <v>616</v>
      </c>
      <c r="D14570">
        <v>467</v>
      </c>
      <c r="E14570">
        <v>0</v>
      </c>
      <c r="F14570">
        <v>194</v>
      </c>
      <c r="G14570">
        <v>0</v>
      </c>
      <c r="H14570" t="s">
        <v>19420</v>
      </c>
      <c r="I14570">
        <v>16477</v>
      </c>
      <c r="J14570" t="e">
        <f>VLOOKUP(E14570,DSSpieler!A:B,2,FALSE)</f>
        <v>#N/A</v>
      </c>
    </row>
    <row r="14571" spans="1:10" x14ac:dyDescent="0.25">
      <c r="A14571">
        <v>16478</v>
      </c>
      <c r="B14571" t="s">
        <v>531</v>
      </c>
      <c r="C14571">
        <v>529</v>
      </c>
      <c r="D14571">
        <v>385</v>
      </c>
      <c r="E14571">
        <v>0</v>
      </c>
      <c r="F14571">
        <v>612</v>
      </c>
      <c r="G14571">
        <v>0</v>
      </c>
      <c r="H14571" t="s">
        <v>19421</v>
      </c>
      <c r="I14571">
        <v>16478</v>
      </c>
      <c r="J14571" t="e">
        <f>VLOOKUP(E14571,DSSpieler!A:B,2,FALSE)</f>
        <v>#N/A</v>
      </c>
    </row>
    <row r="14572" spans="1:10" x14ac:dyDescent="0.25">
      <c r="A14572">
        <v>16479</v>
      </c>
      <c r="B14572" t="s">
        <v>2512</v>
      </c>
      <c r="C14572">
        <v>543</v>
      </c>
      <c r="D14572">
        <v>614</v>
      </c>
      <c r="E14572">
        <v>1576372265</v>
      </c>
      <c r="F14572">
        <v>703</v>
      </c>
      <c r="G14572">
        <v>0</v>
      </c>
      <c r="H14572" t="s">
        <v>19422</v>
      </c>
      <c r="I14572">
        <v>16479</v>
      </c>
      <c r="J14572" t="str">
        <f>VLOOKUP(E14572,DSSpieler!A:B,2,FALSE)</f>
        <v>Bambe77</v>
      </c>
    </row>
    <row r="14573" spans="1:10" x14ac:dyDescent="0.25">
      <c r="A14573">
        <v>16480</v>
      </c>
      <c r="B14573" t="s">
        <v>35345</v>
      </c>
      <c r="C14573">
        <v>616</v>
      </c>
      <c r="D14573">
        <v>512</v>
      </c>
      <c r="E14573">
        <v>9263618</v>
      </c>
      <c r="F14573">
        <v>1254</v>
      </c>
      <c r="G14573">
        <v>0</v>
      </c>
      <c r="H14573" t="s">
        <v>19423</v>
      </c>
      <c r="I14573">
        <v>16480</v>
      </c>
      <c r="J14573" t="str">
        <f>VLOOKUP(E14573,DSSpieler!A:B,2,FALSE)</f>
        <v>Jinxor</v>
      </c>
    </row>
    <row r="14574" spans="1:10" x14ac:dyDescent="0.25">
      <c r="A14574">
        <v>16481</v>
      </c>
      <c r="B14574" t="s">
        <v>2513</v>
      </c>
      <c r="C14574">
        <v>431</v>
      </c>
      <c r="D14574">
        <v>596</v>
      </c>
      <c r="E14574">
        <v>1576605405</v>
      </c>
      <c r="F14574">
        <v>1653</v>
      </c>
      <c r="G14574">
        <v>0</v>
      </c>
      <c r="H14574" t="s">
        <v>19424</v>
      </c>
      <c r="I14574">
        <v>16481</v>
      </c>
      <c r="J14574" t="str">
        <f>VLOOKUP(E14574,DSSpieler!A:B,2,FALSE)</f>
        <v>klaver61</v>
      </c>
    </row>
    <row r="14575" spans="1:10" x14ac:dyDescent="0.25">
      <c r="A14575">
        <v>16482</v>
      </c>
      <c r="B14575" t="s">
        <v>2514</v>
      </c>
      <c r="C14575">
        <v>378</v>
      </c>
      <c r="D14575">
        <v>498</v>
      </c>
      <c r="E14575">
        <v>9610666</v>
      </c>
      <c r="F14575">
        <v>2160</v>
      </c>
      <c r="G14575">
        <v>0</v>
      </c>
      <c r="H14575" t="s">
        <v>19425</v>
      </c>
      <c r="I14575">
        <v>16482</v>
      </c>
      <c r="J14575" t="str">
        <f>VLOOKUP(E14575,DSSpieler!A:B,2,FALSE)</f>
        <v>POMEE</v>
      </c>
    </row>
    <row r="14576" spans="1:10" x14ac:dyDescent="0.25">
      <c r="A14576">
        <v>16483</v>
      </c>
      <c r="B14576" t="s">
        <v>35346</v>
      </c>
      <c r="C14576">
        <v>584</v>
      </c>
      <c r="D14576">
        <v>591</v>
      </c>
      <c r="E14576">
        <v>1576955253</v>
      </c>
      <c r="F14576">
        <v>238</v>
      </c>
      <c r="G14576">
        <v>0</v>
      </c>
      <c r="H14576" t="s">
        <v>19426</v>
      </c>
      <c r="I14576">
        <v>16483</v>
      </c>
      <c r="J14576" t="str">
        <f>VLOOKUP(E14576,DSSpieler!A:B,2,FALSE)</f>
        <v>Lord Rubikub</v>
      </c>
    </row>
    <row r="14577" spans="1:10" x14ac:dyDescent="0.25">
      <c r="A14577">
        <v>16484</v>
      </c>
      <c r="B14577" t="s">
        <v>531</v>
      </c>
      <c r="C14577">
        <v>505</v>
      </c>
      <c r="D14577">
        <v>623</v>
      </c>
      <c r="E14577">
        <v>0</v>
      </c>
      <c r="F14577">
        <v>181</v>
      </c>
      <c r="G14577">
        <v>0</v>
      </c>
      <c r="H14577" t="s">
        <v>19427</v>
      </c>
      <c r="I14577">
        <v>16484</v>
      </c>
      <c r="J14577" t="e">
        <f>VLOOKUP(E14577,DSSpieler!A:B,2,FALSE)</f>
        <v>#N/A</v>
      </c>
    </row>
    <row r="14578" spans="1:10" x14ac:dyDescent="0.25">
      <c r="A14578">
        <v>16485</v>
      </c>
      <c r="B14578" t="s">
        <v>2515</v>
      </c>
      <c r="C14578">
        <v>623</v>
      </c>
      <c r="D14578">
        <v>512</v>
      </c>
      <c r="E14578">
        <v>1577204280</v>
      </c>
      <c r="F14578">
        <v>2682</v>
      </c>
      <c r="G14578">
        <v>0</v>
      </c>
      <c r="H14578" t="s">
        <v>19428</v>
      </c>
      <c r="I14578">
        <v>16485</v>
      </c>
      <c r="J14578" t="str">
        <f>VLOOKUP(E14578,DSSpieler!A:B,2,FALSE)</f>
        <v>Venox19972</v>
      </c>
    </row>
    <row r="14579" spans="1:10" x14ac:dyDescent="0.25">
      <c r="A14579">
        <v>16487</v>
      </c>
      <c r="B14579" t="s">
        <v>531</v>
      </c>
      <c r="C14579">
        <v>499</v>
      </c>
      <c r="D14579">
        <v>624</v>
      </c>
      <c r="E14579">
        <v>0</v>
      </c>
      <c r="F14579">
        <v>111</v>
      </c>
      <c r="G14579">
        <v>0</v>
      </c>
      <c r="H14579" t="s">
        <v>19429</v>
      </c>
      <c r="I14579">
        <v>16487</v>
      </c>
      <c r="J14579" t="e">
        <f>VLOOKUP(E14579,DSSpieler!A:B,2,FALSE)</f>
        <v>#N/A</v>
      </c>
    </row>
    <row r="14580" spans="1:10" x14ac:dyDescent="0.25">
      <c r="A14580">
        <v>16488</v>
      </c>
      <c r="B14580" t="s">
        <v>531</v>
      </c>
      <c r="C14580">
        <v>530</v>
      </c>
      <c r="D14580">
        <v>621</v>
      </c>
      <c r="E14580">
        <v>0</v>
      </c>
      <c r="F14580">
        <v>87</v>
      </c>
      <c r="G14580">
        <v>0</v>
      </c>
      <c r="H14580" t="s">
        <v>19430</v>
      </c>
      <c r="I14580">
        <v>16488</v>
      </c>
      <c r="J14580" t="e">
        <f>VLOOKUP(E14580,DSSpieler!A:B,2,FALSE)</f>
        <v>#N/A</v>
      </c>
    </row>
    <row r="14581" spans="1:10" x14ac:dyDescent="0.25">
      <c r="A14581">
        <v>16489</v>
      </c>
      <c r="B14581">
        <v>178</v>
      </c>
      <c r="C14581">
        <v>504</v>
      </c>
      <c r="D14581">
        <v>390</v>
      </c>
      <c r="E14581">
        <v>1576835870</v>
      </c>
      <c r="F14581">
        <v>984</v>
      </c>
      <c r="G14581">
        <v>0</v>
      </c>
      <c r="H14581" t="s">
        <v>19431</v>
      </c>
      <c r="I14581">
        <v>16489</v>
      </c>
      <c r="J14581" t="str">
        <f>VLOOKUP(E14581,DSSpieler!A:B,2,FALSE)</f>
        <v>vonderwarnow</v>
      </c>
    </row>
    <row r="14582" spans="1:10" x14ac:dyDescent="0.25">
      <c r="A14582">
        <v>16490</v>
      </c>
      <c r="B14582" t="s">
        <v>531</v>
      </c>
      <c r="C14582">
        <v>620</v>
      </c>
      <c r="D14582">
        <v>514</v>
      </c>
      <c r="E14582">
        <v>0</v>
      </c>
      <c r="F14582">
        <v>142</v>
      </c>
      <c r="G14582">
        <v>0</v>
      </c>
      <c r="H14582" t="s">
        <v>19432</v>
      </c>
      <c r="I14582">
        <v>16490</v>
      </c>
      <c r="J14582" t="e">
        <f>VLOOKUP(E14582,DSSpieler!A:B,2,FALSE)</f>
        <v>#N/A</v>
      </c>
    </row>
    <row r="14583" spans="1:10" x14ac:dyDescent="0.25">
      <c r="A14583">
        <v>16491</v>
      </c>
      <c r="B14583" t="s">
        <v>35347</v>
      </c>
      <c r="C14583">
        <v>461</v>
      </c>
      <c r="D14583">
        <v>383</v>
      </c>
      <c r="E14583">
        <v>1576815278</v>
      </c>
      <c r="F14583">
        <v>84</v>
      </c>
      <c r="G14583">
        <v>0</v>
      </c>
      <c r="H14583" t="s">
        <v>19433</v>
      </c>
      <c r="I14583">
        <v>16491</v>
      </c>
      <c r="J14583" t="str">
        <f>VLOOKUP(E14583,DSSpieler!A:B,2,FALSE)</f>
        <v>Lady-Fanny</v>
      </c>
    </row>
    <row r="14584" spans="1:10" x14ac:dyDescent="0.25">
      <c r="A14584">
        <v>16492</v>
      </c>
      <c r="B14584" t="s">
        <v>2516</v>
      </c>
      <c r="C14584">
        <v>547</v>
      </c>
      <c r="D14584">
        <v>615</v>
      </c>
      <c r="E14584">
        <v>9952053</v>
      </c>
      <c r="F14584">
        <v>1445</v>
      </c>
      <c r="G14584">
        <v>0</v>
      </c>
      <c r="H14584" t="s">
        <v>19434</v>
      </c>
      <c r="I14584">
        <v>16492</v>
      </c>
      <c r="J14584" t="str">
        <f>VLOOKUP(E14584,DSSpieler!A:B,2,FALSE)</f>
        <v>*The-Hunter*</v>
      </c>
    </row>
    <row r="14585" spans="1:10" x14ac:dyDescent="0.25">
      <c r="A14585">
        <v>16493</v>
      </c>
      <c r="B14585" t="s">
        <v>531</v>
      </c>
      <c r="C14585">
        <v>386</v>
      </c>
      <c r="D14585">
        <v>549</v>
      </c>
      <c r="E14585">
        <v>0</v>
      </c>
      <c r="F14585">
        <v>235</v>
      </c>
      <c r="G14585">
        <v>0</v>
      </c>
      <c r="H14585" t="s">
        <v>19435</v>
      </c>
      <c r="I14585">
        <v>16493</v>
      </c>
      <c r="J14585" t="e">
        <f>VLOOKUP(E14585,DSSpieler!A:B,2,FALSE)</f>
        <v>#N/A</v>
      </c>
    </row>
    <row r="14586" spans="1:10" x14ac:dyDescent="0.25">
      <c r="A14586">
        <v>16494</v>
      </c>
      <c r="B14586" t="s">
        <v>35348</v>
      </c>
      <c r="C14586">
        <v>438</v>
      </c>
      <c r="D14586">
        <v>398</v>
      </c>
      <c r="E14586">
        <v>1577106789</v>
      </c>
      <c r="F14586">
        <v>234</v>
      </c>
      <c r="G14586">
        <v>0</v>
      </c>
      <c r="H14586" t="s">
        <v>19436</v>
      </c>
      <c r="I14586">
        <v>16494</v>
      </c>
      <c r="J14586" t="str">
        <f>VLOOKUP(E14586,DSSpieler!A:B,2,FALSE)</f>
        <v>Jauchebomber</v>
      </c>
    </row>
    <row r="14587" spans="1:10" x14ac:dyDescent="0.25">
      <c r="A14587">
        <v>16495</v>
      </c>
      <c r="B14587" t="s">
        <v>30494</v>
      </c>
      <c r="C14587">
        <v>560</v>
      </c>
      <c r="D14587">
        <v>608</v>
      </c>
      <c r="E14587">
        <v>1577204302</v>
      </c>
      <c r="F14587">
        <v>3965</v>
      </c>
      <c r="G14587">
        <v>0</v>
      </c>
      <c r="H14587" t="s">
        <v>19437</v>
      </c>
      <c r="I14587">
        <v>16495</v>
      </c>
      <c r="J14587" t="str">
        <f>VLOOKUP(E14587,DSSpieler!A:B,2,FALSE)</f>
        <v>Lord Dome</v>
      </c>
    </row>
    <row r="14588" spans="1:10" x14ac:dyDescent="0.25">
      <c r="A14588">
        <v>16496</v>
      </c>
      <c r="B14588" t="s">
        <v>2517</v>
      </c>
      <c r="C14588">
        <v>482</v>
      </c>
      <c r="D14588">
        <v>381</v>
      </c>
      <c r="E14588">
        <v>1577170463</v>
      </c>
      <c r="F14588">
        <v>289</v>
      </c>
      <c r="G14588">
        <v>0</v>
      </c>
      <c r="H14588" t="s">
        <v>19438</v>
      </c>
      <c r="I14588">
        <v>16496</v>
      </c>
      <c r="J14588" t="str">
        <f>VLOOKUP(E14588,DSSpieler!A:B,2,FALSE)</f>
        <v>Eggi1301</v>
      </c>
    </row>
    <row r="14589" spans="1:10" x14ac:dyDescent="0.25">
      <c r="A14589">
        <v>16497</v>
      </c>
      <c r="B14589" t="s">
        <v>2518</v>
      </c>
      <c r="C14589">
        <v>500</v>
      </c>
      <c r="D14589">
        <v>376</v>
      </c>
      <c r="E14589">
        <v>1577201348</v>
      </c>
      <c r="F14589">
        <v>545</v>
      </c>
      <c r="G14589">
        <v>0</v>
      </c>
      <c r="H14589" t="s">
        <v>19439</v>
      </c>
      <c r="I14589">
        <v>16497</v>
      </c>
      <c r="J14589" t="str">
        <f>VLOOKUP(E14589,DSSpieler!A:B,2,FALSE)</f>
        <v>ossi978</v>
      </c>
    </row>
    <row r="14590" spans="1:10" x14ac:dyDescent="0.25">
      <c r="A14590">
        <v>16498</v>
      </c>
      <c r="B14590" t="s">
        <v>531</v>
      </c>
      <c r="C14590">
        <v>449</v>
      </c>
      <c r="D14590">
        <v>613</v>
      </c>
      <c r="E14590">
        <v>0</v>
      </c>
      <c r="F14590">
        <v>265</v>
      </c>
      <c r="G14590">
        <v>0</v>
      </c>
      <c r="H14590" t="s">
        <v>19440</v>
      </c>
      <c r="I14590">
        <v>16498</v>
      </c>
      <c r="J14590" t="e">
        <f>VLOOKUP(E14590,DSSpieler!A:B,2,FALSE)</f>
        <v>#N/A</v>
      </c>
    </row>
    <row r="14591" spans="1:10" x14ac:dyDescent="0.25">
      <c r="A14591">
        <v>16499</v>
      </c>
      <c r="B14591" t="s">
        <v>150</v>
      </c>
      <c r="C14591">
        <v>517</v>
      </c>
      <c r="D14591">
        <v>377</v>
      </c>
      <c r="E14591">
        <v>1979965</v>
      </c>
      <c r="F14591">
        <v>133</v>
      </c>
      <c r="G14591">
        <v>0</v>
      </c>
      <c r="H14591" t="s">
        <v>19441</v>
      </c>
      <c r="I14591">
        <v>16499</v>
      </c>
      <c r="J14591" t="str">
        <f>VLOOKUP(E14591,DSSpieler!A:B,2,FALSE)</f>
        <v>fleischerdestodes</v>
      </c>
    </row>
    <row r="14592" spans="1:10" x14ac:dyDescent="0.25">
      <c r="A14592">
        <v>16500</v>
      </c>
      <c r="B14592" t="s">
        <v>35349</v>
      </c>
      <c r="C14592">
        <v>517</v>
      </c>
      <c r="D14592">
        <v>511</v>
      </c>
      <c r="E14592">
        <v>1577171254</v>
      </c>
      <c r="F14592">
        <v>2900</v>
      </c>
      <c r="G14592">
        <v>0</v>
      </c>
      <c r="H14592" t="s">
        <v>19442</v>
      </c>
      <c r="I14592">
        <v>16500</v>
      </c>
      <c r="J14592" t="str">
        <f>VLOOKUP(E14592,DSSpieler!A:B,2,FALSE)</f>
        <v>Lord LittleGummi</v>
      </c>
    </row>
    <row r="14593" spans="1:10" x14ac:dyDescent="0.25">
      <c r="A14593">
        <v>16501</v>
      </c>
      <c r="B14593" t="s">
        <v>531</v>
      </c>
      <c r="C14593">
        <v>383</v>
      </c>
      <c r="D14593">
        <v>524</v>
      </c>
      <c r="E14593">
        <v>0</v>
      </c>
      <c r="F14593">
        <v>202</v>
      </c>
      <c r="G14593">
        <v>0</v>
      </c>
      <c r="H14593" t="s">
        <v>19443</v>
      </c>
      <c r="I14593">
        <v>16501</v>
      </c>
      <c r="J14593" t="e">
        <f>VLOOKUP(E14593,DSSpieler!A:B,2,FALSE)</f>
        <v>#N/A</v>
      </c>
    </row>
    <row r="14594" spans="1:10" x14ac:dyDescent="0.25">
      <c r="A14594">
        <v>16502</v>
      </c>
      <c r="B14594" t="s">
        <v>35350</v>
      </c>
      <c r="C14594">
        <v>378</v>
      </c>
      <c r="D14594">
        <v>521</v>
      </c>
      <c r="E14594">
        <v>1577204303</v>
      </c>
      <c r="F14594">
        <v>3409</v>
      </c>
      <c r="G14594">
        <v>0</v>
      </c>
      <c r="H14594" t="s">
        <v>19444</v>
      </c>
      <c r="I14594">
        <v>16502</v>
      </c>
      <c r="J14594" t="str">
        <f>VLOOKUP(E14594,DSSpieler!A:B,2,FALSE)</f>
        <v>Defake</v>
      </c>
    </row>
    <row r="14595" spans="1:10" x14ac:dyDescent="0.25">
      <c r="A14595">
        <v>16503</v>
      </c>
      <c r="B14595" t="s">
        <v>531</v>
      </c>
      <c r="C14595">
        <v>463</v>
      </c>
      <c r="D14595">
        <v>615</v>
      </c>
      <c r="E14595">
        <v>0</v>
      </c>
      <c r="F14595">
        <v>201</v>
      </c>
      <c r="G14595">
        <v>0</v>
      </c>
      <c r="H14595" t="s">
        <v>19445</v>
      </c>
      <c r="I14595">
        <v>16503</v>
      </c>
      <c r="J14595" t="e">
        <f>VLOOKUP(E14595,DSSpieler!A:B,2,FALSE)</f>
        <v>#N/A</v>
      </c>
    </row>
    <row r="14596" spans="1:10" x14ac:dyDescent="0.25">
      <c r="A14596">
        <v>16504</v>
      </c>
      <c r="B14596" t="s">
        <v>35351</v>
      </c>
      <c r="C14596">
        <v>562</v>
      </c>
      <c r="D14596">
        <v>394</v>
      </c>
      <c r="E14596">
        <v>1577204072</v>
      </c>
      <c r="F14596">
        <v>2404</v>
      </c>
      <c r="G14596">
        <v>0</v>
      </c>
      <c r="H14596" t="s">
        <v>19446</v>
      </c>
      <c r="I14596">
        <v>16504</v>
      </c>
      <c r="J14596" t="str">
        <f>VLOOKUP(E14596,DSSpieler!A:B,2,FALSE)</f>
        <v>bigal5845</v>
      </c>
    </row>
    <row r="14597" spans="1:10" x14ac:dyDescent="0.25">
      <c r="A14597">
        <v>16505</v>
      </c>
      <c r="B14597" t="s">
        <v>2519</v>
      </c>
      <c r="C14597">
        <v>391</v>
      </c>
      <c r="D14597">
        <v>445</v>
      </c>
      <c r="E14597">
        <v>655669</v>
      </c>
      <c r="F14597">
        <v>1913</v>
      </c>
      <c r="G14597">
        <v>0</v>
      </c>
      <c r="H14597" t="s">
        <v>19447</v>
      </c>
      <c r="I14597">
        <v>16505</v>
      </c>
      <c r="J14597" t="str">
        <f>VLOOKUP(E14597,DSSpieler!A:B,2,FALSE)</f>
        <v>willi46</v>
      </c>
    </row>
    <row r="14598" spans="1:10" x14ac:dyDescent="0.25">
      <c r="A14598">
        <v>16506</v>
      </c>
      <c r="B14598" t="s">
        <v>531</v>
      </c>
      <c r="C14598">
        <v>426</v>
      </c>
      <c r="D14598">
        <v>597</v>
      </c>
      <c r="E14598">
        <v>0</v>
      </c>
      <c r="F14598">
        <v>861</v>
      </c>
      <c r="G14598">
        <v>0</v>
      </c>
      <c r="H14598" t="s">
        <v>19448</v>
      </c>
      <c r="I14598">
        <v>16506</v>
      </c>
      <c r="J14598" t="e">
        <f>VLOOKUP(E14598,DSSpieler!A:B,2,FALSE)</f>
        <v>#N/A</v>
      </c>
    </row>
    <row r="14599" spans="1:10" x14ac:dyDescent="0.25">
      <c r="A14599">
        <v>16507</v>
      </c>
      <c r="B14599" t="s">
        <v>35352</v>
      </c>
      <c r="C14599">
        <v>560</v>
      </c>
      <c r="D14599">
        <v>600</v>
      </c>
      <c r="E14599">
        <v>1577165528</v>
      </c>
      <c r="F14599">
        <v>505</v>
      </c>
      <c r="G14599">
        <v>0</v>
      </c>
      <c r="H14599" t="s">
        <v>19449</v>
      </c>
      <c r="I14599">
        <v>16507</v>
      </c>
      <c r="J14599" t="str">
        <f>VLOOKUP(E14599,DSSpieler!A:B,2,FALSE)</f>
        <v>aRucXi</v>
      </c>
    </row>
    <row r="14600" spans="1:10" x14ac:dyDescent="0.25">
      <c r="A14600">
        <v>16508</v>
      </c>
      <c r="B14600" t="s">
        <v>531</v>
      </c>
      <c r="C14600">
        <v>616</v>
      </c>
      <c r="D14600">
        <v>472</v>
      </c>
      <c r="E14600">
        <v>0</v>
      </c>
      <c r="F14600">
        <v>254</v>
      </c>
      <c r="G14600">
        <v>0</v>
      </c>
      <c r="H14600" t="s">
        <v>19450</v>
      </c>
      <c r="I14600">
        <v>16508</v>
      </c>
      <c r="J14600" t="e">
        <f>VLOOKUP(E14600,DSSpieler!A:B,2,FALSE)</f>
        <v>#N/A</v>
      </c>
    </row>
    <row r="14601" spans="1:10" x14ac:dyDescent="0.25">
      <c r="A14601">
        <v>16510</v>
      </c>
      <c r="B14601" t="s">
        <v>531</v>
      </c>
      <c r="C14601">
        <v>527</v>
      </c>
      <c r="D14601">
        <v>381</v>
      </c>
      <c r="E14601">
        <v>0</v>
      </c>
      <c r="F14601">
        <v>318</v>
      </c>
      <c r="G14601">
        <v>0</v>
      </c>
      <c r="H14601" t="s">
        <v>19451</v>
      </c>
      <c r="I14601">
        <v>16510</v>
      </c>
      <c r="J14601" t="e">
        <f>VLOOKUP(E14601,DSSpieler!A:B,2,FALSE)</f>
        <v>#N/A</v>
      </c>
    </row>
    <row r="14602" spans="1:10" x14ac:dyDescent="0.25">
      <c r="A14602">
        <v>16511</v>
      </c>
      <c r="B14602" t="s">
        <v>35353</v>
      </c>
      <c r="C14602">
        <v>475</v>
      </c>
      <c r="D14602">
        <v>444</v>
      </c>
      <c r="E14602">
        <v>1576772718</v>
      </c>
      <c r="F14602">
        <v>324</v>
      </c>
      <c r="G14602">
        <v>0</v>
      </c>
      <c r="H14602" t="s">
        <v>19452</v>
      </c>
      <c r="I14602">
        <v>16511</v>
      </c>
      <c r="J14602" t="str">
        <f>VLOOKUP(E14602,DSSpieler!A:B,2,FALSE)</f>
        <v>Snackverkäufer</v>
      </c>
    </row>
    <row r="14603" spans="1:10" x14ac:dyDescent="0.25">
      <c r="A14603">
        <v>16512</v>
      </c>
      <c r="B14603" t="s">
        <v>35354</v>
      </c>
      <c r="C14603">
        <v>477</v>
      </c>
      <c r="D14603">
        <v>620</v>
      </c>
      <c r="E14603">
        <v>1577204338</v>
      </c>
      <c r="F14603">
        <v>1815</v>
      </c>
      <c r="G14603">
        <v>0</v>
      </c>
      <c r="H14603" t="s">
        <v>19453</v>
      </c>
      <c r="I14603">
        <v>16512</v>
      </c>
      <c r="J14603" t="str">
        <f>VLOOKUP(E14603,DSSpieler!A:B,2,FALSE)</f>
        <v>Schokoherz</v>
      </c>
    </row>
    <row r="14604" spans="1:10" x14ac:dyDescent="0.25">
      <c r="A14604">
        <v>16513</v>
      </c>
      <c r="B14604" t="s">
        <v>35355</v>
      </c>
      <c r="C14604">
        <v>384</v>
      </c>
      <c r="D14604">
        <v>465</v>
      </c>
      <c r="E14604">
        <v>1577191249</v>
      </c>
      <c r="F14604">
        <v>3187</v>
      </c>
      <c r="G14604">
        <v>0</v>
      </c>
      <c r="H14604" t="s">
        <v>489</v>
      </c>
      <c r="I14604">
        <v>16513</v>
      </c>
      <c r="J14604" t="str">
        <f>VLOOKUP(E14604,DSSpieler!A:B,2,FALSE)</f>
        <v>Succoso</v>
      </c>
    </row>
    <row r="14605" spans="1:10" x14ac:dyDescent="0.25">
      <c r="A14605">
        <v>16514</v>
      </c>
      <c r="B14605" t="s">
        <v>35356</v>
      </c>
      <c r="C14605">
        <v>477</v>
      </c>
      <c r="D14605">
        <v>442</v>
      </c>
      <c r="E14605">
        <v>1577187131</v>
      </c>
      <c r="F14605">
        <v>1043</v>
      </c>
      <c r="G14605">
        <v>0</v>
      </c>
      <c r="H14605" t="s">
        <v>19454</v>
      </c>
      <c r="I14605">
        <v>16514</v>
      </c>
      <c r="J14605" t="str">
        <f>VLOOKUP(E14605,DSSpieler!A:B,2,FALSE)</f>
        <v>Conny Ke</v>
      </c>
    </row>
    <row r="14606" spans="1:10" x14ac:dyDescent="0.25">
      <c r="A14606">
        <v>16515</v>
      </c>
      <c r="B14606" t="s">
        <v>35357</v>
      </c>
      <c r="C14606">
        <v>597</v>
      </c>
      <c r="D14606">
        <v>577</v>
      </c>
      <c r="E14606">
        <v>2747441</v>
      </c>
      <c r="F14606">
        <v>2490</v>
      </c>
      <c r="G14606">
        <v>0</v>
      </c>
      <c r="H14606" t="s">
        <v>19455</v>
      </c>
      <c r="I14606">
        <v>16515</v>
      </c>
      <c r="J14606" t="str">
        <f>VLOOKUP(E14606,DSSpieler!A:B,2,FALSE)</f>
        <v>futzy</v>
      </c>
    </row>
    <row r="14607" spans="1:10" x14ac:dyDescent="0.25">
      <c r="A14607">
        <v>16516</v>
      </c>
      <c r="B14607" t="s">
        <v>35358</v>
      </c>
      <c r="C14607">
        <v>473</v>
      </c>
      <c r="D14607">
        <v>620</v>
      </c>
      <c r="E14607">
        <v>9814006</v>
      </c>
      <c r="F14607">
        <v>343</v>
      </c>
      <c r="G14607">
        <v>0</v>
      </c>
      <c r="H14607" t="s">
        <v>19456</v>
      </c>
      <c r="I14607">
        <v>16516</v>
      </c>
      <c r="J14607" t="str">
        <f>VLOOKUP(E14607,DSSpieler!A:B,2,FALSE)</f>
        <v>Lord Springer</v>
      </c>
    </row>
    <row r="14608" spans="1:10" x14ac:dyDescent="0.25">
      <c r="A14608">
        <v>16517</v>
      </c>
      <c r="B14608" t="s">
        <v>35359</v>
      </c>
      <c r="C14608">
        <v>495</v>
      </c>
      <c r="D14608">
        <v>377</v>
      </c>
      <c r="E14608">
        <v>1577196362</v>
      </c>
      <c r="F14608">
        <v>2714</v>
      </c>
      <c r="G14608">
        <v>0</v>
      </c>
      <c r="H14608" t="s">
        <v>19457</v>
      </c>
      <c r="I14608">
        <v>16517</v>
      </c>
      <c r="J14608" t="str">
        <f>VLOOKUP(E14608,DSSpieler!A:B,2,FALSE)</f>
        <v>voitijaner</v>
      </c>
    </row>
    <row r="14609" spans="1:10" x14ac:dyDescent="0.25">
      <c r="A14609">
        <v>16518</v>
      </c>
      <c r="B14609" t="s">
        <v>35360</v>
      </c>
      <c r="C14609">
        <v>391</v>
      </c>
      <c r="D14609">
        <v>463</v>
      </c>
      <c r="E14609">
        <v>1577192142</v>
      </c>
      <c r="F14609">
        <v>3056</v>
      </c>
      <c r="G14609">
        <v>0</v>
      </c>
      <c r="H14609" t="s">
        <v>502</v>
      </c>
      <c r="I14609">
        <v>16518</v>
      </c>
      <c r="J14609" t="str">
        <f>VLOOKUP(E14609,DSSpieler!A:B,2,FALSE)</f>
        <v>Ovii</v>
      </c>
    </row>
    <row r="14610" spans="1:10" x14ac:dyDescent="0.25">
      <c r="A14610">
        <v>16519</v>
      </c>
      <c r="B14610" t="s">
        <v>531</v>
      </c>
      <c r="C14610">
        <v>512</v>
      </c>
      <c r="D14610">
        <v>623</v>
      </c>
      <c r="E14610">
        <v>0</v>
      </c>
      <c r="F14610">
        <v>103</v>
      </c>
      <c r="G14610">
        <v>0</v>
      </c>
      <c r="H14610" t="s">
        <v>19458</v>
      </c>
      <c r="I14610">
        <v>16519</v>
      </c>
      <c r="J14610" t="e">
        <f>VLOOKUP(E14610,DSSpieler!A:B,2,FALSE)</f>
        <v>#N/A</v>
      </c>
    </row>
    <row r="14611" spans="1:10" x14ac:dyDescent="0.25">
      <c r="A14611">
        <v>16520</v>
      </c>
      <c r="B14611" t="s">
        <v>35361</v>
      </c>
      <c r="C14611">
        <v>537</v>
      </c>
      <c r="D14611">
        <v>623</v>
      </c>
      <c r="E14611">
        <v>1577138069</v>
      </c>
      <c r="F14611">
        <v>1905</v>
      </c>
      <c r="G14611">
        <v>0</v>
      </c>
      <c r="H14611" t="s">
        <v>19459</v>
      </c>
      <c r="I14611">
        <v>16520</v>
      </c>
      <c r="J14611" t="str">
        <f>VLOOKUP(E14611,DSSpieler!A:B,2,FALSE)</f>
        <v>Mucks</v>
      </c>
    </row>
    <row r="14612" spans="1:10" x14ac:dyDescent="0.25">
      <c r="A14612">
        <v>16521</v>
      </c>
      <c r="B14612" t="s">
        <v>35362</v>
      </c>
      <c r="C14612">
        <v>409</v>
      </c>
      <c r="D14612">
        <v>516</v>
      </c>
      <c r="E14612">
        <v>1577199125</v>
      </c>
      <c r="F14612">
        <v>402</v>
      </c>
      <c r="G14612">
        <v>0</v>
      </c>
      <c r="H14612" t="s">
        <v>19460</v>
      </c>
      <c r="I14612">
        <v>16521</v>
      </c>
      <c r="J14612" t="str">
        <f>VLOOKUP(E14612,DSSpieler!A:B,2,FALSE)</f>
        <v>quantus</v>
      </c>
    </row>
    <row r="14613" spans="1:10" x14ac:dyDescent="0.25">
      <c r="A14613">
        <v>16522</v>
      </c>
      <c r="B14613" t="s">
        <v>35363</v>
      </c>
      <c r="C14613">
        <v>441</v>
      </c>
      <c r="D14613">
        <v>393</v>
      </c>
      <c r="E14613">
        <v>1577199694</v>
      </c>
      <c r="F14613">
        <v>241</v>
      </c>
      <c r="G14613">
        <v>0</v>
      </c>
      <c r="H14613" t="s">
        <v>19461</v>
      </c>
      <c r="I14613">
        <v>16522</v>
      </c>
      <c r="J14613" t="str">
        <f>VLOOKUP(E14613,DSSpieler!A:B,2,FALSE)</f>
        <v>tom 2</v>
      </c>
    </row>
    <row r="14614" spans="1:10" x14ac:dyDescent="0.25">
      <c r="A14614">
        <v>16523</v>
      </c>
      <c r="B14614" t="s">
        <v>531</v>
      </c>
      <c r="C14614">
        <v>484</v>
      </c>
      <c r="D14614">
        <v>622</v>
      </c>
      <c r="E14614">
        <v>0</v>
      </c>
      <c r="F14614">
        <v>178</v>
      </c>
      <c r="G14614">
        <v>0</v>
      </c>
      <c r="H14614" t="s">
        <v>19462</v>
      </c>
      <c r="I14614">
        <v>16523</v>
      </c>
      <c r="J14614" t="e">
        <f>VLOOKUP(E14614,DSSpieler!A:B,2,FALSE)</f>
        <v>#N/A</v>
      </c>
    </row>
    <row r="14615" spans="1:10" x14ac:dyDescent="0.25">
      <c r="A14615">
        <v>16524</v>
      </c>
      <c r="B14615" t="s">
        <v>2520</v>
      </c>
      <c r="C14615">
        <v>561</v>
      </c>
      <c r="D14615">
        <v>603</v>
      </c>
      <c r="E14615">
        <v>1577182358</v>
      </c>
      <c r="F14615">
        <v>870</v>
      </c>
      <c r="G14615">
        <v>0</v>
      </c>
      <c r="H14615" t="s">
        <v>19463</v>
      </c>
      <c r="I14615">
        <v>16524</v>
      </c>
      <c r="J14615" t="str">
        <f>VLOOKUP(E14615,DSSpieler!A:B,2,FALSE)</f>
        <v>Kalle1992</v>
      </c>
    </row>
    <row r="14616" spans="1:10" x14ac:dyDescent="0.25">
      <c r="A14616">
        <v>16525</v>
      </c>
      <c r="B14616" t="s">
        <v>531</v>
      </c>
      <c r="C14616">
        <v>583</v>
      </c>
      <c r="D14616">
        <v>589</v>
      </c>
      <c r="E14616">
        <v>0</v>
      </c>
      <c r="F14616">
        <v>105</v>
      </c>
      <c r="G14616">
        <v>0</v>
      </c>
      <c r="H14616" t="s">
        <v>19464</v>
      </c>
      <c r="I14616">
        <v>16525</v>
      </c>
      <c r="J14616" t="e">
        <f>VLOOKUP(E14616,DSSpieler!A:B,2,FALSE)</f>
        <v>#N/A</v>
      </c>
    </row>
    <row r="14617" spans="1:10" x14ac:dyDescent="0.25">
      <c r="A14617">
        <v>16526</v>
      </c>
      <c r="B14617" t="s">
        <v>667</v>
      </c>
      <c r="C14617">
        <v>619</v>
      </c>
      <c r="D14617">
        <v>475</v>
      </c>
      <c r="E14617">
        <v>10007206</v>
      </c>
      <c r="F14617">
        <v>2595</v>
      </c>
      <c r="G14617">
        <v>0</v>
      </c>
      <c r="H14617" t="s">
        <v>19465</v>
      </c>
      <c r="I14617">
        <v>16526</v>
      </c>
      <c r="J14617" t="str">
        <f>VLOOKUP(E14617,DSSpieler!A:B,2,FALSE)</f>
        <v>Pr3stig3</v>
      </c>
    </row>
    <row r="14618" spans="1:10" x14ac:dyDescent="0.25">
      <c r="A14618">
        <v>16527</v>
      </c>
      <c r="B14618" t="e">
        <f>-Dragon1994-secret+Dorf</f>
        <v>#NAME?</v>
      </c>
      <c r="C14618">
        <v>451</v>
      </c>
      <c r="D14618">
        <v>388</v>
      </c>
      <c r="E14618">
        <v>9072236</v>
      </c>
      <c r="F14618">
        <v>26</v>
      </c>
      <c r="G14618">
        <v>0</v>
      </c>
      <c r="H14618" t="s">
        <v>19466</v>
      </c>
      <c r="I14618">
        <v>16527</v>
      </c>
      <c r="J14618" t="str">
        <f>VLOOKUP(E14618,DSSpieler!A:B,2,FALSE)</f>
        <v>-Dragon1994-</v>
      </c>
    </row>
    <row r="14619" spans="1:10" x14ac:dyDescent="0.25">
      <c r="A14619">
        <v>16528</v>
      </c>
      <c r="B14619" t="s">
        <v>1182</v>
      </c>
      <c r="C14619">
        <v>574</v>
      </c>
      <c r="D14619">
        <v>405</v>
      </c>
      <c r="E14619">
        <v>224900</v>
      </c>
      <c r="F14619">
        <v>3733</v>
      </c>
      <c r="G14619">
        <v>0</v>
      </c>
      <c r="H14619" t="s">
        <v>19467</v>
      </c>
      <c r="I14619">
        <v>16528</v>
      </c>
      <c r="J14619" t="str">
        <f>VLOOKUP(E14619,DSSpieler!A:B,2,FALSE)</f>
        <v>Gerhard der Große</v>
      </c>
    </row>
    <row r="14620" spans="1:10" x14ac:dyDescent="0.25">
      <c r="A14620">
        <v>16529</v>
      </c>
      <c r="B14620" t="s">
        <v>531</v>
      </c>
      <c r="C14620">
        <v>528</v>
      </c>
      <c r="D14620">
        <v>380</v>
      </c>
      <c r="E14620">
        <v>0</v>
      </c>
      <c r="F14620">
        <v>180</v>
      </c>
      <c r="G14620">
        <v>0</v>
      </c>
      <c r="H14620" t="s">
        <v>19468</v>
      </c>
      <c r="I14620">
        <v>16529</v>
      </c>
      <c r="J14620" t="e">
        <f>VLOOKUP(E14620,DSSpieler!A:B,2,FALSE)</f>
        <v>#N/A</v>
      </c>
    </row>
    <row r="14621" spans="1:10" x14ac:dyDescent="0.25">
      <c r="A14621">
        <v>16530</v>
      </c>
      <c r="B14621" t="s">
        <v>31024</v>
      </c>
      <c r="C14621">
        <v>437</v>
      </c>
      <c r="D14621">
        <v>579</v>
      </c>
      <c r="E14621">
        <v>1576813699</v>
      </c>
      <c r="F14621">
        <v>2216</v>
      </c>
      <c r="G14621">
        <v>0</v>
      </c>
      <c r="H14621" t="s">
        <v>19469</v>
      </c>
      <c r="I14621">
        <v>16530</v>
      </c>
      <c r="J14621" t="str">
        <f>VLOOKUP(E14621,DSSpieler!A:B,2,FALSE)</f>
        <v>El Nefes</v>
      </c>
    </row>
    <row r="14622" spans="1:10" x14ac:dyDescent="0.25">
      <c r="A14622">
        <v>16531</v>
      </c>
      <c r="B14622" t="s">
        <v>531</v>
      </c>
      <c r="C14622">
        <v>377</v>
      </c>
      <c r="D14622">
        <v>514</v>
      </c>
      <c r="E14622">
        <v>0</v>
      </c>
      <c r="F14622">
        <v>210</v>
      </c>
      <c r="G14622">
        <v>0</v>
      </c>
      <c r="H14622" t="s">
        <v>19470</v>
      </c>
      <c r="I14622">
        <v>16531</v>
      </c>
      <c r="J14622" t="e">
        <f>VLOOKUP(E14622,DSSpieler!A:B,2,FALSE)</f>
        <v>#N/A</v>
      </c>
    </row>
    <row r="14623" spans="1:10" x14ac:dyDescent="0.25">
      <c r="A14623">
        <v>16532</v>
      </c>
      <c r="B14623" t="s">
        <v>35364</v>
      </c>
      <c r="C14623">
        <v>593</v>
      </c>
      <c r="D14623">
        <v>418</v>
      </c>
      <c r="E14623">
        <v>1577193098</v>
      </c>
      <c r="F14623">
        <v>660</v>
      </c>
      <c r="G14623">
        <v>0</v>
      </c>
      <c r="H14623" t="s">
        <v>19471</v>
      </c>
      <c r="I14623">
        <v>16532</v>
      </c>
      <c r="J14623" t="str">
        <f>VLOOKUP(E14623,DSSpieler!A:B,2,FALSE)</f>
        <v>Fraenkileinkleini</v>
      </c>
    </row>
    <row r="14624" spans="1:10" x14ac:dyDescent="0.25">
      <c r="A14624">
        <v>16533</v>
      </c>
      <c r="B14624" t="s">
        <v>531</v>
      </c>
      <c r="C14624">
        <v>589</v>
      </c>
      <c r="D14624">
        <v>414</v>
      </c>
      <c r="E14624">
        <v>0</v>
      </c>
      <c r="F14624">
        <v>127</v>
      </c>
      <c r="G14624">
        <v>0</v>
      </c>
      <c r="H14624" t="s">
        <v>19472</v>
      </c>
      <c r="I14624">
        <v>16533</v>
      </c>
      <c r="J14624" t="e">
        <f>VLOOKUP(E14624,DSSpieler!A:B,2,FALSE)</f>
        <v>#N/A</v>
      </c>
    </row>
    <row r="14625" spans="1:10" x14ac:dyDescent="0.25">
      <c r="A14625">
        <v>16534</v>
      </c>
      <c r="B14625" t="s">
        <v>531</v>
      </c>
      <c r="C14625">
        <v>620</v>
      </c>
      <c r="D14625">
        <v>525</v>
      </c>
      <c r="E14625">
        <v>0</v>
      </c>
      <c r="F14625">
        <v>274</v>
      </c>
      <c r="G14625">
        <v>0</v>
      </c>
      <c r="H14625" t="s">
        <v>19473</v>
      </c>
      <c r="I14625">
        <v>16534</v>
      </c>
      <c r="J14625" t="e">
        <f>VLOOKUP(E14625,DSSpieler!A:B,2,FALSE)</f>
        <v>#N/A</v>
      </c>
    </row>
    <row r="14626" spans="1:10" x14ac:dyDescent="0.25">
      <c r="A14626">
        <v>16535</v>
      </c>
      <c r="B14626" t="s">
        <v>531</v>
      </c>
      <c r="C14626">
        <v>531</v>
      </c>
      <c r="D14626">
        <v>620</v>
      </c>
      <c r="E14626">
        <v>0</v>
      </c>
      <c r="F14626">
        <v>207</v>
      </c>
      <c r="G14626">
        <v>0</v>
      </c>
      <c r="H14626" t="s">
        <v>19474</v>
      </c>
      <c r="I14626">
        <v>16535</v>
      </c>
      <c r="J14626" t="e">
        <f>VLOOKUP(E14626,DSSpieler!A:B,2,FALSE)</f>
        <v>#N/A</v>
      </c>
    </row>
    <row r="14627" spans="1:10" x14ac:dyDescent="0.25">
      <c r="A14627">
        <v>16536</v>
      </c>
      <c r="B14627" t="s">
        <v>531</v>
      </c>
      <c r="C14627">
        <v>382</v>
      </c>
      <c r="D14627">
        <v>486</v>
      </c>
      <c r="E14627">
        <v>0</v>
      </c>
      <c r="F14627">
        <v>62</v>
      </c>
      <c r="G14627">
        <v>0</v>
      </c>
      <c r="H14627" t="s">
        <v>19475</v>
      </c>
      <c r="I14627">
        <v>16536</v>
      </c>
      <c r="J14627" t="e">
        <f>VLOOKUP(E14627,DSSpieler!A:B,2,FALSE)</f>
        <v>#N/A</v>
      </c>
    </row>
    <row r="14628" spans="1:10" x14ac:dyDescent="0.25">
      <c r="A14628">
        <v>16537</v>
      </c>
      <c r="B14628" t="s">
        <v>531</v>
      </c>
      <c r="C14628">
        <v>389</v>
      </c>
      <c r="D14628">
        <v>552</v>
      </c>
      <c r="E14628">
        <v>0</v>
      </c>
      <c r="F14628">
        <v>78</v>
      </c>
      <c r="G14628">
        <v>0</v>
      </c>
      <c r="H14628" t="s">
        <v>19476</v>
      </c>
      <c r="I14628">
        <v>16537</v>
      </c>
      <c r="J14628" t="e">
        <f>VLOOKUP(E14628,DSSpieler!A:B,2,FALSE)</f>
        <v>#N/A</v>
      </c>
    </row>
    <row r="14629" spans="1:10" x14ac:dyDescent="0.25">
      <c r="A14629">
        <v>16538</v>
      </c>
      <c r="B14629" t="s">
        <v>531</v>
      </c>
      <c r="C14629">
        <v>575</v>
      </c>
      <c r="D14629">
        <v>405</v>
      </c>
      <c r="E14629">
        <v>0</v>
      </c>
      <c r="F14629">
        <v>106</v>
      </c>
      <c r="G14629">
        <v>0</v>
      </c>
      <c r="H14629" t="s">
        <v>19477</v>
      </c>
      <c r="I14629">
        <v>16538</v>
      </c>
      <c r="J14629" t="e">
        <f>VLOOKUP(E14629,DSSpieler!A:B,2,FALSE)</f>
        <v>#N/A</v>
      </c>
    </row>
    <row r="14630" spans="1:10" x14ac:dyDescent="0.25">
      <c r="A14630">
        <v>16539</v>
      </c>
      <c r="B14630" t="s">
        <v>531</v>
      </c>
      <c r="C14630">
        <v>613</v>
      </c>
      <c r="D14630">
        <v>460</v>
      </c>
      <c r="E14630">
        <v>0</v>
      </c>
      <c r="F14630">
        <v>128</v>
      </c>
      <c r="G14630">
        <v>0</v>
      </c>
      <c r="H14630" t="s">
        <v>19478</v>
      </c>
      <c r="I14630">
        <v>16539</v>
      </c>
      <c r="J14630" t="e">
        <f>VLOOKUP(E14630,DSSpieler!A:B,2,FALSE)</f>
        <v>#N/A</v>
      </c>
    </row>
    <row r="14631" spans="1:10" x14ac:dyDescent="0.25">
      <c r="A14631">
        <v>16540</v>
      </c>
      <c r="B14631" t="s">
        <v>35365</v>
      </c>
      <c r="C14631">
        <v>597</v>
      </c>
      <c r="D14631">
        <v>569</v>
      </c>
      <c r="E14631">
        <v>1282194</v>
      </c>
      <c r="F14631">
        <v>240</v>
      </c>
      <c r="G14631">
        <v>0</v>
      </c>
      <c r="H14631" t="s">
        <v>19479</v>
      </c>
      <c r="I14631">
        <v>16540</v>
      </c>
      <c r="J14631" t="str">
        <f>VLOOKUP(E14631,DSSpieler!A:B,2,FALSE)</f>
        <v>Ennds</v>
      </c>
    </row>
    <row r="14632" spans="1:10" x14ac:dyDescent="0.25">
      <c r="A14632">
        <v>16541</v>
      </c>
      <c r="B14632" t="s">
        <v>35366</v>
      </c>
      <c r="C14632">
        <v>386</v>
      </c>
      <c r="D14632">
        <v>525</v>
      </c>
      <c r="E14632">
        <v>1577204384</v>
      </c>
      <c r="F14632">
        <v>94</v>
      </c>
      <c r="G14632">
        <v>0</v>
      </c>
      <c r="H14632" t="s">
        <v>19480</v>
      </c>
      <c r="I14632">
        <v>16541</v>
      </c>
      <c r="J14632" t="str">
        <f>VLOOKUP(E14632,DSSpieler!A:B,2,FALSE)</f>
        <v>Wadenstecher</v>
      </c>
    </row>
    <row r="14633" spans="1:10" x14ac:dyDescent="0.25">
      <c r="A14633">
        <v>16542</v>
      </c>
      <c r="B14633" t="s">
        <v>35367</v>
      </c>
      <c r="C14633">
        <v>439</v>
      </c>
      <c r="D14633">
        <v>392</v>
      </c>
      <c r="E14633">
        <v>1577204328</v>
      </c>
      <c r="F14633">
        <v>1600</v>
      </c>
      <c r="G14633">
        <v>0</v>
      </c>
      <c r="H14633" t="s">
        <v>19481</v>
      </c>
      <c r="I14633">
        <v>16542</v>
      </c>
      <c r="J14633" t="str">
        <f>VLOOKUP(E14633,DSSpieler!A:B,2,FALSE)</f>
        <v>luana</v>
      </c>
    </row>
    <row r="14634" spans="1:10" x14ac:dyDescent="0.25">
      <c r="A14634">
        <v>16543</v>
      </c>
      <c r="B14634" t="s">
        <v>531</v>
      </c>
      <c r="C14634">
        <v>528</v>
      </c>
      <c r="D14634">
        <v>617</v>
      </c>
      <c r="E14634">
        <v>0</v>
      </c>
      <c r="F14634">
        <v>184</v>
      </c>
      <c r="G14634">
        <v>0</v>
      </c>
      <c r="H14634" t="s">
        <v>19482</v>
      </c>
      <c r="I14634">
        <v>16543</v>
      </c>
      <c r="J14634" t="e">
        <f>VLOOKUP(E14634,DSSpieler!A:B,2,FALSE)</f>
        <v>#N/A</v>
      </c>
    </row>
    <row r="14635" spans="1:10" x14ac:dyDescent="0.25">
      <c r="A14635">
        <v>16544</v>
      </c>
      <c r="B14635" t="s">
        <v>531</v>
      </c>
      <c r="C14635">
        <v>587</v>
      </c>
      <c r="D14635">
        <v>417</v>
      </c>
      <c r="E14635">
        <v>0</v>
      </c>
      <c r="F14635">
        <v>624</v>
      </c>
      <c r="G14635">
        <v>0</v>
      </c>
      <c r="H14635" t="s">
        <v>19483</v>
      </c>
      <c r="I14635">
        <v>16544</v>
      </c>
      <c r="J14635" t="e">
        <f>VLOOKUP(E14635,DSSpieler!A:B,2,FALSE)</f>
        <v>#N/A</v>
      </c>
    </row>
    <row r="14636" spans="1:10" x14ac:dyDescent="0.25">
      <c r="A14636">
        <v>16545</v>
      </c>
      <c r="B14636" t="s">
        <v>1480</v>
      </c>
      <c r="C14636">
        <v>522</v>
      </c>
      <c r="D14636">
        <v>383</v>
      </c>
      <c r="E14636">
        <v>10248901</v>
      </c>
      <c r="F14636">
        <v>2158</v>
      </c>
      <c r="G14636">
        <v>0</v>
      </c>
      <c r="H14636" t="s">
        <v>19484</v>
      </c>
      <c r="I14636">
        <v>16545</v>
      </c>
      <c r="J14636" t="str">
        <f>VLOOKUP(E14636,DSSpieler!A:B,2,FALSE)</f>
        <v>hazefee</v>
      </c>
    </row>
    <row r="14637" spans="1:10" x14ac:dyDescent="0.25">
      <c r="A14637">
        <v>16546</v>
      </c>
      <c r="B14637" t="s">
        <v>531</v>
      </c>
      <c r="C14637">
        <v>379</v>
      </c>
      <c r="D14637">
        <v>517</v>
      </c>
      <c r="E14637">
        <v>0</v>
      </c>
      <c r="F14637">
        <v>194</v>
      </c>
      <c r="G14637">
        <v>0</v>
      </c>
      <c r="H14637" t="s">
        <v>19485</v>
      </c>
      <c r="I14637">
        <v>16546</v>
      </c>
      <c r="J14637" t="e">
        <f>VLOOKUP(E14637,DSSpieler!A:B,2,FALSE)</f>
        <v>#N/A</v>
      </c>
    </row>
    <row r="14638" spans="1:10" x14ac:dyDescent="0.25">
      <c r="A14638">
        <v>16547</v>
      </c>
      <c r="B14638">
        <v>12345</v>
      </c>
      <c r="C14638">
        <v>453</v>
      </c>
      <c r="D14638">
        <v>612</v>
      </c>
      <c r="E14638">
        <v>1577200530</v>
      </c>
      <c r="F14638">
        <v>383</v>
      </c>
      <c r="G14638">
        <v>0</v>
      </c>
      <c r="H14638" t="s">
        <v>19486</v>
      </c>
      <c r="I14638">
        <v>16547</v>
      </c>
      <c r="J14638" t="str">
        <f>VLOOKUP(E14638,DSSpieler!A:B,2,FALSE)</f>
        <v>fabiog1995</v>
      </c>
    </row>
    <row r="14639" spans="1:10" x14ac:dyDescent="0.25">
      <c r="A14639">
        <v>16548</v>
      </c>
      <c r="B14639" t="s">
        <v>531</v>
      </c>
      <c r="C14639">
        <v>607</v>
      </c>
      <c r="D14639">
        <v>445</v>
      </c>
      <c r="E14639">
        <v>0</v>
      </c>
      <c r="F14639">
        <v>94</v>
      </c>
      <c r="G14639">
        <v>0</v>
      </c>
      <c r="H14639" t="s">
        <v>19487</v>
      </c>
      <c r="I14639">
        <v>16548</v>
      </c>
      <c r="J14639" t="e">
        <f>VLOOKUP(E14639,DSSpieler!A:B,2,FALSE)</f>
        <v>#N/A</v>
      </c>
    </row>
    <row r="14640" spans="1:10" x14ac:dyDescent="0.25">
      <c r="A14640">
        <v>16549</v>
      </c>
      <c r="B14640" t="s">
        <v>531</v>
      </c>
      <c r="C14640">
        <v>576</v>
      </c>
      <c r="D14640">
        <v>598</v>
      </c>
      <c r="E14640">
        <v>0</v>
      </c>
      <c r="F14640">
        <v>103</v>
      </c>
      <c r="G14640">
        <v>0</v>
      </c>
      <c r="H14640" t="s">
        <v>19488</v>
      </c>
      <c r="I14640">
        <v>16549</v>
      </c>
      <c r="J14640" t="e">
        <f>VLOOKUP(E14640,DSSpieler!A:B,2,FALSE)</f>
        <v>#N/A</v>
      </c>
    </row>
    <row r="14641" spans="1:10" x14ac:dyDescent="0.25">
      <c r="A14641">
        <v>16550</v>
      </c>
      <c r="B14641" t="s">
        <v>531</v>
      </c>
      <c r="C14641">
        <v>514</v>
      </c>
      <c r="D14641">
        <v>596</v>
      </c>
      <c r="E14641">
        <v>0</v>
      </c>
      <c r="F14641">
        <v>186</v>
      </c>
      <c r="G14641">
        <v>0</v>
      </c>
      <c r="H14641" t="s">
        <v>19489</v>
      </c>
      <c r="I14641">
        <v>16550</v>
      </c>
      <c r="J14641" t="e">
        <f>VLOOKUP(E14641,DSSpieler!A:B,2,FALSE)</f>
        <v>#N/A</v>
      </c>
    </row>
    <row r="14642" spans="1:10" x14ac:dyDescent="0.25">
      <c r="A14642">
        <v>16551</v>
      </c>
      <c r="B14642" t="s">
        <v>35368</v>
      </c>
      <c r="C14642">
        <v>586</v>
      </c>
      <c r="D14642">
        <v>586</v>
      </c>
      <c r="E14642">
        <v>1576927679</v>
      </c>
      <c r="F14642">
        <v>150</v>
      </c>
      <c r="G14642">
        <v>0</v>
      </c>
      <c r="H14642" t="s">
        <v>19490</v>
      </c>
      <c r="I14642">
        <v>16551</v>
      </c>
      <c r="J14642" t="str">
        <f>VLOOKUP(E14642,DSSpieler!A:B,2,FALSE)</f>
        <v>Zwerg der zwei Klingen</v>
      </c>
    </row>
    <row r="14643" spans="1:10" x14ac:dyDescent="0.25">
      <c r="A14643">
        <v>16552</v>
      </c>
      <c r="B14643" t="s">
        <v>531</v>
      </c>
      <c r="C14643">
        <v>596</v>
      </c>
      <c r="D14643">
        <v>578</v>
      </c>
      <c r="E14643">
        <v>0</v>
      </c>
      <c r="F14643">
        <v>230</v>
      </c>
      <c r="G14643">
        <v>0</v>
      </c>
      <c r="H14643" t="s">
        <v>19491</v>
      </c>
      <c r="I14643">
        <v>16552</v>
      </c>
      <c r="J14643" t="e">
        <f>VLOOKUP(E14643,DSSpieler!A:B,2,FALSE)</f>
        <v>#N/A</v>
      </c>
    </row>
    <row r="14644" spans="1:10" x14ac:dyDescent="0.25">
      <c r="A14644">
        <v>16553</v>
      </c>
      <c r="B14644" t="s">
        <v>2521</v>
      </c>
      <c r="C14644">
        <v>577</v>
      </c>
      <c r="D14644">
        <v>406</v>
      </c>
      <c r="E14644">
        <v>1577193458</v>
      </c>
      <c r="F14644">
        <v>158</v>
      </c>
      <c r="G14644">
        <v>0</v>
      </c>
      <c r="H14644" t="s">
        <v>19492</v>
      </c>
      <c r="I14644">
        <v>16553</v>
      </c>
      <c r="J14644" t="str">
        <f>VLOOKUP(E14644,DSSpieler!A:B,2,FALSE)</f>
        <v>Ennda</v>
      </c>
    </row>
    <row r="14645" spans="1:10" x14ac:dyDescent="0.25">
      <c r="A14645">
        <v>16555</v>
      </c>
      <c r="B14645" t="s">
        <v>2522</v>
      </c>
      <c r="C14645">
        <v>385</v>
      </c>
      <c r="D14645">
        <v>461</v>
      </c>
      <c r="E14645">
        <v>1577201730</v>
      </c>
      <c r="F14645">
        <v>2236</v>
      </c>
      <c r="G14645">
        <v>0</v>
      </c>
      <c r="H14645" t="s">
        <v>503</v>
      </c>
      <c r="I14645">
        <v>16555</v>
      </c>
      <c r="J14645" t="str">
        <f>VLOOKUP(E14645,DSSpieler!A:B,2,FALSE)</f>
        <v>Kuisil</v>
      </c>
    </row>
    <row r="14646" spans="1:10" x14ac:dyDescent="0.25">
      <c r="A14646">
        <v>16556</v>
      </c>
      <c r="B14646" t="s">
        <v>531</v>
      </c>
      <c r="C14646">
        <v>376</v>
      </c>
      <c r="D14646">
        <v>500</v>
      </c>
      <c r="E14646">
        <v>0</v>
      </c>
      <c r="F14646">
        <v>82</v>
      </c>
      <c r="G14646">
        <v>0</v>
      </c>
      <c r="H14646" t="s">
        <v>19493</v>
      </c>
      <c r="I14646">
        <v>16556</v>
      </c>
      <c r="J14646" t="e">
        <f>VLOOKUP(E14646,DSSpieler!A:B,2,FALSE)</f>
        <v>#N/A</v>
      </c>
    </row>
    <row r="14647" spans="1:10" x14ac:dyDescent="0.25">
      <c r="A14647">
        <v>16557</v>
      </c>
      <c r="B14647" t="s">
        <v>35369</v>
      </c>
      <c r="C14647">
        <v>561</v>
      </c>
      <c r="D14647">
        <v>457</v>
      </c>
      <c r="E14647">
        <v>1577204415</v>
      </c>
      <c r="F14647">
        <v>3801</v>
      </c>
      <c r="G14647">
        <v>0</v>
      </c>
      <c r="H14647" t="s">
        <v>19494</v>
      </c>
      <c r="I14647">
        <v>16557</v>
      </c>
      <c r="J14647" t="str">
        <f>VLOOKUP(E14647,DSSpieler!A:B,2,FALSE)</f>
        <v>schnüffeli</v>
      </c>
    </row>
    <row r="14648" spans="1:10" x14ac:dyDescent="0.25">
      <c r="A14648">
        <v>16558</v>
      </c>
      <c r="B14648" t="s">
        <v>531</v>
      </c>
      <c r="C14648">
        <v>549</v>
      </c>
      <c r="D14648">
        <v>388</v>
      </c>
      <c r="E14648">
        <v>0</v>
      </c>
      <c r="F14648">
        <v>128</v>
      </c>
      <c r="G14648">
        <v>0</v>
      </c>
      <c r="H14648" t="s">
        <v>19495</v>
      </c>
      <c r="I14648">
        <v>16558</v>
      </c>
      <c r="J14648" t="e">
        <f>VLOOKUP(E14648,DSSpieler!A:B,2,FALSE)</f>
        <v>#N/A</v>
      </c>
    </row>
    <row r="14649" spans="1:10" x14ac:dyDescent="0.25">
      <c r="A14649">
        <v>16559</v>
      </c>
      <c r="B14649" t="s">
        <v>35370</v>
      </c>
      <c r="C14649">
        <v>550</v>
      </c>
      <c r="D14649">
        <v>397</v>
      </c>
      <c r="E14649">
        <v>1576189514</v>
      </c>
      <c r="F14649">
        <v>3699</v>
      </c>
      <c r="G14649">
        <v>0</v>
      </c>
      <c r="H14649" t="s">
        <v>19496</v>
      </c>
      <c r="I14649">
        <v>16559</v>
      </c>
      <c r="J14649" t="str">
        <f>VLOOKUP(E14649,DSSpieler!A:B,2,FALSE)</f>
        <v>Skellofraktur</v>
      </c>
    </row>
    <row r="14650" spans="1:10" x14ac:dyDescent="0.25">
      <c r="A14650">
        <v>16560</v>
      </c>
      <c r="B14650" t="s">
        <v>531</v>
      </c>
      <c r="C14650">
        <v>431</v>
      </c>
      <c r="D14650">
        <v>597</v>
      </c>
      <c r="E14650">
        <v>0</v>
      </c>
      <c r="F14650">
        <v>193</v>
      </c>
      <c r="G14650">
        <v>0</v>
      </c>
      <c r="H14650" t="s">
        <v>19497</v>
      </c>
      <c r="I14650">
        <v>16560</v>
      </c>
      <c r="J14650" t="e">
        <f>VLOOKUP(E14650,DSSpieler!A:B,2,FALSE)</f>
        <v>#N/A</v>
      </c>
    </row>
    <row r="14651" spans="1:10" x14ac:dyDescent="0.25">
      <c r="A14651">
        <v>16562</v>
      </c>
      <c r="B14651" t="s">
        <v>531</v>
      </c>
      <c r="C14651">
        <v>434</v>
      </c>
      <c r="D14651">
        <v>400</v>
      </c>
      <c r="E14651">
        <v>0</v>
      </c>
      <c r="F14651">
        <v>226</v>
      </c>
      <c r="G14651">
        <v>0</v>
      </c>
      <c r="H14651" t="s">
        <v>19498</v>
      </c>
      <c r="I14651">
        <v>16562</v>
      </c>
      <c r="J14651" t="e">
        <f>VLOOKUP(E14651,DSSpieler!A:B,2,FALSE)</f>
        <v>#N/A</v>
      </c>
    </row>
    <row r="14652" spans="1:10" x14ac:dyDescent="0.25">
      <c r="A14652">
        <v>16563</v>
      </c>
      <c r="B14652" t="s">
        <v>531</v>
      </c>
      <c r="C14652">
        <v>475</v>
      </c>
      <c r="D14652">
        <v>383</v>
      </c>
      <c r="E14652">
        <v>0</v>
      </c>
      <c r="F14652">
        <v>87</v>
      </c>
      <c r="G14652">
        <v>0</v>
      </c>
      <c r="H14652" t="s">
        <v>19499</v>
      </c>
      <c r="I14652">
        <v>16563</v>
      </c>
      <c r="J14652" t="e">
        <f>VLOOKUP(E14652,DSSpieler!A:B,2,FALSE)</f>
        <v>#N/A</v>
      </c>
    </row>
    <row r="14653" spans="1:10" x14ac:dyDescent="0.25">
      <c r="A14653">
        <v>16564</v>
      </c>
      <c r="B14653" t="s">
        <v>35371</v>
      </c>
      <c r="C14653">
        <v>468</v>
      </c>
      <c r="D14653">
        <v>382</v>
      </c>
      <c r="E14653">
        <v>1576992125</v>
      </c>
      <c r="F14653">
        <v>1617</v>
      </c>
      <c r="G14653">
        <v>0</v>
      </c>
      <c r="H14653" t="s">
        <v>19500</v>
      </c>
      <c r="I14653">
        <v>16564</v>
      </c>
      <c r="J14653" t="str">
        <f>VLOOKUP(E14653,DSSpieler!A:B,2,FALSE)</f>
        <v>SuperKathiii</v>
      </c>
    </row>
    <row r="14654" spans="1:10" x14ac:dyDescent="0.25">
      <c r="A14654">
        <v>16565</v>
      </c>
      <c r="B14654" t="s">
        <v>531</v>
      </c>
      <c r="C14654">
        <v>421</v>
      </c>
      <c r="D14654">
        <v>405</v>
      </c>
      <c r="E14654">
        <v>0</v>
      </c>
      <c r="F14654">
        <v>179</v>
      </c>
      <c r="G14654">
        <v>0</v>
      </c>
      <c r="H14654" t="s">
        <v>19501</v>
      </c>
      <c r="I14654">
        <v>16565</v>
      </c>
      <c r="J14654" t="e">
        <f>VLOOKUP(E14654,DSSpieler!A:B,2,FALSE)</f>
        <v>#N/A</v>
      </c>
    </row>
    <row r="14655" spans="1:10" x14ac:dyDescent="0.25">
      <c r="A14655">
        <v>16566</v>
      </c>
      <c r="B14655" t="s">
        <v>531</v>
      </c>
      <c r="C14655">
        <v>612</v>
      </c>
      <c r="D14655">
        <v>540</v>
      </c>
      <c r="E14655">
        <v>0</v>
      </c>
      <c r="F14655">
        <v>92</v>
      </c>
      <c r="G14655">
        <v>0</v>
      </c>
      <c r="H14655" t="s">
        <v>19502</v>
      </c>
      <c r="I14655">
        <v>16566</v>
      </c>
      <c r="J14655" t="e">
        <f>VLOOKUP(E14655,DSSpieler!A:B,2,FALSE)</f>
        <v>#N/A</v>
      </c>
    </row>
    <row r="14656" spans="1:10" x14ac:dyDescent="0.25">
      <c r="A14656">
        <v>16568</v>
      </c>
      <c r="B14656" t="s">
        <v>35372</v>
      </c>
      <c r="C14656">
        <v>379</v>
      </c>
      <c r="D14656">
        <v>501</v>
      </c>
      <c r="E14656">
        <v>1577178932</v>
      </c>
      <c r="F14656">
        <v>1422</v>
      </c>
      <c r="G14656">
        <v>0</v>
      </c>
      <c r="H14656" t="s">
        <v>19503</v>
      </c>
      <c r="I14656">
        <v>16568</v>
      </c>
      <c r="J14656" t="str">
        <f>VLOOKUP(E14656,DSSpieler!A:B,2,FALSE)</f>
        <v>Lord alpenrahm</v>
      </c>
    </row>
    <row r="14657" spans="1:10" x14ac:dyDescent="0.25">
      <c r="A14657">
        <v>16569</v>
      </c>
      <c r="B14657" t="s">
        <v>531</v>
      </c>
      <c r="C14657">
        <v>376</v>
      </c>
      <c r="D14657">
        <v>501</v>
      </c>
      <c r="E14657">
        <v>0</v>
      </c>
      <c r="F14657">
        <v>2008</v>
      </c>
      <c r="G14657">
        <v>0</v>
      </c>
      <c r="H14657" t="s">
        <v>19504</v>
      </c>
      <c r="I14657">
        <v>16569</v>
      </c>
      <c r="J14657" t="e">
        <f>VLOOKUP(E14657,DSSpieler!A:B,2,FALSE)</f>
        <v>#N/A</v>
      </c>
    </row>
    <row r="14658" spans="1:10" x14ac:dyDescent="0.25">
      <c r="A14658">
        <v>16570</v>
      </c>
      <c r="B14658" t="s">
        <v>35373</v>
      </c>
      <c r="C14658">
        <v>382</v>
      </c>
      <c r="D14658">
        <v>497</v>
      </c>
      <c r="E14658">
        <v>1577180744</v>
      </c>
      <c r="F14658">
        <v>3338</v>
      </c>
      <c r="G14658">
        <v>0</v>
      </c>
      <c r="H14658" t="s">
        <v>19505</v>
      </c>
      <c r="I14658">
        <v>16570</v>
      </c>
      <c r="J14658" t="str">
        <f>VLOOKUP(E14658,DSSpieler!A:B,2,FALSE)</f>
        <v>nicokk</v>
      </c>
    </row>
    <row r="14659" spans="1:10" x14ac:dyDescent="0.25">
      <c r="A14659">
        <v>16571</v>
      </c>
      <c r="B14659" t="s">
        <v>531</v>
      </c>
      <c r="C14659">
        <v>405</v>
      </c>
      <c r="D14659">
        <v>575</v>
      </c>
      <c r="E14659">
        <v>0</v>
      </c>
      <c r="F14659">
        <v>152</v>
      </c>
      <c r="G14659">
        <v>0</v>
      </c>
      <c r="H14659" t="s">
        <v>19506</v>
      </c>
      <c r="I14659">
        <v>16571</v>
      </c>
      <c r="J14659" t="e">
        <f>VLOOKUP(E14659,DSSpieler!A:B,2,FALSE)</f>
        <v>#N/A</v>
      </c>
    </row>
    <row r="14660" spans="1:10" x14ac:dyDescent="0.25">
      <c r="A14660">
        <v>16573</v>
      </c>
      <c r="B14660" t="s">
        <v>531</v>
      </c>
      <c r="C14660">
        <v>564</v>
      </c>
      <c r="D14660">
        <v>600</v>
      </c>
      <c r="E14660">
        <v>0</v>
      </c>
      <c r="F14660">
        <v>310</v>
      </c>
      <c r="G14660">
        <v>0</v>
      </c>
      <c r="H14660" t="s">
        <v>19507</v>
      </c>
      <c r="I14660">
        <v>16573</v>
      </c>
      <c r="J14660" t="e">
        <f>VLOOKUP(E14660,DSSpieler!A:B,2,FALSE)</f>
        <v>#N/A</v>
      </c>
    </row>
    <row r="14661" spans="1:10" x14ac:dyDescent="0.25">
      <c r="A14661">
        <v>16574</v>
      </c>
      <c r="B14661" t="s">
        <v>531</v>
      </c>
      <c r="C14661">
        <v>611</v>
      </c>
      <c r="D14661">
        <v>550</v>
      </c>
      <c r="E14661">
        <v>0</v>
      </c>
      <c r="F14661">
        <v>78</v>
      </c>
      <c r="G14661">
        <v>0</v>
      </c>
      <c r="H14661" t="s">
        <v>19508</v>
      </c>
      <c r="I14661">
        <v>16574</v>
      </c>
      <c r="J14661" t="e">
        <f>VLOOKUP(E14661,DSSpieler!A:B,2,FALSE)</f>
        <v>#N/A</v>
      </c>
    </row>
    <row r="14662" spans="1:10" x14ac:dyDescent="0.25">
      <c r="A14662">
        <v>16575</v>
      </c>
      <c r="B14662">
        <v>1</v>
      </c>
      <c r="C14662">
        <v>394</v>
      </c>
      <c r="D14662">
        <v>439</v>
      </c>
      <c r="E14662">
        <v>1576942745</v>
      </c>
      <c r="F14662">
        <v>3652</v>
      </c>
      <c r="G14662">
        <v>0</v>
      </c>
      <c r="H14662" t="s">
        <v>19509</v>
      </c>
      <c r="I14662">
        <v>16575</v>
      </c>
      <c r="J14662" t="str">
        <f>VLOOKUP(E14662,DSSpieler!A:B,2,FALSE)</f>
        <v>pyromanoid</v>
      </c>
    </row>
    <row r="14663" spans="1:10" x14ac:dyDescent="0.25">
      <c r="A14663">
        <v>16576</v>
      </c>
      <c r="B14663" t="s">
        <v>33632</v>
      </c>
      <c r="C14663">
        <v>601</v>
      </c>
      <c r="D14663">
        <v>437</v>
      </c>
      <c r="E14663">
        <v>8300935</v>
      </c>
      <c r="F14663">
        <v>3641</v>
      </c>
      <c r="G14663">
        <v>0</v>
      </c>
      <c r="H14663" t="s">
        <v>19510</v>
      </c>
      <c r="I14663">
        <v>16576</v>
      </c>
      <c r="J14663" t="str">
        <f>VLOOKUP(E14663,DSSpieler!A:B,2,FALSE)</f>
        <v>Bashtime?</v>
      </c>
    </row>
    <row r="14664" spans="1:10" x14ac:dyDescent="0.25">
      <c r="A14664">
        <v>16577</v>
      </c>
      <c r="B14664" t="s">
        <v>2523</v>
      </c>
      <c r="C14664">
        <v>615</v>
      </c>
      <c r="D14664">
        <v>541</v>
      </c>
      <c r="E14664">
        <v>1577204454</v>
      </c>
      <c r="F14664">
        <v>2597</v>
      </c>
      <c r="G14664">
        <v>0</v>
      </c>
      <c r="H14664" t="s">
        <v>19511</v>
      </c>
      <c r="I14664">
        <v>16577</v>
      </c>
      <c r="J14664" t="str">
        <f>VLOOKUP(E14664,DSSpieler!A:B,2,FALSE)</f>
        <v>BigNick81</v>
      </c>
    </row>
    <row r="14665" spans="1:10" x14ac:dyDescent="0.25">
      <c r="A14665">
        <v>16578</v>
      </c>
      <c r="B14665" t="s">
        <v>531</v>
      </c>
      <c r="C14665">
        <v>574</v>
      </c>
      <c r="D14665">
        <v>598</v>
      </c>
      <c r="E14665">
        <v>0</v>
      </c>
      <c r="F14665">
        <v>218</v>
      </c>
      <c r="G14665">
        <v>0</v>
      </c>
      <c r="H14665" t="s">
        <v>19512</v>
      </c>
      <c r="I14665">
        <v>16578</v>
      </c>
      <c r="J14665" t="e">
        <f>VLOOKUP(E14665,DSSpieler!A:B,2,FALSE)</f>
        <v>#N/A</v>
      </c>
    </row>
    <row r="14666" spans="1:10" x14ac:dyDescent="0.25">
      <c r="A14666">
        <v>16579</v>
      </c>
      <c r="B14666" t="s">
        <v>2524</v>
      </c>
      <c r="C14666">
        <v>608</v>
      </c>
      <c r="D14666">
        <v>439</v>
      </c>
      <c r="E14666">
        <v>1577202604</v>
      </c>
      <c r="F14666">
        <v>2105</v>
      </c>
      <c r="G14666">
        <v>0</v>
      </c>
      <c r="H14666" t="s">
        <v>19513</v>
      </c>
      <c r="I14666">
        <v>16579</v>
      </c>
      <c r="J14666" t="str">
        <f>VLOOKUP(E14666,DSSpieler!A:B,2,FALSE)</f>
        <v>neskes</v>
      </c>
    </row>
    <row r="14667" spans="1:10" x14ac:dyDescent="0.25">
      <c r="A14667">
        <v>16581</v>
      </c>
      <c r="B14667" t="s">
        <v>35374</v>
      </c>
      <c r="C14667">
        <v>481</v>
      </c>
      <c r="D14667">
        <v>546</v>
      </c>
      <c r="E14667">
        <v>1577191193</v>
      </c>
      <c r="F14667">
        <v>3640</v>
      </c>
      <c r="G14667">
        <v>0</v>
      </c>
      <c r="H14667" t="s">
        <v>19514</v>
      </c>
      <c r="I14667">
        <v>16581</v>
      </c>
      <c r="J14667" t="str">
        <f>VLOOKUP(E14667,DSSpieler!A:B,2,FALSE)</f>
        <v>Azubie</v>
      </c>
    </row>
    <row r="14668" spans="1:10" x14ac:dyDescent="0.25">
      <c r="A14668">
        <v>16582</v>
      </c>
      <c r="B14668" t="s">
        <v>531</v>
      </c>
      <c r="C14668">
        <v>377</v>
      </c>
      <c r="D14668">
        <v>507</v>
      </c>
      <c r="E14668">
        <v>0</v>
      </c>
      <c r="F14668">
        <v>84</v>
      </c>
      <c r="G14668">
        <v>0</v>
      </c>
      <c r="H14668" t="s">
        <v>19515</v>
      </c>
      <c r="I14668">
        <v>16582</v>
      </c>
      <c r="J14668" t="e">
        <f>VLOOKUP(E14668,DSSpieler!A:B,2,FALSE)</f>
        <v>#N/A</v>
      </c>
    </row>
    <row r="14669" spans="1:10" x14ac:dyDescent="0.25">
      <c r="A14669">
        <v>16583</v>
      </c>
      <c r="B14669" t="s">
        <v>150</v>
      </c>
      <c r="C14669">
        <v>392</v>
      </c>
      <c r="D14669">
        <v>449</v>
      </c>
      <c r="E14669">
        <v>1577204466</v>
      </c>
      <c r="F14669">
        <v>1885</v>
      </c>
      <c r="G14669">
        <v>0</v>
      </c>
      <c r="H14669" t="s">
        <v>19516</v>
      </c>
      <c r="I14669">
        <v>16583</v>
      </c>
      <c r="J14669" t="str">
        <f>VLOOKUP(E14669,DSSpieler!A:B,2,FALSE)</f>
        <v>qwerty75</v>
      </c>
    </row>
    <row r="14670" spans="1:10" x14ac:dyDescent="0.25">
      <c r="A14670">
        <v>16584</v>
      </c>
      <c r="B14670" t="s">
        <v>531</v>
      </c>
      <c r="C14670">
        <v>622</v>
      </c>
      <c r="D14670">
        <v>477</v>
      </c>
      <c r="E14670">
        <v>0</v>
      </c>
      <c r="F14670">
        <v>71</v>
      </c>
      <c r="G14670">
        <v>0</v>
      </c>
      <c r="H14670" t="s">
        <v>19517</v>
      </c>
      <c r="I14670">
        <v>16584</v>
      </c>
      <c r="J14670" t="e">
        <f>VLOOKUP(E14670,DSSpieler!A:B,2,FALSE)</f>
        <v>#N/A</v>
      </c>
    </row>
    <row r="14671" spans="1:10" x14ac:dyDescent="0.25">
      <c r="A14671">
        <v>16585</v>
      </c>
      <c r="B14671" t="s">
        <v>531</v>
      </c>
      <c r="C14671">
        <v>610</v>
      </c>
      <c r="D14671">
        <v>552</v>
      </c>
      <c r="E14671">
        <v>0</v>
      </c>
      <c r="F14671">
        <v>133</v>
      </c>
      <c r="G14671">
        <v>0</v>
      </c>
      <c r="H14671" t="s">
        <v>19518</v>
      </c>
      <c r="I14671">
        <v>16585</v>
      </c>
      <c r="J14671" t="e">
        <f>VLOOKUP(E14671,DSSpieler!A:B,2,FALSE)</f>
        <v>#N/A</v>
      </c>
    </row>
    <row r="14672" spans="1:10" x14ac:dyDescent="0.25">
      <c r="A14672">
        <v>16586</v>
      </c>
      <c r="B14672" t="s">
        <v>531</v>
      </c>
      <c r="C14672">
        <v>572</v>
      </c>
      <c r="D14672">
        <v>597</v>
      </c>
      <c r="E14672">
        <v>0</v>
      </c>
      <c r="F14672">
        <v>112</v>
      </c>
      <c r="G14672">
        <v>0</v>
      </c>
      <c r="H14672" t="s">
        <v>19519</v>
      </c>
      <c r="I14672">
        <v>16586</v>
      </c>
      <c r="J14672" t="e">
        <f>VLOOKUP(E14672,DSSpieler!A:B,2,FALSE)</f>
        <v>#N/A</v>
      </c>
    </row>
    <row r="14673" spans="1:10" x14ac:dyDescent="0.25">
      <c r="A14673">
        <v>16587</v>
      </c>
      <c r="B14673" t="s">
        <v>35375</v>
      </c>
      <c r="C14673">
        <v>529</v>
      </c>
      <c r="D14673">
        <v>384</v>
      </c>
      <c r="E14673">
        <v>1577197065</v>
      </c>
      <c r="F14673">
        <v>4024</v>
      </c>
      <c r="G14673">
        <v>0</v>
      </c>
      <c r="H14673" t="s">
        <v>19520</v>
      </c>
      <c r="I14673">
        <v>16587</v>
      </c>
      <c r="J14673" t="str">
        <f>VLOOKUP(E14673,DSSpieler!A:B,2,FALSE)</f>
        <v>xAliceD</v>
      </c>
    </row>
    <row r="14674" spans="1:10" x14ac:dyDescent="0.25">
      <c r="A14674">
        <v>16588</v>
      </c>
      <c r="B14674" t="s">
        <v>35376</v>
      </c>
      <c r="C14674">
        <v>603</v>
      </c>
      <c r="D14674">
        <v>569</v>
      </c>
      <c r="E14674">
        <v>1577204467</v>
      </c>
      <c r="F14674">
        <v>26</v>
      </c>
      <c r="G14674">
        <v>0</v>
      </c>
      <c r="H14674" t="s">
        <v>19521</v>
      </c>
      <c r="I14674">
        <v>16588</v>
      </c>
      <c r="J14674" t="str">
        <f>VLOOKUP(E14674,DSSpieler!A:B,2,FALSE)</f>
        <v>R4VENGE</v>
      </c>
    </row>
    <row r="14675" spans="1:10" x14ac:dyDescent="0.25">
      <c r="A14675">
        <v>16589</v>
      </c>
      <c r="B14675">
        <v>6</v>
      </c>
      <c r="C14675">
        <v>491</v>
      </c>
      <c r="D14675">
        <v>534</v>
      </c>
      <c r="E14675">
        <v>9962504</v>
      </c>
      <c r="F14675">
        <v>3084</v>
      </c>
      <c r="G14675">
        <v>0</v>
      </c>
      <c r="H14675" t="s">
        <v>19522</v>
      </c>
      <c r="I14675">
        <v>16589</v>
      </c>
      <c r="J14675" t="str">
        <f>VLOOKUP(E14675,DSSpieler!A:B,2,FALSE)</f>
        <v>Robin.a</v>
      </c>
    </row>
    <row r="14676" spans="1:10" x14ac:dyDescent="0.25">
      <c r="A14676">
        <v>16590</v>
      </c>
      <c r="B14676" t="s">
        <v>35377</v>
      </c>
      <c r="C14676">
        <v>606</v>
      </c>
      <c r="D14676">
        <v>440</v>
      </c>
      <c r="E14676">
        <v>1577071262</v>
      </c>
      <c r="F14676">
        <v>3060</v>
      </c>
      <c r="G14676">
        <v>0</v>
      </c>
      <c r="H14676" t="s">
        <v>19523</v>
      </c>
      <c r="I14676">
        <v>16590</v>
      </c>
      <c r="J14676" t="str">
        <f>VLOOKUP(E14676,DSSpieler!A:B,2,FALSE)</f>
        <v>Markooos</v>
      </c>
    </row>
    <row r="14677" spans="1:10" x14ac:dyDescent="0.25">
      <c r="A14677">
        <v>16591</v>
      </c>
      <c r="B14677" t="s">
        <v>531</v>
      </c>
      <c r="C14677">
        <v>427</v>
      </c>
      <c r="D14677">
        <v>601</v>
      </c>
      <c r="E14677">
        <v>0</v>
      </c>
      <c r="F14677">
        <v>181</v>
      </c>
      <c r="G14677">
        <v>0</v>
      </c>
      <c r="H14677" t="s">
        <v>19524</v>
      </c>
      <c r="I14677">
        <v>16591</v>
      </c>
      <c r="J14677" t="e">
        <f>VLOOKUP(E14677,DSSpieler!A:B,2,FALSE)</f>
        <v>#N/A</v>
      </c>
    </row>
    <row r="14678" spans="1:10" x14ac:dyDescent="0.25">
      <c r="A14678">
        <v>16592</v>
      </c>
      <c r="B14678" t="s">
        <v>2339</v>
      </c>
      <c r="C14678">
        <v>519</v>
      </c>
      <c r="D14678">
        <v>377</v>
      </c>
      <c r="E14678">
        <v>3467530</v>
      </c>
      <c r="F14678">
        <v>3434</v>
      </c>
      <c r="G14678">
        <v>0</v>
      </c>
      <c r="H14678" t="s">
        <v>19525</v>
      </c>
      <c r="I14678">
        <v>16592</v>
      </c>
      <c r="J14678" t="str">
        <f>VLOOKUP(E14678,DSSpieler!A:B,2,FALSE)</f>
        <v>Ego93</v>
      </c>
    </row>
    <row r="14679" spans="1:10" x14ac:dyDescent="0.25">
      <c r="A14679">
        <v>16593</v>
      </c>
      <c r="B14679" t="s">
        <v>531</v>
      </c>
      <c r="C14679">
        <v>377</v>
      </c>
      <c r="D14679">
        <v>490</v>
      </c>
      <c r="E14679">
        <v>0</v>
      </c>
      <c r="F14679">
        <v>216</v>
      </c>
      <c r="G14679">
        <v>0</v>
      </c>
      <c r="H14679" t="s">
        <v>19526</v>
      </c>
      <c r="I14679">
        <v>16593</v>
      </c>
      <c r="J14679" t="e">
        <f>VLOOKUP(E14679,DSSpieler!A:B,2,FALSE)</f>
        <v>#N/A</v>
      </c>
    </row>
    <row r="14680" spans="1:10" x14ac:dyDescent="0.25">
      <c r="A14680">
        <v>16594</v>
      </c>
      <c r="B14680" t="s">
        <v>35378</v>
      </c>
      <c r="C14680">
        <v>568</v>
      </c>
      <c r="D14680">
        <v>416</v>
      </c>
      <c r="E14680">
        <v>1577180883</v>
      </c>
      <c r="F14680">
        <v>2553</v>
      </c>
      <c r="G14680">
        <v>0</v>
      </c>
      <c r="H14680" t="s">
        <v>19527</v>
      </c>
      <c r="I14680">
        <v>16594</v>
      </c>
      <c r="J14680" t="str">
        <f>VLOOKUP(E14680,DSSpieler!A:B,2,FALSE)</f>
        <v>CYLLEYA</v>
      </c>
    </row>
    <row r="14681" spans="1:10" x14ac:dyDescent="0.25">
      <c r="A14681">
        <v>16595</v>
      </c>
      <c r="B14681" t="s">
        <v>2525</v>
      </c>
      <c r="C14681">
        <v>479</v>
      </c>
      <c r="D14681">
        <v>492</v>
      </c>
      <c r="E14681">
        <v>1577195342</v>
      </c>
      <c r="F14681">
        <v>2157</v>
      </c>
      <c r="G14681">
        <v>0</v>
      </c>
      <c r="H14681" t="s">
        <v>19528</v>
      </c>
      <c r="I14681">
        <v>16595</v>
      </c>
      <c r="J14681" t="str">
        <f>VLOOKUP(E14681,DSSpieler!A:B,2,FALSE)</f>
        <v>NoobHunter</v>
      </c>
    </row>
    <row r="14682" spans="1:10" x14ac:dyDescent="0.25">
      <c r="A14682">
        <v>16596</v>
      </c>
      <c r="B14682" t="s">
        <v>531</v>
      </c>
      <c r="C14682">
        <v>486</v>
      </c>
      <c r="D14682">
        <v>619</v>
      </c>
      <c r="E14682">
        <v>0</v>
      </c>
      <c r="F14682">
        <v>98</v>
      </c>
      <c r="G14682">
        <v>0</v>
      </c>
      <c r="H14682" t="s">
        <v>19529</v>
      </c>
      <c r="I14682">
        <v>16596</v>
      </c>
      <c r="J14682" t="e">
        <f>VLOOKUP(E14682,DSSpieler!A:B,2,FALSE)</f>
        <v>#N/A</v>
      </c>
    </row>
    <row r="14683" spans="1:10" x14ac:dyDescent="0.25">
      <c r="A14683">
        <v>16597</v>
      </c>
      <c r="B14683" t="s">
        <v>531</v>
      </c>
      <c r="C14683">
        <v>621</v>
      </c>
      <c r="D14683">
        <v>483</v>
      </c>
      <c r="E14683">
        <v>0</v>
      </c>
      <c r="F14683">
        <v>163</v>
      </c>
      <c r="G14683">
        <v>0</v>
      </c>
      <c r="H14683" t="s">
        <v>19530</v>
      </c>
      <c r="I14683">
        <v>16597</v>
      </c>
      <c r="J14683" t="e">
        <f>VLOOKUP(E14683,DSSpieler!A:B,2,FALSE)</f>
        <v>#N/A</v>
      </c>
    </row>
    <row r="14684" spans="1:10" x14ac:dyDescent="0.25">
      <c r="A14684">
        <v>16598</v>
      </c>
      <c r="B14684" t="s">
        <v>2526</v>
      </c>
      <c r="C14684">
        <v>617</v>
      </c>
      <c r="D14684">
        <v>524</v>
      </c>
      <c r="E14684">
        <v>1577197100</v>
      </c>
      <c r="F14684">
        <v>1019</v>
      </c>
      <c r="G14684">
        <v>0</v>
      </c>
      <c r="H14684" t="s">
        <v>19531</v>
      </c>
      <c r="I14684">
        <v>16598</v>
      </c>
      <c r="J14684" t="str">
        <f>VLOOKUP(E14684,DSSpieler!A:B,2,FALSE)</f>
        <v>John117</v>
      </c>
    </row>
    <row r="14685" spans="1:10" x14ac:dyDescent="0.25">
      <c r="A14685">
        <v>16600</v>
      </c>
      <c r="B14685" t="s">
        <v>531</v>
      </c>
      <c r="C14685">
        <v>622</v>
      </c>
      <c r="D14685">
        <v>506</v>
      </c>
      <c r="E14685">
        <v>0</v>
      </c>
      <c r="F14685">
        <v>151</v>
      </c>
      <c r="G14685">
        <v>0</v>
      </c>
      <c r="H14685" t="s">
        <v>19532</v>
      </c>
      <c r="I14685">
        <v>16600</v>
      </c>
      <c r="J14685" t="e">
        <f>VLOOKUP(E14685,DSSpieler!A:B,2,FALSE)</f>
        <v>#N/A</v>
      </c>
    </row>
    <row r="14686" spans="1:10" x14ac:dyDescent="0.25">
      <c r="A14686">
        <v>16601</v>
      </c>
      <c r="B14686" t="s">
        <v>2527</v>
      </c>
      <c r="C14686">
        <v>445</v>
      </c>
      <c r="D14686">
        <v>544</v>
      </c>
      <c r="E14686">
        <v>1577197615</v>
      </c>
      <c r="F14686">
        <v>1659</v>
      </c>
      <c r="G14686">
        <v>0</v>
      </c>
      <c r="H14686" t="s">
        <v>19533</v>
      </c>
      <c r="I14686">
        <v>16601</v>
      </c>
      <c r="J14686" t="str">
        <f>VLOOKUP(E14686,DSSpieler!A:B,2,FALSE)</f>
        <v>Tsume</v>
      </c>
    </row>
    <row r="14687" spans="1:10" x14ac:dyDescent="0.25">
      <c r="A14687">
        <v>16603</v>
      </c>
      <c r="B14687" t="s">
        <v>35379</v>
      </c>
      <c r="C14687">
        <v>384</v>
      </c>
      <c r="D14687">
        <v>538</v>
      </c>
      <c r="E14687">
        <v>3182831</v>
      </c>
      <c r="F14687">
        <v>284</v>
      </c>
      <c r="G14687">
        <v>0</v>
      </c>
      <c r="H14687" t="s">
        <v>19534</v>
      </c>
      <c r="I14687">
        <v>16603</v>
      </c>
      <c r="J14687" t="str">
        <f>VLOOKUP(E14687,DSSpieler!A:B,2,FALSE)</f>
        <v>Torti22222</v>
      </c>
    </row>
    <row r="14688" spans="1:10" x14ac:dyDescent="0.25">
      <c r="A14688">
        <v>16605</v>
      </c>
      <c r="B14688" t="s">
        <v>35380</v>
      </c>
      <c r="C14688">
        <v>621</v>
      </c>
      <c r="D14688">
        <v>525</v>
      </c>
      <c r="E14688">
        <v>1577155635</v>
      </c>
      <c r="F14688">
        <v>3034</v>
      </c>
      <c r="G14688">
        <v>0</v>
      </c>
      <c r="H14688" t="s">
        <v>19535</v>
      </c>
      <c r="I14688">
        <v>16605</v>
      </c>
      <c r="J14688" t="str">
        <f>VLOOKUP(E14688,DSSpieler!A:B,2,FALSE)</f>
        <v>henf</v>
      </c>
    </row>
    <row r="14689" spans="1:10" x14ac:dyDescent="0.25">
      <c r="A14689">
        <v>16606</v>
      </c>
      <c r="B14689" t="s">
        <v>2528</v>
      </c>
      <c r="C14689">
        <v>474</v>
      </c>
      <c r="D14689">
        <v>622</v>
      </c>
      <c r="E14689">
        <v>1577204504</v>
      </c>
      <c r="F14689">
        <v>1318</v>
      </c>
      <c r="G14689">
        <v>0</v>
      </c>
      <c r="H14689" t="s">
        <v>19536</v>
      </c>
      <c r="I14689">
        <v>16606</v>
      </c>
      <c r="J14689" t="str">
        <f>VLOOKUP(E14689,DSSpieler!A:B,2,FALSE)</f>
        <v>Tripsitter</v>
      </c>
    </row>
    <row r="14690" spans="1:10" x14ac:dyDescent="0.25">
      <c r="A14690">
        <v>16607</v>
      </c>
      <c r="B14690" t="s">
        <v>2529</v>
      </c>
      <c r="C14690">
        <v>585</v>
      </c>
      <c r="D14690">
        <v>411</v>
      </c>
      <c r="E14690">
        <v>1576706600</v>
      </c>
      <c r="F14690">
        <v>1089</v>
      </c>
      <c r="G14690">
        <v>0</v>
      </c>
      <c r="H14690" t="s">
        <v>19537</v>
      </c>
      <c r="I14690">
        <v>16607</v>
      </c>
      <c r="J14690" t="str">
        <f>VLOOKUP(E14690,DSSpieler!A:B,2,FALSE)</f>
        <v>Tristone</v>
      </c>
    </row>
    <row r="14691" spans="1:10" x14ac:dyDescent="0.25">
      <c r="A14691">
        <v>16608</v>
      </c>
      <c r="B14691" t="s">
        <v>35381</v>
      </c>
      <c r="C14691">
        <v>434</v>
      </c>
      <c r="D14691">
        <v>603</v>
      </c>
      <c r="E14691">
        <v>8166871</v>
      </c>
      <c r="F14691">
        <v>1741</v>
      </c>
      <c r="G14691">
        <v>0</v>
      </c>
      <c r="H14691" t="s">
        <v>19538</v>
      </c>
      <c r="I14691">
        <v>16608</v>
      </c>
      <c r="J14691" t="str">
        <f>VLOOKUP(E14691,DSSpieler!A:B,2,FALSE)</f>
        <v>Holli47</v>
      </c>
    </row>
    <row r="14692" spans="1:10" x14ac:dyDescent="0.25">
      <c r="A14692">
        <v>16610</v>
      </c>
      <c r="B14692" t="s">
        <v>531</v>
      </c>
      <c r="C14692">
        <v>411</v>
      </c>
      <c r="D14692">
        <v>587</v>
      </c>
      <c r="E14692">
        <v>0</v>
      </c>
      <c r="F14692">
        <v>150</v>
      </c>
      <c r="G14692">
        <v>0</v>
      </c>
      <c r="H14692" t="s">
        <v>19539</v>
      </c>
      <c r="I14692">
        <v>16610</v>
      </c>
      <c r="J14692" t="e">
        <f>VLOOKUP(E14692,DSSpieler!A:B,2,FALSE)</f>
        <v>#N/A</v>
      </c>
    </row>
    <row r="14693" spans="1:10" x14ac:dyDescent="0.25">
      <c r="A14693">
        <v>16611</v>
      </c>
      <c r="B14693" t="s">
        <v>35382</v>
      </c>
      <c r="C14693">
        <v>520</v>
      </c>
      <c r="D14693">
        <v>561</v>
      </c>
      <c r="E14693">
        <v>1577204512</v>
      </c>
      <c r="F14693">
        <v>2614</v>
      </c>
      <c r="G14693">
        <v>0</v>
      </c>
      <c r="H14693" t="s">
        <v>19540</v>
      </c>
      <c r="I14693">
        <v>16611</v>
      </c>
      <c r="J14693" t="str">
        <f>VLOOKUP(E14693,DSSpieler!A:B,2,FALSE)</f>
        <v>Pupanz</v>
      </c>
    </row>
    <row r="14694" spans="1:10" x14ac:dyDescent="0.25">
      <c r="A14694">
        <v>16612</v>
      </c>
      <c r="B14694" t="s">
        <v>2530</v>
      </c>
      <c r="C14694">
        <v>512</v>
      </c>
      <c r="D14694">
        <v>373</v>
      </c>
      <c r="E14694">
        <v>526715</v>
      </c>
      <c r="F14694">
        <v>1083</v>
      </c>
      <c r="G14694">
        <v>0</v>
      </c>
      <c r="H14694" t="s">
        <v>19541</v>
      </c>
      <c r="I14694">
        <v>16612</v>
      </c>
      <c r="J14694" t="str">
        <f>VLOOKUP(E14694,DSSpieler!A:B,2,FALSE)</f>
        <v>Landry</v>
      </c>
    </row>
    <row r="14695" spans="1:10" x14ac:dyDescent="0.25">
      <c r="A14695">
        <v>16613</v>
      </c>
      <c r="B14695" t="s">
        <v>35383</v>
      </c>
      <c r="C14695">
        <v>423</v>
      </c>
      <c r="D14695">
        <v>404</v>
      </c>
      <c r="E14695">
        <v>1576375539</v>
      </c>
      <c r="F14695">
        <v>2471</v>
      </c>
      <c r="G14695">
        <v>0</v>
      </c>
      <c r="H14695" t="s">
        <v>19542</v>
      </c>
      <c r="I14695">
        <v>16613</v>
      </c>
      <c r="J14695" t="str">
        <f>VLOOKUP(E14695,DSSpieler!A:B,2,FALSE)</f>
        <v>Saenzgi</v>
      </c>
    </row>
    <row r="14696" spans="1:10" x14ac:dyDescent="0.25">
      <c r="A14696">
        <v>16614</v>
      </c>
      <c r="B14696" t="s">
        <v>35384</v>
      </c>
      <c r="C14696">
        <v>483</v>
      </c>
      <c r="D14696">
        <v>516</v>
      </c>
      <c r="E14696">
        <v>1577204528</v>
      </c>
      <c r="F14696">
        <v>1038</v>
      </c>
      <c r="G14696">
        <v>0</v>
      </c>
      <c r="H14696" t="s">
        <v>19543</v>
      </c>
      <c r="I14696">
        <v>16614</v>
      </c>
      <c r="J14696" t="str">
        <f>VLOOKUP(E14696,DSSpieler!A:B,2,FALSE)</f>
        <v>KatyHorseGirl</v>
      </c>
    </row>
    <row r="14697" spans="1:10" x14ac:dyDescent="0.25">
      <c r="A14697">
        <v>16615</v>
      </c>
      <c r="B14697" t="s">
        <v>531</v>
      </c>
      <c r="C14697">
        <v>570</v>
      </c>
      <c r="D14697">
        <v>398</v>
      </c>
      <c r="E14697">
        <v>0</v>
      </c>
      <c r="F14697">
        <v>212</v>
      </c>
      <c r="G14697">
        <v>0</v>
      </c>
      <c r="H14697" t="s">
        <v>19544</v>
      </c>
      <c r="I14697">
        <v>16615</v>
      </c>
      <c r="J14697" t="e">
        <f>VLOOKUP(E14697,DSSpieler!A:B,2,FALSE)</f>
        <v>#N/A</v>
      </c>
    </row>
    <row r="14698" spans="1:10" x14ac:dyDescent="0.25">
      <c r="A14698">
        <v>16616</v>
      </c>
      <c r="B14698" t="s">
        <v>35385</v>
      </c>
      <c r="C14698">
        <v>601</v>
      </c>
      <c r="D14698">
        <v>518</v>
      </c>
      <c r="E14698">
        <v>10747</v>
      </c>
      <c r="F14698">
        <v>3273</v>
      </c>
      <c r="G14698">
        <v>0</v>
      </c>
      <c r="H14698" t="s">
        <v>19545</v>
      </c>
      <c r="I14698">
        <v>16616</v>
      </c>
      <c r="J14698" t="str">
        <f>VLOOKUP(E14698,DSSpieler!A:B,2,FALSE)</f>
        <v>Lenders</v>
      </c>
    </row>
    <row r="14699" spans="1:10" x14ac:dyDescent="0.25">
      <c r="A14699">
        <v>16618</v>
      </c>
      <c r="B14699">
        <v>420</v>
      </c>
      <c r="C14699">
        <v>471</v>
      </c>
      <c r="D14699">
        <v>385</v>
      </c>
      <c r="E14699">
        <v>1577183349</v>
      </c>
      <c r="F14699">
        <v>813</v>
      </c>
      <c r="G14699">
        <v>0</v>
      </c>
      <c r="H14699" t="s">
        <v>19546</v>
      </c>
      <c r="I14699">
        <v>16618</v>
      </c>
      <c r="J14699" t="str">
        <f>VLOOKUP(E14699,DSSpieler!A:B,2,FALSE)</f>
        <v>Heinrich von Skalitz</v>
      </c>
    </row>
    <row r="14700" spans="1:10" x14ac:dyDescent="0.25">
      <c r="A14700">
        <v>16619</v>
      </c>
      <c r="B14700" t="s">
        <v>30471</v>
      </c>
      <c r="C14700">
        <v>474</v>
      </c>
      <c r="D14700">
        <v>619</v>
      </c>
      <c r="E14700">
        <v>1575936145</v>
      </c>
      <c r="F14700">
        <v>1766</v>
      </c>
      <c r="G14700">
        <v>0</v>
      </c>
      <c r="H14700" t="s">
        <v>19547</v>
      </c>
      <c r="I14700">
        <v>16619</v>
      </c>
      <c r="J14700" t="str">
        <f>VLOOKUP(E14700,DSSpieler!A:B,2,FALSE)</f>
        <v>An hor</v>
      </c>
    </row>
    <row r="14701" spans="1:10" x14ac:dyDescent="0.25">
      <c r="A14701">
        <v>16620</v>
      </c>
      <c r="B14701" t="s">
        <v>35386</v>
      </c>
      <c r="C14701">
        <v>477</v>
      </c>
      <c r="D14701">
        <v>613</v>
      </c>
      <c r="E14701">
        <v>3269983</v>
      </c>
      <c r="F14701">
        <v>2146</v>
      </c>
      <c r="G14701">
        <v>0</v>
      </c>
      <c r="H14701" t="s">
        <v>19548</v>
      </c>
      <c r="I14701">
        <v>16620</v>
      </c>
      <c r="J14701" t="str">
        <f>VLOOKUP(E14701,DSSpieler!A:B,2,FALSE)</f>
        <v>SvenC@</v>
      </c>
    </row>
    <row r="14702" spans="1:10" x14ac:dyDescent="0.25">
      <c r="A14702">
        <v>16621</v>
      </c>
      <c r="B14702" t="s">
        <v>35387</v>
      </c>
      <c r="C14702">
        <v>407</v>
      </c>
      <c r="D14702">
        <v>418</v>
      </c>
      <c r="E14702">
        <v>1577204561</v>
      </c>
      <c r="F14702">
        <v>324</v>
      </c>
      <c r="G14702">
        <v>0</v>
      </c>
      <c r="H14702" t="s">
        <v>19549</v>
      </c>
      <c r="I14702">
        <v>16621</v>
      </c>
      <c r="J14702" t="str">
        <f>VLOOKUP(E14702,DSSpieler!A:B,2,FALSE)</f>
        <v>xray168</v>
      </c>
    </row>
    <row r="14703" spans="1:10" x14ac:dyDescent="0.25">
      <c r="A14703">
        <v>16622</v>
      </c>
      <c r="B14703" t="s">
        <v>35388</v>
      </c>
      <c r="C14703">
        <v>540</v>
      </c>
      <c r="D14703">
        <v>612</v>
      </c>
      <c r="E14703">
        <v>591071</v>
      </c>
      <c r="F14703">
        <v>780</v>
      </c>
      <c r="G14703">
        <v>0</v>
      </c>
      <c r="H14703" t="s">
        <v>19550</v>
      </c>
      <c r="I14703">
        <v>16622</v>
      </c>
      <c r="J14703" t="str">
        <f>VLOOKUP(E14703,DSSpieler!A:B,2,FALSE)</f>
        <v>de black mamba</v>
      </c>
    </row>
    <row r="14704" spans="1:10" x14ac:dyDescent="0.25">
      <c r="A14704">
        <v>16623</v>
      </c>
      <c r="B14704" t="s">
        <v>531</v>
      </c>
      <c r="C14704">
        <v>457</v>
      </c>
      <c r="D14704">
        <v>387</v>
      </c>
      <c r="E14704">
        <v>0</v>
      </c>
      <c r="F14704">
        <v>143</v>
      </c>
      <c r="G14704">
        <v>0</v>
      </c>
      <c r="H14704" t="s">
        <v>19551</v>
      </c>
      <c r="I14704">
        <v>16623</v>
      </c>
      <c r="J14704" t="e">
        <f>VLOOKUP(E14704,DSSpieler!A:B,2,FALSE)</f>
        <v>#N/A</v>
      </c>
    </row>
    <row r="14705" spans="1:10" x14ac:dyDescent="0.25">
      <c r="A14705">
        <v>16625</v>
      </c>
      <c r="B14705" t="s">
        <v>531</v>
      </c>
      <c r="C14705">
        <v>433</v>
      </c>
      <c r="D14705">
        <v>603</v>
      </c>
      <c r="E14705">
        <v>0</v>
      </c>
      <c r="F14705">
        <v>1315</v>
      </c>
      <c r="G14705">
        <v>0</v>
      </c>
      <c r="H14705" t="s">
        <v>19552</v>
      </c>
      <c r="I14705">
        <v>16625</v>
      </c>
      <c r="J14705" t="e">
        <f>VLOOKUP(E14705,DSSpieler!A:B,2,FALSE)</f>
        <v>#N/A</v>
      </c>
    </row>
    <row r="14706" spans="1:10" x14ac:dyDescent="0.25">
      <c r="A14706">
        <v>16626</v>
      </c>
      <c r="B14706" t="s">
        <v>2531</v>
      </c>
      <c r="C14706">
        <v>548</v>
      </c>
      <c r="D14706">
        <v>387</v>
      </c>
      <c r="E14706">
        <v>1577204563</v>
      </c>
      <c r="F14706">
        <v>1629</v>
      </c>
      <c r="G14706">
        <v>0</v>
      </c>
      <c r="H14706" t="s">
        <v>19553</v>
      </c>
      <c r="I14706">
        <v>16626</v>
      </c>
      <c r="J14706" t="str">
        <f>VLOOKUP(E14706,DSSpieler!A:B,2,FALSE)</f>
        <v>HorstHeldt</v>
      </c>
    </row>
    <row r="14707" spans="1:10" x14ac:dyDescent="0.25">
      <c r="A14707">
        <v>16627</v>
      </c>
      <c r="B14707" t="s">
        <v>35389</v>
      </c>
      <c r="C14707">
        <v>469</v>
      </c>
      <c r="D14707">
        <v>379</v>
      </c>
      <c r="E14707">
        <v>1577201179</v>
      </c>
      <c r="F14707">
        <v>1799</v>
      </c>
      <c r="G14707">
        <v>0</v>
      </c>
      <c r="H14707" t="s">
        <v>19554</v>
      </c>
      <c r="I14707">
        <v>16627</v>
      </c>
      <c r="J14707" t="str">
        <f>VLOOKUP(E14707,DSSpieler!A:B,2,FALSE)</f>
        <v>Lord Becky</v>
      </c>
    </row>
    <row r="14708" spans="1:10" x14ac:dyDescent="0.25">
      <c r="A14708">
        <v>16628</v>
      </c>
      <c r="B14708" t="s">
        <v>35390</v>
      </c>
      <c r="C14708">
        <v>520</v>
      </c>
      <c r="D14708">
        <v>497</v>
      </c>
      <c r="E14708">
        <v>1577190908</v>
      </c>
      <c r="F14708">
        <v>724</v>
      </c>
      <c r="G14708">
        <v>0</v>
      </c>
      <c r="H14708" t="s">
        <v>19555</v>
      </c>
      <c r="I14708">
        <v>16628</v>
      </c>
      <c r="J14708" t="str">
        <f>VLOOKUP(E14708,DSSpieler!A:B,2,FALSE)</f>
        <v>LOrdxDDD</v>
      </c>
    </row>
    <row r="14709" spans="1:10" x14ac:dyDescent="0.25">
      <c r="A14709">
        <v>16629</v>
      </c>
      <c r="B14709" t="s">
        <v>2532</v>
      </c>
      <c r="C14709">
        <v>539</v>
      </c>
      <c r="D14709">
        <v>382</v>
      </c>
      <c r="E14709">
        <v>1577202294</v>
      </c>
      <c r="F14709">
        <v>452</v>
      </c>
      <c r="G14709">
        <v>0</v>
      </c>
      <c r="H14709" t="s">
        <v>19556</v>
      </c>
      <c r="I14709">
        <v>16629</v>
      </c>
      <c r="J14709" t="str">
        <f>VLOOKUP(E14709,DSSpieler!A:B,2,FALSE)</f>
        <v>SXeno</v>
      </c>
    </row>
    <row r="14710" spans="1:10" x14ac:dyDescent="0.25">
      <c r="A14710">
        <v>16630</v>
      </c>
      <c r="B14710" t="s">
        <v>531</v>
      </c>
      <c r="C14710">
        <v>569</v>
      </c>
      <c r="D14710">
        <v>399</v>
      </c>
      <c r="E14710">
        <v>0</v>
      </c>
      <c r="F14710">
        <v>109</v>
      </c>
      <c r="G14710">
        <v>0</v>
      </c>
      <c r="H14710" t="s">
        <v>19557</v>
      </c>
      <c r="I14710">
        <v>16630</v>
      </c>
      <c r="J14710" t="e">
        <f>VLOOKUP(E14710,DSSpieler!A:B,2,FALSE)</f>
        <v>#N/A</v>
      </c>
    </row>
    <row r="14711" spans="1:10" x14ac:dyDescent="0.25">
      <c r="A14711">
        <v>16632</v>
      </c>
      <c r="B14711" t="s">
        <v>531</v>
      </c>
      <c r="C14711">
        <v>392</v>
      </c>
      <c r="D14711">
        <v>541</v>
      </c>
      <c r="E14711">
        <v>0</v>
      </c>
      <c r="F14711">
        <v>176</v>
      </c>
      <c r="G14711">
        <v>0</v>
      </c>
      <c r="H14711" t="s">
        <v>19558</v>
      </c>
      <c r="I14711">
        <v>16632</v>
      </c>
      <c r="J14711" t="e">
        <f>VLOOKUP(E14711,DSSpieler!A:B,2,FALSE)</f>
        <v>#N/A</v>
      </c>
    </row>
    <row r="14712" spans="1:10" x14ac:dyDescent="0.25">
      <c r="A14712">
        <v>16633</v>
      </c>
      <c r="B14712" t="s">
        <v>531</v>
      </c>
      <c r="C14712">
        <v>376</v>
      </c>
      <c r="D14712">
        <v>493</v>
      </c>
      <c r="E14712">
        <v>0</v>
      </c>
      <c r="F14712">
        <v>87</v>
      </c>
      <c r="G14712">
        <v>0</v>
      </c>
      <c r="H14712" t="s">
        <v>19559</v>
      </c>
      <c r="I14712">
        <v>16633</v>
      </c>
      <c r="J14712" t="e">
        <f>VLOOKUP(E14712,DSSpieler!A:B,2,FALSE)</f>
        <v>#N/A</v>
      </c>
    </row>
    <row r="14713" spans="1:10" x14ac:dyDescent="0.25">
      <c r="A14713">
        <v>16634</v>
      </c>
      <c r="B14713" t="s">
        <v>531</v>
      </c>
      <c r="C14713">
        <v>569</v>
      </c>
      <c r="D14713">
        <v>403</v>
      </c>
      <c r="E14713">
        <v>0</v>
      </c>
      <c r="F14713">
        <v>94</v>
      </c>
      <c r="G14713">
        <v>0</v>
      </c>
      <c r="H14713" t="s">
        <v>19560</v>
      </c>
      <c r="I14713">
        <v>16634</v>
      </c>
      <c r="J14713" t="e">
        <f>VLOOKUP(E14713,DSSpieler!A:B,2,FALSE)</f>
        <v>#N/A</v>
      </c>
    </row>
    <row r="14714" spans="1:10" x14ac:dyDescent="0.25">
      <c r="A14714">
        <v>16635</v>
      </c>
      <c r="B14714" t="s">
        <v>2533</v>
      </c>
      <c r="C14714">
        <v>480</v>
      </c>
      <c r="D14714">
        <v>381</v>
      </c>
      <c r="E14714">
        <v>1577179201</v>
      </c>
      <c r="F14714">
        <v>2483</v>
      </c>
      <c r="G14714">
        <v>0</v>
      </c>
      <c r="H14714" t="s">
        <v>19561</v>
      </c>
      <c r="I14714">
        <v>16635</v>
      </c>
      <c r="J14714" t="str">
        <f>VLOOKUP(E14714,DSSpieler!A:B,2,FALSE)</f>
        <v>RumfürAlle</v>
      </c>
    </row>
    <row r="14715" spans="1:10" x14ac:dyDescent="0.25">
      <c r="A14715">
        <v>16636</v>
      </c>
      <c r="B14715">
        <v>1</v>
      </c>
      <c r="C14715">
        <v>485</v>
      </c>
      <c r="D14715">
        <v>621</v>
      </c>
      <c r="E14715">
        <v>1577136025</v>
      </c>
      <c r="F14715">
        <v>2949</v>
      </c>
      <c r="G14715">
        <v>0</v>
      </c>
      <c r="H14715" t="s">
        <v>19562</v>
      </c>
      <c r="I14715">
        <v>16636</v>
      </c>
      <c r="J14715" t="str">
        <f>VLOOKUP(E14715,DSSpieler!A:B,2,FALSE)</f>
        <v>Minidekus92</v>
      </c>
    </row>
    <row r="14716" spans="1:10" x14ac:dyDescent="0.25">
      <c r="A14716">
        <v>16637</v>
      </c>
      <c r="B14716" t="s">
        <v>531</v>
      </c>
      <c r="C14716">
        <v>377</v>
      </c>
      <c r="D14716">
        <v>501</v>
      </c>
      <c r="E14716">
        <v>0</v>
      </c>
      <c r="F14716">
        <v>238</v>
      </c>
      <c r="G14716">
        <v>0</v>
      </c>
      <c r="H14716" t="s">
        <v>19563</v>
      </c>
      <c r="I14716">
        <v>16637</v>
      </c>
      <c r="J14716" t="e">
        <f>VLOOKUP(E14716,DSSpieler!A:B,2,FALSE)</f>
        <v>#N/A</v>
      </c>
    </row>
    <row r="14717" spans="1:10" x14ac:dyDescent="0.25">
      <c r="A14717">
        <v>16639</v>
      </c>
      <c r="B14717" t="s">
        <v>531</v>
      </c>
      <c r="C14717">
        <v>500</v>
      </c>
      <c r="D14717">
        <v>588</v>
      </c>
      <c r="E14717">
        <v>0</v>
      </c>
      <c r="F14717">
        <v>773</v>
      </c>
      <c r="G14717">
        <v>0</v>
      </c>
      <c r="H14717" t="s">
        <v>19564</v>
      </c>
      <c r="I14717">
        <v>16639</v>
      </c>
      <c r="J14717" t="e">
        <f>VLOOKUP(E14717,DSSpieler!A:B,2,FALSE)</f>
        <v>#N/A</v>
      </c>
    </row>
    <row r="14718" spans="1:10" x14ac:dyDescent="0.25">
      <c r="A14718">
        <v>16640</v>
      </c>
      <c r="B14718" t="s">
        <v>35391</v>
      </c>
      <c r="C14718">
        <v>557</v>
      </c>
      <c r="D14718">
        <v>605</v>
      </c>
      <c r="E14718">
        <v>1577167888</v>
      </c>
      <c r="F14718">
        <v>241</v>
      </c>
      <c r="G14718">
        <v>0</v>
      </c>
      <c r="H14718" t="s">
        <v>19565</v>
      </c>
      <c r="I14718">
        <v>16640</v>
      </c>
      <c r="J14718" t="str">
        <f>VLOOKUP(E14718,DSSpieler!A:B,2,FALSE)</f>
        <v>Schwarzwälder</v>
      </c>
    </row>
    <row r="14719" spans="1:10" x14ac:dyDescent="0.25">
      <c r="A14719">
        <v>16641</v>
      </c>
      <c r="B14719" t="s">
        <v>531</v>
      </c>
      <c r="C14719">
        <v>385</v>
      </c>
      <c r="D14719">
        <v>451</v>
      </c>
      <c r="E14719">
        <v>0</v>
      </c>
      <c r="F14719">
        <v>220</v>
      </c>
      <c r="G14719">
        <v>0</v>
      </c>
      <c r="H14719" t="s">
        <v>19566</v>
      </c>
      <c r="I14719">
        <v>16641</v>
      </c>
      <c r="J14719" t="e">
        <f>VLOOKUP(E14719,DSSpieler!A:B,2,FALSE)</f>
        <v>#N/A</v>
      </c>
    </row>
    <row r="14720" spans="1:10" x14ac:dyDescent="0.25">
      <c r="A14720">
        <v>16642</v>
      </c>
      <c r="B14720" t="s">
        <v>35392</v>
      </c>
      <c r="C14720">
        <v>622</v>
      </c>
      <c r="D14720">
        <v>494</v>
      </c>
      <c r="E14720">
        <v>2624937</v>
      </c>
      <c r="F14720">
        <v>3357</v>
      </c>
      <c r="G14720">
        <v>0</v>
      </c>
      <c r="H14720" t="s">
        <v>19567</v>
      </c>
      <c r="I14720">
        <v>16642</v>
      </c>
      <c r="J14720" t="str">
        <f>VLOOKUP(E14720,DSSpieler!A:B,2,FALSE)</f>
        <v>King Lebra</v>
      </c>
    </row>
    <row r="14721" spans="1:10" x14ac:dyDescent="0.25">
      <c r="A14721">
        <v>16643</v>
      </c>
      <c r="B14721" t="s">
        <v>531</v>
      </c>
      <c r="C14721">
        <v>532</v>
      </c>
      <c r="D14721">
        <v>619</v>
      </c>
      <c r="E14721">
        <v>0</v>
      </c>
      <c r="F14721">
        <v>76</v>
      </c>
      <c r="G14721">
        <v>0</v>
      </c>
      <c r="H14721" t="s">
        <v>19568</v>
      </c>
      <c r="I14721">
        <v>16643</v>
      </c>
      <c r="J14721" t="e">
        <f>VLOOKUP(E14721,DSSpieler!A:B,2,FALSE)</f>
        <v>#N/A</v>
      </c>
    </row>
    <row r="14722" spans="1:10" x14ac:dyDescent="0.25">
      <c r="A14722">
        <v>16644</v>
      </c>
      <c r="B14722" t="s">
        <v>35393</v>
      </c>
      <c r="C14722">
        <v>385</v>
      </c>
      <c r="D14722">
        <v>542</v>
      </c>
      <c r="E14722">
        <v>1577189085</v>
      </c>
      <c r="F14722">
        <v>1090</v>
      </c>
      <c r="G14722">
        <v>0</v>
      </c>
      <c r="H14722" t="s">
        <v>19569</v>
      </c>
      <c r="I14722">
        <v>16644</v>
      </c>
      <c r="J14722" t="str">
        <f>VLOOKUP(E14722,DSSpieler!A:B,2,FALSE)</f>
        <v>madmcdoc</v>
      </c>
    </row>
    <row r="14723" spans="1:10" x14ac:dyDescent="0.25">
      <c r="A14723">
        <v>16645</v>
      </c>
      <c r="B14723" t="s">
        <v>531</v>
      </c>
      <c r="C14723">
        <v>483</v>
      </c>
      <c r="D14723">
        <v>378</v>
      </c>
      <c r="E14723">
        <v>0</v>
      </c>
      <c r="F14723">
        <v>67</v>
      </c>
      <c r="G14723">
        <v>0</v>
      </c>
      <c r="H14723" t="s">
        <v>19570</v>
      </c>
      <c r="I14723">
        <v>16645</v>
      </c>
      <c r="J14723" t="e">
        <f>VLOOKUP(E14723,DSSpieler!A:B,2,FALSE)</f>
        <v>#N/A</v>
      </c>
    </row>
    <row r="14724" spans="1:10" x14ac:dyDescent="0.25">
      <c r="A14724">
        <v>16646</v>
      </c>
      <c r="B14724" t="s">
        <v>35394</v>
      </c>
      <c r="C14724">
        <v>431</v>
      </c>
      <c r="D14724">
        <v>401</v>
      </c>
      <c r="E14724">
        <v>1577134078</v>
      </c>
      <c r="F14724">
        <v>1800</v>
      </c>
      <c r="G14724">
        <v>0</v>
      </c>
      <c r="H14724" t="s">
        <v>19571</v>
      </c>
      <c r="I14724">
        <v>16646</v>
      </c>
      <c r="J14724" t="str">
        <f>VLOOKUP(E14724,DSSpieler!A:B,2,FALSE)</f>
        <v>Babbe</v>
      </c>
    </row>
    <row r="14725" spans="1:10" x14ac:dyDescent="0.25">
      <c r="A14725">
        <v>16647</v>
      </c>
      <c r="B14725" t="s">
        <v>531</v>
      </c>
      <c r="C14725">
        <v>443</v>
      </c>
      <c r="D14725">
        <v>390</v>
      </c>
      <c r="E14725">
        <v>0</v>
      </c>
      <c r="F14725">
        <v>227</v>
      </c>
      <c r="G14725">
        <v>0</v>
      </c>
      <c r="H14725" t="s">
        <v>19572</v>
      </c>
      <c r="I14725">
        <v>16647</v>
      </c>
      <c r="J14725" t="e">
        <f>VLOOKUP(E14725,DSSpieler!A:B,2,FALSE)</f>
        <v>#N/A</v>
      </c>
    </row>
    <row r="14726" spans="1:10" x14ac:dyDescent="0.25">
      <c r="A14726">
        <v>16648</v>
      </c>
      <c r="B14726" t="s">
        <v>2534</v>
      </c>
      <c r="C14726">
        <v>592</v>
      </c>
      <c r="D14726">
        <v>575</v>
      </c>
      <c r="E14726">
        <v>1576921880</v>
      </c>
      <c r="F14726">
        <v>212</v>
      </c>
      <c r="G14726">
        <v>0</v>
      </c>
      <c r="H14726" t="s">
        <v>19573</v>
      </c>
      <c r="I14726">
        <v>16648</v>
      </c>
      <c r="J14726" t="str">
        <f>VLOOKUP(E14726,DSSpieler!A:B,2,FALSE)</f>
        <v>Sheldor00</v>
      </c>
    </row>
    <row r="14727" spans="1:10" x14ac:dyDescent="0.25">
      <c r="A14727">
        <v>16650</v>
      </c>
      <c r="B14727" t="s">
        <v>531</v>
      </c>
      <c r="C14727">
        <v>453</v>
      </c>
      <c r="D14727">
        <v>386</v>
      </c>
      <c r="E14727">
        <v>0</v>
      </c>
      <c r="F14727">
        <v>160</v>
      </c>
      <c r="G14727">
        <v>0</v>
      </c>
      <c r="H14727" t="s">
        <v>19574</v>
      </c>
      <c r="I14727">
        <v>16650</v>
      </c>
      <c r="J14727" t="e">
        <f>VLOOKUP(E14727,DSSpieler!A:B,2,FALSE)</f>
        <v>#N/A</v>
      </c>
    </row>
    <row r="14728" spans="1:10" x14ac:dyDescent="0.25">
      <c r="A14728">
        <v>16651</v>
      </c>
      <c r="B14728" t="s">
        <v>531</v>
      </c>
      <c r="C14728">
        <v>391</v>
      </c>
      <c r="D14728">
        <v>552</v>
      </c>
      <c r="E14728">
        <v>0</v>
      </c>
      <c r="F14728">
        <v>836</v>
      </c>
      <c r="G14728">
        <v>0</v>
      </c>
      <c r="H14728" t="s">
        <v>19575</v>
      </c>
      <c r="I14728">
        <v>16651</v>
      </c>
      <c r="J14728" t="e">
        <f>VLOOKUP(E14728,DSSpieler!A:B,2,FALSE)</f>
        <v>#N/A</v>
      </c>
    </row>
    <row r="14729" spans="1:10" x14ac:dyDescent="0.25">
      <c r="A14729">
        <v>16653</v>
      </c>
      <c r="B14729" t="s">
        <v>2535</v>
      </c>
      <c r="C14729">
        <v>553</v>
      </c>
      <c r="D14729">
        <v>611</v>
      </c>
      <c r="E14729">
        <v>1575911315</v>
      </c>
      <c r="F14729">
        <v>2771</v>
      </c>
      <c r="G14729">
        <v>0</v>
      </c>
      <c r="H14729" t="s">
        <v>19576</v>
      </c>
      <c r="I14729">
        <v>16653</v>
      </c>
      <c r="J14729" t="str">
        <f>VLOOKUP(E14729,DSSpieler!A:B,2,FALSE)</f>
        <v>iBulle</v>
      </c>
    </row>
    <row r="14730" spans="1:10" x14ac:dyDescent="0.25">
      <c r="A14730">
        <v>16655</v>
      </c>
      <c r="B14730" t="s">
        <v>30459</v>
      </c>
      <c r="C14730">
        <v>611</v>
      </c>
      <c r="D14730">
        <v>549</v>
      </c>
      <c r="E14730">
        <v>468795</v>
      </c>
      <c r="F14730">
        <v>3109</v>
      </c>
      <c r="G14730">
        <v>0</v>
      </c>
      <c r="H14730" t="s">
        <v>19577</v>
      </c>
      <c r="I14730">
        <v>16655</v>
      </c>
      <c r="J14730" t="str">
        <f>VLOOKUP(E14730,DSSpieler!A:B,2,FALSE)</f>
        <v>Päuli</v>
      </c>
    </row>
    <row r="14731" spans="1:10" x14ac:dyDescent="0.25">
      <c r="A14731">
        <v>16656</v>
      </c>
      <c r="B14731" t="s">
        <v>35395</v>
      </c>
      <c r="C14731">
        <v>528</v>
      </c>
      <c r="D14731">
        <v>621</v>
      </c>
      <c r="E14731">
        <v>1577204621</v>
      </c>
      <c r="F14731">
        <v>4299</v>
      </c>
      <c r="G14731">
        <v>0</v>
      </c>
      <c r="H14731" t="s">
        <v>19578</v>
      </c>
      <c r="I14731">
        <v>16656</v>
      </c>
      <c r="J14731" t="str">
        <f>VLOOKUP(E14731,DSSpieler!A:B,2,FALSE)</f>
        <v>Aventi</v>
      </c>
    </row>
    <row r="14732" spans="1:10" x14ac:dyDescent="0.25">
      <c r="A14732">
        <v>16657</v>
      </c>
      <c r="B14732" t="s">
        <v>35396</v>
      </c>
      <c r="C14732">
        <v>558</v>
      </c>
      <c r="D14732">
        <v>391</v>
      </c>
      <c r="E14732">
        <v>1577204628</v>
      </c>
      <c r="F14732">
        <v>2002</v>
      </c>
      <c r="G14732">
        <v>0</v>
      </c>
      <c r="H14732" t="s">
        <v>19579</v>
      </c>
      <c r="I14732">
        <v>16657</v>
      </c>
      <c r="J14732" t="str">
        <f>VLOOKUP(E14732,DSSpieler!A:B,2,FALSE)</f>
        <v>pyrazid</v>
      </c>
    </row>
    <row r="14733" spans="1:10" x14ac:dyDescent="0.25">
      <c r="A14733">
        <v>16658</v>
      </c>
      <c r="B14733" t="s">
        <v>35397</v>
      </c>
      <c r="C14733">
        <v>382</v>
      </c>
      <c r="D14733">
        <v>481</v>
      </c>
      <c r="E14733">
        <v>1575847025</v>
      </c>
      <c r="F14733">
        <v>3504</v>
      </c>
      <c r="G14733">
        <v>0</v>
      </c>
      <c r="H14733" t="s">
        <v>19580</v>
      </c>
      <c r="I14733">
        <v>16658</v>
      </c>
      <c r="J14733" t="str">
        <f>VLOOKUP(E14733,DSSpieler!A:B,2,FALSE)</f>
        <v>Nick311</v>
      </c>
    </row>
    <row r="14734" spans="1:10" x14ac:dyDescent="0.25">
      <c r="A14734">
        <v>16659</v>
      </c>
      <c r="B14734" t="s">
        <v>2536</v>
      </c>
      <c r="C14734">
        <v>485</v>
      </c>
      <c r="D14734">
        <v>618</v>
      </c>
      <c r="E14734">
        <v>1577204633</v>
      </c>
      <c r="F14734">
        <v>2163</v>
      </c>
      <c r="G14734">
        <v>0</v>
      </c>
      <c r="H14734" t="s">
        <v>19581</v>
      </c>
      <c r="I14734">
        <v>16659</v>
      </c>
      <c r="J14734" t="str">
        <f>VLOOKUP(E14734,DSSpieler!A:B,2,FALSE)</f>
        <v>Jackfrost27</v>
      </c>
    </row>
    <row r="14735" spans="1:10" x14ac:dyDescent="0.25">
      <c r="A14735">
        <v>16660</v>
      </c>
      <c r="B14735">
        <v>5</v>
      </c>
      <c r="C14735">
        <v>392</v>
      </c>
      <c r="D14735">
        <v>448</v>
      </c>
      <c r="E14735">
        <v>1576311874</v>
      </c>
      <c r="F14735">
        <v>3454</v>
      </c>
      <c r="G14735">
        <v>0</v>
      </c>
      <c r="H14735" t="s">
        <v>19582</v>
      </c>
      <c r="I14735">
        <v>16660</v>
      </c>
      <c r="J14735" t="str">
        <f>VLOOKUP(E14735,DSSpieler!A:B,2,FALSE)</f>
        <v>Jakob.1</v>
      </c>
    </row>
    <row r="14736" spans="1:10" x14ac:dyDescent="0.25">
      <c r="A14736">
        <v>16661</v>
      </c>
      <c r="B14736" t="s">
        <v>35398</v>
      </c>
      <c r="C14736">
        <v>523</v>
      </c>
      <c r="D14736">
        <v>378</v>
      </c>
      <c r="E14736">
        <v>1576953487</v>
      </c>
      <c r="F14736">
        <v>3875</v>
      </c>
      <c r="G14736">
        <v>0</v>
      </c>
      <c r="H14736" t="s">
        <v>19583</v>
      </c>
      <c r="I14736">
        <v>16661</v>
      </c>
      <c r="J14736" t="str">
        <f>VLOOKUP(E14736,DSSpieler!A:B,2,FALSE)</f>
        <v>PowerGamer122</v>
      </c>
    </row>
    <row r="14737" spans="1:10" x14ac:dyDescent="0.25">
      <c r="A14737">
        <v>16662</v>
      </c>
      <c r="B14737" t="s">
        <v>35399</v>
      </c>
      <c r="C14737">
        <v>462</v>
      </c>
      <c r="D14737">
        <v>382</v>
      </c>
      <c r="E14737">
        <v>1577081383</v>
      </c>
      <c r="F14737">
        <v>107</v>
      </c>
      <c r="G14737">
        <v>0</v>
      </c>
      <c r="H14737" t="s">
        <v>19584</v>
      </c>
      <c r="I14737">
        <v>16662</v>
      </c>
      <c r="J14737" t="str">
        <f>VLOOKUP(E14737,DSSpieler!A:B,2,FALSE)</f>
        <v>**T.P.M.**</v>
      </c>
    </row>
    <row r="14738" spans="1:10" x14ac:dyDescent="0.25">
      <c r="A14738">
        <v>16663</v>
      </c>
      <c r="B14738" t="s">
        <v>35400</v>
      </c>
      <c r="C14738">
        <v>415</v>
      </c>
      <c r="D14738">
        <v>410</v>
      </c>
      <c r="E14738">
        <v>9940375</v>
      </c>
      <c r="F14738">
        <v>2522</v>
      </c>
      <c r="G14738">
        <v>0</v>
      </c>
      <c r="H14738" t="s">
        <v>19585</v>
      </c>
      <c r="I14738">
        <v>16663</v>
      </c>
      <c r="J14738" t="str">
        <f>VLOOKUP(E14738,DSSpieler!A:B,2,FALSE)</f>
        <v>Poitzn</v>
      </c>
    </row>
    <row r="14739" spans="1:10" x14ac:dyDescent="0.25">
      <c r="A14739">
        <v>16664</v>
      </c>
      <c r="B14739" t="s">
        <v>531</v>
      </c>
      <c r="C14739">
        <v>489</v>
      </c>
      <c r="D14739">
        <v>623</v>
      </c>
      <c r="E14739">
        <v>0</v>
      </c>
      <c r="F14739">
        <v>86</v>
      </c>
      <c r="G14739">
        <v>0</v>
      </c>
      <c r="H14739" t="s">
        <v>19586</v>
      </c>
      <c r="I14739">
        <v>16664</v>
      </c>
      <c r="J14739" t="e">
        <f>VLOOKUP(E14739,DSSpieler!A:B,2,FALSE)</f>
        <v>#N/A</v>
      </c>
    </row>
    <row r="14740" spans="1:10" x14ac:dyDescent="0.25">
      <c r="A14740">
        <v>16665</v>
      </c>
      <c r="B14740" t="s">
        <v>531</v>
      </c>
      <c r="C14740">
        <v>621</v>
      </c>
      <c r="D14740">
        <v>497</v>
      </c>
      <c r="E14740">
        <v>0</v>
      </c>
      <c r="F14740">
        <v>97</v>
      </c>
      <c r="G14740">
        <v>0</v>
      </c>
      <c r="H14740" t="s">
        <v>19587</v>
      </c>
      <c r="I14740">
        <v>16665</v>
      </c>
      <c r="J14740" t="e">
        <f>VLOOKUP(E14740,DSSpieler!A:B,2,FALSE)</f>
        <v>#N/A</v>
      </c>
    </row>
    <row r="14741" spans="1:10" x14ac:dyDescent="0.25">
      <c r="A14741">
        <v>16666</v>
      </c>
      <c r="B14741" t="s">
        <v>35401</v>
      </c>
      <c r="C14741">
        <v>478</v>
      </c>
      <c r="D14741">
        <v>382</v>
      </c>
      <c r="E14741">
        <v>1576857239</v>
      </c>
      <c r="F14741">
        <v>1077</v>
      </c>
      <c r="G14741">
        <v>0</v>
      </c>
      <c r="H14741" t="s">
        <v>19588</v>
      </c>
      <c r="I14741">
        <v>16666</v>
      </c>
      <c r="J14741" t="str">
        <f>VLOOKUP(E14741,DSSpieler!A:B,2,FALSE)</f>
        <v>Dynamo Dosenbier</v>
      </c>
    </row>
    <row r="14742" spans="1:10" x14ac:dyDescent="0.25">
      <c r="A14742">
        <v>16667</v>
      </c>
      <c r="B14742" t="s">
        <v>35402</v>
      </c>
      <c r="C14742">
        <v>380</v>
      </c>
      <c r="D14742">
        <v>528</v>
      </c>
      <c r="E14742">
        <v>8845273</v>
      </c>
      <c r="F14742">
        <v>3957</v>
      </c>
      <c r="G14742">
        <v>0</v>
      </c>
      <c r="H14742" t="s">
        <v>19589</v>
      </c>
      <c r="I14742">
        <v>16667</v>
      </c>
      <c r="J14742" t="str">
        <f>VLOOKUP(E14742,DSSpieler!A:B,2,FALSE)</f>
        <v>Cid15</v>
      </c>
    </row>
    <row r="14743" spans="1:10" x14ac:dyDescent="0.25">
      <c r="A14743">
        <v>16668</v>
      </c>
      <c r="B14743" t="s">
        <v>35403</v>
      </c>
      <c r="C14743">
        <v>485</v>
      </c>
      <c r="D14743">
        <v>624</v>
      </c>
      <c r="E14743">
        <v>1577202748</v>
      </c>
      <c r="F14743">
        <v>1962</v>
      </c>
      <c r="G14743">
        <v>0</v>
      </c>
      <c r="H14743" t="s">
        <v>19590</v>
      </c>
      <c r="I14743">
        <v>16668</v>
      </c>
      <c r="J14743" t="str">
        <f>VLOOKUP(E14743,DSSpieler!A:B,2,FALSE)</f>
        <v>Josel20022002</v>
      </c>
    </row>
    <row r="14744" spans="1:10" x14ac:dyDescent="0.25">
      <c r="A14744">
        <v>16669</v>
      </c>
      <c r="B14744" t="s">
        <v>35404</v>
      </c>
      <c r="C14744">
        <v>556</v>
      </c>
      <c r="D14744">
        <v>576</v>
      </c>
      <c r="E14744">
        <v>9554949</v>
      </c>
      <c r="F14744">
        <v>62</v>
      </c>
      <c r="G14744">
        <v>0</v>
      </c>
      <c r="H14744" t="s">
        <v>19591</v>
      </c>
      <c r="I14744">
        <v>16669</v>
      </c>
      <c r="J14744" t="str">
        <f>VLOOKUP(E14744,DSSpieler!A:B,2,FALSE)</f>
        <v>scheini 98</v>
      </c>
    </row>
    <row r="14745" spans="1:10" x14ac:dyDescent="0.25">
      <c r="A14745">
        <v>16670</v>
      </c>
      <c r="B14745" t="s">
        <v>35405</v>
      </c>
      <c r="C14745">
        <v>489</v>
      </c>
      <c r="D14745">
        <v>624</v>
      </c>
      <c r="E14745">
        <v>1079756</v>
      </c>
      <c r="F14745">
        <v>2142</v>
      </c>
      <c r="G14745">
        <v>0</v>
      </c>
      <c r="H14745" t="s">
        <v>19592</v>
      </c>
      <c r="I14745">
        <v>16670</v>
      </c>
      <c r="J14745" t="str">
        <f>VLOOKUP(E14745,DSSpieler!A:B,2,FALSE)</f>
        <v>maui1974</v>
      </c>
    </row>
    <row r="14746" spans="1:10" x14ac:dyDescent="0.25">
      <c r="A14746">
        <v>16671</v>
      </c>
      <c r="B14746" t="s">
        <v>35406</v>
      </c>
      <c r="C14746">
        <v>595</v>
      </c>
      <c r="D14746">
        <v>422</v>
      </c>
      <c r="E14746">
        <v>9387408</v>
      </c>
      <c r="F14746">
        <v>184</v>
      </c>
      <c r="G14746">
        <v>0</v>
      </c>
      <c r="H14746" t="s">
        <v>19593</v>
      </c>
      <c r="I14746">
        <v>16671</v>
      </c>
      <c r="J14746" t="str">
        <f>VLOOKUP(E14746,DSSpieler!A:B,2,FALSE)</f>
        <v>Dead By Sunrise</v>
      </c>
    </row>
    <row r="14747" spans="1:10" x14ac:dyDescent="0.25">
      <c r="A14747">
        <v>16673</v>
      </c>
      <c r="B14747" t="s">
        <v>35407</v>
      </c>
      <c r="C14747">
        <v>462</v>
      </c>
      <c r="D14747">
        <v>503</v>
      </c>
      <c r="E14747">
        <v>9227861</v>
      </c>
      <c r="F14747">
        <v>1130</v>
      </c>
      <c r="G14747">
        <v>0</v>
      </c>
      <c r="H14747" t="s">
        <v>19594</v>
      </c>
      <c r="I14747">
        <v>16673</v>
      </c>
      <c r="J14747" t="str">
        <f>VLOOKUP(E14747,DSSpieler!A:B,2,FALSE)</f>
        <v>terrorist8</v>
      </c>
    </row>
    <row r="14748" spans="1:10" x14ac:dyDescent="0.25">
      <c r="A14748">
        <v>16674</v>
      </c>
      <c r="B14748" t="s">
        <v>531</v>
      </c>
      <c r="C14748">
        <v>587</v>
      </c>
      <c r="D14748">
        <v>586</v>
      </c>
      <c r="E14748">
        <v>0</v>
      </c>
      <c r="F14748">
        <v>89</v>
      </c>
      <c r="G14748">
        <v>0</v>
      </c>
      <c r="H14748" t="s">
        <v>19595</v>
      </c>
      <c r="I14748">
        <v>16674</v>
      </c>
      <c r="J14748" t="e">
        <f>VLOOKUP(E14748,DSSpieler!A:B,2,FALSE)</f>
        <v>#N/A</v>
      </c>
    </row>
    <row r="14749" spans="1:10" x14ac:dyDescent="0.25">
      <c r="A14749">
        <v>16675</v>
      </c>
      <c r="B14749" t="s">
        <v>35408</v>
      </c>
      <c r="C14749">
        <v>579</v>
      </c>
      <c r="D14749">
        <v>407</v>
      </c>
      <c r="E14749">
        <v>1577200418</v>
      </c>
      <c r="F14749">
        <v>844</v>
      </c>
      <c r="G14749">
        <v>0</v>
      </c>
      <c r="H14749" t="s">
        <v>19596</v>
      </c>
      <c r="I14749">
        <v>16675</v>
      </c>
      <c r="J14749" t="str">
        <f>VLOOKUP(E14749,DSSpieler!A:B,2,FALSE)</f>
        <v>nick2</v>
      </c>
    </row>
    <row r="14750" spans="1:10" x14ac:dyDescent="0.25">
      <c r="A14750">
        <v>16676</v>
      </c>
      <c r="B14750" t="s">
        <v>35409</v>
      </c>
      <c r="C14750">
        <v>426</v>
      </c>
      <c r="D14750">
        <v>403</v>
      </c>
      <c r="E14750">
        <v>1962450</v>
      </c>
      <c r="F14750">
        <v>2577</v>
      </c>
      <c r="G14750">
        <v>0</v>
      </c>
      <c r="H14750" t="s">
        <v>19597</v>
      </c>
      <c r="I14750">
        <v>16676</v>
      </c>
      <c r="J14750" t="str">
        <f>VLOOKUP(E14750,DSSpieler!A:B,2,FALSE)</f>
        <v>dizzer1992</v>
      </c>
    </row>
    <row r="14751" spans="1:10" x14ac:dyDescent="0.25">
      <c r="A14751">
        <v>16677</v>
      </c>
      <c r="B14751" t="s">
        <v>35410</v>
      </c>
      <c r="C14751">
        <v>479</v>
      </c>
      <c r="D14751">
        <v>382</v>
      </c>
      <c r="E14751">
        <v>1577179201</v>
      </c>
      <c r="F14751">
        <v>1131</v>
      </c>
      <c r="G14751">
        <v>0</v>
      </c>
      <c r="H14751" t="s">
        <v>19598</v>
      </c>
      <c r="I14751">
        <v>16677</v>
      </c>
      <c r="J14751" t="str">
        <f>VLOOKUP(E14751,DSSpieler!A:B,2,FALSE)</f>
        <v>RumfürAlle</v>
      </c>
    </row>
    <row r="14752" spans="1:10" x14ac:dyDescent="0.25">
      <c r="A14752">
        <v>16678</v>
      </c>
      <c r="B14752" t="s">
        <v>531</v>
      </c>
      <c r="C14752">
        <v>378</v>
      </c>
      <c r="D14752">
        <v>520</v>
      </c>
      <c r="E14752">
        <v>0</v>
      </c>
      <c r="F14752">
        <v>47</v>
      </c>
      <c r="G14752">
        <v>0</v>
      </c>
      <c r="H14752" t="s">
        <v>19599</v>
      </c>
      <c r="I14752">
        <v>16678</v>
      </c>
      <c r="J14752" t="e">
        <f>VLOOKUP(E14752,DSSpieler!A:B,2,FALSE)</f>
        <v>#N/A</v>
      </c>
    </row>
    <row r="14753" spans="1:10" x14ac:dyDescent="0.25">
      <c r="A14753">
        <v>16679</v>
      </c>
      <c r="B14753" t="s">
        <v>531</v>
      </c>
      <c r="C14753">
        <v>614</v>
      </c>
      <c r="D14753">
        <v>543</v>
      </c>
      <c r="E14753">
        <v>0</v>
      </c>
      <c r="F14753">
        <v>141</v>
      </c>
      <c r="G14753">
        <v>0</v>
      </c>
      <c r="H14753" t="s">
        <v>19600</v>
      </c>
      <c r="I14753">
        <v>16679</v>
      </c>
      <c r="J14753" t="e">
        <f>VLOOKUP(E14753,DSSpieler!A:B,2,FALSE)</f>
        <v>#N/A</v>
      </c>
    </row>
    <row r="14754" spans="1:10" x14ac:dyDescent="0.25">
      <c r="A14754">
        <v>16680</v>
      </c>
      <c r="B14754" t="s">
        <v>2537</v>
      </c>
      <c r="C14754">
        <v>386</v>
      </c>
      <c r="D14754">
        <v>451</v>
      </c>
      <c r="E14754">
        <v>2155857</v>
      </c>
      <c r="F14754">
        <v>1614</v>
      </c>
      <c r="G14754">
        <v>0</v>
      </c>
      <c r="H14754" t="s">
        <v>19601</v>
      </c>
      <c r="I14754">
        <v>16680</v>
      </c>
      <c r="J14754" t="str">
        <f>VLOOKUP(E14754,DSSpieler!A:B,2,FALSE)</f>
        <v>gerrysorry</v>
      </c>
    </row>
    <row r="14755" spans="1:10" x14ac:dyDescent="0.25">
      <c r="A14755">
        <v>16682</v>
      </c>
      <c r="B14755" t="s">
        <v>531</v>
      </c>
      <c r="C14755">
        <v>387</v>
      </c>
      <c r="D14755">
        <v>522</v>
      </c>
      <c r="E14755">
        <v>0</v>
      </c>
      <c r="F14755">
        <v>433</v>
      </c>
      <c r="G14755">
        <v>0</v>
      </c>
      <c r="H14755" t="s">
        <v>19602</v>
      </c>
      <c r="I14755">
        <v>16682</v>
      </c>
      <c r="J14755" t="e">
        <f>VLOOKUP(E14755,DSSpieler!A:B,2,FALSE)</f>
        <v>#N/A</v>
      </c>
    </row>
    <row r="14756" spans="1:10" x14ac:dyDescent="0.25">
      <c r="A14756">
        <v>16683</v>
      </c>
      <c r="B14756" t="s">
        <v>35411</v>
      </c>
      <c r="C14756">
        <v>400</v>
      </c>
      <c r="D14756">
        <v>573</v>
      </c>
      <c r="E14756">
        <v>8090023</v>
      </c>
      <c r="F14756">
        <v>162</v>
      </c>
      <c r="G14756">
        <v>0</v>
      </c>
      <c r="H14756" t="s">
        <v>19603</v>
      </c>
      <c r="I14756">
        <v>16683</v>
      </c>
      <c r="J14756" t="str">
        <f>VLOOKUP(E14756,DSSpieler!A:B,2,FALSE)</f>
        <v>NAZARIUS</v>
      </c>
    </row>
    <row r="14757" spans="1:10" x14ac:dyDescent="0.25">
      <c r="A14757">
        <v>16684</v>
      </c>
      <c r="B14757" t="s">
        <v>2538</v>
      </c>
      <c r="C14757">
        <v>384</v>
      </c>
      <c r="D14757">
        <v>458</v>
      </c>
      <c r="E14757">
        <v>1576525047</v>
      </c>
      <c r="F14757">
        <v>550</v>
      </c>
      <c r="G14757">
        <v>0</v>
      </c>
      <c r="H14757" t="s">
        <v>19604</v>
      </c>
      <c r="I14757">
        <v>16684</v>
      </c>
      <c r="J14757" t="str">
        <f>VLOOKUP(E14757,DSSpieler!A:B,2,FALSE)</f>
        <v>Tiddl</v>
      </c>
    </row>
    <row r="14758" spans="1:10" x14ac:dyDescent="0.25">
      <c r="A14758">
        <v>16685</v>
      </c>
      <c r="B14758" t="s">
        <v>35412</v>
      </c>
      <c r="C14758">
        <v>596</v>
      </c>
      <c r="D14758">
        <v>579</v>
      </c>
      <c r="E14758">
        <v>10197321</v>
      </c>
      <c r="F14758">
        <v>26</v>
      </c>
      <c r="G14758">
        <v>0</v>
      </c>
      <c r="H14758" t="s">
        <v>19605</v>
      </c>
      <c r="I14758">
        <v>16685</v>
      </c>
      <c r="J14758" t="str">
        <f>VLOOKUP(E14758,DSSpieler!A:B,2,FALSE)</f>
        <v>wofchek2k3</v>
      </c>
    </row>
    <row r="14759" spans="1:10" x14ac:dyDescent="0.25">
      <c r="A14759">
        <v>16686</v>
      </c>
      <c r="B14759" t="s">
        <v>531</v>
      </c>
      <c r="C14759">
        <v>536</v>
      </c>
      <c r="D14759">
        <v>616</v>
      </c>
      <c r="E14759">
        <v>0</v>
      </c>
      <c r="F14759">
        <v>48</v>
      </c>
      <c r="G14759">
        <v>0</v>
      </c>
      <c r="H14759" t="s">
        <v>19606</v>
      </c>
      <c r="I14759">
        <v>16686</v>
      </c>
      <c r="J14759" t="e">
        <f>VLOOKUP(E14759,DSSpieler!A:B,2,FALSE)</f>
        <v>#N/A</v>
      </c>
    </row>
    <row r="14760" spans="1:10" x14ac:dyDescent="0.25">
      <c r="A14760">
        <v>16687</v>
      </c>
      <c r="B14760" t="e">
        <f>-2-tanzt</f>
        <v>#NAME?</v>
      </c>
      <c r="C14760">
        <v>524</v>
      </c>
      <c r="D14760">
        <v>415</v>
      </c>
      <c r="E14760">
        <v>1385576</v>
      </c>
      <c r="F14760">
        <v>3416</v>
      </c>
      <c r="G14760">
        <v>0</v>
      </c>
      <c r="H14760" t="s">
        <v>19607</v>
      </c>
      <c r="I14760">
        <v>16687</v>
      </c>
      <c r="J14760" t="str">
        <f>VLOOKUP(E14760,DSSpieler!A:B,2,FALSE)</f>
        <v>Moritz119</v>
      </c>
    </row>
    <row r="14761" spans="1:10" x14ac:dyDescent="0.25">
      <c r="A14761">
        <v>16688</v>
      </c>
      <c r="B14761" t="s">
        <v>35413</v>
      </c>
      <c r="C14761">
        <v>552</v>
      </c>
      <c r="D14761">
        <v>392</v>
      </c>
      <c r="E14761">
        <v>8658113</v>
      </c>
      <c r="F14761">
        <v>312</v>
      </c>
      <c r="G14761">
        <v>0</v>
      </c>
      <c r="H14761" t="s">
        <v>19608</v>
      </c>
      <c r="I14761">
        <v>16688</v>
      </c>
      <c r="J14761" t="str">
        <f>VLOOKUP(E14761,DSSpieler!A:B,2,FALSE)</f>
        <v>YourDecline</v>
      </c>
    </row>
    <row r="14762" spans="1:10" x14ac:dyDescent="0.25">
      <c r="A14762">
        <v>16689</v>
      </c>
      <c r="B14762" t="s">
        <v>2539</v>
      </c>
      <c r="C14762">
        <v>595</v>
      </c>
      <c r="D14762">
        <v>421</v>
      </c>
      <c r="E14762">
        <v>1576532115</v>
      </c>
      <c r="F14762">
        <v>2126</v>
      </c>
      <c r="G14762">
        <v>0</v>
      </c>
      <c r="H14762" t="s">
        <v>19609</v>
      </c>
      <c r="I14762">
        <v>16689</v>
      </c>
      <c r="J14762" t="str">
        <f>VLOOKUP(E14762,DSSpieler!A:B,2,FALSE)</f>
        <v>Why So Mad Bro?</v>
      </c>
    </row>
    <row r="14763" spans="1:10" x14ac:dyDescent="0.25">
      <c r="A14763">
        <v>16690</v>
      </c>
      <c r="B14763" t="s">
        <v>531</v>
      </c>
      <c r="C14763">
        <v>578</v>
      </c>
      <c r="D14763">
        <v>407</v>
      </c>
      <c r="E14763">
        <v>0</v>
      </c>
      <c r="F14763">
        <v>282</v>
      </c>
      <c r="G14763">
        <v>0</v>
      </c>
      <c r="H14763" t="s">
        <v>19610</v>
      </c>
      <c r="I14763">
        <v>16690</v>
      </c>
      <c r="J14763" t="e">
        <f>VLOOKUP(E14763,DSSpieler!A:B,2,FALSE)</f>
        <v>#N/A</v>
      </c>
    </row>
    <row r="14764" spans="1:10" x14ac:dyDescent="0.25">
      <c r="A14764">
        <v>16691</v>
      </c>
      <c r="B14764" t="s">
        <v>35414</v>
      </c>
      <c r="C14764">
        <v>572</v>
      </c>
      <c r="D14764">
        <v>595</v>
      </c>
      <c r="E14764">
        <v>918317</v>
      </c>
      <c r="F14764">
        <v>96</v>
      </c>
      <c r="G14764">
        <v>0</v>
      </c>
      <c r="H14764" t="s">
        <v>19611</v>
      </c>
      <c r="I14764">
        <v>16691</v>
      </c>
      <c r="J14764" t="str">
        <f>VLOOKUP(E14764,DSSpieler!A:B,2,FALSE)</f>
        <v>BösiMösi</v>
      </c>
    </row>
    <row r="14765" spans="1:10" x14ac:dyDescent="0.25">
      <c r="A14765">
        <v>16692</v>
      </c>
      <c r="B14765" t="s">
        <v>531</v>
      </c>
      <c r="C14765">
        <v>541</v>
      </c>
      <c r="D14765">
        <v>615</v>
      </c>
      <c r="E14765">
        <v>0</v>
      </c>
      <c r="F14765">
        <v>174</v>
      </c>
      <c r="G14765">
        <v>0</v>
      </c>
      <c r="H14765" t="s">
        <v>19612</v>
      </c>
      <c r="I14765">
        <v>16692</v>
      </c>
      <c r="J14765" t="e">
        <f>VLOOKUP(E14765,DSSpieler!A:B,2,FALSE)</f>
        <v>#N/A</v>
      </c>
    </row>
    <row r="14766" spans="1:10" x14ac:dyDescent="0.25">
      <c r="A14766">
        <v>16693</v>
      </c>
      <c r="B14766" t="s">
        <v>35415</v>
      </c>
      <c r="C14766">
        <v>530</v>
      </c>
      <c r="D14766">
        <v>619</v>
      </c>
      <c r="E14766">
        <v>629516</v>
      </c>
      <c r="F14766">
        <v>4222</v>
      </c>
      <c r="G14766">
        <v>0</v>
      </c>
      <c r="H14766" t="s">
        <v>19613</v>
      </c>
      <c r="I14766">
        <v>16693</v>
      </c>
      <c r="J14766" t="str">
        <f>VLOOKUP(E14766,DSSpieler!A:B,2,FALSE)</f>
        <v>Skaterffm</v>
      </c>
    </row>
    <row r="14767" spans="1:10" x14ac:dyDescent="0.25">
      <c r="A14767">
        <v>16694</v>
      </c>
      <c r="B14767" t="s">
        <v>531</v>
      </c>
      <c r="C14767">
        <v>421</v>
      </c>
      <c r="D14767">
        <v>594</v>
      </c>
      <c r="E14767">
        <v>0</v>
      </c>
      <c r="F14767">
        <v>250</v>
      </c>
      <c r="G14767">
        <v>0</v>
      </c>
      <c r="H14767" t="s">
        <v>19614</v>
      </c>
      <c r="I14767">
        <v>16694</v>
      </c>
      <c r="J14767" t="e">
        <f>VLOOKUP(E14767,DSSpieler!A:B,2,FALSE)</f>
        <v>#N/A</v>
      </c>
    </row>
    <row r="14768" spans="1:10" x14ac:dyDescent="0.25">
      <c r="A14768">
        <v>16695</v>
      </c>
      <c r="B14768" t="s">
        <v>35416</v>
      </c>
      <c r="C14768">
        <v>383</v>
      </c>
      <c r="D14768">
        <v>464</v>
      </c>
      <c r="E14768">
        <v>1576818570</v>
      </c>
      <c r="F14768">
        <v>1064</v>
      </c>
      <c r="G14768">
        <v>0</v>
      </c>
      <c r="H14768" t="s">
        <v>475</v>
      </c>
      <c r="I14768">
        <v>16695</v>
      </c>
      <c r="J14768" t="str">
        <f>VLOOKUP(E14768,DSSpieler!A:B,2,FALSE)</f>
        <v>Niclas1904</v>
      </c>
    </row>
    <row r="14769" spans="1:10" x14ac:dyDescent="0.25">
      <c r="A14769">
        <v>16697</v>
      </c>
      <c r="B14769" t="s">
        <v>2540</v>
      </c>
      <c r="C14769">
        <v>493</v>
      </c>
      <c r="D14769">
        <v>622</v>
      </c>
      <c r="E14769">
        <v>1577204653</v>
      </c>
      <c r="F14769">
        <v>620</v>
      </c>
      <c r="G14769">
        <v>0</v>
      </c>
      <c r="H14769" t="s">
        <v>19615</v>
      </c>
      <c r="I14769">
        <v>16697</v>
      </c>
      <c r="J14769" t="str">
        <f>VLOOKUP(E14769,DSSpieler!A:B,2,FALSE)</f>
        <v>lordghf</v>
      </c>
    </row>
    <row r="14770" spans="1:10" x14ac:dyDescent="0.25">
      <c r="A14770">
        <v>16698</v>
      </c>
      <c r="B14770" t="s">
        <v>35417</v>
      </c>
      <c r="C14770">
        <v>481</v>
      </c>
      <c r="D14770">
        <v>378</v>
      </c>
      <c r="E14770">
        <v>1576992134</v>
      </c>
      <c r="F14770">
        <v>621</v>
      </c>
      <c r="G14770">
        <v>0</v>
      </c>
      <c r="H14770" t="s">
        <v>19616</v>
      </c>
      <c r="I14770">
        <v>16698</v>
      </c>
      <c r="J14770" t="str">
        <f>VLOOKUP(E14770,DSSpieler!A:B,2,FALSE)</f>
        <v>xKopela</v>
      </c>
    </row>
    <row r="14771" spans="1:10" x14ac:dyDescent="0.25">
      <c r="A14771">
        <v>16699</v>
      </c>
      <c r="B14771" t="s">
        <v>35418</v>
      </c>
      <c r="C14771">
        <v>409</v>
      </c>
      <c r="D14771">
        <v>585</v>
      </c>
      <c r="E14771">
        <v>1577181614</v>
      </c>
      <c r="F14771">
        <v>89</v>
      </c>
      <c r="G14771">
        <v>0</v>
      </c>
      <c r="H14771" t="s">
        <v>19617</v>
      </c>
      <c r="I14771">
        <v>16699</v>
      </c>
      <c r="J14771" t="str">
        <f>VLOOKUP(E14771,DSSpieler!A:B,2,FALSE)</f>
        <v>crankzkp</v>
      </c>
    </row>
    <row r="14772" spans="1:10" x14ac:dyDescent="0.25">
      <c r="A14772">
        <v>16700</v>
      </c>
      <c r="B14772" t="s">
        <v>531</v>
      </c>
      <c r="C14772">
        <v>397</v>
      </c>
      <c r="D14772">
        <v>433</v>
      </c>
      <c r="E14772">
        <v>0</v>
      </c>
      <c r="F14772">
        <v>162</v>
      </c>
      <c r="G14772">
        <v>0</v>
      </c>
      <c r="H14772" t="s">
        <v>19618</v>
      </c>
      <c r="I14772">
        <v>16700</v>
      </c>
      <c r="J14772" t="e">
        <f>VLOOKUP(E14772,DSSpieler!A:B,2,FALSE)</f>
        <v>#N/A</v>
      </c>
    </row>
    <row r="14773" spans="1:10" x14ac:dyDescent="0.25">
      <c r="A14773">
        <v>16701</v>
      </c>
      <c r="B14773" t="s">
        <v>531</v>
      </c>
      <c r="C14773">
        <v>599</v>
      </c>
      <c r="D14773">
        <v>429</v>
      </c>
      <c r="E14773">
        <v>0</v>
      </c>
      <c r="F14773">
        <v>108</v>
      </c>
      <c r="G14773">
        <v>0</v>
      </c>
      <c r="H14773" t="s">
        <v>19619</v>
      </c>
      <c r="I14773">
        <v>16701</v>
      </c>
      <c r="J14773" t="e">
        <f>VLOOKUP(E14773,DSSpieler!A:B,2,FALSE)</f>
        <v>#N/A</v>
      </c>
    </row>
    <row r="14774" spans="1:10" x14ac:dyDescent="0.25">
      <c r="A14774">
        <v>16702</v>
      </c>
      <c r="B14774" t="s">
        <v>35419</v>
      </c>
      <c r="C14774">
        <v>397</v>
      </c>
      <c r="D14774">
        <v>524</v>
      </c>
      <c r="E14774">
        <v>9319592</v>
      </c>
      <c r="F14774">
        <v>1879</v>
      </c>
      <c r="G14774">
        <v>0</v>
      </c>
      <c r="H14774" t="s">
        <v>19620</v>
      </c>
      <c r="I14774">
        <v>16702</v>
      </c>
      <c r="J14774" t="str">
        <f>VLOOKUP(E14774,DSSpieler!A:B,2,FALSE)</f>
        <v>DieterVonHinten</v>
      </c>
    </row>
    <row r="14775" spans="1:10" x14ac:dyDescent="0.25">
      <c r="A14775">
        <v>16703</v>
      </c>
      <c r="B14775" t="s">
        <v>35420</v>
      </c>
      <c r="C14775">
        <v>400</v>
      </c>
      <c r="D14775">
        <v>427</v>
      </c>
      <c r="E14775">
        <v>432238</v>
      </c>
      <c r="F14775">
        <v>2590</v>
      </c>
      <c r="G14775">
        <v>0</v>
      </c>
      <c r="H14775" t="s">
        <v>19621</v>
      </c>
      <c r="I14775">
        <v>16703</v>
      </c>
      <c r="J14775" t="str">
        <f>VLOOKUP(E14775,DSSpieler!A:B,2,FALSE)</f>
        <v>JayBe</v>
      </c>
    </row>
    <row r="14776" spans="1:10" x14ac:dyDescent="0.25">
      <c r="A14776">
        <v>16704</v>
      </c>
      <c r="B14776" t="s">
        <v>2541</v>
      </c>
      <c r="C14776">
        <v>431</v>
      </c>
      <c r="D14776">
        <v>579</v>
      </c>
      <c r="E14776">
        <v>9870968</v>
      </c>
      <c r="F14776">
        <v>2453</v>
      </c>
      <c r="G14776">
        <v>0</v>
      </c>
      <c r="H14776" t="s">
        <v>19622</v>
      </c>
      <c r="I14776">
        <v>16704</v>
      </c>
      <c r="J14776" t="str">
        <f>VLOOKUP(E14776,DSSpieler!A:B,2,FALSE)</f>
        <v>Lord MasterOfWar</v>
      </c>
    </row>
    <row r="14777" spans="1:10" x14ac:dyDescent="0.25">
      <c r="A14777">
        <v>16705</v>
      </c>
      <c r="B14777" t="s">
        <v>2542</v>
      </c>
      <c r="C14777">
        <v>571</v>
      </c>
      <c r="D14777">
        <v>593</v>
      </c>
      <c r="E14777">
        <v>1577204480</v>
      </c>
      <c r="F14777">
        <v>1725</v>
      </c>
      <c r="G14777">
        <v>0</v>
      </c>
      <c r="H14777" t="s">
        <v>19623</v>
      </c>
      <c r="I14777">
        <v>16705</v>
      </c>
      <c r="J14777" t="str">
        <f>VLOOKUP(E14777,DSSpieler!A:B,2,FALSE)</f>
        <v>Fetz187</v>
      </c>
    </row>
    <row r="14778" spans="1:10" x14ac:dyDescent="0.25">
      <c r="A14778">
        <v>16706</v>
      </c>
      <c r="B14778" t="s">
        <v>531</v>
      </c>
      <c r="C14778">
        <v>431</v>
      </c>
      <c r="D14778">
        <v>598</v>
      </c>
      <c r="E14778">
        <v>0</v>
      </c>
      <c r="F14778">
        <v>136</v>
      </c>
      <c r="G14778">
        <v>0</v>
      </c>
      <c r="H14778" t="s">
        <v>19624</v>
      </c>
      <c r="I14778">
        <v>16706</v>
      </c>
      <c r="J14778" t="e">
        <f>VLOOKUP(E14778,DSSpieler!A:B,2,FALSE)</f>
        <v>#N/A</v>
      </c>
    </row>
    <row r="14779" spans="1:10" x14ac:dyDescent="0.25">
      <c r="A14779">
        <v>16707</v>
      </c>
      <c r="B14779" t="s">
        <v>1882</v>
      </c>
      <c r="C14779">
        <v>568</v>
      </c>
      <c r="D14779">
        <v>598</v>
      </c>
      <c r="E14779">
        <v>1577204687</v>
      </c>
      <c r="F14779">
        <v>2327</v>
      </c>
      <c r="G14779">
        <v>0</v>
      </c>
      <c r="H14779" t="s">
        <v>19625</v>
      </c>
      <c r="I14779">
        <v>16707</v>
      </c>
      <c r="J14779" t="str">
        <f>VLOOKUP(E14779,DSSpieler!A:B,2,FALSE)</f>
        <v>Lord Pille</v>
      </c>
    </row>
    <row r="14780" spans="1:10" x14ac:dyDescent="0.25">
      <c r="A14780">
        <v>16708</v>
      </c>
      <c r="B14780" t="s">
        <v>531</v>
      </c>
      <c r="C14780">
        <v>475</v>
      </c>
      <c r="D14780">
        <v>382</v>
      </c>
      <c r="E14780">
        <v>0</v>
      </c>
      <c r="F14780">
        <v>147</v>
      </c>
      <c r="G14780">
        <v>0</v>
      </c>
      <c r="H14780" t="s">
        <v>19626</v>
      </c>
      <c r="I14780">
        <v>16708</v>
      </c>
      <c r="J14780" t="e">
        <f>VLOOKUP(E14780,DSSpieler!A:B,2,FALSE)</f>
        <v>#N/A</v>
      </c>
    </row>
    <row r="14781" spans="1:10" x14ac:dyDescent="0.25">
      <c r="A14781">
        <v>16709</v>
      </c>
      <c r="B14781" t="s">
        <v>150</v>
      </c>
      <c r="C14781">
        <v>445</v>
      </c>
      <c r="D14781">
        <v>610</v>
      </c>
      <c r="E14781">
        <v>1577179346</v>
      </c>
      <c r="F14781">
        <v>3760</v>
      </c>
      <c r="G14781">
        <v>0</v>
      </c>
      <c r="H14781" t="s">
        <v>19627</v>
      </c>
      <c r="I14781">
        <v>16709</v>
      </c>
      <c r="J14781" t="str">
        <f>VLOOKUP(E14781,DSSpieler!A:B,2,FALSE)</f>
        <v>Dirty Harry</v>
      </c>
    </row>
    <row r="14782" spans="1:10" x14ac:dyDescent="0.25">
      <c r="A14782">
        <v>16710</v>
      </c>
      <c r="B14782" t="s">
        <v>35421</v>
      </c>
      <c r="C14782">
        <v>599</v>
      </c>
      <c r="D14782">
        <v>575</v>
      </c>
      <c r="E14782">
        <v>1577204692</v>
      </c>
      <c r="F14782">
        <v>380</v>
      </c>
      <c r="G14782">
        <v>0</v>
      </c>
      <c r="H14782" t="s">
        <v>19628</v>
      </c>
      <c r="I14782">
        <v>16710</v>
      </c>
      <c r="J14782" t="str">
        <f>VLOOKUP(E14782,DSSpieler!A:B,2,FALSE)</f>
        <v>Churchiller</v>
      </c>
    </row>
    <row r="14783" spans="1:10" x14ac:dyDescent="0.25">
      <c r="A14783">
        <v>16712</v>
      </c>
      <c r="B14783" t="s">
        <v>531</v>
      </c>
      <c r="C14783">
        <v>386</v>
      </c>
      <c r="D14783">
        <v>452</v>
      </c>
      <c r="E14783">
        <v>0</v>
      </c>
      <c r="F14783">
        <v>123</v>
      </c>
      <c r="G14783">
        <v>0</v>
      </c>
      <c r="H14783" t="s">
        <v>19629</v>
      </c>
      <c r="I14783">
        <v>16712</v>
      </c>
      <c r="J14783" t="e">
        <f>VLOOKUP(E14783,DSSpieler!A:B,2,FALSE)</f>
        <v>#N/A</v>
      </c>
    </row>
    <row r="14784" spans="1:10" x14ac:dyDescent="0.25">
      <c r="A14784">
        <v>16714</v>
      </c>
      <c r="B14784" t="s">
        <v>35422</v>
      </c>
      <c r="C14784">
        <v>523</v>
      </c>
      <c r="D14784">
        <v>379</v>
      </c>
      <c r="E14784">
        <v>7794052</v>
      </c>
      <c r="F14784">
        <v>2039</v>
      </c>
      <c r="G14784">
        <v>0</v>
      </c>
      <c r="H14784" t="s">
        <v>19630</v>
      </c>
      <c r="I14784">
        <v>16714</v>
      </c>
      <c r="J14784" t="str">
        <f>VLOOKUP(E14784,DSSpieler!A:B,2,FALSE)</f>
        <v>wuzzibear</v>
      </c>
    </row>
    <row r="14785" spans="1:10" x14ac:dyDescent="0.25">
      <c r="A14785">
        <v>16715</v>
      </c>
      <c r="B14785" t="s">
        <v>531</v>
      </c>
      <c r="C14785">
        <v>391</v>
      </c>
      <c r="D14785">
        <v>451</v>
      </c>
      <c r="E14785">
        <v>0</v>
      </c>
      <c r="F14785">
        <v>85</v>
      </c>
      <c r="G14785">
        <v>0</v>
      </c>
      <c r="H14785" t="s">
        <v>19631</v>
      </c>
      <c r="I14785">
        <v>16715</v>
      </c>
      <c r="J14785" t="e">
        <f>VLOOKUP(E14785,DSSpieler!A:B,2,FALSE)</f>
        <v>#N/A</v>
      </c>
    </row>
    <row r="14786" spans="1:10" x14ac:dyDescent="0.25">
      <c r="A14786">
        <v>16716</v>
      </c>
      <c r="B14786" t="s">
        <v>531</v>
      </c>
      <c r="C14786">
        <v>525</v>
      </c>
      <c r="D14786">
        <v>618</v>
      </c>
      <c r="E14786">
        <v>0</v>
      </c>
      <c r="F14786">
        <v>156</v>
      </c>
      <c r="G14786">
        <v>0</v>
      </c>
      <c r="H14786" t="s">
        <v>19632</v>
      </c>
      <c r="I14786">
        <v>16716</v>
      </c>
      <c r="J14786" t="e">
        <f>VLOOKUP(E14786,DSSpieler!A:B,2,FALSE)</f>
        <v>#N/A</v>
      </c>
    </row>
    <row r="14787" spans="1:10" x14ac:dyDescent="0.25">
      <c r="A14787">
        <v>16718</v>
      </c>
      <c r="B14787" t="s">
        <v>2543</v>
      </c>
      <c r="C14787">
        <v>410</v>
      </c>
      <c r="D14787">
        <v>583</v>
      </c>
      <c r="E14787">
        <v>2593290</v>
      </c>
      <c r="F14787">
        <v>3149</v>
      </c>
      <c r="G14787">
        <v>0</v>
      </c>
      <c r="H14787" t="s">
        <v>19633</v>
      </c>
      <c r="I14787">
        <v>16718</v>
      </c>
      <c r="J14787" t="str">
        <f>VLOOKUP(E14787,DSSpieler!A:B,2,FALSE)</f>
        <v>dudeH96</v>
      </c>
    </row>
    <row r="14788" spans="1:10" x14ac:dyDescent="0.25">
      <c r="A14788">
        <v>16719</v>
      </c>
      <c r="B14788" t="s">
        <v>35423</v>
      </c>
      <c r="C14788">
        <v>420</v>
      </c>
      <c r="D14788">
        <v>405</v>
      </c>
      <c r="E14788">
        <v>1577165000</v>
      </c>
      <c r="F14788">
        <v>3270</v>
      </c>
      <c r="G14788">
        <v>0</v>
      </c>
      <c r="H14788" t="s">
        <v>19634</v>
      </c>
      <c r="I14788">
        <v>16719</v>
      </c>
      <c r="J14788" t="str">
        <f>VLOOKUP(E14788,DSSpieler!A:B,2,FALSE)</f>
        <v>littleswiss</v>
      </c>
    </row>
    <row r="14789" spans="1:10" x14ac:dyDescent="0.25">
      <c r="A14789">
        <v>16720</v>
      </c>
      <c r="B14789" t="s">
        <v>531</v>
      </c>
      <c r="C14789">
        <v>472</v>
      </c>
      <c r="D14789">
        <v>619</v>
      </c>
      <c r="E14789">
        <v>0</v>
      </c>
      <c r="F14789">
        <v>107</v>
      </c>
      <c r="G14789">
        <v>0</v>
      </c>
      <c r="H14789" t="s">
        <v>19635</v>
      </c>
      <c r="I14789">
        <v>16720</v>
      </c>
      <c r="J14789" t="e">
        <f>VLOOKUP(E14789,DSSpieler!A:B,2,FALSE)</f>
        <v>#N/A</v>
      </c>
    </row>
    <row r="14790" spans="1:10" x14ac:dyDescent="0.25">
      <c r="A14790">
        <v>16721</v>
      </c>
      <c r="B14790" t="s">
        <v>35424</v>
      </c>
      <c r="C14790">
        <v>448</v>
      </c>
      <c r="D14790">
        <v>392</v>
      </c>
      <c r="E14790">
        <v>1576909773</v>
      </c>
      <c r="F14790">
        <v>2026</v>
      </c>
      <c r="G14790">
        <v>0</v>
      </c>
      <c r="H14790" t="s">
        <v>19636</v>
      </c>
      <c r="I14790">
        <v>16721</v>
      </c>
      <c r="J14790" t="str">
        <f>VLOOKUP(E14790,DSSpieler!A:B,2,FALSE)</f>
        <v>TheRedDevil</v>
      </c>
    </row>
    <row r="14791" spans="1:10" x14ac:dyDescent="0.25">
      <c r="A14791">
        <v>16722</v>
      </c>
      <c r="B14791" t="s">
        <v>2544</v>
      </c>
      <c r="C14791">
        <v>605</v>
      </c>
      <c r="D14791">
        <v>561</v>
      </c>
      <c r="E14791">
        <v>1576852426</v>
      </c>
      <c r="F14791">
        <v>1999</v>
      </c>
      <c r="G14791">
        <v>0</v>
      </c>
      <c r="H14791" t="s">
        <v>19637</v>
      </c>
      <c r="I14791">
        <v>16722</v>
      </c>
      <c r="J14791" t="str">
        <f>VLOOKUP(E14791,DSSpieler!A:B,2,FALSE)</f>
        <v>ChelseaForWin</v>
      </c>
    </row>
    <row r="14792" spans="1:10" x14ac:dyDescent="0.25">
      <c r="A14792">
        <v>16723</v>
      </c>
      <c r="B14792" t="s">
        <v>531</v>
      </c>
      <c r="C14792">
        <v>483</v>
      </c>
      <c r="D14792">
        <v>624</v>
      </c>
      <c r="E14792">
        <v>0</v>
      </c>
      <c r="F14792">
        <v>144</v>
      </c>
      <c r="G14792">
        <v>0</v>
      </c>
      <c r="H14792" t="s">
        <v>19638</v>
      </c>
      <c r="I14792">
        <v>16723</v>
      </c>
      <c r="J14792" t="e">
        <f>VLOOKUP(E14792,DSSpieler!A:B,2,FALSE)</f>
        <v>#N/A</v>
      </c>
    </row>
    <row r="14793" spans="1:10" x14ac:dyDescent="0.25">
      <c r="A14793">
        <v>16724</v>
      </c>
      <c r="B14793" t="s">
        <v>35425</v>
      </c>
      <c r="C14793">
        <v>472</v>
      </c>
      <c r="D14793">
        <v>379</v>
      </c>
      <c r="E14793">
        <v>454750</v>
      </c>
      <c r="F14793">
        <v>335</v>
      </c>
      <c r="G14793">
        <v>0</v>
      </c>
      <c r="H14793" t="s">
        <v>19639</v>
      </c>
      <c r="I14793">
        <v>16724</v>
      </c>
      <c r="J14793" t="str">
        <f>VLOOKUP(E14793,DSSpieler!A:B,2,FALSE)</f>
        <v>der Blutschlecker</v>
      </c>
    </row>
    <row r="14794" spans="1:10" x14ac:dyDescent="0.25">
      <c r="A14794">
        <v>16725</v>
      </c>
      <c r="B14794" t="s">
        <v>531</v>
      </c>
      <c r="C14794">
        <v>459</v>
      </c>
      <c r="D14794">
        <v>613</v>
      </c>
      <c r="E14794">
        <v>0</v>
      </c>
      <c r="F14794">
        <v>113</v>
      </c>
      <c r="G14794">
        <v>0</v>
      </c>
      <c r="H14794" t="s">
        <v>19640</v>
      </c>
      <c r="I14794">
        <v>16725</v>
      </c>
      <c r="J14794" t="e">
        <f>VLOOKUP(E14794,DSSpieler!A:B,2,FALSE)</f>
        <v>#N/A</v>
      </c>
    </row>
    <row r="14795" spans="1:10" x14ac:dyDescent="0.25">
      <c r="A14795">
        <v>16726</v>
      </c>
      <c r="B14795" t="s">
        <v>35426</v>
      </c>
      <c r="C14795">
        <v>534</v>
      </c>
      <c r="D14795">
        <v>615</v>
      </c>
      <c r="E14795">
        <v>1577139481</v>
      </c>
      <c r="F14795">
        <v>1800</v>
      </c>
      <c r="G14795">
        <v>0</v>
      </c>
      <c r="H14795" t="s">
        <v>19641</v>
      </c>
      <c r="I14795">
        <v>16726</v>
      </c>
      <c r="J14795" t="str">
        <f>VLOOKUP(E14795,DSSpieler!A:B,2,FALSE)</f>
        <v>Storchenschnabel</v>
      </c>
    </row>
    <row r="14796" spans="1:10" x14ac:dyDescent="0.25">
      <c r="A14796">
        <v>16727</v>
      </c>
      <c r="B14796" t="s">
        <v>2545</v>
      </c>
      <c r="C14796">
        <v>568</v>
      </c>
      <c r="D14796">
        <v>398</v>
      </c>
      <c r="E14796">
        <v>9524091</v>
      </c>
      <c r="F14796">
        <v>2526</v>
      </c>
      <c r="G14796">
        <v>0</v>
      </c>
      <c r="H14796" t="s">
        <v>19642</v>
      </c>
      <c r="I14796">
        <v>16727</v>
      </c>
      <c r="J14796" t="str">
        <f>VLOOKUP(E14796,DSSpieler!A:B,2,FALSE)</f>
        <v>w1nchester</v>
      </c>
    </row>
    <row r="14797" spans="1:10" x14ac:dyDescent="0.25">
      <c r="A14797">
        <v>16728</v>
      </c>
      <c r="B14797" t="s">
        <v>531</v>
      </c>
      <c r="C14797">
        <v>602</v>
      </c>
      <c r="D14797">
        <v>432</v>
      </c>
      <c r="E14797">
        <v>0</v>
      </c>
      <c r="F14797">
        <v>405</v>
      </c>
      <c r="G14797">
        <v>0</v>
      </c>
      <c r="H14797" t="s">
        <v>19643</v>
      </c>
      <c r="I14797">
        <v>16728</v>
      </c>
      <c r="J14797" t="e">
        <f>VLOOKUP(E14797,DSSpieler!A:B,2,FALSE)</f>
        <v>#N/A</v>
      </c>
    </row>
    <row r="14798" spans="1:10" x14ac:dyDescent="0.25">
      <c r="A14798">
        <v>16729</v>
      </c>
      <c r="B14798" t="s">
        <v>531</v>
      </c>
      <c r="C14798">
        <v>620</v>
      </c>
      <c r="D14798">
        <v>500</v>
      </c>
      <c r="E14798">
        <v>0</v>
      </c>
      <c r="F14798">
        <v>44</v>
      </c>
      <c r="G14798">
        <v>0</v>
      </c>
      <c r="H14798" t="s">
        <v>19644</v>
      </c>
      <c r="I14798">
        <v>16729</v>
      </c>
      <c r="J14798" t="e">
        <f>VLOOKUP(E14798,DSSpieler!A:B,2,FALSE)</f>
        <v>#N/A</v>
      </c>
    </row>
    <row r="14799" spans="1:10" x14ac:dyDescent="0.25">
      <c r="A14799">
        <v>16731</v>
      </c>
      <c r="B14799" t="s">
        <v>35427</v>
      </c>
      <c r="C14799">
        <v>405</v>
      </c>
      <c r="D14799">
        <v>420</v>
      </c>
      <c r="E14799">
        <v>1577198855</v>
      </c>
      <c r="F14799">
        <v>573</v>
      </c>
      <c r="G14799">
        <v>0</v>
      </c>
      <c r="H14799" t="s">
        <v>19645</v>
      </c>
      <c r="I14799">
        <v>16731</v>
      </c>
      <c r="J14799" t="str">
        <f>VLOOKUP(E14799,DSSpieler!A:B,2,FALSE)</f>
        <v>Blackhell2301</v>
      </c>
    </row>
    <row r="14800" spans="1:10" x14ac:dyDescent="0.25">
      <c r="A14800">
        <v>16732</v>
      </c>
      <c r="B14800" t="s">
        <v>35428</v>
      </c>
      <c r="C14800">
        <v>541</v>
      </c>
      <c r="D14800">
        <v>614</v>
      </c>
      <c r="E14800">
        <v>1577143961</v>
      </c>
      <c r="F14800">
        <v>2054</v>
      </c>
      <c r="G14800">
        <v>0</v>
      </c>
      <c r="H14800" t="s">
        <v>19646</v>
      </c>
      <c r="I14800">
        <v>16732</v>
      </c>
      <c r="J14800" t="str">
        <f>VLOOKUP(E14800,DSSpieler!A:B,2,FALSE)</f>
        <v>pierce21686</v>
      </c>
    </row>
    <row r="14801" spans="1:10" x14ac:dyDescent="0.25">
      <c r="A14801">
        <v>16733</v>
      </c>
      <c r="B14801" t="s">
        <v>2546</v>
      </c>
      <c r="C14801">
        <v>405</v>
      </c>
      <c r="D14801">
        <v>422</v>
      </c>
      <c r="E14801">
        <v>1577204739</v>
      </c>
      <c r="F14801">
        <v>435</v>
      </c>
      <c r="G14801">
        <v>0</v>
      </c>
      <c r="H14801" t="s">
        <v>19647</v>
      </c>
      <c r="I14801">
        <v>16733</v>
      </c>
      <c r="J14801" t="str">
        <f>VLOOKUP(E14801,DSSpieler!A:B,2,FALSE)</f>
        <v>Schmidi2301</v>
      </c>
    </row>
    <row r="14802" spans="1:10" x14ac:dyDescent="0.25">
      <c r="A14802">
        <v>16734</v>
      </c>
      <c r="B14802" t="s">
        <v>531</v>
      </c>
      <c r="C14802">
        <v>393</v>
      </c>
      <c r="D14802">
        <v>435</v>
      </c>
      <c r="E14802">
        <v>0</v>
      </c>
      <c r="F14802">
        <v>93</v>
      </c>
      <c r="G14802">
        <v>0</v>
      </c>
      <c r="H14802" t="s">
        <v>19648</v>
      </c>
      <c r="I14802">
        <v>16734</v>
      </c>
      <c r="J14802" t="e">
        <f>VLOOKUP(E14802,DSSpieler!A:B,2,FALSE)</f>
        <v>#N/A</v>
      </c>
    </row>
    <row r="14803" spans="1:10" x14ac:dyDescent="0.25">
      <c r="A14803">
        <v>16735</v>
      </c>
      <c r="B14803" t="s">
        <v>2547</v>
      </c>
      <c r="C14803">
        <v>573</v>
      </c>
      <c r="D14803">
        <v>600</v>
      </c>
      <c r="E14803">
        <v>1577204741</v>
      </c>
      <c r="F14803">
        <v>3236</v>
      </c>
      <c r="G14803">
        <v>0</v>
      </c>
      <c r="H14803" t="s">
        <v>19649</v>
      </c>
      <c r="I14803">
        <v>16735</v>
      </c>
      <c r="J14803" t="str">
        <f>VLOOKUP(E14803,DSSpieler!A:B,2,FALSE)</f>
        <v>GyrosKatapult</v>
      </c>
    </row>
    <row r="14804" spans="1:10" x14ac:dyDescent="0.25">
      <c r="A14804">
        <v>16736</v>
      </c>
      <c r="B14804">
        <v>1</v>
      </c>
      <c r="C14804">
        <v>414</v>
      </c>
      <c r="D14804">
        <v>416</v>
      </c>
      <c r="E14804">
        <v>1577056373</v>
      </c>
      <c r="F14804">
        <v>382</v>
      </c>
      <c r="G14804">
        <v>0</v>
      </c>
      <c r="H14804" t="s">
        <v>19650</v>
      </c>
      <c r="I14804">
        <v>16736</v>
      </c>
      <c r="J14804" t="str">
        <f>VLOOKUP(E14804,DSSpieler!A:B,2,FALSE)</f>
        <v>Blackhell1</v>
      </c>
    </row>
    <row r="14805" spans="1:10" x14ac:dyDescent="0.25">
      <c r="A14805">
        <v>16737</v>
      </c>
      <c r="B14805" t="s">
        <v>35429</v>
      </c>
      <c r="C14805">
        <v>400</v>
      </c>
      <c r="D14805">
        <v>423</v>
      </c>
      <c r="E14805">
        <v>432238</v>
      </c>
      <c r="F14805">
        <v>2737</v>
      </c>
      <c r="G14805">
        <v>0</v>
      </c>
      <c r="H14805" t="s">
        <v>19651</v>
      </c>
      <c r="I14805">
        <v>16737</v>
      </c>
      <c r="J14805" t="str">
        <f>VLOOKUP(E14805,DSSpieler!A:B,2,FALSE)</f>
        <v>JayBe</v>
      </c>
    </row>
    <row r="14806" spans="1:10" x14ac:dyDescent="0.25">
      <c r="A14806">
        <v>16738</v>
      </c>
      <c r="B14806" t="s">
        <v>531</v>
      </c>
      <c r="C14806">
        <v>433</v>
      </c>
      <c r="D14806">
        <v>602</v>
      </c>
      <c r="E14806">
        <v>0</v>
      </c>
      <c r="F14806">
        <v>44</v>
      </c>
      <c r="G14806">
        <v>0</v>
      </c>
      <c r="H14806" t="s">
        <v>19652</v>
      </c>
      <c r="I14806">
        <v>16738</v>
      </c>
      <c r="J14806" t="e">
        <f>VLOOKUP(E14806,DSSpieler!A:B,2,FALSE)</f>
        <v>#N/A</v>
      </c>
    </row>
    <row r="14807" spans="1:10" x14ac:dyDescent="0.25">
      <c r="A14807">
        <v>16739</v>
      </c>
      <c r="B14807" t="s">
        <v>35430</v>
      </c>
      <c r="C14807">
        <v>613</v>
      </c>
      <c r="D14807">
        <v>562</v>
      </c>
      <c r="E14807">
        <v>1576697713</v>
      </c>
      <c r="F14807">
        <v>1341</v>
      </c>
      <c r="G14807">
        <v>0</v>
      </c>
      <c r="H14807" t="s">
        <v>19653</v>
      </c>
      <c r="I14807">
        <v>16739</v>
      </c>
      <c r="J14807" t="str">
        <f>VLOOKUP(E14807,DSSpieler!A:B,2,FALSE)</f>
        <v>Puzzels188</v>
      </c>
    </row>
    <row r="14808" spans="1:10" x14ac:dyDescent="0.25">
      <c r="A14808">
        <v>16740</v>
      </c>
      <c r="B14808" t="s">
        <v>35431</v>
      </c>
      <c r="C14808">
        <v>566</v>
      </c>
      <c r="D14808">
        <v>596</v>
      </c>
      <c r="E14808">
        <v>1577204751</v>
      </c>
      <c r="F14808">
        <v>2153</v>
      </c>
      <c r="G14808">
        <v>0</v>
      </c>
      <c r="H14808" t="s">
        <v>19654</v>
      </c>
      <c r="I14808">
        <v>16740</v>
      </c>
      <c r="J14808" t="str">
        <f>VLOOKUP(E14808,DSSpieler!A:B,2,FALSE)</f>
        <v>NurzurInfo</v>
      </c>
    </row>
    <row r="14809" spans="1:10" x14ac:dyDescent="0.25">
      <c r="A14809">
        <v>16741</v>
      </c>
      <c r="B14809" t="s">
        <v>1098</v>
      </c>
      <c r="C14809">
        <v>388</v>
      </c>
      <c r="D14809">
        <v>451</v>
      </c>
      <c r="E14809">
        <v>1576418085</v>
      </c>
      <c r="F14809">
        <v>2329</v>
      </c>
      <c r="G14809">
        <v>0</v>
      </c>
      <c r="H14809" t="s">
        <v>19655</v>
      </c>
      <c r="I14809">
        <v>16741</v>
      </c>
      <c r="J14809" t="str">
        <f>VLOOKUP(E14809,DSSpieler!A:B,2,FALSE)</f>
        <v>Elena59</v>
      </c>
    </row>
    <row r="14810" spans="1:10" x14ac:dyDescent="0.25">
      <c r="A14810">
        <v>16742</v>
      </c>
      <c r="B14810" t="s">
        <v>1304</v>
      </c>
      <c r="C14810">
        <v>474</v>
      </c>
      <c r="D14810">
        <v>617</v>
      </c>
      <c r="E14810">
        <v>1577204750</v>
      </c>
      <c r="F14810">
        <v>2854</v>
      </c>
      <c r="G14810">
        <v>0</v>
      </c>
      <c r="H14810" t="s">
        <v>19656</v>
      </c>
      <c r="I14810">
        <v>16742</v>
      </c>
      <c r="J14810" t="str">
        <f>VLOOKUP(E14810,DSSpieler!A:B,2,FALSE)</f>
        <v>DEL1VERY-</v>
      </c>
    </row>
    <row r="14811" spans="1:10" x14ac:dyDescent="0.25">
      <c r="A14811">
        <v>16744</v>
      </c>
      <c r="B14811" t="s">
        <v>2548</v>
      </c>
      <c r="C14811">
        <v>588</v>
      </c>
      <c r="D14811">
        <v>589</v>
      </c>
      <c r="E14811">
        <v>1577203529</v>
      </c>
      <c r="F14811">
        <v>2460</v>
      </c>
      <c r="G14811">
        <v>0</v>
      </c>
      <c r="H14811" t="s">
        <v>19657</v>
      </c>
      <c r="I14811">
        <v>16744</v>
      </c>
      <c r="J14811" t="str">
        <f>VLOOKUP(E14811,DSSpieler!A:B,2,FALSE)</f>
        <v>xxxCoCoxxx</v>
      </c>
    </row>
    <row r="14812" spans="1:10" x14ac:dyDescent="0.25">
      <c r="A14812">
        <v>16745</v>
      </c>
      <c r="B14812" t="s">
        <v>35432</v>
      </c>
      <c r="C14812">
        <v>590</v>
      </c>
      <c r="D14812">
        <v>576</v>
      </c>
      <c r="E14812">
        <v>1577185898</v>
      </c>
      <c r="F14812">
        <v>2315</v>
      </c>
      <c r="G14812">
        <v>0</v>
      </c>
      <c r="H14812" t="s">
        <v>19658</v>
      </c>
      <c r="I14812">
        <v>16745</v>
      </c>
      <c r="J14812" t="str">
        <f>VLOOKUP(E14812,DSSpieler!A:B,2,FALSE)</f>
        <v>xIncr3dible</v>
      </c>
    </row>
    <row r="14813" spans="1:10" x14ac:dyDescent="0.25">
      <c r="A14813">
        <v>16746</v>
      </c>
      <c r="B14813" t="s">
        <v>35433</v>
      </c>
      <c r="C14813">
        <v>593</v>
      </c>
      <c r="D14813">
        <v>584</v>
      </c>
      <c r="E14813">
        <v>1577203525</v>
      </c>
      <c r="F14813">
        <v>2378</v>
      </c>
      <c r="G14813">
        <v>0</v>
      </c>
      <c r="H14813" t="s">
        <v>19659</v>
      </c>
      <c r="I14813">
        <v>16746</v>
      </c>
      <c r="J14813" t="str">
        <f>VLOOKUP(E14813,DSSpieler!A:B,2,FALSE)</f>
        <v>JanaBananaMcHannah</v>
      </c>
    </row>
    <row r="14814" spans="1:10" x14ac:dyDescent="0.25">
      <c r="A14814">
        <v>16747</v>
      </c>
      <c r="B14814" t="s">
        <v>531</v>
      </c>
      <c r="C14814">
        <v>547</v>
      </c>
      <c r="D14814">
        <v>613</v>
      </c>
      <c r="E14814">
        <v>0</v>
      </c>
      <c r="F14814">
        <v>36</v>
      </c>
      <c r="G14814">
        <v>0</v>
      </c>
      <c r="H14814" t="s">
        <v>19660</v>
      </c>
      <c r="I14814">
        <v>16747</v>
      </c>
      <c r="J14814" t="e">
        <f>VLOOKUP(E14814,DSSpieler!A:B,2,FALSE)</f>
        <v>#N/A</v>
      </c>
    </row>
    <row r="14815" spans="1:10" x14ac:dyDescent="0.25">
      <c r="A14815">
        <v>16748</v>
      </c>
      <c r="B14815" t="s">
        <v>531</v>
      </c>
      <c r="C14815">
        <v>606</v>
      </c>
      <c r="D14815">
        <v>560</v>
      </c>
      <c r="E14815">
        <v>0</v>
      </c>
      <c r="F14815">
        <v>71</v>
      </c>
      <c r="G14815">
        <v>0</v>
      </c>
      <c r="H14815" t="s">
        <v>19661</v>
      </c>
      <c r="I14815">
        <v>16748</v>
      </c>
      <c r="J14815" t="e">
        <f>VLOOKUP(E14815,DSSpieler!A:B,2,FALSE)</f>
        <v>#N/A</v>
      </c>
    </row>
    <row r="14816" spans="1:10" x14ac:dyDescent="0.25">
      <c r="A14816">
        <v>16749</v>
      </c>
      <c r="B14816" t="s">
        <v>897</v>
      </c>
      <c r="C14816">
        <v>393</v>
      </c>
      <c r="D14816">
        <v>447</v>
      </c>
      <c r="E14816">
        <v>1576394964</v>
      </c>
      <c r="F14816">
        <v>2897</v>
      </c>
      <c r="G14816">
        <v>0</v>
      </c>
      <c r="H14816" t="s">
        <v>19662</v>
      </c>
      <c r="I14816">
        <v>16749</v>
      </c>
      <c r="J14816" t="str">
        <f>VLOOKUP(E14816,DSSpieler!A:B,2,FALSE)</f>
        <v>walker71</v>
      </c>
    </row>
    <row r="14817" spans="1:10" x14ac:dyDescent="0.25">
      <c r="A14817">
        <v>16750</v>
      </c>
      <c r="B14817" t="s">
        <v>531</v>
      </c>
      <c r="C14817">
        <v>381</v>
      </c>
      <c r="D14817">
        <v>463</v>
      </c>
      <c r="E14817">
        <v>0</v>
      </c>
      <c r="F14817">
        <v>420</v>
      </c>
      <c r="G14817">
        <v>0</v>
      </c>
      <c r="H14817" t="s">
        <v>19663</v>
      </c>
      <c r="I14817">
        <v>16750</v>
      </c>
      <c r="J14817" t="e">
        <f>VLOOKUP(E14817,DSSpieler!A:B,2,FALSE)</f>
        <v>#N/A</v>
      </c>
    </row>
    <row r="14818" spans="1:10" x14ac:dyDescent="0.25">
      <c r="A14818">
        <v>16751</v>
      </c>
      <c r="B14818" t="s">
        <v>531</v>
      </c>
      <c r="C14818">
        <v>495</v>
      </c>
      <c r="D14818">
        <v>375</v>
      </c>
      <c r="E14818">
        <v>0</v>
      </c>
      <c r="F14818">
        <v>104</v>
      </c>
      <c r="G14818">
        <v>0</v>
      </c>
      <c r="H14818" t="s">
        <v>19664</v>
      </c>
      <c r="I14818">
        <v>16751</v>
      </c>
      <c r="J14818" t="e">
        <f>VLOOKUP(E14818,DSSpieler!A:B,2,FALSE)</f>
        <v>#N/A</v>
      </c>
    </row>
    <row r="14819" spans="1:10" x14ac:dyDescent="0.25">
      <c r="A14819">
        <v>16752</v>
      </c>
      <c r="B14819" t="s">
        <v>531</v>
      </c>
      <c r="C14819">
        <v>434</v>
      </c>
      <c r="D14819">
        <v>592</v>
      </c>
      <c r="E14819">
        <v>0</v>
      </c>
      <c r="F14819">
        <v>316</v>
      </c>
      <c r="G14819">
        <v>0</v>
      </c>
      <c r="H14819" t="s">
        <v>19665</v>
      </c>
      <c r="I14819">
        <v>16752</v>
      </c>
      <c r="J14819" t="e">
        <f>VLOOKUP(E14819,DSSpieler!A:B,2,FALSE)</f>
        <v>#N/A</v>
      </c>
    </row>
    <row r="14820" spans="1:10" x14ac:dyDescent="0.25">
      <c r="A14820">
        <v>16753</v>
      </c>
      <c r="B14820" t="s">
        <v>531</v>
      </c>
      <c r="C14820">
        <v>404</v>
      </c>
      <c r="D14820">
        <v>420</v>
      </c>
      <c r="E14820">
        <v>0</v>
      </c>
      <c r="F14820">
        <v>121</v>
      </c>
      <c r="G14820">
        <v>0</v>
      </c>
      <c r="H14820" t="s">
        <v>19666</v>
      </c>
      <c r="I14820">
        <v>16753</v>
      </c>
      <c r="J14820" t="e">
        <f>VLOOKUP(E14820,DSSpieler!A:B,2,FALSE)</f>
        <v>#N/A</v>
      </c>
    </row>
    <row r="14821" spans="1:10" x14ac:dyDescent="0.25">
      <c r="A14821">
        <v>16754</v>
      </c>
      <c r="B14821" t="s">
        <v>531</v>
      </c>
      <c r="C14821">
        <v>388</v>
      </c>
      <c r="D14821">
        <v>454</v>
      </c>
      <c r="E14821">
        <v>0</v>
      </c>
      <c r="F14821">
        <v>75</v>
      </c>
      <c r="G14821">
        <v>0</v>
      </c>
      <c r="H14821" t="s">
        <v>19667</v>
      </c>
      <c r="I14821">
        <v>16754</v>
      </c>
      <c r="J14821" t="e">
        <f>VLOOKUP(E14821,DSSpieler!A:B,2,FALSE)</f>
        <v>#N/A</v>
      </c>
    </row>
    <row r="14822" spans="1:10" x14ac:dyDescent="0.25">
      <c r="A14822">
        <v>16755</v>
      </c>
      <c r="B14822" t="s">
        <v>2549</v>
      </c>
      <c r="C14822">
        <v>565</v>
      </c>
      <c r="D14822">
        <v>602</v>
      </c>
      <c r="E14822">
        <v>1577176263</v>
      </c>
      <c r="F14822">
        <v>2718</v>
      </c>
      <c r="G14822">
        <v>0</v>
      </c>
      <c r="H14822" t="s">
        <v>19668</v>
      </c>
      <c r="I14822">
        <v>16755</v>
      </c>
      <c r="J14822" t="str">
        <f>VLOOKUP(E14822,DSSpieler!A:B,2,FALSE)</f>
        <v>Spinatknedl</v>
      </c>
    </row>
    <row r="14823" spans="1:10" x14ac:dyDescent="0.25">
      <c r="A14823">
        <v>16756</v>
      </c>
      <c r="B14823" t="s">
        <v>531</v>
      </c>
      <c r="C14823">
        <v>373</v>
      </c>
      <c r="D14823">
        <v>483</v>
      </c>
      <c r="E14823">
        <v>0</v>
      </c>
      <c r="F14823">
        <v>514</v>
      </c>
      <c r="G14823">
        <v>0</v>
      </c>
      <c r="H14823" t="s">
        <v>19669</v>
      </c>
      <c r="I14823">
        <v>16756</v>
      </c>
      <c r="J14823" t="e">
        <f>VLOOKUP(E14823,DSSpieler!A:B,2,FALSE)</f>
        <v>#N/A</v>
      </c>
    </row>
    <row r="14824" spans="1:10" x14ac:dyDescent="0.25">
      <c r="A14824">
        <v>16757</v>
      </c>
      <c r="B14824" t="s">
        <v>531</v>
      </c>
      <c r="C14824">
        <v>410</v>
      </c>
      <c r="D14824">
        <v>580</v>
      </c>
      <c r="E14824">
        <v>0</v>
      </c>
      <c r="F14824">
        <v>190</v>
      </c>
      <c r="G14824">
        <v>0</v>
      </c>
      <c r="H14824" t="s">
        <v>19670</v>
      </c>
      <c r="I14824">
        <v>16757</v>
      </c>
      <c r="J14824" t="e">
        <f>VLOOKUP(E14824,DSSpieler!A:B,2,FALSE)</f>
        <v>#N/A</v>
      </c>
    </row>
    <row r="14825" spans="1:10" x14ac:dyDescent="0.25">
      <c r="A14825">
        <v>16758</v>
      </c>
      <c r="B14825" t="s">
        <v>531</v>
      </c>
      <c r="C14825">
        <v>386</v>
      </c>
      <c r="D14825">
        <v>461</v>
      </c>
      <c r="E14825">
        <v>0</v>
      </c>
      <c r="F14825">
        <v>334</v>
      </c>
      <c r="G14825">
        <v>0</v>
      </c>
      <c r="H14825" t="s">
        <v>19671</v>
      </c>
      <c r="I14825">
        <v>16758</v>
      </c>
      <c r="J14825" t="e">
        <f>VLOOKUP(E14825,DSSpieler!A:B,2,FALSE)</f>
        <v>#N/A</v>
      </c>
    </row>
    <row r="14826" spans="1:10" x14ac:dyDescent="0.25">
      <c r="A14826">
        <v>16759</v>
      </c>
      <c r="B14826" t="s">
        <v>531</v>
      </c>
      <c r="C14826">
        <v>382</v>
      </c>
      <c r="D14826">
        <v>482</v>
      </c>
      <c r="E14826">
        <v>0</v>
      </c>
      <c r="F14826">
        <v>305</v>
      </c>
      <c r="G14826">
        <v>0</v>
      </c>
      <c r="H14826" t="s">
        <v>19672</v>
      </c>
      <c r="I14826">
        <v>16759</v>
      </c>
      <c r="J14826" t="e">
        <f>VLOOKUP(E14826,DSSpieler!A:B,2,FALSE)</f>
        <v>#N/A</v>
      </c>
    </row>
    <row r="14827" spans="1:10" x14ac:dyDescent="0.25">
      <c r="A14827">
        <v>16761</v>
      </c>
      <c r="B14827" t="s">
        <v>531</v>
      </c>
      <c r="C14827">
        <v>381</v>
      </c>
      <c r="D14827">
        <v>493</v>
      </c>
      <c r="E14827">
        <v>0</v>
      </c>
      <c r="F14827">
        <v>260</v>
      </c>
      <c r="G14827">
        <v>0</v>
      </c>
      <c r="H14827" t="s">
        <v>19673</v>
      </c>
      <c r="I14827">
        <v>16761</v>
      </c>
      <c r="J14827" t="e">
        <f>VLOOKUP(E14827,DSSpieler!A:B,2,FALSE)</f>
        <v>#N/A</v>
      </c>
    </row>
    <row r="14828" spans="1:10" x14ac:dyDescent="0.25">
      <c r="A14828">
        <v>16762</v>
      </c>
      <c r="B14828" t="s">
        <v>2550</v>
      </c>
      <c r="C14828">
        <v>578</v>
      </c>
      <c r="D14828">
        <v>597</v>
      </c>
      <c r="E14828">
        <v>2293610</v>
      </c>
      <c r="F14828">
        <v>2051</v>
      </c>
      <c r="G14828">
        <v>0</v>
      </c>
      <c r="H14828" t="s">
        <v>19674</v>
      </c>
      <c r="I14828">
        <v>16762</v>
      </c>
      <c r="J14828" t="str">
        <f>VLOOKUP(E14828,DSSpieler!A:B,2,FALSE)</f>
        <v>Sanderbs</v>
      </c>
    </row>
    <row r="14829" spans="1:10" x14ac:dyDescent="0.25">
      <c r="A14829">
        <v>16763</v>
      </c>
      <c r="B14829" t="s">
        <v>531</v>
      </c>
      <c r="C14829">
        <v>411</v>
      </c>
      <c r="D14829">
        <v>584</v>
      </c>
      <c r="E14829">
        <v>0</v>
      </c>
      <c r="F14829">
        <v>376</v>
      </c>
      <c r="G14829">
        <v>0</v>
      </c>
      <c r="H14829" t="s">
        <v>19675</v>
      </c>
      <c r="I14829">
        <v>16763</v>
      </c>
      <c r="J14829" t="e">
        <f>VLOOKUP(E14829,DSSpieler!A:B,2,FALSE)</f>
        <v>#N/A</v>
      </c>
    </row>
    <row r="14830" spans="1:10" x14ac:dyDescent="0.25">
      <c r="A14830">
        <v>16764</v>
      </c>
      <c r="B14830" t="s">
        <v>35434</v>
      </c>
      <c r="C14830">
        <v>400</v>
      </c>
      <c r="D14830">
        <v>575</v>
      </c>
      <c r="E14830">
        <v>1577203254</v>
      </c>
      <c r="F14830">
        <v>183</v>
      </c>
      <c r="G14830">
        <v>0</v>
      </c>
      <c r="H14830" t="s">
        <v>19676</v>
      </c>
      <c r="I14830">
        <v>16764</v>
      </c>
      <c r="J14830" t="str">
        <f>VLOOKUP(E14830,DSSpieler!A:B,2,FALSE)</f>
        <v>Gustello</v>
      </c>
    </row>
    <row r="14831" spans="1:10" x14ac:dyDescent="0.25">
      <c r="A14831">
        <v>16766</v>
      </c>
      <c r="B14831" t="s">
        <v>30649</v>
      </c>
      <c r="C14831">
        <v>486</v>
      </c>
      <c r="D14831">
        <v>425</v>
      </c>
      <c r="E14831">
        <v>1625165</v>
      </c>
      <c r="F14831">
        <v>1477</v>
      </c>
      <c r="G14831">
        <v>0</v>
      </c>
      <c r="H14831" t="s">
        <v>19677</v>
      </c>
      <c r="I14831">
        <v>16766</v>
      </c>
      <c r="J14831" t="str">
        <f>VLOOKUP(E14831,DSSpieler!A:B,2,FALSE)</f>
        <v>kev-king</v>
      </c>
    </row>
    <row r="14832" spans="1:10" x14ac:dyDescent="0.25">
      <c r="A14832">
        <v>16767</v>
      </c>
      <c r="B14832" t="s">
        <v>531</v>
      </c>
      <c r="C14832">
        <v>378</v>
      </c>
      <c r="D14832">
        <v>488</v>
      </c>
      <c r="E14832">
        <v>0</v>
      </c>
      <c r="F14832">
        <v>60</v>
      </c>
      <c r="G14832">
        <v>0</v>
      </c>
      <c r="H14832" t="s">
        <v>19678</v>
      </c>
      <c r="I14832">
        <v>16767</v>
      </c>
      <c r="J14832" t="e">
        <f>VLOOKUP(E14832,DSSpieler!A:B,2,FALSE)</f>
        <v>#N/A</v>
      </c>
    </row>
    <row r="14833" spans="1:10" x14ac:dyDescent="0.25">
      <c r="A14833">
        <v>16768</v>
      </c>
      <c r="B14833" t="s">
        <v>531</v>
      </c>
      <c r="C14833">
        <v>618</v>
      </c>
      <c r="D14833">
        <v>471</v>
      </c>
      <c r="E14833">
        <v>0</v>
      </c>
      <c r="F14833">
        <v>183</v>
      </c>
      <c r="G14833">
        <v>0</v>
      </c>
      <c r="H14833" t="s">
        <v>19679</v>
      </c>
      <c r="I14833">
        <v>16768</v>
      </c>
      <c r="J14833" t="e">
        <f>VLOOKUP(E14833,DSSpieler!A:B,2,FALSE)</f>
        <v>#N/A</v>
      </c>
    </row>
    <row r="14834" spans="1:10" x14ac:dyDescent="0.25">
      <c r="A14834">
        <v>16769</v>
      </c>
      <c r="B14834" t="s">
        <v>531</v>
      </c>
      <c r="C14834">
        <v>391</v>
      </c>
      <c r="D14834">
        <v>449</v>
      </c>
      <c r="E14834">
        <v>0</v>
      </c>
      <c r="F14834">
        <v>304</v>
      </c>
      <c r="G14834">
        <v>0</v>
      </c>
      <c r="H14834" t="s">
        <v>19680</v>
      </c>
      <c r="I14834">
        <v>16769</v>
      </c>
      <c r="J14834" t="e">
        <f>VLOOKUP(E14834,DSSpieler!A:B,2,FALSE)</f>
        <v>#N/A</v>
      </c>
    </row>
    <row r="14835" spans="1:10" x14ac:dyDescent="0.25">
      <c r="A14835">
        <v>16770</v>
      </c>
      <c r="B14835" t="s">
        <v>30495</v>
      </c>
      <c r="C14835">
        <v>587</v>
      </c>
      <c r="D14835">
        <v>422</v>
      </c>
      <c r="E14835">
        <v>1577204833</v>
      </c>
      <c r="F14835">
        <v>1080</v>
      </c>
      <c r="G14835">
        <v>0</v>
      </c>
      <c r="H14835" t="s">
        <v>19681</v>
      </c>
      <c r="I14835">
        <v>16770</v>
      </c>
      <c r="J14835" t="str">
        <f>VLOOKUP(E14835,DSSpieler!A:B,2,FALSE)</f>
        <v>f... y..</v>
      </c>
    </row>
    <row r="14836" spans="1:10" x14ac:dyDescent="0.25">
      <c r="A14836">
        <v>16771</v>
      </c>
      <c r="B14836" t="s">
        <v>531</v>
      </c>
      <c r="C14836">
        <v>609</v>
      </c>
      <c r="D14836">
        <v>445</v>
      </c>
      <c r="E14836">
        <v>0</v>
      </c>
      <c r="F14836">
        <v>134</v>
      </c>
      <c r="G14836">
        <v>0</v>
      </c>
      <c r="H14836" t="s">
        <v>19682</v>
      </c>
      <c r="I14836">
        <v>16771</v>
      </c>
      <c r="J14836" t="e">
        <f>VLOOKUP(E14836,DSSpieler!A:B,2,FALSE)</f>
        <v>#N/A</v>
      </c>
    </row>
    <row r="14837" spans="1:10" x14ac:dyDescent="0.25">
      <c r="A14837">
        <v>16772</v>
      </c>
      <c r="B14837" t="s">
        <v>35435</v>
      </c>
      <c r="C14837">
        <v>398</v>
      </c>
      <c r="D14837">
        <v>445</v>
      </c>
      <c r="E14837">
        <v>7996503</v>
      </c>
      <c r="F14837">
        <v>3316</v>
      </c>
      <c r="G14837">
        <v>0</v>
      </c>
      <c r="H14837" t="s">
        <v>19683</v>
      </c>
      <c r="I14837">
        <v>16772</v>
      </c>
      <c r="J14837" t="str">
        <f>VLOOKUP(E14837,DSSpieler!A:B,2,FALSE)</f>
        <v>KingTiger63</v>
      </c>
    </row>
    <row r="14838" spans="1:10" x14ac:dyDescent="0.25">
      <c r="A14838">
        <v>16773</v>
      </c>
      <c r="B14838" t="s">
        <v>35436</v>
      </c>
      <c r="C14838">
        <v>598</v>
      </c>
      <c r="D14838">
        <v>578</v>
      </c>
      <c r="E14838">
        <v>1577203820</v>
      </c>
      <c r="F14838">
        <v>422</v>
      </c>
      <c r="G14838">
        <v>0</v>
      </c>
      <c r="H14838" t="s">
        <v>19684</v>
      </c>
      <c r="I14838">
        <v>16773</v>
      </c>
      <c r="J14838" t="str">
        <f>VLOOKUP(E14838,DSSpieler!A:B,2,FALSE)</f>
        <v>Tchipo</v>
      </c>
    </row>
    <row r="14839" spans="1:10" x14ac:dyDescent="0.25">
      <c r="A14839">
        <v>16774</v>
      </c>
      <c r="B14839" t="s">
        <v>35437</v>
      </c>
      <c r="C14839">
        <v>499</v>
      </c>
      <c r="D14839">
        <v>510</v>
      </c>
      <c r="E14839">
        <v>1577195483</v>
      </c>
      <c r="F14839">
        <v>1877</v>
      </c>
      <c r="G14839">
        <v>0</v>
      </c>
      <c r="H14839" t="s">
        <v>19685</v>
      </c>
      <c r="I14839">
        <v>16774</v>
      </c>
      <c r="J14839" t="str">
        <f>VLOOKUP(E14839,DSSpieler!A:B,2,FALSE)</f>
        <v>Streak94</v>
      </c>
    </row>
    <row r="14840" spans="1:10" x14ac:dyDescent="0.25">
      <c r="A14840">
        <v>16775</v>
      </c>
      <c r="B14840" t="s">
        <v>2551</v>
      </c>
      <c r="C14840">
        <v>385</v>
      </c>
      <c r="D14840">
        <v>458</v>
      </c>
      <c r="E14840">
        <v>10193389</v>
      </c>
      <c r="F14840">
        <v>395</v>
      </c>
      <c r="G14840">
        <v>0</v>
      </c>
      <c r="H14840" t="s">
        <v>19686</v>
      </c>
      <c r="I14840">
        <v>16775</v>
      </c>
      <c r="J14840" t="str">
        <f>VLOOKUP(E14840,DSSpieler!A:B,2,FALSE)</f>
        <v>Hagen von Z.</v>
      </c>
    </row>
    <row r="14841" spans="1:10" x14ac:dyDescent="0.25">
      <c r="A14841">
        <v>16776</v>
      </c>
      <c r="B14841" t="s">
        <v>531</v>
      </c>
      <c r="C14841">
        <v>398</v>
      </c>
      <c r="D14841">
        <v>432</v>
      </c>
      <c r="E14841">
        <v>0</v>
      </c>
      <c r="F14841">
        <v>161</v>
      </c>
      <c r="G14841">
        <v>0</v>
      </c>
      <c r="H14841" t="s">
        <v>19687</v>
      </c>
      <c r="I14841">
        <v>16776</v>
      </c>
      <c r="J14841" t="e">
        <f>VLOOKUP(E14841,DSSpieler!A:B,2,FALSE)</f>
        <v>#N/A</v>
      </c>
    </row>
    <row r="14842" spans="1:10" x14ac:dyDescent="0.25">
      <c r="A14842">
        <v>16777</v>
      </c>
      <c r="B14842" t="s">
        <v>35438</v>
      </c>
      <c r="C14842">
        <v>591</v>
      </c>
      <c r="D14842">
        <v>416</v>
      </c>
      <c r="E14842">
        <v>1758644</v>
      </c>
      <c r="F14842">
        <v>2964</v>
      </c>
      <c r="G14842">
        <v>0</v>
      </c>
      <c r="H14842" t="s">
        <v>19688</v>
      </c>
      <c r="I14842">
        <v>16777</v>
      </c>
      <c r="J14842" t="str">
        <f>VLOOKUP(E14842,DSSpieler!A:B,2,FALSE)</f>
        <v>Mac der Mächtige</v>
      </c>
    </row>
    <row r="14843" spans="1:10" x14ac:dyDescent="0.25">
      <c r="A14843">
        <v>16778</v>
      </c>
      <c r="B14843" t="s">
        <v>35439</v>
      </c>
      <c r="C14843">
        <v>577</v>
      </c>
      <c r="D14843">
        <v>600</v>
      </c>
      <c r="E14843">
        <v>9590448</v>
      </c>
      <c r="F14843">
        <v>872</v>
      </c>
      <c r="G14843">
        <v>0</v>
      </c>
      <c r="H14843" t="s">
        <v>19689</v>
      </c>
      <c r="I14843">
        <v>16778</v>
      </c>
      <c r="J14843" t="str">
        <f>VLOOKUP(E14843,DSSpieler!A:B,2,FALSE)</f>
        <v>Bossi39</v>
      </c>
    </row>
    <row r="14844" spans="1:10" x14ac:dyDescent="0.25">
      <c r="A14844">
        <v>16779</v>
      </c>
      <c r="B14844" t="s">
        <v>2552</v>
      </c>
      <c r="C14844">
        <v>384</v>
      </c>
      <c r="D14844">
        <v>487</v>
      </c>
      <c r="E14844">
        <v>1577199465</v>
      </c>
      <c r="F14844">
        <v>697</v>
      </c>
      <c r="G14844">
        <v>0</v>
      </c>
      <c r="H14844" t="s">
        <v>19690</v>
      </c>
      <c r="I14844">
        <v>16779</v>
      </c>
      <c r="J14844" t="str">
        <f>VLOOKUP(E14844,DSSpieler!A:B,2,FALSE)</f>
        <v>DorfTrottel</v>
      </c>
    </row>
    <row r="14845" spans="1:10" x14ac:dyDescent="0.25">
      <c r="A14845">
        <v>16780</v>
      </c>
      <c r="B14845" t="s">
        <v>531</v>
      </c>
      <c r="C14845">
        <v>557</v>
      </c>
      <c r="D14845">
        <v>391</v>
      </c>
      <c r="E14845">
        <v>0</v>
      </c>
      <c r="F14845">
        <v>107</v>
      </c>
      <c r="G14845">
        <v>0</v>
      </c>
      <c r="H14845" t="s">
        <v>19691</v>
      </c>
      <c r="I14845">
        <v>16780</v>
      </c>
      <c r="J14845" t="e">
        <f>VLOOKUP(E14845,DSSpieler!A:B,2,FALSE)</f>
        <v>#N/A</v>
      </c>
    </row>
    <row r="14846" spans="1:10" x14ac:dyDescent="0.25">
      <c r="A14846">
        <v>16781</v>
      </c>
      <c r="B14846" t="s">
        <v>531</v>
      </c>
      <c r="C14846">
        <v>618</v>
      </c>
      <c r="D14846">
        <v>522</v>
      </c>
      <c r="E14846">
        <v>0</v>
      </c>
      <c r="F14846">
        <v>218</v>
      </c>
      <c r="G14846">
        <v>0</v>
      </c>
      <c r="H14846" t="s">
        <v>19692</v>
      </c>
      <c r="I14846">
        <v>16781</v>
      </c>
      <c r="J14846" t="e">
        <f>VLOOKUP(E14846,DSSpieler!A:B,2,FALSE)</f>
        <v>#N/A</v>
      </c>
    </row>
    <row r="14847" spans="1:10" x14ac:dyDescent="0.25">
      <c r="A14847">
        <v>16782</v>
      </c>
      <c r="B14847" t="s">
        <v>531</v>
      </c>
      <c r="C14847">
        <v>433</v>
      </c>
      <c r="D14847">
        <v>399</v>
      </c>
      <c r="E14847">
        <v>0</v>
      </c>
      <c r="F14847">
        <v>91</v>
      </c>
      <c r="G14847">
        <v>0</v>
      </c>
      <c r="H14847" t="s">
        <v>19693</v>
      </c>
      <c r="I14847">
        <v>16782</v>
      </c>
      <c r="J14847" t="e">
        <f>VLOOKUP(E14847,DSSpieler!A:B,2,FALSE)</f>
        <v>#N/A</v>
      </c>
    </row>
    <row r="14848" spans="1:10" x14ac:dyDescent="0.25">
      <c r="A14848">
        <v>16783</v>
      </c>
      <c r="B14848" t="s">
        <v>35440</v>
      </c>
      <c r="C14848">
        <v>389</v>
      </c>
      <c r="D14848">
        <v>537</v>
      </c>
      <c r="E14848">
        <v>1577202534</v>
      </c>
      <c r="F14848">
        <v>1176</v>
      </c>
      <c r="G14848">
        <v>0</v>
      </c>
      <c r="H14848" t="s">
        <v>19694</v>
      </c>
      <c r="I14848">
        <v>16783</v>
      </c>
      <c r="J14848" t="str">
        <f>VLOOKUP(E14848,DSSpieler!A:B,2,FALSE)</f>
        <v>Legendaryy</v>
      </c>
    </row>
    <row r="14849" spans="1:10" x14ac:dyDescent="0.25">
      <c r="A14849">
        <v>16784</v>
      </c>
      <c r="B14849" t="s">
        <v>35441</v>
      </c>
      <c r="C14849">
        <v>618</v>
      </c>
      <c r="D14849">
        <v>470</v>
      </c>
      <c r="E14849">
        <v>1296370</v>
      </c>
      <c r="F14849">
        <v>446</v>
      </c>
      <c r="G14849">
        <v>0</v>
      </c>
      <c r="H14849" t="s">
        <v>19695</v>
      </c>
      <c r="I14849">
        <v>16784</v>
      </c>
      <c r="J14849" t="str">
        <f>VLOOKUP(E14849,DSSpieler!A:B,2,FALSE)</f>
        <v>Tanitha</v>
      </c>
    </row>
    <row r="14850" spans="1:10" x14ac:dyDescent="0.25">
      <c r="A14850">
        <v>16785</v>
      </c>
      <c r="B14850" t="s">
        <v>2553</v>
      </c>
      <c r="C14850">
        <v>577</v>
      </c>
      <c r="D14850">
        <v>602</v>
      </c>
      <c r="E14850">
        <v>1577204852</v>
      </c>
      <c r="F14850">
        <v>1514</v>
      </c>
      <c r="G14850">
        <v>0</v>
      </c>
      <c r="H14850" t="s">
        <v>19696</v>
      </c>
      <c r="I14850">
        <v>16785</v>
      </c>
      <c r="J14850" t="str">
        <f>VLOOKUP(E14850,DSSpieler!A:B,2,FALSE)</f>
        <v>Wabbodermeister</v>
      </c>
    </row>
    <row r="14851" spans="1:10" x14ac:dyDescent="0.25">
      <c r="A14851">
        <v>16786</v>
      </c>
      <c r="B14851" t="s">
        <v>35442</v>
      </c>
      <c r="C14851">
        <v>626</v>
      </c>
      <c r="D14851">
        <v>471</v>
      </c>
      <c r="E14851">
        <v>1259273</v>
      </c>
      <c r="F14851">
        <v>635</v>
      </c>
      <c r="G14851">
        <v>0</v>
      </c>
      <c r="H14851" t="s">
        <v>19697</v>
      </c>
      <c r="I14851">
        <v>16786</v>
      </c>
      <c r="J14851" t="str">
        <f>VLOOKUP(E14851,DSSpieler!A:B,2,FALSE)</f>
        <v>portobello</v>
      </c>
    </row>
    <row r="14852" spans="1:10" x14ac:dyDescent="0.25">
      <c r="A14852">
        <v>16788</v>
      </c>
      <c r="B14852" t="s">
        <v>35443</v>
      </c>
      <c r="C14852">
        <v>614</v>
      </c>
      <c r="D14852">
        <v>553</v>
      </c>
      <c r="E14852">
        <v>1576647134</v>
      </c>
      <c r="F14852">
        <v>1542</v>
      </c>
      <c r="G14852">
        <v>0</v>
      </c>
      <c r="H14852" t="s">
        <v>19698</v>
      </c>
      <c r="I14852">
        <v>16788</v>
      </c>
      <c r="J14852" t="str">
        <f>VLOOKUP(E14852,DSSpieler!A:B,2,FALSE)</f>
        <v>Hutzu</v>
      </c>
    </row>
    <row r="14853" spans="1:10" x14ac:dyDescent="0.25">
      <c r="A14853">
        <v>16789</v>
      </c>
      <c r="B14853" t="s">
        <v>531</v>
      </c>
      <c r="C14853">
        <v>600</v>
      </c>
      <c r="D14853">
        <v>425</v>
      </c>
      <c r="E14853">
        <v>0</v>
      </c>
      <c r="F14853">
        <v>96</v>
      </c>
      <c r="G14853">
        <v>0</v>
      </c>
      <c r="H14853" t="s">
        <v>19699</v>
      </c>
      <c r="I14853">
        <v>16789</v>
      </c>
      <c r="J14853" t="e">
        <f>VLOOKUP(E14853,DSSpieler!A:B,2,FALSE)</f>
        <v>#N/A</v>
      </c>
    </row>
    <row r="14854" spans="1:10" x14ac:dyDescent="0.25">
      <c r="A14854">
        <v>16790</v>
      </c>
      <c r="B14854" t="s">
        <v>531</v>
      </c>
      <c r="C14854">
        <v>445</v>
      </c>
      <c r="D14854">
        <v>590</v>
      </c>
      <c r="E14854">
        <v>0</v>
      </c>
      <c r="F14854">
        <v>58</v>
      </c>
      <c r="G14854">
        <v>0</v>
      </c>
      <c r="H14854" t="s">
        <v>19700</v>
      </c>
      <c r="I14854">
        <v>16790</v>
      </c>
      <c r="J14854" t="e">
        <f>VLOOKUP(E14854,DSSpieler!A:B,2,FALSE)</f>
        <v>#N/A</v>
      </c>
    </row>
    <row r="14855" spans="1:10" x14ac:dyDescent="0.25">
      <c r="A14855">
        <v>16793</v>
      </c>
      <c r="B14855" t="s">
        <v>35444</v>
      </c>
      <c r="C14855">
        <v>424</v>
      </c>
      <c r="D14855">
        <v>449</v>
      </c>
      <c r="E14855">
        <v>1577197787</v>
      </c>
      <c r="F14855">
        <v>1362</v>
      </c>
      <c r="G14855">
        <v>0</v>
      </c>
      <c r="H14855" t="s">
        <v>19701</v>
      </c>
      <c r="I14855">
        <v>16793</v>
      </c>
      <c r="J14855" t="str">
        <f>VLOOKUP(E14855,DSSpieler!A:B,2,FALSE)</f>
        <v>Leeeeeni</v>
      </c>
    </row>
    <row r="14856" spans="1:10" x14ac:dyDescent="0.25">
      <c r="A14856">
        <v>16794</v>
      </c>
      <c r="B14856" t="s">
        <v>531</v>
      </c>
      <c r="C14856">
        <v>374</v>
      </c>
      <c r="D14856">
        <v>499</v>
      </c>
      <c r="E14856">
        <v>0</v>
      </c>
      <c r="F14856">
        <v>246</v>
      </c>
      <c r="G14856">
        <v>0</v>
      </c>
      <c r="H14856" t="s">
        <v>19702</v>
      </c>
      <c r="I14856">
        <v>16794</v>
      </c>
      <c r="J14856" t="e">
        <f>VLOOKUP(E14856,DSSpieler!A:B,2,FALSE)</f>
        <v>#N/A</v>
      </c>
    </row>
    <row r="14857" spans="1:10" x14ac:dyDescent="0.25">
      <c r="A14857">
        <v>16795</v>
      </c>
      <c r="B14857" t="s">
        <v>35445</v>
      </c>
      <c r="C14857">
        <v>622</v>
      </c>
      <c r="D14857">
        <v>480</v>
      </c>
      <c r="E14857">
        <v>1577179877</v>
      </c>
      <c r="F14857">
        <v>2496</v>
      </c>
      <c r="G14857">
        <v>0</v>
      </c>
      <c r="H14857" t="s">
        <v>19703</v>
      </c>
      <c r="I14857">
        <v>16795</v>
      </c>
      <c r="J14857" t="str">
        <f>VLOOKUP(E14857,DSSpieler!A:B,2,FALSE)</f>
        <v>The Chapel</v>
      </c>
    </row>
    <row r="14858" spans="1:10" x14ac:dyDescent="0.25">
      <c r="A14858">
        <v>16796</v>
      </c>
      <c r="B14858" t="s">
        <v>531</v>
      </c>
      <c r="C14858">
        <v>379</v>
      </c>
      <c r="D14858">
        <v>500</v>
      </c>
      <c r="E14858">
        <v>0</v>
      </c>
      <c r="F14858">
        <v>63</v>
      </c>
      <c r="G14858">
        <v>0</v>
      </c>
      <c r="H14858" t="s">
        <v>19704</v>
      </c>
      <c r="I14858">
        <v>16796</v>
      </c>
      <c r="J14858" t="e">
        <f>VLOOKUP(E14858,DSSpieler!A:B,2,FALSE)</f>
        <v>#N/A</v>
      </c>
    </row>
    <row r="14859" spans="1:10" x14ac:dyDescent="0.25">
      <c r="A14859">
        <v>16797</v>
      </c>
      <c r="B14859" t="s">
        <v>2554</v>
      </c>
      <c r="C14859">
        <v>572</v>
      </c>
      <c r="D14859">
        <v>399</v>
      </c>
      <c r="E14859">
        <v>1577195316</v>
      </c>
      <c r="F14859">
        <v>2064</v>
      </c>
      <c r="G14859">
        <v>0</v>
      </c>
      <c r="H14859" t="s">
        <v>19705</v>
      </c>
      <c r="I14859">
        <v>16797</v>
      </c>
      <c r="J14859" t="str">
        <f>VLOOKUP(E14859,DSSpieler!A:B,2,FALSE)</f>
        <v>ProfessorHastig</v>
      </c>
    </row>
    <row r="14860" spans="1:10" x14ac:dyDescent="0.25">
      <c r="A14860">
        <v>16798</v>
      </c>
      <c r="B14860" t="s">
        <v>531</v>
      </c>
      <c r="C14860">
        <v>398</v>
      </c>
      <c r="D14860">
        <v>549</v>
      </c>
      <c r="E14860">
        <v>0</v>
      </c>
      <c r="F14860">
        <v>242</v>
      </c>
      <c r="G14860">
        <v>0</v>
      </c>
      <c r="H14860" t="s">
        <v>19706</v>
      </c>
      <c r="I14860">
        <v>16798</v>
      </c>
      <c r="J14860" t="e">
        <f>VLOOKUP(E14860,DSSpieler!A:B,2,FALSE)</f>
        <v>#N/A</v>
      </c>
    </row>
    <row r="14861" spans="1:10" x14ac:dyDescent="0.25">
      <c r="A14861">
        <v>16799</v>
      </c>
      <c r="B14861" t="s">
        <v>1417</v>
      </c>
      <c r="C14861">
        <v>573</v>
      </c>
      <c r="D14861">
        <v>599</v>
      </c>
      <c r="E14861">
        <v>9545484</v>
      </c>
      <c r="F14861">
        <v>2190</v>
      </c>
      <c r="G14861">
        <v>0</v>
      </c>
      <c r="H14861" t="s">
        <v>19707</v>
      </c>
      <c r="I14861">
        <v>16799</v>
      </c>
      <c r="J14861" t="str">
        <f>VLOOKUP(E14861,DSSpieler!A:B,2,FALSE)</f>
        <v>eisiluci</v>
      </c>
    </row>
    <row r="14862" spans="1:10" x14ac:dyDescent="0.25">
      <c r="A14862">
        <v>16800</v>
      </c>
      <c r="B14862" t="s">
        <v>531</v>
      </c>
      <c r="C14862">
        <v>602</v>
      </c>
      <c r="D14862">
        <v>565</v>
      </c>
      <c r="E14862">
        <v>0</v>
      </c>
      <c r="F14862">
        <v>253</v>
      </c>
      <c r="G14862">
        <v>0</v>
      </c>
      <c r="H14862" t="s">
        <v>19708</v>
      </c>
      <c r="I14862">
        <v>16800</v>
      </c>
      <c r="J14862" t="e">
        <f>VLOOKUP(E14862,DSSpieler!A:B,2,FALSE)</f>
        <v>#N/A</v>
      </c>
    </row>
    <row r="14863" spans="1:10" x14ac:dyDescent="0.25">
      <c r="A14863">
        <v>16801</v>
      </c>
      <c r="B14863" t="s">
        <v>531</v>
      </c>
      <c r="C14863">
        <v>385</v>
      </c>
      <c r="D14863">
        <v>539</v>
      </c>
      <c r="E14863">
        <v>0</v>
      </c>
      <c r="F14863">
        <v>150</v>
      </c>
      <c r="G14863">
        <v>0</v>
      </c>
      <c r="H14863" t="s">
        <v>19709</v>
      </c>
      <c r="I14863">
        <v>16801</v>
      </c>
      <c r="J14863" t="e">
        <f>VLOOKUP(E14863,DSSpieler!A:B,2,FALSE)</f>
        <v>#N/A</v>
      </c>
    </row>
    <row r="14864" spans="1:10" x14ac:dyDescent="0.25">
      <c r="A14864">
        <v>16802</v>
      </c>
      <c r="B14864" t="s">
        <v>2555</v>
      </c>
      <c r="C14864">
        <v>445</v>
      </c>
      <c r="D14864">
        <v>390</v>
      </c>
      <c r="E14864">
        <v>1577198299</v>
      </c>
      <c r="F14864">
        <v>388</v>
      </c>
      <c r="G14864">
        <v>0</v>
      </c>
      <c r="H14864" t="s">
        <v>19710</v>
      </c>
      <c r="I14864">
        <v>16802</v>
      </c>
      <c r="J14864" t="str">
        <f>VLOOKUP(E14864,DSSpieler!A:B,2,FALSE)</f>
        <v>ninja96</v>
      </c>
    </row>
    <row r="14865" spans="1:10" x14ac:dyDescent="0.25">
      <c r="A14865">
        <v>16805</v>
      </c>
      <c r="B14865" t="s">
        <v>35446</v>
      </c>
      <c r="C14865">
        <v>465</v>
      </c>
      <c r="D14865">
        <v>383</v>
      </c>
      <c r="E14865">
        <v>9795958</v>
      </c>
      <c r="F14865">
        <v>1512</v>
      </c>
      <c r="G14865">
        <v>0</v>
      </c>
      <c r="H14865" t="s">
        <v>19711</v>
      </c>
      <c r="I14865">
        <v>16805</v>
      </c>
      <c r="J14865" t="str">
        <f>VLOOKUP(E14865,DSSpieler!A:B,2,FALSE)</f>
        <v>jaden87</v>
      </c>
    </row>
    <row r="14866" spans="1:10" x14ac:dyDescent="0.25">
      <c r="A14866">
        <v>16809</v>
      </c>
      <c r="B14866" t="s">
        <v>35447</v>
      </c>
      <c r="C14866">
        <v>396</v>
      </c>
      <c r="D14866">
        <v>569</v>
      </c>
      <c r="E14866">
        <v>1577154712</v>
      </c>
      <c r="F14866">
        <v>677</v>
      </c>
      <c r="G14866">
        <v>0</v>
      </c>
      <c r="H14866" t="s">
        <v>19712</v>
      </c>
      <c r="I14866">
        <v>16809</v>
      </c>
      <c r="J14866" t="str">
        <f>VLOOKUP(E14866,DSSpieler!A:B,2,FALSE)</f>
        <v>RAHOWA88</v>
      </c>
    </row>
    <row r="14867" spans="1:10" x14ac:dyDescent="0.25">
      <c r="A14867">
        <v>16810</v>
      </c>
      <c r="B14867" t="s">
        <v>531</v>
      </c>
      <c r="C14867">
        <v>624</v>
      </c>
      <c r="D14867">
        <v>504</v>
      </c>
      <c r="E14867">
        <v>0</v>
      </c>
      <c r="F14867">
        <v>139</v>
      </c>
      <c r="G14867">
        <v>0</v>
      </c>
      <c r="H14867" t="s">
        <v>19713</v>
      </c>
      <c r="I14867">
        <v>16810</v>
      </c>
      <c r="J14867" t="e">
        <f>VLOOKUP(E14867,DSSpieler!A:B,2,FALSE)</f>
        <v>#N/A</v>
      </c>
    </row>
    <row r="14868" spans="1:10" x14ac:dyDescent="0.25">
      <c r="A14868">
        <v>16811</v>
      </c>
      <c r="B14868" t="s">
        <v>531</v>
      </c>
      <c r="C14868">
        <v>614</v>
      </c>
      <c r="D14868">
        <v>541</v>
      </c>
      <c r="E14868">
        <v>0</v>
      </c>
      <c r="F14868">
        <v>152</v>
      </c>
      <c r="G14868">
        <v>0</v>
      </c>
      <c r="H14868" t="s">
        <v>19714</v>
      </c>
      <c r="I14868">
        <v>16811</v>
      </c>
      <c r="J14868" t="e">
        <f>VLOOKUP(E14868,DSSpieler!A:B,2,FALSE)</f>
        <v>#N/A</v>
      </c>
    </row>
    <row r="14869" spans="1:10" x14ac:dyDescent="0.25">
      <c r="A14869">
        <v>16812</v>
      </c>
      <c r="B14869" t="s">
        <v>531</v>
      </c>
      <c r="C14869">
        <v>526</v>
      </c>
      <c r="D14869">
        <v>622</v>
      </c>
      <c r="E14869">
        <v>0</v>
      </c>
      <c r="F14869">
        <v>92</v>
      </c>
      <c r="G14869">
        <v>0</v>
      </c>
      <c r="H14869" t="s">
        <v>19715</v>
      </c>
      <c r="I14869">
        <v>16812</v>
      </c>
      <c r="J14869" t="e">
        <f>VLOOKUP(E14869,DSSpieler!A:B,2,FALSE)</f>
        <v>#N/A</v>
      </c>
    </row>
    <row r="14870" spans="1:10" x14ac:dyDescent="0.25">
      <c r="A14870">
        <v>16813</v>
      </c>
      <c r="B14870" t="s">
        <v>35448</v>
      </c>
      <c r="C14870">
        <v>377</v>
      </c>
      <c r="D14870">
        <v>489</v>
      </c>
      <c r="E14870">
        <v>3439996</v>
      </c>
      <c r="F14870">
        <v>76</v>
      </c>
      <c r="G14870">
        <v>0</v>
      </c>
      <c r="H14870" t="s">
        <v>19716</v>
      </c>
      <c r="I14870">
        <v>16813</v>
      </c>
      <c r="J14870" t="str">
        <f>VLOOKUP(E14870,DSSpieler!A:B,2,FALSE)</f>
        <v>Koma1</v>
      </c>
    </row>
    <row r="14871" spans="1:10" x14ac:dyDescent="0.25">
      <c r="A14871">
        <v>16815</v>
      </c>
      <c r="B14871" t="s">
        <v>531</v>
      </c>
      <c r="C14871">
        <v>538</v>
      </c>
      <c r="D14871">
        <v>384</v>
      </c>
      <c r="E14871">
        <v>0</v>
      </c>
      <c r="F14871">
        <v>69</v>
      </c>
      <c r="G14871">
        <v>0</v>
      </c>
      <c r="H14871" t="s">
        <v>19717</v>
      </c>
      <c r="I14871">
        <v>16815</v>
      </c>
      <c r="J14871" t="e">
        <f>VLOOKUP(E14871,DSSpieler!A:B,2,FALSE)</f>
        <v>#N/A</v>
      </c>
    </row>
    <row r="14872" spans="1:10" x14ac:dyDescent="0.25">
      <c r="A14872">
        <v>16816</v>
      </c>
      <c r="B14872" t="s">
        <v>531</v>
      </c>
      <c r="C14872">
        <v>379</v>
      </c>
      <c r="D14872">
        <v>528</v>
      </c>
      <c r="E14872">
        <v>0</v>
      </c>
      <c r="F14872">
        <v>167</v>
      </c>
      <c r="G14872">
        <v>0</v>
      </c>
      <c r="H14872" t="s">
        <v>19718</v>
      </c>
      <c r="I14872">
        <v>16816</v>
      </c>
      <c r="J14872" t="e">
        <f>VLOOKUP(E14872,DSSpieler!A:B,2,FALSE)</f>
        <v>#N/A</v>
      </c>
    </row>
    <row r="14873" spans="1:10" x14ac:dyDescent="0.25">
      <c r="A14873">
        <v>16817</v>
      </c>
      <c r="B14873">
        <v>1</v>
      </c>
      <c r="C14873">
        <v>625</v>
      </c>
      <c r="D14873">
        <v>503</v>
      </c>
      <c r="E14873">
        <v>9882404</v>
      </c>
      <c r="F14873">
        <v>1091</v>
      </c>
      <c r="G14873">
        <v>0</v>
      </c>
      <c r="H14873" t="s">
        <v>19719</v>
      </c>
      <c r="I14873">
        <v>16817</v>
      </c>
      <c r="J14873" t="str">
        <f>VLOOKUP(E14873,DSSpieler!A:B,2,FALSE)</f>
        <v>Gonni</v>
      </c>
    </row>
    <row r="14874" spans="1:10" x14ac:dyDescent="0.25">
      <c r="A14874">
        <v>16818</v>
      </c>
      <c r="B14874" t="s">
        <v>531</v>
      </c>
      <c r="C14874">
        <v>558</v>
      </c>
      <c r="D14874">
        <v>605</v>
      </c>
      <c r="E14874">
        <v>0</v>
      </c>
      <c r="F14874">
        <v>125</v>
      </c>
      <c r="G14874">
        <v>0</v>
      </c>
      <c r="H14874" t="s">
        <v>19720</v>
      </c>
      <c r="I14874">
        <v>16818</v>
      </c>
      <c r="J14874" t="e">
        <f>VLOOKUP(E14874,DSSpieler!A:B,2,FALSE)</f>
        <v>#N/A</v>
      </c>
    </row>
    <row r="14875" spans="1:10" x14ac:dyDescent="0.25">
      <c r="A14875">
        <v>16819</v>
      </c>
      <c r="B14875" t="s">
        <v>531</v>
      </c>
      <c r="C14875">
        <v>445</v>
      </c>
      <c r="D14875">
        <v>608</v>
      </c>
      <c r="E14875">
        <v>0</v>
      </c>
      <c r="F14875">
        <v>573</v>
      </c>
      <c r="G14875">
        <v>0</v>
      </c>
      <c r="H14875" t="s">
        <v>19721</v>
      </c>
      <c r="I14875">
        <v>16819</v>
      </c>
      <c r="J14875" t="e">
        <f>VLOOKUP(E14875,DSSpieler!A:B,2,FALSE)</f>
        <v>#N/A</v>
      </c>
    </row>
    <row r="14876" spans="1:10" x14ac:dyDescent="0.25">
      <c r="A14876">
        <v>16820</v>
      </c>
      <c r="B14876" t="s">
        <v>1561</v>
      </c>
      <c r="C14876">
        <v>471</v>
      </c>
      <c r="D14876">
        <v>619</v>
      </c>
      <c r="E14876">
        <v>1577204879</v>
      </c>
      <c r="F14876">
        <v>1777</v>
      </c>
      <c r="G14876">
        <v>0</v>
      </c>
      <c r="H14876" t="s">
        <v>19722</v>
      </c>
      <c r="I14876">
        <v>16820</v>
      </c>
      <c r="J14876" t="str">
        <f>VLOOKUP(E14876,DSSpieler!A:B,2,FALSE)</f>
        <v>Hammerhead</v>
      </c>
    </row>
    <row r="14877" spans="1:10" x14ac:dyDescent="0.25">
      <c r="A14877">
        <v>16821</v>
      </c>
      <c r="B14877" t="s">
        <v>2556</v>
      </c>
      <c r="C14877">
        <v>384</v>
      </c>
      <c r="D14877">
        <v>470</v>
      </c>
      <c r="E14877">
        <v>1575923303</v>
      </c>
      <c r="F14877">
        <v>1235</v>
      </c>
      <c r="G14877">
        <v>0</v>
      </c>
      <c r="H14877" t="s">
        <v>462</v>
      </c>
      <c r="I14877">
        <v>16821</v>
      </c>
      <c r="J14877" t="str">
        <f>VLOOKUP(E14877,DSSpieler!A:B,2,FALSE)</f>
        <v>matzebvb</v>
      </c>
    </row>
    <row r="14878" spans="1:10" x14ac:dyDescent="0.25">
      <c r="A14878">
        <v>16822</v>
      </c>
      <c r="B14878" t="s">
        <v>531</v>
      </c>
      <c r="C14878">
        <v>483</v>
      </c>
      <c r="D14878">
        <v>622</v>
      </c>
      <c r="E14878">
        <v>0</v>
      </c>
      <c r="F14878">
        <v>246</v>
      </c>
      <c r="G14878">
        <v>0</v>
      </c>
      <c r="H14878" t="s">
        <v>19723</v>
      </c>
      <c r="I14878">
        <v>16822</v>
      </c>
      <c r="J14878" t="e">
        <f>VLOOKUP(E14878,DSSpieler!A:B,2,FALSE)</f>
        <v>#N/A</v>
      </c>
    </row>
    <row r="14879" spans="1:10" x14ac:dyDescent="0.25">
      <c r="A14879">
        <v>16823</v>
      </c>
      <c r="B14879" t="s">
        <v>30897</v>
      </c>
      <c r="C14879">
        <v>522</v>
      </c>
      <c r="D14879">
        <v>526</v>
      </c>
      <c r="E14879">
        <v>1577182690</v>
      </c>
      <c r="F14879">
        <v>1720</v>
      </c>
      <c r="G14879">
        <v>0</v>
      </c>
      <c r="H14879" t="s">
        <v>19724</v>
      </c>
      <c r="I14879">
        <v>16823</v>
      </c>
      <c r="J14879" t="str">
        <f>VLOOKUP(E14879,DSSpieler!A:B,2,FALSE)</f>
        <v>xRayQore</v>
      </c>
    </row>
    <row r="14880" spans="1:10" x14ac:dyDescent="0.25">
      <c r="A14880">
        <v>16824</v>
      </c>
      <c r="B14880" t="s">
        <v>531</v>
      </c>
      <c r="C14880">
        <v>484</v>
      </c>
      <c r="D14880">
        <v>396</v>
      </c>
      <c r="E14880">
        <v>0</v>
      </c>
      <c r="F14880">
        <v>97</v>
      </c>
      <c r="G14880">
        <v>0</v>
      </c>
      <c r="H14880" t="s">
        <v>19725</v>
      </c>
      <c r="I14880">
        <v>16824</v>
      </c>
      <c r="J14880" t="e">
        <f>VLOOKUP(E14880,DSSpieler!A:B,2,FALSE)</f>
        <v>#N/A</v>
      </c>
    </row>
    <row r="14881" spans="1:10" x14ac:dyDescent="0.25">
      <c r="A14881">
        <v>16825</v>
      </c>
      <c r="B14881" t="s">
        <v>531</v>
      </c>
      <c r="C14881">
        <v>622</v>
      </c>
      <c r="D14881">
        <v>483</v>
      </c>
      <c r="E14881">
        <v>0</v>
      </c>
      <c r="F14881">
        <v>239</v>
      </c>
      <c r="G14881">
        <v>0</v>
      </c>
      <c r="H14881" t="s">
        <v>19726</v>
      </c>
      <c r="I14881">
        <v>16825</v>
      </c>
      <c r="J14881" t="e">
        <f>VLOOKUP(E14881,DSSpieler!A:B,2,FALSE)</f>
        <v>#N/A</v>
      </c>
    </row>
    <row r="14882" spans="1:10" x14ac:dyDescent="0.25">
      <c r="A14882">
        <v>16826</v>
      </c>
      <c r="B14882" t="s">
        <v>2557</v>
      </c>
      <c r="C14882">
        <v>580</v>
      </c>
      <c r="D14882">
        <v>594</v>
      </c>
      <c r="E14882">
        <v>1577193039</v>
      </c>
      <c r="F14882">
        <v>4112</v>
      </c>
      <c r="G14882">
        <v>0</v>
      </c>
      <c r="H14882" t="s">
        <v>19727</v>
      </c>
      <c r="I14882">
        <v>16826</v>
      </c>
      <c r="J14882" t="str">
        <f>VLOOKUP(E14882,DSSpieler!A:B,2,FALSE)</f>
        <v>Mvrph</v>
      </c>
    </row>
    <row r="14883" spans="1:10" x14ac:dyDescent="0.25">
      <c r="A14883">
        <v>16827</v>
      </c>
      <c r="B14883" t="s">
        <v>531</v>
      </c>
      <c r="C14883">
        <v>585</v>
      </c>
      <c r="D14883">
        <v>589</v>
      </c>
      <c r="E14883">
        <v>0</v>
      </c>
      <c r="F14883">
        <v>95</v>
      </c>
      <c r="G14883">
        <v>0</v>
      </c>
      <c r="H14883" t="s">
        <v>19728</v>
      </c>
      <c r="I14883">
        <v>16827</v>
      </c>
      <c r="J14883" t="e">
        <f>VLOOKUP(E14883,DSSpieler!A:B,2,FALSE)</f>
        <v>#N/A</v>
      </c>
    </row>
    <row r="14884" spans="1:10" x14ac:dyDescent="0.25">
      <c r="A14884">
        <v>16828</v>
      </c>
      <c r="B14884" t="s">
        <v>2558</v>
      </c>
      <c r="C14884">
        <v>606</v>
      </c>
      <c r="D14884">
        <v>558</v>
      </c>
      <c r="E14884">
        <v>9915369</v>
      </c>
      <c r="F14884">
        <v>2074</v>
      </c>
      <c r="G14884">
        <v>0</v>
      </c>
      <c r="H14884" t="s">
        <v>19729</v>
      </c>
      <c r="I14884">
        <v>16828</v>
      </c>
      <c r="J14884" t="str">
        <f>VLOOKUP(E14884,DSSpieler!A:B,2,FALSE)</f>
        <v>OstBerlin188</v>
      </c>
    </row>
    <row r="14885" spans="1:10" x14ac:dyDescent="0.25">
      <c r="A14885">
        <v>16829</v>
      </c>
      <c r="B14885" t="s">
        <v>35449</v>
      </c>
      <c r="C14885">
        <v>449</v>
      </c>
      <c r="D14885">
        <v>397</v>
      </c>
      <c r="E14885">
        <v>1577199669</v>
      </c>
      <c r="F14885">
        <v>2359</v>
      </c>
      <c r="G14885">
        <v>0</v>
      </c>
      <c r="H14885" t="s">
        <v>19730</v>
      </c>
      <c r="I14885">
        <v>16829</v>
      </c>
      <c r="J14885" t="str">
        <f>VLOOKUP(E14885,DSSpieler!A:B,2,FALSE)</f>
        <v>Kapslbracker</v>
      </c>
    </row>
    <row r="14886" spans="1:10" x14ac:dyDescent="0.25">
      <c r="A14886">
        <v>16830</v>
      </c>
      <c r="B14886" t="s">
        <v>531</v>
      </c>
      <c r="C14886">
        <v>622</v>
      </c>
      <c r="D14886">
        <v>496</v>
      </c>
      <c r="E14886">
        <v>0</v>
      </c>
      <c r="F14886">
        <v>60</v>
      </c>
      <c r="G14886">
        <v>0</v>
      </c>
      <c r="H14886" t="s">
        <v>19731</v>
      </c>
      <c r="I14886">
        <v>16830</v>
      </c>
      <c r="J14886" t="e">
        <f>VLOOKUP(E14886,DSSpieler!A:B,2,FALSE)</f>
        <v>#N/A</v>
      </c>
    </row>
    <row r="14887" spans="1:10" x14ac:dyDescent="0.25">
      <c r="A14887">
        <v>16831</v>
      </c>
      <c r="B14887" t="s">
        <v>2559</v>
      </c>
      <c r="C14887">
        <v>599</v>
      </c>
      <c r="D14887">
        <v>557</v>
      </c>
      <c r="E14887">
        <v>1577204916</v>
      </c>
      <c r="F14887">
        <v>1511</v>
      </c>
      <c r="G14887">
        <v>0</v>
      </c>
      <c r="H14887" t="s">
        <v>19732</v>
      </c>
      <c r="I14887">
        <v>16831</v>
      </c>
      <c r="J14887" t="str">
        <f>VLOOKUP(E14887,DSSpieler!A:B,2,FALSE)</f>
        <v>BDJogi</v>
      </c>
    </row>
    <row r="14888" spans="1:10" x14ac:dyDescent="0.25">
      <c r="A14888">
        <v>16832</v>
      </c>
      <c r="B14888" t="s">
        <v>35450</v>
      </c>
      <c r="C14888">
        <v>541</v>
      </c>
      <c r="D14888">
        <v>618</v>
      </c>
      <c r="E14888">
        <v>3321049</v>
      </c>
      <c r="F14888">
        <v>87</v>
      </c>
      <c r="G14888">
        <v>0</v>
      </c>
      <c r="H14888" t="s">
        <v>19733</v>
      </c>
      <c r="I14888">
        <v>16832</v>
      </c>
      <c r="J14888" t="str">
        <f>VLOOKUP(E14888,DSSpieler!A:B,2,FALSE)</f>
        <v>Shadowoka</v>
      </c>
    </row>
    <row r="14889" spans="1:10" x14ac:dyDescent="0.25">
      <c r="A14889">
        <v>16833</v>
      </c>
      <c r="B14889" t="s">
        <v>531</v>
      </c>
      <c r="C14889">
        <v>424</v>
      </c>
      <c r="D14889">
        <v>404</v>
      </c>
      <c r="E14889">
        <v>0</v>
      </c>
      <c r="F14889">
        <v>60</v>
      </c>
      <c r="G14889">
        <v>0</v>
      </c>
      <c r="H14889" t="s">
        <v>19734</v>
      </c>
      <c r="I14889">
        <v>16833</v>
      </c>
      <c r="J14889" t="e">
        <f>VLOOKUP(E14889,DSSpieler!A:B,2,FALSE)</f>
        <v>#N/A</v>
      </c>
    </row>
    <row r="14890" spans="1:10" x14ac:dyDescent="0.25">
      <c r="A14890">
        <v>16834</v>
      </c>
      <c r="B14890" t="s">
        <v>531</v>
      </c>
      <c r="C14890">
        <v>462</v>
      </c>
      <c r="D14890">
        <v>618</v>
      </c>
      <c r="E14890">
        <v>0</v>
      </c>
      <c r="F14890">
        <v>235</v>
      </c>
      <c r="G14890">
        <v>0</v>
      </c>
      <c r="H14890" t="s">
        <v>19735</v>
      </c>
      <c r="I14890">
        <v>16834</v>
      </c>
      <c r="J14890" t="e">
        <f>VLOOKUP(E14890,DSSpieler!A:B,2,FALSE)</f>
        <v>#N/A</v>
      </c>
    </row>
    <row r="14891" spans="1:10" x14ac:dyDescent="0.25">
      <c r="A14891">
        <v>16835</v>
      </c>
      <c r="B14891" t="s">
        <v>2560</v>
      </c>
      <c r="C14891">
        <v>382</v>
      </c>
      <c r="D14891">
        <v>525</v>
      </c>
      <c r="E14891">
        <v>1577204920</v>
      </c>
      <c r="F14891">
        <v>700</v>
      </c>
      <c r="G14891">
        <v>0</v>
      </c>
      <c r="H14891" t="s">
        <v>19736</v>
      </c>
      <c r="I14891">
        <v>16835</v>
      </c>
      <c r="J14891" t="str">
        <f>VLOOKUP(E14891,DSSpieler!A:B,2,FALSE)</f>
        <v>Sinuskelch</v>
      </c>
    </row>
    <row r="14892" spans="1:10" x14ac:dyDescent="0.25">
      <c r="A14892">
        <v>16836</v>
      </c>
      <c r="B14892" t="s">
        <v>35451</v>
      </c>
      <c r="C14892">
        <v>506</v>
      </c>
      <c r="D14892">
        <v>487</v>
      </c>
      <c r="E14892">
        <v>8095829</v>
      </c>
      <c r="F14892">
        <v>243</v>
      </c>
      <c r="G14892">
        <v>0</v>
      </c>
      <c r="H14892" t="s">
        <v>19737</v>
      </c>
      <c r="I14892">
        <v>16836</v>
      </c>
      <c r="J14892" t="str">
        <f>VLOOKUP(E14892,DSSpieler!A:B,2,FALSE)</f>
        <v>oladele</v>
      </c>
    </row>
    <row r="14893" spans="1:10" x14ac:dyDescent="0.25">
      <c r="A14893">
        <v>16837</v>
      </c>
      <c r="B14893" t="s">
        <v>35452</v>
      </c>
      <c r="C14893">
        <v>460</v>
      </c>
      <c r="D14893">
        <v>613</v>
      </c>
      <c r="E14893">
        <v>1577204801</v>
      </c>
      <c r="F14893">
        <v>997</v>
      </c>
      <c r="G14893">
        <v>0</v>
      </c>
      <c r="H14893" t="s">
        <v>19738</v>
      </c>
      <c r="I14893">
        <v>16837</v>
      </c>
      <c r="J14893" t="str">
        <f>VLOOKUP(E14893,DSSpieler!A:B,2,FALSE)</f>
        <v>Silenoz</v>
      </c>
    </row>
    <row r="14894" spans="1:10" x14ac:dyDescent="0.25">
      <c r="A14894">
        <v>16839</v>
      </c>
      <c r="B14894" t="s">
        <v>531</v>
      </c>
      <c r="C14894">
        <v>420</v>
      </c>
      <c r="D14894">
        <v>410</v>
      </c>
      <c r="E14894">
        <v>0</v>
      </c>
      <c r="F14894">
        <v>165</v>
      </c>
      <c r="G14894">
        <v>0</v>
      </c>
      <c r="H14894" t="s">
        <v>19739</v>
      </c>
      <c r="I14894">
        <v>16839</v>
      </c>
      <c r="J14894" t="e">
        <f>VLOOKUP(E14894,DSSpieler!A:B,2,FALSE)</f>
        <v>#N/A</v>
      </c>
    </row>
    <row r="14895" spans="1:10" x14ac:dyDescent="0.25">
      <c r="A14895">
        <v>16840</v>
      </c>
      <c r="B14895" t="s">
        <v>531</v>
      </c>
      <c r="C14895">
        <v>382</v>
      </c>
      <c r="D14895">
        <v>538</v>
      </c>
      <c r="E14895">
        <v>0</v>
      </c>
      <c r="F14895">
        <v>206</v>
      </c>
      <c r="G14895">
        <v>0</v>
      </c>
      <c r="H14895" t="s">
        <v>19740</v>
      </c>
      <c r="I14895">
        <v>16840</v>
      </c>
      <c r="J14895" t="e">
        <f>VLOOKUP(E14895,DSSpieler!A:B,2,FALSE)</f>
        <v>#N/A</v>
      </c>
    </row>
    <row r="14896" spans="1:10" x14ac:dyDescent="0.25">
      <c r="A14896">
        <v>16841</v>
      </c>
      <c r="B14896" t="s">
        <v>531</v>
      </c>
      <c r="C14896">
        <v>550</v>
      </c>
      <c r="D14896">
        <v>615</v>
      </c>
      <c r="E14896">
        <v>0</v>
      </c>
      <c r="F14896">
        <v>203</v>
      </c>
      <c r="G14896">
        <v>0</v>
      </c>
      <c r="H14896" t="s">
        <v>19741</v>
      </c>
      <c r="I14896">
        <v>16841</v>
      </c>
      <c r="J14896" t="e">
        <f>VLOOKUP(E14896,DSSpieler!A:B,2,FALSE)</f>
        <v>#N/A</v>
      </c>
    </row>
    <row r="14897" spans="1:10" x14ac:dyDescent="0.25">
      <c r="A14897">
        <v>16842</v>
      </c>
      <c r="B14897" t="s">
        <v>35453</v>
      </c>
      <c r="C14897">
        <v>375</v>
      </c>
      <c r="D14897">
        <v>504</v>
      </c>
      <c r="E14897">
        <v>1577160505</v>
      </c>
      <c r="F14897">
        <v>38</v>
      </c>
      <c r="G14897">
        <v>0</v>
      </c>
      <c r="H14897" t="s">
        <v>19742</v>
      </c>
      <c r="I14897">
        <v>16842</v>
      </c>
      <c r="J14897" t="str">
        <f>VLOOKUP(E14897,DSSpieler!A:B,2,FALSE)</f>
        <v>Gustav11012</v>
      </c>
    </row>
    <row r="14898" spans="1:10" x14ac:dyDescent="0.25">
      <c r="A14898">
        <v>16846</v>
      </c>
      <c r="B14898" t="s">
        <v>531</v>
      </c>
      <c r="C14898">
        <v>558</v>
      </c>
      <c r="D14898">
        <v>394</v>
      </c>
      <c r="E14898">
        <v>0</v>
      </c>
      <c r="F14898">
        <v>245</v>
      </c>
      <c r="G14898">
        <v>0</v>
      </c>
      <c r="H14898" t="s">
        <v>19743</v>
      </c>
      <c r="I14898">
        <v>16846</v>
      </c>
      <c r="J14898" t="e">
        <f>VLOOKUP(E14898,DSSpieler!A:B,2,FALSE)</f>
        <v>#N/A</v>
      </c>
    </row>
    <row r="14899" spans="1:10" x14ac:dyDescent="0.25">
      <c r="A14899">
        <v>16847</v>
      </c>
      <c r="B14899" t="s">
        <v>531</v>
      </c>
      <c r="C14899">
        <v>573</v>
      </c>
      <c r="D14899">
        <v>398</v>
      </c>
      <c r="E14899">
        <v>0</v>
      </c>
      <c r="F14899">
        <v>215</v>
      </c>
      <c r="G14899">
        <v>0</v>
      </c>
      <c r="H14899" t="s">
        <v>19744</v>
      </c>
      <c r="I14899">
        <v>16847</v>
      </c>
      <c r="J14899" t="e">
        <f>VLOOKUP(E14899,DSSpieler!A:B,2,FALSE)</f>
        <v>#N/A</v>
      </c>
    </row>
    <row r="14900" spans="1:10" x14ac:dyDescent="0.25">
      <c r="A14900">
        <v>16848</v>
      </c>
      <c r="B14900" t="s">
        <v>531</v>
      </c>
      <c r="C14900">
        <v>380</v>
      </c>
      <c r="D14900">
        <v>472</v>
      </c>
      <c r="E14900">
        <v>0</v>
      </c>
      <c r="F14900">
        <v>134</v>
      </c>
      <c r="G14900">
        <v>0</v>
      </c>
      <c r="H14900" t="s">
        <v>19745</v>
      </c>
      <c r="I14900">
        <v>16848</v>
      </c>
      <c r="J14900" t="e">
        <f>VLOOKUP(E14900,DSSpieler!A:B,2,FALSE)</f>
        <v>#N/A</v>
      </c>
    </row>
    <row r="14901" spans="1:10" x14ac:dyDescent="0.25">
      <c r="A14901">
        <v>16849</v>
      </c>
      <c r="B14901" t="s">
        <v>35454</v>
      </c>
      <c r="C14901">
        <v>598</v>
      </c>
      <c r="D14901">
        <v>432</v>
      </c>
      <c r="E14901">
        <v>188327441</v>
      </c>
      <c r="F14901">
        <v>1704</v>
      </c>
      <c r="G14901">
        <v>0</v>
      </c>
      <c r="H14901" t="s">
        <v>19746</v>
      </c>
      <c r="I14901">
        <v>16849</v>
      </c>
      <c r="J14901" t="str">
        <f>VLOOKUP(E14901,DSSpieler!A:B,2,FALSE)</f>
        <v>mmaarrccii</v>
      </c>
    </row>
    <row r="14902" spans="1:10" x14ac:dyDescent="0.25">
      <c r="A14902">
        <v>16850</v>
      </c>
      <c r="B14902" t="s">
        <v>531</v>
      </c>
      <c r="C14902">
        <v>462</v>
      </c>
      <c r="D14902">
        <v>386</v>
      </c>
      <c r="E14902">
        <v>0</v>
      </c>
      <c r="F14902">
        <v>418</v>
      </c>
      <c r="G14902">
        <v>0</v>
      </c>
      <c r="H14902" t="s">
        <v>19747</v>
      </c>
      <c r="I14902">
        <v>16850</v>
      </c>
      <c r="J14902" t="e">
        <f>VLOOKUP(E14902,DSSpieler!A:B,2,FALSE)</f>
        <v>#N/A</v>
      </c>
    </row>
    <row r="14903" spans="1:10" x14ac:dyDescent="0.25">
      <c r="A14903">
        <v>16851</v>
      </c>
      <c r="B14903" t="s">
        <v>531</v>
      </c>
      <c r="C14903">
        <v>385</v>
      </c>
      <c r="D14903">
        <v>459</v>
      </c>
      <c r="E14903">
        <v>0</v>
      </c>
      <c r="F14903">
        <v>186</v>
      </c>
      <c r="G14903">
        <v>0</v>
      </c>
      <c r="H14903" t="s">
        <v>19748</v>
      </c>
      <c r="I14903">
        <v>16851</v>
      </c>
      <c r="J14903" t="e">
        <f>VLOOKUP(E14903,DSSpieler!A:B,2,FALSE)</f>
        <v>#N/A</v>
      </c>
    </row>
    <row r="14904" spans="1:10" x14ac:dyDescent="0.25">
      <c r="A14904">
        <v>16852</v>
      </c>
      <c r="B14904" t="s">
        <v>30487</v>
      </c>
      <c r="C14904">
        <v>596</v>
      </c>
      <c r="D14904">
        <v>446</v>
      </c>
      <c r="E14904">
        <v>1577197655</v>
      </c>
      <c r="F14904">
        <v>600</v>
      </c>
      <c r="G14904">
        <v>0</v>
      </c>
      <c r="H14904" t="s">
        <v>19749</v>
      </c>
      <c r="I14904">
        <v>16852</v>
      </c>
      <c r="J14904" t="str">
        <f>VLOOKUP(E14904,DSSpieler!A:B,2,FALSE)</f>
        <v>Ch1ll 0ut</v>
      </c>
    </row>
    <row r="14905" spans="1:10" x14ac:dyDescent="0.25">
      <c r="A14905">
        <v>16853</v>
      </c>
      <c r="B14905" t="s">
        <v>2561</v>
      </c>
      <c r="C14905">
        <v>561</v>
      </c>
      <c r="D14905">
        <v>397</v>
      </c>
      <c r="E14905">
        <v>1577178033</v>
      </c>
      <c r="F14905">
        <v>1827</v>
      </c>
      <c r="G14905">
        <v>0</v>
      </c>
      <c r="H14905" t="s">
        <v>19750</v>
      </c>
      <c r="I14905">
        <v>16853</v>
      </c>
      <c r="J14905" t="str">
        <f>VLOOKUP(E14905,DSSpieler!A:B,2,FALSE)</f>
        <v>Sir Norman</v>
      </c>
    </row>
    <row r="14906" spans="1:10" x14ac:dyDescent="0.25">
      <c r="A14906">
        <v>16854</v>
      </c>
      <c r="B14906" t="s">
        <v>531</v>
      </c>
      <c r="C14906">
        <v>449</v>
      </c>
      <c r="D14906">
        <v>387</v>
      </c>
      <c r="E14906">
        <v>0</v>
      </c>
      <c r="F14906">
        <v>125</v>
      </c>
      <c r="G14906">
        <v>0</v>
      </c>
      <c r="H14906" t="s">
        <v>19751</v>
      </c>
      <c r="I14906">
        <v>16854</v>
      </c>
      <c r="J14906" t="e">
        <f>VLOOKUP(E14906,DSSpieler!A:B,2,FALSE)</f>
        <v>#N/A</v>
      </c>
    </row>
    <row r="14907" spans="1:10" x14ac:dyDescent="0.25">
      <c r="A14907">
        <v>16855</v>
      </c>
      <c r="B14907" t="s">
        <v>35455</v>
      </c>
      <c r="C14907">
        <v>490</v>
      </c>
      <c r="D14907">
        <v>376</v>
      </c>
      <c r="E14907">
        <v>1576779265</v>
      </c>
      <c r="F14907">
        <v>1857</v>
      </c>
      <c r="G14907">
        <v>0</v>
      </c>
      <c r="H14907" t="s">
        <v>19752</v>
      </c>
      <c r="I14907">
        <v>16855</v>
      </c>
      <c r="J14907" t="str">
        <f>VLOOKUP(E14907,DSSpieler!A:B,2,FALSE)</f>
        <v>Sir Feldherr</v>
      </c>
    </row>
    <row r="14908" spans="1:10" x14ac:dyDescent="0.25">
      <c r="A14908">
        <v>16858</v>
      </c>
      <c r="B14908" t="s">
        <v>531</v>
      </c>
      <c r="C14908">
        <v>380</v>
      </c>
      <c r="D14908">
        <v>525</v>
      </c>
      <c r="E14908">
        <v>0</v>
      </c>
      <c r="F14908">
        <v>291</v>
      </c>
      <c r="G14908">
        <v>0</v>
      </c>
      <c r="H14908" t="s">
        <v>19753</v>
      </c>
      <c r="I14908">
        <v>16858</v>
      </c>
      <c r="J14908" t="e">
        <f>VLOOKUP(E14908,DSSpieler!A:B,2,FALSE)</f>
        <v>#N/A</v>
      </c>
    </row>
    <row r="14909" spans="1:10" x14ac:dyDescent="0.25">
      <c r="A14909">
        <v>16860</v>
      </c>
      <c r="B14909" t="s">
        <v>2562</v>
      </c>
      <c r="C14909">
        <v>418</v>
      </c>
      <c r="D14909">
        <v>589</v>
      </c>
      <c r="E14909">
        <v>1744847</v>
      </c>
      <c r="F14909">
        <v>2060</v>
      </c>
      <c r="G14909">
        <v>0</v>
      </c>
      <c r="H14909" t="s">
        <v>19754</v>
      </c>
      <c r="I14909">
        <v>16860</v>
      </c>
      <c r="J14909" t="str">
        <f>VLOOKUP(E14909,DSSpieler!A:B,2,FALSE)</f>
        <v>JustusLA</v>
      </c>
    </row>
    <row r="14910" spans="1:10" x14ac:dyDescent="0.25">
      <c r="A14910">
        <v>16861</v>
      </c>
      <c r="B14910" t="s">
        <v>531</v>
      </c>
      <c r="C14910">
        <v>424</v>
      </c>
      <c r="D14910">
        <v>597</v>
      </c>
      <c r="E14910">
        <v>0</v>
      </c>
      <c r="F14910">
        <v>170</v>
      </c>
      <c r="G14910">
        <v>0</v>
      </c>
      <c r="H14910" t="s">
        <v>19755</v>
      </c>
      <c r="I14910">
        <v>16861</v>
      </c>
      <c r="J14910" t="e">
        <f>VLOOKUP(E14910,DSSpieler!A:B,2,FALSE)</f>
        <v>#N/A</v>
      </c>
    </row>
    <row r="14911" spans="1:10" x14ac:dyDescent="0.25">
      <c r="A14911">
        <v>16862</v>
      </c>
      <c r="B14911" t="s">
        <v>531</v>
      </c>
      <c r="C14911">
        <v>425</v>
      </c>
      <c r="D14911">
        <v>406</v>
      </c>
      <c r="E14911">
        <v>0</v>
      </c>
      <c r="F14911">
        <v>52</v>
      </c>
      <c r="G14911">
        <v>0</v>
      </c>
      <c r="H14911" t="s">
        <v>19756</v>
      </c>
      <c r="I14911">
        <v>16862</v>
      </c>
      <c r="J14911" t="e">
        <f>VLOOKUP(E14911,DSSpieler!A:B,2,FALSE)</f>
        <v>#N/A</v>
      </c>
    </row>
    <row r="14912" spans="1:10" x14ac:dyDescent="0.25">
      <c r="A14912">
        <v>16863</v>
      </c>
      <c r="B14912" t="s">
        <v>31169</v>
      </c>
      <c r="C14912">
        <v>480</v>
      </c>
      <c r="D14912">
        <v>621</v>
      </c>
      <c r="E14912">
        <v>1577204985</v>
      </c>
      <c r="F14912">
        <v>3236</v>
      </c>
      <c r="G14912">
        <v>0</v>
      </c>
      <c r="H14912" t="s">
        <v>19757</v>
      </c>
      <c r="I14912">
        <v>16863</v>
      </c>
      <c r="J14912" t="str">
        <f>VLOOKUP(E14912,DSSpieler!A:B,2,FALSE)</f>
        <v>Ales44</v>
      </c>
    </row>
    <row r="14913" spans="1:10" x14ac:dyDescent="0.25">
      <c r="A14913">
        <v>16865</v>
      </c>
      <c r="B14913" t="s">
        <v>531</v>
      </c>
      <c r="C14913">
        <v>379</v>
      </c>
      <c r="D14913">
        <v>507</v>
      </c>
      <c r="E14913">
        <v>0</v>
      </c>
      <c r="F14913">
        <v>126</v>
      </c>
      <c r="G14913">
        <v>0</v>
      </c>
      <c r="H14913" t="s">
        <v>19758</v>
      </c>
      <c r="I14913">
        <v>16865</v>
      </c>
      <c r="J14913" t="e">
        <f>VLOOKUP(E14913,DSSpieler!A:B,2,FALSE)</f>
        <v>#N/A</v>
      </c>
    </row>
    <row r="14914" spans="1:10" x14ac:dyDescent="0.25">
      <c r="A14914">
        <v>16866</v>
      </c>
      <c r="B14914" t="s">
        <v>531</v>
      </c>
      <c r="C14914">
        <v>475</v>
      </c>
      <c r="D14914">
        <v>379</v>
      </c>
      <c r="E14914">
        <v>0</v>
      </c>
      <c r="F14914">
        <v>126</v>
      </c>
      <c r="G14914">
        <v>0</v>
      </c>
      <c r="H14914" t="s">
        <v>19759</v>
      </c>
      <c r="I14914">
        <v>16866</v>
      </c>
      <c r="J14914" t="e">
        <f>VLOOKUP(E14914,DSSpieler!A:B,2,FALSE)</f>
        <v>#N/A</v>
      </c>
    </row>
    <row r="14915" spans="1:10" x14ac:dyDescent="0.25">
      <c r="A14915">
        <v>16867</v>
      </c>
      <c r="B14915" t="s">
        <v>531</v>
      </c>
      <c r="C14915">
        <v>547</v>
      </c>
      <c r="D14915">
        <v>616</v>
      </c>
      <c r="E14915">
        <v>0</v>
      </c>
      <c r="F14915">
        <v>136</v>
      </c>
      <c r="G14915">
        <v>0</v>
      </c>
      <c r="H14915" t="s">
        <v>19760</v>
      </c>
      <c r="I14915">
        <v>16867</v>
      </c>
      <c r="J14915" t="e">
        <f>VLOOKUP(E14915,DSSpieler!A:B,2,FALSE)</f>
        <v>#N/A</v>
      </c>
    </row>
    <row r="14916" spans="1:10" x14ac:dyDescent="0.25">
      <c r="A14916">
        <v>16868</v>
      </c>
      <c r="B14916" t="s">
        <v>531</v>
      </c>
      <c r="C14916">
        <v>436</v>
      </c>
      <c r="D14916">
        <v>416</v>
      </c>
      <c r="E14916">
        <v>0</v>
      </c>
      <c r="F14916">
        <v>45</v>
      </c>
      <c r="G14916">
        <v>0</v>
      </c>
      <c r="H14916" t="s">
        <v>19761</v>
      </c>
      <c r="I14916">
        <v>16868</v>
      </c>
      <c r="J14916" t="e">
        <f>VLOOKUP(E14916,DSSpieler!A:B,2,FALSE)</f>
        <v>#N/A</v>
      </c>
    </row>
    <row r="14917" spans="1:10" x14ac:dyDescent="0.25">
      <c r="A14917">
        <v>16869</v>
      </c>
      <c r="B14917" t="s">
        <v>531</v>
      </c>
      <c r="C14917">
        <v>488</v>
      </c>
      <c r="D14917">
        <v>378</v>
      </c>
      <c r="E14917">
        <v>0</v>
      </c>
      <c r="F14917">
        <v>196</v>
      </c>
      <c r="G14917">
        <v>0</v>
      </c>
      <c r="H14917" t="s">
        <v>19762</v>
      </c>
      <c r="I14917">
        <v>16869</v>
      </c>
      <c r="J14917" t="e">
        <f>VLOOKUP(E14917,DSSpieler!A:B,2,FALSE)</f>
        <v>#N/A</v>
      </c>
    </row>
    <row r="14918" spans="1:10" x14ac:dyDescent="0.25">
      <c r="A14918">
        <v>16871</v>
      </c>
      <c r="B14918" t="s">
        <v>531</v>
      </c>
      <c r="C14918">
        <v>413</v>
      </c>
      <c r="D14918">
        <v>417</v>
      </c>
      <c r="E14918">
        <v>0</v>
      </c>
      <c r="F14918">
        <v>124</v>
      </c>
      <c r="G14918">
        <v>0</v>
      </c>
      <c r="H14918" t="s">
        <v>19763</v>
      </c>
      <c r="I14918">
        <v>16871</v>
      </c>
      <c r="J14918" t="e">
        <f>VLOOKUP(E14918,DSSpieler!A:B,2,FALSE)</f>
        <v>#N/A</v>
      </c>
    </row>
    <row r="14919" spans="1:10" x14ac:dyDescent="0.25">
      <c r="A14919">
        <v>16873</v>
      </c>
      <c r="B14919" t="s">
        <v>2563</v>
      </c>
      <c r="C14919">
        <v>429</v>
      </c>
      <c r="D14919">
        <v>471</v>
      </c>
      <c r="E14919">
        <v>1577205003</v>
      </c>
      <c r="F14919">
        <v>2377</v>
      </c>
      <c r="G14919">
        <v>0</v>
      </c>
      <c r="H14919" t="s">
        <v>19764</v>
      </c>
      <c r="I14919">
        <v>16873</v>
      </c>
      <c r="J14919" t="str">
        <f>VLOOKUP(E14919,DSSpieler!A:B,2,FALSE)</f>
        <v>Medis</v>
      </c>
    </row>
    <row r="14920" spans="1:10" x14ac:dyDescent="0.25">
      <c r="A14920">
        <v>16874</v>
      </c>
      <c r="B14920" t="s">
        <v>531</v>
      </c>
      <c r="C14920">
        <v>526</v>
      </c>
      <c r="D14920">
        <v>623</v>
      </c>
      <c r="E14920">
        <v>0</v>
      </c>
      <c r="F14920">
        <v>205</v>
      </c>
      <c r="G14920">
        <v>0</v>
      </c>
      <c r="H14920" t="s">
        <v>19765</v>
      </c>
      <c r="I14920">
        <v>16874</v>
      </c>
      <c r="J14920" t="e">
        <f>VLOOKUP(E14920,DSSpieler!A:B,2,FALSE)</f>
        <v>#N/A</v>
      </c>
    </row>
    <row r="14921" spans="1:10" x14ac:dyDescent="0.25">
      <c r="A14921">
        <v>16875</v>
      </c>
      <c r="B14921" t="s">
        <v>2564</v>
      </c>
      <c r="C14921">
        <v>583</v>
      </c>
      <c r="D14921">
        <v>402</v>
      </c>
      <c r="E14921">
        <v>1577205017</v>
      </c>
      <c r="F14921">
        <v>3910</v>
      </c>
      <c r="G14921">
        <v>0</v>
      </c>
      <c r="H14921" t="s">
        <v>19766</v>
      </c>
      <c r="I14921">
        <v>16875</v>
      </c>
      <c r="J14921" t="str">
        <f>VLOOKUP(E14921,DSSpieler!A:B,2,FALSE)</f>
        <v>Doktordude</v>
      </c>
    </row>
    <row r="14922" spans="1:10" x14ac:dyDescent="0.25">
      <c r="A14922">
        <v>16877</v>
      </c>
      <c r="B14922" t="s">
        <v>531</v>
      </c>
      <c r="C14922">
        <v>611</v>
      </c>
      <c r="D14922">
        <v>551</v>
      </c>
      <c r="E14922">
        <v>0</v>
      </c>
      <c r="F14922">
        <v>188</v>
      </c>
      <c r="G14922">
        <v>0</v>
      </c>
      <c r="H14922" t="s">
        <v>19767</v>
      </c>
      <c r="I14922">
        <v>16877</v>
      </c>
      <c r="J14922" t="e">
        <f>VLOOKUP(E14922,DSSpieler!A:B,2,FALSE)</f>
        <v>#N/A</v>
      </c>
    </row>
    <row r="14923" spans="1:10" x14ac:dyDescent="0.25">
      <c r="A14923">
        <v>16879</v>
      </c>
      <c r="B14923" t="s">
        <v>2565</v>
      </c>
      <c r="C14923">
        <v>407</v>
      </c>
      <c r="D14923">
        <v>416</v>
      </c>
      <c r="E14923">
        <v>1577191558</v>
      </c>
      <c r="F14923">
        <v>1462</v>
      </c>
      <c r="G14923">
        <v>0</v>
      </c>
      <c r="H14923" t="s">
        <v>19768</v>
      </c>
      <c r="I14923">
        <v>16879</v>
      </c>
      <c r="J14923" t="str">
        <f>VLOOKUP(E14923,DSSpieler!A:B,2,FALSE)</f>
        <v>BlackPaddy</v>
      </c>
    </row>
    <row r="14924" spans="1:10" x14ac:dyDescent="0.25">
      <c r="A14924">
        <v>16880</v>
      </c>
      <c r="B14924" t="s">
        <v>2566</v>
      </c>
      <c r="C14924">
        <v>489</v>
      </c>
      <c r="D14924">
        <v>512</v>
      </c>
      <c r="E14924">
        <v>1577155182</v>
      </c>
      <c r="F14924">
        <v>2360</v>
      </c>
      <c r="G14924">
        <v>0</v>
      </c>
      <c r="H14924" t="s">
        <v>19769</v>
      </c>
      <c r="I14924">
        <v>16880</v>
      </c>
      <c r="J14924" t="str">
        <f>VLOOKUP(E14924,DSSpieler!A:B,2,FALSE)</f>
        <v>DerKlausKleber</v>
      </c>
    </row>
    <row r="14925" spans="1:10" x14ac:dyDescent="0.25">
      <c r="A14925">
        <v>16881</v>
      </c>
      <c r="B14925" t="s">
        <v>35456</v>
      </c>
      <c r="C14925">
        <v>488</v>
      </c>
      <c r="D14925">
        <v>523</v>
      </c>
      <c r="E14925">
        <v>1577205018</v>
      </c>
      <c r="F14925">
        <v>1105</v>
      </c>
      <c r="G14925">
        <v>0</v>
      </c>
      <c r="H14925" t="s">
        <v>19770</v>
      </c>
      <c r="I14925">
        <v>16881</v>
      </c>
      <c r="J14925" t="str">
        <f>VLOOKUP(E14925,DSSpieler!A:B,2,FALSE)</f>
        <v>SchniedmarSchnabelbert</v>
      </c>
    </row>
    <row r="14926" spans="1:10" x14ac:dyDescent="0.25">
      <c r="A14926">
        <v>16884</v>
      </c>
      <c r="B14926">
        <v>103</v>
      </c>
      <c r="C14926">
        <v>524</v>
      </c>
      <c r="D14926">
        <v>618</v>
      </c>
      <c r="E14926">
        <v>1576103513</v>
      </c>
      <c r="F14926">
        <v>1667</v>
      </c>
      <c r="G14926">
        <v>0</v>
      </c>
      <c r="H14926" t="s">
        <v>19771</v>
      </c>
      <c r="I14926">
        <v>16884</v>
      </c>
      <c r="J14926" t="str">
        <f>VLOOKUP(E14926,DSSpieler!A:B,2,FALSE)</f>
        <v>imchen12</v>
      </c>
    </row>
    <row r="14927" spans="1:10" x14ac:dyDescent="0.25">
      <c r="A14927">
        <v>16885</v>
      </c>
      <c r="B14927" t="s">
        <v>531</v>
      </c>
      <c r="C14927">
        <v>504</v>
      </c>
      <c r="D14927">
        <v>622</v>
      </c>
      <c r="E14927">
        <v>0</v>
      </c>
      <c r="F14927">
        <v>67</v>
      </c>
      <c r="G14927">
        <v>0</v>
      </c>
      <c r="H14927" t="s">
        <v>19772</v>
      </c>
      <c r="I14927">
        <v>16885</v>
      </c>
      <c r="J14927" t="e">
        <f>VLOOKUP(E14927,DSSpieler!A:B,2,FALSE)</f>
        <v>#N/A</v>
      </c>
    </row>
    <row r="14928" spans="1:10" x14ac:dyDescent="0.25">
      <c r="A14928">
        <v>16886</v>
      </c>
      <c r="B14928" t="s">
        <v>2567</v>
      </c>
      <c r="C14928">
        <v>610</v>
      </c>
      <c r="D14928">
        <v>549</v>
      </c>
      <c r="E14928">
        <v>1577201614</v>
      </c>
      <c r="F14928">
        <v>1836</v>
      </c>
      <c r="G14928">
        <v>0</v>
      </c>
      <c r="H14928" t="s">
        <v>19773</v>
      </c>
      <c r="I14928">
        <v>16886</v>
      </c>
      <c r="J14928" t="str">
        <f>VLOOKUP(E14928,DSSpieler!A:B,2,FALSE)</f>
        <v>GreeceMousse</v>
      </c>
    </row>
    <row r="14929" spans="1:10" x14ac:dyDescent="0.25">
      <c r="A14929">
        <v>16887</v>
      </c>
      <c r="B14929" t="s">
        <v>35457</v>
      </c>
      <c r="C14929">
        <v>534</v>
      </c>
      <c r="D14929">
        <v>381</v>
      </c>
      <c r="E14929">
        <v>1577202441</v>
      </c>
      <c r="F14929">
        <v>121</v>
      </c>
      <c r="G14929">
        <v>0</v>
      </c>
      <c r="H14929" t="s">
        <v>19774</v>
      </c>
      <c r="I14929">
        <v>16887</v>
      </c>
      <c r="J14929" t="str">
        <f>VLOOKUP(E14929,DSSpieler!A:B,2,FALSE)</f>
        <v>TheDrJ</v>
      </c>
    </row>
    <row r="14930" spans="1:10" x14ac:dyDescent="0.25">
      <c r="A14930">
        <v>16888</v>
      </c>
      <c r="B14930" t="s">
        <v>35458</v>
      </c>
      <c r="C14930">
        <v>403</v>
      </c>
      <c r="D14930">
        <v>426</v>
      </c>
      <c r="E14930">
        <v>9666061</v>
      </c>
      <c r="F14930">
        <v>1046</v>
      </c>
      <c r="G14930">
        <v>0</v>
      </c>
      <c r="H14930" t="s">
        <v>19775</v>
      </c>
      <c r="I14930">
        <v>16888</v>
      </c>
      <c r="J14930" t="str">
        <f>VLOOKUP(E14930,DSSpieler!A:B,2,FALSE)</f>
        <v>rodrigues66</v>
      </c>
    </row>
    <row r="14931" spans="1:10" x14ac:dyDescent="0.25">
      <c r="A14931">
        <v>16889</v>
      </c>
      <c r="B14931" t="s">
        <v>531</v>
      </c>
      <c r="C14931">
        <v>576</v>
      </c>
      <c r="D14931">
        <v>401</v>
      </c>
      <c r="E14931">
        <v>0</v>
      </c>
      <c r="F14931">
        <v>298</v>
      </c>
      <c r="G14931">
        <v>0</v>
      </c>
      <c r="H14931" t="s">
        <v>19776</v>
      </c>
      <c r="I14931">
        <v>16889</v>
      </c>
      <c r="J14931" t="e">
        <f>VLOOKUP(E14931,DSSpieler!A:B,2,FALSE)</f>
        <v>#N/A</v>
      </c>
    </row>
    <row r="14932" spans="1:10" x14ac:dyDescent="0.25">
      <c r="A14932">
        <v>16891</v>
      </c>
      <c r="B14932" t="s">
        <v>531</v>
      </c>
      <c r="C14932">
        <v>492</v>
      </c>
      <c r="D14932">
        <v>621</v>
      </c>
      <c r="E14932">
        <v>0</v>
      </c>
      <c r="F14932">
        <v>69</v>
      </c>
      <c r="G14932">
        <v>0</v>
      </c>
      <c r="H14932" t="s">
        <v>19777</v>
      </c>
      <c r="I14932">
        <v>16891</v>
      </c>
      <c r="J14932" t="e">
        <f>VLOOKUP(E14932,DSSpieler!A:B,2,FALSE)</f>
        <v>#N/A</v>
      </c>
    </row>
    <row r="14933" spans="1:10" x14ac:dyDescent="0.25">
      <c r="A14933">
        <v>16892</v>
      </c>
      <c r="B14933" t="s">
        <v>2568</v>
      </c>
      <c r="C14933">
        <v>614</v>
      </c>
      <c r="D14933">
        <v>551</v>
      </c>
      <c r="E14933">
        <v>1577205004</v>
      </c>
      <c r="F14933">
        <v>227</v>
      </c>
      <c r="G14933">
        <v>0</v>
      </c>
      <c r="H14933" t="s">
        <v>19778</v>
      </c>
      <c r="I14933">
        <v>16892</v>
      </c>
      <c r="J14933" t="str">
        <f>VLOOKUP(E14933,DSSpieler!A:B,2,FALSE)</f>
        <v>MBACOMMANDER28</v>
      </c>
    </row>
    <row r="14934" spans="1:10" x14ac:dyDescent="0.25">
      <c r="A14934">
        <v>16893</v>
      </c>
      <c r="B14934">
        <v>1</v>
      </c>
      <c r="C14934">
        <v>560</v>
      </c>
      <c r="D14934">
        <v>454</v>
      </c>
      <c r="E14934">
        <v>8042959</v>
      </c>
      <c r="F14934">
        <v>3100</v>
      </c>
      <c r="G14934">
        <v>0</v>
      </c>
      <c r="H14934" t="s">
        <v>19779</v>
      </c>
      <c r="I14934">
        <v>16893</v>
      </c>
      <c r="J14934" t="str">
        <f>VLOOKUP(E14934,DSSpieler!A:B,2,FALSE)</f>
        <v>rackloss</v>
      </c>
    </row>
    <row r="14935" spans="1:10" x14ac:dyDescent="0.25">
      <c r="A14935">
        <v>16894</v>
      </c>
      <c r="B14935" t="s">
        <v>35459</v>
      </c>
      <c r="C14935">
        <v>618</v>
      </c>
      <c r="D14935">
        <v>541</v>
      </c>
      <c r="E14935">
        <v>1577074890</v>
      </c>
      <c r="F14935">
        <v>1565</v>
      </c>
      <c r="G14935">
        <v>0</v>
      </c>
      <c r="H14935" t="s">
        <v>19780</v>
      </c>
      <c r="I14935">
        <v>16894</v>
      </c>
      <c r="J14935" t="str">
        <f>VLOOKUP(E14935,DSSpieler!A:B,2,FALSE)</f>
        <v>HulkHodn</v>
      </c>
    </row>
    <row r="14936" spans="1:10" x14ac:dyDescent="0.25">
      <c r="A14936">
        <v>16895</v>
      </c>
      <c r="B14936" t="s">
        <v>35460</v>
      </c>
      <c r="C14936">
        <v>380</v>
      </c>
      <c r="D14936">
        <v>493</v>
      </c>
      <c r="E14936">
        <v>1577196424</v>
      </c>
      <c r="F14936">
        <v>674</v>
      </c>
      <c r="G14936">
        <v>0</v>
      </c>
      <c r="H14936" t="s">
        <v>19781</v>
      </c>
      <c r="I14936">
        <v>16895</v>
      </c>
      <c r="J14936" t="str">
        <f>VLOOKUP(E14936,DSSpieler!A:B,2,FALSE)</f>
        <v>Nameless Emperor</v>
      </c>
    </row>
    <row r="14937" spans="1:10" x14ac:dyDescent="0.25">
      <c r="A14937">
        <v>16896</v>
      </c>
      <c r="B14937" t="s">
        <v>531</v>
      </c>
      <c r="C14937">
        <v>620</v>
      </c>
      <c r="D14937">
        <v>477</v>
      </c>
      <c r="E14937">
        <v>0</v>
      </c>
      <c r="F14937">
        <v>784</v>
      </c>
      <c r="G14937">
        <v>0</v>
      </c>
      <c r="H14937" t="s">
        <v>19782</v>
      </c>
      <c r="I14937">
        <v>16896</v>
      </c>
      <c r="J14937" t="e">
        <f>VLOOKUP(E14937,DSSpieler!A:B,2,FALSE)</f>
        <v>#N/A</v>
      </c>
    </row>
    <row r="14938" spans="1:10" x14ac:dyDescent="0.25">
      <c r="A14938">
        <v>16897</v>
      </c>
      <c r="B14938" t="s">
        <v>35461</v>
      </c>
      <c r="C14938">
        <v>578</v>
      </c>
      <c r="D14938">
        <v>404</v>
      </c>
      <c r="E14938">
        <v>1576027626</v>
      </c>
      <c r="F14938">
        <v>26</v>
      </c>
      <c r="G14938">
        <v>0</v>
      </c>
      <c r="H14938" t="s">
        <v>19783</v>
      </c>
      <c r="I14938">
        <v>16897</v>
      </c>
      <c r="J14938" t="str">
        <f>VLOOKUP(E14938,DSSpieler!A:B,2,FALSE)</f>
        <v>Jugoboy95</v>
      </c>
    </row>
    <row r="14939" spans="1:10" x14ac:dyDescent="0.25">
      <c r="A14939">
        <v>16898</v>
      </c>
      <c r="B14939" t="s">
        <v>35462</v>
      </c>
      <c r="C14939">
        <v>492</v>
      </c>
      <c r="D14939">
        <v>380</v>
      </c>
      <c r="E14939">
        <v>1577195935</v>
      </c>
      <c r="F14939">
        <v>70</v>
      </c>
      <c r="G14939">
        <v>0</v>
      </c>
      <c r="H14939" t="s">
        <v>19784</v>
      </c>
      <c r="I14939">
        <v>16898</v>
      </c>
      <c r="J14939" t="str">
        <f>VLOOKUP(E14939,DSSpieler!A:B,2,FALSE)</f>
        <v>Summseseumm</v>
      </c>
    </row>
    <row r="14940" spans="1:10" x14ac:dyDescent="0.25">
      <c r="A14940">
        <v>16899</v>
      </c>
      <c r="B14940" t="s">
        <v>35463</v>
      </c>
      <c r="C14940">
        <v>554</v>
      </c>
      <c r="D14940">
        <v>612</v>
      </c>
      <c r="E14940">
        <v>1576719388</v>
      </c>
      <c r="F14940">
        <v>115</v>
      </c>
      <c r="G14940">
        <v>0</v>
      </c>
      <c r="H14940" t="s">
        <v>19785</v>
      </c>
      <c r="I14940">
        <v>16899</v>
      </c>
      <c r="J14940" t="str">
        <f>VLOOKUP(E14940,DSSpieler!A:B,2,FALSE)</f>
        <v>wendico</v>
      </c>
    </row>
    <row r="14941" spans="1:10" x14ac:dyDescent="0.25">
      <c r="A14941">
        <v>16900</v>
      </c>
      <c r="B14941" t="s">
        <v>531</v>
      </c>
      <c r="C14941">
        <v>618</v>
      </c>
      <c r="D14941">
        <v>477</v>
      </c>
      <c r="E14941">
        <v>0</v>
      </c>
      <c r="F14941">
        <v>146</v>
      </c>
      <c r="G14941">
        <v>0</v>
      </c>
      <c r="H14941" t="s">
        <v>19786</v>
      </c>
      <c r="I14941">
        <v>16900</v>
      </c>
      <c r="J14941" t="e">
        <f>VLOOKUP(E14941,DSSpieler!A:B,2,FALSE)</f>
        <v>#N/A</v>
      </c>
    </row>
    <row r="14942" spans="1:10" x14ac:dyDescent="0.25">
      <c r="A14942">
        <v>16902</v>
      </c>
      <c r="B14942" t="s">
        <v>531</v>
      </c>
      <c r="C14942">
        <v>377</v>
      </c>
      <c r="D14942">
        <v>474</v>
      </c>
      <c r="E14942">
        <v>0</v>
      </c>
      <c r="F14942">
        <v>431</v>
      </c>
      <c r="G14942">
        <v>0</v>
      </c>
      <c r="H14942" t="s">
        <v>19787</v>
      </c>
      <c r="I14942">
        <v>16902</v>
      </c>
      <c r="J14942" t="e">
        <f>VLOOKUP(E14942,DSSpieler!A:B,2,FALSE)</f>
        <v>#N/A</v>
      </c>
    </row>
    <row r="14943" spans="1:10" x14ac:dyDescent="0.25">
      <c r="A14943">
        <v>16904</v>
      </c>
      <c r="B14943" t="s">
        <v>531</v>
      </c>
      <c r="C14943">
        <v>467</v>
      </c>
      <c r="D14943">
        <v>380</v>
      </c>
      <c r="E14943">
        <v>0</v>
      </c>
      <c r="F14943">
        <v>152</v>
      </c>
      <c r="G14943">
        <v>0</v>
      </c>
      <c r="H14943" t="s">
        <v>19788</v>
      </c>
      <c r="I14943">
        <v>16904</v>
      </c>
      <c r="J14943" t="e">
        <f>VLOOKUP(E14943,DSSpieler!A:B,2,FALSE)</f>
        <v>#N/A</v>
      </c>
    </row>
    <row r="14944" spans="1:10" x14ac:dyDescent="0.25">
      <c r="A14944">
        <v>16905</v>
      </c>
      <c r="B14944" t="s">
        <v>531</v>
      </c>
      <c r="C14944">
        <v>510</v>
      </c>
      <c r="D14944">
        <v>379</v>
      </c>
      <c r="E14944">
        <v>0</v>
      </c>
      <c r="F14944">
        <v>106</v>
      </c>
      <c r="G14944">
        <v>0</v>
      </c>
      <c r="H14944" t="s">
        <v>19789</v>
      </c>
      <c r="I14944">
        <v>16905</v>
      </c>
      <c r="J14944" t="e">
        <f>VLOOKUP(E14944,DSSpieler!A:B,2,FALSE)</f>
        <v>#N/A</v>
      </c>
    </row>
    <row r="14945" spans="1:10" x14ac:dyDescent="0.25">
      <c r="A14945">
        <v>16906</v>
      </c>
      <c r="B14945" t="s">
        <v>531</v>
      </c>
      <c r="C14945">
        <v>614</v>
      </c>
      <c r="D14945">
        <v>451</v>
      </c>
      <c r="E14945">
        <v>0</v>
      </c>
      <c r="F14945">
        <v>455</v>
      </c>
      <c r="G14945">
        <v>0</v>
      </c>
      <c r="H14945" t="s">
        <v>19790</v>
      </c>
      <c r="I14945">
        <v>16906</v>
      </c>
      <c r="J14945" t="e">
        <f>VLOOKUP(E14945,DSSpieler!A:B,2,FALSE)</f>
        <v>#N/A</v>
      </c>
    </row>
    <row r="14946" spans="1:10" x14ac:dyDescent="0.25">
      <c r="A14946">
        <v>16907</v>
      </c>
      <c r="B14946" t="s">
        <v>531</v>
      </c>
      <c r="C14946">
        <v>414</v>
      </c>
      <c r="D14946">
        <v>410</v>
      </c>
      <c r="E14946">
        <v>0</v>
      </c>
      <c r="F14946">
        <v>209</v>
      </c>
      <c r="G14946">
        <v>0</v>
      </c>
      <c r="H14946" t="s">
        <v>19791</v>
      </c>
      <c r="I14946">
        <v>16907</v>
      </c>
      <c r="J14946" t="e">
        <f>VLOOKUP(E14946,DSSpieler!A:B,2,FALSE)</f>
        <v>#N/A</v>
      </c>
    </row>
    <row r="14947" spans="1:10" x14ac:dyDescent="0.25">
      <c r="A14947">
        <v>16908</v>
      </c>
      <c r="B14947" t="s">
        <v>531</v>
      </c>
      <c r="C14947">
        <v>379</v>
      </c>
      <c r="D14947">
        <v>488</v>
      </c>
      <c r="E14947">
        <v>0</v>
      </c>
      <c r="F14947">
        <v>59</v>
      </c>
      <c r="G14947">
        <v>0</v>
      </c>
      <c r="H14947" t="s">
        <v>19792</v>
      </c>
      <c r="I14947">
        <v>16908</v>
      </c>
      <c r="J14947" t="e">
        <f>VLOOKUP(E14947,DSSpieler!A:B,2,FALSE)</f>
        <v>#N/A</v>
      </c>
    </row>
    <row r="14948" spans="1:10" x14ac:dyDescent="0.25">
      <c r="A14948">
        <v>16909</v>
      </c>
      <c r="B14948" t="s">
        <v>35464</v>
      </c>
      <c r="C14948">
        <v>519</v>
      </c>
      <c r="D14948">
        <v>623</v>
      </c>
      <c r="E14948">
        <v>1577202894</v>
      </c>
      <c r="F14948">
        <v>1268</v>
      </c>
      <c r="G14948">
        <v>0</v>
      </c>
      <c r="H14948" t="s">
        <v>19793</v>
      </c>
      <c r="I14948">
        <v>16909</v>
      </c>
      <c r="J14948" t="str">
        <f>VLOOKUP(E14948,DSSpieler!A:B,2,FALSE)</f>
        <v>BreakTheCircle</v>
      </c>
    </row>
    <row r="14949" spans="1:10" x14ac:dyDescent="0.25">
      <c r="A14949">
        <v>16910</v>
      </c>
      <c r="B14949" t="s">
        <v>531</v>
      </c>
      <c r="C14949">
        <v>397</v>
      </c>
      <c r="D14949">
        <v>430</v>
      </c>
      <c r="E14949">
        <v>0</v>
      </c>
      <c r="F14949">
        <v>67</v>
      </c>
      <c r="G14949">
        <v>0</v>
      </c>
      <c r="H14949" t="s">
        <v>19794</v>
      </c>
      <c r="I14949">
        <v>16910</v>
      </c>
      <c r="J14949" t="e">
        <f>VLOOKUP(E14949,DSSpieler!A:B,2,FALSE)</f>
        <v>#N/A</v>
      </c>
    </row>
    <row r="14950" spans="1:10" x14ac:dyDescent="0.25">
      <c r="A14950">
        <v>16911</v>
      </c>
      <c r="B14950" t="s">
        <v>531</v>
      </c>
      <c r="C14950">
        <v>598</v>
      </c>
      <c r="D14950">
        <v>422</v>
      </c>
      <c r="E14950">
        <v>0</v>
      </c>
      <c r="F14950">
        <v>91</v>
      </c>
      <c r="G14950">
        <v>0</v>
      </c>
      <c r="H14950" t="s">
        <v>19795</v>
      </c>
      <c r="I14950">
        <v>16911</v>
      </c>
      <c r="J14950" t="e">
        <f>VLOOKUP(E14950,DSSpieler!A:B,2,FALSE)</f>
        <v>#N/A</v>
      </c>
    </row>
    <row r="14951" spans="1:10" x14ac:dyDescent="0.25">
      <c r="A14951">
        <v>16912</v>
      </c>
      <c r="B14951" t="s">
        <v>35465</v>
      </c>
      <c r="C14951">
        <v>505</v>
      </c>
      <c r="D14951">
        <v>396</v>
      </c>
      <c r="E14951">
        <v>1576186677</v>
      </c>
      <c r="F14951">
        <v>2402</v>
      </c>
      <c r="G14951">
        <v>0</v>
      </c>
      <c r="H14951" t="s">
        <v>19796</v>
      </c>
      <c r="I14951">
        <v>16912</v>
      </c>
      <c r="J14951" t="str">
        <f>VLOOKUP(E14951,DSSpieler!A:B,2,FALSE)</f>
        <v>kingdonaldi</v>
      </c>
    </row>
    <row r="14952" spans="1:10" x14ac:dyDescent="0.25">
      <c r="A14952">
        <v>16913</v>
      </c>
      <c r="B14952" t="s">
        <v>531</v>
      </c>
      <c r="C14952">
        <v>601</v>
      </c>
      <c r="D14952">
        <v>569</v>
      </c>
      <c r="E14952">
        <v>0</v>
      </c>
      <c r="F14952">
        <v>372</v>
      </c>
      <c r="G14952">
        <v>0</v>
      </c>
      <c r="H14952" t="s">
        <v>19797</v>
      </c>
      <c r="I14952">
        <v>16913</v>
      </c>
      <c r="J14952" t="e">
        <f>VLOOKUP(E14952,DSSpieler!A:B,2,FALSE)</f>
        <v>#N/A</v>
      </c>
    </row>
    <row r="14953" spans="1:10" x14ac:dyDescent="0.25">
      <c r="A14953">
        <v>16914</v>
      </c>
      <c r="B14953" t="s">
        <v>35466</v>
      </c>
      <c r="C14953">
        <v>559</v>
      </c>
      <c r="D14953">
        <v>611</v>
      </c>
      <c r="E14953">
        <v>10099646</v>
      </c>
      <c r="F14953">
        <v>3070</v>
      </c>
      <c r="G14953">
        <v>0</v>
      </c>
      <c r="H14953" t="s">
        <v>19798</v>
      </c>
      <c r="I14953">
        <v>16914</v>
      </c>
      <c r="J14953" t="str">
        <f>VLOOKUP(E14953,DSSpieler!A:B,2,FALSE)</f>
        <v>BashinsXsicht</v>
      </c>
    </row>
    <row r="14954" spans="1:10" x14ac:dyDescent="0.25">
      <c r="A14954">
        <v>16915</v>
      </c>
      <c r="B14954" t="s">
        <v>35467</v>
      </c>
      <c r="C14954">
        <v>620</v>
      </c>
      <c r="D14954">
        <v>521</v>
      </c>
      <c r="E14954">
        <v>1577168821</v>
      </c>
      <c r="F14954">
        <v>247</v>
      </c>
      <c r="G14954">
        <v>0</v>
      </c>
      <c r="H14954" t="s">
        <v>19799</v>
      </c>
      <c r="I14954">
        <v>16915</v>
      </c>
      <c r="J14954" t="str">
        <f>VLOOKUP(E14954,DSSpieler!A:B,2,FALSE)</f>
        <v>Braham</v>
      </c>
    </row>
    <row r="14955" spans="1:10" x14ac:dyDescent="0.25">
      <c r="A14955">
        <v>16916</v>
      </c>
      <c r="B14955" t="s">
        <v>2569</v>
      </c>
      <c r="C14955">
        <v>484</v>
      </c>
      <c r="D14955">
        <v>556</v>
      </c>
      <c r="E14955">
        <v>1577205062</v>
      </c>
      <c r="F14955">
        <v>1166</v>
      </c>
      <c r="G14955">
        <v>0</v>
      </c>
      <c r="H14955" t="s">
        <v>19800</v>
      </c>
      <c r="I14955">
        <v>16916</v>
      </c>
      <c r="J14955" t="str">
        <f>VLOOKUP(E14955,DSSpieler!A:B,2,FALSE)</f>
        <v>Belzebuub</v>
      </c>
    </row>
    <row r="14956" spans="1:10" x14ac:dyDescent="0.25">
      <c r="A14956">
        <v>16918</v>
      </c>
      <c r="B14956" t="s">
        <v>2570</v>
      </c>
      <c r="C14956">
        <v>507</v>
      </c>
      <c r="D14956">
        <v>380</v>
      </c>
      <c r="E14956">
        <v>9967816</v>
      </c>
      <c r="F14956">
        <v>210</v>
      </c>
      <c r="G14956">
        <v>0</v>
      </c>
      <c r="H14956" t="s">
        <v>19801</v>
      </c>
      <c r="I14956">
        <v>16918</v>
      </c>
      <c r="J14956" t="str">
        <f>VLOOKUP(E14956,DSSpieler!A:B,2,FALSE)</f>
        <v>WilhelmXII</v>
      </c>
    </row>
    <row r="14957" spans="1:10" x14ac:dyDescent="0.25">
      <c r="A14957">
        <v>16919</v>
      </c>
      <c r="B14957" t="s">
        <v>35468</v>
      </c>
      <c r="C14957">
        <v>554</v>
      </c>
      <c r="D14957">
        <v>613</v>
      </c>
      <c r="E14957">
        <v>8932267</v>
      </c>
      <c r="F14957">
        <v>471</v>
      </c>
      <c r="G14957">
        <v>0</v>
      </c>
      <c r="H14957" t="s">
        <v>19802</v>
      </c>
      <c r="I14957">
        <v>16919</v>
      </c>
      <c r="J14957" t="str">
        <f>VLOOKUP(E14957,DSSpieler!A:B,2,FALSE)</f>
        <v>MasterDeath</v>
      </c>
    </row>
    <row r="14958" spans="1:10" x14ac:dyDescent="0.25">
      <c r="A14958">
        <v>16920</v>
      </c>
      <c r="B14958" t="s">
        <v>531</v>
      </c>
      <c r="C14958">
        <v>389</v>
      </c>
      <c r="D14958">
        <v>454</v>
      </c>
      <c r="E14958">
        <v>0</v>
      </c>
      <c r="F14958">
        <v>575</v>
      </c>
      <c r="G14958">
        <v>0</v>
      </c>
      <c r="H14958" t="s">
        <v>19803</v>
      </c>
      <c r="I14958">
        <v>16920</v>
      </c>
      <c r="J14958" t="e">
        <f>VLOOKUP(E14958,DSSpieler!A:B,2,FALSE)</f>
        <v>#N/A</v>
      </c>
    </row>
    <row r="14959" spans="1:10" x14ac:dyDescent="0.25">
      <c r="A14959">
        <v>16921</v>
      </c>
      <c r="B14959" t="s">
        <v>531</v>
      </c>
      <c r="C14959">
        <v>385</v>
      </c>
      <c r="D14959">
        <v>476</v>
      </c>
      <c r="E14959">
        <v>0</v>
      </c>
      <c r="F14959">
        <v>175</v>
      </c>
      <c r="G14959">
        <v>0</v>
      </c>
      <c r="H14959" t="s">
        <v>19804</v>
      </c>
      <c r="I14959">
        <v>16921</v>
      </c>
      <c r="J14959" t="e">
        <f>VLOOKUP(E14959,DSSpieler!A:B,2,FALSE)</f>
        <v>#N/A</v>
      </c>
    </row>
    <row r="14960" spans="1:10" x14ac:dyDescent="0.25">
      <c r="A14960">
        <v>16922</v>
      </c>
      <c r="B14960" t="s">
        <v>2571</v>
      </c>
      <c r="C14960">
        <v>616</v>
      </c>
      <c r="D14960">
        <v>542</v>
      </c>
      <c r="E14960">
        <v>9364488</v>
      </c>
      <c r="F14960">
        <v>2038</v>
      </c>
      <c r="G14960">
        <v>0</v>
      </c>
      <c r="H14960" t="s">
        <v>19805</v>
      </c>
      <c r="I14960">
        <v>16922</v>
      </c>
      <c r="J14960" t="str">
        <f>VLOOKUP(E14960,DSSpieler!A:B,2,FALSE)</f>
        <v>Inferox</v>
      </c>
    </row>
    <row r="14961" spans="1:10" x14ac:dyDescent="0.25">
      <c r="A14961">
        <v>16923</v>
      </c>
      <c r="B14961" t="s">
        <v>2572</v>
      </c>
      <c r="C14961">
        <v>616</v>
      </c>
      <c r="D14961">
        <v>537</v>
      </c>
      <c r="E14961">
        <v>1577205068</v>
      </c>
      <c r="F14961">
        <v>1579</v>
      </c>
      <c r="G14961">
        <v>0</v>
      </c>
      <c r="H14961" t="s">
        <v>19806</v>
      </c>
      <c r="I14961">
        <v>16923</v>
      </c>
      <c r="J14961" t="str">
        <f>VLOOKUP(E14961,DSSpieler!A:B,2,FALSE)</f>
        <v>ARMYGUNZ</v>
      </c>
    </row>
    <row r="14962" spans="1:10" x14ac:dyDescent="0.25">
      <c r="A14962">
        <v>16924</v>
      </c>
      <c r="B14962" t="s">
        <v>35469</v>
      </c>
      <c r="C14962">
        <v>586</v>
      </c>
      <c r="D14962">
        <v>439</v>
      </c>
      <c r="E14962">
        <v>1576944775</v>
      </c>
      <c r="F14962">
        <v>679</v>
      </c>
      <c r="G14962">
        <v>0</v>
      </c>
      <c r="H14962" t="s">
        <v>19807</v>
      </c>
      <c r="I14962">
        <v>16924</v>
      </c>
      <c r="J14962" t="str">
        <f>VLOOKUP(E14962,DSSpieler!A:B,2,FALSE)</f>
        <v>schmugler</v>
      </c>
    </row>
    <row r="14963" spans="1:10" x14ac:dyDescent="0.25">
      <c r="A14963">
        <v>16927</v>
      </c>
      <c r="B14963" t="s">
        <v>35470</v>
      </c>
      <c r="C14963">
        <v>389</v>
      </c>
      <c r="D14963">
        <v>554</v>
      </c>
      <c r="E14963">
        <v>2063017</v>
      </c>
      <c r="F14963">
        <v>257</v>
      </c>
      <c r="G14963">
        <v>0</v>
      </c>
      <c r="H14963" t="s">
        <v>19808</v>
      </c>
      <c r="I14963">
        <v>16927</v>
      </c>
      <c r="J14963" t="str">
        <f>VLOOKUP(E14963,DSSpieler!A:B,2,FALSE)</f>
        <v>Burgviertel</v>
      </c>
    </row>
    <row r="14964" spans="1:10" x14ac:dyDescent="0.25">
      <c r="A14964">
        <v>16928</v>
      </c>
      <c r="B14964" t="s">
        <v>687</v>
      </c>
      <c r="C14964">
        <v>420</v>
      </c>
      <c r="D14964">
        <v>447</v>
      </c>
      <c r="E14964">
        <v>1576885344</v>
      </c>
      <c r="F14964">
        <v>3285</v>
      </c>
      <c r="G14964">
        <v>0</v>
      </c>
      <c r="H14964" t="s">
        <v>19809</v>
      </c>
      <c r="I14964">
        <v>16928</v>
      </c>
      <c r="J14964" t="str">
        <f>VLOOKUP(E14964,DSSpieler!A:B,2,FALSE)</f>
        <v>fe08</v>
      </c>
    </row>
    <row r="14965" spans="1:10" x14ac:dyDescent="0.25">
      <c r="A14965">
        <v>16929</v>
      </c>
      <c r="B14965" t="s">
        <v>531</v>
      </c>
      <c r="C14965">
        <v>566</v>
      </c>
      <c r="D14965">
        <v>394</v>
      </c>
      <c r="E14965">
        <v>0</v>
      </c>
      <c r="F14965">
        <v>59</v>
      </c>
      <c r="G14965">
        <v>0</v>
      </c>
      <c r="H14965" t="s">
        <v>19810</v>
      </c>
      <c r="I14965">
        <v>16929</v>
      </c>
      <c r="J14965" t="e">
        <f>VLOOKUP(E14965,DSSpieler!A:B,2,FALSE)</f>
        <v>#N/A</v>
      </c>
    </row>
    <row r="14966" spans="1:10" x14ac:dyDescent="0.25">
      <c r="A14966">
        <v>16930</v>
      </c>
      <c r="B14966" t="s">
        <v>531</v>
      </c>
      <c r="C14966">
        <v>425</v>
      </c>
      <c r="D14966">
        <v>399</v>
      </c>
      <c r="E14966">
        <v>0</v>
      </c>
      <c r="F14966">
        <v>102</v>
      </c>
      <c r="G14966">
        <v>0</v>
      </c>
      <c r="H14966" t="s">
        <v>19811</v>
      </c>
      <c r="I14966">
        <v>16930</v>
      </c>
      <c r="J14966" t="e">
        <f>VLOOKUP(E14966,DSSpieler!A:B,2,FALSE)</f>
        <v>#N/A</v>
      </c>
    </row>
    <row r="14967" spans="1:10" x14ac:dyDescent="0.25">
      <c r="A14967">
        <v>16931</v>
      </c>
      <c r="B14967" t="s">
        <v>35471</v>
      </c>
      <c r="C14967">
        <v>375</v>
      </c>
      <c r="D14967">
        <v>492</v>
      </c>
      <c r="E14967">
        <v>2870142</v>
      </c>
      <c r="F14967">
        <v>1829</v>
      </c>
      <c r="G14967">
        <v>0</v>
      </c>
      <c r="H14967" t="s">
        <v>19812</v>
      </c>
      <c r="I14967">
        <v>16931</v>
      </c>
      <c r="J14967" t="str">
        <f>VLOOKUP(E14967,DSSpieler!A:B,2,FALSE)</f>
        <v>flash17</v>
      </c>
    </row>
    <row r="14968" spans="1:10" x14ac:dyDescent="0.25">
      <c r="A14968">
        <v>16932</v>
      </c>
      <c r="B14968" t="s">
        <v>531</v>
      </c>
      <c r="C14968">
        <v>594</v>
      </c>
      <c r="D14968">
        <v>417</v>
      </c>
      <c r="E14968">
        <v>0</v>
      </c>
      <c r="F14968">
        <v>55</v>
      </c>
      <c r="G14968">
        <v>0</v>
      </c>
      <c r="H14968" t="s">
        <v>19813</v>
      </c>
      <c r="I14968">
        <v>16932</v>
      </c>
      <c r="J14968" t="e">
        <f>VLOOKUP(E14968,DSSpieler!A:B,2,FALSE)</f>
        <v>#N/A</v>
      </c>
    </row>
    <row r="14969" spans="1:10" x14ac:dyDescent="0.25">
      <c r="A14969">
        <v>16933</v>
      </c>
      <c r="B14969" t="s">
        <v>531</v>
      </c>
      <c r="C14969">
        <v>376</v>
      </c>
      <c r="D14969">
        <v>488</v>
      </c>
      <c r="E14969">
        <v>0</v>
      </c>
      <c r="F14969">
        <v>71</v>
      </c>
      <c r="G14969">
        <v>0</v>
      </c>
      <c r="H14969" t="s">
        <v>19814</v>
      </c>
      <c r="I14969">
        <v>16933</v>
      </c>
      <c r="J14969" t="e">
        <f>VLOOKUP(E14969,DSSpieler!A:B,2,FALSE)</f>
        <v>#N/A</v>
      </c>
    </row>
    <row r="14970" spans="1:10" x14ac:dyDescent="0.25">
      <c r="A14970">
        <v>16934</v>
      </c>
      <c r="B14970" t="s">
        <v>531</v>
      </c>
      <c r="C14970">
        <v>504</v>
      </c>
      <c r="D14970">
        <v>621</v>
      </c>
      <c r="E14970">
        <v>0</v>
      </c>
      <c r="F14970">
        <v>56</v>
      </c>
      <c r="G14970">
        <v>0</v>
      </c>
      <c r="H14970" t="s">
        <v>19815</v>
      </c>
      <c r="I14970">
        <v>16934</v>
      </c>
      <c r="J14970" t="e">
        <f>VLOOKUP(E14970,DSSpieler!A:B,2,FALSE)</f>
        <v>#N/A</v>
      </c>
    </row>
    <row r="14971" spans="1:10" x14ac:dyDescent="0.25">
      <c r="A14971">
        <v>16935</v>
      </c>
      <c r="B14971" t="s">
        <v>531</v>
      </c>
      <c r="C14971">
        <v>397</v>
      </c>
      <c r="D14971">
        <v>428</v>
      </c>
      <c r="E14971">
        <v>0</v>
      </c>
      <c r="F14971">
        <v>68</v>
      </c>
      <c r="G14971">
        <v>0</v>
      </c>
      <c r="H14971" t="s">
        <v>19816</v>
      </c>
      <c r="I14971">
        <v>16935</v>
      </c>
      <c r="J14971" t="e">
        <f>VLOOKUP(E14971,DSSpieler!A:B,2,FALSE)</f>
        <v>#N/A</v>
      </c>
    </row>
    <row r="14972" spans="1:10" x14ac:dyDescent="0.25">
      <c r="A14972">
        <v>16936</v>
      </c>
      <c r="B14972" t="s">
        <v>35472</v>
      </c>
      <c r="C14972">
        <v>399</v>
      </c>
      <c r="D14972">
        <v>572</v>
      </c>
      <c r="E14972">
        <v>1577173070</v>
      </c>
      <c r="F14972">
        <v>552</v>
      </c>
      <c r="G14972">
        <v>0</v>
      </c>
      <c r="H14972" t="s">
        <v>19817</v>
      </c>
      <c r="I14972">
        <v>16936</v>
      </c>
      <c r="J14972" t="str">
        <f>VLOOKUP(E14972,DSSpieler!A:B,2,FALSE)</f>
        <v>LightekG</v>
      </c>
    </row>
    <row r="14973" spans="1:10" x14ac:dyDescent="0.25">
      <c r="A14973">
        <v>16937</v>
      </c>
      <c r="B14973" t="s">
        <v>531</v>
      </c>
      <c r="C14973">
        <v>471</v>
      </c>
      <c r="D14973">
        <v>413</v>
      </c>
      <c r="E14973">
        <v>0</v>
      </c>
      <c r="F14973">
        <v>82</v>
      </c>
      <c r="G14973">
        <v>0</v>
      </c>
      <c r="H14973" t="s">
        <v>19818</v>
      </c>
      <c r="I14973">
        <v>16937</v>
      </c>
      <c r="J14973" t="e">
        <f>VLOOKUP(E14973,DSSpieler!A:B,2,FALSE)</f>
        <v>#N/A</v>
      </c>
    </row>
    <row r="14974" spans="1:10" x14ac:dyDescent="0.25">
      <c r="A14974">
        <v>16939</v>
      </c>
      <c r="B14974" t="s">
        <v>2367</v>
      </c>
      <c r="C14974">
        <v>411</v>
      </c>
      <c r="D14974">
        <v>418</v>
      </c>
      <c r="E14974">
        <v>1577039264</v>
      </c>
      <c r="F14974">
        <v>2148</v>
      </c>
      <c r="G14974">
        <v>0</v>
      </c>
      <c r="H14974" t="s">
        <v>19819</v>
      </c>
      <c r="I14974">
        <v>16939</v>
      </c>
      <c r="J14974" t="str">
        <f>VLOOKUP(E14974,DSSpieler!A:B,2,FALSE)</f>
        <v>fm633</v>
      </c>
    </row>
    <row r="14975" spans="1:10" x14ac:dyDescent="0.25">
      <c r="A14975">
        <v>16941</v>
      </c>
      <c r="B14975" t="s">
        <v>531</v>
      </c>
      <c r="C14975">
        <v>543</v>
      </c>
      <c r="D14975">
        <v>617</v>
      </c>
      <c r="E14975">
        <v>0</v>
      </c>
      <c r="F14975">
        <v>133</v>
      </c>
      <c r="G14975">
        <v>0</v>
      </c>
      <c r="H14975" t="s">
        <v>19820</v>
      </c>
      <c r="I14975">
        <v>16941</v>
      </c>
      <c r="J14975" t="e">
        <f>VLOOKUP(E14975,DSSpieler!A:B,2,FALSE)</f>
        <v>#N/A</v>
      </c>
    </row>
    <row r="14976" spans="1:10" x14ac:dyDescent="0.25">
      <c r="A14976">
        <v>16942</v>
      </c>
      <c r="B14976" t="s">
        <v>35473</v>
      </c>
      <c r="C14976">
        <v>592</v>
      </c>
      <c r="D14976">
        <v>583</v>
      </c>
      <c r="E14976">
        <v>1577132435</v>
      </c>
      <c r="F14976">
        <v>3050</v>
      </c>
      <c r="G14976">
        <v>0</v>
      </c>
      <c r="H14976" t="s">
        <v>19821</v>
      </c>
      <c r="I14976">
        <v>16942</v>
      </c>
      <c r="J14976" t="str">
        <f>VLOOKUP(E14976,DSSpieler!A:B,2,FALSE)</f>
        <v>capt.krum</v>
      </c>
    </row>
    <row r="14977" spans="1:10" x14ac:dyDescent="0.25">
      <c r="A14977">
        <v>16943</v>
      </c>
      <c r="B14977" t="s">
        <v>531</v>
      </c>
      <c r="C14977">
        <v>519</v>
      </c>
      <c r="D14977">
        <v>622</v>
      </c>
      <c r="E14977">
        <v>0</v>
      </c>
      <c r="F14977">
        <v>378</v>
      </c>
      <c r="G14977">
        <v>0</v>
      </c>
      <c r="H14977" t="s">
        <v>19822</v>
      </c>
      <c r="I14977">
        <v>16943</v>
      </c>
      <c r="J14977" t="e">
        <f>VLOOKUP(E14977,DSSpieler!A:B,2,FALSE)</f>
        <v>#N/A</v>
      </c>
    </row>
    <row r="14978" spans="1:10" x14ac:dyDescent="0.25">
      <c r="A14978">
        <v>16944</v>
      </c>
      <c r="B14978" t="s">
        <v>531</v>
      </c>
      <c r="C14978">
        <v>600</v>
      </c>
      <c r="D14978">
        <v>572</v>
      </c>
      <c r="E14978">
        <v>0</v>
      </c>
      <c r="F14978">
        <v>146</v>
      </c>
      <c r="G14978">
        <v>0</v>
      </c>
      <c r="H14978" t="s">
        <v>19823</v>
      </c>
      <c r="I14978">
        <v>16944</v>
      </c>
      <c r="J14978" t="e">
        <f>VLOOKUP(E14978,DSSpieler!A:B,2,FALSE)</f>
        <v>#N/A</v>
      </c>
    </row>
    <row r="14979" spans="1:10" x14ac:dyDescent="0.25">
      <c r="A14979">
        <v>16945</v>
      </c>
      <c r="B14979" t="s">
        <v>35474</v>
      </c>
      <c r="C14979">
        <v>453</v>
      </c>
      <c r="D14979">
        <v>385</v>
      </c>
      <c r="E14979">
        <v>1576892850</v>
      </c>
      <c r="F14979">
        <v>2143</v>
      </c>
      <c r="G14979">
        <v>0</v>
      </c>
      <c r="H14979" t="s">
        <v>19824</v>
      </c>
      <c r="I14979">
        <v>16945</v>
      </c>
      <c r="J14979" t="str">
        <f>VLOOKUP(E14979,DSSpieler!A:B,2,FALSE)</f>
        <v>Cuneglas of Powys</v>
      </c>
    </row>
    <row r="14980" spans="1:10" x14ac:dyDescent="0.25">
      <c r="A14980">
        <v>16946</v>
      </c>
      <c r="B14980" t="s">
        <v>531</v>
      </c>
      <c r="C14980">
        <v>566</v>
      </c>
      <c r="D14980">
        <v>610</v>
      </c>
      <c r="E14980">
        <v>0</v>
      </c>
      <c r="F14980">
        <v>601</v>
      </c>
      <c r="G14980">
        <v>0</v>
      </c>
      <c r="H14980" t="s">
        <v>19825</v>
      </c>
      <c r="I14980">
        <v>16946</v>
      </c>
      <c r="J14980" t="e">
        <f>VLOOKUP(E14980,DSSpieler!A:B,2,FALSE)</f>
        <v>#N/A</v>
      </c>
    </row>
    <row r="14981" spans="1:10" x14ac:dyDescent="0.25">
      <c r="A14981">
        <v>16947</v>
      </c>
      <c r="B14981" t="s">
        <v>35475</v>
      </c>
      <c r="C14981">
        <v>556</v>
      </c>
      <c r="D14981">
        <v>463</v>
      </c>
      <c r="E14981">
        <v>1577205113</v>
      </c>
      <c r="F14981">
        <v>2333</v>
      </c>
      <c r="G14981">
        <v>0</v>
      </c>
      <c r="H14981" t="s">
        <v>19826</v>
      </c>
      <c r="I14981">
        <v>16947</v>
      </c>
      <c r="J14981" t="str">
        <f>VLOOKUP(E14981,DSSpieler!A:B,2,FALSE)</f>
        <v>TheDutchman</v>
      </c>
    </row>
    <row r="14982" spans="1:10" x14ac:dyDescent="0.25">
      <c r="A14982">
        <v>16949</v>
      </c>
      <c r="B14982" t="s">
        <v>531</v>
      </c>
      <c r="C14982">
        <v>620</v>
      </c>
      <c r="D14982">
        <v>532</v>
      </c>
      <c r="E14982">
        <v>0</v>
      </c>
      <c r="F14982">
        <v>132</v>
      </c>
      <c r="G14982">
        <v>0</v>
      </c>
      <c r="H14982" t="s">
        <v>19827</v>
      </c>
      <c r="I14982">
        <v>16949</v>
      </c>
      <c r="J14982" t="e">
        <f>VLOOKUP(E14982,DSSpieler!A:B,2,FALSE)</f>
        <v>#N/A</v>
      </c>
    </row>
    <row r="14983" spans="1:10" x14ac:dyDescent="0.25">
      <c r="A14983">
        <v>16950</v>
      </c>
      <c r="B14983" t="s">
        <v>531</v>
      </c>
      <c r="C14983">
        <v>480</v>
      </c>
      <c r="D14983">
        <v>620</v>
      </c>
      <c r="E14983">
        <v>0</v>
      </c>
      <c r="F14983">
        <v>102</v>
      </c>
      <c r="G14983">
        <v>0</v>
      </c>
      <c r="H14983" t="s">
        <v>19828</v>
      </c>
      <c r="I14983">
        <v>16950</v>
      </c>
      <c r="J14983" t="e">
        <f>VLOOKUP(E14983,DSSpieler!A:B,2,FALSE)</f>
        <v>#N/A</v>
      </c>
    </row>
    <row r="14984" spans="1:10" x14ac:dyDescent="0.25">
      <c r="A14984">
        <v>16951</v>
      </c>
      <c r="B14984">
        <v>2</v>
      </c>
      <c r="C14984">
        <v>416</v>
      </c>
      <c r="D14984">
        <v>525</v>
      </c>
      <c r="E14984">
        <v>47242</v>
      </c>
      <c r="F14984">
        <v>1445</v>
      </c>
      <c r="G14984">
        <v>0</v>
      </c>
      <c r="H14984" t="s">
        <v>19829</v>
      </c>
      <c r="I14984">
        <v>16951</v>
      </c>
      <c r="J14984" t="str">
        <f>VLOOKUP(E14984,DSSpieler!A:B,2,FALSE)</f>
        <v>pierre100</v>
      </c>
    </row>
    <row r="14985" spans="1:10" x14ac:dyDescent="0.25">
      <c r="A14985">
        <v>16952</v>
      </c>
      <c r="B14985" t="s">
        <v>531</v>
      </c>
      <c r="C14985">
        <v>589</v>
      </c>
      <c r="D14985">
        <v>583</v>
      </c>
      <c r="E14985">
        <v>0</v>
      </c>
      <c r="F14985">
        <v>88</v>
      </c>
      <c r="G14985">
        <v>0</v>
      </c>
      <c r="H14985" t="s">
        <v>19830</v>
      </c>
      <c r="I14985">
        <v>16952</v>
      </c>
      <c r="J14985" t="e">
        <f>VLOOKUP(E14985,DSSpieler!A:B,2,FALSE)</f>
        <v>#N/A</v>
      </c>
    </row>
    <row r="14986" spans="1:10" x14ac:dyDescent="0.25">
      <c r="A14986">
        <v>16953</v>
      </c>
      <c r="B14986" t="s">
        <v>531</v>
      </c>
      <c r="C14986">
        <v>385</v>
      </c>
      <c r="D14986">
        <v>452</v>
      </c>
      <c r="E14986">
        <v>0</v>
      </c>
      <c r="F14986">
        <v>172</v>
      </c>
      <c r="G14986">
        <v>0</v>
      </c>
      <c r="H14986" t="s">
        <v>19831</v>
      </c>
      <c r="I14986">
        <v>16953</v>
      </c>
      <c r="J14986" t="e">
        <f>VLOOKUP(E14986,DSSpieler!A:B,2,FALSE)</f>
        <v>#N/A</v>
      </c>
    </row>
    <row r="14987" spans="1:10" x14ac:dyDescent="0.25">
      <c r="A14987">
        <v>16954</v>
      </c>
      <c r="B14987" t="s">
        <v>2573</v>
      </c>
      <c r="C14987">
        <v>383</v>
      </c>
      <c r="D14987">
        <v>528</v>
      </c>
      <c r="E14987">
        <v>8340040</v>
      </c>
      <c r="F14987">
        <v>1355</v>
      </c>
      <c r="G14987">
        <v>0</v>
      </c>
      <c r="H14987" t="s">
        <v>19832</v>
      </c>
      <c r="I14987">
        <v>16954</v>
      </c>
      <c r="J14987" t="str">
        <f>VLOOKUP(E14987,DSSpieler!A:B,2,FALSE)</f>
        <v>Makawee</v>
      </c>
    </row>
    <row r="14988" spans="1:10" x14ac:dyDescent="0.25">
      <c r="A14988">
        <v>16955</v>
      </c>
      <c r="B14988" t="s">
        <v>2574</v>
      </c>
      <c r="C14988">
        <v>391</v>
      </c>
      <c r="D14988">
        <v>456</v>
      </c>
      <c r="E14988">
        <v>1577191249</v>
      </c>
      <c r="F14988">
        <v>2588</v>
      </c>
      <c r="G14988">
        <v>0</v>
      </c>
      <c r="H14988" t="s">
        <v>484</v>
      </c>
      <c r="I14988">
        <v>16955</v>
      </c>
      <c r="J14988" t="str">
        <f>VLOOKUP(E14988,DSSpieler!A:B,2,FALSE)</f>
        <v>Succoso</v>
      </c>
    </row>
    <row r="14989" spans="1:10" x14ac:dyDescent="0.25">
      <c r="A14989">
        <v>16956</v>
      </c>
      <c r="B14989" t="s">
        <v>2575</v>
      </c>
      <c r="C14989">
        <v>625</v>
      </c>
      <c r="D14989">
        <v>476</v>
      </c>
      <c r="E14989">
        <v>1301261</v>
      </c>
      <c r="F14989">
        <v>515</v>
      </c>
      <c r="G14989">
        <v>0</v>
      </c>
      <c r="H14989" t="s">
        <v>19833</v>
      </c>
      <c r="I14989">
        <v>16956</v>
      </c>
      <c r="J14989" t="str">
        <f>VLOOKUP(E14989,DSSpieler!A:B,2,FALSE)</f>
        <v>Rondolo</v>
      </c>
    </row>
    <row r="14990" spans="1:10" x14ac:dyDescent="0.25">
      <c r="A14990">
        <v>16958</v>
      </c>
      <c r="B14990" t="s">
        <v>35476</v>
      </c>
      <c r="C14990">
        <v>425</v>
      </c>
      <c r="D14990">
        <v>403</v>
      </c>
      <c r="E14990">
        <v>2035934</v>
      </c>
      <c r="F14990">
        <v>574</v>
      </c>
      <c r="G14990">
        <v>0</v>
      </c>
      <c r="H14990" t="s">
        <v>19834</v>
      </c>
      <c r="I14990">
        <v>16958</v>
      </c>
      <c r="J14990" t="str">
        <f>VLOOKUP(E14990,DSSpieler!A:B,2,FALSE)</f>
        <v>D-Generation X93</v>
      </c>
    </row>
    <row r="14991" spans="1:10" x14ac:dyDescent="0.25">
      <c r="A14991">
        <v>16959</v>
      </c>
      <c r="B14991" t="s">
        <v>531</v>
      </c>
      <c r="C14991">
        <v>411</v>
      </c>
      <c r="D14991">
        <v>586</v>
      </c>
      <c r="E14991">
        <v>0</v>
      </c>
      <c r="F14991">
        <v>193</v>
      </c>
      <c r="G14991">
        <v>0</v>
      </c>
      <c r="H14991" t="s">
        <v>19835</v>
      </c>
      <c r="I14991">
        <v>16959</v>
      </c>
      <c r="J14991" t="e">
        <f>VLOOKUP(E14991,DSSpieler!A:B,2,FALSE)</f>
        <v>#N/A</v>
      </c>
    </row>
    <row r="14992" spans="1:10" x14ac:dyDescent="0.25">
      <c r="A14992">
        <v>16960</v>
      </c>
      <c r="B14992" t="s">
        <v>35477</v>
      </c>
      <c r="C14992">
        <v>376</v>
      </c>
      <c r="D14992">
        <v>489</v>
      </c>
      <c r="E14992">
        <v>8629482</v>
      </c>
      <c r="F14992">
        <v>2309</v>
      </c>
      <c r="G14992">
        <v>0</v>
      </c>
      <c r="H14992" t="s">
        <v>19836</v>
      </c>
      <c r="I14992">
        <v>16960</v>
      </c>
      <c r="J14992" t="str">
        <f>VLOOKUP(E14992,DSSpieler!A:B,2,FALSE)</f>
        <v>sauereraffe</v>
      </c>
    </row>
    <row r="14993" spans="1:10" x14ac:dyDescent="0.25">
      <c r="A14993">
        <v>16961</v>
      </c>
      <c r="B14993" t="s">
        <v>2576</v>
      </c>
      <c r="C14993">
        <v>559</v>
      </c>
      <c r="D14993">
        <v>596</v>
      </c>
      <c r="E14993">
        <v>1577205132</v>
      </c>
      <c r="F14993">
        <v>979</v>
      </c>
      <c r="G14993">
        <v>0</v>
      </c>
      <c r="H14993" t="s">
        <v>19837</v>
      </c>
      <c r="I14993">
        <v>16961</v>
      </c>
      <c r="J14993" t="str">
        <f>VLOOKUP(E14993,DSSpieler!A:B,2,FALSE)</f>
        <v>Ivo187</v>
      </c>
    </row>
    <row r="14994" spans="1:10" x14ac:dyDescent="0.25">
      <c r="A14994">
        <v>16962</v>
      </c>
      <c r="B14994" t="s">
        <v>35478</v>
      </c>
      <c r="C14994">
        <v>380</v>
      </c>
      <c r="D14994">
        <v>488</v>
      </c>
      <c r="E14994">
        <v>1576572054</v>
      </c>
      <c r="F14994">
        <v>2538</v>
      </c>
      <c r="G14994">
        <v>0</v>
      </c>
      <c r="H14994" t="s">
        <v>19838</v>
      </c>
      <c r="I14994">
        <v>16962</v>
      </c>
      <c r="J14994" t="str">
        <f>VLOOKUP(E14994,DSSpieler!A:B,2,FALSE)</f>
        <v>xXxNoRealLifexXx</v>
      </c>
    </row>
    <row r="14995" spans="1:10" x14ac:dyDescent="0.25">
      <c r="A14995">
        <v>16964</v>
      </c>
      <c r="B14995" t="s">
        <v>531</v>
      </c>
      <c r="C14995">
        <v>493</v>
      </c>
      <c r="D14995">
        <v>625</v>
      </c>
      <c r="E14995">
        <v>0</v>
      </c>
      <c r="F14995">
        <v>148</v>
      </c>
      <c r="G14995">
        <v>0</v>
      </c>
      <c r="H14995" t="s">
        <v>19839</v>
      </c>
      <c r="I14995">
        <v>16964</v>
      </c>
      <c r="J14995" t="e">
        <f>VLOOKUP(E14995,DSSpieler!A:B,2,FALSE)</f>
        <v>#N/A</v>
      </c>
    </row>
    <row r="14996" spans="1:10" x14ac:dyDescent="0.25">
      <c r="A14996">
        <v>16965</v>
      </c>
      <c r="B14996" t="s">
        <v>35479</v>
      </c>
      <c r="C14996">
        <v>528</v>
      </c>
      <c r="D14996">
        <v>379</v>
      </c>
      <c r="E14996">
        <v>1576963514</v>
      </c>
      <c r="F14996">
        <v>1141</v>
      </c>
      <c r="G14996">
        <v>0</v>
      </c>
      <c r="H14996" t="s">
        <v>19840</v>
      </c>
      <c r="I14996">
        <v>16965</v>
      </c>
      <c r="J14996" t="str">
        <f>VLOOKUP(E14996,DSSpieler!A:B,2,FALSE)</f>
        <v>König Duran</v>
      </c>
    </row>
    <row r="14997" spans="1:10" x14ac:dyDescent="0.25">
      <c r="A14997">
        <v>16966</v>
      </c>
      <c r="B14997" t="s">
        <v>531</v>
      </c>
      <c r="C14997">
        <v>580</v>
      </c>
      <c r="D14997">
        <v>593</v>
      </c>
      <c r="E14997">
        <v>0</v>
      </c>
      <c r="F14997">
        <v>59</v>
      </c>
      <c r="G14997">
        <v>0</v>
      </c>
      <c r="H14997" t="s">
        <v>19841</v>
      </c>
      <c r="I14997">
        <v>16966</v>
      </c>
      <c r="J14997" t="e">
        <f>VLOOKUP(E14997,DSSpieler!A:B,2,FALSE)</f>
        <v>#N/A</v>
      </c>
    </row>
    <row r="14998" spans="1:10" x14ac:dyDescent="0.25">
      <c r="A14998">
        <v>16967</v>
      </c>
      <c r="B14998" t="s">
        <v>701</v>
      </c>
      <c r="C14998">
        <v>486</v>
      </c>
      <c r="D14998">
        <v>376</v>
      </c>
      <c r="E14998">
        <v>1577020880</v>
      </c>
      <c r="F14998">
        <v>898</v>
      </c>
      <c r="G14998">
        <v>0</v>
      </c>
      <c r="H14998" t="s">
        <v>19842</v>
      </c>
      <c r="I14998">
        <v>16967</v>
      </c>
      <c r="J14998" t="str">
        <f>VLOOKUP(E14998,DSSpieler!A:B,2,FALSE)</f>
        <v>Frannco</v>
      </c>
    </row>
    <row r="14999" spans="1:10" x14ac:dyDescent="0.25">
      <c r="A14999">
        <v>16968</v>
      </c>
      <c r="B14999" t="s">
        <v>531</v>
      </c>
      <c r="C14999">
        <v>620</v>
      </c>
      <c r="D14999">
        <v>472</v>
      </c>
      <c r="E14999">
        <v>0</v>
      </c>
      <c r="F14999">
        <v>56</v>
      </c>
      <c r="G14999">
        <v>0</v>
      </c>
      <c r="H14999" t="s">
        <v>19843</v>
      </c>
      <c r="I14999">
        <v>16968</v>
      </c>
      <c r="J14999" t="e">
        <f>VLOOKUP(E14999,DSSpieler!A:B,2,FALSE)</f>
        <v>#N/A</v>
      </c>
    </row>
    <row r="15000" spans="1:10" x14ac:dyDescent="0.25">
      <c r="A15000">
        <v>16969</v>
      </c>
      <c r="B15000" t="s">
        <v>531</v>
      </c>
      <c r="C15000">
        <v>389</v>
      </c>
      <c r="D15000">
        <v>555</v>
      </c>
      <c r="E15000">
        <v>0</v>
      </c>
      <c r="F15000">
        <v>98</v>
      </c>
      <c r="G15000">
        <v>0</v>
      </c>
      <c r="H15000" t="s">
        <v>19844</v>
      </c>
      <c r="I15000">
        <v>16969</v>
      </c>
      <c r="J15000" t="e">
        <f>VLOOKUP(E15000,DSSpieler!A:B,2,FALSE)</f>
        <v>#N/A</v>
      </c>
    </row>
    <row r="15001" spans="1:10" x14ac:dyDescent="0.25">
      <c r="A15001">
        <v>16970</v>
      </c>
      <c r="B15001" t="s">
        <v>35480</v>
      </c>
      <c r="C15001">
        <v>379</v>
      </c>
      <c r="D15001">
        <v>480</v>
      </c>
      <c r="E15001">
        <v>10022207</v>
      </c>
      <c r="F15001">
        <v>845</v>
      </c>
      <c r="G15001">
        <v>0</v>
      </c>
      <c r="H15001" t="s">
        <v>19845</v>
      </c>
      <c r="I15001">
        <v>16970</v>
      </c>
      <c r="J15001" t="str">
        <f>VLOOKUP(E15001,DSSpieler!A:B,2,FALSE)</f>
        <v>facelessvoid007</v>
      </c>
    </row>
    <row r="15002" spans="1:10" x14ac:dyDescent="0.25">
      <c r="A15002">
        <v>16971</v>
      </c>
      <c r="B15002" t="s">
        <v>531</v>
      </c>
      <c r="C15002">
        <v>552</v>
      </c>
      <c r="D15002">
        <v>387</v>
      </c>
      <c r="E15002">
        <v>0</v>
      </c>
      <c r="F15002">
        <v>139</v>
      </c>
      <c r="G15002">
        <v>0</v>
      </c>
      <c r="H15002" t="s">
        <v>19846</v>
      </c>
      <c r="I15002">
        <v>16971</v>
      </c>
      <c r="J15002" t="e">
        <f>VLOOKUP(E15002,DSSpieler!A:B,2,FALSE)</f>
        <v>#N/A</v>
      </c>
    </row>
    <row r="15003" spans="1:10" x14ac:dyDescent="0.25">
      <c r="A15003">
        <v>16972</v>
      </c>
      <c r="B15003" t="s">
        <v>531</v>
      </c>
      <c r="C15003">
        <v>614</v>
      </c>
      <c r="D15003">
        <v>550</v>
      </c>
      <c r="E15003">
        <v>0</v>
      </c>
      <c r="F15003">
        <v>117</v>
      </c>
      <c r="G15003">
        <v>0</v>
      </c>
      <c r="H15003" t="s">
        <v>19847</v>
      </c>
      <c r="I15003">
        <v>16972</v>
      </c>
      <c r="J15003" t="e">
        <f>VLOOKUP(E15003,DSSpieler!A:B,2,FALSE)</f>
        <v>#N/A</v>
      </c>
    </row>
    <row r="15004" spans="1:10" x14ac:dyDescent="0.25">
      <c r="A15004">
        <v>16973</v>
      </c>
      <c r="B15004" t="s">
        <v>531</v>
      </c>
      <c r="C15004">
        <v>406</v>
      </c>
      <c r="D15004">
        <v>579</v>
      </c>
      <c r="E15004">
        <v>0</v>
      </c>
      <c r="F15004">
        <v>171</v>
      </c>
      <c r="G15004">
        <v>0</v>
      </c>
      <c r="H15004" t="s">
        <v>19848</v>
      </c>
      <c r="I15004">
        <v>16973</v>
      </c>
      <c r="J15004" t="e">
        <f>VLOOKUP(E15004,DSSpieler!A:B,2,FALSE)</f>
        <v>#N/A</v>
      </c>
    </row>
    <row r="15005" spans="1:10" x14ac:dyDescent="0.25">
      <c r="A15005">
        <v>16974</v>
      </c>
      <c r="B15005" t="s">
        <v>531</v>
      </c>
      <c r="C15005">
        <v>454</v>
      </c>
      <c r="D15005">
        <v>595</v>
      </c>
      <c r="E15005">
        <v>0</v>
      </c>
      <c r="F15005">
        <v>133</v>
      </c>
      <c r="G15005">
        <v>0</v>
      </c>
      <c r="H15005" t="s">
        <v>19849</v>
      </c>
      <c r="I15005">
        <v>16974</v>
      </c>
      <c r="J15005" t="e">
        <f>VLOOKUP(E15005,DSSpieler!A:B,2,FALSE)</f>
        <v>#N/A</v>
      </c>
    </row>
    <row r="15006" spans="1:10" x14ac:dyDescent="0.25">
      <c r="A15006">
        <v>16975</v>
      </c>
      <c r="B15006" t="s">
        <v>531</v>
      </c>
      <c r="C15006">
        <v>449</v>
      </c>
      <c r="D15006">
        <v>414</v>
      </c>
      <c r="E15006">
        <v>0</v>
      </c>
      <c r="F15006">
        <v>90</v>
      </c>
      <c r="G15006">
        <v>0</v>
      </c>
      <c r="H15006" t="s">
        <v>19850</v>
      </c>
      <c r="I15006">
        <v>16975</v>
      </c>
      <c r="J15006" t="e">
        <f>VLOOKUP(E15006,DSSpieler!A:B,2,FALSE)</f>
        <v>#N/A</v>
      </c>
    </row>
    <row r="15007" spans="1:10" x14ac:dyDescent="0.25">
      <c r="A15007">
        <v>16976</v>
      </c>
      <c r="B15007" t="s">
        <v>35481</v>
      </c>
      <c r="C15007">
        <v>380</v>
      </c>
      <c r="D15007">
        <v>484</v>
      </c>
      <c r="E15007">
        <v>1577182944</v>
      </c>
      <c r="F15007">
        <v>87</v>
      </c>
      <c r="G15007">
        <v>0</v>
      </c>
      <c r="H15007" t="s">
        <v>19851</v>
      </c>
      <c r="I15007">
        <v>16976</v>
      </c>
      <c r="J15007" t="str">
        <f>VLOOKUP(E15007,DSSpieler!A:B,2,FALSE)</f>
        <v>dei mem</v>
      </c>
    </row>
    <row r="15008" spans="1:10" x14ac:dyDescent="0.25">
      <c r="A15008">
        <v>16977</v>
      </c>
      <c r="B15008" t="s">
        <v>531</v>
      </c>
      <c r="C15008">
        <v>623</v>
      </c>
      <c r="D15008">
        <v>519</v>
      </c>
      <c r="E15008">
        <v>0</v>
      </c>
      <c r="F15008">
        <v>47</v>
      </c>
      <c r="G15008">
        <v>0</v>
      </c>
      <c r="H15008" t="s">
        <v>19852</v>
      </c>
      <c r="I15008">
        <v>16977</v>
      </c>
      <c r="J15008" t="e">
        <f>VLOOKUP(E15008,DSSpieler!A:B,2,FALSE)</f>
        <v>#N/A</v>
      </c>
    </row>
    <row r="15009" spans="1:10" x14ac:dyDescent="0.25">
      <c r="A15009">
        <v>16978</v>
      </c>
      <c r="B15009" t="s">
        <v>531</v>
      </c>
      <c r="C15009">
        <v>412</v>
      </c>
      <c r="D15009">
        <v>418</v>
      </c>
      <c r="E15009">
        <v>0</v>
      </c>
      <c r="F15009">
        <v>113</v>
      </c>
      <c r="G15009">
        <v>0</v>
      </c>
      <c r="H15009" t="s">
        <v>19853</v>
      </c>
      <c r="I15009">
        <v>16978</v>
      </c>
      <c r="J15009" t="e">
        <f>VLOOKUP(E15009,DSSpieler!A:B,2,FALSE)</f>
        <v>#N/A</v>
      </c>
    </row>
    <row r="15010" spans="1:10" x14ac:dyDescent="0.25">
      <c r="A15010">
        <v>16979</v>
      </c>
      <c r="B15010" t="s">
        <v>35482</v>
      </c>
      <c r="C15010">
        <v>489</v>
      </c>
      <c r="D15010">
        <v>401</v>
      </c>
      <c r="E15010">
        <v>1577009698</v>
      </c>
      <c r="F15010">
        <v>1123</v>
      </c>
      <c r="G15010">
        <v>0</v>
      </c>
      <c r="H15010" t="s">
        <v>19854</v>
      </c>
      <c r="I15010">
        <v>16979</v>
      </c>
      <c r="J15010" t="str">
        <f>VLOOKUP(E15010,DSSpieler!A:B,2,FALSE)</f>
        <v>Lord Vader83</v>
      </c>
    </row>
    <row r="15011" spans="1:10" x14ac:dyDescent="0.25">
      <c r="A15011">
        <v>16980</v>
      </c>
      <c r="B15011" t="s">
        <v>35483</v>
      </c>
      <c r="C15011">
        <v>587</v>
      </c>
      <c r="D15011">
        <v>591</v>
      </c>
      <c r="E15011">
        <v>1577179899</v>
      </c>
      <c r="F15011">
        <v>2430</v>
      </c>
      <c r="G15011">
        <v>0</v>
      </c>
      <c r="H15011" t="s">
        <v>19855</v>
      </c>
      <c r="I15011">
        <v>16980</v>
      </c>
      <c r="J15011" t="str">
        <f>VLOOKUP(E15011,DSSpieler!A:B,2,FALSE)</f>
        <v>Marek28</v>
      </c>
    </row>
    <row r="15012" spans="1:10" x14ac:dyDescent="0.25">
      <c r="A15012">
        <v>16981</v>
      </c>
      <c r="B15012" t="s">
        <v>531</v>
      </c>
      <c r="C15012">
        <v>526</v>
      </c>
      <c r="D15012">
        <v>380</v>
      </c>
      <c r="E15012">
        <v>0</v>
      </c>
      <c r="F15012">
        <v>113</v>
      </c>
      <c r="G15012">
        <v>0</v>
      </c>
      <c r="H15012" t="s">
        <v>19856</v>
      </c>
      <c r="I15012">
        <v>16981</v>
      </c>
      <c r="J15012" t="e">
        <f>VLOOKUP(E15012,DSSpieler!A:B,2,FALSE)</f>
        <v>#N/A</v>
      </c>
    </row>
    <row r="15013" spans="1:10" x14ac:dyDescent="0.25">
      <c r="A15013">
        <v>16982</v>
      </c>
      <c r="B15013" t="s">
        <v>531</v>
      </c>
      <c r="C15013">
        <v>620</v>
      </c>
      <c r="D15013">
        <v>529</v>
      </c>
      <c r="E15013">
        <v>0</v>
      </c>
      <c r="F15013">
        <v>104</v>
      </c>
      <c r="G15013">
        <v>0</v>
      </c>
      <c r="H15013" t="s">
        <v>19857</v>
      </c>
      <c r="I15013">
        <v>16982</v>
      </c>
      <c r="J15013" t="e">
        <f>VLOOKUP(E15013,DSSpieler!A:B,2,FALSE)</f>
        <v>#N/A</v>
      </c>
    </row>
    <row r="15014" spans="1:10" x14ac:dyDescent="0.25">
      <c r="A15014">
        <v>16983</v>
      </c>
      <c r="B15014" t="s">
        <v>531</v>
      </c>
      <c r="C15014">
        <v>390</v>
      </c>
      <c r="D15014">
        <v>549</v>
      </c>
      <c r="E15014">
        <v>0</v>
      </c>
      <c r="F15014">
        <v>38</v>
      </c>
      <c r="G15014">
        <v>0</v>
      </c>
      <c r="H15014" t="s">
        <v>19858</v>
      </c>
      <c r="I15014">
        <v>16983</v>
      </c>
      <c r="J15014" t="e">
        <f>VLOOKUP(E15014,DSSpieler!A:B,2,FALSE)</f>
        <v>#N/A</v>
      </c>
    </row>
    <row r="15015" spans="1:10" x14ac:dyDescent="0.25">
      <c r="A15015">
        <v>16984</v>
      </c>
      <c r="B15015" t="s">
        <v>531</v>
      </c>
      <c r="C15015">
        <v>509</v>
      </c>
      <c r="D15015">
        <v>621</v>
      </c>
      <c r="E15015">
        <v>0</v>
      </c>
      <c r="F15015">
        <v>55</v>
      </c>
      <c r="G15015">
        <v>0</v>
      </c>
      <c r="H15015" t="s">
        <v>19859</v>
      </c>
      <c r="I15015">
        <v>16984</v>
      </c>
      <c r="J15015" t="e">
        <f>VLOOKUP(E15015,DSSpieler!A:B,2,FALSE)</f>
        <v>#N/A</v>
      </c>
    </row>
    <row r="15016" spans="1:10" x14ac:dyDescent="0.25">
      <c r="A15016">
        <v>16985</v>
      </c>
      <c r="B15016">
        <v>3</v>
      </c>
      <c r="C15016">
        <v>547</v>
      </c>
      <c r="D15016">
        <v>401</v>
      </c>
      <c r="E15016">
        <v>1577199305</v>
      </c>
      <c r="F15016">
        <v>3030</v>
      </c>
      <c r="G15016">
        <v>0</v>
      </c>
      <c r="H15016" t="s">
        <v>19860</v>
      </c>
      <c r="I15016">
        <v>16985</v>
      </c>
      <c r="J15016" t="str">
        <f>VLOOKUP(E15016,DSSpieler!A:B,2,FALSE)</f>
        <v>Aela</v>
      </c>
    </row>
    <row r="15017" spans="1:10" x14ac:dyDescent="0.25">
      <c r="A15017">
        <v>16986</v>
      </c>
      <c r="B15017" t="s">
        <v>531</v>
      </c>
      <c r="C15017">
        <v>526</v>
      </c>
      <c r="D15017">
        <v>621</v>
      </c>
      <c r="E15017">
        <v>0</v>
      </c>
      <c r="F15017">
        <v>211</v>
      </c>
      <c r="G15017">
        <v>0</v>
      </c>
      <c r="H15017" t="s">
        <v>19861</v>
      </c>
      <c r="I15017">
        <v>16986</v>
      </c>
      <c r="J15017" t="e">
        <f>VLOOKUP(E15017,DSSpieler!A:B,2,FALSE)</f>
        <v>#N/A</v>
      </c>
    </row>
    <row r="15018" spans="1:10" x14ac:dyDescent="0.25">
      <c r="A15018">
        <v>16987</v>
      </c>
      <c r="B15018" t="s">
        <v>35484</v>
      </c>
      <c r="C15018">
        <v>384</v>
      </c>
      <c r="D15018">
        <v>540</v>
      </c>
      <c r="E15018">
        <v>8843734</v>
      </c>
      <c r="F15018">
        <v>909</v>
      </c>
      <c r="G15018">
        <v>0</v>
      </c>
      <c r="H15018" t="s">
        <v>19862</v>
      </c>
      <c r="I15018">
        <v>16987</v>
      </c>
      <c r="J15018" t="str">
        <f>VLOOKUP(E15018,DSSpieler!A:B,2,FALSE)</f>
        <v>jcb68</v>
      </c>
    </row>
    <row r="15019" spans="1:10" x14ac:dyDescent="0.25">
      <c r="A15019">
        <v>16988</v>
      </c>
      <c r="B15019" t="s">
        <v>531</v>
      </c>
      <c r="C15019">
        <v>446</v>
      </c>
      <c r="D15019">
        <v>455</v>
      </c>
      <c r="E15019">
        <v>0</v>
      </c>
      <c r="F15019">
        <v>127</v>
      </c>
      <c r="G15019">
        <v>0</v>
      </c>
      <c r="H15019" t="s">
        <v>19863</v>
      </c>
      <c r="I15019">
        <v>16988</v>
      </c>
      <c r="J15019" t="e">
        <f>VLOOKUP(E15019,DSSpieler!A:B,2,FALSE)</f>
        <v>#N/A</v>
      </c>
    </row>
    <row r="15020" spans="1:10" x14ac:dyDescent="0.25">
      <c r="A15020">
        <v>16989</v>
      </c>
      <c r="B15020" t="s">
        <v>35485</v>
      </c>
      <c r="C15020">
        <v>466</v>
      </c>
      <c r="D15020">
        <v>558</v>
      </c>
      <c r="E15020">
        <v>1577205161</v>
      </c>
      <c r="F15020">
        <v>732</v>
      </c>
      <c r="G15020">
        <v>0</v>
      </c>
      <c r="H15020" t="s">
        <v>19864</v>
      </c>
      <c r="I15020">
        <v>16989</v>
      </c>
      <c r="J15020" t="str">
        <f>VLOOKUP(E15020,DSSpieler!A:B,2,FALSE)</f>
        <v>FernandoDerTeufel</v>
      </c>
    </row>
    <row r="15021" spans="1:10" x14ac:dyDescent="0.25">
      <c r="A15021">
        <v>16990</v>
      </c>
      <c r="B15021" t="s">
        <v>35486</v>
      </c>
      <c r="C15021">
        <v>460</v>
      </c>
      <c r="D15021">
        <v>386</v>
      </c>
      <c r="E15021">
        <v>1577030433</v>
      </c>
      <c r="F15021">
        <v>1953</v>
      </c>
      <c r="G15021">
        <v>0</v>
      </c>
      <c r="H15021" t="s">
        <v>19865</v>
      </c>
      <c r="I15021">
        <v>16990</v>
      </c>
      <c r="J15021" t="str">
        <f>VLOOKUP(E15021,DSSpieler!A:B,2,FALSE)</f>
        <v>Wyatt Stepp Earp</v>
      </c>
    </row>
    <row r="15022" spans="1:10" x14ac:dyDescent="0.25">
      <c r="A15022">
        <v>16991</v>
      </c>
      <c r="B15022" t="s">
        <v>531</v>
      </c>
      <c r="C15022">
        <v>408</v>
      </c>
      <c r="D15022">
        <v>585</v>
      </c>
      <c r="E15022">
        <v>0</v>
      </c>
      <c r="F15022">
        <v>175</v>
      </c>
      <c r="G15022">
        <v>0</v>
      </c>
      <c r="H15022" t="s">
        <v>19866</v>
      </c>
      <c r="I15022">
        <v>16991</v>
      </c>
      <c r="J15022" t="e">
        <f>VLOOKUP(E15022,DSSpieler!A:B,2,FALSE)</f>
        <v>#N/A</v>
      </c>
    </row>
    <row r="15023" spans="1:10" x14ac:dyDescent="0.25">
      <c r="A15023">
        <v>16992</v>
      </c>
      <c r="B15023" t="s">
        <v>531</v>
      </c>
      <c r="C15023">
        <v>617</v>
      </c>
      <c r="D15023">
        <v>543</v>
      </c>
      <c r="E15023">
        <v>0</v>
      </c>
      <c r="F15023">
        <v>56</v>
      </c>
      <c r="G15023">
        <v>0</v>
      </c>
      <c r="H15023" t="s">
        <v>19867</v>
      </c>
      <c r="I15023">
        <v>16992</v>
      </c>
      <c r="J15023" t="e">
        <f>VLOOKUP(E15023,DSSpieler!A:B,2,FALSE)</f>
        <v>#N/A</v>
      </c>
    </row>
    <row r="15024" spans="1:10" x14ac:dyDescent="0.25">
      <c r="A15024">
        <v>16993</v>
      </c>
      <c r="B15024" t="s">
        <v>643</v>
      </c>
      <c r="C15024">
        <v>410</v>
      </c>
      <c r="D15024">
        <v>418</v>
      </c>
      <c r="E15024">
        <v>8210201</v>
      </c>
      <c r="F15024">
        <v>2239</v>
      </c>
      <c r="G15024">
        <v>0</v>
      </c>
      <c r="H15024" t="s">
        <v>19868</v>
      </c>
      <c r="I15024">
        <v>16993</v>
      </c>
      <c r="J15024" t="str">
        <f>VLOOKUP(E15024,DSSpieler!A:B,2,FALSE)</f>
        <v>tst30</v>
      </c>
    </row>
    <row r="15025" spans="1:10" x14ac:dyDescent="0.25">
      <c r="A15025">
        <v>16994</v>
      </c>
      <c r="B15025" t="s">
        <v>2577</v>
      </c>
      <c r="C15025">
        <v>620</v>
      </c>
      <c r="D15025">
        <v>527</v>
      </c>
      <c r="E15025">
        <v>1577174899</v>
      </c>
      <c r="F15025">
        <v>291</v>
      </c>
      <c r="G15025">
        <v>0</v>
      </c>
      <c r="H15025" t="s">
        <v>19869</v>
      </c>
      <c r="I15025">
        <v>16994</v>
      </c>
      <c r="J15025" t="str">
        <f>VLOOKUP(E15025,DSSpieler!A:B,2,FALSE)</f>
        <v>Zipfeklatscher</v>
      </c>
    </row>
    <row r="15026" spans="1:10" x14ac:dyDescent="0.25">
      <c r="A15026">
        <v>16995</v>
      </c>
      <c r="B15026" t="s">
        <v>531</v>
      </c>
      <c r="C15026">
        <v>390</v>
      </c>
      <c r="D15026">
        <v>441</v>
      </c>
      <c r="E15026">
        <v>0</v>
      </c>
      <c r="F15026">
        <v>195</v>
      </c>
      <c r="G15026">
        <v>0</v>
      </c>
      <c r="H15026" t="s">
        <v>19870</v>
      </c>
      <c r="I15026">
        <v>16995</v>
      </c>
      <c r="J15026" t="e">
        <f>VLOOKUP(E15026,DSSpieler!A:B,2,FALSE)</f>
        <v>#N/A</v>
      </c>
    </row>
    <row r="15027" spans="1:10" x14ac:dyDescent="0.25">
      <c r="A15027">
        <v>16996</v>
      </c>
      <c r="B15027" t="s">
        <v>33898</v>
      </c>
      <c r="C15027">
        <v>609</v>
      </c>
      <c r="D15027">
        <v>556</v>
      </c>
      <c r="E15027">
        <v>1576659054</v>
      </c>
      <c r="F15027">
        <v>2777</v>
      </c>
      <c r="G15027">
        <v>0</v>
      </c>
      <c r="H15027" t="s">
        <v>19871</v>
      </c>
      <c r="I15027">
        <v>16996</v>
      </c>
      <c r="J15027" t="str">
        <f>VLOOKUP(E15027,DSSpieler!A:B,2,FALSE)</f>
        <v>Tenue korrigiere</v>
      </c>
    </row>
    <row r="15028" spans="1:10" x14ac:dyDescent="0.25">
      <c r="A15028">
        <v>16997</v>
      </c>
      <c r="B15028" t="s">
        <v>35487</v>
      </c>
      <c r="C15028">
        <v>587</v>
      </c>
      <c r="D15028">
        <v>414</v>
      </c>
      <c r="E15028">
        <v>1577191306</v>
      </c>
      <c r="F15028">
        <v>1601</v>
      </c>
      <c r="G15028">
        <v>0</v>
      </c>
      <c r="H15028" t="s">
        <v>19872</v>
      </c>
      <c r="I15028">
        <v>16997</v>
      </c>
      <c r="J15028" t="str">
        <f>VLOOKUP(E15028,DSSpieler!A:B,2,FALSE)</f>
        <v>eda4</v>
      </c>
    </row>
    <row r="15029" spans="1:10" x14ac:dyDescent="0.25">
      <c r="A15029">
        <v>16998</v>
      </c>
      <c r="B15029" t="s">
        <v>583</v>
      </c>
      <c r="C15029">
        <v>529</v>
      </c>
      <c r="D15029">
        <v>620</v>
      </c>
      <c r="E15029">
        <v>1577201756</v>
      </c>
      <c r="F15029">
        <v>1206</v>
      </c>
      <c r="G15029">
        <v>0</v>
      </c>
      <c r="H15029" t="s">
        <v>19873</v>
      </c>
      <c r="I15029">
        <v>16998</v>
      </c>
      <c r="J15029" t="str">
        <f>VLOOKUP(E15029,DSSpieler!A:B,2,FALSE)</f>
        <v>TN14</v>
      </c>
    </row>
    <row r="15030" spans="1:10" x14ac:dyDescent="0.25">
      <c r="A15030">
        <v>16999</v>
      </c>
      <c r="B15030" t="s">
        <v>30496</v>
      </c>
      <c r="C15030">
        <v>585</v>
      </c>
      <c r="D15030">
        <v>592</v>
      </c>
      <c r="E15030">
        <v>1577205174</v>
      </c>
      <c r="F15030">
        <v>2854</v>
      </c>
      <c r="G15030">
        <v>0</v>
      </c>
      <c r="H15030" t="s">
        <v>19874</v>
      </c>
      <c r="I15030">
        <v>16999</v>
      </c>
      <c r="J15030" t="str">
        <f>VLOOKUP(E15030,DSSpieler!A:B,2,FALSE)</f>
        <v>SHADOW WINGS</v>
      </c>
    </row>
    <row r="15031" spans="1:10" x14ac:dyDescent="0.25">
      <c r="A15031">
        <v>17000</v>
      </c>
      <c r="B15031" t="s">
        <v>2578</v>
      </c>
      <c r="C15031">
        <v>485</v>
      </c>
      <c r="D15031">
        <v>625</v>
      </c>
      <c r="E15031">
        <v>1577022885</v>
      </c>
      <c r="F15031">
        <v>507</v>
      </c>
      <c r="G15031">
        <v>0</v>
      </c>
      <c r="H15031" t="s">
        <v>19875</v>
      </c>
      <c r="I15031">
        <v>17000</v>
      </c>
      <c r="J15031" t="str">
        <f>VLOOKUP(E15031,DSSpieler!A:B,2,FALSE)</f>
        <v>Basti 88</v>
      </c>
    </row>
    <row r="15032" spans="1:10" x14ac:dyDescent="0.25">
      <c r="A15032">
        <v>17001</v>
      </c>
      <c r="B15032" t="s">
        <v>35488</v>
      </c>
      <c r="C15032">
        <v>621</v>
      </c>
      <c r="D15032">
        <v>489</v>
      </c>
      <c r="E15032">
        <v>8205186</v>
      </c>
      <c r="F15032">
        <v>2028</v>
      </c>
      <c r="G15032">
        <v>0</v>
      </c>
      <c r="H15032" t="s">
        <v>19876</v>
      </c>
      <c r="I15032">
        <v>17001</v>
      </c>
      <c r="J15032" t="str">
        <f>VLOOKUP(E15032,DSSpieler!A:B,2,FALSE)</f>
        <v>Nervan</v>
      </c>
    </row>
    <row r="15033" spans="1:10" x14ac:dyDescent="0.25">
      <c r="A15033">
        <v>17004</v>
      </c>
      <c r="B15033" t="s">
        <v>531</v>
      </c>
      <c r="C15033">
        <v>430</v>
      </c>
      <c r="D15033">
        <v>603</v>
      </c>
      <c r="E15033">
        <v>0</v>
      </c>
      <c r="F15033">
        <v>77</v>
      </c>
      <c r="G15033">
        <v>0</v>
      </c>
      <c r="H15033" t="s">
        <v>19877</v>
      </c>
      <c r="I15033">
        <v>17004</v>
      </c>
      <c r="J15033" t="e">
        <f>VLOOKUP(E15033,DSSpieler!A:B,2,FALSE)</f>
        <v>#N/A</v>
      </c>
    </row>
    <row r="15034" spans="1:10" x14ac:dyDescent="0.25">
      <c r="A15034">
        <v>17005</v>
      </c>
      <c r="B15034" t="s">
        <v>531</v>
      </c>
      <c r="C15034">
        <v>625</v>
      </c>
      <c r="D15034">
        <v>502</v>
      </c>
      <c r="E15034">
        <v>0</v>
      </c>
      <c r="F15034">
        <v>922</v>
      </c>
      <c r="G15034">
        <v>0</v>
      </c>
      <c r="H15034" t="s">
        <v>19878</v>
      </c>
      <c r="I15034">
        <v>17005</v>
      </c>
      <c r="J15034" t="e">
        <f>VLOOKUP(E15034,DSSpieler!A:B,2,FALSE)</f>
        <v>#N/A</v>
      </c>
    </row>
    <row r="15035" spans="1:10" x14ac:dyDescent="0.25">
      <c r="A15035">
        <v>17006</v>
      </c>
      <c r="B15035" t="s">
        <v>35489</v>
      </c>
      <c r="C15035">
        <v>609</v>
      </c>
      <c r="D15035">
        <v>441</v>
      </c>
      <c r="E15035">
        <v>9595490</v>
      </c>
      <c r="F15035">
        <v>1998</v>
      </c>
      <c r="G15035">
        <v>0</v>
      </c>
      <c r="H15035" t="s">
        <v>19879</v>
      </c>
      <c r="I15035">
        <v>17006</v>
      </c>
      <c r="J15035" t="str">
        <f>VLOOKUP(E15035,DSSpieler!A:B,2,FALSE)</f>
        <v>majroe</v>
      </c>
    </row>
    <row r="15036" spans="1:10" x14ac:dyDescent="0.25">
      <c r="A15036">
        <v>17007</v>
      </c>
      <c r="B15036" t="s">
        <v>35490</v>
      </c>
      <c r="C15036">
        <v>378</v>
      </c>
      <c r="D15036">
        <v>529</v>
      </c>
      <c r="E15036">
        <v>1577065354</v>
      </c>
      <c r="F15036">
        <v>3107</v>
      </c>
      <c r="G15036">
        <v>0</v>
      </c>
      <c r="H15036" t="s">
        <v>19880</v>
      </c>
      <c r="I15036">
        <v>17007</v>
      </c>
      <c r="J15036" t="str">
        <f>VLOOKUP(E15036,DSSpieler!A:B,2,FALSE)</f>
        <v>Nooo1</v>
      </c>
    </row>
    <row r="15037" spans="1:10" x14ac:dyDescent="0.25">
      <c r="A15037">
        <v>17008</v>
      </c>
      <c r="B15037" t="s">
        <v>531</v>
      </c>
      <c r="C15037">
        <v>585</v>
      </c>
      <c r="D15037">
        <v>408</v>
      </c>
      <c r="E15037">
        <v>0</v>
      </c>
      <c r="F15037">
        <v>85</v>
      </c>
      <c r="G15037">
        <v>0</v>
      </c>
      <c r="H15037" t="s">
        <v>19881</v>
      </c>
      <c r="I15037">
        <v>17008</v>
      </c>
      <c r="J15037" t="e">
        <f>VLOOKUP(E15037,DSSpieler!A:B,2,FALSE)</f>
        <v>#N/A</v>
      </c>
    </row>
    <row r="15038" spans="1:10" x14ac:dyDescent="0.25">
      <c r="A15038">
        <v>17009</v>
      </c>
      <c r="B15038" t="s">
        <v>35491</v>
      </c>
      <c r="C15038">
        <v>619</v>
      </c>
      <c r="D15038">
        <v>530</v>
      </c>
      <c r="E15038">
        <v>1835510</v>
      </c>
      <c r="F15038">
        <v>705</v>
      </c>
      <c r="G15038">
        <v>0</v>
      </c>
      <c r="H15038" t="s">
        <v>19882</v>
      </c>
      <c r="I15038">
        <v>17009</v>
      </c>
      <c r="J15038" t="str">
        <f>VLOOKUP(E15038,DSSpieler!A:B,2,FALSE)</f>
        <v>gunther1</v>
      </c>
    </row>
    <row r="15039" spans="1:10" x14ac:dyDescent="0.25">
      <c r="A15039">
        <v>17011</v>
      </c>
      <c r="B15039" t="s">
        <v>531</v>
      </c>
      <c r="C15039">
        <v>376</v>
      </c>
      <c r="D15039">
        <v>495</v>
      </c>
      <c r="E15039">
        <v>0</v>
      </c>
      <c r="F15039">
        <v>39</v>
      </c>
      <c r="G15039">
        <v>0</v>
      </c>
      <c r="H15039" t="s">
        <v>19883</v>
      </c>
      <c r="I15039">
        <v>17011</v>
      </c>
      <c r="J15039" t="e">
        <f>VLOOKUP(E15039,DSSpieler!A:B,2,FALSE)</f>
        <v>#N/A</v>
      </c>
    </row>
    <row r="15040" spans="1:10" x14ac:dyDescent="0.25">
      <c r="A15040">
        <v>17015</v>
      </c>
      <c r="B15040" t="s">
        <v>35492</v>
      </c>
      <c r="C15040">
        <v>624</v>
      </c>
      <c r="D15040">
        <v>489</v>
      </c>
      <c r="E15040">
        <v>10075302</v>
      </c>
      <c r="F15040">
        <v>2479</v>
      </c>
      <c r="G15040">
        <v>0</v>
      </c>
      <c r="H15040" t="s">
        <v>19884</v>
      </c>
      <c r="I15040">
        <v>17015</v>
      </c>
      <c r="J15040" t="str">
        <f>VLOOKUP(E15040,DSSpieler!A:B,2,FALSE)</f>
        <v>Krieger19</v>
      </c>
    </row>
    <row r="15041" spans="1:10" x14ac:dyDescent="0.25">
      <c r="A15041">
        <v>17016</v>
      </c>
      <c r="B15041" t="s">
        <v>531</v>
      </c>
      <c r="C15041">
        <v>376</v>
      </c>
      <c r="D15041">
        <v>494</v>
      </c>
      <c r="E15041">
        <v>0</v>
      </c>
      <c r="F15041">
        <v>63</v>
      </c>
      <c r="G15041">
        <v>0</v>
      </c>
      <c r="H15041" t="s">
        <v>19885</v>
      </c>
      <c r="I15041">
        <v>17016</v>
      </c>
      <c r="J15041" t="e">
        <f>VLOOKUP(E15041,DSSpieler!A:B,2,FALSE)</f>
        <v>#N/A</v>
      </c>
    </row>
    <row r="15042" spans="1:10" x14ac:dyDescent="0.25">
      <c r="A15042">
        <v>17017</v>
      </c>
      <c r="B15042" t="s">
        <v>35493</v>
      </c>
      <c r="C15042">
        <v>391</v>
      </c>
      <c r="D15042">
        <v>446</v>
      </c>
      <c r="E15042">
        <v>7948740</v>
      </c>
      <c r="F15042">
        <v>1391</v>
      </c>
      <c r="G15042">
        <v>0</v>
      </c>
      <c r="H15042" t="s">
        <v>19886</v>
      </c>
      <c r="I15042">
        <v>17017</v>
      </c>
      <c r="J15042" t="str">
        <f>VLOOKUP(E15042,DSSpieler!A:B,2,FALSE)</f>
        <v>frane77</v>
      </c>
    </row>
    <row r="15043" spans="1:10" x14ac:dyDescent="0.25">
      <c r="A15043">
        <v>17018</v>
      </c>
      <c r="B15043" t="s">
        <v>2579</v>
      </c>
      <c r="C15043">
        <v>578</v>
      </c>
      <c r="D15043">
        <v>594</v>
      </c>
      <c r="E15043">
        <v>1577205210</v>
      </c>
      <c r="F15043">
        <v>3010</v>
      </c>
      <c r="G15043">
        <v>0</v>
      </c>
      <c r="H15043" t="s">
        <v>19887</v>
      </c>
      <c r="I15043">
        <v>17018</v>
      </c>
      <c r="J15043" t="str">
        <f>VLOOKUP(E15043,DSSpieler!A:B,2,FALSE)</f>
        <v>nimatek</v>
      </c>
    </row>
    <row r="15044" spans="1:10" x14ac:dyDescent="0.25">
      <c r="A15044">
        <v>17019</v>
      </c>
      <c r="B15044" t="s">
        <v>35494</v>
      </c>
      <c r="C15044">
        <v>579</v>
      </c>
      <c r="D15044">
        <v>594</v>
      </c>
      <c r="E15044">
        <v>10175302</v>
      </c>
      <c r="F15044">
        <v>2046</v>
      </c>
      <c r="G15044">
        <v>0</v>
      </c>
      <c r="H15044" t="s">
        <v>19888</v>
      </c>
      <c r="I15044">
        <v>17019</v>
      </c>
      <c r="J15044" t="str">
        <f>VLOOKUP(E15044,DSSpieler!A:B,2,FALSE)</f>
        <v>drbeni</v>
      </c>
    </row>
    <row r="15045" spans="1:10" x14ac:dyDescent="0.25">
      <c r="A15045">
        <v>17020</v>
      </c>
      <c r="B15045" t="s">
        <v>35495</v>
      </c>
      <c r="C15045">
        <v>598</v>
      </c>
      <c r="D15045">
        <v>427</v>
      </c>
      <c r="E15045">
        <v>1577197158</v>
      </c>
      <c r="F15045">
        <v>97</v>
      </c>
      <c r="G15045">
        <v>0</v>
      </c>
      <c r="H15045" t="s">
        <v>19889</v>
      </c>
      <c r="I15045">
        <v>17020</v>
      </c>
      <c r="J15045" t="str">
        <f>VLOOKUP(E15045,DSSpieler!A:B,2,FALSE)</f>
        <v>AdelnNachZahlen</v>
      </c>
    </row>
    <row r="15046" spans="1:10" x14ac:dyDescent="0.25">
      <c r="A15046">
        <v>17021</v>
      </c>
      <c r="B15046" t="s">
        <v>531</v>
      </c>
      <c r="C15046">
        <v>437</v>
      </c>
      <c r="D15046">
        <v>605</v>
      </c>
      <c r="E15046">
        <v>0</v>
      </c>
      <c r="F15046">
        <v>172</v>
      </c>
      <c r="G15046">
        <v>0</v>
      </c>
      <c r="H15046" t="s">
        <v>19890</v>
      </c>
      <c r="I15046">
        <v>17021</v>
      </c>
      <c r="J15046" t="e">
        <f>VLOOKUP(E15046,DSSpieler!A:B,2,FALSE)</f>
        <v>#N/A</v>
      </c>
    </row>
    <row r="15047" spans="1:10" x14ac:dyDescent="0.25">
      <c r="A15047">
        <v>17022</v>
      </c>
      <c r="B15047">
        <v>0</v>
      </c>
      <c r="C15047">
        <v>486</v>
      </c>
      <c r="D15047">
        <v>625</v>
      </c>
      <c r="E15047">
        <v>9809341</v>
      </c>
      <c r="F15047">
        <v>144</v>
      </c>
      <c r="G15047">
        <v>0</v>
      </c>
      <c r="H15047" t="s">
        <v>19891</v>
      </c>
      <c r="I15047">
        <v>17022</v>
      </c>
      <c r="J15047" t="str">
        <f>VLOOKUP(E15047,DSSpieler!A:B,2,FALSE)</f>
        <v>anna</v>
      </c>
    </row>
    <row r="15048" spans="1:10" x14ac:dyDescent="0.25">
      <c r="A15048">
        <v>17023</v>
      </c>
      <c r="B15048" t="s">
        <v>531</v>
      </c>
      <c r="C15048">
        <v>618</v>
      </c>
      <c r="D15048">
        <v>475</v>
      </c>
      <c r="E15048">
        <v>0</v>
      </c>
      <c r="F15048">
        <v>228</v>
      </c>
      <c r="G15048">
        <v>0</v>
      </c>
      <c r="H15048" t="s">
        <v>19892</v>
      </c>
      <c r="I15048">
        <v>17023</v>
      </c>
      <c r="J15048" t="e">
        <f>VLOOKUP(E15048,DSSpieler!A:B,2,FALSE)</f>
        <v>#N/A</v>
      </c>
    </row>
    <row r="15049" spans="1:10" x14ac:dyDescent="0.25">
      <c r="A15049">
        <v>17024</v>
      </c>
      <c r="B15049" t="s">
        <v>531</v>
      </c>
      <c r="C15049">
        <v>392</v>
      </c>
      <c r="D15049">
        <v>564</v>
      </c>
      <c r="E15049">
        <v>0</v>
      </c>
      <c r="F15049">
        <v>66</v>
      </c>
      <c r="G15049">
        <v>0</v>
      </c>
      <c r="H15049" t="s">
        <v>19893</v>
      </c>
      <c r="I15049">
        <v>17024</v>
      </c>
      <c r="J15049" t="e">
        <f>VLOOKUP(E15049,DSSpieler!A:B,2,FALSE)</f>
        <v>#N/A</v>
      </c>
    </row>
    <row r="15050" spans="1:10" x14ac:dyDescent="0.25">
      <c r="A15050">
        <v>17025</v>
      </c>
      <c r="B15050" t="s">
        <v>35496</v>
      </c>
      <c r="C15050">
        <v>414</v>
      </c>
      <c r="D15050">
        <v>586</v>
      </c>
      <c r="E15050">
        <v>2408053</v>
      </c>
      <c r="F15050">
        <v>2217</v>
      </c>
      <c r="G15050">
        <v>0</v>
      </c>
      <c r="H15050" t="s">
        <v>19894</v>
      </c>
      <c r="I15050">
        <v>17025</v>
      </c>
      <c r="J15050" t="str">
        <f>VLOOKUP(E15050,DSSpieler!A:B,2,FALSE)</f>
        <v>Woodfish</v>
      </c>
    </row>
    <row r="15051" spans="1:10" x14ac:dyDescent="0.25">
      <c r="A15051">
        <v>17026</v>
      </c>
      <c r="B15051" t="s">
        <v>35497</v>
      </c>
      <c r="C15051">
        <v>417</v>
      </c>
      <c r="D15051">
        <v>409</v>
      </c>
      <c r="E15051">
        <v>8735448</v>
      </c>
      <c r="F15051">
        <v>2160</v>
      </c>
      <c r="G15051">
        <v>0</v>
      </c>
      <c r="H15051" t="s">
        <v>19895</v>
      </c>
      <c r="I15051">
        <v>17026</v>
      </c>
      <c r="J15051" t="str">
        <f>VLOOKUP(E15051,DSSpieler!A:B,2,FALSE)</f>
        <v>caravan16</v>
      </c>
    </row>
    <row r="15052" spans="1:10" x14ac:dyDescent="0.25">
      <c r="A15052">
        <v>17027</v>
      </c>
      <c r="B15052" t="s">
        <v>531</v>
      </c>
      <c r="C15052">
        <v>618</v>
      </c>
      <c r="D15052">
        <v>535</v>
      </c>
      <c r="E15052">
        <v>0</v>
      </c>
      <c r="F15052">
        <v>40</v>
      </c>
      <c r="G15052">
        <v>0</v>
      </c>
      <c r="H15052" t="s">
        <v>19896</v>
      </c>
      <c r="I15052">
        <v>17027</v>
      </c>
      <c r="J15052" t="e">
        <f>VLOOKUP(E15052,DSSpieler!A:B,2,FALSE)</f>
        <v>#N/A</v>
      </c>
    </row>
    <row r="15053" spans="1:10" x14ac:dyDescent="0.25">
      <c r="A15053">
        <v>17028</v>
      </c>
      <c r="B15053" t="s">
        <v>531</v>
      </c>
      <c r="C15053">
        <v>505</v>
      </c>
      <c r="D15053">
        <v>624</v>
      </c>
      <c r="E15053">
        <v>0</v>
      </c>
      <c r="F15053">
        <v>100</v>
      </c>
      <c r="G15053">
        <v>0</v>
      </c>
      <c r="H15053" t="s">
        <v>19897</v>
      </c>
      <c r="I15053">
        <v>17028</v>
      </c>
      <c r="J15053" t="e">
        <f>VLOOKUP(E15053,DSSpieler!A:B,2,FALSE)</f>
        <v>#N/A</v>
      </c>
    </row>
    <row r="15054" spans="1:10" x14ac:dyDescent="0.25">
      <c r="A15054">
        <v>17029</v>
      </c>
      <c r="B15054" t="s">
        <v>531</v>
      </c>
      <c r="C15054">
        <v>602</v>
      </c>
      <c r="D15054">
        <v>426</v>
      </c>
      <c r="E15054">
        <v>0</v>
      </c>
      <c r="F15054">
        <v>160</v>
      </c>
      <c r="G15054">
        <v>0</v>
      </c>
      <c r="H15054" t="s">
        <v>19898</v>
      </c>
      <c r="I15054">
        <v>17029</v>
      </c>
      <c r="J15054" t="e">
        <f>VLOOKUP(E15054,DSSpieler!A:B,2,FALSE)</f>
        <v>#N/A</v>
      </c>
    </row>
    <row r="15055" spans="1:10" x14ac:dyDescent="0.25">
      <c r="A15055">
        <v>17031</v>
      </c>
      <c r="B15055" t="s">
        <v>35498</v>
      </c>
      <c r="C15055">
        <v>601</v>
      </c>
      <c r="D15055">
        <v>426</v>
      </c>
      <c r="E15055">
        <v>1576517085</v>
      </c>
      <c r="F15055">
        <v>2579</v>
      </c>
      <c r="G15055">
        <v>0</v>
      </c>
      <c r="H15055" t="s">
        <v>19899</v>
      </c>
      <c r="I15055">
        <v>17031</v>
      </c>
      <c r="J15055" t="str">
        <f>VLOOKUP(E15055,DSSpieler!A:B,2,FALSE)</f>
        <v>Warumimmerich</v>
      </c>
    </row>
    <row r="15056" spans="1:10" x14ac:dyDescent="0.25">
      <c r="A15056">
        <v>17032</v>
      </c>
      <c r="B15056" t="s">
        <v>531</v>
      </c>
      <c r="C15056">
        <v>598</v>
      </c>
      <c r="D15056">
        <v>576</v>
      </c>
      <c r="E15056">
        <v>0</v>
      </c>
      <c r="F15056">
        <v>333</v>
      </c>
      <c r="G15056">
        <v>0</v>
      </c>
      <c r="H15056" t="s">
        <v>19900</v>
      </c>
      <c r="I15056">
        <v>17032</v>
      </c>
      <c r="J15056" t="e">
        <f>VLOOKUP(E15056,DSSpieler!A:B,2,FALSE)</f>
        <v>#N/A</v>
      </c>
    </row>
    <row r="15057" spans="1:10" x14ac:dyDescent="0.25">
      <c r="A15057">
        <v>17033</v>
      </c>
      <c r="B15057" t="s">
        <v>35499</v>
      </c>
      <c r="C15057">
        <v>427</v>
      </c>
      <c r="D15057">
        <v>603</v>
      </c>
      <c r="E15057">
        <v>1577205243</v>
      </c>
      <c r="F15057">
        <v>210</v>
      </c>
      <c r="G15057">
        <v>0</v>
      </c>
      <c r="H15057" t="s">
        <v>19901</v>
      </c>
      <c r="I15057">
        <v>17033</v>
      </c>
      <c r="J15057" t="str">
        <f>VLOOKUP(E15057,DSSpieler!A:B,2,FALSE)</f>
        <v>Boggla</v>
      </c>
    </row>
    <row r="15058" spans="1:10" x14ac:dyDescent="0.25">
      <c r="A15058">
        <v>17034</v>
      </c>
      <c r="B15058" t="s">
        <v>35500</v>
      </c>
      <c r="C15058">
        <v>426</v>
      </c>
      <c r="D15058">
        <v>400</v>
      </c>
      <c r="E15058">
        <v>152294</v>
      </c>
      <c r="F15058">
        <v>953</v>
      </c>
      <c r="G15058">
        <v>0</v>
      </c>
      <c r="H15058" t="s">
        <v>19902</v>
      </c>
      <c r="I15058">
        <v>17034</v>
      </c>
      <c r="J15058" t="str">
        <f>VLOOKUP(E15058,DSSpieler!A:B,2,FALSE)</f>
        <v>tokra14</v>
      </c>
    </row>
    <row r="15059" spans="1:10" x14ac:dyDescent="0.25">
      <c r="A15059">
        <v>17035</v>
      </c>
      <c r="B15059" t="s">
        <v>531</v>
      </c>
      <c r="C15059">
        <v>521</v>
      </c>
      <c r="D15059">
        <v>377</v>
      </c>
      <c r="E15059">
        <v>0</v>
      </c>
      <c r="F15059">
        <v>146</v>
      </c>
      <c r="G15059">
        <v>0</v>
      </c>
      <c r="H15059" t="s">
        <v>19903</v>
      </c>
      <c r="I15059">
        <v>17035</v>
      </c>
      <c r="J15059" t="e">
        <f>VLOOKUP(E15059,DSSpieler!A:B,2,FALSE)</f>
        <v>#N/A</v>
      </c>
    </row>
    <row r="15060" spans="1:10" x14ac:dyDescent="0.25">
      <c r="A15060">
        <v>17036</v>
      </c>
      <c r="B15060" t="s">
        <v>531</v>
      </c>
      <c r="C15060">
        <v>625</v>
      </c>
      <c r="D15060">
        <v>505</v>
      </c>
      <c r="E15060">
        <v>0</v>
      </c>
      <c r="F15060">
        <v>49</v>
      </c>
      <c r="G15060">
        <v>0</v>
      </c>
      <c r="H15060" t="s">
        <v>19904</v>
      </c>
      <c r="I15060">
        <v>17036</v>
      </c>
      <c r="J15060" t="e">
        <f>VLOOKUP(E15060,DSSpieler!A:B,2,FALSE)</f>
        <v>#N/A</v>
      </c>
    </row>
    <row r="15061" spans="1:10" x14ac:dyDescent="0.25">
      <c r="A15061">
        <v>17037</v>
      </c>
      <c r="B15061" t="s">
        <v>531</v>
      </c>
      <c r="C15061">
        <v>443</v>
      </c>
      <c r="D15061">
        <v>610</v>
      </c>
      <c r="E15061">
        <v>0</v>
      </c>
      <c r="F15061">
        <v>173</v>
      </c>
      <c r="G15061">
        <v>0</v>
      </c>
      <c r="H15061" t="s">
        <v>19905</v>
      </c>
      <c r="I15061">
        <v>17037</v>
      </c>
      <c r="J15061" t="e">
        <f>VLOOKUP(E15061,DSSpieler!A:B,2,FALSE)</f>
        <v>#N/A</v>
      </c>
    </row>
    <row r="15062" spans="1:10" x14ac:dyDescent="0.25">
      <c r="A15062">
        <v>17038</v>
      </c>
      <c r="B15062" t="s">
        <v>531</v>
      </c>
      <c r="C15062">
        <v>534</v>
      </c>
      <c r="D15062">
        <v>620</v>
      </c>
      <c r="E15062">
        <v>0</v>
      </c>
      <c r="F15062">
        <v>140</v>
      </c>
      <c r="G15062">
        <v>0</v>
      </c>
      <c r="H15062" t="s">
        <v>19906</v>
      </c>
      <c r="I15062">
        <v>17038</v>
      </c>
      <c r="J15062" t="e">
        <f>VLOOKUP(E15062,DSSpieler!A:B,2,FALSE)</f>
        <v>#N/A</v>
      </c>
    </row>
    <row r="15063" spans="1:10" x14ac:dyDescent="0.25">
      <c r="A15063">
        <v>17040</v>
      </c>
      <c r="B15063" t="s">
        <v>35501</v>
      </c>
      <c r="C15063">
        <v>575</v>
      </c>
      <c r="D15063">
        <v>406</v>
      </c>
      <c r="E15063">
        <v>1577179927</v>
      </c>
      <c r="F15063">
        <v>71</v>
      </c>
      <c r="G15063">
        <v>0</v>
      </c>
      <c r="H15063" t="s">
        <v>19907</v>
      </c>
      <c r="I15063">
        <v>17040</v>
      </c>
      <c r="J15063" t="str">
        <f>VLOOKUP(E15063,DSSpieler!A:B,2,FALSE)</f>
        <v>FabNe</v>
      </c>
    </row>
    <row r="15064" spans="1:10" x14ac:dyDescent="0.25">
      <c r="A15064">
        <v>17042</v>
      </c>
      <c r="B15064" t="s">
        <v>2580</v>
      </c>
      <c r="C15064">
        <v>614</v>
      </c>
      <c r="D15064">
        <v>445</v>
      </c>
      <c r="E15064">
        <v>1577204864</v>
      </c>
      <c r="F15064">
        <v>954</v>
      </c>
      <c r="G15064">
        <v>0</v>
      </c>
      <c r="H15064" t="s">
        <v>19908</v>
      </c>
      <c r="I15064">
        <v>17042</v>
      </c>
      <c r="J15064" t="str">
        <f>VLOOKUP(E15064,DSSpieler!A:B,2,FALSE)</f>
        <v>Styxi</v>
      </c>
    </row>
    <row r="15065" spans="1:10" x14ac:dyDescent="0.25">
      <c r="A15065">
        <v>17043</v>
      </c>
      <c r="B15065" t="s">
        <v>531</v>
      </c>
      <c r="C15065">
        <v>436</v>
      </c>
      <c r="D15065">
        <v>575</v>
      </c>
      <c r="E15065">
        <v>0</v>
      </c>
      <c r="F15065">
        <v>107</v>
      </c>
      <c r="G15065">
        <v>0</v>
      </c>
      <c r="H15065" t="s">
        <v>19909</v>
      </c>
      <c r="I15065">
        <v>17043</v>
      </c>
      <c r="J15065" t="e">
        <f>VLOOKUP(E15065,DSSpieler!A:B,2,FALSE)</f>
        <v>#N/A</v>
      </c>
    </row>
    <row r="15066" spans="1:10" x14ac:dyDescent="0.25">
      <c r="A15066">
        <v>17044</v>
      </c>
      <c r="B15066" t="s">
        <v>531</v>
      </c>
      <c r="C15066">
        <v>626</v>
      </c>
      <c r="D15066">
        <v>504</v>
      </c>
      <c r="E15066">
        <v>0</v>
      </c>
      <c r="F15066">
        <v>121</v>
      </c>
      <c r="G15066">
        <v>0</v>
      </c>
      <c r="H15066" t="s">
        <v>19910</v>
      </c>
      <c r="I15066">
        <v>17044</v>
      </c>
      <c r="J15066" t="e">
        <f>VLOOKUP(E15066,DSSpieler!A:B,2,FALSE)</f>
        <v>#N/A</v>
      </c>
    </row>
    <row r="15067" spans="1:10" x14ac:dyDescent="0.25">
      <c r="A15067">
        <v>17046</v>
      </c>
      <c r="B15067" t="s">
        <v>35502</v>
      </c>
      <c r="C15067">
        <v>620</v>
      </c>
      <c r="D15067">
        <v>489</v>
      </c>
      <c r="E15067">
        <v>8861779</v>
      </c>
      <c r="F15067">
        <v>2119</v>
      </c>
      <c r="G15067">
        <v>0</v>
      </c>
      <c r="H15067" t="s">
        <v>19911</v>
      </c>
      <c r="I15067">
        <v>17046</v>
      </c>
      <c r="J15067" t="str">
        <f>VLOOKUP(E15067,DSSpieler!A:B,2,FALSE)</f>
        <v>Gut96</v>
      </c>
    </row>
    <row r="15068" spans="1:10" x14ac:dyDescent="0.25">
      <c r="A15068">
        <v>17047</v>
      </c>
      <c r="B15068" t="s">
        <v>35503</v>
      </c>
      <c r="C15068">
        <v>626</v>
      </c>
      <c r="D15068">
        <v>502</v>
      </c>
      <c r="E15068">
        <v>1576675927</v>
      </c>
      <c r="F15068">
        <v>38</v>
      </c>
      <c r="G15068">
        <v>0</v>
      </c>
      <c r="H15068" t="s">
        <v>19912</v>
      </c>
      <c r="I15068">
        <v>17047</v>
      </c>
      <c r="J15068" t="str">
        <f>VLOOKUP(E15068,DSSpieler!A:B,2,FALSE)</f>
        <v>RasurPur</v>
      </c>
    </row>
    <row r="15069" spans="1:10" x14ac:dyDescent="0.25">
      <c r="A15069">
        <v>17048</v>
      </c>
      <c r="B15069" t="s">
        <v>35504</v>
      </c>
      <c r="C15069">
        <v>419</v>
      </c>
      <c r="D15069">
        <v>589</v>
      </c>
      <c r="E15069">
        <v>1577126954</v>
      </c>
      <c r="F15069">
        <v>1939</v>
      </c>
      <c r="G15069">
        <v>0</v>
      </c>
      <c r="H15069" t="s">
        <v>19913</v>
      </c>
      <c r="I15069">
        <v>17048</v>
      </c>
      <c r="J15069" t="str">
        <f>VLOOKUP(E15069,DSSpieler!A:B,2,FALSE)</f>
        <v>Wurstwassersorbet</v>
      </c>
    </row>
    <row r="15070" spans="1:10" x14ac:dyDescent="0.25">
      <c r="A15070">
        <v>17049</v>
      </c>
      <c r="B15070" t="s">
        <v>35505</v>
      </c>
      <c r="C15070">
        <v>623</v>
      </c>
      <c r="D15070">
        <v>479</v>
      </c>
      <c r="E15070">
        <v>1576843307</v>
      </c>
      <c r="F15070">
        <v>1962</v>
      </c>
      <c r="G15070">
        <v>0</v>
      </c>
      <c r="H15070" t="s">
        <v>19914</v>
      </c>
      <c r="I15070">
        <v>17049</v>
      </c>
      <c r="J15070" t="str">
        <f>VLOOKUP(E15070,DSSpieler!A:B,2,FALSE)</f>
        <v>rabbIT95</v>
      </c>
    </row>
    <row r="15071" spans="1:10" x14ac:dyDescent="0.25">
      <c r="A15071">
        <v>17050</v>
      </c>
      <c r="B15071" t="s">
        <v>1833</v>
      </c>
      <c r="C15071">
        <v>563</v>
      </c>
      <c r="D15071">
        <v>605</v>
      </c>
      <c r="E15071">
        <v>1577139948</v>
      </c>
      <c r="F15071">
        <v>697</v>
      </c>
      <c r="G15071">
        <v>0</v>
      </c>
      <c r="H15071" t="s">
        <v>19915</v>
      </c>
      <c r="I15071">
        <v>17050</v>
      </c>
      <c r="J15071" t="str">
        <f>VLOOKUP(E15071,DSSpieler!A:B,2,FALSE)</f>
        <v>CpTFreeZz</v>
      </c>
    </row>
    <row r="15072" spans="1:10" x14ac:dyDescent="0.25">
      <c r="A15072">
        <v>17053</v>
      </c>
      <c r="B15072" t="s">
        <v>531</v>
      </c>
      <c r="C15072">
        <v>541</v>
      </c>
      <c r="D15072">
        <v>381</v>
      </c>
      <c r="E15072">
        <v>0</v>
      </c>
      <c r="F15072">
        <v>146</v>
      </c>
      <c r="G15072">
        <v>0</v>
      </c>
      <c r="H15072" t="s">
        <v>19916</v>
      </c>
      <c r="I15072">
        <v>17053</v>
      </c>
      <c r="J15072" t="e">
        <f>VLOOKUP(E15072,DSSpieler!A:B,2,FALSE)</f>
        <v>#N/A</v>
      </c>
    </row>
    <row r="15073" spans="1:10" x14ac:dyDescent="0.25">
      <c r="A15073">
        <v>17054</v>
      </c>
      <c r="B15073" t="s">
        <v>531</v>
      </c>
      <c r="C15073">
        <v>551</v>
      </c>
      <c r="D15073">
        <v>390</v>
      </c>
      <c r="E15073">
        <v>0</v>
      </c>
      <c r="F15073">
        <v>58</v>
      </c>
      <c r="G15073">
        <v>0</v>
      </c>
      <c r="H15073" t="s">
        <v>19917</v>
      </c>
      <c r="I15073">
        <v>17054</v>
      </c>
      <c r="J15073" t="e">
        <f>VLOOKUP(E15073,DSSpieler!A:B,2,FALSE)</f>
        <v>#N/A</v>
      </c>
    </row>
    <row r="15074" spans="1:10" x14ac:dyDescent="0.25">
      <c r="A15074">
        <v>17055</v>
      </c>
      <c r="B15074" t="s">
        <v>2193</v>
      </c>
      <c r="C15074">
        <v>376</v>
      </c>
      <c r="D15074">
        <v>515</v>
      </c>
      <c r="E15074">
        <v>1577189120</v>
      </c>
      <c r="F15074">
        <v>2608</v>
      </c>
      <c r="G15074">
        <v>0</v>
      </c>
      <c r="H15074" t="s">
        <v>19918</v>
      </c>
      <c r="I15074">
        <v>17055</v>
      </c>
      <c r="J15074" t="str">
        <f>VLOOKUP(E15074,DSSpieler!A:B,2,FALSE)</f>
        <v>DaniTheLord</v>
      </c>
    </row>
    <row r="15075" spans="1:10" x14ac:dyDescent="0.25">
      <c r="A15075">
        <v>17056</v>
      </c>
      <c r="B15075" t="s">
        <v>531</v>
      </c>
      <c r="C15075">
        <v>623</v>
      </c>
      <c r="D15075">
        <v>528</v>
      </c>
      <c r="E15075">
        <v>0</v>
      </c>
      <c r="F15075">
        <v>167</v>
      </c>
      <c r="G15075">
        <v>0</v>
      </c>
      <c r="H15075" t="s">
        <v>19919</v>
      </c>
      <c r="I15075">
        <v>17056</v>
      </c>
      <c r="J15075" t="e">
        <f>VLOOKUP(E15075,DSSpieler!A:B,2,FALSE)</f>
        <v>#N/A</v>
      </c>
    </row>
    <row r="15076" spans="1:10" x14ac:dyDescent="0.25">
      <c r="A15076">
        <v>17057</v>
      </c>
      <c r="B15076" t="s">
        <v>2581</v>
      </c>
      <c r="C15076">
        <v>534</v>
      </c>
      <c r="D15076">
        <v>613</v>
      </c>
      <c r="E15076">
        <v>1577205261</v>
      </c>
      <c r="F15076">
        <v>1799</v>
      </c>
      <c r="G15076">
        <v>0</v>
      </c>
      <c r="H15076" t="s">
        <v>19920</v>
      </c>
      <c r="I15076">
        <v>17057</v>
      </c>
      <c r="J15076" t="str">
        <f>VLOOKUP(E15076,DSSpieler!A:B,2,FALSE)</f>
        <v>TazTL</v>
      </c>
    </row>
    <row r="15077" spans="1:10" x14ac:dyDescent="0.25">
      <c r="A15077">
        <v>17058</v>
      </c>
      <c r="B15077" t="s">
        <v>2582</v>
      </c>
      <c r="C15077">
        <v>581</v>
      </c>
      <c r="D15077">
        <v>404</v>
      </c>
      <c r="E15077">
        <v>1577185469</v>
      </c>
      <c r="F15077">
        <v>605</v>
      </c>
      <c r="G15077">
        <v>0</v>
      </c>
      <c r="H15077" t="s">
        <v>19921</v>
      </c>
      <c r="I15077">
        <v>17058</v>
      </c>
      <c r="J15077" t="str">
        <f>VLOOKUP(E15077,DSSpieler!A:B,2,FALSE)</f>
        <v>Arti91</v>
      </c>
    </row>
    <row r="15078" spans="1:10" x14ac:dyDescent="0.25">
      <c r="A15078">
        <v>17059</v>
      </c>
      <c r="B15078" t="s">
        <v>2583</v>
      </c>
      <c r="C15078">
        <v>413</v>
      </c>
      <c r="D15078">
        <v>432</v>
      </c>
      <c r="E15078">
        <v>1577205263</v>
      </c>
      <c r="F15078">
        <v>574</v>
      </c>
      <c r="G15078">
        <v>0</v>
      </c>
      <c r="H15078" t="s">
        <v>19922</v>
      </c>
      <c r="I15078">
        <v>17059</v>
      </c>
      <c r="J15078" t="str">
        <f>VLOOKUP(E15078,DSSpieler!A:B,2,FALSE)</f>
        <v>Lugen</v>
      </c>
    </row>
    <row r="15079" spans="1:10" x14ac:dyDescent="0.25">
      <c r="A15079">
        <v>17060</v>
      </c>
      <c r="B15079" t="s">
        <v>35506</v>
      </c>
      <c r="C15079">
        <v>621</v>
      </c>
      <c r="D15079">
        <v>473</v>
      </c>
      <c r="E15079">
        <v>9795415</v>
      </c>
      <c r="F15079">
        <v>80</v>
      </c>
      <c r="G15079">
        <v>0</v>
      </c>
      <c r="H15079" t="s">
        <v>19923</v>
      </c>
      <c r="I15079">
        <v>17060</v>
      </c>
      <c r="J15079" t="str">
        <f>VLOOKUP(E15079,DSSpieler!A:B,2,FALSE)</f>
        <v>Cala Torta</v>
      </c>
    </row>
    <row r="15080" spans="1:10" x14ac:dyDescent="0.25">
      <c r="A15080">
        <v>17062</v>
      </c>
      <c r="B15080" t="s">
        <v>531</v>
      </c>
      <c r="C15080">
        <v>389</v>
      </c>
      <c r="D15080">
        <v>439</v>
      </c>
      <c r="E15080">
        <v>0</v>
      </c>
      <c r="F15080">
        <v>95</v>
      </c>
      <c r="G15080">
        <v>0</v>
      </c>
      <c r="H15080" t="s">
        <v>19924</v>
      </c>
      <c r="I15080">
        <v>17062</v>
      </c>
      <c r="J15080" t="e">
        <f>VLOOKUP(E15080,DSSpieler!A:B,2,FALSE)</f>
        <v>#N/A</v>
      </c>
    </row>
    <row r="15081" spans="1:10" x14ac:dyDescent="0.25">
      <c r="A15081">
        <v>17063</v>
      </c>
      <c r="B15081" t="s">
        <v>35507</v>
      </c>
      <c r="C15081">
        <v>375</v>
      </c>
      <c r="D15081">
        <v>512</v>
      </c>
      <c r="E15081">
        <v>1576752371</v>
      </c>
      <c r="F15081">
        <v>80</v>
      </c>
      <c r="G15081">
        <v>0</v>
      </c>
      <c r="H15081" t="s">
        <v>19925</v>
      </c>
      <c r="I15081">
        <v>17063</v>
      </c>
      <c r="J15081" t="str">
        <f>VLOOKUP(E15081,DSSpieler!A:B,2,FALSE)</f>
        <v>peterzwegat22</v>
      </c>
    </row>
    <row r="15082" spans="1:10" x14ac:dyDescent="0.25">
      <c r="A15082">
        <v>17064</v>
      </c>
      <c r="B15082" t="s">
        <v>531</v>
      </c>
      <c r="C15082">
        <v>605</v>
      </c>
      <c r="D15082">
        <v>569</v>
      </c>
      <c r="E15082">
        <v>0</v>
      </c>
      <c r="F15082">
        <v>55</v>
      </c>
      <c r="G15082">
        <v>0</v>
      </c>
      <c r="H15082" t="s">
        <v>19926</v>
      </c>
      <c r="I15082">
        <v>17064</v>
      </c>
      <c r="J15082" t="e">
        <f>VLOOKUP(E15082,DSSpieler!A:B,2,FALSE)</f>
        <v>#N/A</v>
      </c>
    </row>
    <row r="15083" spans="1:10" x14ac:dyDescent="0.25">
      <c r="A15083">
        <v>17065</v>
      </c>
      <c r="B15083" t="s">
        <v>531</v>
      </c>
      <c r="C15083">
        <v>406</v>
      </c>
      <c r="D15083">
        <v>538</v>
      </c>
      <c r="E15083">
        <v>0</v>
      </c>
      <c r="F15083">
        <v>141</v>
      </c>
      <c r="G15083">
        <v>0</v>
      </c>
      <c r="H15083" t="s">
        <v>19927</v>
      </c>
      <c r="I15083">
        <v>17065</v>
      </c>
      <c r="J15083" t="e">
        <f>VLOOKUP(E15083,DSSpieler!A:B,2,FALSE)</f>
        <v>#N/A</v>
      </c>
    </row>
    <row r="15084" spans="1:10" x14ac:dyDescent="0.25">
      <c r="A15084">
        <v>17066</v>
      </c>
      <c r="B15084" t="s">
        <v>35508</v>
      </c>
      <c r="C15084">
        <v>487</v>
      </c>
      <c r="D15084">
        <v>402</v>
      </c>
      <c r="E15084">
        <v>1577153437</v>
      </c>
      <c r="F15084">
        <v>2254</v>
      </c>
      <c r="G15084">
        <v>0</v>
      </c>
      <c r="H15084" t="s">
        <v>19928</v>
      </c>
      <c r="I15084">
        <v>17066</v>
      </c>
      <c r="J15084" t="str">
        <f>VLOOKUP(E15084,DSSpieler!A:B,2,FALSE)</f>
        <v>wende</v>
      </c>
    </row>
    <row r="15085" spans="1:10" x14ac:dyDescent="0.25">
      <c r="A15085">
        <v>17067</v>
      </c>
      <c r="B15085" t="s">
        <v>531</v>
      </c>
      <c r="C15085">
        <v>401</v>
      </c>
      <c r="D15085">
        <v>429</v>
      </c>
      <c r="E15085">
        <v>0</v>
      </c>
      <c r="F15085">
        <v>134</v>
      </c>
      <c r="G15085">
        <v>0</v>
      </c>
      <c r="H15085" t="s">
        <v>19929</v>
      </c>
      <c r="I15085">
        <v>17067</v>
      </c>
      <c r="J15085" t="e">
        <f>VLOOKUP(E15085,DSSpieler!A:B,2,FALSE)</f>
        <v>#N/A</v>
      </c>
    </row>
    <row r="15086" spans="1:10" x14ac:dyDescent="0.25">
      <c r="A15086">
        <v>17068</v>
      </c>
      <c r="B15086" t="s">
        <v>531</v>
      </c>
      <c r="C15086">
        <v>599</v>
      </c>
      <c r="D15086">
        <v>424</v>
      </c>
      <c r="E15086">
        <v>0</v>
      </c>
      <c r="F15086">
        <v>95</v>
      </c>
      <c r="G15086">
        <v>0</v>
      </c>
      <c r="H15086" t="s">
        <v>19930</v>
      </c>
      <c r="I15086">
        <v>17068</v>
      </c>
      <c r="J15086" t="e">
        <f>VLOOKUP(E15086,DSSpieler!A:B,2,FALSE)</f>
        <v>#N/A</v>
      </c>
    </row>
    <row r="15087" spans="1:10" x14ac:dyDescent="0.25">
      <c r="A15087">
        <v>17069</v>
      </c>
      <c r="B15087" t="s">
        <v>35509</v>
      </c>
      <c r="C15087">
        <v>562</v>
      </c>
      <c r="D15087">
        <v>468</v>
      </c>
      <c r="E15087">
        <v>3214244</v>
      </c>
      <c r="F15087">
        <v>675</v>
      </c>
      <c r="G15087">
        <v>0</v>
      </c>
      <c r="H15087" t="s">
        <v>19931</v>
      </c>
      <c r="I15087">
        <v>17069</v>
      </c>
      <c r="J15087" t="str">
        <f>VLOOKUP(E15087,DSSpieler!A:B,2,FALSE)</f>
        <v>Klingonenkotze</v>
      </c>
    </row>
    <row r="15088" spans="1:10" x14ac:dyDescent="0.25">
      <c r="A15088">
        <v>17070</v>
      </c>
      <c r="B15088" t="s">
        <v>531</v>
      </c>
      <c r="C15088">
        <v>507</v>
      </c>
      <c r="D15088">
        <v>376</v>
      </c>
      <c r="E15088">
        <v>0</v>
      </c>
      <c r="F15088">
        <v>137</v>
      </c>
      <c r="G15088">
        <v>0</v>
      </c>
      <c r="H15088" t="s">
        <v>19932</v>
      </c>
      <c r="I15088">
        <v>17070</v>
      </c>
      <c r="J15088" t="e">
        <f>VLOOKUP(E15088,DSSpieler!A:B,2,FALSE)</f>
        <v>#N/A</v>
      </c>
    </row>
    <row r="15089" spans="1:10" x14ac:dyDescent="0.25">
      <c r="A15089">
        <v>17071</v>
      </c>
      <c r="B15089" t="s">
        <v>35510</v>
      </c>
      <c r="C15089">
        <v>469</v>
      </c>
      <c r="D15089">
        <v>620</v>
      </c>
      <c r="E15089">
        <v>9899213</v>
      </c>
      <c r="F15089">
        <v>698</v>
      </c>
      <c r="G15089">
        <v>0</v>
      </c>
      <c r="H15089" t="s">
        <v>19933</v>
      </c>
      <c r="I15089">
        <v>17071</v>
      </c>
      <c r="J15089" t="str">
        <f>VLOOKUP(E15089,DSSpieler!A:B,2,FALSE)</f>
        <v>mavi43</v>
      </c>
    </row>
    <row r="15090" spans="1:10" x14ac:dyDescent="0.25">
      <c r="A15090">
        <v>17072</v>
      </c>
      <c r="B15090" t="s">
        <v>531</v>
      </c>
      <c r="C15090">
        <v>620</v>
      </c>
      <c r="D15090">
        <v>534</v>
      </c>
      <c r="E15090">
        <v>0</v>
      </c>
      <c r="F15090">
        <v>90</v>
      </c>
      <c r="G15090">
        <v>0</v>
      </c>
      <c r="H15090" t="s">
        <v>19934</v>
      </c>
      <c r="I15090">
        <v>17072</v>
      </c>
      <c r="J15090" t="e">
        <f>VLOOKUP(E15090,DSSpieler!A:B,2,FALSE)</f>
        <v>#N/A</v>
      </c>
    </row>
    <row r="15091" spans="1:10" x14ac:dyDescent="0.25">
      <c r="A15091">
        <v>17073</v>
      </c>
      <c r="B15091" t="s">
        <v>531</v>
      </c>
      <c r="C15091">
        <v>550</v>
      </c>
      <c r="D15091">
        <v>610</v>
      </c>
      <c r="E15091">
        <v>0</v>
      </c>
      <c r="F15091">
        <v>61</v>
      </c>
      <c r="G15091">
        <v>0</v>
      </c>
      <c r="H15091" t="s">
        <v>19935</v>
      </c>
      <c r="I15091">
        <v>17073</v>
      </c>
      <c r="J15091" t="e">
        <f>VLOOKUP(E15091,DSSpieler!A:B,2,FALSE)</f>
        <v>#N/A</v>
      </c>
    </row>
    <row r="15092" spans="1:10" x14ac:dyDescent="0.25">
      <c r="A15092">
        <v>17074</v>
      </c>
      <c r="B15092" t="s">
        <v>531</v>
      </c>
      <c r="C15092">
        <v>401</v>
      </c>
      <c r="D15092">
        <v>577</v>
      </c>
      <c r="E15092">
        <v>0</v>
      </c>
      <c r="F15092">
        <v>86</v>
      </c>
      <c r="G15092">
        <v>0</v>
      </c>
      <c r="H15092" t="s">
        <v>19936</v>
      </c>
      <c r="I15092">
        <v>17074</v>
      </c>
      <c r="J15092" t="e">
        <f>VLOOKUP(E15092,DSSpieler!A:B,2,FALSE)</f>
        <v>#N/A</v>
      </c>
    </row>
    <row r="15093" spans="1:10" x14ac:dyDescent="0.25">
      <c r="A15093">
        <v>17075</v>
      </c>
      <c r="B15093" t="s">
        <v>531</v>
      </c>
      <c r="C15093">
        <v>379</v>
      </c>
      <c r="D15093">
        <v>494</v>
      </c>
      <c r="E15093">
        <v>0</v>
      </c>
      <c r="F15093">
        <v>142</v>
      </c>
      <c r="G15093">
        <v>0</v>
      </c>
      <c r="H15093" t="s">
        <v>19937</v>
      </c>
      <c r="I15093">
        <v>17075</v>
      </c>
      <c r="J15093" t="e">
        <f>VLOOKUP(E15093,DSSpieler!A:B,2,FALSE)</f>
        <v>#N/A</v>
      </c>
    </row>
    <row r="15094" spans="1:10" x14ac:dyDescent="0.25">
      <c r="A15094">
        <v>17076</v>
      </c>
      <c r="B15094" t="s">
        <v>35511</v>
      </c>
      <c r="C15094">
        <v>581</v>
      </c>
      <c r="D15094">
        <v>408</v>
      </c>
      <c r="E15094">
        <v>7966151</v>
      </c>
      <c r="F15094">
        <v>1974</v>
      </c>
      <c r="G15094">
        <v>0</v>
      </c>
      <c r="H15094" t="s">
        <v>19938</v>
      </c>
      <c r="I15094">
        <v>17076</v>
      </c>
      <c r="J15094" t="str">
        <f>VLOOKUP(E15094,DSSpieler!A:B,2,FALSE)</f>
        <v>Lo0xIs</v>
      </c>
    </row>
    <row r="15095" spans="1:10" x14ac:dyDescent="0.25">
      <c r="A15095">
        <v>17077</v>
      </c>
      <c r="B15095" t="s">
        <v>35512</v>
      </c>
      <c r="C15095">
        <v>619</v>
      </c>
      <c r="D15095">
        <v>543</v>
      </c>
      <c r="E15095">
        <v>9637905</v>
      </c>
      <c r="F15095">
        <v>1702</v>
      </c>
      <c r="G15095">
        <v>0</v>
      </c>
      <c r="H15095" t="s">
        <v>19939</v>
      </c>
      <c r="I15095">
        <v>17077</v>
      </c>
      <c r="J15095" t="str">
        <f>VLOOKUP(E15095,DSSpieler!A:B,2,FALSE)</f>
        <v>Vampirow</v>
      </c>
    </row>
    <row r="15096" spans="1:10" x14ac:dyDescent="0.25">
      <c r="A15096">
        <v>17079</v>
      </c>
      <c r="B15096" t="s">
        <v>531</v>
      </c>
      <c r="C15096">
        <v>465</v>
      </c>
      <c r="D15096">
        <v>615</v>
      </c>
      <c r="E15096">
        <v>0</v>
      </c>
      <c r="F15096">
        <v>1039</v>
      </c>
      <c r="G15096">
        <v>0</v>
      </c>
      <c r="H15096" t="s">
        <v>19940</v>
      </c>
      <c r="I15096">
        <v>17079</v>
      </c>
      <c r="J15096" t="e">
        <f>VLOOKUP(E15096,DSSpieler!A:B,2,FALSE)</f>
        <v>#N/A</v>
      </c>
    </row>
    <row r="15097" spans="1:10" x14ac:dyDescent="0.25">
      <c r="A15097">
        <v>17080</v>
      </c>
      <c r="B15097" t="s">
        <v>531</v>
      </c>
      <c r="C15097">
        <v>469</v>
      </c>
      <c r="D15097">
        <v>610</v>
      </c>
      <c r="E15097">
        <v>0</v>
      </c>
      <c r="F15097">
        <v>443</v>
      </c>
      <c r="G15097">
        <v>0</v>
      </c>
      <c r="H15097" t="s">
        <v>19941</v>
      </c>
      <c r="I15097">
        <v>17080</v>
      </c>
      <c r="J15097" t="e">
        <f>VLOOKUP(E15097,DSSpieler!A:B,2,FALSE)</f>
        <v>#N/A</v>
      </c>
    </row>
    <row r="15098" spans="1:10" x14ac:dyDescent="0.25">
      <c r="A15098">
        <v>17081</v>
      </c>
      <c r="B15098" t="s">
        <v>35513</v>
      </c>
      <c r="C15098">
        <v>612</v>
      </c>
      <c r="D15098">
        <v>543</v>
      </c>
      <c r="E15098">
        <v>1577076134</v>
      </c>
      <c r="F15098">
        <v>26</v>
      </c>
      <c r="G15098">
        <v>0</v>
      </c>
      <c r="H15098" t="s">
        <v>19942</v>
      </c>
      <c r="I15098">
        <v>17081</v>
      </c>
      <c r="J15098" t="str">
        <f>VLOOKUP(E15098,DSSpieler!A:B,2,FALSE)</f>
        <v>Der Berserker</v>
      </c>
    </row>
    <row r="15099" spans="1:10" x14ac:dyDescent="0.25">
      <c r="A15099">
        <v>17082</v>
      </c>
      <c r="B15099" t="s">
        <v>2584</v>
      </c>
      <c r="C15099">
        <v>392</v>
      </c>
      <c r="D15099">
        <v>435</v>
      </c>
      <c r="E15099">
        <v>3383777</v>
      </c>
      <c r="F15099">
        <v>509</v>
      </c>
      <c r="G15099">
        <v>0</v>
      </c>
      <c r="H15099" t="s">
        <v>19943</v>
      </c>
      <c r="I15099">
        <v>17082</v>
      </c>
      <c r="J15099" t="str">
        <f>VLOOKUP(E15099,DSSpieler!A:B,2,FALSE)</f>
        <v>Redfront KB</v>
      </c>
    </row>
    <row r="15100" spans="1:10" x14ac:dyDescent="0.25">
      <c r="A15100">
        <v>17084</v>
      </c>
      <c r="B15100" t="s">
        <v>35514</v>
      </c>
      <c r="C15100">
        <v>448</v>
      </c>
      <c r="D15100">
        <v>447</v>
      </c>
      <c r="E15100">
        <v>7837965</v>
      </c>
      <c r="F15100">
        <v>1798</v>
      </c>
      <c r="G15100">
        <v>0</v>
      </c>
      <c r="H15100" t="s">
        <v>19944</v>
      </c>
      <c r="I15100">
        <v>17084</v>
      </c>
      <c r="J15100" t="str">
        <f>VLOOKUP(E15100,DSSpieler!A:B,2,FALSE)</f>
        <v>Das Katzenvieh</v>
      </c>
    </row>
    <row r="15101" spans="1:10" x14ac:dyDescent="0.25">
      <c r="A15101">
        <v>17086</v>
      </c>
      <c r="B15101" t="s">
        <v>531</v>
      </c>
      <c r="C15101">
        <v>519</v>
      </c>
      <c r="D15101">
        <v>524</v>
      </c>
      <c r="E15101">
        <v>0</v>
      </c>
      <c r="F15101">
        <v>970</v>
      </c>
      <c r="G15101">
        <v>0</v>
      </c>
      <c r="H15101" t="s">
        <v>19945</v>
      </c>
      <c r="I15101">
        <v>17086</v>
      </c>
      <c r="J15101" t="e">
        <f>VLOOKUP(E15101,DSSpieler!A:B,2,FALSE)</f>
        <v>#N/A</v>
      </c>
    </row>
    <row r="15102" spans="1:10" x14ac:dyDescent="0.25">
      <c r="A15102">
        <v>17087</v>
      </c>
      <c r="B15102" t="s">
        <v>35515</v>
      </c>
      <c r="C15102">
        <v>578</v>
      </c>
      <c r="D15102">
        <v>592</v>
      </c>
      <c r="E15102">
        <v>1954561</v>
      </c>
      <c r="F15102">
        <v>3309</v>
      </c>
      <c r="G15102">
        <v>0</v>
      </c>
      <c r="H15102" t="s">
        <v>19946</v>
      </c>
      <c r="I15102">
        <v>17087</v>
      </c>
      <c r="J15102" t="str">
        <f>VLOOKUP(E15102,DSSpieler!A:B,2,FALSE)</f>
        <v>jenbet</v>
      </c>
    </row>
    <row r="15103" spans="1:10" x14ac:dyDescent="0.25">
      <c r="A15103">
        <v>17088</v>
      </c>
      <c r="B15103" t="s">
        <v>531</v>
      </c>
      <c r="C15103">
        <v>429</v>
      </c>
      <c r="D15103">
        <v>396</v>
      </c>
      <c r="E15103">
        <v>0</v>
      </c>
      <c r="F15103">
        <v>88</v>
      </c>
      <c r="G15103">
        <v>0</v>
      </c>
      <c r="H15103" t="s">
        <v>19947</v>
      </c>
      <c r="I15103">
        <v>17088</v>
      </c>
      <c r="J15103" t="e">
        <f>VLOOKUP(E15103,DSSpieler!A:B,2,FALSE)</f>
        <v>#N/A</v>
      </c>
    </row>
    <row r="15104" spans="1:10" x14ac:dyDescent="0.25">
      <c r="A15104">
        <v>17090</v>
      </c>
      <c r="B15104" t="s">
        <v>35516</v>
      </c>
      <c r="C15104">
        <v>419</v>
      </c>
      <c r="D15104">
        <v>592</v>
      </c>
      <c r="E15104">
        <v>9611921</v>
      </c>
      <c r="F15104">
        <v>26</v>
      </c>
      <c r="G15104">
        <v>0</v>
      </c>
      <c r="H15104" t="s">
        <v>19948</v>
      </c>
      <c r="I15104">
        <v>17090</v>
      </c>
      <c r="J15104" t="str">
        <f>VLOOKUP(E15104,DSSpieler!A:B,2,FALSE)</f>
        <v>Sinouu</v>
      </c>
    </row>
    <row r="15105" spans="1:10" x14ac:dyDescent="0.25">
      <c r="A15105">
        <v>17091</v>
      </c>
      <c r="B15105" t="s">
        <v>35517</v>
      </c>
      <c r="C15105">
        <v>448</v>
      </c>
      <c r="D15105">
        <v>424</v>
      </c>
      <c r="E15105">
        <v>1577141580</v>
      </c>
      <c r="F15105">
        <v>816</v>
      </c>
      <c r="G15105">
        <v>0</v>
      </c>
      <c r="H15105" t="s">
        <v>19949</v>
      </c>
      <c r="I15105">
        <v>17091</v>
      </c>
      <c r="J15105" t="str">
        <f>VLOOKUP(E15105,DSSpieler!A:B,2,FALSE)</f>
        <v>SerbianBoss</v>
      </c>
    </row>
    <row r="15106" spans="1:10" x14ac:dyDescent="0.25">
      <c r="A15106">
        <v>17092</v>
      </c>
      <c r="B15106" t="s">
        <v>531</v>
      </c>
      <c r="C15106">
        <v>390</v>
      </c>
      <c r="D15106">
        <v>556</v>
      </c>
      <c r="E15106">
        <v>0</v>
      </c>
      <c r="F15106">
        <v>58</v>
      </c>
      <c r="G15106">
        <v>0</v>
      </c>
      <c r="H15106" t="s">
        <v>19950</v>
      </c>
      <c r="I15106">
        <v>17092</v>
      </c>
      <c r="J15106" t="e">
        <f>VLOOKUP(E15106,DSSpieler!A:B,2,FALSE)</f>
        <v>#N/A</v>
      </c>
    </row>
    <row r="15107" spans="1:10" x14ac:dyDescent="0.25">
      <c r="A15107">
        <v>17093</v>
      </c>
      <c r="B15107" t="s">
        <v>531</v>
      </c>
      <c r="C15107">
        <v>402</v>
      </c>
      <c r="D15107">
        <v>499</v>
      </c>
      <c r="E15107">
        <v>0</v>
      </c>
      <c r="F15107">
        <v>110</v>
      </c>
      <c r="G15107">
        <v>0</v>
      </c>
      <c r="H15107" t="s">
        <v>19951</v>
      </c>
      <c r="I15107">
        <v>17093</v>
      </c>
      <c r="J15107" t="e">
        <f>VLOOKUP(E15107,DSSpieler!A:B,2,FALSE)</f>
        <v>#N/A</v>
      </c>
    </row>
    <row r="15108" spans="1:10" x14ac:dyDescent="0.25">
      <c r="A15108">
        <v>17094</v>
      </c>
      <c r="B15108" t="s">
        <v>531</v>
      </c>
      <c r="C15108">
        <v>501</v>
      </c>
      <c r="D15108">
        <v>625</v>
      </c>
      <c r="E15108">
        <v>0</v>
      </c>
      <c r="F15108">
        <v>175</v>
      </c>
      <c r="G15108">
        <v>0</v>
      </c>
      <c r="H15108" t="s">
        <v>19952</v>
      </c>
      <c r="I15108">
        <v>17094</v>
      </c>
      <c r="J15108" t="e">
        <f>VLOOKUP(E15108,DSSpieler!A:B,2,FALSE)</f>
        <v>#N/A</v>
      </c>
    </row>
    <row r="15109" spans="1:10" x14ac:dyDescent="0.25">
      <c r="A15109">
        <v>17095</v>
      </c>
      <c r="B15109" t="s">
        <v>2585</v>
      </c>
      <c r="C15109">
        <v>380</v>
      </c>
      <c r="D15109">
        <v>511</v>
      </c>
      <c r="E15109">
        <v>9108586</v>
      </c>
      <c r="F15109">
        <v>1847</v>
      </c>
      <c r="G15109">
        <v>0</v>
      </c>
      <c r="H15109" t="s">
        <v>19953</v>
      </c>
      <c r="I15109">
        <v>17095</v>
      </c>
      <c r="J15109" t="str">
        <f>VLOOKUP(E15109,DSSpieler!A:B,2,FALSE)</f>
        <v>schnauzevollnix</v>
      </c>
    </row>
    <row r="15110" spans="1:10" x14ac:dyDescent="0.25">
      <c r="A15110">
        <v>17096</v>
      </c>
      <c r="B15110" t="s">
        <v>35518</v>
      </c>
      <c r="C15110">
        <v>418</v>
      </c>
      <c r="D15110">
        <v>404</v>
      </c>
      <c r="E15110">
        <v>8651884</v>
      </c>
      <c r="F15110">
        <v>2021</v>
      </c>
      <c r="G15110">
        <v>0</v>
      </c>
      <c r="H15110" t="s">
        <v>19954</v>
      </c>
      <c r="I15110">
        <v>17096</v>
      </c>
      <c r="J15110" t="str">
        <f>VLOOKUP(E15110,DSSpieler!A:B,2,FALSE)</f>
        <v>maxhaxlefax</v>
      </c>
    </row>
    <row r="15111" spans="1:10" x14ac:dyDescent="0.25">
      <c r="A15111">
        <v>17097</v>
      </c>
      <c r="B15111" t="s">
        <v>531</v>
      </c>
      <c r="C15111">
        <v>512</v>
      </c>
      <c r="D15111">
        <v>379</v>
      </c>
      <c r="E15111">
        <v>0</v>
      </c>
      <c r="F15111">
        <v>248</v>
      </c>
      <c r="G15111">
        <v>0</v>
      </c>
      <c r="H15111" t="s">
        <v>19955</v>
      </c>
      <c r="I15111">
        <v>17097</v>
      </c>
      <c r="J15111" t="e">
        <f>VLOOKUP(E15111,DSSpieler!A:B,2,FALSE)</f>
        <v>#N/A</v>
      </c>
    </row>
    <row r="15112" spans="1:10" x14ac:dyDescent="0.25">
      <c r="A15112">
        <v>17098</v>
      </c>
      <c r="B15112" t="s">
        <v>531</v>
      </c>
      <c r="C15112">
        <v>549</v>
      </c>
      <c r="D15112">
        <v>613</v>
      </c>
      <c r="E15112">
        <v>0</v>
      </c>
      <c r="F15112">
        <v>1004</v>
      </c>
      <c r="G15112">
        <v>0</v>
      </c>
      <c r="H15112" t="s">
        <v>19956</v>
      </c>
      <c r="I15112">
        <v>17098</v>
      </c>
      <c r="J15112" t="e">
        <f>VLOOKUP(E15112,DSSpieler!A:B,2,FALSE)</f>
        <v>#N/A</v>
      </c>
    </row>
    <row r="15113" spans="1:10" x14ac:dyDescent="0.25">
      <c r="A15113">
        <v>17099</v>
      </c>
      <c r="B15113" t="s">
        <v>531</v>
      </c>
      <c r="C15113">
        <v>612</v>
      </c>
      <c r="D15113">
        <v>553</v>
      </c>
      <c r="E15113">
        <v>0</v>
      </c>
      <c r="F15113">
        <v>1840</v>
      </c>
      <c r="G15113">
        <v>0</v>
      </c>
      <c r="H15113" t="s">
        <v>19957</v>
      </c>
      <c r="I15113">
        <v>17099</v>
      </c>
      <c r="J15113" t="e">
        <f>VLOOKUP(E15113,DSSpieler!A:B,2,FALSE)</f>
        <v>#N/A</v>
      </c>
    </row>
    <row r="15114" spans="1:10" x14ac:dyDescent="0.25">
      <c r="A15114">
        <v>17100</v>
      </c>
      <c r="B15114" t="s">
        <v>531</v>
      </c>
      <c r="C15114">
        <v>561</v>
      </c>
      <c r="D15114">
        <v>610</v>
      </c>
      <c r="E15114">
        <v>0</v>
      </c>
      <c r="F15114">
        <v>57</v>
      </c>
      <c r="G15114">
        <v>0</v>
      </c>
      <c r="H15114" t="s">
        <v>19958</v>
      </c>
      <c r="I15114">
        <v>17100</v>
      </c>
      <c r="J15114" t="e">
        <f>VLOOKUP(E15114,DSSpieler!A:B,2,FALSE)</f>
        <v>#N/A</v>
      </c>
    </row>
    <row r="15115" spans="1:10" x14ac:dyDescent="0.25">
      <c r="A15115">
        <v>17101</v>
      </c>
      <c r="B15115" t="s">
        <v>35519</v>
      </c>
      <c r="C15115">
        <v>380</v>
      </c>
      <c r="D15115">
        <v>515</v>
      </c>
      <c r="E15115">
        <v>1480582</v>
      </c>
      <c r="F15115">
        <v>2451</v>
      </c>
      <c r="G15115">
        <v>0</v>
      </c>
      <c r="H15115" t="s">
        <v>19959</v>
      </c>
      <c r="I15115">
        <v>17101</v>
      </c>
      <c r="J15115" t="str">
        <f>VLOOKUP(E15115,DSSpieler!A:B,2,FALSE)</f>
        <v>alu73</v>
      </c>
    </row>
    <row r="15116" spans="1:10" x14ac:dyDescent="0.25">
      <c r="A15116">
        <v>17102</v>
      </c>
      <c r="B15116" t="s">
        <v>531</v>
      </c>
      <c r="C15116">
        <v>567</v>
      </c>
      <c r="D15116">
        <v>398</v>
      </c>
      <c r="E15116">
        <v>0</v>
      </c>
      <c r="F15116">
        <v>202</v>
      </c>
      <c r="G15116">
        <v>0</v>
      </c>
      <c r="H15116" t="s">
        <v>19960</v>
      </c>
      <c r="I15116">
        <v>17102</v>
      </c>
      <c r="J15116" t="e">
        <f>VLOOKUP(E15116,DSSpieler!A:B,2,FALSE)</f>
        <v>#N/A</v>
      </c>
    </row>
    <row r="15117" spans="1:10" x14ac:dyDescent="0.25">
      <c r="A15117">
        <v>17103</v>
      </c>
      <c r="B15117" t="s">
        <v>1082</v>
      </c>
      <c r="C15117">
        <v>379</v>
      </c>
      <c r="D15117">
        <v>526</v>
      </c>
      <c r="E15117">
        <v>7816945</v>
      </c>
      <c r="F15117">
        <v>2227</v>
      </c>
      <c r="G15117">
        <v>0</v>
      </c>
      <c r="H15117" t="s">
        <v>19961</v>
      </c>
      <c r="I15117">
        <v>17103</v>
      </c>
      <c r="J15117" t="str">
        <f>VLOOKUP(E15117,DSSpieler!A:B,2,FALSE)</f>
        <v>König van der Heid</v>
      </c>
    </row>
    <row r="15118" spans="1:10" x14ac:dyDescent="0.25">
      <c r="A15118">
        <v>17104</v>
      </c>
      <c r="B15118" t="s">
        <v>1147</v>
      </c>
      <c r="C15118">
        <v>576</v>
      </c>
      <c r="D15118">
        <v>506</v>
      </c>
      <c r="E15118">
        <v>1577177410</v>
      </c>
      <c r="F15118">
        <v>864</v>
      </c>
      <c r="G15118">
        <v>0</v>
      </c>
      <c r="H15118" t="s">
        <v>19962</v>
      </c>
      <c r="I15118">
        <v>17104</v>
      </c>
      <c r="J15118" t="str">
        <f>VLOOKUP(E15118,DSSpieler!A:B,2,FALSE)</f>
        <v>Fluse0815</v>
      </c>
    </row>
    <row r="15119" spans="1:10" x14ac:dyDescent="0.25">
      <c r="A15119">
        <v>17105</v>
      </c>
      <c r="B15119" t="s">
        <v>531</v>
      </c>
      <c r="C15119">
        <v>620</v>
      </c>
      <c r="D15119">
        <v>528</v>
      </c>
      <c r="E15119">
        <v>0</v>
      </c>
      <c r="F15119">
        <v>57</v>
      </c>
      <c r="G15119">
        <v>0</v>
      </c>
      <c r="H15119" t="s">
        <v>19963</v>
      </c>
      <c r="I15119">
        <v>17105</v>
      </c>
      <c r="J15119" t="e">
        <f>VLOOKUP(E15119,DSSpieler!A:B,2,FALSE)</f>
        <v>#N/A</v>
      </c>
    </row>
    <row r="15120" spans="1:10" x14ac:dyDescent="0.25">
      <c r="A15120">
        <v>17106</v>
      </c>
      <c r="B15120" t="s">
        <v>531</v>
      </c>
      <c r="C15120">
        <v>382</v>
      </c>
      <c r="D15120">
        <v>458</v>
      </c>
      <c r="E15120">
        <v>0</v>
      </c>
      <c r="F15120">
        <v>153</v>
      </c>
      <c r="G15120">
        <v>0</v>
      </c>
      <c r="H15120" t="s">
        <v>19964</v>
      </c>
      <c r="I15120">
        <v>17106</v>
      </c>
      <c r="J15120" t="e">
        <f>VLOOKUP(E15120,DSSpieler!A:B,2,FALSE)</f>
        <v>#N/A</v>
      </c>
    </row>
    <row r="15121" spans="1:10" x14ac:dyDescent="0.25">
      <c r="A15121">
        <v>17108</v>
      </c>
      <c r="B15121" t="s">
        <v>35520</v>
      </c>
      <c r="C15121">
        <v>396</v>
      </c>
      <c r="D15121">
        <v>438</v>
      </c>
      <c r="E15121">
        <v>8678858</v>
      </c>
      <c r="F15121">
        <v>228</v>
      </c>
      <c r="G15121">
        <v>0</v>
      </c>
      <c r="H15121" t="s">
        <v>19965</v>
      </c>
      <c r="I15121">
        <v>17108</v>
      </c>
      <c r="J15121" t="str">
        <f>VLOOKUP(E15121,DSSpieler!A:B,2,FALSE)</f>
        <v>Ares901</v>
      </c>
    </row>
    <row r="15122" spans="1:10" x14ac:dyDescent="0.25">
      <c r="A15122">
        <v>17109</v>
      </c>
      <c r="B15122" t="s">
        <v>35521</v>
      </c>
      <c r="C15122">
        <v>479</v>
      </c>
      <c r="D15122">
        <v>453</v>
      </c>
      <c r="E15122">
        <v>1577083843</v>
      </c>
      <c r="F15122">
        <v>2127</v>
      </c>
      <c r="G15122">
        <v>0</v>
      </c>
      <c r="H15122" t="s">
        <v>19966</v>
      </c>
      <c r="I15122">
        <v>17109</v>
      </c>
      <c r="J15122" t="str">
        <f>VLOOKUP(E15122,DSSpieler!A:B,2,FALSE)</f>
        <v>deintot5</v>
      </c>
    </row>
    <row r="15123" spans="1:10" x14ac:dyDescent="0.25">
      <c r="A15123">
        <v>17110</v>
      </c>
      <c r="B15123" t="s">
        <v>531</v>
      </c>
      <c r="C15123">
        <v>413</v>
      </c>
      <c r="D15123">
        <v>589</v>
      </c>
      <c r="E15123">
        <v>0</v>
      </c>
      <c r="F15123">
        <v>184</v>
      </c>
      <c r="G15123">
        <v>0</v>
      </c>
      <c r="H15123" t="s">
        <v>19967</v>
      </c>
      <c r="I15123">
        <v>17110</v>
      </c>
      <c r="J15123" t="e">
        <f>VLOOKUP(E15123,DSSpieler!A:B,2,FALSE)</f>
        <v>#N/A</v>
      </c>
    </row>
    <row r="15124" spans="1:10" x14ac:dyDescent="0.25">
      <c r="A15124">
        <v>17111</v>
      </c>
      <c r="B15124" t="s">
        <v>531</v>
      </c>
      <c r="C15124">
        <v>487</v>
      </c>
      <c r="D15124">
        <v>624</v>
      </c>
      <c r="E15124">
        <v>0</v>
      </c>
      <c r="F15124">
        <v>66</v>
      </c>
      <c r="G15124">
        <v>0</v>
      </c>
      <c r="H15124" t="s">
        <v>19968</v>
      </c>
      <c r="I15124">
        <v>17111</v>
      </c>
      <c r="J15124" t="e">
        <f>VLOOKUP(E15124,DSSpieler!A:B,2,FALSE)</f>
        <v>#N/A</v>
      </c>
    </row>
    <row r="15125" spans="1:10" x14ac:dyDescent="0.25">
      <c r="A15125">
        <v>17112</v>
      </c>
      <c r="B15125" t="s">
        <v>35522</v>
      </c>
      <c r="C15125">
        <v>622</v>
      </c>
      <c r="D15125">
        <v>479</v>
      </c>
      <c r="E15125">
        <v>1577190102</v>
      </c>
      <c r="F15125">
        <v>26</v>
      </c>
      <c r="G15125">
        <v>0</v>
      </c>
      <c r="H15125" t="s">
        <v>19969</v>
      </c>
      <c r="I15125">
        <v>17112</v>
      </c>
      <c r="J15125" t="str">
        <f>VLOOKUP(E15125,DSSpieler!A:B,2,FALSE)</f>
        <v>Obtainaex</v>
      </c>
    </row>
    <row r="15126" spans="1:10" x14ac:dyDescent="0.25">
      <c r="A15126">
        <v>17113</v>
      </c>
      <c r="B15126" t="s">
        <v>35523</v>
      </c>
      <c r="C15126">
        <v>392</v>
      </c>
      <c r="D15126">
        <v>438</v>
      </c>
      <c r="E15126">
        <v>1576174848</v>
      </c>
      <c r="F15126">
        <v>1568</v>
      </c>
      <c r="G15126">
        <v>0</v>
      </c>
      <c r="H15126" t="s">
        <v>19970</v>
      </c>
      <c r="I15126">
        <v>17113</v>
      </c>
      <c r="J15126" t="str">
        <f>VLOOKUP(E15126,DSSpieler!A:B,2,FALSE)</f>
        <v>pasca19</v>
      </c>
    </row>
    <row r="15127" spans="1:10" x14ac:dyDescent="0.25">
      <c r="A15127">
        <v>17115</v>
      </c>
      <c r="B15127" t="s">
        <v>531</v>
      </c>
      <c r="C15127">
        <v>494</v>
      </c>
      <c r="D15127">
        <v>621</v>
      </c>
      <c r="E15127">
        <v>0</v>
      </c>
      <c r="F15127">
        <v>64</v>
      </c>
      <c r="G15127">
        <v>0</v>
      </c>
      <c r="H15127" t="s">
        <v>19971</v>
      </c>
      <c r="I15127">
        <v>17115</v>
      </c>
      <c r="J15127" t="e">
        <f>VLOOKUP(E15127,DSSpieler!A:B,2,FALSE)</f>
        <v>#N/A</v>
      </c>
    </row>
    <row r="15128" spans="1:10" x14ac:dyDescent="0.25">
      <c r="A15128">
        <v>17116</v>
      </c>
      <c r="B15128" t="s">
        <v>531</v>
      </c>
      <c r="C15128">
        <v>437</v>
      </c>
      <c r="D15128">
        <v>396</v>
      </c>
      <c r="E15128">
        <v>0</v>
      </c>
      <c r="F15128">
        <v>59</v>
      </c>
      <c r="G15128">
        <v>0</v>
      </c>
      <c r="H15128" t="s">
        <v>19972</v>
      </c>
      <c r="I15128">
        <v>17116</v>
      </c>
      <c r="J15128" t="e">
        <f>VLOOKUP(E15128,DSSpieler!A:B,2,FALSE)</f>
        <v>#N/A</v>
      </c>
    </row>
    <row r="15129" spans="1:10" x14ac:dyDescent="0.25">
      <c r="A15129">
        <v>17117</v>
      </c>
      <c r="B15129" t="s">
        <v>35524</v>
      </c>
      <c r="C15129">
        <v>524</v>
      </c>
      <c r="D15129">
        <v>620</v>
      </c>
      <c r="E15129">
        <v>10041887</v>
      </c>
      <c r="F15129">
        <v>2263</v>
      </c>
      <c r="G15129">
        <v>0</v>
      </c>
      <c r="H15129" t="s">
        <v>19973</v>
      </c>
      <c r="I15129">
        <v>17117</v>
      </c>
      <c r="J15129" t="str">
        <f>VLOOKUP(E15129,DSSpieler!A:B,2,FALSE)</f>
        <v>Woelfefan2</v>
      </c>
    </row>
    <row r="15130" spans="1:10" x14ac:dyDescent="0.25">
      <c r="A15130">
        <v>17118</v>
      </c>
      <c r="B15130" t="s">
        <v>531</v>
      </c>
      <c r="C15130">
        <v>594</v>
      </c>
      <c r="D15130">
        <v>580</v>
      </c>
      <c r="E15130">
        <v>0</v>
      </c>
      <c r="F15130">
        <v>143</v>
      </c>
      <c r="G15130">
        <v>0</v>
      </c>
      <c r="H15130" t="s">
        <v>19974</v>
      </c>
      <c r="I15130">
        <v>17118</v>
      </c>
      <c r="J15130" t="e">
        <f>VLOOKUP(E15130,DSSpieler!A:B,2,FALSE)</f>
        <v>#N/A</v>
      </c>
    </row>
    <row r="15131" spans="1:10" x14ac:dyDescent="0.25">
      <c r="A15131">
        <v>17119</v>
      </c>
      <c r="B15131" t="s">
        <v>531</v>
      </c>
      <c r="C15131">
        <v>415</v>
      </c>
      <c r="D15131">
        <v>588</v>
      </c>
      <c r="E15131">
        <v>0</v>
      </c>
      <c r="F15131">
        <v>67</v>
      </c>
      <c r="G15131">
        <v>0</v>
      </c>
      <c r="H15131" t="s">
        <v>19975</v>
      </c>
      <c r="I15131">
        <v>17119</v>
      </c>
      <c r="J15131" t="e">
        <f>VLOOKUP(E15131,DSSpieler!A:B,2,FALSE)</f>
        <v>#N/A</v>
      </c>
    </row>
    <row r="15132" spans="1:10" x14ac:dyDescent="0.25">
      <c r="A15132">
        <v>17121</v>
      </c>
      <c r="B15132" t="s">
        <v>531</v>
      </c>
      <c r="C15132">
        <v>452</v>
      </c>
      <c r="D15132">
        <v>385</v>
      </c>
      <c r="E15132">
        <v>0</v>
      </c>
      <c r="F15132">
        <v>181</v>
      </c>
      <c r="G15132">
        <v>0</v>
      </c>
      <c r="H15132" t="s">
        <v>19976</v>
      </c>
      <c r="I15132">
        <v>17121</v>
      </c>
      <c r="J15132" t="e">
        <f>VLOOKUP(E15132,DSSpieler!A:B,2,FALSE)</f>
        <v>#N/A</v>
      </c>
    </row>
    <row r="15133" spans="1:10" x14ac:dyDescent="0.25">
      <c r="A15133">
        <v>17122</v>
      </c>
      <c r="B15133" t="s">
        <v>667</v>
      </c>
      <c r="C15133">
        <v>566</v>
      </c>
      <c r="D15133">
        <v>606</v>
      </c>
      <c r="E15133">
        <v>7603763</v>
      </c>
      <c r="F15133">
        <v>2842</v>
      </c>
      <c r="G15133">
        <v>0</v>
      </c>
      <c r="H15133" t="s">
        <v>19977</v>
      </c>
      <c r="I15133">
        <v>17122</v>
      </c>
      <c r="J15133" t="str">
        <f>VLOOKUP(E15133,DSSpieler!A:B,2,FALSE)</f>
        <v>Emeil</v>
      </c>
    </row>
    <row r="15134" spans="1:10" x14ac:dyDescent="0.25">
      <c r="A15134">
        <v>17123</v>
      </c>
      <c r="B15134" t="s">
        <v>35525</v>
      </c>
      <c r="C15134">
        <v>381</v>
      </c>
      <c r="D15134">
        <v>468</v>
      </c>
      <c r="E15134">
        <v>3027012</v>
      </c>
      <c r="F15134">
        <v>552</v>
      </c>
      <c r="G15134">
        <v>0</v>
      </c>
      <c r="H15134" t="s">
        <v>19978</v>
      </c>
      <c r="I15134">
        <v>17123</v>
      </c>
      <c r="J15134" t="str">
        <f>VLOOKUP(E15134,DSSpieler!A:B,2,FALSE)</f>
        <v>LodbrokRagnar</v>
      </c>
    </row>
    <row r="15135" spans="1:10" x14ac:dyDescent="0.25">
      <c r="A15135">
        <v>17124</v>
      </c>
      <c r="B15135" t="s">
        <v>531</v>
      </c>
      <c r="C15135">
        <v>547</v>
      </c>
      <c r="D15135">
        <v>385</v>
      </c>
      <c r="E15135">
        <v>0</v>
      </c>
      <c r="F15135">
        <v>230</v>
      </c>
      <c r="G15135">
        <v>0</v>
      </c>
      <c r="H15135" t="s">
        <v>19979</v>
      </c>
      <c r="I15135">
        <v>17124</v>
      </c>
      <c r="J15135" t="e">
        <f>VLOOKUP(E15135,DSSpieler!A:B,2,FALSE)</f>
        <v>#N/A</v>
      </c>
    </row>
    <row r="15136" spans="1:10" x14ac:dyDescent="0.25">
      <c r="A15136">
        <v>17126</v>
      </c>
      <c r="B15136" t="s">
        <v>2586</v>
      </c>
      <c r="C15136">
        <v>532</v>
      </c>
      <c r="D15136">
        <v>398</v>
      </c>
      <c r="E15136">
        <v>1576123109</v>
      </c>
      <c r="F15136">
        <v>2548</v>
      </c>
      <c r="G15136">
        <v>0</v>
      </c>
      <c r="H15136" t="s">
        <v>19980</v>
      </c>
      <c r="I15136">
        <v>17126</v>
      </c>
      <c r="J15136" t="str">
        <f>VLOOKUP(E15136,DSSpieler!A:B,2,FALSE)</f>
        <v>Fantastic Four</v>
      </c>
    </row>
    <row r="15137" spans="1:10" x14ac:dyDescent="0.25">
      <c r="A15137">
        <v>17127</v>
      </c>
      <c r="B15137" t="s">
        <v>35526</v>
      </c>
      <c r="C15137">
        <v>405</v>
      </c>
      <c r="D15137">
        <v>582</v>
      </c>
      <c r="E15137">
        <v>9778051</v>
      </c>
      <c r="F15137">
        <v>314</v>
      </c>
      <c r="G15137">
        <v>0</v>
      </c>
      <c r="H15137" t="s">
        <v>19981</v>
      </c>
      <c r="I15137">
        <v>17127</v>
      </c>
      <c r="J15137" t="str">
        <f>VLOOKUP(E15137,DSSpieler!A:B,2,FALSE)</f>
        <v>D-H-B</v>
      </c>
    </row>
    <row r="15138" spans="1:10" x14ac:dyDescent="0.25">
      <c r="A15138">
        <v>17128</v>
      </c>
      <c r="B15138" t="s">
        <v>531</v>
      </c>
      <c r="C15138">
        <v>449</v>
      </c>
      <c r="D15138">
        <v>612</v>
      </c>
      <c r="E15138">
        <v>0</v>
      </c>
      <c r="F15138">
        <v>104</v>
      </c>
      <c r="G15138">
        <v>0</v>
      </c>
      <c r="H15138" t="s">
        <v>19982</v>
      </c>
      <c r="I15138">
        <v>17128</v>
      </c>
      <c r="J15138" t="e">
        <f>VLOOKUP(E15138,DSSpieler!A:B,2,FALSE)</f>
        <v>#N/A</v>
      </c>
    </row>
    <row r="15139" spans="1:10" x14ac:dyDescent="0.25">
      <c r="A15139">
        <v>17129</v>
      </c>
      <c r="B15139" t="s">
        <v>2587</v>
      </c>
      <c r="C15139">
        <v>449</v>
      </c>
      <c r="D15139">
        <v>611</v>
      </c>
      <c r="E15139">
        <v>7683314</v>
      </c>
      <c r="F15139">
        <v>1960</v>
      </c>
      <c r="G15139">
        <v>0</v>
      </c>
      <c r="H15139" t="s">
        <v>19983</v>
      </c>
      <c r="I15139">
        <v>17129</v>
      </c>
      <c r="J15139" t="str">
        <f>VLOOKUP(E15139,DSSpieler!A:B,2,FALSE)</f>
        <v>ARME DER GUTEN</v>
      </c>
    </row>
    <row r="15140" spans="1:10" x14ac:dyDescent="0.25">
      <c r="A15140">
        <v>17130</v>
      </c>
      <c r="B15140" t="s">
        <v>531</v>
      </c>
      <c r="C15140">
        <v>625</v>
      </c>
      <c r="D15140">
        <v>479</v>
      </c>
      <c r="E15140">
        <v>0</v>
      </c>
      <c r="F15140">
        <v>254</v>
      </c>
      <c r="G15140">
        <v>0</v>
      </c>
      <c r="H15140" t="s">
        <v>19984</v>
      </c>
      <c r="I15140">
        <v>17130</v>
      </c>
      <c r="J15140" t="e">
        <f>VLOOKUP(E15140,DSSpieler!A:B,2,FALSE)</f>
        <v>#N/A</v>
      </c>
    </row>
    <row r="15141" spans="1:10" x14ac:dyDescent="0.25">
      <c r="A15141">
        <v>17131</v>
      </c>
      <c r="B15141" s="111">
        <v>230.01</v>
      </c>
      <c r="C15141">
        <v>485</v>
      </c>
      <c r="D15141">
        <v>449</v>
      </c>
      <c r="E15141">
        <v>1577190278</v>
      </c>
      <c r="F15141">
        <v>2314</v>
      </c>
      <c r="G15141">
        <v>0</v>
      </c>
      <c r="H15141" t="s">
        <v>19985</v>
      </c>
      <c r="I15141">
        <v>17131</v>
      </c>
      <c r="J15141" t="str">
        <f>VLOOKUP(E15141,DSSpieler!A:B,2,FALSE)</f>
        <v>Etoo04</v>
      </c>
    </row>
    <row r="15142" spans="1:10" x14ac:dyDescent="0.25">
      <c r="A15142">
        <v>17132</v>
      </c>
      <c r="B15142" t="s">
        <v>531</v>
      </c>
      <c r="C15142">
        <v>432</v>
      </c>
      <c r="D15142">
        <v>604</v>
      </c>
      <c r="E15142">
        <v>0</v>
      </c>
      <c r="F15142">
        <v>149</v>
      </c>
      <c r="G15142">
        <v>0</v>
      </c>
      <c r="H15142" t="s">
        <v>19986</v>
      </c>
      <c r="I15142">
        <v>17132</v>
      </c>
      <c r="J15142" t="e">
        <f>VLOOKUP(E15142,DSSpieler!A:B,2,FALSE)</f>
        <v>#N/A</v>
      </c>
    </row>
    <row r="15143" spans="1:10" x14ac:dyDescent="0.25">
      <c r="A15143">
        <v>17133</v>
      </c>
      <c r="B15143" t="s">
        <v>2368</v>
      </c>
      <c r="C15143">
        <v>612</v>
      </c>
      <c r="D15143">
        <v>551</v>
      </c>
      <c r="E15143">
        <v>1576882939</v>
      </c>
      <c r="F15143">
        <v>3168</v>
      </c>
      <c r="G15143">
        <v>0</v>
      </c>
      <c r="H15143" t="s">
        <v>19987</v>
      </c>
      <c r="I15143">
        <v>17133</v>
      </c>
      <c r="J15143" t="str">
        <f>VLOOKUP(E15143,DSSpieler!A:B,2,FALSE)</f>
        <v>BergerHustler</v>
      </c>
    </row>
    <row r="15144" spans="1:10" x14ac:dyDescent="0.25">
      <c r="A15144">
        <v>17134</v>
      </c>
      <c r="B15144" t="s">
        <v>35527</v>
      </c>
      <c r="C15144">
        <v>540</v>
      </c>
      <c r="D15144">
        <v>617</v>
      </c>
      <c r="E15144">
        <v>1577186069</v>
      </c>
      <c r="F15144">
        <v>104</v>
      </c>
      <c r="G15144">
        <v>0</v>
      </c>
      <c r="H15144" t="s">
        <v>19988</v>
      </c>
      <c r="I15144">
        <v>17134</v>
      </c>
      <c r="J15144" t="str">
        <f>VLOOKUP(E15144,DSSpieler!A:B,2,FALSE)</f>
        <v>kkoooo</v>
      </c>
    </row>
    <row r="15145" spans="1:10" x14ac:dyDescent="0.25">
      <c r="A15145">
        <v>17135</v>
      </c>
      <c r="B15145" t="s">
        <v>35528</v>
      </c>
      <c r="C15145">
        <v>619</v>
      </c>
      <c r="D15145">
        <v>550</v>
      </c>
      <c r="E15145">
        <v>1577205274</v>
      </c>
      <c r="F15145">
        <v>2742</v>
      </c>
      <c r="G15145">
        <v>0</v>
      </c>
      <c r="H15145" t="s">
        <v>19989</v>
      </c>
      <c r="I15145">
        <v>17135</v>
      </c>
      <c r="J15145" t="str">
        <f>VLOOKUP(E15145,DSSpieler!A:B,2,FALSE)</f>
        <v>kempti98</v>
      </c>
    </row>
    <row r="15146" spans="1:10" x14ac:dyDescent="0.25">
      <c r="A15146">
        <v>17136</v>
      </c>
      <c r="B15146" t="s">
        <v>35529</v>
      </c>
      <c r="C15146">
        <v>376</v>
      </c>
      <c r="D15146">
        <v>517</v>
      </c>
      <c r="E15146">
        <v>9801163</v>
      </c>
      <c r="F15146">
        <v>334</v>
      </c>
      <c r="G15146">
        <v>0</v>
      </c>
      <c r="H15146" t="s">
        <v>19990</v>
      </c>
      <c r="I15146">
        <v>17136</v>
      </c>
      <c r="J15146" t="str">
        <f>VLOOKUP(E15146,DSSpieler!A:B,2,FALSE)</f>
        <v>Lord Eric der 1.</v>
      </c>
    </row>
    <row r="15147" spans="1:10" x14ac:dyDescent="0.25">
      <c r="A15147">
        <v>17137</v>
      </c>
      <c r="B15147" t="s">
        <v>531</v>
      </c>
      <c r="C15147">
        <v>525</v>
      </c>
      <c r="D15147">
        <v>381</v>
      </c>
      <c r="E15147">
        <v>0</v>
      </c>
      <c r="F15147">
        <v>187</v>
      </c>
      <c r="G15147">
        <v>0</v>
      </c>
      <c r="H15147" t="s">
        <v>19991</v>
      </c>
      <c r="I15147">
        <v>17137</v>
      </c>
      <c r="J15147" t="e">
        <f>VLOOKUP(E15147,DSSpieler!A:B,2,FALSE)</f>
        <v>#N/A</v>
      </c>
    </row>
    <row r="15148" spans="1:10" x14ac:dyDescent="0.25">
      <c r="A15148">
        <v>17138</v>
      </c>
      <c r="B15148" t="s">
        <v>2588</v>
      </c>
      <c r="C15148">
        <v>607</v>
      </c>
      <c r="D15148">
        <v>552</v>
      </c>
      <c r="E15148">
        <v>1577205258</v>
      </c>
      <c r="F15148">
        <v>3389</v>
      </c>
      <c r="G15148">
        <v>0</v>
      </c>
      <c r="H15148" t="s">
        <v>19992</v>
      </c>
      <c r="I15148">
        <v>17138</v>
      </c>
      <c r="J15148" t="str">
        <f>VLOOKUP(E15148,DSSpieler!A:B,2,FALSE)</f>
        <v>Rette1605</v>
      </c>
    </row>
    <row r="15149" spans="1:10" x14ac:dyDescent="0.25">
      <c r="A15149">
        <v>17139</v>
      </c>
      <c r="B15149" t="s">
        <v>2589</v>
      </c>
      <c r="C15149">
        <v>415</v>
      </c>
      <c r="D15149">
        <v>423</v>
      </c>
      <c r="E15149">
        <v>10212296</v>
      </c>
      <c r="F15149">
        <v>1419</v>
      </c>
      <c r="G15149">
        <v>0</v>
      </c>
      <c r="H15149" t="s">
        <v>19993</v>
      </c>
      <c r="I15149">
        <v>17139</v>
      </c>
      <c r="J15149" t="str">
        <f>VLOOKUP(E15149,DSSpieler!A:B,2,FALSE)</f>
        <v>lordyauwa88</v>
      </c>
    </row>
    <row r="15150" spans="1:10" x14ac:dyDescent="0.25">
      <c r="A15150">
        <v>17141</v>
      </c>
      <c r="B15150" t="s">
        <v>531</v>
      </c>
      <c r="C15150">
        <v>425</v>
      </c>
      <c r="D15150">
        <v>596</v>
      </c>
      <c r="E15150">
        <v>0</v>
      </c>
      <c r="F15150">
        <v>196</v>
      </c>
      <c r="G15150">
        <v>0</v>
      </c>
      <c r="H15150" t="s">
        <v>19994</v>
      </c>
      <c r="I15150">
        <v>17141</v>
      </c>
      <c r="J15150" t="e">
        <f>VLOOKUP(E15150,DSSpieler!A:B,2,FALSE)</f>
        <v>#N/A</v>
      </c>
    </row>
    <row r="15151" spans="1:10" x14ac:dyDescent="0.25">
      <c r="A15151">
        <v>17142</v>
      </c>
      <c r="B15151" t="s">
        <v>531</v>
      </c>
      <c r="C15151">
        <v>426</v>
      </c>
      <c r="D15151">
        <v>601</v>
      </c>
      <c r="E15151">
        <v>0</v>
      </c>
      <c r="F15151">
        <v>45</v>
      </c>
      <c r="G15151">
        <v>0</v>
      </c>
      <c r="H15151" t="s">
        <v>19995</v>
      </c>
      <c r="I15151">
        <v>17142</v>
      </c>
      <c r="J15151" t="e">
        <f>VLOOKUP(E15151,DSSpieler!A:B,2,FALSE)</f>
        <v>#N/A</v>
      </c>
    </row>
    <row r="15152" spans="1:10" x14ac:dyDescent="0.25">
      <c r="A15152">
        <v>17143</v>
      </c>
      <c r="B15152" t="s">
        <v>531</v>
      </c>
      <c r="C15152">
        <v>544</v>
      </c>
      <c r="D15152">
        <v>383</v>
      </c>
      <c r="E15152">
        <v>0</v>
      </c>
      <c r="F15152">
        <v>139</v>
      </c>
      <c r="G15152">
        <v>0</v>
      </c>
      <c r="H15152" t="s">
        <v>19996</v>
      </c>
      <c r="I15152">
        <v>17143</v>
      </c>
      <c r="J15152" t="e">
        <f>VLOOKUP(E15152,DSSpieler!A:B,2,FALSE)</f>
        <v>#N/A</v>
      </c>
    </row>
    <row r="15153" spans="1:10" x14ac:dyDescent="0.25">
      <c r="A15153">
        <v>17144</v>
      </c>
      <c r="B15153" t="s">
        <v>35530</v>
      </c>
      <c r="C15153">
        <v>581</v>
      </c>
      <c r="D15153">
        <v>596</v>
      </c>
      <c r="E15153">
        <v>1577190451</v>
      </c>
      <c r="F15153">
        <v>2328</v>
      </c>
      <c r="G15153">
        <v>0</v>
      </c>
      <c r="H15153" t="s">
        <v>19997</v>
      </c>
      <c r="I15153">
        <v>17144</v>
      </c>
      <c r="J15153" t="str">
        <f>VLOOKUP(E15153,DSSpieler!A:B,2,FALSE)</f>
        <v>Finstergrins</v>
      </c>
    </row>
    <row r="15154" spans="1:10" x14ac:dyDescent="0.25">
      <c r="A15154">
        <v>17145</v>
      </c>
      <c r="B15154" t="s">
        <v>35531</v>
      </c>
      <c r="C15154">
        <v>571</v>
      </c>
      <c r="D15154">
        <v>603</v>
      </c>
      <c r="E15154">
        <v>1577092653</v>
      </c>
      <c r="F15154">
        <v>1626</v>
      </c>
      <c r="G15154">
        <v>0</v>
      </c>
      <c r="H15154" t="s">
        <v>19998</v>
      </c>
      <c r="I15154">
        <v>17145</v>
      </c>
      <c r="J15154" t="str">
        <f>VLOOKUP(E15154,DSSpieler!A:B,2,FALSE)</f>
        <v>korny</v>
      </c>
    </row>
    <row r="15155" spans="1:10" x14ac:dyDescent="0.25">
      <c r="A15155">
        <v>17146</v>
      </c>
      <c r="B15155" t="s">
        <v>531</v>
      </c>
      <c r="C15155">
        <v>379</v>
      </c>
      <c r="D15155">
        <v>536</v>
      </c>
      <c r="E15155">
        <v>0</v>
      </c>
      <c r="F15155">
        <v>317</v>
      </c>
      <c r="G15155">
        <v>0</v>
      </c>
      <c r="H15155" t="s">
        <v>19999</v>
      </c>
      <c r="I15155">
        <v>17146</v>
      </c>
      <c r="J15155" t="e">
        <f>VLOOKUP(E15155,DSSpieler!A:B,2,FALSE)</f>
        <v>#N/A</v>
      </c>
    </row>
    <row r="15156" spans="1:10" x14ac:dyDescent="0.25">
      <c r="A15156">
        <v>17147</v>
      </c>
      <c r="B15156" t="s">
        <v>531</v>
      </c>
      <c r="C15156">
        <v>418</v>
      </c>
      <c r="D15156">
        <v>591</v>
      </c>
      <c r="E15156">
        <v>0</v>
      </c>
      <c r="F15156">
        <v>49</v>
      </c>
      <c r="G15156">
        <v>0</v>
      </c>
      <c r="H15156" t="s">
        <v>20000</v>
      </c>
      <c r="I15156">
        <v>17147</v>
      </c>
      <c r="J15156" t="e">
        <f>VLOOKUP(E15156,DSSpieler!A:B,2,FALSE)</f>
        <v>#N/A</v>
      </c>
    </row>
    <row r="15157" spans="1:10" x14ac:dyDescent="0.25">
      <c r="A15157">
        <v>17148</v>
      </c>
      <c r="B15157" t="s">
        <v>531</v>
      </c>
      <c r="C15157">
        <v>503</v>
      </c>
      <c r="D15157">
        <v>378</v>
      </c>
      <c r="E15157">
        <v>0</v>
      </c>
      <c r="F15157">
        <v>164</v>
      </c>
      <c r="G15157">
        <v>0</v>
      </c>
      <c r="H15157" t="s">
        <v>20001</v>
      </c>
      <c r="I15157">
        <v>17148</v>
      </c>
      <c r="J15157" t="e">
        <f>VLOOKUP(E15157,DSSpieler!A:B,2,FALSE)</f>
        <v>#N/A</v>
      </c>
    </row>
    <row r="15158" spans="1:10" x14ac:dyDescent="0.25">
      <c r="A15158">
        <v>17149</v>
      </c>
      <c r="B15158">
        <v>1</v>
      </c>
      <c r="C15158">
        <v>576</v>
      </c>
      <c r="D15158">
        <v>597</v>
      </c>
      <c r="E15158">
        <v>10213377</v>
      </c>
      <c r="F15158">
        <v>2407</v>
      </c>
      <c r="G15158">
        <v>0</v>
      </c>
      <c r="H15158" t="s">
        <v>20002</v>
      </c>
      <c r="I15158">
        <v>17149</v>
      </c>
      <c r="J15158" t="str">
        <f>VLOOKUP(E15158,DSSpieler!A:B,2,FALSE)</f>
        <v>Heldian</v>
      </c>
    </row>
    <row r="15159" spans="1:10" x14ac:dyDescent="0.25">
      <c r="A15159">
        <v>17150</v>
      </c>
      <c r="B15159" t="s">
        <v>531</v>
      </c>
      <c r="C15159">
        <v>569</v>
      </c>
      <c r="D15159">
        <v>400</v>
      </c>
      <c r="E15159">
        <v>0</v>
      </c>
      <c r="F15159">
        <v>54</v>
      </c>
      <c r="G15159">
        <v>0</v>
      </c>
      <c r="H15159" t="s">
        <v>20003</v>
      </c>
      <c r="I15159">
        <v>17150</v>
      </c>
      <c r="J15159" t="e">
        <f>VLOOKUP(E15159,DSSpieler!A:B,2,FALSE)</f>
        <v>#N/A</v>
      </c>
    </row>
    <row r="15160" spans="1:10" x14ac:dyDescent="0.25">
      <c r="A15160">
        <v>17152</v>
      </c>
      <c r="B15160" t="s">
        <v>673</v>
      </c>
      <c r="C15160">
        <v>587</v>
      </c>
      <c r="D15160">
        <v>587</v>
      </c>
      <c r="E15160">
        <v>1084763</v>
      </c>
      <c r="F15160">
        <v>3371</v>
      </c>
      <c r="G15160">
        <v>0</v>
      </c>
      <c r="H15160" t="s">
        <v>20004</v>
      </c>
      <c r="I15160">
        <v>17152</v>
      </c>
      <c r="J15160" t="str">
        <f>VLOOKUP(E15160,DSSpieler!A:B,2,FALSE)</f>
        <v>jojo the hunter</v>
      </c>
    </row>
    <row r="15161" spans="1:10" x14ac:dyDescent="0.25">
      <c r="A15161">
        <v>17153</v>
      </c>
      <c r="B15161" t="s">
        <v>35532</v>
      </c>
      <c r="C15161">
        <v>385</v>
      </c>
      <c r="D15161">
        <v>553</v>
      </c>
      <c r="E15161">
        <v>1577205355</v>
      </c>
      <c r="F15161">
        <v>570</v>
      </c>
      <c r="G15161">
        <v>0</v>
      </c>
      <c r="H15161" t="s">
        <v>20005</v>
      </c>
      <c r="I15161">
        <v>17153</v>
      </c>
      <c r="J15161" t="str">
        <f>VLOOKUP(E15161,DSSpieler!A:B,2,FALSE)</f>
        <v>Derdiog</v>
      </c>
    </row>
    <row r="15162" spans="1:10" x14ac:dyDescent="0.25">
      <c r="A15162">
        <v>17154</v>
      </c>
      <c r="B15162" t="s">
        <v>2590</v>
      </c>
      <c r="C15162">
        <v>565</v>
      </c>
      <c r="D15162">
        <v>394</v>
      </c>
      <c r="E15162">
        <v>1577205227</v>
      </c>
      <c r="F15162">
        <v>1279</v>
      </c>
      <c r="G15162">
        <v>0</v>
      </c>
      <c r="H15162" t="s">
        <v>20006</v>
      </c>
      <c r="I15162">
        <v>17154</v>
      </c>
      <c r="J15162" t="str">
        <f>VLOOKUP(E15162,DSSpieler!A:B,2,FALSE)</f>
        <v>MittwochAbend</v>
      </c>
    </row>
    <row r="15163" spans="1:10" x14ac:dyDescent="0.25">
      <c r="A15163">
        <v>17155</v>
      </c>
      <c r="B15163" t="s">
        <v>531</v>
      </c>
      <c r="C15163">
        <v>594</v>
      </c>
      <c r="D15163">
        <v>415</v>
      </c>
      <c r="E15163">
        <v>0</v>
      </c>
      <c r="F15163">
        <v>128</v>
      </c>
      <c r="G15163">
        <v>0</v>
      </c>
      <c r="H15163" t="s">
        <v>20007</v>
      </c>
      <c r="I15163">
        <v>17155</v>
      </c>
      <c r="J15163" t="e">
        <f>VLOOKUP(E15163,DSSpieler!A:B,2,FALSE)</f>
        <v>#N/A</v>
      </c>
    </row>
    <row r="15164" spans="1:10" x14ac:dyDescent="0.25">
      <c r="A15164">
        <v>17156</v>
      </c>
      <c r="B15164" t="s">
        <v>35533</v>
      </c>
      <c r="C15164">
        <v>527</v>
      </c>
      <c r="D15164">
        <v>399</v>
      </c>
      <c r="E15164">
        <v>1577156051</v>
      </c>
      <c r="F15164">
        <v>1462</v>
      </c>
      <c r="G15164">
        <v>0</v>
      </c>
      <c r="H15164" t="s">
        <v>20008</v>
      </c>
      <c r="I15164">
        <v>17156</v>
      </c>
      <c r="J15164" t="str">
        <f>VLOOKUP(E15164,DSSpieler!A:B,2,FALSE)</f>
        <v>schmausi</v>
      </c>
    </row>
    <row r="15165" spans="1:10" x14ac:dyDescent="0.25">
      <c r="A15165">
        <v>17157</v>
      </c>
      <c r="B15165" t="s">
        <v>531</v>
      </c>
      <c r="C15165">
        <v>553</v>
      </c>
      <c r="D15165">
        <v>390</v>
      </c>
      <c r="E15165">
        <v>0</v>
      </c>
      <c r="F15165">
        <v>1012</v>
      </c>
      <c r="G15165">
        <v>0</v>
      </c>
      <c r="H15165" t="s">
        <v>20009</v>
      </c>
      <c r="I15165">
        <v>17157</v>
      </c>
      <c r="J15165" t="e">
        <f>VLOOKUP(E15165,DSSpieler!A:B,2,FALSE)</f>
        <v>#N/A</v>
      </c>
    </row>
    <row r="15166" spans="1:10" x14ac:dyDescent="0.25">
      <c r="A15166">
        <v>17158</v>
      </c>
      <c r="B15166" t="s">
        <v>2591</v>
      </c>
      <c r="C15166">
        <v>422</v>
      </c>
      <c r="D15166">
        <v>403</v>
      </c>
      <c r="E15166">
        <v>9262570</v>
      </c>
      <c r="F15166">
        <v>129</v>
      </c>
      <c r="G15166">
        <v>0</v>
      </c>
      <c r="H15166" t="s">
        <v>20010</v>
      </c>
      <c r="I15166">
        <v>17158</v>
      </c>
      <c r="J15166" t="str">
        <f>VLOOKUP(E15166,DSSpieler!A:B,2,FALSE)</f>
        <v>MJ2Chill</v>
      </c>
    </row>
    <row r="15167" spans="1:10" x14ac:dyDescent="0.25">
      <c r="A15167">
        <v>17159</v>
      </c>
      <c r="B15167" t="s">
        <v>35534</v>
      </c>
      <c r="C15167">
        <v>490</v>
      </c>
      <c r="D15167">
        <v>453</v>
      </c>
      <c r="E15167">
        <v>9499370</v>
      </c>
      <c r="F15167">
        <v>2698</v>
      </c>
      <c r="G15167">
        <v>0</v>
      </c>
      <c r="H15167" t="s">
        <v>20011</v>
      </c>
      <c r="I15167">
        <v>17159</v>
      </c>
      <c r="J15167" t="str">
        <f>VLOOKUP(E15167,DSSpieler!A:B,2,FALSE)</f>
        <v>Hedoma</v>
      </c>
    </row>
    <row r="15168" spans="1:10" x14ac:dyDescent="0.25">
      <c r="A15168">
        <v>17160</v>
      </c>
      <c r="B15168" t="s">
        <v>35535</v>
      </c>
      <c r="C15168">
        <v>483</v>
      </c>
      <c r="D15168">
        <v>449</v>
      </c>
      <c r="E15168">
        <v>1576453294</v>
      </c>
      <c r="F15168">
        <v>2520</v>
      </c>
      <c r="G15168">
        <v>0</v>
      </c>
      <c r="H15168" t="s">
        <v>20012</v>
      </c>
      <c r="I15168">
        <v>17160</v>
      </c>
      <c r="J15168" t="str">
        <f>VLOOKUP(E15168,DSSpieler!A:B,2,FALSE)</f>
        <v>Sam85</v>
      </c>
    </row>
    <row r="15169" spans="1:10" x14ac:dyDescent="0.25">
      <c r="A15169">
        <v>17161</v>
      </c>
      <c r="B15169" t="s">
        <v>35536</v>
      </c>
      <c r="C15169">
        <v>394</v>
      </c>
      <c r="D15169">
        <v>435</v>
      </c>
      <c r="E15169">
        <v>1576919517</v>
      </c>
      <c r="F15169">
        <v>120</v>
      </c>
      <c r="G15169">
        <v>0</v>
      </c>
      <c r="H15169" t="s">
        <v>20013</v>
      </c>
      <c r="I15169">
        <v>17161</v>
      </c>
      <c r="J15169" t="str">
        <f>VLOOKUP(E15169,DSSpieler!A:B,2,FALSE)</f>
        <v>Blackbeazz</v>
      </c>
    </row>
    <row r="15170" spans="1:10" x14ac:dyDescent="0.25">
      <c r="A15170">
        <v>17162</v>
      </c>
      <c r="B15170" t="s">
        <v>531</v>
      </c>
      <c r="C15170">
        <v>383</v>
      </c>
      <c r="D15170">
        <v>532</v>
      </c>
      <c r="E15170">
        <v>0</v>
      </c>
      <c r="F15170">
        <v>307</v>
      </c>
      <c r="G15170">
        <v>0</v>
      </c>
      <c r="H15170" t="s">
        <v>20014</v>
      </c>
      <c r="I15170">
        <v>17162</v>
      </c>
      <c r="J15170" t="e">
        <f>VLOOKUP(E15170,DSSpieler!A:B,2,FALSE)</f>
        <v>#N/A</v>
      </c>
    </row>
    <row r="15171" spans="1:10" x14ac:dyDescent="0.25">
      <c r="A15171">
        <v>17163</v>
      </c>
      <c r="B15171" t="s">
        <v>35537</v>
      </c>
      <c r="C15171">
        <v>562</v>
      </c>
      <c r="D15171">
        <v>393</v>
      </c>
      <c r="E15171">
        <v>1576893263</v>
      </c>
      <c r="F15171">
        <v>1054</v>
      </c>
      <c r="G15171">
        <v>0</v>
      </c>
      <c r="H15171" t="s">
        <v>20015</v>
      </c>
      <c r="I15171">
        <v>17163</v>
      </c>
      <c r="J15171" t="str">
        <f>VLOOKUP(E15171,DSSpieler!A:B,2,FALSE)</f>
        <v>z4row</v>
      </c>
    </row>
    <row r="15172" spans="1:10" x14ac:dyDescent="0.25">
      <c r="A15172">
        <v>17164</v>
      </c>
      <c r="B15172" t="s">
        <v>531</v>
      </c>
      <c r="C15172">
        <v>508</v>
      </c>
      <c r="D15172">
        <v>376</v>
      </c>
      <c r="E15172">
        <v>0</v>
      </c>
      <c r="F15172">
        <v>55</v>
      </c>
      <c r="G15172">
        <v>0</v>
      </c>
      <c r="H15172" t="s">
        <v>20016</v>
      </c>
      <c r="I15172">
        <v>17164</v>
      </c>
      <c r="J15172" t="e">
        <f>VLOOKUP(E15172,DSSpieler!A:B,2,FALSE)</f>
        <v>#N/A</v>
      </c>
    </row>
    <row r="15173" spans="1:10" x14ac:dyDescent="0.25">
      <c r="A15173">
        <v>17166</v>
      </c>
      <c r="B15173" t="s">
        <v>35538</v>
      </c>
      <c r="C15173">
        <v>579</v>
      </c>
      <c r="D15173">
        <v>402</v>
      </c>
      <c r="E15173">
        <v>8321251</v>
      </c>
      <c r="F15173">
        <v>483</v>
      </c>
      <c r="G15173">
        <v>0</v>
      </c>
      <c r="H15173" t="s">
        <v>20017</v>
      </c>
      <c r="I15173">
        <v>17166</v>
      </c>
      <c r="J15173" t="str">
        <f>VLOOKUP(E15173,DSSpieler!A:B,2,FALSE)</f>
        <v>Dragonheart666</v>
      </c>
    </row>
    <row r="15174" spans="1:10" x14ac:dyDescent="0.25">
      <c r="A15174">
        <v>17167</v>
      </c>
      <c r="B15174" t="s">
        <v>35539</v>
      </c>
      <c r="C15174">
        <v>472</v>
      </c>
      <c r="D15174">
        <v>381</v>
      </c>
      <c r="E15174">
        <v>1577199644</v>
      </c>
      <c r="F15174">
        <v>3694</v>
      </c>
      <c r="G15174">
        <v>0</v>
      </c>
      <c r="H15174" t="s">
        <v>20018</v>
      </c>
      <c r="I15174">
        <v>17167</v>
      </c>
      <c r="J15174" t="str">
        <f>VLOOKUP(E15174,DSSpieler!A:B,2,FALSE)</f>
        <v>chris233</v>
      </c>
    </row>
    <row r="15175" spans="1:10" x14ac:dyDescent="0.25">
      <c r="A15175">
        <v>17168</v>
      </c>
      <c r="B15175" t="s">
        <v>531</v>
      </c>
      <c r="C15175">
        <v>485</v>
      </c>
      <c r="D15175">
        <v>374</v>
      </c>
      <c r="E15175">
        <v>0</v>
      </c>
      <c r="F15175">
        <v>163</v>
      </c>
      <c r="G15175">
        <v>0</v>
      </c>
      <c r="H15175" t="s">
        <v>20019</v>
      </c>
      <c r="I15175">
        <v>17168</v>
      </c>
      <c r="J15175" t="e">
        <f>VLOOKUP(E15175,DSSpieler!A:B,2,FALSE)</f>
        <v>#N/A</v>
      </c>
    </row>
    <row r="15176" spans="1:10" x14ac:dyDescent="0.25">
      <c r="A15176">
        <v>17169</v>
      </c>
      <c r="B15176" t="s">
        <v>35540</v>
      </c>
      <c r="C15176">
        <v>378</v>
      </c>
      <c r="D15176">
        <v>509</v>
      </c>
      <c r="E15176">
        <v>1577133696</v>
      </c>
      <c r="F15176">
        <v>141</v>
      </c>
      <c r="G15176">
        <v>0</v>
      </c>
      <c r="H15176" t="s">
        <v>20020</v>
      </c>
      <c r="I15176">
        <v>17169</v>
      </c>
      <c r="J15176" t="str">
        <f>VLOOKUP(E15176,DSSpieler!A:B,2,FALSE)</f>
        <v>Soldierofdeath</v>
      </c>
    </row>
    <row r="15177" spans="1:10" x14ac:dyDescent="0.25">
      <c r="A15177">
        <v>17170</v>
      </c>
      <c r="B15177" t="s">
        <v>2592</v>
      </c>
      <c r="C15177">
        <v>530</v>
      </c>
      <c r="D15177">
        <v>622</v>
      </c>
      <c r="E15177">
        <v>342855</v>
      </c>
      <c r="F15177">
        <v>321</v>
      </c>
      <c r="G15177">
        <v>0</v>
      </c>
      <c r="H15177" t="s">
        <v>20021</v>
      </c>
      <c r="I15177">
        <v>17170</v>
      </c>
      <c r="J15177" t="str">
        <f>VLOOKUP(E15177,DSSpieler!A:B,2,FALSE)</f>
        <v>Grinser007</v>
      </c>
    </row>
    <row r="15178" spans="1:10" x14ac:dyDescent="0.25">
      <c r="A15178">
        <v>17171</v>
      </c>
      <c r="B15178" t="s">
        <v>2593</v>
      </c>
      <c r="C15178">
        <v>577</v>
      </c>
      <c r="D15178">
        <v>407</v>
      </c>
      <c r="E15178">
        <v>1017093</v>
      </c>
      <c r="F15178">
        <v>2344</v>
      </c>
      <c r="G15178">
        <v>0</v>
      </c>
      <c r="H15178" t="s">
        <v>20022</v>
      </c>
      <c r="I15178">
        <v>17171</v>
      </c>
      <c r="J15178" t="str">
        <f>VLOOKUP(E15178,DSSpieler!A:B,2,FALSE)</f>
        <v>hammerbrother</v>
      </c>
    </row>
    <row r="15179" spans="1:10" x14ac:dyDescent="0.25">
      <c r="A15179">
        <v>17172</v>
      </c>
      <c r="B15179" t="s">
        <v>35541</v>
      </c>
      <c r="C15179">
        <v>465</v>
      </c>
      <c r="D15179">
        <v>621</v>
      </c>
      <c r="E15179">
        <v>1576737638</v>
      </c>
      <c r="F15179">
        <v>33</v>
      </c>
      <c r="G15179">
        <v>0</v>
      </c>
      <c r="H15179" t="s">
        <v>20023</v>
      </c>
      <c r="I15179">
        <v>17172</v>
      </c>
      <c r="J15179" t="str">
        <f>VLOOKUP(E15179,DSSpieler!A:B,2,FALSE)</f>
        <v>.abZ</v>
      </c>
    </row>
    <row r="15180" spans="1:10" x14ac:dyDescent="0.25">
      <c r="A15180">
        <v>17173</v>
      </c>
      <c r="B15180" t="s">
        <v>531</v>
      </c>
      <c r="C15180">
        <v>621</v>
      </c>
      <c r="D15180">
        <v>530</v>
      </c>
      <c r="E15180">
        <v>0</v>
      </c>
      <c r="F15180">
        <v>208</v>
      </c>
      <c r="G15180">
        <v>0</v>
      </c>
      <c r="H15180" t="s">
        <v>20024</v>
      </c>
      <c r="I15180">
        <v>17173</v>
      </c>
      <c r="J15180" t="e">
        <f>VLOOKUP(E15180,DSSpieler!A:B,2,FALSE)</f>
        <v>#N/A</v>
      </c>
    </row>
    <row r="15181" spans="1:10" x14ac:dyDescent="0.25">
      <c r="A15181">
        <v>17175</v>
      </c>
      <c r="B15181" t="s">
        <v>35542</v>
      </c>
      <c r="C15181">
        <v>375</v>
      </c>
      <c r="D15181">
        <v>506</v>
      </c>
      <c r="E15181">
        <v>1577201286</v>
      </c>
      <c r="F15181">
        <v>79</v>
      </c>
      <c r="G15181">
        <v>0</v>
      </c>
      <c r="H15181" t="s">
        <v>20025</v>
      </c>
      <c r="I15181">
        <v>17175</v>
      </c>
      <c r="J15181" t="str">
        <f>VLOOKUP(E15181,DSSpieler!A:B,2,FALSE)</f>
        <v>tobi97</v>
      </c>
    </row>
    <row r="15182" spans="1:10" x14ac:dyDescent="0.25">
      <c r="A15182">
        <v>17176</v>
      </c>
      <c r="B15182" t="s">
        <v>35543</v>
      </c>
      <c r="C15182">
        <v>550</v>
      </c>
      <c r="D15182">
        <v>612</v>
      </c>
      <c r="E15182">
        <v>1577045547</v>
      </c>
      <c r="F15182">
        <v>82</v>
      </c>
      <c r="G15182">
        <v>0</v>
      </c>
      <c r="H15182" t="s">
        <v>20026</v>
      </c>
      <c r="I15182">
        <v>17176</v>
      </c>
      <c r="J15182" t="str">
        <f>VLOOKUP(E15182,DSSpieler!A:B,2,FALSE)</f>
        <v>vantroche</v>
      </c>
    </row>
    <row r="15183" spans="1:10" x14ac:dyDescent="0.25">
      <c r="A15183">
        <v>17179</v>
      </c>
      <c r="B15183" t="s">
        <v>531</v>
      </c>
      <c r="C15183">
        <v>516</v>
      </c>
      <c r="D15183">
        <v>395</v>
      </c>
      <c r="E15183">
        <v>0</v>
      </c>
      <c r="F15183">
        <v>63</v>
      </c>
      <c r="G15183">
        <v>0</v>
      </c>
      <c r="H15183" t="s">
        <v>20027</v>
      </c>
      <c r="I15183">
        <v>17179</v>
      </c>
      <c r="J15183" t="e">
        <f>VLOOKUP(E15183,DSSpieler!A:B,2,FALSE)</f>
        <v>#N/A</v>
      </c>
    </row>
    <row r="15184" spans="1:10" x14ac:dyDescent="0.25">
      <c r="A15184">
        <v>17180</v>
      </c>
      <c r="B15184" t="s">
        <v>35544</v>
      </c>
      <c r="C15184">
        <v>526</v>
      </c>
      <c r="D15184">
        <v>466</v>
      </c>
      <c r="E15184">
        <v>1577176342</v>
      </c>
      <c r="F15184">
        <v>1019</v>
      </c>
      <c r="G15184">
        <v>0</v>
      </c>
      <c r="H15184" t="s">
        <v>20028</v>
      </c>
      <c r="I15184">
        <v>17180</v>
      </c>
      <c r="J15184" t="str">
        <f>VLOOKUP(E15184,DSSpieler!A:B,2,FALSE)</f>
        <v>KingKarloDer3te</v>
      </c>
    </row>
    <row r="15185" spans="1:10" x14ac:dyDescent="0.25">
      <c r="A15185">
        <v>17181</v>
      </c>
      <c r="B15185" t="s">
        <v>531</v>
      </c>
      <c r="C15185">
        <v>380</v>
      </c>
      <c r="D15185">
        <v>478</v>
      </c>
      <c r="E15185">
        <v>0</v>
      </c>
      <c r="F15185">
        <v>173</v>
      </c>
      <c r="G15185">
        <v>0</v>
      </c>
      <c r="H15185" t="s">
        <v>20029</v>
      </c>
      <c r="I15185">
        <v>17181</v>
      </c>
      <c r="J15185" t="e">
        <f>VLOOKUP(E15185,DSSpieler!A:B,2,FALSE)</f>
        <v>#N/A</v>
      </c>
    </row>
    <row r="15186" spans="1:10" x14ac:dyDescent="0.25">
      <c r="A15186">
        <v>17182</v>
      </c>
      <c r="B15186" t="s">
        <v>2594</v>
      </c>
      <c r="C15186">
        <v>435</v>
      </c>
      <c r="D15186">
        <v>396</v>
      </c>
      <c r="E15186">
        <v>1577174560</v>
      </c>
      <c r="F15186">
        <v>973</v>
      </c>
      <c r="G15186">
        <v>0</v>
      </c>
      <c r="H15186" t="s">
        <v>20030</v>
      </c>
      <c r="I15186">
        <v>17182</v>
      </c>
      <c r="J15186" t="str">
        <f>VLOOKUP(E15186,DSSpieler!A:B,2,FALSE)</f>
        <v>Cherusker55</v>
      </c>
    </row>
    <row r="15187" spans="1:10" x14ac:dyDescent="0.25">
      <c r="A15187">
        <v>17183</v>
      </c>
      <c r="B15187" t="s">
        <v>35545</v>
      </c>
      <c r="C15187">
        <v>385</v>
      </c>
      <c r="D15187">
        <v>454</v>
      </c>
      <c r="E15187">
        <v>1577205057</v>
      </c>
      <c r="F15187">
        <v>580</v>
      </c>
      <c r="G15187">
        <v>0</v>
      </c>
      <c r="H15187" t="s">
        <v>20031</v>
      </c>
      <c r="I15187">
        <v>17183</v>
      </c>
      <c r="J15187" t="str">
        <f>VLOOKUP(E15187,DSSpieler!A:B,2,FALSE)</f>
        <v>VeqasZ</v>
      </c>
    </row>
    <row r="15188" spans="1:10" x14ac:dyDescent="0.25">
      <c r="A15188">
        <v>17184</v>
      </c>
      <c r="B15188" t="s">
        <v>35546</v>
      </c>
      <c r="C15188">
        <v>540</v>
      </c>
      <c r="D15188">
        <v>413</v>
      </c>
      <c r="E15188">
        <v>1577178556</v>
      </c>
      <c r="F15188">
        <v>983</v>
      </c>
      <c r="G15188">
        <v>0</v>
      </c>
      <c r="H15188" t="s">
        <v>20032</v>
      </c>
      <c r="I15188">
        <v>17184</v>
      </c>
      <c r="J15188" t="str">
        <f>VLOOKUP(E15188,DSSpieler!A:B,2,FALSE)</f>
        <v>HauFestDrauf</v>
      </c>
    </row>
    <row r="15189" spans="1:10" x14ac:dyDescent="0.25">
      <c r="A15189">
        <v>17185</v>
      </c>
      <c r="B15189" t="s">
        <v>35547</v>
      </c>
      <c r="C15189">
        <v>537</v>
      </c>
      <c r="D15189">
        <v>617</v>
      </c>
      <c r="E15189">
        <v>1577156691</v>
      </c>
      <c r="F15189">
        <v>250</v>
      </c>
      <c r="G15189">
        <v>0</v>
      </c>
      <c r="H15189" t="s">
        <v>20033</v>
      </c>
      <c r="I15189">
        <v>17185</v>
      </c>
      <c r="J15189" t="str">
        <f>VLOOKUP(E15189,DSSpieler!A:B,2,FALSE)</f>
        <v>Yellowmaha</v>
      </c>
    </row>
    <row r="15190" spans="1:10" x14ac:dyDescent="0.25">
      <c r="A15190">
        <v>17186</v>
      </c>
      <c r="B15190">
        <v>123</v>
      </c>
      <c r="C15190">
        <v>532</v>
      </c>
      <c r="D15190">
        <v>618</v>
      </c>
      <c r="E15190">
        <v>1577135097</v>
      </c>
      <c r="F15190">
        <v>115</v>
      </c>
      <c r="G15190">
        <v>0</v>
      </c>
      <c r="H15190" t="s">
        <v>20034</v>
      </c>
      <c r="I15190">
        <v>17186</v>
      </c>
      <c r="J15190" t="str">
        <f>VLOOKUP(E15190,DSSpieler!A:B,2,FALSE)</f>
        <v>partytoy</v>
      </c>
    </row>
    <row r="15191" spans="1:10" x14ac:dyDescent="0.25">
      <c r="A15191">
        <v>17188</v>
      </c>
      <c r="B15191" t="s">
        <v>531</v>
      </c>
      <c r="C15191">
        <v>619</v>
      </c>
      <c r="D15191">
        <v>464</v>
      </c>
      <c r="E15191">
        <v>0</v>
      </c>
      <c r="F15191">
        <v>90</v>
      </c>
      <c r="G15191">
        <v>0</v>
      </c>
      <c r="H15191" t="s">
        <v>20035</v>
      </c>
      <c r="I15191">
        <v>17188</v>
      </c>
      <c r="J15191" t="e">
        <f>VLOOKUP(E15191,DSSpieler!A:B,2,FALSE)</f>
        <v>#N/A</v>
      </c>
    </row>
    <row r="15192" spans="1:10" x14ac:dyDescent="0.25">
      <c r="A15192">
        <v>17189</v>
      </c>
      <c r="B15192" t="s">
        <v>35548</v>
      </c>
      <c r="C15192">
        <v>520</v>
      </c>
      <c r="D15192">
        <v>378</v>
      </c>
      <c r="E15192">
        <v>1577201187</v>
      </c>
      <c r="F15192">
        <v>252</v>
      </c>
      <c r="G15192">
        <v>0</v>
      </c>
      <c r="H15192" t="s">
        <v>20036</v>
      </c>
      <c r="I15192">
        <v>17189</v>
      </c>
      <c r="J15192" t="str">
        <f>VLOOKUP(E15192,DSSpieler!A:B,2,FALSE)</f>
        <v>Eti1166</v>
      </c>
    </row>
    <row r="15193" spans="1:10" x14ac:dyDescent="0.25">
      <c r="A15193">
        <v>17190</v>
      </c>
      <c r="B15193" t="s">
        <v>35549</v>
      </c>
      <c r="C15193">
        <v>416</v>
      </c>
      <c r="D15193">
        <v>563</v>
      </c>
      <c r="E15193">
        <v>8337682</v>
      </c>
      <c r="F15193">
        <v>634</v>
      </c>
      <c r="G15193">
        <v>0</v>
      </c>
      <c r="H15193" t="s">
        <v>20037</v>
      </c>
      <c r="I15193">
        <v>17190</v>
      </c>
      <c r="J15193" t="str">
        <f>VLOOKUP(E15193,DSSpieler!A:B,2,FALSE)</f>
        <v>24.04</v>
      </c>
    </row>
    <row r="15194" spans="1:10" x14ac:dyDescent="0.25">
      <c r="A15194">
        <v>17192</v>
      </c>
      <c r="B15194" t="s">
        <v>1842</v>
      </c>
      <c r="C15194">
        <v>502</v>
      </c>
      <c r="D15194">
        <v>375</v>
      </c>
      <c r="E15194">
        <v>1577205278</v>
      </c>
      <c r="F15194">
        <v>305</v>
      </c>
      <c r="G15194">
        <v>0</v>
      </c>
      <c r="H15194" t="s">
        <v>20038</v>
      </c>
      <c r="I15194">
        <v>17192</v>
      </c>
      <c r="J15194" t="str">
        <f>VLOOKUP(E15194,DSSpieler!A:B,2,FALSE)</f>
        <v>fabianzii</v>
      </c>
    </row>
    <row r="15195" spans="1:10" x14ac:dyDescent="0.25">
      <c r="A15195">
        <v>17193</v>
      </c>
      <c r="B15195" t="s">
        <v>531</v>
      </c>
      <c r="C15195">
        <v>623</v>
      </c>
      <c r="D15195">
        <v>529</v>
      </c>
      <c r="E15195">
        <v>0</v>
      </c>
      <c r="F15195">
        <v>404</v>
      </c>
      <c r="G15195">
        <v>0</v>
      </c>
      <c r="H15195" t="s">
        <v>20039</v>
      </c>
      <c r="I15195">
        <v>17193</v>
      </c>
      <c r="J15195" t="e">
        <f>VLOOKUP(E15195,DSSpieler!A:B,2,FALSE)</f>
        <v>#N/A</v>
      </c>
    </row>
    <row r="15196" spans="1:10" x14ac:dyDescent="0.25">
      <c r="A15196">
        <v>17195</v>
      </c>
      <c r="B15196" t="s">
        <v>531</v>
      </c>
      <c r="C15196">
        <v>407</v>
      </c>
      <c r="D15196">
        <v>421</v>
      </c>
      <c r="E15196">
        <v>0</v>
      </c>
      <c r="F15196">
        <v>152</v>
      </c>
      <c r="G15196">
        <v>0</v>
      </c>
      <c r="H15196" t="s">
        <v>20040</v>
      </c>
      <c r="I15196">
        <v>17195</v>
      </c>
      <c r="J15196" t="e">
        <f>VLOOKUP(E15196,DSSpieler!A:B,2,FALSE)</f>
        <v>#N/A</v>
      </c>
    </row>
    <row r="15197" spans="1:10" x14ac:dyDescent="0.25">
      <c r="A15197">
        <v>17196</v>
      </c>
      <c r="B15197" t="s">
        <v>35550</v>
      </c>
      <c r="C15197">
        <v>610</v>
      </c>
      <c r="D15197">
        <v>517</v>
      </c>
      <c r="E15197">
        <v>1577198942</v>
      </c>
      <c r="F15197">
        <v>2973</v>
      </c>
      <c r="G15197">
        <v>0</v>
      </c>
      <c r="H15197" t="s">
        <v>20041</v>
      </c>
      <c r="I15197">
        <v>17196</v>
      </c>
      <c r="J15197" t="str">
        <f>VLOOKUP(E15197,DSSpieler!A:B,2,FALSE)</f>
        <v>Thelina</v>
      </c>
    </row>
    <row r="15198" spans="1:10" x14ac:dyDescent="0.25">
      <c r="A15198">
        <v>17197</v>
      </c>
      <c r="B15198" t="s">
        <v>531</v>
      </c>
      <c r="C15198">
        <v>394</v>
      </c>
      <c r="D15198">
        <v>441</v>
      </c>
      <c r="E15198">
        <v>0</v>
      </c>
      <c r="F15198">
        <v>48</v>
      </c>
      <c r="G15198">
        <v>0</v>
      </c>
      <c r="H15198" t="s">
        <v>20042</v>
      </c>
      <c r="I15198">
        <v>17197</v>
      </c>
      <c r="J15198" t="e">
        <f>VLOOKUP(E15198,DSSpieler!A:B,2,FALSE)</f>
        <v>#N/A</v>
      </c>
    </row>
    <row r="15199" spans="1:10" x14ac:dyDescent="0.25">
      <c r="A15199">
        <v>17198</v>
      </c>
      <c r="B15199" t="s">
        <v>35551</v>
      </c>
      <c r="C15199">
        <v>437</v>
      </c>
      <c r="D15199">
        <v>394</v>
      </c>
      <c r="E15199">
        <v>1577205423</v>
      </c>
      <c r="F15199">
        <v>2630</v>
      </c>
      <c r="G15199">
        <v>0</v>
      </c>
      <c r="H15199" t="s">
        <v>20043</v>
      </c>
      <c r="I15199">
        <v>17198</v>
      </c>
      <c r="J15199" t="str">
        <f>VLOOKUP(E15199,DSSpieler!A:B,2,FALSE)</f>
        <v>Ruffnoris</v>
      </c>
    </row>
    <row r="15200" spans="1:10" x14ac:dyDescent="0.25">
      <c r="A15200">
        <v>17199</v>
      </c>
      <c r="B15200" t="s">
        <v>531</v>
      </c>
      <c r="C15200">
        <v>527</v>
      </c>
      <c r="D15200">
        <v>623</v>
      </c>
      <c r="E15200">
        <v>0</v>
      </c>
      <c r="F15200">
        <v>247</v>
      </c>
      <c r="G15200">
        <v>0</v>
      </c>
      <c r="H15200" t="s">
        <v>20044</v>
      </c>
      <c r="I15200">
        <v>17199</v>
      </c>
      <c r="J15200" t="e">
        <f>VLOOKUP(E15200,DSSpieler!A:B,2,FALSE)</f>
        <v>#N/A</v>
      </c>
    </row>
    <row r="15201" spans="1:10" x14ac:dyDescent="0.25">
      <c r="A15201">
        <v>17200</v>
      </c>
      <c r="B15201" t="s">
        <v>35552</v>
      </c>
      <c r="C15201">
        <v>420</v>
      </c>
      <c r="D15201">
        <v>521</v>
      </c>
      <c r="E15201">
        <v>1577198412</v>
      </c>
      <c r="F15201">
        <v>1155</v>
      </c>
      <c r="G15201">
        <v>0</v>
      </c>
      <c r="H15201" t="s">
        <v>20045</v>
      </c>
      <c r="I15201">
        <v>17200</v>
      </c>
      <c r="J15201" t="str">
        <f>VLOOKUP(E15201,DSSpieler!A:B,2,FALSE)</f>
        <v>Tiri0s</v>
      </c>
    </row>
    <row r="15202" spans="1:10" x14ac:dyDescent="0.25">
      <c r="A15202">
        <v>17201</v>
      </c>
      <c r="B15202" t="s">
        <v>35553</v>
      </c>
      <c r="C15202">
        <v>593</v>
      </c>
      <c r="D15202">
        <v>578</v>
      </c>
      <c r="E15202">
        <v>1576791770</v>
      </c>
      <c r="F15202">
        <v>202</v>
      </c>
      <c r="G15202">
        <v>0</v>
      </c>
      <c r="H15202" t="s">
        <v>20046</v>
      </c>
      <c r="I15202">
        <v>17201</v>
      </c>
      <c r="J15202" t="str">
        <f>VLOOKUP(E15202,DSSpieler!A:B,2,FALSE)</f>
        <v>Sryer</v>
      </c>
    </row>
    <row r="15203" spans="1:10" x14ac:dyDescent="0.25">
      <c r="A15203">
        <v>17202</v>
      </c>
      <c r="B15203" t="s">
        <v>531</v>
      </c>
      <c r="C15203">
        <v>405</v>
      </c>
      <c r="D15203">
        <v>424</v>
      </c>
      <c r="E15203">
        <v>0</v>
      </c>
      <c r="F15203">
        <v>169</v>
      </c>
      <c r="G15203">
        <v>0</v>
      </c>
      <c r="H15203" t="s">
        <v>20047</v>
      </c>
      <c r="I15203">
        <v>17202</v>
      </c>
      <c r="J15203" t="e">
        <f>VLOOKUP(E15203,DSSpieler!A:B,2,FALSE)</f>
        <v>#N/A</v>
      </c>
    </row>
    <row r="15204" spans="1:10" x14ac:dyDescent="0.25">
      <c r="A15204">
        <v>17203</v>
      </c>
      <c r="B15204" t="s">
        <v>531</v>
      </c>
      <c r="C15204">
        <v>612</v>
      </c>
      <c r="D15204">
        <v>557</v>
      </c>
      <c r="E15204">
        <v>0</v>
      </c>
      <c r="F15204">
        <v>48</v>
      </c>
      <c r="G15204">
        <v>0</v>
      </c>
      <c r="H15204" t="s">
        <v>20048</v>
      </c>
      <c r="I15204">
        <v>17203</v>
      </c>
      <c r="J15204" t="e">
        <f>VLOOKUP(E15204,DSSpieler!A:B,2,FALSE)</f>
        <v>#N/A</v>
      </c>
    </row>
    <row r="15205" spans="1:10" x14ac:dyDescent="0.25">
      <c r="A15205">
        <v>17205</v>
      </c>
      <c r="B15205" t="s">
        <v>531</v>
      </c>
      <c r="C15205">
        <v>378</v>
      </c>
      <c r="D15205">
        <v>500</v>
      </c>
      <c r="E15205">
        <v>0</v>
      </c>
      <c r="F15205">
        <v>46</v>
      </c>
      <c r="G15205">
        <v>0</v>
      </c>
      <c r="H15205" t="s">
        <v>20049</v>
      </c>
      <c r="I15205">
        <v>17205</v>
      </c>
      <c r="J15205" t="e">
        <f>VLOOKUP(E15205,DSSpieler!A:B,2,FALSE)</f>
        <v>#N/A</v>
      </c>
    </row>
    <row r="15206" spans="1:10" x14ac:dyDescent="0.25">
      <c r="A15206">
        <v>17206</v>
      </c>
      <c r="B15206" t="s">
        <v>531</v>
      </c>
      <c r="C15206">
        <v>382</v>
      </c>
      <c r="D15206">
        <v>541</v>
      </c>
      <c r="E15206">
        <v>0</v>
      </c>
      <c r="F15206">
        <v>185</v>
      </c>
      <c r="G15206">
        <v>0</v>
      </c>
      <c r="H15206" t="s">
        <v>20050</v>
      </c>
      <c r="I15206">
        <v>17206</v>
      </c>
      <c r="J15206" t="e">
        <f>VLOOKUP(E15206,DSSpieler!A:B,2,FALSE)</f>
        <v>#N/A</v>
      </c>
    </row>
    <row r="15207" spans="1:10" x14ac:dyDescent="0.25">
      <c r="A15207">
        <v>17207</v>
      </c>
      <c r="B15207" t="s">
        <v>531</v>
      </c>
      <c r="C15207">
        <v>423</v>
      </c>
      <c r="D15207">
        <v>401</v>
      </c>
      <c r="E15207">
        <v>0</v>
      </c>
      <c r="F15207">
        <v>100</v>
      </c>
      <c r="G15207">
        <v>0</v>
      </c>
      <c r="H15207" t="s">
        <v>20051</v>
      </c>
      <c r="I15207">
        <v>17207</v>
      </c>
      <c r="J15207" t="e">
        <f>VLOOKUP(E15207,DSSpieler!A:B,2,FALSE)</f>
        <v>#N/A</v>
      </c>
    </row>
    <row r="15208" spans="1:10" x14ac:dyDescent="0.25">
      <c r="A15208">
        <v>17208</v>
      </c>
      <c r="B15208">
        <v>1</v>
      </c>
      <c r="C15208">
        <v>604</v>
      </c>
      <c r="D15208">
        <v>523</v>
      </c>
      <c r="E15208">
        <v>1576751743</v>
      </c>
      <c r="F15208">
        <v>224</v>
      </c>
      <c r="G15208">
        <v>0</v>
      </c>
      <c r="H15208" t="s">
        <v>20052</v>
      </c>
      <c r="I15208">
        <v>17208</v>
      </c>
      <c r="J15208" t="str">
        <f>VLOOKUP(E15208,DSSpieler!A:B,2,FALSE)</f>
        <v>3ATMYEGO</v>
      </c>
    </row>
    <row r="15209" spans="1:10" x14ac:dyDescent="0.25">
      <c r="A15209">
        <v>17210</v>
      </c>
      <c r="B15209" t="s">
        <v>35554</v>
      </c>
      <c r="C15209">
        <v>459</v>
      </c>
      <c r="D15209">
        <v>383</v>
      </c>
      <c r="E15209">
        <v>9088940</v>
      </c>
      <c r="F15209">
        <v>936</v>
      </c>
      <c r="G15209">
        <v>0</v>
      </c>
      <c r="H15209" t="s">
        <v>20053</v>
      </c>
      <c r="I15209">
        <v>17210</v>
      </c>
      <c r="J15209" t="str">
        <f>VLOOKUP(E15209,DSSpieler!A:B,2,FALSE)</f>
        <v>yakusa75</v>
      </c>
    </row>
    <row r="15210" spans="1:10" x14ac:dyDescent="0.25">
      <c r="A15210">
        <v>17211</v>
      </c>
      <c r="B15210" t="s">
        <v>2595</v>
      </c>
      <c r="C15210">
        <v>582</v>
      </c>
      <c r="D15210">
        <v>407</v>
      </c>
      <c r="E15210">
        <v>1577205438</v>
      </c>
      <c r="F15210">
        <v>2353</v>
      </c>
      <c r="G15210">
        <v>0</v>
      </c>
      <c r="H15210" t="s">
        <v>20054</v>
      </c>
      <c r="I15210">
        <v>17211</v>
      </c>
      <c r="J15210" t="str">
        <f>VLOOKUP(E15210,DSSpieler!A:B,2,FALSE)</f>
        <v>Balsath</v>
      </c>
    </row>
    <row r="15211" spans="1:10" x14ac:dyDescent="0.25">
      <c r="A15211">
        <v>17212</v>
      </c>
      <c r="B15211" t="s">
        <v>780</v>
      </c>
      <c r="C15211">
        <v>612</v>
      </c>
      <c r="D15211">
        <v>556</v>
      </c>
      <c r="E15211">
        <v>1577160178</v>
      </c>
      <c r="F15211">
        <v>2442</v>
      </c>
      <c r="G15211">
        <v>0</v>
      </c>
      <c r="H15211" t="s">
        <v>20055</v>
      </c>
      <c r="I15211">
        <v>17212</v>
      </c>
      <c r="J15211" t="str">
        <f>VLOOKUP(E15211,DSSpieler!A:B,2,FALSE)</f>
        <v>*München</v>
      </c>
    </row>
    <row r="15212" spans="1:10" x14ac:dyDescent="0.25">
      <c r="A15212">
        <v>17213</v>
      </c>
      <c r="B15212" t="s">
        <v>531</v>
      </c>
      <c r="C15212">
        <v>401</v>
      </c>
      <c r="D15212">
        <v>570</v>
      </c>
      <c r="E15212">
        <v>0</v>
      </c>
      <c r="F15212">
        <v>57</v>
      </c>
      <c r="G15212">
        <v>0</v>
      </c>
      <c r="H15212" t="s">
        <v>20056</v>
      </c>
      <c r="I15212">
        <v>17213</v>
      </c>
      <c r="J15212" t="e">
        <f>VLOOKUP(E15212,DSSpieler!A:B,2,FALSE)</f>
        <v>#N/A</v>
      </c>
    </row>
    <row r="15213" spans="1:10" x14ac:dyDescent="0.25">
      <c r="A15213">
        <v>17215</v>
      </c>
      <c r="B15213" t="s">
        <v>30497</v>
      </c>
      <c r="C15213">
        <v>508</v>
      </c>
      <c r="D15213">
        <v>387</v>
      </c>
      <c r="E15213">
        <v>1577205446</v>
      </c>
      <c r="F15213">
        <v>336</v>
      </c>
      <c r="G15213">
        <v>0</v>
      </c>
      <c r="H15213" t="s">
        <v>20057</v>
      </c>
      <c r="I15213">
        <v>17215</v>
      </c>
      <c r="J15213" t="str">
        <f>VLOOKUP(E15213,DSSpieler!A:B,2,FALSE)</f>
        <v>Greift sich selber an</v>
      </c>
    </row>
    <row r="15214" spans="1:10" x14ac:dyDescent="0.25">
      <c r="A15214">
        <v>17216</v>
      </c>
      <c r="B15214" t="s">
        <v>531</v>
      </c>
      <c r="C15214">
        <v>558</v>
      </c>
      <c r="D15214">
        <v>598</v>
      </c>
      <c r="E15214">
        <v>0</v>
      </c>
      <c r="F15214">
        <v>95</v>
      </c>
      <c r="G15214">
        <v>0</v>
      </c>
      <c r="H15214" t="s">
        <v>20058</v>
      </c>
      <c r="I15214">
        <v>17216</v>
      </c>
      <c r="J15214" t="e">
        <f>VLOOKUP(E15214,DSSpieler!A:B,2,FALSE)</f>
        <v>#N/A</v>
      </c>
    </row>
    <row r="15215" spans="1:10" x14ac:dyDescent="0.25">
      <c r="A15215">
        <v>17217</v>
      </c>
      <c r="B15215" t="s">
        <v>35555</v>
      </c>
      <c r="C15215">
        <v>555</v>
      </c>
      <c r="D15215">
        <v>605</v>
      </c>
      <c r="E15215">
        <v>1702601</v>
      </c>
      <c r="F15215">
        <v>929</v>
      </c>
      <c r="G15215">
        <v>0</v>
      </c>
      <c r="H15215" t="s">
        <v>20059</v>
      </c>
      <c r="I15215">
        <v>17217</v>
      </c>
      <c r="J15215" t="str">
        <f>VLOOKUP(E15215,DSSpieler!A:B,2,FALSE)</f>
        <v>Tz1994</v>
      </c>
    </row>
    <row r="15216" spans="1:10" x14ac:dyDescent="0.25">
      <c r="A15216">
        <v>17220</v>
      </c>
      <c r="B15216" t="s">
        <v>35556</v>
      </c>
      <c r="C15216">
        <v>407</v>
      </c>
      <c r="D15216">
        <v>417</v>
      </c>
      <c r="E15216">
        <v>1577205454</v>
      </c>
      <c r="F15216">
        <v>161</v>
      </c>
      <c r="G15216">
        <v>0</v>
      </c>
      <c r="H15216" t="s">
        <v>20060</v>
      </c>
      <c r="I15216">
        <v>17220</v>
      </c>
      <c r="J15216" t="str">
        <f>VLOOKUP(E15216,DSSpieler!A:B,2,FALSE)</f>
        <v>FaKeT maksi1212</v>
      </c>
    </row>
    <row r="15217" spans="1:10" x14ac:dyDescent="0.25">
      <c r="A15217">
        <v>17221</v>
      </c>
      <c r="B15217" t="s">
        <v>2596</v>
      </c>
      <c r="C15217">
        <v>560</v>
      </c>
      <c r="D15217">
        <v>606</v>
      </c>
      <c r="E15217">
        <v>1577050672</v>
      </c>
      <c r="F15217">
        <v>715</v>
      </c>
      <c r="G15217">
        <v>0</v>
      </c>
      <c r="H15217" t="s">
        <v>20061</v>
      </c>
      <c r="I15217">
        <v>17221</v>
      </c>
      <c r="J15217" t="str">
        <f>VLOOKUP(E15217,DSSpieler!A:B,2,FALSE)</f>
        <v>JFM10618</v>
      </c>
    </row>
    <row r="15218" spans="1:10" x14ac:dyDescent="0.25">
      <c r="A15218">
        <v>17222</v>
      </c>
      <c r="B15218" t="s">
        <v>531</v>
      </c>
      <c r="C15218">
        <v>621</v>
      </c>
      <c r="D15218">
        <v>527</v>
      </c>
      <c r="E15218">
        <v>0</v>
      </c>
      <c r="F15218">
        <v>216</v>
      </c>
      <c r="G15218">
        <v>0</v>
      </c>
      <c r="H15218" t="s">
        <v>20062</v>
      </c>
      <c r="I15218">
        <v>17222</v>
      </c>
      <c r="J15218" t="e">
        <f>VLOOKUP(E15218,DSSpieler!A:B,2,FALSE)</f>
        <v>#N/A</v>
      </c>
    </row>
    <row r="15219" spans="1:10" x14ac:dyDescent="0.25">
      <c r="A15219">
        <v>17223</v>
      </c>
      <c r="B15219" t="s">
        <v>35557</v>
      </c>
      <c r="C15219">
        <v>546</v>
      </c>
      <c r="D15219">
        <v>495</v>
      </c>
      <c r="E15219">
        <v>1945041</v>
      </c>
      <c r="F15219">
        <v>2257</v>
      </c>
      <c r="G15219">
        <v>0</v>
      </c>
      <c r="H15219" t="s">
        <v>20063</v>
      </c>
      <c r="I15219">
        <v>17223</v>
      </c>
      <c r="J15219" t="str">
        <f>VLOOKUP(E15219,DSSpieler!A:B,2,FALSE)</f>
        <v>BMW1200GS</v>
      </c>
    </row>
    <row r="15220" spans="1:10" x14ac:dyDescent="0.25">
      <c r="A15220">
        <v>17224</v>
      </c>
      <c r="B15220" t="s">
        <v>531</v>
      </c>
      <c r="C15220">
        <v>595</v>
      </c>
      <c r="D15220">
        <v>418</v>
      </c>
      <c r="E15220">
        <v>0</v>
      </c>
      <c r="F15220">
        <v>58</v>
      </c>
      <c r="G15220">
        <v>0</v>
      </c>
      <c r="H15220" t="s">
        <v>20064</v>
      </c>
      <c r="I15220">
        <v>17224</v>
      </c>
      <c r="J15220" t="e">
        <f>VLOOKUP(E15220,DSSpieler!A:B,2,FALSE)</f>
        <v>#N/A</v>
      </c>
    </row>
    <row r="15221" spans="1:10" x14ac:dyDescent="0.25">
      <c r="A15221">
        <v>17225</v>
      </c>
      <c r="B15221" t="s">
        <v>35558</v>
      </c>
      <c r="C15221">
        <v>478</v>
      </c>
      <c r="D15221">
        <v>624</v>
      </c>
      <c r="E15221">
        <v>1576573321</v>
      </c>
      <c r="F15221">
        <v>332</v>
      </c>
      <c r="G15221">
        <v>0</v>
      </c>
      <c r="H15221" t="s">
        <v>20065</v>
      </c>
      <c r="I15221">
        <v>17225</v>
      </c>
      <c r="J15221" t="str">
        <f>VLOOKUP(E15221,DSSpieler!A:B,2,FALSE)</f>
        <v>Switi1703</v>
      </c>
    </row>
    <row r="15222" spans="1:10" x14ac:dyDescent="0.25">
      <c r="A15222">
        <v>17226</v>
      </c>
      <c r="B15222" t="s">
        <v>150</v>
      </c>
      <c r="C15222">
        <v>622</v>
      </c>
      <c r="D15222">
        <v>464</v>
      </c>
      <c r="E15222">
        <v>9443789</v>
      </c>
      <c r="F15222">
        <v>836</v>
      </c>
      <c r="G15222">
        <v>0</v>
      </c>
      <c r="H15222" t="s">
        <v>20066</v>
      </c>
      <c r="I15222">
        <v>17226</v>
      </c>
      <c r="J15222" t="str">
        <f>VLOOKUP(E15222,DSSpieler!A:B,2,FALSE)</f>
        <v>Die Glatze 01</v>
      </c>
    </row>
    <row r="15223" spans="1:10" x14ac:dyDescent="0.25">
      <c r="A15223">
        <v>17227</v>
      </c>
      <c r="B15223" t="s">
        <v>35559</v>
      </c>
      <c r="C15223">
        <v>429</v>
      </c>
      <c r="D15223">
        <v>583</v>
      </c>
      <c r="E15223">
        <v>1577141862</v>
      </c>
      <c r="F15223">
        <v>1846</v>
      </c>
      <c r="G15223">
        <v>0</v>
      </c>
      <c r="H15223" t="s">
        <v>20067</v>
      </c>
      <c r="I15223">
        <v>17227</v>
      </c>
      <c r="J15223" t="str">
        <f>VLOOKUP(E15223,DSSpieler!A:B,2,FALSE)</f>
        <v>osse</v>
      </c>
    </row>
    <row r="15224" spans="1:10" x14ac:dyDescent="0.25">
      <c r="A15224">
        <v>17228</v>
      </c>
      <c r="B15224" t="s">
        <v>531</v>
      </c>
      <c r="C15224">
        <v>606</v>
      </c>
      <c r="D15224">
        <v>431</v>
      </c>
      <c r="E15224">
        <v>0</v>
      </c>
      <c r="F15224">
        <v>197</v>
      </c>
      <c r="G15224">
        <v>0</v>
      </c>
      <c r="H15224" t="s">
        <v>20068</v>
      </c>
      <c r="I15224">
        <v>17228</v>
      </c>
      <c r="J15224" t="e">
        <f>VLOOKUP(E15224,DSSpieler!A:B,2,FALSE)</f>
        <v>#N/A</v>
      </c>
    </row>
    <row r="15225" spans="1:10" x14ac:dyDescent="0.25">
      <c r="A15225">
        <v>17229</v>
      </c>
      <c r="B15225" t="s">
        <v>2597</v>
      </c>
      <c r="C15225">
        <v>379</v>
      </c>
      <c r="D15225">
        <v>474</v>
      </c>
      <c r="E15225">
        <v>1577137534</v>
      </c>
      <c r="F15225">
        <v>1041</v>
      </c>
      <c r="G15225">
        <v>0</v>
      </c>
      <c r="H15225" t="s">
        <v>20069</v>
      </c>
      <c r="I15225">
        <v>17229</v>
      </c>
      <c r="J15225" t="str">
        <f>VLOOKUP(E15225,DSSpieler!A:B,2,FALSE)</f>
        <v>Björn1978</v>
      </c>
    </row>
    <row r="15226" spans="1:10" x14ac:dyDescent="0.25">
      <c r="A15226">
        <v>17230</v>
      </c>
      <c r="B15226" t="s">
        <v>35560</v>
      </c>
      <c r="C15226">
        <v>572</v>
      </c>
      <c r="D15226">
        <v>400</v>
      </c>
      <c r="E15226">
        <v>3018956</v>
      </c>
      <c r="F15226">
        <v>1845</v>
      </c>
      <c r="G15226">
        <v>0</v>
      </c>
      <c r="H15226" t="s">
        <v>20070</v>
      </c>
      <c r="I15226">
        <v>17230</v>
      </c>
      <c r="J15226" t="str">
        <f>VLOOKUP(E15226,DSSpieler!A:B,2,FALSE)</f>
        <v>donavn</v>
      </c>
    </row>
    <row r="15227" spans="1:10" x14ac:dyDescent="0.25">
      <c r="A15227">
        <v>17231</v>
      </c>
      <c r="B15227" t="s">
        <v>35561</v>
      </c>
      <c r="C15227">
        <v>424</v>
      </c>
      <c r="D15227">
        <v>601</v>
      </c>
      <c r="E15227">
        <v>9389833</v>
      </c>
      <c r="F15227">
        <v>289</v>
      </c>
      <c r="G15227">
        <v>0</v>
      </c>
      <c r="H15227" t="s">
        <v>20071</v>
      </c>
      <c r="I15227">
        <v>17231</v>
      </c>
      <c r="J15227" t="str">
        <f>VLOOKUP(E15227,DSSpieler!A:B,2,FALSE)</f>
        <v>Gringen</v>
      </c>
    </row>
    <row r="15228" spans="1:10" x14ac:dyDescent="0.25">
      <c r="A15228">
        <v>17232</v>
      </c>
      <c r="B15228">
        <v>3</v>
      </c>
      <c r="C15228">
        <v>376</v>
      </c>
      <c r="D15228">
        <v>480</v>
      </c>
      <c r="E15228">
        <v>1577179274</v>
      </c>
      <c r="F15228">
        <v>2590</v>
      </c>
      <c r="G15228">
        <v>0</v>
      </c>
      <c r="H15228" t="s">
        <v>429</v>
      </c>
      <c r="I15228">
        <v>17232</v>
      </c>
      <c r="J15228" t="str">
        <f>VLOOKUP(E15228,DSSpieler!A:B,2,FALSE)</f>
        <v>MasonGunner</v>
      </c>
    </row>
    <row r="15229" spans="1:10" x14ac:dyDescent="0.25">
      <c r="A15229">
        <v>17233</v>
      </c>
      <c r="B15229" t="s">
        <v>35562</v>
      </c>
      <c r="C15229">
        <v>431</v>
      </c>
      <c r="D15229">
        <v>601</v>
      </c>
      <c r="E15229">
        <v>9817068</v>
      </c>
      <c r="F15229">
        <v>787</v>
      </c>
      <c r="G15229">
        <v>0</v>
      </c>
      <c r="H15229" t="s">
        <v>20072</v>
      </c>
      <c r="I15229">
        <v>17233</v>
      </c>
      <c r="J15229" t="str">
        <f>VLOOKUP(E15229,DSSpieler!A:B,2,FALSE)</f>
        <v>Lowhit</v>
      </c>
    </row>
    <row r="15230" spans="1:10" x14ac:dyDescent="0.25">
      <c r="A15230">
        <v>17234</v>
      </c>
      <c r="B15230" t="s">
        <v>2598</v>
      </c>
      <c r="C15230">
        <v>446</v>
      </c>
      <c r="D15230">
        <v>545</v>
      </c>
      <c r="E15230">
        <v>1577199180</v>
      </c>
      <c r="F15230">
        <v>959</v>
      </c>
      <c r="G15230">
        <v>0</v>
      </c>
      <c r="H15230" t="s">
        <v>20073</v>
      </c>
      <c r="I15230">
        <v>17234</v>
      </c>
      <c r="J15230" t="str">
        <f>VLOOKUP(E15230,DSSpieler!A:B,2,FALSE)</f>
        <v>Socke76</v>
      </c>
    </row>
    <row r="15231" spans="1:10" x14ac:dyDescent="0.25">
      <c r="A15231">
        <v>17235</v>
      </c>
      <c r="B15231" t="s">
        <v>35563</v>
      </c>
      <c r="C15231">
        <v>473</v>
      </c>
      <c r="D15231">
        <v>380</v>
      </c>
      <c r="E15231">
        <v>1577199644</v>
      </c>
      <c r="F15231">
        <v>654</v>
      </c>
      <c r="G15231">
        <v>0</v>
      </c>
      <c r="H15231" t="s">
        <v>20074</v>
      </c>
      <c r="I15231">
        <v>17235</v>
      </c>
      <c r="J15231" t="str">
        <f>VLOOKUP(E15231,DSSpieler!A:B,2,FALSE)</f>
        <v>chris233</v>
      </c>
    </row>
    <row r="15232" spans="1:10" x14ac:dyDescent="0.25">
      <c r="A15232">
        <v>17236</v>
      </c>
      <c r="B15232" t="s">
        <v>35564</v>
      </c>
      <c r="C15232">
        <v>428</v>
      </c>
      <c r="D15232">
        <v>400</v>
      </c>
      <c r="E15232">
        <v>10006222</v>
      </c>
      <c r="F15232">
        <v>1152</v>
      </c>
      <c r="G15232">
        <v>0</v>
      </c>
      <c r="H15232" t="s">
        <v>20075</v>
      </c>
      <c r="I15232">
        <v>17236</v>
      </c>
      <c r="J15232" t="str">
        <f>VLOOKUP(E15232,DSSpieler!A:B,2,FALSE)</f>
        <v>kracherx</v>
      </c>
    </row>
    <row r="15233" spans="1:10" x14ac:dyDescent="0.25">
      <c r="A15233">
        <v>17237</v>
      </c>
      <c r="B15233" t="s">
        <v>531</v>
      </c>
      <c r="C15233">
        <v>620</v>
      </c>
      <c r="D15233">
        <v>541</v>
      </c>
      <c r="E15233">
        <v>0</v>
      </c>
      <c r="F15233">
        <v>62</v>
      </c>
      <c r="G15233">
        <v>0</v>
      </c>
      <c r="H15233" t="s">
        <v>20076</v>
      </c>
      <c r="I15233">
        <v>17237</v>
      </c>
      <c r="J15233" t="e">
        <f>VLOOKUP(E15233,DSSpieler!A:B,2,FALSE)</f>
        <v>#N/A</v>
      </c>
    </row>
    <row r="15234" spans="1:10" x14ac:dyDescent="0.25">
      <c r="A15234">
        <v>17238</v>
      </c>
      <c r="B15234" t="s">
        <v>531</v>
      </c>
      <c r="C15234">
        <v>557</v>
      </c>
      <c r="D15234">
        <v>610</v>
      </c>
      <c r="E15234">
        <v>0</v>
      </c>
      <c r="F15234">
        <v>65</v>
      </c>
      <c r="G15234">
        <v>0</v>
      </c>
      <c r="H15234" t="s">
        <v>20077</v>
      </c>
      <c r="I15234">
        <v>17238</v>
      </c>
      <c r="J15234" t="e">
        <f>VLOOKUP(E15234,DSSpieler!A:B,2,FALSE)</f>
        <v>#N/A</v>
      </c>
    </row>
    <row r="15235" spans="1:10" x14ac:dyDescent="0.25">
      <c r="A15235">
        <v>17239</v>
      </c>
      <c r="B15235" t="s">
        <v>1834</v>
      </c>
      <c r="C15235">
        <v>500</v>
      </c>
      <c r="D15235">
        <v>557</v>
      </c>
      <c r="E15235">
        <v>1577194429</v>
      </c>
      <c r="F15235">
        <v>373</v>
      </c>
      <c r="G15235">
        <v>0</v>
      </c>
      <c r="H15235" t="s">
        <v>20078</v>
      </c>
      <c r="I15235">
        <v>17239</v>
      </c>
      <c r="J15235" t="str">
        <f>VLOOKUP(E15235,DSSpieler!A:B,2,FALSE)</f>
        <v>Doerner98</v>
      </c>
    </row>
    <row r="15236" spans="1:10" x14ac:dyDescent="0.25">
      <c r="A15236">
        <v>17240</v>
      </c>
      <c r="B15236" t="s">
        <v>531</v>
      </c>
      <c r="C15236">
        <v>519</v>
      </c>
      <c r="D15236">
        <v>598</v>
      </c>
      <c r="E15236">
        <v>0</v>
      </c>
      <c r="F15236">
        <v>86</v>
      </c>
      <c r="G15236">
        <v>0</v>
      </c>
      <c r="H15236" t="s">
        <v>20079</v>
      </c>
      <c r="I15236">
        <v>17240</v>
      </c>
      <c r="J15236" t="e">
        <f>VLOOKUP(E15236,DSSpieler!A:B,2,FALSE)</f>
        <v>#N/A</v>
      </c>
    </row>
    <row r="15237" spans="1:10" x14ac:dyDescent="0.25">
      <c r="A15237">
        <v>17241</v>
      </c>
      <c r="B15237" t="s">
        <v>35565</v>
      </c>
      <c r="C15237">
        <v>460</v>
      </c>
      <c r="D15237">
        <v>384</v>
      </c>
      <c r="E15237">
        <v>2792882</v>
      </c>
      <c r="F15237">
        <v>1059</v>
      </c>
      <c r="G15237">
        <v>0</v>
      </c>
      <c r="H15237" t="s">
        <v>20080</v>
      </c>
      <c r="I15237">
        <v>17241</v>
      </c>
      <c r="J15237" t="str">
        <f>VLOOKUP(E15237,DSSpieler!A:B,2,FALSE)</f>
        <v>kev 5 11 92</v>
      </c>
    </row>
    <row r="15238" spans="1:10" x14ac:dyDescent="0.25">
      <c r="A15238">
        <v>17242</v>
      </c>
      <c r="B15238" t="s">
        <v>531</v>
      </c>
      <c r="C15238">
        <v>376</v>
      </c>
      <c r="D15238">
        <v>479</v>
      </c>
      <c r="E15238">
        <v>0</v>
      </c>
      <c r="F15238">
        <v>239</v>
      </c>
      <c r="G15238">
        <v>0</v>
      </c>
      <c r="H15238" t="s">
        <v>20081</v>
      </c>
      <c r="I15238">
        <v>17242</v>
      </c>
      <c r="J15238" t="e">
        <f>VLOOKUP(E15238,DSSpieler!A:B,2,FALSE)</f>
        <v>#N/A</v>
      </c>
    </row>
    <row r="15239" spans="1:10" x14ac:dyDescent="0.25">
      <c r="A15239">
        <v>17243</v>
      </c>
      <c r="B15239" t="s">
        <v>2599</v>
      </c>
      <c r="C15239">
        <v>584</v>
      </c>
      <c r="D15239">
        <v>600</v>
      </c>
      <c r="E15239">
        <v>10100693</v>
      </c>
      <c r="F15239">
        <v>2097</v>
      </c>
      <c r="G15239">
        <v>0</v>
      </c>
      <c r="H15239" t="s">
        <v>20082</v>
      </c>
      <c r="I15239">
        <v>17243</v>
      </c>
      <c r="J15239" t="str">
        <f>VLOOKUP(E15239,DSSpieler!A:B,2,FALSE)</f>
        <v>Blage</v>
      </c>
    </row>
    <row r="15240" spans="1:10" x14ac:dyDescent="0.25">
      <c r="A15240">
        <v>17244</v>
      </c>
      <c r="B15240" t="s">
        <v>2600</v>
      </c>
      <c r="C15240">
        <v>584</v>
      </c>
      <c r="D15240">
        <v>597</v>
      </c>
      <c r="E15240">
        <v>1577203161</v>
      </c>
      <c r="F15240">
        <v>1499</v>
      </c>
      <c r="G15240">
        <v>0</v>
      </c>
      <c r="H15240" t="s">
        <v>20083</v>
      </c>
      <c r="I15240">
        <v>17244</v>
      </c>
      <c r="J15240" t="str">
        <f>VLOOKUP(E15240,DSSpieler!A:B,2,FALSE)</f>
        <v>Soltera</v>
      </c>
    </row>
    <row r="15241" spans="1:10" x14ac:dyDescent="0.25">
      <c r="A15241">
        <v>17245</v>
      </c>
      <c r="B15241" t="s">
        <v>531</v>
      </c>
      <c r="C15241">
        <v>624</v>
      </c>
      <c r="D15241">
        <v>514</v>
      </c>
      <c r="E15241">
        <v>0</v>
      </c>
      <c r="F15241">
        <v>48</v>
      </c>
      <c r="G15241">
        <v>0</v>
      </c>
      <c r="H15241" t="s">
        <v>20084</v>
      </c>
      <c r="I15241">
        <v>17245</v>
      </c>
      <c r="J15241" t="e">
        <f>VLOOKUP(E15241,DSSpieler!A:B,2,FALSE)</f>
        <v>#N/A</v>
      </c>
    </row>
    <row r="15242" spans="1:10" x14ac:dyDescent="0.25">
      <c r="A15242">
        <v>17246</v>
      </c>
      <c r="B15242" t="s">
        <v>35566</v>
      </c>
      <c r="C15242">
        <v>489</v>
      </c>
      <c r="D15242">
        <v>374</v>
      </c>
      <c r="E15242">
        <v>1577157203</v>
      </c>
      <c r="F15242">
        <v>26</v>
      </c>
      <c r="G15242">
        <v>0</v>
      </c>
      <c r="H15242" t="s">
        <v>20085</v>
      </c>
      <c r="I15242">
        <v>17246</v>
      </c>
      <c r="J15242" t="str">
        <f>VLOOKUP(E15242,DSSpieler!A:B,2,FALSE)</f>
        <v>Bastian Balthasar Bux</v>
      </c>
    </row>
    <row r="15243" spans="1:10" x14ac:dyDescent="0.25">
      <c r="A15243">
        <v>17247</v>
      </c>
      <c r="B15243" t="s">
        <v>35567</v>
      </c>
      <c r="C15243">
        <v>593</v>
      </c>
      <c r="D15243">
        <v>585</v>
      </c>
      <c r="E15243">
        <v>10265819</v>
      </c>
      <c r="F15243">
        <v>687</v>
      </c>
      <c r="G15243">
        <v>0</v>
      </c>
      <c r="H15243" t="s">
        <v>20086</v>
      </c>
      <c r="I15243">
        <v>17247</v>
      </c>
      <c r="J15243" t="str">
        <f>VLOOKUP(E15243,DSSpieler!A:B,2,FALSE)</f>
        <v>sombrero1997</v>
      </c>
    </row>
    <row r="15244" spans="1:10" x14ac:dyDescent="0.25">
      <c r="A15244">
        <v>17248</v>
      </c>
      <c r="B15244" t="s">
        <v>35568</v>
      </c>
      <c r="C15244">
        <v>410</v>
      </c>
      <c r="D15244">
        <v>588</v>
      </c>
      <c r="E15244">
        <v>1577042248</v>
      </c>
      <c r="F15244">
        <v>1923</v>
      </c>
      <c r="G15244">
        <v>0</v>
      </c>
      <c r="H15244" t="s">
        <v>20087</v>
      </c>
      <c r="I15244">
        <v>17248</v>
      </c>
      <c r="J15244" t="str">
        <f>VLOOKUP(E15244,DSSpieler!A:B,2,FALSE)</f>
        <v>könig hanz peter</v>
      </c>
    </row>
    <row r="15245" spans="1:10" x14ac:dyDescent="0.25">
      <c r="A15245">
        <v>17249</v>
      </c>
      <c r="B15245" t="s">
        <v>531</v>
      </c>
      <c r="C15245">
        <v>460</v>
      </c>
      <c r="D15245">
        <v>615</v>
      </c>
      <c r="E15245">
        <v>0</v>
      </c>
      <c r="F15245">
        <v>156</v>
      </c>
      <c r="G15245">
        <v>0</v>
      </c>
      <c r="H15245" t="s">
        <v>20088</v>
      </c>
      <c r="I15245">
        <v>17249</v>
      </c>
      <c r="J15245" t="e">
        <f>VLOOKUP(E15245,DSSpieler!A:B,2,FALSE)</f>
        <v>#N/A</v>
      </c>
    </row>
    <row r="15246" spans="1:10" x14ac:dyDescent="0.25">
      <c r="A15246">
        <v>17252</v>
      </c>
      <c r="B15246" t="s">
        <v>531</v>
      </c>
      <c r="C15246">
        <v>402</v>
      </c>
      <c r="D15246">
        <v>579</v>
      </c>
      <c r="E15246">
        <v>0</v>
      </c>
      <c r="F15246">
        <v>65</v>
      </c>
      <c r="G15246">
        <v>0</v>
      </c>
      <c r="H15246" t="s">
        <v>20089</v>
      </c>
      <c r="I15246">
        <v>17252</v>
      </c>
      <c r="J15246" t="e">
        <f>VLOOKUP(E15246,DSSpieler!A:B,2,FALSE)</f>
        <v>#N/A</v>
      </c>
    </row>
    <row r="15247" spans="1:10" x14ac:dyDescent="0.25">
      <c r="A15247">
        <v>17253</v>
      </c>
      <c r="B15247" t="s">
        <v>35569</v>
      </c>
      <c r="C15247">
        <v>604</v>
      </c>
      <c r="D15247">
        <v>429</v>
      </c>
      <c r="E15247">
        <v>1577205502</v>
      </c>
      <c r="F15247">
        <v>3085</v>
      </c>
      <c r="G15247">
        <v>0</v>
      </c>
      <c r="H15247" t="s">
        <v>20090</v>
      </c>
      <c r="I15247">
        <v>17253</v>
      </c>
      <c r="J15247" t="str">
        <f>VLOOKUP(E15247,DSSpieler!A:B,2,FALSE)</f>
        <v>Zhurak</v>
      </c>
    </row>
    <row r="15248" spans="1:10" x14ac:dyDescent="0.25">
      <c r="A15248">
        <v>17255</v>
      </c>
      <c r="B15248" t="s">
        <v>34811</v>
      </c>
      <c r="C15248">
        <v>591</v>
      </c>
      <c r="D15248">
        <v>585</v>
      </c>
      <c r="E15248">
        <v>1577155354</v>
      </c>
      <c r="F15248">
        <v>3314</v>
      </c>
      <c r="G15248">
        <v>0</v>
      </c>
      <c r="H15248" t="s">
        <v>20091</v>
      </c>
      <c r="I15248">
        <v>17255</v>
      </c>
      <c r="J15248" t="str">
        <f>VLOOKUP(E15248,DSSpieler!A:B,2,FALSE)</f>
        <v>Kulturbanause</v>
      </c>
    </row>
    <row r="15249" spans="1:10" x14ac:dyDescent="0.25">
      <c r="A15249">
        <v>17256</v>
      </c>
      <c r="B15249">
        <v>2</v>
      </c>
      <c r="C15249">
        <v>512</v>
      </c>
      <c r="D15249">
        <v>382</v>
      </c>
      <c r="E15249">
        <v>1576104415</v>
      </c>
      <c r="F15249">
        <v>1406</v>
      </c>
      <c r="G15249">
        <v>0</v>
      </c>
      <c r="H15249" t="s">
        <v>20092</v>
      </c>
      <c r="I15249">
        <v>17256</v>
      </c>
      <c r="J15249" t="str">
        <f>VLOOKUP(E15249,DSSpieler!A:B,2,FALSE)</f>
        <v>Raymez</v>
      </c>
    </row>
    <row r="15250" spans="1:10" x14ac:dyDescent="0.25">
      <c r="A15250">
        <v>17257</v>
      </c>
      <c r="B15250" t="s">
        <v>2601</v>
      </c>
      <c r="C15250">
        <v>587</v>
      </c>
      <c r="D15250">
        <v>585</v>
      </c>
      <c r="E15250">
        <v>1577181451</v>
      </c>
      <c r="F15250">
        <v>3036</v>
      </c>
      <c r="G15250">
        <v>0</v>
      </c>
      <c r="H15250" t="s">
        <v>20093</v>
      </c>
      <c r="I15250">
        <v>17257</v>
      </c>
      <c r="J15250" t="str">
        <f>VLOOKUP(E15250,DSSpieler!A:B,2,FALSE)</f>
        <v>walki</v>
      </c>
    </row>
    <row r="15251" spans="1:10" x14ac:dyDescent="0.25">
      <c r="A15251">
        <v>17258</v>
      </c>
      <c r="B15251" t="s">
        <v>35570</v>
      </c>
      <c r="C15251">
        <v>430</v>
      </c>
      <c r="D15251">
        <v>565</v>
      </c>
      <c r="E15251">
        <v>1576822543</v>
      </c>
      <c r="F15251">
        <v>1842</v>
      </c>
      <c r="G15251">
        <v>0</v>
      </c>
      <c r="H15251" t="s">
        <v>20094</v>
      </c>
      <c r="I15251">
        <v>17258</v>
      </c>
      <c r="J15251" t="str">
        <f>VLOOKUP(E15251,DSSpieler!A:B,2,FALSE)</f>
        <v>MannyDasGrimmigeMamut</v>
      </c>
    </row>
    <row r="15252" spans="1:10" x14ac:dyDescent="0.25">
      <c r="A15252">
        <v>17259</v>
      </c>
      <c r="B15252" t="s">
        <v>593</v>
      </c>
      <c r="C15252">
        <v>396</v>
      </c>
      <c r="D15252">
        <v>495</v>
      </c>
      <c r="E15252">
        <v>10021930</v>
      </c>
      <c r="F15252">
        <v>2644</v>
      </c>
      <c r="G15252">
        <v>0</v>
      </c>
      <c r="H15252" t="s">
        <v>20095</v>
      </c>
      <c r="I15252">
        <v>17259</v>
      </c>
      <c r="J15252" t="str">
        <f>VLOOKUP(E15252,DSSpieler!A:B,2,FALSE)</f>
        <v>KingSain</v>
      </c>
    </row>
    <row r="15253" spans="1:10" x14ac:dyDescent="0.25">
      <c r="A15253">
        <v>17262</v>
      </c>
      <c r="B15253" t="s">
        <v>2602</v>
      </c>
      <c r="C15253">
        <v>613</v>
      </c>
      <c r="D15253">
        <v>556</v>
      </c>
      <c r="E15253">
        <v>1577205322</v>
      </c>
      <c r="F15253">
        <v>1252</v>
      </c>
      <c r="G15253">
        <v>0</v>
      </c>
      <c r="H15253" t="s">
        <v>20096</v>
      </c>
      <c r="I15253">
        <v>17262</v>
      </c>
      <c r="J15253" t="str">
        <f>VLOOKUP(E15253,DSSpieler!A:B,2,FALSE)</f>
        <v>Maxsann</v>
      </c>
    </row>
    <row r="15254" spans="1:10" x14ac:dyDescent="0.25">
      <c r="A15254">
        <v>17263</v>
      </c>
      <c r="B15254" t="s">
        <v>35571</v>
      </c>
      <c r="C15254">
        <v>504</v>
      </c>
      <c r="D15254">
        <v>377</v>
      </c>
      <c r="E15254">
        <v>1577199178</v>
      </c>
      <c r="F15254">
        <v>26</v>
      </c>
      <c r="G15254">
        <v>0</v>
      </c>
      <c r="H15254" t="s">
        <v>20097</v>
      </c>
      <c r="I15254">
        <v>17263</v>
      </c>
      <c r="J15254" t="str">
        <f>VLOOKUP(E15254,DSSpieler!A:B,2,FALSE)</f>
        <v>ironn</v>
      </c>
    </row>
    <row r="15255" spans="1:10" x14ac:dyDescent="0.25">
      <c r="A15255">
        <v>17264</v>
      </c>
      <c r="B15255" t="s">
        <v>531</v>
      </c>
      <c r="C15255">
        <v>401</v>
      </c>
      <c r="D15255">
        <v>425</v>
      </c>
      <c r="E15255">
        <v>0</v>
      </c>
      <c r="F15255">
        <v>47</v>
      </c>
      <c r="G15255">
        <v>0</v>
      </c>
      <c r="H15255" t="s">
        <v>20098</v>
      </c>
      <c r="I15255">
        <v>17264</v>
      </c>
      <c r="J15255" t="e">
        <f>VLOOKUP(E15255,DSSpieler!A:B,2,FALSE)</f>
        <v>#N/A</v>
      </c>
    </row>
    <row r="15256" spans="1:10" x14ac:dyDescent="0.25">
      <c r="A15256">
        <v>17265</v>
      </c>
      <c r="B15256" t="s">
        <v>2603</v>
      </c>
      <c r="C15256">
        <v>465</v>
      </c>
      <c r="D15256">
        <v>382</v>
      </c>
      <c r="E15256">
        <v>1576732766</v>
      </c>
      <c r="F15256">
        <v>1761</v>
      </c>
      <c r="G15256">
        <v>0</v>
      </c>
      <c r="H15256" t="s">
        <v>20099</v>
      </c>
      <c r="I15256">
        <v>17265</v>
      </c>
      <c r="J15256" t="str">
        <f>VLOOKUP(E15256,DSSpieler!A:B,2,FALSE)</f>
        <v>..madness..</v>
      </c>
    </row>
    <row r="15257" spans="1:10" x14ac:dyDescent="0.25">
      <c r="A15257">
        <v>17266</v>
      </c>
      <c r="B15257" t="s">
        <v>531</v>
      </c>
      <c r="C15257">
        <v>622</v>
      </c>
      <c r="D15257">
        <v>472</v>
      </c>
      <c r="E15257">
        <v>0</v>
      </c>
      <c r="F15257">
        <v>162</v>
      </c>
      <c r="G15257">
        <v>0</v>
      </c>
      <c r="H15257" t="s">
        <v>20100</v>
      </c>
      <c r="I15257">
        <v>17266</v>
      </c>
      <c r="J15257" t="e">
        <f>VLOOKUP(E15257,DSSpieler!A:B,2,FALSE)</f>
        <v>#N/A</v>
      </c>
    </row>
    <row r="15258" spans="1:10" x14ac:dyDescent="0.25">
      <c r="A15258">
        <v>17267</v>
      </c>
      <c r="B15258" t="s">
        <v>531</v>
      </c>
      <c r="C15258">
        <v>389</v>
      </c>
      <c r="D15258">
        <v>563</v>
      </c>
      <c r="E15258">
        <v>0</v>
      </c>
      <c r="F15258">
        <v>267</v>
      </c>
      <c r="G15258">
        <v>0</v>
      </c>
      <c r="H15258" t="s">
        <v>20101</v>
      </c>
      <c r="I15258">
        <v>17267</v>
      </c>
      <c r="J15258" t="e">
        <f>VLOOKUP(E15258,DSSpieler!A:B,2,FALSE)</f>
        <v>#N/A</v>
      </c>
    </row>
    <row r="15259" spans="1:10" x14ac:dyDescent="0.25">
      <c r="A15259">
        <v>17268</v>
      </c>
      <c r="B15259" t="s">
        <v>35572</v>
      </c>
      <c r="C15259">
        <v>379</v>
      </c>
      <c r="D15259">
        <v>521</v>
      </c>
      <c r="E15259">
        <v>1577203104</v>
      </c>
      <c r="F15259">
        <v>1735</v>
      </c>
      <c r="G15259">
        <v>0</v>
      </c>
      <c r="H15259" t="s">
        <v>20102</v>
      </c>
      <c r="I15259">
        <v>17268</v>
      </c>
      <c r="J15259" t="str">
        <f>VLOOKUP(E15259,DSSpieler!A:B,2,FALSE)</f>
        <v>UntBarbarossa</v>
      </c>
    </row>
    <row r="15260" spans="1:10" x14ac:dyDescent="0.25">
      <c r="A15260">
        <v>17269</v>
      </c>
      <c r="B15260" t="s">
        <v>531</v>
      </c>
      <c r="C15260">
        <v>535</v>
      </c>
      <c r="D15260">
        <v>459</v>
      </c>
      <c r="E15260">
        <v>0</v>
      </c>
      <c r="F15260">
        <v>807</v>
      </c>
      <c r="G15260">
        <v>0</v>
      </c>
      <c r="H15260" t="s">
        <v>20103</v>
      </c>
      <c r="I15260">
        <v>17269</v>
      </c>
      <c r="J15260" t="e">
        <f>VLOOKUP(E15260,DSSpieler!A:B,2,FALSE)</f>
        <v>#N/A</v>
      </c>
    </row>
    <row r="15261" spans="1:10" x14ac:dyDescent="0.25">
      <c r="A15261">
        <v>17270</v>
      </c>
      <c r="B15261" t="s">
        <v>35573</v>
      </c>
      <c r="C15261">
        <v>437</v>
      </c>
      <c r="D15261">
        <v>609</v>
      </c>
      <c r="E15261">
        <v>1576943984</v>
      </c>
      <c r="F15261">
        <v>26</v>
      </c>
      <c r="G15261">
        <v>0</v>
      </c>
      <c r="H15261" t="s">
        <v>20104</v>
      </c>
      <c r="I15261">
        <v>17270</v>
      </c>
      <c r="J15261" t="str">
        <f>VLOOKUP(E15261,DSSpieler!A:B,2,FALSE)</f>
        <v>Highturn</v>
      </c>
    </row>
    <row r="15262" spans="1:10" x14ac:dyDescent="0.25">
      <c r="A15262">
        <v>17271</v>
      </c>
      <c r="B15262" t="s">
        <v>531</v>
      </c>
      <c r="C15262">
        <v>401</v>
      </c>
      <c r="D15262">
        <v>428</v>
      </c>
      <c r="E15262">
        <v>0</v>
      </c>
      <c r="F15262">
        <v>189</v>
      </c>
      <c r="G15262">
        <v>0</v>
      </c>
      <c r="H15262" t="s">
        <v>20105</v>
      </c>
      <c r="I15262">
        <v>17271</v>
      </c>
      <c r="J15262" t="e">
        <f>VLOOKUP(E15262,DSSpieler!A:B,2,FALSE)</f>
        <v>#N/A</v>
      </c>
    </row>
    <row r="15263" spans="1:10" x14ac:dyDescent="0.25">
      <c r="A15263">
        <v>17272</v>
      </c>
      <c r="B15263" t="s">
        <v>35574</v>
      </c>
      <c r="C15263">
        <v>596</v>
      </c>
      <c r="D15263">
        <v>525</v>
      </c>
      <c r="E15263">
        <v>1577197196</v>
      </c>
      <c r="F15263">
        <v>26</v>
      </c>
      <c r="G15263">
        <v>0</v>
      </c>
      <c r="H15263" t="s">
        <v>20106</v>
      </c>
      <c r="I15263">
        <v>17272</v>
      </c>
      <c r="J15263" t="str">
        <f>VLOOKUP(E15263,DSSpieler!A:B,2,FALSE)</f>
        <v>Salamander</v>
      </c>
    </row>
    <row r="15264" spans="1:10" x14ac:dyDescent="0.25">
      <c r="A15264">
        <v>17273</v>
      </c>
      <c r="B15264">
        <v>1</v>
      </c>
      <c r="C15264">
        <v>401</v>
      </c>
      <c r="D15264">
        <v>426</v>
      </c>
      <c r="E15264">
        <v>8381239</v>
      </c>
      <c r="F15264">
        <v>1897</v>
      </c>
      <c r="G15264">
        <v>0</v>
      </c>
      <c r="H15264" t="s">
        <v>20107</v>
      </c>
      <c r="I15264">
        <v>17273</v>
      </c>
      <c r="J15264" t="str">
        <f>VLOOKUP(E15264,DSSpieler!A:B,2,FALSE)</f>
        <v>Dr.Deadpool</v>
      </c>
    </row>
    <row r="15265" spans="1:10" x14ac:dyDescent="0.25">
      <c r="A15265">
        <v>17274</v>
      </c>
      <c r="B15265" t="s">
        <v>531</v>
      </c>
      <c r="C15265">
        <v>605</v>
      </c>
      <c r="D15265">
        <v>562</v>
      </c>
      <c r="E15265">
        <v>0</v>
      </c>
      <c r="F15265">
        <v>65</v>
      </c>
      <c r="G15265">
        <v>0</v>
      </c>
      <c r="H15265" t="s">
        <v>20108</v>
      </c>
      <c r="I15265">
        <v>17274</v>
      </c>
      <c r="J15265" t="e">
        <f>VLOOKUP(E15265,DSSpieler!A:B,2,FALSE)</f>
        <v>#N/A</v>
      </c>
    </row>
    <row r="15266" spans="1:10" x14ac:dyDescent="0.25">
      <c r="A15266">
        <v>17277</v>
      </c>
      <c r="B15266" t="s">
        <v>35575</v>
      </c>
      <c r="C15266">
        <v>618</v>
      </c>
      <c r="D15266">
        <v>534</v>
      </c>
      <c r="E15266">
        <v>1577204923</v>
      </c>
      <c r="F15266">
        <v>98</v>
      </c>
      <c r="G15266">
        <v>0</v>
      </c>
      <c r="H15266" t="s">
        <v>20109</v>
      </c>
      <c r="I15266">
        <v>17277</v>
      </c>
      <c r="J15266" t="str">
        <f>VLOOKUP(E15266,DSSpieler!A:B,2,FALSE)</f>
        <v>Hülmes</v>
      </c>
    </row>
    <row r="15267" spans="1:10" x14ac:dyDescent="0.25">
      <c r="A15267">
        <v>17278</v>
      </c>
      <c r="B15267" t="s">
        <v>35576</v>
      </c>
      <c r="C15267">
        <v>422</v>
      </c>
      <c r="D15267">
        <v>402</v>
      </c>
      <c r="E15267">
        <v>7879748</v>
      </c>
      <c r="F15267">
        <v>2646</v>
      </c>
      <c r="G15267">
        <v>0</v>
      </c>
      <c r="H15267" t="s">
        <v>20110</v>
      </c>
      <c r="I15267">
        <v>17278</v>
      </c>
      <c r="J15267" t="str">
        <f>VLOOKUP(E15267,DSSpieler!A:B,2,FALSE)</f>
        <v>DocGonzo</v>
      </c>
    </row>
    <row r="15268" spans="1:10" x14ac:dyDescent="0.25">
      <c r="A15268">
        <v>17279</v>
      </c>
      <c r="B15268" t="s">
        <v>35577</v>
      </c>
      <c r="C15268">
        <v>427</v>
      </c>
      <c r="D15268">
        <v>470</v>
      </c>
      <c r="E15268">
        <v>1382913</v>
      </c>
      <c r="F15268">
        <v>2500</v>
      </c>
      <c r="G15268">
        <v>0</v>
      </c>
      <c r="H15268" t="s">
        <v>20111</v>
      </c>
      <c r="I15268">
        <v>17279</v>
      </c>
      <c r="J15268" t="str">
        <f>VLOOKUP(E15268,DSSpieler!A:B,2,FALSE)</f>
        <v>UnsMarky</v>
      </c>
    </row>
    <row r="15269" spans="1:10" x14ac:dyDescent="0.25">
      <c r="A15269">
        <v>17280</v>
      </c>
      <c r="B15269" t="s">
        <v>2604</v>
      </c>
      <c r="C15269">
        <v>475</v>
      </c>
      <c r="D15269">
        <v>384</v>
      </c>
      <c r="E15269">
        <v>1576917303</v>
      </c>
      <c r="F15269">
        <v>1959</v>
      </c>
      <c r="G15269">
        <v>0</v>
      </c>
      <c r="H15269" t="s">
        <v>20112</v>
      </c>
      <c r="I15269">
        <v>17280</v>
      </c>
      <c r="J15269" t="str">
        <f>VLOOKUP(E15269,DSSpieler!A:B,2,FALSE)</f>
        <v>MA6IC CU3E</v>
      </c>
    </row>
    <row r="15270" spans="1:10" x14ac:dyDescent="0.25">
      <c r="A15270">
        <v>17281</v>
      </c>
      <c r="B15270" t="s">
        <v>2605</v>
      </c>
      <c r="C15270">
        <v>600</v>
      </c>
      <c r="D15270">
        <v>432</v>
      </c>
      <c r="E15270">
        <v>1576618532</v>
      </c>
      <c r="F15270">
        <v>1687</v>
      </c>
      <c r="G15270">
        <v>0</v>
      </c>
      <c r="H15270" t="s">
        <v>20113</v>
      </c>
      <c r="I15270">
        <v>17281</v>
      </c>
      <c r="J15270" t="str">
        <f>VLOOKUP(E15270,DSSpieler!A:B,2,FALSE)</f>
        <v>Ossmos</v>
      </c>
    </row>
    <row r="15271" spans="1:10" x14ac:dyDescent="0.25">
      <c r="A15271">
        <v>17283</v>
      </c>
      <c r="B15271" t="s">
        <v>531</v>
      </c>
      <c r="C15271">
        <v>557</v>
      </c>
      <c r="D15271">
        <v>390</v>
      </c>
      <c r="E15271">
        <v>0</v>
      </c>
      <c r="F15271">
        <v>189</v>
      </c>
      <c r="G15271">
        <v>0</v>
      </c>
      <c r="H15271" t="s">
        <v>20114</v>
      </c>
      <c r="I15271">
        <v>17283</v>
      </c>
      <c r="J15271" t="e">
        <f>VLOOKUP(E15271,DSSpieler!A:B,2,FALSE)</f>
        <v>#N/A</v>
      </c>
    </row>
    <row r="15272" spans="1:10" x14ac:dyDescent="0.25">
      <c r="A15272">
        <v>17284</v>
      </c>
      <c r="B15272" t="s">
        <v>531</v>
      </c>
      <c r="C15272">
        <v>565</v>
      </c>
      <c r="D15272">
        <v>391</v>
      </c>
      <c r="E15272">
        <v>0</v>
      </c>
      <c r="F15272">
        <v>81</v>
      </c>
      <c r="G15272">
        <v>0</v>
      </c>
      <c r="H15272" t="s">
        <v>20115</v>
      </c>
      <c r="I15272">
        <v>17284</v>
      </c>
      <c r="J15272" t="e">
        <f>VLOOKUP(E15272,DSSpieler!A:B,2,FALSE)</f>
        <v>#N/A</v>
      </c>
    </row>
    <row r="15273" spans="1:10" x14ac:dyDescent="0.25">
      <c r="A15273">
        <v>17285</v>
      </c>
      <c r="B15273">
        <v>4</v>
      </c>
      <c r="C15273">
        <v>536</v>
      </c>
      <c r="D15273">
        <v>461</v>
      </c>
      <c r="E15273">
        <v>1577108749</v>
      </c>
      <c r="F15273">
        <v>1513</v>
      </c>
      <c r="G15273">
        <v>0</v>
      </c>
      <c r="H15273" t="s">
        <v>20116</v>
      </c>
      <c r="I15273">
        <v>17285</v>
      </c>
      <c r="J15273" t="str">
        <f>VLOOKUP(E15273,DSSpieler!A:B,2,FALSE)</f>
        <v>IVVI</v>
      </c>
    </row>
    <row r="15274" spans="1:10" x14ac:dyDescent="0.25">
      <c r="A15274">
        <v>17286</v>
      </c>
      <c r="B15274" t="s">
        <v>30839</v>
      </c>
      <c r="C15274">
        <v>376</v>
      </c>
      <c r="D15274">
        <v>467</v>
      </c>
      <c r="E15274">
        <v>1577205556</v>
      </c>
      <c r="F15274">
        <v>1917</v>
      </c>
      <c r="G15274">
        <v>0</v>
      </c>
      <c r="H15274" t="s">
        <v>20117</v>
      </c>
      <c r="I15274">
        <v>17286</v>
      </c>
      <c r="J15274" t="str">
        <f>VLOOKUP(E15274,DSSpieler!A:B,2,FALSE)</f>
        <v>Ch3eZuS</v>
      </c>
    </row>
    <row r="15275" spans="1:10" x14ac:dyDescent="0.25">
      <c r="A15275">
        <v>17288</v>
      </c>
      <c r="B15275" t="s">
        <v>531</v>
      </c>
      <c r="C15275">
        <v>498</v>
      </c>
      <c r="D15275">
        <v>624</v>
      </c>
      <c r="E15275">
        <v>0</v>
      </c>
      <c r="F15275">
        <v>55</v>
      </c>
      <c r="G15275">
        <v>0</v>
      </c>
      <c r="H15275" t="s">
        <v>20118</v>
      </c>
      <c r="I15275">
        <v>17288</v>
      </c>
      <c r="J15275" t="e">
        <f>VLOOKUP(E15275,DSSpieler!A:B,2,FALSE)</f>
        <v>#N/A</v>
      </c>
    </row>
    <row r="15276" spans="1:10" x14ac:dyDescent="0.25">
      <c r="A15276">
        <v>17290</v>
      </c>
      <c r="B15276" t="s">
        <v>2606</v>
      </c>
      <c r="C15276">
        <v>499</v>
      </c>
      <c r="D15276">
        <v>378</v>
      </c>
      <c r="E15276">
        <v>1577196362</v>
      </c>
      <c r="F15276">
        <v>2069</v>
      </c>
      <c r="G15276">
        <v>0</v>
      </c>
      <c r="H15276" t="s">
        <v>20119</v>
      </c>
      <c r="I15276">
        <v>17290</v>
      </c>
      <c r="J15276" t="str">
        <f>VLOOKUP(E15276,DSSpieler!A:B,2,FALSE)</f>
        <v>voitijaner</v>
      </c>
    </row>
    <row r="15277" spans="1:10" x14ac:dyDescent="0.25">
      <c r="A15277">
        <v>17291</v>
      </c>
      <c r="B15277" t="s">
        <v>531</v>
      </c>
      <c r="C15277">
        <v>620</v>
      </c>
      <c r="D15277">
        <v>522</v>
      </c>
      <c r="E15277">
        <v>0</v>
      </c>
      <c r="F15277">
        <v>147</v>
      </c>
      <c r="G15277">
        <v>0</v>
      </c>
      <c r="H15277" t="s">
        <v>20120</v>
      </c>
      <c r="I15277">
        <v>17291</v>
      </c>
      <c r="J15277" t="e">
        <f>VLOOKUP(E15277,DSSpieler!A:B,2,FALSE)</f>
        <v>#N/A</v>
      </c>
    </row>
    <row r="15278" spans="1:10" x14ac:dyDescent="0.25">
      <c r="A15278">
        <v>17292</v>
      </c>
      <c r="B15278" t="s">
        <v>35578</v>
      </c>
      <c r="C15278">
        <v>458</v>
      </c>
      <c r="D15278">
        <v>379</v>
      </c>
      <c r="E15278">
        <v>1577043826</v>
      </c>
      <c r="F15278">
        <v>2724</v>
      </c>
      <c r="G15278">
        <v>0</v>
      </c>
      <c r="H15278" t="s">
        <v>20121</v>
      </c>
      <c r="I15278">
        <v>17292</v>
      </c>
      <c r="J15278" t="str">
        <f>VLOOKUP(E15278,DSSpieler!A:B,2,FALSE)</f>
        <v>Jackbäm</v>
      </c>
    </row>
    <row r="15279" spans="1:10" x14ac:dyDescent="0.25">
      <c r="A15279">
        <v>17293</v>
      </c>
      <c r="B15279" t="s">
        <v>35579</v>
      </c>
      <c r="C15279">
        <v>380</v>
      </c>
      <c r="D15279">
        <v>538</v>
      </c>
      <c r="E15279">
        <v>9222372</v>
      </c>
      <c r="F15279">
        <v>1437</v>
      </c>
      <c r="G15279">
        <v>0</v>
      </c>
      <c r="H15279" t="s">
        <v>20122</v>
      </c>
      <c r="I15279">
        <v>17293</v>
      </c>
      <c r="J15279" t="str">
        <f>VLOOKUP(E15279,DSSpieler!A:B,2,FALSE)</f>
        <v>Troja987</v>
      </c>
    </row>
    <row r="15280" spans="1:10" x14ac:dyDescent="0.25">
      <c r="A15280">
        <v>17295</v>
      </c>
      <c r="B15280" t="s">
        <v>35580</v>
      </c>
      <c r="C15280">
        <v>589</v>
      </c>
      <c r="D15280">
        <v>412</v>
      </c>
      <c r="E15280">
        <v>3046026</v>
      </c>
      <c r="F15280">
        <v>2125</v>
      </c>
      <c r="G15280">
        <v>0</v>
      </c>
      <c r="H15280" t="s">
        <v>20123</v>
      </c>
      <c r="I15280">
        <v>17295</v>
      </c>
      <c r="J15280" t="str">
        <f>VLOOKUP(E15280,DSSpieler!A:B,2,FALSE)</f>
        <v>champ96</v>
      </c>
    </row>
    <row r="15281" spans="1:10" x14ac:dyDescent="0.25">
      <c r="A15281">
        <v>17296</v>
      </c>
      <c r="B15281" t="s">
        <v>1249</v>
      </c>
      <c r="C15281">
        <v>595</v>
      </c>
      <c r="D15281">
        <v>526</v>
      </c>
      <c r="E15281">
        <v>1577198541</v>
      </c>
      <c r="F15281">
        <v>2084</v>
      </c>
      <c r="G15281">
        <v>0</v>
      </c>
      <c r="H15281" t="s">
        <v>20124</v>
      </c>
      <c r="I15281">
        <v>17296</v>
      </c>
      <c r="J15281" t="str">
        <f>VLOOKUP(E15281,DSSpieler!A:B,2,FALSE)</f>
        <v>Fabo</v>
      </c>
    </row>
    <row r="15282" spans="1:10" x14ac:dyDescent="0.25">
      <c r="A15282">
        <v>17297</v>
      </c>
      <c r="B15282" t="s">
        <v>35581</v>
      </c>
      <c r="C15282">
        <v>484</v>
      </c>
      <c r="D15282">
        <v>395</v>
      </c>
      <c r="E15282">
        <v>1577090631</v>
      </c>
      <c r="F15282">
        <v>1831</v>
      </c>
      <c r="G15282">
        <v>0</v>
      </c>
      <c r="H15282" t="s">
        <v>20125</v>
      </c>
      <c r="I15282">
        <v>17297</v>
      </c>
      <c r="J15282" t="str">
        <f>VLOOKUP(E15282,DSSpieler!A:B,2,FALSE)</f>
        <v>Sven Lennister</v>
      </c>
    </row>
    <row r="15283" spans="1:10" x14ac:dyDescent="0.25">
      <c r="A15283">
        <v>17298</v>
      </c>
      <c r="B15283" t="s">
        <v>1082</v>
      </c>
      <c r="C15283">
        <v>623</v>
      </c>
      <c r="D15283">
        <v>505</v>
      </c>
      <c r="E15283">
        <v>1577201707</v>
      </c>
      <c r="F15283">
        <v>1834</v>
      </c>
      <c r="G15283">
        <v>0</v>
      </c>
      <c r="H15283" t="s">
        <v>20126</v>
      </c>
      <c r="I15283">
        <v>17298</v>
      </c>
      <c r="J15283" t="str">
        <f>VLOOKUP(E15283,DSSpieler!A:B,2,FALSE)</f>
        <v>C0hen93</v>
      </c>
    </row>
    <row r="15284" spans="1:10" x14ac:dyDescent="0.25">
      <c r="A15284">
        <v>17299</v>
      </c>
      <c r="B15284" t="s">
        <v>35582</v>
      </c>
      <c r="C15284">
        <v>432</v>
      </c>
      <c r="D15284">
        <v>396</v>
      </c>
      <c r="E15284">
        <v>10005787</v>
      </c>
      <c r="F15284">
        <v>83</v>
      </c>
      <c r="G15284">
        <v>0</v>
      </c>
      <c r="H15284" t="s">
        <v>20127</v>
      </c>
      <c r="I15284">
        <v>17299</v>
      </c>
      <c r="J15284" t="str">
        <f>VLOOKUP(E15284,DSSpieler!A:B,2,FALSE)</f>
        <v>yakumo23</v>
      </c>
    </row>
    <row r="15285" spans="1:10" x14ac:dyDescent="0.25">
      <c r="A15285">
        <v>17301</v>
      </c>
      <c r="B15285" t="s">
        <v>531</v>
      </c>
      <c r="C15285">
        <v>616</v>
      </c>
      <c r="D15285">
        <v>506</v>
      </c>
      <c r="E15285">
        <v>0</v>
      </c>
      <c r="F15285">
        <v>701</v>
      </c>
      <c r="G15285">
        <v>0</v>
      </c>
      <c r="H15285" t="s">
        <v>20128</v>
      </c>
      <c r="I15285">
        <v>17301</v>
      </c>
      <c r="J15285" t="e">
        <f>VLOOKUP(E15285,DSSpieler!A:B,2,FALSE)</f>
        <v>#N/A</v>
      </c>
    </row>
    <row r="15286" spans="1:10" x14ac:dyDescent="0.25">
      <c r="A15286">
        <v>17303</v>
      </c>
      <c r="B15286" t="s">
        <v>531</v>
      </c>
      <c r="C15286">
        <v>623</v>
      </c>
      <c r="D15286">
        <v>475</v>
      </c>
      <c r="E15286">
        <v>0</v>
      </c>
      <c r="F15286">
        <v>157</v>
      </c>
      <c r="G15286">
        <v>0</v>
      </c>
      <c r="H15286" t="s">
        <v>20129</v>
      </c>
      <c r="I15286">
        <v>17303</v>
      </c>
      <c r="J15286" t="e">
        <f>VLOOKUP(E15286,DSSpieler!A:B,2,FALSE)</f>
        <v>#N/A</v>
      </c>
    </row>
    <row r="15287" spans="1:10" x14ac:dyDescent="0.25">
      <c r="A15287">
        <v>17304</v>
      </c>
      <c r="B15287" t="s">
        <v>2607</v>
      </c>
      <c r="C15287">
        <v>628</v>
      </c>
      <c r="D15287">
        <v>509</v>
      </c>
      <c r="E15287">
        <v>1577201709</v>
      </c>
      <c r="F15287">
        <v>792</v>
      </c>
      <c r="G15287">
        <v>0</v>
      </c>
      <c r="H15287" t="s">
        <v>20130</v>
      </c>
      <c r="I15287">
        <v>17304</v>
      </c>
      <c r="J15287" t="str">
        <f>VLOOKUP(E15287,DSSpieler!A:B,2,FALSE)</f>
        <v>Timotsch</v>
      </c>
    </row>
    <row r="15288" spans="1:10" x14ac:dyDescent="0.25">
      <c r="A15288">
        <v>17305</v>
      </c>
      <c r="B15288" t="s">
        <v>531</v>
      </c>
      <c r="C15288">
        <v>483</v>
      </c>
      <c r="D15288">
        <v>623</v>
      </c>
      <c r="E15288">
        <v>0</v>
      </c>
      <c r="F15288">
        <v>51</v>
      </c>
      <c r="G15288">
        <v>0</v>
      </c>
      <c r="H15288" t="s">
        <v>20131</v>
      </c>
      <c r="I15288">
        <v>17305</v>
      </c>
      <c r="J15288" t="e">
        <f>VLOOKUP(E15288,DSSpieler!A:B,2,FALSE)</f>
        <v>#N/A</v>
      </c>
    </row>
    <row r="15289" spans="1:10" x14ac:dyDescent="0.25">
      <c r="A15289">
        <v>17306</v>
      </c>
      <c r="B15289" t="s">
        <v>531</v>
      </c>
      <c r="C15289">
        <v>390</v>
      </c>
      <c r="D15289">
        <v>446</v>
      </c>
      <c r="E15289">
        <v>0</v>
      </c>
      <c r="F15289">
        <v>63</v>
      </c>
      <c r="G15289">
        <v>0</v>
      </c>
      <c r="H15289" t="s">
        <v>20132</v>
      </c>
      <c r="I15289">
        <v>17306</v>
      </c>
      <c r="J15289" t="e">
        <f>VLOOKUP(E15289,DSSpieler!A:B,2,FALSE)</f>
        <v>#N/A</v>
      </c>
    </row>
    <row r="15290" spans="1:10" x14ac:dyDescent="0.25">
      <c r="A15290">
        <v>17307</v>
      </c>
      <c r="B15290" t="s">
        <v>35583</v>
      </c>
      <c r="C15290">
        <v>436</v>
      </c>
      <c r="D15290">
        <v>574</v>
      </c>
      <c r="E15290">
        <v>10165695</v>
      </c>
      <c r="F15290">
        <v>3812</v>
      </c>
      <c r="G15290">
        <v>0</v>
      </c>
      <c r="H15290" t="s">
        <v>20133</v>
      </c>
      <c r="I15290">
        <v>17307</v>
      </c>
      <c r="J15290" t="str">
        <f>VLOOKUP(E15290,DSSpieler!A:B,2,FALSE)</f>
        <v>Synethic</v>
      </c>
    </row>
    <row r="15291" spans="1:10" x14ac:dyDescent="0.25">
      <c r="A15291">
        <v>17308</v>
      </c>
      <c r="B15291" t="s">
        <v>531</v>
      </c>
      <c r="C15291">
        <v>416</v>
      </c>
      <c r="D15291">
        <v>411</v>
      </c>
      <c r="E15291">
        <v>0</v>
      </c>
      <c r="F15291">
        <v>280</v>
      </c>
      <c r="G15291">
        <v>0</v>
      </c>
      <c r="H15291" t="s">
        <v>20134</v>
      </c>
      <c r="I15291">
        <v>17308</v>
      </c>
      <c r="J15291" t="e">
        <f>VLOOKUP(E15291,DSSpieler!A:B,2,FALSE)</f>
        <v>#N/A</v>
      </c>
    </row>
    <row r="15292" spans="1:10" x14ac:dyDescent="0.25">
      <c r="A15292">
        <v>17309</v>
      </c>
      <c r="B15292" t="s">
        <v>35584</v>
      </c>
      <c r="C15292">
        <v>466</v>
      </c>
      <c r="D15292">
        <v>621</v>
      </c>
      <c r="E15292">
        <v>9964090</v>
      </c>
      <c r="F15292">
        <v>2963</v>
      </c>
      <c r="G15292">
        <v>0</v>
      </c>
      <c r="H15292" t="s">
        <v>20135</v>
      </c>
      <c r="I15292">
        <v>17309</v>
      </c>
      <c r="J15292" t="str">
        <f>VLOOKUP(E15292,DSSpieler!A:B,2,FALSE)</f>
        <v>Abelos</v>
      </c>
    </row>
    <row r="15293" spans="1:10" x14ac:dyDescent="0.25">
      <c r="A15293">
        <v>17310</v>
      </c>
      <c r="B15293" t="s">
        <v>2608</v>
      </c>
      <c r="C15293">
        <v>382</v>
      </c>
      <c r="D15293">
        <v>465</v>
      </c>
      <c r="E15293">
        <v>1577117902</v>
      </c>
      <c r="F15293">
        <v>383</v>
      </c>
      <c r="G15293">
        <v>0</v>
      </c>
      <c r="H15293" t="s">
        <v>20136</v>
      </c>
      <c r="I15293">
        <v>17310</v>
      </c>
      <c r="J15293" t="str">
        <f>VLOOKUP(E15293,DSSpieler!A:B,2,FALSE)</f>
        <v>Gabriana</v>
      </c>
    </row>
    <row r="15294" spans="1:10" x14ac:dyDescent="0.25">
      <c r="A15294">
        <v>17311</v>
      </c>
      <c r="B15294" t="s">
        <v>35585</v>
      </c>
      <c r="C15294">
        <v>610</v>
      </c>
      <c r="D15294">
        <v>559</v>
      </c>
      <c r="E15294">
        <v>1576267637</v>
      </c>
      <c r="F15294">
        <v>203</v>
      </c>
      <c r="G15294">
        <v>0</v>
      </c>
      <c r="H15294" t="s">
        <v>20137</v>
      </c>
      <c r="I15294">
        <v>17311</v>
      </c>
      <c r="J15294" t="str">
        <f>VLOOKUP(E15294,DSSpieler!A:B,2,FALSE)</f>
        <v>Königdererde</v>
      </c>
    </row>
    <row r="15295" spans="1:10" x14ac:dyDescent="0.25">
      <c r="A15295">
        <v>17312</v>
      </c>
      <c r="B15295" t="s">
        <v>35586</v>
      </c>
      <c r="C15295">
        <v>380</v>
      </c>
      <c r="D15295">
        <v>479</v>
      </c>
      <c r="E15295">
        <v>9368758</v>
      </c>
      <c r="F15295">
        <v>763</v>
      </c>
      <c r="G15295">
        <v>0</v>
      </c>
      <c r="H15295" t="s">
        <v>20138</v>
      </c>
      <c r="I15295">
        <v>17312</v>
      </c>
      <c r="J15295" t="str">
        <f>VLOOKUP(E15295,DSSpieler!A:B,2,FALSE)</f>
        <v>Tille1974</v>
      </c>
    </row>
    <row r="15296" spans="1:10" x14ac:dyDescent="0.25">
      <c r="A15296">
        <v>17313</v>
      </c>
      <c r="B15296" t="s">
        <v>531</v>
      </c>
      <c r="C15296">
        <v>612</v>
      </c>
      <c r="D15296">
        <v>444</v>
      </c>
      <c r="E15296">
        <v>0</v>
      </c>
      <c r="F15296">
        <v>168</v>
      </c>
      <c r="G15296">
        <v>0</v>
      </c>
      <c r="H15296" t="s">
        <v>20139</v>
      </c>
      <c r="I15296">
        <v>17313</v>
      </c>
      <c r="J15296" t="e">
        <f>VLOOKUP(E15296,DSSpieler!A:B,2,FALSE)</f>
        <v>#N/A</v>
      </c>
    </row>
    <row r="15297" spans="1:10" x14ac:dyDescent="0.25">
      <c r="A15297">
        <v>17314</v>
      </c>
      <c r="B15297" t="s">
        <v>531</v>
      </c>
      <c r="C15297">
        <v>456</v>
      </c>
      <c r="D15297">
        <v>384</v>
      </c>
      <c r="E15297">
        <v>0</v>
      </c>
      <c r="F15297">
        <v>344</v>
      </c>
      <c r="G15297">
        <v>0</v>
      </c>
      <c r="H15297" t="s">
        <v>20140</v>
      </c>
      <c r="I15297">
        <v>17314</v>
      </c>
      <c r="J15297" t="e">
        <f>VLOOKUP(E15297,DSSpieler!A:B,2,FALSE)</f>
        <v>#N/A</v>
      </c>
    </row>
    <row r="15298" spans="1:10" x14ac:dyDescent="0.25">
      <c r="A15298">
        <v>17315</v>
      </c>
      <c r="B15298" t="s">
        <v>30476</v>
      </c>
      <c r="C15298">
        <v>472</v>
      </c>
      <c r="D15298">
        <v>382</v>
      </c>
      <c r="E15298">
        <v>1576946186</v>
      </c>
      <c r="F15298">
        <v>173</v>
      </c>
      <c r="G15298">
        <v>0</v>
      </c>
      <c r="H15298" t="s">
        <v>20141</v>
      </c>
      <c r="I15298">
        <v>17315</v>
      </c>
      <c r="J15298" t="str">
        <f>VLOOKUP(E15298,DSSpieler!A:B,2,FALSE)</f>
        <v>Lord York</v>
      </c>
    </row>
    <row r="15299" spans="1:10" x14ac:dyDescent="0.25">
      <c r="A15299">
        <v>17316</v>
      </c>
      <c r="B15299" t="s">
        <v>531</v>
      </c>
      <c r="C15299">
        <v>546</v>
      </c>
      <c r="D15299">
        <v>510</v>
      </c>
      <c r="E15299">
        <v>0</v>
      </c>
      <c r="F15299">
        <v>169</v>
      </c>
      <c r="G15299">
        <v>0</v>
      </c>
      <c r="H15299" t="s">
        <v>20142</v>
      </c>
      <c r="I15299">
        <v>17316</v>
      </c>
      <c r="J15299" t="e">
        <f>VLOOKUP(E15299,DSSpieler!A:B,2,FALSE)</f>
        <v>#N/A</v>
      </c>
    </row>
    <row r="15300" spans="1:10" x14ac:dyDescent="0.25">
      <c r="A15300">
        <v>17317</v>
      </c>
      <c r="B15300">
        <v>2</v>
      </c>
      <c r="C15300">
        <v>490</v>
      </c>
      <c r="D15300">
        <v>497</v>
      </c>
      <c r="E15300">
        <v>1577194538</v>
      </c>
      <c r="F15300">
        <v>1377</v>
      </c>
      <c r="G15300">
        <v>0</v>
      </c>
      <c r="H15300" t="s">
        <v>20143</v>
      </c>
      <c r="I15300">
        <v>17317</v>
      </c>
      <c r="J15300" t="str">
        <f>VLOOKUP(E15300,DSSpieler!A:B,2,FALSE)</f>
        <v>Dietach</v>
      </c>
    </row>
    <row r="15301" spans="1:10" x14ac:dyDescent="0.25">
      <c r="A15301">
        <v>17318</v>
      </c>
      <c r="B15301" t="s">
        <v>35587</v>
      </c>
      <c r="C15301">
        <v>573</v>
      </c>
      <c r="D15301">
        <v>466</v>
      </c>
      <c r="E15301">
        <v>7631574</v>
      </c>
      <c r="F15301">
        <v>1156</v>
      </c>
      <c r="G15301">
        <v>0</v>
      </c>
      <c r="H15301" t="s">
        <v>20144</v>
      </c>
      <c r="I15301">
        <v>17318</v>
      </c>
      <c r="J15301" t="str">
        <f>VLOOKUP(E15301,DSSpieler!A:B,2,FALSE)</f>
        <v>Silvanus.Lupus</v>
      </c>
    </row>
    <row r="15302" spans="1:10" x14ac:dyDescent="0.25">
      <c r="A15302">
        <v>17319</v>
      </c>
      <c r="B15302" t="s">
        <v>2609</v>
      </c>
      <c r="C15302">
        <v>624</v>
      </c>
      <c r="D15302">
        <v>497</v>
      </c>
      <c r="E15302">
        <v>1577205569</v>
      </c>
      <c r="F15302">
        <v>1514</v>
      </c>
      <c r="G15302">
        <v>0</v>
      </c>
      <c r="H15302" t="s">
        <v>20145</v>
      </c>
      <c r="I15302">
        <v>17319</v>
      </c>
      <c r="J15302" t="str">
        <f>VLOOKUP(E15302,DSSpieler!A:B,2,FALSE)</f>
        <v>Ugandagandalf</v>
      </c>
    </row>
    <row r="15303" spans="1:10" x14ac:dyDescent="0.25">
      <c r="A15303">
        <v>17320</v>
      </c>
      <c r="B15303" t="s">
        <v>531</v>
      </c>
      <c r="C15303">
        <v>624</v>
      </c>
      <c r="D15303">
        <v>525</v>
      </c>
      <c r="E15303">
        <v>0</v>
      </c>
      <c r="F15303">
        <v>72</v>
      </c>
      <c r="G15303">
        <v>0</v>
      </c>
      <c r="H15303" t="s">
        <v>20146</v>
      </c>
      <c r="I15303">
        <v>17320</v>
      </c>
      <c r="J15303" t="e">
        <f>VLOOKUP(E15303,DSSpieler!A:B,2,FALSE)</f>
        <v>#N/A</v>
      </c>
    </row>
    <row r="15304" spans="1:10" x14ac:dyDescent="0.25">
      <c r="A15304">
        <v>17321</v>
      </c>
      <c r="B15304" t="s">
        <v>531</v>
      </c>
      <c r="C15304">
        <v>624</v>
      </c>
      <c r="D15304">
        <v>485</v>
      </c>
      <c r="E15304">
        <v>0</v>
      </c>
      <c r="F15304">
        <v>101</v>
      </c>
      <c r="G15304">
        <v>0</v>
      </c>
      <c r="H15304" t="s">
        <v>20147</v>
      </c>
      <c r="I15304">
        <v>17321</v>
      </c>
      <c r="J15304" t="e">
        <f>VLOOKUP(E15304,DSSpieler!A:B,2,FALSE)</f>
        <v>#N/A</v>
      </c>
    </row>
    <row r="15305" spans="1:10" x14ac:dyDescent="0.25">
      <c r="A15305">
        <v>17322</v>
      </c>
      <c r="B15305" t="e">
        <f>-QT-secret+178</f>
        <v>#NAME?</v>
      </c>
      <c r="C15305">
        <v>548</v>
      </c>
      <c r="D15305">
        <v>615</v>
      </c>
      <c r="E15305">
        <v>105132</v>
      </c>
      <c r="F15305">
        <v>1087</v>
      </c>
      <c r="G15305">
        <v>0</v>
      </c>
      <c r="H15305" t="s">
        <v>20148</v>
      </c>
      <c r="I15305">
        <v>17322</v>
      </c>
      <c r="J15305" t="str">
        <f>VLOOKUP(E15305,DSSpieler!A:B,2,FALSE)</f>
        <v>-QT-</v>
      </c>
    </row>
    <row r="15306" spans="1:10" x14ac:dyDescent="0.25">
      <c r="A15306">
        <v>17323</v>
      </c>
      <c r="B15306" t="s">
        <v>2610</v>
      </c>
      <c r="C15306">
        <v>570</v>
      </c>
      <c r="D15306">
        <v>584</v>
      </c>
      <c r="E15306">
        <v>1577205576</v>
      </c>
      <c r="F15306">
        <v>786</v>
      </c>
      <c r="G15306">
        <v>0</v>
      </c>
      <c r="H15306" t="s">
        <v>20149</v>
      </c>
      <c r="I15306">
        <v>17323</v>
      </c>
      <c r="J15306" t="str">
        <f>VLOOKUP(E15306,DSSpieler!A:B,2,FALSE)</f>
        <v>RitterM93</v>
      </c>
    </row>
    <row r="15307" spans="1:10" x14ac:dyDescent="0.25">
      <c r="A15307">
        <v>17324</v>
      </c>
      <c r="B15307" t="s">
        <v>531</v>
      </c>
      <c r="C15307">
        <v>486</v>
      </c>
      <c r="D15307">
        <v>623</v>
      </c>
      <c r="E15307">
        <v>0</v>
      </c>
      <c r="F15307">
        <v>105</v>
      </c>
      <c r="G15307">
        <v>0</v>
      </c>
      <c r="H15307" t="s">
        <v>20150</v>
      </c>
      <c r="I15307">
        <v>17324</v>
      </c>
      <c r="J15307" t="e">
        <f>VLOOKUP(E15307,DSSpieler!A:B,2,FALSE)</f>
        <v>#N/A</v>
      </c>
    </row>
    <row r="15308" spans="1:10" x14ac:dyDescent="0.25">
      <c r="A15308">
        <v>17325</v>
      </c>
      <c r="B15308" t="s">
        <v>35588</v>
      </c>
      <c r="C15308">
        <v>460</v>
      </c>
      <c r="D15308">
        <v>620</v>
      </c>
      <c r="E15308">
        <v>7762409</v>
      </c>
      <c r="F15308">
        <v>2888</v>
      </c>
      <c r="G15308">
        <v>0</v>
      </c>
      <c r="H15308" t="s">
        <v>20151</v>
      </c>
      <c r="I15308">
        <v>17325</v>
      </c>
      <c r="J15308" t="str">
        <f>VLOOKUP(E15308,DSSpieler!A:B,2,FALSE)</f>
        <v>Immer-im-stress</v>
      </c>
    </row>
    <row r="15309" spans="1:10" x14ac:dyDescent="0.25">
      <c r="A15309">
        <v>17327</v>
      </c>
      <c r="B15309" t="s">
        <v>35589</v>
      </c>
      <c r="C15309">
        <v>486</v>
      </c>
      <c r="D15309">
        <v>585</v>
      </c>
      <c r="E15309">
        <v>1577175788</v>
      </c>
      <c r="F15309">
        <v>3083</v>
      </c>
      <c r="G15309">
        <v>0</v>
      </c>
      <c r="H15309" t="s">
        <v>20152</v>
      </c>
      <c r="I15309">
        <v>17327</v>
      </c>
      <c r="J15309" t="str">
        <f>VLOOKUP(E15309,DSSpieler!A:B,2,FALSE)</f>
        <v>LeckaKölsch</v>
      </c>
    </row>
    <row r="15310" spans="1:10" x14ac:dyDescent="0.25">
      <c r="A15310">
        <v>17328</v>
      </c>
      <c r="B15310" t="s">
        <v>2611</v>
      </c>
      <c r="C15310">
        <v>376</v>
      </c>
      <c r="D15310">
        <v>528</v>
      </c>
      <c r="E15310">
        <v>1577191272</v>
      </c>
      <c r="F15310">
        <v>241</v>
      </c>
      <c r="G15310">
        <v>0</v>
      </c>
      <c r="H15310" t="s">
        <v>20153</v>
      </c>
      <c r="I15310">
        <v>17328</v>
      </c>
      <c r="J15310" t="str">
        <f>VLOOKUP(E15310,DSSpieler!A:B,2,FALSE)</f>
        <v>PTL1994</v>
      </c>
    </row>
    <row r="15311" spans="1:10" x14ac:dyDescent="0.25">
      <c r="A15311">
        <v>17329</v>
      </c>
      <c r="B15311" t="s">
        <v>2612</v>
      </c>
      <c r="C15311">
        <v>380</v>
      </c>
      <c r="D15311">
        <v>523</v>
      </c>
      <c r="E15311">
        <v>1577203577</v>
      </c>
      <c r="F15311">
        <v>2018</v>
      </c>
      <c r="G15311">
        <v>0</v>
      </c>
      <c r="H15311" t="s">
        <v>20154</v>
      </c>
      <c r="I15311">
        <v>17329</v>
      </c>
      <c r="J15311" t="str">
        <f>VLOOKUP(E15311,DSSpieler!A:B,2,FALSE)</f>
        <v>boone</v>
      </c>
    </row>
    <row r="15312" spans="1:10" x14ac:dyDescent="0.25">
      <c r="A15312">
        <v>17330</v>
      </c>
      <c r="B15312" t="s">
        <v>531</v>
      </c>
      <c r="C15312">
        <v>416</v>
      </c>
      <c r="D15312">
        <v>590</v>
      </c>
      <c r="E15312">
        <v>0</v>
      </c>
      <c r="F15312">
        <v>162</v>
      </c>
      <c r="G15312">
        <v>0</v>
      </c>
      <c r="H15312" t="s">
        <v>20155</v>
      </c>
      <c r="I15312">
        <v>17330</v>
      </c>
      <c r="J15312" t="e">
        <f>VLOOKUP(E15312,DSSpieler!A:B,2,FALSE)</f>
        <v>#N/A</v>
      </c>
    </row>
    <row r="15313" spans="1:10" x14ac:dyDescent="0.25">
      <c r="A15313">
        <v>17331</v>
      </c>
      <c r="B15313" t="s">
        <v>531</v>
      </c>
      <c r="C15313">
        <v>436</v>
      </c>
      <c r="D15313">
        <v>607</v>
      </c>
      <c r="E15313">
        <v>0</v>
      </c>
      <c r="F15313">
        <v>464</v>
      </c>
      <c r="G15313">
        <v>0</v>
      </c>
      <c r="H15313" t="s">
        <v>20156</v>
      </c>
      <c r="I15313">
        <v>17331</v>
      </c>
      <c r="J15313" t="e">
        <f>VLOOKUP(E15313,DSSpieler!A:B,2,FALSE)</f>
        <v>#N/A</v>
      </c>
    </row>
    <row r="15314" spans="1:10" x14ac:dyDescent="0.25">
      <c r="A15314">
        <v>17332</v>
      </c>
      <c r="B15314" t="s">
        <v>531</v>
      </c>
      <c r="C15314">
        <v>417</v>
      </c>
      <c r="D15314">
        <v>596</v>
      </c>
      <c r="E15314">
        <v>0</v>
      </c>
      <c r="F15314">
        <v>174</v>
      </c>
      <c r="G15314">
        <v>0</v>
      </c>
      <c r="H15314" t="s">
        <v>20157</v>
      </c>
      <c r="I15314">
        <v>17332</v>
      </c>
      <c r="J15314" t="e">
        <f>VLOOKUP(E15314,DSSpieler!A:B,2,FALSE)</f>
        <v>#N/A</v>
      </c>
    </row>
    <row r="15315" spans="1:10" x14ac:dyDescent="0.25">
      <c r="A15315">
        <v>17333</v>
      </c>
      <c r="B15315" t="s">
        <v>2613</v>
      </c>
      <c r="C15315">
        <v>461</v>
      </c>
      <c r="D15315">
        <v>582</v>
      </c>
      <c r="E15315">
        <v>1576575565</v>
      </c>
      <c r="F15315">
        <v>2798</v>
      </c>
      <c r="G15315">
        <v>0</v>
      </c>
      <c r="H15315" t="s">
        <v>20158</v>
      </c>
      <c r="I15315">
        <v>17333</v>
      </c>
      <c r="J15315" t="str">
        <f>VLOOKUP(E15315,DSSpieler!A:B,2,FALSE)</f>
        <v>0rpan</v>
      </c>
    </row>
    <row r="15316" spans="1:10" x14ac:dyDescent="0.25">
      <c r="A15316">
        <v>17334</v>
      </c>
      <c r="B15316" t="s">
        <v>2614</v>
      </c>
      <c r="C15316">
        <v>549</v>
      </c>
      <c r="D15316">
        <v>616</v>
      </c>
      <c r="E15316">
        <v>1576816814</v>
      </c>
      <c r="F15316">
        <v>354</v>
      </c>
      <c r="G15316">
        <v>0</v>
      </c>
      <c r="H15316" t="s">
        <v>20159</v>
      </c>
      <c r="I15316">
        <v>17334</v>
      </c>
      <c r="J15316" t="str">
        <f>VLOOKUP(E15316,DSSpieler!A:B,2,FALSE)</f>
        <v>schiffenberg</v>
      </c>
    </row>
    <row r="15317" spans="1:10" x14ac:dyDescent="0.25">
      <c r="A15317">
        <v>17335</v>
      </c>
      <c r="B15317" t="s">
        <v>531</v>
      </c>
      <c r="C15317">
        <v>466</v>
      </c>
      <c r="D15317">
        <v>586</v>
      </c>
      <c r="E15317">
        <v>0</v>
      </c>
      <c r="F15317">
        <v>108</v>
      </c>
      <c r="G15317">
        <v>0</v>
      </c>
      <c r="H15317" t="s">
        <v>20160</v>
      </c>
      <c r="I15317">
        <v>17335</v>
      </c>
      <c r="J15317" t="e">
        <f>VLOOKUP(E15317,DSSpieler!A:B,2,FALSE)</f>
        <v>#N/A</v>
      </c>
    </row>
    <row r="15318" spans="1:10" x14ac:dyDescent="0.25">
      <c r="A15318">
        <v>17336</v>
      </c>
      <c r="B15318" t="e">
        <f>-3-+Dresden</f>
        <v>#NAME?</v>
      </c>
      <c r="C15318">
        <v>396</v>
      </c>
      <c r="D15318">
        <v>535</v>
      </c>
      <c r="E15318">
        <v>1576694124</v>
      </c>
      <c r="F15318">
        <v>3126</v>
      </c>
      <c r="G15318">
        <v>0</v>
      </c>
      <c r="H15318" t="s">
        <v>20161</v>
      </c>
      <c r="I15318">
        <v>17336</v>
      </c>
      <c r="J15318" t="str">
        <f>VLOOKUP(E15318,DSSpieler!A:B,2,FALSE)</f>
        <v>Trinfect</v>
      </c>
    </row>
    <row r="15319" spans="1:10" x14ac:dyDescent="0.25">
      <c r="A15319">
        <v>17338</v>
      </c>
      <c r="B15319" t="s">
        <v>531</v>
      </c>
      <c r="C15319">
        <v>457</v>
      </c>
      <c r="D15319">
        <v>385</v>
      </c>
      <c r="E15319">
        <v>0</v>
      </c>
      <c r="F15319">
        <v>126</v>
      </c>
      <c r="G15319">
        <v>0</v>
      </c>
      <c r="H15319" t="s">
        <v>20162</v>
      </c>
      <c r="I15319">
        <v>17338</v>
      </c>
      <c r="J15319" t="e">
        <f>VLOOKUP(E15319,DSSpieler!A:B,2,FALSE)</f>
        <v>#N/A</v>
      </c>
    </row>
    <row r="15320" spans="1:10" x14ac:dyDescent="0.25">
      <c r="A15320">
        <v>17339</v>
      </c>
      <c r="B15320" t="s">
        <v>531</v>
      </c>
      <c r="C15320">
        <v>374</v>
      </c>
      <c r="D15320">
        <v>496</v>
      </c>
      <c r="E15320">
        <v>0</v>
      </c>
      <c r="F15320">
        <v>137</v>
      </c>
      <c r="G15320">
        <v>0</v>
      </c>
      <c r="H15320" t="s">
        <v>20163</v>
      </c>
      <c r="I15320">
        <v>17339</v>
      </c>
      <c r="J15320" t="e">
        <f>VLOOKUP(E15320,DSSpieler!A:B,2,FALSE)</f>
        <v>#N/A</v>
      </c>
    </row>
    <row r="15321" spans="1:10" x14ac:dyDescent="0.25">
      <c r="A15321">
        <v>17340</v>
      </c>
      <c r="B15321" t="s">
        <v>531</v>
      </c>
      <c r="C15321">
        <v>566</v>
      </c>
      <c r="D15321">
        <v>392</v>
      </c>
      <c r="E15321">
        <v>0</v>
      </c>
      <c r="F15321">
        <v>131</v>
      </c>
      <c r="G15321">
        <v>0</v>
      </c>
      <c r="H15321" t="s">
        <v>20164</v>
      </c>
      <c r="I15321">
        <v>17340</v>
      </c>
      <c r="J15321" t="e">
        <f>VLOOKUP(E15321,DSSpieler!A:B,2,FALSE)</f>
        <v>#N/A</v>
      </c>
    </row>
    <row r="15322" spans="1:10" x14ac:dyDescent="0.25">
      <c r="A15322">
        <v>17341</v>
      </c>
      <c r="B15322" t="s">
        <v>531</v>
      </c>
      <c r="C15322">
        <v>607</v>
      </c>
      <c r="D15322">
        <v>565</v>
      </c>
      <c r="E15322">
        <v>0</v>
      </c>
      <c r="F15322">
        <v>50</v>
      </c>
      <c r="G15322">
        <v>0</v>
      </c>
      <c r="H15322" t="s">
        <v>20165</v>
      </c>
      <c r="I15322">
        <v>17341</v>
      </c>
      <c r="J15322" t="e">
        <f>VLOOKUP(E15322,DSSpieler!A:B,2,FALSE)</f>
        <v>#N/A</v>
      </c>
    </row>
    <row r="15323" spans="1:10" x14ac:dyDescent="0.25">
      <c r="A15323">
        <v>17342</v>
      </c>
      <c r="B15323" t="s">
        <v>595</v>
      </c>
      <c r="C15323">
        <v>434</v>
      </c>
      <c r="D15323">
        <v>564</v>
      </c>
      <c r="E15323">
        <v>1481312</v>
      </c>
      <c r="F15323">
        <v>543</v>
      </c>
      <c r="G15323">
        <v>0</v>
      </c>
      <c r="H15323" t="s">
        <v>20166</v>
      </c>
      <c r="I15323">
        <v>17342</v>
      </c>
      <c r="J15323" t="str">
        <f>VLOOKUP(E15323,DSSpieler!A:B,2,FALSE)</f>
        <v>Pipimanns</v>
      </c>
    </row>
    <row r="15324" spans="1:10" x14ac:dyDescent="0.25">
      <c r="A15324">
        <v>17343</v>
      </c>
      <c r="B15324" t="s">
        <v>2615</v>
      </c>
      <c r="C15324">
        <v>535</v>
      </c>
      <c r="D15324">
        <v>576</v>
      </c>
      <c r="E15324">
        <v>2976969</v>
      </c>
      <c r="F15324">
        <v>822</v>
      </c>
      <c r="G15324">
        <v>0</v>
      </c>
      <c r="H15324" t="s">
        <v>20167</v>
      </c>
      <c r="I15324">
        <v>17343</v>
      </c>
      <c r="J15324" t="str">
        <f>VLOOKUP(E15324,DSSpieler!A:B,2,FALSE)</f>
        <v>Coco der Schreckliche</v>
      </c>
    </row>
    <row r="15325" spans="1:10" x14ac:dyDescent="0.25">
      <c r="A15325">
        <v>17344</v>
      </c>
      <c r="B15325" t="s">
        <v>2616</v>
      </c>
      <c r="C15325">
        <v>391</v>
      </c>
      <c r="D15325">
        <v>562</v>
      </c>
      <c r="E15325">
        <v>1577196267</v>
      </c>
      <c r="F15325">
        <v>153</v>
      </c>
      <c r="G15325">
        <v>0</v>
      </c>
      <c r="H15325" t="s">
        <v>20168</v>
      </c>
      <c r="I15325">
        <v>17344</v>
      </c>
      <c r="J15325" t="str">
        <f>VLOOKUP(E15325,DSSpieler!A:B,2,FALSE)</f>
        <v>Playboy32</v>
      </c>
    </row>
    <row r="15326" spans="1:10" x14ac:dyDescent="0.25">
      <c r="A15326">
        <v>17345</v>
      </c>
      <c r="B15326" t="s">
        <v>531</v>
      </c>
      <c r="C15326">
        <v>608</v>
      </c>
      <c r="D15326">
        <v>561</v>
      </c>
      <c r="E15326">
        <v>0</v>
      </c>
      <c r="F15326">
        <v>660</v>
      </c>
      <c r="G15326">
        <v>0</v>
      </c>
      <c r="H15326" t="s">
        <v>20169</v>
      </c>
      <c r="I15326">
        <v>17345</v>
      </c>
      <c r="J15326" t="e">
        <f>VLOOKUP(E15326,DSSpieler!A:B,2,FALSE)</f>
        <v>#N/A</v>
      </c>
    </row>
    <row r="15327" spans="1:10" x14ac:dyDescent="0.25">
      <c r="A15327">
        <v>17346</v>
      </c>
      <c r="B15327" t="s">
        <v>2617</v>
      </c>
      <c r="C15327">
        <v>438</v>
      </c>
      <c r="D15327">
        <v>391</v>
      </c>
      <c r="E15327">
        <v>1577201765</v>
      </c>
      <c r="F15327">
        <v>1404</v>
      </c>
      <c r="G15327">
        <v>0</v>
      </c>
      <c r="H15327" t="s">
        <v>20170</v>
      </c>
      <c r="I15327">
        <v>17346</v>
      </c>
      <c r="J15327" t="str">
        <f>VLOOKUP(E15327,DSSpieler!A:B,2,FALSE)</f>
        <v>back to the roots</v>
      </c>
    </row>
    <row r="15328" spans="1:10" x14ac:dyDescent="0.25">
      <c r="A15328">
        <v>17347</v>
      </c>
      <c r="B15328" t="s">
        <v>2618</v>
      </c>
      <c r="C15328">
        <v>385</v>
      </c>
      <c r="D15328">
        <v>444</v>
      </c>
      <c r="E15328">
        <v>2931339</v>
      </c>
      <c r="F15328">
        <v>1955</v>
      </c>
      <c r="G15328">
        <v>0</v>
      </c>
      <c r="H15328" t="s">
        <v>20171</v>
      </c>
      <c r="I15328">
        <v>17347</v>
      </c>
      <c r="J15328" t="str">
        <f>VLOOKUP(E15328,DSSpieler!A:B,2,FALSE)</f>
        <v>Warrior Raphael</v>
      </c>
    </row>
    <row r="15329" spans="1:10" x14ac:dyDescent="0.25">
      <c r="A15329">
        <v>17348</v>
      </c>
      <c r="B15329" t="s">
        <v>2619</v>
      </c>
      <c r="C15329">
        <v>596</v>
      </c>
      <c r="D15329">
        <v>536</v>
      </c>
      <c r="E15329">
        <v>1577186741</v>
      </c>
      <c r="F15329">
        <v>52</v>
      </c>
      <c r="G15329">
        <v>0</v>
      </c>
      <c r="H15329" t="s">
        <v>20172</v>
      </c>
      <c r="I15329">
        <v>17348</v>
      </c>
      <c r="J15329" t="str">
        <f>VLOOKUP(E15329,DSSpieler!A:B,2,FALSE)</f>
        <v>Lederriemen</v>
      </c>
    </row>
    <row r="15330" spans="1:10" x14ac:dyDescent="0.25">
      <c r="A15330">
        <v>17350</v>
      </c>
      <c r="B15330" t="s">
        <v>531</v>
      </c>
      <c r="C15330">
        <v>617</v>
      </c>
      <c r="D15330">
        <v>537</v>
      </c>
      <c r="E15330">
        <v>0</v>
      </c>
      <c r="F15330">
        <v>140</v>
      </c>
      <c r="G15330">
        <v>0</v>
      </c>
      <c r="H15330" t="s">
        <v>20173</v>
      </c>
      <c r="I15330">
        <v>17350</v>
      </c>
      <c r="J15330" t="e">
        <f>VLOOKUP(E15330,DSSpieler!A:B,2,FALSE)</f>
        <v>#N/A</v>
      </c>
    </row>
    <row r="15331" spans="1:10" x14ac:dyDescent="0.25">
      <c r="A15331">
        <v>17351</v>
      </c>
      <c r="B15331" t="s">
        <v>32826</v>
      </c>
      <c r="C15331">
        <v>401</v>
      </c>
      <c r="D15331">
        <v>543</v>
      </c>
      <c r="E15331">
        <v>1577070657</v>
      </c>
      <c r="F15331">
        <v>2625</v>
      </c>
      <c r="G15331">
        <v>0</v>
      </c>
      <c r="H15331" t="s">
        <v>20174</v>
      </c>
      <c r="I15331">
        <v>17351</v>
      </c>
      <c r="J15331" t="str">
        <f>VLOOKUP(E15331,DSSpieler!A:B,2,FALSE)</f>
        <v>A.M.F.</v>
      </c>
    </row>
    <row r="15332" spans="1:10" x14ac:dyDescent="0.25">
      <c r="A15332">
        <v>17352</v>
      </c>
      <c r="B15332">
        <v>4</v>
      </c>
      <c r="C15332">
        <v>468</v>
      </c>
      <c r="D15332">
        <v>522</v>
      </c>
      <c r="E15332">
        <v>2135947</v>
      </c>
      <c r="F15332">
        <v>2134</v>
      </c>
      <c r="G15332">
        <v>0</v>
      </c>
      <c r="H15332" t="s">
        <v>20175</v>
      </c>
      <c r="I15332">
        <v>17352</v>
      </c>
      <c r="J15332" t="str">
        <f>VLOOKUP(E15332,DSSpieler!A:B,2,FALSE)</f>
        <v>Tankred Antiochensis</v>
      </c>
    </row>
    <row r="15333" spans="1:10" x14ac:dyDescent="0.25">
      <c r="A15333">
        <v>17353</v>
      </c>
      <c r="B15333" t="s">
        <v>531</v>
      </c>
      <c r="C15333">
        <v>596</v>
      </c>
      <c r="D15333">
        <v>577</v>
      </c>
      <c r="E15333">
        <v>0</v>
      </c>
      <c r="F15333">
        <v>109</v>
      </c>
      <c r="G15333">
        <v>0</v>
      </c>
      <c r="H15333" t="s">
        <v>20176</v>
      </c>
      <c r="I15333">
        <v>17353</v>
      </c>
      <c r="J15333" t="e">
        <f>VLOOKUP(E15333,DSSpieler!A:B,2,FALSE)</f>
        <v>#N/A</v>
      </c>
    </row>
    <row r="15334" spans="1:10" x14ac:dyDescent="0.25">
      <c r="A15334">
        <v>17354</v>
      </c>
      <c r="B15334" t="s">
        <v>531</v>
      </c>
      <c r="C15334">
        <v>620</v>
      </c>
      <c r="D15334">
        <v>458</v>
      </c>
      <c r="E15334">
        <v>0</v>
      </c>
      <c r="F15334">
        <v>50</v>
      </c>
      <c r="G15334">
        <v>0</v>
      </c>
      <c r="H15334" t="s">
        <v>20177</v>
      </c>
      <c r="I15334">
        <v>17354</v>
      </c>
      <c r="J15334" t="e">
        <f>VLOOKUP(E15334,DSSpieler!A:B,2,FALSE)</f>
        <v>#N/A</v>
      </c>
    </row>
    <row r="15335" spans="1:10" x14ac:dyDescent="0.25">
      <c r="A15335">
        <v>17355</v>
      </c>
      <c r="B15335" t="s">
        <v>531</v>
      </c>
      <c r="C15335">
        <v>621</v>
      </c>
      <c r="D15335">
        <v>479</v>
      </c>
      <c r="E15335">
        <v>0</v>
      </c>
      <c r="F15335">
        <v>122</v>
      </c>
      <c r="G15335">
        <v>0</v>
      </c>
      <c r="H15335" t="s">
        <v>20178</v>
      </c>
      <c r="I15335">
        <v>17355</v>
      </c>
      <c r="J15335" t="e">
        <f>VLOOKUP(E15335,DSSpieler!A:B,2,FALSE)</f>
        <v>#N/A</v>
      </c>
    </row>
    <row r="15336" spans="1:10" x14ac:dyDescent="0.25">
      <c r="A15336">
        <v>17356</v>
      </c>
      <c r="B15336" t="s">
        <v>2620</v>
      </c>
      <c r="C15336">
        <v>582</v>
      </c>
      <c r="D15336">
        <v>403</v>
      </c>
      <c r="E15336">
        <v>10164835</v>
      </c>
      <c r="F15336">
        <v>28</v>
      </c>
      <c r="G15336">
        <v>0</v>
      </c>
      <c r="H15336" t="s">
        <v>20179</v>
      </c>
      <c r="I15336">
        <v>17356</v>
      </c>
      <c r="J15336" t="str">
        <f>VLOOKUP(E15336,DSSpieler!A:B,2,FALSE)</f>
        <v>dodo3011</v>
      </c>
    </row>
    <row r="15337" spans="1:10" x14ac:dyDescent="0.25">
      <c r="A15337">
        <v>17358</v>
      </c>
      <c r="B15337" t="s">
        <v>531</v>
      </c>
      <c r="C15337">
        <v>373</v>
      </c>
      <c r="D15337">
        <v>495</v>
      </c>
      <c r="E15337">
        <v>0</v>
      </c>
      <c r="F15337">
        <v>56</v>
      </c>
      <c r="G15337">
        <v>0</v>
      </c>
      <c r="H15337" t="s">
        <v>20180</v>
      </c>
      <c r="I15337">
        <v>17358</v>
      </c>
      <c r="J15337" t="e">
        <f>VLOOKUP(E15337,DSSpieler!A:B,2,FALSE)</f>
        <v>#N/A</v>
      </c>
    </row>
    <row r="15338" spans="1:10" x14ac:dyDescent="0.25">
      <c r="A15338">
        <v>17359</v>
      </c>
      <c r="B15338" t="s">
        <v>2621</v>
      </c>
      <c r="C15338">
        <v>378</v>
      </c>
      <c r="D15338">
        <v>510</v>
      </c>
      <c r="E15338">
        <v>1576283115</v>
      </c>
      <c r="F15338">
        <v>1709</v>
      </c>
      <c r="G15338">
        <v>0</v>
      </c>
      <c r="H15338" t="s">
        <v>20181</v>
      </c>
      <c r="I15338">
        <v>17359</v>
      </c>
      <c r="J15338" t="str">
        <f>VLOOKUP(E15338,DSSpieler!A:B,2,FALSE)</f>
        <v>Ulen Orsalan</v>
      </c>
    </row>
    <row r="15339" spans="1:10" x14ac:dyDescent="0.25">
      <c r="A15339">
        <v>17360</v>
      </c>
      <c r="B15339" t="s">
        <v>531</v>
      </c>
      <c r="C15339">
        <v>380</v>
      </c>
      <c r="D15339">
        <v>542</v>
      </c>
      <c r="E15339">
        <v>0</v>
      </c>
      <c r="F15339">
        <v>54</v>
      </c>
      <c r="G15339">
        <v>0</v>
      </c>
      <c r="H15339" t="s">
        <v>20182</v>
      </c>
      <c r="I15339">
        <v>17360</v>
      </c>
      <c r="J15339" t="e">
        <f>VLOOKUP(E15339,DSSpieler!A:B,2,FALSE)</f>
        <v>#N/A</v>
      </c>
    </row>
    <row r="15340" spans="1:10" x14ac:dyDescent="0.25">
      <c r="A15340">
        <v>17361</v>
      </c>
      <c r="B15340" t="s">
        <v>2622</v>
      </c>
      <c r="C15340">
        <v>557</v>
      </c>
      <c r="D15340">
        <v>615</v>
      </c>
      <c r="E15340">
        <v>10154134</v>
      </c>
      <c r="F15340">
        <v>2948</v>
      </c>
      <c r="G15340">
        <v>0</v>
      </c>
      <c r="H15340" t="s">
        <v>20183</v>
      </c>
      <c r="I15340">
        <v>17361</v>
      </c>
      <c r="J15340" t="str">
        <f>VLOOKUP(E15340,DSSpieler!A:B,2,FALSE)</f>
        <v>iInder</v>
      </c>
    </row>
    <row r="15341" spans="1:10" x14ac:dyDescent="0.25">
      <c r="A15341">
        <v>17362</v>
      </c>
      <c r="B15341" t="s">
        <v>531</v>
      </c>
      <c r="C15341">
        <v>419</v>
      </c>
      <c r="D15341">
        <v>407</v>
      </c>
      <c r="E15341">
        <v>0</v>
      </c>
      <c r="F15341">
        <v>178</v>
      </c>
      <c r="G15341">
        <v>0</v>
      </c>
      <c r="H15341" t="s">
        <v>20184</v>
      </c>
      <c r="I15341">
        <v>17362</v>
      </c>
      <c r="J15341" t="e">
        <f>VLOOKUP(E15341,DSSpieler!A:B,2,FALSE)</f>
        <v>#N/A</v>
      </c>
    </row>
    <row r="15342" spans="1:10" x14ac:dyDescent="0.25">
      <c r="A15342">
        <v>17363</v>
      </c>
      <c r="B15342" t="s">
        <v>2623</v>
      </c>
      <c r="C15342">
        <v>617</v>
      </c>
      <c r="D15342">
        <v>549</v>
      </c>
      <c r="E15342">
        <v>9536421</v>
      </c>
      <c r="F15342">
        <v>231</v>
      </c>
      <c r="G15342">
        <v>0</v>
      </c>
      <c r="H15342" t="s">
        <v>20185</v>
      </c>
      <c r="I15342">
        <v>17363</v>
      </c>
      <c r="J15342" t="str">
        <f>VLOOKUP(E15342,DSSpieler!A:B,2,FALSE)</f>
        <v>macelch</v>
      </c>
    </row>
    <row r="15343" spans="1:10" x14ac:dyDescent="0.25">
      <c r="A15343">
        <v>17364</v>
      </c>
      <c r="B15343" t="s">
        <v>531</v>
      </c>
      <c r="C15343">
        <v>524</v>
      </c>
      <c r="D15343">
        <v>377</v>
      </c>
      <c r="E15343">
        <v>0</v>
      </c>
      <c r="F15343">
        <v>143</v>
      </c>
      <c r="G15343">
        <v>0</v>
      </c>
      <c r="H15343" t="s">
        <v>20186</v>
      </c>
      <c r="I15343">
        <v>17364</v>
      </c>
      <c r="J15343" t="e">
        <f>VLOOKUP(E15343,DSSpieler!A:B,2,FALSE)</f>
        <v>#N/A</v>
      </c>
    </row>
    <row r="15344" spans="1:10" x14ac:dyDescent="0.25">
      <c r="A15344">
        <v>17365</v>
      </c>
      <c r="B15344">
        <v>3</v>
      </c>
      <c r="C15344">
        <v>445</v>
      </c>
      <c r="D15344">
        <v>456</v>
      </c>
      <c r="E15344">
        <v>1576730474</v>
      </c>
      <c r="F15344">
        <v>3202</v>
      </c>
      <c r="G15344">
        <v>0</v>
      </c>
      <c r="H15344" t="s">
        <v>20187</v>
      </c>
      <c r="I15344">
        <v>17365</v>
      </c>
      <c r="J15344" t="str">
        <f>VLOOKUP(E15344,DSSpieler!A:B,2,FALSE)</f>
        <v>Cookilie</v>
      </c>
    </row>
    <row r="15345" spans="1:10" x14ac:dyDescent="0.25">
      <c r="A15345">
        <v>17366</v>
      </c>
      <c r="B15345" t="s">
        <v>531</v>
      </c>
      <c r="C15345">
        <v>564</v>
      </c>
      <c r="D15345">
        <v>444</v>
      </c>
      <c r="E15345">
        <v>0</v>
      </c>
      <c r="F15345">
        <v>161</v>
      </c>
      <c r="G15345">
        <v>0</v>
      </c>
      <c r="H15345" t="s">
        <v>20188</v>
      </c>
      <c r="I15345">
        <v>17366</v>
      </c>
      <c r="J15345" t="e">
        <f>VLOOKUP(E15345,DSSpieler!A:B,2,FALSE)</f>
        <v>#N/A</v>
      </c>
    </row>
    <row r="15346" spans="1:10" x14ac:dyDescent="0.25">
      <c r="A15346">
        <v>17367</v>
      </c>
      <c r="B15346" t="s">
        <v>531</v>
      </c>
      <c r="C15346">
        <v>385</v>
      </c>
      <c r="D15346">
        <v>456</v>
      </c>
      <c r="E15346">
        <v>0</v>
      </c>
      <c r="F15346">
        <v>112</v>
      </c>
      <c r="G15346">
        <v>0</v>
      </c>
      <c r="H15346" t="s">
        <v>20189</v>
      </c>
      <c r="I15346">
        <v>17367</v>
      </c>
      <c r="J15346" t="e">
        <f>VLOOKUP(E15346,DSSpieler!A:B,2,FALSE)</f>
        <v>#N/A</v>
      </c>
    </row>
    <row r="15347" spans="1:10" x14ac:dyDescent="0.25">
      <c r="A15347">
        <v>17368</v>
      </c>
      <c r="B15347" t="s">
        <v>531</v>
      </c>
      <c r="C15347">
        <v>498</v>
      </c>
      <c r="D15347">
        <v>373</v>
      </c>
      <c r="E15347">
        <v>0</v>
      </c>
      <c r="F15347">
        <v>213</v>
      </c>
      <c r="G15347">
        <v>0</v>
      </c>
      <c r="H15347" t="s">
        <v>20190</v>
      </c>
      <c r="I15347">
        <v>17368</v>
      </c>
      <c r="J15347" t="e">
        <f>VLOOKUP(E15347,DSSpieler!A:B,2,FALSE)</f>
        <v>#N/A</v>
      </c>
    </row>
    <row r="15348" spans="1:10" x14ac:dyDescent="0.25">
      <c r="A15348">
        <v>17369</v>
      </c>
      <c r="B15348" t="s">
        <v>2624</v>
      </c>
      <c r="C15348">
        <v>566</v>
      </c>
      <c r="D15348">
        <v>415</v>
      </c>
      <c r="E15348">
        <v>1577045326</v>
      </c>
      <c r="F15348">
        <v>2463</v>
      </c>
      <c r="G15348">
        <v>0</v>
      </c>
      <c r="H15348" t="s">
        <v>20191</v>
      </c>
      <c r="I15348">
        <v>17369</v>
      </c>
      <c r="J15348" t="str">
        <f>VLOOKUP(E15348,DSSpieler!A:B,2,FALSE)</f>
        <v>Lunula</v>
      </c>
    </row>
    <row r="15349" spans="1:10" x14ac:dyDescent="0.25">
      <c r="A15349">
        <v>17370</v>
      </c>
      <c r="B15349" t="s">
        <v>595</v>
      </c>
      <c r="C15349">
        <v>548</v>
      </c>
      <c r="D15349">
        <v>427</v>
      </c>
      <c r="E15349">
        <v>9235805</v>
      </c>
      <c r="F15349">
        <v>1570</v>
      </c>
      <c r="G15349">
        <v>0</v>
      </c>
      <c r="H15349" t="s">
        <v>20192</v>
      </c>
      <c r="I15349">
        <v>17370</v>
      </c>
      <c r="J15349" t="str">
        <f>VLOOKUP(E15349,DSSpieler!A:B,2,FALSE)</f>
        <v>SVL500</v>
      </c>
    </row>
    <row r="15350" spans="1:10" x14ac:dyDescent="0.25">
      <c r="A15350">
        <v>17371</v>
      </c>
      <c r="B15350" t="s">
        <v>531</v>
      </c>
      <c r="C15350">
        <v>553</v>
      </c>
      <c r="D15350">
        <v>612</v>
      </c>
      <c r="E15350">
        <v>0</v>
      </c>
      <c r="F15350">
        <v>68</v>
      </c>
      <c r="G15350">
        <v>0</v>
      </c>
      <c r="H15350" t="s">
        <v>20193</v>
      </c>
      <c r="I15350">
        <v>17371</v>
      </c>
      <c r="J15350" t="e">
        <f>VLOOKUP(E15350,DSSpieler!A:B,2,FALSE)</f>
        <v>#N/A</v>
      </c>
    </row>
    <row r="15351" spans="1:10" x14ac:dyDescent="0.25">
      <c r="A15351">
        <v>17372</v>
      </c>
      <c r="B15351" t="s">
        <v>2625</v>
      </c>
      <c r="C15351">
        <v>570</v>
      </c>
      <c r="D15351">
        <v>406</v>
      </c>
      <c r="E15351">
        <v>1577046188</v>
      </c>
      <c r="F15351">
        <v>1853</v>
      </c>
      <c r="G15351">
        <v>0</v>
      </c>
      <c r="H15351" t="s">
        <v>20194</v>
      </c>
      <c r="I15351">
        <v>17372</v>
      </c>
      <c r="J15351" t="str">
        <f>VLOOKUP(E15351,DSSpieler!A:B,2,FALSE)</f>
        <v>Gttz</v>
      </c>
    </row>
    <row r="15352" spans="1:10" x14ac:dyDescent="0.25">
      <c r="A15352">
        <v>17374</v>
      </c>
      <c r="B15352" t="s">
        <v>2626</v>
      </c>
      <c r="C15352">
        <v>383</v>
      </c>
      <c r="D15352">
        <v>451</v>
      </c>
      <c r="E15352">
        <v>1576459063</v>
      </c>
      <c r="F15352">
        <v>2655</v>
      </c>
      <c r="G15352">
        <v>0</v>
      </c>
      <c r="H15352" t="s">
        <v>455</v>
      </c>
      <c r="I15352">
        <v>17374</v>
      </c>
      <c r="J15352" t="str">
        <f>VLOOKUP(E15352,DSSpieler!A:B,2,FALSE)</f>
        <v>Bellisima</v>
      </c>
    </row>
    <row r="15353" spans="1:10" x14ac:dyDescent="0.25">
      <c r="A15353">
        <v>17375</v>
      </c>
      <c r="B15353" t="s">
        <v>531</v>
      </c>
      <c r="C15353">
        <v>378</v>
      </c>
      <c r="D15353">
        <v>483</v>
      </c>
      <c r="E15353">
        <v>0</v>
      </c>
      <c r="F15353">
        <v>115</v>
      </c>
      <c r="G15353">
        <v>0</v>
      </c>
      <c r="H15353" t="s">
        <v>20195</v>
      </c>
      <c r="I15353">
        <v>17375</v>
      </c>
      <c r="J15353" t="e">
        <f>VLOOKUP(E15353,DSSpieler!A:B,2,FALSE)</f>
        <v>#N/A</v>
      </c>
    </row>
    <row r="15354" spans="1:10" x14ac:dyDescent="0.25">
      <c r="A15354">
        <v>17377</v>
      </c>
      <c r="B15354" t="s">
        <v>2627</v>
      </c>
      <c r="C15354">
        <v>450</v>
      </c>
      <c r="D15354">
        <v>394</v>
      </c>
      <c r="E15354">
        <v>1577205638</v>
      </c>
      <c r="F15354">
        <v>708</v>
      </c>
      <c r="G15354">
        <v>0</v>
      </c>
      <c r="H15354" t="s">
        <v>20196</v>
      </c>
      <c r="I15354">
        <v>17377</v>
      </c>
      <c r="J15354" t="str">
        <f>VLOOKUP(E15354,DSSpieler!A:B,2,FALSE)</f>
        <v>Dr.Schwukele</v>
      </c>
    </row>
    <row r="15355" spans="1:10" x14ac:dyDescent="0.25">
      <c r="A15355">
        <v>17378</v>
      </c>
      <c r="B15355" t="s">
        <v>943</v>
      </c>
      <c r="C15355">
        <v>456</v>
      </c>
      <c r="D15355">
        <v>485</v>
      </c>
      <c r="E15355">
        <v>1576573892</v>
      </c>
      <c r="F15355">
        <v>1302</v>
      </c>
      <c r="G15355">
        <v>0</v>
      </c>
      <c r="H15355" t="s">
        <v>20197</v>
      </c>
      <c r="I15355">
        <v>17378</v>
      </c>
      <c r="J15355" t="str">
        <f>VLOOKUP(E15355,DSSpieler!A:B,2,FALSE)</f>
        <v>Andrasta</v>
      </c>
    </row>
    <row r="15356" spans="1:10" x14ac:dyDescent="0.25">
      <c r="A15356">
        <v>17379</v>
      </c>
      <c r="B15356" t="s">
        <v>2628</v>
      </c>
      <c r="C15356">
        <v>610</v>
      </c>
      <c r="D15356">
        <v>503</v>
      </c>
      <c r="E15356">
        <v>1577202304</v>
      </c>
      <c r="F15356">
        <v>171</v>
      </c>
      <c r="G15356">
        <v>0</v>
      </c>
      <c r="H15356" t="s">
        <v>20198</v>
      </c>
      <c r="I15356">
        <v>17379</v>
      </c>
      <c r="J15356" t="str">
        <f>VLOOKUP(E15356,DSSpieler!A:B,2,FALSE)</f>
        <v>Wzybr</v>
      </c>
    </row>
    <row r="15357" spans="1:10" x14ac:dyDescent="0.25">
      <c r="A15357">
        <v>17380</v>
      </c>
      <c r="B15357" t="s">
        <v>531</v>
      </c>
      <c r="C15357">
        <v>600</v>
      </c>
      <c r="D15357">
        <v>423</v>
      </c>
      <c r="E15357">
        <v>0</v>
      </c>
      <c r="F15357">
        <v>44</v>
      </c>
      <c r="G15357">
        <v>0</v>
      </c>
      <c r="H15357" t="s">
        <v>20199</v>
      </c>
      <c r="I15357">
        <v>17380</v>
      </c>
      <c r="J15357" t="e">
        <f>VLOOKUP(E15357,DSSpieler!A:B,2,FALSE)</f>
        <v>#N/A</v>
      </c>
    </row>
    <row r="15358" spans="1:10" x14ac:dyDescent="0.25">
      <c r="A15358">
        <v>17381</v>
      </c>
      <c r="B15358" t="s">
        <v>2629</v>
      </c>
      <c r="C15358">
        <v>415</v>
      </c>
      <c r="D15358">
        <v>591</v>
      </c>
      <c r="E15358">
        <v>1577175830</v>
      </c>
      <c r="F15358">
        <v>41</v>
      </c>
      <c r="G15358">
        <v>0</v>
      </c>
      <c r="H15358" t="s">
        <v>20200</v>
      </c>
      <c r="I15358">
        <v>17381</v>
      </c>
      <c r="J15358" t="str">
        <f>VLOOKUP(E15358,DSSpieler!A:B,2,FALSE)</f>
        <v>itzreuter</v>
      </c>
    </row>
    <row r="15359" spans="1:10" x14ac:dyDescent="0.25">
      <c r="A15359">
        <v>17382</v>
      </c>
      <c r="B15359" t="s">
        <v>531</v>
      </c>
      <c r="C15359">
        <v>444</v>
      </c>
      <c r="D15359">
        <v>389</v>
      </c>
      <c r="E15359">
        <v>0</v>
      </c>
      <c r="F15359">
        <v>462</v>
      </c>
      <c r="G15359">
        <v>0</v>
      </c>
      <c r="H15359" t="s">
        <v>20201</v>
      </c>
      <c r="I15359">
        <v>17382</v>
      </c>
      <c r="J15359" t="e">
        <f>VLOOKUP(E15359,DSSpieler!A:B,2,FALSE)</f>
        <v>#N/A</v>
      </c>
    </row>
    <row r="15360" spans="1:10" x14ac:dyDescent="0.25">
      <c r="A15360">
        <v>17383</v>
      </c>
      <c r="B15360" t="s">
        <v>2630</v>
      </c>
      <c r="C15360">
        <v>378</v>
      </c>
      <c r="D15360">
        <v>502</v>
      </c>
      <c r="E15360">
        <v>1576983050</v>
      </c>
      <c r="F15360">
        <v>461</v>
      </c>
      <c r="G15360">
        <v>0</v>
      </c>
      <c r="H15360" t="s">
        <v>20202</v>
      </c>
      <c r="I15360">
        <v>17383</v>
      </c>
      <c r="J15360" t="str">
        <f>VLOOKUP(E15360,DSSpieler!A:B,2,FALSE)</f>
        <v>steffen1992</v>
      </c>
    </row>
    <row r="15361" spans="1:10" x14ac:dyDescent="0.25">
      <c r="A15361">
        <v>17384</v>
      </c>
      <c r="B15361" t="s">
        <v>2631</v>
      </c>
      <c r="C15361">
        <v>430</v>
      </c>
      <c r="D15361">
        <v>395</v>
      </c>
      <c r="E15361">
        <v>1577028566</v>
      </c>
      <c r="F15361">
        <v>1073</v>
      </c>
      <c r="G15361">
        <v>0</v>
      </c>
      <c r="H15361" t="s">
        <v>20203</v>
      </c>
      <c r="I15361">
        <v>17384</v>
      </c>
      <c r="J15361" t="str">
        <f>VLOOKUP(E15361,DSSpieler!A:B,2,FALSE)</f>
        <v>TF DND</v>
      </c>
    </row>
    <row r="15362" spans="1:10" x14ac:dyDescent="0.25">
      <c r="A15362">
        <v>17386</v>
      </c>
      <c r="B15362" t="s">
        <v>531</v>
      </c>
      <c r="C15362">
        <v>543</v>
      </c>
      <c r="D15362">
        <v>619</v>
      </c>
      <c r="E15362">
        <v>0</v>
      </c>
      <c r="F15362">
        <v>50</v>
      </c>
      <c r="G15362">
        <v>0</v>
      </c>
      <c r="H15362" t="s">
        <v>20204</v>
      </c>
      <c r="I15362">
        <v>17386</v>
      </c>
      <c r="J15362" t="e">
        <f>VLOOKUP(E15362,DSSpieler!A:B,2,FALSE)</f>
        <v>#N/A</v>
      </c>
    </row>
    <row r="15363" spans="1:10" x14ac:dyDescent="0.25">
      <c r="A15363">
        <v>17387</v>
      </c>
      <c r="B15363" t="s">
        <v>35590</v>
      </c>
      <c r="C15363">
        <v>385</v>
      </c>
      <c r="D15363">
        <v>547</v>
      </c>
      <c r="E15363">
        <v>1004717</v>
      </c>
      <c r="F15363">
        <v>2624</v>
      </c>
      <c r="G15363">
        <v>0</v>
      </c>
      <c r="H15363" t="s">
        <v>20205</v>
      </c>
      <c r="I15363">
        <v>17387</v>
      </c>
      <c r="J15363" t="str">
        <f>VLOOKUP(E15363,DSSpieler!A:B,2,FALSE)</f>
        <v>Fräulein Free</v>
      </c>
    </row>
    <row r="15364" spans="1:10" x14ac:dyDescent="0.25">
      <c r="A15364">
        <v>17388</v>
      </c>
      <c r="B15364" t="s">
        <v>531</v>
      </c>
      <c r="C15364">
        <v>490</v>
      </c>
      <c r="D15364">
        <v>625</v>
      </c>
      <c r="E15364">
        <v>0</v>
      </c>
      <c r="F15364">
        <v>159</v>
      </c>
      <c r="G15364">
        <v>0</v>
      </c>
      <c r="H15364" t="s">
        <v>20206</v>
      </c>
      <c r="I15364">
        <v>17388</v>
      </c>
      <c r="J15364" t="e">
        <f>VLOOKUP(E15364,DSSpieler!A:B,2,FALSE)</f>
        <v>#N/A</v>
      </c>
    </row>
    <row r="15365" spans="1:10" x14ac:dyDescent="0.25">
      <c r="A15365">
        <v>17389</v>
      </c>
      <c r="B15365" t="s">
        <v>2632</v>
      </c>
      <c r="C15365">
        <v>610</v>
      </c>
      <c r="D15365">
        <v>443</v>
      </c>
      <c r="E15365">
        <v>2648050</v>
      </c>
      <c r="F15365">
        <v>2515</v>
      </c>
      <c r="G15365">
        <v>0</v>
      </c>
      <c r="H15365" t="s">
        <v>20207</v>
      </c>
      <c r="I15365">
        <v>17389</v>
      </c>
      <c r="J15365" t="str">
        <f>VLOOKUP(E15365,DSSpieler!A:B,2,FALSE)</f>
        <v>Staublurch</v>
      </c>
    </row>
    <row r="15366" spans="1:10" x14ac:dyDescent="0.25">
      <c r="A15366">
        <v>17390</v>
      </c>
      <c r="B15366" t="s">
        <v>2633</v>
      </c>
      <c r="C15366">
        <v>424</v>
      </c>
      <c r="D15366">
        <v>556</v>
      </c>
      <c r="E15366">
        <v>1575951708</v>
      </c>
      <c r="F15366">
        <v>296</v>
      </c>
      <c r="G15366">
        <v>0</v>
      </c>
      <c r="H15366" t="s">
        <v>20208</v>
      </c>
      <c r="I15366">
        <v>17390</v>
      </c>
      <c r="J15366" t="str">
        <f>VLOOKUP(E15366,DSSpieler!A:B,2,FALSE)</f>
        <v>MueffelBueffel</v>
      </c>
    </row>
    <row r="15367" spans="1:10" x14ac:dyDescent="0.25">
      <c r="A15367">
        <v>17391</v>
      </c>
      <c r="B15367" t="s">
        <v>2634</v>
      </c>
      <c r="C15367">
        <v>548</v>
      </c>
      <c r="D15367">
        <v>384</v>
      </c>
      <c r="E15367">
        <v>10071539</v>
      </c>
      <c r="F15367">
        <v>1766</v>
      </c>
      <c r="G15367">
        <v>0</v>
      </c>
      <c r="H15367" t="s">
        <v>20209</v>
      </c>
      <c r="I15367">
        <v>17391</v>
      </c>
      <c r="J15367" t="str">
        <f>VLOOKUP(E15367,DSSpieler!A:B,2,FALSE)</f>
        <v>oli88</v>
      </c>
    </row>
    <row r="15368" spans="1:10" x14ac:dyDescent="0.25">
      <c r="A15368">
        <v>17392</v>
      </c>
      <c r="B15368" t="s">
        <v>531</v>
      </c>
      <c r="C15368">
        <v>443</v>
      </c>
      <c r="D15368">
        <v>388</v>
      </c>
      <c r="E15368">
        <v>0</v>
      </c>
      <c r="F15368">
        <v>133</v>
      </c>
      <c r="G15368">
        <v>0</v>
      </c>
      <c r="H15368" t="s">
        <v>20210</v>
      </c>
      <c r="I15368">
        <v>17392</v>
      </c>
      <c r="J15368" t="e">
        <f>VLOOKUP(E15368,DSSpieler!A:B,2,FALSE)</f>
        <v>#N/A</v>
      </c>
    </row>
    <row r="15369" spans="1:10" x14ac:dyDescent="0.25">
      <c r="A15369">
        <v>17394</v>
      </c>
      <c r="B15369" t="s">
        <v>2635</v>
      </c>
      <c r="C15369">
        <v>402</v>
      </c>
      <c r="D15369">
        <v>576</v>
      </c>
      <c r="E15369">
        <v>1576920398</v>
      </c>
      <c r="F15369">
        <v>1333</v>
      </c>
      <c r="G15369">
        <v>0</v>
      </c>
      <c r="H15369" t="s">
        <v>20211</v>
      </c>
      <c r="I15369">
        <v>17394</v>
      </c>
      <c r="J15369" t="str">
        <f>VLOOKUP(E15369,DSSpieler!A:B,2,FALSE)</f>
        <v>Systemfehler</v>
      </c>
    </row>
    <row r="15370" spans="1:10" x14ac:dyDescent="0.25">
      <c r="A15370">
        <v>17395</v>
      </c>
      <c r="B15370" t="s">
        <v>2636</v>
      </c>
      <c r="C15370">
        <v>430</v>
      </c>
      <c r="D15370">
        <v>606</v>
      </c>
      <c r="E15370">
        <v>2634766</v>
      </c>
      <c r="F15370">
        <v>1579</v>
      </c>
      <c r="G15370">
        <v>0</v>
      </c>
      <c r="H15370" t="s">
        <v>20212</v>
      </c>
      <c r="I15370">
        <v>17395</v>
      </c>
      <c r="J15370" t="str">
        <f>VLOOKUP(E15370,DSSpieler!A:B,2,FALSE)</f>
        <v>Ruhmeswolf68</v>
      </c>
    </row>
    <row r="15371" spans="1:10" x14ac:dyDescent="0.25">
      <c r="A15371">
        <v>17396</v>
      </c>
      <c r="B15371" t="s">
        <v>2637</v>
      </c>
      <c r="C15371">
        <v>392</v>
      </c>
      <c r="D15371">
        <v>567</v>
      </c>
      <c r="E15371">
        <v>7690912</v>
      </c>
      <c r="F15371">
        <v>323</v>
      </c>
      <c r="G15371">
        <v>0</v>
      </c>
      <c r="H15371" t="s">
        <v>20213</v>
      </c>
      <c r="I15371">
        <v>17396</v>
      </c>
      <c r="J15371" t="str">
        <f>VLOOKUP(E15371,DSSpieler!A:B,2,FALSE)</f>
        <v>alfricer</v>
      </c>
    </row>
    <row r="15372" spans="1:10" x14ac:dyDescent="0.25">
      <c r="A15372">
        <v>17397</v>
      </c>
      <c r="B15372" t="s">
        <v>531</v>
      </c>
      <c r="C15372">
        <v>600</v>
      </c>
      <c r="D15372">
        <v>575</v>
      </c>
      <c r="E15372">
        <v>0</v>
      </c>
      <c r="F15372">
        <v>157</v>
      </c>
      <c r="G15372">
        <v>0</v>
      </c>
      <c r="H15372" t="s">
        <v>20214</v>
      </c>
      <c r="I15372">
        <v>17397</v>
      </c>
      <c r="J15372" t="e">
        <f>VLOOKUP(E15372,DSSpieler!A:B,2,FALSE)</f>
        <v>#N/A</v>
      </c>
    </row>
    <row r="15373" spans="1:10" x14ac:dyDescent="0.25">
      <c r="A15373">
        <v>17398</v>
      </c>
      <c r="B15373" t="s">
        <v>2638</v>
      </c>
      <c r="C15373">
        <v>454</v>
      </c>
      <c r="D15373">
        <v>485</v>
      </c>
      <c r="E15373">
        <v>998056</v>
      </c>
      <c r="F15373">
        <v>707</v>
      </c>
      <c r="G15373">
        <v>0</v>
      </c>
      <c r="H15373" t="s">
        <v>20215</v>
      </c>
      <c r="I15373">
        <v>17398</v>
      </c>
      <c r="J15373" t="str">
        <f>VLOOKUP(E15373,DSSpieler!A:B,2,FALSE)</f>
        <v>shiva 10</v>
      </c>
    </row>
    <row r="15374" spans="1:10" x14ac:dyDescent="0.25">
      <c r="A15374">
        <v>17399</v>
      </c>
      <c r="B15374" t="s">
        <v>2639</v>
      </c>
      <c r="C15374">
        <v>466</v>
      </c>
      <c r="D15374">
        <v>594</v>
      </c>
      <c r="E15374">
        <v>1577174030</v>
      </c>
      <c r="F15374">
        <v>26</v>
      </c>
      <c r="G15374">
        <v>0</v>
      </c>
      <c r="H15374" t="s">
        <v>20216</v>
      </c>
      <c r="I15374">
        <v>17399</v>
      </c>
      <c r="J15374" t="str">
        <f>VLOOKUP(E15374,DSSpieler!A:B,2,FALSE)</f>
        <v>Texo</v>
      </c>
    </row>
    <row r="15375" spans="1:10" x14ac:dyDescent="0.25">
      <c r="A15375">
        <v>17400</v>
      </c>
      <c r="B15375" t="s">
        <v>531</v>
      </c>
      <c r="C15375">
        <v>612</v>
      </c>
      <c r="D15375">
        <v>555</v>
      </c>
      <c r="E15375">
        <v>0</v>
      </c>
      <c r="F15375">
        <v>145</v>
      </c>
      <c r="G15375">
        <v>0</v>
      </c>
      <c r="H15375" t="s">
        <v>20217</v>
      </c>
      <c r="I15375">
        <v>17400</v>
      </c>
      <c r="J15375" t="e">
        <f>VLOOKUP(E15375,DSSpieler!A:B,2,FALSE)</f>
        <v>#N/A</v>
      </c>
    </row>
    <row r="15376" spans="1:10" x14ac:dyDescent="0.25">
      <c r="A15376">
        <v>17401</v>
      </c>
      <c r="B15376" t="s">
        <v>531</v>
      </c>
      <c r="C15376">
        <v>380</v>
      </c>
      <c r="D15376">
        <v>461</v>
      </c>
      <c r="E15376">
        <v>0</v>
      </c>
      <c r="F15376">
        <v>164</v>
      </c>
      <c r="G15376">
        <v>0</v>
      </c>
      <c r="H15376" t="s">
        <v>20218</v>
      </c>
      <c r="I15376">
        <v>17401</v>
      </c>
      <c r="J15376" t="e">
        <f>VLOOKUP(E15376,DSSpieler!A:B,2,FALSE)</f>
        <v>#N/A</v>
      </c>
    </row>
    <row r="15377" spans="1:10" x14ac:dyDescent="0.25">
      <c r="A15377">
        <v>17402</v>
      </c>
      <c r="B15377" t="s">
        <v>531</v>
      </c>
      <c r="C15377">
        <v>583</v>
      </c>
      <c r="D15377">
        <v>588</v>
      </c>
      <c r="E15377">
        <v>0</v>
      </c>
      <c r="F15377">
        <v>46</v>
      </c>
      <c r="G15377">
        <v>0</v>
      </c>
      <c r="H15377" t="s">
        <v>20219</v>
      </c>
      <c r="I15377">
        <v>17402</v>
      </c>
      <c r="J15377" t="e">
        <f>VLOOKUP(E15377,DSSpieler!A:B,2,FALSE)</f>
        <v>#N/A</v>
      </c>
    </row>
    <row r="15378" spans="1:10" x14ac:dyDescent="0.25">
      <c r="A15378">
        <v>17403</v>
      </c>
      <c r="B15378" t="s">
        <v>531</v>
      </c>
      <c r="C15378">
        <v>378</v>
      </c>
      <c r="D15378">
        <v>467</v>
      </c>
      <c r="E15378">
        <v>0</v>
      </c>
      <c r="F15378">
        <v>171</v>
      </c>
      <c r="G15378">
        <v>0</v>
      </c>
      <c r="H15378" t="s">
        <v>20220</v>
      </c>
      <c r="I15378">
        <v>17403</v>
      </c>
      <c r="J15378" t="e">
        <f>VLOOKUP(E15378,DSSpieler!A:B,2,FALSE)</f>
        <v>#N/A</v>
      </c>
    </row>
    <row r="15379" spans="1:10" x14ac:dyDescent="0.25">
      <c r="A15379">
        <v>17404</v>
      </c>
      <c r="B15379" t="s">
        <v>531</v>
      </c>
      <c r="C15379">
        <v>599</v>
      </c>
      <c r="D15379">
        <v>519</v>
      </c>
      <c r="E15379">
        <v>0</v>
      </c>
      <c r="F15379">
        <v>62</v>
      </c>
      <c r="G15379">
        <v>0</v>
      </c>
      <c r="H15379" t="s">
        <v>20221</v>
      </c>
      <c r="I15379">
        <v>17404</v>
      </c>
      <c r="J15379" t="e">
        <f>VLOOKUP(E15379,DSSpieler!A:B,2,FALSE)</f>
        <v>#N/A</v>
      </c>
    </row>
    <row r="15380" spans="1:10" x14ac:dyDescent="0.25">
      <c r="A15380">
        <v>17405</v>
      </c>
      <c r="B15380" t="s">
        <v>531</v>
      </c>
      <c r="C15380">
        <v>375</v>
      </c>
      <c r="D15380">
        <v>521</v>
      </c>
      <c r="E15380">
        <v>0</v>
      </c>
      <c r="F15380">
        <v>131</v>
      </c>
      <c r="G15380">
        <v>0</v>
      </c>
      <c r="H15380" t="s">
        <v>20222</v>
      </c>
      <c r="I15380">
        <v>17405</v>
      </c>
      <c r="J15380" t="e">
        <f>VLOOKUP(E15380,DSSpieler!A:B,2,FALSE)</f>
        <v>#N/A</v>
      </c>
    </row>
    <row r="15381" spans="1:10" x14ac:dyDescent="0.25">
      <c r="A15381">
        <v>17407</v>
      </c>
      <c r="B15381" t="s">
        <v>531</v>
      </c>
      <c r="C15381">
        <v>623</v>
      </c>
      <c r="D15381">
        <v>495</v>
      </c>
      <c r="E15381">
        <v>0</v>
      </c>
      <c r="F15381">
        <v>37</v>
      </c>
      <c r="G15381">
        <v>0</v>
      </c>
      <c r="H15381" t="s">
        <v>20223</v>
      </c>
      <c r="I15381">
        <v>17407</v>
      </c>
      <c r="J15381" t="e">
        <f>VLOOKUP(E15381,DSSpieler!A:B,2,FALSE)</f>
        <v>#N/A</v>
      </c>
    </row>
    <row r="15382" spans="1:10" x14ac:dyDescent="0.25">
      <c r="A15382">
        <v>17408</v>
      </c>
      <c r="B15382" t="s">
        <v>531</v>
      </c>
      <c r="C15382">
        <v>611</v>
      </c>
      <c r="D15382">
        <v>511</v>
      </c>
      <c r="E15382">
        <v>0</v>
      </c>
      <c r="F15382">
        <v>49</v>
      </c>
      <c r="G15382">
        <v>0</v>
      </c>
      <c r="H15382" t="s">
        <v>20224</v>
      </c>
      <c r="I15382">
        <v>17408</v>
      </c>
      <c r="J15382" t="e">
        <f>VLOOKUP(E15382,DSSpieler!A:B,2,FALSE)</f>
        <v>#N/A</v>
      </c>
    </row>
    <row r="15383" spans="1:10" x14ac:dyDescent="0.25">
      <c r="A15383">
        <v>17409</v>
      </c>
      <c r="B15383" t="s">
        <v>2640</v>
      </c>
      <c r="C15383">
        <v>617</v>
      </c>
      <c r="D15383">
        <v>501</v>
      </c>
      <c r="E15383">
        <v>1577202457</v>
      </c>
      <c r="F15383">
        <v>26</v>
      </c>
      <c r="G15383">
        <v>0</v>
      </c>
      <c r="H15383" t="s">
        <v>20225</v>
      </c>
      <c r="I15383">
        <v>17409</v>
      </c>
      <c r="J15383" t="str">
        <f>VLOOKUP(E15383,DSSpieler!A:B,2,FALSE)</f>
        <v>Florida1245</v>
      </c>
    </row>
    <row r="15384" spans="1:10" x14ac:dyDescent="0.25">
      <c r="A15384">
        <v>17410</v>
      </c>
      <c r="B15384" t="s">
        <v>531</v>
      </c>
      <c r="C15384">
        <v>377</v>
      </c>
      <c r="D15384">
        <v>525</v>
      </c>
      <c r="E15384">
        <v>0</v>
      </c>
      <c r="F15384">
        <v>28</v>
      </c>
      <c r="G15384">
        <v>0</v>
      </c>
      <c r="H15384" t="s">
        <v>20226</v>
      </c>
      <c r="I15384">
        <v>17410</v>
      </c>
      <c r="J15384" t="e">
        <f>VLOOKUP(E15384,DSSpieler!A:B,2,FALSE)</f>
        <v>#N/A</v>
      </c>
    </row>
    <row r="15385" spans="1:10" x14ac:dyDescent="0.25">
      <c r="A15385">
        <v>17411</v>
      </c>
      <c r="B15385" t="s">
        <v>2641</v>
      </c>
      <c r="C15385">
        <v>538</v>
      </c>
      <c r="D15385">
        <v>565</v>
      </c>
      <c r="E15385">
        <v>9964561</v>
      </c>
      <c r="F15385">
        <v>26</v>
      </c>
      <c r="G15385">
        <v>0</v>
      </c>
      <c r="H15385" t="s">
        <v>20227</v>
      </c>
      <c r="I15385">
        <v>17411</v>
      </c>
      <c r="J15385" t="str">
        <f>VLOOKUP(E15385,DSSpieler!A:B,2,FALSE)</f>
        <v>Lareq</v>
      </c>
    </row>
    <row r="15386" spans="1:10" x14ac:dyDescent="0.25">
      <c r="A15386">
        <v>17413</v>
      </c>
      <c r="B15386" t="s">
        <v>2642</v>
      </c>
      <c r="C15386">
        <v>429</v>
      </c>
      <c r="D15386">
        <v>398</v>
      </c>
      <c r="E15386">
        <v>1576677891</v>
      </c>
      <c r="F15386">
        <v>3115</v>
      </c>
      <c r="G15386">
        <v>0</v>
      </c>
      <c r="H15386" t="s">
        <v>20228</v>
      </c>
      <c r="I15386">
        <v>17413</v>
      </c>
      <c r="J15386" t="str">
        <f>VLOOKUP(E15386,DSSpieler!A:B,2,FALSE)</f>
        <v>König-Rumpelstilzchen</v>
      </c>
    </row>
    <row r="15387" spans="1:10" x14ac:dyDescent="0.25">
      <c r="A15387">
        <v>17414</v>
      </c>
      <c r="B15387" t="s">
        <v>531</v>
      </c>
      <c r="C15387">
        <v>403</v>
      </c>
      <c r="D15387">
        <v>495</v>
      </c>
      <c r="E15387">
        <v>0</v>
      </c>
      <c r="F15387">
        <v>166</v>
      </c>
      <c r="G15387">
        <v>0</v>
      </c>
      <c r="H15387" t="s">
        <v>20229</v>
      </c>
      <c r="I15387">
        <v>17414</v>
      </c>
      <c r="J15387" t="e">
        <f>VLOOKUP(E15387,DSSpieler!A:B,2,FALSE)</f>
        <v>#N/A</v>
      </c>
    </row>
    <row r="15388" spans="1:10" x14ac:dyDescent="0.25">
      <c r="A15388">
        <v>17415</v>
      </c>
      <c r="B15388" t="s">
        <v>2643</v>
      </c>
      <c r="C15388">
        <v>507</v>
      </c>
      <c r="D15388">
        <v>379</v>
      </c>
      <c r="E15388">
        <v>1577200801</v>
      </c>
      <c r="F15388">
        <v>2456</v>
      </c>
      <c r="G15388">
        <v>0</v>
      </c>
      <c r="H15388" t="s">
        <v>20230</v>
      </c>
      <c r="I15388">
        <v>17415</v>
      </c>
      <c r="J15388" t="str">
        <f>VLOOKUP(E15388,DSSpieler!A:B,2,FALSE)</f>
        <v>Biaboy</v>
      </c>
    </row>
    <row r="15389" spans="1:10" x14ac:dyDescent="0.25">
      <c r="A15389">
        <v>17416</v>
      </c>
      <c r="B15389" t="s">
        <v>531</v>
      </c>
      <c r="C15389">
        <v>597</v>
      </c>
      <c r="D15389">
        <v>535</v>
      </c>
      <c r="E15389">
        <v>0</v>
      </c>
      <c r="F15389">
        <v>215</v>
      </c>
      <c r="G15389">
        <v>0</v>
      </c>
      <c r="H15389" t="s">
        <v>20231</v>
      </c>
      <c r="I15389">
        <v>17416</v>
      </c>
      <c r="J15389" t="e">
        <f>VLOOKUP(E15389,DSSpieler!A:B,2,FALSE)</f>
        <v>#N/A</v>
      </c>
    </row>
    <row r="15390" spans="1:10" x14ac:dyDescent="0.25">
      <c r="A15390">
        <v>17417</v>
      </c>
      <c r="B15390" t="s">
        <v>531</v>
      </c>
      <c r="C15390">
        <v>493</v>
      </c>
      <c r="D15390">
        <v>627</v>
      </c>
      <c r="E15390">
        <v>9741946</v>
      </c>
      <c r="F15390">
        <v>1721</v>
      </c>
      <c r="G15390">
        <v>0</v>
      </c>
      <c r="H15390" t="s">
        <v>20232</v>
      </c>
      <c r="I15390">
        <v>17417</v>
      </c>
      <c r="J15390" t="str">
        <f>VLOOKUP(E15390,DSSpieler!A:B,2,FALSE)</f>
        <v>t-löx</v>
      </c>
    </row>
    <row r="15391" spans="1:10" x14ac:dyDescent="0.25">
      <c r="A15391">
        <v>17419</v>
      </c>
      <c r="B15391" t="s">
        <v>531</v>
      </c>
      <c r="C15391">
        <v>417</v>
      </c>
      <c r="D15391">
        <v>590</v>
      </c>
      <c r="E15391">
        <v>0</v>
      </c>
      <c r="F15391">
        <v>94</v>
      </c>
      <c r="G15391">
        <v>0</v>
      </c>
      <c r="H15391" t="s">
        <v>20233</v>
      </c>
      <c r="I15391">
        <v>17419</v>
      </c>
      <c r="J15391" t="e">
        <f>VLOOKUP(E15391,DSSpieler!A:B,2,FALSE)</f>
        <v>#N/A</v>
      </c>
    </row>
    <row r="15392" spans="1:10" x14ac:dyDescent="0.25">
      <c r="A15392">
        <v>17420</v>
      </c>
      <c r="B15392" t="s">
        <v>531</v>
      </c>
      <c r="C15392">
        <v>541</v>
      </c>
      <c r="D15392">
        <v>380</v>
      </c>
      <c r="E15392">
        <v>0</v>
      </c>
      <c r="F15392">
        <v>165</v>
      </c>
      <c r="G15392">
        <v>0</v>
      </c>
      <c r="H15392" t="s">
        <v>20234</v>
      </c>
      <c r="I15392">
        <v>17420</v>
      </c>
      <c r="J15392" t="e">
        <f>VLOOKUP(E15392,DSSpieler!A:B,2,FALSE)</f>
        <v>#N/A</v>
      </c>
    </row>
    <row r="15393" spans="1:10" x14ac:dyDescent="0.25">
      <c r="A15393">
        <v>17422</v>
      </c>
      <c r="B15393" t="s">
        <v>2644</v>
      </c>
      <c r="C15393">
        <v>486</v>
      </c>
      <c r="D15393">
        <v>415</v>
      </c>
      <c r="E15393">
        <v>1577139304</v>
      </c>
      <c r="F15393">
        <v>1055</v>
      </c>
      <c r="G15393">
        <v>0</v>
      </c>
      <c r="H15393" t="s">
        <v>20235</v>
      </c>
      <c r="I15393">
        <v>17422</v>
      </c>
      <c r="J15393" t="str">
        <f>VLOOKUP(E15393,DSSpieler!A:B,2,FALSE)</f>
        <v>Foureyes</v>
      </c>
    </row>
    <row r="15394" spans="1:10" x14ac:dyDescent="0.25">
      <c r="A15394">
        <v>17424</v>
      </c>
      <c r="B15394" t="s">
        <v>531</v>
      </c>
      <c r="C15394">
        <v>625</v>
      </c>
      <c r="D15394">
        <v>518</v>
      </c>
      <c r="E15394">
        <v>0</v>
      </c>
      <c r="F15394">
        <v>90</v>
      </c>
      <c r="G15394">
        <v>0</v>
      </c>
      <c r="H15394" t="s">
        <v>20236</v>
      </c>
      <c r="I15394">
        <v>17424</v>
      </c>
      <c r="J15394" t="e">
        <f>VLOOKUP(E15394,DSSpieler!A:B,2,FALSE)</f>
        <v>#N/A</v>
      </c>
    </row>
    <row r="15395" spans="1:10" x14ac:dyDescent="0.25">
      <c r="A15395">
        <v>17425</v>
      </c>
      <c r="B15395" t="s">
        <v>531</v>
      </c>
      <c r="C15395">
        <v>435</v>
      </c>
      <c r="D15395">
        <v>606</v>
      </c>
      <c r="E15395">
        <v>0</v>
      </c>
      <c r="F15395">
        <v>78</v>
      </c>
      <c r="G15395">
        <v>0</v>
      </c>
      <c r="H15395" t="s">
        <v>20237</v>
      </c>
      <c r="I15395">
        <v>17425</v>
      </c>
      <c r="J15395" t="e">
        <f>VLOOKUP(E15395,DSSpieler!A:B,2,FALSE)</f>
        <v>#N/A</v>
      </c>
    </row>
    <row r="15396" spans="1:10" x14ac:dyDescent="0.25">
      <c r="A15396">
        <v>17426</v>
      </c>
      <c r="B15396" t="s">
        <v>531</v>
      </c>
      <c r="C15396">
        <v>618</v>
      </c>
      <c r="D15396">
        <v>549</v>
      </c>
      <c r="E15396">
        <v>0</v>
      </c>
      <c r="F15396">
        <v>103</v>
      </c>
      <c r="G15396">
        <v>0</v>
      </c>
      <c r="H15396" t="s">
        <v>20238</v>
      </c>
      <c r="I15396">
        <v>17426</v>
      </c>
      <c r="J15396" t="e">
        <f>VLOOKUP(E15396,DSSpieler!A:B,2,FALSE)</f>
        <v>#N/A</v>
      </c>
    </row>
    <row r="15397" spans="1:10" x14ac:dyDescent="0.25">
      <c r="A15397">
        <v>17427</v>
      </c>
      <c r="B15397" t="s">
        <v>2645</v>
      </c>
      <c r="C15397">
        <v>519</v>
      </c>
      <c r="D15397">
        <v>462</v>
      </c>
      <c r="E15397">
        <v>1577110831</v>
      </c>
      <c r="F15397">
        <v>676</v>
      </c>
      <c r="G15397">
        <v>0</v>
      </c>
      <c r="H15397" t="s">
        <v>20239</v>
      </c>
      <c r="I15397">
        <v>17427</v>
      </c>
      <c r="J15397" t="str">
        <f>VLOOKUP(E15397,DSSpieler!A:B,2,FALSE)</f>
        <v>Rogler13</v>
      </c>
    </row>
    <row r="15398" spans="1:10" x14ac:dyDescent="0.25">
      <c r="A15398">
        <v>17428</v>
      </c>
      <c r="B15398" t="s">
        <v>2646</v>
      </c>
      <c r="C15398">
        <v>547</v>
      </c>
      <c r="D15398">
        <v>428</v>
      </c>
      <c r="E15398">
        <v>9190490</v>
      </c>
      <c r="F15398">
        <v>1256</v>
      </c>
      <c r="G15398">
        <v>0</v>
      </c>
      <c r="H15398" t="s">
        <v>20240</v>
      </c>
      <c r="I15398">
        <v>17428</v>
      </c>
      <c r="J15398" t="str">
        <f>VLOOKUP(E15398,DSSpieler!A:B,2,FALSE)</f>
        <v>Arthur Eriksson</v>
      </c>
    </row>
    <row r="15399" spans="1:10" x14ac:dyDescent="0.25">
      <c r="A15399">
        <v>17429</v>
      </c>
      <c r="B15399" t="s">
        <v>531</v>
      </c>
      <c r="C15399">
        <v>541</v>
      </c>
      <c r="D15399">
        <v>517</v>
      </c>
      <c r="E15399">
        <v>0</v>
      </c>
      <c r="F15399">
        <v>267</v>
      </c>
      <c r="G15399">
        <v>0</v>
      </c>
      <c r="H15399" t="s">
        <v>20241</v>
      </c>
      <c r="I15399">
        <v>17429</v>
      </c>
      <c r="J15399" t="e">
        <f>VLOOKUP(E15399,DSSpieler!A:B,2,FALSE)</f>
        <v>#N/A</v>
      </c>
    </row>
    <row r="15400" spans="1:10" x14ac:dyDescent="0.25">
      <c r="A15400">
        <v>17430</v>
      </c>
      <c r="B15400" t="s">
        <v>531</v>
      </c>
      <c r="C15400">
        <v>439</v>
      </c>
      <c r="D15400">
        <v>602</v>
      </c>
      <c r="E15400">
        <v>0</v>
      </c>
      <c r="F15400">
        <v>237</v>
      </c>
      <c r="G15400">
        <v>0</v>
      </c>
      <c r="H15400" t="s">
        <v>20242</v>
      </c>
      <c r="I15400">
        <v>17430</v>
      </c>
      <c r="J15400" t="e">
        <f>VLOOKUP(E15400,DSSpieler!A:B,2,FALSE)</f>
        <v>#N/A</v>
      </c>
    </row>
    <row r="15401" spans="1:10" x14ac:dyDescent="0.25">
      <c r="A15401">
        <v>17431</v>
      </c>
      <c r="B15401" t="s">
        <v>2647</v>
      </c>
      <c r="C15401">
        <v>438</v>
      </c>
      <c r="D15401">
        <v>600</v>
      </c>
      <c r="E15401">
        <v>1577205681</v>
      </c>
      <c r="F15401">
        <v>794</v>
      </c>
      <c r="G15401">
        <v>0</v>
      </c>
      <c r="H15401" t="s">
        <v>20243</v>
      </c>
      <c r="I15401">
        <v>17431</v>
      </c>
      <c r="J15401" t="str">
        <f>VLOOKUP(E15401,DSSpieler!A:B,2,FALSE)</f>
        <v>Fauxi91</v>
      </c>
    </row>
    <row r="15402" spans="1:10" x14ac:dyDescent="0.25">
      <c r="A15402">
        <v>17432</v>
      </c>
      <c r="B15402">
        <v>123</v>
      </c>
      <c r="C15402">
        <v>583</v>
      </c>
      <c r="D15402">
        <v>522</v>
      </c>
      <c r="E15402">
        <v>1577197839</v>
      </c>
      <c r="F15402">
        <v>681</v>
      </c>
      <c r="G15402">
        <v>0</v>
      </c>
      <c r="H15402" t="s">
        <v>20244</v>
      </c>
      <c r="I15402">
        <v>17432</v>
      </c>
      <c r="J15402" t="str">
        <f>VLOOKUP(E15402,DSSpieler!A:B,2,FALSE)</f>
        <v>Anto</v>
      </c>
    </row>
    <row r="15403" spans="1:10" x14ac:dyDescent="0.25">
      <c r="A15403">
        <v>17433</v>
      </c>
      <c r="B15403" t="s">
        <v>2648</v>
      </c>
      <c r="C15403">
        <v>564</v>
      </c>
      <c r="D15403">
        <v>394</v>
      </c>
      <c r="E15403">
        <v>1577155699</v>
      </c>
      <c r="F15403">
        <v>50</v>
      </c>
      <c r="G15403">
        <v>0</v>
      </c>
      <c r="H15403" t="s">
        <v>20245</v>
      </c>
      <c r="I15403">
        <v>17433</v>
      </c>
      <c r="J15403" t="str">
        <f>VLOOKUP(E15403,DSSpieler!A:B,2,FALSE)</f>
        <v>Knjas</v>
      </c>
    </row>
    <row r="15404" spans="1:10" x14ac:dyDescent="0.25">
      <c r="A15404">
        <v>17434</v>
      </c>
      <c r="B15404" t="s">
        <v>531</v>
      </c>
      <c r="C15404">
        <v>519</v>
      </c>
      <c r="D15404">
        <v>378</v>
      </c>
      <c r="E15404">
        <v>0</v>
      </c>
      <c r="F15404">
        <v>97</v>
      </c>
      <c r="G15404">
        <v>0</v>
      </c>
      <c r="H15404" t="s">
        <v>20246</v>
      </c>
      <c r="I15404">
        <v>17434</v>
      </c>
      <c r="J15404" t="e">
        <f>VLOOKUP(E15404,DSSpieler!A:B,2,FALSE)</f>
        <v>#N/A</v>
      </c>
    </row>
    <row r="15405" spans="1:10" x14ac:dyDescent="0.25">
      <c r="A15405">
        <v>17436</v>
      </c>
      <c r="B15405" t="s">
        <v>531</v>
      </c>
      <c r="C15405">
        <v>556</v>
      </c>
      <c r="D15405">
        <v>611</v>
      </c>
      <c r="E15405">
        <v>0</v>
      </c>
      <c r="F15405">
        <v>62</v>
      </c>
      <c r="G15405">
        <v>0</v>
      </c>
      <c r="H15405" t="s">
        <v>20247</v>
      </c>
      <c r="I15405">
        <v>17436</v>
      </c>
      <c r="J15405" t="e">
        <f>VLOOKUP(E15405,DSSpieler!A:B,2,FALSE)</f>
        <v>#N/A</v>
      </c>
    </row>
    <row r="15406" spans="1:10" x14ac:dyDescent="0.25">
      <c r="A15406">
        <v>17438</v>
      </c>
      <c r="B15406" t="s">
        <v>531</v>
      </c>
      <c r="C15406">
        <v>566</v>
      </c>
      <c r="D15406">
        <v>545</v>
      </c>
      <c r="E15406">
        <v>0</v>
      </c>
      <c r="F15406">
        <v>64</v>
      </c>
      <c r="G15406">
        <v>0</v>
      </c>
      <c r="H15406" t="s">
        <v>20248</v>
      </c>
      <c r="I15406">
        <v>17438</v>
      </c>
      <c r="J15406" t="e">
        <f>VLOOKUP(E15406,DSSpieler!A:B,2,FALSE)</f>
        <v>#N/A</v>
      </c>
    </row>
    <row r="15407" spans="1:10" x14ac:dyDescent="0.25">
      <c r="A15407">
        <v>17439</v>
      </c>
      <c r="B15407" t="s">
        <v>2649</v>
      </c>
      <c r="C15407">
        <v>615</v>
      </c>
      <c r="D15407">
        <v>546</v>
      </c>
      <c r="E15407">
        <v>1577205691</v>
      </c>
      <c r="F15407">
        <v>645</v>
      </c>
      <c r="G15407">
        <v>0</v>
      </c>
      <c r="H15407" t="s">
        <v>20249</v>
      </c>
      <c r="I15407">
        <v>17439</v>
      </c>
      <c r="J15407" t="str">
        <f>VLOOKUP(E15407,DSSpieler!A:B,2,FALSE)</f>
        <v>Huginux</v>
      </c>
    </row>
    <row r="15408" spans="1:10" x14ac:dyDescent="0.25">
      <c r="A15408">
        <v>17440</v>
      </c>
      <c r="B15408" t="s">
        <v>2650</v>
      </c>
      <c r="C15408">
        <v>464</v>
      </c>
      <c r="D15408">
        <v>526</v>
      </c>
      <c r="E15408">
        <v>1576785492</v>
      </c>
      <c r="F15408">
        <v>2680</v>
      </c>
      <c r="G15408">
        <v>0</v>
      </c>
      <c r="H15408" t="s">
        <v>20250</v>
      </c>
      <c r="I15408">
        <v>17440</v>
      </c>
      <c r="J15408" t="str">
        <f>VLOOKUP(E15408,DSSpieler!A:B,2,FALSE)</f>
        <v>berni2241</v>
      </c>
    </row>
    <row r="15409" spans="1:10" x14ac:dyDescent="0.25">
      <c r="A15409">
        <v>17441</v>
      </c>
      <c r="B15409" t="s">
        <v>2651</v>
      </c>
      <c r="C15409">
        <v>398</v>
      </c>
      <c r="D15409">
        <v>534</v>
      </c>
      <c r="E15409">
        <v>1577205695</v>
      </c>
      <c r="F15409">
        <v>248</v>
      </c>
      <c r="G15409">
        <v>0</v>
      </c>
      <c r="H15409" t="s">
        <v>20251</v>
      </c>
      <c r="I15409">
        <v>17441</v>
      </c>
      <c r="J15409" t="str">
        <f>VLOOKUP(E15409,DSSpieler!A:B,2,FALSE)</f>
        <v>bruSeb01</v>
      </c>
    </row>
    <row r="15410" spans="1:10" x14ac:dyDescent="0.25">
      <c r="A15410">
        <v>17442</v>
      </c>
      <c r="B15410" t="s">
        <v>2652</v>
      </c>
      <c r="C15410">
        <v>393</v>
      </c>
      <c r="D15410">
        <v>451</v>
      </c>
      <c r="E15410">
        <v>1577189107</v>
      </c>
      <c r="F15410">
        <v>2447</v>
      </c>
      <c r="G15410">
        <v>0</v>
      </c>
      <c r="H15410" t="s">
        <v>20252</v>
      </c>
      <c r="I15410">
        <v>17442</v>
      </c>
      <c r="J15410" t="str">
        <f>VLOOKUP(E15410,DSSpieler!A:B,2,FALSE)</f>
        <v>Zocker3000</v>
      </c>
    </row>
    <row r="15411" spans="1:10" x14ac:dyDescent="0.25">
      <c r="A15411">
        <v>17443</v>
      </c>
      <c r="B15411" t="s">
        <v>531</v>
      </c>
      <c r="C15411">
        <v>485</v>
      </c>
      <c r="D15411">
        <v>623</v>
      </c>
      <c r="E15411">
        <v>1576635949</v>
      </c>
      <c r="F15411">
        <v>1198</v>
      </c>
      <c r="G15411">
        <v>0</v>
      </c>
      <c r="H15411" t="s">
        <v>20253</v>
      </c>
      <c r="I15411">
        <v>17443</v>
      </c>
      <c r="J15411" t="str">
        <f>VLOOKUP(E15411,DSSpieler!A:B,2,FALSE)</f>
        <v>SK4RT3R</v>
      </c>
    </row>
    <row r="15412" spans="1:10" x14ac:dyDescent="0.25">
      <c r="A15412">
        <v>17444</v>
      </c>
      <c r="B15412" t="s">
        <v>35591</v>
      </c>
      <c r="C15412">
        <v>582</v>
      </c>
      <c r="D15412">
        <v>418</v>
      </c>
      <c r="E15412">
        <v>1486702</v>
      </c>
      <c r="F15412">
        <v>26</v>
      </c>
      <c r="G15412">
        <v>0</v>
      </c>
      <c r="H15412" t="s">
        <v>20254</v>
      </c>
      <c r="I15412">
        <v>17444</v>
      </c>
      <c r="J15412" t="str">
        <f>VLOOKUP(E15412,DSSpieler!A:B,2,FALSE)</f>
        <v>itofino</v>
      </c>
    </row>
    <row r="15413" spans="1:10" x14ac:dyDescent="0.25">
      <c r="A15413">
        <v>17445</v>
      </c>
      <c r="B15413" t="s">
        <v>2653</v>
      </c>
      <c r="C15413">
        <v>536</v>
      </c>
      <c r="D15413">
        <v>621</v>
      </c>
      <c r="E15413">
        <v>9626379</v>
      </c>
      <c r="F15413">
        <v>50</v>
      </c>
      <c r="G15413">
        <v>0</v>
      </c>
      <c r="H15413" t="s">
        <v>20255</v>
      </c>
      <c r="I15413">
        <v>17445</v>
      </c>
      <c r="J15413" t="str">
        <f>VLOOKUP(E15413,DSSpieler!A:B,2,FALSE)</f>
        <v>Kampf-Berli</v>
      </c>
    </row>
    <row r="15414" spans="1:10" x14ac:dyDescent="0.25">
      <c r="A15414">
        <v>17446</v>
      </c>
      <c r="B15414" t="s">
        <v>531</v>
      </c>
      <c r="C15414">
        <v>604</v>
      </c>
      <c r="D15414">
        <v>512</v>
      </c>
      <c r="E15414">
        <v>0</v>
      </c>
      <c r="F15414">
        <v>99</v>
      </c>
      <c r="G15414">
        <v>0</v>
      </c>
      <c r="H15414" t="s">
        <v>20256</v>
      </c>
      <c r="I15414">
        <v>17446</v>
      </c>
      <c r="J15414" t="e">
        <f>VLOOKUP(E15414,DSSpieler!A:B,2,FALSE)</f>
        <v>#N/A</v>
      </c>
    </row>
    <row r="15415" spans="1:10" x14ac:dyDescent="0.25">
      <c r="A15415">
        <v>17447</v>
      </c>
      <c r="B15415" t="s">
        <v>2654</v>
      </c>
      <c r="C15415">
        <v>543</v>
      </c>
      <c r="D15415">
        <v>402</v>
      </c>
      <c r="E15415">
        <v>1577205702</v>
      </c>
      <c r="F15415">
        <v>1158</v>
      </c>
      <c r="G15415">
        <v>0</v>
      </c>
      <c r="H15415" t="s">
        <v>20257</v>
      </c>
      <c r="I15415">
        <v>17447</v>
      </c>
      <c r="J15415" t="str">
        <f>VLOOKUP(E15415,DSSpieler!A:B,2,FALSE)</f>
        <v>Sergej</v>
      </c>
    </row>
    <row r="15416" spans="1:10" x14ac:dyDescent="0.25">
      <c r="A15416">
        <v>17448</v>
      </c>
      <c r="B15416" t="s">
        <v>531</v>
      </c>
      <c r="C15416">
        <v>611</v>
      </c>
      <c r="D15416">
        <v>447</v>
      </c>
      <c r="E15416">
        <v>0</v>
      </c>
      <c r="F15416">
        <v>138</v>
      </c>
      <c r="G15416">
        <v>0</v>
      </c>
      <c r="H15416" t="s">
        <v>20258</v>
      </c>
      <c r="I15416">
        <v>17448</v>
      </c>
      <c r="J15416" t="e">
        <f>VLOOKUP(E15416,DSSpieler!A:B,2,FALSE)</f>
        <v>#N/A</v>
      </c>
    </row>
    <row r="15417" spans="1:10" x14ac:dyDescent="0.25">
      <c r="A15417">
        <v>17449</v>
      </c>
      <c r="B15417" t="s">
        <v>531</v>
      </c>
      <c r="C15417">
        <v>606</v>
      </c>
      <c r="D15417">
        <v>518</v>
      </c>
      <c r="E15417">
        <v>0</v>
      </c>
      <c r="F15417">
        <v>70</v>
      </c>
      <c r="G15417">
        <v>0</v>
      </c>
      <c r="H15417" t="s">
        <v>20259</v>
      </c>
      <c r="I15417">
        <v>17449</v>
      </c>
      <c r="J15417" t="e">
        <f>VLOOKUP(E15417,DSSpieler!A:B,2,FALSE)</f>
        <v>#N/A</v>
      </c>
    </row>
    <row r="15418" spans="1:10" x14ac:dyDescent="0.25">
      <c r="A15418">
        <v>17450</v>
      </c>
      <c r="B15418" t="s">
        <v>2655</v>
      </c>
      <c r="C15418">
        <v>574</v>
      </c>
      <c r="D15418">
        <v>423</v>
      </c>
      <c r="E15418">
        <v>1577197691</v>
      </c>
      <c r="F15418">
        <v>2145</v>
      </c>
      <c r="G15418">
        <v>0</v>
      </c>
      <c r="H15418" t="s">
        <v>20260</v>
      </c>
      <c r="I15418">
        <v>17450</v>
      </c>
      <c r="J15418" t="str">
        <f>VLOOKUP(E15418,DSSpieler!A:B,2,FALSE)</f>
        <v>McPaolo</v>
      </c>
    </row>
    <row r="15419" spans="1:10" x14ac:dyDescent="0.25">
      <c r="A15419">
        <v>17451</v>
      </c>
      <c r="B15419" t="s">
        <v>531</v>
      </c>
      <c r="C15419">
        <v>609</v>
      </c>
      <c r="D15419">
        <v>516</v>
      </c>
      <c r="E15419">
        <v>0</v>
      </c>
      <c r="F15419">
        <v>53</v>
      </c>
      <c r="G15419">
        <v>0</v>
      </c>
      <c r="H15419" t="s">
        <v>20261</v>
      </c>
      <c r="I15419">
        <v>17451</v>
      </c>
      <c r="J15419" t="e">
        <f>VLOOKUP(E15419,DSSpieler!A:B,2,FALSE)</f>
        <v>#N/A</v>
      </c>
    </row>
    <row r="15420" spans="1:10" x14ac:dyDescent="0.25">
      <c r="A15420">
        <v>17452</v>
      </c>
      <c r="B15420" t="s">
        <v>531</v>
      </c>
      <c r="C15420">
        <v>460</v>
      </c>
      <c r="D15420">
        <v>382</v>
      </c>
      <c r="E15420">
        <v>0</v>
      </c>
      <c r="F15420">
        <v>57</v>
      </c>
      <c r="G15420">
        <v>0</v>
      </c>
      <c r="H15420" t="s">
        <v>20262</v>
      </c>
      <c r="I15420">
        <v>17452</v>
      </c>
      <c r="J15420" t="e">
        <f>VLOOKUP(E15420,DSSpieler!A:B,2,FALSE)</f>
        <v>#N/A</v>
      </c>
    </row>
    <row r="15421" spans="1:10" x14ac:dyDescent="0.25">
      <c r="A15421">
        <v>17453</v>
      </c>
      <c r="B15421" t="s">
        <v>531</v>
      </c>
      <c r="C15421">
        <v>602</v>
      </c>
      <c r="D15421">
        <v>515</v>
      </c>
      <c r="E15421">
        <v>0</v>
      </c>
      <c r="F15421">
        <v>131</v>
      </c>
      <c r="G15421">
        <v>0</v>
      </c>
      <c r="H15421" t="s">
        <v>20263</v>
      </c>
      <c r="I15421">
        <v>17453</v>
      </c>
      <c r="J15421" t="e">
        <f>VLOOKUP(E15421,DSSpieler!A:B,2,FALSE)</f>
        <v>#N/A</v>
      </c>
    </row>
    <row r="15422" spans="1:10" x14ac:dyDescent="0.25">
      <c r="A15422">
        <v>17454</v>
      </c>
      <c r="B15422" t="s">
        <v>531</v>
      </c>
      <c r="C15422">
        <v>606</v>
      </c>
      <c r="D15422">
        <v>510</v>
      </c>
      <c r="E15422">
        <v>0</v>
      </c>
      <c r="F15422">
        <v>105</v>
      </c>
      <c r="G15422">
        <v>0</v>
      </c>
      <c r="H15422" t="s">
        <v>20264</v>
      </c>
      <c r="I15422">
        <v>17454</v>
      </c>
      <c r="J15422" t="e">
        <f>VLOOKUP(E15422,DSSpieler!A:B,2,FALSE)</f>
        <v>#N/A</v>
      </c>
    </row>
    <row r="15423" spans="1:10" x14ac:dyDescent="0.25">
      <c r="A15423">
        <v>17456</v>
      </c>
      <c r="B15423" t="s">
        <v>531</v>
      </c>
      <c r="C15423">
        <v>605</v>
      </c>
      <c r="D15423">
        <v>521</v>
      </c>
      <c r="E15423">
        <v>0</v>
      </c>
      <c r="F15423">
        <v>70</v>
      </c>
      <c r="G15423">
        <v>0</v>
      </c>
      <c r="H15423" t="s">
        <v>20265</v>
      </c>
      <c r="I15423">
        <v>17456</v>
      </c>
      <c r="J15423" t="e">
        <f>VLOOKUP(E15423,DSSpieler!A:B,2,FALSE)</f>
        <v>#N/A</v>
      </c>
    </row>
    <row r="15424" spans="1:10" x14ac:dyDescent="0.25">
      <c r="A15424">
        <v>17457</v>
      </c>
      <c r="B15424" t="s">
        <v>531</v>
      </c>
      <c r="C15424">
        <v>484</v>
      </c>
      <c r="D15424">
        <v>625</v>
      </c>
      <c r="E15424">
        <v>0</v>
      </c>
      <c r="F15424">
        <v>47</v>
      </c>
      <c r="G15424">
        <v>0</v>
      </c>
      <c r="H15424" t="s">
        <v>20266</v>
      </c>
      <c r="I15424">
        <v>17457</v>
      </c>
      <c r="J15424" t="e">
        <f>VLOOKUP(E15424,DSSpieler!A:B,2,FALSE)</f>
        <v>#N/A</v>
      </c>
    </row>
    <row r="15425" spans="1:10" x14ac:dyDescent="0.25">
      <c r="A15425">
        <v>17458</v>
      </c>
      <c r="B15425" t="s">
        <v>35592</v>
      </c>
      <c r="C15425">
        <v>506</v>
      </c>
      <c r="D15425">
        <v>525</v>
      </c>
      <c r="E15425">
        <v>1577197113</v>
      </c>
      <c r="F15425">
        <v>26</v>
      </c>
      <c r="G15425">
        <v>0</v>
      </c>
      <c r="H15425" t="s">
        <v>20267</v>
      </c>
      <c r="I15425">
        <v>17458</v>
      </c>
      <c r="J15425" t="str">
        <f>VLOOKUP(E15425,DSSpieler!A:B,2,FALSE)</f>
        <v>bärenstark</v>
      </c>
    </row>
    <row r="15426" spans="1:10" x14ac:dyDescent="0.25">
      <c r="A15426">
        <v>17459</v>
      </c>
      <c r="B15426" t="s">
        <v>2656</v>
      </c>
      <c r="C15426">
        <v>627</v>
      </c>
      <c r="D15426">
        <v>503</v>
      </c>
      <c r="E15426">
        <v>1577199118</v>
      </c>
      <c r="F15426">
        <v>45</v>
      </c>
      <c r="G15426">
        <v>0</v>
      </c>
      <c r="H15426" t="s">
        <v>20268</v>
      </c>
      <c r="I15426">
        <v>17459</v>
      </c>
      <c r="J15426" t="str">
        <f>VLOOKUP(E15426,DSSpieler!A:B,2,FALSE)</f>
        <v>Nympho</v>
      </c>
    </row>
    <row r="15427" spans="1:10" x14ac:dyDescent="0.25">
      <c r="A15427">
        <v>17460</v>
      </c>
      <c r="B15427" t="s">
        <v>531</v>
      </c>
      <c r="C15427">
        <v>565</v>
      </c>
      <c r="D15427">
        <v>396</v>
      </c>
      <c r="E15427">
        <v>0</v>
      </c>
      <c r="F15427">
        <v>142</v>
      </c>
      <c r="G15427">
        <v>0</v>
      </c>
      <c r="H15427" t="s">
        <v>20269</v>
      </c>
      <c r="I15427">
        <v>17460</v>
      </c>
      <c r="J15427" t="e">
        <f>VLOOKUP(E15427,DSSpieler!A:B,2,FALSE)</f>
        <v>#N/A</v>
      </c>
    </row>
    <row r="15428" spans="1:10" x14ac:dyDescent="0.25">
      <c r="A15428">
        <v>17463</v>
      </c>
      <c r="B15428" t="s">
        <v>531</v>
      </c>
      <c r="C15428">
        <v>525</v>
      </c>
      <c r="D15428">
        <v>379</v>
      </c>
      <c r="E15428">
        <v>0</v>
      </c>
      <c r="F15428">
        <v>62</v>
      </c>
      <c r="G15428">
        <v>0</v>
      </c>
      <c r="H15428" t="s">
        <v>20270</v>
      </c>
      <c r="I15428">
        <v>17463</v>
      </c>
      <c r="J15428" t="e">
        <f>VLOOKUP(E15428,DSSpieler!A:B,2,FALSE)</f>
        <v>#N/A</v>
      </c>
    </row>
    <row r="15429" spans="1:10" x14ac:dyDescent="0.25">
      <c r="A15429">
        <v>17465</v>
      </c>
      <c r="B15429" t="s">
        <v>2657</v>
      </c>
      <c r="C15429">
        <v>408</v>
      </c>
      <c r="D15429">
        <v>588</v>
      </c>
      <c r="E15429">
        <v>1577199177</v>
      </c>
      <c r="F15429">
        <v>2224</v>
      </c>
      <c r="G15429">
        <v>0</v>
      </c>
      <c r="H15429" t="s">
        <v>20271</v>
      </c>
      <c r="I15429">
        <v>17465</v>
      </c>
      <c r="J15429" t="str">
        <f>VLOOKUP(E15429,DSSpieler!A:B,2,FALSE)</f>
        <v>Philm</v>
      </c>
    </row>
    <row r="15430" spans="1:10" x14ac:dyDescent="0.25">
      <c r="A15430">
        <v>17466</v>
      </c>
      <c r="B15430" t="s">
        <v>531</v>
      </c>
      <c r="C15430">
        <v>403</v>
      </c>
      <c r="D15430">
        <v>538</v>
      </c>
      <c r="E15430">
        <v>0</v>
      </c>
      <c r="F15430">
        <v>1320</v>
      </c>
      <c r="G15430">
        <v>0</v>
      </c>
      <c r="H15430" t="s">
        <v>20272</v>
      </c>
      <c r="I15430">
        <v>17466</v>
      </c>
      <c r="J15430" t="e">
        <f>VLOOKUP(E15430,DSSpieler!A:B,2,FALSE)</f>
        <v>#N/A</v>
      </c>
    </row>
    <row r="15431" spans="1:10" x14ac:dyDescent="0.25">
      <c r="A15431">
        <v>17467</v>
      </c>
      <c r="B15431" t="s">
        <v>2659</v>
      </c>
      <c r="C15431">
        <v>455</v>
      </c>
      <c r="D15431">
        <v>484</v>
      </c>
      <c r="E15431">
        <v>634639</v>
      </c>
      <c r="F15431">
        <v>1742</v>
      </c>
      <c r="G15431">
        <v>0</v>
      </c>
      <c r="H15431" t="s">
        <v>20273</v>
      </c>
      <c r="I15431">
        <v>17467</v>
      </c>
      <c r="J15431" t="str">
        <f>VLOOKUP(E15431,DSSpieler!A:B,2,FALSE)</f>
        <v>Bromikus</v>
      </c>
    </row>
    <row r="15432" spans="1:10" x14ac:dyDescent="0.25">
      <c r="A15432">
        <v>17468</v>
      </c>
      <c r="B15432" t="s">
        <v>2660</v>
      </c>
      <c r="C15432">
        <v>378</v>
      </c>
      <c r="D15432">
        <v>512</v>
      </c>
      <c r="E15432">
        <v>1577169195</v>
      </c>
      <c r="F15432">
        <v>950</v>
      </c>
      <c r="G15432">
        <v>0</v>
      </c>
      <c r="H15432" t="s">
        <v>20274</v>
      </c>
      <c r="I15432">
        <v>17468</v>
      </c>
      <c r="J15432" t="str">
        <f>VLOOKUP(E15432,DSSpieler!A:B,2,FALSE)</f>
        <v>Xeonoex</v>
      </c>
    </row>
    <row r="15433" spans="1:10" x14ac:dyDescent="0.25">
      <c r="A15433">
        <v>17469</v>
      </c>
      <c r="B15433" t="s">
        <v>2661</v>
      </c>
      <c r="C15433">
        <v>393</v>
      </c>
      <c r="D15433">
        <v>560</v>
      </c>
      <c r="E15433">
        <v>1577055762</v>
      </c>
      <c r="F15433">
        <v>598</v>
      </c>
      <c r="G15433">
        <v>0</v>
      </c>
      <c r="H15433" t="s">
        <v>20275</v>
      </c>
      <c r="I15433">
        <v>17469</v>
      </c>
      <c r="J15433" t="str">
        <f>VLOOKUP(E15433,DSSpieler!A:B,2,FALSE)</f>
        <v>lex70</v>
      </c>
    </row>
    <row r="15434" spans="1:10" x14ac:dyDescent="0.25">
      <c r="A15434">
        <v>17470</v>
      </c>
      <c r="B15434" t="s">
        <v>531</v>
      </c>
      <c r="C15434">
        <v>387</v>
      </c>
      <c r="D15434">
        <v>464</v>
      </c>
      <c r="E15434">
        <v>0</v>
      </c>
      <c r="F15434">
        <v>388</v>
      </c>
      <c r="G15434">
        <v>0</v>
      </c>
      <c r="H15434" t="s">
        <v>20276</v>
      </c>
      <c r="I15434">
        <v>17470</v>
      </c>
      <c r="J15434" t="e">
        <f>VLOOKUP(E15434,DSSpieler!A:B,2,FALSE)</f>
        <v>#N/A</v>
      </c>
    </row>
    <row r="15435" spans="1:10" x14ac:dyDescent="0.25">
      <c r="A15435">
        <v>17471</v>
      </c>
      <c r="B15435" t="s">
        <v>2662</v>
      </c>
      <c r="C15435">
        <v>385</v>
      </c>
      <c r="D15435">
        <v>465</v>
      </c>
      <c r="E15435">
        <v>1577201730</v>
      </c>
      <c r="F15435">
        <v>851</v>
      </c>
      <c r="G15435">
        <v>0</v>
      </c>
      <c r="H15435" t="s">
        <v>504</v>
      </c>
      <c r="I15435">
        <v>17471</v>
      </c>
      <c r="J15435" t="str">
        <f>VLOOKUP(E15435,DSSpieler!A:B,2,FALSE)</f>
        <v>Kuisil</v>
      </c>
    </row>
    <row r="15436" spans="1:10" x14ac:dyDescent="0.25">
      <c r="A15436">
        <v>17472</v>
      </c>
      <c r="B15436" t="s">
        <v>531</v>
      </c>
      <c r="C15436">
        <v>615</v>
      </c>
      <c r="D15436">
        <v>542</v>
      </c>
      <c r="E15436">
        <v>0</v>
      </c>
      <c r="F15436">
        <v>199</v>
      </c>
      <c r="G15436">
        <v>0</v>
      </c>
      <c r="H15436" t="s">
        <v>20277</v>
      </c>
      <c r="I15436">
        <v>17472</v>
      </c>
      <c r="J15436" t="e">
        <f>VLOOKUP(E15436,DSSpieler!A:B,2,FALSE)</f>
        <v>#N/A</v>
      </c>
    </row>
    <row r="15437" spans="1:10" x14ac:dyDescent="0.25">
      <c r="A15437">
        <v>17473</v>
      </c>
      <c r="B15437" t="s">
        <v>2663</v>
      </c>
      <c r="C15437">
        <v>385</v>
      </c>
      <c r="D15437">
        <v>460</v>
      </c>
      <c r="E15437">
        <v>1577205730</v>
      </c>
      <c r="F15437">
        <v>507</v>
      </c>
      <c r="G15437">
        <v>0</v>
      </c>
      <c r="H15437" t="s">
        <v>20278</v>
      </c>
      <c r="I15437">
        <v>17473</v>
      </c>
      <c r="J15437" t="str">
        <f>VLOOKUP(E15437,DSSpieler!A:B,2,FALSE)</f>
        <v>LkwFahr3r</v>
      </c>
    </row>
    <row r="15438" spans="1:10" x14ac:dyDescent="0.25">
      <c r="A15438">
        <v>17474</v>
      </c>
      <c r="B15438" t="s">
        <v>2664</v>
      </c>
      <c r="C15438">
        <v>573</v>
      </c>
      <c r="D15438">
        <v>608</v>
      </c>
      <c r="E15438">
        <v>3328221</v>
      </c>
      <c r="F15438">
        <v>2995</v>
      </c>
      <c r="G15438">
        <v>0</v>
      </c>
      <c r="H15438" t="s">
        <v>20279</v>
      </c>
      <c r="I15438">
        <v>17474</v>
      </c>
      <c r="J15438" t="str">
        <f>VLOOKUP(E15438,DSSpieler!A:B,2,FALSE)</f>
        <v>David1197</v>
      </c>
    </row>
    <row r="15439" spans="1:10" x14ac:dyDescent="0.25">
      <c r="A15439">
        <v>17475</v>
      </c>
      <c r="B15439" t="s">
        <v>531</v>
      </c>
      <c r="C15439">
        <v>388</v>
      </c>
      <c r="D15439">
        <v>552</v>
      </c>
      <c r="E15439">
        <v>0</v>
      </c>
      <c r="F15439">
        <v>57</v>
      </c>
      <c r="G15439">
        <v>0</v>
      </c>
      <c r="H15439" t="s">
        <v>20280</v>
      </c>
      <c r="I15439">
        <v>17475</v>
      </c>
      <c r="J15439" t="e">
        <f>VLOOKUP(E15439,DSSpieler!A:B,2,FALSE)</f>
        <v>#N/A</v>
      </c>
    </row>
    <row r="15440" spans="1:10" x14ac:dyDescent="0.25">
      <c r="A15440">
        <v>17476</v>
      </c>
      <c r="B15440" t="s">
        <v>2665</v>
      </c>
      <c r="C15440">
        <v>516</v>
      </c>
      <c r="D15440">
        <v>525</v>
      </c>
      <c r="E15440">
        <v>1577164390</v>
      </c>
      <c r="F15440">
        <v>477</v>
      </c>
      <c r="G15440">
        <v>0</v>
      </c>
      <c r="H15440" t="s">
        <v>20281</v>
      </c>
      <c r="I15440">
        <v>17476</v>
      </c>
      <c r="J15440" t="str">
        <f>VLOOKUP(E15440,DSSpieler!A:B,2,FALSE)</f>
        <v>Himaster</v>
      </c>
    </row>
    <row r="15441" spans="1:10" x14ac:dyDescent="0.25">
      <c r="A15441">
        <v>17477</v>
      </c>
      <c r="B15441" t="s">
        <v>2666</v>
      </c>
      <c r="C15441">
        <v>488</v>
      </c>
      <c r="D15441">
        <v>376</v>
      </c>
      <c r="E15441">
        <v>682881</v>
      </c>
      <c r="F15441">
        <v>1193</v>
      </c>
      <c r="G15441">
        <v>0</v>
      </c>
      <c r="H15441" t="s">
        <v>20282</v>
      </c>
      <c r="I15441">
        <v>17477</v>
      </c>
      <c r="J15441" t="str">
        <f>VLOOKUP(E15441,DSSpieler!A:B,2,FALSE)</f>
        <v>Brausi</v>
      </c>
    </row>
    <row r="15442" spans="1:10" x14ac:dyDescent="0.25">
      <c r="A15442">
        <v>17478</v>
      </c>
      <c r="B15442" t="s">
        <v>35593</v>
      </c>
      <c r="C15442">
        <v>389</v>
      </c>
      <c r="D15442">
        <v>443</v>
      </c>
      <c r="E15442">
        <v>2779332</v>
      </c>
      <c r="F15442">
        <v>238</v>
      </c>
      <c r="G15442">
        <v>0</v>
      </c>
      <c r="H15442" t="s">
        <v>20283</v>
      </c>
      <c r="I15442">
        <v>17478</v>
      </c>
      <c r="J15442" t="str">
        <f>VLOOKUP(E15442,DSSpieler!A:B,2,FALSE)</f>
        <v>Lüttringhauser</v>
      </c>
    </row>
    <row r="15443" spans="1:10" x14ac:dyDescent="0.25">
      <c r="A15443">
        <v>17480</v>
      </c>
      <c r="B15443" t="s">
        <v>2667</v>
      </c>
      <c r="C15443">
        <v>397</v>
      </c>
      <c r="D15443">
        <v>429</v>
      </c>
      <c r="E15443">
        <v>1577032155</v>
      </c>
      <c r="F15443">
        <v>181</v>
      </c>
      <c r="G15443">
        <v>0</v>
      </c>
      <c r="H15443" t="s">
        <v>20284</v>
      </c>
      <c r="I15443">
        <v>17480</v>
      </c>
      <c r="J15443" t="str">
        <f>VLOOKUP(E15443,DSSpieler!A:B,2,FALSE)</f>
        <v>Goblin31</v>
      </c>
    </row>
    <row r="15444" spans="1:10" x14ac:dyDescent="0.25">
      <c r="A15444">
        <v>17481</v>
      </c>
      <c r="B15444" t="s">
        <v>531</v>
      </c>
      <c r="C15444">
        <v>377</v>
      </c>
      <c r="D15444">
        <v>467</v>
      </c>
      <c r="E15444">
        <v>0</v>
      </c>
      <c r="F15444">
        <v>280</v>
      </c>
      <c r="G15444">
        <v>0</v>
      </c>
      <c r="H15444" t="s">
        <v>20285</v>
      </c>
      <c r="I15444">
        <v>17481</v>
      </c>
      <c r="J15444" t="e">
        <f>VLOOKUP(E15444,DSSpieler!A:B,2,FALSE)</f>
        <v>#N/A</v>
      </c>
    </row>
    <row r="15445" spans="1:10" x14ac:dyDescent="0.25">
      <c r="A15445">
        <v>17482</v>
      </c>
      <c r="B15445" t="s">
        <v>2337</v>
      </c>
      <c r="C15445">
        <v>409</v>
      </c>
      <c r="D15445">
        <v>574</v>
      </c>
      <c r="E15445">
        <v>1576740851</v>
      </c>
      <c r="F15445">
        <v>2022</v>
      </c>
      <c r="G15445">
        <v>0</v>
      </c>
      <c r="H15445" t="s">
        <v>20286</v>
      </c>
      <c r="I15445">
        <v>17482</v>
      </c>
      <c r="J15445" t="str">
        <f>VLOOKUP(E15445,DSSpieler!A:B,2,FALSE)</f>
        <v>MrBond</v>
      </c>
    </row>
    <row r="15446" spans="1:10" x14ac:dyDescent="0.25">
      <c r="A15446">
        <v>17483</v>
      </c>
      <c r="B15446" t="s">
        <v>35594</v>
      </c>
      <c r="C15446">
        <v>406</v>
      </c>
      <c r="D15446">
        <v>580</v>
      </c>
      <c r="E15446">
        <v>1576885711</v>
      </c>
      <c r="F15446">
        <v>2420</v>
      </c>
      <c r="G15446">
        <v>0</v>
      </c>
      <c r="H15446" t="s">
        <v>20287</v>
      </c>
      <c r="I15446">
        <v>17483</v>
      </c>
      <c r="J15446" t="str">
        <f>VLOOKUP(E15446,DSSpieler!A:B,2,FALSE)</f>
        <v>Darzuk1337</v>
      </c>
    </row>
    <row r="15447" spans="1:10" x14ac:dyDescent="0.25">
      <c r="A15447">
        <v>17484</v>
      </c>
      <c r="B15447" t="s">
        <v>2668</v>
      </c>
      <c r="C15447">
        <v>486</v>
      </c>
      <c r="D15447">
        <v>506</v>
      </c>
      <c r="E15447">
        <v>1577190476</v>
      </c>
      <c r="F15447">
        <v>278</v>
      </c>
      <c r="G15447">
        <v>0</v>
      </c>
      <c r="H15447" t="s">
        <v>20288</v>
      </c>
      <c r="I15447">
        <v>17484</v>
      </c>
      <c r="J15447" t="str">
        <f>VLOOKUP(E15447,DSSpieler!A:B,2,FALSE)</f>
        <v>Chicken 0420</v>
      </c>
    </row>
    <row r="15448" spans="1:10" x14ac:dyDescent="0.25">
      <c r="A15448">
        <v>17485</v>
      </c>
      <c r="B15448" t="s">
        <v>531</v>
      </c>
      <c r="C15448">
        <v>497</v>
      </c>
      <c r="D15448">
        <v>623</v>
      </c>
      <c r="E15448">
        <v>0</v>
      </c>
      <c r="F15448">
        <v>55</v>
      </c>
      <c r="G15448">
        <v>0</v>
      </c>
      <c r="H15448" t="s">
        <v>20289</v>
      </c>
      <c r="I15448">
        <v>17485</v>
      </c>
      <c r="J15448" t="e">
        <f>VLOOKUP(E15448,DSSpieler!A:B,2,FALSE)</f>
        <v>#N/A</v>
      </c>
    </row>
    <row r="15449" spans="1:10" x14ac:dyDescent="0.25">
      <c r="A15449">
        <v>17486</v>
      </c>
      <c r="B15449" t="s">
        <v>2669</v>
      </c>
      <c r="C15449">
        <v>386</v>
      </c>
      <c r="D15449">
        <v>558</v>
      </c>
      <c r="E15449">
        <v>2349974</v>
      </c>
      <c r="F15449">
        <v>1137</v>
      </c>
      <c r="G15449">
        <v>0</v>
      </c>
      <c r="H15449" t="s">
        <v>20290</v>
      </c>
      <c r="I15449">
        <v>17486</v>
      </c>
      <c r="J15449" t="str">
        <f>VLOOKUP(E15449,DSSpieler!A:B,2,FALSE)</f>
        <v>f123456</v>
      </c>
    </row>
    <row r="15450" spans="1:10" x14ac:dyDescent="0.25">
      <c r="A15450">
        <v>17487</v>
      </c>
      <c r="B15450" t="s">
        <v>531</v>
      </c>
      <c r="C15450">
        <v>387</v>
      </c>
      <c r="D15450">
        <v>558</v>
      </c>
      <c r="E15450">
        <v>0</v>
      </c>
      <c r="F15450">
        <v>107</v>
      </c>
      <c r="G15450">
        <v>0</v>
      </c>
      <c r="H15450" t="s">
        <v>20291</v>
      </c>
      <c r="I15450">
        <v>17487</v>
      </c>
      <c r="J15450" t="e">
        <f>VLOOKUP(E15450,DSSpieler!A:B,2,FALSE)</f>
        <v>#N/A</v>
      </c>
    </row>
    <row r="15451" spans="1:10" x14ac:dyDescent="0.25">
      <c r="A15451">
        <v>17488</v>
      </c>
      <c r="B15451" t="s">
        <v>531</v>
      </c>
      <c r="C15451">
        <v>606</v>
      </c>
      <c r="D15451">
        <v>516</v>
      </c>
      <c r="E15451">
        <v>0</v>
      </c>
      <c r="F15451">
        <v>93</v>
      </c>
      <c r="G15451">
        <v>0</v>
      </c>
      <c r="H15451" t="s">
        <v>20292</v>
      </c>
      <c r="I15451">
        <v>17488</v>
      </c>
      <c r="J15451" t="e">
        <f>VLOOKUP(E15451,DSSpieler!A:B,2,FALSE)</f>
        <v>#N/A</v>
      </c>
    </row>
    <row r="15452" spans="1:10" x14ac:dyDescent="0.25">
      <c r="A15452">
        <v>17489</v>
      </c>
      <c r="B15452">
        <v>178</v>
      </c>
      <c r="C15452">
        <v>556</v>
      </c>
      <c r="D15452">
        <v>391</v>
      </c>
      <c r="E15452">
        <v>1576939597</v>
      </c>
      <c r="F15452">
        <v>733</v>
      </c>
      <c r="G15452">
        <v>0</v>
      </c>
      <c r="H15452" t="s">
        <v>20293</v>
      </c>
      <c r="I15452">
        <v>17489</v>
      </c>
      <c r="J15452" t="str">
        <f>VLOOKUP(E15452,DSSpieler!A:B,2,FALSE)</f>
        <v>kerrigan5</v>
      </c>
    </row>
    <row r="15453" spans="1:10" x14ac:dyDescent="0.25">
      <c r="A15453">
        <v>17490</v>
      </c>
      <c r="B15453" t="s">
        <v>531</v>
      </c>
      <c r="C15453">
        <v>416</v>
      </c>
      <c r="D15453">
        <v>546</v>
      </c>
      <c r="E15453">
        <v>0</v>
      </c>
      <c r="F15453">
        <v>106</v>
      </c>
      <c r="G15453">
        <v>0</v>
      </c>
      <c r="H15453" t="s">
        <v>20294</v>
      </c>
      <c r="I15453">
        <v>17490</v>
      </c>
      <c r="J15453" t="e">
        <f>VLOOKUP(E15453,DSSpieler!A:B,2,FALSE)</f>
        <v>#N/A</v>
      </c>
    </row>
    <row r="15454" spans="1:10" x14ac:dyDescent="0.25">
      <c r="A15454">
        <v>17491</v>
      </c>
      <c r="B15454" t="s">
        <v>531</v>
      </c>
      <c r="C15454">
        <v>392</v>
      </c>
      <c r="D15454">
        <v>558</v>
      </c>
      <c r="E15454">
        <v>0</v>
      </c>
      <c r="F15454">
        <v>163</v>
      </c>
      <c r="G15454">
        <v>0</v>
      </c>
      <c r="H15454" t="s">
        <v>20295</v>
      </c>
      <c r="I15454">
        <v>17491</v>
      </c>
      <c r="J15454" t="e">
        <f>VLOOKUP(E15454,DSSpieler!A:B,2,FALSE)</f>
        <v>#N/A</v>
      </c>
    </row>
    <row r="15455" spans="1:10" x14ac:dyDescent="0.25">
      <c r="A15455">
        <v>17492</v>
      </c>
      <c r="B15455" t="s">
        <v>2670</v>
      </c>
      <c r="C15455">
        <v>619</v>
      </c>
      <c r="D15455">
        <v>468</v>
      </c>
      <c r="E15455">
        <v>1577196691</v>
      </c>
      <c r="F15455">
        <v>229</v>
      </c>
      <c r="G15455">
        <v>0</v>
      </c>
      <c r="H15455" t="s">
        <v>20296</v>
      </c>
      <c r="I15455">
        <v>17492</v>
      </c>
      <c r="J15455" t="str">
        <f>VLOOKUP(E15455,DSSpieler!A:B,2,FALSE)</f>
        <v>musicinmyveins</v>
      </c>
    </row>
    <row r="15456" spans="1:10" x14ac:dyDescent="0.25">
      <c r="A15456">
        <v>17493</v>
      </c>
      <c r="B15456" t="s">
        <v>2671</v>
      </c>
      <c r="C15456">
        <v>487</v>
      </c>
      <c r="D15456">
        <v>626</v>
      </c>
      <c r="E15456">
        <v>833938</v>
      </c>
      <c r="F15456">
        <v>1943</v>
      </c>
      <c r="G15456">
        <v>0</v>
      </c>
      <c r="H15456" t="s">
        <v>20297</v>
      </c>
      <c r="I15456">
        <v>17493</v>
      </c>
      <c r="J15456" t="str">
        <f>VLOOKUP(E15456,DSSpieler!A:B,2,FALSE)</f>
        <v>Jule13</v>
      </c>
    </row>
    <row r="15457" spans="1:10" x14ac:dyDescent="0.25">
      <c r="A15457">
        <v>17494</v>
      </c>
      <c r="B15457" t="s">
        <v>2672</v>
      </c>
      <c r="C15457">
        <v>388</v>
      </c>
      <c r="D15457">
        <v>441</v>
      </c>
      <c r="E15457">
        <v>9918883</v>
      </c>
      <c r="F15457">
        <v>2174</v>
      </c>
      <c r="G15457">
        <v>0</v>
      </c>
      <c r="H15457" t="s">
        <v>20298</v>
      </c>
      <c r="I15457">
        <v>17494</v>
      </c>
      <c r="J15457" t="str">
        <f>VLOOKUP(E15457,DSSpieler!A:B,2,FALSE)</f>
        <v>sir bene88</v>
      </c>
    </row>
    <row r="15458" spans="1:10" x14ac:dyDescent="0.25">
      <c r="A15458">
        <v>17495</v>
      </c>
      <c r="B15458" t="s">
        <v>531</v>
      </c>
      <c r="C15458">
        <v>379</v>
      </c>
      <c r="D15458">
        <v>465</v>
      </c>
      <c r="E15458">
        <v>0</v>
      </c>
      <c r="F15458">
        <v>53</v>
      </c>
      <c r="G15458">
        <v>0</v>
      </c>
      <c r="H15458" t="s">
        <v>20299</v>
      </c>
      <c r="I15458">
        <v>17495</v>
      </c>
      <c r="J15458" t="e">
        <f>VLOOKUP(E15458,DSSpieler!A:B,2,FALSE)</f>
        <v>#N/A</v>
      </c>
    </row>
    <row r="15459" spans="1:10" x14ac:dyDescent="0.25">
      <c r="A15459">
        <v>17497</v>
      </c>
      <c r="B15459" t="s">
        <v>1231</v>
      </c>
      <c r="C15459">
        <v>376</v>
      </c>
      <c r="D15459">
        <v>527</v>
      </c>
      <c r="E15459">
        <v>1577199800</v>
      </c>
      <c r="F15459">
        <v>2075</v>
      </c>
      <c r="G15459">
        <v>0</v>
      </c>
      <c r="H15459" t="s">
        <v>20300</v>
      </c>
      <c r="I15459">
        <v>17497</v>
      </c>
      <c r="J15459" t="str">
        <f>VLOOKUP(E15459,DSSpieler!A:B,2,FALSE)</f>
        <v>BurningsStyle</v>
      </c>
    </row>
    <row r="15460" spans="1:10" x14ac:dyDescent="0.25">
      <c r="A15460">
        <v>17500</v>
      </c>
      <c r="B15460" t="s">
        <v>2673</v>
      </c>
      <c r="C15460">
        <v>610</v>
      </c>
      <c r="D15460">
        <v>506</v>
      </c>
      <c r="E15460">
        <v>1577177398</v>
      </c>
      <c r="F15460">
        <v>414</v>
      </c>
      <c r="G15460">
        <v>0</v>
      </c>
      <c r="H15460" t="s">
        <v>20301</v>
      </c>
      <c r="I15460">
        <v>17500</v>
      </c>
      <c r="J15460" t="str">
        <f>VLOOKUP(E15460,DSSpieler!A:B,2,FALSE)</f>
        <v>elhayat</v>
      </c>
    </row>
    <row r="15461" spans="1:10" x14ac:dyDescent="0.25">
      <c r="A15461">
        <v>17501</v>
      </c>
      <c r="B15461" t="s">
        <v>531</v>
      </c>
      <c r="C15461">
        <v>618</v>
      </c>
      <c r="D15461">
        <v>456</v>
      </c>
      <c r="E15461">
        <v>0</v>
      </c>
      <c r="F15461">
        <v>137</v>
      </c>
      <c r="G15461">
        <v>0</v>
      </c>
      <c r="H15461" t="s">
        <v>20302</v>
      </c>
      <c r="I15461">
        <v>17501</v>
      </c>
      <c r="J15461" t="e">
        <f>VLOOKUP(E15461,DSSpieler!A:B,2,FALSE)</f>
        <v>#N/A</v>
      </c>
    </row>
    <row r="15462" spans="1:10" x14ac:dyDescent="0.25">
      <c r="A15462">
        <v>17503</v>
      </c>
      <c r="B15462" t="s">
        <v>2674</v>
      </c>
      <c r="C15462">
        <v>497</v>
      </c>
      <c r="D15462">
        <v>627</v>
      </c>
      <c r="E15462">
        <v>1577175048</v>
      </c>
      <c r="F15462">
        <v>54</v>
      </c>
      <c r="G15462">
        <v>0</v>
      </c>
      <c r="H15462" t="s">
        <v>20303</v>
      </c>
      <c r="I15462">
        <v>17503</v>
      </c>
      <c r="J15462" t="e">
        <f>VLOOKUP(E15462,DSSpieler!A:B,2,FALSE)</f>
        <v>#NAME?</v>
      </c>
    </row>
    <row r="15463" spans="1:10" x14ac:dyDescent="0.25">
      <c r="A15463">
        <v>17504</v>
      </c>
      <c r="B15463" t="s">
        <v>2196</v>
      </c>
      <c r="C15463">
        <v>510</v>
      </c>
      <c r="D15463">
        <v>570</v>
      </c>
      <c r="E15463">
        <v>1576176852</v>
      </c>
      <c r="F15463">
        <v>2260</v>
      </c>
      <c r="G15463">
        <v>0</v>
      </c>
      <c r="H15463" t="s">
        <v>20304</v>
      </c>
      <c r="I15463">
        <v>17504</v>
      </c>
      <c r="J15463" t="str">
        <f>VLOOKUP(E15463,DSSpieler!A:B,2,FALSE)</f>
        <v>Hoepfner</v>
      </c>
    </row>
    <row r="15464" spans="1:10" x14ac:dyDescent="0.25">
      <c r="A15464">
        <v>17505</v>
      </c>
      <c r="B15464" t="s">
        <v>1131</v>
      </c>
      <c r="C15464">
        <v>436</v>
      </c>
      <c r="D15464">
        <v>585</v>
      </c>
      <c r="E15464">
        <v>8173151</v>
      </c>
      <c r="F15464">
        <v>1322</v>
      </c>
      <c r="G15464">
        <v>0</v>
      </c>
      <c r="H15464" t="s">
        <v>20305</v>
      </c>
      <c r="I15464">
        <v>17505</v>
      </c>
      <c r="J15464" t="str">
        <f>VLOOKUP(E15464,DSSpieler!A:B,2,FALSE)</f>
        <v>chlodwigis</v>
      </c>
    </row>
    <row r="15465" spans="1:10" x14ac:dyDescent="0.25">
      <c r="A15465">
        <v>17506</v>
      </c>
      <c r="B15465" t="s">
        <v>2675</v>
      </c>
      <c r="C15465">
        <v>437</v>
      </c>
      <c r="D15465">
        <v>395</v>
      </c>
      <c r="E15465">
        <v>1577202424</v>
      </c>
      <c r="F15465">
        <v>2572</v>
      </c>
      <c r="G15465">
        <v>0</v>
      </c>
      <c r="H15465" t="s">
        <v>20306</v>
      </c>
      <c r="I15465">
        <v>17506</v>
      </c>
      <c r="J15465" t="str">
        <f>VLOOKUP(E15465,DSSpieler!A:B,2,FALSE)</f>
        <v>General Cartman Lee</v>
      </c>
    </row>
    <row r="15466" spans="1:10" x14ac:dyDescent="0.25">
      <c r="A15466">
        <v>17507</v>
      </c>
      <c r="B15466" t="s">
        <v>531</v>
      </c>
      <c r="C15466">
        <v>429</v>
      </c>
      <c r="D15466">
        <v>603</v>
      </c>
      <c r="E15466">
        <v>0</v>
      </c>
      <c r="F15466">
        <v>49</v>
      </c>
      <c r="G15466">
        <v>0</v>
      </c>
      <c r="H15466" t="s">
        <v>20307</v>
      </c>
      <c r="I15466">
        <v>17507</v>
      </c>
      <c r="J15466" t="e">
        <f>VLOOKUP(E15466,DSSpieler!A:B,2,FALSE)</f>
        <v>#N/A</v>
      </c>
    </row>
    <row r="15467" spans="1:10" x14ac:dyDescent="0.25">
      <c r="A15467">
        <v>17508</v>
      </c>
      <c r="B15467" t="s">
        <v>2676</v>
      </c>
      <c r="C15467">
        <v>400</v>
      </c>
      <c r="D15467">
        <v>570</v>
      </c>
      <c r="E15467">
        <v>1577110794</v>
      </c>
      <c r="F15467">
        <v>370</v>
      </c>
      <c r="G15467">
        <v>0</v>
      </c>
      <c r="H15467" t="s">
        <v>20308</v>
      </c>
      <c r="I15467">
        <v>17508</v>
      </c>
      <c r="J15467" t="str">
        <f>VLOOKUP(E15467,DSSpieler!A:B,2,FALSE)</f>
        <v>nobbydrawelli1</v>
      </c>
    </row>
    <row r="15468" spans="1:10" x14ac:dyDescent="0.25">
      <c r="A15468">
        <v>17509</v>
      </c>
      <c r="B15468" t="s">
        <v>2677</v>
      </c>
      <c r="C15468">
        <v>500</v>
      </c>
      <c r="D15468">
        <v>422</v>
      </c>
      <c r="E15468">
        <v>1577199639</v>
      </c>
      <c r="F15468">
        <v>184</v>
      </c>
      <c r="G15468">
        <v>0</v>
      </c>
      <c r="H15468" t="s">
        <v>20309</v>
      </c>
      <c r="I15468">
        <v>17509</v>
      </c>
      <c r="J15468" t="str">
        <f>VLOOKUP(E15468,DSSpieler!A:B,2,FALSE)</f>
        <v>pluffi</v>
      </c>
    </row>
    <row r="15469" spans="1:10" x14ac:dyDescent="0.25">
      <c r="A15469">
        <v>17510</v>
      </c>
      <c r="B15469" t="s">
        <v>2678</v>
      </c>
      <c r="C15469">
        <v>618</v>
      </c>
      <c r="D15469">
        <v>452</v>
      </c>
      <c r="E15469">
        <v>1576530923</v>
      </c>
      <c r="F15469">
        <v>294</v>
      </c>
      <c r="G15469">
        <v>0</v>
      </c>
      <c r="H15469" t="s">
        <v>20310</v>
      </c>
      <c r="I15469">
        <v>17510</v>
      </c>
      <c r="J15469" t="str">
        <f>VLOOKUP(E15469,DSSpieler!A:B,2,FALSE)</f>
        <v>BobiixD</v>
      </c>
    </row>
    <row r="15470" spans="1:10" x14ac:dyDescent="0.25">
      <c r="A15470">
        <v>17511</v>
      </c>
      <c r="B15470" t="s">
        <v>531</v>
      </c>
      <c r="C15470">
        <v>505</v>
      </c>
      <c r="D15470">
        <v>625</v>
      </c>
      <c r="E15470">
        <v>0</v>
      </c>
      <c r="F15470">
        <v>1801</v>
      </c>
      <c r="G15470">
        <v>0</v>
      </c>
      <c r="H15470" t="s">
        <v>20311</v>
      </c>
      <c r="I15470">
        <v>17511</v>
      </c>
      <c r="J15470" t="e">
        <f>VLOOKUP(E15470,DSSpieler!A:B,2,FALSE)</f>
        <v>#N/A</v>
      </c>
    </row>
    <row r="15471" spans="1:10" x14ac:dyDescent="0.25">
      <c r="A15471">
        <v>17512</v>
      </c>
      <c r="B15471" t="s">
        <v>2679</v>
      </c>
      <c r="C15471">
        <v>533</v>
      </c>
      <c r="D15471">
        <v>450</v>
      </c>
      <c r="E15471">
        <v>1577204381</v>
      </c>
      <c r="F15471">
        <v>294</v>
      </c>
      <c r="G15471">
        <v>0</v>
      </c>
      <c r="H15471" t="s">
        <v>20312</v>
      </c>
      <c r="I15471">
        <v>17512</v>
      </c>
      <c r="J15471" t="str">
        <f>VLOOKUP(E15471,DSSpieler!A:B,2,FALSE)</f>
        <v>link007007999</v>
      </c>
    </row>
    <row r="15472" spans="1:10" x14ac:dyDescent="0.25">
      <c r="A15472">
        <v>17513</v>
      </c>
      <c r="B15472" t="s">
        <v>2680</v>
      </c>
      <c r="C15472">
        <v>375</v>
      </c>
      <c r="D15472">
        <v>520</v>
      </c>
      <c r="E15472">
        <v>2270592</v>
      </c>
      <c r="F15472">
        <v>2795</v>
      </c>
      <c r="G15472">
        <v>0</v>
      </c>
      <c r="H15472" t="s">
        <v>20313</v>
      </c>
      <c r="I15472">
        <v>17513</v>
      </c>
      <c r="J15472" t="str">
        <f>VLOOKUP(E15472,DSSpieler!A:B,2,FALSE)</f>
        <v>Sassun</v>
      </c>
    </row>
    <row r="15473" spans="1:10" x14ac:dyDescent="0.25">
      <c r="A15473">
        <v>17514</v>
      </c>
      <c r="B15473" t="s">
        <v>2681</v>
      </c>
      <c r="C15473">
        <v>620</v>
      </c>
      <c r="D15473">
        <v>542</v>
      </c>
      <c r="E15473">
        <v>1577205775</v>
      </c>
      <c r="F15473">
        <v>671</v>
      </c>
      <c r="G15473">
        <v>0</v>
      </c>
      <c r="H15473" t="s">
        <v>20314</v>
      </c>
      <c r="I15473">
        <v>17514</v>
      </c>
      <c r="J15473" t="str">
        <f>VLOOKUP(E15473,DSSpieler!A:B,2,FALSE)</f>
        <v>heimpel1999</v>
      </c>
    </row>
    <row r="15474" spans="1:10" x14ac:dyDescent="0.25">
      <c r="A15474">
        <v>17515</v>
      </c>
      <c r="B15474" t="s">
        <v>531</v>
      </c>
      <c r="C15474">
        <v>541</v>
      </c>
      <c r="D15474">
        <v>385</v>
      </c>
      <c r="E15474">
        <v>0</v>
      </c>
      <c r="F15474">
        <v>457</v>
      </c>
      <c r="G15474">
        <v>0</v>
      </c>
      <c r="H15474" t="s">
        <v>20315</v>
      </c>
      <c r="I15474">
        <v>17515</v>
      </c>
      <c r="J15474" t="e">
        <f>VLOOKUP(E15474,DSSpieler!A:B,2,FALSE)</f>
        <v>#N/A</v>
      </c>
    </row>
    <row r="15475" spans="1:10" x14ac:dyDescent="0.25">
      <c r="A15475">
        <v>17517</v>
      </c>
      <c r="B15475" t="s">
        <v>531</v>
      </c>
      <c r="C15475">
        <v>418</v>
      </c>
      <c r="D15475">
        <v>598</v>
      </c>
      <c r="E15475">
        <v>0</v>
      </c>
      <c r="F15475">
        <v>53</v>
      </c>
      <c r="G15475">
        <v>0</v>
      </c>
      <c r="H15475" t="s">
        <v>20316</v>
      </c>
      <c r="I15475">
        <v>17517</v>
      </c>
      <c r="J15475" t="e">
        <f>VLOOKUP(E15475,DSSpieler!A:B,2,FALSE)</f>
        <v>#N/A</v>
      </c>
    </row>
    <row r="15476" spans="1:10" x14ac:dyDescent="0.25">
      <c r="A15476">
        <v>17518</v>
      </c>
      <c r="B15476" t="s">
        <v>2682</v>
      </c>
      <c r="C15476">
        <v>414</v>
      </c>
      <c r="D15476">
        <v>591</v>
      </c>
      <c r="E15476">
        <v>1577076301</v>
      </c>
      <c r="F15476">
        <v>2866</v>
      </c>
      <c r="G15476">
        <v>0</v>
      </c>
      <c r="H15476" t="s">
        <v>20317</v>
      </c>
      <c r="I15476">
        <v>17518</v>
      </c>
      <c r="J15476" t="str">
        <f>VLOOKUP(E15476,DSSpieler!A:B,2,FALSE)</f>
        <v>CPTA1</v>
      </c>
    </row>
    <row r="15477" spans="1:10" x14ac:dyDescent="0.25">
      <c r="A15477">
        <v>17520</v>
      </c>
      <c r="B15477" t="s">
        <v>2683</v>
      </c>
      <c r="C15477">
        <v>552</v>
      </c>
      <c r="D15477">
        <v>383</v>
      </c>
      <c r="E15477">
        <v>1576440855</v>
      </c>
      <c r="F15477">
        <v>477</v>
      </c>
      <c r="G15477">
        <v>0</v>
      </c>
      <c r="H15477" t="s">
        <v>20318</v>
      </c>
      <c r="I15477">
        <v>17520</v>
      </c>
      <c r="J15477" t="str">
        <f>VLOOKUP(E15477,DSSpieler!A:B,2,FALSE)</f>
        <v>sikev</v>
      </c>
    </row>
    <row r="15478" spans="1:10" x14ac:dyDescent="0.25">
      <c r="A15478">
        <v>17521</v>
      </c>
      <c r="B15478" t="s">
        <v>2684</v>
      </c>
      <c r="C15478">
        <v>603</v>
      </c>
      <c r="D15478">
        <v>576</v>
      </c>
      <c r="E15478">
        <v>3353224</v>
      </c>
      <c r="F15478">
        <v>1726</v>
      </c>
      <c r="G15478">
        <v>0</v>
      </c>
      <c r="H15478" t="s">
        <v>20319</v>
      </c>
      <c r="I15478">
        <v>17521</v>
      </c>
      <c r="J15478" t="str">
        <f>VLOOKUP(E15478,DSSpieler!A:B,2,FALSE)</f>
        <v>reiben1</v>
      </c>
    </row>
    <row r="15479" spans="1:10" x14ac:dyDescent="0.25">
      <c r="A15479">
        <v>17523</v>
      </c>
      <c r="B15479" t="s">
        <v>531</v>
      </c>
      <c r="C15479">
        <v>502</v>
      </c>
      <c r="D15479">
        <v>626</v>
      </c>
      <c r="E15479">
        <v>0</v>
      </c>
      <c r="F15479">
        <v>138</v>
      </c>
      <c r="G15479">
        <v>0</v>
      </c>
      <c r="H15479" t="s">
        <v>20320</v>
      </c>
      <c r="I15479">
        <v>17523</v>
      </c>
      <c r="J15479" t="e">
        <f>VLOOKUP(E15479,DSSpieler!A:B,2,FALSE)</f>
        <v>#N/A</v>
      </c>
    </row>
    <row r="15480" spans="1:10" x14ac:dyDescent="0.25">
      <c r="A15480">
        <v>17524</v>
      </c>
      <c r="B15480">
        <v>1</v>
      </c>
      <c r="C15480">
        <v>466</v>
      </c>
      <c r="D15480">
        <v>470</v>
      </c>
      <c r="E15480">
        <v>8566911</v>
      </c>
      <c r="F15480">
        <v>725</v>
      </c>
      <c r="G15480">
        <v>0</v>
      </c>
      <c r="H15480" t="s">
        <v>20321</v>
      </c>
      <c r="I15480">
        <v>17524</v>
      </c>
      <c r="J15480" t="str">
        <f>VLOOKUP(E15480,DSSpieler!A:B,2,FALSE)</f>
        <v>BAT-M</v>
      </c>
    </row>
    <row r="15481" spans="1:10" x14ac:dyDescent="0.25">
      <c r="A15481">
        <v>17525</v>
      </c>
      <c r="B15481" t="s">
        <v>2685</v>
      </c>
      <c r="C15481">
        <v>381</v>
      </c>
      <c r="D15481">
        <v>547</v>
      </c>
      <c r="E15481">
        <v>1577203001</v>
      </c>
      <c r="F15481">
        <v>2212</v>
      </c>
      <c r="G15481">
        <v>0</v>
      </c>
      <c r="H15481" t="s">
        <v>20322</v>
      </c>
      <c r="I15481">
        <v>17525</v>
      </c>
      <c r="J15481" t="str">
        <f>VLOOKUP(E15481,DSSpieler!A:B,2,FALSE)</f>
        <v>Ralf989</v>
      </c>
    </row>
    <row r="15482" spans="1:10" x14ac:dyDescent="0.25">
      <c r="A15482">
        <v>17527</v>
      </c>
      <c r="B15482" t="s">
        <v>2686</v>
      </c>
      <c r="C15482">
        <v>463</v>
      </c>
      <c r="D15482">
        <v>381</v>
      </c>
      <c r="E15482">
        <v>1577197823</v>
      </c>
      <c r="F15482">
        <v>2860</v>
      </c>
      <c r="G15482">
        <v>0</v>
      </c>
      <c r="H15482" t="s">
        <v>20323</v>
      </c>
      <c r="I15482">
        <v>17527</v>
      </c>
      <c r="J15482" t="str">
        <f>VLOOKUP(E15482,DSSpieler!A:B,2,FALSE)</f>
        <v>johsto</v>
      </c>
    </row>
    <row r="15483" spans="1:10" x14ac:dyDescent="0.25">
      <c r="A15483">
        <v>17528</v>
      </c>
      <c r="B15483" t="s">
        <v>2687</v>
      </c>
      <c r="C15483">
        <v>576</v>
      </c>
      <c r="D15483">
        <v>603</v>
      </c>
      <c r="E15483">
        <v>1577148092</v>
      </c>
      <c r="F15483">
        <v>2728</v>
      </c>
      <c r="G15483">
        <v>0</v>
      </c>
      <c r="H15483" t="s">
        <v>20324</v>
      </c>
      <c r="I15483">
        <v>17528</v>
      </c>
      <c r="J15483" t="str">
        <f>VLOOKUP(E15483,DSSpieler!A:B,2,FALSE)</f>
        <v>Etstargamer</v>
      </c>
    </row>
    <row r="15484" spans="1:10" x14ac:dyDescent="0.25">
      <c r="A15484">
        <v>17529</v>
      </c>
      <c r="B15484" t="s">
        <v>2688</v>
      </c>
      <c r="C15484">
        <v>526</v>
      </c>
      <c r="D15484">
        <v>625</v>
      </c>
      <c r="E15484">
        <v>1577184858</v>
      </c>
      <c r="F15484">
        <v>210</v>
      </c>
      <c r="G15484">
        <v>0</v>
      </c>
      <c r="H15484" t="s">
        <v>20325</v>
      </c>
      <c r="I15484">
        <v>17529</v>
      </c>
      <c r="J15484" t="str">
        <f>VLOOKUP(E15484,DSSpieler!A:B,2,FALSE)</f>
        <v>ruehrli1</v>
      </c>
    </row>
    <row r="15485" spans="1:10" x14ac:dyDescent="0.25">
      <c r="A15485">
        <v>17530</v>
      </c>
      <c r="B15485" t="s">
        <v>531</v>
      </c>
      <c r="C15485">
        <v>528</v>
      </c>
      <c r="D15485">
        <v>381</v>
      </c>
      <c r="E15485">
        <v>0</v>
      </c>
      <c r="F15485">
        <v>123</v>
      </c>
      <c r="G15485">
        <v>0</v>
      </c>
      <c r="H15485" t="s">
        <v>20326</v>
      </c>
      <c r="I15485">
        <v>17530</v>
      </c>
      <c r="J15485" t="e">
        <f>VLOOKUP(E15485,DSSpieler!A:B,2,FALSE)</f>
        <v>#N/A</v>
      </c>
    </row>
    <row r="15486" spans="1:10" x14ac:dyDescent="0.25">
      <c r="A15486">
        <v>17531</v>
      </c>
      <c r="B15486" t="s">
        <v>531</v>
      </c>
      <c r="C15486">
        <v>625</v>
      </c>
      <c r="D15486">
        <v>477</v>
      </c>
      <c r="E15486">
        <v>0</v>
      </c>
      <c r="F15486">
        <v>226</v>
      </c>
      <c r="G15486">
        <v>0</v>
      </c>
      <c r="H15486" t="s">
        <v>20327</v>
      </c>
      <c r="I15486">
        <v>17531</v>
      </c>
      <c r="J15486" t="e">
        <f>VLOOKUP(E15486,DSSpieler!A:B,2,FALSE)</f>
        <v>#N/A</v>
      </c>
    </row>
    <row r="15487" spans="1:10" x14ac:dyDescent="0.25">
      <c r="A15487">
        <v>17532</v>
      </c>
      <c r="B15487" t="s">
        <v>2689</v>
      </c>
      <c r="C15487">
        <v>465</v>
      </c>
      <c r="D15487">
        <v>378</v>
      </c>
      <c r="E15487">
        <v>1576182923</v>
      </c>
      <c r="F15487">
        <v>2711</v>
      </c>
      <c r="G15487">
        <v>0</v>
      </c>
      <c r="H15487" t="s">
        <v>20328</v>
      </c>
      <c r="I15487">
        <v>17532</v>
      </c>
      <c r="J15487" t="str">
        <f>VLOOKUP(E15487,DSSpieler!A:B,2,FALSE)</f>
        <v>NewAge</v>
      </c>
    </row>
    <row r="15488" spans="1:10" x14ac:dyDescent="0.25">
      <c r="A15488">
        <v>17533</v>
      </c>
      <c r="B15488" t="s">
        <v>531</v>
      </c>
      <c r="C15488">
        <v>582</v>
      </c>
      <c r="D15488">
        <v>405</v>
      </c>
      <c r="E15488">
        <v>0</v>
      </c>
      <c r="F15488">
        <v>604</v>
      </c>
      <c r="G15488">
        <v>0</v>
      </c>
      <c r="H15488" t="s">
        <v>20329</v>
      </c>
      <c r="I15488">
        <v>17533</v>
      </c>
      <c r="J15488" t="e">
        <f>VLOOKUP(E15488,DSSpieler!A:B,2,FALSE)</f>
        <v>#N/A</v>
      </c>
    </row>
    <row r="15489" spans="1:10" x14ac:dyDescent="0.25">
      <c r="A15489">
        <v>17534</v>
      </c>
      <c r="B15489" t="s">
        <v>2690</v>
      </c>
      <c r="C15489">
        <v>409</v>
      </c>
      <c r="D15489">
        <v>417</v>
      </c>
      <c r="E15489">
        <v>373561</v>
      </c>
      <c r="F15489">
        <v>1381</v>
      </c>
      <c r="G15489">
        <v>0</v>
      </c>
      <c r="H15489" t="s">
        <v>20330</v>
      </c>
      <c r="I15489">
        <v>17534</v>
      </c>
      <c r="J15489" t="str">
        <f>VLOOKUP(E15489,DSSpieler!A:B,2,FALSE)</f>
        <v>El Gordo</v>
      </c>
    </row>
    <row r="15490" spans="1:10" x14ac:dyDescent="0.25">
      <c r="A15490">
        <v>17535</v>
      </c>
      <c r="B15490" t="s">
        <v>2691</v>
      </c>
      <c r="C15490">
        <v>620</v>
      </c>
      <c r="D15490">
        <v>539</v>
      </c>
      <c r="E15490">
        <v>1577205783</v>
      </c>
      <c r="F15490">
        <v>1885</v>
      </c>
      <c r="G15490">
        <v>0</v>
      </c>
      <c r="H15490" t="s">
        <v>20331</v>
      </c>
      <c r="I15490">
        <v>17535</v>
      </c>
      <c r="J15490" t="str">
        <f>VLOOKUP(E15490,DSSpieler!A:B,2,FALSE)</f>
        <v>PS98</v>
      </c>
    </row>
    <row r="15491" spans="1:10" x14ac:dyDescent="0.25">
      <c r="A15491">
        <v>17536</v>
      </c>
      <c r="B15491" t="s">
        <v>531</v>
      </c>
      <c r="C15491">
        <v>400</v>
      </c>
      <c r="D15491">
        <v>577</v>
      </c>
      <c r="E15491">
        <v>0</v>
      </c>
      <c r="F15491">
        <v>34</v>
      </c>
      <c r="G15491">
        <v>0</v>
      </c>
      <c r="H15491" t="s">
        <v>20332</v>
      </c>
      <c r="I15491">
        <v>17536</v>
      </c>
      <c r="J15491" t="e">
        <f>VLOOKUP(E15491,DSSpieler!A:B,2,FALSE)</f>
        <v>#N/A</v>
      </c>
    </row>
    <row r="15492" spans="1:10" x14ac:dyDescent="0.25">
      <c r="A15492">
        <v>17537</v>
      </c>
      <c r="B15492" t="s">
        <v>35595</v>
      </c>
      <c r="C15492">
        <v>592</v>
      </c>
      <c r="D15492">
        <v>544</v>
      </c>
      <c r="E15492">
        <v>1577196792</v>
      </c>
      <c r="F15492">
        <v>256</v>
      </c>
      <c r="G15492">
        <v>0</v>
      </c>
      <c r="H15492" t="s">
        <v>20333</v>
      </c>
      <c r="I15492">
        <v>17537</v>
      </c>
      <c r="J15492" t="str">
        <f>VLOOKUP(E15492,DSSpieler!A:B,2,FALSE)</f>
        <v>Fraggy</v>
      </c>
    </row>
    <row r="15493" spans="1:10" x14ac:dyDescent="0.25">
      <c r="A15493">
        <v>17538</v>
      </c>
      <c r="B15493" t="s">
        <v>2692</v>
      </c>
      <c r="C15493">
        <v>492</v>
      </c>
      <c r="D15493">
        <v>623</v>
      </c>
      <c r="E15493">
        <v>1577093849</v>
      </c>
      <c r="F15493">
        <v>2272</v>
      </c>
      <c r="G15493">
        <v>0</v>
      </c>
      <c r="H15493" t="s">
        <v>20334</v>
      </c>
      <c r="I15493">
        <v>17538</v>
      </c>
      <c r="J15493" t="str">
        <f>VLOOKUP(E15493,DSSpieler!A:B,2,FALSE)</f>
        <v>Lord Winston IV</v>
      </c>
    </row>
    <row r="15494" spans="1:10" x14ac:dyDescent="0.25">
      <c r="A15494">
        <v>17539</v>
      </c>
      <c r="B15494" t="s">
        <v>531</v>
      </c>
      <c r="C15494">
        <v>593</v>
      </c>
      <c r="D15494">
        <v>417</v>
      </c>
      <c r="E15494">
        <v>0</v>
      </c>
      <c r="F15494">
        <v>165</v>
      </c>
      <c r="G15494">
        <v>0</v>
      </c>
      <c r="H15494" t="s">
        <v>20335</v>
      </c>
      <c r="I15494">
        <v>17539</v>
      </c>
      <c r="J15494" t="e">
        <f>VLOOKUP(E15494,DSSpieler!A:B,2,FALSE)</f>
        <v>#N/A</v>
      </c>
    </row>
    <row r="15495" spans="1:10" x14ac:dyDescent="0.25">
      <c r="A15495">
        <v>17540</v>
      </c>
      <c r="B15495" t="s">
        <v>531</v>
      </c>
      <c r="C15495">
        <v>385</v>
      </c>
      <c r="D15495">
        <v>453</v>
      </c>
      <c r="E15495">
        <v>0</v>
      </c>
      <c r="F15495">
        <v>50</v>
      </c>
      <c r="G15495">
        <v>0</v>
      </c>
      <c r="H15495" t="s">
        <v>20336</v>
      </c>
      <c r="I15495">
        <v>17540</v>
      </c>
      <c r="J15495" t="e">
        <f>VLOOKUP(E15495,DSSpieler!A:B,2,FALSE)</f>
        <v>#N/A</v>
      </c>
    </row>
    <row r="15496" spans="1:10" x14ac:dyDescent="0.25">
      <c r="A15496">
        <v>17541</v>
      </c>
      <c r="B15496" t="s">
        <v>2693</v>
      </c>
      <c r="C15496">
        <v>625</v>
      </c>
      <c r="D15496">
        <v>504</v>
      </c>
      <c r="E15496">
        <v>1577193163</v>
      </c>
      <c r="F15496">
        <v>1888</v>
      </c>
      <c r="G15496">
        <v>0</v>
      </c>
      <c r="H15496" t="s">
        <v>20337</v>
      </c>
      <c r="I15496">
        <v>17541</v>
      </c>
      <c r="J15496" t="str">
        <f>VLOOKUP(E15496,DSSpieler!A:B,2,FALSE)</f>
        <v>raucher 55</v>
      </c>
    </row>
    <row r="15497" spans="1:10" x14ac:dyDescent="0.25">
      <c r="A15497">
        <v>17542</v>
      </c>
      <c r="B15497" t="s">
        <v>35596</v>
      </c>
      <c r="C15497">
        <v>463</v>
      </c>
      <c r="D15497">
        <v>622</v>
      </c>
      <c r="E15497">
        <v>9166822</v>
      </c>
      <c r="F15497">
        <v>116</v>
      </c>
      <c r="G15497">
        <v>0</v>
      </c>
      <c r="H15497" t="s">
        <v>20338</v>
      </c>
      <c r="I15497">
        <v>17542</v>
      </c>
      <c r="J15497" t="str">
        <f>VLOOKUP(E15497,DSSpieler!A:B,2,FALSE)</f>
        <v>OhneKevinLäuft</v>
      </c>
    </row>
    <row r="15498" spans="1:10" x14ac:dyDescent="0.25">
      <c r="A15498">
        <v>17544</v>
      </c>
      <c r="B15498" t="s">
        <v>2370</v>
      </c>
      <c r="C15498">
        <v>455</v>
      </c>
      <c r="D15498">
        <v>614</v>
      </c>
      <c r="E15498">
        <v>1577153427</v>
      </c>
      <c r="F15498">
        <v>946</v>
      </c>
      <c r="G15498">
        <v>0</v>
      </c>
      <c r="H15498" t="s">
        <v>20339</v>
      </c>
      <c r="I15498">
        <v>17544</v>
      </c>
      <c r="J15498" t="str">
        <f>VLOOKUP(E15498,DSSpieler!A:B,2,FALSE)</f>
        <v>dieschlaue64</v>
      </c>
    </row>
    <row r="15499" spans="1:10" x14ac:dyDescent="0.25">
      <c r="A15499">
        <v>17545</v>
      </c>
      <c r="B15499" t="s">
        <v>2694</v>
      </c>
      <c r="C15499">
        <v>620</v>
      </c>
      <c r="D15499">
        <v>544</v>
      </c>
      <c r="E15499">
        <v>1577104924</v>
      </c>
      <c r="F15499">
        <v>1665</v>
      </c>
      <c r="G15499">
        <v>0</v>
      </c>
      <c r="H15499" t="s">
        <v>20340</v>
      </c>
      <c r="I15499">
        <v>17545</v>
      </c>
      <c r="J15499" t="str">
        <f>VLOOKUP(E15499,DSSpieler!A:B,2,FALSE)</f>
        <v>Loikaemie</v>
      </c>
    </row>
    <row r="15500" spans="1:10" x14ac:dyDescent="0.25">
      <c r="A15500">
        <v>17546</v>
      </c>
      <c r="B15500" t="s">
        <v>2695</v>
      </c>
      <c r="C15500">
        <v>586</v>
      </c>
      <c r="D15500">
        <v>588</v>
      </c>
      <c r="E15500">
        <v>1577201169</v>
      </c>
      <c r="F15500">
        <v>705</v>
      </c>
      <c r="G15500">
        <v>0</v>
      </c>
      <c r="H15500" t="s">
        <v>20341</v>
      </c>
      <c r="I15500">
        <v>17546</v>
      </c>
      <c r="J15500" t="str">
        <f>VLOOKUP(E15500,DSSpieler!A:B,2,FALSE)</f>
        <v>RoastedAmena</v>
      </c>
    </row>
    <row r="15501" spans="1:10" x14ac:dyDescent="0.25">
      <c r="A15501">
        <v>17547</v>
      </c>
      <c r="B15501" t="s">
        <v>2696</v>
      </c>
      <c r="C15501">
        <v>381</v>
      </c>
      <c r="D15501">
        <v>535</v>
      </c>
      <c r="E15501">
        <v>1577154259</v>
      </c>
      <c r="F15501">
        <v>493</v>
      </c>
      <c r="G15501">
        <v>0</v>
      </c>
      <c r="H15501" t="s">
        <v>20342</v>
      </c>
      <c r="I15501">
        <v>17547</v>
      </c>
      <c r="J15501" t="str">
        <f>VLOOKUP(E15501,DSSpieler!A:B,2,FALSE)</f>
        <v>ErichderBeisser</v>
      </c>
    </row>
    <row r="15502" spans="1:10" x14ac:dyDescent="0.25">
      <c r="A15502">
        <v>17548</v>
      </c>
      <c r="B15502" t="s">
        <v>2697</v>
      </c>
      <c r="C15502">
        <v>537</v>
      </c>
      <c r="D15502">
        <v>392</v>
      </c>
      <c r="E15502">
        <v>1577199218</v>
      </c>
      <c r="F15502">
        <v>26</v>
      </c>
      <c r="G15502">
        <v>0</v>
      </c>
      <c r="H15502" t="s">
        <v>20343</v>
      </c>
      <c r="I15502">
        <v>17548</v>
      </c>
      <c r="J15502" t="str">
        <f>VLOOKUP(E15502,DSSpieler!A:B,2,FALSE)</f>
        <v>Potexx</v>
      </c>
    </row>
    <row r="15503" spans="1:10" x14ac:dyDescent="0.25">
      <c r="A15503">
        <v>17549</v>
      </c>
      <c r="B15503" t="s">
        <v>531</v>
      </c>
      <c r="C15503">
        <v>446</v>
      </c>
      <c r="D15503">
        <v>595</v>
      </c>
      <c r="E15503">
        <v>0</v>
      </c>
      <c r="F15503">
        <v>50</v>
      </c>
      <c r="G15503">
        <v>0</v>
      </c>
      <c r="H15503" t="s">
        <v>20344</v>
      </c>
      <c r="I15503">
        <v>17549</v>
      </c>
      <c r="J15503" t="e">
        <f>VLOOKUP(E15503,DSSpieler!A:B,2,FALSE)</f>
        <v>#N/A</v>
      </c>
    </row>
    <row r="15504" spans="1:10" x14ac:dyDescent="0.25">
      <c r="A15504">
        <v>17550</v>
      </c>
      <c r="B15504" t="s">
        <v>531</v>
      </c>
      <c r="C15504">
        <v>408</v>
      </c>
      <c r="D15504">
        <v>589</v>
      </c>
      <c r="E15504">
        <v>0</v>
      </c>
      <c r="F15504">
        <v>55</v>
      </c>
      <c r="G15504">
        <v>0</v>
      </c>
      <c r="H15504" t="s">
        <v>20345</v>
      </c>
      <c r="I15504">
        <v>17550</v>
      </c>
      <c r="J15504" t="e">
        <f>VLOOKUP(E15504,DSSpieler!A:B,2,FALSE)</f>
        <v>#N/A</v>
      </c>
    </row>
    <row r="15505" spans="1:10" x14ac:dyDescent="0.25">
      <c r="A15505">
        <v>17551</v>
      </c>
      <c r="B15505" t="s">
        <v>531</v>
      </c>
      <c r="C15505">
        <v>558</v>
      </c>
      <c r="D15505">
        <v>388</v>
      </c>
      <c r="E15505">
        <v>0</v>
      </c>
      <c r="F15505">
        <v>86</v>
      </c>
      <c r="G15505">
        <v>0</v>
      </c>
      <c r="H15505" t="s">
        <v>20346</v>
      </c>
      <c r="I15505">
        <v>17551</v>
      </c>
      <c r="J15505" t="e">
        <f>VLOOKUP(E15505,DSSpieler!A:B,2,FALSE)</f>
        <v>#N/A</v>
      </c>
    </row>
    <row r="15506" spans="1:10" x14ac:dyDescent="0.25">
      <c r="A15506">
        <v>17552</v>
      </c>
      <c r="B15506" t="s">
        <v>2698</v>
      </c>
      <c r="C15506">
        <v>534</v>
      </c>
      <c r="D15506">
        <v>623</v>
      </c>
      <c r="E15506">
        <v>942831</v>
      </c>
      <c r="F15506">
        <v>2041</v>
      </c>
      <c r="G15506">
        <v>0</v>
      </c>
      <c r="H15506" t="s">
        <v>20347</v>
      </c>
      <c r="I15506">
        <v>17552</v>
      </c>
      <c r="J15506" t="str">
        <f>VLOOKUP(E15506,DSSpieler!A:B,2,FALSE)</f>
        <v>Gatz</v>
      </c>
    </row>
    <row r="15507" spans="1:10" x14ac:dyDescent="0.25">
      <c r="A15507">
        <v>17553</v>
      </c>
      <c r="B15507" t="s">
        <v>531</v>
      </c>
      <c r="C15507">
        <v>556</v>
      </c>
      <c r="D15507">
        <v>388</v>
      </c>
      <c r="E15507">
        <v>0</v>
      </c>
      <c r="F15507">
        <v>304</v>
      </c>
      <c r="G15507">
        <v>0</v>
      </c>
      <c r="H15507" t="s">
        <v>20348</v>
      </c>
      <c r="I15507">
        <v>17553</v>
      </c>
      <c r="J15507" t="e">
        <f>VLOOKUP(E15507,DSSpieler!A:B,2,FALSE)</f>
        <v>#N/A</v>
      </c>
    </row>
    <row r="15508" spans="1:10" x14ac:dyDescent="0.25">
      <c r="A15508">
        <v>17554</v>
      </c>
      <c r="B15508" t="s">
        <v>531</v>
      </c>
      <c r="C15508">
        <v>376</v>
      </c>
      <c r="D15508">
        <v>477</v>
      </c>
      <c r="E15508">
        <v>0</v>
      </c>
      <c r="F15508">
        <v>93</v>
      </c>
      <c r="G15508">
        <v>0</v>
      </c>
      <c r="H15508" t="s">
        <v>20349</v>
      </c>
      <c r="I15508">
        <v>17554</v>
      </c>
      <c r="J15508" t="e">
        <f>VLOOKUP(E15508,DSSpieler!A:B,2,FALSE)</f>
        <v>#N/A</v>
      </c>
    </row>
    <row r="15509" spans="1:10" x14ac:dyDescent="0.25">
      <c r="A15509">
        <v>17555</v>
      </c>
      <c r="B15509" t="s">
        <v>531</v>
      </c>
      <c r="C15509">
        <v>622</v>
      </c>
      <c r="D15509">
        <v>468</v>
      </c>
      <c r="E15509">
        <v>0</v>
      </c>
      <c r="F15509">
        <v>49</v>
      </c>
      <c r="G15509">
        <v>0</v>
      </c>
      <c r="H15509" t="s">
        <v>20350</v>
      </c>
      <c r="I15509">
        <v>17555</v>
      </c>
      <c r="J15509" t="e">
        <f>VLOOKUP(E15509,DSSpieler!A:B,2,FALSE)</f>
        <v>#N/A</v>
      </c>
    </row>
    <row r="15510" spans="1:10" x14ac:dyDescent="0.25">
      <c r="A15510">
        <v>17556</v>
      </c>
      <c r="B15510" t="s">
        <v>2699</v>
      </c>
      <c r="C15510">
        <v>522</v>
      </c>
      <c r="D15510">
        <v>379</v>
      </c>
      <c r="E15510">
        <v>1577202150</v>
      </c>
      <c r="F15510">
        <v>317</v>
      </c>
      <c r="G15510">
        <v>0</v>
      </c>
      <c r="H15510" t="s">
        <v>20351</v>
      </c>
      <c r="I15510">
        <v>17556</v>
      </c>
      <c r="J15510" t="str">
        <f>VLOOKUP(E15510,DSSpieler!A:B,2,FALSE)</f>
        <v>Enrico77</v>
      </c>
    </row>
    <row r="15511" spans="1:10" x14ac:dyDescent="0.25">
      <c r="A15511">
        <v>17558</v>
      </c>
      <c r="B15511" t="s">
        <v>2700</v>
      </c>
      <c r="C15511">
        <v>432</v>
      </c>
      <c r="D15511">
        <v>602</v>
      </c>
      <c r="E15511">
        <v>1577165008</v>
      </c>
      <c r="F15511">
        <v>1897</v>
      </c>
      <c r="G15511">
        <v>0</v>
      </c>
      <c r="H15511" t="s">
        <v>20352</v>
      </c>
      <c r="I15511">
        <v>17558</v>
      </c>
      <c r="J15511" t="str">
        <f>VLOOKUP(E15511,DSSpieler!A:B,2,FALSE)</f>
        <v>Alexander von Babylon</v>
      </c>
    </row>
    <row r="15512" spans="1:10" x14ac:dyDescent="0.25">
      <c r="A15512">
        <v>17559</v>
      </c>
      <c r="B15512" t="s">
        <v>2701</v>
      </c>
      <c r="C15512">
        <v>500</v>
      </c>
      <c r="D15512">
        <v>609</v>
      </c>
      <c r="E15512">
        <v>1576990955</v>
      </c>
      <c r="F15512">
        <v>190</v>
      </c>
      <c r="G15512">
        <v>0</v>
      </c>
      <c r="H15512" t="s">
        <v>20353</v>
      </c>
      <c r="I15512">
        <v>17559</v>
      </c>
      <c r="J15512" t="str">
        <f>VLOOKUP(E15512,DSSpieler!A:B,2,FALSE)</f>
        <v>Winged Hussar</v>
      </c>
    </row>
    <row r="15513" spans="1:10" x14ac:dyDescent="0.25">
      <c r="A15513">
        <v>17560</v>
      </c>
      <c r="B15513" t="s">
        <v>531</v>
      </c>
      <c r="C15513">
        <v>422</v>
      </c>
      <c r="D15513">
        <v>594</v>
      </c>
      <c r="E15513">
        <v>0</v>
      </c>
      <c r="F15513">
        <v>214</v>
      </c>
      <c r="G15513">
        <v>0</v>
      </c>
      <c r="H15513" t="s">
        <v>20354</v>
      </c>
      <c r="I15513">
        <v>17560</v>
      </c>
      <c r="J15513" t="e">
        <f>VLOOKUP(E15513,DSSpieler!A:B,2,FALSE)</f>
        <v>#N/A</v>
      </c>
    </row>
    <row r="15514" spans="1:10" x14ac:dyDescent="0.25">
      <c r="A15514">
        <v>17561</v>
      </c>
      <c r="B15514" t="s">
        <v>531</v>
      </c>
      <c r="C15514">
        <v>397</v>
      </c>
      <c r="D15514">
        <v>574</v>
      </c>
      <c r="E15514">
        <v>0</v>
      </c>
      <c r="F15514">
        <v>140</v>
      </c>
      <c r="G15514">
        <v>0</v>
      </c>
      <c r="H15514" t="s">
        <v>20355</v>
      </c>
      <c r="I15514">
        <v>17561</v>
      </c>
      <c r="J15514" t="e">
        <f>VLOOKUP(E15514,DSSpieler!A:B,2,FALSE)</f>
        <v>#N/A</v>
      </c>
    </row>
    <row r="15515" spans="1:10" x14ac:dyDescent="0.25">
      <c r="A15515">
        <v>17562</v>
      </c>
      <c r="B15515" t="s">
        <v>35597</v>
      </c>
      <c r="C15515">
        <v>388</v>
      </c>
      <c r="D15515">
        <v>466</v>
      </c>
      <c r="E15515">
        <v>9759172</v>
      </c>
      <c r="F15515">
        <v>723</v>
      </c>
      <c r="G15515">
        <v>0</v>
      </c>
      <c r="H15515" t="s">
        <v>478</v>
      </c>
      <c r="I15515">
        <v>17562</v>
      </c>
      <c r="J15515" t="str">
        <f>VLOOKUP(E15515,DSSpieler!A:B,2,FALSE)</f>
        <v>mykeee</v>
      </c>
    </row>
    <row r="15516" spans="1:10" x14ac:dyDescent="0.25">
      <c r="A15516">
        <v>17564</v>
      </c>
      <c r="B15516" t="s">
        <v>1539</v>
      </c>
      <c r="C15516">
        <v>438</v>
      </c>
      <c r="D15516">
        <v>609</v>
      </c>
      <c r="E15516">
        <v>9410560</v>
      </c>
      <c r="F15516">
        <v>497</v>
      </c>
      <c r="G15516">
        <v>0</v>
      </c>
      <c r="H15516" t="s">
        <v>20356</v>
      </c>
      <c r="I15516">
        <v>17564</v>
      </c>
      <c r="J15516" t="str">
        <f>VLOOKUP(E15516,DSSpieler!A:B,2,FALSE)</f>
        <v>Dexter1997</v>
      </c>
    </row>
    <row r="15517" spans="1:10" x14ac:dyDescent="0.25">
      <c r="A15517">
        <v>17565</v>
      </c>
      <c r="B15517" t="s">
        <v>2702</v>
      </c>
      <c r="C15517">
        <v>524</v>
      </c>
      <c r="D15517">
        <v>376</v>
      </c>
      <c r="E15517">
        <v>1577165628</v>
      </c>
      <c r="F15517">
        <v>1529</v>
      </c>
      <c r="G15517">
        <v>0</v>
      </c>
      <c r="H15517" t="s">
        <v>20357</v>
      </c>
      <c r="I15517">
        <v>17565</v>
      </c>
      <c r="J15517" t="str">
        <f>VLOOKUP(E15517,DSSpieler!A:B,2,FALSE)</f>
        <v>IEsTa</v>
      </c>
    </row>
    <row r="15518" spans="1:10" x14ac:dyDescent="0.25">
      <c r="A15518">
        <v>17566</v>
      </c>
      <c r="B15518" t="s">
        <v>531</v>
      </c>
      <c r="C15518">
        <v>595</v>
      </c>
      <c r="D15518">
        <v>417</v>
      </c>
      <c r="E15518">
        <v>0</v>
      </c>
      <c r="F15518">
        <v>51</v>
      </c>
      <c r="G15518">
        <v>0</v>
      </c>
      <c r="H15518" t="s">
        <v>20358</v>
      </c>
      <c r="I15518">
        <v>17566</v>
      </c>
      <c r="J15518" t="e">
        <f>VLOOKUP(E15518,DSSpieler!A:B,2,FALSE)</f>
        <v>#N/A</v>
      </c>
    </row>
    <row r="15519" spans="1:10" x14ac:dyDescent="0.25">
      <c r="A15519">
        <v>17567</v>
      </c>
      <c r="B15519" t="s">
        <v>2703</v>
      </c>
      <c r="C15519">
        <v>406</v>
      </c>
      <c r="D15519">
        <v>525</v>
      </c>
      <c r="E15519">
        <v>1577201582</v>
      </c>
      <c r="F15519">
        <v>297</v>
      </c>
      <c r="G15519">
        <v>0</v>
      </c>
      <c r="H15519" t="s">
        <v>20359</v>
      </c>
      <c r="I15519">
        <v>17567</v>
      </c>
      <c r="J15519" t="str">
        <f>VLOOKUP(E15519,DSSpieler!A:B,2,FALSE)</f>
        <v>Lip1893</v>
      </c>
    </row>
    <row r="15520" spans="1:10" x14ac:dyDescent="0.25">
      <c r="A15520">
        <v>17569</v>
      </c>
      <c r="B15520" t="s">
        <v>531</v>
      </c>
      <c r="C15520">
        <v>381</v>
      </c>
      <c r="D15520">
        <v>469</v>
      </c>
      <c r="E15520">
        <v>0</v>
      </c>
      <c r="F15520">
        <v>178</v>
      </c>
      <c r="G15520">
        <v>0</v>
      </c>
      <c r="H15520" t="s">
        <v>20360</v>
      </c>
      <c r="I15520">
        <v>17569</v>
      </c>
      <c r="J15520" t="e">
        <f>VLOOKUP(E15520,DSSpieler!A:B,2,FALSE)</f>
        <v>#N/A</v>
      </c>
    </row>
    <row r="15521" spans="1:10" x14ac:dyDescent="0.25">
      <c r="A15521">
        <v>17570</v>
      </c>
      <c r="B15521" t="s">
        <v>2704</v>
      </c>
      <c r="C15521">
        <v>384</v>
      </c>
      <c r="D15521">
        <v>543</v>
      </c>
      <c r="E15521">
        <v>1576960477</v>
      </c>
      <c r="F15521">
        <v>2768</v>
      </c>
      <c r="G15521">
        <v>0</v>
      </c>
      <c r="H15521" t="s">
        <v>20361</v>
      </c>
      <c r="I15521">
        <v>17570</v>
      </c>
      <c r="J15521" t="str">
        <f>VLOOKUP(E15521,DSSpieler!A:B,2,FALSE)</f>
        <v>Fcl8</v>
      </c>
    </row>
    <row r="15522" spans="1:10" x14ac:dyDescent="0.25">
      <c r="A15522">
        <v>17571</v>
      </c>
      <c r="B15522" t="s">
        <v>2705</v>
      </c>
      <c r="C15522">
        <v>413</v>
      </c>
      <c r="D15522">
        <v>591</v>
      </c>
      <c r="E15522">
        <v>1577170287</v>
      </c>
      <c r="F15522">
        <v>234</v>
      </c>
      <c r="G15522">
        <v>0</v>
      </c>
      <c r="H15522" t="s">
        <v>20362</v>
      </c>
      <c r="I15522">
        <v>17571</v>
      </c>
      <c r="J15522" t="str">
        <f>VLOOKUP(E15522,DSSpieler!A:B,2,FALSE)</f>
        <v>RuMbLe runS</v>
      </c>
    </row>
    <row r="15523" spans="1:10" x14ac:dyDescent="0.25">
      <c r="A15523">
        <v>17572</v>
      </c>
      <c r="B15523" t="s">
        <v>2706</v>
      </c>
      <c r="C15523">
        <v>485</v>
      </c>
      <c r="D15523">
        <v>630</v>
      </c>
      <c r="E15523">
        <v>1577205847</v>
      </c>
      <c r="F15523">
        <v>905</v>
      </c>
      <c r="G15523">
        <v>0</v>
      </c>
      <c r="H15523" t="s">
        <v>20363</v>
      </c>
      <c r="I15523">
        <v>17572</v>
      </c>
      <c r="J15523" t="str">
        <f>VLOOKUP(E15523,DSSpieler!A:B,2,FALSE)</f>
        <v>HustleStyler</v>
      </c>
    </row>
    <row r="15524" spans="1:10" x14ac:dyDescent="0.25">
      <c r="A15524">
        <v>17575</v>
      </c>
      <c r="B15524" t="s">
        <v>531</v>
      </c>
      <c r="C15524">
        <v>377</v>
      </c>
      <c r="D15524">
        <v>535</v>
      </c>
      <c r="E15524">
        <v>0</v>
      </c>
      <c r="F15524">
        <v>37</v>
      </c>
      <c r="G15524">
        <v>0</v>
      </c>
      <c r="H15524" t="s">
        <v>20364</v>
      </c>
      <c r="I15524">
        <v>17575</v>
      </c>
      <c r="J15524" t="e">
        <f>VLOOKUP(E15524,DSSpieler!A:B,2,FALSE)</f>
        <v>#N/A</v>
      </c>
    </row>
    <row r="15525" spans="1:10" x14ac:dyDescent="0.25">
      <c r="A15525">
        <v>17576</v>
      </c>
      <c r="B15525" t="s">
        <v>531</v>
      </c>
      <c r="C15525">
        <v>384</v>
      </c>
      <c r="D15525">
        <v>554</v>
      </c>
      <c r="E15525">
        <v>0</v>
      </c>
      <c r="F15525">
        <v>57</v>
      </c>
      <c r="G15525">
        <v>0</v>
      </c>
      <c r="H15525" t="s">
        <v>20365</v>
      </c>
      <c r="I15525">
        <v>17576</v>
      </c>
      <c r="J15525" t="e">
        <f>VLOOKUP(E15525,DSSpieler!A:B,2,FALSE)</f>
        <v>#N/A</v>
      </c>
    </row>
    <row r="15526" spans="1:10" x14ac:dyDescent="0.25">
      <c r="A15526">
        <v>17577</v>
      </c>
      <c r="B15526" t="s">
        <v>531</v>
      </c>
      <c r="C15526">
        <v>482</v>
      </c>
      <c r="D15526">
        <v>373</v>
      </c>
      <c r="E15526">
        <v>0</v>
      </c>
      <c r="F15526">
        <v>58</v>
      </c>
      <c r="G15526">
        <v>0</v>
      </c>
      <c r="H15526" t="s">
        <v>20366</v>
      </c>
      <c r="I15526">
        <v>17577</v>
      </c>
      <c r="J15526" t="e">
        <f>VLOOKUP(E15526,DSSpieler!A:B,2,FALSE)</f>
        <v>#N/A</v>
      </c>
    </row>
    <row r="15527" spans="1:10" x14ac:dyDescent="0.25">
      <c r="A15527">
        <v>17578</v>
      </c>
      <c r="B15527" t="s">
        <v>2707</v>
      </c>
      <c r="C15527">
        <v>585</v>
      </c>
      <c r="D15527">
        <v>433</v>
      </c>
      <c r="E15527">
        <v>1577172788</v>
      </c>
      <c r="F15527">
        <v>65</v>
      </c>
      <c r="G15527">
        <v>0</v>
      </c>
      <c r="H15527" t="s">
        <v>20367</v>
      </c>
      <c r="I15527">
        <v>17578</v>
      </c>
      <c r="J15527" t="str">
        <f>VLOOKUP(E15527,DSSpieler!A:B,2,FALSE)</f>
        <v>CherryCub</v>
      </c>
    </row>
    <row r="15528" spans="1:10" x14ac:dyDescent="0.25">
      <c r="A15528">
        <v>17579</v>
      </c>
      <c r="B15528" t="s">
        <v>2708</v>
      </c>
      <c r="C15528">
        <v>618</v>
      </c>
      <c r="D15528">
        <v>543</v>
      </c>
      <c r="E15528">
        <v>1576916694</v>
      </c>
      <c r="F15528">
        <v>1631</v>
      </c>
      <c r="G15528">
        <v>0</v>
      </c>
      <c r="H15528" t="s">
        <v>20368</v>
      </c>
      <c r="I15528">
        <v>17579</v>
      </c>
      <c r="J15528" t="str">
        <f>VLOOKUP(E15528,DSSpieler!A:B,2,FALSE)</f>
        <v>Memelord</v>
      </c>
    </row>
    <row r="15529" spans="1:10" x14ac:dyDescent="0.25">
      <c r="A15529">
        <v>17580</v>
      </c>
      <c r="B15529" t="s">
        <v>2709</v>
      </c>
      <c r="C15529">
        <v>493</v>
      </c>
      <c r="D15529">
        <v>374</v>
      </c>
      <c r="E15529">
        <v>1577205857</v>
      </c>
      <c r="F15529">
        <v>2360</v>
      </c>
      <c r="G15529">
        <v>0</v>
      </c>
      <c r="H15529" t="s">
        <v>20369</v>
      </c>
      <c r="I15529">
        <v>17580</v>
      </c>
      <c r="J15529" t="str">
        <f>VLOOKUP(E15529,DSSpieler!A:B,2,FALSE)</f>
        <v>dommdom</v>
      </c>
    </row>
    <row r="15530" spans="1:10" x14ac:dyDescent="0.25">
      <c r="A15530">
        <v>17581</v>
      </c>
      <c r="B15530" t="s">
        <v>35598</v>
      </c>
      <c r="C15530">
        <v>444</v>
      </c>
      <c r="D15530">
        <v>577</v>
      </c>
      <c r="E15530">
        <v>1576878494</v>
      </c>
      <c r="F15530">
        <v>2762</v>
      </c>
      <c r="G15530">
        <v>0</v>
      </c>
      <c r="H15530" t="s">
        <v>20370</v>
      </c>
      <c r="I15530">
        <v>17581</v>
      </c>
      <c r="J15530" t="str">
        <f>VLOOKUP(E15530,DSSpieler!A:B,2,FALSE)</f>
        <v>Incoming Attack</v>
      </c>
    </row>
    <row r="15531" spans="1:10" x14ac:dyDescent="0.25">
      <c r="A15531">
        <v>17583</v>
      </c>
      <c r="B15531" t="s">
        <v>2710</v>
      </c>
      <c r="C15531">
        <v>558</v>
      </c>
      <c r="D15531">
        <v>608</v>
      </c>
      <c r="E15531">
        <v>1577102949</v>
      </c>
      <c r="F15531">
        <v>534</v>
      </c>
      <c r="G15531">
        <v>0</v>
      </c>
      <c r="H15531" t="s">
        <v>20371</v>
      </c>
      <c r="I15531">
        <v>17583</v>
      </c>
      <c r="J15531" t="str">
        <f>VLOOKUP(E15531,DSSpieler!A:B,2,FALSE)</f>
        <v>niceguy</v>
      </c>
    </row>
    <row r="15532" spans="1:10" x14ac:dyDescent="0.25">
      <c r="A15532">
        <v>17584</v>
      </c>
      <c r="B15532" t="s">
        <v>531</v>
      </c>
      <c r="C15532">
        <v>435</v>
      </c>
      <c r="D15532">
        <v>390</v>
      </c>
      <c r="E15532">
        <v>0</v>
      </c>
      <c r="F15532">
        <v>54</v>
      </c>
      <c r="G15532">
        <v>0</v>
      </c>
      <c r="H15532" t="s">
        <v>20372</v>
      </c>
      <c r="I15532">
        <v>17584</v>
      </c>
      <c r="J15532" t="e">
        <f>VLOOKUP(E15532,DSSpieler!A:B,2,FALSE)</f>
        <v>#N/A</v>
      </c>
    </row>
    <row r="15533" spans="1:10" x14ac:dyDescent="0.25">
      <c r="A15533">
        <v>17585</v>
      </c>
      <c r="B15533" t="s">
        <v>2711</v>
      </c>
      <c r="C15533">
        <v>377</v>
      </c>
      <c r="D15533">
        <v>492</v>
      </c>
      <c r="E15533">
        <v>1577063582</v>
      </c>
      <c r="F15533">
        <v>1769</v>
      </c>
      <c r="G15533">
        <v>0</v>
      </c>
      <c r="H15533" t="s">
        <v>20373</v>
      </c>
      <c r="I15533">
        <v>17585</v>
      </c>
      <c r="J15533" t="str">
        <f>VLOOKUP(E15533,DSSpieler!A:B,2,FALSE)</f>
        <v>DickeLippe</v>
      </c>
    </row>
    <row r="15534" spans="1:10" x14ac:dyDescent="0.25">
      <c r="A15534">
        <v>17586</v>
      </c>
      <c r="B15534" t="s">
        <v>2712</v>
      </c>
      <c r="C15534">
        <v>399</v>
      </c>
      <c r="D15534">
        <v>429</v>
      </c>
      <c r="E15534">
        <v>8273130</v>
      </c>
      <c r="F15534">
        <v>32</v>
      </c>
      <c r="G15534">
        <v>0</v>
      </c>
      <c r="H15534" t="s">
        <v>20374</v>
      </c>
      <c r="I15534">
        <v>17586</v>
      </c>
      <c r="J15534" t="str">
        <f>VLOOKUP(E15534,DSSpieler!A:B,2,FALSE)</f>
        <v>bumpolo</v>
      </c>
    </row>
    <row r="15535" spans="1:10" x14ac:dyDescent="0.25">
      <c r="A15535">
        <v>17587</v>
      </c>
      <c r="B15535" t="s">
        <v>2713</v>
      </c>
      <c r="C15535">
        <v>612</v>
      </c>
      <c r="D15535">
        <v>451</v>
      </c>
      <c r="E15535">
        <v>1577205850</v>
      </c>
      <c r="F15535">
        <v>299</v>
      </c>
      <c r="G15535">
        <v>0</v>
      </c>
      <c r="H15535" t="s">
        <v>20375</v>
      </c>
      <c r="I15535">
        <v>17587</v>
      </c>
      <c r="J15535" t="str">
        <f>VLOOKUP(E15535,DSSpieler!A:B,2,FALSE)</f>
        <v>Rapfeeling</v>
      </c>
    </row>
    <row r="15536" spans="1:10" x14ac:dyDescent="0.25">
      <c r="A15536">
        <v>17588</v>
      </c>
      <c r="B15536" t="s">
        <v>531</v>
      </c>
      <c r="C15536">
        <v>439</v>
      </c>
      <c r="D15536">
        <v>570</v>
      </c>
      <c r="E15536">
        <v>0</v>
      </c>
      <c r="F15536">
        <v>169</v>
      </c>
      <c r="G15536">
        <v>0</v>
      </c>
      <c r="H15536" t="s">
        <v>20376</v>
      </c>
      <c r="I15536">
        <v>17588</v>
      </c>
      <c r="J15536" t="e">
        <f>VLOOKUP(E15536,DSSpieler!A:B,2,FALSE)</f>
        <v>#N/A</v>
      </c>
    </row>
    <row r="15537" spans="1:10" x14ac:dyDescent="0.25">
      <c r="A15537">
        <v>17589</v>
      </c>
      <c r="B15537" t="s">
        <v>531</v>
      </c>
      <c r="C15537">
        <v>402</v>
      </c>
      <c r="D15537">
        <v>553</v>
      </c>
      <c r="E15537">
        <v>0</v>
      </c>
      <c r="F15537">
        <v>684</v>
      </c>
      <c r="G15537">
        <v>0</v>
      </c>
      <c r="H15537" t="s">
        <v>20377</v>
      </c>
      <c r="I15537">
        <v>17589</v>
      </c>
      <c r="J15537" t="e">
        <f>VLOOKUP(E15537,DSSpieler!A:B,2,FALSE)</f>
        <v>#N/A</v>
      </c>
    </row>
    <row r="15538" spans="1:10" x14ac:dyDescent="0.25">
      <c r="A15538">
        <v>17590</v>
      </c>
      <c r="B15538" t="s">
        <v>531</v>
      </c>
      <c r="C15538">
        <v>536</v>
      </c>
      <c r="D15538">
        <v>465</v>
      </c>
      <c r="E15538">
        <v>0</v>
      </c>
      <c r="F15538">
        <v>80</v>
      </c>
      <c r="G15538">
        <v>0</v>
      </c>
      <c r="H15538" t="s">
        <v>20378</v>
      </c>
      <c r="I15538">
        <v>17590</v>
      </c>
      <c r="J15538" t="e">
        <f>VLOOKUP(E15538,DSSpieler!A:B,2,FALSE)</f>
        <v>#N/A</v>
      </c>
    </row>
    <row r="15539" spans="1:10" x14ac:dyDescent="0.25">
      <c r="A15539">
        <v>17591</v>
      </c>
      <c r="B15539" t="s">
        <v>2714</v>
      </c>
      <c r="C15539">
        <v>619</v>
      </c>
      <c r="D15539">
        <v>463</v>
      </c>
      <c r="E15539">
        <v>1577014798</v>
      </c>
      <c r="F15539">
        <v>48</v>
      </c>
      <c r="G15539">
        <v>0</v>
      </c>
      <c r="H15539" t="s">
        <v>20379</v>
      </c>
      <c r="I15539">
        <v>17591</v>
      </c>
      <c r="J15539" t="str">
        <f>VLOOKUP(E15539,DSSpieler!A:B,2,FALSE)</f>
        <v>Stollinger</v>
      </c>
    </row>
    <row r="15540" spans="1:10" x14ac:dyDescent="0.25">
      <c r="A15540">
        <v>17592</v>
      </c>
      <c r="B15540" t="s">
        <v>531</v>
      </c>
      <c r="C15540">
        <v>572</v>
      </c>
      <c r="D15540">
        <v>601</v>
      </c>
      <c r="E15540">
        <v>0</v>
      </c>
      <c r="F15540">
        <v>38</v>
      </c>
      <c r="G15540">
        <v>0</v>
      </c>
      <c r="H15540" t="s">
        <v>20380</v>
      </c>
      <c r="I15540">
        <v>17592</v>
      </c>
      <c r="J15540" t="e">
        <f>VLOOKUP(E15540,DSSpieler!A:B,2,FALSE)</f>
        <v>#N/A</v>
      </c>
    </row>
    <row r="15541" spans="1:10" x14ac:dyDescent="0.25">
      <c r="A15541">
        <v>17593</v>
      </c>
      <c r="B15541" t="s">
        <v>2715</v>
      </c>
      <c r="C15541">
        <v>436</v>
      </c>
      <c r="D15541">
        <v>391</v>
      </c>
      <c r="E15541">
        <v>291733</v>
      </c>
      <c r="F15541">
        <v>165</v>
      </c>
      <c r="G15541">
        <v>0</v>
      </c>
      <c r="H15541" t="s">
        <v>20381</v>
      </c>
      <c r="I15541">
        <v>17593</v>
      </c>
      <c r="J15541" t="str">
        <f>VLOOKUP(E15541,DSSpieler!A:B,2,FALSE)</f>
        <v>Tifob</v>
      </c>
    </row>
    <row r="15542" spans="1:10" x14ac:dyDescent="0.25">
      <c r="A15542">
        <v>17594</v>
      </c>
      <c r="B15542" t="s">
        <v>531</v>
      </c>
      <c r="C15542">
        <v>524</v>
      </c>
      <c r="D15542">
        <v>405</v>
      </c>
      <c r="E15542">
        <v>0</v>
      </c>
      <c r="F15542">
        <v>115</v>
      </c>
      <c r="G15542">
        <v>0</v>
      </c>
      <c r="H15542" t="s">
        <v>20382</v>
      </c>
      <c r="I15542">
        <v>17594</v>
      </c>
      <c r="J15542" t="e">
        <f>VLOOKUP(E15542,DSSpieler!A:B,2,FALSE)</f>
        <v>#N/A</v>
      </c>
    </row>
    <row r="15543" spans="1:10" x14ac:dyDescent="0.25">
      <c r="A15543">
        <v>17595</v>
      </c>
      <c r="B15543" t="s">
        <v>2716</v>
      </c>
      <c r="C15543">
        <v>592</v>
      </c>
      <c r="D15543">
        <v>411</v>
      </c>
      <c r="E15543">
        <v>1576902072</v>
      </c>
      <c r="F15543">
        <v>30</v>
      </c>
      <c r="G15543">
        <v>0</v>
      </c>
      <c r="H15543" t="s">
        <v>20383</v>
      </c>
      <c r="I15543">
        <v>17595</v>
      </c>
      <c r="J15543" t="str">
        <f>VLOOKUP(E15543,DSSpieler!A:B,2,FALSE)</f>
        <v>xDeadLine</v>
      </c>
    </row>
    <row r="15544" spans="1:10" x14ac:dyDescent="0.25">
      <c r="A15544">
        <v>17596</v>
      </c>
      <c r="B15544" t="s">
        <v>531</v>
      </c>
      <c r="C15544">
        <v>383</v>
      </c>
      <c r="D15544">
        <v>543</v>
      </c>
      <c r="E15544">
        <v>0</v>
      </c>
      <c r="F15544">
        <v>121</v>
      </c>
      <c r="G15544">
        <v>0</v>
      </c>
      <c r="H15544" t="s">
        <v>20384</v>
      </c>
      <c r="I15544">
        <v>17596</v>
      </c>
      <c r="J15544" t="e">
        <f>VLOOKUP(E15544,DSSpieler!A:B,2,FALSE)</f>
        <v>#N/A</v>
      </c>
    </row>
    <row r="15545" spans="1:10" x14ac:dyDescent="0.25">
      <c r="A15545">
        <v>17597</v>
      </c>
      <c r="B15545" t="s">
        <v>531</v>
      </c>
      <c r="C15545">
        <v>515</v>
      </c>
      <c r="D15545">
        <v>627</v>
      </c>
      <c r="E15545">
        <v>0</v>
      </c>
      <c r="F15545">
        <v>156</v>
      </c>
      <c r="G15545">
        <v>0</v>
      </c>
      <c r="H15545" t="s">
        <v>20385</v>
      </c>
      <c r="I15545">
        <v>17597</v>
      </c>
      <c r="J15545" t="e">
        <f>VLOOKUP(E15545,DSSpieler!A:B,2,FALSE)</f>
        <v>#N/A</v>
      </c>
    </row>
    <row r="15546" spans="1:10" x14ac:dyDescent="0.25">
      <c r="A15546">
        <v>17598</v>
      </c>
      <c r="B15546" t="s">
        <v>2717</v>
      </c>
      <c r="C15546">
        <v>436</v>
      </c>
      <c r="D15546">
        <v>456</v>
      </c>
      <c r="E15546">
        <v>1577172535</v>
      </c>
      <c r="F15546">
        <v>905</v>
      </c>
      <c r="G15546">
        <v>0</v>
      </c>
      <c r="H15546" t="s">
        <v>20386</v>
      </c>
      <c r="I15546">
        <v>17598</v>
      </c>
      <c r="J15546" t="str">
        <f>VLOOKUP(E15546,DSSpieler!A:B,2,FALSE)</f>
        <v>cashmo135</v>
      </c>
    </row>
    <row r="15547" spans="1:10" x14ac:dyDescent="0.25">
      <c r="A15547">
        <v>17599</v>
      </c>
      <c r="B15547" t="s">
        <v>531</v>
      </c>
      <c r="C15547">
        <v>391</v>
      </c>
      <c r="D15547">
        <v>440</v>
      </c>
      <c r="E15547">
        <v>0</v>
      </c>
      <c r="F15547">
        <v>176</v>
      </c>
      <c r="G15547">
        <v>0</v>
      </c>
      <c r="H15547" t="s">
        <v>20387</v>
      </c>
      <c r="I15547">
        <v>17599</v>
      </c>
      <c r="J15547" t="e">
        <f>VLOOKUP(E15547,DSSpieler!A:B,2,FALSE)</f>
        <v>#N/A</v>
      </c>
    </row>
    <row r="15548" spans="1:10" x14ac:dyDescent="0.25">
      <c r="A15548">
        <v>17600</v>
      </c>
      <c r="B15548" t="s">
        <v>2718</v>
      </c>
      <c r="C15548">
        <v>598</v>
      </c>
      <c r="D15548">
        <v>581</v>
      </c>
      <c r="E15548">
        <v>1577205636</v>
      </c>
      <c r="F15548">
        <v>26</v>
      </c>
      <c r="G15548">
        <v>0</v>
      </c>
      <c r="H15548" t="s">
        <v>20388</v>
      </c>
      <c r="I15548">
        <v>17600</v>
      </c>
      <c r="J15548" t="str">
        <f>VLOOKUP(E15548,DSSpieler!A:B,2,FALSE)</f>
        <v>dwwdwaw</v>
      </c>
    </row>
    <row r="15549" spans="1:10" x14ac:dyDescent="0.25">
      <c r="A15549">
        <v>17601</v>
      </c>
      <c r="B15549" t="s">
        <v>531</v>
      </c>
      <c r="C15549">
        <v>619</v>
      </c>
      <c r="D15549">
        <v>540</v>
      </c>
      <c r="E15549">
        <v>0</v>
      </c>
      <c r="F15549">
        <v>116</v>
      </c>
      <c r="G15549">
        <v>0</v>
      </c>
      <c r="H15549" t="s">
        <v>20389</v>
      </c>
      <c r="I15549">
        <v>17601</v>
      </c>
      <c r="J15549" t="e">
        <f>VLOOKUP(E15549,DSSpieler!A:B,2,FALSE)</f>
        <v>#N/A</v>
      </c>
    </row>
    <row r="15550" spans="1:10" x14ac:dyDescent="0.25">
      <c r="A15550">
        <v>17602</v>
      </c>
      <c r="B15550" t="s">
        <v>531</v>
      </c>
      <c r="C15550">
        <v>491</v>
      </c>
      <c r="D15550">
        <v>373</v>
      </c>
      <c r="E15550">
        <v>0</v>
      </c>
      <c r="F15550">
        <v>101</v>
      </c>
      <c r="G15550">
        <v>0</v>
      </c>
      <c r="H15550" t="s">
        <v>20390</v>
      </c>
      <c r="I15550">
        <v>17602</v>
      </c>
      <c r="J15550" t="e">
        <f>VLOOKUP(E15550,DSSpieler!A:B,2,FALSE)</f>
        <v>#N/A</v>
      </c>
    </row>
    <row r="15551" spans="1:10" x14ac:dyDescent="0.25">
      <c r="A15551">
        <v>17603</v>
      </c>
      <c r="B15551" t="s">
        <v>35599</v>
      </c>
      <c r="C15551">
        <v>382</v>
      </c>
      <c r="D15551">
        <v>451</v>
      </c>
      <c r="E15551">
        <v>1576254667</v>
      </c>
      <c r="F15551">
        <v>1661</v>
      </c>
      <c r="G15551">
        <v>0</v>
      </c>
      <c r="H15551" t="s">
        <v>498</v>
      </c>
      <c r="I15551">
        <v>17603</v>
      </c>
      <c r="J15551" t="str">
        <f>VLOOKUP(E15551,DSSpieler!A:B,2,FALSE)</f>
        <v>NameStillUnavailable</v>
      </c>
    </row>
    <row r="15552" spans="1:10" x14ac:dyDescent="0.25">
      <c r="A15552">
        <v>17604</v>
      </c>
      <c r="B15552" t="s">
        <v>531</v>
      </c>
      <c r="C15552">
        <v>617</v>
      </c>
      <c r="D15552">
        <v>538</v>
      </c>
      <c r="E15552">
        <v>0</v>
      </c>
      <c r="F15552">
        <v>53</v>
      </c>
      <c r="G15552">
        <v>0</v>
      </c>
      <c r="H15552" t="s">
        <v>20391</v>
      </c>
      <c r="I15552">
        <v>17604</v>
      </c>
      <c r="J15552" t="e">
        <f>VLOOKUP(E15552,DSSpieler!A:B,2,FALSE)</f>
        <v>#N/A</v>
      </c>
    </row>
    <row r="15553" spans="1:10" x14ac:dyDescent="0.25">
      <c r="A15553">
        <v>17605</v>
      </c>
      <c r="B15553" t="s">
        <v>2719</v>
      </c>
      <c r="C15553">
        <v>488</v>
      </c>
      <c r="D15553">
        <v>627</v>
      </c>
      <c r="E15553">
        <v>1577203368</v>
      </c>
      <c r="F15553">
        <v>26</v>
      </c>
      <c r="G15553">
        <v>0</v>
      </c>
      <c r="H15553" t="s">
        <v>20392</v>
      </c>
      <c r="I15553">
        <v>17605</v>
      </c>
      <c r="J15553" t="str">
        <f>VLOOKUP(E15553,DSSpieler!A:B,2,FALSE)</f>
        <v>K4R3</v>
      </c>
    </row>
    <row r="15554" spans="1:10" x14ac:dyDescent="0.25">
      <c r="A15554">
        <v>17606</v>
      </c>
      <c r="B15554" t="s">
        <v>531</v>
      </c>
      <c r="C15554">
        <v>466</v>
      </c>
      <c r="D15554">
        <v>379</v>
      </c>
      <c r="E15554">
        <v>0</v>
      </c>
      <c r="F15554">
        <v>137</v>
      </c>
      <c r="G15554">
        <v>0</v>
      </c>
      <c r="H15554" t="s">
        <v>20393</v>
      </c>
      <c r="I15554">
        <v>17606</v>
      </c>
      <c r="J15554" t="e">
        <f>VLOOKUP(E15554,DSSpieler!A:B,2,FALSE)</f>
        <v>#N/A</v>
      </c>
    </row>
    <row r="15555" spans="1:10" x14ac:dyDescent="0.25">
      <c r="A15555">
        <v>17608</v>
      </c>
      <c r="B15555" t="s">
        <v>531</v>
      </c>
      <c r="C15555">
        <v>545</v>
      </c>
      <c r="D15555">
        <v>615</v>
      </c>
      <c r="E15555">
        <v>0</v>
      </c>
      <c r="F15555">
        <v>178</v>
      </c>
      <c r="G15555">
        <v>0</v>
      </c>
      <c r="H15555" t="s">
        <v>20394</v>
      </c>
      <c r="I15555">
        <v>17608</v>
      </c>
      <c r="J15555" t="e">
        <f>VLOOKUP(E15555,DSSpieler!A:B,2,FALSE)</f>
        <v>#N/A</v>
      </c>
    </row>
    <row r="15556" spans="1:10" x14ac:dyDescent="0.25">
      <c r="A15556">
        <v>17609</v>
      </c>
      <c r="B15556" t="s">
        <v>531</v>
      </c>
      <c r="C15556">
        <v>474</v>
      </c>
      <c r="D15556">
        <v>376</v>
      </c>
      <c r="E15556">
        <v>0</v>
      </c>
      <c r="F15556">
        <v>62</v>
      </c>
      <c r="G15556">
        <v>0</v>
      </c>
      <c r="H15556" t="s">
        <v>20395</v>
      </c>
      <c r="I15556">
        <v>17609</v>
      </c>
      <c r="J15556" t="e">
        <f>VLOOKUP(E15556,DSSpieler!A:B,2,FALSE)</f>
        <v>#N/A</v>
      </c>
    </row>
    <row r="15557" spans="1:10" x14ac:dyDescent="0.25">
      <c r="A15557">
        <v>17610</v>
      </c>
      <c r="B15557" t="s">
        <v>531</v>
      </c>
      <c r="C15557">
        <v>422</v>
      </c>
      <c r="D15557">
        <v>599</v>
      </c>
      <c r="E15557">
        <v>0</v>
      </c>
      <c r="F15557">
        <v>293</v>
      </c>
      <c r="G15557">
        <v>0</v>
      </c>
      <c r="H15557" t="s">
        <v>20396</v>
      </c>
      <c r="I15557">
        <v>17610</v>
      </c>
      <c r="J15557" t="e">
        <f>VLOOKUP(E15557,DSSpieler!A:B,2,FALSE)</f>
        <v>#N/A</v>
      </c>
    </row>
    <row r="15558" spans="1:10" x14ac:dyDescent="0.25">
      <c r="A15558">
        <v>17611</v>
      </c>
      <c r="B15558" t="s">
        <v>2720</v>
      </c>
      <c r="C15558">
        <v>606</v>
      </c>
      <c r="D15558">
        <v>429</v>
      </c>
      <c r="E15558">
        <v>1577198269</v>
      </c>
      <c r="F15558">
        <v>1996</v>
      </c>
      <c r="G15558">
        <v>0</v>
      </c>
      <c r="H15558" t="s">
        <v>20397</v>
      </c>
      <c r="I15558">
        <v>17611</v>
      </c>
      <c r="J15558" t="str">
        <f>VLOOKUP(E15558,DSSpieler!A:B,2,FALSE)</f>
        <v>Paninialbum</v>
      </c>
    </row>
    <row r="15559" spans="1:10" x14ac:dyDescent="0.25">
      <c r="A15559">
        <v>17612</v>
      </c>
      <c r="B15559" t="s">
        <v>531</v>
      </c>
      <c r="C15559">
        <v>610</v>
      </c>
      <c r="D15559">
        <v>553</v>
      </c>
      <c r="E15559">
        <v>0</v>
      </c>
      <c r="F15559">
        <v>158</v>
      </c>
      <c r="G15559">
        <v>0</v>
      </c>
      <c r="H15559" t="s">
        <v>20398</v>
      </c>
      <c r="I15559">
        <v>17612</v>
      </c>
      <c r="J15559" t="e">
        <f>VLOOKUP(E15559,DSSpieler!A:B,2,FALSE)</f>
        <v>#N/A</v>
      </c>
    </row>
    <row r="15560" spans="1:10" x14ac:dyDescent="0.25">
      <c r="A15560">
        <v>17613</v>
      </c>
      <c r="B15560" t="s">
        <v>531</v>
      </c>
      <c r="C15560">
        <v>394</v>
      </c>
      <c r="D15560">
        <v>433</v>
      </c>
      <c r="E15560">
        <v>0</v>
      </c>
      <c r="F15560">
        <v>149</v>
      </c>
      <c r="G15560">
        <v>0</v>
      </c>
      <c r="H15560" t="s">
        <v>20399</v>
      </c>
      <c r="I15560">
        <v>17613</v>
      </c>
      <c r="J15560" t="e">
        <f>VLOOKUP(E15560,DSSpieler!A:B,2,FALSE)</f>
        <v>#N/A</v>
      </c>
    </row>
    <row r="15561" spans="1:10" x14ac:dyDescent="0.25">
      <c r="A15561">
        <v>17614</v>
      </c>
      <c r="B15561" t="s">
        <v>2721</v>
      </c>
      <c r="C15561">
        <v>607</v>
      </c>
      <c r="D15561">
        <v>572</v>
      </c>
      <c r="E15561">
        <v>1577205871</v>
      </c>
      <c r="F15561">
        <v>2345</v>
      </c>
      <c r="G15561">
        <v>0</v>
      </c>
      <c r="H15561" t="s">
        <v>20400</v>
      </c>
      <c r="I15561">
        <v>17614</v>
      </c>
      <c r="J15561" t="str">
        <f>VLOOKUP(E15561,DSSpieler!A:B,2,FALSE)</f>
        <v>VasKos</v>
      </c>
    </row>
    <row r="15562" spans="1:10" x14ac:dyDescent="0.25">
      <c r="A15562">
        <v>17615</v>
      </c>
      <c r="B15562" t="s">
        <v>2722</v>
      </c>
      <c r="C15562">
        <v>393</v>
      </c>
      <c r="D15562">
        <v>562</v>
      </c>
      <c r="E15562">
        <v>1576114533</v>
      </c>
      <c r="F15562">
        <v>284</v>
      </c>
      <c r="G15562">
        <v>0</v>
      </c>
      <c r="H15562" t="s">
        <v>20401</v>
      </c>
      <c r="I15562">
        <v>17615</v>
      </c>
      <c r="J15562" t="str">
        <f>VLOOKUP(E15562,DSSpieler!A:B,2,FALSE)</f>
        <v>pat20</v>
      </c>
    </row>
    <row r="15563" spans="1:10" x14ac:dyDescent="0.25">
      <c r="A15563">
        <v>17616</v>
      </c>
      <c r="B15563">
        <v>1</v>
      </c>
      <c r="C15563">
        <v>400</v>
      </c>
      <c r="D15563">
        <v>421</v>
      </c>
      <c r="E15563">
        <v>1577191574</v>
      </c>
      <c r="F15563">
        <v>1279</v>
      </c>
      <c r="G15563">
        <v>0</v>
      </c>
      <c r="H15563" t="s">
        <v>20402</v>
      </c>
      <c r="I15563">
        <v>17616</v>
      </c>
      <c r="J15563" t="str">
        <f>VLOOKUP(E15563,DSSpieler!A:B,2,FALSE)</f>
        <v>Phönix II</v>
      </c>
    </row>
    <row r="15564" spans="1:10" x14ac:dyDescent="0.25">
      <c r="A15564">
        <v>17617</v>
      </c>
      <c r="B15564" t="s">
        <v>531</v>
      </c>
      <c r="C15564">
        <v>621</v>
      </c>
      <c r="D15564">
        <v>475</v>
      </c>
      <c r="E15564">
        <v>0</v>
      </c>
      <c r="F15564">
        <v>52</v>
      </c>
      <c r="G15564">
        <v>0</v>
      </c>
      <c r="H15564" t="s">
        <v>20403</v>
      </c>
      <c r="I15564">
        <v>17617</v>
      </c>
      <c r="J15564" t="e">
        <f>VLOOKUP(E15564,DSSpieler!A:B,2,FALSE)</f>
        <v>#N/A</v>
      </c>
    </row>
    <row r="15565" spans="1:10" x14ac:dyDescent="0.25">
      <c r="A15565">
        <v>17618</v>
      </c>
      <c r="B15565" t="s">
        <v>2723</v>
      </c>
      <c r="C15565">
        <v>403</v>
      </c>
      <c r="D15565">
        <v>537</v>
      </c>
      <c r="E15565">
        <v>2722276</v>
      </c>
      <c r="F15565">
        <v>1581</v>
      </c>
      <c r="G15565">
        <v>0</v>
      </c>
      <c r="H15565" t="s">
        <v>20404</v>
      </c>
      <c r="I15565">
        <v>17618</v>
      </c>
      <c r="J15565" t="str">
        <f>VLOOKUP(E15565,DSSpieler!A:B,2,FALSE)</f>
        <v>Jöel</v>
      </c>
    </row>
    <row r="15566" spans="1:10" x14ac:dyDescent="0.25">
      <c r="A15566">
        <v>17619</v>
      </c>
      <c r="B15566" t="s">
        <v>531</v>
      </c>
      <c r="C15566">
        <v>494</v>
      </c>
      <c r="D15566">
        <v>626</v>
      </c>
      <c r="E15566">
        <v>0</v>
      </c>
      <c r="F15566">
        <v>117</v>
      </c>
      <c r="G15566">
        <v>0</v>
      </c>
      <c r="H15566" t="s">
        <v>20405</v>
      </c>
      <c r="I15566">
        <v>17619</v>
      </c>
      <c r="J15566" t="e">
        <f>VLOOKUP(E15566,DSSpieler!A:B,2,FALSE)</f>
        <v>#N/A</v>
      </c>
    </row>
    <row r="15567" spans="1:10" x14ac:dyDescent="0.25">
      <c r="A15567">
        <v>17620</v>
      </c>
      <c r="B15567" t="s">
        <v>2724</v>
      </c>
      <c r="C15567">
        <v>484</v>
      </c>
      <c r="D15567">
        <v>448</v>
      </c>
      <c r="E15567">
        <v>1576681280</v>
      </c>
      <c r="F15567">
        <v>928</v>
      </c>
      <c r="G15567">
        <v>0</v>
      </c>
      <c r="H15567" t="s">
        <v>20406</v>
      </c>
      <c r="I15567">
        <v>17620</v>
      </c>
      <c r="J15567" t="str">
        <f>VLOOKUP(E15567,DSSpieler!A:B,2,FALSE)</f>
        <v>Etherious Natsu Dragneel</v>
      </c>
    </row>
    <row r="15568" spans="1:10" x14ac:dyDescent="0.25">
      <c r="A15568">
        <v>17621</v>
      </c>
      <c r="B15568" t="s">
        <v>531</v>
      </c>
      <c r="C15568">
        <v>480</v>
      </c>
      <c r="D15568">
        <v>451</v>
      </c>
      <c r="E15568">
        <v>0</v>
      </c>
      <c r="F15568">
        <v>179</v>
      </c>
      <c r="G15568">
        <v>0</v>
      </c>
      <c r="H15568" t="s">
        <v>20407</v>
      </c>
      <c r="I15568">
        <v>17621</v>
      </c>
      <c r="J15568" t="e">
        <f>VLOOKUP(E15568,DSSpieler!A:B,2,FALSE)</f>
        <v>#N/A</v>
      </c>
    </row>
    <row r="15569" spans="1:10" x14ac:dyDescent="0.25">
      <c r="A15569">
        <v>17624</v>
      </c>
      <c r="B15569" t="s">
        <v>2725</v>
      </c>
      <c r="C15569">
        <v>410</v>
      </c>
      <c r="D15569">
        <v>589</v>
      </c>
      <c r="E15569">
        <v>372627</v>
      </c>
      <c r="F15569">
        <v>1538</v>
      </c>
      <c r="G15569">
        <v>0</v>
      </c>
      <c r="H15569" t="s">
        <v>20408</v>
      </c>
      <c r="I15569">
        <v>17624</v>
      </c>
      <c r="J15569" t="str">
        <f>VLOOKUP(E15569,DSSpieler!A:B,2,FALSE)</f>
        <v>Flankengott 71</v>
      </c>
    </row>
    <row r="15570" spans="1:10" x14ac:dyDescent="0.25">
      <c r="A15570">
        <v>17625</v>
      </c>
      <c r="B15570" t="s">
        <v>30478</v>
      </c>
      <c r="C15570">
        <v>375</v>
      </c>
      <c r="D15570">
        <v>495</v>
      </c>
      <c r="E15570">
        <v>1577043595</v>
      </c>
      <c r="F15570">
        <v>1806</v>
      </c>
      <c r="G15570">
        <v>0</v>
      </c>
      <c r="H15570" t="s">
        <v>20409</v>
      </c>
      <c r="I15570">
        <v>17625</v>
      </c>
      <c r="J15570" t="str">
        <f>VLOOKUP(E15570,DSSpieler!A:B,2,FALSE)</f>
        <v>Lord König jay 1.</v>
      </c>
    </row>
    <row r="15571" spans="1:10" x14ac:dyDescent="0.25">
      <c r="A15571">
        <v>17626</v>
      </c>
      <c r="B15571" t="s">
        <v>531</v>
      </c>
      <c r="C15571">
        <v>564</v>
      </c>
      <c r="D15571">
        <v>610</v>
      </c>
      <c r="E15571">
        <v>0</v>
      </c>
      <c r="F15571">
        <v>50</v>
      </c>
      <c r="G15571">
        <v>0</v>
      </c>
      <c r="H15571" t="s">
        <v>20410</v>
      </c>
      <c r="I15571">
        <v>17626</v>
      </c>
      <c r="J15571" t="e">
        <f>VLOOKUP(E15571,DSSpieler!A:B,2,FALSE)</f>
        <v>#N/A</v>
      </c>
    </row>
    <row r="15572" spans="1:10" x14ac:dyDescent="0.25">
      <c r="A15572">
        <v>17627</v>
      </c>
      <c r="B15572" t="s">
        <v>531</v>
      </c>
      <c r="C15572">
        <v>584</v>
      </c>
      <c r="D15572">
        <v>407</v>
      </c>
      <c r="E15572">
        <v>0</v>
      </c>
      <c r="F15572">
        <v>152</v>
      </c>
      <c r="G15572">
        <v>0</v>
      </c>
      <c r="H15572" t="s">
        <v>20411</v>
      </c>
      <c r="I15572">
        <v>17627</v>
      </c>
      <c r="J15572" t="e">
        <f>VLOOKUP(E15572,DSSpieler!A:B,2,FALSE)</f>
        <v>#N/A</v>
      </c>
    </row>
    <row r="15573" spans="1:10" x14ac:dyDescent="0.25">
      <c r="A15573">
        <v>17628</v>
      </c>
      <c r="B15573" t="s">
        <v>2726</v>
      </c>
      <c r="C15573">
        <v>563</v>
      </c>
      <c r="D15573">
        <v>611</v>
      </c>
      <c r="E15573">
        <v>2886130</v>
      </c>
      <c r="F15573">
        <v>1822</v>
      </c>
      <c r="G15573">
        <v>0</v>
      </c>
      <c r="H15573" t="s">
        <v>20412</v>
      </c>
      <c r="I15573">
        <v>17628</v>
      </c>
      <c r="J15573" t="str">
        <f>VLOOKUP(E15573,DSSpieler!A:B,2,FALSE)</f>
        <v>Loonys</v>
      </c>
    </row>
    <row r="15574" spans="1:10" x14ac:dyDescent="0.25">
      <c r="A15574">
        <v>17630</v>
      </c>
      <c r="B15574" t="s">
        <v>531</v>
      </c>
      <c r="C15574">
        <v>457</v>
      </c>
      <c r="D15574">
        <v>619</v>
      </c>
      <c r="E15574">
        <v>0</v>
      </c>
      <c r="F15574">
        <v>498</v>
      </c>
      <c r="G15574">
        <v>0</v>
      </c>
      <c r="H15574" t="s">
        <v>20413</v>
      </c>
      <c r="I15574">
        <v>17630</v>
      </c>
      <c r="J15574" t="e">
        <f>VLOOKUP(E15574,DSSpieler!A:B,2,FALSE)</f>
        <v>#N/A</v>
      </c>
    </row>
    <row r="15575" spans="1:10" x14ac:dyDescent="0.25">
      <c r="A15575">
        <v>17631</v>
      </c>
      <c r="B15575" t="s">
        <v>2727</v>
      </c>
      <c r="C15575">
        <v>618</v>
      </c>
      <c r="D15575">
        <v>451</v>
      </c>
      <c r="E15575">
        <v>1577026289</v>
      </c>
      <c r="F15575">
        <v>1801</v>
      </c>
      <c r="G15575">
        <v>0</v>
      </c>
      <c r="H15575" t="s">
        <v>20414</v>
      </c>
      <c r="I15575">
        <v>17631</v>
      </c>
      <c r="J15575" t="str">
        <f>VLOOKUP(E15575,DSSpieler!A:B,2,FALSE)</f>
        <v>Günter D</v>
      </c>
    </row>
    <row r="15576" spans="1:10" x14ac:dyDescent="0.25">
      <c r="A15576">
        <v>17632</v>
      </c>
      <c r="B15576" t="s">
        <v>531</v>
      </c>
      <c r="C15576">
        <v>586</v>
      </c>
      <c r="D15576">
        <v>446</v>
      </c>
      <c r="E15576">
        <v>0</v>
      </c>
      <c r="F15576">
        <v>458</v>
      </c>
      <c r="G15576">
        <v>0</v>
      </c>
      <c r="H15576" t="s">
        <v>20415</v>
      </c>
      <c r="I15576">
        <v>17632</v>
      </c>
      <c r="J15576" t="e">
        <f>VLOOKUP(E15576,DSSpieler!A:B,2,FALSE)</f>
        <v>#N/A</v>
      </c>
    </row>
    <row r="15577" spans="1:10" x14ac:dyDescent="0.25">
      <c r="A15577">
        <v>17634</v>
      </c>
      <c r="B15577" t="s">
        <v>2728</v>
      </c>
      <c r="C15577">
        <v>421</v>
      </c>
      <c r="D15577">
        <v>408</v>
      </c>
      <c r="E15577">
        <v>1577190553</v>
      </c>
      <c r="F15577">
        <v>2503</v>
      </c>
      <c r="G15577">
        <v>0</v>
      </c>
      <c r="H15577" t="s">
        <v>20416</v>
      </c>
      <c r="I15577">
        <v>17634</v>
      </c>
      <c r="J15577" t="str">
        <f>VLOOKUP(E15577,DSSpieler!A:B,2,FALSE)</f>
        <v>g3mus3supp3</v>
      </c>
    </row>
    <row r="15578" spans="1:10" x14ac:dyDescent="0.25">
      <c r="A15578">
        <v>17635</v>
      </c>
      <c r="B15578" t="s">
        <v>2729</v>
      </c>
      <c r="C15578">
        <v>405</v>
      </c>
      <c r="D15578">
        <v>580</v>
      </c>
      <c r="E15578">
        <v>1888062</v>
      </c>
      <c r="F15578">
        <v>563</v>
      </c>
      <c r="G15578">
        <v>0</v>
      </c>
      <c r="H15578" t="s">
        <v>20417</v>
      </c>
      <c r="I15578">
        <v>17635</v>
      </c>
      <c r="J15578" t="str">
        <f>VLOOKUP(E15578,DSSpieler!A:B,2,FALSE)</f>
        <v>J.M.88</v>
      </c>
    </row>
    <row r="15579" spans="1:10" x14ac:dyDescent="0.25">
      <c r="A15579">
        <v>17637</v>
      </c>
      <c r="B15579" t="s">
        <v>531</v>
      </c>
      <c r="C15579">
        <v>609</v>
      </c>
      <c r="D15579">
        <v>443</v>
      </c>
      <c r="E15579">
        <v>0</v>
      </c>
      <c r="F15579">
        <v>276</v>
      </c>
      <c r="G15579">
        <v>0</v>
      </c>
      <c r="H15579" t="s">
        <v>20418</v>
      </c>
      <c r="I15579">
        <v>17637</v>
      </c>
      <c r="J15579" t="e">
        <f>VLOOKUP(E15579,DSSpieler!A:B,2,FALSE)</f>
        <v>#N/A</v>
      </c>
    </row>
    <row r="15580" spans="1:10" x14ac:dyDescent="0.25">
      <c r="A15580">
        <v>17638</v>
      </c>
      <c r="B15580" t="s">
        <v>531</v>
      </c>
      <c r="C15580">
        <v>543</v>
      </c>
      <c r="D15580">
        <v>379</v>
      </c>
      <c r="E15580">
        <v>0</v>
      </c>
      <c r="F15580">
        <v>137</v>
      </c>
      <c r="G15580">
        <v>0</v>
      </c>
      <c r="H15580" t="s">
        <v>20419</v>
      </c>
      <c r="I15580">
        <v>17638</v>
      </c>
      <c r="J15580" t="e">
        <f>VLOOKUP(E15580,DSSpieler!A:B,2,FALSE)</f>
        <v>#N/A</v>
      </c>
    </row>
    <row r="15581" spans="1:10" x14ac:dyDescent="0.25">
      <c r="A15581">
        <v>17641</v>
      </c>
      <c r="B15581" t="s">
        <v>617</v>
      </c>
      <c r="C15581">
        <v>384</v>
      </c>
      <c r="D15581">
        <v>438</v>
      </c>
      <c r="E15581">
        <v>1577194119</v>
      </c>
      <c r="F15581">
        <v>2767</v>
      </c>
      <c r="G15581">
        <v>0</v>
      </c>
      <c r="H15581" t="s">
        <v>20420</v>
      </c>
      <c r="I15581">
        <v>17641</v>
      </c>
      <c r="J15581" t="str">
        <f>VLOOKUP(E15581,DSSpieler!A:B,2,FALSE)</f>
        <v>Morti001</v>
      </c>
    </row>
    <row r="15582" spans="1:10" x14ac:dyDescent="0.25">
      <c r="A15582">
        <v>17642</v>
      </c>
      <c r="B15582" t="s">
        <v>2730</v>
      </c>
      <c r="C15582">
        <v>536</v>
      </c>
      <c r="D15582">
        <v>555</v>
      </c>
      <c r="E15582">
        <v>9609483</v>
      </c>
      <c r="F15582">
        <v>26</v>
      </c>
      <c r="G15582">
        <v>0</v>
      </c>
      <c r="H15582" t="s">
        <v>20421</v>
      </c>
      <c r="I15582">
        <v>17642</v>
      </c>
      <c r="J15582" t="str">
        <f>VLOOKUP(E15582,DSSpieler!A:B,2,FALSE)</f>
        <v>fabian1357</v>
      </c>
    </row>
    <row r="15583" spans="1:10" x14ac:dyDescent="0.25">
      <c r="A15583">
        <v>17643</v>
      </c>
      <c r="B15583" t="s">
        <v>2731</v>
      </c>
      <c r="C15583">
        <v>597</v>
      </c>
      <c r="D15583">
        <v>582</v>
      </c>
      <c r="E15583">
        <v>438222</v>
      </c>
      <c r="F15583">
        <v>994</v>
      </c>
      <c r="G15583">
        <v>0</v>
      </c>
      <c r="H15583" t="s">
        <v>20422</v>
      </c>
      <c r="I15583">
        <v>17643</v>
      </c>
      <c r="J15583" t="str">
        <f>VLOOKUP(E15583,DSSpieler!A:B,2,FALSE)</f>
        <v>samadamas</v>
      </c>
    </row>
    <row r="15584" spans="1:10" x14ac:dyDescent="0.25">
      <c r="A15584">
        <v>17644</v>
      </c>
      <c r="B15584" t="s">
        <v>2732</v>
      </c>
      <c r="C15584">
        <v>489</v>
      </c>
      <c r="D15584">
        <v>375</v>
      </c>
      <c r="E15584">
        <v>1577205674</v>
      </c>
      <c r="F15584">
        <v>307</v>
      </c>
      <c r="G15584">
        <v>0</v>
      </c>
      <c r="H15584" t="s">
        <v>20423</v>
      </c>
      <c r="I15584">
        <v>17644</v>
      </c>
      <c r="J15584" t="str">
        <f>VLOOKUP(E15584,DSSpieler!A:B,2,FALSE)</f>
        <v>KingVitas</v>
      </c>
    </row>
    <row r="15585" spans="1:10" x14ac:dyDescent="0.25">
      <c r="A15585">
        <v>17645</v>
      </c>
      <c r="B15585" t="s">
        <v>2733</v>
      </c>
      <c r="C15585">
        <v>546</v>
      </c>
      <c r="D15585">
        <v>615</v>
      </c>
      <c r="E15585">
        <v>1577202033</v>
      </c>
      <c r="F15585">
        <v>904</v>
      </c>
      <c r="G15585">
        <v>0</v>
      </c>
      <c r="H15585" t="s">
        <v>20424</v>
      </c>
      <c r="I15585">
        <v>17645</v>
      </c>
      <c r="J15585" t="str">
        <f>VLOOKUP(E15585,DSSpieler!A:B,2,FALSE)</f>
        <v>TheReaper</v>
      </c>
    </row>
    <row r="15586" spans="1:10" x14ac:dyDescent="0.25">
      <c r="A15586">
        <v>17646</v>
      </c>
      <c r="B15586" t="s">
        <v>531</v>
      </c>
      <c r="C15586">
        <v>415</v>
      </c>
      <c r="D15586">
        <v>411</v>
      </c>
      <c r="E15586">
        <v>0</v>
      </c>
      <c r="F15586">
        <v>92</v>
      </c>
      <c r="G15586">
        <v>0</v>
      </c>
      <c r="H15586" t="s">
        <v>20425</v>
      </c>
      <c r="I15586">
        <v>17646</v>
      </c>
      <c r="J15586" t="e">
        <f>VLOOKUP(E15586,DSSpieler!A:B,2,FALSE)</f>
        <v>#N/A</v>
      </c>
    </row>
    <row r="15587" spans="1:10" x14ac:dyDescent="0.25">
      <c r="A15587">
        <v>17647</v>
      </c>
      <c r="B15587" t="s">
        <v>2734</v>
      </c>
      <c r="C15587">
        <v>423</v>
      </c>
      <c r="D15587">
        <v>402</v>
      </c>
      <c r="E15587">
        <v>1576825822</v>
      </c>
      <c r="F15587">
        <v>1891</v>
      </c>
      <c r="G15587">
        <v>0</v>
      </c>
      <c r="H15587" t="s">
        <v>20426</v>
      </c>
      <c r="I15587">
        <v>17647</v>
      </c>
      <c r="J15587" t="str">
        <f>VLOOKUP(E15587,DSSpieler!A:B,2,FALSE)</f>
        <v>yolo1991</v>
      </c>
    </row>
    <row r="15588" spans="1:10" x14ac:dyDescent="0.25">
      <c r="A15588">
        <v>17648</v>
      </c>
      <c r="B15588" t="s">
        <v>2735</v>
      </c>
      <c r="C15588">
        <v>516</v>
      </c>
      <c r="D15588">
        <v>486</v>
      </c>
      <c r="E15588">
        <v>1577177220</v>
      </c>
      <c r="F15588">
        <v>902</v>
      </c>
      <c r="G15588">
        <v>0</v>
      </c>
      <c r="H15588" t="s">
        <v>20427</v>
      </c>
      <c r="I15588">
        <v>17648</v>
      </c>
      <c r="J15588" t="str">
        <f>VLOOKUP(E15588,DSSpieler!A:B,2,FALSE)</f>
        <v>Medved1</v>
      </c>
    </row>
    <row r="15589" spans="1:10" x14ac:dyDescent="0.25">
      <c r="A15589">
        <v>17649</v>
      </c>
      <c r="B15589" t="s">
        <v>2736</v>
      </c>
      <c r="C15589">
        <v>597</v>
      </c>
      <c r="D15589">
        <v>424</v>
      </c>
      <c r="E15589">
        <v>1577134074</v>
      </c>
      <c r="F15589">
        <v>46</v>
      </c>
      <c r="G15589">
        <v>0</v>
      </c>
      <c r="H15589" t="s">
        <v>20428</v>
      </c>
      <c r="I15589">
        <v>17649</v>
      </c>
      <c r="J15589" t="str">
        <f>VLOOKUP(E15589,DSSpieler!A:B,2,FALSE)</f>
        <v>condottiero</v>
      </c>
    </row>
    <row r="15590" spans="1:10" x14ac:dyDescent="0.25">
      <c r="A15590">
        <v>17650</v>
      </c>
      <c r="B15590" t="s">
        <v>30990</v>
      </c>
      <c r="C15590">
        <v>608</v>
      </c>
      <c r="D15590">
        <v>471</v>
      </c>
      <c r="E15590">
        <v>1577195701</v>
      </c>
      <c r="F15590">
        <v>1401</v>
      </c>
      <c r="G15590">
        <v>0</v>
      </c>
      <c r="H15590" t="s">
        <v>20429</v>
      </c>
      <c r="I15590">
        <v>17650</v>
      </c>
      <c r="J15590" t="str">
        <f>VLOOKUP(E15590,DSSpieler!A:B,2,FALSE)</f>
        <v>Vanilletraeumchen</v>
      </c>
    </row>
    <row r="15591" spans="1:10" x14ac:dyDescent="0.25">
      <c r="A15591">
        <v>17651</v>
      </c>
      <c r="B15591" t="s">
        <v>531</v>
      </c>
      <c r="C15591">
        <v>452</v>
      </c>
      <c r="D15591">
        <v>613</v>
      </c>
      <c r="E15591">
        <v>0</v>
      </c>
      <c r="F15591">
        <v>127</v>
      </c>
      <c r="G15591">
        <v>0</v>
      </c>
      <c r="H15591" t="s">
        <v>20430</v>
      </c>
      <c r="I15591">
        <v>17651</v>
      </c>
      <c r="J15591" t="e">
        <f>VLOOKUP(E15591,DSSpieler!A:B,2,FALSE)</f>
        <v>#N/A</v>
      </c>
    </row>
    <row r="15592" spans="1:10" x14ac:dyDescent="0.25">
      <c r="A15592">
        <v>17652</v>
      </c>
      <c r="B15592" t="s">
        <v>2737</v>
      </c>
      <c r="C15592">
        <v>605</v>
      </c>
      <c r="D15592">
        <v>433</v>
      </c>
      <c r="E15592">
        <v>1577195224</v>
      </c>
      <c r="F15592">
        <v>1015</v>
      </c>
      <c r="G15592">
        <v>0</v>
      </c>
      <c r="H15592" t="s">
        <v>20431</v>
      </c>
      <c r="I15592">
        <v>17652</v>
      </c>
      <c r="J15592" t="str">
        <f>VLOOKUP(E15592,DSSpieler!A:B,2,FALSE)</f>
        <v>M.x.ri.x</v>
      </c>
    </row>
    <row r="15593" spans="1:10" x14ac:dyDescent="0.25">
      <c r="A15593">
        <v>17653</v>
      </c>
      <c r="B15593" t="s">
        <v>2738</v>
      </c>
      <c r="C15593">
        <v>593</v>
      </c>
      <c r="D15593">
        <v>420</v>
      </c>
      <c r="E15593">
        <v>9941309</v>
      </c>
      <c r="F15593">
        <v>26</v>
      </c>
      <c r="G15593">
        <v>0</v>
      </c>
      <c r="H15593" t="s">
        <v>20432</v>
      </c>
      <c r="I15593">
        <v>17653</v>
      </c>
      <c r="J15593" t="str">
        <f>VLOOKUP(E15593,DSSpieler!A:B,2,FALSE)</f>
        <v>Schecka</v>
      </c>
    </row>
    <row r="15594" spans="1:10" x14ac:dyDescent="0.25">
      <c r="A15594">
        <v>17654</v>
      </c>
      <c r="B15594" t="s">
        <v>891</v>
      </c>
      <c r="C15594">
        <v>426</v>
      </c>
      <c r="D15594">
        <v>465</v>
      </c>
      <c r="E15594">
        <v>8771557</v>
      </c>
      <c r="F15594">
        <v>1879</v>
      </c>
      <c r="G15594">
        <v>0</v>
      </c>
      <c r="H15594" t="s">
        <v>20433</v>
      </c>
      <c r="I15594">
        <v>17654</v>
      </c>
      <c r="J15594" t="str">
        <f>VLOOKUP(E15594,DSSpieler!A:B,2,FALSE)</f>
        <v>OGVMKA</v>
      </c>
    </row>
    <row r="15595" spans="1:10" x14ac:dyDescent="0.25">
      <c r="A15595">
        <v>17655</v>
      </c>
      <c r="B15595" t="s">
        <v>2739</v>
      </c>
      <c r="C15595">
        <v>561</v>
      </c>
      <c r="D15595">
        <v>426</v>
      </c>
      <c r="E15595">
        <v>10047033</v>
      </c>
      <c r="F15595">
        <v>2192</v>
      </c>
      <c r="G15595">
        <v>0</v>
      </c>
      <c r="H15595" t="s">
        <v>20434</v>
      </c>
      <c r="I15595">
        <v>17655</v>
      </c>
      <c r="J15595" t="str">
        <f>VLOOKUP(E15595,DSSpieler!A:B,2,FALSE)</f>
        <v>odinsherr</v>
      </c>
    </row>
    <row r="15596" spans="1:10" x14ac:dyDescent="0.25">
      <c r="A15596">
        <v>17656</v>
      </c>
      <c r="B15596" t="s">
        <v>531</v>
      </c>
      <c r="C15596">
        <v>627</v>
      </c>
      <c r="D15596">
        <v>489</v>
      </c>
      <c r="E15596">
        <v>0</v>
      </c>
      <c r="F15596">
        <v>147</v>
      </c>
      <c r="G15596">
        <v>0</v>
      </c>
      <c r="H15596" t="s">
        <v>20435</v>
      </c>
      <c r="I15596">
        <v>17656</v>
      </c>
      <c r="J15596" t="e">
        <f>VLOOKUP(E15596,DSSpieler!A:B,2,FALSE)</f>
        <v>#N/A</v>
      </c>
    </row>
    <row r="15597" spans="1:10" x14ac:dyDescent="0.25">
      <c r="A15597">
        <v>17659</v>
      </c>
      <c r="B15597" t="s">
        <v>35600</v>
      </c>
      <c r="C15597">
        <v>379</v>
      </c>
      <c r="D15597">
        <v>525</v>
      </c>
      <c r="E15597">
        <v>1577205912</v>
      </c>
      <c r="F15597">
        <v>1966</v>
      </c>
      <c r="G15597">
        <v>0</v>
      </c>
      <c r="H15597" t="s">
        <v>20436</v>
      </c>
      <c r="I15597">
        <v>17659</v>
      </c>
      <c r="J15597" t="str">
        <f>VLOOKUP(E15597,DSSpieler!A:B,2,FALSE)</f>
        <v>KillerMatze</v>
      </c>
    </row>
    <row r="15598" spans="1:10" x14ac:dyDescent="0.25">
      <c r="A15598">
        <v>17660</v>
      </c>
      <c r="B15598" t="s">
        <v>531</v>
      </c>
      <c r="C15598">
        <v>377</v>
      </c>
      <c r="D15598">
        <v>500</v>
      </c>
      <c r="E15598">
        <v>0</v>
      </c>
      <c r="F15598">
        <v>147</v>
      </c>
      <c r="G15598">
        <v>0</v>
      </c>
      <c r="H15598" t="s">
        <v>20437</v>
      </c>
      <c r="I15598">
        <v>17660</v>
      </c>
      <c r="J15598" t="e">
        <f>VLOOKUP(E15598,DSSpieler!A:B,2,FALSE)</f>
        <v>#N/A</v>
      </c>
    </row>
    <row r="15599" spans="1:10" x14ac:dyDescent="0.25">
      <c r="A15599">
        <v>17661</v>
      </c>
      <c r="B15599">
        <v>1</v>
      </c>
      <c r="C15599">
        <v>544</v>
      </c>
      <c r="D15599">
        <v>614</v>
      </c>
      <c r="E15599">
        <v>1577026002</v>
      </c>
      <c r="F15599">
        <v>1695</v>
      </c>
      <c r="G15599">
        <v>0</v>
      </c>
      <c r="H15599" t="s">
        <v>20438</v>
      </c>
      <c r="I15599">
        <v>17661</v>
      </c>
      <c r="J15599" t="str">
        <f>VLOOKUP(E15599,DSSpieler!A:B,2,FALSE)</f>
        <v>Norbert123</v>
      </c>
    </row>
    <row r="15600" spans="1:10" x14ac:dyDescent="0.25">
      <c r="A15600">
        <v>17662</v>
      </c>
      <c r="B15600" t="s">
        <v>2740</v>
      </c>
      <c r="C15600">
        <v>398</v>
      </c>
      <c r="D15600">
        <v>426</v>
      </c>
      <c r="E15600">
        <v>1577174289</v>
      </c>
      <c r="F15600">
        <v>42</v>
      </c>
      <c r="G15600">
        <v>0</v>
      </c>
      <c r="H15600" t="s">
        <v>20439</v>
      </c>
      <c r="I15600">
        <v>17662</v>
      </c>
      <c r="J15600" t="str">
        <f>VLOOKUP(E15600,DSSpieler!A:B,2,FALSE)</f>
        <v>Greystash</v>
      </c>
    </row>
    <row r="15601" spans="1:10" x14ac:dyDescent="0.25">
      <c r="A15601">
        <v>17663</v>
      </c>
      <c r="B15601" t="s">
        <v>2741</v>
      </c>
      <c r="C15601">
        <v>434</v>
      </c>
      <c r="D15601">
        <v>392</v>
      </c>
      <c r="E15601">
        <v>1577197035</v>
      </c>
      <c r="F15601">
        <v>2141</v>
      </c>
      <c r="G15601">
        <v>0</v>
      </c>
      <c r="H15601" t="s">
        <v>20440</v>
      </c>
      <c r="I15601">
        <v>17663</v>
      </c>
      <c r="J15601" t="str">
        <f>VLOOKUP(E15601,DSSpieler!A:B,2,FALSE)</f>
        <v>Hoga der Schreckliche</v>
      </c>
    </row>
    <row r="15602" spans="1:10" x14ac:dyDescent="0.25">
      <c r="A15602">
        <v>17664</v>
      </c>
      <c r="B15602" t="s">
        <v>531</v>
      </c>
      <c r="C15602">
        <v>388</v>
      </c>
      <c r="D15602">
        <v>551</v>
      </c>
      <c r="E15602">
        <v>0</v>
      </c>
      <c r="F15602">
        <v>189</v>
      </c>
      <c r="G15602">
        <v>0</v>
      </c>
      <c r="H15602" t="s">
        <v>20441</v>
      </c>
      <c r="I15602">
        <v>17664</v>
      </c>
      <c r="J15602" t="e">
        <f>VLOOKUP(E15602,DSSpieler!A:B,2,FALSE)</f>
        <v>#N/A</v>
      </c>
    </row>
    <row r="15603" spans="1:10" x14ac:dyDescent="0.25">
      <c r="A15603">
        <v>17665</v>
      </c>
      <c r="B15603" t="s">
        <v>2742</v>
      </c>
      <c r="C15603">
        <v>530</v>
      </c>
      <c r="D15603">
        <v>375</v>
      </c>
      <c r="E15603">
        <v>1576365354</v>
      </c>
      <c r="F15603">
        <v>491</v>
      </c>
      <c r="G15603">
        <v>0</v>
      </c>
      <c r="H15603" t="s">
        <v>20442</v>
      </c>
      <c r="I15603">
        <v>17665</v>
      </c>
      <c r="J15603" t="str">
        <f>VLOOKUP(E15603,DSSpieler!A:B,2,FALSE)</f>
        <v>Lady Maralla</v>
      </c>
    </row>
    <row r="15604" spans="1:10" x14ac:dyDescent="0.25">
      <c r="A15604">
        <v>17667</v>
      </c>
      <c r="B15604" t="s">
        <v>531</v>
      </c>
      <c r="C15604">
        <v>564</v>
      </c>
      <c r="D15604">
        <v>608</v>
      </c>
      <c r="E15604">
        <v>0</v>
      </c>
      <c r="F15604">
        <v>162</v>
      </c>
      <c r="G15604">
        <v>0</v>
      </c>
      <c r="H15604" t="s">
        <v>20443</v>
      </c>
      <c r="I15604">
        <v>17667</v>
      </c>
      <c r="J15604" t="e">
        <f>VLOOKUP(E15604,DSSpieler!A:B,2,FALSE)</f>
        <v>#N/A</v>
      </c>
    </row>
    <row r="15605" spans="1:10" x14ac:dyDescent="0.25">
      <c r="A15605">
        <v>17669</v>
      </c>
      <c r="B15605" t="s">
        <v>531</v>
      </c>
      <c r="C15605">
        <v>610</v>
      </c>
      <c r="D15605">
        <v>435</v>
      </c>
      <c r="E15605">
        <v>0</v>
      </c>
      <c r="F15605">
        <v>110</v>
      </c>
      <c r="G15605">
        <v>0</v>
      </c>
      <c r="H15605" t="s">
        <v>20444</v>
      </c>
      <c r="I15605">
        <v>17669</v>
      </c>
      <c r="J15605" t="e">
        <f>VLOOKUP(E15605,DSSpieler!A:B,2,FALSE)</f>
        <v>#N/A</v>
      </c>
    </row>
    <row r="15606" spans="1:10" x14ac:dyDescent="0.25">
      <c r="A15606">
        <v>17670</v>
      </c>
      <c r="B15606" t="s">
        <v>2743</v>
      </c>
      <c r="C15606">
        <v>480</v>
      </c>
      <c r="D15606">
        <v>596</v>
      </c>
      <c r="E15606">
        <v>8353498</v>
      </c>
      <c r="F15606">
        <v>206</v>
      </c>
      <c r="G15606">
        <v>0</v>
      </c>
      <c r="H15606" t="s">
        <v>20445</v>
      </c>
      <c r="I15606">
        <v>17670</v>
      </c>
      <c r="J15606" t="str">
        <f>VLOOKUP(E15606,DSSpieler!A:B,2,FALSE)</f>
        <v>Lorig123</v>
      </c>
    </row>
    <row r="15607" spans="1:10" x14ac:dyDescent="0.25">
      <c r="A15607">
        <v>17671</v>
      </c>
      <c r="B15607" t="s">
        <v>2744</v>
      </c>
      <c r="C15607">
        <v>514</v>
      </c>
      <c r="D15607">
        <v>620</v>
      </c>
      <c r="E15607">
        <v>1577202894</v>
      </c>
      <c r="F15607">
        <v>1163</v>
      </c>
      <c r="G15607">
        <v>0</v>
      </c>
      <c r="H15607" t="s">
        <v>20446</v>
      </c>
      <c r="I15607">
        <v>17671</v>
      </c>
      <c r="J15607" t="str">
        <f>VLOOKUP(E15607,DSSpieler!A:B,2,FALSE)</f>
        <v>BreakTheCircle</v>
      </c>
    </row>
    <row r="15608" spans="1:10" x14ac:dyDescent="0.25">
      <c r="A15608">
        <v>17672</v>
      </c>
      <c r="B15608" t="s">
        <v>2328</v>
      </c>
      <c r="C15608">
        <v>520</v>
      </c>
      <c r="D15608">
        <v>618</v>
      </c>
      <c r="E15608">
        <v>8574065</v>
      </c>
      <c r="F15608">
        <v>1943</v>
      </c>
      <c r="G15608">
        <v>0</v>
      </c>
      <c r="H15608" t="s">
        <v>20447</v>
      </c>
      <c r="I15608">
        <v>17672</v>
      </c>
      <c r="J15608" t="str">
        <f>VLOOKUP(E15608,DSSpieler!A:B,2,FALSE)</f>
        <v>Dead Money</v>
      </c>
    </row>
    <row r="15609" spans="1:10" x14ac:dyDescent="0.25">
      <c r="A15609">
        <v>17673</v>
      </c>
      <c r="B15609" t="s">
        <v>2745</v>
      </c>
      <c r="C15609">
        <v>373</v>
      </c>
      <c r="D15609">
        <v>513</v>
      </c>
      <c r="E15609">
        <v>1577192473</v>
      </c>
      <c r="F15609">
        <v>142</v>
      </c>
      <c r="G15609">
        <v>0</v>
      </c>
      <c r="H15609" t="s">
        <v>20448</v>
      </c>
      <c r="I15609">
        <v>17673</v>
      </c>
      <c r="J15609" t="str">
        <f>VLOOKUP(E15609,DSSpieler!A:B,2,FALSE)</f>
        <v>mauerbauer66</v>
      </c>
    </row>
    <row r="15610" spans="1:10" x14ac:dyDescent="0.25">
      <c r="A15610">
        <v>17674</v>
      </c>
      <c r="B15610" t="s">
        <v>2746</v>
      </c>
      <c r="C15610">
        <v>545</v>
      </c>
      <c r="D15610">
        <v>496</v>
      </c>
      <c r="E15610">
        <v>1493164</v>
      </c>
      <c r="F15610">
        <v>1726</v>
      </c>
      <c r="G15610">
        <v>0</v>
      </c>
      <c r="H15610" t="s">
        <v>20449</v>
      </c>
      <c r="I15610">
        <v>17674</v>
      </c>
      <c r="J15610" t="str">
        <f>VLOOKUP(E15610,DSSpieler!A:B,2,FALSE)</f>
        <v>RINGLER</v>
      </c>
    </row>
    <row r="15611" spans="1:10" x14ac:dyDescent="0.25">
      <c r="A15611">
        <v>17675</v>
      </c>
      <c r="B15611" t="s">
        <v>531</v>
      </c>
      <c r="C15611">
        <v>401</v>
      </c>
      <c r="D15611">
        <v>576</v>
      </c>
      <c r="E15611">
        <v>0</v>
      </c>
      <c r="F15611">
        <v>175</v>
      </c>
      <c r="G15611">
        <v>0</v>
      </c>
      <c r="H15611" t="s">
        <v>20450</v>
      </c>
      <c r="I15611">
        <v>17675</v>
      </c>
      <c r="J15611" t="e">
        <f>VLOOKUP(E15611,DSSpieler!A:B,2,FALSE)</f>
        <v>#N/A</v>
      </c>
    </row>
    <row r="15612" spans="1:10" x14ac:dyDescent="0.25">
      <c r="A15612">
        <v>17676</v>
      </c>
      <c r="B15612" t="s">
        <v>2747</v>
      </c>
      <c r="C15612">
        <v>531</v>
      </c>
      <c r="D15612">
        <v>503</v>
      </c>
      <c r="E15612">
        <v>1577205954</v>
      </c>
      <c r="F15612">
        <v>313</v>
      </c>
      <c r="G15612">
        <v>0</v>
      </c>
      <c r="H15612" t="s">
        <v>20451</v>
      </c>
      <c r="I15612">
        <v>17676</v>
      </c>
      <c r="J15612" t="str">
        <f>VLOOKUP(E15612,DSSpieler!A:B,2,FALSE)</f>
        <v>Barry753</v>
      </c>
    </row>
    <row r="15613" spans="1:10" x14ac:dyDescent="0.25">
      <c r="A15613">
        <v>17677</v>
      </c>
      <c r="B15613" t="s">
        <v>35601</v>
      </c>
      <c r="C15613">
        <v>511</v>
      </c>
      <c r="D15613">
        <v>625</v>
      </c>
      <c r="E15613">
        <v>1576843086</v>
      </c>
      <c r="F15613">
        <v>408</v>
      </c>
      <c r="G15613">
        <v>0</v>
      </c>
      <c r="H15613" t="s">
        <v>20452</v>
      </c>
      <c r="I15613">
        <v>17677</v>
      </c>
      <c r="J15613" t="str">
        <f>VLOOKUP(E15613,DSSpieler!A:B,2,FALSE)</f>
        <v>warrrum?</v>
      </c>
    </row>
    <row r="15614" spans="1:10" x14ac:dyDescent="0.25">
      <c r="A15614">
        <v>17678</v>
      </c>
      <c r="B15614" t="s">
        <v>531</v>
      </c>
      <c r="C15614">
        <v>406</v>
      </c>
      <c r="D15614">
        <v>585</v>
      </c>
      <c r="E15614">
        <v>0</v>
      </c>
      <c r="F15614">
        <v>193</v>
      </c>
      <c r="G15614">
        <v>0</v>
      </c>
      <c r="H15614" t="s">
        <v>20453</v>
      </c>
      <c r="I15614">
        <v>17678</v>
      </c>
      <c r="J15614" t="e">
        <f>VLOOKUP(E15614,DSSpieler!A:B,2,FALSE)</f>
        <v>#N/A</v>
      </c>
    </row>
    <row r="15615" spans="1:10" x14ac:dyDescent="0.25">
      <c r="A15615">
        <v>17679</v>
      </c>
      <c r="B15615" t="s">
        <v>531</v>
      </c>
      <c r="C15615">
        <v>484</v>
      </c>
      <c r="D15615">
        <v>372</v>
      </c>
      <c r="E15615">
        <v>0</v>
      </c>
      <c r="F15615">
        <v>172</v>
      </c>
      <c r="G15615">
        <v>0</v>
      </c>
      <c r="H15615" t="s">
        <v>20454</v>
      </c>
      <c r="I15615">
        <v>17679</v>
      </c>
      <c r="J15615" t="e">
        <f>VLOOKUP(E15615,DSSpieler!A:B,2,FALSE)</f>
        <v>#N/A</v>
      </c>
    </row>
    <row r="15616" spans="1:10" x14ac:dyDescent="0.25">
      <c r="A15616">
        <v>17680</v>
      </c>
      <c r="B15616" t="s">
        <v>2748</v>
      </c>
      <c r="C15616">
        <v>374</v>
      </c>
      <c r="D15616">
        <v>475</v>
      </c>
      <c r="E15616">
        <v>1576665516</v>
      </c>
      <c r="F15616">
        <v>776</v>
      </c>
      <c r="G15616">
        <v>0</v>
      </c>
      <c r="H15616" t="s">
        <v>20455</v>
      </c>
      <c r="I15616">
        <v>17680</v>
      </c>
      <c r="J15616" t="str">
        <f>VLOOKUP(E15616,DSSpieler!A:B,2,FALSE)</f>
        <v>Lasaart</v>
      </c>
    </row>
    <row r="15617" spans="1:10" x14ac:dyDescent="0.25">
      <c r="A15617">
        <v>17681</v>
      </c>
      <c r="B15617" t="s">
        <v>531</v>
      </c>
      <c r="C15617">
        <v>498</v>
      </c>
      <c r="D15617">
        <v>408</v>
      </c>
      <c r="E15617">
        <v>0</v>
      </c>
      <c r="F15617">
        <v>544</v>
      </c>
      <c r="G15617">
        <v>0</v>
      </c>
      <c r="H15617" t="s">
        <v>20456</v>
      </c>
      <c r="I15617">
        <v>17681</v>
      </c>
      <c r="J15617" t="e">
        <f>VLOOKUP(E15617,DSSpieler!A:B,2,FALSE)</f>
        <v>#N/A</v>
      </c>
    </row>
    <row r="15618" spans="1:10" x14ac:dyDescent="0.25">
      <c r="A15618">
        <v>17682</v>
      </c>
      <c r="B15618" t="s">
        <v>2749</v>
      </c>
      <c r="C15618">
        <v>504</v>
      </c>
      <c r="D15618">
        <v>627</v>
      </c>
      <c r="E15618">
        <v>1577184567</v>
      </c>
      <c r="F15618">
        <v>1565</v>
      </c>
      <c r="G15618">
        <v>0</v>
      </c>
      <c r="H15618" t="s">
        <v>20457</v>
      </c>
      <c r="I15618">
        <v>17682</v>
      </c>
      <c r="J15618" t="str">
        <f>VLOOKUP(E15618,DSSpieler!A:B,2,FALSE)</f>
        <v>hoi-</v>
      </c>
    </row>
    <row r="15619" spans="1:10" x14ac:dyDescent="0.25">
      <c r="A15619">
        <v>17683</v>
      </c>
      <c r="B15619" t="s">
        <v>2750</v>
      </c>
      <c r="C15619">
        <v>585</v>
      </c>
      <c r="D15619">
        <v>585</v>
      </c>
      <c r="E15619">
        <v>8768081</v>
      </c>
      <c r="F15619">
        <v>1237</v>
      </c>
      <c r="G15619">
        <v>0</v>
      </c>
      <c r="H15619" t="s">
        <v>20458</v>
      </c>
      <c r="I15619">
        <v>17683</v>
      </c>
      <c r="J15619" t="str">
        <f>VLOOKUP(E15619,DSSpieler!A:B,2,FALSE)</f>
        <v>Novana die 1.</v>
      </c>
    </row>
    <row r="15620" spans="1:10" x14ac:dyDescent="0.25">
      <c r="A15620">
        <v>17684</v>
      </c>
      <c r="B15620" t="s">
        <v>2751</v>
      </c>
      <c r="C15620">
        <v>432</v>
      </c>
      <c r="D15620">
        <v>573</v>
      </c>
      <c r="E15620">
        <v>1577199100</v>
      </c>
      <c r="F15620">
        <v>2838</v>
      </c>
      <c r="G15620">
        <v>0</v>
      </c>
      <c r="H15620" t="s">
        <v>20459</v>
      </c>
      <c r="I15620">
        <v>17684</v>
      </c>
      <c r="J15620" t="str">
        <f>VLOOKUP(E15620,DSSpieler!A:B,2,FALSE)</f>
        <v>Dämion</v>
      </c>
    </row>
    <row r="15621" spans="1:10" x14ac:dyDescent="0.25">
      <c r="A15621">
        <v>17685</v>
      </c>
      <c r="B15621">
        <v>187</v>
      </c>
      <c r="C15621">
        <v>528</v>
      </c>
      <c r="D15621">
        <v>392</v>
      </c>
      <c r="E15621">
        <v>1576306272</v>
      </c>
      <c r="F15621">
        <v>2651</v>
      </c>
      <c r="G15621">
        <v>0</v>
      </c>
      <c r="H15621" t="s">
        <v>20460</v>
      </c>
      <c r="I15621">
        <v>17685</v>
      </c>
      <c r="J15621" t="str">
        <f>VLOOKUP(E15621,DSSpieler!A:B,2,FALSE)</f>
        <v>Kekscookie</v>
      </c>
    </row>
    <row r="15622" spans="1:10" x14ac:dyDescent="0.25">
      <c r="A15622">
        <v>17686</v>
      </c>
      <c r="B15622" t="s">
        <v>531</v>
      </c>
      <c r="C15622">
        <v>454</v>
      </c>
      <c r="D15622">
        <v>385</v>
      </c>
      <c r="E15622">
        <v>0</v>
      </c>
      <c r="F15622">
        <v>48</v>
      </c>
      <c r="G15622">
        <v>0</v>
      </c>
      <c r="H15622" t="s">
        <v>20461</v>
      </c>
      <c r="I15622">
        <v>17686</v>
      </c>
      <c r="J15622" t="e">
        <f>VLOOKUP(E15622,DSSpieler!A:B,2,FALSE)</f>
        <v>#N/A</v>
      </c>
    </row>
    <row r="15623" spans="1:10" x14ac:dyDescent="0.25">
      <c r="A15623">
        <v>17688</v>
      </c>
      <c r="B15623" t="s">
        <v>531</v>
      </c>
      <c r="C15623">
        <v>569</v>
      </c>
      <c r="D15623">
        <v>606</v>
      </c>
      <c r="E15623">
        <v>0</v>
      </c>
      <c r="F15623">
        <v>143</v>
      </c>
      <c r="G15623">
        <v>0</v>
      </c>
      <c r="H15623" t="s">
        <v>20462</v>
      </c>
      <c r="I15623">
        <v>17688</v>
      </c>
      <c r="J15623" t="e">
        <f>VLOOKUP(E15623,DSSpieler!A:B,2,FALSE)</f>
        <v>#N/A</v>
      </c>
    </row>
    <row r="15624" spans="1:10" x14ac:dyDescent="0.25">
      <c r="A15624">
        <v>17694</v>
      </c>
      <c r="B15624" t="s">
        <v>531</v>
      </c>
      <c r="C15624">
        <v>416</v>
      </c>
      <c r="D15624">
        <v>571</v>
      </c>
      <c r="E15624">
        <v>0</v>
      </c>
      <c r="F15624">
        <v>470</v>
      </c>
      <c r="G15624">
        <v>0</v>
      </c>
      <c r="H15624" t="s">
        <v>20463</v>
      </c>
      <c r="I15624">
        <v>17694</v>
      </c>
      <c r="J15624" t="e">
        <f>VLOOKUP(E15624,DSSpieler!A:B,2,FALSE)</f>
        <v>#N/A</v>
      </c>
    </row>
    <row r="15625" spans="1:10" x14ac:dyDescent="0.25">
      <c r="A15625">
        <v>17695</v>
      </c>
      <c r="B15625" t="s">
        <v>531</v>
      </c>
      <c r="C15625">
        <v>503</v>
      </c>
      <c r="D15625">
        <v>623</v>
      </c>
      <c r="E15625">
        <v>0</v>
      </c>
      <c r="F15625">
        <v>101</v>
      </c>
      <c r="G15625">
        <v>0</v>
      </c>
      <c r="H15625" t="s">
        <v>20464</v>
      </c>
      <c r="I15625">
        <v>17695</v>
      </c>
      <c r="J15625" t="e">
        <f>VLOOKUP(E15625,DSSpieler!A:B,2,FALSE)</f>
        <v>#N/A</v>
      </c>
    </row>
    <row r="15626" spans="1:10" x14ac:dyDescent="0.25">
      <c r="A15626">
        <v>17696</v>
      </c>
      <c r="B15626" t="s">
        <v>2752</v>
      </c>
      <c r="C15626">
        <v>375</v>
      </c>
      <c r="D15626">
        <v>485</v>
      </c>
      <c r="E15626">
        <v>1577200983</v>
      </c>
      <c r="F15626">
        <v>714</v>
      </c>
      <c r="G15626">
        <v>0</v>
      </c>
      <c r="H15626" t="s">
        <v>20465</v>
      </c>
      <c r="I15626">
        <v>17696</v>
      </c>
      <c r="J15626" t="str">
        <f>VLOOKUP(E15626,DSSpieler!A:B,2,FALSE)</f>
        <v>Luxxine</v>
      </c>
    </row>
    <row r="15627" spans="1:10" x14ac:dyDescent="0.25">
      <c r="A15627">
        <v>17697</v>
      </c>
      <c r="B15627" t="s">
        <v>531</v>
      </c>
      <c r="C15627">
        <v>614</v>
      </c>
      <c r="D15627">
        <v>442</v>
      </c>
      <c r="E15627">
        <v>0</v>
      </c>
      <c r="F15627">
        <v>173</v>
      </c>
      <c r="G15627">
        <v>0</v>
      </c>
      <c r="H15627" t="s">
        <v>20466</v>
      </c>
      <c r="I15627">
        <v>17697</v>
      </c>
      <c r="J15627" t="e">
        <f>VLOOKUP(E15627,DSSpieler!A:B,2,FALSE)</f>
        <v>#N/A</v>
      </c>
    </row>
    <row r="15628" spans="1:10" x14ac:dyDescent="0.25">
      <c r="A15628">
        <v>17698</v>
      </c>
      <c r="B15628" t="s">
        <v>2753</v>
      </c>
      <c r="C15628">
        <v>381</v>
      </c>
      <c r="D15628">
        <v>546</v>
      </c>
      <c r="E15628">
        <v>1576794600</v>
      </c>
      <c r="F15628">
        <v>2629</v>
      </c>
      <c r="G15628">
        <v>0</v>
      </c>
      <c r="H15628" t="s">
        <v>20467</v>
      </c>
      <c r="I15628">
        <v>17698</v>
      </c>
      <c r="J15628" t="str">
        <f>VLOOKUP(E15628,DSSpieler!A:B,2,FALSE)</f>
        <v>TWEEZY</v>
      </c>
    </row>
    <row r="15629" spans="1:10" x14ac:dyDescent="0.25">
      <c r="A15629">
        <v>17700</v>
      </c>
      <c r="B15629" t="s">
        <v>2754</v>
      </c>
      <c r="C15629">
        <v>620</v>
      </c>
      <c r="D15629">
        <v>538</v>
      </c>
      <c r="E15629">
        <v>1577158436</v>
      </c>
      <c r="F15629">
        <v>1815</v>
      </c>
      <c r="G15629">
        <v>0</v>
      </c>
      <c r="H15629" t="s">
        <v>20468</v>
      </c>
      <c r="I15629">
        <v>17700</v>
      </c>
      <c r="J15629" t="str">
        <f>VLOOKUP(E15629,DSSpieler!A:B,2,FALSE)</f>
        <v>Ghost.Apokalypto</v>
      </c>
    </row>
    <row r="15630" spans="1:10" x14ac:dyDescent="0.25">
      <c r="A15630">
        <v>17701</v>
      </c>
      <c r="B15630" t="s">
        <v>531</v>
      </c>
      <c r="C15630">
        <v>602</v>
      </c>
      <c r="D15630">
        <v>431</v>
      </c>
      <c r="E15630">
        <v>0</v>
      </c>
      <c r="F15630">
        <v>48</v>
      </c>
      <c r="G15630">
        <v>0</v>
      </c>
      <c r="H15630" t="s">
        <v>20469</v>
      </c>
      <c r="I15630">
        <v>17701</v>
      </c>
      <c r="J15630" t="e">
        <f>VLOOKUP(E15630,DSSpieler!A:B,2,FALSE)</f>
        <v>#N/A</v>
      </c>
    </row>
    <row r="15631" spans="1:10" x14ac:dyDescent="0.25">
      <c r="A15631">
        <v>17702</v>
      </c>
      <c r="B15631" t="s">
        <v>35602</v>
      </c>
      <c r="C15631">
        <v>627</v>
      </c>
      <c r="D15631">
        <v>500</v>
      </c>
      <c r="E15631">
        <v>1577172533</v>
      </c>
      <c r="F15631">
        <v>1827</v>
      </c>
      <c r="G15631">
        <v>0</v>
      </c>
      <c r="H15631" t="s">
        <v>20470</v>
      </c>
      <c r="I15631">
        <v>17702</v>
      </c>
      <c r="J15631" t="str">
        <f>VLOOKUP(E15631,DSSpieler!A:B,2,FALSE)</f>
        <v>Rentaro Kazami</v>
      </c>
    </row>
    <row r="15632" spans="1:10" x14ac:dyDescent="0.25">
      <c r="A15632">
        <v>17705</v>
      </c>
      <c r="B15632" t="s">
        <v>531</v>
      </c>
      <c r="C15632">
        <v>577</v>
      </c>
      <c r="D15632">
        <v>599</v>
      </c>
      <c r="E15632">
        <v>0</v>
      </c>
      <c r="F15632">
        <v>46</v>
      </c>
      <c r="G15632">
        <v>0</v>
      </c>
      <c r="H15632" t="s">
        <v>20471</v>
      </c>
      <c r="I15632">
        <v>17705</v>
      </c>
      <c r="J15632" t="e">
        <f>VLOOKUP(E15632,DSSpieler!A:B,2,FALSE)</f>
        <v>#N/A</v>
      </c>
    </row>
    <row r="15633" spans="1:10" x14ac:dyDescent="0.25">
      <c r="A15633">
        <v>17707</v>
      </c>
      <c r="B15633" t="s">
        <v>531</v>
      </c>
      <c r="C15633">
        <v>596</v>
      </c>
      <c r="D15633">
        <v>584</v>
      </c>
      <c r="E15633">
        <v>0</v>
      </c>
      <c r="F15633">
        <v>51</v>
      </c>
      <c r="G15633">
        <v>0</v>
      </c>
      <c r="H15633" t="s">
        <v>20472</v>
      </c>
      <c r="I15633">
        <v>17707</v>
      </c>
      <c r="J15633" t="e">
        <f>VLOOKUP(E15633,DSSpieler!A:B,2,FALSE)</f>
        <v>#N/A</v>
      </c>
    </row>
    <row r="15634" spans="1:10" x14ac:dyDescent="0.25">
      <c r="A15634">
        <v>17708</v>
      </c>
      <c r="B15634" t="s">
        <v>2537</v>
      </c>
      <c r="C15634">
        <v>501</v>
      </c>
      <c r="D15634">
        <v>368</v>
      </c>
      <c r="E15634">
        <v>1577205982</v>
      </c>
      <c r="F15634">
        <v>1463</v>
      </c>
      <c r="G15634">
        <v>0</v>
      </c>
      <c r="H15634" t="s">
        <v>20473</v>
      </c>
      <c r="I15634">
        <v>17708</v>
      </c>
      <c r="J15634" t="str">
        <f>VLOOKUP(E15634,DSSpieler!A:B,2,FALSE)</f>
        <v>censored</v>
      </c>
    </row>
    <row r="15635" spans="1:10" x14ac:dyDescent="0.25">
      <c r="A15635">
        <v>17709</v>
      </c>
      <c r="B15635" t="s">
        <v>35603</v>
      </c>
      <c r="C15635">
        <v>626</v>
      </c>
      <c r="D15635">
        <v>514</v>
      </c>
      <c r="E15635">
        <v>9595220</v>
      </c>
      <c r="F15635">
        <v>26</v>
      </c>
      <c r="G15635">
        <v>0</v>
      </c>
      <c r="H15635" t="s">
        <v>20474</v>
      </c>
      <c r="I15635">
        <v>17709</v>
      </c>
      <c r="J15635" t="str">
        <f>VLOOKUP(E15635,DSSpieler!A:B,2,FALSE)</f>
        <v>Kränky</v>
      </c>
    </row>
    <row r="15636" spans="1:10" x14ac:dyDescent="0.25">
      <c r="A15636">
        <v>17710</v>
      </c>
      <c r="B15636" t="s">
        <v>531</v>
      </c>
      <c r="C15636">
        <v>618</v>
      </c>
      <c r="D15636">
        <v>538</v>
      </c>
      <c r="E15636">
        <v>0</v>
      </c>
      <c r="F15636">
        <v>141</v>
      </c>
      <c r="G15636">
        <v>0</v>
      </c>
      <c r="H15636" t="s">
        <v>20475</v>
      </c>
      <c r="I15636">
        <v>17710</v>
      </c>
      <c r="J15636" t="e">
        <f>VLOOKUP(E15636,DSSpieler!A:B,2,FALSE)</f>
        <v>#N/A</v>
      </c>
    </row>
    <row r="15637" spans="1:10" x14ac:dyDescent="0.25">
      <c r="A15637">
        <v>17711</v>
      </c>
      <c r="B15637" t="s">
        <v>2755</v>
      </c>
      <c r="C15637">
        <v>574</v>
      </c>
      <c r="D15637">
        <v>600</v>
      </c>
      <c r="E15637">
        <v>971486</v>
      </c>
      <c r="F15637">
        <v>2069</v>
      </c>
      <c r="G15637">
        <v>0</v>
      </c>
      <c r="H15637" t="s">
        <v>20476</v>
      </c>
      <c r="I15637">
        <v>17711</v>
      </c>
      <c r="J15637" t="str">
        <f>VLOOKUP(E15637,DSSpieler!A:B,2,FALSE)</f>
        <v>nik-o</v>
      </c>
    </row>
    <row r="15638" spans="1:10" x14ac:dyDescent="0.25">
      <c r="A15638">
        <v>17712</v>
      </c>
      <c r="B15638" t="s">
        <v>531</v>
      </c>
      <c r="C15638">
        <v>465</v>
      </c>
      <c r="D15638">
        <v>597</v>
      </c>
      <c r="E15638">
        <v>0</v>
      </c>
      <c r="F15638">
        <v>52</v>
      </c>
      <c r="G15638">
        <v>0</v>
      </c>
      <c r="H15638" t="s">
        <v>20477</v>
      </c>
      <c r="I15638">
        <v>17712</v>
      </c>
      <c r="J15638" t="e">
        <f>VLOOKUP(E15638,DSSpieler!A:B,2,FALSE)</f>
        <v>#N/A</v>
      </c>
    </row>
    <row r="15639" spans="1:10" x14ac:dyDescent="0.25">
      <c r="A15639">
        <v>17713</v>
      </c>
      <c r="B15639" t="s">
        <v>531</v>
      </c>
      <c r="C15639">
        <v>614</v>
      </c>
      <c r="D15639">
        <v>546</v>
      </c>
      <c r="E15639">
        <v>0</v>
      </c>
      <c r="F15639">
        <v>45</v>
      </c>
      <c r="G15639">
        <v>0</v>
      </c>
      <c r="H15639" t="s">
        <v>20478</v>
      </c>
      <c r="I15639">
        <v>17713</v>
      </c>
      <c r="J15639" t="e">
        <f>VLOOKUP(E15639,DSSpieler!A:B,2,FALSE)</f>
        <v>#N/A</v>
      </c>
    </row>
    <row r="15640" spans="1:10" x14ac:dyDescent="0.25">
      <c r="A15640">
        <v>17714</v>
      </c>
      <c r="B15640" t="s">
        <v>531</v>
      </c>
      <c r="C15640">
        <v>379</v>
      </c>
      <c r="D15640">
        <v>529</v>
      </c>
      <c r="E15640">
        <v>0</v>
      </c>
      <c r="F15640">
        <v>52</v>
      </c>
      <c r="G15640">
        <v>0</v>
      </c>
      <c r="H15640" t="s">
        <v>20479</v>
      </c>
      <c r="I15640">
        <v>17714</v>
      </c>
      <c r="J15640" t="e">
        <f>VLOOKUP(E15640,DSSpieler!A:B,2,FALSE)</f>
        <v>#N/A</v>
      </c>
    </row>
    <row r="15641" spans="1:10" x14ac:dyDescent="0.25">
      <c r="A15641">
        <v>17715</v>
      </c>
      <c r="B15641" t="s">
        <v>2756</v>
      </c>
      <c r="C15641">
        <v>460</v>
      </c>
      <c r="D15641">
        <v>619</v>
      </c>
      <c r="E15641">
        <v>1738700</v>
      </c>
      <c r="F15641">
        <v>1803</v>
      </c>
      <c r="G15641">
        <v>0</v>
      </c>
      <c r="H15641" t="s">
        <v>20480</v>
      </c>
      <c r="I15641">
        <v>17715</v>
      </c>
      <c r="J15641" t="str">
        <f>VLOOKUP(E15641,DSSpieler!A:B,2,FALSE)</f>
        <v>Walnuss10</v>
      </c>
    </row>
    <row r="15642" spans="1:10" x14ac:dyDescent="0.25">
      <c r="A15642">
        <v>17717</v>
      </c>
      <c r="B15642" t="s">
        <v>2757</v>
      </c>
      <c r="C15642">
        <v>600</v>
      </c>
      <c r="D15642">
        <v>495</v>
      </c>
      <c r="E15642">
        <v>1576478650</v>
      </c>
      <c r="F15642">
        <v>1602</v>
      </c>
      <c r="G15642">
        <v>0</v>
      </c>
      <c r="H15642" t="s">
        <v>20481</v>
      </c>
      <c r="I15642">
        <v>17717</v>
      </c>
      <c r="J15642" t="str">
        <f>VLOOKUP(E15642,DSSpieler!A:B,2,FALSE)</f>
        <v>JohnyBravo</v>
      </c>
    </row>
    <row r="15643" spans="1:10" x14ac:dyDescent="0.25">
      <c r="A15643">
        <v>17718</v>
      </c>
      <c r="B15643" t="s">
        <v>531</v>
      </c>
      <c r="C15643">
        <v>623</v>
      </c>
      <c r="D15643">
        <v>517</v>
      </c>
      <c r="E15643">
        <v>0</v>
      </c>
      <c r="F15643">
        <v>59</v>
      </c>
      <c r="G15643">
        <v>0</v>
      </c>
      <c r="H15643" t="s">
        <v>20482</v>
      </c>
      <c r="I15643">
        <v>17718</v>
      </c>
      <c r="J15643" t="e">
        <f>VLOOKUP(E15643,DSSpieler!A:B,2,FALSE)</f>
        <v>#N/A</v>
      </c>
    </row>
    <row r="15644" spans="1:10" x14ac:dyDescent="0.25">
      <c r="A15644">
        <v>17719</v>
      </c>
      <c r="B15644" t="s">
        <v>2758</v>
      </c>
      <c r="C15644">
        <v>544</v>
      </c>
      <c r="D15644">
        <v>380</v>
      </c>
      <c r="E15644">
        <v>1576769288</v>
      </c>
      <c r="F15644">
        <v>501</v>
      </c>
      <c r="G15644">
        <v>0</v>
      </c>
      <c r="H15644" t="s">
        <v>20483</v>
      </c>
      <c r="I15644">
        <v>17719</v>
      </c>
      <c r="J15644" t="str">
        <f>VLOOKUP(E15644,DSSpieler!A:B,2,FALSE)</f>
        <v>Dummheit</v>
      </c>
    </row>
    <row r="15645" spans="1:10" x14ac:dyDescent="0.25">
      <c r="A15645">
        <v>17720</v>
      </c>
      <c r="B15645" t="s">
        <v>2759</v>
      </c>
      <c r="C15645">
        <v>613</v>
      </c>
      <c r="D15645">
        <v>445</v>
      </c>
      <c r="E15645">
        <v>1577073287</v>
      </c>
      <c r="F15645">
        <v>770</v>
      </c>
      <c r="G15645">
        <v>0</v>
      </c>
      <c r="H15645" t="s">
        <v>20484</v>
      </c>
      <c r="I15645">
        <v>17720</v>
      </c>
      <c r="J15645" t="str">
        <f>VLOOKUP(E15645,DSSpieler!A:B,2,FALSE)</f>
        <v>Arvedius der 4te</v>
      </c>
    </row>
    <row r="15646" spans="1:10" x14ac:dyDescent="0.25">
      <c r="A15646">
        <v>17722</v>
      </c>
      <c r="B15646" t="s">
        <v>2760</v>
      </c>
      <c r="C15646">
        <v>512</v>
      </c>
      <c r="D15646">
        <v>627</v>
      </c>
      <c r="E15646">
        <v>1577186472</v>
      </c>
      <c r="F15646">
        <v>228</v>
      </c>
      <c r="G15646">
        <v>0</v>
      </c>
      <c r="H15646" t="s">
        <v>20485</v>
      </c>
      <c r="I15646">
        <v>17722</v>
      </c>
      <c r="J15646" t="str">
        <f>VLOOKUP(E15646,DSSpieler!A:B,2,FALSE)</f>
        <v>DerHuster</v>
      </c>
    </row>
    <row r="15647" spans="1:10" x14ac:dyDescent="0.25">
      <c r="A15647">
        <v>17723</v>
      </c>
      <c r="B15647" t="s">
        <v>531</v>
      </c>
      <c r="C15647">
        <v>544</v>
      </c>
      <c r="D15647">
        <v>617</v>
      </c>
      <c r="E15647">
        <v>0</v>
      </c>
      <c r="F15647">
        <v>419</v>
      </c>
      <c r="G15647">
        <v>0</v>
      </c>
      <c r="H15647" t="s">
        <v>20486</v>
      </c>
      <c r="I15647">
        <v>17723</v>
      </c>
      <c r="J15647" t="e">
        <f>VLOOKUP(E15647,DSSpieler!A:B,2,FALSE)</f>
        <v>#N/A</v>
      </c>
    </row>
    <row r="15648" spans="1:10" x14ac:dyDescent="0.25">
      <c r="A15648">
        <v>17724</v>
      </c>
      <c r="B15648" t="s">
        <v>2761</v>
      </c>
      <c r="C15648">
        <v>432</v>
      </c>
      <c r="D15648">
        <v>558</v>
      </c>
      <c r="E15648">
        <v>1577199756</v>
      </c>
      <c r="F15648">
        <v>189</v>
      </c>
      <c r="G15648">
        <v>0</v>
      </c>
      <c r="H15648" t="s">
        <v>20487</v>
      </c>
      <c r="I15648">
        <v>17724</v>
      </c>
      <c r="J15648" t="str">
        <f>VLOOKUP(E15648,DSSpieler!A:B,2,FALSE)</f>
        <v>VanRaven</v>
      </c>
    </row>
    <row r="15649" spans="1:10" x14ac:dyDescent="0.25">
      <c r="A15649">
        <v>17727</v>
      </c>
      <c r="B15649" t="s">
        <v>531</v>
      </c>
      <c r="C15649">
        <v>541</v>
      </c>
      <c r="D15649">
        <v>379</v>
      </c>
      <c r="E15649">
        <v>0</v>
      </c>
      <c r="F15649">
        <v>73</v>
      </c>
      <c r="G15649">
        <v>0</v>
      </c>
      <c r="H15649" t="s">
        <v>20488</v>
      </c>
      <c r="I15649">
        <v>17727</v>
      </c>
      <c r="J15649" t="e">
        <f>VLOOKUP(E15649,DSSpieler!A:B,2,FALSE)</f>
        <v>#N/A</v>
      </c>
    </row>
    <row r="15650" spans="1:10" x14ac:dyDescent="0.25">
      <c r="A15650">
        <v>17728</v>
      </c>
      <c r="B15650" t="s">
        <v>630</v>
      </c>
      <c r="C15650">
        <v>534</v>
      </c>
      <c r="D15650">
        <v>387</v>
      </c>
      <c r="E15650">
        <v>1576419388</v>
      </c>
      <c r="F15650">
        <v>1169</v>
      </c>
      <c r="G15650">
        <v>0</v>
      </c>
      <c r="H15650" t="s">
        <v>20489</v>
      </c>
      <c r="I15650">
        <v>17728</v>
      </c>
      <c r="J15650" t="str">
        <f>VLOOKUP(E15650,DSSpieler!A:B,2,FALSE)</f>
        <v>Seemann77</v>
      </c>
    </row>
    <row r="15651" spans="1:10" x14ac:dyDescent="0.25">
      <c r="A15651">
        <v>17730</v>
      </c>
      <c r="B15651" t="s">
        <v>2762</v>
      </c>
      <c r="C15651">
        <v>576</v>
      </c>
      <c r="D15651">
        <v>406</v>
      </c>
      <c r="E15651">
        <v>1577206019</v>
      </c>
      <c r="F15651">
        <v>762</v>
      </c>
      <c r="G15651">
        <v>0</v>
      </c>
      <c r="H15651" t="s">
        <v>20490</v>
      </c>
      <c r="I15651">
        <v>17730</v>
      </c>
      <c r="J15651" t="str">
        <f>VLOOKUP(E15651,DSSpieler!A:B,2,FALSE)</f>
        <v>Lord Vari</v>
      </c>
    </row>
    <row r="15652" spans="1:10" x14ac:dyDescent="0.25">
      <c r="A15652">
        <v>17732</v>
      </c>
      <c r="B15652" t="s">
        <v>2763</v>
      </c>
      <c r="C15652">
        <v>624</v>
      </c>
      <c r="D15652">
        <v>480</v>
      </c>
      <c r="E15652">
        <v>1576027128</v>
      </c>
      <c r="F15652">
        <v>1184</v>
      </c>
      <c r="G15652">
        <v>0</v>
      </c>
      <c r="H15652" t="s">
        <v>20491</v>
      </c>
      <c r="I15652">
        <v>17732</v>
      </c>
      <c r="J15652" t="str">
        <f>VLOOKUP(E15652,DSSpieler!A:B,2,FALSE)</f>
        <v>TechTronizZ</v>
      </c>
    </row>
    <row r="15653" spans="1:10" x14ac:dyDescent="0.25">
      <c r="A15653">
        <v>17734</v>
      </c>
      <c r="B15653" t="s">
        <v>35604</v>
      </c>
      <c r="C15653">
        <v>620</v>
      </c>
      <c r="D15653">
        <v>459</v>
      </c>
      <c r="E15653">
        <v>9915682</v>
      </c>
      <c r="F15653">
        <v>1136</v>
      </c>
      <c r="G15653">
        <v>0</v>
      </c>
      <c r="H15653" t="s">
        <v>20492</v>
      </c>
      <c r="I15653">
        <v>17734</v>
      </c>
      <c r="J15653" t="str">
        <f>VLOOKUP(E15653,DSSpieler!A:B,2,FALSE)</f>
        <v>Marius73</v>
      </c>
    </row>
    <row r="15654" spans="1:10" x14ac:dyDescent="0.25">
      <c r="A15654">
        <v>17735</v>
      </c>
      <c r="B15654" t="s">
        <v>531</v>
      </c>
      <c r="C15654">
        <v>619</v>
      </c>
      <c r="D15654">
        <v>470</v>
      </c>
      <c r="E15654">
        <v>0</v>
      </c>
      <c r="F15654">
        <v>158</v>
      </c>
      <c r="G15654">
        <v>0</v>
      </c>
      <c r="H15654" t="s">
        <v>20493</v>
      </c>
      <c r="I15654">
        <v>17735</v>
      </c>
      <c r="J15654" t="e">
        <f>VLOOKUP(E15654,DSSpieler!A:B,2,FALSE)</f>
        <v>#N/A</v>
      </c>
    </row>
    <row r="15655" spans="1:10" x14ac:dyDescent="0.25">
      <c r="A15655">
        <v>17738</v>
      </c>
      <c r="B15655" t="s">
        <v>531</v>
      </c>
      <c r="C15655">
        <v>409</v>
      </c>
      <c r="D15655">
        <v>409</v>
      </c>
      <c r="E15655">
        <v>0</v>
      </c>
      <c r="F15655">
        <v>337</v>
      </c>
      <c r="G15655">
        <v>0</v>
      </c>
      <c r="H15655" t="s">
        <v>20494</v>
      </c>
      <c r="I15655">
        <v>17738</v>
      </c>
      <c r="J15655" t="e">
        <f>VLOOKUP(E15655,DSSpieler!A:B,2,FALSE)</f>
        <v>#N/A</v>
      </c>
    </row>
    <row r="15656" spans="1:10" x14ac:dyDescent="0.25">
      <c r="A15656">
        <v>17739</v>
      </c>
      <c r="B15656" t="s">
        <v>1683</v>
      </c>
      <c r="C15656">
        <v>620</v>
      </c>
      <c r="D15656">
        <v>469</v>
      </c>
      <c r="E15656">
        <v>469654</v>
      </c>
      <c r="F15656">
        <v>1780</v>
      </c>
      <c r="G15656">
        <v>0</v>
      </c>
      <c r="H15656" t="s">
        <v>20495</v>
      </c>
      <c r="I15656">
        <v>17739</v>
      </c>
      <c r="J15656" t="str">
        <f>VLOOKUP(E15656,DSSpieler!A:B,2,FALSE)</f>
        <v>Pemi</v>
      </c>
    </row>
    <row r="15657" spans="1:10" x14ac:dyDescent="0.25">
      <c r="A15657">
        <v>17741</v>
      </c>
      <c r="B15657">
        <v>1</v>
      </c>
      <c r="C15657">
        <v>626</v>
      </c>
      <c r="D15657">
        <v>482</v>
      </c>
      <c r="E15657">
        <v>1577020446</v>
      </c>
      <c r="F15657">
        <v>2480</v>
      </c>
      <c r="G15657">
        <v>0</v>
      </c>
      <c r="H15657" t="s">
        <v>20496</v>
      </c>
      <c r="I15657">
        <v>17741</v>
      </c>
      <c r="J15657" t="str">
        <f>VLOOKUP(E15657,DSSpieler!A:B,2,FALSE)</f>
        <v>x3l5t3r6l4n2x</v>
      </c>
    </row>
    <row r="15658" spans="1:10" x14ac:dyDescent="0.25">
      <c r="A15658">
        <v>17742</v>
      </c>
      <c r="B15658" t="s">
        <v>531</v>
      </c>
      <c r="C15658">
        <v>499</v>
      </c>
      <c r="D15658">
        <v>626</v>
      </c>
      <c r="E15658">
        <v>0</v>
      </c>
      <c r="F15658">
        <v>151</v>
      </c>
      <c r="G15658">
        <v>0</v>
      </c>
      <c r="H15658" t="s">
        <v>20497</v>
      </c>
      <c r="I15658">
        <v>17742</v>
      </c>
      <c r="J15658" t="e">
        <f>VLOOKUP(E15658,DSSpieler!A:B,2,FALSE)</f>
        <v>#N/A</v>
      </c>
    </row>
    <row r="15659" spans="1:10" x14ac:dyDescent="0.25">
      <c r="A15659">
        <v>17743</v>
      </c>
      <c r="B15659" t="s">
        <v>2764</v>
      </c>
      <c r="C15659">
        <v>489</v>
      </c>
      <c r="D15659">
        <v>377</v>
      </c>
      <c r="E15659">
        <v>1577162668</v>
      </c>
      <c r="F15659">
        <v>26</v>
      </c>
      <c r="G15659">
        <v>0</v>
      </c>
      <c r="H15659" t="s">
        <v>20498</v>
      </c>
      <c r="I15659">
        <v>17743</v>
      </c>
      <c r="J15659" t="str">
        <f>VLOOKUP(E15659,DSSpieler!A:B,2,FALSE)</f>
        <v>Excile</v>
      </c>
    </row>
    <row r="15660" spans="1:10" x14ac:dyDescent="0.25">
      <c r="A15660">
        <v>17744</v>
      </c>
      <c r="B15660" t="s">
        <v>2765</v>
      </c>
      <c r="C15660">
        <v>498</v>
      </c>
      <c r="D15660">
        <v>519</v>
      </c>
      <c r="E15660">
        <v>1577205929</v>
      </c>
      <c r="F15660">
        <v>1357</v>
      </c>
      <c r="G15660">
        <v>0</v>
      </c>
      <c r="H15660" t="s">
        <v>20499</v>
      </c>
      <c r="I15660">
        <v>17744</v>
      </c>
      <c r="J15660" t="str">
        <f>VLOOKUP(E15660,DSSpieler!A:B,2,FALSE)</f>
        <v>Marvco</v>
      </c>
    </row>
    <row r="15661" spans="1:10" x14ac:dyDescent="0.25">
      <c r="A15661">
        <v>17745</v>
      </c>
      <c r="B15661" t="s">
        <v>531</v>
      </c>
      <c r="C15661">
        <v>532</v>
      </c>
      <c r="D15661">
        <v>624</v>
      </c>
      <c r="E15661">
        <v>0</v>
      </c>
      <c r="F15661">
        <v>122</v>
      </c>
      <c r="G15661">
        <v>0</v>
      </c>
      <c r="H15661" t="s">
        <v>20500</v>
      </c>
      <c r="I15661">
        <v>17745</v>
      </c>
      <c r="J15661" t="e">
        <f>VLOOKUP(E15661,DSSpieler!A:B,2,FALSE)</f>
        <v>#N/A</v>
      </c>
    </row>
    <row r="15662" spans="1:10" x14ac:dyDescent="0.25">
      <c r="A15662">
        <v>17747</v>
      </c>
      <c r="B15662" t="s">
        <v>774</v>
      </c>
      <c r="C15662">
        <v>542</v>
      </c>
      <c r="D15662">
        <v>475</v>
      </c>
      <c r="E15662">
        <v>1577180645</v>
      </c>
      <c r="F15662">
        <v>928</v>
      </c>
      <c r="G15662">
        <v>0</v>
      </c>
      <c r="H15662" t="s">
        <v>20501</v>
      </c>
      <c r="I15662">
        <v>17747</v>
      </c>
      <c r="J15662" t="str">
        <f>VLOOKUP(E15662,DSSpieler!A:B,2,FALSE)</f>
        <v>Sayres90</v>
      </c>
    </row>
    <row r="15663" spans="1:10" x14ac:dyDescent="0.25">
      <c r="A15663">
        <v>17749</v>
      </c>
      <c r="B15663" t="s">
        <v>531</v>
      </c>
      <c r="C15663">
        <v>612</v>
      </c>
      <c r="D15663">
        <v>446</v>
      </c>
      <c r="E15663">
        <v>0</v>
      </c>
      <c r="F15663">
        <v>49</v>
      </c>
      <c r="G15663">
        <v>0</v>
      </c>
      <c r="H15663" t="s">
        <v>20502</v>
      </c>
      <c r="I15663">
        <v>17749</v>
      </c>
      <c r="J15663" t="e">
        <f>VLOOKUP(E15663,DSSpieler!A:B,2,FALSE)</f>
        <v>#N/A</v>
      </c>
    </row>
    <row r="15664" spans="1:10" x14ac:dyDescent="0.25">
      <c r="A15664">
        <v>17750</v>
      </c>
      <c r="B15664" t="s">
        <v>531</v>
      </c>
      <c r="C15664">
        <v>454</v>
      </c>
      <c r="D15664">
        <v>616</v>
      </c>
      <c r="E15664">
        <v>0</v>
      </c>
      <c r="F15664">
        <v>98</v>
      </c>
      <c r="G15664">
        <v>0</v>
      </c>
      <c r="H15664" t="s">
        <v>20503</v>
      </c>
      <c r="I15664">
        <v>17750</v>
      </c>
      <c r="J15664" t="e">
        <f>VLOOKUP(E15664,DSSpieler!A:B,2,FALSE)</f>
        <v>#N/A</v>
      </c>
    </row>
    <row r="15665" spans="1:10" x14ac:dyDescent="0.25">
      <c r="A15665">
        <v>17751</v>
      </c>
      <c r="B15665" t="s">
        <v>2766</v>
      </c>
      <c r="C15665">
        <v>459</v>
      </c>
      <c r="D15665">
        <v>621</v>
      </c>
      <c r="E15665">
        <v>1577206033</v>
      </c>
      <c r="F15665">
        <v>50</v>
      </c>
      <c r="G15665">
        <v>0</v>
      </c>
      <c r="H15665" t="s">
        <v>20504</v>
      </c>
      <c r="I15665">
        <v>17751</v>
      </c>
      <c r="J15665" t="str">
        <f>VLOOKUP(E15665,DSSpieler!A:B,2,FALSE)</f>
        <v>Stippo</v>
      </c>
    </row>
    <row r="15666" spans="1:10" x14ac:dyDescent="0.25">
      <c r="A15666">
        <v>17752</v>
      </c>
      <c r="B15666" t="s">
        <v>35605</v>
      </c>
      <c r="C15666">
        <v>408</v>
      </c>
      <c r="D15666">
        <v>574</v>
      </c>
      <c r="E15666">
        <v>1577163180</v>
      </c>
      <c r="F15666">
        <v>968</v>
      </c>
      <c r="G15666">
        <v>0</v>
      </c>
      <c r="H15666" t="s">
        <v>20505</v>
      </c>
      <c r="I15666">
        <v>17752</v>
      </c>
      <c r="J15666" t="str">
        <f>VLOOKUP(E15666,DSSpieler!A:B,2,FALSE)</f>
        <v>Rofa TTN</v>
      </c>
    </row>
    <row r="15667" spans="1:10" x14ac:dyDescent="0.25">
      <c r="A15667">
        <v>17754</v>
      </c>
      <c r="B15667" t="s">
        <v>35606</v>
      </c>
      <c r="C15667">
        <v>627</v>
      </c>
      <c r="D15667">
        <v>484</v>
      </c>
      <c r="E15667">
        <v>1577206034</v>
      </c>
      <c r="F15667">
        <v>2412</v>
      </c>
      <c r="G15667">
        <v>0</v>
      </c>
      <c r="H15667" t="s">
        <v>20506</v>
      </c>
      <c r="I15667">
        <v>17754</v>
      </c>
      <c r="J15667" t="str">
        <f>VLOOKUP(E15667,DSSpieler!A:B,2,FALSE)</f>
        <v>00rainbow00</v>
      </c>
    </row>
    <row r="15668" spans="1:10" x14ac:dyDescent="0.25">
      <c r="A15668">
        <v>17755</v>
      </c>
      <c r="B15668" t="s">
        <v>531</v>
      </c>
      <c r="C15668">
        <v>390</v>
      </c>
      <c r="D15668">
        <v>557</v>
      </c>
      <c r="E15668">
        <v>0</v>
      </c>
      <c r="F15668">
        <v>129</v>
      </c>
      <c r="G15668">
        <v>0</v>
      </c>
      <c r="H15668" t="s">
        <v>20507</v>
      </c>
      <c r="I15668">
        <v>17755</v>
      </c>
      <c r="J15668" t="e">
        <f>VLOOKUP(E15668,DSSpieler!A:B,2,FALSE)</f>
        <v>#N/A</v>
      </c>
    </row>
    <row r="15669" spans="1:10" x14ac:dyDescent="0.25">
      <c r="A15669">
        <v>17756</v>
      </c>
      <c r="B15669" t="s">
        <v>2767</v>
      </c>
      <c r="C15669">
        <v>417</v>
      </c>
      <c r="D15669">
        <v>597</v>
      </c>
      <c r="E15669">
        <v>1577179280</v>
      </c>
      <c r="F15669">
        <v>1219</v>
      </c>
      <c r="G15669">
        <v>0</v>
      </c>
      <c r="H15669" t="s">
        <v>20508</v>
      </c>
      <c r="I15669">
        <v>17756</v>
      </c>
      <c r="J15669" t="str">
        <f>VLOOKUP(E15669,DSSpieler!A:B,2,FALSE)</f>
        <v>ALN.</v>
      </c>
    </row>
    <row r="15670" spans="1:10" x14ac:dyDescent="0.25">
      <c r="A15670">
        <v>17757</v>
      </c>
      <c r="B15670" t="s">
        <v>531</v>
      </c>
      <c r="C15670">
        <v>622</v>
      </c>
      <c r="D15670">
        <v>516</v>
      </c>
      <c r="E15670">
        <v>0</v>
      </c>
      <c r="F15670">
        <v>88</v>
      </c>
      <c r="G15670">
        <v>0</v>
      </c>
      <c r="H15670" t="s">
        <v>20509</v>
      </c>
      <c r="I15670">
        <v>17757</v>
      </c>
      <c r="J15670" t="e">
        <f>VLOOKUP(E15670,DSSpieler!A:B,2,FALSE)</f>
        <v>#N/A</v>
      </c>
    </row>
    <row r="15671" spans="1:10" x14ac:dyDescent="0.25">
      <c r="A15671">
        <v>17758</v>
      </c>
      <c r="B15671" t="s">
        <v>531</v>
      </c>
      <c r="C15671">
        <v>389</v>
      </c>
      <c r="D15671">
        <v>447</v>
      </c>
      <c r="E15671">
        <v>0</v>
      </c>
      <c r="F15671">
        <v>48</v>
      </c>
      <c r="G15671">
        <v>0</v>
      </c>
      <c r="H15671" t="s">
        <v>20510</v>
      </c>
      <c r="I15671">
        <v>17758</v>
      </c>
      <c r="J15671" t="e">
        <f>VLOOKUP(E15671,DSSpieler!A:B,2,FALSE)</f>
        <v>#N/A</v>
      </c>
    </row>
    <row r="15672" spans="1:10" x14ac:dyDescent="0.25">
      <c r="A15672">
        <v>17759</v>
      </c>
      <c r="B15672" t="s">
        <v>531</v>
      </c>
      <c r="C15672">
        <v>405</v>
      </c>
      <c r="D15672">
        <v>583</v>
      </c>
      <c r="E15672">
        <v>0</v>
      </c>
      <c r="F15672">
        <v>104</v>
      </c>
      <c r="G15672">
        <v>0</v>
      </c>
      <c r="H15672" t="s">
        <v>20511</v>
      </c>
      <c r="I15672">
        <v>17759</v>
      </c>
      <c r="J15672" t="e">
        <f>VLOOKUP(E15672,DSSpieler!A:B,2,FALSE)</f>
        <v>#N/A</v>
      </c>
    </row>
    <row r="15673" spans="1:10" x14ac:dyDescent="0.25">
      <c r="A15673">
        <v>17760</v>
      </c>
      <c r="B15673" t="s">
        <v>2768</v>
      </c>
      <c r="C15673">
        <v>419</v>
      </c>
      <c r="D15673">
        <v>593</v>
      </c>
      <c r="E15673">
        <v>1576065329</v>
      </c>
      <c r="F15673">
        <v>26</v>
      </c>
      <c r="G15673">
        <v>0</v>
      </c>
      <c r="H15673" t="s">
        <v>20512</v>
      </c>
      <c r="I15673">
        <v>17760</v>
      </c>
      <c r="J15673" t="str">
        <f>VLOOKUP(E15673,DSSpieler!A:B,2,FALSE)</f>
        <v>Xraxsy</v>
      </c>
    </row>
    <row r="15674" spans="1:10" x14ac:dyDescent="0.25">
      <c r="A15674">
        <v>17761</v>
      </c>
      <c r="B15674" t="s">
        <v>2769</v>
      </c>
      <c r="C15674">
        <v>547</v>
      </c>
      <c r="D15674">
        <v>381</v>
      </c>
      <c r="E15674">
        <v>9259027</v>
      </c>
      <c r="F15674">
        <v>1560</v>
      </c>
      <c r="G15674">
        <v>0</v>
      </c>
      <c r="H15674" t="s">
        <v>20513</v>
      </c>
      <c r="I15674">
        <v>17761</v>
      </c>
      <c r="J15674" t="str">
        <f>VLOOKUP(E15674,DSSpieler!A:B,2,FALSE)</f>
        <v>Stahl669</v>
      </c>
    </row>
    <row r="15675" spans="1:10" x14ac:dyDescent="0.25">
      <c r="A15675">
        <v>17762</v>
      </c>
      <c r="B15675" t="s">
        <v>531</v>
      </c>
      <c r="C15675">
        <v>624</v>
      </c>
      <c r="D15675">
        <v>477</v>
      </c>
      <c r="E15675">
        <v>0</v>
      </c>
      <c r="F15675">
        <v>184</v>
      </c>
      <c r="G15675">
        <v>0</v>
      </c>
      <c r="H15675" t="s">
        <v>20514</v>
      </c>
      <c r="I15675">
        <v>17762</v>
      </c>
      <c r="J15675" t="e">
        <f>VLOOKUP(E15675,DSSpieler!A:B,2,FALSE)</f>
        <v>#N/A</v>
      </c>
    </row>
    <row r="15676" spans="1:10" x14ac:dyDescent="0.25">
      <c r="A15676">
        <v>17763</v>
      </c>
      <c r="B15676" t="s">
        <v>531</v>
      </c>
      <c r="C15676">
        <v>444</v>
      </c>
      <c r="D15676">
        <v>614</v>
      </c>
      <c r="E15676">
        <v>0</v>
      </c>
      <c r="F15676">
        <v>101</v>
      </c>
      <c r="G15676">
        <v>0</v>
      </c>
      <c r="H15676" t="s">
        <v>20515</v>
      </c>
      <c r="I15676">
        <v>17763</v>
      </c>
      <c r="J15676" t="e">
        <f>VLOOKUP(E15676,DSSpieler!A:B,2,FALSE)</f>
        <v>#N/A</v>
      </c>
    </row>
    <row r="15677" spans="1:10" x14ac:dyDescent="0.25">
      <c r="A15677">
        <v>17764</v>
      </c>
      <c r="B15677" t="s">
        <v>531</v>
      </c>
      <c r="C15677">
        <v>409</v>
      </c>
      <c r="D15677">
        <v>413</v>
      </c>
      <c r="E15677">
        <v>0</v>
      </c>
      <c r="F15677">
        <v>165</v>
      </c>
      <c r="G15677">
        <v>0</v>
      </c>
      <c r="H15677" t="s">
        <v>20516</v>
      </c>
      <c r="I15677">
        <v>17764</v>
      </c>
      <c r="J15677" t="e">
        <f>VLOOKUP(E15677,DSSpieler!A:B,2,FALSE)</f>
        <v>#N/A</v>
      </c>
    </row>
    <row r="15678" spans="1:10" x14ac:dyDescent="0.25">
      <c r="A15678">
        <v>17765</v>
      </c>
      <c r="B15678" t="s">
        <v>1391</v>
      </c>
      <c r="C15678">
        <v>413</v>
      </c>
      <c r="D15678">
        <v>581</v>
      </c>
      <c r="E15678">
        <v>9793705</v>
      </c>
      <c r="F15678">
        <v>729</v>
      </c>
      <c r="G15678">
        <v>0</v>
      </c>
      <c r="H15678" t="s">
        <v>20517</v>
      </c>
      <c r="I15678">
        <v>17765</v>
      </c>
      <c r="J15678" t="str">
        <f>VLOOKUP(E15678,DSSpieler!A:B,2,FALSE)</f>
        <v>blondu</v>
      </c>
    </row>
    <row r="15679" spans="1:10" x14ac:dyDescent="0.25">
      <c r="A15679">
        <v>17766</v>
      </c>
      <c r="B15679" t="s">
        <v>531</v>
      </c>
      <c r="C15679">
        <v>476</v>
      </c>
      <c r="D15679">
        <v>377</v>
      </c>
      <c r="E15679">
        <v>0</v>
      </c>
      <c r="F15679">
        <v>109</v>
      </c>
      <c r="G15679">
        <v>0</v>
      </c>
      <c r="H15679" t="s">
        <v>20518</v>
      </c>
      <c r="I15679">
        <v>17766</v>
      </c>
      <c r="J15679" t="e">
        <f>VLOOKUP(E15679,DSSpieler!A:B,2,FALSE)</f>
        <v>#N/A</v>
      </c>
    </row>
    <row r="15680" spans="1:10" x14ac:dyDescent="0.25">
      <c r="A15680">
        <v>17767</v>
      </c>
      <c r="B15680" t="s">
        <v>2770</v>
      </c>
      <c r="C15680">
        <v>484</v>
      </c>
      <c r="D15680">
        <v>495</v>
      </c>
      <c r="E15680">
        <v>1576913007</v>
      </c>
      <c r="F15680">
        <v>1695</v>
      </c>
      <c r="G15680">
        <v>0</v>
      </c>
      <c r="H15680" t="s">
        <v>20519</v>
      </c>
      <c r="I15680">
        <v>17767</v>
      </c>
      <c r="J15680" t="str">
        <f>VLOOKUP(E15680,DSSpieler!A:B,2,FALSE)</f>
        <v>Zachillus</v>
      </c>
    </row>
    <row r="15681" spans="1:10" x14ac:dyDescent="0.25">
      <c r="A15681">
        <v>17770</v>
      </c>
      <c r="B15681" t="s">
        <v>35607</v>
      </c>
      <c r="C15681">
        <v>583</v>
      </c>
      <c r="D15681">
        <v>438</v>
      </c>
      <c r="E15681">
        <v>623991</v>
      </c>
      <c r="F15681">
        <v>1050</v>
      </c>
      <c r="G15681">
        <v>0</v>
      </c>
      <c r="H15681" t="s">
        <v>20520</v>
      </c>
      <c r="I15681">
        <v>17770</v>
      </c>
      <c r="J15681" t="str">
        <f>VLOOKUP(E15681,DSSpieler!A:B,2,FALSE)</f>
        <v>WhatTheFuchs?</v>
      </c>
    </row>
    <row r="15682" spans="1:10" x14ac:dyDescent="0.25">
      <c r="A15682">
        <v>17772</v>
      </c>
      <c r="B15682" t="s">
        <v>531</v>
      </c>
      <c r="C15682">
        <v>377</v>
      </c>
      <c r="D15682">
        <v>529</v>
      </c>
      <c r="E15682">
        <v>0</v>
      </c>
      <c r="F15682">
        <v>114</v>
      </c>
      <c r="G15682">
        <v>0</v>
      </c>
      <c r="H15682" t="s">
        <v>20521</v>
      </c>
      <c r="I15682">
        <v>17772</v>
      </c>
      <c r="J15682" t="e">
        <f>VLOOKUP(E15682,DSSpieler!A:B,2,FALSE)</f>
        <v>#N/A</v>
      </c>
    </row>
    <row r="15683" spans="1:10" x14ac:dyDescent="0.25">
      <c r="A15683">
        <v>17773</v>
      </c>
      <c r="B15683" t="s">
        <v>2771</v>
      </c>
      <c r="C15683">
        <v>614</v>
      </c>
      <c r="D15683">
        <v>443</v>
      </c>
      <c r="E15683">
        <v>1577191748</v>
      </c>
      <c r="F15683">
        <v>2301</v>
      </c>
      <c r="G15683">
        <v>0</v>
      </c>
      <c r="H15683" t="s">
        <v>20522</v>
      </c>
      <c r="I15683">
        <v>17773</v>
      </c>
      <c r="J15683" t="str">
        <f>VLOOKUP(E15683,DSSpieler!A:B,2,FALSE)</f>
        <v>Thodie</v>
      </c>
    </row>
    <row r="15684" spans="1:10" x14ac:dyDescent="0.25">
      <c r="A15684">
        <v>17775</v>
      </c>
      <c r="B15684" t="s">
        <v>2772</v>
      </c>
      <c r="C15684">
        <v>408</v>
      </c>
      <c r="D15684">
        <v>590</v>
      </c>
      <c r="E15684">
        <v>9888850</v>
      </c>
      <c r="F15684">
        <v>231</v>
      </c>
      <c r="G15684">
        <v>0</v>
      </c>
      <c r="H15684" t="s">
        <v>20523</v>
      </c>
      <c r="I15684">
        <v>17775</v>
      </c>
      <c r="J15684" t="str">
        <f>VLOOKUP(E15684,DSSpieler!A:B,2,FALSE)</f>
        <v>kaiser martin77</v>
      </c>
    </row>
    <row r="15685" spans="1:10" x14ac:dyDescent="0.25">
      <c r="A15685">
        <v>17776</v>
      </c>
      <c r="B15685" t="s">
        <v>531</v>
      </c>
      <c r="C15685">
        <v>582</v>
      </c>
      <c r="D15685">
        <v>401</v>
      </c>
      <c r="E15685">
        <v>0</v>
      </c>
      <c r="F15685">
        <v>120</v>
      </c>
      <c r="G15685">
        <v>0</v>
      </c>
      <c r="H15685" t="s">
        <v>20524</v>
      </c>
      <c r="I15685">
        <v>17776</v>
      </c>
      <c r="J15685" t="e">
        <f>VLOOKUP(E15685,DSSpieler!A:B,2,FALSE)</f>
        <v>#N/A</v>
      </c>
    </row>
    <row r="15686" spans="1:10" x14ac:dyDescent="0.25">
      <c r="A15686">
        <v>17777</v>
      </c>
      <c r="B15686" t="s">
        <v>531</v>
      </c>
      <c r="C15686">
        <v>509</v>
      </c>
      <c r="D15686">
        <v>628</v>
      </c>
      <c r="E15686">
        <v>0</v>
      </c>
      <c r="F15686">
        <v>55</v>
      </c>
      <c r="G15686">
        <v>0</v>
      </c>
      <c r="H15686" t="s">
        <v>20525</v>
      </c>
      <c r="I15686">
        <v>17777</v>
      </c>
      <c r="J15686" t="e">
        <f>VLOOKUP(E15686,DSSpieler!A:B,2,FALSE)</f>
        <v>#N/A</v>
      </c>
    </row>
    <row r="15687" spans="1:10" x14ac:dyDescent="0.25">
      <c r="A15687">
        <v>17778</v>
      </c>
      <c r="B15687" t="s">
        <v>531</v>
      </c>
      <c r="C15687">
        <v>421</v>
      </c>
      <c r="D15687">
        <v>600</v>
      </c>
      <c r="E15687">
        <v>0</v>
      </c>
      <c r="F15687">
        <v>95</v>
      </c>
      <c r="G15687">
        <v>0</v>
      </c>
      <c r="H15687" t="s">
        <v>20526</v>
      </c>
      <c r="I15687">
        <v>17778</v>
      </c>
      <c r="J15687" t="e">
        <f>VLOOKUP(E15687,DSSpieler!A:B,2,FALSE)</f>
        <v>#N/A</v>
      </c>
    </row>
    <row r="15688" spans="1:10" x14ac:dyDescent="0.25">
      <c r="A15688">
        <v>17779</v>
      </c>
      <c r="B15688" t="s">
        <v>2773</v>
      </c>
      <c r="C15688">
        <v>413</v>
      </c>
      <c r="D15688">
        <v>407</v>
      </c>
      <c r="E15688">
        <v>1576935134</v>
      </c>
      <c r="F15688">
        <v>2503</v>
      </c>
      <c r="G15688">
        <v>0</v>
      </c>
      <c r="H15688" t="s">
        <v>20527</v>
      </c>
      <c r="I15688">
        <v>17779</v>
      </c>
      <c r="J15688" t="str">
        <f>VLOOKUP(E15688,DSSpieler!A:B,2,FALSE)</f>
        <v>Briareos-Hammerstein</v>
      </c>
    </row>
    <row r="15689" spans="1:10" x14ac:dyDescent="0.25">
      <c r="A15689">
        <v>17780</v>
      </c>
      <c r="B15689" t="s">
        <v>531</v>
      </c>
      <c r="C15689">
        <v>403</v>
      </c>
      <c r="D15689">
        <v>420</v>
      </c>
      <c r="E15689">
        <v>0</v>
      </c>
      <c r="F15689">
        <v>124</v>
      </c>
      <c r="G15689">
        <v>0</v>
      </c>
      <c r="H15689" t="s">
        <v>20528</v>
      </c>
      <c r="I15689">
        <v>17780</v>
      </c>
      <c r="J15689" t="e">
        <f>VLOOKUP(E15689,DSSpieler!A:B,2,FALSE)</f>
        <v>#N/A</v>
      </c>
    </row>
    <row r="15690" spans="1:10" x14ac:dyDescent="0.25">
      <c r="A15690">
        <v>17781</v>
      </c>
      <c r="B15690" t="s">
        <v>2774</v>
      </c>
      <c r="C15690">
        <v>532</v>
      </c>
      <c r="D15690">
        <v>377</v>
      </c>
      <c r="E15690">
        <v>8147322</v>
      </c>
      <c r="F15690">
        <v>2212</v>
      </c>
      <c r="G15690">
        <v>0</v>
      </c>
      <c r="H15690" t="s">
        <v>20529</v>
      </c>
      <c r="I15690">
        <v>17781</v>
      </c>
      <c r="J15690" t="str">
        <f>VLOOKUP(E15690,DSSpieler!A:B,2,FALSE)</f>
        <v>Kevin Aus Oberzell</v>
      </c>
    </row>
    <row r="15691" spans="1:10" x14ac:dyDescent="0.25">
      <c r="A15691">
        <v>17782</v>
      </c>
      <c r="B15691" t="s">
        <v>531</v>
      </c>
      <c r="C15691">
        <v>377</v>
      </c>
      <c r="D15691">
        <v>478</v>
      </c>
      <c r="E15691">
        <v>0</v>
      </c>
      <c r="F15691">
        <v>337</v>
      </c>
      <c r="G15691">
        <v>0</v>
      </c>
      <c r="H15691" t="s">
        <v>20530</v>
      </c>
      <c r="I15691">
        <v>17782</v>
      </c>
      <c r="J15691" t="e">
        <f>VLOOKUP(E15691,DSSpieler!A:B,2,FALSE)</f>
        <v>#N/A</v>
      </c>
    </row>
    <row r="15692" spans="1:10" x14ac:dyDescent="0.25">
      <c r="A15692">
        <v>17783</v>
      </c>
      <c r="B15692" t="s">
        <v>2775</v>
      </c>
      <c r="C15692">
        <v>409</v>
      </c>
      <c r="D15692">
        <v>594</v>
      </c>
      <c r="E15692">
        <v>2890445</v>
      </c>
      <c r="F15692">
        <v>1381</v>
      </c>
      <c r="G15692">
        <v>0</v>
      </c>
      <c r="H15692" t="s">
        <v>20531</v>
      </c>
      <c r="I15692">
        <v>17783</v>
      </c>
      <c r="J15692" t="str">
        <f>VLOOKUP(E15692,DSSpieler!A:B,2,FALSE)</f>
        <v>Dino02</v>
      </c>
    </row>
    <row r="15693" spans="1:10" x14ac:dyDescent="0.25">
      <c r="A15693">
        <v>17784</v>
      </c>
      <c r="B15693" t="s">
        <v>2776</v>
      </c>
      <c r="C15693">
        <v>372</v>
      </c>
      <c r="D15693">
        <v>492</v>
      </c>
      <c r="E15693">
        <v>1576990941</v>
      </c>
      <c r="F15693">
        <v>889</v>
      </c>
      <c r="G15693">
        <v>0</v>
      </c>
      <c r="H15693" t="s">
        <v>20532</v>
      </c>
      <c r="I15693">
        <v>17784</v>
      </c>
      <c r="J15693" t="str">
        <f>VLOOKUP(E15693,DSSpieler!A:B,2,FALSE)</f>
        <v>Lord Rudi1</v>
      </c>
    </row>
    <row r="15694" spans="1:10" x14ac:dyDescent="0.25">
      <c r="A15694">
        <v>17785</v>
      </c>
      <c r="B15694" t="s">
        <v>2777</v>
      </c>
      <c r="C15694">
        <v>629</v>
      </c>
      <c r="D15694">
        <v>495</v>
      </c>
      <c r="E15694">
        <v>1577206076</v>
      </c>
      <c r="F15694">
        <v>2251</v>
      </c>
      <c r="G15694">
        <v>0</v>
      </c>
      <c r="H15694" t="s">
        <v>20533</v>
      </c>
      <c r="I15694">
        <v>17785</v>
      </c>
      <c r="J15694" t="str">
        <f>VLOOKUP(E15694,DSSpieler!A:B,2,FALSE)</f>
        <v>SickJunkie</v>
      </c>
    </row>
    <row r="15695" spans="1:10" x14ac:dyDescent="0.25">
      <c r="A15695">
        <v>17786</v>
      </c>
      <c r="B15695" t="s">
        <v>531</v>
      </c>
      <c r="C15695">
        <v>623</v>
      </c>
      <c r="D15695">
        <v>464</v>
      </c>
      <c r="E15695">
        <v>0</v>
      </c>
      <c r="F15695">
        <v>104</v>
      </c>
      <c r="G15695">
        <v>0</v>
      </c>
      <c r="H15695" t="s">
        <v>20534</v>
      </c>
      <c r="I15695">
        <v>17786</v>
      </c>
      <c r="J15695" t="e">
        <f>VLOOKUP(E15695,DSSpieler!A:B,2,FALSE)</f>
        <v>#N/A</v>
      </c>
    </row>
    <row r="15696" spans="1:10" x14ac:dyDescent="0.25">
      <c r="A15696">
        <v>17787</v>
      </c>
      <c r="B15696" t="s">
        <v>35608</v>
      </c>
      <c r="C15696">
        <v>524</v>
      </c>
      <c r="D15696">
        <v>624</v>
      </c>
      <c r="E15696">
        <v>2445336</v>
      </c>
      <c r="F15696">
        <v>2798</v>
      </c>
      <c r="G15696">
        <v>0</v>
      </c>
      <c r="H15696" t="s">
        <v>20535</v>
      </c>
      <c r="I15696">
        <v>17787</v>
      </c>
      <c r="J15696" t="str">
        <f>VLOOKUP(E15696,DSSpieler!A:B,2,FALSE)</f>
        <v>Chilliiii91</v>
      </c>
    </row>
    <row r="15697" spans="1:10" x14ac:dyDescent="0.25">
      <c r="A15697">
        <v>17788</v>
      </c>
      <c r="B15697" t="s">
        <v>2778</v>
      </c>
      <c r="C15697">
        <v>606</v>
      </c>
      <c r="D15697">
        <v>436</v>
      </c>
      <c r="E15697">
        <v>1576128871</v>
      </c>
      <c r="F15697">
        <v>38</v>
      </c>
      <c r="G15697">
        <v>0</v>
      </c>
      <c r="H15697" t="s">
        <v>20536</v>
      </c>
      <c r="I15697">
        <v>17788</v>
      </c>
      <c r="J15697" t="str">
        <f>VLOOKUP(E15697,DSSpieler!A:B,2,FALSE)</f>
        <v>Death-Fighter</v>
      </c>
    </row>
    <row r="15698" spans="1:10" x14ac:dyDescent="0.25">
      <c r="A15698">
        <v>17789</v>
      </c>
      <c r="B15698" t="s">
        <v>2779</v>
      </c>
      <c r="C15698">
        <v>624</v>
      </c>
      <c r="D15698">
        <v>493</v>
      </c>
      <c r="E15698">
        <v>1575913621</v>
      </c>
      <c r="F15698">
        <v>1611</v>
      </c>
      <c r="G15698">
        <v>0</v>
      </c>
      <c r="H15698" t="s">
        <v>20537</v>
      </c>
      <c r="I15698">
        <v>17789</v>
      </c>
      <c r="J15698" t="str">
        <f>VLOOKUP(E15698,DSSpieler!A:B,2,FALSE)</f>
        <v>Taipan1509</v>
      </c>
    </row>
    <row r="15699" spans="1:10" x14ac:dyDescent="0.25">
      <c r="A15699">
        <v>17790</v>
      </c>
      <c r="B15699" t="s">
        <v>2780</v>
      </c>
      <c r="C15699">
        <v>434</v>
      </c>
      <c r="D15699">
        <v>605</v>
      </c>
      <c r="E15699">
        <v>3179462</v>
      </c>
      <c r="F15699">
        <v>1391</v>
      </c>
      <c r="G15699">
        <v>0</v>
      </c>
      <c r="H15699" t="s">
        <v>20538</v>
      </c>
      <c r="I15699">
        <v>17790</v>
      </c>
      <c r="J15699" t="str">
        <f>VLOOKUP(E15699,DSSpieler!A:B,2,FALSE)</f>
        <v>Engel1000</v>
      </c>
    </row>
    <row r="15700" spans="1:10" x14ac:dyDescent="0.25">
      <c r="A15700">
        <v>17791</v>
      </c>
      <c r="B15700" t="s">
        <v>2781</v>
      </c>
      <c r="C15700">
        <v>630</v>
      </c>
      <c r="D15700">
        <v>490</v>
      </c>
      <c r="E15700">
        <v>1576608249</v>
      </c>
      <c r="F15700">
        <v>1448</v>
      </c>
      <c r="G15700">
        <v>0</v>
      </c>
      <c r="H15700" t="s">
        <v>20539</v>
      </c>
      <c r="I15700">
        <v>17791</v>
      </c>
      <c r="J15700" t="str">
        <f>VLOOKUP(E15700,DSSpieler!A:B,2,FALSE)</f>
        <v>Drauf haun</v>
      </c>
    </row>
    <row r="15701" spans="1:10" x14ac:dyDescent="0.25">
      <c r="A15701">
        <v>17792</v>
      </c>
      <c r="B15701" t="s">
        <v>531</v>
      </c>
      <c r="C15701">
        <v>591</v>
      </c>
      <c r="D15701">
        <v>589</v>
      </c>
      <c r="E15701">
        <v>0</v>
      </c>
      <c r="F15701">
        <v>50</v>
      </c>
      <c r="G15701">
        <v>0</v>
      </c>
      <c r="H15701" t="s">
        <v>20540</v>
      </c>
      <c r="I15701">
        <v>17792</v>
      </c>
      <c r="J15701" t="e">
        <f>VLOOKUP(E15701,DSSpieler!A:B,2,FALSE)</f>
        <v>#N/A</v>
      </c>
    </row>
    <row r="15702" spans="1:10" x14ac:dyDescent="0.25">
      <c r="A15702">
        <v>17793</v>
      </c>
      <c r="B15702" t="s">
        <v>150</v>
      </c>
      <c r="C15702">
        <v>395</v>
      </c>
      <c r="D15702">
        <v>573</v>
      </c>
      <c r="E15702">
        <v>1854636</v>
      </c>
      <c r="F15702">
        <v>1117</v>
      </c>
      <c r="G15702">
        <v>0</v>
      </c>
      <c r="H15702" t="s">
        <v>20541</v>
      </c>
      <c r="I15702">
        <v>17793</v>
      </c>
      <c r="J15702" t="str">
        <f>VLOOKUP(E15702,DSSpieler!A:B,2,FALSE)</f>
        <v>ralle01</v>
      </c>
    </row>
    <row r="15703" spans="1:10" x14ac:dyDescent="0.25">
      <c r="A15703">
        <v>17794</v>
      </c>
      <c r="B15703" t="s">
        <v>531</v>
      </c>
      <c r="C15703">
        <v>555</v>
      </c>
      <c r="D15703">
        <v>614</v>
      </c>
      <c r="E15703">
        <v>0</v>
      </c>
      <c r="F15703">
        <v>80</v>
      </c>
      <c r="G15703">
        <v>0</v>
      </c>
      <c r="H15703" t="s">
        <v>20542</v>
      </c>
      <c r="I15703">
        <v>17794</v>
      </c>
      <c r="J15703" t="e">
        <f>VLOOKUP(E15703,DSSpieler!A:B,2,FALSE)</f>
        <v>#N/A</v>
      </c>
    </row>
    <row r="15704" spans="1:10" x14ac:dyDescent="0.25">
      <c r="A15704">
        <v>17795</v>
      </c>
      <c r="B15704" t="s">
        <v>531</v>
      </c>
      <c r="C15704">
        <v>604</v>
      </c>
      <c r="D15704">
        <v>425</v>
      </c>
      <c r="E15704">
        <v>0</v>
      </c>
      <c r="F15704">
        <v>46</v>
      </c>
      <c r="G15704">
        <v>0</v>
      </c>
      <c r="H15704" t="s">
        <v>20543</v>
      </c>
      <c r="I15704">
        <v>17795</v>
      </c>
      <c r="J15704" t="e">
        <f>VLOOKUP(E15704,DSSpieler!A:B,2,FALSE)</f>
        <v>#N/A</v>
      </c>
    </row>
    <row r="15705" spans="1:10" x14ac:dyDescent="0.25">
      <c r="A15705">
        <v>17797</v>
      </c>
      <c r="B15705" t="s">
        <v>2782</v>
      </c>
      <c r="C15705">
        <v>596</v>
      </c>
      <c r="D15705">
        <v>436</v>
      </c>
      <c r="E15705">
        <v>1577200589</v>
      </c>
      <c r="F15705">
        <v>1004</v>
      </c>
      <c r="G15705">
        <v>0</v>
      </c>
      <c r="H15705" t="s">
        <v>20544</v>
      </c>
      <c r="I15705">
        <v>17797</v>
      </c>
      <c r="J15705" t="str">
        <f>VLOOKUP(E15705,DSSpieler!A:B,2,FALSE)</f>
        <v>Silas153</v>
      </c>
    </row>
    <row r="15706" spans="1:10" x14ac:dyDescent="0.25">
      <c r="A15706">
        <v>17798</v>
      </c>
      <c r="B15706">
        <v>1413</v>
      </c>
      <c r="C15706">
        <v>523</v>
      </c>
      <c r="D15706">
        <v>551</v>
      </c>
      <c r="E15706">
        <v>1577206084</v>
      </c>
      <c r="F15706">
        <v>2269</v>
      </c>
      <c r="G15706">
        <v>0</v>
      </c>
      <c r="H15706" t="s">
        <v>20545</v>
      </c>
      <c r="I15706">
        <v>17798</v>
      </c>
      <c r="J15706" t="str">
        <f>VLOOKUP(E15706,DSSpieler!A:B,2,FALSE)</f>
        <v>Sehr3st</v>
      </c>
    </row>
    <row r="15707" spans="1:10" x14ac:dyDescent="0.25">
      <c r="A15707">
        <v>17800</v>
      </c>
      <c r="B15707" t="s">
        <v>531</v>
      </c>
      <c r="C15707">
        <v>376</v>
      </c>
      <c r="D15707">
        <v>465</v>
      </c>
      <c r="E15707">
        <v>0</v>
      </c>
      <c r="F15707">
        <v>46</v>
      </c>
      <c r="G15707">
        <v>0</v>
      </c>
      <c r="H15707" t="s">
        <v>20546</v>
      </c>
      <c r="I15707">
        <v>17800</v>
      </c>
      <c r="J15707" t="e">
        <f>VLOOKUP(E15707,DSSpieler!A:B,2,FALSE)</f>
        <v>#N/A</v>
      </c>
    </row>
    <row r="15708" spans="1:10" x14ac:dyDescent="0.25">
      <c r="A15708">
        <v>17801</v>
      </c>
      <c r="B15708" t="s">
        <v>531</v>
      </c>
      <c r="C15708">
        <v>468</v>
      </c>
      <c r="D15708">
        <v>380</v>
      </c>
      <c r="E15708">
        <v>0</v>
      </c>
      <c r="F15708">
        <v>126</v>
      </c>
      <c r="G15708">
        <v>0</v>
      </c>
      <c r="H15708" t="s">
        <v>20547</v>
      </c>
      <c r="I15708">
        <v>17801</v>
      </c>
      <c r="J15708" t="e">
        <f>VLOOKUP(E15708,DSSpieler!A:B,2,FALSE)</f>
        <v>#N/A</v>
      </c>
    </row>
    <row r="15709" spans="1:10" x14ac:dyDescent="0.25">
      <c r="A15709">
        <v>17802</v>
      </c>
      <c r="B15709" t="s">
        <v>2783</v>
      </c>
      <c r="C15709">
        <v>430</v>
      </c>
      <c r="D15709">
        <v>604</v>
      </c>
      <c r="E15709">
        <v>9987462</v>
      </c>
      <c r="F15709">
        <v>313</v>
      </c>
      <c r="G15709">
        <v>0</v>
      </c>
      <c r="H15709" t="s">
        <v>20548</v>
      </c>
      <c r="I15709">
        <v>17802</v>
      </c>
      <c r="J15709" t="str">
        <f>VLOOKUP(E15709,DSSpieler!A:B,2,FALSE)</f>
        <v>GoodTime1</v>
      </c>
    </row>
    <row r="15710" spans="1:10" x14ac:dyDescent="0.25">
      <c r="A15710">
        <v>17803</v>
      </c>
      <c r="B15710" t="s">
        <v>2784</v>
      </c>
      <c r="C15710">
        <v>438</v>
      </c>
      <c r="D15710">
        <v>613</v>
      </c>
      <c r="E15710">
        <v>1565777</v>
      </c>
      <c r="F15710">
        <v>1511</v>
      </c>
      <c r="G15710">
        <v>0</v>
      </c>
      <c r="H15710" t="s">
        <v>20549</v>
      </c>
      <c r="I15710">
        <v>17803</v>
      </c>
      <c r="J15710" t="str">
        <f>VLOOKUP(E15710,DSSpieler!A:B,2,FALSE)</f>
        <v>lisent</v>
      </c>
    </row>
    <row r="15711" spans="1:10" x14ac:dyDescent="0.25">
      <c r="A15711">
        <v>17804</v>
      </c>
      <c r="B15711" t="s">
        <v>2785</v>
      </c>
      <c r="C15711">
        <v>497</v>
      </c>
      <c r="D15711">
        <v>628</v>
      </c>
      <c r="E15711">
        <v>1577202300</v>
      </c>
      <c r="F15711">
        <v>1939</v>
      </c>
      <c r="G15711">
        <v>0</v>
      </c>
      <c r="H15711" t="s">
        <v>20550</v>
      </c>
      <c r="I15711">
        <v>17804</v>
      </c>
      <c r="J15711" t="str">
        <f>VLOOKUP(E15711,DSSpieler!A:B,2,FALSE)</f>
        <v>Amin</v>
      </c>
    </row>
    <row r="15712" spans="1:10" x14ac:dyDescent="0.25">
      <c r="A15712">
        <v>17805</v>
      </c>
      <c r="B15712" t="s">
        <v>2786</v>
      </c>
      <c r="C15712">
        <v>384</v>
      </c>
      <c r="D15712">
        <v>516</v>
      </c>
      <c r="E15712">
        <v>1577206022</v>
      </c>
      <c r="F15712">
        <v>430</v>
      </c>
      <c r="G15712">
        <v>0</v>
      </c>
      <c r="H15712" t="s">
        <v>20551</v>
      </c>
      <c r="I15712">
        <v>17805</v>
      </c>
      <c r="J15712" t="str">
        <f>VLOOKUP(E15712,DSSpieler!A:B,2,FALSE)</f>
        <v>dennis07</v>
      </c>
    </row>
    <row r="15713" spans="1:10" x14ac:dyDescent="0.25">
      <c r="A15713">
        <v>17807</v>
      </c>
      <c r="B15713" t="s">
        <v>33351</v>
      </c>
      <c r="C15713">
        <v>459</v>
      </c>
      <c r="D15713">
        <v>622</v>
      </c>
      <c r="E15713">
        <v>1577206092</v>
      </c>
      <c r="F15713">
        <v>577</v>
      </c>
      <c r="G15713">
        <v>0</v>
      </c>
      <c r="H15713" t="s">
        <v>20552</v>
      </c>
      <c r="I15713">
        <v>17807</v>
      </c>
      <c r="J15713" t="str">
        <f>VLOOKUP(E15713,DSSpieler!A:B,2,FALSE)</f>
        <v>saarlandpower</v>
      </c>
    </row>
    <row r="15714" spans="1:10" x14ac:dyDescent="0.25">
      <c r="A15714">
        <v>17808</v>
      </c>
      <c r="B15714" t="s">
        <v>35609</v>
      </c>
      <c r="C15714">
        <v>482</v>
      </c>
      <c r="D15714">
        <v>587</v>
      </c>
      <c r="E15714">
        <v>1576361409</v>
      </c>
      <c r="F15714">
        <v>1388</v>
      </c>
      <c r="G15714">
        <v>0</v>
      </c>
      <c r="H15714" t="s">
        <v>20553</v>
      </c>
      <c r="I15714">
        <v>17808</v>
      </c>
      <c r="J15714" t="str">
        <f>VLOOKUP(E15714,DSSpieler!A:B,2,FALSE)</f>
        <v>Draric</v>
      </c>
    </row>
    <row r="15715" spans="1:10" x14ac:dyDescent="0.25">
      <c r="A15715">
        <v>17809</v>
      </c>
      <c r="B15715" t="s">
        <v>531</v>
      </c>
      <c r="C15715">
        <v>410</v>
      </c>
      <c r="D15715">
        <v>587</v>
      </c>
      <c r="E15715">
        <v>0</v>
      </c>
      <c r="F15715">
        <v>184</v>
      </c>
      <c r="G15715">
        <v>0</v>
      </c>
      <c r="H15715" t="s">
        <v>20554</v>
      </c>
      <c r="I15715">
        <v>17809</v>
      </c>
      <c r="J15715" t="e">
        <f>VLOOKUP(E15715,DSSpieler!A:B,2,FALSE)</f>
        <v>#N/A</v>
      </c>
    </row>
    <row r="15716" spans="1:10" x14ac:dyDescent="0.25">
      <c r="A15716">
        <v>17810</v>
      </c>
      <c r="B15716" t="s">
        <v>2787</v>
      </c>
      <c r="C15716">
        <v>586</v>
      </c>
      <c r="D15716">
        <v>410</v>
      </c>
      <c r="E15716">
        <v>9890811</v>
      </c>
      <c r="F15716">
        <v>297</v>
      </c>
      <c r="G15716">
        <v>0</v>
      </c>
      <c r="H15716" t="s">
        <v>20555</v>
      </c>
      <c r="I15716">
        <v>17810</v>
      </c>
      <c r="J15716" t="str">
        <f>VLOOKUP(E15716,DSSpieler!A:B,2,FALSE)</f>
        <v>LoveMarie2009</v>
      </c>
    </row>
    <row r="15717" spans="1:10" x14ac:dyDescent="0.25">
      <c r="A15717">
        <v>17811</v>
      </c>
      <c r="B15717" t="s">
        <v>531</v>
      </c>
      <c r="C15717">
        <v>445</v>
      </c>
      <c r="D15717">
        <v>614</v>
      </c>
      <c r="E15717">
        <v>0</v>
      </c>
      <c r="F15717">
        <v>158</v>
      </c>
      <c r="G15717">
        <v>0</v>
      </c>
      <c r="H15717" t="s">
        <v>20556</v>
      </c>
      <c r="I15717">
        <v>17811</v>
      </c>
      <c r="J15717" t="e">
        <f>VLOOKUP(E15717,DSSpieler!A:B,2,FALSE)</f>
        <v>#N/A</v>
      </c>
    </row>
    <row r="15718" spans="1:10" x14ac:dyDescent="0.25">
      <c r="A15718">
        <v>17812</v>
      </c>
      <c r="B15718" t="s">
        <v>1869</v>
      </c>
      <c r="C15718">
        <v>527</v>
      </c>
      <c r="D15718">
        <v>376</v>
      </c>
      <c r="E15718">
        <v>1868513</v>
      </c>
      <c r="F15718">
        <v>26</v>
      </c>
      <c r="G15718">
        <v>0</v>
      </c>
      <c r="H15718" t="s">
        <v>20557</v>
      </c>
      <c r="I15718">
        <v>17812</v>
      </c>
      <c r="J15718" t="str">
        <f>VLOOKUP(E15718,DSSpieler!A:B,2,FALSE)</f>
        <v>wagna11</v>
      </c>
    </row>
    <row r="15719" spans="1:10" x14ac:dyDescent="0.25">
      <c r="A15719">
        <v>17813</v>
      </c>
      <c r="B15719" t="s">
        <v>531</v>
      </c>
      <c r="C15719">
        <v>428</v>
      </c>
      <c r="D15719">
        <v>397</v>
      </c>
      <c r="E15719">
        <v>0</v>
      </c>
      <c r="F15719">
        <v>229</v>
      </c>
      <c r="G15719">
        <v>0</v>
      </c>
      <c r="H15719" t="s">
        <v>20558</v>
      </c>
      <c r="I15719">
        <v>17813</v>
      </c>
      <c r="J15719" t="e">
        <f>VLOOKUP(E15719,DSSpieler!A:B,2,FALSE)</f>
        <v>#N/A</v>
      </c>
    </row>
    <row r="15720" spans="1:10" x14ac:dyDescent="0.25">
      <c r="A15720">
        <v>17814</v>
      </c>
      <c r="B15720" t="s">
        <v>2788</v>
      </c>
      <c r="C15720">
        <v>424</v>
      </c>
      <c r="D15720">
        <v>416</v>
      </c>
      <c r="E15720">
        <v>1576932853</v>
      </c>
      <c r="F15720">
        <v>1232</v>
      </c>
      <c r="G15720">
        <v>0</v>
      </c>
      <c r="H15720" t="s">
        <v>20559</v>
      </c>
      <c r="I15720">
        <v>17814</v>
      </c>
      <c r="J15720" t="str">
        <f>VLOOKUP(E15720,DSSpieler!A:B,2,FALSE)</f>
        <v>KronenEx</v>
      </c>
    </row>
    <row r="15721" spans="1:10" x14ac:dyDescent="0.25">
      <c r="A15721">
        <v>17816</v>
      </c>
      <c r="B15721" t="s">
        <v>2789</v>
      </c>
      <c r="C15721">
        <v>578</v>
      </c>
      <c r="D15721">
        <v>595</v>
      </c>
      <c r="E15721">
        <v>8043810</v>
      </c>
      <c r="F15721">
        <v>2310</v>
      </c>
      <c r="G15721">
        <v>0</v>
      </c>
      <c r="H15721" t="s">
        <v>20560</v>
      </c>
      <c r="I15721">
        <v>17816</v>
      </c>
      <c r="J15721" t="str">
        <f>VLOOKUP(E15721,DSSpieler!A:B,2,FALSE)</f>
        <v>19malibu92</v>
      </c>
    </row>
    <row r="15722" spans="1:10" x14ac:dyDescent="0.25">
      <c r="A15722">
        <v>17817</v>
      </c>
      <c r="B15722" t="s">
        <v>2790</v>
      </c>
      <c r="C15722">
        <v>628</v>
      </c>
      <c r="D15722">
        <v>505</v>
      </c>
      <c r="E15722">
        <v>1577206105</v>
      </c>
      <c r="F15722">
        <v>2792</v>
      </c>
      <c r="G15722">
        <v>0</v>
      </c>
      <c r="H15722" t="s">
        <v>20561</v>
      </c>
      <c r="I15722">
        <v>17817</v>
      </c>
      <c r="J15722" t="str">
        <f>VLOOKUP(E15722,DSSpieler!A:B,2,FALSE)</f>
        <v>Haha1231</v>
      </c>
    </row>
    <row r="15723" spans="1:10" x14ac:dyDescent="0.25">
      <c r="A15723">
        <v>17818</v>
      </c>
      <c r="B15723" t="s">
        <v>531</v>
      </c>
      <c r="C15723">
        <v>550</v>
      </c>
      <c r="D15723">
        <v>617</v>
      </c>
      <c r="E15723">
        <v>0</v>
      </c>
      <c r="F15723">
        <v>319</v>
      </c>
      <c r="G15723">
        <v>0</v>
      </c>
      <c r="H15723" t="s">
        <v>20562</v>
      </c>
      <c r="I15723">
        <v>17818</v>
      </c>
      <c r="J15723" t="e">
        <f>VLOOKUP(E15723,DSSpieler!A:B,2,FALSE)</f>
        <v>#N/A</v>
      </c>
    </row>
    <row r="15724" spans="1:10" x14ac:dyDescent="0.25">
      <c r="A15724">
        <v>17819</v>
      </c>
      <c r="B15724" t="s">
        <v>531</v>
      </c>
      <c r="C15724">
        <v>581</v>
      </c>
      <c r="D15724">
        <v>406</v>
      </c>
      <c r="E15724">
        <v>0</v>
      </c>
      <c r="F15724">
        <v>144</v>
      </c>
      <c r="G15724">
        <v>0</v>
      </c>
      <c r="H15724" t="s">
        <v>20563</v>
      </c>
      <c r="I15724">
        <v>17819</v>
      </c>
      <c r="J15724" t="e">
        <f>VLOOKUP(E15724,DSSpieler!A:B,2,FALSE)</f>
        <v>#N/A</v>
      </c>
    </row>
    <row r="15725" spans="1:10" x14ac:dyDescent="0.25">
      <c r="A15725">
        <v>17820</v>
      </c>
      <c r="B15725" t="s">
        <v>35610</v>
      </c>
      <c r="C15725">
        <v>530</v>
      </c>
      <c r="D15725">
        <v>377</v>
      </c>
      <c r="E15725">
        <v>2106875</v>
      </c>
      <c r="F15725">
        <v>3436</v>
      </c>
      <c r="G15725">
        <v>0</v>
      </c>
      <c r="H15725" t="s">
        <v>20564</v>
      </c>
      <c r="I15725">
        <v>17820</v>
      </c>
      <c r="J15725" t="str">
        <f>VLOOKUP(E15725,DSSpieler!A:B,2,FALSE)</f>
        <v>andi0273</v>
      </c>
    </row>
    <row r="15726" spans="1:10" x14ac:dyDescent="0.25">
      <c r="A15726">
        <v>17821</v>
      </c>
      <c r="B15726" t="s">
        <v>2791</v>
      </c>
      <c r="C15726">
        <v>436</v>
      </c>
      <c r="D15726">
        <v>586</v>
      </c>
      <c r="E15726">
        <v>1577198532</v>
      </c>
      <c r="F15726">
        <v>513</v>
      </c>
      <c r="G15726">
        <v>0</v>
      </c>
      <c r="H15726" t="s">
        <v>20565</v>
      </c>
      <c r="I15726">
        <v>17821</v>
      </c>
      <c r="J15726" t="str">
        <f>VLOOKUP(E15726,DSSpieler!A:B,2,FALSE)</f>
        <v>Inc.266</v>
      </c>
    </row>
    <row r="15727" spans="1:10" x14ac:dyDescent="0.25">
      <c r="A15727">
        <v>17822</v>
      </c>
      <c r="B15727" t="s">
        <v>2792</v>
      </c>
      <c r="C15727">
        <v>625</v>
      </c>
      <c r="D15727">
        <v>487</v>
      </c>
      <c r="E15727">
        <v>1577206108</v>
      </c>
      <c r="F15727">
        <v>2299</v>
      </c>
      <c r="G15727">
        <v>0</v>
      </c>
      <c r="H15727" t="s">
        <v>20566</v>
      </c>
      <c r="I15727">
        <v>17822</v>
      </c>
      <c r="J15727" t="str">
        <f>VLOOKUP(E15727,DSSpieler!A:B,2,FALSE)</f>
        <v>nedu96</v>
      </c>
    </row>
    <row r="15728" spans="1:10" x14ac:dyDescent="0.25">
      <c r="A15728">
        <v>17823</v>
      </c>
      <c r="B15728" t="s">
        <v>2793</v>
      </c>
      <c r="C15728">
        <v>484</v>
      </c>
      <c r="D15728">
        <v>376</v>
      </c>
      <c r="E15728">
        <v>1577196177</v>
      </c>
      <c r="F15728">
        <v>1106</v>
      </c>
      <c r="G15728">
        <v>0</v>
      </c>
      <c r="H15728" t="s">
        <v>20567</v>
      </c>
      <c r="I15728">
        <v>17823</v>
      </c>
      <c r="J15728" t="str">
        <f>VLOOKUP(E15728,DSSpieler!A:B,2,FALSE)</f>
        <v>Sev01</v>
      </c>
    </row>
    <row r="15729" spans="1:10" x14ac:dyDescent="0.25">
      <c r="A15729">
        <v>17824</v>
      </c>
      <c r="B15729" t="s">
        <v>2794</v>
      </c>
      <c r="C15729">
        <v>409</v>
      </c>
      <c r="D15729">
        <v>587</v>
      </c>
      <c r="E15729">
        <v>9629077</v>
      </c>
      <c r="F15729">
        <v>210</v>
      </c>
      <c r="G15729">
        <v>0</v>
      </c>
      <c r="H15729" t="s">
        <v>20568</v>
      </c>
      <c r="I15729">
        <v>17824</v>
      </c>
      <c r="J15729" t="str">
        <f>VLOOKUP(E15729,DSSpieler!A:B,2,FALSE)</f>
        <v>RedVisionD</v>
      </c>
    </row>
    <row r="15730" spans="1:10" x14ac:dyDescent="0.25">
      <c r="A15730">
        <v>17825</v>
      </c>
      <c r="B15730" t="s">
        <v>2795</v>
      </c>
      <c r="C15730">
        <v>528</v>
      </c>
      <c r="D15730">
        <v>383</v>
      </c>
      <c r="E15730">
        <v>1577196019</v>
      </c>
      <c r="F15730">
        <v>2362</v>
      </c>
      <c r="G15730">
        <v>0</v>
      </c>
      <c r="H15730" t="s">
        <v>20569</v>
      </c>
      <c r="I15730">
        <v>17825</v>
      </c>
      <c r="J15730" t="str">
        <f>VLOOKUP(E15730,DSSpieler!A:B,2,FALSE)</f>
        <v>michi011</v>
      </c>
    </row>
    <row r="15731" spans="1:10" x14ac:dyDescent="0.25">
      <c r="A15731">
        <v>17826</v>
      </c>
      <c r="B15731" t="s">
        <v>531</v>
      </c>
      <c r="C15731">
        <v>413</v>
      </c>
      <c r="D15731">
        <v>406</v>
      </c>
      <c r="E15731">
        <v>0</v>
      </c>
      <c r="F15731">
        <v>181</v>
      </c>
      <c r="G15731">
        <v>0</v>
      </c>
      <c r="H15731" t="s">
        <v>20570</v>
      </c>
      <c r="I15731">
        <v>17826</v>
      </c>
      <c r="J15731" t="e">
        <f>VLOOKUP(E15731,DSSpieler!A:B,2,FALSE)</f>
        <v>#N/A</v>
      </c>
    </row>
    <row r="15732" spans="1:10" x14ac:dyDescent="0.25">
      <c r="A15732">
        <v>17828</v>
      </c>
      <c r="B15732" t="s">
        <v>531</v>
      </c>
      <c r="C15732">
        <v>408</v>
      </c>
      <c r="D15732">
        <v>413</v>
      </c>
      <c r="E15732">
        <v>0</v>
      </c>
      <c r="F15732">
        <v>116</v>
      </c>
      <c r="G15732">
        <v>0</v>
      </c>
      <c r="H15732" t="s">
        <v>20571</v>
      </c>
      <c r="I15732">
        <v>17828</v>
      </c>
      <c r="J15732" t="e">
        <f>VLOOKUP(E15732,DSSpieler!A:B,2,FALSE)</f>
        <v>#N/A</v>
      </c>
    </row>
    <row r="15733" spans="1:10" x14ac:dyDescent="0.25">
      <c r="A15733">
        <v>17831</v>
      </c>
      <c r="B15733" t="s">
        <v>531</v>
      </c>
      <c r="C15733">
        <v>503</v>
      </c>
      <c r="D15733">
        <v>373</v>
      </c>
      <c r="E15733">
        <v>0</v>
      </c>
      <c r="F15733">
        <v>129</v>
      </c>
      <c r="G15733">
        <v>0</v>
      </c>
      <c r="H15733" t="s">
        <v>20572</v>
      </c>
      <c r="I15733">
        <v>17831</v>
      </c>
      <c r="J15733" t="e">
        <f>VLOOKUP(E15733,DSSpieler!A:B,2,FALSE)</f>
        <v>#N/A</v>
      </c>
    </row>
    <row r="15734" spans="1:10" x14ac:dyDescent="0.25">
      <c r="A15734">
        <v>17832</v>
      </c>
      <c r="B15734" t="s">
        <v>531</v>
      </c>
      <c r="C15734">
        <v>463</v>
      </c>
      <c r="D15734">
        <v>378</v>
      </c>
      <c r="E15734">
        <v>0</v>
      </c>
      <c r="F15734">
        <v>86</v>
      </c>
      <c r="G15734">
        <v>0</v>
      </c>
      <c r="H15734" t="s">
        <v>20573</v>
      </c>
      <c r="I15734">
        <v>17832</v>
      </c>
      <c r="J15734" t="e">
        <f>VLOOKUP(E15734,DSSpieler!A:B,2,FALSE)</f>
        <v>#N/A</v>
      </c>
    </row>
    <row r="15735" spans="1:10" x14ac:dyDescent="0.25">
      <c r="A15735">
        <v>17833</v>
      </c>
      <c r="B15735" t="s">
        <v>2796</v>
      </c>
      <c r="C15735">
        <v>619</v>
      </c>
      <c r="D15735">
        <v>486</v>
      </c>
      <c r="E15735">
        <v>1577206120</v>
      </c>
      <c r="F15735">
        <v>1978</v>
      </c>
      <c r="G15735">
        <v>0</v>
      </c>
      <c r="H15735" t="s">
        <v>20574</v>
      </c>
      <c r="I15735">
        <v>17833</v>
      </c>
      <c r="J15735" t="str">
        <f>VLOOKUP(E15735,DSSpieler!A:B,2,FALSE)</f>
        <v>nedu97</v>
      </c>
    </row>
    <row r="15736" spans="1:10" x14ac:dyDescent="0.25">
      <c r="A15736">
        <v>17834</v>
      </c>
      <c r="B15736" t="s">
        <v>531</v>
      </c>
      <c r="C15736">
        <v>432</v>
      </c>
      <c r="D15736">
        <v>392</v>
      </c>
      <c r="E15736">
        <v>0</v>
      </c>
      <c r="F15736">
        <v>170</v>
      </c>
      <c r="G15736">
        <v>0</v>
      </c>
      <c r="H15736" t="s">
        <v>20575</v>
      </c>
      <c r="I15736">
        <v>17834</v>
      </c>
      <c r="J15736" t="e">
        <f>VLOOKUP(E15736,DSSpieler!A:B,2,FALSE)</f>
        <v>#N/A</v>
      </c>
    </row>
    <row r="15737" spans="1:10" x14ac:dyDescent="0.25">
      <c r="A15737">
        <v>17835</v>
      </c>
      <c r="B15737" t="s">
        <v>531</v>
      </c>
      <c r="C15737">
        <v>380</v>
      </c>
      <c r="D15737">
        <v>467</v>
      </c>
      <c r="E15737">
        <v>0</v>
      </c>
      <c r="F15737">
        <v>67</v>
      </c>
      <c r="G15737">
        <v>0</v>
      </c>
      <c r="H15737" t="s">
        <v>20576</v>
      </c>
      <c r="I15737">
        <v>17835</v>
      </c>
      <c r="J15737" t="e">
        <f>VLOOKUP(E15737,DSSpieler!A:B,2,FALSE)</f>
        <v>#N/A</v>
      </c>
    </row>
    <row r="15738" spans="1:10" x14ac:dyDescent="0.25">
      <c r="A15738">
        <v>17836</v>
      </c>
      <c r="B15738" t="s">
        <v>531</v>
      </c>
      <c r="C15738">
        <v>559</v>
      </c>
      <c r="D15738">
        <v>390</v>
      </c>
      <c r="E15738">
        <v>0</v>
      </c>
      <c r="F15738">
        <v>215</v>
      </c>
      <c r="G15738">
        <v>0</v>
      </c>
      <c r="H15738" t="s">
        <v>20577</v>
      </c>
      <c r="I15738">
        <v>17836</v>
      </c>
      <c r="J15738" t="e">
        <f>VLOOKUP(E15738,DSSpieler!A:B,2,FALSE)</f>
        <v>#N/A</v>
      </c>
    </row>
    <row r="15739" spans="1:10" x14ac:dyDescent="0.25">
      <c r="A15739">
        <v>17839</v>
      </c>
      <c r="B15739" t="s">
        <v>2797</v>
      </c>
      <c r="C15739">
        <v>381</v>
      </c>
      <c r="D15739">
        <v>462</v>
      </c>
      <c r="E15739">
        <v>7670667</v>
      </c>
      <c r="F15739">
        <v>26</v>
      </c>
      <c r="G15739">
        <v>0</v>
      </c>
      <c r="H15739" t="s">
        <v>20578</v>
      </c>
      <c r="I15739">
        <v>17839</v>
      </c>
      <c r="J15739" t="str">
        <f>VLOOKUP(E15739,DSSpieler!A:B,2,FALSE)</f>
        <v>Samri</v>
      </c>
    </row>
    <row r="15740" spans="1:10" x14ac:dyDescent="0.25">
      <c r="A15740">
        <v>17840</v>
      </c>
      <c r="B15740" t="s">
        <v>2798</v>
      </c>
      <c r="C15740">
        <v>414</v>
      </c>
      <c r="D15740">
        <v>544</v>
      </c>
      <c r="E15740">
        <v>1577046904</v>
      </c>
      <c r="F15740">
        <v>776</v>
      </c>
      <c r="G15740">
        <v>0</v>
      </c>
      <c r="H15740" t="s">
        <v>20579</v>
      </c>
      <c r="I15740">
        <v>17840</v>
      </c>
      <c r="J15740" t="str">
        <f>VLOOKUP(E15740,DSSpieler!A:B,2,FALSE)</f>
        <v>Deanguin</v>
      </c>
    </row>
    <row r="15741" spans="1:10" x14ac:dyDescent="0.25">
      <c r="A15741">
        <v>17841</v>
      </c>
      <c r="B15741" t="s">
        <v>2799</v>
      </c>
      <c r="C15741">
        <v>374</v>
      </c>
      <c r="D15741">
        <v>486</v>
      </c>
      <c r="E15741">
        <v>1577178787</v>
      </c>
      <c r="F15741">
        <v>2081</v>
      </c>
      <c r="G15741">
        <v>0</v>
      </c>
      <c r="H15741" t="s">
        <v>20580</v>
      </c>
      <c r="I15741">
        <v>17841</v>
      </c>
      <c r="J15741" t="str">
        <f>VLOOKUP(E15741,DSSpieler!A:B,2,FALSE)</f>
        <v>TheKingPhilip</v>
      </c>
    </row>
    <row r="15742" spans="1:10" x14ac:dyDescent="0.25">
      <c r="A15742">
        <v>17842</v>
      </c>
      <c r="B15742" t="s">
        <v>531</v>
      </c>
      <c r="C15742">
        <v>558</v>
      </c>
      <c r="D15742">
        <v>612</v>
      </c>
      <c r="E15742">
        <v>0</v>
      </c>
      <c r="F15742">
        <v>155</v>
      </c>
      <c r="G15742">
        <v>0</v>
      </c>
      <c r="H15742" t="s">
        <v>20581</v>
      </c>
      <c r="I15742">
        <v>17842</v>
      </c>
      <c r="J15742" t="e">
        <f>VLOOKUP(E15742,DSSpieler!A:B,2,FALSE)</f>
        <v>#N/A</v>
      </c>
    </row>
    <row r="15743" spans="1:10" x14ac:dyDescent="0.25">
      <c r="A15743">
        <v>17843</v>
      </c>
      <c r="B15743" t="s">
        <v>531</v>
      </c>
      <c r="C15743">
        <v>613</v>
      </c>
      <c r="D15743">
        <v>446</v>
      </c>
      <c r="E15743">
        <v>0</v>
      </c>
      <c r="F15743">
        <v>29</v>
      </c>
      <c r="G15743">
        <v>0</v>
      </c>
      <c r="H15743" t="s">
        <v>20582</v>
      </c>
      <c r="I15743">
        <v>17843</v>
      </c>
      <c r="J15743" t="e">
        <f>VLOOKUP(E15743,DSSpieler!A:B,2,FALSE)</f>
        <v>#N/A</v>
      </c>
    </row>
    <row r="15744" spans="1:10" x14ac:dyDescent="0.25">
      <c r="A15744">
        <v>17844</v>
      </c>
      <c r="B15744" t="s">
        <v>2800</v>
      </c>
      <c r="C15744">
        <v>596</v>
      </c>
      <c r="D15744">
        <v>421</v>
      </c>
      <c r="E15744">
        <v>1577206140</v>
      </c>
      <c r="F15744">
        <v>1444</v>
      </c>
      <c r="G15744">
        <v>0</v>
      </c>
      <c r="H15744" t="s">
        <v>20583</v>
      </c>
      <c r="I15744">
        <v>17844</v>
      </c>
      <c r="J15744" t="str">
        <f>VLOOKUP(E15744,DSSpieler!A:B,2,FALSE)</f>
        <v>FreshTube</v>
      </c>
    </row>
    <row r="15745" spans="1:10" x14ac:dyDescent="0.25">
      <c r="A15745">
        <v>17845</v>
      </c>
      <c r="B15745" t="s">
        <v>531</v>
      </c>
      <c r="C15745">
        <v>464</v>
      </c>
      <c r="D15745">
        <v>576</v>
      </c>
      <c r="E15745">
        <v>0</v>
      </c>
      <c r="F15745">
        <v>42</v>
      </c>
      <c r="G15745">
        <v>0</v>
      </c>
      <c r="H15745" t="s">
        <v>20584</v>
      </c>
      <c r="I15745">
        <v>17845</v>
      </c>
      <c r="J15745" t="e">
        <f>VLOOKUP(E15745,DSSpieler!A:B,2,FALSE)</f>
        <v>#N/A</v>
      </c>
    </row>
    <row r="15746" spans="1:10" x14ac:dyDescent="0.25">
      <c r="A15746">
        <v>17846</v>
      </c>
      <c r="B15746" t="s">
        <v>2801</v>
      </c>
      <c r="C15746">
        <v>432</v>
      </c>
      <c r="D15746">
        <v>390</v>
      </c>
      <c r="E15746">
        <v>1576615120</v>
      </c>
      <c r="F15746">
        <v>1711</v>
      </c>
      <c r="G15746">
        <v>0</v>
      </c>
      <c r="H15746" t="s">
        <v>20585</v>
      </c>
      <c r="I15746">
        <v>17846</v>
      </c>
      <c r="J15746" t="str">
        <f>VLOOKUP(E15746,DSSpieler!A:B,2,FALSE)</f>
        <v>Thor-hammer</v>
      </c>
    </row>
    <row r="15747" spans="1:10" x14ac:dyDescent="0.25">
      <c r="A15747">
        <v>17848</v>
      </c>
      <c r="B15747" t="s">
        <v>2802</v>
      </c>
      <c r="C15747">
        <v>372</v>
      </c>
      <c r="D15747">
        <v>511</v>
      </c>
      <c r="E15747">
        <v>9803065</v>
      </c>
      <c r="F15747">
        <v>76</v>
      </c>
      <c r="G15747">
        <v>0</v>
      </c>
      <c r="H15747" t="s">
        <v>20586</v>
      </c>
      <c r="I15747">
        <v>17848</v>
      </c>
      <c r="J15747" t="str">
        <f>VLOOKUP(E15747,DSSpieler!A:B,2,FALSE)</f>
        <v>Lord adospa</v>
      </c>
    </row>
    <row r="15748" spans="1:10" x14ac:dyDescent="0.25">
      <c r="A15748">
        <v>17849</v>
      </c>
      <c r="B15748" t="s">
        <v>2803</v>
      </c>
      <c r="C15748">
        <v>426</v>
      </c>
      <c r="D15748">
        <v>515</v>
      </c>
      <c r="E15748">
        <v>1577196398</v>
      </c>
      <c r="F15748">
        <v>26</v>
      </c>
      <c r="G15748">
        <v>0</v>
      </c>
      <c r="H15748" t="s">
        <v>20587</v>
      </c>
      <c r="I15748">
        <v>17849</v>
      </c>
      <c r="J15748" t="str">
        <f>VLOOKUP(E15748,DSSpieler!A:B,2,FALSE)</f>
        <v>KnackerVomAcker</v>
      </c>
    </row>
    <row r="15749" spans="1:10" x14ac:dyDescent="0.25">
      <c r="A15749">
        <v>17850</v>
      </c>
      <c r="B15749" t="s">
        <v>2804</v>
      </c>
      <c r="C15749">
        <v>631</v>
      </c>
      <c r="D15749">
        <v>504</v>
      </c>
      <c r="E15749">
        <v>1577206145</v>
      </c>
      <c r="F15749">
        <v>2581</v>
      </c>
      <c r="G15749">
        <v>0</v>
      </c>
      <c r="H15749" t="s">
        <v>20588</v>
      </c>
      <c r="I15749">
        <v>17850</v>
      </c>
      <c r="J15749" t="str">
        <f>VLOOKUP(E15749,DSSpieler!A:B,2,FALSE)</f>
        <v>Offizier1231</v>
      </c>
    </row>
    <row r="15750" spans="1:10" x14ac:dyDescent="0.25">
      <c r="A15750">
        <v>17851</v>
      </c>
      <c r="B15750" t="s">
        <v>531</v>
      </c>
      <c r="C15750">
        <v>412</v>
      </c>
      <c r="D15750">
        <v>410</v>
      </c>
      <c r="E15750">
        <v>0</v>
      </c>
      <c r="F15750">
        <v>46</v>
      </c>
      <c r="G15750">
        <v>0</v>
      </c>
      <c r="H15750" t="s">
        <v>20589</v>
      </c>
      <c r="I15750">
        <v>17851</v>
      </c>
      <c r="J15750" t="e">
        <f>VLOOKUP(E15750,DSSpieler!A:B,2,FALSE)</f>
        <v>#N/A</v>
      </c>
    </row>
    <row r="15751" spans="1:10" x14ac:dyDescent="0.25">
      <c r="A15751">
        <v>17852</v>
      </c>
      <c r="B15751" t="s">
        <v>531</v>
      </c>
      <c r="C15751">
        <v>625</v>
      </c>
      <c r="D15751">
        <v>514</v>
      </c>
      <c r="E15751">
        <v>0</v>
      </c>
      <c r="F15751">
        <v>114</v>
      </c>
      <c r="G15751">
        <v>0</v>
      </c>
      <c r="H15751" t="s">
        <v>20590</v>
      </c>
      <c r="I15751">
        <v>17852</v>
      </c>
      <c r="J15751" t="e">
        <f>VLOOKUP(E15751,DSSpieler!A:B,2,FALSE)</f>
        <v>#N/A</v>
      </c>
    </row>
    <row r="15752" spans="1:10" x14ac:dyDescent="0.25">
      <c r="A15752">
        <v>17853</v>
      </c>
      <c r="B15752" t="s">
        <v>531</v>
      </c>
      <c r="C15752">
        <v>404</v>
      </c>
      <c r="D15752">
        <v>417</v>
      </c>
      <c r="E15752">
        <v>0</v>
      </c>
      <c r="F15752">
        <v>54</v>
      </c>
      <c r="G15752">
        <v>0</v>
      </c>
      <c r="H15752" t="s">
        <v>20591</v>
      </c>
      <c r="I15752">
        <v>17853</v>
      </c>
      <c r="J15752" t="e">
        <f>VLOOKUP(E15752,DSSpieler!A:B,2,FALSE)</f>
        <v>#N/A</v>
      </c>
    </row>
    <row r="15753" spans="1:10" x14ac:dyDescent="0.25">
      <c r="A15753">
        <v>17854</v>
      </c>
      <c r="B15753" t="s">
        <v>2805</v>
      </c>
      <c r="C15753">
        <v>584</v>
      </c>
      <c r="D15753">
        <v>446</v>
      </c>
      <c r="E15753">
        <v>9690746</v>
      </c>
      <c r="F15753">
        <v>26</v>
      </c>
      <c r="G15753">
        <v>0</v>
      </c>
      <c r="H15753" t="s">
        <v>20592</v>
      </c>
      <c r="I15753">
        <v>17854</v>
      </c>
      <c r="J15753" t="str">
        <f>VLOOKUP(E15753,DSSpieler!A:B,2,FALSE)</f>
        <v>superstar12</v>
      </c>
    </row>
    <row r="15754" spans="1:10" x14ac:dyDescent="0.25">
      <c r="A15754">
        <v>17855</v>
      </c>
      <c r="B15754" t="s">
        <v>531</v>
      </c>
      <c r="C15754">
        <v>535</v>
      </c>
      <c r="D15754">
        <v>381</v>
      </c>
      <c r="E15754">
        <v>0</v>
      </c>
      <c r="F15754">
        <v>115</v>
      </c>
      <c r="G15754">
        <v>0</v>
      </c>
      <c r="H15754" t="s">
        <v>20593</v>
      </c>
      <c r="I15754">
        <v>17855</v>
      </c>
      <c r="J15754" t="e">
        <f>VLOOKUP(E15754,DSSpieler!A:B,2,FALSE)</f>
        <v>#N/A</v>
      </c>
    </row>
    <row r="15755" spans="1:10" x14ac:dyDescent="0.25">
      <c r="A15755">
        <v>17856</v>
      </c>
      <c r="B15755" t="s">
        <v>35611</v>
      </c>
      <c r="C15755">
        <v>444</v>
      </c>
      <c r="D15755">
        <v>613</v>
      </c>
      <c r="E15755">
        <v>1577024258</v>
      </c>
      <c r="F15755">
        <v>252</v>
      </c>
      <c r="G15755">
        <v>0</v>
      </c>
      <c r="H15755" t="s">
        <v>20594</v>
      </c>
      <c r="I15755">
        <v>17856</v>
      </c>
      <c r="J15755" t="str">
        <f>VLOOKUP(E15755,DSSpieler!A:B,2,FALSE)</f>
        <v>i-CrooniX</v>
      </c>
    </row>
    <row r="15756" spans="1:10" x14ac:dyDescent="0.25">
      <c r="A15756">
        <v>17857</v>
      </c>
      <c r="B15756" t="s">
        <v>2806</v>
      </c>
      <c r="C15756">
        <v>478</v>
      </c>
      <c r="D15756">
        <v>541</v>
      </c>
      <c r="E15756">
        <v>1577206148</v>
      </c>
      <c r="F15756">
        <v>540</v>
      </c>
      <c r="G15756">
        <v>0</v>
      </c>
      <c r="H15756" t="s">
        <v>20595</v>
      </c>
      <c r="I15756">
        <v>17857</v>
      </c>
      <c r="J15756" t="str">
        <f>VLOOKUP(E15756,DSSpieler!A:B,2,FALSE)</f>
        <v>ainsleyH</v>
      </c>
    </row>
    <row r="15757" spans="1:10" x14ac:dyDescent="0.25">
      <c r="A15757">
        <v>17858</v>
      </c>
      <c r="B15757" t="s">
        <v>2807</v>
      </c>
      <c r="C15757">
        <v>517</v>
      </c>
      <c r="D15757">
        <v>376</v>
      </c>
      <c r="E15757">
        <v>9867460</v>
      </c>
      <c r="F15757">
        <v>2303</v>
      </c>
      <c r="G15757">
        <v>0</v>
      </c>
      <c r="H15757" t="s">
        <v>20596</v>
      </c>
      <c r="I15757">
        <v>17858</v>
      </c>
      <c r="J15757" t="str">
        <f>VLOOKUP(E15757,DSSpieler!A:B,2,FALSE)</f>
        <v>Holid4y H**</v>
      </c>
    </row>
    <row r="15758" spans="1:10" x14ac:dyDescent="0.25">
      <c r="A15758">
        <v>17859</v>
      </c>
      <c r="B15758" t="s">
        <v>897</v>
      </c>
      <c r="C15758">
        <v>519</v>
      </c>
      <c r="D15758">
        <v>387</v>
      </c>
      <c r="E15758">
        <v>1577167211</v>
      </c>
      <c r="F15758">
        <v>2442</v>
      </c>
      <c r="G15758">
        <v>0</v>
      </c>
      <c r="H15758" t="s">
        <v>20597</v>
      </c>
      <c r="I15758">
        <v>17859</v>
      </c>
      <c r="J15758" t="str">
        <f>VLOOKUP(E15758,DSSpieler!A:B,2,FALSE)</f>
        <v>Litke der große</v>
      </c>
    </row>
    <row r="15759" spans="1:10" x14ac:dyDescent="0.25">
      <c r="A15759">
        <v>17860</v>
      </c>
      <c r="B15759" t="s">
        <v>531</v>
      </c>
      <c r="C15759">
        <v>525</v>
      </c>
      <c r="D15759">
        <v>625</v>
      </c>
      <c r="E15759">
        <v>0</v>
      </c>
      <c r="F15759">
        <v>174</v>
      </c>
      <c r="G15759">
        <v>0</v>
      </c>
      <c r="H15759" t="s">
        <v>20598</v>
      </c>
      <c r="I15759">
        <v>17860</v>
      </c>
      <c r="J15759" t="e">
        <f>VLOOKUP(E15759,DSSpieler!A:B,2,FALSE)</f>
        <v>#N/A</v>
      </c>
    </row>
    <row r="15760" spans="1:10" x14ac:dyDescent="0.25">
      <c r="A15760">
        <v>17861</v>
      </c>
      <c r="B15760" t="s">
        <v>531</v>
      </c>
      <c r="C15760">
        <v>372</v>
      </c>
      <c r="D15760">
        <v>510</v>
      </c>
      <c r="E15760">
        <v>0</v>
      </c>
      <c r="F15760">
        <v>94</v>
      </c>
      <c r="G15760">
        <v>0</v>
      </c>
      <c r="H15760" t="s">
        <v>20599</v>
      </c>
      <c r="I15760">
        <v>17861</v>
      </c>
      <c r="J15760" t="e">
        <f>VLOOKUP(E15760,DSSpieler!A:B,2,FALSE)</f>
        <v>#N/A</v>
      </c>
    </row>
    <row r="15761" spans="1:10" x14ac:dyDescent="0.25">
      <c r="A15761">
        <v>17862</v>
      </c>
      <c r="B15761" t="s">
        <v>2808</v>
      </c>
      <c r="C15761">
        <v>453</v>
      </c>
      <c r="D15761">
        <v>519</v>
      </c>
      <c r="E15761">
        <v>1577198799</v>
      </c>
      <c r="F15761">
        <v>257</v>
      </c>
      <c r="G15761">
        <v>0</v>
      </c>
      <c r="H15761" t="s">
        <v>20600</v>
      </c>
      <c r="I15761">
        <v>17862</v>
      </c>
      <c r="J15761" t="str">
        <f>VLOOKUP(E15761,DSSpieler!A:B,2,FALSE)</f>
        <v>Vilsa</v>
      </c>
    </row>
    <row r="15762" spans="1:10" x14ac:dyDescent="0.25">
      <c r="A15762">
        <v>17863</v>
      </c>
      <c r="B15762" t="s">
        <v>1842</v>
      </c>
      <c r="C15762">
        <v>391</v>
      </c>
      <c r="D15762">
        <v>436</v>
      </c>
      <c r="E15762">
        <v>2798016</v>
      </c>
      <c r="F15762">
        <v>1467</v>
      </c>
      <c r="G15762">
        <v>0</v>
      </c>
      <c r="H15762" t="s">
        <v>20601</v>
      </c>
      <c r="I15762">
        <v>17863</v>
      </c>
      <c r="J15762" t="str">
        <f>VLOOKUP(E15762,DSSpieler!A:B,2,FALSE)</f>
        <v>Linkon</v>
      </c>
    </row>
    <row r="15763" spans="1:10" x14ac:dyDescent="0.25">
      <c r="A15763">
        <v>17864</v>
      </c>
      <c r="B15763" t="s">
        <v>2809</v>
      </c>
      <c r="C15763">
        <v>402</v>
      </c>
      <c r="D15763">
        <v>418</v>
      </c>
      <c r="E15763">
        <v>9112034</v>
      </c>
      <c r="F15763">
        <v>51</v>
      </c>
      <c r="G15763">
        <v>0</v>
      </c>
      <c r="H15763" t="s">
        <v>20602</v>
      </c>
      <c r="I15763">
        <v>17864</v>
      </c>
      <c r="J15763" t="str">
        <f>VLOOKUP(E15763,DSSpieler!A:B,2,FALSE)</f>
        <v>xYomox</v>
      </c>
    </row>
    <row r="15764" spans="1:10" x14ac:dyDescent="0.25">
      <c r="A15764">
        <v>17865</v>
      </c>
      <c r="B15764" t="s">
        <v>531</v>
      </c>
      <c r="C15764">
        <v>436</v>
      </c>
      <c r="D15764">
        <v>610</v>
      </c>
      <c r="E15764">
        <v>0</v>
      </c>
      <c r="F15764">
        <v>34</v>
      </c>
      <c r="G15764">
        <v>0</v>
      </c>
      <c r="H15764" t="s">
        <v>20603</v>
      </c>
      <c r="I15764">
        <v>17865</v>
      </c>
      <c r="J15764" t="e">
        <f>VLOOKUP(E15764,DSSpieler!A:B,2,FALSE)</f>
        <v>#N/A</v>
      </c>
    </row>
    <row r="15765" spans="1:10" x14ac:dyDescent="0.25">
      <c r="A15765">
        <v>17866</v>
      </c>
      <c r="B15765" t="s">
        <v>2027</v>
      </c>
      <c r="C15765">
        <v>625</v>
      </c>
      <c r="D15765">
        <v>531</v>
      </c>
      <c r="E15765">
        <v>1577065299</v>
      </c>
      <c r="F15765">
        <v>1284</v>
      </c>
      <c r="G15765">
        <v>0</v>
      </c>
      <c r="H15765" t="s">
        <v>20604</v>
      </c>
      <c r="I15765">
        <v>17866</v>
      </c>
      <c r="J15765" t="str">
        <f>VLOOKUP(E15765,DSSpieler!A:B,2,FALSE)</f>
        <v>Kruger</v>
      </c>
    </row>
    <row r="15766" spans="1:10" x14ac:dyDescent="0.25">
      <c r="A15766">
        <v>17867</v>
      </c>
      <c r="B15766" t="s">
        <v>531</v>
      </c>
      <c r="C15766">
        <v>477</v>
      </c>
      <c r="D15766">
        <v>377</v>
      </c>
      <c r="E15766">
        <v>0</v>
      </c>
      <c r="F15766">
        <v>116</v>
      </c>
      <c r="G15766">
        <v>0</v>
      </c>
      <c r="H15766" t="s">
        <v>20605</v>
      </c>
      <c r="I15766">
        <v>17867</v>
      </c>
      <c r="J15766" t="e">
        <f>VLOOKUP(E15766,DSSpieler!A:B,2,FALSE)</f>
        <v>#N/A</v>
      </c>
    </row>
    <row r="15767" spans="1:10" x14ac:dyDescent="0.25">
      <c r="A15767">
        <v>17868</v>
      </c>
      <c r="B15767" t="s">
        <v>531</v>
      </c>
      <c r="C15767">
        <v>627</v>
      </c>
      <c r="D15767">
        <v>499</v>
      </c>
      <c r="E15767">
        <v>0</v>
      </c>
      <c r="F15767">
        <v>101</v>
      </c>
      <c r="G15767">
        <v>0</v>
      </c>
      <c r="H15767" t="s">
        <v>20606</v>
      </c>
      <c r="I15767">
        <v>17868</v>
      </c>
      <c r="J15767" t="e">
        <f>VLOOKUP(E15767,DSSpieler!A:B,2,FALSE)</f>
        <v>#N/A</v>
      </c>
    </row>
    <row r="15768" spans="1:10" x14ac:dyDescent="0.25">
      <c r="A15768">
        <v>17869</v>
      </c>
      <c r="B15768" t="s">
        <v>2810</v>
      </c>
      <c r="C15768">
        <v>617</v>
      </c>
      <c r="D15768">
        <v>533</v>
      </c>
      <c r="E15768">
        <v>10067787</v>
      </c>
      <c r="F15768">
        <v>98</v>
      </c>
      <c r="G15768">
        <v>0</v>
      </c>
      <c r="H15768" t="s">
        <v>20607</v>
      </c>
      <c r="I15768">
        <v>17869</v>
      </c>
      <c r="J15768" t="str">
        <f>VLOOKUP(E15768,DSSpieler!A:B,2,FALSE)</f>
        <v>swagger107</v>
      </c>
    </row>
    <row r="15769" spans="1:10" x14ac:dyDescent="0.25">
      <c r="A15769">
        <v>17870</v>
      </c>
      <c r="B15769" t="s">
        <v>2811</v>
      </c>
      <c r="C15769">
        <v>586</v>
      </c>
      <c r="D15769">
        <v>411</v>
      </c>
      <c r="E15769">
        <v>1577205804</v>
      </c>
      <c r="F15769">
        <v>271</v>
      </c>
      <c r="G15769">
        <v>0</v>
      </c>
      <c r="H15769" t="s">
        <v>20608</v>
      </c>
      <c r="I15769">
        <v>17870</v>
      </c>
      <c r="J15769" t="str">
        <f>VLOOKUP(E15769,DSSpieler!A:B,2,FALSE)</f>
        <v>xl-TheLeGenDe-lx</v>
      </c>
    </row>
    <row r="15770" spans="1:10" x14ac:dyDescent="0.25">
      <c r="A15770">
        <v>17872</v>
      </c>
      <c r="B15770" t="s">
        <v>531</v>
      </c>
      <c r="C15770">
        <v>612</v>
      </c>
      <c r="D15770">
        <v>563</v>
      </c>
      <c r="E15770">
        <v>0</v>
      </c>
      <c r="F15770">
        <v>94</v>
      </c>
      <c r="G15770">
        <v>0</v>
      </c>
      <c r="H15770" t="s">
        <v>20609</v>
      </c>
      <c r="I15770">
        <v>17872</v>
      </c>
      <c r="J15770" t="e">
        <f>VLOOKUP(E15770,DSSpieler!A:B,2,FALSE)</f>
        <v>#N/A</v>
      </c>
    </row>
    <row r="15771" spans="1:10" x14ac:dyDescent="0.25">
      <c r="A15771">
        <v>17873</v>
      </c>
      <c r="B15771" t="s">
        <v>2020</v>
      </c>
      <c r="C15771">
        <v>628</v>
      </c>
      <c r="D15771">
        <v>494</v>
      </c>
      <c r="E15771">
        <v>1577206159</v>
      </c>
      <c r="F15771">
        <v>878</v>
      </c>
      <c r="G15771">
        <v>0</v>
      </c>
      <c r="H15771" t="s">
        <v>20610</v>
      </c>
      <c r="I15771">
        <v>17873</v>
      </c>
      <c r="J15771" t="str">
        <f>VLOOKUP(E15771,DSSpieler!A:B,2,FALSE)</f>
        <v>Carls Berg</v>
      </c>
    </row>
    <row r="15772" spans="1:10" x14ac:dyDescent="0.25">
      <c r="A15772">
        <v>17875</v>
      </c>
      <c r="B15772" t="s">
        <v>2812</v>
      </c>
      <c r="C15772">
        <v>452</v>
      </c>
      <c r="D15772">
        <v>383</v>
      </c>
      <c r="E15772">
        <v>1575917538</v>
      </c>
      <c r="F15772">
        <v>171</v>
      </c>
      <c r="G15772">
        <v>0</v>
      </c>
      <c r="H15772" t="s">
        <v>20611</v>
      </c>
      <c r="I15772">
        <v>17875</v>
      </c>
      <c r="J15772" t="str">
        <f>VLOOKUP(E15772,DSSpieler!A:B,2,FALSE)</f>
        <v>zezzaN</v>
      </c>
    </row>
    <row r="15773" spans="1:10" x14ac:dyDescent="0.25">
      <c r="A15773">
        <v>17876</v>
      </c>
      <c r="B15773" t="s">
        <v>531</v>
      </c>
      <c r="C15773">
        <v>394</v>
      </c>
      <c r="D15773">
        <v>567</v>
      </c>
      <c r="E15773">
        <v>0</v>
      </c>
      <c r="F15773">
        <v>150</v>
      </c>
      <c r="G15773">
        <v>0</v>
      </c>
      <c r="H15773" t="s">
        <v>20612</v>
      </c>
      <c r="I15773">
        <v>17876</v>
      </c>
      <c r="J15773" t="e">
        <f>VLOOKUP(E15773,DSSpieler!A:B,2,FALSE)</f>
        <v>#N/A</v>
      </c>
    </row>
    <row r="15774" spans="1:10" x14ac:dyDescent="0.25">
      <c r="A15774">
        <v>17877</v>
      </c>
      <c r="B15774" t="s">
        <v>531</v>
      </c>
      <c r="C15774">
        <v>611</v>
      </c>
      <c r="D15774">
        <v>559</v>
      </c>
      <c r="E15774">
        <v>0</v>
      </c>
      <c r="F15774">
        <v>828</v>
      </c>
      <c r="G15774">
        <v>0</v>
      </c>
      <c r="H15774" t="s">
        <v>20613</v>
      </c>
      <c r="I15774">
        <v>17877</v>
      </c>
      <c r="J15774" t="e">
        <f>VLOOKUP(E15774,DSSpieler!A:B,2,FALSE)</f>
        <v>#N/A</v>
      </c>
    </row>
    <row r="15775" spans="1:10" x14ac:dyDescent="0.25">
      <c r="A15775">
        <v>17879</v>
      </c>
      <c r="B15775" t="s">
        <v>531</v>
      </c>
      <c r="C15775">
        <v>377</v>
      </c>
      <c r="D15775">
        <v>533</v>
      </c>
      <c r="E15775">
        <v>0</v>
      </c>
      <c r="F15775">
        <v>174</v>
      </c>
      <c r="G15775">
        <v>0</v>
      </c>
      <c r="H15775" t="s">
        <v>20614</v>
      </c>
      <c r="I15775">
        <v>17879</v>
      </c>
      <c r="J15775" t="e">
        <f>VLOOKUP(E15775,DSSpieler!A:B,2,FALSE)</f>
        <v>#N/A</v>
      </c>
    </row>
    <row r="15776" spans="1:10" x14ac:dyDescent="0.25">
      <c r="A15776">
        <v>17880</v>
      </c>
      <c r="B15776" t="s">
        <v>531</v>
      </c>
      <c r="C15776">
        <v>575</v>
      </c>
      <c r="D15776">
        <v>600</v>
      </c>
      <c r="E15776">
        <v>0</v>
      </c>
      <c r="F15776">
        <v>70</v>
      </c>
      <c r="G15776">
        <v>0</v>
      </c>
      <c r="H15776" t="s">
        <v>20615</v>
      </c>
      <c r="I15776">
        <v>17880</v>
      </c>
      <c r="J15776" t="e">
        <f>VLOOKUP(E15776,DSSpieler!A:B,2,FALSE)</f>
        <v>#N/A</v>
      </c>
    </row>
    <row r="15777" spans="1:10" x14ac:dyDescent="0.25">
      <c r="A15777">
        <v>17881</v>
      </c>
      <c r="B15777" t="s">
        <v>2813</v>
      </c>
      <c r="C15777">
        <v>604</v>
      </c>
      <c r="D15777">
        <v>424</v>
      </c>
      <c r="E15777">
        <v>1577206161</v>
      </c>
      <c r="F15777">
        <v>1915</v>
      </c>
      <c r="G15777">
        <v>0</v>
      </c>
      <c r="H15777" t="s">
        <v>20616</v>
      </c>
      <c r="I15777">
        <v>17881</v>
      </c>
      <c r="J15777" t="str">
        <f>VLOOKUP(E15777,DSSpieler!A:B,2,FALSE)</f>
        <v>Majestix88</v>
      </c>
    </row>
    <row r="15778" spans="1:10" x14ac:dyDescent="0.25">
      <c r="A15778">
        <v>17882</v>
      </c>
      <c r="B15778" t="s">
        <v>2814</v>
      </c>
      <c r="C15778">
        <v>457</v>
      </c>
      <c r="D15778">
        <v>380</v>
      </c>
      <c r="E15778">
        <v>1576078365</v>
      </c>
      <c r="F15778">
        <v>1647</v>
      </c>
      <c r="G15778">
        <v>0</v>
      </c>
      <c r="H15778" t="s">
        <v>20617</v>
      </c>
      <c r="I15778">
        <v>17882</v>
      </c>
      <c r="J15778" t="str">
        <f>VLOOKUP(E15778,DSSpieler!A:B,2,FALSE)</f>
        <v>Asap-mob</v>
      </c>
    </row>
    <row r="15779" spans="1:10" x14ac:dyDescent="0.25">
      <c r="A15779">
        <v>17883</v>
      </c>
      <c r="B15779" t="s">
        <v>531</v>
      </c>
      <c r="C15779">
        <v>437</v>
      </c>
      <c r="D15779">
        <v>606</v>
      </c>
      <c r="E15779">
        <v>0</v>
      </c>
      <c r="F15779">
        <v>135</v>
      </c>
      <c r="G15779">
        <v>0</v>
      </c>
      <c r="H15779" t="s">
        <v>20618</v>
      </c>
      <c r="I15779">
        <v>17883</v>
      </c>
      <c r="J15779" t="e">
        <f>VLOOKUP(E15779,DSSpieler!A:B,2,FALSE)</f>
        <v>#N/A</v>
      </c>
    </row>
    <row r="15780" spans="1:10" x14ac:dyDescent="0.25">
      <c r="A15780">
        <v>17884</v>
      </c>
      <c r="B15780" t="s">
        <v>531</v>
      </c>
      <c r="C15780">
        <v>618</v>
      </c>
      <c r="D15780">
        <v>465</v>
      </c>
      <c r="E15780">
        <v>0</v>
      </c>
      <c r="F15780">
        <v>35</v>
      </c>
      <c r="G15780">
        <v>0</v>
      </c>
      <c r="H15780" t="s">
        <v>20619</v>
      </c>
      <c r="I15780">
        <v>17884</v>
      </c>
      <c r="J15780" t="e">
        <f>VLOOKUP(E15780,DSSpieler!A:B,2,FALSE)</f>
        <v>#N/A</v>
      </c>
    </row>
    <row r="15781" spans="1:10" x14ac:dyDescent="0.25">
      <c r="A15781">
        <v>17889</v>
      </c>
      <c r="B15781" t="s">
        <v>2815</v>
      </c>
      <c r="C15781">
        <v>384</v>
      </c>
      <c r="D15781">
        <v>446</v>
      </c>
      <c r="E15781">
        <v>1576479228</v>
      </c>
      <c r="F15781">
        <v>3103</v>
      </c>
      <c r="G15781">
        <v>0</v>
      </c>
      <c r="H15781" t="s">
        <v>454</v>
      </c>
      <c r="I15781">
        <v>17889</v>
      </c>
      <c r="J15781" t="str">
        <f>VLOOKUP(E15781,DSSpieler!A:B,2,FALSE)</f>
        <v>Mr. Bonuspunkt</v>
      </c>
    </row>
    <row r="15782" spans="1:10" x14ac:dyDescent="0.25">
      <c r="A15782">
        <v>17890</v>
      </c>
      <c r="B15782" t="s">
        <v>2816</v>
      </c>
      <c r="C15782">
        <v>501</v>
      </c>
      <c r="D15782">
        <v>485</v>
      </c>
      <c r="E15782">
        <v>1577195734</v>
      </c>
      <c r="F15782">
        <v>247</v>
      </c>
      <c r="G15782">
        <v>0</v>
      </c>
      <c r="H15782" t="s">
        <v>20620</v>
      </c>
      <c r="I15782">
        <v>17890</v>
      </c>
      <c r="J15782" t="str">
        <f>VLOOKUP(E15782,DSSpieler!A:B,2,FALSE)</f>
        <v>Kernei</v>
      </c>
    </row>
    <row r="15783" spans="1:10" x14ac:dyDescent="0.25">
      <c r="A15783">
        <v>17891</v>
      </c>
      <c r="B15783" t="s">
        <v>531</v>
      </c>
      <c r="C15783">
        <v>449</v>
      </c>
      <c r="D15783">
        <v>618</v>
      </c>
      <c r="E15783">
        <v>0</v>
      </c>
      <c r="F15783">
        <v>179</v>
      </c>
      <c r="G15783">
        <v>0</v>
      </c>
      <c r="H15783" t="s">
        <v>20621</v>
      </c>
      <c r="I15783">
        <v>17891</v>
      </c>
      <c r="J15783" t="e">
        <f>VLOOKUP(E15783,DSSpieler!A:B,2,FALSE)</f>
        <v>#N/A</v>
      </c>
    </row>
    <row r="15784" spans="1:10" x14ac:dyDescent="0.25">
      <c r="A15784">
        <v>17892</v>
      </c>
      <c r="B15784" t="s">
        <v>2817</v>
      </c>
      <c r="C15784">
        <v>456</v>
      </c>
      <c r="D15784">
        <v>484</v>
      </c>
      <c r="E15784">
        <v>1577179903</v>
      </c>
      <c r="F15784">
        <v>1723</v>
      </c>
      <c r="G15784">
        <v>0</v>
      </c>
      <c r="H15784" t="s">
        <v>20622</v>
      </c>
      <c r="I15784">
        <v>17892</v>
      </c>
      <c r="J15784" t="str">
        <f>VLOOKUP(E15784,DSSpieler!A:B,2,FALSE)</f>
        <v>Adriolf</v>
      </c>
    </row>
    <row r="15785" spans="1:10" x14ac:dyDescent="0.25">
      <c r="A15785">
        <v>17893</v>
      </c>
      <c r="B15785" t="s">
        <v>2818</v>
      </c>
      <c r="C15785">
        <v>506</v>
      </c>
      <c r="D15785">
        <v>505</v>
      </c>
      <c r="E15785">
        <v>1577197551</v>
      </c>
      <c r="F15785">
        <v>1890</v>
      </c>
      <c r="G15785">
        <v>0</v>
      </c>
      <c r="H15785" t="s">
        <v>20623</v>
      </c>
      <c r="I15785">
        <v>17893</v>
      </c>
      <c r="J15785" t="str">
        <f>VLOOKUP(E15785,DSSpieler!A:B,2,FALSE)</f>
        <v>Hexal</v>
      </c>
    </row>
    <row r="15786" spans="1:10" x14ac:dyDescent="0.25">
      <c r="A15786">
        <v>17894</v>
      </c>
      <c r="B15786">
        <v>1</v>
      </c>
      <c r="C15786">
        <v>453</v>
      </c>
      <c r="D15786">
        <v>616</v>
      </c>
      <c r="E15786">
        <v>418450</v>
      </c>
      <c r="F15786">
        <v>1706</v>
      </c>
      <c r="G15786">
        <v>0</v>
      </c>
      <c r="H15786" t="s">
        <v>20624</v>
      </c>
      <c r="I15786">
        <v>17894</v>
      </c>
      <c r="J15786" t="str">
        <f>VLOOKUP(E15786,DSSpieler!A:B,2,FALSE)</f>
        <v>amselnestererrt</v>
      </c>
    </row>
    <row r="15787" spans="1:10" x14ac:dyDescent="0.25">
      <c r="A15787">
        <v>17895</v>
      </c>
      <c r="B15787" t="s">
        <v>35612</v>
      </c>
      <c r="C15787">
        <v>515</v>
      </c>
      <c r="D15787">
        <v>406</v>
      </c>
      <c r="E15787">
        <v>675732</v>
      </c>
      <c r="F15787">
        <v>3019</v>
      </c>
      <c r="G15787">
        <v>0</v>
      </c>
      <c r="H15787" t="s">
        <v>20625</v>
      </c>
      <c r="I15787">
        <v>17895</v>
      </c>
      <c r="J15787" t="str">
        <f>VLOOKUP(E15787,DSSpieler!A:B,2,FALSE)</f>
        <v>Kamiya</v>
      </c>
    </row>
    <row r="15788" spans="1:10" x14ac:dyDescent="0.25">
      <c r="A15788">
        <v>17896</v>
      </c>
      <c r="B15788" t="s">
        <v>2819</v>
      </c>
      <c r="C15788">
        <v>490</v>
      </c>
      <c r="D15788">
        <v>374</v>
      </c>
      <c r="E15788">
        <v>1577121157</v>
      </c>
      <c r="F15788">
        <v>938</v>
      </c>
      <c r="G15788">
        <v>0</v>
      </c>
      <c r="H15788" t="s">
        <v>20626</v>
      </c>
      <c r="I15788">
        <v>17896</v>
      </c>
      <c r="J15788" t="str">
        <f>VLOOKUP(E15788,DSSpieler!A:B,2,FALSE)</f>
        <v>Exito</v>
      </c>
    </row>
    <row r="15789" spans="1:10" x14ac:dyDescent="0.25">
      <c r="A15789">
        <v>17898</v>
      </c>
      <c r="B15789" t="s">
        <v>2820</v>
      </c>
      <c r="C15789">
        <v>480</v>
      </c>
      <c r="D15789">
        <v>378</v>
      </c>
      <c r="E15789">
        <v>1577121162</v>
      </c>
      <c r="F15789">
        <v>469</v>
      </c>
      <c r="G15789">
        <v>0</v>
      </c>
      <c r="H15789" t="s">
        <v>20627</v>
      </c>
      <c r="I15789">
        <v>17898</v>
      </c>
      <c r="J15789" t="str">
        <f>VLOOKUP(E15789,DSSpieler!A:B,2,FALSE)</f>
        <v>Kitz</v>
      </c>
    </row>
    <row r="15790" spans="1:10" x14ac:dyDescent="0.25">
      <c r="A15790">
        <v>17899</v>
      </c>
      <c r="B15790" t="s">
        <v>2821</v>
      </c>
      <c r="C15790">
        <v>611</v>
      </c>
      <c r="D15790">
        <v>450</v>
      </c>
      <c r="E15790">
        <v>1577196164</v>
      </c>
      <c r="F15790">
        <v>849</v>
      </c>
      <c r="G15790">
        <v>0</v>
      </c>
      <c r="H15790" t="s">
        <v>20628</v>
      </c>
      <c r="I15790">
        <v>17899</v>
      </c>
      <c r="J15790" t="str">
        <f>VLOOKUP(E15790,DSSpieler!A:B,2,FALSE)</f>
        <v>cola231</v>
      </c>
    </row>
    <row r="15791" spans="1:10" x14ac:dyDescent="0.25">
      <c r="A15791">
        <v>17900</v>
      </c>
      <c r="B15791" t="s">
        <v>531</v>
      </c>
      <c r="C15791">
        <v>456</v>
      </c>
      <c r="D15791">
        <v>381</v>
      </c>
      <c r="E15791">
        <v>0</v>
      </c>
      <c r="F15791">
        <v>45</v>
      </c>
      <c r="G15791">
        <v>0</v>
      </c>
      <c r="H15791" t="s">
        <v>20629</v>
      </c>
      <c r="I15791">
        <v>17900</v>
      </c>
      <c r="J15791" t="e">
        <f>VLOOKUP(E15791,DSSpieler!A:B,2,FALSE)</f>
        <v>#N/A</v>
      </c>
    </row>
    <row r="15792" spans="1:10" x14ac:dyDescent="0.25">
      <c r="A15792">
        <v>17901</v>
      </c>
      <c r="B15792" t="s">
        <v>2822</v>
      </c>
      <c r="C15792">
        <v>488</v>
      </c>
      <c r="D15792">
        <v>375</v>
      </c>
      <c r="E15792">
        <v>1577096372</v>
      </c>
      <c r="F15792">
        <v>1969</v>
      </c>
      <c r="G15792">
        <v>0</v>
      </c>
      <c r="H15792" t="s">
        <v>20630</v>
      </c>
      <c r="I15792">
        <v>17901</v>
      </c>
      <c r="J15792" t="str">
        <f>VLOOKUP(E15792,DSSpieler!A:B,2,FALSE)</f>
        <v>Irukandji</v>
      </c>
    </row>
    <row r="15793" spans="1:10" x14ac:dyDescent="0.25">
      <c r="A15793">
        <v>17903</v>
      </c>
      <c r="B15793" t="s">
        <v>2823</v>
      </c>
      <c r="C15793">
        <v>479</v>
      </c>
      <c r="D15793">
        <v>375</v>
      </c>
      <c r="E15793">
        <v>1577121163</v>
      </c>
      <c r="F15793">
        <v>497</v>
      </c>
      <c r="G15793">
        <v>0</v>
      </c>
      <c r="H15793" t="s">
        <v>20631</v>
      </c>
      <c r="I15793">
        <v>17903</v>
      </c>
      <c r="J15793" t="str">
        <f>VLOOKUP(E15793,DSSpieler!A:B,2,FALSE)</f>
        <v>PaulH</v>
      </c>
    </row>
    <row r="15794" spans="1:10" x14ac:dyDescent="0.25">
      <c r="A15794">
        <v>17904</v>
      </c>
      <c r="B15794" t="s">
        <v>1461</v>
      </c>
      <c r="C15794">
        <v>464</v>
      </c>
      <c r="D15794">
        <v>620</v>
      </c>
      <c r="E15794">
        <v>3008867</v>
      </c>
      <c r="F15794">
        <v>790</v>
      </c>
      <c r="G15794">
        <v>0</v>
      </c>
      <c r="H15794" t="s">
        <v>20632</v>
      </c>
      <c r="I15794">
        <v>17904</v>
      </c>
      <c r="J15794" t="str">
        <f>VLOOKUP(E15794,DSSpieler!A:B,2,FALSE)</f>
        <v>Lord Calibra</v>
      </c>
    </row>
    <row r="15795" spans="1:10" x14ac:dyDescent="0.25">
      <c r="A15795">
        <v>17905</v>
      </c>
      <c r="B15795" t="s">
        <v>2824</v>
      </c>
      <c r="C15795">
        <v>482</v>
      </c>
      <c r="D15795">
        <v>372</v>
      </c>
      <c r="E15795">
        <v>1577179466</v>
      </c>
      <c r="F15795">
        <v>637</v>
      </c>
      <c r="G15795">
        <v>0</v>
      </c>
      <c r="H15795" t="s">
        <v>20633</v>
      </c>
      <c r="I15795">
        <v>17905</v>
      </c>
      <c r="J15795" t="str">
        <f>VLOOKUP(E15795,DSSpieler!A:B,2,FALSE)</f>
        <v>Z-Cash</v>
      </c>
    </row>
    <row r="15796" spans="1:10" x14ac:dyDescent="0.25">
      <c r="A15796">
        <v>17906</v>
      </c>
      <c r="B15796" t="s">
        <v>2825</v>
      </c>
      <c r="C15796">
        <v>608</v>
      </c>
      <c r="D15796">
        <v>566</v>
      </c>
      <c r="E15796">
        <v>1576980105</v>
      </c>
      <c r="F15796">
        <v>119</v>
      </c>
      <c r="G15796">
        <v>0</v>
      </c>
      <c r="H15796" t="s">
        <v>20634</v>
      </c>
      <c r="I15796">
        <v>17906</v>
      </c>
      <c r="J15796" t="str">
        <f>VLOOKUP(E15796,DSSpieler!A:B,2,FALSE)</f>
        <v>crowdene</v>
      </c>
    </row>
    <row r="15797" spans="1:10" x14ac:dyDescent="0.25">
      <c r="A15797">
        <v>17907</v>
      </c>
      <c r="B15797" t="s">
        <v>2826</v>
      </c>
      <c r="C15797">
        <v>491</v>
      </c>
      <c r="D15797">
        <v>374</v>
      </c>
      <c r="E15797">
        <v>1577096372</v>
      </c>
      <c r="F15797">
        <v>3214</v>
      </c>
      <c r="G15797">
        <v>0</v>
      </c>
      <c r="H15797" t="s">
        <v>20635</v>
      </c>
      <c r="I15797">
        <v>17907</v>
      </c>
      <c r="J15797" t="str">
        <f>VLOOKUP(E15797,DSSpieler!A:B,2,FALSE)</f>
        <v>Irukandji</v>
      </c>
    </row>
    <row r="15798" spans="1:10" x14ac:dyDescent="0.25">
      <c r="A15798">
        <v>17908</v>
      </c>
      <c r="B15798" t="s">
        <v>2827</v>
      </c>
      <c r="C15798">
        <v>444</v>
      </c>
      <c r="D15798">
        <v>583</v>
      </c>
      <c r="E15798">
        <v>1575926239</v>
      </c>
      <c r="F15798">
        <v>179</v>
      </c>
      <c r="G15798">
        <v>0</v>
      </c>
      <c r="H15798" t="s">
        <v>20636</v>
      </c>
      <c r="I15798">
        <v>17908</v>
      </c>
      <c r="J15798" t="str">
        <f>VLOOKUP(E15798,DSSpieler!A:B,2,FALSE)</f>
        <v>faebs85</v>
      </c>
    </row>
    <row r="15799" spans="1:10" x14ac:dyDescent="0.25">
      <c r="A15799">
        <v>17909</v>
      </c>
      <c r="B15799" t="s">
        <v>35859</v>
      </c>
      <c r="C15799">
        <v>445</v>
      </c>
      <c r="D15799">
        <v>457</v>
      </c>
      <c r="E15799">
        <v>1577165248</v>
      </c>
      <c r="F15799">
        <v>1347</v>
      </c>
      <c r="G15799">
        <v>0</v>
      </c>
      <c r="H15799" t="s">
        <v>20637</v>
      </c>
      <c r="I15799">
        <v>17909</v>
      </c>
      <c r="J15799" t="str">
        <f>VLOOKUP(E15799,DSSpieler!A:B,2,FALSE)</f>
        <v>AlfDerVierzweinullste</v>
      </c>
    </row>
    <row r="15800" spans="1:10" x14ac:dyDescent="0.25">
      <c r="A15800">
        <v>17910</v>
      </c>
      <c r="B15800" t="s">
        <v>2828</v>
      </c>
      <c r="C15800">
        <v>459</v>
      </c>
      <c r="D15800">
        <v>379</v>
      </c>
      <c r="E15800">
        <v>1576092453</v>
      </c>
      <c r="F15800">
        <v>192</v>
      </c>
      <c r="G15800">
        <v>0</v>
      </c>
      <c r="H15800" t="s">
        <v>20638</v>
      </c>
      <c r="I15800">
        <v>17910</v>
      </c>
      <c r="J15800" t="str">
        <f>VLOOKUP(E15800,DSSpieler!A:B,2,FALSE)</f>
        <v>Christoph1994</v>
      </c>
    </row>
    <row r="15801" spans="1:10" x14ac:dyDescent="0.25">
      <c r="A15801">
        <v>17912</v>
      </c>
      <c r="B15801" t="s">
        <v>531</v>
      </c>
      <c r="C15801">
        <v>537</v>
      </c>
      <c r="D15801">
        <v>621</v>
      </c>
      <c r="E15801">
        <v>0</v>
      </c>
      <c r="F15801">
        <v>128</v>
      </c>
      <c r="G15801">
        <v>0</v>
      </c>
      <c r="H15801" t="s">
        <v>20639</v>
      </c>
      <c r="I15801">
        <v>17912</v>
      </c>
      <c r="J15801" t="e">
        <f>VLOOKUP(E15801,DSSpieler!A:B,2,FALSE)</f>
        <v>#N/A</v>
      </c>
    </row>
    <row r="15802" spans="1:10" x14ac:dyDescent="0.25">
      <c r="A15802">
        <v>17913</v>
      </c>
      <c r="B15802" t="s">
        <v>2829</v>
      </c>
      <c r="C15802">
        <v>500</v>
      </c>
      <c r="D15802">
        <v>373</v>
      </c>
      <c r="E15802">
        <v>2395835</v>
      </c>
      <c r="F15802">
        <v>1123</v>
      </c>
      <c r="G15802">
        <v>0</v>
      </c>
      <c r="H15802" t="s">
        <v>20640</v>
      </c>
      <c r="I15802">
        <v>17913</v>
      </c>
      <c r="J15802" t="str">
        <f>VLOOKUP(E15802,DSSpieler!A:B,2,FALSE)</f>
        <v>Irgendwas mit ELVIS</v>
      </c>
    </row>
    <row r="15803" spans="1:10" x14ac:dyDescent="0.25">
      <c r="A15803">
        <v>17915</v>
      </c>
      <c r="B15803" t="s">
        <v>35613</v>
      </c>
      <c r="C15803">
        <v>606</v>
      </c>
      <c r="D15803">
        <v>496</v>
      </c>
      <c r="E15803">
        <v>1577147692</v>
      </c>
      <c r="F15803">
        <v>2775</v>
      </c>
      <c r="G15803">
        <v>0</v>
      </c>
      <c r="H15803" t="s">
        <v>20641</v>
      </c>
      <c r="I15803">
        <v>17915</v>
      </c>
      <c r="J15803" t="str">
        <f>VLOOKUP(E15803,DSSpieler!A:B,2,FALSE)</f>
        <v>zzer</v>
      </c>
    </row>
    <row r="15804" spans="1:10" x14ac:dyDescent="0.25">
      <c r="A15804">
        <v>17916</v>
      </c>
      <c r="B15804" t="s">
        <v>2405</v>
      </c>
      <c r="C15804">
        <v>502</v>
      </c>
      <c r="D15804">
        <v>380</v>
      </c>
      <c r="E15804">
        <v>1577201938</v>
      </c>
      <c r="F15804">
        <v>1010</v>
      </c>
      <c r="G15804">
        <v>0</v>
      </c>
      <c r="H15804" t="s">
        <v>20642</v>
      </c>
      <c r="I15804">
        <v>17916</v>
      </c>
      <c r="J15804" t="str">
        <f>VLOOKUP(E15804,DSSpieler!A:B,2,FALSE)</f>
        <v>Vlatt</v>
      </c>
    </row>
    <row r="15805" spans="1:10" x14ac:dyDescent="0.25">
      <c r="A15805">
        <v>17917</v>
      </c>
      <c r="B15805" t="s">
        <v>2830</v>
      </c>
      <c r="C15805">
        <v>404</v>
      </c>
      <c r="D15805">
        <v>586</v>
      </c>
      <c r="E15805">
        <v>1577191844</v>
      </c>
      <c r="F15805">
        <v>2110</v>
      </c>
      <c r="G15805">
        <v>0</v>
      </c>
      <c r="H15805" t="s">
        <v>20643</v>
      </c>
      <c r="I15805">
        <v>17917</v>
      </c>
      <c r="J15805" t="str">
        <f>VLOOKUP(E15805,DSSpieler!A:B,2,FALSE)</f>
        <v>Sanneh Da Nielson</v>
      </c>
    </row>
    <row r="15806" spans="1:10" x14ac:dyDescent="0.25">
      <c r="A15806">
        <v>17918</v>
      </c>
      <c r="B15806" t="s">
        <v>2831</v>
      </c>
      <c r="C15806">
        <v>544</v>
      </c>
      <c r="D15806">
        <v>495</v>
      </c>
      <c r="E15806">
        <v>1577168029</v>
      </c>
      <c r="F15806">
        <v>1865</v>
      </c>
      <c r="G15806">
        <v>0</v>
      </c>
      <c r="H15806" t="s">
        <v>20644</v>
      </c>
      <c r="I15806">
        <v>17918</v>
      </c>
      <c r="J15806" t="str">
        <f>VLOOKUP(E15806,DSSpieler!A:B,2,FALSE)</f>
        <v>RustyNail</v>
      </c>
    </row>
    <row r="15807" spans="1:10" x14ac:dyDescent="0.25">
      <c r="A15807">
        <v>17919</v>
      </c>
      <c r="B15807" t="s">
        <v>531</v>
      </c>
      <c r="C15807">
        <v>560</v>
      </c>
      <c r="D15807">
        <v>610</v>
      </c>
      <c r="E15807">
        <v>0</v>
      </c>
      <c r="F15807">
        <v>153</v>
      </c>
      <c r="G15807">
        <v>0</v>
      </c>
      <c r="H15807" t="s">
        <v>20645</v>
      </c>
      <c r="I15807">
        <v>17919</v>
      </c>
      <c r="J15807" t="e">
        <f>VLOOKUP(E15807,DSSpieler!A:B,2,FALSE)</f>
        <v>#N/A</v>
      </c>
    </row>
    <row r="15808" spans="1:10" x14ac:dyDescent="0.25">
      <c r="A15808">
        <v>17920</v>
      </c>
      <c r="B15808">
        <v>1</v>
      </c>
      <c r="C15808">
        <v>629</v>
      </c>
      <c r="D15808">
        <v>502</v>
      </c>
      <c r="E15808">
        <v>397597</v>
      </c>
      <c r="F15808">
        <v>611</v>
      </c>
      <c r="G15808">
        <v>0</v>
      </c>
      <c r="H15808" t="s">
        <v>20646</v>
      </c>
      <c r="I15808">
        <v>17920</v>
      </c>
      <c r="J15808" t="str">
        <f>VLOOKUP(E15808,DSSpieler!A:B,2,FALSE)</f>
        <v>tommi015</v>
      </c>
    </row>
    <row r="15809" spans="1:10" x14ac:dyDescent="0.25">
      <c r="A15809">
        <v>17921</v>
      </c>
      <c r="B15809" t="s">
        <v>736</v>
      </c>
      <c r="C15809">
        <v>388</v>
      </c>
      <c r="D15809">
        <v>480</v>
      </c>
      <c r="E15809">
        <v>1576107244</v>
      </c>
      <c r="F15809">
        <v>2453</v>
      </c>
      <c r="G15809">
        <v>0</v>
      </c>
      <c r="H15809" t="s">
        <v>20647</v>
      </c>
      <c r="I15809">
        <v>17921</v>
      </c>
      <c r="J15809" t="str">
        <f>VLOOKUP(E15809,DSSpieler!A:B,2,FALSE)</f>
        <v>MaRoDual</v>
      </c>
    </row>
    <row r="15810" spans="1:10" x14ac:dyDescent="0.25">
      <c r="A15810">
        <v>17922</v>
      </c>
      <c r="B15810" t="s">
        <v>531</v>
      </c>
      <c r="C15810">
        <v>490</v>
      </c>
      <c r="D15810">
        <v>415</v>
      </c>
      <c r="E15810">
        <v>0</v>
      </c>
      <c r="F15810">
        <v>527</v>
      </c>
      <c r="G15810">
        <v>0</v>
      </c>
      <c r="H15810" t="s">
        <v>20648</v>
      </c>
      <c r="I15810">
        <v>17922</v>
      </c>
      <c r="J15810" t="e">
        <f>VLOOKUP(E15810,DSSpieler!A:B,2,FALSE)</f>
        <v>#N/A</v>
      </c>
    </row>
    <row r="15811" spans="1:10" x14ac:dyDescent="0.25">
      <c r="A15811">
        <v>17923</v>
      </c>
      <c r="B15811" t="s">
        <v>2832</v>
      </c>
      <c r="C15811">
        <v>465</v>
      </c>
      <c r="D15811">
        <v>492</v>
      </c>
      <c r="E15811">
        <v>1577204654</v>
      </c>
      <c r="F15811">
        <v>175</v>
      </c>
      <c r="G15811">
        <v>0</v>
      </c>
      <c r="H15811" t="s">
        <v>20649</v>
      </c>
      <c r="I15811">
        <v>17923</v>
      </c>
      <c r="J15811" t="str">
        <f>VLOOKUP(E15811,DSSpieler!A:B,2,FALSE)</f>
        <v>bartrocks</v>
      </c>
    </row>
    <row r="15812" spans="1:10" x14ac:dyDescent="0.25">
      <c r="A15812">
        <v>17924</v>
      </c>
      <c r="B15812" t="s">
        <v>2833</v>
      </c>
      <c r="C15812">
        <v>423</v>
      </c>
      <c r="D15812">
        <v>597</v>
      </c>
      <c r="E15812">
        <v>1577199025</v>
      </c>
      <c r="F15812">
        <v>1474</v>
      </c>
      <c r="G15812">
        <v>0</v>
      </c>
      <c r="H15812" t="s">
        <v>20650</v>
      </c>
      <c r="I15812">
        <v>17924</v>
      </c>
      <c r="J15812" t="str">
        <f>VLOOKUP(E15812,DSSpieler!A:B,2,FALSE)</f>
        <v>Coooold</v>
      </c>
    </row>
    <row r="15813" spans="1:10" x14ac:dyDescent="0.25">
      <c r="A15813">
        <v>17925</v>
      </c>
      <c r="B15813" t="s">
        <v>531</v>
      </c>
      <c r="C15813">
        <v>457</v>
      </c>
      <c r="D15813">
        <v>381</v>
      </c>
      <c r="E15813">
        <v>0</v>
      </c>
      <c r="F15813">
        <v>47</v>
      </c>
      <c r="G15813">
        <v>0</v>
      </c>
      <c r="H15813" t="s">
        <v>20651</v>
      </c>
      <c r="I15813">
        <v>17925</v>
      </c>
      <c r="J15813" t="e">
        <f>VLOOKUP(E15813,DSSpieler!A:B,2,FALSE)</f>
        <v>#N/A</v>
      </c>
    </row>
    <row r="15814" spans="1:10" x14ac:dyDescent="0.25">
      <c r="A15814">
        <v>17926</v>
      </c>
      <c r="B15814" t="s">
        <v>2834</v>
      </c>
      <c r="C15814">
        <v>610</v>
      </c>
      <c r="D15814">
        <v>550</v>
      </c>
      <c r="E15814">
        <v>1577161470</v>
      </c>
      <c r="F15814">
        <v>180</v>
      </c>
      <c r="G15814">
        <v>0</v>
      </c>
      <c r="H15814" t="s">
        <v>20652</v>
      </c>
      <c r="I15814">
        <v>17926</v>
      </c>
      <c r="J15814" t="str">
        <f>VLOOKUP(E15814,DSSpieler!A:B,2,FALSE)</f>
        <v>Lettay</v>
      </c>
    </row>
    <row r="15815" spans="1:10" x14ac:dyDescent="0.25">
      <c r="A15815">
        <v>17927</v>
      </c>
      <c r="B15815" t="s">
        <v>531</v>
      </c>
      <c r="C15815">
        <v>439</v>
      </c>
      <c r="D15815">
        <v>611</v>
      </c>
      <c r="E15815">
        <v>0</v>
      </c>
      <c r="F15815">
        <v>73</v>
      </c>
      <c r="G15815">
        <v>0</v>
      </c>
      <c r="H15815" t="s">
        <v>20653</v>
      </c>
      <c r="I15815">
        <v>17927</v>
      </c>
      <c r="J15815" t="e">
        <f>VLOOKUP(E15815,DSSpieler!A:B,2,FALSE)</f>
        <v>#N/A</v>
      </c>
    </row>
    <row r="15816" spans="1:10" x14ac:dyDescent="0.25">
      <c r="A15816">
        <v>17928</v>
      </c>
      <c r="B15816" t="s">
        <v>531</v>
      </c>
      <c r="C15816">
        <v>479</v>
      </c>
      <c r="D15816">
        <v>587</v>
      </c>
      <c r="E15816">
        <v>0</v>
      </c>
      <c r="F15816">
        <v>116</v>
      </c>
      <c r="G15816">
        <v>0</v>
      </c>
      <c r="H15816" t="s">
        <v>20654</v>
      </c>
      <c r="I15816">
        <v>17928</v>
      </c>
      <c r="J15816" t="e">
        <f>VLOOKUP(E15816,DSSpieler!A:B,2,FALSE)</f>
        <v>#N/A</v>
      </c>
    </row>
    <row r="15817" spans="1:10" x14ac:dyDescent="0.25">
      <c r="A15817">
        <v>17929</v>
      </c>
      <c r="B15817" t="s">
        <v>531</v>
      </c>
      <c r="C15817">
        <v>372</v>
      </c>
      <c r="D15817">
        <v>495</v>
      </c>
      <c r="E15817">
        <v>0</v>
      </c>
      <c r="F15817">
        <v>37</v>
      </c>
      <c r="G15817">
        <v>0</v>
      </c>
      <c r="H15817" t="s">
        <v>20655</v>
      </c>
      <c r="I15817">
        <v>17929</v>
      </c>
      <c r="J15817" t="e">
        <f>VLOOKUP(E15817,DSSpieler!A:B,2,FALSE)</f>
        <v>#N/A</v>
      </c>
    </row>
    <row r="15818" spans="1:10" x14ac:dyDescent="0.25">
      <c r="A15818">
        <v>17930</v>
      </c>
      <c r="B15818" t="s">
        <v>2835</v>
      </c>
      <c r="C15818">
        <v>384</v>
      </c>
      <c r="D15818">
        <v>546</v>
      </c>
      <c r="E15818">
        <v>1577106731</v>
      </c>
      <c r="F15818">
        <v>2140</v>
      </c>
      <c r="G15818">
        <v>0</v>
      </c>
      <c r="H15818" t="s">
        <v>20656</v>
      </c>
      <c r="I15818">
        <v>17930</v>
      </c>
      <c r="J15818" t="str">
        <f>VLOOKUP(E15818,DSSpieler!A:B,2,FALSE)</f>
        <v>Editor</v>
      </c>
    </row>
    <row r="15819" spans="1:10" x14ac:dyDescent="0.25">
      <c r="A15819">
        <v>17931</v>
      </c>
      <c r="B15819" t="s">
        <v>35614</v>
      </c>
      <c r="C15819">
        <v>375</v>
      </c>
      <c r="D15819">
        <v>498</v>
      </c>
      <c r="E15819">
        <v>1577173659</v>
      </c>
      <c r="F15819">
        <v>990</v>
      </c>
      <c r="G15819">
        <v>0</v>
      </c>
      <c r="H15819" t="s">
        <v>20657</v>
      </c>
      <c r="I15819">
        <v>17931</v>
      </c>
      <c r="J15819" t="str">
        <f>VLOOKUP(E15819,DSSpieler!A:B,2,FALSE)</f>
        <v>dicka68</v>
      </c>
    </row>
    <row r="15820" spans="1:10" x14ac:dyDescent="0.25">
      <c r="A15820">
        <v>17933</v>
      </c>
      <c r="B15820" t="s">
        <v>778</v>
      </c>
      <c r="C15820">
        <v>391</v>
      </c>
      <c r="D15820">
        <v>561</v>
      </c>
      <c r="E15820">
        <v>1576340438</v>
      </c>
      <c r="F15820">
        <v>522</v>
      </c>
      <c r="G15820">
        <v>0</v>
      </c>
      <c r="H15820" t="s">
        <v>20658</v>
      </c>
      <c r="I15820">
        <v>17933</v>
      </c>
      <c r="J15820" t="str">
        <f>VLOOKUP(E15820,DSSpieler!A:B,2,FALSE)</f>
        <v>armin77</v>
      </c>
    </row>
    <row r="15821" spans="1:10" x14ac:dyDescent="0.25">
      <c r="A15821">
        <v>17934</v>
      </c>
      <c r="B15821" t="s">
        <v>531</v>
      </c>
      <c r="C15821">
        <v>376</v>
      </c>
      <c r="D15821">
        <v>514</v>
      </c>
      <c r="E15821">
        <v>0</v>
      </c>
      <c r="F15821">
        <v>134</v>
      </c>
      <c r="G15821">
        <v>0</v>
      </c>
      <c r="H15821" t="s">
        <v>20659</v>
      </c>
      <c r="I15821">
        <v>17934</v>
      </c>
      <c r="J15821" t="e">
        <f>VLOOKUP(E15821,DSSpieler!A:B,2,FALSE)</f>
        <v>#N/A</v>
      </c>
    </row>
    <row r="15822" spans="1:10" x14ac:dyDescent="0.25">
      <c r="A15822">
        <v>17936</v>
      </c>
      <c r="B15822" t="s">
        <v>2836</v>
      </c>
      <c r="C15822">
        <v>399</v>
      </c>
      <c r="D15822">
        <v>576</v>
      </c>
      <c r="E15822">
        <v>1577206196</v>
      </c>
      <c r="F15822">
        <v>1465</v>
      </c>
      <c r="G15822">
        <v>0</v>
      </c>
      <c r="H15822" t="s">
        <v>20660</v>
      </c>
      <c r="I15822">
        <v>17936</v>
      </c>
      <c r="J15822" t="str">
        <f>VLOOKUP(E15822,DSSpieler!A:B,2,FALSE)</f>
        <v>Dehmer470</v>
      </c>
    </row>
    <row r="15823" spans="1:10" x14ac:dyDescent="0.25">
      <c r="A15823">
        <v>17937</v>
      </c>
      <c r="B15823" t="s">
        <v>531</v>
      </c>
      <c r="C15823">
        <v>620</v>
      </c>
      <c r="D15823">
        <v>457</v>
      </c>
      <c r="E15823">
        <v>0</v>
      </c>
      <c r="F15823">
        <v>133</v>
      </c>
      <c r="G15823">
        <v>0</v>
      </c>
      <c r="H15823" t="s">
        <v>20661</v>
      </c>
      <c r="I15823">
        <v>17937</v>
      </c>
      <c r="J15823" t="e">
        <f>VLOOKUP(E15823,DSSpieler!A:B,2,FALSE)</f>
        <v>#N/A</v>
      </c>
    </row>
    <row r="15824" spans="1:10" x14ac:dyDescent="0.25">
      <c r="A15824">
        <v>17939</v>
      </c>
      <c r="B15824" t="s">
        <v>2837</v>
      </c>
      <c r="C15824">
        <v>397</v>
      </c>
      <c r="D15824">
        <v>575</v>
      </c>
      <c r="E15824">
        <v>7668315</v>
      </c>
      <c r="F15824">
        <v>2067</v>
      </c>
      <c r="G15824">
        <v>0</v>
      </c>
      <c r="H15824" t="s">
        <v>20662</v>
      </c>
      <c r="I15824">
        <v>17939</v>
      </c>
      <c r="J15824" t="str">
        <f>VLOOKUP(E15824,DSSpieler!A:B,2,FALSE)</f>
        <v>Madomio</v>
      </c>
    </row>
    <row r="15825" spans="1:10" x14ac:dyDescent="0.25">
      <c r="A15825">
        <v>17940</v>
      </c>
      <c r="B15825" t="s">
        <v>2838</v>
      </c>
      <c r="C15825">
        <v>405</v>
      </c>
      <c r="D15825">
        <v>578</v>
      </c>
      <c r="E15825">
        <v>1577197630</v>
      </c>
      <c r="F15825">
        <v>2766</v>
      </c>
      <c r="G15825">
        <v>0</v>
      </c>
      <c r="H15825" t="s">
        <v>20663</v>
      </c>
      <c r="I15825">
        <v>17940</v>
      </c>
      <c r="J15825" t="str">
        <f>VLOOKUP(E15825,DSSpieler!A:B,2,FALSE)</f>
        <v>Damnus</v>
      </c>
    </row>
    <row r="15826" spans="1:10" x14ac:dyDescent="0.25">
      <c r="A15826">
        <v>17941</v>
      </c>
      <c r="B15826" t="s">
        <v>2839</v>
      </c>
      <c r="C15826">
        <v>487</v>
      </c>
      <c r="D15826">
        <v>376</v>
      </c>
      <c r="E15826">
        <v>1577191062</v>
      </c>
      <c r="F15826">
        <v>1412</v>
      </c>
      <c r="G15826">
        <v>0</v>
      </c>
      <c r="H15826" t="s">
        <v>20664</v>
      </c>
      <c r="I15826">
        <v>17941</v>
      </c>
      <c r="J15826" t="str">
        <f>VLOOKUP(E15826,DSSpieler!A:B,2,FALSE)</f>
        <v>Landogar</v>
      </c>
    </row>
    <row r="15827" spans="1:10" x14ac:dyDescent="0.25">
      <c r="A15827">
        <v>17942</v>
      </c>
      <c r="B15827" t="s">
        <v>531</v>
      </c>
      <c r="C15827">
        <v>504</v>
      </c>
      <c r="D15827">
        <v>374</v>
      </c>
      <c r="E15827">
        <v>0</v>
      </c>
      <c r="F15827">
        <v>186</v>
      </c>
      <c r="G15827">
        <v>0</v>
      </c>
      <c r="H15827" t="s">
        <v>20665</v>
      </c>
      <c r="I15827">
        <v>17942</v>
      </c>
      <c r="J15827" t="e">
        <f>VLOOKUP(E15827,DSSpieler!A:B,2,FALSE)</f>
        <v>#N/A</v>
      </c>
    </row>
    <row r="15828" spans="1:10" x14ac:dyDescent="0.25">
      <c r="A15828">
        <v>17944</v>
      </c>
      <c r="B15828" t="s">
        <v>2840</v>
      </c>
      <c r="C15828">
        <v>625</v>
      </c>
      <c r="D15828">
        <v>523</v>
      </c>
      <c r="E15828">
        <v>1577197086</v>
      </c>
      <c r="F15828">
        <v>1857</v>
      </c>
      <c r="G15828">
        <v>0</v>
      </c>
      <c r="H15828" t="s">
        <v>20666</v>
      </c>
      <c r="I15828">
        <v>17944</v>
      </c>
      <c r="J15828" t="str">
        <f>VLOOKUP(E15828,DSSpieler!A:B,2,FALSE)</f>
        <v>Peter Pan 09</v>
      </c>
    </row>
    <row r="15829" spans="1:10" x14ac:dyDescent="0.25">
      <c r="A15829">
        <v>17945</v>
      </c>
      <c r="B15829" t="s">
        <v>2841</v>
      </c>
      <c r="C15829">
        <v>563</v>
      </c>
      <c r="D15829">
        <v>559</v>
      </c>
      <c r="E15829">
        <v>1577143887</v>
      </c>
      <c r="F15829">
        <v>117</v>
      </c>
      <c r="G15829">
        <v>0</v>
      </c>
      <c r="H15829" t="s">
        <v>20667</v>
      </c>
      <c r="I15829">
        <v>17945</v>
      </c>
      <c r="J15829" t="str">
        <f>VLOOKUP(E15829,DSSpieler!A:B,2,FALSE)</f>
        <v>Medical Manfred</v>
      </c>
    </row>
    <row r="15830" spans="1:10" x14ac:dyDescent="0.25">
      <c r="A15830">
        <v>17946</v>
      </c>
      <c r="B15830" t="s">
        <v>2842</v>
      </c>
      <c r="C15830">
        <v>501</v>
      </c>
      <c r="D15830">
        <v>370</v>
      </c>
      <c r="E15830">
        <v>2347529</v>
      </c>
      <c r="F15830">
        <v>1295</v>
      </c>
      <c r="G15830">
        <v>0</v>
      </c>
      <c r="H15830" t="s">
        <v>20668</v>
      </c>
      <c r="I15830">
        <v>17946</v>
      </c>
      <c r="J15830" t="str">
        <f>VLOOKUP(E15830,DSSpieler!A:B,2,FALSE)</f>
        <v>ASTRA 23</v>
      </c>
    </row>
    <row r="15831" spans="1:10" x14ac:dyDescent="0.25">
      <c r="A15831">
        <v>17947</v>
      </c>
      <c r="B15831" t="s">
        <v>634</v>
      </c>
      <c r="C15831">
        <v>596</v>
      </c>
      <c r="D15831">
        <v>513</v>
      </c>
      <c r="E15831">
        <v>1577191746</v>
      </c>
      <c r="F15831">
        <v>3234</v>
      </c>
      <c r="G15831">
        <v>0</v>
      </c>
      <c r="H15831" t="s">
        <v>20669</v>
      </c>
      <c r="I15831">
        <v>17947</v>
      </c>
      <c r="J15831" t="str">
        <f>VLOOKUP(E15831,DSSpieler!A:B,2,FALSE)</f>
        <v>Lukas4Bst</v>
      </c>
    </row>
    <row r="15832" spans="1:10" x14ac:dyDescent="0.25">
      <c r="A15832">
        <v>17948</v>
      </c>
      <c r="B15832" t="s">
        <v>531</v>
      </c>
      <c r="C15832">
        <v>583</v>
      </c>
      <c r="D15832">
        <v>401</v>
      </c>
      <c r="E15832">
        <v>0</v>
      </c>
      <c r="F15832">
        <v>62</v>
      </c>
      <c r="G15832">
        <v>0</v>
      </c>
      <c r="H15832" t="s">
        <v>20670</v>
      </c>
      <c r="I15832">
        <v>17948</v>
      </c>
      <c r="J15832" t="e">
        <f>VLOOKUP(E15832,DSSpieler!A:B,2,FALSE)</f>
        <v>#N/A</v>
      </c>
    </row>
    <row r="15833" spans="1:10" x14ac:dyDescent="0.25">
      <c r="A15833">
        <v>17952</v>
      </c>
      <c r="B15833" t="s">
        <v>531</v>
      </c>
      <c r="C15833">
        <v>572</v>
      </c>
      <c r="D15833">
        <v>395</v>
      </c>
      <c r="E15833">
        <v>0</v>
      </c>
      <c r="F15833">
        <v>183</v>
      </c>
      <c r="G15833">
        <v>0</v>
      </c>
      <c r="H15833" t="s">
        <v>20671</v>
      </c>
      <c r="I15833">
        <v>17952</v>
      </c>
      <c r="J15833" t="e">
        <f>VLOOKUP(E15833,DSSpieler!A:B,2,FALSE)</f>
        <v>#N/A</v>
      </c>
    </row>
    <row r="15834" spans="1:10" x14ac:dyDescent="0.25">
      <c r="A15834">
        <v>17953</v>
      </c>
      <c r="B15834" t="s">
        <v>2843</v>
      </c>
      <c r="C15834">
        <v>613</v>
      </c>
      <c r="D15834">
        <v>440</v>
      </c>
      <c r="E15834">
        <v>1577203538</v>
      </c>
      <c r="F15834">
        <v>1531</v>
      </c>
      <c r="G15834">
        <v>0</v>
      </c>
      <c r="H15834" t="s">
        <v>20672</v>
      </c>
      <c r="I15834">
        <v>17953</v>
      </c>
      <c r="J15834" t="str">
        <f>VLOOKUP(E15834,DSSpieler!A:B,2,FALSE)</f>
        <v>Dave I</v>
      </c>
    </row>
    <row r="15835" spans="1:10" x14ac:dyDescent="0.25">
      <c r="A15835">
        <v>17955</v>
      </c>
      <c r="B15835" t="s">
        <v>2844</v>
      </c>
      <c r="C15835">
        <v>561</v>
      </c>
      <c r="D15835">
        <v>392</v>
      </c>
      <c r="E15835">
        <v>1576563077</v>
      </c>
      <c r="F15835">
        <v>26</v>
      </c>
      <c r="G15835">
        <v>0</v>
      </c>
      <c r="H15835" t="s">
        <v>20673</v>
      </c>
      <c r="I15835">
        <v>17955</v>
      </c>
      <c r="J15835" t="str">
        <f>VLOOKUP(E15835,DSSpieler!A:B,2,FALSE)</f>
        <v>ItsYourEnd07</v>
      </c>
    </row>
    <row r="15836" spans="1:10" x14ac:dyDescent="0.25">
      <c r="A15836">
        <v>17956</v>
      </c>
      <c r="B15836" t="s">
        <v>2845</v>
      </c>
      <c r="C15836">
        <v>583</v>
      </c>
      <c r="D15836">
        <v>586</v>
      </c>
      <c r="E15836">
        <v>1577206210</v>
      </c>
      <c r="F15836">
        <v>497</v>
      </c>
      <c r="G15836">
        <v>0</v>
      </c>
      <c r="H15836" t="s">
        <v>20674</v>
      </c>
      <c r="I15836">
        <v>17956</v>
      </c>
      <c r="J15836" t="str">
        <f>VLOOKUP(E15836,DSSpieler!A:B,2,FALSE)</f>
        <v>Skorkalle</v>
      </c>
    </row>
    <row r="15837" spans="1:10" x14ac:dyDescent="0.25">
      <c r="A15837">
        <v>17957</v>
      </c>
      <c r="B15837" t="s">
        <v>2846</v>
      </c>
      <c r="C15837">
        <v>383</v>
      </c>
      <c r="D15837">
        <v>447</v>
      </c>
      <c r="E15837">
        <v>1576999033</v>
      </c>
      <c r="F15837">
        <v>1080</v>
      </c>
      <c r="G15837">
        <v>0</v>
      </c>
      <c r="H15837" t="s">
        <v>20675</v>
      </c>
      <c r="I15837">
        <v>17957</v>
      </c>
      <c r="J15837" t="str">
        <f>VLOOKUP(E15837,DSSpieler!A:B,2,FALSE)</f>
        <v>WarDog249</v>
      </c>
    </row>
    <row r="15838" spans="1:10" x14ac:dyDescent="0.25">
      <c r="A15838">
        <v>17958</v>
      </c>
      <c r="B15838" t="s">
        <v>531</v>
      </c>
      <c r="C15838">
        <v>439</v>
      </c>
      <c r="D15838">
        <v>391</v>
      </c>
      <c r="E15838">
        <v>0</v>
      </c>
      <c r="F15838">
        <v>196</v>
      </c>
      <c r="G15838">
        <v>0</v>
      </c>
      <c r="H15838" t="s">
        <v>20676</v>
      </c>
      <c r="I15838">
        <v>17958</v>
      </c>
      <c r="J15838" t="e">
        <f>VLOOKUP(E15838,DSSpieler!A:B,2,FALSE)</f>
        <v>#N/A</v>
      </c>
    </row>
    <row r="15839" spans="1:10" x14ac:dyDescent="0.25">
      <c r="A15839">
        <v>17959</v>
      </c>
      <c r="B15839" t="s">
        <v>2847</v>
      </c>
      <c r="C15839">
        <v>379</v>
      </c>
      <c r="D15839">
        <v>546</v>
      </c>
      <c r="E15839">
        <v>1576991527</v>
      </c>
      <c r="F15839">
        <v>345</v>
      </c>
      <c r="G15839">
        <v>0</v>
      </c>
      <c r="H15839" t="s">
        <v>20677</v>
      </c>
      <c r="I15839">
        <v>17959</v>
      </c>
      <c r="J15839" t="str">
        <f>VLOOKUP(E15839,DSSpieler!A:B,2,FALSE)</f>
        <v>Wickie 1974</v>
      </c>
    </row>
    <row r="15840" spans="1:10" x14ac:dyDescent="0.25">
      <c r="A15840">
        <v>17961</v>
      </c>
      <c r="B15840" t="s">
        <v>531</v>
      </c>
      <c r="C15840">
        <v>511</v>
      </c>
      <c r="D15840">
        <v>373</v>
      </c>
      <c r="E15840">
        <v>0</v>
      </c>
      <c r="F15840">
        <v>64</v>
      </c>
      <c r="G15840">
        <v>0</v>
      </c>
      <c r="H15840" t="s">
        <v>20678</v>
      </c>
      <c r="I15840">
        <v>17961</v>
      </c>
      <c r="J15840" t="e">
        <f>VLOOKUP(E15840,DSSpieler!A:B,2,FALSE)</f>
        <v>#N/A</v>
      </c>
    </row>
    <row r="15841" spans="1:10" x14ac:dyDescent="0.25">
      <c r="A15841">
        <v>17962</v>
      </c>
      <c r="B15841" t="s">
        <v>2848</v>
      </c>
      <c r="C15841">
        <v>431</v>
      </c>
      <c r="D15841">
        <v>410</v>
      </c>
      <c r="E15841">
        <v>1577088261</v>
      </c>
      <c r="F15841">
        <v>26</v>
      </c>
      <c r="G15841">
        <v>0</v>
      </c>
      <c r="H15841" t="s">
        <v>20679</v>
      </c>
      <c r="I15841">
        <v>17962</v>
      </c>
      <c r="J15841" t="str">
        <f>VLOOKUP(E15841,DSSpieler!A:B,2,FALSE)</f>
        <v>NeeOder</v>
      </c>
    </row>
    <row r="15842" spans="1:10" x14ac:dyDescent="0.25">
      <c r="A15842">
        <v>17963</v>
      </c>
      <c r="B15842" t="s">
        <v>2849</v>
      </c>
      <c r="C15842">
        <v>426</v>
      </c>
      <c r="D15842">
        <v>411</v>
      </c>
      <c r="E15842">
        <v>1576515282</v>
      </c>
      <c r="F15842">
        <v>634</v>
      </c>
      <c r="G15842">
        <v>0</v>
      </c>
      <c r="H15842" t="s">
        <v>20680</v>
      </c>
      <c r="I15842">
        <v>17963</v>
      </c>
      <c r="J15842" t="str">
        <f>VLOOKUP(E15842,DSSpieler!A:B,2,FALSE)</f>
        <v>Stewz</v>
      </c>
    </row>
    <row r="15843" spans="1:10" x14ac:dyDescent="0.25">
      <c r="A15843">
        <v>17964</v>
      </c>
      <c r="B15843" t="s">
        <v>531</v>
      </c>
      <c r="C15843">
        <v>445</v>
      </c>
      <c r="D15843">
        <v>613</v>
      </c>
      <c r="E15843">
        <v>0</v>
      </c>
      <c r="F15843">
        <v>76</v>
      </c>
      <c r="G15843">
        <v>0</v>
      </c>
      <c r="H15843" t="s">
        <v>20681</v>
      </c>
      <c r="I15843">
        <v>17964</v>
      </c>
      <c r="J15843" t="e">
        <f>VLOOKUP(E15843,DSSpieler!A:B,2,FALSE)</f>
        <v>#N/A</v>
      </c>
    </row>
    <row r="15844" spans="1:10" x14ac:dyDescent="0.25">
      <c r="A15844">
        <v>17965</v>
      </c>
      <c r="B15844" t="s">
        <v>30490</v>
      </c>
      <c r="C15844">
        <v>416</v>
      </c>
      <c r="D15844">
        <v>415</v>
      </c>
      <c r="E15844">
        <v>1577200341</v>
      </c>
      <c r="F15844">
        <v>385</v>
      </c>
      <c r="G15844">
        <v>0</v>
      </c>
      <c r="H15844" t="s">
        <v>20682</v>
      </c>
      <c r="I15844">
        <v>17965</v>
      </c>
      <c r="J15844" t="str">
        <f>VLOOKUP(E15844,DSSpieler!A:B,2,FALSE)</f>
        <v>Der Grüne Baron</v>
      </c>
    </row>
    <row r="15845" spans="1:10" x14ac:dyDescent="0.25">
      <c r="A15845">
        <v>17966</v>
      </c>
      <c r="B15845" t="s">
        <v>531</v>
      </c>
      <c r="C15845">
        <v>617</v>
      </c>
      <c r="D15845">
        <v>553</v>
      </c>
      <c r="E15845">
        <v>0</v>
      </c>
      <c r="F15845">
        <v>128</v>
      </c>
      <c r="G15845">
        <v>0</v>
      </c>
      <c r="H15845" t="s">
        <v>20683</v>
      </c>
      <c r="I15845">
        <v>17966</v>
      </c>
      <c r="J15845" t="e">
        <f>VLOOKUP(E15845,DSSpieler!A:B,2,FALSE)</f>
        <v>#N/A</v>
      </c>
    </row>
    <row r="15846" spans="1:10" x14ac:dyDescent="0.25">
      <c r="A15846">
        <v>17967</v>
      </c>
      <c r="B15846" t="s">
        <v>531</v>
      </c>
      <c r="C15846">
        <v>466</v>
      </c>
      <c r="D15846">
        <v>375</v>
      </c>
      <c r="E15846">
        <v>0</v>
      </c>
      <c r="F15846">
        <v>401</v>
      </c>
      <c r="G15846">
        <v>0</v>
      </c>
      <c r="H15846" t="s">
        <v>20684</v>
      </c>
      <c r="I15846">
        <v>17967</v>
      </c>
      <c r="J15846" t="e">
        <f>VLOOKUP(E15846,DSSpieler!A:B,2,FALSE)</f>
        <v>#N/A</v>
      </c>
    </row>
    <row r="15847" spans="1:10" x14ac:dyDescent="0.25">
      <c r="A15847">
        <v>17968</v>
      </c>
      <c r="B15847" t="s">
        <v>531</v>
      </c>
      <c r="C15847">
        <v>626</v>
      </c>
      <c r="D15847">
        <v>529</v>
      </c>
      <c r="E15847">
        <v>0</v>
      </c>
      <c r="F15847">
        <v>147</v>
      </c>
      <c r="G15847">
        <v>0</v>
      </c>
      <c r="H15847" t="s">
        <v>20685</v>
      </c>
      <c r="I15847">
        <v>17968</v>
      </c>
      <c r="J15847" t="e">
        <f>VLOOKUP(E15847,DSSpieler!A:B,2,FALSE)</f>
        <v>#N/A</v>
      </c>
    </row>
    <row r="15848" spans="1:10" x14ac:dyDescent="0.25">
      <c r="A15848">
        <v>17969</v>
      </c>
      <c r="B15848" t="s">
        <v>2850</v>
      </c>
      <c r="C15848">
        <v>417</v>
      </c>
      <c r="D15848">
        <v>406</v>
      </c>
      <c r="E15848">
        <v>9084754</v>
      </c>
      <c r="F15848">
        <v>505</v>
      </c>
      <c r="G15848">
        <v>0</v>
      </c>
      <c r="H15848" t="s">
        <v>20686</v>
      </c>
      <c r="I15848">
        <v>17969</v>
      </c>
      <c r="J15848" t="str">
        <f>VLOOKUP(E15848,DSSpieler!A:B,2,FALSE)</f>
        <v>Robfack</v>
      </c>
    </row>
    <row r="15849" spans="1:10" x14ac:dyDescent="0.25">
      <c r="A15849">
        <v>17970</v>
      </c>
      <c r="B15849" t="s">
        <v>2851</v>
      </c>
      <c r="C15849">
        <v>624</v>
      </c>
      <c r="D15849">
        <v>535</v>
      </c>
      <c r="E15849">
        <v>3468221</v>
      </c>
      <c r="F15849">
        <v>1520</v>
      </c>
      <c r="G15849">
        <v>0</v>
      </c>
      <c r="H15849" t="s">
        <v>20687</v>
      </c>
      <c r="I15849">
        <v>17970</v>
      </c>
      <c r="J15849" t="str">
        <f>VLOOKUP(E15849,DSSpieler!A:B,2,FALSE)</f>
        <v>Graf von Leipzig</v>
      </c>
    </row>
    <row r="15850" spans="1:10" x14ac:dyDescent="0.25">
      <c r="A15850">
        <v>17972</v>
      </c>
      <c r="B15850" t="s">
        <v>531</v>
      </c>
      <c r="C15850">
        <v>419</v>
      </c>
      <c r="D15850">
        <v>403</v>
      </c>
      <c r="E15850">
        <v>0</v>
      </c>
      <c r="F15850">
        <v>41</v>
      </c>
      <c r="G15850">
        <v>0</v>
      </c>
      <c r="H15850" t="s">
        <v>20688</v>
      </c>
      <c r="I15850">
        <v>17972</v>
      </c>
      <c r="J15850" t="e">
        <f>VLOOKUP(E15850,DSSpieler!A:B,2,FALSE)</f>
        <v>#N/A</v>
      </c>
    </row>
    <row r="15851" spans="1:10" x14ac:dyDescent="0.25">
      <c r="A15851">
        <v>17973</v>
      </c>
      <c r="B15851" t="s">
        <v>531</v>
      </c>
      <c r="C15851">
        <v>591</v>
      </c>
      <c r="D15851">
        <v>414</v>
      </c>
      <c r="E15851">
        <v>0</v>
      </c>
      <c r="F15851">
        <v>161</v>
      </c>
      <c r="G15851">
        <v>0</v>
      </c>
      <c r="H15851" t="s">
        <v>20689</v>
      </c>
      <c r="I15851">
        <v>17973</v>
      </c>
      <c r="J15851" t="e">
        <f>VLOOKUP(E15851,DSSpieler!A:B,2,FALSE)</f>
        <v>#N/A</v>
      </c>
    </row>
    <row r="15852" spans="1:10" x14ac:dyDescent="0.25">
      <c r="A15852">
        <v>17974</v>
      </c>
      <c r="B15852" t="s">
        <v>35615</v>
      </c>
      <c r="C15852">
        <v>382</v>
      </c>
      <c r="D15852">
        <v>488</v>
      </c>
      <c r="E15852">
        <v>1577206192</v>
      </c>
      <c r="F15852">
        <v>901</v>
      </c>
      <c r="G15852">
        <v>0</v>
      </c>
      <c r="H15852" t="s">
        <v>20690</v>
      </c>
      <c r="I15852">
        <v>17974</v>
      </c>
      <c r="J15852" t="str">
        <f>VLOOKUP(E15852,DSSpieler!A:B,2,FALSE)</f>
        <v>StonedByHaze</v>
      </c>
    </row>
    <row r="15853" spans="1:10" x14ac:dyDescent="0.25">
      <c r="A15853">
        <v>17975</v>
      </c>
      <c r="B15853" t="s">
        <v>2852</v>
      </c>
      <c r="C15853">
        <v>624</v>
      </c>
      <c r="D15853">
        <v>487</v>
      </c>
      <c r="E15853">
        <v>1577023901</v>
      </c>
      <c r="F15853">
        <v>49</v>
      </c>
      <c r="G15853">
        <v>0</v>
      </c>
      <c r="H15853" t="s">
        <v>20691</v>
      </c>
      <c r="I15853">
        <v>17975</v>
      </c>
      <c r="J15853" t="str">
        <f>VLOOKUP(E15853,DSSpieler!A:B,2,FALSE)</f>
        <v>Chrisk3k</v>
      </c>
    </row>
    <row r="15854" spans="1:10" x14ac:dyDescent="0.25">
      <c r="A15854">
        <v>17976</v>
      </c>
      <c r="B15854" t="s">
        <v>2853</v>
      </c>
      <c r="C15854">
        <v>621</v>
      </c>
      <c r="D15854">
        <v>462</v>
      </c>
      <c r="E15854">
        <v>1576965316</v>
      </c>
      <c r="F15854">
        <v>182</v>
      </c>
      <c r="G15854">
        <v>0</v>
      </c>
      <c r="H15854" t="s">
        <v>20692</v>
      </c>
      <c r="I15854">
        <v>17976</v>
      </c>
      <c r="J15854" t="str">
        <f>VLOOKUP(E15854,DSSpieler!A:B,2,FALSE)</f>
        <v>Oisch25</v>
      </c>
    </row>
    <row r="15855" spans="1:10" x14ac:dyDescent="0.25">
      <c r="A15855">
        <v>17977</v>
      </c>
      <c r="B15855" t="s">
        <v>531</v>
      </c>
      <c r="C15855">
        <v>519</v>
      </c>
      <c r="D15855">
        <v>416</v>
      </c>
      <c r="E15855">
        <v>0</v>
      </c>
      <c r="F15855">
        <v>83</v>
      </c>
      <c r="G15855">
        <v>0</v>
      </c>
      <c r="H15855" t="s">
        <v>20693</v>
      </c>
      <c r="I15855">
        <v>17977</v>
      </c>
      <c r="J15855" t="e">
        <f>VLOOKUP(E15855,DSSpieler!A:B,2,FALSE)</f>
        <v>#N/A</v>
      </c>
    </row>
    <row r="15856" spans="1:10" x14ac:dyDescent="0.25">
      <c r="A15856">
        <v>17978</v>
      </c>
      <c r="B15856" t="s">
        <v>531</v>
      </c>
      <c r="C15856">
        <v>561</v>
      </c>
      <c r="D15856">
        <v>388</v>
      </c>
      <c r="E15856">
        <v>0</v>
      </c>
      <c r="F15856">
        <v>177</v>
      </c>
      <c r="G15856">
        <v>0</v>
      </c>
      <c r="H15856" t="s">
        <v>20694</v>
      </c>
      <c r="I15856">
        <v>17978</v>
      </c>
      <c r="J15856" t="e">
        <f>VLOOKUP(E15856,DSSpieler!A:B,2,FALSE)</f>
        <v>#N/A</v>
      </c>
    </row>
    <row r="15857" spans="1:10" x14ac:dyDescent="0.25">
      <c r="A15857">
        <v>17979</v>
      </c>
      <c r="B15857" t="s">
        <v>2854</v>
      </c>
      <c r="C15857">
        <v>549</v>
      </c>
      <c r="D15857">
        <v>381</v>
      </c>
      <c r="E15857">
        <v>1576249276</v>
      </c>
      <c r="F15857">
        <v>1485</v>
      </c>
      <c r="G15857">
        <v>0</v>
      </c>
      <c r="H15857" t="s">
        <v>20695</v>
      </c>
      <c r="I15857">
        <v>17979</v>
      </c>
      <c r="J15857" t="str">
        <f>VLOOKUP(E15857,DSSpieler!A:B,2,FALSE)</f>
        <v>styloxd</v>
      </c>
    </row>
    <row r="15858" spans="1:10" x14ac:dyDescent="0.25">
      <c r="A15858">
        <v>17980</v>
      </c>
      <c r="B15858" t="s">
        <v>531</v>
      </c>
      <c r="C15858">
        <v>378</v>
      </c>
      <c r="D15858">
        <v>461</v>
      </c>
      <c r="E15858">
        <v>0</v>
      </c>
      <c r="F15858">
        <v>619</v>
      </c>
      <c r="G15858">
        <v>0</v>
      </c>
      <c r="H15858" t="s">
        <v>20696</v>
      </c>
      <c r="I15858">
        <v>17980</v>
      </c>
      <c r="J15858" t="e">
        <f>VLOOKUP(E15858,DSSpieler!A:B,2,FALSE)</f>
        <v>#N/A</v>
      </c>
    </row>
    <row r="15859" spans="1:10" x14ac:dyDescent="0.25">
      <c r="A15859">
        <v>17981</v>
      </c>
      <c r="B15859" t="s">
        <v>2855</v>
      </c>
      <c r="C15859">
        <v>565</v>
      </c>
      <c r="D15859">
        <v>578</v>
      </c>
      <c r="E15859">
        <v>2855030</v>
      </c>
      <c r="F15859">
        <v>2005</v>
      </c>
      <c r="G15859">
        <v>0</v>
      </c>
      <c r="H15859" t="s">
        <v>20697</v>
      </c>
      <c r="I15859">
        <v>17981</v>
      </c>
      <c r="J15859" t="str">
        <f>VLOOKUP(E15859,DSSpieler!A:B,2,FALSE)</f>
        <v>wotan178</v>
      </c>
    </row>
    <row r="15860" spans="1:10" x14ac:dyDescent="0.25">
      <c r="A15860">
        <v>17982</v>
      </c>
      <c r="B15860" t="s">
        <v>531</v>
      </c>
      <c r="C15860">
        <v>412</v>
      </c>
      <c r="D15860">
        <v>409</v>
      </c>
      <c r="E15860">
        <v>0</v>
      </c>
      <c r="F15860">
        <v>132</v>
      </c>
      <c r="G15860">
        <v>0</v>
      </c>
      <c r="H15860" t="s">
        <v>20698</v>
      </c>
      <c r="I15860">
        <v>17982</v>
      </c>
      <c r="J15860" t="e">
        <f>VLOOKUP(E15860,DSSpieler!A:B,2,FALSE)</f>
        <v>#N/A</v>
      </c>
    </row>
    <row r="15861" spans="1:10" x14ac:dyDescent="0.25">
      <c r="A15861">
        <v>17983</v>
      </c>
      <c r="B15861" t="s">
        <v>531</v>
      </c>
      <c r="C15861">
        <v>614</v>
      </c>
      <c r="D15861">
        <v>446</v>
      </c>
      <c r="E15861">
        <v>0</v>
      </c>
      <c r="F15861">
        <v>45</v>
      </c>
      <c r="G15861">
        <v>0</v>
      </c>
      <c r="H15861" t="s">
        <v>20699</v>
      </c>
      <c r="I15861">
        <v>17983</v>
      </c>
      <c r="J15861" t="e">
        <f>VLOOKUP(E15861,DSSpieler!A:B,2,FALSE)</f>
        <v>#N/A</v>
      </c>
    </row>
    <row r="15862" spans="1:10" x14ac:dyDescent="0.25">
      <c r="A15862">
        <v>17985</v>
      </c>
      <c r="B15862" t="s">
        <v>531</v>
      </c>
      <c r="C15862">
        <v>594</v>
      </c>
      <c r="D15862">
        <v>583</v>
      </c>
      <c r="E15862">
        <v>0</v>
      </c>
      <c r="F15862">
        <v>92</v>
      </c>
      <c r="G15862">
        <v>0</v>
      </c>
      <c r="H15862" t="s">
        <v>20700</v>
      </c>
      <c r="I15862">
        <v>17985</v>
      </c>
      <c r="J15862" t="e">
        <f>VLOOKUP(E15862,DSSpieler!A:B,2,FALSE)</f>
        <v>#N/A</v>
      </c>
    </row>
    <row r="15863" spans="1:10" x14ac:dyDescent="0.25">
      <c r="A15863">
        <v>17986</v>
      </c>
      <c r="B15863" t="s">
        <v>2856</v>
      </c>
      <c r="C15863">
        <v>400</v>
      </c>
      <c r="D15863">
        <v>414</v>
      </c>
      <c r="E15863">
        <v>1576904608</v>
      </c>
      <c r="F15863">
        <v>2373</v>
      </c>
      <c r="G15863">
        <v>0</v>
      </c>
      <c r="H15863" t="s">
        <v>20701</v>
      </c>
      <c r="I15863">
        <v>17986</v>
      </c>
      <c r="J15863" t="str">
        <f>VLOOKUP(E15863,DSSpieler!A:B,2,FALSE)</f>
        <v>KingGioxx</v>
      </c>
    </row>
    <row r="15864" spans="1:10" x14ac:dyDescent="0.25">
      <c r="A15864">
        <v>17988</v>
      </c>
      <c r="B15864" t="s">
        <v>531</v>
      </c>
      <c r="C15864">
        <v>621</v>
      </c>
      <c r="D15864">
        <v>471</v>
      </c>
      <c r="E15864">
        <v>0</v>
      </c>
      <c r="F15864">
        <v>139</v>
      </c>
      <c r="G15864">
        <v>0</v>
      </c>
      <c r="H15864" t="s">
        <v>20702</v>
      </c>
      <c r="I15864">
        <v>17988</v>
      </c>
      <c r="J15864" t="e">
        <f>VLOOKUP(E15864,DSSpieler!A:B,2,FALSE)</f>
        <v>#N/A</v>
      </c>
    </row>
    <row r="15865" spans="1:10" x14ac:dyDescent="0.25">
      <c r="A15865">
        <v>17989</v>
      </c>
      <c r="B15865" t="s">
        <v>531</v>
      </c>
      <c r="C15865">
        <v>372</v>
      </c>
      <c r="D15865">
        <v>506</v>
      </c>
      <c r="E15865">
        <v>0</v>
      </c>
      <c r="F15865">
        <v>99</v>
      </c>
      <c r="G15865">
        <v>0</v>
      </c>
      <c r="H15865" t="s">
        <v>20703</v>
      </c>
      <c r="I15865">
        <v>17989</v>
      </c>
      <c r="J15865" t="e">
        <f>VLOOKUP(E15865,DSSpieler!A:B,2,FALSE)</f>
        <v>#N/A</v>
      </c>
    </row>
    <row r="15866" spans="1:10" x14ac:dyDescent="0.25">
      <c r="A15866">
        <v>17990</v>
      </c>
      <c r="B15866" t="s">
        <v>531</v>
      </c>
      <c r="C15866">
        <v>551</v>
      </c>
      <c r="D15866">
        <v>381</v>
      </c>
      <c r="E15866">
        <v>0</v>
      </c>
      <c r="F15866">
        <v>43</v>
      </c>
      <c r="G15866">
        <v>0</v>
      </c>
      <c r="H15866" t="s">
        <v>20704</v>
      </c>
      <c r="I15866">
        <v>17990</v>
      </c>
      <c r="J15866" t="e">
        <f>VLOOKUP(E15866,DSSpieler!A:B,2,FALSE)</f>
        <v>#N/A</v>
      </c>
    </row>
    <row r="15867" spans="1:10" x14ac:dyDescent="0.25">
      <c r="A15867">
        <v>17991</v>
      </c>
      <c r="B15867" t="s">
        <v>2857</v>
      </c>
      <c r="C15867">
        <v>401</v>
      </c>
      <c r="D15867">
        <v>413</v>
      </c>
      <c r="E15867">
        <v>1577202407</v>
      </c>
      <c r="F15867">
        <v>2258</v>
      </c>
      <c r="G15867">
        <v>0</v>
      </c>
      <c r="H15867" t="s">
        <v>20705</v>
      </c>
      <c r="I15867">
        <v>17991</v>
      </c>
      <c r="J15867" t="str">
        <f>VLOOKUP(E15867,DSSpieler!A:B,2,FALSE)</f>
        <v>DannyB69</v>
      </c>
    </row>
    <row r="15868" spans="1:10" x14ac:dyDescent="0.25">
      <c r="A15868">
        <v>17992</v>
      </c>
      <c r="B15868" t="s">
        <v>531</v>
      </c>
      <c r="C15868">
        <v>529</v>
      </c>
      <c r="D15868">
        <v>376</v>
      </c>
      <c r="E15868">
        <v>0</v>
      </c>
      <c r="F15868">
        <v>92</v>
      </c>
      <c r="G15868">
        <v>0</v>
      </c>
      <c r="H15868" t="s">
        <v>20706</v>
      </c>
      <c r="I15868">
        <v>17992</v>
      </c>
      <c r="J15868" t="e">
        <f>VLOOKUP(E15868,DSSpieler!A:B,2,FALSE)</f>
        <v>#N/A</v>
      </c>
    </row>
    <row r="15869" spans="1:10" x14ac:dyDescent="0.25">
      <c r="A15869">
        <v>17993</v>
      </c>
      <c r="B15869" t="s">
        <v>2858</v>
      </c>
      <c r="C15869">
        <v>515</v>
      </c>
      <c r="D15869">
        <v>628</v>
      </c>
      <c r="E15869">
        <v>1251565</v>
      </c>
      <c r="F15869">
        <v>1031</v>
      </c>
      <c r="G15869">
        <v>0</v>
      </c>
      <c r="H15869" t="s">
        <v>20707</v>
      </c>
      <c r="I15869">
        <v>17993</v>
      </c>
      <c r="J15869" t="str">
        <f>VLOOKUP(E15869,DSSpieler!A:B,2,FALSE)</f>
        <v>xXdaywalkerXx</v>
      </c>
    </row>
    <row r="15870" spans="1:10" x14ac:dyDescent="0.25">
      <c r="A15870">
        <v>17995</v>
      </c>
      <c r="B15870" t="s">
        <v>531</v>
      </c>
      <c r="C15870">
        <v>403</v>
      </c>
      <c r="D15870">
        <v>418</v>
      </c>
      <c r="E15870">
        <v>0</v>
      </c>
      <c r="F15870">
        <v>40</v>
      </c>
      <c r="G15870">
        <v>0</v>
      </c>
      <c r="H15870" t="s">
        <v>20708</v>
      </c>
      <c r="I15870">
        <v>17995</v>
      </c>
      <c r="J15870" t="e">
        <f>VLOOKUP(E15870,DSSpieler!A:B,2,FALSE)</f>
        <v>#N/A</v>
      </c>
    </row>
    <row r="15871" spans="1:10" x14ac:dyDescent="0.25">
      <c r="A15871">
        <v>17996</v>
      </c>
      <c r="B15871" t="s">
        <v>35616</v>
      </c>
      <c r="C15871">
        <v>515</v>
      </c>
      <c r="D15871">
        <v>486</v>
      </c>
      <c r="E15871">
        <v>1576584854</v>
      </c>
      <c r="F15871">
        <v>1442</v>
      </c>
      <c r="G15871">
        <v>0</v>
      </c>
      <c r="H15871" t="s">
        <v>20709</v>
      </c>
      <c r="I15871">
        <v>17996</v>
      </c>
      <c r="J15871" t="str">
        <f>VLOOKUP(E15871,DSSpieler!A:B,2,FALSE)</f>
        <v>König Bum-Bum</v>
      </c>
    </row>
    <row r="15872" spans="1:10" x14ac:dyDescent="0.25">
      <c r="A15872">
        <v>17997</v>
      </c>
      <c r="B15872" t="s">
        <v>2859</v>
      </c>
      <c r="C15872">
        <v>581</v>
      </c>
      <c r="D15872">
        <v>579</v>
      </c>
      <c r="E15872">
        <v>1577206241</v>
      </c>
      <c r="F15872">
        <v>145</v>
      </c>
      <c r="G15872">
        <v>0</v>
      </c>
      <c r="H15872" t="s">
        <v>20710</v>
      </c>
      <c r="I15872">
        <v>17997</v>
      </c>
      <c r="J15872" t="str">
        <f>VLOOKUP(E15872,DSSpieler!A:B,2,FALSE)</f>
        <v>Steinkollos</v>
      </c>
    </row>
    <row r="15873" spans="1:10" x14ac:dyDescent="0.25">
      <c r="A15873">
        <v>17998</v>
      </c>
      <c r="B15873" t="s">
        <v>2860</v>
      </c>
      <c r="C15873">
        <v>625</v>
      </c>
      <c r="D15873">
        <v>516</v>
      </c>
      <c r="E15873">
        <v>7757230</v>
      </c>
      <c r="F15873">
        <v>506</v>
      </c>
      <c r="G15873">
        <v>0</v>
      </c>
      <c r="H15873" t="s">
        <v>20711</v>
      </c>
      <c r="I15873">
        <v>17998</v>
      </c>
      <c r="J15873" t="str">
        <f>VLOOKUP(E15873,DSSpieler!A:B,2,FALSE)</f>
        <v>frechegosch</v>
      </c>
    </row>
    <row r="15874" spans="1:10" x14ac:dyDescent="0.25">
      <c r="A15874">
        <v>17999</v>
      </c>
      <c r="B15874" t="s">
        <v>531</v>
      </c>
      <c r="C15874">
        <v>412</v>
      </c>
      <c r="D15874">
        <v>593</v>
      </c>
      <c r="E15874">
        <v>0</v>
      </c>
      <c r="F15874">
        <v>40</v>
      </c>
      <c r="G15874">
        <v>0</v>
      </c>
      <c r="H15874" t="s">
        <v>20712</v>
      </c>
      <c r="I15874">
        <v>17999</v>
      </c>
      <c r="J15874" t="e">
        <f>VLOOKUP(E15874,DSSpieler!A:B,2,FALSE)</f>
        <v>#N/A</v>
      </c>
    </row>
    <row r="15875" spans="1:10" x14ac:dyDescent="0.25">
      <c r="A15875">
        <v>18000</v>
      </c>
      <c r="B15875" t="s">
        <v>2861</v>
      </c>
      <c r="C15875">
        <v>393</v>
      </c>
      <c r="D15875">
        <v>573</v>
      </c>
      <c r="E15875">
        <v>1577169310</v>
      </c>
      <c r="F15875">
        <v>44</v>
      </c>
      <c r="G15875">
        <v>0</v>
      </c>
      <c r="H15875" t="s">
        <v>20713</v>
      </c>
      <c r="I15875">
        <v>18000</v>
      </c>
      <c r="J15875" t="str">
        <f>VLOOKUP(E15875,DSSpieler!A:B,2,FALSE)</f>
        <v>georg60</v>
      </c>
    </row>
    <row r="15876" spans="1:10" x14ac:dyDescent="0.25">
      <c r="A15876">
        <v>18001</v>
      </c>
      <c r="B15876" t="s">
        <v>2862</v>
      </c>
      <c r="C15876">
        <v>553</v>
      </c>
      <c r="D15876">
        <v>378</v>
      </c>
      <c r="E15876">
        <v>1577198957</v>
      </c>
      <c r="F15876">
        <v>2050</v>
      </c>
      <c r="G15876">
        <v>0</v>
      </c>
      <c r="H15876" t="s">
        <v>20714</v>
      </c>
      <c r="I15876">
        <v>18001</v>
      </c>
      <c r="J15876" t="str">
        <f>VLOOKUP(E15876,DSSpieler!A:B,2,FALSE)</f>
        <v>Hakan61</v>
      </c>
    </row>
    <row r="15877" spans="1:10" x14ac:dyDescent="0.25">
      <c r="A15877">
        <v>18002</v>
      </c>
      <c r="B15877" t="s">
        <v>531</v>
      </c>
      <c r="C15877">
        <v>383</v>
      </c>
      <c r="D15877">
        <v>555</v>
      </c>
      <c r="E15877">
        <v>0</v>
      </c>
      <c r="F15877">
        <v>159</v>
      </c>
      <c r="G15877">
        <v>0</v>
      </c>
      <c r="H15877" t="s">
        <v>20715</v>
      </c>
      <c r="I15877">
        <v>18002</v>
      </c>
      <c r="J15877" t="e">
        <f>VLOOKUP(E15877,DSSpieler!A:B,2,FALSE)</f>
        <v>#N/A</v>
      </c>
    </row>
    <row r="15878" spans="1:10" x14ac:dyDescent="0.25">
      <c r="A15878">
        <v>18003</v>
      </c>
      <c r="B15878" t="s">
        <v>2863</v>
      </c>
      <c r="C15878">
        <v>376</v>
      </c>
      <c r="D15878">
        <v>534</v>
      </c>
      <c r="E15878">
        <v>1577199742</v>
      </c>
      <c r="F15878">
        <v>1644</v>
      </c>
      <c r="G15878">
        <v>0</v>
      </c>
      <c r="H15878" t="s">
        <v>20716</v>
      </c>
      <c r="I15878">
        <v>18003</v>
      </c>
      <c r="J15878" t="str">
        <f>VLOOKUP(E15878,DSSpieler!A:B,2,FALSE)</f>
        <v>Venum</v>
      </c>
    </row>
    <row r="15879" spans="1:10" x14ac:dyDescent="0.25">
      <c r="A15879">
        <v>18004</v>
      </c>
      <c r="B15879" t="s">
        <v>531</v>
      </c>
      <c r="C15879">
        <v>542</v>
      </c>
      <c r="D15879">
        <v>382</v>
      </c>
      <c r="E15879">
        <v>0</v>
      </c>
      <c r="F15879">
        <v>166</v>
      </c>
      <c r="G15879">
        <v>0</v>
      </c>
      <c r="H15879" t="s">
        <v>20717</v>
      </c>
      <c r="I15879">
        <v>18004</v>
      </c>
      <c r="J15879" t="e">
        <f>VLOOKUP(E15879,DSSpieler!A:B,2,FALSE)</f>
        <v>#N/A</v>
      </c>
    </row>
    <row r="15880" spans="1:10" x14ac:dyDescent="0.25">
      <c r="A15880">
        <v>18008</v>
      </c>
      <c r="B15880" t="s">
        <v>2864</v>
      </c>
      <c r="C15880">
        <v>380</v>
      </c>
      <c r="D15880">
        <v>491</v>
      </c>
      <c r="E15880">
        <v>1577008085</v>
      </c>
      <c r="F15880">
        <v>107</v>
      </c>
      <c r="G15880">
        <v>0</v>
      </c>
      <c r="H15880" t="s">
        <v>20718</v>
      </c>
      <c r="I15880">
        <v>18008</v>
      </c>
      <c r="J15880" t="str">
        <f>VLOOKUP(E15880,DSSpieler!A:B,2,FALSE)</f>
        <v>DasEnteTV</v>
      </c>
    </row>
    <row r="15881" spans="1:10" x14ac:dyDescent="0.25">
      <c r="A15881">
        <v>18009</v>
      </c>
      <c r="B15881">
        <v>178</v>
      </c>
      <c r="C15881">
        <v>497</v>
      </c>
      <c r="D15881">
        <v>370</v>
      </c>
      <c r="E15881">
        <v>1577187704</v>
      </c>
      <c r="F15881">
        <v>1854</v>
      </c>
      <c r="G15881">
        <v>0</v>
      </c>
      <c r="H15881" t="s">
        <v>20719</v>
      </c>
      <c r="I15881">
        <v>18009</v>
      </c>
      <c r="J15881" t="str">
        <f>VLOOKUP(E15881,DSSpieler!A:B,2,FALSE)</f>
        <v>FrozzenGreen</v>
      </c>
    </row>
    <row r="15882" spans="1:10" x14ac:dyDescent="0.25">
      <c r="A15882">
        <v>18010</v>
      </c>
      <c r="B15882" t="s">
        <v>2865</v>
      </c>
      <c r="C15882">
        <v>451</v>
      </c>
      <c r="D15882">
        <v>382</v>
      </c>
      <c r="E15882">
        <v>1577111190</v>
      </c>
      <c r="F15882">
        <v>1310</v>
      </c>
      <c r="G15882">
        <v>0</v>
      </c>
      <c r="H15882" t="s">
        <v>20720</v>
      </c>
      <c r="I15882">
        <v>18010</v>
      </c>
      <c r="J15882" t="str">
        <f>VLOOKUP(E15882,DSSpieler!A:B,2,FALSE)</f>
        <v>lucki274</v>
      </c>
    </row>
    <row r="15883" spans="1:10" x14ac:dyDescent="0.25">
      <c r="A15883">
        <v>18011</v>
      </c>
      <c r="B15883" t="s">
        <v>2866</v>
      </c>
      <c r="C15883">
        <v>457</v>
      </c>
      <c r="D15883">
        <v>486</v>
      </c>
      <c r="E15883">
        <v>1576515497</v>
      </c>
      <c r="F15883">
        <v>1742</v>
      </c>
      <c r="G15883">
        <v>0</v>
      </c>
      <c r="H15883" t="s">
        <v>20721</v>
      </c>
      <c r="I15883">
        <v>18011</v>
      </c>
      <c r="J15883" t="str">
        <f>VLOOKUP(E15883,DSSpieler!A:B,2,FALSE)</f>
        <v>skyjumper01</v>
      </c>
    </row>
    <row r="15884" spans="1:10" x14ac:dyDescent="0.25">
      <c r="A15884">
        <v>18012</v>
      </c>
      <c r="B15884" t="s">
        <v>2867</v>
      </c>
      <c r="C15884">
        <v>596</v>
      </c>
      <c r="D15884">
        <v>463</v>
      </c>
      <c r="E15884">
        <v>1577077787</v>
      </c>
      <c r="F15884">
        <v>2077</v>
      </c>
      <c r="G15884">
        <v>0</v>
      </c>
      <c r="H15884" t="s">
        <v>20722</v>
      </c>
      <c r="I15884">
        <v>18012</v>
      </c>
      <c r="J15884" t="str">
        <f>VLOOKUP(E15884,DSSpieler!A:B,2,FALSE)</f>
        <v>Kinorushi12</v>
      </c>
    </row>
    <row r="15885" spans="1:10" x14ac:dyDescent="0.25">
      <c r="A15885">
        <v>18013</v>
      </c>
      <c r="B15885" t="s">
        <v>531</v>
      </c>
      <c r="C15885">
        <v>427</v>
      </c>
      <c r="D15885">
        <v>393</v>
      </c>
      <c r="E15885">
        <v>0</v>
      </c>
      <c r="F15885">
        <v>179</v>
      </c>
      <c r="G15885">
        <v>0</v>
      </c>
      <c r="H15885" t="s">
        <v>20723</v>
      </c>
      <c r="I15885">
        <v>18013</v>
      </c>
      <c r="J15885" t="e">
        <f>VLOOKUP(E15885,DSSpieler!A:B,2,FALSE)</f>
        <v>#N/A</v>
      </c>
    </row>
    <row r="15886" spans="1:10" x14ac:dyDescent="0.25">
      <c r="A15886">
        <v>18014</v>
      </c>
      <c r="B15886" t="s">
        <v>531</v>
      </c>
      <c r="C15886">
        <v>431</v>
      </c>
      <c r="D15886">
        <v>391</v>
      </c>
      <c r="E15886">
        <v>0</v>
      </c>
      <c r="F15886">
        <v>44</v>
      </c>
      <c r="G15886">
        <v>0</v>
      </c>
      <c r="H15886" t="s">
        <v>20724</v>
      </c>
      <c r="I15886">
        <v>18014</v>
      </c>
      <c r="J15886" t="e">
        <f>VLOOKUP(E15886,DSSpieler!A:B,2,FALSE)</f>
        <v>#N/A</v>
      </c>
    </row>
    <row r="15887" spans="1:10" x14ac:dyDescent="0.25">
      <c r="A15887">
        <v>18015</v>
      </c>
      <c r="B15887" t="s">
        <v>774</v>
      </c>
      <c r="C15887">
        <v>533</v>
      </c>
      <c r="D15887">
        <v>385</v>
      </c>
      <c r="E15887">
        <v>1577197012</v>
      </c>
      <c r="F15887">
        <v>1539</v>
      </c>
      <c r="G15887">
        <v>0</v>
      </c>
      <c r="H15887" t="s">
        <v>20725</v>
      </c>
      <c r="I15887">
        <v>18015</v>
      </c>
      <c r="J15887" t="str">
        <f>VLOOKUP(E15887,DSSpieler!A:B,2,FALSE)</f>
        <v>Luts</v>
      </c>
    </row>
    <row r="15888" spans="1:10" x14ac:dyDescent="0.25">
      <c r="A15888">
        <v>18016</v>
      </c>
      <c r="B15888" t="s">
        <v>2868</v>
      </c>
      <c r="C15888">
        <v>385</v>
      </c>
      <c r="D15888">
        <v>548</v>
      </c>
      <c r="E15888">
        <v>1577197770</v>
      </c>
      <c r="F15888">
        <v>192</v>
      </c>
      <c r="G15888">
        <v>0</v>
      </c>
      <c r="H15888" t="s">
        <v>20726</v>
      </c>
      <c r="I15888">
        <v>18016</v>
      </c>
      <c r="J15888" t="str">
        <f>VLOOKUP(E15888,DSSpieler!A:B,2,FALSE)</f>
        <v>LochnessRapgoddess</v>
      </c>
    </row>
    <row r="15889" spans="1:10" x14ac:dyDescent="0.25">
      <c r="A15889">
        <v>18018</v>
      </c>
      <c r="B15889" t="s">
        <v>2869</v>
      </c>
      <c r="C15889">
        <v>386</v>
      </c>
      <c r="D15889">
        <v>561</v>
      </c>
      <c r="E15889">
        <v>1575909931</v>
      </c>
      <c r="F15889">
        <v>409</v>
      </c>
      <c r="G15889">
        <v>0</v>
      </c>
      <c r="H15889" t="s">
        <v>20727</v>
      </c>
      <c r="I15889">
        <v>18018</v>
      </c>
      <c r="J15889" t="str">
        <f>VLOOKUP(E15889,DSSpieler!A:B,2,FALSE)</f>
        <v>Dexter90</v>
      </c>
    </row>
    <row r="15890" spans="1:10" x14ac:dyDescent="0.25">
      <c r="A15890">
        <v>18019</v>
      </c>
      <c r="B15890" t="s">
        <v>2870</v>
      </c>
      <c r="C15890">
        <v>621</v>
      </c>
      <c r="D15890">
        <v>528</v>
      </c>
      <c r="E15890">
        <v>1577206265</v>
      </c>
      <c r="F15890">
        <v>1959</v>
      </c>
      <c r="G15890">
        <v>0</v>
      </c>
      <c r="H15890" t="s">
        <v>20728</v>
      </c>
      <c r="I15890">
        <v>18019</v>
      </c>
      <c r="J15890" t="str">
        <f>VLOOKUP(E15890,DSSpieler!A:B,2,FALSE)</f>
        <v>Hanswurst666</v>
      </c>
    </row>
    <row r="15891" spans="1:10" x14ac:dyDescent="0.25">
      <c r="A15891">
        <v>18020</v>
      </c>
      <c r="B15891" t="s">
        <v>531</v>
      </c>
      <c r="C15891">
        <v>441</v>
      </c>
      <c r="D15891">
        <v>609</v>
      </c>
      <c r="E15891">
        <v>0</v>
      </c>
      <c r="F15891">
        <v>34</v>
      </c>
      <c r="G15891">
        <v>0</v>
      </c>
      <c r="H15891" t="s">
        <v>20729</v>
      </c>
      <c r="I15891">
        <v>18020</v>
      </c>
      <c r="J15891" t="e">
        <f>VLOOKUP(E15891,DSSpieler!A:B,2,FALSE)</f>
        <v>#N/A</v>
      </c>
    </row>
    <row r="15892" spans="1:10" x14ac:dyDescent="0.25">
      <c r="A15892">
        <v>18021</v>
      </c>
      <c r="B15892" t="s">
        <v>2871</v>
      </c>
      <c r="C15892">
        <v>538</v>
      </c>
      <c r="D15892">
        <v>621</v>
      </c>
      <c r="E15892">
        <v>7860348</v>
      </c>
      <c r="F15892">
        <v>281</v>
      </c>
      <c r="G15892">
        <v>0</v>
      </c>
      <c r="H15892" t="s">
        <v>20730</v>
      </c>
      <c r="I15892">
        <v>18021</v>
      </c>
      <c r="J15892" t="str">
        <f>VLOOKUP(E15892,DSSpieler!A:B,2,FALSE)</f>
        <v>Vollmond62</v>
      </c>
    </row>
    <row r="15893" spans="1:10" x14ac:dyDescent="0.25">
      <c r="A15893">
        <v>18022</v>
      </c>
      <c r="B15893" t="s">
        <v>531</v>
      </c>
      <c r="C15893">
        <v>375</v>
      </c>
      <c r="D15893">
        <v>530</v>
      </c>
      <c r="E15893">
        <v>0</v>
      </c>
      <c r="F15893">
        <v>144</v>
      </c>
      <c r="G15893">
        <v>0</v>
      </c>
      <c r="H15893" t="s">
        <v>20731</v>
      </c>
      <c r="I15893">
        <v>18022</v>
      </c>
      <c r="J15893" t="e">
        <f>VLOOKUP(E15893,DSSpieler!A:B,2,FALSE)</f>
        <v>#N/A</v>
      </c>
    </row>
    <row r="15894" spans="1:10" x14ac:dyDescent="0.25">
      <c r="A15894">
        <v>18023</v>
      </c>
      <c r="B15894" t="s">
        <v>150</v>
      </c>
      <c r="C15894">
        <v>439</v>
      </c>
      <c r="D15894">
        <v>389</v>
      </c>
      <c r="E15894">
        <v>1577206119</v>
      </c>
      <c r="F15894">
        <v>1726</v>
      </c>
      <c r="G15894">
        <v>0</v>
      </c>
      <c r="H15894" t="s">
        <v>20732</v>
      </c>
      <c r="I15894">
        <v>18023</v>
      </c>
      <c r="J15894" t="str">
        <f>VLOOKUP(E15894,DSSpieler!A:B,2,FALSE)</f>
        <v>siggisig</v>
      </c>
    </row>
    <row r="15895" spans="1:10" x14ac:dyDescent="0.25">
      <c r="A15895">
        <v>18024</v>
      </c>
      <c r="B15895" t="s">
        <v>2872</v>
      </c>
      <c r="C15895">
        <v>376</v>
      </c>
      <c r="D15895">
        <v>529</v>
      </c>
      <c r="E15895">
        <v>1577168691</v>
      </c>
      <c r="F15895">
        <v>1148</v>
      </c>
      <c r="G15895">
        <v>0</v>
      </c>
      <c r="H15895" t="s">
        <v>20733</v>
      </c>
      <c r="I15895">
        <v>18024</v>
      </c>
      <c r="J15895" t="str">
        <f>VLOOKUP(E15895,DSSpieler!A:B,2,FALSE)</f>
        <v>xseverin</v>
      </c>
    </row>
    <row r="15896" spans="1:10" x14ac:dyDescent="0.25">
      <c r="A15896">
        <v>18025</v>
      </c>
      <c r="B15896" t="s">
        <v>531</v>
      </c>
      <c r="C15896">
        <v>479</v>
      </c>
      <c r="D15896">
        <v>625</v>
      </c>
      <c r="E15896">
        <v>0</v>
      </c>
      <c r="F15896">
        <v>26</v>
      </c>
      <c r="G15896">
        <v>0</v>
      </c>
      <c r="H15896" t="s">
        <v>20734</v>
      </c>
      <c r="I15896">
        <v>18025</v>
      </c>
      <c r="J15896" t="e">
        <f>VLOOKUP(E15896,DSSpieler!A:B,2,FALSE)</f>
        <v>#N/A</v>
      </c>
    </row>
    <row r="15897" spans="1:10" x14ac:dyDescent="0.25">
      <c r="A15897">
        <v>18027</v>
      </c>
      <c r="B15897" t="s">
        <v>531</v>
      </c>
      <c r="C15897">
        <v>618</v>
      </c>
      <c r="D15897">
        <v>542</v>
      </c>
      <c r="E15897">
        <v>0</v>
      </c>
      <c r="F15897">
        <v>115</v>
      </c>
      <c r="G15897">
        <v>0</v>
      </c>
      <c r="H15897" t="s">
        <v>20735</v>
      </c>
      <c r="I15897">
        <v>18027</v>
      </c>
      <c r="J15897" t="e">
        <f>VLOOKUP(E15897,DSSpieler!A:B,2,FALSE)</f>
        <v>#N/A</v>
      </c>
    </row>
    <row r="15898" spans="1:10" x14ac:dyDescent="0.25">
      <c r="A15898">
        <v>18028</v>
      </c>
      <c r="B15898" t="s">
        <v>35617</v>
      </c>
      <c r="C15898">
        <v>379</v>
      </c>
      <c r="D15898">
        <v>540</v>
      </c>
      <c r="E15898">
        <v>1577184842</v>
      </c>
      <c r="F15898">
        <v>1077</v>
      </c>
      <c r="G15898">
        <v>0</v>
      </c>
      <c r="H15898" t="s">
        <v>20736</v>
      </c>
      <c r="I15898">
        <v>18028</v>
      </c>
      <c r="J15898" t="str">
        <f>VLOOKUP(E15898,DSSpieler!A:B,2,FALSE)</f>
        <v>Koalaking</v>
      </c>
    </row>
    <row r="15899" spans="1:10" x14ac:dyDescent="0.25">
      <c r="A15899">
        <v>18029</v>
      </c>
      <c r="B15899" t="s">
        <v>531</v>
      </c>
      <c r="C15899">
        <v>408</v>
      </c>
      <c r="D15899">
        <v>587</v>
      </c>
      <c r="E15899">
        <v>0</v>
      </c>
      <c r="F15899">
        <v>120</v>
      </c>
      <c r="G15899">
        <v>0</v>
      </c>
      <c r="H15899" t="s">
        <v>20737</v>
      </c>
      <c r="I15899">
        <v>18029</v>
      </c>
      <c r="J15899" t="e">
        <f>VLOOKUP(E15899,DSSpieler!A:B,2,FALSE)</f>
        <v>#N/A</v>
      </c>
    </row>
    <row r="15900" spans="1:10" x14ac:dyDescent="0.25">
      <c r="A15900">
        <v>18030</v>
      </c>
      <c r="B15900" t="s">
        <v>35618</v>
      </c>
      <c r="C15900">
        <v>432</v>
      </c>
      <c r="D15900">
        <v>394</v>
      </c>
      <c r="E15900">
        <v>1577167022</v>
      </c>
      <c r="F15900">
        <v>1913</v>
      </c>
      <c r="G15900">
        <v>0</v>
      </c>
      <c r="H15900" t="s">
        <v>20738</v>
      </c>
      <c r="I15900">
        <v>18030</v>
      </c>
      <c r="J15900" t="str">
        <f>VLOOKUP(E15900,DSSpieler!A:B,2,FALSE)</f>
        <v>harleqin</v>
      </c>
    </row>
    <row r="15901" spans="1:10" x14ac:dyDescent="0.25">
      <c r="A15901">
        <v>18031</v>
      </c>
      <c r="B15901" t="s">
        <v>2873</v>
      </c>
      <c r="C15901">
        <v>471</v>
      </c>
      <c r="D15901">
        <v>555</v>
      </c>
      <c r="E15901">
        <v>534516</v>
      </c>
      <c r="F15901">
        <v>1574</v>
      </c>
      <c r="G15901">
        <v>0</v>
      </c>
      <c r="H15901" t="s">
        <v>20739</v>
      </c>
      <c r="I15901">
        <v>18031</v>
      </c>
      <c r="J15901" t="str">
        <f>VLOOKUP(E15901,DSSpieler!A:B,2,FALSE)</f>
        <v>King of the Islands</v>
      </c>
    </row>
    <row r="15902" spans="1:10" x14ac:dyDescent="0.25">
      <c r="A15902">
        <v>18032</v>
      </c>
      <c r="B15902" t="s">
        <v>2874</v>
      </c>
      <c r="C15902">
        <v>410</v>
      </c>
      <c r="D15902">
        <v>415</v>
      </c>
      <c r="E15902">
        <v>1577131185</v>
      </c>
      <c r="F15902">
        <v>91</v>
      </c>
      <c r="G15902">
        <v>0</v>
      </c>
      <c r="H15902" t="s">
        <v>20740</v>
      </c>
      <c r="I15902">
        <v>18032</v>
      </c>
      <c r="J15902" t="str">
        <f>VLOOKUP(E15902,DSSpieler!A:B,2,FALSE)</f>
        <v>flingi</v>
      </c>
    </row>
    <row r="15903" spans="1:10" x14ac:dyDescent="0.25">
      <c r="A15903">
        <v>18033</v>
      </c>
      <c r="B15903" t="s">
        <v>2875</v>
      </c>
      <c r="C15903">
        <v>593</v>
      </c>
      <c r="D15903">
        <v>594</v>
      </c>
      <c r="E15903">
        <v>3347981</v>
      </c>
      <c r="F15903">
        <v>1755</v>
      </c>
      <c r="G15903">
        <v>0</v>
      </c>
      <c r="H15903" t="s">
        <v>20741</v>
      </c>
      <c r="I15903">
        <v>18033</v>
      </c>
      <c r="J15903" t="str">
        <f>VLOOKUP(E15903,DSSpieler!A:B,2,FALSE)</f>
        <v>bobo-exe</v>
      </c>
    </row>
    <row r="15904" spans="1:10" x14ac:dyDescent="0.25">
      <c r="A15904">
        <v>18034</v>
      </c>
      <c r="B15904" t="s">
        <v>531</v>
      </c>
      <c r="C15904">
        <v>500</v>
      </c>
      <c r="D15904">
        <v>371</v>
      </c>
      <c r="E15904">
        <v>0</v>
      </c>
      <c r="F15904">
        <v>166</v>
      </c>
      <c r="G15904">
        <v>0</v>
      </c>
      <c r="H15904" t="s">
        <v>20742</v>
      </c>
      <c r="I15904">
        <v>18034</v>
      </c>
      <c r="J15904" t="e">
        <f>VLOOKUP(E15904,DSSpieler!A:B,2,FALSE)</f>
        <v>#N/A</v>
      </c>
    </row>
    <row r="15905" spans="1:10" x14ac:dyDescent="0.25">
      <c r="A15905">
        <v>18035</v>
      </c>
      <c r="B15905" t="s">
        <v>531</v>
      </c>
      <c r="C15905">
        <v>539</v>
      </c>
      <c r="D15905">
        <v>381</v>
      </c>
      <c r="E15905">
        <v>0</v>
      </c>
      <c r="F15905">
        <v>323</v>
      </c>
      <c r="G15905">
        <v>0</v>
      </c>
      <c r="H15905" t="s">
        <v>20743</v>
      </c>
      <c r="I15905">
        <v>18035</v>
      </c>
      <c r="J15905" t="e">
        <f>VLOOKUP(E15905,DSSpieler!A:B,2,FALSE)</f>
        <v>#N/A</v>
      </c>
    </row>
    <row r="15906" spans="1:10" x14ac:dyDescent="0.25">
      <c r="A15906">
        <v>18036</v>
      </c>
      <c r="B15906" t="s">
        <v>2876</v>
      </c>
      <c r="C15906">
        <v>545</v>
      </c>
      <c r="D15906">
        <v>428</v>
      </c>
      <c r="E15906">
        <v>1576871047</v>
      </c>
      <c r="F15906">
        <v>1544</v>
      </c>
      <c r="G15906">
        <v>0</v>
      </c>
      <c r="H15906" t="s">
        <v>20744</v>
      </c>
      <c r="I15906">
        <v>18036</v>
      </c>
      <c r="J15906" t="str">
        <f>VLOOKUP(E15906,DSSpieler!A:B,2,FALSE)</f>
        <v>AJL-93</v>
      </c>
    </row>
    <row r="15907" spans="1:10" x14ac:dyDescent="0.25">
      <c r="A15907">
        <v>18037</v>
      </c>
      <c r="B15907" t="s">
        <v>2877</v>
      </c>
      <c r="C15907">
        <v>533</v>
      </c>
      <c r="D15907">
        <v>470</v>
      </c>
      <c r="E15907">
        <v>1577150941</v>
      </c>
      <c r="F15907">
        <v>122</v>
      </c>
      <c r="G15907">
        <v>0</v>
      </c>
      <c r="H15907" t="s">
        <v>20745</v>
      </c>
      <c r="I15907">
        <v>18037</v>
      </c>
      <c r="J15907" t="str">
        <f>VLOOKUP(E15907,DSSpieler!A:B,2,FALSE)</f>
        <v>DrOglum</v>
      </c>
    </row>
    <row r="15908" spans="1:10" x14ac:dyDescent="0.25">
      <c r="A15908">
        <v>18038</v>
      </c>
      <c r="B15908" t="s">
        <v>2878</v>
      </c>
      <c r="C15908">
        <v>484</v>
      </c>
      <c r="D15908">
        <v>494</v>
      </c>
      <c r="E15908">
        <v>1577189242</v>
      </c>
      <c r="F15908">
        <v>872</v>
      </c>
      <c r="G15908">
        <v>0</v>
      </c>
      <c r="H15908" t="s">
        <v>20746</v>
      </c>
      <c r="I15908">
        <v>18038</v>
      </c>
      <c r="J15908" t="str">
        <f>VLOOKUP(E15908,DSSpieler!A:B,2,FALSE)</f>
        <v>Cafra13</v>
      </c>
    </row>
    <row r="15909" spans="1:10" x14ac:dyDescent="0.25">
      <c r="A15909">
        <v>18039</v>
      </c>
      <c r="B15909" t="s">
        <v>2879</v>
      </c>
      <c r="C15909">
        <v>393</v>
      </c>
      <c r="D15909">
        <v>563</v>
      </c>
      <c r="E15909">
        <v>1577206035</v>
      </c>
      <c r="F15909">
        <v>287</v>
      </c>
      <c r="G15909">
        <v>0</v>
      </c>
      <c r="H15909" t="s">
        <v>20747</v>
      </c>
      <c r="I15909">
        <v>18039</v>
      </c>
      <c r="J15909" t="str">
        <f>VLOOKUP(E15909,DSSpieler!A:B,2,FALSE)</f>
        <v>xXRuoKXx</v>
      </c>
    </row>
    <row r="15910" spans="1:10" x14ac:dyDescent="0.25">
      <c r="A15910">
        <v>18040</v>
      </c>
      <c r="B15910" t="s">
        <v>2880</v>
      </c>
      <c r="C15910">
        <v>577</v>
      </c>
      <c r="D15910">
        <v>396</v>
      </c>
      <c r="E15910">
        <v>7970920</v>
      </c>
      <c r="F15910">
        <v>1852</v>
      </c>
      <c r="G15910">
        <v>0</v>
      </c>
      <c r="H15910" t="s">
        <v>20748</v>
      </c>
      <c r="I15910">
        <v>18040</v>
      </c>
      <c r="J15910" t="str">
        <f>VLOOKUP(E15910,DSSpieler!A:B,2,FALSE)</f>
        <v>wickilia</v>
      </c>
    </row>
    <row r="15911" spans="1:10" x14ac:dyDescent="0.25">
      <c r="A15911">
        <v>18041</v>
      </c>
      <c r="B15911" t="s">
        <v>2881</v>
      </c>
      <c r="C15911">
        <v>495</v>
      </c>
      <c r="D15911">
        <v>473</v>
      </c>
      <c r="E15911">
        <v>10264083</v>
      </c>
      <c r="F15911">
        <v>1960</v>
      </c>
      <c r="G15911">
        <v>0</v>
      </c>
      <c r="H15911" t="s">
        <v>20749</v>
      </c>
      <c r="I15911">
        <v>18041</v>
      </c>
      <c r="J15911" t="str">
        <f>VLOOKUP(E15911,DSSpieler!A:B,2,FALSE)</f>
        <v>Bill Gates</v>
      </c>
    </row>
    <row r="15912" spans="1:10" x14ac:dyDescent="0.25">
      <c r="A15912">
        <v>18042</v>
      </c>
      <c r="B15912" t="s">
        <v>531</v>
      </c>
      <c r="C15912">
        <v>618</v>
      </c>
      <c r="D15912">
        <v>459</v>
      </c>
      <c r="E15912">
        <v>0</v>
      </c>
      <c r="F15912">
        <v>146</v>
      </c>
      <c r="G15912">
        <v>0</v>
      </c>
      <c r="H15912" t="s">
        <v>20750</v>
      </c>
      <c r="I15912">
        <v>18042</v>
      </c>
      <c r="J15912" t="e">
        <f>VLOOKUP(E15912,DSSpieler!A:B,2,FALSE)</f>
        <v>#N/A</v>
      </c>
    </row>
    <row r="15913" spans="1:10" x14ac:dyDescent="0.25">
      <c r="A15913">
        <v>18043</v>
      </c>
      <c r="B15913" t="s">
        <v>531</v>
      </c>
      <c r="C15913">
        <v>392</v>
      </c>
      <c r="D15913">
        <v>571</v>
      </c>
      <c r="E15913">
        <v>0</v>
      </c>
      <c r="F15913">
        <v>40</v>
      </c>
      <c r="G15913">
        <v>0</v>
      </c>
      <c r="H15913" t="s">
        <v>20751</v>
      </c>
      <c r="I15913">
        <v>18043</v>
      </c>
      <c r="J15913" t="e">
        <f>VLOOKUP(E15913,DSSpieler!A:B,2,FALSE)</f>
        <v>#N/A</v>
      </c>
    </row>
    <row r="15914" spans="1:10" x14ac:dyDescent="0.25">
      <c r="A15914">
        <v>18044</v>
      </c>
      <c r="B15914" t="s">
        <v>2882</v>
      </c>
      <c r="C15914">
        <v>530</v>
      </c>
      <c r="D15914">
        <v>618</v>
      </c>
      <c r="E15914">
        <v>629516</v>
      </c>
      <c r="F15914">
        <v>1374</v>
      </c>
      <c r="G15914">
        <v>0</v>
      </c>
      <c r="H15914" t="s">
        <v>20752</v>
      </c>
      <c r="I15914">
        <v>18044</v>
      </c>
      <c r="J15914" t="str">
        <f>VLOOKUP(E15914,DSSpieler!A:B,2,FALSE)</f>
        <v>Skaterffm</v>
      </c>
    </row>
    <row r="15915" spans="1:10" x14ac:dyDescent="0.25">
      <c r="A15915">
        <v>18045</v>
      </c>
      <c r="B15915" t="s">
        <v>531</v>
      </c>
      <c r="C15915">
        <v>580</v>
      </c>
      <c r="D15915">
        <v>398</v>
      </c>
      <c r="E15915">
        <v>0</v>
      </c>
      <c r="F15915">
        <v>178</v>
      </c>
      <c r="G15915">
        <v>0</v>
      </c>
      <c r="H15915" t="s">
        <v>20753</v>
      </c>
      <c r="I15915">
        <v>18045</v>
      </c>
      <c r="J15915" t="e">
        <f>VLOOKUP(E15915,DSSpieler!A:B,2,FALSE)</f>
        <v>#N/A</v>
      </c>
    </row>
    <row r="15916" spans="1:10" x14ac:dyDescent="0.25">
      <c r="A15916">
        <v>18046</v>
      </c>
      <c r="B15916" t="s">
        <v>531</v>
      </c>
      <c r="C15916">
        <v>490</v>
      </c>
      <c r="D15916">
        <v>377</v>
      </c>
      <c r="E15916">
        <v>0</v>
      </c>
      <c r="F15916">
        <v>768</v>
      </c>
      <c r="G15916">
        <v>0</v>
      </c>
      <c r="H15916" t="s">
        <v>20754</v>
      </c>
      <c r="I15916">
        <v>18046</v>
      </c>
      <c r="J15916" t="e">
        <f>VLOOKUP(E15916,DSSpieler!A:B,2,FALSE)</f>
        <v>#N/A</v>
      </c>
    </row>
    <row r="15917" spans="1:10" x14ac:dyDescent="0.25">
      <c r="A15917">
        <v>18047</v>
      </c>
      <c r="B15917" t="s">
        <v>35619</v>
      </c>
      <c r="C15917">
        <v>541</v>
      </c>
      <c r="D15917">
        <v>382</v>
      </c>
      <c r="E15917">
        <v>1577147827</v>
      </c>
      <c r="F15917">
        <v>2373</v>
      </c>
      <c r="G15917">
        <v>0</v>
      </c>
      <c r="H15917" t="s">
        <v>20755</v>
      </c>
      <c r="I15917">
        <v>18047</v>
      </c>
      <c r="J15917" t="str">
        <f>VLOOKUP(E15917,DSSpieler!A:B,2,FALSE)</f>
        <v>KingXayya</v>
      </c>
    </row>
    <row r="15918" spans="1:10" x14ac:dyDescent="0.25">
      <c r="A15918">
        <v>18048</v>
      </c>
      <c r="B15918" t="s">
        <v>531</v>
      </c>
      <c r="C15918">
        <v>618</v>
      </c>
      <c r="D15918">
        <v>462</v>
      </c>
      <c r="E15918">
        <v>0</v>
      </c>
      <c r="F15918">
        <v>62</v>
      </c>
      <c r="G15918">
        <v>0</v>
      </c>
      <c r="H15918" t="s">
        <v>20756</v>
      </c>
      <c r="I15918">
        <v>18048</v>
      </c>
      <c r="J15918" t="e">
        <f>VLOOKUP(E15918,DSSpieler!A:B,2,FALSE)</f>
        <v>#N/A</v>
      </c>
    </row>
    <row r="15919" spans="1:10" x14ac:dyDescent="0.25">
      <c r="A15919">
        <v>18049</v>
      </c>
      <c r="B15919" t="s">
        <v>531</v>
      </c>
      <c r="C15919">
        <v>490</v>
      </c>
      <c r="D15919">
        <v>627</v>
      </c>
      <c r="E15919">
        <v>0</v>
      </c>
      <c r="F15919">
        <v>48</v>
      </c>
      <c r="G15919">
        <v>0</v>
      </c>
      <c r="H15919" t="s">
        <v>20757</v>
      </c>
      <c r="I15919">
        <v>18049</v>
      </c>
      <c r="J15919" t="e">
        <f>VLOOKUP(E15919,DSSpieler!A:B,2,FALSE)</f>
        <v>#N/A</v>
      </c>
    </row>
    <row r="15920" spans="1:10" x14ac:dyDescent="0.25">
      <c r="A15920">
        <v>18050</v>
      </c>
      <c r="B15920" t="s">
        <v>35620</v>
      </c>
      <c r="C15920">
        <v>374</v>
      </c>
      <c r="D15920">
        <v>471</v>
      </c>
      <c r="E15920">
        <v>1577088936</v>
      </c>
      <c r="F15920">
        <v>38</v>
      </c>
      <c r="G15920">
        <v>0</v>
      </c>
      <c r="H15920" t="s">
        <v>20758</v>
      </c>
      <c r="I15920">
        <v>18050</v>
      </c>
      <c r="J15920" t="str">
        <f>VLOOKUP(E15920,DSSpieler!A:B,2,FALSE)</f>
        <v>viper mit Soße</v>
      </c>
    </row>
    <row r="15921" spans="1:10" x14ac:dyDescent="0.25">
      <c r="A15921">
        <v>18051</v>
      </c>
      <c r="B15921" t="s">
        <v>2883</v>
      </c>
      <c r="C15921">
        <v>523</v>
      </c>
      <c r="D15921">
        <v>625</v>
      </c>
      <c r="E15921">
        <v>8685792</v>
      </c>
      <c r="F15921">
        <v>457</v>
      </c>
      <c r="G15921">
        <v>0</v>
      </c>
      <c r="H15921" t="s">
        <v>20759</v>
      </c>
      <c r="I15921">
        <v>18051</v>
      </c>
      <c r="J15921" t="str">
        <f>VLOOKUP(E15921,DSSpieler!A:B,2,FALSE)</f>
        <v>Sir Luney</v>
      </c>
    </row>
    <row r="15922" spans="1:10" x14ac:dyDescent="0.25">
      <c r="A15922">
        <v>18052</v>
      </c>
      <c r="B15922" t="s">
        <v>2884</v>
      </c>
      <c r="C15922">
        <v>625</v>
      </c>
      <c r="D15922">
        <v>522</v>
      </c>
      <c r="E15922">
        <v>1577153613</v>
      </c>
      <c r="F15922">
        <v>38</v>
      </c>
      <c r="G15922">
        <v>0</v>
      </c>
      <c r="H15922" t="s">
        <v>20760</v>
      </c>
      <c r="I15922">
        <v>18052</v>
      </c>
      <c r="J15922" t="str">
        <f>VLOOKUP(E15922,DSSpieler!A:B,2,FALSE)</f>
        <v>Siberia</v>
      </c>
    </row>
    <row r="15923" spans="1:10" x14ac:dyDescent="0.25">
      <c r="A15923">
        <v>18055</v>
      </c>
      <c r="B15923" t="s">
        <v>643</v>
      </c>
      <c r="C15923">
        <v>515</v>
      </c>
      <c r="D15923">
        <v>629</v>
      </c>
      <c r="E15923">
        <v>2956862</v>
      </c>
      <c r="F15923">
        <v>1070</v>
      </c>
      <c r="G15923">
        <v>0</v>
      </c>
      <c r="H15923" t="s">
        <v>20761</v>
      </c>
      <c r="I15923">
        <v>18055</v>
      </c>
      <c r="J15923" t="str">
        <f>VLOOKUP(E15923,DSSpieler!A:B,2,FALSE)</f>
        <v>Rüdiger IV</v>
      </c>
    </row>
    <row r="15924" spans="1:10" x14ac:dyDescent="0.25">
      <c r="A15924">
        <v>18056</v>
      </c>
      <c r="B15924" t="s">
        <v>2885</v>
      </c>
      <c r="C15924">
        <v>448</v>
      </c>
      <c r="D15924">
        <v>614</v>
      </c>
      <c r="E15924">
        <v>1577193382</v>
      </c>
      <c r="F15924">
        <v>552</v>
      </c>
      <c r="G15924">
        <v>0</v>
      </c>
      <c r="H15924" t="s">
        <v>20762</v>
      </c>
      <c r="I15924">
        <v>18056</v>
      </c>
      <c r="J15924" t="str">
        <f>VLOOKUP(E15924,DSSpieler!A:B,2,FALSE)</f>
        <v>Mobile-Infantry</v>
      </c>
    </row>
    <row r="15925" spans="1:10" x14ac:dyDescent="0.25">
      <c r="A15925">
        <v>18057</v>
      </c>
      <c r="B15925" t="s">
        <v>2886</v>
      </c>
      <c r="C15925">
        <v>426</v>
      </c>
      <c r="D15925">
        <v>435</v>
      </c>
      <c r="E15925">
        <v>123612</v>
      </c>
      <c r="F15925">
        <v>733</v>
      </c>
      <c r="G15925">
        <v>0</v>
      </c>
      <c r="H15925" t="s">
        <v>20763</v>
      </c>
      <c r="I15925">
        <v>18057</v>
      </c>
      <c r="J15925" t="str">
        <f>VLOOKUP(E15925,DSSpieler!A:B,2,FALSE)</f>
        <v>redskorpion</v>
      </c>
    </row>
    <row r="15926" spans="1:10" x14ac:dyDescent="0.25">
      <c r="A15926">
        <v>18059</v>
      </c>
      <c r="B15926" t="s">
        <v>2887</v>
      </c>
      <c r="C15926">
        <v>528</v>
      </c>
      <c r="D15926">
        <v>539</v>
      </c>
      <c r="E15926">
        <v>1577117125</v>
      </c>
      <c r="F15926">
        <v>1252</v>
      </c>
      <c r="G15926">
        <v>0</v>
      </c>
      <c r="H15926" t="s">
        <v>20764</v>
      </c>
      <c r="I15926">
        <v>18059</v>
      </c>
      <c r="J15926" t="str">
        <f>VLOOKUP(E15926,DSSpieler!A:B,2,FALSE)</f>
        <v>pl4yst4ti0n4</v>
      </c>
    </row>
    <row r="15927" spans="1:10" x14ac:dyDescent="0.25">
      <c r="A15927">
        <v>18060</v>
      </c>
      <c r="B15927" t="s">
        <v>531</v>
      </c>
      <c r="C15927">
        <v>625</v>
      </c>
      <c r="D15927">
        <v>491</v>
      </c>
      <c r="E15927">
        <v>0</v>
      </c>
      <c r="F15927">
        <v>40</v>
      </c>
      <c r="G15927">
        <v>0</v>
      </c>
      <c r="H15927" t="s">
        <v>20765</v>
      </c>
      <c r="I15927">
        <v>18060</v>
      </c>
      <c r="J15927" t="e">
        <f>VLOOKUP(E15927,DSSpieler!A:B,2,FALSE)</f>
        <v>#N/A</v>
      </c>
    </row>
    <row r="15928" spans="1:10" x14ac:dyDescent="0.25">
      <c r="A15928">
        <v>18061</v>
      </c>
      <c r="B15928" t="s">
        <v>2888</v>
      </c>
      <c r="C15928">
        <v>446</v>
      </c>
      <c r="D15928">
        <v>546</v>
      </c>
      <c r="E15928">
        <v>2873882</v>
      </c>
      <c r="F15928">
        <v>610</v>
      </c>
      <c r="G15928">
        <v>0</v>
      </c>
      <c r="H15928" t="s">
        <v>20766</v>
      </c>
      <c r="I15928">
        <v>18061</v>
      </c>
      <c r="J15928" t="str">
        <f>VLOOKUP(E15928,DSSpieler!A:B,2,FALSE)</f>
        <v>Championdragon</v>
      </c>
    </row>
    <row r="15929" spans="1:10" x14ac:dyDescent="0.25">
      <c r="A15929">
        <v>18062</v>
      </c>
      <c r="B15929" t="s">
        <v>2889</v>
      </c>
      <c r="C15929">
        <v>611</v>
      </c>
      <c r="D15929">
        <v>435</v>
      </c>
      <c r="E15929">
        <v>1619469</v>
      </c>
      <c r="F15929">
        <v>32</v>
      </c>
      <c r="G15929">
        <v>0</v>
      </c>
      <c r="H15929" t="s">
        <v>20767</v>
      </c>
      <c r="I15929">
        <v>18062</v>
      </c>
      <c r="J15929" t="str">
        <f>VLOOKUP(E15929,DSSpieler!A:B,2,FALSE)</f>
        <v>suilenroc</v>
      </c>
    </row>
    <row r="15930" spans="1:10" x14ac:dyDescent="0.25">
      <c r="A15930">
        <v>18063</v>
      </c>
      <c r="B15930" t="s">
        <v>531</v>
      </c>
      <c r="C15930">
        <v>473</v>
      </c>
      <c r="D15930">
        <v>376</v>
      </c>
      <c r="E15930">
        <v>0</v>
      </c>
      <c r="F15930">
        <v>36</v>
      </c>
      <c r="G15930">
        <v>0</v>
      </c>
      <c r="H15930" t="s">
        <v>20768</v>
      </c>
      <c r="I15930">
        <v>18063</v>
      </c>
      <c r="J15930" t="e">
        <f>VLOOKUP(E15930,DSSpieler!A:B,2,FALSE)</f>
        <v>#N/A</v>
      </c>
    </row>
    <row r="15931" spans="1:10" x14ac:dyDescent="0.25">
      <c r="A15931">
        <v>18064</v>
      </c>
      <c r="B15931" t="s">
        <v>531</v>
      </c>
      <c r="C15931">
        <v>386</v>
      </c>
      <c r="D15931">
        <v>441</v>
      </c>
      <c r="E15931">
        <v>0</v>
      </c>
      <c r="F15931">
        <v>124</v>
      </c>
      <c r="G15931">
        <v>0</v>
      </c>
      <c r="H15931" t="s">
        <v>20769</v>
      </c>
      <c r="I15931">
        <v>18064</v>
      </c>
      <c r="J15931" t="e">
        <f>VLOOKUP(E15931,DSSpieler!A:B,2,FALSE)</f>
        <v>#N/A</v>
      </c>
    </row>
    <row r="15932" spans="1:10" x14ac:dyDescent="0.25">
      <c r="A15932">
        <v>18066</v>
      </c>
      <c r="B15932" t="s">
        <v>531</v>
      </c>
      <c r="C15932">
        <v>589</v>
      </c>
      <c r="D15932">
        <v>409</v>
      </c>
      <c r="E15932">
        <v>0</v>
      </c>
      <c r="F15932">
        <v>65</v>
      </c>
      <c r="G15932">
        <v>0</v>
      </c>
      <c r="H15932" t="s">
        <v>20770</v>
      </c>
      <c r="I15932">
        <v>18066</v>
      </c>
      <c r="J15932" t="e">
        <f>VLOOKUP(E15932,DSSpieler!A:B,2,FALSE)</f>
        <v>#N/A</v>
      </c>
    </row>
    <row r="15933" spans="1:10" x14ac:dyDescent="0.25">
      <c r="A15933">
        <v>18067</v>
      </c>
      <c r="B15933" t="s">
        <v>531</v>
      </c>
      <c r="C15933">
        <v>624</v>
      </c>
      <c r="D15933">
        <v>482</v>
      </c>
      <c r="E15933">
        <v>0</v>
      </c>
      <c r="F15933">
        <v>124</v>
      </c>
      <c r="G15933">
        <v>0</v>
      </c>
      <c r="H15933" t="s">
        <v>20771</v>
      </c>
      <c r="I15933">
        <v>18067</v>
      </c>
      <c r="J15933" t="e">
        <f>VLOOKUP(E15933,DSSpieler!A:B,2,FALSE)</f>
        <v>#N/A</v>
      </c>
    </row>
    <row r="15934" spans="1:10" x14ac:dyDescent="0.25">
      <c r="A15934">
        <v>18068</v>
      </c>
      <c r="B15934" t="s">
        <v>2890</v>
      </c>
      <c r="C15934">
        <v>460</v>
      </c>
      <c r="D15934">
        <v>381</v>
      </c>
      <c r="E15934">
        <v>1577181112</v>
      </c>
      <c r="F15934">
        <v>180</v>
      </c>
      <c r="G15934">
        <v>0</v>
      </c>
      <c r="H15934" t="s">
        <v>20772</v>
      </c>
      <c r="I15934">
        <v>18068</v>
      </c>
      <c r="J15934" t="str">
        <f>VLOOKUP(E15934,DSSpieler!A:B,2,FALSE)</f>
        <v>Osaries</v>
      </c>
    </row>
    <row r="15935" spans="1:10" x14ac:dyDescent="0.25">
      <c r="A15935">
        <v>18069</v>
      </c>
      <c r="B15935" t="s">
        <v>2891</v>
      </c>
      <c r="C15935">
        <v>449</v>
      </c>
      <c r="D15935">
        <v>614</v>
      </c>
      <c r="E15935">
        <v>2004023</v>
      </c>
      <c r="F15935">
        <v>1546</v>
      </c>
      <c r="G15935">
        <v>0</v>
      </c>
      <c r="H15935" t="s">
        <v>20773</v>
      </c>
      <c r="I15935">
        <v>18069</v>
      </c>
      <c r="J15935" t="str">
        <f>VLOOKUP(E15935,DSSpieler!A:B,2,FALSE)</f>
        <v>gaitzi92</v>
      </c>
    </row>
    <row r="15936" spans="1:10" x14ac:dyDescent="0.25">
      <c r="A15936">
        <v>18070</v>
      </c>
      <c r="B15936" t="s">
        <v>531</v>
      </c>
      <c r="C15936">
        <v>608</v>
      </c>
      <c r="D15936">
        <v>437</v>
      </c>
      <c r="E15936">
        <v>0</v>
      </c>
      <c r="F15936">
        <v>140</v>
      </c>
      <c r="G15936">
        <v>0</v>
      </c>
      <c r="H15936" t="s">
        <v>20774</v>
      </c>
      <c r="I15936">
        <v>18070</v>
      </c>
      <c r="J15936" t="e">
        <f>VLOOKUP(E15936,DSSpieler!A:B,2,FALSE)</f>
        <v>#N/A</v>
      </c>
    </row>
    <row r="15937" spans="1:10" x14ac:dyDescent="0.25">
      <c r="A15937">
        <v>18071</v>
      </c>
      <c r="B15937" t="s">
        <v>2892</v>
      </c>
      <c r="C15937">
        <v>627</v>
      </c>
      <c r="D15937">
        <v>504</v>
      </c>
      <c r="E15937">
        <v>1577192594</v>
      </c>
      <c r="F15937">
        <v>26</v>
      </c>
      <c r="G15937">
        <v>0</v>
      </c>
      <c r="H15937" t="s">
        <v>20775</v>
      </c>
      <c r="I15937">
        <v>18071</v>
      </c>
      <c r="J15937" t="str">
        <f>VLOOKUP(E15937,DSSpieler!A:B,2,FALSE)</f>
        <v>SonMaxiking</v>
      </c>
    </row>
    <row r="15938" spans="1:10" x14ac:dyDescent="0.25">
      <c r="A15938">
        <v>18072</v>
      </c>
      <c r="B15938" t="s">
        <v>531</v>
      </c>
      <c r="C15938">
        <v>439</v>
      </c>
      <c r="D15938">
        <v>387</v>
      </c>
      <c r="E15938">
        <v>0</v>
      </c>
      <c r="F15938">
        <v>111</v>
      </c>
      <c r="G15938">
        <v>0</v>
      </c>
      <c r="H15938" t="s">
        <v>20776</v>
      </c>
      <c r="I15938">
        <v>18072</v>
      </c>
      <c r="J15938" t="e">
        <f>VLOOKUP(E15938,DSSpieler!A:B,2,FALSE)</f>
        <v>#N/A</v>
      </c>
    </row>
    <row r="15939" spans="1:10" x14ac:dyDescent="0.25">
      <c r="A15939">
        <v>18074</v>
      </c>
      <c r="B15939" t="s">
        <v>2893</v>
      </c>
      <c r="C15939">
        <v>371</v>
      </c>
      <c r="D15939">
        <v>507</v>
      </c>
      <c r="E15939">
        <v>1577200754</v>
      </c>
      <c r="F15939">
        <v>194</v>
      </c>
      <c r="G15939">
        <v>0</v>
      </c>
      <c r="H15939" t="s">
        <v>20777</v>
      </c>
      <c r="I15939">
        <v>18074</v>
      </c>
      <c r="J15939" t="str">
        <f>VLOOKUP(E15939,DSSpieler!A:B,2,FALSE)</f>
        <v>sepprass</v>
      </c>
    </row>
    <row r="15940" spans="1:10" x14ac:dyDescent="0.25">
      <c r="A15940">
        <v>18075</v>
      </c>
      <c r="B15940" t="s">
        <v>2894</v>
      </c>
      <c r="C15940">
        <v>581</v>
      </c>
      <c r="D15940">
        <v>447</v>
      </c>
      <c r="E15940">
        <v>1577206321</v>
      </c>
      <c r="F15940">
        <v>2684</v>
      </c>
      <c r="G15940">
        <v>0</v>
      </c>
      <c r="H15940" t="s">
        <v>20778</v>
      </c>
      <c r="I15940">
        <v>18075</v>
      </c>
      <c r="J15940" t="str">
        <f>VLOOKUP(E15940,DSSpieler!A:B,2,FALSE)</f>
        <v>Luxey1986</v>
      </c>
    </row>
    <row r="15941" spans="1:10" x14ac:dyDescent="0.25">
      <c r="A15941">
        <v>18076</v>
      </c>
      <c r="B15941" t="s">
        <v>531</v>
      </c>
      <c r="C15941">
        <v>621</v>
      </c>
      <c r="D15941">
        <v>472</v>
      </c>
      <c r="E15941">
        <v>0</v>
      </c>
      <c r="F15941">
        <v>47</v>
      </c>
      <c r="G15941">
        <v>0</v>
      </c>
      <c r="H15941" t="s">
        <v>20779</v>
      </c>
      <c r="I15941">
        <v>18076</v>
      </c>
      <c r="J15941" t="e">
        <f>VLOOKUP(E15941,DSSpieler!A:B,2,FALSE)</f>
        <v>#N/A</v>
      </c>
    </row>
    <row r="15942" spans="1:10" x14ac:dyDescent="0.25">
      <c r="A15942">
        <v>18077</v>
      </c>
      <c r="B15942" t="s">
        <v>2895</v>
      </c>
      <c r="C15942">
        <v>612</v>
      </c>
      <c r="D15942">
        <v>554</v>
      </c>
      <c r="E15942">
        <v>1577199193</v>
      </c>
      <c r="F15942">
        <v>356</v>
      </c>
      <c r="G15942">
        <v>0</v>
      </c>
      <c r="H15942" t="s">
        <v>20780</v>
      </c>
      <c r="I15942">
        <v>18077</v>
      </c>
      <c r="J15942" t="str">
        <f>VLOOKUP(E15942,DSSpieler!A:B,2,FALSE)</f>
        <v>Purelike</v>
      </c>
    </row>
    <row r="15943" spans="1:10" x14ac:dyDescent="0.25">
      <c r="A15943">
        <v>18078</v>
      </c>
      <c r="B15943" t="s">
        <v>667</v>
      </c>
      <c r="C15943">
        <v>382</v>
      </c>
      <c r="D15943">
        <v>545</v>
      </c>
      <c r="E15943">
        <v>1577206318</v>
      </c>
      <c r="F15943">
        <v>221</v>
      </c>
      <c r="G15943">
        <v>0</v>
      </c>
      <c r="H15943" t="s">
        <v>20781</v>
      </c>
      <c r="I15943">
        <v>18078</v>
      </c>
      <c r="J15943" t="str">
        <f>VLOOKUP(E15943,DSSpieler!A:B,2,FALSE)</f>
        <v>EmBix0</v>
      </c>
    </row>
    <row r="15944" spans="1:10" x14ac:dyDescent="0.25">
      <c r="A15944">
        <v>18079</v>
      </c>
      <c r="B15944" t="s">
        <v>2896</v>
      </c>
      <c r="C15944">
        <v>606</v>
      </c>
      <c r="D15944">
        <v>569</v>
      </c>
      <c r="E15944">
        <v>1577206319</v>
      </c>
      <c r="F15944">
        <v>236</v>
      </c>
      <c r="G15944">
        <v>0</v>
      </c>
      <c r="H15944" t="s">
        <v>20782</v>
      </c>
      <c r="I15944">
        <v>18079</v>
      </c>
      <c r="J15944" t="str">
        <f>VLOOKUP(E15944,DSSpieler!A:B,2,FALSE)</f>
        <v>MrBlueball</v>
      </c>
    </row>
    <row r="15945" spans="1:10" x14ac:dyDescent="0.25">
      <c r="A15945">
        <v>18080</v>
      </c>
      <c r="B15945" t="s">
        <v>531</v>
      </c>
      <c r="C15945">
        <v>459</v>
      </c>
      <c r="D15945">
        <v>378</v>
      </c>
      <c r="E15945">
        <v>0</v>
      </c>
      <c r="F15945">
        <v>40</v>
      </c>
      <c r="G15945">
        <v>0</v>
      </c>
      <c r="H15945" t="s">
        <v>20783</v>
      </c>
      <c r="I15945">
        <v>18080</v>
      </c>
      <c r="J15945" t="e">
        <f>VLOOKUP(E15945,DSSpieler!A:B,2,FALSE)</f>
        <v>#N/A</v>
      </c>
    </row>
    <row r="15946" spans="1:10" x14ac:dyDescent="0.25">
      <c r="A15946">
        <v>18081</v>
      </c>
      <c r="B15946" t="s">
        <v>2897</v>
      </c>
      <c r="C15946">
        <v>586</v>
      </c>
      <c r="D15946">
        <v>409</v>
      </c>
      <c r="E15946">
        <v>1576283437</v>
      </c>
      <c r="F15946">
        <v>1981</v>
      </c>
      <c r="G15946">
        <v>0</v>
      </c>
      <c r="H15946" t="s">
        <v>20784</v>
      </c>
      <c r="I15946">
        <v>18081</v>
      </c>
      <c r="J15946" t="str">
        <f>VLOOKUP(E15946,DSSpieler!A:B,2,FALSE)</f>
        <v>Asinaria Basinator</v>
      </c>
    </row>
    <row r="15947" spans="1:10" x14ac:dyDescent="0.25">
      <c r="A15947">
        <v>18082</v>
      </c>
      <c r="B15947" t="s">
        <v>2898</v>
      </c>
      <c r="C15947">
        <v>498</v>
      </c>
      <c r="D15947">
        <v>629</v>
      </c>
      <c r="E15947">
        <v>1577019602</v>
      </c>
      <c r="F15947">
        <v>406</v>
      </c>
      <c r="G15947">
        <v>0</v>
      </c>
      <c r="H15947" t="s">
        <v>20785</v>
      </c>
      <c r="I15947">
        <v>18082</v>
      </c>
      <c r="J15947" t="str">
        <f>VLOOKUP(E15947,DSSpieler!A:B,2,FALSE)</f>
        <v>JonnyCool11</v>
      </c>
    </row>
    <row r="15948" spans="1:10" x14ac:dyDescent="0.25">
      <c r="A15948">
        <v>18083</v>
      </c>
      <c r="B15948" t="s">
        <v>2899</v>
      </c>
      <c r="C15948">
        <v>380</v>
      </c>
      <c r="D15948">
        <v>546</v>
      </c>
      <c r="E15948">
        <v>1577198588</v>
      </c>
      <c r="F15948">
        <v>2184</v>
      </c>
      <c r="G15948">
        <v>0</v>
      </c>
      <c r="H15948" t="s">
        <v>20786</v>
      </c>
      <c r="I15948">
        <v>18083</v>
      </c>
      <c r="J15948" t="str">
        <f>VLOOKUP(E15948,DSSpieler!A:B,2,FALSE)</f>
        <v>Uwe1995</v>
      </c>
    </row>
    <row r="15949" spans="1:10" x14ac:dyDescent="0.25">
      <c r="A15949">
        <v>18084</v>
      </c>
      <c r="B15949" t="s">
        <v>2900</v>
      </c>
      <c r="C15949">
        <v>375</v>
      </c>
      <c r="D15949">
        <v>468</v>
      </c>
      <c r="E15949">
        <v>1577189481</v>
      </c>
      <c r="F15949">
        <v>250</v>
      </c>
      <c r="G15949">
        <v>0</v>
      </c>
      <c r="H15949" t="s">
        <v>20787</v>
      </c>
      <c r="I15949">
        <v>18084</v>
      </c>
      <c r="J15949" t="str">
        <f>VLOOKUP(E15949,DSSpieler!A:B,2,FALSE)</f>
        <v>mok2906</v>
      </c>
    </row>
    <row r="15950" spans="1:10" x14ac:dyDescent="0.25">
      <c r="A15950">
        <v>18085</v>
      </c>
      <c r="B15950" t="s">
        <v>35621</v>
      </c>
      <c r="C15950">
        <v>595</v>
      </c>
      <c r="D15950">
        <v>416</v>
      </c>
      <c r="E15950">
        <v>8234595</v>
      </c>
      <c r="F15950">
        <v>2555</v>
      </c>
      <c r="G15950">
        <v>0</v>
      </c>
      <c r="H15950" t="s">
        <v>20788</v>
      </c>
      <c r="I15950">
        <v>18085</v>
      </c>
      <c r="J15950" t="str">
        <f>VLOOKUP(E15950,DSSpieler!A:B,2,FALSE)</f>
        <v>BockWurschtPlautze</v>
      </c>
    </row>
    <row r="15951" spans="1:10" x14ac:dyDescent="0.25">
      <c r="A15951">
        <v>18086</v>
      </c>
      <c r="B15951" t="s">
        <v>531</v>
      </c>
      <c r="C15951">
        <v>567</v>
      </c>
      <c r="D15951">
        <v>606</v>
      </c>
      <c r="E15951">
        <v>0</v>
      </c>
      <c r="F15951">
        <v>147</v>
      </c>
      <c r="G15951">
        <v>0</v>
      </c>
      <c r="H15951" t="s">
        <v>20789</v>
      </c>
      <c r="I15951">
        <v>18086</v>
      </c>
      <c r="J15951" t="e">
        <f>VLOOKUP(E15951,DSSpieler!A:B,2,FALSE)</f>
        <v>#N/A</v>
      </c>
    </row>
    <row r="15952" spans="1:10" x14ac:dyDescent="0.25">
      <c r="A15952">
        <v>18087</v>
      </c>
      <c r="B15952" t="s">
        <v>531</v>
      </c>
      <c r="C15952">
        <v>377</v>
      </c>
      <c r="D15952">
        <v>485</v>
      </c>
      <c r="E15952">
        <v>0</v>
      </c>
      <c r="F15952">
        <v>44</v>
      </c>
      <c r="G15952">
        <v>0</v>
      </c>
      <c r="H15952" t="s">
        <v>20790</v>
      </c>
      <c r="I15952">
        <v>18087</v>
      </c>
      <c r="J15952" t="e">
        <f>VLOOKUP(E15952,DSSpieler!A:B,2,FALSE)</f>
        <v>#N/A</v>
      </c>
    </row>
    <row r="15953" spans="1:10" x14ac:dyDescent="0.25">
      <c r="A15953">
        <v>18088</v>
      </c>
      <c r="B15953" t="s">
        <v>35622</v>
      </c>
      <c r="C15953">
        <v>628</v>
      </c>
      <c r="D15953">
        <v>517</v>
      </c>
      <c r="E15953">
        <v>1577173557</v>
      </c>
      <c r="F15953">
        <v>248</v>
      </c>
      <c r="G15953">
        <v>0</v>
      </c>
      <c r="H15953" t="s">
        <v>20791</v>
      </c>
      <c r="I15953">
        <v>18088</v>
      </c>
      <c r="J15953" t="str">
        <f>VLOOKUP(E15953,DSSpieler!A:B,2,FALSE)</f>
        <v>micha189241</v>
      </c>
    </row>
    <row r="15954" spans="1:10" x14ac:dyDescent="0.25">
      <c r="A15954">
        <v>18089</v>
      </c>
      <c r="B15954" t="s">
        <v>2901</v>
      </c>
      <c r="C15954">
        <v>486</v>
      </c>
      <c r="D15954">
        <v>626</v>
      </c>
      <c r="E15954">
        <v>1577160958</v>
      </c>
      <c r="F15954">
        <v>26</v>
      </c>
      <c r="G15954">
        <v>0</v>
      </c>
      <c r="H15954" t="s">
        <v>20792</v>
      </c>
      <c r="I15954">
        <v>18089</v>
      </c>
      <c r="J15954" t="str">
        <f>VLOOKUP(E15954,DSSpieler!A:B,2,FALSE)</f>
        <v>Alexanderdererste</v>
      </c>
    </row>
    <row r="15955" spans="1:10" x14ac:dyDescent="0.25">
      <c r="A15955">
        <v>18090</v>
      </c>
      <c r="B15955" t="s">
        <v>531</v>
      </c>
      <c r="C15955">
        <v>374</v>
      </c>
      <c r="D15955">
        <v>532</v>
      </c>
      <c r="E15955">
        <v>0</v>
      </c>
      <c r="F15955">
        <v>132</v>
      </c>
      <c r="G15955">
        <v>0</v>
      </c>
      <c r="H15955" t="s">
        <v>20793</v>
      </c>
      <c r="I15955">
        <v>18090</v>
      </c>
      <c r="J15955" t="e">
        <f>VLOOKUP(E15955,DSSpieler!A:B,2,FALSE)</f>
        <v>#N/A</v>
      </c>
    </row>
    <row r="15956" spans="1:10" x14ac:dyDescent="0.25">
      <c r="A15956">
        <v>18091</v>
      </c>
      <c r="B15956" t="s">
        <v>531</v>
      </c>
      <c r="C15956">
        <v>441</v>
      </c>
      <c r="D15956">
        <v>387</v>
      </c>
      <c r="E15956">
        <v>0</v>
      </c>
      <c r="F15956">
        <v>454</v>
      </c>
      <c r="G15956">
        <v>0</v>
      </c>
      <c r="H15956" t="s">
        <v>20794</v>
      </c>
      <c r="I15956">
        <v>18091</v>
      </c>
      <c r="J15956" t="e">
        <f>VLOOKUP(E15956,DSSpieler!A:B,2,FALSE)</f>
        <v>#N/A</v>
      </c>
    </row>
    <row r="15957" spans="1:10" x14ac:dyDescent="0.25">
      <c r="A15957">
        <v>18092</v>
      </c>
      <c r="B15957" t="s">
        <v>531</v>
      </c>
      <c r="C15957">
        <v>609</v>
      </c>
      <c r="D15957">
        <v>524</v>
      </c>
      <c r="E15957">
        <v>0</v>
      </c>
      <c r="F15957">
        <v>61</v>
      </c>
      <c r="G15957">
        <v>0</v>
      </c>
      <c r="H15957" t="s">
        <v>20795</v>
      </c>
      <c r="I15957">
        <v>18092</v>
      </c>
      <c r="J15957" t="e">
        <f>VLOOKUP(E15957,DSSpieler!A:B,2,FALSE)</f>
        <v>#N/A</v>
      </c>
    </row>
    <row r="15958" spans="1:10" x14ac:dyDescent="0.25">
      <c r="A15958">
        <v>18093</v>
      </c>
      <c r="B15958" t="s">
        <v>2902</v>
      </c>
      <c r="C15958">
        <v>389</v>
      </c>
      <c r="D15958">
        <v>445</v>
      </c>
      <c r="E15958">
        <v>1577190517</v>
      </c>
      <c r="F15958">
        <v>2284</v>
      </c>
      <c r="G15958">
        <v>0</v>
      </c>
      <c r="H15958" t="s">
        <v>20796</v>
      </c>
      <c r="I15958">
        <v>18093</v>
      </c>
      <c r="J15958" t="str">
        <f>VLOOKUP(E15958,DSSpieler!A:B,2,FALSE)</f>
        <v>Kampfzwerg0815</v>
      </c>
    </row>
    <row r="15959" spans="1:10" x14ac:dyDescent="0.25">
      <c r="A15959">
        <v>18094</v>
      </c>
      <c r="B15959" t="s">
        <v>2903</v>
      </c>
      <c r="C15959">
        <v>444</v>
      </c>
      <c r="D15959">
        <v>455</v>
      </c>
      <c r="E15959">
        <v>9786421</v>
      </c>
      <c r="F15959">
        <v>161</v>
      </c>
      <c r="G15959">
        <v>0</v>
      </c>
      <c r="H15959" t="s">
        <v>20797</v>
      </c>
      <c r="I15959">
        <v>18094</v>
      </c>
      <c r="J15959" t="str">
        <f>VLOOKUP(E15959,DSSpieler!A:B,2,FALSE)</f>
        <v>Trollo311</v>
      </c>
    </row>
    <row r="15960" spans="1:10" x14ac:dyDescent="0.25">
      <c r="A15960">
        <v>18095</v>
      </c>
      <c r="B15960" t="s">
        <v>2904</v>
      </c>
      <c r="C15960">
        <v>418</v>
      </c>
      <c r="D15960">
        <v>406</v>
      </c>
      <c r="E15960">
        <v>1577185794</v>
      </c>
      <c r="F15960">
        <v>168</v>
      </c>
      <c r="G15960">
        <v>0</v>
      </c>
      <c r="H15960" t="s">
        <v>20798</v>
      </c>
      <c r="I15960">
        <v>18095</v>
      </c>
      <c r="J15960" t="str">
        <f>VLOOKUP(E15960,DSSpieler!A:B,2,FALSE)</f>
        <v>JojoThomas95</v>
      </c>
    </row>
    <row r="15961" spans="1:10" x14ac:dyDescent="0.25">
      <c r="A15961">
        <v>18096</v>
      </c>
      <c r="B15961" t="s">
        <v>2905</v>
      </c>
      <c r="C15961">
        <v>522</v>
      </c>
      <c r="D15961">
        <v>377</v>
      </c>
      <c r="E15961">
        <v>1577160374</v>
      </c>
      <c r="F15961">
        <v>2523</v>
      </c>
      <c r="G15961">
        <v>0</v>
      </c>
      <c r="H15961" t="s">
        <v>20799</v>
      </c>
      <c r="I15961">
        <v>18096</v>
      </c>
      <c r="J15961" t="str">
        <f>VLOOKUP(E15961,DSSpieler!A:B,2,FALSE)</f>
        <v>bOne</v>
      </c>
    </row>
    <row r="15962" spans="1:10" x14ac:dyDescent="0.25">
      <c r="A15962">
        <v>18098</v>
      </c>
      <c r="B15962" t="s">
        <v>531</v>
      </c>
      <c r="C15962">
        <v>601</v>
      </c>
      <c r="D15962">
        <v>524</v>
      </c>
      <c r="E15962">
        <v>0</v>
      </c>
      <c r="F15962">
        <v>59</v>
      </c>
      <c r="G15962">
        <v>0</v>
      </c>
      <c r="H15962" t="s">
        <v>20800</v>
      </c>
      <c r="I15962">
        <v>18098</v>
      </c>
      <c r="J15962" t="e">
        <f>VLOOKUP(E15962,DSSpieler!A:B,2,FALSE)</f>
        <v>#N/A</v>
      </c>
    </row>
    <row r="15963" spans="1:10" x14ac:dyDescent="0.25">
      <c r="A15963">
        <v>18099</v>
      </c>
      <c r="B15963" t="s">
        <v>531</v>
      </c>
      <c r="C15963">
        <v>507</v>
      </c>
      <c r="D15963">
        <v>624</v>
      </c>
      <c r="E15963">
        <v>0</v>
      </c>
      <c r="F15963">
        <v>52</v>
      </c>
      <c r="G15963">
        <v>0</v>
      </c>
      <c r="H15963" t="s">
        <v>20801</v>
      </c>
      <c r="I15963">
        <v>18099</v>
      </c>
      <c r="J15963" t="e">
        <f>VLOOKUP(E15963,DSSpieler!A:B,2,FALSE)</f>
        <v>#N/A</v>
      </c>
    </row>
    <row r="15964" spans="1:10" x14ac:dyDescent="0.25">
      <c r="A15964">
        <v>18100</v>
      </c>
      <c r="B15964" t="s">
        <v>531</v>
      </c>
      <c r="C15964">
        <v>581</v>
      </c>
      <c r="D15964">
        <v>595</v>
      </c>
      <c r="E15964">
        <v>0</v>
      </c>
      <c r="F15964">
        <v>123</v>
      </c>
      <c r="G15964">
        <v>0</v>
      </c>
      <c r="H15964" t="s">
        <v>20802</v>
      </c>
      <c r="I15964">
        <v>18100</v>
      </c>
      <c r="J15964" t="e">
        <f>VLOOKUP(E15964,DSSpieler!A:B,2,FALSE)</f>
        <v>#N/A</v>
      </c>
    </row>
    <row r="15965" spans="1:10" x14ac:dyDescent="0.25">
      <c r="A15965">
        <v>18101</v>
      </c>
      <c r="B15965" t="s">
        <v>2906</v>
      </c>
      <c r="C15965">
        <v>380</v>
      </c>
      <c r="D15965">
        <v>547</v>
      </c>
      <c r="E15965">
        <v>1577138412</v>
      </c>
      <c r="F15965">
        <v>290</v>
      </c>
      <c r="G15965">
        <v>0</v>
      </c>
      <c r="H15965" t="s">
        <v>20803</v>
      </c>
      <c r="I15965">
        <v>18101</v>
      </c>
      <c r="J15965" t="str">
        <f>VLOOKUP(E15965,DSSpieler!A:B,2,FALSE)</f>
        <v>Sven 1974</v>
      </c>
    </row>
    <row r="15966" spans="1:10" x14ac:dyDescent="0.25">
      <c r="A15966">
        <v>18102</v>
      </c>
      <c r="B15966" t="s">
        <v>531</v>
      </c>
      <c r="C15966">
        <v>604</v>
      </c>
      <c r="D15966">
        <v>521</v>
      </c>
      <c r="E15966">
        <v>0</v>
      </c>
      <c r="F15966">
        <v>55</v>
      </c>
      <c r="G15966">
        <v>0</v>
      </c>
      <c r="H15966" t="s">
        <v>20804</v>
      </c>
      <c r="I15966">
        <v>18102</v>
      </c>
      <c r="J15966" t="e">
        <f>VLOOKUP(E15966,DSSpieler!A:B,2,FALSE)</f>
        <v>#N/A</v>
      </c>
    </row>
    <row r="15967" spans="1:10" x14ac:dyDescent="0.25">
      <c r="A15967">
        <v>18103</v>
      </c>
      <c r="B15967" t="s">
        <v>531</v>
      </c>
      <c r="C15967">
        <v>495</v>
      </c>
      <c r="D15967">
        <v>371</v>
      </c>
      <c r="E15967">
        <v>0</v>
      </c>
      <c r="F15967">
        <v>174</v>
      </c>
      <c r="G15967">
        <v>0</v>
      </c>
      <c r="H15967" t="s">
        <v>20805</v>
      </c>
      <c r="I15967">
        <v>18103</v>
      </c>
      <c r="J15967" t="e">
        <f>VLOOKUP(E15967,DSSpieler!A:B,2,FALSE)</f>
        <v>#N/A</v>
      </c>
    </row>
    <row r="15968" spans="1:10" x14ac:dyDescent="0.25">
      <c r="A15968">
        <v>18104</v>
      </c>
      <c r="B15968" t="s">
        <v>35860</v>
      </c>
      <c r="C15968">
        <v>515</v>
      </c>
      <c r="D15968">
        <v>372</v>
      </c>
      <c r="E15968">
        <v>1577198165</v>
      </c>
      <c r="F15968">
        <v>1778</v>
      </c>
      <c r="G15968">
        <v>0</v>
      </c>
      <c r="H15968" t="s">
        <v>20806</v>
      </c>
      <c r="I15968">
        <v>18104</v>
      </c>
      <c r="J15968" t="str">
        <f>VLOOKUP(E15968,DSSpieler!A:B,2,FALSE)</f>
        <v>Tomy.rw</v>
      </c>
    </row>
    <row r="15969" spans="1:10" x14ac:dyDescent="0.25">
      <c r="A15969">
        <v>18106</v>
      </c>
      <c r="B15969" t="s">
        <v>2908</v>
      </c>
      <c r="C15969">
        <v>518</v>
      </c>
      <c r="D15969">
        <v>372</v>
      </c>
      <c r="E15969">
        <v>9352041</v>
      </c>
      <c r="F15969">
        <v>2165</v>
      </c>
      <c r="G15969">
        <v>0</v>
      </c>
      <c r="H15969" t="s">
        <v>20807</v>
      </c>
      <c r="I15969">
        <v>18106</v>
      </c>
      <c r="J15969" t="str">
        <f>VLOOKUP(E15969,DSSpieler!A:B,2,FALSE)</f>
        <v>Felix1006</v>
      </c>
    </row>
    <row r="15970" spans="1:10" x14ac:dyDescent="0.25">
      <c r="A15970">
        <v>18107</v>
      </c>
      <c r="B15970" t="s">
        <v>531</v>
      </c>
      <c r="C15970">
        <v>476</v>
      </c>
      <c r="D15970">
        <v>627</v>
      </c>
      <c r="E15970">
        <v>0</v>
      </c>
      <c r="F15970">
        <v>108</v>
      </c>
      <c r="G15970">
        <v>0</v>
      </c>
      <c r="H15970" t="s">
        <v>20808</v>
      </c>
      <c r="I15970">
        <v>18107</v>
      </c>
      <c r="J15970" t="e">
        <f>VLOOKUP(E15970,DSSpieler!A:B,2,FALSE)</f>
        <v>#N/A</v>
      </c>
    </row>
    <row r="15971" spans="1:10" x14ac:dyDescent="0.25">
      <c r="A15971">
        <v>18109</v>
      </c>
      <c r="B15971" t="s">
        <v>2909</v>
      </c>
      <c r="C15971">
        <v>376</v>
      </c>
      <c r="D15971">
        <v>492</v>
      </c>
      <c r="E15971">
        <v>2522339</v>
      </c>
      <c r="F15971">
        <v>921</v>
      </c>
      <c r="G15971">
        <v>0</v>
      </c>
      <c r="H15971" t="s">
        <v>20809</v>
      </c>
      <c r="I15971">
        <v>18109</v>
      </c>
      <c r="J15971" t="str">
        <f>VLOOKUP(E15971,DSSpieler!A:B,2,FALSE)</f>
        <v>Sir.Snoopy</v>
      </c>
    </row>
    <row r="15972" spans="1:10" x14ac:dyDescent="0.25">
      <c r="A15972">
        <v>18110</v>
      </c>
      <c r="B15972" t="s">
        <v>2910</v>
      </c>
      <c r="C15972">
        <v>549</v>
      </c>
      <c r="D15972">
        <v>382</v>
      </c>
      <c r="E15972">
        <v>1577198129</v>
      </c>
      <c r="F15972">
        <v>26</v>
      </c>
      <c r="G15972">
        <v>0</v>
      </c>
      <c r="H15972" t="s">
        <v>20810</v>
      </c>
      <c r="I15972">
        <v>18110</v>
      </c>
      <c r="J15972" t="str">
        <f>VLOOKUP(E15972,DSSpieler!A:B,2,FALSE)</f>
        <v>DerSchwonkinator</v>
      </c>
    </row>
    <row r="15973" spans="1:10" x14ac:dyDescent="0.25">
      <c r="A15973">
        <v>18111</v>
      </c>
      <c r="B15973" t="s">
        <v>531</v>
      </c>
      <c r="C15973">
        <v>625</v>
      </c>
      <c r="D15973">
        <v>534</v>
      </c>
      <c r="E15973">
        <v>0</v>
      </c>
      <c r="F15973">
        <v>159</v>
      </c>
      <c r="G15973">
        <v>0</v>
      </c>
      <c r="H15973" t="s">
        <v>20811</v>
      </c>
      <c r="I15973">
        <v>18111</v>
      </c>
      <c r="J15973" t="e">
        <f>VLOOKUP(E15973,DSSpieler!A:B,2,FALSE)</f>
        <v>#N/A</v>
      </c>
    </row>
    <row r="15974" spans="1:10" x14ac:dyDescent="0.25">
      <c r="A15974">
        <v>18112</v>
      </c>
      <c r="B15974" t="s">
        <v>2911</v>
      </c>
      <c r="C15974">
        <v>501</v>
      </c>
      <c r="D15974">
        <v>373</v>
      </c>
      <c r="E15974">
        <v>1577040909</v>
      </c>
      <c r="F15974">
        <v>432</v>
      </c>
      <c r="G15974">
        <v>0</v>
      </c>
      <c r="H15974" t="s">
        <v>20812</v>
      </c>
      <c r="I15974">
        <v>18112</v>
      </c>
      <c r="J15974" t="str">
        <f>VLOOKUP(E15974,DSSpieler!A:B,2,FALSE)</f>
        <v>TMXttZ</v>
      </c>
    </row>
    <row r="15975" spans="1:10" x14ac:dyDescent="0.25">
      <c r="A15975">
        <v>18113</v>
      </c>
      <c r="B15975" t="s">
        <v>531</v>
      </c>
      <c r="C15975">
        <v>425</v>
      </c>
      <c r="D15975">
        <v>466</v>
      </c>
      <c r="E15975">
        <v>0</v>
      </c>
      <c r="F15975">
        <v>38</v>
      </c>
      <c r="G15975">
        <v>0</v>
      </c>
      <c r="H15975" t="s">
        <v>20813</v>
      </c>
      <c r="I15975">
        <v>18113</v>
      </c>
      <c r="J15975" t="e">
        <f>VLOOKUP(E15975,DSSpieler!A:B,2,FALSE)</f>
        <v>#N/A</v>
      </c>
    </row>
    <row r="15976" spans="1:10" x14ac:dyDescent="0.25">
      <c r="A15976">
        <v>18114</v>
      </c>
      <c r="B15976" t="s">
        <v>531</v>
      </c>
      <c r="C15976">
        <v>403</v>
      </c>
      <c r="D15976">
        <v>421</v>
      </c>
      <c r="E15976">
        <v>0</v>
      </c>
      <c r="F15976">
        <v>141</v>
      </c>
      <c r="G15976">
        <v>0</v>
      </c>
      <c r="H15976" t="s">
        <v>20814</v>
      </c>
      <c r="I15976">
        <v>18114</v>
      </c>
      <c r="J15976" t="e">
        <f>VLOOKUP(E15976,DSSpieler!A:B,2,FALSE)</f>
        <v>#N/A</v>
      </c>
    </row>
    <row r="15977" spans="1:10" x14ac:dyDescent="0.25">
      <c r="A15977">
        <v>18115</v>
      </c>
      <c r="B15977" t="s">
        <v>35623</v>
      </c>
      <c r="C15977">
        <v>460</v>
      </c>
      <c r="D15977">
        <v>621</v>
      </c>
      <c r="E15977">
        <v>8377713</v>
      </c>
      <c r="F15977">
        <v>1683</v>
      </c>
      <c r="G15977">
        <v>0</v>
      </c>
      <c r="H15977" t="s">
        <v>20815</v>
      </c>
      <c r="I15977">
        <v>18115</v>
      </c>
      <c r="J15977" t="str">
        <f>VLOOKUP(E15977,DSSpieler!A:B,2,FALSE)</f>
        <v>Sir Sterni82</v>
      </c>
    </row>
    <row r="15978" spans="1:10" x14ac:dyDescent="0.25">
      <c r="A15978">
        <v>18116</v>
      </c>
      <c r="B15978" t="s">
        <v>531</v>
      </c>
      <c r="C15978">
        <v>433</v>
      </c>
      <c r="D15978">
        <v>389</v>
      </c>
      <c r="E15978">
        <v>0</v>
      </c>
      <c r="F15978">
        <v>149</v>
      </c>
      <c r="G15978">
        <v>0</v>
      </c>
      <c r="H15978" t="s">
        <v>20816</v>
      </c>
      <c r="I15978">
        <v>18116</v>
      </c>
      <c r="J15978" t="e">
        <f>VLOOKUP(E15978,DSSpieler!A:B,2,FALSE)</f>
        <v>#N/A</v>
      </c>
    </row>
    <row r="15979" spans="1:10" x14ac:dyDescent="0.25">
      <c r="A15979">
        <v>18118</v>
      </c>
      <c r="B15979" t="s">
        <v>531</v>
      </c>
      <c r="C15979">
        <v>579</v>
      </c>
      <c r="D15979">
        <v>400</v>
      </c>
      <c r="E15979">
        <v>0</v>
      </c>
      <c r="F15979">
        <v>142</v>
      </c>
      <c r="G15979">
        <v>0</v>
      </c>
      <c r="H15979" t="s">
        <v>20817</v>
      </c>
      <c r="I15979">
        <v>18118</v>
      </c>
      <c r="J15979" t="e">
        <f>VLOOKUP(E15979,DSSpieler!A:B,2,FALSE)</f>
        <v>#N/A</v>
      </c>
    </row>
    <row r="15980" spans="1:10" x14ac:dyDescent="0.25">
      <c r="A15980">
        <v>18119</v>
      </c>
      <c r="B15980" t="s">
        <v>531</v>
      </c>
      <c r="C15980">
        <v>378</v>
      </c>
      <c r="D15980">
        <v>533</v>
      </c>
      <c r="E15980">
        <v>0</v>
      </c>
      <c r="F15980">
        <v>37</v>
      </c>
      <c r="G15980">
        <v>0</v>
      </c>
      <c r="H15980" t="s">
        <v>20818</v>
      </c>
      <c r="I15980">
        <v>18119</v>
      </c>
      <c r="J15980" t="e">
        <f>VLOOKUP(E15980,DSSpieler!A:B,2,FALSE)</f>
        <v>#N/A</v>
      </c>
    </row>
    <row r="15981" spans="1:10" x14ac:dyDescent="0.25">
      <c r="A15981">
        <v>18120</v>
      </c>
      <c r="B15981" t="s">
        <v>2912</v>
      </c>
      <c r="C15981">
        <v>372</v>
      </c>
      <c r="D15981">
        <v>493</v>
      </c>
      <c r="E15981">
        <v>7773756</v>
      </c>
      <c r="F15981">
        <v>26</v>
      </c>
      <c r="G15981">
        <v>0</v>
      </c>
      <c r="H15981" t="s">
        <v>20819</v>
      </c>
      <c r="I15981">
        <v>18120</v>
      </c>
      <c r="J15981" t="str">
        <f>VLOOKUP(E15981,DSSpieler!A:B,2,FALSE)</f>
        <v>Reyve</v>
      </c>
    </row>
    <row r="15982" spans="1:10" x14ac:dyDescent="0.25">
      <c r="A15982">
        <v>18121</v>
      </c>
      <c r="B15982" t="s">
        <v>531</v>
      </c>
      <c r="C15982">
        <v>553</v>
      </c>
      <c r="D15982">
        <v>385</v>
      </c>
      <c r="E15982">
        <v>0</v>
      </c>
      <c r="F15982">
        <v>27</v>
      </c>
      <c r="G15982">
        <v>0</v>
      </c>
      <c r="H15982" t="s">
        <v>20820</v>
      </c>
      <c r="I15982">
        <v>18121</v>
      </c>
      <c r="J15982" t="e">
        <f>VLOOKUP(E15982,DSSpieler!A:B,2,FALSE)</f>
        <v>#N/A</v>
      </c>
    </row>
    <row r="15983" spans="1:10" x14ac:dyDescent="0.25">
      <c r="A15983">
        <v>18124</v>
      </c>
      <c r="B15983" t="s">
        <v>531</v>
      </c>
      <c r="C15983">
        <v>621</v>
      </c>
      <c r="D15983">
        <v>529</v>
      </c>
      <c r="E15983">
        <v>0</v>
      </c>
      <c r="F15983">
        <v>51</v>
      </c>
      <c r="G15983">
        <v>0</v>
      </c>
      <c r="H15983" t="s">
        <v>20821</v>
      </c>
      <c r="I15983">
        <v>18124</v>
      </c>
      <c r="J15983" t="e">
        <f>VLOOKUP(E15983,DSSpieler!A:B,2,FALSE)</f>
        <v>#N/A</v>
      </c>
    </row>
    <row r="15984" spans="1:10" x14ac:dyDescent="0.25">
      <c r="A15984">
        <v>18126</v>
      </c>
      <c r="B15984" t="s">
        <v>2913</v>
      </c>
      <c r="C15984">
        <v>427</v>
      </c>
      <c r="D15984">
        <v>394</v>
      </c>
      <c r="E15984">
        <v>1576856099</v>
      </c>
      <c r="F15984">
        <v>1347</v>
      </c>
      <c r="G15984">
        <v>0</v>
      </c>
      <c r="H15984" t="s">
        <v>20822</v>
      </c>
      <c r="I15984">
        <v>18126</v>
      </c>
      <c r="J15984" t="str">
        <f>VLOOKUP(E15984,DSSpieler!A:B,2,FALSE)</f>
        <v>areskill7x</v>
      </c>
    </row>
    <row r="15985" spans="1:10" x14ac:dyDescent="0.25">
      <c r="A15985">
        <v>18128</v>
      </c>
      <c r="B15985">
        <v>1</v>
      </c>
      <c r="C15985">
        <v>620</v>
      </c>
      <c r="D15985">
        <v>464</v>
      </c>
      <c r="E15985">
        <v>1576977767</v>
      </c>
      <c r="F15985">
        <v>2518</v>
      </c>
      <c r="G15985">
        <v>0</v>
      </c>
      <c r="H15985" t="s">
        <v>20823</v>
      </c>
      <c r="I15985">
        <v>18128</v>
      </c>
      <c r="J15985" t="str">
        <f>VLOOKUP(E15985,DSSpieler!A:B,2,FALSE)</f>
        <v>Studmedlc</v>
      </c>
    </row>
    <row r="15986" spans="1:10" x14ac:dyDescent="0.25">
      <c r="A15986">
        <v>18130</v>
      </c>
      <c r="B15986" t="s">
        <v>531</v>
      </c>
      <c r="C15986">
        <v>621</v>
      </c>
      <c r="D15986">
        <v>541</v>
      </c>
      <c r="E15986">
        <v>0</v>
      </c>
      <c r="F15986">
        <v>39</v>
      </c>
      <c r="G15986">
        <v>0</v>
      </c>
      <c r="H15986" t="s">
        <v>20824</v>
      </c>
      <c r="I15986">
        <v>18130</v>
      </c>
      <c r="J15986" t="e">
        <f>VLOOKUP(E15986,DSSpieler!A:B,2,FALSE)</f>
        <v>#N/A</v>
      </c>
    </row>
    <row r="15987" spans="1:10" x14ac:dyDescent="0.25">
      <c r="A15987">
        <v>18131</v>
      </c>
      <c r="B15987" t="s">
        <v>150</v>
      </c>
      <c r="C15987">
        <v>403</v>
      </c>
      <c r="D15987">
        <v>415</v>
      </c>
      <c r="E15987">
        <v>1577201379</v>
      </c>
      <c r="F15987">
        <v>1587</v>
      </c>
      <c r="G15987">
        <v>0</v>
      </c>
      <c r="H15987" t="s">
        <v>20825</v>
      </c>
      <c r="I15987">
        <v>18131</v>
      </c>
      <c r="J15987" t="str">
        <f>VLOOKUP(E15987,DSSpieler!A:B,2,FALSE)</f>
        <v>Böhmi</v>
      </c>
    </row>
    <row r="15988" spans="1:10" x14ac:dyDescent="0.25">
      <c r="A15988">
        <v>18132</v>
      </c>
      <c r="B15988" t="s">
        <v>2914</v>
      </c>
      <c r="C15988">
        <v>533</v>
      </c>
      <c r="D15988">
        <v>375</v>
      </c>
      <c r="E15988">
        <v>1577088274</v>
      </c>
      <c r="F15988">
        <v>1987</v>
      </c>
      <c r="G15988">
        <v>0</v>
      </c>
      <c r="H15988" t="s">
        <v>20826</v>
      </c>
      <c r="I15988">
        <v>18132</v>
      </c>
      <c r="J15988" t="str">
        <f>VLOOKUP(E15988,DSSpieler!A:B,2,FALSE)</f>
        <v>LadyGato</v>
      </c>
    </row>
    <row r="15989" spans="1:10" x14ac:dyDescent="0.25">
      <c r="A15989">
        <v>18133</v>
      </c>
      <c r="B15989" t="s">
        <v>2915</v>
      </c>
      <c r="C15989">
        <v>441</v>
      </c>
      <c r="D15989">
        <v>388</v>
      </c>
      <c r="E15989">
        <v>1576410168</v>
      </c>
      <c r="F15989">
        <v>312</v>
      </c>
      <c r="G15989">
        <v>0</v>
      </c>
      <c r="H15989" t="s">
        <v>20827</v>
      </c>
      <c r="I15989">
        <v>18133</v>
      </c>
      <c r="J15989" t="str">
        <f>VLOOKUP(E15989,DSSpieler!A:B,2,FALSE)</f>
        <v>Megahalem</v>
      </c>
    </row>
    <row r="15990" spans="1:10" x14ac:dyDescent="0.25">
      <c r="A15990">
        <v>18134</v>
      </c>
      <c r="B15990" t="s">
        <v>2916</v>
      </c>
      <c r="C15990">
        <v>627</v>
      </c>
      <c r="D15990">
        <v>517</v>
      </c>
      <c r="E15990">
        <v>1577168771</v>
      </c>
      <c r="F15990">
        <v>55</v>
      </c>
      <c r="G15990">
        <v>0</v>
      </c>
      <c r="H15990" t="s">
        <v>20828</v>
      </c>
      <c r="I15990">
        <v>18134</v>
      </c>
      <c r="J15990" t="str">
        <f>VLOOKUP(E15990,DSSpieler!A:B,2,FALSE)</f>
        <v>paulschluss</v>
      </c>
    </row>
    <row r="15991" spans="1:10" x14ac:dyDescent="0.25">
      <c r="A15991">
        <v>18135</v>
      </c>
      <c r="B15991" t="s">
        <v>2917</v>
      </c>
      <c r="C15991">
        <v>593</v>
      </c>
      <c r="D15991">
        <v>588</v>
      </c>
      <c r="E15991">
        <v>1576631552</v>
      </c>
      <c r="F15991">
        <v>298</v>
      </c>
      <c r="G15991">
        <v>0</v>
      </c>
      <c r="H15991" t="s">
        <v>20829</v>
      </c>
      <c r="I15991">
        <v>18135</v>
      </c>
      <c r="J15991" t="str">
        <f>VLOOKUP(E15991,DSSpieler!A:B,2,FALSE)</f>
        <v>Lord Gaillard</v>
      </c>
    </row>
    <row r="15992" spans="1:10" x14ac:dyDescent="0.25">
      <c r="A15992">
        <v>18136</v>
      </c>
      <c r="B15992" t="s">
        <v>2918</v>
      </c>
      <c r="C15992">
        <v>372</v>
      </c>
      <c r="D15992">
        <v>524</v>
      </c>
      <c r="E15992">
        <v>1577184777</v>
      </c>
      <c r="F15992">
        <v>28</v>
      </c>
      <c r="G15992">
        <v>0</v>
      </c>
      <c r="H15992" t="s">
        <v>20830</v>
      </c>
      <c r="I15992">
        <v>18136</v>
      </c>
      <c r="J15992">
        <f>VLOOKUP(E15992,DSSpieler!A:B,2,FALSE)</f>
        <v>259383</v>
      </c>
    </row>
    <row r="15993" spans="1:10" x14ac:dyDescent="0.25">
      <c r="A15993">
        <v>18137</v>
      </c>
      <c r="B15993" t="s">
        <v>2919</v>
      </c>
      <c r="C15993">
        <v>485</v>
      </c>
      <c r="D15993">
        <v>416</v>
      </c>
      <c r="E15993">
        <v>1577199196</v>
      </c>
      <c r="F15993">
        <v>431</v>
      </c>
      <c r="G15993">
        <v>0</v>
      </c>
      <c r="H15993" t="s">
        <v>20831</v>
      </c>
      <c r="I15993">
        <v>18137</v>
      </c>
      <c r="J15993" t="str">
        <f>VLOOKUP(E15993,DSSpieler!A:B,2,FALSE)</f>
        <v>Shingarg</v>
      </c>
    </row>
    <row r="15994" spans="1:10" x14ac:dyDescent="0.25">
      <c r="A15994">
        <v>18138</v>
      </c>
      <c r="B15994" t="s">
        <v>2920</v>
      </c>
      <c r="C15994">
        <v>472</v>
      </c>
      <c r="D15994">
        <v>375</v>
      </c>
      <c r="E15994">
        <v>1577172978</v>
      </c>
      <c r="F15994">
        <v>639</v>
      </c>
      <c r="G15994">
        <v>0</v>
      </c>
      <c r="H15994" t="s">
        <v>20832</v>
      </c>
      <c r="I15994">
        <v>18138</v>
      </c>
      <c r="J15994" t="str">
        <f>VLOOKUP(E15994,DSSpieler!A:B,2,FALSE)</f>
        <v>Kira Nerris</v>
      </c>
    </row>
    <row r="15995" spans="1:10" x14ac:dyDescent="0.25">
      <c r="A15995">
        <v>18139</v>
      </c>
      <c r="B15995" t="s">
        <v>2921</v>
      </c>
      <c r="C15995">
        <v>520</v>
      </c>
      <c r="D15995">
        <v>628</v>
      </c>
      <c r="E15995">
        <v>1096271</v>
      </c>
      <c r="F15995">
        <v>491</v>
      </c>
      <c r="G15995">
        <v>0</v>
      </c>
      <c r="H15995" t="s">
        <v>20833</v>
      </c>
      <c r="I15995">
        <v>18139</v>
      </c>
      <c r="J15995" t="str">
        <f>VLOOKUP(E15995,DSSpieler!A:B,2,FALSE)</f>
        <v>Kempten King</v>
      </c>
    </row>
    <row r="15996" spans="1:10" x14ac:dyDescent="0.25">
      <c r="A15996">
        <v>18140</v>
      </c>
      <c r="B15996" t="s">
        <v>531</v>
      </c>
      <c r="C15996">
        <v>486</v>
      </c>
      <c r="D15996">
        <v>535</v>
      </c>
      <c r="E15996">
        <v>0</v>
      </c>
      <c r="F15996">
        <v>44</v>
      </c>
      <c r="G15996">
        <v>0</v>
      </c>
      <c r="H15996" t="s">
        <v>20834</v>
      </c>
      <c r="I15996">
        <v>18140</v>
      </c>
      <c r="J15996" t="e">
        <f>VLOOKUP(E15996,DSSpieler!A:B,2,FALSE)</f>
        <v>#N/A</v>
      </c>
    </row>
    <row r="15997" spans="1:10" x14ac:dyDescent="0.25">
      <c r="A15997">
        <v>18141</v>
      </c>
      <c r="B15997" t="s">
        <v>2922</v>
      </c>
      <c r="C15997">
        <v>429</v>
      </c>
      <c r="D15997">
        <v>393</v>
      </c>
      <c r="E15997">
        <v>1576857946</v>
      </c>
      <c r="F15997">
        <v>84</v>
      </c>
      <c r="G15997">
        <v>0</v>
      </c>
      <c r="H15997" t="s">
        <v>20835</v>
      </c>
      <c r="I15997">
        <v>18141</v>
      </c>
      <c r="J15997" t="str">
        <f>VLOOKUP(E15997,DSSpieler!A:B,2,FALSE)</f>
        <v>AFROmann</v>
      </c>
    </row>
    <row r="15998" spans="1:10" x14ac:dyDescent="0.25">
      <c r="A15998">
        <v>18142</v>
      </c>
      <c r="B15998" t="s">
        <v>531</v>
      </c>
      <c r="C15998">
        <v>615</v>
      </c>
      <c r="D15998">
        <v>549</v>
      </c>
      <c r="E15998">
        <v>0</v>
      </c>
      <c r="F15998">
        <v>27</v>
      </c>
      <c r="G15998">
        <v>0</v>
      </c>
      <c r="H15998" t="s">
        <v>20836</v>
      </c>
      <c r="I15998">
        <v>18142</v>
      </c>
      <c r="J15998" t="e">
        <f>VLOOKUP(E15998,DSSpieler!A:B,2,FALSE)</f>
        <v>#N/A</v>
      </c>
    </row>
    <row r="15999" spans="1:10" x14ac:dyDescent="0.25">
      <c r="A15999">
        <v>18143</v>
      </c>
      <c r="B15999" t="s">
        <v>2923</v>
      </c>
      <c r="C15999">
        <v>585</v>
      </c>
      <c r="D15999">
        <v>405</v>
      </c>
      <c r="E15999">
        <v>38959</v>
      </c>
      <c r="F15999">
        <v>782</v>
      </c>
      <c r="G15999">
        <v>0</v>
      </c>
      <c r="H15999" t="s">
        <v>20837</v>
      </c>
      <c r="I15999">
        <v>18143</v>
      </c>
      <c r="J15999" t="str">
        <f>VLOOKUP(E15999,DSSpieler!A:B,2,FALSE)</f>
        <v>Artis</v>
      </c>
    </row>
    <row r="16000" spans="1:10" x14ac:dyDescent="0.25">
      <c r="A16000">
        <v>18144</v>
      </c>
      <c r="B16000" t="s">
        <v>2924</v>
      </c>
      <c r="C16000">
        <v>588</v>
      </c>
      <c r="D16000">
        <v>408</v>
      </c>
      <c r="E16000">
        <v>1576857814</v>
      </c>
      <c r="F16000">
        <v>1863</v>
      </c>
      <c r="G16000">
        <v>0</v>
      </c>
      <c r="H16000" t="s">
        <v>20838</v>
      </c>
      <c r="I16000">
        <v>18144</v>
      </c>
      <c r="J16000" t="str">
        <f>VLOOKUP(E16000,DSSpieler!A:B,2,FALSE)</f>
        <v>Ties89</v>
      </c>
    </row>
    <row r="16001" spans="1:10" x14ac:dyDescent="0.25">
      <c r="A16001">
        <v>18145</v>
      </c>
      <c r="B16001" t="s">
        <v>2925</v>
      </c>
      <c r="C16001">
        <v>496</v>
      </c>
      <c r="D16001">
        <v>475</v>
      </c>
      <c r="E16001">
        <v>7914761</v>
      </c>
      <c r="F16001">
        <v>480</v>
      </c>
      <c r="G16001">
        <v>0</v>
      </c>
      <c r="H16001" t="s">
        <v>20839</v>
      </c>
      <c r="I16001">
        <v>18145</v>
      </c>
      <c r="J16001">
        <f>VLOOKUP(E16001,DSSpieler!A:B,2,FALSE)</f>
        <v>22011966</v>
      </c>
    </row>
    <row r="16002" spans="1:10" x14ac:dyDescent="0.25">
      <c r="A16002">
        <v>18147</v>
      </c>
      <c r="B16002" t="s">
        <v>2926</v>
      </c>
      <c r="C16002">
        <v>468</v>
      </c>
      <c r="D16002">
        <v>620</v>
      </c>
      <c r="E16002">
        <v>1577154199</v>
      </c>
      <c r="F16002">
        <v>1726</v>
      </c>
      <c r="G16002">
        <v>0</v>
      </c>
      <c r="H16002" t="s">
        <v>20840</v>
      </c>
      <c r="I16002">
        <v>18147</v>
      </c>
      <c r="J16002" t="str">
        <f>VLOOKUP(E16002,DSSpieler!A:B,2,FALSE)</f>
        <v>Michi160</v>
      </c>
    </row>
    <row r="16003" spans="1:10" x14ac:dyDescent="0.25">
      <c r="A16003">
        <v>18148</v>
      </c>
      <c r="B16003" t="s">
        <v>35624</v>
      </c>
      <c r="C16003">
        <v>406</v>
      </c>
      <c r="D16003">
        <v>412</v>
      </c>
      <c r="E16003">
        <v>1576128662</v>
      </c>
      <c r="F16003">
        <v>2013</v>
      </c>
      <c r="G16003">
        <v>0</v>
      </c>
      <c r="H16003" t="s">
        <v>20841</v>
      </c>
      <c r="I16003">
        <v>18148</v>
      </c>
      <c r="J16003" t="str">
        <f>VLOOKUP(E16003,DSSpieler!A:B,2,FALSE)</f>
        <v>Cupradupra</v>
      </c>
    </row>
    <row r="16004" spans="1:10" x14ac:dyDescent="0.25">
      <c r="A16004">
        <v>18149</v>
      </c>
      <c r="B16004" t="s">
        <v>531</v>
      </c>
      <c r="C16004">
        <v>540</v>
      </c>
      <c r="D16004">
        <v>618</v>
      </c>
      <c r="E16004">
        <v>0</v>
      </c>
      <c r="F16004">
        <v>50</v>
      </c>
      <c r="G16004">
        <v>0</v>
      </c>
      <c r="H16004" t="s">
        <v>20842</v>
      </c>
      <c r="I16004">
        <v>18149</v>
      </c>
      <c r="J16004" t="e">
        <f>VLOOKUP(E16004,DSSpieler!A:B,2,FALSE)</f>
        <v>#N/A</v>
      </c>
    </row>
    <row r="16005" spans="1:10" x14ac:dyDescent="0.25">
      <c r="A16005">
        <v>18150</v>
      </c>
      <c r="B16005" t="s">
        <v>2927</v>
      </c>
      <c r="C16005">
        <v>625</v>
      </c>
      <c r="D16005">
        <v>499</v>
      </c>
      <c r="E16005">
        <v>1576381834</v>
      </c>
      <c r="F16005">
        <v>1703</v>
      </c>
      <c r="G16005">
        <v>0</v>
      </c>
      <c r="H16005" t="s">
        <v>20843</v>
      </c>
      <c r="I16005">
        <v>18150</v>
      </c>
      <c r="J16005" t="str">
        <f>VLOOKUP(E16005,DSSpieler!A:B,2,FALSE)</f>
        <v>BenWes</v>
      </c>
    </row>
    <row r="16006" spans="1:10" x14ac:dyDescent="0.25">
      <c r="A16006">
        <v>18152</v>
      </c>
      <c r="B16006" t="s">
        <v>1182</v>
      </c>
      <c r="C16006">
        <v>621</v>
      </c>
      <c r="D16006">
        <v>460</v>
      </c>
      <c r="E16006">
        <v>1998195</v>
      </c>
      <c r="F16006">
        <v>1082</v>
      </c>
      <c r="G16006">
        <v>0</v>
      </c>
      <c r="H16006" t="s">
        <v>20844</v>
      </c>
      <c r="I16006">
        <v>18152</v>
      </c>
      <c r="J16006" t="str">
        <f>VLOOKUP(E16006,DSSpieler!A:B,2,FALSE)</f>
        <v>Neron D Arc</v>
      </c>
    </row>
    <row r="16007" spans="1:10" x14ac:dyDescent="0.25">
      <c r="A16007">
        <v>18154</v>
      </c>
      <c r="B16007" t="s">
        <v>2928</v>
      </c>
      <c r="C16007">
        <v>479</v>
      </c>
      <c r="D16007">
        <v>374</v>
      </c>
      <c r="E16007">
        <v>1577191372</v>
      </c>
      <c r="F16007">
        <v>1417</v>
      </c>
      <c r="G16007">
        <v>0</v>
      </c>
      <c r="H16007" t="s">
        <v>20845</v>
      </c>
      <c r="I16007">
        <v>18154</v>
      </c>
      <c r="J16007" t="str">
        <f>VLOOKUP(E16007,DSSpieler!A:B,2,FALSE)</f>
        <v>RaymondRed</v>
      </c>
    </row>
    <row r="16008" spans="1:10" x14ac:dyDescent="0.25">
      <c r="A16008">
        <v>18155</v>
      </c>
      <c r="B16008" t="s">
        <v>2929</v>
      </c>
      <c r="C16008">
        <v>525</v>
      </c>
      <c r="D16008">
        <v>376</v>
      </c>
      <c r="E16008">
        <v>1620538</v>
      </c>
      <c r="F16008">
        <v>1242</v>
      </c>
      <c r="G16008">
        <v>0</v>
      </c>
      <c r="H16008" t="s">
        <v>20846</v>
      </c>
      <c r="I16008">
        <v>18155</v>
      </c>
      <c r="J16008" t="str">
        <f>VLOOKUP(E16008,DSSpieler!A:B,2,FALSE)</f>
        <v>panda28</v>
      </c>
    </row>
    <row r="16009" spans="1:10" x14ac:dyDescent="0.25">
      <c r="A16009">
        <v>18156</v>
      </c>
      <c r="B16009" t="s">
        <v>531</v>
      </c>
      <c r="C16009">
        <v>374</v>
      </c>
      <c r="D16009">
        <v>480</v>
      </c>
      <c r="E16009">
        <v>0</v>
      </c>
      <c r="F16009">
        <v>366</v>
      </c>
      <c r="G16009">
        <v>0</v>
      </c>
      <c r="H16009" t="s">
        <v>20847</v>
      </c>
      <c r="I16009">
        <v>18156</v>
      </c>
      <c r="J16009" t="e">
        <f>VLOOKUP(E16009,DSSpieler!A:B,2,FALSE)</f>
        <v>#N/A</v>
      </c>
    </row>
    <row r="16010" spans="1:10" x14ac:dyDescent="0.25">
      <c r="A16010">
        <v>18157</v>
      </c>
      <c r="B16010" t="s">
        <v>2930</v>
      </c>
      <c r="C16010">
        <v>571</v>
      </c>
      <c r="D16010">
        <v>395</v>
      </c>
      <c r="E16010">
        <v>1576286508</v>
      </c>
      <c r="F16010">
        <v>885</v>
      </c>
      <c r="G16010">
        <v>0</v>
      </c>
      <c r="H16010" t="s">
        <v>20848</v>
      </c>
      <c r="I16010">
        <v>18157</v>
      </c>
      <c r="J16010" t="str">
        <f>VLOOKUP(E16010,DSSpieler!A:B,2,FALSE)</f>
        <v>Mumba</v>
      </c>
    </row>
    <row r="16011" spans="1:10" x14ac:dyDescent="0.25">
      <c r="A16011">
        <v>18158</v>
      </c>
      <c r="B16011" t="s">
        <v>531</v>
      </c>
      <c r="C16011">
        <v>613</v>
      </c>
      <c r="D16011">
        <v>444</v>
      </c>
      <c r="E16011">
        <v>0</v>
      </c>
      <c r="F16011">
        <v>78</v>
      </c>
      <c r="G16011">
        <v>0</v>
      </c>
      <c r="H16011" t="s">
        <v>20849</v>
      </c>
      <c r="I16011">
        <v>18158</v>
      </c>
      <c r="J16011" t="e">
        <f>VLOOKUP(E16011,DSSpieler!A:B,2,FALSE)</f>
        <v>#N/A</v>
      </c>
    </row>
    <row r="16012" spans="1:10" x14ac:dyDescent="0.25">
      <c r="A16012">
        <v>18159</v>
      </c>
      <c r="B16012" t="s">
        <v>2931</v>
      </c>
      <c r="C16012">
        <v>619</v>
      </c>
      <c r="D16012">
        <v>448</v>
      </c>
      <c r="E16012">
        <v>1577014658</v>
      </c>
      <c r="F16012">
        <v>109</v>
      </c>
      <c r="G16012">
        <v>0</v>
      </c>
      <c r="H16012" t="s">
        <v>20850</v>
      </c>
      <c r="I16012">
        <v>18159</v>
      </c>
      <c r="J16012" t="str">
        <f>VLOOKUP(E16012,DSSpieler!A:B,2,FALSE)</f>
        <v>Narell</v>
      </c>
    </row>
    <row r="16013" spans="1:10" x14ac:dyDescent="0.25">
      <c r="A16013">
        <v>18162</v>
      </c>
      <c r="B16013" t="s">
        <v>2932</v>
      </c>
      <c r="C16013">
        <v>514</v>
      </c>
      <c r="D16013">
        <v>595</v>
      </c>
      <c r="E16013">
        <v>1577183015</v>
      </c>
      <c r="F16013">
        <v>1251</v>
      </c>
      <c r="G16013">
        <v>0</v>
      </c>
      <c r="H16013" t="s">
        <v>20851</v>
      </c>
      <c r="I16013">
        <v>18162</v>
      </c>
      <c r="J16013" t="str">
        <f>VLOOKUP(E16013,DSSpieler!A:B,2,FALSE)</f>
        <v>muffripper666</v>
      </c>
    </row>
    <row r="16014" spans="1:10" x14ac:dyDescent="0.25">
      <c r="A16014">
        <v>18163</v>
      </c>
      <c r="B16014" t="s">
        <v>2933</v>
      </c>
      <c r="C16014">
        <v>550</v>
      </c>
      <c r="D16014">
        <v>385</v>
      </c>
      <c r="E16014">
        <v>1576052536</v>
      </c>
      <c r="F16014">
        <v>78</v>
      </c>
      <c r="G16014">
        <v>0</v>
      </c>
      <c r="H16014" t="s">
        <v>20852</v>
      </c>
      <c r="I16014">
        <v>18163</v>
      </c>
      <c r="J16014" t="str">
        <f>VLOOKUP(E16014,DSSpieler!A:B,2,FALSE)</f>
        <v>BlackJack575757</v>
      </c>
    </row>
    <row r="16015" spans="1:10" x14ac:dyDescent="0.25">
      <c r="A16015">
        <v>18165</v>
      </c>
      <c r="B16015" t="s">
        <v>2934</v>
      </c>
      <c r="C16015">
        <v>402</v>
      </c>
      <c r="D16015">
        <v>581</v>
      </c>
      <c r="E16015">
        <v>1577176032</v>
      </c>
      <c r="F16015">
        <v>1775</v>
      </c>
      <c r="G16015">
        <v>0</v>
      </c>
      <c r="H16015" t="s">
        <v>20853</v>
      </c>
      <c r="I16015">
        <v>18165</v>
      </c>
      <c r="J16015" t="str">
        <f>VLOOKUP(E16015,DSSpieler!A:B,2,FALSE)</f>
        <v>HaveRespectSon</v>
      </c>
    </row>
    <row r="16016" spans="1:10" x14ac:dyDescent="0.25">
      <c r="A16016">
        <v>18166</v>
      </c>
      <c r="B16016" t="s">
        <v>2935</v>
      </c>
      <c r="C16016">
        <v>629</v>
      </c>
      <c r="D16016">
        <v>505</v>
      </c>
      <c r="E16016">
        <v>1576796409</v>
      </c>
      <c r="F16016">
        <v>1036</v>
      </c>
      <c r="G16016">
        <v>0</v>
      </c>
      <c r="H16016" t="s">
        <v>20854</v>
      </c>
      <c r="I16016">
        <v>18166</v>
      </c>
      <c r="J16016" t="str">
        <f>VLOOKUP(E16016,DSSpieler!A:B,2,FALSE)</f>
        <v>JoGiii89</v>
      </c>
    </row>
    <row r="16017" spans="1:10" x14ac:dyDescent="0.25">
      <c r="A16017">
        <v>18167</v>
      </c>
      <c r="B16017" t="s">
        <v>531</v>
      </c>
      <c r="C16017">
        <v>619</v>
      </c>
      <c r="D16017">
        <v>450</v>
      </c>
      <c r="E16017">
        <v>0</v>
      </c>
      <c r="F16017">
        <v>76</v>
      </c>
      <c r="G16017">
        <v>0</v>
      </c>
      <c r="H16017" t="s">
        <v>20855</v>
      </c>
      <c r="I16017">
        <v>18167</v>
      </c>
      <c r="J16017" t="e">
        <f>VLOOKUP(E16017,DSSpieler!A:B,2,FALSE)</f>
        <v>#N/A</v>
      </c>
    </row>
    <row r="16018" spans="1:10" x14ac:dyDescent="0.25">
      <c r="A16018">
        <v>18168</v>
      </c>
      <c r="B16018" t="s">
        <v>531</v>
      </c>
      <c r="C16018">
        <v>437</v>
      </c>
      <c r="D16018">
        <v>428</v>
      </c>
      <c r="E16018">
        <v>0</v>
      </c>
      <c r="F16018">
        <v>54</v>
      </c>
      <c r="G16018">
        <v>0</v>
      </c>
      <c r="H16018" t="s">
        <v>20856</v>
      </c>
      <c r="I16018">
        <v>18168</v>
      </c>
      <c r="J16018" t="e">
        <f>VLOOKUP(E16018,DSSpieler!A:B,2,FALSE)</f>
        <v>#N/A</v>
      </c>
    </row>
    <row r="16019" spans="1:10" x14ac:dyDescent="0.25">
      <c r="A16019">
        <v>18169</v>
      </c>
      <c r="B16019" t="s">
        <v>531</v>
      </c>
      <c r="C16019">
        <v>375</v>
      </c>
      <c r="D16019">
        <v>475</v>
      </c>
      <c r="E16019">
        <v>0</v>
      </c>
      <c r="F16019">
        <v>106</v>
      </c>
      <c r="G16019">
        <v>0</v>
      </c>
      <c r="H16019" t="s">
        <v>20857</v>
      </c>
      <c r="I16019">
        <v>18169</v>
      </c>
      <c r="J16019" t="e">
        <f>VLOOKUP(E16019,DSSpieler!A:B,2,FALSE)</f>
        <v>#N/A</v>
      </c>
    </row>
    <row r="16020" spans="1:10" x14ac:dyDescent="0.25">
      <c r="A16020">
        <v>18171</v>
      </c>
      <c r="B16020" t="s">
        <v>531</v>
      </c>
      <c r="C16020">
        <v>588</v>
      </c>
      <c r="D16020">
        <v>595</v>
      </c>
      <c r="E16020">
        <v>0</v>
      </c>
      <c r="F16020">
        <v>142</v>
      </c>
      <c r="G16020">
        <v>0</v>
      </c>
      <c r="H16020" t="s">
        <v>20858</v>
      </c>
      <c r="I16020">
        <v>18171</v>
      </c>
      <c r="J16020" t="e">
        <f>VLOOKUP(E16020,DSSpieler!A:B,2,FALSE)</f>
        <v>#N/A</v>
      </c>
    </row>
    <row r="16021" spans="1:10" x14ac:dyDescent="0.25">
      <c r="A16021">
        <v>18173</v>
      </c>
      <c r="B16021" t="s">
        <v>2936</v>
      </c>
      <c r="C16021">
        <v>514</v>
      </c>
      <c r="D16021">
        <v>486</v>
      </c>
      <c r="E16021">
        <v>1577177156</v>
      </c>
      <c r="F16021">
        <v>1737</v>
      </c>
      <c r="G16021">
        <v>0</v>
      </c>
      <c r="H16021" t="s">
        <v>20859</v>
      </c>
      <c r="I16021">
        <v>18173</v>
      </c>
      <c r="J16021" t="str">
        <f>VLOOKUP(E16021,DSSpieler!A:B,2,FALSE)</f>
        <v>johnrambo</v>
      </c>
    </row>
    <row r="16022" spans="1:10" x14ac:dyDescent="0.25">
      <c r="A16022">
        <v>18174</v>
      </c>
      <c r="B16022" t="s">
        <v>35625</v>
      </c>
      <c r="C16022">
        <v>454</v>
      </c>
      <c r="D16022">
        <v>619</v>
      </c>
      <c r="E16022">
        <v>1577046994</v>
      </c>
      <c r="F16022">
        <v>1796</v>
      </c>
      <c r="G16022">
        <v>0</v>
      </c>
      <c r="H16022" t="s">
        <v>20860</v>
      </c>
      <c r="I16022">
        <v>18174</v>
      </c>
      <c r="J16022" t="str">
        <f>VLOOKUP(E16022,DSSpieler!A:B,2,FALSE)</f>
        <v>tby13</v>
      </c>
    </row>
    <row r="16023" spans="1:10" x14ac:dyDescent="0.25">
      <c r="A16023">
        <v>18175</v>
      </c>
      <c r="B16023" t="s">
        <v>2937</v>
      </c>
      <c r="C16023">
        <v>616</v>
      </c>
      <c r="D16023">
        <v>448</v>
      </c>
      <c r="E16023">
        <v>1577178918</v>
      </c>
      <c r="F16023">
        <v>212</v>
      </c>
      <c r="G16023">
        <v>0</v>
      </c>
      <c r="H16023" t="s">
        <v>20861</v>
      </c>
      <c r="I16023">
        <v>18175</v>
      </c>
      <c r="J16023" t="str">
        <f>VLOOKUP(E16023,DSSpieler!A:B,2,FALSE)</f>
        <v>bernti11</v>
      </c>
    </row>
    <row r="16024" spans="1:10" x14ac:dyDescent="0.25">
      <c r="A16024">
        <v>18176</v>
      </c>
      <c r="B16024" t="s">
        <v>2938</v>
      </c>
      <c r="C16024">
        <v>507</v>
      </c>
      <c r="D16024">
        <v>630</v>
      </c>
      <c r="E16024">
        <v>1577205806</v>
      </c>
      <c r="F16024">
        <v>66</v>
      </c>
      <c r="G16024">
        <v>0</v>
      </c>
      <c r="H16024" t="s">
        <v>20862</v>
      </c>
      <c r="I16024">
        <v>18176</v>
      </c>
      <c r="J16024" t="str">
        <f>VLOOKUP(E16024,DSSpieler!A:B,2,FALSE)</f>
        <v>hinkebein01</v>
      </c>
    </row>
    <row r="16025" spans="1:10" x14ac:dyDescent="0.25">
      <c r="A16025">
        <v>18177</v>
      </c>
      <c r="B16025" t="s">
        <v>2939</v>
      </c>
      <c r="C16025">
        <v>427</v>
      </c>
      <c r="D16025">
        <v>527</v>
      </c>
      <c r="E16025">
        <v>1577127561</v>
      </c>
      <c r="F16025">
        <v>929</v>
      </c>
      <c r="G16025">
        <v>0</v>
      </c>
      <c r="H16025" t="s">
        <v>20863</v>
      </c>
      <c r="I16025">
        <v>18177</v>
      </c>
      <c r="J16025" t="str">
        <f>VLOOKUP(E16025,DSSpieler!A:B,2,FALSE)</f>
        <v>RoterPit</v>
      </c>
    </row>
    <row r="16026" spans="1:10" x14ac:dyDescent="0.25">
      <c r="A16026">
        <v>18179</v>
      </c>
      <c r="B16026" t="s">
        <v>531</v>
      </c>
      <c r="C16026">
        <v>530</v>
      </c>
      <c r="D16026">
        <v>625</v>
      </c>
      <c r="E16026">
        <v>0</v>
      </c>
      <c r="F16026">
        <v>150</v>
      </c>
      <c r="G16026">
        <v>0</v>
      </c>
      <c r="H16026" t="s">
        <v>20864</v>
      </c>
      <c r="I16026">
        <v>18179</v>
      </c>
      <c r="J16026" t="e">
        <f>VLOOKUP(E16026,DSSpieler!A:B,2,FALSE)</f>
        <v>#N/A</v>
      </c>
    </row>
    <row r="16027" spans="1:10" x14ac:dyDescent="0.25">
      <c r="A16027">
        <v>18180</v>
      </c>
      <c r="B16027" t="s">
        <v>531</v>
      </c>
      <c r="C16027">
        <v>409</v>
      </c>
      <c r="D16027">
        <v>411</v>
      </c>
      <c r="E16027">
        <v>0</v>
      </c>
      <c r="F16027">
        <v>32</v>
      </c>
      <c r="G16027">
        <v>0</v>
      </c>
      <c r="H16027" t="s">
        <v>20865</v>
      </c>
      <c r="I16027">
        <v>18180</v>
      </c>
      <c r="J16027" t="e">
        <f>VLOOKUP(E16027,DSSpieler!A:B,2,FALSE)</f>
        <v>#N/A</v>
      </c>
    </row>
    <row r="16028" spans="1:10" x14ac:dyDescent="0.25">
      <c r="A16028">
        <v>18181</v>
      </c>
      <c r="B16028" t="s">
        <v>2940</v>
      </c>
      <c r="C16028">
        <v>492</v>
      </c>
      <c r="D16028">
        <v>633</v>
      </c>
      <c r="E16028">
        <v>1577206406</v>
      </c>
      <c r="F16028">
        <v>1228</v>
      </c>
      <c r="G16028">
        <v>0</v>
      </c>
      <c r="H16028" t="s">
        <v>20866</v>
      </c>
      <c r="I16028">
        <v>18181</v>
      </c>
      <c r="J16028" t="str">
        <f>VLOOKUP(E16028,DSSpieler!A:B,2,FALSE)</f>
        <v>J-Wildfire</v>
      </c>
    </row>
    <row r="16029" spans="1:10" x14ac:dyDescent="0.25">
      <c r="A16029">
        <v>18182</v>
      </c>
      <c r="B16029" t="s">
        <v>531</v>
      </c>
      <c r="C16029">
        <v>522</v>
      </c>
      <c r="D16029">
        <v>374</v>
      </c>
      <c r="E16029">
        <v>0</v>
      </c>
      <c r="F16029">
        <v>105</v>
      </c>
      <c r="G16029">
        <v>0</v>
      </c>
      <c r="H16029" t="s">
        <v>20867</v>
      </c>
      <c r="I16029">
        <v>18182</v>
      </c>
      <c r="J16029" t="e">
        <f>VLOOKUP(E16029,DSSpieler!A:B,2,FALSE)</f>
        <v>#N/A</v>
      </c>
    </row>
    <row r="16030" spans="1:10" x14ac:dyDescent="0.25">
      <c r="A16030">
        <v>18183</v>
      </c>
      <c r="B16030" t="s">
        <v>2941</v>
      </c>
      <c r="C16030">
        <v>525</v>
      </c>
      <c r="D16030">
        <v>404</v>
      </c>
      <c r="E16030">
        <v>10068867</v>
      </c>
      <c r="F16030">
        <v>1490</v>
      </c>
      <c r="G16030">
        <v>0</v>
      </c>
      <c r="H16030" t="s">
        <v>20868</v>
      </c>
      <c r="I16030">
        <v>18183</v>
      </c>
      <c r="J16030" t="str">
        <f>VLOOKUP(E16030,DSSpieler!A:B,2,FALSE)</f>
        <v>KX22</v>
      </c>
    </row>
    <row r="16031" spans="1:10" x14ac:dyDescent="0.25">
      <c r="A16031">
        <v>18184</v>
      </c>
      <c r="B16031" t="s">
        <v>2942</v>
      </c>
      <c r="C16031">
        <v>385</v>
      </c>
      <c r="D16031">
        <v>504</v>
      </c>
      <c r="E16031">
        <v>1577176838</v>
      </c>
      <c r="F16031">
        <v>119</v>
      </c>
      <c r="G16031">
        <v>0</v>
      </c>
      <c r="H16031" t="s">
        <v>20869</v>
      </c>
      <c r="I16031">
        <v>18184</v>
      </c>
      <c r="J16031" t="str">
        <f>VLOOKUP(E16031,DSSpieler!A:B,2,FALSE)</f>
        <v>Banger257</v>
      </c>
    </row>
    <row r="16032" spans="1:10" x14ac:dyDescent="0.25">
      <c r="A16032">
        <v>18185</v>
      </c>
      <c r="B16032" t="s">
        <v>531</v>
      </c>
      <c r="C16032">
        <v>405</v>
      </c>
      <c r="D16032">
        <v>414</v>
      </c>
      <c r="E16032">
        <v>0</v>
      </c>
      <c r="F16032">
        <v>713</v>
      </c>
      <c r="G16032">
        <v>0</v>
      </c>
      <c r="H16032" t="s">
        <v>20870</v>
      </c>
      <c r="I16032">
        <v>18185</v>
      </c>
      <c r="J16032" t="e">
        <f>VLOOKUP(E16032,DSSpieler!A:B,2,FALSE)</f>
        <v>#N/A</v>
      </c>
    </row>
    <row r="16033" spans="1:10" x14ac:dyDescent="0.25">
      <c r="A16033">
        <v>18186</v>
      </c>
      <c r="B16033" t="s">
        <v>35626</v>
      </c>
      <c r="C16033">
        <v>383</v>
      </c>
      <c r="D16033">
        <v>535</v>
      </c>
      <c r="E16033">
        <v>1577060557</v>
      </c>
      <c r="F16033">
        <v>1914</v>
      </c>
      <c r="G16033">
        <v>0</v>
      </c>
      <c r="H16033" t="s">
        <v>20871</v>
      </c>
      <c r="I16033">
        <v>18186</v>
      </c>
      <c r="J16033" t="str">
        <f>VLOOKUP(E16033,DSSpieler!A:B,2,FALSE)</f>
        <v>Sergeant Schweinebacke</v>
      </c>
    </row>
    <row r="16034" spans="1:10" x14ac:dyDescent="0.25">
      <c r="A16034">
        <v>18188</v>
      </c>
      <c r="B16034" t="s">
        <v>2943</v>
      </c>
      <c r="C16034">
        <v>625</v>
      </c>
      <c r="D16034">
        <v>515</v>
      </c>
      <c r="E16034">
        <v>1805049</v>
      </c>
      <c r="F16034">
        <v>26</v>
      </c>
      <c r="G16034">
        <v>0</v>
      </c>
      <c r="H16034" t="s">
        <v>20872</v>
      </c>
      <c r="I16034">
        <v>18188</v>
      </c>
      <c r="J16034" t="str">
        <f>VLOOKUP(E16034,DSSpieler!A:B,2,FALSE)</f>
        <v>Scheisedu1</v>
      </c>
    </row>
    <row r="16035" spans="1:10" x14ac:dyDescent="0.25">
      <c r="A16035">
        <v>18190</v>
      </c>
      <c r="B16035" t="s">
        <v>531</v>
      </c>
      <c r="C16035">
        <v>380</v>
      </c>
      <c r="D16035">
        <v>450</v>
      </c>
      <c r="E16035">
        <v>0</v>
      </c>
      <c r="F16035">
        <v>88</v>
      </c>
      <c r="G16035">
        <v>0</v>
      </c>
      <c r="H16035" t="s">
        <v>20873</v>
      </c>
      <c r="I16035">
        <v>18190</v>
      </c>
      <c r="J16035" t="e">
        <f>VLOOKUP(E16035,DSSpieler!A:B,2,FALSE)</f>
        <v>#N/A</v>
      </c>
    </row>
    <row r="16036" spans="1:10" x14ac:dyDescent="0.25">
      <c r="A16036">
        <v>18192</v>
      </c>
      <c r="B16036" t="s">
        <v>531</v>
      </c>
      <c r="C16036">
        <v>628</v>
      </c>
      <c r="D16036">
        <v>487</v>
      </c>
      <c r="E16036">
        <v>0</v>
      </c>
      <c r="F16036">
        <v>313</v>
      </c>
      <c r="G16036">
        <v>0</v>
      </c>
      <c r="H16036" t="s">
        <v>20874</v>
      </c>
      <c r="I16036">
        <v>18192</v>
      </c>
      <c r="J16036" t="e">
        <f>VLOOKUP(E16036,DSSpieler!A:B,2,FALSE)</f>
        <v>#N/A</v>
      </c>
    </row>
    <row r="16037" spans="1:10" x14ac:dyDescent="0.25">
      <c r="A16037">
        <v>18193</v>
      </c>
      <c r="B16037" t="s">
        <v>2944</v>
      </c>
      <c r="C16037">
        <v>543</v>
      </c>
      <c r="D16037">
        <v>381</v>
      </c>
      <c r="E16037">
        <v>9006912</v>
      </c>
      <c r="F16037">
        <v>306</v>
      </c>
      <c r="G16037">
        <v>0</v>
      </c>
      <c r="H16037" t="s">
        <v>20875</v>
      </c>
      <c r="I16037">
        <v>18193</v>
      </c>
      <c r="J16037" t="str">
        <f>VLOOKUP(E16037,DSSpieler!A:B,2,FALSE)</f>
        <v>JuinX</v>
      </c>
    </row>
    <row r="16038" spans="1:10" x14ac:dyDescent="0.25">
      <c r="A16038">
        <v>18194</v>
      </c>
      <c r="B16038" t="s">
        <v>2945</v>
      </c>
      <c r="C16038">
        <v>456</v>
      </c>
      <c r="D16038">
        <v>487</v>
      </c>
      <c r="E16038">
        <v>9848136</v>
      </c>
      <c r="F16038">
        <v>1368</v>
      </c>
      <c r="G16038">
        <v>0</v>
      </c>
      <c r="H16038" t="s">
        <v>20876</v>
      </c>
      <c r="I16038">
        <v>18194</v>
      </c>
      <c r="J16038" t="str">
        <f>VLOOKUP(E16038,DSSpieler!A:B,2,FALSE)</f>
        <v>Herby68</v>
      </c>
    </row>
    <row r="16039" spans="1:10" x14ac:dyDescent="0.25">
      <c r="A16039">
        <v>18195</v>
      </c>
      <c r="B16039" t="s">
        <v>531</v>
      </c>
      <c r="C16039">
        <v>373</v>
      </c>
      <c r="D16039">
        <v>478</v>
      </c>
      <c r="E16039">
        <v>0</v>
      </c>
      <c r="F16039">
        <v>123</v>
      </c>
      <c r="G16039">
        <v>0</v>
      </c>
      <c r="H16039" t="s">
        <v>20877</v>
      </c>
      <c r="I16039">
        <v>18195</v>
      </c>
      <c r="J16039" t="e">
        <f>VLOOKUP(E16039,DSSpieler!A:B,2,FALSE)</f>
        <v>#N/A</v>
      </c>
    </row>
    <row r="16040" spans="1:10" x14ac:dyDescent="0.25">
      <c r="A16040">
        <v>18196</v>
      </c>
      <c r="B16040" t="s">
        <v>531</v>
      </c>
      <c r="C16040">
        <v>457</v>
      </c>
      <c r="D16040">
        <v>620</v>
      </c>
      <c r="E16040">
        <v>0</v>
      </c>
      <c r="F16040">
        <v>77</v>
      </c>
      <c r="G16040">
        <v>0</v>
      </c>
      <c r="H16040" t="s">
        <v>20878</v>
      </c>
      <c r="I16040">
        <v>18196</v>
      </c>
      <c r="J16040" t="e">
        <f>VLOOKUP(E16040,DSSpieler!A:B,2,FALSE)</f>
        <v>#N/A</v>
      </c>
    </row>
    <row r="16041" spans="1:10" x14ac:dyDescent="0.25">
      <c r="A16041">
        <v>18197</v>
      </c>
      <c r="B16041" t="s">
        <v>531</v>
      </c>
      <c r="C16041">
        <v>403</v>
      </c>
      <c r="D16041">
        <v>578</v>
      </c>
      <c r="E16041">
        <v>0</v>
      </c>
      <c r="F16041">
        <v>33</v>
      </c>
      <c r="G16041">
        <v>0</v>
      </c>
      <c r="H16041" t="s">
        <v>20879</v>
      </c>
      <c r="I16041">
        <v>18197</v>
      </c>
      <c r="J16041" t="e">
        <f>VLOOKUP(E16041,DSSpieler!A:B,2,FALSE)</f>
        <v>#N/A</v>
      </c>
    </row>
    <row r="16042" spans="1:10" x14ac:dyDescent="0.25">
      <c r="A16042">
        <v>18198</v>
      </c>
      <c r="B16042" t="s">
        <v>531</v>
      </c>
      <c r="C16042">
        <v>391</v>
      </c>
      <c r="D16042">
        <v>438</v>
      </c>
      <c r="E16042">
        <v>0</v>
      </c>
      <c r="F16042">
        <v>75</v>
      </c>
      <c r="G16042">
        <v>0</v>
      </c>
      <c r="H16042" t="s">
        <v>20880</v>
      </c>
      <c r="I16042">
        <v>18198</v>
      </c>
      <c r="J16042" t="e">
        <f>VLOOKUP(E16042,DSSpieler!A:B,2,FALSE)</f>
        <v>#N/A</v>
      </c>
    </row>
    <row r="16043" spans="1:10" x14ac:dyDescent="0.25">
      <c r="A16043">
        <v>18199</v>
      </c>
      <c r="B16043" t="s">
        <v>2946</v>
      </c>
      <c r="C16043">
        <v>617</v>
      </c>
      <c r="D16043">
        <v>446</v>
      </c>
      <c r="E16043">
        <v>1280337</v>
      </c>
      <c r="F16043">
        <v>2524</v>
      </c>
      <c r="G16043">
        <v>0</v>
      </c>
      <c r="H16043" t="s">
        <v>20881</v>
      </c>
      <c r="I16043">
        <v>18199</v>
      </c>
      <c r="J16043" t="str">
        <f>VLOOKUP(E16043,DSSpieler!A:B,2,FALSE)</f>
        <v>JoeContana</v>
      </c>
    </row>
    <row r="16044" spans="1:10" x14ac:dyDescent="0.25">
      <c r="A16044">
        <v>18200</v>
      </c>
      <c r="B16044" t="s">
        <v>531</v>
      </c>
      <c r="C16044">
        <v>552</v>
      </c>
      <c r="D16044">
        <v>381</v>
      </c>
      <c r="E16044">
        <v>0</v>
      </c>
      <c r="F16044">
        <v>175</v>
      </c>
      <c r="G16044">
        <v>0</v>
      </c>
      <c r="H16044" t="s">
        <v>20882</v>
      </c>
      <c r="I16044">
        <v>18200</v>
      </c>
      <c r="J16044" t="e">
        <f>VLOOKUP(E16044,DSSpieler!A:B,2,FALSE)</f>
        <v>#N/A</v>
      </c>
    </row>
    <row r="16045" spans="1:10" x14ac:dyDescent="0.25">
      <c r="A16045">
        <v>18202</v>
      </c>
      <c r="B16045" t="s">
        <v>2947</v>
      </c>
      <c r="C16045">
        <v>484</v>
      </c>
      <c r="D16045">
        <v>375</v>
      </c>
      <c r="E16045">
        <v>1576900654</v>
      </c>
      <c r="F16045">
        <v>511</v>
      </c>
      <c r="G16045">
        <v>0</v>
      </c>
      <c r="H16045" t="s">
        <v>20883</v>
      </c>
      <c r="I16045">
        <v>18202</v>
      </c>
      <c r="J16045" t="str">
        <f>VLOOKUP(E16045,DSSpieler!A:B,2,FALSE)</f>
        <v>Weidi93</v>
      </c>
    </row>
    <row r="16046" spans="1:10" x14ac:dyDescent="0.25">
      <c r="A16046">
        <v>18203</v>
      </c>
      <c r="B16046" t="s">
        <v>2948</v>
      </c>
      <c r="C16046">
        <v>586</v>
      </c>
      <c r="D16046">
        <v>525</v>
      </c>
      <c r="E16046">
        <v>1577198241</v>
      </c>
      <c r="F16046">
        <v>1010</v>
      </c>
      <c r="G16046">
        <v>0</v>
      </c>
      <c r="H16046" t="s">
        <v>20884</v>
      </c>
      <c r="I16046">
        <v>18203</v>
      </c>
      <c r="J16046" t="str">
        <f>VLOOKUP(E16046,DSSpieler!A:B,2,FALSE)</f>
        <v>Flo 92</v>
      </c>
    </row>
    <row r="16047" spans="1:10" x14ac:dyDescent="0.25">
      <c r="A16047">
        <v>18204</v>
      </c>
      <c r="B16047" t="s">
        <v>2949</v>
      </c>
      <c r="C16047">
        <v>400</v>
      </c>
      <c r="D16047">
        <v>422</v>
      </c>
      <c r="E16047">
        <v>9850687</v>
      </c>
      <c r="F16047">
        <v>119</v>
      </c>
      <c r="G16047">
        <v>0</v>
      </c>
      <c r="H16047" t="s">
        <v>20885</v>
      </c>
      <c r="I16047">
        <v>18204</v>
      </c>
      <c r="J16047" t="str">
        <f>VLOOKUP(E16047,DSSpieler!A:B,2,FALSE)</f>
        <v>Lord Kampfochse</v>
      </c>
    </row>
    <row r="16048" spans="1:10" x14ac:dyDescent="0.25">
      <c r="A16048">
        <v>18205</v>
      </c>
      <c r="B16048" t="s">
        <v>531</v>
      </c>
      <c r="C16048">
        <v>627</v>
      </c>
      <c r="D16048">
        <v>472</v>
      </c>
      <c r="E16048">
        <v>0</v>
      </c>
      <c r="F16048">
        <v>108</v>
      </c>
      <c r="G16048">
        <v>0</v>
      </c>
      <c r="H16048" t="s">
        <v>20886</v>
      </c>
      <c r="I16048">
        <v>18205</v>
      </c>
      <c r="J16048" t="e">
        <f>VLOOKUP(E16048,DSSpieler!A:B,2,FALSE)</f>
        <v>#N/A</v>
      </c>
    </row>
    <row r="16049" spans="1:10" x14ac:dyDescent="0.25">
      <c r="A16049">
        <v>18207</v>
      </c>
      <c r="B16049" t="s">
        <v>2950</v>
      </c>
      <c r="C16049">
        <v>629</v>
      </c>
      <c r="D16049">
        <v>497</v>
      </c>
      <c r="E16049">
        <v>1576358131</v>
      </c>
      <c r="F16049">
        <v>1446</v>
      </c>
      <c r="G16049">
        <v>0</v>
      </c>
      <c r="H16049" t="s">
        <v>20887</v>
      </c>
      <c r="I16049">
        <v>18207</v>
      </c>
      <c r="J16049" t="str">
        <f>VLOOKUP(E16049,DSSpieler!A:B,2,FALSE)</f>
        <v>HerrAlex</v>
      </c>
    </row>
    <row r="16050" spans="1:10" x14ac:dyDescent="0.25">
      <c r="A16050">
        <v>18209</v>
      </c>
      <c r="B16050" t="s">
        <v>2951</v>
      </c>
      <c r="C16050">
        <v>557</v>
      </c>
      <c r="D16050">
        <v>388</v>
      </c>
      <c r="E16050">
        <v>1577174360</v>
      </c>
      <c r="F16050">
        <v>2749</v>
      </c>
      <c r="G16050">
        <v>0</v>
      </c>
      <c r="H16050" t="s">
        <v>20888</v>
      </c>
      <c r="I16050">
        <v>18209</v>
      </c>
      <c r="J16050" t="str">
        <f>VLOOKUP(E16050,DSSpieler!A:B,2,FALSE)</f>
        <v>datSmartyy</v>
      </c>
    </row>
    <row r="16051" spans="1:10" x14ac:dyDescent="0.25">
      <c r="A16051">
        <v>18210</v>
      </c>
      <c r="B16051" t="s">
        <v>2952</v>
      </c>
      <c r="C16051">
        <v>493</v>
      </c>
      <c r="D16051">
        <v>375</v>
      </c>
      <c r="E16051">
        <v>1577189726</v>
      </c>
      <c r="F16051">
        <v>39</v>
      </c>
      <c r="G16051">
        <v>0</v>
      </c>
      <c r="H16051" t="s">
        <v>20889</v>
      </c>
      <c r="I16051">
        <v>18210</v>
      </c>
      <c r="J16051" t="str">
        <f>VLOOKUP(E16051,DSSpieler!A:B,2,FALSE)</f>
        <v>iSuny</v>
      </c>
    </row>
    <row r="16052" spans="1:10" x14ac:dyDescent="0.25">
      <c r="A16052">
        <v>18211</v>
      </c>
      <c r="B16052" t="s">
        <v>2953</v>
      </c>
      <c r="C16052">
        <v>508</v>
      </c>
      <c r="D16052">
        <v>370</v>
      </c>
      <c r="E16052">
        <v>1577201324</v>
      </c>
      <c r="F16052">
        <v>2806</v>
      </c>
      <c r="G16052">
        <v>0</v>
      </c>
      <c r="H16052" t="s">
        <v>20890</v>
      </c>
      <c r="I16052">
        <v>18211</v>
      </c>
      <c r="J16052" t="str">
        <f>VLOOKUP(E16052,DSSpieler!A:B,2,FALSE)</f>
        <v>Trolly</v>
      </c>
    </row>
    <row r="16053" spans="1:10" x14ac:dyDescent="0.25">
      <c r="A16053">
        <v>18212</v>
      </c>
      <c r="B16053" t="s">
        <v>35627</v>
      </c>
      <c r="C16053">
        <v>508</v>
      </c>
      <c r="D16053">
        <v>379</v>
      </c>
      <c r="E16053">
        <v>9953236</v>
      </c>
      <c r="F16053">
        <v>2780</v>
      </c>
      <c r="G16053">
        <v>0</v>
      </c>
      <c r="H16053" t="s">
        <v>20891</v>
      </c>
      <c r="I16053">
        <v>18212</v>
      </c>
      <c r="J16053" t="str">
        <f>VLOOKUP(E16053,DSSpieler!A:B,2,FALSE)</f>
        <v>xXDestroyedXx</v>
      </c>
    </row>
    <row r="16054" spans="1:10" x14ac:dyDescent="0.25">
      <c r="A16054">
        <v>18213</v>
      </c>
      <c r="B16054" t="s">
        <v>531</v>
      </c>
      <c r="C16054">
        <v>577</v>
      </c>
      <c r="D16054">
        <v>399</v>
      </c>
      <c r="E16054">
        <v>0</v>
      </c>
      <c r="F16054">
        <v>101</v>
      </c>
      <c r="G16054">
        <v>0</v>
      </c>
      <c r="H16054" t="s">
        <v>20892</v>
      </c>
      <c r="I16054">
        <v>18213</v>
      </c>
      <c r="J16054" t="e">
        <f>VLOOKUP(E16054,DSSpieler!A:B,2,FALSE)</f>
        <v>#N/A</v>
      </c>
    </row>
    <row r="16055" spans="1:10" x14ac:dyDescent="0.25">
      <c r="A16055">
        <v>18214</v>
      </c>
      <c r="B16055" t="s">
        <v>937</v>
      </c>
      <c r="C16055">
        <v>530</v>
      </c>
      <c r="D16055">
        <v>385</v>
      </c>
      <c r="E16055">
        <v>1577195204</v>
      </c>
      <c r="F16055">
        <v>2147</v>
      </c>
      <c r="G16055">
        <v>0</v>
      </c>
      <c r="H16055" t="s">
        <v>20893</v>
      </c>
      <c r="I16055">
        <v>18214</v>
      </c>
      <c r="J16055" t="str">
        <f>VLOOKUP(E16055,DSSpieler!A:B,2,FALSE)</f>
        <v>DiiiN0</v>
      </c>
    </row>
    <row r="16056" spans="1:10" x14ac:dyDescent="0.25">
      <c r="A16056">
        <v>18215</v>
      </c>
      <c r="B16056" t="s">
        <v>531</v>
      </c>
      <c r="C16056">
        <v>371</v>
      </c>
      <c r="D16056">
        <v>512</v>
      </c>
      <c r="E16056">
        <v>0</v>
      </c>
      <c r="F16056">
        <v>136</v>
      </c>
      <c r="G16056">
        <v>0</v>
      </c>
      <c r="H16056" t="s">
        <v>20894</v>
      </c>
      <c r="I16056">
        <v>18215</v>
      </c>
      <c r="J16056" t="e">
        <f>VLOOKUP(E16056,DSSpieler!A:B,2,FALSE)</f>
        <v>#N/A</v>
      </c>
    </row>
    <row r="16057" spans="1:10" x14ac:dyDescent="0.25">
      <c r="A16057">
        <v>18217</v>
      </c>
      <c r="B16057" t="s">
        <v>2954</v>
      </c>
      <c r="C16057">
        <v>371</v>
      </c>
      <c r="D16057">
        <v>501</v>
      </c>
      <c r="E16057">
        <v>1576662600</v>
      </c>
      <c r="F16057">
        <v>1324</v>
      </c>
      <c r="G16057">
        <v>0</v>
      </c>
      <c r="H16057" t="s">
        <v>20895</v>
      </c>
      <c r="I16057">
        <v>18217</v>
      </c>
      <c r="J16057" t="str">
        <f>VLOOKUP(E16057,DSSpieler!A:B,2,FALSE)</f>
        <v>K4LL3</v>
      </c>
    </row>
    <row r="16058" spans="1:10" x14ac:dyDescent="0.25">
      <c r="A16058">
        <v>18219</v>
      </c>
      <c r="B16058" t="e">
        <f>-DLHDT-secret+Dorf</f>
        <v>#NAME?</v>
      </c>
      <c r="C16058">
        <v>420</v>
      </c>
      <c r="D16058">
        <v>600</v>
      </c>
      <c r="E16058">
        <v>1577185901</v>
      </c>
      <c r="F16058">
        <v>26</v>
      </c>
      <c r="G16058">
        <v>0</v>
      </c>
      <c r="H16058" t="s">
        <v>20896</v>
      </c>
      <c r="I16058">
        <v>18219</v>
      </c>
      <c r="J16058" t="str">
        <f>VLOOKUP(E16058,DSSpieler!A:B,2,FALSE)</f>
        <v>-DLHDT-</v>
      </c>
    </row>
    <row r="16059" spans="1:10" x14ac:dyDescent="0.25">
      <c r="A16059">
        <v>18220</v>
      </c>
      <c r="B16059" t="s">
        <v>531</v>
      </c>
      <c r="C16059">
        <v>450</v>
      </c>
      <c r="D16059">
        <v>383</v>
      </c>
      <c r="E16059">
        <v>0</v>
      </c>
      <c r="F16059">
        <v>141</v>
      </c>
      <c r="G16059">
        <v>0</v>
      </c>
      <c r="H16059" t="s">
        <v>20897</v>
      </c>
      <c r="I16059">
        <v>18220</v>
      </c>
      <c r="J16059" t="e">
        <f>VLOOKUP(E16059,DSSpieler!A:B,2,FALSE)</f>
        <v>#N/A</v>
      </c>
    </row>
    <row r="16060" spans="1:10" x14ac:dyDescent="0.25">
      <c r="A16060">
        <v>18221</v>
      </c>
      <c r="B16060" t="s">
        <v>2955</v>
      </c>
      <c r="C16060">
        <v>377</v>
      </c>
      <c r="D16060">
        <v>534</v>
      </c>
      <c r="E16060">
        <v>8690143</v>
      </c>
      <c r="F16060">
        <v>1150</v>
      </c>
      <c r="G16060">
        <v>0</v>
      </c>
      <c r="H16060" t="s">
        <v>20898</v>
      </c>
      <c r="I16060">
        <v>18221</v>
      </c>
      <c r="J16060" t="str">
        <f>VLOOKUP(E16060,DSSpieler!A:B,2,FALSE)</f>
        <v>Nemesis19</v>
      </c>
    </row>
    <row r="16061" spans="1:10" x14ac:dyDescent="0.25">
      <c r="A16061">
        <v>18222</v>
      </c>
      <c r="B16061" t="s">
        <v>2956</v>
      </c>
      <c r="C16061">
        <v>387</v>
      </c>
      <c r="D16061">
        <v>552</v>
      </c>
      <c r="E16061">
        <v>10033592</v>
      </c>
      <c r="F16061">
        <v>234</v>
      </c>
      <c r="G16061">
        <v>0</v>
      </c>
      <c r="H16061" t="s">
        <v>20899</v>
      </c>
      <c r="I16061">
        <v>18222</v>
      </c>
      <c r="J16061" t="str">
        <f>VLOOKUP(E16061,DSSpieler!A:B,2,FALSE)</f>
        <v>harzburger</v>
      </c>
    </row>
    <row r="16062" spans="1:10" x14ac:dyDescent="0.25">
      <c r="A16062">
        <v>18223</v>
      </c>
      <c r="B16062" t="s">
        <v>531</v>
      </c>
      <c r="C16062">
        <v>527</v>
      </c>
      <c r="D16062">
        <v>390</v>
      </c>
      <c r="E16062">
        <v>0</v>
      </c>
      <c r="F16062">
        <v>580</v>
      </c>
      <c r="G16062">
        <v>0</v>
      </c>
      <c r="H16062" t="s">
        <v>20900</v>
      </c>
      <c r="I16062">
        <v>18223</v>
      </c>
      <c r="J16062" t="e">
        <f>VLOOKUP(E16062,DSSpieler!A:B,2,FALSE)</f>
        <v>#N/A</v>
      </c>
    </row>
    <row r="16063" spans="1:10" x14ac:dyDescent="0.25">
      <c r="A16063">
        <v>18224</v>
      </c>
      <c r="B16063" t="s">
        <v>2957</v>
      </c>
      <c r="C16063">
        <v>443</v>
      </c>
      <c r="D16063">
        <v>614</v>
      </c>
      <c r="E16063">
        <v>1792869</v>
      </c>
      <c r="F16063">
        <v>471</v>
      </c>
      <c r="G16063">
        <v>0</v>
      </c>
      <c r="H16063" t="s">
        <v>20901</v>
      </c>
      <c r="I16063">
        <v>18224</v>
      </c>
      <c r="J16063" t="str">
        <f>VLOOKUP(E16063,DSSpieler!A:B,2,FALSE)</f>
        <v>McCooLLL</v>
      </c>
    </row>
    <row r="16064" spans="1:10" x14ac:dyDescent="0.25">
      <c r="A16064">
        <v>18225</v>
      </c>
      <c r="B16064" t="s">
        <v>531</v>
      </c>
      <c r="C16064">
        <v>377</v>
      </c>
      <c r="D16064">
        <v>461</v>
      </c>
      <c r="E16064">
        <v>0</v>
      </c>
      <c r="F16064">
        <v>32</v>
      </c>
      <c r="G16064">
        <v>0</v>
      </c>
      <c r="H16064" t="s">
        <v>20902</v>
      </c>
      <c r="I16064">
        <v>18225</v>
      </c>
      <c r="J16064" t="e">
        <f>VLOOKUP(E16064,DSSpieler!A:B,2,FALSE)</f>
        <v>#N/A</v>
      </c>
    </row>
    <row r="16065" spans="1:10" x14ac:dyDescent="0.25">
      <c r="A16065">
        <v>18226</v>
      </c>
      <c r="B16065" t="s">
        <v>2958</v>
      </c>
      <c r="C16065">
        <v>373</v>
      </c>
      <c r="D16065">
        <v>518</v>
      </c>
      <c r="E16065">
        <v>8612755</v>
      </c>
      <c r="F16065">
        <v>1760</v>
      </c>
      <c r="G16065">
        <v>0</v>
      </c>
      <c r="H16065" t="s">
        <v>20903</v>
      </c>
      <c r="I16065">
        <v>18226</v>
      </c>
      <c r="J16065" t="str">
        <f>VLOOKUP(E16065,DSSpieler!A:B,2,FALSE)</f>
        <v>floschrei05</v>
      </c>
    </row>
    <row r="16066" spans="1:10" x14ac:dyDescent="0.25">
      <c r="A16066">
        <v>18228</v>
      </c>
      <c r="B16066" t="s">
        <v>531</v>
      </c>
      <c r="C16066">
        <v>626</v>
      </c>
      <c r="D16066">
        <v>525</v>
      </c>
      <c r="E16066">
        <v>0</v>
      </c>
      <c r="F16066">
        <v>132</v>
      </c>
      <c r="G16066">
        <v>0</v>
      </c>
      <c r="H16066" t="s">
        <v>20904</v>
      </c>
      <c r="I16066">
        <v>18228</v>
      </c>
      <c r="J16066" t="e">
        <f>VLOOKUP(E16066,DSSpieler!A:B,2,FALSE)</f>
        <v>#N/A</v>
      </c>
    </row>
    <row r="16067" spans="1:10" x14ac:dyDescent="0.25">
      <c r="A16067">
        <v>18229</v>
      </c>
      <c r="B16067" t="s">
        <v>2959</v>
      </c>
      <c r="C16067">
        <v>422</v>
      </c>
      <c r="D16067">
        <v>603</v>
      </c>
      <c r="E16067">
        <v>9572533</v>
      </c>
      <c r="F16067">
        <v>26</v>
      </c>
      <c r="G16067">
        <v>0</v>
      </c>
      <c r="H16067" t="s">
        <v>20905</v>
      </c>
      <c r="I16067">
        <v>18229</v>
      </c>
      <c r="J16067" t="str">
        <f>VLOOKUP(E16067,DSSpieler!A:B,2,FALSE)</f>
        <v>jibilli</v>
      </c>
    </row>
    <row r="16068" spans="1:10" x14ac:dyDescent="0.25">
      <c r="A16068">
        <v>18230</v>
      </c>
      <c r="B16068" t="s">
        <v>2960</v>
      </c>
      <c r="C16068">
        <v>585</v>
      </c>
      <c r="D16068">
        <v>598</v>
      </c>
      <c r="E16068">
        <v>1577193189</v>
      </c>
      <c r="F16068">
        <v>1566</v>
      </c>
      <c r="G16068">
        <v>0</v>
      </c>
      <c r="H16068" t="s">
        <v>20906</v>
      </c>
      <c r="I16068">
        <v>18230</v>
      </c>
      <c r="J16068" t="str">
        <f>VLOOKUP(E16068,DSSpieler!A:B,2,FALSE)</f>
        <v>Mamorion</v>
      </c>
    </row>
    <row r="16069" spans="1:10" x14ac:dyDescent="0.25">
      <c r="A16069">
        <v>18232</v>
      </c>
      <c r="B16069" t="s">
        <v>2961</v>
      </c>
      <c r="C16069">
        <v>579</v>
      </c>
      <c r="D16069">
        <v>604</v>
      </c>
      <c r="E16069">
        <v>1577172226</v>
      </c>
      <c r="F16069">
        <v>1212</v>
      </c>
      <c r="G16069">
        <v>0</v>
      </c>
      <c r="H16069" t="s">
        <v>20907</v>
      </c>
      <c r="I16069">
        <v>18232</v>
      </c>
      <c r="J16069" t="str">
        <f>VLOOKUP(E16069,DSSpieler!A:B,2,FALSE)</f>
        <v>Bayernpower 2</v>
      </c>
    </row>
    <row r="16070" spans="1:10" x14ac:dyDescent="0.25">
      <c r="A16070">
        <v>18233</v>
      </c>
      <c r="B16070" t="s">
        <v>2962</v>
      </c>
      <c r="C16070">
        <v>580</v>
      </c>
      <c r="D16070">
        <v>514</v>
      </c>
      <c r="E16070">
        <v>1576580760</v>
      </c>
      <c r="F16070">
        <v>2239</v>
      </c>
      <c r="G16070">
        <v>0</v>
      </c>
      <c r="H16070" t="s">
        <v>20908</v>
      </c>
      <c r="I16070">
        <v>18233</v>
      </c>
      <c r="J16070" t="str">
        <f>VLOOKUP(E16070,DSSpieler!A:B,2,FALSE)</f>
        <v>a1992er</v>
      </c>
    </row>
    <row r="16071" spans="1:10" x14ac:dyDescent="0.25">
      <c r="A16071">
        <v>18234</v>
      </c>
      <c r="B16071" t="s">
        <v>2963</v>
      </c>
      <c r="C16071">
        <v>606</v>
      </c>
      <c r="D16071">
        <v>571</v>
      </c>
      <c r="E16071">
        <v>1577162196</v>
      </c>
      <c r="F16071">
        <v>1573</v>
      </c>
      <c r="G16071">
        <v>0</v>
      </c>
      <c r="H16071" t="s">
        <v>20909</v>
      </c>
      <c r="I16071">
        <v>18234</v>
      </c>
      <c r="J16071" t="str">
        <f>VLOOKUP(E16071,DSSpieler!A:B,2,FALSE)</f>
        <v>Kenus</v>
      </c>
    </row>
    <row r="16072" spans="1:10" x14ac:dyDescent="0.25">
      <c r="A16072">
        <v>18235</v>
      </c>
      <c r="B16072" t="s">
        <v>2964</v>
      </c>
      <c r="C16072">
        <v>603</v>
      </c>
      <c r="D16072">
        <v>570</v>
      </c>
      <c r="E16072">
        <v>1577166842</v>
      </c>
      <c r="F16072">
        <v>1715</v>
      </c>
      <c r="G16072">
        <v>0</v>
      </c>
      <c r="H16072" t="s">
        <v>20910</v>
      </c>
      <c r="I16072">
        <v>18235</v>
      </c>
      <c r="J16072" t="str">
        <f>VLOOKUP(E16072,DSSpieler!A:B,2,FALSE)</f>
        <v>Emul63</v>
      </c>
    </row>
    <row r="16073" spans="1:10" x14ac:dyDescent="0.25">
      <c r="A16073">
        <v>18236</v>
      </c>
      <c r="B16073" t="s">
        <v>531</v>
      </c>
      <c r="C16073">
        <v>604</v>
      </c>
      <c r="D16073">
        <v>431</v>
      </c>
      <c r="E16073">
        <v>0</v>
      </c>
      <c r="F16073">
        <v>159</v>
      </c>
      <c r="G16073">
        <v>0</v>
      </c>
      <c r="H16073" t="s">
        <v>20911</v>
      </c>
      <c r="I16073">
        <v>18236</v>
      </c>
      <c r="J16073" t="e">
        <f>VLOOKUP(E16073,DSSpieler!A:B,2,FALSE)</f>
        <v>#N/A</v>
      </c>
    </row>
    <row r="16074" spans="1:10" x14ac:dyDescent="0.25">
      <c r="A16074">
        <v>18237</v>
      </c>
      <c r="B16074" t="s">
        <v>2965</v>
      </c>
      <c r="C16074">
        <v>571</v>
      </c>
      <c r="D16074">
        <v>607</v>
      </c>
      <c r="E16074">
        <v>8590904</v>
      </c>
      <c r="F16074">
        <v>271</v>
      </c>
      <c r="G16074">
        <v>0</v>
      </c>
      <c r="H16074" t="s">
        <v>20912</v>
      </c>
      <c r="I16074">
        <v>18237</v>
      </c>
      <c r="J16074" t="str">
        <f>VLOOKUP(E16074,DSSpieler!A:B,2,FALSE)</f>
        <v>zitronenkuchen</v>
      </c>
    </row>
    <row r="16075" spans="1:10" x14ac:dyDescent="0.25">
      <c r="A16075">
        <v>18238</v>
      </c>
      <c r="B16075" t="s">
        <v>531</v>
      </c>
      <c r="C16075">
        <v>461</v>
      </c>
      <c r="D16075">
        <v>379</v>
      </c>
      <c r="E16075">
        <v>0</v>
      </c>
      <c r="F16075">
        <v>51</v>
      </c>
      <c r="G16075">
        <v>0</v>
      </c>
      <c r="H16075" t="s">
        <v>20913</v>
      </c>
      <c r="I16075">
        <v>18238</v>
      </c>
      <c r="J16075" t="e">
        <f>VLOOKUP(E16075,DSSpieler!A:B,2,FALSE)</f>
        <v>#N/A</v>
      </c>
    </row>
    <row r="16076" spans="1:10" x14ac:dyDescent="0.25">
      <c r="A16076">
        <v>18241</v>
      </c>
      <c r="B16076" t="s">
        <v>531</v>
      </c>
      <c r="C16076">
        <v>406</v>
      </c>
      <c r="D16076">
        <v>413</v>
      </c>
      <c r="E16076">
        <v>0</v>
      </c>
      <c r="F16076">
        <v>152</v>
      </c>
      <c r="G16076">
        <v>0</v>
      </c>
      <c r="H16076" t="s">
        <v>20914</v>
      </c>
      <c r="I16076">
        <v>18241</v>
      </c>
      <c r="J16076" t="e">
        <f>VLOOKUP(E16076,DSSpieler!A:B,2,FALSE)</f>
        <v>#N/A</v>
      </c>
    </row>
    <row r="16077" spans="1:10" x14ac:dyDescent="0.25">
      <c r="A16077">
        <v>18242</v>
      </c>
      <c r="B16077" t="s">
        <v>2966</v>
      </c>
      <c r="C16077">
        <v>380</v>
      </c>
      <c r="D16077">
        <v>537</v>
      </c>
      <c r="E16077">
        <v>1576869181</v>
      </c>
      <c r="F16077">
        <v>1336</v>
      </c>
      <c r="G16077">
        <v>0</v>
      </c>
      <c r="H16077" t="s">
        <v>20915</v>
      </c>
      <c r="I16077">
        <v>18242</v>
      </c>
      <c r="J16077" t="str">
        <f>VLOOKUP(E16077,DSSpieler!A:B,2,FALSE)</f>
        <v>*Kitana*</v>
      </c>
    </row>
    <row r="16078" spans="1:10" x14ac:dyDescent="0.25">
      <c r="A16078">
        <v>18243</v>
      </c>
      <c r="B16078" t="s">
        <v>2967</v>
      </c>
      <c r="C16078">
        <v>457</v>
      </c>
      <c r="D16078">
        <v>550</v>
      </c>
      <c r="E16078">
        <v>46703</v>
      </c>
      <c r="F16078">
        <v>2139</v>
      </c>
      <c r="G16078">
        <v>0</v>
      </c>
      <c r="H16078" t="s">
        <v>20916</v>
      </c>
      <c r="I16078">
        <v>18243</v>
      </c>
      <c r="J16078" t="str">
        <f>VLOOKUP(E16078,DSSpieler!A:B,2,FALSE)</f>
        <v>r0b0c0p</v>
      </c>
    </row>
    <row r="16079" spans="1:10" x14ac:dyDescent="0.25">
      <c r="A16079">
        <v>18244</v>
      </c>
      <c r="B16079" t="s">
        <v>2968</v>
      </c>
      <c r="C16079">
        <v>606</v>
      </c>
      <c r="D16079">
        <v>565</v>
      </c>
      <c r="E16079">
        <v>1577192314</v>
      </c>
      <c r="F16079">
        <v>1870</v>
      </c>
      <c r="G16079">
        <v>0</v>
      </c>
      <c r="H16079" t="s">
        <v>20917</v>
      </c>
      <c r="I16079">
        <v>18244</v>
      </c>
      <c r="J16079" t="str">
        <f>VLOOKUP(E16079,DSSpieler!A:B,2,FALSE)</f>
        <v>MasterLemi</v>
      </c>
    </row>
    <row r="16080" spans="1:10" x14ac:dyDescent="0.25">
      <c r="A16080">
        <v>18245</v>
      </c>
      <c r="B16080" t="s">
        <v>646</v>
      </c>
      <c r="C16080">
        <v>373</v>
      </c>
      <c r="D16080">
        <v>494</v>
      </c>
      <c r="E16080">
        <v>1576194862</v>
      </c>
      <c r="F16080">
        <v>363</v>
      </c>
      <c r="G16080">
        <v>0</v>
      </c>
      <c r="H16080" t="s">
        <v>20918</v>
      </c>
      <c r="I16080">
        <v>18245</v>
      </c>
      <c r="J16080" t="str">
        <f>VLOOKUP(E16080,DSSpieler!A:B,2,FALSE)</f>
        <v>XeRuNiX</v>
      </c>
    </row>
    <row r="16081" spans="1:10" x14ac:dyDescent="0.25">
      <c r="A16081">
        <v>18246</v>
      </c>
      <c r="B16081" t="s">
        <v>2969</v>
      </c>
      <c r="C16081">
        <v>509</v>
      </c>
      <c r="D16081">
        <v>455</v>
      </c>
      <c r="E16081">
        <v>10140893</v>
      </c>
      <c r="F16081">
        <v>1298</v>
      </c>
      <c r="G16081">
        <v>0</v>
      </c>
      <c r="H16081" t="s">
        <v>20919</v>
      </c>
      <c r="I16081">
        <v>18246</v>
      </c>
      <c r="J16081" t="str">
        <f>VLOOKUP(E16081,DSSpieler!A:B,2,FALSE)</f>
        <v>deadturtle</v>
      </c>
    </row>
    <row r="16082" spans="1:10" x14ac:dyDescent="0.25">
      <c r="A16082">
        <v>18247</v>
      </c>
      <c r="B16082" t="s">
        <v>2970</v>
      </c>
      <c r="C16082">
        <v>538</v>
      </c>
      <c r="D16082">
        <v>381</v>
      </c>
      <c r="E16082">
        <v>1576778897</v>
      </c>
      <c r="F16082">
        <v>828</v>
      </c>
      <c r="G16082">
        <v>0</v>
      </c>
      <c r="H16082" t="s">
        <v>20920</v>
      </c>
      <c r="I16082">
        <v>18247</v>
      </c>
      <c r="J16082" t="str">
        <f>VLOOKUP(E16082,DSSpieler!A:B,2,FALSE)</f>
        <v>w00x</v>
      </c>
    </row>
    <row r="16083" spans="1:10" x14ac:dyDescent="0.25">
      <c r="A16083">
        <v>18248</v>
      </c>
      <c r="B16083" t="s">
        <v>531</v>
      </c>
      <c r="C16083">
        <v>624</v>
      </c>
      <c r="D16083">
        <v>531</v>
      </c>
      <c r="E16083">
        <v>0</v>
      </c>
      <c r="F16083">
        <v>33</v>
      </c>
      <c r="G16083">
        <v>0</v>
      </c>
      <c r="H16083" t="s">
        <v>20921</v>
      </c>
      <c r="I16083">
        <v>18248</v>
      </c>
      <c r="J16083" t="e">
        <f>VLOOKUP(E16083,DSSpieler!A:B,2,FALSE)</f>
        <v>#N/A</v>
      </c>
    </row>
    <row r="16084" spans="1:10" x14ac:dyDescent="0.25">
      <c r="A16084">
        <v>18249</v>
      </c>
      <c r="B16084" t="s">
        <v>2971</v>
      </c>
      <c r="C16084">
        <v>373</v>
      </c>
      <c r="D16084">
        <v>538</v>
      </c>
      <c r="E16084">
        <v>1577206453</v>
      </c>
      <c r="F16084">
        <v>1259</v>
      </c>
      <c r="G16084">
        <v>0</v>
      </c>
      <c r="H16084" t="s">
        <v>20922</v>
      </c>
      <c r="I16084">
        <v>18249</v>
      </c>
      <c r="J16084" t="str">
        <f>VLOOKUP(E16084,DSSpieler!A:B,2,FALSE)</f>
        <v>Ninja*</v>
      </c>
    </row>
    <row r="16085" spans="1:10" x14ac:dyDescent="0.25">
      <c r="A16085">
        <v>18250</v>
      </c>
      <c r="B16085" t="s">
        <v>1084</v>
      </c>
      <c r="C16085">
        <v>424</v>
      </c>
      <c r="D16085">
        <v>445</v>
      </c>
      <c r="E16085">
        <v>10170264</v>
      </c>
      <c r="F16085">
        <v>1406</v>
      </c>
      <c r="G16085">
        <v>0</v>
      </c>
      <c r="H16085" t="s">
        <v>20923</v>
      </c>
      <c r="I16085">
        <v>18250</v>
      </c>
      <c r="J16085" t="str">
        <f>VLOOKUP(E16085,DSSpieler!A:B,2,FALSE)</f>
        <v>Paspa12</v>
      </c>
    </row>
    <row r="16086" spans="1:10" x14ac:dyDescent="0.25">
      <c r="A16086">
        <v>18251</v>
      </c>
      <c r="B16086" t="s">
        <v>2972</v>
      </c>
      <c r="C16086">
        <v>626</v>
      </c>
      <c r="D16086">
        <v>507</v>
      </c>
      <c r="E16086">
        <v>1577194601</v>
      </c>
      <c r="F16086">
        <v>1346</v>
      </c>
      <c r="G16086">
        <v>0</v>
      </c>
      <c r="H16086" t="s">
        <v>20924</v>
      </c>
      <c r="I16086">
        <v>18251</v>
      </c>
      <c r="J16086" t="str">
        <f>VLOOKUP(E16086,DSSpieler!A:B,2,FALSE)</f>
        <v>Polek1994</v>
      </c>
    </row>
    <row r="16087" spans="1:10" x14ac:dyDescent="0.25">
      <c r="A16087">
        <v>18252</v>
      </c>
      <c r="B16087" t="s">
        <v>2973</v>
      </c>
      <c r="C16087">
        <v>582</v>
      </c>
      <c r="D16087">
        <v>464</v>
      </c>
      <c r="E16087">
        <v>1577185253</v>
      </c>
      <c r="F16087">
        <v>647</v>
      </c>
      <c r="G16087">
        <v>0</v>
      </c>
      <c r="H16087" t="s">
        <v>20925</v>
      </c>
      <c r="I16087">
        <v>18252</v>
      </c>
      <c r="J16087" t="str">
        <f>VLOOKUP(E16087,DSSpieler!A:B,2,FALSE)</f>
        <v>Lisl Wiesl</v>
      </c>
    </row>
    <row r="16088" spans="1:10" x14ac:dyDescent="0.25">
      <c r="A16088">
        <v>18253</v>
      </c>
      <c r="B16088" t="s">
        <v>2974</v>
      </c>
      <c r="C16088">
        <v>374</v>
      </c>
      <c r="D16088">
        <v>534</v>
      </c>
      <c r="E16088">
        <v>2228319</v>
      </c>
      <c r="F16088">
        <v>315</v>
      </c>
      <c r="G16088">
        <v>0</v>
      </c>
      <c r="H16088" t="s">
        <v>20926</v>
      </c>
      <c r="I16088">
        <v>18253</v>
      </c>
      <c r="J16088" t="str">
        <f>VLOOKUP(E16088,DSSpieler!A:B,2,FALSE)</f>
        <v>Glabatorix</v>
      </c>
    </row>
    <row r="16089" spans="1:10" x14ac:dyDescent="0.25">
      <c r="A16089">
        <v>18255</v>
      </c>
      <c r="B16089" t="s">
        <v>2975</v>
      </c>
      <c r="C16089">
        <v>546</v>
      </c>
      <c r="D16089">
        <v>619</v>
      </c>
      <c r="E16089">
        <v>1576304050</v>
      </c>
      <c r="F16089">
        <v>77</v>
      </c>
      <c r="G16089">
        <v>0</v>
      </c>
      <c r="H16089" t="s">
        <v>20927</v>
      </c>
      <c r="I16089">
        <v>18255</v>
      </c>
      <c r="J16089" t="str">
        <f>VLOOKUP(E16089,DSSpieler!A:B,2,FALSE)</f>
        <v>Blackroad</v>
      </c>
    </row>
    <row r="16090" spans="1:10" x14ac:dyDescent="0.25">
      <c r="A16090">
        <v>18257</v>
      </c>
      <c r="B16090" t="s">
        <v>531</v>
      </c>
      <c r="C16090">
        <v>404</v>
      </c>
      <c r="D16090">
        <v>584</v>
      </c>
      <c r="E16090">
        <v>0</v>
      </c>
      <c r="F16090">
        <v>50</v>
      </c>
      <c r="G16090">
        <v>0</v>
      </c>
      <c r="H16090" t="s">
        <v>20928</v>
      </c>
      <c r="I16090">
        <v>18257</v>
      </c>
      <c r="J16090" t="e">
        <f>VLOOKUP(E16090,DSSpieler!A:B,2,FALSE)</f>
        <v>#N/A</v>
      </c>
    </row>
    <row r="16091" spans="1:10" x14ac:dyDescent="0.25">
      <c r="A16091">
        <v>18258</v>
      </c>
      <c r="B16091" t="s">
        <v>2976</v>
      </c>
      <c r="C16091">
        <v>467</v>
      </c>
      <c r="D16091">
        <v>625</v>
      </c>
      <c r="E16091">
        <v>1577173740</v>
      </c>
      <c r="F16091">
        <v>1120</v>
      </c>
      <c r="G16091">
        <v>0</v>
      </c>
      <c r="H16091" t="s">
        <v>20929</v>
      </c>
      <c r="I16091">
        <v>18258</v>
      </c>
      <c r="J16091" t="str">
        <f>VLOOKUP(E16091,DSSpieler!A:B,2,FALSE)</f>
        <v>*Tha**Bull*</v>
      </c>
    </row>
    <row r="16092" spans="1:10" x14ac:dyDescent="0.25">
      <c r="A16092">
        <v>18259</v>
      </c>
      <c r="B16092" t="s">
        <v>531</v>
      </c>
      <c r="C16092">
        <v>482</v>
      </c>
      <c r="D16092">
        <v>624</v>
      </c>
      <c r="E16092">
        <v>0</v>
      </c>
      <c r="F16092">
        <v>829</v>
      </c>
      <c r="G16092">
        <v>0</v>
      </c>
      <c r="H16092" t="s">
        <v>20930</v>
      </c>
      <c r="I16092">
        <v>18259</v>
      </c>
      <c r="J16092" t="e">
        <f>VLOOKUP(E16092,DSSpieler!A:B,2,FALSE)</f>
        <v>#N/A</v>
      </c>
    </row>
    <row r="16093" spans="1:10" x14ac:dyDescent="0.25">
      <c r="A16093">
        <v>18260</v>
      </c>
      <c r="B16093" t="s">
        <v>2977</v>
      </c>
      <c r="C16093">
        <v>505</v>
      </c>
      <c r="D16093">
        <v>374</v>
      </c>
      <c r="E16093">
        <v>1576862367</v>
      </c>
      <c r="F16093">
        <v>1980</v>
      </c>
      <c r="G16093">
        <v>0</v>
      </c>
      <c r="H16093" t="s">
        <v>20931</v>
      </c>
      <c r="I16093">
        <v>18260</v>
      </c>
      <c r="J16093" t="str">
        <f>VLOOKUP(E16093,DSSpieler!A:B,2,FALSE)</f>
        <v>Philipp2395</v>
      </c>
    </row>
    <row r="16094" spans="1:10" x14ac:dyDescent="0.25">
      <c r="A16094">
        <v>18261</v>
      </c>
      <c r="B16094" t="s">
        <v>2978</v>
      </c>
      <c r="C16094">
        <v>481</v>
      </c>
      <c r="D16094">
        <v>373</v>
      </c>
      <c r="E16094">
        <v>7723058</v>
      </c>
      <c r="F16094">
        <v>530</v>
      </c>
      <c r="G16094">
        <v>0</v>
      </c>
      <c r="H16094" t="s">
        <v>20932</v>
      </c>
      <c r="I16094">
        <v>18261</v>
      </c>
      <c r="J16094" t="str">
        <f>VLOOKUP(E16094,DSSpieler!A:B,2,FALSE)</f>
        <v>berühmt008</v>
      </c>
    </row>
    <row r="16095" spans="1:10" x14ac:dyDescent="0.25">
      <c r="A16095">
        <v>18262</v>
      </c>
      <c r="B16095" t="s">
        <v>2979</v>
      </c>
      <c r="C16095">
        <v>452</v>
      </c>
      <c r="D16095">
        <v>619</v>
      </c>
      <c r="E16095">
        <v>1583164</v>
      </c>
      <c r="F16095">
        <v>831</v>
      </c>
      <c r="G16095">
        <v>0</v>
      </c>
      <c r="H16095" t="s">
        <v>20933</v>
      </c>
      <c r="I16095">
        <v>18262</v>
      </c>
      <c r="J16095" t="str">
        <f>VLOOKUP(E16095,DSSpieler!A:B,2,FALSE)</f>
        <v>kinghansi99</v>
      </c>
    </row>
    <row r="16096" spans="1:10" x14ac:dyDescent="0.25">
      <c r="A16096">
        <v>18263</v>
      </c>
      <c r="B16096" t="s">
        <v>531</v>
      </c>
      <c r="C16096">
        <v>473</v>
      </c>
      <c r="D16096">
        <v>372</v>
      </c>
      <c r="E16096">
        <v>0</v>
      </c>
      <c r="F16096">
        <v>127</v>
      </c>
      <c r="G16096">
        <v>0</v>
      </c>
      <c r="H16096" t="s">
        <v>20934</v>
      </c>
      <c r="I16096">
        <v>18263</v>
      </c>
      <c r="J16096" t="e">
        <f>VLOOKUP(E16096,DSSpieler!A:B,2,FALSE)</f>
        <v>#N/A</v>
      </c>
    </row>
    <row r="16097" spans="1:10" x14ac:dyDescent="0.25">
      <c r="A16097">
        <v>18264</v>
      </c>
      <c r="B16097" t="s">
        <v>2980</v>
      </c>
      <c r="C16097">
        <v>400</v>
      </c>
      <c r="D16097">
        <v>583</v>
      </c>
      <c r="E16097">
        <v>552582</v>
      </c>
      <c r="F16097">
        <v>2345</v>
      </c>
      <c r="G16097">
        <v>0</v>
      </c>
      <c r="H16097" t="s">
        <v>20935</v>
      </c>
      <c r="I16097">
        <v>18264</v>
      </c>
      <c r="J16097" t="str">
        <f>VLOOKUP(E16097,DSSpieler!A:B,2,FALSE)</f>
        <v>Golborg</v>
      </c>
    </row>
    <row r="16098" spans="1:10" x14ac:dyDescent="0.25">
      <c r="A16098">
        <v>18265</v>
      </c>
      <c r="B16098" t="s">
        <v>35861</v>
      </c>
      <c r="C16098">
        <v>549</v>
      </c>
      <c r="D16098">
        <v>481</v>
      </c>
      <c r="E16098">
        <v>1577180707</v>
      </c>
      <c r="F16098">
        <v>1630</v>
      </c>
      <c r="G16098">
        <v>0</v>
      </c>
      <c r="H16098" t="s">
        <v>20936</v>
      </c>
      <c r="I16098">
        <v>18265</v>
      </c>
      <c r="J16098" t="str">
        <f>VLOOKUP(E16098,DSSpieler!A:B,2,FALSE)</f>
        <v>McTheBozz</v>
      </c>
    </row>
    <row r="16099" spans="1:10" x14ac:dyDescent="0.25">
      <c r="A16099">
        <v>18267</v>
      </c>
      <c r="B16099" t="s">
        <v>2981</v>
      </c>
      <c r="C16099">
        <v>375</v>
      </c>
      <c r="D16099">
        <v>511</v>
      </c>
      <c r="E16099">
        <v>1576017969</v>
      </c>
      <c r="F16099">
        <v>952</v>
      </c>
      <c r="G16099">
        <v>0</v>
      </c>
      <c r="H16099" t="s">
        <v>20937</v>
      </c>
      <c r="I16099">
        <v>18267</v>
      </c>
      <c r="J16099" t="str">
        <f>VLOOKUP(E16099,DSSpieler!A:B,2,FALSE)</f>
        <v>noreflex</v>
      </c>
    </row>
    <row r="16100" spans="1:10" x14ac:dyDescent="0.25">
      <c r="A16100">
        <v>18268</v>
      </c>
      <c r="B16100" t="s">
        <v>2982</v>
      </c>
      <c r="C16100">
        <v>534</v>
      </c>
      <c r="D16100">
        <v>376</v>
      </c>
      <c r="E16100">
        <v>1577174798</v>
      </c>
      <c r="F16100">
        <v>2445</v>
      </c>
      <c r="G16100">
        <v>0</v>
      </c>
      <c r="H16100" t="s">
        <v>20938</v>
      </c>
      <c r="I16100">
        <v>18268</v>
      </c>
      <c r="J16100" t="str">
        <f>VLOOKUP(E16100,DSSpieler!A:B,2,FALSE)</f>
        <v>Zonk</v>
      </c>
    </row>
    <row r="16101" spans="1:10" x14ac:dyDescent="0.25">
      <c r="A16101">
        <v>18269</v>
      </c>
      <c r="B16101" t="s">
        <v>2983</v>
      </c>
      <c r="C16101">
        <v>481</v>
      </c>
      <c r="D16101">
        <v>400</v>
      </c>
      <c r="E16101">
        <v>1577191415</v>
      </c>
      <c r="F16101">
        <v>1465</v>
      </c>
      <c r="G16101">
        <v>0</v>
      </c>
      <c r="H16101" t="s">
        <v>20939</v>
      </c>
      <c r="I16101">
        <v>18269</v>
      </c>
      <c r="J16101" t="str">
        <f>VLOOKUP(E16101,DSSpieler!A:B,2,FALSE)</f>
        <v>*KeyLess*</v>
      </c>
    </row>
    <row r="16102" spans="1:10" x14ac:dyDescent="0.25">
      <c r="A16102">
        <v>18270</v>
      </c>
      <c r="B16102" t="s">
        <v>2984</v>
      </c>
      <c r="C16102">
        <v>393</v>
      </c>
      <c r="D16102">
        <v>567</v>
      </c>
      <c r="E16102">
        <v>1576925899</v>
      </c>
      <c r="F16102">
        <v>504</v>
      </c>
      <c r="G16102">
        <v>0</v>
      </c>
      <c r="H16102" t="s">
        <v>20940</v>
      </c>
      <c r="I16102">
        <v>18270</v>
      </c>
      <c r="J16102" t="str">
        <f>VLOOKUP(E16102,DSSpieler!A:B,2,FALSE)</f>
        <v>apdokern</v>
      </c>
    </row>
    <row r="16103" spans="1:10" x14ac:dyDescent="0.25">
      <c r="A16103">
        <v>18271</v>
      </c>
      <c r="B16103" t="s">
        <v>531</v>
      </c>
      <c r="C16103">
        <v>422</v>
      </c>
      <c r="D16103">
        <v>399</v>
      </c>
      <c r="E16103">
        <v>0</v>
      </c>
      <c r="F16103">
        <v>717</v>
      </c>
      <c r="G16103">
        <v>0</v>
      </c>
      <c r="H16103" t="s">
        <v>20941</v>
      </c>
      <c r="I16103">
        <v>18271</v>
      </c>
      <c r="J16103" t="e">
        <f>VLOOKUP(E16103,DSSpieler!A:B,2,FALSE)</f>
        <v>#N/A</v>
      </c>
    </row>
    <row r="16104" spans="1:10" x14ac:dyDescent="0.25">
      <c r="A16104">
        <v>18273</v>
      </c>
      <c r="B16104" t="s">
        <v>2985</v>
      </c>
      <c r="C16104">
        <v>532</v>
      </c>
      <c r="D16104">
        <v>451</v>
      </c>
      <c r="E16104">
        <v>1577120670</v>
      </c>
      <c r="F16104">
        <v>1626</v>
      </c>
      <c r="G16104">
        <v>0</v>
      </c>
      <c r="H16104" t="s">
        <v>20942</v>
      </c>
      <c r="I16104">
        <v>18273</v>
      </c>
      <c r="J16104" t="str">
        <f>VLOOKUP(E16104,DSSpieler!A:B,2,FALSE)</f>
        <v>Schlaupi</v>
      </c>
    </row>
    <row r="16105" spans="1:10" x14ac:dyDescent="0.25">
      <c r="A16105">
        <v>18274</v>
      </c>
      <c r="B16105" t="s">
        <v>2986</v>
      </c>
      <c r="C16105">
        <v>416</v>
      </c>
      <c r="D16105">
        <v>598</v>
      </c>
      <c r="E16105">
        <v>2092034</v>
      </c>
      <c r="F16105">
        <v>242</v>
      </c>
      <c r="G16105">
        <v>0</v>
      </c>
      <c r="H16105" t="s">
        <v>20943</v>
      </c>
      <c r="I16105">
        <v>18274</v>
      </c>
      <c r="J16105" t="str">
        <f>VLOOKUP(E16105,DSSpieler!A:B,2,FALSE)</f>
        <v>snodo</v>
      </c>
    </row>
    <row r="16106" spans="1:10" x14ac:dyDescent="0.25">
      <c r="A16106">
        <v>18275</v>
      </c>
      <c r="B16106" t="s">
        <v>2987</v>
      </c>
      <c r="C16106">
        <v>413</v>
      </c>
      <c r="D16106">
        <v>596</v>
      </c>
      <c r="E16106">
        <v>10006855</v>
      </c>
      <c r="F16106">
        <v>1592</v>
      </c>
      <c r="G16106">
        <v>0</v>
      </c>
      <c r="H16106" t="s">
        <v>20944</v>
      </c>
      <c r="I16106">
        <v>18275</v>
      </c>
      <c r="J16106" t="str">
        <f>VLOOKUP(E16106,DSSpieler!A:B,2,FALSE)</f>
        <v>TubenSalz</v>
      </c>
    </row>
    <row r="16107" spans="1:10" x14ac:dyDescent="0.25">
      <c r="A16107">
        <v>18276</v>
      </c>
      <c r="B16107" t="s">
        <v>2988</v>
      </c>
      <c r="C16107">
        <v>506</v>
      </c>
      <c r="D16107">
        <v>465</v>
      </c>
      <c r="E16107">
        <v>1577176537</v>
      </c>
      <c r="F16107">
        <v>590</v>
      </c>
      <c r="G16107">
        <v>0</v>
      </c>
      <c r="H16107" t="s">
        <v>20945</v>
      </c>
      <c r="I16107">
        <v>18276</v>
      </c>
      <c r="J16107" t="str">
        <f>VLOOKUP(E16107,DSSpieler!A:B,2,FALSE)</f>
        <v>PapaNappa</v>
      </c>
    </row>
    <row r="16108" spans="1:10" x14ac:dyDescent="0.25">
      <c r="A16108">
        <v>18277</v>
      </c>
      <c r="B16108" t="s">
        <v>2989</v>
      </c>
      <c r="C16108">
        <v>512</v>
      </c>
      <c r="D16108">
        <v>553</v>
      </c>
      <c r="E16108">
        <v>1577186386</v>
      </c>
      <c r="F16108">
        <v>915</v>
      </c>
      <c r="G16108">
        <v>0</v>
      </c>
      <c r="H16108" t="s">
        <v>20946</v>
      </c>
      <c r="I16108">
        <v>18277</v>
      </c>
      <c r="J16108" t="str">
        <f>VLOOKUP(E16108,DSSpieler!A:B,2,FALSE)</f>
        <v>mike1403</v>
      </c>
    </row>
    <row r="16109" spans="1:10" x14ac:dyDescent="0.25">
      <c r="A16109">
        <v>18278</v>
      </c>
      <c r="B16109" t="s">
        <v>2990</v>
      </c>
      <c r="C16109">
        <v>615</v>
      </c>
      <c r="D16109">
        <v>493</v>
      </c>
      <c r="E16109">
        <v>1577206471</v>
      </c>
      <c r="F16109">
        <v>966</v>
      </c>
      <c r="G16109">
        <v>0</v>
      </c>
      <c r="H16109" t="s">
        <v>20947</v>
      </c>
      <c r="I16109">
        <v>18278</v>
      </c>
      <c r="J16109" t="str">
        <f>VLOOKUP(E16109,DSSpieler!A:B,2,FALSE)</f>
        <v>Crimson Prince</v>
      </c>
    </row>
    <row r="16110" spans="1:10" x14ac:dyDescent="0.25">
      <c r="A16110">
        <v>18279</v>
      </c>
      <c r="B16110" t="s">
        <v>2991</v>
      </c>
      <c r="C16110">
        <v>610</v>
      </c>
      <c r="D16110">
        <v>494</v>
      </c>
      <c r="E16110">
        <v>1577206472</v>
      </c>
      <c r="F16110">
        <v>796</v>
      </c>
      <c r="G16110">
        <v>0</v>
      </c>
      <c r="H16110" t="s">
        <v>20948</v>
      </c>
      <c r="I16110">
        <v>18279</v>
      </c>
      <c r="J16110" t="str">
        <f>VLOOKUP(E16110,DSSpieler!A:B,2,FALSE)</f>
        <v>hayanh</v>
      </c>
    </row>
    <row r="16111" spans="1:10" x14ac:dyDescent="0.25">
      <c r="A16111">
        <v>18280</v>
      </c>
      <c r="B16111" t="s">
        <v>2992</v>
      </c>
      <c r="C16111">
        <v>523</v>
      </c>
      <c r="D16111">
        <v>628</v>
      </c>
      <c r="E16111">
        <v>916243</v>
      </c>
      <c r="F16111">
        <v>1781</v>
      </c>
      <c r="G16111">
        <v>0</v>
      </c>
      <c r="H16111" t="s">
        <v>20949</v>
      </c>
      <c r="I16111">
        <v>18280</v>
      </c>
      <c r="J16111" t="str">
        <f>VLOOKUP(E16111,DSSpieler!A:B,2,FALSE)</f>
        <v>Gravedigger8456</v>
      </c>
    </row>
    <row r="16112" spans="1:10" x14ac:dyDescent="0.25">
      <c r="A16112">
        <v>18281</v>
      </c>
      <c r="B16112" t="s">
        <v>531</v>
      </c>
      <c r="C16112">
        <v>412</v>
      </c>
      <c r="D16112">
        <v>407</v>
      </c>
      <c r="E16112">
        <v>0</v>
      </c>
      <c r="F16112">
        <v>77</v>
      </c>
      <c r="G16112">
        <v>0</v>
      </c>
      <c r="H16112" t="s">
        <v>20950</v>
      </c>
      <c r="I16112">
        <v>18281</v>
      </c>
      <c r="J16112" t="e">
        <f>VLOOKUP(E16112,DSSpieler!A:B,2,FALSE)</f>
        <v>#N/A</v>
      </c>
    </row>
    <row r="16113" spans="1:10" x14ac:dyDescent="0.25">
      <c r="A16113">
        <v>18283</v>
      </c>
      <c r="B16113" t="s">
        <v>2993</v>
      </c>
      <c r="C16113">
        <v>535</v>
      </c>
      <c r="D16113">
        <v>386</v>
      </c>
      <c r="E16113">
        <v>1577184889</v>
      </c>
      <c r="F16113">
        <v>2435</v>
      </c>
      <c r="G16113">
        <v>0</v>
      </c>
      <c r="H16113" t="s">
        <v>20951</v>
      </c>
      <c r="I16113">
        <v>18283</v>
      </c>
      <c r="J16113" t="str">
        <f>VLOOKUP(E16113,DSSpieler!A:B,2,FALSE)</f>
        <v>Wattwurm93</v>
      </c>
    </row>
    <row r="16114" spans="1:10" x14ac:dyDescent="0.25">
      <c r="A16114">
        <v>18284</v>
      </c>
      <c r="B16114" t="s">
        <v>531</v>
      </c>
      <c r="C16114">
        <v>507</v>
      </c>
      <c r="D16114">
        <v>373</v>
      </c>
      <c r="E16114">
        <v>0</v>
      </c>
      <c r="F16114">
        <v>110</v>
      </c>
      <c r="G16114">
        <v>0</v>
      </c>
      <c r="H16114" t="s">
        <v>20952</v>
      </c>
      <c r="I16114">
        <v>18284</v>
      </c>
      <c r="J16114" t="e">
        <f>VLOOKUP(E16114,DSSpieler!A:B,2,FALSE)</f>
        <v>#N/A</v>
      </c>
    </row>
    <row r="16115" spans="1:10" x14ac:dyDescent="0.25">
      <c r="A16115">
        <v>18285</v>
      </c>
      <c r="B16115" t="s">
        <v>2994</v>
      </c>
      <c r="C16115">
        <v>490</v>
      </c>
      <c r="D16115">
        <v>630</v>
      </c>
      <c r="E16115">
        <v>1577191601</v>
      </c>
      <c r="F16115">
        <v>889</v>
      </c>
      <c r="G16115">
        <v>0</v>
      </c>
      <c r="H16115" t="s">
        <v>20953</v>
      </c>
      <c r="I16115">
        <v>18285</v>
      </c>
      <c r="J16115" t="str">
        <f>VLOOKUP(E16115,DSSpieler!A:B,2,FALSE)</f>
        <v>Zwergenkönig Sebi</v>
      </c>
    </row>
    <row r="16116" spans="1:10" x14ac:dyDescent="0.25">
      <c r="A16116">
        <v>18286</v>
      </c>
      <c r="B16116" t="s">
        <v>2995</v>
      </c>
      <c r="C16116">
        <v>531</v>
      </c>
      <c r="D16116">
        <v>621</v>
      </c>
      <c r="E16116">
        <v>1577206473</v>
      </c>
      <c r="F16116">
        <v>1410</v>
      </c>
      <c r="G16116">
        <v>0</v>
      </c>
      <c r="H16116" t="s">
        <v>20954</v>
      </c>
      <c r="I16116">
        <v>18286</v>
      </c>
      <c r="J16116" t="str">
        <f>VLOOKUP(E16116,DSSpieler!A:B,2,FALSE)</f>
        <v>Baffy</v>
      </c>
    </row>
    <row r="16117" spans="1:10" x14ac:dyDescent="0.25">
      <c r="A16117">
        <v>18287</v>
      </c>
      <c r="B16117" t="s">
        <v>2996</v>
      </c>
      <c r="C16117">
        <v>524</v>
      </c>
      <c r="D16117">
        <v>626</v>
      </c>
      <c r="E16117">
        <v>1576722779</v>
      </c>
      <c r="F16117">
        <v>673</v>
      </c>
      <c r="G16117">
        <v>0</v>
      </c>
      <c r="H16117" t="s">
        <v>20955</v>
      </c>
      <c r="I16117">
        <v>18287</v>
      </c>
      <c r="J16117" t="str">
        <f>VLOOKUP(E16117,DSSpieler!A:B,2,FALSE)</f>
        <v>Brueder01</v>
      </c>
    </row>
    <row r="16118" spans="1:10" x14ac:dyDescent="0.25">
      <c r="A16118">
        <v>18288</v>
      </c>
      <c r="B16118" t="s">
        <v>531</v>
      </c>
      <c r="C16118">
        <v>390</v>
      </c>
      <c r="D16118">
        <v>565</v>
      </c>
      <c r="E16118">
        <v>0</v>
      </c>
      <c r="F16118">
        <v>29</v>
      </c>
      <c r="G16118">
        <v>0</v>
      </c>
      <c r="H16118" t="s">
        <v>20956</v>
      </c>
      <c r="I16118">
        <v>18288</v>
      </c>
      <c r="J16118" t="e">
        <f>VLOOKUP(E16118,DSSpieler!A:B,2,FALSE)</f>
        <v>#N/A</v>
      </c>
    </row>
    <row r="16119" spans="1:10" x14ac:dyDescent="0.25">
      <c r="A16119">
        <v>18290</v>
      </c>
      <c r="B16119" t="s">
        <v>2997</v>
      </c>
      <c r="C16119">
        <v>561</v>
      </c>
      <c r="D16119">
        <v>611</v>
      </c>
      <c r="E16119">
        <v>1576950038</v>
      </c>
      <c r="F16119">
        <v>469</v>
      </c>
      <c r="G16119">
        <v>0</v>
      </c>
      <c r="H16119" t="s">
        <v>20957</v>
      </c>
      <c r="I16119">
        <v>18290</v>
      </c>
      <c r="J16119" t="str">
        <f>VLOOKUP(E16119,DSSpieler!A:B,2,FALSE)</f>
        <v>Gordo1900</v>
      </c>
    </row>
    <row r="16120" spans="1:10" x14ac:dyDescent="0.25">
      <c r="A16120">
        <v>18291</v>
      </c>
      <c r="B16120" t="s">
        <v>2998</v>
      </c>
      <c r="C16120">
        <v>624</v>
      </c>
      <c r="D16120">
        <v>496</v>
      </c>
      <c r="E16120">
        <v>1577192351</v>
      </c>
      <c r="F16120">
        <v>579</v>
      </c>
      <c r="G16120">
        <v>0</v>
      </c>
      <c r="H16120" t="s">
        <v>20958</v>
      </c>
      <c r="I16120">
        <v>18291</v>
      </c>
      <c r="J16120" t="str">
        <f>VLOOKUP(E16120,DSSpieler!A:B,2,FALSE)</f>
        <v>R0bby</v>
      </c>
    </row>
    <row r="16121" spans="1:10" x14ac:dyDescent="0.25">
      <c r="A16121">
        <v>18292</v>
      </c>
      <c r="B16121" t="s">
        <v>531</v>
      </c>
      <c r="C16121">
        <v>479</v>
      </c>
      <c r="D16121">
        <v>626</v>
      </c>
      <c r="E16121">
        <v>0</v>
      </c>
      <c r="F16121">
        <v>101</v>
      </c>
      <c r="G16121">
        <v>0</v>
      </c>
      <c r="H16121" t="s">
        <v>20959</v>
      </c>
      <c r="I16121">
        <v>18292</v>
      </c>
      <c r="J16121" t="e">
        <f>VLOOKUP(E16121,DSSpieler!A:B,2,FALSE)</f>
        <v>#N/A</v>
      </c>
    </row>
    <row r="16122" spans="1:10" x14ac:dyDescent="0.25">
      <c r="A16122">
        <v>18293</v>
      </c>
      <c r="B16122" t="s">
        <v>531</v>
      </c>
      <c r="C16122">
        <v>609</v>
      </c>
      <c r="D16122">
        <v>566</v>
      </c>
      <c r="E16122">
        <v>0</v>
      </c>
      <c r="F16122">
        <v>115</v>
      </c>
      <c r="G16122">
        <v>0</v>
      </c>
      <c r="H16122" t="s">
        <v>20960</v>
      </c>
      <c r="I16122">
        <v>18293</v>
      </c>
      <c r="J16122" t="e">
        <f>VLOOKUP(E16122,DSSpieler!A:B,2,FALSE)</f>
        <v>#N/A</v>
      </c>
    </row>
    <row r="16123" spans="1:10" x14ac:dyDescent="0.25">
      <c r="A16123">
        <v>18294</v>
      </c>
      <c r="B16123" t="s">
        <v>2999</v>
      </c>
      <c r="C16123">
        <v>465</v>
      </c>
      <c r="D16123">
        <v>626</v>
      </c>
      <c r="E16123">
        <v>10082771</v>
      </c>
      <c r="F16123">
        <v>26</v>
      </c>
      <c r="G16123">
        <v>0</v>
      </c>
      <c r="H16123" t="s">
        <v>20961</v>
      </c>
      <c r="I16123">
        <v>18294</v>
      </c>
      <c r="J16123" t="str">
        <f>VLOOKUP(E16123,DSSpieler!A:B,2,FALSE)</f>
        <v>HoodiePub</v>
      </c>
    </row>
    <row r="16124" spans="1:10" x14ac:dyDescent="0.25">
      <c r="A16124">
        <v>18295</v>
      </c>
      <c r="B16124" t="s">
        <v>531</v>
      </c>
      <c r="C16124">
        <v>536</v>
      </c>
      <c r="D16124">
        <v>395</v>
      </c>
      <c r="E16124">
        <v>0</v>
      </c>
      <c r="F16124">
        <v>31</v>
      </c>
      <c r="G16124">
        <v>0</v>
      </c>
      <c r="H16124" t="s">
        <v>20962</v>
      </c>
      <c r="I16124">
        <v>18295</v>
      </c>
      <c r="J16124" t="e">
        <f>VLOOKUP(E16124,DSSpieler!A:B,2,FALSE)</f>
        <v>#N/A</v>
      </c>
    </row>
    <row r="16125" spans="1:10" x14ac:dyDescent="0.25">
      <c r="A16125">
        <v>18296</v>
      </c>
      <c r="B16125" t="s">
        <v>531</v>
      </c>
      <c r="C16125">
        <v>610</v>
      </c>
      <c r="D16125">
        <v>430</v>
      </c>
      <c r="E16125">
        <v>0</v>
      </c>
      <c r="F16125">
        <v>74</v>
      </c>
      <c r="G16125">
        <v>0</v>
      </c>
      <c r="H16125" t="s">
        <v>20963</v>
      </c>
      <c r="I16125">
        <v>18296</v>
      </c>
      <c r="J16125" t="e">
        <f>VLOOKUP(E16125,DSSpieler!A:B,2,FALSE)</f>
        <v>#N/A</v>
      </c>
    </row>
    <row r="16126" spans="1:10" x14ac:dyDescent="0.25">
      <c r="A16126">
        <v>18297</v>
      </c>
      <c r="B16126" t="s">
        <v>3000</v>
      </c>
      <c r="C16126">
        <v>535</v>
      </c>
      <c r="D16126">
        <v>377</v>
      </c>
      <c r="E16126">
        <v>1576601949</v>
      </c>
      <c r="F16126">
        <v>26</v>
      </c>
      <c r="G16126">
        <v>0</v>
      </c>
      <c r="H16126" t="s">
        <v>20964</v>
      </c>
      <c r="I16126">
        <v>18297</v>
      </c>
      <c r="J16126" t="str">
        <f>VLOOKUP(E16126,DSSpieler!A:B,2,FALSE)</f>
        <v>Kameltreiber94</v>
      </c>
    </row>
    <row r="16127" spans="1:10" x14ac:dyDescent="0.25">
      <c r="A16127">
        <v>18298</v>
      </c>
      <c r="B16127" t="s">
        <v>3001</v>
      </c>
      <c r="C16127">
        <v>374</v>
      </c>
      <c r="D16127">
        <v>514</v>
      </c>
      <c r="E16127">
        <v>1577175362</v>
      </c>
      <c r="F16127">
        <v>27</v>
      </c>
      <c r="G16127">
        <v>0</v>
      </c>
      <c r="H16127" t="s">
        <v>20965</v>
      </c>
      <c r="I16127">
        <v>18298</v>
      </c>
      <c r="J16127" t="str">
        <f>VLOOKUP(E16127,DSSpieler!A:B,2,FALSE)</f>
        <v>paninga</v>
      </c>
    </row>
    <row r="16128" spans="1:10" x14ac:dyDescent="0.25">
      <c r="A16128">
        <v>18299</v>
      </c>
      <c r="B16128" t="s">
        <v>3002</v>
      </c>
      <c r="C16128">
        <v>480</v>
      </c>
      <c r="D16128">
        <v>374</v>
      </c>
      <c r="E16128">
        <v>1577186934</v>
      </c>
      <c r="F16128">
        <v>1478</v>
      </c>
      <c r="G16128">
        <v>0</v>
      </c>
      <c r="H16128" t="s">
        <v>20966</v>
      </c>
      <c r="I16128">
        <v>18299</v>
      </c>
      <c r="J16128" t="str">
        <f>VLOOKUP(E16128,DSSpieler!A:B,2,FALSE)</f>
        <v>Global63</v>
      </c>
    </row>
    <row r="16129" spans="1:10" x14ac:dyDescent="0.25">
      <c r="A16129">
        <v>18300</v>
      </c>
      <c r="B16129" t="s">
        <v>35628</v>
      </c>
      <c r="C16129">
        <v>621</v>
      </c>
      <c r="D16129">
        <v>549</v>
      </c>
      <c r="E16129">
        <v>9341944</v>
      </c>
      <c r="F16129">
        <v>93</v>
      </c>
      <c r="G16129">
        <v>0</v>
      </c>
      <c r="H16129" t="s">
        <v>20967</v>
      </c>
      <c r="I16129">
        <v>18300</v>
      </c>
      <c r="J16129" t="str">
        <f>VLOOKUP(E16129,DSSpieler!A:B,2,FALSE)</f>
        <v>Sarabi1</v>
      </c>
    </row>
    <row r="16130" spans="1:10" x14ac:dyDescent="0.25">
      <c r="A16130">
        <v>18302</v>
      </c>
      <c r="B16130" t="s">
        <v>2312</v>
      </c>
      <c r="C16130">
        <v>594</v>
      </c>
      <c r="D16130">
        <v>445</v>
      </c>
      <c r="E16130">
        <v>1577193607</v>
      </c>
      <c r="F16130">
        <v>531</v>
      </c>
      <c r="G16130">
        <v>0</v>
      </c>
      <c r="H16130" t="s">
        <v>20968</v>
      </c>
      <c r="I16130">
        <v>18302</v>
      </c>
      <c r="J16130" t="str">
        <f>VLOOKUP(E16130,DSSpieler!A:B,2,FALSE)</f>
        <v>Mr.Greeen</v>
      </c>
    </row>
    <row r="16131" spans="1:10" x14ac:dyDescent="0.25">
      <c r="A16131">
        <v>18304</v>
      </c>
      <c r="B16131" t="s">
        <v>531</v>
      </c>
      <c r="C16131">
        <v>568</v>
      </c>
      <c r="D16131">
        <v>393</v>
      </c>
      <c r="E16131">
        <v>0</v>
      </c>
      <c r="F16131">
        <v>150</v>
      </c>
      <c r="G16131">
        <v>0</v>
      </c>
      <c r="H16131" t="s">
        <v>20969</v>
      </c>
      <c r="I16131">
        <v>18304</v>
      </c>
      <c r="J16131" t="e">
        <f>VLOOKUP(E16131,DSSpieler!A:B,2,FALSE)</f>
        <v>#N/A</v>
      </c>
    </row>
    <row r="16132" spans="1:10" x14ac:dyDescent="0.25">
      <c r="A16132">
        <v>18305</v>
      </c>
      <c r="B16132" t="s">
        <v>35629</v>
      </c>
      <c r="C16132">
        <v>546</v>
      </c>
      <c r="D16132">
        <v>382</v>
      </c>
      <c r="E16132">
        <v>1576787783</v>
      </c>
      <c r="F16132">
        <v>563</v>
      </c>
      <c r="G16132">
        <v>0</v>
      </c>
      <c r="H16132" t="s">
        <v>20970</v>
      </c>
      <c r="I16132">
        <v>18305</v>
      </c>
      <c r="J16132" t="str">
        <f>VLOOKUP(E16132,DSSpieler!A:B,2,FALSE)</f>
        <v>Freiherr von Kosmo</v>
      </c>
    </row>
    <row r="16133" spans="1:10" x14ac:dyDescent="0.25">
      <c r="A16133">
        <v>18306</v>
      </c>
      <c r="B16133" t="s">
        <v>531</v>
      </c>
      <c r="C16133">
        <v>519</v>
      </c>
      <c r="D16133">
        <v>375</v>
      </c>
      <c r="E16133">
        <v>0</v>
      </c>
      <c r="F16133">
        <v>136</v>
      </c>
      <c r="G16133">
        <v>0</v>
      </c>
      <c r="H16133" t="s">
        <v>20971</v>
      </c>
      <c r="I16133">
        <v>18306</v>
      </c>
      <c r="J16133" t="e">
        <f>VLOOKUP(E16133,DSSpieler!A:B,2,FALSE)</f>
        <v>#N/A</v>
      </c>
    </row>
    <row r="16134" spans="1:10" x14ac:dyDescent="0.25">
      <c r="A16134">
        <v>18307</v>
      </c>
      <c r="B16134" t="s">
        <v>3003</v>
      </c>
      <c r="C16134">
        <v>372</v>
      </c>
      <c r="D16134">
        <v>516</v>
      </c>
      <c r="E16134">
        <v>9984968</v>
      </c>
      <c r="F16134">
        <v>26</v>
      </c>
      <c r="G16134">
        <v>0</v>
      </c>
      <c r="H16134" t="s">
        <v>20972</v>
      </c>
      <c r="I16134">
        <v>18307</v>
      </c>
      <c r="J16134" t="str">
        <f>VLOOKUP(E16134,DSSpieler!A:B,2,FALSE)</f>
        <v>Chroomix</v>
      </c>
    </row>
    <row r="16135" spans="1:10" x14ac:dyDescent="0.25">
      <c r="A16135">
        <v>18309</v>
      </c>
      <c r="B16135" t="s">
        <v>3004</v>
      </c>
      <c r="C16135">
        <v>619</v>
      </c>
      <c r="D16135">
        <v>461</v>
      </c>
      <c r="E16135">
        <v>9841080</v>
      </c>
      <c r="F16135">
        <v>138</v>
      </c>
      <c r="G16135">
        <v>0</v>
      </c>
      <c r="H16135" t="s">
        <v>20973</v>
      </c>
      <c r="I16135">
        <v>18309</v>
      </c>
      <c r="J16135" t="str">
        <f>VLOOKUP(E16135,DSSpieler!A:B,2,FALSE)</f>
        <v>TheMrMineLP</v>
      </c>
    </row>
    <row r="16136" spans="1:10" x14ac:dyDescent="0.25">
      <c r="A16136">
        <v>18310</v>
      </c>
      <c r="B16136" t="s">
        <v>531</v>
      </c>
      <c r="C16136">
        <v>606</v>
      </c>
      <c r="D16136">
        <v>506</v>
      </c>
      <c r="E16136">
        <v>0</v>
      </c>
      <c r="F16136">
        <v>40</v>
      </c>
      <c r="G16136">
        <v>0</v>
      </c>
      <c r="H16136" t="s">
        <v>20974</v>
      </c>
      <c r="I16136">
        <v>18310</v>
      </c>
      <c r="J16136" t="e">
        <f>VLOOKUP(E16136,DSSpieler!A:B,2,FALSE)</f>
        <v>#N/A</v>
      </c>
    </row>
    <row r="16137" spans="1:10" x14ac:dyDescent="0.25">
      <c r="A16137">
        <v>18311</v>
      </c>
      <c r="B16137" t="s">
        <v>3005</v>
      </c>
      <c r="C16137">
        <v>531</v>
      </c>
      <c r="D16137">
        <v>513</v>
      </c>
      <c r="E16137">
        <v>1577198119</v>
      </c>
      <c r="F16137">
        <v>683</v>
      </c>
      <c r="G16137">
        <v>0</v>
      </c>
      <c r="H16137" t="s">
        <v>20975</v>
      </c>
      <c r="I16137">
        <v>18311</v>
      </c>
      <c r="J16137" t="str">
        <f>VLOOKUP(E16137,DSSpieler!A:B,2,FALSE)</f>
        <v>Roja</v>
      </c>
    </row>
    <row r="16138" spans="1:10" x14ac:dyDescent="0.25">
      <c r="A16138">
        <v>18312</v>
      </c>
      <c r="B16138" t="s">
        <v>1404</v>
      </c>
      <c r="C16138">
        <v>475</v>
      </c>
      <c r="D16138">
        <v>536</v>
      </c>
      <c r="E16138">
        <v>7734530</v>
      </c>
      <c r="F16138">
        <v>1008</v>
      </c>
      <c r="G16138">
        <v>0</v>
      </c>
      <c r="H16138" t="s">
        <v>20976</v>
      </c>
      <c r="I16138">
        <v>18312</v>
      </c>
      <c r="J16138" t="str">
        <f>VLOOKUP(E16138,DSSpieler!A:B,2,FALSE)</f>
        <v>samka96</v>
      </c>
    </row>
    <row r="16139" spans="1:10" x14ac:dyDescent="0.25">
      <c r="A16139">
        <v>18313</v>
      </c>
      <c r="B16139" t="s">
        <v>35630</v>
      </c>
      <c r="C16139">
        <v>370</v>
      </c>
      <c r="D16139">
        <v>513</v>
      </c>
      <c r="E16139">
        <v>973186</v>
      </c>
      <c r="F16139">
        <v>1039</v>
      </c>
      <c r="G16139">
        <v>0</v>
      </c>
      <c r="H16139" t="s">
        <v>20977</v>
      </c>
      <c r="I16139">
        <v>18313</v>
      </c>
      <c r="J16139" t="str">
        <f>VLOOKUP(E16139,DSSpieler!A:B,2,FALSE)</f>
        <v>die Sauerländerin</v>
      </c>
    </row>
    <row r="16140" spans="1:10" x14ac:dyDescent="0.25">
      <c r="A16140">
        <v>18314</v>
      </c>
      <c r="B16140" t="s">
        <v>3006</v>
      </c>
      <c r="C16140">
        <v>373</v>
      </c>
      <c r="D16140">
        <v>511</v>
      </c>
      <c r="E16140">
        <v>10051869</v>
      </c>
      <c r="F16140">
        <v>763</v>
      </c>
      <c r="G16140">
        <v>0</v>
      </c>
      <c r="H16140" t="s">
        <v>20978</v>
      </c>
      <c r="I16140">
        <v>18314</v>
      </c>
      <c r="J16140" t="str">
        <f>VLOOKUP(E16140,DSSpieler!A:B,2,FALSE)</f>
        <v>mystery rico</v>
      </c>
    </row>
    <row r="16141" spans="1:10" x14ac:dyDescent="0.25">
      <c r="A16141">
        <v>18315</v>
      </c>
      <c r="B16141" t="s">
        <v>3007</v>
      </c>
      <c r="C16141">
        <v>519</v>
      </c>
      <c r="D16141">
        <v>587</v>
      </c>
      <c r="E16141">
        <v>1577179062</v>
      </c>
      <c r="F16141">
        <v>1000</v>
      </c>
      <c r="G16141">
        <v>0</v>
      </c>
      <c r="H16141" t="s">
        <v>20979</v>
      </c>
      <c r="I16141">
        <v>18315</v>
      </c>
      <c r="J16141" t="str">
        <f>VLOOKUP(E16141,DSSpieler!A:B,2,FALSE)</f>
        <v>EdlerRitter69</v>
      </c>
    </row>
    <row r="16142" spans="1:10" x14ac:dyDescent="0.25">
      <c r="A16142">
        <v>18317</v>
      </c>
      <c r="B16142" t="s">
        <v>3008</v>
      </c>
      <c r="C16142">
        <v>579</v>
      </c>
      <c r="D16142">
        <v>600</v>
      </c>
      <c r="E16142">
        <v>1575897424</v>
      </c>
      <c r="F16142">
        <v>46</v>
      </c>
      <c r="G16142">
        <v>0</v>
      </c>
      <c r="H16142" t="s">
        <v>20980</v>
      </c>
      <c r="I16142">
        <v>18317</v>
      </c>
      <c r="J16142" t="str">
        <f>VLOOKUP(E16142,DSSpieler!A:B,2,FALSE)</f>
        <v>Bartholo Simaro</v>
      </c>
    </row>
    <row r="16143" spans="1:10" x14ac:dyDescent="0.25">
      <c r="A16143">
        <v>18318</v>
      </c>
      <c r="B16143" t="s">
        <v>531</v>
      </c>
      <c r="C16143">
        <v>557</v>
      </c>
      <c r="D16143">
        <v>384</v>
      </c>
      <c r="E16143">
        <v>0</v>
      </c>
      <c r="F16143">
        <v>144</v>
      </c>
      <c r="G16143">
        <v>0</v>
      </c>
      <c r="H16143" t="s">
        <v>20981</v>
      </c>
      <c r="I16143">
        <v>18318</v>
      </c>
      <c r="J16143" t="e">
        <f>VLOOKUP(E16143,DSSpieler!A:B,2,FALSE)</f>
        <v>#N/A</v>
      </c>
    </row>
    <row r="16144" spans="1:10" x14ac:dyDescent="0.25">
      <c r="A16144">
        <v>18319</v>
      </c>
      <c r="B16144" t="s">
        <v>531</v>
      </c>
      <c r="C16144">
        <v>485</v>
      </c>
      <c r="D16144">
        <v>584</v>
      </c>
      <c r="E16144">
        <v>0</v>
      </c>
      <c r="F16144">
        <v>41</v>
      </c>
      <c r="G16144">
        <v>0</v>
      </c>
      <c r="H16144" t="s">
        <v>20982</v>
      </c>
      <c r="I16144">
        <v>18319</v>
      </c>
      <c r="J16144" t="e">
        <f>VLOOKUP(E16144,DSSpieler!A:B,2,FALSE)</f>
        <v>#N/A</v>
      </c>
    </row>
    <row r="16145" spans="1:10" x14ac:dyDescent="0.25">
      <c r="A16145">
        <v>18320</v>
      </c>
      <c r="B16145" t="s">
        <v>531</v>
      </c>
      <c r="C16145">
        <v>546</v>
      </c>
      <c r="D16145">
        <v>380</v>
      </c>
      <c r="E16145">
        <v>0</v>
      </c>
      <c r="F16145">
        <v>183</v>
      </c>
      <c r="G16145">
        <v>0</v>
      </c>
      <c r="H16145" t="s">
        <v>20983</v>
      </c>
      <c r="I16145">
        <v>18320</v>
      </c>
      <c r="J16145" t="e">
        <f>VLOOKUP(E16145,DSSpieler!A:B,2,FALSE)</f>
        <v>#N/A</v>
      </c>
    </row>
    <row r="16146" spans="1:10" x14ac:dyDescent="0.25">
      <c r="A16146">
        <v>18322</v>
      </c>
      <c r="B16146" t="s">
        <v>531</v>
      </c>
      <c r="C16146">
        <v>462</v>
      </c>
      <c r="D16146">
        <v>376</v>
      </c>
      <c r="E16146">
        <v>0</v>
      </c>
      <c r="F16146">
        <v>74</v>
      </c>
      <c r="G16146">
        <v>0</v>
      </c>
      <c r="H16146" t="s">
        <v>20984</v>
      </c>
      <c r="I16146">
        <v>18322</v>
      </c>
      <c r="J16146" t="e">
        <f>VLOOKUP(E16146,DSSpieler!A:B,2,FALSE)</f>
        <v>#N/A</v>
      </c>
    </row>
    <row r="16147" spans="1:10" x14ac:dyDescent="0.25">
      <c r="A16147">
        <v>18323</v>
      </c>
      <c r="B16147" t="s">
        <v>3009</v>
      </c>
      <c r="C16147">
        <v>557</v>
      </c>
      <c r="D16147">
        <v>383</v>
      </c>
      <c r="E16147">
        <v>233856</v>
      </c>
      <c r="F16147">
        <v>26</v>
      </c>
      <c r="G16147">
        <v>0</v>
      </c>
      <c r="H16147" t="s">
        <v>20985</v>
      </c>
      <c r="I16147">
        <v>18323</v>
      </c>
      <c r="J16147" t="str">
        <f>VLOOKUP(E16147,DSSpieler!A:B,2,FALSE)</f>
        <v>RiKul</v>
      </c>
    </row>
    <row r="16148" spans="1:10" x14ac:dyDescent="0.25">
      <c r="A16148">
        <v>18324</v>
      </c>
      <c r="B16148" t="s">
        <v>3010</v>
      </c>
      <c r="C16148">
        <v>456</v>
      </c>
      <c r="D16148">
        <v>575</v>
      </c>
      <c r="E16148">
        <v>1576894984</v>
      </c>
      <c r="F16148">
        <v>988</v>
      </c>
      <c r="G16148">
        <v>0</v>
      </c>
      <c r="H16148" t="s">
        <v>20986</v>
      </c>
      <c r="I16148">
        <v>18324</v>
      </c>
      <c r="J16148" t="str">
        <f>VLOOKUP(E16148,DSSpieler!A:B,2,FALSE)</f>
        <v>phskill</v>
      </c>
    </row>
    <row r="16149" spans="1:10" x14ac:dyDescent="0.25">
      <c r="A16149">
        <v>18325</v>
      </c>
      <c r="B16149">
        <v>1</v>
      </c>
      <c r="C16149">
        <v>393</v>
      </c>
      <c r="D16149">
        <v>551</v>
      </c>
      <c r="E16149">
        <v>9993551</v>
      </c>
      <c r="F16149">
        <v>359</v>
      </c>
      <c r="G16149">
        <v>0</v>
      </c>
      <c r="H16149" t="s">
        <v>20987</v>
      </c>
      <c r="I16149">
        <v>18325</v>
      </c>
      <c r="J16149" t="str">
        <f>VLOOKUP(E16149,DSSpieler!A:B,2,FALSE)</f>
        <v>Gael94</v>
      </c>
    </row>
    <row r="16150" spans="1:10" x14ac:dyDescent="0.25">
      <c r="A16150">
        <v>18326</v>
      </c>
      <c r="B16150" t="s">
        <v>531</v>
      </c>
      <c r="C16150">
        <v>535</v>
      </c>
      <c r="D16150">
        <v>375</v>
      </c>
      <c r="E16150">
        <v>0</v>
      </c>
      <c r="F16150">
        <v>34</v>
      </c>
      <c r="G16150">
        <v>0</v>
      </c>
      <c r="H16150" t="s">
        <v>20988</v>
      </c>
      <c r="I16150">
        <v>18326</v>
      </c>
      <c r="J16150" t="e">
        <f>VLOOKUP(E16150,DSSpieler!A:B,2,FALSE)</f>
        <v>#N/A</v>
      </c>
    </row>
    <row r="16151" spans="1:10" x14ac:dyDescent="0.25">
      <c r="A16151">
        <v>18327</v>
      </c>
      <c r="B16151" t="s">
        <v>3011</v>
      </c>
      <c r="C16151">
        <v>622</v>
      </c>
      <c r="D16151">
        <v>462</v>
      </c>
      <c r="E16151">
        <v>8684190</v>
      </c>
      <c r="F16151">
        <v>143</v>
      </c>
      <c r="G16151">
        <v>0</v>
      </c>
      <c r="H16151" t="s">
        <v>20989</v>
      </c>
      <c r="I16151">
        <v>18327</v>
      </c>
      <c r="J16151" t="str">
        <f>VLOOKUP(E16151,DSSpieler!A:B,2,FALSE)</f>
        <v>Atze170</v>
      </c>
    </row>
    <row r="16152" spans="1:10" x14ac:dyDescent="0.25">
      <c r="A16152">
        <v>18328</v>
      </c>
      <c r="B16152" t="s">
        <v>531</v>
      </c>
      <c r="C16152">
        <v>626</v>
      </c>
      <c r="D16152">
        <v>490</v>
      </c>
      <c r="E16152">
        <v>0</v>
      </c>
      <c r="F16152">
        <v>70</v>
      </c>
      <c r="G16152">
        <v>0</v>
      </c>
      <c r="H16152" t="s">
        <v>20990</v>
      </c>
      <c r="I16152">
        <v>18328</v>
      </c>
      <c r="J16152" t="e">
        <f>VLOOKUP(E16152,DSSpieler!A:B,2,FALSE)</f>
        <v>#N/A</v>
      </c>
    </row>
    <row r="16153" spans="1:10" x14ac:dyDescent="0.25">
      <c r="A16153">
        <v>18331</v>
      </c>
      <c r="B16153" t="s">
        <v>531</v>
      </c>
      <c r="C16153">
        <v>451</v>
      </c>
      <c r="D16153">
        <v>621</v>
      </c>
      <c r="E16153">
        <v>0</v>
      </c>
      <c r="F16153">
        <v>41</v>
      </c>
      <c r="G16153">
        <v>0</v>
      </c>
      <c r="H16153" t="s">
        <v>20991</v>
      </c>
      <c r="I16153">
        <v>18331</v>
      </c>
      <c r="J16153" t="e">
        <f>VLOOKUP(E16153,DSSpieler!A:B,2,FALSE)</f>
        <v>#N/A</v>
      </c>
    </row>
    <row r="16154" spans="1:10" x14ac:dyDescent="0.25">
      <c r="A16154">
        <v>18332</v>
      </c>
      <c r="B16154" t="s">
        <v>531</v>
      </c>
      <c r="C16154">
        <v>606</v>
      </c>
      <c r="D16154">
        <v>483</v>
      </c>
      <c r="E16154">
        <v>0</v>
      </c>
      <c r="F16154">
        <v>39</v>
      </c>
      <c r="G16154">
        <v>0</v>
      </c>
      <c r="H16154" t="s">
        <v>20992</v>
      </c>
      <c r="I16154">
        <v>18332</v>
      </c>
      <c r="J16154" t="e">
        <f>VLOOKUP(E16154,DSSpieler!A:B,2,FALSE)</f>
        <v>#N/A</v>
      </c>
    </row>
    <row r="16155" spans="1:10" x14ac:dyDescent="0.25">
      <c r="A16155">
        <v>18333</v>
      </c>
      <c r="B16155" t="s">
        <v>3012</v>
      </c>
      <c r="C16155">
        <v>614</v>
      </c>
      <c r="D16155">
        <v>489</v>
      </c>
      <c r="E16155">
        <v>1577206514</v>
      </c>
      <c r="F16155">
        <v>781</v>
      </c>
      <c r="G16155">
        <v>0</v>
      </c>
      <c r="H16155" t="s">
        <v>20993</v>
      </c>
      <c r="I16155">
        <v>18333</v>
      </c>
      <c r="J16155" t="str">
        <f>VLOOKUP(E16155,DSSpieler!A:B,2,FALSE)</f>
        <v>Cargoo</v>
      </c>
    </row>
    <row r="16156" spans="1:10" x14ac:dyDescent="0.25">
      <c r="A16156">
        <v>18334</v>
      </c>
      <c r="B16156" t="s">
        <v>3013</v>
      </c>
      <c r="C16156">
        <v>628</v>
      </c>
      <c r="D16156">
        <v>506</v>
      </c>
      <c r="E16156">
        <v>1576810534</v>
      </c>
      <c r="F16156">
        <v>326</v>
      </c>
      <c r="G16156">
        <v>0</v>
      </c>
      <c r="H16156" t="s">
        <v>20994</v>
      </c>
      <c r="I16156">
        <v>18334</v>
      </c>
      <c r="J16156" t="str">
        <f>VLOOKUP(E16156,DSSpieler!A:B,2,FALSE)</f>
        <v>Lady pidie</v>
      </c>
    </row>
    <row r="16157" spans="1:10" x14ac:dyDescent="0.25">
      <c r="A16157">
        <v>18335</v>
      </c>
      <c r="B16157" t="s">
        <v>531</v>
      </c>
      <c r="C16157">
        <v>475</v>
      </c>
      <c r="D16157">
        <v>376</v>
      </c>
      <c r="E16157">
        <v>0</v>
      </c>
      <c r="F16157">
        <v>26</v>
      </c>
      <c r="G16157">
        <v>0</v>
      </c>
      <c r="H16157" t="s">
        <v>20995</v>
      </c>
      <c r="I16157">
        <v>18335</v>
      </c>
      <c r="J16157" t="e">
        <f>VLOOKUP(E16157,DSSpieler!A:B,2,FALSE)</f>
        <v>#N/A</v>
      </c>
    </row>
    <row r="16158" spans="1:10" x14ac:dyDescent="0.25">
      <c r="A16158">
        <v>18336</v>
      </c>
      <c r="B16158" t="s">
        <v>3014</v>
      </c>
      <c r="C16158">
        <v>401</v>
      </c>
      <c r="D16158">
        <v>420</v>
      </c>
      <c r="E16158">
        <v>1576736475</v>
      </c>
      <c r="F16158">
        <v>153</v>
      </c>
      <c r="G16158">
        <v>0</v>
      </c>
      <c r="H16158" t="s">
        <v>20996</v>
      </c>
      <c r="I16158">
        <v>18336</v>
      </c>
      <c r="J16158" t="str">
        <f>VLOOKUP(E16158,DSSpieler!A:B,2,FALSE)</f>
        <v>xCreedy.176</v>
      </c>
    </row>
    <row r="16159" spans="1:10" x14ac:dyDescent="0.25">
      <c r="A16159">
        <v>18337</v>
      </c>
      <c r="B16159">
        <v>3</v>
      </c>
      <c r="C16159">
        <v>379</v>
      </c>
      <c r="D16159">
        <v>466</v>
      </c>
      <c r="E16159">
        <v>1577044420</v>
      </c>
      <c r="F16159">
        <v>1666</v>
      </c>
      <c r="G16159">
        <v>0</v>
      </c>
      <c r="H16159" t="s">
        <v>20997</v>
      </c>
      <c r="I16159">
        <v>18337</v>
      </c>
      <c r="J16159" t="str">
        <f>VLOOKUP(E16159,DSSpieler!A:B,2,FALSE)</f>
        <v>DonJenser</v>
      </c>
    </row>
    <row r="16160" spans="1:10" x14ac:dyDescent="0.25">
      <c r="A16160">
        <v>18338</v>
      </c>
      <c r="B16160" t="s">
        <v>35631</v>
      </c>
      <c r="C16160">
        <v>497</v>
      </c>
      <c r="D16160">
        <v>624</v>
      </c>
      <c r="E16160">
        <v>1577206524</v>
      </c>
      <c r="F16160">
        <v>75</v>
      </c>
      <c r="G16160">
        <v>0</v>
      </c>
      <c r="H16160" t="s">
        <v>20998</v>
      </c>
      <c r="I16160">
        <v>18338</v>
      </c>
      <c r="J16160" t="str">
        <f>VLOOKUP(E16160,DSSpieler!A:B,2,FALSE)</f>
        <v>Zwergenkönig Sebi II</v>
      </c>
    </row>
    <row r="16161" spans="1:10" x14ac:dyDescent="0.25">
      <c r="A16161">
        <v>18339</v>
      </c>
      <c r="B16161" t="s">
        <v>531</v>
      </c>
      <c r="C16161">
        <v>480</v>
      </c>
      <c r="D16161">
        <v>373</v>
      </c>
      <c r="E16161">
        <v>0</v>
      </c>
      <c r="F16161">
        <v>120</v>
      </c>
      <c r="G16161">
        <v>0</v>
      </c>
      <c r="H16161" t="s">
        <v>20999</v>
      </c>
      <c r="I16161">
        <v>18339</v>
      </c>
      <c r="J16161" t="e">
        <f>VLOOKUP(E16161,DSSpieler!A:B,2,FALSE)</f>
        <v>#N/A</v>
      </c>
    </row>
    <row r="16162" spans="1:10" x14ac:dyDescent="0.25">
      <c r="A16162">
        <v>18340</v>
      </c>
      <c r="B16162" t="s">
        <v>531</v>
      </c>
      <c r="C16162">
        <v>532</v>
      </c>
      <c r="D16162">
        <v>621</v>
      </c>
      <c r="E16162">
        <v>0</v>
      </c>
      <c r="F16162">
        <v>82</v>
      </c>
      <c r="G16162">
        <v>0</v>
      </c>
      <c r="H16162" t="s">
        <v>21000</v>
      </c>
      <c r="I16162">
        <v>18340</v>
      </c>
      <c r="J16162" t="e">
        <f>VLOOKUP(E16162,DSSpieler!A:B,2,FALSE)</f>
        <v>#N/A</v>
      </c>
    </row>
    <row r="16163" spans="1:10" x14ac:dyDescent="0.25">
      <c r="A16163">
        <v>18341</v>
      </c>
      <c r="B16163" t="s">
        <v>3015</v>
      </c>
      <c r="C16163">
        <v>375</v>
      </c>
      <c r="D16163">
        <v>515</v>
      </c>
      <c r="E16163">
        <v>8502524</v>
      </c>
      <c r="F16163">
        <v>393</v>
      </c>
      <c r="G16163">
        <v>0</v>
      </c>
      <c r="H16163" t="s">
        <v>21001</v>
      </c>
      <c r="I16163">
        <v>18341</v>
      </c>
      <c r="J16163" t="str">
        <f>VLOOKUP(E16163,DSSpieler!A:B,2,FALSE)</f>
        <v>papa1971</v>
      </c>
    </row>
    <row r="16164" spans="1:10" x14ac:dyDescent="0.25">
      <c r="A16164">
        <v>18342</v>
      </c>
      <c r="B16164" t="s">
        <v>531</v>
      </c>
      <c r="C16164">
        <v>481</v>
      </c>
      <c r="D16164">
        <v>629</v>
      </c>
      <c r="E16164">
        <v>0</v>
      </c>
      <c r="F16164">
        <v>33</v>
      </c>
      <c r="G16164">
        <v>0</v>
      </c>
      <c r="H16164" t="s">
        <v>21002</v>
      </c>
      <c r="I16164">
        <v>18342</v>
      </c>
      <c r="J16164" t="e">
        <f>VLOOKUP(E16164,DSSpieler!A:B,2,FALSE)</f>
        <v>#N/A</v>
      </c>
    </row>
    <row r="16165" spans="1:10" x14ac:dyDescent="0.25">
      <c r="A16165">
        <v>18343</v>
      </c>
      <c r="B16165" t="s">
        <v>3016</v>
      </c>
      <c r="C16165">
        <v>410</v>
      </c>
      <c r="D16165">
        <v>411</v>
      </c>
      <c r="E16165">
        <v>1576298173</v>
      </c>
      <c r="F16165">
        <v>250</v>
      </c>
      <c r="G16165">
        <v>0</v>
      </c>
      <c r="H16165" t="s">
        <v>21003</v>
      </c>
      <c r="I16165">
        <v>18343</v>
      </c>
      <c r="J16165" t="str">
        <f>VLOOKUP(E16165,DSSpieler!A:B,2,FALSE)</f>
        <v>marcus1976</v>
      </c>
    </row>
    <row r="16166" spans="1:10" x14ac:dyDescent="0.25">
      <c r="A16166">
        <v>18344</v>
      </c>
      <c r="B16166" t="s">
        <v>3017</v>
      </c>
      <c r="C16166">
        <v>471</v>
      </c>
      <c r="D16166">
        <v>388</v>
      </c>
      <c r="E16166">
        <v>1577176808</v>
      </c>
      <c r="F16166">
        <v>55</v>
      </c>
      <c r="G16166">
        <v>0</v>
      </c>
      <c r="H16166" t="s">
        <v>21004</v>
      </c>
      <c r="I16166">
        <v>18344</v>
      </c>
      <c r="J16166" t="str">
        <f>VLOOKUP(E16166,DSSpieler!A:B,2,FALSE)</f>
        <v>Nalgo</v>
      </c>
    </row>
    <row r="16167" spans="1:10" x14ac:dyDescent="0.25">
      <c r="A16167">
        <v>18345</v>
      </c>
      <c r="B16167" t="s">
        <v>3018</v>
      </c>
      <c r="C16167">
        <v>532</v>
      </c>
      <c r="D16167">
        <v>390</v>
      </c>
      <c r="E16167">
        <v>1577008656</v>
      </c>
      <c r="F16167">
        <v>988</v>
      </c>
      <c r="G16167">
        <v>0</v>
      </c>
      <c r="H16167" t="s">
        <v>21005</v>
      </c>
      <c r="I16167">
        <v>18345</v>
      </c>
      <c r="J16167" t="str">
        <f>VLOOKUP(E16167,DSSpieler!A:B,2,FALSE)</f>
        <v>preussenk</v>
      </c>
    </row>
    <row r="16168" spans="1:10" x14ac:dyDescent="0.25">
      <c r="A16168">
        <v>18346</v>
      </c>
      <c r="B16168" t="s">
        <v>531</v>
      </c>
      <c r="C16168">
        <v>435</v>
      </c>
      <c r="D16168">
        <v>393</v>
      </c>
      <c r="E16168">
        <v>0</v>
      </c>
      <c r="F16168">
        <v>121</v>
      </c>
      <c r="G16168">
        <v>0</v>
      </c>
      <c r="H16168" t="s">
        <v>21006</v>
      </c>
      <c r="I16168">
        <v>18346</v>
      </c>
      <c r="J16168" t="e">
        <f>VLOOKUP(E16168,DSSpieler!A:B,2,FALSE)</f>
        <v>#N/A</v>
      </c>
    </row>
    <row r="16169" spans="1:10" x14ac:dyDescent="0.25">
      <c r="A16169">
        <v>18347</v>
      </c>
      <c r="B16169" t="s">
        <v>1600</v>
      </c>
      <c r="C16169">
        <v>380</v>
      </c>
      <c r="D16169">
        <v>452</v>
      </c>
      <c r="E16169">
        <v>1577194648</v>
      </c>
      <c r="F16169">
        <v>1476</v>
      </c>
      <c r="G16169">
        <v>0</v>
      </c>
      <c r="H16169" t="s">
        <v>21007</v>
      </c>
      <c r="I16169">
        <v>18347</v>
      </c>
      <c r="J16169" t="str">
        <f>VLOOKUP(E16169,DSSpieler!A:B,2,FALSE)</f>
        <v>JulianT2391</v>
      </c>
    </row>
    <row r="16170" spans="1:10" x14ac:dyDescent="0.25">
      <c r="A16170">
        <v>18348</v>
      </c>
      <c r="B16170" t="s">
        <v>3019</v>
      </c>
      <c r="C16170">
        <v>494</v>
      </c>
      <c r="D16170">
        <v>372</v>
      </c>
      <c r="E16170">
        <v>1577191267</v>
      </c>
      <c r="F16170">
        <v>1156</v>
      </c>
      <c r="G16170">
        <v>0</v>
      </c>
      <c r="H16170" t="s">
        <v>21008</v>
      </c>
      <c r="I16170">
        <v>18348</v>
      </c>
      <c r="J16170" t="str">
        <f>VLOOKUP(E16170,DSSpieler!A:B,2,FALSE)</f>
        <v>Siachan</v>
      </c>
    </row>
    <row r="16171" spans="1:10" x14ac:dyDescent="0.25">
      <c r="A16171">
        <v>18349</v>
      </c>
      <c r="B16171" t="s">
        <v>3020</v>
      </c>
      <c r="C16171">
        <v>566</v>
      </c>
      <c r="D16171">
        <v>585</v>
      </c>
      <c r="E16171">
        <v>1576351632</v>
      </c>
      <c r="F16171">
        <v>795</v>
      </c>
      <c r="G16171">
        <v>0</v>
      </c>
      <c r="H16171" t="s">
        <v>21009</v>
      </c>
      <c r="I16171">
        <v>18349</v>
      </c>
      <c r="J16171" t="str">
        <f>VLOOKUP(E16171,DSSpieler!A:B,2,FALSE)</f>
        <v>Chillerforever95</v>
      </c>
    </row>
    <row r="16172" spans="1:10" x14ac:dyDescent="0.25">
      <c r="A16172">
        <v>18350</v>
      </c>
      <c r="B16172" t="s">
        <v>35632</v>
      </c>
      <c r="C16172">
        <v>450</v>
      </c>
      <c r="D16172">
        <v>587</v>
      </c>
      <c r="E16172">
        <v>1576391117</v>
      </c>
      <c r="F16172">
        <v>311</v>
      </c>
      <c r="G16172">
        <v>0</v>
      </c>
      <c r="H16172" t="s">
        <v>21010</v>
      </c>
      <c r="I16172">
        <v>18350</v>
      </c>
      <c r="J16172" t="str">
        <f>VLOOKUP(E16172,DSSpieler!A:B,2,FALSE)</f>
        <v>BaBooN334</v>
      </c>
    </row>
    <row r="16173" spans="1:10" x14ac:dyDescent="0.25">
      <c r="A16173">
        <v>18352</v>
      </c>
      <c r="B16173" t="s">
        <v>1716</v>
      </c>
      <c r="C16173">
        <v>624</v>
      </c>
      <c r="D16173">
        <v>466</v>
      </c>
      <c r="E16173">
        <v>1576953488</v>
      </c>
      <c r="F16173">
        <v>1286</v>
      </c>
      <c r="G16173">
        <v>0</v>
      </c>
      <c r="H16173" t="s">
        <v>21011</v>
      </c>
      <c r="I16173">
        <v>18352</v>
      </c>
      <c r="J16173" t="str">
        <f>VLOOKUP(E16173,DSSpieler!A:B,2,FALSE)</f>
        <v>Jacques Moliere</v>
      </c>
    </row>
    <row r="16174" spans="1:10" x14ac:dyDescent="0.25">
      <c r="A16174">
        <v>18353</v>
      </c>
      <c r="B16174" t="s">
        <v>3021</v>
      </c>
      <c r="C16174">
        <v>593</v>
      </c>
      <c r="D16174">
        <v>474</v>
      </c>
      <c r="E16174">
        <v>1576724673</v>
      </c>
      <c r="F16174">
        <v>1819</v>
      </c>
      <c r="G16174">
        <v>0</v>
      </c>
      <c r="H16174" t="s">
        <v>21012</v>
      </c>
      <c r="I16174">
        <v>18353</v>
      </c>
      <c r="J16174" t="str">
        <f>VLOOKUP(E16174,DSSpieler!A:B,2,FALSE)</f>
        <v>ManOfPiece</v>
      </c>
    </row>
    <row r="16175" spans="1:10" x14ac:dyDescent="0.25">
      <c r="A16175">
        <v>18354</v>
      </c>
      <c r="B16175" t="s">
        <v>3022</v>
      </c>
      <c r="C16175">
        <v>557</v>
      </c>
      <c r="D16175">
        <v>613</v>
      </c>
      <c r="E16175">
        <v>1577116738</v>
      </c>
      <c r="F16175">
        <v>264</v>
      </c>
      <c r="G16175">
        <v>0</v>
      </c>
      <c r="H16175" t="s">
        <v>21013</v>
      </c>
      <c r="I16175">
        <v>18354</v>
      </c>
      <c r="J16175" t="str">
        <f>VLOOKUP(E16175,DSSpieler!A:B,2,FALSE)</f>
        <v>Klaeyjaehs</v>
      </c>
    </row>
    <row r="16176" spans="1:10" x14ac:dyDescent="0.25">
      <c r="A16176">
        <v>18355</v>
      </c>
      <c r="B16176" t="s">
        <v>531</v>
      </c>
      <c r="C16176">
        <v>541</v>
      </c>
      <c r="D16176">
        <v>376</v>
      </c>
      <c r="E16176">
        <v>0</v>
      </c>
      <c r="F16176">
        <v>149</v>
      </c>
      <c r="G16176">
        <v>0</v>
      </c>
      <c r="H16176" t="s">
        <v>21014</v>
      </c>
      <c r="I16176">
        <v>18355</v>
      </c>
      <c r="J16176" t="e">
        <f>VLOOKUP(E16176,DSSpieler!A:B,2,FALSE)</f>
        <v>#N/A</v>
      </c>
    </row>
    <row r="16177" spans="1:10" x14ac:dyDescent="0.25">
      <c r="A16177">
        <v>18356</v>
      </c>
      <c r="B16177" t="s">
        <v>3023</v>
      </c>
      <c r="C16177">
        <v>546</v>
      </c>
      <c r="D16177">
        <v>475</v>
      </c>
      <c r="E16177">
        <v>1576650707</v>
      </c>
      <c r="F16177">
        <v>464</v>
      </c>
      <c r="G16177">
        <v>0</v>
      </c>
      <c r="H16177" t="s">
        <v>21015</v>
      </c>
      <c r="I16177">
        <v>18356</v>
      </c>
      <c r="J16177" t="str">
        <f>VLOOKUP(E16177,DSSpieler!A:B,2,FALSE)</f>
        <v>dcmudzborgh</v>
      </c>
    </row>
    <row r="16178" spans="1:10" x14ac:dyDescent="0.25">
      <c r="A16178">
        <v>18357</v>
      </c>
      <c r="B16178" t="s">
        <v>531</v>
      </c>
      <c r="C16178">
        <v>588</v>
      </c>
      <c r="D16178">
        <v>596</v>
      </c>
      <c r="E16178">
        <v>0</v>
      </c>
      <c r="F16178">
        <v>78</v>
      </c>
      <c r="G16178">
        <v>0</v>
      </c>
      <c r="H16178" t="s">
        <v>21016</v>
      </c>
      <c r="I16178">
        <v>18357</v>
      </c>
      <c r="J16178" t="e">
        <f>VLOOKUP(E16178,DSSpieler!A:B,2,FALSE)</f>
        <v>#N/A</v>
      </c>
    </row>
    <row r="16179" spans="1:10" x14ac:dyDescent="0.25">
      <c r="A16179">
        <v>18358</v>
      </c>
      <c r="B16179" t="s">
        <v>3024</v>
      </c>
      <c r="C16179">
        <v>409</v>
      </c>
      <c r="D16179">
        <v>586</v>
      </c>
      <c r="E16179">
        <v>1577197948</v>
      </c>
      <c r="F16179">
        <v>1932</v>
      </c>
      <c r="G16179">
        <v>0</v>
      </c>
      <c r="H16179" t="s">
        <v>21017</v>
      </c>
      <c r="I16179">
        <v>18358</v>
      </c>
      <c r="J16179" t="str">
        <f>VLOOKUP(E16179,DSSpieler!A:B,2,FALSE)</f>
        <v>Somewhere</v>
      </c>
    </row>
    <row r="16180" spans="1:10" x14ac:dyDescent="0.25">
      <c r="A16180">
        <v>18359</v>
      </c>
      <c r="B16180" t="s">
        <v>3025</v>
      </c>
      <c r="C16180">
        <v>513</v>
      </c>
      <c r="D16180">
        <v>406</v>
      </c>
      <c r="E16180">
        <v>8015718</v>
      </c>
      <c r="F16180">
        <v>2578</v>
      </c>
      <c r="G16180">
        <v>0</v>
      </c>
      <c r="H16180" t="s">
        <v>21018</v>
      </c>
      <c r="I16180">
        <v>18359</v>
      </c>
      <c r="J16180" t="str">
        <f>VLOOKUP(E16180,DSSpieler!A:B,2,FALSE)</f>
        <v>ApOx</v>
      </c>
    </row>
    <row r="16181" spans="1:10" x14ac:dyDescent="0.25">
      <c r="A16181">
        <v>18360</v>
      </c>
      <c r="B16181" t="s">
        <v>3026</v>
      </c>
      <c r="C16181">
        <v>629</v>
      </c>
      <c r="D16181">
        <v>509</v>
      </c>
      <c r="E16181">
        <v>1576329355</v>
      </c>
      <c r="F16181">
        <v>26</v>
      </c>
      <c r="G16181">
        <v>0</v>
      </c>
      <c r="H16181" t="s">
        <v>21019</v>
      </c>
      <c r="I16181">
        <v>18360</v>
      </c>
      <c r="J16181" t="str">
        <f>VLOOKUP(E16181,DSSpieler!A:B,2,FALSE)</f>
        <v>merlinn</v>
      </c>
    </row>
    <row r="16182" spans="1:10" x14ac:dyDescent="0.25">
      <c r="A16182">
        <v>18361</v>
      </c>
      <c r="B16182" t="s">
        <v>3027</v>
      </c>
      <c r="C16182">
        <v>601</v>
      </c>
      <c r="D16182">
        <v>574</v>
      </c>
      <c r="E16182">
        <v>3070780</v>
      </c>
      <c r="F16182">
        <v>26</v>
      </c>
      <c r="G16182">
        <v>0</v>
      </c>
      <c r="H16182" t="s">
        <v>21020</v>
      </c>
      <c r="I16182">
        <v>18361</v>
      </c>
      <c r="J16182" t="str">
        <f>VLOOKUP(E16182,DSSpieler!A:B,2,FALSE)</f>
        <v>ronny der dicke</v>
      </c>
    </row>
    <row r="16183" spans="1:10" x14ac:dyDescent="0.25">
      <c r="A16183">
        <v>18362</v>
      </c>
      <c r="B16183" t="s">
        <v>3028</v>
      </c>
      <c r="C16183">
        <v>394</v>
      </c>
      <c r="D16183">
        <v>429</v>
      </c>
      <c r="E16183">
        <v>1577137816</v>
      </c>
      <c r="F16183">
        <v>1711</v>
      </c>
      <c r="G16183">
        <v>0</v>
      </c>
      <c r="H16183" t="s">
        <v>21021</v>
      </c>
      <c r="I16183">
        <v>18362</v>
      </c>
      <c r="J16183" t="str">
        <f>VLOOKUP(E16183,DSSpieler!A:B,2,FALSE)</f>
        <v>odin1977</v>
      </c>
    </row>
    <row r="16184" spans="1:10" x14ac:dyDescent="0.25">
      <c r="A16184">
        <v>18363</v>
      </c>
      <c r="B16184" t="s">
        <v>3029</v>
      </c>
      <c r="C16184">
        <v>378</v>
      </c>
      <c r="D16184">
        <v>530</v>
      </c>
      <c r="E16184">
        <v>1577206533</v>
      </c>
      <c r="F16184">
        <v>863</v>
      </c>
      <c r="G16184">
        <v>0</v>
      </c>
      <c r="H16184" t="s">
        <v>21022</v>
      </c>
      <c r="I16184">
        <v>18363</v>
      </c>
      <c r="J16184" t="str">
        <f>VLOOKUP(E16184,DSSpieler!A:B,2,FALSE)</f>
        <v>Quanarie</v>
      </c>
    </row>
    <row r="16185" spans="1:10" x14ac:dyDescent="0.25">
      <c r="A16185">
        <v>18364</v>
      </c>
      <c r="B16185" t="s">
        <v>3030</v>
      </c>
      <c r="C16185">
        <v>373</v>
      </c>
      <c r="D16185">
        <v>469</v>
      </c>
      <c r="E16185">
        <v>1576839771</v>
      </c>
      <c r="F16185">
        <v>2581</v>
      </c>
      <c r="G16185">
        <v>0</v>
      </c>
      <c r="H16185" t="s">
        <v>449</v>
      </c>
      <c r="I16185">
        <v>18364</v>
      </c>
      <c r="J16185" t="str">
        <f>VLOOKUP(E16185,DSSpieler!A:B,2,FALSE)</f>
        <v>Tresdin</v>
      </c>
    </row>
    <row r="16186" spans="1:10" x14ac:dyDescent="0.25">
      <c r="A16186">
        <v>18365</v>
      </c>
      <c r="B16186" t="s">
        <v>3031</v>
      </c>
      <c r="C16186">
        <v>491</v>
      </c>
      <c r="D16186">
        <v>375</v>
      </c>
      <c r="E16186">
        <v>1577198281</v>
      </c>
      <c r="F16186">
        <v>26</v>
      </c>
      <c r="G16186">
        <v>0</v>
      </c>
      <c r="H16186" t="s">
        <v>21023</v>
      </c>
      <c r="I16186">
        <v>18365</v>
      </c>
      <c r="J16186" t="str">
        <f>VLOOKUP(E16186,DSSpieler!A:B,2,FALSE)</f>
        <v>AladinderPaladin</v>
      </c>
    </row>
    <row r="16187" spans="1:10" x14ac:dyDescent="0.25">
      <c r="A16187">
        <v>18366</v>
      </c>
      <c r="B16187" t="s">
        <v>150</v>
      </c>
      <c r="C16187">
        <v>502</v>
      </c>
      <c r="D16187">
        <v>453</v>
      </c>
      <c r="E16187">
        <v>1576955646</v>
      </c>
      <c r="F16187">
        <v>1355</v>
      </c>
      <c r="G16187">
        <v>0</v>
      </c>
      <c r="H16187" t="s">
        <v>21024</v>
      </c>
      <c r="I16187">
        <v>18366</v>
      </c>
      <c r="J16187" t="str">
        <f>VLOOKUP(E16187,DSSpieler!A:B,2,FALSE)</f>
        <v>mofugga</v>
      </c>
    </row>
    <row r="16188" spans="1:10" x14ac:dyDescent="0.25">
      <c r="A16188">
        <v>18369</v>
      </c>
      <c r="B16188" t="s">
        <v>3032</v>
      </c>
      <c r="C16188">
        <v>594</v>
      </c>
      <c r="D16188">
        <v>591</v>
      </c>
      <c r="E16188">
        <v>1577001740</v>
      </c>
      <c r="F16188">
        <v>75</v>
      </c>
      <c r="G16188">
        <v>0</v>
      </c>
      <c r="H16188" t="s">
        <v>21025</v>
      </c>
      <c r="I16188">
        <v>18369</v>
      </c>
      <c r="J16188" t="str">
        <f>VLOOKUP(E16188,DSSpieler!A:B,2,FALSE)</f>
        <v>ShXz Inc</v>
      </c>
    </row>
    <row r="16189" spans="1:10" x14ac:dyDescent="0.25">
      <c r="A16189">
        <v>18370</v>
      </c>
      <c r="B16189" t="s">
        <v>3033</v>
      </c>
      <c r="C16189">
        <v>444</v>
      </c>
      <c r="D16189">
        <v>506</v>
      </c>
      <c r="E16189">
        <v>1577181315</v>
      </c>
      <c r="F16189">
        <v>702</v>
      </c>
      <c r="G16189">
        <v>0</v>
      </c>
      <c r="H16189" t="s">
        <v>21026</v>
      </c>
      <c r="I16189">
        <v>18370</v>
      </c>
      <c r="J16189" t="str">
        <f>VLOOKUP(E16189,DSSpieler!A:B,2,FALSE)</f>
        <v>S3rum</v>
      </c>
    </row>
    <row r="16190" spans="1:10" x14ac:dyDescent="0.25">
      <c r="A16190">
        <v>18371</v>
      </c>
      <c r="B16190" t="s">
        <v>3034</v>
      </c>
      <c r="C16190">
        <v>514</v>
      </c>
      <c r="D16190">
        <v>594</v>
      </c>
      <c r="E16190">
        <v>1577181076</v>
      </c>
      <c r="F16190">
        <v>1030</v>
      </c>
      <c r="G16190">
        <v>0</v>
      </c>
      <c r="H16190" t="s">
        <v>21027</v>
      </c>
      <c r="I16190">
        <v>18371</v>
      </c>
      <c r="J16190" t="str">
        <f>VLOOKUP(E16190,DSSpieler!A:B,2,FALSE)</f>
        <v>atzntom</v>
      </c>
    </row>
    <row r="16191" spans="1:10" x14ac:dyDescent="0.25">
      <c r="A16191">
        <v>18372</v>
      </c>
      <c r="B16191" t="s">
        <v>667</v>
      </c>
      <c r="C16191">
        <v>622</v>
      </c>
      <c r="D16191">
        <v>456</v>
      </c>
      <c r="E16191">
        <v>9234327</v>
      </c>
      <c r="F16191">
        <v>1826</v>
      </c>
      <c r="G16191">
        <v>0</v>
      </c>
      <c r="H16191" t="s">
        <v>21028</v>
      </c>
      <c r="I16191">
        <v>18372</v>
      </c>
      <c r="J16191" t="str">
        <f>VLOOKUP(E16191,DSSpieler!A:B,2,FALSE)</f>
        <v>SIR ASCHI</v>
      </c>
    </row>
    <row r="16192" spans="1:10" x14ac:dyDescent="0.25">
      <c r="A16192">
        <v>18373</v>
      </c>
      <c r="B16192" t="s">
        <v>3035</v>
      </c>
      <c r="C16192">
        <v>388</v>
      </c>
      <c r="D16192">
        <v>439</v>
      </c>
      <c r="E16192">
        <v>628650</v>
      </c>
      <c r="F16192">
        <v>1522</v>
      </c>
      <c r="G16192">
        <v>0</v>
      </c>
      <c r="H16192" t="s">
        <v>21029</v>
      </c>
      <c r="I16192">
        <v>18373</v>
      </c>
      <c r="J16192" t="str">
        <f>VLOOKUP(E16192,DSSpieler!A:B,2,FALSE)</f>
        <v>hedoth</v>
      </c>
    </row>
    <row r="16193" spans="1:10" x14ac:dyDescent="0.25">
      <c r="A16193">
        <v>18374</v>
      </c>
      <c r="B16193" t="s">
        <v>531</v>
      </c>
      <c r="C16193">
        <v>456</v>
      </c>
      <c r="D16193">
        <v>429</v>
      </c>
      <c r="E16193">
        <v>0</v>
      </c>
      <c r="F16193">
        <v>27</v>
      </c>
      <c r="G16193">
        <v>0</v>
      </c>
      <c r="H16193" t="s">
        <v>21030</v>
      </c>
      <c r="I16193">
        <v>18374</v>
      </c>
      <c r="J16193" t="e">
        <f>VLOOKUP(E16193,DSSpieler!A:B,2,FALSE)</f>
        <v>#N/A</v>
      </c>
    </row>
    <row r="16194" spans="1:10" x14ac:dyDescent="0.25">
      <c r="A16194">
        <v>18375</v>
      </c>
      <c r="B16194" t="s">
        <v>35633</v>
      </c>
      <c r="C16194">
        <v>608</v>
      </c>
      <c r="D16194">
        <v>573</v>
      </c>
      <c r="E16194">
        <v>1577206528</v>
      </c>
      <c r="F16194">
        <v>367</v>
      </c>
      <c r="G16194">
        <v>0</v>
      </c>
      <c r="H16194" t="s">
        <v>21031</v>
      </c>
      <c r="I16194">
        <v>18375</v>
      </c>
      <c r="J16194" t="str">
        <f>VLOOKUP(E16194,DSSpieler!A:B,2,FALSE)</f>
        <v>Kamiera</v>
      </c>
    </row>
    <row r="16195" spans="1:10" x14ac:dyDescent="0.25">
      <c r="A16195">
        <v>18376</v>
      </c>
      <c r="B16195" t="s">
        <v>531</v>
      </c>
      <c r="C16195">
        <v>415</v>
      </c>
      <c r="D16195">
        <v>402</v>
      </c>
      <c r="E16195">
        <v>0</v>
      </c>
      <c r="F16195">
        <v>50</v>
      </c>
      <c r="G16195">
        <v>0</v>
      </c>
      <c r="H16195" t="s">
        <v>21032</v>
      </c>
      <c r="I16195">
        <v>18376</v>
      </c>
      <c r="J16195" t="e">
        <f>VLOOKUP(E16195,DSSpieler!A:B,2,FALSE)</f>
        <v>#N/A</v>
      </c>
    </row>
    <row r="16196" spans="1:10" x14ac:dyDescent="0.25">
      <c r="A16196">
        <v>18377</v>
      </c>
      <c r="B16196" t="s">
        <v>3036</v>
      </c>
      <c r="C16196">
        <v>372</v>
      </c>
      <c r="D16196">
        <v>476</v>
      </c>
      <c r="E16196">
        <v>1577131389</v>
      </c>
      <c r="F16196">
        <v>1508</v>
      </c>
      <c r="G16196">
        <v>0</v>
      </c>
      <c r="H16196" t="s">
        <v>21033</v>
      </c>
      <c r="I16196">
        <v>18377</v>
      </c>
      <c r="J16196" t="str">
        <f>VLOOKUP(E16196,DSSpieler!A:B,2,FALSE)</f>
        <v>dome17</v>
      </c>
    </row>
    <row r="16197" spans="1:10" x14ac:dyDescent="0.25">
      <c r="A16197">
        <v>18378</v>
      </c>
      <c r="B16197" t="s">
        <v>3037</v>
      </c>
      <c r="C16197">
        <v>597</v>
      </c>
      <c r="D16197">
        <v>421</v>
      </c>
      <c r="E16197">
        <v>8717899</v>
      </c>
      <c r="F16197">
        <v>96</v>
      </c>
      <c r="G16197">
        <v>0</v>
      </c>
      <c r="H16197" t="s">
        <v>21034</v>
      </c>
      <c r="I16197">
        <v>18378</v>
      </c>
      <c r="J16197" t="str">
        <f>VLOOKUP(E16197,DSSpieler!A:B,2,FALSE)</f>
        <v>deleator</v>
      </c>
    </row>
    <row r="16198" spans="1:10" x14ac:dyDescent="0.25">
      <c r="A16198">
        <v>18379</v>
      </c>
      <c r="B16198" t="s">
        <v>35634</v>
      </c>
      <c r="C16198">
        <v>608</v>
      </c>
      <c r="D16198">
        <v>564</v>
      </c>
      <c r="E16198">
        <v>9182327</v>
      </c>
      <c r="F16198">
        <v>834</v>
      </c>
      <c r="G16198">
        <v>0</v>
      </c>
      <c r="H16198" t="s">
        <v>21035</v>
      </c>
      <c r="I16198">
        <v>18379</v>
      </c>
      <c r="J16198" t="str">
        <f>VLOOKUP(E16198,DSSpieler!A:B,2,FALSE)</f>
        <v>Zerstörer 1993</v>
      </c>
    </row>
    <row r="16199" spans="1:10" x14ac:dyDescent="0.25">
      <c r="A16199">
        <v>18380</v>
      </c>
      <c r="B16199" t="s">
        <v>531</v>
      </c>
      <c r="C16199">
        <v>619</v>
      </c>
      <c r="D16199">
        <v>456</v>
      </c>
      <c r="E16199">
        <v>0</v>
      </c>
      <c r="F16199">
        <v>131</v>
      </c>
      <c r="G16199">
        <v>0</v>
      </c>
      <c r="H16199" t="s">
        <v>21036</v>
      </c>
      <c r="I16199">
        <v>18380</v>
      </c>
      <c r="J16199" t="e">
        <f>VLOOKUP(E16199,DSSpieler!A:B,2,FALSE)</f>
        <v>#N/A</v>
      </c>
    </row>
    <row r="16200" spans="1:10" x14ac:dyDescent="0.25">
      <c r="A16200">
        <v>18381</v>
      </c>
      <c r="B16200" t="s">
        <v>3038</v>
      </c>
      <c r="C16200">
        <v>545</v>
      </c>
      <c r="D16200">
        <v>382</v>
      </c>
      <c r="E16200">
        <v>1577206554</v>
      </c>
      <c r="F16200">
        <v>924</v>
      </c>
      <c r="G16200">
        <v>0</v>
      </c>
      <c r="H16200" t="s">
        <v>21037</v>
      </c>
      <c r="I16200">
        <v>18381</v>
      </c>
      <c r="J16200" t="str">
        <f>VLOOKUP(E16200,DSSpieler!A:B,2,FALSE)</f>
        <v>SpeedmaxCFSLX</v>
      </c>
    </row>
    <row r="16201" spans="1:10" x14ac:dyDescent="0.25">
      <c r="A16201">
        <v>18383</v>
      </c>
      <c r="B16201" t="s">
        <v>3039</v>
      </c>
      <c r="C16201">
        <v>628</v>
      </c>
      <c r="D16201">
        <v>510</v>
      </c>
      <c r="E16201">
        <v>1577176984</v>
      </c>
      <c r="F16201">
        <v>28</v>
      </c>
      <c r="G16201">
        <v>0</v>
      </c>
      <c r="H16201" t="s">
        <v>21038</v>
      </c>
      <c r="I16201">
        <v>18383</v>
      </c>
      <c r="J16201" t="str">
        <f>VLOOKUP(E16201,DSSpieler!A:B,2,FALSE)</f>
        <v>1SAO1 Kirito</v>
      </c>
    </row>
    <row r="16202" spans="1:10" x14ac:dyDescent="0.25">
      <c r="A16202">
        <v>18384</v>
      </c>
      <c r="B16202" t="s">
        <v>3040</v>
      </c>
      <c r="C16202">
        <v>466</v>
      </c>
      <c r="D16202">
        <v>615</v>
      </c>
      <c r="E16202">
        <v>1577173788</v>
      </c>
      <c r="F16202">
        <v>963</v>
      </c>
      <c r="G16202">
        <v>0</v>
      </c>
      <c r="H16202" t="s">
        <v>21039</v>
      </c>
      <c r="I16202">
        <v>18384</v>
      </c>
      <c r="J16202" t="str">
        <f>VLOOKUP(E16202,DSSpieler!A:B,2,FALSE)</f>
        <v>Schnuppe</v>
      </c>
    </row>
    <row r="16203" spans="1:10" x14ac:dyDescent="0.25">
      <c r="A16203">
        <v>18386</v>
      </c>
      <c r="B16203" t="s">
        <v>3041</v>
      </c>
      <c r="C16203">
        <v>424</v>
      </c>
      <c r="D16203">
        <v>400</v>
      </c>
      <c r="E16203">
        <v>1576751047</v>
      </c>
      <c r="F16203">
        <v>1112</v>
      </c>
      <c r="G16203">
        <v>0</v>
      </c>
      <c r="H16203" t="s">
        <v>21040</v>
      </c>
      <c r="I16203">
        <v>18386</v>
      </c>
      <c r="J16203" t="str">
        <f>VLOOKUP(E16203,DSSpieler!A:B,2,FALSE)</f>
        <v>suchtymf</v>
      </c>
    </row>
    <row r="16204" spans="1:10" x14ac:dyDescent="0.25">
      <c r="A16204">
        <v>18387</v>
      </c>
      <c r="B16204" t="s">
        <v>531</v>
      </c>
      <c r="C16204">
        <v>429</v>
      </c>
      <c r="D16204">
        <v>527</v>
      </c>
      <c r="E16204">
        <v>0</v>
      </c>
      <c r="F16204">
        <v>51</v>
      </c>
      <c r="G16204">
        <v>0</v>
      </c>
      <c r="H16204" t="s">
        <v>21041</v>
      </c>
      <c r="I16204">
        <v>18387</v>
      </c>
      <c r="J16204" t="e">
        <f>VLOOKUP(E16204,DSSpieler!A:B,2,FALSE)</f>
        <v>#N/A</v>
      </c>
    </row>
    <row r="16205" spans="1:10" x14ac:dyDescent="0.25">
      <c r="A16205">
        <v>18388</v>
      </c>
      <c r="B16205" t="s">
        <v>531</v>
      </c>
      <c r="C16205">
        <v>544</v>
      </c>
      <c r="D16205">
        <v>379</v>
      </c>
      <c r="E16205">
        <v>0</v>
      </c>
      <c r="F16205">
        <v>126</v>
      </c>
      <c r="G16205">
        <v>0</v>
      </c>
      <c r="H16205" t="s">
        <v>21042</v>
      </c>
      <c r="I16205">
        <v>18388</v>
      </c>
      <c r="J16205" t="e">
        <f>VLOOKUP(E16205,DSSpieler!A:B,2,FALSE)</f>
        <v>#N/A</v>
      </c>
    </row>
    <row r="16206" spans="1:10" x14ac:dyDescent="0.25">
      <c r="A16206">
        <v>18389</v>
      </c>
      <c r="B16206" t="s">
        <v>531</v>
      </c>
      <c r="C16206">
        <v>623</v>
      </c>
      <c r="D16206">
        <v>535</v>
      </c>
      <c r="E16206">
        <v>0</v>
      </c>
      <c r="F16206">
        <v>72</v>
      </c>
      <c r="G16206">
        <v>0</v>
      </c>
      <c r="H16206" t="s">
        <v>21043</v>
      </c>
      <c r="I16206">
        <v>18389</v>
      </c>
      <c r="J16206" t="e">
        <f>VLOOKUP(E16206,DSSpieler!A:B,2,FALSE)</f>
        <v>#N/A</v>
      </c>
    </row>
    <row r="16207" spans="1:10" x14ac:dyDescent="0.25">
      <c r="A16207">
        <v>18390</v>
      </c>
      <c r="B16207" t="s">
        <v>3042</v>
      </c>
      <c r="C16207">
        <v>434</v>
      </c>
      <c r="D16207">
        <v>391</v>
      </c>
      <c r="E16207">
        <v>174101</v>
      </c>
      <c r="F16207">
        <v>70</v>
      </c>
      <c r="G16207">
        <v>0</v>
      </c>
      <c r="H16207" t="s">
        <v>21044</v>
      </c>
      <c r="I16207">
        <v>18390</v>
      </c>
      <c r="J16207" t="str">
        <f>VLOOKUP(E16207,DSSpieler!A:B,2,FALSE)</f>
        <v>sambor</v>
      </c>
    </row>
    <row r="16208" spans="1:10" x14ac:dyDescent="0.25">
      <c r="A16208">
        <v>18391</v>
      </c>
      <c r="B16208" t="s">
        <v>3043</v>
      </c>
      <c r="C16208">
        <v>468</v>
      </c>
      <c r="D16208">
        <v>624</v>
      </c>
      <c r="E16208">
        <v>1576985899</v>
      </c>
      <c r="F16208">
        <v>44</v>
      </c>
      <c r="G16208">
        <v>0</v>
      </c>
      <c r="H16208" t="s">
        <v>21045</v>
      </c>
      <c r="I16208">
        <v>18391</v>
      </c>
      <c r="J16208" t="str">
        <f>VLOOKUP(E16208,DSSpieler!A:B,2,FALSE)</f>
        <v>Real%C3%96P</v>
      </c>
    </row>
    <row r="16209" spans="1:10" x14ac:dyDescent="0.25">
      <c r="A16209">
        <v>18393</v>
      </c>
      <c r="B16209" t="s">
        <v>531</v>
      </c>
      <c r="C16209">
        <v>375</v>
      </c>
      <c r="D16209">
        <v>513</v>
      </c>
      <c r="E16209">
        <v>0</v>
      </c>
      <c r="F16209">
        <v>26</v>
      </c>
      <c r="G16209">
        <v>0</v>
      </c>
      <c r="H16209" t="s">
        <v>21046</v>
      </c>
      <c r="I16209">
        <v>18393</v>
      </c>
      <c r="J16209" t="e">
        <f>VLOOKUP(E16209,DSSpieler!A:B,2,FALSE)</f>
        <v>#N/A</v>
      </c>
    </row>
    <row r="16210" spans="1:10" x14ac:dyDescent="0.25">
      <c r="A16210">
        <v>18394</v>
      </c>
      <c r="B16210" t="s">
        <v>3044</v>
      </c>
      <c r="C16210">
        <v>378</v>
      </c>
      <c r="D16210">
        <v>489</v>
      </c>
      <c r="E16210">
        <v>9705270</v>
      </c>
      <c r="F16210">
        <v>1553</v>
      </c>
      <c r="G16210">
        <v>0</v>
      </c>
      <c r="H16210" t="s">
        <v>21047</v>
      </c>
      <c r="I16210">
        <v>18394</v>
      </c>
      <c r="J16210" t="str">
        <f>VLOOKUP(E16210,DSSpieler!A:B,2,FALSE)</f>
        <v>iTheIntex</v>
      </c>
    </row>
    <row r="16211" spans="1:10" x14ac:dyDescent="0.25">
      <c r="A16211">
        <v>18395</v>
      </c>
      <c r="B16211" t="s">
        <v>3045</v>
      </c>
      <c r="C16211">
        <v>399</v>
      </c>
      <c r="D16211">
        <v>577</v>
      </c>
      <c r="E16211">
        <v>1576853110</v>
      </c>
      <c r="F16211">
        <v>178</v>
      </c>
      <c r="G16211">
        <v>0</v>
      </c>
      <c r="H16211" t="s">
        <v>21048</v>
      </c>
      <c r="I16211">
        <v>18395</v>
      </c>
      <c r="J16211" t="str">
        <f>VLOOKUP(E16211,DSSpieler!A:B,2,FALSE)</f>
        <v>Lorien</v>
      </c>
    </row>
    <row r="16212" spans="1:10" x14ac:dyDescent="0.25">
      <c r="A16212">
        <v>18396</v>
      </c>
      <c r="B16212" t="s">
        <v>3046</v>
      </c>
      <c r="C16212">
        <v>481</v>
      </c>
      <c r="D16212">
        <v>370</v>
      </c>
      <c r="E16212">
        <v>1577122740</v>
      </c>
      <c r="F16212">
        <v>460</v>
      </c>
      <c r="G16212">
        <v>0</v>
      </c>
      <c r="H16212" t="s">
        <v>21049</v>
      </c>
      <c r="I16212">
        <v>18396</v>
      </c>
      <c r="J16212" t="str">
        <f>VLOOKUP(E16212,DSSpieler!A:B,2,FALSE)</f>
        <v>BluesRock</v>
      </c>
    </row>
    <row r="16213" spans="1:10" x14ac:dyDescent="0.25">
      <c r="A16213">
        <v>18397</v>
      </c>
      <c r="B16213" t="s">
        <v>3047</v>
      </c>
      <c r="C16213">
        <v>406</v>
      </c>
      <c r="D16213">
        <v>411</v>
      </c>
      <c r="E16213">
        <v>9689431</v>
      </c>
      <c r="F16213">
        <v>141</v>
      </c>
      <c r="G16213">
        <v>0</v>
      </c>
      <c r="H16213" t="s">
        <v>21050</v>
      </c>
      <c r="I16213">
        <v>18397</v>
      </c>
      <c r="J16213" t="str">
        <f>VLOOKUP(E16213,DSSpieler!A:B,2,FALSE)</f>
        <v>fritzerich</v>
      </c>
    </row>
    <row r="16214" spans="1:10" x14ac:dyDescent="0.25">
      <c r="A16214">
        <v>18398</v>
      </c>
      <c r="B16214" t="s">
        <v>3048</v>
      </c>
      <c r="C16214">
        <v>574</v>
      </c>
      <c r="D16214">
        <v>597</v>
      </c>
      <c r="E16214">
        <v>9952287</v>
      </c>
      <c r="F16214">
        <v>2254</v>
      </c>
      <c r="G16214">
        <v>0</v>
      </c>
      <c r="H16214" t="s">
        <v>21051</v>
      </c>
      <c r="I16214">
        <v>18398</v>
      </c>
      <c r="J16214" t="str">
        <f>VLOOKUP(E16214,DSSpieler!A:B,2,FALSE)</f>
        <v>Ricardinho 2.0</v>
      </c>
    </row>
    <row r="16215" spans="1:10" x14ac:dyDescent="0.25">
      <c r="A16215">
        <v>18403</v>
      </c>
      <c r="B16215" t="s">
        <v>3049</v>
      </c>
      <c r="C16215">
        <v>537</v>
      </c>
      <c r="D16215">
        <v>373</v>
      </c>
      <c r="E16215">
        <v>1576311709</v>
      </c>
      <c r="F16215">
        <v>1537</v>
      </c>
      <c r="G16215">
        <v>0</v>
      </c>
      <c r="H16215" t="s">
        <v>21052</v>
      </c>
      <c r="I16215">
        <v>18403</v>
      </c>
      <c r="J16215" t="str">
        <f>VLOOKUP(E16215,DSSpieler!A:B,2,FALSE)</f>
        <v>shrdd</v>
      </c>
    </row>
    <row r="16216" spans="1:10" x14ac:dyDescent="0.25">
      <c r="A16216">
        <v>18404</v>
      </c>
      <c r="B16216" t="s">
        <v>531</v>
      </c>
      <c r="C16216">
        <v>377</v>
      </c>
      <c r="D16216">
        <v>455</v>
      </c>
      <c r="E16216">
        <v>0</v>
      </c>
      <c r="F16216">
        <v>27</v>
      </c>
      <c r="G16216">
        <v>0</v>
      </c>
      <c r="H16216" t="s">
        <v>21053</v>
      </c>
      <c r="I16216">
        <v>18404</v>
      </c>
      <c r="J16216" t="e">
        <f>VLOOKUP(E16216,DSSpieler!A:B,2,FALSE)</f>
        <v>#N/A</v>
      </c>
    </row>
    <row r="16217" spans="1:10" x14ac:dyDescent="0.25">
      <c r="A16217">
        <v>18405</v>
      </c>
      <c r="B16217" t="s">
        <v>531</v>
      </c>
      <c r="C16217">
        <v>375</v>
      </c>
      <c r="D16217">
        <v>535</v>
      </c>
      <c r="E16217">
        <v>0</v>
      </c>
      <c r="F16217">
        <v>101</v>
      </c>
      <c r="G16217">
        <v>0</v>
      </c>
      <c r="H16217" t="s">
        <v>21054</v>
      </c>
      <c r="I16217">
        <v>18405</v>
      </c>
      <c r="J16217" t="e">
        <f>VLOOKUP(E16217,DSSpieler!A:B,2,FALSE)</f>
        <v>#N/A</v>
      </c>
    </row>
    <row r="16218" spans="1:10" x14ac:dyDescent="0.25">
      <c r="A16218">
        <v>18406</v>
      </c>
      <c r="B16218" t="s">
        <v>35635</v>
      </c>
      <c r="C16218">
        <v>371</v>
      </c>
      <c r="D16218">
        <v>508</v>
      </c>
      <c r="E16218">
        <v>1577077812</v>
      </c>
      <c r="F16218">
        <v>1354</v>
      </c>
      <c r="G16218">
        <v>0</v>
      </c>
      <c r="H16218" t="s">
        <v>21055</v>
      </c>
      <c r="I16218">
        <v>18406</v>
      </c>
      <c r="J16218" t="str">
        <f>VLOOKUP(E16218,DSSpieler!A:B,2,FALSE)</f>
        <v>DarkForce9955</v>
      </c>
    </row>
    <row r="16219" spans="1:10" x14ac:dyDescent="0.25">
      <c r="A16219">
        <v>18409</v>
      </c>
      <c r="B16219" t="s">
        <v>3050</v>
      </c>
      <c r="C16219">
        <v>620</v>
      </c>
      <c r="D16219">
        <v>452</v>
      </c>
      <c r="E16219">
        <v>7991434</v>
      </c>
      <c r="F16219">
        <v>2043</v>
      </c>
      <c r="G16219">
        <v>0</v>
      </c>
      <c r="H16219" t="s">
        <v>21056</v>
      </c>
      <c r="I16219">
        <v>18409</v>
      </c>
      <c r="J16219" t="str">
        <f>VLOOKUP(E16219,DSSpieler!A:B,2,FALSE)</f>
        <v>Scherzer7</v>
      </c>
    </row>
    <row r="16220" spans="1:10" x14ac:dyDescent="0.25">
      <c r="A16220">
        <v>18410</v>
      </c>
      <c r="B16220" t="s">
        <v>3051</v>
      </c>
      <c r="C16220">
        <v>422</v>
      </c>
      <c r="D16220">
        <v>439</v>
      </c>
      <c r="E16220">
        <v>9289216</v>
      </c>
      <c r="F16220">
        <v>752</v>
      </c>
      <c r="G16220">
        <v>0</v>
      </c>
      <c r="H16220" t="s">
        <v>21057</v>
      </c>
      <c r="I16220">
        <v>18410</v>
      </c>
      <c r="J16220" t="str">
        <f>VLOOKUP(E16220,DSSpieler!A:B,2,FALSE)</f>
        <v>Lalutscha</v>
      </c>
    </row>
    <row r="16221" spans="1:10" x14ac:dyDescent="0.25">
      <c r="A16221">
        <v>18411</v>
      </c>
      <c r="B16221" t="s">
        <v>531</v>
      </c>
      <c r="C16221">
        <v>568</v>
      </c>
      <c r="D16221">
        <v>610</v>
      </c>
      <c r="E16221">
        <v>0</v>
      </c>
      <c r="F16221">
        <v>80</v>
      </c>
      <c r="G16221">
        <v>0</v>
      </c>
      <c r="H16221" t="s">
        <v>21058</v>
      </c>
      <c r="I16221">
        <v>18411</v>
      </c>
      <c r="J16221" t="e">
        <f>VLOOKUP(E16221,DSSpieler!A:B,2,FALSE)</f>
        <v>#N/A</v>
      </c>
    </row>
    <row r="16222" spans="1:10" x14ac:dyDescent="0.25">
      <c r="A16222">
        <v>18413</v>
      </c>
      <c r="B16222" t="s">
        <v>3052</v>
      </c>
      <c r="C16222">
        <v>565</v>
      </c>
      <c r="D16222">
        <v>576</v>
      </c>
      <c r="E16222">
        <v>1576161820</v>
      </c>
      <c r="F16222">
        <v>1263</v>
      </c>
      <c r="G16222">
        <v>0</v>
      </c>
      <c r="H16222" t="s">
        <v>21059</v>
      </c>
      <c r="I16222">
        <v>18413</v>
      </c>
      <c r="J16222" t="str">
        <f>VLOOKUP(E16222,DSSpieler!A:B,2,FALSE)</f>
        <v>Eisfuchs</v>
      </c>
    </row>
    <row r="16223" spans="1:10" x14ac:dyDescent="0.25">
      <c r="A16223">
        <v>18415</v>
      </c>
      <c r="B16223" t="s">
        <v>531</v>
      </c>
      <c r="C16223">
        <v>376</v>
      </c>
      <c r="D16223">
        <v>461</v>
      </c>
      <c r="E16223">
        <v>0</v>
      </c>
      <c r="F16223">
        <v>32</v>
      </c>
      <c r="G16223">
        <v>0</v>
      </c>
      <c r="H16223" t="s">
        <v>21060</v>
      </c>
      <c r="I16223">
        <v>18415</v>
      </c>
      <c r="J16223" t="e">
        <f>VLOOKUP(E16223,DSSpieler!A:B,2,FALSE)</f>
        <v>#N/A</v>
      </c>
    </row>
    <row r="16224" spans="1:10" x14ac:dyDescent="0.25">
      <c r="A16224">
        <v>18416</v>
      </c>
      <c r="B16224" t="s">
        <v>531</v>
      </c>
      <c r="C16224">
        <v>406</v>
      </c>
      <c r="D16224">
        <v>414</v>
      </c>
      <c r="E16224">
        <v>0</v>
      </c>
      <c r="F16224">
        <v>34</v>
      </c>
      <c r="G16224">
        <v>0</v>
      </c>
      <c r="H16224" t="s">
        <v>21061</v>
      </c>
      <c r="I16224">
        <v>18416</v>
      </c>
      <c r="J16224" t="e">
        <f>VLOOKUP(E16224,DSSpieler!A:B,2,FALSE)</f>
        <v>#N/A</v>
      </c>
    </row>
    <row r="16225" spans="1:10" x14ac:dyDescent="0.25">
      <c r="A16225">
        <v>18417</v>
      </c>
      <c r="B16225" t="s">
        <v>1093</v>
      </c>
      <c r="C16225">
        <v>620</v>
      </c>
      <c r="D16225">
        <v>563</v>
      </c>
      <c r="E16225">
        <v>1576919878</v>
      </c>
      <c r="F16225">
        <v>1373</v>
      </c>
      <c r="G16225">
        <v>0</v>
      </c>
      <c r="H16225" t="s">
        <v>21062</v>
      </c>
      <c r="I16225">
        <v>18417</v>
      </c>
      <c r="J16225" t="str">
        <f>VLOOKUP(E16225,DSSpieler!A:B,2,FALSE)</f>
        <v>jimmy9797</v>
      </c>
    </row>
    <row r="16226" spans="1:10" x14ac:dyDescent="0.25">
      <c r="A16226">
        <v>18418</v>
      </c>
      <c r="B16226" t="s">
        <v>3053</v>
      </c>
      <c r="C16226">
        <v>546</v>
      </c>
      <c r="D16226">
        <v>377</v>
      </c>
      <c r="E16226">
        <v>1576997488</v>
      </c>
      <c r="F16226">
        <v>1276</v>
      </c>
      <c r="G16226">
        <v>0</v>
      </c>
      <c r="H16226" t="s">
        <v>21063</v>
      </c>
      <c r="I16226">
        <v>18418</v>
      </c>
      <c r="J16226" t="str">
        <f>VLOOKUP(E16226,DSSpieler!A:B,2,FALSE)</f>
        <v>alois4</v>
      </c>
    </row>
    <row r="16227" spans="1:10" x14ac:dyDescent="0.25">
      <c r="A16227">
        <v>18419</v>
      </c>
      <c r="B16227" t="s">
        <v>3054</v>
      </c>
      <c r="C16227">
        <v>526</v>
      </c>
      <c r="D16227">
        <v>371</v>
      </c>
      <c r="E16227">
        <v>1576674301</v>
      </c>
      <c r="F16227">
        <v>373</v>
      </c>
      <c r="G16227">
        <v>0</v>
      </c>
      <c r="H16227" t="s">
        <v>21064</v>
      </c>
      <c r="I16227">
        <v>18419</v>
      </c>
      <c r="J16227" t="str">
        <f>VLOOKUP(E16227,DSSpieler!A:B,2,FALSE)</f>
        <v>Be2Hero77</v>
      </c>
    </row>
    <row r="16228" spans="1:10" x14ac:dyDescent="0.25">
      <c r="A16228">
        <v>18420</v>
      </c>
      <c r="B16228" t="s">
        <v>3055</v>
      </c>
      <c r="C16228">
        <v>381</v>
      </c>
      <c r="D16228">
        <v>452</v>
      </c>
      <c r="E16228">
        <v>9869957</v>
      </c>
      <c r="F16228">
        <v>559</v>
      </c>
      <c r="G16228">
        <v>0</v>
      </c>
      <c r="H16228" t="s">
        <v>21065</v>
      </c>
      <c r="I16228">
        <v>18420</v>
      </c>
      <c r="J16228" t="str">
        <f>VLOOKUP(E16228,DSSpieler!A:B,2,FALSE)</f>
        <v>RTMG2</v>
      </c>
    </row>
    <row r="16229" spans="1:10" x14ac:dyDescent="0.25">
      <c r="A16229">
        <v>18421</v>
      </c>
      <c r="B16229" t="s">
        <v>3056</v>
      </c>
      <c r="C16229">
        <v>484</v>
      </c>
      <c r="D16229">
        <v>394</v>
      </c>
      <c r="E16229">
        <v>1576958271</v>
      </c>
      <c r="F16229">
        <v>772</v>
      </c>
      <c r="G16229">
        <v>0</v>
      </c>
      <c r="H16229" t="s">
        <v>21066</v>
      </c>
      <c r="I16229">
        <v>18421</v>
      </c>
      <c r="J16229" t="str">
        <f>VLOOKUP(E16229,DSSpieler!A:B,2,FALSE)</f>
        <v>jogro00</v>
      </c>
    </row>
    <row r="16230" spans="1:10" x14ac:dyDescent="0.25">
      <c r="A16230">
        <v>18422</v>
      </c>
      <c r="B16230" t="s">
        <v>531</v>
      </c>
      <c r="C16230">
        <v>374</v>
      </c>
      <c r="D16230">
        <v>536</v>
      </c>
      <c r="E16230">
        <v>0</v>
      </c>
      <c r="F16230">
        <v>137</v>
      </c>
      <c r="G16230">
        <v>0</v>
      </c>
      <c r="H16230" t="s">
        <v>21067</v>
      </c>
      <c r="I16230">
        <v>18422</v>
      </c>
      <c r="J16230" t="e">
        <f>VLOOKUP(E16230,DSSpieler!A:B,2,FALSE)</f>
        <v>#N/A</v>
      </c>
    </row>
    <row r="16231" spans="1:10" x14ac:dyDescent="0.25">
      <c r="A16231">
        <v>18423</v>
      </c>
      <c r="B16231" t="s">
        <v>3057</v>
      </c>
      <c r="C16231">
        <v>376</v>
      </c>
      <c r="D16231">
        <v>516</v>
      </c>
      <c r="E16231">
        <v>1576974479</v>
      </c>
      <c r="F16231">
        <v>1079</v>
      </c>
      <c r="G16231">
        <v>0</v>
      </c>
      <c r="H16231" t="s">
        <v>21068</v>
      </c>
      <c r="I16231">
        <v>18423</v>
      </c>
      <c r="J16231" t="str">
        <f>VLOOKUP(E16231,DSSpieler!A:B,2,FALSE)</f>
        <v>TheSinister33</v>
      </c>
    </row>
    <row r="16232" spans="1:10" x14ac:dyDescent="0.25">
      <c r="A16232">
        <v>18424</v>
      </c>
      <c r="B16232" t="s">
        <v>531</v>
      </c>
      <c r="C16232">
        <v>613</v>
      </c>
      <c r="D16232">
        <v>563</v>
      </c>
      <c r="E16232">
        <v>0</v>
      </c>
      <c r="F16232">
        <v>679</v>
      </c>
      <c r="G16232">
        <v>0</v>
      </c>
      <c r="H16232" t="s">
        <v>21069</v>
      </c>
      <c r="I16232">
        <v>18424</v>
      </c>
      <c r="J16232" t="e">
        <f>VLOOKUP(E16232,DSSpieler!A:B,2,FALSE)</f>
        <v>#N/A</v>
      </c>
    </row>
    <row r="16233" spans="1:10" x14ac:dyDescent="0.25">
      <c r="A16233">
        <v>18425</v>
      </c>
      <c r="B16233" t="s">
        <v>3058</v>
      </c>
      <c r="C16233">
        <v>536</v>
      </c>
      <c r="D16233">
        <v>505</v>
      </c>
      <c r="E16233">
        <v>902658</v>
      </c>
      <c r="F16233">
        <v>760</v>
      </c>
      <c r="G16233">
        <v>0</v>
      </c>
      <c r="H16233" t="s">
        <v>21070</v>
      </c>
      <c r="I16233">
        <v>18425</v>
      </c>
      <c r="J16233" t="str">
        <f>VLOOKUP(E16233,DSSpieler!A:B,2,FALSE)</f>
        <v>jeannedarc49</v>
      </c>
    </row>
    <row r="16234" spans="1:10" x14ac:dyDescent="0.25">
      <c r="A16234">
        <v>18426</v>
      </c>
      <c r="B16234" t="s">
        <v>531</v>
      </c>
      <c r="C16234">
        <v>371</v>
      </c>
      <c r="D16234">
        <v>505</v>
      </c>
      <c r="E16234">
        <v>0</v>
      </c>
      <c r="F16234">
        <v>681</v>
      </c>
      <c r="G16234">
        <v>0</v>
      </c>
      <c r="H16234" t="s">
        <v>21071</v>
      </c>
      <c r="I16234">
        <v>18426</v>
      </c>
      <c r="J16234" t="e">
        <f>VLOOKUP(E16234,DSSpieler!A:B,2,FALSE)</f>
        <v>#N/A</v>
      </c>
    </row>
    <row r="16235" spans="1:10" x14ac:dyDescent="0.25">
      <c r="A16235">
        <v>18427</v>
      </c>
      <c r="B16235" t="s">
        <v>3059</v>
      </c>
      <c r="C16235">
        <v>584</v>
      </c>
      <c r="D16235">
        <v>403</v>
      </c>
      <c r="E16235">
        <v>1577195904</v>
      </c>
      <c r="F16235">
        <v>26</v>
      </c>
      <c r="G16235">
        <v>0</v>
      </c>
      <c r="H16235" t="s">
        <v>21072</v>
      </c>
      <c r="I16235">
        <v>18427</v>
      </c>
      <c r="J16235" t="str">
        <f>VLOOKUP(E16235,DSSpieler!A:B,2,FALSE)</f>
        <v>MRWizZlerzZz</v>
      </c>
    </row>
    <row r="16236" spans="1:10" x14ac:dyDescent="0.25">
      <c r="A16236">
        <v>18428</v>
      </c>
      <c r="B16236" t="s">
        <v>3060</v>
      </c>
      <c r="C16236">
        <v>469</v>
      </c>
      <c r="D16236">
        <v>433</v>
      </c>
      <c r="E16236">
        <v>1577179199</v>
      </c>
      <c r="F16236">
        <v>76</v>
      </c>
      <c r="G16236">
        <v>0</v>
      </c>
      <c r="H16236" t="s">
        <v>21073</v>
      </c>
      <c r="I16236">
        <v>18428</v>
      </c>
      <c r="J16236" t="str">
        <f>VLOOKUP(E16236,DSSpieler!A:B,2,FALSE)</f>
        <v>Locco</v>
      </c>
    </row>
    <row r="16237" spans="1:10" x14ac:dyDescent="0.25">
      <c r="A16237">
        <v>18429</v>
      </c>
      <c r="B16237" t="s">
        <v>531</v>
      </c>
      <c r="C16237">
        <v>498</v>
      </c>
      <c r="D16237">
        <v>371</v>
      </c>
      <c r="E16237">
        <v>0</v>
      </c>
      <c r="F16237">
        <v>123</v>
      </c>
      <c r="G16237">
        <v>0</v>
      </c>
      <c r="H16237" t="s">
        <v>21074</v>
      </c>
      <c r="I16237">
        <v>18429</v>
      </c>
      <c r="J16237" t="e">
        <f>VLOOKUP(E16237,DSSpieler!A:B,2,FALSE)</f>
        <v>#N/A</v>
      </c>
    </row>
    <row r="16238" spans="1:10" x14ac:dyDescent="0.25">
      <c r="A16238">
        <v>18430</v>
      </c>
      <c r="B16238" t="s">
        <v>531</v>
      </c>
      <c r="C16238">
        <v>504</v>
      </c>
      <c r="D16238">
        <v>375</v>
      </c>
      <c r="E16238">
        <v>0</v>
      </c>
      <c r="F16238">
        <v>101</v>
      </c>
      <c r="G16238">
        <v>0</v>
      </c>
      <c r="H16238" t="s">
        <v>21075</v>
      </c>
      <c r="I16238">
        <v>18430</v>
      </c>
      <c r="J16238" t="e">
        <f>VLOOKUP(E16238,DSSpieler!A:B,2,FALSE)</f>
        <v>#N/A</v>
      </c>
    </row>
    <row r="16239" spans="1:10" x14ac:dyDescent="0.25">
      <c r="A16239">
        <v>18431</v>
      </c>
      <c r="B16239" t="s">
        <v>531</v>
      </c>
      <c r="C16239">
        <v>615</v>
      </c>
      <c r="D16239">
        <v>554</v>
      </c>
      <c r="E16239">
        <v>0</v>
      </c>
      <c r="F16239">
        <v>44</v>
      </c>
      <c r="G16239">
        <v>0</v>
      </c>
      <c r="H16239" t="s">
        <v>21076</v>
      </c>
      <c r="I16239">
        <v>18431</v>
      </c>
      <c r="J16239" t="e">
        <f>VLOOKUP(E16239,DSSpieler!A:B,2,FALSE)</f>
        <v>#N/A</v>
      </c>
    </row>
    <row r="16240" spans="1:10" x14ac:dyDescent="0.25">
      <c r="A16240">
        <v>18433</v>
      </c>
      <c r="B16240" t="s">
        <v>3061</v>
      </c>
      <c r="C16240">
        <v>389</v>
      </c>
      <c r="D16240">
        <v>567</v>
      </c>
      <c r="E16240">
        <v>1577198150</v>
      </c>
      <c r="F16240">
        <v>359</v>
      </c>
      <c r="G16240">
        <v>0</v>
      </c>
      <c r="H16240" t="s">
        <v>21077</v>
      </c>
      <c r="I16240">
        <v>18433</v>
      </c>
      <c r="J16240" t="str">
        <f>VLOOKUP(E16240,DSSpieler!A:B,2,FALSE)</f>
        <v>Dreisatz</v>
      </c>
    </row>
    <row r="16241" spans="1:10" x14ac:dyDescent="0.25">
      <c r="A16241">
        <v>18434</v>
      </c>
      <c r="B16241" t="s">
        <v>3062</v>
      </c>
      <c r="C16241">
        <v>414</v>
      </c>
      <c r="D16241">
        <v>592</v>
      </c>
      <c r="E16241">
        <v>9217088</v>
      </c>
      <c r="F16241">
        <v>26</v>
      </c>
      <c r="G16241">
        <v>0</v>
      </c>
      <c r="H16241" t="s">
        <v>21078</v>
      </c>
      <c r="I16241">
        <v>18434</v>
      </c>
      <c r="J16241" t="str">
        <f>VLOOKUP(E16241,DSSpieler!A:B,2,FALSE)</f>
        <v>Lustlose Ponyreiter</v>
      </c>
    </row>
    <row r="16242" spans="1:10" x14ac:dyDescent="0.25">
      <c r="A16242">
        <v>18435</v>
      </c>
      <c r="B16242" t="s">
        <v>3063</v>
      </c>
      <c r="C16242">
        <v>616</v>
      </c>
      <c r="D16242">
        <v>561</v>
      </c>
      <c r="E16242">
        <v>2826656</v>
      </c>
      <c r="F16242">
        <v>160</v>
      </c>
      <c r="G16242">
        <v>0</v>
      </c>
      <c r="H16242" t="s">
        <v>21079</v>
      </c>
      <c r="I16242">
        <v>18435</v>
      </c>
      <c r="J16242" t="str">
        <f>VLOOKUP(E16242,DSSpieler!A:B,2,FALSE)</f>
        <v>gluecklich</v>
      </c>
    </row>
    <row r="16243" spans="1:10" x14ac:dyDescent="0.25">
      <c r="A16243">
        <v>18437</v>
      </c>
      <c r="B16243" t="s">
        <v>531</v>
      </c>
      <c r="C16243">
        <v>381</v>
      </c>
      <c r="D16243">
        <v>445</v>
      </c>
      <c r="E16243">
        <v>0</v>
      </c>
      <c r="F16243">
        <v>108</v>
      </c>
      <c r="G16243">
        <v>0</v>
      </c>
      <c r="H16243" t="s">
        <v>21080</v>
      </c>
      <c r="I16243">
        <v>18437</v>
      </c>
      <c r="J16243" t="e">
        <f>VLOOKUP(E16243,DSSpieler!A:B,2,FALSE)</f>
        <v>#N/A</v>
      </c>
    </row>
    <row r="16244" spans="1:10" x14ac:dyDescent="0.25">
      <c r="A16244">
        <v>18438</v>
      </c>
      <c r="B16244" t="s">
        <v>3064</v>
      </c>
      <c r="C16244">
        <v>621</v>
      </c>
      <c r="D16244">
        <v>546</v>
      </c>
      <c r="E16244">
        <v>1577205811</v>
      </c>
      <c r="F16244">
        <v>210</v>
      </c>
      <c r="G16244">
        <v>0</v>
      </c>
      <c r="H16244" t="s">
        <v>21081</v>
      </c>
      <c r="I16244">
        <v>18438</v>
      </c>
      <c r="J16244" t="str">
        <f>VLOOKUP(E16244,DSSpieler!A:B,2,FALSE)</f>
        <v>Lord0rth</v>
      </c>
    </row>
    <row r="16245" spans="1:10" x14ac:dyDescent="0.25">
      <c r="A16245">
        <v>18439</v>
      </c>
      <c r="B16245" t="s">
        <v>3065</v>
      </c>
      <c r="C16245">
        <v>621</v>
      </c>
      <c r="D16245">
        <v>459</v>
      </c>
      <c r="E16245">
        <v>3325325</v>
      </c>
      <c r="F16245">
        <v>154</v>
      </c>
      <c r="G16245">
        <v>0</v>
      </c>
      <c r="H16245" t="s">
        <v>21082</v>
      </c>
      <c r="I16245">
        <v>18439</v>
      </c>
      <c r="J16245" t="str">
        <f>VLOOKUP(E16245,DSSpieler!A:B,2,FALSE)</f>
        <v>MBFr33</v>
      </c>
    </row>
    <row r="16246" spans="1:10" x14ac:dyDescent="0.25">
      <c r="A16246">
        <v>18440</v>
      </c>
      <c r="B16246" t="s">
        <v>3066</v>
      </c>
      <c r="C16246">
        <v>432</v>
      </c>
      <c r="D16246">
        <v>611</v>
      </c>
      <c r="E16246">
        <v>8886056</v>
      </c>
      <c r="F16246">
        <v>26</v>
      </c>
      <c r="G16246">
        <v>0</v>
      </c>
      <c r="H16246" t="s">
        <v>21083</v>
      </c>
      <c r="I16246">
        <v>18440</v>
      </c>
      <c r="J16246" t="str">
        <f>VLOOKUP(E16246,DSSpieler!A:B,2,FALSE)</f>
        <v>Verros</v>
      </c>
    </row>
    <row r="16247" spans="1:10" x14ac:dyDescent="0.25">
      <c r="A16247">
        <v>18441</v>
      </c>
      <c r="B16247" t="s">
        <v>531</v>
      </c>
      <c r="C16247">
        <v>474</v>
      </c>
      <c r="D16247">
        <v>623</v>
      </c>
      <c r="E16247">
        <v>0</v>
      </c>
      <c r="F16247">
        <v>107</v>
      </c>
      <c r="G16247">
        <v>0</v>
      </c>
      <c r="H16247" t="s">
        <v>21084</v>
      </c>
      <c r="I16247">
        <v>18441</v>
      </c>
      <c r="J16247" t="e">
        <f>VLOOKUP(E16247,DSSpieler!A:B,2,FALSE)</f>
        <v>#N/A</v>
      </c>
    </row>
    <row r="16248" spans="1:10" x14ac:dyDescent="0.25">
      <c r="A16248">
        <v>18445</v>
      </c>
      <c r="B16248" t="s">
        <v>531</v>
      </c>
      <c r="C16248">
        <v>404</v>
      </c>
      <c r="D16248">
        <v>411</v>
      </c>
      <c r="E16248">
        <v>0</v>
      </c>
      <c r="F16248">
        <v>26</v>
      </c>
      <c r="G16248">
        <v>0</v>
      </c>
      <c r="H16248" t="s">
        <v>21085</v>
      </c>
      <c r="I16248">
        <v>18445</v>
      </c>
      <c r="J16248" t="e">
        <f>VLOOKUP(E16248,DSSpieler!A:B,2,FALSE)</f>
        <v>#N/A</v>
      </c>
    </row>
    <row r="16249" spans="1:10" x14ac:dyDescent="0.25">
      <c r="A16249">
        <v>18447</v>
      </c>
      <c r="B16249" t="s">
        <v>531</v>
      </c>
      <c r="C16249">
        <v>380</v>
      </c>
      <c r="D16249">
        <v>519</v>
      </c>
      <c r="E16249">
        <v>0</v>
      </c>
      <c r="F16249">
        <v>27</v>
      </c>
      <c r="G16249">
        <v>0</v>
      </c>
      <c r="H16249" t="s">
        <v>21086</v>
      </c>
      <c r="I16249">
        <v>18447</v>
      </c>
      <c r="J16249" t="e">
        <f>VLOOKUP(E16249,DSSpieler!A:B,2,FALSE)</f>
        <v>#N/A</v>
      </c>
    </row>
    <row r="16250" spans="1:10" x14ac:dyDescent="0.25">
      <c r="A16250">
        <v>18448</v>
      </c>
      <c r="B16250" t="s">
        <v>531</v>
      </c>
      <c r="C16250">
        <v>379</v>
      </c>
      <c r="D16250">
        <v>535</v>
      </c>
      <c r="E16250">
        <v>0</v>
      </c>
      <c r="F16250">
        <v>34</v>
      </c>
      <c r="G16250">
        <v>0</v>
      </c>
      <c r="H16250" t="s">
        <v>21087</v>
      </c>
      <c r="I16250">
        <v>18448</v>
      </c>
      <c r="J16250" t="e">
        <f>VLOOKUP(E16250,DSSpieler!A:B,2,FALSE)</f>
        <v>#N/A</v>
      </c>
    </row>
    <row r="16251" spans="1:10" x14ac:dyDescent="0.25">
      <c r="A16251">
        <v>18450</v>
      </c>
      <c r="B16251" t="s">
        <v>3067</v>
      </c>
      <c r="C16251">
        <v>621</v>
      </c>
      <c r="D16251">
        <v>457</v>
      </c>
      <c r="E16251">
        <v>1577185565</v>
      </c>
      <c r="F16251">
        <v>579</v>
      </c>
      <c r="G16251">
        <v>0</v>
      </c>
      <c r="H16251" t="s">
        <v>21088</v>
      </c>
      <c r="I16251">
        <v>18450</v>
      </c>
      <c r="J16251" t="str">
        <f>VLOOKUP(E16251,DSSpieler!A:B,2,FALSE)</f>
        <v>awrick</v>
      </c>
    </row>
    <row r="16252" spans="1:10" x14ac:dyDescent="0.25">
      <c r="A16252">
        <v>18451</v>
      </c>
      <c r="B16252" t="s">
        <v>531</v>
      </c>
      <c r="C16252">
        <v>573</v>
      </c>
      <c r="D16252">
        <v>395</v>
      </c>
      <c r="E16252">
        <v>0</v>
      </c>
      <c r="F16252">
        <v>135</v>
      </c>
      <c r="G16252">
        <v>0</v>
      </c>
      <c r="H16252" t="s">
        <v>21089</v>
      </c>
      <c r="I16252">
        <v>18451</v>
      </c>
      <c r="J16252" t="e">
        <f>VLOOKUP(E16252,DSSpieler!A:B,2,FALSE)</f>
        <v>#N/A</v>
      </c>
    </row>
    <row r="16253" spans="1:10" x14ac:dyDescent="0.25">
      <c r="A16253">
        <v>18452</v>
      </c>
      <c r="B16253" t="s">
        <v>3068</v>
      </c>
      <c r="C16253">
        <v>574</v>
      </c>
      <c r="D16253">
        <v>606</v>
      </c>
      <c r="E16253">
        <v>1577188993</v>
      </c>
      <c r="F16253">
        <v>244</v>
      </c>
      <c r="G16253">
        <v>0</v>
      </c>
      <c r="H16253" t="s">
        <v>21090</v>
      </c>
      <c r="I16253">
        <v>18452</v>
      </c>
      <c r="J16253" t="str">
        <f>VLOOKUP(E16253,DSSpieler!A:B,2,FALSE)</f>
        <v>Ottheinrich1502</v>
      </c>
    </row>
    <row r="16254" spans="1:10" x14ac:dyDescent="0.25">
      <c r="A16254">
        <v>18453</v>
      </c>
      <c r="B16254" t="s">
        <v>531</v>
      </c>
      <c r="C16254">
        <v>609</v>
      </c>
      <c r="D16254">
        <v>428</v>
      </c>
      <c r="E16254">
        <v>0</v>
      </c>
      <c r="F16254">
        <v>78</v>
      </c>
      <c r="G16254">
        <v>0</v>
      </c>
      <c r="H16254" t="s">
        <v>21091</v>
      </c>
      <c r="I16254">
        <v>18453</v>
      </c>
      <c r="J16254" t="e">
        <f>VLOOKUP(E16254,DSSpieler!A:B,2,FALSE)</f>
        <v>#N/A</v>
      </c>
    </row>
    <row r="16255" spans="1:10" x14ac:dyDescent="0.25">
      <c r="A16255">
        <v>18455</v>
      </c>
      <c r="B16255" t="s">
        <v>35636</v>
      </c>
      <c r="C16255">
        <v>572</v>
      </c>
      <c r="D16255">
        <v>390</v>
      </c>
      <c r="E16255">
        <v>10245249</v>
      </c>
      <c r="F16255">
        <v>1160</v>
      </c>
      <c r="G16255">
        <v>0</v>
      </c>
      <c r="H16255" t="s">
        <v>21092</v>
      </c>
      <c r="I16255">
        <v>18455</v>
      </c>
      <c r="J16255" t="str">
        <f>VLOOKUP(E16255,DSSpieler!A:B,2,FALSE)</f>
        <v>kingähh</v>
      </c>
    </row>
    <row r="16256" spans="1:10" x14ac:dyDescent="0.25">
      <c r="A16256">
        <v>18456</v>
      </c>
      <c r="B16256" t="s">
        <v>3069</v>
      </c>
      <c r="C16256">
        <v>415</v>
      </c>
      <c r="D16256">
        <v>563</v>
      </c>
      <c r="E16256">
        <v>1577051499</v>
      </c>
      <c r="F16256">
        <v>26</v>
      </c>
      <c r="G16256">
        <v>0</v>
      </c>
      <c r="H16256" t="s">
        <v>21093</v>
      </c>
      <c r="I16256">
        <v>18456</v>
      </c>
      <c r="J16256" t="str">
        <f>VLOOKUP(E16256,DSSpieler!A:B,2,FALSE)</f>
        <v>damn.shit</v>
      </c>
    </row>
    <row r="16257" spans="1:10" x14ac:dyDescent="0.25">
      <c r="A16257">
        <v>18457</v>
      </c>
      <c r="B16257" t="s">
        <v>3070</v>
      </c>
      <c r="C16257">
        <v>552</v>
      </c>
      <c r="D16257">
        <v>616</v>
      </c>
      <c r="E16257">
        <v>1577065708</v>
      </c>
      <c r="F16257">
        <v>713</v>
      </c>
      <c r="G16257">
        <v>0</v>
      </c>
      <c r="H16257" t="s">
        <v>21094</v>
      </c>
      <c r="I16257">
        <v>18457</v>
      </c>
      <c r="J16257" t="str">
        <f>VLOOKUP(E16257,DSSpieler!A:B,2,FALSE)</f>
        <v>Widi.13</v>
      </c>
    </row>
    <row r="16258" spans="1:10" x14ac:dyDescent="0.25">
      <c r="A16258">
        <v>18458</v>
      </c>
      <c r="B16258" t="s">
        <v>531</v>
      </c>
      <c r="C16258">
        <v>617</v>
      </c>
      <c r="D16258">
        <v>547</v>
      </c>
      <c r="E16258">
        <v>0</v>
      </c>
      <c r="F16258">
        <v>47</v>
      </c>
      <c r="G16258">
        <v>0</v>
      </c>
      <c r="H16258" t="s">
        <v>21095</v>
      </c>
      <c r="I16258">
        <v>18458</v>
      </c>
      <c r="J16258" t="e">
        <f>VLOOKUP(E16258,DSSpieler!A:B,2,FALSE)</f>
        <v>#N/A</v>
      </c>
    </row>
    <row r="16259" spans="1:10" x14ac:dyDescent="0.25">
      <c r="A16259">
        <v>18459</v>
      </c>
      <c r="B16259" t="s">
        <v>531</v>
      </c>
      <c r="C16259">
        <v>619</v>
      </c>
      <c r="D16259">
        <v>551</v>
      </c>
      <c r="E16259">
        <v>0</v>
      </c>
      <c r="F16259">
        <v>323</v>
      </c>
      <c r="G16259">
        <v>0</v>
      </c>
      <c r="H16259" t="s">
        <v>21096</v>
      </c>
      <c r="I16259">
        <v>18459</v>
      </c>
      <c r="J16259" t="e">
        <f>VLOOKUP(E16259,DSSpieler!A:B,2,FALSE)</f>
        <v>#N/A</v>
      </c>
    </row>
    <row r="16260" spans="1:10" x14ac:dyDescent="0.25">
      <c r="A16260">
        <v>18460</v>
      </c>
      <c r="B16260" t="s">
        <v>35637</v>
      </c>
      <c r="C16260">
        <v>568</v>
      </c>
      <c r="D16260">
        <v>609</v>
      </c>
      <c r="E16260">
        <v>278772</v>
      </c>
      <c r="F16260">
        <v>45</v>
      </c>
      <c r="G16260">
        <v>0</v>
      </c>
      <c r="H16260" t="s">
        <v>21097</v>
      </c>
      <c r="I16260">
        <v>18460</v>
      </c>
      <c r="J16260" t="str">
        <f>VLOOKUP(E16260,DSSpieler!A:B,2,FALSE)</f>
        <v>Marcel der große</v>
      </c>
    </row>
    <row r="16261" spans="1:10" x14ac:dyDescent="0.25">
      <c r="A16261">
        <v>18461</v>
      </c>
      <c r="B16261" t="s">
        <v>531</v>
      </c>
      <c r="C16261">
        <v>421</v>
      </c>
      <c r="D16261">
        <v>604</v>
      </c>
      <c r="E16261">
        <v>0</v>
      </c>
      <c r="F16261">
        <v>114</v>
      </c>
      <c r="G16261">
        <v>0</v>
      </c>
      <c r="H16261" t="s">
        <v>21098</v>
      </c>
      <c r="I16261">
        <v>18461</v>
      </c>
      <c r="J16261" t="e">
        <f>VLOOKUP(E16261,DSSpieler!A:B,2,FALSE)</f>
        <v>#N/A</v>
      </c>
    </row>
    <row r="16262" spans="1:10" x14ac:dyDescent="0.25">
      <c r="A16262">
        <v>18463</v>
      </c>
      <c r="B16262" t="s">
        <v>3071</v>
      </c>
      <c r="C16262">
        <v>452</v>
      </c>
      <c r="D16262">
        <v>620</v>
      </c>
      <c r="E16262">
        <v>10174328</v>
      </c>
      <c r="F16262">
        <v>261</v>
      </c>
      <c r="G16262">
        <v>0</v>
      </c>
      <c r="H16262" t="s">
        <v>21099</v>
      </c>
      <c r="I16262">
        <v>18463</v>
      </c>
      <c r="J16262" t="str">
        <f>VLOOKUP(E16262,DSSpieler!A:B,2,FALSE)</f>
        <v>winnie68</v>
      </c>
    </row>
    <row r="16263" spans="1:10" x14ac:dyDescent="0.25">
      <c r="A16263">
        <v>18464</v>
      </c>
      <c r="B16263" t="s">
        <v>3072</v>
      </c>
      <c r="C16263">
        <v>572</v>
      </c>
      <c r="D16263">
        <v>605</v>
      </c>
      <c r="E16263">
        <v>1576947449</v>
      </c>
      <c r="F16263">
        <v>77</v>
      </c>
      <c r="G16263">
        <v>0</v>
      </c>
      <c r="H16263" t="s">
        <v>21100</v>
      </c>
      <c r="I16263">
        <v>18464</v>
      </c>
      <c r="J16263" t="str">
        <f>VLOOKUP(E16263,DSSpieler!A:B,2,FALSE)</f>
        <v>Foxfox</v>
      </c>
    </row>
    <row r="16264" spans="1:10" x14ac:dyDescent="0.25">
      <c r="A16264">
        <v>18465</v>
      </c>
      <c r="B16264" t="s">
        <v>531</v>
      </c>
      <c r="C16264">
        <v>628</v>
      </c>
      <c r="D16264">
        <v>500</v>
      </c>
      <c r="E16264">
        <v>0</v>
      </c>
      <c r="F16264">
        <v>56</v>
      </c>
      <c r="G16264">
        <v>0</v>
      </c>
      <c r="H16264" t="s">
        <v>21101</v>
      </c>
      <c r="I16264">
        <v>18465</v>
      </c>
      <c r="J16264" t="e">
        <f>VLOOKUP(E16264,DSSpieler!A:B,2,FALSE)</f>
        <v>#N/A</v>
      </c>
    </row>
    <row r="16265" spans="1:10" x14ac:dyDescent="0.25">
      <c r="A16265">
        <v>18467</v>
      </c>
      <c r="B16265" t="s">
        <v>531</v>
      </c>
      <c r="C16265">
        <v>554</v>
      </c>
      <c r="D16265">
        <v>412</v>
      </c>
      <c r="E16265">
        <v>0</v>
      </c>
      <c r="F16265">
        <v>48</v>
      </c>
      <c r="G16265">
        <v>0</v>
      </c>
      <c r="H16265" t="s">
        <v>21102</v>
      </c>
      <c r="I16265">
        <v>18467</v>
      </c>
      <c r="J16265" t="e">
        <f>VLOOKUP(E16265,DSSpieler!A:B,2,FALSE)</f>
        <v>#N/A</v>
      </c>
    </row>
    <row r="16266" spans="1:10" x14ac:dyDescent="0.25">
      <c r="A16266">
        <v>18468</v>
      </c>
      <c r="B16266" t="s">
        <v>531</v>
      </c>
      <c r="C16266">
        <v>614</v>
      </c>
      <c r="D16266">
        <v>563</v>
      </c>
      <c r="E16266">
        <v>0</v>
      </c>
      <c r="F16266">
        <v>60</v>
      </c>
      <c r="G16266">
        <v>0</v>
      </c>
      <c r="H16266" t="s">
        <v>21103</v>
      </c>
      <c r="I16266">
        <v>18468</v>
      </c>
      <c r="J16266" t="e">
        <f>VLOOKUP(E16266,DSSpieler!A:B,2,FALSE)</f>
        <v>#N/A</v>
      </c>
    </row>
    <row r="16267" spans="1:10" x14ac:dyDescent="0.25">
      <c r="A16267">
        <v>18469</v>
      </c>
      <c r="B16267" t="s">
        <v>531</v>
      </c>
      <c r="C16267">
        <v>517</v>
      </c>
      <c r="D16267">
        <v>375</v>
      </c>
      <c r="E16267">
        <v>0</v>
      </c>
      <c r="F16267">
        <v>38</v>
      </c>
      <c r="G16267">
        <v>0</v>
      </c>
      <c r="H16267" t="s">
        <v>21104</v>
      </c>
      <c r="I16267">
        <v>18469</v>
      </c>
      <c r="J16267" t="e">
        <f>VLOOKUP(E16267,DSSpieler!A:B,2,FALSE)</f>
        <v>#N/A</v>
      </c>
    </row>
    <row r="16268" spans="1:10" x14ac:dyDescent="0.25">
      <c r="A16268">
        <v>18470</v>
      </c>
      <c r="B16268" t="s">
        <v>3073</v>
      </c>
      <c r="C16268">
        <v>561</v>
      </c>
      <c r="D16268">
        <v>616</v>
      </c>
      <c r="E16268">
        <v>1576996997</v>
      </c>
      <c r="F16268">
        <v>1249</v>
      </c>
      <c r="G16268">
        <v>0</v>
      </c>
      <c r="H16268" t="s">
        <v>21105</v>
      </c>
      <c r="I16268">
        <v>18470</v>
      </c>
      <c r="J16268" t="str">
        <f>VLOOKUP(E16268,DSSpieler!A:B,2,FALSE)</f>
        <v>klenes</v>
      </c>
    </row>
    <row r="16269" spans="1:10" x14ac:dyDescent="0.25">
      <c r="A16269">
        <v>18471</v>
      </c>
      <c r="B16269" t="s">
        <v>3074</v>
      </c>
      <c r="C16269">
        <v>398</v>
      </c>
      <c r="D16269">
        <v>550</v>
      </c>
      <c r="E16269">
        <v>1577129455</v>
      </c>
      <c r="F16269">
        <v>936</v>
      </c>
      <c r="G16269">
        <v>0</v>
      </c>
      <c r="H16269" t="s">
        <v>21106</v>
      </c>
      <c r="I16269">
        <v>18471</v>
      </c>
      <c r="J16269" t="str">
        <f>VLOOKUP(E16269,DSSpieler!A:B,2,FALSE)</f>
        <v>scotty191</v>
      </c>
    </row>
    <row r="16270" spans="1:10" x14ac:dyDescent="0.25">
      <c r="A16270">
        <v>18472</v>
      </c>
      <c r="B16270" t="s">
        <v>3075</v>
      </c>
      <c r="C16270">
        <v>576</v>
      </c>
      <c r="D16270">
        <v>605</v>
      </c>
      <c r="E16270">
        <v>1576979467</v>
      </c>
      <c r="F16270">
        <v>26</v>
      </c>
      <c r="G16270">
        <v>0</v>
      </c>
      <c r="H16270" t="s">
        <v>21107</v>
      </c>
      <c r="I16270">
        <v>18472</v>
      </c>
      <c r="J16270" t="str">
        <f>VLOOKUP(E16270,DSSpieler!A:B,2,FALSE)</f>
        <v>topsy-turvy</v>
      </c>
    </row>
    <row r="16271" spans="1:10" x14ac:dyDescent="0.25">
      <c r="A16271">
        <v>18473</v>
      </c>
      <c r="B16271" t="e">
        <f>-owneds+Dorf</f>
        <v>#NAME?</v>
      </c>
      <c r="C16271">
        <v>581</v>
      </c>
      <c r="D16271">
        <v>598</v>
      </c>
      <c r="E16271">
        <v>8043810</v>
      </c>
      <c r="F16271">
        <v>1237</v>
      </c>
      <c r="G16271">
        <v>0</v>
      </c>
      <c r="H16271" t="s">
        <v>21108</v>
      </c>
      <c r="I16271">
        <v>18473</v>
      </c>
      <c r="J16271" t="str">
        <f>VLOOKUP(E16271,DSSpieler!A:B,2,FALSE)</f>
        <v>19malibu92</v>
      </c>
    </row>
    <row r="16272" spans="1:10" x14ac:dyDescent="0.25">
      <c r="A16272">
        <v>18474</v>
      </c>
      <c r="B16272" t="s">
        <v>3076</v>
      </c>
      <c r="C16272">
        <v>515</v>
      </c>
      <c r="D16272">
        <v>594</v>
      </c>
      <c r="E16272">
        <v>1577064721</v>
      </c>
      <c r="F16272">
        <v>1075</v>
      </c>
      <c r="G16272">
        <v>0</v>
      </c>
      <c r="H16272" t="s">
        <v>21109</v>
      </c>
      <c r="I16272">
        <v>18474</v>
      </c>
      <c r="J16272" t="str">
        <f>VLOOKUP(E16272,DSSpieler!A:B,2,FALSE)</f>
        <v>DickerDon666</v>
      </c>
    </row>
    <row r="16273" spans="1:10" x14ac:dyDescent="0.25">
      <c r="A16273">
        <v>18475</v>
      </c>
      <c r="B16273" t="s">
        <v>3077</v>
      </c>
      <c r="C16273">
        <v>506</v>
      </c>
      <c r="D16273">
        <v>455</v>
      </c>
      <c r="E16273">
        <v>9260135</v>
      </c>
      <c r="F16273">
        <v>253</v>
      </c>
      <c r="G16273">
        <v>0</v>
      </c>
      <c r="H16273" t="s">
        <v>21110</v>
      </c>
      <c r="I16273">
        <v>18475</v>
      </c>
      <c r="J16273" t="str">
        <f>VLOOKUP(E16273,DSSpieler!A:B,2,FALSE)</f>
        <v>Xaraxas</v>
      </c>
    </row>
    <row r="16274" spans="1:10" x14ac:dyDescent="0.25">
      <c r="A16274">
        <v>18476</v>
      </c>
      <c r="B16274" t="s">
        <v>3078</v>
      </c>
      <c r="C16274">
        <v>422</v>
      </c>
      <c r="D16274">
        <v>604</v>
      </c>
      <c r="E16274">
        <v>1576975630</v>
      </c>
      <c r="F16274">
        <v>126</v>
      </c>
      <c r="G16274">
        <v>0</v>
      </c>
      <c r="H16274" t="s">
        <v>21111</v>
      </c>
      <c r="I16274">
        <v>18476</v>
      </c>
      <c r="J16274" t="str">
        <f>VLOOKUP(E16274,DSSpieler!A:B,2,FALSE)</f>
        <v>LuckyAces</v>
      </c>
    </row>
    <row r="16275" spans="1:10" x14ac:dyDescent="0.25">
      <c r="A16275">
        <v>18477</v>
      </c>
      <c r="B16275">
        <v>1</v>
      </c>
      <c r="C16275">
        <v>410</v>
      </c>
      <c r="D16275">
        <v>591</v>
      </c>
      <c r="E16275">
        <v>7623632</v>
      </c>
      <c r="F16275">
        <v>1970</v>
      </c>
      <c r="G16275">
        <v>0</v>
      </c>
      <c r="H16275" t="s">
        <v>21112</v>
      </c>
      <c r="I16275">
        <v>18477</v>
      </c>
      <c r="J16275" t="str">
        <f>VLOOKUP(E16275,DSSpieler!A:B,2,FALSE)</f>
        <v>Ciolith</v>
      </c>
    </row>
    <row r="16276" spans="1:10" x14ac:dyDescent="0.25">
      <c r="A16276">
        <v>18478</v>
      </c>
      <c r="B16276" t="s">
        <v>531</v>
      </c>
      <c r="C16276">
        <v>627</v>
      </c>
      <c r="D16276">
        <v>495</v>
      </c>
      <c r="E16276">
        <v>0</v>
      </c>
      <c r="F16276">
        <v>122</v>
      </c>
      <c r="G16276">
        <v>0</v>
      </c>
      <c r="H16276" t="s">
        <v>21113</v>
      </c>
      <c r="I16276">
        <v>18478</v>
      </c>
      <c r="J16276" t="e">
        <f>VLOOKUP(E16276,DSSpieler!A:B,2,FALSE)</f>
        <v>#N/A</v>
      </c>
    </row>
    <row r="16277" spans="1:10" x14ac:dyDescent="0.25">
      <c r="A16277">
        <v>18479</v>
      </c>
      <c r="B16277" t="s">
        <v>3079</v>
      </c>
      <c r="C16277">
        <v>420</v>
      </c>
      <c r="D16277">
        <v>403</v>
      </c>
      <c r="E16277">
        <v>82754</v>
      </c>
      <c r="F16277">
        <v>334</v>
      </c>
      <c r="G16277">
        <v>0</v>
      </c>
      <c r="H16277" t="s">
        <v>21114</v>
      </c>
      <c r="I16277">
        <v>18479</v>
      </c>
      <c r="J16277" t="str">
        <f>VLOOKUP(E16277,DSSpieler!A:B,2,FALSE)</f>
        <v>erni1934</v>
      </c>
    </row>
    <row r="16278" spans="1:10" x14ac:dyDescent="0.25">
      <c r="A16278">
        <v>18480</v>
      </c>
      <c r="B16278" t="s">
        <v>3080</v>
      </c>
      <c r="C16278">
        <v>468</v>
      </c>
      <c r="D16278">
        <v>379</v>
      </c>
      <c r="E16278">
        <v>1577204835</v>
      </c>
      <c r="F16278">
        <v>74</v>
      </c>
      <c r="G16278">
        <v>0</v>
      </c>
      <c r="H16278" t="s">
        <v>21115</v>
      </c>
      <c r="I16278">
        <v>18480</v>
      </c>
      <c r="J16278" t="str">
        <f>VLOOKUP(E16278,DSSpieler!A:B,2,FALSE)</f>
        <v>lemmueg</v>
      </c>
    </row>
    <row r="16279" spans="1:10" x14ac:dyDescent="0.25">
      <c r="A16279">
        <v>18481</v>
      </c>
      <c r="B16279" t="s">
        <v>531</v>
      </c>
      <c r="C16279">
        <v>405</v>
      </c>
      <c r="D16279">
        <v>415</v>
      </c>
      <c r="E16279">
        <v>0</v>
      </c>
      <c r="F16279">
        <v>144</v>
      </c>
      <c r="G16279">
        <v>0</v>
      </c>
      <c r="H16279" t="s">
        <v>21116</v>
      </c>
      <c r="I16279">
        <v>18481</v>
      </c>
      <c r="J16279" t="e">
        <f>VLOOKUP(E16279,DSSpieler!A:B,2,FALSE)</f>
        <v>#N/A</v>
      </c>
    </row>
    <row r="16280" spans="1:10" x14ac:dyDescent="0.25">
      <c r="A16280">
        <v>18482</v>
      </c>
      <c r="B16280" t="s">
        <v>35638</v>
      </c>
      <c r="C16280">
        <v>464</v>
      </c>
      <c r="D16280">
        <v>574</v>
      </c>
      <c r="E16280">
        <v>1577199631</v>
      </c>
      <c r="F16280">
        <v>151</v>
      </c>
      <c r="G16280">
        <v>0</v>
      </c>
      <c r="H16280" t="s">
        <v>21117</v>
      </c>
      <c r="I16280">
        <v>18482</v>
      </c>
      <c r="J16280" t="str">
        <f>VLOOKUP(E16280,DSSpieler!A:B,2,FALSE)</f>
        <v>dönerteller</v>
      </c>
    </row>
    <row r="16281" spans="1:10" x14ac:dyDescent="0.25">
      <c r="A16281">
        <v>18483</v>
      </c>
      <c r="B16281" t="s">
        <v>3081</v>
      </c>
      <c r="C16281">
        <v>628</v>
      </c>
      <c r="D16281">
        <v>488</v>
      </c>
      <c r="E16281">
        <v>1576893347</v>
      </c>
      <c r="F16281">
        <v>42</v>
      </c>
      <c r="G16281">
        <v>0</v>
      </c>
      <c r="H16281" t="s">
        <v>21118</v>
      </c>
      <c r="I16281">
        <v>18483</v>
      </c>
      <c r="J16281" t="str">
        <f>VLOOKUP(E16281,DSSpieler!A:B,2,FALSE)</f>
        <v>Uubik</v>
      </c>
    </row>
    <row r="16282" spans="1:10" x14ac:dyDescent="0.25">
      <c r="A16282">
        <v>18484</v>
      </c>
      <c r="B16282" t="s">
        <v>3082</v>
      </c>
      <c r="C16282">
        <v>373</v>
      </c>
      <c r="D16282">
        <v>493</v>
      </c>
      <c r="E16282">
        <v>1577205238</v>
      </c>
      <c r="F16282">
        <v>1725</v>
      </c>
      <c r="G16282">
        <v>0</v>
      </c>
      <c r="H16282" t="s">
        <v>21119</v>
      </c>
      <c r="I16282">
        <v>18484</v>
      </c>
      <c r="J16282" t="str">
        <f>VLOOKUP(E16282,DSSpieler!A:B,2,FALSE)</f>
        <v>miwo91</v>
      </c>
    </row>
    <row r="16283" spans="1:10" x14ac:dyDescent="0.25">
      <c r="A16283">
        <v>18485</v>
      </c>
      <c r="B16283" t="s">
        <v>3083</v>
      </c>
      <c r="C16283">
        <v>475</v>
      </c>
      <c r="D16283">
        <v>623</v>
      </c>
      <c r="E16283">
        <v>1577183055</v>
      </c>
      <c r="F16283">
        <v>107</v>
      </c>
      <c r="G16283">
        <v>0</v>
      </c>
      <c r="H16283" t="s">
        <v>21120</v>
      </c>
      <c r="I16283">
        <v>18485</v>
      </c>
      <c r="J16283" t="str">
        <f>VLOOKUP(E16283,DSSpieler!A:B,2,FALSE)</f>
        <v>Bene272</v>
      </c>
    </row>
    <row r="16284" spans="1:10" x14ac:dyDescent="0.25">
      <c r="A16284">
        <v>18486</v>
      </c>
      <c r="B16284" t="s">
        <v>3084</v>
      </c>
      <c r="C16284">
        <v>618</v>
      </c>
      <c r="D16284">
        <v>454</v>
      </c>
      <c r="E16284">
        <v>1576827758</v>
      </c>
      <c r="F16284">
        <v>1849</v>
      </c>
      <c r="G16284">
        <v>0</v>
      </c>
      <c r="H16284" t="s">
        <v>21121</v>
      </c>
      <c r="I16284">
        <v>18486</v>
      </c>
      <c r="J16284" t="str">
        <f>VLOOKUP(E16284,DSSpieler!A:B,2,FALSE)</f>
        <v>The Big Boy</v>
      </c>
    </row>
    <row r="16285" spans="1:10" x14ac:dyDescent="0.25">
      <c r="A16285">
        <v>18487</v>
      </c>
      <c r="B16285" t="s">
        <v>531</v>
      </c>
      <c r="C16285">
        <v>384</v>
      </c>
      <c r="D16285">
        <v>556</v>
      </c>
      <c r="E16285">
        <v>0</v>
      </c>
      <c r="F16285">
        <v>104</v>
      </c>
      <c r="G16285">
        <v>0</v>
      </c>
      <c r="H16285" t="s">
        <v>21122</v>
      </c>
      <c r="I16285">
        <v>18487</v>
      </c>
      <c r="J16285" t="e">
        <f>VLOOKUP(E16285,DSSpieler!A:B,2,FALSE)</f>
        <v>#N/A</v>
      </c>
    </row>
    <row r="16286" spans="1:10" x14ac:dyDescent="0.25">
      <c r="A16286">
        <v>18488</v>
      </c>
      <c r="B16286" t="s">
        <v>3085</v>
      </c>
      <c r="C16286">
        <v>418</v>
      </c>
      <c r="D16286">
        <v>403</v>
      </c>
      <c r="E16286">
        <v>1577202574</v>
      </c>
      <c r="F16286">
        <v>77</v>
      </c>
      <c r="G16286">
        <v>0</v>
      </c>
      <c r="H16286" t="s">
        <v>21123</v>
      </c>
      <c r="I16286">
        <v>18488</v>
      </c>
      <c r="J16286" t="str">
        <f>VLOOKUP(E16286,DSSpieler!A:B,2,FALSE)</f>
        <v>KW Barber</v>
      </c>
    </row>
    <row r="16287" spans="1:10" x14ac:dyDescent="0.25">
      <c r="A16287">
        <v>18489</v>
      </c>
      <c r="B16287" t="s">
        <v>3086</v>
      </c>
      <c r="C16287">
        <v>407</v>
      </c>
      <c r="D16287">
        <v>584</v>
      </c>
      <c r="E16287">
        <v>3293661</v>
      </c>
      <c r="F16287">
        <v>26</v>
      </c>
      <c r="G16287">
        <v>0</v>
      </c>
      <c r="H16287" t="s">
        <v>21124</v>
      </c>
      <c r="I16287">
        <v>18489</v>
      </c>
      <c r="J16287" t="str">
        <f>VLOOKUP(E16287,DSSpieler!A:B,2,FALSE)</f>
        <v>hengst12</v>
      </c>
    </row>
    <row r="16288" spans="1:10" x14ac:dyDescent="0.25">
      <c r="A16288">
        <v>18490</v>
      </c>
      <c r="B16288" t="s">
        <v>3087</v>
      </c>
      <c r="C16288">
        <v>424</v>
      </c>
      <c r="D16288">
        <v>396</v>
      </c>
      <c r="E16288">
        <v>2279844</v>
      </c>
      <c r="F16288">
        <v>1420</v>
      </c>
      <c r="G16288">
        <v>0</v>
      </c>
      <c r="H16288" t="s">
        <v>21125</v>
      </c>
      <c r="I16288">
        <v>18490</v>
      </c>
      <c r="J16288" t="str">
        <f>VLOOKUP(E16288,DSSpieler!A:B,2,FALSE)</f>
        <v>Ghostrider1996</v>
      </c>
    </row>
    <row r="16289" spans="1:10" x14ac:dyDescent="0.25">
      <c r="A16289">
        <v>18491</v>
      </c>
      <c r="B16289" t="s">
        <v>531</v>
      </c>
      <c r="C16289">
        <v>405</v>
      </c>
      <c r="D16289">
        <v>589</v>
      </c>
      <c r="E16289">
        <v>0</v>
      </c>
      <c r="F16289">
        <v>115</v>
      </c>
      <c r="G16289">
        <v>0</v>
      </c>
      <c r="H16289" t="s">
        <v>21126</v>
      </c>
      <c r="I16289">
        <v>18491</v>
      </c>
      <c r="J16289" t="e">
        <f>VLOOKUP(E16289,DSSpieler!A:B,2,FALSE)</f>
        <v>#N/A</v>
      </c>
    </row>
    <row r="16290" spans="1:10" x14ac:dyDescent="0.25">
      <c r="A16290">
        <v>18492</v>
      </c>
      <c r="B16290" t="s">
        <v>3088</v>
      </c>
      <c r="C16290">
        <v>407</v>
      </c>
      <c r="D16290">
        <v>413</v>
      </c>
      <c r="E16290">
        <v>1577205563</v>
      </c>
      <c r="F16290">
        <v>364</v>
      </c>
      <c r="G16290">
        <v>0</v>
      </c>
      <c r="H16290" t="s">
        <v>21127</v>
      </c>
      <c r="I16290">
        <v>18492</v>
      </c>
      <c r="J16290" t="str">
        <f>VLOOKUP(E16290,DSSpieler!A:B,2,FALSE)</f>
        <v>chrisi20</v>
      </c>
    </row>
    <row r="16291" spans="1:10" x14ac:dyDescent="0.25">
      <c r="A16291">
        <v>18493</v>
      </c>
      <c r="B16291" t="s">
        <v>3089</v>
      </c>
      <c r="C16291">
        <v>537</v>
      </c>
      <c r="D16291">
        <v>625</v>
      </c>
      <c r="E16291">
        <v>9429167</v>
      </c>
      <c r="F16291">
        <v>26</v>
      </c>
      <c r="G16291">
        <v>0</v>
      </c>
      <c r="H16291" t="s">
        <v>21128</v>
      </c>
      <c r="I16291">
        <v>18493</v>
      </c>
      <c r="J16291" t="str">
        <f>VLOOKUP(E16291,DSSpieler!A:B,2,FALSE)</f>
        <v>Maxmaster2011</v>
      </c>
    </row>
    <row r="16292" spans="1:10" x14ac:dyDescent="0.25">
      <c r="A16292">
        <v>18495</v>
      </c>
      <c r="B16292" t="s">
        <v>3090</v>
      </c>
      <c r="C16292">
        <v>385</v>
      </c>
      <c r="D16292">
        <v>443</v>
      </c>
      <c r="E16292">
        <v>1577206539</v>
      </c>
      <c r="F16292">
        <v>44</v>
      </c>
      <c r="G16292">
        <v>0</v>
      </c>
      <c r="H16292" t="s">
        <v>21129</v>
      </c>
      <c r="I16292">
        <v>18495</v>
      </c>
      <c r="J16292" t="str">
        <f>VLOOKUP(E16292,DSSpieler!A:B,2,FALSE)</f>
        <v>Blechbuechse9000</v>
      </c>
    </row>
    <row r="16293" spans="1:10" x14ac:dyDescent="0.25">
      <c r="A16293">
        <v>18496</v>
      </c>
      <c r="B16293">
        <v>1</v>
      </c>
      <c r="C16293">
        <v>578</v>
      </c>
      <c r="D16293">
        <v>602</v>
      </c>
      <c r="E16293">
        <v>8911166</v>
      </c>
      <c r="F16293">
        <v>473</v>
      </c>
      <c r="G16293">
        <v>0</v>
      </c>
      <c r="H16293" t="s">
        <v>21130</v>
      </c>
      <c r="I16293">
        <v>18496</v>
      </c>
      <c r="J16293" t="str">
        <f>VLOOKUP(E16293,DSSpieler!A:B,2,FALSE)</f>
        <v>schwertkämpfer18</v>
      </c>
    </row>
    <row r="16294" spans="1:10" x14ac:dyDescent="0.25">
      <c r="A16294">
        <v>18498</v>
      </c>
      <c r="B16294" t="s">
        <v>531</v>
      </c>
      <c r="C16294">
        <v>623</v>
      </c>
      <c r="D16294">
        <v>545</v>
      </c>
      <c r="E16294">
        <v>0</v>
      </c>
      <c r="F16294">
        <v>50</v>
      </c>
      <c r="G16294">
        <v>0</v>
      </c>
      <c r="H16294" t="s">
        <v>21131</v>
      </c>
      <c r="I16294">
        <v>18498</v>
      </c>
      <c r="J16294" t="e">
        <f>VLOOKUP(E16294,DSSpieler!A:B,2,FALSE)</f>
        <v>#N/A</v>
      </c>
    </row>
    <row r="16295" spans="1:10" x14ac:dyDescent="0.25">
      <c r="A16295">
        <v>18499</v>
      </c>
      <c r="B16295" t="s">
        <v>35639</v>
      </c>
      <c r="C16295">
        <v>617</v>
      </c>
      <c r="D16295">
        <v>551</v>
      </c>
      <c r="E16295">
        <v>1576336178</v>
      </c>
      <c r="F16295">
        <v>1866</v>
      </c>
      <c r="G16295">
        <v>0</v>
      </c>
      <c r="H16295" t="s">
        <v>21132</v>
      </c>
      <c r="I16295">
        <v>18499</v>
      </c>
      <c r="J16295" t="str">
        <f>VLOOKUP(E16295,DSSpieler!A:B,2,FALSE)</f>
        <v>Mach erstmal die Basics</v>
      </c>
    </row>
    <row r="16296" spans="1:10" x14ac:dyDescent="0.25">
      <c r="A16296">
        <v>18500</v>
      </c>
      <c r="B16296" t="s">
        <v>3091</v>
      </c>
      <c r="C16296">
        <v>546</v>
      </c>
      <c r="D16296">
        <v>378</v>
      </c>
      <c r="E16296">
        <v>1577205620</v>
      </c>
      <c r="F16296">
        <v>233</v>
      </c>
      <c r="G16296">
        <v>0</v>
      </c>
      <c r="H16296" t="s">
        <v>21133</v>
      </c>
      <c r="I16296">
        <v>18500</v>
      </c>
      <c r="J16296" t="str">
        <f>VLOOKUP(E16296,DSSpieler!A:B,2,FALSE)</f>
        <v>FrankoRosino</v>
      </c>
    </row>
    <row r="16297" spans="1:10" x14ac:dyDescent="0.25">
      <c r="A16297">
        <v>18501</v>
      </c>
      <c r="B16297" t="s">
        <v>3092</v>
      </c>
      <c r="C16297">
        <v>607</v>
      </c>
      <c r="D16297">
        <v>486</v>
      </c>
      <c r="E16297">
        <v>1577175033</v>
      </c>
      <c r="F16297">
        <v>36</v>
      </c>
      <c r="G16297">
        <v>0</v>
      </c>
      <c r="H16297" t="s">
        <v>21134</v>
      </c>
      <c r="I16297">
        <v>18501</v>
      </c>
      <c r="J16297" t="str">
        <f>VLOOKUP(E16297,DSSpieler!A:B,2,FALSE)</f>
        <v>NightFall</v>
      </c>
    </row>
    <row r="16298" spans="1:10" x14ac:dyDescent="0.25">
      <c r="A16298">
        <v>18502</v>
      </c>
      <c r="B16298" t="s">
        <v>531</v>
      </c>
      <c r="C16298">
        <v>627</v>
      </c>
      <c r="D16298">
        <v>513</v>
      </c>
      <c r="E16298">
        <v>0</v>
      </c>
      <c r="F16298">
        <v>118</v>
      </c>
      <c r="G16298">
        <v>0</v>
      </c>
      <c r="H16298" t="s">
        <v>21135</v>
      </c>
      <c r="I16298">
        <v>18502</v>
      </c>
      <c r="J16298" t="e">
        <f>VLOOKUP(E16298,DSSpieler!A:B,2,FALSE)</f>
        <v>#N/A</v>
      </c>
    </row>
    <row r="16299" spans="1:10" x14ac:dyDescent="0.25">
      <c r="A16299">
        <v>18504</v>
      </c>
      <c r="B16299" t="s">
        <v>531</v>
      </c>
      <c r="C16299">
        <v>576</v>
      </c>
      <c r="D16299">
        <v>535</v>
      </c>
      <c r="E16299">
        <v>0</v>
      </c>
      <c r="F16299">
        <v>26</v>
      </c>
      <c r="G16299">
        <v>0</v>
      </c>
      <c r="H16299" t="s">
        <v>21136</v>
      </c>
      <c r="I16299">
        <v>18504</v>
      </c>
      <c r="J16299" t="e">
        <f>VLOOKUP(E16299,DSSpieler!A:B,2,FALSE)</f>
        <v>#N/A</v>
      </c>
    </row>
    <row r="16300" spans="1:10" x14ac:dyDescent="0.25">
      <c r="A16300">
        <v>18505</v>
      </c>
      <c r="B16300" t="s">
        <v>35640</v>
      </c>
      <c r="C16300">
        <v>451</v>
      </c>
      <c r="D16300">
        <v>622</v>
      </c>
      <c r="E16300">
        <v>1577184584</v>
      </c>
      <c r="F16300">
        <v>425</v>
      </c>
      <c r="G16300">
        <v>0</v>
      </c>
      <c r="H16300" t="s">
        <v>21137</v>
      </c>
      <c r="I16300">
        <v>18505</v>
      </c>
      <c r="J16300" t="str">
        <f>VLOOKUP(E16300,DSSpieler!A:B,2,FALSE)</f>
        <v>Sir Schütti</v>
      </c>
    </row>
    <row r="16301" spans="1:10" x14ac:dyDescent="0.25">
      <c r="A16301">
        <v>18506</v>
      </c>
      <c r="B16301" t="s">
        <v>3093</v>
      </c>
      <c r="C16301">
        <v>572</v>
      </c>
      <c r="D16301">
        <v>560</v>
      </c>
      <c r="E16301">
        <v>1576805448</v>
      </c>
      <c r="F16301">
        <v>1015</v>
      </c>
      <c r="G16301">
        <v>0</v>
      </c>
      <c r="H16301" t="s">
        <v>21138</v>
      </c>
      <c r="I16301">
        <v>18506</v>
      </c>
      <c r="J16301" t="str">
        <f>VLOOKUP(E16301,DSSpieler!A:B,2,FALSE)</f>
        <v>raydon</v>
      </c>
    </row>
    <row r="16302" spans="1:10" x14ac:dyDescent="0.25">
      <c r="A16302">
        <v>18507</v>
      </c>
      <c r="B16302" t="s">
        <v>531</v>
      </c>
      <c r="C16302">
        <v>495</v>
      </c>
      <c r="D16302">
        <v>628</v>
      </c>
      <c r="E16302">
        <v>0</v>
      </c>
      <c r="F16302">
        <v>114</v>
      </c>
      <c r="G16302">
        <v>0</v>
      </c>
      <c r="H16302" t="s">
        <v>21139</v>
      </c>
      <c r="I16302">
        <v>18507</v>
      </c>
      <c r="J16302" t="e">
        <f>VLOOKUP(E16302,DSSpieler!A:B,2,FALSE)</f>
        <v>#N/A</v>
      </c>
    </row>
    <row r="16303" spans="1:10" x14ac:dyDescent="0.25">
      <c r="A16303">
        <v>18508</v>
      </c>
      <c r="B16303" t="s">
        <v>3094</v>
      </c>
      <c r="C16303">
        <v>425</v>
      </c>
      <c r="D16303">
        <v>395</v>
      </c>
      <c r="E16303">
        <v>1520570</v>
      </c>
      <c r="F16303">
        <v>347</v>
      </c>
      <c r="G16303">
        <v>0</v>
      </c>
      <c r="H16303" t="s">
        <v>21140</v>
      </c>
      <c r="I16303">
        <v>18508</v>
      </c>
      <c r="J16303" t="str">
        <f>VLOOKUP(E16303,DSSpieler!A:B,2,FALSE)</f>
        <v>Xadolon Fensom</v>
      </c>
    </row>
    <row r="16304" spans="1:10" x14ac:dyDescent="0.25">
      <c r="A16304">
        <v>18509</v>
      </c>
      <c r="B16304" t="s">
        <v>531</v>
      </c>
      <c r="C16304">
        <v>450</v>
      </c>
      <c r="D16304">
        <v>619</v>
      </c>
      <c r="E16304">
        <v>0</v>
      </c>
      <c r="F16304">
        <v>134</v>
      </c>
      <c r="G16304">
        <v>0</v>
      </c>
      <c r="H16304" t="s">
        <v>21141</v>
      </c>
      <c r="I16304">
        <v>18509</v>
      </c>
      <c r="J16304" t="e">
        <f>VLOOKUP(E16304,DSSpieler!A:B,2,FALSE)</f>
        <v>#N/A</v>
      </c>
    </row>
    <row r="16305" spans="1:10" x14ac:dyDescent="0.25">
      <c r="A16305">
        <v>18510</v>
      </c>
      <c r="B16305" t="s">
        <v>879</v>
      </c>
      <c r="C16305">
        <v>425</v>
      </c>
      <c r="D16305">
        <v>436</v>
      </c>
      <c r="E16305">
        <v>1577194364</v>
      </c>
      <c r="F16305">
        <v>1733</v>
      </c>
      <c r="G16305">
        <v>0</v>
      </c>
      <c r="H16305" t="s">
        <v>21142</v>
      </c>
      <c r="I16305">
        <v>18510</v>
      </c>
      <c r="J16305" t="str">
        <f>VLOOKUP(E16305,DSSpieler!A:B,2,FALSE)</f>
        <v>Apathie</v>
      </c>
    </row>
    <row r="16306" spans="1:10" x14ac:dyDescent="0.25">
      <c r="A16306">
        <v>18511</v>
      </c>
      <c r="B16306" t="s">
        <v>3095</v>
      </c>
      <c r="C16306">
        <v>412</v>
      </c>
      <c r="D16306">
        <v>408</v>
      </c>
      <c r="E16306">
        <v>1577200315</v>
      </c>
      <c r="F16306">
        <v>201</v>
      </c>
      <c r="G16306">
        <v>0</v>
      </c>
      <c r="H16306" t="s">
        <v>21143</v>
      </c>
      <c r="I16306">
        <v>18511</v>
      </c>
      <c r="J16306" t="str">
        <f>VLOOKUP(E16306,DSSpieler!A:B,2,FALSE)</f>
        <v>Wishmaster69</v>
      </c>
    </row>
    <row r="16307" spans="1:10" x14ac:dyDescent="0.25">
      <c r="A16307">
        <v>18513</v>
      </c>
      <c r="B16307" t="s">
        <v>531</v>
      </c>
      <c r="C16307">
        <v>597</v>
      </c>
      <c r="D16307">
        <v>413</v>
      </c>
      <c r="E16307">
        <v>0</v>
      </c>
      <c r="F16307">
        <v>45</v>
      </c>
      <c r="G16307">
        <v>0</v>
      </c>
      <c r="H16307" t="s">
        <v>21144</v>
      </c>
      <c r="I16307">
        <v>18513</v>
      </c>
      <c r="J16307" t="e">
        <f>VLOOKUP(E16307,DSSpieler!A:B,2,FALSE)</f>
        <v>#N/A</v>
      </c>
    </row>
    <row r="16308" spans="1:10" x14ac:dyDescent="0.25">
      <c r="A16308">
        <v>18515</v>
      </c>
      <c r="B16308" t="s">
        <v>3096</v>
      </c>
      <c r="C16308">
        <v>624</v>
      </c>
      <c r="D16308">
        <v>478</v>
      </c>
      <c r="E16308">
        <v>1576895335</v>
      </c>
      <c r="F16308">
        <v>1022</v>
      </c>
      <c r="G16308">
        <v>0</v>
      </c>
      <c r="H16308" t="s">
        <v>21145</v>
      </c>
      <c r="I16308">
        <v>18515</v>
      </c>
      <c r="J16308" t="str">
        <f>VLOOKUP(E16308,DSSpieler!A:B,2,FALSE)</f>
        <v>SuperSayajinxGogeta</v>
      </c>
    </row>
    <row r="16309" spans="1:10" x14ac:dyDescent="0.25">
      <c r="A16309">
        <v>18516</v>
      </c>
      <c r="B16309" t="s">
        <v>3097</v>
      </c>
      <c r="C16309">
        <v>381</v>
      </c>
      <c r="D16309">
        <v>541</v>
      </c>
      <c r="E16309">
        <v>1577201372</v>
      </c>
      <c r="F16309">
        <v>1294</v>
      </c>
      <c r="G16309">
        <v>0</v>
      </c>
      <c r="H16309" t="s">
        <v>21146</v>
      </c>
      <c r="I16309">
        <v>18516</v>
      </c>
      <c r="J16309" t="str">
        <f>VLOOKUP(E16309,DSSpieler!A:B,2,FALSE)</f>
        <v>Ragekopter</v>
      </c>
    </row>
    <row r="16310" spans="1:10" x14ac:dyDescent="0.25">
      <c r="A16310">
        <v>18517</v>
      </c>
      <c r="B16310" t="s">
        <v>2120</v>
      </c>
      <c r="C16310">
        <v>455</v>
      </c>
      <c r="D16310">
        <v>487</v>
      </c>
      <c r="E16310">
        <v>1131387</v>
      </c>
      <c r="F16310">
        <v>512</v>
      </c>
      <c r="G16310">
        <v>0</v>
      </c>
      <c r="H16310" t="s">
        <v>21147</v>
      </c>
      <c r="I16310">
        <v>18517</v>
      </c>
      <c r="J16310" t="str">
        <f>VLOOKUP(E16310,DSSpieler!A:B,2,FALSE)</f>
        <v>Mkoll</v>
      </c>
    </row>
    <row r="16311" spans="1:10" x14ac:dyDescent="0.25">
      <c r="A16311">
        <v>18518</v>
      </c>
      <c r="B16311" t="s">
        <v>531</v>
      </c>
      <c r="C16311">
        <v>463</v>
      </c>
      <c r="D16311">
        <v>624</v>
      </c>
      <c r="E16311">
        <v>0</v>
      </c>
      <c r="F16311">
        <v>40</v>
      </c>
      <c r="G16311">
        <v>0</v>
      </c>
      <c r="H16311" t="s">
        <v>21148</v>
      </c>
      <c r="I16311">
        <v>18518</v>
      </c>
      <c r="J16311" t="e">
        <f>VLOOKUP(E16311,DSSpieler!A:B,2,FALSE)</f>
        <v>#N/A</v>
      </c>
    </row>
    <row r="16312" spans="1:10" x14ac:dyDescent="0.25">
      <c r="A16312">
        <v>18519</v>
      </c>
      <c r="B16312" t="s">
        <v>3098</v>
      </c>
      <c r="C16312">
        <v>627</v>
      </c>
      <c r="D16312">
        <v>497</v>
      </c>
      <c r="E16312">
        <v>9494846</v>
      </c>
      <c r="F16312">
        <v>1615</v>
      </c>
      <c r="G16312">
        <v>0</v>
      </c>
      <c r="H16312" t="s">
        <v>21149</v>
      </c>
      <c r="I16312">
        <v>18519</v>
      </c>
      <c r="J16312" t="str">
        <f>VLOOKUP(E16312,DSSpieler!A:B,2,FALSE)</f>
        <v>little bad boy</v>
      </c>
    </row>
    <row r="16313" spans="1:10" x14ac:dyDescent="0.25">
      <c r="A16313">
        <v>18520</v>
      </c>
      <c r="B16313" t="s">
        <v>3099</v>
      </c>
      <c r="C16313">
        <v>395</v>
      </c>
      <c r="D16313">
        <v>423</v>
      </c>
      <c r="E16313">
        <v>1576899280</v>
      </c>
      <c r="F16313">
        <v>26</v>
      </c>
      <c r="G16313">
        <v>0</v>
      </c>
      <c r="H16313" t="s">
        <v>21150</v>
      </c>
      <c r="I16313">
        <v>18520</v>
      </c>
      <c r="J16313" t="str">
        <f>VLOOKUP(E16313,DSSpieler!A:B,2,FALSE)</f>
        <v>TheLastChanceForU</v>
      </c>
    </row>
    <row r="16314" spans="1:10" x14ac:dyDescent="0.25">
      <c r="A16314">
        <v>18521</v>
      </c>
      <c r="B16314" t="s">
        <v>531</v>
      </c>
      <c r="C16314">
        <v>445</v>
      </c>
      <c r="D16314">
        <v>454</v>
      </c>
      <c r="E16314">
        <v>0</v>
      </c>
      <c r="F16314">
        <v>34</v>
      </c>
      <c r="G16314">
        <v>0</v>
      </c>
      <c r="H16314" t="s">
        <v>21151</v>
      </c>
      <c r="I16314">
        <v>18521</v>
      </c>
      <c r="J16314" t="e">
        <f>VLOOKUP(E16314,DSSpieler!A:B,2,FALSE)</f>
        <v>#N/A</v>
      </c>
    </row>
    <row r="16315" spans="1:10" x14ac:dyDescent="0.25">
      <c r="A16315">
        <v>18522</v>
      </c>
      <c r="B16315" t="s">
        <v>35641</v>
      </c>
      <c r="C16315">
        <v>388</v>
      </c>
      <c r="D16315">
        <v>436</v>
      </c>
      <c r="E16315">
        <v>10248165</v>
      </c>
      <c r="F16315">
        <v>1642</v>
      </c>
      <c r="G16315">
        <v>0</v>
      </c>
      <c r="H16315" t="s">
        <v>21152</v>
      </c>
      <c r="I16315">
        <v>18522</v>
      </c>
      <c r="J16315" t="str">
        <f>VLOOKUP(E16315,DSSpieler!A:B,2,FALSE)</f>
        <v>Meldrio</v>
      </c>
    </row>
    <row r="16316" spans="1:10" x14ac:dyDescent="0.25">
      <c r="A16316">
        <v>18523</v>
      </c>
      <c r="B16316" t="s">
        <v>3100</v>
      </c>
      <c r="C16316">
        <v>452</v>
      </c>
      <c r="D16316">
        <v>593</v>
      </c>
      <c r="E16316">
        <v>1576487284</v>
      </c>
      <c r="F16316">
        <v>677</v>
      </c>
      <c r="G16316">
        <v>0</v>
      </c>
      <c r="H16316" t="s">
        <v>21153</v>
      </c>
      <c r="I16316">
        <v>18523</v>
      </c>
      <c r="J16316" t="str">
        <f>VLOOKUP(E16316,DSSpieler!A:B,2,FALSE)</f>
        <v>kleiner-mann</v>
      </c>
    </row>
    <row r="16317" spans="1:10" x14ac:dyDescent="0.25">
      <c r="A16317">
        <v>18525</v>
      </c>
      <c r="B16317" t="s">
        <v>531</v>
      </c>
      <c r="C16317">
        <v>613</v>
      </c>
      <c r="D16317">
        <v>558</v>
      </c>
      <c r="E16317">
        <v>0</v>
      </c>
      <c r="F16317">
        <v>46</v>
      </c>
      <c r="G16317">
        <v>0</v>
      </c>
      <c r="H16317" t="s">
        <v>21154</v>
      </c>
      <c r="I16317">
        <v>18525</v>
      </c>
      <c r="J16317" t="e">
        <f>VLOOKUP(E16317,DSSpieler!A:B,2,FALSE)</f>
        <v>#N/A</v>
      </c>
    </row>
    <row r="16318" spans="1:10" x14ac:dyDescent="0.25">
      <c r="A16318">
        <v>18526</v>
      </c>
      <c r="B16318" t="s">
        <v>3101</v>
      </c>
      <c r="C16318">
        <v>407</v>
      </c>
      <c r="D16318">
        <v>409</v>
      </c>
      <c r="E16318">
        <v>9993706</v>
      </c>
      <c r="F16318">
        <v>1977</v>
      </c>
      <c r="G16318">
        <v>0</v>
      </c>
      <c r="H16318" t="s">
        <v>21155</v>
      </c>
      <c r="I16318">
        <v>18526</v>
      </c>
      <c r="J16318" t="str">
        <f>VLOOKUP(E16318,DSSpieler!A:B,2,FALSE)</f>
        <v>SUCOTER</v>
      </c>
    </row>
    <row r="16319" spans="1:10" x14ac:dyDescent="0.25">
      <c r="A16319">
        <v>18527</v>
      </c>
      <c r="B16319" t="s">
        <v>3102</v>
      </c>
      <c r="C16319">
        <v>615</v>
      </c>
      <c r="D16319">
        <v>439</v>
      </c>
      <c r="E16319">
        <v>1577073495</v>
      </c>
      <c r="F16319">
        <v>88</v>
      </c>
      <c r="G16319">
        <v>0</v>
      </c>
      <c r="H16319" t="s">
        <v>21156</v>
      </c>
      <c r="I16319">
        <v>18527</v>
      </c>
      <c r="J16319" t="str">
        <f>VLOOKUP(E16319,DSSpieler!A:B,2,FALSE)</f>
        <v>morgana</v>
      </c>
    </row>
    <row r="16320" spans="1:10" x14ac:dyDescent="0.25">
      <c r="A16320">
        <v>18528</v>
      </c>
      <c r="B16320" t="s">
        <v>531</v>
      </c>
      <c r="C16320">
        <v>449</v>
      </c>
      <c r="D16320">
        <v>381</v>
      </c>
      <c r="E16320">
        <v>0</v>
      </c>
      <c r="F16320">
        <v>89</v>
      </c>
      <c r="G16320">
        <v>0</v>
      </c>
      <c r="H16320" t="s">
        <v>21157</v>
      </c>
      <c r="I16320">
        <v>18528</v>
      </c>
      <c r="J16320" t="e">
        <f>VLOOKUP(E16320,DSSpieler!A:B,2,FALSE)</f>
        <v>#N/A</v>
      </c>
    </row>
    <row r="16321" spans="1:10" x14ac:dyDescent="0.25">
      <c r="A16321">
        <v>18530</v>
      </c>
      <c r="B16321" t="s">
        <v>3103</v>
      </c>
      <c r="C16321">
        <v>370</v>
      </c>
      <c r="D16321">
        <v>496</v>
      </c>
      <c r="E16321">
        <v>1576923338</v>
      </c>
      <c r="F16321">
        <v>1395</v>
      </c>
      <c r="G16321">
        <v>0</v>
      </c>
      <c r="H16321" t="s">
        <v>21158</v>
      </c>
      <c r="I16321">
        <v>18530</v>
      </c>
      <c r="J16321" t="str">
        <f>VLOOKUP(E16321,DSSpieler!A:B,2,FALSE)</f>
        <v>Arkano</v>
      </c>
    </row>
    <row r="16322" spans="1:10" x14ac:dyDescent="0.25">
      <c r="A16322">
        <v>18531</v>
      </c>
      <c r="B16322" t="s">
        <v>3104</v>
      </c>
      <c r="C16322">
        <v>373</v>
      </c>
      <c r="D16322">
        <v>464</v>
      </c>
      <c r="E16322">
        <v>1577193002</v>
      </c>
      <c r="F16322">
        <v>27</v>
      </c>
      <c r="G16322">
        <v>0</v>
      </c>
      <c r="H16322" t="s">
        <v>21159</v>
      </c>
      <c r="I16322">
        <v>18531</v>
      </c>
      <c r="J16322" t="str">
        <f>VLOOKUP(E16322,DSSpieler!A:B,2,FALSE)</f>
        <v>lord Balu</v>
      </c>
    </row>
    <row r="16323" spans="1:10" x14ac:dyDescent="0.25">
      <c r="A16323">
        <v>18533</v>
      </c>
      <c r="B16323" t="s">
        <v>3105</v>
      </c>
      <c r="C16323">
        <v>515</v>
      </c>
      <c r="D16323">
        <v>397</v>
      </c>
      <c r="E16323">
        <v>1577097364</v>
      </c>
      <c r="F16323">
        <v>1920</v>
      </c>
      <c r="G16323">
        <v>0</v>
      </c>
      <c r="H16323" t="s">
        <v>21160</v>
      </c>
      <c r="I16323">
        <v>18533</v>
      </c>
      <c r="J16323" t="str">
        <f>VLOOKUP(E16323,DSSpieler!A:B,2,FALSE)</f>
        <v>Kroko</v>
      </c>
    </row>
    <row r="16324" spans="1:10" x14ac:dyDescent="0.25">
      <c r="A16324">
        <v>18534</v>
      </c>
      <c r="B16324" t="s">
        <v>531</v>
      </c>
      <c r="C16324">
        <v>415</v>
      </c>
      <c r="D16324">
        <v>600</v>
      </c>
      <c r="E16324">
        <v>0</v>
      </c>
      <c r="F16324">
        <v>113</v>
      </c>
      <c r="G16324">
        <v>0</v>
      </c>
      <c r="H16324" t="s">
        <v>21161</v>
      </c>
      <c r="I16324">
        <v>18534</v>
      </c>
      <c r="J16324" t="e">
        <f>VLOOKUP(E16324,DSSpieler!A:B,2,FALSE)</f>
        <v>#N/A</v>
      </c>
    </row>
    <row r="16325" spans="1:10" x14ac:dyDescent="0.25">
      <c r="A16325">
        <v>18536</v>
      </c>
      <c r="B16325" t="s">
        <v>3106</v>
      </c>
      <c r="C16325">
        <v>387</v>
      </c>
      <c r="D16325">
        <v>442</v>
      </c>
      <c r="E16325">
        <v>1577150181</v>
      </c>
      <c r="F16325">
        <v>1621</v>
      </c>
      <c r="G16325">
        <v>0</v>
      </c>
      <c r="H16325" t="s">
        <v>21162</v>
      </c>
      <c r="I16325">
        <v>18536</v>
      </c>
      <c r="J16325" t="str">
        <f>VLOOKUP(E16325,DSSpieler!A:B,2,FALSE)</f>
        <v>fubu1501</v>
      </c>
    </row>
    <row r="16326" spans="1:10" x14ac:dyDescent="0.25">
      <c r="A16326">
        <v>18537</v>
      </c>
      <c r="B16326" t="s">
        <v>531</v>
      </c>
      <c r="C16326">
        <v>590</v>
      </c>
      <c r="D16326">
        <v>593</v>
      </c>
      <c r="E16326">
        <v>0</v>
      </c>
      <c r="F16326">
        <v>26</v>
      </c>
      <c r="G16326">
        <v>0</v>
      </c>
      <c r="H16326" t="s">
        <v>21163</v>
      </c>
      <c r="I16326">
        <v>18537</v>
      </c>
      <c r="J16326" t="e">
        <f>VLOOKUP(E16326,DSSpieler!A:B,2,FALSE)</f>
        <v>#N/A</v>
      </c>
    </row>
    <row r="16327" spans="1:10" x14ac:dyDescent="0.25">
      <c r="A16327">
        <v>18538</v>
      </c>
      <c r="B16327" t="s">
        <v>3107</v>
      </c>
      <c r="C16327">
        <v>385</v>
      </c>
      <c r="D16327">
        <v>533</v>
      </c>
      <c r="E16327">
        <v>1575841599</v>
      </c>
      <c r="F16327">
        <v>1795</v>
      </c>
      <c r="G16327">
        <v>0</v>
      </c>
      <c r="H16327" t="s">
        <v>21164</v>
      </c>
      <c r="I16327">
        <v>18538</v>
      </c>
      <c r="J16327" t="str">
        <f>VLOOKUP(E16327,DSSpieler!A:B,2,FALSE)</f>
        <v>König Alaneo</v>
      </c>
    </row>
    <row r="16328" spans="1:10" x14ac:dyDescent="0.25">
      <c r="A16328">
        <v>18539</v>
      </c>
      <c r="B16328" t="s">
        <v>3108</v>
      </c>
      <c r="C16328">
        <v>626</v>
      </c>
      <c r="D16328">
        <v>481</v>
      </c>
      <c r="E16328">
        <v>10186257</v>
      </c>
      <c r="F16328">
        <v>515</v>
      </c>
      <c r="G16328">
        <v>0</v>
      </c>
      <c r="H16328" t="s">
        <v>21165</v>
      </c>
      <c r="I16328">
        <v>18539</v>
      </c>
      <c r="J16328" t="str">
        <f>VLOOKUP(E16328,DSSpieler!A:B,2,FALSE)</f>
        <v>xXNeoExdeathXx</v>
      </c>
    </row>
    <row r="16329" spans="1:10" x14ac:dyDescent="0.25">
      <c r="A16329">
        <v>18541</v>
      </c>
      <c r="B16329" t="s">
        <v>3109</v>
      </c>
      <c r="C16329">
        <v>404</v>
      </c>
      <c r="D16329">
        <v>414</v>
      </c>
      <c r="E16329">
        <v>1576014044</v>
      </c>
      <c r="F16329">
        <v>412</v>
      </c>
      <c r="G16329">
        <v>0</v>
      </c>
      <c r="H16329" t="s">
        <v>21166</v>
      </c>
      <c r="I16329">
        <v>18541</v>
      </c>
      <c r="J16329" t="str">
        <f>VLOOKUP(E16329,DSSpieler!A:B,2,FALSE)</f>
        <v>lord der 1</v>
      </c>
    </row>
    <row r="16330" spans="1:10" x14ac:dyDescent="0.25">
      <c r="A16330">
        <v>18542</v>
      </c>
      <c r="B16330" t="s">
        <v>531</v>
      </c>
      <c r="C16330">
        <v>442</v>
      </c>
      <c r="D16330">
        <v>617</v>
      </c>
      <c r="E16330">
        <v>0</v>
      </c>
      <c r="F16330">
        <v>125</v>
      </c>
      <c r="G16330">
        <v>0</v>
      </c>
      <c r="H16330" t="s">
        <v>21167</v>
      </c>
      <c r="I16330">
        <v>18542</v>
      </c>
      <c r="J16330" t="e">
        <f>VLOOKUP(E16330,DSSpieler!A:B,2,FALSE)</f>
        <v>#N/A</v>
      </c>
    </row>
    <row r="16331" spans="1:10" x14ac:dyDescent="0.25">
      <c r="A16331">
        <v>18543</v>
      </c>
      <c r="B16331" t="s">
        <v>3110</v>
      </c>
      <c r="C16331">
        <v>512</v>
      </c>
      <c r="D16331">
        <v>374</v>
      </c>
      <c r="E16331">
        <v>1577206598</v>
      </c>
      <c r="F16331">
        <v>87</v>
      </c>
      <c r="G16331">
        <v>0</v>
      </c>
      <c r="H16331" t="s">
        <v>21168</v>
      </c>
      <c r="I16331">
        <v>18543</v>
      </c>
      <c r="J16331" t="str">
        <f>VLOOKUP(E16331,DSSpieler!A:B,2,FALSE)</f>
        <v>nila</v>
      </c>
    </row>
    <row r="16332" spans="1:10" x14ac:dyDescent="0.25">
      <c r="A16332">
        <v>18544</v>
      </c>
      <c r="B16332" t="s">
        <v>1321</v>
      </c>
      <c r="C16332">
        <v>373</v>
      </c>
      <c r="D16332">
        <v>470</v>
      </c>
      <c r="E16332">
        <v>7615223</v>
      </c>
      <c r="F16332">
        <v>1024</v>
      </c>
      <c r="G16332">
        <v>0</v>
      </c>
      <c r="H16332" t="s">
        <v>21169</v>
      </c>
      <c r="I16332">
        <v>18544</v>
      </c>
      <c r="J16332" t="str">
        <f>VLOOKUP(E16332,DSSpieler!A:B,2,FALSE)</f>
        <v>Erendil-Atreides</v>
      </c>
    </row>
    <row r="16333" spans="1:10" x14ac:dyDescent="0.25">
      <c r="A16333">
        <v>18545</v>
      </c>
      <c r="B16333" t="s">
        <v>3111</v>
      </c>
      <c r="C16333">
        <v>587</v>
      </c>
      <c r="D16333">
        <v>593</v>
      </c>
      <c r="E16333">
        <v>1577183267</v>
      </c>
      <c r="F16333">
        <v>26</v>
      </c>
      <c r="G16333">
        <v>0</v>
      </c>
      <c r="H16333" t="s">
        <v>21170</v>
      </c>
      <c r="I16333">
        <v>18545</v>
      </c>
      <c r="J16333" t="str">
        <f>VLOOKUP(E16333,DSSpieler!A:B,2,FALSE)</f>
        <v>Hubi0909</v>
      </c>
    </row>
    <row r="16334" spans="1:10" x14ac:dyDescent="0.25">
      <c r="A16334">
        <v>18546</v>
      </c>
      <c r="B16334" t="s">
        <v>531</v>
      </c>
      <c r="C16334">
        <v>384</v>
      </c>
      <c r="D16334">
        <v>447</v>
      </c>
      <c r="E16334">
        <v>0</v>
      </c>
      <c r="F16334">
        <v>121</v>
      </c>
      <c r="G16334">
        <v>0</v>
      </c>
      <c r="H16334" t="s">
        <v>21171</v>
      </c>
      <c r="I16334">
        <v>18546</v>
      </c>
      <c r="J16334" t="e">
        <f>VLOOKUP(E16334,DSSpieler!A:B,2,FALSE)</f>
        <v>#N/A</v>
      </c>
    </row>
    <row r="16335" spans="1:10" x14ac:dyDescent="0.25">
      <c r="A16335">
        <v>18547</v>
      </c>
      <c r="B16335" t="s">
        <v>3112</v>
      </c>
      <c r="C16335">
        <v>591</v>
      </c>
      <c r="D16335">
        <v>590</v>
      </c>
      <c r="E16335">
        <v>1576852611</v>
      </c>
      <c r="F16335">
        <v>713</v>
      </c>
      <c r="G16335">
        <v>0</v>
      </c>
      <c r="H16335" t="s">
        <v>21172</v>
      </c>
      <c r="I16335">
        <v>18547</v>
      </c>
      <c r="J16335" t="str">
        <f>VLOOKUP(E16335,DSSpieler!A:B,2,FALSE)</f>
        <v>neenee</v>
      </c>
    </row>
    <row r="16336" spans="1:10" x14ac:dyDescent="0.25">
      <c r="A16336">
        <v>18548</v>
      </c>
      <c r="B16336" t="s">
        <v>3113</v>
      </c>
      <c r="C16336">
        <v>629</v>
      </c>
      <c r="D16336">
        <v>516</v>
      </c>
      <c r="E16336">
        <v>1576788228</v>
      </c>
      <c r="F16336">
        <v>26</v>
      </c>
      <c r="G16336">
        <v>0</v>
      </c>
      <c r="H16336" t="s">
        <v>21173</v>
      </c>
      <c r="I16336">
        <v>18548</v>
      </c>
      <c r="J16336" t="str">
        <f>VLOOKUP(E16336,DSSpieler!A:B,2,FALSE)</f>
        <v>Neme</v>
      </c>
    </row>
    <row r="16337" spans="1:10" x14ac:dyDescent="0.25">
      <c r="A16337">
        <v>18549</v>
      </c>
      <c r="B16337" t="s">
        <v>531</v>
      </c>
      <c r="C16337">
        <v>390</v>
      </c>
      <c r="D16337">
        <v>434</v>
      </c>
      <c r="E16337">
        <v>0</v>
      </c>
      <c r="F16337">
        <v>157</v>
      </c>
      <c r="G16337">
        <v>0</v>
      </c>
      <c r="H16337" t="s">
        <v>21174</v>
      </c>
      <c r="I16337">
        <v>18549</v>
      </c>
      <c r="J16337" t="e">
        <f>VLOOKUP(E16337,DSSpieler!A:B,2,FALSE)</f>
        <v>#N/A</v>
      </c>
    </row>
    <row r="16338" spans="1:10" x14ac:dyDescent="0.25">
      <c r="A16338">
        <v>18550</v>
      </c>
      <c r="B16338" t="s">
        <v>35642</v>
      </c>
      <c r="C16338">
        <v>564</v>
      </c>
      <c r="D16338">
        <v>611</v>
      </c>
      <c r="E16338">
        <v>840147</v>
      </c>
      <c r="F16338">
        <v>289</v>
      </c>
      <c r="G16338">
        <v>0</v>
      </c>
      <c r="H16338" t="s">
        <v>21175</v>
      </c>
      <c r="I16338">
        <v>18550</v>
      </c>
      <c r="J16338" t="str">
        <f>VLOOKUP(E16338,DSSpieler!A:B,2,FALSE)</f>
        <v>Black Willy</v>
      </c>
    </row>
    <row r="16339" spans="1:10" x14ac:dyDescent="0.25">
      <c r="A16339">
        <v>18552</v>
      </c>
      <c r="B16339" t="s">
        <v>3114</v>
      </c>
      <c r="C16339">
        <v>489</v>
      </c>
      <c r="D16339">
        <v>616</v>
      </c>
      <c r="E16339">
        <v>1576895276</v>
      </c>
      <c r="F16339">
        <v>66</v>
      </c>
      <c r="G16339">
        <v>0</v>
      </c>
      <c r="H16339" t="s">
        <v>21176</v>
      </c>
      <c r="I16339">
        <v>18552</v>
      </c>
      <c r="J16339" t="str">
        <f>VLOOKUP(E16339,DSSpieler!A:B,2,FALSE)</f>
        <v>DopplTrippl</v>
      </c>
    </row>
    <row r="16340" spans="1:10" x14ac:dyDescent="0.25">
      <c r="A16340">
        <v>18553</v>
      </c>
      <c r="B16340" t="s">
        <v>35643</v>
      </c>
      <c r="C16340">
        <v>388</v>
      </c>
      <c r="D16340">
        <v>568</v>
      </c>
      <c r="E16340">
        <v>1577171033</v>
      </c>
      <c r="F16340">
        <v>667</v>
      </c>
      <c r="G16340">
        <v>0</v>
      </c>
      <c r="H16340" t="s">
        <v>21177</v>
      </c>
      <c r="I16340">
        <v>18553</v>
      </c>
      <c r="J16340" t="str">
        <f>VLOOKUP(E16340,DSSpieler!A:B,2,FALSE)</f>
        <v>Läufer</v>
      </c>
    </row>
    <row r="16341" spans="1:10" x14ac:dyDescent="0.25">
      <c r="A16341">
        <v>18554</v>
      </c>
      <c r="B16341">
        <f>-TR1</f>
        <v>0</v>
      </c>
      <c r="C16341">
        <v>612</v>
      </c>
      <c r="D16341">
        <v>442</v>
      </c>
      <c r="E16341">
        <v>2235577</v>
      </c>
      <c r="F16341">
        <v>949</v>
      </c>
      <c r="G16341">
        <v>0</v>
      </c>
      <c r="H16341" t="s">
        <v>21178</v>
      </c>
      <c r="I16341">
        <v>18554</v>
      </c>
      <c r="J16341" t="str">
        <f>VLOOKUP(E16341,DSSpieler!A:B,2,FALSE)</f>
        <v>Trebor</v>
      </c>
    </row>
    <row r="16342" spans="1:10" x14ac:dyDescent="0.25">
      <c r="A16342">
        <v>18555</v>
      </c>
      <c r="B16342" t="s">
        <v>3115</v>
      </c>
      <c r="C16342">
        <v>394</v>
      </c>
      <c r="D16342">
        <v>425</v>
      </c>
      <c r="E16342">
        <v>1576090863</v>
      </c>
      <c r="F16342">
        <v>512</v>
      </c>
      <c r="G16342">
        <v>0</v>
      </c>
      <c r="H16342" t="s">
        <v>21179</v>
      </c>
      <c r="I16342">
        <v>18555</v>
      </c>
      <c r="J16342" t="str">
        <f>VLOOKUP(E16342,DSSpieler!A:B,2,FALSE)</f>
        <v>viktor-85</v>
      </c>
    </row>
    <row r="16343" spans="1:10" x14ac:dyDescent="0.25">
      <c r="A16343">
        <v>18557</v>
      </c>
      <c r="B16343" t="s">
        <v>643</v>
      </c>
      <c r="C16343">
        <v>526</v>
      </c>
      <c r="D16343">
        <v>374</v>
      </c>
      <c r="E16343">
        <v>1577197069</v>
      </c>
      <c r="F16343">
        <v>1705</v>
      </c>
      <c r="G16343">
        <v>0</v>
      </c>
      <c r="H16343" t="s">
        <v>21180</v>
      </c>
      <c r="I16343">
        <v>18557</v>
      </c>
      <c r="J16343" t="str">
        <f>VLOOKUP(E16343,DSSpieler!A:B,2,FALSE)</f>
        <v>slinDynamic</v>
      </c>
    </row>
    <row r="16344" spans="1:10" x14ac:dyDescent="0.25">
      <c r="A16344">
        <v>18558</v>
      </c>
      <c r="B16344" t="s">
        <v>531</v>
      </c>
      <c r="C16344">
        <v>625</v>
      </c>
      <c r="D16344">
        <v>527</v>
      </c>
      <c r="E16344">
        <v>0</v>
      </c>
      <c r="F16344">
        <v>26</v>
      </c>
      <c r="G16344">
        <v>0</v>
      </c>
      <c r="H16344" t="s">
        <v>21181</v>
      </c>
      <c r="I16344">
        <v>18558</v>
      </c>
      <c r="J16344" t="e">
        <f>VLOOKUP(E16344,DSSpieler!A:B,2,FALSE)</f>
        <v>#N/A</v>
      </c>
    </row>
    <row r="16345" spans="1:10" x14ac:dyDescent="0.25">
      <c r="A16345">
        <v>18559</v>
      </c>
      <c r="B16345" t="s">
        <v>3116</v>
      </c>
      <c r="C16345">
        <v>435</v>
      </c>
      <c r="D16345">
        <v>586</v>
      </c>
      <c r="E16345">
        <v>8803498</v>
      </c>
      <c r="F16345">
        <v>26</v>
      </c>
      <c r="G16345">
        <v>0</v>
      </c>
      <c r="H16345" t="s">
        <v>21182</v>
      </c>
      <c r="I16345">
        <v>18559</v>
      </c>
      <c r="J16345" t="str">
        <f>VLOOKUP(E16345,DSSpieler!A:B,2,FALSE)</f>
        <v>BlackStory</v>
      </c>
    </row>
    <row r="16346" spans="1:10" x14ac:dyDescent="0.25">
      <c r="A16346">
        <v>18561</v>
      </c>
      <c r="B16346" t="s">
        <v>3117</v>
      </c>
      <c r="C16346">
        <v>452</v>
      </c>
      <c r="D16346">
        <v>379</v>
      </c>
      <c r="E16346">
        <v>9230394</v>
      </c>
      <c r="F16346">
        <v>230</v>
      </c>
      <c r="G16346">
        <v>0</v>
      </c>
      <c r="H16346" t="s">
        <v>21183</v>
      </c>
      <c r="I16346">
        <v>18561</v>
      </c>
      <c r="J16346" t="str">
        <f>VLOOKUP(E16346,DSSpieler!A:B,2,FALSE)</f>
        <v>Sunnyschine</v>
      </c>
    </row>
    <row r="16347" spans="1:10" x14ac:dyDescent="0.25">
      <c r="A16347">
        <v>18563</v>
      </c>
      <c r="B16347" t="s">
        <v>3118</v>
      </c>
      <c r="C16347">
        <v>583</v>
      </c>
      <c r="D16347">
        <v>400</v>
      </c>
      <c r="E16347">
        <v>1577196719</v>
      </c>
      <c r="F16347">
        <v>26</v>
      </c>
      <c r="G16347">
        <v>0</v>
      </c>
      <c r="H16347" t="s">
        <v>21184</v>
      </c>
      <c r="I16347">
        <v>18563</v>
      </c>
      <c r="J16347" t="str">
        <f>VLOOKUP(E16347,DSSpieler!A:B,2,FALSE)</f>
        <v>henkeeeeee</v>
      </c>
    </row>
    <row r="16348" spans="1:10" x14ac:dyDescent="0.25">
      <c r="A16348">
        <v>18564</v>
      </c>
      <c r="B16348" t="s">
        <v>3119</v>
      </c>
      <c r="C16348">
        <v>598</v>
      </c>
      <c r="D16348">
        <v>414</v>
      </c>
      <c r="E16348">
        <v>640004</v>
      </c>
      <c r="F16348">
        <v>753</v>
      </c>
      <c r="G16348">
        <v>0</v>
      </c>
      <c r="H16348" t="s">
        <v>21185</v>
      </c>
      <c r="I16348">
        <v>18564</v>
      </c>
      <c r="J16348" t="str">
        <f>VLOOKUP(E16348,DSSpieler!A:B,2,FALSE)</f>
        <v>Fanbite</v>
      </c>
    </row>
    <row r="16349" spans="1:10" x14ac:dyDescent="0.25">
      <c r="A16349">
        <v>18565</v>
      </c>
      <c r="B16349" t="s">
        <v>3120</v>
      </c>
      <c r="C16349">
        <v>501</v>
      </c>
      <c r="D16349">
        <v>627</v>
      </c>
      <c r="E16349">
        <v>1577206638</v>
      </c>
      <c r="F16349">
        <v>1054</v>
      </c>
      <c r="G16349">
        <v>0</v>
      </c>
      <c r="H16349" t="s">
        <v>21186</v>
      </c>
      <c r="I16349">
        <v>18565</v>
      </c>
      <c r="J16349" t="str">
        <f>VLOOKUP(E16349,DSSpieler!A:B,2,FALSE)</f>
        <v>Lady Eri</v>
      </c>
    </row>
    <row r="16350" spans="1:10" x14ac:dyDescent="0.25">
      <c r="A16350">
        <v>18566</v>
      </c>
      <c r="B16350" t="s">
        <v>3121</v>
      </c>
      <c r="C16350">
        <v>433</v>
      </c>
      <c r="D16350">
        <v>388</v>
      </c>
      <c r="E16350">
        <v>1577187736</v>
      </c>
      <c r="F16350">
        <v>213</v>
      </c>
      <c r="G16350">
        <v>0</v>
      </c>
      <c r="H16350" t="s">
        <v>21187</v>
      </c>
      <c r="I16350">
        <v>18566</v>
      </c>
      <c r="J16350" t="str">
        <f>VLOOKUP(E16350,DSSpieler!A:B,2,FALSE)</f>
        <v>wochta1</v>
      </c>
    </row>
    <row r="16351" spans="1:10" x14ac:dyDescent="0.25">
      <c r="A16351">
        <v>18568</v>
      </c>
      <c r="B16351">
        <v>1</v>
      </c>
      <c r="C16351">
        <v>496</v>
      </c>
      <c r="D16351">
        <v>631</v>
      </c>
      <c r="E16351">
        <v>1576121001</v>
      </c>
      <c r="F16351">
        <v>321</v>
      </c>
      <c r="G16351">
        <v>0</v>
      </c>
      <c r="H16351" t="s">
        <v>21188</v>
      </c>
      <c r="I16351">
        <v>18568</v>
      </c>
      <c r="J16351" t="str">
        <f>VLOOKUP(E16351,DSSpieler!A:B,2,FALSE)</f>
        <v>MM125</v>
      </c>
    </row>
    <row r="16352" spans="1:10" x14ac:dyDescent="0.25">
      <c r="A16352">
        <v>18570</v>
      </c>
      <c r="B16352" t="s">
        <v>35644</v>
      </c>
      <c r="C16352">
        <v>617</v>
      </c>
      <c r="D16352">
        <v>439</v>
      </c>
      <c r="E16352">
        <v>1576711209</v>
      </c>
      <c r="F16352">
        <v>461</v>
      </c>
      <c r="G16352">
        <v>0</v>
      </c>
      <c r="H16352" t="s">
        <v>21189</v>
      </c>
      <c r="I16352">
        <v>18570</v>
      </c>
      <c r="J16352" t="str">
        <f>VLOOKUP(E16352,DSSpieler!A:B,2,FALSE)</f>
        <v>BElschen</v>
      </c>
    </row>
    <row r="16353" spans="1:10" x14ac:dyDescent="0.25">
      <c r="A16353">
        <v>18571</v>
      </c>
      <c r="B16353" t="s">
        <v>3122</v>
      </c>
      <c r="C16353">
        <v>368</v>
      </c>
      <c r="D16353">
        <v>519</v>
      </c>
      <c r="E16353">
        <v>1577188130</v>
      </c>
      <c r="F16353">
        <v>1304</v>
      </c>
      <c r="G16353">
        <v>0</v>
      </c>
      <c r="H16353" t="s">
        <v>21190</v>
      </c>
      <c r="I16353">
        <v>18571</v>
      </c>
      <c r="J16353" t="str">
        <f>VLOOKUP(E16353,DSSpieler!A:B,2,FALSE)</f>
        <v>-Shiki-</v>
      </c>
    </row>
    <row r="16354" spans="1:10" x14ac:dyDescent="0.25">
      <c r="A16354">
        <v>18572</v>
      </c>
      <c r="B16354" t="s">
        <v>35645</v>
      </c>
      <c r="C16354">
        <v>508</v>
      </c>
      <c r="D16354">
        <v>388</v>
      </c>
      <c r="E16354">
        <v>1577195319</v>
      </c>
      <c r="F16354">
        <v>1099</v>
      </c>
      <c r="G16354">
        <v>0</v>
      </c>
      <c r="H16354" t="s">
        <v>21191</v>
      </c>
      <c r="I16354">
        <v>18572</v>
      </c>
      <c r="J16354" t="str">
        <f>VLOOKUP(E16354,DSSpieler!A:B,2,FALSE)</f>
        <v>killjumper</v>
      </c>
    </row>
    <row r="16355" spans="1:10" x14ac:dyDescent="0.25">
      <c r="A16355">
        <v>18573</v>
      </c>
      <c r="B16355" t="s">
        <v>150</v>
      </c>
      <c r="C16355">
        <v>624</v>
      </c>
      <c r="D16355">
        <v>530</v>
      </c>
      <c r="E16355">
        <v>1576988780</v>
      </c>
      <c r="F16355">
        <v>1199</v>
      </c>
      <c r="G16355">
        <v>0</v>
      </c>
      <c r="H16355" t="s">
        <v>21192</v>
      </c>
      <c r="I16355">
        <v>18573</v>
      </c>
      <c r="J16355" t="str">
        <f>VLOOKUP(E16355,DSSpieler!A:B,2,FALSE)</f>
        <v>Amenhotep</v>
      </c>
    </row>
    <row r="16356" spans="1:10" x14ac:dyDescent="0.25">
      <c r="A16356">
        <v>18574</v>
      </c>
      <c r="B16356" t="s">
        <v>643</v>
      </c>
      <c r="C16356">
        <v>446</v>
      </c>
      <c r="D16356">
        <v>620</v>
      </c>
      <c r="E16356">
        <v>1577206661</v>
      </c>
      <c r="F16356">
        <v>972</v>
      </c>
      <c r="G16356">
        <v>0</v>
      </c>
      <c r="H16356" t="s">
        <v>21193</v>
      </c>
      <c r="I16356">
        <v>18574</v>
      </c>
      <c r="J16356" t="str">
        <f>VLOOKUP(E16356,DSSpieler!A:B,2,FALSE)</f>
        <v>Kanatan</v>
      </c>
    </row>
    <row r="16357" spans="1:10" x14ac:dyDescent="0.25">
      <c r="A16357">
        <v>18575</v>
      </c>
      <c r="B16357">
        <v>4</v>
      </c>
      <c r="C16357">
        <v>376</v>
      </c>
      <c r="D16357">
        <v>475</v>
      </c>
      <c r="E16357">
        <v>1577179274</v>
      </c>
      <c r="F16357">
        <v>1485</v>
      </c>
      <c r="G16357">
        <v>0</v>
      </c>
      <c r="H16357" t="s">
        <v>21194</v>
      </c>
      <c r="I16357">
        <v>18575</v>
      </c>
      <c r="J16357" t="str">
        <f>VLOOKUP(E16357,DSSpieler!A:B,2,FALSE)</f>
        <v>MasonGunner</v>
      </c>
    </row>
    <row r="16358" spans="1:10" x14ac:dyDescent="0.25">
      <c r="A16358">
        <v>18576</v>
      </c>
      <c r="B16358" t="s">
        <v>3123</v>
      </c>
      <c r="C16358">
        <v>595</v>
      </c>
      <c r="D16358">
        <v>589</v>
      </c>
      <c r="E16358">
        <v>1577094291</v>
      </c>
      <c r="F16358">
        <v>1810</v>
      </c>
      <c r="G16358">
        <v>0</v>
      </c>
      <c r="H16358" t="s">
        <v>21195</v>
      </c>
      <c r="I16358">
        <v>18576</v>
      </c>
      <c r="J16358" t="str">
        <f>VLOOKUP(E16358,DSSpieler!A:B,2,FALSE)</f>
        <v>Whitebeard91</v>
      </c>
    </row>
    <row r="16359" spans="1:10" x14ac:dyDescent="0.25">
      <c r="A16359">
        <v>18577</v>
      </c>
      <c r="B16359">
        <v>111</v>
      </c>
      <c r="C16359">
        <v>625</v>
      </c>
      <c r="D16359">
        <v>521</v>
      </c>
      <c r="E16359">
        <v>1577198642</v>
      </c>
      <c r="F16359">
        <v>712</v>
      </c>
      <c r="G16359">
        <v>0</v>
      </c>
      <c r="H16359" t="s">
        <v>21196</v>
      </c>
      <c r="I16359">
        <v>18577</v>
      </c>
      <c r="J16359" t="str">
        <f>VLOOKUP(E16359,DSSpieler!A:B,2,FALSE)</f>
        <v>Fear slayer</v>
      </c>
    </row>
    <row r="16360" spans="1:10" x14ac:dyDescent="0.25">
      <c r="A16360">
        <v>18578</v>
      </c>
      <c r="B16360" t="s">
        <v>3124</v>
      </c>
      <c r="C16360">
        <v>628</v>
      </c>
      <c r="D16360">
        <v>528</v>
      </c>
      <c r="E16360">
        <v>1577028224</v>
      </c>
      <c r="F16360">
        <v>26</v>
      </c>
      <c r="G16360">
        <v>0</v>
      </c>
      <c r="H16360" t="s">
        <v>21197</v>
      </c>
      <c r="I16360">
        <v>18578</v>
      </c>
      <c r="J16360" t="str">
        <f>VLOOKUP(E16360,DSSpieler!A:B,2,FALSE)</f>
        <v>loislbua</v>
      </c>
    </row>
    <row r="16361" spans="1:10" x14ac:dyDescent="0.25">
      <c r="A16361">
        <v>18579</v>
      </c>
      <c r="B16361" t="s">
        <v>35646</v>
      </c>
      <c r="C16361">
        <v>376</v>
      </c>
      <c r="D16361">
        <v>469</v>
      </c>
      <c r="E16361">
        <v>9947050</v>
      </c>
      <c r="F16361">
        <v>1806</v>
      </c>
      <c r="G16361">
        <v>0</v>
      </c>
      <c r="H16361" t="s">
        <v>21198</v>
      </c>
      <c r="I16361">
        <v>18579</v>
      </c>
      <c r="J16361" t="str">
        <f>VLOOKUP(E16361,DSSpieler!A:B,2,FALSE)</f>
        <v>majo2212</v>
      </c>
    </row>
    <row r="16362" spans="1:10" x14ac:dyDescent="0.25">
      <c r="A16362">
        <v>18580</v>
      </c>
      <c r="B16362" t="s">
        <v>531</v>
      </c>
      <c r="C16362">
        <v>374</v>
      </c>
      <c r="D16362">
        <v>462</v>
      </c>
      <c r="E16362">
        <v>0</v>
      </c>
      <c r="F16362">
        <v>115</v>
      </c>
      <c r="G16362">
        <v>0</v>
      </c>
      <c r="H16362" t="s">
        <v>21199</v>
      </c>
      <c r="I16362">
        <v>18580</v>
      </c>
      <c r="J16362" t="e">
        <f>VLOOKUP(E16362,DSSpieler!A:B,2,FALSE)</f>
        <v>#N/A</v>
      </c>
    </row>
    <row r="16363" spans="1:10" x14ac:dyDescent="0.25">
      <c r="A16363">
        <v>18581</v>
      </c>
      <c r="B16363" t="s">
        <v>3125</v>
      </c>
      <c r="C16363">
        <v>374</v>
      </c>
      <c r="D16363">
        <v>487</v>
      </c>
      <c r="E16363">
        <v>8421830</v>
      </c>
      <c r="F16363">
        <v>1382</v>
      </c>
      <c r="G16363">
        <v>0</v>
      </c>
      <c r="H16363" t="s">
        <v>21200</v>
      </c>
      <c r="I16363">
        <v>18581</v>
      </c>
      <c r="J16363" t="str">
        <f>VLOOKUP(E16363,DSSpieler!A:B,2,FALSE)</f>
        <v>Nork 100</v>
      </c>
    </row>
    <row r="16364" spans="1:10" x14ac:dyDescent="0.25">
      <c r="A16364">
        <v>18584</v>
      </c>
      <c r="B16364" t="s">
        <v>531</v>
      </c>
      <c r="C16364">
        <v>389</v>
      </c>
      <c r="D16364">
        <v>441</v>
      </c>
      <c r="E16364">
        <v>0</v>
      </c>
      <c r="F16364">
        <v>98</v>
      </c>
      <c r="G16364">
        <v>0</v>
      </c>
      <c r="H16364" t="s">
        <v>21201</v>
      </c>
      <c r="I16364">
        <v>18584</v>
      </c>
      <c r="J16364" t="e">
        <f>VLOOKUP(E16364,DSSpieler!A:B,2,FALSE)</f>
        <v>#N/A</v>
      </c>
    </row>
    <row r="16365" spans="1:10" x14ac:dyDescent="0.25">
      <c r="A16365">
        <v>18585</v>
      </c>
      <c r="B16365" t="s">
        <v>3126</v>
      </c>
      <c r="C16365">
        <v>587</v>
      </c>
      <c r="D16365">
        <v>404</v>
      </c>
      <c r="E16365">
        <v>1576344740</v>
      </c>
      <c r="F16365">
        <v>26</v>
      </c>
      <c r="G16365">
        <v>0</v>
      </c>
      <c r="H16365" t="s">
        <v>21202</v>
      </c>
      <c r="I16365">
        <v>18585</v>
      </c>
      <c r="J16365" t="str">
        <f>VLOOKUP(E16365,DSSpieler!A:B,2,FALSE)</f>
        <v>drache 07</v>
      </c>
    </row>
    <row r="16366" spans="1:10" x14ac:dyDescent="0.25">
      <c r="A16366">
        <v>18586</v>
      </c>
      <c r="B16366" t="s">
        <v>3127</v>
      </c>
      <c r="C16366">
        <v>502</v>
      </c>
      <c r="D16366">
        <v>608</v>
      </c>
      <c r="E16366">
        <v>1577183540</v>
      </c>
      <c r="F16366">
        <v>1337</v>
      </c>
      <c r="G16366">
        <v>0</v>
      </c>
      <c r="H16366" t="s">
        <v>21203</v>
      </c>
      <c r="I16366">
        <v>18586</v>
      </c>
      <c r="J16366" t="str">
        <f>VLOOKUP(E16366,DSSpieler!A:B,2,FALSE)</f>
        <v>Kartenrand</v>
      </c>
    </row>
    <row r="16367" spans="1:10" x14ac:dyDescent="0.25">
      <c r="A16367">
        <v>18587</v>
      </c>
      <c r="B16367" t="s">
        <v>3128</v>
      </c>
      <c r="C16367">
        <v>436</v>
      </c>
      <c r="D16367">
        <v>385</v>
      </c>
      <c r="E16367">
        <v>1577035648</v>
      </c>
      <c r="F16367">
        <v>1782</v>
      </c>
      <c r="G16367">
        <v>0</v>
      </c>
      <c r="H16367" t="s">
        <v>21204</v>
      </c>
      <c r="I16367">
        <v>18587</v>
      </c>
      <c r="J16367" t="str">
        <f>VLOOKUP(E16367,DSSpieler!A:B,2,FALSE)</f>
        <v>Leutnant Retterspitz</v>
      </c>
    </row>
    <row r="16368" spans="1:10" x14ac:dyDescent="0.25">
      <c r="A16368">
        <v>18588</v>
      </c>
      <c r="B16368" t="s">
        <v>3129</v>
      </c>
      <c r="C16368">
        <v>565</v>
      </c>
      <c r="D16368">
        <v>607</v>
      </c>
      <c r="E16368">
        <v>3451421</v>
      </c>
      <c r="F16368">
        <v>2009</v>
      </c>
      <c r="G16368">
        <v>0</v>
      </c>
      <c r="H16368" t="s">
        <v>21205</v>
      </c>
      <c r="I16368">
        <v>18588</v>
      </c>
      <c r="J16368" t="str">
        <f>VLOOKUP(E16368,DSSpieler!A:B,2,FALSE)</f>
        <v>miniatumarex</v>
      </c>
    </row>
    <row r="16369" spans="1:10" x14ac:dyDescent="0.25">
      <c r="A16369">
        <v>18590</v>
      </c>
      <c r="B16369">
        <v>1</v>
      </c>
      <c r="C16369">
        <v>598</v>
      </c>
      <c r="D16369">
        <v>575</v>
      </c>
      <c r="E16369">
        <v>1577187369</v>
      </c>
      <c r="F16369">
        <v>1205</v>
      </c>
      <c r="G16369">
        <v>0</v>
      </c>
      <c r="H16369" t="s">
        <v>21206</v>
      </c>
      <c r="I16369">
        <v>18590</v>
      </c>
      <c r="J16369" t="str">
        <f>VLOOKUP(E16369,DSSpieler!A:B,2,FALSE)</f>
        <v>IchHabNenBart</v>
      </c>
    </row>
    <row r="16370" spans="1:10" x14ac:dyDescent="0.25">
      <c r="A16370">
        <v>18592</v>
      </c>
      <c r="B16370" t="e">
        <f>-5-+Egroht</f>
        <v>#NAME?</v>
      </c>
      <c r="C16370">
        <v>535</v>
      </c>
      <c r="D16370">
        <v>506</v>
      </c>
      <c r="E16370">
        <v>3289095</v>
      </c>
      <c r="F16370">
        <v>931</v>
      </c>
      <c r="G16370">
        <v>0</v>
      </c>
      <c r="H16370" t="s">
        <v>21207</v>
      </c>
      <c r="I16370">
        <v>18592</v>
      </c>
      <c r="J16370" t="str">
        <f>VLOOKUP(E16370,DSSpieler!A:B,2,FALSE)</f>
        <v>john1988</v>
      </c>
    </row>
    <row r="16371" spans="1:10" x14ac:dyDescent="0.25">
      <c r="A16371">
        <v>18594</v>
      </c>
      <c r="B16371" t="s">
        <v>3130</v>
      </c>
      <c r="C16371">
        <v>506</v>
      </c>
      <c r="D16371">
        <v>366</v>
      </c>
      <c r="E16371">
        <v>1576769595</v>
      </c>
      <c r="F16371">
        <v>1964</v>
      </c>
      <c r="G16371">
        <v>0</v>
      </c>
      <c r="H16371" t="s">
        <v>21208</v>
      </c>
      <c r="I16371">
        <v>18594</v>
      </c>
      <c r="J16371" t="str">
        <f>VLOOKUP(E16371,DSSpieler!A:B,2,FALSE)</f>
        <v>Foerk2</v>
      </c>
    </row>
    <row r="16372" spans="1:10" x14ac:dyDescent="0.25">
      <c r="A16372">
        <v>18595</v>
      </c>
      <c r="B16372" t="s">
        <v>3131</v>
      </c>
      <c r="C16372">
        <v>540</v>
      </c>
      <c r="D16372">
        <v>375</v>
      </c>
      <c r="E16372">
        <v>1577155026</v>
      </c>
      <c r="F16372">
        <v>1358</v>
      </c>
      <c r="G16372">
        <v>0</v>
      </c>
      <c r="H16372" t="s">
        <v>21209</v>
      </c>
      <c r="I16372">
        <v>18595</v>
      </c>
      <c r="J16372" t="str">
        <f>VLOOKUP(E16372,DSSpieler!A:B,2,FALSE)</f>
        <v>Ezpzlemonsquishy</v>
      </c>
    </row>
    <row r="16373" spans="1:10" x14ac:dyDescent="0.25">
      <c r="A16373">
        <v>18596</v>
      </c>
      <c r="B16373" t="s">
        <v>3132</v>
      </c>
      <c r="C16373">
        <v>396</v>
      </c>
      <c r="D16373">
        <v>572</v>
      </c>
      <c r="E16373">
        <v>2815150</v>
      </c>
      <c r="F16373">
        <v>1441</v>
      </c>
      <c r="G16373">
        <v>0</v>
      </c>
      <c r="H16373" t="s">
        <v>21210</v>
      </c>
      <c r="I16373">
        <v>18596</v>
      </c>
      <c r="J16373" t="str">
        <f>VLOOKUP(E16373,DSSpieler!A:B,2,FALSE)</f>
        <v>alf11</v>
      </c>
    </row>
    <row r="16374" spans="1:10" x14ac:dyDescent="0.25">
      <c r="A16374">
        <v>18597</v>
      </c>
      <c r="B16374" t="s">
        <v>3133</v>
      </c>
      <c r="C16374">
        <v>429</v>
      </c>
      <c r="D16374">
        <v>391</v>
      </c>
      <c r="E16374">
        <v>1577017588</v>
      </c>
      <c r="F16374">
        <v>1293</v>
      </c>
      <c r="G16374">
        <v>0</v>
      </c>
      <c r="H16374" t="s">
        <v>21211</v>
      </c>
      <c r="I16374">
        <v>18597</v>
      </c>
      <c r="J16374" t="str">
        <f>VLOOKUP(E16374,DSSpieler!A:B,2,FALSE)</f>
        <v>Kinimod9592</v>
      </c>
    </row>
    <row r="16375" spans="1:10" x14ac:dyDescent="0.25">
      <c r="A16375">
        <v>18598</v>
      </c>
      <c r="B16375" t="s">
        <v>531</v>
      </c>
      <c r="C16375">
        <v>383</v>
      </c>
      <c r="D16375">
        <v>558</v>
      </c>
      <c r="E16375">
        <v>0</v>
      </c>
      <c r="F16375">
        <v>108</v>
      </c>
      <c r="G16375">
        <v>0</v>
      </c>
      <c r="H16375" t="s">
        <v>21212</v>
      </c>
      <c r="I16375">
        <v>18598</v>
      </c>
      <c r="J16375" t="e">
        <f>VLOOKUP(E16375,DSSpieler!A:B,2,FALSE)</f>
        <v>#N/A</v>
      </c>
    </row>
    <row r="16376" spans="1:10" x14ac:dyDescent="0.25">
      <c r="A16376">
        <v>18599</v>
      </c>
      <c r="B16376" t="s">
        <v>3134</v>
      </c>
      <c r="C16376">
        <v>444</v>
      </c>
      <c r="D16376">
        <v>395</v>
      </c>
      <c r="E16376">
        <v>1577200335</v>
      </c>
      <c r="F16376">
        <v>200</v>
      </c>
      <c r="G16376">
        <v>0</v>
      </c>
      <c r="H16376" t="s">
        <v>21213</v>
      </c>
      <c r="I16376">
        <v>18599</v>
      </c>
      <c r="J16376" t="str">
        <f>VLOOKUP(E16376,DSSpieler!A:B,2,FALSE)</f>
        <v>Genror</v>
      </c>
    </row>
    <row r="16377" spans="1:10" x14ac:dyDescent="0.25">
      <c r="A16377">
        <v>18600</v>
      </c>
      <c r="B16377" t="s">
        <v>3135</v>
      </c>
      <c r="C16377">
        <v>387</v>
      </c>
      <c r="D16377">
        <v>563</v>
      </c>
      <c r="E16377">
        <v>193352</v>
      </c>
      <c r="F16377">
        <v>1184</v>
      </c>
      <c r="G16377">
        <v>0</v>
      </c>
      <c r="H16377" t="s">
        <v>21214</v>
      </c>
      <c r="I16377">
        <v>18600</v>
      </c>
      <c r="J16377" t="str">
        <f>VLOOKUP(E16377,DSSpieler!A:B,2,FALSE)</f>
        <v>Berserker89</v>
      </c>
    </row>
    <row r="16378" spans="1:10" x14ac:dyDescent="0.25">
      <c r="A16378">
        <v>18601</v>
      </c>
      <c r="B16378">
        <v>1</v>
      </c>
      <c r="C16378">
        <v>509</v>
      </c>
      <c r="D16378">
        <v>369</v>
      </c>
      <c r="E16378">
        <v>1577189077</v>
      </c>
      <c r="F16378">
        <v>26</v>
      </c>
      <c r="G16378">
        <v>0</v>
      </c>
      <c r="H16378" t="s">
        <v>21215</v>
      </c>
      <c r="I16378">
        <v>18601</v>
      </c>
      <c r="J16378" t="str">
        <f>VLOOKUP(E16378,DSSpieler!A:B,2,FALSE)</f>
        <v>chris1234chris</v>
      </c>
    </row>
    <row r="16379" spans="1:10" x14ac:dyDescent="0.25">
      <c r="A16379">
        <v>18602</v>
      </c>
      <c r="B16379" t="s">
        <v>531</v>
      </c>
      <c r="C16379">
        <v>576</v>
      </c>
      <c r="D16379">
        <v>394</v>
      </c>
      <c r="E16379">
        <v>0</v>
      </c>
      <c r="F16379">
        <v>136</v>
      </c>
      <c r="G16379">
        <v>0</v>
      </c>
      <c r="H16379" t="s">
        <v>21216</v>
      </c>
      <c r="I16379">
        <v>18602</v>
      </c>
      <c r="J16379" t="e">
        <f>VLOOKUP(E16379,DSSpieler!A:B,2,FALSE)</f>
        <v>#N/A</v>
      </c>
    </row>
    <row r="16380" spans="1:10" x14ac:dyDescent="0.25">
      <c r="A16380">
        <v>18604</v>
      </c>
      <c r="B16380" t="s">
        <v>531</v>
      </c>
      <c r="C16380">
        <v>569</v>
      </c>
      <c r="D16380">
        <v>610</v>
      </c>
      <c r="E16380">
        <v>0</v>
      </c>
      <c r="F16380">
        <v>120</v>
      </c>
      <c r="G16380">
        <v>0</v>
      </c>
      <c r="H16380" t="s">
        <v>21217</v>
      </c>
      <c r="I16380">
        <v>18604</v>
      </c>
      <c r="J16380" t="e">
        <f>VLOOKUP(E16380,DSSpieler!A:B,2,FALSE)</f>
        <v>#N/A</v>
      </c>
    </row>
    <row r="16381" spans="1:10" x14ac:dyDescent="0.25">
      <c r="A16381">
        <v>18605</v>
      </c>
      <c r="B16381" t="s">
        <v>531</v>
      </c>
      <c r="C16381">
        <v>419</v>
      </c>
      <c r="D16381">
        <v>398</v>
      </c>
      <c r="E16381">
        <v>0</v>
      </c>
      <c r="F16381">
        <v>94</v>
      </c>
      <c r="G16381">
        <v>0</v>
      </c>
      <c r="H16381" t="s">
        <v>21218</v>
      </c>
      <c r="I16381">
        <v>18605</v>
      </c>
      <c r="J16381" t="e">
        <f>VLOOKUP(E16381,DSSpieler!A:B,2,FALSE)</f>
        <v>#N/A</v>
      </c>
    </row>
    <row r="16382" spans="1:10" x14ac:dyDescent="0.25">
      <c r="A16382">
        <v>18606</v>
      </c>
      <c r="B16382" t="s">
        <v>3136</v>
      </c>
      <c r="C16382">
        <v>607</v>
      </c>
      <c r="D16382">
        <v>505</v>
      </c>
      <c r="E16382">
        <v>1577195216</v>
      </c>
      <c r="F16382">
        <v>47</v>
      </c>
      <c r="G16382">
        <v>0</v>
      </c>
      <c r="H16382" t="s">
        <v>21219</v>
      </c>
      <c r="I16382">
        <v>18606</v>
      </c>
      <c r="J16382" t="str">
        <f>VLOOKUP(E16382,DSSpieler!A:B,2,FALSE)</f>
        <v>blondiethebest</v>
      </c>
    </row>
    <row r="16383" spans="1:10" x14ac:dyDescent="0.25">
      <c r="A16383">
        <v>18607</v>
      </c>
      <c r="B16383" t="s">
        <v>35647</v>
      </c>
      <c r="C16383">
        <v>500</v>
      </c>
      <c r="D16383">
        <v>369</v>
      </c>
      <c r="E16383">
        <v>1576890801</v>
      </c>
      <c r="F16383">
        <v>1695</v>
      </c>
      <c r="G16383">
        <v>0</v>
      </c>
      <c r="H16383" t="s">
        <v>21220</v>
      </c>
      <c r="I16383">
        <v>18607</v>
      </c>
      <c r="J16383" t="str">
        <f>VLOOKUP(E16383,DSSpieler!A:B,2,FALSE)</f>
        <v>JessiStressi</v>
      </c>
    </row>
    <row r="16384" spans="1:10" x14ac:dyDescent="0.25">
      <c r="A16384">
        <v>18608</v>
      </c>
      <c r="B16384" t="s">
        <v>3137</v>
      </c>
      <c r="C16384">
        <v>465</v>
      </c>
      <c r="D16384">
        <v>373</v>
      </c>
      <c r="E16384">
        <v>1577206701</v>
      </c>
      <c r="F16384">
        <v>1061</v>
      </c>
      <c r="G16384">
        <v>0</v>
      </c>
      <c r="H16384" t="s">
        <v>21221</v>
      </c>
      <c r="I16384">
        <v>18608</v>
      </c>
      <c r="J16384" t="str">
        <f>VLOOKUP(E16384,DSSpieler!A:B,2,FALSE)</f>
        <v>8lank</v>
      </c>
    </row>
    <row r="16385" spans="1:10" x14ac:dyDescent="0.25">
      <c r="A16385">
        <v>18609</v>
      </c>
      <c r="B16385" t="s">
        <v>3138</v>
      </c>
      <c r="C16385">
        <v>608</v>
      </c>
      <c r="D16385">
        <v>506</v>
      </c>
      <c r="E16385">
        <v>1577194982</v>
      </c>
      <c r="F16385">
        <v>51</v>
      </c>
      <c r="G16385">
        <v>0</v>
      </c>
      <c r="H16385" t="s">
        <v>21222</v>
      </c>
      <c r="I16385">
        <v>18609</v>
      </c>
      <c r="J16385" t="str">
        <f>VLOOKUP(E16385,DSSpieler!A:B,2,FALSE)</f>
        <v>mitzekatze</v>
      </c>
    </row>
    <row r="16386" spans="1:10" x14ac:dyDescent="0.25">
      <c r="A16386">
        <v>18610</v>
      </c>
      <c r="B16386" t="s">
        <v>35648</v>
      </c>
      <c r="C16386">
        <v>415</v>
      </c>
      <c r="D16386">
        <v>593</v>
      </c>
      <c r="E16386">
        <v>8707591</v>
      </c>
      <c r="F16386">
        <v>26</v>
      </c>
      <c r="G16386">
        <v>0</v>
      </c>
      <c r="H16386" t="s">
        <v>21223</v>
      </c>
      <c r="I16386">
        <v>18610</v>
      </c>
      <c r="J16386" t="str">
        <f>VLOOKUP(E16386,DSSpieler!A:B,2,FALSE)</f>
        <v>schütze28</v>
      </c>
    </row>
    <row r="16387" spans="1:10" x14ac:dyDescent="0.25">
      <c r="A16387">
        <v>18611</v>
      </c>
      <c r="B16387" t="s">
        <v>3139</v>
      </c>
      <c r="C16387">
        <v>598</v>
      </c>
      <c r="D16387">
        <v>515</v>
      </c>
      <c r="E16387">
        <v>1577194984</v>
      </c>
      <c r="F16387">
        <v>38</v>
      </c>
      <c r="G16387">
        <v>0</v>
      </c>
      <c r="H16387" t="s">
        <v>21224</v>
      </c>
      <c r="I16387">
        <v>18611</v>
      </c>
      <c r="J16387" t="str">
        <f>VLOOKUP(E16387,DSSpieler!A:B,2,FALSE)</f>
        <v>bergsteiger1</v>
      </c>
    </row>
    <row r="16388" spans="1:10" x14ac:dyDescent="0.25">
      <c r="A16388">
        <v>18612</v>
      </c>
      <c r="B16388" t="s">
        <v>3140</v>
      </c>
      <c r="C16388">
        <v>425</v>
      </c>
      <c r="D16388">
        <v>392</v>
      </c>
      <c r="E16388">
        <v>1577201905</v>
      </c>
      <c r="F16388">
        <v>1711</v>
      </c>
      <c r="G16388">
        <v>0</v>
      </c>
      <c r="H16388" t="s">
        <v>21225</v>
      </c>
      <c r="I16388">
        <v>18612</v>
      </c>
      <c r="J16388" t="str">
        <f>VLOOKUP(E16388,DSSpieler!A:B,2,FALSE)</f>
        <v>pmea66</v>
      </c>
    </row>
    <row r="16389" spans="1:10" x14ac:dyDescent="0.25">
      <c r="A16389">
        <v>18613</v>
      </c>
      <c r="B16389" t="s">
        <v>3141</v>
      </c>
      <c r="C16389">
        <v>574</v>
      </c>
      <c r="D16389">
        <v>608</v>
      </c>
      <c r="E16389">
        <v>1577201147</v>
      </c>
      <c r="F16389">
        <v>1013</v>
      </c>
      <c r="G16389">
        <v>0</v>
      </c>
      <c r="H16389" t="s">
        <v>21226</v>
      </c>
      <c r="I16389">
        <v>18613</v>
      </c>
      <c r="J16389" t="str">
        <f>VLOOKUP(E16389,DSSpieler!A:B,2,FALSE)</f>
        <v>2lms3</v>
      </c>
    </row>
    <row r="16390" spans="1:10" x14ac:dyDescent="0.25">
      <c r="A16390">
        <v>18614</v>
      </c>
      <c r="B16390" t="s">
        <v>531</v>
      </c>
      <c r="C16390">
        <v>562</v>
      </c>
      <c r="D16390">
        <v>387</v>
      </c>
      <c r="E16390">
        <v>0</v>
      </c>
      <c r="F16390">
        <v>146</v>
      </c>
      <c r="G16390">
        <v>0</v>
      </c>
      <c r="H16390" t="s">
        <v>21227</v>
      </c>
      <c r="I16390">
        <v>18614</v>
      </c>
      <c r="J16390" t="e">
        <f>VLOOKUP(E16390,DSSpieler!A:B,2,FALSE)</f>
        <v>#N/A</v>
      </c>
    </row>
    <row r="16391" spans="1:10" x14ac:dyDescent="0.25">
      <c r="A16391">
        <v>18616</v>
      </c>
      <c r="B16391" t="s">
        <v>3142</v>
      </c>
      <c r="C16391">
        <v>371</v>
      </c>
      <c r="D16391">
        <v>524</v>
      </c>
      <c r="E16391">
        <v>8849497</v>
      </c>
      <c r="F16391">
        <v>1300</v>
      </c>
      <c r="G16391">
        <v>0</v>
      </c>
      <c r="H16391" t="s">
        <v>21228</v>
      </c>
      <c r="I16391">
        <v>18616</v>
      </c>
      <c r="J16391" t="str">
        <f>VLOOKUP(E16391,DSSpieler!A:B,2,FALSE)</f>
        <v>Dr4g0n97</v>
      </c>
    </row>
    <row r="16392" spans="1:10" x14ac:dyDescent="0.25">
      <c r="A16392">
        <v>18617</v>
      </c>
      <c r="B16392" t="s">
        <v>3143</v>
      </c>
      <c r="C16392">
        <v>549</v>
      </c>
      <c r="D16392">
        <v>621</v>
      </c>
      <c r="E16392">
        <v>1576980103</v>
      </c>
      <c r="F16392">
        <v>213</v>
      </c>
      <c r="G16392">
        <v>0</v>
      </c>
      <c r="H16392" t="s">
        <v>21229</v>
      </c>
      <c r="I16392">
        <v>18617</v>
      </c>
      <c r="J16392" t="str">
        <f>VLOOKUP(E16392,DSSpieler!A:B,2,FALSE)</f>
        <v>Albicolo</v>
      </c>
    </row>
    <row r="16393" spans="1:10" x14ac:dyDescent="0.25">
      <c r="A16393">
        <v>18618</v>
      </c>
      <c r="B16393" t="s">
        <v>3144</v>
      </c>
      <c r="C16393">
        <v>488</v>
      </c>
      <c r="D16393">
        <v>577</v>
      </c>
      <c r="E16393">
        <v>9436207</v>
      </c>
      <c r="F16393">
        <v>476</v>
      </c>
      <c r="G16393">
        <v>0</v>
      </c>
      <c r="H16393" t="s">
        <v>21230</v>
      </c>
      <c r="I16393">
        <v>18618</v>
      </c>
      <c r="J16393" t="str">
        <f>VLOOKUP(E16393,DSSpieler!A:B,2,FALSE)</f>
        <v>DiazLive</v>
      </c>
    </row>
    <row r="16394" spans="1:10" x14ac:dyDescent="0.25">
      <c r="A16394">
        <v>18619</v>
      </c>
      <c r="B16394" t="s">
        <v>3145</v>
      </c>
      <c r="C16394">
        <v>383</v>
      </c>
      <c r="D16394">
        <v>441</v>
      </c>
      <c r="E16394">
        <v>1577190802</v>
      </c>
      <c r="F16394">
        <v>1593</v>
      </c>
      <c r="G16394">
        <v>0</v>
      </c>
      <c r="H16394" t="s">
        <v>21231</v>
      </c>
      <c r="I16394">
        <v>18619</v>
      </c>
      <c r="J16394" t="str">
        <f>VLOOKUP(E16394,DSSpieler!A:B,2,FALSE)</f>
        <v>PyroMaster</v>
      </c>
    </row>
    <row r="16395" spans="1:10" x14ac:dyDescent="0.25">
      <c r="A16395">
        <v>18620</v>
      </c>
      <c r="B16395" t="s">
        <v>3146</v>
      </c>
      <c r="C16395">
        <v>383</v>
      </c>
      <c r="D16395">
        <v>546</v>
      </c>
      <c r="E16395">
        <v>1576377315</v>
      </c>
      <c r="F16395">
        <v>50</v>
      </c>
      <c r="G16395">
        <v>0</v>
      </c>
      <c r="H16395" t="s">
        <v>21232</v>
      </c>
      <c r="I16395">
        <v>18620</v>
      </c>
      <c r="J16395" t="str">
        <f>VLOOKUP(E16395,DSSpieler!A:B,2,FALSE)</f>
        <v>MabraHD</v>
      </c>
    </row>
    <row r="16396" spans="1:10" x14ac:dyDescent="0.25">
      <c r="A16396">
        <v>18621</v>
      </c>
      <c r="B16396" t="s">
        <v>3147</v>
      </c>
      <c r="C16396">
        <v>373</v>
      </c>
      <c r="D16396">
        <v>488</v>
      </c>
      <c r="E16396">
        <v>1577204681</v>
      </c>
      <c r="F16396">
        <v>26</v>
      </c>
      <c r="G16396">
        <v>0</v>
      </c>
      <c r="H16396" t="s">
        <v>21233</v>
      </c>
      <c r="I16396">
        <v>18621</v>
      </c>
      <c r="J16396" t="str">
        <f>VLOOKUP(E16396,DSSpieler!A:B,2,FALSE)</f>
        <v>Back Devil-Storm</v>
      </c>
    </row>
    <row r="16397" spans="1:10" x14ac:dyDescent="0.25">
      <c r="A16397">
        <v>18622</v>
      </c>
      <c r="B16397" t="s">
        <v>35649</v>
      </c>
      <c r="C16397">
        <v>593</v>
      </c>
      <c r="D16397">
        <v>409</v>
      </c>
      <c r="E16397">
        <v>1577206706</v>
      </c>
      <c r="F16397">
        <v>1500</v>
      </c>
      <c r="G16397">
        <v>0</v>
      </c>
      <c r="H16397" t="s">
        <v>21234</v>
      </c>
      <c r="I16397">
        <v>18622</v>
      </c>
      <c r="J16397" t="str">
        <f>VLOOKUP(E16397,DSSpieler!A:B,2,FALSE)</f>
        <v>Simany</v>
      </c>
    </row>
    <row r="16398" spans="1:10" x14ac:dyDescent="0.25">
      <c r="A16398">
        <v>18623</v>
      </c>
      <c r="B16398" t="s">
        <v>531</v>
      </c>
      <c r="C16398">
        <v>402</v>
      </c>
      <c r="D16398">
        <v>585</v>
      </c>
      <c r="E16398">
        <v>0</v>
      </c>
      <c r="F16398">
        <v>95</v>
      </c>
      <c r="G16398">
        <v>0</v>
      </c>
      <c r="H16398" t="s">
        <v>21235</v>
      </c>
      <c r="I16398">
        <v>18623</v>
      </c>
      <c r="J16398" t="e">
        <f>VLOOKUP(E16398,DSSpieler!A:B,2,FALSE)</f>
        <v>#N/A</v>
      </c>
    </row>
    <row r="16399" spans="1:10" x14ac:dyDescent="0.25">
      <c r="A16399">
        <v>18624</v>
      </c>
      <c r="B16399" t="s">
        <v>673</v>
      </c>
      <c r="C16399">
        <v>594</v>
      </c>
      <c r="D16399">
        <v>526</v>
      </c>
      <c r="E16399">
        <v>1577198212</v>
      </c>
      <c r="F16399">
        <v>630</v>
      </c>
      <c r="G16399">
        <v>0</v>
      </c>
      <c r="H16399" t="s">
        <v>21236</v>
      </c>
      <c r="I16399">
        <v>18624</v>
      </c>
      <c r="J16399" t="str">
        <f>VLOOKUP(E16399,DSSpieler!A:B,2,FALSE)</f>
        <v>Amox2k</v>
      </c>
    </row>
    <row r="16400" spans="1:10" x14ac:dyDescent="0.25">
      <c r="A16400">
        <v>18625</v>
      </c>
      <c r="B16400" t="s">
        <v>3148</v>
      </c>
      <c r="C16400">
        <v>501</v>
      </c>
      <c r="D16400">
        <v>371</v>
      </c>
      <c r="E16400">
        <v>9501265</v>
      </c>
      <c r="F16400">
        <v>182</v>
      </c>
      <c r="G16400">
        <v>0</v>
      </c>
      <c r="H16400" t="s">
        <v>21237</v>
      </c>
      <c r="I16400">
        <v>18625</v>
      </c>
      <c r="J16400" t="str">
        <f>VLOOKUP(E16400,DSSpieler!A:B,2,FALSE)</f>
        <v>Memoy0815</v>
      </c>
    </row>
    <row r="16401" spans="1:10" x14ac:dyDescent="0.25">
      <c r="A16401">
        <v>18626</v>
      </c>
      <c r="B16401" t="s">
        <v>3149</v>
      </c>
      <c r="C16401">
        <v>579</v>
      </c>
      <c r="D16401">
        <v>602</v>
      </c>
      <c r="E16401">
        <v>7617925</v>
      </c>
      <c r="F16401">
        <v>26</v>
      </c>
      <c r="G16401">
        <v>0</v>
      </c>
      <c r="H16401" t="s">
        <v>21238</v>
      </c>
      <c r="I16401">
        <v>18626</v>
      </c>
      <c r="J16401" t="str">
        <f>VLOOKUP(E16401,DSSpieler!A:B,2,FALSE)</f>
        <v>veler619</v>
      </c>
    </row>
    <row r="16402" spans="1:10" x14ac:dyDescent="0.25">
      <c r="A16402">
        <v>18628</v>
      </c>
      <c r="B16402" t="s">
        <v>3150</v>
      </c>
      <c r="C16402">
        <v>450</v>
      </c>
      <c r="D16402">
        <v>382</v>
      </c>
      <c r="E16402">
        <v>1577015446</v>
      </c>
      <c r="F16402">
        <v>1214</v>
      </c>
      <c r="G16402">
        <v>0</v>
      </c>
      <c r="H16402" t="s">
        <v>21239</v>
      </c>
      <c r="I16402">
        <v>18628</v>
      </c>
      <c r="J16402" t="str">
        <f>VLOOKUP(E16402,DSSpieler!A:B,2,FALSE)</f>
        <v>Turgaeren</v>
      </c>
    </row>
    <row r="16403" spans="1:10" x14ac:dyDescent="0.25">
      <c r="A16403">
        <v>18629</v>
      </c>
      <c r="B16403">
        <v>1</v>
      </c>
      <c r="C16403">
        <v>438</v>
      </c>
      <c r="D16403">
        <v>427</v>
      </c>
      <c r="E16403">
        <v>1577194138</v>
      </c>
      <c r="F16403">
        <v>957</v>
      </c>
      <c r="G16403">
        <v>0</v>
      </c>
      <c r="H16403" t="s">
        <v>21240</v>
      </c>
      <c r="I16403">
        <v>18629</v>
      </c>
      <c r="J16403" t="str">
        <f>VLOOKUP(E16403,DSSpieler!A:B,2,FALSE)</f>
        <v>sleax96</v>
      </c>
    </row>
    <row r="16404" spans="1:10" x14ac:dyDescent="0.25">
      <c r="A16404">
        <v>18631</v>
      </c>
      <c r="B16404" t="s">
        <v>3151</v>
      </c>
      <c r="C16404">
        <v>589</v>
      </c>
      <c r="D16404">
        <v>592</v>
      </c>
      <c r="E16404">
        <v>1577092188</v>
      </c>
      <c r="F16404">
        <v>755</v>
      </c>
      <c r="G16404">
        <v>0</v>
      </c>
      <c r="H16404" t="s">
        <v>21241</v>
      </c>
      <c r="I16404">
        <v>18631</v>
      </c>
      <c r="J16404" t="str">
        <f>VLOOKUP(E16404,DSSpieler!A:B,2,FALSE)</f>
        <v>MrBowties</v>
      </c>
    </row>
    <row r="16405" spans="1:10" x14ac:dyDescent="0.25">
      <c r="A16405">
        <v>18632</v>
      </c>
      <c r="B16405" t="s">
        <v>3152</v>
      </c>
      <c r="C16405">
        <v>484</v>
      </c>
      <c r="D16405">
        <v>415</v>
      </c>
      <c r="E16405">
        <v>1576978385</v>
      </c>
      <c r="F16405">
        <v>299</v>
      </c>
      <c r="G16405">
        <v>0</v>
      </c>
      <c r="H16405" t="s">
        <v>21242</v>
      </c>
      <c r="I16405">
        <v>18632</v>
      </c>
      <c r="J16405" t="str">
        <f>VLOOKUP(E16405,DSSpieler!A:B,2,FALSE)</f>
        <v>Kelzahrt</v>
      </c>
    </row>
    <row r="16406" spans="1:10" x14ac:dyDescent="0.25">
      <c r="A16406">
        <v>18633</v>
      </c>
      <c r="B16406" t="s">
        <v>3153</v>
      </c>
      <c r="C16406">
        <v>373</v>
      </c>
      <c r="D16406">
        <v>519</v>
      </c>
      <c r="E16406">
        <v>1577206718</v>
      </c>
      <c r="F16406">
        <v>73</v>
      </c>
      <c r="G16406">
        <v>0</v>
      </c>
      <c r="H16406" t="s">
        <v>21243</v>
      </c>
      <c r="I16406">
        <v>18633</v>
      </c>
      <c r="J16406" t="str">
        <f>VLOOKUP(E16406,DSSpieler!A:B,2,FALSE)</f>
        <v>Starscream18</v>
      </c>
    </row>
    <row r="16407" spans="1:10" x14ac:dyDescent="0.25">
      <c r="A16407">
        <v>18634</v>
      </c>
      <c r="B16407" t="s">
        <v>3154</v>
      </c>
      <c r="C16407">
        <v>604</v>
      </c>
      <c r="D16407">
        <v>570</v>
      </c>
      <c r="E16407">
        <v>9788085</v>
      </c>
      <c r="F16407">
        <v>1495</v>
      </c>
      <c r="G16407">
        <v>0</v>
      </c>
      <c r="H16407" t="s">
        <v>21244</v>
      </c>
      <c r="I16407">
        <v>18634</v>
      </c>
      <c r="J16407" t="str">
        <f>VLOOKUP(E16407,DSSpieler!A:B,2,FALSE)</f>
        <v>Baratus</v>
      </c>
    </row>
    <row r="16408" spans="1:10" x14ac:dyDescent="0.25">
      <c r="A16408">
        <v>18635</v>
      </c>
      <c r="B16408" t="s">
        <v>3155</v>
      </c>
      <c r="C16408">
        <v>456</v>
      </c>
      <c r="D16408">
        <v>556</v>
      </c>
      <c r="E16408">
        <v>1577191475</v>
      </c>
      <c r="F16408">
        <v>26</v>
      </c>
      <c r="G16408">
        <v>0</v>
      </c>
      <c r="H16408" t="s">
        <v>21245</v>
      </c>
      <c r="I16408">
        <v>18635</v>
      </c>
      <c r="J16408" t="str">
        <f>VLOOKUP(E16408,DSSpieler!A:B,2,FALSE)</f>
        <v>hoibi420</v>
      </c>
    </row>
    <row r="16409" spans="1:10" x14ac:dyDescent="0.25">
      <c r="A16409">
        <v>18637</v>
      </c>
      <c r="B16409" t="s">
        <v>3156</v>
      </c>
      <c r="C16409">
        <v>540</v>
      </c>
      <c r="D16409">
        <v>625</v>
      </c>
      <c r="E16409">
        <v>2345608</v>
      </c>
      <c r="F16409">
        <v>1464</v>
      </c>
      <c r="G16409">
        <v>0</v>
      </c>
      <c r="H16409" t="s">
        <v>21246</v>
      </c>
      <c r="I16409">
        <v>18637</v>
      </c>
      <c r="J16409" t="str">
        <f>VLOOKUP(E16409,DSSpieler!A:B,2,FALSE)</f>
        <v>Extreme 2.</v>
      </c>
    </row>
    <row r="16410" spans="1:10" x14ac:dyDescent="0.25">
      <c r="A16410">
        <v>18639</v>
      </c>
      <c r="B16410" t="s">
        <v>732</v>
      </c>
      <c r="C16410">
        <v>504</v>
      </c>
      <c r="D16410">
        <v>435</v>
      </c>
      <c r="E16410">
        <v>1576764081</v>
      </c>
      <c r="F16410">
        <v>1453</v>
      </c>
      <c r="G16410">
        <v>0</v>
      </c>
      <c r="H16410" t="s">
        <v>21247</v>
      </c>
      <c r="I16410">
        <v>18639</v>
      </c>
      <c r="J16410" t="str">
        <f>VLOOKUP(E16410,DSSpieler!A:B,2,FALSE)</f>
        <v>Cedric89</v>
      </c>
    </row>
    <row r="16411" spans="1:10" x14ac:dyDescent="0.25">
      <c r="A16411">
        <v>18640</v>
      </c>
      <c r="B16411" t="s">
        <v>3157</v>
      </c>
      <c r="C16411">
        <v>482</v>
      </c>
      <c r="D16411">
        <v>371</v>
      </c>
      <c r="E16411">
        <v>1576084032</v>
      </c>
      <c r="F16411">
        <v>259</v>
      </c>
      <c r="G16411">
        <v>0</v>
      </c>
      <c r="H16411" t="s">
        <v>21248</v>
      </c>
      <c r="I16411">
        <v>18640</v>
      </c>
      <c r="J16411" t="str">
        <f>VLOOKUP(E16411,DSSpieler!A:B,2,FALSE)</f>
        <v>EndlessChill</v>
      </c>
    </row>
    <row r="16412" spans="1:10" x14ac:dyDescent="0.25">
      <c r="A16412">
        <v>18641</v>
      </c>
      <c r="B16412" t="s">
        <v>3158</v>
      </c>
      <c r="C16412">
        <v>378</v>
      </c>
      <c r="D16412">
        <v>470</v>
      </c>
      <c r="E16412">
        <v>2781474</v>
      </c>
      <c r="F16412">
        <v>757</v>
      </c>
      <c r="G16412">
        <v>0</v>
      </c>
      <c r="H16412" t="s">
        <v>21249</v>
      </c>
      <c r="I16412">
        <v>18641</v>
      </c>
      <c r="J16412" t="str">
        <f>VLOOKUP(E16412,DSSpieler!A:B,2,FALSE)</f>
        <v>micamueller</v>
      </c>
    </row>
    <row r="16413" spans="1:10" x14ac:dyDescent="0.25">
      <c r="A16413">
        <v>18642</v>
      </c>
      <c r="B16413" t="s">
        <v>3159</v>
      </c>
      <c r="C16413">
        <v>470</v>
      </c>
      <c r="D16413">
        <v>624</v>
      </c>
      <c r="E16413">
        <v>1577165466</v>
      </c>
      <c r="F16413">
        <v>26</v>
      </c>
      <c r="G16413">
        <v>0</v>
      </c>
      <c r="H16413" t="s">
        <v>21250</v>
      </c>
      <c r="I16413">
        <v>18642</v>
      </c>
      <c r="J16413" t="str">
        <f>VLOOKUP(E16413,DSSpieler!A:B,2,FALSE)</f>
        <v>jukli</v>
      </c>
    </row>
    <row r="16414" spans="1:10" x14ac:dyDescent="0.25">
      <c r="A16414">
        <v>18643</v>
      </c>
      <c r="B16414" t="s">
        <v>3160</v>
      </c>
      <c r="C16414">
        <v>558</v>
      </c>
      <c r="D16414">
        <v>383</v>
      </c>
      <c r="E16414">
        <v>1577165462</v>
      </c>
      <c r="F16414">
        <v>26</v>
      </c>
      <c r="G16414">
        <v>0</v>
      </c>
      <c r="H16414" t="s">
        <v>21251</v>
      </c>
      <c r="I16414">
        <v>18643</v>
      </c>
      <c r="J16414" t="str">
        <f>VLOOKUP(E16414,DSSpieler!A:B,2,FALSE)</f>
        <v>juipo</v>
      </c>
    </row>
    <row r="16415" spans="1:10" x14ac:dyDescent="0.25">
      <c r="A16415">
        <v>18644</v>
      </c>
      <c r="B16415" t="s">
        <v>531</v>
      </c>
      <c r="C16415">
        <v>410</v>
      </c>
      <c r="D16415">
        <v>408</v>
      </c>
      <c r="E16415">
        <v>0</v>
      </c>
      <c r="F16415">
        <v>138</v>
      </c>
      <c r="G16415">
        <v>0</v>
      </c>
      <c r="H16415" t="s">
        <v>21252</v>
      </c>
      <c r="I16415">
        <v>18644</v>
      </c>
      <c r="J16415" t="e">
        <f>VLOOKUP(E16415,DSSpieler!A:B,2,FALSE)</f>
        <v>#N/A</v>
      </c>
    </row>
    <row r="16416" spans="1:10" x14ac:dyDescent="0.25">
      <c r="A16416">
        <v>18645</v>
      </c>
      <c r="B16416" t="s">
        <v>2101</v>
      </c>
      <c r="C16416">
        <v>496</v>
      </c>
      <c r="D16416">
        <v>396</v>
      </c>
      <c r="E16416">
        <v>1576958889</v>
      </c>
      <c r="F16416">
        <v>2427</v>
      </c>
      <c r="G16416">
        <v>0</v>
      </c>
      <c r="H16416" t="s">
        <v>21253</v>
      </c>
      <c r="I16416">
        <v>18645</v>
      </c>
      <c r="J16416" t="str">
        <f>VLOOKUP(E16416,DSSpieler!A:B,2,FALSE)</f>
        <v>J-P-M</v>
      </c>
    </row>
    <row r="16417" spans="1:10" x14ac:dyDescent="0.25">
      <c r="A16417">
        <v>18646</v>
      </c>
      <c r="B16417" t="s">
        <v>3161</v>
      </c>
      <c r="C16417">
        <v>629</v>
      </c>
      <c r="D16417">
        <v>486</v>
      </c>
      <c r="E16417">
        <v>8851407</v>
      </c>
      <c r="F16417">
        <v>26</v>
      </c>
      <c r="G16417">
        <v>0</v>
      </c>
      <c r="H16417" t="s">
        <v>21254</v>
      </c>
      <c r="I16417">
        <v>18646</v>
      </c>
      <c r="J16417" t="str">
        <f>VLOOKUP(E16417,DSSpieler!A:B,2,FALSE)</f>
        <v>vansyyy</v>
      </c>
    </row>
    <row r="16418" spans="1:10" x14ac:dyDescent="0.25">
      <c r="A16418">
        <v>18647</v>
      </c>
      <c r="B16418" t="s">
        <v>3162</v>
      </c>
      <c r="C16418">
        <v>453</v>
      </c>
      <c r="D16418">
        <v>378</v>
      </c>
      <c r="E16418">
        <v>1577205421</v>
      </c>
      <c r="F16418">
        <v>1216</v>
      </c>
      <c r="G16418">
        <v>0</v>
      </c>
      <c r="H16418" t="s">
        <v>21255</v>
      </c>
      <c r="I16418">
        <v>18647</v>
      </c>
      <c r="J16418" t="str">
        <f>VLOOKUP(E16418,DSSpieler!A:B,2,FALSE)</f>
        <v>Dopiixz187</v>
      </c>
    </row>
    <row r="16419" spans="1:10" x14ac:dyDescent="0.25">
      <c r="A16419">
        <v>18648</v>
      </c>
      <c r="B16419" t="s">
        <v>3163</v>
      </c>
      <c r="C16419">
        <v>458</v>
      </c>
      <c r="D16419">
        <v>381</v>
      </c>
      <c r="E16419">
        <v>1577205425</v>
      </c>
      <c r="F16419">
        <v>203</v>
      </c>
      <c r="G16419">
        <v>0</v>
      </c>
      <c r="H16419" t="s">
        <v>21256</v>
      </c>
      <c r="I16419">
        <v>18648</v>
      </c>
      <c r="J16419" t="str">
        <f>VLOOKUP(E16419,DSSpieler!A:B,2,FALSE)</f>
        <v>xTheReXxI</v>
      </c>
    </row>
    <row r="16420" spans="1:10" x14ac:dyDescent="0.25">
      <c r="A16420">
        <v>18649</v>
      </c>
      <c r="B16420" t="s">
        <v>3164</v>
      </c>
      <c r="C16420">
        <v>471</v>
      </c>
      <c r="D16420">
        <v>626</v>
      </c>
      <c r="E16420">
        <v>1577202192</v>
      </c>
      <c r="F16420">
        <v>681</v>
      </c>
      <c r="G16420">
        <v>0</v>
      </c>
      <c r="H16420" t="s">
        <v>21257</v>
      </c>
      <c r="I16420">
        <v>18649</v>
      </c>
      <c r="J16420" t="str">
        <f>VLOOKUP(E16420,DSSpieler!A:B,2,FALSE)</f>
        <v>Battlebiber</v>
      </c>
    </row>
    <row r="16421" spans="1:10" x14ac:dyDescent="0.25">
      <c r="A16421">
        <v>18650</v>
      </c>
      <c r="B16421" t="s">
        <v>3165</v>
      </c>
      <c r="C16421">
        <v>372</v>
      </c>
      <c r="D16421">
        <v>504</v>
      </c>
      <c r="E16421">
        <v>1576671578</v>
      </c>
      <c r="F16421">
        <v>722</v>
      </c>
      <c r="G16421">
        <v>0</v>
      </c>
      <c r="H16421" t="s">
        <v>21258</v>
      </c>
      <c r="I16421">
        <v>18650</v>
      </c>
      <c r="J16421" t="str">
        <f>VLOOKUP(E16421,DSSpieler!A:B,2,FALSE)</f>
        <v>Miner Pride</v>
      </c>
    </row>
    <row r="16422" spans="1:10" x14ac:dyDescent="0.25">
      <c r="A16422">
        <v>18651</v>
      </c>
      <c r="B16422" t="e">
        <f>-Guderian-secret+Dorf</f>
        <v>#NAME?</v>
      </c>
      <c r="C16422">
        <v>546</v>
      </c>
      <c r="D16422">
        <v>505</v>
      </c>
      <c r="E16422">
        <v>7658091</v>
      </c>
      <c r="F16422">
        <v>984</v>
      </c>
      <c r="G16422">
        <v>0</v>
      </c>
      <c r="H16422" t="s">
        <v>21259</v>
      </c>
      <c r="I16422">
        <v>18651</v>
      </c>
      <c r="J16422" t="str">
        <f>VLOOKUP(E16422,DSSpieler!A:B,2,FALSE)</f>
        <v>-Guderian-</v>
      </c>
    </row>
    <row r="16423" spans="1:10" x14ac:dyDescent="0.25">
      <c r="A16423">
        <v>18652</v>
      </c>
      <c r="B16423" t="s">
        <v>3166</v>
      </c>
      <c r="C16423">
        <v>478</v>
      </c>
      <c r="D16423">
        <v>406</v>
      </c>
      <c r="E16423">
        <v>1577199695</v>
      </c>
      <c r="F16423">
        <v>249</v>
      </c>
      <c r="G16423">
        <v>0</v>
      </c>
      <c r="H16423" t="s">
        <v>21260</v>
      </c>
      <c r="I16423">
        <v>18652</v>
      </c>
      <c r="J16423" t="str">
        <f>VLOOKUP(E16423,DSSpieler!A:B,2,FALSE)</f>
        <v>Kemmler93</v>
      </c>
    </row>
    <row r="16424" spans="1:10" x14ac:dyDescent="0.25">
      <c r="A16424">
        <v>18653</v>
      </c>
      <c r="B16424" t="s">
        <v>3167</v>
      </c>
      <c r="C16424">
        <v>427</v>
      </c>
      <c r="D16424">
        <v>392</v>
      </c>
      <c r="E16424">
        <v>1577190471</v>
      </c>
      <c r="F16424">
        <v>194</v>
      </c>
      <c r="G16424">
        <v>0</v>
      </c>
      <c r="H16424" t="s">
        <v>21261</v>
      </c>
      <c r="I16424">
        <v>18653</v>
      </c>
      <c r="J16424" t="str">
        <f>VLOOKUP(E16424,DSSpieler!A:B,2,FALSE)</f>
        <v>DreamZx040</v>
      </c>
    </row>
    <row r="16425" spans="1:10" x14ac:dyDescent="0.25">
      <c r="A16425">
        <v>18654</v>
      </c>
      <c r="B16425" t="s">
        <v>531</v>
      </c>
      <c r="C16425">
        <v>475</v>
      </c>
      <c r="D16425">
        <v>625</v>
      </c>
      <c r="E16425">
        <v>0</v>
      </c>
      <c r="F16425">
        <v>128</v>
      </c>
      <c r="G16425">
        <v>0</v>
      </c>
      <c r="H16425" t="s">
        <v>21262</v>
      </c>
      <c r="I16425">
        <v>18654</v>
      </c>
      <c r="J16425" t="e">
        <f>VLOOKUP(E16425,DSSpieler!A:B,2,FALSE)</f>
        <v>#N/A</v>
      </c>
    </row>
    <row r="16426" spans="1:10" x14ac:dyDescent="0.25">
      <c r="A16426">
        <v>18655</v>
      </c>
      <c r="B16426" t="s">
        <v>35650</v>
      </c>
      <c r="C16426">
        <v>528</v>
      </c>
      <c r="D16426">
        <v>627</v>
      </c>
      <c r="E16426">
        <v>1576614872</v>
      </c>
      <c r="F16426">
        <v>1660</v>
      </c>
      <c r="G16426">
        <v>0</v>
      </c>
      <c r="H16426" t="s">
        <v>21263</v>
      </c>
      <c r="I16426">
        <v>18655</v>
      </c>
      <c r="J16426" t="str">
        <f>VLOOKUP(E16426,DSSpieler!A:B,2,FALSE)</f>
        <v>König Mammut</v>
      </c>
    </row>
    <row r="16427" spans="1:10" x14ac:dyDescent="0.25">
      <c r="A16427">
        <v>18656</v>
      </c>
      <c r="B16427" t="s">
        <v>3168</v>
      </c>
      <c r="C16427">
        <v>559</v>
      </c>
      <c r="D16427">
        <v>612</v>
      </c>
      <c r="E16427">
        <v>1577202863</v>
      </c>
      <c r="F16427">
        <v>60</v>
      </c>
      <c r="G16427">
        <v>0</v>
      </c>
      <c r="H16427" t="s">
        <v>21264</v>
      </c>
      <c r="I16427">
        <v>18656</v>
      </c>
      <c r="J16427" t="str">
        <f>VLOOKUP(E16427,DSSpieler!A:B,2,FALSE)</f>
        <v>Pr. Drogon</v>
      </c>
    </row>
    <row r="16428" spans="1:10" x14ac:dyDescent="0.25">
      <c r="A16428">
        <v>18657</v>
      </c>
      <c r="B16428" t="s">
        <v>3169</v>
      </c>
      <c r="C16428">
        <v>589</v>
      </c>
      <c r="D16428">
        <v>406</v>
      </c>
      <c r="E16428">
        <v>2864632</v>
      </c>
      <c r="F16428">
        <v>624</v>
      </c>
      <c r="G16428">
        <v>0</v>
      </c>
      <c r="H16428" t="s">
        <v>21265</v>
      </c>
      <c r="I16428">
        <v>18657</v>
      </c>
      <c r="J16428" t="str">
        <f>VLOOKUP(E16428,DSSpieler!A:B,2,FALSE)</f>
        <v>SEHERIN1</v>
      </c>
    </row>
    <row r="16429" spans="1:10" x14ac:dyDescent="0.25">
      <c r="A16429">
        <v>18658</v>
      </c>
      <c r="B16429" t="s">
        <v>3170</v>
      </c>
      <c r="C16429">
        <v>374</v>
      </c>
      <c r="D16429">
        <v>513</v>
      </c>
      <c r="E16429">
        <v>1576660691</v>
      </c>
      <c r="F16429">
        <v>53</v>
      </c>
      <c r="G16429">
        <v>0</v>
      </c>
      <c r="H16429" t="s">
        <v>21266</v>
      </c>
      <c r="I16429">
        <v>18658</v>
      </c>
      <c r="J16429" t="str">
        <f>VLOOKUP(E16429,DSSpieler!A:B,2,FALSE)</f>
        <v>DON SAI</v>
      </c>
    </row>
    <row r="16430" spans="1:10" x14ac:dyDescent="0.25">
      <c r="A16430">
        <v>18659</v>
      </c>
      <c r="B16430" t="s">
        <v>3171</v>
      </c>
      <c r="C16430">
        <v>584</v>
      </c>
      <c r="D16430">
        <v>595</v>
      </c>
      <c r="E16430">
        <v>10268161</v>
      </c>
      <c r="F16430">
        <v>129</v>
      </c>
      <c r="G16430">
        <v>0</v>
      </c>
      <c r="H16430" t="s">
        <v>21267</v>
      </c>
      <c r="I16430">
        <v>18659</v>
      </c>
      <c r="J16430" t="str">
        <f>VLOOKUP(E16430,DSSpieler!A:B,2,FALSE)</f>
        <v>Sellex</v>
      </c>
    </row>
    <row r="16431" spans="1:10" x14ac:dyDescent="0.25">
      <c r="A16431">
        <v>18660</v>
      </c>
      <c r="B16431" t="s">
        <v>3172</v>
      </c>
      <c r="C16431">
        <v>603</v>
      </c>
      <c r="D16431">
        <v>582</v>
      </c>
      <c r="E16431">
        <v>8369275</v>
      </c>
      <c r="F16431">
        <v>1987</v>
      </c>
      <c r="G16431">
        <v>0</v>
      </c>
      <c r="H16431" t="s">
        <v>21268</v>
      </c>
      <c r="I16431">
        <v>18660</v>
      </c>
      <c r="J16431" t="str">
        <f>VLOOKUP(E16431,DSSpieler!A:B,2,FALSE)</f>
        <v>bannyb</v>
      </c>
    </row>
    <row r="16432" spans="1:10" x14ac:dyDescent="0.25">
      <c r="A16432">
        <v>18661</v>
      </c>
      <c r="B16432" t="s">
        <v>531</v>
      </c>
      <c r="C16432">
        <v>470</v>
      </c>
      <c r="D16432">
        <v>626</v>
      </c>
      <c r="E16432">
        <v>0</v>
      </c>
      <c r="F16432">
        <v>119</v>
      </c>
      <c r="G16432">
        <v>0</v>
      </c>
      <c r="H16432" t="s">
        <v>21269</v>
      </c>
      <c r="I16432">
        <v>18661</v>
      </c>
      <c r="J16432" t="e">
        <f>VLOOKUP(E16432,DSSpieler!A:B,2,FALSE)</f>
        <v>#N/A</v>
      </c>
    </row>
    <row r="16433" spans="1:10" x14ac:dyDescent="0.25">
      <c r="A16433">
        <v>18665</v>
      </c>
      <c r="B16433" t="s">
        <v>531</v>
      </c>
      <c r="C16433">
        <v>474</v>
      </c>
      <c r="D16433">
        <v>377</v>
      </c>
      <c r="E16433">
        <v>0</v>
      </c>
      <c r="F16433">
        <v>104</v>
      </c>
      <c r="G16433">
        <v>0</v>
      </c>
      <c r="H16433" t="s">
        <v>21270</v>
      </c>
      <c r="I16433">
        <v>18665</v>
      </c>
      <c r="J16433" t="e">
        <f>VLOOKUP(E16433,DSSpieler!A:B,2,FALSE)</f>
        <v>#N/A</v>
      </c>
    </row>
    <row r="16434" spans="1:10" x14ac:dyDescent="0.25">
      <c r="A16434">
        <v>18666</v>
      </c>
      <c r="B16434" t="s">
        <v>3173</v>
      </c>
      <c r="C16434">
        <v>369</v>
      </c>
      <c r="D16434">
        <v>499</v>
      </c>
      <c r="E16434">
        <v>9882989</v>
      </c>
      <c r="F16434">
        <v>26</v>
      </c>
      <c r="G16434">
        <v>0</v>
      </c>
      <c r="H16434" t="s">
        <v>21271</v>
      </c>
      <c r="I16434">
        <v>18666</v>
      </c>
      <c r="J16434" t="str">
        <f>VLOOKUP(E16434,DSSpieler!A:B,2,FALSE)</f>
        <v>Taimmonania</v>
      </c>
    </row>
    <row r="16435" spans="1:10" x14ac:dyDescent="0.25">
      <c r="A16435">
        <v>18667</v>
      </c>
      <c r="B16435" t="s">
        <v>1598</v>
      </c>
      <c r="C16435">
        <v>451</v>
      </c>
      <c r="D16435">
        <v>603</v>
      </c>
      <c r="E16435">
        <v>7683314</v>
      </c>
      <c r="F16435">
        <v>1354</v>
      </c>
      <c r="G16435">
        <v>0</v>
      </c>
      <c r="H16435" t="s">
        <v>21272</v>
      </c>
      <c r="I16435">
        <v>18667</v>
      </c>
      <c r="J16435" t="str">
        <f>VLOOKUP(E16435,DSSpieler!A:B,2,FALSE)</f>
        <v>ARME DER GUTEN</v>
      </c>
    </row>
    <row r="16436" spans="1:10" x14ac:dyDescent="0.25">
      <c r="A16436">
        <v>18669</v>
      </c>
      <c r="B16436" t="s">
        <v>3174</v>
      </c>
      <c r="C16436">
        <v>434</v>
      </c>
      <c r="D16436">
        <v>565</v>
      </c>
      <c r="E16436">
        <v>1577183643</v>
      </c>
      <c r="F16436">
        <v>26</v>
      </c>
      <c r="G16436">
        <v>0</v>
      </c>
      <c r="H16436" t="s">
        <v>21273</v>
      </c>
      <c r="I16436">
        <v>18669</v>
      </c>
      <c r="J16436" t="str">
        <f>VLOOKUP(E16436,DSSpieler!A:B,2,FALSE)</f>
        <v>Klabustermann</v>
      </c>
    </row>
    <row r="16437" spans="1:10" x14ac:dyDescent="0.25">
      <c r="A16437">
        <v>18670</v>
      </c>
      <c r="B16437" t="s">
        <v>3175</v>
      </c>
      <c r="C16437">
        <v>405</v>
      </c>
      <c r="D16437">
        <v>419</v>
      </c>
      <c r="E16437">
        <v>1577150519</v>
      </c>
      <c r="F16437">
        <v>2145</v>
      </c>
      <c r="G16437">
        <v>0</v>
      </c>
      <c r="H16437" t="s">
        <v>21274</v>
      </c>
      <c r="I16437">
        <v>18670</v>
      </c>
      <c r="J16437" t="str">
        <f>VLOOKUP(E16437,DSSpieler!A:B,2,FALSE)</f>
        <v>Sweet.Psycho</v>
      </c>
    </row>
    <row r="16438" spans="1:10" x14ac:dyDescent="0.25">
      <c r="A16438">
        <v>18671</v>
      </c>
      <c r="B16438" t="s">
        <v>531</v>
      </c>
      <c r="C16438">
        <v>628</v>
      </c>
      <c r="D16438">
        <v>470</v>
      </c>
      <c r="E16438">
        <v>0</v>
      </c>
      <c r="F16438">
        <v>298</v>
      </c>
      <c r="G16438">
        <v>0</v>
      </c>
      <c r="H16438" t="s">
        <v>21275</v>
      </c>
      <c r="I16438">
        <v>18671</v>
      </c>
      <c r="J16438" t="e">
        <f>VLOOKUP(E16438,DSSpieler!A:B,2,FALSE)</f>
        <v>#N/A</v>
      </c>
    </row>
    <row r="16439" spans="1:10" x14ac:dyDescent="0.25">
      <c r="A16439">
        <v>18672</v>
      </c>
      <c r="B16439" t="s">
        <v>531</v>
      </c>
      <c r="C16439">
        <v>590</v>
      </c>
      <c r="D16439">
        <v>411</v>
      </c>
      <c r="E16439">
        <v>0</v>
      </c>
      <c r="F16439">
        <v>132</v>
      </c>
      <c r="G16439">
        <v>0</v>
      </c>
      <c r="H16439" t="s">
        <v>21276</v>
      </c>
      <c r="I16439">
        <v>18672</v>
      </c>
      <c r="J16439" t="e">
        <f>VLOOKUP(E16439,DSSpieler!A:B,2,FALSE)</f>
        <v>#N/A</v>
      </c>
    </row>
    <row r="16440" spans="1:10" x14ac:dyDescent="0.25">
      <c r="A16440">
        <v>18673</v>
      </c>
      <c r="B16440" t="s">
        <v>3176</v>
      </c>
      <c r="C16440">
        <v>450</v>
      </c>
      <c r="D16440">
        <v>620</v>
      </c>
      <c r="E16440">
        <v>1576900725</v>
      </c>
      <c r="F16440">
        <v>51</v>
      </c>
      <c r="G16440">
        <v>0</v>
      </c>
      <c r="H16440" t="s">
        <v>21277</v>
      </c>
      <c r="I16440">
        <v>18673</v>
      </c>
      <c r="J16440" t="str">
        <f>VLOOKUP(E16440,DSSpieler!A:B,2,FALSE)</f>
        <v>MarzixD</v>
      </c>
    </row>
    <row r="16441" spans="1:10" x14ac:dyDescent="0.25">
      <c r="A16441">
        <v>18675</v>
      </c>
      <c r="B16441" t="s">
        <v>3177</v>
      </c>
      <c r="C16441">
        <v>434</v>
      </c>
      <c r="D16441">
        <v>585</v>
      </c>
      <c r="E16441">
        <v>1577194827</v>
      </c>
      <c r="F16441">
        <v>26</v>
      </c>
      <c r="G16441">
        <v>0</v>
      </c>
      <c r="H16441" t="s">
        <v>21278</v>
      </c>
      <c r="I16441">
        <v>18675</v>
      </c>
      <c r="J16441" t="str">
        <f>VLOOKUP(E16441,DSSpieler!A:B,2,FALSE)</f>
        <v>El-schubserero</v>
      </c>
    </row>
    <row r="16442" spans="1:10" x14ac:dyDescent="0.25">
      <c r="A16442">
        <v>18676</v>
      </c>
      <c r="B16442" t="s">
        <v>3178</v>
      </c>
      <c r="C16442">
        <v>521</v>
      </c>
      <c r="D16442">
        <v>629</v>
      </c>
      <c r="E16442">
        <v>8868301</v>
      </c>
      <c r="F16442">
        <v>26</v>
      </c>
      <c r="G16442">
        <v>0</v>
      </c>
      <c r="H16442" t="s">
        <v>21279</v>
      </c>
      <c r="I16442">
        <v>18676</v>
      </c>
      <c r="J16442" t="str">
        <f>VLOOKUP(E16442,DSSpieler!A:B,2,FALSE)</f>
        <v>Jan-R-</v>
      </c>
    </row>
    <row r="16443" spans="1:10" x14ac:dyDescent="0.25">
      <c r="A16443">
        <v>18677</v>
      </c>
      <c r="B16443" t="s">
        <v>3179</v>
      </c>
      <c r="C16443">
        <v>622</v>
      </c>
      <c r="D16443">
        <v>465</v>
      </c>
      <c r="E16443">
        <v>9710353</v>
      </c>
      <c r="F16443">
        <v>980</v>
      </c>
      <c r="G16443">
        <v>0</v>
      </c>
      <c r="H16443" t="s">
        <v>21280</v>
      </c>
      <c r="I16443">
        <v>18677</v>
      </c>
      <c r="J16443" t="str">
        <f>VLOOKUP(E16443,DSSpieler!A:B,2,FALSE)</f>
        <v>Punschy</v>
      </c>
    </row>
    <row r="16444" spans="1:10" x14ac:dyDescent="0.25">
      <c r="A16444">
        <v>18678</v>
      </c>
      <c r="B16444" t="s">
        <v>531</v>
      </c>
      <c r="C16444">
        <v>491</v>
      </c>
      <c r="D16444">
        <v>629</v>
      </c>
      <c r="E16444">
        <v>0</v>
      </c>
      <c r="F16444">
        <v>123</v>
      </c>
      <c r="G16444">
        <v>0</v>
      </c>
      <c r="H16444" t="s">
        <v>21281</v>
      </c>
      <c r="I16444">
        <v>18678</v>
      </c>
      <c r="J16444" t="e">
        <f>VLOOKUP(E16444,DSSpieler!A:B,2,FALSE)</f>
        <v>#N/A</v>
      </c>
    </row>
    <row r="16445" spans="1:10" x14ac:dyDescent="0.25">
      <c r="A16445">
        <v>18679</v>
      </c>
      <c r="B16445" t="s">
        <v>3180</v>
      </c>
      <c r="C16445">
        <v>623</v>
      </c>
      <c r="D16445">
        <v>459</v>
      </c>
      <c r="E16445">
        <v>1577184403</v>
      </c>
      <c r="F16445">
        <v>1337</v>
      </c>
      <c r="G16445">
        <v>0</v>
      </c>
      <c r="H16445" t="s">
        <v>21282</v>
      </c>
      <c r="I16445">
        <v>18679</v>
      </c>
      <c r="J16445" t="str">
        <f>VLOOKUP(E16445,DSSpieler!A:B,2,FALSE)</f>
        <v>the-worm</v>
      </c>
    </row>
    <row r="16446" spans="1:10" x14ac:dyDescent="0.25">
      <c r="A16446">
        <v>18680</v>
      </c>
      <c r="B16446" t="s">
        <v>3181</v>
      </c>
      <c r="C16446">
        <v>379</v>
      </c>
      <c r="D16446">
        <v>449</v>
      </c>
      <c r="E16446">
        <v>1577189137</v>
      </c>
      <c r="F16446">
        <v>1353</v>
      </c>
      <c r="G16446">
        <v>0</v>
      </c>
      <c r="H16446" t="s">
        <v>21283</v>
      </c>
      <c r="I16446">
        <v>18680</v>
      </c>
      <c r="J16446" t="str">
        <f>VLOOKUP(E16446,DSSpieler!A:B,2,FALSE)</f>
        <v>Spieler1</v>
      </c>
    </row>
    <row r="16447" spans="1:10" x14ac:dyDescent="0.25">
      <c r="A16447">
        <v>18681</v>
      </c>
      <c r="B16447" t="s">
        <v>3182</v>
      </c>
      <c r="C16447">
        <v>621</v>
      </c>
      <c r="D16447">
        <v>550</v>
      </c>
      <c r="E16447">
        <v>1576021277</v>
      </c>
      <c r="F16447">
        <v>1421</v>
      </c>
      <c r="G16447">
        <v>0</v>
      </c>
      <c r="H16447" t="s">
        <v>21284</v>
      </c>
      <c r="I16447">
        <v>18681</v>
      </c>
      <c r="J16447" t="str">
        <f>VLOOKUP(E16447,DSSpieler!A:B,2,FALSE)</f>
        <v>Lazzaret</v>
      </c>
    </row>
    <row r="16448" spans="1:10" x14ac:dyDescent="0.25">
      <c r="A16448">
        <v>18682</v>
      </c>
      <c r="B16448" t="s">
        <v>3183</v>
      </c>
      <c r="C16448">
        <v>442</v>
      </c>
      <c r="D16448">
        <v>381</v>
      </c>
      <c r="E16448">
        <v>1577102326</v>
      </c>
      <c r="F16448">
        <v>28</v>
      </c>
      <c r="G16448">
        <v>0</v>
      </c>
      <c r="H16448" t="s">
        <v>21285</v>
      </c>
      <c r="I16448">
        <v>18682</v>
      </c>
      <c r="J16448" t="str">
        <f>VLOOKUP(E16448,DSSpieler!A:B,2,FALSE)</f>
        <v>Shooter</v>
      </c>
    </row>
    <row r="16449" spans="1:10" x14ac:dyDescent="0.25">
      <c r="A16449">
        <v>18683</v>
      </c>
      <c r="B16449" t="s">
        <v>3184</v>
      </c>
      <c r="C16449">
        <v>424</v>
      </c>
      <c r="D16449">
        <v>436</v>
      </c>
      <c r="E16449">
        <v>1577156646</v>
      </c>
      <c r="F16449">
        <v>204</v>
      </c>
      <c r="G16449">
        <v>0</v>
      </c>
      <c r="H16449" t="s">
        <v>21286</v>
      </c>
      <c r="I16449">
        <v>18683</v>
      </c>
      <c r="J16449" t="str">
        <f>VLOOKUP(E16449,DSSpieler!A:B,2,FALSE)</f>
        <v>Pfanner</v>
      </c>
    </row>
    <row r="16450" spans="1:10" x14ac:dyDescent="0.25">
      <c r="A16450">
        <v>18684</v>
      </c>
      <c r="B16450" t="s">
        <v>3185</v>
      </c>
      <c r="C16450">
        <v>397</v>
      </c>
      <c r="D16450">
        <v>420</v>
      </c>
      <c r="E16450">
        <v>1577206751</v>
      </c>
      <c r="F16450">
        <v>1386</v>
      </c>
      <c r="G16450">
        <v>0</v>
      </c>
      <c r="H16450" t="s">
        <v>21287</v>
      </c>
      <c r="I16450">
        <v>18684</v>
      </c>
      <c r="J16450" t="str">
        <f>VLOOKUP(E16450,DSSpieler!A:B,2,FALSE)</f>
        <v>kalfxxx</v>
      </c>
    </row>
    <row r="16451" spans="1:10" x14ac:dyDescent="0.25">
      <c r="A16451">
        <v>18685</v>
      </c>
      <c r="B16451" t="s">
        <v>1833</v>
      </c>
      <c r="C16451">
        <v>377</v>
      </c>
      <c r="D16451">
        <v>464</v>
      </c>
      <c r="E16451">
        <v>10191634</v>
      </c>
      <c r="F16451">
        <v>1861</v>
      </c>
      <c r="G16451">
        <v>0</v>
      </c>
      <c r="H16451" t="s">
        <v>21288</v>
      </c>
      <c r="I16451">
        <v>18685</v>
      </c>
      <c r="J16451" t="str">
        <f>VLOOKUP(E16451,DSSpieler!A:B,2,FALSE)</f>
        <v>hail-of-bullets</v>
      </c>
    </row>
    <row r="16452" spans="1:10" x14ac:dyDescent="0.25">
      <c r="A16452">
        <v>18686</v>
      </c>
      <c r="B16452" t="s">
        <v>3186</v>
      </c>
      <c r="C16452">
        <v>369</v>
      </c>
      <c r="D16452">
        <v>487</v>
      </c>
      <c r="E16452">
        <v>1577206370</v>
      </c>
      <c r="F16452">
        <v>220</v>
      </c>
      <c r="G16452">
        <v>0</v>
      </c>
      <c r="H16452" t="s">
        <v>21289</v>
      </c>
      <c r="I16452">
        <v>18686</v>
      </c>
      <c r="J16452" t="str">
        <f>VLOOKUP(E16452,DSSpieler!A:B,2,FALSE)</f>
        <v>FlyingHirsch</v>
      </c>
    </row>
    <row r="16453" spans="1:10" x14ac:dyDescent="0.25">
      <c r="A16453">
        <v>18687</v>
      </c>
      <c r="B16453" t="s">
        <v>3187</v>
      </c>
      <c r="C16453">
        <v>560</v>
      </c>
      <c r="D16453">
        <v>425</v>
      </c>
      <c r="E16453">
        <v>1577198967</v>
      </c>
      <c r="F16453">
        <v>1128</v>
      </c>
      <c r="G16453">
        <v>0</v>
      </c>
      <c r="H16453" t="s">
        <v>21290</v>
      </c>
      <c r="I16453">
        <v>18687</v>
      </c>
      <c r="J16453" t="str">
        <f>VLOOKUP(E16453,DSSpieler!A:B,2,FALSE)</f>
        <v>Mc-Benz</v>
      </c>
    </row>
    <row r="16454" spans="1:10" x14ac:dyDescent="0.25">
      <c r="A16454">
        <v>18689</v>
      </c>
      <c r="B16454" t="s">
        <v>3188</v>
      </c>
      <c r="C16454">
        <v>472</v>
      </c>
      <c r="D16454">
        <v>376</v>
      </c>
      <c r="E16454">
        <v>1577114249</v>
      </c>
      <c r="F16454">
        <v>26</v>
      </c>
      <c r="G16454">
        <v>0</v>
      </c>
      <c r="H16454" t="s">
        <v>21291</v>
      </c>
      <c r="I16454">
        <v>18689</v>
      </c>
      <c r="J16454" t="str">
        <f>VLOOKUP(E16454,DSSpieler!A:B,2,FALSE)</f>
        <v>iaquinta.</v>
      </c>
    </row>
    <row r="16455" spans="1:10" x14ac:dyDescent="0.25">
      <c r="A16455">
        <v>18690</v>
      </c>
      <c r="B16455" t="s">
        <v>3189</v>
      </c>
      <c r="C16455">
        <v>423</v>
      </c>
      <c r="D16455">
        <v>606</v>
      </c>
      <c r="E16455">
        <v>1576992743</v>
      </c>
      <c r="F16455">
        <v>1628</v>
      </c>
      <c r="G16455">
        <v>0</v>
      </c>
      <c r="H16455" t="s">
        <v>21292</v>
      </c>
      <c r="I16455">
        <v>18690</v>
      </c>
      <c r="J16455" t="str">
        <f>VLOOKUP(E16455,DSSpieler!A:B,2,FALSE)</f>
        <v>Pumbaa2010</v>
      </c>
    </row>
    <row r="16456" spans="1:10" x14ac:dyDescent="0.25">
      <c r="A16456">
        <v>18691</v>
      </c>
      <c r="B16456" t="s">
        <v>3190</v>
      </c>
      <c r="C16456">
        <v>381</v>
      </c>
      <c r="D16456">
        <v>464</v>
      </c>
      <c r="E16456">
        <v>1417982</v>
      </c>
      <c r="F16456">
        <v>722</v>
      </c>
      <c r="G16456">
        <v>0</v>
      </c>
      <c r="H16456" t="s">
        <v>21293</v>
      </c>
      <c r="I16456">
        <v>18691</v>
      </c>
      <c r="J16456" t="str">
        <f>VLOOKUP(E16456,DSSpieler!A:B,2,FALSE)</f>
        <v>Carlisto</v>
      </c>
    </row>
    <row r="16457" spans="1:10" x14ac:dyDescent="0.25">
      <c r="A16457">
        <v>18692</v>
      </c>
      <c r="B16457" t="s">
        <v>3191</v>
      </c>
      <c r="C16457">
        <v>378</v>
      </c>
      <c r="D16457">
        <v>457</v>
      </c>
      <c r="E16457">
        <v>7914342</v>
      </c>
      <c r="F16457">
        <v>1061</v>
      </c>
      <c r="G16457">
        <v>0</v>
      </c>
      <c r="H16457" t="s">
        <v>21294</v>
      </c>
      <c r="I16457">
        <v>18692</v>
      </c>
      <c r="J16457" t="str">
        <f>VLOOKUP(E16457,DSSpieler!A:B,2,FALSE)</f>
        <v>sasakul</v>
      </c>
    </row>
    <row r="16458" spans="1:10" x14ac:dyDescent="0.25">
      <c r="A16458">
        <v>18693</v>
      </c>
      <c r="B16458" t="s">
        <v>3192</v>
      </c>
      <c r="C16458">
        <v>556</v>
      </c>
      <c r="D16458">
        <v>525</v>
      </c>
      <c r="E16458">
        <v>1577197868</v>
      </c>
      <c r="F16458">
        <v>2185</v>
      </c>
      <c r="G16458">
        <v>0</v>
      </c>
      <c r="H16458" t="s">
        <v>21295</v>
      </c>
      <c r="I16458">
        <v>18693</v>
      </c>
      <c r="J16458" t="str">
        <f>VLOOKUP(E16458,DSSpieler!A:B,2,FALSE)</f>
        <v>solarkraftwerk</v>
      </c>
    </row>
    <row r="16459" spans="1:10" x14ac:dyDescent="0.25">
      <c r="A16459">
        <v>18694</v>
      </c>
      <c r="B16459" t="s">
        <v>531</v>
      </c>
      <c r="C16459">
        <v>563</v>
      </c>
      <c r="D16459">
        <v>609</v>
      </c>
      <c r="E16459">
        <v>0</v>
      </c>
      <c r="F16459">
        <v>129</v>
      </c>
      <c r="G16459">
        <v>0</v>
      </c>
      <c r="H16459" t="s">
        <v>21296</v>
      </c>
      <c r="I16459">
        <v>18694</v>
      </c>
      <c r="J16459" t="e">
        <f>VLOOKUP(E16459,DSSpieler!A:B,2,FALSE)</f>
        <v>#N/A</v>
      </c>
    </row>
    <row r="16460" spans="1:10" x14ac:dyDescent="0.25">
      <c r="A16460">
        <v>18697</v>
      </c>
      <c r="B16460" t="s">
        <v>3193</v>
      </c>
      <c r="C16460">
        <v>615</v>
      </c>
      <c r="D16460">
        <v>441</v>
      </c>
      <c r="E16460">
        <v>455552</v>
      </c>
      <c r="F16460">
        <v>1785</v>
      </c>
      <c r="G16460">
        <v>0</v>
      </c>
      <c r="H16460" t="s">
        <v>21297</v>
      </c>
      <c r="I16460">
        <v>18697</v>
      </c>
      <c r="J16460" t="str">
        <f>VLOOKUP(E16460,DSSpieler!A:B,2,FALSE)</f>
        <v>jonas2345</v>
      </c>
    </row>
    <row r="16461" spans="1:10" x14ac:dyDescent="0.25">
      <c r="A16461">
        <v>18698</v>
      </c>
      <c r="B16461" t="s">
        <v>604</v>
      </c>
      <c r="C16461">
        <v>485</v>
      </c>
      <c r="D16461">
        <v>626</v>
      </c>
      <c r="E16461">
        <v>9865902</v>
      </c>
      <c r="F16461">
        <v>1377</v>
      </c>
      <c r="G16461">
        <v>0</v>
      </c>
      <c r="H16461" t="s">
        <v>21298</v>
      </c>
      <c r="I16461">
        <v>18698</v>
      </c>
      <c r="J16461" t="str">
        <f>VLOOKUP(E16461,DSSpieler!A:B,2,FALSE)</f>
        <v>xGuzzix</v>
      </c>
    </row>
    <row r="16462" spans="1:10" x14ac:dyDescent="0.25">
      <c r="A16462">
        <v>18699</v>
      </c>
      <c r="B16462" t="s">
        <v>3194</v>
      </c>
      <c r="C16462">
        <v>595</v>
      </c>
      <c r="D16462">
        <v>408</v>
      </c>
      <c r="E16462">
        <v>1577201419</v>
      </c>
      <c r="F16462">
        <v>50</v>
      </c>
      <c r="G16462">
        <v>0</v>
      </c>
      <c r="H16462" t="s">
        <v>21299</v>
      </c>
      <c r="I16462">
        <v>18699</v>
      </c>
      <c r="J16462" t="str">
        <f>VLOOKUP(E16462,DSSpieler!A:B,2,FALSE)</f>
        <v>Andreas1997</v>
      </c>
    </row>
    <row r="16463" spans="1:10" x14ac:dyDescent="0.25">
      <c r="A16463">
        <v>18700</v>
      </c>
      <c r="B16463" t="s">
        <v>531</v>
      </c>
      <c r="C16463">
        <v>608</v>
      </c>
      <c r="D16463">
        <v>433</v>
      </c>
      <c r="E16463">
        <v>0</v>
      </c>
      <c r="F16463">
        <v>94</v>
      </c>
      <c r="G16463">
        <v>0</v>
      </c>
      <c r="H16463" t="s">
        <v>21300</v>
      </c>
      <c r="I16463">
        <v>18700</v>
      </c>
      <c r="J16463" t="e">
        <f>VLOOKUP(E16463,DSSpieler!A:B,2,FALSE)</f>
        <v>#N/A</v>
      </c>
    </row>
    <row r="16464" spans="1:10" x14ac:dyDescent="0.25">
      <c r="A16464">
        <v>18701</v>
      </c>
      <c r="B16464" t="s">
        <v>1220</v>
      </c>
      <c r="C16464">
        <v>464</v>
      </c>
      <c r="D16464">
        <v>378</v>
      </c>
      <c r="E16464">
        <v>1577203084</v>
      </c>
      <c r="F16464">
        <v>1126</v>
      </c>
      <c r="G16464">
        <v>0</v>
      </c>
      <c r="H16464" t="s">
        <v>21301</v>
      </c>
      <c r="I16464">
        <v>18701</v>
      </c>
      <c r="J16464" t="str">
        <f>VLOOKUP(E16464,DSSpieler!A:B,2,FALSE)</f>
        <v>Mikroman</v>
      </c>
    </row>
    <row r="16465" spans="1:10" x14ac:dyDescent="0.25">
      <c r="A16465">
        <v>18702</v>
      </c>
      <c r="B16465" t="s">
        <v>531</v>
      </c>
      <c r="C16465">
        <v>372</v>
      </c>
      <c r="D16465">
        <v>474</v>
      </c>
      <c r="E16465">
        <v>0</v>
      </c>
      <c r="F16465">
        <v>42</v>
      </c>
      <c r="G16465">
        <v>0</v>
      </c>
      <c r="H16465" t="s">
        <v>21302</v>
      </c>
      <c r="I16465">
        <v>18702</v>
      </c>
      <c r="J16465" t="e">
        <f>VLOOKUP(E16465,DSSpieler!A:B,2,FALSE)</f>
        <v>#N/A</v>
      </c>
    </row>
    <row r="16466" spans="1:10" x14ac:dyDescent="0.25">
      <c r="A16466">
        <v>18703</v>
      </c>
      <c r="B16466" t="s">
        <v>531</v>
      </c>
      <c r="C16466">
        <v>372</v>
      </c>
      <c r="D16466">
        <v>469</v>
      </c>
      <c r="E16466">
        <v>0</v>
      </c>
      <c r="F16466">
        <v>107</v>
      </c>
      <c r="G16466">
        <v>0</v>
      </c>
      <c r="H16466" t="s">
        <v>21303</v>
      </c>
      <c r="I16466">
        <v>18703</v>
      </c>
      <c r="J16466" t="e">
        <f>VLOOKUP(E16466,DSSpieler!A:B,2,FALSE)</f>
        <v>#N/A</v>
      </c>
    </row>
    <row r="16467" spans="1:10" x14ac:dyDescent="0.25">
      <c r="A16467">
        <v>18704</v>
      </c>
      <c r="B16467" t="e">
        <f>-DNC-secret+Dorf</f>
        <v>#NAME?</v>
      </c>
      <c r="C16467">
        <v>571</v>
      </c>
      <c r="D16467">
        <v>611</v>
      </c>
      <c r="E16467">
        <v>1576776833</v>
      </c>
      <c r="F16467">
        <v>527</v>
      </c>
      <c r="G16467">
        <v>0</v>
      </c>
      <c r="H16467" t="s">
        <v>21304</v>
      </c>
      <c r="I16467">
        <v>18704</v>
      </c>
      <c r="J16467" t="str">
        <f>VLOOKUP(E16467,DSSpieler!A:B,2,FALSE)</f>
        <v>-DNC-</v>
      </c>
    </row>
    <row r="16468" spans="1:10" x14ac:dyDescent="0.25">
      <c r="A16468">
        <v>18705</v>
      </c>
      <c r="B16468" t="s">
        <v>531</v>
      </c>
      <c r="C16468">
        <v>456</v>
      </c>
      <c r="D16468">
        <v>382</v>
      </c>
      <c r="E16468">
        <v>0</v>
      </c>
      <c r="F16468">
        <v>105</v>
      </c>
      <c r="G16468">
        <v>0</v>
      </c>
      <c r="H16468" t="s">
        <v>21305</v>
      </c>
      <c r="I16468">
        <v>18705</v>
      </c>
      <c r="J16468" t="e">
        <f>VLOOKUP(E16468,DSSpieler!A:B,2,FALSE)</f>
        <v>#N/A</v>
      </c>
    </row>
    <row r="16469" spans="1:10" x14ac:dyDescent="0.25">
      <c r="A16469">
        <v>18706</v>
      </c>
      <c r="B16469" t="s">
        <v>3195</v>
      </c>
      <c r="C16469">
        <v>608</v>
      </c>
      <c r="D16469">
        <v>432</v>
      </c>
      <c r="E16469">
        <v>10038000</v>
      </c>
      <c r="F16469">
        <v>1565</v>
      </c>
      <c r="G16469">
        <v>0</v>
      </c>
      <c r="H16469" t="s">
        <v>21306</v>
      </c>
      <c r="I16469">
        <v>18706</v>
      </c>
      <c r="J16469" t="str">
        <f>VLOOKUP(E16469,DSSpieler!A:B,2,FALSE)</f>
        <v>GodEnel</v>
      </c>
    </row>
    <row r="16470" spans="1:10" x14ac:dyDescent="0.25">
      <c r="A16470">
        <v>18709</v>
      </c>
      <c r="B16470" t="s">
        <v>531</v>
      </c>
      <c r="C16470">
        <v>473</v>
      </c>
      <c r="D16470">
        <v>371</v>
      </c>
      <c r="E16470">
        <v>0</v>
      </c>
      <c r="F16470">
        <v>84</v>
      </c>
      <c r="G16470">
        <v>0</v>
      </c>
      <c r="H16470" t="s">
        <v>21307</v>
      </c>
      <c r="I16470">
        <v>18709</v>
      </c>
      <c r="J16470" t="e">
        <f>VLOOKUP(E16470,DSSpieler!A:B,2,FALSE)</f>
        <v>#N/A</v>
      </c>
    </row>
    <row r="16471" spans="1:10" x14ac:dyDescent="0.25">
      <c r="A16471">
        <v>18710</v>
      </c>
      <c r="B16471" t="s">
        <v>3196</v>
      </c>
      <c r="C16471">
        <v>566</v>
      </c>
      <c r="D16471">
        <v>605</v>
      </c>
      <c r="E16471">
        <v>1577206774</v>
      </c>
      <c r="F16471">
        <v>313</v>
      </c>
      <c r="G16471">
        <v>0</v>
      </c>
      <c r="H16471" t="s">
        <v>21308</v>
      </c>
      <c r="I16471">
        <v>18710</v>
      </c>
      <c r="J16471" t="str">
        <f>VLOOKUP(E16471,DSSpieler!A:B,2,FALSE)</f>
        <v>Dragon17</v>
      </c>
    </row>
    <row r="16472" spans="1:10" x14ac:dyDescent="0.25">
      <c r="A16472">
        <v>18712</v>
      </c>
      <c r="B16472" t="s">
        <v>3197</v>
      </c>
      <c r="C16472">
        <v>597</v>
      </c>
      <c r="D16472">
        <v>583</v>
      </c>
      <c r="E16472">
        <v>1576970225</v>
      </c>
      <c r="F16472">
        <v>44</v>
      </c>
      <c r="G16472">
        <v>0</v>
      </c>
      <c r="H16472" t="s">
        <v>21309</v>
      </c>
      <c r="I16472">
        <v>18712</v>
      </c>
      <c r="J16472" t="str">
        <f>VLOOKUP(E16472,DSSpieler!A:B,2,FALSE)</f>
        <v>Kiryoku</v>
      </c>
    </row>
    <row r="16473" spans="1:10" x14ac:dyDescent="0.25">
      <c r="A16473">
        <v>18713</v>
      </c>
      <c r="B16473" t="s">
        <v>3198</v>
      </c>
      <c r="C16473">
        <v>566</v>
      </c>
      <c r="D16473">
        <v>612</v>
      </c>
      <c r="E16473">
        <v>1577206775</v>
      </c>
      <c r="F16473">
        <v>297</v>
      </c>
      <c r="G16473">
        <v>0</v>
      </c>
      <c r="H16473" t="s">
        <v>21310</v>
      </c>
      <c r="I16473">
        <v>18713</v>
      </c>
      <c r="J16473" t="str">
        <f>VLOOKUP(E16473,DSSpieler!A:B,2,FALSE)</f>
        <v>Hansaplast</v>
      </c>
    </row>
    <row r="16474" spans="1:10" x14ac:dyDescent="0.25">
      <c r="A16474">
        <v>18714</v>
      </c>
      <c r="B16474" t="s">
        <v>1850</v>
      </c>
      <c r="C16474">
        <v>603</v>
      </c>
      <c r="D16474">
        <v>573</v>
      </c>
      <c r="E16474">
        <v>1575881899</v>
      </c>
      <c r="F16474">
        <v>92</v>
      </c>
      <c r="G16474">
        <v>0</v>
      </c>
      <c r="H16474" t="s">
        <v>21311</v>
      </c>
      <c r="I16474">
        <v>18714</v>
      </c>
      <c r="J16474" t="str">
        <f>VLOOKUP(E16474,DSSpieler!A:B,2,FALSE)</f>
        <v>dragon2</v>
      </c>
    </row>
    <row r="16475" spans="1:10" x14ac:dyDescent="0.25">
      <c r="A16475">
        <v>18715</v>
      </c>
      <c r="B16475" t="s">
        <v>531</v>
      </c>
      <c r="C16475">
        <v>626</v>
      </c>
      <c r="D16475">
        <v>503</v>
      </c>
      <c r="E16475">
        <v>0</v>
      </c>
      <c r="F16475">
        <v>96</v>
      </c>
      <c r="G16475">
        <v>0</v>
      </c>
      <c r="H16475" t="s">
        <v>21312</v>
      </c>
      <c r="I16475">
        <v>18715</v>
      </c>
      <c r="J16475" t="e">
        <f>VLOOKUP(E16475,DSSpieler!A:B,2,FALSE)</f>
        <v>#N/A</v>
      </c>
    </row>
    <row r="16476" spans="1:10" x14ac:dyDescent="0.25">
      <c r="A16476">
        <v>18716</v>
      </c>
      <c r="B16476" t="s">
        <v>2518</v>
      </c>
      <c r="C16476">
        <v>509</v>
      </c>
      <c r="D16476">
        <v>373</v>
      </c>
      <c r="E16476">
        <v>1577093467</v>
      </c>
      <c r="F16476">
        <v>747</v>
      </c>
      <c r="G16476">
        <v>0</v>
      </c>
      <c r="H16476" t="s">
        <v>21313</v>
      </c>
      <c r="I16476">
        <v>18716</v>
      </c>
      <c r="J16476" t="str">
        <f>VLOOKUP(E16476,DSSpieler!A:B,2,FALSE)</f>
        <v>bertl</v>
      </c>
    </row>
    <row r="16477" spans="1:10" x14ac:dyDescent="0.25">
      <c r="A16477">
        <v>18717</v>
      </c>
      <c r="B16477" t="s">
        <v>3199</v>
      </c>
      <c r="C16477">
        <v>494</v>
      </c>
      <c r="D16477">
        <v>476</v>
      </c>
      <c r="E16477">
        <v>1577113282</v>
      </c>
      <c r="F16477">
        <v>545</v>
      </c>
      <c r="G16477">
        <v>0</v>
      </c>
      <c r="H16477" t="s">
        <v>21314</v>
      </c>
      <c r="I16477">
        <v>18717</v>
      </c>
      <c r="J16477" t="str">
        <f>VLOOKUP(E16477,DSSpieler!A:B,2,FALSE)</f>
        <v>CONDOR</v>
      </c>
    </row>
    <row r="16478" spans="1:10" x14ac:dyDescent="0.25">
      <c r="A16478">
        <v>18718</v>
      </c>
      <c r="B16478" t="s">
        <v>3200</v>
      </c>
      <c r="C16478">
        <v>368</v>
      </c>
      <c r="D16478">
        <v>496</v>
      </c>
      <c r="E16478">
        <v>1577206779</v>
      </c>
      <c r="F16478">
        <v>26</v>
      </c>
      <c r="G16478">
        <v>0</v>
      </c>
      <c r="H16478" t="s">
        <v>21315</v>
      </c>
      <c r="I16478">
        <v>18718</v>
      </c>
      <c r="J16478" t="str">
        <f>VLOOKUP(E16478,DSSpieler!A:B,2,FALSE)</f>
        <v>uuuuu</v>
      </c>
    </row>
    <row r="16479" spans="1:10" x14ac:dyDescent="0.25">
      <c r="A16479">
        <v>18719</v>
      </c>
      <c r="B16479" t="s">
        <v>3201</v>
      </c>
      <c r="C16479">
        <v>373</v>
      </c>
      <c r="D16479">
        <v>499</v>
      </c>
      <c r="E16479">
        <v>9989555</v>
      </c>
      <c r="F16479">
        <v>77</v>
      </c>
      <c r="G16479">
        <v>0</v>
      </c>
      <c r="H16479" t="s">
        <v>21316</v>
      </c>
      <c r="I16479">
        <v>18719</v>
      </c>
      <c r="J16479" t="str">
        <f>VLOOKUP(E16479,DSSpieler!A:B,2,FALSE)</f>
        <v>Lordleh</v>
      </c>
    </row>
    <row r="16480" spans="1:10" x14ac:dyDescent="0.25">
      <c r="A16480">
        <v>18720</v>
      </c>
      <c r="B16480" t="s">
        <v>35651</v>
      </c>
      <c r="C16480">
        <v>465</v>
      </c>
      <c r="D16480">
        <v>623</v>
      </c>
      <c r="E16480">
        <v>9401798</v>
      </c>
      <c r="F16480">
        <v>73</v>
      </c>
      <c r="G16480">
        <v>0</v>
      </c>
      <c r="H16480" t="s">
        <v>21317</v>
      </c>
      <c r="I16480">
        <v>18720</v>
      </c>
      <c r="J16480" t="str">
        <f>VLOOKUP(E16480,DSSpieler!A:B,2,FALSE)</f>
        <v>Stormflame</v>
      </c>
    </row>
    <row r="16481" spans="1:10" x14ac:dyDescent="0.25">
      <c r="A16481">
        <v>18721</v>
      </c>
      <c r="B16481" t="s">
        <v>35652</v>
      </c>
      <c r="C16481">
        <v>413</v>
      </c>
      <c r="D16481">
        <v>408</v>
      </c>
      <c r="E16481">
        <v>1576098468</v>
      </c>
      <c r="F16481">
        <v>358</v>
      </c>
      <c r="G16481">
        <v>0</v>
      </c>
      <c r="H16481" t="s">
        <v>21318</v>
      </c>
      <c r="I16481">
        <v>18721</v>
      </c>
      <c r="J16481" t="str">
        <f>VLOOKUP(E16481,DSSpieler!A:B,2,FALSE)</f>
        <v>Markidinho7</v>
      </c>
    </row>
    <row r="16482" spans="1:10" x14ac:dyDescent="0.25">
      <c r="A16482">
        <v>18722</v>
      </c>
      <c r="B16482" t="s">
        <v>531</v>
      </c>
      <c r="C16482">
        <v>492</v>
      </c>
      <c r="D16482">
        <v>632</v>
      </c>
      <c r="E16482">
        <v>0</v>
      </c>
      <c r="F16482">
        <v>110</v>
      </c>
      <c r="G16482">
        <v>0</v>
      </c>
      <c r="H16482" t="s">
        <v>21319</v>
      </c>
      <c r="I16482">
        <v>18722</v>
      </c>
      <c r="J16482" t="e">
        <f>VLOOKUP(E16482,DSSpieler!A:B,2,FALSE)</f>
        <v>#N/A</v>
      </c>
    </row>
    <row r="16483" spans="1:10" x14ac:dyDescent="0.25">
      <c r="A16483">
        <v>18723</v>
      </c>
      <c r="B16483" t="s">
        <v>3202</v>
      </c>
      <c r="C16483">
        <v>479</v>
      </c>
      <c r="D16483">
        <v>409</v>
      </c>
      <c r="E16483">
        <v>1577150190</v>
      </c>
      <c r="F16483">
        <v>239</v>
      </c>
      <c r="G16483">
        <v>0</v>
      </c>
      <c r="H16483" t="s">
        <v>21320</v>
      </c>
      <c r="I16483">
        <v>18723</v>
      </c>
      <c r="J16483" t="str">
        <f>VLOOKUP(E16483,DSSpieler!A:B,2,FALSE)</f>
        <v>Busted5</v>
      </c>
    </row>
    <row r="16484" spans="1:10" x14ac:dyDescent="0.25">
      <c r="A16484">
        <v>18724</v>
      </c>
      <c r="B16484" t="s">
        <v>3203</v>
      </c>
      <c r="C16484">
        <v>372</v>
      </c>
      <c r="D16484">
        <v>473</v>
      </c>
      <c r="E16484">
        <v>1577200223</v>
      </c>
      <c r="F16484">
        <v>73</v>
      </c>
      <c r="G16484">
        <v>0</v>
      </c>
      <c r="H16484" t="s">
        <v>21321</v>
      </c>
      <c r="I16484">
        <v>18724</v>
      </c>
      <c r="J16484" t="str">
        <f>VLOOKUP(E16484,DSSpieler!A:B,2,FALSE)</f>
        <v>easyeasy</v>
      </c>
    </row>
    <row r="16485" spans="1:10" x14ac:dyDescent="0.25">
      <c r="A16485">
        <v>18725</v>
      </c>
      <c r="B16485" t="s">
        <v>531</v>
      </c>
      <c r="C16485">
        <v>375</v>
      </c>
      <c r="D16485">
        <v>467</v>
      </c>
      <c r="E16485">
        <v>0</v>
      </c>
      <c r="F16485">
        <v>160</v>
      </c>
      <c r="G16485">
        <v>0</v>
      </c>
      <c r="H16485" t="s">
        <v>21322</v>
      </c>
      <c r="I16485">
        <v>18725</v>
      </c>
      <c r="J16485" t="e">
        <f>VLOOKUP(E16485,DSSpieler!A:B,2,FALSE)</f>
        <v>#N/A</v>
      </c>
    </row>
    <row r="16486" spans="1:10" x14ac:dyDescent="0.25">
      <c r="A16486">
        <v>18726</v>
      </c>
      <c r="B16486" t="s">
        <v>3204</v>
      </c>
      <c r="C16486">
        <v>530</v>
      </c>
      <c r="D16486">
        <v>628</v>
      </c>
      <c r="E16486">
        <v>10163428</v>
      </c>
      <c r="F16486">
        <v>26</v>
      </c>
      <c r="G16486">
        <v>0</v>
      </c>
      <c r="H16486" t="s">
        <v>21323</v>
      </c>
      <c r="I16486">
        <v>18726</v>
      </c>
      <c r="J16486" t="str">
        <f>VLOOKUP(E16486,DSSpieler!A:B,2,FALSE)</f>
        <v>dobermann2</v>
      </c>
    </row>
    <row r="16487" spans="1:10" x14ac:dyDescent="0.25">
      <c r="A16487">
        <v>18727</v>
      </c>
      <c r="B16487" t="s">
        <v>531</v>
      </c>
      <c r="C16487">
        <v>596</v>
      </c>
      <c r="D16487">
        <v>587</v>
      </c>
      <c r="E16487">
        <v>0</v>
      </c>
      <c r="F16487">
        <v>121</v>
      </c>
      <c r="G16487">
        <v>0</v>
      </c>
      <c r="H16487" t="s">
        <v>21324</v>
      </c>
      <c r="I16487">
        <v>18727</v>
      </c>
      <c r="J16487" t="e">
        <f>VLOOKUP(E16487,DSSpieler!A:B,2,FALSE)</f>
        <v>#N/A</v>
      </c>
    </row>
    <row r="16488" spans="1:10" x14ac:dyDescent="0.25">
      <c r="A16488">
        <v>18728</v>
      </c>
      <c r="B16488" t="s">
        <v>3205</v>
      </c>
      <c r="C16488">
        <v>517</v>
      </c>
      <c r="D16488">
        <v>597</v>
      </c>
      <c r="E16488">
        <v>1577198447</v>
      </c>
      <c r="F16488">
        <v>761</v>
      </c>
      <c r="G16488">
        <v>0</v>
      </c>
      <c r="H16488" t="s">
        <v>21325</v>
      </c>
      <c r="I16488">
        <v>18728</v>
      </c>
      <c r="J16488" t="str">
        <f>VLOOKUP(E16488,DSSpieler!A:B,2,FALSE)</f>
        <v>Todtt</v>
      </c>
    </row>
    <row r="16489" spans="1:10" x14ac:dyDescent="0.25">
      <c r="A16489">
        <v>18729</v>
      </c>
      <c r="B16489" t="s">
        <v>3206</v>
      </c>
      <c r="C16489">
        <v>486</v>
      </c>
      <c r="D16489">
        <v>542</v>
      </c>
      <c r="E16489">
        <v>1577206794</v>
      </c>
      <c r="F16489">
        <v>75</v>
      </c>
      <c r="G16489">
        <v>0</v>
      </c>
      <c r="H16489" t="s">
        <v>21326</v>
      </c>
      <c r="I16489">
        <v>18729</v>
      </c>
      <c r="J16489" t="str">
        <f>VLOOKUP(E16489,DSSpieler!A:B,2,FALSE)</f>
        <v>HighJoker</v>
      </c>
    </row>
    <row r="16490" spans="1:10" x14ac:dyDescent="0.25">
      <c r="A16490">
        <v>18730</v>
      </c>
      <c r="B16490" t="s">
        <v>593</v>
      </c>
      <c r="C16490">
        <v>592</v>
      </c>
      <c r="D16490">
        <v>414</v>
      </c>
      <c r="E16490">
        <v>1576943229</v>
      </c>
      <c r="F16490">
        <v>266</v>
      </c>
      <c r="G16490">
        <v>0</v>
      </c>
      <c r="H16490" t="s">
        <v>21327</v>
      </c>
      <c r="I16490">
        <v>18730</v>
      </c>
      <c r="J16490" t="str">
        <f>VLOOKUP(E16490,DSSpieler!A:B,2,FALSE)</f>
        <v>Lena92</v>
      </c>
    </row>
    <row r="16491" spans="1:10" x14ac:dyDescent="0.25">
      <c r="A16491">
        <v>18731</v>
      </c>
      <c r="B16491" t="s">
        <v>3207</v>
      </c>
      <c r="C16491">
        <v>465</v>
      </c>
      <c r="D16491">
        <v>426</v>
      </c>
      <c r="E16491">
        <v>1577190055</v>
      </c>
      <c r="F16491">
        <v>61</v>
      </c>
      <c r="G16491">
        <v>0</v>
      </c>
      <c r="H16491" t="s">
        <v>21328</v>
      </c>
      <c r="I16491">
        <v>18731</v>
      </c>
      <c r="J16491" t="str">
        <f>VLOOKUP(E16491,DSSpieler!A:B,2,FALSE)</f>
        <v>Ponte51</v>
      </c>
    </row>
    <row r="16492" spans="1:10" x14ac:dyDescent="0.25">
      <c r="A16492">
        <v>18732</v>
      </c>
      <c r="B16492" t="s">
        <v>3208</v>
      </c>
      <c r="C16492">
        <v>571</v>
      </c>
      <c r="D16492">
        <v>609</v>
      </c>
      <c r="E16492">
        <v>1575939554</v>
      </c>
      <c r="F16492">
        <v>26</v>
      </c>
      <c r="G16492">
        <v>0</v>
      </c>
      <c r="H16492" t="s">
        <v>21329</v>
      </c>
      <c r="I16492">
        <v>18732</v>
      </c>
      <c r="J16492" t="str">
        <f>VLOOKUP(E16492,DSSpieler!A:B,2,FALSE)</f>
        <v>Chrysalis mit Herz</v>
      </c>
    </row>
    <row r="16493" spans="1:10" x14ac:dyDescent="0.25">
      <c r="A16493">
        <v>18733</v>
      </c>
      <c r="B16493" t="s">
        <v>3209</v>
      </c>
      <c r="C16493">
        <v>496</v>
      </c>
      <c r="D16493">
        <v>369</v>
      </c>
      <c r="E16493">
        <v>1576864700</v>
      </c>
      <c r="F16493">
        <v>543</v>
      </c>
      <c r="G16493">
        <v>0</v>
      </c>
      <c r="H16493" t="s">
        <v>21330</v>
      </c>
      <c r="I16493">
        <v>18733</v>
      </c>
      <c r="J16493" t="str">
        <f>VLOOKUP(E16493,DSSpieler!A:B,2,FALSE)</f>
        <v>Jambo89</v>
      </c>
    </row>
    <row r="16494" spans="1:10" x14ac:dyDescent="0.25">
      <c r="A16494">
        <v>18734</v>
      </c>
      <c r="B16494" t="e">
        <f>-1-+Krawatte</f>
        <v>#NAME?</v>
      </c>
      <c r="C16494">
        <v>604</v>
      </c>
      <c r="D16494">
        <v>578</v>
      </c>
      <c r="E16494">
        <v>1577189742</v>
      </c>
      <c r="F16494">
        <v>1489</v>
      </c>
      <c r="G16494">
        <v>0</v>
      </c>
      <c r="H16494" t="s">
        <v>21331</v>
      </c>
      <c r="I16494">
        <v>18734</v>
      </c>
      <c r="J16494" t="str">
        <f>VLOOKUP(E16494,DSSpieler!A:B,2,FALSE)</f>
        <v>?Krawatte</v>
      </c>
    </row>
    <row r="16495" spans="1:10" x14ac:dyDescent="0.25">
      <c r="A16495">
        <v>18736</v>
      </c>
      <c r="B16495" t="s">
        <v>531</v>
      </c>
      <c r="C16495">
        <v>465</v>
      </c>
      <c r="D16495">
        <v>376</v>
      </c>
      <c r="E16495">
        <v>0</v>
      </c>
      <c r="F16495">
        <v>95</v>
      </c>
      <c r="G16495">
        <v>0</v>
      </c>
      <c r="H16495" t="s">
        <v>21332</v>
      </c>
      <c r="I16495">
        <v>18736</v>
      </c>
      <c r="J16495" t="e">
        <f>VLOOKUP(E16495,DSSpieler!A:B,2,FALSE)</f>
        <v>#N/A</v>
      </c>
    </row>
    <row r="16496" spans="1:10" x14ac:dyDescent="0.25">
      <c r="A16496">
        <v>18737</v>
      </c>
      <c r="B16496" t="s">
        <v>35653</v>
      </c>
      <c r="C16496">
        <v>377</v>
      </c>
      <c r="D16496">
        <v>469</v>
      </c>
      <c r="E16496">
        <v>1576281097</v>
      </c>
      <c r="F16496">
        <v>138</v>
      </c>
      <c r="G16496">
        <v>0</v>
      </c>
      <c r="H16496" t="s">
        <v>21333</v>
      </c>
      <c r="I16496">
        <v>18737</v>
      </c>
      <c r="J16496" t="str">
        <f>VLOOKUP(E16496,DSSpieler!A:B,2,FALSE)</f>
        <v>König imad</v>
      </c>
    </row>
    <row r="16497" spans="1:10" x14ac:dyDescent="0.25">
      <c r="A16497">
        <v>18740</v>
      </c>
      <c r="B16497" t="s">
        <v>3210</v>
      </c>
      <c r="C16497">
        <v>422</v>
      </c>
      <c r="D16497">
        <v>400</v>
      </c>
      <c r="E16497">
        <v>1650443</v>
      </c>
      <c r="F16497">
        <v>1516</v>
      </c>
      <c r="G16497">
        <v>0</v>
      </c>
      <c r="H16497" t="s">
        <v>21334</v>
      </c>
      <c r="I16497">
        <v>18740</v>
      </c>
      <c r="J16497" t="str">
        <f>VLOOKUP(E16497,DSSpieler!A:B,2,FALSE)</f>
        <v>Hass81</v>
      </c>
    </row>
    <row r="16498" spans="1:10" x14ac:dyDescent="0.25">
      <c r="A16498">
        <v>18741</v>
      </c>
      <c r="B16498" t="s">
        <v>3211</v>
      </c>
      <c r="C16498">
        <v>427</v>
      </c>
      <c r="D16498">
        <v>599</v>
      </c>
      <c r="E16498">
        <v>1577203128</v>
      </c>
      <c r="F16498">
        <v>697</v>
      </c>
      <c r="G16498">
        <v>0</v>
      </c>
      <c r="H16498" t="s">
        <v>21335</v>
      </c>
      <c r="I16498">
        <v>18741</v>
      </c>
      <c r="J16498" t="str">
        <f>VLOOKUP(E16498,DSSpieler!A:B,2,FALSE)</f>
        <v>schurschur</v>
      </c>
    </row>
    <row r="16499" spans="1:10" x14ac:dyDescent="0.25">
      <c r="A16499">
        <v>18742</v>
      </c>
      <c r="B16499" t="s">
        <v>2091</v>
      </c>
      <c r="C16499">
        <v>611</v>
      </c>
      <c r="D16499">
        <v>563</v>
      </c>
      <c r="E16499">
        <v>1577004716</v>
      </c>
      <c r="F16499">
        <v>226</v>
      </c>
      <c r="G16499">
        <v>0</v>
      </c>
      <c r="H16499" t="s">
        <v>21336</v>
      </c>
      <c r="I16499">
        <v>18742</v>
      </c>
      <c r="J16499" t="str">
        <f>VLOOKUP(E16499,DSSpieler!A:B,2,FALSE)</f>
        <v>Marcusleen</v>
      </c>
    </row>
    <row r="16500" spans="1:10" x14ac:dyDescent="0.25">
      <c r="A16500">
        <v>18743</v>
      </c>
      <c r="B16500" t="s">
        <v>3212</v>
      </c>
      <c r="C16500">
        <v>586</v>
      </c>
      <c r="D16500">
        <v>401</v>
      </c>
      <c r="E16500">
        <v>1577200962</v>
      </c>
      <c r="F16500">
        <v>1199</v>
      </c>
      <c r="G16500">
        <v>0</v>
      </c>
      <c r="H16500" t="s">
        <v>21337</v>
      </c>
      <c r="I16500">
        <v>18743</v>
      </c>
      <c r="J16500" t="str">
        <f>VLOOKUP(E16500,DSSpieler!A:B,2,FALSE)</f>
        <v>August der Braumeister</v>
      </c>
    </row>
    <row r="16501" spans="1:10" x14ac:dyDescent="0.25">
      <c r="A16501">
        <v>18744</v>
      </c>
      <c r="B16501" t="s">
        <v>531</v>
      </c>
      <c r="C16501">
        <v>608</v>
      </c>
      <c r="D16501">
        <v>568</v>
      </c>
      <c r="E16501">
        <v>0</v>
      </c>
      <c r="F16501">
        <v>135</v>
      </c>
      <c r="G16501">
        <v>0</v>
      </c>
      <c r="H16501" t="s">
        <v>21338</v>
      </c>
      <c r="I16501">
        <v>18744</v>
      </c>
      <c r="J16501" t="e">
        <f>VLOOKUP(E16501,DSSpieler!A:B,2,FALSE)</f>
        <v>#N/A</v>
      </c>
    </row>
    <row r="16502" spans="1:10" x14ac:dyDescent="0.25">
      <c r="A16502">
        <v>18745</v>
      </c>
      <c r="B16502" t="s">
        <v>1655</v>
      </c>
      <c r="C16502">
        <v>567</v>
      </c>
      <c r="D16502">
        <v>613</v>
      </c>
      <c r="E16502">
        <v>1576064509</v>
      </c>
      <c r="F16502">
        <v>296</v>
      </c>
      <c r="G16502">
        <v>0</v>
      </c>
      <c r="H16502" t="s">
        <v>21339</v>
      </c>
      <c r="I16502">
        <v>18745</v>
      </c>
      <c r="J16502" t="str">
        <f>VLOOKUP(E16502,DSSpieler!A:B,2,FALSE)</f>
        <v>graf-stifensee</v>
      </c>
    </row>
    <row r="16503" spans="1:10" x14ac:dyDescent="0.25">
      <c r="A16503">
        <v>18746</v>
      </c>
      <c r="B16503" t="s">
        <v>35654</v>
      </c>
      <c r="C16503">
        <v>525</v>
      </c>
      <c r="D16503">
        <v>516</v>
      </c>
      <c r="E16503">
        <v>1577196257</v>
      </c>
      <c r="F16503">
        <v>1757</v>
      </c>
      <c r="G16503">
        <v>0</v>
      </c>
      <c r="H16503" t="s">
        <v>21340</v>
      </c>
      <c r="I16503">
        <v>18746</v>
      </c>
      <c r="J16503" t="str">
        <f>VLOOKUP(E16503,DSSpieler!A:B,2,FALSE)</f>
        <v>Löli</v>
      </c>
    </row>
    <row r="16504" spans="1:10" x14ac:dyDescent="0.25">
      <c r="A16504">
        <v>18747</v>
      </c>
      <c r="B16504" t="s">
        <v>3213</v>
      </c>
      <c r="C16504">
        <v>485</v>
      </c>
      <c r="D16504">
        <v>381</v>
      </c>
      <c r="E16504">
        <v>1576454907</v>
      </c>
      <c r="F16504">
        <v>569</v>
      </c>
      <c r="G16504">
        <v>0</v>
      </c>
      <c r="H16504" t="s">
        <v>21341</v>
      </c>
      <c r="I16504">
        <v>18747</v>
      </c>
      <c r="J16504" t="str">
        <f>VLOOKUP(E16504,DSSpieler!A:B,2,FALSE)</f>
        <v>Toilettengeist</v>
      </c>
    </row>
    <row r="16505" spans="1:10" x14ac:dyDescent="0.25">
      <c r="A16505">
        <v>18749</v>
      </c>
      <c r="B16505" t="s">
        <v>3214</v>
      </c>
      <c r="C16505">
        <v>437</v>
      </c>
      <c r="D16505">
        <v>385</v>
      </c>
      <c r="E16505">
        <v>1577139117</v>
      </c>
      <c r="F16505">
        <v>32</v>
      </c>
      <c r="G16505">
        <v>0</v>
      </c>
      <c r="H16505" t="s">
        <v>21342</v>
      </c>
      <c r="I16505">
        <v>18749</v>
      </c>
      <c r="J16505" t="str">
        <f>VLOOKUP(E16505,DSSpieler!A:B,2,FALSE)</f>
        <v>Boomray</v>
      </c>
    </row>
    <row r="16506" spans="1:10" x14ac:dyDescent="0.25">
      <c r="A16506">
        <v>18750</v>
      </c>
      <c r="B16506" t="s">
        <v>3215</v>
      </c>
      <c r="C16506">
        <v>459</v>
      </c>
      <c r="D16506">
        <v>507</v>
      </c>
      <c r="E16506">
        <v>1577195325</v>
      </c>
      <c r="F16506">
        <v>449</v>
      </c>
      <c r="G16506">
        <v>0</v>
      </c>
      <c r="H16506" t="s">
        <v>21343</v>
      </c>
      <c r="I16506">
        <v>18750</v>
      </c>
      <c r="J16506" t="str">
        <f>VLOOKUP(E16506,DSSpieler!A:B,2,FALSE)</f>
        <v>Tobsen94</v>
      </c>
    </row>
    <row r="16507" spans="1:10" x14ac:dyDescent="0.25">
      <c r="A16507">
        <v>18751</v>
      </c>
      <c r="B16507" t="s">
        <v>1704</v>
      </c>
      <c r="C16507">
        <v>384</v>
      </c>
      <c r="D16507">
        <v>563</v>
      </c>
      <c r="E16507">
        <v>1577152406</v>
      </c>
      <c r="F16507">
        <v>484</v>
      </c>
      <c r="G16507">
        <v>0</v>
      </c>
      <c r="H16507" t="s">
        <v>21344</v>
      </c>
      <c r="I16507">
        <v>18751</v>
      </c>
      <c r="J16507" t="str">
        <f>VLOOKUP(E16507,DSSpieler!A:B,2,FALSE)</f>
        <v>hopfen65</v>
      </c>
    </row>
    <row r="16508" spans="1:10" x14ac:dyDescent="0.25">
      <c r="A16508">
        <v>18752</v>
      </c>
      <c r="B16508" t="s">
        <v>3216</v>
      </c>
      <c r="C16508">
        <v>396</v>
      </c>
      <c r="D16508">
        <v>573</v>
      </c>
      <c r="E16508">
        <v>1577206253</v>
      </c>
      <c r="F16508">
        <v>251</v>
      </c>
      <c r="G16508">
        <v>0</v>
      </c>
      <c r="H16508" t="s">
        <v>21345</v>
      </c>
      <c r="I16508">
        <v>18752</v>
      </c>
      <c r="J16508" t="str">
        <f>VLOOKUP(E16508,DSSpieler!A:B,2,FALSE)</f>
        <v>Tommy der 1.</v>
      </c>
    </row>
    <row r="16509" spans="1:10" x14ac:dyDescent="0.25">
      <c r="A16509">
        <v>18753</v>
      </c>
      <c r="B16509" t="s">
        <v>3217</v>
      </c>
      <c r="C16509">
        <v>468</v>
      </c>
      <c r="D16509">
        <v>585</v>
      </c>
      <c r="E16509">
        <v>1576351219</v>
      </c>
      <c r="F16509">
        <v>2119</v>
      </c>
      <c r="G16509">
        <v>0</v>
      </c>
      <c r="H16509" t="s">
        <v>21346</v>
      </c>
      <c r="I16509">
        <v>18753</v>
      </c>
      <c r="J16509" t="str">
        <f>VLOOKUP(E16509,DSSpieler!A:B,2,FALSE)</f>
        <v>Norikita</v>
      </c>
    </row>
    <row r="16510" spans="1:10" x14ac:dyDescent="0.25">
      <c r="A16510">
        <v>18754</v>
      </c>
      <c r="B16510" t="s">
        <v>1828</v>
      </c>
      <c r="C16510">
        <v>444</v>
      </c>
      <c r="D16510">
        <v>619</v>
      </c>
      <c r="E16510">
        <v>10163862</v>
      </c>
      <c r="F16510">
        <v>1984</v>
      </c>
      <c r="G16510">
        <v>0</v>
      </c>
      <c r="H16510" t="s">
        <v>21347</v>
      </c>
      <c r="I16510">
        <v>18754</v>
      </c>
      <c r="J16510" t="str">
        <f>VLOOKUP(E16510,DSSpieler!A:B,2,FALSE)</f>
        <v>only V</v>
      </c>
    </row>
    <row r="16511" spans="1:10" x14ac:dyDescent="0.25">
      <c r="A16511">
        <v>18756</v>
      </c>
      <c r="B16511" t="s">
        <v>3218</v>
      </c>
      <c r="C16511">
        <v>630</v>
      </c>
      <c r="D16511">
        <v>506</v>
      </c>
      <c r="E16511">
        <v>1576552754</v>
      </c>
      <c r="F16511">
        <v>26</v>
      </c>
      <c r="G16511">
        <v>0</v>
      </c>
      <c r="H16511" t="s">
        <v>21348</v>
      </c>
      <c r="I16511">
        <v>18756</v>
      </c>
      <c r="J16511" t="str">
        <f>VLOOKUP(E16511,DSSpieler!A:B,2,FALSE)</f>
        <v>Awesome Olong</v>
      </c>
    </row>
    <row r="16512" spans="1:10" x14ac:dyDescent="0.25">
      <c r="A16512">
        <v>18757</v>
      </c>
      <c r="B16512" t="s">
        <v>3219</v>
      </c>
      <c r="C16512">
        <v>481</v>
      </c>
      <c r="D16512">
        <v>407</v>
      </c>
      <c r="E16512">
        <v>1576170529</v>
      </c>
      <c r="F16512">
        <v>91</v>
      </c>
      <c r="G16512">
        <v>0</v>
      </c>
      <c r="H16512" t="s">
        <v>21349</v>
      </c>
      <c r="I16512">
        <v>18757</v>
      </c>
      <c r="J16512" t="str">
        <f>VLOOKUP(E16512,DSSpieler!A:B,2,FALSE)</f>
        <v>g0nn213</v>
      </c>
    </row>
    <row r="16513" spans="1:10" x14ac:dyDescent="0.25">
      <c r="A16513">
        <v>18758</v>
      </c>
      <c r="B16513" t="s">
        <v>3220</v>
      </c>
      <c r="C16513">
        <v>517</v>
      </c>
      <c r="D16513">
        <v>625</v>
      </c>
      <c r="E16513">
        <v>721087</v>
      </c>
      <c r="F16513">
        <v>26</v>
      </c>
      <c r="G16513">
        <v>0</v>
      </c>
      <c r="H16513" t="s">
        <v>21350</v>
      </c>
      <c r="I16513">
        <v>18758</v>
      </c>
      <c r="J16513" t="str">
        <f>VLOOKUP(E16513,DSSpieler!A:B,2,FALSE)</f>
        <v>Roman119</v>
      </c>
    </row>
    <row r="16514" spans="1:10" x14ac:dyDescent="0.25">
      <c r="A16514">
        <v>18759</v>
      </c>
      <c r="B16514" t="s">
        <v>3221</v>
      </c>
      <c r="C16514">
        <v>442</v>
      </c>
      <c r="D16514">
        <v>421</v>
      </c>
      <c r="E16514">
        <v>1576993697</v>
      </c>
      <c r="F16514">
        <v>1400</v>
      </c>
      <c r="G16514">
        <v>0</v>
      </c>
      <c r="H16514" t="s">
        <v>21351</v>
      </c>
      <c r="I16514">
        <v>18759</v>
      </c>
      <c r="J16514" t="str">
        <f>VLOOKUP(E16514,DSSpieler!A:B,2,FALSE)</f>
        <v>Herr der Hühnchen</v>
      </c>
    </row>
    <row r="16515" spans="1:10" x14ac:dyDescent="0.25">
      <c r="A16515">
        <v>18760</v>
      </c>
      <c r="B16515" t="s">
        <v>3222</v>
      </c>
      <c r="C16515">
        <v>495</v>
      </c>
      <c r="D16515">
        <v>399</v>
      </c>
      <c r="E16515">
        <v>1576899656</v>
      </c>
      <c r="F16515">
        <v>47</v>
      </c>
      <c r="G16515">
        <v>0</v>
      </c>
      <c r="H16515" t="s">
        <v>21352</v>
      </c>
      <c r="I16515">
        <v>18760</v>
      </c>
      <c r="J16515" t="str">
        <f>VLOOKUP(E16515,DSSpieler!A:B,2,FALSE)</f>
        <v>Integer99</v>
      </c>
    </row>
    <row r="16516" spans="1:10" x14ac:dyDescent="0.25">
      <c r="A16516">
        <v>18761</v>
      </c>
      <c r="B16516" t="s">
        <v>531</v>
      </c>
      <c r="C16516">
        <v>369</v>
      </c>
      <c r="D16516">
        <v>519</v>
      </c>
      <c r="E16516">
        <v>0</v>
      </c>
      <c r="F16516">
        <v>97</v>
      </c>
      <c r="G16516">
        <v>0</v>
      </c>
      <c r="H16516" t="s">
        <v>21353</v>
      </c>
      <c r="I16516">
        <v>18761</v>
      </c>
      <c r="J16516" t="e">
        <f>VLOOKUP(E16516,DSSpieler!A:B,2,FALSE)</f>
        <v>#N/A</v>
      </c>
    </row>
    <row r="16517" spans="1:10" x14ac:dyDescent="0.25">
      <c r="A16517">
        <v>18762</v>
      </c>
      <c r="B16517" t="s">
        <v>1231</v>
      </c>
      <c r="C16517">
        <v>419</v>
      </c>
      <c r="D16517">
        <v>597</v>
      </c>
      <c r="E16517">
        <v>1576887961</v>
      </c>
      <c r="F16517">
        <v>1079</v>
      </c>
      <c r="G16517">
        <v>0</v>
      </c>
      <c r="H16517" t="s">
        <v>21354</v>
      </c>
      <c r="I16517">
        <v>18762</v>
      </c>
      <c r="J16517" t="str">
        <f>VLOOKUP(E16517,DSSpieler!A:B,2,FALSE)</f>
        <v>Anselmus93</v>
      </c>
    </row>
    <row r="16518" spans="1:10" x14ac:dyDescent="0.25">
      <c r="A16518">
        <v>18763</v>
      </c>
      <c r="B16518" t="s">
        <v>531</v>
      </c>
      <c r="C16518">
        <v>627</v>
      </c>
      <c r="D16518">
        <v>469</v>
      </c>
      <c r="E16518">
        <v>0</v>
      </c>
      <c r="F16518">
        <v>84</v>
      </c>
      <c r="G16518">
        <v>0</v>
      </c>
      <c r="H16518" t="s">
        <v>21355</v>
      </c>
      <c r="I16518">
        <v>18763</v>
      </c>
      <c r="J16518" t="e">
        <f>VLOOKUP(E16518,DSSpieler!A:B,2,FALSE)</f>
        <v>#N/A</v>
      </c>
    </row>
    <row r="16519" spans="1:10" x14ac:dyDescent="0.25">
      <c r="A16519">
        <v>18764</v>
      </c>
      <c r="B16519" t="s">
        <v>3223</v>
      </c>
      <c r="C16519">
        <v>618</v>
      </c>
      <c r="D16519">
        <v>450</v>
      </c>
      <c r="E16519">
        <v>1577118190</v>
      </c>
      <c r="F16519">
        <v>26</v>
      </c>
      <c r="G16519">
        <v>0</v>
      </c>
      <c r="H16519" t="s">
        <v>21356</v>
      </c>
      <c r="I16519">
        <v>18764</v>
      </c>
      <c r="J16519" t="str">
        <f>VLOOKUP(E16519,DSSpieler!A:B,2,FALSE)</f>
        <v>Nachtwache</v>
      </c>
    </row>
    <row r="16520" spans="1:10" x14ac:dyDescent="0.25">
      <c r="A16520">
        <v>18765</v>
      </c>
      <c r="B16520" t="s">
        <v>3224</v>
      </c>
      <c r="C16520">
        <v>482</v>
      </c>
      <c r="D16520">
        <v>631</v>
      </c>
      <c r="E16520">
        <v>1577166326</v>
      </c>
      <c r="F16520">
        <v>82</v>
      </c>
      <c r="G16520">
        <v>0</v>
      </c>
      <c r="H16520" t="s">
        <v>21357</v>
      </c>
      <c r="I16520">
        <v>18765</v>
      </c>
      <c r="J16520" t="str">
        <f>VLOOKUP(E16520,DSSpieler!A:B,2,FALSE)</f>
        <v>Old-ECKES</v>
      </c>
    </row>
    <row r="16521" spans="1:10" x14ac:dyDescent="0.25">
      <c r="A16521">
        <v>18766</v>
      </c>
      <c r="B16521" t="s">
        <v>3225</v>
      </c>
      <c r="C16521">
        <v>412</v>
      </c>
      <c r="D16521">
        <v>596</v>
      </c>
      <c r="E16521">
        <v>1577195771</v>
      </c>
      <c r="F16521">
        <v>67</v>
      </c>
      <c r="G16521">
        <v>0</v>
      </c>
      <c r="H16521" t="s">
        <v>21358</v>
      </c>
      <c r="I16521">
        <v>18766</v>
      </c>
      <c r="J16521" t="str">
        <f>VLOOKUP(E16521,DSSpieler!A:B,2,FALSE)</f>
        <v>staywhoyouare</v>
      </c>
    </row>
    <row r="16522" spans="1:10" x14ac:dyDescent="0.25">
      <c r="A16522">
        <v>18768</v>
      </c>
      <c r="B16522" t="s">
        <v>3226</v>
      </c>
      <c r="C16522">
        <v>625</v>
      </c>
      <c r="D16522">
        <v>543</v>
      </c>
      <c r="E16522">
        <v>42402</v>
      </c>
      <c r="F16522">
        <v>26</v>
      </c>
      <c r="G16522">
        <v>0</v>
      </c>
      <c r="H16522" t="s">
        <v>21359</v>
      </c>
      <c r="I16522">
        <v>18768</v>
      </c>
      <c r="J16522" t="str">
        <f>VLOOKUP(E16522,DSSpieler!A:B,2,FALSE)</f>
        <v>The_Killeer</v>
      </c>
    </row>
    <row r="16523" spans="1:10" x14ac:dyDescent="0.25">
      <c r="A16523">
        <v>18769</v>
      </c>
      <c r="B16523" t="s">
        <v>3227</v>
      </c>
      <c r="C16523">
        <v>595</v>
      </c>
      <c r="D16523">
        <v>537</v>
      </c>
      <c r="E16523">
        <v>1577198036</v>
      </c>
      <c r="F16523">
        <v>26</v>
      </c>
      <c r="G16523">
        <v>0</v>
      </c>
      <c r="H16523" t="s">
        <v>21360</v>
      </c>
      <c r="I16523">
        <v>18769</v>
      </c>
      <c r="J16523" t="str">
        <f>VLOOKUP(E16523,DSSpieler!A:B,2,FALSE)</f>
        <v>TyVole</v>
      </c>
    </row>
    <row r="16524" spans="1:10" x14ac:dyDescent="0.25">
      <c r="A16524">
        <v>18770</v>
      </c>
      <c r="B16524" t="s">
        <v>531</v>
      </c>
      <c r="C16524">
        <v>440</v>
      </c>
      <c r="D16524">
        <v>383</v>
      </c>
      <c r="E16524">
        <v>0</v>
      </c>
      <c r="F16524">
        <v>82</v>
      </c>
      <c r="G16524">
        <v>0</v>
      </c>
      <c r="H16524" t="s">
        <v>21361</v>
      </c>
      <c r="I16524">
        <v>18770</v>
      </c>
      <c r="J16524" t="e">
        <f>VLOOKUP(E16524,DSSpieler!A:B,2,FALSE)</f>
        <v>#N/A</v>
      </c>
    </row>
    <row r="16525" spans="1:10" x14ac:dyDescent="0.25">
      <c r="A16525">
        <v>18771</v>
      </c>
      <c r="B16525" t="s">
        <v>3228</v>
      </c>
      <c r="C16525">
        <v>629</v>
      </c>
      <c r="D16525">
        <v>473</v>
      </c>
      <c r="E16525">
        <v>168739</v>
      </c>
      <c r="F16525">
        <v>77</v>
      </c>
      <c r="G16525">
        <v>0</v>
      </c>
      <c r="H16525" t="s">
        <v>21362</v>
      </c>
      <c r="I16525">
        <v>18771</v>
      </c>
      <c r="J16525" t="str">
        <f>VLOOKUP(E16525,DSSpieler!A:B,2,FALSE)</f>
        <v>RobQ</v>
      </c>
    </row>
    <row r="16526" spans="1:10" x14ac:dyDescent="0.25">
      <c r="A16526">
        <v>18772</v>
      </c>
      <c r="B16526">
        <v>1</v>
      </c>
      <c r="C16526">
        <v>380</v>
      </c>
      <c r="D16526">
        <v>454</v>
      </c>
      <c r="E16526">
        <v>1933884</v>
      </c>
      <c r="F16526">
        <v>1294</v>
      </c>
      <c r="G16526">
        <v>0</v>
      </c>
      <c r="H16526" t="s">
        <v>21363</v>
      </c>
      <c r="I16526">
        <v>18772</v>
      </c>
      <c r="J16526" t="str">
        <f>VLOOKUP(E16526,DSSpieler!A:B,2,FALSE)</f>
        <v>Tiimmää</v>
      </c>
    </row>
    <row r="16527" spans="1:10" x14ac:dyDescent="0.25">
      <c r="A16527">
        <v>18773</v>
      </c>
      <c r="B16527" t="s">
        <v>3229</v>
      </c>
      <c r="C16527">
        <v>503</v>
      </c>
      <c r="D16527">
        <v>374</v>
      </c>
      <c r="E16527">
        <v>1577168687</v>
      </c>
      <c r="F16527">
        <v>638</v>
      </c>
      <c r="G16527">
        <v>0</v>
      </c>
      <c r="H16527" t="s">
        <v>21364</v>
      </c>
      <c r="I16527">
        <v>18773</v>
      </c>
      <c r="J16527" t="str">
        <f>VLOOKUP(E16527,DSSpieler!A:B,2,FALSE)</f>
        <v>Micha1188</v>
      </c>
    </row>
    <row r="16528" spans="1:10" x14ac:dyDescent="0.25">
      <c r="A16528">
        <v>18774</v>
      </c>
      <c r="B16528" t="s">
        <v>531</v>
      </c>
      <c r="C16528">
        <v>553</v>
      </c>
      <c r="D16528">
        <v>379</v>
      </c>
      <c r="E16528">
        <v>0</v>
      </c>
      <c r="F16528">
        <v>108</v>
      </c>
      <c r="G16528">
        <v>0</v>
      </c>
      <c r="H16528" t="s">
        <v>21365</v>
      </c>
      <c r="I16528">
        <v>18774</v>
      </c>
      <c r="J16528" t="e">
        <f>VLOOKUP(E16528,DSSpieler!A:B,2,FALSE)</f>
        <v>#N/A</v>
      </c>
    </row>
    <row r="16529" spans="1:10" x14ac:dyDescent="0.25">
      <c r="A16529">
        <v>18775</v>
      </c>
      <c r="B16529" t="s">
        <v>3230</v>
      </c>
      <c r="C16529">
        <v>431</v>
      </c>
      <c r="D16529">
        <v>607</v>
      </c>
      <c r="E16529">
        <v>9032529</v>
      </c>
      <c r="F16529">
        <v>951</v>
      </c>
      <c r="G16529">
        <v>0</v>
      </c>
      <c r="H16529" t="s">
        <v>21366</v>
      </c>
      <c r="I16529">
        <v>18775</v>
      </c>
      <c r="J16529" t="str">
        <f>VLOOKUP(E16529,DSSpieler!A:B,2,FALSE)</f>
        <v>Sir Megawolf</v>
      </c>
    </row>
    <row r="16530" spans="1:10" x14ac:dyDescent="0.25">
      <c r="A16530">
        <v>18776</v>
      </c>
      <c r="B16530" t="s">
        <v>1900</v>
      </c>
      <c r="C16530">
        <v>384</v>
      </c>
      <c r="D16530">
        <v>442</v>
      </c>
      <c r="E16530">
        <v>1577173421</v>
      </c>
      <c r="F16530">
        <v>730</v>
      </c>
      <c r="G16530">
        <v>0</v>
      </c>
      <c r="H16530" t="s">
        <v>21367</v>
      </c>
      <c r="I16530">
        <v>18776</v>
      </c>
      <c r="J16530" t="str">
        <f>VLOOKUP(E16530,DSSpieler!A:B,2,FALSE)</f>
        <v>GrmLGaming</v>
      </c>
    </row>
    <row r="16531" spans="1:10" x14ac:dyDescent="0.25">
      <c r="A16531">
        <v>18777</v>
      </c>
      <c r="B16531" t="s">
        <v>3231</v>
      </c>
      <c r="C16531">
        <v>497</v>
      </c>
      <c r="D16531">
        <v>373</v>
      </c>
      <c r="E16531">
        <v>1577198638</v>
      </c>
      <c r="F16531">
        <v>26</v>
      </c>
      <c r="G16531">
        <v>0</v>
      </c>
      <c r="H16531" t="s">
        <v>21368</v>
      </c>
      <c r="I16531">
        <v>18777</v>
      </c>
      <c r="J16531" t="str">
        <f>VLOOKUP(E16531,DSSpieler!A:B,2,FALSE)</f>
        <v>saftschinken</v>
      </c>
    </row>
    <row r="16532" spans="1:10" x14ac:dyDescent="0.25">
      <c r="A16532">
        <v>18778</v>
      </c>
      <c r="B16532" t="s">
        <v>150</v>
      </c>
      <c r="C16532">
        <v>379</v>
      </c>
      <c r="D16532">
        <v>442</v>
      </c>
      <c r="E16532">
        <v>3435465</v>
      </c>
      <c r="F16532">
        <v>769</v>
      </c>
      <c r="G16532">
        <v>0</v>
      </c>
      <c r="H16532" t="s">
        <v>21369</v>
      </c>
      <c r="I16532">
        <v>18778</v>
      </c>
      <c r="J16532" t="str">
        <f>VLOOKUP(E16532,DSSpieler!A:B,2,FALSE)</f>
        <v>nibor1995</v>
      </c>
    </row>
    <row r="16533" spans="1:10" x14ac:dyDescent="0.25">
      <c r="A16533">
        <v>18779</v>
      </c>
      <c r="B16533" t="s">
        <v>3232</v>
      </c>
      <c r="C16533">
        <v>539</v>
      </c>
      <c r="D16533">
        <v>625</v>
      </c>
      <c r="E16533">
        <v>1577206830</v>
      </c>
      <c r="F16533">
        <v>1138</v>
      </c>
      <c r="G16533">
        <v>0</v>
      </c>
      <c r="H16533" t="s">
        <v>21370</v>
      </c>
      <c r="I16533">
        <v>18779</v>
      </c>
      <c r="J16533" t="str">
        <f>VLOOKUP(E16533,DSSpieler!A:B,2,FALSE)</f>
        <v>Dr.Dreibein95</v>
      </c>
    </row>
    <row r="16534" spans="1:10" x14ac:dyDescent="0.25">
      <c r="A16534">
        <v>18780</v>
      </c>
      <c r="B16534" t="s">
        <v>3233</v>
      </c>
      <c r="C16534">
        <v>614</v>
      </c>
      <c r="D16534">
        <v>476</v>
      </c>
      <c r="E16534">
        <v>1576907900</v>
      </c>
      <c r="F16534">
        <v>160</v>
      </c>
      <c r="G16534">
        <v>0</v>
      </c>
      <c r="H16534" t="s">
        <v>21371</v>
      </c>
      <c r="I16534">
        <v>18780</v>
      </c>
      <c r="J16534" t="str">
        <f>VLOOKUP(E16534,DSSpieler!A:B,2,FALSE)</f>
        <v>xBorhoKx</v>
      </c>
    </row>
    <row r="16535" spans="1:10" x14ac:dyDescent="0.25">
      <c r="A16535">
        <v>18781</v>
      </c>
      <c r="B16535" t="s">
        <v>35655</v>
      </c>
      <c r="C16535">
        <v>371</v>
      </c>
      <c r="D16535">
        <v>486</v>
      </c>
      <c r="E16535">
        <v>1577193550</v>
      </c>
      <c r="F16535">
        <v>442</v>
      </c>
      <c r="G16535">
        <v>0</v>
      </c>
      <c r="H16535" t="s">
        <v>21372</v>
      </c>
      <c r="I16535">
        <v>18781</v>
      </c>
      <c r="J16535" t="str">
        <f>VLOOKUP(E16535,DSSpieler!A:B,2,FALSE)</f>
        <v>Yagyuu</v>
      </c>
    </row>
    <row r="16536" spans="1:10" x14ac:dyDescent="0.25">
      <c r="A16536">
        <v>18783</v>
      </c>
      <c r="B16536" t="s">
        <v>3234</v>
      </c>
      <c r="C16536">
        <v>420</v>
      </c>
      <c r="D16536">
        <v>594</v>
      </c>
      <c r="E16536">
        <v>1575867932</v>
      </c>
      <c r="F16536">
        <v>2104</v>
      </c>
      <c r="G16536">
        <v>0</v>
      </c>
      <c r="H16536" t="s">
        <v>21373</v>
      </c>
      <c r="I16536">
        <v>18783</v>
      </c>
      <c r="J16536" t="str">
        <f>VLOOKUP(E16536,DSSpieler!A:B,2,FALSE)</f>
        <v>stefaan2311</v>
      </c>
    </row>
    <row r="16537" spans="1:10" x14ac:dyDescent="0.25">
      <c r="A16537">
        <v>18784</v>
      </c>
      <c r="B16537" t="s">
        <v>3235</v>
      </c>
      <c r="C16537">
        <v>427</v>
      </c>
      <c r="D16537">
        <v>389</v>
      </c>
      <c r="E16537">
        <v>2207679</v>
      </c>
      <c r="F16537">
        <v>38</v>
      </c>
      <c r="G16537">
        <v>0</v>
      </c>
      <c r="H16537" t="s">
        <v>21374</v>
      </c>
      <c r="I16537">
        <v>18784</v>
      </c>
      <c r="J16537" t="str">
        <f>VLOOKUP(E16537,DSSpieler!A:B,2,FALSE)</f>
        <v>Lod g41</v>
      </c>
    </row>
    <row r="16538" spans="1:10" x14ac:dyDescent="0.25">
      <c r="A16538">
        <v>18785</v>
      </c>
      <c r="B16538" t="s">
        <v>3236</v>
      </c>
      <c r="C16538">
        <v>468</v>
      </c>
      <c r="D16538">
        <v>373</v>
      </c>
      <c r="E16538">
        <v>1576952844</v>
      </c>
      <c r="F16538">
        <v>26</v>
      </c>
      <c r="G16538">
        <v>0</v>
      </c>
      <c r="H16538" t="s">
        <v>21375</v>
      </c>
      <c r="I16538">
        <v>18785</v>
      </c>
      <c r="J16538" t="str">
        <f>VLOOKUP(E16538,DSSpieler!A:B,2,FALSE)</f>
        <v>Quorexxx</v>
      </c>
    </row>
    <row r="16539" spans="1:10" x14ac:dyDescent="0.25">
      <c r="A16539">
        <v>18786</v>
      </c>
      <c r="B16539" t="s">
        <v>3237</v>
      </c>
      <c r="C16539">
        <v>581</v>
      </c>
      <c r="D16539">
        <v>599</v>
      </c>
      <c r="E16539">
        <v>1577203220</v>
      </c>
      <c r="F16539">
        <v>239</v>
      </c>
      <c r="G16539">
        <v>0</v>
      </c>
      <c r="H16539" t="s">
        <v>21376</v>
      </c>
      <c r="I16539">
        <v>18786</v>
      </c>
      <c r="J16539" t="str">
        <f>VLOOKUP(E16539,DSSpieler!A:B,2,FALSE)</f>
        <v>Masacre86</v>
      </c>
    </row>
    <row r="16540" spans="1:10" x14ac:dyDescent="0.25">
      <c r="A16540">
        <v>18787</v>
      </c>
      <c r="B16540" t="s">
        <v>3238</v>
      </c>
      <c r="C16540">
        <v>554</v>
      </c>
      <c r="D16540">
        <v>426</v>
      </c>
      <c r="E16540">
        <v>9749545</v>
      </c>
      <c r="F16540">
        <v>29</v>
      </c>
      <c r="G16540">
        <v>0</v>
      </c>
      <c r="H16540" t="s">
        <v>21377</v>
      </c>
      <c r="I16540">
        <v>18787</v>
      </c>
      <c r="J16540" t="str">
        <f>VLOOKUP(E16540,DSSpieler!A:B,2,FALSE)</f>
        <v>Harmoniste</v>
      </c>
    </row>
    <row r="16541" spans="1:10" x14ac:dyDescent="0.25">
      <c r="A16541">
        <v>18788</v>
      </c>
      <c r="B16541" t="s">
        <v>3239</v>
      </c>
      <c r="C16541">
        <v>481</v>
      </c>
      <c r="D16541">
        <v>626</v>
      </c>
      <c r="E16541">
        <v>1577201390</v>
      </c>
      <c r="F16541">
        <v>375</v>
      </c>
      <c r="G16541">
        <v>0</v>
      </c>
      <c r="H16541" t="s">
        <v>21378</v>
      </c>
      <c r="I16541">
        <v>18788</v>
      </c>
      <c r="J16541" t="str">
        <f>VLOOKUP(E16541,DSSpieler!A:B,2,FALSE)</f>
        <v>clau1313</v>
      </c>
    </row>
    <row r="16542" spans="1:10" x14ac:dyDescent="0.25">
      <c r="A16542">
        <v>18789</v>
      </c>
      <c r="B16542" t="s">
        <v>531</v>
      </c>
      <c r="C16542">
        <v>604</v>
      </c>
      <c r="D16542">
        <v>574</v>
      </c>
      <c r="E16542">
        <v>0</v>
      </c>
      <c r="F16542">
        <v>95</v>
      </c>
      <c r="G16542">
        <v>0</v>
      </c>
      <c r="H16542" t="s">
        <v>21379</v>
      </c>
      <c r="I16542">
        <v>18789</v>
      </c>
      <c r="J16542" t="e">
        <f>VLOOKUP(E16542,DSSpieler!A:B,2,FALSE)</f>
        <v>#N/A</v>
      </c>
    </row>
    <row r="16543" spans="1:10" x14ac:dyDescent="0.25">
      <c r="A16543">
        <v>18790</v>
      </c>
      <c r="B16543" t="s">
        <v>3240</v>
      </c>
      <c r="C16543">
        <v>421</v>
      </c>
      <c r="D16543">
        <v>596</v>
      </c>
      <c r="E16543">
        <v>1577200993</v>
      </c>
      <c r="F16543">
        <v>1653</v>
      </c>
      <c r="G16543">
        <v>0</v>
      </c>
      <c r="H16543" t="s">
        <v>21380</v>
      </c>
      <c r="I16543">
        <v>18790</v>
      </c>
      <c r="J16543" t="str">
        <f>VLOOKUP(E16543,DSSpieler!A:B,2,FALSE)</f>
        <v>Oldi22</v>
      </c>
    </row>
    <row r="16544" spans="1:10" x14ac:dyDescent="0.25">
      <c r="A16544">
        <v>18792</v>
      </c>
      <c r="B16544" t="s">
        <v>3241</v>
      </c>
      <c r="C16544">
        <v>628</v>
      </c>
      <c r="D16544">
        <v>474</v>
      </c>
      <c r="E16544">
        <v>1576464597</v>
      </c>
      <c r="F16544">
        <v>26</v>
      </c>
      <c r="G16544">
        <v>0</v>
      </c>
      <c r="H16544" t="s">
        <v>21381</v>
      </c>
      <c r="I16544">
        <v>18792</v>
      </c>
      <c r="J16544" t="str">
        <f>VLOOKUP(E16544,DSSpieler!A:B,2,FALSE)</f>
        <v>Doso</v>
      </c>
    </row>
    <row r="16545" spans="1:10" x14ac:dyDescent="0.25">
      <c r="A16545">
        <v>18793</v>
      </c>
      <c r="B16545" t="s">
        <v>3242</v>
      </c>
      <c r="C16545">
        <v>491</v>
      </c>
      <c r="D16545">
        <v>630</v>
      </c>
      <c r="E16545">
        <v>196726</v>
      </c>
      <c r="F16545">
        <v>39</v>
      </c>
      <c r="G16545">
        <v>0</v>
      </c>
      <c r="H16545" t="s">
        <v>21382</v>
      </c>
      <c r="I16545">
        <v>18793</v>
      </c>
      <c r="J16545" t="str">
        <f>VLOOKUP(E16545,DSSpieler!A:B,2,FALSE)</f>
        <v>Spielmaker</v>
      </c>
    </row>
    <row r="16546" spans="1:10" x14ac:dyDescent="0.25">
      <c r="A16546">
        <v>18794</v>
      </c>
      <c r="B16546" t="s">
        <v>3243</v>
      </c>
      <c r="C16546">
        <v>515</v>
      </c>
      <c r="D16546">
        <v>632</v>
      </c>
      <c r="E16546">
        <v>1577206848</v>
      </c>
      <c r="F16546">
        <v>67</v>
      </c>
      <c r="G16546">
        <v>0</v>
      </c>
      <c r="H16546" t="s">
        <v>21383</v>
      </c>
      <c r="I16546">
        <v>18794</v>
      </c>
      <c r="J16546" t="str">
        <f>VLOOKUP(E16546,DSSpieler!A:B,2,FALSE)</f>
        <v>Abcdefg23</v>
      </c>
    </row>
    <row r="16547" spans="1:10" x14ac:dyDescent="0.25">
      <c r="A16547">
        <v>18796</v>
      </c>
      <c r="B16547" t="s">
        <v>3244</v>
      </c>
      <c r="C16547">
        <v>410</v>
      </c>
      <c r="D16547">
        <v>403</v>
      </c>
      <c r="E16547">
        <v>238963</v>
      </c>
      <c r="F16547">
        <v>283</v>
      </c>
      <c r="G16547">
        <v>0</v>
      </c>
      <c r="H16547" t="s">
        <v>21384</v>
      </c>
      <c r="I16547">
        <v>18796</v>
      </c>
      <c r="J16547" t="str">
        <f>VLOOKUP(E16547,DSSpieler!A:B,2,FALSE)</f>
        <v>VincentVega96</v>
      </c>
    </row>
    <row r="16548" spans="1:10" x14ac:dyDescent="0.25">
      <c r="A16548">
        <v>18797</v>
      </c>
      <c r="B16548" t="s">
        <v>531</v>
      </c>
      <c r="C16548">
        <v>477</v>
      </c>
      <c r="D16548">
        <v>375</v>
      </c>
      <c r="E16548">
        <v>0</v>
      </c>
      <c r="F16548">
        <v>77</v>
      </c>
      <c r="G16548">
        <v>0</v>
      </c>
      <c r="H16548" t="s">
        <v>21385</v>
      </c>
      <c r="I16548">
        <v>18797</v>
      </c>
      <c r="J16548" t="e">
        <f>VLOOKUP(E16548,DSSpieler!A:B,2,FALSE)</f>
        <v>#N/A</v>
      </c>
    </row>
    <row r="16549" spans="1:10" x14ac:dyDescent="0.25">
      <c r="A16549">
        <v>18798</v>
      </c>
      <c r="B16549" t="s">
        <v>3245</v>
      </c>
      <c r="C16549">
        <v>599</v>
      </c>
      <c r="D16549">
        <v>414</v>
      </c>
      <c r="E16549">
        <v>1576765647</v>
      </c>
      <c r="F16549">
        <v>101</v>
      </c>
      <c r="G16549">
        <v>0</v>
      </c>
      <c r="H16549" t="s">
        <v>21386</v>
      </c>
      <c r="I16549">
        <v>18798</v>
      </c>
      <c r="J16549" t="str">
        <f>VLOOKUP(E16549,DSSpieler!A:B,2,FALSE)</f>
        <v>Bramble</v>
      </c>
    </row>
    <row r="16550" spans="1:10" x14ac:dyDescent="0.25">
      <c r="A16550">
        <v>18799</v>
      </c>
      <c r="B16550" t="s">
        <v>3246</v>
      </c>
      <c r="C16550">
        <v>373</v>
      </c>
      <c r="D16550">
        <v>491</v>
      </c>
      <c r="E16550">
        <v>1576086825</v>
      </c>
      <c r="F16550">
        <v>61</v>
      </c>
      <c r="G16550">
        <v>0</v>
      </c>
      <c r="H16550" t="s">
        <v>21387</v>
      </c>
      <c r="I16550">
        <v>18799</v>
      </c>
      <c r="J16550" t="str">
        <f>VLOOKUP(E16550,DSSpieler!A:B,2,FALSE)</f>
        <v>Traumlos</v>
      </c>
    </row>
    <row r="16551" spans="1:10" x14ac:dyDescent="0.25">
      <c r="A16551">
        <v>18800</v>
      </c>
      <c r="B16551" t="s">
        <v>3247</v>
      </c>
      <c r="C16551">
        <v>602</v>
      </c>
      <c r="D16551">
        <v>521</v>
      </c>
      <c r="E16551">
        <v>1577192921</v>
      </c>
      <c r="F16551">
        <v>47</v>
      </c>
      <c r="G16551">
        <v>0</v>
      </c>
      <c r="H16551" t="s">
        <v>21388</v>
      </c>
      <c r="I16551">
        <v>18800</v>
      </c>
      <c r="J16551" t="str">
        <f>VLOOKUP(E16551,DSSpieler!A:B,2,FALSE)</f>
        <v>Marscandy</v>
      </c>
    </row>
    <row r="16552" spans="1:10" x14ac:dyDescent="0.25">
      <c r="A16552">
        <v>18801</v>
      </c>
      <c r="B16552" t="s">
        <v>35656</v>
      </c>
      <c r="C16552">
        <v>368</v>
      </c>
      <c r="D16552">
        <v>507</v>
      </c>
      <c r="E16552">
        <v>1577133684</v>
      </c>
      <c r="F16552">
        <v>1525</v>
      </c>
      <c r="G16552">
        <v>0</v>
      </c>
      <c r="H16552" t="s">
        <v>21389</v>
      </c>
      <c r="I16552">
        <v>18801</v>
      </c>
      <c r="J16552" t="str">
        <f>VLOOKUP(E16552,DSSpieler!A:B,2,FALSE)</f>
        <v>Just4Fun</v>
      </c>
    </row>
    <row r="16553" spans="1:10" x14ac:dyDescent="0.25">
      <c r="A16553">
        <v>18802</v>
      </c>
      <c r="B16553" t="s">
        <v>3248</v>
      </c>
      <c r="C16553">
        <v>536</v>
      </c>
      <c r="D16553">
        <v>605</v>
      </c>
      <c r="E16553">
        <v>10151151</v>
      </c>
      <c r="F16553">
        <v>1638</v>
      </c>
      <c r="G16553">
        <v>0</v>
      </c>
      <c r="H16553" t="s">
        <v>21390</v>
      </c>
      <c r="I16553">
        <v>18802</v>
      </c>
      <c r="J16553" t="str">
        <f>VLOOKUP(E16553,DSSpieler!A:B,2,FALSE)</f>
        <v>friedi25</v>
      </c>
    </row>
    <row r="16554" spans="1:10" x14ac:dyDescent="0.25">
      <c r="A16554">
        <v>18803</v>
      </c>
      <c r="B16554" t="s">
        <v>3249</v>
      </c>
      <c r="C16554">
        <v>406</v>
      </c>
      <c r="D16554">
        <v>592</v>
      </c>
      <c r="E16554">
        <v>1577180701</v>
      </c>
      <c r="F16554">
        <v>815</v>
      </c>
      <c r="G16554">
        <v>0</v>
      </c>
      <c r="H16554" t="s">
        <v>21391</v>
      </c>
      <c r="I16554">
        <v>18803</v>
      </c>
      <c r="J16554" t="str">
        <f>VLOOKUP(E16554,DSSpieler!A:B,2,FALSE)</f>
        <v>Kleiner dicker König</v>
      </c>
    </row>
    <row r="16555" spans="1:10" x14ac:dyDescent="0.25">
      <c r="A16555">
        <v>18804</v>
      </c>
      <c r="B16555" t="s">
        <v>531</v>
      </c>
      <c r="C16555">
        <v>598</v>
      </c>
      <c r="D16555">
        <v>582</v>
      </c>
      <c r="E16555">
        <v>0</v>
      </c>
      <c r="F16555">
        <v>88</v>
      </c>
      <c r="G16555">
        <v>0</v>
      </c>
      <c r="H16555" t="s">
        <v>21392</v>
      </c>
      <c r="I16555">
        <v>18804</v>
      </c>
      <c r="J16555" t="e">
        <f>VLOOKUP(E16555,DSSpieler!A:B,2,FALSE)</f>
        <v>#N/A</v>
      </c>
    </row>
    <row r="16556" spans="1:10" x14ac:dyDescent="0.25">
      <c r="A16556">
        <v>18805</v>
      </c>
      <c r="B16556" t="s">
        <v>3250</v>
      </c>
      <c r="C16556">
        <v>429</v>
      </c>
      <c r="D16556">
        <v>392</v>
      </c>
      <c r="E16556">
        <v>1576444572</v>
      </c>
      <c r="F16556">
        <v>1326</v>
      </c>
      <c r="G16556">
        <v>0</v>
      </c>
      <c r="H16556" t="s">
        <v>21393</v>
      </c>
      <c r="I16556">
        <v>18805</v>
      </c>
      <c r="J16556" t="str">
        <f>VLOOKUP(E16556,DSSpieler!A:B,2,FALSE)</f>
        <v>TilionWhite</v>
      </c>
    </row>
    <row r="16557" spans="1:10" x14ac:dyDescent="0.25">
      <c r="A16557">
        <v>18806</v>
      </c>
      <c r="B16557" t="s">
        <v>3251</v>
      </c>
      <c r="C16557">
        <v>626</v>
      </c>
      <c r="D16557">
        <v>516</v>
      </c>
      <c r="E16557">
        <v>1576625925</v>
      </c>
      <c r="F16557">
        <v>26</v>
      </c>
      <c r="G16557">
        <v>0</v>
      </c>
      <c r="H16557" t="s">
        <v>21394</v>
      </c>
      <c r="I16557">
        <v>18806</v>
      </c>
      <c r="J16557" t="str">
        <f>VLOOKUP(E16557,DSSpieler!A:B,2,FALSE)</f>
        <v>Lord Unterhopft</v>
      </c>
    </row>
    <row r="16558" spans="1:10" x14ac:dyDescent="0.25">
      <c r="A16558">
        <v>18807</v>
      </c>
      <c r="B16558" t="s">
        <v>3252</v>
      </c>
      <c r="C16558">
        <v>543</v>
      </c>
      <c r="D16558">
        <v>375</v>
      </c>
      <c r="E16558">
        <v>8258691</v>
      </c>
      <c r="F16558">
        <v>89</v>
      </c>
      <c r="G16558">
        <v>0</v>
      </c>
      <c r="H16558" t="s">
        <v>21395</v>
      </c>
      <c r="I16558">
        <v>18807</v>
      </c>
      <c r="J16558" t="str">
        <f>VLOOKUP(E16558,DSSpieler!A:B,2,FALSE)</f>
        <v>Cartige</v>
      </c>
    </row>
    <row r="16559" spans="1:10" x14ac:dyDescent="0.25">
      <c r="A16559">
        <v>18808</v>
      </c>
      <c r="B16559" t="s">
        <v>35657</v>
      </c>
      <c r="C16559">
        <v>555</v>
      </c>
      <c r="D16559">
        <v>384</v>
      </c>
      <c r="E16559">
        <v>9442286</v>
      </c>
      <c r="F16559">
        <v>26</v>
      </c>
      <c r="G16559">
        <v>0</v>
      </c>
      <c r="H16559" t="s">
        <v>21396</v>
      </c>
      <c r="I16559">
        <v>18808</v>
      </c>
      <c r="J16559" t="str">
        <f>VLOOKUP(E16559,DSSpieler!A:B,2,FALSE)</f>
        <v>*albaSTAR*</v>
      </c>
    </row>
    <row r="16560" spans="1:10" x14ac:dyDescent="0.25">
      <c r="A16560">
        <v>18809</v>
      </c>
      <c r="B16560" t="s">
        <v>3253</v>
      </c>
      <c r="C16560">
        <v>437</v>
      </c>
      <c r="D16560">
        <v>455</v>
      </c>
      <c r="E16560">
        <v>1576844046</v>
      </c>
      <c r="F16560">
        <v>99</v>
      </c>
      <c r="G16560">
        <v>0</v>
      </c>
      <c r="H16560" t="s">
        <v>21397</v>
      </c>
      <c r="I16560">
        <v>18809</v>
      </c>
      <c r="J16560" t="str">
        <f>VLOOKUP(E16560,DSSpieler!A:B,2,FALSE)</f>
        <v>Imperativ</v>
      </c>
    </row>
    <row r="16561" spans="1:10" x14ac:dyDescent="0.25">
      <c r="A16561">
        <v>18811</v>
      </c>
      <c r="B16561" t="s">
        <v>3254</v>
      </c>
      <c r="C16561">
        <v>560</v>
      </c>
      <c r="D16561">
        <v>582</v>
      </c>
      <c r="E16561">
        <v>1577190507</v>
      </c>
      <c r="F16561">
        <v>47</v>
      </c>
      <c r="G16561">
        <v>0</v>
      </c>
      <c r="H16561" t="s">
        <v>21398</v>
      </c>
      <c r="I16561">
        <v>18811</v>
      </c>
      <c r="J16561" t="str">
        <f>VLOOKUP(E16561,DSSpieler!A:B,2,FALSE)</f>
        <v>Amaroc</v>
      </c>
    </row>
    <row r="16562" spans="1:10" x14ac:dyDescent="0.25">
      <c r="A16562">
        <v>18812</v>
      </c>
      <c r="B16562" t="s">
        <v>3255</v>
      </c>
      <c r="C16562">
        <v>516</v>
      </c>
      <c r="D16562">
        <v>594</v>
      </c>
      <c r="E16562">
        <v>1576976185</v>
      </c>
      <c r="F16562">
        <v>26</v>
      </c>
      <c r="G16562">
        <v>0</v>
      </c>
      <c r="H16562" t="s">
        <v>21399</v>
      </c>
      <c r="I16562">
        <v>18812</v>
      </c>
      <c r="J16562" t="str">
        <f>VLOOKUP(E16562,DSSpieler!A:B,2,FALSE)</f>
        <v>DjDurchfall</v>
      </c>
    </row>
    <row r="16563" spans="1:10" x14ac:dyDescent="0.25">
      <c r="A16563">
        <v>18813</v>
      </c>
      <c r="B16563" t="s">
        <v>3256</v>
      </c>
      <c r="C16563">
        <v>612</v>
      </c>
      <c r="D16563">
        <v>567</v>
      </c>
      <c r="E16563">
        <v>1577206795</v>
      </c>
      <c r="F16563">
        <v>87</v>
      </c>
      <c r="G16563">
        <v>0</v>
      </c>
      <c r="H16563" t="s">
        <v>21400</v>
      </c>
      <c r="I16563">
        <v>18813</v>
      </c>
      <c r="J16563" t="str">
        <f>VLOOKUP(E16563,DSSpieler!A:B,2,FALSE)</f>
        <v>mastauop</v>
      </c>
    </row>
    <row r="16564" spans="1:10" x14ac:dyDescent="0.25">
      <c r="A16564">
        <v>18814</v>
      </c>
      <c r="B16564" t="s">
        <v>531</v>
      </c>
      <c r="C16564">
        <v>372</v>
      </c>
      <c r="D16564">
        <v>508</v>
      </c>
      <c r="E16564">
        <v>0</v>
      </c>
      <c r="F16564">
        <v>80</v>
      </c>
      <c r="G16564">
        <v>0</v>
      </c>
      <c r="H16564" t="s">
        <v>21401</v>
      </c>
      <c r="I16564">
        <v>18814</v>
      </c>
      <c r="J16564" t="e">
        <f>VLOOKUP(E16564,DSSpieler!A:B,2,FALSE)</f>
        <v>#N/A</v>
      </c>
    </row>
    <row r="16565" spans="1:10" x14ac:dyDescent="0.25">
      <c r="A16565">
        <v>18815</v>
      </c>
      <c r="B16565" t="s">
        <v>35658</v>
      </c>
      <c r="C16565">
        <v>424</v>
      </c>
      <c r="D16565">
        <v>405</v>
      </c>
      <c r="E16565">
        <v>1577200870</v>
      </c>
      <c r="F16565">
        <v>124</v>
      </c>
      <c r="G16565">
        <v>0</v>
      </c>
      <c r="H16565" t="s">
        <v>21402</v>
      </c>
      <c r="I16565">
        <v>18815</v>
      </c>
      <c r="J16565" t="str">
        <f>VLOOKUP(E16565,DSSpieler!A:B,2,FALSE)</f>
        <v>Weißwein</v>
      </c>
    </row>
    <row r="16566" spans="1:10" x14ac:dyDescent="0.25">
      <c r="A16566">
        <v>18816</v>
      </c>
      <c r="B16566" t="s">
        <v>3257</v>
      </c>
      <c r="C16566">
        <v>372</v>
      </c>
      <c r="D16566">
        <v>479</v>
      </c>
      <c r="E16566">
        <v>1576783714</v>
      </c>
      <c r="F16566">
        <v>695</v>
      </c>
      <c r="G16566">
        <v>0</v>
      </c>
      <c r="H16566" t="s">
        <v>21403</v>
      </c>
      <c r="I16566">
        <v>18816</v>
      </c>
      <c r="J16566" t="str">
        <f>VLOOKUP(E16566,DSSpieler!A:B,2,FALSE)</f>
        <v>Lord Mac Georg</v>
      </c>
    </row>
    <row r="16567" spans="1:10" x14ac:dyDescent="0.25">
      <c r="A16567">
        <v>18817</v>
      </c>
      <c r="B16567" t="s">
        <v>531</v>
      </c>
      <c r="C16567">
        <v>619</v>
      </c>
      <c r="D16567">
        <v>555</v>
      </c>
      <c r="E16567">
        <v>0</v>
      </c>
      <c r="F16567">
        <v>96</v>
      </c>
      <c r="G16567">
        <v>0</v>
      </c>
      <c r="H16567" t="s">
        <v>21404</v>
      </c>
      <c r="I16567">
        <v>18817</v>
      </c>
      <c r="J16567" t="e">
        <f>VLOOKUP(E16567,DSSpieler!A:B,2,FALSE)</f>
        <v>#N/A</v>
      </c>
    </row>
    <row r="16568" spans="1:10" x14ac:dyDescent="0.25">
      <c r="A16568">
        <v>18818</v>
      </c>
      <c r="B16568" t="s">
        <v>3258</v>
      </c>
      <c r="C16568">
        <v>381</v>
      </c>
      <c r="D16568">
        <v>444</v>
      </c>
      <c r="E16568">
        <v>9184594</v>
      </c>
      <c r="F16568">
        <v>1294</v>
      </c>
      <c r="G16568">
        <v>0</v>
      </c>
      <c r="H16568" t="s">
        <v>21405</v>
      </c>
      <c r="I16568">
        <v>18818</v>
      </c>
      <c r="J16568" t="str">
        <f>VLOOKUP(E16568,DSSpieler!A:B,2,FALSE)</f>
        <v>GC Joblack</v>
      </c>
    </row>
    <row r="16569" spans="1:10" x14ac:dyDescent="0.25">
      <c r="A16569">
        <v>18820</v>
      </c>
      <c r="B16569" t="s">
        <v>3259</v>
      </c>
      <c r="C16569">
        <v>410</v>
      </c>
      <c r="D16569">
        <v>590</v>
      </c>
      <c r="E16569">
        <v>1577156463</v>
      </c>
      <c r="F16569">
        <v>140</v>
      </c>
      <c r="G16569">
        <v>0</v>
      </c>
      <c r="H16569" t="s">
        <v>21406</v>
      </c>
      <c r="I16569">
        <v>18820</v>
      </c>
      <c r="J16569" t="str">
        <f>VLOOKUP(E16569,DSSpieler!A:B,2,FALSE)</f>
        <v>Forbi</v>
      </c>
    </row>
    <row r="16570" spans="1:10" x14ac:dyDescent="0.25">
      <c r="A16570">
        <v>18821</v>
      </c>
      <c r="B16570" t="s">
        <v>3260</v>
      </c>
      <c r="C16570">
        <v>391</v>
      </c>
      <c r="D16570">
        <v>431</v>
      </c>
      <c r="E16570">
        <v>1577164587</v>
      </c>
      <c r="F16570">
        <v>656</v>
      </c>
      <c r="G16570">
        <v>0</v>
      </c>
      <c r="H16570" t="s">
        <v>21407</v>
      </c>
      <c r="I16570">
        <v>18821</v>
      </c>
      <c r="J16570" t="str">
        <f>VLOOKUP(E16570,DSSpieler!A:B,2,FALSE)</f>
        <v>Lord Baba54</v>
      </c>
    </row>
    <row r="16571" spans="1:10" x14ac:dyDescent="0.25">
      <c r="A16571">
        <v>18822</v>
      </c>
      <c r="B16571" t="s">
        <v>531</v>
      </c>
      <c r="C16571">
        <v>624</v>
      </c>
      <c r="D16571">
        <v>534</v>
      </c>
      <c r="E16571">
        <v>0</v>
      </c>
      <c r="F16571">
        <v>91</v>
      </c>
      <c r="G16571">
        <v>0</v>
      </c>
      <c r="H16571" t="s">
        <v>21408</v>
      </c>
      <c r="I16571">
        <v>18822</v>
      </c>
      <c r="J16571" t="e">
        <f>VLOOKUP(E16571,DSSpieler!A:B,2,FALSE)</f>
        <v>#N/A</v>
      </c>
    </row>
    <row r="16572" spans="1:10" x14ac:dyDescent="0.25">
      <c r="A16572">
        <v>18823</v>
      </c>
      <c r="B16572" t="s">
        <v>3261</v>
      </c>
      <c r="C16572">
        <v>620</v>
      </c>
      <c r="D16572">
        <v>451</v>
      </c>
      <c r="E16572">
        <v>1577082473</v>
      </c>
      <c r="F16572">
        <v>370</v>
      </c>
      <c r="G16572">
        <v>0</v>
      </c>
      <c r="H16572" t="s">
        <v>21409</v>
      </c>
      <c r="I16572">
        <v>18823</v>
      </c>
      <c r="J16572" t="str">
        <f>VLOOKUP(E16572,DSSpieler!A:B,2,FALSE)</f>
        <v>Amy.</v>
      </c>
    </row>
    <row r="16573" spans="1:10" x14ac:dyDescent="0.25">
      <c r="A16573">
        <v>18824</v>
      </c>
      <c r="B16573" t="s">
        <v>3262</v>
      </c>
      <c r="C16573">
        <v>412</v>
      </c>
      <c r="D16573">
        <v>406</v>
      </c>
      <c r="E16573">
        <v>1577189485</v>
      </c>
      <c r="F16573">
        <v>1097</v>
      </c>
      <c r="G16573">
        <v>0</v>
      </c>
      <c r="H16573" t="s">
        <v>21410</v>
      </c>
      <c r="I16573">
        <v>18824</v>
      </c>
      <c r="J16573" t="str">
        <f>VLOOKUP(E16573,DSSpieler!A:B,2,FALSE)</f>
        <v>viq20</v>
      </c>
    </row>
    <row r="16574" spans="1:10" x14ac:dyDescent="0.25">
      <c r="A16574">
        <v>18825</v>
      </c>
      <c r="B16574" t="s">
        <v>3263</v>
      </c>
      <c r="C16574">
        <v>627</v>
      </c>
      <c r="D16574">
        <v>531</v>
      </c>
      <c r="E16574">
        <v>1576866781</v>
      </c>
      <c r="F16574">
        <v>281</v>
      </c>
      <c r="G16574">
        <v>0</v>
      </c>
      <c r="H16574" t="s">
        <v>21411</v>
      </c>
      <c r="I16574">
        <v>18825</v>
      </c>
      <c r="J16574" t="str">
        <f>VLOOKUP(E16574,DSSpieler!A:B,2,FALSE)</f>
        <v>Apulli</v>
      </c>
    </row>
    <row r="16575" spans="1:10" x14ac:dyDescent="0.25">
      <c r="A16575">
        <v>18827</v>
      </c>
      <c r="B16575" t="s">
        <v>3264</v>
      </c>
      <c r="C16575">
        <v>586</v>
      </c>
      <c r="D16575">
        <v>403</v>
      </c>
      <c r="E16575">
        <v>1577199878</v>
      </c>
      <c r="F16575">
        <v>26</v>
      </c>
      <c r="G16575">
        <v>0</v>
      </c>
      <c r="H16575" t="s">
        <v>21412</v>
      </c>
      <c r="I16575">
        <v>18827</v>
      </c>
      <c r="J16575" t="str">
        <f>VLOOKUP(E16575,DSSpieler!A:B,2,FALSE)</f>
        <v>Lacsi</v>
      </c>
    </row>
    <row r="16576" spans="1:10" x14ac:dyDescent="0.25">
      <c r="A16576">
        <v>18828</v>
      </c>
      <c r="B16576" t="s">
        <v>3265</v>
      </c>
      <c r="C16576">
        <v>609</v>
      </c>
      <c r="D16576">
        <v>429</v>
      </c>
      <c r="E16576">
        <v>1577097085</v>
      </c>
      <c r="F16576">
        <v>1003</v>
      </c>
      <c r="G16576">
        <v>0</v>
      </c>
      <c r="H16576" t="s">
        <v>21413</v>
      </c>
      <c r="I16576">
        <v>18828</v>
      </c>
      <c r="J16576" t="str">
        <f>VLOOKUP(E16576,DSSpieler!A:B,2,FALSE)</f>
        <v>marcel.kornes</v>
      </c>
    </row>
    <row r="16577" spans="1:10" x14ac:dyDescent="0.25">
      <c r="A16577">
        <v>18829</v>
      </c>
      <c r="B16577" t="s">
        <v>3266</v>
      </c>
      <c r="C16577">
        <v>451</v>
      </c>
      <c r="D16577">
        <v>623</v>
      </c>
      <c r="E16577">
        <v>1577042932</v>
      </c>
      <c r="F16577">
        <v>1017</v>
      </c>
      <c r="G16577">
        <v>0</v>
      </c>
      <c r="H16577" t="s">
        <v>21414</v>
      </c>
      <c r="I16577">
        <v>18829</v>
      </c>
      <c r="J16577" t="str">
        <f>VLOOKUP(E16577,DSSpieler!A:B,2,FALSE)</f>
        <v>Asviva</v>
      </c>
    </row>
    <row r="16578" spans="1:10" x14ac:dyDescent="0.25">
      <c r="A16578">
        <v>18830</v>
      </c>
      <c r="B16578" t="s">
        <v>35659</v>
      </c>
      <c r="C16578">
        <v>607</v>
      </c>
      <c r="D16578">
        <v>430</v>
      </c>
      <c r="E16578">
        <v>10017645</v>
      </c>
      <c r="F16578">
        <v>26</v>
      </c>
      <c r="G16578">
        <v>0</v>
      </c>
      <c r="H16578" t="s">
        <v>21415</v>
      </c>
      <c r="I16578">
        <v>18830</v>
      </c>
      <c r="J16578" t="str">
        <f>VLOOKUP(E16578,DSSpieler!A:B,2,FALSE)</f>
        <v>Alexx der Große</v>
      </c>
    </row>
    <row r="16579" spans="1:10" x14ac:dyDescent="0.25">
      <c r="A16579">
        <v>18833</v>
      </c>
      <c r="B16579" t="s">
        <v>3267</v>
      </c>
      <c r="C16579">
        <v>630</v>
      </c>
      <c r="D16579">
        <v>512</v>
      </c>
      <c r="E16579">
        <v>1576847007</v>
      </c>
      <c r="F16579">
        <v>183</v>
      </c>
      <c r="G16579">
        <v>0</v>
      </c>
      <c r="H16579" t="s">
        <v>21416</v>
      </c>
      <c r="I16579">
        <v>18833</v>
      </c>
      <c r="J16579" t="str">
        <f>VLOOKUP(E16579,DSSpieler!A:B,2,FALSE)</f>
        <v>Nikkel406</v>
      </c>
    </row>
    <row r="16580" spans="1:10" x14ac:dyDescent="0.25">
      <c r="A16580">
        <v>18834</v>
      </c>
      <c r="B16580" t="s">
        <v>531</v>
      </c>
      <c r="C16580">
        <v>631</v>
      </c>
      <c r="D16580">
        <v>498</v>
      </c>
      <c r="E16580">
        <v>0</v>
      </c>
      <c r="F16580">
        <v>76</v>
      </c>
      <c r="G16580">
        <v>0</v>
      </c>
      <c r="H16580" t="s">
        <v>21417</v>
      </c>
      <c r="I16580">
        <v>18834</v>
      </c>
      <c r="J16580" t="e">
        <f>VLOOKUP(E16580,DSSpieler!A:B,2,FALSE)</f>
        <v>#N/A</v>
      </c>
    </row>
    <row r="16581" spans="1:10" x14ac:dyDescent="0.25">
      <c r="A16581">
        <v>18835</v>
      </c>
      <c r="B16581" t="s">
        <v>3268</v>
      </c>
      <c r="C16581">
        <v>387</v>
      </c>
      <c r="D16581">
        <v>565</v>
      </c>
      <c r="E16581">
        <v>9582614</v>
      </c>
      <c r="F16581">
        <v>998</v>
      </c>
      <c r="G16581">
        <v>0</v>
      </c>
      <c r="H16581" t="s">
        <v>21418</v>
      </c>
      <c r="I16581">
        <v>18835</v>
      </c>
      <c r="J16581" t="str">
        <f>VLOOKUP(E16581,DSSpieler!A:B,2,FALSE)</f>
        <v>Zodalis</v>
      </c>
    </row>
    <row r="16582" spans="1:10" x14ac:dyDescent="0.25">
      <c r="A16582">
        <v>18837</v>
      </c>
      <c r="B16582" t="s">
        <v>3269</v>
      </c>
      <c r="C16582">
        <v>370</v>
      </c>
      <c r="D16582">
        <v>501</v>
      </c>
      <c r="E16582">
        <v>1576454274</v>
      </c>
      <c r="F16582">
        <v>114</v>
      </c>
      <c r="G16582">
        <v>0</v>
      </c>
      <c r="H16582" t="s">
        <v>21419</v>
      </c>
      <c r="I16582">
        <v>18837</v>
      </c>
      <c r="J16582" t="str">
        <f>VLOOKUP(E16582,DSSpieler!A:B,2,FALSE)</f>
        <v>.Destr0yer</v>
      </c>
    </row>
    <row r="16583" spans="1:10" x14ac:dyDescent="0.25">
      <c r="A16583">
        <v>18838</v>
      </c>
      <c r="B16583" t="s">
        <v>531</v>
      </c>
      <c r="C16583">
        <v>627</v>
      </c>
      <c r="D16583">
        <v>498</v>
      </c>
      <c r="E16583">
        <v>0</v>
      </c>
      <c r="F16583">
        <v>122</v>
      </c>
      <c r="G16583">
        <v>0</v>
      </c>
      <c r="H16583" t="s">
        <v>21420</v>
      </c>
      <c r="I16583">
        <v>18838</v>
      </c>
      <c r="J16583" t="e">
        <f>VLOOKUP(E16583,DSSpieler!A:B,2,FALSE)</f>
        <v>#N/A</v>
      </c>
    </row>
    <row r="16584" spans="1:10" x14ac:dyDescent="0.25">
      <c r="A16584">
        <v>18839</v>
      </c>
      <c r="B16584" t="s">
        <v>946</v>
      </c>
      <c r="C16584">
        <v>629</v>
      </c>
      <c r="D16584">
        <v>498</v>
      </c>
      <c r="E16584">
        <v>1577206625</v>
      </c>
      <c r="F16584">
        <v>1275</v>
      </c>
      <c r="G16584">
        <v>0</v>
      </c>
      <c r="H16584" t="s">
        <v>21421</v>
      </c>
      <c r="I16584">
        <v>18839</v>
      </c>
      <c r="J16584" t="str">
        <f>VLOOKUP(E16584,DSSpieler!A:B,2,FALSE)</f>
        <v>Shikamaru Nara</v>
      </c>
    </row>
    <row r="16585" spans="1:10" x14ac:dyDescent="0.25">
      <c r="A16585">
        <v>18840</v>
      </c>
      <c r="B16585" t="s">
        <v>531</v>
      </c>
      <c r="C16585">
        <v>496</v>
      </c>
      <c r="D16585">
        <v>370</v>
      </c>
      <c r="E16585">
        <v>0</v>
      </c>
      <c r="F16585">
        <v>190</v>
      </c>
      <c r="G16585">
        <v>0</v>
      </c>
      <c r="H16585" t="s">
        <v>21422</v>
      </c>
      <c r="I16585">
        <v>18840</v>
      </c>
      <c r="J16585" t="e">
        <f>VLOOKUP(E16585,DSSpieler!A:B,2,FALSE)</f>
        <v>#N/A</v>
      </c>
    </row>
    <row r="16586" spans="1:10" x14ac:dyDescent="0.25">
      <c r="A16586">
        <v>18842</v>
      </c>
      <c r="B16586" t="s">
        <v>531</v>
      </c>
      <c r="C16586">
        <v>379</v>
      </c>
      <c r="D16586">
        <v>538</v>
      </c>
      <c r="E16586">
        <v>0</v>
      </c>
      <c r="F16586">
        <v>87</v>
      </c>
      <c r="G16586">
        <v>0</v>
      </c>
      <c r="H16586" t="s">
        <v>21423</v>
      </c>
      <c r="I16586">
        <v>18842</v>
      </c>
      <c r="J16586" t="e">
        <f>VLOOKUP(E16586,DSSpieler!A:B,2,FALSE)</f>
        <v>#N/A</v>
      </c>
    </row>
    <row r="16587" spans="1:10" x14ac:dyDescent="0.25">
      <c r="A16587">
        <v>18843</v>
      </c>
      <c r="B16587" t="s">
        <v>3270</v>
      </c>
      <c r="C16587">
        <v>625</v>
      </c>
      <c r="D16587">
        <v>540</v>
      </c>
      <c r="E16587">
        <v>1577205642</v>
      </c>
      <c r="F16587">
        <v>1263</v>
      </c>
      <c r="G16587">
        <v>0</v>
      </c>
      <c r="H16587" t="s">
        <v>21424</v>
      </c>
      <c r="I16587">
        <v>18843</v>
      </c>
      <c r="J16587" t="str">
        <f>VLOOKUP(E16587,DSSpieler!A:B,2,FALSE)</f>
        <v>MuellerKnueller</v>
      </c>
    </row>
    <row r="16588" spans="1:10" x14ac:dyDescent="0.25">
      <c r="A16588">
        <v>18844</v>
      </c>
      <c r="B16588" t="s">
        <v>3271</v>
      </c>
      <c r="C16588">
        <v>623</v>
      </c>
      <c r="D16588">
        <v>540</v>
      </c>
      <c r="E16588">
        <v>1577204329</v>
      </c>
      <c r="F16588">
        <v>1117</v>
      </c>
      <c r="G16588">
        <v>0</v>
      </c>
      <c r="H16588" t="s">
        <v>21425</v>
      </c>
      <c r="I16588">
        <v>18844</v>
      </c>
      <c r="J16588" t="str">
        <f>VLOOKUP(E16588,DSSpieler!A:B,2,FALSE)</f>
        <v>Waterboy</v>
      </c>
    </row>
    <row r="16589" spans="1:10" x14ac:dyDescent="0.25">
      <c r="A16589">
        <v>18845</v>
      </c>
      <c r="B16589" t="s">
        <v>3272</v>
      </c>
      <c r="C16589">
        <v>625</v>
      </c>
      <c r="D16589">
        <v>539</v>
      </c>
      <c r="E16589">
        <v>1577204347</v>
      </c>
      <c r="F16589">
        <v>1318</v>
      </c>
      <c r="G16589">
        <v>0</v>
      </c>
      <c r="H16589" t="s">
        <v>21426</v>
      </c>
      <c r="I16589">
        <v>18845</v>
      </c>
      <c r="J16589" t="str">
        <f>VLOOKUP(E16589,DSSpieler!A:B,2,FALSE)</f>
        <v>tillinator</v>
      </c>
    </row>
    <row r="16590" spans="1:10" x14ac:dyDescent="0.25">
      <c r="A16590">
        <v>18847</v>
      </c>
      <c r="B16590" t="s">
        <v>3273</v>
      </c>
      <c r="C16590">
        <v>627</v>
      </c>
      <c r="D16590">
        <v>530</v>
      </c>
      <c r="E16590">
        <v>1577183637</v>
      </c>
      <c r="F16590">
        <v>26</v>
      </c>
      <c r="G16590">
        <v>0</v>
      </c>
      <c r="H16590" t="s">
        <v>21427</v>
      </c>
      <c r="I16590">
        <v>18847</v>
      </c>
      <c r="J16590" t="str">
        <f>VLOOKUP(E16590,DSSpieler!A:B,2,FALSE)</f>
        <v>Stone 3110</v>
      </c>
    </row>
    <row r="16591" spans="1:10" x14ac:dyDescent="0.25">
      <c r="A16591">
        <v>18848</v>
      </c>
      <c r="B16591" t="s">
        <v>3274</v>
      </c>
      <c r="C16591">
        <v>616</v>
      </c>
      <c r="D16591">
        <v>485</v>
      </c>
      <c r="E16591">
        <v>1576907929</v>
      </c>
      <c r="F16591">
        <v>1464</v>
      </c>
      <c r="G16591">
        <v>0</v>
      </c>
      <c r="H16591" t="s">
        <v>21428</v>
      </c>
      <c r="I16591">
        <v>18848</v>
      </c>
      <c r="J16591" t="str">
        <f>VLOOKUP(E16591,DSSpieler!A:B,2,FALSE)</f>
        <v>Liranda</v>
      </c>
    </row>
    <row r="16592" spans="1:10" x14ac:dyDescent="0.25">
      <c r="A16592">
        <v>18849</v>
      </c>
      <c r="B16592" t="s">
        <v>3275</v>
      </c>
      <c r="C16592">
        <v>470</v>
      </c>
      <c r="D16592">
        <v>628</v>
      </c>
      <c r="E16592">
        <v>10284852</v>
      </c>
      <c r="F16592">
        <v>174</v>
      </c>
      <c r="G16592">
        <v>0</v>
      </c>
      <c r="H16592" t="s">
        <v>21429</v>
      </c>
      <c r="I16592">
        <v>18849</v>
      </c>
      <c r="J16592" t="str">
        <f>VLOOKUP(E16592,DSSpieler!A:B,2,FALSE)</f>
        <v>Heller Angel</v>
      </c>
    </row>
    <row r="16593" spans="1:10" x14ac:dyDescent="0.25">
      <c r="A16593">
        <v>18850</v>
      </c>
      <c r="B16593" t="s">
        <v>1983</v>
      </c>
      <c r="C16593">
        <v>627</v>
      </c>
      <c r="D16593">
        <v>545</v>
      </c>
      <c r="E16593">
        <v>1577204529</v>
      </c>
      <c r="F16593">
        <v>1289</v>
      </c>
      <c r="G16593">
        <v>0</v>
      </c>
      <c r="H16593" t="s">
        <v>21430</v>
      </c>
      <c r="I16593">
        <v>18850</v>
      </c>
      <c r="J16593" t="str">
        <f>VLOOKUP(E16593,DSSpieler!A:B,2,FALSE)</f>
        <v>GhostBasti</v>
      </c>
    </row>
    <row r="16594" spans="1:10" x14ac:dyDescent="0.25">
      <c r="A16594">
        <v>18851</v>
      </c>
      <c r="B16594" t="s">
        <v>3276</v>
      </c>
      <c r="C16594">
        <v>420</v>
      </c>
      <c r="D16594">
        <v>511</v>
      </c>
      <c r="E16594">
        <v>1576718806</v>
      </c>
      <c r="F16594">
        <v>1363</v>
      </c>
      <c r="G16594">
        <v>0</v>
      </c>
      <c r="H16594" t="s">
        <v>21431</v>
      </c>
      <c r="I16594">
        <v>18851</v>
      </c>
      <c r="J16594" t="str">
        <f>VLOOKUP(E16594,DSSpieler!A:B,2,FALSE)</f>
        <v>hawkslayer</v>
      </c>
    </row>
    <row r="16595" spans="1:10" x14ac:dyDescent="0.25">
      <c r="A16595">
        <v>18852</v>
      </c>
      <c r="B16595" t="s">
        <v>3277</v>
      </c>
      <c r="C16595">
        <v>586</v>
      </c>
      <c r="D16595">
        <v>406</v>
      </c>
      <c r="E16595">
        <v>10288535</v>
      </c>
      <c r="F16595">
        <v>254</v>
      </c>
      <c r="G16595">
        <v>0</v>
      </c>
      <c r="H16595" t="s">
        <v>21432</v>
      </c>
      <c r="I16595">
        <v>18852</v>
      </c>
      <c r="J16595" t="str">
        <f>VLOOKUP(E16595,DSSpieler!A:B,2,FALSE)</f>
        <v>Dachbauer</v>
      </c>
    </row>
    <row r="16596" spans="1:10" x14ac:dyDescent="0.25">
      <c r="A16596">
        <v>18853</v>
      </c>
      <c r="B16596" t="s">
        <v>3278</v>
      </c>
      <c r="C16596">
        <v>423</v>
      </c>
      <c r="D16596">
        <v>607</v>
      </c>
      <c r="E16596">
        <v>1576925969</v>
      </c>
      <c r="F16596">
        <v>648</v>
      </c>
      <c r="G16596">
        <v>0</v>
      </c>
      <c r="H16596" t="s">
        <v>21433</v>
      </c>
      <c r="I16596">
        <v>18853</v>
      </c>
      <c r="J16596" t="str">
        <f>VLOOKUP(E16596,DSSpieler!A:B,2,FALSE)</f>
        <v>AnbauersFaketruppe</v>
      </c>
    </row>
    <row r="16597" spans="1:10" x14ac:dyDescent="0.25">
      <c r="A16597">
        <v>18854</v>
      </c>
      <c r="B16597" t="s">
        <v>3279</v>
      </c>
      <c r="C16597">
        <v>487</v>
      </c>
      <c r="D16597">
        <v>546</v>
      </c>
      <c r="E16597">
        <v>1577206880</v>
      </c>
      <c r="F16597">
        <v>63</v>
      </c>
      <c r="G16597">
        <v>0</v>
      </c>
      <c r="H16597" t="s">
        <v>21434</v>
      </c>
      <c r="I16597">
        <v>18854</v>
      </c>
      <c r="J16597" t="str">
        <f>VLOOKUP(E16597,DSSpieler!A:B,2,FALSE)</f>
        <v>Old York</v>
      </c>
    </row>
    <row r="16598" spans="1:10" x14ac:dyDescent="0.25">
      <c r="A16598">
        <v>18855</v>
      </c>
      <c r="B16598" t="s">
        <v>35660</v>
      </c>
      <c r="C16598">
        <v>620</v>
      </c>
      <c r="D16598">
        <v>551</v>
      </c>
      <c r="E16598">
        <v>1577198334</v>
      </c>
      <c r="F16598">
        <v>26</v>
      </c>
      <c r="G16598">
        <v>0</v>
      </c>
      <c r="H16598" t="s">
        <v>21435</v>
      </c>
      <c r="I16598">
        <v>18855</v>
      </c>
      <c r="J16598" t="str">
        <f>VLOOKUP(E16598,DSSpieler!A:B,2,FALSE)</f>
        <v>DerGottKönig</v>
      </c>
    </row>
    <row r="16599" spans="1:10" x14ac:dyDescent="0.25">
      <c r="A16599">
        <v>18856</v>
      </c>
      <c r="B16599" t="s">
        <v>3280</v>
      </c>
      <c r="C16599">
        <v>461</v>
      </c>
      <c r="D16599">
        <v>502</v>
      </c>
      <c r="E16599">
        <v>1577206881</v>
      </c>
      <c r="F16599">
        <v>807</v>
      </c>
      <c r="G16599">
        <v>0</v>
      </c>
      <c r="H16599" t="s">
        <v>21436</v>
      </c>
      <c r="I16599">
        <v>18856</v>
      </c>
      <c r="J16599" t="str">
        <f>VLOOKUP(E16599,DSSpieler!A:B,2,FALSE)</f>
        <v>Wolverine2309</v>
      </c>
    </row>
    <row r="16600" spans="1:10" x14ac:dyDescent="0.25">
      <c r="A16600">
        <v>18857</v>
      </c>
      <c r="B16600" t="s">
        <v>3281</v>
      </c>
      <c r="C16600">
        <v>478</v>
      </c>
      <c r="D16600">
        <v>371</v>
      </c>
      <c r="E16600">
        <v>1577203244</v>
      </c>
      <c r="F16600">
        <v>949</v>
      </c>
      <c r="G16600">
        <v>0</v>
      </c>
      <c r="H16600" t="s">
        <v>21437</v>
      </c>
      <c r="I16600">
        <v>18857</v>
      </c>
      <c r="J16600" t="str">
        <f>VLOOKUP(E16600,DSSpieler!A:B,2,FALSE)</f>
        <v>SkyTheMine</v>
      </c>
    </row>
    <row r="16601" spans="1:10" x14ac:dyDescent="0.25">
      <c r="A16601">
        <v>18858</v>
      </c>
      <c r="B16601" t="s">
        <v>3282</v>
      </c>
      <c r="C16601">
        <v>629</v>
      </c>
      <c r="D16601">
        <v>476</v>
      </c>
      <c r="E16601">
        <v>1577193876</v>
      </c>
      <c r="F16601">
        <v>26</v>
      </c>
      <c r="G16601">
        <v>0</v>
      </c>
      <c r="H16601" t="s">
        <v>21438</v>
      </c>
      <c r="I16601">
        <v>18858</v>
      </c>
      <c r="J16601" t="str">
        <f>VLOOKUP(E16601,DSSpieler!A:B,2,FALSE)</f>
        <v>Teclis44</v>
      </c>
    </row>
    <row r="16602" spans="1:10" x14ac:dyDescent="0.25">
      <c r="A16602">
        <v>18860</v>
      </c>
      <c r="B16602" t="s">
        <v>3283</v>
      </c>
      <c r="C16602">
        <v>487</v>
      </c>
      <c r="D16602">
        <v>415</v>
      </c>
      <c r="E16602">
        <v>1575989858</v>
      </c>
      <c r="F16602">
        <v>621</v>
      </c>
      <c r="G16602">
        <v>0</v>
      </c>
      <c r="H16602" t="s">
        <v>21439</v>
      </c>
      <c r="I16602">
        <v>18860</v>
      </c>
      <c r="J16602" t="str">
        <f>VLOOKUP(E16602,DSSpieler!A:B,2,FALSE)</f>
        <v>Fightlord5</v>
      </c>
    </row>
    <row r="16603" spans="1:10" x14ac:dyDescent="0.25">
      <c r="A16603">
        <v>18861</v>
      </c>
      <c r="B16603" t="s">
        <v>2523</v>
      </c>
      <c r="C16603">
        <v>464</v>
      </c>
      <c r="D16603">
        <v>377</v>
      </c>
      <c r="E16603">
        <v>1577206886</v>
      </c>
      <c r="F16603">
        <v>197</v>
      </c>
      <c r="G16603">
        <v>0</v>
      </c>
      <c r="H16603" t="s">
        <v>21440</v>
      </c>
      <c r="I16603">
        <v>18861</v>
      </c>
      <c r="J16603" t="str">
        <f>VLOOKUP(E16603,DSSpieler!A:B,2,FALSE)</f>
        <v>xFrostiex</v>
      </c>
    </row>
    <row r="16604" spans="1:10" x14ac:dyDescent="0.25">
      <c r="A16604">
        <v>18862</v>
      </c>
      <c r="B16604" t="s">
        <v>3284</v>
      </c>
      <c r="C16604">
        <v>490</v>
      </c>
      <c r="D16604">
        <v>632</v>
      </c>
      <c r="E16604">
        <v>7755325</v>
      </c>
      <c r="F16604">
        <v>1321</v>
      </c>
      <c r="G16604">
        <v>0</v>
      </c>
      <c r="H16604" t="s">
        <v>21441</v>
      </c>
      <c r="I16604">
        <v>18862</v>
      </c>
      <c r="J16604" t="str">
        <f>VLOOKUP(E16604,DSSpieler!A:B,2,FALSE)</f>
        <v>Jazzo</v>
      </c>
    </row>
    <row r="16605" spans="1:10" x14ac:dyDescent="0.25">
      <c r="A16605">
        <v>18863</v>
      </c>
      <c r="B16605" t="s">
        <v>3285</v>
      </c>
      <c r="C16605">
        <v>489</v>
      </c>
      <c r="D16605">
        <v>628</v>
      </c>
      <c r="E16605">
        <v>1576920105</v>
      </c>
      <c r="F16605">
        <v>226</v>
      </c>
      <c r="G16605">
        <v>0</v>
      </c>
      <c r="H16605" t="s">
        <v>21442</v>
      </c>
      <c r="I16605">
        <v>18863</v>
      </c>
      <c r="J16605" t="str">
        <f>VLOOKUP(E16605,DSSpieler!A:B,2,FALSE)</f>
        <v>LtFeroX</v>
      </c>
    </row>
    <row r="16606" spans="1:10" x14ac:dyDescent="0.25">
      <c r="A16606">
        <v>18865</v>
      </c>
      <c r="B16606" t="s">
        <v>531</v>
      </c>
      <c r="C16606">
        <v>604</v>
      </c>
      <c r="D16606">
        <v>573</v>
      </c>
      <c r="E16606">
        <v>0</v>
      </c>
      <c r="F16606">
        <v>105</v>
      </c>
      <c r="G16606">
        <v>0</v>
      </c>
      <c r="H16606" t="s">
        <v>21443</v>
      </c>
      <c r="I16606">
        <v>18865</v>
      </c>
      <c r="J16606" t="e">
        <f>VLOOKUP(E16606,DSSpieler!A:B,2,FALSE)</f>
        <v>#N/A</v>
      </c>
    </row>
    <row r="16607" spans="1:10" x14ac:dyDescent="0.25">
      <c r="A16607">
        <v>18866</v>
      </c>
      <c r="B16607" t="s">
        <v>3286</v>
      </c>
      <c r="C16607">
        <v>571</v>
      </c>
      <c r="D16607">
        <v>388</v>
      </c>
      <c r="E16607">
        <v>9951520</v>
      </c>
      <c r="F16607">
        <v>1316</v>
      </c>
      <c r="G16607">
        <v>0</v>
      </c>
      <c r="H16607" t="s">
        <v>21444</v>
      </c>
      <c r="I16607">
        <v>18866</v>
      </c>
      <c r="J16607" t="str">
        <f>VLOOKUP(E16607,DSSpieler!A:B,2,FALSE)</f>
        <v>sosnik</v>
      </c>
    </row>
    <row r="16608" spans="1:10" x14ac:dyDescent="0.25">
      <c r="A16608">
        <v>18867</v>
      </c>
      <c r="B16608" t="s">
        <v>3287</v>
      </c>
      <c r="C16608">
        <v>401</v>
      </c>
      <c r="D16608">
        <v>419</v>
      </c>
      <c r="E16608">
        <v>1577190424</v>
      </c>
      <c r="F16608">
        <v>26</v>
      </c>
      <c r="G16608">
        <v>0</v>
      </c>
      <c r="H16608" t="s">
        <v>21445</v>
      </c>
      <c r="I16608">
        <v>18867</v>
      </c>
      <c r="J16608" t="str">
        <f>VLOOKUP(E16608,DSSpieler!A:B,2,FALSE)</f>
        <v>Lord Predator</v>
      </c>
    </row>
    <row r="16609" spans="1:10" x14ac:dyDescent="0.25">
      <c r="A16609">
        <v>18868</v>
      </c>
      <c r="B16609" t="s">
        <v>3288</v>
      </c>
      <c r="C16609">
        <v>412</v>
      </c>
      <c r="D16609">
        <v>592</v>
      </c>
      <c r="E16609">
        <v>1577206852</v>
      </c>
      <c r="F16609">
        <v>26</v>
      </c>
      <c r="G16609">
        <v>0</v>
      </c>
      <c r="H16609" t="s">
        <v>21446</v>
      </c>
      <c r="I16609">
        <v>18868</v>
      </c>
      <c r="J16609" t="str">
        <f>VLOOKUP(E16609,DSSpieler!A:B,2,FALSE)</f>
        <v>Drago94</v>
      </c>
    </row>
    <row r="16610" spans="1:10" x14ac:dyDescent="0.25">
      <c r="A16610">
        <v>18869</v>
      </c>
      <c r="B16610" t="s">
        <v>3289</v>
      </c>
      <c r="C16610">
        <v>550</v>
      </c>
      <c r="D16610">
        <v>383</v>
      </c>
      <c r="E16610">
        <v>1577206898</v>
      </c>
      <c r="F16610">
        <v>26</v>
      </c>
      <c r="G16610">
        <v>0</v>
      </c>
      <c r="H16610" t="s">
        <v>21447</v>
      </c>
      <c r="I16610">
        <v>18869</v>
      </c>
      <c r="J16610" t="str">
        <f>VLOOKUP(E16610,DSSpieler!A:B,2,FALSE)</f>
        <v>Jaytan420</v>
      </c>
    </row>
    <row r="16611" spans="1:10" x14ac:dyDescent="0.25">
      <c r="A16611">
        <v>18870</v>
      </c>
      <c r="B16611" t="s">
        <v>3290</v>
      </c>
      <c r="C16611">
        <v>523</v>
      </c>
      <c r="D16611">
        <v>405</v>
      </c>
      <c r="E16611">
        <v>1577014874</v>
      </c>
      <c r="F16611">
        <v>858</v>
      </c>
      <c r="G16611">
        <v>0</v>
      </c>
      <c r="H16611" t="s">
        <v>21448</v>
      </c>
      <c r="I16611">
        <v>18870</v>
      </c>
      <c r="J16611" t="str">
        <f>VLOOKUP(E16611,DSSpieler!A:B,2,FALSE)</f>
        <v>Raml1777</v>
      </c>
    </row>
    <row r="16612" spans="1:10" x14ac:dyDescent="0.25">
      <c r="A16612">
        <v>18871</v>
      </c>
      <c r="B16612" t="s">
        <v>3291</v>
      </c>
      <c r="C16612">
        <v>625</v>
      </c>
      <c r="D16612">
        <v>546</v>
      </c>
      <c r="E16612">
        <v>1577205474</v>
      </c>
      <c r="F16612">
        <v>1390</v>
      </c>
      <c r="G16612">
        <v>0</v>
      </c>
      <c r="H16612" t="s">
        <v>21449</v>
      </c>
      <c r="I16612">
        <v>18871</v>
      </c>
      <c r="J16612" t="str">
        <f>VLOOKUP(E16612,DSSpieler!A:B,2,FALSE)</f>
        <v>lisa69</v>
      </c>
    </row>
    <row r="16613" spans="1:10" x14ac:dyDescent="0.25">
      <c r="A16613">
        <v>18872</v>
      </c>
      <c r="B16613" t="s">
        <v>3292</v>
      </c>
      <c r="C16613">
        <v>370</v>
      </c>
      <c r="D16613">
        <v>484</v>
      </c>
      <c r="E16613">
        <v>364397</v>
      </c>
      <c r="F16613">
        <v>1193</v>
      </c>
      <c r="G16613">
        <v>0</v>
      </c>
      <c r="H16613" t="s">
        <v>21450</v>
      </c>
      <c r="I16613">
        <v>18872</v>
      </c>
      <c r="J16613" t="str">
        <f>VLOOKUP(E16613,DSSpieler!A:B,2,FALSE)</f>
        <v>LVM1</v>
      </c>
    </row>
    <row r="16614" spans="1:10" x14ac:dyDescent="0.25">
      <c r="A16614">
        <v>18873</v>
      </c>
      <c r="B16614" t="s">
        <v>3293</v>
      </c>
      <c r="C16614">
        <v>575</v>
      </c>
      <c r="D16614">
        <v>607</v>
      </c>
      <c r="E16614">
        <v>1576988145</v>
      </c>
      <c r="F16614">
        <v>294</v>
      </c>
      <c r="G16614">
        <v>0</v>
      </c>
      <c r="H16614" t="s">
        <v>21451</v>
      </c>
      <c r="I16614">
        <v>18873</v>
      </c>
      <c r="J16614" t="str">
        <f>VLOOKUP(E16614,DSSpieler!A:B,2,FALSE)</f>
        <v>Gustav-King-95</v>
      </c>
    </row>
    <row r="16615" spans="1:10" x14ac:dyDescent="0.25">
      <c r="A16615">
        <v>18874</v>
      </c>
      <c r="B16615" t="s">
        <v>3294</v>
      </c>
      <c r="C16615">
        <v>447</v>
      </c>
      <c r="D16615">
        <v>615</v>
      </c>
      <c r="E16615">
        <v>1577178998</v>
      </c>
      <c r="F16615">
        <v>26</v>
      </c>
      <c r="G16615">
        <v>0</v>
      </c>
      <c r="H16615" t="s">
        <v>21452</v>
      </c>
      <c r="I16615">
        <v>18874</v>
      </c>
      <c r="J16615" t="str">
        <f>VLOOKUP(E16615,DSSpieler!A:B,2,FALSE)</f>
        <v>Redwood007</v>
      </c>
    </row>
    <row r="16616" spans="1:10" x14ac:dyDescent="0.25">
      <c r="A16616">
        <v>18875</v>
      </c>
      <c r="B16616" t="s">
        <v>3295</v>
      </c>
      <c r="C16616">
        <v>572</v>
      </c>
      <c r="D16616">
        <v>607</v>
      </c>
      <c r="E16616">
        <v>1576216930</v>
      </c>
      <c r="F16616">
        <v>26</v>
      </c>
      <c r="G16616">
        <v>0</v>
      </c>
      <c r="H16616" t="s">
        <v>21453</v>
      </c>
      <c r="I16616">
        <v>18875</v>
      </c>
      <c r="J16616" t="str">
        <f>VLOOKUP(E16616,DSSpieler!A:B,2,FALSE)</f>
        <v>Plainlazy88</v>
      </c>
    </row>
    <row r="16617" spans="1:10" x14ac:dyDescent="0.25">
      <c r="A16617">
        <v>18876</v>
      </c>
      <c r="B16617" t="s">
        <v>531</v>
      </c>
      <c r="C16617">
        <v>520</v>
      </c>
      <c r="D16617">
        <v>626</v>
      </c>
      <c r="E16617">
        <v>0</v>
      </c>
      <c r="F16617">
        <v>125</v>
      </c>
      <c r="G16617">
        <v>0</v>
      </c>
      <c r="H16617" t="s">
        <v>21454</v>
      </c>
      <c r="I16617">
        <v>18876</v>
      </c>
      <c r="J16617" t="e">
        <f>VLOOKUP(E16617,DSSpieler!A:B,2,FALSE)</f>
        <v>#N/A</v>
      </c>
    </row>
    <row r="16618" spans="1:10" x14ac:dyDescent="0.25">
      <c r="A16618">
        <v>18877</v>
      </c>
      <c r="B16618" t="s">
        <v>1321</v>
      </c>
      <c r="C16618">
        <v>544</v>
      </c>
      <c r="D16618">
        <v>619</v>
      </c>
      <c r="E16618">
        <v>1577201247</v>
      </c>
      <c r="F16618">
        <v>1443</v>
      </c>
      <c r="G16618">
        <v>0</v>
      </c>
      <c r="H16618" t="s">
        <v>21455</v>
      </c>
      <c r="I16618">
        <v>18877</v>
      </c>
      <c r="J16618" t="str">
        <f>VLOOKUP(E16618,DSSpieler!A:B,2,FALSE)</f>
        <v>M4sterpiece</v>
      </c>
    </row>
    <row r="16619" spans="1:10" x14ac:dyDescent="0.25">
      <c r="A16619">
        <v>18878</v>
      </c>
      <c r="B16619" t="s">
        <v>3296</v>
      </c>
      <c r="C16619">
        <v>547</v>
      </c>
      <c r="D16619">
        <v>620</v>
      </c>
      <c r="E16619">
        <v>1577198187</v>
      </c>
      <c r="F16619">
        <v>26</v>
      </c>
      <c r="G16619">
        <v>0</v>
      </c>
      <c r="H16619" t="s">
        <v>21456</v>
      </c>
      <c r="I16619">
        <v>18878</v>
      </c>
      <c r="J16619" t="str">
        <f>VLOOKUP(E16619,DSSpieler!A:B,2,FALSE)</f>
        <v>Maximierer0815</v>
      </c>
    </row>
    <row r="16620" spans="1:10" x14ac:dyDescent="0.25">
      <c r="A16620">
        <v>18883</v>
      </c>
      <c r="B16620" t="s">
        <v>3297</v>
      </c>
      <c r="C16620">
        <v>520</v>
      </c>
      <c r="D16620">
        <v>374</v>
      </c>
      <c r="E16620">
        <v>778833</v>
      </c>
      <c r="F16620">
        <v>26</v>
      </c>
      <c r="G16620">
        <v>0</v>
      </c>
      <c r="H16620" t="s">
        <v>21457</v>
      </c>
      <c r="I16620">
        <v>18883</v>
      </c>
      <c r="J16620" t="str">
        <f>VLOOKUP(E16620,DSSpieler!A:B,2,FALSE)</f>
        <v>Grabwurm</v>
      </c>
    </row>
    <row r="16621" spans="1:10" x14ac:dyDescent="0.25">
      <c r="A16621">
        <v>18884</v>
      </c>
      <c r="B16621" t="s">
        <v>3298</v>
      </c>
      <c r="C16621">
        <v>371</v>
      </c>
      <c r="D16621">
        <v>489</v>
      </c>
      <c r="E16621">
        <v>1576998664</v>
      </c>
      <c r="F16621">
        <v>282</v>
      </c>
      <c r="G16621">
        <v>0</v>
      </c>
      <c r="H16621" t="s">
        <v>21458</v>
      </c>
      <c r="I16621">
        <v>18884</v>
      </c>
      <c r="J16621" t="str">
        <f>VLOOKUP(E16621,DSSpieler!A:B,2,FALSE)</f>
        <v>Lord tilli</v>
      </c>
    </row>
    <row r="16622" spans="1:10" x14ac:dyDescent="0.25">
      <c r="A16622">
        <v>18885</v>
      </c>
      <c r="B16622" t="s">
        <v>3299</v>
      </c>
      <c r="C16622">
        <v>446</v>
      </c>
      <c r="D16622">
        <v>481</v>
      </c>
      <c r="E16622">
        <v>1577073548</v>
      </c>
      <c r="F16622">
        <v>720</v>
      </c>
      <c r="G16622">
        <v>0</v>
      </c>
      <c r="H16622" t="s">
        <v>21459</v>
      </c>
      <c r="I16622">
        <v>18885</v>
      </c>
      <c r="J16622" t="str">
        <f>VLOOKUP(E16622,DSSpieler!A:B,2,FALSE)</f>
        <v>udolin</v>
      </c>
    </row>
    <row r="16623" spans="1:10" x14ac:dyDescent="0.25">
      <c r="A16623">
        <v>18886</v>
      </c>
      <c r="B16623" t="s">
        <v>531</v>
      </c>
      <c r="C16623">
        <v>632</v>
      </c>
      <c r="D16623">
        <v>486</v>
      </c>
      <c r="E16623">
        <v>0</v>
      </c>
      <c r="F16623">
        <v>125</v>
      </c>
      <c r="G16623">
        <v>0</v>
      </c>
      <c r="H16623" t="s">
        <v>21460</v>
      </c>
      <c r="I16623">
        <v>18886</v>
      </c>
      <c r="J16623" t="e">
        <f>VLOOKUP(E16623,DSSpieler!A:B,2,FALSE)</f>
        <v>#N/A</v>
      </c>
    </row>
    <row r="16624" spans="1:10" x14ac:dyDescent="0.25">
      <c r="A16624">
        <v>18887</v>
      </c>
      <c r="B16624" t="s">
        <v>3300</v>
      </c>
      <c r="C16624">
        <v>464</v>
      </c>
      <c r="D16624">
        <v>426</v>
      </c>
      <c r="E16624">
        <v>1577135543</v>
      </c>
      <c r="F16624">
        <v>1133</v>
      </c>
      <c r="G16624">
        <v>0</v>
      </c>
      <c r="H16624" t="s">
        <v>21461</v>
      </c>
      <c r="I16624">
        <v>18887</v>
      </c>
      <c r="J16624" t="str">
        <f>VLOOKUP(E16624,DSSpieler!A:B,2,FALSE)</f>
        <v>MrFireblade</v>
      </c>
    </row>
    <row r="16625" spans="1:10" x14ac:dyDescent="0.25">
      <c r="A16625">
        <v>18888</v>
      </c>
      <c r="B16625" t="s">
        <v>3301</v>
      </c>
      <c r="C16625">
        <v>436</v>
      </c>
      <c r="D16625">
        <v>615</v>
      </c>
      <c r="E16625">
        <v>1577192346</v>
      </c>
      <c r="F16625">
        <v>422</v>
      </c>
      <c r="G16625">
        <v>0</v>
      </c>
      <c r="H16625" t="s">
        <v>21462</v>
      </c>
      <c r="I16625">
        <v>18888</v>
      </c>
      <c r="J16625" t="str">
        <f>VLOOKUP(E16625,DSSpieler!A:B,2,FALSE)</f>
        <v>bANDYt</v>
      </c>
    </row>
    <row r="16626" spans="1:10" x14ac:dyDescent="0.25">
      <c r="A16626">
        <v>18889</v>
      </c>
      <c r="B16626" t="s">
        <v>3302</v>
      </c>
      <c r="C16626">
        <v>368</v>
      </c>
      <c r="D16626">
        <v>499</v>
      </c>
      <c r="E16626">
        <v>1577184335</v>
      </c>
      <c r="F16626">
        <v>26</v>
      </c>
      <c r="G16626">
        <v>0</v>
      </c>
      <c r="H16626" t="s">
        <v>21463</v>
      </c>
      <c r="I16626">
        <v>18889</v>
      </c>
      <c r="J16626" t="str">
        <f>VLOOKUP(E16626,DSSpieler!A:B,2,FALSE)</f>
        <v>CoffeeAbuser</v>
      </c>
    </row>
    <row r="16627" spans="1:10" x14ac:dyDescent="0.25">
      <c r="A16627">
        <v>18890</v>
      </c>
      <c r="B16627" t="s">
        <v>531</v>
      </c>
      <c r="C16627">
        <v>408</v>
      </c>
      <c r="D16627">
        <v>410</v>
      </c>
      <c r="E16627">
        <v>0</v>
      </c>
      <c r="F16627">
        <v>102</v>
      </c>
      <c r="G16627">
        <v>0</v>
      </c>
      <c r="H16627" t="s">
        <v>21464</v>
      </c>
      <c r="I16627">
        <v>18890</v>
      </c>
      <c r="J16627" t="e">
        <f>VLOOKUP(E16627,DSSpieler!A:B,2,FALSE)</f>
        <v>#N/A</v>
      </c>
    </row>
    <row r="16628" spans="1:10" x14ac:dyDescent="0.25">
      <c r="A16628">
        <v>18891</v>
      </c>
      <c r="B16628" t="s">
        <v>3303</v>
      </c>
      <c r="C16628">
        <v>591</v>
      </c>
      <c r="D16628">
        <v>409</v>
      </c>
      <c r="E16628">
        <v>1577070427</v>
      </c>
      <c r="F16628">
        <v>26</v>
      </c>
      <c r="G16628">
        <v>0</v>
      </c>
      <c r="H16628" t="s">
        <v>21465</v>
      </c>
      <c r="I16628">
        <v>18891</v>
      </c>
      <c r="J16628" t="str">
        <f>VLOOKUP(E16628,DSSpieler!A:B,2,FALSE)</f>
        <v>Frontsoldat</v>
      </c>
    </row>
    <row r="16629" spans="1:10" x14ac:dyDescent="0.25">
      <c r="A16629">
        <v>18892</v>
      </c>
      <c r="B16629" t="s">
        <v>3304</v>
      </c>
      <c r="C16629">
        <v>369</v>
      </c>
      <c r="D16629">
        <v>520</v>
      </c>
      <c r="E16629">
        <v>1577197571</v>
      </c>
      <c r="F16629">
        <v>51</v>
      </c>
      <c r="G16629">
        <v>0</v>
      </c>
      <c r="H16629" t="s">
        <v>21466</v>
      </c>
      <c r="I16629">
        <v>18892</v>
      </c>
      <c r="J16629" t="str">
        <f>VLOOKUP(E16629,DSSpieler!A:B,2,FALSE)</f>
        <v>DaKickZz</v>
      </c>
    </row>
    <row r="16630" spans="1:10" x14ac:dyDescent="0.25">
      <c r="A16630">
        <v>18893</v>
      </c>
      <c r="B16630" t="s">
        <v>3305</v>
      </c>
      <c r="C16630">
        <v>567</v>
      </c>
      <c r="D16630">
        <v>389</v>
      </c>
      <c r="E16630">
        <v>1576917801</v>
      </c>
      <c r="F16630">
        <v>1539</v>
      </c>
      <c r="G16630">
        <v>0</v>
      </c>
      <c r="H16630" t="s">
        <v>21467</v>
      </c>
      <c r="I16630">
        <v>18893</v>
      </c>
      <c r="J16630" t="str">
        <f>VLOOKUP(E16630,DSSpieler!A:B,2,FALSE)</f>
        <v>JMLGF17</v>
      </c>
    </row>
    <row r="16631" spans="1:10" x14ac:dyDescent="0.25">
      <c r="A16631">
        <v>18894</v>
      </c>
      <c r="B16631" t="s">
        <v>35661</v>
      </c>
      <c r="C16631">
        <v>429</v>
      </c>
      <c r="D16631">
        <v>565</v>
      </c>
      <c r="E16631">
        <v>1576886607</v>
      </c>
      <c r="F16631">
        <v>94</v>
      </c>
      <c r="G16631">
        <v>0</v>
      </c>
      <c r="H16631" t="s">
        <v>21468</v>
      </c>
      <c r="I16631">
        <v>18894</v>
      </c>
      <c r="J16631" t="str">
        <f>VLOOKUP(E16631,DSSpieler!A:B,2,FALSE)</f>
        <v>Bääl</v>
      </c>
    </row>
    <row r="16632" spans="1:10" x14ac:dyDescent="0.25">
      <c r="A16632">
        <v>18896</v>
      </c>
      <c r="B16632" t="s">
        <v>3306</v>
      </c>
      <c r="C16632">
        <v>615</v>
      </c>
      <c r="D16632">
        <v>436</v>
      </c>
      <c r="E16632">
        <v>1577206923</v>
      </c>
      <c r="F16632">
        <v>1441</v>
      </c>
      <c r="G16632">
        <v>0</v>
      </c>
      <c r="H16632" t="s">
        <v>21469</v>
      </c>
      <c r="I16632">
        <v>18896</v>
      </c>
      <c r="J16632" t="str">
        <f>VLOOKUP(E16632,DSSpieler!A:B,2,FALSE)</f>
        <v>Ventho</v>
      </c>
    </row>
    <row r="16633" spans="1:10" x14ac:dyDescent="0.25">
      <c r="A16633">
        <v>18898</v>
      </c>
      <c r="B16633" t="s">
        <v>150</v>
      </c>
      <c r="C16633">
        <v>401</v>
      </c>
      <c r="D16633">
        <v>586</v>
      </c>
      <c r="E16633">
        <v>2247098</v>
      </c>
      <c r="F16633">
        <v>698</v>
      </c>
      <c r="G16633">
        <v>0</v>
      </c>
      <c r="H16633" t="s">
        <v>21470</v>
      </c>
      <c r="I16633">
        <v>18898</v>
      </c>
      <c r="J16633" t="str">
        <f>VLOOKUP(E16633,DSSpieler!A:B,2,FALSE)</f>
        <v>lammazon</v>
      </c>
    </row>
    <row r="16634" spans="1:10" x14ac:dyDescent="0.25">
      <c r="A16634">
        <v>18899</v>
      </c>
      <c r="B16634" t="s">
        <v>3307</v>
      </c>
      <c r="C16634">
        <v>611</v>
      </c>
      <c r="D16634">
        <v>430</v>
      </c>
      <c r="E16634">
        <v>1577192447</v>
      </c>
      <c r="F16634">
        <v>802</v>
      </c>
      <c r="G16634">
        <v>0</v>
      </c>
      <c r="H16634" t="s">
        <v>21471</v>
      </c>
      <c r="I16634">
        <v>18899</v>
      </c>
      <c r="J16634" t="str">
        <f>VLOOKUP(E16634,DSSpieler!A:B,2,FALSE)</f>
        <v>Ein Feldweg</v>
      </c>
    </row>
    <row r="16635" spans="1:10" x14ac:dyDescent="0.25">
      <c r="A16635">
        <v>18900</v>
      </c>
      <c r="B16635" t="s">
        <v>3308</v>
      </c>
      <c r="C16635">
        <v>574</v>
      </c>
      <c r="D16635">
        <v>610</v>
      </c>
      <c r="E16635">
        <v>1577206927</v>
      </c>
      <c r="F16635">
        <v>26</v>
      </c>
      <c r="G16635">
        <v>0</v>
      </c>
      <c r="H16635" t="s">
        <v>21472</v>
      </c>
      <c r="I16635">
        <v>18900</v>
      </c>
      <c r="J16635" t="str">
        <f>VLOOKUP(E16635,DSSpieler!A:B,2,FALSE)</f>
        <v>SmartPanda</v>
      </c>
    </row>
    <row r="16636" spans="1:10" x14ac:dyDescent="0.25">
      <c r="A16636">
        <v>18901</v>
      </c>
      <c r="B16636" t="s">
        <v>3309</v>
      </c>
      <c r="C16636">
        <v>388</v>
      </c>
      <c r="D16636">
        <v>440</v>
      </c>
      <c r="E16636">
        <v>1577206929</v>
      </c>
      <c r="F16636">
        <v>26</v>
      </c>
      <c r="G16636">
        <v>0</v>
      </c>
      <c r="H16636" t="s">
        <v>21473</v>
      </c>
      <c r="I16636">
        <v>18901</v>
      </c>
      <c r="J16636" t="str">
        <f>VLOOKUP(E16636,DSSpieler!A:B,2,FALSE)</f>
        <v>White69</v>
      </c>
    </row>
    <row r="16637" spans="1:10" x14ac:dyDescent="0.25">
      <c r="A16637">
        <v>18902</v>
      </c>
      <c r="B16637" t="s">
        <v>150</v>
      </c>
      <c r="C16637">
        <v>428</v>
      </c>
      <c r="D16637">
        <v>390</v>
      </c>
      <c r="E16637">
        <v>1577203599</v>
      </c>
      <c r="F16637">
        <v>87</v>
      </c>
      <c r="G16637">
        <v>0</v>
      </c>
      <c r="H16637" t="s">
        <v>21474</v>
      </c>
      <c r="I16637">
        <v>18902</v>
      </c>
      <c r="J16637" t="str">
        <f>VLOOKUP(E16637,DSSpieler!A:B,2,FALSE)</f>
        <v>wolferpa</v>
      </c>
    </row>
    <row r="16638" spans="1:10" x14ac:dyDescent="0.25">
      <c r="A16638">
        <v>18903</v>
      </c>
      <c r="B16638" t="s">
        <v>3310</v>
      </c>
      <c r="C16638">
        <v>434</v>
      </c>
      <c r="D16638">
        <v>611</v>
      </c>
      <c r="E16638">
        <v>1577206932</v>
      </c>
      <c r="F16638">
        <v>26</v>
      </c>
      <c r="G16638">
        <v>0</v>
      </c>
      <c r="H16638" t="s">
        <v>21475</v>
      </c>
      <c r="I16638">
        <v>18903</v>
      </c>
      <c r="J16638" t="str">
        <f>VLOOKUP(E16638,DSSpieler!A:B,2,FALSE)</f>
        <v>Servusli</v>
      </c>
    </row>
    <row r="16639" spans="1:10" x14ac:dyDescent="0.25">
      <c r="A16639">
        <v>18905</v>
      </c>
      <c r="B16639" t="s">
        <v>3311</v>
      </c>
      <c r="C16639">
        <v>387</v>
      </c>
      <c r="D16639">
        <v>433</v>
      </c>
      <c r="E16639">
        <v>1577206933</v>
      </c>
      <c r="F16639">
        <v>26</v>
      </c>
      <c r="G16639">
        <v>0</v>
      </c>
      <c r="H16639" t="s">
        <v>21476</v>
      </c>
      <c r="I16639">
        <v>18905</v>
      </c>
      <c r="J16639" t="str">
        <f>VLOOKUP(E16639,DSSpieler!A:B,2,FALSE)</f>
        <v>Volnis</v>
      </c>
    </row>
    <row r="16640" spans="1:10" x14ac:dyDescent="0.25">
      <c r="A16640">
        <v>18906</v>
      </c>
      <c r="B16640" t="s">
        <v>3312</v>
      </c>
      <c r="C16640">
        <v>628</v>
      </c>
      <c r="D16640">
        <v>476</v>
      </c>
      <c r="E16640">
        <v>1577206934</v>
      </c>
      <c r="F16640">
        <v>73</v>
      </c>
      <c r="G16640">
        <v>0</v>
      </c>
      <c r="H16640" t="s">
        <v>21477</v>
      </c>
      <c r="I16640">
        <v>18906</v>
      </c>
      <c r="J16640" t="str">
        <f>VLOOKUP(E16640,DSSpieler!A:B,2,FALSE)</f>
        <v>Melaxo</v>
      </c>
    </row>
    <row r="16641" spans="1:10" x14ac:dyDescent="0.25">
      <c r="A16641">
        <v>18907</v>
      </c>
      <c r="B16641" t="s">
        <v>3313</v>
      </c>
      <c r="C16641">
        <v>397</v>
      </c>
      <c r="D16641">
        <v>426</v>
      </c>
      <c r="E16641">
        <v>1577206935</v>
      </c>
      <c r="F16641">
        <v>26</v>
      </c>
      <c r="G16641">
        <v>0</v>
      </c>
      <c r="H16641" t="s">
        <v>21478</v>
      </c>
      <c r="I16641">
        <v>18907</v>
      </c>
      <c r="J16641" t="str">
        <f>VLOOKUP(E16641,DSSpieler!A:B,2,FALSE)</f>
        <v>HeikeUndFlo</v>
      </c>
    </row>
    <row r="16642" spans="1:10" x14ac:dyDescent="0.25">
      <c r="A16642">
        <v>18908</v>
      </c>
      <c r="B16642" t="s">
        <v>3314</v>
      </c>
      <c r="C16642">
        <v>434</v>
      </c>
      <c r="D16642">
        <v>393</v>
      </c>
      <c r="E16642">
        <v>1577204326</v>
      </c>
      <c r="F16642">
        <v>495</v>
      </c>
      <c r="G16642">
        <v>0</v>
      </c>
      <c r="H16642" t="s">
        <v>21479</v>
      </c>
      <c r="I16642">
        <v>18908</v>
      </c>
      <c r="J16642" t="str">
        <f>VLOOKUP(E16642,DSSpieler!A:B,2,FALSE)</f>
        <v>Briegel</v>
      </c>
    </row>
    <row r="16643" spans="1:10" x14ac:dyDescent="0.25">
      <c r="A16643">
        <v>18909</v>
      </c>
      <c r="B16643" t="s">
        <v>3315</v>
      </c>
      <c r="C16643">
        <v>606</v>
      </c>
      <c r="D16643">
        <v>570</v>
      </c>
      <c r="E16643">
        <v>1577206936</v>
      </c>
      <c r="F16643">
        <v>26</v>
      </c>
      <c r="G16643">
        <v>0</v>
      </c>
      <c r="H16643" t="s">
        <v>21480</v>
      </c>
      <c r="I16643">
        <v>18909</v>
      </c>
      <c r="J16643" t="str">
        <f>VLOOKUP(E16643,DSSpieler!A:B,2,FALSE)</f>
        <v>AK136</v>
      </c>
    </row>
    <row r="16644" spans="1:10" x14ac:dyDescent="0.25">
      <c r="A16644">
        <v>18910</v>
      </c>
      <c r="B16644" t="s">
        <v>531</v>
      </c>
      <c r="C16644">
        <v>401</v>
      </c>
      <c r="D16644">
        <v>582</v>
      </c>
      <c r="E16644">
        <v>0</v>
      </c>
      <c r="F16644">
        <v>114</v>
      </c>
      <c r="G16644">
        <v>0</v>
      </c>
      <c r="H16644" t="s">
        <v>21481</v>
      </c>
      <c r="I16644">
        <v>18910</v>
      </c>
      <c r="J16644" t="e">
        <f>VLOOKUP(E16644,DSSpieler!A:B,2,FALSE)</f>
        <v>#N/A</v>
      </c>
    </row>
    <row r="16645" spans="1:10" x14ac:dyDescent="0.25">
      <c r="A16645">
        <v>18911</v>
      </c>
      <c r="B16645" t="s">
        <v>3316</v>
      </c>
      <c r="C16645">
        <v>616</v>
      </c>
      <c r="D16645">
        <v>440</v>
      </c>
      <c r="E16645">
        <v>1576188158</v>
      </c>
      <c r="F16645">
        <v>26</v>
      </c>
      <c r="G16645">
        <v>0</v>
      </c>
      <c r="H16645" t="s">
        <v>21482</v>
      </c>
      <c r="I16645">
        <v>18911</v>
      </c>
      <c r="J16645" t="str">
        <f>VLOOKUP(E16645,DSSpieler!A:B,2,FALSE)</f>
        <v>mapbug</v>
      </c>
    </row>
    <row r="16646" spans="1:10" x14ac:dyDescent="0.25">
      <c r="A16646">
        <v>18912</v>
      </c>
      <c r="B16646" t="s">
        <v>531</v>
      </c>
      <c r="C16646">
        <v>547</v>
      </c>
      <c r="D16646">
        <v>377</v>
      </c>
      <c r="E16646">
        <v>0</v>
      </c>
      <c r="F16646">
        <v>128</v>
      </c>
      <c r="G16646">
        <v>0</v>
      </c>
      <c r="H16646" t="s">
        <v>21483</v>
      </c>
      <c r="I16646">
        <v>18912</v>
      </c>
      <c r="J16646" t="e">
        <f>VLOOKUP(E16646,DSSpieler!A:B,2,FALSE)</f>
        <v>#N/A</v>
      </c>
    </row>
    <row r="16647" spans="1:10" x14ac:dyDescent="0.25">
      <c r="A16647">
        <v>18913</v>
      </c>
      <c r="B16647" t="s">
        <v>3317</v>
      </c>
      <c r="C16647">
        <v>586</v>
      </c>
      <c r="D16647">
        <v>598</v>
      </c>
      <c r="E16647">
        <v>1577206939</v>
      </c>
      <c r="F16647">
        <v>44</v>
      </c>
      <c r="G16647">
        <v>0</v>
      </c>
      <c r="H16647" t="s">
        <v>21484</v>
      </c>
      <c r="I16647">
        <v>18913</v>
      </c>
      <c r="J16647" t="str">
        <f>VLOOKUP(E16647,DSSpieler!A:B,2,FALSE)</f>
        <v>georg 189</v>
      </c>
    </row>
    <row r="16648" spans="1:10" x14ac:dyDescent="0.25">
      <c r="A16648">
        <v>18915</v>
      </c>
      <c r="B16648" t="s">
        <v>35662</v>
      </c>
      <c r="C16648">
        <v>494</v>
      </c>
      <c r="D16648">
        <v>371</v>
      </c>
      <c r="E16648">
        <v>1577076888</v>
      </c>
      <c r="F16648">
        <v>474</v>
      </c>
      <c r="G16648">
        <v>0</v>
      </c>
      <c r="H16648" t="s">
        <v>21485</v>
      </c>
      <c r="I16648">
        <v>18915</v>
      </c>
      <c r="J16648" t="str">
        <f>VLOOKUP(E16648,DSSpieler!A:B,2,FALSE)</f>
        <v>Panther</v>
      </c>
    </row>
    <row r="16649" spans="1:10" x14ac:dyDescent="0.25">
      <c r="A16649">
        <v>18916</v>
      </c>
      <c r="B16649" t="s">
        <v>3318</v>
      </c>
      <c r="C16649">
        <v>577</v>
      </c>
      <c r="D16649">
        <v>393</v>
      </c>
      <c r="E16649">
        <v>1576674932</v>
      </c>
      <c r="F16649">
        <v>26</v>
      </c>
      <c r="G16649">
        <v>0</v>
      </c>
      <c r="H16649" t="s">
        <v>21486</v>
      </c>
      <c r="I16649">
        <v>18916</v>
      </c>
      <c r="J16649" t="str">
        <f>VLOOKUP(E16649,DSSpieler!A:B,2,FALSE)</f>
        <v>beninokind</v>
      </c>
    </row>
    <row r="16650" spans="1:10" x14ac:dyDescent="0.25">
      <c r="A16650">
        <v>18918</v>
      </c>
      <c r="B16650" t="s">
        <v>3319</v>
      </c>
      <c r="C16650">
        <v>389</v>
      </c>
      <c r="D16650">
        <v>571</v>
      </c>
      <c r="E16650">
        <v>7825726</v>
      </c>
      <c r="F16650">
        <v>697</v>
      </c>
      <c r="G16650">
        <v>0</v>
      </c>
      <c r="H16650" t="s">
        <v>21487</v>
      </c>
      <c r="I16650">
        <v>18918</v>
      </c>
      <c r="J16650" t="str">
        <f>VLOOKUP(E16650,DSSpieler!A:B,2,FALSE)</f>
        <v>Pug c. D.</v>
      </c>
    </row>
    <row r="16651" spans="1:10" x14ac:dyDescent="0.25">
      <c r="A16651">
        <v>18919</v>
      </c>
      <c r="B16651" t="s">
        <v>3320</v>
      </c>
      <c r="C16651">
        <v>539</v>
      </c>
      <c r="D16651">
        <v>624</v>
      </c>
      <c r="E16651">
        <v>9178540</v>
      </c>
      <c r="F16651">
        <v>53</v>
      </c>
      <c r="G16651">
        <v>0</v>
      </c>
      <c r="H16651" t="s">
        <v>21488</v>
      </c>
      <c r="I16651">
        <v>18919</v>
      </c>
      <c r="J16651" t="str">
        <f>VLOOKUP(E16651,DSSpieler!A:B,2,FALSE)</f>
        <v>semoh87</v>
      </c>
    </row>
    <row r="16652" spans="1:10" x14ac:dyDescent="0.25">
      <c r="A16652">
        <v>18920</v>
      </c>
      <c r="B16652" t="s">
        <v>776</v>
      </c>
      <c r="C16652">
        <v>573</v>
      </c>
      <c r="D16652">
        <v>393</v>
      </c>
      <c r="E16652">
        <v>1577188377</v>
      </c>
      <c r="F16652">
        <v>1825</v>
      </c>
      <c r="G16652">
        <v>0</v>
      </c>
      <c r="H16652" t="s">
        <v>21489</v>
      </c>
      <c r="I16652">
        <v>18920</v>
      </c>
      <c r="J16652" t="str">
        <f>VLOOKUP(E16652,DSSpieler!A:B,2,FALSE)</f>
        <v>Schery</v>
      </c>
    </row>
    <row r="16653" spans="1:10" x14ac:dyDescent="0.25">
      <c r="A16653">
        <v>18923</v>
      </c>
      <c r="B16653" t="s">
        <v>531</v>
      </c>
      <c r="C16653">
        <v>413</v>
      </c>
      <c r="D16653">
        <v>598</v>
      </c>
      <c r="E16653">
        <v>0</v>
      </c>
      <c r="F16653">
        <v>97</v>
      </c>
      <c r="G16653">
        <v>0</v>
      </c>
      <c r="H16653" t="s">
        <v>21490</v>
      </c>
      <c r="I16653">
        <v>18923</v>
      </c>
      <c r="J16653" t="e">
        <f>VLOOKUP(E16653,DSSpieler!A:B,2,FALSE)</f>
        <v>#N/A</v>
      </c>
    </row>
    <row r="16654" spans="1:10" x14ac:dyDescent="0.25">
      <c r="A16654">
        <v>18924</v>
      </c>
      <c r="B16654" t="s">
        <v>3321</v>
      </c>
      <c r="C16654">
        <v>548</v>
      </c>
      <c r="D16654">
        <v>376</v>
      </c>
      <c r="E16654">
        <v>1577197861</v>
      </c>
      <c r="F16654">
        <v>26</v>
      </c>
      <c r="G16654">
        <v>0</v>
      </c>
      <c r="H16654" t="s">
        <v>21491</v>
      </c>
      <c r="I16654">
        <v>18924</v>
      </c>
      <c r="J16654" t="str">
        <f>VLOOKUP(E16654,DSSpieler!A:B,2,FALSE)</f>
        <v>lihi</v>
      </c>
    </row>
    <row r="16655" spans="1:10" x14ac:dyDescent="0.25">
      <c r="A16655">
        <v>18925</v>
      </c>
      <c r="B16655" t="s">
        <v>3322</v>
      </c>
      <c r="C16655">
        <v>516</v>
      </c>
      <c r="D16655">
        <v>371</v>
      </c>
      <c r="E16655">
        <v>707944</v>
      </c>
      <c r="F16655">
        <v>686</v>
      </c>
      <c r="G16655">
        <v>0</v>
      </c>
      <c r="H16655" t="s">
        <v>21492</v>
      </c>
      <c r="I16655">
        <v>18925</v>
      </c>
      <c r="J16655" t="str">
        <f>VLOOKUP(E16655,DSSpieler!A:B,2,FALSE)</f>
        <v>Ulfus Maximus</v>
      </c>
    </row>
    <row r="16656" spans="1:10" x14ac:dyDescent="0.25">
      <c r="A16656">
        <v>18926</v>
      </c>
      <c r="B16656" t="s">
        <v>1833</v>
      </c>
      <c r="C16656">
        <v>378</v>
      </c>
      <c r="D16656">
        <v>455</v>
      </c>
      <c r="E16656">
        <v>1576958292</v>
      </c>
      <c r="F16656">
        <v>1116</v>
      </c>
      <c r="G16656">
        <v>0</v>
      </c>
      <c r="H16656" t="s">
        <v>21493</v>
      </c>
      <c r="I16656">
        <v>18926</v>
      </c>
      <c r="J16656" t="str">
        <f>VLOOKUP(E16656,DSSpieler!A:B,2,FALSE)</f>
        <v>Vikinger 77</v>
      </c>
    </row>
    <row r="16657" spans="1:10" x14ac:dyDescent="0.25">
      <c r="A16657">
        <v>18927</v>
      </c>
      <c r="B16657" t="s">
        <v>3323</v>
      </c>
      <c r="C16657">
        <v>609</v>
      </c>
      <c r="D16657">
        <v>430</v>
      </c>
      <c r="E16657">
        <v>10262055</v>
      </c>
      <c r="F16657">
        <v>69</v>
      </c>
      <c r="G16657">
        <v>0</v>
      </c>
      <c r="H16657" t="s">
        <v>21494</v>
      </c>
      <c r="I16657">
        <v>18927</v>
      </c>
      <c r="J16657" t="str">
        <f>VLOOKUP(E16657,DSSpieler!A:B,2,FALSE)</f>
        <v>TheLonelyIsland.</v>
      </c>
    </row>
    <row r="16658" spans="1:10" x14ac:dyDescent="0.25">
      <c r="A16658">
        <v>18928</v>
      </c>
      <c r="B16658" t="s">
        <v>3324</v>
      </c>
      <c r="C16658">
        <v>486</v>
      </c>
      <c r="D16658">
        <v>369</v>
      </c>
      <c r="E16658">
        <v>1577188476</v>
      </c>
      <c r="F16658">
        <v>488</v>
      </c>
      <c r="G16658">
        <v>0</v>
      </c>
      <c r="H16658" t="s">
        <v>21495</v>
      </c>
      <c r="I16658">
        <v>18928</v>
      </c>
      <c r="J16658" t="str">
        <f>VLOOKUP(E16658,DSSpieler!A:B,2,FALSE)</f>
        <v>essa</v>
      </c>
    </row>
    <row r="16659" spans="1:10" x14ac:dyDescent="0.25">
      <c r="A16659">
        <v>18929</v>
      </c>
      <c r="B16659" t="s">
        <v>531</v>
      </c>
      <c r="C16659">
        <v>384</v>
      </c>
      <c r="D16659">
        <v>437</v>
      </c>
      <c r="E16659">
        <v>0</v>
      </c>
      <c r="F16659">
        <v>294</v>
      </c>
      <c r="G16659">
        <v>0</v>
      </c>
      <c r="H16659" t="s">
        <v>21496</v>
      </c>
      <c r="I16659">
        <v>18929</v>
      </c>
      <c r="J16659" t="e">
        <f>VLOOKUP(E16659,DSSpieler!A:B,2,FALSE)</f>
        <v>#N/A</v>
      </c>
    </row>
    <row r="16660" spans="1:10" x14ac:dyDescent="0.25">
      <c r="A16660">
        <v>18930</v>
      </c>
      <c r="B16660" t="s">
        <v>3325</v>
      </c>
      <c r="C16660">
        <v>405</v>
      </c>
      <c r="D16660">
        <v>590</v>
      </c>
      <c r="E16660">
        <v>1577201317</v>
      </c>
      <c r="F16660">
        <v>1488</v>
      </c>
      <c r="G16660">
        <v>0</v>
      </c>
      <c r="H16660" t="s">
        <v>21497</v>
      </c>
      <c r="I16660">
        <v>18930</v>
      </c>
      <c r="J16660" t="str">
        <f>VLOOKUP(E16660,DSSpieler!A:B,2,FALSE)</f>
        <v>Edik92</v>
      </c>
    </row>
    <row r="16661" spans="1:10" x14ac:dyDescent="0.25">
      <c r="A16661">
        <v>18932</v>
      </c>
      <c r="B16661" t="s">
        <v>531</v>
      </c>
      <c r="C16661">
        <v>568</v>
      </c>
      <c r="D16661">
        <v>391</v>
      </c>
      <c r="E16661">
        <v>0</v>
      </c>
      <c r="F16661">
        <v>101</v>
      </c>
      <c r="G16661">
        <v>0</v>
      </c>
      <c r="H16661" t="s">
        <v>21498</v>
      </c>
      <c r="I16661">
        <v>18932</v>
      </c>
      <c r="J16661" t="e">
        <f>VLOOKUP(E16661,DSSpieler!A:B,2,FALSE)</f>
        <v>#N/A</v>
      </c>
    </row>
    <row r="16662" spans="1:10" x14ac:dyDescent="0.25">
      <c r="A16662">
        <v>18933</v>
      </c>
      <c r="B16662" t="s">
        <v>3326</v>
      </c>
      <c r="C16662">
        <v>575</v>
      </c>
      <c r="D16662">
        <v>395</v>
      </c>
      <c r="E16662">
        <v>1577206961</v>
      </c>
      <c r="F16662">
        <v>1003</v>
      </c>
      <c r="G16662">
        <v>0</v>
      </c>
      <c r="H16662" t="s">
        <v>21499</v>
      </c>
      <c r="I16662">
        <v>18933</v>
      </c>
      <c r="J16662" t="str">
        <f>VLOOKUP(E16662,DSSpieler!A:B,2,FALSE)</f>
        <v>BaertigerDrache</v>
      </c>
    </row>
    <row r="16663" spans="1:10" x14ac:dyDescent="0.25">
      <c r="A16663">
        <v>18934</v>
      </c>
      <c r="B16663" t="s">
        <v>3327</v>
      </c>
      <c r="C16663">
        <v>450</v>
      </c>
      <c r="D16663">
        <v>561</v>
      </c>
      <c r="E16663">
        <v>10242367</v>
      </c>
      <c r="F16663">
        <v>26</v>
      </c>
      <c r="G16663">
        <v>0</v>
      </c>
      <c r="H16663" t="s">
        <v>21500</v>
      </c>
      <c r="I16663">
        <v>18934</v>
      </c>
      <c r="J16663" t="str">
        <f>VLOOKUP(E16663,DSSpieler!A:B,2,FALSE)</f>
        <v>HNNS</v>
      </c>
    </row>
    <row r="16664" spans="1:10" x14ac:dyDescent="0.25">
      <c r="A16664">
        <v>18935</v>
      </c>
      <c r="B16664" t="s">
        <v>3328</v>
      </c>
      <c r="C16664">
        <v>480</v>
      </c>
      <c r="D16664">
        <v>627</v>
      </c>
      <c r="E16664">
        <v>1577037113</v>
      </c>
      <c r="F16664">
        <v>901</v>
      </c>
      <c r="G16664">
        <v>0</v>
      </c>
      <c r="H16664" t="s">
        <v>21501</v>
      </c>
      <c r="I16664">
        <v>18935</v>
      </c>
      <c r="J16664" t="str">
        <f>VLOOKUP(E16664,DSSpieler!A:B,2,FALSE)</f>
        <v>Drunken Jedi</v>
      </c>
    </row>
    <row r="16665" spans="1:10" x14ac:dyDescent="0.25">
      <c r="A16665">
        <v>18936</v>
      </c>
      <c r="B16665" t="s">
        <v>3329</v>
      </c>
      <c r="C16665">
        <v>399</v>
      </c>
      <c r="D16665">
        <v>584</v>
      </c>
      <c r="E16665">
        <v>1577170874</v>
      </c>
      <c r="F16665">
        <v>396</v>
      </c>
      <c r="G16665">
        <v>0</v>
      </c>
      <c r="H16665" t="s">
        <v>21502</v>
      </c>
      <c r="I16665">
        <v>18936</v>
      </c>
      <c r="J16665" t="str">
        <f>VLOOKUP(E16665,DSSpieler!A:B,2,FALSE)</f>
        <v>Chrisael1</v>
      </c>
    </row>
    <row r="16666" spans="1:10" x14ac:dyDescent="0.25">
      <c r="A16666">
        <v>18937</v>
      </c>
      <c r="B16666" t="s">
        <v>3330</v>
      </c>
      <c r="C16666">
        <v>429</v>
      </c>
      <c r="D16666">
        <v>403</v>
      </c>
      <c r="E16666">
        <v>1577200337</v>
      </c>
      <c r="F16666">
        <v>101</v>
      </c>
      <c r="G16666">
        <v>0</v>
      </c>
      <c r="H16666" t="s">
        <v>21503</v>
      </c>
      <c r="I16666">
        <v>18937</v>
      </c>
      <c r="J16666" t="str">
        <f>VLOOKUP(E16666,DSSpieler!A:B,2,FALSE)</f>
        <v>djblyatman</v>
      </c>
    </row>
    <row r="16667" spans="1:10" x14ac:dyDescent="0.25">
      <c r="A16667">
        <v>18938</v>
      </c>
      <c r="B16667">
        <v>1</v>
      </c>
      <c r="C16667">
        <v>631</v>
      </c>
      <c r="D16667">
        <v>476</v>
      </c>
      <c r="E16667">
        <v>8051624</v>
      </c>
      <c r="F16667">
        <v>1111</v>
      </c>
      <c r="G16667">
        <v>0</v>
      </c>
      <c r="H16667" t="s">
        <v>21504</v>
      </c>
      <c r="I16667">
        <v>18938</v>
      </c>
      <c r="J16667" t="str">
        <f>VLOOKUP(E16667,DSSpieler!A:B,2,FALSE)</f>
        <v>BuiHu</v>
      </c>
    </row>
    <row r="16668" spans="1:10" x14ac:dyDescent="0.25">
      <c r="A16668">
        <v>18939</v>
      </c>
      <c r="B16668" t="s">
        <v>3331</v>
      </c>
      <c r="C16668">
        <v>630</v>
      </c>
      <c r="D16668">
        <v>491</v>
      </c>
      <c r="E16668">
        <v>1577206133</v>
      </c>
      <c r="F16668">
        <v>26</v>
      </c>
      <c r="G16668">
        <v>0</v>
      </c>
      <c r="H16668" t="s">
        <v>21505</v>
      </c>
      <c r="I16668">
        <v>18939</v>
      </c>
      <c r="J16668" t="str">
        <f>VLOOKUP(E16668,DSSpieler!A:B,2,FALSE)</f>
        <v>Gumbar</v>
      </c>
    </row>
    <row r="16669" spans="1:10" x14ac:dyDescent="0.25">
      <c r="A16669">
        <v>18940</v>
      </c>
      <c r="B16669" t="s">
        <v>546</v>
      </c>
      <c r="C16669">
        <v>506</v>
      </c>
      <c r="D16669">
        <v>445</v>
      </c>
      <c r="E16669">
        <v>2479120</v>
      </c>
      <c r="F16669">
        <v>752</v>
      </c>
      <c r="G16669">
        <v>0</v>
      </c>
      <c r="H16669" t="s">
        <v>21506</v>
      </c>
      <c r="I16669">
        <v>18940</v>
      </c>
      <c r="J16669" t="str">
        <f>VLOOKUP(E16669,DSSpieler!A:B,2,FALSE)</f>
        <v>Flausel</v>
      </c>
    </row>
    <row r="16670" spans="1:10" x14ac:dyDescent="0.25">
      <c r="A16670">
        <v>18942</v>
      </c>
      <c r="B16670" t="s">
        <v>3332</v>
      </c>
      <c r="C16670">
        <v>631</v>
      </c>
      <c r="D16670">
        <v>512</v>
      </c>
      <c r="E16670">
        <v>9988214</v>
      </c>
      <c r="F16670">
        <v>804</v>
      </c>
      <c r="G16670">
        <v>0</v>
      </c>
      <c r="H16670" t="s">
        <v>21507</v>
      </c>
      <c r="I16670">
        <v>18942</v>
      </c>
      <c r="J16670" t="str">
        <f>VLOOKUP(E16670,DSSpieler!A:B,2,FALSE)</f>
        <v>Jeyme5</v>
      </c>
    </row>
    <row r="16671" spans="1:10" x14ac:dyDescent="0.25">
      <c r="A16671">
        <v>18943</v>
      </c>
      <c r="B16671">
        <v>1</v>
      </c>
      <c r="C16671">
        <v>423</v>
      </c>
      <c r="D16671">
        <v>395</v>
      </c>
      <c r="E16671">
        <v>10017854</v>
      </c>
      <c r="F16671">
        <v>1017</v>
      </c>
      <c r="G16671">
        <v>0</v>
      </c>
      <c r="H16671" t="s">
        <v>21508</v>
      </c>
      <c r="I16671">
        <v>18943</v>
      </c>
      <c r="J16671" t="str">
        <f>VLOOKUP(E16671,DSSpieler!A:B,2,FALSE)</f>
        <v>qasid</v>
      </c>
    </row>
    <row r="16672" spans="1:10" x14ac:dyDescent="0.25">
      <c r="A16672">
        <v>18944</v>
      </c>
      <c r="B16672" t="s">
        <v>3333</v>
      </c>
      <c r="C16672">
        <v>629</v>
      </c>
      <c r="D16672">
        <v>499</v>
      </c>
      <c r="E16672">
        <v>1577165988</v>
      </c>
      <c r="F16672">
        <v>149</v>
      </c>
      <c r="G16672">
        <v>0</v>
      </c>
      <c r="H16672" t="s">
        <v>21509</v>
      </c>
      <c r="I16672">
        <v>18944</v>
      </c>
      <c r="J16672" t="str">
        <f>VLOOKUP(E16672,DSSpieler!A:B,2,FALSE)</f>
        <v>schlecri</v>
      </c>
    </row>
    <row r="16673" spans="1:10" x14ac:dyDescent="0.25">
      <c r="A16673">
        <v>18945</v>
      </c>
      <c r="B16673" t="s">
        <v>3334</v>
      </c>
      <c r="C16673">
        <v>482</v>
      </c>
      <c r="D16673">
        <v>626</v>
      </c>
      <c r="E16673">
        <v>10172988</v>
      </c>
      <c r="F16673">
        <v>456</v>
      </c>
      <c r="G16673">
        <v>0</v>
      </c>
      <c r="H16673" t="s">
        <v>21510</v>
      </c>
      <c r="I16673">
        <v>18945</v>
      </c>
      <c r="J16673" t="str">
        <f>VLOOKUP(E16673,DSSpieler!A:B,2,FALSE)</f>
        <v>Diamondhunter22</v>
      </c>
    </row>
    <row r="16674" spans="1:10" x14ac:dyDescent="0.25">
      <c r="A16674">
        <v>18947</v>
      </c>
      <c r="B16674" t="s">
        <v>3335</v>
      </c>
      <c r="C16674">
        <v>419</v>
      </c>
      <c r="D16674">
        <v>400</v>
      </c>
      <c r="E16674">
        <v>1471481</v>
      </c>
      <c r="F16674">
        <v>1458</v>
      </c>
      <c r="G16674">
        <v>0</v>
      </c>
      <c r="H16674" t="s">
        <v>21511</v>
      </c>
      <c r="I16674">
        <v>18947</v>
      </c>
      <c r="J16674" t="str">
        <f>VLOOKUP(E16674,DSSpieler!A:B,2,FALSE)</f>
        <v>XxDiegoxX</v>
      </c>
    </row>
    <row r="16675" spans="1:10" x14ac:dyDescent="0.25">
      <c r="A16675">
        <v>18948</v>
      </c>
      <c r="B16675" t="s">
        <v>3336</v>
      </c>
      <c r="C16675">
        <v>378</v>
      </c>
      <c r="D16675">
        <v>546</v>
      </c>
      <c r="E16675">
        <v>3074086</v>
      </c>
      <c r="F16675">
        <v>1016</v>
      </c>
      <c r="G16675">
        <v>0</v>
      </c>
      <c r="H16675" t="s">
        <v>21512</v>
      </c>
      <c r="I16675">
        <v>18948</v>
      </c>
      <c r="J16675" t="str">
        <f>VLOOKUP(E16675,DSSpieler!A:B,2,FALSE)</f>
        <v>Herzog Andre</v>
      </c>
    </row>
    <row r="16676" spans="1:10" x14ac:dyDescent="0.25">
      <c r="A16676">
        <v>18949</v>
      </c>
      <c r="B16676" t="s">
        <v>531</v>
      </c>
      <c r="C16676">
        <v>399</v>
      </c>
      <c r="D16676">
        <v>415</v>
      </c>
      <c r="E16676">
        <v>0</v>
      </c>
      <c r="F16676">
        <v>85</v>
      </c>
      <c r="G16676">
        <v>0</v>
      </c>
      <c r="H16676" t="s">
        <v>21513</v>
      </c>
      <c r="I16676">
        <v>18949</v>
      </c>
      <c r="J16676" t="e">
        <f>VLOOKUP(E16676,DSSpieler!A:B,2,FALSE)</f>
        <v>#N/A</v>
      </c>
    </row>
    <row r="16677" spans="1:10" x14ac:dyDescent="0.25">
      <c r="A16677">
        <v>18950</v>
      </c>
      <c r="B16677" t="s">
        <v>3337</v>
      </c>
      <c r="C16677">
        <v>540</v>
      </c>
      <c r="D16677">
        <v>624</v>
      </c>
      <c r="E16677">
        <v>1576844527</v>
      </c>
      <c r="F16677">
        <v>26</v>
      </c>
      <c r="G16677">
        <v>0</v>
      </c>
      <c r="H16677" t="s">
        <v>21514</v>
      </c>
      <c r="I16677">
        <v>18950</v>
      </c>
      <c r="J16677" t="str">
        <f>VLOOKUP(E16677,DSSpieler!A:B,2,FALSE)</f>
        <v>Dorfname</v>
      </c>
    </row>
    <row r="16678" spans="1:10" x14ac:dyDescent="0.25">
      <c r="A16678">
        <v>18951</v>
      </c>
      <c r="B16678" t="s">
        <v>3338</v>
      </c>
      <c r="C16678">
        <v>606</v>
      </c>
      <c r="D16678">
        <v>430</v>
      </c>
      <c r="E16678">
        <v>1577142350</v>
      </c>
      <c r="F16678">
        <v>28</v>
      </c>
      <c r="G16678">
        <v>0</v>
      </c>
      <c r="H16678" t="s">
        <v>21515</v>
      </c>
      <c r="I16678">
        <v>18951</v>
      </c>
      <c r="J16678" t="str">
        <f>VLOOKUP(E16678,DSSpieler!A:B,2,FALSE)</f>
        <v>Asterix67</v>
      </c>
    </row>
    <row r="16679" spans="1:10" x14ac:dyDescent="0.25">
      <c r="A16679">
        <v>18952</v>
      </c>
      <c r="B16679" t="s">
        <v>3339</v>
      </c>
      <c r="C16679">
        <v>568</v>
      </c>
      <c r="D16679">
        <v>466</v>
      </c>
      <c r="E16679">
        <v>1577191683</v>
      </c>
      <c r="F16679">
        <v>1475</v>
      </c>
      <c r="G16679">
        <v>0</v>
      </c>
      <c r="H16679" t="s">
        <v>21516</v>
      </c>
      <c r="I16679">
        <v>18952</v>
      </c>
      <c r="J16679" t="str">
        <f>VLOOKUP(E16679,DSSpieler!A:B,2,FALSE)</f>
        <v>MikMik188</v>
      </c>
    </row>
    <row r="16680" spans="1:10" x14ac:dyDescent="0.25">
      <c r="A16680">
        <v>18953</v>
      </c>
      <c r="B16680" t="s">
        <v>3340</v>
      </c>
      <c r="C16680">
        <v>527</v>
      </c>
      <c r="D16680">
        <v>375</v>
      </c>
      <c r="E16680">
        <v>3408793</v>
      </c>
      <c r="F16680">
        <v>1057</v>
      </c>
      <c r="G16680">
        <v>0</v>
      </c>
      <c r="H16680" t="s">
        <v>21517</v>
      </c>
      <c r="I16680">
        <v>18953</v>
      </c>
      <c r="J16680" t="str">
        <f>VLOOKUP(E16680,DSSpieler!A:B,2,FALSE)</f>
        <v>salz39</v>
      </c>
    </row>
    <row r="16681" spans="1:10" x14ac:dyDescent="0.25">
      <c r="A16681">
        <v>18954</v>
      </c>
      <c r="B16681" t="s">
        <v>3341</v>
      </c>
      <c r="C16681">
        <v>617</v>
      </c>
      <c r="D16681">
        <v>560</v>
      </c>
      <c r="E16681">
        <v>1577189774</v>
      </c>
      <c r="F16681">
        <v>666</v>
      </c>
      <c r="G16681">
        <v>0</v>
      </c>
      <c r="H16681" t="s">
        <v>21518</v>
      </c>
      <c r="I16681">
        <v>18954</v>
      </c>
      <c r="J16681" t="str">
        <f>VLOOKUP(E16681,DSSpieler!A:B,2,FALSE)</f>
        <v>Hugs</v>
      </c>
    </row>
    <row r="16682" spans="1:10" x14ac:dyDescent="0.25">
      <c r="A16682">
        <v>18955</v>
      </c>
      <c r="B16682" t="s">
        <v>3342</v>
      </c>
      <c r="C16682">
        <v>427</v>
      </c>
      <c r="D16682">
        <v>395</v>
      </c>
      <c r="E16682">
        <v>1577072052</v>
      </c>
      <c r="F16682">
        <v>82</v>
      </c>
      <c r="G16682">
        <v>0</v>
      </c>
      <c r="H16682" t="s">
        <v>21519</v>
      </c>
      <c r="I16682">
        <v>18955</v>
      </c>
      <c r="J16682" t="str">
        <f>VLOOKUP(E16682,DSSpieler!A:B,2,FALSE)</f>
        <v>leverkusen044</v>
      </c>
    </row>
    <row r="16683" spans="1:10" x14ac:dyDescent="0.25">
      <c r="A16683">
        <v>18956</v>
      </c>
      <c r="B16683" t="s">
        <v>3343</v>
      </c>
      <c r="C16683">
        <v>509</v>
      </c>
      <c r="D16683">
        <v>368</v>
      </c>
      <c r="E16683">
        <v>1577207004</v>
      </c>
      <c r="F16683">
        <v>88</v>
      </c>
      <c r="G16683">
        <v>0</v>
      </c>
      <c r="H16683" t="s">
        <v>21520</v>
      </c>
      <c r="I16683">
        <v>18956</v>
      </c>
      <c r="J16683" t="str">
        <f>VLOOKUP(E16683,DSSpieler!A:B,2,FALSE)</f>
        <v>ConfusedGatsby</v>
      </c>
    </row>
    <row r="16684" spans="1:10" x14ac:dyDescent="0.25">
      <c r="A16684">
        <v>18957</v>
      </c>
      <c r="B16684" t="s">
        <v>3344</v>
      </c>
      <c r="C16684">
        <v>597</v>
      </c>
      <c r="D16684">
        <v>409</v>
      </c>
      <c r="E16684">
        <v>1577206900</v>
      </c>
      <c r="F16684">
        <v>1585</v>
      </c>
      <c r="G16684">
        <v>0</v>
      </c>
      <c r="H16684" t="s">
        <v>21521</v>
      </c>
      <c r="I16684">
        <v>18957</v>
      </c>
      <c r="J16684" t="str">
        <f>VLOOKUP(E16684,DSSpieler!A:B,2,FALSE)</f>
        <v>Kued</v>
      </c>
    </row>
    <row r="16685" spans="1:10" x14ac:dyDescent="0.25">
      <c r="A16685">
        <v>18958</v>
      </c>
      <c r="B16685" t="s">
        <v>3345</v>
      </c>
      <c r="C16685">
        <v>593</v>
      </c>
      <c r="D16685">
        <v>410</v>
      </c>
      <c r="E16685">
        <v>1577206901</v>
      </c>
      <c r="F16685">
        <v>981</v>
      </c>
      <c r="G16685">
        <v>0</v>
      </c>
      <c r="H16685" t="s">
        <v>21522</v>
      </c>
      <c r="I16685">
        <v>18958</v>
      </c>
      <c r="J16685" t="str">
        <f>VLOOKUP(E16685,DSSpieler!A:B,2,FALSE)</f>
        <v>Edku</v>
      </c>
    </row>
    <row r="16686" spans="1:10" x14ac:dyDescent="0.25">
      <c r="A16686">
        <v>18960</v>
      </c>
      <c r="B16686" t="s">
        <v>3346</v>
      </c>
      <c r="C16686">
        <v>493</v>
      </c>
      <c r="D16686">
        <v>630</v>
      </c>
      <c r="E16686">
        <v>1576395422</v>
      </c>
      <c r="F16686">
        <v>74</v>
      </c>
      <c r="G16686">
        <v>0</v>
      </c>
      <c r="H16686" t="s">
        <v>21523</v>
      </c>
      <c r="I16686">
        <v>18960</v>
      </c>
      <c r="J16686" t="str">
        <f>VLOOKUP(E16686,DSSpieler!A:B,2,FALSE)</f>
        <v>Lord Hoschi45</v>
      </c>
    </row>
    <row r="16687" spans="1:10" x14ac:dyDescent="0.25">
      <c r="A16687">
        <v>18961</v>
      </c>
      <c r="B16687" t="s">
        <v>3347</v>
      </c>
      <c r="C16687">
        <v>532</v>
      </c>
      <c r="D16687">
        <v>626</v>
      </c>
      <c r="E16687">
        <v>1577201786</v>
      </c>
      <c r="F16687">
        <v>658</v>
      </c>
      <c r="G16687">
        <v>0</v>
      </c>
      <c r="H16687" t="s">
        <v>21524</v>
      </c>
      <c r="I16687">
        <v>18961</v>
      </c>
      <c r="J16687" t="str">
        <f>VLOOKUP(E16687,DSSpieler!A:B,2,FALSE)</f>
        <v>KillaKay</v>
      </c>
    </row>
    <row r="16688" spans="1:10" x14ac:dyDescent="0.25">
      <c r="A16688">
        <v>18962</v>
      </c>
      <c r="B16688" t="s">
        <v>531</v>
      </c>
      <c r="C16688">
        <v>625</v>
      </c>
      <c r="D16688">
        <v>480</v>
      </c>
      <c r="E16688">
        <v>0</v>
      </c>
      <c r="F16688">
        <v>93</v>
      </c>
      <c r="G16688">
        <v>0</v>
      </c>
      <c r="H16688" t="s">
        <v>21525</v>
      </c>
      <c r="I16688">
        <v>18962</v>
      </c>
      <c r="J16688" t="e">
        <f>VLOOKUP(E16688,DSSpieler!A:B,2,FALSE)</f>
        <v>#N/A</v>
      </c>
    </row>
    <row r="16689" spans="1:10" x14ac:dyDescent="0.25">
      <c r="A16689">
        <v>18964</v>
      </c>
      <c r="B16689" t="s">
        <v>3348</v>
      </c>
      <c r="C16689">
        <v>604</v>
      </c>
      <c r="D16689">
        <v>576</v>
      </c>
      <c r="E16689">
        <v>1577061492</v>
      </c>
      <c r="F16689">
        <v>623</v>
      </c>
      <c r="G16689">
        <v>0</v>
      </c>
      <c r="H16689" t="s">
        <v>21526</v>
      </c>
      <c r="I16689">
        <v>18964</v>
      </c>
      <c r="J16689" t="str">
        <f>VLOOKUP(E16689,DSSpieler!A:B,2,FALSE)</f>
        <v>wolledog</v>
      </c>
    </row>
    <row r="16690" spans="1:10" x14ac:dyDescent="0.25">
      <c r="A16690">
        <v>18965</v>
      </c>
      <c r="B16690" t="s">
        <v>667</v>
      </c>
      <c r="C16690">
        <v>503</v>
      </c>
      <c r="D16690">
        <v>629</v>
      </c>
      <c r="E16690">
        <v>1576824312</v>
      </c>
      <c r="F16690">
        <v>239</v>
      </c>
      <c r="G16690">
        <v>0</v>
      </c>
      <c r="H16690" t="s">
        <v>21527</v>
      </c>
      <c r="I16690">
        <v>18965</v>
      </c>
      <c r="J16690" t="str">
        <f>VLOOKUP(E16690,DSSpieler!A:B,2,FALSE)</f>
        <v>hpo973</v>
      </c>
    </row>
    <row r="16691" spans="1:10" x14ac:dyDescent="0.25">
      <c r="A16691">
        <v>18966</v>
      </c>
      <c r="B16691" t="s">
        <v>3349</v>
      </c>
      <c r="C16691">
        <v>433</v>
      </c>
      <c r="D16691">
        <v>610</v>
      </c>
      <c r="E16691">
        <v>1577196988</v>
      </c>
      <c r="F16691">
        <v>48</v>
      </c>
      <c r="G16691">
        <v>0</v>
      </c>
      <c r="H16691" t="s">
        <v>21528</v>
      </c>
      <c r="I16691">
        <v>18966</v>
      </c>
      <c r="J16691" t="str">
        <f>VLOOKUP(E16691,DSSpieler!A:B,2,FALSE)</f>
        <v>xxlxon1</v>
      </c>
    </row>
    <row r="16692" spans="1:10" x14ac:dyDescent="0.25">
      <c r="A16692">
        <v>18967</v>
      </c>
      <c r="B16692" t="s">
        <v>3350</v>
      </c>
      <c r="C16692">
        <v>492</v>
      </c>
      <c r="D16692">
        <v>423</v>
      </c>
      <c r="E16692">
        <v>7997480</v>
      </c>
      <c r="F16692">
        <v>1119</v>
      </c>
      <c r="G16692">
        <v>0</v>
      </c>
      <c r="H16692" t="s">
        <v>21529</v>
      </c>
      <c r="I16692">
        <v>18967</v>
      </c>
      <c r="J16692" t="str">
        <f>VLOOKUP(E16692,DSSpieler!A:B,2,FALSE)</f>
        <v>Dietmar91</v>
      </c>
    </row>
    <row r="16693" spans="1:10" x14ac:dyDescent="0.25">
      <c r="A16693">
        <v>18968</v>
      </c>
      <c r="B16693" t="s">
        <v>531</v>
      </c>
      <c r="C16693">
        <v>631</v>
      </c>
      <c r="D16693">
        <v>505</v>
      </c>
      <c r="E16693">
        <v>0</v>
      </c>
      <c r="F16693">
        <v>118</v>
      </c>
      <c r="G16693">
        <v>0</v>
      </c>
      <c r="H16693" t="s">
        <v>21530</v>
      </c>
      <c r="I16693">
        <v>18968</v>
      </c>
      <c r="J16693" t="e">
        <f>VLOOKUP(E16693,DSSpieler!A:B,2,FALSE)</f>
        <v>#N/A</v>
      </c>
    </row>
    <row r="16694" spans="1:10" x14ac:dyDescent="0.25">
      <c r="A16694">
        <v>18969</v>
      </c>
      <c r="B16694" t="s">
        <v>3351</v>
      </c>
      <c r="C16694">
        <v>614</v>
      </c>
      <c r="D16694">
        <v>567</v>
      </c>
      <c r="E16694">
        <v>2728918</v>
      </c>
      <c r="F16694">
        <v>681</v>
      </c>
      <c r="G16694">
        <v>0</v>
      </c>
      <c r="H16694" t="s">
        <v>21531</v>
      </c>
      <c r="I16694">
        <v>18969</v>
      </c>
      <c r="J16694" t="str">
        <f>VLOOKUP(E16694,DSSpieler!A:B,2,FALSE)</f>
        <v>zuckerzicke1984</v>
      </c>
    </row>
    <row r="16695" spans="1:10" x14ac:dyDescent="0.25">
      <c r="A16695">
        <v>18972</v>
      </c>
      <c r="B16695" t="s">
        <v>3352</v>
      </c>
      <c r="C16695">
        <v>519</v>
      </c>
      <c r="D16695">
        <v>628</v>
      </c>
      <c r="E16695">
        <v>1577207021</v>
      </c>
      <c r="F16695">
        <v>134</v>
      </c>
      <c r="G16695">
        <v>0</v>
      </c>
      <c r="H16695" t="s">
        <v>21532</v>
      </c>
      <c r="I16695">
        <v>18972</v>
      </c>
      <c r="J16695" t="str">
        <f>VLOOKUP(E16695,DSSpieler!A:B,2,FALSE)</f>
        <v>Herry11</v>
      </c>
    </row>
    <row r="16696" spans="1:10" x14ac:dyDescent="0.25">
      <c r="A16696">
        <v>18973</v>
      </c>
      <c r="B16696" t="s">
        <v>3353</v>
      </c>
      <c r="C16696">
        <v>468</v>
      </c>
      <c r="D16696">
        <v>595</v>
      </c>
      <c r="E16696">
        <v>1577163935</v>
      </c>
      <c r="F16696">
        <v>1152</v>
      </c>
      <c r="G16696">
        <v>0</v>
      </c>
      <c r="H16696" t="s">
        <v>21533</v>
      </c>
      <c r="I16696">
        <v>18973</v>
      </c>
      <c r="J16696" t="str">
        <f>VLOOKUP(E16696,DSSpieler!A:B,2,FALSE)</f>
        <v>PeaceBRo159</v>
      </c>
    </row>
    <row r="16697" spans="1:10" x14ac:dyDescent="0.25">
      <c r="A16697">
        <v>18974</v>
      </c>
      <c r="B16697" t="s">
        <v>3354</v>
      </c>
      <c r="C16697">
        <v>623</v>
      </c>
      <c r="D16697">
        <v>450</v>
      </c>
      <c r="E16697">
        <v>1576712239</v>
      </c>
      <c r="F16697">
        <v>971</v>
      </c>
      <c r="G16697">
        <v>0</v>
      </c>
      <c r="H16697" t="s">
        <v>21534</v>
      </c>
      <c r="I16697">
        <v>18974</v>
      </c>
      <c r="J16697" t="str">
        <f>VLOOKUP(E16697,DSSpieler!A:B,2,FALSE)</f>
        <v>Schattenloch</v>
      </c>
    </row>
    <row r="16698" spans="1:10" x14ac:dyDescent="0.25">
      <c r="A16698">
        <v>18975</v>
      </c>
      <c r="B16698" t="s">
        <v>3355</v>
      </c>
      <c r="C16698">
        <v>375</v>
      </c>
      <c r="D16698">
        <v>541</v>
      </c>
      <c r="E16698">
        <v>1577140861</v>
      </c>
      <c r="F16698">
        <v>26</v>
      </c>
      <c r="G16698">
        <v>0</v>
      </c>
      <c r="H16698" t="s">
        <v>21535</v>
      </c>
      <c r="I16698">
        <v>18975</v>
      </c>
      <c r="J16698" t="str">
        <f>VLOOKUP(E16698,DSSpieler!A:B,2,FALSE)</f>
        <v>thelittle</v>
      </c>
    </row>
    <row r="16699" spans="1:10" x14ac:dyDescent="0.25">
      <c r="A16699">
        <v>18976</v>
      </c>
      <c r="B16699" t="s">
        <v>35663</v>
      </c>
      <c r="C16699">
        <v>623</v>
      </c>
      <c r="D16699">
        <v>449</v>
      </c>
      <c r="E16699">
        <v>1577202410</v>
      </c>
      <c r="F16699">
        <v>88</v>
      </c>
      <c r="G16699">
        <v>0</v>
      </c>
      <c r="H16699" t="s">
        <v>21536</v>
      </c>
      <c r="I16699">
        <v>18976</v>
      </c>
      <c r="J16699" t="str">
        <f>VLOOKUP(E16699,DSSpieler!A:B,2,FALSE)</f>
        <v>König Dargoneth</v>
      </c>
    </row>
    <row r="16700" spans="1:10" x14ac:dyDescent="0.25">
      <c r="A16700">
        <v>18977</v>
      </c>
      <c r="B16700" t="s">
        <v>531</v>
      </c>
      <c r="C16700">
        <v>613</v>
      </c>
      <c r="D16700">
        <v>566</v>
      </c>
      <c r="E16700">
        <v>0</v>
      </c>
      <c r="F16700">
        <v>153</v>
      </c>
      <c r="G16700">
        <v>0</v>
      </c>
      <c r="H16700" t="s">
        <v>21537</v>
      </c>
      <c r="I16700">
        <v>18977</v>
      </c>
      <c r="J16700" t="e">
        <f>VLOOKUP(E16700,DSSpieler!A:B,2,FALSE)</f>
        <v>#N/A</v>
      </c>
    </row>
    <row r="16701" spans="1:10" x14ac:dyDescent="0.25">
      <c r="A16701">
        <v>18978</v>
      </c>
      <c r="B16701" t="s">
        <v>3356</v>
      </c>
      <c r="C16701">
        <v>570</v>
      </c>
      <c r="D16701">
        <v>507</v>
      </c>
      <c r="E16701">
        <v>1577206000</v>
      </c>
      <c r="F16701">
        <v>518</v>
      </c>
      <c r="G16701">
        <v>0</v>
      </c>
      <c r="H16701" t="s">
        <v>21538</v>
      </c>
      <c r="I16701">
        <v>18978</v>
      </c>
      <c r="J16701" t="str">
        <f>VLOOKUP(E16701,DSSpieler!A:B,2,FALSE)</f>
        <v>donat1</v>
      </c>
    </row>
    <row r="16702" spans="1:10" x14ac:dyDescent="0.25">
      <c r="A16702">
        <v>18980</v>
      </c>
      <c r="B16702" t="s">
        <v>3357</v>
      </c>
      <c r="C16702">
        <v>375</v>
      </c>
      <c r="D16702">
        <v>456</v>
      </c>
      <c r="E16702">
        <v>1577188605</v>
      </c>
      <c r="F16702">
        <v>54</v>
      </c>
      <c r="G16702">
        <v>0</v>
      </c>
      <c r="H16702" t="s">
        <v>21539</v>
      </c>
      <c r="I16702">
        <v>18980</v>
      </c>
      <c r="J16702" t="str">
        <f>VLOOKUP(E16702,DSSpieler!A:B,2,FALSE)</f>
        <v>JPS10</v>
      </c>
    </row>
    <row r="16703" spans="1:10" x14ac:dyDescent="0.25">
      <c r="A16703">
        <v>18982</v>
      </c>
      <c r="B16703" t="s">
        <v>3358</v>
      </c>
      <c r="C16703">
        <v>530</v>
      </c>
      <c r="D16703">
        <v>613</v>
      </c>
      <c r="E16703">
        <v>1577188254</v>
      </c>
      <c r="F16703">
        <v>26</v>
      </c>
      <c r="G16703">
        <v>0</v>
      </c>
      <c r="H16703" t="s">
        <v>21540</v>
      </c>
      <c r="I16703">
        <v>18982</v>
      </c>
      <c r="J16703" t="str">
        <f>VLOOKUP(E16703,DSSpieler!A:B,2,FALSE)</f>
        <v>LJG88</v>
      </c>
    </row>
    <row r="16704" spans="1:10" x14ac:dyDescent="0.25">
      <c r="A16704">
        <v>18983</v>
      </c>
      <c r="B16704" t="s">
        <v>3359</v>
      </c>
      <c r="C16704">
        <v>444</v>
      </c>
      <c r="D16704">
        <v>545</v>
      </c>
      <c r="E16704">
        <v>1577191339</v>
      </c>
      <c r="F16704">
        <v>26</v>
      </c>
      <c r="G16704">
        <v>0</v>
      </c>
      <c r="H16704" t="s">
        <v>21541</v>
      </c>
      <c r="I16704">
        <v>18983</v>
      </c>
      <c r="J16704" t="str">
        <f>VLOOKUP(E16704,DSSpieler!A:B,2,FALSE)</f>
        <v>Mick1312</v>
      </c>
    </row>
    <row r="16705" spans="1:10" x14ac:dyDescent="0.25">
      <c r="A16705">
        <v>18984</v>
      </c>
      <c r="B16705" t="s">
        <v>3360</v>
      </c>
      <c r="C16705">
        <v>439</v>
      </c>
      <c r="D16705">
        <v>399</v>
      </c>
      <c r="E16705">
        <v>7775748</v>
      </c>
      <c r="F16705">
        <v>1190</v>
      </c>
      <c r="G16705">
        <v>0</v>
      </c>
      <c r="H16705" t="s">
        <v>21542</v>
      </c>
      <c r="I16705">
        <v>18984</v>
      </c>
      <c r="J16705" t="str">
        <f>VLOOKUP(E16705,DSSpieler!A:B,2,FALSE)</f>
        <v>Rübenstein</v>
      </c>
    </row>
    <row r="16706" spans="1:10" x14ac:dyDescent="0.25">
      <c r="A16706">
        <v>18985</v>
      </c>
      <c r="B16706" t="s">
        <v>3361</v>
      </c>
      <c r="C16706">
        <v>625</v>
      </c>
      <c r="D16706">
        <v>464</v>
      </c>
      <c r="E16706">
        <v>1577199278</v>
      </c>
      <c r="F16706">
        <v>38</v>
      </c>
      <c r="G16706">
        <v>0</v>
      </c>
      <c r="H16706" t="s">
        <v>21543</v>
      </c>
      <c r="I16706">
        <v>18985</v>
      </c>
      <c r="J16706" t="str">
        <f>VLOOKUP(E16706,DSSpieler!A:B,2,FALSE)</f>
        <v>Nami25</v>
      </c>
    </row>
    <row r="16707" spans="1:10" x14ac:dyDescent="0.25">
      <c r="A16707">
        <v>18986</v>
      </c>
      <c r="B16707" t="s">
        <v>3362</v>
      </c>
      <c r="C16707">
        <v>555</v>
      </c>
      <c r="D16707">
        <v>617</v>
      </c>
      <c r="E16707">
        <v>1576384520</v>
      </c>
      <c r="F16707">
        <v>718</v>
      </c>
      <c r="G16707">
        <v>0</v>
      </c>
      <c r="H16707" t="s">
        <v>21544</v>
      </c>
      <c r="I16707">
        <v>18986</v>
      </c>
      <c r="J16707" t="str">
        <f>VLOOKUP(E16707,DSSpieler!A:B,2,FALSE)</f>
        <v>Nestronz</v>
      </c>
    </row>
    <row r="16708" spans="1:10" x14ac:dyDescent="0.25">
      <c r="A16708">
        <v>18987</v>
      </c>
      <c r="B16708" t="s">
        <v>531</v>
      </c>
      <c r="C16708">
        <v>533</v>
      </c>
      <c r="D16708">
        <v>371</v>
      </c>
      <c r="E16708">
        <v>0</v>
      </c>
      <c r="F16708">
        <v>139</v>
      </c>
      <c r="G16708">
        <v>0</v>
      </c>
      <c r="H16708" t="s">
        <v>21545</v>
      </c>
      <c r="I16708">
        <v>18987</v>
      </c>
      <c r="J16708" t="e">
        <f>VLOOKUP(E16708,DSSpieler!A:B,2,FALSE)</f>
        <v>#N/A</v>
      </c>
    </row>
    <row r="16709" spans="1:10" x14ac:dyDescent="0.25">
      <c r="A16709">
        <v>18988</v>
      </c>
      <c r="B16709" t="s">
        <v>3363</v>
      </c>
      <c r="C16709">
        <v>438</v>
      </c>
      <c r="D16709">
        <v>383</v>
      </c>
      <c r="E16709">
        <v>1577198786</v>
      </c>
      <c r="F16709">
        <v>110</v>
      </c>
      <c r="G16709">
        <v>0</v>
      </c>
      <c r="H16709" t="s">
        <v>21546</v>
      </c>
      <c r="I16709">
        <v>18988</v>
      </c>
      <c r="J16709" t="str">
        <f>VLOOKUP(E16709,DSSpieler!A:B,2,FALSE)</f>
        <v>schurli12</v>
      </c>
    </row>
    <row r="16710" spans="1:10" x14ac:dyDescent="0.25">
      <c r="A16710">
        <v>18989</v>
      </c>
      <c r="B16710" t="s">
        <v>695</v>
      </c>
      <c r="C16710">
        <v>579</v>
      </c>
      <c r="D16710">
        <v>399</v>
      </c>
      <c r="E16710">
        <v>9983558</v>
      </c>
      <c r="F16710">
        <v>972</v>
      </c>
      <c r="G16710">
        <v>0</v>
      </c>
      <c r="H16710" t="s">
        <v>21547</v>
      </c>
      <c r="I16710">
        <v>18989</v>
      </c>
      <c r="J16710" t="str">
        <f>VLOOKUP(E16710,DSSpieler!A:B,2,FALSE)</f>
        <v>whatzup27x</v>
      </c>
    </row>
    <row r="16711" spans="1:10" x14ac:dyDescent="0.25">
      <c r="A16711">
        <v>18990</v>
      </c>
      <c r="B16711" t="s">
        <v>3364</v>
      </c>
      <c r="C16711">
        <v>368</v>
      </c>
      <c r="D16711">
        <v>493</v>
      </c>
      <c r="E16711">
        <v>2520452</v>
      </c>
      <c r="F16711">
        <v>916</v>
      </c>
      <c r="G16711">
        <v>0</v>
      </c>
      <c r="H16711" t="s">
        <v>21548</v>
      </c>
      <c r="I16711">
        <v>18990</v>
      </c>
      <c r="J16711" t="str">
        <f>VLOOKUP(E16711,DSSpieler!A:B,2,FALSE)</f>
        <v>einhorn081</v>
      </c>
    </row>
    <row r="16712" spans="1:10" x14ac:dyDescent="0.25">
      <c r="A16712">
        <v>18991</v>
      </c>
      <c r="B16712" t="s">
        <v>3365</v>
      </c>
      <c r="C16712">
        <v>369</v>
      </c>
      <c r="D16712">
        <v>484</v>
      </c>
      <c r="E16712">
        <v>1577207034</v>
      </c>
      <c r="F16712">
        <v>26</v>
      </c>
      <c r="G16712">
        <v>0</v>
      </c>
      <c r="H16712" t="s">
        <v>21549</v>
      </c>
      <c r="I16712">
        <v>18991</v>
      </c>
      <c r="J16712" t="str">
        <f>VLOOKUP(E16712,DSSpieler!A:B,2,FALSE)</f>
        <v>Ina9</v>
      </c>
    </row>
    <row r="16713" spans="1:10" x14ac:dyDescent="0.25">
      <c r="A16713">
        <v>18992</v>
      </c>
      <c r="B16713" t="s">
        <v>3366</v>
      </c>
      <c r="C16713">
        <v>526</v>
      </c>
      <c r="D16713">
        <v>627</v>
      </c>
      <c r="E16713">
        <v>1577122384</v>
      </c>
      <c r="F16713">
        <v>145</v>
      </c>
      <c r="G16713">
        <v>0</v>
      </c>
      <c r="H16713" t="s">
        <v>21550</v>
      </c>
      <c r="I16713">
        <v>18992</v>
      </c>
      <c r="J16713" t="str">
        <f>VLOOKUP(E16713,DSSpieler!A:B,2,FALSE)</f>
        <v>Cortex</v>
      </c>
    </row>
    <row r="16714" spans="1:10" x14ac:dyDescent="0.25">
      <c r="A16714">
        <v>18993</v>
      </c>
      <c r="B16714" t="s">
        <v>3367</v>
      </c>
      <c r="C16714">
        <v>457</v>
      </c>
      <c r="D16714">
        <v>442</v>
      </c>
      <c r="E16714">
        <v>1577043512</v>
      </c>
      <c r="F16714">
        <v>42</v>
      </c>
      <c r="G16714">
        <v>0</v>
      </c>
      <c r="H16714" t="s">
        <v>21551</v>
      </c>
      <c r="I16714">
        <v>18993</v>
      </c>
      <c r="J16714" t="str">
        <f>VLOOKUP(E16714,DSSpieler!A:B,2,FALSE)</f>
        <v>Galaxy21zero</v>
      </c>
    </row>
    <row r="16715" spans="1:10" x14ac:dyDescent="0.25">
      <c r="A16715">
        <v>18995</v>
      </c>
      <c r="B16715">
        <v>1</v>
      </c>
      <c r="C16715">
        <v>427</v>
      </c>
      <c r="D16715">
        <v>406</v>
      </c>
      <c r="E16715">
        <v>1577019810</v>
      </c>
      <c r="F16715">
        <v>281</v>
      </c>
      <c r="G16715">
        <v>0</v>
      </c>
      <c r="H16715" t="s">
        <v>21552</v>
      </c>
      <c r="I16715">
        <v>18995</v>
      </c>
      <c r="J16715" t="str">
        <f>VLOOKUP(E16715,DSSpieler!A:B,2,FALSE)</f>
        <v>Lord Peter 95</v>
      </c>
    </row>
    <row r="16716" spans="1:10" x14ac:dyDescent="0.25">
      <c r="A16716">
        <v>18997</v>
      </c>
      <c r="B16716" t="s">
        <v>3368</v>
      </c>
      <c r="C16716">
        <v>531</v>
      </c>
      <c r="D16716">
        <v>374</v>
      </c>
      <c r="E16716">
        <v>1020788</v>
      </c>
      <c r="F16716">
        <v>549</v>
      </c>
      <c r="G16716">
        <v>0</v>
      </c>
      <c r="H16716" t="s">
        <v>21553</v>
      </c>
      <c r="I16716">
        <v>18997</v>
      </c>
      <c r="J16716" t="str">
        <f>VLOOKUP(E16716,DSSpieler!A:B,2,FALSE)</f>
        <v>Gromper</v>
      </c>
    </row>
    <row r="16717" spans="1:10" x14ac:dyDescent="0.25">
      <c r="A16717">
        <v>18998</v>
      </c>
      <c r="B16717" t="s">
        <v>1887</v>
      </c>
      <c r="C16717">
        <v>623</v>
      </c>
      <c r="D16717">
        <v>548</v>
      </c>
      <c r="E16717">
        <v>8106617</v>
      </c>
      <c r="F16717">
        <v>778</v>
      </c>
      <c r="G16717">
        <v>0</v>
      </c>
      <c r="H16717" t="s">
        <v>21554</v>
      </c>
      <c r="I16717">
        <v>18998</v>
      </c>
      <c r="J16717" t="str">
        <f>VLOOKUP(E16717,DSSpieler!A:B,2,FALSE)</f>
        <v>Skibius</v>
      </c>
    </row>
    <row r="16718" spans="1:10" x14ac:dyDescent="0.25">
      <c r="A16718">
        <v>18999</v>
      </c>
      <c r="B16718" t="s">
        <v>3369</v>
      </c>
      <c r="C16718">
        <v>617</v>
      </c>
      <c r="D16718">
        <v>546</v>
      </c>
      <c r="E16718">
        <v>1576826820</v>
      </c>
      <c r="F16718">
        <v>730</v>
      </c>
      <c r="G16718">
        <v>0</v>
      </c>
      <c r="H16718" t="s">
        <v>21555</v>
      </c>
      <c r="I16718">
        <v>18999</v>
      </c>
      <c r="J16718" t="str">
        <f>VLOOKUP(E16718,DSSpieler!A:B,2,FALSE)</f>
        <v>Bresio1335</v>
      </c>
    </row>
    <row r="16719" spans="1:10" x14ac:dyDescent="0.25">
      <c r="A16719">
        <v>19000</v>
      </c>
      <c r="B16719" t="s">
        <v>531</v>
      </c>
      <c r="C16719">
        <v>395</v>
      </c>
      <c r="D16719">
        <v>425</v>
      </c>
      <c r="E16719">
        <v>0</v>
      </c>
      <c r="F16719">
        <v>110</v>
      </c>
      <c r="G16719">
        <v>0</v>
      </c>
      <c r="H16719" t="s">
        <v>21556</v>
      </c>
      <c r="I16719">
        <v>19000</v>
      </c>
      <c r="J16719" t="e">
        <f>VLOOKUP(E16719,DSSpieler!A:B,2,FALSE)</f>
        <v>#N/A</v>
      </c>
    </row>
    <row r="16720" spans="1:10" x14ac:dyDescent="0.25">
      <c r="A16720">
        <v>19002</v>
      </c>
      <c r="B16720" t="s">
        <v>3370</v>
      </c>
      <c r="C16720">
        <v>374</v>
      </c>
      <c r="D16720">
        <v>467</v>
      </c>
      <c r="E16720">
        <v>1577177912</v>
      </c>
      <c r="F16720">
        <v>26</v>
      </c>
      <c r="G16720">
        <v>0</v>
      </c>
      <c r="H16720" t="s">
        <v>21557</v>
      </c>
      <c r="I16720">
        <v>19002</v>
      </c>
      <c r="J16720" t="str">
        <f>VLOOKUP(E16720,DSSpieler!A:B,2,FALSE)</f>
        <v>Akkarsy</v>
      </c>
    </row>
    <row r="16721" spans="1:10" x14ac:dyDescent="0.25">
      <c r="A16721">
        <v>19004</v>
      </c>
      <c r="B16721" t="s">
        <v>3371</v>
      </c>
      <c r="C16721">
        <v>400</v>
      </c>
      <c r="D16721">
        <v>417</v>
      </c>
      <c r="E16721">
        <v>1577199068</v>
      </c>
      <c r="F16721">
        <v>26</v>
      </c>
      <c r="G16721">
        <v>0</v>
      </c>
      <c r="H16721" t="s">
        <v>21558</v>
      </c>
      <c r="I16721">
        <v>19004</v>
      </c>
      <c r="J16721" t="str">
        <f>VLOOKUP(E16721,DSSpieler!A:B,2,FALSE)</f>
        <v>Rutkarfolleksnattak</v>
      </c>
    </row>
    <row r="16722" spans="1:10" x14ac:dyDescent="0.25">
      <c r="A16722">
        <v>19005</v>
      </c>
      <c r="B16722" t="s">
        <v>3372</v>
      </c>
      <c r="C16722">
        <v>368</v>
      </c>
      <c r="D16722">
        <v>490</v>
      </c>
      <c r="E16722">
        <v>8664507</v>
      </c>
      <c r="F16722">
        <v>26</v>
      </c>
      <c r="G16722">
        <v>0</v>
      </c>
      <c r="H16722" t="s">
        <v>21559</v>
      </c>
      <c r="I16722">
        <v>19005</v>
      </c>
      <c r="J16722" t="str">
        <f>VLOOKUP(E16722,DSSpieler!A:B,2,FALSE)</f>
        <v>spataner33</v>
      </c>
    </row>
    <row r="16723" spans="1:10" x14ac:dyDescent="0.25">
      <c r="A16723">
        <v>19006</v>
      </c>
      <c r="B16723" t="s">
        <v>3373</v>
      </c>
      <c r="C16723">
        <v>585</v>
      </c>
      <c r="D16723">
        <v>406</v>
      </c>
      <c r="E16723">
        <v>1577197963</v>
      </c>
      <c r="F16723">
        <v>26</v>
      </c>
      <c r="G16723">
        <v>0</v>
      </c>
      <c r="H16723" t="s">
        <v>21560</v>
      </c>
      <c r="I16723">
        <v>19006</v>
      </c>
      <c r="J16723" t="str">
        <f>VLOOKUP(E16723,DSSpieler!A:B,2,FALSE)</f>
        <v>brimstone12</v>
      </c>
    </row>
    <row r="16724" spans="1:10" x14ac:dyDescent="0.25">
      <c r="A16724">
        <v>19007</v>
      </c>
      <c r="B16724" t="s">
        <v>1630</v>
      </c>
      <c r="C16724">
        <v>456</v>
      </c>
      <c r="D16724">
        <v>554</v>
      </c>
      <c r="E16724">
        <v>1858027</v>
      </c>
      <c r="F16724">
        <v>718</v>
      </c>
      <c r="G16724">
        <v>0</v>
      </c>
      <c r="H16724" t="s">
        <v>21561</v>
      </c>
      <c r="I16724">
        <v>19007</v>
      </c>
      <c r="J16724" t="str">
        <f>VLOOKUP(E16724,DSSpieler!A:B,2,FALSE)</f>
        <v>andreas4444</v>
      </c>
    </row>
    <row r="16725" spans="1:10" x14ac:dyDescent="0.25">
      <c r="A16725">
        <v>19009</v>
      </c>
      <c r="B16725" t="s">
        <v>1052</v>
      </c>
      <c r="C16725">
        <v>599</v>
      </c>
      <c r="D16725">
        <v>580</v>
      </c>
      <c r="E16725">
        <v>1779177</v>
      </c>
      <c r="F16725">
        <v>1240</v>
      </c>
      <c r="G16725">
        <v>0</v>
      </c>
      <c r="H16725" t="s">
        <v>21562</v>
      </c>
      <c r="I16725">
        <v>19009</v>
      </c>
      <c r="J16725" t="str">
        <f>VLOOKUP(E16725,DSSpieler!A:B,2,FALSE)</f>
        <v>Sniperkill 001</v>
      </c>
    </row>
    <row r="16726" spans="1:10" x14ac:dyDescent="0.25">
      <c r="A16726">
        <v>19011</v>
      </c>
      <c r="B16726" t="s">
        <v>531</v>
      </c>
      <c r="C16726">
        <v>384</v>
      </c>
      <c r="D16726">
        <v>564</v>
      </c>
      <c r="E16726">
        <v>0</v>
      </c>
      <c r="F16726">
        <v>92</v>
      </c>
      <c r="G16726">
        <v>0</v>
      </c>
      <c r="H16726" t="s">
        <v>21563</v>
      </c>
      <c r="I16726">
        <v>19011</v>
      </c>
      <c r="J16726" t="e">
        <f>VLOOKUP(E16726,DSSpieler!A:B,2,FALSE)</f>
        <v>#N/A</v>
      </c>
    </row>
    <row r="16727" spans="1:10" x14ac:dyDescent="0.25">
      <c r="A16727">
        <v>19012</v>
      </c>
      <c r="B16727" t="s">
        <v>3374</v>
      </c>
      <c r="C16727">
        <v>534</v>
      </c>
      <c r="D16727">
        <v>624</v>
      </c>
      <c r="E16727">
        <v>9499570</v>
      </c>
      <c r="F16727">
        <v>898</v>
      </c>
      <c r="G16727">
        <v>0</v>
      </c>
      <c r="H16727" t="s">
        <v>21564</v>
      </c>
      <c r="I16727">
        <v>19012</v>
      </c>
      <c r="J16727" t="str">
        <f>VLOOKUP(E16727,DSSpieler!A:B,2,FALSE)</f>
        <v>Leffekopp</v>
      </c>
    </row>
    <row r="16728" spans="1:10" x14ac:dyDescent="0.25">
      <c r="A16728">
        <v>19013</v>
      </c>
      <c r="B16728" t="s">
        <v>3375</v>
      </c>
      <c r="C16728">
        <v>368</v>
      </c>
      <c r="D16728">
        <v>508</v>
      </c>
      <c r="E16728">
        <v>1577090633</v>
      </c>
      <c r="F16728">
        <v>38</v>
      </c>
      <c r="G16728">
        <v>0</v>
      </c>
      <c r="H16728" t="s">
        <v>21565</v>
      </c>
      <c r="I16728">
        <v>19013</v>
      </c>
      <c r="J16728" t="str">
        <f>VLOOKUP(E16728,DSSpieler!A:B,2,FALSE)</f>
        <v>Fida</v>
      </c>
    </row>
    <row r="16729" spans="1:10" x14ac:dyDescent="0.25">
      <c r="A16729">
        <v>19014</v>
      </c>
      <c r="B16729" t="s">
        <v>3376</v>
      </c>
      <c r="C16729">
        <v>611</v>
      </c>
      <c r="D16729">
        <v>570</v>
      </c>
      <c r="E16729">
        <v>10127263</v>
      </c>
      <c r="F16729">
        <v>26</v>
      </c>
      <c r="G16729">
        <v>0</v>
      </c>
      <c r="H16729" t="s">
        <v>21566</v>
      </c>
      <c r="I16729">
        <v>19014</v>
      </c>
      <c r="J16729" t="str">
        <f>VLOOKUP(E16729,DSSpieler!A:B,2,FALSE)</f>
        <v>666Jesus666</v>
      </c>
    </row>
    <row r="16730" spans="1:10" x14ac:dyDescent="0.25">
      <c r="A16730">
        <v>19015</v>
      </c>
      <c r="B16730" t="s">
        <v>35664</v>
      </c>
      <c r="C16730">
        <v>378</v>
      </c>
      <c r="D16730">
        <v>542</v>
      </c>
      <c r="E16730">
        <v>1577207065</v>
      </c>
      <c r="F16730">
        <v>779</v>
      </c>
      <c r="G16730">
        <v>0</v>
      </c>
      <c r="H16730" t="s">
        <v>21567</v>
      </c>
      <c r="I16730">
        <v>19015</v>
      </c>
      <c r="J16730" t="str">
        <f>VLOOKUP(E16730,DSSpieler!A:B,2,FALSE)</f>
        <v>Blacky26</v>
      </c>
    </row>
    <row r="16731" spans="1:10" x14ac:dyDescent="0.25">
      <c r="A16731">
        <v>19017</v>
      </c>
      <c r="B16731" t="s">
        <v>3377</v>
      </c>
      <c r="C16731">
        <v>522</v>
      </c>
      <c r="D16731">
        <v>373</v>
      </c>
      <c r="E16731">
        <v>1577205033</v>
      </c>
      <c r="F16731">
        <v>522</v>
      </c>
      <c r="G16731">
        <v>0</v>
      </c>
      <c r="H16731" t="s">
        <v>21568</v>
      </c>
      <c r="I16731">
        <v>19017</v>
      </c>
      <c r="J16731" t="str">
        <f>VLOOKUP(E16731,DSSpieler!A:B,2,FALSE)</f>
        <v>AceKobra</v>
      </c>
    </row>
    <row r="16732" spans="1:10" x14ac:dyDescent="0.25">
      <c r="A16732">
        <v>19018</v>
      </c>
      <c r="B16732" t="s">
        <v>531</v>
      </c>
      <c r="C16732">
        <v>383</v>
      </c>
      <c r="D16732">
        <v>439</v>
      </c>
      <c r="E16732">
        <v>0</v>
      </c>
      <c r="F16732">
        <v>88</v>
      </c>
      <c r="G16732">
        <v>0</v>
      </c>
      <c r="H16732" t="s">
        <v>21569</v>
      </c>
      <c r="I16732">
        <v>19018</v>
      </c>
      <c r="J16732" t="e">
        <f>VLOOKUP(E16732,DSSpieler!A:B,2,FALSE)</f>
        <v>#N/A</v>
      </c>
    </row>
    <row r="16733" spans="1:10" x14ac:dyDescent="0.25">
      <c r="A16733">
        <v>19019</v>
      </c>
      <c r="B16733" t="s">
        <v>3378</v>
      </c>
      <c r="C16733">
        <v>372</v>
      </c>
      <c r="D16733">
        <v>523</v>
      </c>
      <c r="E16733">
        <v>1576741439</v>
      </c>
      <c r="F16733">
        <v>185</v>
      </c>
      <c r="G16733">
        <v>0</v>
      </c>
      <c r="H16733" t="s">
        <v>21570</v>
      </c>
      <c r="I16733">
        <v>19019</v>
      </c>
      <c r="J16733" t="str">
        <f>VLOOKUP(E16733,DSSpieler!A:B,2,FALSE)</f>
        <v>Bela99</v>
      </c>
    </row>
    <row r="16734" spans="1:10" x14ac:dyDescent="0.25">
      <c r="A16734">
        <v>19020</v>
      </c>
      <c r="B16734" t="s">
        <v>3379</v>
      </c>
      <c r="C16734">
        <v>439</v>
      </c>
      <c r="D16734">
        <v>383</v>
      </c>
      <c r="E16734">
        <v>1577003082</v>
      </c>
      <c r="F16734">
        <v>38</v>
      </c>
      <c r="G16734">
        <v>0</v>
      </c>
      <c r="H16734" t="s">
        <v>21571</v>
      </c>
      <c r="I16734">
        <v>19020</v>
      </c>
      <c r="J16734" t="str">
        <f>VLOOKUP(E16734,DSSpieler!A:B,2,FALSE)</f>
        <v>bomb3r</v>
      </c>
    </row>
    <row r="16735" spans="1:10" x14ac:dyDescent="0.25">
      <c r="A16735">
        <v>19021</v>
      </c>
      <c r="B16735" t="s">
        <v>3380</v>
      </c>
      <c r="C16735">
        <v>411</v>
      </c>
      <c r="D16735">
        <v>599</v>
      </c>
      <c r="E16735">
        <v>1577017665</v>
      </c>
      <c r="F16735">
        <v>1088</v>
      </c>
      <c r="G16735">
        <v>0</v>
      </c>
      <c r="H16735" t="s">
        <v>21572</v>
      </c>
      <c r="I16735">
        <v>19021</v>
      </c>
      <c r="J16735" t="str">
        <f>VLOOKUP(E16735,DSSpieler!A:B,2,FALSE)</f>
        <v>Melvinus71</v>
      </c>
    </row>
    <row r="16736" spans="1:10" x14ac:dyDescent="0.25">
      <c r="A16736">
        <v>19023</v>
      </c>
      <c r="B16736" t="s">
        <v>31308</v>
      </c>
      <c r="C16736">
        <v>435</v>
      </c>
      <c r="D16736">
        <v>564</v>
      </c>
      <c r="E16736">
        <v>2925704</v>
      </c>
      <c r="F16736">
        <v>1721</v>
      </c>
      <c r="G16736">
        <v>0</v>
      </c>
      <c r="H16736" t="s">
        <v>21573</v>
      </c>
      <c r="I16736">
        <v>19023</v>
      </c>
      <c r="J16736" t="str">
        <f>VLOOKUP(E16736,DSSpieler!A:B,2,FALSE)</f>
        <v>RussischerPlayer</v>
      </c>
    </row>
    <row r="16737" spans="1:10" x14ac:dyDescent="0.25">
      <c r="A16737">
        <v>19024</v>
      </c>
      <c r="B16737" t="s">
        <v>3381</v>
      </c>
      <c r="C16737">
        <v>456</v>
      </c>
      <c r="D16737">
        <v>380</v>
      </c>
      <c r="E16737">
        <v>9789222</v>
      </c>
      <c r="F16737">
        <v>26</v>
      </c>
      <c r="G16737">
        <v>0</v>
      </c>
      <c r="H16737" t="s">
        <v>21574</v>
      </c>
      <c r="I16737">
        <v>19024</v>
      </c>
      <c r="J16737" t="str">
        <f>VLOOKUP(E16737,DSSpieler!A:B,2,FALSE)</f>
        <v>Mateo1</v>
      </c>
    </row>
    <row r="16738" spans="1:10" x14ac:dyDescent="0.25">
      <c r="A16738">
        <v>19025</v>
      </c>
      <c r="B16738">
        <v>1</v>
      </c>
      <c r="C16738">
        <v>377</v>
      </c>
      <c r="D16738">
        <v>550</v>
      </c>
      <c r="E16738">
        <v>1576756439</v>
      </c>
      <c r="F16738">
        <v>1236</v>
      </c>
      <c r="G16738">
        <v>0</v>
      </c>
      <c r="H16738" t="s">
        <v>21575</v>
      </c>
      <c r="I16738">
        <v>19025</v>
      </c>
      <c r="J16738" t="str">
        <f>VLOOKUP(E16738,DSSpieler!A:B,2,FALSE)</f>
        <v>DerAusL4ndeR</v>
      </c>
    </row>
    <row r="16739" spans="1:10" x14ac:dyDescent="0.25">
      <c r="A16739">
        <v>19026</v>
      </c>
      <c r="B16739" t="s">
        <v>3382</v>
      </c>
      <c r="C16739">
        <v>627</v>
      </c>
      <c r="D16739">
        <v>509</v>
      </c>
      <c r="E16739">
        <v>1576076024</v>
      </c>
      <c r="F16739">
        <v>52</v>
      </c>
      <c r="G16739">
        <v>0</v>
      </c>
      <c r="H16739" t="s">
        <v>21576</v>
      </c>
      <c r="I16739">
        <v>19026</v>
      </c>
      <c r="J16739" t="str">
        <f>VLOOKUP(E16739,DSSpieler!A:B,2,FALSE)</f>
        <v>bofrost9000</v>
      </c>
    </row>
    <row r="16740" spans="1:10" x14ac:dyDescent="0.25">
      <c r="A16740">
        <v>19027</v>
      </c>
      <c r="B16740" t="s">
        <v>35665</v>
      </c>
      <c r="C16740">
        <v>556</v>
      </c>
      <c r="D16740">
        <v>586</v>
      </c>
      <c r="E16740">
        <v>1576721973</v>
      </c>
      <c r="F16740">
        <v>1160</v>
      </c>
      <c r="G16740">
        <v>0</v>
      </c>
      <c r="H16740" t="s">
        <v>21577</v>
      </c>
      <c r="I16740">
        <v>19027</v>
      </c>
      <c r="J16740" t="str">
        <f>VLOOKUP(E16740,DSSpieler!A:B,2,FALSE)</f>
        <v>Absoluter Diplomatierer</v>
      </c>
    </row>
    <row r="16741" spans="1:10" x14ac:dyDescent="0.25">
      <c r="A16741">
        <v>19028</v>
      </c>
      <c r="B16741" t="s">
        <v>531</v>
      </c>
      <c r="C16741">
        <v>541</v>
      </c>
      <c r="D16741">
        <v>374</v>
      </c>
      <c r="E16741">
        <v>0</v>
      </c>
      <c r="F16741">
        <v>94</v>
      </c>
      <c r="G16741">
        <v>0</v>
      </c>
      <c r="H16741" t="s">
        <v>21578</v>
      </c>
      <c r="I16741">
        <v>19028</v>
      </c>
      <c r="J16741" t="e">
        <f>VLOOKUP(E16741,DSSpieler!A:B,2,FALSE)</f>
        <v>#N/A</v>
      </c>
    </row>
    <row r="16742" spans="1:10" x14ac:dyDescent="0.25">
      <c r="A16742">
        <v>19029</v>
      </c>
      <c r="B16742" t="s">
        <v>3383</v>
      </c>
      <c r="C16742">
        <v>623</v>
      </c>
      <c r="D16742">
        <v>538</v>
      </c>
      <c r="E16742">
        <v>1577191728</v>
      </c>
      <c r="F16742">
        <v>901</v>
      </c>
      <c r="G16742">
        <v>0</v>
      </c>
      <c r="H16742" t="s">
        <v>21579</v>
      </c>
      <c r="I16742">
        <v>19029</v>
      </c>
      <c r="J16742" t="str">
        <f>VLOOKUP(E16742,DSSpieler!A:B,2,FALSE)</f>
        <v>Throgen</v>
      </c>
    </row>
    <row r="16743" spans="1:10" x14ac:dyDescent="0.25">
      <c r="A16743">
        <v>19030</v>
      </c>
      <c r="B16743" t="s">
        <v>3384</v>
      </c>
      <c r="C16743">
        <v>536</v>
      </c>
      <c r="D16743">
        <v>606</v>
      </c>
      <c r="E16743">
        <v>1577186574</v>
      </c>
      <c r="F16743">
        <v>1117</v>
      </c>
      <c r="G16743">
        <v>0</v>
      </c>
      <c r="H16743" t="s">
        <v>21580</v>
      </c>
      <c r="I16743">
        <v>19030</v>
      </c>
      <c r="J16743" t="str">
        <f>VLOOKUP(E16743,DSSpieler!A:B,2,FALSE)</f>
        <v>lucinator3000</v>
      </c>
    </row>
    <row r="16744" spans="1:10" x14ac:dyDescent="0.25">
      <c r="A16744">
        <v>19031</v>
      </c>
      <c r="B16744" t="s">
        <v>3385</v>
      </c>
      <c r="C16744">
        <v>489</v>
      </c>
      <c r="D16744">
        <v>369</v>
      </c>
      <c r="E16744">
        <v>620631</v>
      </c>
      <c r="F16744">
        <v>26</v>
      </c>
      <c r="G16744">
        <v>0</v>
      </c>
      <c r="H16744" t="s">
        <v>21581</v>
      </c>
      <c r="I16744">
        <v>19031</v>
      </c>
      <c r="J16744" t="str">
        <f>VLOOKUP(E16744,DSSpieler!A:B,2,FALSE)</f>
        <v>--Kla%24%24--</v>
      </c>
    </row>
    <row r="16745" spans="1:10" x14ac:dyDescent="0.25">
      <c r="A16745">
        <v>19032</v>
      </c>
      <c r="B16745" t="s">
        <v>3386</v>
      </c>
      <c r="C16745">
        <v>572</v>
      </c>
      <c r="D16745">
        <v>392</v>
      </c>
      <c r="E16745">
        <v>1577061920</v>
      </c>
      <c r="F16745">
        <v>781</v>
      </c>
      <c r="G16745">
        <v>0</v>
      </c>
      <c r="H16745" t="s">
        <v>21582</v>
      </c>
      <c r="I16745">
        <v>19032</v>
      </c>
      <c r="J16745" t="str">
        <f>VLOOKUP(E16745,DSSpieler!A:B,2,FALSE)</f>
        <v>Chimpator1395</v>
      </c>
    </row>
    <row r="16746" spans="1:10" x14ac:dyDescent="0.25">
      <c r="A16746">
        <v>19033</v>
      </c>
      <c r="B16746" t="s">
        <v>531</v>
      </c>
      <c r="C16746">
        <v>374</v>
      </c>
      <c r="D16746">
        <v>537</v>
      </c>
      <c r="E16746">
        <v>0</v>
      </c>
      <c r="F16746">
        <v>93</v>
      </c>
      <c r="G16746">
        <v>0</v>
      </c>
      <c r="H16746" t="s">
        <v>21583</v>
      </c>
      <c r="I16746">
        <v>19033</v>
      </c>
      <c r="J16746" t="e">
        <f>VLOOKUP(E16746,DSSpieler!A:B,2,FALSE)</f>
        <v>#N/A</v>
      </c>
    </row>
    <row r="16747" spans="1:10" x14ac:dyDescent="0.25">
      <c r="A16747">
        <v>19034</v>
      </c>
      <c r="B16747" t="s">
        <v>3387</v>
      </c>
      <c r="C16747">
        <v>625</v>
      </c>
      <c r="D16747">
        <v>532</v>
      </c>
      <c r="E16747">
        <v>1577191625</v>
      </c>
      <c r="F16747">
        <v>338</v>
      </c>
      <c r="G16747">
        <v>0</v>
      </c>
      <c r="H16747" t="s">
        <v>21584</v>
      </c>
      <c r="I16747">
        <v>19034</v>
      </c>
      <c r="J16747" t="str">
        <f>VLOOKUP(E16747,DSSpieler!A:B,2,FALSE)</f>
        <v>RocketJack</v>
      </c>
    </row>
    <row r="16748" spans="1:10" x14ac:dyDescent="0.25">
      <c r="A16748">
        <v>19035</v>
      </c>
      <c r="B16748" t="s">
        <v>3388</v>
      </c>
      <c r="C16748">
        <v>624</v>
      </c>
      <c r="D16748">
        <v>467</v>
      </c>
      <c r="E16748">
        <v>1577043523</v>
      </c>
      <c r="F16748">
        <v>845</v>
      </c>
      <c r="G16748">
        <v>0</v>
      </c>
      <c r="H16748" t="s">
        <v>21585</v>
      </c>
      <c r="I16748">
        <v>19035</v>
      </c>
      <c r="J16748" t="str">
        <f>VLOOKUP(E16748,DSSpieler!A:B,2,FALSE)</f>
        <v>teiko</v>
      </c>
    </row>
    <row r="16749" spans="1:10" x14ac:dyDescent="0.25">
      <c r="A16749">
        <v>19036</v>
      </c>
      <c r="B16749" t="s">
        <v>3389</v>
      </c>
      <c r="C16749">
        <v>547</v>
      </c>
      <c r="D16749">
        <v>622</v>
      </c>
      <c r="E16749">
        <v>8278372</v>
      </c>
      <c r="F16749">
        <v>455</v>
      </c>
      <c r="G16749">
        <v>0</v>
      </c>
      <c r="H16749" t="s">
        <v>21586</v>
      </c>
      <c r="I16749">
        <v>19036</v>
      </c>
      <c r="J16749" t="str">
        <f>VLOOKUP(E16749,DSSpieler!A:B,2,FALSE)</f>
        <v>Neodamonden</v>
      </c>
    </row>
    <row r="16750" spans="1:10" x14ac:dyDescent="0.25">
      <c r="A16750">
        <v>19038</v>
      </c>
      <c r="B16750" t="s">
        <v>1642</v>
      </c>
      <c r="C16750">
        <v>393</v>
      </c>
      <c r="D16750">
        <v>572</v>
      </c>
      <c r="E16750">
        <v>8828814</v>
      </c>
      <c r="F16750">
        <v>476</v>
      </c>
      <c r="G16750">
        <v>0</v>
      </c>
      <c r="H16750" t="s">
        <v>21587</v>
      </c>
      <c r="I16750">
        <v>19038</v>
      </c>
      <c r="J16750" t="str">
        <f>VLOOKUP(E16750,DSSpieler!A:B,2,FALSE)</f>
        <v>Meter2010</v>
      </c>
    </row>
    <row r="16751" spans="1:10" x14ac:dyDescent="0.25">
      <c r="A16751">
        <v>19039</v>
      </c>
      <c r="B16751" t="s">
        <v>3390</v>
      </c>
      <c r="C16751">
        <v>371</v>
      </c>
      <c r="D16751">
        <v>503</v>
      </c>
      <c r="E16751">
        <v>1211055</v>
      </c>
      <c r="F16751">
        <v>1203</v>
      </c>
      <c r="G16751">
        <v>0</v>
      </c>
      <c r="H16751" t="s">
        <v>21588</v>
      </c>
      <c r="I16751">
        <v>19039</v>
      </c>
      <c r="J16751" t="str">
        <f>VLOOKUP(E16751,DSSpieler!A:B,2,FALSE)</f>
        <v>Pumbah</v>
      </c>
    </row>
    <row r="16752" spans="1:10" x14ac:dyDescent="0.25">
      <c r="A16752">
        <v>19040</v>
      </c>
      <c r="B16752" t="s">
        <v>35666</v>
      </c>
      <c r="C16752">
        <v>518</v>
      </c>
      <c r="D16752">
        <v>395</v>
      </c>
      <c r="E16752">
        <v>2239128</v>
      </c>
      <c r="F16752">
        <v>1389</v>
      </c>
      <c r="G16752">
        <v>0</v>
      </c>
      <c r="H16752" t="s">
        <v>21589</v>
      </c>
      <c r="I16752">
        <v>19040</v>
      </c>
      <c r="J16752" t="str">
        <f>VLOOKUP(E16752,DSSpieler!A:B,2,FALSE)</f>
        <v>-Mine-</v>
      </c>
    </row>
    <row r="16753" spans="1:10" x14ac:dyDescent="0.25">
      <c r="A16753">
        <v>19041</v>
      </c>
      <c r="B16753" t="s">
        <v>531</v>
      </c>
      <c r="C16753">
        <v>566</v>
      </c>
      <c r="D16753">
        <v>611</v>
      </c>
      <c r="E16753">
        <v>0</v>
      </c>
      <c r="F16753">
        <v>124</v>
      </c>
      <c r="G16753">
        <v>0</v>
      </c>
      <c r="H16753" t="s">
        <v>21590</v>
      </c>
      <c r="I16753">
        <v>19041</v>
      </c>
      <c r="J16753" t="e">
        <f>VLOOKUP(E16753,DSSpieler!A:B,2,FALSE)</f>
        <v>#N/A</v>
      </c>
    </row>
    <row r="16754" spans="1:10" x14ac:dyDescent="0.25">
      <c r="A16754">
        <v>19042</v>
      </c>
      <c r="B16754" t="s">
        <v>3391</v>
      </c>
      <c r="C16754">
        <v>532</v>
      </c>
      <c r="D16754">
        <v>372</v>
      </c>
      <c r="E16754">
        <v>1577207107</v>
      </c>
      <c r="F16754">
        <v>72</v>
      </c>
      <c r="G16754">
        <v>0</v>
      </c>
      <c r="H16754" t="s">
        <v>21591</v>
      </c>
      <c r="I16754">
        <v>19042</v>
      </c>
      <c r="J16754" t="str">
        <f>VLOOKUP(E16754,DSSpieler!A:B,2,FALSE)</f>
        <v>TerrorErni</v>
      </c>
    </row>
    <row r="16755" spans="1:10" x14ac:dyDescent="0.25">
      <c r="A16755">
        <v>19044</v>
      </c>
      <c r="B16755" t="s">
        <v>3392</v>
      </c>
      <c r="C16755">
        <v>443</v>
      </c>
      <c r="D16755">
        <v>382</v>
      </c>
      <c r="E16755">
        <v>7996577</v>
      </c>
      <c r="F16755">
        <v>26</v>
      </c>
      <c r="G16755">
        <v>0</v>
      </c>
      <c r="H16755" t="s">
        <v>21592</v>
      </c>
      <c r="I16755">
        <v>19044</v>
      </c>
      <c r="J16755" t="str">
        <f>VLOOKUP(E16755,DSSpieler!A:B,2,FALSE)</f>
        <v>GUMPI97</v>
      </c>
    </row>
    <row r="16756" spans="1:10" x14ac:dyDescent="0.25">
      <c r="A16756">
        <v>19048</v>
      </c>
      <c r="B16756" t="s">
        <v>3393</v>
      </c>
      <c r="C16756">
        <v>564</v>
      </c>
      <c r="D16756">
        <v>389</v>
      </c>
      <c r="E16756">
        <v>1577199934</v>
      </c>
      <c r="F16756">
        <v>26</v>
      </c>
      <c r="G16756">
        <v>0</v>
      </c>
      <c r="H16756" t="s">
        <v>21593</v>
      </c>
      <c r="I16756">
        <v>19048</v>
      </c>
      <c r="J16756" t="str">
        <f>VLOOKUP(E16756,DSSpieler!A:B,2,FALSE)</f>
        <v>Babarendave1</v>
      </c>
    </row>
    <row r="16757" spans="1:10" x14ac:dyDescent="0.25">
      <c r="A16757">
        <v>19049</v>
      </c>
      <c r="B16757" t="s">
        <v>3394</v>
      </c>
      <c r="C16757">
        <v>530</v>
      </c>
      <c r="D16757">
        <v>374</v>
      </c>
      <c r="E16757">
        <v>1576875068</v>
      </c>
      <c r="F16757">
        <v>201</v>
      </c>
      <c r="G16757">
        <v>0</v>
      </c>
      <c r="H16757" t="s">
        <v>21594</v>
      </c>
      <c r="I16757">
        <v>19049</v>
      </c>
      <c r="J16757" t="str">
        <f>VLOOKUP(E16757,DSSpieler!A:B,2,FALSE)</f>
        <v>sillex3</v>
      </c>
    </row>
    <row r="16758" spans="1:10" x14ac:dyDescent="0.25">
      <c r="A16758">
        <v>19050</v>
      </c>
      <c r="B16758" t="s">
        <v>3395</v>
      </c>
      <c r="C16758">
        <v>514</v>
      </c>
      <c r="D16758">
        <v>371</v>
      </c>
      <c r="E16758">
        <v>9369272</v>
      </c>
      <c r="F16758">
        <v>1228</v>
      </c>
      <c r="G16758">
        <v>0</v>
      </c>
      <c r="H16758" t="s">
        <v>21595</v>
      </c>
      <c r="I16758">
        <v>19050</v>
      </c>
      <c r="J16758" t="str">
        <f>VLOOKUP(E16758,DSSpieler!A:B,2,FALSE)</f>
        <v>PinoArt</v>
      </c>
    </row>
    <row r="16759" spans="1:10" x14ac:dyDescent="0.25">
      <c r="A16759">
        <v>19053</v>
      </c>
      <c r="B16759" t="s">
        <v>531</v>
      </c>
      <c r="C16759">
        <v>537</v>
      </c>
      <c r="D16759">
        <v>376</v>
      </c>
      <c r="E16759">
        <v>0</v>
      </c>
      <c r="F16759">
        <v>63</v>
      </c>
      <c r="G16759">
        <v>0</v>
      </c>
      <c r="H16759" t="s">
        <v>21596</v>
      </c>
      <c r="I16759">
        <v>19053</v>
      </c>
      <c r="J16759" t="e">
        <f>VLOOKUP(E16759,DSSpieler!A:B,2,FALSE)</f>
        <v>#N/A</v>
      </c>
    </row>
    <row r="16760" spans="1:10" x14ac:dyDescent="0.25">
      <c r="A16760">
        <v>19054</v>
      </c>
      <c r="B16760" t="s">
        <v>3396</v>
      </c>
      <c r="C16760">
        <v>448</v>
      </c>
      <c r="D16760">
        <v>620</v>
      </c>
      <c r="E16760">
        <v>7880401</v>
      </c>
      <c r="F16760">
        <v>538</v>
      </c>
      <c r="G16760">
        <v>0</v>
      </c>
      <c r="H16760" t="s">
        <v>21597</v>
      </c>
      <c r="I16760">
        <v>19054</v>
      </c>
      <c r="J16760" t="str">
        <f>VLOOKUP(E16760,DSSpieler!A:B,2,FALSE)</f>
        <v>Fürst Musashi</v>
      </c>
    </row>
    <row r="16761" spans="1:10" x14ac:dyDescent="0.25">
      <c r="A16761">
        <v>19055</v>
      </c>
      <c r="B16761" t="s">
        <v>3397</v>
      </c>
      <c r="C16761">
        <v>423</v>
      </c>
      <c r="D16761">
        <v>604</v>
      </c>
      <c r="E16761">
        <v>2843088</v>
      </c>
      <c r="F16761">
        <v>26</v>
      </c>
      <c r="G16761">
        <v>0</v>
      </c>
      <c r="H16761" t="s">
        <v>21598</v>
      </c>
      <c r="I16761">
        <v>19055</v>
      </c>
      <c r="J16761" t="str">
        <f>VLOOKUP(E16761,DSSpieler!A:B,2,FALSE)</f>
        <v>FeTTa LaPPn</v>
      </c>
    </row>
    <row r="16762" spans="1:10" x14ac:dyDescent="0.25">
      <c r="A16762">
        <v>19056</v>
      </c>
      <c r="B16762" t="s">
        <v>3398</v>
      </c>
      <c r="C16762">
        <v>564</v>
      </c>
      <c r="D16762">
        <v>425</v>
      </c>
      <c r="E16762">
        <v>1577185611</v>
      </c>
      <c r="F16762">
        <v>456</v>
      </c>
      <c r="G16762">
        <v>0</v>
      </c>
      <c r="H16762" t="s">
        <v>21599</v>
      </c>
      <c r="I16762">
        <v>19056</v>
      </c>
      <c r="J16762" t="str">
        <f>VLOOKUP(E16762,DSSpieler!A:B,2,FALSE)</f>
        <v>Setarkos</v>
      </c>
    </row>
    <row r="16763" spans="1:10" x14ac:dyDescent="0.25">
      <c r="A16763">
        <v>19057</v>
      </c>
      <c r="B16763" t="s">
        <v>3399</v>
      </c>
      <c r="C16763">
        <v>450</v>
      </c>
      <c r="D16763">
        <v>380</v>
      </c>
      <c r="E16763">
        <v>1576951187</v>
      </c>
      <c r="F16763">
        <v>432</v>
      </c>
      <c r="G16763">
        <v>0</v>
      </c>
      <c r="H16763" t="s">
        <v>21600</v>
      </c>
      <c r="I16763">
        <v>19057</v>
      </c>
      <c r="J16763" t="str">
        <f>VLOOKUP(E16763,DSSpieler!A:B,2,FALSE)</f>
        <v>DontGetUpset</v>
      </c>
    </row>
    <row r="16764" spans="1:10" x14ac:dyDescent="0.25">
      <c r="A16764">
        <v>19058</v>
      </c>
      <c r="B16764" t="s">
        <v>150</v>
      </c>
      <c r="C16764">
        <v>458</v>
      </c>
      <c r="D16764">
        <v>627</v>
      </c>
      <c r="E16764">
        <v>10138043</v>
      </c>
      <c r="F16764">
        <v>1151</v>
      </c>
      <c r="G16764">
        <v>0</v>
      </c>
      <c r="H16764" t="s">
        <v>21601</v>
      </c>
      <c r="I16764">
        <v>19058</v>
      </c>
      <c r="J16764" t="str">
        <f>VLOOKUP(E16764,DSSpieler!A:B,2,FALSE)</f>
        <v>zu Eckstädt</v>
      </c>
    </row>
    <row r="16765" spans="1:10" x14ac:dyDescent="0.25">
      <c r="A16765">
        <v>19059</v>
      </c>
      <c r="B16765" t="s">
        <v>3400</v>
      </c>
      <c r="C16765">
        <v>575</v>
      </c>
      <c r="D16765">
        <v>506</v>
      </c>
      <c r="E16765">
        <v>1577175619</v>
      </c>
      <c r="F16765">
        <v>26</v>
      </c>
      <c r="G16765">
        <v>0</v>
      </c>
      <c r="H16765" t="s">
        <v>21602</v>
      </c>
      <c r="I16765">
        <v>19059</v>
      </c>
      <c r="J16765" t="str">
        <f>VLOOKUP(E16765,DSSpieler!A:B,2,FALSE)</f>
        <v>AurVel</v>
      </c>
    </row>
    <row r="16766" spans="1:10" x14ac:dyDescent="0.25">
      <c r="A16766">
        <v>19060</v>
      </c>
      <c r="B16766">
        <v>777</v>
      </c>
      <c r="C16766">
        <v>390</v>
      </c>
      <c r="D16766">
        <v>568</v>
      </c>
      <c r="E16766">
        <v>1577045342</v>
      </c>
      <c r="F16766">
        <v>536</v>
      </c>
      <c r="G16766">
        <v>0</v>
      </c>
      <c r="H16766" t="s">
        <v>21603</v>
      </c>
      <c r="I16766">
        <v>19060</v>
      </c>
      <c r="J16766" t="str">
        <f>VLOOKUP(E16766,DSSpieler!A:B,2,FALSE)</f>
        <v>william008</v>
      </c>
    </row>
    <row r="16767" spans="1:10" x14ac:dyDescent="0.25">
      <c r="A16767">
        <v>19061</v>
      </c>
      <c r="B16767" t="s">
        <v>531</v>
      </c>
      <c r="C16767">
        <v>448</v>
      </c>
      <c r="D16767">
        <v>616</v>
      </c>
      <c r="E16767">
        <v>0</v>
      </c>
      <c r="F16767">
        <v>92</v>
      </c>
      <c r="G16767">
        <v>0</v>
      </c>
      <c r="H16767" t="s">
        <v>21604</v>
      </c>
      <c r="I16767">
        <v>19061</v>
      </c>
      <c r="J16767" t="e">
        <f>VLOOKUP(E16767,DSSpieler!A:B,2,FALSE)</f>
        <v>#N/A</v>
      </c>
    </row>
    <row r="16768" spans="1:10" x14ac:dyDescent="0.25">
      <c r="A16768">
        <v>19064</v>
      </c>
      <c r="B16768" t="s">
        <v>1815</v>
      </c>
      <c r="C16768">
        <v>513</v>
      </c>
      <c r="D16768">
        <v>404</v>
      </c>
      <c r="E16768">
        <v>9637025</v>
      </c>
      <c r="F16768">
        <v>1641</v>
      </c>
      <c r="G16768">
        <v>0</v>
      </c>
      <c r="H16768" t="s">
        <v>21605</v>
      </c>
      <c r="I16768">
        <v>19064</v>
      </c>
      <c r="J16768" t="str">
        <f>VLOOKUP(E16768,DSSpieler!A:B,2,FALSE)</f>
        <v>Ninkasi</v>
      </c>
    </row>
    <row r="16769" spans="1:10" x14ac:dyDescent="0.25">
      <c r="A16769">
        <v>19065</v>
      </c>
      <c r="B16769" t="s">
        <v>3401</v>
      </c>
      <c r="C16769">
        <v>439</v>
      </c>
      <c r="D16769">
        <v>388</v>
      </c>
      <c r="E16769">
        <v>1577171042</v>
      </c>
      <c r="F16769">
        <v>1041</v>
      </c>
      <c r="G16769">
        <v>0</v>
      </c>
      <c r="H16769" t="s">
        <v>21606</v>
      </c>
      <c r="I16769">
        <v>19065</v>
      </c>
      <c r="J16769" t="str">
        <f>VLOOKUP(E16769,DSSpieler!A:B,2,FALSE)</f>
        <v>Darren-Shan</v>
      </c>
    </row>
    <row r="16770" spans="1:10" x14ac:dyDescent="0.25">
      <c r="A16770">
        <v>19066</v>
      </c>
      <c r="B16770" t="s">
        <v>531</v>
      </c>
      <c r="C16770">
        <v>574</v>
      </c>
      <c r="D16770">
        <v>395</v>
      </c>
      <c r="E16770">
        <v>0</v>
      </c>
      <c r="F16770">
        <v>111</v>
      </c>
      <c r="G16770">
        <v>0</v>
      </c>
      <c r="H16770" t="s">
        <v>21607</v>
      </c>
      <c r="I16770">
        <v>19066</v>
      </c>
      <c r="J16770" t="e">
        <f>VLOOKUP(E16770,DSSpieler!A:B,2,FALSE)</f>
        <v>#N/A</v>
      </c>
    </row>
    <row r="16771" spans="1:10" x14ac:dyDescent="0.25">
      <c r="A16771">
        <v>19067</v>
      </c>
      <c r="B16771" t="s">
        <v>3402</v>
      </c>
      <c r="C16771">
        <v>608</v>
      </c>
      <c r="D16771">
        <v>429</v>
      </c>
      <c r="E16771">
        <v>9841270</v>
      </c>
      <c r="F16771">
        <v>642</v>
      </c>
      <c r="G16771">
        <v>0</v>
      </c>
      <c r="H16771" t="s">
        <v>21608</v>
      </c>
      <c r="I16771">
        <v>19067</v>
      </c>
      <c r="J16771" t="str">
        <f>VLOOKUP(E16771,DSSpieler!A:B,2,FALSE)</f>
        <v>EkoCobra</v>
      </c>
    </row>
    <row r="16772" spans="1:10" x14ac:dyDescent="0.25">
      <c r="A16772">
        <v>19068</v>
      </c>
      <c r="B16772" t="s">
        <v>3403</v>
      </c>
      <c r="C16772">
        <v>607</v>
      </c>
      <c r="D16772">
        <v>422</v>
      </c>
      <c r="E16772">
        <v>1577207081</v>
      </c>
      <c r="F16772">
        <v>1317</v>
      </c>
      <c r="G16772">
        <v>0</v>
      </c>
      <c r="H16772" t="s">
        <v>21609</v>
      </c>
      <c r="I16772">
        <v>19068</v>
      </c>
      <c r="J16772" t="str">
        <f>VLOOKUP(E16772,DSSpieler!A:B,2,FALSE)</f>
        <v>Roubey</v>
      </c>
    </row>
    <row r="16773" spans="1:10" x14ac:dyDescent="0.25">
      <c r="A16773">
        <v>19069</v>
      </c>
      <c r="B16773" t="s">
        <v>35667</v>
      </c>
      <c r="C16773">
        <v>420</v>
      </c>
      <c r="D16773">
        <v>397</v>
      </c>
      <c r="E16773">
        <v>1577202522</v>
      </c>
      <c r="F16773">
        <v>26</v>
      </c>
      <c r="G16773">
        <v>0</v>
      </c>
      <c r="H16773" t="s">
        <v>21610</v>
      </c>
      <c r="I16773">
        <v>19069</v>
      </c>
      <c r="J16773" t="str">
        <f>VLOOKUP(E16773,DSSpieler!A:B,2,FALSE)</f>
        <v>König Daniel1990</v>
      </c>
    </row>
    <row r="16774" spans="1:10" x14ac:dyDescent="0.25">
      <c r="A16774">
        <v>19070</v>
      </c>
      <c r="B16774" t="s">
        <v>31308</v>
      </c>
      <c r="C16774">
        <v>381</v>
      </c>
      <c r="D16774">
        <v>447</v>
      </c>
      <c r="E16774">
        <v>1577207084</v>
      </c>
      <c r="F16774">
        <v>81</v>
      </c>
      <c r="G16774">
        <v>0</v>
      </c>
      <c r="H16774" t="s">
        <v>21611</v>
      </c>
      <c r="I16774">
        <v>19070</v>
      </c>
      <c r="J16774" t="str">
        <f>VLOOKUP(E16774,DSSpieler!A:B,2,FALSE)</f>
        <v>Flitzpiepe</v>
      </c>
    </row>
    <row r="16775" spans="1:10" x14ac:dyDescent="0.25">
      <c r="A16775">
        <v>19071</v>
      </c>
      <c r="B16775" t="s">
        <v>3404</v>
      </c>
      <c r="C16775">
        <v>627</v>
      </c>
      <c r="D16775">
        <v>480</v>
      </c>
      <c r="E16775">
        <v>1577190422</v>
      </c>
      <c r="F16775">
        <v>618</v>
      </c>
      <c r="G16775">
        <v>0</v>
      </c>
      <c r="H16775" t="s">
        <v>21612</v>
      </c>
      <c r="I16775">
        <v>19071</v>
      </c>
      <c r="J16775" t="str">
        <f>VLOOKUP(E16775,DSSpieler!A:B,2,FALSE)</f>
        <v>LRiiii</v>
      </c>
    </row>
    <row r="16776" spans="1:10" x14ac:dyDescent="0.25">
      <c r="A16776">
        <v>19072</v>
      </c>
      <c r="B16776" t="s">
        <v>3405</v>
      </c>
      <c r="C16776">
        <v>609</v>
      </c>
      <c r="D16776">
        <v>576</v>
      </c>
      <c r="E16776">
        <v>1577012524</v>
      </c>
      <c r="F16776">
        <v>26</v>
      </c>
      <c r="G16776">
        <v>0</v>
      </c>
      <c r="H16776" t="s">
        <v>21613</v>
      </c>
      <c r="I16776">
        <v>19072</v>
      </c>
      <c r="J16776" t="str">
        <f>VLOOKUP(E16776,DSSpieler!A:B,2,FALSE)</f>
        <v>KingKenny</v>
      </c>
    </row>
    <row r="16777" spans="1:10" x14ac:dyDescent="0.25">
      <c r="A16777">
        <v>19073</v>
      </c>
      <c r="B16777" t="s">
        <v>3406</v>
      </c>
      <c r="C16777">
        <v>495</v>
      </c>
      <c r="D16777">
        <v>631</v>
      </c>
      <c r="E16777">
        <v>1577197346</v>
      </c>
      <c r="F16777">
        <v>34</v>
      </c>
      <c r="G16777">
        <v>0</v>
      </c>
      <c r="H16777" t="s">
        <v>21614</v>
      </c>
      <c r="I16777">
        <v>19073</v>
      </c>
      <c r="J16777" t="str">
        <f>VLOOKUP(E16777,DSSpieler!A:B,2,FALSE)</f>
        <v>kedoexe</v>
      </c>
    </row>
    <row r="16778" spans="1:10" x14ac:dyDescent="0.25">
      <c r="A16778">
        <v>19074</v>
      </c>
      <c r="B16778" t="s">
        <v>3407</v>
      </c>
      <c r="C16778">
        <v>630</v>
      </c>
      <c r="D16778">
        <v>510</v>
      </c>
      <c r="E16778">
        <v>1576728350</v>
      </c>
      <c r="F16778">
        <v>26</v>
      </c>
      <c r="G16778">
        <v>0</v>
      </c>
      <c r="H16778" t="s">
        <v>21615</v>
      </c>
      <c r="I16778">
        <v>19074</v>
      </c>
      <c r="J16778" t="str">
        <f>VLOOKUP(E16778,DSSpieler!A:B,2,FALSE)</f>
        <v>Killbraten</v>
      </c>
    </row>
    <row r="16779" spans="1:10" x14ac:dyDescent="0.25">
      <c r="A16779">
        <v>19075</v>
      </c>
      <c r="B16779">
        <v>1</v>
      </c>
      <c r="C16779">
        <v>367</v>
      </c>
      <c r="D16779">
        <v>509</v>
      </c>
      <c r="E16779">
        <v>1577207123</v>
      </c>
      <c r="F16779">
        <v>516</v>
      </c>
      <c r="G16779">
        <v>0</v>
      </c>
      <c r="H16779" t="s">
        <v>21616</v>
      </c>
      <c r="I16779">
        <v>19075</v>
      </c>
      <c r="J16779" t="str">
        <f>VLOOKUP(E16779,DSSpieler!A:B,2,FALSE)</f>
        <v>Feliks</v>
      </c>
    </row>
    <row r="16780" spans="1:10" x14ac:dyDescent="0.25">
      <c r="A16780">
        <v>19076</v>
      </c>
      <c r="B16780" t="s">
        <v>531</v>
      </c>
      <c r="C16780">
        <v>631</v>
      </c>
      <c r="D16780">
        <v>480</v>
      </c>
      <c r="E16780">
        <v>0</v>
      </c>
      <c r="F16780">
        <v>110</v>
      </c>
      <c r="G16780">
        <v>0</v>
      </c>
      <c r="H16780" t="s">
        <v>21617</v>
      </c>
      <c r="I16780">
        <v>19076</v>
      </c>
      <c r="J16780" t="e">
        <f>VLOOKUP(E16780,DSSpieler!A:B,2,FALSE)</f>
        <v>#N/A</v>
      </c>
    </row>
    <row r="16781" spans="1:10" x14ac:dyDescent="0.25">
      <c r="A16781">
        <v>19077</v>
      </c>
      <c r="B16781" t="s">
        <v>3408</v>
      </c>
      <c r="C16781">
        <v>577</v>
      </c>
      <c r="D16781">
        <v>397</v>
      </c>
      <c r="E16781">
        <v>1577207124</v>
      </c>
      <c r="F16781">
        <v>221</v>
      </c>
      <c r="G16781">
        <v>0</v>
      </c>
      <c r="H16781" t="s">
        <v>21618</v>
      </c>
      <c r="I16781">
        <v>19077</v>
      </c>
      <c r="J16781" t="str">
        <f>VLOOKUP(E16781,DSSpieler!A:B,2,FALSE)</f>
        <v>WarDog5051</v>
      </c>
    </row>
    <row r="16782" spans="1:10" x14ac:dyDescent="0.25">
      <c r="A16782">
        <v>19078</v>
      </c>
      <c r="B16782" t="s">
        <v>1407</v>
      </c>
      <c r="C16782">
        <v>476</v>
      </c>
      <c r="D16782">
        <v>628</v>
      </c>
      <c r="E16782">
        <v>7867309</v>
      </c>
      <c r="F16782">
        <v>794</v>
      </c>
      <c r="G16782">
        <v>0</v>
      </c>
      <c r="H16782" t="s">
        <v>21619</v>
      </c>
      <c r="I16782">
        <v>19078</v>
      </c>
      <c r="J16782" t="str">
        <f>VLOOKUP(E16782,DSSpieler!A:B,2,FALSE)</f>
        <v>chrissi1610</v>
      </c>
    </row>
    <row r="16783" spans="1:10" x14ac:dyDescent="0.25">
      <c r="A16783">
        <v>19079</v>
      </c>
      <c r="B16783" t="s">
        <v>3398</v>
      </c>
      <c r="C16783">
        <v>596</v>
      </c>
      <c r="D16783">
        <v>516</v>
      </c>
      <c r="E16783">
        <v>1576564391</v>
      </c>
      <c r="F16783">
        <v>833</v>
      </c>
      <c r="G16783">
        <v>0</v>
      </c>
      <c r="H16783" t="s">
        <v>21620</v>
      </c>
      <c r="I16783">
        <v>19079</v>
      </c>
      <c r="J16783" t="str">
        <f>VLOOKUP(E16783,DSSpieler!A:B,2,FALSE)</f>
        <v>Schlächter Armkart</v>
      </c>
    </row>
    <row r="16784" spans="1:10" x14ac:dyDescent="0.25">
      <c r="A16784">
        <v>19080</v>
      </c>
      <c r="B16784" t="s">
        <v>3409</v>
      </c>
      <c r="C16784">
        <v>370</v>
      </c>
      <c r="D16784">
        <v>519</v>
      </c>
      <c r="E16784">
        <v>1577197005</v>
      </c>
      <c r="F16784">
        <v>518</v>
      </c>
      <c r="G16784">
        <v>0</v>
      </c>
      <c r="H16784" t="s">
        <v>21621</v>
      </c>
      <c r="I16784">
        <v>19080</v>
      </c>
      <c r="J16784" t="str">
        <f>VLOOKUP(E16784,DSSpieler!A:B,2,FALSE)</f>
        <v>DanX187</v>
      </c>
    </row>
    <row r="16785" spans="1:10" x14ac:dyDescent="0.25">
      <c r="A16785">
        <v>19081</v>
      </c>
      <c r="B16785" t="s">
        <v>3410</v>
      </c>
      <c r="C16785">
        <v>444</v>
      </c>
      <c r="D16785">
        <v>385</v>
      </c>
      <c r="E16785">
        <v>1577206654</v>
      </c>
      <c r="F16785">
        <v>124</v>
      </c>
      <c r="G16785">
        <v>0</v>
      </c>
      <c r="H16785" t="s">
        <v>21622</v>
      </c>
      <c r="I16785">
        <v>19081</v>
      </c>
      <c r="J16785" t="str">
        <f>VLOOKUP(E16785,DSSpieler!A:B,2,FALSE)</f>
        <v>Sparviero</v>
      </c>
    </row>
    <row r="16786" spans="1:10" x14ac:dyDescent="0.25">
      <c r="A16786">
        <v>19082</v>
      </c>
      <c r="B16786" t="s">
        <v>3411</v>
      </c>
      <c r="C16786">
        <v>485</v>
      </c>
      <c r="D16786">
        <v>494</v>
      </c>
      <c r="E16786">
        <v>1577184856</v>
      </c>
      <c r="F16786">
        <v>824</v>
      </c>
      <c r="G16786">
        <v>0</v>
      </c>
      <c r="H16786" t="s">
        <v>21623</v>
      </c>
      <c r="I16786">
        <v>19082</v>
      </c>
      <c r="J16786" t="str">
        <f>VLOOKUP(E16786,DSSpieler!A:B,2,FALSE)</f>
        <v>andue12</v>
      </c>
    </row>
    <row r="16787" spans="1:10" x14ac:dyDescent="0.25">
      <c r="A16787">
        <v>19083</v>
      </c>
      <c r="B16787" t="s">
        <v>3412</v>
      </c>
      <c r="C16787">
        <v>625</v>
      </c>
      <c r="D16787">
        <v>455</v>
      </c>
      <c r="E16787">
        <v>1577199433</v>
      </c>
      <c r="F16787">
        <v>26</v>
      </c>
      <c r="G16787">
        <v>0</v>
      </c>
      <c r="H16787" t="s">
        <v>21624</v>
      </c>
      <c r="I16787">
        <v>19083</v>
      </c>
      <c r="J16787" t="str">
        <f>VLOOKUP(E16787,DSSpieler!A:B,2,FALSE)</f>
        <v>Gerhardeasy</v>
      </c>
    </row>
    <row r="16788" spans="1:10" x14ac:dyDescent="0.25">
      <c r="A16788">
        <v>19084</v>
      </c>
      <c r="B16788" t="s">
        <v>3413</v>
      </c>
      <c r="C16788">
        <v>537</v>
      </c>
      <c r="D16788">
        <v>377</v>
      </c>
      <c r="E16788">
        <v>1577199950</v>
      </c>
      <c r="F16788">
        <v>1320</v>
      </c>
      <c r="G16788">
        <v>0</v>
      </c>
      <c r="H16788" t="s">
        <v>21625</v>
      </c>
      <c r="I16788">
        <v>19084</v>
      </c>
      <c r="J16788" t="str">
        <f>VLOOKUP(E16788,DSSpieler!A:B,2,FALSE)</f>
        <v>kudasai</v>
      </c>
    </row>
    <row r="16789" spans="1:10" x14ac:dyDescent="0.25">
      <c r="A16789">
        <v>19085</v>
      </c>
      <c r="B16789" t="s">
        <v>3414</v>
      </c>
      <c r="C16789">
        <v>457</v>
      </c>
      <c r="D16789">
        <v>623</v>
      </c>
      <c r="E16789">
        <v>1576190576</v>
      </c>
      <c r="F16789">
        <v>1699</v>
      </c>
      <c r="G16789">
        <v>0</v>
      </c>
      <c r="H16789" t="s">
        <v>21626</v>
      </c>
      <c r="I16789">
        <v>19085</v>
      </c>
      <c r="J16789" t="str">
        <f>VLOOKUP(E16789,DSSpieler!A:B,2,FALSE)</f>
        <v>Pinkman</v>
      </c>
    </row>
    <row r="16790" spans="1:10" x14ac:dyDescent="0.25">
      <c r="A16790">
        <v>19086</v>
      </c>
      <c r="B16790" t="s">
        <v>531</v>
      </c>
      <c r="C16790">
        <v>467</v>
      </c>
      <c r="D16790">
        <v>374</v>
      </c>
      <c r="E16790">
        <v>0</v>
      </c>
      <c r="F16790">
        <v>94</v>
      </c>
      <c r="G16790">
        <v>0</v>
      </c>
      <c r="H16790" t="s">
        <v>21627</v>
      </c>
      <c r="I16790">
        <v>19086</v>
      </c>
      <c r="J16790" t="e">
        <f>VLOOKUP(E16790,DSSpieler!A:B,2,FALSE)</f>
        <v>#N/A</v>
      </c>
    </row>
    <row r="16791" spans="1:10" x14ac:dyDescent="0.25">
      <c r="A16791">
        <v>19088</v>
      </c>
      <c r="B16791" t="s">
        <v>3415</v>
      </c>
      <c r="C16791">
        <v>492</v>
      </c>
      <c r="D16791">
        <v>369</v>
      </c>
      <c r="E16791">
        <v>1575953433</v>
      </c>
      <c r="F16791">
        <v>384</v>
      </c>
      <c r="G16791">
        <v>0</v>
      </c>
      <c r="H16791" t="s">
        <v>21628</v>
      </c>
      <c r="I16791">
        <v>19088</v>
      </c>
      <c r="J16791" t="str">
        <f>VLOOKUP(E16791,DSSpieler!A:B,2,FALSE)</f>
        <v>lord1809</v>
      </c>
    </row>
    <row r="16792" spans="1:10" x14ac:dyDescent="0.25">
      <c r="A16792">
        <v>19089</v>
      </c>
      <c r="B16792" t="s">
        <v>3416</v>
      </c>
      <c r="C16792">
        <v>386</v>
      </c>
      <c r="D16792">
        <v>436</v>
      </c>
      <c r="E16792">
        <v>1577175411</v>
      </c>
      <c r="F16792">
        <v>838</v>
      </c>
      <c r="G16792">
        <v>0</v>
      </c>
      <c r="H16792" t="s">
        <v>21629</v>
      </c>
      <c r="I16792">
        <v>19089</v>
      </c>
      <c r="J16792" t="str">
        <f>VLOOKUP(E16792,DSSpieler!A:B,2,FALSE)</f>
        <v>Meiselkurt</v>
      </c>
    </row>
    <row r="16793" spans="1:10" x14ac:dyDescent="0.25">
      <c r="A16793">
        <v>19090</v>
      </c>
      <c r="B16793" t="s">
        <v>3417</v>
      </c>
      <c r="C16793">
        <v>384</v>
      </c>
      <c r="D16793">
        <v>444</v>
      </c>
      <c r="E16793">
        <v>10153854</v>
      </c>
      <c r="F16793">
        <v>582</v>
      </c>
      <c r="G16793">
        <v>0</v>
      </c>
      <c r="H16793" t="s">
        <v>21630</v>
      </c>
      <c r="I16793">
        <v>19090</v>
      </c>
      <c r="J16793" t="str">
        <f>VLOOKUP(E16793,DSSpieler!A:B,2,FALSE)</f>
        <v>Pfohlicious</v>
      </c>
    </row>
    <row r="16794" spans="1:10" x14ac:dyDescent="0.25">
      <c r="A16794">
        <v>19091</v>
      </c>
      <c r="B16794" t="s">
        <v>531</v>
      </c>
      <c r="C16794">
        <v>545</v>
      </c>
      <c r="D16794">
        <v>494</v>
      </c>
      <c r="E16794">
        <v>0</v>
      </c>
      <c r="F16794">
        <v>182</v>
      </c>
      <c r="G16794">
        <v>0</v>
      </c>
      <c r="H16794" t="s">
        <v>21631</v>
      </c>
      <c r="I16794">
        <v>19091</v>
      </c>
      <c r="J16794" t="e">
        <f>VLOOKUP(E16794,DSSpieler!A:B,2,FALSE)</f>
        <v>#N/A</v>
      </c>
    </row>
    <row r="16795" spans="1:10" x14ac:dyDescent="0.25">
      <c r="A16795">
        <v>19092</v>
      </c>
      <c r="B16795" t="s">
        <v>3418</v>
      </c>
      <c r="C16795">
        <v>383</v>
      </c>
      <c r="D16795">
        <v>448</v>
      </c>
      <c r="E16795">
        <v>8045936</v>
      </c>
      <c r="F16795">
        <v>543</v>
      </c>
      <c r="G16795">
        <v>0</v>
      </c>
      <c r="H16795" t="s">
        <v>21632</v>
      </c>
      <c r="I16795">
        <v>19092</v>
      </c>
      <c r="J16795" t="str">
        <f>VLOOKUP(E16795,DSSpieler!A:B,2,FALSE)</f>
        <v>LispelndesGeistlein</v>
      </c>
    </row>
    <row r="16796" spans="1:10" x14ac:dyDescent="0.25">
      <c r="A16796">
        <v>19093</v>
      </c>
      <c r="B16796" t="s">
        <v>3419</v>
      </c>
      <c r="C16796">
        <v>421</v>
      </c>
      <c r="D16796">
        <v>398</v>
      </c>
      <c r="E16796">
        <v>1577206408</v>
      </c>
      <c r="F16796">
        <v>728</v>
      </c>
      <c r="G16796">
        <v>0</v>
      </c>
      <c r="H16796" t="s">
        <v>21633</v>
      </c>
      <c r="I16796">
        <v>19093</v>
      </c>
      <c r="J16796" t="str">
        <f>VLOOKUP(E16796,DSSpieler!A:B,2,FALSE)</f>
        <v>NordicBo</v>
      </c>
    </row>
    <row r="16797" spans="1:10" x14ac:dyDescent="0.25">
      <c r="A16797">
        <v>19094</v>
      </c>
      <c r="B16797" t="s">
        <v>35668</v>
      </c>
      <c r="C16797">
        <v>597</v>
      </c>
      <c r="D16797">
        <v>459</v>
      </c>
      <c r="E16797">
        <v>1577196890</v>
      </c>
      <c r="F16797">
        <v>530</v>
      </c>
      <c r="G16797">
        <v>0</v>
      </c>
      <c r="H16797" t="s">
        <v>21634</v>
      </c>
      <c r="I16797">
        <v>19094</v>
      </c>
      <c r="J16797" t="str">
        <f>VLOOKUP(E16797,DSSpieler!A:B,2,FALSE)</f>
        <v>Quarktasche</v>
      </c>
    </row>
    <row r="16798" spans="1:10" x14ac:dyDescent="0.25">
      <c r="A16798">
        <v>19095</v>
      </c>
      <c r="B16798" t="s">
        <v>531</v>
      </c>
      <c r="C16798">
        <v>588</v>
      </c>
      <c r="D16798">
        <v>599</v>
      </c>
      <c r="E16798">
        <v>0</v>
      </c>
      <c r="F16798">
        <v>84</v>
      </c>
      <c r="G16798">
        <v>0</v>
      </c>
      <c r="H16798" t="s">
        <v>21635</v>
      </c>
      <c r="I16798">
        <v>19095</v>
      </c>
      <c r="J16798" t="e">
        <f>VLOOKUP(E16798,DSSpieler!A:B,2,FALSE)</f>
        <v>#N/A</v>
      </c>
    </row>
    <row r="16799" spans="1:10" x14ac:dyDescent="0.25">
      <c r="A16799">
        <v>19096</v>
      </c>
      <c r="B16799" t="s">
        <v>3420</v>
      </c>
      <c r="C16799">
        <v>486</v>
      </c>
      <c r="D16799">
        <v>370</v>
      </c>
      <c r="E16799">
        <v>1577198102</v>
      </c>
      <c r="F16799">
        <v>74</v>
      </c>
      <c r="G16799">
        <v>0</v>
      </c>
      <c r="H16799" t="s">
        <v>21636</v>
      </c>
      <c r="I16799">
        <v>19096</v>
      </c>
      <c r="J16799" t="str">
        <f>VLOOKUP(E16799,DSSpieler!A:B,2,FALSE)</f>
        <v>Farmer00</v>
      </c>
    </row>
    <row r="16800" spans="1:10" x14ac:dyDescent="0.25">
      <c r="A16800">
        <v>19097</v>
      </c>
      <c r="B16800" t="s">
        <v>3421</v>
      </c>
      <c r="C16800">
        <v>545</v>
      </c>
      <c r="D16800">
        <v>377</v>
      </c>
      <c r="E16800">
        <v>940895</v>
      </c>
      <c r="F16800">
        <v>26</v>
      </c>
      <c r="G16800">
        <v>0</v>
      </c>
      <c r="H16800" t="s">
        <v>21637</v>
      </c>
      <c r="I16800">
        <v>19097</v>
      </c>
      <c r="J16800" t="str">
        <f>VLOOKUP(E16800,DSSpieler!A:B,2,FALSE)</f>
        <v>Big-Baus</v>
      </c>
    </row>
    <row r="16801" spans="1:10" x14ac:dyDescent="0.25">
      <c r="A16801">
        <v>19098</v>
      </c>
      <c r="B16801" t="s">
        <v>3422</v>
      </c>
      <c r="C16801">
        <v>465</v>
      </c>
      <c r="D16801">
        <v>616</v>
      </c>
      <c r="E16801">
        <v>1577171405</v>
      </c>
      <c r="F16801">
        <v>157</v>
      </c>
      <c r="G16801">
        <v>0</v>
      </c>
      <c r="H16801" t="s">
        <v>21638</v>
      </c>
      <c r="I16801">
        <v>19098</v>
      </c>
      <c r="J16801" t="str">
        <f>VLOOKUP(E16801,DSSpieler!A:B,2,FALSE)</f>
        <v>obetikk</v>
      </c>
    </row>
    <row r="16802" spans="1:10" x14ac:dyDescent="0.25">
      <c r="A16802">
        <v>19099</v>
      </c>
      <c r="B16802" t="s">
        <v>3423</v>
      </c>
      <c r="C16802">
        <v>607</v>
      </c>
      <c r="D16802">
        <v>427</v>
      </c>
      <c r="E16802">
        <v>2951522</v>
      </c>
      <c r="F16802">
        <v>85</v>
      </c>
      <c r="G16802">
        <v>0</v>
      </c>
      <c r="H16802" t="s">
        <v>21639</v>
      </c>
      <c r="I16802">
        <v>19099</v>
      </c>
      <c r="J16802" t="str">
        <f>VLOOKUP(E16802,DSSpieler!A:B,2,FALSE)</f>
        <v>doubble9999</v>
      </c>
    </row>
    <row r="16803" spans="1:10" x14ac:dyDescent="0.25">
      <c r="A16803">
        <v>19100</v>
      </c>
      <c r="B16803" t="s">
        <v>3424</v>
      </c>
      <c r="C16803">
        <v>601</v>
      </c>
      <c r="D16803">
        <v>462</v>
      </c>
      <c r="E16803">
        <v>1577127316</v>
      </c>
      <c r="F16803">
        <v>1156</v>
      </c>
      <c r="G16803">
        <v>0</v>
      </c>
      <c r="H16803" t="s">
        <v>21640</v>
      </c>
      <c r="I16803">
        <v>19100</v>
      </c>
      <c r="J16803" t="str">
        <f>VLOOKUP(E16803,DSSpieler!A:B,2,FALSE)</f>
        <v>Störtebeker I.</v>
      </c>
    </row>
    <row r="16804" spans="1:10" x14ac:dyDescent="0.25">
      <c r="A16804">
        <v>19101</v>
      </c>
      <c r="B16804" t="s">
        <v>3425</v>
      </c>
      <c r="C16804">
        <v>388</v>
      </c>
      <c r="D16804">
        <v>433</v>
      </c>
      <c r="E16804">
        <v>1577098647</v>
      </c>
      <c r="F16804">
        <v>26</v>
      </c>
      <c r="G16804">
        <v>0</v>
      </c>
      <c r="H16804" t="s">
        <v>21641</v>
      </c>
      <c r="I16804">
        <v>19101</v>
      </c>
      <c r="J16804" t="str">
        <f>VLOOKUP(E16804,DSSpieler!A:B,2,FALSE)</f>
        <v>telgo</v>
      </c>
    </row>
    <row r="16805" spans="1:10" x14ac:dyDescent="0.25">
      <c r="A16805">
        <v>19102</v>
      </c>
      <c r="B16805" t="s">
        <v>3426</v>
      </c>
      <c r="C16805">
        <v>390</v>
      </c>
      <c r="D16805">
        <v>431</v>
      </c>
      <c r="E16805">
        <v>1577077616</v>
      </c>
      <c r="F16805">
        <v>66</v>
      </c>
      <c r="G16805">
        <v>0</v>
      </c>
      <c r="H16805" t="s">
        <v>21642</v>
      </c>
      <c r="I16805">
        <v>19102</v>
      </c>
      <c r="J16805" t="str">
        <f>VLOOKUP(E16805,DSSpieler!A:B,2,FALSE)</f>
        <v>SirSilva</v>
      </c>
    </row>
    <row r="16806" spans="1:10" x14ac:dyDescent="0.25">
      <c r="A16806">
        <v>19103</v>
      </c>
      <c r="B16806" t="s">
        <v>3427</v>
      </c>
      <c r="C16806">
        <v>624</v>
      </c>
      <c r="D16806">
        <v>539</v>
      </c>
      <c r="E16806">
        <v>9043164</v>
      </c>
      <c r="F16806">
        <v>1043</v>
      </c>
      <c r="G16806">
        <v>0</v>
      </c>
      <c r="H16806" t="s">
        <v>21643</v>
      </c>
      <c r="I16806">
        <v>19103</v>
      </c>
      <c r="J16806" t="str">
        <f>VLOOKUP(E16806,DSSpieler!A:B,2,FALSE)</f>
        <v>Chaosridden</v>
      </c>
    </row>
    <row r="16807" spans="1:10" x14ac:dyDescent="0.25">
      <c r="A16807">
        <v>19105</v>
      </c>
      <c r="B16807" t="s">
        <v>3428</v>
      </c>
      <c r="C16807">
        <v>370</v>
      </c>
      <c r="D16807">
        <v>515</v>
      </c>
      <c r="E16807">
        <v>1576376755</v>
      </c>
      <c r="F16807">
        <v>2417</v>
      </c>
      <c r="G16807">
        <v>0</v>
      </c>
      <c r="H16807" t="s">
        <v>21644</v>
      </c>
      <c r="I16807">
        <v>19105</v>
      </c>
      <c r="J16807" t="str">
        <f>VLOOKUP(E16807,DSSpieler!A:B,2,FALSE)</f>
        <v>MorgenFreeMan</v>
      </c>
    </row>
    <row r="16808" spans="1:10" x14ac:dyDescent="0.25">
      <c r="A16808">
        <v>19107</v>
      </c>
      <c r="B16808" t="s">
        <v>3429</v>
      </c>
      <c r="C16808">
        <v>387</v>
      </c>
      <c r="D16808">
        <v>488</v>
      </c>
      <c r="E16808">
        <v>1577207154</v>
      </c>
      <c r="F16808">
        <v>159</v>
      </c>
      <c r="G16808">
        <v>0</v>
      </c>
      <c r="H16808" t="s">
        <v>21645</v>
      </c>
      <c r="I16808">
        <v>19107</v>
      </c>
      <c r="J16808" t="str">
        <f>VLOOKUP(E16808,DSSpieler!A:B,2,FALSE)</f>
        <v>crasher965</v>
      </c>
    </row>
    <row r="16809" spans="1:10" x14ac:dyDescent="0.25">
      <c r="A16809">
        <v>19108</v>
      </c>
      <c r="B16809" t="s">
        <v>1723</v>
      </c>
      <c r="C16809">
        <v>428</v>
      </c>
      <c r="D16809">
        <v>606</v>
      </c>
      <c r="E16809">
        <v>1577102685</v>
      </c>
      <c r="F16809">
        <v>101</v>
      </c>
      <c r="G16809">
        <v>0</v>
      </c>
      <c r="H16809" t="s">
        <v>21646</v>
      </c>
      <c r="I16809">
        <v>19108</v>
      </c>
      <c r="J16809" t="str">
        <f>VLOOKUP(E16809,DSSpieler!A:B,2,FALSE)</f>
        <v>Bräusler</v>
      </c>
    </row>
    <row r="16810" spans="1:10" x14ac:dyDescent="0.25">
      <c r="A16810">
        <v>19109</v>
      </c>
      <c r="B16810" t="s">
        <v>531</v>
      </c>
      <c r="C16810">
        <v>373</v>
      </c>
      <c r="D16810">
        <v>524</v>
      </c>
      <c r="E16810">
        <v>0</v>
      </c>
      <c r="F16810">
        <v>629</v>
      </c>
      <c r="G16810">
        <v>0</v>
      </c>
      <c r="H16810" t="s">
        <v>21647</v>
      </c>
      <c r="I16810">
        <v>19109</v>
      </c>
      <c r="J16810" t="e">
        <f>VLOOKUP(E16810,DSSpieler!A:B,2,FALSE)</f>
        <v>#N/A</v>
      </c>
    </row>
    <row r="16811" spans="1:10" x14ac:dyDescent="0.25">
      <c r="A16811">
        <v>19110</v>
      </c>
      <c r="B16811" t="s">
        <v>3430</v>
      </c>
      <c r="C16811">
        <v>600</v>
      </c>
      <c r="D16811">
        <v>420</v>
      </c>
      <c r="E16811">
        <v>1577203947</v>
      </c>
      <c r="F16811">
        <v>26</v>
      </c>
      <c r="G16811">
        <v>0</v>
      </c>
      <c r="H16811" t="s">
        <v>21648</v>
      </c>
      <c r="I16811">
        <v>19110</v>
      </c>
      <c r="J16811" t="str">
        <f>VLOOKUP(E16811,DSSpieler!A:B,2,FALSE)</f>
        <v>AlphaZ</v>
      </c>
    </row>
    <row r="16812" spans="1:10" x14ac:dyDescent="0.25">
      <c r="A16812">
        <v>19112</v>
      </c>
      <c r="B16812" t="s">
        <v>3431</v>
      </c>
      <c r="C16812">
        <v>624</v>
      </c>
      <c r="D16812">
        <v>546</v>
      </c>
      <c r="E16812">
        <v>2096559</v>
      </c>
      <c r="F16812">
        <v>955</v>
      </c>
      <c r="G16812">
        <v>0</v>
      </c>
      <c r="H16812" t="s">
        <v>21649</v>
      </c>
      <c r="I16812">
        <v>19112</v>
      </c>
      <c r="J16812" t="str">
        <f>VLOOKUP(E16812,DSSpieler!A:B,2,FALSE)</f>
        <v>Passball</v>
      </c>
    </row>
    <row r="16813" spans="1:10" x14ac:dyDescent="0.25">
      <c r="A16813">
        <v>19113</v>
      </c>
      <c r="B16813" t="s">
        <v>3432</v>
      </c>
      <c r="C16813">
        <v>582</v>
      </c>
      <c r="D16813">
        <v>400</v>
      </c>
      <c r="E16813">
        <v>1576862176</v>
      </c>
      <c r="F16813">
        <v>26</v>
      </c>
      <c r="G16813">
        <v>0</v>
      </c>
      <c r="H16813" t="s">
        <v>21650</v>
      </c>
      <c r="I16813">
        <v>19113</v>
      </c>
      <c r="J16813" t="str">
        <f>VLOOKUP(E16813,DSSpieler!A:B,2,FALSE)</f>
        <v>TD Woody</v>
      </c>
    </row>
    <row r="16814" spans="1:10" x14ac:dyDescent="0.25">
      <c r="A16814">
        <v>19114</v>
      </c>
      <c r="B16814" t="s">
        <v>531</v>
      </c>
      <c r="C16814">
        <v>390</v>
      </c>
      <c r="D16814">
        <v>575</v>
      </c>
      <c r="E16814">
        <v>0</v>
      </c>
      <c r="F16814">
        <v>120</v>
      </c>
      <c r="G16814">
        <v>0</v>
      </c>
      <c r="H16814" t="s">
        <v>21651</v>
      </c>
      <c r="I16814">
        <v>19114</v>
      </c>
      <c r="J16814" t="e">
        <f>VLOOKUP(E16814,DSSpieler!A:B,2,FALSE)</f>
        <v>#N/A</v>
      </c>
    </row>
    <row r="16815" spans="1:10" x14ac:dyDescent="0.25">
      <c r="A16815">
        <v>19116</v>
      </c>
      <c r="B16815" t="s">
        <v>3433</v>
      </c>
      <c r="C16815">
        <v>628</v>
      </c>
      <c r="D16815">
        <v>450</v>
      </c>
      <c r="E16815">
        <v>2320491</v>
      </c>
      <c r="F16815">
        <v>1126</v>
      </c>
      <c r="G16815">
        <v>0</v>
      </c>
      <c r="H16815" t="s">
        <v>21652</v>
      </c>
      <c r="I16815">
        <v>19116</v>
      </c>
      <c r="J16815" t="str">
        <f>VLOOKUP(E16815,DSSpieler!A:B,2,FALSE)</f>
        <v>hallo-13</v>
      </c>
    </row>
    <row r="16816" spans="1:10" x14ac:dyDescent="0.25">
      <c r="A16816">
        <v>19117</v>
      </c>
      <c r="B16816" t="s">
        <v>30591</v>
      </c>
      <c r="C16816">
        <v>379</v>
      </c>
      <c r="D16816">
        <v>550</v>
      </c>
      <c r="E16816">
        <v>1577201820</v>
      </c>
      <c r="F16816">
        <v>304</v>
      </c>
      <c r="G16816">
        <v>0</v>
      </c>
      <c r="H16816" t="s">
        <v>21653</v>
      </c>
      <c r="I16816">
        <v>19117</v>
      </c>
      <c r="J16816" t="str">
        <f>VLOOKUP(E16816,DSSpieler!A:B,2,FALSE)</f>
        <v>wladik1997</v>
      </c>
    </row>
    <row r="16817" spans="1:10" x14ac:dyDescent="0.25">
      <c r="A16817">
        <v>19118</v>
      </c>
      <c r="B16817" t="s">
        <v>3434</v>
      </c>
      <c r="C16817">
        <v>382</v>
      </c>
      <c r="D16817">
        <v>559</v>
      </c>
      <c r="E16817">
        <v>1576264175</v>
      </c>
      <c r="F16817">
        <v>522</v>
      </c>
      <c r="G16817">
        <v>0</v>
      </c>
      <c r="H16817" t="s">
        <v>21654</v>
      </c>
      <c r="I16817">
        <v>19118</v>
      </c>
      <c r="J16817" t="str">
        <f>VLOOKUP(E16817,DSSpieler!A:B,2,FALSE)</f>
        <v>KingGome</v>
      </c>
    </row>
    <row r="16818" spans="1:10" x14ac:dyDescent="0.25">
      <c r="A16818">
        <v>19119</v>
      </c>
      <c r="B16818" t="s">
        <v>3435</v>
      </c>
      <c r="C16818">
        <v>385</v>
      </c>
      <c r="D16818">
        <v>556</v>
      </c>
      <c r="E16818">
        <v>740566</v>
      </c>
      <c r="F16818">
        <v>692</v>
      </c>
      <c r="G16818">
        <v>0</v>
      </c>
      <c r="H16818" t="s">
        <v>21655</v>
      </c>
      <c r="I16818">
        <v>19119</v>
      </c>
      <c r="J16818" t="str">
        <f>VLOOKUP(E16818,DSSpieler!A:B,2,FALSE)</f>
        <v>Benni-8-</v>
      </c>
    </row>
    <row r="16819" spans="1:10" x14ac:dyDescent="0.25">
      <c r="A16819">
        <v>19120</v>
      </c>
      <c r="B16819" t="s">
        <v>3436</v>
      </c>
      <c r="C16819">
        <v>622</v>
      </c>
      <c r="D16819">
        <v>454</v>
      </c>
      <c r="E16819">
        <v>1576780849</v>
      </c>
      <c r="F16819">
        <v>50</v>
      </c>
      <c r="G16819">
        <v>0</v>
      </c>
      <c r="H16819" t="s">
        <v>21656</v>
      </c>
      <c r="I16819">
        <v>19120</v>
      </c>
      <c r="J16819" t="str">
        <f>VLOOKUP(E16819,DSSpieler!A:B,2,FALSE)</f>
        <v>Enelya</v>
      </c>
    </row>
    <row r="16820" spans="1:10" x14ac:dyDescent="0.25">
      <c r="A16820">
        <v>19122</v>
      </c>
      <c r="B16820" t="s">
        <v>3437</v>
      </c>
      <c r="C16820">
        <v>383</v>
      </c>
      <c r="D16820">
        <v>559</v>
      </c>
      <c r="E16820">
        <v>1577166596</v>
      </c>
      <c r="F16820">
        <v>1090</v>
      </c>
      <c r="G16820">
        <v>0</v>
      </c>
      <c r="H16820" t="s">
        <v>21657</v>
      </c>
      <c r="I16820">
        <v>19122</v>
      </c>
      <c r="J16820" t="str">
        <f>VLOOKUP(E16820,DSSpieler!A:B,2,FALSE)</f>
        <v>Howie1504</v>
      </c>
    </row>
    <row r="16821" spans="1:10" x14ac:dyDescent="0.25">
      <c r="A16821">
        <v>19123</v>
      </c>
      <c r="B16821" t="s">
        <v>531</v>
      </c>
      <c r="C16821">
        <v>567</v>
      </c>
      <c r="D16821">
        <v>611</v>
      </c>
      <c r="E16821">
        <v>0</v>
      </c>
      <c r="F16821">
        <v>73</v>
      </c>
      <c r="G16821">
        <v>0</v>
      </c>
      <c r="H16821" t="s">
        <v>21658</v>
      </c>
      <c r="I16821">
        <v>19123</v>
      </c>
      <c r="J16821" t="e">
        <f>VLOOKUP(E16821,DSSpieler!A:B,2,FALSE)</f>
        <v>#N/A</v>
      </c>
    </row>
    <row r="16822" spans="1:10" x14ac:dyDescent="0.25">
      <c r="A16822">
        <v>19124</v>
      </c>
      <c r="B16822" t="s">
        <v>35669</v>
      </c>
      <c r="C16822">
        <v>388</v>
      </c>
      <c r="D16822">
        <v>567</v>
      </c>
      <c r="E16822">
        <v>1577166536</v>
      </c>
      <c r="F16822">
        <v>866</v>
      </c>
      <c r="G16822">
        <v>0</v>
      </c>
      <c r="H16822" t="s">
        <v>21659</v>
      </c>
      <c r="I16822">
        <v>19124</v>
      </c>
      <c r="J16822" t="str">
        <f>VLOOKUP(E16822,DSSpieler!A:B,2,FALSE)</f>
        <v>ForRealistic</v>
      </c>
    </row>
    <row r="16823" spans="1:10" x14ac:dyDescent="0.25">
      <c r="A16823">
        <v>19125</v>
      </c>
      <c r="B16823" t="s">
        <v>3438</v>
      </c>
      <c r="C16823">
        <v>583</v>
      </c>
      <c r="D16823">
        <v>399</v>
      </c>
      <c r="E16823">
        <v>8371520</v>
      </c>
      <c r="F16823">
        <v>26</v>
      </c>
      <c r="G16823">
        <v>0</v>
      </c>
      <c r="H16823" t="s">
        <v>21660</v>
      </c>
      <c r="I16823">
        <v>19125</v>
      </c>
      <c r="J16823" t="str">
        <f>VLOOKUP(E16823,DSSpieler!A:B,2,FALSE)</f>
        <v>TyrNordwinds</v>
      </c>
    </row>
    <row r="16824" spans="1:10" x14ac:dyDescent="0.25">
      <c r="A16824">
        <v>19127</v>
      </c>
      <c r="B16824" t="s">
        <v>531</v>
      </c>
      <c r="C16824">
        <v>371</v>
      </c>
      <c r="D16824">
        <v>483</v>
      </c>
      <c r="E16824">
        <v>0</v>
      </c>
      <c r="F16824">
        <v>135</v>
      </c>
      <c r="G16824">
        <v>0</v>
      </c>
      <c r="H16824" t="s">
        <v>21661</v>
      </c>
      <c r="I16824">
        <v>19127</v>
      </c>
      <c r="J16824" t="e">
        <f>VLOOKUP(E16824,DSSpieler!A:B,2,FALSE)</f>
        <v>#N/A</v>
      </c>
    </row>
    <row r="16825" spans="1:10" x14ac:dyDescent="0.25">
      <c r="A16825">
        <v>19128</v>
      </c>
      <c r="B16825" t="s">
        <v>3439</v>
      </c>
      <c r="C16825">
        <v>503</v>
      </c>
      <c r="D16825">
        <v>630</v>
      </c>
      <c r="E16825">
        <v>1577149671</v>
      </c>
      <c r="F16825">
        <v>670</v>
      </c>
      <c r="G16825">
        <v>0</v>
      </c>
      <c r="H16825" t="s">
        <v>21662</v>
      </c>
      <c r="I16825">
        <v>19128</v>
      </c>
      <c r="J16825" t="str">
        <f>VLOOKUP(E16825,DSSpieler!A:B,2,FALSE)</f>
        <v>Kampfnarbe2</v>
      </c>
    </row>
    <row r="16826" spans="1:10" x14ac:dyDescent="0.25">
      <c r="A16826">
        <v>19129</v>
      </c>
      <c r="B16826" t="s">
        <v>3440</v>
      </c>
      <c r="C16826">
        <v>632</v>
      </c>
      <c r="D16826">
        <v>502</v>
      </c>
      <c r="E16826">
        <v>1577133706</v>
      </c>
      <c r="F16826">
        <v>674</v>
      </c>
      <c r="G16826">
        <v>0</v>
      </c>
      <c r="H16826" t="s">
        <v>21663</v>
      </c>
      <c r="I16826">
        <v>19129</v>
      </c>
      <c r="J16826" t="str">
        <f>VLOOKUP(E16826,DSSpieler!A:B,2,FALSE)</f>
        <v>Stabilo Boss</v>
      </c>
    </row>
    <row r="16827" spans="1:10" x14ac:dyDescent="0.25">
      <c r="A16827">
        <v>19130</v>
      </c>
      <c r="B16827" t="s">
        <v>3441</v>
      </c>
      <c r="C16827">
        <v>630</v>
      </c>
      <c r="D16827">
        <v>474</v>
      </c>
      <c r="E16827">
        <v>1576539473</v>
      </c>
      <c r="F16827">
        <v>26</v>
      </c>
      <c r="G16827">
        <v>0</v>
      </c>
      <c r="H16827" t="s">
        <v>21664</v>
      </c>
      <c r="I16827">
        <v>19130</v>
      </c>
      <c r="J16827" t="str">
        <f>VLOOKUP(E16827,DSSpieler!A:B,2,FALSE)</f>
        <v>FRIP.</v>
      </c>
    </row>
    <row r="16828" spans="1:10" x14ac:dyDescent="0.25">
      <c r="A16828">
        <v>19131</v>
      </c>
      <c r="B16828" t="s">
        <v>531</v>
      </c>
      <c r="C16828">
        <v>573</v>
      </c>
      <c r="D16828">
        <v>392</v>
      </c>
      <c r="E16828">
        <v>0</v>
      </c>
      <c r="F16828">
        <v>71</v>
      </c>
      <c r="G16828">
        <v>0</v>
      </c>
      <c r="H16828" t="s">
        <v>21665</v>
      </c>
      <c r="I16828">
        <v>19131</v>
      </c>
      <c r="J16828" t="e">
        <f>VLOOKUP(E16828,DSSpieler!A:B,2,FALSE)</f>
        <v>#N/A</v>
      </c>
    </row>
    <row r="16829" spans="1:10" x14ac:dyDescent="0.25">
      <c r="A16829">
        <v>19132</v>
      </c>
      <c r="B16829" t="s">
        <v>3442</v>
      </c>
      <c r="C16829">
        <v>450</v>
      </c>
      <c r="D16829">
        <v>622</v>
      </c>
      <c r="E16829">
        <v>1577083755</v>
      </c>
      <c r="F16829">
        <v>410</v>
      </c>
      <c r="G16829">
        <v>0</v>
      </c>
      <c r="H16829" t="s">
        <v>21666</v>
      </c>
      <c r="I16829">
        <v>19132</v>
      </c>
      <c r="J16829" t="str">
        <f>VLOOKUP(E16829,DSSpieler!A:B,2,FALSE)</f>
        <v>michael7777</v>
      </c>
    </row>
    <row r="16830" spans="1:10" x14ac:dyDescent="0.25">
      <c r="A16830">
        <v>19133</v>
      </c>
      <c r="B16830" t="s">
        <v>35670</v>
      </c>
      <c r="C16830">
        <v>487</v>
      </c>
      <c r="D16830">
        <v>416</v>
      </c>
      <c r="E16830">
        <v>9520702</v>
      </c>
      <c r="F16830">
        <v>955</v>
      </c>
      <c r="G16830">
        <v>0</v>
      </c>
      <c r="H16830" t="s">
        <v>21667</v>
      </c>
      <c r="I16830">
        <v>19133</v>
      </c>
      <c r="J16830" t="str">
        <f>VLOOKUP(E16830,DSSpieler!A:B,2,FALSE)</f>
        <v>SuperE?</v>
      </c>
    </row>
    <row r="16831" spans="1:10" x14ac:dyDescent="0.25">
      <c r="A16831">
        <v>19134</v>
      </c>
      <c r="B16831" t="s">
        <v>531</v>
      </c>
      <c r="C16831">
        <v>557</v>
      </c>
      <c r="D16831">
        <v>400</v>
      </c>
      <c r="E16831">
        <v>0</v>
      </c>
      <c r="F16831">
        <v>530</v>
      </c>
      <c r="G16831">
        <v>0</v>
      </c>
      <c r="H16831" t="s">
        <v>21668</v>
      </c>
      <c r="I16831">
        <v>19134</v>
      </c>
      <c r="J16831" t="e">
        <f>VLOOKUP(E16831,DSSpieler!A:B,2,FALSE)</f>
        <v>#N/A</v>
      </c>
    </row>
    <row r="16832" spans="1:10" x14ac:dyDescent="0.25">
      <c r="A16832">
        <v>19135</v>
      </c>
      <c r="B16832" t="s">
        <v>3443</v>
      </c>
      <c r="C16832">
        <v>581</v>
      </c>
      <c r="D16832">
        <v>398</v>
      </c>
      <c r="E16832">
        <v>1576957683</v>
      </c>
      <c r="F16832">
        <v>26</v>
      </c>
      <c r="G16832">
        <v>0</v>
      </c>
      <c r="H16832" t="s">
        <v>21669</v>
      </c>
      <c r="I16832">
        <v>19135</v>
      </c>
      <c r="J16832" t="str">
        <f>VLOOKUP(E16832,DSSpieler!A:B,2,FALSE)</f>
        <v>prioo</v>
      </c>
    </row>
    <row r="16833" spans="1:10" x14ac:dyDescent="0.25">
      <c r="A16833">
        <v>19136</v>
      </c>
      <c r="B16833" t="s">
        <v>35671</v>
      </c>
      <c r="C16833">
        <v>490</v>
      </c>
      <c r="D16833">
        <v>372</v>
      </c>
      <c r="E16833">
        <v>1577196778</v>
      </c>
      <c r="F16833">
        <v>278</v>
      </c>
      <c r="G16833">
        <v>0</v>
      </c>
      <c r="H16833" t="s">
        <v>21670</v>
      </c>
      <c r="I16833">
        <v>19136</v>
      </c>
      <c r="J16833" t="str">
        <f>VLOOKUP(E16833,DSSpieler!A:B,2,FALSE)</f>
        <v>Dummer Dino</v>
      </c>
    </row>
    <row r="16834" spans="1:10" x14ac:dyDescent="0.25">
      <c r="A16834">
        <v>19137</v>
      </c>
      <c r="B16834" t="s">
        <v>3444</v>
      </c>
      <c r="C16834">
        <v>417</v>
      </c>
      <c r="D16834">
        <v>396</v>
      </c>
      <c r="E16834">
        <v>1577058995</v>
      </c>
      <c r="F16834">
        <v>241</v>
      </c>
      <c r="G16834">
        <v>0</v>
      </c>
      <c r="H16834" t="s">
        <v>21671</v>
      </c>
      <c r="I16834">
        <v>19137</v>
      </c>
      <c r="J16834" t="str">
        <f>VLOOKUP(E16834,DSSpieler!A:B,2,FALSE)</f>
        <v>LegionZeazy</v>
      </c>
    </row>
    <row r="16835" spans="1:10" x14ac:dyDescent="0.25">
      <c r="A16835">
        <v>19138</v>
      </c>
      <c r="B16835" t="s">
        <v>531</v>
      </c>
      <c r="C16835">
        <v>631</v>
      </c>
      <c r="D16835">
        <v>501</v>
      </c>
      <c r="E16835">
        <v>0</v>
      </c>
      <c r="F16835">
        <v>106</v>
      </c>
      <c r="G16835">
        <v>0</v>
      </c>
      <c r="H16835" t="s">
        <v>21672</v>
      </c>
      <c r="I16835">
        <v>19138</v>
      </c>
      <c r="J16835" t="e">
        <f>VLOOKUP(E16835,DSSpieler!A:B,2,FALSE)</f>
        <v>#N/A</v>
      </c>
    </row>
    <row r="16836" spans="1:10" x14ac:dyDescent="0.25">
      <c r="A16836">
        <v>19139</v>
      </c>
      <c r="B16836" t="s">
        <v>3445</v>
      </c>
      <c r="C16836">
        <v>451</v>
      </c>
      <c r="D16836">
        <v>381</v>
      </c>
      <c r="E16836">
        <v>1576951990</v>
      </c>
      <c r="F16836">
        <v>1376</v>
      </c>
      <c r="G16836">
        <v>0</v>
      </c>
      <c r="H16836" t="s">
        <v>21673</v>
      </c>
      <c r="I16836">
        <v>19139</v>
      </c>
      <c r="J16836" t="str">
        <f>VLOOKUP(E16836,DSSpieler!A:B,2,FALSE)</f>
        <v>Falke1180</v>
      </c>
    </row>
    <row r="16837" spans="1:10" x14ac:dyDescent="0.25">
      <c r="A16837">
        <v>19140</v>
      </c>
      <c r="B16837" t="s">
        <v>531</v>
      </c>
      <c r="C16837">
        <v>385</v>
      </c>
      <c r="D16837">
        <v>569</v>
      </c>
      <c r="E16837">
        <v>0</v>
      </c>
      <c r="F16837">
        <v>69</v>
      </c>
      <c r="G16837">
        <v>0</v>
      </c>
      <c r="H16837" t="s">
        <v>21674</v>
      </c>
      <c r="I16837">
        <v>19140</v>
      </c>
      <c r="J16837" t="e">
        <f>VLOOKUP(E16837,DSSpieler!A:B,2,FALSE)</f>
        <v>#N/A</v>
      </c>
    </row>
    <row r="16838" spans="1:10" x14ac:dyDescent="0.25">
      <c r="A16838">
        <v>19141</v>
      </c>
      <c r="B16838" t="s">
        <v>3446</v>
      </c>
      <c r="C16838">
        <v>460</v>
      </c>
      <c r="D16838">
        <v>580</v>
      </c>
      <c r="E16838">
        <v>1577170779</v>
      </c>
      <c r="F16838">
        <v>188</v>
      </c>
      <c r="G16838">
        <v>0</v>
      </c>
      <c r="H16838" t="s">
        <v>21675</v>
      </c>
      <c r="I16838">
        <v>19141</v>
      </c>
      <c r="J16838" t="str">
        <f>VLOOKUP(E16838,DSSpieler!A:B,2,FALSE)</f>
        <v>Emma96</v>
      </c>
    </row>
    <row r="16839" spans="1:10" x14ac:dyDescent="0.25">
      <c r="A16839">
        <v>19142</v>
      </c>
      <c r="B16839" t="s">
        <v>3447</v>
      </c>
      <c r="C16839">
        <v>524</v>
      </c>
      <c r="D16839">
        <v>554</v>
      </c>
      <c r="E16839">
        <v>1577198307</v>
      </c>
      <c r="F16839">
        <v>1193</v>
      </c>
      <c r="G16839">
        <v>0</v>
      </c>
      <c r="H16839" t="s">
        <v>21676</v>
      </c>
      <c r="I16839">
        <v>19142</v>
      </c>
      <c r="J16839" t="str">
        <f>VLOOKUP(E16839,DSSpieler!A:B,2,FALSE)</f>
        <v>Crustulum Lupus</v>
      </c>
    </row>
    <row r="16840" spans="1:10" x14ac:dyDescent="0.25">
      <c r="A16840">
        <v>19143</v>
      </c>
      <c r="B16840" t="s">
        <v>3448</v>
      </c>
      <c r="C16840">
        <v>507</v>
      </c>
      <c r="D16840">
        <v>371</v>
      </c>
      <c r="E16840">
        <v>1577204174</v>
      </c>
      <c r="F16840">
        <v>48</v>
      </c>
      <c r="G16840">
        <v>0</v>
      </c>
      <c r="H16840" t="s">
        <v>21677</v>
      </c>
      <c r="I16840">
        <v>19143</v>
      </c>
      <c r="J16840" t="str">
        <f>VLOOKUP(E16840,DSSpieler!A:B,2,FALSE)</f>
        <v>R4ZiEL</v>
      </c>
    </row>
    <row r="16841" spans="1:10" x14ac:dyDescent="0.25">
      <c r="A16841">
        <v>19144</v>
      </c>
      <c r="B16841" t="s">
        <v>3449</v>
      </c>
      <c r="C16841">
        <v>576</v>
      </c>
      <c r="D16841">
        <v>434</v>
      </c>
      <c r="E16841">
        <v>1577204928</v>
      </c>
      <c r="F16841">
        <v>355</v>
      </c>
      <c r="G16841">
        <v>0</v>
      </c>
      <c r="H16841" t="s">
        <v>21678</v>
      </c>
      <c r="I16841">
        <v>19144</v>
      </c>
      <c r="J16841" t="str">
        <f>VLOOKUP(E16841,DSSpieler!A:B,2,FALSE)</f>
        <v>Tubaluloma</v>
      </c>
    </row>
    <row r="16842" spans="1:10" x14ac:dyDescent="0.25">
      <c r="A16842">
        <v>19145</v>
      </c>
      <c r="B16842" t="s">
        <v>531</v>
      </c>
      <c r="C16842">
        <v>370</v>
      </c>
      <c r="D16842">
        <v>523</v>
      </c>
      <c r="E16842">
        <v>0</v>
      </c>
      <c r="F16842">
        <v>69</v>
      </c>
      <c r="G16842">
        <v>0</v>
      </c>
      <c r="H16842" t="s">
        <v>21679</v>
      </c>
      <c r="I16842">
        <v>19145</v>
      </c>
      <c r="J16842" t="e">
        <f>VLOOKUP(E16842,DSSpieler!A:B,2,FALSE)</f>
        <v>#N/A</v>
      </c>
    </row>
    <row r="16843" spans="1:10" x14ac:dyDescent="0.25">
      <c r="A16843">
        <v>19146</v>
      </c>
      <c r="B16843" t="s">
        <v>3450</v>
      </c>
      <c r="C16843">
        <v>434</v>
      </c>
      <c r="D16843">
        <v>612</v>
      </c>
      <c r="E16843">
        <v>1576966402</v>
      </c>
      <c r="F16843">
        <v>1140</v>
      </c>
      <c r="G16843">
        <v>0</v>
      </c>
      <c r="H16843" t="s">
        <v>21680</v>
      </c>
      <c r="I16843">
        <v>19146</v>
      </c>
      <c r="J16843" t="str">
        <f>VLOOKUP(E16843,DSSpieler!A:B,2,FALSE)</f>
        <v>Dooomlord</v>
      </c>
    </row>
    <row r="16844" spans="1:10" x14ac:dyDescent="0.25">
      <c r="A16844">
        <v>19147</v>
      </c>
      <c r="B16844" t="s">
        <v>3451</v>
      </c>
      <c r="C16844">
        <v>610</v>
      </c>
      <c r="D16844">
        <v>432</v>
      </c>
      <c r="E16844">
        <v>1576929967</v>
      </c>
      <c r="F16844">
        <v>380</v>
      </c>
      <c r="G16844">
        <v>0</v>
      </c>
      <c r="H16844" t="s">
        <v>21681</v>
      </c>
      <c r="I16844">
        <v>19147</v>
      </c>
      <c r="J16844" t="str">
        <f>VLOOKUP(E16844,DSSpieler!A:B,2,FALSE)</f>
        <v>OXOX</v>
      </c>
    </row>
    <row r="16845" spans="1:10" x14ac:dyDescent="0.25">
      <c r="A16845">
        <v>19148</v>
      </c>
      <c r="B16845" t="s">
        <v>3452</v>
      </c>
      <c r="C16845">
        <v>559</v>
      </c>
      <c r="D16845">
        <v>601</v>
      </c>
      <c r="E16845">
        <v>1577165516</v>
      </c>
      <c r="F16845">
        <v>81</v>
      </c>
      <c r="G16845">
        <v>0</v>
      </c>
      <c r="H16845" t="s">
        <v>21682</v>
      </c>
      <c r="I16845">
        <v>19148</v>
      </c>
      <c r="J16845" t="str">
        <f>VLOOKUP(E16845,DSSpieler!A:B,2,FALSE)</f>
        <v>jahginko</v>
      </c>
    </row>
    <row r="16846" spans="1:10" x14ac:dyDescent="0.25">
      <c r="A16846">
        <v>19149</v>
      </c>
      <c r="B16846" t="s">
        <v>3453</v>
      </c>
      <c r="C16846">
        <v>493</v>
      </c>
      <c r="D16846">
        <v>383</v>
      </c>
      <c r="E16846">
        <v>1577207191</v>
      </c>
      <c r="F16846">
        <v>811</v>
      </c>
      <c r="G16846">
        <v>0</v>
      </c>
      <c r="H16846" t="s">
        <v>21683</v>
      </c>
      <c r="I16846">
        <v>19149</v>
      </c>
      <c r="J16846" t="str">
        <f>VLOOKUP(E16846,DSSpieler!A:B,2,FALSE)</f>
        <v>RaZeRbLaDe</v>
      </c>
    </row>
    <row r="16847" spans="1:10" x14ac:dyDescent="0.25">
      <c r="A16847">
        <v>19150</v>
      </c>
      <c r="B16847" t="s">
        <v>3454</v>
      </c>
      <c r="C16847">
        <v>488</v>
      </c>
      <c r="D16847">
        <v>397</v>
      </c>
      <c r="E16847">
        <v>1577207193</v>
      </c>
      <c r="F16847">
        <v>893</v>
      </c>
      <c r="G16847">
        <v>0</v>
      </c>
      <c r="H16847" t="s">
        <v>21684</v>
      </c>
      <c r="I16847">
        <v>19150</v>
      </c>
      <c r="J16847" t="str">
        <f>VLOOKUP(E16847,DSSpieler!A:B,2,FALSE)</f>
        <v>SmolBrain</v>
      </c>
    </row>
    <row r="16848" spans="1:10" x14ac:dyDescent="0.25">
      <c r="A16848">
        <v>19151</v>
      </c>
      <c r="B16848" t="s">
        <v>35672</v>
      </c>
      <c r="C16848">
        <v>389</v>
      </c>
      <c r="D16848">
        <v>566</v>
      </c>
      <c r="E16848">
        <v>1577207194</v>
      </c>
      <c r="F16848">
        <v>78</v>
      </c>
      <c r="G16848">
        <v>0</v>
      </c>
      <c r="H16848" t="s">
        <v>21685</v>
      </c>
      <c r="I16848">
        <v>19151</v>
      </c>
      <c r="J16848" t="str">
        <f>VLOOKUP(E16848,DSSpieler!A:B,2,FALSE)</f>
        <v>frank der ältere</v>
      </c>
    </row>
    <row r="16849" spans="1:10" x14ac:dyDescent="0.25">
      <c r="A16849">
        <v>19152</v>
      </c>
      <c r="B16849" t="s">
        <v>3455</v>
      </c>
      <c r="C16849">
        <v>442</v>
      </c>
      <c r="D16849">
        <v>387</v>
      </c>
      <c r="E16849">
        <v>1576193337</v>
      </c>
      <c r="F16849">
        <v>182</v>
      </c>
      <c r="G16849">
        <v>0</v>
      </c>
      <c r="H16849" t="s">
        <v>21686</v>
      </c>
      <c r="I16849">
        <v>19152</v>
      </c>
      <c r="J16849" t="str">
        <f>VLOOKUP(E16849,DSSpieler!A:B,2,FALSE)</f>
        <v>Lord soldat</v>
      </c>
    </row>
    <row r="16850" spans="1:10" x14ac:dyDescent="0.25">
      <c r="A16850">
        <v>19153</v>
      </c>
      <c r="B16850" t="s">
        <v>3456</v>
      </c>
      <c r="C16850">
        <v>378</v>
      </c>
      <c r="D16850">
        <v>548</v>
      </c>
      <c r="E16850">
        <v>1577199896</v>
      </c>
      <c r="F16850">
        <v>26</v>
      </c>
      <c r="G16850">
        <v>0</v>
      </c>
      <c r="H16850" t="s">
        <v>21687</v>
      </c>
      <c r="I16850">
        <v>19153</v>
      </c>
      <c r="J16850" t="str">
        <f>VLOOKUP(E16850,DSSpieler!A:B,2,FALSE)</f>
        <v>PineappleTheFruitDude99</v>
      </c>
    </row>
    <row r="16851" spans="1:10" x14ac:dyDescent="0.25">
      <c r="A16851">
        <v>19155</v>
      </c>
      <c r="B16851" t="s">
        <v>3457</v>
      </c>
      <c r="C16851">
        <v>627</v>
      </c>
      <c r="D16851">
        <v>483</v>
      </c>
      <c r="E16851">
        <v>645247</v>
      </c>
      <c r="F16851">
        <v>26</v>
      </c>
      <c r="G16851">
        <v>0</v>
      </c>
      <c r="H16851" t="s">
        <v>21688</v>
      </c>
      <c r="I16851">
        <v>19155</v>
      </c>
      <c r="J16851" t="str">
        <f>VLOOKUP(E16851,DSSpieler!A:B,2,FALSE)</f>
        <v>Speedy79</v>
      </c>
    </row>
    <row r="16852" spans="1:10" x14ac:dyDescent="0.25">
      <c r="A16852">
        <v>19156</v>
      </c>
      <c r="B16852" t="s">
        <v>3458</v>
      </c>
      <c r="C16852">
        <v>596</v>
      </c>
      <c r="D16852">
        <v>412</v>
      </c>
      <c r="E16852">
        <v>1577207196</v>
      </c>
      <c r="F16852">
        <v>261</v>
      </c>
      <c r="G16852">
        <v>0</v>
      </c>
      <c r="H16852" t="s">
        <v>21689</v>
      </c>
      <c r="I16852">
        <v>19156</v>
      </c>
      <c r="J16852" t="str">
        <f>VLOOKUP(E16852,DSSpieler!A:B,2,FALSE)</f>
        <v>Chill as Buddha</v>
      </c>
    </row>
    <row r="16853" spans="1:10" x14ac:dyDescent="0.25">
      <c r="A16853">
        <v>19157</v>
      </c>
      <c r="B16853" t="s">
        <v>531</v>
      </c>
      <c r="C16853">
        <v>383</v>
      </c>
      <c r="D16853">
        <v>557</v>
      </c>
      <c r="E16853">
        <v>0</v>
      </c>
      <c r="F16853">
        <v>64</v>
      </c>
      <c r="G16853">
        <v>0</v>
      </c>
      <c r="H16853" t="s">
        <v>21690</v>
      </c>
      <c r="I16853">
        <v>19157</v>
      </c>
      <c r="J16853" t="e">
        <f>VLOOKUP(E16853,DSSpieler!A:B,2,FALSE)</f>
        <v>#N/A</v>
      </c>
    </row>
    <row r="16854" spans="1:10" x14ac:dyDescent="0.25">
      <c r="A16854">
        <v>19158</v>
      </c>
      <c r="B16854" t="s">
        <v>3459</v>
      </c>
      <c r="C16854">
        <v>370</v>
      </c>
      <c r="D16854">
        <v>516</v>
      </c>
      <c r="E16854">
        <v>2492644</v>
      </c>
      <c r="F16854">
        <v>1385</v>
      </c>
      <c r="G16854">
        <v>0</v>
      </c>
      <c r="H16854" t="s">
        <v>21691</v>
      </c>
      <c r="I16854">
        <v>19158</v>
      </c>
      <c r="J16854" t="str">
        <f>VLOOKUP(E16854,DSSpieler!A:B,2,FALSE)</f>
        <v>ItchyandScratchy</v>
      </c>
    </row>
    <row r="16855" spans="1:10" x14ac:dyDescent="0.25">
      <c r="A16855">
        <v>19159</v>
      </c>
      <c r="B16855" t="s">
        <v>1220</v>
      </c>
      <c r="C16855">
        <v>416</v>
      </c>
      <c r="D16855">
        <v>559</v>
      </c>
      <c r="E16855">
        <v>2482304</v>
      </c>
      <c r="F16855">
        <v>530</v>
      </c>
      <c r="G16855">
        <v>0</v>
      </c>
      <c r="H16855" t="s">
        <v>21692</v>
      </c>
      <c r="I16855">
        <v>19159</v>
      </c>
      <c r="J16855" t="str">
        <f>VLOOKUP(E16855,DSSpieler!A:B,2,FALSE)</f>
        <v>Elbenkrieger13</v>
      </c>
    </row>
    <row r="16856" spans="1:10" x14ac:dyDescent="0.25">
      <c r="A16856">
        <v>19160</v>
      </c>
      <c r="B16856" t="s">
        <v>3460</v>
      </c>
      <c r="C16856">
        <v>446</v>
      </c>
      <c r="D16856">
        <v>383</v>
      </c>
      <c r="E16856">
        <v>1577119778</v>
      </c>
      <c r="F16856">
        <v>132</v>
      </c>
      <c r="G16856">
        <v>0</v>
      </c>
      <c r="H16856" t="s">
        <v>21693</v>
      </c>
      <c r="I16856">
        <v>19160</v>
      </c>
      <c r="J16856" t="str">
        <f>VLOOKUP(E16856,DSSpieler!A:B,2,FALSE)</f>
        <v>zocker18954</v>
      </c>
    </row>
    <row r="16857" spans="1:10" x14ac:dyDescent="0.25">
      <c r="A16857">
        <v>19161</v>
      </c>
      <c r="B16857" t="s">
        <v>30482</v>
      </c>
      <c r="C16857">
        <v>464</v>
      </c>
      <c r="D16857">
        <v>624</v>
      </c>
      <c r="E16857">
        <v>1577174966</v>
      </c>
      <c r="F16857">
        <v>559</v>
      </c>
      <c r="G16857">
        <v>0</v>
      </c>
      <c r="H16857" t="s">
        <v>21694</v>
      </c>
      <c r="I16857">
        <v>19161</v>
      </c>
      <c r="J16857" t="str">
        <f>VLOOKUP(E16857,DSSpieler!A:B,2,FALSE)</f>
        <v>*TheWall*</v>
      </c>
    </row>
    <row r="16858" spans="1:10" x14ac:dyDescent="0.25">
      <c r="A16858">
        <v>19162</v>
      </c>
      <c r="B16858" t="s">
        <v>3461</v>
      </c>
      <c r="C16858">
        <v>612</v>
      </c>
      <c r="D16858">
        <v>572</v>
      </c>
      <c r="E16858">
        <v>2237807</v>
      </c>
      <c r="F16858">
        <v>257</v>
      </c>
      <c r="G16858">
        <v>0</v>
      </c>
      <c r="H16858" t="s">
        <v>21695</v>
      </c>
      <c r="I16858">
        <v>19162</v>
      </c>
      <c r="J16858" t="str">
        <f>VLOOKUP(E16858,DSSpieler!A:B,2,FALSE)</f>
        <v>Onkelzclan</v>
      </c>
    </row>
    <row r="16859" spans="1:10" x14ac:dyDescent="0.25">
      <c r="A16859">
        <v>19163</v>
      </c>
      <c r="B16859" t="s">
        <v>531</v>
      </c>
      <c r="C16859">
        <v>623</v>
      </c>
      <c r="D16859">
        <v>536</v>
      </c>
      <c r="E16859">
        <v>0</v>
      </c>
      <c r="F16859">
        <v>104</v>
      </c>
      <c r="G16859">
        <v>0</v>
      </c>
      <c r="H16859" t="s">
        <v>21696</v>
      </c>
      <c r="I16859">
        <v>19163</v>
      </c>
      <c r="J16859" t="e">
        <f>VLOOKUP(E16859,DSSpieler!A:B,2,FALSE)</f>
        <v>#N/A</v>
      </c>
    </row>
    <row r="16860" spans="1:10" x14ac:dyDescent="0.25">
      <c r="A16860">
        <v>19164</v>
      </c>
      <c r="B16860" t="s">
        <v>3462</v>
      </c>
      <c r="C16860">
        <v>427</v>
      </c>
      <c r="D16860">
        <v>612</v>
      </c>
      <c r="E16860">
        <v>1577175614</v>
      </c>
      <c r="F16860">
        <v>26</v>
      </c>
      <c r="G16860">
        <v>0</v>
      </c>
      <c r="H16860" t="s">
        <v>21697</v>
      </c>
      <c r="I16860">
        <v>19164</v>
      </c>
      <c r="J16860" t="str">
        <f>VLOOKUP(E16860,DSSpieler!A:B,2,FALSE)</f>
        <v>Sir Henry</v>
      </c>
    </row>
    <row r="16861" spans="1:10" x14ac:dyDescent="0.25">
      <c r="A16861">
        <v>19165</v>
      </c>
      <c r="B16861" t="s">
        <v>35673</v>
      </c>
      <c r="C16861">
        <v>457</v>
      </c>
      <c r="D16861">
        <v>625</v>
      </c>
      <c r="E16861">
        <v>1577194322</v>
      </c>
      <c r="F16861">
        <v>498</v>
      </c>
      <c r="G16861">
        <v>0</v>
      </c>
      <c r="H16861" t="s">
        <v>21698</v>
      </c>
      <c r="I16861">
        <v>19165</v>
      </c>
      <c r="J16861" t="str">
        <f>VLOOKUP(E16861,DSSpieler!A:B,2,FALSE)</f>
        <v>Sir Balu</v>
      </c>
    </row>
    <row r="16862" spans="1:10" x14ac:dyDescent="0.25">
      <c r="A16862">
        <v>19166</v>
      </c>
      <c r="B16862" t="s">
        <v>1349</v>
      </c>
      <c r="C16862">
        <v>572</v>
      </c>
      <c r="D16862">
        <v>393</v>
      </c>
      <c r="E16862">
        <v>8377070</v>
      </c>
      <c r="F16862">
        <v>728</v>
      </c>
      <c r="G16862">
        <v>0</v>
      </c>
      <c r="H16862" t="s">
        <v>21699</v>
      </c>
      <c r="I16862">
        <v>19166</v>
      </c>
      <c r="J16862" t="str">
        <f>VLOOKUP(E16862,DSSpieler!A:B,2,FALSE)</f>
        <v>ChrisDC</v>
      </c>
    </row>
    <row r="16863" spans="1:10" x14ac:dyDescent="0.25">
      <c r="A16863">
        <v>19167</v>
      </c>
      <c r="B16863" t="s">
        <v>3463</v>
      </c>
      <c r="C16863">
        <v>441</v>
      </c>
      <c r="D16863">
        <v>384</v>
      </c>
      <c r="E16863">
        <v>1576876593</v>
      </c>
      <c r="F16863">
        <v>901</v>
      </c>
      <c r="G16863">
        <v>0</v>
      </c>
      <c r="H16863" t="s">
        <v>21700</v>
      </c>
      <c r="I16863">
        <v>19167</v>
      </c>
      <c r="J16863" t="str">
        <f>VLOOKUP(E16863,DSSpieler!A:B,2,FALSE)</f>
        <v>MiAl95</v>
      </c>
    </row>
    <row r="16864" spans="1:10" x14ac:dyDescent="0.25">
      <c r="A16864">
        <v>19168</v>
      </c>
      <c r="B16864" t="s">
        <v>3464</v>
      </c>
      <c r="C16864">
        <v>449</v>
      </c>
      <c r="D16864">
        <v>623</v>
      </c>
      <c r="E16864">
        <v>8107173</v>
      </c>
      <c r="F16864">
        <v>26</v>
      </c>
      <c r="G16864">
        <v>0</v>
      </c>
      <c r="H16864" t="s">
        <v>21701</v>
      </c>
      <c r="I16864">
        <v>19168</v>
      </c>
      <c r="J16864" t="str">
        <f>VLOOKUP(E16864,DSSpieler!A:B,2,FALSE)</f>
        <v>rote-tomate</v>
      </c>
    </row>
    <row r="16865" spans="1:10" x14ac:dyDescent="0.25">
      <c r="A16865">
        <v>19169</v>
      </c>
      <c r="B16865" t="s">
        <v>3465</v>
      </c>
      <c r="C16865">
        <v>620</v>
      </c>
      <c r="D16865">
        <v>443</v>
      </c>
      <c r="E16865">
        <v>1577117209</v>
      </c>
      <c r="F16865">
        <v>26</v>
      </c>
      <c r="G16865">
        <v>0</v>
      </c>
      <c r="H16865" t="s">
        <v>21702</v>
      </c>
      <c r="I16865">
        <v>19169</v>
      </c>
      <c r="J16865" t="str">
        <f>VLOOKUP(E16865,DSSpieler!A:B,2,FALSE)</f>
        <v>UG5593</v>
      </c>
    </row>
    <row r="16866" spans="1:10" x14ac:dyDescent="0.25">
      <c r="A16866">
        <v>19170</v>
      </c>
      <c r="B16866" t="s">
        <v>3466</v>
      </c>
      <c r="C16866">
        <v>533</v>
      </c>
      <c r="D16866">
        <v>627</v>
      </c>
      <c r="E16866">
        <v>1576621624</v>
      </c>
      <c r="F16866">
        <v>1419</v>
      </c>
      <c r="G16866">
        <v>0</v>
      </c>
      <c r="H16866" t="s">
        <v>21703</v>
      </c>
      <c r="I16866">
        <v>19170</v>
      </c>
      <c r="J16866" t="str">
        <f>VLOOKUP(E16866,DSSpieler!A:B,2,FALSE)</f>
        <v>Lord Pivo</v>
      </c>
    </row>
    <row r="16867" spans="1:10" x14ac:dyDescent="0.25">
      <c r="A16867">
        <v>19171</v>
      </c>
      <c r="B16867" t="s">
        <v>3467</v>
      </c>
      <c r="C16867">
        <v>617</v>
      </c>
      <c r="D16867">
        <v>443</v>
      </c>
      <c r="E16867">
        <v>1576807749</v>
      </c>
      <c r="F16867">
        <v>26</v>
      </c>
      <c r="G16867">
        <v>0</v>
      </c>
      <c r="H16867" t="s">
        <v>21704</v>
      </c>
      <c r="I16867">
        <v>19171</v>
      </c>
      <c r="J16867" t="str">
        <f>VLOOKUP(E16867,DSSpieler!A:B,2,FALSE)</f>
        <v>Kann nicht spielen</v>
      </c>
    </row>
    <row r="16868" spans="1:10" x14ac:dyDescent="0.25">
      <c r="A16868">
        <v>19172</v>
      </c>
      <c r="B16868" t="s">
        <v>3468</v>
      </c>
      <c r="C16868">
        <v>503</v>
      </c>
      <c r="D16868">
        <v>375</v>
      </c>
      <c r="E16868">
        <v>1577206827</v>
      </c>
      <c r="F16868">
        <v>219</v>
      </c>
      <c r="G16868">
        <v>0</v>
      </c>
      <c r="H16868" t="s">
        <v>21705</v>
      </c>
      <c r="I16868">
        <v>19172</v>
      </c>
      <c r="J16868" t="str">
        <f>VLOOKUP(E16868,DSSpieler!A:B,2,FALSE)</f>
        <v>dreckiger daen</v>
      </c>
    </row>
    <row r="16869" spans="1:10" x14ac:dyDescent="0.25">
      <c r="A16869">
        <v>19173</v>
      </c>
      <c r="B16869" t="s">
        <v>3469</v>
      </c>
      <c r="C16869">
        <v>624</v>
      </c>
      <c r="D16869">
        <v>545</v>
      </c>
      <c r="E16869">
        <v>1576437061</v>
      </c>
      <c r="F16869">
        <v>918</v>
      </c>
      <c r="G16869">
        <v>0</v>
      </c>
      <c r="H16869" t="s">
        <v>21706</v>
      </c>
      <c r="I16869">
        <v>19173</v>
      </c>
      <c r="J16869" t="str">
        <f>VLOOKUP(E16869,DSSpieler!A:B,2,FALSE)</f>
        <v>Karottenlord</v>
      </c>
    </row>
    <row r="16870" spans="1:10" x14ac:dyDescent="0.25">
      <c r="A16870">
        <v>19175</v>
      </c>
      <c r="B16870" t="s">
        <v>3470</v>
      </c>
      <c r="C16870">
        <v>562</v>
      </c>
      <c r="D16870">
        <v>617</v>
      </c>
      <c r="E16870">
        <v>1577207206</v>
      </c>
      <c r="F16870">
        <v>768</v>
      </c>
      <c r="G16870">
        <v>0</v>
      </c>
      <c r="H16870" t="s">
        <v>21707</v>
      </c>
      <c r="I16870">
        <v>19175</v>
      </c>
      <c r="J16870" t="str">
        <f>VLOOKUP(E16870,DSSpieler!A:B,2,FALSE)</f>
        <v>lohsi</v>
      </c>
    </row>
    <row r="16871" spans="1:10" x14ac:dyDescent="0.25">
      <c r="A16871">
        <v>19176</v>
      </c>
      <c r="B16871" t="s">
        <v>3471</v>
      </c>
      <c r="C16871">
        <v>427</v>
      </c>
      <c r="D16871">
        <v>409</v>
      </c>
      <c r="E16871">
        <v>1577201261</v>
      </c>
      <c r="F16871">
        <v>78</v>
      </c>
      <c r="G16871">
        <v>0</v>
      </c>
      <c r="H16871" t="s">
        <v>21708</v>
      </c>
      <c r="I16871">
        <v>19176</v>
      </c>
      <c r="J16871" t="str">
        <f>VLOOKUP(E16871,DSSpieler!A:B,2,FALSE)</f>
        <v>HellesWasser</v>
      </c>
    </row>
    <row r="16872" spans="1:10" x14ac:dyDescent="0.25">
      <c r="A16872">
        <v>19178</v>
      </c>
      <c r="B16872" t="s">
        <v>531</v>
      </c>
      <c r="C16872">
        <v>586</v>
      </c>
      <c r="D16872">
        <v>596</v>
      </c>
      <c r="E16872">
        <v>0</v>
      </c>
      <c r="F16872">
        <v>92</v>
      </c>
      <c r="G16872">
        <v>0</v>
      </c>
      <c r="H16872" t="s">
        <v>21709</v>
      </c>
      <c r="I16872">
        <v>19178</v>
      </c>
      <c r="J16872" t="e">
        <f>VLOOKUP(E16872,DSSpieler!A:B,2,FALSE)</f>
        <v>#N/A</v>
      </c>
    </row>
    <row r="16873" spans="1:10" x14ac:dyDescent="0.25">
      <c r="A16873">
        <v>19179</v>
      </c>
      <c r="B16873" t="s">
        <v>3472</v>
      </c>
      <c r="C16873">
        <v>554</v>
      </c>
      <c r="D16873">
        <v>584</v>
      </c>
      <c r="E16873">
        <v>7639221</v>
      </c>
      <c r="F16873">
        <v>697</v>
      </c>
      <c r="G16873">
        <v>0</v>
      </c>
      <c r="H16873" t="s">
        <v>21710</v>
      </c>
      <c r="I16873">
        <v>19179</v>
      </c>
      <c r="J16873" t="str">
        <f>VLOOKUP(E16873,DSSpieler!A:B,2,FALSE)</f>
        <v>The Phantom 007</v>
      </c>
    </row>
    <row r="16874" spans="1:10" x14ac:dyDescent="0.25">
      <c r="A16874">
        <v>19180</v>
      </c>
      <c r="B16874" t="s">
        <v>3473</v>
      </c>
      <c r="C16874">
        <v>566</v>
      </c>
      <c r="D16874">
        <v>555</v>
      </c>
      <c r="E16874">
        <v>2887937</v>
      </c>
      <c r="F16874">
        <v>600</v>
      </c>
      <c r="G16874">
        <v>0</v>
      </c>
      <c r="H16874" t="s">
        <v>21711</v>
      </c>
      <c r="I16874">
        <v>19180</v>
      </c>
      <c r="J16874" t="str">
        <f>VLOOKUP(E16874,DSSpieler!A:B,2,FALSE)</f>
        <v>King Lothar 3</v>
      </c>
    </row>
    <row r="16875" spans="1:10" x14ac:dyDescent="0.25">
      <c r="A16875">
        <v>19181</v>
      </c>
      <c r="B16875" t="s">
        <v>3474</v>
      </c>
      <c r="C16875">
        <v>617</v>
      </c>
      <c r="D16875">
        <v>552</v>
      </c>
      <c r="E16875">
        <v>1577207214</v>
      </c>
      <c r="F16875">
        <v>38</v>
      </c>
      <c r="G16875">
        <v>0</v>
      </c>
      <c r="H16875" t="s">
        <v>21712</v>
      </c>
      <c r="I16875">
        <v>19181</v>
      </c>
      <c r="J16875" t="str">
        <f>VLOOKUP(E16875,DSSpieler!A:B,2,FALSE)</f>
        <v>HardbassHelmut</v>
      </c>
    </row>
    <row r="16876" spans="1:10" x14ac:dyDescent="0.25">
      <c r="A16876">
        <v>19182</v>
      </c>
      <c r="B16876" t="s">
        <v>3475</v>
      </c>
      <c r="C16876">
        <v>432</v>
      </c>
      <c r="D16876">
        <v>564</v>
      </c>
      <c r="E16876">
        <v>10125329</v>
      </c>
      <c r="F16876">
        <v>1139</v>
      </c>
      <c r="G16876">
        <v>0</v>
      </c>
      <c r="H16876" t="s">
        <v>21713</v>
      </c>
      <c r="I16876">
        <v>19182</v>
      </c>
      <c r="J16876" t="str">
        <f>VLOOKUP(E16876,DSSpieler!A:B,2,FALSE)</f>
        <v>Wallaballa</v>
      </c>
    </row>
    <row r="16877" spans="1:10" x14ac:dyDescent="0.25">
      <c r="A16877">
        <v>19183</v>
      </c>
      <c r="B16877" t="s">
        <v>3476</v>
      </c>
      <c r="C16877">
        <v>574</v>
      </c>
      <c r="D16877">
        <v>425</v>
      </c>
      <c r="E16877">
        <v>1577183136</v>
      </c>
      <c r="F16877">
        <v>165</v>
      </c>
      <c r="G16877">
        <v>0</v>
      </c>
      <c r="H16877" t="s">
        <v>21714</v>
      </c>
      <c r="I16877">
        <v>19183</v>
      </c>
      <c r="J16877" t="str">
        <f>VLOOKUP(E16877,DSSpieler!A:B,2,FALSE)</f>
        <v>Nycro</v>
      </c>
    </row>
    <row r="16878" spans="1:10" x14ac:dyDescent="0.25">
      <c r="A16878">
        <v>19184</v>
      </c>
      <c r="B16878" t="s">
        <v>3477</v>
      </c>
      <c r="C16878">
        <v>515</v>
      </c>
      <c r="D16878">
        <v>369</v>
      </c>
      <c r="E16878">
        <v>1576223510</v>
      </c>
      <c r="F16878">
        <v>1142</v>
      </c>
      <c r="G16878">
        <v>0</v>
      </c>
      <c r="H16878" t="s">
        <v>21715</v>
      </c>
      <c r="I16878">
        <v>19184</v>
      </c>
      <c r="J16878" t="str">
        <f>VLOOKUP(E16878,DSSpieler!A:B,2,FALSE)</f>
        <v>rezlifu</v>
      </c>
    </row>
    <row r="16879" spans="1:10" x14ac:dyDescent="0.25">
      <c r="A16879">
        <v>19186</v>
      </c>
      <c r="B16879" t="s">
        <v>3478</v>
      </c>
      <c r="C16879">
        <v>421</v>
      </c>
      <c r="D16879">
        <v>607</v>
      </c>
      <c r="E16879">
        <v>1576633838</v>
      </c>
      <c r="F16879">
        <v>1466</v>
      </c>
      <c r="G16879">
        <v>0</v>
      </c>
      <c r="H16879" t="s">
        <v>21716</v>
      </c>
      <c r="I16879">
        <v>19186</v>
      </c>
      <c r="J16879" t="str">
        <f>VLOOKUP(E16879,DSSpieler!A:B,2,FALSE)</f>
        <v>snxy</v>
      </c>
    </row>
    <row r="16880" spans="1:10" x14ac:dyDescent="0.25">
      <c r="A16880">
        <v>19187</v>
      </c>
      <c r="B16880" t="s">
        <v>3479</v>
      </c>
      <c r="C16880">
        <v>607</v>
      </c>
      <c r="D16880">
        <v>426</v>
      </c>
      <c r="E16880">
        <v>1577198809</v>
      </c>
      <c r="F16880">
        <v>78</v>
      </c>
      <c r="G16880">
        <v>0</v>
      </c>
      <c r="H16880" t="s">
        <v>21717</v>
      </c>
      <c r="I16880">
        <v>19187</v>
      </c>
      <c r="J16880" t="str">
        <f>VLOOKUP(E16880,DSSpieler!A:B,2,FALSE)</f>
        <v>Killer-Bee</v>
      </c>
    </row>
    <row r="16881" spans="1:10" x14ac:dyDescent="0.25">
      <c r="A16881">
        <v>19188</v>
      </c>
      <c r="B16881" t="s">
        <v>531</v>
      </c>
      <c r="C16881">
        <v>403</v>
      </c>
      <c r="D16881">
        <v>584</v>
      </c>
      <c r="E16881">
        <v>0</v>
      </c>
      <c r="F16881">
        <v>109</v>
      </c>
      <c r="G16881">
        <v>0</v>
      </c>
      <c r="H16881" t="s">
        <v>21718</v>
      </c>
      <c r="I16881">
        <v>19188</v>
      </c>
      <c r="J16881" t="e">
        <f>VLOOKUP(E16881,DSSpieler!A:B,2,FALSE)</f>
        <v>#N/A</v>
      </c>
    </row>
    <row r="16882" spans="1:10" x14ac:dyDescent="0.25">
      <c r="A16882">
        <v>19189</v>
      </c>
      <c r="B16882" t="s">
        <v>3480</v>
      </c>
      <c r="C16882">
        <v>371</v>
      </c>
      <c r="D16882">
        <v>475</v>
      </c>
      <c r="E16882">
        <v>9908440</v>
      </c>
      <c r="F16882">
        <v>96</v>
      </c>
      <c r="G16882">
        <v>0</v>
      </c>
      <c r="H16882" t="s">
        <v>21719</v>
      </c>
      <c r="I16882">
        <v>19189</v>
      </c>
      <c r="J16882" t="str">
        <f>VLOOKUP(E16882,DSSpieler!A:B,2,FALSE)</f>
        <v>3der.don3</v>
      </c>
    </row>
    <row r="16883" spans="1:10" x14ac:dyDescent="0.25">
      <c r="A16883">
        <v>19191</v>
      </c>
      <c r="B16883" t="s">
        <v>3481</v>
      </c>
      <c r="C16883">
        <v>535</v>
      </c>
      <c r="D16883">
        <v>606</v>
      </c>
      <c r="E16883">
        <v>1577198954</v>
      </c>
      <c r="F16883">
        <v>1063</v>
      </c>
      <c r="G16883">
        <v>0</v>
      </c>
      <c r="H16883" t="s">
        <v>21720</v>
      </c>
      <c r="I16883">
        <v>19191</v>
      </c>
      <c r="J16883" t="str">
        <f>VLOOKUP(E16883,DSSpieler!A:B,2,FALSE)</f>
        <v>Desparabro</v>
      </c>
    </row>
    <row r="16884" spans="1:10" x14ac:dyDescent="0.25">
      <c r="A16884">
        <v>19194</v>
      </c>
      <c r="B16884" t="s">
        <v>3482</v>
      </c>
      <c r="C16884">
        <v>425</v>
      </c>
      <c r="D16884">
        <v>604</v>
      </c>
      <c r="E16884">
        <v>1577202553</v>
      </c>
      <c r="F16884">
        <v>1463</v>
      </c>
      <c r="G16884">
        <v>0</v>
      </c>
      <c r="H16884" t="s">
        <v>21721</v>
      </c>
      <c r="I16884">
        <v>19194</v>
      </c>
      <c r="J16884" t="str">
        <f>VLOOKUP(E16884,DSSpieler!A:B,2,FALSE)</f>
        <v>Bloodstalker</v>
      </c>
    </row>
    <row r="16885" spans="1:10" x14ac:dyDescent="0.25">
      <c r="A16885">
        <v>19195</v>
      </c>
      <c r="B16885" t="s">
        <v>3483</v>
      </c>
      <c r="C16885">
        <v>482</v>
      </c>
      <c r="D16885">
        <v>368</v>
      </c>
      <c r="E16885">
        <v>1576601483</v>
      </c>
      <c r="F16885">
        <v>220</v>
      </c>
      <c r="G16885">
        <v>0</v>
      </c>
      <c r="H16885" t="s">
        <v>21722</v>
      </c>
      <c r="I16885">
        <v>19195</v>
      </c>
      <c r="J16885" t="str">
        <f>VLOOKUP(E16885,DSSpieler!A:B,2,FALSE)</f>
        <v>SorLaG</v>
      </c>
    </row>
    <row r="16886" spans="1:10" x14ac:dyDescent="0.25">
      <c r="A16886">
        <v>19196</v>
      </c>
      <c r="B16886" t="s">
        <v>2296</v>
      </c>
      <c r="C16886">
        <v>595</v>
      </c>
      <c r="D16886">
        <v>586</v>
      </c>
      <c r="E16886">
        <v>1577207166</v>
      </c>
      <c r="F16886">
        <v>922</v>
      </c>
      <c r="G16886">
        <v>0</v>
      </c>
      <c r="H16886" t="s">
        <v>21723</v>
      </c>
      <c r="I16886">
        <v>19196</v>
      </c>
      <c r="J16886" t="str">
        <f>VLOOKUP(E16886,DSSpieler!A:B,2,FALSE)</f>
        <v>Lady Yuno</v>
      </c>
    </row>
    <row r="16887" spans="1:10" x14ac:dyDescent="0.25">
      <c r="A16887">
        <v>19197</v>
      </c>
      <c r="B16887" t="s">
        <v>3484</v>
      </c>
      <c r="C16887">
        <v>368</v>
      </c>
      <c r="D16887">
        <v>492</v>
      </c>
      <c r="E16887">
        <v>443424</v>
      </c>
      <c r="F16887">
        <v>26</v>
      </c>
      <c r="G16887">
        <v>0</v>
      </c>
      <c r="H16887" t="s">
        <v>21724</v>
      </c>
      <c r="I16887">
        <v>19197</v>
      </c>
      <c r="J16887" t="str">
        <f>VLOOKUP(E16887,DSSpieler!A:B,2,FALSE)</f>
        <v>Das Blut der Rosen</v>
      </c>
    </row>
    <row r="16888" spans="1:10" x14ac:dyDescent="0.25">
      <c r="A16888">
        <v>19198</v>
      </c>
      <c r="B16888" t="s">
        <v>3485</v>
      </c>
      <c r="C16888">
        <v>479</v>
      </c>
      <c r="D16888">
        <v>627</v>
      </c>
      <c r="E16888">
        <v>1576702279</v>
      </c>
      <c r="F16888">
        <v>1562</v>
      </c>
      <c r="G16888">
        <v>0</v>
      </c>
      <c r="H16888" t="s">
        <v>21725</v>
      </c>
      <c r="I16888">
        <v>19198</v>
      </c>
      <c r="J16888" t="str">
        <f>VLOOKUP(E16888,DSSpieler!A:B,2,FALSE)</f>
        <v>S2021</v>
      </c>
    </row>
    <row r="16889" spans="1:10" x14ac:dyDescent="0.25">
      <c r="A16889">
        <v>19199</v>
      </c>
      <c r="B16889" t="s">
        <v>3486</v>
      </c>
      <c r="C16889">
        <v>499</v>
      </c>
      <c r="D16889">
        <v>372</v>
      </c>
      <c r="E16889">
        <v>9795724</v>
      </c>
      <c r="F16889">
        <v>394</v>
      </c>
      <c r="G16889">
        <v>0</v>
      </c>
      <c r="H16889" t="s">
        <v>21726</v>
      </c>
      <c r="I16889">
        <v>19199</v>
      </c>
      <c r="J16889" t="str">
        <f>VLOOKUP(E16889,DSSpieler!A:B,2,FALSE)</f>
        <v>willschmitt</v>
      </c>
    </row>
    <row r="16890" spans="1:10" x14ac:dyDescent="0.25">
      <c r="A16890">
        <v>19200</v>
      </c>
      <c r="B16890" t="s">
        <v>3487</v>
      </c>
      <c r="C16890">
        <v>511</v>
      </c>
      <c r="D16890">
        <v>371</v>
      </c>
      <c r="E16890">
        <v>236071</v>
      </c>
      <c r="F16890">
        <v>730</v>
      </c>
      <c r="G16890">
        <v>0</v>
      </c>
      <c r="H16890" t="s">
        <v>21727</v>
      </c>
      <c r="I16890">
        <v>19200</v>
      </c>
      <c r="J16890" t="str">
        <f>VLOOKUP(E16890,DSSpieler!A:B,2,FALSE)</f>
        <v>Nuitari</v>
      </c>
    </row>
    <row r="16891" spans="1:10" x14ac:dyDescent="0.25">
      <c r="A16891">
        <v>19201</v>
      </c>
      <c r="B16891" t="s">
        <v>3488</v>
      </c>
      <c r="C16891">
        <v>560</v>
      </c>
      <c r="D16891">
        <v>384</v>
      </c>
      <c r="E16891">
        <v>1577179340</v>
      </c>
      <c r="F16891">
        <v>105</v>
      </c>
      <c r="G16891">
        <v>0</v>
      </c>
      <c r="H16891" t="s">
        <v>21728</v>
      </c>
      <c r="I16891">
        <v>19201</v>
      </c>
      <c r="J16891" t="str">
        <f>VLOOKUP(E16891,DSSpieler!A:B,2,FALSE)</f>
        <v>Bluesons13</v>
      </c>
    </row>
    <row r="16892" spans="1:10" x14ac:dyDescent="0.25">
      <c r="A16892">
        <v>19202</v>
      </c>
      <c r="B16892" t="s">
        <v>3489</v>
      </c>
      <c r="C16892">
        <v>580</v>
      </c>
      <c r="D16892">
        <v>548</v>
      </c>
      <c r="E16892">
        <v>1577136631</v>
      </c>
      <c r="F16892">
        <v>54</v>
      </c>
      <c r="G16892">
        <v>0</v>
      </c>
      <c r="H16892" t="s">
        <v>21729</v>
      </c>
      <c r="I16892">
        <v>19202</v>
      </c>
      <c r="J16892" t="str">
        <f>VLOOKUP(E16892,DSSpieler!A:B,2,FALSE)</f>
        <v>RealPegasus</v>
      </c>
    </row>
    <row r="16893" spans="1:10" x14ac:dyDescent="0.25">
      <c r="A16893">
        <v>19203</v>
      </c>
      <c r="B16893" t="s">
        <v>531</v>
      </c>
      <c r="C16893">
        <v>604</v>
      </c>
      <c r="D16893">
        <v>417</v>
      </c>
      <c r="E16893">
        <v>0</v>
      </c>
      <c r="F16893">
        <v>148</v>
      </c>
      <c r="G16893">
        <v>0</v>
      </c>
      <c r="H16893" t="s">
        <v>21730</v>
      </c>
      <c r="I16893">
        <v>19203</v>
      </c>
      <c r="J16893" t="e">
        <f>VLOOKUP(E16893,DSSpieler!A:B,2,FALSE)</f>
        <v>#N/A</v>
      </c>
    </row>
    <row r="16894" spans="1:10" x14ac:dyDescent="0.25">
      <c r="A16894">
        <v>19204</v>
      </c>
      <c r="B16894" t="s">
        <v>3490</v>
      </c>
      <c r="C16894">
        <v>577</v>
      </c>
      <c r="D16894">
        <v>390</v>
      </c>
      <c r="E16894">
        <v>1576884435</v>
      </c>
      <c r="F16894">
        <v>1167</v>
      </c>
      <c r="G16894">
        <v>0</v>
      </c>
      <c r="H16894" t="s">
        <v>21731</v>
      </c>
      <c r="I16894">
        <v>19204</v>
      </c>
      <c r="J16894" t="str">
        <f>VLOOKUP(E16894,DSSpieler!A:B,2,FALSE)</f>
        <v>DiePommes</v>
      </c>
    </row>
    <row r="16895" spans="1:10" x14ac:dyDescent="0.25">
      <c r="A16895">
        <v>19205</v>
      </c>
      <c r="B16895" t="s">
        <v>3491</v>
      </c>
      <c r="C16895">
        <v>576</v>
      </c>
      <c r="D16895">
        <v>389</v>
      </c>
      <c r="E16895">
        <v>10215528</v>
      </c>
      <c r="F16895">
        <v>950</v>
      </c>
      <c r="G16895">
        <v>0</v>
      </c>
      <c r="H16895" t="s">
        <v>21732</v>
      </c>
      <c r="I16895">
        <v>19205</v>
      </c>
      <c r="J16895" t="str">
        <f>VLOOKUP(E16895,DSSpieler!A:B,2,FALSE)</f>
        <v>cyania</v>
      </c>
    </row>
    <row r="16896" spans="1:10" x14ac:dyDescent="0.25">
      <c r="A16896">
        <v>19206</v>
      </c>
      <c r="B16896" t="s">
        <v>643</v>
      </c>
      <c r="C16896">
        <v>449</v>
      </c>
      <c r="D16896">
        <v>386</v>
      </c>
      <c r="E16896">
        <v>2613794</v>
      </c>
      <c r="F16896">
        <v>259</v>
      </c>
      <c r="G16896">
        <v>0</v>
      </c>
      <c r="H16896" t="s">
        <v>21733</v>
      </c>
      <c r="I16896">
        <v>19206</v>
      </c>
      <c r="J16896" t="str">
        <f>VLOOKUP(E16896,DSSpieler!A:B,2,FALSE)</f>
        <v>nono55</v>
      </c>
    </row>
    <row r="16897" spans="1:10" x14ac:dyDescent="0.25">
      <c r="A16897">
        <v>19207</v>
      </c>
      <c r="B16897" t="s">
        <v>3492</v>
      </c>
      <c r="C16897">
        <v>510</v>
      </c>
      <c r="D16897">
        <v>369</v>
      </c>
      <c r="E16897">
        <v>1577074601</v>
      </c>
      <c r="F16897">
        <v>821</v>
      </c>
      <c r="G16897">
        <v>0</v>
      </c>
      <c r="H16897" t="s">
        <v>21734</v>
      </c>
      <c r="I16897">
        <v>19207</v>
      </c>
      <c r="J16897" t="str">
        <f>VLOOKUP(E16897,DSSpieler!A:B,2,FALSE)</f>
        <v>Idefixi</v>
      </c>
    </row>
    <row r="16898" spans="1:10" x14ac:dyDescent="0.25">
      <c r="A16898">
        <v>19209</v>
      </c>
      <c r="B16898" t="s">
        <v>3493</v>
      </c>
      <c r="C16898">
        <v>614</v>
      </c>
      <c r="D16898">
        <v>435</v>
      </c>
      <c r="E16898">
        <v>3018880</v>
      </c>
      <c r="F16898">
        <v>26</v>
      </c>
      <c r="G16898">
        <v>0</v>
      </c>
      <c r="H16898" t="s">
        <v>21735</v>
      </c>
      <c r="I16898">
        <v>19209</v>
      </c>
      <c r="J16898" t="str">
        <f>VLOOKUP(E16898,DSSpieler!A:B,2,FALSE)</f>
        <v>Tangiers</v>
      </c>
    </row>
    <row r="16899" spans="1:10" x14ac:dyDescent="0.25">
      <c r="A16899">
        <v>19210</v>
      </c>
      <c r="B16899" t="s">
        <v>531</v>
      </c>
      <c r="C16899">
        <v>509</v>
      </c>
      <c r="D16899">
        <v>631</v>
      </c>
      <c r="E16899">
        <v>0</v>
      </c>
      <c r="F16899">
        <v>118</v>
      </c>
      <c r="G16899">
        <v>0</v>
      </c>
      <c r="H16899" t="s">
        <v>21736</v>
      </c>
      <c r="I16899">
        <v>19210</v>
      </c>
      <c r="J16899" t="e">
        <f>VLOOKUP(E16899,DSSpieler!A:B,2,FALSE)</f>
        <v>#N/A</v>
      </c>
    </row>
    <row r="16900" spans="1:10" x14ac:dyDescent="0.25">
      <c r="A16900">
        <v>19211</v>
      </c>
      <c r="B16900" t="s">
        <v>3494</v>
      </c>
      <c r="C16900">
        <v>538</v>
      </c>
      <c r="D16900">
        <v>390</v>
      </c>
      <c r="E16900">
        <v>9600695</v>
      </c>
      <c r="F16900">
        <v>1389</v>
      </c>
      <c r="G16900">
        <v>0</v>
      </c>
      <c r="H16900" t="s">
        <v>21737</v>
      </c>
      <c r="I16900">
        <v>19211</v>
      </c>
      <c r="J16900" t="str">
        <f>VLOOKUP(E16900,DSSpieler!A:B,2,FALSE)</f>
        <v>dixery</v>
      </c>
    </row>
    <row r="16901" spans="1:10" x14ac:dyDescent="0.25">
      <c r="A16901">
        <v>19212</v>
      </c>
      <c r="B16901" t="s">
        <v>3495</v>
      </c>
      <c r="C16901">
        <v>395</v>
      </c>
      <c r="D16901">
        <v>575</v>
      </c>
      <c r="E16901">
        <v>1577079463</v>
      </c>
      <c r="F16901">
        <v>124</v>
      </c>
      <c r="G16901">
        <v>0</v>
      </c>
      <c r="H16901" t="s">
        <v>21738</v>
      </c>
      <c r="I16901">
        <v>19212</v>
      </c>
      <c r="J16901" t="str">
        <f>VLOOKUP(E16901,DSSpieler!A:B,2,FALSE)</f>
        <v>Kandur</v>
      </c>
    </row>
    <row r="16902" spans="1:10" x14ac:dyDescent="0.25">
      <c r="A16902">
        <v>19214</v>
      </c>
      <c r="B16902" t="s">
        <v>3496</v>
      </c>
      <c r="C16902">
        <v>390</v>
      </c>
      <c r="D16902">
        <v>567</v>
      </c>
      <c r="E16902">
        <v>2314956</v>
      </c>
      <c r="F16902">
        <v>175</v>
      </c>
      <c r="G16902">
        <v>0</v>
      </c>
      <c r="H16902" t="s">
        <v>21739</v>
      </c>
      <c r="I16902">
        <v>19214</v>
      </c>
      <c r="J16902" t="str">
        <f>VLOOKUP(E16902,DSSpieler!A:B,2,FALSE)</f>
        <v>Torun</v>
      </c>
    </row>
    <row r="16903" spans="1:10" x14ac:dyDescent="0.25">
      <c r="A16903">
        <v>19216</v>
      </c>
      <c r="B16903" t="s">
        <v>3497</v>
      </c>
      <c r="C16903">
        <v>562</v>
      </c>
      <c r="D16903">
        <v>615</v>
      </c>
      <c r="E16903">
        <v>148591</v>
      </c>
      <c r="F16903">
        <v>604</v>
      </c>
      <c r="G16903">
        <v>0</v>
      </c>
      <c r="H16903" t="s">
        <v>21740</v>
      </c>
      <c r="I16903">
        <v>19216</v>
      </c>
      <c r="J16903" t="str">
        <f>VLOOKUP(E16903,DSSpieler!A:B,2,FALSE)</f>
        <v>svenni10</v>
      </c>
    </row>
    <row r="16904" spans="1:10" x14ac:dyDescent="0.25">
      <c r="A16904">
        <v>19218</v>
      </c>
      <c r="B16904" t="s">
        <v>531</v>
      </c>
      <c r="C16904">
        <v>383</v>
      </c>
      <c r="D16904">
        <v>563</v>
      </c>
      <c r="E16904">
        <v>0</v>
      </c>
      <c r="F16904">
        <v>68</v>
      </c>
      <c r="G16904">
        <v>0</v>
      </c>
      <c r="H16904" t="s">
        <v>21741</v>
      </c>
      <c r="I16904">
        <v>19218</v>
      </c>
      <c r="J16904" t="e">
        <f>VLOOKUP(E16904,DSSpieler!A:B,2,FALSE)</f>
        <v>#N/A</v>
      </c>
    </row>
    <row r="16905" spans="1:10" x14ac:dyDescent="0.25">
      <c r="A16905">
        <v>19219</v>
      </c>
      <c r="B16905" t="s">
        <v>3498</v>
      </c>
      <c r="C16905">
        <v>617</v>
      </c>
      <c r="D16905">
        <v>559</v>
      </c>
      <c r="E16905">
        <v>1577207255</v>
      </c>
      <c r="F16905">
        <v>26</v>
      </c>
      <c r="G16905">
        <v>0</v>
      </c>
      <c r="H16905" t="s">
        <v>21742</v>
      </c>
      <c r="I16905">
        <v>19219</v>
      </c>
      <c r="J16905" t="str">
        <f>VLOOKUP(E16905,DSSpieler!A:B,2,FALSE)</f>
        <v>Mxrrxs02</v>
      </c>
    </row>
    <row r="16906" spans="1:10" x14ac:dyDescent="0.25">
      <c r="A16906">
        <v>19220</v>
      </c>
      <c r="B16906" t="s">
        <v>3499</v>
      </c>
      <c r="C16906">
        <v>387</v>
      </c>
      <c r="D16906">
        <v>564</v>
      </c>
      <c r="E16906">
        <v>1086209</v>
      </c>
      <c r="F16906">
        <v>176</v>
      </c>
      <c r="G16906">
        <v>0</v>
      </c>
      <c r="H16906" t="s">
        <v>21743</v>
      </c>
      <c r="I16906">
        <v>19220</v>
      </c>
      <c r="J16906" t="str">
        <f>VLOOKUP(E16906,DSSpieler!A:B,2,FALSE)</f>
        <v>Tromler</v>
      </c>
    </row>
    <row r="16907" spans="1:10" x14ac:dyDescent="0.25">
      <c r="A16907">
        <v>19221</v>
      </c>
      <c r="B16907" t="s">
        <v>3500</v>
      </c>
      <c r="C16907">
        <v>552</v>
      </c>
      <c r="D16907">
        <v>382</v>
      </c>
      <c r="E16907">
        <v>1577078634</v>
      </c>
      <c r="F16907">
        <v>922</v>
      </c>
      <c r="G16907">
        <v>0</v>
      </c>
      <c r="H16907" t="s">
        <v>21744</v>
      </c>
      <c r="I16907">
        <v>19221</v>
      </c>
      <c r="J16907" t="str">
        <f>VLOOKUP(E16907,DSSpieler!A:B,2,FALSE)</f>
        <v>Anthraxx07</v>
      </c>
    </row>
    <row r="16908" spans="1:10" x14ac:dyDescent="0.25">
      <c r="A16908">
        <v>19222</v>
      </c>
      <c r="B16908" t="s">
        <v>673</v>
      </c>
      <c r="C16908">
        <v>470</v>
      </c>
      <c r="D16908">
        <v>435</v>
      </c>
      <c r="E16908">
        <v>1576980281</v>
      </c>
      <c r="F16908">
        <v>287</v>
      </c>
      <c r="G16908">
        <v>0</v>
      </c>
      <c r="H16908" t="s">
        <v>21745</v>
      </c>
      <c r="I16908">
        <v>19222</v>
      </c>
      <c r="J16908" t="str">
        <f>VLOOKUP(E16908,DSSpieler!A:B,2,FALSE)</f>
        <v>x3Funky</v>
      </c>
    </row>
    <row r="16909" spans="1:10" x14ac:dyDescent="0.25">
      <c r="A16909">
        <v>19223</v>
      </c>
      <c r="B16909" t="s">
        <v>2267</v>
      </c>
      <c r="C16909">
        <v>432</v>
      </c>
      <c r="D16909">
        <v>588</v>
      </c>
      <c r="E16909">
        <v>1577133316</v>
      </c>
      <c r="F16909">
        <v>1023</v>
      </c>
      <c r="G16909">
        <v>0</v>
      </c>
      <c r="H16909" t="s">
        <v>21746</v>
      </c>
      <c r="I16909">
        <v>19223</v>
      </c>
      <c r="J16909" t="str">
        <f>VLOOKUP(E16909,DSSpieler!A:B,2,FALSE)</f>
        <v>wusis</v>
      </c>
    </row>
    <row r="16910" spans="1:10" x14ac:dyDescent="0.25">
      <c r="A16910">
        <v>19226</v>
      </c>
      <c r="B16910" t="s">
        <v>3501</v>
      </c>
      <c r="C16910">
        <v>614</v>
      </c>
      <c r="D16910">
        <v>438</v>
      </c>
      <c r="E16910">
        <v>1576588733</v>
      </c>
      <c r="F16910">
        <v>222</v>
      </c>
      <c r="G16910">
        <v>0</v>
      </c>
      <c r="H16910" t="s">
        <v>21747</v>
      </c>
      <c r="I16910">
        <v>19226</v>
      </c>
      <c r="J16910" t="str">
        <f>VLOOKUP(E16910,DSSpieler!A:B,2,FALSE)</f>
        <v>Desperados1</v>
      </c>
    </row>
    <row r="16911" spans="1:10" x14ac:dyDescent="0.25">
      <c r="A16911">
        <v>19227</v>
      </c>
      <c r="B16911" t="s">
        <v>3502</v>
      </c>
      <c r="C16911">
        <v>627</v>
      </c>
      <c r="D16911">
        <v>542</v>
      </c>
      <c r="E16911">
        <v>1577207268</v>
      </c>
      <c r="F16911">
        <v>74</v>
      </c>
      <c r="G16911">
        <v>0</v>
      </c>
      <c r="H16911" t="s">
        <v>21748</v>
      </c>
      <c r="I16911">
        <v>19227</v>
      </c>
      <c r="J16911" t="str">
        <f>VLOOKUP(E16911,DSSpieler!A:B,2,FALSE)</f>
        <v>hans23</v>
      </c>
    </row>
    <row r="16912" spans="1:10" x14ac:dyDescent="0.25">
      <c r="A16912">
        <v>19228</v>
      </c>
      <c r="B16912" t="s">
        <v>3503</v>
      </c>
      <c r="C16912">
        <v>618</v>
      </c>
      <c r="D16912">
        <v>430</v>
      </c>
      <c r="E16912">
        <v>9090972</v>
      </c>
      <c r="F16912">
        <v>172</v>
      </c>
      <c r="G16912">
        <v>0</v>
      </c>
      <c r="H16912" t="s">
        <v>21749</v>
      </c>
      <c r="I16912">
        <v>19228</v>
      </c>
      <c r="J16912" t="str">
        <f>VLOOKUP(E16912,DSSpieler!A:B,2,FALSE)</f>
        <v>scratchy.</v>
      </c>
    </row>
    <row r="16913" spans="1:10" x14ac:dyDescent="0.25">
      <c r="A16913">
        <v>19229</v>
      </c>
      <c r="B16913" t="s">
        <v>2441</v>
      </c>
      <c r="C16913">
        <v>617</v>
      </c>
      <c r="D16913">
        <v>438</v>
      </c>
      <c r="E16913">
        <v>1576873311</v>
      </c>
      <c r="F16913">
        <v>389</v>
      </c>
      <c r="G16913">
        <v>0</v>
      </c>
      <c r="H16913" t="s">
        <v>21750</v>
      </c>
      <c r="I16913">
        <v>19229</v>
      </c>
      <c r="J16913" t="str">
        <f>VLOOKUP(E16913,DSSpieler!A:B,2,FALSE)</f>
        <v>At0mFlunder</v>
      </c>
    </row>
    <row r="16914" spans="1:10" x14ac:dyDescent="0.25">
      <c r="A16914">
        <v>19230</v>
      </c>
      <c r="B16914" t="s">
        <v>531</v>
      </c>
      <c r="C16914">
        <v>376</v>
      </c>
      <c r="D16914">
        <v>459</v>
      </c>
      <c r="E16914">
        <v>0</v>
      </c>
      <c r="F16914">
        <v>106</v>
      </c>
      <c r="G16914">
        <v>0</v>
      </c>
      <c r="H16914" t="s">
        <v>21751</v>
      </c>
      <c r="I16914">
        <v>19230</v>
      </c>
      <c r="J16914" t="e">
        <f>VLOOKUP(E16914,DSSpieler!A:B,2,FALSE)</f>
        <v>#N/A</v>
      </c>
    </row>
    <row r="16915" spans="1:10" x14ac:dyDescent="0.25">
      <c r="A16915">
        <v>19231</v>
      </c>
      <c r="B16915" t="s">
        <v>3504</v>
      </c>
      <c r="C16915">
        <v>601</v>
      </c>
      <c r="D16915">
        <v>570</v>
      </c>
      <c r="E16915">
        <v>10284030</v>
      </c>
      <c r="F16915">
        <v>1156</v>
      </c>
      <c r="G16915">
        <v>0</v>
      </c>
      <c r="H16915" t="s">
        <v>21752</v>
      </c>
      <c r="I16915">
        <v>19231</v>
      </c>
      <c r="J16915" t="str">
        <f>VLOOKUP(E16915,DSSpieler!A:B,2,FALSE)</f>
        <v>BFGA</v>
      </c>
    </row>
    <row r="16916" spans="1:10" x14ac:dyDescent="0.25">
      <c r="A16916">
        <v>19232</v>
      </c>
      <c r="B16916" t="s">
        <v>3505</v>
      </c>
      <c r="C16916">
        <v>624</v>
      </c>
      <c r="D16916">
        <v>458</v>
      </c>
      <c r="E16916">
        <v>9873901</v>
      </c>
      <c r="F16916">
        <v>26</v>
      </c>
      <c r="G16916">
        <v>0</v>
      </c>
      <c r="H16916" t="s">
        <v>21753</v>
      </c>
      <c r="I16916">
        <v>19232</v>
      </c>
      <c r="J16916" t="str">
        <f>VLOOKUP(E16916,DSSpieler!A:B,2,FALSE)</f>
        <v>Ankylus</v>
      </c>
    </row>
    <row r="16917" spans="1:10" x14ac:dyDescent="0.25">
      <c r="A16917">
        <v>19233</v>
      </c>
      <c r="B16917" t="s">
        <v>3506</v>
      </c>
      <c r="C16917">
        <v>465</v>
      </c>
      <c r="D16917">
        <v>399</v>
      </c>
      <c r="E16917">
        <v>1576975949</v>
      </c>
      <c r="F16917">
        <v>1248</v>
      </c>
      <c r="G16917">
        <v>0</v>
      </c>
      <c r="H16917" t="s">
        <v>21754</v>
      </c>
      <c r="I16917">
        <v>19233</v>
      </c>
      <c r="J16917" t="str">
        <f>VLOOKUP(E16917,DSSpieler!A:B,2,FALSE)</f>
        <v>Dat Boi</v>
      </c>
    </row>
    <row r="16918" spans="1:10" x14ac:dyDescent="0.25">
      <c r="A16918">
        <v>19234</v>
      </c>
      <c r="B16918" t="s">
        <v>531</v>
      </c>
      <c r="C16918">
        <v>601</v>
      </c>
      <c r="D16918">
        <v>414</v>
      </c>
      <c r="E16918">
        <v>0</v>
      </c>
      <c r="F16918">
        <v>81</v>
      </c>
      <c r="G16918">
        <v>0</v>
      </c>
      <c r="H16918" t="s">
        <v>21755</v>
      </c>
      <c r="I16918">
        <v>19234</v>
      </c>
      <c r="J16918" t="e">
        <f>VLOOKUP(E16918,DSSpieler!A:B,2,FALSE)</f>
        <v>#N/A</v>
      </c>
    </row>
    <row r="16919" spans="1:10" x14ac:dyDescent="0.25">
      <c r="A16919">
        <v>19235</v>
      </c>
      <c r="B16919" t="s">
        <v>3507</v>
      </c>
      <c r="C16919">
        <v>453</v>
      </c>
      <c r="D16919">
        <v>381</v>
      </c>
      <c r="E16919">
        <v>2557643</v>
      </c>
      <c r="F16919">
        <v>91</v>
      </c>
      <c r="G16919">
        <v>0</v>
      </c>
      <c r="H16919" t="s">
        <v>21756</v>
      </c>
      <c r="I16919">
        <v>19235</v>
      </c>
      <c r="J16919" t="str">
        <f>VLOOKUP(E16919,DSSpieler!A:B,2,FALSE)</f>
        <v>maix de paix</v>
      </c>
    </row>
    <row r="16920" spans="1:10" x14ac:dyDescent="0.25">
      <c r="A16920">
        <v>19236</v>
      </c>
      <c r="B16920" t="s">
        <v>3508</v>
      </c>
      <c r="C16920">
        <v>541</v>
      </c>
      <c r="D16920">
        <v>621</v>
      </c>
      <c r="E16920">
        <v>882734</v>
      </c>
      <c r="F16920">
        <v>342</v>
      </c>
      <c r="G16920">
        <v>0</v>
      </c>
      <c r="H16920" t="s">
        <v>21757</v>
      </c>
      <c r="I16920">
        <v>19236</v>
      </c>
      <c r="J16920" t="str">
        <f>VLOOKUP(E16920,DSSpieler!A:B,2,FALSE)</f>
        <v>Mr.Lange</v>
      </c>
    </row>
    <row r="16921" spans="1:10" x14ac:dyDescent="0.25">
      <c r="A16921">
        <v>19237</v>
      </c>
      <c r="B16921" t="s">
        <v>3509</v>
      </c>
      <c r="C16921">
        <v>555</v>
      </c>
      <c r="D16921">
        <v>391</v>
      </c>
      <c r="E16921">
        <v>1577061927</v>
      </c>
      <c r="F16921">
        <v>543</v>
      </c>
      <c r="G16921">
        <v>0</v>
      </c>
      <c r="H16921" t="s">
        <v>21758</v>
      </c>
      <c r="I16921">
        <v>19237</v>
      </c>
      <c r="J16921" t="str">
        <f>VLOOKUP(E16921,DSSpieler!A:B,2,FALSE)</f>
        <v>timi</v>
      </c>
    </row>
    <row r="16922" spans="1:10" x14ac:dyDescent="0.25">
      <c r="A16922">
        <v>19238</v>
      </c>
      <c r="B16922" t="s">
        <v>3510</v>
      </c>
      <c r="C16922">
        <v>559</v>
      </c>
      <c r="D16922">
        <v>384</v>
      </c>
      <c r="E16922">
        <v>1576860154</v>
      </c>
      <c r="F16922">
        <v>1206</v>
      </c>
      <c r="G16922">
        <v>0</v>
      </c>
      <c r="H16922" t="s">
        <v>21759</v>
      </c>
      <c r="I16922">
        <v>19238</v>
      </c>
      <c r="J16922" t="str">
        <f>VLOOKUP(E16922,DSSpieler!A:B,2,FALSE)</f>
        <v>Schlucke13</v>
      </c>
    </row>
    <row r="16923" spans="1:10" x14ac:dyDescent="0.25">
      <c r="A16923">
        <v>19239</v>
      </c>
      <c r="B16923" t="s">
        <v>3511</v>
      </c>
      <c r="C16923">
        <v>375</v>
      </c>
      <c r="D16923">
        <v>545</v>
      </c>
      <c r="E16923">
        <v>1577205836</v>
      </c>
      <c r="F16923">
        <v>1066</v>
      </c>
      <c r="G16923">
        <v>0</v>
      </c>
      <c r="H16923" t="s">
        <v>21760</v>
      </c>
      <c r="I16923">
        <v>19239</v>
      </c>
      <c r="J16923" t="str">
        <f>VLOOKUP(E16923,DSSpieler!A:B,2,FALSE)</f>
        <v>Wegal</v>
      </c>
    </row>
    <row r="16924" spans="1:10" x14ac:dyDescent="0.25">
      <c r="A16924">
        <v>19240</v>
      </c>
      <c r="B16924" t="s">
        <v>3512</v>
      </c>
      <c r="C16924">
        <v>429</v>
      </c>
      <c r="D16924">
        <v>388</v>
      </c>
      <c r="E16924">
        <v>1577187006</v>
      </c>
      <c r="F16924">
        <v>263</v>
      </c>
      <c r="G16924">
        <v>0</v>
      </c>
      <c r="H16924" t="s">
        <v>21761</v>
      </c>
      <c r="I16924">
        <v>19240</v>
      </c>
      <c r="J16924" t="str">
        <f>VLOOKUP(E16924,DSSpieler!A:B,2,FALSE)</f>
        <v>Jason94</v>
      </c>
    </row>
    <row r="16925" spans="1:10" x14ac:dyDescent="0.25">
      <c r="A16925">
        <v>19241</v>
      </c>
      <c r="B16925" t="s">
        <v>3513</v>
      </c>
      <c r="C16925">
        <v>601</v>
      </c>
      <c r="D16925">
        <v>416</v>
      </c>
      <c r="E16925">
        <v>1577125095</v>
      </c>
      <c r="F16925">
        <v>26</v>
      </c>
      <c r="G16925">
        <v>0</v>
      </c>
      <c r="H16925" t="s">
        <v>21762</v>
      </c>
      <c r="I16925">
        <v>19241</v>
      </c>
      <c r="J16925" t="str">
        <f>VLOOKUP(E16925,DSSpieler!A:B,2,FALSE)</f>
        <v>wigger224</v>
      </c>
    </row>
    <row r="16926" spans="1:10" x14ac:dyDescent="0.25">
      <c r="A16926">
        <v>19242</v>
      </c>
      <c r="B16926" t="s">
        <v>3514</v>
      </c>
      <c r="C16926">
        <v>370</v>
      </c>
      <c r="D16926">
        <v>492</v>
      </c>
      <c r="E16926">
        <v>1577207285</v>
      </c>
      <c r="F16926">
        <v>73</v>
      </c>
      <c r="G16926">
        <v>0</v>
      </c>
      <c r="H16926" t="s">
        <v>21763</v>
      </c>
      <c r="I16926">
        <v>19242</v>
      </c>
      <c r="J16926" t="str">
        <f>VLOOKUP(E16926,DSSpieler!A:B,2,FALSE)</f>
        <v>Dolf 0815</v>
      </c>
    </row>
    <row r="16927" spans="1:10" x14ac:dyDescent="0.25">
      <c r="A16927">
        <v>19243</v>
      </c>
      <c r="B16927" t="s">
        <v>3515</v>
      </c>
      <c r="C16927">
        <v>623</v>
      </c>
      <c r="D16927">
        <v>461</v>
      </c>
      <c r="E16927">
        <v>1577025836</v>
      </c>
      <c r="F16927">
        <v>83</v>
      </c>
      <c r="G16927">
        <v>0</v>
      </c>
      <c r="H16927" t="s">
        <v>21764</v>
      </c>
      <c r="I16927">
        <v>19243</v>
      </c>
      <c r="J16927" t="str">
        <f>VLOOKUP(E16927,DSSpieler!A:B,2,FALSE)</f>
        <v>Lasarius Slukus</v>
      </c>
    </row>
    <row r="16928" spans="1:10" x14ac:dyDescent="0.25">
      <c r="A16928">
        <v>19244</v>
      </c>
      <c r="B16928" t="s">
        <v>3516</v>
      </c>
      <c r="C16928">
        <v>605</v>
      </c>
      <c r="D16928">
        <v>439</v>
      </c>
      <c r="E16928">
        <v>8656912</v>
      </c>
      <c r="F16928">
        <v>687</v>
      </c>
      <c r="G16928">
        <v>0</v>
      </c>
      <c r="H16928" t="s">
        <v>21765</v>
      </c>
      <c r="I16928">
        <v>19244</v>
      </c>
      <c r="J16928" t="str">
        <f>VLOOKUP(E16928,DSSpieler!A:B,2,FALSE)</f>
        <v>Hartmann.</v>
      </c>
    </row>
    <row r="16929" spans="1:10" x14ac:dyDescent="0.25">
      <c r="A16929">
        <v>19245</v>
      </c>
      <c r="B16929" t="s">
        <v>3517</v>
      </c>
      <c r="C16929">
        <v>581</v>
      </c>
      <c r="D16929">
        <v>587</v>
      </c>
      <c r="E16929">
        <v>8767416</v>
      </c>
      <c r="F16929">
        <v>1079</v>
      </c>
      <c r="G16929">
        <v>0</v>
      </c>
      <c r="H16929" t="s">
        <v>21766</v>
      </c>
      <c r="I16929">
        <v>19245</v>
      </c>
      <c r="J16929" t="str">
        <f>VLOOKUP(E16929,DSSpieler!A:B,2,FALSE)</f>
        <v>Elektrixel</v>
      </c>
    </row>
    <row r="16930" spans="1:10" x14ac:dyDescent="0.25">
      <c r="A16930">
        <v>19247</v>
      </c>
      <c r="B16930" t="s">
        <v>3518</v>
      </c>
      <c r="C16930">
        <v>431</v>
      </c>
      <c r="D16930">
        <v>395</v>
      </c>
      <c r="E16930">
        <v>1577207294</v>
      </c>
      <c r="F16930">
        <v>197</v>
      </c>
      <c r="G16930">
        <v>0</v>
      </c>
      <c r="H16930" t="s">
        <v>21767</v>
      </c>
      <c r="I16930">
        <v>19247</v>
      </c>
      <c r="J16930" t="str">
        <f>VLOOKUP(E16930,DSSpieler!A:B,2,FALSE)</f>
        <v>Lord Marsh</v>
      </c>
    </row>
    <row r="16931" spans="1:10" x14ac:dyDescent="0.25">
      <c r="A16931">
        <v>19249</v>
      </c>
      <c r="B16931" t="s">
        <v>3519</v>
      </c>
      <c r="C16931">
        <v>587</v>
      </c>
      <c r="D16931">
        <v>400</v>
      </c>
      <c r="E16931">
        <v>1577174007</v>
      </c>
      <c r="F16931">
        <v>232</v>
      </c>
      <c r="G16931">
        <v>0</v>
      </c>
      <c r="H16931" t="s">
        <v>21768</v>
      </c>
      <c r="I16931">
        <v>19249</v>
      </c>
      <c r="J16931" t="str">
        <f>VLOOKUP(E16931,DSSpieler!A:B,2,FALSE)</f>
        <v>darksamy1</v>
      </c>
    </row>
    <row r="16932" spans="1:10" x14ac:dyDescent="0.25">
      <c r="A16932">
        <v>19250</v>
      </c>
      <c r="B16932" t="s">
        <v>531</v>
      </c>
      <c r="C16932">
        <v>483</v>
      </c>
      <c r="D16932">
        <v>368</v>
      </c>
      <c r="E16932">
        <v>0</v>
      </c>
      <c r="F16932">
        <v>84</v>
      </c>
      <c r="G16932">
        <v>0</v>
      </c>
      <c r="H16932" t="s">
        <v>21769</v>
      </c>
      <c r="I16932">
        <v>19250</v>
      </c>
      <c r="J16932" t="e">
        <f>VLOOKUP(E16932,DSSpieler!A:B,2,FALSE)</f>
        <v>#N/A</v>
      </c>
    </row>
    <row r="16933" spans="1:10" x14ac:dyDescent="0.25">
      <c r="A16933">
        <v>19251</v>
      </c>
      <c r="B16933" t="s">
        <v>35674</v>
      </c>
      <c r="C16933">
        <v>597</v>
      </c>
      <c r="D16933">
        <v>412</v>
      </c>
      <c r="E16933">
        <v>1577154496</v>
      </c>
      <c r="F16933">
        <v>26</v>
      </c>
      <c r="G16933">
        <v>0</v>
      </c>
      <c r="H16933" t="s">
        <v>21770</v>
      </c>
      <c r="I16933">
        <v>19251</v>
      </c>
      <c r="J16933" t="str">
        <f>VLOOKUP(E16933,DSSpieler!A:B,2,FALSE)</f>
        <v>Wäldianer</v>
      </c>
    </row>
    <row r="16934" spans="1:10" x14ac:dyDescent="0.25">
      <c r="A16934">
        <v>19252</v>
      </c>
      <c r="B16934" t="s">
        <v>3520</v>
      </c>
      <c r="C16934">
        <v>549</v>
      </c>
      <c r="D16934">
        <v>392</v>
      </c>
      <c r="E16934">
        <v>1577076991</v>
      </c>
      <c r="F16934">
        <v>748</v>
      </c>
      <c r="G16934">
        <v>0</v>
      </c>
      <c r="H16934" t="s">
        <v>21771</v>
      </c>
      <c r="I16934">
        <v>19252</v>
      </c>
      <c r="J16934" t="str">
        <f>VLOOKUP(E16934,DSSpieler!A:B,2,FALSE)</f>
        <v>basti263</v>
      </c>
    </row>
    <row r="16935" spans="1:10" x14ac:dyDescent="0.25">
      <c r="A16935">
        <v>19253</v>
      </c>
      <c r="B16935" t="s">
        <v>3521</v>
      </c>
      <c r="C16935">
        <v>391</v>
      </c>
      <c r="D16935">
        <v>478</v>
      </c>
      <c r="E16935">
        <v>1577033820</v>
      </c>
      <c r="F16935">
        <v>422</v>
      </c>
      <c r="G16935">
        <v>0</v>
      </c>
      <c r="H16935" t="s">
        <v>21772</v>
      </c>
      <c r="I16935">
        <v>19253</v>
      </c>
      <c r="J16935" t="str">
        <f>VLOOKUP(E16935,DSSpieler!A:B,2,FALSE)</f>
        <v>SolomonKanee</v>
      </c>
    </row>
    <row r="16936" spans="1:10" x14ac:dyDescent="0.25">
      <c r="A16936">
        <v>19255</v>
      </c>
      <c r="B16936" t="s">
        <v>35675</v>
      </c>
      <c r="C16936">
        <v>546</v>
      </c>
      <c r="D16936">
        <v>525</v>
      </c>
      <c r="E16936">
        <v>1577177591</v>
      </c>
      <c r="F16936">
        <v>1314</v>
      </c>
      <c r="G16936">
        <v>0</v>
      </c>
      <c r="H16936" t="s">
        <v>21773</v>
      </c>
      <c r="I16936">
        <v>19255</v>
      </c>
      <c r="J16936" t="str">
        <f>VLOOKUP(E16936,DSSpieler!A:B,2,FALSE)</f>
        <v>j.krek</v>
      </c>
    </row>
    <row r="16937" spans="1:10" x14ac:dyDescent="0.25">
      <c r="A16937">
        <v>19258</v>
      </c>
      <c r="B16937" t="s">
        <v>3522</v>
      </c>
      <c r="C16937">
        <v>485</v>
      </c>
      <c r="D16937">
        <v>627</v>
      </c>
      <c r="E16937">
        <v>1576094748</v>
      </c>
      <c r="F16937">
        <v>26</v>
      </c>
      <c r="G16937">
        <v>0</v>
      </c>
      <c r="H16937" t="s">
        <v>21774</v>
      </c>
      <c r="I16937">
        <v>19258</v>
      </c>
      <c r="J16937" t="str">
        <f>VLOOKUP(E16937,DSSpieler!A:B,2,FALSE)</f>
        <v>KingGrimmGork</v>
      </c>
    </row>
    <row r="16938" spans="1:10" x14ac:dyDescent="0.25">
      <c r="A16938">
        <v>19259</v>
      </c>
      <c r="B16938" t="s">
        <v>3523</v>
      </c>
      <c r="C16938">
        <v>455</v>
      </c>
      <c r="D16938">
        <v>616</v>
      </c>
      <c r="E16938">
        <v>1577177197</v>
      </c>
      <c r="F16938">
        <v>269</v>
      </c>
      <c r="G16938">
        <v>0</v>
      </c>
      <c r="H16938" t="s">
        <v>21775</v>
      </c>
      <c r="I16938">
        <v>19259</v>
      </c>
      <c r="J16938" t="str">
        <f>VLOOKUP(E16938,DSSpieler!A:B,2,FALSE)</f>
        <v>IronBarWolf</v>
      </c>
    </row>
    <row r="16939" spans="1:10" x14ac:dyDescent="0.25">
      <c r="A16939">
        <v>19260</v>
      </c>
      <c r="B16939" t="s">
        <v>3524</v>
      </c>
      <c r="C16939">
        <v>427</v>
      </c>
      <c r="D16939">
        <v>591</v>
      </c>
      <c r="E16939">
        <v>10023784</v>
      </c>
      <c r="F16939">
        <v>77</v>
      </c>
      <c r="G16939">
        <v>0</v>
      </c>
      <c r="H16939" t="s">
        <v>21776</v>
      </c>
      <c r="I16939">
        <v>19260</v>
      </c>
      <c r="J16939" t="str">
        <f>VLOOKUP(E16939,DSSpieler!A:B,2,FALSE)</f>
        <v>M3ss3rM3ist3r</v>
      </c>
    </row>
    <row r="16940" spans="1:10" x14ac:dyDescent="0.25">
      <c r="A16940">
        <v>19261</v>
      </c>
      <c r="B16940" t="s">
        <v>35676</v>
      </c>
      <c r="C16940">
        <v>620</v>
      </c>
      <c r="D16940">
        <v>449</v>
      </c>
      <c r="E16940">
        <v>1577100839</v>
      </c>
      <c r="F16940">
        <v>26</v>
      </c>
      <c r="G16940">
        <v>0</v>
      </c>
      <c r="H16940" t="s">
        <v>21777</v>
      </c>
      <c r="I16940">
        <v>19261</v>
      </c>
      <c r="J16940" t="str">
        <f>VLOOKUP(E16940,DSSpieler!A:B,2,FALSE)</f>
        <v>Harvey*</v>
      </c>
    </row>
    <row r="16941" spans="1:10" x14ac:dyDescent="0.25">
      <c r="A16941">
        <v>19263</v>
      </c>
      <c r="B16941" t="s">
        <v>3525</v>
      </c>
      <c r="C16941">
        <v>574</v>
      </c>
      <c r="D16941">
        <v>611</v>
      </c>
      <c r="E16941">
        <v>1577197284</v>
      </c>
      <c r="F16941">
        <v>979</v>
      </c>
      <c r="G16941">
        <v>0</v>
      </c>
      <c r="H16941" t="s">
        <v>21778</v>
      </c>
      <c r="I16941">
        <v>19263</v>
      </c>
      <c r="J16941" t="str">
        <f>VLOOKUP(E16941,DSSpieler!A:B,2,FALSE)</f>
        <v>DexOshikuru</v>
      </c>
    </row>
    <row r="16942" spans="1:10" x14ac:dyDescent="0.25">
      <c r="A16942">
        <v>19264</v>
      </c>
      <c r="B16942" t="s">
        <v>3526</v>
      </c>
      <c r="C16942">
        <v>569</v>
      </c>
      <c r="D16942">
        <v>614</v>
      </c>
      <c r="E16942">
        <v>1577145164</v>
      </c>
      <c r="F16942">
        <v>108</v>
      </c>
      <c r="G16942">
        <v>0</v>
      </c>
      <c r="H16942" t="s">
        <v>21779</v>
      </c>
      <c r="I16942">
        <v>19264</v>
      </c>
      <c r="J16942" t="str">
        <f>VLOOKUP(E16942,DSSpieler!A:B,2,FALSE)</f>
        <v>vester1</v>
      </c>
    </row>
    <row r="16943" spans="1:10" x14ac:dyDescent="0.25">
      <c r="A16943">
        <v>19266</v>
      </c>
      <c r="B16943" t="s">
        <v>35677</v>
      </c>
      <c r="C16943">
        <v>578</v>
      </c>
      <c r="D16943">
        <v>606</v>
      </c>
      <c r="E16943">
        <v>10263957</v>
      </c>
      <c r="F16943">
        <v>26</v>
      </c>
      <c r="G16943">
        <v>0</v>
      </c>
      <c r="H16943" t="s">
        <v>21780</v>
      </c>
      <c r="I16943">
        <v>19266</v>
      </c>
      <c r="J16943" t="str">
        <f>VLOOKUP(E16943,DSSpieler!A:B,2,FALSE)</f>
        <v>Karthager***</v>
      </c>
    </row>
    <row r="16944" spans="1:10" x14ac:dyDescent="0.25">
      <c r="A16944">
        <v>19267</v>
      </c>
      <c r="B16944" t="s">
        <v>3527</v>
      </c>
      <c r="C16944">
        <v>506</v>
      </c>
      <c r="D16944">
        <v>367</v>
      </c>
      <c r="E16944">
        <v>1577194181</v>
      </c>
      <c r="F16944">
        <v>26</v>
      </c>
      <c r="G16944">
        <v>0</v>
      </c>
      <c r="H16944" t="s">
        <v>21781</v>
      </c>
      <c r="I16944">
        <v>19267</v>
      </c>
      <c r="J16944" t="str">
        <f>VLOOKUP(E16944,DSSpieler!A:B,2,FALSE)</f>
        <v>Jeder90</v>
      </c>
    </row>
    <row r="16945" spans="1:10" x14ac:dyDescent="0.25">
      <c r="A16945">
        <v>19268</v>
      </c>
      <c r="B16945" t="s">
        <v>3528</v>
      </c>
      <c r="C16945">
        <v>629</v>
      </c>
      <c r="D16945">
        <v>531</v>
      </c>
      <c r="E16945">
        <v>3259974</v>
      </c>
      <c r="F16945">
        <v>26</v>
      </c>
      <c r="G16945">
        <v>0</v>
      </c>
      <c r="H16945" t="s">
        <v>21782</v>
      </c>
      <c r="I16945">
        <v>19268</v>
      </c>
      <c r="J16945" t="str">
        <f>VLOOKUP(E16945,DSSpieler!A:B,2,FALSE)</f>
        <v>parps01</v>
      </c>
    </row>
    <row r="16946" spans="1:10" x14ac:dyDescent="0.25">
      <c r="A16946">
        <v>19269</v>
      </c>
      <c r="B16946" t="s">
        <v>3529</v>
      </c>
      <c r="C16946">
        <v>372</v>
      </c>
      <c r="D16946">
        <v>528</v>
      </c>
      <c r="E16946">
        <v>8772145</v>
      </c>
      <c r="F16946">
        <v>253</v>
      </c>
      <c r="G16946">
        <v>0</v>
      </c>
      <c r="H16946" t="s">
        <v>21783</v>
      </c>
      <c r="I16946">
        <v>19269</v>
      </c>
      <c r="J16946" t="str">
        <f>VLOOKUP(E16946,DSSpieler!A:B,2,FALSE)</f>
        <v>VAN THELEN</v>
      </c>
    </row>
    <row r="16947" spans="1:10" x14ac:dyDescent="0.25">
      <c r="A16947">
        <v>19270</v>
      </c>
      <c r="B16947" t="s">
        <v>3530</v>
      </c>
      <c r="C16947">
        <v>597</v>
      </c>
      <c r="D16947">
        <v>407</v>
      </c>
      <c r="E16947">
        <v>1577194375</v>
      </c>
      <c r="F16947">
        <v>26</v>
      </c>
      <c r="G16947">
        <v>0</v>
      </c>
      <c r="H16947" t="s">
        <v>21784</v>
      </c>
      <c r="I16947">
        <v>19270</v>
      </c>
      <c r="J16947" t="str">
        <f>VLOOKUP(E16947,DSSpieler!A:B,2,FALSE)</f>
        <v>tgbvfr</v>
      </c>
    </row>
    <row r="16948" spans="1:10" x14ac:dyDescent="0.25">
      <c r="A16948">
        <v>19271</v>
      </c>
      <c r="B16948" t="s">
        <v>3531</v>
      </c>
      <c r="C16948">
        <v>490</v>
      </c>
      <c r="D16948">
        <v>393</v>
      </c>
      <c r="E16948">
        <v>1546663</v>
      </c>
      <c r="F16948">
        <v>2406</v>
      </c>
      <c r="G16948">
        <v>0</v>
      </c>
      <c r="H16948" t="s">
        <v>21785</v>
      </c>
      <c r="I16948">
        <v>19271</v>
      </c>
      <c r="J16948" t="str">
        <f>VLOOKUP(E16948,DSSpieler!A:B,2,FALSE)</f>
        <v>Stevesworldaid</v>
      </c>
    </row>
    <row r="16949" spans="1:10" x14ac:dyDescent="0.25">
      <c r="A16949">
        <v>19272</v>
      </c>
      <c r="B16949" t="s">
        <v>3532</v>
      </c>
      <c r="C16949">
        <v>373</v>
      </c>
      <c r="D16949">
        <v>515</v>
      </c>
      <c r="E16949">
        <v>2225843</v>
      </c>
      <c r="F16949">
        <v>169</v>
      </c>
      <c r="G16949">
        <v>0</v>
      </c>
      <c r="H16949" t="s">
        <v>21786</v>
      </c>
      <c r="I16949">
        <v>19272</v>
      </c>
      <c r="J16949" t="str">
        <f>VLOOKUP(E16949,DSSpieler!A:B,2,FALSE)</f>
        <v>torsten2409</v>
      </c>
    </row>
    <row r="16950" spans="1:10" x14ac:dyDescent="0.25">
      <c r="A16950">
        <v>19273</v>
      </c>
      <c r="B16950" t="s">
        <v>3533</v>
      </c>
      <c r="C16950">
        <v>592</v>
      </c>
      <c r="D16950">
        <v>590</v>
      </c>
      <c r="E16950">
        <v>1577180020</v>
      </c>
      <c r="F16950">
        <v>74</v>
      </c>
      <c r="G16950">
        <v>0</v>
      </c>
      <c r="H16950" t="s">
        <v>21787</v>
      </c>
      <c r="I16950">
        <v>19273</v>
      </c>
      <c r="J16950" t="str">
        <f>VLOOKUP(E16950,DSSpieler!A:B,2,FALSE)</f>
        <v>Scharlo</v>
      </c>
    </row>
    <row r="16951" spans="1:10" x14ac:dyDescent="0.25">
      <c r="A16951">
        <v>19274</v>
      </c>
      <c r="B16951" t="s">
        <v>35678</v>
      </c>
      <c r="C16951">
        <v>627</v>
      </c>
      <c r="D16951">
        <v>467</v>
      </c>
      <c r="E16951">
        <v>3232286</v>
      </c>
      <c r="F16951">
        <v>1116</v>
      </c>
      <c r="G16951">
        <v>0</v>
      </c>
      <c r="H16951" t="s">
        <v>21788</v>
      </c>
      <c r="I16951">
        <v>19274</v>
      </c>
      <c r="J16951" t="str">
        <f>VLOOKUP(E16951,DSSpieler!A:B,2,FALSE)</f>
        <v>Chaosdragon1992</v>
      </c>
    </row>
    <row r="16952" spans="1:10" x14ac:dyDescent="0.25">
      <c r="A16952">
        <v>19276</v>
      </c>
      <c r="B16952" t="s">
        <v>35679</v>
      </c>
      <c r="C16952">
        <v>373</v>
      </c>
      <c r="D16952">
        <v>481</v>
      </c>
      <c r="E16952">
        <v>1576983367</v>
      </c>
      <c r="F16952">
        <v>527</v>
      </c>
      <c r="G16952">
        <v>0</v>
      </c>
      <c r="H16952" t="s">
        <v>21789</v>
      </c>
      <c r="I16952">
        <v>19276</v>
      </c>
      <c r="J16952" t="str">
        <f>VLOOKUP(E16952,DSSpieler!A:B,2,FALSE)</f>
        <v>mustea</v>
      </c>
    </row>
    <row r="16953" spans="1:10" x14ac:dyDescent="0.25">
      <c r="A16953">
        <v>19277</v>
      </c>
      <c r="B16953" t="s">
        <v>3534</v>
      </c>
      <c r="C16953">
        <v>453</v>
      </c>
      <c r="D16953">
        <v>619</v>
      </c>
      <c r="E16953">
        <v>1576836514</v>
      </c>
      <c r="F16953">
        <v>252</v>
      </c>
      <c r="G16953">
        <v>0</v>
      </c>
      <c r="H16953" t="s">
        <v>21790</v>
      </c>
      <c r="I16953">
        <v>19277</v>
      </c>
      <c r="J16953" t="str">
        <f>VLOOKUP(E16953,DSSpieler!A:B,2,FALSE)</f>
        <v>Guter Freund</v>
      </c>
    </row>
    <row r="16954" spans="1:10" x14ac:dyDescent="0.25">
      <c r="A16954">
        <v>19278</v>
      </c>
      <c r="B16954" t="s">
        <v>3535</v>
      </c>
      <c r="C16954">
        <v>405</v>
      </c>
      <c r="D16954">
        <v>594</v>
      </c>
      <c r="E16954">
        <v>1577207168</v>
      </c>
      <c r="F16954">
        <v>984</v>
      </c>
      <c r="G16954">
        <v>0</v>
      </c>
      <c r="H16954" t="s">
        <v>21791</v>
      </c>
      <c r="I16954">
        <v>19278</v>
      </c>
      <c r="J16954" t="str">
        <f>VLOOKUP(E16954,DSSpieler!A:B,2,FALSE)</f>
        <v>Schachmatt3</v>
      </c>
    </row>
    <row r="16955" spans="1:10" x14ac:dyDescent="0.25">
      <c r="A16955">
        <v>19279</v>
      </c>
      <c r="B16955" t="s">
        <v>3536</v>
      </c>
      <c r="C16955">
        <v>469</v>
      </c>
      <c r="D16955">
        <v>372</v>
      </c>
      <c r="E16955">
        <v>1577204233</v>
      </c>
      <c r="F16955">
        <v>1138</v>
      </c>
      <c r="G16955">
        <v>0</v>
      </c>
      <c r="H16955" t="s">
        <v>21792</v>
      </c>
      <c r="I16955">
        <v>19279</v>
      </c>
      <c r="J16955" t="str">
        <f>VLOOKUP(E16955,DSSpieler!A:B,2,FALSE)</f>
        <v>slegah</v>
      </c>
    </row>
    <row r="16956" spans="1:10" x14ac:dyDescent="0.25">
      <c r="A16956">
        <v>19280</v>
      </c>
      <c r="B16956" t="s">
        <v>531</v>
      </c>
      <c r="C16956">
        <v>388</v>
      </c>
      <c r="D16956">
        <v>431</v>
      </c>
      <c r="E16956">
        <v>0</v>
      </c>
      <c r="F16956">
        <v>97</v>
      </c>
      <c r="G16956">
        <v>0</v>
      </c>
      <c r="H16956" t="s">
        <v>21793</v>
      </c>
      <c r="I16956">
        <v>19280</v>
      </c>
      <c r="J16956" t="e">
        <f>VLOOKUP(E16956,DSSpieler!A:B,2,FALSE)</f>
        <v>#N/A</v>
      </c>
    </row>
    <row r="16957" spans="1:10" x14ac:dyDescent="0.25">
      <c r="A16957">
        <v>19281</v>
      </c>
      <c r="B16957" t="s">
        <v>3537</v>
      </c>
      <c r="C16957">
        <v>632</v>
      </c>
      <c r="D16957">
        <v>512</v>
      </c>
      <c r="E16957">
        <v>1577176262</v>
      </c>
      <c r="F16957">
        <v>399</v>
      </c>
      <c r="G16957">
        <v>0</v>
      </c>
      <c r="H16957" t="s">
        <v>21794</v>
      </c>
      <c r="I16957">
        <v>19281</v>
      </c>
      <c r="J16957" t="str">
        <f>VLOOKUP(E16957,DSSpieler!A:B,2,FALSE)</f>
        <v>Mantga</v>
      </c>
    </row>
    <row r="16958" spans="1:10" x14ac:dyDescent="0.25">
      <c r="A16958">
        <v>19282</v>
      </c>
      <c r="B16958" t="s">
        <v>3538</v>
      </c>
      <c r="C16958">
        <v>627</v>
      </c>
      <c r="D16958">
        <v>543</v>
      </c>
      <c r="E16958">
        <v>1577185603</v>
      </c>
      <c r="F16958">
        <v>763</v>
      </c>
      <c r="G16958">
        <v>0</v>
      </c>
      <c r="H16958" t="s">
        <v>21795</v>
      </c>
      <c r="I16958">
        <v>19282</v>
      </c>
      <c r="J16958" t="str">
        <f>VLOOKUP(E16958,DSSpieler!A:B,2,FALSE)</f>
        <v>hecht.2</v>
      </c>
    </row>
    <row r="16959" spans="1:10" x14ac:dyDescent="0.25">
      <c r="A16959">
        <v>19283</v>
      </c>
      <c r="B16959" t="s">
        <v>3539</v>
      </c>
      <c r="C16959">
        <v>398</v>
      </c>
      <c r="D16959">
        <v>415</v>
      </c>
      <c r="E16959">
        <v>8766603</v>
      </c>
      <c r="F16959">
        <v>237</v>
      </c>
      <c r="G16959">
        <v>0</v>
      </c>
      <c r="H16959" t="s">
        <v>21796</v>
      </c>
      <c r="I16959">
        <v>19283</v>
      </c>
      <c r="J16959" t="str">
        <f>VLOOKUP(E16959,DSSpieler!A:B,2,FALSE)</f>
        <v>reporunner</v>
      </c>
    </row>
    <row r="16960" spans="1:10" x14ac:dyDescent="0.25">
      <c r="A16960">
        <v>19284</v>
      </c>
      <c r="B16960" t="s">
        <v>3540</v>
      </c>
      <c r="C16960">
        <v>429</v>
      </c>
      <c r="D16960">
        <v>613</v>
      </c>
      <c r="E16960">
        <v>1577199452</v>
      </c>
      <c r="F16960">
        <v>166</v>
      </c>
      <c r="G16960">
        <v>0</v>
      </c>
      <c r="H16960" t="s">
        <v>21797</v>
      </c>
      <c r="I16960">
        <v>19284</v>
      </c>
      <c r="J16960" t="str">
        <f>VLOOKUP(E16960,DSSpieler!A:B,2,FALSE)</f>
        <v>Sebi386</v>
      </c>
    </row>
    <row r="16961" spans="1:10" x14ac:dyDescent="0.25">
      <c r="A16961">
        <v>19285</v>
      </c>
      <c r="B16961" t="s">
        <v>3541</v>
      </c>
      <c r="C16961">
        <v>478</v>
      </c>
      <c r="D16961">
        <v>595</v>
      </c>
      <c r="E16961">
        <v>1577207349</v>
      </c>
      <c r="F16961">
        <v>652</v>
      </c>
      <c r="G16961">
        <v>0</v>
      </c>
      <c r="H16961" t="s">
        <v>21798</v>
      </c>
      <c r="I16961">
        <v>19285</v>
      </c>
      <c r="J16961" t="str">
        <f>VLOOKUP(E16961,DSSpieler!A:B,2,FALSE)</f>
        <v>Alcrus</v>
      </c>
    </row>
    <row r="16962" spans="1:10" x14ac:dyDescent="0.25">
      <c r="A16962">
        <v>19286</v>
      </c>
      <c r="B16962" t="s">
        <v>3542</v>
      </c>
      <c r="C16962">
        <v>630</v>
      </c>
      <c r="D16962">
        <v>500</v>
      </c>
      <c r="E16962">
        <v>1577206373</v>
      </c>
      <c r="F16962">
        <v>994</v>
      </c>
      <c r="G16962">
        <v>0</v>
      </c>
      <c r="H16962" t="s">
        <v>21799</v>
      </c>
      <c r="I16962">
        <v>19286</v>
      </c>
      <c r="J16962" t="str">
        <f>VLOOKUP(E16962,DSSpieler!A:B,2,FALSE)</f>
        <v>Rehster</v>
      </c>
    </row>
    <row r="16963" spans="1:10" x14ac:dyDescent="0.25">
      <c r="A16963">
        <v>19287</v>
      </c>
      <c r="B16963" t="s">
        <v>3543</v>
      </c>
      <c r="C16963">
        <v>516</v>
      </c>
      <c r="D16963">
        <v>593</v>
      </c>
      <c r="E16963">
        <v>1577184205</v>
      </c>
      <c r="F16963">
        <v>95</v>
      </c>
      <c r="G16963">
        <v>0</v>
      </c>
      <c r="H16963" t="s">
        <v>21800</v>
      </c>
      <c r="I16963">
        <v>19287</v>
      </c>
      <c r="J16963" t="str">
        <f>VLOOKUP(E16963,DSSpieler!A:B,2,FALSE)</f>
        <v>firesch</v>
      </c>
    </row>
    <row r="16964" spans="1:10" x14ac:dyDescent="0.25">
      <c r="A16964">
        <v>19288</v>
      </c>
      <c r="B16964" t="s">
        <v>3544</v>
      </c>
      <c r="C16964">
        <v>628</v>
      </c>
      <c r="D16964">
        <v>504</v>
      </c>
      <c r="E16964">
        <v>1577193797</v>
      </c>
      <c r="F16964">
        <v>471</v>
      </c>
      <c r="G16964">
        <v>0</v>
      </c>
      <c r="H16964" t="s">
        <v>21801</v>
      </c>
      <c r="I16964">
        <v>19288</v>
      </c>
      <c r="J16964" t="str">
        <f>VLOOKUP(E16964,DSSpieler!A:B,2,FALSE)</f>
        <v>Chlytaler</v>
      </c>
    </row>
    <row r="16965" spans="1:10" x14ac:dyDescent="0.25">
      <c r="A16965">
        <v>19289</v>
      </c>
      <c r="B16965" t="s">
        <v>3545</v>
      </c>
      <c r="C16965">
        <v>530</v>
      </c>
      <c r="D16965">
        <v>432</v>
      </c>
      <c r="E16965">
        <v>1576929151</v>
      </c>
      <c r="F16965">
        <v>85</v>
      </c>
      <c r="G16965">
        <v>0</v>
      </c>
      <c r="H16965" t="s">
        <v>21802</v>
      </c>
      <c r="I16965">
        <v>19289</v>
      </c>
      <c r="J16965" t="str">
        <f>VLOOKUP(E16965,DSSpieler!A:B,2,FALSE)</f>
        <v>eXouL</v>
      </c>
    </row>
    <row r="16966" spans="1:10" x14ac:dyDescent="0.25">
      <c r="A16966">
        <v>19290</v>
      </c>
      <c r="B16966" t="s">
        <v>1249</v>
      </c>
      <c r="C16966">
        <v>630</v>
      </c>
      <c r="D16966">
        <v>524</v>
      </c>
      <c r="E16966">
        <v>2072226</v>
      </c>
      <c r="F16966">
        <v>890</v>
      </c>
      <c r="G16966">
        <v>0</v>
      </c>
      <c r="H16966" t="s">
        <v>21803</v>
      </c>
      <c r="I16966">
        <v>19290</v>
      </c>
      <c r="J16966" t="str">
        <f>VLOOKUP(E16966,DSSpieler!A:B,2,FALSE)</f>
        <v>fubro</v>
      </c>
    </row>
    <row r="16967" spans="1:10" x14ac:dyDescent="0.25">
      <c r="A16967">
        <v>19291</v>
      </c>
      <c r="B16967" t="s">
        <v>531</v>
      </c>
      <c r="C16967">
        <v>417</v>
      </c>
      <c r="D16967">
        <v>398</v>
      </c>
      <c r="E16967">
        <v>0</v>
      </c>
      <c r="F16967">
        <v>96</v>
      </c>
      <c r="G16967">
        <v>0</v>
      </c>
      <c r="H16967" t="s">
        <v>21804</v>
      </c>
      <c r="I16967">
        <v>19291</v>
      </c>
      <c r="J16967" t="e">
        <f>VLOOKUP(E16967,DSSpieler!A:B,2,FALSE)</f>
        <v>#N/A</v>
      </c>
    </row>
    <row r="16968" spans="1:10" x14ac:dyDescent="0.25">
      <c r="A16968">
        <v>19292</v>
      </c>
      <c r="B16968" t="s">
        <v>3546</v>
      </c>
      <c r="C16968">
        <v>367</v>
      </c>
      <c r="D16968">
        <v>499</v>
      </c>
      <c r="E16968">
        <v>1576989867</v>
      </c>
      <c r="F16968">
        <v>94</v>
      </c>
      <c r="G16968">
        <v>0</v>
      </c>
      <c r="H16968" t="s">
        <v>21805</v>
      </c>
      <c r="I16968">
        <v>19292</v>
      </c>
      <c r="J16968" t="str">
        <f>VLOOKUP(E16968,DSSpieler!A:B,2,FALSE)</f>
        <v>Thidrik88</v>
      </c>
    </row>
    <row r="16969" spans="1:10" x14ac:dyDescent="0.25">
      <c r="A16969">
        <v>19293</v>
      </c>
      <c r="B16969" t="s">
        <v>35680</v>
      </c>
      <c r="C16969">
        <v>367</v>
      </c>
      <c r="D16969">
        <v>506</v>
      </c>
      <c r="E16969">
        <v>1577135463</v>
      </c>
      <c r="F16969">
        <v>455</v>
      </c>
      <c r="G16969">
        <v>0</v>
      </c>
      <c r="H16969" t="s">
        <v>21806</v>
      </c>
      <c r="I16969">
        <v>19293</v>
      </c>
      <c r="J16969" t="str">
        <f>VLOOKUP(E16969,DSSpieler!A:B,2,FALSE)</f>
        <v>legionärVll</v>
      </c>
    </row>
    <row r="16970" spans="1:10" x14ac:dyDescent="0.25">
      <c r="A16970">
        <v>19294</v>
      </c>
      <c r="B16970" t="s">
        <v>3547</v>
      </c>
      <c r="C16970">
        <v>606</v>
      </c>
      <c r="D16970">
        <v>420</v>
      </c>
      <c r="E16970">
        <v>1577139157</v>
      </c>
      <c r="F16970">
        <v>61</v>
      </c>
      <c r="G16970">
        <v>0</v>
      </c>
      <c r="H16970" t="s">
        <v>21807</v>
      </c>
      <c r="I16970">
        <v>19294</v>
      </c>
      <c r="J16970" t="str">
        <f>VLOOKUP(E16970,DSSpieler!A:B,2,FALSE)</f>
        <v>oViruz</v>
      </c>
    </row>
    <row r="16971" spans="1:10" x14ac:dyDescent="0.25">
      <c r="A16971">
        <v>19295</v>
      </c>
      <c r="B16971" t="s">
        <v>3548</v>
      </c>
      <c r="C16971">
        <v>469</v>
      </c>
      <c r="D16971">
        <v>628</v>
      </c>
      <c r="E16971">
        <v>1577182578</v>
      </c>
      <c r="F16971">
        <v>26</v>
      </c>
      <c r="G16971">
        <v>0</v>
      </c>
      <c r="H16971" t="s">
        <v>21808</v>
      </c>
      <c r="I16971">
        <v>19295</v>
      </c>
      <c r="J16971" t="str">
        <f>VLOOKUP(E16971,DSSpieler!A:B,2,FALSE)</f>
        <v>Daniel.18944</v>
      </c>
    </row>
    <row r="16972" spans="1:10" x14ac:dyDescent="0.25">
      <c r="A16972">
        <v>19296</v>
      </c>
      <c r="B16972" t="s">
        <v>3549</v>
      </c>
      <c r="C16972">
        <v>374</v>
      </c>
      <c r="D16972">
        <v>457</v>
      </c>
      <c r="E16972">
        <v>1576822838</v>
      </c>
      <c r="F16972">
        <v>71</v>
      </c>
      <c r="G16972">
        <v>0</v>
      </c>
      <c r="H16972" t="s">
        <v>21809</v>
      </c>
      <c r="I16972">
        <v>19296</v>
      </c>
      <c r="J16972" t="str">
        <f>VLOOKUP(E16972,DSSpieler!A:B,2,FALSE)</f>
        <v>MasterMidget</v>
      </c>
    </row>
    <row r="16973" spans="1:10" x14ac:dyDescent="0.25">
      <c r="A16973">
        <v>19297</v>
      </c>
      <c r="B16973" t="s">
        <v>3550</v>
      </c>
      <c r="C16973">
        <v>379</v>
      </c>
      <c r="D16973">
        <v>541</v>
      </c>
      <c r="E16973">
        <v>1577088604</v>
      </c>
      <c r="F16973">
        <v>57</v>
      </c>
      <c r="G16973">
        <v>0</v>
      </c>
      <c r="H16973" t="s">
        <v>21810</v>
      </c>
      <c r="I16973">
        <v>19297</v>
      </c>
      <c r="J16973" t="str">
        <f>VLOOKUP(E16973,DSSpieler!A:B,2,FALSE)</f>
        <v>mt383838</v>
      </c>
    </row>
    <row r="16974" spans="1:10" x14ac:dyDescent="0.25">
      <c r="A16974">
        <v>19298</v>
      </c>
      <c r="B16974" t="s">
        <v>3551</v>
      </c>
      <c r="C16974">
        <v>579</v>
      </c>
      <c r="D16974">
        <v>392</v>
      </c>
      <c r="E16974">
        <v>1577197602</v>
      </c>
      <c r="F16974">
        <v>26</v>
      </c>
      <c r="G16974">
        <v>0</v>
      </c>
      <c r="H16974" t="s">
        <v>21811</v>
      </c>
      <c r="I16974">
        <v>19298</v>
      </c>
      <c r="J16974" t="str">
        <f>VLOOKUP(E16974,DSSpieler!A:B,2,FALSE)</f>
        <v>Corji</v>
      </c>
    </row>
    <row r="16975" spans="1:10" x14ac:dyDescent="0.25">
      <c r="A16975">
        <v>19299</v>
      </c>
      <c r="B16975" t="s">
        <v>3552</v>
      </c>
      <c r="C16975">
        <v>430</v>
      </c>
      <c r="D16975">
        <v>391</v>
      </c>
      <c r="E16975">
        <v>1577207355</v>
      </c>
      <c r="F16975">
        <v>978</v>
      </c>
      <c r="G16975">
        <v>0</v>
      </c>
      <c r="H16975" t="s">
        <v>21812</v>
      </c>
      <c r="I16975">
        <v>19299</v>
      </c>
      <c r="J16975" t="str">
        <f>VLOOKUP(E16975,DSSpieler!A:B,2,FALSE)</f>
        <v>TheFiinn95</v>
      </c>
    </row>
    <row r="16976" spans="1:10" x14ac:dyDescent="0.25">
      <c r="A16976">
        <v>19300</v>
      </c>
      <c r="B16976" t="s">
        <v>3553</v>
      </c>
      <c r="C16976">
        <v>582</v>
      </c>
      <c r="D16976">
        <v>602</v>
      </c>
      <c r="E16976">
        <v>1576885101</v>
      </c>
      <c r="F16976">
        <v>1225</v>
      </c>
      <c r="G16976">
        <v>0</v>
      </c>
      <c r="H16976" t="s">
        <v>21813</v>
      </c>
      <c r="I16976">
        <v>19300</v>
      </c>
      <c r="J16976" t="str">
        <f>VLOOKUP(E16976,DSSpieler!A:B,2,FALSE)</f>
        <v>sambucaworld</v>
      </c>
    </row>
    <row r="16977" spans="1:10" x14ac:dyDescent="0.25">
      <c r="A16977">
        <v>19301</v>
      </c>
      <c r="B16977" t="s">
        <v>35681</v>
      </c>
      <c r="C16977">
        <v>566</v>
      </c>
      <c r="D16977">
        <v>383</v>
      </c>
      <c r="E16977">
        <v>1577207360</v>
      </c>
      <c r="F16977">
        <v>1024</v>
      </c>
      <c r="G16977">
        <v>0</v>
      </c>
      <c r="H16977" t="s">
        <v>21814</v>
      </c>
      <c r="I16977">
        <v>19301</v>
      </c>
      <c r="J16977" t="str">
        <f>VLOOKUP(E16977,DSSpieler!A:B,2,FALSE)</f>
        <v>Gottzila</v>
      </c>
    </row>
    <row r="16978" spans="1:10" x14ac:dyDescent="0.25">
      <c r="A16978">
        <v>19302</v>
      </c>
      <c r="B16978" t="s">
        <v>593</v>
      </c>
      <c r="C16978">
        <v>487</v>
      </c>
      <c r="D16978">
        <v>483</v>
      </c>
      <c r="E16978">
        <v>9751835</v>
      </c>
      <c r="F16978">
        <v>1211</v>
      </c>
      <c r="G16978">
        <v>0</v>
      </c>
      <c r="H16978" t="s">
        <v>21815</v>
      </c>
      <c r="I16978">
        <v>19302</v>
      </c>
      <c r="J16978" t="str">
        <f>VLOOKUP(E16978,DSSpieler!A:B,2,FALSE)</f>
        <v>michaelino</v>
      </c>
    </row>
    <row r="16979" spans="1:10" x14ac:dyDescent="0.25">
      <c r="A16979">
        <v>19303</v>
      </c>
      <c r="B16979" t="s">
        <v>3554</v>
      </c>
      <c r="C16979">
        <v>438</v>
      </c>
      <c r="D16979">
        <v>616</v>
      </c>
      <c r="E16979">
        <v>1576716202</v>
      </c>
      <c r="F16979">
        <v>641</v>
      </c>
      <c r="G16979">
        <v>0</v>
      </c>
      <c r="H16979" t="s">
        <v>21816</v>
      </c>
      <c r="I16979">
        <v>19303</v>
      </c>
      <c r="J16979" t="str">
        <f>VLOOKUP(E16979,DSSpieler!A:B,2,FALSE)</f>
        <v>benutzer</v>
      </c>
    </row>
    <row r="16980" spans="1:10" x14ac:dyDescent="0.25">
      <c r="A16980">
        <v>19304</v>
      </c>
      <c r="B16980">
        <v>1</v>
      </c>
      <c r="C16980">
        <v>414</v>
      </c>
      <c r="D16980">
        <v>595</v>
      </c>
      <c r="E16980">
        <v>1577204154</v>
      </c>
      <c r="F16980">
        <v>774</v>
      </c>
      <c r="G16980">
        <v>0</v>
      </c>
      <c r="H16980" t="s">
        <v>21817</v>
      </c>
      <c r="I16980">
        <v>19304</v>
      </c>
      <c r="J16980" t="str">
        <f>VLOOKUP(E16980,DSSpieler!A:B,2,FALSE)</f>
        <v>Junaak</v>
      </c>
    </row>
    <row r="16981" spans="1:10" x14ac:dyDescent="0.25">
      <c r="A16981">
        <v>19305</v>
      </c>
      <c r="B16981" t="s">
        <v>1947</v>
      </c>
      <c r="C16981">
        <v>630</v>
      </c>
      <c r="D16981">
        <v>525</v>
      </c>
      <c r="E16981">
        <v>8846963</v>
      </c>
      <c r="F16981">
        <v>689</v>
      </c>
      <c r="G16981">
        <v>0</v>
      </c>
      <c r="H16981" t="s">
        <v>21818</v>
      </c>
      <c r="I16981">
        <v>19305</v>
      </c>
      <c r="J16981" t="str">
        <f>VLOOKUP(E16981,DSSpieler!A:B,2,FALSE)</f>
        <v>imik16</v>
      </c>
    </row>
    <row r="16982" spans="1:10" x14ac:dyDescent="0.25">
      <c r="A16982">
        <v>19306</v>
      </c>
      <c r="B16982">
        <v>1</v>
      </c>
      <c r="C16982">
        <v>462</v>
      </c>
      <c r="D16982">
        <v>626</v>
      </c>
      <c r="E16982">
        <v>1576644130</v>
      </c>
      <c r="F16982">
        <v>1008</v>
      </c>
      <c r="G16982">
        <v>0</v>
      </c>
      <c r="H16982" t="s">
        <v>21819</v>
      </c>
      <c r="I16982">
        <v>19306</v>
      </c>
      <c r="J16982" t="str">
        <f>VLOOKUP(E16982,DSSpieler!A:B,2,FALSE)</f>
        <v>MM70</v>
      </c>
    </row>
    <row r="16983" spans="1:10" x14ac:dyDescent="0.25">
      <c r="A16983">
        <v>19307</v>
      </c>
      <c r="B16983" t="s">
        <v>35682</v>
      </c>
      <c r="C16983">
        <v>607</v>
      </c>
      <c r="D16983">
        <v>473</v>
      </c>
      <c r="E16983">
        <v>1577195981</v>
      </c>
      <c r="F16983">
        <v>716</v>
      </c>
      <c r="G16983">
        <v>0</v>
      </c>
      <c r="H16983" t="s">
        <v>21820</v>
      </c>
      <c r="I16983">
        <v>19307</v>
      </c>
      <c r="J16983" t="str">
        <f>VLOOKUP(E16983,DSSpieler!A:B,2,FALSE)</f>
        <v>Törtchen</v>
      </c>
    </row>
    <row r="16984" spans="1:10" x14ac:dyDescent="0.25">
      <c r="A16984">
        <v>19308</v>
      </c>
      <c r="B16984" t="s">
        <v>3555</v>
      </c>
      <c r="C16984">
        <v>534</v>
      </c>
      <c r="D16984">
        <v>606</v>
      </c>
      <c r="E16984">
        <v>1577143853</v>
      </c>
      <c r="F16984">
        <v>790</v>
      </c>
      <c r="G16984">
        <v>0</v>
      </c>
      <c r="H16984" t="s">
        <v>21821</v>
      </c>
      <c r="I16984">
        <v>19308</v>
      </c>
      <c r="J16984" t="str">
        <f>VLOOKUP(E16984,DSSpieler!A:B,2,FALSE)</f>
        <v>Oldnixo</v>
      </c>
    </row>
    <row r="16985" spans="1:10" x14ac:dyDescent="0.25">
      <c r="A16985">
        <v>19309</v>
      </c>
      <c r="B16985" t="s">
        <v>3556</v>
      </c>
      <c r="C16985">
        <v>535</v>
      </c>
      <c r="D16985">
        <v>629</v>
      </c>
      <c r="E16985">
        <v>1577207370</v>
      </c>
      <c r="F16985">
        <v>26</v>
      </c>
      <c r="G16985">
        <v>0</v>
      </c>
      <c r="H16985" t="s">
        <v>21822</v>
      </c>
      <c r="I16985">
        <v>19309</v>
      </c>
      <c r="J16985" t="str">
        <f>VLOOKUP(E16985,DSSpieler!A:B,2,FALSE)</f>
        <v>Timbonator</v>
      </c>
    </row>
    <row r="16986" spans="1:10" x14ac:dyDescent="0.25">
      <c r="A16986">
        <v>19310</v>
      </c>
      <c r="B16986">
        <v>1</v>
      </c>
      <c r="C16986">
        <v>453</v>
      </c>
      <c r="D16986">
        <v>556</v>
      </c>
      <c r="E16986">
        <v>10220966</v>
      </c>
      <c r="F16986">
        <v>1443</v>
      </c>
      <c r="G16986">
        <v>0</v>
      </c>
      <c r="H16986" t="s">
        <v>21823</v>
      </c>
      <c r="I16986">
        <v>19310</v>
      </c>
      <c r="J16986" t="str">
        <f>VLOOKUP(E16986,DSSpieler!A:B,2,FALSE)</f>
        <v>Pirate King Ruffy</v>
      </c>
    </row>
    <row r="16987" spans="1:10" x14ac:dyDescent="0.25">
      <c r="A16987">
        <v>19311</v>
      </c>
      <c r="B16987" t="s">
        <v>3557</v>
      </c>
      <c r="C16987">
        <v>428</v>
      </c>
      <c r="D16987">
        <v>389</v>
      </c>
      <c r="E16987">
        <v>1577121326</v>
      </c>
      <c r="F16987">
        <v>26</v>
      </c>
      <c r="G16987">
        <v>0</v>
      </c>
      <c r="H16987" t="s">
        <v>21824</v>
      </c>
      <c r="I16987">
        <v>19311</v>
      </c>
      <c r="J16987" t="str">
        <f>VLOOKUP(E16987,DSSpieler!A:B,2,FALSE)</f>
        <v>Oberbayernduo</v>
      </c>
    </row>
    <row r="16988" spans="1:10" x14ac:dyDescent="0.25">
      <c r="A16988">
        <v>19312</v>
      </c>
      <c r="B16988" t="s">
        <v>35683</v>
      </c>
      <c r="C16988">
        <v>415</v>
      </c>
      <c r="D16988">
        <v>506</v>
      </c>
      <c r="E16988">
        <v>1576972699</v>
      </c>
      <c r="F16988">
        <v>658</v>
      </c>
      <c r="G16988">
        <v>0</v>
      </c>
      <c r="H16988" t="s">
        <v>21825</v>
      </c>
      <c r="I16988">
        <v>19312</v>
      </c>
      <c r="J16988" t="str">
        <f>VLOOKUP(E16988,DSSpieler!A:B,2,FALSE)</f>
        <v>blechschädel</v>
      </c>
    </row>
    <row r="16989" spans="1:10" x14ac:dyDescent="0.25">
      <c r="A16989">
        <v>19313</v>
      </c>
      <c r="B16989" t="s">
        <v>3558</v>
      </c>
      <c r="C16989">
        <v>571</v>
      </c>
      <c r="D16989">
        <v>614</v>
      </c>
      <c r="E16989">
        <v>1576526812</v>
      </c>
      <c r="F16989">
        <v>91</v>
      </c>
      <c r="G16989">
        <v>0</v>
      </c>
      <c r="H16989" t="s">
        <v>21826</v>
      </c>
      <c r="I16989">
        <v>19313</v>
      </c>
      <c r="J16989" t="str">
        <f>VLOOKUP(E16989,DSSpieler!A:B,2,FALSE)</f>
        <v>blinder2015</v>
      </c>
    </row>
    <row r="16990" spans="1:10" x14ac:dyDescent="0.25">
      <c r="A16990">
        <v>19314</v>
      </c>
      <c r="B16990" t="s">
        <v>531</v>
      </c>
      <c r="C16990">
        <v>554</v>
      </c>
      <c r="D16990">
        <v>622</v>
      </c>
      <c r="E16990">
        <v>0</v>
      </c>
      <c r="F16990">
        <v>94</v>
      </c>
      <c r="G16990">
        <v>0</v>
      </c>
      <c r="H16990" t="s">
        <v>21827</v>
      </c>
      <c r="I16990">
        <v>19314</v>
      </c>
      <c r="J16990" t="e">
        <f>VLOOKUP(E16990,DSSpieler!A:B,2,FALSE)</f>
        <v>#N/A</v>
      </c>
    </row>
    <row r="16991" spans="1:10" x14ac:dyDescent="0.25">
      <c r="A16991">
        <v>19315</v>
      </c>
      <c r="B16991" t="s">
        <v>3559</v>
      </c>
      <c r="C16991">
        <v>495</v>
      </c>
      <c r="D16991">
        <v>606</v>
      </c>
      <c r="E16991">
        <v>2969236</v>
      </c>
      <c r="F16991">
        <v>619</v>
      </c>
      <c r="G16991">
        <v>0</v>
      </c>
      <c r="H16991" t="s">
        <v>21828</v>
      </c>
      <c r="I16991">
        <v>19315</v>
      </c>
      <c r="J16991" t="str">
        <f>VLOOKUP(E16991,DSSpieler!A:B,2,FALSE)</f>
        <v>Nittelter Dennis</v>
      </c>
    </row>
    <row r="16992" spans="1:10" x14ac:dyDescent="0.25">
      <c r="A16992">
        <v>19318</v>
      </c>
      <c r="B16992" t="s">
        <v>531</v>
      </c>
      <c r="C16992">
        <v>372</v>
      </c>
      <c r="D16992">
        <v>526</v>
      </c>
      <c r="E16992">
        <v>0</v>
      </c>
      <c r="F16992">
        <v>104</v>
      </c>
      <c r="G16992">
        <v>0</v>
      </c>
      <c r="H16992" t="s">
        <v>21829</v>
      </c>
      <c r="I16992">
        <v>19318</v>
      </c>
      <c r="J16992" t="e">
        <f>VLOOKUP(E16992,DSSpieler!A:B,2,FALSE)</f>
        <v>#N/A</v>
      </c>
    </row>
    <row r="16993" spans="1:10" x14ac:dyDescent="0.25">
      <c r="A16993">
        <v>19319</v>
      </c>
      <c r="B16993" t="s">
        <v>3560</v>
      </c>
      <c r="C16993">
        <v>485</v>
      </c>
      <c r="D16993">
        <v>371</v>
      </c>
      <c r="E16993">
        <v>1577207385</v>
      </c>
      <c r="F16993">
        <v>73</v>
      </c>
      <c r="G16993">
        <v>0</v>
      </c>
      <c r="H16993" t="s">
        <v>21830</v>
      </c>
      <c r="I16993">
        <v>19319</v>
      </c>
      <c r="J16993" t="str">
        <f>VLOOKUP(E16993,DSSpieler!A:B,2,FALSE)</f>
        <v>anke01</v>
      </c>
    </row>
    <row r="16994" spans="1:10" x14ac:dyDescent="0.25">
      <c r="A16994">
        <v>19320</v>
      </c>
      <c r="B16994" t="s">
        <v>3561</v>
      </c>
      <c r="C16994">
        <v>454</v>
      </c>
      <c r="D16994">
        <v>625</v>
      </c>
      <c r="E16994">
        <v>1577199348</v>
      </c>
      <c r="F16994">
        <v>78</v>
      </c>
      <c r="G16994">
        <v>0</v>
      </c>
      <c r="H16994" t="s">
        <v>21831</v>
      </c>
      <c r="I16994">
        <v>19320</v>
      </c>
      <c r="J16994" t="str">
        <f>VLOOKUP(E16994,DSSpieler!A:B,2,FALSE)</f>
        <v>CH1LL3R26</v>
      </c>
    </row>
    <row r="16995" spans="1:10" x14ac:dyDescent="0.25">
      <c r="A16995">
        <v>19323</v>
      </c>
      <c r="B16995" t="s">
        <v>3562</v>
      </c>
      <c r="C16995">
        <v>530</v>
      </c>
      <c r="D16995">
        <v>379</v>
      </c>
      <c r="E16995">
        <v>1577113547</v>
      </c>
      <c r="F16995">
        <v>921</v>
      </c>
      <c r="G16995">
        <v>0</v>
      </c>
      <c r="H16995" t="s">
        <v>21832</v>
      </c>
      <c r="I16995">
        <v>19323</v>
      </c>
      <c r="J16995" t="str">
        <f>VLOOKUP(E16995,DSSpieler!A:B,2,FALSE)</f>
        <v>waldikokst</v>
      </c>
    </row>
    <row r="16996" spans="1:10" x14ac:dyDescent="0.25">
      <c r="A16996">
        <v>19324</v>
      </c>
      <c r="B16996" t="s">
        <v>3563</v>
      </c>
      <c r="C16996">
        <v>426</v>
      </c>
      <c r="D16996">
        <v>401</v>
      </c>
      <c r="E16996">
        <v>1577117890</v>
      </c>
      <c r="F16996">
        <v>73</v>
      </c>
      <c r="G16996">
        <v>0</v>
      </c>
      <c r="H16996" t="s">
        <v>21833</v>
      </c>
      <c r="I16996">
        <v>19324</v>
      </c>
      <c r="J16996" t="str">
        <f>VLOOKUP(E16996,DSSpieler!A:B,2,FALSE)</f>
        <v>thebob95</v>
      </c>
    </row>
    <row r="16997" spans="1:10" x14ac:dyDescent="0.25">
      <c r="A16997">
        <v>19326</v>
      </c>
      <c r="B16997" t="s">
        <v>3564</v>
      </c>
      <c r="C16997">
        <v>469</v>
      </c>
      <c r="D16997">
        <v>371</v>
      </c>
      <c r="E16997">
        <v>1577176241</v>
      </c>
      <c r="F16997">
        <v>1240</v>
      </c>
      <c r="G16997">
        <v>0</v>
      </c>
      <c r="H16997" t="s">
        <v>21834</v>
      </c>
      <c r="I16997">
        <v>19326</v>
      </c>
      <c r="J16997" t="str">
        <f>VLOOKUP(E16997,DSSpieler!A:B,2,FALSE)</f>
        <v>beowulf26</v>
      </c>
    </row>
    <row r="16998" spans="1:10" x14ac:dyDescent="0.25">
      <c r="A16998">
        <v>19327</v>
      </c>
      <c r="B16998" t="s">
        <v>531</v>
      </c>
      <c r="C16998">
        <v>502</v>
      </c>
      <c r="D16998">
        <v>633</v>
      </c>
      <c r="E16998">
        <v>0</v>
      </c>
      <c r="F16998">
        <v>73</v>
      </c>
      <c r="G16998">
        <v>0</v>
      </c>
      <c r="H16998" t="s">
        <v>21835</v>
      </c>
      <c r="I16998">
        <v>19327</v>
      </c>
      <c r="J16998" t="e">
        <f>VLOOKUP(E16998,DSSpieler!A:B,2,FALSE)</f>
        <v>#N/A</v>
      </c>
    </row>
    <row r="16999" spans="1:10" x14ac:dyDescent="0.25">
      <c r="A16999">
        <v>19328</v>
      </c>
      <c r="B16999" t="s">
        <v>3565</v>
      </c>
      <c r="C16999">
        <v>418</v>
      </c>
      <c r="D16999">
        <v>398</v>
      </c>
      <c r="E16999">
        <v>1577207392</v>
      </c>
      <c r="F16999">
        <v>937</v>
      </c>
      <c r="G16999">
        <v>0</v>
      </c>
      <c r="H16999" t="s">
        <v>21836</v>
      </c>
      <c r="I16999">
        <v>19328</v>
      </c>
      <c r="J16999" t="str">
        <f>VLOOKUP(E16999,DSSpieler!A:B,2,FALSE)</f>
        <v>thebob9595</v>
      </c>
    </row>
    <row r="17000" spans="1:10" x14ac:dyDescent="0.25">
      <c r="A17000">
        <v>19329</v>
      </c>
      <c r="B17000" t="s">
        <v>3566</v>
      </c>
      <c r="C17000">
        <v>371</v>
      </c>
      <c r="D17000">
        <v>500</v>
      </c>
      <c r="E17000">
        <v>9081889</v>
      </c>
      <c r="F17000">
        <v>459</v>
      </c>
      <c r="G17000">
        <v>0</v>
      </c>
      <c r="H17000" t="s">
        <v>21837</v>
      </c>
      <c r="I17000">
        <v>19329</v>
      </c>
      <c r="J17000" t="str">
        <f>VLOOKUP(E17000,DSSpieler!A:B,2,FALSE)</f>
        <v>MassivM</v>
      </c>
    </row>
    <row r="17001" spans="1:10" x14ac:dyDescent="0.25">
      <c r="A17001">
        <v>19330</v>
      </c>
      <c r="B17001" t="s">
        <v>531</v>
      </c>
      <c r="C17001">
        <v>572</v>
      </c>
      <c r="D17001">
        <v>612</v>
      </c>
      <c r="E17001">
        <v>0</v>
      </c>
      <c r="F17001">
        <v>419</v>
      </c>
      <c r="G17001">
        <v>0</v>
      </c>
      <c r="H17001" t="s">
        <v>21838</v>
      </c>
      <c r="I17001">
        <v>19330</v>
      </c>
      <c r="J17001" t="e">
        <f>VLOOKUP(E17001,DSSpieler!A:B,2,FALSE)</f>
        <v>#N/A</v>
      </c>
    </row>
    <row r="17002" spans="1:10" x14ac:dyDescent="0.25">
      <c r="A17002">
        <v>19331</v>
      </c>
      <c r="B17002" t="s">
        <v>3567</v>
      </c>
      <c r="C17002">
        <v>408</v>
      </c>
      <c r="D17002">
        <v>409</v>
      </c>
      <c r="E17002">
        <v>1577200136</v>
      </c>
      <c r="F17002">
        <v>34</v>
      </c>
      <c r="G17002">
        <v>0</v>
      </c>
      <c r="H17002" t="s">
        <v>21839</v>
      </c>
      <c r="I17002">
        <v>19331</v>
      </c>
      <c r="J17002" t="str">
        <f>VLOOKUP(E17002,DSSpieler!A:B,2,FALSE)</f>
        <v>Kude1978</v>
      </c>
    </row>
    <row r="17003" spans="1:10" x14ac:dyDescent="0.25">
      <c r="A17003">
        <v>19332</v>
      </c>
      <c r="B17003" t="s">
        <v>946</v>
      </c>
      <c r="C17003">
        <v>629</v>
      </c>
      <c r="D17003">
        <v>489</v>
      </c>
      <c r="E17003">
        <v>1577204588</v>
      </c>
      <c r="F17003">
        <v>321</v>
      </c>
      <c r="G17003">
        <v>0</v>
      </c>
      <c r="H17003" t="s">
        <v>21840</v>
      </c>
      <c r="I17003">
        <v>19332</v>
      </c>
      <c r="J17003" t="str">
        <f>VLOOKUP(E17003,DSSpieler!A:B,2,FALSE)</f>
        <v>gven</v>
      </c>
    </row>
    <row r="17004" spans="1:10" x14ac:dyDescent="0.25">
      <c r="A17004">
        <v>19333</v>
      </c>
      <c r="B17004" t="s">
        <v>3568</v>
      </c>
      <c r="C17004">
        <v>606</v>
      </c>
      <c r="D17004">
        <v>425</v>
      </c>
      <c r="E17004">
        <v>1577207398</v>
      </c>
      <c r="F17004">
        <v>26</v>
      </c>
      <c r="G17004">
        <v>0</v>
      </c>
      <c r="H17004" t="s">
        <v>21841</v>
      </c>
      <c r="I17004">
        <v>19333</v>
      </c>
      <c r="J17004" t="str">
        <f>VLOOKUP(E17004,DSSpieler!A:B,2,FALSE)</f>
        <v>Siyahsbester</v>
      </c>
    </row>
    <row r="17005" spans="1:10" x14ac:dyDescent="0.25">
      <c r="A17005">
        <v>19334</v>
      </c>
      <c r="B17005" t="s">
        <v>150</v>
      </c>
      <c r="C17005">
        <v>549</v>
      </c>
      <c r="D17005">
        <v>620</v>
      </c>
      <c r="E17005">
        <v>1577207361</v>
      </c>
      <c r="F17005">
        <v>1062</v>
      </c>
      <c r="G17005">
        <v>0</v>
      </c>
      <c r="H17005" t="s">
        <v>21842</v>
      </c>
      <c r="I17005">
        <v>19334</v>
      </c>
      <c r="J17005" t="str">
        <f>VLOOKUP(E17005,DSSpieler!A:B,2,FALSE)</f>
        <v>Syrie</v>
      </c>
    </row>
    <row r="17006" spans="1:10" x14ac:dyDescent="0.25">
      <c r="A17006">
        <v>19335</v>
      </c>
      <c r="B17006" t="s">
        <v>150</v>
      </c>
      <c r="C17006">
        <v>608</v>
      </c>
      <c r="D17006">
        <v>577</v>
      </c>
      <c r="E17006">
        <v>8405997</v>
      </c>
      <c r="F17006">
        <v>435</v>
      </c>
      <c r="G17006">
        <v>0</v>
      </c>
      <c r="H17006" t="s">
        <v>21843</v>
      </c>
      <c r="I17006">
        <v>19335</v>
      </c>
      <c r="J17006" t="str">
        <f>VLOOKUP(E17006,DSSpieler!A:B,2,FALSE)</f>
        <v>KleinerRoterDrache</v>
      </c>
    </row>
    <row r="17007" spans="1:10" x14ac:dyDescent="0.25">
      <c r="A17007">
        <v>19336</v>
      </c>
      <c r="B17007" t="s">
        <v>3569</v>
      </c>
      <c r="C17007">
        <v>431</v>
      </c>
      <c r="D17007">
        <v>387</v>
      </c>
      <c r="E17007">
        <v>9553851</v>
      </c>
      <c r="F17007">
        <v>1146</v>
      </c>
      <c r="G17007">
        <v>0</v>
      </c>
      <c r="H17007" t="s">
        <v>21844</v>
      </c>
      <c r="I17007">
        <v>19336</v>
      </c>
      <c r="J17007" t="str">
        <f>VLOOKUP(E17007,DSSpieler!A:B,2,FALSE)</f>
        <v>sawdelia</v>
      </c>
    </row>
    <row r="17008" spans="1:10" x14ac:dyDescent="0.25">
      <c r="A17008">
        <v>19337</v>
      </c>
      <c r="B17008" t="s">
        <v>35684</v>
      </c>
      <c r="C17008">
        <v>414</v>
      </c>
      <c r="D17008">
        <v>601</v>
      </c>
      <c r="E17008">
        <v>1576279907</v>
      </c>
      <c r="F17008">
        <v>956</v>
      </c>
      <c r="G17008">
        <v>0</v>
      </c>
      <c r="H17008" t="s">
        <v>21845</v>
      </c>
      <c r="I17008">
        <v>19337</v>
      </c>
      <c r="J17008" t="str">
        <f>VLOOKUP(E17008,DSSpieler!A:B,2,FALSE)</f>
        <v>ViciousSeal</v>
      </c>
    </row>
    <row r="17009" spans="1:10" x14ac:dyDescent="0.25">
      <c r="A17009">
        <v>19338</v>
      </c>
      <c r="B17009" t="s">
        <v>3570</v>
      </c>
      <c r="C17009">
        <v>597</v>
      </c>
      <c r="D17009">
        <v>590</v>
      </c>
      <c r="E17009">
        <v>1577202783</v>
      </c>
      <c r="F17009">
        <v>1270</v>
      </c>
      <c r="G17009">
        <v>0</v>
      </c>
      <c r="H17009" t="s">
        <v>21846</v>
      </c>
      <c r="I17009">
        <v>19338</v>
      </c>
      <c r="J17009" t="str">
        <f>VLOOKUP(E17009,DSSpieler!A:B,2,FALSE)</f>
        <v>huaba</v>
      </c>
    </row>
    <row r="17010" spans="1:10" x14ac:dyDescent="0.25">
      <c r="A17010">
        <v>19339</v>
      </c>
      <c r="B17010" t="s">
        <v>3571</v>
      </c>
      <c r="C17010">
        <v>550</v>
      </c>
      <c r="D17010">
        <v>618</v>
      </c>
      <c r="E17010">
        <v>7918634</v>
      </c>
      <c r="F17010">
        <v>237</v>
      </c>
      <c r="G17010">
        <v>0</v>
      </c>
      <c r="H17010" t="s">
        <v>21847</v>
      </c>
      <c r="I17010">
        <v>19339</v>
      </c>
      <c r="J17010" t="str">
        <f>VLOOKUP(E17010,DSSpieler!A:B,2,FALSE)</f>
        <v>Nikola T.</v>
      </c>
    </row>
    <row r="17011" spans="1:10" x14ac:dyDescent="0.25">
      <c r="A17011">
        <v>19340</v>
      </c>
      <c r="B17011" t="s">
        <v>3572</v>
      </c>
      <c r="C17011">
        <v>599</v>
      </c>
      <c r="D17011">
        <v>417</v>
      </c>
      <c r="E17011">
        <v>7952015</v>
      </c>
      <c r="F17011">
        <v>476</v>
      </c>
      <c r="G17011">
        <v>0</v>
      </c>
      <c r="H17011" t="s">
        <v>21848</v>
      </c>
      <c r="I17011">
        <v>19340</v>
      </c>
      <c r="J17011" t="str">
        <f>VLOOKUP(E17011,DSSpieler!A:B,2,FALSE)</f>
        <v>Peterus1</v>
      </c>
    </row>
    <row r="17012" spans="1:10" x14ac:dyDescent="0.25">
      <c r="A17012">
        <v>19341</v>
      </c>
      <c r="B17012" t="s">
        <v>3573</v>
      </c>
      <c r="C17012">
        <v>368</v>
      </c>
      <c r="D17012">
        <v>509</v>
      </c>
      <c r="E17012">
        <v>1576024808</v>
      </c>
      <c r="F17012">
        <v>325</v>
      </c>
      <c r="G17012">
        <v>0</v>
      </c>
      <c r="H17012" t="s">
        <v>21849</v>
      </c>
      <c r="I17012">
        <v>19341</v>
      </c>
      <c r="J17012" t="str">
        <f>VLOOKUP(E17012,DSSpieler!A:B,2,FALSE)</f>
        <v>Augustina1860</v>
      </c>
    </row>
    <row r="17013" spans="1:10" x14ac:dyDescent="0.25">
      <c r="A17013">
        <v>19343</v>
      </c>
      <c r="B17013" t="s">
        <v>3574</v>
      </c>
      <c r="C17013">
        <v>627</v>
      </c>
      <c r="D17013">
        <v>460</v>
      </c>
      <c r="E17013">
        <v>1577198344</v>
      </c>
      <c r="F17013">
        <v>1336</v>
      </c>
      <c r="G17013">
        <v>0</v>
      </c>
      <c r="H17013" t="s">
        <v>21850</v>
      </c>
      <c r="I17013">
        <v>19343</v>
      </c>
      <c r="J17013" t="str">
        <f>VLOOKUP(E17013,DSSpieler!A:B,2,FALSE)</f>
        <v>SchlauerMensch</v>
      </c>
    </row>
    <row r="17014" spans="1:10" x14ac:dyDescent="0.25">
      <c r="A17014">
        <v>19344</v>
      </c>
      <c r="B17014" t="s">
        <v>3575</v>
      </c>
      <c r="C17014">
        <v>628</v>
      </c>
      <c r="D17014">
        <v>495</v>
      </c>
      <c r="E17014">
        <v>1576788305</v>
      </c>
      <c r="F17014">
        <v>1928</v>
      </c>
      <c r="G17014">
        <v>0</v>
      </c>
      <c r="H17014" t="s">
        <v>21851</v>
      </c>
      <c r="I17014">
        <v>19344</v>
      </c>
      <c r="J17014" t="str">
        <f>VLOOKUP(E17014,DSSpieler!A:B,2,FALSE)</f>
        <v>St.Tropez90</v>
      </c>
    </row>
    <row r="17015" spans="1:10" x14ac:dyDescent="0.25">
      <c r="A17015">
        <v>19345</v>
      </c>
      <c r="B17015" t="s">
        <v>3576</v>
      </c>
      <c r="C17015">
        <v>621</v>
      </c>
      <c r="D17015">
        <v>456</v>
      </c>
      <c r="E17015">
        <v>1577201335</v>
      </c>
      <c r="F17015">
        <v>26</v>
      </c>
      <c r="G17015">
        <v>0</v>
      </c>
      <c r="H17015" t="s">
        <v>21852</v>
      </c>
      <c r="I17015">
        <v>19345</v>
      </c>
      <c r="J17015" t="str">
        <f>VLOOKUP(E17015,DSSpieler!A:B,2,FALSE)</f>
        <v>ritter315</v>
      </c>
    </row>
    <row r="17016" spans="1:10" x14ac:dyDescent="0.25">
      <c r="A17016">
        <v>19346</v>
      </c>
      <c r="B17016" t="s">
        <v>3577</v>
      </c>
      <c r="C17016">
        <v>626</v>
      </c>
      <c r="D17016">
        <v>524</v>
      </c>
      <c r="E17016">
        <v>10211730</v>
      </c>
      <c r="F17016">
        <v>1161</v>
      </c>
      <c r="G17016">
        <v>0</v>
      </c>
      <c r="H17016" t="s">
        <v>21853</v>
      </c>
      <c r="I17016">
        <v>19346</v>
      </c>
      <c r="J17016" t="str">
        <f>VLOOKUP(E17016,DSSpieler!A:B,2,FALSE)</f>
        <v>Ivan Schlitzer</v>
      </c>
    </row>
    <row r="17017" spans="1:10" x14ac:dyDescent="0.25">
      <c r="A17017">
        <v>19347</v>
      </c>
      <c r="B17017" t="s">
        <v>3578</v>
      </c>
      <c r="C17017">
        <v>627</v>
      </c>
      <c r="D17017">
        <v>462</v>
      </c>
      <c r="E17017">
        <v>1577190450</v>
      </c>
      <c r="F17017">
        <v>1442</v>
      </c>
      <c r="G17017">
        <v>0</v>
      </c>
      <c r="H17017" t="s">
        <v>21854</v>
      </c>
      <c r="I17017">
        <v>19347</v>
      </c>
      <c r="J17017" t="str">
        <f>VLOOKUP(E17017,DSSpieler!A:B,2,FALSE)</f>
        <v>Ketapeter</v>
      </c>
    </row>
    <row r="17018" spans="1:10" x14ac:dyDescent="0.25">
      <c r="A17018">
        <v>19348</v>
      </c>
      <c r="B17018" t="s">
        <v>3579</v>
      </c>
      <c r="C17018">
        <v>628</v>
      </c>
      <c r="D17018">
        <v>492</v>
      </c>
      <c r="E17018">
        <v>1577207425</v>
      </c>
      <c r="F17018">
        <v>986</v>
      </c>
      <c r="G17018">
        <v>0</v>
      </c>
      <c r="H17018" t="s">
        <v>21855</v>
      </c>
      <c r="I17018">
        <v>19348</v>
      </c>
      <c r="J17018" t="str">
        <f>VLOOKUP(E17018,DSSpieler!A:B,2,FALSE)</f>
        <v>Solvi420</v>
      </c>
    </row>
    <row r="17019" spans="1:10" x14ac:dyDescent="0.25">
      <c r="A17019">
        <v>19350</v>
      </c>
      <c r="B17019" t="s">
        <v>3580</v>
      </c>
      <c r="C17019">
        <v>596</v>
      </c>
      <c r="D17019">
        <v>408</v>
      </c>
      <c r="E17019">
        <v>0</v>
      </c>
      <c r="F17019">
        <v>91</v>
      </c>
      <c r="G17019">
        <v>0</v>
      </c>
      <c r="H17019" t="s">
        <v>21856</v>
      </c>
      <c r="I17019">
        <v>19350</v>
      </c>
      <c r="J17019" t="e">
        <f>VLOOKUP(E17019,DSSpieler!A:B,2,FALSE)</f>
        <v>#N/A</v>
      </c>
    </row>
    <row r="17020" spans="1:10" x14ac:dyDescent="0.25">
      <c r="A17020">
        <v>19352</v>
      </c>
      <c r="B17020" t="s">
        <v>35685</v>
      </c>
      <c r="C17020">
        <v>448</v>
      </c>
      <c r="D17020">
        <v>602</v>
      </c>
      <c r="E17020">
        <v>1577207430</v>
      </c>
      <c r="F17020">
        <v>314</v>
      </c>
      <c r="G17020">
        <v>0</v>
      </c>
      <c r="H17020" t="s">
        <v>21857</v>
      </c>
      <c r="I17020">
        <v>19352</v>
      </c>
      <c r="J17020" t="str">
        <f>VLOOKUP(E17020,DSSpieler!A:B,2,FALSE)</f>
        <v>HighWin</v>
      </c>
    </row>
    <row r="17021" spans="1:10" x14ac:dyDescent="0.25">
      <c r="A17021">
        <v>19353</v>
      </c>
      <c r="B17021" t="s">
        <v>3581</v>
      </c>
      <c r="C17021">
        <v>622</v>
      </c>
      <c r="D17021">
        <v>455</v>
      </c>
      <c r="E17021">
        <v>1577207432</v>
      </c>
      <c r="F17021">
        <v>1290</v>
      </c>
      <c r="G17021">
        <v>0</v>
      </c>
      <c r="H17021" t="s">
        <v>21858</v>
      </c>
      <c r="I17021">
        <v>19353</v>
      </c>
      <c r="J17021" t="str">
        <f>VLOOKUP(E17021,DSSpieler!A:B,2,FALSE)</f>
        <v>DummerMensch</v>
      </c>
    </row>
    <row r="17022" spans="1:10" x14ac:dyDescent="0.25">
      <c r="A17022">
        <v>19354</v>
      </c>
      <c r="B17022" t="s">
        <v>3582</v>
      </c>
      <c r="C17022">
        <v>596</v>
      </c>
      <c r="D17022">
        <v>496</v>
      </c>
      <c r="E17022">
        <v>9405313</v>
      </c>
      <c r="F17022">
        <v>26</v>
      </c>
      <c r="G17022">
        <v>0</v>
      </c>
      <c r="H17022" t="s">
        <v>21859</v>
      </c>
      <c r="I17022">
        <v>19354</v>
      </c>
      <c r="J17022" t="str">
        <f>VLOOKUP(E17022,DSSpieler!A:B,2,FALSE)</f>
        <v>M@ster-x</v>
      </c>
    </row>
    <row r="17023" spans="1:10" x14ac:dyDescent="0.25">
      <c r="A17023">
        <v>19356</v>
      </c>
      <c r="B17023" t="s">
        <v>531</v>
      </c>
      <c r="C17023">
        <v>557</v>
      </c>
      <c r="D17023">
        <v>569</v>
      </c>
      <c r="E17023">
        <v>0</v>
      </c>
      <c r="F17023">
        <v>26</v>
      </c>
      <c r="G17023">
        <v>0</v>
      </c>
      <c r="H17023" t="s">
        <v>21860</v>
      </c>
      <c r="I17023">
        <v>19356</v>
      </c>
      <c r="J17023" t="e">
        <f>VLOOKUP(E17023,DSSpieler!A:B,2,FALSE)</f>
        <v>#N/A</v>
      </c>
    </row>
    <row r="17024" spans="1:10" x14ac:dyDescent="0.25">
      <c r="A17024">
        <v>19357</v>
      </c>
      <c r="B17024" t="s">
        <v>531</v>
      </c>
      <c r="C17024">
        <v>488</v>
      </c>
      <c r="D17024">
        <v>372</v>
      </c>
      <c r="E17024">
        <v>0</v>
      </c>
      <c r="F17024">
        <v>68</v>
      </c>
      <c r="G17024">
        <v>0</v>
      </c>
      <c r="H17024" t="s">
        <v>21861</v>
      </c>
      <c r="I17024">
        <v>19357</v>
      </c>
      <c r="J17024" t="e">
        <f>VLOOKUP(E17024,DSSpieler!A:B,2,FALSE)</f>
        <v>#N/A</v>
      </c>
    </row>
    <row r="17025" spans="1:10" x14ac:dyDescent="0.25">
      <c r="A17025">
        <v>19358</v>
      </c>
      <c r="B17025" t="s">
        <v>3583</v>
      </c>
      <c r="C17025">
        <v>629</v>
      </c>
      <c r="D17025">
        <v>500</v>
      </c>
      <c r="E17025">
        <v>1577178577</v>
      </c>
      <c r="F17025">
        <v>258</v>
      </c>
      <c r="G17025">
        <v>0</v>
      </c>
      <c r="H17025" t="s">
        <v>21862</v>
      </c>
      <c r="I17025">
        <v>19358</v>
      </c>
      <c r="J17025" t="str">
        <f>VLOOKUP(E17025,DSSpieler!A:B,2,FALSE)</f>
        <v>EmperorLuan</v>
      </c>
    </row>
    <row r="17026" spans="1:10" x14ac:dyDescent="0.25">
      <c r="A17026">
        <v>19359</v>
      </c>
      <c r="B17026" t="s">
        <v>3584</v>
      </c>
      <c r="C17026">
        <v>598</v>
      </c>
      <c r="D17026">
        <v>476</v>
      </c>
      <c r="E17026">
        <v>8272072</v>
      </c>
      <c r="F17026">
        <v>956</v>
      </c>
      <c r="G17026">
        <v>0</v>
      </c>
      <c r="H17026" t="s">
        <v>21863</v>
      </c>
      <c r="I17026">
        <v>19359</v>
      </c>
      <c r="J17026" t="str">
        <f>VLOOKUP(E17026,DSSpieler!A:B,2,FALSE)</f>
        <v>Nightflaver</v>
      </c>
    </row>
    <row r="17027" spans="1:10" x14ac:dyDescent="0.25">
      <c r="A17027">
        <v>19360</v>
      </c>
      <c r="B17027" t="s">
        <v>150</v>
      </c>
      <c r="C17027">
        <v>468</v>
      </c>
      <c r="D17027">
        <v>481</v>
      </c>
      <c r="E17027">
        <v>1576617122</v>
      </c>
      <c r="F17027">
        <v>1017</v>
      </c>
      <c r="G17027">
        <v>0</v>
      </c>
      <c r="H17027" t="s">
        <v>21864</v>
      </c>
      <c r="I17027">
        <v>19360</v>
      </c>
      <c r="J17027" t="str">
        <f>VLOOKUP(E17027,DSSpieler!A:B,2,FALSE)</f>
        <v>LifeEncrypter</v>
      </c>
    </row>
    <row r="17028" spans="1:10" x14ac:dyDescent="0.25">
      <c r="A17028">
        <v>19361</v>
      </c>
      <c r="B17028" t="s">
        <v>2073</v>
      </c>
      <c r="C17028">
        <v>623</v>
      </c>
      <c r="D17028">
        <v>463</v>
      </c>
      <c r="E17028">
        <v>1577207437</v>
      </c>
      <c r="F17028">
        <v>584</v>
      </c>
      <c r="G17028">
        <v>0</v>
      </c>
      <c r="H17028" t="s">
        <v>21865</v>
      </c>
      <c r="I17028">
        <v>19361</v>
      </c>
      <c r="J17028" t="str">
        <f>VLOOKUP(E17028,DSSpieler!A:B,2,FALSE)</f>
        <v>BrainCatcher</v>
      </c>
    </row>
    <row r="17029" spans="1:10" x14ac:dyDescent="0.25">
      <c r="A17029">
        <v>19362</v>
      </c>
      <c r="B17029" t="s">
        <v>3585</v>
      </c>
      <c r="C17029">
        <v>598</v>
      </c>
      <c r="D17029">
        <v>477</v>
      </c>
      <c r="E17029">
        <v>3120912</v>
      </c>
      <c r="F17029">
        <v>26</v>
      </c>
      <c r="G17029">
        <v>0</v>
      </c>
      <c r="H17029" t="s">
        <v>21866</v>
      </c>
      <c r="I17029">
        <v>19362</v>
      </c>
      <c r="J17029" t="str">
        <f>VLOOKUP(E17029,DSSpieler!A:B,2,FALSE)</f>
        <v>motorman</v>
      </c>
    </row>
    <row r="17030" spans="1:10" x14ac:dyDescent="0.25">
      <c r="A17030">
        <v>19363</v>
      </c>
      <c r="B17030" t="s">
        <v>3586</v>
      </c>
      <c r="C17030">
        <v>626</v>
      </c>
      <c r="D17030">
        <v>458</v>
      </c>
      <c r="E17030">
        <v>1577207436</v>
      </c>
      <c r="F17030">
        <v>617</v>
      </c>
      <c r="G17030">
        <v>0</v>
      </c>
      <c r="H17030" t="s">
        <v>21867</v>
      </c>
      <c r="I17030">
        <v>19363</v>
      </c>
      <c r="J17030" t="str">
        <f>VLOOKUP(E17030,DSSpieler!A:B,2,FALSE)</f>
        <v>Shaggy005</v>
      </c>
    </row>
    <row r="17031" spans="1:10" x14ac:dyDescent="0.25">
      <c r="A17031">
        <v>19364</v>
      </c>
      <c r="B17031" t="s">
        <v>531</v>
      </c>
      <c r="C17031">
        <v>556</v>
      </c>
      <c r="D17031">
        <v>384</v>
      </c>
      <c r="E17031">
        <v>0</v>
      </c>
      <c r="F17031">
        <v>96</v>
      </c>
      <c r="G17031">
        <v>0</v>
      </c>
      <c r="H17031" t="s">
        <v>21868</v>
      </c>
      <c r="I17031">
        <v>19364</v>
      </c>
      <c r="J17031" t="e">
        <f>VLOOKUP(E17031,DSSpieler!A:B,2,FALSE)</f>
        <v>#N/A</v>
      </c>
    </row>
    <row r="17032" spans="1:10" x14ac:dyDescent="0.25">
      <c r="A17032">
        <v>19366</v>
      </c>
      <c r="B17032" t="s">
        <v>3587</v>
      </c>
      <c r="C17032">
        <v>593</v>
      </c>
      <c r="D17032">
        <v>404</v>
      </c>
      <c r="E17032">
        <v>1577200823</v>
      </c>
      <c r="F17032">
        <v>32</v>
      </c>
      <c r="G17032">
        <v>0</v>
      </c>
      <c r="H17032" t="s">
        <v>21869</v>
      </c>
      <c r="I17032">
        <v>19366</v>
      </c>
      <c r="J17032" t="str">
        <f>VLOOKUP(E17032,DSSpieler!A:B,2,FALSE)</f>
        <v>Famouzblood</v>
      </c>
    </row>
    <row r="17033" spans="1:10" x14ac:dyDescent="0.25">
      <c r="A17033">
        <v>19367</v>
      </c>
      <c r="B17033" t="s">
        <v>531</v>
      </c>
      <c r="C17033">
        <v>369</v>
      </c>
      <c r="D17033">
        <v>507</v>
      </c>
      <c r="E17033">
        <v>0</v>
      </c>
      <c r="F17033">
        <v>133</v>
      </c>
      <c r="G17033">
        <v>0</v>
      </c>
      <c r="H17033" t="s">
        <v>21870</v>
      </c>
      <c r="I17033">
        <v>19367</v>
      </c>
      <c r="J17033" t="e">
        <f>VLOOKUP(E17033,DSSpieler!A:B,2,FALSE)</f>
        <v>#N/A</v>
      </c>
    </row>
    <row r="17034" spans="1:10" x14ac:dyDescent="0.25">
      <c r="A17034">
        <v>19369</v>
      </c>
      <c r="B17034" t="s">
        <v>531</v>
      </c>
      <c r="C17034">
        <v>618</v>
      </c>
      <c r="D17034">
        <v>440</v>
      </c>
      <c r="E17034">
        <v>0</v>
      </c>
      <c r="F17034">
        <v>68</v>
      </c>
      <c r="G17034">
        <v>0</v>
      </c>
      <c r="H17034" t="s">
        <v>21871</v>
      </c>
      <c r="I17034">
        <v>19369</v>
      </c>
      <c r="J17034" t="e">
        <f>VLOOKUP(E17034,DSSpieler!A:B,2,FALSE)</f>
        <v>#N/A</v>
      </c>
    </row>
    <row r="17035" spans="1:10" x14ac:dyDescent="0.25">
      <c r="A17035">
        <v>19371</v>
      </c>
      <c r="B17035" t="s">
        <v>3588</v>
      </c>
      <c r="C17035">
        <v>566</v>
      </c>
      <c r="D17035">
        <v>485</v>
      </c>
      <c r="E17035">
        <v>1577060011</v>
      </c>
      <c r="F17035">
        <v>26</v>
      </c>
      <c r="G17035">
        <v>0</v>
      </c>
      <c r="H17035" t="s">
        <v>21872</v>
      </c>
      <c r="I17035">
        <v>19371</v>
      </c>
      <c r="J17035" t="str">
        <f>VLOOKUP(E17035,DSSpieler!A:B,2,FALSE)</f>
        <v>ElCannabio</v>
      </c>
    </row>
    <row r="17036" spans="1:10" x14ac:dyDescent="0.25">
      <c r="A17036">
        <v>19372</v>
      </c>
      <c r="B17036" t="s">
        <v>3589</v>
      </c>
      <c r="C17036">
        <v>583</v>
      </c>
      <c r="D17036">
        <v>605</v>
      </c>
      <c r="E17036">
        <v>1577037124</v>
      </c>
      <c r="F17036">
        <v>73</v>
      </c>
      <c r="G17036">
        <v>0</v>
      </c>
      <c r="H17036" t="s">
        <v>21873</v>
      </c>
      <c r="I17036">
        <v>19372</v>
      </c>
      <c r="J17036" t="str">
        <f>VLOOKUP(E17036,DSSpieler!A:B,2,FALSE)</f>
        <v>Tantiellyi</v>
      </c>
    </row>
    <row r="17037" spans="1:10" x14ac:dyDescent="0.25">
      <c r="A17037">
        <v>19373</v>
      </c>
      <c r="B17037" t="s">
        <v>3590</v>
      </c>
      <c r="C17037">
        <v>446</v>
      </c>
      <c r="D17037">
        <v>575</v>
      </c>
      <c r="E17037">
        <v>1577168619</v>
      </c>
      <c r="F17037">
        <v>1150</v>
      </c>
      <c r="G17037">
        <v>0</v>
      </c>
      <c r="H17037" t="s">
        <v>21874</v>
      </c>
      <c r="I17037">
        <v>19373</v>
      </c>
      <c r="J17037" t="str">
        <f>VLOOKUP(E17037,DSSpieler!A:B,2,FALSE)</f>
        <v>ramppioriginal</v>
      </c>
    </row>
    <row r="17038" spans="1:10" x14ac:dyDescent="0.25">
      <c r="A17038">
        <v>19374</v>
      </c>
      <c r="B17038" t="s">
        <v>3591</v>
      </c>
      <c r="C17038">
        <v>536</v>
      </c>
      <c r="D17038">
        <v>398</v>
      </c>
      <c r="E17038">
        <v>1577047269</v>
      </c>
      <c r="F17038">
        <v>798</v>
      </c>
      <c r="G17038">
        <v>0</v>
      </c>
      <c r="H17038" t="s">
        <v>21875</v>
      </c>
      <c r="I17038">
        <v>19374</v>
      </c>
      <c r="J17038" t="str">
        <f>VLOOKUP(E17038,DSSpieler!A:B,2,FALSE)</f>
        <v>Harry Spotter</v>
      </c>
    </row>
    <row r="17039" spans="1:10" x14ac:dyDescent="0.25">
      <c r="A17039">
        <v>19375</v>
      </c>
      <c r="B17039" t="s">
        <v>3592</v>
      </c>
      <c r="C17039">
        <v>594</v>
      </c>
      <c r="D17039">
        <v>546</v>
      </c>
      <c r="E17039">
        <v>1577182117</v>
      </c>
      <c r="F17039">
        <v>26</v>
      </c>
      <c r="G17039">
        <v>0</v>
      </c>
      <c r="H17039" t="s">
        <v>21876</v>
      </c>
      <c r="I17039">
        <v>19375</v>
      </c>
      <c r="J17039" t="str">
        <f>VLOOKUP(E17039,DSSpieler!A:B,2,FALSE)</f>
        <v>AragornIV</v>
      </c>
    </row>
    <row r="17040" spans="1:10" x14ac:dyDescent="0.25">
      <c r="A17040">
        <v>19376</v>
      </c>
      <c r="B17040" t="s">
        <v>531</v>
      </c>
      <c r="C17040">
        <v>377</v>
      </c>
      <c r="D17040">
        <v>450</v>
      </c>
      <c r="E17040">
        <v>0</v>
      </c>
      <c r="F17040">
        <v>113</v>
      </c>
      <c r="G17040">
        <v>0</v>
      </c>
      <c r="H17040" t="s">
        <v>21877</v>
      </c>
      <c r="I17040">
        <v>19376</v>
      </c>
      <c r="J17040" t="e">
        <f>VLOOKUP(E17040,DSSpieler!A:B,2,FALSE)</f>
        <v>#N/A</v>
      </c>
    </row>
    <row r="17041" spans="1:10" x14ac:dyDescent="0.25">
      <c r="A17041">
        <v>19377</v>
      </c>
      <c r="B17041" t="s">
        <v>35686</v>
      </c>
      <c r="C17041">
        <v>618</v>
      </c>
      <c r="D17041">
        <v>546</v>
      </c>
      <c r="E17041">
        <v>1577207466</v>
      </c>
      <c r="F17041">
        <v>774</v>
      </c>
      <c r="G17041">
        <v>0</v>
      </c>
      <c r="H17041" t="s">
        <v>21878</v>
      </c>
      <c r="I17041">
        <v>19377</v>
      </c>
      <c r="J17041" t="str">
        <f>VLOOKUP(E17041,DSSpieler!A:B,2,FALSE)</f>
        <v>Findus</v>
      </c>
    </row>
    <row r="17042" spans="1:10" x14ac:dyDescent="0.25">
      <c r="A17042">
        <v>19379</v>
      </c>
      <c r="B17042" t="s">
        <v>531</v>
      </c>
      <c r="C17042">
        <v>618</v>
      </c>
      <c r="D17042">
        <v>448</v>
      </c>
      <c r="E17042">
        <v>0</v>
      </c>
      <c r="F17042">
        <v>566</v>
      </c>
      <c r="G17042">
        <v>0</v>
      </c>
      <c r="H17042" t="s">
        <v>21879</v>
      </c>
      <c r="I17042">
        <v>19379</v>
      </c>
      <c r="J17042" t="e">
        <f>VLOOKUP(E17042,DSSpieler!A:B,2,FALSE)</f>
        <v>#N/A</v>
      </c>
    </row>
    <row r="17043" spans="1:10" x14ac:dyDescent="0.25">
      <c r="A17043">
        <v>19380</v>
      </c>
      <c r="B17043" s="111">
        <v>230.01</v>
      </c>
      <c r="C17043">
        <v>404</v>
      </c>
      <c r="D17043">
        <v>589</v>
      </c>
      <c r="E17043">
        <v>9751955</v>
      </c>
      <c r="F17043">
        <v>441</v>
      </c>
      <c r="G17043">
        <v>0</v>
      </c>
      <c r="H17043" t="s">
        <v>21880</v>
      </c>
      <c r="I17043">
        <v>19380</v>
      </c>
      <c r="J17043" t="str">
        <f>VLOOKUP(E17043,DSSpieler!A:B,2,FALSE)</f>
        <v>Maxim2024</v>
      </c>
    </row>
    <row r="17044" spans="1:10" x14ac:dyDescent="0.25">
      <c r="A17044">
        <v>19381</v>
      </c>
      <c r="B17044" t="s">
        <v>3593</v>
      </c>
      <c r="C17044">
        <v>625</v>
      </c>
      <c r="D17044">
        <v>544</v>
      </c>
      <c r="E17044">
        <v>1576955230</v>
      </c>
      <c r="F17044">
        <v>767</v>
      </c>
      <c r="G17044">
        <v>0</v>
      </c>
      <c r="H17044" t="s">
        <v>21881</v>
      </c>
      <c r="I17044">
        <v>19381</v>
      </c>
      <c r="J17044" t="str">
        <f>VLOOKUP(E17044,DSSpieler!A:B,2,FALSE)</f>
        <v>MeKzeT</v>
      </c>
    </row>
    <row r="17045" spans="1:10" x14ac:dyDescent="0.25">
      <c r="A17045">
        <v>19382</v>
      </c>
      <c r="B17045" t="s">
        <v>3594</v>
      </c>
      <c r="C17045">
        <v>425</v>
      </c>
      <c r="D17045">
        <v>606</v>
      </c>
      <c r="E17045">
        <v>9708358</v>
      </c>
      <c r="F17045">
        <v>352</v>
      </c>
      <c r="G17045">
        <v>0</v>
      </c>
      <c r="H17045" t="s">
        <v>21882</v>
      </c>
      <c r="I17045">
        <v>19382</v>
      </c>
      <c r="J17045" t="str">
        <f>VLOOKUP(E17045,DSSpieler!A:B,2,FALSE)</f>
        <v>voitei123</v>
      </c>
    </row>
    <row r="17046" spans="1:10" x14ac:dyDescent="0.25">
      <c r="A17046">
        <v>19383</v>
      </c>
      <c r="B17046" t="s">
        <v>3595</v>
      </c>
      <c r="C17046">
        <v>410</v>
      </c>
      <c r="D17046">
        <v>453</v>
      </c>
      <c r="E17046">
        <v>1577199602</v>
      </c>
      <c r="F17046">
        <v>384</v>
      </c>
      <c r="G17046">
        <v>0</v>
      </c>
      <c r="H17046" t="s">
        <v>21883</v>
      </c>
      <c r="I17046">
        <v>19383</v>
      </c>
      <c r="J17046" t="str">
        <f>VLOOKUP(E17046,DSSpieler!A:B,2,FALSE)</f>
        <v>Mike088</v>
      </c>
    </row>
    <row r="17047" spans="1:10" x14ac:dyDescent="0.25">
      <c r="A17047">
        <v>19384</v>
      </c>
      <c r="B17047" t="s">
        <v>3596</v>
      </c>
      <c r="C17047">
        <v>581</v>
      </c>
      <c r="D17047">
        <v>400</v>
      </c>
      <c r="E17047">
        <v>1577198873</v>
      </c>
      <c r="F17047">
        <v>71</v>
      </c>
      <c r="G17047">
        <v>0</v>
      </c>
      <c r="H17047" t="s">
        <v>21884</v>
      </c>
      <c r="I17047">
        <v>19384</v>
      </c>
      <c r="J17047" t="str">
        <f>VLOOKUP(E17047,DSSpieler!A:B,2,FALSE)</f>
        <v>DerLongJohnson</v>
      </c>
    </row>
    <row r="17048" spans="1:10" x14ac:dyDescent="0.25">
      <c r="A17048">
        <v>19385</v>
      </c>
      <c r="B17048" t="s">
        <v>3597</v>
      </c>
      <c r="C17048">
        <v>476</v>
      </c>
      <c r="D17048">
        <v>476</v>
      </c>
      <c r="E17048">
        <v>1576066494</v>
      </c>
      <c r="F17048">
        <v>767</v>
      </c>
      <c r="G17048">
        <v>0</v>
      </c>
      <c r="H17048" t="s">
        <v>21885</v>
      </c>
      <c r="I17048">
        <v>19385</v>
      </c>
      <c r="J17048" t="str">
        <f>VLOOKUP(E17048,DSSpieler!A:B,2,FALSE)</f>
        <v>Lord Allias</v>
      </c>
    </row>
    <row r="17049" spans="1:10" x14ac:dyDescent="0.25">
      <c r="A17049">
        <v>19386</v>
      </c>
      <c r="B17049" t="s">
        <v>3598</v>
      </c>
      <c r="C17049">
        <v>408</v>
      </c>
      <c r="D17049">
        <v>593</v>
      </c>
      <c r="E17049">
        <v>1577028939</v>
      </c>
      <c r="F17049">
        <v>738</v>
      </c>
      <c r="G17049">
        <v>0</v>
      </c>
      <c r="H17049" t="s">
        <v>21886</v>
      </c>
      <c r="I17049">
        <v>19386</v>
      </c>
      <c r="J17049" t="str">
        <f>VLOOKUP(E17049,DSSpieler!A:B,2,FALSE)</f>
        <v>Arrow2018</v>
      </c>
    </row>
    <row r="17050" spans="1:10" x14ac:dyDescent="0.25">
      <c r="A17050">
        <v>19387</v>
      </c>
      <c r="B17050">
        <v>1</v>
      </c>
      <c r="C17050">
        <v>589</v>
      </c>
      <c r="D17050">
        <v>600</v>
      </c>
      <c r="E17050">
        <v>1577036496</v>
      </c>
      <c r="F17050">
        <v>644</v>
      </c>
      <c r="G17050">
        <v>0</v>
      </c>
      <c r="H17050" t="s">
        <v>21887</v>
      </c>
      <c r="I17050">
        <v>19387</v>
      </c>
      <c r="J17050" t="str">
        <f>VLOOKUP(E17050,DSSpieler!A:B,2,FALSE)</f>
        <v>Stativ93</v>
      </c>
    </row>
    <row r="17051" spans="1:10" x14ac:dyDescent="0.25">
      <c r="A17051">
        <v>19388</v>
      </c>
      <c r="B17051" t="s">
        <v>3599</v>
      </c>
      <c r="C17051">
        <v>373</v>
      </c>
      <c r="D17051">
        <v>461</v>
      </c>
      <c r="E17051">
        <v>1576961019</v>
      </c>
      <c r="F17051">
        <v>1178</v>
      </c>
      <c r="G17051">
        <v>0</v>
      </c>
      <c r="H17051" t="s">
        <v>21888</v>
      </c>
      <c r="I17051">
        <v>19388</v>
      </c>
      <c r="J17051" t="str">
        <f>VLOOKUP(E17051,DSSpieler!A:B,2,FALSE)</f>
        <v>Lord MassenMörder</v>
      </c>
    </row>
    <row r="17052" spans="1:10" x14ac:dyDescent="0.25">
      <c r="A17052">
        <v>19389</v>
      </c>
      <c r="B17052" t="s">
        <v>3600</v>
      </c>
      <c r="C17052">
        <v>623</v>
      </c>
      <c r="D17052">
        <v>550</v>
      </c>
      <c r="E17052">
        <v>1576347628</v>
      </c>
      <c r="F17052">
        <v>251</v>
      </c>
      <c r="G17052">
        <v>0</v>
      </c>
      <c r="H17052" t="s">
        <v>21889</v>
      </c>
      <c r="I17052">
        <v>19389</v>
      </c>
      <c r="J17052" t="str">
        <f>VLOOKUP(E17052,DSSpieler!A:B,2,FALSE)</f>
        <v>mollidk</v>
      </c>
    </row>
    <row r="17053" spans="1:10" x14ac:dyDescent="0.25">
      <c r="A17053">
        <v>19390</v>
      </c>
      <c r="B17053" t="s">
        <v>3398</v>
      </c>
      <c r="C17053">
        <v>409</v>
      </c>
      <c r="D17053">
        <v>408</v>
      </c>
      <c r="E17053">
        <v>1577153907</v>
      </c>
      <c r="F17053">
        <v>1011</v>
      </c>
      <c r="G17053">
        <v>0</v>
      </c>
      <c r="H17053" t="s">
        <v>21890</v>
      </c>
      <c r="I17053">
        <v>19390</v>
      </c>
      <c r="J17053" t="str">
        <f>VLOOKUP(E17053,DSSpieler!A:B,2,FALSE)</f>
        <v>Phil87</v>
      </c>
    </row>
    <row r="17054" spans="1:10" x14ac:dyDescent="0.25">
      <c r="A17054">
        <v>19391</v>
      </c>
      <c r="B17054" t="s">
        <v>531</v>
      </c>
      <c r="C17054">
        <v>620</v>
      </c>
      <c r="D17054">
        <v>450</v>
      </c>
      <c r="E17054">
        <v>0</v>
      </c>
      <c r="F17054">
        <v>102</v>
      </c>
      <c r="G17054">
        <v>0</v>
      </c>
      <c r="H17054" t="s">
        <v>21891</v>
      </c>
      <c r="I17054">
        <v>19391</v>
      </c>
      <c r="J17054" t="e">
        <f>VLOOKUP(E17054,DSSpieler!A:B,2,FALSE)</f>
        <v>#N/A</v>
      </c>
    </row>
    <row r="17055" spans="1:10" x14ac:dyDescent="0.25">
      <c r="A17055">
        <v>19392</v>
      </c>
      <c r="B17055" t="s">
        <v>3601</v>
      </c>
      <c r="C17055">
        <v>418</v>
      </c>
      <c r="D17055">
        <v>396</v>
      </c>
      <c r="E17055">
        <v>1576439466</v>
      </c>
      <c r="F17055">
        <v>645</v>
      </c>
      <c r="G17055">
        <v>0</v>
      </c>
      <c r="H17055" t="s">
        <v>21892</v>
      </c>
      <c r="I17055">
        <v>19392</v>
      </c>
      <c r="J17055" t="str">
        <f>VLOOKUP(E17055,DSSpieler!A:B,2,FALSE)</f>
        <v>Dr.Dee</v>
      </c>
    </row>
    <row r="17056" spans="1:10" x14ac:dyDescent="0.25">
      <c r="A17056">
        <v>19393</v>
      </c>
      <c r="B17056" t="s">
        <v>531</v>
      </c>
      <c r="C17056">
        <v>622</v>
      </c>
      <c r="D17056">
        <v>546</v>
      </c>
      <c r="E17056">
        <v>0</v>
      </c>
      <c r="F17056">
        <v>90</v>
      </c>
      <c r="G17056">
        <v>0</v>
      </c>
      <c r="H17056" t="s">
        <v>21893</v>
      </c>
      <c r="I17056">
        <v>19393</v>
      </c>
      <c r="J17056" t="e">
        <f>VLOOKUP(E17056,DSSpieler!A:B,2,FALSE)</f>
        <v>#N/A</v>
      </c>
    </row>
    <row r="17057" spans="1:10" x14ac:dyDescent="0.25">
      <c r="A17057">
        <v>19394</v>
      </c>
      <c r="B17057" t="s">
        <v>3602</v>
      </c>
      <c r="C17057">
        <v>469</v>
      </c>
      <c r="D17057">
        <v>480</v>
      </c>
      <c r="E17057">
        <v>1577168178</v>
      </c>
      <c r="F17057">
        <v>224</v>
      </c>
      <c r="G17057">
        <v>0</v>
      </c>
      <c r="H17057" t="s">
        <v>21894</v>
      </c>
      <c r="I17057">
        <v>19394</v>
      </c>
      <c r="J17057" t="str">
        <f>VLOOKUP(E17057,DSSpieler!A:B,2,FALSE)</f>
        <v>Blacky94</v>
      </c>
    </row>
    <row r="17058" spans="1:10" x14ac:dyDescent="0.25">
      <c r="A17058">
        <v>19395</v>
      </c>
      <c r="B17058" t="s">
        <v>531</v>
      </c>
      <c r="C17058">
        <v>546</v>
      </c>
      <c r="D17058">
        <v>494</v>
      </c>
      <c r="E17058">
        <v>0</v>
      </c>
      <c r="F17058">
        <v>368</v>
      </c>
      <c r="G17058">
        <v>0</v>
      </c>
      <c r="H17058" t="s">
        <v>21895</v>
      </c>
      <c r="I17058">
        <v>19395</v>
      </c>
      <c r="J17058" t="e">
        <f>VLOOKUP(E17058,DSSpieler!A:B,2,FALSE)</f>
        <v>#N/A</v>
      </c>
    </row>
    <row r="17059" spans="1:10" x14ac:dyDescent="0.25">
      <c r="A17059">
        <v>19396</v>
      </c>
      <c r="B17059" t="s">
        <v>3603</v>
      </c>
      <c r="C17059">
        <v>559</v>
      </c>
      <c r="D17059">
        <v>383</v>
      </c>
      <c r="E17059">
        <v>1577063162</v>
      </c>
      <c r="F17059">
        <v>720</v>
      </c>
      <c r="G17059">
        <v>0</v>
      </c>
      <c r="H17059" t="s">
        <v>21896</v>
      </c>
      <c r="I17059">
        <v>19396</v>
      </c>
      <c r="J17059" t="str">
        <f>VLOOKUP(E17059,DSSpieler!A:B,2,FALSE)</f>
        <v>Marie2406</v>
      </c>
    </row>
    <row r="17060" spans="1:10" x14ac:dyDescent="0.25">
      <c r="A17060">
        <v>19397</v>
      </c>
      <c r="B17060" t="s">
        <v>3604</v>
      </c>
      <c r="C17060">
        <v>606</v>
      </c>
      <c r="D17060">
        <v>573</v>
      </c>
      <c r="E17060">
        <v>1576351544</v>
      </c>
      <c r="F17060">
        <v>1010</v>
      </c>
      <c r="G17060">
        <v>0</v>
      </c>
      <c r="H17060" t="s">
        <v>21897</v>
      </c>
      <c r="I17060">
        <v>19397</v>
      </c>
      <c r="J17060" t="str">
        <f>VLOOKUP(E17060,DSSpieler!A:B,2,FALSE)</f>
        <v>.Shadow.</v>
      </c>
    </row>
    <row r="17061" spans="1:10" x14ac:dyDescent="0.25">
      <c r="A17061">
        <v>19398</v>
      </c>
      <c r="B17061" t="s">
        <v>3605</v>
      </c>
      <c r="C17061">
        <v>459</v>
      </c>
      <c r="D17061">
        <v>445</v>
      </c>
      <c r="E17061">
        <v>1576736915</v>
      </c>
      <c r="F17061">
        <v>727</v>
      </c>
      <c r="G17061">
        <v>0</v>
      </c>
      <c r="H17061" t="s">
        <v>21898</v>
      </c>
      <c r="I17061">
        <v>19398</v>
      </c>
      <c r="J17061" t="str">
        <f>VLOOKUP(E17061,DSSpieler!A:B,2,FALSE)</f>
        <v>Pat1508</v>
      </c>
    </row>
    <row r="17062" spans="1:10" x14ac:dyDescent="0.25">
      <c r="A17062">
        <v>19399</v>
      </c>
      <c r="B17062" t="s">
        <v>3606</v>
      </c>
      <c r="C17062">
        <v>578</v>
      </c>
      <c r="D17062">
        <v>431</v>
      </c>
      <c r="E17062">
        <v>1577207491</v>
      </c>
      <c r="F17062">
        <v>613</v>
      </c>
      <c r="G17062">
        <v>0</v>
      </c>
      <c r="H17062" t="s">
        <v>21899</v>
      </c>
      <c r="I17062">
        <v>19399</v>
      </c>
      <c r="J17062" t="str">
        <f>VLOOKUP(E17062,DSSpieler!A:B,2,FALSE)</f>
        <v>MoralBasher2020</v>
      </c>
    </row>
    <row r="17063" spans="1:10" x14ac:dyDescent="0.25">
      <c r="A17063">
        <v>19400</v>
      </c>
      <c r="B17063" t="s">
        <v>3607</v>
      </c>
      <c r="C17063">
        <v>601</v>
      </c>
      <c r="D17063">
        <v>585</v>
      </c>
      <c r="E17063">
        <v>9799706</v>
      </c>
      <c r="F17063">
        <v>1365</v>
      </c>
      <c r="G17063">
        <v>0</v>
      </c>
      <c r="H17063" t="s">
        <v>21900</v>
      </c>
      <c r="I17063">
        <v>19400</v>
      </c>
      <c r="J17063" t="str">
        <f>VLOOKUP(E17063,DSSpieler!A:B,2,FALSE)</f>
        <v>Debray</v>
      </c>
    </row>
    <row r="17064" spans="1:10" x14ac:dyDescent="0.25">
      <c r="A17064">
        <v>19401</v>
      </c>
      <c r="B17064" t="s">
        <v>3608</v>
      </c>
      <c r="C17064">
        <v>420</v>
      </c>
      <c r="D17064">
        <v>389</v>
      </c>
      <c r="E17064">
        <v>1576796550</v>
      </c>
      <c r="F17064">
        <v>801</v>
      </c>
      <c r="G17064">
        <v>0</v>
      </c>
      <c r="H17064" t="s">
        <v>21901</v>
      </c>
      <c r="I17064">
        <v>19401</v>
      </c>
      <c r="J17064" t="str">
        <f>VLOOKUP(E17064,DSSpieler!A:B,2,FALSE)</f>
        <v>PowerShark</v>
      </c>
    </row>
    <row r="17065" spans="1:10" x14ac:dyDescent="0.25">
      <c r="A17065">
        <v>19403</v>
      </c>
      <c r="B17065" t="s">
        <v>3609</v>
      </c>
      <c r="C17065">
        <v>543</v>
      </c>
      <c r="D17065">
        <v>622</v>
      </c>
      <c r="E17065">
        <v>1576657010</v>
      </c>
      <c r="F17065">
        <v>54</v>
      </c>
      <c r="G17065">
        <v>0</v>
      </c>
      <c r="H17065" t="s">
        <v>21902</v>
      </c>
      <c r="I17065">
        <v>19403</v>
      </c>
      <c r="J17065" t="str">
        <f>VLOOKUP(E17065,DSSpieler!A:B,2,FALSE)</f>
        <v>ralfi22</v>
      </c>
    </row>
    <row r="17066" spans="1:10" x14ac:dyDescent="0.25">
      <c r="A17066">
        <v>19404</v>
      </c>
      <c r="B17066" t="s">
        <v>531</v>
      </c>
      <c r="C17066">
        <v>611</v>
      </c>
      <c r="D17066">
        <v>564</v>
      </c>
      <c r="E17066">
        <v>0</v>
      </c>
      <c r="F17066">
        <v>96</v>
      </c>
      <c r="G17066">
        <v>0</v>
      </c>
      <c r="H17066" t="s">
        <v>21903</v>
      </c>
      <c r="I17066">
        <v>19404</v>
      </c>
      <c r="J17066" t="e">
        <f>VLOOKUP(E17066,DSSpieler!A:B,2,FALSE)</f>
        <v>#N/A</v>
      </c>
    </row>
    <row r="17067" spans="1:10" x14ac:dyDescent="0.25">
      <c r="A17067">
        <v>19405</v>
      </c>
      <c r="B17067" t="s">
        <v>35687</v>
      </c>
      <c r="C17067">
        <v>377</v>
      </c>
      <c r="D17067">
        <v>551</v>
      </c>
      <c r="E17067">
        <v>1664238</v>
      </c>
      <c r="F17067">
        <v>632</v>
      </c>
      <c r="G17067">
        <v>0</v>
      </c>
      <c r="H17067" t="s">
        <v>21904</v>
      </c>
      <c r="I17067">
        <v>19405</v>
      </c>
      <c r="J17067" t="str">
        <f>VLOOKUP(E17067,DSSpieler!A:B,2,FALSE)</f>
        <v>PzAufklärer</v>
      </c>
    </row>
    <row r="17068" spans="1:10" x14ac:dyDescent="0.25">
      <c r="A17068">
        <v>19406</v>
      </c>
      <c r="B17068" t="s">
        <v>3610</v>
      </c>
      <c r="C17068">
        <v>406</v>
      </c>
      <c r="D17068">
        <v>408</v>
      </c>
      <c r="E17068">
        <v>9834860</v>
      </c>
      <c r="F17068">
        <v>101</v>
      </c>
      <c r="G17068">
        <v>0</v>
      </c>
      <c r="H17068" t="s">
        <v>21905</v>
      </c>
      <c r="I17068">
        <v>19406</v>
      </c>
      <c r="J17068" t="str">
        <f>VLOOKUP(E17068,DSSpieler!A:B,2,FALSE)</f>
        <v>skyrim1997</v>
      </c>
    </row>
    <row r="17069" spans="1:10" x14ac:dyDescent="0.25">
      <c r="A17069">
        <v>19407</v>
      </c>
      <c r="B17069" t="s">
        <v>531</v>
      </c>
      <c r="C17069">
        <v>377</v>
      </c>
      <c r="D17069">
        <v>540</v>
      </c>
      <c r="E17069">
        <v>0</v>
      </c>
      <c r="F17069">
        <v>69</v>
      </c>
      <c r="G17069">
        <v>0</v>
      </c>
      <c r="H17069" t="s">
        <v>21906</v>
      </c>
      <c r="I17069">
        <v>19407</v>
      </c>
      <c r="J17069" t="e">
        <f>VLOOKUP(E17069,DSSpieler!A:B,2,FALSE)</f>
        <v>#N/A</v>
      </c>
    </row>
    <row r="17070" spans="1:10" x14ac:dyDescent="0.25">
      <c r="A17070">
        <v>19408</v>
      </c>
      <c r="B17070" t="s">
        <v>2422</v>
      </c>
      <c r="C17070">
        <v>549</v>
      </c>
      <c r="D17070">
        <v>625</v>
      </c>
      <c r="E17070">
        <v>1577197975</v>
      </c>
      <c r="F17070">
        <v>642</v>
      </c>
      <c r="G17070">
        <v>0</v>
      </c>
      <c r="H17070" t="s">
        <v>21907</v>
      </c>
      <c r="I17070">
        <v>19408</v>
      </c>
      <c r="J17070" t="str">
        <f>VLOOKUP(E17070,DSSpieler!A:B,2,FALSE)</f>
        <v>Ned Stark</v>
      </c>
    </row>
    <row r="17071" spans="1:10" x14ac:dyDescent="0.25">
      <c r="A17071">
        <v>19409</v>
      </c>
      <c r="B17071" t="s">
        <v>3611</v>
      </c>
      <c r="C17071">
        <v>612</v>
      </c>
      <c r="D17071">
        <v>433</v>
      </c>
      <c r="E17071">
        <v>1577197510</v>
      </c>
      <c r="F17071">
        <v>26</v>
      </c>
      <c r="G17071">
        <v>0</v>
      </c>
      <c r="H17071" t="s">
        <v>21908</v>
      </c>
      <c r="I17071">
        <v>19409</v>
      </c>
      <c r="J17071" t="str">
        <f>VLOOKUP(E17071,DSSpieler!A:B,2,FALSE)</f>
        <v>Superspreader</v>
      </c>
    </row>
    <row r="17072" spans="1:10" x14ac:dyDescent="0.25">
      <c r="A17072">
        <v>19410</v>
      </c>
      <c r="B17072" t="s">
        <v>3612</v>
      </c>
      <c r="C17072">
        <v>621</v>
      </c>
      <c r="D17072">
        <v>447</v>
      </c>
      <c r="E17072">
        <v>1577207500</v>
      </c>
      <c r="F17072">
        <v>321</v>
      </c>
      <c r="G17072">
        <v>0</v>
      </c>
      <c r="H17072" t="s">
        <v>21909</v>
      </c>
      <c r="I17072">
        <v>19410</v>
      </c>
      <c r="J17072" t="str">
        <f>VLOOKUP(E17072,DSSpieler!A:B,2,FALSE)</f>
        <v>bobber</v>
      </c>
    </row>
    <row r="17073" spans="1:10" x14ac:dyDescent="0.25">
      <c r="A17073">
        <v>19411</v>
      </c>
      <c r="B17073" t="s">
        <v>3613</v>
      </c>
      <c r="C17073">
        <v>367</v>
      </c>
      <c r="D17073">
        <v>479</v>
      </c>
      <c r="E17073">
        <v>1577188944</v>
      </c>
      <c r="F17073">
        <v>566</v>
      </c>
      <c r="G17073">
        <v>0</v>
      </c>
      <c r="H17073" t="s">
        <v>21910</v>
      </c>
      <c r="I17073">
        <v>19411</v>
      </c>
      <c r="J17073" t="str">
        <f>VLOOKUP(E17073,DSSpieler!A:B,2,FALSE)</f>
        <v>TinaEevee</v>
      </c>
    </row>
    <row r="17074" spans="1:10" x14ac:dyDescent="0.25">
      <c r="A17074">
        <v>19413</v>
      </c>
      <c r="B17074" t="s">
        <v>3614</v>
      </c>
      <c r="C17074">
        <v>590</v>
      </c>
      <c r="D17074">
        <v>596</v>
      </c>
      <c r="E17074">
        <v>9646597</v>
      </c>
      <c r="F17074">
        <v>26</v>
      </c>
      <c r="G17074">
        <v>0</v>
      </c>
      <c r="H17074" t="s">
        <v>21911</v>
      </c>
      <c r="I17074">
        <v>19413</v>
      </c>
      <c r="J17074" t="str">
        <f>VLOOKUP(E17074,DSSpieler!A:B,2,FALSE)</f>
        <v>Ramblow</v>
      </c>
    </row>
    <row r="17075" spans="1:10" x14ac:dyDescent="0.25">
      <c r="A17075">
        <v>19414</v>
      </c>
      <c r="B17075" t="s">
        <v>3615</v>
      </c>
      <c r="C17075">
        <v>416</v>
      </c>
      <c r="D17075">
        <v>595</v>
      </c>
      <c r="E17075">
        <v>1577187431</v>
      </c>
      <c r="F17075">
        <v>197</v>
      </c>
      <c r="G17075">
        <v>0</v>
      </c>
      <c r="H17075" t="s">
        <v>21912</v>
      </c>
      <c r="I17075">
        <v>19414</v>
      </c>
      <c r="J17075" t="str">
        <f>VLOOKUP(E17075,DSSpieler!A:B,2,FALSE)</f>
        <v>Dunzi1995</v>
      </c>
    </row>
    <row r="17076" spans="1:10" x14ac:dyDescent="0.25">
      <c r="A17076">
        <v>19415</v>
      </c>
      <c r="B17076" t="s">
        <v>3616</v>
      </c>
      <c r="C17076">
        <v>490</v>
      </c>
      <c r="D17076">
        <v>633</v>
      </c>
      <c r="E17076">
        <v>1577070018</v>
      </c>
      <c r="F17076">
        <v>50</v>
      </c>
      <c r="G17076">
        <v>0</v>
      </c>
      <c r="H17076" t="s">
        <v>21913</v>
      </c>
      <c r="I17076">
        <v>19415</v>
      </c>
      <c r="J17076" t="str">
        <f>VLOOKUP(E17076,DSSpieler!A:B,2,FALSE)</f>
        <v>Wurstle</v>
      </c>
    </row>
    <row r="17077" spans="1:10" x14ac:dyDescent="0.25">
      <c r="A17077">
        <v>19416</v>
      </c>
      <c r="B17077" t="s">
        <v>3617</v>
      </c>
      <c r="C17077">
        <v>475</v>
      </c>
      <c r="D17077">
        <v>584</v>
      </c>
      <c r="E17077">
        <v>1576946212</v>
      </c>
      <c r="F17077">
        <v>1311</v>
      </c>
      <c r="G17077">
        <v>0</v>
      </c>
      <c r="H17077" t="s">
        <v>21914</v>
      </c>
      <c r="I17077">
        <v>19416</v>
      </c>
      <c r="J17077" t="str">
        <f>VLOOKUP(E17077,DSSpieler!A:B,2,FALSE)</f>
        <v>FiestaHeitzer</v>
      </c>
    </row>
    <row r="17078" spans="1:10" x14ac:dyDescent="0.25">
      <c r="A17078">
        <v>19417</v>
      </c>
      <c r="B17078" t="s">
        <v>531</v>
      </c>
      <c r="C17078">
        <v>628</v>
      </c>
      <c r="D17078">
        <v>538</v>
      </c>
      <c r="E17078">
        <v>0</v>
      </c>
      <c r="F17078">
        <v>109</v>
      </c>
      <c r="G17078">
        <v>0</v>
      </c>
      <c r="H17078" t="s">
        <v>21915</v>
      </c>
      <c r="I17078">
        <v>19417</v>
      </c>
      <c r="J17078" t="e">
        <f>VLOOKUP(E17078,DSSpieler!A:B,2,FALSE)</f>
        <v>#N/A</v>
      </c>
    </row>
    <row r="17079" spans="1:10" x14ac:dyDescent="0.25">
      <c r="A17079">
        <v>19419</v>
      </c>
      <c r="B17079" t="s">
        <v>531</v>
      </c>
      <c r="C17079">
        <v>494</v>
      </c>
      <c r="D17079">
        <v>475</v>
      </c>
      <c r="E17079">
        <v>0</v>
      </c>
      <c r="F17079">
        <v>531</v>
      </c>
      <c r="G17079">
        <v>0</v>
      </c>
      <c r="H17079" t="s">
        <v>21916</v>
      </c>
      <c r="I17079">
        <v>19419</v>
      </c>
      <c r="J17079" t="e">
        <f>VLOOKUP(E17079,DSSpieler!A:B,2,FALSE)</f>
        <v>#N/A</v>
      </c>
    </row>
    <row r="17080" spans="1:10" x14ac:dyDescent="0.25">
      <c r="A17080">
        <v>19420</v>
      </c>
      <c r="B17080" t="s">
        <v>3618</v>
      </c>
      <c r="C17080">
        <v>454</v>
      </c>
      <c r="D17080">
        <v>563</v>
      </c>
      <c r="E17080">
        <v>1577202233</v>
      </c>
      <c r="F17080">
        <v>73</v>
      </c>
      <c r="G17080">
        <v>0</v>
      </c>
      <c r="H17080" t="s">
        <v>21917</v>
      </c>
      <c r="I17080">
        <v>19420</v>
      </c>
      <c r="J17080" t="str">
        <f>VLOOKUP(E17080,DSSpieler!A:B,2,FALSE)</f>
        <v>LordHelmchen1999</v>
      </c>
    </row>
    <row r="17081" spans="1:10" x14ac:dyDescent="0.25">
      <c r="A17081">
        <v>19421</v>
      </c>
      <c r="B17081" t="s">
        <v>3619</v>
      </c>
      <c r="C17081">
        <v>396</v>
      </c>
      <c r="D17081">
        <v>585</v>
      </c>
      <c r="E17081">
        <v>1577202351</v>
      </c>
      <c r="F17081">
        <v>44</v>
      </c>
      <c r="G17081">
        <v>0</v>
      </c>
      <c r="H17081" t="s">
        <v>21918</v>
      </c>
      <c r="I17081">
        <v>19421</v>
      </c>
      <c r="J17081" t="str">
        <f>VLOOKUP(E17081,DSSpieler!A:B,2,FALSE)</f>
        <v>Naktara</v>
      </c>
    </row>
    <row r="17082" spans="1:10" x14ac:dyDescent="0.25">
      <c r="A17082">
        <v>19422</v>
      </c>
      <c r="B17082" t="s">
        <v>35688</v>
      </c>
      <c r="C17082">
        <v>616</v>
      </c>
      <c r="D17082">
        <v>557</v>
      </c>
      <c r="E17082">
        <v>20184</v>
      </c>
      <c r="F17082">
        <v>646</v>
      </c>
      <c r="G17082">
        <v>0</v>
      </c>
      <c r="H17082" t="s">
        <v>21919</v>
      </c>
      <c r="I17082">
        <v>19422</v>
      </c>
      <c r="J17082" t="str">
        <f>VLOOKUP(E17082,DSSpieler!A:B,2,FALSE)</f>
        <v>Gandalf der weiße</v>
      </c>
    </row>
    <row r="17083" spans="1:10" x14ac:dyDescent="0.25">
      <c r="A17083">
        <v>19423</v>
      </c>
      <c r="B17083" t="s">
        <v>3620</v>
      </c>
      <c r="C17083">
        <v>628</v>
      </c>
      <c r="D17083">
        <v>461</v>
      </c>
      <c r="E17083">
        <v>852853</v>
      </c>
      <c r="F17083">
        <v>802</v>
      </c>
      <c r="G17083">
        <v>0</v>
      </c>
      <c r="H17083" t="s">
        <v>21920</v>
      </c>
      <c r="I17083">
        <v>19423</v>
      </c>
      <c r="J17083" t="str">
        <f>VLOOKUP(E17083,DSSpieler!A:B,2,FALSE)</f>
        <v>Lord of Megadesaster</v>
      </c>
    </row>
    <row r="17084" spans="1:10" x14ac:dyDescent="0.25">
      <c r="A17084">
        <v>19424</v>
      </c>
      <c r="B17084" t="s">
        <v>3621</v>
      </c>
      <c r="C17084">
        <v>504</v>
      </c>
      <c r="D17084">
        <v>456</v>
      </c>
      <c r="E17084">
        <v>1576075442</v>
      </c>
      <c r="F17084">
        <v>549</v>
      </c>
      <c r="G17084">
        <v>0</v>
      </c>
      <c r="H17084" t="s">
        <v>21921</v>
      </c>
      <c r="I17084">
        <v>19424</v>
      </c>
      <c r="J17084" t="str">
        <f>VLOOKUP(E17084,DSSpieler!A:B,2,FALSE)</f>
        <v>Cyrano03</v>
      </c>
    </row>
    <row r="17085" spans="1:10" x14ac:dyDescent="0.25">
      <c r="A17085">
        <v>19425</v>
      </c>
      <c r="B17085" t="s">
        <v>531</v>
      </c>
      <c r="C17085">
        <v>413</v>
      </c>
      <c r="D17085">
        <v>398</v>
      </c>
      <c r="E17085">
        <v>0</v>
      </c>
      <c r="F17085">
        <v>101</v>
      </c>
      <c r="G17085">
        <v>0</v>
      </c>
      <c r="H17085" t="s">
        <v>21922</v>
      </c>
      <c r="I17085">
        <v>19425</v>
      </c>
      <c r="J17085" t="e">
        <f>VLOOKUP(E17085,DSSpieler!A:B,2,FALSE)</f>
        <v>#N/A</v>
      </c>
    </row>
    <row r="17086" spans="1:10" x14ac:dyDescent="0.25">
      <c r="A17086">
        <v>19426</v>
      </c>
      <c r="B17086" t="s">
        <v>3622</v>
      </c>
      <c r="C17086">
        <v>573</v>
      </c>
      <c r="D17086">
        <v>417</v>
      </c>
      <c r="E17086">
        <v>8743953</v>
      </c>
      <c r="F17086">
        <v>1284</v>
      </c>
      <c r="G17086">
        <v>0</v>
      </c>
      <c r="H17086" t="s">
        <v>21923</v>
      </c>
      <c r="I17086">
        <v>19426</v>
      </c>
      <c r="J17086" t="str">
        <f>VLOOKUP(E17086,DSSpieler!A:B,2,FALSE)</f>
        <v>Zocken x3</v>
      </c>
    </row>
    <row r="17087" spans="1:10" x14ac:dyDescent="0.25">
      <c r="A17087">
        <v>19427</v>
      </c>
      <c r="B17087" t="s">
        <v>2421</v>
      </c>
      <c r="C17087">
        <v>458</v>
      </c>
      <c r="D17087">
        <v>624</v>
      </c>
      <c r="E17087">
        <v>1576326737</v>
      </c>
      <c r="F17087">
        <v>519</v>
      </c>
      <c r="G17087">
        <v>0</v>
      </c>
      <c r="H17087" t="s">
        <v>21924</v>
      </c>
      <c r="I17087">
        <v>19427</v>
      </c>
      <c r="J17087" t="str">
        <f>VLOOKUP(E17087,DSSpieler!A:B,2,FALSE)</f>
        <v>Arrowflight</v>
      </c>
    </row>
    <row r="17088" spans="1:10" x14ac:dyDescent="0.25">
      <c r="A17088">
        <v>19428</v>
      </c>
      <c r="B17088" t="s">
        <v>531</v>
      </c>
      <c r="C17088">
        <v>375</v>
      </c>
      <c r="D17088">
        <v>544</v>
      </c>
      <c r="E17088">
        <v>0</v>
      </c>
      <c r="F17088">
        <v>71</v>
      </c>
      <c r="G17088">
        <v>0</v>
      </c>
      <c r="H17088" t="s">
        <v>21925</v>
      </c>
      <c r="I17088">
        <v>19428</v>
      </c>
      <c r="J17088" t="e">
        <f>VLOOKUP(E17088,DSSpieler!A:B,2,FALSE)</f>
        <v>#N/A</v>
      </c>
    </row>
    <row r="17089" spans="1:10" x14ac:dyDescent="0.25">
      <c r="A17089">
        <v>19429</v>
      </c>
      <c r="B17089" t="s">
        <v>3623</v>
      </c>
      <c r="C17089">
        <v>379</v>
      </c>
      <c r="D17089">
        <v>553</v>
      </c>
      <c r="E17089">
        <v>10228773</v>
      </c>
      <c r="F17089">
        <v>935</v>
      </c>
      <c r="G17089">
        <v>0</v>
      </c>
      <c r="H17089" t="s">
        <v>21926</v>
      </c>
      <c r="I17089">
        <v>19429</v>
      </c>
      <c r="J17089" t="str">
        <f>VLOOKUP(E17089,DSSpieler!A:B,2,FALSE)</f>
        <v>Virman</v>
      </c>
    </row>
    <row r="17090" spans="1:10" x14ac:dyDescent="0.25">
      <c r="A17090">
        <v>19431</v>
      </c>
      <c r="B17090" t="s">
        <v>531</v>
      </c>
      <c r="C17090">
        <v>634</v>
      </c>
      <c r="D17090">
        <v>510</v>
      </c>
      <c r="E17090">
        <v>0</v>
      </c>
      <c r="F17090">
        <v>60</v>
      </c>
      <c r="G17090">
        <v>0</v>
      </c>
      <c r="H17090" t="s">
        <v>21927</v>
      </c>
      <c r="I17090">
        <v>19431</v>
      </c>
      <c r="J17090" t="e">
        <f>VLOOKUP(E17090,DSSpieler!A:B,2,FALSE)</f>
        <v>#N/A</v>
      </c>
    </row>
    <row r="17091" spans="1:10" x14ac:dyDescent="0.25">
      <c r="A17091">
        <v>19433</v>
      </c>
      <c r="B17091" t="s">
        <v>3624</v>
      </c>
      <c r="C17091">
        <v>623</v>
      </c>
      <c r="D17091">
        <v>448</v>
      </c>
      <c r="E17091">
        <v>8310122</v>
      </c>
      <c r="F17091">
        <v>212</v>
      </c>
      <c r="G17091">
        <v>0</v>
      </c>
      <c r="H17091" t="s">
        <v>21928</v>
      </c>
      <c r="I17091">
        <v>19433</v>
      </c>
      <c r="J17091" t="str">
        <f>VLOOKUP(E17091,DSSpieler!A:B,2,FALSE)</f>
        <v>mesocool</v>
      </c>
    </row>
    <row r="17092" spans="1:10" x14ac:dyDescent="0.25">
      <c r="A17092">
        <v>19434</v>
      </c>
      <c r="B17092" t="s">
        <v>3625</v>
      </c>
      <c r="C17092">
        <v>434</v>
      </c>
      <c r="D17092">
        <v>436</v>
      </c>
      <c r="E17092">
        <v>696471</v>
      </c>
      <c r="F17092">
        <v>1190</v>
      </c>
      <c r="G17092">
        <v>0</v>
      </c>
      <c r="H17092" t="s">
        <v>21929</v>
      </c>
      <c r="I17092">
        <v>19434</v>
      </c>
      <c r="J17092" t="str">
        <f>VLOOKUP(E17092,DSSpieler!A:B,2,FALSE)</f>
        <v>HerbeSoKrass</v>
      </c>
    </row>
    <row r="17093" spans="1:10" x14ac:dyDescent="0.25">
      <c r="A17093">
        <v>19436</v>
      </c>
      <c r="B17093" t="s">
        <v>3626</v>
      </c>
      <c r="C17093">
        <v>619</v>
      </c>
      <c r="D17093">
        <v>449</v>
      </c>
      <c r="E17093">
        <v>9539205</v>
      </c>
      <c r="F17093">
        <v>364</v>
      </c>
      <c r="G17093">
        <v>0</v>
      </c>
      <c r="H17093" t="s">
        <v>21930</v>
      </c>
      <c r="I17093">
        <v>19436</v>
      </c>
      <c r="J17093" t="str">
        <f>VLOOKUP(E17093,DSSpieler!A:B,2,FALSE)</f>
        <v>Blue SF</v>
      </c>
    </row>
    <row r="17094" spans="1:10" x14ac:dyDescent="0.25">
      <c r="A17094">
        <v>19437</v>
      </c>
      <c r="B17094" t="s">
        <v>3627</v>
      </c>
      <c r="C17094">
        <v>426</v>
      </c>
      <c r="D17094">
        <v>464</v>
      </c>
      <c r="E17094">
        <v>1576586625</v>
      </c>
      <c r="F17094">
        <v>56</v>
      </c>
      <c r="G17094">
        <v>0</v>
      </c>
      <c r="H17094" t="s">
        <v>21931</v>
      </c>
      <c r="I17094">
        <v>19437</v>
      </c>
      <c r="J17094" t="str">
        <f>VLOOKUP(E17094,DSSpieler!A:B,2,FALSE)</f>
        <v>KimJongUnbesiegbar</v>
      </c>
    </row>
    <row r="17095" spans="1:10" x14ac:dyDescent="0.25">
      <c r="A17095">
        <v>19438</v>
      </c>
      <c r="B17095" t="s">
        <v>3628</v>
      </c>
      <c r="C17095">
        <v>533</v>
      </c>
      <c r="D17095">
        <v>370</v>
      </c>
      <c r="E17095">
        <v>1577199185</v>
      </c>
      <c r="F17095">
        <v>26</v>
      </c>
      <c r="G17095">
        <v>0</v>
      </c>
      <c r="H17095" t="s">
        <v>21932</v>
      </c>
      <c r="I17095">
        <v>19438</v>
      </c>
      <c r="J17095" t="str">
        <f>VLOOKUP(E17095,DSSpieler!A:B,2,FALSE)</f>
        <v>Katze123</v>
      </c>
    </row>
    <row r="17096" spans="1:10" x14ac:dyDescent="0.25">
      <c r="A17096">
        <v>19439</v>
      </c>
      <c r="B17096" t="s">
        <v>3629</v>
      </c>
      <c r="C17096">
        <v>624</v>
      </c>
      <c r="D17096">
        <v>471</v>
      </c>
      <c r="E17096">
        <v>1577199275</v>
      </c>
      <c r="F17096">
        <v>398</v>
      </c>
      <c r="G17096">
        <v>0</v>
      </c>
      <c r="H17096" t="s">
        <v>21933</v>
      </c>
      <c r="I17096">
        <v>19439</v>
      </c>
      <c r="J17096" t="str">
        <f>VLOOKUP(E17096,DSSpieler!A:B,2,FALSE)</f>
        <v>DieAxt85</v>
      </c>
    </row>
    <row r="17097" spans="1:10" x14ac:dyDescent="0.25">
      <c r="A17097">
        <v>19440</v>
      </c>
      <c r="B17097" t="s">
        <v>3630</v>
      </c>
      <c r="C17097">
        <v>441</v>
      </c>
      <c r="D17097">
        <v>380</v>
      </c>
      <c r="E17097">
        <v>1577190369</v>
      </c>
      <c r="F17097">
        <v>841</v>
      </c>
      <c r="G17097">
        <v>0</v>
      </c>
      <c r="H17097" t="s">
        <v>21934</v>
      </c>
      <c r="I17097">
        <v>19440</v>
      </c>
      <c r="J17097" t="str">
        <f>VLOOKUP(E17097,DSSpieler!A:B,2,FALSE)</f>
        <v>Schambo1893</v>
      </c>
    </row>
    <row r="17098" spans="1:10" x14ac:dyDescent="0.25">
      <c r="A17098">
        <v>19441</v>
      </c>
      <c r="B17098" t="s">
        <v>531</v>
      </c>
      <c r="C17098">
        <v>379</v>
      </c>
      <c r="D17098">
        <v>551</v>
      </c>
      <c r="E17098">
        <v>0</v>
      </c>
      <c r="F17098">
        <v>154</v>
      </c>
      <c r="G17098">
        <v>0</v>
      </c>
      <c r="H17098" t="s">
        <v>21935</v>
      </c>
      <c r="I17098">
        <v>19441</v>
      </c>
      <c r="J17098" t="e">
        <f>VLOOKUP(E17098,DSSpieler!A:B,2,FALSE)</f>
        <v>#N/A</v>
      </c>
    </row>
    <row r="17099" spans="1:10" x14ac:dyDescent="0.25">
      <c r="A17099">
        <v>19443</v>
      </c>
      <c r="B17099" t="s">
        <v>150</v>
      </c>
      <c r="C17099">
        <v>447</v>
      </c>
      <c r="D17099">
        <v>618</v>
      </c>
      <c r="E17099">
        <v>2624281</v>
      </c>
      <c r="F17099">
        <v>1217</v>
      </c>
      <c r="G17099">
        <v>0</v>
      </c>
      <c r="H17099" t="s">
        <v>21936</v>
      </c>
      <c r="I17099">
        <v>19443</v>
      </c>
      <c r="J17099" t="str">
        <f>VLOOKUP(E17099,DSSpieler!A:B,2,FALSE)</f>
        <v>werwoolf</v>
      </c>
    </row>
    <row r="17100" spans="1:10" x14ac:dyDescent="0.25">
      <c r="A17100">
        <v>19444</v>
      </c>
      <c r="B17100" t="s">
        <v>3631</v>
      </c>
      <c r="C17100">
        <v>413</v>
      </c>
      <c r="D17100">
        <v>567</v>
      </c>
      <c r="E17100">
        <v>1577008771</v>
      </c>
      <c r="F17100">
        <v>1124</v>
      </c>
      <c r="G17100">
        <v>0</v>
      </c>
      <c r="H17100" t="s">
        <v>21937</v>
      </c>
      <c r="I17100">
        <v>19444</v>
      </c>
      <c r="J17100" t="str">
        <f>VLOOKUP(E17100,DSSpieler!A:B,2,FALSE)</f>
        <v>RokMount</v>
      </c>
    </row>
    <row r="17101" spans="1:10" x14ac:dyDescent="0.25">
      <c r="A17101">
        <v>19445</v>
      </c>
      <c r="B17101" t="s">
        <v>3632</v>
      </c>
      <c r="C17101">
        <v>369</v>
      </c>
      <c r="D17101">
        <v>504</v>
      </c>
      <c r="E17101">
        <v>1577207495</v>
      </c>
      <c r="F17101">
        <v>877</v>
      </c>
      <c r="G17101">
        <v>0</v>
      </c>
      <c r="H17101" t="s">
        <v>21938</v>
      </c>
      <c r="I17101">
        <v>19445</v>
      </c>
      <c r="J17101" t="str">
        <f>VLOOKUP(E17101,DSSpieler!A:B,2,FALSE)</f>
        <v>JosefStelin</v>
      </c>
    </row>
    <row r="17102" spans="1:10" x14ac:dyDescent="0.25">
      <c r="A17102">
        <v>19446</v>
      </c>
      <c r="B17102" t="s">
        <v>3633</v>
      </c>
      <c r="C17102">
        <v>434</v>
      </c>
      <c r="D17102">
        <v>616</v>
      </c>
      <c r="E17102">
        <v>10237263</v>
      </c>
      <c r="F17102">
        <v>437</v>
      </c>
      <c r="G17102">
        <v>0</v>
      </c>
      <c r="H17102" t="s">
        <v>21939</v>
      </c>
      <c r="I17102">
        <v>19446</v>
      </c>
      <c r="J17102" t="str">
        <f>VLOOKUP(E17102,DSSpieler!A:B,2,FALSE)</f>
        <v>King of the Bongos</v>
      </c>
    </row>
    <row r="17103" spans="1:10" x14ac:dyDescent="0.25">
      <c r="A17103">
        <v>19448</v>
      </c>
      <c r="B17103" t="s">
        <v>3634</v>
      </c>
      <c r="C17103">
        <v>576</v>
      </c>
      <c r="D17103">
        <v>611</v>
      </c>
      <c r="E17103">
        <v>1577204841</v>
      </c>
      <c r="F17103">
        <v>28</v>
      </c>
      <c r="G17103">
        <v>0</v>
      </c>
      <c r="H17103" t="s">
        <v>21940</v>
      </c>
      <c r="I17103">
        <v>19448</v>
      </c>
      <c r="J17103" t="str">
        <f>VLOOKUP(E17103,DSSpieler!A:B,2,FALSE)</f>
        <v>Justine4</v>
      </c>
    </row>
    <row r="17104" spans="1:10" x14ac:dyDescent="0.25">
      <c r="A17104">
        <v>19450</v>
      </c>
      <c r="B17104" t="e">
        <f>-1-+Wasserau</f>
        <v>#NAME?</v>
      </c>
      <c r="C17104">
        <v>414</v>
      </c>
      <c r="D17104">
        <v>599</v>
      </c>
      <c r="E17104">
        <v>1577144212</v>
      </c>
      <c r="F17104">
        <v>1054</v>
      </c>
      <c r="G17104">
        <v>0</v>
      </c>
      <c r="H17104" t="s">
        <v>21941</v>
      </c>
      <c r="I17104">
        <v>19450</v>
      </c>
      <c r="J17104" t="str">
        <f>VLOOKUP(E17104,DSSpieler!A:B,2,FALSE)</f>
        <v>Beatdown7211</v>
      </c>
    </row>
    <row r="17105" spans="1:10" x14ac:dyDescent="0.25">
      <c r="A17105">
        <v>19451</v>
      </c>
      <c r="B17105" t="s">
        <v>1781</v>
      </c>
      <c r="C17105">
        <v>619</v>
      </c>
      <c r="D17105">
        <v>548</v>
      </c>
      <c r="E17105">
        <v>1577088888</v>
      </c>
      <c r="F17105">
        <v>1102</v>
      </c>
      <c r="G17105">
        <v>0</v>
      </c>
      <c r="H17105" t="s">
        <v>21942</v>
      </c>
      <c r="I17105">
        <v>19451</v>
      </c>
      <c r="J17105" t="str">
        <f>VLOOKUP(E17105,DSSpieler!A:B,2,FALSE)</f>
        <v>Streex4242</v>
      </c>
    </row>
    <row r="17106" spans="1:10" x14ac:dyDescent="0.25">
      <c r="A17106">
        <v>19452</v>
      </c>
      <c r="B17106" t="s">
        <v>3635</v>
      </c>
      <c r="C17106">
        <v>441</v>
      </c>
      <c r="D17106">
        <v>382</v>
      </c>
      <c r="E17106">
        <v>1576869736</v>
      </c>
      <c r="F17106">
        <v>26</v>
      </c>
      <c r="G17106">
        <v>0</v>
      </c>
      <c r="H17106" t="s">
        <v>21943</v>
      </c>
      <c r="I17106">
        <v>19452</v>
      </c>
      <c r="J17106" t="str">
        <f>VLOOKUP(E17106,DSSpieler!A:B,2,FALSE)</f>
        <v>Lukas95</v>
      </c>
    </row>
    <row r="17107" spans="1:10" x14ac:dyDescent="0.25">
      <c r="A17107">
        <v>19453</v>
      </c>
      <c r="B17107" t="s">
        <v>531</v>
      </c>
      <c r="C17107">
        <v>385</v>
      </c>
      <c r="D17107">
        <v>559</v>
      </c>
      <c r="E17107">
        <v>0</v>
      </c>
      <c r="F17107">
        <v>105</v>
      </c>
      <c r="G17107">
        <v>0</v>
      </c>
      <c r="H17107" t="s">
        <v>21944</v>
      </c>
      <c r="I17107">
        <v>19453</v>
      </c>
      <c r="J17107" t="e">
        <f>VLOOKUP(E17107,DSSpieler!A:B,2,FALSE)</f>
        <v>#N/A</v>
      </c>
    </row>
    <row r="17108" spans="1:10" x14ac:dyDescent="0.25">
      <c r="A17108">
        <v>19454</v>
      </c>
      <c r="B17108" t="s">
        <v>3636</v>
      </c>
      <c r="C17108">
        <v>625</v>
      </c>
      <c r="D17108">
        <v>549</v>
      </c>
      <c r="E17108">
        <v>1577033677</v>
      </c>
      <c r="F17108">
        <v>1013</v>
      </c>
      <c r="G17108">
        <v>0</v>
      </c>
      <c r="H17108" t="s">
        <v>21945</v>
      </c>
      <c r="I17108">
        <v>19454</v>
      </c>
      <c r="J17108" t="str">
        <f>VLOOKUP(E17108,DSSpieler!A:B,2,FALSE)</f>
        <v>Kaiser 2.0</v>
      </c>
    </row>
    <row r="17109" spans="1:10" x14ac:dyDescent="0.25">
      <c r="A17109">
        <v>19455</v>
      </c>
      <c r="B17109" t="s">
        <v>3637</v>
      </c>
      <c r="C17109">
        <v>516</v>
      </c>
      <c r="D17109">
        <v>631</v>
      </c>
      <c r="E17109">
        <v>1577161579</v>
      </c>
      <c r="F17109">
        <v>26</v>
      </c>
      <c r="G17109">
        <v>0</v>
      </c>
      <c r="H17109" t="s">
        <v>21946</v>
      </c>
      <c r="I17109">
        <v>19455</v>
      </c>
      <c r="J17109" t="str">
        <f>VLOOKUP(E17109,DSSpieler!A:B,2,FALSE)</f>
        <v>xXpsychowelleXx</v>
      </c>
    </row>
    <row r="17110" spans="1:10" x14ac:dyDescent="0.25">
      <c r="A17110">
        <v>19456</v>
      </c>
      <c r="B17110" t="s">
        <v>3638</v>
      </c>
      <c r="C17110">
        <v>463</v>
      </c>
      <c r="D17110">
        <v>371</v>
      </c>
      <c r="E17110">
        <v>9352706</v>
      </c>
      <c r="F17110">
        <v>26</v>
      </c>
      <c r="G17110">
        <v>0</v>
      </c>
      <c r="H17110" t="s">
        <v>21947</v>
      </c>
      <c r="I17110">
        <v>19456</v>
      </c>
      <c r="J17110" t="str">
        <f>VLOOKUP(E17110,DSSpieler!A:B,2,FALSE)</f>
        <v>funnyskill</v>
      </c>
    </row>
    <row r="17111" spans="1:10" x14ac:dyDescent="0.25">
      <c r="A17111">
        <v>19457</v>
      </c>
      <c r="B17111" t="s">
        <v>531</v>
      </c>
      <c r="C17111">
        <v>372</v>
      </c>
      <c r="D17111">
        <v>488</v>
      </c>
      <c r="E17111">
        <v>0</v>
      </c>
      <c r="F17111">
        <v>107</v>
      </c>
      <c r="G17111">
        <v>0</v>
      </c>
      <c r="H17111" t="s">
        <v>21948</v>
      </c>
      <c r="I17111">
        <v>19457</v>
      </c>
      <c r="J17111" t="e">
        <f>VLOOKUP(E17111,DSSpieler!A:B,2,FALSE)</f>
        <v>#N/A</v>
      </c>
    </row>
    <row r="17112" spans="1:10" x14ac:dyDescent="0.25">
      <c r="A17112">
        <v>19458</v>
      </c>
      <c r="B17112" t="s">
        <v>3639</v>
      </c>
      <c r="C17112">
        <v>371</v>
      </c>
      <c r="D17112">
        <v>532</v>
      </c>
      <c r="E17112">
        <v>1576775378</v>
      </c>
      <c r="F17112">
        <v>1416</v>
      </c>
      <c r="G17112">
        <v>0</v>
      </c>
      <c r="H17112" t="s">
        <v>21949</v>
      </c>
      <c r="I17112">
        <v>19458</v>
      </c>
      <c r="J17112" t="str">
        <f>VLOOKUP(E17112,DSSpieler!A:B,2,FALSE)</f>
        <v>Basto1986</v>
      </c>
    </row>
    <row r="17113" spans="1:10" x14ac:dyDescent="0.25">
      <c r="A17113">
        <v>19459</v>
      </c>
      <c r="B17113" t="s">
        <v>3640</v>
      </c>
      <c r="C17113">
        <v>594</v>
      </c>
      <c r="D17113">
        <v>544</v>
      </c>
      <c r="E17113">
        <v>1577174487</v>
      </c>
      <c r="F17113">
        <v>26</v>
      </c>
      <c r="G17113">
        <v>0</v>
      </c>
      <c r="H17113" t="s">
        <v>21950</v>
      </c>
      <c r="I17113">
        <v>19459</v>
      </c>
      <c r="J17113" t="str">
        <f>VLOOKUP(E17113,DSSpieler!A:B,2,FALSE)</f>
        <v>Ulrich v.D.</v>
      </c>
    </row>
    <row r="17114" spans="1:10" x14ac:dyDescent="0.25">
      <c r="A17114">
        <v>19460</v>
      </c>
      <c r="B17114" t="s">
        <v>3641</v>
      </c>
      <c r="C17114">
        <v>383</v>
      </c>
      <c r="D17114">
        <v>529</v>
      </c>
      <c r="E17114">
        <v>1576857378</v>
      </c>
      <c r="F17114">
        <v>126</v>
      </c>
      <c r="G17114">
        <v>0</v>
      </c>
      <c r="H17114" t="s">
        <v>21951</v>
      </c>
      <c r="I17114">
        <v>19460</v>
      </c>
      <c r="J17114" t="str">
        <f>VLOOKUP(E17114,DSSpieler!A:B,2,FALSE)</f>
        <v>Flow526</v>
      </c>
    </row>
    <row r="17115" spans="1:10" x14ac:dyDescent="0.25">
      <c r="A17115">
        <v>19461</v>
      </c>
      <c r="B17115" t="s">
        <v>3642</v>
      </c>
      <c r="C17115">
        <v>413</v>
      </c>
      <c r="D17115">
        <v>400</v>
      </c>
      <c r="E17115">
        <v>1577198616</v>
      </c>
      <c r="F17115">
        <v>142</v>
      </c>
      <c r="G17115">
        <v>0</v>
      </c>
      <c r="H17115" t="s">
        <v>21952</v>
      </c>
      <c r="I17115">
        <v>19461</v>
      </c>
      <c r="J17115" t="str">
        <f>VLOOKUP(E17115,DSSpieler!A:B,2,FALSE)</f>
        <v>Amadis</v>
      </c>
    </row>
    <row r="17116" spans="1:10" x14ac:dyDescent="0.25">
      <c r="A17116">
        <v>19462</v>
      </c>
      <c r="B17116" t="s">
        <v>3643</v>
      </c>
      <c r="C17116">
        <v>612</v>
      </c>
      <c r="D17116">
        <v>429</v>
      </c>
      <c r="E17116">
        <v>1576973882</v>
      </c>
      <c r="F17116">
        <v>1021</v>
      </c>
      <c r="G17116">
        <v>0</v>
      </c>
      <c r="H17116" t="s">
        <v>21953</v>
      </c>
      <c r="I17116">
        <v>19462</v>
      </c>
      <c r="J17116" t="str">
        <f>VLOOKUP(E17116,DSSpieler!A:B,2,FALSE)</f>
        <v>Der Whisky</v>
      </c>
    </row>
    <row r="17117" spans="1:10" x14ac:dyDescent="0.25">
      <c r="A17117">
        <v>19463</v>
      </c>
      <c r="B17117" t="s">
        <v>3644</v>
      </c>
      <c r="C17117">
        <v>586</v>
      </c>
      <c r="D17117">
        <v>604</v>
      </c>
      <c r="E17117">
        <v>1577146291</v>
      </c>
      <c r="F17117">
        <v>1047</v>
      </c>
      <c r="G17117">
        <v>0</v>
      </c>
      <c r="H17117" t="s">
        <v>21954</v>
      </c>
      <c r="I17117">
        <v>19463</v>
      </c>
      <c r="J17117" t="str">
        <f>VLOOKUP(E17117,DSSpieler!A:B,2,FALSE)</f>
        <v>Gemini13</v>
      </c>
    </row>
    <row r="17118" spans="1:10" x14ac:dyDescent="0.25">
      <c r="A17118">
        <v>19464</v>
      </c>
      <c r="B17118" t="s">
        <v>3645</v>
      </c>
      <c r="C17118">
        <v>451</v>
      </c>
      <c r="D17118">
        <v>619</v>
      </c>
      <c r="E17118">
        <v>1577198747</v>
      </c>
      <c r="F17118">
        <v>67</v>
      </c>
      <c r="G17118">
        <v>0</v>
      </c>
      <c r="H17118" t="s">
        <v>21955</v>
      </c>
      <c r="I17118">
        <v>19464</v>
      </c>
      <c r="J17118" t="str">
        <f>VLOOKUP(E17118,DSSpieler!A:B,2,FALSE)</f>
        <v>heisenberg1000</v>
      </c>
    </row>
    <row r="17119" spans="1:10" x14ac:dyDescent="0.25">
      <c r="A17119">
        <v>19467</v>
      </c>
      <c r="B17119" t="s">
        <v>3646</v>
      </c>
      <c r="C17119">
        <v>495</v>
      </c>
      <c r="D17119">
        <v>368</v>
      </c>
      <c r="E17119">
        <v>1577207557</v>
      </c>
      <c r="F17119">
        <v>561</v>
      </c>
      <c r="G17119">
        <v>0</v>
      </c>
      <c r="H17119" t="s">
        <v>21956</v>
      </c>
      <c r="I17119">
        <v>19467</v>
      </c>
      <c r="J17119" t="str">
        <f>VLOOKUP(E17119,DSSpieler!A:B,2,FALSE)</f>
        <v>Euli beuli</v>
      </c>
    </row>
    <row r="17120" spans="1:10" x14ac:dyDescent="0.25">
      <c r="A17120">
        <v>19468</v>
      </c>
      <c r="B17120" t="s">
        <v>3647</v>
      </c>
      <c r="C17120">
        <v>371</v>
      </c>
      <c r="D17120">
        <v>474</v>
      </c>
      <c r="E17120">
        <v>1577207562</v>
      </c>
      <c r="F17120">
        <v>83</v>
      </c>
      <c r="G17120">
        <v>0</v>
      </c>
      <c r="H17120" t="s">
        <v>21957</v>
      </c>
      <c r="I17120">
        <v>19468</v>
      </c>
      <c r="J17120" t="str">
        <f>VLOOKUP(E17120,DSSpieler!A:B,2,FALSE)</f>
        <v>1Mazda-Fan2021</v>
      </c>
    </row>
    <row r="17121" spans="1:10" x14ac:dyDescent="0.25">
      <c r="A17121">
        <v>19469</v>
      </c>
      <c r="B17121" t="s">
        <v>3648</v>
      </c>
      <c r="C17121">
        <v>380</v>
      </c>
      <c r="D17121">
        <v>555</v>
      </c>
      <c r="E17121">
        <v>1577153448</v>
      </c>
      <c r="F17121">
        <v>399</v>
      </c>
      <c r="G17121">
        <v>0</v>
      </c>
      <c r="H17121" t="s">
        <v>21958</v>
      </c>
      <c r="I17121">
        <v>19469</v>
      </c>
      <c r="J17121" t="str">
        <f>VLOOKUP(E17121,DSSpieler!A:B,2,FALSE)</f>
        <v>humor6</v>
      </c>
    </row>
    <row r="17122" spans="1:10" x14ac:dyDescent="0.25">
      <c r="A17122">
        <v>19471</v>
      </c>
      <c r="B17122" t="s">
        <v>3649</v>
      </c>
      <c r="C17122">
        <v>525</v>
      </c>
      <c r="D17122">
        <v>375</v>
      </c>
      <c r="E17122">
        <v>1577106816</v>
      </c>
      <c r="F17122">
        <v>1524</v>
      </c>
      <c r="G17122">
        <v>0</v>
      </c>
      <c r="H17122" t="s">
        <v>21959</v>
      </c>
      <c r="I17122">
        <v>19471</v>
      </c>
      <c r="J17122" t="str">
        <f>VLOOKUP(E17122,DSSpieler!A:B,2,FALSE)</f>
        <v>alternative9</v>
      </c>
    </row>
    <row r="17123" spans="1:10" x14ac:dyDescent="0.25">
      <c r="A17123">
        <v>19472</v>
      </c>
      <c r="B17123">
        <v>1</v>
      </c>
      <c r="C17123">
        <v>629</v>
      </c>
      <c r="D17123">
        <v>508</v>
      </c>
      <c r="E17123">
        <v>1577207532</v>
      </c>
      <c r="F17123">
        <v>654</v>
      </c>
      <c r="G17123">
        <v>0</v>
      </c>
      <c r="H17123" t="s">
        <v>21960</v>
      </c>
      <c r="I17123">
        <v>19472</v>
      </c>
      <c r="J17123" t="str">
        <f>VLOOKUP(E17123,DSSpieler!A:B,2,FALSE)</f>
        <v>wargog950</v>
      </c>
    </row>
    <row r="17124" spans="1:10" x14ac:dyDescent="0.25">
      <c r="A17124">
        <v>19473</v>
      </c>
      <c r="B17124" t="s">
        <v>531</v>
      </c>
      <c r="C17124">
        <v>410</v>
      </c>
      <c r="D17124">
        <v>599</v>
      </c>
      <c r="E17124">
        <v>0</v>
      </c>
      <c r="F17124">
        <v>101</v>
      </c>
      <c r="G17124">
        <v>0</v>
      </c>
      <c r="H17124" t="s">
        <v>21961</v>
      </c>
      <c r="I17124">
        <v>19473</v>
      </c>
      <c r="J17124" t="e">
        <f>VLOOKUP(E17124,DSSpieler!A:B,2,FALSE)</f>
        <v>#N/A</v>
      </c>
    </row>
    <row r="17125" spans="1:10" x14ac:dyDescent="0.25">
      <c r="A17125">
        <v>19474</v>
      </c>
      <c r="B17125" t="s">
        <v>35689</v>
      </c>
      <c r="C17125">
        <v>466</v>
      </c>
      <c r="D17125">
        <v>376</v>
      </c>
      <c r="E17125">
        <v>9391409</v>
      </c>
      <c r="F17125">
        <v>218</v>
      </c>
      <c r="G17125">
        <v>0</v>
      </c>
      <c r="H17125" t="s">
        <v>21962</v>
      </c>
      <c r="I17125">
        <v>19474</v>
      </c>
      <c r="J17125" t="str">
        <f>VLOOKUP(E17125,DSSpieler!A:B,2,FALSE)</f>
        <v>5ims</v>
      </c>
    </row>
    <row r="17126" spans="1:10" x14ac:dyDescent="0.25">
      <c r="A17126">
        <v>19478</v>
      </c>
      <c r="B17126" t="s">
        <v>3650</v>
      </c>
      <c r="C17126">
        <v>617</v>
      </c>
      <c r="D17126">
        <v>565</v>
      </c>
      <c r="E17126">
        <v>1577129400</v>
      </c>
      <c r="F17126">
        <v>237</v>
      </c>
      <c r="G17126">
        <v>0</v>
      </c>
      <c r="H17126" t="s">
        <v>21963</v>
      </c>
      <c r="I17126">
        <v>19478</v>
      </c>
      <c r="J17126" t="str">
        <f>VLOOKUP(E17126,DSSpieler!A:B,2,FALSE)</f>
        <v>Pegasus</v>
      </c>
    </row>
    <row r="17127" spans="1:10" x14ac:dyDescent="0.25">
      <c r="A17127">
        <v>19479</v>
      </c>
      <c r="B17127" t="s">
        <v>531</v>
      </c>
      <c r="C17127">
        <v>535</v>
      </c>
      <c r="D17127">
        <v>371</v>
      </c>
      <c r="E17127">
        <v>0</v>
      </c>
      <c r="F17127">
        <v>74</v>
      </c>
      <c r="G17127">
        <v>0</v>
      </c>
      <c r="H17127" t="s">
        <v>21964</v>
      </c>
      <c r="I17127">
        <v>19479</v>
      </c>
      <c r="J17127" t="e">
        <f>VLOOKUP(E17127,DSSpieler!A:B,2,FALSE)</f>
        <v>#N/A</v>
      </c>
    </row>
    <row r="17128" spans="1:10" x14ac:dyDescent="0.25">
      <c r="A17128">
        <v>19480</v>
      </c>
      <c r="B17128" t="s">
        <v>3651</v>
      </c>
      <c r="C17128">
        <v>581</v>
      </c>
      <c r="D17128">
        <v>606</v>
      </c>
      <c r="E17128">
        <v>1577205885</v>
      </c>
      <c r="F17128">
        <v>246</v>
      </c>
      <c r="G17128">
        <v>0</v>
      </c>
      <c r="H17128" t="s">
        <v>21965</v>
      </c>
      <c r="I17128">
        <v>19480</v>
      </c>
      <c r="J17128" t="str">
        <f>VLOOKUP(E17128,DSSpieler!A:B,2,FALSE)</f>
        <v>FairnotGG</v>
      </c>
    </row>
    <row r="17129" spans="1:10" x14ac:dyDescent="0.25">
      <c r="A17129">
        <v>19481</v>
      </c>
      <c r="B17129" t="s">
        <v>3652</v>
      </c>
      <c r="C17129">
        <v>424</v>
      </c>
      <c r="D17129">
        <v>389</v>
      </c>
      <c r="E17129">
        <v>1577202086</v>
      </c>
      <c r="F17129">
        <v>1316</v>
      </c>
      <c r="G17129">
        <v>0</v>
      </c>
      <c r="H17129" t="s">
        <v>21966</v>
      </c>
      <c r="I17129">
        <v>19481</v>
      </c>
      <c r="J17129" t="str">
        <f>VLOOKUP(E17129,DSSpieler!A:B,2,FALSE)</f>
        <v>Migiboi</v>
      </c>
    </row>
    <row r="17130" spans="1:10" x14ac:dyDescent="0.25">
      <c r="A17130">
        <v>19482</v>
      </c>
      <c r="B17130">
        <v>1</v>
      </c>
      <c r="C17130">
        <v>417</v>
      </c>
      <c r="D17130">
        <v>604</v>
      </c>
      <c r="E17130">
        <v>1576888357</v>
      </c>
      <c r="F17130">
        <v>1028</v>
      </c>
      <c r="G17130">
        <v>0</v>
      </c>
      <c r="H17130" t="s">
        <v>21967</v>
      </c>
      <c r="I17130">
        <v>19482</v>
      </c>
      <c r="J17130" t="str">
        <f>VLOOKUP(E17130,DSSpieler!A:B,2,FALSE)</f>
        <v>J.Sheridan</v>
      </c>
    </row>
    <row r="17131" spans="1:10" x14ac:dyDescent="0.25">
      <c r="A17131">
        <v>19483</v>
      </c>
      <c r="B17131" t="s">
        <v>3653</v>
      </c>
      <c r="C17131">
        <v>622</v>
      </c>
      <c r="D17131">
        <v>541</v>
      </c>
      <c r="E17131">
        <v>1577207573</v>
      </c>
      <c r="F17131">
        <v>175</v>
      </c>
      <c r="G17131">
        <v>0</v>
      </c>
      <c r="H17131" t="s">
        <v>21968</v>
      </c>
      <c r="I17131">
        <v>19483</v>
      </c>
      <c r="J17131" t="str">
        <f>VLOOKUP(E17131,DSSpieler!A:B,2,FALSE)</f>
        <v>ShroomsofRgnrck</v>
      </c>
    </row>
    <row r="17132" spans="1:10" x14ac:dyDescent="0.25">
      <c r="A17132">
        <v>19484</v>
      </c>
      <c r="B17132" t="s">
        <v>3654</v>
      </c>
      <c r="C17132">
        <v>624</v>
      </c>
      <c r="D17132">
        <v>538</v>
      </c>
      <c r="E17132">
        <v>1577207575</v>
      </c>
      <c r="F17132">
        <v>70</v>
      </c>
      <c r="G17132">
        <v>0</v>
      </c>
      <c r="H17132" t="s">
        <v>21969</v>
      </c>
      <c r="I17132">
        <v>19484</v>
      </c>
      <c r="J17132" t="str">
        <f>VLOOKUP(E17132,DSSpieler!A:B,2,FALSE)</f>
        <v>Ginozar</v>
      </c>
    </row>
    <row r="17133" spans="1:10" x14ac:dyDescent="0.25">
      <c r="A17133">
        <v>19485</v>
      </c>
      <c r="B17133" t="s">
        <v>3655</v>
      </c>
      <c r="C17133">
        <v>630</v>
      </c>
      <c r="D17133">
        <v>522</v>
      </c>
      <c r="E17133">
        <v>1577206863</v>
      </c>
      <c r="F17133">
        <v>1120</v>
      </c>
      <c r="G17133">
        <v>0</v>
      </c>
      <c r="H17133" t="s">
        <v>21970</v>
      </c>
      <c r="I17133">
        <v>19485</v>
      </c>
      <c r="J17133" t="str">
        <f>VLOOKUP(E17133,DSSpieler!A:B,2,FALSE)</f>
        <v>Leipoon</v>
      </c>
    </row>
    <row r="17134" spans="1:10" x14ac:dyDescent="0.25">
      <c r="A17134">
        <v>19486</v>
      </c>
      <c r="B17134" t="s">
        <v>3656</v>
      </c>
      <c r="C17134">
        <v>434</v>
      </c>
      <c r="D17134">
        <v>386</v>
      </c>
      <c r="E17134">
        <v>1577190438</v>
      </c>
      <c r="F17134">
        <v>56</v>
      </c>
      <c r="G17134">
        <v>0</v>
      </c>
      <c r="H17134" t="s">
        <v>21971</v>
      </c>
      <c r="I17134">
        <v>19486</v>
      </c>
      <c r="J17134" t="str">
        <f>VLOOKUP(E17134,DSSpieler!A:B,2,FALSE)</f>
        <v>Checheniz</v>
      </c>
    </row>
    <row r="17135" spans="1:10" x14ac:dyDescent="0.25">
      <c r="A17135">
        <v>19488</v>
      </c>
      <c r="B17135" t="s">
        <v>3657</v>
      </c>
      <c r="C17135">
        <v>417</v>
      </c>
      <c r="D17135">
        <v>401</v>
      </c>
      <c r="E17135">
        <v>889991</v>
      </c>
      <c r="F17135">
        <v>26</v>
      </c>
      <c r="G17135">
        <v>0</v>
      </c>
      <c r="H17135" t="s">
        <v>21972</v>
      </c>
      <c r="I17135">
        <v>19488</v>
      </c>
      <c r="J17135" t="str">
        <f>VLOOKUP(E17135,DSSpieler!A:B,2,FALSE)</f>
        <v>Seraphion</v>
      </c>
    </row>
    <row r="17136" spans="1:10" x14ac:dyDescent="0.25">
      <c r="A17136">
        <v>19489</v>
      </c>
      <c r="B17136" t="s">
        <v>3658</v>
      </c>
      <c r="C17136">
        <v>395</v>
      </c>
      <c r="D17136">
        <v>576</v>
      </c>
      <c r="E17136">
        <v>9600054</v>
      </c>
      <c r="F17136">
        <v>1056</v>
      </c>
      <c r="G17136">
        <v>0</v>
      </c>
      <c r="H17136" t="s">
        <v>21973</v>
      </c>
      <c r="I17136">
        <v>19489</v>
      </c>
      <c r="J17136" t="str">
        <f>VLOOKUP(E17136,DSSpieler!A:B,2,FALSE)</f>
        <v>Jokergnome</v>
      </c>
    </row>
    <row r="17137" spans="1:10" x14ac:dyDescent="0.25">
      <c r="A17137">
        <v>19490</v>
      </c>
      <c r="B17137" t="s">
        <v>3659</v>
      </c>
      <c r="C17137">
        <v>589</v>
      </c>
      <c r="D17137">
        <v>597</v>
      </c>
      <c r="E17137">
        <v>8699223</v>
      </c>
      <c r="F17137">
        <v>609</v>
      </c>
      <c r="G17137">
        <v>0</v>
      </c>
      <c r="H17137" t="s">
        <v>21974</v>
      </c>
      <c r="I17137">
        <v>19490</v>
      </c>
      <c r="J17137" t="str">
        <f>VLOOKUP(E17137,DSSpieler!A:B,2,FALSE)</f>
        <v>peelo</v>
      </c>
    </row>
    <row r="17138" spans="1:10" x14ac:dyDescent="0.25">
      <c r="A17138">
        <v>19491</v>
      </c>
      <c r="B17138" t="s">
        <v>3660</v>
      </c>
      <c r="C17138">
        <v>565</v>
      </c>
      <c r="D17138">
        <v>424</v>
      </c>
      <c r="E17138">
        <v>10053939</v>
      </c>
      <c r="F17138">
        <v>931</v>
      </c>
      <c r="G17138">
        <v>0</v>
      </c>
      <c r="H17138" t="s">
        <v>21975</v>
      </c>
      <c r="I17138">
        <v>19491</v>
      </c>
      <c r="J17138" t="str">
        <f>VLOOKUP(E17138,DSSpieler!A:B,2,FALSE)</f>
        <v>King Walz</v>
      </c>
    </row>
    <row r="17139" spans="1:10" x14ac:dyDescent="0.25">
      <c r="A17139">
        <v>19492</v>
      </c>
      <c r="B17139" t="s">
        <v>3661</v>
      </c>
      <c r="C17139">
        <v>394</v>
      </c>
      <c r="D17139">
        <v>494</v>
      </c>
      <c r="E17139">
        <v>2102220</v>
      </c>
      <c r="F17139">
        <v>1107</v>
      </c>
      <c r="G17139">
        <v>0</v>
      </c>
      <c r="H17139" t="s">
        <v>21976</v>
      </c>
      <c r="I17139">
        <v>19492</v>
      </c>
      <c r="J17139" t="str">
        <f>VLOOKUP(E17139,DSSpieler!A:B,2,FALSE)</f>
        <v>008tomcat</v>
      </c>
    </row>
    <row r="17140" spans="1:10" x14ac:dyDescent="0.25">
      <c r="A17140">
        <v>19493</v>
      </c>
      <c r="B17140" t="s">
        <v>3662</v>
      </c>
      <c r="C17140">
        <v>624</v>
      </c>
      <c r="D17140">
        <v>549</v>
      </c>
      <c r="E17140">
        <v>1577168148</v>
      </c>
      <c r="F17140">
        <v>392</v>
      </c>
      <c r="G17140">
        <v>0</v>
      </c>
      <c r="H17140" t="s">
        <v>21977</v>
      </c>
      <c r="I17140">
        <v>19493</v>
      </c>
      <c r="J17140" t="str">
        <f>VLOOKUP(E17140,DSSpieler!A:B,2,FALSE)</f>
        <v>depp007</v>
      </c>
    </row>
    <row r="17141" spans="1:10" x14ac:dyDescent="0.25">
      <c r="A17141">
        <v>19495</v>
      </c>
      <c r="B17141" t="s">
        <v>3663</v>
      </c>
      <c r="C17141">
        <v>416</v>
      </c>
      <c r="D17141">
        <v>398</v>
      </c>
      <c r="E17141">
        <v>2404557</v>
      </c>
      <c r="F17141">
        <v>204</v>
      </c>
      <c r="G17141">
        <v>0</v>
      </c>
      <c r="H17141" t="s">
        <v>21978</v>
      </c>
      <c r="I17141">
        <v>19495</v>
      </c>
      <c r="J17141" t="str">
        <f>VLOOKUP(E17141,DSSpieler!A:B,2,FALSE)</f>
        <v>ritter patrick</v>
      </c>
    </row>
    <row r="17142" spans="1:10" x14ac:dyDescent="0.25">
      <c r="A17142">
        <v>19496</v>
      </c>
      <c r="B17142" t="s">
        <v>3664</v>
      </c>
      <c r="C17142">
        <v>616</v>
      </c>
      <c r="D17142">
        <v>545</v>
      </c>
      <c r="E17142">
        <v>8446345</v>
      </c>
      <c r="F17142">
        <v>432</v>
      </c>
      <c r="G17142">
        <v>0</v>
      </c>
      <c r="H17142" t="s">
        <v>21979</v>
      </c>
      <c r="I17142">
        <v>19496</v>
      </c>
      <c r="J17142" t="str">
        <f>VLOOKUP(E17142,DSSpieler!A:B,2,FALSE)</f>
        <v>Charly Haper</v>
      </c>
    </row>
    <row r="17143" spans="1:10" x14ac:dyDescent="0.25">
      <c r="A17143">
        <v>19498</v>
      </c>
      <c r="B17143" t="s">
        <v>3665</v>
      </c>
      <c r="C17143">
        <v>454</v>
      </c>
      <c r="D17143">
        <v>487</v>
      </c>
      <c r="E17143">
        <v>1577068088</v>
      </c>
      <c r="F17143">
        <v>408</v>
      </c>
      <c r="G17143">
        <v>0</v>
      </c>
      <c r="H17143" t="s">
        <v>21980</v>
      </c>
      <c r="I17143">
        <v>19498</v>
      </c>
      <c r="J17143" t="str">
        <f>VLOOKUP(E17143,DSSpieler!A:B,2,FALSE)</f>
        <v>Der eiserne Gustav</v>
      </c>
    </row>
    <row r="17144" spans="1:10" x14ac:dyDescent="0.25">
      <c r="A17144">
        <v>19499</v>
      </c>
      <c r="B17144" t="s">
        <v>3666</v>
      </c>
      <c r="C17144">
        <v>545</v>
      </c>
      <c r="D17144">
        <v>378</v>
      </c>
      <c r="E17144">
        <v>1577179524</v>
      </c>
      <c r="F17144">
        <v>485</v>
      </c>
      <c r="G17144">
        <v>0</v>
      </c>
      <c r="H17144" t="s">
        <v>21981</v>
      </c>
      <c r="I17144">
        <v>19499</v>
      </c>
      <c r="J17144" t="str">
        <f>VLOOKUP(E17144,DSSpieler!A:B,2,FALSE)</f>
        <v>Ankastro</v>
      </c>
    </row>
    <row r="17145" spans="1:10" x14ac:dyDescent="0.25">
      <c r="A17145">
        <v>19500</v>
      </c>
      <c r="B17145" t="s">
        <v>3667</v>
      </c>
      <c r="C17145">
        <v>422</v>
      </c>
      <c r="D17145">
        <v>608</v>
      </c>
      <c r="E17145">
        <v>7759833</v>
      </c>
      <c r="F17145">
        <v>806</v>
      </c>
      <c r="G17145">
        <v>0</v>
      </c>
      <c r="H17145" t="s">
        <v>21982</v>
      </c>
      <c r="I17145">
        <v>19500</v>
      </c>
      <c r="J17145" t="str">
        <f>VLOOKUP(E17145,DSSpieler!A:B,2,FALSE)</f>
        <v>Hanuban</v>
      </c>
    </row>
    <row r="17146" spans="1:10" x14ac:dyDescent="0.25">
      <c r="A17146">
        <v>19501</v>
      </c>
      <c r="B17146" t="s">
        <v>3668</v>
      </c>
      <c r="C17146">
        <v>517</v>
      </c>
      <c r="D17146">
        <v>405</v>
      </c>
      <c r="E17146">
        <v>1576988282</v>
      </c>
      <c r="F17146">
        <v>26</v>
      </c>
      <c r="G17146">
        <v>0</v>
      </c>
      <c r="H17146" t="s">
        <v>21983</v>
      </c>
      <c r="I17146">
        <v>19501</v>
      </c>
      <c r="J17146" t="str">
        <f>VLOOKUP(E17146,DSSpieler!A:B,2,FALSE)</f>
        <v>SAHBAZ41</v>
      </c>
    </row>
    <row r="17147" spans="1:10" x14ac:dyDescent="0.25">
      <c r="A17147">
        <v>19502</v>
      </c>
      <c r="B17147" t="s">
        <v>35690</v>
      </c>
      <c r="C17147">
        <v>400</v>
      </c>
      <c r="D17147">
        <v>410</v>
      </c>
      <c r="E17147">
        <v>9375952</v>
      </c>
      <c r="F17147">
        <v>352</v>
      </c>
      <c r="G17147">
        <v>0</v>
      </c>
      <c r="H17147" t="s">
        <v>21984</v>
      </c>
      <c r="I17147">
        <v>19502</v>
      </c>
      <c r="J17147" t="str">
        <f>VLOOKUP(E17147,DSSpieler!A:B,2,FALSE)</f>
        <v>Moritz5590</v>
      </c>
    </row>
    <row r="17148" spans="1:10" x14ac:dyDescent="0.25">
      <c r="A17148">
        <v>19503</v>
      </c>
      <c r="B17148" t="s">
        <v>2422</v>
      </c>
      <c r="C17148">
        <v>436</v>
      </c>
      <c r="D17148">
        <v>617</v>
      </c>
      <c r="E17148">
        <v>1632155</v>
      </c>
      <c r="F17148">
        <v>1139</v>
      </c>
      <c r="G17148">
        <v>0</v>
      </c>
      <c r="H17148" t="s">
        <v>21985</v>
      </c>
      <c r="I17148">
        <v>19503</v>
      </c>
      <c r="J17148" t="str">
        <f>VLOOKUP(E17148,DSSpieler!A:B,2,FALSE)</f>
        <v>Askinus</v>
      </c>
    </row>
    <row r="17149" spans="1:10" x14ac:dyDescent="0.25">
      <c r="A17149">
        <v>19504</v>
      </c>
      <c r="B17149" t="s">
        <v>3669</v>
      </c>
      <c r="C17149">
        <v>368</v>
      </c>
      <c r="D17149">
        <v>525</v>
      </c>
      <c r="E17149">
        <v>1577052946</v>
      </c>
      <c r="F17149">
        <v>666</v>
      </c>
      <c r="G17149">
        <v>0</v>
      </c>
      <c r="H17149" t="s">
        <v>21986</v>
      </c>
      <c r="I17149">
        <v>19504</v>
      </c>
      <c r="J17149" t="str">
        <f>VLOOKUP(E17149,DSSpieler!A:B,2,FALSE)</f>
        <v>cheinrich</v>
      </c>
    </row>
    <row r="17150" spans="1:10" x14ac:dyDescent="0.25">
      <c r="A17150">
        <v>19505</v>
      </c>
      <c r="B17150" t="s">
        <v>3670</v>
      </c>
      <c r="C17150">
        <v>526</v>
      </c>
      <c r="D17150">
        <v>373</v>
      </c>
      <c r="E17150">
        <v>1577207585</v>
      </c>
      <c r="F17150">
        <v>399</v>
      </c>
      <c r="G17150">
        <v>0</v>
      </c>
      <c r="H17150" t="s">
        <v>21987</v>
      </c>
      <c r="I17150">
        <v>19505</v>
      </c>
      <c r="J17150" t="str">
        <f>VLOOKUP(E17150,DSSpieler!A:B,2,FALSE)</f>
        <v>Deliler</v>
      </c>
    </row>
    <row r="17151" spans="1:10" x14ac:dyDescent="0.25">
      <c r="A17151">
        <v>19506</v>
      </c>
      <c r="B17151" t="s">
        <v>3671</v>
      </c>
      <c r="C17151">
        <v>407</v>
      </c>
      <c r="D17151">
        <v>592</v>
      </c>
      <c r="E17151">
        <v>8194775</v>
      </c>
      <c r="F17151">
        <v>549</v>
      </c>
      <c r="G17151">
        <v>0</v>
      </c>
      <c r="H17151" t="s">
        <v>21988</v>
      </c>
      <c r="I17151">
        <v>19506</v>
      </c>
      <c r="J17151" t="str">
        <f>VLOOKUP(E17151,DSSpieler!A:B,2,FALSE)</f>
        <v>Vuksan</v>
      </c>
    </row>
    <row r="17152" spans="1:10" x14ac:dyDescent="0.25">
      <c r="A17152">
        <v>19508</v>
      </c>
      <c r="B17152" t="s">
        <v>3672</v>
      </c>
      <c r="C17152">
        <v>561</v>
      </c>
      <c r="D17152">
        <v>419</v>
      </c>
      <c r="E17152">
        <v>1577180897</v>
      </c>
      <c r="F17152">
        <v>1020</v>
      </c>
      <c r="G17152">
        <v>0</v>
      </c>
      <c r="H17152" t="s">
        <v>21989</v>
      </c>
      <c r="I17152">
        <v>19508</v>
      </c>
      <c r="J17152" t="str">
        <f>VLOOKUP(E17152,DSSpieler!A:B,2,FALSE)</f>
        <v>hanniii</v>
      </c>
    </row>
    <row r="17153" spans="1:10" x14ac:dyDescent="0.25">
      <c r="A17153">
        <v>19509</v>
      </c>
      <c r="B17153" t="s">
        <v>3673</v>
      </c>
      <c r="C17153">
        <v>444</v>
      </c>
      <c r="D17153">
        <v>505</v>
      </c>
      <c r="E17153">
        <v>1577116520</v>
      </c>
      <c r="F17153">
        <v>788</v>
      </c>
      <c r="G17153">
        <v>0</v>
      </c>
      <c r="H17153" t="s">
        <v>21990</v>
      </c>
      <c r="I17153">
        <v>19509</v>
      </c>
      <c r="J17153" t="str">
        <f>VLOOKUP(E17153,DSSpieler!A:B,2,FALSE)</f>
        <v>Toto999</v>
      </c>
    </row>
    <row r="17154" spans="1:10" x14ac:dyDescent="0.25">
      <c r="A17154">
        <v>19510</v>
      </c>
      <c r="B17154" t="s">
        <v>3674</v>
      </c>
      <c r="C17154">
        <v>631</v>
      </c>
      <c r="D17154">
        <v>516</v>
      </c>
      <c r="E17154">
        <v>1577185189</v>
      </c>
      <c r="F17154">
        <v>26</v>
      </c>
      <c r="G17154">
        <v>0</v>
      </c>
      <c r="H17154" t="s">
        <v>21991</v>
      </c>
      <c r="I17154">
        <v>19510</v>
      </c>
      <c r="J17154" t="str">
        <f>VLOOKUP(E17154,DSSpieler!A:B,2,FALSE)</f>
        <v>Samsel</v>
      </c>
    </row>
    <row r="17155" spans="1:10" x14ac:dyDescent="0.25">
      <c r="A17155">
        <v>19511</v>
      </c>
      <c r="B17155" t="s">
        <v>3675</v>
      </c>
      <c r="C17155">
        <v>592</v>
      </c>
      <c r="D17155">
        <v>581</v>
      </c>
      <c r="E17155">
        <v>1576248074</v>
      </c>
      <c r="F17155">
        <v>1006</v>
      </c>
      <c r="G17155">
        <v>0</v>
      </c>
      <c r="H17155" t="s">
        <v>21992</v>
      </c>
      <c r="I17155">
        <v>19511</v>
      </c>
      <c r="J17155" t="str">
        <f>VLOOKUP(E17155,DSSpieler!A:B,2,FALSE)</f>
        <v>JimBimJimBim</v>
      </c>
    </row>
    <row r="17156" spans="1:10" x14ac:dyDescent="0.25">
      <c r="A17156">
        <v>19513</v>
      </c>
      <c r="B17156" t="s">
        <v>3676</v>
      </c>
      <c r="C17156">
        <v>630</v>
      </c>
      <c r="D17156">
        <v>509</v>
      </c>
      <c r="E17156">
        <v>1576915896</v>
      </c>
      <c r="F17156">
        <v>135</v>
      </c>
      <c r="G17156">
        <v>0</v>
      </c>
      <c r="H17156" t="s">
        <v>21993</v>
      </c>
      <c r="I17156">
        <v>19513</v>
      </c>
      <c r="J17156" t="str">
        <f>VLOOKUP(E17156,DSSpieler!A:B,2,FALSE)</f>
        <v>xMails</v>
      </c>
    </row>
    <row r="17157" spans="1:10" x14ac:dyDescent="0.25">
      <c r="A17157">
        <v>19514</v>
      </c>
      <c r="B17157" t="s">
        <v>35691</v>
      </c>
      <c r="C17157">
        <v>421</v>
      </c>
      <c r="D17157">
        <v>392</v>
      </c>
      <c r="E17157">
        <v>1577198012</v>
      </c>
      <c r="F17157">
        <v>1092</v>
      </c>
      <c r="G17157">
        <v>0</v>
      </c>
      <c r="H17157" t="s">
        <v>21994</v>
      </c>
      <c r="I17157">
        <v>19514</v>
      </c>
      <c r="J17157" t="str">
        <f>VLOOKUP(E17157,DSSpieler!A:B,2,FALSE)</f>
        <v>König Olum</v>
      </c>
    </row>
    <row r="17158" spans="1:10" x14ac:dyDescent="0.25">
      <c r="A17158">
        <v>19515</v>
      </c>
      <c r="B17158" t="s">
        <v>3677</v>
      </c>
      <c r="C17158">
        <v>619</v>
      </c>
      <c r="D17158">
        <v>438</v>
      </c>
      <c r="E17158">
        <v>9457134</v>
      </c>
      <c r="F17158">
        <v>26</v>
      </c>
      <c r="G17158">
        <v>0</v>
      </c>
      <c r="H17158" t="s">
        <v>21995</v>
      </c>
      <c r="I17158">
        <v>19515</v>
      </c>
      <c r="J17158" t="str">
        <f>VLOOKUP(E17158,DSSpieler!A:B,2,FALSE)</f>
        <v>White Dragonfly</v>
      </c>
    </row>
    <row r="17159" spans="1:10" x14ac:dyDescent="0.25">
      <c r="A17159">
        <v>19516</v>
      </c>
      <c r="B17159" t="s">
        <v>3678</v>
      </c>
      <c r="C17159">
        <v>622</v>
      </c>
      <c r="D17159">
        <v>543</v>
      </c>
      <c r="E17159">
        <v>1577207155</v>
      </c>
      <c r="F17159">
        <v>102</v>
      </c>
      <c r="G17159">
        <v>0</v>
      </c>
      <c r="H17159" t="s">
        <v>21996</v>
      </c>
      <c r="I17159">
        <v>19516</v>
      </c>
      <c r="J17159" t="str">
        <f>VLOOKUP(E17159,DSSpieler!A:B,2,FALSE)</f>
        <v>andr</v>
      </c>
    </row>
    <row r="17160" spans="1:10" x14ac:dyDescent="0.25">
      <c r="A17160">
        <v>19517</v>
      </c>
      <c r="B17160" t="s">
        <v>531</v>
      </c>
      <c r="C17160">
        <v>546</v>
      </c>
      <c r="D17160">
        <v>624</v>
      </c>
      <c r="E17160">
        <v>0</v>
      </c>
      <c r="F17160">
        <v>82</v>
      </c>
      <c r="G17160">
        <v>0</v>
      </c>
      <c r="H17160" t="s">
        <v>21997</v>
      </c>
      <c r="I17160">
        <v>19517</v>
      </c>
      <c r="J17160" t="e">
        <f>VLOOKUP(E17160,DSSpieler!A:B,2,FALSE)</f>
        <v>#N/A</v>
      </c>
    </row>
    <row r="17161" spans="1:10" x14ac:dyDescent="0.25">
      <c r="A17161">
        <v>19518</v>
      </c>
      <c r="B17161" t="s">
        <v>3679</v>
      </c>
      <c r="C17161">
        <v>382</v>
      </c>
      <c r="D17161">
        <v>555</v>
      </c>
      <c r="E17161">
        <v>1577144624</v>
      </c>
      <c r="F17161">
        <v>26</v>
      </c>
      <c r="G17161">
        <v>0</v>
      </c>
      <c r="H17161" t="s">
        <v>21998</v>
      </c>
      <c r="I17161">
        <v>19518</v>
      </c>
      <c r="J17161" t="str">
        <f>VLOOKUP(E17161,DSSpieler!A:B,2,FALSE)</f>
        <v>Phonix11</v>
      </c>
    </row>
    <row r="17162" spans="1:10" x14ac:dyDescent="0.25">
      <c r="A17162">
        <v>19519</v>
      </c>
      <c r="B17162" t="s">
        <v>531</v>
      </c>
      <c r="C17162">
        <v>516</v>
      </c>
      <c r="D17162">
        <v>632</v>
      </c>
      <c r="E17162">
        <v>0</v>
      </c>
      <c r="F17162">
        <v>92</v>
      </c>
      <c r="G17162">
        <v>0</v>
      </c>
      <c r="H17162" t="s">
        <v>21999</v>
      </c>
      <c r="I17162">
        <v>19519</v>
      </c>
      <c r="J17162" t="e">
        <f>VLOOKUP(E17162,DSSpieler!A:B,2,FALSE)</f>
        <v>#N/A</v>
      </c>
    </row>
    <row r="17163" spans="1:10" x14ac:dyDescent="0.25">
      <c r="A17163">
        <v>19520</v>
      </c>
      <c r="B17163" t="s">
        <v>3680</v>
      </c>
      <c r="C17163">
        <v>366</v>
      </c>
      <c r="D17163">
        <v>503</v>
      </c>
      <c r="E17163">
        <v>1577068352</v>
      </c>
      <c r="F17163">
        <v>26</v>
      </c>
      <c r="G17163">
        <v>0</v>
      </c>
      <c r="H17163" t="s">
        <v>22000</v>
      </c>
      <c r="I17163">
        <v>19520</v>
      </c>
      <c r="J17163" t="str">
        <f>VLOOKUP(E17163,DSSpieler!A:B,2,FALSE)</f>
        <v>gear.9</v>
      </c>
    </row>
    <row r="17164" spans="1:10" x14ac:dyDescent="0.25">
      <c r="A17164">
        <v>19521</v>
      </c>
      <c r="B17164" t="s">
        <v>3681</v>
      </c>
      <c r="C17164">
        <v>536</v>
      </c>
      <c r="D17164">
        <v>624</v>
      </c>
      <c r="E17164">
        <v>10125938</v>
      </c>
      <c r="F17164">
        <v>1296</v>
      </c>
      <c r="G17164">
        <v>0</v>
      </c>
      <c r="H17164" t="s">
        <v>22001</v>
      </c>
      <c r="I17164">
        <v>19521</v>
      </c>
      <c r="J17164" t="str">
        <f>VLOOKUP(E17164,DSSpieler!A:B,2,FALSE)</f>
        <v>SirFukALot</v>
      </c>
    </row>
    <row r="17165" spans="1:10" x14ac:dyDescent="0.25">
      <c r="A17165">
        <v>19522</v>
      </c>
      <c r="B17165" t="s">
        <v>3682</v>
      </c>
      <c r="C17165">
        <v>608</v>
      </c>
      <c r="D17165">
        <v>421</v>
      </c>
      <c r="E17165">
        <v>8431665</v>
      </c>
      <c r="F17165">
        <v>56</v>
      </c>
      <c r="G17165">
        <v>0</v>
      </c>
      <c r="H17165" t="s">
        <v>22002</v>
      </c>
      <c r="I17165">
        <v>19522</v>
      </c>
      <c r="J17165" t="str">
        <f>VLOOKUP(E17165,DSSpieler!A:B,2,FALSE)</f>
        <v>H-P. K.</v>
      </c>
    </row>
    <row r="17166" spans="1:10" x14ac:dyDescent="0.25">
      <c r="A17166">
        <v>19523</v>
      </c>
      <c r="B17166" t="s">
        <v>3683</v>
      </c>
      <c r="C17166">
        <v>406</v>
      </c>
      <c r="D17166">
        <v>581</v>
      </c>
      <c r="E17166">
        <v>9728168</v>
      </c>
      <c r="F17166">
        <v>374</v>
      </c>
      <c r="G17166">
        <v>0</v>
      </c>
      <c r="H17166" t="s">
        <v>22003</v>
      </c>
      <c r="I17166">
        <v>19523</v>
      </c>
      <c r="J17166" t="str">
        <f>VLOOKUP(E17166,DSSpieler!A:B,2,FALSE)</f>
        <v>tallha5757</v>
      </c>
    </row>
    <row r="17167" spans="1:10" x14ac:dyDescent="0.25">
      <c r="A17167">
        <v>19524</v>
      </c>
      <c r="B17167" t="s">
        <v>531</v>
      </c>
      <c r="C17167">
        <v>629</v>
      </c>
      <c r="D17167">
        <v>467</v>
      </c>
      <c r="E17167">
        <v>0</v>
      </c>
      <c r="F17167">
        <v>63</v>
      </c>
      <c r="G17167">
        <v>0</v>
      </c>
      <c r="H17167" t="s">
        <v>22004</v>
      </c>
      <c r="I17167">
        <v>19524</v>
      </c>
      <c r="J17167" t="e">
        <f>VLOOKUP(E17167,DSSpieler!A:B,2,FALSE)</f>
        <v>#N/A</v>
      </c>
    </row>
    <row r="17168" spans="1:10" x14ac:dyDescent="0.25">
      <c r="A17168">
        <v>19525</v>
      </c>
      <c r="B17168" t="s">
        <v>3684</v>
      </c>
      <c r="C17168">
        <v>376</v>
      </c>
      <c r="D17168">
        <v>547</v>
      </c>
      <c r="E17168">
        <v>8881745</v>
      </c>
      <c r="F17168">
        <v>189</v>
      </c>
      <c r="G17168">
        <v>0</v>
      </c>
      <c r="H17168" t="s">
        <v>22005</v>
      </c>
      <c r="I17168">
        <v>19525</v>
      </c>
      <c r="J17168" t="str">
        <f>VLOOKUP(E17168,DSSpieler!A:B,2,FALSE)</f>
        <v>Short-Hupe</v>
      </c>
    </row>
    <row r="17169" spans="1:10" x14ac:dyDescent="0.25">
      <c r="A17169">
        <v>19526</v>
      </c>
      <c r="B17169" t="s">
        <v>531</v>
      </c>
      <c r="C17169">
        <v>574</v>
      </c>
      <c r="D17169">
        <v>612</v>
      </c>
      <c r="E17169">
        <v>0</v>
      </c>
      <c r="F17169">
        <v>111</v>
      </c>
      <c r="G17169">
        <v>0</v>
      </c>
      <c r="H17169" t="s">
        <v>22006</v>
      </c>
      <c r="I17169">
        <v>19526</v>
      </c>
      <c r="J17169" t="e">
        <f>VLOOKUP(E17169,DSSpieler!A:B,2,FALSE)</f>
        <v>#N/A</v>
      </c>
    </row>
    <row r="17170" spans="1:10" x14ac:dyDescent="0.25">
      <c r="A17170">
        <v>19527</v>
      </c>
      <c r="B17170" t="s">
        <v>3685</v>
      </c>
      <c r="C17170">
        <v>525</v>
      </c>
      <c r="D17170">
        <v>627</v>
      </c>
      <c r="E17170">
        <v>1577201103</v>
      </c>
      <c r="F17170">
        <v>441</v>
      </c>
      <c r="G17170">
        <v>0</v>
      </c>
      <c r="H17170" t="s">
        <v>22007</v>
      </c>
      <c r="I17170">
        <v>19527</v>
      </c>
      <c r="J17170" t="str">
        <f>VLOOKUP(E17170,DSSpieler!A:B,2,FALSE)</f>
        <v>elWambo</v>
      </c>
    </row>
    <row r="17171" spans="1:10" x14ac:dyDescent="0.25">
      <c r="A17171">
        <v>19528</v>
      </c>
      <c r="B17171" t="s">
        <v>3686</v>
      </c>
      <c r="C17171">
        <v>626</v>
      </c>
      <c r="D17171">
        <v>532</v>
      </c>
      <c r="E17171">
        <v>8829351</v>
      </c>
      <c r="F17171">
        <v>249</v>
      </c>
      <c r="G17171">
        <v>0</v>
      </c>
      <c r="H17171" t="s">
        <v>22008</v>
      </c>
      <c r="I17171">
        <v>19528</v>
      </c>
      <c r="J17171" t="str">
        <f>VLOOKUP(E17171,DSSpieler!A:B,2,FALSE)</f>
        <v>ben13.12</v>
      </c>
    </row>
    <row r="17172" spans="1:10" x14ac:dyDescent="0.25">
      <c r="A17172">
        <v>19529</v>
      </c>
      <c r="B17172" t="s">
        <v>3687</v>
      </c>
      <c r="C17172">
        <v>625</v>
      </c>
      <c r="D17172">
        <v>557</v>
      </c>
      <c r="E17172">
        <v>1577202152</v>
      </c>
      <c r="F17172">
        <v>793</v>
      </c>
      <c r="G17172">
        <v>0</v>
      </c>
      <c r="H17172" t="s">
        <v>22009</v>
      </c>
      <c r="I17172">
        <v>19529</v>
      </c>
      <c r="J17172" t="str">
        <f>VLOOKUP(E17172,DSSpieler!A:B,2,FALSE)</f>
        <v>Hitcher72</v>
      </c>
    </row>
    <row r="17173" spans="1:10" x14ac:dyDescent="0.25">
      <c r="A17173">
        <v>19530</v>
      </c>
      <c r="B17173" t="s">
        <v>3688</v>
      </c>
      <c r="C17173">
        <v>506</v>
      </c>
      <c r="D17173">
        <v>506</v>
      </c>
      <c r="E17173">
        <v>1577158874</v>
      </c>
      <c r="F17173">
        <v>310</v>
      </c>
      <c r="G17173">
        <v>0</v>
      </c>
      <c r="H17173" t="s">
        <v>22010</v>
      </c>
      <c r="I17173">
        <v>19530</v>
      </c>
      <c r="J17173" t="str">
        <f>VLOOKUP(E17173,DSSpieler!A:B,2,FALSE)</f>
        <v>AleksandeR Der KleinE</v>
      </c>
    </row>
    <row r="17174" spans="1:10" x14ac:dyDescent="0.25">
      <c r="A17174">
        <v>19532</v>
      </c>
      <c r="B17174" t="s">
        <v>531</v>
      </c>
      <c r="C17174">
        <v>624</v>
      </c>
      <c r="D17174">
        <v>550</v>
      </c>
      <c r="E17174">
        <v>0</v>
      </c>
      <c r="F17174">
        <v>53</v>
      </c>
      <c r="G17174">
        <v>0</v>
      </c>
      <c r="H17174" t="s">
        <v>22011</v>
      </c>
      <c r="I17174">
        <v>19532</v>
      </c>
      <c r="J17174" t="e">
        <f>VLOOKUP(E17174,DSSpieler!A:B,2,FALSE)</f>
        <v>#N/A</v>
      </c>
    </row>
    <row r="17175" spans="1:10" x14ac:dyDescent="0.25">
      <c r="A17175">
        <v>19534</v>
      </c>
      <c r="B17175" t="s">
        <v>3689</v>
      </c>
      <c r="C17175">
        <v>609</v>
      </c>
      <c r="D17175">
        <v>581</v>
      </c>
      <c r="E17175">
        <v>1577192698</v>
      </c>
      <c r="F17175">
        <v>853</v>
      </c>
      <c r="G17175">
        <v>0</v>
      </c>
      <c r="H17175" t="s">
        <v>22012</v>
      </c>
      <c r="I17175">
        <v>19534</v>
      </c>
      <c r="J17175" t="str">
        <f>VLOOKUP(E17175,DSSpieler!A:B,2,FALSE)</f>
        <v>Spurtefix</v>
      </c>
    </row>
    <row r="17176" spans="1:10" x14ac:dyDescent="0.25">
      <c r="A17176">
        <v>19535</v>
      </c>
      <c r="B17176" t="s">
        <v>3690</v>
      </c>
      <c r="C17176">
        <v>378</v>
      </c>
      <c r="D17176">
        <v>450</v>
      </c>
      <c r="E17176">
        <v>1577205532</v>
      </c>
      <c r="F17176">
        <v>26</v>
      </c>
      <c r="G17176">
        <v>0</v>
      </c>
      <c r="H17176" t="s">
        <v>22013</v>
      </c>
      <c r="I17176">
        <v>19535</v>
      </c>
      <c r="J17176" t="str">
        <f>VLOOKUP(E17176,DSSpieler!A:B,2,FALSE)</f>
        <v>Sir Jon</v>
      </c>
    </row>
    <row r="17177" spans="1:10" x14ac:dyDescent="0.25">
      <c r="A17177">
        <v>19536</v>
      </c>
      <c r="B17177" t="s">
        <v>3691</v>
      </c>
      <c r="C17177">
        <v>525</v>
      </c>
      <c r="D17177">
        <v>396</v>
      </c>
      <c r="E17177">
        <v>1577199507</v>
      </c>
      <c r="F17177">
        <v>26</v>
      </c>
      <c r="G17177">
        <v>0</v>
      </c>
      <c r="H17177" t="s">
        <v>22014</v>
      </c>
      <c r="I17177">
        <v>19536</v>
      </c>
      <c r="J17177" t="str">
        <f>VLOOKUP(E17177,DSSpieler!A:B,2,FALSE)</f>
        <v>Kangertech</v>
      </c>
    </row>
    <row r="17178" spans="1:10" x14ac:dyDescent="0.25">
      <c r="A17178">
        <v>19537</v>
      </c>
      <c r="B17178" t="s">
        <v>531</v>
      </c>
      <c r="C17178">
        <v>372</v>
      </c>
      <c r="D17178">
        <v>541</v>
      </c>
      <c r="E17178">
        <v>0</v>
      </c>
      <c r="F17178">
        <v>91</v>
      </c>
      <c r="G17178">
        <v>0</v>
      </c>
      <c r="H17178" t="s">
        <v>22015</v>
      </c>
      <c r="I17178">
        <v>19537</v>
      </c>
      <c r="J17178" t="e">
        <f>VLOOKUP(E17178,DSSpieler!A:B,2,FALSE)</f>
        <v>#N/A</v>
      </c>
    </row>
    <row r="17179" spans="1:10" x14ac:dyDescent="0.25">
      <c r="A17179">
        <v>19538</v>
      </c>
      <c r="B17179" t="s">
        <v>3129</v>
      </c>
      <c r="C17179">
        <v>372</v>
      </c>
      <c r="D17179">
        <v>540</v>
      </c>
      <c r="E17179">
        <v>1577193882</v>
      </c>
      <c r="F17179">
        <v>960</v>
      </c>
      <c r="G17179">
        <v>0</v>
      </c>
      <c r="H17179" t="s">
        <v>22016</v>
      </c>
      <c r="I17179">
        <v>19538</v>
      </c>
      <c r="J17179" t="str">
        <f>VLOOKUP(E17179,DSSpieler!A:B,2,FALSE)</f>
        <v>Swaface</v>
      </c>
    </row>
    <row r="17180" spans="1:10" x14ac:dyDescent="0.25">
      <c r="A17180">
        <v>19539</v>
      </c>
      <c r="B17180" t="s">
        <v>3692</v>
      </c>
      <c r="C17180">
        <v>539</v>
      </c>
      <c r="D17180">
        <v>633</v>
      </c>
      <c r="E17180">
        <v>1577201685</v>
      </c>
      <c r="F17180">
        <v>866</v>
      </c>
      <c r="G17180">
        <v>0</v>
      </c>
      <c r="H17180" t="s">
        <v>22017</v>
      </c>
      <c r="I17180">
        <v>19539</v>
      </c>
      <c r="J17180" t="str">
        <f>VLOOKUP(E17180,DSSpieler!A:B,2,FALSE)</f>
        <v>Krustenbraten</v>
      </c>
    </row>
    <row r="17181" spans="1:10" x14ac:dyDescent="0.25">
      <c r="A17181">
        <v>19540</v>
      </c>
      <c r="B17181" t="s">
        <v>3693</v>
      </c>
      <c r="C17181">
        <v>604</v>
      </c>
      <c r="D17181">
        <v>587</v>
      </c>
      <c r="E17181">
        <v>1577195098</v>
      </c>
      <c r="F17181">
        <v>1022</v>
      </c>
      <c r="G17181">
        <v>0</v>
      </c>
      <c r="H17181" t="s">
        <v>22018</v>
      </c>
      <c r="I17181">
        <v>19540</v>
      </c>
      <c r="J17181" t="str">
        <f>VLOOKUP(E17181,DSSpieler!A:B,2,FALSE)</f>
        <v>RSPSOG</v>
      </c>
    </row>
    <row r="17182" spans="1:10" x14ac:dyDescent="0.25">
      <c r="A17182">
        <v>19544</v>
      </c>
      <c r="B17182" t="s">
        <v>3694</v>
      </c>
      <c r="C17182">
        <v>536</v>
      </c>
      <c r="D17182">
        <v>618</v>
      </c>
      <c r="E17182">
        <v>1577203794</v>
      </c>
      <c r="F17182">
        <v>1276</v>
      </c>
      <c r="G17182">
        <v>0</v>
      </c>
      <c r="H17182" t="s">
        <v>22019</v>
      </c>
      <c r="I17182">
        <v>19544</v>
      </c>
      <c r="J17182" t="str">
        <f>VLOOKUP(E17182,DSSpieler!A:B,2,FALSE)</f>
        <v>Baraldo</v>
      </c>
    </row>
    <row r="17183" spans="1:10" x14ac:dyDescent="0.25">
      <c r="A17183">
        <v>19545</v>
      </c>
      <c r="B17183" t="s">
        <v>3695</v>
      </c>
      <c r="C17183">
        <v>567</v>
      </c>
      <c r="D17183">
        <v>612</v>
      </c>
      <c r="E17183">
        <v>1576635820</v>
      </c>
      <c r="F17183">
        <v>360</v>
      </c>
      <c r="G17183">
        <v>0</v>
      </c>
      <c r="H17183" t="s">
        <v>22020</v>
      </c>
      <c r="I17183">
        <v>19545</v>
      </c>
      <c r="J17183" t="str">
        <f>VLOOKUP(E17183,DSSpieler!A:B,2,FALSE)</f>
        <v>Tom Clancy</v>
      </c>
    </row>
    <row r="17184" spans="1:10" x14ac:dyDescent="0.25">
      <c r="A17184">
        <v>19546</v>
      </c>
      <c r="B17184" t="s">
        <v>3696</v>
      </c>
      <c r="C17184">
        <v>390</v>
      </c>
      <c r="D17184">
        <v>574</v>
      </c>
      <c r="E17184">
        <v>1576682340</v>
      </c>
      <c r="F17184">
        <v>999</v>
      </c>
      <c r="G17184">
        <v>0</v>
      </c>
      <c r="H17184" t="s">
        <v>22021</v>
      </c>
      <c r="I17184">
        <v>19546</v>
      </c>
      <c r="J17184" t="str">
        <f>VLOOKUP(E17184,DSSpieler!A:B,2,FALSE)</f>
        <v>jujus96</v>
      </c>
    </row>
    <row r="17185" spans="1:10" x14ac:dyDescent="0.25">
      <c r="A17185">
        <v>19547</v>
      </c>
      <c r="B17185" t="s">
        <v>3697</v>
      </c>
      <c r="C17185">
        <v>527</v>
      </c>
      <c r="D17185">
        <v>383</v>
      </c>
      <c r="E17185">
        <v>1576469682</v>
      </c>
      <c r="F17185">
        <v>935</v>
      </c>
      <c r="G17185">
        <v>0</v>
      </c>
      <c r="H17185" t="s">
        <v>22022</v>
      </c>
      <c r="I17185">
        <v>19547</v>
      </c>
      <c r="J17185" t="str">
        <f>VLOOKUP(E17185,DSSpieler!A:B,2,FALSE)</f>
        <v>Luzifina</v>
      </c>
    </row>
    <row r="17186" spans="1:10" x14ac:dyDescent="0.25">
      <c r="A17186">
        <v>19548</v>
      </c>
      <c r="B17186" t="s">
        <v>3698</v>
      </c>
      <c r="C17186">
        <v>611</v>
      </c>
      <c r="D17186">
        <v>426</v>
      </c>
      <c r="E17186">
        <v>3055766</v>
      </c>
      <c r="F17186">
        <v>554</v>
      </c>
      <c r="G17186">
        <v>0</v>
      </c>
      <c r="H17186" t="s">
        <v>22023</v>
      </c>
      <c r="I17186">
        <v>19548</v>
      </c>
      <c r="J17186" t="str">
        <f>VLOOKUP(E17186,DSSpieler!A:B,2,FALSE)</f>
        <v>Alpaca</v>
      </c>
    </row>
    <row r="17187" spans="1:10" x14ac:dyDescent="0.25">
      <c r="A17187">
        <v>19549</v>
      </c>
      <c r="B17187" t="s">
        <v>3699</v>
      </c>
      <c r="C17187">
        <v>501</v>
      </c>
      <c r="D17187">
        <v>377</v>
      </c>
      <c r="E17187">
        <v>1186708</v>
      </c>
      <c r="F17187">
        <v>1047</v>
      </c>
      <c r="G17187">
        <v>0</v>
      </c>
      <c r="H17187" t="s">
        <v>22024</v>
      </c>
      <c r="I17187">
        <v>19549</v>
      </c>
      <c r="J17187" t="str">
        <f>VLOOKUP(E17187,DSSpieler!A:B,2,FALSE)</f>
        <v>spenco92</v>
      </c>
    </row>
    <row r="17188" spans="1:10" x14ac:dyDescent="0.25">
      <c r="A17188">
        <v>19550</v>
      </c>
      <c r="B17188" t="s">
        <v>1600</v>
      </c>
      <c r="C17188">
        <v>545</v>
      </c>
      <c r="D17188">
        <v>374</v>
      </c>
      <c r="E17188">
        <v>8726945</v>
      </c>
      <c r="F17188">
        <v>1179</v>
      </c>
      <c r="G17188">
        <v>0</v>
      </c>
      <c r="H17188" t="s">
        <v>22025</v>
      </c>
      <c r="I17188">
        <v>19550</v>
      </c>
      <c r="J17188" t="str">
        <f>VLOOKUP(E17188,DSSpieler!A:B,2,FALSE)</f>
        <v>Niceldio</v>
      </c>
    </row>
    <row r="17189" spans="1:10" x14ac:dyDescent="0.25">
      <c r="A17189">
        <v>19551</v>
      </c>
      <c r="B17189" t="s">
        <v>3700</v>
      </c>
      <c r="C17189">
        <v>600</v>
      </c>
      <c r="D17189">
        <v>580</v>
      </c>
      <c r="E17189">
        <v>1576554670</v>
      </c>
      <c r="F17189">
        <v>623</v>
      </c>
      <c r="G17189">
        <v>0</v>
      </c>
      <c r="H17189" t="s">
        <v>22026</v>
      </c>
      <c r="I17189">
        <v>19551</v>
      </c>
      <c r="J17189" t="str">
        <f>VLOOKUP(E17189,DSSpieler!A:B,2,FALSE)</f>
        <v>König Janosch2000</v>
      </c>
    </row>
    <row r="17190" spans="1:10" x14ac:dyDescent="0.25">
      <c r="A17190">
        <v>19552</v>
      </c>
      <c r="B17190" t="s">
        <v>751</v>
      </c>
      <c r="C17190">
        <v>600</v>
      </c>
      <c r="D17190">
        <v>479</v>
      </c>
      <c r="E17190">
        <v>1577195951</v>
      </c>
      <c r="F17190">
        <v>800</v>
      </c>
      <c r="G17190">
        <v>0</v>
      </c>
      <c r="H17190" t="s">
        <v>22027</v>
      </c>
      <c r="I17190">
        <v>19552</v>
      </c>
      <c r="J17190" t="str">
        <f>VLOOKUP(E17190,DSSpieler!A:B,2,FALSE)</f>
        <v>Cremschnitte</v>
      </c>
    </row>
    <row r="17191" spans="1:10" x14ac:dyDescent="0.25">
      <c r="A17191">
        <v>19554</v>
      </c>
      <c r="B17191" t="s">
        <v>35862</v>
      </c>
      <c r="C17191">
        <v>529</v>
      </c>
      <c r="D17191">
        <v>632</v>
      </c>
      <c r="E17191">
        <v>1576014480</v>
      </c>
      <c r="F17191">
        <v>1158</v>
      </c>
      <c r="G17191">
        <v>0</v>
      </c>
      <c r="H17191" t="s">
        <v>22028</v>
      </c>
      <c r="I17191">
        <v>19554</v>
      </c>
      <c r="J17191" t="str">
        <f>VLOOKUP(E17191,DSSpieler!A:B,2,FALSE)</f>
        <v>Hofitribe</v>
      </c>
    </row>
    <row r="17192" spans="1:10" x14ac:dyDescent="0.25">
      <c r="A17192">
        <v>19555</v>
      </c>
      <c r="B17192" t="s">
        <v>3701</v>
      </c>
      <c r="C17192">
        <v>576</v>
      </c>
      <c r="D17192">
        <v>612</v>
      </c>
      <c r="E17192">
        <v>1577207552</v>
      </c>
      <c r="F17192">
        <v>82</v>
      </c>
      <c r="G17192">
        <v>0</v>
      </c>
      <c r="H17192" t="s">
        <v>22029</v>
      </c>
      <c r="I17192">
        <v>19555</v>
      </c>
      <c r="J17192" t="str">
        <f>VLOOKUP(E17192,DSSpieler!A:B,2,FALSE)</f>
        <v>MUHAHAMUH</v>
      </c>
    </row>
    <row r="17193" spans="1:10" x14ac:dyDescent="0.25">
      <c r="A17193">
        <v>19556</v>
      </c>
      <c r="B17193">
        <v>178</v>
      </c>
      <c r="C17193">
        <v>527</v>
      </c>
      <c r="D17193">
        <v>539</v>
      </c>
      <c r="E17193">
        <v>8922389</v>
      </c>
      <c r="F17193">
        <v>1734</v>
      </c>
      <c r="G17193">
        <v>0</v>
      </c>
      <c r="H17193" t="s">
        <v>22030</v>
      </c>
      <c r="I17193">
        <v>19556</v>
      </c>
      <c r="J17193" t="str">
        <f>VLOOKUP(E17193,DSSpieler!A:B,2,FALSE)</f>
        <v>d1abloO</v>
      </c>
    </row>
    <row r="17194" spans="1:10" x14ac:dyDescent="0.25">
      <c r="A17194">
        <v>19557</v>
      </c>
      <c r="B17194">
        <v>1</v>
      </c>
      <c r="C17194">
        <v>478</v>
      </c>
      <c r="D17194">
        <v>373</v>
      </c>
      <c r="E17194">
        <v>2859798</v>
      </c>
      <c r="F17194">
        <v>967</v>
      </c>
      <c r="G17194">
        <v>0</v>
      </c>
      <c r="H17194" t="s">
        <v>22031</v>
      </c>
      <c r="I17194">
        <v>19557</v>
      </c>
      <c r="J17194" t="str">
        <f>VLOOKUP(E17194,DSSpieler!A:B,2,FALSE)</f>
        <v>8n0nym</v>
      </c>
    </row>
    <row r="17195" spans="1:10" x14ac:dyDescent="0.25">
      <c r="A17195">
        <v>19558</v>
      </c>
      <c r="B17195" t="s">
        <v>604</v>
      </c>
      <c r="C17195">
        <v>487</v>
      </c>
      <c r="D17195">
        <v>366</v>
      </c>
      <c r="E17195">
        <v>8726402</v>
      </c>
      <c r="F17195">
        <v>253</v>
      </c>
      <c r="G17195">
        <v>0</v>
      </c>
      <c r="H17195" t="s">
        <v>22032</v>
      </c>
      <c r="I17195">
        <v>19558</v>
      </c>
      <c r="J17195" t="str">
        <f>VLOOKUP(E17195,DSSpieler!A:B,2,FALSE)</f>
        <v>Cheguevarra</v>
      </c>
    </row>
    <row r="17196" spans="1:10" x14ac:dyDescent="0.25">
      <c r="A17196">
        <v>19559</v>
      </c>
      <c r="B17196" t="s">
        <v>35692</v>
      </c>
      <c r="C17196">
        <v>379</v>
      </c>
      <c r="D17196">
        <v>548</v>
      </c>
      <c r="E17196">
        <v>9809934</v>
      </c>
      <c r="F17196">
        <v>1504</v>
      </c>
      <c r="G17196">
        <v>0</v>
      </c>
      <c r="H17196" t="s">
        <v>22033</v>
      </c>
      <c r="I17196">
        <v>19559</v>
      </c>
      <c r="J17196" t="str">
        <f>VLOOKUP(E17196,DSSpieler!A:B,2,FALSE)</f>
        <v>bomberdragon</v>
      </c>
    </row>
    <row r="17197" spans="1:10" x14ac:dyDescent="0.25">
      <c r="A17197">
        <v>19560</v>
      </c>
      <c r="B17197" t="s">
        <v>3702</v>
      </c>
      <c r="C17197">
        <v>622</v>
      </c>
      <c r="D17197">
        <v>553</v>
      </c>
      <c r="E17197">
        <v>1577192272</v>
      </c>
      <c r="F17197">
        <v>691</v>
      </c>
      <c r="G17197">
        <v>0</v>
      </c>
      <c r="H17197" t="s">
        <v>22034</v>
      </c>
      <c r="I17197">
        <v>19560</v>
      </c>
      <c r="J17197" t="str">
        <f>VLOOKUP(E17197,DSSpieler!A:B,2,FALSE)</f>
        <v>Macarena3010</v>
      </c>
    </row>
    <row r="17198" spans="1:10" x14ac:dyDescent="0.25">
      <c r="A17198">
        <v>19562</v>
      </c>
      <c r="B17198" t="s">
        <v>35693</v>
      </c>
      <c r="C17198">
        <v>409</v>
      </c>
      <c r="D17198">
        <v>403</v>
      </c>
      <c r="E17198">
        <v>1809824</v>
      </c>
      <c r="F17198">
        <v>443</v>
      </c>
      <c r="G17198">
        <v>0</v>
      </c>
      <c r="H17198" t="s">
        <v>22035</v>
      </c>
      <c r="I17198">
        <v>19562</v>
      </c>
      <c r="J17198" t="str">
        <f>VLOOKUP(E17198,DSSpieler!A:B,2,FALSE)</f>
        <v>zx6r02</v>
      </c>
    </row>
    <row r="17199" spans="1:10" x14ac:dyDescent="0.25">
      <c r="A17199">
        <v>19563</v>
      </c>
      <c r="B17199" t="s">
        <v>3703</v>
      </c>
      <c r="C17199">
        <v>379</v>
      </c>
      <c r="D17199">
        <v>448</v>
      </c>
      <c r="E17199">
        <v>10022733</v>
      </c>
      <c r="F17199">
        <v>844</v>
      </c>
      <c r="G17199">
        <v>0</v>
      </c>
      <c r="H17199" t="s">
        <v>22036</v>
      </c>
      <c r="I17199">
        <v>19563</v>
      </c>
      <c r="J17199" t="str">
        <f>VLOOKUP(E17199,DSSpieler!A:B,2,FALSE)</f>
        <v>Reverden</v>
      </c>
    </row>
    <row r="17200" spans="1:10" x14ac:dyDescent="0.25">
      <c r="A17200">
        <v>19564</v>
      </c>
      <c r="B17200" t="s">
        <v>3704</v>
      </c>
      <c r="C17200">
        <v>450</v>
      </c>
      <c r="D17200">
        <v>625</v>
      </c>
      <c r="E17200">
        <v>1577015690</v>
      </c>
      <c r="F17200">
        <v>807</v>
      </c>
      <c r="G17200">
        <v>0</v>
      </c>
      <c r="H17200" t="s">
        <v>22037</v>
      </c>
      <c r="I17200">
        <v>19564</v>
      </c>
      <c r="J17200" t="str">
        <f>VLOOKUP(E17200,DSSpieler!A:B,2,FALSE)</f>
        <v>Willibatz</v>
      </c>
    </row>
    <row r="17201" spans="1:10" x14ac:dyDescent="0.25">
      <c r="A17201">
        <v>19565</v>
      </c>
      <c r="B17201" t="s">
        <v>3705</v>
      </c>
      <c r="C17201">
        <v>479</v>
      </c>
      <c r="D17201">
        <v>369</v>
      </c>
      <c r="E17201">
        <v>1577096460</v>
      </c>
      <c r="F17201">
        <v>348</v>
      </c>
      <c r="G17201">
        <v>0</v>
      </c>
      <c r="H17201" t="s">
        <v>22038</v>
      </c>
      <c r="I17201">
        <v>19565</v>
      </c>
      <c r="J17201" t="str">
        <f>VLOOKUP(E17201,DSSpieler!A:B,2,FALSE)</f>
        <v>Lukas9876</v>
      </c>
    </row>
    <row r="17202" spans="1:10" x14ac:dyDescent="0.25">
      <c r="A17202">
        <v>19568</v>
      </c>
      <c r="B17202" t="s">
        <v>3706</v>
      </c>
      <c r="C17202">
        <v>434</v>
      </c>
      <c r="D17202">
        <v>615</v>
      </c>
      <c r="E17202">
        <v>1576873073</v>
      </c>
      <c r="F17202">
        <v>245</v>
      </c>
      <c r="G17202">
        <v>0</v>
      </c>
      <c r="H17202" t="s">
        <v>22039</v>
      </c>
      <c r="I17202">
        <v>19568</v>
      </c>
      <c r="J17202" t="str">
        <f>VLOOKUP(E17202,DSSpieler!A:B,2,FALSE)</f>
        <v>lukithebest</v>
      </c>
    </row>
    <row r="17203" spans="1:10" x14ac:dyDescent="0.25">
      <c r="A17203">
        <v>19569</v>
      </c>
      <c r="B17203" t="s">
        <v>3707</v>
      </c>
      <c r="C17203">
        <v>630</v>
      </c>
      <c r="D17203">
        <v>546</v>
      </c>
      <c r="E17203">
        <v>1577192300</v>
      </c>
      <c r="F17203">
        <v>851</v>
      </c>
      <c r="G17203">
        <v>0</v>
      </c>
      <c r="H17203" t="s">
        <v>22040</v>
      </c>
      <c r="I17203">
        <v>19569</v>
      </c>
      <c r="J17203" t="str">
        <f>VLOOKUP(E17203,DSSpieler!A:B,2,FALSE)</f>
        <v>Hobbit1904</v>
      </c>
    </row>
    <row r="17204" spans="1:10" x14ac:dyDescent="0.25">
      <c r="A17204">
        <v>19570</v>
      </c>
      <c r="B17204" t="s">
        <v>531</v>
      </c>
      <c r="C17204">
        <v>625</v>
      </c>
      <c r="D17204">
        <v>460</v>
      </c>
      <c r="E17204">
        <v>0</v>
      </c>
      <c r="F17204">
        <v>87</v>
      </c>
      <c r="G17204">
        <v>0</v>
      </c>
      <c r="H17204" t="s">
        <v>22041</v>
      </c>
      <c r="I17204">
        <v>19570</v>
      </c>
      <c r="J17204" t="e">
        <f>VLOOKUP(E17204,DSSpieler!A:B,2,FALSE)</f>
        <v>#N/A</v>
      </c>
    </row>
    <row r="17205" spans="1:10" x14ac:dyDescent="0.25">
      <c r="A17205">
        <v>19571</v>
      </c>
      <c r="B17205" t="s">
        <v>3708</v>
      </c>
      <c r="C17205">
        <v>629</v>
      </c>
      <c r="D17205">
        <v>474</v>
      </c>
      <c r="E17205">
        <v>1577122903</v>
      </c>
      <c r="F17205">
        <v>26</v>
      </c>
      <c r="G17205">
        <v>0</v>
      </c>
      <c r="H17205" t="s">
        <v>22042</v>
      </c>
      <c r="I17205">
        <v>19571</v>
      </c>
      <c r="J17205" t="str">
        <f>VLOOKUP(E17205,DSSpieler!A:B,2,FALSE)</f>
        <v>tansis99</v>
      </c>
    </row>
    <row r="17206" spans="1:10" x14ac:dyDescent="0.25">
      <c r="A17206">
        <v>19572</v>
      </c>
      <c r="B17206" t="s">
        <v>3709</v>
      </c>
      <c r="C17206">
        <v>415</v>
      </c>
      <c r="D17206">
        <v>599</v>
      </c>
      <c r="E17206">
        <v>1575920058</v>
      </c>
      <c r="F17206">
        <v>960</v>
      </c>
      <c r="G17206">
        <v>0</v>
      </c>
      <c r="H17206" t="s">
        <v>22043</v>
      </c>
      <c r="I17206">
        <v>19572</v>
      </c>
      <c r="J17206" t="str">
        <f>VLOOKUP(E17206,DSSpieler!A:B,2,FALSE)</f>
        <v>KaKaDu337</v>
      </c>
    </row>
    <row r="17207" spans="1:10" x14ac:dyDescent="0.25">
      <c r="A17207">
        <v>19573</v>
      </c>
      <c r="B17207" t="s">
        <v>3710</v>
      </c>
      <c r="C17207">
        <v>493</v>
      </c>
      <c r="D17207">
        <v>371</v>
      </c>
      <c r="E17207">
        <v>1576198612</v>
      </c>
      <c r="F17207">
        <v>26</v>
      </c>
      <c r="G17207">
        <v>0</v>
      </c>
      <c r="H17207" t="s">
        <v>22044</v>
      </c>
      <c r="I17207">
        <v>19573</v>
      </c>
      <c r="J17207" t="str">
        <f>VLOOKUP(E17207,DSSpieler!A:B,2,FALSE)</f>
        <v>Hi2002</v>
      </c>
    </row>
    <row r="17208" spans="1:10" x14ac:dyDescent="0.25">
      <c r="A17208">
        <v>19576</v>
      </c>
      <c r="B17208">
        <v>0</v>
      </c>
      <c r="C17208">
        <v>451</v>
      </c>
      <c r="D17208">
        <v>375</v>
      </c>
      <c r="E17208">
        <v>8819928</v>
      </c>
      <c r="F17208">
        <v>706</v>
      </c>
      <c r="G17208">
        <v>0</v>
      </c>
      <c r="H17208" t="s">
        <v>22045</v>
      </c>
      <c r="I17208">
        <v>19576</v>
      </c>
      <c r="J17208" t="str">
        <f>VLOOKUP(E17208,DSSpieler!A:B,2,FALSE)</f>
        <v>Der-Papst 1234</v>
      </c>
    </row>
    <row r="17209" spans="1:10" x14ac:dyDescent="0.25">
      <c r="A17209">
        <v>19577</v>
      </c>
      <c r="B17209" t="s">
        <v>3711</v>
      </c>
      <c r="C17209">
        <v>507</v>
      </c>
      <c r="D17209">
        <v>369</v>
      </c>
      <c r="E17209">
        <v>1577081797</v>
      </c>
      <c r="F17209">
        <v>329</v>
      </c>
      <c r="G17209">
        <v>0</v>
      </c>
      <c r="H17209" t="s">
        <v>22046</v>
      </c>
      <c r="I17209">
        <v>19577</v>
      </c>
      <c r="J17209" t="str">
        <f>VLOOKUP(E17209,DSSpieler!A:B,2,FALSE)</f>
        <v>Puschl</v>
      </c>
    </row>
    <row r="17210" spans="1:10" x14ac:dyDescent="0.25">
      <c r="A17210">
        <v>19578</v>
      </c>
      <c r="B17210" t="s">
        <v>3712</v>
      </c>
      <c r="C17210">
        <v>425</v>
      </c>
      <c r="D17210">
        <v>388</v>
      </c>
      <c r="E17210">
        <v>1577094156</v>
      </c>
      <c r="F17210">
        <v>372</v>
      </c>
      <c r="G17210">
        <v>0</v>
      </c>
      <c r="H17210" t="s">
        <v>22047</v>
      </c>
      <c r="I17210">
        <v>19578</v>
      </c>
      <c r="J17210" t="str">
        <f>VLOOKUP(E17210,DSSpieler!A:B,2,FALSE)</f>
        <v>rocki6</v>
      </c>
    </row>
    <row r="17211" spans="1:10" x14ac:dyDescent="0.25">
      <c r="A17211">
        <v>19579</v>
      </c>
      <c r="B17211" t="s">
        <v>1520</v>
      </c>
      <c r="C17211">
        <v>539</v>
      </c>
      <c r="D17211">
        <v>623</v>
      </c>
      <c r="E17211">
        <v>1577202921</v>
      </c>
      <c r="F17211">
        <v>919</v>
      </c>
      <c r="G17211">
        <v>0</v>
      </c>
      <c r="H17211" t="s">
        <v>22048</v>
      </c>
      <c r="I17211">
        <v>19579</v>
      </c>
      <c r="J17211" t="str">
        <f>VLOOKUP(E17211,DSSpieler!A:B,2,FALSE)</f>
        <v>ichwersonst</v>
      </c>
    </row>
    <row r="17212" spans="1:10" x14ac:dyDescent="0.25">
      <c r="A17212">
        <v>19581</v>
      </c>
      <c r="B17212" t="s">
        <v>3713</v>
      </c>
      <c r="C17212">
        <v>556</v>
      </c>
      <c r="D17212">
        <v>619</v>
      </c>
      <c r="E17212">
        <v>1576795542</v>
      </c>
      <c r="F17212">
        <v>44</v>
      </c>
      <c r="G17212">
        <v>0</v>
      </c>
      <c r="H17212" t="s">
        <v>22049</v>
      </c>
      <c r="I17212">
        <v>19581</v>
      </c>
      <c r="J17212" t="str">
        <f>VLOOKUP(E17212,DSSpieler!A:B,2,FALSE)</f>
        <v>Wall-Brecher91</v>
      </c>
    </row>
    <row r="17213" spans="1:10" x14ac:dyDescent="0.25">
      <c r="A17213">
        <v>19582</v>
      </c>
      <c r="B17213" t="s">
        <v>3714</v>
      </c>
      <c r="C17213">
        <v>512</v>
      </c>
      <c r="D17213">
        <v>631</v>
      </c>
      <c r="E17213">
        <v>9717624</v>
      </c>
      <c r="F17213">
        <v>47</v>
      </c>
      <c r="G17213">
        <v>0</v>
      </c>
      <c r="H17213" t="s">
        <v>22050</v>
      </c>
      <c r="I17213">
        <v>19582</v>
      </c>
      <c r="J17213" t="str">
        <f>VLOOKUP(E17213,DSSpieler!A:B,2,FALSE)</f>
        <v>The-Old-Jenkins</v>
      </c>
    </row>
    <row r="17214" spans="1:10" x14ac:dyDescent="0.25">
      <c r="A17214">
        <v>19586</v>
      </c>
      <c r="B17214" t="s">
        <v>3715</v>
      </c>
      <c r="C17214">
        <v>618</v>
      </c>
      <c r="D17214">
        <v>564</v>
      </c>
      <c r="E17214">
        <v>1577205699</v>
      </c>
      <c r="F17214">
        <v>360</v>
      </c>
      <c r="G17214">
        <v>0</v>
      </c>
      <c r="H17214" t="s">
        <v>22051</v>
      </c>
      <c r="I17214">
        <v>19586</v>
      </c>
      <c r="J17214" t="str">
        <f>VLOOKUP(E17214,DSSpieler!A:B,2,FALSE)</f>
        <v>Patrick210487</v>
      </c>
    </row>
    <row r="17215" spans="1:10" x14ac:dyDescent="0.25">
      <c r="A17215">
        <v>19588</v>
      </c>
      <c r="B17215" t="s">
        <v>3670</v>
      </c>
      <c r="C17215">
        <v>377</v>
      </c>
      <c r="D17215">
        <v>539</v>
      </c>
      <c r="E17215">
        <v>10217706</v>
      </c>
      <c r="F17215">
        <v>394</v>
      </c>
      <c r="G17215">
        <v>0</v>
      </c>
      <c r="H17215" t="s">
        <v>22052</v>
      </c>
      <c r="I17215">
        <v>19588</v>
      </c>
      <c r="J17215" t="str">
        <f>VLOOKUP(E17215,DSSpieler!A:B,2,FALSE)</f>
        <v>Ejderler</v>
      </c>
    </row>
    <row r="17216" spans="1:10" x14ac:dyDescent="0.25">
      <c r="A17216">
        <v>19589</v>
      </c>
      <c r="B17216" t="s">
        <v>3716</v>
      </c>
      <c r="C17216">
        <v>479</v>
      </c>
      <c r="D17216">
        <v>370</v>
      </c>
      <c r="E17216">
        <v>1577080660</v>
      </c>
      <c r="F17216">
        <v>752</v>
      </c>
      <c r="G17216">
        <v>0</v>
      </c>
      <c r="H17216" t="s">
        <v>22053</v>
      </c>
      <c r="I17216">
        <v>19589</v>
      </c>
      <c r="J17216" t="str">
        <f>VLOOKUP(E17216,DSSpieler!A:B,2,FALSE)</f>
        <v>happymeal</v>
      </c>
    </row>
    <row r="17217" spans="1:10" x14ac:dyDescent="0.25">
      <c r="A17217">
        <v>19590</v>
      </c>
      <c r="B17217" t="s">
        <v>3717</v>
      </c>
      <c r="C17217">
        <v>610</v>
      </c>
      <c r="D17217">
        <v>573</v>
      </c>
      <c r="E17217">
        <v>10087397</v>
      </c>
      <c r="F17217">
        <v>570</v>
      </c>
      <c r="G17217">
        <v>0</v>
      </c>
      <c r="H17217" t="s">
        <v>22054</v>
      </c>
      <c r="I17217">
        <v>19590</v>
      </c>
      <c r="J17217" t="str">
        <f>VLOOKUP(E17217,DSSpieler!A:B,2,FALSE)</f>
        <v>caclo99</v>
      </c>
    </row>
    <row r="17218" spans="1:10" x14ac:dyDescent="0.25">
      <c r="A17218">
        <v>19591</v>
      </c>
      <c r="B17218" t="s">
        <v>531</v>
      </c>
      <c r="C17218">
        <v>547</v>
      </c>
      <c r="D17218">
        <v>376</v>
      </c>
      <c r="E17218">
        <v>0</v>
      </c>
      <c r="F17218">
        <v>110</v>
      </c>
      <c r="G17218">
        <v>0</v>
      </c>
      <c r="H17218" t="s">
        <v>22055</v>
      </c>
      <c r="I17218">
        <v>19591</v>
      </c>
      <c r="J17218" t="e">
        <f>VLOOKUP(E17218,DSSpieler!A:B,2,FALSE)</f>
        <v>#N/A</v>
      </c>
    </row>
    <row r="17219" spans="1:10" x14ac:dyDescent="0.25">
      <c r="A17219">
        <v>19592</v>
      </c>
      <c r="B17219" t="s">
        <v>3718</v>
      </c>
      <c r="C17219">
        <v>633</v>
      </c>
      <c r="D17219">
        <v>522</v>
      </c>
      <c r="E17219">
        <v>1577204035</v>
      </c>
      <c r="F17219">
        <v>72</v>
      </c>
      <c r="G17219">
        <v>0</v>
      </c>
      <c r="H17219" t="s">
        <v>22056</v>
      </c>
      <c r="I17219">
        <v>19592</v>
      </c>
      <c r="J17219" t="str">
        <f>VLOOKUP(E17219,DSSpieler!A:B,2,FALSE)</f>
        <v>lukevito</v>
      </c>
    </row>
    <row r="17220" spans="1:10" x14ac:dyDescent="0.25">
      <c r="A17220">
        <v>19593</v>
      </c>
      <c r="B17220" t="s">
        <v>3719</v>
      </c>
      <c r="C17220">
        <v>589</v>
      </c>
      <c r="D17220">
        <v>539</v>
      </c>
      <c r="E17220">
        <v>1577178702</v>
      </c>
      <c r="F17220">
        <v>481</v>
      </c>
      <c r="G17220">
        <v>0</v>
      </c>
      <c r="H17220" t="s">
        <v>22057</v>
      </c>
      <c r="I17220">
        <v>19593</v>
      </c>
      <c r="J17220" t="str">
        <f>VLOOKUP(E17220,DSSpieler!A:B,2,FALSE)</f>
        <v>Unbekannter Spieler</v>
      </c>
    </row>
    <row r="17221" spans="1:10" x14ac:dyDescent="0.25">
      <c r="A17221">
        <v>19594</v>
      </c>
      <c r="B17221" t="s">
        <v>531</v>
      </c>
      <c r="C17221">
        <v>630</v>
      </c>
      <c r="D17221">
        <v>501</v>
      </c>
      <c r="E17221">
        <v>0</v>
      </c>
      <c r="F17221">
        <v>83</v>
      </c>
      <c r="G17221">
        <v>0</v>
      </c>
      <c r="H17221" t="s">
        <v>22058</v>
      </c>
      <c r="I17221">
        <v>19594</v>
      </c>
      <c r="J17221" t="e">
        <f>VLOOKUP(E17221,DSSpieler!A:B,2,FALSE)</f>
        <v>#N/A</v>
      </c>
    </row>
    <row r="17222" spans="1:10" x14ac:dyDescent="0.25">
      <c r="A17222">
        <v>19595</v>
      </c>
      <c r="B17222" t="s">
        <v>3720</v>
      </c>
      <c r="C17222">
        <v>378</v>
      </c>
      <c r="D17222">
        <v>453</v>
      </c>
      <c r="E17222">
        <v>1577020853</v>
      </c>
      <c r="F17222">
        <v>26</v>
      </c>
      <c r="G17222">
        <v>0</v>
      </c>
      <c r="H17222" t="s">
        <v>22059</v>
      </c>
      <c r="I17222">
        <v>19595</v>
      </c>
      <c r="J17222" t="str">
        <f>VLOOKUP(E17222,DSSpieler!A:B,2,FALSE)</f>
        <v>motis261</v>
      </c>
    </row>
    <row r="17223" spans="1:10" x14ac:dyDescent="0.25">
      <c r="A17223">
        <v>19596</v>
      </c>
      <c r="B17223" t="s">
        <v>531</v>
      </c>
      <c r="C17223">
        <v>422</v>
      </c>
      <c r="D17223">
        <v>606</v>
      </c>
      <c r="E17223">
        <v>0</v>
      </c>
      <c r="F17223">
        <v>84</v>
      </c>
      <c r="G17223">
        <v>0</v>
      </c>
      <c r="H17223" t="s">
        <v>22060</v>
      </c>
      <c r="I17223">
        <v>19596</v>
      </c>
      <c r="J17223" t="e">
        <f>VLOOKUP(E17223,DSSpieler!A:B,2,FALSE)</f>
        <v>#N/A</v>
      </c>
    </row>
    <row r="17224" spans="1:10" x14ac:dyDescent="0.25">
      <c r="A17224">
        <v>19597</v>
      </c>
      <c r="B17224" t="s">
        <v>3721</v>
      </c>
      <c r="C17224">
        <v>417</v>
      </c>
      <c r="D17224">
        <v>400</v>
      </c>
      <c r="E17224">
        <v>1577182853</v>
      </c>
      <c r="F17224">
        <v>504</v>
      </c>
      <c r="G17224">
        <v>0</v>
      </c>
      <c r="H17224" t="s">
        <v>22061</v>
      </c>
      <c r="I17224">
        <v>19597</v>
      </c>
      <c r="J17224" t="str">
        <f>VLOOKUP(E17224,DSSpieler!A:B,2,FALSE)</f>
        <v>QEVOX</v>
      </c>
    </row>
    <row r="17225" spans="1:10" x14ac:dyDescent="0.25">
      <c r="A17225">
        <v>19599</v>
      </c>
      <c r="B17225" t="s">
        <v>3722</v>
      </c>
      <c r="C17225">
        <v>631</v>
      </c>
      <c r="D17225">
        <v>503</v>
      </c>
      <c r="E17225">
        <v>9844316</v>
      </c>
      <c r="F17225">
        <v>26</v>
      </c>
      <c r="G17225">
        <v>0</v>
      </c>
      <c r="H17225" t="s">
        <v>22062</v>
      </c>
      <c r="I17225">
        <v>19599</v>
      </c>
      <c r="J17225" t="str">
        <f>VLOOKUP(E17225,DSSpieler!A:B,2,FALSE)</f>
        <v>Listiger Loki</v>
      </c>
    </row>
    <row r="17226" spans="1:10" x14ac:dyDescent="0.25">
      <c r="A17226">
        <v>19601</v>
      </c>
      <c r="B17226" t="s">
        <v>3723</v>
      </c>
      <c r="C17226">
        <v>446</v>
      </c>
      <c r="D17226">
        <v>416</v>
      </c>
      <c r="E17226">
        <v>1577198976</v>
      </c>
      <c r="F17226">
        <v>26</v>
      </c>
      <c r="G17226">
        <v>0</v>
      </c>
      <c r="H17226" t="s">
        <v>22063</v>
      </c>
      <c r="I17226">
        <v>19601</v>
      </c>
      <c r="J17226" t="str">
        <f>VLOOKUP(E17226,DSSpieler!A:B,2,FALSE)</f>
        <v>Actualdobry</v>
      </c>
    </row>
    <row r="17227" spans="1:10" x14ac:dyDescent="0.25">
      <c r="A17227">
        <v>19602</v>
      </c>
      <c r="B17227" t="s">
        <v>531</v>
      </c>
      <c r="C17227">
        <v>622</v>
      </c>
      <c r="D17227">
        <v>545</v>
      </c>
      <c r="E17227">
        <v>0</v>
      </c>
      <c r="F17227">
        <v>104</v>
      </c>
      <c r="G17227">
        <v>0</v>
      </c>
      <c r="H17227" t="s">
        <v>22064</v>
      </c>
      <c r="I17227">
        <v>19602</v>
      </c>
      <c r="J17227" t="e">
        <f>VLOOKUP(E17227,DSSpieler!A:B,2,FALSE)</f>
        <v>#N/A</v>
      </c>
    </row>
    <row r="17228" spans="1:10" x14ac:dyDescent="0.25">
      <c r="A17228">
        <v>19603</v>
      </c>
      <c r="B17228" t="s">
        <v>3724</v>
      </c>
      <c r="C17228">
        <v>388</v>
      </c>
      <c r="D17228">
        <v>437</v>
      </c>
      <c r="E17228">
        <v>1576716919</v>
      </c>
      <c r="F17228">
        <v>26</v>
      </c>
      <c r="G17228">
        <v>0</v>
      </c>
      <c r="H17228" t="s">
        <v>22065</v>
      </c>
      <c r="I17228">
        <v>19603</v>
      </c>
      <c r="J17228" t="str">
        <f>VLOOKUP(E17228,DSSpieler!A:B,2,FALSE)</f>
        <v>burzlstiegn</v>
      </c>
    </row>
    <row r="17229" spans="1:10" x14ac:dyDescent="0.25">
      <c r="A17229">
        <v>19604</v>
      </c>
      <c r="B17229" t="s">
        <v>3725</v>
      </c>
      <c r="C17229">
        <v>572</v>
      </c>
      <c r="D17229">
        <v>391</v>
      </c>
      <c r="E17229">
        <v>1577207327</v>
      </c>
      <c r="F17229">
        <v>26</v>
      </c>
      <c r="G17229">
        <v>0</v>
      </c>
      <c r="H17229" t="s">
        <v>22066</v>
      </c>
      <c r="I17229">
        <v>19604</v>
      </c>
      <c r="J17229" t="str">
        <f>VLOOKUP(E17229,DSSpieler!A:B,2,FALSE)</f>
        <v>Efelknefel</v>
      </c>
    </row>
    <row r="17230" spans="1:10" x14ac:dyDescent="0.25">
      <c r="A17230">
        <v>19606</v>
      </c>
      <c r="B17230" t="s">
        <v>3726</v>
      </c>
      <c r="C17230">
        <v>631</v>
      </c>
      <c r="D17230">
        <v>470</v>
      </c>
      <c r="E17230">
        <v>1577207662</v>
      </c>
      <c r="F17230">
        <v>481</v>
      </c>
      <c r="G17230">
        <v>0</v>
      </c>
      <c r="H17230" t="s">
        <v>22067</v>
      </c>
      <c r="I17230">
        <v>19606</v>
      </c>
      <c r="J17230" t="str">
        <f>VLOOKUP(E17230,DSSpieler!A:B,2,FALSE)</f>
        <v>Letzinger</v>
      </c>
    </row>
    <row r="17231" spans="1:10" x14ac:dyDescent="0.25">
      <c r="A17231">
        <v>19607</v>
      </c>
      <c r="B17231" t="s">
        <v>3727</v>
      </c>
      <c r="C17231">
        <v>606</v>
      </c>
      <c r="D17231">
        <v>576</v>
      </c>
      <c r="E17231">
        <v>7882291</v>
      </c>
      <c r="F17231">
        <v>38</v>
      </c>
      <c r="G17231">
        <v>0</v>
      </c>
      <c r="H17231" t="s">
        <v>22068</v>
      </c>
      <c r="I17231">
        <v>19607</v>
      </c>
      <c r="J17231" t="str">
        <f>VLOOKUP(E17231,DSSpieler!A:B,2,FALSE)</f>
        <v>Der Spieler VI</v>
      </c>
    </row>
    <row r="17232" spans="1:10" x14ac:dyDescent="0.25">
      <c r="A17232">
        <v>19608</v>
      </c>
      <c r="B17232" t="s">
        <v>531</v>
      </c>
      <c r="C17232">
        <v>379</v>
      </c>
      <c r="D17232">
        <v>555</v>
      </c>
      <c r="E17232">
        <v>0</v>
      </c>
      <c r="F17232">
        <v>71</v>
      </c>
      <c r="G17232">
        <v>0</v>
      </c>
      <c r="H17232" t="s">
        <v>22069</v>
      </c>
      <c r="I17232">
        <v>19608</v>
      </c>
      <c r="J17232" t="e">
        <f>VLOOKUP(E17232,DSSpieler!A:B,2,FALSE)</f>
        <v>#N/A</v>
      </c>
    </row>
    <row r="17233" spans="1:10" x14ac:dyDescent="0.25">
      <c r="A17233">
        <v>19609</v>
      </c>
      <c r="B17233" t="s">
        <v>3728</v>
      </c>
      <c r="C17233">
        <v>600</v>
      </c>
      <c r="D17233">
        <v>482</v>
      </c>
      <c r="E17233">
        <v>1577009423</v>
      </c>
      <c r="F17233">
        <v>26</v>
      </c>
      <c r="G17233">
        <v>0</v>
      </c>
      <c r="H17233" t="s">
        <v>22070</v>
      </c>
      <c r="I17233">
        <v>19609</v>
      </c>
      <c r="J17233" t="str">
        <f>VLOOKUP(E17233,DSSpieler!A:B,2,FALSE)</f>
        <v>Happystick</v>
      </c>
    </row>
    <row r="17234" spans="1:10" x14ac:dyDescent="0.25">
      <c r="A17234">
        <v>19611</v>
      </c>
      <c r="B17234" t="s">
        <v>35694</v>
      </c>
      <c r="C17234">
        <v>607</v>
      </c>
      <c r="D17234">
        <v>580</v>
      </c>
      <c r="E17234">
        <v>7805308</v>
      </c>
      <c r="F17234">
        <v>965</v>
      </c>
      <c r="G17234">
        <v>0</v>
      </c>
      <c r="H17234" t="s">
        <v>22071</v>
      </c>
      <c r="I17234">
        <v>19611</v>
      </c>
      <c r="J17234" t="str">
        <f>VLOOKUP(E17234,DSSpieler!A:B,2,FALSE)</f>
        <v>Fire Falco 1</v>
      </c>
    </row>
    <row r="17235" spans="1:10" x14ac:dyDescent="0.25">
      <c r="A17235">
        <v>19612</v>
      </c>
      <c r="B17235" t="s">
        <v>3729</v>
      </c>
      <c r="C17235">
        <v>498</v>
      </c>
      <c r="D17235">
        <v>367</v>
      </c>
      <c r="E17235">
        <v>1577162966</v>
      </c>
      <c r="F17235">
        <v>815</v>
      </c>
      <c r="G17235">
        <v>0</v>
      </c>
      <c r="H17235" t="s">
        <v>22072</v>
      </c>
      <c r="I17235">
        <v>19612</v>
      </c>
      <c r="J17235" t="str">
        <f>VLOOKUP(E17235,DSSpieler!A:B,2,FALSE)</f>
        <v>maudi</v>
      </c>
    </row>
    <row r="17236" spans="1:10" x14ac:dyDescent="0.25">
      <c r="A17236">
        <v>19613</v>
      </c>
      <c r="B17236" t="s">
        <v>3730</v>
      </c>
      <c r="C17236">
        <v>375</v>
      </c>
      <c r="D17236">
        <v>484</v>
      </c>
      <c r="E17236">
        <v>1577207136</v>
      </c>
      <c r="F17236">
        <v>520</v>
      </c>
      <c r="G17236">
        <v>0</v>
      </c>
      <c r="H17236" t="s">
        <v>22073</v>
      </c>
      <c r="I17236">
        <v>19613</v>
      </c>
      <c r="J17236" t="str">
        <f>VLOOKUP(E17236,DSSpieler!A:B,2,FALSE)</f>
        <v>Heidemaster</v>
      </c>
    </row>
    <row r="17237" spans="1:10" x14ac:dyDescent="0.25">
      <c r="A17237">
        <v>19614</v>
      </c>
      <c r="B17237" t="s">
        <v>3731</v>
      </c>
      <c r="C17237">
        <v>556</v>
      </c>
      <c r="D17237">
        <v>617</v>
      </c>
      <c r="E17237">
        <v>1577200030</v>
      </c>
      <c r="F17237">
        <v>26</v>
      </c>
      <c r="G17237">
        <v>0</v>
      </c>
      <c r="H17237" t="s">
        <v>22074</v>
      </c>
      <c r="I17237">
        <v>19614</v>
      </c>
      <c r="J17237" t="str">
        <f>VLOOKUP(E17237,DSSpieler!A:B,2,FALSE)</f>
        <v>martado</v>
      </c>
    </row>
    <row r="17238" spans="1:10" x14ac:dyDescent="0.25">
      <c r="A17238">
        <v>19615</v>
      </c>
      <c r="B17238" t="s">
        <v>3732</v>
      </c>
      <c r="C17238">
        <v>602</v>
      </c>
      <c r="D17238">
        <v>545</v>
      </c>
      <c r="E17238">
        <v>1577207672</v>
      </c>
      <c r="F17238">
        <v>95</v>
      </c>
      <c r="G17238">
        <v>0</v>
      </c>
      <c r="H17238" t="s">
        <v>22075</v>
      </c>
      <c r="I17238">
        <v>19615</v>
      </c>
      <c r="J17238" t="str">
        <f>VLOOKUP(E17238,DSSpieler!A:B,2,FALSE)</f>
        <v>moewiede</v>
      </c>
    </row>
    <row r="17239" spans="1:10" x14ac:dyDescent="0.25">
      <c r="A17239">
        <v>19616</v>
      </c>
      <c r="B17239" t="s">
        <v>35695</v>
      </c>
      <c r="C17239">
        <v>597</v>
      </c>
      <c r="D17239">
        <v>580</v>
      </c>
      <c r="E17239">
        <v>7879631</v>
      </c>
      <c r="F17239">
        <v>633</v>
      </c>
      <c r="G17239">
        <v>0</v>
      </c>
      <c r="H17239" t="s">
        <v>22076</v>
      </c>
      <c r="I17239">
        <v>19616</v>
      </c>
      <c r="J17239" t="str">
        <f>VLOOKUP(E17239,DSSpieler!A:B,2,FALSE)</f>
        <v>gjk1</v>
      </c>
    </row>
    <row r="17240" spans="1:10" x14ac:dyDescent="0.25">
      <c r="A17240">
        <v>19617</v>
      </c>
      <c r="B17240" t="s">
        <v>3733</v>
      </c>
      <c r="C17240">
        <v>382</v>
      </c>
      <c r="D17240">
        <v>438</v>
      </c>
      <c r="E17240">
        <v>1577207649</v>
      </c>
      <c r="F17240">
        <v>46</v>
      </c>
      <c r="G17240">
        <v>0</v>
      </c>
      <c r="H17240" t="s">
        <v>22077</v>
      </c>
      <c r="I17240">
        <v>19617</v>
      </c>
      <c r="J17240" t="str">
        <f>VLOOKUP(E17240,DSSpieler!A:B,2,FALSE)</f>
        <v>Lord WhiteFlag</v>
      </c>
    </row>
    <row r="17241" spans="1:10" x14ac:dyDescent="0.25">
      <c r="A17241">
        <v>19619</v>
      </c>
      <c r="B17241" t="s">
        <v>3734</v>
      </c>
      <c r="C17241">
        <v>634</v>
      </c>
      <c r="D17241">
        <v>519</v>
      </c>
      <c r="E17241">
        <v>1577204436</v>
      </c>
      <c r="F17241">
        <v>830</v>
      </c>
      <c r="G17241">
        <v>0</v>
      </c>
      <c r="H17241" t="s">
        <v>22078</v>
      </c>
      <c r="I17241">
        <v>19619</v>
      </c>
      <c r="J17241" t="str">
        <f>VLOOKUP(E17241,DSSpieler!A:B,2,FALSE)</f>
        <v>josho42</v>
      </c>
    </row>
    <row r="17242" spans="1:10" x14ac:dyDescent="0.25">
      <c r="A17242">
        <v>19620</v>
      </c>
      <c r="B17242" t="s">
        <v>3735</v>
      </c>
      <c r="C17242">
        <v>624</v>
      </c>
      <c r="D17242">
        <v>544</v>
      </c>
      <c r="E17242">
        <v>1577105923</v>
      </c>
      <c r="F17242">
        <v>817</v>
      </c>
      <c r="G17242">
        <v>0</v>
      </c>
      <c r="H17242" t="s">
        <v>22079</v>
      </c>
      <c r="I17242">
        <v>19620</v>
      </c>
      <c r="J17242" t="str">
        <f>VLOOKUP(E17242,DSSpieler!A:B,2,FALSE)</f>
        <v>Darthkitter</v>
      </c>
    </row>
    <row r="17243" spans="1:10" x14ac:dyDescent="0.25">
      <c r="A17243">
        <v>19621</v>
      </c>
      <c r="B17243" t="s">
        <v>3736</v>
      </c>
      <c r="C17243">
        <v>559</v>
      </c>
      <c r="D17243">
        <v>622</v>
      </c>
      <c r="E17243">
        <v>1576924132</v>
      </c>
      <c r="F17243">
        <v>1130</v>
      </c>
      <c r="G17243">
        <v>0</v>
      </c>
      <c r="H17243" t="s">
        <v>22080</v>
      </c>
      <c r="I17243">
        <v>19621</v>
      </c>
      <c r="J17243" t="str">
        <f>VLOOKUP(E17243,DSSpieler!A:B,2,FALSE)</f>
        <v>Mr Quack</v>
      </c>
    </row>
    <row r="17244" spans="1:10" x14ac:dyDescent="0.25">
      <c r="A17244">
        <v>19622</v>
      </c>
      <c r="B17244" t="s">
        <v>3737</v>
      </c>
      <c r="C17244">
        <v>628</v>
      </c>
      <c r="D17244">
        <v>529</v>
      </c>
      <c r="E17244">
        <v>10204393</v>
      </c>
      <c r="F17244">
        <v>782</v>
      </c>
      <c r="G17244">
        <v>0</v>
      </c>
      <c r="H17244" t="s">
        <v>22081</v>
      </c>
      <c r="I17244">
        <v>19622</v>
      </c>
      <c r="J17244" t="str">
        <f>VLOOKUP(E17244,DSSpieler!A:B,2,FALSE)</f>
        <v>Vogtländer1</v>
      </c>
    </row>
    <row r="17245" spans="1:10" x14ac:dyDescent="0.25">
      <c r="A17245">
        <v>19623</v>
      </c>
      <c r="B17245" t="s">
        <v>3738</v>
      </c>
      <c r="C17245">
        <v>392</v>
      </c>
      <c r="D17245">
        <v>576</v>
      </c>
      <c r="E17245">
        <v>1576727150</v>
      </c>
      <c r="F17245">
        <v>899</v>
      </c>
      <c r="G17245">
        <v>0</v>
      </c>
      <c r="H17245" t="s">
        <v>22082</v>
      </c>
      <c r="I17245">
        <v>19623</v>
      </c>
      <c r="J17245" t="str">
        <f>VLOOKUP(E17245,DSSpieler!A:B,2,FALSE)</f>
        <v>Ragini66</v>
      </c>
    </row>
    <row r="17246" spans="1:10" x14ac:dyDescent="0.25">
      <c r="A17246">
        <v>19624</v>
      </c>
      <c r="B17246" t="s">
        <v>3739</v>
      </c>
      <c r="C17246">
        <v>480</v>
      </c>
      <c r="D17246">
        <v>367</v>
      </c>
      <c r="E17246">
        <v>1577206438</v>
      </c>
      <c r="F17246">
        <v>707</v>
      </c>
      <c r="G17246">
        <v>0</v>
      </c>
      <c r="H17246" t="s">
        <v>22083</v>
      </c>
      <c r="I17246">
        <v>19624</v>
      </c>
      <c r="J17246" t="str">
        <f>VLOOKUP(E17246,DSSpieler!A:B,2,FALSE)</f>
        <v>GladiatorJo</v>
      </c>
    </row>
    <row r="17247" spans="1:10" x14ac:dyDescent="0.25">
      <c r="A17247">
        <v>19625</v>
      </c>
      <c r="B17247" t="s">
        <v>3740</v>
      </c>
      <c r="C17247">
        <v>474</v>
      </c>
      <c r="D17247">
        <v>366</v>
      </c>
      <c r="E17247">
        <v>1577006755</v>
      </c>
      <c r="F17247">
        <v>784</v>
      </c>
      <c r="G17247">
        <v>0</v>
      </c>
      <c r="H17247" t="s">
        <v>22084</v>
      </c>
      <c r="I17247">
        <v>19625</v>
      </c>
      <c r="J17247" t="str">
        <f>VLOOKUP(E17247,DSSpieler!A:B,2,FALSE)</f>
        <v>Fliegende Holländer X</v>
      </c>
    </row>
    <row r="17248" spans="1:10" x14ac:dyDescent="0.25">
      <c r="A17248">
        <v>19626</v>
      </c>
      <c r="B17248" t="s">
        <v>3741</v>
      </c>
      <c r="C17248">
        <v>485</v>
      </c>
      <c r="D17248">
        <v>403</v>
      </c>
      <c r="E17248">
        <v>1577047107</v>
      </c>
      <c r="F17248">
        <v>380</v>
      </c>
      <c r="G17248">
        <v>0</v>
      </c>
      <c r="H17248" t="s">
        <v>22085</v>
      </c>
      <c r="I17248">
        <v>19626</v>
      </c>
      <c r="J17248" t="str">
        <f>VLOOKUP(E17248,DSSpieler!A:B,2,FALSE)</f>
        <v>heidrun00</v>
      </c>
    </row>
    <row r="17249" spans="1:10" x14ac:dyDescent="0.25">
      <c r="A17249">
        <v>19629</v>
      </c>
      <c r="B17249" t="s">
        <v>531</v>
      </c>
      <c r="C17249">
        <v>532</v>
      </c>
      <c r="D17249">
        <v>627</v>
      </c>
      <c r="E17249">
        <v>0</v>
      </c>
      <c r="F17249">
        <v>86</v>
      </c>
      <c r="G17249">
        <v>0</v>
      </c>
      <c r="H17249" t="s">
        <v>22086</v>
      </c>
      <c r="I17249">
        <v>19629</v>
      </c>
      <c r="J17249" t="e">
        <f>VLOOKUP(E17249,DSSpieler!A:B,2,FALSE)</f>
        <v>#N/A</v>
      </c>
    </row>
    <row r="17250" spans="1:10" x14ac:dyDescent="0.25">
      <c r="A17250">
        <v>19631</v>
      </c>
      <c r="B17250" t="s">
        <v>3742</v>
      </c>
      <c r="C17250">
        <v>456</v>
      </c>
      <c r="D17250">
        <v>622</v>
      </c>
      <c r="E17250">
        <v>1577207685</v>
      </c>
      <c r="F17250">
        <v>188</v>
      </c>
      <c r="G17250">
        <v>0</v>
      </c>
      <c r="H17250" t="s">
        <v>22087</v>
      </c>
      <c r="I17250">
        <v>19631</v>
      </c>
      <c r="J17250" t="str">
        <f>VLOOKUP(E17250,DSSpieler!A:B,2,FALSE)</f>
        <v>brwstoffi</v>
      </c>
    </row>
    <row r="17251" spans="1:10" x14ac:dyDescent="0.25">
      <c r="A17251">
        <v>19632</v>
      </c>
      <c r="B17251" t="s">
        <v>3743</v>
      </c>
      <c r="C17251">
        <v>591</v>
      </c>
      <c r="D17251">
        <v>401</v>
      </c>
      <c r="E17251">
        <v>1577207686</v>
      </c>
      <c r="F17251">
        <v>351</v>
      </c>
      <c r="G17251">
        <v>0</v>
      </c>
      <c r="H17251" t="s">
        <v>22088</v>
      </c>
      <c r="I17251">
        <v>19632</v>
      </c>
      <c r="J17251" t="str">
        <f>VLOOKUP(E17251,DSSpieler!A:B,2,FALSE)</f>
        <v>TetRis</v>
      </c>
    </row>
    <row r="17252" spans="1:10" x14ac:dyDescent="0.25">
      <c r="A17252">
        <v>19633</v>
      </c>
      <c r="B17252" t="s">
        <v>3744</v>
      </c>
      <c r="C17252">
        <v>611</v>
      </c>
      <c r="D17252">
        <v>574</v>
      </c>
      <c r="E17252">
        <v>1577185961</v>
      </c>
      <c r="F17252">
        <v>251</v>
      </c>
      <c r="G17252">
        <v>0</v>
      </c>
      <c r="H17252" t="s">
        <v>22089</v>
      </c>
      <c r="I17252">
        <v>19633</v>
      </c>
      <c r="J17252" t="str">
        <f>VLOOKUP(E17252,DSSpieler!A:B,2,FALSE)</f>
        <v>Kreuzer</v>
      </c>
    </row>
    <row r="17253" spans="1:10" x14ac:dyDescent="0.25">
      <c r="A17253">
        <v>19634</v>
      </c>
      <c r="B17253" t="s">
        <v>3745</v>
      </c>
      <c r="C17253">
        <v>616</v>
      </c>
      <c r="D17253">
        <v>466</v>
      </c>
      <c r="E17253">
        <v>1577201961</v>
      </c>
      <c r="F17253">
        <v>136</v>
      </c>
      <c r="G17253">
        <v>0</v>
      </c>
      <c r="H17253" t="s">
        <v>22090</v>
      </c>
      <c r="I17253">
        <v>19634</v>
      </c>
      <c r="J17253" t="str">
        <f>VLOOKUP(E17253,DSSpieler!A:B,2,FALSE)</f>
        <v>notyourname</v>
      </c>
    </row>
    <row r="17254" spans="1:10" x14ac:dyDescent="0.25">
      <c r="A17254">
        <v>19635</v>
      </c>
      <c r="B17254" t="s">
        <v>3746</v>
      </c>
      <c r="C17254">
        <v>370</v>
      </c>
      <c r="D17254">
        <v>469</v>
      </c>
      <c r="E17254">
        <v>1576998581</v>
      </c>
      <c r="F17254">
        <v>26</v>
      </c>
      <c r="G17254">
        <v>0</v>
      </c>
      <c r="H17254" t="s">
        <v>22091</v>
      </c>
      <c r="I17254">
        <v>19635</v>
      </c>
      <c r="J17254" t="str">
        <f>VLOOKUP(E17254,DSSpieler!A:B,2,FALSE)</f>
        <v>Netflix</v>
      </c>
    </row>
    <row r="17255" spans="1:10" x14ac:dyDescent="0.25">
      <c r="A17255">
        <v>19636</v>
      </c>
      <c r="B17255" t="s">
        <v>35696</v>
      </c>
      <c r="C17255">
        <v>571</v>
      </c>
      <c r="D17255">
        <v>387</v>
      </c>
      <c r="E17255">
        <v>1577207688</v>
      </c>
      <c r="F17255">
        <v>26</v>
      </c>
      <c r="G17255">
        <v>0</v>
      </c>
      <c r="H17255" t="s">
        <v>22092</v>
      </c>
      <c r="I17255">
        <v>19636</v>
      </c>
      <c r="J17255" t="str">
        <f>VLOOKUP(E17255,DSSpieler!A:B,2,FALSE)</f>
        <v>Königin Bobby</v>
      </c>
    </row>
    <row r="17256" spans="1:10" x14ac:dyDescent="0.25">
      <c r="A17256">
        <v>19637</v>
      </c>
      <c r="B17256" t="s">
        <v>3747</v>
      </c>
      <c r="C17256">
        <v>551</v>
      </c>
      <c r="D17256">
        <v>624</v>
      </c>
      <c r="E17256">
        <v>7836798</v>
      </c>
      <c r="F17256">
        <v>26</v>
      </c>
      <c r="G17256">
        <v>0</v>
      </c>
      <c r="H17256" t="s">
        <v>22093</v>
      </c>
      <c r="I17256">
        <v>19637</v>
      </c>
      <c r="J17256" t="str">
        <f>VLOOKUP(E17256,DSSpieler!A:B,2,FALSE)</f>
        <v>saperlott</v>
      </c>
    </row>
    <row r="17257" spans="1:10" x14ac:dyDescent="0.25">
      <c r="A17257">
        <v>19639</v>
      </c>
      <c r="B17257" t="s">
        <v>3748</v>
      </c>
      <c r="C17257">
        <v>505</v>
      </c>
      <c r="D17257">
        <v>633</v>
      </c>
      <c r="E17257">
        <v>1576804847</v>
      </c>
      <c r="F17257">
        <v>26</v>
      </c>
      <c r="G17257">
        <v>0</v>
      </c>
      <c r="H17257" t="s">
        <v>22094</v>
      </c>
      <c r="I17257">
        <v>19639</v>
      </c>
      <c r="J17257" t="str">
        <f>VLOOKUP(E17257,DSSpieler!A:B,2,FALSE)</f>
        <v>DDD0PE</v>
      </c>
    </row>
    <row r="17258" spans="1:10" x14ac:dyDescent="0.25">
      <c r="A17258">
        <v>19640</v>
      </c>
      <c r="B17258" t="s">
        <v>3749</v>
      </c>
      <c r="C17258">
        <v>387</v>
      </c>
      <c r="D17258">
        <v>569</v>
      </c>
      <c r="E17258">
        <v>1577207689</v>
      </c>
      <c r="F17258">
        <v>1266</v>
      </c>
      <c r="G17258">
        <v>0</v>
      </c>
      <c r="H17258" t="s">
        <v>22095</v>
      </c>
      <c r="I17258">
        <v>19640</v>
      </c>
      <c r="J17258" t="str">
        <f>VLOOKUP(E17258,DSSpieler!A:B,2,FALSE)</f>
        <v>SeamusHarper</v>
      </c>
    </row>
    <row r="17259" spans="1:10" x14ac:dyDescent="0.25">
      <c r="A17259">
        <v>19641</v>
      </c>
      <c r="B17259" t="s">
        <v>3750</v>
      </c>
      <c r="C17259">
        <v>539</v>
      </c>
      <c r="D17259">
        <v>383</v>
      </c>
      <c r="E17259">
        <v>1576696241</v>
      </c>
      <c r="F17259">
        <v>1602</v>
      </c>
      <c r="G17259">
        <v>0</v>
      </c>
      <c r="H17259" t="s">
        <v>22096</v>
      </c>
      <c r="I17259">
        <v>19641</v>
      </c>
      <c r="J17259" t="str">
        <f>VLOOKUP(E17259,DSSpieler!A:B,2,FALSE)</f>
        <v>MrSpeedyGonzales</v>
      </c>
    </row>
    <row r="17260" spans="1:10" x14ac:dyDescent="0.25">
      <c r="A17260">
        <v>19643</v>
      </c>
      <c r="B17260" t="s">
        <v>3751</v>
      </c>
      <c r="C17260">
        <v>626</v>
      </c>
      <c r="D17260">
        <v>473</v>
      </c>
      <c r="E17260">
        <v>9448125</v>
      </c>
      <c r="F17260">
        <v>26</v>
      </c>
      <c r="G17260">
        <v>0</v>
      </c>
      <c r="H17260" t="s">
        <v>22097</v>
      </c>
      <c r="I17260">
        <v>19643</v>
      </c>
      <c r="J17260" t="str">
        <f>VLOOKUP(E17260,DSSpieler!A:B,2,FALSE)</f>
        <v>DamaniDada</v>
      </c>
    </row>
    <row r="17261" spans="1:10" x14ac:dyDescent="0.25">
      <c r="A17261">
        <v>19644</v>
      </c>
      <c r="B17261" t="s">
        <v>3752</v>
      </c>
      <c r="C17261">
        <v>391</v>
      </c>
      <c r="D17261">
        <v>571</v>
      </c>
      <c r="E17261">
        <v>1577180426</v>
      </c>
      <c r="F17261">
        <v>791</v>
      </c>
      <c r="G17261">
        <v>0</v>
      </c>
      <c r="H17261" t="s">
        <v>22098</v>
      </c>
      <c r="I17261">
        <v>19644</v>
      </c>
      <c r="J17261" t="str">
        <f>VLOOKUP(E17261,DSSpieler!A:B,2,FALSE)</f>
        <v>iNooBik</v>
      </c>
    </row>
    <row r="17262" spans="1:10" x14ac:dyDescent="0.25">
      <c r="A17262">
        <v>19645</v>
      </c>
      <c r="B17262" t="s">
        <v>3753</v>
      </c>
      <c r="C17262">
        <v>444</v>
      </c>
      <c r="D17262">
        <v>504</v>
      </c>
      <c r="E17262">
        <v>1577044588</v>
      </c>
      <c r="F17262">
        <v>581</v>
      </c>
      <c r="G17262">
        <v>0</v>
      </c>
      <c r="H17262" t="s">
        <v>22099</v>
      </c>
      <c r="I17262">
        <v>19645</v>
      </c>
      <c r="J17262" t="str">
        <f>VLOOKUP(E17262,DSSpieler!A:B,2,FALSE)</f>
        <v>HarryMK7</v>
      </c>
    </row>
    <row r="17263" spans="1:10" x14ac:dyDescent="0.25">
      <c r="A17263">
        <v>19646</v>
      </c>
      <c r="B17263" t="s">
        <v>3754</v>
      </c>
      <c r="C17263">
        <v>486</v>
      </c>
      <c r="D17263">
        <v>526</v>
      </c>
      <c r="E17263">
        <v>1576966909</v>
      </c>
      <c r="F17263">
        <v>80</v>
      </c>
      <c r="G17263">
        <v>0</v>
      </c>
      <c r="H17263" t="s">
        <v>22100</v>
      </c>
      <c r="I17263">
        <v>19646</v>
      </c>
      <c r="J17263" t="str">
        <f>VLOOKUP(E17263,DSSpieler!A:B,2,FALSE)</f>
        <v>Lord xXP4n3mst4rXx</v>
      </c>
    </row>
    <row r="17264" spans="1:10" x14ac:dyDescent="0.25">
      <c r="A17264">
        <v>19647</v>
      </c>
      <c r="B17264" t="s">
        <v>3755</v>
      </c>
      <c r="C17264">
        <v>581</v>
      </c>
      <c r="D17264">
        <v>608</v>
      </c>
      <c r="E17264">
        <v>9473982</v>
      </c>
      <c r="F17264">
        <v>62</v>
      </c>
      <c r="G17264">
        <v>0</v>
      </c>
      <c r="H17264" t="s">
        <v>22101</v>
      </c>
      <c r="I17264">
        <v>19647</v>
      </c>
      <c r="J17264" t="str">
        <f>VLOOKUP(E17264,DSSpieler!A:B,2,FALSE)</f>
        <v>.Ph4nt0m.</v>
      </c>
    </row>
    <row r="17265" spans="1:10" x14ac:dyDescent="0.25">
      <c r="A17265">
        <v>19648</v>
      </c>
      <c r="B17265" t="s">
        <v>531</v>
      </c>
      <c r="C17265">
        <v>473</v>
      </c>
      <c r="D17265">
        <v>370</v>
      </c>
      <c r="E17265">
        <v>0</v>
      </c>
      <c r="F17265">
        <v>99</v>
      </c>
      <c r="G17265">
        <v>0</v>
      </c>
      <c r="H17265" t="s">
        <v>22102</v>
      </c>
      <c r="I17265">
        <v>19648</v>
      </c>
      <c r="J17265" t="e">
        <f>VLOOKUP(E17265,DSSpieler!A:B,2,FALSE)</f>
        <v>#N/A</v>
      </c>
    </row>
    <row r="17266" spans="1:10" x14ac:dyDescent="0.25">
      <c r="A17266">
        <v>19649</v>
      </c>
      <c r="B17266" t="s">
        <v>35697</v>
      </c>
      <c r="C17266">
        <v>416</v>
      </c>
      <c r="D17266">
        <v>396</v>
      </c>
      <c r="E17266">
        <v>1422098</v>
      </c>
      <c r="F17266">
        <v>423</v>
      </c>
      <c r="G17266">
        <v>0</v>
      </c>
      <c r="H17266" t="s">
        <v>22103</v>
      </c>
      <c r="I17266">
        <v>19649</v>
      </c>
      <c r="J17266" t="str">
        <f>VLOOKUP(E17266,DSSpieler!A:B,2,FALSE)</f>
        <v>Großtempler</v>
      </c>
    </row>
    <row r="17267" spans="1:10" x14ac:dyDescent="0.25">
      <c r="A17267">
        <v>19650</v>
      </c>
      <c r="B17267" t="s">
        <v>2402</v>
      </c>
      <c r="C17267">
        <v>404</v>
      </c>
      <c r="D17267">
        <v>592</v>
      </c>
      <c r="E17267">
        <v>2078242</v>
      </c>
      <c r="F17267">
        <v>274</v>
      </c>
      <c r="G17267">
        <v>0</v>
      </c>
      <c r="H17267" t="s">
        <v>22104</v>
      </c>
      <c r="I17267">
        <v>19650</v>
      </c>
      <c r="J17267" t="str">
        <f>VLOOKUP(E17267,DSSpieler!A:B,2,FALSE)</f>
        <v>Flo Hoege</v>
      </c>
    </row>
    <row r="17268" spans="1:10" x14ac:dyDescent="0.25">
      <c r="A17268">
        <v>19652</v>
      </c>
      <c r="B17268" t="s">
        <v>3756</v>
      </c>
      <c r="C17268">
        <v>483</v>
      </c>
      <c r="D17268">
        <v>382</v>
      </c>
      <c r="E17268">
        <v>1577201794</v>
      </c>
      <c r="F17268">
        <v>955</v>
      </c>
      <c r="G17268">
        <v>0</v>
      </c>
      <c r="H17268" t="s">
        <v>22105</v>
      </c>
      <c r="I17268">
        <v>19652</v>
      </c>
      <c r="J17268" t="str">
        <f>VLOOKUP(E17268,DSSpieler!A:B,2,FALSE)</f>
        <v>Sir vom Sieg</v>
      </c>
    </row>
    <row r="17269" spans="1:10" x14ac:dyDescent="0.25">
      <c r="A17269">
        <v>19653</v>
      </c>
      <c r="B17269" t="s">
        <v>3757</v>
      </c>
      <c r="C17269">
        <v>430</v>
      </c>
      <c r="D17269">
        <v>389</v>
      </c>
      <c r="E17269">
        <v>1577207712</v>
      </c>
      <c r="F17269">
        <v>567</v>
      </c>
      <c r="G17269">
        <v>0</v>
      </c>
      <c r="H17269" t="s">
        <v>22106</v>
      </c>
      <c r="I17269">
        <v>19653</v>
      </c>
      <c r="J17269" t="str">
        <f>VLOOKUP(E17269,DSSpieler!A:B,2,FALSE)</f>
        <v>TheMaoam</v>
      </c>
    </row>
    <row r="17270" spans="1:10" x14ac:dyDescent="0.25">
      <c r="A17270">
        <v>19654</v>
      </c>
      <c r="B17270" t="s">
        <v>3758</v>
      </c>
      <c r="C17270">
        <v>402</v>
      </c>
      <c r="D17270">
        <v>408</v>
      </c>
      <c r="E17270">
        <v>9378610</v>
      </c>
      <c r="F17270">
        <v>764</v>
      </c>
      <c r="G17270">
        <v>0</v>
      </c>
      <c r="H17270" t="s">
        <v>22107</v>
      </c>
      <c r="I17270">
        <v>19654</v>
      </c>
      <c r="J17270" t="str">
        <f>VLOOKUP(E17270,DSSpieler!A:B,2,FALSE)</f>
        <v>bene-b</v>
      </c>
    </row>
    <row r="17271" spans="1:10" x14ac:dyDescent="0.25">
      <c r="A17271">
        <v>19655</v>
      </c>
      <c r="B17271" t="s">
        <v>3759</v>
      </c>
      <c r="C17271">
        <v>608</v>
      </c>
      <c r="D17271">
        <v>578</v>
      </c>
      <c r="E17271">
        <v>1679619</v>
      </c>
      <c r="F17271">
        <v>673</v>
      </c>
      <c r="G17271">
        <v>0</v>
      </c>
      <c r="H17271" t="s">
        <v>22108</v>
      </c>
      <c r="I17271">
        <v>19655</v>
      </c>
      <c r="J17271" t="str">
        <f>VLOOKUP(E17271,DSSpieler!A:B,2,FALSE)</f>
        <v>genti45</v>
      </c>
    </row>
    <row r="17272" spans="1:10" x14ac:dyDescent="0.25">
      <c r="A17272">
        <v>19656</v>
      </c>
      <c r="B17272" t="s">
        <v>3760</v>
      </c>
      <c r="C17272">
        <v>558</v>
      </c>
      <c r="D17272">
        <v>616</v>
      </c>
      <c r="E17272">
        <v>1576536449</v>
      </c>
      <c r="F17272">
        <v>67</v>
      </c>
      <c r="G17272">
        <v>0</v>
      </c>
      <c r="H17272" t="s">
        <v>22109</v>
      </c>
      <c r="I17272">
        <v>19656</v>
      </c>
      <c r="J17272" t="str">
        <f>VLOOKUP(E17272,DSSpieler!A:B,2,FALSE)</f>
        <v>concorde112</v>
      </c>
    </row>
    <row r="17273" spans="1:10" x14ac:dyDescent="0.25">
      <c r="A17273">
        <v>19657</v>
      </c>
      <c r="B17273" t="s">
        <v>1723</v>
      </c>
      <c r="C17273">
        <v>624</v>
      </c>
      <c r="D17273">
        <v>460</v>
      </c>
      <c r="E17273">
        <v>2609780</v>
      </c>
      <c r="F17273">
        <v>274</v>
      </c>
      <c r="G17273">
        <v>0</v>
      </c>
      <c r="H17273" t="s">
        <v>22110</v>
      </c>
      <c r="I17273">
        <v>19657</v>
      </c>
      <c r="J17273" t="str">
        <f>VLOOKUP(E17273,DSSpieler!A:B,2,FALSE)</f>
        <v>HeinzOber</v>
      </c>
    </row>
    <row r="17274" spans="1:10" x14ac:dyDescent="0.25">
      <c r="A17274">
        <v>19658</v>
      </c>
      <c r="B17274" t="s">
        <v>3761</v>
      </c>
      <c r="C17274">
        <v>527</v>
      </c>
      <c r="D17274">
        <v>378</v>
      </c>
      <c r="E17274">
        <v>1577176795</v>
      </c>
      <c r="F17274">
        <v>713</v>
      </c>
      <c r="G17274">
        <v>0</v>
      </c>
      <c r="H17274" t="s">
        <v>22111</v>
      </c>
      <c r="I17274">
        <v>19658</v>
      </c>
      <c r="J17274" t="str">
        <f>VLOOKUP(E17274,DSSpieler!A:B,2,FALSE)</f>
        <v>Tinchen285</v>
      </c>
    </row>
    <row r="17275" spans="1:10" x14ac:dyDescent="0.25">
      <c r="A17275">
        <v>19660</v>
      </c>
      <c r="B17275" t="s">
        <v>634</v>
      </c>
      <c r="C17275">
        <v>380</v>
      </c>
      <c r="D17275">
        <v>445</v>
      </c>
      <c r="E17275">
        <v>1577207707</v>
      </c>
      <c r="F17275">
        <v>73</v>
      </c>
      <c r="G17275">
        <v>0</v>
      </c>
      <c r="H17275" t="s">
        <v>22112</v>
      </c>
      <c r="I17275">
        <v>19660</v>
      </c>
      <c r="J17275" t="str">
        <f>VLOOKUP(E17275,DSSpieler!A:B,2,FALSE)</f>
        <v>spartador89</v>
      </c>
    </row>
    <row r="17276" spans="1:10" x14ac:dyDescent="0.25">
      <c r="A17276">
        <v>19661</v>
      </c>
      <c r="B17276" t="s">
        <v>531</v>
      </c>
      <c r="C17276">
        <v>622</v>
      </c>
      <c r="D17276">
        <v>551</v>
      </c>
      <c r="E17276">
        <v>0</v>
      </c>
      <c r="F17276">
        <v>108</v>
      </c>
      <c r="G17276">
        <v>0</v>
      </c>
      <c r="H17276" t="s">
        <v>22113</v>
      </c>
      <c r="I17276">
        <v>19661</v>
      </c>
      <c r="J17276" t="e">
        <f>VLOOKUP(E17276,DSSpieler!A:B,2,FALSE)</f>
        <v>#N/A</v>
      </c>
    </row>
    <row r="17277" spans="1:10" x14ac:dyDescent="0.25">
      <c r="A17277">
        <v>19662</v>
      </c>
      <c r="B17277" t="s">
        <v>3762</v>
      </c>
      <c r="C17277">
        <v>389</v>
      </c>
      <c r="D17277">
        <v>578</v>
      </c>
      <c r="E17277">
        <v>1577207727</v>
      </c>
      <c r="F17277">
        <v>448</v>
      </c>
      <c r="G17277">
        <v>0</v>
      </c>
      <c r="H17277" t="s">
        <v>22114</v>
      </c>
      <c r="I17277">
        <v>19662</v>
      </c>
      <c r="J17277" t="str">
        <f>VLOOKUP(E17277,DSSpieler!A:B,2,FALSE)</f>
        <v>Geige31</v>
      </c>
    </row>
    <row r="17278" spans="1:10" x14ac:dyDescent="0.25">
      <c r="A17278">
        <v>19664</v>
      </c>
      <c r="B17278" t="s">
        <v>1185</v>
      </c>
      <c r="C17278">
        <v>536</v>
      </c>
      <c r="D17278">
        <v>440</v>
      </c>
      <c r="E17278">
        <v>9464323</v>
      </c>
      <c r="F17278">
        <v>668</v>
      </c>
      <c r="G17278">
        <v>0</v>
      </c>
      <c r="H17278" t="s">
        <v>22115</v>
      </c>
      <c r="I17278">
        <v>19664</v>
      </c>
      <c r="J17278" t="str">
        <f>VLOOKUP(E17278,DSSpieler!A:B,2,FALSE)</f>
        <v>BBC-Atze</v>
      </c>
    </row>
    <row r="17279" spans="1:10" x14ac:dyDescent="0.25">
      <c r="A17279">
        <v>19665</v>
      </c>
      <c r="B17279" t="s">
        <v>3763</v>
      </c>
      <c r="C17279">
        <v>632</v>
      </c>
      <c r="D17279">
        <v>472</v>
      </c>
      <c r="E17279">
        <v>1577197523</v>
      </c>
      <c r="F17279">
        <v>26</v>
      </c>
      <c r="G17279">
        <v>0</v>
      </c>
      <c r="H17279" t="s">
        <v>22116</v>
      </c>
      <c r="I17279">
        <v>19665</v>
      </c>
      <c r="J17279" t="str">
        <f>VLOOKUP(E17279,DSSpieler!A:B,2,FALSE)</f>
        <v>igorscene</v>
      </c>
    </row>
    <row r="17280" spans="1:10" x14ac:dyDescent="0.25">
      <c r="A17280">
        <v>19666</v>
      </c>
      <c r="B17280" t="s">
        <v>3764</v>
      </c>
      <c r="C17280">
        <v>583</v>
      </c>
      <c r="D17280">
        <v>603</v>
      </c>
      <c r="E17280">
        <v>1576424364</v>
      </c>
      <c r="F17280">
        <v>203</v>
      </c>
      <c r="G17280">
        <v>0</v>
      </c>
      <c r="H17280" t="s">
        <v>22117</v>
      </c>
      <c r="I17280">
        <v>19666</v>
      </c>
      <c r="J17280" t="str">
        <f>VLOOKUP(E17280,DSSpieler!A:B,2,FALSE)</f>
        <v>Altfried</v>
      </c>
    </row>
    <row r="17281" spans="1:10" x14ac:dyDescent="0.25">
      <c r="A17281">
        <v>19667</v>
      </c>
      <c r="B17281" t="s">
        <v>3765</v>
      </c>
      <c r="C17281">
        <v>398</v>
      </c>
      <c r="D17281">
        <v>580</v>
      </c>
      <c r="E17281">
        <v>1577207730</v>
      </c>
      <c r="F17281">
        <v>433</v>
      </c>
      <c r="G17281">
        <v>0</v>
      </c>
      <c r="H17281" t="s">
        <v>22118</v>
      </c>
      <c r="I17281">
        <v>19667</v>
      </c>
      <c r="J17281" t="str">
        <f>VLOOKUP(E17281,DSSpieler!A:B,2,FALSE)</f>
        <v>Tom273x</v>
      </c>
    </row>
    <row r="17282" spans="1:10" x14ac:dyDescent="0.25">
      <c r="A17282">
        <v>19668</v>
      </c>
      <c r="B17282" t="s">
        <v>3766</v>
      </c>
      <c r="C17282">
        <v>584</v>
      </c>
      <c r="D17282">
        <v>406</v>
      </c>
      <c r="E17282">
        <v>1577198085</v>
      </c>
      <c r="F17282">
        <v>26</v>
      </c>
      <c r="G17282">
        <v>0</v>
      </c>
      <c r="H17282" t="s">
        <v>22119</v>
      </c>
      <c r="I17282">
        <v>19668</v>
      </c>
      <c r="J17282" t="str">
        <f>VLOOKUP(E17282,DSSpieler!A:B,2,FALSE)</f>
        <v>Master Loui</v>
      </c>
    </row>
    <row r="17283" spans="1:10" x14ac:dyDescent="0.25">
      <c r="A17283">
        <v>19669</v>
      </c>
      <c r="B17283" s="111">
        <v>230.01</v>
      </c>
      <c r="C17283">
        <v>418</v>
      </c>
      <c r="D17283">
        <v>390</v>
      </c>
      <c r="E17283">
        <v>1576932272</v>
      </c>
      <c r="F17283">
        <v>801</v>
      </c>
      <c r="G17283">
        <v>0</v>
      </c>
      <c r="H17283" t="s">
        <v>22120</v>
      </c>
      <c r="I17283">
        <v>19669</v>
      </c>
      <c r="J17283" t="str">
        <f>VLOOKUP(E17283,DSSpieler!A:B,2,FALSE)</f>
        <v>King Overdrive</v>
      </c>
    </row>
    <row r="17284" spans="1:10" x14ac:dyDescent="0.25">
      <c r="A17284">
        <v>19670</v>
      </c>
      <c r="B17284" t="s">
        <v>3767</v>
      </c>
      <c r="C17284">
        <v>474</v>
      </c>
      <c r="D17284">
        <v>485</v>
      </c>
      <c r="E17284">
        <v>1576640514</v>
      </c>
      <c r="F17284">
        <v>1011</v>
      </c>
      <c r="G17284">
        <v>0</v>
      </c>
      <c r="H17284" t="s">
        <v>22121</v>
      </c>
      <c r="I17284">
        <v>19670</v>
      </c>
      <c r="J17284" t="str">
        <f>VLOOKUP(E17284,DSSpieler!A:B,2,FALSE)</f>
        <v>Askir</v>
      </c>
    </row>
    <row r="17285" spans="1:10" x14ac:dyDescent="0.25">
      <c r="A17285">
        <v>19671</v>
      </c>
      <c r="B17285" t="s">
        <v>3768</v>
      </c>
      <c r="C17285">
        <v>441</v>
      </c>
      <c r="D17285">
        <v>385</v>
      </c>
      <c r="E17285">
        <v>9982426</v>
      </c>
      <c r="F17285">
        <v>704</v>
      </c>
      <c r="G17285">
        <v>0</v>
      </c>
      <c r="H17285" t="s">
        <v>22122</v>
      </c>
      <c r="I17285">
        <v>19671</v>
      </c>
      <c r="J17285" t="str">
        <f>VLOOKUP(E17285,DSSpieler!A:B,2,FALSE)</f>
        <v>wombastisch</v>
      </c>
    </row>
    <row r="17286" spans="1:10" x14ac:dyDescent="0.25">
      <c r="A17286">
        <v>19672</v>
      </c>
      <c r="B17286" t="s">
        <v>531</v>
      </c>
      <c r="C17286">
        <v>521</v>
      </c>
      <c r="D17286">
        <v>630</v>
      </c>
      <c r="E17286">
        <v>0</v>
      </c>
      <c r="F17286">
        <v>96</v>
      </c>
      <c r="G17286">
        <v>0</v>
      </c>
      <c r="H17286" t="s">
        <v>22123</v>
      </c>
      <c r="I17286">
        <v>19672</v>
      </c>
      <c r="J17286" t="e">
        <f>VLOOKUP(E17286,DSSpieler!A:B,2,FALSE)</f>
        <v>#N/A</v>
      </c>
    </row>
    <row r="17287" spans="1:10" x14ac:dyDescent="0.25">
      <c r="A17287">
        <v>19673</v>
      </c>
      <c r="B17287" t="s">
        <v>3769</v>
      </c>
      <c r="C17287">
        <v>366</v>
      </c>
      <c r="D17287">
        <v>488</v>
      </c>
      <c r="E17287">
        <v>1577044541</v>
      </c>
      <c r="F17287">
        <v>38</v>
      </c>
      <c r="G17287">
        <v>0</v>
      </c>
      <c r="H17287" t="s">
        <v>22124</v>
      </c>
      <c r="I17287">
        <v>19673</v>
      </c>
      <c r="J17287" t="str">
        <f>VLOOKUP(E17287,DSSpieler!A:B,2,FALSE)</f>
        <v>matti491</v>
      </c>
    </row>
    <row r="17288" spans="1:10" x14ac:dyDescent="0.25">
      <c r="A17288">
        <v>19674</v>
      </c>
      <c r="B17288" t="s">
        <v>3770</v>
      </c>
      <c r="C17288">
        <v>536</v>
      </c>
      <c r="D17288">
        <v>396</v>
      </c>
      <c r="E17288">
        <v>2960864</v>
      </c>
      <c r="F17288">
        <v>355</v>
      </c>
      <c r="G17288">
        <v>0</v>
      </c>
      <c r="H17288" t="s">
        <v>22125</v>
      </c>
      <c r="I17288">
        <v>19674</v>
      </c>
      <c r="J17288" t="str">
        <f>VLOOKUP(E17288,DSSpieler!A:B,2,FALSE)</f>
        <v>MaximusDerGroße</v>
      </c>
    </row>
    <row r="17289" spans="1:10" x14ac:dyDescent="0.25">
      <c r="A17289">
        <v>19675</v>
      </c>
      <c r="B17289" t="s">
        <v>3771</v>
      </c>
      <c r="C17289">
        <v>580</v>
      </c>
      <c r="D17289">
        <v>394</v>
      </c>
      <c r="E17289">
        <v>1577201471</v>
      </c>
      <c r="F17289">
        <v>735</v>
      </c>
      <c r="G17289">
        <v>0</v>
      </c>
      <c r="H17289" t="s">
        <v>22126</v>
      </c>
      <c r="I17289">
        <v>19675</v>
      </c>
      <c r="J17289" t="str">
        <f>VLOOKUP(E17289,DSSpieler!A:B,2,FALSE)</f>
        <v>Gilch</v>
      </c>
    </row>
    <row r="17290" spans="1:10" x14ac:dyDescent="0.25">
      <c r="A17290">
        <v>19676</v>
      </c>
      <c r="B17290" t="s">
        <v>531</v>
      </c>
      <c r="C17290">
        <v>631</v>
      </c>
      <c r="D17290">
        <v>510</v>
      </c>
      <c r="E17290">
        <v>0</v>
      </c>
      <c r="F17290">
        <v>63</v>
      </c>
      <c r="G17290">
        <v>0</v>
      </c>
      <c r="H17290" t="s">
        <v>22127</v>
      </c>
      <c r="I17290">
        <v>19676</v>
      </c>
      <c r="J17290" t="e">
        <f>VLOOKUP(E17290,DSSpieler!A:B,2,FALSE)</f>
        <v>#N/A</v>
      </c>
    </row>
    <row r="17291" spans="1:10" x14ac:dyDescent="0.25">
      <c r="A17291">
        <v>19677</v>
      </c>
      <c r="B17291" t="s">
        <v>3772</v>
      </c>
      <c r="C17291">
        <v>368</v>
      </c>
      <c r="D17291">
        <v>495</v>
      </c>
      <c r="E17291">
        <v>1576826604</v>
      </c>
      <c r="F17291">
        <v>26</v>
      </c>
      <c r="G17291">
        <v>0</v>
      </c>
      <c r="H17291" t="s">
        <v>22128</v>
      </c>
      <c r="I17291">
        <v>19677</v>
      </c>
      <c r="J17291" t="str">
        <f>VLOOKUP(E17291,DSSpieler!A:B,2,FALSE)</f>
        <v>Sephix</v>
      </c>
    </row>
    <row r="17292" spans="1:10" x14ac:dyDescent="0.25">
      <c r="A17292">
        <v>19678</v>
      </c>
      <c r="B17292" t="s">
        <v>3773</v>
      </c>
      <c r="C17292">
        <v>376</v>
      </c>
      <c r="D17292">
        <v>556</v>
      </c>
      <c r="E17292">
        <v>1577207743</v>
      </c>
      <c r="F17292">
        <v>709</v>
      </c>
      <c r="G17292">
        <v>0</v>
      </c>
      <c r="H17292" t="s">
        <v>22129</v>
      </c>
      <c r="I17292">
        <v>19678</v>
      </c>
      <c r="J17292" t="str">
        <f>VLOOKUP(E17292,DSSpieler!A:B,2,FALSE)</f>
        <v>Quarzerback</v>
      </c>
    </row>
    <row r="17293" spans="1:10" x14ac:dyDescent="0.25">
      <c r="A17293">
        <v>19680</v>
      </c>
      <c r="B17293" t="s">
        <v>3774</v>
      </c>
      <c r="C17293">
        <v>377</v>
      </c>
      <c r="D17293">
        <v>542</v>
      </c>
      <c r="E17293">
        <v>1577162623</v>
      </c>
      <c r="F17293">
        <v>26</v>
      </c>
      <c r="G17293">
        <v>0</v>
      </c>
      <c r="H17293" t="s">
        <v>22130</v>
      </c>
      <c r="I17293">
        <v>19680</v>
      </c>
      <c r="J17293" t="str">
        <f>VLOOKUP(E17293,DSSpieler!A:B,2,FALSE)</f>
        <v>Roman77</v>
      </c>
    </row>
    <row r="17294" spans="1:10" x14ac:dyDescent="0.25">
      <c r="A17294">
        <v>19681</v>
      </c>
      <c r="B17294" t="s">
        <v>35698</v>
      </c>
      <c r="C17294">
        <v>634</v>
      </c>
      <c r="D17294">
        <v>501</v>
      </c>
      <c r="E17294">
        <v>1577109173</v>
      </c>
      <c r="F17294">
        <v>1255</v>
      </c>
      <c r="G17294">
        <v>0</v>
      </c>
      <c r="H17294" t="s">
        <v>22131</v>
      </c>
      <c r="I17294">
        <v>19681</v>
      </c>
      <c r="J17294" t="str">
        <f>VLOOKUP(E17294,DSSpieler!A:B,2,FALSE)</f>
        <v>Blüte</v>
      </c>
    </row>
    <row r="17295" spans="1:10" x14ac:dyDescent="0.25">
      <c r="A17295">
        <v>19682</v>
      </c>
      <c r="B17295" t="s">
        <v>35699</v>
      </c>
      <c r="C17295">
        <v>371</v>
      </c>
      <c r="D17295">
        <v>534</v>
      </c>
      <c r="E17295">
        <v>399386</v>
      </c>
      <c r="F17295">
        <v>32</v>
      </c>
      <c r="G17295">
        <v>0</v>
      </c>
      <c r="H17295" t="s">
        <v>22132</v>
      </c>
      <c r="I17295">
        <v>19682</v>
      </c>
      <c r="J17295" t="str">
        <f>VLOOKUP(E17295,DSSpieler!A:B,2,FALSE)</f>
        <v>(paintkiller)</v>
      </c>
    </row>
    <row r="17296" spans="1:10" x14ac:dyDescent="0.25">
      <c r="A17296">
        <v>19683</v>
      </c>
      <c r="B17296" t="s">
        <v>531</v>
      </c>
      <c r="C17296">
        <v>518</v>
      </c>
      <c r="D17296">
        <v>367</v>
      </c>
      <c r="E17296">
        <v>0</v>
      </c>
      <c r="F17296">
        <v>59</v>
      </c>
      <c r="G17296">
        <v>0</v>
      </c>
      <c r="H17296" t="s">
        <v>22133</v>
      </c>
      <c r="I17296">
        <v>19683</v>
      </c>
      <c r="J17296" t="e">
        <f>VLOOKUP(E17296,DSSpieler!A:B,2,FALSE)</f>
        <v>#N/A</v>
      </c>
    </row>
    <row r="17297" spans="1:10" x14ac:dyDescent="0.25">
      <c r="A17297">
        <v>19684</v>
      </c>
      <c r="B17297" t="e">
        <f>0-+Dorfstadt</f>
        <v>#NAME?</v>
      </c>
      <c r="C17297">
        <v>524</v>
      </c>
      <c r="D17297">
        <v>633</v>
      </c>
      <c r="E17297">
        <v>1577197098</v>
      </c>
      <c r="F17297">
        <v>205</v>
      </c>
      <c r="G17297">
        <v>0</v>
      </c>
      <c r="H17297" t="s">
        <v>22134</v>
      </c>
      <c r="I17297">
        <v>19684</v>
      </c>
      <c r="J17297" t="str">
        <f>VLOOKUP(E17297,DSSpieler!A:B,2,FALSE)</f>
        <v>SeltaGlas</v>
      </c>
    </row>
    <row r="17298" spans="1:10" x14ac:dyDescent="0.25">
      <c r="A17298">
        <v>19685</v>
      </c>
      <c r="B17298" t="s">
        <v>3775</v>
      </c>
      <c r="C17298">
        <v>482</v>
      </c>
      <c r="D17298">
        <v>629</v>
      </c>
      <c r="E17298">
        <v>1576998401</v>
      </c>
      <c r="F17298">
        <v>272</v>
      </c>
      <c r="G17298">
        <v>0</v>
      </c>
      <c r="H17298" t="s">
        <v>22135</v>
      </c>
      <c r="I17298">
        <v>19685</v>
      </c>
      <c r="J17298" t="str">
        <f>VLOOKUP(E17298,DSSpieler!A:B,2,FALSE)</f>
        <v>xL schulLe</v>
      </c>
    </row>
    <row r="17299" spans="1:10" x14ac:dyDescent="0.25">
      <c r="A17299">
        <v>19686</v>
      </c>
      <c r="B17299" t="s">
        <v>3776</v>
      </c>
      <c r="C17299">
        <v>449</v>
      </c>
      <c r="D17299">
        <v>625</v>
      </c>
      <c r="E17299">
        <v>1577071801</v>
      </c>
      <c r="F17299">
        <v>26</v>
      </c>
      <c r="G17299">
        <v>0</v>
      </c>
      <c r="H17299" t="s">
        <v>22136</v>
      </c>
      <c r="I17299">
        <v>19686</v>
      </c>
      <c r="J17299" t="str">
        <f>VLOOKUP(E17299,DSSpieler!A:B,2,FALSE)</f>
        <v>Zwingli</v>
      </c>
    </row>
    <row r="17300" spans="1:10" x14ac:dyDescent="0.25">
      <c r="A17300">
        <v>19687</v>
      </c>
      <c r="B17300" t="s">
        <v>3777</v>
      </c>
      <c r="C17300">
        <v>373</v>
      </c>
      <c r="D17300">
        <v>474</v>
      </c>
      <c r="E17300">
        <v>1577199931</v>
      </c>
      <c r="F17300">
        <v>26</v>
      </c>
      <c r="G17300">
        <v>0</v>
      </c>
      <c r="H17300" t="s">
        <v>22137</v>
      </c>
      <c r="I17300">
        <v>19687</v>
      </c>
      <c r="J17300" t="str">
        <f>VLOOKUP(E17300,DSSpieler!A:B,2,FALSE)</f>
        <v>KanSpor</v>
      </c>
    </row>
    <row r="17301" spans="1:10" x14ac:dyDescent="0.25">
      <c r="A17301">
        <v>19688</v>
      </c>
      <c r="B17301" t="s">
        <v>3778</v>
      </c>
      <c r="C17301">
        <v>631</v>
      </c>
      <c r="D17301">
        <v>471</v>
      </c>
      <c r="E17301">
        <v>1577185420</v>
      </c>
      <c r="F17301">
        <v>617</v>
      </c>
      <c r="G17301">
        <v>0</v>
      </c>
      <c r="H17301" t="s">
        <v>22138</v>
      </c>
      <c r="I17301">
        <v>19688</v>
      </c>
      <c r="J17301" t="str">
        <f>VLOOKUP(E17301,DSSpieler!A:B,2,FALSE)</f>
        <v>Schulze91</v>
      </c>
    </row>
    <row r="17302" spans="1:10" x14ac:dyDescent="0.25">
      <c r="A17302">
        <v>19690</v>
      </c>
      <c r="B17302" t="s">
        <v>3779</v>
      </c>
      <c r="C17302">
        <v>368</v>
      </c>
      <c r="D17302">
        <v>511</v>
      </c>
      <c r="E17302">
        <v>9906812</v>
      </c>
      <c r="F17302">
        <v>507</v>
      </c>
      <c r="G17302">
        <v>0</v>
      </c>
      <c r="H17302" t="s">
        <v>22139</v>
      </c>
      <c r="I17302">
        <v>19690</v>
      </c>
      <c r="J17302" t="str">
        <f>VLOOKUP(E17302,DSSpieler!A:B,2,FALSE)</f>
        <v>wasenkarle</v>
      </c>
    </row>
    <row r="17303" spans="1:10" x14ac:dyDescent="0.25">
      <c r="A17303">
        <v>19693</v>
      </c>
      <c r="B17303" t="s">
        <v>3780</v>
      </c>
      <c r="C17303">
        <v>577</v>
      </c>
      <c r="D17303">
        <v>385</v>
      </c>
      <c r="E17303">
        <v>1577199426</v>
      </c>
      <c r="F17303">
        <v>725</v>
      </c>
      <c r="G17303">
        <v>0</v>
      </c>
      <c r="H17303" t="s">
        <v>22140</v>
      </c>
      <c r="I17303">
        <v>19693</v>
      </c>
      <c r="J17303" t="str">
        <f>VLOOKUP(E17303,DSSpieler!A:B,2,FALSE)</f>
        <v>Terrorsatan</v>
      </c>
    </row>
    <row r="17304" spans="1:10" x14ac:dyDescent="0.25">
      <c r="A17304">
        <v>19694</v>
      </c>
      <c r="B17304" t="s">
        <v>3781</v>
      </c>
      <c r="C17304">
        <v>434</v>
      </c>
      <c r="D17304">
        <v>385</v>
      </c>
      <c r="E17304">
        <v>1577000641</v>
      </c>
      <c r="F17304">
        <v>263</v>
      </c>
      <c r="G17304">
        <v>0</v>
      </c>
      <c r="H17304" t="s">
        <v>22141</v>
      </c>
      <c r="I17304">
        <v>19694</v>
      </c>
      <c r="J17304" t="str">
        <f>VLOOKUP(E17304,DSSpieler!A:B,2,FALSE)</f>
        <v>Rodebert</v>
      </c>
    </row>
    <row r="17305" spans="1:10" x14ac:dyDescent="0.25">
      <c r="A17305">
        <v>19695</v>
      </c>
      <c r="B17305" t="s">
        <v>35700</v>
      </c>
      <c r="C17305">
        <v>574</v>
      </c>
      <c r="D17305">
        <v>383</v>
      </c>
      <c r="E17305">
        <v>10198579</v>
      </c>
      <c r="F17305">
        <v>742</v>
      </c>
      <c r="G17305">
        <v>0</v>
      </c>
      <c r="H17305" t="s">
        <v>22142</v>
      </c>
      <c r="I17305">
        <v>19695</v>
      </c>
      <c r="J17305" t="str">
        <f>VLOOKUP(E17305,DSSpieler!A:B,2,FALSE)</f>
        <v>Playsocke</v>
      </c>
    </row>
    <row r="17306" spans="1:10" x14ac:dyDescent="0.25">
      <c r="A17306">
        <v>19696</v>
      </c>
      <c r="B17306" t="s">
        <v>3782</v>
      </c>
      <c r="C17306">
        <v>548</v>
      </c>
      <c r="D17306">
        <v>624</v>
      </c>
      <c r="E17306">
        <v>1577183664</v>
      </c>
      <c r="F17306">
        <v>26</v>
      </c>
      <c r="G17306">
        <v>0</v>
      </c>
      <c r="H17306" t="s">
        <v>22143</v>
      </c>
      <c r="I17306">
        <v>19696</v>
      </c>
      <c r="J17306" t="str">
        <f>VLOOKUP(E17306,DSSpieler!A:B,2,FALSE)</f>
        <v>El Neesos</v>
      </c>
    </row>
    <row r="17307" spans="1:10" x14ac:dyDescent="0.25">
      <c r="A17307">
        <v>19697</v>
      </c>
      <c r="B17307" t="s">
        <v>3783</v>
      </c>
      <c r="C17307">
        <v>601</v>
      </c>
      <c r="D17307">
        <v>588</v>
      </c>
      <c r="E17307">
        <v>1577204129</v>
      </c>
      <c r="F17307">
        <v>52</v>
      </c>
      <c r="G17307">
        <v>0</v>
      </c>
      <c r="H17307" t="s">
        <v>22144</v>
      </c>
      <c r="I17307">
        <v>19697</v>
      </c>
      <c r="J17307" t="str">
        <f>VLOOKUP(E17307,DSSpieler!A:B,2,FALSE)</f>
        <v>weisihodanklan</v>
      </c>
    </row>
    <row r="17308" spans="1:10" x14ac:dyDescent="0.25">
      <c r="A17308">
        <v>19698</v>
      </c>
      <c r="B17308" t="s">
        <v>531</v>
      </c>
      <c r="C17308">
        <v>632</v>
      </c>
      <c r="D17308">
        <v>529</v>
      </c>
      <c r="E17308">
        <v>0</v>
      </c>
      <c r="F17308">
        <v>107</v>
      </c>
      <c r="G17308">
        <v>0</v>
      </c>
      <c r="H17308" t="s">
        <v>22145</v>
      </c>
      <c r="I17308">
        <v>19698</v>
      </c>
      <c r="J17308" t="e">
        <f>VLOOKUP(E17308,DSSpieler!A:B,2,FALSE)</f>
        <v>#N/A</v>
      </c>
    </row>
    <row r="17309" spans="1:10" x14ac:dyDescent="0.25">
      <c r="A17309">
        <v>19699</v>
      </c>
      <c r="B17309">
        <v>1</v>
      </c>
      <c r="C17309">
        <v>442</v>
      </c>
      <c r="D17309">
        <v>383</v>
      </c>
      <c r="E17309">
        <v>1577199416</v>
      </c>
      <c r="F17309">
        <v>487</v>
      </c>
      <c r="G17309">
        <v>0</v>
      </c>
      <c r="H17309" t="s">
        <v>22146</v>
      </c>
      <c r="I17309">
        <v>19699</v>
      </c>
      <c r="J17309" t="str">
        <f>VLOOKUP(E17309,DSSpieler!A:B,2,FALSE)</f>
        <v>fidorocks</v>
      </c>
    </row>
    <row r="17310" spans="1:10" x14ac:dyDescent="0.25">
      <c r="A17310">
        <v>19700</v>
      </c>
      <c r="B17310" t="s">
        <v>3784</v>
      </c>
      <c r="C17310">
        <v>571</v>
      </c>
      <c r="D17310">
        <v>392</v>
      </c>
      <c r="E17310">
        <v>1577202578</v>
      </c>
      <c r="F17310">
        <v>985</v>
      </c>
      <c r="G17310">
        <v>0</v>
      </c>
      <c r="H17310" t="s">
        <v>22147</v>
      </c>
      <c r="I17310">
        <v>19700</v>
      </c>
      <c r="J17310" t="str">
        <f>VLOOKUP(E17310,DSSpieler!A:B,2,FALSE)</f>
        <v>NotAkkarin</v>
      </c>
    </row>
    <row r="17311" spans="1:10" x14ac:dyDescent="0.25">
      <c r="A17311">
        <v>19701</v>
      </c>
      <c r="B17311" t="s">
        <v>531</v>
      </c>
      <c r="C17311">
        <v>627</v>
      </c>
      <c r="D17311">
        <v>532</v>
      </c>
      <c r="E17311">
        <v>0</v>
      </c>
      <c r="F17311">
        <v>110</v>
      </c>
      <c r="G17311">
        <v>0</v>
      </c>
      <c r="H17311" t="s">
        <v>22148</v>
      </c>
      <c r="I17311">
        <v>19701</v>
      </c>
      <c r="J17311" t="e">
        <f>VLOOKUP(E17311,DSSpieler!A:B,2,FALSE)</f>
        <v>#N/A</v>
      </c>
    </row>
    <row r="17312" spans="1:10" x14ac:dyDescent="0.25">
      <c r="A17312">
        <v>19702</v>
      </c>
      <c r="B17312" t="s">
        <v>3785</v>
      </c>
      <c r="C17312">
        <v>582</v>
      </c>
      <c r="D17312">
        <v>392</v>
      </c>
      <c r="E17312">
        <v>1577193136</v>
      </c>
      <c r="F17312">
        <v>26</v>
      </c>
      <c r="G17312">
        <v>0</v>
      </c>
      <c r="H17312" t="s">
        <v>22149</v>
      </c>
      <c r="I17312">
        <v>19702</v>
      </c>
      <c r="J17312" t="str">
        <f>VLOOKUP(E17312,DSSpieler!A:B,2,FALSE)</f>
        <v>NeeseHoe</v>
      </c>
    </row>
    <row r="17313" spans="1:10" x14ac:dyDescent="0.25">
      <c r="A17313">
        <v>19705</v>
      </c>
      <c r="B17313" t="s">
        <v>531</v>
      </c>
      <c r="C17313">
        <v>619</v>
      </c>
      <c r="D17313">
        <v>435</v>
      </c>
      <c r="E17313">
        <v>0</v>
      </c>
      <c r="F17313">
        <v>110</v>
      </c>
      <c r="G17313">
        <v>0</v>
      </c>
      <c r="H17313" t="s">
        <v>22150</v>
      </c>
      <c r="I17313">
        <v>19705</v>
      </c>
      <c r="J17313" t="e">
        <f>VLOOKUP(E17313,DSSpieler!A:B,2,FALSE)</f>
        <v>#N/A</v>
      </c>
    </row>
    <row r="17314" spans="1:10" x14ac:dyDescent="0.25">
      <c r="A17314">
        <v>19706</v>
      </c>
      <c r="B17314" t="s">
        <v>35701</v>
      </c>
      <c r="C17314">
        <v>370</v>
      </c>
      <c r="D17314">
        <v>477</v>
      </c>
      <c r="E17314">
        <v>1577207750</v>
      </c>
      <c r="F17314">
        <v>372</v>
      </c>
      <c r="G17314">
        <v>0</v>
      </c>
      <c r="H17314" t="s">
        <v>22151</v>
      </c>
      <c r="I17314">
        <v>19706</v>
      </c>
      <c r="J17314" t="str">
        <f>VLOOKUP(E17314,DSSpieler!A:B,2,FALSE)</f>
        <v>Fürst Loki</v>
      </c>
    </row>
    <row r="17315" spans="1:10" x14ac:dyDescent="0.25">
      <c r="A17315">
        <v>19707</v>
      </c>
      <c r="B17315" t="s">
        <v>531</v>
      </c>
      <c r="C17315">
        <v>374</v>
      </c>
      <c r="D17315">
        <v>454</v>
      </c>
      <c r="E17315">
        <v>0</v>
      </c>
      <c r="F17315">
        <v>124</v>
      </c>
      <c r="G17315">
        <v>0</v>
      </c>
      <c r="H17315" t="s">
        <v>22152</v>
      </c>
      <c r="I17315">
        <v>19707</v>
      </c>
      <c r="J17315" t="e">
        <f>VLOOKUP(E17315,DSSpieler!A:B,2,FALSE)</f>
        <v>#N/A</v>
      </c>
    </row>
    <row r="17316" spans="1:10" x14ac:dyDescent="0.25">
      <c r="A17316">
        <v>19708</v>
      </c>
      <c r="B17316" t="s">
        <v>3786</v>
      </c>
      <c r="C17316">
        <v>373</v>
      </c>
      <c r="D17316">
        <v>525</v>
      </c>
      <c r="E17316">
        <v>877941</v>
      </c>
      <c r="F17316">
        <v>867</v>
      </c>
      <c r="G17316">
        <v>0</v>
      </c>
      <c r="H17316" t="s">
        <v>22153</v>
      </c>
      <c r="I17316">
        <v>19708</v>
      </c>
      <c r="J17316" t="str">
        <f>VLOOKUP(E17316,DSSpieler!A:B,2,FALSE)</f>
        <v>pumucklhigh</v>
      </c>
    </row>
    <row r="17317" spans="1:10" x14ac:dyDescent="0.25">
      <c r="A17317">
        <v>19709</v>
      </c>
      <c r="B17317" t="s">
        <v>3787</v>
      </c>
      <c r="C17317">
        <v>371</v>
      </c>
      <c r="D17317">
        <v>477</v>
      </c>
      <c r="E17317">
        <v>1577207755</v>
      </c>
      <c r="F17317">
        <v>299</v>
      </c>
      <c r="G17317">
        <v>0</v>
      </c>
      <c r="H17317" t="s">
        <v>22154</v>
      </c>
      <c r="I17317">
        <v>19709</v>
      </c>
      <c r="J17317" t="str">
        <f>VLOOKUP(E17317,DSSpieler!A:B,2,FALSE)</f>
        <v>Sp1k3x2014</v>
      </c>
    </row>
    <row r="17318" spans="1:10" x14ac:dyDescent="0.25">
      <c r="A17318">
        <v>19710</v>
      </c>
      <c r="B17318" t="s">
        <v>3788</v>
      </c>
      <c r="C17318">
        <v>368</v>
      </c>
      <c r="D17318">
        <v>522</v>
      </c>
      <c r="E17318">
        <v>9395558</v>
      </c>
      <c r="F17318">
        <v>966</v>
      </c>
      <c r="G17318">
        <v>0</v>
      </c>
      <c r="H17318" t="s">
        <v>22155</v>
      </c>
      <c r="I17318">
        <v>19710</v>
      </c>
      <c r="J17318" t="str">
        <f>VLOOKUP(E17318,DSSpieler!A:B,2,FALSE)</f>
        <v>GHOST 64</v>
      </c>
    </row>
    <row r="17319" spans="1:10" x14ac:dyDescent="0.25">
      <c r="A17319">
        <v>19712</v>
      </c>
      <c r="B17319" t="s">
        <v>531</v>
      </c>
      <c r="C17319">
        <v>378</v>
      </c>
      <c r="D17319">
        <v>559</v>
      </c>
      <c r="E17319">
        <v>8058372</v>
      </c>
      <c r="F17319">
        <v>348</v>
      </c>
      <c r="G17319">
        <v>0</v>
      </c>
      <c r="H17319" t="s">
        <v>22156</v>
      </c>
      <c r="I17319">
        <v>19712</v>
      </c>
      <c r="J17319" t="str">
        <f>VLOOKUP(E17319,DSSpieler!A:B,2,FALSE)</f>
        <v>Petrosus4</v>
      </c>
    </row>
    <row r="17320" spans="1:10" x14ac:dyDescent="0.25">
      <c r="A17320">
        <v>19713</v>
      </c>
      <c r="B17320" t="s">
        <v>3789</v>
      </c>
      <c r="C17320">
        <v>436</v>
      </c>
      <c r="D17320">
        <v>386</v>
      </c>
      <c r="E17320">
        <v>1577203682</v>
      </c>
      <c r="F17320">
        <v>254</v>
      </c>
      <c r="G17320">
        <v>0</v>
      </c>
      <c r="H17320" t="s">
        <v>22157</v>
      </c>
      <c r="I17320">
        <v>19713</v>
      </c>
      <c r="J17320" t="str">
        <f>VLOOKUP(E17320,DSSpieler!A:B,2,FALSE)</f>
        <v>puschel</v>
      </c>
    </row>
    <row r="17321" spans="1:10" x14ac:dyDescent="0.25">
      <c r="A17321">
        <v>19714</v>
      </c>
      <c r="B17321" t="s">
        <v>3098</v>
      </c>
      <c r="C17321">
        <v>567</v>
      </c>
      <c r="D17321">
        <v>616</v>
      </c>
      <c r="E17321">
        <v>1577071691</v>
      </c>
      <c r="F17321">
        <v>397</v>
      </c>
      <c r="G17321">
        <v>0</v>
      </c>
      <c r="H17321" t="s">
        <v>22158</v>
      </c>
      <c r="I17321">
        <v>19714</v>
      </c>
      <c r="J17321" t="str">
        <f>VLOOKUP(E17321,DSSpieler!A:B,2,FALSE)</f>
        <v>Rollo</v>
      </c>
    </row>
    <row r="17322" spans="1:10" x14ac:dyDescent="0.25">
      <c r="A17322">
        <v>19715</v>
      </c>
      <c r="B17322" t="s">
        <v>3790</v>
      </c>
      <c r="C17322">
        <v>366</v>
      </c>
      <c r="D17322">
        <v>496</v>
      </c>
      <c r="E17322">
        <v>1576438856</v>
      </c>
      <c r="F17322">
        <v>125</v>
      </c>
      <c r="G17322">
        <v>0</v>
      </c>
      <c r="H17322" t="s">
        <v>22159</v>
      </c>
      <c r="I17322">
        <v>19715</v>
      </c>
      <c r="J17322" t="str">
        <f>VLOOKUP(E17322,DSSpieler!A:B,2,FALSE)</f>
        <v>Lord Mans</v>
      </c>
    </row>
    <row r="17323" spans="1:10" x14ac:dyDescent="0.25">
      <c r="A17323">
        <v>19716</v>
      </c>
      <c r="B17323" t="s">
        <v>3791</v>
      </c>
      <c r="C17323">
        <v>425</v>
      </c>
      <c r="D17323">
        <v>611</v>
      </c>
      <c r="E17323">
        <v>1577037668</v>
      </c>
      <c r="F17323">
        <v>56</v>
      </c>
      <c r="G17323">
        <v>0</v>
      </c>
      <c r="H17323" t="s">
        <v>22160</v>
      </c>
      <c r="I17323">
        <v>19716</v>
      </c>
      <c r="J17323" t="str">
        <f>VLOOKUP(E17323,DSSpieler!A:B,2,FALSE)</f>
        <v>Renten</v>
      </c>
    </row>
    <row r="17324" spans="1:10" x14ac:dyDescent="0.25">
      <c r="A17324">
        <v>19717</v>
      </c>
      <c r="B17324" t="s">
        <v>3792</v>
      </c>
      <c r="C17324">
        <v>588</v>
      </c>
      <c r="D17324">
        <v>400</v>
      </c>
      <c r="E17324">
        <v>1577046653</v>
      </c>
      <c r="F17324">
        <v>795</v>
      </c>
      <c r="G17324">
        <v>0</v>
      </c>
      <c r="H17324" t="s">
        <v>22161</v>
      </c>
      <c r="I17324">
        <v>19717</v>
      </c>
      <c r="J17324" t="str">
        <f>VLOOKUP(E17324,DSSpieler!A:B,2,FALSE)</f>
        <v>Joeys2929</v>
      </c>
    </row>
    <row r="17325" spans="1:10" x14ac:dyDescent="0.25">
      <c r="A17325">
        <v>19718</v>
      </c>
      <c r="B17325" t="s">
        <v>3793</v>
      </c>
      <c r="C17325">
        <v>548</v>
      </c>
      <c r="D17325">
        <v>445</v>
      </c>
      <c r="E17325">
        <v>9928204</v>
      </c>
      <c r="F17325">
        <v>26</v>
      </c>
      <c r="G17325">
        <v>0</v>
      </c>
      <c r="H17325" t="s">
        <v>22162</v>
      </c>
      <c r="I17325">
        <v>19718</v>
      </c>
      <c r="J17325" t="str">
        <f>VLOOKUP(E17325,DSSpieler!A:B,2,FALSE)</f>
        <v>Gott96</v>
      </c>
    </row>
    <row r="17326" spans="1:10" x14ac:dyDescent="0.25">
      <c r="A17326">
        <v>19719</v>
      </c>
      <c r="B17326" t="s">
        <v>3794</v>
      </c>
      <c r="C17326">
        <v>634</v>
      </c>
      <c r="D17326">
        <v>523</v>
      </c>
      <c r="E17326">
        <v>1577203953</v>
      </c>
      <c r="F17326">
        <v>832</v>
      </c>
      <c r="G17326">
        <v>0</v>
      </c>
      <c r="H17326" t="s">
        <v>22163</v>
      </c>
      <c r="I17326">
        <v>19719</v>
      </c>
      <c r="J17326" t="str">
        <f>VLOOKUP(E17326,DSSpieler!A:B,2,FALSE)</f>
        <v>quicknic7</v>
      </c>
    </row>
    <row r="17327" spans="1:10" x14ac:dyDescent="0.25">
      <c r="A17327">
        <v>19720</v>
      </c>
      <c r="B17327" t="s">
        <v>3795</v>
      </c>
      <c r="C17327">
        <v>410</v>
      </c>
      <c r="D17327">
        <v>601</v>
      </c>
      <c r="E17327">
        <v>9085992</v>
      </c>
      <c r="F17327">
        <v>26</v>
      </c>
      <c r="G17327">
        <v>0</v>
      </c>
      <c r="H17327" t="s">
        <v>22164</v>
      </c>
      <c r="I17327">
        <v>19720</v>
      </c>
      <c r="J17327" t="str">
        <f>VLOOKUP(E17327,DSSpieler!A:B,2,FALSE)</f>
        <v>hunter0307</v>
      </c>
    </row>
    <row r="17328" spans="1:10" x14ac:dyDescent="0.25">
      <c r="A17328">
        <v>19722</v>
      </c>
      <c r="B17328" t="s">
        <v>3796</v>
      </c>
      <c r="C17328">
        <v>545</v>
      </c>
      <c r="D17328">
        <v>624</v>
      </c>
      <c r="E17328">
        <v>9475618</v>
      </c>
      <c r="F17328">
        <v>77</v>
      </c>
      <c r="G17328">
        <v>0</v>
      </c>
      <c r="H17328" t="s">
        <v>22165</v>
      </c>
      <c r="I17328">
        <v>19722</v>
      </c>
      <c r="J17328" t="str">
        <f>VLOOKUP(E17328,DSSpieler!A:B,2,FALSE)</f>
        <v>wagnalove</v>
      </c>
    </row>
    <row r="17329" spans="1:10" x14ac:dyDescent="0.25">
      <c r="A17329">
        <v>19726</v>
      </c>
      <c r="B17329" t="s">
        <v>3797</v>
      </c>
      <c r="C17329">
        <v>589</v>
      </c>
      <c r="D17329">
        <v>399</v>
      </c>
      <c r="E17329">
        <v>1577206963</v>
      </c>
      <c r="F17329">
        <v>630</v>
      </c>
      <c r="G17329">
        <v>0</v>
      </c>
      <c r="H17329" t="s">
        <v>22166</v>
      </c>
      <c r="I17329">
        <v>19726</v>
      </c>
      <c r="J17329" t="str">
        <f>VLOOKUP(E17329,DSSpieler!A:B,2,FALSE)</f>
        <v>ilkay</v>
      </c>
    </row>
    <row r="17330" spans="1:10" x14ac:dyDescent="0.25">
      <c r="A17330">
        <v>19727</v>
      </c>
      <c r="B17330" t="s">
        <v>3798</v>
      </c>
      <c r="C17330">
        <v>374</v>
      </c>
      <c r="D17330">
        <v>464</v>
      </c>
      <c r="E17330">
        <v>1577195767</v>
      </c>
      <c r="F17330">
        <v>60</v>
      </c>
      <c r="G17330">
        <v>0</v>
      </c>
      <c r="H17330" t="s">
        <v>22167</v>
      </c>
      <c r="I17330">
        <v>19727</v>
      </c>
      <c r="J17330" t="str">
        <f>VLOOKUP(E17330,DSSpieler!A:B,2,FALSE)</f>
        <v>Mattio</v>
      </c>
    </row>
    <row r="17331" spans="1:10" x14ac:dyDescent="0.25">
      <c r="A17331">
        <v>19728</v>
      </c>
      <c r="B17331" t="s">
        <v>3799</v>
      </c>
      <c r="C17331">
        <v>528</v>
      </c>
      <c r="D17331">
        <v>369</v>
      </c>
      <c r="E17331">
        <v>1577207769</v>
      </c>
      <c r="F17331">
        <v>157</v>
      </c>
      <c r="G17331">
        <v>0</v>
      </c>
      <c r="H17331" t="s">
        <v>22168</v>
      </c>
      <c r="I17331">
        <v>19728</v>
      </c>
      <c r="J17331" t="str">
        <f>VLOOKUP(E17331,DSSpieler!A:B,2,FALSE)</f>
        <v>sgub82</v>
      </c>
    </row>
    <row r="17332" spans="1:10" x14ac:dyDescent="0.25">
      <c r="A17332">
        <v>19729</v>
      </c>
      <c r="B17332" t="s">
        <v>3800</v>
      </c>
      <c r="C17332">
        <v>626</v>
      </c>
      <c r="D17332">
        <v>537</v>
      </c>
      <c r="E17332">
        <v>9588421</v>
      </c>
      <c r="F17332">
        <v>26</v>
      </c>
      <c r="G17332">
        <v>0</v>
      </c>
      <c r="H17332" t="s">
        <v>22169</v>
      </c>
      <c r="I17332">
        <v>19729</v>
      </c>
      <c r="J17332" t="str">
        <f>VLOOKUP(E17332,DSSpieler!A:B,2,FALSE)</f>
        <v>Kampf90</v>
      </c>
    </row>
    <row r="17333" spans="1:10" x14ac:dyDescent="0.25">
      <c r="A17333">
        <v>19730</v>
      </c>
      <c r="B17333" t="s">
        <v>531</v>
      </c>
      <c r="C17333">
        <v>610</v>
      </c>
      <c r="D17333">
        <v>568</v>
      </c>
      <c r="E17333">
        <v>0</v>
      </c>
      <c r="F17333">
        <v>87</v>
      </c>
      <c r="G17333">
        <v>0</v>
      </c>
      <c r="H17333" t="s">
        <v>22170</v>
      </c>
      <c r="I17333">
        <v>19730</v>
      </c>
      <c r="J17333" t="e">
        <f>VLOOKUP(E17333,DSSpieler!A:B,2,FALSE)</f>
        <v>#N/A</v>
      </c>
    </row>
    <row r="17334" spans="1:10" x14ac:dyDescent="0.25">
      <c r="A17334">
        <v>19731</v>
      </c>
      <c r="B17334" t="s">
        <v>3801</v>
      </c>
      <c r="C17334">
        <v>588</v>
      </c>
      <c r="D17334">
        <v>586</v>
      </c>
      <c r="E17334">
        <v>1577197177</v>
      </c>
      <c r="F17334">
        <v>414</v>
      </c>
      <c r="G17334">
        <v>0</v>
      </c>
      <c r="H17334" t="s">
        <v>22171</v>
      </c>
      <c r="I17334">
        <v>19731</v>
      </c>
      <c r="J17334" t="str">
        <f>VLOOKUP(E17334,DSSpieler!A:B,2,FALSE)</f>
        <v>Mikel-chan</v>
      </c>
    </row>
    <row r="17335" spans="1:10" x14ac:dyDescent="0.25">
      <c r="A17335">
        <v>19733</v>
      </c>
      <c r="B17335" t="s">
        <v>3802</v>
      </c>
      <c r="C17335">
        <v>422</v>
      </c>
      <c r="D17335">
        <v>396</v>
      </c>
      <c r="E17335">
        <v>8877953</v>
      </c>
      <c r="F17335">
        <v>60</v>
      </c>
      <c r="G17335">
        <v>0</v>
      </c>
      <c r="H17335" t="s">
        <v>22172</v>
      </c>
      <c r="I17335">
        <v>19733</v>
      </c>
      <c r="J17335" t="str">
        <f>VLOOKUP(E17335,DSSpieler!A:B,2,FALSE)</f>
        <v>Inataptai</v>
      </c>
    </row>
    <row r="17336" spans="1:10" x14ac:dyDescent="0.25">
      <c r="A17336">
        <v>19734</v>
      </c>
      <c r="B17336" t="s">
        <v>3803</v>
      </c>
      <c r="C17336">
        <v>610</v>
      </c>
      <c r="D17336">
        <v>579</v>
      </c>
      <c r="E17336">
        <v>7969846</v>
      </c>
      <c r="F17336">
        <v>48</v>
      </c>
      <c r="G17336">
        <v>0</v>
      </c>
      <c r="H17336" t="s">
        <v>22173</v>
      </c>
      <c r="I17336">
        <v>19734</v>
      </c>
      <c r="J17336" t="str">
        <f>VLOOKUP(E17336,DSSpieler!A:B,2,FALSE)</f>
        <v>KoRben.</v>
      </c>
    </row>
    <row r="17337" spans="1:10" x14ac:dyDescent="0.25">
      <c r="A17337">
        <v>19736</v>
      </c>
      <c r="B17337" t="s">
        <v>3804</v>
      </c>
      <c r="C17337">
        <v>605</v>
      </c>
      <c r="D17337">
        <v>581</v>
      </c>
      <c r="E17337">
        <v>1576152596</v>
      </c>
      <c r="F17337">
        <v>486</v>
      </c>
      <c r="G17337">
        <v>0</v>
      </c>
      <c r="H17337" t="s">
        <v>22174</v>
      </c>
      <c r="I17337">
        <v>19736</v>
      </c>
      <c r="J17337" t="str">
        <f>VLOOKUP(E17337,DSSpieler!A:B,2,FALSE)</f>
        <v>ezBeatzZ</v>
      </c>
    </row>
    <row r="17338" spans="1:10" x14ac:dyDescent="0.25">
      <c r="A17338">
        <v>19738</v>
      </c>
      <c r="B17338" t="e">
        <f>-Luk-secret+Dorf</f>
        <v>#NAME?</v>
      </c>
      <c r="C17338">
        <v>378</v>
      </c>
      <c r="D17338">
        <v>545</v>
      </c>
      <c r="E17338">
        <v>1576372243</v>
      </c>
      <c r="F17338">
        <v>813</v>
      </c>
      <c r="G17338">
        <v>0</v>
      </c>
      <c r="H17338" t="s">
        <v>22175</v>
      </c>
      <c r="I17338">
        <v>19738</v>
      </c>
      <c r="J17338" t="str">
        <f>VLOOKUP(E17338,DSSpieler!A:B,2,FALSE)</f>
        <v>-Luk-</v>
      </c>
    </row>
    <row r="17339" spans="1:10" x14ac:dyDescent="0.25">
      <c r="A17339">
        <v>19739</v>
      </c>
      <c r="B17339" t="s">
        <v>531</v>
      </c>
      <c r="C17339">
        <v>492</v>
      </c>
      <c r="D17339">
        <v>629</v>
      </c>
      <c r="E17339">
        <v>0</v>
      </c>
      <c r="F17339">
        <v>97</v>
      </c>
      <c r="G17339">
        <v>0</v>
      </c>
      <c r="H17339" t="s">
        <v>22176</v>
      </c>
      <c r="I17339">
        <v>19739</v>
      </c>
      <c r="J17339" t="e">
        <f>VLOOKUP(E17339,DSSpieler!A:B,2,FALSE)</f>
        <v>#N/A</v>
      </c>
    </row>
    <row r="17340" spans="1:10" x14ac:dyDescent="0.25">
      <c r="A17340">
        <v>19740</v>
      </c>
      <c r="B17340" t="s">
        <v>35702</v>
      </c>
      <c r="C17340">
        <v>584</v>
      </c>
      <c r="D17340">
        <v>559</v>
      </c>
      <c r="E17340">
        <v>1577198689</v>
      </c>
      <c r="F17340">
        <v>267</v>
      </c>
      <c r="G17340">
        <v>0</v>
      </c>
      <c r="H17340" t="s">
        <v>22177</v>
      </c>
      <c r="I17340">
        <v>19740</v>
      </c>
      <c r="J17340" t="str">
        <f>VLOOKUP(E17340,DSSpieler!A:B,2,FALSE)</f>
        <v>Kroton</v>
      </c>
    </row>
    <row r="17341" spans="1:10" x14ac:dyDescent="0.25">
      <c r="A17341">
        <v>19741</v>
      </c>
      <c r="B17341" t="s">
        <v>3805</v>
      </c>
      <c r="C17341">
        <v>440</v>
      </c>
      <c r="D17341">
        <v>384</v>
      </c>
      <c r="E17341">
        <v>1577191802</v>
      </c>
      <c r="F17341">
        <v>1123</v>
      </c>
      <c r="G17341">
        <v>0</v>
      </c>
      <c r="H17341" t="s">
        <v>22178</v>
      </c>
      <c r="I17341">
        <v>19741</v>
      </c>
      <c r="J17341" t="str">
        <f>VLOOKUP(E17341,DSSpieler!A:B,2,FALSE)</f>
        <v>rescuespeed</v>
      </c>
    </row>
    <row r="17342" spans="1:10" x14ac:dyDescent="0.25">
      <c r="A17342">
        <v>19742</v>
      </c>
      <c r="B17342" t="s">
        <v>3806</v>
      </c>
      <c r="C17342">
        <v>375</v>
      </c>
      <c r="D17342">
        <v>452</v>
      </c>
      <c r="E17342">
        <v>10050710</v>
      </c>
      <c r="F17342">
        <v>844</v>
      </c>
      <c r="G17342">
        <v>0</v>
      </c>
      <c r="H17342" t="s">
        <v>22179</v>
      </c>
      <c r="I17342">
        <v>19742</v>
      </c>
      <c r="J17342" t="str">
        <f>VLOOKUP(E17342,DSSpieler!A:B,2,FALSE)</f>
        <v>Budda80</v>
      </c>
    </row>
    <row r="17343" spans="1:10" x14ac:dyDescent="0.25">
      <c r="A17343">
        <v>19743</v>
      </c>
      <c r="B17343" t="s">
        <v>3807</v>
      </c>
      <c r="C17343">
        <v>373</v>
      </c>
      <c r="D17343">
        <v>463</v>
      </c>
      <c r="E17343">
        <v>1577122568</v>
      </c>
      <c r="F17343">
        <v>26</v>
      </c>
      <c r="G17343">
        <v>0</v>
      </c>
      <c r="H17343" t="s">
        <v>22180</v>
      </c>
      <c r="I17343">
        <v>19743</v>
      </c>
      <c r="J17343" t="str">
        <f>VLOOKUP(E17343,DSSpieler!A:B,2,FALSE)</f>
        <v>Olegesh</v>
      </c>
    </row>
    <row r="17344" spans="1:10" x14ac:dyDescent="0.25">
      <c r="A17344">
        <v>19745</v>
      </c>
      <c r="B17344" t="s">
        <v>531</v>
      </c>
      <c r="C17344">
        <v>489</v>
      </c>
      <c r="D17344">
        <v>630</v>
      </c>
      <c r="E17344">
        <v>0</v>
      </c>
      <c r="F17344">
        <v>92</v>
      </c>
      <c r="G17344">
        <v>0</v>
      </c>
      <c r="H17344" t="s">
        <v>22181</v>
      </c>
      <c r="I17344">
        <v>19745</v>
      </c>
      <c r="J17344" t="e">
        <f>VLOOKUP(E17344,DSSpieler!A:B,2,FALSE)</f>
        <v>#N/A</v>
      </c>
    </row>
    <row r="17345" spans="1:10" x14ac:dyDescent="0.25">
      <c r="A17345">
        <v>19746</v>
      </c>
      <c r="B17345" t="s">
        <v>35703</v>
      </c>
      <c r="C17345">
        <v>505</v>
      </c>
      <c r="D17345">
        <v>367</v>
      </c>
      <c r="E17345">
        <v>9681506</v>
      </c>
      <c r="F17345">
        <v>780</v>
      </c>
      <c r="G17345">
        <v>0</v>
      </c>
      <c r="H17345" t="s">
        <v>22182</v>
      </c>
      <c r="I17345">
        <v>19746</v>
      </c>
      <c r="J17345" t="str">
        <f>VLOOKUP(E17345,DSSpieler!A:B,2,FALSE)</f>
        <v>Saftzahn</v>
      </c>
    </row>
    <row r="17346" spans="1:10" x14ac:dyDescent="0.25">
      <c r="A17346">
        <v>19747</v>
      </c>
      <c r="B17346" t="s">
        <v>3808</v>
      </c>
      <c r="C17346">
        <v>592</v>
      </c>
      <c r="D17346">
        <v>464</v>
      </c>
      <c r="E17346">
        <v>1577170267</v>
      </c>
      <c r="F17346">
        <v>73</v>
      </c>
      <c r="G17346">
        <v>0</v>
      </c>
      <c r="H17346" t="s">
        <v>22183</v>
      </c>
      <c r="I17346">
        <v>19747</v>
      </c>
      <c r="J17346" t="str">
        <f>VLOOKUP(E17346,DSSpieler!A:B,2,FALSE)</f>
        <v>Lordkuks69</v>
      </c>
    </row>
    <row r="17347" spans="1:10" x14ac:dyDescent="0.25">
      <c r="A17347">
        <v>19748</v>
      </c>
      <c r="B17347" t="s">
        <v>3809</v>
      </c>
      <c r="C17347">
        <v>446</v>
      </c>
      <c r="D17347">
        <v>386</v>
      </c>
      <c r="E17347">
        <v>2166947</v>
      </c>
      <c r="F17347">
        <v>720</v>
      </c>
      <c r="G17347">
        <v>0</v>
      </c>
      <c r="H17347" t="s">
        <v>22184</v>
      </c>
      <c r="I17347">
        <v>19748</v>
      </c>
      <c r="J17347" t="str">
        <f>VLOOKUP(E17347,DSSpieler!A:B,2,FALSE)</f>
        <v>safran2003</v>
      </c>
    </row>
    <row r="17348" spans="1:10" x14ac:dyDescent="0.25">
      <c r="A17348">
        <v>19749</v>
      </c>
      <c r="B17348">
        <v>1</v>
      </c>
      <c r="C17348">
        <v>387</v>
      </c>
      <c r="D17348">
        <v>570</v>
      </c>
      <c r="E17348">
        <v>1577131372</v>
      </c>
      <c r="F17348">
        <v>478</v>
      </c>
      <c r="G17348">
        <v>0</v>
      </c>
      <c r="H17348" t="s">
        <v>22185</v>
      </c>
      <c r="I17348">
        <v>19749</v>
      </c>
      <c r="J17348" t="str">
        <f>VLOOKUP(E17348,DSSpieler!A:B,2,FALSE)</f>
        <v>oPTC</v>
      </c>
    </row>
    <row r="17349" spans="1:10" x14ac:dyDescent="0.25">
      <c r="A17349">
        <v>19750</v>
      </c>
      <c r="B17349" t="s">
        <v>3810</v>
      </c>
      <c r="C17349">
        <v>367</v>
      </c>
      <c r="D17349">
        <v>483</v>
      </c>
      <c r="E17349">
        <v>9766535</v>
      </c>
      <c r="F17349">
        <v>46</v>
      </c>
      <c r="G17349">
        <v>0</v>
      </c>
      <c r="H17349" t="s">
        <v>22186</v>
      </c>
      <c r="I17349">
        <v>19750</v>
      </c>
      <c r="J17349" t="str">
        <f>VLOOKUP(E17349,DSSpieler!A:B,2,FALSE)</f>
        <v>Uktrak</v>
      </c>
    </row>
    <row r="17350" spans="1:10" x14ac:dyDescent="0.25">
      <c r="A17350">
        <v>19751</v>
      </c>
      <c r="B17350" t="s">
        <v>3811</v>
      </c>
      <c r="C17350">
        <v>386</v>
      </c>
      <c r="D17350">
        <v>437</v>
      </c>
      <c r="E17350">
        <v>2221256</v>
      </c>
      <c r="F17350">
        <v>26</v>
      </c>
      <c r="G17350">
        <v>0</v>
      </c>
      <c r="H17350" t="s">
        <v>22187</v>
      </c>
      <c r="I17350">
        <v>19751</v>
      </c>
      <c r="J17350" t="str">
        <f>VLOOKUP(E17350,DSSpieler!A:B,2,FALSE)</f>
        <v>Mehlbeere</v>
      </c>
    </row>
    <row r="17351" spans="1:10" x14ac:dyDescent="0.25">
      <c r="A17351">
        <v>19752</v>
      </c>
      <c r="B17351" t="s">
        <v>3812</v>
      </c>
      <c r="C17351">
        <v>446</v>
      </c>
      <c r="D17351">
        <v>618</v>
      </c>
      <c r="E17351">
        <v>1577183196</v>
      </c>
      <c r="F17351">
        <v>26</v>
      </c>
      <c r="G17351">
        <v>0</v>
      </c>
      <c r="H17351" t="s">
        <v>22188</v>
      </c>
      <c r="I17351">
        <v>19752</v>
      </c>
      <c r="J17351" t="str">
        <f>VLOOKUP(E17351,DSSpieler!A:B,2,FALSE)</f>
        <v>Neal George Caffrey</v>
      </c>
    </row>
    <row r="17352" spans="1:10" x14ac:dyDescent="0.25">
      <c r="A17352">
        <v>19753</v>
      </c>
      <c r="B17352" t="s">
        <v>3813</v>
      </c>
      <c r="C17352">
        <v>385</v>
      </c>
      <c r="D17352">
        <v>571</v>
      </c>
      <c r="E17352">
        <v>9027164</v>
      </c>
      <c r="F17352">
        <v>569</v>
      </c>
      <c r="G17352">
        <v>0</v>
      </c>
      <c r="H17352" t="s">
        <v>22189</v>
      </c>
      <c r="I17352">
        <v>19753</v>
      </c>
      <c r="J17352" t="str">
        <f>VLOOKUP(E17352,DSSpieler!A:B,2,FALSE)</f>
        <v>the99</v>
      </c>
    </row>
    <row r="17353" spans="1:10" x14ac:dyDescent="0.25">
      <c r="A17353">
        <v>19754</v>
      </c>
      <c r="B17353" t="s">
        <v>3814</v>
      </c>
      <c r="C17353">
        <v>555</v>
      </c>
      <c r="D17353">
        <v>622</v>
      </c>
      <c r="E17353">
        <v>1577207785</v>
      </c>
      <c r="F17353">
        <v>221</v>
      </c>
      <c r="G17353">
        <v>0</v>
      </c>
      <c r="H17353" t="s">
        <v>22190</v>
      </c>
      <c r="I17353">
        <v>19754</v>
      </c>
      <c r="J17353" t="str">
        <f>VLOOKUP(E17353,DSSpieler!A:B,2,FALSE)</f>
        <v>Annaa</v>
      </c>
    </row>
    <row r="17354" spans="1:10" x14ac:dyDescent="0.25">
      <c r="A17354">
        <v>19755</v>
      </c>
      <c r="B17354" t="s">
        <v>3815</v>
      </c>
      <c r="C17354">
        <v>607</v>
      </c>
      <c r="D17354">
        <v>582</v>
      </c>
      <c r="E17354">
        <v>1649481</v>
      </c>
      <c r="F17354">
        <v>456</v>
      </c>
      <c r="G17354">
        <v>0</v>
      </c>
      <c r="H17354" t="s">
        <v>22191</v>
      </c>
      <c r="I17354">
        <v>19755</v>
      </c>
      <c r="J17354" t="str">
        <f>VLOOKUP(E17354,DSSpieler!A:B,2,FALSE)</f>
        <v>spasmo</v>
      </c>
    </row>
    <row r="17355" spans="1:10" x14ac:dyDescent="0.25">
      <c r="A17355">
        <v>19758</v>
      </c>
      <c r="B17355" t="s">
        <v>2846</v>
      </c>
      <c r="C17355">
        <v>609</v>
      </c>
      <c r="D17355">
        <v>579</v>
      </c>
      <c r="E17355">
        <v>1576672940</v>
      </c>
      <c r="F17355">
        <v>390</v>
      </c>
      <c r="G17355">
        <v>0</v>
      </c>
      <c r="H17355" t="s">
        <v>22192</v>
      </c>
      <c r="I17355">
        <v>19758</v>
      </c>
      <c r="J17355" t="str">
        <f>VLOOKUP(E17355,DSSpieler!A:B,2,FALSE)</f>
        <v>Rainer0171</v>
      </c>
    </row>
    <row r="17356" spans="1:10" x14ac:dyDescent="0.25">
      <c r="A17356">
        <v>19759</v>
      </c>
      <c r="B17356" t="s">
        <v>3816</v>
      </c>
      <c r="C17356">
        <v>513</v>
      </c>
      <c r="D17356">
        <v>633</v>
      </c>
      <c r="E17356">
        <v>1577196774</v>
      </c>
      <c r="F17356">
        <v>83</v>
      </c>
      <c r="G17356">
        <v>0</v>
      </c>
      <c r="H17356" t="s">
        <v>22193</v>
      </c>
      <c r="I17356">
        <v>19759</v>
      </c>
      <c r="J17356" t="str">
        <f>VLOOKUP(E17356,DSSpieler!A:B,2,FALSE)</f>
        <v>mrhashtag</v>
      </c>
    </row>
    <row r="17357" spans="1:10" x14ac:dyDescent="0.25">
      <c r="A17357">
        <v>19762</v>
      </c>
      <c r="B17357" t="s">
        <v>3817</v>
      </c>
      <c r="C17357">
        <v>486</v>
      </c>
      <c r="D17357">
        <v>465</v>
      </c>
      <c r="E17357">
        <v>1577065591</v>
      </c>
      <c r="F17357">
        <v>331</v>
      </c>
      <c r="G17357">
        <v>0</v>
      </c>
      <c r="H17357" t="s">
        <v>22194</v>
      </c>
      <c r="I17357">
        <v>19762</v>
      </c>
      <c r="J17357" t="str">
        <f>VLOOKUP(E17357,DSSpieler!A:B,2,FALSE)</f>
        <v>Darksider</v>
      </c>
    </row>
    <row r="17358" spans="1:10" x14ac:dyDescent="0.25">
      <c r="A17358">
        <v>19763</v>
      </c>
      <c r="B17358" t="s">
        <v>3818</v>
      </c>
      <c r="C17358">
        <v>602</v>
      </c>
      <c r="D17358">
        <v>584</v>
      </c>
      <c r="E17358">
        <v>1577207738</v>
      </c>
      <c r="F17358">
        <v>26</v>
      </c>
      <c r="G17358">
        <v>0</v>
      </c>
      <c r="H17358" t="s">
        <v>22195</v>
      </c>
      <c r="I17358">
        <v>19763</v>
      </c>
      <c r="J17358" t="str">
        <f>VLOOKUP(E17358,DSSpieler!A:B,2,FALSE)</f>
        <v>ovebastisch</v>
      </c>
    </row>
    <row r="17359" spans="1:10" x14ac:dyDescent="0.25">
      <c r="A17359">
        <v>19764</v>
      </c>
      <c r="B17359" t="s">
        <v>3819</v>
      </c>
      <c r="C17359">
        <v>442</v>
      </c>
      <c r="D17359">
        <v>388</v>
      </c>
      <c r="E17359">
        <v>1577207799</v>
      </c>
      <c r="F17359">
        <v>599</v>
      </c>
      <c r="G17359">
        <v>0</v>
      </c>
      <c r="H17359" t="s">
        <v>22196</v>
      </c>
      <c r="I17359">
        <v>19764</v>
      </c>
      <c r="J17359" t="str">
        <f>VLOOKUP(E17359,DSSpieler!A:B,2,FALSE)</f>
        <v>ovemeister</v>
      </c>
    </row>
    <row r="17360" spans="1:10" x14ac:dyDescent="0.25">
      <c r="A17360">
        <v>19766</v>
      </c>
      <c r="B17360" t="s">
        <v>3820</v>
      </c>
      <c r="C17360">
        <v>526</v>
      </c>
      <c r="D17360">
        <v>629</v>
      </c>
      <c r="E17360">
        <v>1577207803</v>
      </c>
      <c r="F17360">
        <v>26</v>
      </c>
      <c r="G17360">
        <v>0</v>
      </c>
      <c r="H17360" t="s">
        <v>22197</v>
      </c>
      <c r="I17360">
        <v>19766</v>
      </c>
      <c r="J17360" t="str">
        <f>VLOOKUP(E17360,DSSpieler!A:B,2,FALSE)</f>
        <v>Seemopss001</v>
      </c>
    </row>
    <row r="17361" spans="1:10" x14ac:dyDescent="0.25">
      <c r="A17361">
        <v>19767</v>
      </c>
      <c r="B17361" t="s">
        <v>3821</v>
      </c>
      <c r="C17361">
        <v>490</v>
      </c>
      <c r="D17361">
        <v>365</v>
      </c>
      <c r="E17361">
        <v>1577207804</v>
      </c>
      <c r="F17361">
        <v>886</v>
      </c>
      <c r="G17361">
        <v>0</v>
      </c>
      <c r="H17361" t="s">
        <v>22198</v>
      </c>
      <c r="I17361">
        <v>19767</v>
      </c>
      <c r="J17361" t="str">
        <f>VLOOKUP(E17361,DSSpieler!A:B,2,FALSE)</f>
        <v>Zontino</v>
      </c>
    </row>
    <row r="17362" spans="1:10" x14ac:dyDescent="0.25">
      <c r="A17362">
        <v>19768</v>
      </c>
      <c r="B17362" t="s">
        <v>35704</v>
      </c>
      <c r="C17362">
        <v>375</v>
      </c>
      <c r="D17362">
        <v>450</v>
      </c>
      <c r="E17362">
        <v>1577202010</v>
      </c>
      <c r="F17362">
        <v>26</v>
      </c>
      <c r="G17362">
        <v>0</v>
      </c>
      <c r="H17362" t="s">
        <v>22199</v>
      </c>
      <c r="I17362">
        <v>19768</v>
      </c>
      <c r="J17362" t="str">
        <f>VLOOKUP(E17362,DSSpieler!A:B,2,FALSE)</f>
        <v>König Nasenbär</v>
      </c>
    </row>
    <row r="17363" spans="1:10" x14ac:dyDescent="0.25">
      <c r="A17363">
        <v>19770</v>
      </c>
      <c r="B17363" t="s">
        <v>643</v>
      </c>
      <c r="C17363">
        <v>594</v>
      </c>
      <c r="D17363">
        <v>525</v>
      </c>
      <c r="E17363">
        <v>1577192988</v>
      </c>
      <c r="F17363">
        <v>244</v>
      </c>
      <c r="G17363">
        <v>0</v>
      </c>
      <c r="H17363" t="s">
        <v>22200</v>
      </c>
      <c r="I17363">
        <v>19770</v>
      </c>
      <c r="J17363" t="str">
        <f>VLOOKUP(E17363,DSSpieler!A:B,2,FALSE)</f>
        <v>JayWinchester666</v>
      </c>
    </row>
    <row r="17364" spans="1:10" x14ac:dyDescent="0.25">
      <c r="A17364">
        <v>19771</v>
      </c>
      <c r="B17364" t="s">
        <v>3822</v>
      </c>
      <c r="C17364">
        <v>608</v>
      </c>
      <c r="D17364">
        <v>584</v>
      </c>
      <c r="E17364">
        <v>8468072</v>
      </c>
      <c r="F17364">
        <v>1025</v>
      </c>
      <c r="G17364">
        <v>0</v>
      </c>
      <c r="H17364" t="s">
        <v>22201</v>
      </c>
      <c r="I17364">
        <v>19771</v>
      </c>
      <c r="J17364" t="str">
        <f>VLOOKUP(E17364,DSSpieler!A:B,2,FALSE)</f>
        <v>Maxl53</v>
      </c>
    </row>
    <row r="17365" spans="1:10" x14ac:dyDescent="0.25">
      <c r="A17365">
        <v>19772</v>
      </c>
      <c r="B17365" t="s">
        <v>3823</v>
      </c>
      <c r="C17365">
        <v>457</v>
      </c>
      <c r="D17365">
        <v>372</v>
      </c>
      <c r="E17365">
        <v>1576109832</v>
      </c>
      <c r="F17365">
        <v>921</v>
      </c>
      <c r="G17365">
        <v>0</v>
      </c>
      <c r="H17365" t="s">
        <v>22202</v>
      </c>
      <c r="I17365">
        <v>19772</v>
      </c>
      <c r="J17365" t="str">
        <f>VLOOKUP(E17365,DSSpieler!A:B,2,FALSE)</f>
        <v>Bene2001</v>
      </c>
    </row>
    <row r="17366" spans="1:10" x14ac:dyDescent="0.25">
      <c r="A17366">
        <v>19773</v>
      </c>
      <c r="B17366" t="s">
        <v>35705</v>
      </c>
      <c r="C17366">
        <v>611</v>
      </c>
      <c r="D17366">
        <v>578</v>
      </c>
      <c r="E17366">
        <v>1577188805</v>
      </c>
      <c r="F17366">
        <v>26</v>
      </c>
      <c r="G17366">
        <v>0</v>
      </c>
      <c r="H17366" t="s">
        <v>22203</v>
      </c>
      <c r="I17366">
        <v>19773</v>
      </c>
      <c r="J17366" t="str">
        <f>VLOOKUP(E17366,DSSpieler!A:B,2,FALSE)</f>
        <v>LadyDörte</v>
      </c>
    </row>
    <row r="17367" spans="1:10" x14ac:dyDescent="0.25">
      <c r="A17367">
        <v>19774</v>
      </c>
      <c r="B17367" t="s">
        <v>3824</v>
      </c>
      <c r="C17367">
        <v>466</v>
      </c>
      <c r="D17367">
        <v>505</v>
      </c>
      <c r="E17367">
        <v>1577193298</v>
      </c>
      <c r="F17367">
        <v>631</v>
      </c>
      <c r="G17367">
        <v>0</v>
      </c>
      <c r="H17367" t="s">
        <v>22204</v>
      </c>
      <c r="I17367">
        <v>19774</v>
      </c>
      <c r="J17367" t="str">
        <f>VLOOKUP(E17367,DSSpieler!A:B,2,FALSE)</f>
        <v>okan41</v>
      </c>
    </row>
    <row r="17368" spans="1:10" x14ac:dyDescent="0.25">
      <c r="A17368">
        <v>19775</v>
      </c>
      <c r="B17368" t="s">
        <v>3825</v>
      </c>
      <c r="C17368">
        <v>526</v>
      </c>
      <c r="D17368">
        <v>390</v>
      </c>
      <c r="E17368">
        <v>9991967</v>
      </c>
      <c r="F17368">
        <v>102</v>
      </c>
      <c r="G17368">
        <v>0</v>
      </c>
      <c r="H17368" t="s">
        <v>22205</v>
      </c>
      <c r="I17368">
        <v>19775</v>
      </c>
      <c r="J17368" t="str">
        <f>VLOOKUP(E17368,DSSpieler!A:B,2,FALSE)</f>
        <v>Bartelmes</v>
      </c>
    </row>
    <row r="17369" spans="1:10" x14ac:dyDescent="0.25">
      <c r="A17369">
        <v>19776</v>
      </c>
      <c r="B17369" t="s">
        <v>531</v>
      </c>
      <c r="C17369">
        <v>570</v>
      </c>
      <c r="D17369">
        <v>612</v>
      </c>
      <c r="E17369">
        <v>0</v>
      </c>
      <c r="F17369">
        <v>61</v>
      </c>
      <c r="G17369">
        <v>0</v>
      </c>
      <c r="H17369" t="s">
        <v>22206</v>
      </c>
      <c r="I17369">
        <v>19776</v>
      </c>
      <c r="J17369" t="e">
        <f>VLOOKUP(E17369,DSSpieler!A:B,2,FALSE)</f>
        <v>#N/A</v>
      </c>
    </row>
    <row r="17370" spans="1:10" x14ac:dyDescent="0.25">
      <c r="A17370">
        <v>19777</v>
      </c>
      <c r="B17370" t="s">
        <v>3826</v>
      </c>
      <c r="C17370">
        <v>438</v>
      </c>
      <c r="D17370">
        <v>621</v>
      </c>
      <c r="E17370">
        <v>1577197526</v>
      </c>
      <c r="F17370">
        <v>26</v>
      </c>
      <c r="G17370">
        <v>0</v>
      </c>
      <c r="H17370" t="s">
        <v>22207</v>
      </c>
      <c r="I17370">
        <v>19777</v>
      </c>
      <c r="J17370" t="str">
        <f>VLOOKUP(E17370,DSSpieler!A:B,2,FALSE)</f>
        <v>Nussstrudlrudl</v>
      </c>
    </row>
    <row r="17371" spans="1:10" x14ac:dyDescent="0.25">
      <c r="A17371">
        <v>19778</v>
      </c>
      <c r="B17371" t="s">
        <v>3827</v>
      </c>
      <c r="C17371">
        <v>450</v>
      </c>
      <c r="D17371">
        <v>593</v>
      </c>
      <c r="E17371">
        <v>9068206</v>
      </c>
      <c r="F17371">
        <v>826</v>
      </c>
      <c r="G17371">
        <v>0</v>
      </c>
      <c r="H17371" t="s">
        <v>22208</v>
      </c>
      <c r="I17371">
        <v>19778</v>
      </c>
      <c r="J17371" t="str">
        <f>VLOOKUP(E17371,DSSpieler!A:B,2,FALSE)</f>
        <v>darklord xx</v>
      </c>
    </row>
    <row r="17372" spans="1:10" x14ac:dyDescent="0.25">
      <c r="A17372">
        <v>19779</v>
      </c>
      <c r="B17372">
        <v>178</v>
      </c>
      <c r="C17372">
        <v>435</v>
      </c>
      <c r="D17372">
        <v>618</v>
      </c>
      <c r="E17372">
        <v>1576947504</v>
      </c>
      <c r="F17372">
        <v>721</v>
      </c>
      <c r="G17372">
        <v>0</v>
      </c>
      <c r="H17372" t="s">
        <v>22209</v>
      </c>
      <c r="I17372">
        <v>19779</v>
      </c>
      <c r="J17372" t="str">
        <f>VLOOKUP(E17372,DSSpieler!A:B,2,FALSE)</f>
        <v>DaisyMeBashing</v>
      </c>
    </row>
    <row r="17373" spans="1:10" x14ac:dyDescent="0.25">
      <c r="A17373">
        <v>19780</v>
      </c>
      <c r="B17373" t="s">
        <v>3828</v>
      </c>
      <c r="C17373">
        <v>489</v>
      </c>
      <c r="D17373">
        <v>382</v>
      </c>
      <c r="E17373">
        <v>1576385810</v>
      </c>
      <c r="F17373">
        <v>769</v>
      </c>
      <c r="G17373">
        <v>0</v>
      </c>
      <c r="H17373" t="s">
        <v>22210</v>
      </c>
      <c r="I17373">
        <v>19780</v>
      </c>
      <c r="J17373" t="str">
        <f>VLOOKUP(E17373,DSSpieler!A:B,2,FALSE)</f>
        <v>LadyElli</v>
      </c>
    </row>
    <row r="17374" spans="1:10" x14ac:dyDescent="0.25">
      <c r="A17374">
        <v>19781</v>
      </c>
      <c r="B17374" t="s">
        <v>35706</v>
      </c>
      <c r="C17374">
        <v>494</v>
      </c>
      <c r="D17374">
        <v>367</v>
      </c>
      <c r="E17374">
        <v>1577192990</v>
      </c>
      <c r="F17374">
        <v>26</v>
      </c>
      <c r="G17374">
        <v>0</v>
      </c>
      <c r="H17374" t="s">
        <v>22211</v>
      </c>
      <c r="I17374">
        <v>19781</v>
      </c>
      <c r="J17374" t="str">
        <f>VLOOKUP(E17374,DSSpieler!A:B,2,FALSE)</f>
        <v>diesühner</v>
      </c>
    </row>
    <row r="17375" spans="1:10" x14ac:dyDescent="0.25">
      <c r="A17375">
        <v>19782</v>
      </c>
      <c r="B17375" t="s">
        <v>3829</v>
      </c>
      <c r="C17375">
        <v>491</v>
      </c>
      <c r="D17375">
        <v>366</v>
      </c>
      <c r="E17375">
        <v>1577199624</v>
      </c>
      <c r="F17375">
        <v>26</v>
      </c>
      <c r="G17375">
        <v>0</v>
      </c>
      <c r="H17375" t="s">
        <v>22212</v>
      </c>
      <c r="I17375">
        <v>19782</v>
      </c>
      <c r="J17375" t="str">
        <f>VLOOKUP(E17375,DSSpieler!A:B,2,FALSE)</f>
        <v>maytin69</v>
      </c>
    </row>
    <row r="17376" spans="1:10" x14ac:dyDescent="0.25">
      <c r="A17376">
        <v>19783</v>
      </c>
      <c r="B17376" t="s">
        <v>3830</v>
      </c>
      <c r="C17376">
        <v>555</v>
      </c>
      <c r="D17376">
        <v>618</v>
      </c>
      <c r="E17376">
        <v>3280653</v>
      </c>
      <c r="F17376">
        <v>294</v>
      </c>
      <c r="G17376">
        <v>0</v>
      </c>
      <c r="H17376" t="s">
        <v>22213</v>
      </c>
      <c r="I17376">
        <v>19783</v>
      </c>
      <c r="J17376" t="str">
        <f>VLOOKUP(E17376,DSSpieler!A:B,2,FALSE)</f>
        <v>zyler21</v>
      </c>
    </row>
    <row r="17377" spans="1:10" x14ac:dyDescent="0.25">
      <c r="A17377">
        <v>19784</v>
      </c>
      <c r="B17377" t="s">
        <v>3831</v>
      </c>
      <c r="C17377">
        <v>365</v>
      </c>
      <c r="D17377">
        <v>491</v>
      </c>
      <c r="E17377">
        <v>1577202983</v>
      </c>
      <c r="F17377">
        <v>612</v>
      </c>
      <c r="G17377">
        <v>0</v>
      </c>
      <c r="H17377" t="s">
        <v>22214</v>
      </c>
      <c r="I17377">
        <v>19784</v>
      </c>
      <c r="J17377" t="str">
        <f>VLOOKUP(E17377,DSSpieler!A:B,2,FALSE)</f>
        <v>streammmm</v>
      </c>
    </row>
    <row r="17378" spans="1:10" x14ac:dyDescent="0.25">
      <c r="A17378">
        <v>19785</v>
      </c>
      <c r="B17378" t="s">
        <v>765</v>
      </c>
      <c r="C17378">
        <v>514</v>
      </c>
      <c r="D17378">
        <v>630</v>
      </c>
      <c r="E17378">
        <v>9559034</v>
      </c>
      <c r="F17378">
        <v>316</v>
      </c>
      <c r="G17378">
        <v>0</v>
      </c>
      <c r="H17378" t="s">
        <v>22215</v>
      </c>
      <c r="I17378">
        <v>19785</v>
      </c>
      <c r="J17378" t="str">
        <f>VLOOKUP(E17378,DSSpieler!A:B,2,FALSE)</f>
        <v>loddar2012</v>
      </c>
    </row>
    <row r="17379" spans="1:10" x14ac:dyDescent="0.25">
      <c r="A17379">
        <v>19786</v>
      </c>
      <c r="B17379" t="s">
        <v>3832</v>
      </c>
      <c r="C17379">
        <v>412</v>
      </c>
      <c r="D17379">
        <v>566</v>
      </c>
      <c r="E17379">
        <v>3368842</v>
      </c>
      <c r="F17379">
        <v>73</v>
      </c>
      <c r="G17379">
        <v>0</v>
      </c>
      <c r="H17379" t="s">
        <v>22216</v>
      </c>
      <c r="I17379">
        <v>19786</v>
      </c>
      <c r="J17379" t="str">
        <f>VLOOKUP(E17379,DSSpieler!A:B,2,FALSE)</f>
        <v>TerorrKiller</v>
      </c>
    </row>
    <row r="17380" spans="1:10" x14ac:dyDescent="0.25">
      <c r="A17380">
        <v>19787</v>
      </c>
      <c r="B17380" t="s">
        <v>3833</v>
      </c>
      <c r="C17380">
        <v>595</v>
      </c>
      <c r="D17380">
        <v>478</v>
      </c>
      <c r="E17380">
        <v>1576971417</v>
      </c>
      <c r="F17380">
        <v>26</v>
      </c>
      <c r="G17380">
        <v>0</v>
      </c>
      <c r="H17380" t="s">
        <v>22217</v>
      </c>
      <c r="I17380">
        <v>19787</v>
      </c>
      <c r="J17380" t="str">
        <f>VLOOKUP(E17380,DSSpieler!A:B,2,FALSE)</f>
        <v>Jimmy97Pr</v>
      </c>
    </row>
    <row r="17381" spans="1:10" x14ac:dyDescent="0.25">
      <c r="A17381">
        <v>19788</v>
      </c>
      <c r="B17381" t="s">
        <v>3834</v>
      </c>
      <c r="C17381">
        <v>505</v>
      </c>
      <c r="D17381">
        <v>386</v>
      </c>
      <c r="E17381">
        <v>9238575</v>
      </c>
      <c r="F17381">
        <v>472</v>
      </c>
      <c r="G17381">
        <v>0</v>
      </c>
      <c r="H17381" t="s">
        <v>22218</v>
      </c>
      <c r="I17381">
        <v>19788</v>
      </c>
      <c r="J17381" t="str">
        <f>VLOOKUP(E17381,DSSpieler!A:B,2,FALSE)</f>
        <v>lordosel</v>
      </c>
    </row>
    <row r="17382" spans="1:10" x14ac:dyDescent="0.25">
      <c r="A17382">
        <v>19789</v>
      </c>
      <c r="B17382" t="s">
        <v>35707</v>
      </c>
      <c r="C17382">
        <v>368</v>
      </c>
      <c r="D17382">
        <v>486</v>
      </c>
      <c r="E17382">
        <v>1575873412</v>
      </c>
      <c r="F17382">
        <v>1043</v>
      </c>
      <c r="G17382">
        <v>0</v>
      </c>
      <c r="H17382" t="s">
        <v>22219</v>
      </c>
      <c r="I17382">
        <v>19789</v>
      </c>
      <c r="J17382" t="str">
        <f>VLOOKUP(E17382,DSSpieler!A:B,2,FALSE)</f>
        <v>Optimatum</v>
      </c>
    </row>
    <row r="17383" spans="1:10" x14ac:dyDescent="0.25">
      <c r="A17383">
        <v>19790</v>
      </c>
      <c r="B17383" t="s">
        <v>531</v>
      </c>
      <c r="C17383">
        <v>484</v>
      </c>
      <c r="D17383">
        <v>368</v>
      </c>
      <c r="E17383">
        <v>0</v>
      </c>
      <c r="F17383">
        <v>58</v>
      </c>
      <c r="G17383">
        <v>0</v>
      </c>
      <c r="H17383" t="s">
        <v>22220</v>
      </c>
      <c r="I17383">
        <v>19790</v>
      </c>
      <c r="J17383" t="e">
        <f>VLOOKUP(E17383,DSSpieler!A:B,2,FALSE)</f>
        <v>#N/A</v>
      </c>
    </row>
    <row r="17384" spans="1:10" x14ac:dyDescent="0.25">
      <c r="A17384">
        <v>19791</v>
      </c>
      <c r="B17384" t="s">
        <v>3835</v>
      </c>
      <c r="C17384">
        <v>375</v>
      </c>
      <c r="D17384">
        <v>461</v>
      </c>
      <c r="E17384">
        <v>611188</v>
      </c>
      <c r="F17384">
        <v>943</v>
      </c>
      <c r="G17384">
        <v>0</v>
      </c>
      <c r="H17384" t="s">
        <v>22221</v>
      </c>
      <c r="I17384">
        <v>19791</v>
      </c>
      <c r="J17384" t="str">
        <f>VLOOKUP(E17384,DSSpieler!A:B,2,FALSE)</f>
        <v>Asterix07</v>
      </c>
    </row>
    <row r="17385" spans="1:10" x14ac:dyDescent="0.25">
      <c r="A17385">
        <v>19792</v>
      </c>
      <c r="B17385" t="s">
        <v>3836</v>
      </c>
      <c r="C17385">
        <v>366</v>
      </c>
      <c r="D17385">
        <v>489</v>
      </c>
      <c r="E17385">
        <v>1577167268</v>
      </c>
      <c r="F17385">
        <v>38</v>
      </c>
      <c r="G17385">
        <v>0</v>
      </c>
      <c r="H17385" t="s">
        <v>22222</v>
      </c>
      <c r="I17385">
        <v>19792</v>
      </c>
      <c r="J17385" t="str">
        <f>VLOOKUP(E17385,DSSpieler!A:B,2,FALSE)</f>
        <v>twist</v>
      </c>
    </row>
    <row r="17386" spans="1:10" x14ac:dyDescent="0.25">
      <c r="A17386">
        <v>19793</v>
      </c>
      <c r="B17386" t="s">
        <v>531</v>
      </c>
      <c r="C17386">
        <v>546</v>
      </c>
      <c r="D17386">
        <v>626</v>
      </c>
      <c r="E17386">
        <v>0</v>
      </c>
      <c r="F17386">
        <v>107</v>
      </c>
      <c r="G17386">
        <v>0</v>
      </c>
      <c r="H17386" t="s">
        <v>22223</v>
      </c>
      <c r="I17386">
        <v>19793</v>
      </c>
      <c r="J17386" t="e">
        <f>VLOOKUP(E17386,DSSpieler!A:B,2,FALSE)</f>
        <v>#N/A</v>
      </c>
    </row>
    <row r="17387" spans="1:10" x14ac:dyDescent="0.25">
      <c r="A17387">
        <v>19794</v>
      </c>
      <c r="B17387" t="s">
        <v>35708</v>
      </c>
      <c r="C17387">
        <v>534</v>
      </c>
      <c r="D17387">
        <v>378</v>
      </c>
      <c r="E17387">
        <v>1577170782</v>
      </c>
      <c r="F17387">
        <v>963</v>
      </c>
      <c r="G17387">
        <v>0</v>
      </c>
      <c r="H17387" t="s">
        <v>22224</v>
      </c>
      <c r="I17387">
        <v>19794</v>
      </c>
      <c r="J17387" t="str">
        <f>VLOOKUP(E17387,DSSpieler!A:B,2,FALSE)</f>
        <v>*RagnarLodbrok*</v>
      </c>
    </row>
    <row r="17388" spans="1:10" x14ac:dyDescent="0.25">
      <c r="A17388">
        <v>19795</v>
      </c>
      <c r="B17388" t="s">
        <v>3837</v>
      </c>
      <c r="C17388">
        <v>630</v>
      </c>
      <c r="D17388">
        <v>504</v>
      </c>
      <c r="E17388">
        <v>1576972334</v>
      </c>
      <c r="F17388">
        <v>26</v>
      </c>
      <c r="G17388">
        <v>0</v>
      </c>
      <c r="H17388" t="s">
        <v>22225</v>
      </c>
      <c r="I17388">
        <v>19795</v>
      </c>
      <c r="J17388" t="str">
        <f>VLOOKUP(E17388,DSSpieler!A:B,2,FALSE)</f>
        <v>Olaf Holz</v>
      </c>
    </row>
    <row r="17389" spans="1:10" x14ac:dyDescent="0.25">
      <c r="A17389">
        <v>19796</v>
      </c>
      <c r="B17389" t="s">
        <v>531</v>
      </c>
      <c r="C17389">
        <v>368</v>
      </c>
      <c r="D17389">
        <v>514</v>
      </c>
      <c r="E17389">
        <v>0</v>
      </c>
      <c r="F17389">
        <v>121</v>
      </c>
      <c r="G17389">
        <v>0</v>
      </c>
      <c r="H17389" t="s">
        <v>22226</v>
      </c>
      <c r="I17389">
        <v>19796</v>
      </c>
      <c r="J17389" t="e">
        <f>VLOOKUP(E17389,DSSpieler!A:B,2,FALSE)</f>
        <v>#N/A</v>
      </c>
    </row>
    <row r="17390" spans="1:10" x14ac:dyDescent="0.25">
      <c r="A17390">
        <v>19797</v>
      </c>
      <c r="B17390" t="s">
        <v>3838</v>
      </c>
      <c r="C17390">
        <v>370</v>
      </c>
      <c r="D17390">
        <v>503</v>
      </c>
      <c r="E17390">
        <v>1576462603</v>
      </c>
      <c r="F17390">
        <v>918</v>
      </c>
      <c r="G17390">
        <v>0</v>
      </c>
      <c r="H17390" t="s">
        <v>22227</v>
      </c>
      <c r="I17390">
        <v>19797</v>
      </c>
      <c r="J17390" t="str">
        <f>VLOOKUP(E17390,DSSpieler!A:B,2,FALSE)</f>
        <v>AngelofDoom</v>
      </c>
    </row>
    <row r="17391" spans="1:10" x14ac:dyDescent="0.25">
      <c r="A17391">
        <v>19798</v>
      </c>
      <c r="B17391" t="s">
        <v>3839</v>
      </c>
      <c r="C17391">
        <v>505</v>
      </c>
      <c r="D17391">
        <v>632</v>
      </c>
      <c r="E17391">
        <v>1576797901</v>
      </c>
      <c r="F17391">
        <v>328</v>
      </c>
      <c r="G17391">
        <v>0</v>
      </c>
      <c r="H17391" t="s">
        <v>22228</v>
      </c>
      <c r="I17391">
        <v>19798</v>
      </c>
      <c r="J17391" t="str">
        <f>VLOOKUP(E17391,DSSpieler!A:B,2,FALSE)</f>
        <v>t1o2m3</v>
      </c>
    </row>
    <row r="17392" spans="1:10" x14ac:dyDescent="0.25">
      <c r="A17392">
        <v>19799</v>
      </c>
      <c r="B17392" t="s">
        <v>3840</v>
      </c>
      <c r="C17392">
        <v>482</v>
      </c>
      <c r="D17392">
        <v>630</v>
      </c>
      <c r="E17392">
        <v>1577207843</v>
      </c>
      <c r="F17392">
        <v>665</v>
      </c>
      <c r="G17392">
        <v>0</v>
      </c>
      <c r="H17392" t="s">
        <v>22229</v>
      </c>
      <c r="I17392">
        <v>19799</v>
      </c>
      <c r="J17392" t="str">
        <f>VLOOKUP(E17392,DSSpieler!A:B,2,FALSE)</f>
        <v>DarkDamone</v>
      </c>
    </row>
    <row r="17393" spans="1:10" x14ac:dyDescent="0.25">
      <c r="A17393">
        <v>19800</v>
      </c>
      <c r="B17393" t="s">
        <v>3841</v>
      </c>
      <c r="C17393">
        <v>373</v>
      </c>
      <c r="D17393">
        <v>475</v>
      </c>
      <c r="E17393">
        <v>1577192736</v>
      </c>
      <c r="F17393">
        <v>41</v>
      </c>
      <c r="G17393">
        <v>0</v>
      </c>
      <c r="H17393" t="s">
        <v>22230</v>
      </c>
      <c r="I17393">
        <v>19800</v>
      </c>
      <c r="J17393" t="str">
        <f>VLOOKUP(E17393,DSSpieler!A:B,2,FALSE)</f>
        <v>Catweazle 2.0</v>
      </c>
    </row>
    <row r="17394" spans="1:10" x14ac:dyDescent="0.25">
      <c r="A17394">
        <v>19801</v>
      </c>
      <c r="B17394" t="s">
        <v>3842</v>
      </c>
      <c r="C17394">
        <v>496</v>
      </c>
      <c r="D17394">
        <v>634</v>
      </c>
      <c r="E17394">
        <v>1577178726</v>
      </c>
      <c r="F17394">
        <v>26</v>
      </c>
      <c r="G17394">
        <v>0</v>
      </c>
      <c r="H17394" t="s">
        <v>22231</v>
      </c>
      <c r="I17394">
        <v>19801</v>
      </c>
      <c r="J17394" t="str">
        <f>VLOOKUP(E17394,DSSpieler!A:B,2,FALSE)</f>
        <v>EspressoRistretto</v>
      </c>
    </row>
    <row r="17395" spans="1:10" x14ac:dyDescent="0.25">
      <c r="A17395">
        <v>19804</v>
      </c>
      <c r="B17395" t="s">
        <v>3843</v>
      </c>
      <c r="C17395">
        <v>535</v>
      </c>
      <c r="D17395">
        <v>392</v>
      </c>
      <c r="E17395">
        <v>1577192624</v>
      </c>
      <c r="F17395">
        <v>144</v>
      </c>
      <c r="G17395">
        <v>0</v>
      </c>
      <c r="H17395" t="s">
        <v>22232</v>
      </c>
      <c r="I17395">
        <v>19804</v>
      </c>
      <c r="J17395" t="str">
        <f>VLOOKUP(E17395,DSSpieler!A:B,2,FALSE)</f>
        <v>iceman87</v>
      </c>
    </row>
    <row r="17396" spans="1:10" x14ac:dyDescent="0.25">
      <c r="A17396">
        <v>19805</v>
      </c>
      <c r="B17396" t="s">
        <v>3844</v>
      </c>
      <c r="C17396">
        <v>543</v>
      </c>
      <c r="D17396">
        <v>377</v>
      </c>
      <c r="E17396">
        <v>1577178367</v>
      </c>
      <c r="F17396">
        <v>596</v>
      </c>
      <c r="G17396">
        <v>0</v>
      </c>
      <c r="H17396" t="s">
        <v>22233</v>
      </c>
      <c r="I17396">
        <v>19805</v>
      </c>
      <c r="J17396" t="str">
        <f>VLOOKUP(E17396,DSSpieler!A:B,2,FALSE)</f>
        <v>Schmidster</v>
      </c>
    </row>
    <row r="17397" spans="1:10" x14ac:dyDescent="0.25">
      <c r="A17397">
        <v>19806</v>
      </c>
      <c r="B17397" t="s">
        <v>531</v>
      </c>
      <c r="C17397">
        <v>438</v>
      </c>
      <c r="D17397">
        <v>385</v>
      </c>
      <c r="E17397">
        <v>0</v>
      </c>
      <c r="F17397">
        <v>97</v>
      </c>
      <c r="G17397">
        <v>0</v>
      </c>
      <c r="H17397" t="s">
        <v>22234</v>
      </c>
      <c r="I17397">
        <v>19806</v>
      </c>
      <c r="J17397" t="e">
        <f>VLOOKUP(E17397,DSSpieler!A:B,2,FALSE)</f>
        <v>#N/A</v>
      </c>
    </row>
    <row r="17398" spans="1:10" x14ac:dyDescent="0.25">
      <c r="A17398">
        <v>19807</v>
      </c>
      <c r="B17398" t="s">
        <v>3845</v>
      </c>
      <c r="C17398">
        <v>421</v>
      </c>
      <c r="D17398">
        <v>608</v>
      </c>
      <c r="E17398">
        <v>9615440</v>
      </c>
      <c r="F17398">
        <v>57</v>
      </c>
      <c r="G17398">
        <v>0</v>
      </c>
      <c r="H17398" t="s">
        <v>22235</v>
      </c>
      <c r="I17398">
        <v>19807</v>
      </c>
      <c r="J17398" t="str">
        <f>VLOOKUP(E17398,DSSpieler!A:B,2,FALSE)</f>
        <v>stephander12</v>
      </c>
    </row>
    <row r="17399" spans="1:10" x14ac:dyDescent="0.25">
      <c r="A17399">
        <v>19808</v>
      </c>
      <c r="B17399" t="s">
        <v>3846</v>
      </c>
      <c r="C17399">
        <v>522</v>
      </c>
      <c r="D17399">
        <v>630</v>
      </c>
      <c r="E17399">
        <v>1577207846</v>
      </c>
      <c r="F17399">
        <v>875</v>
      </c>
      <c r="G17399">
        <v>0</v>
      </c>
      <c r="H17399" t="s">
        <v>22236</v>
      </c>
      <c r="I17399">
        <v>19808</v>
      </c>
      <c r="J17399" t="str">
        <f>VLOOKUP(E17399,DSSpieler!A:B,2,FALSE)</f>
        <v>randomplayer</v>
      </c>
    </row>
    <row r="17400" spans="1:10" x14ac:dyDescent="0.25">
      <c r="A17400">
        <v>19809</v>
      </c>
      <c r="B17400" t="s">
        <v>3847</v>
      </c>
      <c r="C17400">
        <v>632</v>
      </c>
      <c r="D17400">
        <v>473</v>
      </c>
      <c r="E17400">
        <v>716159</v>
      </c>
      <c r="F17400">
        <v>26</v>
      </c>
      <c r="G17400">
        <v>0</v>
      </c>
      <c r="H17400" t="s">
        <v>22237</v>
      </c>
      <c r="I17400">
        <v>19809</v>
      </c>
      <c r="J17400" t="str">
        <f>VLOOKUP(E17400,DSSpieler!A:B,2,FALSE)</f>
        <v>Capio</v>
      </c>
    </row>
    <row r="17401" spans="1:10" x14ac:dyDescent="0.25">
      <c r="A17401">
        <v>19810</v>
      </c>
      <c r="B17401" t="s">
        <v>3848</v>
      </c>
      <c r="C17401">
        <v>558</v>
      </c>
      <c r="D17401">
        <v>446</v>
      </c>
      <c r="E17401">
        <v>1577207851</v>
      </c>
      <c r="F17401">
        <v>687</v>
      </c>
      <c r="G17401">
        <v>0</v>
      </c>
      <c r="H17401" t="s">
        <v>22238</v>
      </c>
      <c r="I17401">
        <v>19810</v>
      </c>
      <c r="J17401" t="str">
        <f>VLOOKUP(E17401,DSSpieler!A:B,2,FALSE)</f>
        <v>Schlechtwetterfront</v>
      </c>
    </row>
    <row r="17402" spans="1:10" x14ac:dyDescent="0.25">
      <c r="A17402">
        <v>19811</v>
      </c>
      <c r="B17402" t="s">
        <v>3849</v>
      </c>
      <c r="C17402">
        <v>389</v>
      </c>
      <c r="D17402">
        <v>421</v>
      </c>
      <c r="E17402">
        <v>10246937</v>
      </c>
      <c r="F17402">
        <v>453</v>
      </c>
      <c r="G17402">
        <v>0</v>
      </c>
      <c r="H17402" t="s">
        <v>22239</v>
      </c>
      <c r="I17402">
        <v>19811</v>
      </c>
      <c r="J17402" t="str">
        <f>VLOOKUP(E17402,DSSpieler!A:B,2,FALSE)</f>
        <v>kadie</v>
      </c>
    </row>
    <row r="17403" spans="1:10" x14ac:dyDescent="0.25">
      <c r="A17403">
        <v>19812</v>
      </c>
      <c r="B17403" t="s">
        <v>3850</v>
      </c>
      <c r="C17403">
        <v>390</v>
      </c>
      <c r="D17403">
        <v>425</v>
      </c>
      <c r="E17403">
        <v>1577040375</v>
      </c>
      <c r="F17403">
        <v>1057</v>
      </c>
      <c r="G17403">
        <v>0</v>
      </c>
      <c r="H17403" t="s">
        <v>22240</v>
      </c>
      <c r="I17403">
        <v>19812</v>
      </c>
      <c r="J17403" t="str">
        <f>VLOOKUP(E17403,DSSpieler!A:B,2,FALSE)</f>
        <v>DonCorleone3103</v>
      </c>
    </row>
    <row r="17404" spans="1:10" x14ac:dyDescent="0.25">
      <c r="A17404">
        <v>19813</v>
      </c>
      <c r="B17404" t="s">
        <v>3851</v>
      </c>
      <c r="C17404">
        <v>535</v>
      </c>
      <c r="D17404">
        <v>396</v>
      </c>
      <c r="E17404">
        <v>1577195288</v>
      </c>
      <c r="F17404">
        <v>185</v>
      </c>
      <c r="G17404">
        <v>0</v>
      </c>
      <c r="H17404" t="s">
        <v>22241</v>
      </c>
      <c r="I17404">
        <v>19813</v>
      </c>
      <c r="J17404" t="str">
        <f>VLOOKUP(E17404,DSSpieler!A:B,2,FALSE)</f>
        <v>fazerkex</v>
      </c>
    </row>
    <row r="17405" spans="1:10" x14ac:dyDescent="0.25">
      <c r="A17405">
        <v>19814</v>
      </c>
      <c r="B17405" t="s">
        <v>3852</v>
      </c>
      <c r="C17405">
        <v>513</v>
      </c>
      <c r="D17405">
        <v>632</v>
      </c>
      <c r="E17405">
        <v>8398126</v>
      </c>
      <c r="F17405">
        <v>864</v>
      </c>
      <c r="G17405">
        <v>0</v>
      </c>
      <c r="H17405" t="s">
        <v>22242</v>
      </c>
      <c r="I17405">
        <v>19814</v>
      </c>
      <c r="J17405" t="str">
        <f>VLOOKUP(E17405,DSSpieler!A:B,2,FALSE)</f>
        <v>luca210</v>
      </c>
    </row>
    <row r="17406" spans="1:10" x14ac:dyDescent="0.25">
      <c r="A17406">
        <v>19815</v>
      </c>
      <c r="B17406" t="s">
        <v>3853</v>
      </c>
      <c r="C17406">
        <v>366</v>
      </c>
      <c r="D17406">
        <v>519</v>
      </c>
      <c r="E17406">
        <v>2884541</v>
      </c>
      <c r="F17406">
        <v>969</v>
      </c>
      <c r="G17406">
        <v>0</v>
      </c>
      <c r="H17406" t="s">
        <v>22243</v>
      </c>
      <c r="I17406">
        <v>19815</v>
      </c>
      <c r="J17406" t="str">
        <f>VLOOKUP(E17406,DSSpieler!A:B,2,FALSE)</f>
        <v>Lord Aries</v>
      </c>
    </row>
    <row r="17407" spans="1:10" x14ac:dyDescent="0.25">
      <c r="A17407">
        <v>19817</v>
      </c>
      <c r="B17407" t="s">
        <v>3854</v>
      </c>
      <c r="C17407">
        <v>570</v>
      </c>
      <c r="D17407">
        <v>389</v>
      </c>
      <c r="E17407">
        <v>10122584</v>
      </c>
      <c r="F17407">
        <v>97</v>
      </c>
      <c r="G17407">
        <v>0</v>
      </c>
      <c r="H17407" t="s">
        <v>22244</v>
      </c>
      <c r="I17407">
        <v>19817</v>
      </c>
      <c r="J17407" t="str">
        <f>VLOOKUP(E17407,DSSpieler!A:B,2,FALSE)</f>
        <v>Sachse89</v>
      </c>
    </row>
    <row r="17408" spans="1:10" x14ac:dyDescent="0.25">
      <c r="A17408">
        <v>19818</v>
      </c>
      <c r="B17408" t="s">
        <v>3855</v>
      </c>
      <c r="C17408">
        <v>484</v>
      </c>
      <c r="D17408">
        <v>387</v>
      </c>
      <c r="E17408">
        <v>1577202361</v>
      </c>
      <c r="F17408">
        <v>899</v>
      </c>
      <c r="G17408">
        <v>0</v>
      </c>
      <c r="H17408" t="s">
        <v>22245</v>
      </c>
      <c r="I17408">
        <v>19818</v>
      </c>
      <c r="J17408" t="str">
        <f>VLOOKUP(E17408,DSSpieler!A:B,2,FALSE)</f>
        <v>LowerBob</v>
      </c>
    </row>
    <row r="17409" spans="1:10" x14ac:dyDescent="0.25">
      <c r="A17409">
        <v>19820</v>
      </c>
      <c r="B17409" t="s">
        <v>531</v>
      </c>
      <c r="C17409">
        <v>391</v>
      </c>
      <c r="D17409">
        <v>424</v>
      </c>
      <c r="E17409">
        <v>0</v>
      </c>
      <c r="F17409">
        <v>69</v>
      </c>
      <c r="G17409">
        <v>0</v>
      </c>
      <c r="H17409" t="s">
        <v>22246</v>
      </c>
      <c r="I17409">
        <v>19820</v>
      </c>
      <c r="J17409" t="e">
        <f>VLOOKUP(E17409,DSSpieler!A:B,2,FALSE)</f>
        <v>#N/A</v>
      </c>
    </row>
    <row r="17410" spans="1:10" x14ac:dyDescent="0.25">
      <c r="A17410">
        <v>19821</v>
      </c>
      <c r="B17410">
        <v>1</v>
      </c>
      <c r="C17410">
        <v>394</v>
      </c>
      <c r="D17410">
        <v>422</v>
      </c>
      <c r="E17410">
        <v>1577137352</v>
      </c>
      <c r="F17410">
        <v>284</v>
      </c>
      <c r="G17410">
        <v>0</v>
      </c>
      <c r="H17410" t="s">
        <v>22247</v>
      </c>
      <c r="I17410">
        <v>19821</v>
      </c>
      <c r="J17410" t="str">
        <f>VLOOKUP(E17410,DSSpieler!A:B,2,FALSE)</f>
        <v>Katinz</v>
      </c>
    </row>
    <row r="17411" spans="1:10" x14ac:dyDescent="0.25">
      <c r="A17411">
        <v>19822</v>
      </c>
      <c r="B17411" t="s">
        <v>3856</v>
      </c>
      <c r="C17411">
        <v>493</v>
      </c>
      <c r="D17411">
        <v>462</v>
      </c>
      <c r="E17411">
        <v>1577157731</v>
      </c>
      <c r="F17411">
        <v>369</v>
      </c>
      <c r="G17411">
        <v>0</v>
      </c>
      <c r="H17411" t="s">
        <v>22248</v>
      </c>
      <c r="I17411">
        <v>19822</v>
      </c>
      <c r="J17411" t="str">
        <f>VLOOKUP(E17411,DSSpieler!A:B,2,FALSE)</f>
        <v>miezunder12</v>
      </c>
    </row>
    <row r="17412" spans="1:10" x14ac:dyDescent="0.25">
      <c r="A17412">
        <v>19823</v>
      </c>
      <c r="B17412" t="s">
        <v>3857</v>
      </c>
      <c r="C17412">
        <v>621</v>
      </c>
      <c r="D17412">
        <v>553</v>
      </c>
      <c r="E17412">
        <v>1577197935</v>
      </c>
      <c r="F17412">
        <v>26</v>
      </c>
      <c r="G17412">
        <v>0</v>
      </c>
      <c r="H17412" t="s">
        <v>22249</v>
      </c>
      <c r="I17412">
        <v>19823</v>
      </c>
      <c r="J17412" t="str">
        <f>VLOOKUP(E17412,DSSpieler!A:B,2,FALSE)</f>
        <v>SBL AUT</v>
      </c>
    </row>
    <row r="17413" spans="1:10" x14ac:dyDescent="0.25">
      <c r="A17413">
        <v>19824</v>
      </c>
      <c r="B17413" t="s">
        <v>643</v>
      </c>
      <c r="C17413">
        <v>631</v>
      </c>
      <c r="D17413">
        <v>473</v>
      </c>
      <c r="E17413">
        <v>688886</v>
      </c>
      <c r="F17413">
        <v>537</v>
      </c>
      <c r="G17413">
        <v>0</v>
      </c>
      <c r="H17413" t="s">
        <v>22250</v>
      </c>
      <c r="I17413">
        <v>19824</v>
      </c>
      <c r="J17413" t="str">
        <f>VLOOKUP(E17413,DSSpieler!A:B,2,FALSE)</f>
        <v>Horschtt</v>
      </c>
    </row>
    <row r="17414" spans="1:10" x14ac:dyDescent="0.25">
      <c r="A17414">
        <v>19825</v>
      </c>
      <c r="B17414" t="s">
        <v>3858</v>
      </c>
      <c r="C17414">
        <v>416</v>
      </c>
      <c r="D17414">
        <v>606</v>
      </c>
      <c r="E17414">
        <v>1576996347</v>
      </c>
      <c r="F17414">
        <v>562</v>
      </c>
      <c r="G17414">
        <v>0</v>
      </c>
      <c r="H17414" t="s">
        <v>22251</v>
      </c>
      <c r="I17414">
        <v>19825</v>
      </c>
      <c r="J17414" t="str">
        <f>VLOOKUP(E17414,DSSpieler!A:B,2,FALSE)</f>
        <v>Graf v. Neckartal</v>
      </c>
    </row>
    <row r="17415" spans="1:10" x14ac:dyDescent="0.25">
      <c r="A17415">
        <v>19826</v>
      </c>
      <c r="B17415" t="s">
        <v>3859</v>
      </c>
      <c r="C17415">
        <v>470</v>
      </c>
      <c r="D17415">
        <v>390</v>
      </c>
      <c r="E17415">
        <v>1577109476</v>
      </c>
      <c r="F17415">
        <v>784</v>
      </c>
      <c r="G17415">
        <v>0</v>
      </c>
      <c r="H17415" t="s">
        <v>22252</v>
      </c>
      <c r="I17415">
        <v>19826</v>
      </c>
      <c r="J17415" t="str">
        <f>VLOOKUP(E17415,DSSpieler!A:B,2,FALSE)</f>
        <v>hatschib17</v>
      </c>
    </row>
    <row r="17416" spans="1:10" x14ac:dyDescent="0.25">
      <c r="A17416">
        <v>19827</v>
      </c>
      <c r="B17416" t="s">
        <v>3860</v>
      </c>
      <c r="C17416">
        <v>589</v>
      </c>
      <c r="D17416">
        <v>401</v>
      </c>
      <c r="E17416">
        <v>1577203863</v>
      </c>
      <c r="F17416">
        <v>150</v>
      </c>
      <c r="G17416">
        <v>0</v>
      </c>
      <c r="H17416" t="s">
        <v>22253</v>
      </c>
      <c r="I17416">
        <v>19827</v>
      </c>
      <c r="J17416" t="str">
        <f>VLOOKUP(E17416,DSSpieler!A:B,2,FALSE)</f>
        <v>Hannes778</v>
      </c>
    </row>
    <row r="17417" spans="1:10" x14ac:dyDescent="0.25">
      <c r="A17417">
        <v>19828</v>
      </c>
      <c r="B17417" t="s">
        <v>3861</v>
      </c>
      <c r="C17417">
        <v>479</v>
      </c>
      <c r="D17417">
        <v>368</v>
      </c>
      <c r="E17417">
        <v>1577196888</v>
      </c>
      <c r="F17417">
        <v>32</v>
      </c>
      <c r="G17417">
        <v>0</v>
      </c>
      <c r="H17417" t="s">
        <v>22254</v>
      </c>
      <c r="I17417">
        <v>19828</v>
      </c>
      <c r="J17417" t="str">
        <f>VLOOKUP(E17417,DSSpieler!A:B,2,FALSE)</f>
        <v>Rembo</v>
      </c>
    </row>
    <row r="17418" spans="1:10" x14ac:dyDescent="0.25">
      <c r="A17418">
        <v>19829</v>
      </c>
      <c r="B17418" t="s">
        <v>3862</v>
      </c>
      <c r="C17418">
        <v>520</v>
      </c>
      <c r="D17418">
        <v>368</v>
      </c>
      <c r="E17418">
        <v>8260921</v>
      </c>
      <c r="F17418">
        <v>629</v>
      </c>
      <c r="G17418">
        <v>0</v>
      </c>
      <c r="H17418" t="s">
        <v>22255</v>
      </c>
      <c r="I17418">
        <v>19829</v>
      </c>
      <c r="J17418" t="str">
        <f>VLOOKUP(E17418,DSSpieler!A:B,2,FALSE)</f>
        <v>Graf Herzer</v>
      </c>
    </row>
    <row r="17419" spans="1:10" x14ac:dyDescent="0.25">
      <c r="A17419">
        <v>19831</v>
      </c>
      <c r="B17419" t="s">
        <v>3863</v>
      </c>
      <c r="C17419">
        <v>390</v>
      </c>
      <c r="D17419">
        <v>553</v>
      </c>
      <c r="E17419">
        <v>8802572</v>
      </c>
      <c r="F17419">
        <v>565</v>
      </c>
      <c r="G17419">
        <v>0</v>
      </c>
      <c r="H17419" t="s">
        <v>22256</v>
      </c>
      <c r="I17419">
        <v>19831</v>
      </c>
      <c r="J17419" t="str">
        <f>VLOOKUP(E17419,DSSpieler!A:B,2,FALSE)</f>
        <v>Lukrezia Borgia</v>
      </c>
    </row>
    <row r="17420" spans="1:10" x14ac:dyDescent="0.25">
      <c r="A17420">
        <v>19832</v>
      </c>
      <c r="B17420" t="s">
        <v>3864</v>
      </c>
      <c r="C17420">
        <v>457</v>
      </c>
      <c r="D17420">
        <v>596</v>
      </c>
      <c r="E17420">
        <v>8363828</v>
      </c>
      <c r="F17420">
        <v>449</v>
      </c>
      <c r="G17420">
        <v>0</v>
      </c>
      <c r="H17420" t="s">
        <v>22257</v>
      </c>
      <c r="I17420">
        <v>19832</v>
      </c>
      <c r="J17420" t="str">
        <f>VLOOKUP(E17420,DSSpieler!A:B,2,FALSE)</f>
        <v>lord fussl</v>
      </c>
    </row>
    <row r="17421" spans="1:10" x14ac:dyDescent="0.25">
      <c r="A17421">
        <v>19833</v>
      </c>
      <c r="B17421" t="s">
        <v>531</v>
      </c>
      <c r="C17421">
        <v>434</v>
      </c>
      <c r="D17421">
        <v>613</v>
      </c>
      <c r="E17421">
        <v>0</v>
      </c>
      <c r="F17421">
        <v>62</v>
      </c>
      <c r="G17421">
        <v>0</v>
      </c>
      <c r="H17421" t="s">
        <v>22258</v>
      </c>
      <c r="I17421">
        <v>19833</v>
      </c>
      <c r="J17421" t="e">
        <f>VLOOKUP(E17421,DSSpieler!A:B,2,FALSE)</f>
        <v>#N/A</v>
      </c>
    </row>
    <row r="17422" spans="1:10" x14ac:dyDescent="0.25">
      <c r="A17422">
        <v>19834</v>
      </c>
      <c r="B17422" t="s">
        <v>3865</v>
      </c>
      <c r="C17422">
        <v>495</v>
      </c>
      <c r="D17422">
        <v>364</v>
      </c>
      <c r="E17422">
        <v>1388726</v>
      </c>
      <c r="F17422">
        <v>838</v>
      </c>
      <c r="G17422">
        <v>0</v>
      </c>
      <c r="H17422" t="s">
        <v>22259</v>
      </c>
      <c r="I17422">
        <v>19834</v>
      </c>
      <c r="J17422" t="str">
        <f>VLOOKUP(E17422,DSSpieler!A:B,2,FALSE)</f>
        <v>nick77933</v>
      </c>
    </row>
    <row r="17423" spans="1:10" x14ac:dyDescent="0.25">
      <c r="A17423">
        <v>19835</v>
      </c>
      <c r="B17423" t="s">
        <v>3866</v>
      </c>
      <c r="C17423">
        <v>369</v>
      </c>
      <c r="D17423">
        <v>513</v>
      </c>
      <c r="E17423">
        <v>1577198288</v>
      </c>
      <c r="F17423">
        <v>38</v>
      </c>
      <c r="G17423">
        <v>0</v>
      </c>
      <c r="H17423" t="s">
        <v>22260</v>
      </c>
      <c r="I17423">
        <v>19835</v>
      </c>
      <c r="J17423" t="str">
        <f>VLOOKUP(E17423,DSSpieler!A:B,2,FALSE)</f>
        <v>Bl3nd97</v>
      </c>
    </row>
    <row r="17424" spans="1:10" x14ac:dyDescent="0.25">
      <c r="A17424">
        <v>19837</v>
      </c>
      <c r="B17424" t="s">
        <v>3867</v>
      </c>
      <c r="C17424">
        <v>385</v>
      </c>
      <c r="D17424">
        <v>437</v>
      </c>
      <c r="E17424">
        <v>1577207886</v>
      </c>
      <c r="F17424">
        <v>81</v>
      </c>
      <c r="G17424">
        <v>0</v>
      </c>
      <c r="H17424" t="s">
        <v>22261</v>
      </c>
      <c r="I17424">
        <v>19837</v>
      </c>
      <c r="J17424" t="str">
        <f>VLOOKUP(E17424,DSSpieler!A:B,2,FALSE)</f>
        <v>IrgendeinGamer</v>
      </c>
    </row>
    <row r="17425" spans="1:10" x14ac:dyDescent="0.25">
      <c r="A17425">
        <v>19838</v>
      </c>
      <c r="B17425" t="s">
        <v>531</v>
      </c>
      <c r="C17425">
        <v>370</v>
      </c>
      <c r="D17425">
        <v>486</v>
      </c>
      <c r="E17425">
        <v>0</v>
      </c>
      <c r="F17425">
        <v>107</v>
      </c>
      <c r="G17425">
        <v>0</v>
      </c>
      <c r="H17425" t="s">
        <v>22262</v>
      </c>
      <c r="I17425">
        <v>19838</v>
      </c>
      <c r="J17425" t="e">
        <f>VLOOKUP(E17425,DSSpieler!A:B,2,FALSE)</f>
        <v>#N/A</v>
      </c>
    </row>
    <row r="17426" spans="1:10" x14ac:dyDescent="0.25">
      <c r="A17426">
        <v>19839</v>
      </c>
      <c r="B17426" t="s">
        <v>3868</v>
      </c>
      <c r="C17426">
        <v>376</v>
      </c>
      <c r="D17426">
        <v>446</v>
      </c>
      <c r="E17426">
        <v>1576755280</v>
      </c>
      <c r="F17426">
        <v>385</v>
      </c>
      <c r="G17426">
        <v>0</v>
      </c>
      <c r="H17426" t="s">
        <v>22263</v>
      </c>
      <c r="I17426">
        <v>19839</v>
      </c>
      <c r="J17426" t="str">
        <f>VLOOKUP(E17426,DSSpieler!A:B,2,FALSE)</f>
        <v>Farmer62</v>
      </c>
    </row>
    <row r="17427" spans="1:10" x14ac:dyDescent="0.25">
      <c r="A17427">
        <v>19840</v>
      </c>
      <c r="B17427" t="s">
        <v>3869</v>
      </c>
      <c r="C17427">
        <v>474</v>
      </c>
      <c r="D17427">
        <v>631</v>
      </c>
      <c r="E17427">
        <v>10033144</v>
      </c>
      <c r="F17427">
        <v>26</v>
      </c>
      <c r="G17427">
        <v>0</v>
      </c>
      <c r="H17427" t="s">
        <v>22264</v>
      </c>
      <c r="I17427">
        <v>19840</v>
      </c>
      <c r="J17427" t="str">
        <f>VLOOKUP(E17427,DSSpieler!A:B,2,FALSE)</f>
        <v>Rockywuff</v>
      </c>
    </row>
    <row r="17428" spans="1:10" x14ac:dyDescent="0.25">
      <c r="A17428">
        <v>19841</v>
      </c>
      <c r="B17428" t="s">
        <v>531</v>
      </c>
      <c r="C17428">
        <v>633</v>
      </c>
      <c r="D17428">
        <v>493</v>
      </c>
      <c r="E17428">
        <v>0</v>
      </c>
      <c r="F17428">
        <v>89</v>
      </c>
      <c r="G17428">
        <v>0</v>
      </c>
      <c r="H17428" t="s">
        <v>22265</v>
      </c>
      <c r="I17428">
        <v>19841</v>
      </c>
      <c r="J17428" t="e">
        <f>VLOOKUP(E17428,DSSpieler!A:B,2,FALSE)</f>
        <v>#N/A</v>
      </c>
    </row>
    <row r="17429" spans="1:10" x14ac:dyDescent="0.25">
      <c r="A17429">
        <v>19844</v>
      </c>
      <c r="B17429" t="s">
        <v>3870</v>
      </c>
      <c r="C17429">
        <v>576</v>
      </c>
      <c r="D17429">
        <v>525</v>
      </c>
      <c r="E17429">
        <v>3231741</v>
      </c>
      <c r="F17429">
        <v>26</v>
      </c>
      <c r="G17429">
        <v>0</v>
      </c>
      <c r="H17429" t="s">
        <v>22266</v>
      </c>
      <c r="I17429">
        <v>19844</v>
      </c>
      <c r="J17429" t="str">
        <f>VLOOKUP(E17429,DSSpieler!A:B,2,FALSE)</f>
        <v>Sebastiano 100</v>
      </c>
    </row>
    <row r="17430" spans="1:10" x14ac:dyDescent="0.25">
      <c r="A17430">
        <v>19845</v>
      </c>
      <c r="B17430" t="s">
        <v>531</v>
      </c>
      <c r="C17430">
        <v>389</v>
      </c>
      <c r="D17430">
        <v>427</v>
      </c>
      <c r="E17430">
        <v>0</v>
      </c>
      <c r="F17430">
        <v>90</v>
      </c>
      <c r="G17430">
        <v>0</v>
      </c>
      <c r="H17430" t="s">
        <v>22267</v>
      </c>
      <c r="I17430">
        <v>19845</v>
      </c>
      <c r="J17430" t="e">
        <f>VLOOKUP(E17430,DSSpieler!A:B,2,FALSE)</f>
        <v>#N/A</v>
      </c>
    </row>
    <row r="17431" spans="1:10" x14ac:dyDescent="0.25">
      <c r="A17431">
        <v>19846</v>
      </c>
      <c r="B17431">
        <v>1</v>
      </c>
      <c r="C17431">
        <v>506</v>
      </c>
      <c r="D17431">
        <v>387</v>
      </c>
      <c r="E17431">
        <v>3454576</v>
      </c>
      <c r="F17431">
        <v>465</v>
      </c>
      <c r="G17431">
        <v>0</v>
      </c>
      <c r="H17431" t="s">
        <v>22268</v>
      </c>
      <c r="I17431">
        <v>19846</v>
      </c>
      <c r="J17431" t="str">
        <f>VLOOKUP(E17431,DSSpieler!A:B,2,FALSE)</f>
        <v>Schakal054</v>
      </c>
    </row>
    <row r="17432" spans="1:10" x14ac:dyDescent="0.25">
      <c r="A17432">
        <v>19847</v>
      </c>
      <c r="B17432" t="s">
        <v>3871</v>
      </c>
      <c r="C17432">
        <v>375</v>
      </c>
      <c r="D17432">
        <v>459</v>
      </c>
      <c r="E17432">
        <v>1577186793</v>
      </c>
      <c r="F17432">
        <v>138</v>
      </c>
      <c r="G17432">
        <v>0</v>
      </c>
      <c r="H17432" t="s">
        <v>22269</v>
      </c>
      <c r="I17432">
        <v>19847</v>
      </c>
      <c r="J17432" t="str">
        <f>VLOOKUP(E17432,DSSpieler!A:B,2,FALSE)</f>
        <v>nightraider4</v>
      </c>
    </row>
    <row r="17433" spans="1:10" x14ac:dyDescent="0.25">
      <c r="A17433">
        <v>19848</v>
      </c>
      <c r="B17433" t="s">
        <v>3872</v>
      </c>
      <c r="C17433">
        <v>384</v>
      </c>
      <c r="D17433">
        <v>497</v>
      </c>
      <c r="E17433">
        <v>1577165095</v>
      </c>
      <c r="F17433">
        <v>406</v>
      </c>
      <c r="G17433">
        <v>0</v>
      </c>
      <c r="H17433" t="s">
        <v>22270</v>
      </c>
      <c r="I17433">
        <v>19848</v>
      </c>
      <c r="J17433" t="str">
        <f>VLOOKUP(E17433,DSSpieler!A:B,2,FALSE)</f>
        <v>SoWag</v>
      </c>
    </row>
    <row r="17434" spans="1:10" x14ac:dyDescent="0.25">
      <c r="A17434">
        <v>19849</v>
      </c>
      <c r="B17434" t="s">
        <v>3873</v>
      </c>
      <c r="C17434">
        <v>377</v>
      </c>
      <c r="D17434">
        <v>496</v>
      </c>
      <c r="E17434">
        <v>1577184495</v>
      </c>
      <c r="F17434">
        <v>496</v>
      </c>
      <c r="G17434">
        <v>0</v>
      </c>
      <c r="H17434" t="s">
        <v>22271</v>
      </c>
      <c r="I17434">
        <v>19849</v>
      </c>
      <c r="J17434" t="str">
        <f>VLOOKUP(E17434,DSSpieler!A:B,2,FALSE)</f>
        <v>Maenju1905</v>
      </c>
    </row>
    <row r="17435" spans="1:10" x14ac:dyDescent="0.25">
      <c r="A17435">
        <v>19850</v>
      </c>
      <c r="B17435" t="s">
        <v>3874</v>
      </c>
      <c r="C17435">
        <v>474</v>
      </c>
      <c r="D17435">
        <v>484</v>
      </c>
      <c r="E17435">
        <v>9916738</v>
      </c>
      <c r="F17435">
        <v>858</v>
      </c>
      <c r="G17435">
        <v>0</v>
      </c>
      <c r="H17435" t="s">
        <v>22272</v>
      </c>
      <c r="I17435">
        <v>19850</v>
      </c>
      <c r="J17435" t="str">
        <f>VLOOKUP(E17435,DSSpieler!A:B,2,FALSE)</f>
        <v>Tr.General</v>
      </c>
    </row>
    <row r="17436" spans="1:10" x14ac:dyDescent="0.25">
      <c r="A17436">
        <v>19851</v>
      </c>
      <c r="B17436" t="s">
        <v>3875</v>
      </c>
      <c r="C17436">
        <v>631</v>
      </c>
      <c r="D17436">
        <v>488</v>
      </c>
      <c r="E17436">
        <v>1576042992</v>
      </c>
      <c r="F17436">
        <v>26</v>
      </c>
      <c r="G17436">
        <v>0</v>
      </c>
      <c r="H17436" t="s">
        <v>22273</v>
      </c>
      <c r="I17436">
        <v>19851</v>
      </c>
      <c r="J17436" t="str">
        <f>VLOOKUP(E17436,DSSpieler!A:B,2,FALSE)</f>
        <v>R3AG</v>
      </c>
    </row>
    <row r="17437" spans="1:10" x14ac:dyDescent="0.25">
      <c r="A17437">
        <v>19854</v>
      </c>
      <c r="B17437" t="s">
        <v>3876</v>
      </c>
      <c r="C17437">
        <v>624</v>
      </c>
      <c r="D17437">
        <v>441</v>
      </c>
      <c r="E17437">
        <v>1577207905</v>
      </c>
      <c r="F17437">
        <v>664</v>
      </c>
      <c r="G17437">
        <v>0</v>
      </c>
      <c r="H17437" t="s">
        <v>22274</v>
      </c>
      <c r="I17437">
        <v>19854</v>
      </c>
      <c r="J17437" t="str">
        <f>VLOOKUP(E17437,DSSpieler!A:B,2,FALSE)</f>
        <v>Ziyo</v>
      </c>
    </row>
    <row r="17438" spans="1:10" x14ac:dyDescent="0.25">
      <c r="A17438">
        <v>19855</v>
      </c>
      <c r="B17438" t="s">
        <v>3877</v>
      </c>
      <c r="C17438">
        <v>424</v>
      </c>
      <c r="D17438">
        <v>392</v>
      </c>
      <c r="E17438">
        <v>1577143932</v>
      </c>
      <c r="F17438">
        <v>26</v>
      </c>
      <c r="G17438">
        <v>0</v>
      </c>
      <c r="H17438" t="s">
        <v>22275</v>
      </c>
      <c r="I17438">
        <v>19855</v>
      </c>
      <c r="J17438" t="str">
        <f>VLOOKUP(E17438,DSSpieler!A:B,2,FALSE)</f>
        <v>Ellalonna</v>
      </c>
    </row>
    <row r="17439" spans="1:10" x14ac:dyDescent="0.25">
      <c r="A17439">
        <v>19856</v>
      </c>
      <c r="B17439" t="s">
        <v>3878</v>
      </c>
      <c r="C17439">
        <v>528</v>
      </c>
      <c r="D17439">
        <v>368</v>
      </c>
      <c r="E17439">
        <v>1576350475</v>
      </c>
      <c r="F17439">
        <v>182</v>
      </c>
      <c r="G17439">
        <v>0</v>
      </c>
      <c r="H17439" t="s">
        <v>22276</v>
      </c>
      <c r="I17439">
        <v>19856</v>
      </c>
      <c r="J17439" t="str">
        <f>VLOOKUP(E17439,DSSpieler!A:B,2,FALSE)</f>
        <v>KeyRun</v>
      </c>
    </row>
    <row r="17440" spans="1:10" x14ac:dyDescent="0.25">
      <c r="A17440">
        <v>19857</v>
      </c>
      <c r="B17440" t="s">
        <v>3879</v>
      </c>
      <c r="C17440">
        <v>500</v>
      </c>
      <c r="D17440">
        <v>364</v>
      </c>
      <c r="E17440">
        <v>9090528</v>
      </c>
      <c r="F17440">
        <v>705</v>
      </c>
      <c r="G17440">
        <v>0</v>
      </c>
      <c r="H17440" t="s">
        <v>22277</v>
      </c>
      <c r="I17440">
        <v>19857</v>
      </c>
      <c r="J17440" t="str">
        <f>VLOOKUP(E17440,DSSpieler!A:B,2,FALSE)</f>
        <v>Adminflose</v>
      </c>
    </row>
    <row r="17441" spans="1:10" x14ac:dyDescent="0.25">
      <c r="A17441">
        <v>19858</v>
      </c>
      <c r="B17441" t="s">
        <v>34419</v>
      </c>
      <c r="C17441">
        <v>465</v>
      </c>
      <c r="D17441">
        <v>628</v>
      </c>
      <c r="E17441">
        <v>9718296</v>
      </c>
      <c r="F17441">
        <v>986</v>
      </c>
      <c r="G17441">
        <v>0</v>
      </c>
      <c r="H17441" t="s">
        <v>22278</v>
      </c>
      <c r="I17441">
        <v>19858</v>
      </c>
      <c r="J17441" t="str">
        <f>VLOOKUP(E17441,DSSpieler!A:B,2,FALSE)</f>
        <v>newBaby13</v>
      </c>
    </row>
    <row r="17442" spans="1:10" x14ac:dyDescent="0.25">
      <c r="A17442">
        <v>19859</v>
      </c>
      <c r="B17442" t="s">
        <v>35709</v>
      </c>
      <c r="C17442">
        <v>603</v>
      </c>
      <c r="D17442">
        <v>579</v>
      </c>
      <c r="E17442">
        <v>1576531912</v>
      </c>
      <c r="F17442">
        <v>705</v>
      </c>
      <c r="G17442">
        <v>0</v>
      </c>
      <c r="H17442" t="s">
        <v>22279</v>
      </c>
      <c r="I17442">
        <v>19859</v>
      </c>
      <c r="J17442" t="str">
        <f>VLOOKUP(E17442,DSSpieler!A:B,2,FALSE)</f>
        <v>König Jakob</v>
      </c>
    </row>
    <row r="17443" spans="1:10" x14ac:dyDescent="0.25">
      <c r="A17443">
        <v>19860</v>
      </c>
      <c r="B17443" t="s">
        <v>3880</v>
      </c>
      <c r="C17443">
        <v>453</v>
      </c>
      <c r="D17443">
        <v>483</v>
      </c>
      <c r="E17443">
        <v>1577166312</v>
      </c>
      <c r="F17443">
        <v>572</v>
      </c>
      <c r="G17443">
        <v>0</v>
      </c>
      <c r="H17443" t="s">
        <v>22280</v>
      </c>
      <c r="I17443">
        <v>19860</v>
      </c>
      <c r="J17443" t="str">
        <f>VLOOKUP(E17443,DSSpieler!A:B,2,FALSE)</f>
        <v>Calla</v>
      </c>
    </row>
    <row r="17444" spans="1:10" x14ac:dyDescent="0.25">
      <c r="A17444">
        <v>19861</v>
      </c>
      <c r="B17444" t="s">
        <v>3881</v>
      </c>
      <c r="C17444">
        <v>500</v>
      </c>
      <c r="D17444">
        <v>365</v>
      </c>
      <c r="E17444">
        <v>7880842</v>
      </c>
      <c r="F17444">
        <v>761</v>
      </c>
      <c r="G17444">
        <v>0</v>
      </c>
      <c r="H17444" t="s">
        <v>22281</v>
      </c>
      <c r="I17444">
        <v>19861</v>
      </c>
      <c r="J17444" t="str">
        <f>VLOOKUP(E17444,DSSpieler!A:B,2,FALSE)</f>
        <v>chaurus</v>
      </c>
    </row>
    <row r="17445" spans="1:10" x14ac:dyDescent="0.25">
      <c r="A17445">
        <v>19862</v>
      </c>
      <c r="B17445" t="s">
        <v>3882</v>
      </c>
      <c r="C17445">
        <v>423</v>
      </c>
      <c r="D17445">
        <v>392</v>
      </c>
      <c r="E17445">
        <v>9979514</v>
      </c>
      <c r="F17445">
        <v>184</v>
      </c>
      <c r="G17445">
        <v>0</v>
      </c>
      <c r="H17445" t="s">
        <v>22282</v>
      </c>
      <c r="I17445">
        <v>19862</v>
      </c>
      <c r="J17445" t="str">
        <f>VLOOKUP(E17445,DSSpieler!A:B,2,FALSE)</f>
        <v>tack69</v>
      </c>
    </row>
    <row r="17446" spans="1:10" x14ac:dyDescent="0.25">
      <c r="A17446">
        <v>19863</v>
      </c>
      <c r="B17446" t="s">
        <v>3883</v>
      </c>
      <c r="C17446">
        <v>379</v>
      </c>
      <c r="D17446">
        <v>495</v>
      </c>
      <c r="E17446">
        <v>1577181260</v>
      </c>
      <c r="F17446">
        <v>384</v>
      </c>
      <c r="G17446">
        <v>0</v>
      </c>
      <c r="H17446" t="s">
        <v>22283</v>
      </c>
      <c r="I17446">
        <v>19863</v>
      </c>
      <c r="J17446" t="str">
        <f>VLOOKUP(E17446,DSSpieler!A:B,2,FALSE)</f>
        <v>flonixx2020</v>
      </c>
    </row>
    <row r="17447" spans="1:10" x14ac:dyDescent="0.25">
      <c r="A17447">
        <v>19864</v>
      </c>
      <c r="B17447" t="s">
        <v>3884</v>
      </c>
      <c r="C17447">
        <v>617</v>
      </c>
      <c r="D17447">
        <v>442</v>
      </c>
      <c r="E17447">
        <v>9203302</v>
      </c>
      <c r="F17447">
        <v>440</v>
      </c>
      <c r="G17447">
        <v>0</v>
      </c>
      <c r="H17447" t="s">
        <v>22284</v>
      </c>
      <c r="I17447">
        <v>19864</v>
      </c>
      <c r="J17447" t="str">
        <f>VLOOKUP(E17447,DSSpieler!A:B,2,FALSE)</f>
        <v>King-Cado</v>
      </c>
    </row>
    <row r="17448" spans="1:10" x14ac:dyDescent="0.25">
      <c r="A17448">
        <v>19865</v>
      </c>
      <c r="B17448" t="s">
        <v>3885</v>
      </c>
      <c r="C17448">
        <v>597</v>
      </c>
      <c r="D17448">
        <v>594</v>
      </c>
      <c r="E17448">
        <v>1576765928</v>
      </c>
      <c r="F17448">
        <v>45</v>
      </c>
      <c r="G17448">
        <v>0</v>
      </c>
      <c r="H17448" t="s">
        <v>22285</v>
      </c>
      <c r="I17448">
        <v>19865</v>
      </c>
      <c r="J17448" t="str">
        <f>VLOOKUP(E17448,DSSpieler!A:B,2,FALSE)</f>
        <v>HeroMaster</v>
      </c>
    </row>
    <row r="17449" spans="1:10" x14ac:dyDescent="0.25">
      <c r="A17449">
        <v>19866</v>
      </c>
      <c r="B17449">
        <v>1</v>
      </c>
      <c r="C17449">
        <v>625</v>
      </c>
      <c r="D17449">
        <v>458</v>
      </c>
      <c r="E17449">
        <v>9406990</v>
      </c>
      <c r="F17449">
        <v>936</v>
      </c>
      <c r="G17449">
        <v>0</v>
      </c>
      <c r="H17449" t="s">
        <v>22286</v>
      </c>
      <c r="I17449">
        <v>19866</v>
      </c>
      <c r="J17449" t="str">
        <f>VLOOKUP(E17449,DSSpieler!A:B,2,FALSE)</f>
        <v>Mahus1</v>
      </c>
    </row>
    <row r="17450" spans="1:10" x14ac:dyDescent="0.25">
      <c r="A17450">
        <v>19867</v>
      </c>
      <c r="B17450" t="s">
        <v>3886</v>
      </c>
      <c r="C17450">
        <v>579</v>
      </c>
      <c r="D17450">
        <v>605</v>
      </c>
      <c r="E17450">
        <v>1577077677</v>
      </c>
      <c r="F17450">
        <v>44</v>
      </c>
      <c r="G17450">
        <v>0</v>
      </c>
      <c r="H17450" t="s">
        <v>22287</v>
      </c>
      <c r="I17450">
        <v>19867</v>
      </c>
      <c r="J17450" t="str">
        <f>VLOOKUP(E17450,DSSpieler!A:B,2,FALSE)</f>
        <v>schingken</v>
      </c>
    </row>
    <row r="17451" spans="1:10" x14ac:dyDescent="0.25">
      <c r="A17451">
        <v>19868</v>
      </c>
      <c r="B17451" t="s">
        <v>531</v>
      </c>
      <c r="C17451">
        <v>465</v>
      </c>
      <c r="D17451">
        <v>631</v>
      </c>
      <c r="E17451">
        <v>0</v>
      </c>
      <c r="F17451">
        <v>94</v>
      </c>
      <c r="G17451">
        <v>0</v>
      </c>
      <c r="H17451" t="s">
        <v>22288</v>
      </c>
      <c r="I17451">
        <v>19868</v>
      </c>
      <c r="J17451" t="e">
        <f>VLOOKUP(E17451,DSSpieler!A:B,2,FALSE)</f>
        <v>#N/A</v>
      </c>
    </row>
    <row r="17452" spans="1:10" x14ac:dyDescent="0.25">
      <c r="A17452">
        <v>19869</v>
      </c>
      <c r="B17452" t="s">
        <v>3887</v>
      </c>
      <c r="C17452">
        <v>469</v>
      </c>
      <c r="D17452">
        <v>366</v>
      </c>
      <c r="E17452">
        <v>1577200096</v>
      </c>
      <c r="F17452">
        <v>563</v>
      </c>
      <c r="G17452">
        <v>0</v>
      </c>
      <c r="H17452" t="s">
        <v>22289</v>
      </c>
      <c r="I17452">
        <v>19869</v>
      </c>
      <c r="J17452" t="str">
        <f>VLOOKUP(E17452,DSSpieler!A:B,2,FALSE)</f>
        <v>bailey on ice</v>
      </c>
    </row>
    <row r="17453" spans="1:10" x14ac:dyDescent="0.25">
      <c r="A17453">
        <v>19870</v>
      </c>
      <c r="B17453" t="s">
        <v>3888</v>
      </c>
      <c r="C17453">
        <v>445</v>
      </c>
      <c r="D17453">
        <v>597</v>
      </c>
      <c r="E17453">
        <v>1577197250</v>
      </c>
      <c r="F17453">
        <v>1137</v>
      </c>
      <c r="G17453">
        <v>0</v>
      </c>
      <c r="H17453" t="s">
        <v>22290</v>
      </c>
      <c r="I17453">
        <v>19870</v>
      </c>
      <c r="J17453" t="str">
        <f>VLOOKUP(E17453,DSSpieler!A:B,2,FALSE)</f>
        <v>PurpleUnicum</v>
      </c>
    </row>
    <row r="17454" spans="1:10" x14ac:dyDescent="0.25">
      <c r="A17454">
        <v>19871</v>
      </c>
      <c r="B17454" t="s">
        <v>35710</v>
      </c>
      <c r="C17454">
        <v>442</v>
      </c>
      <c r="D17454">
        <v>622</v>
      </c>
      <c r="E17454">
        <v>8559828</v>
      </c>
      <c r="F17454">
        <v>424</v>
      </c>
      <c r="G17454">
        <v>0</v>
      </c>
      <c r="H17454" t="s">
        <v>22291</v>
      </c>
      <c r="I17454">
        <v>19871</v>
      </c>
      <c r="J17454" t="str">
        <f>VLOOKUP(E17454,DSSpieler!A:B,2,FALSE)</f>
        <v>Lord D4RK</v>
      </c>
    </row>
    <row r="17455" spans="1:10" x14ac:dyDescent="0.25">
      <c r="A17455">
        <v>19872</v>
      </c>
      <c r="B17455" t="s">
        <v>3889</v>
      </c>
      <c r="C17455">
        <v>390</v>
      </c>
      <c r="D17455">
        <v>569</v>
      </c>
      <c r="E17455">
        <v>1577207924</v>
      </c>
      <c r="F17455">
        <v>556</v>
      </c>
      <c r="G17455">
        <v>0</v>
      </c>
      <c r="H17455" t="s">
        <v>22292</v>
      </c>
      <c r="I17455">
        <v>19872</v>
      </c>
      <c r="J17455" t="str">
        <f>VLOOKUP(E17455,DSSpieler!A:B,2,FALSE)</f>
        <v>Chillx</v>
      </c>
    </row>
    <row r="17456" spans="1:10" x14ac:dyDescent="0.25">
      <c r="A17456">
        <v>19873</v>
      </c>
      <c r="B17456" t="s">
        <v>3890</v>
      </c>
      <c r="C17456">
        <v>540</v>
      </c>
      <c r="D17456">
        <v>383</v>
      </c>
      <c r="E17456">
        <v>1577196395</v>
      </c>
      <c r="F17456">
        <v>828</v>
      </c>
      <c r="G17456">
        <v>0</v>
      </c>
      <c r="H17456" t="s">
        <v>22293</v>
      </c>
      <c r="I17456">
        <v>19873</v>
      </c>
      <c r="J17456" t="str">
        <f>VLOOKUP(E17456,DSSpieler!A:B,2,FALSE)</f>
        <v>XxVamPiRexX</v>
      </c>
    </row>
    <row r="17457" spans="1:10" x14ac:dyDescent="0.25">
      <c r="A17457">
        <v>19874</v>
      </c>
      <c r="B17457" t="s">
        <v>3891</v>
      </c>
      <c r="C17457">
        <v>390</v>
      </c>
      <c r="D17457">
        <v>579</v>
      </c>
      <c r="E17457">
        <v>1577129022</v>
      </c>
      <c r="F17457">
        <v>185</v>
      </c>
      <c r="G17457">
        <v>0</v>
      </c>
      <c r="H17457" t="s">
        <v>22294</v>
      </c>
      <c r="I17457">
        <v>19874</v>
      </c>
      <c r="J17457" t="str">
        <f>VLOOKUP(E17457,DSSpieler!A:B,2,FALSE)</f>
        <v>Lord FP</v>
      </c>
    </row>
    <row r="17458" spans="1:10" x14ac:dyDescent="0.25">
      <c r="A17458">
        <v>19875</v>
      </c>
      <c r="B17458" t="s">
        <v>531</v>
      </c>
      <c r="C17458">
        <v>445</v>
      </c>
      <c r="D17458">
        <v>379</v>
      </c>
      <c r="E17458">
        <v>0</v>
      </c>
      <c r="F17458">
        <v>60</v>
      </c>
      <c r="G17458">
        <v>0</v>
      </c>
      <c r="H17458" t="s">
        <v>22295</v>
      </c>
      <c r="I17458">
        <v>19875</v>
      </c>
      <c r="J17458" t="e">
        <f>VLOOKUP(E17458,DSSpieler!A:B,2,FALSE)</f>
        <v>#N/A</v>
      </c>
    </row>
    <row r="17459" spans="1:10" x14ac:dyDescent="0.25">
      <c r="A17459">
        <v>19877</v>
      </c>
      <c r="B17459" t="s">
        <v>3892</v>
      </c>
      <c r="C17459">
        <v>371</v>
      </c>
      <c r="D17459">
        <v>529</v>
      </c>
      <c r="E17459">
        <v>1577119452</v>
      </c>
      <c r="F17459">
        <v>437</v>
      </c>
      <c r="G17459">
        <v>0</v>
      </c>
      <c r="H17459" t="s">
        <v>22296</v>
      </c>
      <c r="I17459">
        <v>19877</v>
      </c>
      <c r="J17459" t="str">
        <f>VLOOKUP(E17459,DSSpieler!A:B,2,FALSE)</f>
        <v>Big Babba58</v>
      </c>
    </row>
    <row r="17460" spans="1:10" x14ac:dyDescent="0.25">
      <c r="A17460">
        <v>19878</v>
      </c>
      <c r="B17460" t="s">
        <v>531</v>
      </c>
      <c r="C17460">
        <v>440</v>
      </c>
      <c r="D17460">
        <v>385</v>
      </c>
      <c r="E17460">
        <v>0</v>
      </c>
      <c r="F17460">
        <v>79</v>
      </c>
      <c r="G17460">
        <v>0</v>
      </c>
      <c r="H17460" t="s">
        <v>22297</v>
      </c>
      <c r="I17460">
        <v>19878</v>
      </c>
      <c r="J17460" t="e">
        <f>VLOOKUP(E17460,DSSpieler!A:B,2,FALSE)</f>
        <v>#N/A</v>
      </c>
    </row>
    <row r="17461" spans="1:10" x14ac:dyDescent="0.25">
      <c r="A17461">
        <v>19880</v>
      </c>
      <c r="B17461" t="s">
        <v>3893</v>
      </c>
      <c r="C17461">
        <v>372</v>
      </c>
      <c r="D17461">
        <v>546</v>
      </c>
      <c r="E17461">
        <v>1577179736</v>
      </c>
      <c r="F17461">
        <v>26</v>
      </c>
      <c r="G17461">
        <v>0</v>
      </c>
      <c r="H17461" t="s">
        <v>22298</v>
      </c>
      <c r="I17461">
        <v>19880</v>
      </c>
      <c r="J17461" t="str">
        <f>VLOOKUP(E17461,DSSpieler!A:B,2,FALSE)</f>
        <v>thebigplay94</v>
      </c>
    </row>
    <row r="17462" spans="1:10" x14ac:dyDescent="0.25">
      <c r="A17462">
        <v>19881</v>
      </c>
      <c r="B17462" t="s">
        <v>35711</v>
      </c>
      <c r="C17462">
        <v>577</v>
      </c>
      <c r="D17462">
        <v>447</v>
      </c>
      <c r="E17462">
        <v>1577207928</v>
      </c>
      <c r="F17462">
        <v>643</v>
      </c>
      <c r="G17462">
        <v>0</v>
      </c>
      <c r="H17462" t="s">
        <v>22299</v>
      </c>
      <c r="I17462">
        <v>19881</v>
      </c>
      <c r="J17462" t="str">
        <f>VLOOKUP(E17462,DSSpieler!A:B,2,FALSE)</f>
        <v>HubertusSt.</v>
      </c>
    </row>
    <row r="17463" spans="1:10" x14ac:dyDescent="0.25">
      <c r="A17463">
        <v>19882</v>
      </c>
      <c r="B17463" t="s">
        <v>3894</v>
      </c>
      <c r="C17463">
        <v>622</v>
      </c>
      <c r="D17463">
        <v>457</v>
      </c>
      <c r="E17463">
        <v>1577207929</v>
      </c>
      <c r="F17463">
        <v>61</v>
      </c>
      <c r="G17463">
        <v>0</v>
      </c>
      <c r="H17463" t="s">
        <v>22300</v>
      </c>
      <c r="I17463">
        <v>19882</v>
      </c>
      <c r="J17463" t="str">
        <f>VLOOKUP(E17463,DSSpieler!A:B,2,FALSE)</f>
        <v>butter</v>
      </c>
    </row>
    <row r="17464" spans="1:10" x14ac:dyDescent="0.25">
      <c r="A17464">
        <v>19883</v>
      </c>
      <c r="B17464" t="s">
        <v>35712</v>
      </c>
      <c r="C17464">
        <v>386</v>
      </c>
      <c r="D17464">
        <v>574</v>
      </c>
      <c r="E17464">
        <v>1577181774</v>
      </c>
      <c r="F17464">
        <v>381</v>
      </c>
      <c r="G17464">
        <v>0</v>
      </c>
      <c r="H17464" t="s">
        <v>22301</v>
      </c>
      <c r="I17464">
        <v>19883</v>
      </c>
      <c r="J17464" t="str">
        <f>VLOOKUP(E17464,DSSpieler!A:B,2,FALSE)</f>
        <v>Kaefz</v>
      </c>
    </row>
    <row r="17465" spans="1:10" x14ac:dyDescent="0.25">
      <c r="A17465">
        <v>19885</v>
      </c>
      <c r="B17465" t="e">
        <f>-Tijuana-Eichenschild-secret+Dorf</f>
        <v>#NAME?</v>
      </c>
      <c r="C17465">
        <v>371</v>
      </c>
      <c r="D17465">
        <v>460</v>
      </c>
      <c r="E17465">
        <v>1576995319</v>
      </c>
      <c r="F17465">
        <v>71</v>
      </c>
      <c r="G17465">
        <v>0</v>
      </c>
      <c r="H17465" t="s">
        <v>22302</v>
      </c>
      <c r="I17465">
        <v>19885</v>
      </c>
      <c r="J17465" t="str">
        <f>VLOOKUP(E17465,DSSpieler!A:B,2,FALSE)</f>
        <v>-Thorin-Eichenschild-</v>
      </c>
    </row>
    <row r="17466" spans="1:10" x14ac:dyDescent="0.25">
      <c r="A17466">
        <v>19886</v>
      </c>
      <c r="B17466" t="s">
        <v>150</v>
      </c>
      <c r="C17466">
        <v>396</v>
      </c>
      <c r="D17466">
        <v>577</v>
      </c>
      <c r="E17466">
        <v>9228611</v>
      </c>
      <c r="F17466">
        <v>460</v>
      </c>
      <c r="G17466">
        <v>0</v>
      </c>
      <c r="H17466" t="s">
        <v>22303</v>
      </c>
      <c r="I17466">
        <v>19886</v>
      </c>
      <c r="J17466" t="str">
        <f>VLOOKUP(E17466,DSSpieler!A:B,2,FALSE)</f>
        <v>germania77</v>
      </c>
    </row>
    <row r="17467" spans="1:10" x14ac:dyDescent="0.25">
      <c r="A17467">
        <v>19887</v>
      </c>
      <c r="B17467" t="s">
        <v>3895</v>
      </c>
      <c r="C17467">
        <v>519</v>
      </c>
      <c r="D17467">
        <v>630</v>
      </c>
      <c r="E17467">
        <v>1576099489</v>
      </c>
      <c r="F17467">
        <v>653</v>
      </c>
      <c r="G17467">
        <v>0</v>
      </c>
      <c r="H17467" t="s">
        <v>22304</v>
      </c>
      <c r="I17467">
        <v>19887</v>
      </c>
      <c r="J17467" t="str">
        <f>VLOOKUP(E17467,DSSpieler!A:B,2,FALSE)</f>
        <v>melli87</v>
      </c>
    </row>
    <row r="17468" spans="1:10" x14ac:dyDescent="0.25">
      <c r="A17468">
        <v>19888</v>
      </c>
      <c r="B17468" t="s">
        <v>3896</v>
      </c>
      <c r="C17468">
        <v>439</v>
      </c>
      <c r="D17468">
        <v>619</v>
      </c>
      <c r="E17468">
        <v>1577199832</v>
      </c>
      <c r="F17468">
        <v>26</v>
      </c>
      <c r="G17468">
        <v>0</v>
      </c>
      <c r="H17468" t="s">
        <v>22305</v>
      </c>
      <c r="I17468">
        <v>19888</v>
      </c>
      <c r="J17468" t="str">
        <f>VLOOKUP(E17468,DSSpieler!A:B,2,FALSE)</f>
        <v>Richbert</v>
      </c>
    </row>
    <row r="17469" spans="1:10" x14ac:dyDescent="0.25">
      <c r="A17469">
        <v>19889</v>
      </c>
      <c r="B17469" t="s">
        <v>3897</v>
      </c>
      <c r="C17469">
        <v>607</v>
      </c>
      <c r="D17469">
        <v>581</v>
      </c>
      <c r="E17469">
        <v>10187316</v>
      </c>
      <c r="F17469">
        <v>782</v>
      </c>
      <c r="G17469">
        <v>0</v>
      </c>
      <c r="H17469" t="s">
        <v>22306</v>
      </c>
      <c r="I17469">
        <v>19889</v>
      </c>
      <c r="J17469" t="str">
        <f>VLOOKUP(E17469,DSSpieler!A:B,2,FALSE)</f>
        <v>Champacho</v>
      </c>
    </row>
    <row r="17470" spans="1:10" x14ac:dyDescent="0.25">
      <c r="A17470">
        <v>19890</v>
      </c>
      <c r="B17470">
        <v>1</v>
      </c>
      <c r="C17470">
        <v>534</v>
      </c>
      <c r="D17470">
        <v>574</v>
      </c>
      <c r="E17470">
        <v>2572016</v>
      </c>
      <c r="F17470">
        <v>469</v>
      </c>
      <c r="G17470">
        <v>0</v>
      </c>
      <c r="H17470" t="s">
        <v>22307</v>
      </c>
      <c r="I17470">
        <v>19890</v>
      </c>
      <c r="J17470" t="str">
        <f>VLOOKUP(E17470,DSSpieler!A:B,2,FALSE)</f>
        <v>Fumabär</v>
      </c>
    </row>
    <row r="17471" spans="1:10" x14ac:dyDescent="0.25">
      <c r="A17471">
        <v>19891</v>
      </c>
      <c r="B17471" t="s">
        <v>531</v>
      </c>
      <c r="C17471">
        <v>533</v>
      </c>
      <c r="D17471">
        <v>625</v>
      </c>
      <c r="E17471">
        <v>0</v>
      </c>
      <c r="F17471">
        <v>65</v>
      </c>
      <c r="G17471">
        <v>0</v>
      </c>
      <c r="H17471" t="s">
        <v>22308</v>
      </c>
      <c r="I17471">
        <v>19891</v>
      </c>
      <c r="J17471" t="e">
        <f>VLOOKUP(E17471,DSSpieler!A:B,2,FALSE)</f>
        <v>#N/A</v>
      </c>
    </row>
    <row r="17472" spans="1:10" x14ac:dyDescent="0.25">
      <c r="A17472">
        <v>19892</v>
      </c>
      <c r="B17472" t="s">
        <v>3898</v>
      </c>
      <c r="C17472">
        <v>524</v>
      </c>
      <c r="D17472">
        <v>372</v>
      </c>
      <c r="E17472">
        <v>9907026</v>
      </c>
      <c r="F17472">
        <v>46</v>
      </c>
      <c r="G17472">
        <v>0</v>
      </c>
      <c r="H17472" t="s">
        <v>22309</v>
      </c>
      <c r="I17472">
        <v>19892</v>
      </c>
      <c r="J17472" t="str">
        <f>VLOOKUP(E17472,DSSpieler!A:B,2,FALSE)</f>
        <v>Smokerclub</v>
      </c>
    </row>
    <row r="17473" spans="1:10" x14ac:dyDescent="0.25">
      <c r="A17473">
        <v>19893</v>
      </c>
      <c r="B17473" t="s">
        <v>3899</v>
      </c>
      <c r="C17473">
        <v>466</v>
      </c>
      <c r="D17473">
        <v>628</v>
      </c>
      <c r="E17473">
        <v>1577187061</v>
      </c>
      <c r="F17473">
        <v>26</v>
      </c>
      <c r="G17473">
        <v>0</v>
      </c>
      <c r="H17473" t="s">
        <v>22310</v>
      </c>
      <c r="I17473">
        <v>19893</v>
      </c>
      <c r="J17473" t="str">
        <f>VLOOKUP(E17473,DSSpieler!A:B,2,FALSE)</f>
        <v>olywia97</v>
      </c>
    </row>
    <row r="17474" spans="1:10" x14ac:dyDescent="0.25">
      <c r="A17474">
        <v>19894</v>
      </c>
      <c r="B17474" t="s">
        <v>3900</v>
      </c>
      <c r="C17474">
        <v>451</v>
      </c>
      <c r="D17474">
        <v>380</v>
      </c>
      <c r="E17474">
        <v>1577111356</v>
      </c>
      <c r="F17474">
        <v>26</v>
      </c>
      <c r="G17474">
        <v>0</v>
      </c>
      <c r="H17474" t="s">
        <v>22311</v>
      </c>
      <c r="I17474">
        <v>19894</v>
      </c>
      <c r="J17474" t="str">
        <f>VLOOKUP(E17474,DSSpieler!A:B,2,FALSE)</f>
        <v>BlaackViper</v>
      </c>
    </row>
    <row r="17475" spans="1:10" x14ac:dyDescent="0.25">
      <c r="A17475">
        <v>19895</v>
      </c>
      <c r="B17475" t="s">
        <v>3901</v>
      </c>
      <c r="C17475">
        <v>551</v>
      </c>
      <c r="D17475">
        <v>620</v>
      </c>
      <c r="E17475">
        <v>1576508504</v>
      </c>
      <c r="F17475">
        <v>659</v>
      </c>
      <c r="G17475">
        <v>0</v>
      </c>
      <c r="H17475" t="s">
        <v>22312</v>
      </c>
      <c r="I17475">
        <v>19895</v>
      </c>
      <c r="J17475" t="str">
        <f>VLOOKUP(E17475,DSSpieler!A:B,2,FALSE)</f>
        <v>anno1416</v>
      </c>
    </row>
    <row r="17476" spans="1:10" x14ac:dyDescent="0.25">
      <c r="A17476">
        <v>19896</v>
      </c>
      <c r="B17476" t="s">
        <v>3902</v>
      </c>
      <c r="C17476">
        <v>633</v>
      </c>
      <c r="D17476">
        <v>486</v>
      </c>
      <c r="E17476">
        <v>359642</v>
      </c>
      <c r="F17476">
        <v>278</v>
      </c>
      <c r="G17476">
        <v>0</v>
      </c>
      <c r="H17476" t="s">
        <v>22313</v>
      </c>
      <c r="I17476">
        <v>19896</v>
      </c>
      <c r="J17476" t="str">
        <f>VLOOKUP(E17476,DSSpieler!A:B,2,FALSE)</f>
        <v>blumentopf1</v>
      </c>
    </row>
    <row r="17477" spans="1:10" x14ac:dyDescent="0.25">
      <c r="A17477">
        <v>19897</v>
      </c>
      <c r="B17477" t="s">
        <v>3903</v>
      </c>
      <c r="C17477">
        <v>632</v>
      </c>
      <c r="D17477">
        <v>515</v>
      </c>
      <c r="E17477">
        <v>7594050</v>
      </c>
      <c r="F17477">
        <v>26</v>
      </c>
      <c r="G17477">
        <v>0</v>
      </c>
      <c r="H17477" t="s">
        <v>22314</v>
      </c>
      <c r="I17477">
        <v>19897</v>
      </c>
      <c r="J17477" t="str">
        <f>VLOOKUP(E17477,DSSpieler!A:B,2,FALSE)</f>
        <v>steini011</v>
      </c>
    </row>
    <row r="17478" spans="1:10" x14ac:dyDescent="0.25">
      <c r="A17478">
        <v>19898</v>
      </c>
      <c r="B17478" t="s">
        <v>35713</v>
      </c>
      <c r="C17478">
        <v>476</v>
      </c>
      <c r="D17478">
        <v>585</v>
      </c>
      <c r="E17478">
        <v>8943438</v>
      </c>
      <c r="F17478">
        <v>26</v>
      </c>
      <c r="G17478">
        <v>0</v>
      </c>
      <c r="H17478" t="s">
        <v>22315</v>
      </c>
      <c r="I17478">
        <v>19898</v>
      </c>
      <c r="J17478" t="str">
        <f>VLOOKUP(E17478,DSSpieler!A:B,2,FALSE)</f>
        <v>intoxicated*</v>
      </c>
    </row>
    <row r="17479" spans="1:10" x14ac:dyDescent="0.25">
      <c r="A17479">
        <v>19900</v>
      </c>
      <c r="B17479" t="s">
        <v>3904</v>
      </c>
      <c r="C17479">
        <v>543</v>
      </c>
      <c r="D17479">
        <v>376</v>
      </c>
      <c r="E17479">
        <v>1577094377</v>
      </c>
      <c r="F17479">
        <v>26</v>
      </c>
      <c r="G17479">
        <v>0</v>
      </c>
      <c r="H17479" t="s">
        <v>22316</v>
      </c>
      <c r="I17479">
        <v>19900</v>
      </c>
      <c r="J17479" t="str">
        <f>VLOOKUP(E17479,DSSpieler!A:B,2,FALSE)</f>
        <v>DerBaertige</v>
      </c>
    </row>
    <row r="17480" spans="1:10" x14ac:dyDescent="0.25">
      <c r="A17480">
        <v>19901</v>
      </c>
      <c r="B17480" t="s">
        <v>3905</v>
      </c>
      <c r="C17480">
        <v>474</v>
      </c>
      <c r="D17480">
        <v>584</v>
      </c>
      <c r="E17480">
        <v>7985086</v>
      </c>
      <c r="F17480">
        <v>709</v>
      </c>
      <c r="G17480">
        <v>0</v>
      </c>
      <c r="H17480" t="s">
        <v>22317</v>
      </c>
      <c r="I17480">
        <v>19901</v>
      </c>
      <c r="J17480" t="str">
        <f>VLOOKUP(E17480,DSSpieler!A:B,2,FALSE)</f>
        <v>DreamCatcher is back</v>
      </c>
    </row>
    <row r="17481" spans="1:10" x14ac:dyDescent="0.25">
      <c r="A17481">
        <v>19902</v>
      </c>
      <c r="B17481" t="s">
        <v>3906</v>
      </c>
      <c r="C17481">
        <v>549</v>
      </c>
      <c r="D17481">
        <v>379</v>
      </c>
      <c r="E17481">
        <v>1318153</v>
      </c>
      <c r="F17481">
        <v>264</v>
      </c>
      <c r="G17481">
        <v>0</v>
      </c>
      <c r="H17481" t="s">
        <v>22318</v>
      </c>
      <c r="I17481">
        <v>19902</v>
      </c>
      <c r="J17481" t="str">
        <f>VLOOKUP(E17481,DSSpieler!A:B,2,FALSE)</f>
        <v>Scaleo H1</v>
      </c>
    </row>
    <row r="17482" spans="1:10" x14ac:dyDescent="0.25">
      <c r="A17482">
        <v>19903</v>
      </c>
      <c r="B17482" t="s">
        <v>531</v>
      </c>
      <c r="C17482">
        <v>373</v>
      </c>
      <c r="D17482">
        <v>467</v>
      </c>
      <c r="E17482">
        <v>0</v>
      </c>
      <c r="F17482">
        <v>66</v>
      </c>
      <c r="G17482">
        <v>0</v>
      </c>
      <c r="H17482" t="s">
        <v>22319</v>
      </c>
      <c r="I17482">
        <v>19903</v>
      </c>
      <c r="J17482" t="e">
        <f>VLOOKUP(E17482,DSSpieler!A:B,2,FALSE)</f>
        <v>#N/A</v>
      </c>
    </row>
    <row r="17483" spans="1:10" x14ac:dyDescent="0.25">
      <c r="A17483">
        <v>19904</v>
      </c>
      <c r="B17483" t="s">
        <v>3907</v>
      </c>
      <c r="C17483">
        <v>417</v>
      </c>
      <c r="D17483">
        <v>393</v>
      </c>
      <c r="E17483">
        <v>55871</v>
      </c>
      <c r="F17483">
        <v>26</v>
      </c>
      <c r="G17483">
        <v>0</v>
      </c>
      <c r="H17483" t="s">
        <v>22320</v>
      </c>
      <c r="I17483">
        <v>19904</v>
      </c>
      <c r="J17483" t="str">
        <f>VLOOKUP(E17483,DSSpieler!A:B,2,FALSE)</f>
        <v>adgara</v>
      </c>
    </row>
    <row r="17484" spans="1:10" x14ac:dyDescent="0.25">
      <c r="A17484">
        <v>19905</v>
      </c>
      <c r="B17484" t="s">
        <v>3908</v>
      </c>
      <c r="C17484">
        <v>594</v>
      </c>
      <c r="D17484">
        <v>595</v>
      </c>
      <c r="E17484">
        <v>1576843222</v>
      </c>
      <c r="F17484">
        <v>790</v>
      </c>
      <c r="G17484">
        <v>0</v>
      </c>
      <c r="H17484" t="s">
        <v>22321</v>
      </c>
      <c r="I17484">
        <v>19905</v>
      </c>
      <c r="J17484" t="str">
        <f>VLOOKUP(E17484,DSSpieler!A:B,2,FALSE)</f>
        <v>luzifer63</v>
      </c>
    </row>
    <row r="17485" spans="1:10" x14ac:dyDescent="0.25">
      <c r="A17485">
        <v>19907</v>
      </c>
      <c r="B17485" t="s">
        <v>531</v>
      </c>
      <c r="C17485">
        <v>581</v>
      </c>
      <c r="D17485">
        <v>392</v>
      </c>
      <c r="E17485">
        <v>0</v>
      </c>
      <c r="F17485">
        <v>109</v>
      </c>
      <c r="G17485">
        <v>0</v>
      </c>
      <c r="H17485" t="s">
        <v>22322</v>
      </c>
      <c r="I17485">
        <v>19907</v>
      </c>
      <c r="J17485" t="e">
        <f>VLOOKUP(E17485,DSSpieler!A:B,2,FALSE)</f>
        <v>#N/A</v>
      </c>
    </row>
    <row r="17486" spans="1:10" x14ac:dyDescent="0.25">
      <c r="A17486">
        <v>19908</v>
      </c>
      <c r="B17486" t="s">
        <v>3909</v>
      </c>
      <c r="C17486">
        <v>581</v>
      </c>
      <c r="D17486">
        <v>396</v>
      </c>
      <c r="E17486">
        <v>9045303</v>
      </c>
      <c r="F17486">
        <v>152</v>
      </c>
      <c r="G17486">
        <v>0</v>
      </c>
      <c r="H17486" t="s">
        <v>22323</v>
      </c>
      <c r="I17486">
        <v>19908</v>
      </c>
      <c r="J17486" t="str">
        <f>VLOOKUP(E17486,DSSpieler!A:B,2,FALSE)</f>
        <v>Roter Shanks</v>
      </c>
    </row>
    <row r="17487" spans="1:10" x14ac:dyDescent="0.25">
      <c r="A17487">
        <v>19909</v>
      </c>
      <c r="B17487" t="s">
        <v>3910</v>
      </c>
      <c r="C17487">
        <v>420</v>
      </c>
      <c r="D17487">
        <v>393</v>
      </c>
      <c r="E17487">
        <v>1577007100</v>
      </c>
      <c r="F17487">
        <v>554</v>
      </c>
      <c r="G17487">
        <v>0</v>
      </c>
      <c r="H17487" t="s">
        <v>22324</v>
      </c>
      <c r="I17487">
        <v>19909</v>
      </c>
      <c r="J17487" t="str">
        <f>VLOOKUP(E17487,DSSpieler!A:B,2,FALSE)</f>
        <v>MaGuggen</v>
      </c>
    </row>
    <row r="17488" spans="1:10" x14ac:dyDescent="0.25">
      <c r="A17488">
        <v>19910</v>
      </c>
      <c r="B17488" t="s">
        <v>531</v>
      </c>
      <c r="C17488">
        <v>461</v>
      </c>
      <c r="D17488">
        <v>375</v>
      </c>
      <c r="E17488">
        <v>0</v>
      </c>
      <c r="F17488">
        <v>97</v>
      </c>
      <c r="G17488">
        <v>0</v>
      </c>
      <c r="H17488" t="s">
        <v>22325</v>
      </c>
      <c r="I17488">
        <v>19910</v>
      </c>
      <c r="J17488" t="e">
        <f>VLOOKUP(E17488,DSSpieler!A:B,2,FALSE)</f>
        <v>#N/A</v>
      </c>
    </row>
    <row r="17489" spans="1:10" x14ac:dyDescent="0.25">
      <c r="A17489">
        <v>19911</v>
      </c>
      <c r="B17489" t="s">
        <v>35714</v>
      </c>
      <c r="C17489">
        <v>381</v>
      </c>
      <c r="D17489">
        <v>442</v>
      </c>
      <c r="E17489">
        <v>1577207943</v>
      </c>
      <c r="F17489">
        <v>390</v>
      </c>
      <c r="G17489">
        <v>0</v>
      </c>
      <c r="H17489" t="s">
        <v>22326</v>
      </c>
      <c r="I17489">
        <v>19911</v>
      </c>
      <c r="J17489" t="str">
        <f>VLOOKUP(E17489,DSSpieler!A:B,2,FALSE)</f>
        <v>Timmy125</v>
      </c>
    </row>
    <row r="17490" spans="1:10" x14ac:dyDescent="0.25">
      <c r="A17490">
        <v>19912</v>
      </c>
      <c r="B17490" t="s">
        <v>35715</v>
      </c>
      <c r="C17490">
        <v>369</v>
      </c>
      <c r="D17490">
        <v>466</v>
      </c>
      <c r="E17490">
        <v>1577004247</v>
      </c>
      <c r="F17490">
        <v>288</v>
      </c>
      <c r="G17490">
        <v>0</v>
      </c>
      <c r="H17490" t="s">
        <v>22327</v>
      </c>
      <c r="I17490">
        <v>19912</v>
      </c>
      <c r="J17490" t="str">
        <f>VLOOKUP(E17490,DSSpieler!A:B,2,FALSE)</f>
        <v>Venom17</v>
      </c>
    </row>
    <row r="17491" spans="1:10" x14ac:dyDescent="0.25">
      <c r="A17491">
        <v>19913</v>
      </c>
      <c r="B17491" t="s">
        <v>3911</v>
      </c>
      <c r="C17491">
        <v>480</v>
      </c>
      <c r="D17491">
        <v>632</v>
      </c>
      <c r="E17491">
        <v>1577207946</v>
      </c>
      <c r="F17491">
        <v>1125</v>
      </c>
      <c r="G17491">
        <v>0</v>
      </c>
      <c r="H17491" t="s">
        <v>22328</v>
      </c>
      <c r="I17491">
        <v>19913</v>
      </c>
      <c r="J17491" t="str">
        <f>VLOOKUP(E17491,DSSpieler!A:B,2,FALSE)</f>
        <v>Textu</v>
      </c>
    </row>
    <row r="17492" spans="1:10" x14ac:dyDescent="0.25">
      <c r="A17492">
        <v>19914</v>
      </c>
      <c r="B17492" t="s">
        <v>531</v>
      </c>
      <c r="C17492">
        <v>468</v>
      </c>
      <c r="D17492">
        <v>631</v>
      </c>
      <c r="E17492">
        <v>0</v>
      </c>
      <c r="F17492">
        <v>82</v>
      </c>
      <c r="G17492">
        <v>0</v>
      </c>
      <c r="H17492" t="s">
        <v>22329</v>
      </c>
      <c r="I17492">
        <v>19914</v>
      </c>
      <c r="J17492" t="e">
        <f>VLOOKUP(E17492,DSSpieler!A:B,2,FALSE)</f>
        <v>#N/A</v>
      </c>
    </row>
    <row r="17493" spans="1:10" x14ac:dyDescent="0.25">
      <c r="A17493">
        <v>19915</v>
      </c>
      <c r="B17493" t="s">
        <v>3912</v>
      </c>
      <c r="C17493">
        <v>493</v>
      </c>
      <c r="D17493">
        <v>366</v>
      </c>
      <c r="E17493">
        <v>1576422671</v>
      </c>
      <c r="F17493">
        <v>732</v>
      </c>
      <c r="G17493">
        <v>0</v>
      </c>
      <c r="H17493" t="s">
        <v>22330</v>
      </c>
      <c r="I17493">
        <v>19915</v>
      </c>
      <c r="J17493" t="str">
        <f>VLOOKUP(E17493,DSSpieler!A:B,2,FALSE)</f>
        <v>BlackxLeaf</v>
      </c>
    </row>
    <row r="17494" spans="1:10" x14ac:dyDescent="0.25">
      <c r="A17494">
        <v>19917</v>
      </c>
      <c r="B17494" t="s">
        <v>3913</v>
      </c>
      <c r="C17494">
        <v>368</v>
      </c>
      <c r="D17494">
        <v>517</v>
      </c>
      <c r="E17494">
        <v>1447511</v>
      </c>
      <c r="F17494">
        <v>51</v>
      </c>
      <c r="G17494">
        <v>0</v>
      </c>
      <c r="H17494" t="s">
        <v>22331</v>
      </c>
      <c r="I17494">
        <v>19917</v>
      </c>
      <c r="J17494" t="str">
        <f>VLOOKUP(E17494,DSSpieler!A:B,2,FALSE)</f>
        <v>Grimslade</v>
      </c>
    </row>
    <row r="17495" spans="1:10" x14ac:dyDescent="0.25">
      <c r="A17495">
        <v>19918</v>
      </c>
      <c r="B17495" t="s">
        <v>3914</v>
      </c>
      <c r="C17495">
        <v>622</v>
      </c>
      <c r="D17495">
        <v>443</v>
      </c>
      <c r="E17495">
        <v>9055044</v>
      </c>
      <c r="F17495">
        <v>789</v>
      </c>
      <c r="G17495">
        <v>0</v>
      </c>
      <c r="H17495" t="s">
        <v>22332</v>
      </c>
      <c r="I17495">
        <v>19918</v>
      </c>
      <c r="J17495" t="str">
        <f>VLOOKUP(E17495,DSSpieler!A:B,2,FALSE)</f>
        <v>Pokalsieger 1974</v>
      </c>
    </row>
    <row r="17496" spans="1:10" x14ac:dyDescent="0.25">
      <c r="A17496">
        <v>19919</v>
      </c>
      <c r="B17496" t="s">
        <v>531</v>
      </c>
      <c r="C17496">
        <v>450</v>
      </c>
      <c r="D17496">
        <v>621</v>
      </c>
      <c r="E17496">
        <v>0</v>
      </c>
      <c r="F17496">
        <v>78</v>
      </c>
      <c r="G17496">
        <v>0</v>
      </c>
      <c r="H17496" t="s">
        <v>22333</v>
      </c>
      <c r="I17496">
        <v>19919</v>
      </c>
      <c r="J17496" t="e">
        <f>VLOOKUP(E17496,DSSpieler!A:B,2,FALSE)</f>
        <v>#N/A</v>
      </c>
    </row>
    <row r="17497" spans="1:10" x14ac:dyDescent="0.25">
      <c r="A17497">
        <v>19920</v>
      </c>
      <c r="B17497" t="s">
        <v>3915</v>
      </c>
      <c r="C17497">
        <v>594</v>
      </c>
      <c r="D17497">
        <v>409</v>
      </c>
      <c r="E17497">
        <v>2035856</v>
      </c>
      <c r="F17497">
        <v>270</v>
      </c>
      <c r="G17497">
        <v>0</v>
      </c>
      <c r="H17497" t="s">
        <v>22334</v>
      </c>
      <c r="I17497">
        <v>19920</v>
      </c>
      <c r="J17497" t="str">
        <f>VLOOKUP(E17497,DSSpieler!A:B,2,FALSE)</f>
        <v>Beowolf der Wahre</v>
      </c>
    </row>
    <row r="17498" spans="1:10" x14ac:dyDescent="0.25">
      <c r="A17498">
        <v>19922</v>
      </c>
      <c r="B17498" t="s">
        <v>3916</v>
      </c>
      <c r="C17498">
        <v>625</v>
      </c>
      <c r="D17498">
        <v>463</v>
      </c>
      <c r="E17498">
        <v>1577001885</v>
      </c>
      <c r="F17498">
        <v>81</v>
      </c>
      <c r="G17498">
        <v>0</v>
      </c>
      <c r="H17498" t="s">
        <v>22335</v>
      </c>
      <c r="I17498">
        <v>19922</v>
      </c>
      <c r="J17498" t="str">
        <f>VLOOKUP(E17498,DSSpieler!A:B,2,FALSE)</f>
        <v>Basti23</v>
      </c>
    </row>
    <row r="17499" spans="1:10" x14ac:dyDescent="0.25">
      <c r="A17499">
        <v>19923</v>
      </c>
      <c r="B17499" t="s">
        <v>3917</v>
      </c>
      <c r="C17499">
        <v>393</v>
      </c>
      <c r="D17499">
        <v>584</v>
      </c>
      <c r="E17499">
        <v>8731559</v>
      </c>
      <c r="F17499">
        <v>26</v>
      </c>
      <c r="G17499">
        <v>0</v>
      </c>
      <c r="H17499" t="s">
        <v>22336</v>
      </c>
      <c r="I17499">
        <v>19923</v>
      </c>
      <c r="J17499" t="str">
        <f>VLOOKUP(E17499,DSSpieler!A:B,2,FALSE)</f>
        <v>Wongaa</v>
      </c>
    </row>
    <row r="17500" spans="1:10" x14ac:dyDescent="0.25">
      <c r="A17500">
        <v>19924</v>
      </c>
      <c r="B17500" t="s">
        <v>3918</v>
      </c>
      <c r="C17500">
        <v>456</v>
      </c>
      <c r="D17500">
        <v>605</v>
      </c>
      <c r="E17500">
        <v>9816508</v>
      </c>
      <c r="F17500">
        <v>38</v>
      </c>
      <c r="G17500">
        <v>0</v>
      </c>
      <c r="H17500" t="s">
        <v>22337</v>
      </c>
      <c r="I17500">
        <v>19924</v>
      </c>
      <c r="J17500" t="str">
        <f>VLOOKUP(E17500,DSSpieler!A:B,2,FALSE)</f>
        <v>TimetoBash</v>
      </c>
    </row>
    <row r="17501" spans="1:10" x14ac:dyDescent="0.25">
      <c r="A17501">
        <v>19925</v>
      </c>
      <c r="B17501" t="s">
        <v>531</v>
      </c>
      <c r="C17501">
        <v>532</v>
      </c>
      <c r="D17501">
        <v>631</v>
      </c>
      <c r="E17501">
        <v>0</v>
      </c>
      <c r="F17501">
        <v>94</v>
      </c>
      <c r="G17501">
        <v>0</v>
      </c>
      <c r="H17501" t="s">
        <v>22338</v>
      </c>
      <c r="I17501">
        <v>19925</v>
      </c>
      <c r="J17501" t="e">
        <f>VLOOKUP(E17501,DSSpieler!A:B,2,FALSE)</f>
        <v>#N/A</v>
      </c>
    </row>
    <row r="17502" spans="1:10" x14ac:dyDescent="0.25">
      <c r="A17502">
        <v>19926</v>
      </c>
      <c r="B17502" t="s">
        <v>35716</v>
      </c>
      <c r="C17502">
        <v>381</v>
      </c>
      <c r="D17502">
        <v>564</v>
      </c>
      <c r="E17502">
        <v>8387691</v>
      </c>
      <c r="F17502">
        <v>121</v>
      </c>
      <c r="G17502">
        <v>0</v>
      </c>
      <c r="H17502" t="s">
        <v>22339</v>
      </c>
      <c r="I17502">
        <v>19926</v>
      </c>
      <c r="J17502" t="str">
        <f>VLOOKUP(E17502,DSSpieler!A:B,2,FALSE)</f>
        <v>Reuß</v>
      </c>
    </row>
    <row r="17503" spans="1:10" x14ac:dyDescent="0.25">
      <c r="A17503">
        <v>19927</v>
      </c>
      <c r="B17503" t="s">
        <v>3919</v>
      </c>
      <c r="C17503">
        <v>414</v>
      </c>
      <c r="D17503">
        <v>451</v>
      </c>
      <c r="E17503">
        <v>26185</v>
      </c>
      <c r="F17503">
        <v>88</v>
      </c>
      <c r="G17503">
        <v>0</v>
      </c>
      <c r="H17503" t="s">
        <v>22340</v>
      </c>
      <c r="I17503">
        <v>19927</v>
      </c>
      <c r="J17503" t="str">
        <f>VLOOKUP(E17503,DSSpieler!A:B,2,FALSE)</f>
        <v>hemblo</v>
      </c>
    </row>
    <row r="17504" spans="1:10" x14ac:dyDescent="0.25">
      <c r="A17504">
        <v>19928</v>
      </c>
      <c r="B17504" t="s">
        <v>531</v>
      </c>
      <c r="C17504">
        <v>571</v>
      </c>
      <c r="D17504">
        <v>610</v>
      </c>
      <c r="E17504">
        <v>0</v>
      </c>
      <c r="F17504">
        <v>48</v>
      </c>
      <c r="G17504">
        <v>0</v>
      </c>
      <c r="H17504" t="s">
        <v>22341</v>
      </c>
      <c r="I17504">
        <v>19928</v>
      </c>
      <c r="J17504" t="e">
        <f>VLOOKUP(E17504,DSSpieler!A:B,2,FALSE)</f>
        <v>#N/A</v>
      </c>
    </row>
    <row r="17505" spans="1:10" x14ac:dyDescent="0.25">
      <c r="A17505">
        <v>19929</v>
      </c>
      <c r="B17505" t="s">
        <v>35717</v>
      </c>
      <c r="C17505">
        <v>449</v>
      </c>
      <c r="D17505">
        <v>568</v>
      </c>
      <c r="E17505">
        <v>1577154995</v>
      </c>
      <c r="F17505">
        <v>774</v>
      </c>
      <c r="G17505">
        <v>0</v>
      </c>
      <c r="H17505" t="s">
        <v>22342</v>
      </c>
      <c r="I17505">
        <v>19929</v>
      </c>
      <c r="J17505" t="str">
        <f>VLOOKUP(E17505,DSSpieler!A:B,2,FALSE)</f>
        <v>Lucy-fer</v>
      </c>
    </row>
    <row r="17506" spans="1:10" x14ac:dyDescent="0.25">
      <c r="A17506">
        <v>19930</v>
      </c>
      <c r="B17506" t="s">
        <v>3920</v>
      </c>
      <c r="C17506">
        <v>426</v>
      </c>
      <c r="D17506">
        <v>393</v>
      </c>
      <c r="E17506">
        <v>1577206588</v>
      </c>
      <c r="F17506">
        <v>304</v>
      </c>
      <c r="G17506">
        <v>0</v>
      </c>
      <c r="H17506" t="s">
        <v>22343</v>
      </c>
      <c r="I17506">
        <v>19930</v>
      </c>
      <c r="J17506" t="str">
        <f>VLOOKUP(E17506,DSSpieler!A:B,2,FALSE)</f>
        <v>Skopaganda</v>
      </c>
    </row>
    <row r="17507" spans="1:10" x14ac:dyDescent="0.25">
      <c r="A17507">
        <v>19931</v>
      </c>
      <c r="B17507" t="s">
        <v>3921</v>
      </c>
      <c r="C17507">
        <v>447</v>
      </c>
      <c r="D17507">
        <v>380</v>
      </c>
      <c r="E17507">
        <v>1576058993</v>
      </c>
      <c r="F17507">
        <v>743</v>
      </c>
      <c r="G17507">
        <v>0</v>
      </c>
      <c r="H17507" t="s">
        <v>22344</v>
      </c>
      <c r="I17507">
        <v>19931</v>
      </c>
      <c r="J17507" t="str">
        <f>VLOOKUP(E17507,DSSpieler!A:B,2,FALSE)</f>
        <v>Ghost888</v>
      </c>
    </row>
    <row r="17508" spans="1:10" x14ac:dyDescent="0.25">
      <c r="A17508">
        <v>19932</v>
      </c>
      <c r="B17508" t="s">
        <v>3922</v>
      </c>
      <c r="C17508">
        <v>620</v>
      </c>
      <c r="D17508">
        <v>438</v>
      </c>
      <c r="E17508">
        <v>1576990616</v>
      </c>
      <c r="F17508">
        <v>915</v>
      </c>
      <c r="G17508">
        <v>0</v>
      </c>
      <c r="H17508" t="s">
        <v>22345</v>
      </c>
      <c r="I17508">
        <v>19932</v>
      </c>
      <c r="J17508" t="str">
        <f>VLOOKUP(E17508,DSSpieler!A:B,2,FALSE)</f>
        <v>Jag04</v>
      </c>
    </row>
    <row r="17509" spans="1:10" x14ac:dyDescent="0.25">
      <c r="A17509">
        <v>19933</v>
      </c>
      <c r="B17509" t="s">
        <v>3923</v>
      </c>
      <c r="C17509">
        <v>433</v>
      </c>
      <c r="D17509">
        <v>578</v>
      </c>
      <c r="E17509">
        <v>1577201606</v>
      </c>
      <c r="F17509">
        <v>1330</v>
      </c>
      <c r="G17509">
        <v>0</v>
      </c>
      <c r="H17509" t="s">
        <v>22346</v>
      </c>
      <c r="I17509">
        <v>19933</v>
      </c>
      <c r="J17509" t="str">
        <f>VLOOKUP(E17509,DSSpieler!A:B,2,FALSE)</f>
        <v>Raddikov</v>
      </c>
    </row>
    <row r="17510" spans="1:10" x14ac:dyDescent="0.25">
      <c r="A17510">
        <v>19934</v>
      </c>
      <c r="B17510" t="s">
        <v>3924</v>
      </c>
      <c r="C17510">
        <v>543</v>
      </c>
      <c r="D17510">
        <v>581</v>
      </c>
      <c r="E17510">
        <v>1577201272</v>
      </c>
      <c r="F17510">
        <v>228</v>
      </c>
      <c r="G17510">
        <v>0</v>
      </c>
      <c r="H17510" t="s">
        <v>22347</v>
      </c>
      <c r="I17510">
        <v>19934</v>
      </c>
      <c r="J17510" t="str">
        <f>VLOOKUP(E17510,DSSpieler!A:B,2,FALSE)</f>
        <v>IsNoGuttt</v>
      </c>
    </row>
    <row r="17511" spans="1:10" x14ac:dyDescent="0.25">
      <c r="A17511">
        <v>19935</v>
      </c>
      <c r="B17511" t="s">
        <v>3925</v>
      </c>
      <c r="C17511">
        <v>506</v>
      </c>
      <c r="D17511">
        <v>631</v>
      </c>
      <c r="E17511">
        <v>1577204270</v>
      </c>
      <c r="F17511">
        <v>170</v>
      </c>
      <c r="G17511">
        <v>0</v>
      </c>
      <c r="H17511" t="s">
        <v>22348</v>
      </c>
      <c r="I17511">
        <v>19935</v>
      </c>
      <c r="J17511" t="str">
        <f>VLOOKUP(E17511,DSSpieler!A:B,2,FALSE)</f>
        <v>Bronko84</v>
      </c>
    </row>
    <row r="17512" spans="1:10" x14ac:dyDescent="0.25">
      <c r="A17512">
        <v>19936</v>
      </c>
      <c r="B17512" t="s">
        <v>531</v>
      </c>
      <c r="C17512">
        <v>386</v>
      </c>
      <c r="D17512">
        <v>429</v>
      </c>
      <c r="E17512">
        <v>0</v>
      </c>
      <c r="F17512">
        <v>109</v>
      </c>
      <c r="G17512">
        <v>0</v>
      </c>
      <c r="H17512" t="s">
        <v>22349</v>
      </c>
      <c r="I17512">
        <v>19936</v>
      </c>
      <c r="J17512" t="e">
        <f>VLOOKUP(E17512,DSSpieler!A:B,2,FALSE)</f>
        <v>#N/A</v>
      </c>
    </row>
    <row r="17513" spans="1:10" x14ac:dyDescent="0.25">
      <c r="A17513">
        <v>19937</v>
      </c>
      <c r="B17513" t="s">
        <v>3926</v>
      </c>
      <c r="C17513">
        <v>537</v>
      </c>
      <c r="D17513">
        <v>405</v>
      </c>
      <c r="E17513">
        <v>122930</v>
      </c>
      <c r="F17513">
        <v>26</v>
      </c>
      <c r="G17513">
        <v>0</v>
      </c>
      <c r="H17513" t="s">
        <v>22350</v>
      </c>
      <c r="I17513">
        <v>19937</v>
      </c>
      <c r="J17513" t="str">
        <f>VLOOKUP(E17513,DSSpieler!A:B,2,FALSE)</f>
        <v>fishie</v>
      </c>
    </row>
    <row r="17514" spans="1:10" x14ac:dyDescent="0.25">
      <c r="A17514">
        <v>19938</v>
      </c>
      <c r="B17514" t="s">
        <v>3927</v>
      </c>
      <c r="C17514">
        <v>519</v>
      </c>
      <c r="D17514">
        <v>522</v>
      </c>
      <c r="E17514">
        <v>3164101</v>
      </c>
      <c r="F17514">
        <v>792</v>
      </c>
      <c r="G17514">
        <v>0</v>
      </c>
      <c r="H17514" t="s">
        <v>22351</v>
      </c>
      <c r="I17514">
        <v>19938</v>
      </c>
      <c r="J17514" t="str">
        <f>VLOOKUP(E17514,DSSpieler!A:B,2,FALSE)</f>
        <v>Bomber74</v>
      </c>
    </row>
    <row r="17515" spans="1:10" x14ac:dyDescent="0.25">
      <c r="A17515">
        <v>19939</v>
      </c>
      <c r="B17515" t="s">
        <v>3928</v>
      </c>
      <c r="C17515">
        <v>425</v>
      </c>
      <c r="D17515">
        <v>390</v>
      </c>
      <c r="E17515">
        <v>1576986104</v>
      </c>
      <c r="F17515">
        <v>340</v>
      </c>
      <c r="G17515">
        <v>0</v>
      </c>
      <c r="H17515" t="s">
        <v>22352</v>
      </c>
      <c r="I17515">
        <v>19939</v>
      </c>
      <c r="J17515" t="str">
        <f>VLOOKUP(E17515,DSSpieler!A:B,2,FALSE)</f>
        <v>voalii</v>
      </c>
    </row>
    <row r="17516" spans="1:10" x14ac:dyDescent="0.25">
      <c r="A17516">
        <v>19940</v>
      </c>
      <c r="B17516" t="s">
        <v>531</v>
      </c>
      <c r="C17516">
        <v>604</v>
      </c>
      <c r="D17516">
        <v>586</v>
      </c>
      <c r="E17516">
        <v>0</v>
      </c>
      <c r="F17516">
        <v>69</v>
      </c>
      <c r="G17516">
        <v>0</v>
      </c>
      <c r="H17516" t="s">
        <v>22353</v>
      </c>
      <c r="I17516">
        <v>19940</v>
      </c>
      <c r="J17516" t="e">
        <f>VLOOKUP(E17516,DSSpieler!A:B,2,FALSE)</f>
        <v>#N/A</v>
      </c>
    </row>
    <row r="17517" spans="1:10" x14ac:dyDescent="0.25">
      <c r="A17517">
        <v>19941</v>
      </c>
      <c r="B17517" t="s">
        <v>3929</v>
      </c>
      <c r="C17517">
        <v>630</v>
      </c>
      <c r="D17517">
        <v>471</v>
      </c>
      <c r="E17517">
        <v>8887287</v>
      </c>
      <c r="F17517">
        <v>672</v>
      </c>
      <c r="G17517">
        <v>0</v>
      </c>
      <c r="H17517" t="s">
        <v>22354</v>
      </c>
      <c r="I17517">
        <v>19941</v>
      </c>
      <c r="J17517" t="str">
        <f>VLOOKUP(E17517,DSSpieler!A:B,2,FALSE)</f>
        <v>gingermaster</v>
      </c>
    </row>
    <row r="17518" spans="1:10" x14ac:dyDescent="0.25">
      <c r="A17518">
        <v>19942</v>
      </c>
      <c r="B17518" t="s">
        <v>3930</v>
      </c>
      <c r="C17518">
        <v>637</v>
      </c>
      <c r="D17518">
        <v>502</v>
      </c>
      <c r="E17518">
        <v>1577065649</v>
      </c>
      <c r="F17518">
        <v>683</v>
      </c>
      <c r="G17518">
        <v>0</v>
      </c>
      <c r="H17518" t="s">
        <v>22355</v>
      </c>
      <c r="I17518">
        <v>19942</v>
      </c>
      <c r="J17518" t="str">
        <f>VLOOKUP(E17518,DSSpieler!A:B,2,FALSE)</f>
        <v>Rosthagel</v>
      </c>
    </row>
    <row r="17519" spans="1:10" x14ac:dyDescent="0.25">
      <c r="A17519">
        <v>19944</v>
      </c>
      <c r="B17519" t="s">
        <v>3931</v>
      </c>
      <c r="C17519">
        <v>632</v>
      </c>
      <c r="D17519">
        <v>532</v>
      </c>
      <c r="E17519">
        <v>1576999701</v>
      </c>
      <c r="F17519">
        <v>928</v>
      </c>
      <c r="G17519">
        <v>0</v>
      </c>
      <c r="H17519" t="s">
        <v>22356</v>
      </c>
      <c r="I17519">
        <v>19944</v>
      </c>
      <c r="J17519" t="str">
        <f>VLOOKUP(E17519,DSSpieler!A:B,2,FALSE)</f>
        <v>Rhodridge</v>
      </c>
    </row>
    <row r="17520" spans="1:10" x14ac:dyDescent="0.25">
      <c r="A17520">
        <v>19946</v>
      </c>
      <c r="B17520" t="s">
        <v>3932</v>
      </c>
      <c r="C17520">
        <v>552</v>
      </c>
      <c r="D17520">
        <v>375</v>
      </c>
      <c r="E17520">
        <v>1577123419</v>
      </c>
      <c r="F17520">
        <v>26</v>
      </c>
      <c r="G17520">
        <v>0</v>
      </c>
      <c r="H17520" t="s">
        <v>22357</v>
      </c>
      <c r="I17520">
        <v>19946</v>
      </c>
      <c r="J17520" t="str">
        <f>VLOOKUP(E17520,DSSpieler!A:B,2,FALSE)</f>
        <v>Sir Hadouken</v>
      </c>
    </row>
    <row r="17521" spans="1:10" x14ac:dyDescent="0.25">
      <c r="A17521">
        <v>19947</v>
      </c>
      <c r="B17521" t="s">
        <v>3933</v>
      </c>
      <c r="C17521">
        <v>587</v>
      </c>
      <c r="D17521">
        <v>402</v>
      </c>
      <c r="E17521">
        <v>1577207205</v>
      </c>
      <c r="F17521">
        <v>61</v>
      </c>
      <c r="G17521">
        <v>0</v>
      </c>
      <c r="H17521" t="s">
        <v>22358</v>
      </c>
      <c r="I17521">
        <v>19947</v>
      </c>
      <c r="J17521" t="str">
        <f>VLOOKUP(E17521,DSSpieler!A:B,2,FALSE)</f>
        <v>Silencemar</v>
      </c>
    </row>
    <row r="17522" spans="1:10" x14ac:dyDescent="0.25">
      <c r="A17522">
        <v>19948</v>
      </c>
      <c r="B17522" t="s">
        <v>3934</v>
      </c>
      <c r="C17522">
        <v>446</v>
      </c>
      <c r="D17522">
        <v>622</v>
      </c>
      <c r="E17522">
        <v>1577207969</v>
      </c>
      <c r="F17522">
        <v>26</v>
      </c>
      <c r="G17522">
        <v>0</v>
      </c>
      <c r="H17522" t="s">
        <v>22359</v>
      </c>
      <c r="I17522">
        <v>19948</v>
      </c>
      <c r="J17522" t="str">
        <f>VLOOKUP(E17522,DSSpieler!A:B,2,FALSE)</f>
        <v>kracc4ever</v>
      </c>
    </row>
    <row r="17523" spans="1:10" x14ac:dyDescent="0.25">
      <c r="A17523">
        <v>19949</v>
      </c>
      <c r="B17523" t="s">
        <v>3935</v>
      </c>
      <c r="C17523">
        <v>432</v>
      </c>
      <c r="D17523">
        <v>574</v>
      </c>
      <c r="E17523">
        <v>1577128950</v>
      </c>
      <c r="F17523">
        <v>850</v>
      </c>
      <c r="G17523">
        <v>0</v>
      </c>
      <c r="H17523" t="s">
        <v>22360</v>
      </c>
      <c r="I17523">
        <v>19949</v>
      </c>
      <c r="J17523" t="str">
        <f>VLOOKUP(E17523,DSSpieler!A:B,2,FALSE)</f>
        <v>Chrisob</v>
      </c>
    </row>
    <row r="17524" spans="1:10" x14ac:dyDescent="0.25">
      <c r="A17524">
        <v>19950</v>
      </c>
      <c r="B17524" t="s">
        <v>3936</v>
      </c>
      <c r="C17524">
        <v>517</v>
      </c>
      <c r="D17524">
        <v>416</v>
      </c>
      <c r="E17524">
        <v>1577192534</v>
      </c>
      <c r="F17524">
        <v>26</v>
      </c>
      <c r="G17524">
        <v>0</v>
      </c>
      <c r="H17524" t="s">
        <v>22361</v>
      </c>
      <c r="I17524">
        <v>19950</v>
      </c>
      <c r="J17524" t="str">
        <f>VLOOKUP(E17524,DSSpieler!A:B,2,FALSE)</f>
        <v>Lordario</v>
      </c>
    </row>
    <row r="17525" spans="1:10" x14ac:dyDescent="0.25">
      <c r="A17525">
        <v>19951</v>
      </c>
      <c r="B17525" t="s">
        <v>3937</v>
      </c>
      <c r="C17525">
        <v>537</v>
      </c>
      <c r="D17525">
        <v>626</v>
      </c>
      <c r="E17525">
        <v>1577160675</v>
      </c>
      <c r="F17525">
        <v>719</v>
      </c>
      <c r="G17525">
        <v>0</v>
      </c>
      <c r="H17525" t="s">
        <v>22362</v>
      </c>
      <c r="I17525">
        <v>19951</v>
      </c>
      <c r="J17525" t="str">
        <f>VLOOKUP(E17525,DSSpieler!A:B,2,FALSE)</f>
        <v>Puma Di Ace</v>
      </c>
    </row>
    <row r="17526" spans="1:10" x14ac:dyDescent="0.25">
      <c r="A17526">
        <v>19953</v>
      </c>
      <c r="B17526" t="s">
        <v>3938</v>
      </c>
      <c r="C17526">
        <v>438</v>
      </c>
      <c r="D17526">
        <v>574</v>
      </c>
      <c r="E17526">
        <v>1577128060</v>
      </c>
      <c r="F17526">
        <v>795</v>
      </c>
      <c r="G17526">
        <v>0</v>
      </c>
      <c r="H17526" t="s">
        <v>22363</v>
      </c>
      <c r="I17526">
        <v>19953</v>
      </c>
      <c r="J17526" t="str">
        <f>VLOOKUP(E17526,DSSpieler!A:B,2,FALSE)</f>
        <v>Gerdi55</v>
      </c>
    </row>
    <row r="17527" spans="1:10" x14ac:dyDescent="0.25">
      <c r="A17527">
        <v>19954</v>
      </c>
      <c r="B17527" t="s">
        <v>531</v>
      </c>
      <c r="C17527">
        <v>536</v>
      </c>
      <c r="D17527">
        <v>625</v>
      </c>
      <c r="E17527">
        <v>0</v>
      </c>
      <c r="F17527">
        <v>71</v>
      </c>
      <c r="G17527">
        <v>0</v>
      </c>
      <c r="H17527" t="s">
        <v>22364</v>
      </c>
      <c r="I17527">
        <v>19954</v>
      </c>
      <c r="J17527" t="e">
        <f>VLOOKUP(E17527,DSSpieler!A:B,2,FALSE)</f>
        <v>#N/A</v>
      </c>
    </row>
    <row r="17528" spans="1:10" x14ac:dyDescent="0.25">
      <c r="A17528">
        <v>19955</v>
      </c>
      <c r="B17528" t="s">
        <v>35718</v>
      </c>
      <c r="C17528">
        <v>430</v>
      </c>
      <c r="D17528">
        <v>383</v>
      </c>
      <c r="E17528">
        <v>9517568</v>
      </c>
      <c r="F17528">
        <v>351</v>
      </c>
      <c r="G17528">
        <v>0</v>
      </c>
      <c r="H17528" t="s">
        <v>22365</v>
      </c>
      <c r="I17528">
        <v>19955</v>
      </c>
      <c r="J17528" t="str">
        <f>VLOOKUP(E17528,DSSpieler!A:B,2,FALSE)</f>
        <v>jürgen64</v>
      </c>
    </row>
    <row r="17529" spans="1:10" x14ac:dyDescent="0.25">
      <c r="A17529">
        <v>19957</v>
      </c>
      <c r="B17529" t="s">
        <v>3939</v>
      </c>
      <c r="C17529">
        <v>508</v>
      </c>
      <c r="D17529">
        <v>635</v>
      </c>
      <c r="E17529">
        <v>1577202902</v>
      </c>
      <c r="F17529">
        <v>26</v>
      </c>
      <c r="G17529">
        <v>0</v>
      </c>
      <c r="H17529" t="s">
        <v>22366</v>
      </c>
      <c r="I17529">
        <v>19957</v>
      </c>
      <c r="J17529" t="str">
        <f>VLOOKUP(E17529,DSSpieler!A:B,2,FALSE)</f>
        <v>oh a bandit</v>
      </c>
    </row>
    <row r="17530" spans="1:10" x14ac:dyDescent="0.25">
      <c r="A17530">
        <v>19958</v>
      </c>
      <c r="B17530" t="s">
        <v>3940</v>
      </c>
      <c r="C17530">
        <v>372</v>
      </c>
      <c r="D17530">
        <v>464</v>
      </c>
      <c r="E17530">
        <v>1577194478</v>
      </c>
      <c r="F17530">
        <v>281</v>
      </c>
      <c r="G17530">
        <v>0</v>
      </c>
      <c r="H17530" t="s">
        <v>22367</v>
      </c>
      <c r="I17530">
        <v>19958</v>
      </c>
      <c r="J17530" t="str">
        <f>VLOOKUP(E17530,DSSpieler!A:B,2,FALSE)</f>
        <v>wernerbbg</v>
      </c>
    </row>
    <row r="17531" spans="1:10" x14ac:dyDescent="0.25">
      <c r="A17531">
        <v>19959</v>
      </c>
      <c r="B17531" t="s">
        <v>3941</v>
      </c>
      <c r="C17531">
        <v>381</v>
      </c>
      <c r="D17531">
        <v>434</v>
      </c>
      <c r="E17531">
        <v>1576711312</v>
      </c>
      <c r="F17531">
        <v>631</v>
      </c>
      <c r="G17531">
        <v>0</v>
      </c>
      <c r="H17531" t="s">
        <v>22368</v>
      </c>
      <c r="I17531">
        <v>19959</v>
      </c>
      <c r="J17531" t="str">
        <f>VLOOKUP(E17531,DSSpieler!A:B,2,FALSE)</f>
        <v>Shorteii</v>
      </c>
    </row>
    <row r="17532" spans="1:10" x14ac:dyDescent="0.25">
      <c r="A17532">
        <v>19960</v>
      </c>
      <c r="B17532" t="s">
        <v>3942</v>
      </c>
      <c r="C17532">
        <v>490</v>
      </c>
      <c r="D17532">
        <v>367</v>
      </c>
      <c r="E17532">
        <v>9968016</v>
      </c>
      <c r="F17532">
        <v>26</v>
      </c>
      <c r="G17532">
        <v>0</v>
      </c>
      <c r="H17532" t="s">
        <v>22369</v>
      </c>
      <c r="I17532">
        <v>19960</v>
      </c>
      <c r="J17532" t="str">
        <f>VLOOKUP(E17532,DSSpieler!A:B,2,FALSE)</f>
        <v>valdonier</v>
      </c>
    </row>
    <row r="17533" spans="1:10" x14ac:dyDescent="0.25">
      <c r="A17533">
        <v>19962</v>
      </c>
      <c r="B17533" t="s">
        <v>3943</v>
      </c>
      <c r="C17533">
        <v>423</v>
      </c>
      <c r="D17533">
        <v>389</v>
      </c>
      <c r="E17533">
        <v>1634636</v>
      </c>
      <c r="F17533">
        <v>58</v>
      </c>
      <c r="G17533">
        <v>0</v>
      </c>
      <c r="H17533" t="s">
        <v>22370</v>
      </c>
      <c r="I17533">
        <v>19962</v>
      </c>
      <c r="J17533" t="str">
        <f>VLOOKUP(E17533,DSSpieler!A:B,2,FALSE)</f>
        <v>Werner Bremen</v>
      </c>
    </row>
    <row r="17534" spans="1:10" x14ac:dyDescent="0.25">
      <c r="A17534">
        <v>19963</v>
      </c>
      <c r="B17534" t="s">
        <v>3944</v>
      </c>
      <c r="C17534">
        <v>532</v>
      </c>
      <c r="D17534">
        <v>623</v>
      </c>
      <c r="E17534">
        <v>1577144258</v>
      </c>
      <c r="F17534">
        <v>1134</v>
      </c>
      <c r="G17534">
        <v>0</v>
      </c>
      <c r="H17534" t="s">
        <v>22371</v>
      </c>
      <c r="I17534">
        <v>19963</v>
      </c>
      <c r="J17534" t="str">
        <f>VLOOKUP(E17534,DSSpieler!A:B,2,FALSE)</f>
        <v>Freibier4alle</v>
      </c>
    </row>
    <row r="17535" spans="1:10" x14ac:dyDescent="0.25">
      <c r="A17535">
        <v>19964</v>
      </c>
      <c r="B17535" t="s">
        <v>3945</v>
      </c>
      <c r="C17535">
        <v>594</v>
      </c>
      <c r="D17535">
        <v>496</v>
      </c>
      <c r="E17535">
        <v>1577175442</v>
      </c>
      <c r="F17535">
        <v>1126</v>
      </c>
      <c r="G17535">
        <v>0</v>
      </c>
      <c r="H17535" t="s">
        <v>22372</v>
      </c>
      <c r="I17535">
        <v>19964</v>
      </c>
      <c r="J17535" t="str">
        <f>VLOOKUP(E17535,DSSpieler!A:B,2,FALSE)</f>
        <v>Lord VidaR</v>
      </c>
    </row>
    <row r="17536" spans="1:10" x14ac:dyDescent="0.25">
      <c r="A17536">
        <v>19965</v>
      </c>
      <c r="B17536" t="s">
        <v>3946</v>
      </c>
      <c r="C17536">
        <v>433</v>
      </c>
      <c r="D17536">
        <v>433</v>
      </c>
      <c r="E17536">
        <v>1577176525</v>
      </c>
      <c r="F17536">
        <v>1037</v>
      </c>
      <c r="G17536">
        <v>0</v>
      </c>
      <c r="H17536" t="s">
        <v>22373</v>
      </c>
      <c r="I17536">
        <v>19965</v>
      </c>
      <c r="J17536" t="str">
        <f>VLOOKUP(E17536,DSSpieler!A:B,2,FALSE)</f>
        <v>cnon.lloyd</v>
      </c>
    </row>
    <row r="17537" spans="1:10" x14ac:dyDescent="0.25">
      <c r="A17537">
        <v>19967</v>
      </c>
      <c r="B17537" t="s">
        <v>3947</v>
      </c>
      <c r="C17537">
        <v>407</v>
      </c>
      <c r="D17537">
        <v>405</v>
      </c>
      <c r="E17537">
        <v>1577139734</v>
      </c>
      <c r="F17537">
        <v>28</v>
      </c>
      <c r="G17537">
        <v>0</v>
      </c>
      <c r="H17537" t="s">
        <v>22374</v>
      </c>
      <c r="I17537">
        <v>19967</v>
      </c>
      <c r="J17537" t="str">
        <f>VLOOKUP(E17537,DSSpieler!A:B,2,FALSE)</f>
        <v>maik07</v>
      </c>
    </row>
    <row r="17538" spans="1:10" x14ac:dyDescent="0.25">
      <c r="A17538">
        <v>19968</v>
      </c>
      <c r="B17538" t="s">
        <v>3948</v>
      </c>
      <c r="C17538">
        <v>506</v>
      </c>
      <c r="D17538">
        <v>633</v>
      </c>
      <c r="E17538">
        <v>185404</v>
      </c>
      <c r="F17538">
        <v>50</v>
      </c>
      <c r="G17538">
        <v>0</v>
      </c>
      <c r="H17538" t="s">
        <v>22375</v>
      </c>
      <c r="I17538">
        <v>19968</v>
      </c>
      <c r="J17538" t="str">
        <f>VLOOKUP(E17538,DSSpieler!A:B,2,FALSE)</f>
        <v>Ralfkellermann</v>
      </c>
    </row>
    <row r="17539" spans="1:10" x14ac:dyDescent="0.25">
      <c r="A17539">
        <v>19969</v>
      </c>
      <c r="B17539" t="s">
        <v>35719</v>
      </c>
      <c r="C17539">
        <v>591</v>
      </c>
      <c r="D17539">
        <v>399</v>
      </c>
      <c r="E17539">
        <v>9870152</v>
      </c>
      <c r="F17539">
        <v>398</v>
      </c>
      <c r="G17539">
        <v>0</v>
      </c>
      <c r="H17539" t="s">
        <v>22376</v>
      </c>
      <c r="I17539">
        <v>19969</v>
      </c>
      <c r="J17539" t="str">
        <f>VLOOKUP(E17539,DSSpieler!A:B,2,FALSE)</f>
        <v>Futschel</v>
      </c>
    </row>
    <row r="17540" spans="1:10" x14ac:dyDescent="0.25">
      <c r="A17540">
        <v>19970</v>
      </c>
      <c r="B17540" t="s">
        <v>3949</v>
      </c>
      <c r="C17540">
        <v>586</v>
      </c>
      <c r="D17540">
        <v>606</v>
      </c>
      <c r="E17540">
        <v>1577207990</v>
      </c>
      <c r="F17540">
        <v>36</v>
      </c>
      <c r="G17540">
        <v>0</v>
      </c>
      <c r="H17540" t="s">
        <v>22377</v>
      </c>
      <c r="I17540">
        <v>19970</v>
      </c>
      <c r="J17540" t="str">
        <f>VLOOKUP(E17540,DSSpieler!A:B,2,FALSE)</f>
        <v>HadesRache</v>
      </c>
    </row>
    <row r="17541" spans="1:10" x14ac:dyDescent="0.25">
      <c r="A17541">
        <v>19971</v>
      </c>
      <c r="B17541" t="s">
        <v>3950</v>
      </c>
      <c r="C17541">
        <v>542</v>
      </c>
      <c r="D17541">
        <v>375</v>
      </c>
      <c r="E17541">
        <v>2293713</v>
      </c>
      <c r="F17541">
        <v>222</v>
      </c>
      <c r="G17541">
        <v>0</v>
      </c>
      <c r="H17541" t="s">
        <v>22378</v>
      </c>
      <c r="I17541">
        <v>19971</v>
      </c>
      <c r="J17541" t="str">
        <f>VLOOKUP(E17541,DSSpieler!A:B,2,FALSE)</f>
        <v>nepumuk 111</v>
      </c>
    </row>
    <row r="17542" spans="1:10" x14ac:dyDescent="0.25">
      <c r="A17542">
        <v>19973</v>
      </c>
      <c r="B17542" t="s">
        <v>3951</v>
      </c>
      <c r="C17542">
        <v>513</v>
      </c>
      <c r="D17542">
        <v>400</v>
      </c>
      <c r="E17542">
        <v>1577183627</v>
      </c>
      <c r="F17542">
        <v>26</v>
      </c>
      <c r="G17542">
        <v>0</v>
      </c>
      <c r="H17542" t="s">
        <v>22379</v>
      </c>
      <c r="I17542">
        <v>19973</v>
      </c>
      <c r="J17542" t="str">
        <f>VLOOKUP(E17542,DSSpieler!A:B,2,FALSE)</f>
        <v>Foger</v>
      </c>
    </row>
    <row r="17543" spans="1:10" x14ac:dyDescent="0.25">
      <c r="A17543">
        <v>19974</v>
      </c>
      <c r="B17543" t="s">
        <v>531</v>
      </c>
      <c r="C17543">
        <v>379</v>
      </c>
      <c r="D17543">
        <v>445</v>
      </c>
      <c r="E17543">
        <v>0</v>
      </c>
      <c r="F17543">
        <v>130</v>
      </c>
      <c r="G17543">
        <v>0</v>
      </c>
      <c r="H17543" t="s">
        <v>22380</v>
      </c>
      <c r="I17543">
        <v>19974</v>
      </c>
      <c r="J17543" t="e">
        <f>VLOOKUP(E17543,DSSpieler!A:B,2,FALSE)</f>
        <v>#N/A</v>
      </c>
    </row>
    <row r="17544" spans="1:10" x14ac:dyDescent="0.25">
      <c r="A17544">
        <v>19975</v>
      </c>
      <c r="B17544" t="s">
        <v>3952</v>
      </c>
      <c r="C17544">
        <v>557</v>
      </c>
      <c r="D17544">
        <v>374</v>
      </c>
      <c r="E17544">
        <v>1577062585</v>
      </c>
      <c r="F17544">
        <v>241</v>
      </c>
      <c r="G17544">
        <v>0</v>
      </c>
      <c r="H17544" t="s">
        <v>22381</v>
      </c>
      <c r="I17544">
        <v>19975</v>
      </c>
      <c r="J17544" t="str">
        <f>VLOOKUP(E17544,DSSpieler!A:B,2,FALSE)</f>
        <v>jablonski</v>
      </c>
    </row>
    <row r="17545" spans="1:10" x14ac:dyDescent="0.25">
      <c r="A17545">
        <v>19976</v>
      </c>
      <c r="B17545" t="s">
        <v>3953</v>
      </c>
      <c r="C17545">
        <v>637</v>
      </c>
      <c r="D17545">
        <v>487</v>
      </c>
      <c r="E17545">
        <v>1577199831</v>
      </c>
      <c r="F17545">
        <v>476</v>
      </c>
      <c r="G17545">
        <v>0</v>
      </c>
      <c r="H17545" t="s">
        <v>22382</v>
      </c>
      <c r="I17545">
        <v>19976</v>
      </c>
      <c r="J17545" t="str">
        <f>VLOOKUP(E17545,DSSpieler!A:B,2,FALSE)</f>
        <v>vonStarhemberg</v>
      </c>
    </row>
    <row r="17546" spans="1:10" x14ac:dyDescent="0.25">
      <c r="A17546">
        <v>19977</v>
      </c>
      <c r="B17546" t="s">
        <v>3954</v>
      </c>
      <c r="C17546">
        <v>496</v>
      </c>
      <c r="D17546">
        <v>368</v>
      </c>
      <c r="E17546">
        <v>1577166173</v>
      </c>
      <c r="F17546">
        <v>448</v>
      </c>
      <c r="G17546">
        <v>0</v>
      </c>
      <c r="H17546" t="s">
        <v>22383</v>
      </c>
      <c r="I17546">
        <v>19977</v>
      </c>
      <c r="J17546" t="str">
        <f>VLOOKUP(E17546,DSSpieler!A:B,2,FALSE)</f>
        <v>Bmw67</v>
      </c>
    </row>
    <row r="17547" spans="1:10" x14ac:dyDescent="0.25">
      <c r="A17547">
        <v>19979</v>
      </c>
      <c r="B17547" t="s">
        <v>3955</v>
      </c>
      <c r="C17547">
        <v>433</v>
      </c>
      <c r="D17547">
        <v>411</v>
      </c>
      <c r="E17547">
        <v>1577174728</v>
      </c>
      <c r="F17547">
        <v>242</v>
      </c>
      <c r="G17547">
        <v>0</v>
      </c>
      <c r="H17547" t="s">
        <v>22384</v>
      </c>
      <c r="I17547">
        <v>19979</v>
      </c>
      <c r="J17547" t="str">
        <f>VLOOKUP(E17547,DSSpieler!A:B,2,FALSE)</f>
        <v>jacksoncabo</v>
      </c>
    </row>
    <row r="17548" spans="1:10" x14ac:dyDescent="0.25">
      <c r="A17548">
        <v>19980</v>
      </c>
      <c r="B17548" t="s">
        <v>3956</v>
      </c>
      <c r="C17548">
        <v>596</v>
      </c>
      <c r="D17548">
        <v>403</v>
      </c>
      <c r="E17548">
        <v>1577164770</v>
      </c>
      <c r="F17548">
        <v>564</v>
      </c>
      <c r="G17548">
        <v>0</v>
      </c>
      <c r="H17548" t="s">
        <v>22385</v>
      </c>
      <c r="I17548">
        <v>19980</v>
      </c>
      <c r="J17548" t="str">
        <f>VLOOKUP(E17548,DSSpieler!A:B,2,FALSE)</f>
        <v>Freddy-ue</v>
      </c>
    </row>
    <row r="17549" spans="1:10" x14ac:dyDescent="0.25">
      <c r="A17549">
        <v>19981</v>
      </c>
      <c r="B17549" t="s">
        <v>3957</v>
      </c>
      <c r="C17549">
        <v>421</v>
      </c>
      <c r="D17549">
        <v>611</v>
      </c>
      <c r="E17549">
        <v>1577207975</v>
      </c>
      <c r="F17549">
        <v>75</v>
      </c>
      <c r="G17549">
        <v>0</v>
      </c>
      <c r="H17549" t="s">
        <v>22386</v>
      </c>
      <c r="I17549">
        <v>19981</v>
      </c>
      <c r="J17549" t="str">
        <f>VLOOKUP(E17549,DSSpieler!A:B,2,FALSE)</f>
        <v>PuBkracker</v>
      </c>
    </row>
    <row r="17550" spans="1:10" x14ac:dyDescent="0.25">
      <c r="A17550">
        <v>19982</v>
      </c>
      <c r="B17550" t="s">
        <v>3958</v>
      </c>
      <c r="C17550">
        <v>479</v>
      </c>
      <c r="D17550">
        <v>631</v>
      </c>
      <c r="E17550">
        <v>1577197137</v>
      </c>
      <c r="F17550">
        <v>53</v>
      </c>
      <c r="G17550">
        <v>0</v>
      </c>
      <c r="H17550" t="s">
        <v>22387</v>
      </c>
      <c r="I17550">
        <v>19982</v>
      </c>
      <c r="J17550" t="str">
        <f>VLOOKUP(E17550,DSSpieler!A:B,2,FALSE)</f>
        <v>Benschop</v>
      </c>
    </row>
    <row r="17551" spans="1:10" x14ac:dyDescent="0.25">
      <c r="A17551">
        <v>19983</v>
      </c>
      <c r="B17551" t="s">
        <v>3959</v>
      </c>
      <c r="C17551">
        <v>508</v>
      </c>
      <c r="D17551">
        <v>630</v>
      </c>
      <c r="E17551">
        <v>1577083302</v>
      </c>
      <c r="F17551">
        <v>38</v>
      </c>
      <c r="G17551">
        <v>0</v>
      </c>
      <c r="H17551" t="s">
        <v>22388</v>
      </c>
      <c r="I17551">
        <v>19983</v>
      </c>
      <c r="J17551" t="str">
        <f>VLOOKUP(E17551,DSSpieler!A:B,2,FALSE)</f>
        <v>UnknownUser1995</v>
      </c>
    </row>
    <row r="17552" spans="1:10" x14ac:dyDescent="0.25">
      <c r="A17552">
        <v>19985</v>
      </c>
      <c r="B17552" t="s">
        <v>1290</v>
      </c>
      <c r="C17552">
        <v>464</v>
      </c>
      <c r="D17552">
        <v>371</v>
      </c>
      <c r="E17552">
        <v>8816543</v>
      </c>
      <c r="F17552">
        <v>599</v>
      </c>
      <c r="G17552">
        <v>0</v>
      </c>
      <c r="H17552" t="s">
        <v>22389</v>
      </c>
      <c r="I17552">
        <v>19985</v>
      </c>
      <c r="J17552" t="str">
        <f>VLOOKUP(E17552,DSSpieler!A:B,2,FALSE)</f>
        <v>Londo-Molari</v>
      </c>
    </row>
    <row r="17553" spans="1:10" x14ac:dyDescent="0.25">
      <c r="A17553">
        <v>19986</v>
      </c>
      <c r="B17553" t="s">
        <v>531</v>
      </c>
      <c r="C17553">
        <v>467</v>
      </c>
      <c r="D17553">
        <v>370</v>
      </c>
      <c r="E17553">
        <v>0</v>
      </c>
      <c r="F17553">
        <v>70</v>
      </c>
      <c r="G17553">
        <v>0</v>
      </c>
      <c r="H17553" t="s">
        <v>22390</v>
      </c>
      <c r="I17553">
        <v>19986</v>
      </c>
      <c r="J17553" t="e">
        <f>VLOOKUP(E17553,DSSpieler!A:B,2,FALSE)</f>
        <v>#N/A</v>
      </c>
    </row>
    <row r="17554" spans="1:10" x14ac:dyDescent="0.25">
      <c r="A17554">
        <v>19987</v>
      </c>
      <c r="B17554" t="s">
        <v>3960</v>
      </c>
      <c r="C17554">
        <v>612</v>
      </c>
      <c r="D17554">
        <v>577</v>
      </c>
      <c r="E17554">
        <v>1577167945</v>
      </c>
      <c r="F17554">
        <v>739</v>
      </c>
      <c r="G17554">
        <v>0</v>
      </c>
      <c r="H17554" t="s">
        <v>22391</v>
      </c>
      <c r="I17554">
        <v>19987</v>
      </c>
      <c r="J17554" t="str">
        <f>VLOOKUP(E17554,DSSpieler!A:B,2,FALSE)</f>
        <v>Herrundmeister</v>
      </c>
    </row>
    <row r="17555" spans="1:10" x14ac:dyDescent="0.25">
      <c r="A17555">
        <v>19988</v>
      </c>
      <c r="B17555" t="s">
        <v>531</v>
      </c>
      <c r="C17555">
        <v>590</v>
      </c>
      <c r="D17555">
        <v>399</v>
      </c>
      <c r="E17555">
        <v>0</v>
      </c>
      <c r="F17555">
        <v>59</v>
      </c>
      <c r="G17555">
        <v>0</v>
      </c>
      <c r="H17555" t="s">
        <v>22392</v>
      </c>
      <c r="I17555">
        <v>19988</v>
      </c>
      <c r="J17555" t="e">
        <f>VLOOKUP(E17555,DSSpieler!A:B,2,FALSE)</f>
        <v>#N/A</v>
      </c>
    </row>
    <row r="17556" spans="1:10" x14ac:dyDescent="0.25">
      <c r="A17556">
        <v>19989</v>
      </c>
      <c r="B17556" t="s">
        <v>3961</v>
      </c>
      <c r="C17556">
        <v>600</v>
      </c>
      <c r="D17556">
        <v>592</v>
      </c>
      <c r="E17556">
        <v>1577161327</v>
      </c>
      <c r="F17556">
        <v>744</v>
      </c>
      <c r="G17556">
        <v>0</v>
      </c>
      <c r="H17556" t="s">
        <v>22393</v>
      </c>
      <c r="I17556">
        <v>19989</v>
      </c>
      <c r="J17556" t="str">
        <f>VLOOKUP(E17556,DSSpieler!A:B,2,FALSE)</f>
        <v>Onassis</v>
      </c>
    </row>
    <row r="17557" spans="1:10" x14ac:dyDescent="0.25">
      <c r="A17557">
        <v>19990</v>
      </c>
      <c r="B17557" t="s">
        <v>3962</v>
      </c>
      <c r="C17557">
        <v>372</v>
      </c>
      <c r="D17557">
        <v>530</v>
      </c>
      <c r="E17557">
        <v>1577198254</v>
      </c>
      <c r="F17557">
        <v>76</v>
      </c>
      <c r="G17557">
        <v>0</v>
      </c>
      <c r="H17557" t="s">
        <v>22394</v>
      </c>
      <c r="I17557">
        <v>19990</v>
      </c>
      <c r="J17557" t="str">
        <f>VLOOKUP(E17557,DSSpieler!A:B,2,FALSE)</f>
        <v>daddy44</v>
      </c>
    </row>
    <row r="17558" spans="1:10" x14ac:dyDescent="0.25">
      <c r="A17558">
        <v>19991</v>
      </c>
      <c r="B17558" t="s">
        <v>3963</v>
      </c>
      <c r="C17558">
        <v>396</v>
      </c>
      <c r="D17558">
        <v>583</v>
      </c>
      <c r="E17558">
        <v>3468182</v>
      </c>
      <c r="F17558">
        <v>237</v>
      </c>
      <c r="G17558">
        <v>0</v>
      </c>
      <c r="H17558" t="s">
        <v>22395</v>
      </c>
      <c r="I17558">
        <v>19991</v>
      </c>
      <c r="J17558" t="str">
        <f>VLOOKUP(E17558,DSSpieler!A:B,2,FALSE)</f>
        <v>geno72</v>
      </c>
    </row>
    <row r="17559" spans="1:10" x14ac:dyDescent="0.25">
      <c r="A17559">
        <v>19992</v>
      </c>
      <c r="B17559" t="s">
        <v>3964</v>
      </c>
      <c r="C17559">
        <v>456</v>
      </c>
      <c r="D17559">
        <v>472</v>
      </c>
      <c r="E17559">
        <v>9496414</v>
      </c>
      <c r="F17559">
        <v>305</v>
      </c>
      <c r="G17559">
        <v>0</v>
      </c>
      <c r="H17559" t="s">
        <v>22396</v>
      </c>
      <c r="I17559">
        <v>19992</v>
      </c>
      <c r="J17559" t="str">
        <f>VLOOKUP(E17559,DSSpieler!A:B,2,FALSE)</f>
        <v>puner</v>
      </c>
    </row>
    <row r="17560" spans="1:10" x14ac:dyDescent="0.25">
      <c r="A17560">
        <v>19993</v>
      </c>
      <c r="B17560" t="s">
        <v>1658</v>
      </c>
      <c r="C17560">
        <v>425</v>
      </c>
      <c r="D17560">
        <v>609</v>
      </c>
      <c r="E17560">
        <v>1575880049</v>
      </c>
      <c r="F17560">
        <v>291</v>
      </c>
      <c r="G17560">
        <v>0</v>
      </c>
      <c r="H17560" t="s">
        <v>22397</v>
      </c>
      <c r="I17560">
        <v>19993</v>
      </c>
      <c r="J17560" t="str">
        <f>VLOOKUP(E17560,DSSpieler!A:B,2,FALSE)</f>
        <v>horscht79</v>
      </c>
    </row>
    <row r="17561" spans="1:10" x14ac:dyDescent="0.25">
      <c r="A17561">
        <v>19994</v>
      </c>
      <c r="B17561" t="s">
        <v>3965</v>
      </c>
      <c r="C17561">
        <v>416</v>
      </c>
      <c r="D17561">
        <v>392</v>
      </c>
      <c r="E17561">
        <v>10134553</v>
      </c>
      <c r="F17561">
        <v>86</v>
      </c>
      <c r="G17561">
        <v>0</v>
      </c>
      <c r="H17561" t="s">
        <v>22398</v>
      </c>
      <c r="I17561">
        <v>19994</v>
      </c>
      <c r="J17561" t="str">
        <f>VLOOKUP(E17561,DSSpieler!A:B,2,FALSE)</f>
        <v>King Hors</v>
      </c>
    </row>
    <row r="17562" spans="1:10" x14ac:dyDescent="0.25">
      <c r="A17562">
        <v>19995</v>
      </c>
      <c r="B17562" t="s">
        <v>3966</v>
      </c>
      <c r="C17562">
        <v>430</v>
      </c>
      <c r="D17562">
        <v>390</v>
      </c>
      <c r="E17562">
        <v>1653601</v>
      </c>
      <c r="F17562">
        <v>26</v>
      </c>
      <c r="G17562">
        <v>0</v>
      </c>
      <c r="H17562" t="s">
        <v>22399</v>
      </c>
      <c r="I17562">
        <v>19995</v>
      </c>
      <c r="J17562" t="str">
        <f>VLOOKUP(E17562,DSSpieler!A:B,2,FALSE)</f>
        <v>elegal588</v>
      </c>
    </row>
    <row r="17563" spans="1:10" x14ac:dyDescent="0.25">
      <c r="A17563">
        <v>19996</v>
      </c>
      <c r="B17563" t="s">
        <v>3967</v>
      </c>
      <c r="C17563">
        <v>388</v>
      </c>
      <c r="D17563">
        <v>426</v>
      </c>
      <c r="E17563">
        <v>1577042724</v>
      </c>
      <c r="F17563">
        <v>84</v>
      </c>
      <c r="G17563">
        <v>0</v>
      </c>
      <c r="H17563" t="s">
        <v>22400</v>
      </c>
      <c r="I17563">
        <v>19996</v>
      </c>
      <c r="J17563" t="str">
        <f>VLOOKUP(E17563,DSSpieler!A:B,2,FALSE)</f>
        <v>BrokenMonk</v>
      </c>
    </row>
    <row r="17564" spans="1:10" x14ac:dyDescent="0.25">
      <c r="A17564">
        <v>19998</v>
      </c>
      <c r="B17564" t="s">
        <v>531</v>
      </c>
      <c r="C17564">
        <v>387</v>
      </c>
      <c r="D17564">
        <v>566</v>
      </c>
      <c r="E17564">
        <v>0</v>
      </c>
      <c r="F17564">
        <v>94</v>
      </c>
      <c r="G17564">
        <v>0</v>
      </c>
      <c r="H17564" t="s">
        <v>22401</v>
      </c>
      <c r="I17564">
        <v>19998</v>
      </c>
      <c r="J17564" t="e">
        <f>VLOOKUP(E17564,DSSpieler!A:B,2,FALSE)</f>
        <v>#N/A</v>
      </c>
    </row>
    <row r="17565" spans="1:10" x14ac:dyDescent="0.25">
      <c r="A17565">
        <v>19999</v>
      </c>
      <c r="B17565" t="s">
        <v>3968</v>
      </c>
      <c r="C17565">
        <v>369</v>
      </c>
      <c r="D17565">
        <v>467</v>
      </c>
      <c r="E17565">
        <v>9412662</v>
      </c>
      <c r="F17565">
        <v>51</v>
      </c>
      <c r="G17565">
        <v>0</v>
      </c>
      <c r="H17565" t="s">
        <v>22402</v>
      </c>
      <c r="I17565">
        <v>19999</v>
      </c>
      <c r="J17565" t="str">
        <f>VLOOKUP(E17565,DSSpieler!A:B,2,FALSE)</f>
        <v>roock7</v>
      </c>
    </row>
    <row r="17566" spans="1:10" x14ac:dyDescent="0.25">
      <c r="A17566">
        <v>20000</v>
      </c>
      <c r="B17566" t="s">
        <v>531</v>
      </c>
      <c r="C17566">
        <v>520</v>
      </c>
      <c r="D17566">
        <v>634</v>
      </c>
      <c r="E17566">
        <v>0</v>
      </c>
      <c r="F17566">
        <v>57</v>
      </c>
      <c r="G17566">
        <v>0</v>
      </c>
      <c r="H17566" t="s">
        <v>22403</v>
      </c>
      <c r="I17566">
        <v>20000</v>
      </c>
      <c r="J17566" t="e">
        <f>VLOOKUP(E17566,DSSpieler!A:B,2,FALSE)</f>
        <v>#N/A</v>
      </c>
    </row>
    <row r="17567" spans="1:10" x14ac:dyDescent="0.25">
      <c r="A17567">
        <v>20002</v>
      </c>
      <c r="B17567" t="s">
        <v>3969</v>
      </c>
      <c r="C17567">
        <v>367</v>
      </c>
      <c r="D17567">
        <v>512</v>
      </c>
      <c r="E17567">
        <v>1577184633</v>
      </c>
      <c r="F17567">
        <v>26</v>
      </c>
      <c r="G17567">
        <v>0</v>
      </c>
      <c r="H17567" t="s">
        <v>22404</v>
      </c>
      <c r="I17567">
        <v>20002</v>
      </c>
      <c r="J17567" t="str">
        <f>VLOOKUP(E17567,DSSpieler!A:B,2,FALSE)</f>
        <v>Michael2304</v>
      </c>
    </row>
    <row r="17568" spans="1:10" x14ac:dyDescent="0.25">
      <c r="A17568">
        <v>20003</v>
      </c>
      <c r="B17568" t="s">
        <v>3970</v>
      </c>
      <c r="C17568">
        <v>508</v>
      </c>
      <c r="D17568">
        <v>633</v>
      </c>
      <c r="E17568">
        <v>1577163189</v>
      </c>
      <c r="F17568">
        <v>870</v>
      </c>
      <c r="G17568">
        <v>0</v>
      </c>
      <c r="H17568" t="s">
        <v>22405</v>
      </c>
      <c r="I17568">
        <v>20003</v>
      </c>
      <c r="J17568" t="str">
        <f>VLOOKUP(E17568,DSSpieler!A:B,2,FALSE)</f>
        <v>Peterdettman</v>
      </c>
    </row>
    <row r="17569" spans="1:10" x14ac:dyDescent="0.25">
      <c r="A17569">
        <v>20005</v>
      </c>
      <c r="B17569" t="s">
        <v>3971</v>
      </c>
      <c r="C17569">
        <v>393</v>
      </c>
      <c r="D17569">
        <v>574</v>
      </c>
      <c r="E17569">
        <v>1577208024</v>
      </c>
      <c r="F17569">
        <v>365</v>
      </c>
      <c r="G17569">
        <v>0</v>
      </c>
      <c r="H17569" t="s">
        <v>22406</v>
      </c>
      <c r="I17569">
        <v>20005</v>
      </c>
      <c r="J17569" t="str">
        <f>VLOOKUP(E17569,DSSpieler!A:B,2,FALSE)</f>
        <v>Kevkev98</v>
      </c>
    </row>
    <row r="17570" spans="1:10" x14ac:dyDescent="0.25">
      <c r="A17570">
        <v>20006</v>
      </c>
      <c r="B17570" t="s">
        <v>3972</v>
      </c>
      <c r="C17570">
        <v>461</v>
      </c>
      <c r="D17570">
        <v>428</v>
      </c>
      <c r="E17570">
        <v>1577181998</v>
      </c>
      <c r="F17570">
        <v>448</v>
      </c>
      <c r="G17570">
        <v>0</v>
      </c>
      <c r="H17570" t="s">
        <v>22407</v>
      </c>
      <c r="I17570">
        <v>20006</v>
      </c>
      <c r="J17570" t="str">
        <f>VLOOKUP(E17570,DSSpieler!A:B,2,FALSE)</f>
        <v>To4stKrieger</v>
      </c>
    </row>
    <row r="17571" spans="1:10" x14ac:dyDescent="0.25">
      <c r="A17571">
        <v>20007</v>
      </c>
      <c r="B17571" t="s">
        <v>3973</v>
      </c>
      <c r="C17571">
        <v>591</v>
      </c>
      <c r="D17571">
        <v>602</v>
      </c>
      <c r="E17571">
        <v>10294798</v>
      </c>
      <c r="F17571">
        <v>538</v>
      </c>
      <c r="G17571">
        <v>0</v>
      </c>
      <c r="H17571" t="s">
        <v>22408</v>
      </c>
      <c r="I17571">
        <v>20007</v>
      </c>
      <c r="J17571" t="str">
        <f>VLOOKUP(E17571,DSSpieler!A:B,2,FALSE)</f>
        <v>fabi.004</v>
      </c>
    </row>
    <row r="17572" spans="1:10" x14ac:dyDescent="0.25">
      <c r="A17572">
        <v>20008</v>
      </c>
      <c r="B17572" t="s">
        <v>3974</v>
      </c>
      <c r="C17572">
        <v>457</v>
      </c>
      <c r="D17572">
        <v>627</v>
      </c>
      <c r="E17572">
        <v>1576298577</v>
      </c>
      <c r="F17572">
        <v>51</v>
      </c>
      <c r="G17572">
        <v>0</v>
      </c>
      <c r="H17572" t="s">
        <v>22409</v>
      </c>
      <c r="I17572">
        <v>20008</v>
      </c>
      <c r="J17572" t="str">
        <f>VLOOKUP(E17572,DSSpieler!A:B,2,FALSE)</f>
        <v>jonesars</v>
      </c>
    </row>
    <row r="17573" spans="1:10" x14ac:dyDescent="0.25">
      <c r="A17573">
        <v>20010</v>
      </c>
      <c r="B17573" t="s">
        <v>3975</v>
      </c>
      <c r="C17573">
        <v>591</v>
      </c>
      <c r="D17573">
        <v>496</v>
      </c>
      <c r="E17573">
        <v>77188</v>
      </c>
      <c r="F17573">
        <v>549</v>
      </c>
      <c r="G17573">
        <v>0</v>
      </c>
      <c r="H17573" t="s">
        <v>22410</v>
      </c>
      <c r="I17573">
        <v>20010</v>
      </c>
      <c r="J17573" t="str">
        <f>VLOOKUP(E17573,DSSpieler!A:B,2,FALSE)</f>
        <v>tipcooler</v>
      </c>
    </row>
    <row r="17574" spans="1:10" x14ac:dyDescent="0.25">
      <c r="A17574">
        <v>20011</v>
      </c>
      <c r="B17574" t="s">
        <v>3976</v>
      </c>
      <c r="C17574">
        <v>619</v>
      </c>
      <c r="D17574">
        <v>447</v>
      </c>
      <c r="E17574">
        <v>2924156</v>
      </c>
      <c r="F17574">
        <v>26</v>
      </c>
      <c r="G17574">
        <v>0</v>
      </c>
      <c r="H17574" t="s">
        <v>22411</v>
      </c>
      <c r="I17574">
        <v>20011</v>
      </c>
      <c r="J17574" t="str">
        <f>VLOOKUP(E17574,DSSpieler!A:B,2,FALSE)</f>
        <v>HonzzZ</v>
      </c>
    </row>
    <row r="17575" spans="1:10" x14ac:dyDescent="0.25">
      <c r="A17575">
        <v>20012</v>
      </c>
      <c r="B17575" t="s">
        <v>3977</v>
      </c>
      <c r="C17575">
        <v>621</v>
      </c>
      <c r="D17575">
        <v>449</v>
      </c>
      <c r="E17575">
        <v>1577191679</v>
      </c>
      <c r="F17575">
        <v>162</v>
      </c>
      <c r="G17575">
        <v>0</v>
      </c>
      <c r="H17575" t="s">
        <v>22412</v>
      </c>
      <c r="I17575">
        <v>20012</v>
      </c>
      <c r="J17575" t="str">
        <f>VLOOKUP(E17575,DSSpieler!A:B,2,FALSE)</f>
        <v>Jojo157</v>
      </c>
    </row>
    <row r="17576" spans="1:10" x14ac:dyDescent="0.25">
      <c r="A17576">
        <v>20013</v>
      </c>
      <c r="B17576" t="s">
        <v>35720</v>
      </c>
      <c r="C17576">
        <v>631</v>
      </c>
      <c r="D17576">
        <v>467</v>
      </c>
      <c r="E17576">
        <v>1577208026</v>
      </c>
      <c r="F17576">
        <v>482</v>
      </c>
      <c r="G17576">
        <v>0</v>
      </c>
      <c r="H17576" t="s">
        <v>22413</v>
      </c>
      <c r="I17576">
        <v>20013</v>
      </c>
      <c r="J17576" t="str">
        <f>VLOOKUP(E17576,DSSpieler!A:B,2,FALSE)</f>
        <v>xNeaze</v>
      </c>
    </row>
    <row r="17577" spans="1:10" x14ac:dyDescent="0.25">
      <c r="A17577">
        <v>20014</v>
      </c>
      <c r="B17577" t="s">
        <v>531</v>
      </c>
      <c r="C17577">
        <v>372</v>
      </c>
      <c r="D17577">
        <v>539</v>
      </c>
      <c r="E17577">
        <v>0</v>
      </c>
      <c r="F17577">
        <v>94</v>
      </c>
      <c r="G17577">
        <v>0</v>
      </c>
      <c r="H17577" t="s">
        <v>22414</v>
      </c>
      <c r="I17577">
        <v>20014</v>
      </c>
      <c r="J17577" t="e">
        <f>VLOOKUP(E17577,DSSpieler!A:B,2,FALSE)</f>
        <v>#N/A</v>
      </c>
    </row>
    <row r="17578" spans="1:10" x14ac:dyDescent="0.25">
      <c r="A17578">
        <v>20015</v>
      </c>
      <c r="B17578" t="s">
        <v>3978</v>
      </c>
      <c r="C17578">
        <v>374</v>
      </c>
      <c r="D17578">
        <v>551</v>
      </c>
      <c r="E17578">
        <v>1577195353</v>
      </c>
      <c r="F17578">
        <v>526</v>
      </c>
      <c r="G17578">
        <v>0</v>
      </c>
      <c r="H17578" t="s">
        <v>22415</v>
      </c>
      <c r="I17578">
        <v>20015</v>
      </c>
      <c r="J17578" t="str">
        <f>VLOOKUP(E17578,DSSpieler!A:B,2,FALSE)</f>
        <v>MrNixie5555</v>
      </c>
    </row>
    <row r="17579" spans="1:10" x14ac:dyDescent="0.25">
      <c r="A17579">
        <v>20016</v>
      </c>
      <c r="B17579" t="s">
        <v>531</v>
      </c>
      <c r="C17579">
        <v>618</v>
      </c>
      <c r="D17579">
        <v>566</v>
      </c>
      <c r="E17579">
        <v>0</v>
      </c>
      <c r="F17579">
        <v>56</v>
      </c>
      <c r="G17579">
        <v>0</v>
      </c>
      <c r="H17579" t="s">
        <v>22416</v>
      </c>
      <c r="I17579">
        <v>20016</v>
      </c>
      <c r="J17579" t="e">
        <f>VLOOKUP(E17579,DSSpieler!A:B,2,FALSE)</f>
        <v>#N/A</v>
      </c>
    </row>
    <row r="17580" spans="1:10" x14ac:dyDescent="0.25">
      <c r="A17580">
        <v>20017</v>
      </c>
      <c r="B17580" t="s">
        <v>35721</v>
      </c>
      <c r="C17580">
        <v>377</v>
      </c>
      <c r="D17580">
        <v>556</v>
      </c>
      <c r="E17580">
        <v>1577195351</v>
      </c>
      <c r="F17580">
        <v>684</v>
      </c>
      <c r="G17580">
        <v>0</v>
      </c>
      <c r="H17580" t="s">
        <v>22417</v>
      </c>
      <c r="I17580">
        <v>20017</v>
      </c>
      <c r="J17580" t="str">
        <f>VLOOKUP(E17580,DSSpieler!A:B,2,FALSE)</f>
        <v>lukasnixie</v>
      </c>
    </row>
    <row r="17581" spans="1:10" x14ac:dyDescent="0.25">
      <c r="A17581">
        <v>20018</v>
      </c>
      <c r="B17581" t="s">
        <v>531</v>
      </c>
      <c r="C17581">
        <v>393</v>
      </c>
      <c r="D17581">
        <v>418</v>
      </c>
      <c r="E17581">
        <v>0</v>
      </c>
      <c r="F17581">
        <v>85</v>
      </c>
      <c r="G17581">
        <v>0</v>
      </c>
      <c r="H17581" t="s">
        <v>22418</v>
      </c>
      <c r="I17581">
        <v>20018</v>
      </c>
      <c r="J17581" t="e">
        <f>VLOOKUP(E17581,DSSpieler!A:B,2,FALSE)</f>
        <v>#N/A</v>
      </c>
    </row>
    <row r="17582" spans="1:10" x14ac:dyDescent="0.25">
      <c r="A17582">
        <v>20019</v>
      </c>
      <c r="B17582" t="s">
        <v>3979</v>
      </c>
      <c r="C17582">
        <v>429</v>
      </c>
      <c r="D17582">
        <v>614</v>
      </c>
      <c r="E17582">
        <v>1576890816</v>
      </c>
      <c r="F17582">
        <v>515</v>
      </c>
      <c r="G17582">
        <v>0</v>
      </c>
      <c r="H17582" t="s">
        <v>22419</v>
      </c>
      <c r="I17582">
        <v>20019</v>
      </c>
      <c r="J17582" t="str">
        <f>VLOOKUP(E17582,DSSpieler!A:B,2,FALSE)</f>
        <v>MatzeKing</v>
      </c>
    </row>
    <row r="17583" spans="1:10" x14ac:dyDescent="0.25">
      <c r="A17583">
        <v>20020</v>
      </c>
      <c r="B17583" t="s">
        <v>3980</v>
      </c>
      <c r="C17583">
        <v>626</v>
      </c>
      <c r="D17583">
        <v>496</v>
      </c>
      <c r="E17583">
        <v>1576880629</v>
      </c>
      <c r="F17583">
        <v>527</v>
      </c>
      <c r="G17583">
        <v>0</v>
      </c>
      <c r="H17583" t="s">
        <v>22420</v>
      </c>
      <c r="I17583">
        <v>20020</v>
      </c>
      <c r="J17583" t="str">
        <f>VLOOKUP(E17583,DSSpieler!A:B,2,FALSE)</f>
        <v>CptNexus</v>
      </c>
    </row>
    <row r="17584" spans="1:10" x14ac:dyDescent="0.25">
      <c r="A17584">
        <v>20022</v>
      </c>
      <c r="B17584" t="s">
        <v>3981</v>
      </c>
      <c r="C17584">
        <v>483</v>
      </c>
      <c r="D17584">
        <v>635</v>
      </c>
      <c r="E17584">
        <v>1577208034</v>
      </c>
      <c r="F17584">
        <v>520</v>
      </c>
      <c r="G17584">
        <v>0</v>
      </c>
      <c r="H17584" t="s">
        <v>22421</v>
      </c>
      <c r="I17584">
        <v>20022</v>
      </c>
      <c r="J17584" t="str">
        <f>VLOOKUP(E17584,DSSpieler!A:B,2,FALSE)</f>
        <v>gertie1234</v>
      </c>
    </row>
    <row r="17585" spans="1:10" x14ac:dyDescent="0.25">
      <c r="A17585">
        <v>20025</v>
      </c>
      <c r="B17585" t="s">
        <v>3982</v>
      </c>
      <c r="C17585">
        <v>615</v>
      </c>
      <c r="D17585">
        <v>572</v>
      </c>
      <c r="E17585">
        <v>1576798357</v>
      </c>
      <c r="F17585">
        <v>233</v>
      </c>
      <c r="G17585">
        <v>0</v>
      </c>
      <c r="H17585" t="s">
        <v>22422</v>
      </c>
      <c r="I17585">
        <v>20025</v>
      </c>
      <c r="J17585" t="str">
        <f>VLOOKUP(E17585,DSSpieler!A:B,2,FALSE)</f>
        <v>King-Julien-11</v>
      </c>
    </row>
    <row r="17586" spans="1:10" x14ac:dyDescent="0.25">
      <c r="A17586">
        <v>20026</v>
      </c>
      <c r="B17586" t="s">
        <v>3983</v>
      </c>
      <c r="C17586">
        <v>628</v>
      </c>
      <c r="D17586">
        <v>540</v>
      </c>
      <c r="E17586">
        <v>1577062261</v>
      </c>
      <c r="F17586">
        <v>98</v>
      </c>
      <c r="G17586">
        <v>0</v>
      </c>
      <c r="H17586" t="s">
        <v>22423</v>
      </c>
      <c r="I17586">
        <v>20026</v>
      </c>
      <c r="J17586" t="str">
        <f>VLOOKUP(E17586,DSSpieler!A:B,2,FALSE)</f>
        <v>.Kekshandel</v>
      </c>
    </row>
    <row r="17587" spans="1:10" x14ac:dyDescent="0.25">
      <c r="A17587">
        <v>20027</v>
      </c>
      <c r="B17587" t="s">
        <v>3984</v>
      </c>
      <c r="C17587">
        <v>407</v>
      </c>
      <c r="D17587">
        <v>464</v>
      </c>
      <c r="E17587">
        <v>1577189084</v>
      </c>
      <c r="F17587">
        <v>162</v>
      </c>
      <c r="G17587">
        <v>0</v>
      </c>
      <c r="H17587" t="s">
        <v>22424</v>
      </c>
      <c r="I17587">
        <v>20027</v>
      </c>
      <c r="J17587" t="str">
        <f>VLOOKUP(E17587,DSSpieler!A:B,2,FALSE)</f>
        <v>Cerebron</v>
      </c>
    </row>
    <row r="17588" spans="1:10" x14ac:dyDescent="0.25">
      <c r="A17588">
        <v>20028</v>
      </c>
      <c r="B17588" t="s">
        <v>3985</v>
      </c>
      <c r="C17588">
        <v>545</v>
      </c>
      <c r="D17588">
        <v>376</v>
      </c>
      <c r="E17588">
        <v>137205</v>
      </c>
      <c r="F17588">
        <v>223</v>
      </c>
      <c r="G17588">
        <v>0</v>
      </c>
      <c r="H17588" t="s">
        <v>22425</v>
      </c>
      <c r="I17588">
        <v>20028</v>
      </c>
      <c r="J17588" t="str">
        <f>VLOOKUP(E17588,DSSpieler!A:B,2,FALSE)</f>
        <v>calmane</v>
      </c>
    </row>
    <row r="17589" spans="1:10" x14ac:dyDescent="0.25">
      <c r="A17589">
        <v>20030</v>
      </c>
      <c r="B17589" t="s">
        <v>3986</v>
      </c>
      <c r="C17589">
        <v>369</v>
      </c>
      <c r="D17589">
        <v>493</v>
      </c>
      <c r="E17589">
        <v>3283049</v>
      </c>
      <c r="F17589">
        <v>162</v>
      </c>
      <c r="G17589">
        <v>0</v>
      </c>
      <c r="H17589" t="s">
        <v>22426</v>
      </c>
      <c r="I17589">
        <v>20030</v>
      </c>
      <c r="J17589" t="str">
        <f>VLOOKUP(E17589,DSSpieler!A:B,2,FALSE)</f>
        <v>ultralord7</v>
      </c>
    </row>
    <row r="17590" spans="1:10" x14ac:dyDescent="0.25">
      <c r="A17590">
        <v>20033</v>
      </c>
      <c r="B17590" t="s">
        <v>3987</v>
      </c>
      <c r="C17590">
        <v>469</v>
      </c>
      <c r="D17590">
        <v>368</v>
      </c>
      <c r="E17590">
        <v>10057670</v>
      </c>
      <c r="F17590">
        <v>26</v>
      </c>
      <c r="G17590">
        <v>0</v>
      </c>
      <c r="H17590" t="s">
        <v>22427</v>
      </c>
      <c r="I17590">
        <v>20033</v>
      </c>
      <c r="J17590" t="str">
        <f>VLOOKUP(E17590,DSSpieler!A:B,2,FALSE)</f>
        <v>Mohhr</v>
      </c>
    </row>
    <row r="17591" spans="1:10" x14ac:dyDescent="0.25">
      <c r="A17591">
        <v>20034</v>
      </c>
      <c r="B17591" t="s">
        <v>531</v>
      </c>
      <c r="C17591">
        <v>464</v>
      </c>
      <c r="D17591">
        <v>631</v>
      </c>
      <c r="E17591">
        <v>0</v>
      </c>
      <c r="F17591">
        <v>87</v>
      </c>
      <c r="G17591">
        <v>0</v>
      </c>
      <c r="H17591" t="s">
        <v>22428</v>
      </c>
      <c r="I17591">
        <v>20034</v>
      </c>
      <c r="J17591" t="e">
        <f>VLOOKUP(E17591,DSSpieler!A:B,2,FALSE)</f>
        <v>#N/A</v>
      </c>
    </row>
    <row r="17592" spans="1:10" x14ac:dyDescent="0.25">
      <c r="A17592">
        <v>20035</v>
      </c>
      <c r="B17592" t="s">
        <v>3988</v>
      </c>
      <c r="C17592">
        <v>506</v>
      </c>
      <c r="D17592">
        <v>632</v>
      </c>
      <c r="E17592">
        <v>8444461</v>
      </c>
      <c r="F17592">
        <v>214</v>
      </c>
      <c r="G17592">
        <v>0</v>
      </c>
      <c r="H17592" t="s">
        <v>22429</v>
      </c>
      <c r="I17592">
        <v>20035</v>
      </c>
      <c r="J17592" t="str">
        <f>VLOOKUP(E17592,DSSpieler!A:B,2,FALSE)</f>
        <v>Medi-Master</v>
      </c>
    </row>
    <row r="17593" spans="1:10" x14ac:dyDescent="0.25">
      <c r="A17593">
        <v>20036</v>
      </c>
      <c r="B17593" t="s">
        <v>3989</v>
      </c>
      <c r="C17593">
        <v>632</v>
      </c>
      <c r="D17593">
        <v>466</v>
      </c>
      <c r="E17593">
        <v>1577199353</v>
      </c>
      <c r="F17593">
        <v>26</v>
      </c>
      <c r="G17593">
        <v>0</v>
      </c>
      <c r="H17593" t="s">
        <v>22430</v>
      </c>
      <c r="I17593">
        <v>20036</v>
      </c>
      <c r="J17593" t="str">
        <f>VLOOKUP(E17593,DSSpieler!A:B,2,FALSE)</f>
        <v>Dado32</v>
      </c>
    </row>
    <row r="17594" spans="1:10" x14ac:dyDescent="0.25">
      <c r="A17594">
        <v>20037</v>
      </c>
      <c r="B17594" t="s">
        <v>3990</v>
      </c>
      <c r="C17594">
        <v>524</v>
      </c>
      <c r="D17594">
        <v>625</v>
      </c>
      <c r="E17594">
        <v>1577153662</v>
      </c>
      <c r="F17594">
        <v>155</v>
      </c>
      <c r="G17594">
        <v>0</v>
      </c>
      <c r="H17594" t="s">
        <v>22431</v>
      </c>
      <c r="I17594">
        <v>20037</v>
      </c>
      <c r="J17594" t="str">
        <f>VLOOKUP(E17594,DSSpieler!A:B,2,FALSE)</f>
        <v>Waya</v>
      </c>
    </row>
    <row r="17595" spans="1:10" x14ac:dyDescent="0.25">
      <c r="A17595">
        <v>20038</v>
      </c>
      <c r="B17595" t="s">
        <v>3991</v>
      </c>
      <c r="C17595">
        <v>616</v>
      </c>
      <c r="D17595">
        <v>567</v>
      </c>
      <c r="E17595">
        <v>1577185699</v>
      </c>
      <c r="F17595">
        <v>1192</v>
      </c>
      <c r="G17595">
        <v>0</v>
      </c>
      <c r="H17595" t="s">
        <v>22432</v>
      </c>
      <c r="I17595">
        <v>20038</v>
      </c>
      <c r="J17595" t="str">
        <f>VLOOKUP(E17595,DSSpieler!A:B,2,FALSE)</f>
        <v>KingOfArmy1997</v>
      </c>
    </row>
    <row r="17596" spans="1:10" x14ac:dyDescent="0.25">
      <c r="A17596">
        <v>20039</v>
      </c>
      <c r="B17596" t="s">
        <v>531</v>
      </c>
      <c r="C17596">
        <v>398</v>
      </c>
      <c r="D17596">
        <v>416</v>
      </c>
      <c r="E17596">
        <v>0</v>
      </c>
      <c r="F17596">
        <v>85</v>
      </c>
      <c r="G17596">
        <v>0</v>
      </c>
      <c r="H17596" t="s">
        <v>22433</v>
      </c>
      <c r="I17596">
        <v>20039</v>
      </c>
      <c r="J17596" t="e">
        <f>VLOOKUP(E17596,DSSpieler!A:B,2,FALSE)</f>
        <v>#N/A</v>
      </c>
    </row>
    <row r="17597" spans="1:10" x14ac:dyDescent="0.25">
      <c r="A17597">
        <v>20040</v>
      </c>
      <c r="B17597" t="s">
        <v>3992</v>
      </c>
      <c r="C17597">
        <v>583</v>
      </c>
      <c r="D17597">
        <v>599</v>
      </c>
      <c r="E17597">
        <v>1577131139</v>
      </c>
      <c r="F17597">
        <v>287</v>
      </c>
      <c r="G17597">
        <v>0</v>
      </c>
      <c r="H17597" t="s">
        <v>22434</v>
      </c>
      <c r="I17597">
        <v>20040</v>
      </c>
      <c r="J17597" t="str">
        <f>VLOOKUP(E17597,DSSpieler!A:B,2,FALSE)</f>
        <v>Gilan01</v>
      </c>
    </row>
    <row r="17598" spans="1:10" x14ac:dyDescent="0.25">
      <c r="A17598">
        <v>20041</v>
      </c>
      <c r="B17598" t="s">
        <v>3993</v>
      </c>
      <c r="C17598">
        <v>610</v>
      </c>
      <c r="D17598">
        <v>422</v>
      </c>
      <c r="E17598">
        <v>9633507</v>
      </c>
      <c r="F17598">
        <v>26</v>
      </c>
      <c r="G17598">
        <v>0</v>
      </c>
      <c r="H17598" t="s">
        <v>22435</v>
      </c>
      <c r="I17598">
        <v>20041</v>
      </c>
      <c r="J17598" t="str">
        <f>VLOOKUP(E17598,DSSpieler!A:B,2,FALSE)</f>
        <v>FuDG3</v>
      </c>
    </row>
    <row r="17599" spans="1:10" x14ac:dyDescent="0.25">
      <c r="A17599">
        <v>20042</v>
      </c>
      <c r="B17599" t="s">
        <v>531</v>
      </c>
      <c r="C17599">
        <v>368</v>
      </c>
      <c r="D17599">
        <v>478</v>
      </c>
      <c r="E17599">
        <v>0</v>
      </c>
      <c r="F17599">
        <v>90</v>
      </c>
      <c r="G17599">
        <v>0</v>
      </c>
      <c r="H17599" t="s">
        <v>22436</v>
      </c>
      <c r="I17599">
        <v>20042</v>
      </c>
      <c r="J17599" t="e">
        <f>VLOOKUP(E17599,DSSpieler!A:B,2,FALSE)</f>
        <v>#N/A</v>
      </c>
    </row>
    <row r="17600" spans="1:10" x14ac:dyDescent="0.25">
      <c r="A17600">
        <v>20044</v>
      </c>
      <c r="B17600" t="s">
        <v>3994</v>
      </c>
      <c r="C17600">
        <v>412</v>
      </c>
      <c r="D17600">
        <v>599</v>
      </c>
      <c r="E17600">
        <v>1577142302</v>
      </c>
      <c r="F17600">
        <v>770</v>
      </c>
      <c r="G17600">
        <v>0</v>
      </c>
      <c r="H17600" t="s">
        <v>22437</v>
      </c>
      <c r="I17600">
        <v>20044</v>
      </c>
      <c r="J17600" t="str">
        <f>VLOOKUP(E17600,DSSpieler!A:B,2,FALSE)</f>
        <v>Hurnado</v>
      </c>
    </row>
    <row r="17601" spans="1:10" x14ac:dyDescent="0.25">
      <c r="A17601">
        <v>20045</v>
      </c>
      <c r="B17601" t="s">
        <v>3995</v>
      </c>
      <c r="C17601">
        <v>566</v>
      </c>
      <c r="D17601">
        <v>614</v>
      </c>
      <c r="E17601">
        <v>1577173715</v>
      </c>
      <c r="F17601">
        <v>750</v>
      </c>
      <c r="G17601">
        <v>0</v>
      </c>
      <c r="H17601" t="s">
        <v>22438</v>
      </c>
      <c r="I17601">
        <v>20045</v>
      </c>
      <c r="J17601" t="str">
        <f>VLOOKUP(E17601,DSSpieler!A:B,2,FALSE)</f>
        <v>Henni6000</v>
      </c>
    </row>
    <row r="17602" spans="1:10" x14ac:dyDescent="0.25">
      <c r="A17602">
        <v>20049</v>
      </c>
      <c r="B17602" t="s">
        <v>3996</v>
      </c>
      <c r="C17602">
        <v>497</v>
      </c>
      <c r="D17602">
        <v>369</v>
      </c>
      <c r="E17602">
        <v>1577084801</v>
      </c>
      <c r="F17602">
        <v>410</v>
      </c>
      <c r="G17602">
        <v>0</v>
      </c>
      <c r="H17602" t="s">
        <v>22439</v>
      </c>
      <c r="I17602">
        <v>20049</v>
      </c>
      <c r="J17602" t="str">
        <f>VLOOKUP(E17602,DSSpieler!A:B,2,FALSE)</f>
        <v>arnold75</v>
      </c>
    </row>
    <row r="17603" spans="1:10" x14ac:dyDescent="0.25">
      <c r="A17603">
        <v>20050</v>
      </c>
      <c r="B17603" t="s">
        <v>3997</v>
      </c>
      <c r="C17603">
        <v>389</v>
      </c>
      <c r="D17603">
        <v>428</v>
      </c>
      <c r="E17603">
        <v>1577135289</v>
      </c>
      <c r="F17603">
        <v>26</v>
      </c>
      <c r="G17603">
        <v>0</v>
      </c>
      <c r="H17603" t="s">
        <v>22440</v>
      </c>
      <c r="I17603">
        <v>20050</v>
      </c>
      <c r="J17603" t="str">
        <f>VLOOKUP(E17603,DSSpieler!A:B,2,FALSE)</f>
        <v>xxx69xxx</v>
      </c>
    </row>
    <row r="17604" spans="1:10" x14ac:dyDescent="0.25">
      <c r="A17604">
        <v>20052</v>
      </c>
      <c r="B17604" t="s">
        <v>3998</v>
      </c>
      <c r="C17604">
        <v>461</v>
      </c>
      <c r="D17604">
        <v>624</v>
      </c>
      <c r="E17604">
        <v>1577194574</v>
      </c>
      <c r="F17604">
        <v>396</v>
      </c>
      <c r="G17604">
        <v>0</v>
      </c>
      <c r="H17604" t="s">
        <v>22441</v>
      </c>
      <c r="I17604">
        <v>20052</v>
      </c>
      <c r="J17604" t="str">
        <f>VLOOKUP(E17604,DSSpieler!A:B,2,FALSE)</f>
        <v>Crackmaier117</v>
      </c>
    </row>
    <row r="17605" spans="1:10" x14ac:dyDescent="0.25">
      <c r="A17605">
        <v>20053</v>
      </c>
      <c r="B17605" t="s">
        <v>3999</v>
      </c>
      <c r="C17605">
        <v>523</v>
      </c>
      <c r="D17605">
        <v>632</v>
      </c>
      <c r="E17605">
        <v>10035690</v>
      </c>
      <c r="F17605">
        <v>32</v>
      </c>
      <c r="G17605">
        <v>0</v>
      </c>
      <c r="H17605" t="s">
        <v>22442</v>
      </c>
      <c r="I17605">
        <v>20053</v>
      </c>
      <c r="J17605" t="str">
        <f>VLOOKUP(E17605,DSSpieler!A:B,2,FALSE)</f>
        <v>.Flip.</v>
      </c>
    </row>
    <row r="17606" spans="1:10" x14ac:dyDescent="0.25">
      <c r="A17606">
        <v>20054</v>
      </c>
      <c r="B17606" t="s">
        <v>531</v>
      </c>
      <c r="C17606">
        <v>552</v>
      </c>
      <c r="D17606">
        <v>620</v>
      </c>
      <c r="E17606">
        <v>0</v>
      </c>
      <c r="F17606">
        <v>62</v>
      </c>
      <c r="G17606">
        <v>0</v>
      </c>
      <c r="H17606" t="s">
        <v>22443</v>
      </c>
      <c r="I17606">
        <v>20054</v>
      </c>
      <c r="J17606" t="e">
        <f>VLOOKUP(E17606,DSSpieler!A:B,2,FALSE)</f>
        <v>#N/A</v>
      </c>
    </row>
    <row r="17607" spans="1:10" x14ac:dyDescent="0.25">
      <c r="A17607">
        <v>20055</v>
      </c>
      <c r="B17607" t="s">
        <v>4000</v>
      </c>
      <c r="C17607">
        <v>631</v>
      </c>
      <c r="D17607">
        <v>491</v>
      </c>
      <c r="E17607">
        <v>1577018251</v>
      </c>
      <c r="F17607">
        <v>125</v>
      </c>
      <c r="G17607">
        <v>0</v>
      </c>
      <c r="H17607" t="s">
        <v>22444</v>
      </c>
      <c r="I17607">
        <v>20055</v>
      </c>
      <c r="J17607" t="str">
        <f>VLOOKUP(E17607,DSSpieler!A:B,2,FALSE)</f>
        <v>pape25</v>
      </c>
    </row>
    <row r="17608" spans="1:10" x14ac:dyDescent="0.25">
      <c r="A17608">
        <v>20056</v>
      </c>
      <c r="B17608" t="s">
        <v>4001</v>
      </c>
      <c r="C17608">
        <v>571</v>
      </c>
      <c r="D17608">
        <v>389</v>
      </c>
      <c r="E17608">
        <v>1576104328</v>
      </c>
      <c r="F17608">
        <v>379</v>
      </c>
      <c r="G17608">
        <v>0</v>
      </c>
      <c r="H17608" t="s">
        <v>22445</v>
      </c>
      <c r="I17608">
        <v>20056</v>
      </c>
      <c r="J17608" t="str">
        <f>VLOOKUP(E17608,DSSpieler!A:B,2,FALSE)</f>
        <v>TheCrusher1712</v>
      </c>
    </row>
    <row r="17609" spans="1:10" x14ac:dyDescent="0.25">
      <c r="A17609">
        <v>20057</v>
      </c>
      <c r="B17609" t="s">
        <v>4002</v>
      </c>
      <c r="C17609">
        <v>627</v>
      </c>
      <c r="D17609">
        <v>456</v>
      </c>
      <c r="E17609">
        <v>1577091962</v>
      </c>
      <c r="F17609">
        <v>26</v>
      </c>
      <c r="G17609">
        <v>0</v>
      </c>
      <c r="H17609" t="s">
        <v>22446</v>
      </c>
      <c r="I17609">
        <v>20057</v>
      </c>
      <c r="J17609" t="str">
        <f>VLOOKUP(E17609,DSSpieler!A:B,2,FALSE)</f>
        <v>OmitBang</v>
      </c>
    </row>
    <row r="17610" spans="1:10" x14ac:dyDescent="0.25">
      <c r="A17610">
        <v>20058</v>
      </c>
      <c r="B17610" t="s">
        <v>4003</v>
      </c>
      <c r="C17610">
        <v>369</v>
      </c>
      <c r="D17610">
        <v>494</v>
      </c>
      <c r="E17610">
        <v>1577182158</v>
      </c>
      <c r="F17610">
        <v>478</v>
      </c>
      <c r="G17610">
        <v>0</v>
      </c>
      <c r="H17610" t="s">
        <v>22447</v>
      </c>
      <c r="I17610">
        <v>20058</v>
      </c>
      <c r="J17610" t="str">
        <f>VLOOKUP(E17610,DSSpieler!A:B,2,FALSE)</f>
        <v>Mercal</v>
      </c>
    </row>
    <row r="17611" spans="1:10" x14ac:dyDescent="0.25">
      <c r="A17611">
        <v>20059</v>
      </c>
      <c r="B17611" t="s">
        <v>531</v>
      </c>
      <c r="C17611">
        <v>581</v>
      </c>
      <c r="D17611">
        <v>607</v>
      </c>
      <c r="E17611">
        <v>0</v>
      </c>
      <c r="F17611">
        <v>76</v>
      </c>
      <c r="G17611">
        <v>0</v>
      </c>
      <c r="H17611" t="s">
        <v>22448</v>
      </c>
      <c r="I17611">
        <v>20059</v>
      </c>
      <c r="J17611" t="e">
        <f>VLOOKUP(E17611,DSSpieler!A:B,2,FALSE)</f>
        <v>#N/A</v>
      </c>
    </row>
    <row r="17612" spans="1:10" x14ac:dyDescent="0.25">
      <c r="A17612">
        <v>20060</v>
      </c>
      <c r="B17612" t="s">
        <v>1842</v>
      </c>
      <c r="C17612">
        <v>596</v>
      </c>
      <c r="D17612">
        <v>591</v>
      </c>
      <c r="E17612">
        <v>1576790542</v>
      </c>
      <c r="F17612">
        <v>544</v>
      </c>
      <c r="G17612">
        <v>0</v>
      </c>
      <c r="H17612" t="s">
        <v>22449</v>
      </c>
      <c r="I17612">
        <v>20060</v>
      </c>
      <c r="J17612" t="str">
        <f>VLOOKUP(E17612,DSSpieler!A:B,2,FALSE)</f>
        <v>Weazel96</v>
      </c>
    </row>
    <row r="17613" spans="1:10" x14ac:dyDescent="0.25">
      <c r="A17613">
        <v>20061</v>
      </c>
      <c r="B17613" t="s">
        <v>4004</v>
      </c>
      <c r="C17613">
        <v>447</v>
      </c>
      <c r="D17613">
        <v>624</v>
      </c>
      <c r="E17613">
        <v>658143</v>
      </c>
      <c r="F17613">
        <v>26</v>
      </c>
      <c r="G17613">
        <v>0</v>
      </c>
      <c r="H17613" t="s">
        <v>22450</v>
      </c>
      <c r="I17613">
        <v>20061</v>
      </c>
      <c r="J17613" t="str">
        <f>VLOOKUP(E17613,DSSpieler!A:B,2,FALSE)</f>
        <v>zar nikolaus TRS</v>
      </c>
    </row>
    <row r="17614" spans="1:10" x14ac:dyDescent="0.25">
      <c r="A17614">
        <v>20062</v>
      </c>
      <c r="B17614" t="s">
        <v>4005</v>
      </c>
      <c r="C17614">
        <v>635</v>
      </c>
      <c r="D17614">
        <v>504</v>
      </c>
      <c r="E17614">
        <v>251515</v>
      </c>
      <c r="F17614">
        <v>235</v>
      </c>
      <c r="G17614">
        <v>0</v>
      </c>
      <c r="H17614" t="s">
        <v>22451</v>
      </c>
      <c r="I17614">
        <v>20062</v>
      </c>
      <c r="J17614" t="str">
        <f>VLOOKUP(E17614,DSSpieler!A:B,2,FALSE)</f>
        <v>keksnuss</v>
      </c>
    </row>
    <row r="17615" spans="1:10" x14ac:dyDescent="0.25">
      <c r="A17615">
        <v>20063</v>
      </c>
      <c r="B17615" t="s">
        <v>4006</v>
      </c>
      <c r="C17615">
        <v>399</v>
      </c>
      <c r="D17615">
        <v>574</v>
      </c>
      <c r="E17615">
        <v>1576604413</v>
      </c>
      <c r="F17615">
        <v>435</v>
      </c>
      <c r="G17615">
        <v>0</v>
      </c>
      <c r="H17615" t="s">
        <v>22452</v>
      </c>
      <c r="I17615">
        <v>20063</v>
      </c>
      <c r="J17615" t="str">
        <f>VLOOKUP(E17615,DSSpieler!A:B,2,FALSE)</f>
        <v>Sir Hool</v>
      </c>
    </row>
    <row r="17616" spans="1:10" x14ac:dyDescent="0.25">
      <c r="A17616">
        <v>20064</v>
      </c>
      <c r="B17616" t="s">
        <v>4007</v>
      </c>
      <c r="C17616">
        <v>502</v>
      </c>
      <c r="D17616">
        <v>632</v>
      </c>
      <c r="E17616">
        <v>1577053727</v>
      </c>
      <c r="F17616">
        <v>209</v>
      </c>
      <c r="G17616">
        <v>0</v>
      </c>
      <c r="H17616" t="s">
        <v>22453</v>
      </c>
      <c r="I17616">
        <v>20064</v>
      </c>
      <c r="J17616" t="str">
        <f>VLOOKUP(E17616,DSSpieler!A:B,2,FALSE)</f>
        <v>iHa1001</v>
      </c>
    </row>
    <row r="17617" spans="1:10" x14ac:dyDescent="0.25">
      <c r="A17617">
        <v>20065</v>
      </c>
      <c r="B17617" t="s">
        <v>4008</v>
      </c>
      <c r="C17617">
        <v>628</v>
      </c>
      <c r="D17617">
        <v>526</v>
      </c>
      <c r="E17617">
        <v>1577201332</v>
      </c>
      <c r="F17617">
        <v>885</v>
      </c>
      <c r="G17617">
        <v>0</v>
      </c>
      <c r="H17617" t="s">
        <v>22454</v>
      </c>
      <c r="I17617">
        <v>20065</v>
      </c>
      <c r="J17617" t="str">
        <f>VLOOKUP(E17617,DSSpieler!A:B,2,FALSE)</f>
        <v>discoschnupfen</v>
      </c>
    </row>
    <row r="17618" spans="1:10" x14ac:dyDescent="0.25">
      <c r="A17618">
        <v>20066</v>
      </c>
      <c r="B17618" t="s">
        <v>35722</v>
      </c>
      <c r="C17618">
        <v>384</v>
      </c>
      <c r="D17618">
        <v>569</v>
      </c>
      <c r="E17618">
        <v>1577085557</v>
      </c>
      <c r="F17618">
        <v>76</v>
      </c>
      <c r="G17618">
        <v>0</v>
      </c>
      <c r="H17618" t="s">
        <v>22455</v>
      </c>
      <c r="I17618">
        <v>20066</v>
      </c>
      <c r="J17618" t="str">
        <f>VLOOKUP(E17618,DSSpieler!A:B,2,FALSE)</f>
        <v>who?</v>
      </c>
    </row>
    <row r="17619" spans="1:10" x14ac:dyDescent="0.25">
      <c r="A17619">
        <v>20067</v>
      </c>
      <c r="B17619" t="s">
        <v>4009</v>
      </c>
      <c r="C17619">
        <v>397</v>
      </c>
      <c r="D17619">
        <v>532</v>
      </c>
      <c r="E17619">
        <v>1577118707</v>
      </c>
      <c r="F17619">
        <v>433</v>
      </c>
      <c r="G17619">
        <v>0</v>
      </c>
      <c r="H17619" t="s">
        <v>22456</v>
      </c>
      <c r="I17619">
        <v>20067</v>
      </c>
      <c r="J17619" t="str">
        <f>VLOOKUP(E17619,DSSpieler!A:B,2,FALSE)</f>
        <v>eXtreme89</v>
      </c>
    </row>
    <row r="17620" spans="1:10" x14ac:dyDescent="0.25">
      <c r="A17620">
        <v>20069</v>
      </c>
      <c r="B17620" t="s">
        <v>4010</v>
      </c>
      <c r="C17620">
        <v>579</v>
      </c>
      <c r="D17620">
        <v>390</v>
      </c>
      <c r="E17620">
        <v>2561755</v>
      </c>
      <c r="F17620">
        <v>620</v>
      </c>
      <c r="G17620">
        <v>0</v>
      </c>
      <c r="H17620" t="s">
        <v>22457</v>
      </c>
      <c r="I17620">
        <v>20069</v>
      </c>
      <c r="J17620" t="str">
        <f>VLOOKUP(E17620,DSSpieler!A:B,2,FALSE)</f>
        <v>Lanzerlot</v>
      </c>
    </row>
    <row r="17621" spans="1:10" x14ac:dyDescent="0.25">
      <c r="A17621">
        <v>20070</v>
      </c>
      <c r="B17621" t="s">
        <v>531</v>
      </c>
      <c r="C17621">
        <v>543</v>
      </c>
      <c r="D17621">
        <v>625</v>
      </c>
      <c r="E17621">
        <v>0</v>
      </c>
      <c r="F17621">
        <v>89</v>
      </c>
      <c r="G17621">
        <v>0</v>
      </c>
      <c r="H17621" t="s">
        <v>22458</v>
      </c>
      <c r="I17621">
        <v>20070</v>
      </c>
      <c r="J17621" t="e">
        <f>VLOOKUP(E17621,DSSpieler!A:B,2,FALSE)</f>
        <v>#N/A</v>
      </c>
    </row>
    <row r="17622" spans="1:10" x14ac:dyDescent="0.25">
      <c r="A17622">
        <v>20071</v>
      </c>
      <c r="B17622" t="s">
        <v>4011</v>
      </c>
      <c r="C17622">
        <v>582</v>
      </c>
      <c r="D17622">
        <v>388</v>
      </c>
      <c r="E17622">
        <v>1577192441</v>
      </c>
      <c r="F17622">
        <v>599</v>
      </c>
      <c r="G17622">
        <v>0</v>
      </c>
      <c r="H17622" t="s">
        <v>22459</v>
      </c>
      <c r="I17622">
        <v>20071</v>
      </c>
      <c r="J17622" t="str">
        <f>VLOOKUP(E17622,DSSpieler!A:B,2,FALSE)</f>
        <v>Schneeflocke</v>
      </c>
    </row>
    <row r="17623" spans="1:10" x14ac:dyDescent="0.25">
      <c r="A17623">
        <v>20072</v>
      </c>
      <c r="B17623" t="s">
        <v>4012</v>
      </c>
      <c r="C17623">
        <v>486</v>
      </c>
      <c r="D17623">
        <v>368</v>
      </c>
      <c r="E17623">
        <v>1577207739</v>
      </c>
      <c r="F17623">
        <v>337</v>
      </c>
      <c r="G17623">
        <v>0</v>
      </c>
      <c r="H17623" t="s">
        <v>22460</v>
      </c>
      <c r="I17623">
        <v>20072</v>
      </c>
      <c r="J17623" t="str">
        <f>VLOOKUP(E17623,DSSpieler!A:B,2,FALSE)</f>
        <v>Mountain</v>
      </c>
    </row>
    <row r="17624" spans="1:10" x14ac:dyDescent="0.25">
      <c r="A17624">
        <v>20073</v>
      </c>
      <c r="B17624" t="s">
        <v>4013</v>
      </c>
      <c r="C17624">
        <v>375</v>
      </c>
      <c r="D17624">
        <v>549</v>
      </c>
      <c r="E17624">
        <v>967360</v>
      </c>
      <c r="F17624">
        <v>432</v>
      </c>
      <c r="G17624">
        <v>0</v>
      </c>
      <c r="H17624" t="s">
        <v>22461</v>
      </c>
      <c r="I17624">
        <v>20073</v>
      </c>
      <c r="J17624" t="str">
        <f>VLOOKUP(E17624,DSSpieler!A:B,2,FALSE)</f>
        <v>Blend1</v>
      </c>
    </row>
    <row r="17625" spans="1:10" x14ac:dyDescent="0.25">
      <c r="A17625">
        <v>20074</v>
      </c>
      <c r="B17625" t="s">
        <v>531</v>
      </c>
      <c r="C17625">
        <v>419</v>
      </c>
      <c r="D17625">
        <v>396</v>
      </c>
      <c r="E17625">
        <v>0</v>
      </c>
      <c r="F17625">
        <v>73</v>
      </c>
      <c r="G17625">
        <v>0</v>
      </c>
      <c r="H17625" t="s">
        <v>22462</v>
      </c>
      <c r="I17625">
        <v>20074</v>
      </c>
      <c r="J17625" t="e">
        <f>VLOOKUP(E17625,DSSpieler!A:B,2,FALSE)</f>
        <v>#N/A</v>
      </c>
    </row>
    <row r="17626" spans="1:10" x14ac:dyDescent="0.25">
      <c r="A17626">
        <v>20075</v>
      </c>
      <c r="B17626" t="s">
        <v>4014</v>
      </c>
      <c r="C17626">
        <v>376</v>
      </c>
      <c r="D17626">
        <v>557</v>
      </c>
      <c r="E17626">
        <v>1577208097</v>
      </c>
      <c r="F17626">
        <v>199</v>
      </c>
      <c r="G17626">
        <v>0</v>
      </c>
      <c r="H17626" t="s">
        <v>22463</v>
      </c>
      <c r="I17626">
        <v>20075</v>
      </c>
      <c r="J17626" t="str">
        <f>VLOOKUP(E17626,DSSpieler!A:B,2,FALSE)</f>
        <v>Antandra</v>
      </c>
    </row>
    <row r="17627" spans="1:10" x14ac:dyDescent="0.25">
      <c r="A17627">
        <v>20076</v>
      </c>
      <c r="B17627" t="s">
        <v>4015</v>
      </c>
      <c r="C17627">
        <v>474</v>
      </c>
      <c r="D17627">
        <v>629</v>
      </c>
      <c r="E17627">
        <v>1577077732</v>
      </c>
      <c r="F17627">
        <v>509</v>
      </c>
      <c r="G17627">
        <v>0</v>
      </c>
      <c r="H17627" t="s">
        <v>22464</v>
      </c>
      <c r="I17627">
        <v>20076</v>
      </c>
      <c r="J17627" t="str">
        <f>VLOOKUP(E17627,DSSpieler!A:B,2,FALSE)</f>
        <v>xxxLouisVuittonxxx</v>
      </c>
    </row>
    <row r="17628" spans="1:10" x14ac:dyDescent="0.25">
      <c r="A17628">
        <v>20077</v>
      </c>
      <c r="B17628" t="s">
        <v>4016</v>
      </c>
      <c r="C17628">
        <v>368</v>
      </c>
      <c r="D17628">
        <v>475</v>
      </c>
      <c r="E17628">
        <v>1577166064</v>
      </c>
      <c r="F17628">
        <v>34</v>
      </c>
      <c r="G17628">
        <v>0</v>
      </c>
      <c r="H17628" t="s">
        <v>22465</v>
      </c>
      <c r="I17628">
        <v>20077</v>
      </c>
      <c r="J17628" t="str">
        <f>VLOOKUP(E17628,DSSpieler!A:B,2,FALSE)</f>
        <v>ali7474</v>
      </c>
    </row>
    <row r="17629" spans="1:10" x14ac:dyDescent="0.25">
      <c r="A17629">
        <v>20078</v>
      </c>
      <c r="B17629" t="s">
        <v>4017</v>
      </c>
      <c r="C17629">
        <v>520</v>
      </c>
      <c r="D17629">
        <v>369</v>
      </c>
      <c r="E17629">
        <v>8943635</v>
      </c>
      <c r="F17629">
        <v>26</v>
      </c>
      <c r="G17629">
        <v>0</v>
      </c>
      <c r="H17629" t="s">
        <v>22466</v>
      </c>
      <c r="I17629">
        <v>20078</v>
      </c>
      <c r="J17629" t="str">
        <f>VLOOKUP(E17629,DSSpieler!A:B,2,FALSE)</f>
        <v>Werlordus</v>
      </c>
    </row>
    <row r="17630" spans="1:10" x14ac:dyDescent="0.25">
      <c r="A17630">
        <v>20079</v>
      </c>
      <c r="B17630" t="s">
        <v>35723</v>
      </c>
      <c r="C17630">
        <v>512</v>
      </c>
      <c r="D17630">
        <v>368</v>
      </c>
      <c r="E17630">
        <v>7757709</v>
      </c>
      <c r="F17630">
        <v>162</v>
      </c>
      <c r="G17630">
        <v>0</v>
      </c>
      <c r="H17630" t="s">
        <v>22467</v>
      </c>
      <c r="I17630">
        <v>20079</v>
      </c>
      <c r="J17630" t="str">
        <f>VLOOKUP(E17630,DSSpieler!A:B,2,FALSE)</f>
        <v>LordBigMac</v>
      </c>
    </row>
    <row r="17631" spans="1:10" x14ac:dyDescent="0.25">
      <c r="A17631">
        <v>20080</v>
      </c>
      <c r="B17631" t="s">
        <v>4018</v>
      </c>
      <c r="C17631">
        <v>515</v>
      </c>
      <c r="D17631">
        <v>534</v>
      </c>
      <c r="E17631">
        <v>1577197754</v>
      </c>
      <c r="F17631">
        <v>759</v>
      </c>
      <c r="G17631">
        <v>0</v>
      </c>
      <c r="H17631" t="s">
        <v>22468</v>
      </c>
      <c r="I17631">
        <v>20080</v>
      </c>
      <c r="J17631" t="str">
        <f>VLOOKUP(E17631,DSSpieler!A:B,2,FALSE)</f>
        <v>RedDevIL15</v>
      </c>
    </row>
    <row r="17632" spans="1:10" x14ac:dyDescent="0.25">
      <c r="A17632">
        <v>20081</v>
      </c>
      <c r="B17632" t="s">
        <v>4019</v>
      </c>
      <c r="C17632">
        <v>484</v>
      </c>
      <c r="D17632">
        <v>609</v>
      </c>
      <c r="E17632">
        <v>8055555</v>
      </c>
      <c r="F17632">
        <v>918</v>
      </c>
      <c r="G17632">
        <v>0</v>
      </c>
      <c r="H17632" t="s">
        <v>22469</v>
      </c>
      <c r="I17632">
        <v>20081</v>
      </c>
      <c r="J17632" t="str">
        <f>VLOOKUP(E17632,DSSpieler!A:B,2,FALSE)</f>
        <v>Otjischussi</v>
      </c>
    </row>
    <row r="17633" spans="1:10" x14ac:dyDescent="0.25">
      <c r="A17633">
        <v>20082</v>
      </c>
      <c r="B17633" t="s">
        <v>4020</v>
      </c>
      <c r="C17633">
        <v>525</v>
      </c>
      <c r="D17633">
        <v>631</v>
      </c>
      <c r="E17633">
        <v>1577206903</v>
      </c>
      <c r="F17633">
        <v>366</v>
      </c>
      <c r="G17633">
        <v>0</v>
      </c>
      <c r="H17633" t="s">
        <v>22470</v>
      </c>
      <c r="I17633">
        <v>20082</v>
      </c>
      <c r="J17633" t="str">
        <f>VLOOKUP(E17633,DSSpieler!A:B,2,FALSE)</f>
        <v>butzinger81</v>
      </c>
    </row>
    <row r="17634" spans="1:10" x14ac:dyDescent="0.25">
      <c r="A17634">
        <v>20083</v>
      </c>
      <c r="B17634" t="s">
        <v>531</v>
      </c>
      <c r="C17634">
        <v>634</v>
      </c>
      <c r="D17634">
        <v>524</v>
      </c>
      <c r="E17634">
        <v>0</v>
      </c>
      <c r="F17634">
        <v>54</v>
      </c>
      <c r="G17634">
        <v>0</v>
      </c>
      <c r="H17634" t="s">
        <v>22471</v>
      </c>
      <c r="I17634">
        <v>20083</v>
      </c>
      <c r="J17634" t="e">
        <f>VLOOKUP(E17634,DSSpieler!A:B,2,FALSE)</f>
        <v>#N/A</v>
      </c>
    </row>
    <row r="17635" spans="1:10" x14ac:dyDescent="0.25">
      <c r="A17635">
        <v>20084</v>
      </c>
      <c r="B17635" t="s">
        <v>4021</v>
      </c>
      <c r="C17635">
        <v>611</v>
      </c>
      <c r="D17635">
        <v>555</v>
      </c>
      <c r="E17635">
        <v>1577208103</v>
      </c>
      <c r="F17635">
        <v>487</v>
      </c>
      <c r="G17635">
        <v>0</v>
      </c>
      <c r="H17635" t="s">
        <v>22472</v>
      </c>
      <c r="I17635">
        <v>20084</v>
      </c>
      <c r="J17635" t="str">
        <f>VLOOKUP(E17635,DSSpieler!A:B,2,FALSE)</f>
        <v>Lukas1205</v>
      </c>
    </row>
    <row r="17636" spans="1:10" x14ac:dyDescent="0.25">
      <c r="A17636">
        <v>20085</v>
      </c>
      <c r="B17636" t="s">
        <v>4022</v>
      </c>
      <c r="C17636">
        <v>617</v>
      </c>
      <c r="D17636">
        <v>566</v>
      </c>
      <c r="E17636">
        <v>1577203671</v>
      </c>
      <c r="F17636">
        <v>430</v>
      </c>
      <c r="G17636">
        <v>0</v>
      </c>
      <c r="H17636" t="s">
        <v>22473</v>
      </c>
      <c r="I17636">
        <v>20085</v>
      </c>
      <c r="J17636" t="str">
        <f>VLOOKUP(E17636,DSSpieler!A:B,2,FALSE)</f>
        <v>Silvernato</v>
      </c>
    </row>
    <row r="17637" spans="1:10" x14ac:dyDescent="0.25">
      <c r="A17637">
        <v>20087</v>
      </c>
      <c r="B17637" t="s">
        <v>4023</v>
      </c>
      <c r="C17637">
        <v>476</v>
      </c>
      <c r="D17637">
        <v>629</v>
      </c>
      <c r="E17637">
        <v>1577198984</v>
      </c>
      <c r="F17637">
        <v>574</v>
      </c>
      <c r="G17637">
        <v>0</v>
      </c>
      <c r="H17637" t="s">
        <v>22474</v>
      </c>
      <c r="I17637">
        <v>20087</v>
      </c>
      <c r="J17637" t="str">
        <f>VLOOKUP(E17637,DSSpieler!A:B,2,FALSE)</f>
        <v>DerHenningTöter</v>
      </c>
    </row>
    <row r="17638" spans="1:10" x14ac:dyDescent="0.25">
      <c r="A17638">
        <v>20088</v>
      </c>
      <c r="B17638" t="s">
        <v>4024</v>
      </c>
      <c r="C17638">
        <v>433</v>
      </c>
      <c r="D17638">
        <v>612</v>
      </c>
      <c r="E17638">
        <v>1577178804</v>
      </c>
      <c r="F17638">
        <v>122</v>
      </c>
      <c r="G17638">
        <v>0</v>
      </c>
      <c r="H17638" t="s">
        <v>22475</v>
      </c>
      <c r="I17638">
        <v>20088</v>
      </c>
      <c r="J17638" t="str">
        <f>VLOOKUP(E17638,DSSpieler!A:B,2,FALSE)</f>
        <v>Bullzzz</v>
      </c>
    </row>
    <row r="17639" spans="1:10" x14ac:dyDescent="0.25">
      <c r="A17639">
        <v>20089</v>
      </c>
      <c r="B17639" t="s">
        <v>4025</v>
      </c>
      <c r="C17639">
        <v>473</v>
      </c>
      <c r="D17639">
        <v>633</v>
      </c>
      <c r="E17639">
        <v>1577198402</v>
      </c>
      <c r="F17639">
        <v>723</v>
      </c>
      <c r="G17639">
        <v>0</v>
      </c>
      <c r="H17639" t="s">
        <v>22476</v>
      </c>
      <c r="I17639">
        <v>20089</v>
      </c>
      <c r="J17639" t="str">
        <f>VLOOKUP(E17639,DSSpieler!A:B,2,FALSE)</f>
        <v>Ausaht</v>
      </c>
    </row>
    <row r="17640" spans="1:10" x14ac:dyDescent="0.25">
      <c r="A17640">
        <v>20090</v>
      </c>
      <c r="B17640" t="s">
        <v>4026</v>
      </c>
      <c r="C17640">
        <v>606</v>
      </c>
      <c r="D17640">
        <v>585</v>
      </c>
      <c r="E17640">
        <v>1577198637</v>
      </c>
      <c r="F17640">
        <v>521</v>
      </c>
      <c r="G17640">
        <v>0</v>
      </c>
      <c r="H17640" t="s">
        <v>22477</v>
      </c>
      <c r="I17640">
        <v>20090</v>
      </c>
      <c r="J17640" t="str">
        <f>VLOOKUP(E17640,DSSpieler!A:B,2,FALSE)</f>
        <v>jeennssuuss</v>
      </c>
    </row>
    <row r="17641" spans="1:10" x14ac:dyDescent="0.25">
      <c r="A17641">
        <v>20091</v>
      </c>
      <c r="B17641" t="s">
        <v>4027</v>
      </c>
      <c r="C17641">
        <v>599</v>
      </c>
      <c r="D17641">
        <v>474</v>
      </c>
      <c r="E17641">
        <v>1577207758</v>
      </c>
      <c r="F17641">
        <v>720</v>
      </c>
      <c r="G17641">
        <v>0</v>
      </c>
      <c r="H17641" t="s">
        <v>22478</v>
      </c>
      <c r="I17641">
        <v>20091</v>
      </c>
      <c r="J17641" t="str">
        <f>VLOOKUP(E17641,DSSpieler!A:B,2,FALSE)</f>
        <v>B1tchMove</v>
      </c>
    </row>
    <row r="17642" spans="1:10" x14ac:dyDescent="0.25">
      <c r="A17642">
        <v>20092</v>
      </c>
      <c r="B17642" t="s">
        <v>4028</v>
      </c>
      <c r="C17642">
        <v>512</v>
      </c>
      <c r="D17642">
        <v>636</v>
      </c>
      <c r="E17642">
        <v>1577208120</v>
      </c>
      <c r="F17642">
        <v>767</v>
      </c>
      <c r="G17642">
        <v>0</v>
      </c>
      <c r="H17642" t="s">
        <v>22479</v>
      </c>
      <c r="I17642">
        <v>20092</v>
      </c>
      <c r="J17642" t="str">
        <f>VLOOKUP(E17642,DSSpieler!A:B,2,FALSE)</f>
        <v>Johannes23</v>
      </c>
    </row>
    <row r="17643" spans="1:10" x14ac:dyDescent="0.25">
      <c r="A17643">
        <v>20093</v>
      </c>
      <c r="B17643" t="s">
        <v>4029</v>
      </c>
      <c r="C17643">
        <v>596</v>
      </c>
      <c r="D17643">
        <v>600</v>
      </c>
      <c r="E17643">
        <v>1577208123</v>
      </c>
      <c r="F17643">
        <v>35</v>
      </c>
      <c r="G17643">
        <v>0</v>
      </c>
      <c r="H17643" t="s">
        <v>22480</v>
      </c>
      <c r="I17643">
        <v>20093</v>
      </c>
      <c r="J17643" t="str">
        <f>VLOOKUP(E17643,DSSpieler!A:B,2,FALSE)</f>
        <v>Ferrius92</v>
      </c>
    </row>
    <row r="17644" spans="1:10" x14ac:dyDescent="0.25">
      <c r="A17644">
        <v>20094</v>
      </c>
      <c r="B17644" t="s">
        <v>4030</v>
      </c>
      <c r="C17644">
        <v>503</v>
      </c>
      <c r="D17644">
        <v>639</v>
      </c>
      <c r="E17644">
        <v>1577207284</v>
      </c>
      <c r="F17644">
        <v>737</v>
      </c>
      <c r="G17644">
        <v>0</v>
      </c>
      <c r="H17644" t="s">
        <v>22481</v>
      </c>
      <c r="I17644">
        <v>20094</v>
      </c>
      <c r="J17644" t="str">
        <f>VLOOKUP(E17644,DSSpieler!A:B,2,FALSE)</f>
        <v>BlackTiger is back</v>
      </c>
    </row>
    <row r="17645" spans="1:10" x14ac:dyDescent="0.25">
      <c r="A17645">
        <v>20095</v>
      </c>
      <c r="B17645" t="s">
        <v>4031</v>
      </c>
      <c r="C17645">
        <v>629</v>
      </c>
      <c r="D17645">
        <v>540</v>
      </c>
      <c r="E17645">
        <v>10065076</v>
      </c>
      <c r="F17645">
        <v>355</v>
      </c>
      <c r="G17645">
        <v>0</v>
      </c>
      <c r="H17645" t="s">
        <v>22482</v>
      </c>
      <c r="I17645">
        <v>20095</v>
      </c>
      <c r="J17645" t="str">
        <f>VLOOKUP(E17645,DSSpieler!A:B,2,FALSE)</f>
        <v>no surrender</v>
      </c>
    </row>
    <row r="17646" spans="1:10" x14ac:dyDescent="0.25">
      <c r="A17646">
        <v>20096</v>
      </c>
      <c r="B17646" t="s">
        <v>4032</v>
      </c>
      <c r="C17646">
        <v>627</v>
      </c>
      <c r="D17646">
        <v>518</v>
      </c>
      <c r="E17646">
        <v>9514604</v>
      </c>
      <c r="F17646">
        <v>923</v>
      </c>
      <c r="G17646">
        <v>0</v>
      </c>
      <c r="H17646" t="s">
        <v>22483</v>
      </c>
      <c r="I17646">
        <v>20096</v>
      </c>
      <c r="J17646" t="str">
        <f>VLOOKUP(E17646,DSSpieler!A:B,2,FALSE)</f>
        <v>lukamen</v>
      </c>
    </row>
    <row r="17647" spans="1:10" x14ac:dyDescent="0.25">
      <c r="A17647">
        <v>20097</v>
      </c>
      <c r="B17647" t="s">
        <v>4033</v>
      </c>
      <c r="C17647">
        <v>437</v>
      </c>
      <c r="D17647">
        <v>620</v>
      </c>
      <c r="E17647">
        <v>9055892</v>
      </c>
      <c r="F17647">
        <v>812</v>
      </c>
      <c r="G17647">
        <v>0</v>
      </c>
      <c r="H17647" t="s">
        <v>22484</v>
      </c>
      <c r="I17647">
        <v>20097</v>
      </c>
      <c r="J17647" t="str">
        <f>VLOOKUP(E17647,DSSpieler!A:B,2,FALSE)</f>
        <v>El Diabolo</v>
      </c>
    </row>
    <row r="17648" spans="1:10" x14ac:dyDescent="0.25">
      <c r="A17648">
        <v>20098</v>
      </c>
      <c r="B17648" t="s">
        <v>531</v>
      </c>
      <c r="C17648">
        <v>410</v>
      </c>
      <c r="D17648">
        <v>602</v>
      </c>
      <c r="E17648">
        <v>0</v>
      </c>
      <c r="F17648">
        <v>80</v>
      </c>
      <c r="G17648">
        <v>0</v>
      </c>
      <c r="H17648" t="s">
        <v>22485</v>
      </c>
      <c r="I17648">
        <v>20098</v>
      </c>
      <c r="J17648" t="e">
        <f>VLOOKUP(E17648,DSSpieler!A:B,2,FALSE)</f>
        <v>#N/A</v>
      </c>
    </row>
    <row r="17649" spans="1:10" x14ac:dyDescent="0.25">
      <c r="A17649">
        <v>20099</v>
      </c>
      <c r="B17649" t="s">
        <v>761</v>
      </c>
      <c r="C17649">
        <v>417</v>
      </c>
      <c r="D17649">
        <v>607</v>
      </c>
      <c r="E17649">
        <v>1576966533</v>
      </c>
      <c r="F17649">
        <v>26</v>
      </c>
      <c r="G17649">
        <v>0</v>
      </c>
      <c r="H17649" t="s">
        <v>22486</v>
      </c>
      <c r="I17649">
        <v>20099</v>
      </c>
      <c r="J17649" t="str">
        <f>VLOOKUP(E17649,DSSpieler!A:B,2,FALSE)</f>
        <v>Hailod07</v>
      </c>
    </row>
    <row r="17650" spans="1:10" x14ac:dyDescent="0.25">
      <c r="A17650">
        <v>20100</v>
      </c>
      <c r="B17650" t="s">
        <v>4034</v>
      </c>
      <c r="C17650">
        <v>633</v>
      </c>
      <c r="D17650">
        <v>473</v>
      </c>
      <c r="E17650">
        <v>9854283</v>
      </c>
      <c r="F17650">
        <v>607</v>
      </c>
      <c r="G17650">
        <v>0</v>
      </c>
      <c r="H17650" t="s">
        <v>22487</v>
      </c>
      <c r="I17650">
        <v>20100</v>
      </c>
      <c r="J17650" t="str">
        <f>VLOOKUP(E17650,DSSpieler!A:B,2,FALSE)</f>
        <v>torbentop</v>
      </c>
    </row>
    <row r="17651" spans="1:10" x14ac:dyDescent="0.25">
      <c r="A17651">
        <v>20101</v>
      </c>
      <c r="B17651" t="s">
        <v>4035</v>
      </c>
      <c r="C17651">
        <v>603</v>
      </c>
      <c r="D17651">
        <v>577</v>
      </c>
      <c r="E17651">
        <v>1577173473</v>
      </c>
      <c r="F17651">
        <v>69</v>
      </c>
      <c r="G17651">
        <v>0</v>
      </c>
      <c r="H17651" t="s">
        <v>22488</v>
      </c>
      <c r="I17651">
        <v>20101</v>
      </c>
      <c r="J17651" t="str">
        <f>VLOOKUP(E17651,DSSpieler!A:B,2,FALSE)</f>
        <v>Clown der ewigen Nacht</v>
      </c>
    </row>
    <row r="17652" spans="1:10" x14ac:dyDescent="0.25">
      <c r="A17652">
        <v>20103</v>
      </c>
      <c r="B17652" t="s">
        <v>531</v>
      </c>
      <c r="C17652">
        <v>600</v>
      </c>
      <c r="D17652">
        <v>587</v>
      </c>
      <c r="E17652">
        <v>0</v>
      </c>
      <c r="F17652">
        <v>97</v>
      </c>
      <c r="G17652">
        <v>0</v>
      </c>
      <c r="H17652" t="s">
        <v>22489</v>
      </c>
      <c r="I17652">
        <v>20103</v>
      </c>
      <c r="J17652" t="e">
        <f>VLOOKUP(E17652,DSSpieler!A:B,2,FALSE)</f>
        <v>#N/A</v>
      </c>
    </row>
    <row r="17653" spans="1:10" x14ac:dyDescent="0.25">
      <c r="A17653">
        <v>20104</v>
      </c>
      <c r="B17653" t="s">
        <v>4036</v>
      </c>
      <c r="C17653">
        <v>368</v>
      </c>
      <c r="D17653">
        <v>532</v>
      </c>
      <c r="E17653">
        <v>1577207292</v>
      </c>
      <c r="F17653">
        <v>751</v>
      </c>
      <c r="G17653">
        <v>0</v>
      </c>
      <c r="H17653" t="s">
        <v>22490</v>
      </c>
      <c r="I17653">
        <v>20104</v>
      </c>
      <c r="J17653" t="str">
        <f>VLOOKUP(E17653,DSSpieler!A:B,2,FALSE)</f>
        <v>Lord Simba</v>
      </c>
    </row>
    <row r="17654" spans="1:10" x14ac:dyDescent="0.25">
      <c r="A17654">
        <v>20106</v>
      </c>
      <c r="B17654" t="s">
        <v>4037</v>
      </c>
      <c r="C17654">
        <v>437</v>
      </c>
      <c r="D17654">
        <v>601</v>
      </c>
      <c r="E17654">
        <v>1372474</v>
      </c>
      <c r="F17654">
        <v>321</v>
      </c>
      <c r="G17654">
        <v>0</v>
      </c>
      <c r="H17654" t="s">
        <v>22491</v>
      </c>
      <c r="I17654">
        <v>20106</v>
      </c>
      <c r="J17654" t="str">
        <f>VLOOKUP(E17654,DSSpieler!A:B,2,FALSE)</f>
        <v>.OCB.</v>
      </c>
    </row>
    <row r="17655" spans="1:10" x14ac:dyDescent="0.25">
      <c r="A17655">
        <v>20107</v>
      </c>
      <c r="B17655" t="s">
        <v>650</v>
      </c>
      <c r="C17655">
        <v>627</v>
      </c>
      <c r="D17655">
        <v>550</v>
      </c>
      <c r="E17655">
        <v>814507</v>
      </c>
      <c r="F17655">
        <v>755</v>
      </c>
      <c r="G17655">
        <v>0</v>
      </c>
      <c r="H17655" t="s">
        <v>22492</v>
      </c>
      <c r="I17655">
        <v>20107</v>
      </c>
      <c r="J17655" t="str">
        <f>VLOOKUP(E17655,DSSpieler!A:B,2,FALSE)</f>
        <v>Slaid</v>
      </c>
    </row>
    <row r="17656" spans="1:10" x14ac:dyDescent="0.25">
      <c r="A17656">
        <v>20108</v>
      </c>
      <c r="B17656" t="s">
        <v>4038</v>
      </c>
      <c r="C17656">
        <v>380</v>
      </c>
      <c r="D17656">
        <v>446</v>
      </c>
      <c r="E17656">
        <v>1577061527</v>
      </c>
      <c r="F17656">
        <v>660</v>
      </c>
      <c r="G17656">
        <v>0</v>
      </c>
      <c r="H17656" t="s">
        <v>22493</v>
      </c>
      <c r="I17656">
        <v>20108</v>
      </c>
      <c r="J17656" t="str">
        <f>VLOOKUP(E17656,DSSpieler!A:B,2,FALSE)</f>
        <v>LockenHammer</v>
      </c>
    </row>
    <row r="17657" spans="1:10" x14ac:dyDescent="0.25">
      <c r="A17657">
        <v>20110</v>
      </c>
      <c r="B17657" t="s">
        <v>4039</v>
      </c>
      <c r="C17657">
        <v>430</v>
      </c>
      <c r="D17657">
        <v>617</v>
      </c>
      <c r="E17657">
        <v>10068183</v>
      </c>
      <c r="F17657">
        <v>57</v>
      </c>
      <c r="G17657">
        <v>0</v>
      </c>
      <c r="H17657" t="s">
        <v>22494</v>
      </c>
      <c r="I17657">
        <v>20110</v>
      </c>
      <c r="J17657" t="str">
        <f>VLOOKUP(E17657,DSSpieler!A:B,2,FALSE)</f>
        <v>UncleDolan</v>
      </c>
    </row>
    <row r="17658" spans="1:10" x14ac:dyDescent="0.25">
      <c r="A17658">
        <v>20111</v>
      </c>
      <c r="B17658" t="s">
        <v>4040</v>
      </c>
      <c r="C17658">
        <v>555</v>
      </c>
      <c r="D17658">
        <v>619</v>
      </c>
      <c r="E17658">
        <v>1577198418</v>
      </c>
      <c r="F17658">
        <v>599</v>
      </c>
      <c r="G17658">
        <v>0</v>
      </c>
      <c r="H17658" t="s">
        <v>22495</v>
      </c>
      <c r="I17658">
        <v>20111</v>
      </c>
      <c r="J17658" t="str">
        <f>VLOOKUP(E17658,DSSpieler!A:B,2,FALSE)</f>
        <v>Ivanhoe21</v>
      </c>
    </row>
    <row r="17659" spans="1:10" x14ac:dyDescent="0.25">
      <c r="A17659">
        <v>20112</v>
      </c>
      <c r="B17659" t="s">
        <v>4041</v>
      </c>
      <c r="C17659">
        <v>618</v>
      </c>
      <c r="D17659">
        <v>563</v>
      </c>
      <c r="E17659">
        <v>1577208020</v>
      </c>
      <c r="F17659">
        <v>97</v>
      </c>
      <c r="G17659">
        <v>0</v>
      </c>
      <c r="H17659" t="s">
        <v>22496</v>
      </c>
      <c r="I17659">
        <v>20112</v>
      </c>
      <c r="J17659" t="str">
        <f>VLOOKUP(E17659,DSSpieler!A:B,2,FALSE)</f>
        <v>chripo19</v>
      </c>
    </row>
    <row r="17660" spans="1:10" x14ac:dyDescent="0.25">
      <c r="A17660">
        <v>20113</v>
      </c>
      <c r="B17660" t="s">
        <v>4042</v>
      </c>
      <c r="C17660">
        <v>400</v>
      </c>
      <c r="D17660">
        <v>592</v>
      </c>
      <c r="E17660">
        <v>1577082835</v>
      </c>
      <c r="F17660">
        <v>26</v>
      </c>
      <c r="G17660">
        <v>0</v>
      </c>
      <c r="H17660" t="s">
        <v>22497</v>
      </c>
      <c r="I17660">
        <v>20113</v>
      </c>
      <c r="J17660" t="str">
        <f>VLOOKUP(E17660,DSSpieler!A:B,2,FALSE)</f>
        <v>Ernsee</v>
      </c>
    </row>
    <row r="17661" spans="1:10" x14ac:dyDescent="0.25">
      <c r="A17661">
        <v>20114</v>
      </c>
      <c r="B17661" t="s">
        <v>35724</v>
      </c>
      <c r="C17661">
        <v>577</v>
      </c>
      <c r="D17661">
        <v>394</v>
      </c>
      <c r="E17661">
        <v>1577203539</v>
      </c>
      <c r="F17661">
        <v>26</v>
      </c>
      <c r="G17661">
        <v>0</v>
      </c>
      <c r="H17661" t="s">
        <v>22498</v>
      </c>
      <c r="I17661">
        <v>20114</v>
      </c>
      <c r="J17661" t="str">
        <f>VLOOKUP(E17661,DSSpieler!A:B,2,FALSE)</f>
        <v>Dr. Krämer1</v>
      </c>
    </row>
    <row r="17662" spans="1:10" x14ac:dyDescent="0.25">
      <c r="A17662">
        <v>20115</v>
      </c>
      <c r="B17662" t="s">
        <v>4043</v>
      </c>
      <c r="C17662">
        <v>463</v>
      </c>
      <c r="D17662">
        <v>626</v>
      </c>
      <c r="E17662">
        <v>1576758207</v>
      </c>
      <c r="F17662">
        <v>610</v>
      </c>
      <c r="G17662">
        <v>0</v>
      </c>
      <c r="H17662" t="s">
        <v>22499</v>
      </c>
      <c r="I17662">
        <v>20115</v>
      </c>
      <c r="J17662" t="str">
        <f>VLOOKUP(E17662,DSSpieler!A:B,2,FALSE)</f>
        <v>Animahl</v>
      </c>
    </row>
    <row r="17663" spans="1:10" x14ac:dyDescent="0.25">
      <c r="A17663">
        <v>20117</v>
      </c>
      <c r="B17663" t="s">
        <v>4044</v>
      </c>
      <c r="C17663">
        <v>499</v>
      </c>
      <c r="D17663">
        <v>368</v>
      </c>
      <c r="E17663">
        <v>1577208160</v>
      </c>
      <c r="F17663">
        <v>495</v>
      </c>
      <c r="G17663">
        <v>0</v>
      </c>
      <c r="H17663" t="s">
        <v>22500</v>
      </c>
      <c r="I17663">
        <v>20117</v>
      </c>
      <c r="J17663" t="str">
        <f>VLOOKUP(E17663,DSSpieler!A:B,2,FALSE)</f>
        <v>Matzinho</v>
      </c>
    </row>
    <row r="17664" spans="1:10" x14ac:dyDescent="0.25">
      <c r="A17664">
        <v>20120</v>
      </c>
      <c r="B17664" t="s">
        <v>4045</v>
      </c>
      <c r="C17664">
        <v>420</v>
      </c>
      <c r="D17664">
        <v>392</v>
      </c>
      <c r="E17664">
        <v>1577208168</v>
      </c>
      <c r="F17664">
        <v>97</v>
      </c>
      <c r="G17664">
        <v>0</v>
      </c>
      <c r="H17664" t="s">
        <v>22501</v>
      </c>
      <c r="I17664">
        <v>20120</v>
      </c>
      <c r="J17664" t="str">
        <f>VLOOKUP(E17664,DSSpieler!A:B,2,FALSE)</f>
        <v>TW0FUN</v>
      </c>
    </row>
    <row r="17665" spans="1:10" x14ac:dyDescent="0.25">
      <c r="A17665">
        <v>20122</v>
      </c>
      <c r="B17665" t="s">
        <v>531</v>
      </c>
      <c r="C17665">
        <v>457</v>
      </c>
      <c r="D17665">
        <v>626</v>
      </c>
      <c r="E17665">
        <v>0</v>
      </c>
      <c r="F17665">
        <v>67</v>
      </c>
      <c r="G17665">
        <v>0</v>
      </c>
      <c r="H17665" t="s">
        <v>22502</v>
      </c>
      <c r="I17665">
        <v>20122</v>
      </c>
      <c r="J17665" t="e">
        <f>VLOOKUP(E17665,DSSpieler!A:B,2,FALSE)</f>
        <v>#N/A</v>
      </c>
    </row>
    <row r="17666" spans="1:10" x14ac:dyDescent="0.25">
      <c r="A17666">
        <v>20123</v>
      </c>
      <c r="B17666" t="s">
        <v>4046</v>
      </c>
      <c r="C17666">
        <v>613</v>
      </c>
      <c r="D17666">
        <v>544</v>
      </c>
      <c r="E17666">
        <v>1577208171</v>
      </c>
      <c r="F17666">
        <v>466</v>
      </c>
      <c r="G17666">
        <v>0</v>
      </c>
      <c r="H17666" t="s">
        <v>22503</v>
      </c>
      <c r="I17666">
        <v>20123</v>
      </c>
      <c r="J17666" t="str">
        <f>VLOOKUP(E17666,DSSpieler!A:B,2,FALSE)</f>
        <v>wigge99</v>
      </c>
    </row>
    <row r="17667" spans="1:10" x14ac:dyDescent="0.25">
      <c r="A17667">
        <v>20124</v>
      </c>
      <c r="B17667" t="s">
        <v>4047</v>
      </c>
      <c r="C17667">
        <v>426</v>
      </c>
      <c r="D17667">
        <v>388</v>
      </c>
      <c r="E17667">
        <v>1577208172</v>
      </c>
      <c r="F17667">
        <v>50</v>
      </c>
      <c r="G17667">
        <v>0</v>
      </c>
      <c r="H17667" t="s">
        <v>22504</v>
      </c>
      <c r="I17667">
        <v>20124</v>
      </c>
      <c r="J17667" t="str">
        <f>VLOOKUP(E17667,DSSpieler!A:B,2,FALSE)</f>
        <v>KilluaTWO</v>
      </c>
    </row>
    <row r="17668" spans="1:10" x14ac:dyDescent="0.25">
      <c r="A17668">
        <v>20125</v>
      </c>
      <c r="B17668" t="s">
        <v>531</v>
      </c>
      <c r="C17668">
        <v>405</v>
      </c>
      <c r="D17668">
        <v>592</v>
      </c>
      <c r="E17668">
        <v>0</v>
      </c>
      <c r="F17668">
        <v>104</v>
      </c>
      <c r="G17668">
        <v>0</v>
      </c>
      <c r="H17668" t="s">
        <v>22505</v>
      </c>
      <c r="I17668">
        <v>20125</v>
      </c>
      <c r="J17668" t="e">
        <f>VLOOKUP(E17668,DSSpieler!A:B,2,FALSE)</f>
        <v>#N/A</v>
      </c>
    </row>
    <row r="17669" spans="1:10" x14ac:dyDescent="0.25">
      <c r="A17669">
        <v>20126</v>
      </c>
      <c r="B17669" t="s">
        <v>4048</v>
      </c>
      <c r="C17669">
        <v>445</v>
      </c>
      <c r="D17669">
        <v>619</v>
      </c>
      <c r="E17669">
        <v>1577076846</v>
      </c>
      <c r="F17669">
        <v>26</v>
      </c>
      <c r="G17669">
        <v>0</v>
      </c>
      <c r="H17669" t="s">
        <v>22506</v>
      </c>
      <c r="I17669">
        <v>20126</v>
      </c>
      <c r="J17669" t="str">
        <f>VLOOKUP(E17669,DSSpieler!A:B,2,FALSE)</f>
        <v>Benutzername</v>
      </c>
    </row>
    <row r="17670" spans="1:10" x14ac:dyDescent="0.25">
      <c r="A17670">
        <v>20127</v>
      </c>
      <c r="B17670" t="s">
        <v>531</v>
      </c>
      <c r="C17670">
        <v>400</v>
      </c>
      <c r="D17670">
        <v>409</v>
      </c>
      <c r="E17670">
        <v>0</v>
      </c>
      <c r="F17670">
        <v>65</v>
      </c>
      <c r="G17670">
        <v>0</v>
      </c>
      <c r="H17670" t="s">
        <v>22507</v>
      </c>
      <c r="I17670">
        <v>20127</v>
      </c>
      <c r="J17670" t="e">
        <f>VLOOKUP(E17670,DSSpieler!A:B,2,FALSE)</f>
        <v>#N/A</v>
      </c>
    </row>
    <row r="17671" spans="1:10" x14ac:dyDescent="0.25">
      <c r="A17671">
        <v>20128</v>
      </c>
      <c r="B17671" t="s">
        <v>1934</v>
      </c>
      <c r="C17671">
        <v>530</v>
      </c>
      <c r="D17671">
        <v>488</v>
      </c>
      <c r="E17671">
        <v>1577122793</v>
      </c>
      <c r="F17671">
        <v>344</v>
      </c>
      <c r="G17671">
        <v>0</v>
      </c>
      <c r="H17671" t="s">
        <v>22508</v>
      </c>
      <c r="I17671">
        <v>20128</v>
      </c>
      <c r="J17671" t="str">
        <f>VLOOKUP(E17671,DSSpieler!A:B,2,FALSE)</f>
        <v>women of darkness</v>
      </c>
    </row>
    <row r="17672" spans="1:10" x14ac:dyDescent="0.25">
      <c r="A17672">
        <v>20129</v>
      </c>
      <c r="B17672" t="s">
        <v>4049</v>
      </c>
      <c r="C17672">
        <v>507</v>
      </c>
      <c r="D17672">
        <v>631</v>
      </c>
      <c r="E17672">
        <v>1576490123</v>
      </c>
      <c r="F17672">
        <v>424</v>
      </c>
      <c r="G17672">
        <v>0</v>
      </c>
      <c r="H17672" t="s">
        <v>22509</v>
      </c>
      <c r="I17672">
        <v>20129</v>
      </c>
      <c r="J17672" t="str">
        <f>VLOOKUP(E17672,DSSpieler!A:B,2,FALSE)</f>
        <v>Vybr1on</v>
      </c>
    </row>
    <row r="17673" spans="1:10" x14ac:dyDescent="0.25">
      <c r="A17673">
        <v>20130</v>
      </c>
      <c r="B17673" t="s">
        <v>4050</v>
      </c>
      <c r="C17673">
        <v>526</v>
      </c>
      <c r="D17673">
        <v>526</v>
      </c>
      <c r="E17673">
        <v>1215056</v>
      </c>
      <c r="F17673">
        <v>696</v>
      </c>
      <c r="G17673">
        <v>0</v>
      </c>
      <c r="H17673" t="s">
        <v>22510</v>
      </c>
      <c r="I17673">
        <v>20130</v>
      </c>
      <c r="J17673" t="str">
        <f>VLOOKUP(E17673,DSSpieler!A:B,2,FALSE)</f>
        <v>Federation83</v>
      </c>
    </row>
    <row r="17674" spans="1:10" x14ac:dyDescent="0.25">
      <c r="A17674">
        <v>20131</v>
      </c>
      <c r="B17674" t="s">
        <v>4051</v>
      </c>
      <c r="C17674">
        <v>516</v>
      </c>
      <c r="D17674">
        <v>546</v>
      </c>
      <c r="E17674">
        <v>1577187669</v>
      </c>
      <c r="F17674">
        <v>26</v>
      </c>
      <c r="G17674">
        <v>0</v>
      </c>
      <c r="H17674" t="s">
        <v>22511</v>
      </c>
      <c r="I17674">
        <v>20131</v>
      </c>
      <c r="J17674" t="str">
        <f>VLOOKUP(E17674,DSSpieler!A:B,2,FALSE)</f>
        <v>LostWeekend</v>
      </c>
    </row>
    <row r="17675" spans="1:10" x14ac:dyDescent="0.25">
      <c r="A17675">
        <v>20132</v>
      </c>
      <c r="B17675" t="s">
        <v>531</v>
      </c>
      <c r="C17675">
        <v>482</v>
      </c>
      <c r="D17675">
        <v>365</v>
      </c>
      <c r="E17675">
        <v>0</v>
      </c>
      <c r="F17675">
        <v>79</v>
      </c>
      <c r="G17675">
        <v>0</v>
      </c>
      <c r="H17675" t="s">
        <v>22512</v>
      </c>
      <c r="I17675">
        <v>20132</v>
      </c>
      <c r="J17675" t="e">
        <f>VLOOKUP(E17675,DSSpieler!A:B,2,FALSE)</f>
        <v>#N/A</v>
      </c>
    </row>
    <row r="17676" spans="1:10" x14ac:dyDescent="0.25">
      <c r="A17676">
        <v>20133</v>
      </c>
      <c r="B17676" t="s">
        <v>4052</v>
      </c>
      <c r="C17676">
        <v>396</v>
      </c>
      <c r="D17676">
        <v>584</v>
      </c>
      <c r="E17676">
        <v>1575877313</v>
      </c>
      <c r="F17676">
        <v>474</v>
      </c>
      <c r="G17676">
        <v>0</v>
      </c>
      <c r="H17676" t="s">
        <v>22513</v>
      </c>
      <c r="I17676">
        <v>20133</v>
      </c>
      <c r="J17676" t="str">
        <f>VLOOKUP(E17676,DSSpieler!A:B,2,FALSE)</f>
        <v>Insider6872</v>
      </c>
    </row>
    <row r="17677" spans="1:10" x14ac:dyDescent="0.25">
      <c r="A17677">
        <v>20134</v>
      </c>
      <c r="B17677" t="s">
        <v>644</v>
      </c>
      <c r="C17677">
        <v>418</v>
      </c>
      <c r="D17677">
        <v>394</v>
      </c>
      <c r="E17677">
        <v>1577108615</v>
      </c>
      <c r="F17677">
        <v>466</v>
      </c>
      <c r="G17677">
        <v>0</v>
      </c>
      <c r="H17677" t="s">
        <v>22514</v>
      </c>
      <c r="I17677">
        <v>20134</v>
      </c>
      <c r="J17677" t="str">
        <f>VLOOKUP(E17677,DSSpieler!A:B,2,FALSE)</f>
        <v>ZarAndrej</v>
      </c>
    </row>
    <row r="17678" spans="1:10" x14ac:dyDescent="0.25">
      <c r="A17678">
        <v>20135</v>
      </c>
      <c r="B17678" t="s">
        <v>4053</v>
      </c>
      <c r="C17678">
        <v>619</v>
      </c>
      <c r="D17678">
        <v>434</v>
      </c>
      <c r="E17678">
        <v>9116012</v>
      </c>
      <c r="F17678">
        <v>70</v>
      </c>
      <c r="G17678">
        <v>0</v>
      </c>
      <c r="H17678" t="s">
        <v>22515</v>
      </c>
      <c r="I17678">
        <v>20135</v>
      </c>
      <c r="J17678" t="str">
        <f>VLOOKUP(E17678,DSSpieler!A:B,2,FALSE)</f>
        <v>1337.Pain</v>
      </c>
    </row>
    <row r="17679" spans="1:10" x14ac:dyDescent="0.25">
      <c r="A17679">
        <v>20136</v>
      </c>
      <c r="B17679" t="s">
        <v>4054</v>
      </c>
      <c r="C17679">
        <v>633</v>
      </c>
      <c r="D17679">
        <v>515</v>
      </c>
      <c r="E17679">
        <v>1577206010</v>
      </c>
      <c r="F17679">
        <v>89</v>
      </c>
      <c r="G17679">
        <v>0</v>
      </c>
      <c r="H17679" t="s">
        <v>22516</v>
      </c>
      <c r="I17679">
        <v>20136</v>
      </c>
      <c r="J17679" t="str">
        <f>VLOOKUP(E17679,DSSpieler!A:B,2,FALSE)</f>
        <v>scy-xd</v>
      </c>
    </row>
    <row r="17680" spans="1:10" x14ac:dyDescent="0.25">
      <c r="A17680">
        <v>20138</v>
      </c>
      <c r="B17680" t="s">
        <v>4055</v>
      </c>
      <c r="C17680">
        <v>498</v>
      </c>
      <c r="D17680">
        <v>632</v>
      </c>
      <c r="E17680">
        <v>9810380</v>
      </c>
      <c r="F17680">
        <v>622</v>
      </c>
      <c r="G17680">
        <v>0</v>
      </c>
      <c r="H17680" t="s">
        <v>22517</v>
      </c>
      <c r="I17680">
        <v>20138</v>
      </c>
      <c r="J17680" t="str">
        <f>VLOOKUP(E17680,DSSpieler!A:B,2,FALSE)</f>
        <v>brauberger</v>
      </c>
    </row>
    <row r="17681" spans="1:10" x14ac:dyDescent="0.25">
      <c r="A17681">
        <v>20139</v>
      </c>
      <c r="B17681" t="s">
        <v>4056</v>
      </c>
      <c r="C17681">
        <v>459</v>
      </c>
      <c r="D17681">
        <v>495</v>
      </c>
      <c r="E17681">
        <v>9807803</v>
      </c>
      <c r="F17681">
        <v>375</v>
      </c>
      <c r="G17681">
        <v>0</v>
      </c>
      <c r="H17681" t="s">
        <v>22518</v>
      </c>
      <c r="I17681">
        <v>20139</v>
      </c>
      <c r="J17681" t="str">
        <f>VLOOKUP(E17681,DSSpieler!A:B,2,FALSE)</f>
        <v>bro maxiking</v>
      </c>
    </row>
    <row r="17682" spans="1:10" x14ac:dyDescent="0.25">
      <c r="A17682">
        <v>20140</v>
      </c>
      <c r="B17682" t="s">
        <v>4057</v>
      </c>
      <c r="C17682">
        <v>486</v>
      </c>
      <c r="D17682">
        <v>635</v>
      </c>
      <c r="E17682">
        <v>1577196364</v>
      </c>
      <c r="F17682">
        <v>26</v>
      </c>
      <c r="G17682">
        <v>0</v>
      </c>
      <c r="H17682" t="s">
        <v>22519</v>
      </c>
      <c r="I17682">
        <v>20140</v>
      </c>
      <c r="J17682" t="str">
        <f>VLOOKUP(E17682,DSSpieler!A:B,2,FALSE)</f>
        <v>Pyrrhus</v>
      </c>
    </row>
    <row r="17683" spans="1:10" x14ac:dyDescent="0.25">
      <c r="A17683">
        <v>20141</v>
      </c>
      <c r="B17683" t="s">
        <v>897</v>
      </c>
      <c r="C17683">
        <v>607</v>
      </c>
      <c r="D17683">
        <v>417</v>
      </c>
      <c r="E17683">
        <v>7884169</v>
      </c>
      <c r="F17683">
        <v>184</v>
      </c>
      <c r="G17683">
        <v>0</v>
      </c>
      <c r="H17683" t="s">
        <v>22520</v>
      </c>
      <c r="I17683">
        <v>20141</v>
      </c>
      <c r="J17683" t="str">
        <f>VLOOKUP(E17683,DSSpieler!A:B,2,FALSE)</f>
        <v>serhat95</v>
      </c>
    </row>
    <row r="17684" spans="1:10" x14ac:dyDescent="0.25">
      <c r="A17684">
        <v>20142</v>
      </c>
      <c r="B17684" t="s">
        <v>4058</v>
      </c>
      <c r="C17684">
        <v>538</v>
      </c>
      <c r="D17684">
        <v>377</v>
      </c>
      <c r="E17684">
        <v>1576546336</v>
      </c>
      <c r="F17684">
        <v>868</v>
      </c>
      <c r="G17684">
        <v>0</v>
      </c>
      <c r="H17684" t="s">
        <v>22521</v>
      </c>
      <c r="I17684">
        <v>20142</v>
      </c>
      <c r="J17684" t="str">
        <f>VLOOKUP(E17684,DSSpieler!A:B,2,FALSE)</f>
        <v>BornToDestroyYou</v>
      </c>
    </row>
    <row r="17685" spans="1:10" x14ac:dyDescent="0.25">
      <c r="A17685">
        <v>20143</v>
      </c>
      <c r="B17685" t="s">
        <v>4059</v>
      </c>
      <c r="C17685">
        <v>556</v>
      </c>
      <c r="D17685">
        <v>379</v>
      </c>
      <c r="E17685">
        <v>1576902066</v>
      </c>
      <c r="F17685">
        <v>392</v>
      </c>
      <c r="G17685">
        <v>0</v>
      </c>
      <c r="H17685" t="s">
        <v>22522</v>
      </c>
      <c r="I17685">
        <v>20143</v>
      </c>
      <c r="J17685" t="str">
        <f>VLOOKUP(E17685,DSSpieler!A:B,2,FALSE)</f>
        <v>BennettHH</v>
      </c>
    </row>
    <row r="17686" spans="1:10" x14ac:dyDescent="0.25">
      <c r="A17686">
        <v>20144</v>
      </c>
      <c r="B17686" t="s">
        <v>4060</v>
      </c>
      <c r="C17686">
        <v>453</v>
      </c>
      <c r="D17686">
        <v>407</v>
      </c>
      <c r="E17686">
        <v>1577158249</v>
      </c>
      <c r="F17686">
        <v>53</v>
      </c>
      <c r="G17686">
        <v>0</v>
      </c>
      <c r="H17686" t="s">
        <v>22523</v>
      </c>
      <c r="I17686">
        <v>20144</v>
      </c>
      <c r="J17686" t="str">
        <f>VLOOKUP(E17686,DSSpieler!A:B,2,FALSE)</f>
        <v>Walter011</v>
      </c>
    </row>
    <row r="17687" spans="1:10" x14ac:dyDescent="0.25">
      <c r="A17687">
        <v>20145</v>
      </c>
      <c r="B17687" t="s">
        <v>4061</v>
      </c>
      <c r="C17687">
        <v>577</v>
      </c>
      <c r="D17687">
        <v>608</v>
      </c>
      <c r="E17687">
        <v>1577192170</v>
      </c>
      <c r="F17687">
        <v>222</v>
      </c>
      <c r="G17687">
        <v>0</v>
      </c>
      <c r="H17687" t="s">
        <v>22524</v>
      </c>
      <c r="I17687">
        <v>20145</v>
      </c>
      <c r="J17687" t="str">
        <f>VLOOKUP(E17687,DSSpieler!A:B,2,FALSE)</f>
        <v>Med0x</v>
      </c>
    </row>
    <row r="17688" spans="1:10" x14ac:dyDescent="0.25">
      <c r="A17688">
        <v>20146</v>
      </c>
      <c r="B17688" t="s">
        <v>4062</v>
      </c>
      <c r="C17688">
        <v>593</v>
      </c>
      <c r="D17688">
        <v>545</v>
      </c>
      <c r="E17688">
        <v>1886374</v>
      </c>
      <c r="F17688">
        <v>26</v>
      </c>
      <c r="G17688">
        <v>0</v>
      </c>
      <c r="H17688" t="s">
        <v>22525</v>
      </c>
      <c r="I17688">
        <v>20146</v>
      </c>
      <c r="J17688" t="str">
        <f>VLOOKUP(E17688,DSSpieler!A:B,2,FALSE)</f>
        <v>SouLRevolution</v>
      </c>
    </row>
    <row r="17689" spans="1:10" x14ac:dyDescent="0.25">
      <c r="A17689">
        <v>20147</v>
      </c>
      <c r="B17689" t="s">
        <v>4063</v>
      </c>
      <c r="C17689">
        <v>549</v>
      </c>
      <c r="D17689">
        <v>378</v>
      </c>
      <c r="E17689">
        <v>9334397</v>
      </c>
      <c r="F17689">
        <v>26</v>
      </c>
      <c r="G17689">
        <v>0</v>
      </c>
      <c r="H17689" t="s">
        <v>22526</v>
      </c>
      <c r="I17689">
        <v>20147</v>
      </c>
      <c r="J17689" t="str">
        <f>VLOOKUP(E17689,DSSpieler!A:B,2,FALSE)</f>
        <v>Flomas</v>
      </c>
    </row>
    <row r="17690" spans="1:10" x14ac:dyDescent="0.25">
      <c r="A17690">
        <v>20149</v>
      </c>
      <c r="B17690" t="s">
        <v>4064</v>
      </c>
      <c r="C17690">
        <v>456</v>
      </c>
      <c r="D17690">
        <v>545</v>
      </c>
      <c r="E17690">
        <v>2559190</v>
      </c>
      <c r="F17690">
        <v>475</v>
      </c>
      <c r="G17690">
        <v>0</v>
      </c>
      <c r="H17690" t="s">
        <v>22527</v>
      </c>
      <c r="I17690">
        <v>20149</v>
      </c>
      <c r="J17690" t="str">
        <f>VLOOKUP(E17690,DSSpieler!A:B,2,FALSE)</f>
        <v>Empics</v>
      </c>
    </row>
    <row r="17691" spans="1:10" x14ac:dyDescent="0.25">
      <c r="A17691">
        <v>20150</v>
      </c>
      <c r="B17691" t="s">
        <v>4065</v>
      </c>
      <c r="C17691">
        <v>499</v>
      </c>
      <c r="D17691">
        <v>632</v>
      </c>
      <c r="E17691">
        <v>1577208193</v>
      </c>
      <c r="F17691">
        <v>64</v>
      </c>
      <c r="G17691">
        <v>0</v>
      </c>
      <c r="H17691" t="s">
        <v>22528</v>
      </c>
      <c r="I17691">
        <v>20150</v>
      </c>
      <c r="J17691" t="str">
        <f>VLOOKUP(E17691,DSSpieler!A:B,2,FALSE)</f>
        <v>Mercedes Benz AMG</v>
      </c>
    </row>
    <row r="17692" spans="1:10" x14ac:dyDescent="0.25">
      <c r="A17692">
        <v>20151</v>
      </c>
      <c r="B17692" t="s">
        <v>4066</v>
      </c>
      <c r="C17692">
        <v>636</v>
      </c>
      <c r="D17692">
        <v>486</v>
      </c>
      <c r="E17692">
        <v>10076115</v>
      </c>
      <c r="F17692">
        <v>549</v>
      </c>
      <c r="G17692">
        <v>0</v>
      </c>
      <c r="H17692" t="s">
        <v>22529</v>
      </c>
      <c r="I17692">
        <v>20151</v>
      </c>
      <c r="J17692" t="str">
        <f>VLOOKUP(E17692,DSSpieler!A:B,2,FALSE)</f>
        <v>Robnosch</v>
      </c>
    </row>
    <row r="17693" spans="1:10" x14ac:dyDescent="0.25">
      <c r="A17693">
        <v>20152</v>
      </c>
      <c r="B17693" t="s">
        <v>4067</v>
      </c>
      <c r="C17693">
        <v>472</v>
      </c>
      <c r="D17693">
        <v>502</v>
      </c>
      <c r="E17693">
        <v>1577195338</v>
      </c>
      <c r="F17693">
        <v>70</v>
      </c>
      <c r="G17693">
        <v>0</v>
      </c>
      <c r="H17693" t="s">
        <v>22530</v>
      </c>
      <c r="I17693">
        <v>20152</v>
      </c>
      <c r="J17693" t="str">
        <f>VLOOKUP(E17693,DSSpieler!A:B,2,FALSE)</f>
        <v>pauliboy94</v>
      </c>
    </row>
    <row r="17694" spans="1:10" x14ac:dyDescent="0.25">
      <c r="A17694">
        <v>20153</v>
      </c>
      <c r="B17694" t="s">
        <v>4068</v>
      </c>
      <c r="C17694">
        <v>412</v>
      </c>
      <c r="D17694">
        <v>403</v>
      </c>
      <c r="E17694">
        <v>9536345</v>
      </c>
      <c r="F17694">
        <v>80</v>
      </c>
      <c r="G17694">
        <v>0</v>
      </c>
      <c r="H17694" t="s">
        <v>22531</v>
      </c>
      <c r="I17694">
        <v>20153</v>
      </c>
      <c r="J17694" t="str">
        <f>VLOOKUP(E17694,DSSpieler!A:B,2,FALSE)</f>
        <v>Emilio Eisenfaust</v>
      </c>
    </row>
    <row r="17695" spans="1:10" x14ac:dyDescent="0.25">
      <c r="A17695">
        <v>20154</v>
      </c>
      <c r="B17695" t="s">
        <v>4069</v>
      </c>
      <c r="C17695">
        <v>614</v>
      </c>
      <c r="D17695">
        <v>424</v>
      </c>
      <c r="E17695">
        <v>1576933668</v>
      </c>
      <c r="F17695">
        <v>546</v>
      </c>
      <c r="G17695">
        <v>0</v>
      </c>
      <c r="H17695" t="s">
        <v>22532</v>
      </c>
      <c r="I17695">
        <v>20154</v>
      </c>
      <c r="J17695" t="str">
        <f>VLOOKUP(E17695,DSSpieler!A:B,2,FALSE)</f>
        <v>Spielsucht01</v>
      </c>
    </row>
    <row r="17696" spans="1:10" x14ac:dyDescent="0.25">
      <c r="A17696">
        <v>20155</v>
      </c>
      <c r="B17696" t="s">
        <v>531</v>
      </c>
      <c r="C17696">
        <v>471</v>
      </c>
      <c r="D17696">
        <v>369</v>
      </c>
      <c r="E17696">
        <v>0</v>
      </c>
      <c r="F17696">
        <v>184</v>
      </c>
      <c r="G17696">
        <v>0</v>
      </c>
      <c r="H17696" t="s">
        <v>22533</v>
      </c>
      <c r="I17696">
        <v>20155</v>
      </c>
      <c r="J17696" t="e">
        <f>VLOOKUP(E17696,DSSpieler!A:B,2,FALSE)</f>
        <v>#N/A</v>
      </c>
    </row>
    <row r="17697" spans="1:10" x14ac:dyDescent="0.25">
      <c r="A17697">
        <v>20156</v>
      </c>
      <c r="B17697" t="s">
        <v>4070</v>
      </c>
      <c r="C17697">
        <v>501</v>
      </c>
      <c r="D17697">
        <v>631</v>
      </c>
      <c r="E17697">
        <v>1577200861</v>
      </c>
      <c r="F17697">
        <v>26</v>
      </c>
      <c r="G17697">
        <v>0</v>
      </c>
      <c r="H17697" t="s">
        <v>22534</v>
      </c>
      <c r="I17697">
        <v>20156</v>
      </c>
      <c r="J17697" t="str">
        <f>VLOOKUP(E17697,DSSpieler!A:B,2,FALSE)</f>
        <v>resSlinger69</v>
      </c>
    </row>
    <row r="17698" spans="1:10" x14ac:dyDescent="0.25">
      <c r="A17698">
        <v>20157</v>
      </c>
      <c r="B17698" t="s">
        <v>4071</v>
      </c>
      <c r="C17698">
        <v>444</v>
      </c>
      <c r="D17698">
        <v>623</v>
      </c>
      <c r="E17698">
        <v>1577098495</v>
      </c>
      <c r="F17698">
        <v>26</v>
      </c>
      <c r="G17698">
        <v>0</v>
      </c>
      <c r="H17698" t="s">
        <v>22535</v>
      </c>
      <c r="I17698">
        <v>20157</v>
      </c>
      <c r="J17698" t="str">
        <f>VLOOKUP(E17698,DSSpieler!A:B,2,FALSE)</f>
        <v>Wladimir123</v>
      </c>
    </row>
    <row r="17699" spans="1:10" x14ac:dyDescent="0.25">
      <c r="A17699">
        <v>20158</v>
      </c>
      <c r="B17699" t="s">
        <v>531</v>
      </c>
      <c r="C17699">
        <v>542</v>
      </c>
      <c r="D17699">
        <v>625</v>
      </c>
      <c r="E17699">
        <v>0</v>
      </c>
      <c r="F17699">
        <v>69</v>
      </c>
      <c r="G17699">
        <v>0</v>
      </c>
      <c r="H17699" t="s">
        <v>22536</v>
      </c>
      <c r="I17699">
        <v>20158</v>
      </c>
      <c r="J17699" t="e">
        <f>VLOOKUP(E17699,DSSpieler!A:B,2,FALSE)</f>
        <v>#N/A</v>
      </c>
    </row>
    <row r="17700" spans="1:10" x14ac:dyDescent="0.25">
      <c r="A17700">
        <v>20159</v>
      </c>
      <c r="B17700" t="s">
        <v>4072</v>
      </c>
      <c r="C17700">
        <v>372</v>
      </c>
      <c r="D17700">
        <v>525</v>
      </c>
      <c r="E17700">
        <v>1577208199</v>
      </c>
      <c r="F17700">
        <v>102</v>
      </c>
      <c r="G17700">
        <v>0</v>
      </c>
      <c r="H17700" t="s">
        <v>22537</v>
      </c>
      <c r="I17700">
        <v>20159</v>
      </c>
      <c r="J17700" t="str">
        <f>VLOOKUP(E17700,DSSpieler!A:B,2,FALSE)</f>
        <v>Dominik09</v>
      </c>
    </row>
    <row r="17701" spans="1:10" x14ac:dyDescent="0.25">
      <c r="A17701">
        <v>20160</v>
      </c>
      <c r="B17701" t="s">
        <v>4073</v>
      </c>
      <c r="C17701">
        <v>503</v>
      </c>
      <c r="D17701">
        <v>505</v>
      </c>
      <c r="E17701">
        <v>1577161166</v>
      </c>
      <c r="F17701">
        <v>358</v>
      </c>
      <c r="G17701">
        <v>0</v>
      </c>
      <c r="H17701" t="s">
        <v>22538</v>
      </c>
      <c r="I17701">
        <v>20160</v>
      </c>
      <c r="J17701" t="str">
        <f>VLOOKUP(E17701,DSSpieler!A:B,2,FALSE)</f>
        <v>cyrus79</v>
      </c>
    </row>
    <row r="17702" spans="1:10" x14ac:dyDescent="0.25">
      <c r="A17702">
        <v>20161</v>
      </c>
      <c r="B17702" t="s">
        <v>4074</v>
      </c>
      <c r="C17702">
        <v>369</v>
      </c>
      <c r="D17702">
        <v>521</v>
      </c>
      <c r="E17702">
        <v>1576897890</v>
      </c>
      <c r="F17702">
        <v>929</v>
      </c>
      <c r="G17702">
        <v>0</v>
      </c>
      <c r="H17702" t="s">
        <v>22539</v>
      </c>
      <c r="I17702">
        <v>20161</v>
      </c>
      <c r="J17702" t="str">
        <f>VLOOKUP(E17702,DSSpieler!A:B,2,FALSE)</f>
        <v>Lord Vaider</v>
      </c>
    </row>
    <row r="17703" spans="1:10" x14ac:dyDescent="0.25">
      <c r="A17703">
        <v>20162</v>
      </c>
      <c r="B17703" t="s">
        <v>4075</v>
      </c>
      <c r="C17703">
        <v>469</v>
      </c>
      <c r="D17703">
        <v>633</v>
      </c>
      <c r="E17703">
        <v>1577139735</v>
      </c>
      <c r="F17703">
        <v>26</v>
      </c>
      <c r="G17703">
        <v>0</v>
      </c>
      <c r="H17703" t="s">
        <v>22540</v>
      </c>
      <c r="I17703">
        <v>20162</v>
      </c>
      <c r="J17703" t="str">
        <f>VLOOKUP(E17703,DSSpieler!A:B,2,FALSE)</f>
        <v>xlVeritas</v>
      </c>
    </row>
    <row r="17704" spans="1:10" x14ac:dyDescent="0.25">
      <c r="A17704">
        <v>20163</v>
      </c>
      <c r="B17704" t="s">
        <v>4076</v>
      </c>
      <c r="C17704">
        <v>579</v>
      </c>
      <c r="D17704">
        <v>393</v>
      </c>
      <c r="E17704">
        <v>1577208226</v>
      </c>
      <c r="F17704">
        <v>183</v>
      </c>
      <c r="G17704">
        <v>0</v>
      </c>
      <c r="H17704" t="s">
        <v>22541</v>
      </c>
      <c r="I17704">
        <v>20163</v>
      </c>
      <c r="J17704" t="str">
        <f>VLOOKUP(E17704,DSSpieler!A:B,2,FALSE)</f>
        <v>Donsilvio</v>
      </c>
    </row>
    <row r="17705" spans="1:10" x14ac:dyDescent="0.25">
      <c r="A17705">
        <v>20164</v>
      </c>
      <c r="B17705" t="s">
        <v>4077</v>
      </c>
      <c r="C17705">
        <v>583</v>
      </c>
      <c r="D17705">
        <v>398</v>
      </c>
      <c r="E17705">
        <v>1576425798</v>
      </c>
      <c r="F17705">
        <v>26</v>
      </c>
      <c r="G17705">
        <v>0</v>
      </c>
      <c r="H17705" t="s">
        <v>22542</v>
      </c>
      <c r="I17705">
        <v>20164</v>
      </c>
      <c r="J17705" t="str">
        <f>VLOOKUP(E17705,DSSpieler!A:B,2,FALSE)</f>
        <v>Anubis442</v>
      </c>
    </row>
    <row r="17706" spans="1:10" x14ac:dyDescent="0.25">
      <c r="A17706">
        <v>20165</v>
      </c>
      <c r="B17706" t="s">
        <v>4078</v>
      </c>
      <c r="C17706">
        <v>617</v>
      </c>
      <c r="D17706">
        <v>564</v>
      </c>
      <c r="E17706">
        <v>1577156528</v>
      </c>
      <c r="F17706">
        <v>30</v>
      </c>
      <c r="G17706">
        <v>0</v>
      </c>
      <c r="H17706" t="s">
        <v>22543</v>
      </c>
      <c r="I17706">
        <v>20165</v>
      </c>
      <c r="J17706" t="str">
        <f>VLOOKUP(E17706,DSSpieler!A:B,2,FALSE)</f>
        <v>timxcr7</v>
      </c>
    </row>
    <row r="17707" spans="1:10" x14ac:dyDescent="0.25">
      <c r="A17707">
        <v>20166</v>
      </c>
      <c r="B17707" t="s">
        <v>531</v>
      </c>
      <c r="C17707">
        <v>402</v>
      </c>
      <c r="D17707">
        <v>406</v>
      </c>
      <c r="E17707">
        <v>0</v>
      </c>
      <c r="F17707">
        <v>101</v>
      </c>
      <c r="G17707">
        <v>0</v>
      </c>
      <c r="H17707" t="s">
        <v>22544</v>
      </c>
      <c r="I17707">
        <v>20166</v>
      </c>
      <c r="J17707" t="e">
        <f>VLOOKUP(E17707,DSSpieler!A:B,2,FALSE)</f>
        <v>#N/A</v>
      </c>
    </row>
    <row r="17708" spans="1:10" x14ac:dyDescent="0.25">
      <c r="A17708">
        <v>20167</v>
      </c>
      <c r="B17708" t="s">
        <v>4079</v>
      </c>
      <c r="C17708">
        <v>398</v>
      </c>
      <c r="D17708">
        <v>414</v>
      </c>
      <c r="E17708">
        <v>9101668</v>
      </c>
      <c r="F17708">
        <v>451</v>
      </c>
      <c r="G17708">
        <v>0</v>
      </c>
      <c r="H17708" t="s">
        <v>22545</v>
      </c>
      <c r="I17708">
        <v>20167</v>
      </c>
      <c r="J17708" t="str">
        <f>VLOOKUP(E17708,DSSpieler!A:B,2,FALSE)</f>
        <v>Magic Catweazle</v>
      </c>
    </row>
    <row r="17709" spans="1:10" x14ac:dyDescent="0.25">
      <c r="A17709">
        <v>20168</v>
      </c>
      <c r="B17709">
        <v>1</v>
      </c>
      <c r="C17709">
        <v>517</v>
      </c>
      <c r="D17709">
        <v>407</v>
      </c>
      <c r="E17709">
        <v>1577181019</v>
      </c>
      <c r="F17709">
        <v>515</v>
      </c>
      <c r="G17709">
        <v>0</v>
      </c>
      <c r="H17709" t="s">
        <v>22546</v>
      </c>
      <c r="I17709">
        <v>20168</v>
      </c>
      <c r="J17709" t="str">
        <f>VLOOKUP(E17709,DSSpieler!A:B,2,FALSE)</f>
        <v>Bausi</v>
      </c>
    </row>
    <row r="17710" spans="1:10" x14ac:dyDescent="0.25">
      <c r="A17710">
        <v>20169</v>
      </c>
      <c r="B17710" t="s">
        <v>4080</v>
      </c>
      <c r="C17710">
        <v>506</v>
      </c>
      <c r="D17710">
        <v>614</v>
      </c>
      <c r="E17710">
        <v>9354659</v>
      </c>
      <c r="F17710">
        <v>26</v>
      </c>
      <c r="G17710">
        <v>0</v>
      </c>
      <c r="H17710" t="s">
        <v>22547</v>
      </c>
      <c r="I17710">
        <v>20169</v>
      </c>
      <c r="J17710" t="str">
        <f>VLOOKUP(E17710,DSSpieler!A:B,2,FALSE)</f>
        <v>noah-2003</v>
      </c>
    </row>
    <row r="17711" spans="1:10" x14ac:dyDescent="0.25">
      <c r="A17711">
        <v>20172</v>
      </c>
      <c r="B17711" t="s">
        <v>4081</v>
      </c>
      <c r="C17711">
        <v>370</v>
      </c>
      <c r="D17711">
        <v>527</v>
      </c>
      <c r="E17711">
        <v>1577208231</v>
      </c>
      <c r="F17711">
        <v>26</v>
      </c>
      <c r="G17711">
        <v>0</v>
      </c>
      <c r="H17711" t="s">
        <v>22548</v>
      </c>
      <c r="I17711">
        <v>20172</v>
      </c>
      <c r="J17711" t="str">
        <f>VLOOKUP(E17711,DSSpieler!A:B,2,FALSE)</f>
        <v>Doenerbude97</v>
      </c>
    </row>
    <row r="17712" spans="1:10" x14ac:dyDescent="0.25">
      <c r="A17712">
        <v>20173</v>
      </c>
      <c r="B17712" t="s">
        <v>4082</v>
      </c>
      <c r="C17712">
        <v>512</v>
      </c>
      <c r="D17712">
        <v>367</v>
      </c>
      <c r="E17712">
        <v>1576868878</v>
      </c>
      <c r="F17712">
        <v>72</v>
      </c>
      <c r="G17712">
        <v>0</v>
      </c>
      <c r="H17712" t="s">
        <v>22549</v>
      </c>
      <c r="I17712">
        <v>20173</v>
      </c>
      <c r="J17712" t="str">
        <f>VLOOKUP(E17712,DSSpieler!A:B,2,FALSE)</f>
        <v>manindi</v>
      </c>
    </row>
    <row r="17713" spans="1:10" x14ac:dyDescent="0.25">
      <c r="A17713">
        <v>20174</v>
      </c>
      <c r="B17713" t="s">
        <v>531</v>
      </c>
      <c r="C17713">
        <v>557</v>
      </c>
      <c r="D17713">
        <v>625</v>
      </c>
      <c r="E17713">
        <v>0</v>
      </c>
      <c r="F17713">
        <v>59</v>
      </c>
      <c r="G17713">
        <v>0</v>
      </c>
      <c r="H17713" t="s">
        <v>22550</v>
      </c>
      <c r="I17713">
        <v>20174</v>
      </c>
      <c r="J17713" t="e">
        <f>VLOOKUP(E17713,DSSpieler!A:B,2,FALSE)</f>
        <v>#N/A</v>
      </c>
    </row>
    <row r="17714" spans="1:10" x14ac:dyDescent="0.25">
      <c r="A17714">
        <v>20175</v>
      </c>
      <c r="B17714" t="s">
        <v>4083</v>
      </c>
      <c r="C17714">
        <v>423</v>
      </c>
      <c r="D17714">
        <v>610</v>
      </c>
      <c r="E17714">
        <v>1577208227</v>
      </c>
      <c r="F17714">
        <v>80</v>
      </c>
      <c r="G17714">
        <v>0</v>
      </c>
      <c r="H17714" t="s">
        <v>22551</v>
      </c>
      <c r="I17714">
        <v>20175</v>
      </c>
      <c r="J17714" t="str">
        <f>VLOOKUP(E17714,DSSpieler!A:B,2,FALSE)</f>
        <v>thebuggyman</v>
      </c>
    </row>
    <row r="17715" spans="1:10" x14ac:dyDescent="0.25">
      <c r="A17715">
        <v>20176</v>
      </c>
      <c r="B17715" t="s">
        <v>531</v>
      </c>
      <c r="C17715">
        <v>389</v>
      </c>
      <c r="D17715">
        <v>422</v>
      </c>
      <c r="E17715">
        <v>0</v>
      </c>
      <c r="F17715">
        <v>87</v>
      </c>
      <c r="G17715">
        <v>0</v>
      </c>
      <c r="H17715" t="s">
        <v>22552</v>
      </c>
      <c r="I17715">
        <v>20176</v>
      </c>
      <c r="J17715" t="e">
        <f>VLOOKUP(E17715,DSSpieler!A:B,2,FALSE)</f>
        <v>#N/A</v>
      </c>
    </row>
    <row r="17716" spans="1:10" x14ac:dyDescent="0.25">
      <c r="A17716">
        <v>20177</v>
      </c>
      <c r="B17716" t="s">
        <v>4084</v>
      </c>
      <c r="C17716">
        <v>432</v>
      </c>
      <c r="D17716">
        <v>612</v>
      </c>
      <c r="E17716">
        <v>1577083576</v>
      </c>
      <c r="F17716">
        <v>207</v>
      </c>
      <c r="G17716">
        <v>0</v>
      </c>
      <c r="H17716" t="s">
        <v>22553</v>
      </c>
      <c r="I17716">
        <v>20177</v>
      </c>
      <c r="J17716" t="str">
        <f>VLOOKUP(E17716,DSSpieler!A:B,2,FALSE)</f>
        <v>Drago</v>
      </c>
    </row>
    <row r="17717" spans="1:10" x14ac:dyDescent="0.25">
      <c r="A17717">
        <v>20178</v>
      </c>
      <c r="B17717" t="s">
        <v>35725</v>
      </c>
      <c r="C17717">
        <v>461</v>
      </c>
      <c r="D17717">
        <v>634</v>
      </c>
      <c r="E17717">
        <v>9628915</v>
      </c>
      <c r="F17717">
        <v>157</v>
      </c>
      <c r="G17717">
        <v>0</v>
      </c>
      <c r="H17717" t="s">
        <v>22554</v>
      </c>
      <c r="I17717">
        <v>20178</v>
      </c>
      <c r="J17717" t="str">
        <f>VLOOKUP(E17717,DSSpieler!A:B,2,FALSE)</f>
        <v>basti der bär</v>
      </c>
    </row>
    <row r="17718" spans="1:10" x14ac:dyDescent="0.25">
      <c r="A17718">
        <v>20179</v>
      </c>
      <c r="B17718" t="s">
        <v>150</v>
      </c>
      <c r="C17718">
        <v>613</v>
      </c>
      <c r="D17718">
        <v>459</v>
      </c>
      <c r="E17718">
        <v>8816741</v>
      </c>
      <c r="F17718">
        <v>179</v>
      </c>
      <c r="G17718">
        <v>0</v>
      </c>
      <c r="H17718" t="s">
        <v>22555</v>
      </c>
      <c r="I17718">
        <v>20179</v>
      </c>
      <c r="J17718" t="str">
        <f>VLOOKUP(E17718,DSSpieler!A:B,2,FALSE)</f>
        <v>Braver Kater</v>
      </c>
    </row>
    <row r="17719" spans="1:10" x14ac:dyDescent="0.25">
      <c r="A17719">
        <v>20180</v>
      </c>
      <c r="B17719">
        <v>899178</v>
      </c>
      <c r="C17719">
        <v>546</v>
      </c>
      <c r="D17719">
        <v>386</v>
      </c>
      <c r="E17719">
        <v>10154415</v>
      </c>
      <c r="F17719">
        <v>412</v>
      </c>
      <c r="G17719">
        <v>0</v>
      </c>
      <c r="H17719" t="s">
        <v>22556</v>
      </c>
      <c r="I17719">
        <v>20180</v>
      </c>
      <c r="J17719" t="str">
        <f>VLOOKUP(E17719,DSSpieler!A:B,2,FALSE)</f>
        <v>GomezAddams</v>
      </c>
    </row>
    <row r="17720" spans="1:10" x14ac:dyDescent="0.25">
      <c r="A17720">
        <v>20181</v>
      </c>
      <c r="B17720" t="s">
        <v>531</v>
      </c>
      <c r="C17720">
        <v>605</v>
      </c>
      <c r="D17720">
        <v>413</v>
      </c>
      <c r="E17720">
        <v>0</v>
      </c>
      <c r="F17720">
        <v>64</v>
      </c>
      <c r="G17720">
        <v>0</v>
      </c>
      <c r="H17720" t="s">
        <v>22557</v>
      </c>
      <c r="I17720">
        <v>20181</v>
      </c>
      <c r="J17720" t="e">
        <f>VLOOKUP(E17720,DSSpieler!A:B,2,FALSE)</f>
        <v>#N/A</v>
      </c>
    </row>
    <row r="17721" spans="1:10" x14ac:dyDescent="0.25">
      <c r="A17721">
        <v>20182</v>
      </c>
      <c r="B17721" t="s">
        <v>4085</v>
      </c>
      <c r="C17721">
        <v>418</v>
      </c>
      <c r="D17721">
        <v>533</v>
      </c>
      <c r="E17721">
        <v>1577198457</v>
      </c>
      <c r="F17721">
        <v>157</v>
      </c>
      <c r="G17721">
        <v>0</v>
      </c>
      <c r="H17721" t="s">
        <v>22558</v>
      </c>
      <c r="I17721">
        <v>20182</v>
      </c>
      <c r="J17721" t="str">
        <f>VLOOKUP(E17721,DSSpieler!A:B,2,FALSE)</f>
        <v>KevR6S</v>
      </c>
    </row>
    <row r="17722" spans="1:10" x14ac:dyDescent="0.25">
      <c r="A17722">
        <v>20183</v>
      </c>
      <c r="B17722" t="s">
        <v>4086</v>
      </c>
      <c r="C17722">
        <v>617</v>
      </c>
      <c r="D17722">
        <v>489</v>
      </c>
      <c r="E17722">
        <v>1577153723</v>
      </c>
      <c r="F17722">
        <v>574</v>
      </c>
      <c r="G17722">
        <v>0</v>
      </c>
      <c r="H17722" t="s">
        <v>22559</v>
      </c>
      <c r="I17722">
        <v>20183</v>
      </c>
      <c r="J17722" t="str">
        <f>VLOOKUP(E17722,DSSpieler!A:B,2,FALSE)</f>
        <v>bergerbe</v>
      </c>
    </row>
    <row r="17723" spans="1:10" x14ac:dyDescent="0.25">
      <c r="A17723">
        <v>20184</v>
      </c>
      <c r="B17723" t="s">
        <v>4087</v>
      </c>
      <c r="C17723">
        <v>408</v>
      </c>
      <c r="D17723">
        <v>596</v>
      </c>
      <c r="E17723">
        <v>1577094660</v>
      </c>
      <c r="F17723">
        <v>32</v>
      </c>
      <c r="G17723">
        <v>0</v>
      </c>
      <c r="H17723" t="s">
        <v>22560</v>
      </c>
      <c r="I17723">
        <v>20184</v>
      </c>
      <c r="J17723" t="str">
        <f>VLOOKUP(E17723,DSSpieler!A:B,2,FALSE)</f>
        <v>Casper13</v>
      </c>
    </row>
    <row r="17724" spans="1:10" x14ac:dyDescent="0.25">
      <c r="A17724">
        <v>20185</v>
      </c>
      <c r="B17724" t="s">
        <v>4088</v>
      </c>
      <c r="C17724">
        <v>464</v>
      </c>
      <c r="D17724">
        <v>386</v>
      </c>
      <c r="E17724">
        <v>1576035435</v>
      </c>
      <c r="F17724">
        <v>387</v>
      </c>
      <c r="G17724">
        <v>0</v>
      </c>
      <c r="H17724" t="s">
        <v>22561</v>
      </c>
      <c r="I17724">
        <v>20185</v>
      </c>
      <c r="J17724" t="str">
        <f>VLOOKUP(E17724,DSSpieler!A:B,2,FALSE)</f>
        <v>NathanTyson</v>
      </c>
    </row>
    <row r="17725" spans="1:10" x14ac:dyDescent="0.25">
      <c r="A17725">
        <v>20187</v>
      </c>
      <c r="B17725" t="s">
        <v>4089</v>
      </c>
      <c r="C17725">
        <v>372</v>
      </c>
      <c r="D17725">
        <v>465</v>
      </c>
      <c r="E17725">
        <v>1576059693</v>
      </c>
      <c r="F17725">
        <v>144</v>
      </c>
      <c r="G17725">
        <v>0</v>
      </c>
      <c r="H17725" t="s">
        <v>22562</v>
      </c>
      <c r="I17725">
        <v>20187</v>
      </c>
      <c r="J17725" t="str">
        <f>VLOOKUP(E17725,DSSpieler!A:B,2,FALSE)</f>
        <v>Zeseska</v>
      </c>
    </row>
    <row r="17726" spans="1:10" x14ac:dyDescent="0.25">
      <c r="A17726">
        <v>20188</v>
      </c>
      <c r="B17726" t="s">
        <v>4090</v>
      </c>
      <c r="C17726">
        <v>436</v>
      </c>
      <c r="D17726">
        <v>621</v>
      </c>
      <c r="E17726">
        <v>9667037</v>
      </c>
      <c r="F17726">
        <v>26</v>
      </c>
      <c r="G17726">
        <v>0</v>
      </c>
      <c r="H17726" t="s">
        <v>22563</v>
      </c>
      <c r="I17726">
        <v>20188</v>
      </c>
      <c r="J17726" t="str">
        <f>VLOOKUP(E17726,DSSpieler!A:B,2,FALSE)</f>
        <v>rellef220</v>
      </c>
    </row>
    <row r="17727" spans="1:10" x14ac:dyDescent="0.25">
      <c r="A17727">
        <v>20189</v>
      </c>
      <c r="B17727" t="s">
        <v>4091</v>
      </c>
      <c r="C17727">
        <v>612</v>
      </c>
      <c r="D17727">
        <v>426</v>
      </c>
      <c r="E17727">
        <v>9334636</v>
      </c>
      <c r="F17727">
        <v>408</v>
      </c>
      <c r="G17727">
        <v>0</v>
      </c>
      <c r="H17727" t="s">
        <v>22564</v>
      </c>
      <c r="I17727">
        <v>20189</v>
      </c>
      <c r="J17727" t="str">
        <f>VLOOKUP(E17727,DSSpieler!A:B,2,FALSE)</f>
        <v>nictac</v>
      </c>
    </row>
    <row r="17728" spans="1:10" x14ac:dyDescent="0.25">
      <c r="A17728">
        <v>20190</v>
      </c>
      <c r="B17728" t="s">
        <v>4092</v>
      </c>
      <c r="C17728">
        <v>379</v>
      </c>
      <c r="D17728">
        <v>446</v>
      </c>
      <c r="E17728">
        <v>1576880053</v>
      </c>
      <c r="F17728">
        <v>26</v>
      </c>
      <c r="G17728">
        <v>0</v>
      </c>
      <c r="H17728" t="s">
        <v>22565</v>
      </c>
      <c r="I17728">
        <v>20190</v>
      </c>
      <c r="J17728" t="str">
        <f>VLOOKUP(E17728,DSSpieler!A:B,2,FALSE)</f>
        <v>BegForMercy</v>
      </c>
    </row>
    <row r="17729" spans="1:10" x14ac:dyDescent="0.25">
      <c r="A17729">
        <v>20191</v>
      </c>
      <c r="B17729" t="s">
        <v>531</v>
      </c>
      <c r="C17729">
        <v>494</v>
      </c>
      <c r="D17729">
        <v>634</v>
      </c>
      <c r="E17729">
        <v>0</v>
      </c>
      <c r="F17729">
        <v>73</v>
      </c>
      <c r="G17729">
        <v>0</v>
      </c>
      <c r="H17729" t="s">
        <v>22566</v>
      </c>
      <c r="I17729">
        <v>20191</v>
      </c>
      <c r="J17729" t="e">
        <f>VLOOKUP(E17729,DSSpieler!A:B,2,FALSE)</f>
        <v>#N/A</v>
      </c>
    </row>
    <row r="17730" spans="1:10" x14ac:dyDescent="0.25">
      <c r="A17730">
        <v>20192</v>
      </c>
      <c r="B17730" t="s">
        <v>4093</v>
      </c>
      <c r="C17730">
        <v>582</v>
      </c>
      <c r="D17730">
        <v>605</v>
      </c>
      <c r="E17730">
        <v>1577153218</v>
      </c>
      <c r="F17730">
        <v>135</v>
      </c>
      <c r="G17730">
        <v>0</v>
      </c>
      <c r="H17730" t="s">
        <v>22567</v>
      </c>
      <c r="I17730">
        <v>20192</v>
      </c>
      <c r="J17730" t="str">
        <f>VLOOKUP(E17730,DSSpieler!A:B,2,FALSE)</f>
        <v>PreY</v>
      </c>
    </row>
    <row r="17731" spans="1:10" x14ac:dyDescent="0.25">
      <c r="A17731">
        <v>20193</v>
      </c>
      <c r="B17731">
        <v>1</v>
      </c>
      <c r="C17731">
        <v>629</v>
      </c>
      <c r="D17731">
        <v>534</v>
      </c>
      <c r="E17731">
        <v>1577004372</v>
      </c>
      <c r="F17731">
        <v>438</v>
      </c>
      <c r="G17731">
        <v>0</v>
      </c>
      <c r="H17731" t="s">
        <v>22568</v>
      </c>
      <c r="I17731">
        <v>20193</v>
      </c>
      <c r="J17731" t="str">
        <f>VLOOKUP(E17731,DSSpieler!A:B,2,FALSE)</f>
        <v>Julian2807</v>
      </c>
    </row>
    <row r="17732" spans="1:10" x14ac:dyDescent="0.25">
      <c r="A17732">
        <v>20194</v>
      </c>
      <c r="B17732" t="s">
        <v>4094</v>
      </c>
      <c r="C17732">
        <v>413</v>
      </c>
      <c r="D17732">
        <v>397</v>
      </c>
      <c r="E17732">
        <v>1576668504</v>
      </c>
      <c r="F17732">
        <v>26</v>
      </c>
      <c r="G17732">
        <v>0</v>
      </c>
      <c r="H17732" t="s">
        <v>22569</v>
      </c>
      <c r="I17732">
        <v>20194</v>
      </c>
      <c r="J17732" t="str">
        <f>VLOOKUP(E17732,DSSpieler!A:B,2,FALSE)</f>
        <v>cynztwissty</v>
      </c>
    </row>
    <row r="17733" spans="1:10" x14ac:dyDescent="0.25">
      <c r="A17733">
        <v>20196</v>
      </c>
      <c r="B17733" t="s">
        <v>531</v>
      </c>
      <c r="C17733">
        <v>625</v>
      </c>
      <c r="D17733">
        <v>552</v>
      </c>
      <c r="E17733">
        <v>0</v>
      </c>
      <c r="F17733">
        <v>70</v>
      </c>
      <c r="G17733">
        <v>0</v>
      </c>
      <c r="H17733" t="s">
        <v>22570</v>
      </c>
      <c r="I17733">
        <v>20196</v>
      </c>
      <c r="J17733" t="e">
        <f>VLOOKUP(E17733,DSSpieler!A:B,2,FALSE)</f>
        <v>#N/A</v>
      </c>
    </row>
    <row r="17734" spans="1:10" x14ac:dyDescent="0.25">
      <c r="A17734">
        <v>20197</v>
      </c>
      <c r="B17734" t="s">
        <v>4095</v>
      </c>
      <c r="C17734">
        <v>496</v>
      </c>
      <c r="D17734">
        <v>364</v>
      </c>
      <c r="E17734">
        <v>701412</v>
      </c>
      <c r="F17734">
        <v>435</v>
      </c>
      <c r="G17734">
        <v>0</v>
      </c>
      <c r="H17734" t="s">
        <v>22571</v>
      </c>
      <c r="I17734">
        <v>20197</v>
      </c>
      <c r="J17734" t="str">
        <f>VLOOKUP(E17734,DSSpieler!A:B,2,FALSE)</f>
        <v>florian113</v>
      </c>
    </row>
    <row r="17735" spans="1:10" x14ac:dyDescent="0.25">
      <c r="A17735">
        <v>20198</v>
      </c>
      <c r="B17735" t="s">
        <v>4096</v>
      </c>
      <c r="C17735">
        <v>419</v>
      </c>
      <c r="D17735">
        <v>390</v>
      </c>
      <c r="E17735">
        <v>9045629</v>
      </c>
      <c r="F17735">
        <v>872</v>
      </c>
      <c r="G17735">
        <v>0</v>
      </c>
      <c r="H17735" t="s">
        <v>22572</v>
      </c>
      <c r="I17735">
        <v>20198</v>
      </c>
      <c r="J17735" t="str">
        <f>VLOOKUP(E17735,DSSpieler!A:B,2,FALSE)</f>
        <v>apollo1345</v>
      </c>
    </row>
    <row r="17736" spans="1:10" x14ac:dyDescent="0.25">
      <c r="A17736">
        <v>20199</v>
      </c>
      <c r="B17736" t="s">
        <v>531</v>
      </c>
      <c r="C17736">
        <v>543</v>
      </c>
      <c r="D17736">
        <v>374</v>
      </c>
      <c r="E17736">
        <v>0</v>
      </c>
      <c r="F17736">
        <v>64</v>
      </c>
      <c r="G17736">
        <v>0</v>
      </c>
      <c r="H17736" t="s">
        <v>22573</v>
      </c>
      <c r="I17736">
        <v>20199</v>
      </c>
      <c r="J17736" t="e">
        <f>VLOOKUP(E17736,DSSpieler!A:B,2,FALSE)</f>
        <v>#N/A</v>
      </c>
    </row>
    <row r="17737" spans="1:10" x14ac:dyDescent="0.25">
      <c r="A17737">
        <v>20200</v>
      </c>
      <c r="B17737" t="s">
        <v>4097</v>
      </c>
      <c r="C17737">
        <v>540</v>
      </c>
      <c r="D17737">
        <v>395</v>
      </c>
      <c r="E17737">
        <v>1577175554</v>
      </c>
      <c r="F17737">
        <v>200</v>
      </c>
      <c r="G17737">
        <v>0</v>
      </c>
      <c r="H17737" t="s">
        <v>22574</v>
      </c>
      <c r="I17737">
        <v>20200</v>
      </c>
      <c r="J17737" t="str">
        <f>VLOOKUP(E17737,DSSpieler!A:B,2,FALSE)</f>
        <v>IchBinReich69</v>
      </c>
    </row>
    <row r="17738" spans="1:10" x14ac:dyDescent="0.25">
      <c r="A17738">
        <v>20201</v>
      </c>
      <c r="B17738" t="s">
        <v>4098</v>
      </c>
      <c r="C17738">
        <v>456</v>
      </c>
      <c r="D17738">
        <v>623</v>
      </c>
      <c r="E17738">
        <v>1577162843</v>
      </c>
      <c r="F17738">
        <v>728</v>
      </c>
      <c r="G17738">
        <v>0</v>
      </c>
      <c r="H17738" t="s">
        <v>22575</v>
      </c>
      <c r="I17738">
        <v>20201</v>
      </c>
      <c r="J17738" t="str">
        <f>VLOOKUP(E17738,DSSpieler!A:B,2,FALSE)</f>
        <v>Akt1v</v>
      </c>
    </row>
    <row r="17739" spans="1:10" x14ac:dyDescent="0.25">
      <c r="A17739">
        <v>20202</v>
      </c>
      <c r="B17739" t="s">
        <v>4099</v>
      </c>
      <c r="C17739">
        <v>383</v>
      </c>
      <c r="D17739">
        <v>438</v>
      </c>
      <c r="E17739">
        <v>1577208265</v>
      </c>
      <c r="F17739">
        <v>26</v>
      </c>
      <c r="G17739">
        <v>0</v>
      </c>
      <c r="H17739" t="s">
        <v>22576</v>
      </c>
      <c r="I17739">
        <v>20202</v>
      </c>
      <c r="J17739" t="str">
        <f>VLOOKUP(E17739,DSSpieler!A:B,2,FALSE)</f>
        <v>I dOm Ya I</v>
      </c>
    </row>
    <row r="17740" spans="1:10" x14ac:dyDescent="0.25">
      <c r="A17740">
        <v>20203</v>
      </c>
      <c r="B17740" t="s">
        <v>4100</v>
      </c>
      <c r="C17740">
        <v>616</v>
      </c>
      <c r="D17740">
        <v>565</v>
      </c>
      <c r="E17740">
        <v>1576179081</v>
      </c>
      <c r="F17740">
        <v>26</v>
      </c>
      <c r="G17740">
        <v>0</v>
      </c>
      <c r="H17740" t="s">
        <v>22577</v>
      </c>
      <c r="I17740">
        <v>20203</v>
      </c>
      <c r="J17740" t="str">
        <f>VLOOKUP(E17740,DSSpieler!A:B,2,FALSE)</f>
        <v>HeilandSack</v>
      </c>
    </row>
    <row r="17741" spans="1:10" x14ac:dyDescent="0.25">
      <c r="A17741">
        <v>20206</v>
      </c>
      <c r="B17741" t="s">
        <v>35726</v>
      </c>
      <c r="C17741">
        <v>629</v>
      </c>
      <c r="D17741">
        <v>530</v>
      </c>
      <c r="E17741">
        <v>9474767</v>
      </c>
      <c r="F17741">
        <v>583</v>
      </c>
      <c r="G17741">
        <v>0</v>
      </c>
      <c r="H17741" t="s">
        <v>22578</v>
      </c>
      <c r="I17741">
        <v>20206</v>
      </c>
      <c r="J17741" t="str">
        <f>VLOOKUP(E17741,DSSpieler!A:B,2,FALSE)</f>
        <v>story2</v>
      </c>
    </row>
    <row r="17742" spans="1:10" x14ac:dyDescent="0.25">
      <c r="A17742">
        <v>20208</v>
      </c>
      <c r="B17742" t="s">
        <v>531</v>
      </c>
      <c r="C17742">
        <v>583</v>
      </c>
      <c r="D17742">
        <v>397</v>
      </c>
      <c r="E17742">
        <v>0</v>
      </c>
      <c r="F17742">
        <v>89</v>
      </c>
      <c r="G17742">
        <v>0</v>
      </c>
      <c r="H17742" t="s">
        <v>22579</v>
      </c>
      <c r="I17742">
        <v>20208</v>
      </c>
      <c r="J17742" t="e">
        <f>VLOOKUP(E17742,DSSpieler!A:B,2,FALSE)</f>
        <v>#N/A</v>
      </c>
    </row>
    <row r="17743" spans="1:10" x14ac:dyDescent="0.25">
      <c r="A17743">
        <v>20209</v>
      </c>
      <c r="B17743" t="s">
        <v>35727</v>
      </c>
      <c r="C17743">
        <v>621</v>
      </c>
      <c r="D17743">
        <v>487</v>
      </c>
      <c r="E17743">
        <v>1577022750</v>
      </c>
      <c r="F17743">
        <v>438</v>
      </c>
      <c r="G17743">
        <v>0</v>
      </c>
      <c r="H17743" t="s">
        <v>22580</v>
      </c>
      <c r="I17743">
        <v>20209</v>
      </c>
      <c r="J17743" t="str">
        <f>VLOOKUP(E17743,DSSpieler!A:B,2,FALSE)</f>
        <v>Iordanidis</v>
      </c>
    </row>
    <row r="17744" spans="1:10" x14ac:dyDescent="0.25">
      <c r="A17744">
        <v>20210</v>
      </c>
      <c r="B17744" t="s">
        <v>4101</v>
      </c>
      <c r="C17744">
        <v>377</v>
      </c>
      <c r="D17744">
        <v>552</v>
      </c>
      <c r="E17744">
        <v>1576761765</v>
      </c>
      <c r="F17744">
        <v>26</v>
      </c>
      <c r="G17744">
        <v>0</v>
      </c>
      <c r="H17744" t="s">
        <v>22581</v>
      </c>
      <c r="I17744">
        <v>20210</v>
      </c>
      <c r="J17744" t="str">
        <f>VLOOKUP(E17744,DSSpieler!A:B,2,FALSE)</f>
        <v>DaddyIsBack7</v>
      </c>
    </row>
    <row r="17745" spans="1:10" x14ac:dyDescent="0.25">
      <c r="A17745">
        <v>20213</v>
      </c>
      <c r="B17745" t="s">
        <v>741</v>
      </c>
      <c r="C17745">
        <v>429</v>
      </c>
      <c r="D17745">
        <v>566</v>
      </c>
      <c r="E17745">
        <v>7987483</v>
      </c>
      <c r="F17745">
        <v>419</v>
      </c>
      <c r="G17745">
        <v>0</v>
      </c>
      <c r="H17745" t="s">
        <v>22582</v>
      </c>
      <c r="I17745">
        <v>20213</v>
      </c>
      <c r="J17745" t="str">
        <f>VLOOKUP(E17745,DSSpieler!A:B,2,FALSE)</f>
        <v>ARCHIVAL</v>
      </c>
    </row>
    <row r="17746" spans="1:10" x14ac:dyDescent="0.25">
      <c r="A17746">
        <v>20214</v>
      </c>
      <c r="B17746" t="s">
        <v>1550</v>
      </c>
      <c r="C17746">
        <v>442</v>
      </c>
      <c r="D17746">
        <v>517</v>
      </c>
      <c r="E17746">
        <v>1577199735</v>
      </c>
      <c r="F17746">
        <v>366</v>
      </c>
      <c r="G17746">
        <v>0</v>
      </c>
      <c r="H17746" t="s">
        <v>22583</v>
      </c>
      <c r="I17746">
        <v>20214</v>
      </c>
      <c r="J17746" t="str">
        <f>VLOOKUP(E17746,DSSpieler!A:B,2,FALSE)</f>
        <v>VanKai1980</v>
      </c>
    </row>
    <row r="17747" spans="1:10" x14ac:dyDescent="0.25">
      <c r="A17747">
        <v>20215</v>
      </c>
      <c r="B17747" t="s">
        <v>35728</v>
      </c>
      <c r="C17747">
        <v>549</v>
      </c>
      <c r="D17747">
        <v>626</v>
      </c>
      <c r="E17747">
        <v>1576696487</v>
      </c>
      <c r="F17747">
        <v>90</v>
      </c>
      <c r="G17747">
        <v>0</v>
      </c>
      <c r="H17747" t="s">
        <v>22584</v>
      </c>
      <c r="I17747">
        <v>20215</v>
      </c>
      <c r="J17747" t="str">
        <f>VLOOKUP(E17747,DSSpieler!A:B,2,FALSE)</f>
        <v>SchläferH</v>
      </c>
    </row>
    <row r="17748" spans="1:10" x14ac:dyDescent="0.25">
      <c r="A17748">
        <v>20216</v>
      </c>
      <c r="B17748" t="s">
        <v>531</v>
      </c>
      <c r="C17748">
        <v>637</v>
      </c>
      <c r="D17748">
        <v>503</v>
      </c>
      <c r="E17748">
        <v>0</v>
      </c>
      <c r="F17748">
        <v>74</v>
      </c>
      <c r="G17748">
        <v>0</v>
      </c>
      <c r="H17748" t="s">
        <v>22585</v>
      </c>
      <c r="I17748">
        <v>20216</v>
      </c>
      <c r="J17748" t="e">
        <f>VLOOKUP(E17748,DSSpieler!A:B,2,FALSE)</f>
        <v>#N/A</v>
      </c>
    </row>
    <row r="17749" spans="1:10" x14ac:dyDescent="0.25">
      <c r="A17749">
        <v>20217</v>
      </c>
      <c r="B17749" t="s">
        <v>4102</v>
      </c>
      <c r="C17749">
        <v>375</v>
      </c>
      <c r="D17749">
        <v>540</v>
      </c>
      <c r="E17749">
        <v>7956383</v>
      </c>
      <c r="F17749">
        <v>291</v>
      </c>
      <c r="G17749">
        <v>0</v>
      </c>
      <c r="H17749" t="s">
        <v>22586</v>
      </c>
      <c r="I17749">
        <v>20217</v>
      </c>
      <c r="J17749" t="str">
        <f>VLOOKUP(E17749,DSSpieler!A:B,2,FALSE)</f>
        <v>Krieger Gondors</v>
      </c>
    </row>
    <row r="17750" spans="1:10" x14ac:dyDescent="0.25">
      <c r="A17750">
        <v>20218</v>
      </c>
      <c r="B17750" t="s">
        <v>4103</v>
      </c>
      <c r="C17750">
        <v>452</v>
      </c>
      <c r="D17750">
        <v>372</v>
      </c>
      <c r="E17750">
        <v>1576035810</v>
      </c>
      <c r="F17750">
        <v>666</v>
      </c>
      <c r="G17750">
        <v>0</v>
      </c>
      <c r="H17750" t="s">
        <v>22587</v>
      </c>
      <c r="I17750">
        <v>20218</v>
      </c>
      <c r="J17750" t="str">
        <f>VLOOKUP(E17750,DSSpieler!A:B,2,FALSE)</f>
        <v>Baron10g</v>
      </c>
    </row>
    <row r="17751" spans="1:10" x14ac:dyDescent="0.25">
      <c r="A17751">
        <v>20219</v>
      </c>
      <c r="B17751" t="s">
        <v>2296</v>
      </c>
      <c r="C17751">
        <v>569</v>
      </c>
      <c r="D17751">
        <v>615</v>
      </c>
      <c r="E17751">
        <v>1577190598</v>
      </c>
      <c r="F17751">
        <v>626</v>
      </c>
      <c r="G17751">
        <v>0</v>
      </c>
      <c r="H17751" t="s">
        <v>22588</v>
      </c>
      <c r="I17751">
        <v>20219</v>
      </c>
      <c r="J17751" t="str">
        <f>VLOOKUP(E17751,DSSpieler!A:B,2,FALSE)</f>
        <v>LordAchi793</v>
      </c>
    </row>
    <row r="17752" spans="1:10" x14ac:dyDescent="0.25">
      <c r="A17752">
        <v>20220</v>
      </c>
      <c r="B17752" t="s">
        <v>1666</v>
      </c>
      <c r="C17752">
        <v>595</v>
      </c>
      <c r="D17752">
        <v>484</v>
      </c>
      <c r="E17752">
        <v>1576660551</v>
      </c>
      <c r="F17752">
        <v>563</v>
      </c>
      <c r="G17752">
        <v>0</v>
      </c>
      <c r="H17752" t="s">
        <v>22589</v>
      </c>
      <c r="I17752">
        <v>20220</v>
      </c>
      <c r="J17752" t="str">
        <f>VLOOKUP(E17752,DSSpieler!A:B,2,FALSE)</f>
        <v>Zackrack</v>
      </c>
    </row>
    <row r="17753" spans="1:10" x14ac:dyDescent="0.25">
      <c r="A17753">
        <v>20221</v>
      </c>
      <c r="B17753" t="s">
        <v>531</v>
      </c>
      <c r="C17753">
        <v>393</v>
      </c>
      <c r="D17753">
        <v>420</v>
      </c>
      <c r="E17753">
        <v>0</v>
      </c>
      <c r="F17753">
        <v>51</v>
      </c>
      <c r="G17753">
        <v>0</v>
      </c>
      <c r="H17753" t="s">
        <v>22590</v>
      </c>
      <c r="I17753">
        <v>20221</v>
      </c>
      <c r="J17753" t="e">
        <f>VLOOKUP(E17753,DSSpieler!A:B,2,FALSE)</f>
        <v>#N/A</v>
      </c>
    </row>
    <row r="17754" spans="1:10" x14ac:dyDescent="0.25">
      <c r="A17754">
        <v>20222</v>
      </c>
      <c r="B17754" t="s">
        <v>4104</v>
      </c>
      <c r="C17754">
        <v>627</v>
      </c>
      <c r="D17754">
        <v>548</v>
      </c>
      <c r="E17754">
        <v>1577011450</v>
      </c>
      <c r="F17754">
        <v>26</v>
      </c>
      <c r="G17754">
        <v>0</v>
      </c>
      <c r="H17754" t="s">
        <v>22591</v>
      </c>
      <c r="I17754">
        <v>20222</v>
      </c>
      <c r="J17754" t="str">
        <f>VLOOKUP(E17754,DSSpieler!A:B,2,FALSE)</f>
        <v>Inaunso</v>
      </c>
    </row>
    <row r="17755" spans="1:10" x14ac:dyDescent="0.25">
      <c r="A17755">
        <v>20223</v>
      </c>
      <c r="B17755" t="s">
        <v>4105</v>
      </c>
      <c r="C17755">
        <v>598</v>
      </c>
      <c r="D17755">
        <v>407</v>
      </c>
      <c r="E17755">
        <v>1577185804</v>
      </c>
      <c r="F17755">
        <v>26</v>
      </c>
      <c r="G17755">
        <v>0</v>
      </c>
      <c r="H17755" t="s">
        <v>22592</v>
      </c>
      <c r="I17755">
        <v>20223</v>
      </c>
      <c r="J17755" t="str">
        <f>VLOOKUP(E17755,DSSpieler!A:B,2,FALSE)</f>
        <v>HarambeGod</v>
      </c>
    </row>
    <row r="17756" spans="1:10" x14ac:dyDescent="0.25">
      <c r="A17756">
        <v>20224</v>
      </c>
      <c r="B17756" t="s">
        <v>706</v>
      </c>
      <c r="C17756">
        <v>552</v>
      </c>
      <c r="D17756">
        <v>626</v>
      </c>
      <c r="E17756">
        <v>7934108</v>
      </c>
      <c r="F17756">
        <v>101</v>
      </c>
      <c r="G17756">
        <v>0</v>
      </c>
      <c r="H17756" t="s">
        <v>22593</v>
      </c>
      <c r="I17756">
        <v>20224</v>
      </c>
      <c r="J17756" t="str">
        <f>VLOOKUP(E17756,DSSpieler!A:B,2,FALSE)</f>
        <v>loewenherz01</v>
      </c>
    </row>
    <row r="17757" spans="1:10" x14ac:dyDescent="0.25">
      <c r="A17757">
        <v>20225</v>
      </c>
      <c r="B17757" t="s">
        <v>531</v>
      </c>
      <c r="C17757">
        <v>373</v>
      </c>
      <c r="D17757">
        <v>546</v>
      </c>
      <c r="E17757">
        <v>0</v>
      </c>
      <c r="F17757">
        <v>64</v>
      </c>
      <c r="G17757">
        <v>0</v>
      </c>
      <c r="H17757" t="s">
        <v>22594</v>
      </c>
      <c r="I17757">
        <v>20225</v>
      </c>
      <c r="J17757" t="e">
        <f>VLOOKUP(E17757,DSSpieler!A:B,2,FALSE)</f>
        <v>#N/A</v>
      </c>
    </row>
    <row r="17758" spans="1:10" x14ac:dyDescent="0.25">
      <c r="A17758">
        <v>20227</v>
      </c>
      <c r="B17758" t="s">
        <v>4106</v>
      </c>
      <c r="C17758">
        <v>384</v>
      </c>
      <c r="D17758">
        <v>573</v>
      </c>
      <c r="E17758">
        <v>9955456</v>
      </c>
      <c r="F17758">
        <v>26</v>
      </c>
      <c r="G17758">
        <v>0</v>
      </c>
      <c r="H17758" t="s">
        <v>22595</v>
      </c>
      <c r="I17758">
        <v>20227</v>
      </c>
      <c r="J17758" t="str">
        <f>VLOOKUP(E17758,DSSpieler!A:B,2,FALSE)</f>
        <v>FreezZzer</v>
      </c>
    </row>
    <row r="17759" spans="1:10" x14ac:dyDescent="0.25">
      <c r="A17759">
        <v>20228</v>
      </c>
      <c r="B17759" t="s">
        <v>4107</v>
      </c>
      <c r="C17759">
        <v>379</v>
      </c>
      <c r="D17759">
        <v>562</v>
      </c>
      <c r="E17759">
        <v>8843354</v>
      </c>
      <c r="F17759">
        <v>297</v>
      </c>
      <c r="G17759">
        <v>0</v>
      </c>
      <c r="H17759" t="s">
        <v>22596</v>
      </c>
      <c r="I17759">
        <v>20228</v>
      </c>
      <c r="J17759" t="str">
        <f>VLOOKUP(E17759,DSSpieler!A:B,2,FALSE)</f>
        <v>Enya24</v>
      </c>
    </row>
    <row r="17760" spans="1:10" x14ac:dyDescent="0.25">
      <c r="A17760">
        <v>20230</v>
      </c>
      <c r="B17760" t="s">
        <v>4108</v>
      </c>
      <c r="C17760">
        <v>388</v>
      </c>
      <c r="D17760">
        <v>575</v>
      </c>
      <c r="E17760">
        <v>1577173109</v>
      </c>
      <c r="F17760">
        <v>588</v>
      </c>
      <c r="G17760">
        <v>0</v>
      </c>
      <c r="H17760" t="s">
        <v>22597</v>
      </c>
      <c r="I17760">
        <v>20230</v>
      </c>
      <c r="J17760" t="str">
        <f>VLOOKUP(E17760,DSSpieler!A:B,2,FALSE)</f>
        <v>Krybezz</v>
      </c>
    </row>
    <row r="17761" spans="1:10" x14ac:dyDescent="0.25">
      <c r="A17761">
        <v>20231</v>
      </c>
      <c r="B17761" t="s">
        <v>35729</v>
      </c>
      <c r="C17761">
        <v>595</v>
      </c>
      <c r="D17761">
        <v>401</v>
      </c>
      <c r="E17761">
        <v>1576504446</v>
      </c>
      <c r="F17761">
        <v>241</v>
      </c>
      <c r="G17761">
        <v>0</v>
      </c>
      <c r="H17761" t="s">
        <v>22598</v>
      </c>
      <c r="I17761">
        <v>20231</v>
      </c>
      <c r="J17761" t="str">
        <f>VLOOKUP(E17761,DSSpieler!A:B,2,FALSE)</f>
        <v>Prinzessin Sansa</v>
      </c>
    </row>
    <row r="17762" spans="1:10" x14ac:dyDescent="0.25">
      <c r="A17762">
        <v>20233</v>
      </c>
      <c r="B17762" t="s">
        <v>4109</v>
      </c>
      <c r="C17762">
        <v>591</v>
      </c>
      <c r="D17762">
        <v>402</v>
      </c>
      <c r="E17762">
        <v>1577208321</v>
      </c>
      <c r="F17762">
        <v>493</v>
      </c>
      <c r="G17762">
        <v>0</v>
      </c>
      <c r="H17762" t="s">
        <v>22599</v>
      </c>
      <c r="I17762">
        <v>20233</v>
      </c>
      <c r="J17762" t="str">
        <f>VLOOKUP(E17762,DSSpieler!A:B,2,FALSE)</f>
        <v>spliffhanger</v>
      </c>
    </row>
    <row r="17763" spans="1:10" x14ac:dyDescent="0.25">
      <c r="A17763">
        <v>20234</v>
      </c>
      <c r="B17763" t="s">
        <v>4110</v>
      </c>
      <c r="C17763">
        <v>588</v>
      </c>
      <c r="D17763">
        <v>402</v>
      </c>
      <c r="E17763">
        <v>1577208036</v>
      </c>
      <c r="F17763">
        <v>495</v>
      </c>
      <c r="G17763">
        <v>0</v>
      </c>
      <c r="H17763" t="s">
        <v>22600</v>
      </c>
      <c r="I17763">
        <v>20234</v>
      </c>
      <c r="J17763" t="str">
        <f>VLOOKUP(E17763,DSSpieler!A:B,2,FALSE)</f>
        <v>xudo</v>
      </c>
    </row>
    <row r="17764" spans="1:10" x14ac:dyDescent="0.25">
      <c r="A17764">
        <v>20235</v>
      </c>
      <c r="B17764" t="s">
        <v>4111</v>
      </c>
      <c r="C17764">
        <v>567</v>
      </c>
      <c r="D17764">
        <v>445</v>
      </c>
      <c r="E17764">
        <v>1577201989</v>
      </c>
      <c r="F17764">
        <v>86</v>
      </c>
      <c r="G17764">
        <v>0</v>
      </c>
      <c r="H17764" t="s">
        <v>22601</v>
      </c>
      <c r="I17764">
        <v>20235</v>
      </c>
      <c r="J17764" t="str">
        <f>VLOOKUP(E17764,DSSpieler!A:B,2,FALSE)</f>
        <v>AnderesFernglas</v>
      </c>
    </row>
    <row r="17765" spans="1:10" x14ac:dyDescent="0.25">
      <c r="A17765">
        <v>20237</v>
      </c>
      <c r="B17765" t="s">
        <v>531</v>
      </c>
      <c r="C17765">
        <v>366</v>
      </c>
      <c r="D17765">
        <v>495</v>
      </c>
      <c r="E17765">
        <v>0</v>
      </c>
      <c r="F17765">
        <v>46</v>
      </c>
      <c r="G17765">
        <v>0</v>
      </c>
      <c r="H17765" t="s">
        <v>22602</v>
      </c>
      <c r="I17765">
        <v>20237</v>
      </c>
      <c r="J17765" t="e">
        <f>VLOOKUP(E17765,DSSpieler!A:B,2,FALSE)</f>
        <v>#N/A</v>
      </c>
    </row>
    <row r="17766" spans="1:10" x14ac:dyDescent="0.25">
      <c r="A17766">
        <v>20238</v>
      </c>
      <c r="B17766" t="s">
        <v>35730</v>
      </c>
      <c r="C17766">
        <v>616</v>
      </c>
      <c r="D17766">
        <v>553</v>
      </c>
      <c r="E17766">
        <v>1577208325</v>
      </c>
      <c r="F17766">
        <v>498</v>
      </c>
      <c r="G17766">
        <v>0</v>
      </c>
      <c r="H17766" t="s">
        <v>22603</v>
      </c>
      <c r="I17766">
        <v>20238</v>
      </c>
      <c r="J17766" t="str">
        <f>VLOOKUP(E17766,DSSpieler!A:B,2,FALSE)</f>
        <v>Bluemoon</v>
      </c>
    </row>
    <row r="17767" spans="1:10" x14ac:dyDescent="0.25">
      <c r="A17767">
        <v>20239</v>
      </c>
      <c r="B17767" t="s">
        <v>4112</v>
      </c>
      <c r="C17767">
        <v>416</v>
      </c>
      <c r="D17767">
        <v>607</v>
      </c>
      <c r="E17767">
        <v>10293691</v>
      </c>
      <c r="F17767">
        <v>555</v>
      </c>
      <c r="G17767">
        <v>0</v>
      </c>
      <c r="H17767" t="s">
        <v>22604</v>
      </c>
      <c r="I17767">
        <v>20239</v>
      </c>
      <c r="J17767" t="str">
        <f>VLOOKUP(E17767,DSSpieler!A:B,2,FALSE)</f>
        <v>emily567</v>
      </c>
    </row>
    <row r="17768" spans="1:10" x14ac:dyDescent="0.25">
      <c r="A17768">
        <v>20240</v>
      </c>
      <c r="B17768" t="s">
        <v>4113</v>
      </c>
      <c r="C17768">
        <v>632</v>
      </c>
      <c r="D17768">
        <v>543</v>
      </c>
      <c r="E17768">
        <v>1577208327</v>
      </c>
      <c r="F17768">
        <v>487</v>
      </c>
      <c r="G17768">
        <v>0</v>
      </c>
      <c r="H17768" t="s">
        <v>22605</v>
      </c>
      <c r="I17768">
        <v>20240</v>
      </c>
      <c r="J17768" t="str">
        <f>VLOOKUP(E17768,DSSpieler!A:B,2,FALSE)</f>
        <v>Lukas der Große</v>
      </c>
    </row>
    <row r="17769" spans="1:10" x14ac:dyDescent="0.25">
      <c r="A17769">
        <v>20243</v>
      </c>
      <c r="B17769" t="s">
        <v>35731</v>
      </c>
      <c r="C17769">
        <v>630</v>
      </c>
      <c r="D17769">
        <v>529</v>
      </c>
      <c r="E17769">
        <v>9015750</v>
      </c>
      <c r="F17769">
        <v>672</v>
      </c>
      <c r="G17769">
        <v>0</v>
      </c>
      <c r="H17769" t="s">
        <v>22606</v>
      </c>
      <c r="I17769">
        <v>20243</v>
      </c>
      <c r="J17769" t="str">
        <f>VLOOKUP(E17769,DSSpieler!A:B,2,FALSE)</f>
        <v>Graf.C.von Topondo</v>
      </c>
    </row>
    <row r="17770" spans="1:10" x14ac:dyDescent="0.25">
      <c r="A17770">
        <v>20244</v>
      </c>
      <c r="B17770" t="s">
        <v>4114</v>
      </c>
      <c r="C17770">
        <v>535</v>
      </c>
      <c r="D17770">
        <v>369</v>
      </c>
      <c r="E17770">
        <v>1577208328</v>
      </c>
      <c r="F17770">
        <v>401</v>
      </c>
      <c r="G17770">
        <v>0</v>
      </c>
      <c r="H17770" t="s">
        <v>22607</v>
      </c>
      <c r="I17770">
        <v>20244</v>
      </c>
      <c r="J17770" t="str">
        <f>VLOOKUP(E17770,DSSpieler!A:B,2,FALSE)</f>
        <v>Agent Neo 2.0</v>
      </c>
    </row>
    <row r="17771" spans="1:10" x14ac:dyDescent="0.25">
      <c r="A17771">
        <v>20245</v>
      </c>
      <c r="B17771" t="s">
        <v>4115</v>
      </c>
      <c r="C17771">
        <v>422</v>
      </c>
      <c r="D17771">
        <v>607</v>
      </c>
      <c r="E17771">
        <v>1577174916</v>
      </c>
      <c r="F17771">
        <v>79</v>
      </c>
      <c r="G17771">
        <v>0</v>
      </c>
      <c r="H17771" t="s">
        <v>22608</v>
      </c>
      <c r="I17771">
        <v>20245</v>
      </c>
      <c r="J17771" t="str">
        <f>VLOOKUP(E17771,DSSpieler!A:B,2,FALSE)</f>
        <v>Lady Eisenhauer</v>
      </c>
    </row>
    <row r="17772" spans="1:10" x14ac:dyDescent="0.25">
      <c r="A17772">
        <v>20246</v>
      </c>
      <c r="B17772" t="s">
        <v>4116</v>
      </c>
      <c r="C17772">
        <v>516</v>
      </c>
      <c r="D17772">
        <v>416</v>
      </c>
      <c r="E17772">
        <v>10114831</v>
      </c>
      <c r="F17772">
        <v>26</v>
      </c>
      <c r="G17772">
        <v>0</v>
      </c>
      <c r="H17772" t="s">
        <v>22609</v>
      </c>
      <c r="I17772">
        <v>20246</v>
      </c>
      <c r="J17772" t="str">
        <f>VLOOKUP(E17772,DSSpieler!A:B,2,FALSE)</f>
        <v>i know it</v>
      </c>
    </row>
    <row r="17773" spans="1:10" x14ac:dyDescent="0.25">
      <c r="A17773">
        <v>20247</v>
      </c>
      <c r="B17773" t="s">
        <v>4117</v>
      </c>
      <c r="C17773">
        <v>537</v>
      </c>
      <c r="D17773">
        <v>605</v>
      </c>
      <c r="E17773">
        <v>3048682</v>
      </c>
      <c r="F17773">
        <v>26</v>
      </c>
      <c r="G17773">
        <v>0</v>
      </c>
      <c r="H17773" t="s">
        <v>22610</v>
      </c>
      <c r="I17773">
        <v>20247</v>
      </c>
      <c r="J17773" t="str">
        <f>VLOOKUP(E17773,DSSpieler!A:B,2,FALSE)</f>
        <v>Cayi</v>
      </c>
    </row>
    <row r="17774" spans="1:10" x14ac:dyDescent="0.25">
      <c r="A17774">
        <v>20248</v>
      </c>
      <c r="B17774" t="s">
        <v>4118</v>
      </c>
      <c r="C17774">
        <v>489</v>
      </c>
      <c r="D17774">
        <v>368</v>
      </c>
      <c r="E17774">
        <v>1576990689</v>
      </c>
      <c r="F17774">
        <v>44</v>
      </c>
      <c r="G17774">
        <v>0</v>
      </c>
      <c r="H17774" t="s">
        <v>22611</v>
      </c>
      <c r="I17774">
        <v>20248</v>
      </c>
      <c r="J17774" t="str">
        <f>VLOOKUP(E17774,DSSpieler!A:B,2,FALSE)</f>
        <v>Eisteemann</v>
      </c>
    </row>
    <row r="17775" spans="1:10" x14ac:dyDescent="0.25">
      <c r="A17775">
        <v>20250</v>
      </c>
      <c r="B17775" t="s">
        <v>4119</v>
      </c>
      <c r="C17775">
        <v>566</v>
      </c>
      <c r="D17775">
        <v>613</v>
      </c>
      <c r="E17775">
        <v>1577195477</v>
      </c>
      <c r="F17775">
        <v>28</v>
      </c>
      <c r="G17775">
        <v>0</v>
      </c>
      <c r="H17775" t="s">
        <v>22612</v>
      </c>
      <c r="I17775">
        <v>20250</v>
      </c>
      <c r="J17775" t="str">
        <f>VLOOKUP(E17775,DSSpieler!A:B,2,FALSE)</f>
        <v>condante</v>
      </c>
    </row>
    <row r="17776" spans="1:10" x14ac:dyDescent="0.25">
      <c r="A17776">
        <v>20251</v>
      </c>
      <c r="B17776" t="s">
        <v>531</v>
      </c>
      <c r="C17776">
        <v>581</v>
      </c>
      <c r="D17776">
        <v>605</v>
      </c>
      <c r="E17776">
        <v>0</v>
      </c>
      <c r="F17776">
        <v>95</v>
      </c>
      <c r="G17776">
        <v>0</v>
      </c>
      <c r="H17776" t="s">
        <v>22613</v>
      </c>
      <c r="I17776">
        <v>20251</v>
      </c>
      <c r="J17776" t="e">
        <f>VLOOKUP(E17776,DSSpieler!A:B,2,FALSE)</f>
        <v>#N/A</v>
      </c>
    </row>
    <row r="17777" spans="1:10" x14ac:dyDescent="0.25">
      <c r="A17777">
        <v>20252</v>
      </c>
      <c r="B17777" t="s">
        <v>2211</v>
      </c>
      <c r="C17777">
        <v>620</v>
      </c>
      <c r="D17777">
        <v>552</v>
      </c>
      <c r="E17777">
        <v>1577160811</v>
      </c>
      <c r="F17777">
        <v>398</v>
      </c>
      <c r="G17777">
        <v>0</v>
      </c>
      <c r="H17777" t="s">
        <v>22614</v>
      </c>
      <c r="I17777">
        <v>20252</v>
      </c>
      <c r="J17777" t="str">
        <f>VLOOKUP(E17777,DSSpieler!A:B,2,FALSE)</f>
        <v>klaam24</v>
      </c>
    </row>
    <row r="17778" spans="1:10" x14ac:dyDescent="0.25">
      <c r="A17778">
        <v>20253</v>
      </c>
      <c r="B17778" t="s">
        <v>4120</v>
      </c>
      <c r="C17778">
        <v>555</v>
      </c>
      <c r="D17778">
        <v>377</v>
      </c>
      <c r="E17778">
        <v>1577001749</v>
      </c>
      <c r="F17778">
        <v>26</v>
      </c>
      <c r="G17778">
        <v>0</v>
      </c>
      <c r="H17778" t="s">
        <v>22615</v>
      </c>
      <c r="I17778">
        <v>20253</v>
      </c>
      <c r="J17778" t="str">
        <f>VLOOKUP(E17778,DSSpieler!A:B,2,FALSE)</f>
        <v>Ragnar029</v>
      </c>
    </row>
    <row r="17779" spans="1:10" x14ac:dyDescent="0.25">
      <c r="A17779">
        <v>20254</v>
      </c>
      <c r="B17779" t="s">
        <v>4121</v>
      </c>
      <c r="C17779">
        <v>371</v>
      </c>
      <c r="D17779">
        <v>455</v>
      </c>
      <c r="E17779">
        <v>1577061391</v>
      </c>
      <c r="F17779">
        <v>26</v>
      </c>
      <c r="G17779">
        <v>0</v>
      </c>
      <c r="H17779" t="s">
        <v>22616</v>
      </c>
      <c r="I17779">
        <v>20254</v>
      </c>
      <c r="J17779" t="str">
        <f>VLOOKUP(E17779,DSSpieler!A:B,2,FALSE)</f>
        <v>DirkDiggler</v>
      </c>
    </row>
    <row r="17780" spans="1:10" x14ac:dyDescent="0.25">
      <c r="A17780">
        <v>20255</v>
      </c>
      <c r="B17780" t="s">
        <v>4122</v>
      </c>
      <c r="C17780">
        <v>476</v>
      </c>
      <c r="D17780">
        <v>415</v>
      </c>
      <c r="E17780">
        <v>1577123371</v>
      </c>
      <c r="F17780">
        <v>788</v>
      </c>
      <c r="G17780">
        <v>0</v>
      </c>
      <c r="H17780" t="s">
        <v>22617</v>
      </c>
      <c r="I17780">
        <v>20255</v>
      </c>
      <c r="J17780" t="str">
        <f>VLOOKUP(E17780,DSSpieler!A:B,2,FALSE)</f>
        <v>x-tus</v>
      </c>
    </row>
    <row r="17781" spans="1:10" x14ac:dyDescent="0.25">
      <c r="A17781">
        <v>20256</v>
      </c>
      <c r="B17781" t="s">
        <v>4123</v>
      </c>
      <c r="C17781">
        <v>528</v>
      </c>
      <c r="D17781">
        <v>632</v>
      </c>
      <c r="E17781">
        <v>1577011042</v>
      </c>
      <c r="F17781">
        <v>26</v>
      </c>
      <c r="G17781">
        <v>0</v>
      </c>
      <c r="H17781" t="s">
        <v>22618</v>
      </c>
      <c r="I17781">
        <v>20256</v>
      </c>
      <c r="J17781" t="str">
        <f>VLOOKUP(E17781,DSSpieler!A:B,2,FALSE)</f>
        <v>derayes</v>
      </c>
    </row>
    <row r="17782" spans="1:10" x14ac:dyDescent="0.25">
      <c r="A17782">
        <v>20257</v>
      </c>
      <c r="B17782" t="s">
        <v>4124</v>
      </c>
      <c r="C17782">
        <v>375</v>
      </c>
      <c r="D17782">
        <v>548</v>
      </c>
      <c r="E17782">
        <v>1577207663</v>
      </c>
      <c r="F17782">
        <v>306</v>
      </c>
      <c r="G17782">
        <v>0</v>
      </c>
      <c r="H17782" t="s">
        <v>22619</v>
      </c>
      <c r="I17782">
        <v>20257</v>
      </c>
      <c r="J17782" t="str">
        <f>VLOOKUP(E17782,DSSpieler!A:B,2,FALSE)</f>
        <v>lars-94</v>
      </c>
    </row>
    <row r="17783" spans="1:10" x14ac:dyDescent="0.25">
      <c r="A17783">
        <v>20258</v>
      </c>
      <c r="B17783" t="s">
        <v>4125</v>
      </c>
      <c r="C17783">
        <v>493</v>
      </c>
      <c r="D17783">
        <v>363</v>
      </c>
      <c r="E17783">
        <v>1577207584</v>
      </c>
      <c r="F17783">
        <v>122</v>
      </c>
      <c r="G17783">
        <v>0</v>
      </c>
      <c r="H17783" t="s">
        <v>22620</v>
      </c>
      <c r="I17783">
        <v>20258</v>
      </c>
      <c r="J17783" t="str">
        <f>VLOOKUP(E17783,DSSpieler!A:B,2,FALSE)</f>
        <v>WhiteDragon</v>
      </c>
    </row>
    <row r="17784" spans="1:10" x14ac:dyDescent="0.25">
      <c r="A17784">
        <v>20260</v>
      </c>
      <c r="B17784" t="s">
        <v>4126</v>
      </c>
      <c r="C17784">
        <v>405</v>
      </c>
      <c r="D17784">
        <v>593</v>
      </c>
      <c r="E17784">
        <v>7830140</v>
      </c>
      <c r="F17784">
        <v>464</v>
      </c>
      <c r="G17784">
        <v>0</v>
      </c>
      <c r="H17784" t="s">
        <v>22621</v>
      </c>
      <c r="I17784">
        <v>20260</v>
      </c>
      <c r="J17784" t="str">
        <f>VLOOKUP(E17784,DSSpieler!A:B,2,FALSE)</f>
        <v>Alex 333</v>
      </c>
    </row>
    <row r="17785" spans="1:10" x14ac:dyDescent="0.25">
      <c r="A17785">
        <v>20261</v>
      </c>
      <c r="B17785" t="s">
        <v>595</v>
      </c>
      <c r="C17785">
        <v>510</v>
      </c>
      <c r="D17785">
        <v>631</v>
      </c>
      <c r="E17785">
        <v>1576035602</v>
      </c>
      <c r="F17785">
        <v>498</v>
      </c>
      <c r="G17785">
        <v>0</v>
      </c>
      <c r="H17785" t="s">
        <v>22622</v>
      </c>
      <c r="I17785">
        <v>20261</v>
      </c>
      <c r="J17785" t="str">
        <f>VLOOKUP(E17785,DSSpieler!A:B,2,FALSE)</f>
        <v>naaz65</v>
      </c>
    </row>
    <row r="17786" spans="1:10" x14ac:dyDescent="0.25">
      <c r="A17786">
        <v>20262</v>
      </c>
      <c r="B17786" t="s">
        <v>35732</v>
      </c>
      <c r="C17786">
        <v>374</v>
      </c>
      <c r="D17786">
        <v>450</v>
      </c>
      <c r="E17786">
        <v>9591734</v>
      </c>
      <c r="F17786">
        <v>578</v>
      </c>
      <c r="G17786">
        <v>0</v>
      </c>
      <c r="H17786" t="s">
        <v>22623</v>
      </c>
      <c r="I17786">
        <v>20262</v>
      </c>
      <c r="J17786" t="str">
        <f>VLOOKUP(E17786,DSSpieler!A:B,2,FALSE)</f>
        <v>.incasabil</v>
      </c>
    </row>
    <row r="17787" spans="1:10" x14ac:dyDescent="0.25">
      <c r="A17787">
        <v>20263</v>
      </c>
      <c r="B17787" t="s">
        <v>531</v>
      </c>
      <c r="C17787">
        <v>418</v>
      </c>
      <c r="D17787">
        <v>607</v>
      </c>
      <c r="E17787">
        <v>0</v>
      </c>
      <c r="F17787">
        <v>63</v>
      </c>
      <c r="G17787">
        <v>0</v>
      </c>
      <c r="H17787" t="s">
        <v>22624</v>
      </c>
      <c r="I17787">
        <v>20263</v>
      </c>
      <c r="J17787" t="e">
        <f>VLOOKUP(E17787,DSSpieler!A:B,2,FALSE)</f>
        <v>#N/A</v>
      </c>
    </row>
    <row r="17788" spans="1:10" x14ac:dyDescent="0.25">
      <c r="A17788">
        <v>20264</v>
      </c>
      <c r="B17788" t="s">
        <v>35733</v>
      </c>
      <c r="C17788">
        <v>559</v>
      </c>
      <c r="D17788">
        <v>379</v>
      </c>
      <c r="E17788">
        <v>1576214516</v>
      </c>
      <c r="F17788">
        <v>73</v>
      </c>
      <c r="G17788">
        <v>0</v>
      </c>
      <c r="H17788" t="s">
        <v>22625</v>
      </c>
      <c r="I17788">
        <v>20264</v>
      </c>
      <c r="J17788" t="str">
        <f>VLOOKUP(E17788,DSSpieler!A:B,2,FALSE)</f>
        <v>Marvin der Große</v>
      </c>
    </row>
    <row r="17789" spans="1:10" x14ac:dyDescent="0.25">
      <c r="A17789">
        <v>20265</v>
      </c>
      <c r="B17789" t="s">
        <v>3340</v>
      </c>
      <c r="C17789">
        <v>504</v>
      </c>
      <c r="D17789">
        <v>496</v>
      </c>
      <c r="E17789">
        <v>1577202585</v>
      </c>
      <c r="F17789">
        <v>1662</v>
      </c>
      <c r="G17789">
        <v>0</v>
      </c>
      <c r="H17789" t="s">
        <v>22626</v>
      </c>
      <c r="I17789">
        <v>20265</v>
      </c>
      <c r="J17789" t="str">
        <f>VLOOKUP(E17789,DSSpieler!A:B,2,FALSE)</f>
        <v>Zeratekx</v>
      </c>
    </row>
    <row r="17790" spans="1:10" x14ac:dyDescent="0.25">
      <c r="A17790">
        <v>20266</v>
      </c>
      <c r="B17790" t="s">
        <v>765</v>
      </c>
      <c r="C17790">
        <v>368</v>
      </c>
      <c r="D17790">
        <v>501</v>
      </c>
      <c r="E17790">
        <v>1577188592</v>
      </c>
      <c r="F17790">
        <v>585</v>
      </c>
      <c r="G17790">
        <v>0</v>
      </c>
      <c r="H17790" t="s">
        <v>22627</v>
      </c>
      <c r="I17790">
        <v>20266</v>
      </c>
      <c r="J17790" t="str">
        <f>VLOOKUP(E17790,DSSpieler!A:B,2,FALSE)</f>
        <v>Polarwolf</v>
      </c>
    </row>
    <row r="17791" spans="1:10" x14ac:dyDescent="0.25">
      <c r="A17791">
        <v>20267</v>
      </c>
      <c r="B17791" t="s">
        <v>4127</v>
      </c>
      <c r="C17791">
        <v>597</v>
      </c>
      <c r="D17791">
        <v>474</v>
      </c>
      <c r="E17791">
        <v>9997229</v>
      </c>
      <c r="F17791">
        <v>26</v>
      </c>
      <c r="G17791">
        <v>0</v>
      </c>
      <c r="H17791" t="s">
        <v>22628</v>
      </c>
      <c r="I17791">
        <v>20267</v>
      </c>
      <c r="J17791" t="str">
        <f>VLOOKUP(E17791,DSSpieler!A:B,2,FALSE)</f>
        <v>Goofeh</v>
      </c>
    </row>
    <row r="17792" spans="1:10" x14ac:dyDescent="0.25">
      <c r="A17792">
        <v>20268</v>
      </c>
      <c r="B17792" t="s">
        <v>4128</v>
      </c>
      <c r="C17792">
        <v>502</v>
      </c>
      <c r="D17792">
        <v>370</v>
      </c>
      <c r="E17792">
        <v>1577208356</v>
      </c>
      <c r="F17792">
        <v>26</v>
      </c>
      <c r="G17792">
        <v>0</v>
      </c>
      <c r="H17792" t="s">
        <v>22629</v>
      </c>
      <c r="I17792">
        <v>20268</v>
      </c>
      <c r="J17792" t="str">
        <f>VLOOKUP(E17792,DSSpieler!A:B,2,FALSE)</f>
        <v>Phersiix</v>
      </c>
    </row>
    <row r="17793" spans="1:10" x14ac:dyDescent="0.25">
      <c r="A17793">
        <v>20269</v>
      </c>
      <c r="B17793" t="s">
        <v>4129</v>
      </c>
      <c r="C17793">
        <v>376</v>
      </c>
      <c r="D17793">
        <v>445</v>
      </c>
      <c r="E17793">
        <v>1576475655</v>
      </c>
      <c r="F17793">
        <v>50</v>
      </c>
      <c r="G17793">
        <v>0</v>
      </c>
      <c r="H17793" t="s">
        <v>22630</v>
      </c>
      <c r="I17793">
        <v>20269</v>
      </c>
      <c r="J17793" t="str">
        <f>VLOOKUP(E17793,DSSpieler!A:B,2,FALSE)</f>
        <v>Kaiser 2014</v>
      </c>
    </row>
    <row r="17794" spans="1:10" x14ac:dyDescent="0.25">
      <c r="A17794">
        <v>20270</v>
      </c>
      <c r="B17794" t="s">
        <v>4130</v>
      </c>
      <c r="C17794">
        <v>503</v>
      </c>
      <c r="D17794">
        <v>370</v>
      </c>
      <c r="E17794">
        <v>1577208345</v>
      </c>
      <c r="F17794">
        <v>554</v>
      </c>
      <c r="G17794">
        <v>0</v>
      </c>
      <c r="H17794" t="s">
        <v>22631</v>
      </c>
      <c r="I17794">
        <v>20270</v>
      </c>
      <c r="J17794" t="str">
        <f>VLOOKUP(E17794,DSSpieler!A:B,2,FALSE)</f>
        <v>Phersix</v>
      </c>
    </row>
    <row r="17795" spans="1:10" x14ac:dyDescent="0.25">
      <c r="A17795">
        <v>20271</v>
      </c>
      <c r="B17795" t="s">
        <v>4131</v>
      </c>
      <c r="C17795">
        <v>437</v>
      </c>
      <c r="D17795">
        <v>463</v>
      </c>
      <c r="E17795">
        <v>9425107</v>
      </c>
      <c r="F17795">
        <v>77</v>
      </c>
      <c r="G17795">
        <v>0</v>
      </c>
      <c r="H17795" t="s">
        <v>22632</v>
      </c>
      <c r="I17795">
        <v>20271</v>
      </c>
      <c r="J17795" t="str">
        <f>VLOOKUP(E17795,DSSpieler!A:B,2,FALSE)</f>
        <v>Shadowhunter87</v>
      </c>
    </row>
    <row r="17796" spans="1:10" x14ac:dyDescent="0.25">
      <c r="A17796">
        <v>20272</v>
      </c>
      <c r="B17796" t="s">
        <v>4132</v>
      </c>
      <c r="C17796">
        <v>363</v>
      </c>
      <c r="D17796">
        <v>501</v>
      </c>
      <c r="E17796">
        <v>1577076517</v>
      </c>
      <c r="F17796">
        <v>76</v>
      </c>
      <c r="G17796">
        <v>0</v>
      </c>
      <c r="H17796" t="s">
        <v>22633</v>
      </c>
      <c r="I17796">
        <v>20272</v>
      </c>
      <c r="J17796" t="str">
        <f>VLOOKUP(E17796,DSSpieler!A:B,2,FALSE)</f>
        <v>Zsoul</v>
      </c>
    </row>
    <row r="17797" spans="1:10" x14ac:dyDescent="0.25">
      <c r="A17797">
        <v>20273</v>
      </c>
      <c r="B17797" t="s">
        <v>4133</v>
      </c>
      <c r="C17797">
        <v>391</v>
      </c>
      <c r="D17797">
        <v>421</v>
      </c>
      <c r="E17797">
        <v>1576084675</v>
      </c>
      <c r="F17797">
        <v>213</v>
      </c>
      <c r="G17797">
        <v>0</v>
      </c>
      <c r="H17797" t="s">
        <v>22634</v>
      </c>
      <c r="I17797">
        <v>20273</v>
      </c>
      <c r="J17797" t="str">
        <f>VLOOKUP(E17797,DSSpieler!A:B,2,FALSE)</f>
        <v>knightstar</v>
      </c>
    </row>
    <row r="17798" spans="1:10" x14ac:dyDescent="0.25">
      <c r="A17798">
        <v>20274</v>
      </c>
      <c r="B17798" t="s">
        <v>4134</v>
      </c>
      <c r="C17798">
        <v>502</v>
      </c>
      <c r="D17798">
        <v>602</v>
      </c>
      <c r="E17798">
        <v>9750746</v>
      </c>
      <c r="F17798">
        <v>223</v>
      </c>
      <c r="G17798">
        <v>0</v>
      </c>
      <c r="H17798" t="s">
        <v>22635</v>
      </c>
      <c r="I17798">
        <v>20274</v>
      </c>
      <c r="J17798" t="str">
        <f>VLOOKUP(E17798,DSSpieler!A:B,2,FALSE)</f>
        <v>DJone10</v>
      </c>
    </row>
    <row r="17799" spans="1:10" x14ac:dyDescent="0.25">
      <c r="A17799">
        <v>20276</v>
      </c>
      <c r="B17799" t="s">
        <v>4135</v>
      </c>
      <c r="C17799">
        <v>546</v>
      </c>
      <c r="D17799">
        <v>625</v>
      </c>
      <c r="E17799">
        <v>9018075</v>
      </c>
      <c r="F17799">
        <v>685</v>
      </c>
      <c r="G17799">
        <v>0</v>
      </c>
      <c r="H17799" t="s">
        <v>22636</v>
      </c>
      <c r="I17799">
        <v>20276</v>
      </c>
      <c r="J17799" t="str">
        <f>VLOOKUP(E17799,DSSpieler!A:B,2,FALSE)</f>
        <v>dragonridergirl</v>
      </c>
    </row>
    <row r="17800" spans="1:10" x14ac:dyDescent="0.25">
      <c r="A17800">
        <v>20277</v>
      </c>
      <c r="B17800" t="s">
        <v>4136</v>
      </c>
      <c r="C17800">
        <v>371</v>
      </c>
      <c r="D17800">
        <v>450</v>
      </c>
      <c r="E17800">
        <v>9843496</v>
      </c>
      <c r="F17800">
        <v>499</v>
      </c>
      <c r="G17800">
        <v>0</v>
      </c>
      <c r="H17800" t="s">
        <v>22637</v>
      </c>
      <c r="I17800">
        <v>20277</v>
      </c>
      <c r="J17800" t="str">
        <f>VLOOKUP(E17800,DSSpieler!A:B,2,FALSE)</f>
        <v>Hautzy</v>
      </c>
    </row>
    <row r="17801" spans="1:10" x14ac:dyDescent="0.25">
      <c r="A17801">
        <v>20280</v>
      </c>
      <c r="B17801" t="s">
        <v>4137</v>
      </c>
      <c r="C17801">
        <v>515</v>
      </c>
      <c r="D17801">
        <v>368</v>
      </c>
      <c r="E17801">
        <v>1577114299</v>
      </c>
      <c r="F17801">
        <v>44</v>
      </c>
      <c r="G17801">
        <v>0</v>
      </c>
      <c r="H17801" t="s">
        <v>22638</v>
      </c>
      <c r="I17801">
        <v>20280</v>
      </c>
      <c r="J17801" t="str">
        <f>VLOOKUP(E17801,DSSpieler!A:B,2,FALSE)</f>
        <v>Brooklyn Brawler</v>
      </c>
    </row>
    <row r="17802" spans="1:10" x14ac:dyDescent="0.25">
      <c r="A17802">
        <v>20282</v>
      </c>
      <c r="B17802" t="s">
        <v>4138</v>
      </c>
      <c r="C17802">
        <v>464</v>
      </c>
      <c r="D17802">
        <v>584</v>
      </c>
      <c r="E17802">
        <v>1576818285</v>
      </c>
      <c r="F17802">
        <v>26</v>
      </c>
      <c r="G17802">
        <v>0</v>
      </c>
      <c r="H17802" t="s">
        <v>22639</v>
      </c>
      <c r="I17802">
        <v>20282</v>
      </c>
      <c r="J17802" t="str">
        <f>VLOOKUP(E17802,DSSpieler!A:B,2,FALSE)</f>
        <v>KingMakrele</v>
      </c>
    </row>
    <row r="17803" spans="1:10" x14ac:dyDescent="0.25">
      <c r="A17803">
        <v>20283</v>
      </c>
      <c r="B17803" t="s">
        <v>531</v>
      </c>
      <c r="C17803">
        <v>367</v>
      </c>
      <c r="D17803">
        <v>523</v>
      </c>
      <c r="E17803">
        <v>0</v>
      </c>
      <c r="F17803">
        <v>57</v>
      </c>
      <c r="G17803">
        <v>0</v>
      </c>
      <c r="H17803" t="s">
        <v>22640</v>
      </c>
      <c r="I17803">
        <v>20283</v>
      </c>
      <c r="J17803" t="e">
        <f>VLOOKUP(E17803,DSSpieler!A:B,2,FALSE)</f>
        <v>#N/A</v>
      </c>
    </row>
    <row r="17804" spans="1:10" x14ac:dyDescent="0.25">
      <c r="A17804">
        <v>20284</v>
      </c>
      <c r="B17804" t="s">
        <v>4139</v>
      </c>
      <c r="C17804">
        <v>627</v>
      </c>
      <c r="D17804">
        <v>546</v>
      </c>
      <c r="E17804">
        <v>1577158178</v>
      </c>
      <c r="F17804">
        <v>275</v>
      </c>
      <c r="G17804">
        <v>0</v>
      </c>
      <c r="H17804" t="s">
        <v>22641</v>
      </c>
      <c r="I17804">
        <v>20284</v>
      </c>
      <c r="J17804" t="str">
        <f>VLOOKUP(E17804,DSSpieler!A:B,2,FALSE)</f>
        <v>Jacky-Anza</v>
      </c>
    </row>
    <row r="17805" spans="1:10" x14ac:dyDescent="0.25">
      <c r="A17805">
        <v>20285</v>
      </c>
      <c r="B17805" t="s">
        <v>35734</v>
      </c>
      <c r="C17805">
        <v>534</v>
      </c>
      <c r="D17805">
        <v>629</v>
      </c>
      <c r="E17805">
        <v>123833</v>
      </c>
      <c r="F17805">
        <v>385</v>
      </c>
      <c r="G17805">
        <v>0</v>
      </c>
      <c r="H17805" t="s">
        <v>22642</v>
      </c>
      <c r="I17805">
        <v>20285</v>
      </c>
      <c r="J17805" t="str">
        <f>VLOOKUP(E17805,DSSpieler!A:B,2,FALSE)</f>
        <v>klein erna</v>
      </c>
    </row>
    <row r="17806" spans="1:10" x14ac:dyDescent="0.25">
      <c r="A17806">
        <v>20287</v>
      </c>
      <c r="B17806" t="s">
        <v>4140</v>
      </c>
      <c r="C17806">
        <v>386</v>
      </c>
      <c r="D17806">
        <v>426</v>
      </c>
      <c r="E17806">
        <v>9709999</v>
      </c>
      <c r="F17806">
        <v>26</v>
      </c>
      <c r="G17806">
        <v>0</v>
      </c>
      <c r="H17806" t="s">
        <v>22643</v>
      </c>
      <c r="I17806">
        <v>20287</v>
      </c>
      <c r="J17806" t="str">
        <f>VLOOKUP(E17806,DSSpieler!A:B,2,FALSE)</f>
        <v>Morgen007</v>
      </c>
    </row>
    <row r="17807" spans="1:10" x14ac:dyDescent="0.25">
      <c r="A17807">
        <v>20288</v>
      </c>
      <c r="B17807" t="s">
        <v>4141</v>
      </c>
      <c r="C17807">
        <v>456</v>
      </c>
      <c r="D17807">
        <v>627</v>
      </c>
      <c r="E17807">
        <v>1577208374</v>
      </c>
      <c r="F17807">
        <v>175</v>
      </c>
      <c r="G17807">
        <v>0</v>
      </c>
      <c r="H17807" t="s">
        <v>22644</v>
      </c>
      <c r="I17807">
        <v>20288</v>
      </c>
      <c r="J17807" t="str">
        <f>VLOOKUP(E17807,DSSpieler!A:B,2,FALSE)</f>
        <v>Hustleline</v>
      </c>
    </row>
    <row r="17808" spans="1:10" x14ac:dyDescent="0.25">
      <c r="A17808">
        <v>20294</v>
      </c>
      <c r="B17808" t="s">
        <v>531</v>
      </c>
      <c r="C17808">
        <v>466</v>
      </c>
      <c r="D17808">
        <v>627</v>
      </c>
      <c r="E17808">
        <v>0</v>
      </c>
      <c r="F17808">
        <v>58</v>
      </c>
      <c r="G17808">
        <v>0</v>
      </c>
      <c r="H17808" t="s">
        <v>22645</v>
      </c>
      <c r="I17808">
        <v>20294</v>
      </c>
      <c r="J17808" t="e">
        <f>VLOOKUP(E17808,DSSpieler!A:B,2,FALSE)</f>
        <v>#N/A</v>
      </c>
    </row>
    <row r="17809" spans="1:10" x14ac:dyDescent="0.25">
      <c r="A17809">
        <v>20295</v>
      </c>
      <c r="B17809" t="s">
        <v>4142</v>
      </c>
      <c r="C17809">
        <v>469</v>
      </c>
      <c r="D17809">
        <v>444</v>
      </c>
      <c r="E17809">
        <v>9915152</v>
      </c>
      <c r="F17809">
        <v>27</v>
      </c>
      <c r="G17809">
        <v>0</v>
      </c>
      <c r="H17809" t="s">
        <v>22646</v>
      </c>
      <c r="I17809">
        <v>20295</v>
      </c>
      <c r="J17809" t="str">
        <f>VLOOKUP(E17809,DSSpieler!A:B,2,FALSE)</f>
        <v>NeoTrace</v>
      </c>
    </row>
    <row r="17810" spans="1:10" x14ac:dyDescent="0.25">
      <c r="A17810">
        <v>20296</v>
      </c>
      <c r="B17810" t="s">
        <v>4143</v>
      </c>
      <c r="C17810">
        <v>447</v>
      </c>
      <c r="D17810">
        <v>623</v>
      </c>
      <c r="E17810">
        <v>1577165801</v>
      </c>
      <c r="F17810">
        <v>706</v>
      </c>
      <c r="G17810">
        <v>0</v>
      </c>
      <c r="H17810" t="s">
        <v>22647</v>
      </c>
      <c r="I17810">
        <v>20296</v>
      </c>
      <c r="J17810" t="str">
        <f>VLOOKUP(E17810,DSSpieler!A:B,2,FALSE)</f>
        <v>Wild</v>
      </c>
    </row>
    <row r="17811" spans="1:10" x14ac:dyDescent="0.25">
      <c r="A17811">
        <v>20297</v>
      </c>
      <c r="B17811" t="s">
        <v>150</v>
      </c>
      <c r="C17811">
        <v>381</v>
      </c>
      <c r="D17811">
        <v>563</v>
      </c>
      <c r="E17811">
        <v>1577208397</v>
      </c>
      <c r="F17811">
        <v>139</v>
      </c>
      <c r="G17811">
        <v>0</v>
      </c>
      <c r="H17811" t="s">
        <v>22648</v>
      </c>
      <c r="I17811">
        <v>20297</v>
      </c>
      <c r="J17811" t="str">
        <f>VLOOKUP(E17811,DSSpieler!A:B,2,FALSE)</f>
        <v>Brandkanne</v>
      </c>
    </row>
    <row r="17812" spans="1:10" x14ac:dyDescent="0.25">
      <c r="A17812">
        <v>20298</v>
      </c>
      <c r="B17812" t="s">
        <v>4144</v>
      </c>
      <c r="C17812">
        <v>564</v>
      </c>
      <c r="D17812">
        <v>384</v>
      </c>
      <c r="E17812">
        <v>1576368912</v>
      </c>
      <c r="F17812">
        <v>378</v>
      </c>
      <c r="G17812">
        <v>0</v>
      </c>
      <c r="H17812" t="s">
        <v>22649</v>
      </c>
      <c r="I17812">
        <v>20298</v>
      </c>
      <c r="J17812" t="str">
        <f>VLOOKUP(E17812,DSSpieler!A:B,2,FALSE)</f>
        <v>Tini-Queeny</v>
      </c>
    </row>
    <row r="17813" spans="1:10" x14ac:dyDescent="0.25">
      <c r="A17813">
        <v>20300</v>
      </c>
      <c r="B17813" t="s">
        <v>4145</v>
      </c>
      <c r="C17813">
        <v>567</v>
      </c>
      <c r="D17813">
        <v>380</v>
      </c>
      <c r="E17813">
        <v>10073310</v>
      </c>
      <c r="F17813">
        <v>279</v>
      </c>
      <c r="G17813">
        <v>0</v>
      </c>
      <c r="H17813" t="s">
        <v>22650</v>
      </c>
      <c r="I17813">
        <v>20300</v>
      </c>
      <c r="J17813" t="str">
        <f>VLOOKUP(E17813,DSSpieler!A:B,2,FALSE)</f>
        <v>franzi-bt</v>
      </c>
    </row>
    <row r="17814" spans="1:10" x14ac:dyDescent="0.25">
      <c r="A17814">
        <v>20301</v>
      </c>
      <c r="B17814" t="s">
        <v>4146</v>
      </c>
      <c r="C17814">
        <v>476</v>
      </c>
      <c r="D17814">
        <v>515</v>
      </c>
      <c r="E17814">
        <v>1576501619</v>
      </c>
      <c r="F17814">
        <v>212</v>
      </c>
      <c r="G17814">
        <v>0</v>
      </c>
      <c r="H17814" t="s">
        <v>22651</v>
      </c>
      <c r="I17814">
        <v>20301</v>
      </c>
      <c r="J17814" t="str">
        <f>VLOOKUP(E17814,DSSpieler!A:B,2,FALSE)</f>
        <v>Dorfkind</v>
      </c>
    </row>
    <row r="17815" spans="1:10" x14ac:dyDescent="0.25">
      <c r="A17815">
        <v>20302</v>
      </c>
      <c r="B17815" t="s">
        <v>4147</v>
      </c>
      <c r="C17815">
        <v>534</v>
      </c>
      <c r="D17815">
        <v>589</v>
      </c>
      <c r="E17815">
        <v>1577071433</v>
      </c>
      <c r="F17815">
        <v>715</v>
      </c>
      <c r="G17815">
        <v>0</v>
      </c>
      <c r="H17815" t="s">
        <v>22652</v>
      </c>
      <c r="I17815">
        <v>20302</v>
      </c>
      <c r="J17815" t="str">
        <f>VLOOKUP(E17815,DSSpieler!A:B,2,FALSE)</f>
        <v>Verbrecher</v>
      </c>
    </row>
    <row r="17816" spans="1:10" x14ac:dyDescent="0.25">
      <c r="A17816">
        <v>20303</v>
      </c>
      <c r="B17816" t="s">
        <v>4148</v>
      </c>
      <c r="C17816">
        <v>395</v>
      </c>
      <c r="D17816">
        <v>580</v>
      </c>
      <c r="E17816">
        <v>1576500131</v>
      </c>
      <c r="F17816">
        <v>554</v>
      </c>
      <c r="G17816">
        <v>0</v>
      </c>
      <c r="H17816" t="s">
        <v>22653</v>
      </c>
      <c r="I17816">
        <v>20303</v>
      </c>
      <c r="J17816" t="str">
        <f>VLOOKUP(E17816,DSSpieler!A:B,2,FALSE)</f>
        <v>Cezax</v>
      </c>
    </row>
    <row r="17817" spans="1:10" x14ac:dyDescent="0.25">
      <c r="A17817">
        <v>20304</v>
      </c>
      <c r="B17817" t="s">
        <v>4149</v>
      </c>
      <c r="C17817">
        <v>572</v>
      </c>
      <c r="D17817">
        <v>388</v>
      </c>
      <c r="E17817">
        <v>1438017</v>
      </c>
      <c r="F17817">
        <v>44</v>
      </c>
      <c r="G17817">
        <v>0</v>
      </c>
      <c r="H17817" t="s">
        <v>22654</v>
      </c>
      <c r="I17817">
        <v>20304</v>
      </c>
      <c r="J17817" t="str">
        <f>VLOOKUP(E17817,DSSpieler!A:B,2,FALSE)</f>
        <v>pisa13</v>
      </c>
    </row>
    <row r="17818" spans="1:10" x14ac:dyDescent="0.25">
      <c r="A17818">
        <v>20305</v>
      </c>
      <c r="B17818" t="s">
        <v>4150</v>
      </c>
      <c r="C17818">
        <v>453</v>
      </c>
      <c r="D17818">
        <v>538</v>
      </c>
      <c r="E17818">
        <v>1577196020</v>
      </c>
      <c r="F17818">
        <v>26</v>
      </c>
      <c r="G17818">
        <v>0</v>
      </c>
      <c r="H17818" t="s">
        <v>22655</v>
      </c>
      <c r="I17818">
        <v>20305</v>
      </c>
      <c r="J17818" t="str">
        <f>VLOOKUP(E17818,DSSpieler!A:B,2,FALSE)</f>
        <v>Supersauser</v>
      </c>
    </row>
    <row r="17819" spans="1:10" x14ac:dyDescent="0.25">
      <c r="A17819">
        <v>20306</v>
      </c>
      <c r="B17819" t="s">
        <v>4151</v>
      </c>
      <c r="C17819">
        <v>594</v>
      </c>
      <c r="D17819">
        <v>444</v>
      </c>
      <c r="E17819">
        <v>1577200906</v>
      </c>
      <c r="F17819">
        <v>230</v>
      </c>
      <c r="G17819">
        <v>0</v>
      </c>
      <c r="H17819" t="s">
        <v>22656</v>
      </c>
      <c r="I17819">
        <v>20306</v>
      </c>
      <c r="J17819" t="str">
        <f>VLOOKUP(E17819,DSSpieler!A:B,2,FALSE)</f>
        <v>Mr.Reed</v>
      </c>
    </row>
    <row r="17820" spans="1:10" x14ac:dyDescent="0.25">
      <c r="A17820">
        <v>20307</v>
      </c>
      <c r="B17820" t="s">
        <v>4152</v>
      </c>
      <c r="C17820">
        <v>621</v>
      </c>
      <c r="D17820">
        <v>542</v>
      </c>
      <c r="E17820">
        <v>1577208388</v>
      </c>
      <c r="F17820">
        <v>780</v>
      </c>
      <c r="G17820">
        <v>0</v>
      </c>
      <c r="H17820" t="s">
        <v>22657</v>
      </c>
      <c r="I17820">
        <v>20307</v>
      </c>
      <c r="J17820" t="str">
        <f>VLOOKUP(E17820,DSSpieler!A:B,2,FALSE)</f>
        <v>Sir Jim Panse</v>
      </c>
    </row>
    <row r="17821" spans="1:10" x14ac:dyDescent="0.25">
      <c r="A17821">
        <v>20309</v>
      </c>
      <c r="B17821" t="s">
        <v>4153</v>
      </c>
      <c r="C17821">
        <v>600</v>
      </c>
      <c r="D17821">
        <v>590</v>
      </c>
      <c r="E17821">
        <v>1576830388</v>
      </c>
      <c r="F17821">
        <v>26</v>
      </c>
      <c r="G17821">
        <v>0</v>
      </c>
      <c r="H17821" t="s">
        <v>22658</v>
      </c>
      <c r="I17821">
        <v>20309</v>
      </c>
      <c r="J17821" t="str">
        <f>VLOOKUP(E17821,DSSpieler!A:B,2,FALSE)</f>
        <v>qwerty77</v>
      </c>
    </row>
    <row r="17822" spans="1:10" x14ac:dyDescent="0.25">
      <c r="A17822">
        <v>20310</v>
      </c>
      <c r="B17822" t="s">
        <v>4154</v>
      </c>
      <c r="C17822">
        <v>503</v>
      </c>
      <c r="D17822">
        <v>369</v>
      </c>
      <c r="E17822">
        <v>1576951925</v>
      </c>
      <c r="F17822">
        <v>439</v>
      </c>
      <c r="G17822">
        <v>0</v>
      </c>
      <c r="H17822" t="s">
        <v>22659</v>
      </c>
      <c r="I17822">
        <v>20310</v>
      </c>
      <c r="J17822" t="str">
        <f>VLOOKUP(E17822,DSSpieler!A:B,2,FALSE)</f>
        <v>xGreenkayx</v>
      </c>
    </row>
    <row r="17823" spans="1:10" x14ac:dyDescent="0.25">
      <c r="A17823">
        <v>20311</v>
      </c>
      <c r="B17823" t="s">
        <v>4155</v>
      </c>
      <c r="C17823">
        <v>372</v>
      </c>
      <c r="D17823">
        <v>459</v>
      </c>
      <c r="E17823">
        <v>1577190478</v>
      </c>
      <c r="F17823">
        <v>38</v>
      </c>
      <c r="G17823">
        <v>0</v>
      </c>
      <c r="H17823" t="s">
        <v>22660</v>
      </c>
      <c r="I17823">
        <v>20311</v>
      </c>
      <c r="J17823" t="str">
        <f>VLOOKUP(E17823,DSSpieler!A:B,2,FALSE)</f>
        <v>Esgabnur15stell</v>
      </c>
    </row>
    <row r="17824" spans="1:10" x14ac:dyDescent="0.25">
      <c r="A17824">
        <v>20312</v>
      </c>
      <c r="B17824" t="s">
        <v>4156</v>
      </c>
      <c r="C17824">
        <v>496</v>
      </c>
      <c r="D17824">
        <v>632</v>
      </c>
      <c r="E17824">
        <v>1577193693</v>
      </c>
      <c r="F17824">
        <v>453</v>
      </c>
      <c r="G17824">
        <v>0</v>
      </c>
      <c r="H17824" t="s">
        <v>22661</v>
      </c>
      <c r="I17824">
        <v>20312</v>
      </c>
      <c r="J17824" t="str">
        <f>VLOOKUP(E17824,DSSpieler!A:B,2,FALSE)</f>
        <v>Blackburny</v>
      </c>
    </row>
    <row r="17825" spans="1:10" x14ac:dyDescent="0.25">
      <c r="A17825">
        <v>20313</v>
      </c>
      <c r="B17825" t="s">
        <v>531</v>
      </c>
      <c r="C17825">
        <v>466</v>
      </c>
      <c r="D17825">
        <v>633</v>
      </c>
      <c r="E17825">
        <v>0</v>
      </c>
      <c r="F17825">
        <v>74</v>
      </c>
      <c r="G17825">
        <v>0</v>
      </c>
      <c r="H17825" t="s">
        <v>22662</v>
      </c>
      <c r="I17825">
        <v>20313</v>
      </c>
      <c r="J17825" t="e">
        <f>VLOOKUP(E17825,DSSpieler!A:B,2,FALSE)</f>
        <v>#N/A</v>
      </c>
    </row>
    <row r="17826" spans="1:10" x14ac:dyDescent="0.25">
      <c r="A17826">
        <v>20314</v>
      </c>
      <c r="B17826" t="s">
        <v>4157</v>
      </c>
      <c r="C17826">
        <v>434</v>
      </c>
      <c r="D17826">
        <v>617</v>
      </c>
      <c r="E17826">
        <v>1577199623</v>
      </c>
      <c r="F17826">
        <v>26</v>
      </c>
      <c r="G17826">
        <v>0</v>
      </c>
      <c r="H17826" t="s">
        <v>22663</v>
      </c>
      <c r="I17826">
        <v>20314</v>
      </c>
      <c r="J17826" t="str">
        <f>VLOOKUP(E17826,DSSpieler!A:B,2,FALSE)</f>
        <v>Dante VII</v>
      </c>
    </row>
    <row r="17827" spans="1:10" x14ac:dyDescent="0.25">
      <c r="A17827">
        <v>20315</v>
      </c>
      <c r="B17827" t="s">
        <v>4158</v>
      </c>
      <c r="C17827">
        <v>635</v>
      </c>
      <c r="D17827">
        <v>485</v>
      </c>
      <c r="E17827">
        <v>1576951611</v>
      </c>
      <c r="F17827">
        <v>26</v>
      </c>
      <c r="G17827">
        <v>0</v>
      </c>
      <c r="H17827" t="s">
        <v>22664</v>
      </c>
      <c r="I17827">
        <v>20315</v>
      </c>
      <c r="J17827" t="str">
        <f>VLOOKUP(E17827,DSSpieler!A:B,2,FALSE)</f>
        <v>freza</v>
      </c>
    </row>
    <row r="17828" spans="1:10" x14ac:dyDescent="0.25">
      <c r="A17828">
        <v>20316</v>
      </c>
      <c r="B17828" t="s">
        <v>4159</v>
      </c>
      <c r="C17828">
        <v>433</v>
      </c>
      <c r="D17828">
        <v>614</v>
      </c>
      <c r="E17828">
        <v>1577198101</v>
      </c>
      <c r="F17828">
        <v>802</v>
      </c>
      <c r="G17828">
        <v>0</v>
      </c>
      <c r="H17828" t="s">
        <v>22665</v>
      </c>
      <c r="I17828">
        <v>20316</v>
      </c>
      <c r="J17828" t="str">
        <f>VLOOKUP(E17828,DSSpieler!A:B,2,FALSE)</f>
        <v>Fis4Febboe</v>
      </c>
    </row>
    <row r="17829" spans="1:10" x14ac:dyDescent="0.25">
      <c r="A17829">
        <v>20317</v>
      </c>
      <c r="B17829" t="s">
        <v>4160</v>
      </c>
      <c r="C17829">
        <v>631</v>
      </c>
      <c r="D17829">
        <v>531</v>
      </c>
      <c r="E17829">
        <v>9658690</v>
      </c>
      <c r="F17829">
        <v>492</v>
      </c>
      <c r="G17829">
        <v>0</v>
      </c>
      <c r="H17829" t="s">
        <v>22666</v>
      </c>
      <c r="I17829">
        <v>20317</v>
      </c>
      <c r="J17829" t="str">
        <f>VLOOKUP(E17829,DSSpieler!A:B,2,FALSE)</f>
        <v>Arni der 1.</v>
      </c>
    </row>
    <row r="17830" spans="1:10" x14ac:dyDescent="0.25">
      <c r="A17830">
        <v>20318</v>
      </c>
      <c r="B17830" t="e">
        <f>-Frisco-secret+Dorf</f>
        <v>#NAME?</v>
      </c>
      <c r="C17830">
        <v>382</v>
      </c>
      <c r="D17830">
        <v>436</v>
      </c>
      <c r="E17830">
        <v>553726</v>
      </c>
      <c r="F17830">
        <v>26</v>
      </c>
      <c r="G17830">
        <v>0</v>
      </c>
      <c r="H17830" t="s">
        <v>22667</v>
      </c>
      <c r="I17830">
        <v>20318</v>
      </c>
      <c r="J17830" t="str">
        <f>VLOOKUP(E17830,DSSpieler!A:B,2,FALSE)</f>
        <v>-Frisco-</v>
      </c>
    </row>
    <row r="17831" spans="1:10" x14ac:dyDescent="0.25">
      <c r="A17831">
        <v>20319</v>
      </c>
      <c r="B17831" t="s">
        <v>531</v>
      </c>
      <c r="C17831">
        <v>369</v>
      </c>
      <c r="D17831">
        <v>505</v>
      </c>
      <c r="E17831">
        <v>0</v>
      </c>
      <c r="F17831">
        <v>50</v>
      </c>
      <c r="G17831">
        <v>0</v>
      </c>
      <c r="H17831" t="s">
        <v>22668</v>
      </c>
      <c r="I17831">
        <v>20319</v>
      </c>
      <c r="J17831" t="e">
        <f>VLOOKUP(E17831,DSSpieler!A:B,2,FALSE)</f>
        <v>#N/A</v>
      </c>
    </row>
    <row r="17832" spans="1:10" x14ac:dyDescent="0.25">
      <c r="A17832">
        <v>20320</v>
      </c>
      <c r="B17832" t="s">
        <v>4161</v>
      </c>
      <c r="C17832">
        <v>572</v>
      </c>
      <c r="D17832">
        <v>424</v>
      </c>
      <c r="E17832">
        <v>8848072</v>
      </c>
      <c r="F17832">
        <v>409</v>
      </c>
      <c r="G17832">
        <v>0</v>
      </c>
      <c r="H17832" t="s">
        <v>22669</v>
      </c>
      <c r="I17832">
        <v>20320</v>
      </c>
      <c r="J17832" t="str">
        <f>VLOOKUP(E17832,DSSpieler!A:B,2,FALSE)</f>
        <v>Heilbronner68</v>
      </c>
    </row>
    <row r="17833" spans="1:10" x14ac:dyDescent="0.25">
      <c r="A17833">
        <v>20321</v>
      </c>
      <c r="B17833" t="s">
        <v>4162</v>
      </c>
      <c r="C17833">
        <v>520</v>
      </c>
      <c r="D17833">
        <v>632</v>
      </c>
      <c r="E17833">
        <v>1577136488</v>
      </c>
      <c r="F17833">
        <v>192</v>
      </c>
      <c r="G17833">
        <v>0</v>
      </c>
      <c r="H17833" t="s">
        <v>22670</v>
      </c>
      <c r="I17833">
        <v>20321</v>
      </c>
      <c r="J17833" t="str">
        <f>VLOOKUP(E17833,DSSpieler!A:B,2,FALSE)</f>
        <v>Sieger 5</v>
      </c>
    </row>
    <row r="17834" spans="1:10" x14ac:dyDescent="0.25">
      <c r="A17834">
        <v>20322</v>
      </c>
      <c r="B17834" t="s">
        <v>4163</v>
      </c>
      <c r="C17834">
        <v>422</v>
      </c>
      <c r="D17834">
        <v>609</v>
      </c>
      <c r="E17834">
        <v>1576264125</v>
      </c>
      <c r="F17834">
        <v>355</v>
      </c>
      <c r="G17834">
        <v>0</v>
      </c>
      <c r="H17834" t="s">
        <v>22671</v>
      </c>
      <c r="I17834">
        <v>20322</v>
      </c>
      <c r="J17834" t="str">
        <f>VLOOKUP(E17834,DSSpieler!A:B,2,FALSE)</f>
        <v>FCBNr1</v>
      </c>
    </row>
    <row r="17835" spans="1:10" x14ac:dyDescent="0.25">
      <c r="A17835">
        <v>20323</v>
      </c>
      <c r="B17835" t="s">
        <v>4164</v>
      </c>
      <c r="C17835">
        <v>486</v>
      </c>
      <c r="D17835">
        <v>475</v>
      </c>
      <c r="E17835">
        <v>1577182451</v>
      </c>
      <c r="F17835">
        <v>252</v>
      </c>
      <c r="G17835">
        <v>0</v>
      </c>
      <c r="H17835" t="s">
        <v>22672</v>
      </c>
      <c r="I17835">
        <v>20323</v>
      </c>
      <c r="J17835" t="str">
        <f>VLOOKUP(E17835,DSSpieler!A:B,2,FALSE)</f>
        <v>hannselott</v>
      </c>
    </row>
    <row r="17836" spans="1:10" x14ac:dyDescent="0.25">
      <c r="A17836">
        <v>20324</v>
      </c>
      <c r="B17836" t="s">
        <v>531</v>
      </c>
      <c r="C17836">
        <v>365</v>
      </c>
      <c r="D17836">
        <v>504</v>
      </c>
      <c r="E17836">
        <v>0</v>
      </c>
      <c r="F17836">
        <v>53</v>
      </c>
      <c r="G17836">
        <v>0</v>
      </c>
      <c r="H17836" t="s">
        <v>22673</v>
      </c>
      <c r="I17836">
        <v>20324</v>
      </c>
      <c r="J17836" t="e">
        <f>VLOOKUP(E17836,DSSpieler!A:B,2,FALSE)</f>
        <v>#N/A</v>
      </c>
    </row>
    <row r="17837" spans="1:10" x14ac:dyDescent="0.25">
      <c r="A17837">
        <v>20325</v>
      </c>
      <c r="B17837" t="s">
        <v>4165</v>
      </c>
      <c r="C17837">
        <v>445</v>
      </c>
      <c r="D17837">
        <v>376</v>
      </c>
      <c r="E17837">
        <v>9325868</v>
      </c>
      <c r="F17837">
        <v>26</v>
      </c>
      <c r="G17837">
        <v>0</v>
      </c>
      <c r="H17837" t="s">
        <v>22674</v>
      </c>
      <c r="I17837">
        <v>20325</v>
      </c>
      <c r="J17837" t="str">
        <f>VLOOKUP(E17837,DSSpieler!A:B,2,FALSE)</f>
        <v>marten der 3</v>
      </c>
    </row>
    <row r="17838" spans="1:10" x14ac:dyDescent="0.25">
      <c r="A17838">
        <v>20326</v>
      </c>
      <c r="B17838" t="s">
        <v>4166</v>
      </c>
      <c r="C17838">
        <v>480</v>
      </c>
      <c r="D17838">
        <v>396</v>
      </c>
      <c r="E17838">
        <v>1576954109</v>
      </c>
      <c r="F17838">
        <v>26</v>
      </c>
      <c r="G17838">
        <v>0</v>
      </c>
      <c r="H17838" t="s">
        <v>22675</v>
      </c>
      <c r="I17838">
        <v>20326</v>
      </c>
      <c r="J17838" t="str">
        <f>VLOOKUP(E17838,DSSpieler!A:B,2,FALSE)</f>
        <v>Anaphylaxis</v>
      </c>
    </row>
    <row r="17839" spans="1:10" x14ac:dyDescent="0.25">
      <c r="A17839">
        <v>20327</v>
      </c>
      <c r="B17839" t="s">
        <v>4167</v>
      </c>
      <c r="C17839">
        <v>611</v>
      </c>
      <c r="D17839">
        <v>575</v>
      </c>
      <c r="E17839">
        <v>1576256779</v>
      </c>
      <c r="F17839">
        <v>457</v>
      </c>
      <c r="G17839">
        <v>0</v>
      </c>
      <c r="H17839" t="s">
        <v>22676</v>
      </c>
      <c r="I17839">
        <v>20327</v>
      </c>
      <c r="J17839" t="str">
        <f>VLOOKUP(E17839,DSSpieler!A:B,2,FALSE)</f>
        <v>Sandokan3</v>
      </c>
    </row>
    <row r="17840" spans="1:10" x14ac:dyDescent="0.25">
      <c r="A17840">
        <v>20328</v>
      </c>
      <c r="B17840" t="s">
        <v>531</v>
      </c>
      <c r="C17840">
        <v>592</v>
      </c>
      <c r="D17840">
        <v>405</v>
      </c>
      <c r="E17840">
        <v>0</v>
      </c>
      <c r="F17840">
        <v>94</v>
      </c>
      <c r="G17840">
        <v>0</v>
      </c>
      <c r="H17840" t="s">
        <v>22677</v>
      </c>
      <c r="I17840">
        <v>20328</v>
      </c>
      <c r="J17840" t="e">
        <f>VLOOKUP(E17840,DSSpieler!A:B,2,FALSE)</f>
        <v>#N/A</v>
      </c>
    </row>
    <row r="17841" spans="1:10" x14ac:dyDescent="0.25">
      <c r="A17841">
        <v>20330</v>
      </c>
      <c r="B17841" t="s">
        <v>4168</v>
      </c>
      <c r="C17841">
        <v>516</v>
      </c>
      <c r="D17841">
        <v>364</v>
      </c>
      <c r="E17841">
        <v>1577198608</v>
      </c>
      <c r="F17841">
        <v>26</v>
      </c>
      <c r="G17841">
        <v>0</v>
      </c>
      <c r="H17841" t="s">
        <v>22678</v>
      </c>
      <c r="I17841">
        <v>20330</v>
      </c>
      <c r="J17841" t="str">
        <f>VLOOKUP(E17841,DSSpieler!A:B,2,FALSE)</f>
        <v>helm7</v>
      </c>
    </row>
    <row r="17842" spans="1:10" x14ac:dyDescent="0.25">
      <c r="A17842">
        <v>20331</v>
      </c>
      <c r="B17842" t="s">
        <v>35735</v>
      </c>
      <c r="C17842">
        <v>493</v>
      </c>
      <c r="D17842">
        <v>631</v>
      </c>
      <c r="E17842">
        <v>1577166984</v>
      </c>
      <c r="F17842">
        <v>548</v>
      </c>
      <c r="G17842">
        <v>0</v>
      </c>
      <c r="H17842" t="s">
        <v>22679</v>
      </c>
      <c r="I17842">
        <v>20331</v>
      </c>
      <c r="J17842" t="str">
        <f>VLOOKUP(E17842,DSSpieler!A:B,2,FALSE)</f>
        <v>REDSKIN*</v>
      </c>
    </row>
    <row r="17843" spans="1:10" x14ac:dyDescent="0.25">
      <c r="A17843">
        <v>20332</v>
      </c>
      <c r="B17843" t="s">
        <v>4169</v>
      </c>
      <c r="C17843">
        <v>397</v>
      </c>
      <c r="D17843">
        <v>411</v>
      </c>
      <c r="E17843">
        <v>1576463812</v>
      </c>
      <c r="F17843">
        <v>349</v>
      </c>
      <c r="G17843">
        <v>0</v>
      </c>
      <c r="H17843" t="s">
        <v>22680</v>
      </c>
      <c r="I17843">
        <v>20332</v>
      </c>
      <c r="J17843" t="str">
        <f>VLOOKUP(E17843,DSSpieler!A:B,2,FALSE)</f>
        <v>IzzNight</v>
      </c>
    </row>
    <row r="17844" spans="1:10" x14ac:dyDescent="0.25">
      <c r="A17844">
        <v>20334</v>
      </c>
      <c r="B17844">
        <v>1</v>
      </c>
      <c r="C17844">
        <v>588</v>
      </c>
      <c r="D17844">
        <v>396</v>
      </c>
      <c r="E17844">
        <v>1576662455</v>
      </c>
      <c r="F17844">
        <v>465</v>
      </c>
      <c r="G17844">
        <v>0</v>
      </c>
      <c r="H17844" t="s">
        <v>22681</v>
      </c>
      <c r="I17844">
        <v>20334</v>
      </c>
      <c r="J17844" t="str">
        <f>VLOOKUP(E17844,DSSpieler!A:B,2,FALSE)</f>
        <v>colege</v>
      </c>
    </row>
    <row r="17845" spans="1:10" x14ac:dyDescent="0.25">
      <c r="A17845">
        <v>20335</v>
      </c>
      <c r="B17845" t="s">
        <v>4170</v>
      </c>
      <c r="C17845">
        <v>607</v>
      </c>
      <c r="D17845">
        <v>484</v>
      </c>
      <c r="E17845">
        <v>1577185767</v>
      </c>
      <c r="F17845">
        <v>274</v>
      </c>
      <c r="G17845">
        <v>0</v>
      </c>
      <c r="H17845" t="s">
        <v>22682</v>
      </c>
      <c r="I17845">
        <v>20335</v>
      </c>
      <c r="J17845" t="str">
        <f>VLOOKUP(E17845,DSSpieler!A:B,2,FALSE)</f>
        <v>ClemmK</v>
      </c>
    </row>
    <row r="17846" spans="1:10" x14ac:dyDescent="0.25">
      <c r="A17846">
        <v>20336</v>
      </c>
      <c r="B17846" t="s">
        <v>35736</v>
      </c>
      <c r="C17846">
        <v>416</v>
      </c>
      <c r="D17846">
        <v>608</v>
      </c>
      <c r="E17846">
        <v>1577190495</v>
      </c>
      <c r="F17846">
        <v>26</v>
      </c>
      <c r="G17846">
        <v>0</v>
      </c>
      <c r="H17846" t="s">
        <v>22683</v>
      </c>
      <c r="I17846">
        <v>20336</v>
      </c>
      <c r="J17846" t="str">
        <f>VLOOKUP(E17846,DSSpieler!A:B,2,FALSE)</f>
        <v>Ulf Möll</v>
      </c>
    </row>
    <row r="17847" spans="1:10" x14ac:dyDescent="0.25">
      <c r="A17847">
        <v>20337</v>
      </c>
      <c r="B17847" t="s">
        <v>4171</v>
      </c>
      <c r="C17847">
        <v>580</v>
      </c>
      <c r="D17847">
        <v>608</v>
      </c>
      <c r="E17847">
        <v>1577208402</v>
      </c>
      <c r="F17847">
        <v>297</v>
      </c>
      <c r="G17847">
        <v>0</v>
      </c>
      <c r="H17847" t="s">
        <v>22684</v>
      </c>
      <c r="I17847">
        <v>20337</v>
      </c>
      <c r="J17847" t="str">
        <f>VLOOKUP(E17847,DSSpieler!A:B,2,FALSE)</f>
        <v>Maxiking1.1</v>
      </c>
    </row>
    <row r="17848" spans="1:10" x14ac:dyDescent="0.25">
      <c r="A17848">
        <v>20338</v>
      </c>
      <c r="B17848" t="s">
        <v>4172</v>
      </c>
      <c r="C17848">
        <v>397</v>
      </c>
      <c r="D17848">
        <v>415</v>
      </c>
      <c r="E17848">
        <v>1577200122</v>
      </c>
      <c r="F17848">
        <v>26</v>
      </c>
      <c r="G17848">
        <v>0</v>
      </c>
      <c r="H17848" t="s">
        <v>22685</v>
      </c>
      <c r="I17848">
        <v>20338</v>
      </c>
      <c r="J17848" t="str">
        <f>VLOOKUP(E17848,DSSpieler!A:B,2,FALSE)</f>
        <v>Windulst</v>
      </c>
    </row>
    <row r="17849" spans="1:10" x14ac:dyDescent="0.25">
      <c r="A17849">
        <v>20340</v>
      </c>
      <c r="B17849" t="s">
        <v>4173</v>
      </c>
      <c r="C17849">
        <v>381</v>
      </c>
      <c r="D17849">
        <v>567</v>
      </c>
      <c r="E17849">
        <v>1577200653</v>
      </c>
      <c r="F17849">
        <v>61</v>
      </c>
      <c r="G17849">
        <v>0</v>
      </c>
      <c r="H17849" t="s">
        <v>22686</v>
      </c>
      <c r="I17849">
        <v>20340</v>
      </c>
      <c r="J17849" t="str">
        <f>VLOOKUP(E17849,DSSpieler!A:B,2,FALSE)</f>
        <v>Howard 266</v>
      </c>
    </row>
    <row r="17850" spans="1:10" x14ac:dyDescent="0.25">
      <c r="A17850">
        <v>20341</v>
      </c>
      <c r="B17850" t="s">
        <v>4174</v>
      </c>
      <c r="C17850">
        <v>535</v>
      </c>
      <c r="D17850">
        <v>516</v>
      </c>
      <c r="E17850">
        <v>624214</v>
      </c>
      <c r="F17850">
        <v>388</v>
      </c>
      <c r="G17850">
        <v>0</v>
      </c>
      <c r="H17850" t="s">
        <v>22687</v>
      </c>
      <c r="I17850">
        <v>20341</v>
      </c>
      <c r="J17850" t="str">
        <f>VLOOKUP(E17850,DSSpieler!A:B,2,FALSE)</f>
        <v>Atariandi</v>
      </c>
    </row>
    <row r="17851" spans="1:10" x14ac:dyDescent="0.25">
      <c r="A17851">
        <v>20342</v>
      </c>
      <c r="B17851" t="s">
        <v>4175</v>
      </c>
      <c r="C17851">
        <v>484</v>
      </c>
      <c r="D17851">
        <v>477</v>
      </c>
      <c r="E17851">
        <v>10170920</v>
      </c>
      <c r="F17851">
        <v>95</v>
      </c>
      <c r="G17851">
        <v>0</v>
      </c>
      <c r="H17851" t="s">
        <v>22688</v>
      </c>
      <c r="I17851">
        <v>20342</v>
      </c>
      <c r="J17851" t="str">
        <f>VLOOKUP(E17851,DSSpieler!A:B,2,FALSE)</f>
        <v>c-256</v>
      </c>
    </row>
    <row r="17852" spans="1:10" x14ac:dyDescent="0.25">
      <c r="A17852">
        <v>20344</v>
      </c>
      <c r="B17852" t="s">
        <v>531</v>
      </c>
      <c r="C17852">
        <v>626</v>
      </c>
      <c r="D17852">
        <v>455</v>
      </c>
      <c r="E17852">
        <v>0</v>
      </c>
      <c r="F17852">
        <v>64</v>
      </c>
      <c r="G17852">
        <v>0</v>
      </c>
      <c r="H17852" t="s">
        <v>22689</v>
      </c>
      <c r="I17852">
        <v>20344</v>
      </c>
      <c r="J17852" t="e">
        <f>VLOOKUP(E17852,DSSpieler!A:B,2,FALSE)</f>
        <v>#N/A</v>
      </c>
    </row>
    <row r="17853" spans="1:10" x14ac:dyDescent="0.25">
      <c r="A17853">
        <v>20345</v>
      </c>
      <c r="B17853" t="s">
        <v>4176</v>
      </c>
      <c r="C17853">
        <v>529</v>
      </c>
      <c r="D17853">
        <v>629</v>
      </c>
      <c r="E17853">
        <v>1577141518</v>
      </c>
      <c r="F17853">
        <v>26</v>
      </c>
      <c r="G17853">
        <v>0</v>
      </c>
      <c r="H17853" t="s">
        <v>22690</v>
      </c>
      <c r="I17853">
        <v>20345</v>
      </c>
      <c r="J17853" t="str">
        <f>VLOOKUP(E17853,DSSpieler!A:B,2,FALSE)</f>
        <v>xTwitch</v>
      </c>
    </row>
    <row r="17854" spans="1:10" x14ac:dyDescent="0.25">
      <c r="A17854">
        <v>20346</v>
      </c>
      <c r="B17854" t="s">
        <v>4177</v>
      </c>
      <c r="C17854">
        <v>382</v>
      </c>
      <c r="D17854">
        <v>437</v>
      </c>
      <c r="E17854">
        <v>9212920</v>
      </c>
      <c r="F17854">
        <v>524</v>
      </c>
      <c r="G17854">
        <v>0</v>
      </c>
      <c r="H17854" t="s">
        <v>22691</v>
      </c>
      <c r="I17854">
        <v>20346</v>
      </c>
      <c r="J17854" t="str">
        <f>VLOOKUP(E17854,DSSpieler!A:B,2,FALSE)</f>
        <v>HanfBlatt90</v>
      </c>
    </row>
    <row r="17855" spans="1:10" x14ac:dyDescent="0.25">
      <c r="A17855">
        <v>20347</v>
      </c>
      <c r="B17855" t="s">
        <v>4178</v>
      </c>
      <c r="C17855">
        <v>391</v>
      </c>
      <c r="D17855">
        <v>426</v>
      </c>
      <c r="E17855">
        <v>1577198851</v>
      </c>
      <c r="F17855">
        <v>26</v>
      </c>
      <c r="G17855">
        <v>0</v>
      </c>
      <c r="H17855" t="s">
        <v>22692</v>
      </c>
      <c r="I17855">
        <v>20347</v>
      </c>
      <c r="J17855" t="str">
        <f>VLOOKUP(E17855,DSSpieler!A:B,2,FALSE)</f>
        <v>ds pro</v>
      </c>
    </row>
    <row r="17856" spans="1:10" x14ac:dyDescent="0.25">
      <c r="A17856">
        <v>20348</v>
      </c>
      <c r="B17856" t="s">
        <v>4179</v>
      </c>
      <c r="C17856">
        <v>631</v>
      </c>
      <c r="D17856">
        <v>507</v>
      </c>
      <c r="E17856">
        <v>739984</v>
      </c>
      <c r="F17856">
        <v>26</v>
      </c>
      <c r="G17856">
        <v>0</v>
      </c>
      <c r="H17856" t="s">
        <v>22693</v>
      </c>
      <c r="I17856">
        <v>20348</v>
      </c>
      <c r="J17856" t="str">
        <f>VLOOKUP(E17856,DSSpieler!A:B,2,FALSE)</f>
        <v>King Bausti</v>
      </c>
    </row>
    <row r="17857" spans="1:10" x14ac:dyDescent="0.25">
      <c r="A17857">
        <v>20349</v>
      </c>
      <c r="B17857" t="s">
        <v>4180</v>
      </c>
      <c r="C17857">
        <v>543</v>
      </c>
      <c r="D17857">
        <v>373</v>
      </c>
      <c r="E17857">
        <v>1577014875</v>
      </c>
      <c r="F17857">
        <v>26</v>
      </c>
      <c r="G17857">
        <v>0</v>
      </c>
      <c r="H17857" t="s">
        <v>22694</v>
      </c>
      <c r="I17857">
        <v>20349</v>
      </c>
      <c r="J17857" t="str">
        <f>VLOOKUP(E17857,DSSpieler!A:B,2,FALSE)</f>
        <v>Trepolis</v>
      </c>
    </row>
    <row r="17858" spans="1:10" x14ac:dyDescent="0.25">
      <c r="A17858">
        <v>20350</v>
      </c>
      <c r="B17858" t="s">
        <v>4181</v>
      </c>
      <c r="C17858">
        <v>597</v>
      </c>
      <c r="D17858">
        <v>495</v>
      </c>
      <c r="E17858">
        <v>329536</v>
      </c>
      <c r="F17858">
        <v>612</v>
      </c>
      <c r="G17858">
        <v>0</v>
      </c>
      <c r="H17858" t="s">
        <v>22695</v>
      </c>
      <c r="I17858">
        <v>20350</v>
      </c>
      <c r="J17858" t="str">
        <f>VLOOKUP(E17858,DSSpieler!A:B,2,FALSE)</f>
        <v>apfelgriepsch</v>
      </c>
    </row>
    <row r="17859" spans="1:10" x14ac:dyDescent="0.25">
      <c r="A17859">
        <v>20351</v>
      </c>
      <c r="B17859" t="s">
        <v>4182</v>
      </c>
      <c r="C17859">
        <v>496</v>
      </c>
      <c r="D17859">
        <v>633</v>
      </c>
      <c r="E17859">
        <v>1575899183</v>
      </c>
      <c r="F17859">
        <v>92</v>
      </c>
      <c r="G17859">
        <v>0</v>
      </c>
      <c r="H17859" t="s">
        <v>22696</v>
      </c>
      <c r="I17859">
        <v>20351</v>
      </c>
      <c r="J17859" t="str">
        <f>VLOOKUP(E17859,DSSpieler!A:B,2,FALSE)</f>
        <v>Funnymaker</v>
      </c>
    </row>
    <row r="17860" spans="1:10" x14ac:dyDescent="0.25">
      <c r="A17860">
        <v>20352</v>
      </c>
      <c r="B17860" t="s">
        <v>4183</v>
      </c>
      <c r="C17860">
        <v>368</v>
      </c>
      <c r="D17860">
        <v>488</v>
      </c>
      <c r="E17860">
        <v>1577171366</v>
      </c>
      <c r="F17860">
        <v>598</v>
      </c>
      <c r="G17860">
        <v>0</v>
      </c>
      <c r="H17860" t="s">
        <v>22697</v>
      </c>
      <c r="I17860">
        <v>20352</v>
      </c>
      <c r="J17860" t="str">
        <f>VLOOKUP(E17860,DSSpieler!A:B,2,FALSE)</f>
        <v>Edgar Evernever</v>
      </c>
    </row>
    <row r="17861" spans="1:10" x14ac:dyDescent="0.25">
      <c r="A17861">
        <v>20353</v>
      </c>
      <c r="B17861" t="s">
        <v>4184</v>
      </c>
      <c r="C17861">
        <v>367</v>
      </c>
      <c r="D17861">
        <v>481</v>
      </c>
      <c r="E17861">
        <v>1577178319</v>
      </c>
      <c r="F17861">
        <v>51</v>
      </c>
      <c r="G17861">
        <v>0</v>
      </c>
      <c r="H17861" t="s">
        <v>22698</v>
      </c>
      <c r="I17861">
        <v>20353</v>
      </c>
      <c r="J17861" t="str">
        <f>VLOOKUP(E17861,DSSpieler!A:B,2,FALSE)</f>
        <v>thunfisch.lifestyle</v>
      </c>
    </row>
    <row r="17862" spans="1:10" x14ac:dyDescent="0.25">
      <c r="A17862">
        <v>20354</v>
      </c>
      <c r="B17862" t="s">
        <v>4185</v>
      </c>
      <c r="C17862">
        <v>608</v>
      </c>
      <c r="D17862">
        <v>579</v>
      </c>
      <c r="E17862">
        <v>8922762</v>
      </c>
      <c r="F17862">
        <v>316</v>
      </c>
      <c r="G17862">
        <v>0</v>
      </c>
      <c r="H17862" t="s">
        <v>22699</v>
      </c>
      <c r="I17862">
        <v>20354</v>
      </c>
      <c r="J17862" t="str">
        <f>VLOOKUP(E17862,DSSpieler!A:B,2,FALSE)</f>
        <v>Yzerman19</v>
      </c>
    </row>
    <row r="17863" spans="1:10" x14ac:dyDescent="0.25">
      <c r="A17863">
        <v>20355</v>
      </c>
      <c r="B17863" t="s">
        <v>4186</v>
      </c>
      <c r="C17863">
        <v>513</v>
      </c>
      <c r="D17863">
        <v>415</v>
      </c>
      <c r="E17863">
        <v>9949815</v>
      </c>
      <c r="F17863">
        <v>558</v>
      </c>
      <c r="G17863">
        <v>0</v>
      </c>
      <c r="H17863" t="s">
        <v>22700</v>
      </c>
      <c r="I17863">
        <v>20355</v>
      </c>
      <c r="J17863" t="str">
        <f>VLOOKUP(E17863,DSSpieler!A:B,2,FALSE)</f>
        <v>reinils</v>
      </c>
    </row>
    <row r="17864" spans="1:10" x14ac:dyDescent="0.25">
      <c r="A17864">
        <v>20356</v>
      </c>
      <c r="B17864" t="s">
        <v>4187</v>
      </c>
      <c r="C17864">
        <v>371</v>
      </c>
      <c r="D17864">
        <v>541</v>
      </c>
      <c r="E17864">
        <v>8083594</v>
      </c>
      <c r="F17864">
        <v>74</v>
      </c>
      <c r="G17864">
        <v>0</v>
      </c>
      <c r="H17864" t="s">
        <v>22701</v>
      </c>
      <c r="I17864">
        <v>20356</v>
      </c>
      <c r="J17864" t="str">
        <f>VLOOKUP(E17864,DSSpieler!A:B,2,FALSE)</f>
        <v>DirtyS</v>
      </c>
    </row>
    <row r="17865" spans="1:10" x14ac:dyDescent="0.25">
      <c r="A17865">
        <v>20357</v>
      </c>
      <c r="B17865" t="s">
        <v>2606</v>
      </c>
      <c r="C17865">
        <v>366</v>
      </c>
      <c r="D17865">
        <v>528</v>
      </c>
      <c r="E17865">
        <v>9394926</v>
      </c>
      <c r="F17865">
        <v>483</v>
      </c>
      <c r="G17865">
        <v>0</v>
      </c>
      <c r="H17865" t="s">
        <v>22702</v>
      </c>
      <c r="I17865">
        <v>20357</v>
      </c>
      <c r="J17865" t="str">
        <f>VLOOKUP(E17865,DSSpieler!A:B,2,FALSE)</f>
        <v>Ronald 12</v>
      </c>
    </row>
    <row r="17866" spans="1:10" x14ac:dyDescent="0.25">
      <c r="A17866">
        <v>20358</v>
      </c>
      <c r="B17866" t="s">
        <v>4188</v>
      </c>
      <c r="C17866">
        <v>501</v>
      </c>
      <c r="D17866">
        <v>595</v>
      </c>
      <c r="E17866">
        <v>1576962528</v>
      </c>
      <c r="F17866">
        <v>174</v>
      </c>
      <c r="G17866">
        <v>0</v>
      </c>
      <c r="H17866" t="s">
        <v>22703</v>
      </c>
      <c r="I17866">
        <v>20358</v>
      </c>
      <c r="J17866" t="str">
        <f>VLOOKUP(E17866,DSSpieler!A:B,2,FALSE)</f>
        <v>.Marcellus</v>
      </c>
    </row>
    <row r="17867" spans="1:10" x14ac:dyDescent="0.25">
      <c r="A17867">
        <v>20359</v>
      </c>
      <c r="B17867" t="s">
        <v>4189</v>
      </c>
      <c r="C17867">
        <v>500</v>
      </c>
      <c r="D17867">
        <v>632</v>
      </c>
      <c r="E17867">
        <v>1576675354</v>
      </c>
      <c r="F17867">
        <v>162</v>
      </c>
      <c r="G17867">
        <v>0</v>
      </c>
      <c r="H17867" t="s">
        <v>22704</v>
      </c>
      <c r="I17867">
        <v>20359</v>
      </c>
      <c r="J17867" t="str">
        <f>VLOOKUP(E17867,DSSpieler!A:B,2,FALSE)</f>
        <v>oSIEGFRIEDo</v>
      </c>
    </row>
    <row r="17868" spans="1:10" x14ac:dyDescent="0.25">
      <c r="A17868">
        <v>20361</v>
      </c>
      <c r="B17868" t="s">
        <v>531</v>
      </c>
      <c r="C17868">
        <v>520</v>
      </c>
      <c r="D17868">
        <v>633</v>
      </c>
      <c r="E17868">
        <v>0</v>
      </c>
      <c r="F17868">
        <v>65</v>
      </c>
      <c r="G17868">
        <v>0</v>
      </c>
      <c r="H17868" t="s">
        <v>22705</v>
      </c>
      <c r="I17868">
        <v>20361</v>
      </c>
      <c r="J17868" t="e">
        <f>VLOOKUP(E17868,DSSpieler!A:B,2,FALSE)</f>
        <v>#N/A</v>
      </c>
    </row>
    <row r="17869" spans="1:10" x14ac:dyDescent="0.25">
      <c r="A17869">
        <v>20362</v>
      </c>
      <c r="B17869" t="s">
        <v>4190</v>
      </c>
      <c r="C17869">
        <v>535</v>
      </c>
      <c r="D17869">
        <v>633</v>
      </c>
      <c r="E17869">
        <v>1576934444</v>
      </c>
      <c r="F17869">
        <v>26</v>
      </c>
      <c r="G17869">
        <v>0</v>
      </c>
      <c r="H17869" t="s">
        <v>22706</v>
      </c>
      <c r="I17869">
        <v>20362</v>
      </c>
      <c r="J17869" t="str">
        <f>VLOOKUP(E17869,DSSpieler!A:B,2,FALSE)</f>
        <v>LamboFag</v>
      </c>
    </row>
    <row r="17870" spans="1:10" x14ac:dyDescent="0.25">
      <c r="A17870">
        <v>20363</v>
      </c>
      <c r="B17870" t="s">
        <v>4191</v>
      </c>
      <c r="C17870">
        <v>367</v>
      </c>
      <c r="D17870">
        <v>500</v>
      </c>
      <c r="E17870">
        <v>1577197159</v>
      </c>
      <c r="F17870">
        <v>502</v>
      </c>
      <c r="G17870">
        <v>0</v>
      </c>
      <c r="H17870" t="s">
        <v>22707</v>
      </c>
      <c r="I17870">
        <v>20363</v>
      </c>
      <c r="J17870" t="str">
        <f>VLOOKUP(E17870,DSSpieler!A:B,2,FALSE)</f>
        <v>madox</v>
      </c>
    </row>
    <row r="17871" spans="1:10" x14ac:dyDescent="0.25">
      <c r="A17871">
        <v>20364</v>
      </c>
      <c r="B17871" t="s">
        <v>4192</v>
      </c>
      <c r="C17871">
        <v>405</v>
      </c>
      <c r="D17871">
        <v>571</v>
      </c>
      <c r="E17871">
        <v>1577187441</v>
      </c>
      <c r="F17871">
        <v>131</v>
      </c>
      <c r="G17871">
        <v>0</v>
      </c>
      <c r="H17871" t="s">
        <v>22708</v>
      </c>
      <c r="I17871">
        <v>20364</v>
      </c>
      <c r="J17871" t="str">
        <f>VLOOKUP(E17871,DSSpieler!A:B,2,FALSE)</f>
        <v>Rydu</v>
      </c>
    </row>
    <row r="17872" spans="1:10" x14ac:dyDescent="0.25">
      <c r="A17872">
        <v>20365</v>
      </c>
      <c r="B17872" t="s">
        <v>4193</v>
      </c>
      <c r="C17872">
        <v>597</v>
      </c>
      <c r="D17872">
        <v>592</v>
      </c>
      <c r="E17872">
        <v>2191043</v>
      </c>
      <c r="F17872">
        <v>329</v>
      </c>
      <c r="G17872">
        <v>0</v>
      </c>
      <c r="H17872" t="s">
        <v>22709</v>
      </c>
      <c r="I17872">
        <v>20365</v>
      </c>
      <c r="J17872" t="str">
        <f>VLOOKUP(E17872,DSSpieler!A:B,2,FALSE)</f>
        <v>Saphira vom Mars</v>
      </c>
    </row>
    <row r="17873" spans="1:10" x14ac:dyDescent="0.25">
      <c r="A17873">
        <v>20366</v>
      </c>
      <c r="B17873" t="s">
        <v>4194</v>
      </c>
      <c r="C17873">
        <v>506</v>
      </c>
      <c r="D17873">
        <v>466</v>
      </c>
      <c r="E17873">
        <v>3259870</v>
      </c>
      <c r="F17873">
        <v>591</v>
      </c>
      <c r="G17873">
        <v>0</v>
      </c>
      <c r="H17873" t="s">
        <v>22710</v>
      </c>
      <c r="I17873">
        <v>20366</v>
      </c>
      <c r="J17873" t="str">
        <f>VLOOKUP(E17873,DSSpieler!A:B,2,FALSE)</f>
        <v>templer 1118</v>
      </c>
    </row>
    <row r="17874" spans="1:10" x14ac:dyDescent="0.25">
      <c r="A17874">
        <v>20367</v>
      </c>
      <c r="B17874" t="s">
        <v>4195</v>
      </c>
      <c r="C17874">
        <v>366</v>
      </c>
      <c r="D17874">
        <v>478</v>
      </c>
      <c r="E17874">
        <v>10187533</v>
      </c>
      <c r="F17874">
        <v>226</v>
      </c>
      <c r="G17874">
        <v>0</v>
      </c>
      <c r="H17874" t="s">
        <v>22711</v>
      </c>
      <c r="I17874">
        <v>20367</v>
      </c>
      <c r="J17874" t="str">
        <f>VLOOKUP(E17874,DSSpieler!A:B,2,FALSE)</f>
        <v>NoBorders21</v>
      </c>
    </row>
    <row r="17875" spans="1:10" x14ac:dyDescent="0.25">
      <c r="A17875">
        <v>20368</v>
      </c>
      <c r="B17875" t="s">
        <v>4196</v>
      </c>
      <c r="C17875">
        <v>617</v>
      </c>
      <c r="D17875">
        <v>440</v>
      </c>
      <c r="E17875">
        <v>1575888028</v>
      </c>
      <c r="F17875">
        <v>100</v>
      </c>
      <c r="G17875">
        <v>0</v>
      </c>
      <c r="H17875" t="s">
        <v>22712</v>
      </c>
      <c r="I17875">
        <v>20368</v>
      </c>
      <c r="J17875" t="str">
        <f>VLOOKUP(E17875,DSSpieler!A:B,2,FALSE)</f>
        <v>chrisler.clk</v>
      </c>
    </row>
    <row r="17876" spans="1:10" x14ac:dyDescent="0.25">
      <c r="A17876">
        <v>20370</v>
      </c>
      <c r="B17876" t="s">
        <v>4197</v>
      </c>
      <c r="C17876">
        <v>478</v>
      </c>
      <c r="D17876">
        <v>635</v>
      </c>
      <c r="E17876">
        <v>1577071913</v>
      </c>
      <c r="F17876">
        <v>71</v>
      </c>
      <c r="G17876">
        <v>0</v>
      </c>
      <c r="H17876" t="s">
        <v>22713</v>
      </c>
      <c r="I17876">
        <v>20370</v>
      </c>
      <c r="J17876" t="str">
        <f>VLOOKUP(E17876,DSSpieler!A:B,2,FALSE)</f>
        <v>Stefan16051</v>
      </c>
    </row>
    <row r="17877" spans="1:10" x14ac:dyDescent="0.25">
      <c r="A17877">
        <v>20372</v>
      </c>
      <c r="B17877" s="111">
        <v>230000.01</v>
      </c>
      <c r="C17877">
        <v>439</v>
      </c>
      <c r="D17877">
        <v>377</v>
      </c>
      <c r="E17877">
        <v>1635254</v>
      </c>
      <c r="F17877">
        <v>162</v>
      </c>
      <c r="G17877">
        <v>0</v>
      </c>
      <c r="H17877" t="s">
        <v>22714</v>
      </c>
      <c r="I17877">
        <v>20372</v>
      </c>
      <c r="J17877" t="str">
        <f>VLOOKUP(E17877,DSSpieler!A:B,2,FALSE)</f>
        <v>flynelka</v>
      </c>
    </row>
    <row r="17878" spans="1:10" x14ac:dyDescent="0.25">
      <c r="A17878">
        <v>20373</v>
      </c>
      <c r="B17878" t="s">
        <v>4198</v>
      </c>
      <c r="C17878">
        <v>395</v>
      </c>
      <c r="D17878">
        <v>494</v>
      </c>
      <c r="E17878">
        <v>1577196335</v>
      </c>
      <c r="F17878">
        <v>26</v>
      </c>
      <c r="G17878">
        <v>0</v>
      </c>
      <c r="H17878" t="s">
        <v>22715</v>
      </c>
      <c r="I17878">
        <v>20373</v>
      </c>
      <c r="J17878" t="str">
        <f>VLOOKUP(E17878,DSSpieler!A:B,2,FALSE)</f>
        <v>Saschamw</v>
      </c>
    </row>
    <row r="17879" spans="1:10" x14ac:dyDescent="0.25">
      <c r="A17879">
        <v>20374</v>
      </c>
      <c r="B17879" t="s">
        <v>4199</v>
      </c>
      <c r="C17879">
        <v>399</v>
      </c>
      <c r="D17879">
        <v>413</v>
      </c>
      <c r="E17879">
        <v>8463227</v>
      </c>
      <c r="F17879">
        <v>145</v>
      </c>
      <c r="G17879">
        <v>0</v>
      </c>
      <c r="H17879" t="s">
        <v>22716</v>
      </c>
      <c r="I17879">
        <v>20374</v>
      </c>
      <c r="J17879" t="str">
        <f>VLOOKUP(E17879,DSSpieler!A:B,2,FALSE)</f>
        <v>PuiPui66</v>
      </c>
    </row>
    <row r="17880" spans="1:10" x14ac:dyDescent="0.25">
      <c r="A17880">
        <v>20375</v>
      </c>
      <c r="B17880" t="s">
        <v>4200</v>
      </c>
      <c r="C17880">
        <v>394</v>
      </c>
      <c r="D17880">
        <v>419</v>
      </c>
      <c r="E17880">
        <v>1577057161</v>
      </c>
      <c r="F17880">
        <v>479</v>
      </c>
      <c r="G17880">
        <v>0</v>
      </c>
      <c r="H17880" t="s">
        <v>22717</v>
      </c>
      <c r="I17880">
        <v>20375</v>
      </c>
      <c r="J17880" t="str">
        <f>VLOOKUP(E17880,DSSpieler!A:B,2,FALSE)</f>
        <v>Taneo</v>
      </c>
    </row>
    <row r="17881" spans="1:10" x14ac:dyDescent="0.25">
      <c r="A17881">
        <v>20376</v>
      </c>
      <c r="B17881" t="s">
        <v>4201</v>
      </c>
      <c r="C17881">
        <v>489</v>
      </c>
      <c r="D17881">
        <v>632</v>
      </c>
      <c r="E17881">
        <v>8145902</v>
      </c>
      <c r="F17881">
        <v>47</v>
      </c>
      <c r="G17881">
        <v>0</v>
      </c>
      <c r="H17881" t="s">
        <v>22718</v>
      </c>
      <c r="I17881">
        <v>20376</v>
      </c>
      <c r="J17881" t="str">
        <f>VLOOKUP(E17881,DSSpieler!A:B,2,FALSE)</f>
        <v>Sgl1</v>
      </c>
    </row>
    <row r="17882" spans="1:10" x14ac:dyDescent="0.25">
      <c r="A17882">
        <v>20377</v>
      </c>
      <c r="B17882" t="s">
        <v>4202</v>
      </c>
      <c r="C17882">
        <v>607</v>
      </c>
      <c r="D17882">
        <v>496</v>
      </c>
      <c r="E17882">
        <v>1577192746</v>
      </c>
      <c r="F17882">
        <v>26</v>
      </c>
      <c r="G17882">
        <v>0</v>
      </c>
      <c r="H17882" t="s">
        <v>22719</v>
      </c>
      <c r="I17882">
        <v>20377</v>
      </c>
      <c r="J17882" t="str">
        <f>VLOOKUP(E17882,DSSpieler!A:B,2,FALSE)</f>
        <v>Ayanokoji</v>
      </c>
    </row>
    <row r="17883" spans="1:10" x14ac:dyDescent="0.25">
      <c r="A17883">
        <v>20378</v>
      </c>
      <c r="B17883" t="s">
        <v>4203</v>
      </c>
      <c r="C17883">
        <v>446</v>
      </c>
      <c r="D17883">
        <v>425</v>
      </c>
      <c r="E17883">
        <v>1576654683</v>
      </c>
      <c r="F17883">
        <v>178</v>
      </c>
      <c r="G17883">
        <v>0</v>
      </c>
      <c r="H17883" t="s">
        <v>22720</v>
      </c>
      <c r="I17883">
        <v>20378</v>
      </c>
      <c r="J17883" t="str">
        <f>VLOOKUP(E17883,DSSpieler!A:B,2,FALSE)</f>
        <v>Munchel</v>
      </c>
    </row>
    <row r="17884" spans="1:10" x14ac:dyDescent="0.25">
      <c r="A17884">
        <v>20379</v>
      </c>
      <c r="B17884" t="s">
        <v>4204</v>
      </c>
      <c r="C17884">
        <v>363</v>
      </c>
      <c r="D17884">
        <v>503</v>
      </c>
      <c r="E17884">
        <v>1577180670</v>
      </c>
      <c r="F17884">
        <v>26</v>
      </c>
      <c r="G17884">
        <v>0</v>
      </c>
      <c r="H17884" t="s">
        <v>22721</v>
      </c>
      <c r="I17884">
        <v>20379</v>
      </c>
      <c r="J17884" t="str">
        <f>VLOOKUP(E17884,DSSpieler!A:B,2,FALSE)</f>
        <v>LordBendtner90</v>
      </c>
    </row>
    <row r="17885" spans="1:10" x14ac:dyDescent="0.25">
      <c r="A17885">
        <v>20380</v>
      </c>
      <c r="B17885">
        <v>1</v>
      </c>
      <c r="C17885">
        <v>457</v>
      </c>
      <c r="D17885">
        <v>375</v>
      </c>
      <c r="E17885">
        <v>3126954</v>
      </c>
      <c r="F17885">
        <v>407</v>
      </c>
      <c r="G17885">
        <v>0</v>
      </c>
      <c r="H17885" t="s">
        <v>22722</v>
      </c>
      <c r="I17885">
        <v>20380</v>
      </c>
      <c r="J17885" t="str">
        <f>VLOOKUP(E17885,DSSpieler!A:B,2,FALSE)</f>
        <v>.Lord.</v>
      </c>
    </row>
    <row r="17886" spans="1:10" x14ac:dyDescent="0.25">
      <c r="A17886">
        <v>20381</v>
      </c>
      <c r="B17886" t="s">
        <v>4205</v>
      </c>
      <c r="C17886">
        <v>431</v>
      </c>
      <c r="D17886">
        <v>617</v>
      </c>
      <c r="E17886">
        <v>1577208472</v>
      </c>
      <c r="F17886">
        <v>156</v>
      </c>
      <c r="G17886">
        <v>0</v>
      </c>
      <c r="H17886" t="s">
        <v>22723</v>
      </c>
      <c r="I17886">
        <v>20381</v>
      </c>
      <c r="J17886" t="str">
        <f>VLOOKUP(E17886,DSSpieler!A:B,2,FALSE)</f>
        <v>Bluthilde</v>
      </c>
    </row>
    <row r="17887" spans="1:10" x14ac:dyDescent="0.25">
      <c r="A17887">
        <v>20382</v>
      </c>
      <c r="B17887">
        <v>1</v>
      </c>
      <c r="C17887">
        <v>507</v>
      </c>
      <c r="D17887">
        <v>383</v>
      </c>
      <c r="E17887">
        <v>1577200081</v>
      </c>
      <c r="F17887">
        <v>351</v>
      </c>
      <c r="G17887">
        <v>0</v>
      </c>
      <c r="H17887" t="s">
        <v>22724</v>
      </c>
      <c r="I17887">
        <v>20382</v>
      </c>
      <c r="J17887" t="str">
        <f>VLOOKUP(E17887,DSSpieler!A:B,2,FALSE)</f>
        <v>Odini1972</v>
      </c>
    </row>
    <row r="17888" spans="1:10" x14ac:dyDescent="0.25">
      <c r="A17888">
        <v>20383</v>
      </c>
      <c r="B17888" t="s">
        <v>4206</v>
      </c>
      <c r="C17888">
        <v>419</v>
      </c>
      <c r="D17888">
        <v>392</v>
      </c>
      <c r="E17888">
        <v>1576749449</v>
      </c>
      <c r="F17888">
        <v>26</v>
      </c>
      <c r="G17888">
        <v>0</v>
      </c>
      <c r="H17888" t="s">
        <v>22725</v>
      </c>
      <c r="I17888">
        <v>20383</v>
      </c>
      <c r="J17888" t="str">
        <f>VLOOKUP(E17888,DSSpieler!A:B,2,FALSE)</f>
        <v>nestea32</v>
      </c>
    </row>
    <row r="17889" spans="1:10" x14ac:dyDescent="0.25">
      <c r="A17889">
        <v>20384</v>
      </c>
      <c r="B17889" t="s">
        <v>4207</v>
      </c>
      <c r="C17889">
        <v>389</v>
      </c>
      <c r="D17889">
        <v>573</v>
      </c>
      <c r="E17889">
        <v>1577011683</v>
      </c>
      <c r="F17889">
        <v>26</v>
      </c>
      <c r="G17889">
        <v>0</v>
      </c>
      <c r="H17889" t="s">
        <v>22726</v>
      </c>
      <c r="I17889">
        <v>20384</v>
      </c>
      <c r="J17889" t="str">
        <f>VLOOKUP(E17889,DSSpieler!A:B,2,FALSE)</f>
        <v>Cyclonlulz</v>
      </c>
    </row>
    <row r="17890" spans="1:10" x14ac:dyDescent="0.25">
      <c r="A17890">
        <v>20385</v>
      </c>
      <c r="B17890" t="s">
        <v>4208</v>
      </c>
      <c r="C17890">
        <v>569</v>
      </c>
      <c r="D17890">
        <v>612</v>
      </c>
      <c r="E17890">
        <v>1576581259</v>
      </c>
      <c r="F17890">
        <v>71</v>
      </c>
      <c r="G17890">
        <v>0</v>
      </c>
      <c r="H17890" t="s">
        <v>22727</v>
      </c>
      <c r="I17890">
        <v>20385</v>
      </c>
      <c r="J17890" t="str">
        <f>VLOOKUP(E17890,DSSpieler!A:B,2,FALSE)</f>
        <v>Fatooo</v>
      </c>
    </row>
    <row r="17891" spans="1:10" x14ac:dyDescent="0.25">
      <c r="A17891">
        <v>20386</v>
      </c>
      <c r="B17891" t="s">
        <v>531</v>
      </c>
      <c r="C17891">
        <v>605</v>
      </c>
      <c r="D17891">
        <v>416</v>
      </c>
      <c r="E17891">
        <v>0</v>
      </c>
      <c r="F17891">
        <v>57</v>
      </c>
      <c r="G17891">
        <v>0</v>
      </c>
      <c r="H17891" t="s">
        <v>22728</v>
      </c>
      <c r="I17891">
        <v>20386</v>
      </c>
      <c r="J17891" t="e">
        <f>VLOOKUP(E17891,DSSpieler!A:B,2,FALSE)</f>
        <v>#N/A</v>
      </c>
    </row>
    <row r="17892" spans="1:10" x14ac:dyDescent="0.25">
      <c r="A17892">
        <v>20387</v>
      </c>
      <c r="B17892" t="s">
        <v>4209</v>
      </c>
      <c r="C17892">
        <v>563</v>
      </c>
      <c r="D17892">
        <v>381</v>
      </c>
      <c r="E17892">
        <v>1577184597</v>
      </c>
      <c r="F17892">
        <v>26</v>
      </c>
      <c r="G17892">
        <v>0</v>
      </c>
      <c r="H17892" t="s">
        <v>22729</v>
      </c>
      <c r="I17892">
        <v>20387</v>
      </c>
      <c r="J17892" t="str">
        <f>VLOOKUP(E17892,DSSpieler!A:B,2,FALSE)</f>
        <v>MrLeitz</v>
      </c>
    </row>
    <row r="17893" spans="1:10" x14ac:dyDescent="0.25">
      <c r="A17893">
        <v>20389</v>
      </c>
      <c r="B17893" t="s">
        <v>531</v>
      </c>
      <c r="C17893">
        <v>626</v>
      </c>
      <c r="D17893">
        <v>459</v>
      </c>
      <c r="E17893">
        <v>0</v>
      </c>
      <c r="F17893">
        <v>47</v>
      </c>
      <c r="G17893">
        <v>0</v>
      </c>
      <c r="H17893" t="s">
        <v>22730</v>
      </c>
      <c r="I17893">
        <v>20389</v>
      </c>
      <c r="J17893" t="e">
        <f>VLOOKUP(E17893,DSSpieler!A:B,2,FALSE)</f>
        <v>#N/A</v>
      </c>
    </row>
    <row r="17894" spans="1:10" x14ac:dyDescent="0.25">
      <c r="A17894">
        <v>20390</v>
      </c>
      <c r="B17894" t="s">
        <v>4210</v>
      </c>
      <c r="C17894">
        <v>486</v>
      </c>
      <c r="D17894">
        <v>455</v>
      </c>
      <c r="E17894">
        <v>9134245</v>
      </c>
      <c r="F17894">
        <v>475</v>
      </c>
      <c r="G17894">
        <v>0</v>
      </c>
      <c r="H17894" t="s">
        <v>22731</v>
      </c>
      <c r="I17894">
        <v>20390</v>
      </c>
      <c r="J17894" t="str">
        <f>VLOOKUP(E17894,DSSpieler!A:B,2,FALSE)</f>
        <v>ABmen83</v>
      </c>
    </row>
    <row r="17895" spans="1:10" x14ac:dyDescent="0.25">
      <c r="A17895">
        <v>20391</v>
      </c>
      <c r="B17895" t="s">
        <v>4211</v>
      </c>
      <c r="C17895">
        <v>616</v>
      </c>
      <c r="D17895">
        <v>429</v>
      </c>
      <c r="E17895">
        <v>1577204050</v>
      </c>
      <c r="F17895">
        <v>26</v>
      </c>
      <c r="G17895">
        <v>0</v>
      </c>
      <c r="H17895" t="s">
        <v>22732</v>
      </c>
      <c r="I17895">
        <v>20391</v>
      </c>
      <c r="J17895" t="str">
        <f>VLOOKUP(E17895,DSSpieler!A:B,2,FALSE)</f>
        <v>Dr.Med.Rasen00</v>
      </c>
    </row>
    <row r="17896" spans="1:10" x14ac:dyDescent="0.25">
      <c r="A17896">
        <v>20392</v>
      </c>
      <c r="B17896" t="s">
        <v>531</v>
      </c>
      <c r="C17896">
        <v>393</v>
      </c>
      <c r="D17896">
        <v>581</v>
      </c>
      <c r="E17896">
        <v>0</v>
      </c>
      <c r="F17896">
        <v>93</v>
      </c>
      <c r="G17896">
        <v>0</v>
      </c>
      <c r="H17896" t="s">
        <v>22733</v>
      </c>
      <c r="I17896">
        <v>20392</v>
      </c>
      <c r="J17896" t="e">
        <f>VLOOKUP(E17896,DSSpieler!A:B,2,FALSE)</f>
        <v>#N/A</v>
      </c>
    </row>
    <row r="17897" spans="1:10" x14ac:dyDescent="0.25">
      <c r="A17897">
        <v>20394</v>
      </c>
      <c r="B17897" t="s">
        <v>4212</v>
      </c>
      <c r="C17897">
        <v>563</v>
      </c>
      <c r="D17897">
        <v>619</v>
      </c>
      <c r="E17897">
        <v>1577208483</v>
      </c>
      <c r="F17897">
        <v>26</v>
      </c>
      <c r="G17897">
        <v>0</v>
      </c>
      <c r="H17897" t="s">
        <v>22734</v>
      </c>
      <c r="I17897">
        <v>20394</v>
      </c>
      <c r="J17897" t="str">
        <f>VLOOKUP(E17897,DSSpieler!A:B,2,FALSE)</f>
        <v>Jugularis</v>
      </c>
    </row>
    <row r="17898" spans="1:10" x14ac:dyDescent="0.25">
      <c r="A17898">
        <v>20396</v>
      </c>
      <c r="B17898" t="s">
        <v>4213</v>
      </c>
      <c r="C17898">
        <v>377</v>
      </c>
      <c r="D17898">
        <v>448</v>
      </c>
      <c r="E17898">
        <v>1576521858</v>
      </c>
      <c r="F17898">
        <v>633</v>
      </c>
      <c r="G17898">
        <v>0</v>
      </c>
      <c r="H17898" t="s">
        <v>22735</v>
      </c>
      <c r="I17898">
        <v>20396</v>
      </c>
      <c r="J17898" t="str">
        <f>VLOOKUP(E17898,DSSpieler!A:B,2,FALSE)</f>
        <v>Spielführer</v>
      </c>
    </row>
    <row r="17899" spans="1:10" x14ac:dyDescent="0.25">
      <c r="A17899">
        <v>20397</v>
      </c>
      <c r="B17899" t="s">
        <v>4214</v>
      </c>
      <c r="C17899">
        <v>584</v>
      </c>
      <c r="D17899">
        <v>391</v>
      </c>
      <c r="E17899">
        <v>1577208486</v>
      </c>
      <c r="F17899">
        <v>274</v>
      </c>
      <c r="G17899">
        <v>0</v>
      </c>
      <c r="H17899" t="s">
        <v>22736</v>
      </c>
      <c r="I17899">
        <v>20397</v>
      </c>
      <c r="J17899" t="str">
        <f>VLOOKUP(E17899,DSSpieler!A:B,2,FALSE)</f>
        <v>Bolgur</v>
      </c>
    </row>
    <row r="17900" spans="1:10" x14ac:dyDescent="0.25">
      <c r="A17900">
        <v>20398</v>
      </c>
      <c r="B17900" t="s">
        <v>4215</v>
      </c>
      <c r="C17900">
        <v>633</v>
      </c>
      <c r="D17900">
        <v>485</v>
      </c>
      <c r="E17900">
        <v>1577204670</v>
      </c>
      <c r="F17900">
        <v>454</v>
      </c>
      <c r="G17900">
        <v>0</v>
      </c>
      <c r="H17900" t="s">
        <v>22737</v>
      </c>
      <c r="I17900">
        <v>20398</v>
      </c>
      <c r="J17900" t="str">
        <f>VLOOKUP(E17900,DSSpieler!A:B,2,FALSE)</f>
        <v>xFireWolfx</v>
      </c>
    </row>
    <row r="17901" spans="1:10" x14ac:dyDescent="0.25">
      <c r="A17901">
        <v>20399</v>
      </c>
      <c r="B17901" t="s">
        <v>4216</v>
      </c>
      <c r="C17901">
        <v>528</v>
      </c>
      <c r="D17901">
        <v>370</v>
      </c>
      <c r="E17901">
        <v>9806003</v>
      </c>
      <c r="F17901">
        <v>26</v>
      </c>
      <c r="G17901">
        <v>0</v>
      </c>
      <c r="H17901" t="s">
        <v>22738</v>
      </c>
      <c r="I17901">
        <v>20399</v>
      </c>
      <c r="J17901" t="str">
        <f>VLOOKUP(E17901,DSSpieler!A:B,2,FALSE)</f>
        <v>Fallen Saturo</v>
      </c>
    </row>
    <row r="17902" spans="1:10" x14ac:dyDescent="0.25">
      <c r="A17902">
        <v>20400</v>
      </c>
      <c r="B17902" t="s">
        <v>531</v>
      </c>
      <c r="C17902">
        <v>373</v>
      </c>
      <c r="D17902">
        <v>544</v>
      </c>
      <c r="E17902">
        <v>0</v>
      </c>
      <c r="F17902">
        <v>67</v>
      </c>
      <c r="G17902">
        <v>0</v>
      </c>
      <c r="H17902" t="s">
        <v>22739</v>
      </c>
      <c r="I17902">
        <v>20400</v>
      </c>
      <c r="J17902" t="e">
        <f>VLOOKUP(E17902,DSSpieler!A:B,2,FALSE)</f>
        <v>#N/A</v>
      </c>
    </row>
    <row r="17903" spans="1:10" x14ac:dyDescent="0.25">
      <c r="A17903">
        <v>20401</v>
      </c>
      <c r="B17903" t="s">
        <v>4217</v>
      </c>
      <c r="C17903">
        <v>369</v>
      </c>
      <c r="D17903">
        <v>460</v>
      </c>
      <c r="E17903">
        <v>2834318</v>
      </c>
      <c r="F17903">
        <v>26</v>
      </c>
      <c r="G17903">
        <v>0</v>
      </c>
      <c r="H17903" t="s">
        <v>22740</v>
      </c>
      <c r="I17903">
        <v>20401</v>
      </c>
      <c r="J17903" t="str">
        <f>VLOOKUP(E17903,DSSpieler!A:B,2,FALSE)</f>
        <v>kill1099</v>
      </c>
    </row>
    <row r="17904" spans="1:10" x14ac:dyDescent="0.25">
      <c r="A17904">
        <v>20402</v>
      </c>
      <c r="B17904" t="s">
        <v>4218</v>
      </c>
      <c r="C17904">
        <v>598</v>
      </c>
      <c r="D17904">
        <v>590</v>
      </c>
      <c r="E17904">
        <v>1576812740</v>
      </c>
      <c r="F17904">
        <v>26</v>
      </c>
      <c r="G17904">
        <v>0</v>
      </c>
      <c r="H17904" t="s">
        <v>22741</v>
      </c>
      <c r="I17904">
        <v>20402</v>
      </c>
      <c r="J17904" t="str">
        <f>VLOOKUP(E17904,DSSpieler!A:B,2,FALSE)</f>
        <v>Ichhabdeindorf</v>
      </c>
    </row>
    <row r="17905" spans="1:10" x14ac:dyDescent="0.25">
      <c r="A17905">
        <v>20403</v>
      </c>
      <c r="B17905" t="s">
        <v>531</v>
      </c>
      <c r="C17905">
        <v>522</v>
      </c>
      <c r="D17905">
        <v>369</v>
      </c>
      <c r="E17905">
        <v>0</v>
      </c>
      <c r="F17905">
        <v>87</v>
      </c>
      <c r="G17905">
        <v>0</v>
      </c>
      <c r="H17905" t="s">
        <v>22742</v>
      </c>
      <c r="I17905">
        <v>20403</v>
      </c>
      <c r="J17905" t="e">
        <f>VLOOKUP(E17905,DSSpieler!A:B,2,FALSE)</f>
        <v>#N/A</v>
      </c>
    </row>
    <row r="17906" spans="1:10" x14ac:dyDescent="0.25">
      <c r="A17906">
        <v>20404</v>
      </c>
      <c r="B17906" t="s">
        <v>4219</v>
      </c>
      <c r="C17906">
        <v>485</v>
      </c>
      <c r="D17906">
        <v>634</v>
      </c>
      <c r="E17906">
        <v>1577208491</v>
      </c>
      <c r="F17906">
        <v>82</v>
      </c>
      <c r="G17906">
        <v>0</v>
      </c>
      <c r="H17906" t="s">
        <v>22743</v>
      </c>
      <c r="I17906">
        <v>20404</v>
      </c>
      <c r="J17906" t="str">
        <f>VLOOKUP(E17906,DSSpieler!A:B,2,FALSE)</f>
        <v>Amprofis</v>
      </c>
    </row>
    <row r="17907" spans="1:10" x14ac:dyDescent="0.25">
      <c r="A17907">
        <v>20405</v>
      </c>
      <c r="B17907" t="s">
        <v>4220</v>
      </c>
      <c r="C17907">
        <v>366</v>
      </c>
      <c r="D17907">
        <v>498</v>
      </c>
      <c r="E17907">
        <v>1577090329</v>
      </c>
      <c r="F17907">
        <v>350</v>
      </c>
      <c r="G17907">
        <v>0</v>
      </c>
      <c r="H17907" t="s">
        <v>22744</v>
      </c>
      <c r="I17907">
        <v>20405</v>
      </c>
      <c r="J17907" t="str">
        <f>VLOOKUP(E17907,DSSpieler!A:B,2,FALSE)</f>
        <v>Linkin Park</v>
      </c>
    </row>
    <row r="17908" spans="1:10" x14ac:dyDescent="0.25">
      <c r="A17908">
        <v>20406</v>
      </c>
      <c r="B17908" t="s">
        <v>35737</v>
      </c>
      <c r="C17908">
        <v>479</v>
      </c>
      <c r="D17908">
        <v>634</v>
      </c>
      <c r="E17908">
        <v>1577149848</v>
      </c>
      <c r="F17908">
        <v>537</v>
      </c>
      <c r="G17908">
        <v>0</v>
      </c>
      <c r="H17908" t="s">
        <v>22745</v>
      </c>
      <c r="I17908">
        <v>20406</v>
      </c>
      <c r="J17908" t="str">
        <f>VLOOKUP(E17908,DSSpieler!A:B,2,FALSE)</f>
        <v>Jetztbistdran</v>
      </c>
    </row>
    <row r="17909" spans="1:10" x14ac:dyDescent="0.25">
      <c r="A17909">
        <v>20408</v>
      </c>
      <c r="B17909" t="s">
        <v>531</v>
      </c>
      <c r="C17909">
        <v>627</v>
      </c>
      <c r="D17909">
        <v>536</v>
      </c>
      <c r="E17909">
        <v>0</v>
      </c>
      <c r="F17909">
        <v>54</v>
      </c>
      <c r="G17909">
        <v>0</v>
      </c>
      <c r="H17909" t="s">
        <v>22746</v>
      </c>
      <c r="I17909">
        <v>20408</v>
      </c>
      <c r="J17909" t="e">
        <f>VLOOKUP(E17909,DSSpieler!A:B,2,FALSE)</f>
        <v>#N/A</v>
      </c>
    </row>
    <row r="17910" spans="1:10" x14ac:dyDescent="0.25">
      <c r="A17910">
        <v>20409</v>
      </c>
      <c r="B17910" t="s">
        <v>4221</v>
      </c>
      <c r="C17910">
        <v>634</v>
      </c>
      <c r="D17910">
        <v>500</v>
      </c>
      <c r="E17910">
        <v>1576626408</v>
      </c>
      <c r="F17910">
        <v>100</v>
      </c>
      <c r="G17910">
        <v>0</v>
      </c>
      <c r="H17910" t="s">
        <v>22747</v>
      </c>
      <c r="I17910">
        <v>20409</v>
      </c>
      <c r="J17910" t="str">
        <f>VLOOKUP(E17910,DSSpieler!A:B,2,FALSE)</f>
        <v>ZiRX</v>
      </c>
    </row>
    <row r="17911" spans="1:10" x14ac:dyDescent="0.25">
      <c r="A17911">
        <v>20410</v>
      </c>
      <c r="B17911" t="s">
        <v>1889</v>
      </c>
      <c r="C17911">
        <v>531</v>
      </c>
      <c r="D17911">
        <v>373</v>
      </c>
      <c r="E17911">
        <v>9391532</v>
      </c>
      <c r="F17911">
        <v>403</v>
      </c>
      <c r="G17911">
        <v>0</v>
      </c>
      <c r="H17911" t="s">
        <v>22748</v>
      </c>
      <c r="I17911">
        <v>20410</v>
      </c>
      <c r="J17911" t="str">
        <f>VLOOKUP(E17911,DSSpieler!A:B,2,FALSE)</f>
        <v>malte 12</v>
      </c>
    </row>
    <row r="17912" spans="1:10" x14ac:dyDescent="0.25">
      <c r="A17912">
        <v>20411</v>
      </c>
      <c r="B17912" t="s">
        <v>4222</v>
      </c>
      <c r="C17912">
        <v>421</v>
      </c>
      <c r="D17912">
        <v>389</v>
      </c>
      <c r="E17912">
        <v>1577203074</v>
      </c>
      <c r="F17912">
        <v>451</v>
      </c>
      <c r="G17912">
        <v>0</v>
      </c>
      <c r="H17912" t="s">
        <v>22749</v>
      </c>
      <c r="I17912">
        <v>20411</v>
      </c>
      <c r="J17912" t="str">
        <f>VLOOKUP(E17912,DSSpieler!A:B,2,FALSE)</f>
        <v>Infern0</v>
      </c>
    </row>
    <row r="17913" spans="1:10" x14ac:dyDescent="0.25">
      <c r="A17913">
        <v>20412</v>
      </c>
      <c r="B17913" t="s">
        <v>1480</v>
      </c>
      <c r="C17913">
        <v>406</v>
      </c>
      <c r="D17913">
        <v>599</v>
      </c>
      <c r="E17913">
        <v>9886578</v>
      </c>
      <c r="F17913">
        <v>50</v>
      </c>
      <c r="G17913">
        <v>0</v>
      </c>
      <c r="H17913" t="s">
        <v>22750</v>
      </c>
      <c r="I17913">
        <v>20412</v>
      </c>
      <c r="J17913" t="str">
        <f>VLOOKUP(E17913,DSSpieler!A:B,2,FALSE)</f>
        <v>willmi</v>
      </c>
    </row>
    <row r="17914" spans="1:10" x14ac:dyDescent="0.25">
      <c r="A17914">
        <v>20413</v>
      </c>
      <c r="B17914" t="s">
        <v>4223</v>
      </c>
      <c r="C17914">
        <v>592</v>
      </c>
      <c r="D17914">
        <v>598</v>
      </c>
      <c r="E17914">
        <v>1577208504</v>
      </c>
      <c r="F17914">
        <v>47</v>
      </c>
      <c r="G17914">
        <v>0</v>
      </c>
      <c r="H17914" t="s">
        <v>22751</v>
      </c>
      <c r="I17914">
        <v>20413</v>
      </c>
      <c r="J17914" t="str">
        <f>VLOOKUP(E17914,DSSpieler!A:B,2,FALSE)</f>
        <v>DerStimpel</v>
      </c>
    </row>
    <row r="17915" spans="1:10" x14ac:dyDescent="0.25">
      <c r="A17915">
        <v>20414</v>
      </c>
      <c r="B17915" t="s">
        <v>4224</v>
      </c>
      <c r="C17915">
        <v>630</v>
      </c>
      <c r="D17915">
        <v>461</v>
      </c>
      <c r="E17915">
        <v>1576896810</v>
      </c>
      <c r="F17915">
        <v>533</v>
      </c>
      <c r="G17915">
        <v>0</v>
      </c>
      <c r="H17915" t="s">
        <v>22752</v>
      </c>
      <c r="I17915">
        <v>20414</v>
      </c>
      <c r="J17915" t="str">
        <f>VLOOKUP(E17915,DSSpieler!A:B,2,FALSE)</f>
        <v>Weltensagt</v>
      </c>
    </row>
    <row r="17916" spans="1:10" x14ac:dyDescent="0.25">
      <c r="A17916">
        <v>20415</v>
      </c>
      <c r="B17916" t="s">
        <v>4225</v>
      </c>
      <c r="C17916">
        <v>619</v>
      </c>
      <c r="D17916">
        <v>556</v>
      </c>
      <c r="E17916">
        <v>1577046735</v>
      </c>
      <c r="F17916">
        <v>26</v>
      </c>
      <c r="G17916">
        <v>0</v>
      </c>
      <c r="H17916" t="s">
        <v>22753</v>
      </c>
      <c r="I17916">
        <v>20415</v>
      </c>
      <c r="J17916" t="str">
        <f>VLOOKUP(E17916,DSSpieler!A:B,2,FALSE)</f>
        <v>Syntax95</v>
      </c>
    </row>
    <row r="17917" spans="1:10" x14ac:dyDescent="0.25">
      <c r="A17917">
        <v>20416</v>
      </c>
      <c r="B17917" t="s">
        <v>4226</v>
      </c>
      <c r="C17917">
        <v>515</v>
      </c>
      <c r="D17917">
        <v>403</v>
      </c>
      <c r="E17917">
        <v>1577189291</v>
      </c>
      <c r="F17917">
        <v>503</v>
      </c>
      <c r="G17917">
        <v>0</v>
      </c>
      <c r="H17917" t="s">
        <v>22754</v>
      </c>
      <c r="I17917">
        <v>20416</v>
      </c>
      <c r="J17917" t="str">
        <f>VLOOKUP(E17917,DSSpieler!A:B,2,FALSE)</f>
        <v>Sleepomax</v>
      </c>
    </row>
    <row r="17918" spans="1:10" x14ac:dyDescent="0.25">
      <c r="A17918">
        <v>20417</v>
      </c>
      <c r="B17918" t="s">
        <v>4227</v>
      </c>
      <c r="C17918">
        <v>398</v>
      </c>
      <c r="D17918">
        <v>409</v>
      </c>
      <c r="E17918">
        <v>1577156435</v>
      </c>
      <c r="F17918">
        <v>26</v>
      </c>
      <c r="G17918">
        <v>0</v>
      </c>
      <c r="H17918" t="s">
        <v>22755</v>
      </c>
      <c r="I17918">
        <v>20417</v>
      </c>
      <c r="J17918" t="str">
        <f>VLOOKUP(E17918,DSSpieler!A:B,2,FALSE)</f>
        <v>Adinon</v>
      </c>
    </row>
    <row r="17919" spans="1:10" x14ac:dyDescent="0.25">
      <c r="A17919">
        <v>20418</v>
      </c>
      <c r="B17919" t="s">
        <v>4228</v>
      </c>
      <c r="C17919">
        <v>627</v>
      </c>
      <c r="D17919">
        <v>452</v>
      </c>
      <c r="E17919">
        <v>1576799238</v>
      </c>
      <c r="F17919">
        <v>455</v>
      </c>
      <c r="G17919">
        <v>0</v>
      </c>
      <c r="H17919" t="s">
        <v>22756</v>
      </c>
      <c r="I17919">
        <v>20418</v>
      </c>
      <c r="J17919" t="str">
        <f>VLOOKUP(E17919,DSSpieler!A:B,2,FALSE)</f>
        <v>Odin101</v>
      </c>
    </row>
    <row r="17920" spans="1:10" x14ac:dyDescent="0.25">
      <c r="A17920">
        <v>20419</v>
      </c>
      <c r="B17920" t="s">
        <v>4229</v>
      </c>
      <c r="C17920">
        <v>366</v>
      </c>
      <c r="D17920">
        <v>521</v>
      </c>
      <c r="E17920">
        <v>1576849067</v>
      </c>
      <c r="F17920">
        <v>459</v>
      </c>
      <c r="G17920">
        <v>0</v>
      </c>
      <c r="H17920" t="s">
        <v>22757</v>
      </c>
      <c r="I17920">
        <v>20419</v>
      </c>
      <c r="J17920" t="str">
        <f>VLOOKUP(E17920,DSSpieler!A:B,2,FALSE)</f>
        <v>veromax</v>
      </c>
    </row>
    <row r="17921" spans="1:10" x14ac:dyDescent="0.25">
      <c r="A17921">
        <v>20420</v>
      </c>
      <c r="B17921" t="s">
        <v>4230</v>
      </c>
      <c r="C17921">
        <v>424</v>
      </c>
      <c r="D17921">
        <v>608</v>
      </c>
      <c r="E17921">
        <v>9849534</v>
      </c>
      <c r="F17921">
        <v>510</v>
      </c>
      <c r="G17921">
        <v>0</v>
      </c>
      <c r="H17921" t="s">
        <v>22758</v>
      </c>
      <c r="I17921">
        <v>20420</v>
      </c>
      <c r="J17921" t="str">
        <f>VLOOKUP(E17921,DSSpieler!A:B,2,FALSE)</f>
        <v>fabio93</v>
      </c>
    </row>
    <row r="17922" spans="1:10" x14ac:dyDescent="0.25">
      <c r="A17922">
        <v>20421</v>
      </c>
      <c r="B17922" t="s">
        <v>4231</v>
      </c>
      <c r="C17922">
        <v>411</v>
      </c>
      <c r="D17922">
        <v>397</v>
      </c>
      <c r="E17922">
        <v>181887</v>
      </c>
      <c r="F17922">
        <v>388</v>
      </c>
      <c r="G17922">
        <v>0</v>
      </c>
      <c r="H17922" t="s">
        <v>22759</v>
      </c>
      <c r="I17922">
        <v>20421</v>
      </c>
      <c r="J17922" t="str">
        <f>VLOOKUP(E17922,DSSpieler!A:B,2,FALSE)</f>
        <v>rednexx</v>
      </c>
    </row>
    <row r="17923" spans="1:10" x14ac:dyDescent="0.25">
      <c r="A17923">
        <v>20424</v>
      </c>
      <c r="B17923" t="s">
        <v>897</v>
      </c>
      <c r="C17923">
        <v>397</v>
      </c>
      <c r="D17923">
        <v>578</v>
      </c>
      <c r="E17923">
        <v>3087179</v>
      </c>
      <c r="F17923">
        <v>381</v>
      </c>
      <c r="G17923">
        <v>0</v>
      </c>
      <c r="H17923" t="s">
        <v>22760</v>
      </c>
      <c r="I17923">
        <v>20424</v>
      </c>
      <c r="J17923" t="str">
        <f>VLOOKUP(E17923,DSSpieler!A:B,2,FALSE)</f>
        <v>Jan Cux</v>
      </c>
    </row>
    <row r="17924" spans="1:10" x14ac:dyDescent="0.25">
      <c r="A17924">
        <v>20425</v>
      </c>
      <c r="B17924" t="s">
        <v>4232</v>
      </c>
      <c r="C17924">
        <v>463</v>
      </c>
      <c r="D17924">
        <v>369</v>
      </c>
      <c r="E17924">
        <v>1577094544</v>
      </c>
      <c r="F17924">
        <v>474</v>
      </c>
      <c r="G17924">
        <v>0</v>
      </c>
      <c r="H17924" t="s">
        <v>22761</v>
      </c>
      <c r="I17924">
        <v>20425</v>
      </c>
      <c r="J17924" t="str">
        <f>VLOOKUP(E17924,DSSpieler!A:B,2,FALSE)</f>
        <v>Reggae Man</v>
      </c>
    </row>
    <row r="17925" spans="1:10" x14ac:dyDescent="0.25">
      <c r="A17925">
        <v>20426</v>
      </c>
      <c r="B17925" t="s">
        <v>531</v>
      </c>
      <c r="C17925">
        <v>388</v>
      </c>
      <c r="D17925">
        <v>570</v>
      </c>
      <c r="E17925">
        <v>0</v>
      </c>
      <c r="F17925">
        <v>47</v>
      </c>
      <c r="G17925">
        <v>0</v>
      </c>
      <c r="H17925" t="s">
        <v>22762</v>
      </c>
      <c r="I17925">
        <v>20426</v>
      </c>
      <c r="J17925" t="e">
        <f>VLOOKUP(E17925,DSSpieler!A:B,2,FALSE)</f>
        <v>#N/A</v>
      </c>
    </row>
    <row r="17926" spans="1:10" x14ac:dyDescent="0.25">
      <c r="A17926">
        <v>20427</v>
      </c>
      <c r="B17926" t="s">
        <v>4233</v>
      </c>
      <c r="C17926">
        <v>445</v>
      </c>
      <c r="D17926">
        <v>377</v>
      </c>
      <c r="E17926">
        <v>1577194150</v>
      </c>
      <c r="F17926">
        <v>246</v>
      </c>
      <c r="G17926">
        <v>0</v>
      </c>
      <c r="H17926" t="s">
        <v>22763</v>
      </c>
      <c r="I17926">
        <v>20427</v>
      </c>
      <c r="J17926" t="str">
        <f>VLOOKUP(E17926,DSSpieler!A:B,2,FALSE)</f>
        <v>barny1955</v>
      </c>
    </row>
    <row r="17927" spans="1:10" x14ac:dyDescent="0.25">
      <c r="A17927">
        <v>20428</v>
      </c>
      <c r="B17927" t="s">
        <v>4234</v>
      </c>
      <c r="C17927">
        <v>594</v>
      </c>
      <c r="D17927">
        <v>514</v>
      </c>
      <c r="E17927">
        <v>8096363</v>
      </c>
      <c r="F17927">
        <v>46</v>
      </c>
      <c r="G17927">
        <v>0</v>
      </c>
      <c r="H17927" t="s">
        <v>22764</v>
      </c>
      <c r="I17927">
        <v>20428</v>
      </c>
      <c r="J17927" t="str">
        <f>VLOOKUP(E17927,DSSpieler!A:B,2,FALSE)</f>
        <v>Steinibach</v>
      </c>
    </row>
    <row r="17928" spans="1:10" x14ac:dyDescent="0.25">
      <c r="A17928">
        <v>20429</v>
      </c>
      <c r="B17928" t="s">
        <v>4235</v>
      </c>
      <c r="C17928">
        <v>594</v>
      </c>
      <c r="D17928">
        <v>478</v>
      </c>
      <c r="E17928">
        <v>1577138262</v>
      </c>
      <c r="F17928">
        <v>26</v>
      </c>
      <c r="G17928">
        <v>0</v>
      </c>
      <c r="H17928" t="s">
        <v>22765</v>
      </c>
      <c r="I17928">
        <v>20429</v>
      </c>
      <c r="J17928" t="str">
        <f>VLOOKUP(E17928,DSSpieler!A:B,2,FALSE)</f>
        <v>B4C1</v>
      </c>
    </row>
    <row r="17929" spans="1:10" x14ac:dyDescent="0.25">
      <c r="A17929">
        <v>20430</v>
      </c>
      <c r="B17929" t="s">
        <v>4236</v>
      </c>
      <c r="C17929">
        <v>566</v>
      </c>
      <c r="D17929">
        <v>386</v>
      </c>
      <c r="E17929">
        <v>10059310</v>
      </c>
      <c r="F17929">
        <v>472</v>
      </c>
      <c r="G17929">
        <v>0</v>
      </c>
      <c r="H17929" t="s">
        <v>22766</v>
      </c>
      <c r="I17929">
        <v>20430</v>
      </c>
      <c r="J17929" t="str">
        <f>VLOOKUP(E17929,DSSpieler!A:B,2,FALSE)</f>
        <v>Kuru</v>
      </c>
    </row>
    <row r="17930" spans="1:10" x14ac:dyDescent="0.25">
      <c r="A17930">
        <v>20431</v>
      </c>
      <c r="B17930" t="s">
        <v>4237</v>
      </c>
      <c r="C17930">
        <v>626</v>
      </c>
      <c r="D17930">
        <v>548</v>
      </c>
      <c r="E17930">
        <v>9448699</v>
      </c>
      <c r="F17930">
        <v>26</v>
      </c>
      <c r="G17930">
        <v>0</v>
      </c>
      <c r="H17930" t="s">
        <v>22767</v>
      </c>
      <c r="I17930">
        <v>20431</v>
      </c>
      <c r="J17930" t="str">
        <f>VLOOKUP(E17930,DSSpieler!A:B,2,FALSE)</f>
        <v>yourdeath29</v>
      </c>
    </row>
    <row r="17931" spans="1:10" x14ac:dyDescent="0.25">
      <c r="A17931">
        <v>20432</v>
      </c>
      <c r="B17931" t="s">
        <v>4238</v>
      </c>
      <c r="C17931">
        <v>394</v>
      </c>
      <c r="D17931">
        <v>420</v>
      </c>
      <c r="E17931">
        <v>1577201006</v>
      </c>
      <c r="F17931">
        <v>26</v>
      </c>
      <c r="G17931">
        <v>0</v>
      </c>
      <c r="H17931" t="s">
        <v>22768</v>
      </c>
      <c r="I17931">
        <v>20432</v>
      </c>
      <c r="J17931" t="str">
        <f>VLOOKUP(E17931,DSSpieler!A:B,2,FALSE)</f>
        <v>Darksky</v>
      </c>
    </row>
    <row r="17932" spans="1:10" x14ac:dyDescent="0.25">
      <c r="A17932">
        <v>20433</v>
      </c>
      <c r="B17932" t="s">
        <v>4239</v>
      </c>
      <c r="C17932">
        <v>592</v>
      </c>
      <c r="D17932">
        <v>401</v>
      </c>
      <c r="E17932">
        <v>1576887052</v>
      </c>
      <c r="F17932">
        <v>319</v>
      </c>
      <c r="G17932">
        <v>0</v>
      </c>
      <c r="H17932" t="s">
        <v>22769</v>
      </c>
      <c r="I17932">
        <v>20433</v>
      </c>
      <c r="J17932" t="str">
        <f>VLOOKUP(E17932,DSSpieler!A:B,2,FALSE)</f>
        <v>Tigarno</v>
      </c>
    </row>
    <row r="17933" spans="1:10" x14ac:dyDescent="0.25">
      <c r="A17933">
        <v>20434</v>
      </c>
      <c r="B17933" t="s">
        <v>4240</v>
      </c>
      <c r="C17933">
        <v>393</v>
      </c>
      <c r="D17933">
        <v>571</v>
      </c>
      <c r="E17933">
        <v>9639955</v>
      </c>
      <c r="F17933">
        <v>484</v>
      </c>
      <c r="G17933">
        <v>0</v>
      </c>
      <c r="H17933" t="s">
        <v>22770</v>
      </c>
      <c r="I17933">
        <v>20434</v>
      </c>
      <c r="J17933" t="str">
        <f>VLOOKUP(E17933,DSSpieler!A:B,2,FALSE)</f>
        <v>DarioDerBoss</v>
      </c>
    </row>
    <row r="17934" spans="1:10" x14ac:dyDescent="0.25">
      <c r="A17934">
        <v>20435</v>
      </c>
      <c r="B17934" t="s">
        <v>4241</v>
      </c>
      <c r="C17934">
        <v>532</v>
      </c>
      <c r="D17934">
        <v>374</v>
      </c>
      <c r="E17934">
        <v>1576782672</v>
      </c>
      <c r="F17934">
        <v>921</v>
      </c>
      <c r="G17934">
        <v>0</v>
      </c>
      <c r="H17934" t="s">
        <v>22771</v>
      </c>
      <c r="I17934">
        <v>20435</v>
      </c>
      <c r="J17934" t="str">
        <f>VLOOKUP(E17934,DSSpieler!A:B,2,FALSE)</f>
        <v>König betixy</v>
      </c>
    </row>
    <row r="17935" spans="1:10" x14ac:dyDescent="0.25">
      <c r="A17935">
        <v>20436</v>
      </c>
      <c r="B17935" t="s">
        <v>35738</v>
      </c>
      <c r="C17935">
        <v>484</v>
      </c>
      <c r="D17935">
        <v>631</v>
      </c>
      <c r="E17935">
        <v>9980594</v>
      </c>
      <c r="F17935">
        <v>534</v>
      </c>
      <c r="G17935">
        <v>0</v>
      </c>
      <c r="H17935" t="s">
        <v>22772</v>
      </c>
      <c r="I17935">
        <v>20436</v>
      </c>
      <c r="J17935" t="str">
        <f>VLOOKUP(E17935,DSSpieler!A:B,2,FALSE)</f>
        <v>Konterbier</v>
      </c>
    </row>
    <row r="17936" spans="1:10" x14ac:dyDescent="0.25">
      <c r="A17936">
        <v>20437</v>
      </c>
      <c r="B17936" t="s">
        <v>4242</v>
      </c>
      <c r="C17936">
        <v>474</v>
      </c>
      <c r="D17936">
        <v>367</v>
      </c>
      <c r="E17936">
        <v>1575882913</v>
      </c>
      <c r="F17936">
        <v>359</v>
      </c>
      <c r="G17936">
        <v>0</v>
      </c>
      <c r="H17936" t="s">
        <v>22773</v>
      </c>
      <c r="I17936">
        <v>20437</v>
      </c>
      <c r="J17936" t="str">
        <f>VLOOKUP(E17936,DSSpieler!A:B,2,FALSE)</f>
        <v>Elementerheld</v>
      </c>
    </row>
    <row r="17937" spans="1:10" x14ac:dyDescent="0.25">
      <c r="A17937">
        <v>20439</v>
      </c>
      <c r="B17937" t="s">
        <v>4243</v>
      </c>
      <c r="C17937">
        <v>515</v>
      </c>
      <c r="D17937">
        <v>396</v>
      </c>
      <c r="E17937">
        <v>1577015589</v>
      </c>
      <c r="F17937">
        <v>466</v>
      </c>
      <c r="G17937">
        <v>0</v>
      </c>
      <c r="H17937" t="s">
        <v>22774</v>
      </c>
      <c r="I17937">
        <v>20439</v>
      </c>
      <c r="J17937" t="str">
        <f>VLOOKUP(E17937,DSSpieler!A:B,2,FALSE)</f>
        <v>aSsieVoX</v>
      </c>
    </row>
    <row r="17938" spans="1:10" x14ac:dyDescent="0.25">
      <c r="A17938">
        <v>20440</v>
      </c>
      <c r="B17938" t="s">
        <v>4244</v>
      </c>
      <c r="C17938">
        <v>505</v>
      </c>
      <c r="D17938">
        <v>365</v>
      </c>
      <c r="E17938">
        <v>1577095626</v>
      </c>
      <c r="F17938">
        <v>26</v>
      </c>
      <c r="G17938">
        <v>0</v>
      </c>
      <c r="H17938" t="s">
        <v>22775</v>
      </c>
      <c r="I17938">
        <v>20440</v>
      </c>
      <c r="J17938" t="str">
        <f>VLOOKUP(E17938,DSSpieler!A:B,2,FALSE)</f>
        <v>arrpol</v>
      </c>
    </row>
    <row r="17939" spans="1:10" x14ac:dyDescent="0.25">
      <c r="A17939">
        <v>20441</v>
      </c>
      <c r="B17939" t="s">
        <v>4245</v>
      </c>
      <c r="C17939">
        <v>466</v>
      </c>
      <c r="D17939">
        <v>369</v>
      </c>
      <c r="E17939">
        <v>1577186117</v>
      </c>
      <c r="F17939">
        <v>31</v>
      </c>
      <c r="G17939">
        <v>0</v>
      </c>
      <c r="H17939" t="s">
        <v>22776</v>
      </c>
      <c r="I17939">
        <v>20441</v>
      </c>
      <c r="J17939" t="str">
        <f>VLOOKUP(E17939,DSSpieler!A:B,2,FALSE)</f>
        <v>bilal20032000</v>
      </c>
    </row>
    <row r="17940" spans="1:10" x14ac:dyDescent="0.25">
      <c r="A17940">
        <v>20442</v>
      </c>
      <c r="B17940" t="s">
        <v>4246</v>
      </c>
      <c r="C17940">
        <v>498</v>
      </c>
      <c r="D17940">
        <v>365</v>
      </c>
      <c r="E17940">
        <v>3153714</v>
      </c>
      <c r="F17940">
        <v>26</v>
      </c>
      <c r="G17940">
        <v>0</v>
      </c>
      <c r="H17940" t="s">
        <v>22777</v>
      </c>
      <c r="I17940">
        <v>20442</v>
      </c>
      <c r="J17940" t="str">
        <f>VLOOKUP(E17940,DSSpieler!A:B,2,FALSE)</f>
        <v>bizebs</v>
      </c>
    </row>
    <row r="17941" spans="1:10" x14ac:dyDescent="0.25">
      <c r="A17941">
        <v>20443</v>
      </c>
      <c r="B17941" t="s">
        <v>4247</v>
      </c>
      <c r="C17941">
        <v>605</v>
      </c>
      <c r="D17941">
        <v>415</v>
      </c>
      <c r="E17941">
        <v>1576995893</v>
      </c>
      <c r="F17941">
        <v>324</v>
      </c>
      <c r="G17941">
        <v>0</v>
      </c>
      <c r="H17941" t="s">
        <v>22778</v>
      </c>
      <c r="I17941">
        <v>20443</v>
      </c>
      <c r="J17941" t="str">
        <f>VLOOKUP(E17941,DSSpieler!A:B,2,FALSE)</f>
        <v>Loki1976</v>
      </c>
    </row>
    <row r="17942" spans="1:10" x14ac:dyDescent="0.25">
      <c r="A17942">
        <v>20444</v>
      </c>
      <c r="B17942" t="s">
        <v>4248</v>
      </c>
      <c r="C17942">
        <v>500</v>
      </c>
      <c r="D17942">
        <v>377</v>
      </c>
      <c r="E17942">
        <v>1577208557</v>
      </c>
      <c r="F17942">
        <v>89</v>
      </c>
      <c r="G17942">
        <v>0</v>
      </c>
      <c r="H17942" t="s">
        <v>22779</v>
      </c>
      <c r="I17942">
        <v>20444</v>
      </c>
      <c r="J17942" t="str">
        <f>VLOOKUP(E17942,DSSpieler!A:B,2,FALSE)</f>
        <v>ZarvonZamunda</v>
      </c>
    </row>
    <row r="17943" spans="1:10" x14ac:dyDescent="0.25">
      <c r="A17943">
        <v>20445</v>
      </c>
      <c r="B17943" t="s">
        <v>35739</v>
      </c>
      <c r="C17943">
        <v>378</v>
      </c>
      <c r="D17943">
        <v>560</v>
      </c>
      <c r="E17943">
        <v>1577208566</v>
      </c>
      <c r="F17943">
        <v>405</v>
      </c>
      <c r="G17943">
        <v>0</v>
      </c>
      <c r="H17943" t="s">
        <v>22780</v>
      </c>
      <c r="I17943">
        <v>20445</v>
      </c>
      <c r="J17943" t="str">
        <f>VLOOKUP(E17943,DSSpieler!A:B,2,FALSE)</f>
        <v>Narnia127</v>
      </c>
    </row>
    <row r="17944" spans="1:10" x14ac:dyDescent="0.25">
      <c r="A17944">
        <v>20446</v>
      </c>
      <c r="B17944" t="s">
        <v>4249</v>
      </c>
      <c r="C17944">
        <v>386</v>
      </c>
      <c r="D17944">
        <v>557</v>
      </c>
      <c r="E17944">
        <v>1577208564</v>
      </c>
      <c r="F17944">
        <v>342</v>
      </c>
      <c r="G17944">
        <v>0</v>
      </c>
      <c r="H17944" t="s">
        <v>22781</v>
      </c>
      <c r="I17944">
        <v>20446</v>
      </c>
      <c r="J17944" t="str">
        <f>VLOOKUP(E17944,DSSpieler!A:B,2,FALSE)</f>
        <v>Gadreel</v>
      </c>
    </row>
    <row r="17945" spans="1:10" x14ac:dyDescent="0.25">
      <c r="A17945">
        <v>20448</v>
      </c>
      <c r="B17945" t="s">
        <v>4250</v>
      </c>
      <c r="C17945">
        <v>537</v>
      </c>
      <c r="D17945">
        <v>582</v>
      </c>
      <c r="E17945">
        <v>1576987972</v>
      </c>
      <c r="F17945">
        <v>416</v>
      </c>
      <c r="G17945">
        <v>0</v>
      </c>
      <c r="H17945" t="s">
        <v>22782</v>
      </c>
      <c r="I17945">
        <v>20448</v>
      </c>
      <c r="J17945" t="str">
        <f>VLOOKUP(E17945,DSSpieler!A:B,2,FALSE)</f>
        <v>Dani-27</v>
      </c>
    </row>
    <row r="17946" spans="1:10" x14ac:dyDescent="0.25">
      <c r="A17946">
        <v>20449</v>
      </c>
      <c r="B17946" t="s">
        <v>4251</v>
      </c>
      <c r="C17946">
        <v>563</v>
      </c>
      <c r="D17946">
        <v>445</v>
      </c>
      <c r="E17946">
        <v>1577202216</v>
      </c>
      <c r="F17946">
        <v>26</v>
      </c>
      <c r="G17946">
        <v>0</v>
      </c>
      <c r="H17946" t="s">
        <v>22783</v>
      </c>
      <c r="I17946">
        <v>20449</v>
      </c>
      <c r="J17946" t="str">
        <f>VLOOKUP(E17946,DSSpieler!A:B,2,FALSE)</f>
        <v>AMHuckZ</v>
      </c>
    </row>
    <row r="17947" spans="1:10" x14ac:dyDescent="0.25">
      <c r="A17947">
        <v>20450</v>
      </c>
      <c r="B17947" t="s">
        <v>35740</v>
      </c>
      <c r="C17947">
        <v>480</v>
      </c>
      <c r="D17947">
        <v>421</v>
      </c>
      <c r="E17947">
        <v>8969018</v>
      </c>
      <c r="F17947">
        <v>26</v>
      </c>
      <c r="G17947">
        <v>0</v>
      </c>
      <c r="H17947" t="s">
        <v>22784</v>
      </c>
      <c r="I17947">
        <v>20450</v>
      </c>
      <c r="J17947" t="str">
        <f>VLOOKUP(E17947,DSSpieler!A:B,2,FALSE)</f>
        <v>*kingjulien*</v>
      </c>
    </row>
    <row r="17948" spans="1:10" x14ac:dyDescent="0.25">
      <c r="A17948">
        <v>20451</v>
      </c>
      <c r="B17948" t="s">
        <v>4252</v>
      </c>
      <c r="C17948">
        <v>592</v>
      </c>
      <c r="D17948">
        <v>406</v>
      </c>
      <c r="E17948">
        <v>1577208574</v>
      </c>
      <c r="F17948">
        <v>275</v>
      </c>
      <c r="G17948">
        <v>0</v>
      </c>
      <c r="H17948" t="s">
        <v>22785</v>
      </c>
      <c r="I17948">
        <v>20451</v>
      </c>
      <c r="J17948" t="str">
        <f>VLOOKUP(E17948,DSSpieler!A:B,2,FALSE)</f>
        <v>joni0018</v>
      </c>
    </row>
    <row r="17949" spans="1:10" x14ac:dyDescent="0.25">
      <c r="A17949">
        <v>20452</v>
      </c>
      <c r="B17949" t="s">
        <v>4253</v>
      </c>
      <c r="C17949">
        <v>608</v>
      </c>
      <c r="D17949">
        <v>422</v>
      </c>
      <c r="E17949">
        <v>1577208576</v>
      </c>
      <c r="F17949">
        <v>26</v>
      </c>
      <c r="G17949">
        <v>0</v>
      </c>
      <c r="H17949" t="s">
        <v>22786</v>
      </c>
      <c r="I17949">
        <v>20452</v>
      </c>
      <c r="J17949" t="str">
        <f>VLOOKUP(E17949,DSSpieler!A:B,2,FALSE)</f>
        <v>tomasu</v>
      </c>
    </row>
    <row r="17950" spans="1:10" x14ac:dyDescent="0.25">
      <c r="A17950">
        <v>20454</v>
      </c>
      <c r="B17950" t="s">
        <v>4254</v>
      </c>
      <c r="C17950">
        <v>602</v>
      </c>
      <c r="D17950">
        <v>413</v>
      </c>
      <c r="E17950">
        <v>1577208577</v>
      </c>
      <c r="F17950">
        <v>26</v>
      </c>
      <c r="G17950">
        <v>0</v>
      </c>
      <c r="H17950" t="s">
        <v>22787</v>
      </c>
      <c r="I17950">
        <v>20454</v>
      </c>
      <c r="J17950" t="str">
        <f>VLOOKUP(E17950,DSSpieler!A:B,2,FALSE)</f>
        <v>tomasuu</v>
      </c>
    </row>
    <row r="17951" spans="1:10" x14ac:dyDescent="0.25">
      <c r="A17951">
        <v>20456</v>
      </c>
      <c r="B17951" t="s">
        <v>4255</v>
      </c>
      <c r="C17951">
        <v>579</v>
      </c>
      <c r="D17951">
        <v>611</v>
      </c>
      <c r="E17951">
        <v>1577152908</v>
      </c>
      <c r="F17951">
        <v>515</v>
      </c>
      <c r="G17951">
        <v>0</v>
      </c>
      <c r="H17951" t="s">
        <v>22788</v>
      </c>
      <c r="I17951">
        <v>20456</v>
      </c>
      <c r="J17951" t="str">
        <f>VLOOKUP(E17951,DSSpieler!A:B,2,FALSE)</f>
        <v>Avkin</v>
      </c>
    </row>
    <row r="17952" spans="1:10" x14ac:dyDescent="0.25">
      <c r="A17952">
        <v>20457</v>
      </c>
      <c r="B17952" t="s">
        <v>1747</v>
      </c>
      <c r="C17952">
        <v>407</v>
      </c>
      <c r="D17952">
        <v>596</v>
      </c>
      <c r="E17952">
        <v>599230</v>
      </c>
      <c r="F17952">
        <v>26</v>
      </c>
      <c r="G17952">
        <v>0</v>
      </c>
      <c r="H17952" t="s">
        <v>22789</v>
      </c>
      <c r="I17952">
        <v>20457</v>
      </c>
      <c r="J17952" t="str">
        <f>VLOOKUP(E17952,DSSpieler!A:B,2,FALSE)</f>
        <v>Queen Quendoline</v>
      </c>
    </row>
    <row r="17953" spans="1:10" x14ac:dyDescent="0.25">
      <c r="A17953">
        <v>20458</v>
      </c>
      <c r="B17953" t="s">
        <v>4256</v>
      </c>
      <c r="C17953">
        <v>468</v>
      </c>
      <c r="D17953">
        <v>605</v>
      </c>
      <c r="E17953">
        <v>8170231</v>
      </c>
      <c r="F17953">
        <v>26</v>
      </c>
      <c r="G17953">
        <v>0</v>
      </c>
      <c r="H17953" t="s">
        <v>22790</v>
      </c>
      <c r="I17953">
        <v>20458</v>
      </c>
      <c r="J17953" t="str">
        <f>VLOOKUP(E17953,DSSpieler!A:B,2,FALSE)</f>
        <v>winerle</v>
      </c>
    </row>
    <row r="17954" spans="1:10" x14ac:dyDescent="0.25">
      <c r="A17954">
        <v>20459</v>
      </c>
      <c r="B17954" t="s">
        <v>4257</v>
      </c>
      <c r="C17954">
        <v>405</v>
      </c>
      <c r="D17954">
        <v>408</v>
      </c>
      <c r="E17954">
        <v>1577208581</v>
      </c>
      <c r="F17954">
        <v>161</v>
      </c>
      <c r="G17954">
        <v>0</v>
      </c>
      <c r="H17954" t="s">
        <v>22791</v>
      </c>
      <c r="I17954">
        <v>20459</v>
      </c>
      <c r="J17954" t="str">
        <f>VLOOKUP(E17954,DSSpieler!A:B,2,FALSE)</f>
        <v>Zorning</v>
      </c>
    </row>
    <row r="17955" spans="1:10" x14ac:dyDescent="0.25">
      <c r="A17955">
        <v>20460</v>
      </c>
      <c r="B17955" t="s">
        <v>531</v>
      </c>
      <c r="C17955">
        <v>450</v>
      </c>
      <c r="D17955">
        <v>372</v>
      </c>
      <c r="E17955">
        <v>0</v>
      </c>
      <c r="F17955">
        <v>60</v>
      </c>
      <c r="G17955">
        <v>0</v>
      </c>
      <c r="H17955" t="s">
        <v>22792</v>
      </c>
      <c r="I17955">
        <v>20460</v>
      </c>
      <c r="J17955" t="e">
        <f>VLOOKUP(E17955,DSSpieler!A:B,2,FALSE)</f>
        <v>#N/A</v>
      </c>
    </row>
    <row r="17956" spans="1:10" x14ac:dyDescent="0.25">
      <c r="A17956">
        <v>20461</v>
      </c>
      <c r="B17956" t="s">
        <v>4258</v>
      </c>
      <c r="C17956">
        <v>555</v>
      </c>
      <c r="D17956">
        <v>376</v>
      </c>
      <c r="E17956">
        <v>1577204407</v>
      </c>
      <c r="F17956">
        <v>82</v>
      </c>
      <c r="G17956">
        <v>0</v>
      </c>
      <c r="H17956" t="s">
        <v>22793</v>
      </c>
      <c r="I17956">
        <v>20461</v>
      </c>
      <c r="J17956" t="str">
        <f>VLOOKUP(E17956,DSSpieler!A:B,2,FALSE)</f>
        <v>Ontimpa</v>
      </c>
    </row>
    <row r="17957" spans="1:10" x14ac:dyDescent="0.25">
      <c r="A17957">
        <v>20462</v>
      </c>
      <c r="B17957" t="s">
        <v>4259</v>
      </c>
      <c r="C17957">
        <v>444</v>
      </c>
      <c r="D17957">
        <v>625</v>
      </c>
      <c r="E17957">
        <v>1576871099</v>
      </c>
      <c r="F17957">
        <v>27</v>
      </c>
      <c r="G17957">
        <v>0</v>
      </c>
      <c r="H17957" t="s">
        <v>22794</v>
      </c>
      <c r="I17957">
        <v>20462</v>
      </c>
      <c r="J17957" t="str">
        <f>VLOOKUP(E17957,DSSpieler!A:B,2,FALSE)</f>
        <v>zlToddi</v>
      </c>
    </row>
    <row r="17958" spans="1:10" x14ac:dyDescent="0.25">
      <c r="A17958">
        <v>20463</v>
      </c>
      <c r="B17958" t="s">
        <v>35741</v>
      </c>
      <c r="C17958">
        <v>413</v>
      </c>
      <c r="D17958">
        <v>393</v>
      </c>
      <c r="E17958">
        <v>1520440</v>
      </c>
      <c r="F17958">
        <v>44</v>
      </c>
      <c r="G17958">
        <v>0</v>
      </c>
      <c r="H17958" t="s">
        <v>22795</v>
      </c>
      <c r="I17958">
        <v>20463</v>
      </c>
      <c r="J17958" t="str">
        <f>VLOOKUP(E17958,DSSpieler!A:B,2,FALSE)</f>
        <v>Römische Kolonie</v>
      </c>
    </row>
    <row r="17959" spans="1:10" x14ac:dyDescent="0.25">
      <c r="A17959">
        <v>20464</v>
      </c>
      <c r="B17959" t="s">
        <v>4260</v>
      </c>
      <c r="C17959">
        <v>481</v>
      </c>
      <c r="D17959">
        <v>364</v>
      </c>
      <c r="E17959">
        <v>9220946</v>
      </c>
      <c r="F17959">
        <v>26</v>
      </c>
      <c r="G17959">
        <v>0</v>
      </c>
      <c r="H17959" t="s">
        <v>22796</v>
      </c>
      <c r="I17959">
        <v>20464</v>
      </c>
      <c r="J17959" t="str">
        <f>VLOOKUP(E17959,DSSpieler!A:B,2,FALSE)</f>
        <v>dominik.zoe</v>
      </c>
    </row>
    <row r="17960" spans="1:10" x14ac:dyDescent="0.25">
      <c r="A17960">
        <v>20465</v>
      </c>
      <c r="B17960" t="s">
        <v>531</v>
      </c>
      <c r="C17960">
        <v>364</v>
      </c>
      <c r="D17960">
        <v>486</v>
      </c>
      <c r="E17960">
        <v>0</v>
      </c>
      <c r="F17960">
        <v>92</v>
      </c>
      <c r="G17960">
        <v>0</v>
      </c>
      <c r="H17960" t="s">
        <v>22797</v>
      </c>
      <c r="I17960">
        <v>20465</v>
      </c>
      <c r="J17960" t="e">
        <f>VLOOKUP(E17960,DSSpieler!A:B,2,FALSE)</f>
        <v>#N/A</v>
      </c>
    </row>
    <row r="17961" spans="1:10" x14ac:dyDescent="0.25">
      <c r="A17961">
        <v>20466</v>
      </c>
      <c r="B17961" t="s">
        <v>4261</v>
      </c>
      <c r="C17961">
        <v>477</v>
      </c>
      <c r="D17961">
        <v>626</v>
      </c>
      <c r="E17961">
        <v>1576496022</v>
      </c>
      <c r="F17961">
        <v>451</v>
      </c>
      <c r="G17961">
        <v>0</v>
      </c>
      <c r="H17961" t="s">
        <v>22798</v>
      </c>
      <c r="I17961">
        <v>20466</v>
      </c>
      <c r="J17961" t="str">
        <f>VLOOKUP(E17961,DSSpieler!A:B,2,FALSE)</f>
        <v>ExVi der Richter</v>
      </c>
    </row>
    <row r="17962" spans="1:10" x14ac:dyDescent="0.25">
      <c r="A17962">
        <v>20467</v>
      </c>
      <c r="B17962" t="s">
        <v>4262</v>
      </c>
      <c r="C17962">
        <v>585</v>
      </c>
      <c r="D17962">
        <v>397</v>
      </c>
      <c r="E17962">
        <v>1576524494</v>
      </c>
      <c r="F17962">
        <v>165</v>
      </c>
      <c r="G17962">
        <v>0</v>
      </c>
      <c r="H17962" t="s">
        <v>22799</v>
      </c>
      <c r="I17962">
        <v>20467</v>
      </c>
      <c r="J17962" t="str">
        <f>VLOOKUP(E17962,DSSpieler!A:B,2,FALSE)</f>
        <v>Kallohoo</v>
      </c>
    </row>
    <row r="17963" spans="1:10" x14ac:dyDescent="0.25">
      <c r="A17963">
        <v>20468</v>
      </c>
      <c r="B17963" t="s">
        <v>4263</v>
      </c>
      <c r="C17963">
        <v>629</v>
      </c>
      <c r="D17963">
        <v>541</v>
      </c>
      <c r="E17963">
        <v>1576848571</v>
      </c>
      <c r="F17963">
        <v>349</v>
      </c>
      <c r="G17963">
        <v>0</v>
      </c>
      <c r="H17963" t="s">
        <v>22800</v>
      </c>
      <c r="I17963">
        <v>20468</v>
      </c>
      <c r="J17963" t="str">
        <f>VLOOKUP(E17963,DSSpieler!A:B,2,FALSE)</f>
        <v>andreas3110</v>
      </c>
    </row>
    <row r="17964" spans="1:10" x14ac:dyDescent="0.25">
      <c r="A17964">
        <v>20469</v>
      </c>
      <c r="B17964" t="s">
        <v>35742</v>
      </c>
      <c r="C17964">
        <v>516</v>
      </c>
      <c r="D17964">
        <v>487</v>
      </c>
      <c r="E17964">
        <v>1576825056</v>
      </c>
      <c r="F17964">
        <v>742</v>
      </c>
      <c r="G17964">
        <v>0</v>
      </c>
      <c r="H17964" t="s">
        <v>22801</v>
      </c>
      <c r="I17964">
        <v>20469</v>
      </c>
      <c r="J17964" t="str">
        <f>VLOOKUP(E17964,DSSpieler!A:B,2,FALSE)</f>
        <v>xLadyLupa</v>
      </c>
    </row>
    <row r="17965" spans="1:10" x14ac:dyDescent="0.25">
      <c r="A17965">
        <v>20470</v>
      </c>
      <c r="B17965" t="s">
        <v>531</v>
      </c>
      <c r="C17965">
        <v>421</v>
      </c>
      <c r="D17965">
        <v>395</v>
      </c>
      <c r="E17965">
        <v>0</v>
      </c>
      <c r="F17965">
        <v>63</v>
      </c>
      <c r="G17965">
        <v>0</v>
      </c>
      <c r="H17965" t="s">
        <v>22802</v>
      </c>
      <c r="I17965">
        <v>20470</v>
      </c>
      <c r="J17965" t="e">
        <f>VLOOKUP(E17965,DSSpieler!A:B,2,FALSE)</f>
        <v>#N/A</v>
      </c>
    </row>
    <row r="17966" spans="1:10" x14ac:dyDescent="0.25">
      <c r="A17966">
        <v>20471</v>
      </c>
      <c r="B17966" t="s">
        <v>4264</v>
      </c>
      <c r="C17966">
        <v>489</v>
      </c>
      <c r="D17966">
        <v>365</v>
      </c>
      <c r="E17966">
        <v>10072769</v>
      </c>
      <c r="F17966">
        <v>131</v>
      </c>
      <c r="G17966">
        <v>0</v>
      </c>
      <c r="H17966" t="s">
        <v>22803</v>
      </c>
      <c r="I17966">
        <v>20471</v>
      </c>
      <c r="J17966" t="str">
        <f>VLOOKUP(E17966,DSSpieler!A:B,2,FALSE)</f>
        <v>pederski</v>
      </c>
    </row>
    <row r="17967" spans="1:10" x14ac:dyDescent="0.25">
      <c r="A17967">
        <v>20472</v>
      </c>
      <c r="B17967" t="s">
        <v>4265</v>
      </c>
      <c r="C17967">
        <v>565</v>
      </c>
      <c r="D17967">
        <v>385</v>
      </c>
      <c r="E17967">
        <v>8530344</v>
      </c>
      <c r="F17967">
        <v>26</v>
      </c>
      <c r="G17967">
        <v>0</v>
      </c>
      <c r="H17967" t="s">
        <v>22804</v>
      </c>
      <c r="I17967">
        <v>20472</v>
      </c>
      <c r="J17967" t="str">
        <f>VLOOKUP(E17967,DSSpieler!A:B,2,FALSE)</f>
        <v>Hasijr1</v>
      </c>
    </row>
    <row r="17968" spans="1:10" x14ac:dyDescent="0.25">
      <c r="A17968">
        <v>20473</v>
      </c>
      <c r="B17968" t="s">
        <v>4266</v>
      </c>
      <c r="C17968">
        <v>545</v>
      </c>
      <c r="D17968">
        <v>413</v>
      </c>
      <c r="E17968">
        <v>8097540</v>
      </c>
      <c r="F17968">
        <v>205</v>
      </c>
      <c r="G17968">
        <v>0</v>
      </c>
      <c r="H17968" t="s">
        <v>22805</v>
      </c>
      <c r="I17968">
        <v>20473</v>
      </c>
      <c r="J17968" t="str">
        <f>VLOOKUP(E17968,DSSpieler!A:B,2,FALSE)</f>
        <v>KingMaddin</v>
      </c>
    </row>
    <row r="17969" spans="1:10" x14ac:dyDescent="0.25">
      <c r="A17969">
        <v>20474</v>
      </c>
      <c r="B17969" t="s">
        <v>35743</v>
      </c>
      <c r="C17969">
        <v>556</v>
      </c>
      <c r="D17969">
        <v>499</v>
      </c>
      <c r="E17969">
        <v>9155090</v>
      </c>
      <c r="F17969">
        <v>56</v>
      </c>
      <c r="G17969">
        <v>0</v>
      </c>
      <c r="H17969" t="s">
        <v>22806</v>
      </c>
      <c r="I17969">
        <v>20474</v>
      </c>
      <c r="J17969" t="str">
        <f>VLOOKUP(E17969,DSSpieler!A:B,2,FALSE)</f>
        <v>König Gymru</v>
      </c>
    </row>
    <row r="17970" spans="1:10" x14ac:dyDescent="0.25">
      <c r="A17970">
        <v>20475</v>
      </c>
      <c r="B17970" t="s">
        <v>4267</v>
      </c>
      <c r="C17970">
        <v>459</v>
      </c>
      <c r="D17970">
        <v>606</v>
      </c>
      <c r="E17970">
        <v>1576543026</v>
      </c>
      <c r="F17970">
        <v>612</v>
      </c>
      <c r="G17970">
        <v>0</v>
      </c>
      <c r="H17970" t="s">
        <v>22807</v>
      </c>
      <c r="I17970">
        <v>20475</v>
      </c>
      <c r="J17970" t="str">
        <f>VLOOKUP(E17970,DSSpieler!A:B,2,FALSE)</f>
        <v>xTheToddi</v>
      </c>
    </row>
    <row r="17971" spans="1:10" x14ac:dyDescent="0.25">
      <c r="A17971">
        <v>20476</v>
      </c>
      <c r="B17971" t="s">
        <v>673</v>
      </c>
      <c r="C17971">
        <v>460</v>
      </c>
      <c r="D17971">
        <v>604</v>
      </c>
      <c r="E17971">
        <v>1576871127</v>
      </c>
      <c r="F17971">
        <v>280</v>
      </c>
      <c r="G17971">
        <v>0</v>
      </c>
      <c r="H17971" t="s">
        <v>22808</v>
      </c>
      <c r="I17971">
        <v>20476</v>
      </c>
      <c r="J17971" t="str">
        <f>VLOOKUP(E17971,DSSpieler!A:B,2,FALSE)</f>
        <v>zlRengar</v>
      </c>
    </row>
    <row r="17972" spans="1:10" x14ac:dyDescent="0.25">
      <c r="A17972">
        <v>20477</v>
      </c>
      <c r="B17972" t="s">
        <v>4268</v>
      </c>
      <c r="C17972">
        <v>368</v>
      </c>
      <c r="D17972">
        <v>538</v>
      </c>
      <c r="E17972">
        <v>1576766997</v>
      </c>
      <c r="F17972">
        <v>26</v>
      </c>
      <c r="G17972">
        <v>0</v>
      </c>
      <c r="H17972" t="s">
        <v>22809</v>
      </c>
      <c r="I17972">
        <v>20477</v>
      </c>
      <c r="J17972" t="str">
        <f>VLOOKUP(E17972,DSSpieler!A:B,2,FALSE)</f>
        <v>TheyCallMeZed</v>
      </c>
    </row>
    <row r="17973" spans="1:10" x14ac:dyDescent="0.25">
      <c r="A17973">
        <v>20478</v>
      </c>
      <c r="B17973" t="s">
        <v>4269</v>
      </c>
      <c r="C17973">
        <v>376</v>
      </c>
      <c r="D17973">
        <v>549</v>
      </c>
      <c r="E17973">
        <v>1576501987</v>
      </c>
      <c r="F17973">
        <v>26</v>
      </c>
      <c r="G17973">
        <v>0</v>
      </c>
      <c r="H17973" t="s">
        <v>22810</v>
      </c>
      <c r="I17973">
        <v>20478</v>
      </c>
      <c r="J17973" t="str">
        <f>VLOOKUP(E17973,DSSpieler!A:B,2,FALSE)</f>
        <v>IAmStevo</v>
      </c>
    </row>
    <row r="17974" spans="1:10" x14ac:dyDescent="0.25">
      <c r="A17974">
        <v>20479</v>
      </c>
      <c r="B17974" t="s">
        <v>4270</v>
      </c>
      <c r="C17974">
        <v>613</v>
      </c>
      <c r="D17974">
        <v>570</v>
      </c>
      <c r="E17974">
        <v>1576501978</v>
      </c>
      <c r="F17974">
        <v>26</v>
      </c>
      <c r="G17974">
        <v>0</v>
      </c>
      <c r="H17974" t="s">
        <v>22811</v>
      </c>
      <c r="I17974">
        <v>20479</v>
      </c>
      <c r="J17974" t="str">
        <f>VLOOKUP(E17974,DSSpieler!A:B,2,FALSE)</f>
        <v>xTheStevo</v>
      </c>
    </row>
    <row r="17975" spans="1:10" x14ac:dyDescent="0.25">
      <c r="A17975">
        <v>20480</v>
      </c>
      <c r="B17975" t="s">
        <v>4271</v>
      </c>
      <c r="C17975">
        <v>586</v>
      </c>
      <c r="D17975">
        <v>602</v>
      </c>
      <c r="E17975">
        <v>1576871121</v>
      </c>
      <c r="F17975">
        <v>26</v>
      </c>
      <c r="G17975">
        <v>0</v>
      </c>
      <c r="H17975" t="s">
        <v>22812</v>
      </c>
      <c r="I17975">
        <v>20480</v>
      </c>
      <c r="J17975" t="str">
        <f>VLOOKUP(E17975,DSSpieler!A:B,2,FALSE)</f>
        <v>zlStevo</v>
      </c>
    </row>
    <row r="17976" spans="1:10" x14ac:dyDescent="0.25">
      <c r="A17976">
        <v>20481</v>
      </c>
      <c r="B17976" t="s">
        <v>4272</v>
      </c>
      <c r="C17976">
        <v>426</v>
      </c>
      <c r="D17976">
        <v>615</v>
      </c>
      <c r="E17976">
        <v>1576504294</v>
      </c>
      <c r="F17976">
        <v>26</v>
      </c>
      <c r="G17976">
        <v>0</v>
      </c>
      <c r="H17976" t="s">
        <v>22813</v>
      </c>
      <c r="I17976">
        <v>20481</v>
      </c>
      <c r="J17976" t="str">
        <f>VLOOKUP(E17976,DSSpieler!A:B,2,FALSE)</f>
        <v>ToddiStevo</v>
      </c>
    </row>
    <row r="17977" spans="1:10" x14ac:dyDescent="0.25">
      <c r="A17977">
        <v>20482</v>
      </c>
      <c r="B17977" t="s">
        <v>531</v>
      </c>
      <c r="C17977">
        <v>631</v>
      </c>
      <c r="D17977">
        <v>544</v>
      </c>
      <c r="E17977">
        <v>0</v>
      </c>
      <c r="F17977">
        <v>53</v>
      </c>
      <c r="G17977">
        <v>0</v>
      </c>
      <c r="H17977" t="s">
        <v>22814</v>
      </c>
      <c r="I17977">
        <v>20482</v>
      </c>
      <c r="J17977" t="e">
        <f>VLOOKUP(E17977,DSSpieler!A:B,2,FALSE)</f>
        <v>#N/A</v>
      </c>
    </row>
    <row r="17978" spans="1:10" x14ac:dyDescent="0.25">
      <c r="A17978">
        <v>20483</v>
      </c>
      <c r="B17978" t="s">
        <v>4273</v>
      </c>
      <c r="C17978">
        <v>429</v>
      </c>
      <c r="D17978">
        <v>617</v>
      </c>
      <c r="E17978">
        <v>9955598</v>
      </c>
      <c r="F17978">
        <v>26</v>
      </c>
      <c r="G17978">
        <v>0</v>
      </c>
      <c r="H17978" t="s">
        <v>22815</v>
      </c>
      <c r="I17978">
        <v>20483</v>
      </c>
      <c r="J17978" t="str">
        <f>VLOOKUP(E17978,DSSpieler!A:B,2,FALSE)</f>
        <v>SteveToddi</v>
      </c>
    </row>
    <row r="17979" spans="1:10" x14ac:dyDescent="0.25">
      <c r="A17979">
        <v>20484</v>
      </c>
      <c r="B17979" t="s">
        <v>4274</v>
      </c>
      <c r="C17979">
        <v>524</v>
      </c>
      <c r="D17979">
        <v>516</v>
      </c>
      <c r="E17979">
        <v>8371026</v>
      </c>
      <c r="F17979">
        <v>30</v>
      </c>
      <c r="G17979">
        <v>0</v>
      </c>
      <c r="H17979" t="s">
        <v>22816</v>
      </c>
      <c r="I17979">
        <v>20484</v>
      </c>
      <c r="J17979" t="str">
        <f>VLOOKUP(E17979,DSSpieler!A:B,2,FALSE)</f>
        <v>hgmatze</v>
      </c>
    </row>
    <row r="17980" spans="1:10" x14ac:dyDescent="0.25">
      <c r="A17980">
        <v>20485</v>
      </c>
      <c r="B17980" t="s">
        <v>35863</v>
      </c>
      <c r="C17980">
        <v>366</v>
      </c>
      <c r="D17980">
        <v>526</v>
      </c>
      <c r="E17980">
        <v>1577208619</v>
      </c>
      <c r="F17980">
        <v>329</v>
      </c>
      <c r="G17980">
        <v>0</v>
      </c>
      <c r="H17980" t="s">
        <v>22817</v>
      </c>
      <c r="I17980">
        <v>20485</v>
      </c>
      <c r="J17980" t="str">
        <f>VLOOKUP(E17980,DSSpieler!A:B,2,FALSE)</f>
        <v>SLEEPLESS ?</v>
      </c>
    </row>
    <row r="17981" spans="1:10" x14ac:dyDescent="0.25">
      <c r="A17981">
        <v>20486</v>
      </c>
      <c r="B17981" t="s">
        <v>4275</v>
      </c>
      <c r="C17981">
        <v>552</v>
      </c>
      <c r="D17981">
        <v>373</v>
      </c>
      <c r="E17981">
        <v>7841686</v>
      </c>
      <c r="F17981">
        <v>26</v>
      </c>
      <c r="G17981">
        <v>0</v>
      </c>
      <c r="H17981" t="s">
        <v>22818</v>
      </c>
      <c r="I17981">
        <v>20486</v>
      </c>
      <c r="J17981" t="str">
        <f>VLOOKUP(E17981,DSSpieler!A:B,2,FALSE)</f>
        <v>blizard1972</v>
      </c>
    </row>
    <row r="17982" spans="1:10" x14ac:dyDescent="0.25">
      <c r="A17982">
        <v>20487</v>
      </c>
      <c r="B17982" t="s">
        <v>4276</v>
      </c>
      <c r="C17982">
        <v>481</v>
      </c>
      <c r="D17982">
        <v>627</v>
      </c>
      <c r="E17982">
        <v>1577208622</v>
      </c>
      <c r="F17982">
        <v>26</v>
      </c>
      <c r="G17982">
        <v>0</v>
      </c>
      <c r="H17982" t="s">
        <v>22819</v>
      </c>
      <c r="I17982">
        <v>20487</v>
      </c>
      <c r="J17982" t="str">
        <f>VLOOKUP(E17982,DSSpieler!A:B,2,FALSE)</f>
        <v>Keinbiervorvier1</v>
      </c>
    </row>
    <row r="17983" spans="1:10" x14ac:dyDescent="0.25">
      <c r="A17983">
        <v>20488</v>
      </c>
      <c r="B17983" t="s">
        <v>4277</v>
      </c>
      <c r="C17983">
        <v>597</v>
      </c>
      <c r="D17983">
        <v>411</v>
      </c>
      <c r="E17983">
        <v>9025165</v>
      </c>
      <c r="F17983">
        <v>322</v>
      </c>
      <c r="G17983">
        <v>0</v>
      </c>
      <c r="H17983" t="s">
        <v>22820</v>
      </c>
      <c r="I17983">
        <v>20488</v>
      </c>
      <c r="J17983" t="str">
        <f>VLOOKUP(E17983,DSSpieler!A:B,2,FALSE)</f>
        <v>frisinga germania</v>
      </c>
    </row>
    <row r="17984" spans="1:10" x14ac:dyDescent="0.25">
      <c r="A17984">
        <v>20489</v>
      </c>
      <c r="B17984" t="s">
        <v>4278</v>
      </c>
      <c r="C17984">
        <v>627</v>
      </c>
      <c r="D17984">
        <v>535</v>
      </c>
      <c r="E17984">
        <v>9213593</v>
      </c>
      <c r="F17984">
        <v>652</v>
      </c>
      <c r="G17984">
        <v>0</v>
      </c>
      <c r="H17984" t="s">
        <v>22821</v>
      </c>
      <c r="I17984">
        <v>20489</v>
      </c>
      <c r="J17984" t="str">
        <f>VLOOKUP(E17984,DSSpieler!A:B,2,FALSE)</f>
        <v>Mr. Why</v>
      </c>
    </row>
    <row r="17985" spans="1:10" x14ac:dyDescent="0.25">
      <c r="A17985">
        <v>20490</v>
      </c>
      <c r="B17985" t="s">
        <v>4279</v>
      </c>
      <c r="C17985">
        <v>404</v>
      </c>
      <c r="D17985">
        <v>593</v>
      </c>
      <c r="E17985">
        <v>7637874</v>
      </c>
      <c r="F17985">
        <v>52</v>
      </c>
      <c r="G17985">
        <v>0</v>
      </c>
      <c r="H17985" t="s">
        <v>22822</v>
      </c>
      <c r="I17985">
        <v>20490</v>
      </c>
      <c r="J17985" t="str">
        <f>VLOOKUP(E17985,DSSpieler!A:B,2,FALSE)</f>
        <v>Orlando2500</v>
      </c>
    </row>
    <row r="17986" spans="1:10" x14ac:dyDescent="0.25">
      <c r="A17986">
        <v>20491</v>
      </c>
      <c r="B17986" t="s">
        <v>4280</v>
      </c>
      <c r="C17986">
        <v>463</v>
      </c>
      <c r="D17986">
        <v>632</v>
      </c>
      <c r="E17986">
        <v>2870253</v>
      </c>
      <c r="F17986">
        <v>395</v>
      </c>
      <c r="G17986">
        <v>0</v>
      </c>
      <c r="H17986" t="s">
        <v>22823</v>
      </c>
      <c r="I17986">
        <v>20491</v>
      </c>
      <c r="J17986" t="str">
        <f>VLOOKUP(E17986,DSSpieler!A:B,2,FALSE)</f>
        <v>Fritz Benedict</v>
      </c>
    </row>
    <row r="17987" spans="1:10" x14ac:dyDescent="0.25">
      <c r="A17987">
        <v>20492</v>
      </c>
      <c r="B17987" t="s">
        <v>35744</v>
      </c>
      <c r="C17987">
        <v>522</v>
      </c>
      <c r="D17987">
        <v>460</v>
      </c>
      <c r="E17987">
        <v>8648932</v>
      </c>
      <c r="F17987">
        <v>385</v>
      </c>
      <c r="G17987">
        <v>0</v>
      </c>
      <c r="H17987" t="s">
        <v>22824</v>
      </c>
      <c r="I17987">
        <v>20492</v>
      </c>
      <c r="J17987" t="str">
        <f>VLOOKUP(E17987,DSSpieler!A:B,2,FALSE)</f>
        <v>Konda Hasamoto</v>
      </c>
    </row>
    <row r="17988" spans="1:10" x14ac:dyDescent="0.25">
      <c r="A17988">
        <v>20493</v>
      </c>
      <c r="B17988" t="s">
        <v>4281</v>
      </c>
      <c r="C17988">
        <v>400</v>
      </c>
      <c r="D17988">
        <v>590</v>
      </c>
      <c r="E17988">
        <v>1577197048</v>
      </c>
      <c r="F17988">
        <v>26</v>
      </c>
      <c r="G17988">
        <v>0</v>
      </c>
      <c r="H17988" t="s">
        <v>22825</v>
      </c>
      <c r="I17988">
        <v>20493</v>
      </c>
      <c r="J17988" t="str">
        <f>VLOOKUP(E17988,DSSpieler!A:B,2,FALSE)</f>
        <v>Carl Hanratty</v>
      </c>
    </row>
    <row r="17989" spans="1:10" x14ac:dyDescent="0.25">
      <c r="A17989">
        <v>20494</v>
      </c>
      <c r="B17989" t="s">
        <v>4282</v>
      </c>
      <c r="C17989">
        <v>634</v>
      </c>
      <c r="D17989">
        <v>475</v>
      </c>
      <c r="E17989">
        <v>9045057</v>
      </c>
      <c r="F17989">
        <v>331</v>
      </c>
      <c r="G17989">
        <v>0</v>
      </c>
      <c r="H17989" t="s">
        <v>22826</v>
      </c>
      <c r="I17989">
        <v>20494</v>
      </c>
      <c r="J17989" t="str">
        <f>VLOOKUP(E17989,DSSpieler!A:B,2,FALSE)</f>
        <v>STGermany</v>
      </c>
    </row>
    <row r="17990" spans="1:10" x14ac:dyDescent="0.25">
      <c r="A17990">
        <v>20495</v>
      </c>
      <c r="B17990" t="s">
        <v>4283</v>
      </c>
      <c r="C17990">
        <v>462</v>
      </c>
      <c r="D17990">
        <v>372</v>
      </c>
      <c r="E17990">
        <v>1577148135</v>
      </c>
      <c r="F17990">
        <v>248</v>
      </c>
      <c r="G17990">
        <v>0</v>
      </c>
      <c r="H17990" t="s">
        <v>22827</v>
      </c>
      <c r="I17990">
        <v>20495</v>
      </c>
      <c r="J17990" t="str">
        <f>VLOOKUP(E17990,DSSpieler!A:B,2,FALSE)</f>
        <v>Denkar</v>
      </c>
    </row>
    <row r="17991" spans="1:10" x14ac:dyDescent="0.25">
      <c r="A17991">
        <v>20496</v>
      </c>
      <c r="B17991" t="s">
        <v>4284</v>
      </c>
      <c r="C17991">
        <v>514</v>
      </c>
      <c r="D17991">
        <v>487</v>
      </c>
      <c r="E17991">
        <v>9713659</v>
      </c>
      <c r="F17991">
        <v>640</v>
      </c>
      <c r="G17991">
        <v>0</v>
      </c>
      <c r="H17991" t="s">
        <v>22828</v>
      </c>
      <c r="I17991">
        <v>20496</v>
      </c>
      <c r="J17991" t="str">
        <f>VLOOKUP(E17991,DSSpieler!A:B,2,FALSE)</f>
        <v>Lutenend Dään</v>
      </c>
    </row>
    <row r="17992" spans="1:10" x14ac:dyDescent="0.25">
      <c r="A17992">
        <v>20497</v>
      </c>
      <c r="B17992" t="s">
        <v>4285</v>
      </c>
      <c r="C17992">
        <v>606</v>
      </c>
      <c r="D17992">
        <v>412</v>
      </c>
      <c r="E17992">
        <v>1576757138</v>
      </c>
      <c r="F17992">
        <v>26</v>
      </c>
      <c r="G17992">
        <v>0</v>
      </c>
      <c r="H17992" t="s">
        <v>22829</v>
      </c>
      <c r="I17992">
        <v>20497</v>
      </c>
      <c r="J17992" t="str">
        <f>VLOOKUP(E17992,DSSpieler!A:B,2,FALSE)</f>
        <v>Haydewitzker</v>
      </c>
    </row>
    <row r="17993" spans="1:10" x14ac:dyDescent="0.25">
      <c r="A17993">
        <v>20498</v>
      </c>
      <c r="B17993" t="s">
        <v>35745</v>
      </c>
      <c r="C17993">
        <v>487</v>
      </c>
      <c r="D17993">
        <v>423</v>
      </c>
      <c r="E17993">
        <v>1577086767</v>
      </c>
      <c r="F17993">
        <v>475</v>
      </c>
      <c r="G17993">
        <v>0</v>
      </c>
      <c r="H17993" t="s">
        <v>22830</v>
      </c>
      <c r="I17993">
        <v>20498</v>
      </c>
      <c r="J17993" t="str">
        <f>VLOOKUP(E17993,DSSpieler!A:B,2,FALSE)</f>
        <v>Salvatore Ferragamo</v>
      </c>
    </row>
    <row r="17994" spans="1:10" x14ac:dyDescent="0.25">
      <c r="A17994">
        <v>20499</v>
      </c>
      <c r="B17994" t="s">
        <v>4286</v>
      </c>
      <c r="C17994">
        <v>407</v>
      </c>
      <c r="D17994">
        <v>595</v>
      </c>
      <c r="E17994">
        <v>1576733040</v>
      </c>
      <c r="F17994">
        <v>26</v>
      </c>
      <c r="G17994">
        <v>0</v>
      </c>
      <c r="H17994" t="s">
        <v>22831</v>
      </c>
      <c r="I17994">
        <v>20499</v>
      </c>
      <c r="J17994" t="str">
        <f>VLOOKUP(E17994,DSSpieler!A:B,2,FALSE)</f>
        <v>Hubba Bubba</v>
      </c>
    </row>
    <row r="17995" spans="1:10" x14ac:dyDescent="0.25">
      <c r="A17995">
        <v>20500</v>
      </c>
      <c r="B17995" t="s">
        <v>4287</v>
      </c>
      <c r="C17995">
        <v>514</v>
      </c>
      <c r="D17995">
        <v>593</v>
      </c>
      <c r="E17995">
        <v>1576961883</v>
      </c>
      <c r="F17995">
        <v>26</v>
      </c>
      <c r="G17995">
        <v>0</v>
      </c>
      <c r="H17995" t="s">
        <v>22832</v>
      </c>
      <c r="I17995">
        <v>20500</v>
      </c>
      <c r="J17995" t="str">
        <f>VLOOKUP(E17995,DSSpieler!A:B,2,FALSE)</f>
        <v>DontTrustMe</v>
      </c>
    </row>
    <row r="17996" spans="1:10" x14ac:dyDescent="0.25">
      <c r="A17996">
        <v>20501</v>
      </c>
      <c r="B17996" t="s">
        <v>531</v>
      </c>
      <c r="C17996">
        <v>631</v>
      </c>
      <c r="D17996">
        <v>459</v>
      </c>
      <c r="E17996">
        <v>0</v>
      </c>
      <c r="F17996">
        <v>39</v>
      </c>
      <c r="G17996">
        <v>0</v>
      </c>
      <c r="H17996" t="s">
        <v>22833</v>
      </c>
      <c r="I17996">
        <v>20501</v>
      </c>
      <c r="J17996" t="e">
        <f>VLOOKUP(E17996,DSSpieler!A:B,2,FALSE)</f>
        <v>#N/A</v>
      </c>
    </row>
    <row r="17997" spans="1:10" x14ac:dyDescent="0.25">
      <c r="A17997">
        <v>20502</v>
      </c>
      <c r="B17997" t="s">
        <v>35746</v>
      </c>
      <c r="C17997">
        <v>364</v>
      </c>
      <c r="D17997">
        <v>494</v>
      </c>
      <c r="E17997">
        <v>8499874</v>
      </c>
      <c r="F17997">
        <v>404</v>
      </c>
      <c r="G17997">
        <v>0</v>
      </c>
      <c r="H17997" t="s">
        <v>22834</v>
      </c>
      <c r="I17997">
        <v>20502</v>
      </c>
      <c r="J17997" t="str">
        <f>VLOOKUP(E17997,DSSpieler!A:B,2,FALSE)</f>
        <v>Weiberjäger</v>
      </c>
    </row>
    <row r="17998" spans="1:10" x14ac:dyDescent="0.25">
      <c r="A17998">
        <v>20503</v>
      </c>
      <c r="B17998" t="s">
        <v>531</v>
      </c>
      <c r="C17998">
        <v>478</v>
      </c>
      <c r="D17998">
        <v>368</v>
      </c>
      <c r="E17998">
        <v>0</v>
      </c>
      <c r="F17998">
        <v>48</v>
      </c>
      <c r="G17998">
        <v>0</v>
      </c>
      <c r="H17998" t="s">
        <v>22835</v>
      </c>
      <c r="I17998">
        <v>20503</v>
      </c>
      <c r="J17998" t="e">
        <f>VLOOKUP(E17998,DSSpieler!A:B,2,FALSE)</f>
        <v>#N/A</v>
      </c>
    </row>
    <row r="17999" spans="1:10" x14ac:dyDescent="0.25">
      <c r="A17999">
        <v>20504</v>
      </c>
      <c r="B17999" t="s">
        <v>4288</v>
      </c>
      <c r="C17999">
        <v>518</v>
      </c>
      <c r="D17999">
        <v>415</v>
      </c>
      <c r="E17999">
        <v>9707878</v>
      </c>
      <c r="F17999">
        <v>26</v>
      </c>
      <c r="G17999">
        <v>0</v>
      </c>
      <c r="H17999" t="s">
        <v>22836</v>
      </c>
      <c r="I17999">
        <v>20504</v>
      </c>
      <c r="J17999" t="str">
        <f>VLOOKUP(E17999,DSSpieler!A:B,2,FALSE)</f>
        <v>Funbasher1</v>
      </c>
    </row>
    <row r="18000" spans="1:10" x14ac:dyDescent="0.25">
      <c r="A18000">
        <v>20505</v>
      </c>
      <c r="B18000" t="s">
        <v>4289</v>
      </c>
      <c r="C18000">
        <v>625</v>
      </c>
      <c r="D18000">
        <v>450</v>
      </c>
      <c r="E18000">
        <v>1577208652</v>
      </c>
      <c r="F18000">
        <v>440</v>
      </c>
      <c r="G18000">
        <v>0</v>
      </c>
      <c r="H18000" t="s">
        <v>22837</v>
      </c>
      <c r="I18000">
        <v>20505</v>
      </c>
      <c r="J18000" t="str">
        <f>VLOOKUP(E18000,DSSpieler!A:B,2,FALSE)</f>
        <v>Tiurio</v>
      </c>
    </row>
    <row r="18001" spans="1:10" x14ac:dyDescent="0.25">
      <c r="A18001">
        <v>20506</v>
      </c>
      <c r="B18001" t="s">
        <v>1098</v>
      </c>
      <c r="C18001">
        <v>555</v>
      </c>
      <c r="D18001">
        <v>371</v>
      </c>
      <c r="E18001">
        <v>1577186857</v>
      </c>
      <c r="F18001">
        <v>484</v>
      </c>
      <c r="G18001">
        <v>0</v>
      </c>
      <c r="H18001" t="s">
        <v>22838</v>
      </c>
      <c r="I18001">
        <v>20506</v>
      </c>
      <c r="J18001" t="str">
        <f>VLOOKUP(E18001,DSSpieler!A:B,2,FALSE)</f>
        <v>Black Idefix</v>
      </c>
    </row>
    <row r="18002" spans="1:10" x14ac:dyDescent="0.25">
      <c r="A18002">
        <v>20507</v>
      </c>
      <c r="B18002" t="s">
        <v>4290</v>
      </c>
      <c r="C18002">
        <v>626</v>
      </c>
      <c r="D18002">
        <v>435</v>
      </c>
      <c r="E18002">
        <v>1577208658</v>
      </c>
      <c r="F18002">
        <v>395</v>
      </c>
      <c r="G18002">
        <v>0</v>
      </c>
      <c r="H18002" t="s">
        <v>22839</v>
      </c>
      <c r="I18002">
        <v>20507</v>
      </c>
      <c r="J18002" t="str">
        <f>VLOOKUP(E18002,DSSpieler!A:B,2,FALSE)</f>
        <v>Ravenu</v>
      </c>
    </row>
    <row r="18003" spans="1:10" x14ac:dyDescent="0.25">
      <c r="A18003">
        <v>20508</v>
      </c>
      <c r="B18003" t="s">
        <v>4291</v>
      </c>
      <c r="C18003">
        <v>395</v>
      </c>
      <c r="D18003">
        <v>420</v>
      </c>
      <c r="E18003">
        <v>233335</v>
      </c>
      <c r="F18003">
        <v>26</v>
      </c>
      <c r="G18003">
        <v>0</v>
      </c>
      <c r="H18003" t="s">
        <v>22840</v>
      </c>
      <c r="I18003">
        <v>20508</v>
      </c>
      <c r="J18003" t="str">
        <f>VLOOKUP(E18003,DSSpieler!A:B,2,FALSE)</f>
        <v>super m@c</v>
      </c>
    </row>
    <row r="18004" spans="1:10" x14ac:dyDescent="0.25">
      <c r="A18004">
        <v>20509</v>
      </c>
      <c r="B18004" t="s">
        <v>4292</v>
      </c>
      <c r="C18004">
        <v>437</v>
      </c>
      <c r="D18004">
        <v>382</v>
      </c>
      <c r="E18004">
        <v>1577208659</v>
      </c>
      <c r="F18004">
        <v>476</v>
      </c>
      <c r="G18004">
        <v>0</v>
      </c>
      <c r="H18004" t="s">
        <v>22841</v>
      </c>
      <c r="I18004">
        <v>20509</v>
      </c>
      <c r="J18004" t="str">
        <f>VLOOKUP(E18004,DSSpieler!A:B,2,FALSE)</f>
        <v>marcusn</v>
      </c>
    </row>
    <row r="18005" spans="1:10" x14ac:dyDescent="0.25">
      <c r="A18005">
        <v>20510</v>
      </c>
      <c r="B18005" t="s">
        <v>4293</v>
      </c>
      <c r="C18005">
        <v>415</v>
      </c>
      <c r="D18005">
        <v>604</v>
      </c>
      <c r="E18005">
        <v>1576849350</v>
      </c>
      <c r="F18005">
        <v>45</v>
      </c>
      <c r="G18005">
        <v>0</v>
      </c>
      <c r="H18005" t="s">
        <v>22842</v>
      </c>
      <c r="I18005">
        <v>20510</v>
      </c>
      <c r="J18005" t="str">
        <f>VLOOKUP(E18005,DSSpieler!A:B,2,FALSE)</f>
        <v>gregen</v>
      </c>
    </row>
    <row r="18006" spans="1:10" x14ac:dyDescent="0.25">
      <c r="A18006">
        <v>20511</v>
      </c>
      <c r="B18006" t="s">
        <v>4294</v>
      </c>
      <c r="C18006">
        <v>618</v>
      </c>
      <c r="D18006">
        <v>435</v>
      </c>
      <c r="E18006">
        <v>1577071112</v>
      </c>
      <c r="F18006">
        <v>26</v>
      </c>
      <c r="G18006">
        <v>0</v>
      </c>
      <c r="H18006" t="s">
        <v>22843</v>
      </c>
      <c r="I18006">
        <v>20511</v>
      </c>
      <c r="J18006" t="str">
        <f>VLOOKUP(E18006,DSSpieler!A:B,2,FALSE)</f>
        <v>Rondo</v>
      </c>
    </row>
    <row r="18007" spans="1:10" x14ac:dyDescent="0.25">
      <c r="A18007">
        <v>20512</v>
      </c>
      <c r="B18007" t="s">
        <v>531</v>
      </c>
      <c r="C18007">
        <v>635</v>
      </c>
      <c r="D18007">
        <v>523</v>
      </c>
      <c r="E18007">
        <v>0</v>
      </c>
      <c r="F18007">
        <v>52</v>
      </c>
      <c r="G18007">
        <v>0</v>
      </c>
      <c r="H18007" t="s">
        <v>22844</v>
      </c>
      <c r="I18007">
        <v>20512</v>
      </c>
      <c r="J18007" t="e">
        <f>VLOOKUP(E18007,DSSpieler!A:B,2,FALSE)</f>
        <v>#N/A</v>
      </c>
    </row>
    <row r="18008" spans="1:10" x14ac:dyDescent="0.25">
      <c r="A18008">
        <v>20513</v>
      </c>
      <c r="B18008" t="s">
        <v>4295</v>
      </c>
      <c r="C18008">
        <v>401</v>
      </c>
      <c r="D18008">
        <v>581</v>
      </c>
      <c r="E18008">
        <v>1576552397</v>
      </c>
      <c r="F18008">
        <v>280</v>
      </c>
      <c r="G18008">
        <v>0</v>
      </c>
      <c r="H18008" t="s">
        <v>22845</v>
      </c>
      <c r="I18008">
        <v>20513</v>
      </c>
      <c r="J18008" t="str">
        <f>VLOOKUP(E18008,DSSpieler!A:B,2,FALSE)</f>
        <v>sally7372</v>
      </c>
    </row>
    <row r="18009" spans="1:10" x14ac:dyDescent="0.25">
      <c r="A18009">
        <v>20515</v>
      </c>
      <c r="B18009" t="s">
        <v>4296</v>
      </c>
      <c r="C18009">
        <v>458</v>
      </c>
      <c r="D18009">
        <v>396</v>
      </c>
      <c r="E18009">
        <v>1577186462</v>
      </c>
      <c r="F18009">
        <v>26</v>
      </c>
      <c r="G18009">
        <v>0</v>
      </c>
      <c r="H18009" t="s">
        <v>22846</v>
      </c>
      <c r="I18009">
        <v>20515</v>
      </c>
      <c r="J18009" t="str">
        <f>VLOOKUP(E18009,DSSpieler!A:B,2,FALSE)</f>
        <v>warkid1</v>
      </c>
    </row>
    <row r="18010" spans="1:10" x14ac:dyDescent="0.25">
      <c r="A18010">
        <v>20516</v>
      </c>
      <c r="B18010" t="s">
        <v>4297</v>
      </c>
      <c r="C18010">
        <v>604</v>
      </c>
      <c r="D18010">
        <v>589</v>
      </c>
      <c r="E18010">
        <v>1575940519</v>
      </c>
      <c r="F18010">
        <v>50</v>
      </c>
      <c r="G18010">
        <v>0</v>
      </c>
      <c r="H18010" t="s">
        <v>22847</v>
      </c>
      <c r="I18010">
        <v>20516</v>
      </c>
      <c r="J18010" t="str">
        <f>VLOOKUP(E18010,DSSpieler!A:B,2,FALSE)</f>
        <v>Oger1991</v>
      </c>
    </row>
    <row r="18011" spans="1:10" x14ac:dyDescent="0.25">
      <c r="A18011">
        <v>20517</v>
      </c>
      <c r="B18011" t="s">
        <v>4298</v>
      </c>
      <c r="C18011">
        <v>593</v>
      </c>
      <c r="D18011">
        <v>547</v>
      </c>
      <c r="E18011">
        <v>1577183553</v>
      </c>
      <c r="F18011">
        <v>26</v>
      </c>
      <c r="G18011">
        <v>0</v>
      </c>
      <c r="H18011" t="s">
        <v>22848</v>
      </c>
      <c r="I18011">
        <v>20517</v>
      </c>
      <c r="J18011" t="str">
        <f>VLOOKUP(E18011,DSSpieler!A:B,2,FALSE)</f>
        <v>Morre84</v>
      </c>
    </row>
    <row r="18012" spans="1:10" x14ac:dyDescent="0.25">
      <c r="A18012">
        <v>20518</v>
      </c>
      <c r="B18012" t="s">
        <v>4299</v>
      </c>
      <c r="C18012">
        <v>631</v>
      </c>
      <c r="D18012">
        <v>528</v>
      </c>
      <c r="E18012">
        <v>3215406</v>
      </c>
      <c r="F18012">
        <v>359</v>
      </c>
      <c r="G18012">
        <v>0</v>
      </c>
      <c r="H18012" t="s">
        <v>22849</v>
      </c>
      <c r="I18012">
        <v>20518</v>
      </c>
      <c r="J18012" t="str">
        <f>VLOOKUP(E18012,DSSpieler!A:B,2,FALSE)</f>
        <v>Skrachey</v>
      </c>
    </row>
    <row r="18013" spans="1:10" x14ac:dyDescent="0.25">
      <c r="A18013">
        <v>20519</v>
      </c>
      <c r="B18013" t="s">
        <v>4300</v>
      </c>
      <c r="C18013">
        <v>498</v>
      </c>
      <c r="D18013">
        <v>635</v>
      </c>
      <c r="E18013">
        <v>1577196269</v>
      </c>
      <c r="F18013">
        <v>71</v>
      </c>
      <c r="G18013">
        <v>0</v>
      </c>
      <c r="H18013" t="s">
        <v>22850</v>
      </c>
      <c r="I18013">
        <v>20519</v>
      </c>
      <c r="J18013" t="str">
        <f>VLOOKUP(E18013,DSSpieler!A:B,2,FALSE)</f>
        <v>Osteowill</v>
      </c>
    </row>
    <row r="18014" spans="1:10" x14ac:dyDescent="0.25">
      <c r="A18014">
        <v>20520</v>
      </c>
      <c r="B18014" t="s">
        <v>4301</v>
      </c>
      <c r="C18014">
        <v>454</v>
      </c>
      <c r="D18014">
        <v>624</v>
      </c>
      <c r="E18014">
        <v>1577189162</v>
      </c>
      <c r="F18014">
        <v>47</v>
      </c>
      <c r="G18014">
        <v>0</v>
      </c>
      <c r="H18014" t="s">
        <v>22851</v>
      </c>
      <c r="I18014">
        <v>20520</v>
      </c>
      <c r="J18014" t="str">
        <f>VLOOKUP(E18014,DSSpieler!A:B,2,FALSE)</f>
        <v>Thorfinn</v>
      </c>
    </row>
    <row r="18015" spans="1:10" x14ac:dyDescent="0.25">
      <c r="A18015">
        <v>20521</v>
      </c>
      <c r="B18015" t="s">
        <v>4302</v>
      </c>
      <c r="C18015">
        <v>386</v>
      </c>
      <c r="D18015">
        <v>569</v>
      </c>
      <c r="E18015">
        <v>1577188241</v>
      </c>
      <c r="F18015">
        <v>343</v>
      </c>
      <c r="G18015">
        <v>0</v>
      </c>
      <c r="H18015" t="s">
        <v>22852</v>
      </c>
      <c r="I18015">
        <v>20521</v>
      </c>
      <c r="J18015" t="str">
        <f>VLOOKUP(E18015,DSSpieler!A:B,2,FALSE)</f>
        <v>HazeZH</v>
      </c>
    </row>
    <row r="18016" spans="1:10" x14ac:dyDescent="0.25">
      <c r="A18016">
        <v>20522</v>
      </c>
      <c r="B18016" t="s">
        <v>4303</v>
      </c>
      <c r="C18016">
        <v>407</v>
      </c>
      <c r="D18016">
        <v>594</v>
      </c>
      <c r="E18016">
        <v>1576028783</v>
      </c>
      <c r="F18016">
        <v>26</v>
      </c>
      <c r="G18016">
        <v>0</v>
      </c>
      <c r="H18016" t="s">
        <v>22853</v>
      </c>
      <c r="I18016">
        <v>20522</v>
      </c>
      <c r="J18016" t="str">
        <f>VLOOKUP(E18016,DSSpieler!A:B,2,FALSE)</f>
        <v>Miss Innocent</v>
      </c>
    </row>
    <row r="18017" spans="1:10" x14ac:dyDescent="0.25">
      <c r="A18017">
        <v>20523</v>
      </c>
      <c r="B18017" t="s">
        <v>35747</v>
      </c>
      <c r="C18017">
        <v>579</v>
      </c>
      <c r="D18017">
        <v>608</v>
      </c>
      <c r="E18017">
        <v>1577132043</v>
      </c>
      <c r="F18017">
        <v>566</v>
      </c>
      <c r="G18017">
        <v>0</v>
      </c>
      <c r="H18017" t="s">
        <v>22854</v>
      </c>
      <c r="I18017">
        <v>20523</v>
      </c>
      <c r="J18017" t="str">
        <f>VLOOKUP(E18017,DSSpieler!A:B,2,FALSE)</f>
        <v>Feldqualle</v>
      </c>
    </row>
    <row r="18018" spans="1:10" x14ac:dyDescent="0.25">
      <c r="A18018">
        <v>20524</v>
      </c>
      <c r="B18018" t="s">
        <v>35748</v>
      </c>
      <c r="C18018">
        <v>637</v>
      </c>
      <c r="D18018">
        <v>515</v>
      </c>
      <c r="E18018">
        <v>1576339547</v>
      </c>
      <c r="F18018">
        <v>532</v>
      </c>
      <c r="G18018">
        <v>0</v>
      </c>
      <c r="H18018" t="s">
        <v>22855</v>
      </c>
      <c r="I18018">
        <v>20524</v>
      </c>
      <c r="J18018" t="str">
        <f>VLOOKUP(E18018,DSSpieler!A:B,2,FALSE)</f>
        <v>tosaib</v>
      </c>
    </row>
    <row r="18019" spans="1:10" x14ac:dyDescent="0.25">
      <c r="A18019">
        <v>20525</v>
      </c>
      <c r="B18019" t="s">
        <v>4304</v>
      </c>
      <c r="C18019">
        <v>430</v>
      </c>
      <c r="D18019">
        <v>378</v>
      </c>
      <c r="E18019">
        <v>1577208679</v>
      </c>
      <c r="F18019">
        <v>312</v>
      </c>
      <c r="G18019">
        <v>0</v>
      </c>
      <c r="H18019" t="s">
        <v>22856</v>
      </c>
      <c r="I18019">
        <v>20525</v>
      </c>
      <c r="J18019" t="str">
        <f>VLOOKUP(E18019,DSSpieler!A:B,2,FALSE)</f>
        <v>JOMboter</v>
      </c>
    </row>
    <row r="18020" spans="1:10" x14ac:dyDescent="0.25">
      <c r="A18020">
        <v>20526</v>
      </c>
      <c r="B18020" t="s">
        <v>531</v>
      </c>
      <c r="C18020">
        <v>366</v>
      </c>
      <c r="D18020">
        <v>525</v>
      </c>
      <c r="E18020">
        <v>0</v>
      </c>
      <c r="F18020">
        <v>63</v>
      </c>
      <c r="G18020">
        <v>0</v>
      </c>
      <c r="H18020" t="s">
        <v>22857</v>
      </c>
      <c r="I18020">
        <v>20526</v>
      </c>
      <c r="J18020" t="e">
        <f>VLOOKUP(E18020,DSSpieler!A:B,2,FALSE)</f>
        <v>#N/A</v>
      </c>
    </row>
    <row r="18021" spans="1:10" x14ac:dyDescent="0.25">
      <c r="A18021">
        <v>20527</v>
      </c>
      <c r="B18021" t="s">
        <v>4305</v>
      </c>
      <c r="C18021">
        <v>486</v>
      </c>
      <c r="D18021">
        <v>367</v>
      </c>
      <c r="E18021">
        <v>1577208507</v>
      </c>
      <c r="F18021">
        <v>394</v>
      </c>
      <c r="G18021">
        <v>0</v>
      </c>
      <c r="H18021" t="s">
        <v>22858</v>
      </c>
      <c r="I18021">
        <v>20527</v>
      </c>
      <c r="J18021" t="str">
        <f>VLOOKUP(E18021,DSSpieler!A:B,2,FALSE)</f>
        <v>its-markus</v>
      </c>
    </row>
    <row r="18022" spans="1:10" x14ac:dyDescent="0.25">
      <c r="A18022">
        <v>20528</v>
      </c>
      <c r="B18022" t="s">
        <v>4306</v>
      </c>
      <c r="C18022">
        <v>419</v>
      </c>
      <c r="D18022">
        <v>610</v>
      </c>
      <c r="E18022">
        <v>9803019</v>
      </c>
      <c r="F18022">
        <v>109</v>
      </c>
      <c r="G18022">
        <v>0</v>
      </c>
      <c r="H18022" t="s">
        <v>22859</v>
      </c>
      <c r="I18022">
        <v>20528</v>
      </c>
      <c r="J18022" t="str">
        <f>VLOOKUP(E18022,DSSpieler!A:B,2,FALSE)</f>
        <v>skorpion power</v>
      </c>
    </row>
    <row r="18023" spans="1:10" x14ac:dyDescent="0.25">
      <c r="A18023">
        <v>20529</v>
      </c>
      <c r="B18023" t="s">
        <v>4307</v>
      </c>
      <c r="C18023">
        <v>533</v>
      </c>
      <c r="D18023">
        <v>368</v>
      </c>
      <c r="E18023">
        <v>1577208682</v>
      </c>
      <c r="F18023">
        <v>44</v>
      </c>
      <c r="G18023">
        <v>0</v>
      </c>
      <c r="H18023" t="s">
        <v>22860</v>
      </c>
      <c r="I18023">
        <v>20529</v>
      </c>
      <c r="J18023" t="str">
        <f>VLOOKUP(E18023,DSSpieler!A:B,2,FALSE)</f>
        <v>Itschi</v>
      </c>
    </row>
    <row r="18024" spans="1:10" x14ac:dyDescent="0.25">
      <c r="A18024">
        <v>20530</v>
      </c>
      <c r="B18024" t="s">
        <v>4308</v>
      </c>
      <c r="C18024">
        <v>366</v>
      </c>
      <c r="D18024">
        <v>508</v>
      </c>
      <c r="E18024">
        <v>1577199362</v>
      </c>
      <c r="F18024">
        <v>26</v>
      </c>
      <c r="G18024">
        <v>0</v>
      </c>
      <c r="H18024" t="s">
        <v>22861</v>
      </c>
      <c r="I18024">
        <v>20530</v>
      </c>
      <c r="J18024" t="str">
        <f>VLOOKUP(E18024,DSSpieler!A:B,2,FALSE)</f>
        <v>FAbii127</v>
      </c>
    </row>
    <row r="18025" spans="1:10" x14ac:dyDescent="0.25">
      <c r="A18025">
        <v>20531</v>
      </c>
      <c r="B18025" t="s">
        <v>4309</v>
      </c>
      <c r="C18025">
        <v>440</v>
      </c>
      <c r="D18025">
        <v>381</v>
      </c>
      <c r="E18025">
        <v>1577026457</v>
      </c>
      <c r="F18025">
        <v>73</v>
      </c>
      <c r="G18025">
        <v>0</v>
      </c>
      <c r="H18025" t="s">
        <v>22862</v>
      </c>
      <c r="I18025">
        <v>20531</v>
      </c>
      <c r="J18025" t="str">
        <f>VLOOKUP(E18025,DSSpieler!A:B,2,FALSE)</f>
        <v>Seifenspender</v>
      </c>
    </row>
    <row r="18026" spans="1:10" x14ac:dyDescent="0.25">
      <c r="A18026">
        <v>20532</v>
      </c>
      <c r="B18026" t="s">
        <v>4310</v>
      </c>
      <c r="C18026">
        <v>449</v>
      </c>
      <c r="D18026">
        <v>379</v>
      </c>
      <c r="E18026">
        <v>1577018392</v>
      </c>
      <c r="F18026">
        <v>497</v>
      </c>
      <c r="G18026">
        <v>0</v>
      </c>
      <c r="H18026" t="s">
        <v>22863</v>
      </c>
      <c r="I18026">
        <v>20532</v>
      </c>
      <c r="J18026" t="str">
        <f>VLOOKUP(E18026,DSSpieler!A:B,2,FALSE)</f>
        <v>ElNino97</v>
      </c>
    </row>
    <row r="18027" spans="1:10" x14ac:dyDescent="0.25">
      <c r="A18027">
        <v>20533</v>
      </c>
      <c r="B18027" t="s">
        <v>4311</v>
      </c>
      <c r="C18027">
        <v>430</v>
      </c>
      <c r="D18027">
        <v>386</v>
      </c>
      <c r="E18027">
        <v>1577134462</v>
      </c>
      <c r="F18027">
        <v>426</v>
      </c>
      <c r="G18027">
        <v>0</v>
      </c>
      <c r="H18027" t="s">
        <v>22864</v>
      </c>
      <c r="I18027">
        <v>20533</v>
      </c>
      <c r="J18027" t="str">
        <f>VLOOKUP(E18027,DSSpieler!A:B,2,FALSE)</f>
        <v>busibaer666</v>
      </c>
    </row>
    <row r="18028" spans="1:10" x14ac:dyDescent="0.25">
      <c r="A18028">
        <v>20534</v>
      </c>
      <c r="B18028" t="s">
        <v>4312</v>
      </c>
      <c r="C18028">
        <v>484</v>
      </c>
      <c r="D18028">
        <v>543</v>
      </c>
      <c r="E18028">
        <v>1577196667</v>
      </c>
      <c r="F18028">
        <v>98</v>
      </c>
      <c r="G18028">
        <v>0</v>
      </c>
      <c r="H18028" t="s">
        <v>22865</v>
      </c>
      <c r="I18028">
        <v>20534</v>
      </c>
      <c r="J18028" t="str">
        <f>VLOOKUP(E18028,DSSpieler!A:B,2,FALSE)</f>
        <v>Bonus93</v>
      </c>
    </row>
    <row r="18029" spans="1:10" x14ac:dyDescent="0.25">
      <c r="A18029">
        <v>20535</v>
      </c>
      <c r="B18029" t="s">
        <v>4313</v>
      </c>
      <c r="C18029">
        <v>507</v>
      </c>
      <c r="D18029">
        <v>367</v>
      </c>
      <c r="E18029">
        <v>1577208694</v>
      </c>
      <c r="F18029">
        <v>73</v>
      </c>
      <c r="G18029">
        <v>0</v>
      </c>
      <c r="H18029" t="s">
        <v>22866</v>
      </c>
      <c r="I18029">
        <v>20535</v>
      </c>
      <c r="J18029" t="str">
        <f>VLOOKUP(E18029,DSSpieler!A:B,2,FALSE)</f>
        <v>Ring96</v>
      </c>
    </row>
    <row r="18030" spans="1:10" x14ac:dyDescent="0.25">
      <c r="A18030">
        <v>20536</v>
      </c>
      <c r="B18030" t="s">
        <v>4314</v>
      </c>
      <c r="C18030">
        <v>579</v>
      </c>
      <c r="D18030">
        <v>607</v>
      </c>
      <c r="E18030">
        <v>1577205685</v>
      </c>
      <c r="F18030">
        <v>109</v>
      </c>
      <c r="G18030">
        <v>0</v>
      </c>
      <c r="H18030" t="s">
        <v>22867</v>
      </c>
      <c r="I18030">
        <v>20536</v>
      </c>
      <c r="J18030" t="str">
        <f>VLOOKUP(E18030,DSSpieler!A:B,2,FALSE)</f>
        <v>Celsius</v>
      </c>
    </row>
    <row r="18031" spans="1:10" x14ac:dyDescent="0.25">
      <c r="A18031">
        <v>20537</v>
      </c>
      <c r="B18031" t="s">
        <v>4315</v>
      </c>
      <c r="C18031">
        <v>377</v>
      </c>
      <c r="D18031">
        <v>447</v>
      </c>
      <c r="E18031">
        <v>2927517</v>
      </c>
      <c r="F18031">
        <v>369</v>
      </c>
      <c r="G18031">
        <v>0</v>
      </c>
      <c r="H18031" t="s">
        <v>22868</v>
      </c>
      <c r="I18031">
        <v>20537</v>
      </c>
      <c r="J18031" t="str">
        <f>VLOOKUP(E18031,DSSpieler!A:B,2,FALSE)</f>
        <v>Diemacht1</v>
      </c>
    </row>
    <row r="18032" spans="1:10" x14ac:dyDescent="0.25">
      <c r="A18032">
        <v>20538</v>
      </c>
      <c r="B18032" t="s">
        <v>4316</v>
      </c>
      <c r="C18032">
        <v>366</v>
      </c>
      <c r="D18032">
        <v>502</v>
      </c>
      <c r="E18032">
        <v>10017101</v>
      </c>
      <c r="F18032">
        <v>217</v>
      </c>
      <c r="G18032">
        <v>0</v>
      </c>
      <c r="H18032" t="s">
        <v>22869</v>
      </c>
      <c r="I18032">
        <v>20538</v>
      </c>
      <c r="J18032" t="str">
        <f>VLOOKUP(E18032,DSSpieler!A:B,2,FALSE)</f>
        <v>tombart1997</v>
      </c>
    </row>
    <row r="18033" spans="1:10" x14ac:dyDescent="0.25">
      <c r="A18033">
        <v>20539</v>
      </c>
      <c r="B18033" t="s">
        <v>4317</v>
      </c>
      <c r="C18033">
        <v>395</v>
      </c>
      <c r="D18033">
        <v>422</v>
      </c>
      <c r="E18033">
        <v>3106803</v>
      </c>
      <c r="F18033">
        <v>26</v>
      </c>
      <c r="G18033">
        <v>0</v>
      </c>
      <c r="H18033" t="s">
        <v>22870</v>
      </c>
      <c r="I18033">
        <v>20539</v>
      </c>
      <c r="J18033" t="str">
        <f>VLOOKUP(E18033,DSSpieler!A:B,2,FALSE)</f>
        <v>STORMMI</v>
      </c>
    </row>
    <row r="18034" spans="1:10" x14ac:dyDescent="0.25">
      <c r="A18034">
        <v>20540</v>
      </c>
      <c r="B18034" t="s">
        <v>4318</v>
      </c>
      <c r="C18034">
        <v>481</v>
      </c>
      <c r="D18034">
        <v>372</v>
      </c>
      <c r="E18034">
        <v>2384127</v>
      </c>
      <c r="F18034">
        <v>333</v>
      </c>
      <c r="G18034">
        <v>0</v>
      </c>
      <c r="H18034" t="s">
        <v>22871</v>
      </c>
      <c r="I18034">
        <v>20540</v>
      </c>
      <c r="J18034" t="str">
        <f>VLOOKUP(E18034,DSSpieler!A:B,2,FALSE)</f>
        <v>Dedaggi</v>
      </c>
    </row>
    <row r="18035" spans="1:10" x14ac:dyDescent="0.25">
      <c r="A18035">
        <v>20541</v>
      </c>
      <c r="B18035" t="s">
        <v>4319</v>
      </c>
      <c r="C18035">
        <v>634</v>
      </c>
      <c r="D18035">
        <v>529</v>
      </c>
      <c r="E18035">
        <v>1577190370</v>
      </c>
      <c r="F18035">
        <v>467</v>
      </c>
      <c r="G18035">
        <v>0</v>
      </c>
      <c r="H18035" t="s">
        <v>22872</v>
      </c>
      <c r="I18035">
        <v>20541</v>
      </c>
      <c r="J18035" t="str">
        <f>VLOOKUP(E18035,DSSpieler!A:B,2,FALSE)</f>
        <v>jenny1313</v>
      </c>
    </row>
    <row r="18036" spans="1:10" x14ac:dyDescent="0.25">
      <c r="A18036">
        <v>20542</v>
      </c>
      <c r="B18036" t="s">
        <v>31869</v>
      </c>
      <c r="C18036">
        <v>597</v>
      </c>
      <c r="D18036">
        <v>496</v>
      </c>
      <c r="E18036">
        <v>1577196825</v>
      </c>
      <c r="F18036">
        <v>450</v>
      </c>
      <c r="G18036">
        <v>0</v>
      </c>
      <c r="H18036" t="s">
        <v>22873</v>
      </c>
      <c r="I18036">
        <v>20542</v>
      </c>
      <c r="J18036" t="str">
        <f>VLOOKUP(E18036,DSSpieler!A:B,2,FALSE)</f>
        <v>Retep</v>
      </c>
    </row>
    <row r="18037" spans="1:10" x14ac:dyDescent="0.25">
      <c r="A18037">
        <v>20543</v>
      </c>
      <c r="B18037" t="s">
        <v>4320</v>
      </c>
      <c r="C18037">
        <v>478</v>
      </c>
      <c r="D18037">
        <v>367</v>
      </c>
      <c r="E18037">
        <v>2637684</v>
      </c>
      <c r="F18037">
        <v>211</v>
      </c>
      <c r="G18037">
        <v>0</v>
      </c>
      <c r="H18037" t="s">
        <v>22874</v>
      </c>
      <c r="I18037">
        <v>20543</v>
      </c>
      <c r="J18037" t="str">
        <f>VLOOKUP(E18037,DSSpieler!A:B,2,FALSE)</f>
        <v>King Men 10</v>
      </c>
    </row>
    <row r="18038" spans="1:10" x14ac:dyDescent="0.25">
      <c r="A18038">
        <v>20544</v>
      </c>
      <c r="B18038">
        <v>1</v>
      </c>
      <c r="C18038">
        <v>369</v>
      </c>
      <c r="D18038">
        <v>543</v>
      </c>
      <c r="E18038">
        <v>1576776469</v>
      </c>
      <c r="F18038">
        <v>340</v>
      </c>
      <c r="G18038">
        <v>0</v>
      </c>
      <c r="H18038" t="s">
        <v>22875</v>
      </c>
      <c r="I18038">
        <v>20544</v>
      </c>
      <c r="J18038" t="str">
        <f>VLOOKUP(E18038,DSSpieler!A:B,2,FALSE)</f>
        <v>König Lord MaxiKing</v>
      </c>
    </row>
    <row r="18039" spans="1:10" x14ac:dyDescent="0.25">
      <c r="A18039">
        <v>20545</v>
      </c>
      <c r="B18039" t="s">
        <v>4321</v>
      </c>
      <c r="C18039">
        <v>611</v>
      </c>
      <c r="D18039">
        <v>427</v>
      </c>
      <c r="E18039">
        <v>9232630</v>
      </c>
      <c r="F18039">
        <v>66</v>
      </c>
      <c r="G18039">
        <v>0</v>
      </c>
      <c r="H18039" t="s">
        <v>22876</v>
      </c>
      <c r="I18039">
        <v>20545</v>
      </c>
      <c r="J18039" t="str">
        <f>VLOOKUP(E18039,DSSpieler!A:B,2,FALSE)</f>
        <v>Essix3</v>
      </c>
    </row>
    <row r="18040" spans="1:10" x14ac:dyDescent="0.25">
      <c r="A18040">
        <v>20546</v>
      </c>
      <c r="B18040" t="s">
        <v>531</v>
      </c>
      <c r="C18040">
        <v>627</v>
      </c>
      <c r="D18040">
        <v>554</v>
      </c>
      <c r="E18040">
        <v>0</v>
      </c>
      <c r="F18040">
        <v>54</v>
      </c>
      <c r="G18040">
        <v>0</v>
      </c>
      <c r="H18040" t="s">
        <v>22877</v>
      </c>
      <c r="I18040">
        <v>20546</v>
      </c>
      <c r="J18040" t="e">
        <f>VLOOKUP(E18040,DSSpieler!A:B,2,FALSE)</f>
        <v>#N/A</v>
      </c>
    </row>
    <row r="18041" spans="1:10" x14ac:dyDescent="0.25">
      <c r="A18041">
        <v>20547</v>
      </c>
      <c r="B18041" t="s">
        <v>4322</v>
      </c>
      <c r="C18041">
        <v>371</v>
      </c>
      <c r="D18041">
        <v>543</v>
      </c>
      <c r="E18041">
        <v>1577208701</v>
      </c>
      <c r="F18041">
        <v>407</v>
      </c>
      <c r="G18041">
        <v>0</v>
      </c>
      <c r="H18041" t="s">
        <v>22878</v>
      </c>
      <c r="I18041">
        <v>20547</v>
      </c>
      <c r="J18041" t="str">
        <f>VLOOKUP(E18041,DSSpieler!A:B,2,FALSE)</f>
        <v>sp1r</v>
      </c>
    </row>
    <row r="18042" spans="1:10" x14ac:dyDescent="0.25">
      <c r="A18042">
        <v>20548</v>
      </c>
      <c r="B18042" t="s">
        <v>531</v>
      </c>
      <c r="C18042">
        <v>371</v>
      </c>
      <c r="D18042">
        <v>536</v>
      </c>
      <c r="E18042">
        <v>0</v>
      </c>
      <c r="F18042">
        <v>51</v>
      </c>
      <c r="G18042">
        <v>0</v>
      </c>
      <c r="H18042" t="s">
        <v>22879</v>
      </c>
      <c r="I18042">
        <v>20548</v>
      </c>
      <c r="J18042" t="e">
        <f>VLOOKUP(E18042,DSSpieler!A:B,2,FALSE)</f>
        <v>#N/A</v>
      </c>
    </row>
    <row r="18043" spans="1:10" x14ac:dyDescent="0.25">
      <c r="A18043">
        <v>20549</v>
      </c>
      <c r="B18043" t="s">
        <v>4323</v>
      </c>
      <c r="C18043">
        <v>516</v>
      </c>
      <c r="D18043">
        <v>495</v>
      </c>
      <c r="E18043">
        <v>1577145097</v>
      </c>
      <c r="F18043">
        <v>26</v>
      </c>
      <c r="G18043">
        <v>0</v>
      </c>
      <c r="H18043" t="s">
        <v>22880</v>
      </c>
      <c r="I18043">
        <v>20549</v>
      </c>
      <c r="J18043" t="str">
        <f>VLOOKUP(E18043,DSSpieler!A:B,2,FALSE)</f>
        <v>Black.Sun</v>
      </c>
    </row>
    <row r="18044" spans="1:10" x14ac:dyDescent="0.25">
      <c r="A18044">
        <v>20550</v>
      </c>
      <c r="B18044" t="s">
        <v>4324</v>
      </c>
      <c r="C18044">
        <v>366</v>
      </c>
      <c r="D18044">
        <v>493</v>
      </c>
      <c r="E18044">
        <v>1577207431</v>
      </c>
      <c r="F18044">
        <v>185</v>
      </c>
      <c r="G18044">
        <v>0</v>
      </c>
      <c r="H18044" t="s">
        <v>22881</v>
      </c>
      <c r="I18044">
        <v>20550</v>
      </c>
      <c r="J18044" t="str">
        <f>VLOOKUP(E18044,DSSpieler!A:B,2,FALSE)</f>
        <v>Alexandra1996</v>
      </c>
    </row>
    <row r="18045" spans="1:10" x14ac:dyDescent="0.25">
      <c r="A18045">
        <v>20551</v>
      </c>
      <c r="B18045" t="s">
        <v>531</v>
      </c>
      <c r="C18045">
        <v>460</v>
      </c>
      <c r="D18045">
        <v>627</v>
      </c>
      <c r="E18045">
        <v>0</v>
      </c>
      <c r="F18045">
        <v>50</v>
      </c>
      <c r="G18045">
        <v>0</v>
      </c>
      <c r="H18045" t="s">
        <v>22882</v>
      </c>
      <c r="I18045">
        <v>20551</v>
      </c>
      <c r="J18045" t="e">
        <f>VLOOKUP(E18045,DSSpieler!A:B,2,FALSE)</f>
        <v>#N/A</v>
      </c>
    </row>
    <row r="18046" spans="1:10" x14ac:dyDescent="0.25">
      <c r="A18046">
        <v>20552</v>
      </c>
      <c r="B18046" t="s">
        <v>35749</v>
      </c>
      <c r="C18046">
        <v>637</v>
      </c>
      <c r="D18046">
        <v>508</v>
      </c>
      <c r="E18046">
        <v>1576435605</v>
      </c>
      <c r="F18046">
        <v>141</v>
      </c>
      <c r="G18046">
        <v>0</v>
      </c>
      <c r="H18046" t="s">
        <v>22883</v>
      </c>
      <c r="I18046">
        <v>20552</v>
      </c>
      <c r="J18046" t="str">
        <f>VLOOKUP(E18046,DSSpieler!A:B,2,FALSE)</f>
        <v>König Mr.Cool</v>
      </c>
    </row>
    <row r="18047" spans="1:10" x14ac:dyDescent="0.25">
      <c r="A18047">
        <v>20553</v>
      </c>
      <c r="B18047" t="s">
        <v>4325</v>
      </c>
      <c r="C18047">
        <v>436</v>
      </c>
      <c r="D18047">
        <v>405</v>
      </c>
      <c r="E18047">
        <v>1577101707</v>
      </c>
      <c r="F18047">
        <v>26</v>
      </c>
      <c r="G18047">
        <v>0</v>
      </c>
      <c r="H18047" t="s">
        <v>22884</v>
      </c>
      <c r="I18047">
        <v>20553</v>
      </c>
      <c r="J18047" t="str">
        <f>VLOOKUP(E18047,DSSpieler!A:B,2,FALSE)</f>
        <v>Bobfired</v>
      </c>
    </row>
    <row r="18048" spans="1:10" x14ac:dyDescent="0.25">
      <c r="A18048">
        <v>20554</v>
      </c>
      <c r="B18048" t="s">
        <v>4326</v>
      </c>
      <c r="C18048">
        <v>385</v>
      </c>
      <c r="D18048">
        <v>570</v>
      </c>
      <c r="E18048">
        <v>1577188227</v>
      </c>
      <c r="F18048">
        <v>588</v>
      </c>
      <c r="G18048">
        <v>0</v>
      </c>
      <c r="H18048" t="s">
        <v>22885</v>
      </c>
      <c r="I18048">
        <v>20554</v>
      </c>
      <c r="J18048" t="str">
        <f>VLOOKUP(E18048,DSSpieler!A:B,2,FALSE)</f>
        <v>CallMeSandy</v>
      </c>
    </row>
    <row r="18049" spans="1:10" x14ac:dyDescent="0.25">
      <c r="A18049">
        <v>20555</v>
      </c>
      <c r="B18049" t="s">
        <v>4327</v>
      </c>
      <c r="C18049">
        <v>635</v>
      </c>
      <c r="D18049">
        <v>512</v>
      </c>
      <c r="E18049">
        <v>10225593</v>
      </c>
      <c r="F18049">
        <v>50</v>
      </c>
      <c r="G18049">
        <v>0</v>
      </c>
      <c r="H18049" t="s">
        <v>22886</v>
      </c>
      <c r="I18049">
        <v>20555</v>
      </c>
      <c r="J18049" t="str">
        <f>VLOOKUP(E18049,DSSpieler!A:B,2,FALSE)</f>
        <v>Siroliro</v>
      </c>
    </row>
    <row r="18050" spans="1:10" x14ac:dyDescent="0.25">
      <c r="A18050">
        <v>20556</v>
      </c>
      <c r="B18050" t="s">
        <v>4328</v>
      </c>
      <c r="C18050">
        <v>607</v>
      </c>
      <c r="D18050">
        <v>579</v>
      </c>
      <c r="E18050">
        <v>604338</v>
      </c>
      <c r="F18050">
        <v>260</v>
      </c>
      <c r="G18050">
        <v>0</v>
      </c>
      <c r="H18050" t="s">
        <v>22887</v>
      </c>
      <c r="I18050">
        <v>20556</v>
      </c>
      <c r="J18050" t="str">
        <f>VLOOKUP(E18050,DSSpieler!A:B,2,FALSE)</f>
        <v>Weisermann</v>
      </c>
    </row>
    <row r="18051" spans="1:10" x14ac:dyDescent="0.25">
      <c r="A18051">
        <v>20557</v>
      </c>
      <c r="B18051" t="s">
        <v>4329</v>
      </c>
      <c r="C18051">
        <v>411</v>
      </c>
      <c r="D18051">
        <v>398</v>
      </c>
      <c r="E18051">
        <v>7883310</v>
      </c>
      <c r="F18051">
        <v>26</v>
      </c>
      <c r="G18051">
        <v>0</v>
      </c>
      <c r="H18051" t="s">
        <v>22888</v>
      </c>
      <c r="I18051">
        <v>20557</v>
      </c>
      <c r="J18051" t="str">
        <f>VLOOKUP(E18051,DSSpieler!A:B,2,FALSE)</f>
        <v>Master Raller</v>
      </c>
    </row>
    <row r="18052" spans="1:10" x14ac:dyDescent="0.25">
      <c r="A18052">
        <v>20558</v>
      </c>
      <c r="B18052" t="s">
        <v>4330</v>
      </c>
      <c r="C18052">
        <v>594</v>
      </c>
      <c r="D18052">
        <v>588</v>
      </c>
      <c r="E18052">
        <v>1577196353</v>
      </c>
      <c r="F18052">
        <v>302</v>
      </c>
      <c r="G18052">
        <v>0</v>
      </c>
      <c r="H18052" t="s">
        <v>22889</v>
      </c>
      <c r="I18052">
        <v>20558</v>
      </c>
      <c r="J18052" t="str">
        <f>VLOOKUP(E18052,DSSpieler!A:B,2,FALSE)</f>
        <v>Sue lu</v>
      </c>
    </row>
    <row r="18053" spans="1:10" x14ac:dyDescent="0.25">
      <c r="A18053">
        <v>20559</v>
      </c>
      <c r="B18053" t="s">
        <v>4331</v>
      </c>
      <c r="C18053">
        <v>469</v>
      </c>
      <c r="D18053">
        <v>635</v>
      </c>
      <c r="E18053">
        <v>1577200734</v>
      </c>
      <c r="F18053">
        <v>38</v>
      </c>
      <c r="G18053">
        <v>0</v>
      </c>
      <c r="H18053" t="s">
        <v>22890</v>
      </c>
      <c r="I18053">
        <v>20559</v>
      </c>
      <c r="J18053" t="str">
        <f>VLOOKUP(E18053,DSSpieler!A:B,2,FALSE)</f>
        <v>wora60</v>
      </c>
    </row>
    <row r="18054" spans="1:10" x14ac:dyDescent="0.25">
      <c r="A18054">
        <v>20560</v>
      </c>
      <c r="B18054" t="s">
        <v>4332</v>
      </c>
      <c r="C18054">
        <v>418</v>
      </c>
      <c r="D18054">
        <v>605</v>
      </c>
      <c r="E18054">
        <v>1576331207</v>
      </c>
      <c r="F18054">
        <v>26</v>
      </c>
      <c r="G18054">
        <v>0</v>
      </c>
      <c r="H18054" t="s">
        <v>22891</v>
      </c>
      <c r="I18054">
        <v>20560</v>
      </c>
      <c r="J18054" t="str">
        <f>VLOOKUP(E18054,DSSpieler!A:B,2,FALSE)</f>
        <v>archevil</v>
      </c>
    </row>
    <row r="18055" spans="1:10" x14ac:dyDescent="0.25">
      <c r="A18055">
        <v>20561</v>
      </c>
      <c r="B18055" t="s">
        <v>4333</v>
      </c>
      <c r="C18055">
        <v>439</v>
      </c>
      <c r="D18055">
        <v>378</v>
      </c>
      <c r="E18055">
        <v>1577137518</v>
      </c>
      <c r="F18055">
        <v>26</v>
      </c>
      <c r="G18055">
        <v>0</v>
      </c>
      <c r="H18055" t="s">
        <v>22892</v>
      </c>
      <c r="I18055">
        <v>20561</v>
      </c>
      <c r="J18055" t="str">
        <f>VLOOKUP(E18055,DSSpieler!A:B,2,FALSE)</f>
        <v>Lady-Mercedes</v>
      </c>
    </row>
    <row r="18056" spans="1:10" x14ac:dyDescent="0.25">
      <c r="A18056">
        <v>20562</v>
      </c>
      <c r="B18056" t="s">
        <v>35750</v>
      </c>
      <c r="C18056">
        <v>436</v>
      </c>
      <c r="D18056">
        <v>445</v>
      </c>
      <c r="E18056">
        <v>10293191</v>
      </c>
      <c r="F18056">
        <v>733</v>
      </c>
      <c r="G18056">
        <v>0</v>
      </c>
      <c r="H18056" t="s">
        <v>22893</v>
      </c>
      <c r="I18056">
        <v>20562</v>
      </c>
      <c r="J18056" t="str">
        <f>VLOOKUP(E18056,DSSpieler!A:B,2,FALSE)</f>
        <v>GerFreak</v>
      </c>
    </row>
    <row r="18057" spans="1:10" x14ac:dyDescent="0.25">
      <c r="A18057">
        <v>20563</v>
      </c>
      <c r="B18057" t="s">
        <v>4334</v>
      </c>
      <c r="C18057">
        <v>390</v>
      </c>
      <c r="D18057">
        <v>421</v>
      </c>
      <c r="E18057">
        <v>1577208722</v>
      </c>
      <c r="F18057">
        <v>318</v>
      </c>
      <c r="G18057">
        <v>0</v>
      </c>
      <c r="H18057" t="s">
        <v>22894</v>
      </c>
      <c r="I18057">
        <v>20563</v>
      </c>
      <c r="J18057" t="str">
        <f>VLOOKUP(E18057,DSSpieler!A:B,2,FALSE)</f>
        <v>Flysurfer-fan</v>
      </c>
    </row>
    <row r="18058" spans="1:10" x14ac:dyDescent="0.25">
      <c r="A18058">
        <v>20564</v>
      </c>
      <c r="B18058" t="s">
        <v>4335</v>
      </c>
      <c r="C18058">
        <v>429</v>
      </c>
      <c r="D18058">
        <v>612</v>
      </c>
      <c r="E18058">
        <v>1577189629</v>
      </c>
      <c r="F18058">
        <v>396</v>
      </c>
      <c r="G18058">
        <v>0</v>
      </c>
      <c r="H18058" t="s">
        <v>22895</v>
      </c>
      <c r="I18058">
        <v>20564</v>
      </c>
      <c r="J18058" t="str">
        <f>VLOOKUP(E18058,DSSpieler!A:B,2,FALSE)</f>
        <v>danyvonluxemburg</v>
      </c>
    </row>
    <row r="18059" spans="1:10" x14ac:dyDescent="0.25">
      <c r="A18059">
        <v>20565</v>
      </c>
      <c r="B18059" t="s">
        <v>4336</v>
      </c>
      <c r="C18059">
        <v>532</v>
      </c>
      <c r="D18059">
        <v>375</v>
      </c>
      <c r="E18059">
        <v>2666558</v>
      </c>
      <c r="F18059">
        <v>411</v>
      </c>
      <c r="G18059">
        <v>0</v>
      </c>
      <c r="H18059" t="s">
        <v>22896</v>
      </c>
      <c r="I18059">
        <v>20565</v>
      </c>
      <c r="J18059" t="str">
        <f>VLOOKUP(E18059,DSSpieler!A:B,2,FALSE)</f>
        <v>Gnadenlos65</v>
      </c>
    </row>
    <row r="18060" spans="1:10" x14ac:dyDescent="0.25">
      <c r="A18060">
        <v>20566</v>
      </c>
      <c r="B18060" t="s">
        <v>531</v>
      </c>
      <c r="C18060">
        <v>415</v>
      </c>
      <c r="D18060">
        <v>394</v>
      </c>
      <c r="E18060">
        <v>0</v>
      </c>
      <c r="F18060">
        <v>44</v>
      </c>
      <c r="G18060">
        <v>0</v>
      </c>
      <c r="H18060" t="s">
        <v>22897</v>
      </c>
      <c r="I18060">
        <v>20566</v>
      </c>
      <c r="J18060" t="e">
        <f>VLOOKUP(E18060,DSSpieler!A:B,2,FALSE)</f>
        <v>#N/A</v>
      </c>
    </row>
    <row r="18061" spans="1:10" x14ac:dyDescent="0.25">
      <c r="A18061">
        <v>20567</v>
      </c>
      <c r="B18061" t="s">
        <v>4337</v>
      </c>
      <c r="C18061">
        <v>427</v>
      </c>
      <c r="D18061">
        <v>611</v>
      </c>
      <c r="E18061">
        <v>1577146166</v>
      </c>
      <c r="F18061">
        <v>26</v>
      </c>
      <c r="G18061">
        <v>0</v>
      </c>
      <c r="H18061" t="s">
        <v>22898</v>
      </c>
      <c r="I18061">
        <v>20567</v>
      </c>
      <c r="J18061" t="str">
        <f>VLOOKUP(E18061,DSSpieler!A:B,2,FALSE)</f>
        <v>Schrooom</v>
      </c>
    </row>
    <row r="18062" spans="1:10" x14ac:dyDescent="0.25">
      <c r="A18062">
        <v>20568</v>
      </c>
      <c r="B18062" t="s">
        <v>531</v>
      </c>
      <c r="C18062">
        <v>407</v>
      </c>
      <c r="D18062">
        <v>404</v>
      </c>
      <c r="E18062">
        <v>0</v>
      </c>
      <c r="F18062">
        <v>53</v>
      </c>
      <c r="G18062">
        <v>0</v>
      </c>
      <c r="H18062" t="s">
        <v>22899</v>
      </c>
      <c r="I18062">
        <v>20568</v>
      </c>
      <c r="J18062" t="e">
        <f>VLOOKUP(E18062,DSSpieler!A:B,2,FALSE)</f>
        <v>#N/A</v>
      </c>
    </row>
    <row r="18063" spans="1:10" x14ac:dyDescent="0.25">
      <c r="A18063">
        <v>20569</v>
      </c>
      <c r="B18063" t="s">
        <v>4338</v>
      </c>
      <c r="C18063">
        <v>365</v>
      </c>
      <c r="D18063">
        <v>484</v>
      </c>
      <c r="E18063">
        <v>1577199461</v>
      </c>
      <c r="F18063">
        <v>436</v>
      </c>
      <c r="G18063">
        <v>0</v>
      </c>
      <c r="H18063" t="s">
        <v>22900</v>
      </c>
      <c r="I18063">
        <v>20569</v>
      </c>
      <c r="J18063" t="str">
        <f>VLOOKUP(E18063,DSSpieler!A:B,2,FALSE)</f>
        <v>schnappmacher</v>
      </c>
    </row>
    <row r="18064" spans="1:10" x14ac:dyDescent="0.25">
      <c r="A18064">
        <v>20570</v>
      </c>
      <c r="B18064" t="s">
        <v>531</v>
      </c>
      <c r="C18064">
        <v>443</v>
      </c>
      <c r="D18064">
        <v>375</v>
      </c>
      <c r="E18064">
        <v>0</v>
      </c>
      <c r="F18064">
        <v>67</v>
      </c>
      <c r="G18064">
        <v>0</v>
      </c>
      <c r="H18064" t="s">
        <v>22901</v>
      </c>
      <c r="I18064">
        <v>20570</v>
      </c>
      <c r="J18064" t="e">
        <f>VLOOKUP(E18064,DSSpieler!A:B,2,FALSE)</f>
        <v>#N/A</v>
      </c>
    </row>
    <row r="18065" spans="1:10" x14ac:dyDescent="0.25">
      <c r="A18065">
        <v>20571</v>
      </c>
      <c r="B18065" t="s">
        <v>4339</v>
      </c>
      <c r="C18065">
        <v>507</v>
      </c>
      <c r="D18065">
        <v>635</v>
      </c>
      <c r="E18065">
        <v>1576793074</v>
      </c>
      <c r="F18065">
        <v>26</v>
      </c>
      <c r="G18065">
        <v>0</v>
      </c>
      <c r="H18065" t="s">
        <v>22902</v>
      </c>
      <c r="I18065">
        <v>20571</v>
      </c>
      <c r="J18065" t="str">
        <f>VLOOKUP(E18065,DSSpieler!A:B,2,FALSE)</f>
        <v>Suedon</v>
      </c>
    </row>
    <row r="18066" spans="1:10" x14ac:dyDescent="0.25">
      <c r="A18066">
        <v>20572</v>
      </c>
      <c r="B18066" t="s">
        <v>4340</v>
      </c>
      <c r="C18066">
        <v>379</v>
      </c>
      <c r="D18066">
        <v>564</v>
      </c>
      <c r="E18066">
        <v>9501588</v>
      </c>
      <c r="F18066">
        <v>51</v>
      </c>
      <c r="G18066">
        <v>0</v>
      </c>
      <c r="H18066" t="s">
        <v>22903</v>
      </c>
      <c r="I18066">
        <v>20572</v>
      </c>
      <c r="J18066" t="str">
        <f>VLOOKUP(E18066,DSSpieler!A:B,2,FALSE)</f>
        <v>kiam11</v>
      </c>
    </row>
    <row r="18067" spans="1:10" x14ac:dyDescent="0.25">
      <c r="A18067">
        <v>20573</v>
      </c>
      <c r="B18067" t="s">
        <v>531</v>
      </c>
      <c r="C18067">
        <v>371</v>
      </c>
      <c r="D18067">
        <v>530</v>
      </c>
      <c r="E18067">
        <v>0</v>
      </c>
      <c r="F18067">
        <v>85</v>
      </c>
      <c r="G18067">
        <v>0</v>
      </c>
      <c r="H18067" t="s">
        <v>22904</v>
      </c>
      <c r="I18067">
        <v>20573</v>
      </c>
      <c r="J18067" t="e">
        <f>VLOOKUP(E18067,DSSpieler!A:B,2,FALSE)</f>
        <v>#N/A</v>
      </c>
    </row>
    <row r="18068" spans="1:10" x14ac:dyDescent="0.25">
      <c r="A18068">
        <v>20574</v>
      </c>
      <c r="B18068" t="s">
        <v>4341</v>
      </c>
      <c r="C18068">
        <v>530</v>
      </c>
      <c r="D18068">
        <v>630</v>
      </c>
      <c r="E18068">
        <v>1575936239</v>
      </c>
      <c r="F18068">
        <v>246</v>
      </c>
      <c r="G18068">
        <v>0</v>
      </c>
      <c r="H18068" t="s">
        <v>22905</v>
      </c>
      <c r="I18068">
        <v>20574</v>
      </c>
      <c r="J18068" t="str">
        <f>VLOOKUP(E18068,DSSpieler!A:B,2,FALSE)</f>
        <v>Yusuf mach de Bus uf</v>
      </c>
    </row>
    <row r="18069" spans="1:10" x14ac:dyDescent="0.25">
      <c r="A18069">
        <v>20575</v>
      </c>
      <c r="B18069" t="s">
        <v>4342</v>
      </c>
      <c r="C18069">
        <v>402</v>
      </c>
      <c r="D18069">
        <v>589</v>
      </c>
      <c r="E18069">
        <v>1576398012</v>
      </c>
      <c r="F18069">
        <v>282</v>
      </c>
      <c r="G18069">
        <v>0</v>
      </c>
      <c r="H18069" t="s">
        <v>22906</v>
      </c>
      <c r="I18069">
        <v>20575</v>
      </c>
      <c r="J18069" t="str">
        <f>VLOOKUP(E18069,DSSpieler!A:B,2,FALSE)</f>
        <v>Folklore</v>
      </c>
    </row>
    <row r="18070" spans="1:10" x14ac:dyDescent="0.25">
      <c r="A18070">
        <v>20576</v>
      </c>
      <c r="B18070" t="s">
        <v>4343</v>
      </c>
      <c r="C18070">
        <v>632</v>
      </c>
      <c r="D18070">
        <v>522</v>
      </c>
      <c r="E18070">
        <v>1575887068</v>
      </c>
      <c r="F18070">
        <v>372</v>
      </c>
      <c r="G18070">
        <v>0</v>
      </c>
      <c r="H18070" t="s">
        <v>22907</v>
      </c>
      <c r="I18070">
        <v>20576</v>
      </c>
      <c r="J18070" t="str">
        <f>VLOOKUP(E18070,DSSpieler!A:B,2,FALSE)</f>
        <v>Zeinerus</v>
      </c>
    </row>
    <row r="18071" spans="1:10" x14ac:dyDescent="0.25">
      <c r="A18071">
        <v>20577</v>
      </c>
      <c r="B18071" t="s">
        <v>4344</v>
      </c>
      <c r="C18071">
        <v>383</v>
      </c>
      <c r="D18071">
        <v>428</v>
      </c>
      <c r="E18071">
        <v>1577208375</v>
      </c>
      <c r="F18071">
        <v>96</v>
      </c>
      <c r="G18071">
        <v>0</v>
      </c>
      <c r="H18071" t="s">
        <v>22908</v>
      </c>
      <c r="I18071">
        <v>20577</v>
      </c>
      <c r="J18071" t="str">
        <f>VLOOKUP(E18071,DSSpieler!A:B,2,FALSE)</f>
        <v>Nero311</v>
      </c>
    </row>
    <row r="18072" spans="1:10" x14ac:dyDescent="0.25">
      <c r="A18072">
        <v>20578</v>
      </c>
      <c r="B18072" t="s">
        <v>4345</v>
      </c>
      <c r="C18072">
        <v>582</v>
      </c>
      <c r="D18072">
        <v>391</v>
      </c>
      <c r="E18072">
        <v>1576830313</v>
      </c>
      <c r="F18072">
        <v>26</v>
      </c>
      <c r="G18072">
        <v>0</v>
      </c>
      <c r="H18072" t="s">
        <v>22909</v>
      </c>
      <c r="I18072">
        <v>20578</v>
      </c>
      <c r="J18072" t="str">
        <f>VLOOKUP(E18072,DSSpieler!A:B,2,FALSE)</f>
        <v>.Always</v>
      </c>
    </row>
    <row r="18073" spans="1:10" x14ac:dyDescent="0.25">
      <c r="A18073">
        <v>20579</v>
      </c>
      <c r="B18073" t="s">
        <v>4346</v>
      </c>
      <c r="C18073">
        <v>400</v>
      </c>
      <c r="D18073">
        <v>591</v>
      </c>
      <c r="E18073">
        <v>3366692</v>
      </c>
      <c r="F18073">
        <v>156</v>
      </c>
      <c r="G18073">
        <v>0</v>
      </c>
      <c r="H18073" t="s">
        <v>22910</v>
      </c>
      <c r="I18073">
        <v>20579</v>
      </c>
      <c r="J18073" t="str">
        <f>VLOOKUP(E18073,DSSpieler!A:B,2,FALSE)</f>
        <v>der-eiskalte</v>
      </c>
    </row>
    <row r="18074" spans="1:10" x14ac:dyDescent="0.25">
      <c r="A18074">
        <v>20580</v>
      </c>
      <c r="B18074" t="s">
        <v>4347</v>
      </c>
      <c r="C18074">
        <v>528</v>
      </c>
      <c r="D18074">
        <v>498</v>
      </c>
      <c r="E18074">
        <v>1576928840</v>
      </c>
      <c r="F18074">
        <v>87</v>
      </c>
      <c r="G18074">
        <v>0</v>
      </c>
      <c r="H18074" t="s">
        <v>22911</v>
      </c>
      <c r="I18074">
        <v>20580</v>
      </c>
      <c r="J18074" t="str">
        <f>VLOOKUP(E18074,DSSpieler!A:B,2,FALSE)</f>
        <v>StefanHegi</v>
      </c>
    </row>
    <row r="18075" spans="1:10" x14ac:dyDescent="0.25">
      <c r="A18075">
        <v>20581</v>
      </c>
      <c r="B18075" t="s">
        <v>4348</v>
      </c>
      <c r="C18075">
        <v>470</v>
      </c>
      <c r="D18075">
        <v>370</v>
      </c>
      <c r="E18075">
        <v>1577208732</v>
      </c>
      <c r="F18075">
        <v>50</v>
      </c>
      <c r="G18075">
        <v>0</v>
      </c>
      <c r="H18075" t="s">
        <v>22912</v>
      </c>
      <c r="I18075">
        <v>20581</v>
      </c>
      <c r="J18075" t="str">
        <f>VLOOKUP(E18075,DSSpieler!A:B,2,FALSE)</f>
        <v>Lord heiniprinz</v>
      </c>
    </row>
    <row r="18076" spans="1:10" x14ac:dyDescent="0.25">
      <c r="A18076">
        <v>20582</v>
      </c>
      <c r="B18076" t="s">
        <v>4349</v>
      </c>
      <c r="C18076">
        <v>636</v>
      </c>
      <c r="D18076">
        <v>525</v>
      </c>
      <c r="E18076">
        <v>8846444</v>
      </c>
      <c r="F18076">
        <v>180</v>
      </c>
      <c r="G18076">
        <v>0</v>
      </c>
      <c r="H18076" t="s">
        <v>22913</v>
      </c>
      <c r="I18076">
        <v>20582</v>
      </c>
      <c r="J18076" t="str">
        <f>VLOOKUP(E18076,DSSpieler!A:B,2,FALSE)</f>
        <v>galer10</v>
      </c>
    </row>
    <row r="18077" spans="1:10" x14ac:dyDescent="0.25">
      <c r="A18077">
        <v>20583</v>
      </c>
      <c r="B18077" t="s">
        <v>4350</v>
      </c>
      <c r="C18077">
        <v>543</v>
      </c>
      <c r="D18077">
        <v>371</v>
      </c>
      <c r="E18077">
        <v>1577199982</v>
      </c>
      <c r="F18077">
        <v>26</v>
      </c>
      <c r="G18077">
        <v>0</v>
      </c>
      <c r="H18077" t="s">
        <v>22914</v>
      </c>
      <c r="I18077">
        <v>20583</v>
      </c>
      <c r="J18077" t="str">
        <f>VLOOKUP(E18077,DSSpieler!A:B,2,FALSE)</f>
        <v>Tomto</v>
      </c>
    </row>
    <row r="18078" spans="1:10" x14ac:dyDescent="0.25">
      <c r="A18078">
        <v>20584</v>
      </c>
      <c r="B18078" t="s">
        <v>4351</v>
      </c>
      <c r="C18078">
        <v>487</v>
      </c>
      <c r="D18078">
        <v>470</v>
      </c>
      <c r="E18078">
        <v>9712251</v>
      </c>
      <c r="F18078">
        <v>286</v>
      </c>
      <c r="G18078">
        <v>0</v>
      </c>
      <c r="H18078" t="s">
        <v>22915</v>
      </c>
      <c r="I18078">
        <v>20584</v>
      </c>
      <c r="J18078" t="str">
        <f>VLOOKUP(E18078,DSSpieler!A:B,2,FALSE)</f>
        <v>19CrazyCore96</v>
      </c>
    </row>
    <row r="18079" spans="1:10" x14ac:dyDescent="0.25">
      <c r="A18079">
        <v>20585</v>
      </c>
      <c r="B18079" t="s">
        <v>4352</v>
      </c>
      <c r="C18079">
        <v>558</v>
      </c>
      <c r="D18079">
        <v>623</v>
      </c>
      <c r="E18079">
        <v>1866172</v>
      </c>
      <c r="F18079">
        <v>306</v>
      </c>
      <c r="G18079">
        <v>0</v>
      </c>
      <c r="H18079" t="s">
        <v>22916</v>
      </c>
      <c r="I18079">
        <v>20585</v>
      </c>
      <c r="J18079" t="str">
        <f>VLOOKUP(E18079,DSSpieler!A:B,2,FALSE)</f>
        <v>highflyer1</v>
      </c>
    </row>
    <row r="18080" spans="1:10" x14ac:dyDescent="0.25">
      <c r="A18080">
        <v>20586</v>
      </c>
      <c r="B18080" t="s">
        <v>531</v>
      </c>
      <c r="C18080">
        <v>373</v>
      </c>
      <c r="D18080">
        <v>449</v>
      </c>
      <c r="E18080">
        <v>0</v>
      </c>
      <c r="F18080">
        <v>47</v>
      </c>
      <c r="G18080">
        <v>0</v>
      </c>
      <c r="H18080" t="s">
        <v>22917</v>
      </c>
      <c r="I18080">
        <v>20586</v>
      </c>
      <c r="J18080" t="e">
        <f>VLOOKUP(E18080,DSSpieler!A:B,2,FALSE)</f>
        <v>#N/A</v>
      </c>
    </row>
    <row r="18081" spans="1:10" x14ac:dyDescent="0.25">
      <c r="A18081">
        <v>20587</v>
      </c>
      <c r="B18081" t="s">
        <v>35751</v>
      </c>
      <c r="C18081">
        <v>389</v>
      </c>
      <c r="D18081">
        <v>424</v>
      </c>
      <c r="E18081">
        <v>1577022084</v>
      </c>
      <c r="F18081">
        <v>26</v>
      </c>
      <c r="G18081">
        <v>0</v>
      </c>
      <c r="H18081" t="s">
        <v>22918</v>
      </c>
      <c r="I18081">
        <v>20587</v>
      </c>
      <c r="J18081" t="str">
        <f>VLOOKUP(E18081,DSSpieler!A:B,2,FALSE)</f>
        <v>Schmajo*</v>
      </c>
    </row>
    <row r="18082" spans="1:10" x14ac:dyDescent="0.25">
      <c r="A18082">
        <v>20588</v>
      </c>
      <c r="B18082" t="s">
        <v>4353</v>
      </c>
      <c r="C18082">
        <v>486</v>
      </c>
      <c r="D18082">
        <v>636</v>
      </c>
      <c r="E18082">
        <v>1577104831</v>
      </c>
      <c r="F18082">
        <v>26</v>
      </c>
      <c r="G18082">
        <v>0</v>
      </c>
      <c r="H18082" t="s">
        <v>22919</v>
      </c>
      <c r="I18082">
        <v>20588</v>
      </c>
      <c r="J18082" t="str">
        <f>VLOOKUP(E18082,DSSpieler!A:B,2,FALSE)</f>
        <v>Dhoem</v>
      </c>
    </row>
    <row r="18083" spans="1:10" x14ac:dyDescent="0.25">
      <c r="A18083">
        <v>20589</v>
      </c>
      <c r="B18083" t="s">
        <v>4354</v>
      </c>
      <c r="C18083">
        <v>453</v>
      </c>
      <c r="D18083">
        <v>625</v>
      </c>
      <c r="E18083">
        <v>1577161118</v>
      </c>
      <c r="F18083">
        <v>152</v>
      </c>
      <c r="G18083">
        <v>0</v>
      </c>
      <c r="H18083" t="s">
        <v>22920</v>
      </c>
      <c r="I18083">
        <v>20589</v>
      </c>
      <c r="J18083" t="str">
        <f>VLOOKUP(E18083,DSSpieler!A:B,2,FALSE)</f>
        <v>Nagelfar</v>
      </c>
    </row>
    <row r="18084" spans="1:10" x14ac:dyDescent="0.25">
      <c r="A18084">
        <v>20590</v>
      </c>
      <c r="B18084" t="s">
        <v>4355</v>
      </c>
      <c r="C18084">
        <v>574</v>
      </c>
      <c r="D18084">
        <v>385</v>
      </c>
      <c r="E18084">
        <v>9917125</v>
      </c>
      <c r="F18084">
        <v>500</v>
      </c>
      <c r="G18084">
        <v>0</v>
      </c>
      <c r="H18084" t="s">
        <v>22921</v>
      </c>
      <c r="I18084">
        <v>20590</v>
      </c>
      <c r="J18084" t="str">
        <f>VLOOKUP(E18084,DSSpieler!A:B,2,FALSE)</f>
        <v>MXBR</v>
      </c>
    </row>
    <row r="18085" spans="1:10" x14ac:dyDescent="0.25">
      <c r="A18085">
        <v>20591</v>
      </c>
      <c r="B18085" t="s">
        <v>4356</v>
      </c>
      <c r="C18085">
        <v>520</v>
      </c>
      <c r="D18085">
        <v>635</v>
      </c>
      <c r="E18085">
        <v>1577208745</v>
      </c>
      <c r="F18085">
        <v>354</v>
      </c>
      <c r="G18085">
        <v>0</v>
      </c>
      <c r="H18085" t="s">
        <v>22922</v>
      </c>
      <c r="I18085">
        <v>20591</v>
      </c>
      <c r="J18085" t="str">
        <f>VLOOKUP(E18085,DSSpieler!A:B,2,FALSE)</f>
        <v>zico</v>
      </c>
    </row>
    <row r="18086" spans="1:10" x14ac:dyDescent="0.25">
      <c r="A18086">
        <v>20592</v>
      </c>
      <c r="B18086">
        <v>235</v>
      </c>
      <c r="C18086">
        <v>517</v>
      </c>
      <c r="D18086">
        <v>637</v>
      </c>
      <c r="E18086">
        <v>1577208746</v>
      </c>
      <c r="F18086">
        <v>527</v>
      </c>
      <c r="G18086">
        <v>0</v>
      </c>
      <c r="H18086" t="s">
        <v>22923</v>
      </c>
      <c r="I18086">
        <v>20592</v>
      </c>
      <c r="J18086" t="str">
        <f>VLOOKUP(E18086,DSSpieler!A:B,2,FALSE)</f>
        <v>SB235</v>
      </c>
    </row>
    <row r="18087" spans="1:10" x14ac:dyDescent="0.25">
      <c r="A18087">
        <v>20593</v>
      </c>
      <c r="B18087" t="s">
        <v>35752</v>
      </c>
      <c r="C18087">
        <v>436</v>
      </c>
      <c r="D18087">
        <v>378</v>
      </c>
      <c r="E18087">
        <v>1576917638</v>
      </c>
      <c r="F18087">
        <v>296</v>
      </c>
      <c r="G18087">
        <v>0</v>
      </c>
      <c r="H18087" t="s">
        <v>22924</v>
      </c>
      <c r="I18087">
        <v>20593</v>
      </c>
      <c r="J18087" t="str">
        <f>VLOOKUP(E18087,DSSpieler!A:B,2,FALSE)</f>
        <v>King Ka</v>
      </c>
    </row>
    <row r="18088" spans="1:10" x14ac:dyDescent="0.25">
      <c r="A18088">
        <v>20594</v>
      </c>
      <c r="B18088" t="s">
        <v>4357</v>
      </c>
      <c r="C18088">
        <v>399</v>
      </c>
      <c r="D18088">
        <v>592</v>
      </c>
      <c r="E18088">
        <v>439841</v>
      </c>
      <c r="F18088">
        <v>236</v>
      </c>
      <c r="G18088">
        <v>0</v>
      </c>
      <c r="H18088" t="s">
        <v>22925</v>
      </c>
      <c r="I18088">
        <v>20594</v>
      </c>
      <c r="J18088" t="str">
        <f>VLOOKUP(E18088,DSSpieler!A:B,2,FALSE)</f>
        <v>7bacca7</v>
      </c>
    </row>
    <row r="18089" spans="1:10" x14ac:dyDescent="0.25">
      <c r="A18089">
        <v>20595</v>
      </c>
      <c r="B18089" t="s">
        <v>4358</v>
      </c>
      <c r="C18089">
        <v>503</v>
      </c>
      <c r="D18089">
        <v>385</v>
      </c>
      <c r="E18089">
        <v>8383781</v>
      </c>
      <c r="F18089">
        <v>343</v>
      </c>
      <c r="G18089">
        <v>0</v>
      </c>
      <c r="H18089" t="s">
        <v>22926</v>
      </c>
      <c r="I18089">
        <v>20595</v>
      </c>
      <c r="J18089" t="str">
        <f>VLOOKUP(E18089,DSSpieler!A:B,2,FALSE)</f>
        <v>Manu 555</v>
      </c>
    </row>
    <row r="18090" spans="1:10" x14ac:dyDescent="0.25">
      <c r="A18090">
        <v>20596</v>
      </c>
      <c r="B18090" t="s">
        <v>4359</v>
      </c>
      <c r="C18090">
        <v>554</v>
      </c>
      <c r="D18090">
        <v>374</v>
      </c>
      <c r="E18090">
        <v>1576427323</v>
      </c>
      <c r="F18090">
        <v>26</v>
      </c>
      <c r="G18090">
        <v>0</v>
      </c>
      <c r="H18090" t="s">
        <v>22927</v>
      </c>
      <c r="I18090">
        <v>20596</v>
      </c>
      <c r="J18090" t="str">
        <f>VLOOKUP(E18090,DSSpieler!A:B,2,FALSE)</f>
        <v>H.S.</v>
      </c>
    </row>
    <row r="18091" spans="1:10" x14ac:dyDescent="0.25">
      <c r="A18091">
        <v>20597</v>
      </c>
      <c r="B18091" t="s">
        <v>1249</v>
      </c>
      <c r="C18091">
        <v>425</v>
      </c>
      <c r="D18091">
        <v>607</v>
      </c>
      <c r="E18091">
        <v>1576810476</v>
      </c>
      <c r="F18091">
        <v>286</v>
      </c>
      <c r="G18091">
        <v>0</v>
      </c>
      <c r="H18091" t="s">
        <v>22928</v>
      </c>
      <c r="I18091">
        <v>20597</v>
      </c>
      <c r="J18091" t="str">
        <f>VLOOKUP(E18091,DSSpieler!A:B,2,FALSE)</f>
        <v>rambog0at</v>
      </c>
    </row>
    <row r="18092" spans="1:10" x14ac:dyDescent="0.25">
      <c r="A18092">
        <v>20598</v>
      </c>
      <c r="B18092" t="s">
        <v>531</v>
      </c>
      <c r="C18092">
        <v>636</v>
      </c>
      <c r="D18092">
        <v>505</v>
      </c>
      <c r="E18092">
        <v>0</v>
      </c>
      <c r="F18092">
        <v>60</v>
      </c>
      <c r="G18092">
        <v>0</v>
      </c>
      <c r="H18092" t="s">
        <v>22929</v>
      </c>
      <c r="I18092">
        <v>20598</v>
      </c>
      <c r="J18092" t="e">
        <f>VLOOKUP(E18092,DSSpieler!A:B,2,FALSE)</f>
        <v>#N/A</v>
      </c>
    </row>
    <row r="18093" spans="1:10" x14ac:dyDescent="0.25">
      <c r="A18093">
        <v>20599</v>
      </c>
      <c r="B18093" t="s">
        <v>4360</v>
      </c>
      <c r="C18093">
        <v>562</v>
      </c>
      <c r="D18093">
        <v>624</v>
      </c>
      <c r="E18093">
        <v>1576965057</v>
      </c>
      <c r="F18093">
        <v>32</v>
      </c>
      <c r="G18093">
        <v>0</v>
      </c>
      <c r="H18093" t="s">
        <v>22930</v>
      </c>
      <c r="I18093">
        <v>20599</v>
      </c>
      <c r="J18093" t="str">
        <f>VLOOKUP(E18093,DSSpieler!A:B,2,FALSE)</f>
        <v>Servant of Hecate</v>
      </c>
    </row>
    <row r="18094" spans="1:10" x14ac:dyDescent="0.25">
      <c r="A18094">
        <v>20600</v>
      </c>
      <c r="B18094" t="s">
        <v>531</v>
      </c>
      <c r="C18094">
        <v>632</v>
      </c>
      <c r="D18094">
        <v>461</v>
      </c>
      <c r="E18094">
        <v>0</v>
      </c>
      <c r="F18094">
        <v>51</v>
      </c>
      <c r="G18094">
        <v>0</v>
      </c>
      <c r="H18094" t="s">
        <v>22931</v>
      </c>
      <c r="I18094">
        <v>20600</v>
      </c>
      <c r="J18094" t="e">
        <f>VLOOKUP(E18094,DSSpieler!A:B,2,FALSE)</f>
        <v>#N/A</v>
      </c>
    </row>
    <row r="18095" spans="1:10" x14ac:dyDescent="0.25">
      <c r="A18095">
        <v>20601</v>
      </c>
      <c r="B18095" t="s">
        <v>4361</v>
      </c>
      <c r="C18095">
        <v>608</v>
      </c>
      <c r="D18095">
        <v>586</v>
      </c>
      <c r="E18095">
        <v>1577182754</v>
      </c>
      <c r="F18095">
        <v>175</v>
      </c>
      <c r="G18095">
        <v>0</v>
      </c>
      <c r="H18095" t="s">
        <v>22932</v>
      </c>
      <c r="I18095">
        <v>20601</v>
      </c>
      <c r="J18095" t="str">
        <f>VLOOKUP(E18095,DSSpieler!A:B,2,FALSE)</f>
        <v>junas3000</v>
      </c>
    </row>
    <row r="18096" spans="1:10" x14ac:dyDescent="0.25">
      <c r="A18096">
        <v>20602</v>
      </c>
      <c r="B18096" t="s">
        <v>4362</v>
      </c>
      <c r="C18096">
        <v>609</v>
      </c>
      <c r="D18096">
        <v>554</v>
      </c>
      <c r="E18096">
        <v>10087565</v>
      </c>
      <c r="F18096">
        <v>202</v>
      </c>
      <c r="G18096">
        <v>0</v>
      </c>
      <c r="H18096" t="s">
        <v>22933</v>
      </c>
      <c r="I18096">
        <v>20602</v>
      </c>
      <c r="J18096" t="str">
        <f>VLOOKUP(E18096,DSSpieler!A:B,2,FALSE)</f>
        <v>manu2003</v>
      </c>
    </row>
    <row r="18097" spans="1:10" x14ac:dyDescent="0.25">
      <c r="A18097">
        <v>20603</v>
      </c>
      <c r="B18097" t="s">
        <v>4363</v>
      </c>
      <c r="C18097">
        <v>376</v>
      </c>
      <c r="D18097">
        <v>456</v>
      </c>
      <c r="E18097">
        <v>1576955344</v>
      </c>
      <c r="F18097">
        <v>461</v>
      </c>
      <c r="G18097">
        <v>0</v>
      </c>
      <c r="H18097" t="s">
        <v>22934</v>
      </c>
      <c r="I18097">
        <v>20603</v>
      </c>
      <c r="J18097" t="str">
        <f>VLOOKUP(E18097,DSSpieler!A:B,2,FALSE)</f>
        <v>Weissla</v>
      </c>
    </row>
    <row r="18098" spans="1:10" x14ac:dyDescent="0.25">
      <c r="A18098">
        <v>20604</v>
      </c>
      <c r="B18098" t="s">
        <v>4364</v>
      </c>
      <c r="C18098">
        <v>509</v>
      </c>
      <c r="D18098">
        <v>638</v>
      </c>
      <c r="E18098">
        <v>1577150128</v>
      </c>
      <c r="F18098">
        <v>418</v>
      </c>
      <c r="G18098">
        <v>0</v>
      </c>
      <c r="H18098" t="s">
        <v>22935</v>
      </c>
      <c r="I18098">
        <v>20604</v>
      </c>
      <c r="J18098" t="str">
        <f>VLOOKUP(E18098,DSSpieler!A:B,2,FALSE)</f>
        <v>beda35</v>
      </c>
    </row>
    <row r="18099" spans="1:10" x14ac:dyDescent="0.25">
      <c r="A18099">
        <v>20605</v>
      </c>
      <c r="B18099" t="s">
        <v>4365</v>
      </c>
      <c r="C18099">
        <v>365</v>
      </c>
      <c r="D18099">
        <v>526</v>
      </c>
      <c r="E18099">
        <v>1577194006</v>
      </c>
      <c r="F18099">
        <v>166</v>
      </c>
      <c r="G18099">
        <v>0</v>
      </c>
      <c r="H18099" t="s">
        <v>22936</v>
      </c>
      <c r="I18099">
        <v>20605</v>
      </c>
      <c r="J18099" t="str">
        <f>VLOOKUP(E18099,DSSpieler!A:B,2,FALSE)</f>
        <v>Torres</v>
      </c>
    </row>
    <row r="18100" spans="1:10" x14ac:dyDescent="0.25">
      <c r="A18100">
        <v>20606</v>
      </c>
      <c r="B18100" t="s">
        <v>531</v>
      </c>
      <c r="C18100">
        <v>544</v>
      </c>
      <c r="D18100">
        <v>369</v>
      </c>
      <c r="E18100">
        <v>0</v>
      </c>
      <c r="F18100">
        <v>42</v>
      </c>
      <c r="G18100">
        <v>0</v>
      </c>
      <c r="H18100" t="s">
        <v>22937</v>
      </c>
      <c r="I18100">
        <v>20606</v>
      </c>
      <c r="J18100" t="e">
        <f>VLOOKUP(E18100,DSSpieler!A:B,2,FALSE)</f>
        <v>#N/A</v>
      </c>
    </row>
    <row r="18101" spans="1:10" x14ac:dyDescent="0.25">
      <c r="A18101">
        <v>20607</v>
      </c>
      <c r="B18101" t="s">
        <v>4366</v>
      </c>
      <c r="C18101">
        <v>606</v>
      </c>
      <c r="D18101">
        <v>580</v>
      </c>
      <c r="E18101">
        <v>7793327</v>
      </c>
      <c r="F18101">
        <v>259</v>
      </c>
      <c r="G18101">
        <v>0</v>
      </c>
      <c r="H18101" t="s">
        <v>22938</v>
      </c>
      <c r="I18101">
        <v>20607</v>
      </c>
      <c r="J18101" t="str">
        <f>VLOOKUP(E18101,DSSpieler!A:B,2,FALSE)</f>
        <v>caddy81</v>
      </c>
    </row>
    <row r="18102" spans="1:10" x14ac:dyDescent="0.25">
      <c r="A18102">
        <v>20608</v>
      </c>
      <c r="B18102" t="s">
        <v>531</v>
      </c>
      <c r="C18102">
        <v>634</v>
      </c>
      <c r="D18102">
        <v>513</v>
      </c>
      <c r="E18102">
        <v>0</v>
      </c>
      <c r="F18102">
        <v>36</v>
      </c>
      <c r="G18102">
        <v>0</v>
      </c>
      <c r="H18102" t="s">
        <v>22939</v>
      </c>
      <c r="I18102">
        <v>20608</v>
      </c>
      <c r="J18102" t="e">
        <f>VLOOKUP(E18102,DSSpieler!A:B,2,FALSE)</f>
        <v>#N/A</v>
      </c>
    </row>
    <row r="18103" spans="1:10" x14ac:dyDescent="0.25">
      <c r="A18103">
        <v>20609</v>
      </c>
      <c r="B18103" t="s">
        <v>4367</v>
      </c>
      <c r="C18103">
        <v>507</v>
      </c>
      <c r="D18103">
        <v>636</v>
      </c>
      <c r="E18103">
        <v>1577193885</v>
      </c>
      <c r="F18103">
        <v>26</v>
      </c>
      <c r="G18103">
        <v>0</v>
      </c>
      <c r="H18103" t="s">
        <v>22940</v>
      </c>
      <c r="I18103">
        <v>20609</v>
      </c>
      <c r="J18103" t="str">
        <f>VLOOKUP(E18103,DSSpieler!A:B,2,FALSE)</f>
        <v>Nobadti</v>
      </c>
    </row>
    <row r="18104" spans="1:10" x14ac:dyDescent="0.25">
      <c r="A18104">
        <v>20610</v>
      </c>
      <c r="B18104" t="s">
        <v>4368</v>
      </c>
      <c r="C18104">
        <v>562</v>
      </c>
      <c r="D18104">
        <v>380</v>
      </c>
      <c r="E18104">
        <v>1576820156</v>
      </c>
      <c r="F18104">
        <v>26</v>
      </c>
      <c r="G18104">
        <v>0</v>
      </c>
      <c r="H18104" t="s">
        <v>22941</v>
      </c>
      <c r="I18104">
        <v>20610</v>
      </c>
      <c r="J18104" t="str">
        <f>VLOOKUP(E18104,DSSpieler!A:B,2,FALSE)</f>
        <v>Ritter Lukas</v>
      </c>
    </row>
    <row r="18105" spans="1:10" x14ac:dyDescent="0.25">
      <c r="A18105">
        <v>20611</v>
      </c>
      <c r="B18105" t="s">
        <v>4369</v>
      </c>
      <c r="C18105">
        <v>633</v>
      </c>
      <c r="D18105">
        <v>511</v>
      </c>
      <c r="E18105">
        <v>1576463784</v>
      </c>
      <c r="F18105">
        <v>77</v>
      </c>
      <c r="G18105">
        <v>0</v>
      </c>
      <c r="H18105" t="s">
        <v>22942</v>
      </c>
      <c r="I18105">
        <v>20611</v>
      </c>
      <c r="J18105" t="str">
        <f>VLOOKUP(E18105,DSSpieler!A:B,2,FALSE)</f>
        <v>warumbinichsoeinboss</v>
      </c>
    </row>
    <row r="18106" spans="1:10" x14ac:dyDescent="0.25">
      <c r="A18106">
        <v>20612</v>
      </c>
      <c r="B18106" t="s">
        <v>4370</v>
      </c>
      <c r="C18106">
        <v>472</v>
      </c>
      <c r="D18106">
        <v>633</v>
      </c>
      <c r="E18106">
        <v>1577050445</v>
      </c>
      <c r="F18106">
        <v>26</v>
      </c>
      <c r="G18106">
        <v>0</v>
      </c>
      <c r="H18106" t="s">
        <v>22943</v>
      </c>
      <c r="I18106">
        <v>20612</v>
      </c>
      <c r="J18106" t="str">
        <f>VLOOKUP(E18106,DSSpieler!A:B,2,FALSE)</f>
        <v>K3nob1</v>
      </c>
    </row>
    <row r="18107" spans="1:10" x14ac:dyDescent="0.25">
      <c r="A18107">
        <v>20613</v>
      </c>
      <c r="B18107" t="s">
        <v>4371</v>
      </c>
      <c r="C18107">
        <v>594</v>
      </c>
      <c r="D18107">
        <v>516</v>
      </c>
      <c r="E18107">
        <v>9330725</v>
      </c>
      <c r="F18107">
        <v>26</v>
      </c>
      <c r="G18107">
        <v>0</v>
      </c>
      <c r="H18107" t="s">
        <v>22944</v>
      </c>
      <c r="I18107">
        <v>20613</v>
      </c>
      <c r="J18107" t="str">
        <f>VLOOKUP(E18107,DSSpieler!A:B,2,FALSE)</f>
        <v>Mattlbomber</v>
      </c>
    </row>
    <row r="18108" spans="1:10" x14ac:dyDescent="0.25">
      <c r="A18108">
        <v>20614</v>
      </c>
      <c r="B18108" t="s">
        <v>4372</v>
      </c>
      <c r="C18108">
        <v>428</v>
      </c>
      <c r="D18108">
        <v>388</v>
      </c>
      <c r="E18108">
        <v>1576702565</v>
      </c>
      <c r="F18108">
        <v>26</v>
      </c>
      <c r="G18108">
        <v>0</v>
      </c>
      <c r="H18108" t="s">
        <v>22945</v>
      </c>
      <c r="I18108">
        <v>20614</v>
      </c>
      <c r="J18108" t="str">
        <f>VLOOKUP(E18108,DSSpieler!A:B,2,FALSE)</f>
        <v>MajrManu</v>
      </c>
    </row>
    <row r="18109" spans="1:10" x14ac:dyDescent="0.25">
      <c r="A18109">
        <v>20615</v>
      </c>
      <c r="B18109" t="s">
        <v>4373</v>
      </c>
      <c r="C18109">
        <v>603</v>
      </c>
      <c r="D18109">
        <v>505</v>
      </c>
      <c r="E18109">
        <v>1577192926</v>
      </c>
      <c r="F18109">
        <v>47</v>
      </c>
      <c r="G18109">
        <v>0</v>
      </c>
      <c r="H18109" t="s">
        <v>22946</v>
      </c>
      <c r="I18109">
        <v>20615</v>
      </c>
      <c r="J18109" t="str">
        <f>VLOOKUP(E18109,DSSpieler!A:B,2,FALSE)</f>
        <v>ninjaname</v>
      </c>
    </row>
    <row r="18110" spans="1:10" x14ac:dyDescent="0.25">
      <c r="A18110">
        <v>20616</v>
      </c>
      <c r="B18110" t="s">
        <v>4374</v>
      </c>
      <c r="C18110">
        <v>537</v>
      </c>
      <c r="D18110">
        <v>632</v>
      </c>
      <c r="E18110">
        <v>8397536</v>
      </c>
      <c r="F18110">
        <v>26</v>
      </c>
      <c r="G18110">
        <v>0</v>
      </c>
      <c r="H18110" t="s">
        <v>22947</v>
      </c>
      <c r="I18110">
        <v>20616</v>
      </c>
      <c r="J18110" t="str">
        <f>VLOOKUP(E18110,DSSpieler!A:B,2,FALSE)</f>
        <v>heizergdb19</v>
      </c>
    </row>
    <row r="18111" spans="1:10" x14ac:dyDescent="0.25">
      <c r="A18111">
        <v>20617</v>
      </c>
      <c r="B18111" t="s">
        <v>4375</v>
      </c>
      <c r="C18111">
        <v>611</v>
      </c>
      <c r="D18111">
        <v>508</v>
      </c>
      <c r="E18111">
        <v>1577192915</v>
      </c>
      <c r="F18111">
        <v>47</v>
      </c>
      <c r="G18111">
        <v>0</v>
      </c>
      <c r="H18111" t="s">
        <v>22948</v>
      </c>
      <c r="I18111">
        <v>20617</v>
      </c>
      <c r="J18111" t="str">
        <f>VLOOKUP(E18111,DSSpieler!A:B,2,FALSE)</f>
        <v>solomonreally</v>
      </c>
    </row>
    <row r="18112" spans="1:10" x14ac:dyDescent="0.25">
      <c r="A18112">
        <v>20618</v>
      </c>
      <c r="B18112" t="s">
        <v>4376</v>
      </c>
      <c r="C18112">
        <v>396</v>
      </c>
      <c r="D18112">
        <v>575</v>
      </c>
      <c r="E18112">
        <v>1577131105</v>
      </c>
      <c r="F18112">
        <v>321</v>
      </c>
      <c r="G18112">
        <v>0</v>
      </c>
      <c r="H18112" t="s">
        <v>22949</v>
      </c>
      <c r="I18112">
        <v>20618</v>
      </c>
      <c r="J18112" t="str">
        <f>VLOOKUP(E18112,DSSpieler!A:B,2,FALSE)</f>
        <v>Morduk666</v>
      </c>
    </row>
    <row r="18113" spans="1:10" x14ac:dyDescent="0.25">
      <c r="A18113">
        <v>20619</v>
      </c>
      <c r="B18113" t="s">
        <v>3687</v>
      </c>
      <c r="C18113">
        <v>499</v>
      </c>
      <c r="D18113">
        <v>633</v>
      </c>
      <c r="E18113">
        <v>1577051321</v>
      </c>
      <c r="F18113">
        <v>406</v>
      </c>
      <c r="G18113">
        <v>0</v>
      </c>
      <c r="H18113" t="s">
        <v>22950</v>
      </c>
      <c r="I18113">
        <v>20619</v>
      </c>
      <c r="J18113" t="str">
        <f>VLOOKUP(E18113,DSSpieler!A:B,2,FALSE)</f>
        <v>Zemo</v>
      </c>
    </row>
    <row r="18114" spans="1:10" x14ac:dyDescent="0.25">
      <c r="A18114">
        <v>20620</v>
      </c>
      <c r="B18114" t="s">
        <v>4377</v>
      </c>
      <c r="C18114">
        <v>486</v>
      </c>
      <c r="D18114">
        <v>563</v>
      </c>
      <c r="E18114">
        <v>1577208776</v>
      </c>
      <c r="F18114">
        <v>26</v>
      </c>
      <c r="G18114">
        <v>0</v>
      </c>
      <c r="H18114" t="s">
        <v>22951</v>
      </c>
      <c r="I18114">
        <v>20620</v>
      </c>
      <c r="J18114" t="str">
        <f>VLOOKUP(E18114,DSSpieler!A:B,2,FALSE)</f>
        <v>FummelKlaus</v>
      </c>
    </row>
    <row r="18115" spans="1:10" x14ac:dyDescent="0.25">
      <c r="A18115">
        <v>20621</v>
      </c>
      <c r="B18115" t="s">
        <v>4378</v>
      </c>
      <c r="C18115">
        <v>542</v>
      </c>
      <c r="D18115">
        <v>369</v>
      </c>
      <c r="E18115">
        <v>1577203656</v>
      </c>
      <c r="F18115">
        <v>98</v>
      </c>
      <c r="G18115">
        <v>0</v>
      </c>
      <c r="H18115" t="s">
        <v>22952</v>
      </c>
      <c r="I18115">
        <v>20621</v>
      </c>
      <c r="J18115" t="str">
        <f>VLOOKUP(E18115,DSSpieler!A:B,2,FALSE)</f>
        <v>Mazda-Fan2017</v>
      </c>
    </row>
    <row r="18116" spans="1:10" x14ac:dyDescent="0.25">
      <c r="A18116">
        <v>20622</v>
      </c>
      <c r="B18116" t="e">
        <f>--See--secret+Dorf</f>
        <v>#NAME?</v>
      </c>
      <c r="C18116">
        <v>369</v>
      </c>
      <c r="D18116">
        <v>479</v>
      </c>
      <c r="E18116">
        <v>8589483</v>
      </c>
      <c r="F18116">
        <v>62</v>
      </c>
      <c r="G18116">
        <v>0</v>
      </c>
      <c r="H18116" t="s">
        <v>22953</v>
      </c>
      <c r="I18116">
        <v>20622</v>
      </c>
      <c r="J18116" t="str">
        <f>VLOOKUP(E18116,DSSpieler!A:B,2,FALSE)</f>
        <v>--secret--</v>
      </c>
    </row>
    <row r="18117" spans="1:10" x14ac:dyDescent="0.25">
      <c r="A18117">
        <v>20623</v>
      </c>
      <c r="B18117" t="s">
        <v>4379</v>
      </c>
      <c r="C18117">
        <v>628</v>
      </c>
      <c r="D18117">
        <v>532</v>
      </c>
      <c r="E18117">
        <v>1577183331</v>
      </c>
      <c r="F18117">
        <v>318</v>
      </c>
      <c r="G18117">
        <v>0</v>
      </c>
      <c r="H18117" t="s">
        <v>22954</v>
      </c>
      <c r="I18117">
        <v>20623</v>
      </c>
      <c r="J18117" t="str">
        <f>VLOOKUP(E18117,DSSpieler!A:B,2,FALSE)</f>
        <v>MartSam</v>
      </c>
    </row>
    <row r="18118" spans="1:10" x14ac:dyDescent="0.25">
      <c r="A18118">
        <v>20624</v>
      </c>
      <c r="B18118" t="s">
        <v>4380</v>
      </c>
      <c r="C18118">
        <v>600</v>
      </c>
      <c r="D18118">
        <v>407</v>
      </c>
      <c r="E18118">
        <v>1577117368</v>
      </c>
      <c r="F18118">
        <v>69</v>
      </c>
      <c r="G18118">
        <v>0</v>
      </c>
      <c r="H18118" t="s">
        <v>22955</v>
      </c>
      <c r="I18118">
        <v>20624</v>
      </c>
      <c r="J18118" t="str">
        <f>VLOOKUP(E18118,DSSpieler!A:B,2,FALSE)</f>
        <v>DerEroberer</v>
      </c>
    </row>
    <row r="18119" spans="1:10" x14ac:dyDescent="0.25">
      <c r="A18119">
        <v>20625</v>
      </c>
      <c r="B18119" t="s">
        <v>4381</v>
      </c>
      <c r="C18119">
        <v>605</v>
      </c>
      <c r="D18119">
        <v>583</v>
      </c>
      <c r="E18119">
        <v>1577205550</v>
      </c>
      <c r="F18119">
        <v>26</v>
      </c>
      <c r="G18119">
        <v>0</v>
      </c>
      <c r="H18119" t="s">
        <v>22956</v>
      </c>
      <c r="I18119">
        <v>20625</v>
      </c>
      <c r="J18119" t="str">
        <f>VLOOKUP(E18119,DSSpieler!A:B,2,FALSE)</f>
        <v>L3gend124</v>
      </c>
    </row>
    <row r="18120" spans="1:10" x14ac:dyDescent="0.25">
      <c r="A18120">
        <v>20626</v>
      </c>
      <c r="B18120" t="s">
        <v>4382</v>
      </c>
      <c r="C18120">
        <v>381</v>
      </c>
      <c r="D18120">
        <v>565</v>
      </c>
      <c r="E18120">
        <v>1577208791</v>
      </c>
      <c r="F18120">
        <v>303</v>
      </c>
      <c r="G18120">
        <v>0</v>
      </c>
      <c r="H18120" t="s">
        <v>22957</v>
      </c>
      <c r="I18120">
        <v>20626</v>
      </c>
      <c r="J18120" t="str">
        <f>VLOOKUP(E18120,DSSpieler!A:B,2,FALSE)</f>
        <v>Pheansa</v>
      </c>
    </row>
    <row r="18121" spans="1:10" x14ac:dyDescent="0.25">
      <c r="A18121">
        <v>20627</v>
      </c>
      <c r="B18121" t="s">
        <v>531</v>
      </c>
      <c r="C18121">
        <v>386</v>
      </c>
      <c r="D18121">
        <v>433</v>
      </c>
      <c r="E18121">
        <v>0</v>
      </c>
      <c r="F18121">
        <v>60</v>
      </c>
      <c r="G18121">
        <v>0</v>
      </c>
      <c r="H18121" t="s">
        <v>22958</v>
      </c>
      <c r="I18121">
        <v>20627</v>
      </c>
      <c r="J18121" t="e">
        <f>VLOOKUP(E18121,DSSpieler!A:B,2,FALSE)</f>
        <v>#N/A</v>
      </c>
    </row>
    <row r="18122" spans="1:10" x14ac:dyDescent="0.25">
      <c r="A18122">
        <v>20628</v>
      </c>
      <c r="B18122" t="s">
        <v>35753</v>
      </c>
      <c r="C18122">
        <v>383</v>
      </c>
      <c r="D18122">
        <v>567</v>
      </c>
      <c r="E18122">
        <v>10152048</v>
      </c>
      <c r="F18122">
        <v>26</v>
      </c>
      <c r="G18122">
        <v>0</v>
      </c>
      <c r="H18122" t="s">
        <v>22959</v>
      </c>
      <c r="I18122">
        <v>20628</v>
      </c>
      <c r="J18122" t="str">
        <f>VLOOKUP(E18122,DSSpieler!A:B,2,FALSE)</f>
        <v>Lord Legionär</v>
      </c>
    </row>
    <row r="18123" spans="1:10" x14ac:dyDescent="0.25">
      <c r="A18123">
        <v>20629</v>
      </c>
      <c r="B18123" t="s">
        <v>4383</v>
      </c>
      <c r="C18123">
        <v>506</v>
      </c>
      <c r="D18123">
        <v>375</v>
      </c>
      <c r="E18123">
        <v>583857</v>
      </c>
      <c r="F18123">
        <v>358</v>
      </c>
      <c r="G18123">
        <v>0</v>
      </c>
      <c r="H18123" t="s">
        <v>22960</v>
      </c>
      <c r="I18123">
        <v>20629</v>
      </c>
      <c r="J18123" t="str">
        <f>VLOOKUP(E18123,DSSpieler!A:B,2,FALSE)</f>
        <v>Wolf 007</v>
      </c>
    </row>
    <row r="18124" spans="1:10" x14ac:dyDescent="0.25">
      <c r="A18124">
        <v>20630</v>
      </c>
      <c r="B18124" t="s">
        <v>4384</v>
      </c>
      <c r="C18124">
        <v>536</v>
      </c>
      <c r="D18124">
        <v>607</v>
      </c>
      <c r="E18124">
        <v>1577202064</v>
      </c>
      <c r="F18124">
        <v>26</v>
      </c>
      <c r="G18124">
        <v>0</v>
      </c>
      <c r="H18124" t="s">
        <v>22961</v>
      </c>
      <c r="I18124">
        <v>20630</v>
      </c>
      <c r="J18124" t="str">
        <f>VLOOKUP(E18124,DSSpieler!A:B,2,FALSE)</f>
        <v>Zykrom</v>
      </c>
    </row>
    <row r="18125" spans="1:10" x14ac:dyDescent="0.25">
      <c r="A18125">
        <v>20631</v>
      </c>
      <c r="B18125" t="s">
        <v>4385</v>
      </c>
      <c r="C18125">
        <v>595</v>
      </c>
      <c r="D18125">
        <v>412</v>
      </c>
      <c r="E18125">
        <v>1749344</v>
      </c>
      <c r="F18125">
        <v>462</v>
      </c>
      <c r="G18125">
        <v>0</v>
      </c>
      <c r="H18125" t="s">
        <v>22962</v>
      </c>
      <c r="I18125">
        <v>20631</v>
      </c>
      <c r="J18125" t="str">
        <f>VLOOKUP(E18125,DSSpieler!A:B,2,FALSE)</f>
        <v>death-lord</v>
      </c>
    </row>
    <row r="18126" spans="1:10" x14ac:dyDescent="0.25">
      <c r="A18126">
        <v>20632</v>
      </c>
      <c r="B18126" t="s">
        <v>531</v>
      </c>
      <c r="C18126">
        <v>598</v>
      </c>
      <c r="D18126">
        <v>591</v>
      </c>
      <c r="E18126">
        <v>0</v>
      </c>
      <c r="F18126">
        <v>51</v>
      </c>
      <c r="G18126">
        <v>0</v>
      </c>
      <c r="H18126" t="s">
        <v>22963</v>
      </c>
      <c r="I18126">
        <v>20632</v>
      </c>
      <c r="J18126" t="e">
        <f>VLOOKUP(E18126,DSSpieler!A:B,2,FALSE)</f>
        <v>#N/A</v>
      </c>
    </row>
    <row r="18127" spans="1:10" x14ac:dyDescent="0.25">
      <c r="A18127">
        <v>20633</v>
      </c>
      <c r="B18127" t="s">
        <v>4386</v>
      </c>
      <c r="C18127">
        <v>564</v>
      </c>
      <c r="D18127">
        <v>620</v>
      </c>
      <c r="E18127">
        <v>1576339491</v>
      </c>
      <c r="F18127">
        <v>171</v>
      </c>
      <c r="G18127">
        <v>0</v>
      </c>
      <c r="H18127" t="s">
        <v>22964</v>
      </c>
      <c r="I18127">
        <v>20633</v>
      </c>
      <c r="J18127" t="str">
        <f>VLOOKUP(E18127,DSSpieler!A:B,2,FALSE)</f>
        <v>TomHaeger</v>
      </c>
    </row>
    <row r="18128" spans="1:10" x14ac:dyDescent="0.25">
      <c r="A18128">
        <v>20634</v>
      </c>
      <c r="B18128" t="s">
        <v>35754</v>
      </c>
      <c r="C18128">
        <v>516</v>
      </c>
      <c r="D18128">
        <v>598</v>
      </c>
      <c r="E18128">
        <v>1576519729</v>
      </c>
      <c r="F18128">
        <v>215</v>
      </c>
      <c r="G18128">
        <v>0</v>
      </c>
      <c r="H18128" t="s">
        <v>22965</v>
      </c>
      <c r="I18128">
        <v>20634</v>
      </c>
      <c r="J18128" t="str">
        <f>VLOOKUP(E18128,DSSpieler!A:B,2,FALSE)</f>
        <v>timospanel</v>
      </c>
    </row>
    <row r="18129" spans="1:10" x14ac:dyDescent="0.25">
      <c r="A18129">
        <v>20635</v>
      </c>
      <c r="B18129" t="s">
        <v>4387</v>
      </c>
      <c r="C18129">
        <v>468</v>
      </c>
      <c r="D18129">
        <v>367</v>
      </c>
      <c r="E18129">
        <v>1577208804</v>
      </c>
      <c r="F18129">
        <v>336</v>
      </c>
      <c r="G18129">
        <v>0</v>
      </c>
      <c r="H18129" t="s">
        <v>22966</v>
      </c>
      <c r="I18129">
        <v>20635</v>
      </c>
      <c r="J18129" t="str">
        <f>VLOOKUP(E18129,DSSpieler!A:B,2,FALSE)</f>
        <v>antialles</v>
      </c>
    </row>
    <row r="18130" spans="1:10" x14ac:dyDescent="0.25">
      <c r="A18130">
        <v>20636</v>
      </c>
      <c r="B18130" t="s">
        <v>531</v>
      </c>
      <c r="C18130">
        <v>417</v>
      </c>
      <c r="D18130">
        <v>606</v>
      </c>
      <c r="E18130">
        <v>0</v>
      </c>
      <c r="F18130">
        <v>51</v>
      </c>
      <c r="G18130">
        <v>0</v>
      </c>
      <c r="H18130" t="s">
        <v>22967</v>
      </c>
      <c r="I18130">
        <v>20636</v>
      </c>
      <c r="J18130" t="e">
        <f>VLOOKUP(E18130,DSSpieler!A:B,2,FALSE)</f>
        <v>#N/A</v>
      </c>
    </row>
    <row r="18131" spans="1:10" x14ac:dyDescent="0.25">
      <c r="A18131">
        <v>20637</v>
      </c>
      <c r="B18131" t="s">
        <v>1448</v>
      </c>
      <c r="C18131">
        <v>484</v>
      </c>
      <c r="D18131">
        <v>637</v>
      </c>
      <c r="E18131">
        <v>1577190363</v>
      </c>
      <c r="F18131">
        <v>26</v>
      </c>
      <c r="G18131">
        <v>0</v>
      </c>
      <c r="H18131" t="s">
        <v>22968</v>
      </c>
      <c r="I18131">
        <v>20637</v>
      </c>
      <c r="J18131" t="str">
        <f>VLOOKUP(E18131,DSSpieler!A:B,2,FALSE)</f>
        <v>Gigoo</v>
      </c>
    </row>
    <row r="18132" spans="1:10" x14ac:dyDescent="0.25">
      <c r="A18132">
        <v>20638</v>
      </c>
      <c r="B18132" t="s">
        <v>4388</v>
      </c>
      <c r="C18132">
        <v>632</v>
      </c>
      <c r="D18132">
        <v>491</v>
      </c>
      <c r="E18132">
        <v>1577191458</v>
      </c>
      <c r="F18132">
        <v>315</v>
      </c>
      <c r="G18132">
        <v>0</v>
      </c>
      <c r="H18132" t="s">
        <v>22969</v>
      </c>
      <c r="I18132">
        <v>20638</v>
      </c>
      <c r="J18132" t="str">
        <f>VLOOKUP(E18132,DSSpieler!A:B,2,FALSE)</f>
        <v>cherry21</v>
      </c>
    </row>
    <row r="18133" spans="1:10" x14ac:dyDescent="0.25">
      <c r="A18133">
        <v>20639</v>
      </c>
      <c r="B18133" t="s">
        <v>4389</v>
      </c>
      <c r="C18133">
        <v>411</v>
      </c>
      <c r="D18133">
        <v>605</v>
      </c>
      <c r="E18133">
        <v>759436</v>
      </c>
      <c r="F18133">
        <v>169</v>
      </c>
      <c r="G18133">
        <v>0</v>
      </c>
      <c r="H18133" t="s">
        <v>22970</v>
      </c>
      <c r="I18133">
        <v>20639</v>
      </c>
      <c r="J18133" t="str">
        <f>VLOOKUP(E18133,DSSpieler!A:B,2,FALSE)</f>
        <v>peter2805</v>
      </c>
    </row>
    <row r="18134" spans="1:10" x14ac:dyDescent="0.25">
      <c r="A18134">
        <v>20640</v>
      </c>
      <c r="B18134" t="s">
        <v>4390</v>
      </c>
      <c r="C18134">
        <v>381</v>
      </c>
      <c r="D18134">
        <v>435</v>
      </c>
      <c r="E18134">
        <v>1577023140</v>
      </c>
      <c r="F18134">
        <v>26</v>
      </c>
      <c r="G18134">
        <v>0</v>
      </c>
      <c r="H18134" t="s">
        <v>22971</v>
      </c>
      <c r="I18134">
        <v>20640</v>
      </c>
      <c r="J18134" t="str">
        <f>VLOOKUP(E18134,DSSpieler!A:B,2,FALSE)</f>
        <v>SirLarf</v>
      </c>
    </row>
    <row r="18135" spans="1:10" x14ac:dyDescent="0.25">
      <c r="A18135">
        <v>20641</v>
      </c>
      <c r="B18135" t="s">
        <v>943</v>
      </c>
      <c r="C18135">
        <v>521</v>
      </c>
      <c r="D18135">
        <v>634</v>
      </c>
      <c r="E18135">
        <v>1577181737</v>
      </c>
      <c r="F18135">
        <v>298</v>
      </c>
      <c r="G18135">
        <v>0</v>
      </c>
      <c r="H18135" t="s">
        <v>22972</v>
      </c>
      <c r="I18135">
        <v>20641</v>
      </c>
      <c r="J18135" t="str">
        <f>VLOOKUP(E18135,DSSpieler!A:B,2,FALSE)</f>
        <v>Vani0304</v>
      </c>
    </row>
    <row r="18136" spans="1:10" x14ac:dyDescent="0.25">
      <c r="A18136">
        <v>20642</v>
      </c>
      <c r="B18136" t="s">
        <v>4391</v>
      </c>
      <c r="C18136">
        <v>523</v>
      </c>
      <c r="D18136">
        <v>364</v>
      </c>
      <c r="E18136">
        <v>1577208809</v>
      </c>
      <c r="F18136">
        <v>26</v>
      </c>
      <c r="G18136">
        <v>0</v>
      </c>
      <c r="H18136" t="s">
        <v>22973</v>
      </c>
      <c r="I18136">
        <v>20642</v>
      </c>
      <c r="J18136" t="str">
        <f>VLOOKUP(E18136,DSSpieler!A:B,2,FALSE)</f>
        <v>world8vet</v>
      </c>
    </row>
    <row r="18137" spans="1:10" x14ac:dyDescent="0.25">
      <c r="A18137">
        <v>20643</v>
      </c>
      <c r="B18137" t="s">
        <v>4392</v>
      </c>
      <c r="C18137">
        <v>618</v>
      </c>
      <c r="D18137">
        <v>436</v>
      </c>
      <c r="E18137">
        <v>10126331</v>
      </c>
      <c r="F18137">
        <v>26</v>
      </c>
      <c r="G18137">
        <v>0</v>
      </c>
      <c r="H18137" t="s">
        <v>22974</v>
      </c>
      <c r="I18137">
        <v>20643</v>
      </c>
      <c r="J18137" t="str">
        <f>VLOOKUP(E18137,DSSpieler!A:B,2,FALSE)</f>
        <v>duckMe.</v>
      </c>
    </row>
    <row r="18138" spans="1:10" x14ac:dyDescent="0.25">
      <c r="A18138">
        <v>20644</v>
      </c>
      <c r="B18138" t="s">
        <v>4393</v>
      </c>
      <c r="C18138">
        <v>367</v>
      </c>
      <c r="D18138">
        <v>477</v>
      </c>
      <c r="E18138">
        <v>1577202162</v>
      </c>
      <c r="F18138">
        <v>304</v>
      </c>
      <c r="G18138">
        <v>0</v>
      </c>
      <c r="H18138" t="s">
        <v>22975</v>
      </c>
      <c r="I18138">
        <v>20644</v>
      </c>
      <c r="J18138" t="str">
        <f>VLOOKUP(E18138,DSSpieler!A:B,2,FALSE)</f>
        <v>Loki2001</v>
      </c>
    </row>
    <row r="18139" spans="1:10" x14ac:dyDescent="0.25">
      <c r="A18139">
        <v>20645</v>
      </c>
      <c r="B18139" t="s">
        <v>4394</v>
      </c>
      <c r="C18139">
        <v>457</v>
      </c>
      <c r="D18139">
        <v>537</v>
      </c>
      <c r="E18139">
        <v>1577171828</v>
      </c>
      <c r="F18139">
        <v>90</v>
      </c>
      <c r="G18139">
        <v>0</v>
      </c>
      <c r="H18139" t="s">
        <v>22976</v>
      </c>
      <c r="I18139">
        <v>20645</v>
      </c>
      <c r="J18139" t="str">
        <f>VLOOKUP(E18139,DSSpieler!A:B,2,FALSE)</f>
        <v>Denniiz</v>
      </c>
    </row>
    <row r="18140" spans="1:10" x14ac:dyDescent="0.25">
      <c r="A18140">
        <v>20646</v>
      </c>
      <c r="B18140" t="s">
        <v>531</v>
      </c>
      <c r="C18140">
        <v>638</v>
      </c>
      <c r="D18140">
        <v>500</v>
      </c>
      <c r="E18140">
        <v>0</v>
      </c>
      <c r="F18140">
        <v>41</v>
      </c>
      <c r="G18140">
        <v>0</v>
      </c>
      <c r="H18140" t="s">
        <v>22977</v>
      </c>
      <c r="I18140">
        <v>20646</v>
      </c>
      <c r="J18140" t="e">
        <f>VLOOKUP(E18140,DSSpieler!A:B,2,FALSE)</f>
        <v>#N/A</v>
      </c>
    </row>
    <row r="18141" spans="1:10" x14ac:dyDescent="0.25">
      <c r="A18141">
        <v>20647</v>
      </c>
      <c r="B18141" t="s">
        <v>4395</v>
      </c>
      <c r="C18141">
        <v>518</v>
      </c>
      <c r="D18141">
        <v>397</v>
      </c>
      <c r="E18141">
        <v>1577178936</v>
      </c>
      <c r="F18141">
        <v>595</v>
      </c>
      <c r="G18141">
        <v>0</v>
      </c>
      <c r="H18141" t="s">
        <v>22978</v>
      </c>
      <c r="I18141">
        <v>20647</v>
      </c>
      <c r="J18141" t="str">
        <f>VLOOKUP(E18141,DSSpieler!A:B,2,FALSE)</f>
        <v>Ruasnosn</v>
      </c>
    </row>
    <row r="18142" spans="1:10" x14ac:dyDescent="0.25">
      <c r="A18142">
        <v>20648</v>
      </c>
      <c r="B18142" t="s">
        <v>4396</v>
      </c>
      <c r="C18142">
        <v>447</v>
      </c>
      <c r="D18142">
        <v>626</v>
      </c>
      <c r="E18142">
        <v>2516516</v>
      </c>
      <c r="F18142">
        <v>26</v>
      </c>
      <c r="G18142">
        <v>0</v>
      </c>
      <c r="H18142" t="s">
        <v>22979</v>
      </c>
      <c r="I18142">
        <v>20648</v>
      </c>
      <c r="J18142">
        <f>VLOOKUP(E18142,DSSpieler!A:B,2,FALSE)</f>
        <v>300123</v>
      </c>
    </row>
    <row r="18143" spans="1:10" x14ac:dyDescent="0.25">
      <c r="A18143">
        <v>20649</v>
      </c>
      <c r="B18143" t="s">
        <v>4397</v>
      </c>
      <c r="C18143">
        <v>406</v>
      </c>
      <c r="D18143">
        <v>545</v>
      </c>
      <c r="E18143">
        <v>8203054</v>
      </c>
      <c r="F18143">
        <v>26</v>
      </c>
      <c r="G18143">
        <v>0</v>
      </c>
      <c r="H18143" t="s">
        <v>22980</v>
      </c>
      <c r="I18143">
        <v>20649</v>
      </c>
      <c r="J18143" t="str">
        <f>VLOOKUP(E18143,DSSpieler!A:B,2,FALSE)</f>
        <v>alexsim</v>
      </c>
    </row>
    <row r="18144" spans="1:10" x14ac:dyDescent="0.25">
      <c r="A18144">
        <v>20650</v>
      </c>
      <c r="B18144" t="s">
        <v>4398</v>
      </c>
      <c r="C18144">
        <v>549</v>
      </c>
      <c r="D18144">
        <v>374</v>
      </c>
      <c r="E18144">
        <v>2158301</v>
      </c>
      <c r="F18144">
        <v>83</v>
      </c>
      <c r="G18144">
        <v>0</v>
      </c>
      <c r="H18144" t="s">
        <v>22981</v>
      </c>
      <c r="I18144">
        <v>20650</v>
      </c>
      <c r="J18144" t="str">
        <f>VLOOKUP(E18144,DSSpieler!A:B,2,FALSE)</f>
        <v>Graf Doofy</v>
      </c>
    </row>
    <row r="18145" spans="1:10" x14ac:dyDescent="0.25">
      <c r="A18145">
        <v>20651</v>
      </c>
      <c r="B18145" t="s">
        <v>4399</v>
      </c>
      <c r="C18145">
        <v>398</v>
      </c>
      <c r="D18145">
        <v>577</v>
      </c>
      <c r="E18145">
        <v>1577010765</v>
      </c>
      <c r="F18145">
        <v>281</v>
      </c>
      <c r="G18145">
        <v>0</v>
      </c>
      <c r="H18145" t="s">
        <v>22982</v>
      </c>
      <c r="I18145">
        <v>20651</v>
      </c>
      <c r="J18145" t="str">
        <f>VLOOKUP(E18145,DSSpieler!A:B,2,FALSE)</f>
        <v>Trulla110</v>
      </c>
    </row>
    <row r="18146" spans="1:10" x14ac:dyDescent="0.25">
      <c r="A18146">
        <v>20652</v>
      </c>
      <c r="B18146" t="s">
        <v>35755</v>
      </c>
      <c r="C18146">
        <v>544</v>
      </c>
      <c r="D18146">
        <v>628</v>
      </c>
      <c r="E18146">
        <v>46925</v>
      </c>
      <c r="F18146">
        <v>62</v>
      </c>
      <c r="G18146">
        <v>0</v>
      </c>
      <c r="H18146" t="s">
        <v>22983</v>
      </c>
      <c r="I18146">
        <v>20652</v>
      </c>
      <c r="J18146" t="str">
        <f>VLOOKUP(E18146,DSSpieler!A:B,2,FALSE)</f>
        <v>!c3^42</v>
      </c>
    </row>
    <row r="18147" spans="1:10" x14ac:dyDescent="0.25">
      <c r="A18147">
        <v>20653</v>
      </c>
      <c r="B18147" t="s">
        <v>4400</v>
      </c>
      <c r="C18147">
        <v>493</v>
      </c>
      <c r="D18147">
        <v>633</v>
      </c>
      <c r="E18147">
        <v>1576901943</v>
      </c>
      <c r="F18147">
        <v>26</v>
      </c>
      <c r="G18147">
        <v>0</v>
      </c>
      <c r="H18147" t="s">
        <v>22984</v>
      </c>
      <c r="I18147">
        <v>20653</v>
      </c>
      <c r="J18147" t="str">
        <f>VLOOKUP(E18147,DSSpieler!A:B,2,FALSE)</f>
        <v>funnyflash2000</v>
      </c>
    </row>
    <row r="18148" spans="1:10" x14ac:dyDescent="0.25">
      <c r="A18148">
        <v>20654</v>
      </c>
      <c r="B18148" t="s">
        <v>4401</v>
      </c>
      <c r="C18148">
        <v>418</v>
      </c>
      <c r="D18148">
        <v>603</v>
      </c>
      <c r="E18148">
        <v>1577155580</v>
      </c>
      <c r="F18148">
        <v>76</v>
      </c>
      <c r="G18148">
        <v>0</v>
      </c>
      <c r="H18148" t="s">
        <v>22985</v>
      </c>
      <c r="I18148">
        <v>20654</v>
      </c>
      <c r="J18148" t="str">
        <f>VLOOKUP(E18148,DSSpieler!A:B,2,FALSE)</f>
        <v>olliwisl</v>
      </c>
    </row>
    <row r="18149" spans="1:10" x14ac:dyDescent="0.25">
      <c r="A18149">
        <v>20655</v>
      </c>
      <c r="B18149">
        <v>1</v>
      </c>
      <c r="C18149">
        <v>600</v>
      </c>
      <c r="D18149">
        <v>404</v>
      </c>
      <c r="E18149">
        <v>9830669</v>
      </c>
      <c r="F18149">
        <v>73</v>
      </c>
      <c r="G18149">
        <v>0</v>
      </c>
      <c r="H18149" t="s">
        <v>22986</v>
      </c>
      <c r="I18149">
        <v>20655</v>
      </c>
      <c r="J18149" t="str">
        <f>VLOOKUP(E18149,DSSpieler!A:B,2,FALSE)</f>
        <v>Stardefender97</v>
      </c>
    </row>
    <row r="18150" spans="1:10" x14ac:dyDescent="0.25">
      <c r="A18150">
        <v>20656</v>
      </c>
      <c r="B18150" t="s">
        <v>4402</v>
      </c>
      <c r="C18150">
        <v>364</v>
      </c>
      <c r="D18150">
        <v>516</v>
      </c>
      <c r="E18150">
        <v>1577014413</v>
      </c>
      <c r="F18150">
        <v>26</v>
      </c>
      <c r="G18150">
        <v>0</v>
      </c>
      <c r="H18150" t="s">
        <v>22987</v>
      </c>
      <c r="I18150">
        <v>20656</v>
      </c>
      <c r="J18150" t="str">
        <f>VLOOKUP(E18150,DSSpieler!A:B,2,FALSE)</f>
        <v>adikill</v>
      </c>
    </row>
    <row r="18151" spans="1:10" x14ac:dyDescent="0.25">
      <c r="A18151">
        <v>20657</v>
      </c>
      <c r="B18151" t="s">
        <v>4403</v>
      </c>
      <c r="C18151">
        <v>622</v>
      </c>
      <c r="D18151">
        <v>559</v>
      </c>
      <c r="E18151">
        <v>1576796997</v>
      </c>
      <c r="F18151">
        <v>428</v>
      </c>
      <c r="G18151">
        <v>0</v>
      </c>
      <c r="H18151" t="s">
        <v>22988</v>
      </c>
      <c r="I18151">
        <v>20657</v>
      </c>
      <c r="J18151" t="str">
        <f>VLOOKUP(E18151,DSSpieler!A:B,2,FALSE)</f>
        <v>RomkaTomka</v>
      </c>
    </row>
    <row r="18152" spans="1:10" x14ac:dyDescent="0.25">
      <c r="A18152">
        <v>20658</v>
      </c>
      <c r="B18152" t="s">
        <v>35756</v>
      </c>
      <c r="C18152">
        <v>611</v>
      </c>
      <c r="D18152">
        <v>429</v>
      </c>
      <c r="E18152">
        <v>1577202413</v>
      </c>
      <c r="F18152">
        <v>237</v>
      </c>
      <c r="G18152">
        <v>0</v>
      </c>
      <c r="H18152" t="s">
        <v>22989</v>
      </c>
      <c r="I18152">
        <v>20658</v>
      </c>
      <c r="J18152" t="str">
        <f>VLOOKUP(E18152,DSSpieler!A:B,2,FALSE)</f>
        <v>JoycePan</v>
      </c>
    </row>
    <row r="18153" spans="1:10" x14ac:dyDescent="0.25">
      <c r="A18153">
        <v>20659</v>
      </c>
      <c r="B18153" t="s">
        <v>4404</v>
      </c>
      <c r="C18153">
        <v>620</v>
      </c>
      <c r="D18153">
        <v>431</v>
      </c>
      <c r="E18153">
        <v>1577162508</v>
      </c>
      <c r="F18153">
        <v>46</v>
      </c>
      <c r="G18153">
        <v>0</v>
      </c>
      <c r="H18153" t="s">
        <v>22990</v>
      </c>
      <c r="I18153">
        <v>20659</v>
      </c>
      <c r="J18153" t="str">
        <f>VLOOKUP(E18153,DSSpieler!A:B,2,FALSE)</f>
        <v>Wilke Wurst</v>
      </c>
    </row>
    <row r="18154" spans="1:10" x14ac:dyDescent="0.25">
      <c r="A18154">
        <v>20660</v>
      </c>
      <c r="B18154" t="s">
        <v>4405</v>
      </c>
      <c r="C18154">
        <v>385</v>
      </c>
      <c r="D18154">
        <v>432</v>
      </c>
      <c r="E18154">
        <v>3068514</v>
      </c>
      <c r="F18154">
        <v>38</v>
      </c>
      <c r="G18154">
        <v>0</v>
      </c>
      <c r="H18154" t="s">
        <v>22991</v>
      </c>
      <c r="I18154">
        <v>20660</v>
      </c>
      <c r="J18154" t="str">
        <f>VLOOKUP(E18154,DSSpieler!A:B,2,FALSE)</f>
        <v>resch121</v>
      </c>
    </row>
    <row r="18155" spans="1:10" x14ac:dyDescent="0.25">
      <c r="A18155">
        <v>20661</v>
      </c>
      <c r="B18155" t="s">
        <v>35757</v>
      </c>
      <c r="C18155">
        <v>400</v>
      </c>
      <c r="D18155">
        <v>587</v>
      </c>
      <c r="E18155">
        <v>9879482</v>
      </c>
      <c r="F18155">
        <v>188</v>
      </c>
      <c r="G18155">
        <v>0</v>
      </c>
      <c r="H18155" t="s">
        <v>22992</v>
      </c>
      <c r="I18155">
        <v>20661</v>
      </c>
      <c r="J18155" t="str">
        <f>VLOOKUP(E18155,DSSpieler!A:B,2,FALSE)</f>
        <v>löwenherz27796</v>
      </c>
    </row>
    <row r="18156" spans="1:10" x14ac:dyDescent="0.25">
      <c r="A18156">
        <v>20662</v>
      </c>
      <c r="B18156" t="s">
        <v>4406</v>
      </c>
      <c r="C18156">
        <v>383</v>
      </c>
      <c r="D18156">
        <v>562</v>
      </c>
      <c r="E18156">
        <v>9564726</v>
      </c>
      <c r="F18156">
        <v>182</v>
      </c>
      <c r="G18156">
        <v>0</v>
      </c>
      <c r="H18156" t="s">
        <v>22993</v>
      </c>
      <c r="I18156">
        <v>20662</v>
      </c>
      <c r="J18156" t="str">
        <f>VLOOKUP(E18156,DSSpieler!A:B,2,FALSE)</f>
        <v>Eollas</v>
      </c>
    </row>
    <row r="18157" spans="1:10" x14ac:dyDescent="0.25">
      <c r="A18157">
        <v>20663</v>
      </c>
      <c r="B18157" t="s">
        <v>4407</v>
      </c>
      <c r="C18157">
        <v>632</v>
      </c>
      <c r="D18157">
        <v>508</v>
      </c>
      <c r="E18157">
        <v>1577162477</v>
      </c>
      <c r="F18157">
        <v>26</v>
      </c>
      <c r="G18157">
        <v>0</v>
      </c>
      <c r="H18157" t="s">
        <v>22994</v>
      </c>
      <c r="I18157">
        <v>20663</v>
      </c>
      <c r="J18157" t="str">
        <f>VLOOKUP(E18157,DSSpieler!A:B,2,FALSE)</f>
        <v>Mr.Kek</v>
      </c>
    </row>
    <row r="18158" spans="1:10" x14ac:dyDescent="0.25">
      <c r="A18158">
        <v>20664</v>
      </c>
      <c r="B18158" t="s">
        <v>4408</v>
      </c>
      <c r="C18158">
        <v>636</v>
      </c>
      <c r="D18158">
        <v>512</v>
      </c>
      <c r="E18158">
        <v>3310720</v>
      </c>
      <c r="F18158">
        <v>227</v>
      </c>
      <c r="G18158">
        <v>0</v>
      </c>
      <c r="H18158" t="s">
        <v>22995</v>
      </c>
      <c r="I18158">
        <v>20664</v>
      </c>
      <c r="J18158" t="str">
        <f>VLOOKUP(E18158,DSSpieler!A:B,2,FALSE)</f>
        <v>Niggoooo</v>
      </c>
    </row>
    <row r="18159" spans="1:10" x14ac:dyDescent="0.25">
      <c r="A18159">
        <v>20665</v>
      </c>
      <c r="B18159" t="s">
        <v>4409</v>
      </c>
      <c r="C18159">
        <v>428</v>
      </c>
      <c r="D18159">
        <v>615</v>
      </c>
      <c r="E18159">
        <v>1577171877</v>
      </c>
      <c r="F18159">
        <v>26</v>
      </c>
      <c r="G18159">
        <v>0</v>
      </c>
      <c r="H18159" t="s">
        <v>22996</v>
      </c>
      <c r="I18159">
        <v>20665</v>
      </c>
      <c r="J18159" t="str">
        <f>VLOOKUP(E18159,DSSpieler!A:B,2,FALSE)</f>
        <v>phlebotosmos</v>
      </c>
    </row>
    <row r="18160" spans="1:10" x14ac:dyDescent="0.25">
      <c r="A18160">
        <v>20666</v>
      </c>
      <c r="B18160" t="s">
        <v>531</v>
      </c>
      <c r="C18160">
        <v>450</v>
      </c>
      <c r="D18160">
        <v>623</v>
      </c>
      <c r="E18160">
        <v>0</v>
      </c>
      <c r="F18160">
        <v>51</v>
      </c>
      <c r="G18160">
        <v>0</v>
      </c>
      <c r="H18160" t="s">
        <v>22997</v>
      </c>
      <c r="I18160">
        <v>20666</v>
      </c>
      <c r="J18160" t="e">
        <f>VLOOKUP(E18160,DSSpieler!A:B,2,FALSE)</f>
        <v>#N/A</v>
      </c>
    </row>
    <row r="18161" spans="1:10" x14ac:dyDescent="0.25">
      <c r="A18161">
        <v>20667</v>
      </c>
      <c r="B18161" t="s">
        <v>4410</v>
      </c>
      <c r="C18161">
        <v>539</v>
      </c>
      <c r="D18161">
        <v>626</v>
      </c>
      <c r="E18161">
        <v>1577208437</v>
      </c>
      <c r="F18161">
        <v>91</v>
      </c>
      <c r="G18161">
        <v>0</v>
      </c>
      <c r="H18161" t="s">
        <v>22998</v>
      </c>
      <c r="I18161">
        <v>20667</v>
      </c>
      <c r="J18161" t="str">
        <f>VLOOKUP(E18161,DSSpieler!A:B,2,FALSE)</f>
        <v>MasterKuchen</v>
      </c>
    </row>
    <row r="18162" spans="1:10" x14ac:dyDescent="0.25">
      <c r="A18162">
        <v>20668</v>
      </c>
      <c r="B18162" t="s">
        <v>4411</v>
      </c>
      <c r="C18162">
        <v>552</v>
      </c>
      <c r="D18162">
        <v>622</v>
      </c>
      <c r="E18162">
        <v>1577096268</v>
      </c>
      <c r="F18162">
        <v>54</v>
      </c>
      <c r="G18162">
        <v>0</v>
      </c>
      <c r="H18162" t="s">
        <v>22999</v>
      </c>
      <c r="I18162">
        <v>20668</v>
      </c>
      <c r="J18162" t="str">
        <f>VLOOKUP(E18162,DSSpieler!A:B,2,FALSE)</f>
        <v>VendoQuack</v>
      </c>
    </row>
    <row r="18163" spans="1:10" x14ac:dyDescent="0.25">
      <c r="A18163">
        <v>20669</v>
      </c>
      <c r="B18163" t="s">
        <v>4412</v>
      </c>
      <c r="C18163">
        <v>512</v>
      </c>
      <c r="D18163">
        <v>639</v>
      </c>
      <c r="E18163">
        <v>1577208832</v>
      </c>
      <c r="F18163">
        <v>216</v>
      </c>
      <c r="G18163">
        <v>0</v>
      </c>
      <c r="H18163" t="s">
        <v>23000</v>
      </c>
      <c r="I18163">
        <v>20669</v>
      </c>
      <c r="J18163" t="str">
        <f>VLOOKUP(E18163,DSSpieler!A:B,2,FALSE)</f>
        <v>Schorsch31</v>
      </c>
    </row>
    <row r="18164" spans="1:10" x14ac:dyDescent="0.25">
      <c r="A18164">
        <v>20670</v>
      </c>
      <c r="B18164" t="s">
        <v>4413</v>
      </c>
      <c r="C18164">
        <v>624</v>
      </c>
      <c r="D18164">
        <v>556</v>
      </c>
      <c r="E18164">
        <v>1577201909</v>
      </c>
      <c r="F18164">
        <v>55</v>
      </c>
      <c r="G18164">
        <v>0</v>
      </c>
      <c r="H18164" t="s">
        <v>23001</v>
      </c>
      <c r="I18164">
        <v>20670</v>
      </c>
      <c r="J18164" t="str">
        <f>VLOOKUP(E18164,DSSpieler!A:B,2,FALSE)</f>
        <v>Mataschek</v>
      </c>
    </row>
    <row r="18165" spans="1:10" x14ac:dyDescent="0.25">
      <c r="A18165">
        <v>20671</v>
      </c>
      <c r="B18165" t="s">
        <v>4414</v>
      </c>
      <c r="C18165">
        <v>553</v>
      </c>
      <c r="D18165">
        <v>376</v>
      </c>
      <c r="E18165">
        <v>1576350877</v>
      </c>
      <c r="F18165">
        <v>449</v>
      </c>
      <c r="G18165">
        <v>0</v>
      </c>
      <c r="H18165" t="s">
        <v>23002</v>
      </c>
      <c r="I18165">
        <v>20671</v>
      </c>
      <c r="J18165" t="str">
        <f>VLOOKUP(E18165,DSSpieler!A:B,2,FALSE)</f>
        <v>Warhol</v>
      </c>
    </row>
    <row r="18166" spans="1:10" x14ac:dyDescent="0.25">
      <c r="A18166">
        <v>20672</v>
      </c>
      <c r="B18166" t="s">
        <v>4415</v>
      </c>
      <c r="C18166">
        <v>398</v>
      </c>
      <c r="D18166">
        <v>408</v>
      </c>
      <c r="E18166">
        <v>1577176956</v>
      </c>
      <c r="F18166">
        <v>44</v>
      </c>
      <c r="G18166">
        <v>0</v>
      </c>
      <c r="H18166" t="s">
        <v>23003</v>
      </c>
      <c r="I18166">
        <v>20672</v>
      </c>
      <c r="J18166" t="str">
        <f>VLOOKUP(E18166,DSSpieler!A:B,2,FALSE)</f>
        <v>freshmasterj</v>
      </c>
    </row>
    <row r="18167" spans="1:10" x14ac:dyDescent="0.25">
      <c r="A18167">
        <v>20673</v>
      </c>
      <c r="B18167" t="s">
        <v>4416</v>
      </c>
      <c r="C18167">
        <v>373</v>
      </c>
      <c r="D18167">
        <v>445</v>
      </c>
      <c r="E18167">
        <v>1577124730</v>
      </c>
      <c r="F18167">
        <v>26</v>
      </c>
      <c r="G18167">
        <v>0</v>
      </c>
      <c r="H18167" t="s">
        <v>23004</v>
      </c>
      <c r="I18167">
        <v>20673</v>
      </c>
      <c r="J18167" t="str">
        <f>VLOOKUP(E18167,DSSpieler!A:B,2,FALSE)</f>
        <v>MINDBASHER</v>
      </c>
    </row>
    <row r="18168" spans="1:10" x14ac:dyDescent="0.25">
      <c r="A18168">
        <v>20674</v>
      </c>
      <c r="B18168" t="s">
        <v>4417</v>
      </c>
      <c r="C18168">
        <v>388</v>
      </c>
      <c r="D18168">
        <v>428</v>
      </c>
      <c r="E18168">
        <v>1577208855</v>
      </c>
      <c r="F18168">
        <v>53</v>
      </c>
      <c r="G18168">
        <v>0</v>
      </c>
      <c r="H18168" t="s">
        <v>23005</v>
      </c>
      <c r="I18168">
        <v>20674</v>
      </c>
      <c r="J18168" t="str">
        <f>VLOOKUP(E18168,DSSpieler!A:B,2,FALSE)</f>
        <v>Blackxmas</v>
      </c>
    </row>
    <row r="18169" spans="1:10" x14ac:dyDescent="0.25">
      <c r="A18169">
        <v>20675</v>
      </c>
      <c r="B18169" t="s">
        <v>4418</v>
      </c>
      <c r="C18169">
        <v>410</v>
      </c>
      <c r="D18169">
        <v>597</v>
      </c>
      <c r="E18169">
        <v>1577182589</v>
      </c>
      <c r="F18169">
        <v>381</v>
      </c>
      <c r="G18169">
        <v>0</v>
      </c>
      <c r="H18169" t="s">
        <v>23006</v>
      </c>
      <c r="I18169">
        <v>20675</v>
      </c>
      <c r="J18169" t="str">
        <f>VLOOKUP(E18169,DSSpieler!A:B,2,FALSE)</f>
        <v>Bitobsch</v>
      </c>
    </row>
    <row r="18170" spans="1:10" x14ac:dyDescent="0.25">
      <c r="A18170">
        <v>20676</v>
      </c>
      <c r="B18170" t="s">
        <v>4419</v>
      </c>
      <c r="C18170">
        <v>438</v>
      </c>
      <c r="D18170">
        <v>563</v>
      </c>
      <c r="E18170">
        <v>1577143071</v>
      </c>
      <c r="F18170">
        <v>26</v>
      </c>
      <c r="G18170">
        <v>0</v>
      </c>
      <c r="H18170" t="s">
        <v>23007</v>
      </c>
      <c r="I18170">
        <v>20676</v>
      </c>
      <c r="J18170" t="str">
        <f>VLOOKUP(E18170,DSSpieler!A:B,2,FALSE)</f>
        <v>Melbie</v>
      </c>
    </row>
    <row r="18171" spans="1:10" x14ac:dyDescent="0.25">
      <c r="A18171">
        <v>20677</v>
      </c>
      <c r="B18171" t="s">
        <v>4420</v>
      </c>
      <c r="C18171">
        <v>441</v>
      </c>
      <c r="D18171">
        <v>376</v>
      </c>
      <c r="E18171">
        <v>1577141274</v>
      </c>
      <c r="F18171">
        <v>250</v>
      </c>
      <c r="G18171">
        <v>0</v>
      </c>
      <c r="H18171" t="s">
        <v>23008</v>
      </c>
      <c r="I18171">
        <v>20677</v>
      </c>
      <c r="J18171" t="str">
        <f>VLOOKUP(E18171,DSSpieler!A:B,2,FALSE)</f>
        <v>Paperkid</v>
      </c>
    </row>
    <row r="18172" spans="1:10" x14ac:dyDescent="0.25">
      <c r="A18172">
        <v>20678</v>
      </c>
      <c r="B18172" t="s">
        <v>4421</v>
      </c>
      <c r="C18172">
        <v>533</v>
      </c>
      <c r="D18172">
        <v>366</v>
      </c>
      <c r="E18172">
        <v>1577202845</v>
      </c>
      <c r="F18172">
        <v>362</v>
      </c>
      <c r="G18172">
        <v>0</v>
      </c>
      <c r="H18172" t="s">
        <v>23009</v>
      </c>
      <c r="I18172">
        <v>20678</v>
      </c>
      <c r="J18172" t="str">
        <f>VLOOKUP(E18172,DSSpieler!A:B,2,FALSE)</f>
        <v>mrklein1995</v>
      </c>
    </row>
    <row r="18173" spans="1:10" x14ac:dyDescent="0.25">
      <c r="A18173">
        <v>20679</v>
      </c>
      <c r="B18173" t="s">
        <v>35758</v>
      </c>
      <c r="C18173">
        <v>633</v>
      </c>
      <c r="D18173">
        <v>505</v>
      </c>
      <c r="E18173">
        <v>1575958408</v>
      </c>
      <c r="F18173">
        <v>412</v>
      </c>
      <c r="G18173">
        <v>0</v>
      </c>
      <c r="H18173" t="s">
        <v>23010</v>
      </c>
      <c r="I18173">
        <v>20679</v>
      </c>
      <c r="J18173" t="str">
        <f>VLOOKUP(E18173,DSSpieler!A:B,2,FALSE)</f>
        <v>blackbronn</v>
      </c>
    </row>
    <row r="18174" spans="1:10" x14ac:dyDescent="0.25">
      <c r="A18174">
        <v>20680</v>
      </c>
      <c r="B18174" t="s">
        <v>4422</v>
      </c>
      <c r="C18174">
        <v>531</v>
      </c>
      <c r="D18174">
        <v>368</v>
      </c>
      <c r="E18174">
        <v>1575904603</v>
      </c>
      <c r="F18174">
        <v>76</v>
      </c>
      <c r="G18174">
        <v>0</v>
      </c>
      <c r="H18174" t="s">
        <v>23011</v>
      </c>
      <c r="I18174">
        <v>20680</v>
      </c>
      <c r="J18174" t="str">
        <f>VLOOKUP(E18174,DSSpieler!A:B,2,FALSE)</f>
        <v>Fireschluker255</v>
      </c>
    </row>
    <row r="18175" spans="1:10" x14ac:dyDescent="0.25">
      <c r="A18175">
        <v>20681</v>
      </c>
      <c r="B18175" t="s">
        <v>4423</v>
      </c>
      <c r="C18175">
        <v>566</v>
      </c>
      <c r="D18175">
        <v>378</v>
      </c>
      <c r="E18175">
        <v>1576221695</v>
      </c>
      <c r="F18175">
        <v>82</v>
      </c>
      <c r="G18175">
        <v>0</v>
      </c>
      <c r="H18175" t="s">
        <v>23012</v>
      </c>
      <c r="I18175">
        <v>20681</v>
      </c>
      <c r="J18175" t="str">
        <f>VLOOKUP(E18175,DSSpieler!A:B,2,FALSE)</f>
        <v>xRomstaaa</v>
      </c>
    </row>
    <row r="18176" spans="1:10" x14ac:dyDescent="0.25">
      <c r="A18176">
        <v>20682</v>
      </c>
      <c r="B18176" t="s">
        <v>4424</v>
      </c>
      <c r="C18176">
        <v>368</v>
      </c>
      <c r="D18176">
        <v>464</v>
      </c>
      <c r="E18176">
        <v>2459085</v>
      </c>
      <c r="F18176">
        <v>50</v>
      </c>
      <c r="G18176">
        <v>0</v>
      </c>
      <c r="H18176" t="s">
        <v>23013</v>
      </c>
      <c r="I18176">
        <v>20682</v>
      </c>
      <c r="J18176" t="str">
        <f>VLOOKUP(E18176,DSSpieler!A:B,2,FALSE)</f>
        <v>cask</v>
      </c>
    </row>
    <row r="18177" spans="1:10" x14ac:dyDescent="0.25">
      <c r="A18177">
        <v>20683</v>
      </c>
      <c r="B18177" t="s">
        <v>35759</v>
      </c>
      <c r="C18177">
        <v>556</v>
      </c>
      <c r="D18177">
        <v>566</v>
      </c>
      <c r="E18177">
        <v>10224052</v>
      </c>
      <c r="F18177">
        <v>26</v>
      </c>
      <c r="G18177">
        <v>0</v>
      </c>
      <c r="H18177" t="s">
        <v>23014</v>
      </c>
      <c r="I18177">
        <v>20683</v>
      </c>
      <c r="J18177" t="str">
        <f>VLOOKUP(E18177,DSSpieler!A:B,2,FALSE)</f>
        <v>Ou-est-Herbert?</v>
      </c>
    </row>
    <row r="18178" spans="1:10" x14ac:dyDescent="0.25">
      <c r="A18178">
        <v>20684</v>
      </c>
      <c r="B18178" t="s">
        <v>4425</v>
      </c>
      <c r="C18178">
        <v>427</v>
      </c>
      <c r="D18178">
        <v>563</v>
      </c>
      <c r="E18178">
        <v>1577194891</v>
      </c>
      <c r="F18178">
        <v>26</v>
      </c>
      <c r="G18178">
        <v>0</v>
      </c>
      <c r="H18178" t="s">
        <v>23015</v>
      </c>
      <c r="I18178">
        <v>20684</v>
      </c>
      <c r="J18178" t="str">
        <f>VLOOKUP(E18178,DSSpieler!A:B,2,FALSE)</f>
        <v>masterluk24</v>
      </c>
    </row>
    <row r="18179" spans="1:10" x14ac:dyDescent="0.25">
      <c r="A18179">
        <v>20685</v>
      </c>
      <c r="B18179" t="s">
        <v>4426</v>
      </c>
      <c r="C18179">
        <v>405</v>
      </c>
      <c r="D18179">
        <v>596</v>
      </c>
      <c r="E18179">
        <v>9888727</v>
      </c>
      <c r="F18179">
        <v>26</v>
      </c>
      <c r="G18179">
        <v>0</v>
      </c>
      <c r="H18179" t="s">
        <v>23016</v>
      </c>
      <c r="I18179">
        <v>20685</v>
      </c>
      <c r="J18179" t="str">
        <f>VLOOKUP(E18179,DSSpieler!A:B,2,FALSE)</f>
        <v>Dragother</v>
      </c>
    </row>
    <row r="18180" spans="1:10" x14ac:dyDescent="0.25">
      <c r="A18180">
        <v>20686</v>
      </c>
      <c r="B18180" t="s">
        <v>4427</v>
      </c>
      <c r="C18180">
        <v>631</v>
      </c>
      <c r="D18180">
        <v>550</v>
      </c>
      <c r="E18180">
        <v>8172894</v>
      </c>
      <c r="F18180">
        <v>217</v>
      </c>
      <c r="G18180">
        <v>0</v>
      </c>
      <c r="H18180" t="s">
        <v>23017</v>
      </c>
      <c r="I18180">
        <v>20686</v>
      </c>
      <c r="J18180" t="str">
        <f>VLOOKUP(E18180,DSSpieler!A:B,2,FALSE)</f>
        <v>Bretagne</v>
      </c>
    </row>
    <row r="18181" spans="1:10" x14ac:dyDescent="0.25">
      <c r="A18181">
        <v>20687</v>
      </c>
      <c r="B18181" t="s">
        <v>4428</v>
      </c>
      <c r="C18181">
        <v>544</v>
      </c>
      <c r="D18181">
        <v>604</v>
      </c>
      <c r="E18181">
        <v>1576793490</v>
      </c>
      <c r="F18181">
        <v>26</v>
      </c>
      <c r="G18181">
        <v>0</v>
      </c>
      <c r="H18181" t="s">
        <v>23018</v>
      </c>
      <c r="I18181">
        <v>20687</v>
      </c>
      <c r="J18181" t="str">
        <f>VLOOKUP(E18181,DSSpieler!A:B,2,FALSE)</f>
        <v>Tammuz</v>
      </c>
    </row>
    <row r="18182" spans="1:10" x14ac:dyDescent="0.25">
      <c r="A18182">
        <v>20688</v>
      </c>
      <c r="B18182" t="s">
        <v>4429</v>
      </c>
      <c r="C18182">
        <v>557</v>
      </c>
      <c r="D18182">
        <v>626</v>
      </c>
      <c r="E18182">
        <v>1577208063</v>
      </c>
      <c r="F18182">
        <v>382</v>
      </c>
      <c r="G18182">
        <v>0</v>
      </c>
      <c r="H18182" t="s">
        <v>23019</v>
      </c>
      <c r="I18182">
        <v>20688</v>
      </c>
      <c r="J18182" t="str">
        <f>VLOOKUP(E18182,DSSpieler!A:B,2,FALSE)</f>
        <v>türk123</v>
      </c>
    </row>
    <row r="18183" spans="1:10" x14ac:dyDescent="0.25">
      <c r="A18183">
        <v>20689</v>
      </c>
      <c r="B18183" t="s">
        <v>4430</v>
      </c>
      <c r="C18183">
        <v>601</v>
      </c>
      <c r="D18183">
        <v>415</v>
      </c>
      <c r="E18183">
        <v>1358630</v>
      </c>
      <c r="F18183">
        <v>87</v>
      </c>
      <c r="G18183">
        <v>0</v>
      </c>
      <c r="H18183" t="s">
        <v>23020</v>
      </c>
      <c r="I18183">
        <v>20689</v>
      </c>
      <c r="J18183" t="str">
        <f>VLOOKUP(E18183,DSSpieler!A:B,2,FALSE)</f>
        <v>THELE</v>
      </c>
    </row>
    <row r="18184" spans="1:10" x14ac:dyDescent="0.25">
      <c r="A18184">
        <v>20690</v>
      </c>
      <c r="B18184" t="s">
        <v>4431</v>
      </c>
      <c r="C18184">
        <v>365</v>
      </c>
      <c r="D18184">
        <v>471</v>
      </c>
      <c r="E18184">
        <v>1577208410</v>
      </c>
      <c r="F18184">
        <v>137</v>
      </c>
      <c r="G18184">
        <v>0</v>
      </c>
      <c r="H18184" t="s">
        <v>23021</v>
      </c>
      <c r="I18184">
        <v>20690</v>
      </c>
      <c r="J18184" t="str">
        <f>VLOOKUP(E18184,DSSpieler!A:B,2,FALSE)</f>
        <v>MedifleX</v>
      </c>
    </row>
    <row r="18185" spans="1:10" x14ac:dyDescent="0.25">
      <c r="A18185">
        <v>20691</v>
      </c>
      <c r="B18185" t="s">
        <v>1243</v>
      </c>
      <c r="C18185">
        <v>594</v>
      </c>
      <c r="D18185">
        <v>600</v>
      </c>
      <c r="E18185">
        <v>1576920415</v>
      </c>
      <c r="F18185">
        <v>258</v>
      </c>
      <c r="G18185">
        <v>0</v>
      </c>
      <c r="H18185" t="s">
        <v>23022</v>
      </c>
      <c r="I18185">
        <v>20691</v>
      </c>
      <c r="J18185" t="str">
        <f>VLOOKUP(E18185,DSSpieler!A:B,2,FALSE)</f>
        <v>SirWilson15295</v>
      </c>
    </row>
    <row r="18186" spans="1:10" x14ac:dyDescent="0.25">
      <c r="A18186">
        <v>20692</v>
      </c>
      <c r="B18186" t="s">
        <v>4432</v>
      </c>
      <c r="C18186">
        <v>392</v>
      </c>
      <c r="D18186">
        <v>418</v>
      </c>
      <c r="E18186">
        <v>1577197735</v>
      </c>
      <c r="F18186">
        <v>315</v>
      </c>
      <c r="G18186">
        <v>0</v>
      </c>
      <c r="H18186" t="s">
        <v>23023</v>
      </c>
      <c r="I18186">
        <v>20692</v>
      </c>
      <c r="J18186" t="str">
        <f>VLOOKUP(E18186,DSSpieler!A:B,2,FALSE)</f>
        <v>MaxistDa</v>
      </c>
    </row>
    <row r="18187" spans="1:10" x14ac:dyDescent="0.25">
      <c r="A18187">
        <v>20693</v>
      </c>
      <c r="B18187" t="s">
        <v>35760</v>
      </c>
      <c r="C18187">
        <v>536</v>
      </c>
      <c r="D18187">
        <v>371</v>
      </c>
      <c r="E18187">
        <v>1577204688</v>
      </c>
      <c r="F18187">
        <v>223</v>
      </c>
      <c r="G18187">
        <v>0</v>
      </c>
      <c r="H18187" t="s">
        <v>23024</v>
      </c>
      <c r="I18187">
        <v>20693</v>
      </c>
      <c r="J18187" t="str">
        <f>VLOOKUP(E18187,DSSpieler!A:B,2,FALSE)</f>
        <v>Nikon Toni</v>
      </c>
    </row>
    <row r="18188" spans="1:10" x14ac:dyDescent="0.25">
      <c r="A18188">
        <v>20694</v>
      </c>
      <c r="B18188" t="s">
        <v>4433</v>
      </c>
      <c r="C18188">
        <v>534</v>
      </c>
      <c r="D18188">
        <v>367</v>
      </c>
      <c r="E18188">
        <v>1577189364</v>
      </c>
      <c r="F18188">
        <v>26</v>
      </c>
      <c r="G18188">
        <v>0</v>
      </c>
      <c r="H18188" t="s">
        <v>23025</v>
      </c>
      <c r="I18188">
        <v>20694</v>
      </c>
      <c r="J18188" t="str">
        <f>VLOOKUP(E18188,DSSpieler!A:B,2,FALSE)</f>
        <v>schmankerl</v>
      </c>
    </row>
    <row r="18189" spans="1:10" x14ac:dyDescent="0.25">
      <c r="A18189">
        <v>20695</v>
      </c>
      <c r="B18189" t="s">
        <v>4434</v>
      </c>
      <c r="C18189">
        <v>532</v>
      </c>
      <c r="D18189">
        <v>632</v>
      </c>
      <c r="E18189">
        <v>441993</v>
      </c>
      <c r="F18189">
        <v>271</v>
      </c>
      <c r="G18189">
        <v>0</v>
      </c>
      <c r="H18189" t="s">
        <v>23026</v>
      </c>
      <c r="I18189">
        <v>20695</v>
      </c>
      <c r="J18189" t="str">
        <f>VLOOKUP(E18189,DSSpieler!A:B,2,FALSE)</f>
        <v>Groobi</v>
      </c>
    </row>
    <row r="18190" spans="1:10" x14ac:dyDescent="0.25">
      <c r="A18190">
        <v>20696</v>
      </c>
      <c r="B18190" t="s">
        <v>150</v>
      </c>
      <c r="C18190">
        <v>589</v>
      </c>
      <c r="D18190">
        <v>394</v>
      </c>
      <c r="E18190">
        <v>1577208671</v>
      </c>
      <c r="F18190">
        <v>357</v>
      </c>
      <c r="G18190">
        <v>0</v>
      </c>
      <c r="H18190" t="s">
        <v>23027</v>
      </c>
      <c r="I18190">
        <v>20696</v>
      </c>
      <c r="J18190" t="str">
        <f>VLOOKUP(E18190,DSSpieler!A:B,2,FALSE)</f>
        <v>Anwax2</v>
      </c>
    </row>
    <row r="18191" spans="1:10" x14ac:dyDescent="0.25">
      <c r="A18191">
        <v>20697</v>
      </c>
      <c r="B18191" t="s">
        <v>4435</v>
      </c>
      <c r="C18191">
        <v>484</v>
      </c>
      <c r="D18191">
        <v>633</v>
      </c>
      <c r="E18191">
        <v>1577130215</v>
      </c>
      <c r="F18191">
        <v>406</v>
      </c>
      <c r="G18191">
        <v>0</v>
      </c>
      <c r="H18191" t="s">
        <v>23028</v>
      </c>
      <c r="I18191">
        <v>20697</v>
      </c>
      <c r="J18191" t="str">
        <f>VLOOKUP(E18191,DSSpieler!A:B,2,FALSE)</f>
        <v>loddum</v>
      </c>
    </row>
    <row r="18192" spans="1:10" x14ac:dyDescent="0.25">
      <c r="A18192">
        <v>20698</v>
      </c>
      <c r="B18192" t="s">
        <v>531</v>
      </c>
      <c r="C18192">
        <v>633</v>
      </c>
      <c r="D18192">
        <v>492</v>
      </c>
      <c r="E18192">
        <v>0</v>
      </c>
      <c r="F18192">
        <v>55</v>
      </c>
      <c r="G18192">
        <v>0</v>
      </c>
      <c r="H18192" t="s">
        <v>23029</v>
      </c>
      <c r="I18192">
        <v>20698</v>
      </c>
      <c r="J18192" t="e">
        <f>VLOOKUP(E18192,DSSpieler!A:B,2,FALSE)</f>
        <v>#N/A</v>
      </c>
    </row>
    <row r="18193" spans="1:10" x14ac:dyDescent="0.25">
      <c r="A18193">
        <v>20699</v>
      </c>
      <c r="B18193" t="s">
        <v>35761</v>
      </c>
      <c r="C18193">
        <v>541</v>
      </c>
      <c r="D18193">
        <v>373</v>
      </c>
      <c r="E18193">
        <v>7940101</v>
      </c>
      <c r="F18193">
        <v>153</v>
      </c>
      <c r="G18193">
        <v>0</v>
      </c>
      <c r="H18193" t="s">
        <v>23030</v>
      </c>
      <c r="I18193">
        <v>20699</v>
      </c>
      <c r="J18193" t="str">
        <f>VLOOKUP(E18193,DSSpieler!A:B,2,FALSE)</f>
        <v>Person15</v>
      </c>
    </row>
    <row r="18194" spans="1:10" x14ac:dyDescent="0.25">
      <c r="A18194">
        <v>20700</v>
      </c>
      <c r="B18194" t="e">
        <f>-DerInderInDerInderin-secret+Dorf</f>
        <v>#NAME?</v>
      </c>
      <c r="C18194">
        <v>631</v>
      </c>
      <c r="D18194">
        <v>472</v>
      </c>
      <c r="E18194">
        <v>9687243</v>
      </c>
      <c r="F18194">
        <v>50</v>
      </c>
      <c r="G18194">
        <v>0</v>
      </c>
      <c r="H18194" t="s">
        <v>23031</v>
      </c>
      <c r="I18194">
        <v>20700</v>
      </c>
      <c r="J18194" t="str">
        <f>VLOOKUP(E18194,DSSpieler!A:B,2,FALSE)</f>
        <v>-DerInderInDerInderin-</v>
      </c>
    </row>
    <row r="18195" spans="1:10" x14ac:dyDescent="0.25">
      <c r="A18195">
        <v>20701</v>
      </c>
      <c r="B18195" t="s">
        <v>4436</v>
      </c>
      <c r="C18195">
        <v>578</v>
      </c>
      <c r="D18195">
        <v>607</v>
      </c>
      <c r="E18195">
        <v>1576469773</v>
      </c>
      <c r="F18195">
        <v>26</v>
      </c>
      <c r="G18195">
        <v>0</v>
      </c>
      <c r="H18195" t="s">
        <v>23032</v>
      </c>
      <c r="I18195">
        <v>20701</v>
      </c>
      <c r="J18195" t="str">
        <f>VLOOKUP(E18195,DSSpieler!A:B,2,FALSE)</f>
        <v>knie77</v>
      </c>
    </row>
    <row r="18196" spans="1:10" x14ac:dyDescent="0.25">
      <c r="A18196">
        <v>20702</v>
      </c>
      <c r="B18196" t="s">
        <v>4437</v>
      </c>
      <c r="C18196">
        <v>576</v>
      </c>
      <c r="D18196">
        <v>385</v>
      </c>
      <c r="E18196">
        <v>9079088</v>
      </c>
      <c r="F18196">
        <v>210</v>
      </c>
      <c r="G18196">
        <v>0</v>
      </c>
      <c r="H18196" t="s">
        <v>23033</v>
      </c>
      <c r="I18196">
        <v>20702</v>
      </c>
      <c r="J18196" t="str">
        <f>VLOOKUP(E18196,DSSpieler!A:B,2,FALSE)</f>
        <v>Linus04</v>
      </c>
    </row>
    <row r="18197" spans="1:10" x14ac:dyDescent="0.25">
      <c r="A18197">
        <v>20703</v>
      </c>
      <c r="B18197" t="s">
        <v>4438</v>
      </c>
      <c r="C18197">
        <v>502</v>
      </c>
      <c r="D18197">
        <v>638</v>
      </c>
      <c r="E18197">
        <v>9065687</v>
      </c>
      <c r="F18197">
        <v>26</v>
      </c>
      <c r="G18197">
        <v>0</v>
      </c>
      <c r="H18197" t="s">
        <v>23034</v>
      </c>
      <c r="I18197">
        <v>20703</v>
      </c>
      <c r="J18197" t="str">
        <f>VLOOKUP(E18197,DSSpieler!A:B,2,FALSE)</f>
        <v>Dr. Arkula</v>
      </c>
    </row>
    <row r="18198" spans="1:10" x14ac:dyDescent="0.25">
      <c r="A18198">
        <v>20704</v>
      </c>
      <c r="B18198" t="s">
        <v>4439</v>
      </c>
      <c r="C18198">
        <v>558</v>
      </c>
      <c r="D18198">
        <v>581</v>
      </c>
      <c r="E18198">
        <v>1577208851</v>
      </c>
      <c r="F18198">
        <v>392</v>
      </c>
      <c r="G18198">
        <v>0</v>
      </c>
      <c r="H18198" t="s">
        <v>23035</v>
      </c>
      <c r="I18198">
        <v>20704</v>
      </c>
      <c r="J18198" t="str">
        <f>VLOOKUP(E18198,DSSpieler!A:B,2,FALSE)</f>
        <v>NoGameNoLife23</v>
      </c>
    </row>
    <row r="18199" spans="1:10" x14ac:dyDescent="0.25">
      <c r="A18199">
        <v>20705</v>
      </c>
      <c r="B18199" t="s">
        <v>4440</v>
      </c>
      <c r="C18199">
        <v>534</v>
      </c>
      <c r="D18199">
        <v>366</v>
      </c>
      <c r="E18199">
        <v>2750404</v>
      </c>
      <c r="F18199">
        <v>38</v>
      </c>
      <c r="G18199">
        <v>0</v>
      </c>
      <c r="H18199" t="s">
        <v>23036</v>
      </c>
      <c r="I18199">
        <v>20705</v>
      </c>
      <c r="J18199" t="str">
        <f>VLOOKUP(E18199,DSSpieler!A:B,2,FALSE)</f>
        <v>Andygo</v>
      </c>
    </row>
    <row r="18200" spans="1:10" x14ac:dyDescent="0.25">
      <c r="A18200">
        <v>20706</v>
      </c>
      <c r="B18200" t="s">
        <v>4441</v>
      </c>
      <c r="C18200">
        <v>603</v>
      </c>
      <c r="D18200">
        <v>588</v>
      </c>
      <c r="E18200">
        <v>1577208889</v>
      </c>
      <c r="F18200">
        <v>457</v>
      </c>
      <c r="G18200">
        <v>0</v>
      </c>
      <c r="H18200" t="s">
        <v>23037</v>
      </c>
      <c r="I18200">
        <v>20706</v>
      </c>
      <c r="J18200" t="str">
        <f>VLOOKUP(E18200,DSSpieler!A:B,2,FALSE)</f>
        <v>Unken</v>
      </c>
    </row>
    <row r="18201" spans="1:10" x14ac:dyDescent="0.25">
      <c r="A18201">
        <v>20707</v>
      </c>
      <c r="B18201" t="s">
        <v>4442</v>
      </c>
      <c r="C18201">
        <v>411</v>
      </c>
      <c r="D18201">
        <v>603</v>
      </c>
      <c r="E18201">
        <v>1576497823</v>
      </c>
      <c r="F18201">
        <v>26</v>
      </c>
      <c r="G18201">
        <v>0</v>
      </c>
      <c r="H18201" t="s">
        <v>23038</v>
      </c>
      <c r="I18201">
        <v>20707</v>
      </c>
      <c r="J18201" t="str">
        <f>VLOOKUP(E18201,DSSpieler!A:B,2,FALSE)</f>
        <v>BoingShadow</v>
      </c>
    </row>
    <row r="18202" spans="1:10" x14ac:dyDescent="0.25">
      <c r="A18202">
        <v>20708</v>
      </c>
      <c r="B18202" t="s">
        <v>4443</v>
      </c>
      <c r="C18202">
        <v>453</v>
      </c>
      <c r="D18202">
        <v>372</v>
      </c>
      <c r="E18202">
        <v>9403807</v>
      </c>
      <c r="F18202">
        <v>379</v>
      </c>
      <c r="G18202">
        <v>0</v>
      </c>
      <c r="H18202" t="s">
        <v>23039</v>
      </c>
      <c r="I18202">
        <v>20708</v>
      </c>
      <c r="J18202" t="str">
        <f>VLOOKUP(E18202,DSSpieler!A:B,2,FALSE)</f>
        <v>Matjesmonster</v>
      </c>
    </row>
    <row r="18203" spans="1:10" x14ac:dyDescent="0.25">
      <c r="A18203">
        <v>20709</v>
      </c>
      <c r="B18203">
        <v>1</v>
      </c>
      <c r="C18203">
        <v>430</v>
      </c>
      <c r="D18203">
        <v>615</v>
      </c>
      <c r="E18203">
        <v>1577059989</v>
      </c>
      <c r="F18203">
        <v>385</v>
      </c>
      <c r="G18203">
        <v>0</v>
      </c>
      <c r="H18203" t="s">
        <v>23040</v>
      </c>
      <c r="I18203">
        <v>20709</v>
      </c>
      <c r="J18203" t="str">
        <f>VLOOKUP(E18203,DSSpieler!A:B,2,FALSE)</f>
        <v>Giro88</v>
      </c>
    </row>
    <row r="18204" spans="1:10" x14ac:dyDescent="0.25">
      <c r="A18204">
        <v>20710</v>
      </c>
      <c r="B18204" t="s">
        <v>4444</v>
      </c>
      <c r="C18204">
        <v>597</v>
      </c>
      <c r="D18204">
        <v>477</v>
      </c>
      <c r="E18204">
        <v>1577190245</v>
      </c>
      <c r="F18204">
        <v>38</v>
      </c>
      <c r="G18204">
        <v>0</v>
      </c>
      <c r="H18204" t="s">
        <v>23041</v>
      </c>
      <c r="I18204">
        <v>20710</v>
      </c>
      <c r="J18204" t="str">
        <f>VLOOKUP(E18204,DSSpieler!A:B,2,FALSE)</f>
        <v>kankarne</v>
      </c>
    </row>
    <row r="18205" spans="1:10" x14ac:dyDescent="0.25">
      <c r="A18205">
        <v>20711</v>
      </c>
      <c r="B18205" t="s">
        <v>4445</v>
      </c>
      <c r="C18205">
        <v>517</v>
      </c>
      <c r="D18205">
        <v>365</v>
      </c>
      <c r="E18205">
        <v>1577204492</v>
      </c>
      <c r="F18205">
        <v>26</v>
      </c>
      <c r="G18205">
        <v>0</v>
      </c>
      <c r="H18205" t="s">
        <v>23042</v>
      </c>
      <c r="I18205">
        <v>20711</v>
      </c>
      <c r="J18205" t="str">
        <f>VLOOKUP(E18205,DSSpieler!A:B,2,FALSE)</f>
        <v>Jok3er</v>
      </c>
    </row>
    <row r="18206" spans="1:10" x14ac:dyDescent="0.25">
      <c r="A18206">
        <v>20712</v>
      </c>
      <c r="B18206" t="s">
        <v>4446</v>
      </c>
      <c r="C18206">
        <v>595</v>
      </c>
      <c r="D18206">
        <v>595</v>
      </c>
      <c r="E18206">
        <v>7674564</v>
      </c>
      <c r="F18206">
        <v>299</v>
      </c>
      <c r="G18206">
        <v>0</v>
      </c>
      <c r="H18206" t="s">
        <v>23043</v>
      </c>
      <c r="I18206">
        <v>20712</v>
      </c>
      <c r="J18206" t="str">
        <f>VLOOKUP(E18206,DSSpieler!A:B,2,FALSE)</f>
        <v>Akiela</v>
      </c>
    </row>
    <row r="18207" spans="1:10" x14ac:dyDescent="0.25">
      <c r="A18207">
        <v>20713</v>
      </c>
      <c r="B18207" t="s">
        <v>4447</v>
      </c>
      <c r="C18207">
        <v>461</v>
      </c>
      <c r="D18207">
        <v>631</v>
      </c>
      <c r="E18207">
        <v>1577167664</v>
      </c>
      <c r="F18207">
        <v>38</v>
      </c>
      <c r="G18207">
        <v>0</v>
      </c>
      <c r="H18207" t="s">
        <v>23044</v>
      </c>
      <c r="I18207">
        <v>20713</v>
      </c>
      <c r="J18207" t="str">
        <f>VLOOKUP(E18207,DSSpieler!A:B,2,FALSE)</f>
        <v>Direflake</v>
      </c>
    </row>
    <row r="18208" spans="1:10" x14ac:dyDescent="0.25">
      <c r="A18208">
        <v>20714</v>
      </c>
      <c r="B18208" t="s">
        <v>4448</v>
      </c>
      <c r="C18208">
        <v>462</v>
      </c>
      <c r="D18208">
        <v>630</v>
      </c>
      <c r="E18208">
        <v>1577195014</v>
      </c>
      <c r="F18208">
        <v>346</v>
      </c>
      <c r="G18208">
        <v>0</v>
      </c>
      <c r="H18208" t="s">
        <v>23045</v>
      </c>
      <c r="I18208">
        <v>20714</v>
      </c>
      <c r="J18208" t="str">
        <f>VLOOKUP(E18208,DSSpieler!A:B,2,FALSE)</f>
        <v>Krona</v>
      </c>
    </row>
    <row r="18209" spans="1:10" x14ac:dyDescent="0.25">
      <c r="A18209">
        <v>20715</v>
      </c>
      <c r="B18209" t="s">
        <v>4449</v>
      </c>
      <c r="C18209">
        <v>628</v>
      </c>
      <c r="D18209">
        <v>547</v>
      </c>
      <c r="E18209">
        <v>8785400</v>
      </c>
      <c r="F18209">
        <v>38</v>
      </c>
      <c r="G18209">
        <v>0</v>
      </c>
      <c r="H18209" t="s">
        <v>23046</v>
      </c>
      <c r="I18209">
        <v>20715</v>
      </c>
      <c r="J18209" t="str">
        <f>VLOOKUP(E18209,DSSpieler!A:B,2,FALSE)</f>
        <v>oOJaczakOo</v>
      </c>
    </row>
    <row r="18210" spans="1:10" x14ac:dyDescent="0.25">
      <c r="A18210">
        <v>20716</v>
      </c>
      <c r="B18210" t="s">
        <v>1182</v>
      </c>
      <c r="C18210">
        <v>476</v>
      </c>
      <c r="D18210">
        <v>496</v>
      </c>
      <c r="E18210">
        <v>1577198511</v>
      </c>
      <c r="F18210">
        <v>56</v>
      </c>
      <c r="G18210">
        <v>0</v>
      </c>
      <c r="H18210" t="s">
        <v>23047</v>
      </c>
      <c r="I18210">
        <v>20716</v>
      </c>
      <c r="J18210" t="str">
        <f>VLOOKUP(E18210,DSSpieler!A:B,2,FALSE)</f>
        <v>Ragner L</v>
      </c>
    </row>
    <row r="18211" spans="1:10" x14ac:dyDescent="0.25">
      <c r="A18211">
        <v>20717</v>
      </c>
      <c r="B18211" t="s">
        <v>4450</v>
      </c>
      <c r="C18211">
        <v>610</v>
      </c>
      <c r="D18211">
        <v>427</v>
      </c>
      <c r="E18211">
        <v>9781560</v>
      </c>
      <c r="F18211">
        <v>225</v>
      </c>
      <c r="G18211">
        <v>0</v>
      </c>
      <c r="H18211" t="s">
        <v>23048</v>
      </c>
      <c r="I18211">
        <v>20717</v>
      </c>
      <c r="J18211" t="str">
        <f>VLOOKUP(E18211,DSSpieler!A:B,2,FALSE)</f>
        <v>hanfix</v>
      </c>
    </row>
    <row r="18212" spans="1:10" x14ac:dyDescent="0.25">
      <c r="A18212">
        <v>20718</v>
      </c>
      <c r="B18212" t="s">
        <v>531</v>
      </c>
      <c r="C18212">
        <v>403</v>
      </c>
      <c r="D18212">
        <v>406</v>
      </c>
      <c r="E18212">
        <v>0</v>
      </c>
      <c r="F18212">
        <v>67</v>
      </c>
      <c r="G18212">
        <v>0</v>
      </c>
      <c r="H18212" t="s">
        <v>23049</v>
      </c>
      <c r="I18212">
        <v>20718</v>
      </c>
      <c r="J18212" t="e">
        <f>VLOOKUP(E18212,DSSpieler!A:B,2,FALSE)</f>
        <v>#N/A</v>
      </c>
    </row>
    <row r="18213" spans="1:10" x14ac:dyDescent="0.25">
      <c r="A18213">
        <v>20719</v>
      </c>
      <c r="B18213" t="s">
        <v>4451</v>
      </c>
      <c r="C18213">
        <v>371</v>
      </c>
      <c r="D18213">
        <v>540</v>
      </c>
      <c r="E18213">
        <v>1577203628</v>
      </c>
      <c r="F18213">
        <v>48</v>
      </c>
      <c r="G18213">
        <v>0</v>
      </c>
      <c r="H18213" t="s">
        <v>23050</v>
      </c>
      <c r="I18213">
        <v>20719</v>
      </c>
      <c r="J18213" t="str">
        <f>VLOOKUP(E18213,DSSpieler!A:B,2,FALSE)</f>
        <v>gerry19981</v>
      </c>
    </row>
    <row r="18214" spans="1:10" x14ac:dyDescent="0.25">
      <c r="A18214">
        <v>20720</v>
      </c>
      <c r="B18214" t="s">
        <v>4452</v>
      </c>
      <c r="C18214">
        <v>412</v>
      </c>
      <c r="D18214">
        <v>602</v>
      </c>
      <c r="E18214">
        <v>3145674</v>
      </c>
      <c r="F18214">
        <v>26</v>
      </c>
      <c r="G18214">
        <v>0</v>
      </c>
      <c r="H18214" t="s">
        <v>23051</v>
      </c>
      <c r="I18214">
        <v>20720</v>
      </c>
      <c r="J18214" t="str">
        <f>VLOOKUP(E18214,DSSpieler!A:B,2,FALSE)</f>
        <v>haefi95</v>
      </c>
    </row>
    <row r="18215" spans="1:10" x14ac:dyDescent="0.25">
      <c r="A18215">
        <v>20721</v>
      </c>
      <c r="B18215" t="s">
        <v>531</v>
      </c>
      <c r="C18215">
        <v>630</v>
      </c>
      <c r="D18215">
        <v>538</v>
      </c>
      <c r="E18215">
        <v>0</v>
      </c>
      <c r="F18215">
        <v>51</v>
      </c>
      <c r="G18215">
        <v>0</v>
      </c>
      <c r="H18215" t="s">
        <v>23052</v>
      </c>
      <c r="I18215">
        <v>20721</v>
      </c>
      <c r="J18215" t="e">
        <f>VLOOKUP(E18215,DSSpieler!A:B,2,FALSE)</f>
        <v>#N/A</v>
      </c>
    </row>
    <row r="18216" spans="1:10" x14ac:dyDescent="0.25">
      <c r="A18216">
        <v>20722</v>
      </c>
      <c r="B18216" t="s">
        <v>4453</v>
      </c>
      <c r="C18216">
        <v>613</v>
      </c>
      <c r="D18216">
        <v>584</v>
      </c>
      <c r="E18216">
        <v>1577208914</v>
      </c>
      <c r="F18216">
        <v>213</v>
      </c>
      <c r="G18216">
        <v>0</v>
      </c>
      <c r="H18216" t="s">
        <v>23053</v>
      </c>
      <c r="I18216">
        <v>20722</v>
      </c>
      <c r="J18216" t="str">
        <f>VLOOKUP(E18216,DSSpieler!A:B,2,FALSE)</f>
        <v>ReneKB</v>
      </c>
    </row>
    <row r="18217" spans="1:10" x14ac:dyDescent="0.25">
      <c r="A18217">
        <v>20723</v>
      </c>
      <c r="B18217" t="s">
        <v>4454</v>
      </c>
      <c r="C18217">
        <v>398</v>
      </c>
      <c r="D18217">
        <v>406</v>
      </c>
      <c r="E18217">
        <v>1577102245</v>
      </c>
      <c r="F18217">
        <v>166</v>
      </c>
      <c r="G18217">
        <v>0</v>
      </c>
      <c r="H18217" t="s">
        <v>23054</v>
      </c>
      <c r="I18217">
        <v>20723</v>
      </c>
      <c r="J18217" t="str">
        <f>VLOOKUP(E18217,DSSpieler!A:B,2,FALSE)</f>
        <v>Northstorm</v>
      </c>
    </row>
    <row r="18218" spans="1:10" x14ac:dyDescent="0.25">
      <c r="A18218">
        <v>20724</v>
      </c>
      <c r="B18218" t="s">
        <v>4455</v>
      </c>
      <c r="C18218">
        <v>524</v>
      </c>
      <c r="D18218">
        <v>382</v>
      </c>
      <c r="E18218">
        <v>1577188654</v>
      </c>
      <c r="F18218">
        <v>348</v>
      </c>
      <c r="G18218">
        <v>0</v>
      </c>
      <c r="H18218" t="s">
        <v>23055</v>
      </c>
      <c r="I18218">
        <v>20724</v>
      </c>
      <c r="J18218" t="str">
        <f>VLOOKUP(E18218,DSSpieler!A:B,2,FALSE)</f>
        <v>Urdus</v>
      </c>
    </row>
    <row r="18219" spans="1:10" x14ac:dyDescent="0.25">
      <c r="A18219">
        <v>20725</v>
      </c>
      <c r="B18219" t="s">
        <v>4456</v>
      </c>
      <c r="C18219">
        <v>451</v>
      </c>
      <c r="D18219">
        <v>626</v>
      </c>
      <c r="E18219">
        <v>1576759634</v>
      </c>
      <c r="F18219">
        <v>26</v>
      </c>
      <c r="G18219">
        <v>0</v>
      </c>
      <c r="H18219" t="s">
        <v>23056</v>
      </c>
      <c r="I18219">
        <v>20725</v>
      </c>
      <c r="J18219" t="str">
        <f>VLOOKUP(E18219,DSSpieler!A:B,2,FALSE)</f>
        <v>BMI250</v>
      </c>
    </row>
    <row r="18220" spans="1:10" x14ac:dyDescent="0.25">
      <c r="A18220">
        <v>20726</v>
      </c>
      <c r="B18220" t="s">
        <v>4457</v>
      </c>
      <c r="C18220">
        <v>436</v>
      </c>
      <c r="D18220">
        <v>622</v>
      </c>
      <c r="E18220">
        <v>8983893</v>
      </c>
      <c r="F18220">
        <v>26</v>
      </c>
      <c r="G18220">
        <v>0</v>
      </c>
      <c r="H18220" t="s">
        <v>23057</v>
      </c>
      <c r="I18220">
        <v>20726</v>
      </c>
      <c r="J18220" t="str">
        <f>VLOOKUP(E18220,DSSpieler!A:B,2,FALSE)</f>
        <v>loko1988</v>
      </c>
    </row>
    <row r="18221" spans="1:10" x14ac:dyDescent="0.25">
      <c r="A18221">
        <v>20727</v>
      </c>
      <c r="B18221" t="s">
        <v>4458</v>
      </c>
      <c r="C18221">
        <v>609</v>
      </c>
      <c r="D18221">
        <v>425</v>
      </c>
      <c r="E18221">
        <v>9607665</v>
      </c>
      <c r="F18221">
        <v>183</v>
      </c>
      <c r="G18221">
        <v>0</v>
      </c>
      <c r="H18221" t="s">
        <v>23058</v>
      </c>
      <c r="I18221">
        <v>20727</v>
      </c>
      <c r="J18221" t="str">
        <f>VLOOKUP(E18221,DSSpieler!A:B,2,FALSE)</f>
        <v>Herrkogel</v>
      </c>
    </row>
    <row r="18222" spans="1:10" x14ac:dyDescent="0.25">
      <c r="A18222">
        <v>20728</v>
      </c>
      <c r="B18222" t="s">
        <v>4459</v>
      </c>
      <c r="C18222">
        <v>476</v>
      </c>
      <c r="D18222">
        <v>370</v>
      </c>
      <c r="E18222">
        <v>1576564256</v>
      </c>
      <c r="F18222">
        <v>78</v>
      </c>
      <c r="G18222">
        <v>0</v>
      </c>
      <c r="H18222" t="s">
        <v>23059</v>
      </c>
      <c r="I18222">
        <v>20728</v>
      </c>
      <c r="J18222" t="str">
        <f>VLOOKUP(E18222,DSSpieler!A:B,2,FALSE)</f>
        <v>Gast564256</v>
      </c>
    </row>
    <row r="18223" spans="1:10" x14ac:dyDescent="0.25">
      <c r="A18223">
        <v>20729</v>
      </c>
      <c r="B18223" t="s">
        <v>1182</v>
      </c>
      <c r="C18223">
        <v>635</v>
      </c>
      <c r="D18223">
        <v>493</v>
      </c>
      <c r="E18223">
        <v>1577073498</v>
      </c>
      <c r="F18223">
        <v>328</v>
      </c>
      <c r="G18223">
        <v>0</v>
      </c>
      <c r="H18223" t="s">
        <v>23060</v>
      </c>
      <c r="I18223">
        <v>20729</v>
      </c>
      <c r="J18223" t="str">
        <f>VLOOKUP(E18223,DSSpieler!A:B,2,FALSE)</f>
        <v>Torsten</v>
      </c>
    </row>
    <row r="18224" spans="1:10" x14ac:dyDescent="0.25">
      <c r="A18224">
        <v>20730</v>
      </c>
      <c r="B18224" t="s">
        <v>4460</v>
      </c>
      <c r="C18224">
        <v>641</v>
      </c>
      <c r="D18224">
        <v>500</v>
      </c>
      <c r="E18224">
        <v>1576830047</v>
      </c>
      <c r="F18224">
        <v>169</v>
      </c>
      <c r="G18224">
        <v>0</v>
      </c>
      <c r="H18224" t="s">
        <v>23061</v>
      </c>
      <c r="I18224">
        <v>20730</v>
      </c>
      <c r="J18224" t="str">
        <f>VLOOKUP(E18224,DSSpieler!A:B,2,FALSE)</f>
        <v>Zander1998</v>
      </c>
    </row>
    <row r="18225" spans="1:10" x14ac:dyDescent="0.25">
      <c r="A18225">
        <v>20731</v>
      </c>
      <c r="B18225" t="s">
        <v>4461</v>
      </c>
      <c r="C18225">
        <v>438</v>
      </c>
      <c r="D18225">
        <v>378</v>
      </c>
      <c r="E18225">
        <v>8592950</v>
      </c>
      <c r="F18225">
        <v>389</v>
      </c>
      <c r="G18225">
        <v>0</v>
      </c>
      <c r="H18225" t="s">
        <v>23062</v>
      </c>
      <c r="I18225">
        <v>20731</v>
      </c>
      <c r="J18225" t="str">
        <f>VLOOKUP(E18225,DSSpieler!A:B,2,FALSE)</f>
        <v>Ganjaexpress</v>
      </c>
    </row>
    <row r="18226" spans="1:10" x14ac:dyDescent="0.25">
      <c r="A18226">
        <v>20732</v>
      </c>
      <c r="B18226" t="s">
        <v>35762</v>
      </c>
      <c r="C18226">
        <v>521</v>
      </c>
      <c r="D18226">
        <v>384</v>
      </c>
      <c r="E18226">
        <v>9893539</v>
      </c>
      <c r="F18226">
        <v>26</v>
      </c>
      <c r="G18226">
        <v>0</v>
      </c>
      <c r="H18226" t="s">
        <v>23063</v>
      </c>
      <c r="I18226">
        <v>20732</v>
      </c>
      <c r="J18226" t="str">
        <f>VLOOKUP(E18226,DSSpieler!A:B,2,FALSE)</f>
        <v>MäcBastard</v>
      </c>
    </row>
    <row r="18227" spans="1:10" x14ac:dyDescent="0.25">
      <c r="A18227">
        <v>20733</v>
      </c>
      <c r="B18227" t="s">
        <v>531</v>
      </c>
      <c r="C18227">
        <v>389</v>
      </c>
      <c r="D18227">
        <v>426</v>
      </c>
      <c r="E18227">
        <v>0</v>
      </c>
      <c r="F18227">
        <v>48</v>
      </c>
      <c r="G18227">
        <v>0</v>
      </c>
      <c r="H18227" t="s">
        <v>23064</v>
      </c>
      <c r="I18227">
        <v>20733</v>
      </c>
      <c r="J18227" t="e">
        <f>VLOOKUP(E18227,DSSpieler!A:B,2,FALSE)</f>
        <v>#N/A</v>
      </c>
    </row>
    <row r="18228" spans="1:10" x14ac:dyDescent="0.25">
      <c r="A18228">
        <v>20734</v>
      </c>
      <c r="B18228" t="s">
        <v>35763</v>
      </c>
      <c r="C18228">
        <v>556</v>
      </c>
      <c r="D18228">
        <v>375</v>
      </c>
      <c r="E18228">
        <v>3264957</v>
      </c>
      <c r="F18228">
        <v>271</v>
      </c>
      <c r="G18228">
        <v>0</v>
      </c>
      <c r="H18228" t="s">
        <v>23065</v>
      </c>
      <c r="I18228">
        <v>20734</v>
      </c>
      <c r="J18228" t="str">
        <f>VLOOKUP(E18228,DSSpieler!A:B,2,FALSE)</f>
        <v>Buckel-Stryke</v>
      </c>
    </row>
    <row r="18229" spans="1:10" x14ac:dyDescent="0.25">
      <c r="A18229">
        <v>20735</v>
      </c>
      <c r="B18229" t="s">
        <v>4462</v>
      </c>
      <c r="C18229">
        <v>416</v>
      </c>
      <c r="D18229">
        <v>610</v>
      </c>
      <c r="E18229">
        <v>1577208935</v>
      </c>
      <c r="F18229">
        <v>242</v>
      </c>
      <c r="G18229">
        <v>0</v>
      </c>
      <c r="H18229" t="s">
        <v>23066</v>
      </c>
      <c r="I18229">
        <v>20735</v>
      </c>
      <c r="J18229" t="str">
        <f>VLOOKUP(E18229,DSSpieler!A:B,2,FALSE)</f>
        <v>fleion</v>
      </c>
    </row>
    <row r="18230" spans="1:10" x14ac:dyDescent="0.25">
      <c r="A18230">
        <v>20736</v>
      </c>
      <c r="B18230" t="s">
        <v>35764</v>
      </c>
      <c r="C18230">
        <v>487</v>
      </c>
      <c r="D18230">
        <v>637</v>
      </c>
      <c r="E18230">
        <v>1577153564</v>
      </c>
      <c r="F18230">
        <v>85</v>
      </c>
      <c r="G18230">
        <v>0</v>
      </c>
      <c r="H18230" t="s">
        <v>23067</v>
      </c>
      <c r="I18230">
        <v>20736</v>
      </c>
      <c r="J18230" t="str">
        <f>VLOOKUP(E18230,DSSpieler!A:B,2,FALSE)</f>
        <v>.Whatever?</v>
      </c>
    </row>
    <row r="18231" spans="1:10" x14ac:dyDescent="0.25">
      <c r="A18231">
        <v>20737</v>
      </c>
      <c r="B18231" t="s">
        <v>4463</v>
      </c>
      <c r="C18231">
        <v>523</v>
      </c>
      <c r="D18231">
        <v>537</v>
      </c>
      <c r="E18231">
        <v>1577208939</v>
      </c>
      <c r="F18231">
        <v>73</v>
      </c>
      <c r="G18231">
        <v>0</v>
      </c>
      <c r="H18231" t="s">
        <v>23068</v>
      </c>
      <c r="I18231">
        <v>20737</v>
      </c>
      <c r="J18231" t="str">
        <f>VLOOKUP(E18231,DSSpieler!A:B,2,FALSE)</f>
        <v>Zelda21</v>
      </c>
    </row>
    <row r="18232" spans="1:10" x14ac:dyDescent="0.25">
      <c r="A18232">
        <v>20738</v>
      </c>
      <c r="B18232" t="s">
        <v>31154</v>
      </c>
      <c r="C18232">
        <v>634</v>
      </c>
      <c r="D18232">
        <v>514</v>
      </c>
      <c r="E18232">
        <v>1575959056</v>
      </c>
      <c r="F18232">
        <v>400</v>
      </c>
      <c r="G18232">
        <v>0</v>
      </c>
      <c r="H18232" t="s">
        <v>23069</v>
      </c>
      <c r="I18232">
        <v>20738</v>
      </c>
      <c r="J18232" t="str">
        <f>VLOOKUP(E18232,DSSpieler!A:B,2,FALSE)</f>
        <v>Eroberer von Königsmund</v>
      </c>
    </row>
    <row r="18233" spans="1:10" x14ac:dyDescent="0.25">
      <c r="A18233">
        <v>20739</v>
      </c>
      <c r="B18233" t="s">
        <v>4464</v>
      </c>
      <c r="C18233">
        <v>635</v>
      </c>
      <c r="D18233">
        <v>503</v>
      </c>
      <c r="E18233">
        <v>1577173864</v>
      </c>
      <c r="F18233">
        <v>410</v>
      </c>
      <c r="G18233">
        <v>0</v>
      </c>
      <c r="H18233" t="s">
        <v>23070</v>
      </c>
      <c r="I18233">
        <v>20739</v>
      </c>
      <c r="J18233" t="str">
        <f>VLOOKUP(E18233,DSSpieler!A:B,2,FALSE)</f>
        <v>Pun1sh3r</v>
      </c>
    </row>
    <row r="18234" spans="1:10" x14ac:dyDescent="0.25">
      <c r="A18234">
        <v>20740</v>
      </c>
      <c r="B18234" t="s">
        <v>34755</v>
      </c>
      <c r="C18234">
        <v>595</v>
      </c>
      <c r="D18234">
        <v>590</v>
      </c>
      <c r="E18234">
        <v>1577208947</v>
      </c>
      <c r="F18234">
        <v>349</v>
      </c>
      <c r="G18234">
        <v>0</v>
      </c>
      <c r="H18234" t="s">
        <v>23071</v>
      </c>
      <c r="I18234">
        <v>20740</v>
      </c>
      <c r="J18234" t="str">
        <f>VLOOKUP(E18234,DSSpieler!A:B,2,FALSE)</f>
        <v>Partyhorst</v>
      </c>
    </row>
    <row r="18235" spans="1:10" x14ac:dyDescent="0.25">
      <c r="A18235">
        <v>20741</v>
      </c>
      <c r="B18235" t="s">
        <v>4465</v>
      </c>
      <c r="C18235">
        <v>474</v>
      </c>
      <c r="D18235">
        <v>536</v>
      </c>
      <c r="E18235">
        <v>1751697</v>
      </c>
      <c r="F18235">
        <v>437</v>
      </c>
      <c r="G18235">
        <v>0</v>
      </c>
      <c r="H18235" t="s">
        <v>23072</v>
      </c>
      <c r="I18235">
        <v>20741</v>
      </c>
      <c r="J18235" t="str">
        <f>VLOOKUP(E18235,DSSpieler!A:B,2,FALSE)</f>
        <v>wolfen stein</v>
      </c>
    </row>
    <row r="18236" spans="1:10" x14ac:dyDescent="0.25">
      <c r="A18236">
        <v>20742</v>
      </c>
      <c r="B18236" t="s">
        <v>4466</v>
      </c>
      <c r="C18236">
        <v>380</v>
      </c>
      <c r="D18236">
        <v>508</v>
      </c>
      <c r="E18236">
        <v>1577189847</v>
      </c>
      <c r="F18236">
        <v>177</v>
      </c>
      <c r="G18236">
        <v>0</v>
      </c>
      <c r="H18236" t="s">
        <v>23073</v>
      </c>
      <c r="I18236">
        <v>20742</v>
      </c>
      <c r="J18236" t="str">
        <f>VLOOKUP(E18236,DSSpieler!A:B,2,FALSE)</f>
        <v>Euli</v>
      </c>
    </row>
    <row r="18237" spans="1:10" x14ac:dyDescent="0.25">
      <c r="A18237">
        <v>20743</v>
      </c>
      <c r="B18237" t="s">
        <v>35765</v>
      </c>
      <c r="C18237">
        <v>606</v>
      </c>
      <c r="D18237">
        <v>592</v>
      </c>
      <c r="E18237">
        <v>8734784</v>
      </c>
      <c r="F18237">
        <v>403</v>
      </c>
      <c r="G18237">
        <v>0</v>
      </c>
      <c r="H18237" t="s">
        <v>23074</v>
      </c>
      <c r="I18237">
        <v>20743</v>
      </c>
      <c r="J18237" t="str">
        <f>VLOOKUP(E18237,DSSpieler!A:B,2,FALSE)</f>
        <v>Askiela</v>
      </c>
    </row>
    <row r="18238" spans="1:10" x14ac:dyDescent="0.25">
      <c r="A18238">
        <v>20744</v>
      </c>
      <c r="B18238" t="s">
        <v>4467</v>
      </c>
      <c r="C18238">
        <v>485</v>
      </c>
      <c r="D18238">
        <v>635</v>
      </c>
      <c r="E18238">
        <v>1577181915</v>
      </c>
      <c r="F18238">
        <v>164</v>
      </c>
      <c r="G18238">
        <v>0</v>
      </c>
      <c r="H18238" t="s">
        <v>23075</v>
      </c>
      <c r="I18238">
        <v>20744</v>
      </c>
      <c r="J18238" t="str">
        <f>VLOOKUP(E18238,DSSpieler!A:B,2,FALSE)</f>
        <v>Sakuija</v>
      </c>
    </row>
    <row r="18239" spans="1:10" x14ac:dyDescent="0.25">
      <c r="A18239">
        <v>20745</v>
      </c>
      <c r="B18239" t="s">
        <v>4468</v>
      </c>
      <c r="C18239">
        <v>380</v>
      </c>
      <c r="D18239">
        <v>570</v>
      </c>
      <c r="E18239">
        <v>1577147774</v>
      </c>
      <c r="F18239">
        <v>73</v>
      </c>
      <c r="G18239">
        <v>0</v>
      </c>
      <c r="H18239" t="s">
        <v>23076</v>
      </c>
      <c r="I18239">
        <v>20745</v>
      </c>
      <c r="J18239" t="str">
        <f>VLOOKUP(E18239,DSSpieler!A:B,2,FALSE)</f>
        <v>Krieger3</v>
      </c>
    </row>
    <row r="18240" spans="1:10" x14ac:dyDescent="0.25">
      <c r="A18240">
        <v>20746</v>
      </c>
      <c r="B18240" t="s">
        <v>4469</v>
      </c>
      <c r="C18240">
        <v>464</v>
      </c>
      <c r="D18240">
        <v>369</v>
      </c>
      <c r="E18240">
        <v>10175771</v>
      </c>
      <c r="F18240">
        <v>26</v>
      </c>
      <c r="G18240">
        <v>0</v>
      </c>
      <c r="H18240" t="s">
        <v>23077</v>
      </c>
      <c r="I18240">
        <v>20746</v>
      </c>
      <c r="J18240" t="str">
        <f>VLOOKUP(E18240,DSSpieler!A:B,2,FALSE)</f>
        <v>Nippel-Twister</v>
      </c>
    </row>
    <row r="18241" spans="1:10" x14ac:dyDescent="0.25">
      <c r="A18241">
        <v>20747</v>
      </c>
      <c r="B18241" t="s">
        <v>4470</v>
      </c>
      <c r="C18241">
        <v>527</v>
      </c>
      <c r="D18241">
        <v>371</v>
      </c>
      <c r="E18241">
        <v>1577204748</v>
      </c>
      <c r="F18241">
        <v>44</v>
      </c>
      <c r="G18241">
        <v>0</v>
      </c>
      <c r="H18241" t="s">
        <v>23078</v>
      </c>
      <c r="I18241">
        <v>20747</v>
      </c>
      <c r="J18241" t="str">
        <f>VLOOKUP(E18241,DSSpieler!A:B,2,FALSE)</f>
        <v>Felix ist</v>
      </c>
    </row>
    <row r="18242" spans="1:10" x14ac:dyDescent="0.25">
      <c r="A18242">
        <v>20748</v>
      </c>
      <c r="B18242" t="s">
        <v>4471</v>
      </c>
      <c r="C18242">
        <v>613</v>
      </c>
      <c r="D18242">
        <v>505</v>
      </c>
      <c r="E18242">
        <v>1577197213</v>
      </c>
      <c r="F18242">
        <v>26</v>
      </c>
      <c r="G18242">
        <v>0</v>
      </c>
      <c r="H18242" t="s">
        <v>23079</v>
      </c>
      <c r="I18242">
        <v>20748</v>
      </c>
      <c r="J18242" t="str">
        <f>VLOOKUP(E18242,DSSpieler!A:B,2,FALSE)</f>
        <v>ChilledLuc</v>
      </c>
    </row>
    <row r="18243" spans="1:10" x14ac:dyDescent="0.25">
      <c r="A18243">
        <v>20749</v>
      </c>
      <c r="B18243" t="s">
        <v>531</v>
      </c>
      <c r="C18243">
        <v>616</v>
      </c>
      <c r="D18243">
        <v>569</v>
      </c>
      <c r="E18243">
        <v>0</v>
      </c>
      <c r="F18243">
        <v>64</v>
      </c>
      <c r="G18243">
        <v>0</v>
      </c>
      <c r="H18243" t="s">
        <v>23080</v>
      </c>
      <c r="I18243">
        <v>20749</v>
      </c>
      <c r="J18243" t="e">
        <f>VLOOKUP(E18243,DSSpieler!A:B,2,FALSE)</f>
        <v>#N/A</v>
      </c>
    </row>
    <row r="18244" spans="1:10" x14ac:dyDescent="0.25">
      <c r="A18244">
        <v>20750</v>
      </c>
      <c r="B18244" t="s">
        <v>4472</v>
      </c>
      <c r="C18244">
        <v>362</v>
      </c>
      <c r="D18244">
        <v>514</v>
      </c>
      <c r="E18244">
        <v>1576469182</v>
      </c>
      <c r="F18244">
        <v>325</v>
      </c>
      <c r="G18244">
        <v>0</v>
      </c>
      <c r="H18244" t="s">
        <v>23081</v>
      </c>
      <c r="I18244">
        <v>20750</v>
      </c>
      <c r="J18244" t="str">
        <f>VLOOKUP(E18244,DSSpieler!A:B,2,FALSE)</f>
        <v>.exoticlemon</v>
      </c>
    </row>
    <row r="18245" spans="1:10" x14ac:dyDescent="0.25">
      <c r="A18245">
        <v>20751</v>
      </c>
      <c r="B18245" t="s">
        <v>4473</v>
      </c>
      <c r="C18245">
        <v>368</v>
      </c>
      <c r="D18245">
        <v>521</v>
      </c>
      <c r="E18245">
        <v>3080427</v>
      </c>
      <c r="F18245">
        <v>49</v>
      </c>
      <c r="G18245">
        <v>0</v>
      </c>
      <c r="H18245" t="s">
        <v>23082</v>
      </c>
      <c r="I18245">
        <v>20751</v>
      </c>
      <c r="J18245" t="str">
        <f>VLOOKUP(E18245,DSSpieler!A:B,2,FALSE)</f>
        <v>Sephiroth.</v>
      </c>
    </row>
    <row r="18246" spans="1:10" x14ac:dyDescent="0.25">
      <c r="A18246">
        <v>20752</v>
      </c>
      <c r="B18246" t="s">
        <v>4474</v>
      </c>
      <c r="C18246">
        <v>518</v>
      </c>
      <c r="D18246">
        <v>637</v>
      </c>
      <c r="E18246">
        <v>1577180826</v>
      </c>
      <c r="F18246">
        <v>26</v>
      </c>
      <c r="G18246">
        <v>0</v>
      </c>
      <c r="H18246" t="s">
        <v>23083</v>
      </c>
      <c r="I18246">
        <v>20752</v>
      </c>
      <c r="J18246" t="str">
        <f>VLOOKUP(E18246,DSSpieler!A:B,2,FALSE)</f>
        <v>Paule11</v>
      </c>
    </row>
    <row r="18247" spans="1:10" x14ac:dyDescent="0.25">
      <c r="A18247">
        <v>20753</v>
      </c>
      <c r="B18247" t="s">
        <v>4475</v>
      </c>
      <c r="C18247">
        <v>621</v>
      </c>
      <c r="D18247">
        <v>554</v>
      </c>
      <c r="E18247">
        <v>1576111611</v>
      </c>
      <c r="F18247">
        <v>113</v>
      </c>
      <c r="G18247">
        <v>0</v>
      </c>
      <c r="H18247" t="s">
        <v>23084</v>
      </c>
      <c r="I18247">
        <v>20753</v>
      </c>
      <c r="J18247" t="str">
        <f>VLOOKUP(E18247,DSSpieler!A:B,2,FALSE)</f>
        <v>FishiMa</v>
      </c>
    </row>
    <row r="18248" spans="1:10" x14ac:dyDescent="0.25">
      <c r="A18248">
        <v>20754</v>
      </c>
      <c r="B18248">
        <v>1</v>
      </c>
      <c r="C18248">
        <v>485</v>
      </c>
      <c r="D18248">
        <v>365</v>
      </c>
      <c r="E18248">
        <v>1577039484</v>
      </c>
      <c r="F18248">
        <v>354</v>
      </c>
      <c r="G18248">
        <v>0</v>
      </c>
      <c r="H18248" t="s">
        <v>23085</v>
      </c>
      <c r="I18248">
        <v>20754</v>
      </c>
      <c r="J18248" t="str">
        <f>VLOOKUP(E18248,DSSpieler!A:B,2,FALSE)</f>
        <v>Sturmi1105</v>
      </c>
    </row>
    <row r="18249" spans="1:10" x14ac:dyDescent="0.25">
      <c r="A18249">
        <v>20755</v>
      </c>
      <c r="B18249" t="s">
        <v>4476</v>
      </c>
      <c r="C18249">
        <v>486</v>
      </c>
      <c r="D18249">
        <v>362</v>
      </c>
      <c r="E18249">
        <v>1577067533</v>
      </c>
      <c r="F18249">
        <v>317</v>
      </c>
      <c r="G18249">
        <v>0</v>
      </c>
      <c r="H18249" t="s">
        <v>23086</v>
      </c>
      <c r="I18249">
        <v>20755</v>
      </c>
      <c r="J18249" t="str">
        <f>VLOOKUP(E18249,DSSpieler!A:B,2,FALSE)</f>
        <v>lollemax88</v>
      </c>
    </row>
    <row r="18250" spans="1:10" x14ac:dyDescent="0.25">
      <c r="A18250">
        <v>20756</v>
      </c>
      <c r="B18250" t="s">
        <v>4477</v>
      </c>
      <c r="C18250">
        <v>404</v>
      </c>
      <c r="D18250">
        <v>594</v>
      </c>
      <c r="E18250">
        <v>233136</v>
      </c>
      <c r="F18250">
        <v>26</v>
      </c>
      <c r="G18250">
        <v>0</v>
      </c>
      <c r="H18250" t="s">
        <v>23087</v>
      </c>
      <c r="I18250">
        <v>20756</v>
      </c>
      <c r="J18250" t="str">
        <f>VLOOKUP(E18250,DSSpieler!A:B,2,FALSE)</f>
        <v>steknadel</v>
      </c>
    </row>
    <row r="18251" spans="1:10" x14ac:dyDescent="0.25">
      <c r="A18251">
        <v>20757</v>
      </c>
      <c r="B18251" t="s">
        <v>531</v>
      </c>
      <c r="C18251">
        <v>627</v>
      </c>
      <c r="D18251">
        <v>448</v>
      </c>
      <c r="E18251">
        <v>0</v>
      </c>
      <c r="F18251">
        <v>38</v>
      </c>
      <c r="G18251">
        <v>0</v>
      </c>
      <c r="H18251" t="s">
        <v>23088</v>
      </c>
      <c r="I18251">
        <v>20757</v>
      </c>
      <c r="J18251" t="e">
        <f>VLOOKUP(E18251,DSSpieler!A:B,2,FALSE)</f>
        <v>#N/A</v>
      </c>
    </row>
    <row r="18252" spans="1:10" x14ac:dyDescent="0.25">
      <c r="A18252">
        <v>20758</v>
      </c>
      <c r="B18252" t="s">
        <v>4478</v>
      </c>
      <c r="C18252">
        <v>495</v>
      </c>
      <c r="D18252">
        <v>359</v>
      </c>
      <c r="E18252">
        <v>1577207639</v>
      </c>
      <c r="F18252">
        <v>48</v>
      </c>
      <c r="G18252">
        <v>0</v>
      </c>
      <c r="H18252" t="s">
        <v>23089</v>
      </c>
      <c r="I18252">
        <v>20758</v>
      </c>
      <c r="J18252" t="str">
        <f>VLOOKUP(E18252,DSSpieler!A:B,2,FALSE)</f>
        <v>walvater wotan</v>
      </c>
    </row>
    <row r="18253" spans="1:10" x14ac:dyDescent="0.25">
      <c r="A18253">
        <v>20759</v>
      </c>
      <c r="B18253" t="s">
        <v>1182</v>
      </c>
      <c r="C18253">
        <v>427</v>
      </c>
      <c r="D18253">
        <v>618</v>
      </c>
      <c r="E18253">
        <v>8490240</v>
      </c>
      <c r="F18253">
        <v>425</v>
      </c>
      <c r="G18253">
        <v>0</v>
      </c>
      <c r="H18253" t="s">
        <v>23090</v>
      </c>
      <c r="I18253">
        <v>20759</v>
      </c>
      <c r="J18253" t="str">
        <f>VLOOKUP(E18253,DSSpieler!A:B,2,FALSE)</f>
        <v>fxcftgchg</v>
      </c>
    </row>
    <row r="18254" spans="1:10" x14ac:dyDescent="0.25">
      <c r="A18254">
        <v>20760</v>
      </c>
      <c r="B18254" t="s">
        <v>4479</v>
      </c>
      <c r="C18254">
        <v>393</v>
      </c>
      <c r="D18254">
        <v>504</v>
      </c>
      <c r="E18254">
        <v>1576153564</v>
      </c>
      <c r="F18254">
        <v>54</v>
      </c>
      <c r="G18254">
        <v>0</v>
      </c>
      <c r="H18254" t="s">
        <v>23091</v>
      </c>
      <c r="I18254">
        <v>20760</v>
      </c>
      <c r="J18254" t="str">
        <f>VLOOKUP(E18254,DSSpieler!A:B,2,FALSE)</f>
        <v>Herrn X</v>
      </c>
    </row>
    <row r="18255" spans="1:10" x14ac:dyDescent="0.25">
      <c r="A18255">
        <v>20761</v>
      </c>
      <c r="B18255" t="s">
        <v>4480</v>
      </c>
      <c r="C18255">
        <v>598</v>
      </c>
      <c r="D18255">
        <v>411</v>
      </c>
      <c r="E18255">
        <v>1946984</v>
      </c>
      <c r="F18255">
        <v>226</v>
      </c>
      <c r="G18255">
        <v>0</v>
      </c>
      <c r="H18255" t="s">
        <v>23092</v>
      </c>
      <c r="I18255">
        <v>20761</v>
      </c>
      <c r="J18255" t="str">
        <f>VLOOKUP(E18255,DSSpieler!A:B,2,FALSE)</f>
        <v>I3east</v>
      </c>
    </row>
    <row r="18256" spans="1:10" x14ac:dyDescent="0.25">
      <c r="A18256">
        <v>20762</v>
      </c>
      <c r="B18256" t="s">
        <v>4481</v>
      </c>
      <c r="C18256">
        <v>432</v>
      </c>
      <c r="D18256">
        <v>385</v>
      </c>
      <c r="E18256">
        <v>1577167916</v>
      </c>
      <c r="F18256">
        <v>276</v>
      </c>
      <c r="G18256">
        <v>0</v>
      </c>
      <c r="H18256" t="s">
        <v>23093</v>
      </c>
      <c r="I18256">
        <v>20762</v>
      </c>
      <c r="J18256" t="str">
        <f>VLOOKUP(E18256,DSSpieler!A:B,2,FALSE)</f>
        <v>hermann13</v>
      </c>
    </row>
    <row r="18257" spans="1:10" x14ac:dyDescent="0.25">
      <c r="A18257">
        <v>20763</v>
      </c>
      <c r="B18257" t="s">
        <v>531</v>
      </c>
      <c r="C18257">
        <v>531</v>
      </c>
      <c r="D18257">
        <v>629</v>
      </c>
      <c r="E18257">
        <v>0</v>
      </c>
      <c r="F18257">
        <v>45</v>
      </c>
      <c r="G18257">
        <v>0</v>
      </c>
      <c r="H18257" t="s">
        <v>23094</v>
      </c>
      <c r="I18257">
        <v>20763</v>
      </c>
      <c r="J18257" t="e">
        <f>VLOOKUP(E18257,DSSpieler!A:B,2,FALSE)</f>
        <v>#N/A</v>
      </c>
    </row>
    <row r="18258" spans="1:10" x14ac:dyDescent="0.25">
      <c r="A18258">
        <v>20764</v>
      </c>
      <c r="B18258" t="s">
        <v>4482</v>
      </c>
      <c r="C18258">
        <v>481</v>
      </c>
      <c r="D18258">
        <v>636</v>
      </c>
      <c r="E18258">
        <v>1576105308</v>
      </c>
      <c r="F18258">
        <v>84</v>
      </c>
      <c r="G18258">
        <v>0</v>
      </c>
      <c r="H18258" t="s">
        <v>23095</v>
      </c>
      <c r="I18258">
        <v>20764</v>
      </c>
      <c r="J18258" t="str">
        <f>VLOOKUP(E18258,DSSpieler!A:B,2,FALSE)</f>
        <v>Weedlord1</v>
      </c>
    </row>
    <row r="18259" spans="1:10" x14ac:dyDescent="0.25">
      <c r="A18259">
        <v>20765</v>
      </c>
      <c r="B18259" t="s">
        <v>531</v>
      </c>
      <c r="C18259">
        <v>620</v>
      </c>
      <c r="D18259">
        <v>564</v>
      </c>
      <c r="E18259">
        <v>0</v>
      </c>
      <c r="F18259">
        <v>53</v>
      </c>
      <c r="G18259">
        <v>0</v>
      </c>
      <c r="H18259" t="s">
        <v>23096</v>
      </c>
      <c r="I18259">
        <v>20765</v>
      </c>
      <c r="J18259" t="e">
        <f>VLOOKUP(E18259,DSSpieler!A:B,2,FALSE)</f>
        <v>#N/A</v>
      </c>
    </row>
    <row r="18260" spans="1:10" x14ac:dyDescent="0.25">
      <c r="A18260">
        <v>20766</v>
      </c>
      <c r="B18260" t="s">
        <v>35766</v>
      </c>
      <c r="C18260">
        <v>548</v>
      </c>
      <c r="D18260">
        <v>462</v>
      </c>
      <c r="E18260">
        <v>1577196350</v>
      </c>
      <c r="F18260">
        <v>262</v>
      </c>
      <c r="G18260">
        <v>0</v>
      </c>
      <c r="H18260" t="s">
        <v>23097</v>
      </c>
      <c r="I18260">
        <v>20766</v>
      </c>
      <c r="J18260" t="str">
        <f>VLOOKUP(E18260,DSSpieler!A:B,2,FALSE)</f>
        <v>Cüneyt</v>
      </c>
    </row>
    <row r="18261" spans="1:10" x14ac:dyDescent="0.25">
      <c r="A18261">
        <v>20767</v>
      </c>
      <c r="B18261" t="s">
        <v>4483</v>
      </c>
      <c r="C18261">
        <v>433</v>
      </c>
      <c r="D18261">
        <v>380</v>
      </c>
      <c r="E18261">
        <v>1301176</v>
      </c>
      <c r="F18261">
        <v>106</v>
      </c>
      <c r="G18261">
        <v>0</v>
      </c>
      <c r="H18261" t="s">
        <v>23098</v>
      </c>
      <c r="I18261">
        <v>20767</v>
      </c>
      <c r="J18261" t="str">
        <f>VLOOKUP(E18261,DSSpieler!A:B,2,FALSE)</f>
        <v>SaschAMasTeR</v>
      </c>
    </row>
    <row r="18262" spans="1:10" x14ac:dyDescent="0.25">
      <c r="A18262">
        <v>20768</v>
      </c>
      <c r="B18262" t="s">
        <v>4484</v>
      </c>
      <c r="C18262">
        <v>375</v>
      </c>
      <c r="D18262">
        <v>557</v>
      </c>
      <c r="E18262">
        <v>1577208974</v>
      </c>
      <c r="F18262">
        <v>232</v>
      </c>
      <c r="G18262">
        <v>0</v>
      </c>
      <c r="H18262" t="s">
        <v>23099</v>
      </c>
      <c r="I18262">
        <v>20768</v>
      </c>
      <c r="J18262" t="str">
        <f>VLOOKUP(E18262,DSSpieler!A:B,2,FALSE)</f>
        <v>Sikici500</v>
      </c>
    </row>
    <row r="18263" spans="1:10" x14ac:dyDescent="0.25">
      <c r="A18263">
        <v>20769</v>
      </c>
      <c r="B18263" t="s">
        <v>4485</v>
      </c>
      <c r="C18263">
        <v>375</v>
      </c>
      <c r="D18263">
        <v>563</v>
      </c>
      <c r="E18263">
        <v>1577208973</v>
      </c>
      <c r="F18263">
        <v>148</v>
      </c>
      <c r="G18263">
        <v>0</v>
      </c>
      <c r="H18263" t="s">
        <v>23100</v>
      </c>
      <c r="I18263">
        <v>20769</v>
      </c>
      <c r="J18263" t="str">
        <f>VLOOKUP(E18263,DSSpieler!A:B,2,FALSE)</f>
        <v>Sikiminucu52</v>
      </c>
    </row>
    <row r="18264" spans="1:10" x14ac:dyDescent="0.25">
      <c r="A18264">
        <v>20770</v>
      </c>
      <c r="B18264" t="s">
        <v>4486</v>
      </c>
      <c r="C18264">
        <v>572</v>
      </c>
      <c r="D18264">
        <v>615</v>
      </c>
      <c r="E18264">
        <v>8046448</v>
      </c>
      <c r="F18264">
        <v>305</v>
      </c>
      <c r="G18264">
        <v>0</v>
      </c>
      <c r="H18264" t="s">
        <v>23101</v>
      </c>
      <c r="I18264">
        <v>20770</v>
      </c>
      <c r="J18264" t="str">
        <f>VLOOKUP(E18264,DSSpieler!A:B,2,FALSE)</f>
        <v>fanaticaldios</v>
      </c>
    </row>
    <row r="18265" spans="1:10" x14ac:dyDescent="0.25">
      <c r="A18265">
        <v>20772</v>
      </c>
      <c r="B18265" t="s">
        <v>531</v>
      </c>
      <c r="C18265">
        <v>428</v>
      </c>
      <c r="D18265">
        <v>384</v>
      </c>
      <c r="E18265">
        <v>0</v>
      </c>
      <c r="F18265">
        <v>45</v>
      </c>
      <c r="G18265">
        <v>0</v>
      </c>
      <c r="H18265" t="s">
        <v>23102</v>
      </c>
      <c r="I18265">
        <v>20772</v>
      </c>
      <c r="J18265" t="e">
        <f>VLOOKUP(E18265,DSSpieler!A:B,2,FALSE)</f>
        <v>#N/A</v>
      </c>
    </row>
    <row r="18266" spans="1:10" x14ac:dyDescent="0.25">
      <c r="A18266">
        <v>20773</v>
      </c>
      <c r="B18266" t="s">
        <v>4487</v>
      </c>
      <c r="C18266">
        <v>527</v>
      </c>
      <c r="D18266">
        <v>368</v>
      </c>
      <c r="E18266">
        <v>1577201973</v>
      </c>
      <c r="F18266">
        <v>72</v>
      </c>
      <c r="G18266">
        <v>0</v>
      </c>
      <c r="H18266" t="s">
        <v>23103</v>
      </c>
      <c r="I18266">
        <v>20773</v>
      </c>
      <c r="J18266" t="str">
        <f>VLOOKUP(E18266,DSSpieler!A:B,2,FALSE)</f>
        <v>Mr.Nilson</v>
      </c>
    </row>
    <row r="18267" spans="1:10" x14ac:dyDescent="0.25">
      <c r="A18267">
        <v>20774</v>
      </c>
      <c r="B18267" t="s">
        <v>4488</v>
      </c>
      <c r="C18267">
        <v>612</v>
      </c>
      <c r="D18267">
        <v>424</v>
      </c>
      <c r="E18267">
        <v>1577201431</v>
      </c>
      <c r="F18267">
        <v>26</v>
      </c>
      <c r="G18267">
        <v>0</v>
      </c>
      <c r="H18267" t="s">
        <v>23104</v>
      </c>
      <c r="I18267">
        <v>20774</v>
      </c>
      <c r="J18267" t="str">
        <f>VLOOKUP(E18267,DSSpieler!A:B,2,FALSE)</f>
        <v>Brotachos</v>
      </c>
    </row>
    <row r="18268" spans="1:10" x14ac:dyDescent="0.25">
      <c r="A18268">
        <v>20775</v>
      </c>
      <c r="B18268" t="s">
        <v>531</v>
      </c>
      <c r="C18268">
        <v>633</v>
      </c>
      <c r="D18268">
        <v>495</v>
      </c>
      <c r="E18268">
        <v>0</v>
      </c>
      <c r="F18268">
        <v>46</v>
      </c>
      <c r="G18268">
        <v>0</v>
      </c>
      <c r="H18268" t="s">
        <v>23105</v>
      </c>
      <c r="I18268">
        <v>20775</v>
      </c>
      <c r="J18268" t="e">
        <f>VLOOKUP(E18268,DSSpieler!A:B,2,FALSE)</f>
        <v>#N/A</v>
      </c>
    </row>
    <row r="18269" spans="1:10" x14ac:dyDescent="0.25">
      <c r="A18269">
        <v>20776</v>
      </c>
      <c r="B18269" t="s">
        <v>35767</v>
      </c>
      <c r="C18269">
        <v>605</v>
      </c>
      <c r="D18269">
        <v>411</v>
      </c>
      <c r="E18269">
        <v>8387310</v>
      </c>
      <c r="F18269">
        <v>357</v>
      </c>
      <c r="G18269">
        <v>0</v>
      </c>
      <c r="H18269" t="s">
        <v>23106</v>
      </c>
      <c r="I18269">
        <v>20776</v>
      </c>
      <c r="J18269" t="str">
        <f>VLOOKUP(E18269,DSSpieler!A:B,2,FALSE)</f>
        <v>Mühlenwirt</v>
      </c>
    </row>
    <row r="18270" spans="1:10" x14ac:dyDescent="0.25">
      <c r="A18270">
        <v>20777</v>
      </c>
      <c r="B18270" t="s">
        <v>35768</v>
      </c>
      <c r="C18270">
        <v>485</v>
      </c>
      <c r="D18270">
        <v>383</v>
      </c>
      <c r="E18270">
        <v>1577175990</v>
      </c>
      <c r="F18270">
        <v>252</v>
      </c>
      <c r="G18270">
        <v>0</v>
      </c>
      <c r="H18270" t="s">
        <v>23107</v>
      </c>
      <c r="I18270">
        <v>20777</v>
      </c>
      <c r="J18270" t="str">
        <f>VLOOKUP(E18270,DSSpieler!A:B,2,FALSE)</f>
        <v>Pe-ähm-ter</v>
      </c>
    </row>
    <row r="18271" spans="1:10" x14ac:dyDescent="0.25">
      <c r="A18271">
        <v>20778</v>
      </c>
      <c r="B18271" t="s">
        <v>35769</v>
      </c>
      <c r="C18271">
        <v>482</v>
      </c>
      <c r="D18271">
        <v>633</v>
      </c>
      <c r="E18271">
        <v>1577206344</v>
      </c>
      <c r="F18271">
        <v>254</v>
      </c>
      <c r="G18271">
        <v>0</v>
      </c>
      <c r="H18271" t="s">
        <v>23108</v>
      </c>
      <c r="I18271">
        <v>20778</v>
      </c>
      <c r="J18271" t="str">
        <f>VLOOKUP(E18271,DSSpieler!A:B,2,FALSE)</f>
        <v>Waldmännchen</v>
      </c>
    </row>
    <row r="18272" spans="1:10" x14ac:dyDescent="0.25">
      <c r="A18272">
        <v>20779</v>
      </c>
      <c r="B18272" t="s">
        <v>4489</v>
      </c>
      <c r="C18272">
        <v>556</v>
      </c>
      <c r="D18272">
        <v>373</v>
      </c>
      <c r="E18272">
        <v>8361525</v>
      </c>
      <c r="F18272">
        <v>391</v>
      </c>
      <c r="G18272">
        <v>0</v>
      </c>
      <c r="H18272" t="s">
        <v>23109</v>
      </c>
      <c r="I18272">
        <v>20779</v>
      </c>
      <c r="J18272" t="str">
        <f>VLOOKUP(E18272,DSSpieler!A:B,2,FALSE)</f>
        <v>%3DIceMan%3D</v>
      </c>
    </row>
    <row r="18273" spans="1:10" x14ac:dyDescent="0.25">
      <c r="A18273">
        <v>20780</v>
      </c>
      <c r="B18273" t="s">
        <v>4490</v>
      </c>
      <c r="C18273">
        <v>413</v>
      </c>
      <c r="D18273">
        <v>524</v>
      </c>
      <c r="E18273">
        <v>1576778129</v>
      </c>
      <c r="F18273">
        <v>26</v>
      </c>
      <c r="G18273">
        <v>0</v>
      </c>
      <c r="H18273" t="s">
        <v>23110</v>
      </c>
      <c r="I18273">
        <v>20780</v>
      </c>
      <c r="J18273" t="str">
        <f>VLOOKUP(E18273,DSSpieler!A:B,2,FALSE)</f>
        <v>wassolldenndas</v>
      </c>
    </row>
    <row r="18274" spans="1:10" x14ac:dyDescent="0.25">
      <c r="A18274">
        <v>20781</v>
      </c>
      <c r="B18274" t="s">
        <v>35770</v>
      </c>
      <c r="C18274">
        <v>597</v>
      </c>
      <c r="D18274">
        <v>581</v>
      </c>
      <c r="E18274">
        <v>1577208987</v>
      </c>
      <c r="F18274">
        <v>280</v>
      </c>
      <c r="G18274">
        <v>0</v>
      </c>
      <c r="H18274" t="s">
        <v>23111</v>
      </c>
      <c r="I18274">
        <v>20781</v>
      </c>
      <c r="J18274" t="str">
        <f>VLOOKUP(E18274,DSSpieler!A:B,2,FALSE)</f>
        <v>kieulynyuxx01</v>
      </c>
    </row>
    <row r="18275" spans="1:10" x14ac:dyDescent="0.25">
      <c r="A18275">
        <v>20782</v>
      </c>
      <c r="B18275" t="s">
        <v>4491</v>
      </c>
      <c r="C18275">
        <v>387</v>
      </c>
      <c r="D18275">
        <v>575</v>
      </c>
      <c r="E18275">
        <v>1577095540</v>
      </c>
      <c r="F18275">
        <v>112</v>
      </c>
      <c r="G18275">
        <v>0</v>
      </c>
      <c r="H18275" t="s">
        <v>23112</v>
      </c>
      <c r="I18275">
        <v>20782</v>
      </c>
      <c r="J18275" t="str">
        <f>VLOOKUP(E18275,DSSpieler!A:B,2,FALSE)</f>
        <v>LordVarys</v>
      </c>
    </row>
    <row r="18276" spans="1:10" x14ac:dyDescent="0.25">
      <c r="A18276">
        <v>20783</v>
      </c>
      <c r="B18276" t="s">
        <v>4492</v>
      </c>
      <c r="C18276">
        <v>404</v>
      </c>
      <c r="D18276">
        <v>532</v>
      </c>
      <c r="E18276">
        <v>1576310846</v>
      </c>
      <c r="F18276">
        <v>44</v>
      </c>
      <c r="G18276">
        <v>0</v>
      </c>
      <c r="H18276" t="s">
        <v>23113</v>
      </c>
      <c r="I18276">
        <v>20783</v>
      </c>
      <c r="J18276" t="str">
        <f>VLOOKUP(E18276,DSSpieler!A:B,2,FALSE)</f>
        <v>barbar03</v>
      </c>
    </row>
    <row r="18277" spans="1:10" x14ac:dyDescent="0.25">
      <c r="A18277">
        <v>20784</v>
      </c>
      <c r="B18277" t="s">
        <v>4493</v>
      </c>
      <c r="C18277">
        <v>403</v>
      </c>
      <c r="D18277">
        <v>596</v>
      </c>
      <c r="E18277">
        <v>9408355</v>
      </c>
      <c r="F18277">
        <v>26</v>
      </c>
      <c r="G18277">
        <v>0</v>
      </c>
      <c r="H18277" t="s">
        <v>23114</v>
      </c>
      <c r="I18277">
        <v>20784</v>
      </c>
      <c r="J18277" t="str">
        <f>VLOOKUP(E18277,DSSpieler!A:B,2,FALSE)</f>
        <v>mrknowitall</v>
      </c>
    </row>
    <row r="18278" spans="1:10" x14ac:dyDescent="0.25">
      <c r="A18278">
        <v>20785</v>
      </c>
      <c r="B18278" t="s">
        <v>4494</v>
      </c>
      <c r="C18278">
        <v>604</v>
      </c>
      <c r="D18278">
        <v>595</v>
      </c>
      <c r="E18278">
        <v>8719091</v>
      </c>
      <c r="F18278">
        <v>290</v>
      </c>
      <c r="G18278">
        <v>0</v>
      </c>
      <c r="H18278" t="s">
        <v>23115</v>
      </c>
      <c r="I18278">
        <v>20785</v>
      </c>
      <c r="J18278" t="str">
        <f>VLOOKUP(E18278,DSSpieler!A:B,2,FALSE)</f>
        <v>Tonsor</v>
      </c>
    </row>
    <row r="18279" spans="1:10" x14ac:dyDescent="0.25">
      <c r="A18279">
        <v>20786</v>
      </c>
      <c r="B18279" t="s">
        <v>4495</v>
      </c>
      <c r="C18279">
        <v>497</v>
      </c>
      <c r="D18279">
        <v>636</v>
      </c>
      <c r="E18279">
        <v>1577208988</v>
      </c>
      <c r="F18279">
        <v>26</v>
      </c>
      <c r="G18279">
        <v>0</v>
      </c>
      <c r="H18279" t="s">
        <v>23116</v>
      </c>
      <c r="I18279">
        <v>20786</v>
      </c>
      <c r="J18279" t="str">
        <f>VLOOKUP(E18279,DSSpieler!A:B,2,FALSE)</f>
        <v>Pulvertoast724</v>
      </c>
    </row>
    <row r="18280" spans="1:10" x14ac:dyDescent="0.25">
      <c r="A18280">
        <v>20787</v>
      </c>
      <c r="B18280" t="s">
        <v>4496</v>
      </c>
      <c r="C18280">
        <v>601</v>
      </c>
      <c r="D18280">
        <v>410</v>
      </c>
      <c r="E18280">
        <v>1577208989</v>
      </c>
      <c r="F18280">
        <v>249</v>
      </c>
      <c r="G18280">
        <v>0</v>
      </c>
      <c r="H18280" t="s">
        <v>23117</v>
      </c>
      <c r="I18280">
        <v>20787</v>
      </c>
      <c r="J18280" t="str">
        <f>VLOOKUP(E18280,DSSpieler!A:B,2,FALSE)</f>
        <v>Freazzy10</v>
      </c>
    </row>
    <row r="18281" spans="1:10" x14ac:dyDescent="0.25">
      <c r="A18281">
        <v>20788</v>
      </c>
      <c r="B18281" t="s">
        <v>531</v>
      </c>
      <c r="C18281">
        <v>616</v>
      </c>
      <c r="D18281">
        <v>427</v>
      </c>
      <c r="E18281">
        <v>0</v>
      </c>
      <c r="F18281">
        <v>51</v>
      </c>
      <c r="G18281">
        <v>0</v>
      </c>
      <c r="H18281" t="s">
        <v>23118</v>
      </c>
      <c r="I18281">
        <v>20788</v>
      </c>
      <c r="J18281" t="e">
        <f>VLOOKUP(E18281,DSSpieler!A:B,2,FALSE)</f>
        <v>#N/A</v>
      </c>
    </row>
    <row r="18282" spans="1:10" x14ac:dyDescent="0.25">
      <c r="A18282">
        <v>20789</v>
      </c>
      <c r="B18282" t="s">
        <v>4497</v>
      </c>
      <c r="C18282">
        <v>529</v>
      </c>
      <c r="D18282">
        <v>365</v>
      </c>
      <c r="E18282">
        <v>1577208692</v>
      </c>
      <c r="F18282">
        <v>237</v>
      </c>
      <c r="G18282">
        <v>0</v>
      </c>
      <c r="H18282" t="s">
        <v>23119</v>
      </c>
      <c r="I18282">
        <v>20789</v>
      </c>
      <c r="J18282" t="str">
        <f>VLOOKUP(E18282,DSSpieler!A:B,2,FALSE)</f>
        <v>AkumaEnix</v>
      </c>
    </row>
    <row r="18283" spans="1:10" x14ac:dyDescent="0.25">
      <c r="A18283">
        <v>20790</v>
      </c>
      <c r="B18283" t="s">
        <v>4498</v>
      </c>
      <c r="C18283">
        <v>633</v>
      </c>
      <c r="D18283">
        <v>529</v>
      </c>
      <c r="E18283">
        <v>9872979</v>
      </c>
      <c r="F18283">
        <v>345</v>
      </c>
      <c r="G18283">
        <v>0</v>
      </c>
      <c r="H18283" t="s">
        <v>23120</v>
      </c>
      <c r="I18283">
        <v>20790</v>
      </c>
      <c r="J18283" t="str">
        <f>VLOOKUP(E18283,DSSpieler!A:B,2,FALSE)</f>
        <v>Marcelino99</v>
      </c>
    </row>
    <row r="18284" spans="1:10" x14ac:dyDescent="0.25">
      <c r="A18284">
        <v>20791</v>
      </c>
      <c r="B18284">
        <v>-1</v>
      </c>
      <c r="C18284">
        <v>447</v>
      </c>
      <c r="D18284">
        <v>377</v>
      </c>
      <c r="E18284">
        <v>9613788</v>
      </c>
      <c r="F18284">
        <v>360</v>
      </c>
      <c r="G18284">
        <v>0</v>
      </c>
      <c r="H18284" t="s">
        <v>23121</v>
      </c>
      <c r="I18284">
        <v>20791</v>
      </c>
      <c r="J18284" t="str">
        <f>VLOOKUP(E18284,DSSpieler!A:B,2,FALSE)</f>
        <v>vipchris</v>
      </c>
    </row>
    <row r="18285" spans="1:10" x14ac:dyDescent="0.25">
      <c r="A18285">
        <v>20792</v>
      </c>
      <c r="B18285" t="s">
        <v>531</v>
      </c>
      <c r="C18285">
        <v>369</v>
      </c>
      <c r="D18285">
        <v>535</v>
      </c>
      <c r="E18285">
        <v>0</v>
      </c>
      <c r="F18285">
        <v>39</v>
      </c>
      <c r="G18285">
        <v>0</v>
      </c>
      <c r="H18285" t="s">
        <v>23122</v>
      </c>
      <c r="I18285">
        <v>20792</v>
      </c>
      <c r="J18285" t="e">
        <f>VLOOKUP(E18285,DSSpieler!A:B,2,FALSE)</f>
        <v>#N/A</v>
      </c>
    </row>
    <row r="18286" spans="1:10" x14ac:dyDescent="0.25">
      <c r="A18286">
        <v>20793</v>
      </c>
      <c r="B18286" t="s">
        <v>4499</v>
      </c>
      <c r="C18286">
        <v>585</v>
      </c>
      <c r="D18286">
        <v>394</v>
      </c>
      <c r="E18286">
        <v>986826</v>
      </c>
      <c r="F18286">
        <v>307</v>
      </c>
      <c r="G18286">
        <v>0</v>
      </c>
      <c r="H18286" t="s">
        <v>23123</v>
      </c>
      <c r="I18286">
        <v>20793</v>
      </c>
      <c r="J18286" t="str">
        <f>VLOOKUP(E18286,DSSpieler!A:B,2,FALSE)</f>
        <v>dreamer81a</v>
      </c>
    </row>
    <row r="18287" spans="1:10" x14ac:dyDescent="0.25">
      <c r="A18287">
        <v>20794</v>
      </c>
      <c r="B18287" t="s">
        <v>4500</v>
      </c>
      <c r="C18287">
        <v>500</v>
      </c>
      <c r="D18287">
        <v>637</v>
      </c>
      <c r="E18287">
        <v>1577050777</v>
      </c>
      <c r="F18287">
        <v>291</v>
      </c>
      <c r="G18287">
        <v>0</v>
      </c>
      <c r="H18287" t="s">
        <v>23124</v>
      </c>
      <c r="I18287">
        <v>20794</v>
      </c>
      <c r="J18287" t="str">
        <f>VLOOKUP(E18287,DSSpieler!A:B,2,FALSE)</f>
        <v>Madl</v>
      </c>
    </row>
    <row r="18288" spans="1:10" x14ac:dyDescent="0.25">
      <c r="A18288">
        <v>20795</v>
      </c>
      <c r="B18288" t="s">
        <v>4501</v>
      </c>
      <c r="C18288">
        <v>599</v>
      </c>
      <c r="D18288">
        <v>463</v>
      </c>
      <c r="E18288">
        <v>9963556</v>
      </c>
      <c r="F18288">
        <v>202</v>
      </c>
      <c r="G18288">
        <v>0</v>
      </c>
      <c r="H18288" t="s">
        <v>23125</v>
      </c>
      <c r="I18288">
        <v>20795</v>
      </c>
      <c r="J18288" t="str">
        <f>VLOOKUP(E18288,DSSpieler!A:B,2,FALSE)</f>
        <v>avennar</v>
      </c>
    </row>
    <row r="18289" spans="1:10" x14ac:dyDescent="0.25">
      <c r="A18289">
        <v>20796</v>
      </c>
      <c r="B18289" t="s">
        <v>531</v>
      </c>
      <c r="C18289">
        <v>513</v>
      </c>
      <c r="D18289">
        <v>366</v>
      </c>
      <c r="E18289">
        <v>0</v>
      </c>
      <c r="F18289">
        <v>47</v>
      </c>
      <c r="G18289">
        <v>0</v>
      </c>
      <c r="H18289" t="s">
        <v>23126</v>
      </c>
      <c r="I18289">
        <v>20796</v>
      </c>
      <c r="J18289" t="e">
        <f>VLOOKUP(E18289,DSSpieler!A:B,2,FALSE)</f>
        <v>#N/A</v>
      </c>
    </row>
    <row r="18290" spans="1:10" x14ac:dyDescent="0.25">
      <c r="A18290">
        <v>20797</v>
      </c>
      <c r="B18290" t="s">
        <v>3005</v>
      </c>
      <c r="C18290">
        <v>638</v>
      </c>
      <c r="D18290">
        <v>492</v>
      </c>
      <c r="E18290">
        <v>1576957746</v>
      </c>
      <c r="F18290">
        <v>26</v>
      </c>
      <c r="G18290">
        <v>0</v>
      </c>
      <c r="H18290" t="s">
        <v>23127</v>
      </c>
      <c r="I18290">
        <v>20797</v>
      </c>
      <c r="J18290" t="str">
        <f>VLOOKUP(E18290,DSSpieler!A:B,2,FALSE)</f>
        <v>Baummeister</v>
      </c>
    </row>
    <row r="18291" spans="1:10" x14ac:dyDescent="0.25">
      <c r="A18291">
        <v>20798</v>
      </c>
      <c r="B18291" t="s">
        <v>4502</v>
      </c>
      <c r="C18291">
        <v>461</v>
      </c>
      <c r="D18291">
        <v>372</v>
      </c>
      <c r="E18291">
        <v>1577056692</v>
      </c>
      <c r="F18291">
        <v>105</v>
      </c>
      <c r="G18291">
        <v>0</v>
      </c>
      <c r="H18291" t="s">
        <v>23128</v>
      </c>
      <c r="I18291">
        <v>20798</v>
      </c>
      <c r="J18291" t="str">
        <f>VLOOKUP(E18291,DSSpieler!A:B,2,FALSE)</f>
        <v>Wodan48</v>
      </c>
    </row>
    <row r="18292" spans="1:10" x14ac:dyDescent="0.25">
      <c r="A18292">
        <v>20799</v>
      </c>
      <c r="B18292" t="s">
        <v>4503</v>
      </c>
      <c r="C18292">
        <v>542</v>
      </c>
      <c r="D18292">
        <v>373</v>
      </c>
      <c r="E18292">
        <v>3219124</v>
      </c>
      <c r="F18292">
        <v>307</v>
      </c>
      <c r="G18292">
        <v>0</v>
      </c>
      <c r="H18292" t="s">
        <v>23129</v>
      </c>
      <c r="I18292">
        <v>20799</v>
      </c>
      <c r="J18292" t="str">
        <f>VLOOKUP(E18292,DSSpieler!A:B,2,FALSE)</f>
        <v>Fote</v>
      </c>
    </row>
    <row r="18293" spans="1:10" x14ac:dyDescent="0.25">
      <c r="A18293">
        <v>20800</v>
      </c>
      <c r="B18293" t="s">
        <v>4504</v>
      </c>
      <c r="C18293">
        <v>574</v>
      </c>
      <c r="D18293">
        <v>613</v>
      </c>
      <c r="E18293">
        <v>9056769</v>
      </c>
      <c r="F18293">
        <v>26</v>
      </c>
      <c r="G18293">
        <v>0</v>
      </c>
      <c r="H18293" t="s">
        <v>23130</v>
      </c>
      <c r="I18293">
        <v>20800</v>
      </c>
      <c r="J18293" t="str">
        <f>VLOOKUP(E18293,DSSpieler!A:B,2,FALSE)</f>
        <v>helmi59</v>
      </c>
    </row>
    <row r="18294" spans="1:10" x14ac:dyDescent="0.25">
      <c r="A18294">
        <v>20801</v>
      </c>
      <c r="B18294" t="s">
        <v>4505</v>
      </c>
      <c r="C18294">
        <v>621</v>
      </c>
      <c r="D18294">
        <v>444</v>
      </c>
      <c r="E18294">
        <v>1575855113</v>
      </c>
      <c r="F18294">
        <v>266</v>
      </c>
      <c r="G18294">
        <v>0</v>
      </c>
      <c r="H18294" t="s">
        <v>23131</v>
      </c>
      <c r="I18294">
        <v>20801</v>
      </c>
      <c r="J18294" t="str">
        <f>VLOOKUP(E18294,DSSpieler!A:B,2,FALSE)</f>
        <v>gaisca</v>
      </c>
    </row>
    <row r="18295" spans="1:10" x14ac:dyDescent="0.25">
      <c r="A18295">
        <v>20802</v>
      </c>
      <c r="B18295" t="s">
        <v>531</v>
      </c>
      <c r="C18295">
        <v>480</v>
      </c>
      <c r="D18295">
        <v>363</v>
      </c>
      <c r="E18295">
        <v>0</v>
      </c>
      <c r="F18295">
        <v>43</v>
      </c>
      <c r="G18295">
        <v>0</v>
      </c>
      <c r="H18295" t="s">
        <v>23132</v>
      </c>
      <c r="I18295">
        <v>20802</v>
      </c>
      <c r="J18295" t="e">
        <f>VLOOKUP(E18295,DSSpieler!A:B,2,FALSE)</f>
        <v>#N/A</v>
      </c>
    </row>
    <row r="18296" spans="1:10" x14ac:dyDescent="0.25">
      <c r="A18296">
        <v>20803</v>
      </c>
      <c r="B18296" t="s">
        <v>150</v>
      </c>
      <c r="C18296">
        <v>508</v>
      </c>
      <c r="D18296">
        <v>461</v>
      </c>
      <c r="E18296">
        <v>1577190658</v>
      </c>
      <c r="F18296">
        <v>324</v>
      </c>
      <c r="G18296">
        <v>0</v>
      </c>
      <c r="H18296" t="s">
        <v>23133</v>
      </c>
      <c r="I18296">
        <v>20803</v>
      </c>
      <c r="J18296" t="str">
        <f>VLOOKUP(E18296,DSSpieler!A:B,2,FALSE)</f>
        <v>Der Pizzamann</v>
      </c>
    </row>
    <row r="18297" spans="1:10" x14ac:dyDescent="0.25">
      <c r="A18297">
        <v>20804</v>
      </c>
      <c r="B18297" t="s">
        <v>4506</v>
      </c>
      <c r="C18297">
        <v>594</v>
      </c>
      <c r="D18297">
        <v>399</v>
      </c>
      <c r="E18297">
        <v>1576194985</v>
      </c>
      <c r="F18297">
        <v>313</v>
      </c>
      <c r="G18297">
        <v>0</v>
      </c>
      <c r="H18297" t="s">
        <v>23134</v>
      </c>
      <c r="I18297">
        <v>20804</v>
      </c>
      <c r="J18297" t="str">
        <f>VLOOKUP(E18297,DSSpieler!A:B,2,FALSE)</f>
        <v>Cloppzone</v>
      </c>
    </row>
    <row r="18298" spans="1:10" x14ac:dyDescent="0.25">
      <c r="A18298">
        <v>20805</v>
      </c>
      <c r="B18298" t="s">
        <v>4507</v>
      </c>
      <c r="C18298">
        <v>605</v>
      </c>
      <c r="D18298">
        <v>440</v>
      </c>
      <c r="E18298">
        <v>8673208</v>
      </c>
      <c r="F18298">
        <v>207</v>
      </c>
      <c r="G18298">
        <v>0</v>
      </c>
      <c r="H18298" t="s">
        <v>23135</v>
      </c>
      <c r="I18298">
        <v>20805</v>
      </c>
      <c r="J18298" t="str">
        <f>VLOOKUP(E18298,DSSpieler!A:B,2,FALSE)</f>
        <v>roemer13</v>
      </c>
    </row>
    <row r="18299" spans="1:10" x14ac:dyDescent="0.25">
      <c r="A18299">
        <v>20806</v>
      </c>
      <c r="B18299" t="s">
        <v>4508</v>
      </c>
      <c r="C18299">
        <v>371</v>
      </c>
      <c r="D18299">
        <v>457</v>
      </c>
      <c r="E18299">
        <v>10234388</v>
      </c>
      <c r="F18299">
        <v>321</v>
      </c>
      <c r="G18299">
        <v>0</v>
      </c>
      <c r="H18299" t="s">
        <v>23136</v>
      </c>
      <c r="I18299">
        <v>20806</v>
      </c>
      <c r="J18299" t="str">
        <f>VLOOKUP(E18299,DSSpieler!A:B,2,FALSE)</f>
        <v>Disturb</v>
      </c>
    </row>
    <row r="18300" spans="1:10" x14ac:dyDescent="0.25">
      <c r="A18300">
        <v>20807</v>
      </c>
      <c r="B18300" t="s">
        <v>4509</v>
      </c>
      <c r="C18300">
        <v>487</v>
      </c>
      <c r="D18300">
        <v>403</v>
      </c>
      <c r="E18300">
        <v>8343432</v>
      </c>
      <c r="F18300">
        <v>364</v>
      </c>
      <c r="G18300">
        <v>0</v>
      </c>
      <c r="H18300" t="s">
        <v>23137</v>
      </c>
      <c r="I18300">
        <v>20807</v>
      </c>
      <c r="J18300" t="str">
        <f>VLOOKUP(E18300,DSSpieler!A:B,2,FALSE)</f>
        <v>Ap0calyp5e</v>
      </c>
    </row>
    <row r="18301" spans="1:10" x14ac:dyDescent="0.25">
      <c r="A18301">
        <v>20808</v>
      </c>
      <c r="B18301" t="s">
        <v>4510</v>
      </c>
      <c r="C18301">
        <v>528</v>
      </c>
      <c r="D18301">
        <v>367</v>
      </c>
      <c r="E18301">
        <v>1576995458</v>
      </c>
      <c r="F18301">
        <v>26</v>
      </c>
      <c r="G18301">
        <v>0</v>
      </c>
      <c r="H18301" t="s">
        <v>23138</v>
      </c>
      <c r="I18301">
        <v>20808</v>
      </c>
      <c r="J18301" t="str">
        <f>VLOOKUP(E18301,DSSpieler!A:B,2,FALSE)</f>
        <v>kfc1991</v>
      </c>
    </row>
    <row r="18302" spans="1:10" x14ac:dyDescent="0.25">
      <c r="A18302">
        <v>20809</v>
      </c>
      <c r="B18302" t="s">
        <v>3687</v>
      </c>
      <c r="C18302">
        <v>438</v>
      </c>
      <c r="D18302">
        <v>618</v>
      </c>
      <c r="E18302">
        <v>1576371197</v>
      </c>
      <c r="F18302">
        <v>305</v>
      </c>
      <c r="G18302">
        <v>0</v>
      </c>
      <c r="H18302" t="s">
        <v>23139</v>
      </c>
      <c r="I18302">
        <v>20809</v>
      </c>
      <c r="J18302" t="str">
        <f>VLOOKUP(E18302,DSSpieler!A:B,2,FALSE)</f>
        <v>AdelsArmada</v>
      </c>
    </row>
    <row r="18303" spans="1:10" x14ac:dyDescent="0.25">
      <c r="A18303">
        <v>20810</v>
      </c>
      <c r="B18303" t="s">
        <v>4511</v>
      </c>
      <c r="C18303">
        <v>425</v>
      </c>
      <c r="D18303">
        <v>612</v>
      </c>
      <c r="E18303">
        <v>10101782</v>
      </c>
      <c r="F18303">
        <v>26</v>
      </c>
      <c r="G18303">
        <v>0</v>
      </c>
      <c r="H18303" t="s">
        <v>23140</v>
      </c>
      <c r="I18303">
        <v>20810</v>
      </c>
      <c r="J18303" t="str">
        <f>VLOOKUP(E18303,DSSpieler!A:B,2,FALSE)</f>
        <v>delmate</v>
      </c>
    </row>
    <row r="18304" spans="1:10" x14ac:dyDescent="0.25">
      <c r="A18304">
        <v>20811</v>
      </c>
      <c r="B18304" t="s">
        <v>150</v>
      </c>
      <c r="C18304">
        <v>605</v>
      </c>
      <c r="D18304">
        <v>417</v>
      </c>
      <c r="E18304">
        <v>598435</v>
      </c>
      <c r="F18304">
        <v>361</v>
      </c>
      <c r="G18304">
        <v>0</v>
      </c>
      <c r="H18304" t="s">
        <v>23141</v>
      </c>
      <c r="I18304">
        <v>20811</v>
      </c>
      <c r="J18304" t="str">
        <f>VLOOKUP(E18304,DSSpieler!A:B,2,FALSE)</f>
        <v>volawi</v>
      </c>
    </row>
    <row r="18305" spans="1:10" x14ac:dyDescent="0.25">
      <c r="A18305">
        <v>20812</v>
      </c>
      <c r="B18305" t="s">
        <v>4512</v>
      </c>
      <c r="C18305">
        <v>560</v>
      </c>
      <c r="D18305">
        <v>624</v>
      </c>
      <c r="E18305">
        <v>1577092628</v>
      </c>
      <c r="F18305">
        <v>26</v>
      </c>
      <c r="G18305">
        <v>0</v>
      </c>
      <c r="H18305" t="s">
        <v>23142</v>
      </c>
      <c r="I18305">
        <v>20812</v>
      </c>
      <c r="J18305" t="str">
        <f>VLOOKUP(E18305,DSSpieler!A:B,2,FALSE)</f>
        <v>Snoop Doggy Dogg</v>
      </c>
    </row>
    <row r="18306" spans="1:10" x14ac:dyDescent="0.25">
      <c r="A18306">
        <v>20813</v>
      </c>
      <c r="B18306" t="s">
        <v>4513</v>
      </c>
      <c r="C18306">
        <v>434</v>
      </c>
      <c r="D18306">
        <v>381</v>
      </c>
      <c r="E18306">
        <v>1577207709</v>
      </c>
      <c r="F18306">
        <v>416</v>
      </c>
      <c r="G18306">
        <v>0</v>
      </c>
      <c r="H18306" t="s">
        <v>23143</v>
      </c>
      <c r="I18306">
        <v>20813</v>
      </c>
      <c r="J18306" t="str">
        <f>VLOOKUP(E18306,DSSpieler!A:B,2,FALSE)</f>
        <v>DrStoeckchen</v>
      </c>
    </row>
    <row r="18307" spans="1:10" x14ac:dyDescent="0.25">
      <c r="A18307">
        <v>20814</v>
      </c>
      <c r="B18307" t="s">
        <v>4514</v>
      </c>
      <c r="C18307">
        <v>425</v>
      </c>
      <c r="D18307">
        <v>616</v>
      </c>
      <c r="E18307">
        <v>1577109478</v>
      </c>
      <c r="F18307">
        <v>26</v>
      </c>
      <c r="G18307">
        <v>0</v>
      </c>
      <c r="H18307" t="s">
        <v>23144</v>
      </c>
      <c r="I18307">
        <v>20814</v>
      </c>
      <c r="J18307" t="str">
        <f>VLOOKUP(E18307,DSSpieler!A:B,2,FALSE)</f>
        <v>TingelTangel Bob</v>
      </c>
    </row>
    <row r="18308" spans="1:10" x14ac:dyDescent="0.25">
      <c r="A18308">
        <v>20815</v>
      </c>
      <c r="B18308" t="s">
        <v>4515</v>
      </c>
      <c r="C18308">
        <v>492</v>
      </c>
      <c r="D18308">
        <v>367</v>
      </c>
      <c r="E18308">
        <v>1577096661</v>
      </c>
      <c r="F18308">
        <v>104</v>
      </c>
      <c r="G18308">
        <v>0</v>
      </c>
      <c r="H18308" t="s">
        <v>23145</v>
      </c>
      <c r="I18308">
        <v>20815</v>
      </c>
      <c r="J18308" t="str">
        <f>VLOOKUP(E18308,DSSpieler!A:B,2,FALSE)</f>
        <v>Icee</v>
      </c>
    </row>
    <row r="18309" spans="1:10" x14ac:dyDescent="0.25">
      <c r="A18309">
        <v>20816</v>
      </c>
      <c r="B18309" t="s">
        <v>531</v>
      </c>
      <c r="C18309">
        <v>634</v>
      </c>
      <c r="D18309">
        <v>515</v>
      </c>
      <c r="E18309">
        <v>0</v>
      </c>
      <c r="F18309">
        <v>59</v>
      </c>
      <c r="G18309">
        <v>0</v>
      </c>
      <c r="H18309" t="s">
        <v>23146</v>
      </c>
      <c r="I18309">
        <v>20816</v>
      </c>
      <c r="J18309" t="e">
        <f>VLOOKUP(E18309,DSSpieler!A:B,2,FALSE)</f>
        <v>#N/A</v>
      </c>
    </row>
    <row r="18310" spans="1:10" x14ac:dyDescent="0.25">
      <c r="A18310">
        <v>20817</v>
      </c>
      <c r="B18310" t="s">
        <v>4516</v>
      </c>
      <c r="C18310">
        <v>446</v>
      </c>
      <c r="D18310">
        <v>424</v>
      </c>
      <c r="E18310">
        <v>1577118712</v>
      </c>
      <c r="F18310">
        <v>74</v>
      </c>
      <c r="G18310">
        <v>0</v>
      </c>
      <c r="H18310" t="s">
        <v>23147</v>
      </c>
      <c r="I18310">
        <v>20817</v>
      </c>
      <c r="J18310" t="str">
        <f>VLOOKUP(E18310,DSSpieler!A:B,2,FALSE)</f>
        <v>justpeet</v>
      </c>
    </row>
    <row r="18311" spans="1:10" x14ac:dyDescent="0.25">
      <c r="A18311">
        <v>20818</v>
      </c>
      <c r="B18311" t="s">
        <v>4517</v>
      </c>
      <c r="C18311">
        <v>374</v>
      </c>
      <c r="D18311">
        <v>550</v>
      </c>
      <c r="E18311">
        <v>1576798374</v>
      </c>
      <c r="F18311">
        <v>26</v>
      </c>
      <c r="G18311">
        <v>0</v>
      </c>
      <c r="H18311" t="s">
        <v>23148</v>
      </c>
      <c r="I18311">
        <v>20818</v>
      </c>
      <c r="J18311" t="str">
        <f>VLOOKUP(E18311,DSSpieler!A:B,2,FALSE)</f>
        <v>Mafuro</v>
      </c>
    </row>
    <row r="18312" spans="1:10" x14ac:dyDescent="0.25">
      <c r="A18312">
        <v>20819</v>
      </c>
      <c r="B18312" t="s">
        <v>4518</v>
      </c>
      <c r="C18312">
        <v>410</v>
      </c>
      <c r="D18312">
        <v>603</v>
      </c>
      <c r="E18312">
        <v>1577144158</v>
      </c>
      <c r="F18312">
        <v>26</v>
      </c>
      <c r="G18312">
        <v>0</v>
      </c>
      <c r="H18312" t="s">
        <v>23149</v>
      </c>
      <c r="I18312">
        <v>20819</v>
      </c>
      <c r="J18312" t="str">
        <f>VLOOKUP(E18312,DSSpieler!A:B,2,FALSE)</f>
        <v>Schneewitchen</v>
      </c>
    </row>
    <row r="18313" spans="1:10" x14ac:dyDescent="0.25">
      <c r="A18313">
        <v>20820</v>
      </c>
      <c r="B18313" t="s">
        <v>4519</v>
      </c>
      <c r="C18313">
        <v>536</v>
      </c>
      <c r="D18313">
        <v>373</v>
      </c>
      <c r="E18313">
        <v>9507800</v>
      </c>
      <c r="F18313">
        <v>26</v>
      </c>
      <c r="G18313">
        <v>0</v>
      </c>
      <c r="H18313" t="s">
        <v>23150</v>
      </c>
      <c r="I18313">
        <v>20820</v>
      </c>
      <c r="J18313" t="str">
        <f>VLOOKUP(E18313,DSSpieler!A:B,2,FALSE)</f>
        <v>CarloMass</v>
      </c>
    </row>
    <row r="18314" spans="1:10" x14ac:dyDescent="0.25">
      <c r="A18314">
        <v>20821</v>
      </c>
      <c r="B18314" t="s">
        <v>4520</v>
      </c>
      <c r="C18314">
        <v>384</v>
      </c>
      <c r="D18314">
        <v>571</v>
      </c>
      <c r="E18314">
        <v>1577186110</v>
      </c>
      <c r="F18314">
        <v>26</v>
      </c>
      <c r="G18314">
        <v>0</v>
      </c>
      <c r="H18314" t="s">
        <v>23151</v>
      </c>
      <c r="I18314">
        <v>20821</v>
      </c>
      <c r="J18314" t="str">
        <f>VLOOKUP(E18314,DSSpieler!A:B,2,FALSE)</f>
        <v>Kiryn</v>
      </c>
    </row>
    <row r="18315" spans="1:10" x14ac:dyDescent="0.25">
      <c r="A18315">
        <v>20822</v>
      </c>
      <c r="B18315" t="s">
        <v>4521</v>
      </c>
      <c r="C18315">
        <v>486</v>
      </c>
      <c r="D18315">
        <v>397</v>
      </c>
      <c r="E18315">
        <v>1577127585</v>
      </c>
      <c r="F18315">
        <v>26</v>
      </c>
      <c r="G18315">
        <v>0</v>
      </c>
      <c r="H18315" t="s">
        <v>23152</v>
      </c>
      <c r="I18315">
        <v>20822</v>
      </c>
      <c r="J18315" t="str">
        <f>VLOOKUP(E18315,DSSpieler!A:B,2,FALSE)</f>
        <v>holz</v>
      </c>
    </row>
    <row r="18316" spans="1:10" x14ac:dyDescent="0.25">
      <c r="A18316">
        <v>20823</v>
      </c>
      <c r="B18316" t="s">
        <v>4522</v>
      </c>
      <c r="C18316">
        <v>464</v>
      </c>
      <c r="D18316">
        <v>616</v>
      </c>
      <c r="E18316">
        <v>1577070517</v>
      </c>
      <c r="F18316">
        <v>46</v>
      </c>
      <c r="G18316">
        <v>0</v>
      </c>
      <c r="H18316" t="s">
        <v>23153</v>
      </c>
      <c r="I18316">
        <v>20823</v>
      </c>
      <c r="J18316" t="str">
        <f>VLOOKUP(E18316,DSSpieler!A:B,2,FALSE)</f>
        <v>LordUhtred</v>
      </c>
    </row>
    <row r="18317" spans="1:10" x14ac:dyDescent="0.25">
      <c r="A18317">
        <v>20824</v>
      </c>
      <c r="B18317" t="s">
        <v>4523</v>
      </c>
      <c r="C18317">
        <v>633</v>
      </c>
      <c r="D18317">
        <v>490</v>
      </c>
      <c r="E18317">
        <v>9713817</v>
      </c>
      <c r="F18317">
        <v>26</v>
      </c>
      <c r="G18317">
        <v>0</v>
      </c>
      <c r="H18317" t="s">
        <v>23154</v>
      </c>
      <c r="I18317">
        <v>20824</v>
      </c>
      <c r="J18317" t="str">
        <f>VLOOKUP(E18317,DSSpieler!A:B,2,FALSE)</f>
        <v>sharks rules</v>
      </c>
    </row>
    <row r="18318" spans="1:10" x14ac:dyDescent="0.25">
      <c r="A18318">
        <v>20825</v>
      </c>
      <c r="B18318" t="s">
        <v>35771</v>
      </c>
      <c r="C18318">
        <v>630</v>
      </c>
      <c r="D18318">
        <v>530</v>
      </c>
      <c r="E18318">
        <v>2811774</v>
      </c>
      <c r="F18318">
        <v>269</v>
      </c>
      <c r="G18318">
        <v>0</v>
      </c>
      <c r="H18318" t="s">
        <v>23155</v>
      </c>
      <c r="I18318">
        <v>20825</v>
      </c>
      <c r="J18318" t="str">
        <f>VLOOKUP(E18318,DSSpieler!A:B,2,FALSE)</f>
        <v>%C3%96lümsüz Kahraman</v>
      </c>
    </row>
    <row r="18319" spans="1:10" x14ac:dyDescent="0.25">
      <c r="A18319">
        <v>20826</v>
      </c>
      <c r="B18319" t="s">
        <v>531</v>
      </c>
      <c r="C18319">
        <v>530</v>
      </c>
      <c r="D18319">
        <v>633</v>
      </c>
      <c r="E18319">
        <v>0</v>
      </c>
      <c r="F18319">
        <v>48</v>
      </c>
      <c r="G18319">
        <v>0</v>
      </c>
      <c r="H18319" t="s">
        <v>23156</v>
      </c>
      <c r="I18319">
        <v>20826</v>
      </c>
      <c r="J18319" t="e">
        <f>VLOOKUP(E18319,DSSpieler!A:B,2,FALSE)</f>
        <v>#N/A</v>
      </c>
    </row>
    <row r="18320" spans="1:10" x14ac:dyDescent="0.25">
      <c r="A18320">
        <v>20827</v>
      </c>
      <c r="B18320" t="s">
        <v>35772</v>
      </c>
      <c r="C18320">
        <v>540</v>
      </c>
      <c r="D18320">
        <v>372</v>
      </c>
      <c r="E18320">
        <v>1577085262</v>
      </c>
      <c r="F18320">
        <v>277</v>
      </c>
      <c r="G18320">
        <v>0</v>
      </c>
      <c r="H18320" t="s">
        <v>23157</v>
      </c>
      <c r="I18320">
        <v>20827</v>
      </c>
      <c r="J18320" t="str">
        <f>VLOOKUP(E18320,DSSpieler!A:B,2,FALSE)</f>
        <v>S04Monk</v>
      </c>
    </row>
    <row r="18321" spans="1:10" x14ac:dyDescent="0.25">
      <c r="A18321">
        <v>20828</v>
      </c>
      <c r="B18321" t="s">
        <v>4524</v>
      </c>
      <c r="C18321">
        <v>534</v>
      </c>
      <c r="D18321">
        <v>616</v>
      </c>
      <c r="E18321">
        <v>1577152640</v>
      </c>
      <c r="F18321">
        <v>208</v>
      </c>
      <c r="G18321">
        <v>0</v>
      </c>
      <c r="H18321" t="s">
        <v>23158</v>
      </c>
      <c r="I18321">
        <v>20828</v>
      </c>
      <c r="J18321" t="str">
        <f>VLOOKUP(E18321,DSSpieler!A:B,2,FALSE)</f>
        <v>Kampfzwerg1979</v>
      </c>
    </row>
    <row r="18322" spans="1:10" x14ac:dyDescent="0.25">
      <c r="A18322">
        <v>20829</v>
      </c>
      <c r="B18322" t="s">
        <v>4525</v>
      </c>
      <c r="C18322">
        <v>637</v>
      </c>
      <c r="D18322">
        <v>519</v>
      </c>
      <c r="E18322">
        <v>10278269</v>
      </c>
      <c r="F18322">
        <v>26</v>
      </c>
      <c r="G18322">
        <v>0</v>
      </c>
      <c r="H18322" t="s">
        <v>23159</v>
      </c>
      <c r="I18322">
        <v>20829</v>
      </c>
      <c r="J18322" t="str">
        <f>VLOOKUP(E18322,DSSpieler!A:B,2,FALSE)</f>
        <v>RiesJoni2000</v>
      </c>
    </row>
    <row r="18323" spans="1:10" x14ac:dyDescent="0.25">
      <c r="A18323">
        <v>20830</v>
      </c>
      <c r="B18323" t="s">
        <v>4526</v>
      </c>
      <c r="C18323">
        <v>384</v>
      </c>
      <c r="D18323">
        <v>576</v>
      </c>
      <c r="E18323">
        <v>1577207895</v>
      </c>
      <c r="F18323">
        <v>325</v>
      </c>
      <c r="G18323">
        <v>0</v>
      </c>
      <c r="H18323" t="s">
        <v>23160</v>
      </c>
      <c r="I18323">
        <v>20830</v>
      </c>
      <c r="J18323" t="str">
        <f>VLOOKUP(E18323,DSSpieler!A:B,2,FALSE)</f>
        <v>Leopold20</v>
      </c>
    </row>
    <row r="18324" spans="1:10" x14ac:dyDescent="0.25">
      <c r="A18324">
        <v>20831</v>
      </c>
      <c r="B18324" t="s">
        <v>4527</v>
      </c>
      <c r="C18324">
        <v>414</v>
      </c>
      <c r="D18324">
        <v>604</v>
      </c>
      <c r="E18324">
        <v>1576671131</v>
      </c>
      <c r="F18324">
        <v>26</v>
      </c>
      <c r="G18324">
        <v>0</v>
      </c>
      <c r="H18324" t="s">
        <v>23161</v>
      </c>
      <c r="I18324">
        <v>20831</v>
      </c>
      <c r="J18324" t="str">
        <f>VLOOKUP(E18324,DSSpieler!A:B,2,FALSE)</f>
        <v>Gh0sTa</v>
      </c>
    </row>
    <row r="18325" spans="1:10" x14ac:dyDescent="0.25">
      <c r="A18325">
        <v>20832</v>
      </c>
      <c r="B18325" t="s">
        <v>4528</v>
      </c>
      <c r="C18325">
        <v>491</v>
      </c>
      <c r="D18325">
        <v>637</v>
      </c>
      <c r="E18325">
        <v>1577209032</v>
      </c>
      <c r="F18325">
        <v>151</v>
      </c>
      <c r="G18325">
        <v>0</v>
      </c>
      <c r="H18325" t="s">
        <v>23162</v>
      </c>
      <c r="I18325">
        <v>20832</v>
      </c>
      <c r="J18325" t="str">
        <f>VLOOKUP(E18325,DSSpieler!A:B,2,FALSE)</f>
        <v>Solider</v>
      </c>
    </row>
    <row r="18326" spans="1:10" x14ac:dyDescent="0.25">
      <c r="A18326">
        <v>20833</v>
      </c>
      <c r="B18326" t="s">
        <v>4529</v>
      </c>
      <c r="C18326">
        <v>362</v>
      </c>
      <c r="D18326">
        <v>498</v>
      </c>
      <c r="E18326">
        <v>1577172918</v>
      </c>
      <c r="F18326">
        <v>26</v>
      </c>
      <c r="G18326">
        <v>0</v>
      </c>
      <c r="H18326" t="s">
        <v>23163</v>
      </c>
      <c r="I18326">
        <v>20833</v>
      </c>
      <c r="J18326" t="str">
        <f>VLOOKUP(E18326,DSSpieler!A:B,2,FALSE)</f>
        <v>DerStein</v>
      </c>
    </row>
    <row r="18327" spans="1:10" x14ac:dyDescent="0.25">
      <c r="A18327">
        <v>20834</v>
      </c>
      <c r="B18327" t="s">
        <v>4530</v>
      </c>
      <c r="C18327">
        <v>471</v>
      </c>
      <c r="D18327">
        <v>635</v>
      </c>
      <c r="E18327">
        <v>8542616</v>
      </c>
      <c r="F18327">
        <v>322</v>
      </c>
      <c r="G18327">
        <v>0</v>
      </c>
      <c r="H18327" t="s">
        <v>23164</v>
      </c>
      <c r="I18327">
        <v>20834</v>
      </c>
      <c r="J18327" t="str">
        <f>VLOOKUP(E18327,DSSpieler!A:B,2,FALSE)</f>
        <v>Dani.-</v>
      </c>
    </row>
    <row r="18328" spans="1:10" x14ac:dyDescent="0.25">
      <c r="A18328">
        <v>20835</v>
      </c>
      <c r="B18328" t="s">
        <v>4531</v>
      </c>
      <c r="C18328">
        <v>494</v>
      </c>
      <c r="D18328">
        <v>365</v>
      </c>
      <c r="E18328">
        <v>1577191220</v>
      </c>
      <c r="F18328">
        <v>251</v>
      </c>
      <c r="G18328">
        <v>0</v>
      </c>
      <c r="H18328" t="s">
        <v>23165</v>
      </c>
      <c r="I18328">
        <v>20835</v>
      </c>
      <c r="J18328" t="str">
        <f>VLOOKUP(E18328,DSSpieler!A:B,2,FALSE)</f>
        <v>Karin Gallus</v>
      </c>
    </row>
    <row r="18329" spans="1:10" x14ac:dyDescent="0.25">
      <c r="A18329">
        <v>20836</v>
      </c>
      <c r="B18329" t="s">
        <v>4532</v>
      </c>
      <c r="C18329">
        <v>468</v>
      </c>
      <c r="D18329">
        <v>635</v>
      </c>
      <c r="E18329">
        <v>1280380</v>
      </c>
      <c r="F18329">
        <v>343</v>
      </c>
      <c r="G18329">
        <v>0</v>
      </c>
      <c r="H18329" t="s">
        <v>23166</v>
      </c>
      <c r="I18329">
        <v>20836</v>
      </c>
      <c r="J18329" t="str">
        <f>VLOOKUP(E18329,DSSpieler!A:B,2,FALSE)</f>
        <v>derbööösewicht</v>
      </c>
    </row>
    <row r="18330" spans="1:10" x14ac:dyDescent="0.25">
      <c r="A18330">
        <v>20837</v>
      </c>
      <c r="B18330" t="s">
        <v>531</v>
      </c>
      <c r="C18330">
        <v>362</v>
      </c>
      <c r="D18330">
        <v>489</v>
      </c>
      <c r="E18330">
        <v>0</v>
      </c>
      <c r="F18330">
        <v>34</v>
      </c>
      <c r="G18330">
        <v>0</v>
      </c>
      <c r="H18330" t="s">
        <v>23167</v>
      </c>
      <c r="I18330">
        <v>20837</v>
      </c>
      <c r="J18330" t="e">
        <f>VLOOKUP(E18330,DSSpieler!A:B,2,FALSE)</f>
        <v>#N/A</v>
      </c>
    </row>
    <row r="18331" spans="1:10" x14ac:dyDescent="0.25">
      <c r="A18331">
        <v>20838</v>
      </c>
      <c r="B18331" t="s">
        <v>4533</v>
      </c>
      <c r="C18331">
        <v>368</v>
      </c>
      <c r="D18331">
        <v>482</v>
      </c>
      <c r="E18331">
        <v>1575973745</v>
      </c>
      <c r="F18331">
        <v>26</v>
      </c>
      <c r="G18331">
        <v>0</v>
      </c>
      <c r="H18331" t="s">
        <v>23168</v>
      </c>
      <c r="I18331">
        <v>20838</v>
      </c>
      <c r="J18331" t="str">
        <f>VLOOKUP(E18331,DSSpieler!A:B,2,FALSE)</f>
        <v>Phenomen</v>
      </c>
    </row>
    <row r="18332" spans="1:10" x14ac:dyDescent="0.25">
      <c r="A18332">
        <v>20839</v>
      </c>
      <c r="B18332" t="s">
        <v>1694</v>
      </c>
      <c r="C18332">
        <v>388</v>
      </c>
      <c r="D18332">
        <v>577</v>
      </c>
      <c r="E18332">
        <v>1577043722</v>
      </c>
      <c r="F18332">
        <v>190</v>
      </c>
      <c r="G18332">
        <v>0</v>
      </c>
      <c r="H18332" t="s">
        <v>23169</v>
      </c>
      <c r="I18332">
        <v>20839</v>
      </c>
      <c r="J18332" t="str">
        <f>VLOOKUP(E18332,DSSpieler!A:B,2,FALSE)</f>
        <v>asdfg12345</v>
      </c>
    </row>
    <row r="18333" spans="1:10" x14ac:dyDescent="0.25">
      <c r="A18333">
        <v>20840</v>
      </c>
      <c r="B18333" t="s">
        <v>531</v>
      </c>
      <c r="C18333">
        <v>384</v>
      </c>
      <c r="D18333">
        <v>428</v>
      </c>
      <c r="E18333">
        <v>0</v>
      </c>
      <c r="F18333">
        <v>44</v>
      </c>
      <c r="G18333">
        <v>0</v>
      </c>
      <c r="H18333" t="s">
        <v>23170</v>
      </c>
      <c r="I18333">
        <v>20840</v>
      </c>
      <c r="J18333" t="e">
        <f>VLOOKUP(E18333,DSSpieler!A:B,2,FALSE)</f>
        <v>#N/A</v>
      </c>
    </row>
    <row r="18334" spans="1:10" x14ac:dyDescent="0.25">
      <c r="A18334">
        <v>20841</v>
      </c>
      <c r="B18334" t="s">
        <v>4534</v>
      </c>
      <c r="C18334">
        <v>629</v>
      </c>
      <c r="D18334">
        <v>542</v>
      </c>
      <c r="E18334">
        <v>1577190124</v>
      </c>
      <c r="F18334">
        <v>322</v>
      </c>
      <c r="G18334">
        <v>0</v>
      </c>
      <c r="H18334" t="s">
        <v>23171</v>
      </c>
      <c r="I18334">
        <v>20841</v>
      </c>
      <c r="J18334" t="str">
        <f>VLOOKUP(E18334,DSSpieler!A:B,2,FALSE)</f>
        <v>LuffySnackmann</v>
      </c>
    </row>
    <row r="18335" spans="1:10" x14ac:dyDescent="0.25">
      <c r="A18335">
        <v>20842</v>
      </c>
      <c r="B18335" t="s">
        <v>3941</v>
      </c>
      <c r="C18335">
        <v>593</v>
      </c>
      <c r="D18335">
        <v>400</v>
      </c>
      <c r="E18335">
        <v>1577209038</v>
      </c>
      <c r="F18335">
        <v>422</v>
      </c>
      <c r="G18335">
        <v>0</v>
      </c>
      <c r="H18335" t="s">
        <v>23172</v>
      </c>
      <c r="I18335">
        <v>20842</v>
      </c>
      <c r="J18335" t="str">
        <f>VLOOKUP(E18335,DSSpieler!A:B,2,FALSE)</f>
        <v>BeyondCereal</v>
      </c>
    </row>
    <row r="18336" spans="1:10" x14ac:dyDescent="0.25">
      <c r="A18336">
        <v>20843</v>
      </c>
      <c r="B18336" t="s">
        <v>531</v>
      </c>
      <c r="C18336">
        <v>522</v>
      </c>
      <c r="D18336">
        <v>366</v>
      </c>
      <c r="E18336">
        <v>0</v>
      </c>
      <c r="F18336">
        <v>41</v>
      </c>
      <c r="G18336">
        <v>0</v>
      </c>
      <c r="H18336" t="s">
        <v>23173</v>
      </c>
      <c r="I18336">
        <v>20843</v>
      </c>
      <c r="J18336" t="e">
        <f>VLOOKUP(E18336,DSSpieler!A:B,2,FALSE)</f>
        <v>#N/A</v>
      </c>
    </row>
    <row r="18337" spans="1:10" x14ac:dyDescent="0.25">
      <c r="A18337">
        <v>20844</v>
      </c>
      <c r="B18337" t="s">
        <v>4535</v>
      </c>
      <c r="C18337">
        <v>368</v>
      </c>
      <c r="D18337">
        <v>481</v>
      </c>
      <c r="E18337">
        <v>1576745756</v>
      </c>
      <c r="F18337">
        <v>26</v>
      </c>
      <c r="G18337">
        <v>0</v>
      </c>
      <c r="H18337" t="s">
        <v>23174</v>
      </c>
      <c r="I18337">
        <v>20844</v>
      </c>
      <c r="J18337" t="str">
        <f>VLOOKUP(E18337,DSSpieler!A:B,2,FALSE)</f>
        <v>Kulimuh</v>
      </c>
    </row>
    <row r="18338" spans="1:10" x14ac:dyDescent="0.25">
      <c r="A18338">
        <v>20845</v>
      </c>
      <c r="B18338" t="s">
        <v>35773</v>
      </c>
      <c r="C18338">
        <v>370</v>
      </c>
      <c r="D18338">
        <v>544</v>
      </c>
      <c r="E18338">
        <v>1576903362</v>
      </c>
      <c r="F18338">
        <v>76</v>
      </c>
      <c r="G18338">
        <v>0</v>
      </c>
      <c r="H18338" t="s">
        <v>23175</v>
      </c>
      <c r="I18338">
        <v>20845</v>
      </c>
      <c r="J18338" t="str">
        <f>VLOOKUP(E18338,DSSpieler!A:B,2,FALSE)</f>
        <v>KönigRagnar88</v>
      </c>
    </row>
    <row r="18339" spans="1:10" x14ac:dyDescent="0.25">
      <c r="A18339">
        <v>20846</v>
      </c>
      <c r="B18339" t="s">
        <v>4536</v>
      </c>
      <c r="C18339">
        <v>459</v>
      </c>
      <c r="D18339">
        <v>632</v>
      </c>
      <c r="E18339">
        <v>1577197254</v>
      </c>
      <c r="F18339">
        <v>26</v>
      </c>
      <c r="G18339">
        <v>0</v>
      </c>
      <c r="H18339" t="s">
        <v>23176</v>
      </c>
      <c r="I18339">
        <v>20846</v>
      </c>
      <c r="J18339" t="str">
        <f>VLOOKUP(E18339,DSSpieler!A:B,2,FALSE)</f>
        <v>Wildtoeter</v>
      </c>
    </row>
    <row r="18340" spans="1:10" x14ac:dyDescent="0.25">
      <c r="A18340">
        <v>20847</v>
      </c>
      <c r="B18340" t="s">
        <v>4537</v>
      </c>
      <c r="C18340">
        <v>505</v>
      </c>
      <c r="D18340">
        <v>635</v>
      </c>
      <c r="E18340">
        <v>9929494</v>
      </c>
      <c r="F18340">
        <v>32</v>
      </c>
      <c r="G18340">
        <v>0</v>
      </c>
      <c r="H18340" t="s">
        <v>23177</v>
      </c>
      <c r="I18340">
        <v>20847</v>
      </c>
      <c r="J18340" t="str">
        <f>VLOOKUP(E18340,DSSpieler!A:B,2,FALSE)</f>
        <v>itchbo</v>
      </c>
    </row>
    <row r="18341" spans="1:10" x14ac:dyDescent="0.25">
      <c r="A18341">
        <v>20848</v>
      </c>
      <c r="B18341" t="s">
        <v>4538</v>
      </c>
      <c r="C18341">
        <v>365</v>
      </c>
      <c r="D18341">
        <v>487</v>
      </c>
      <c r="E18341">
        <v>1577192180</v>
      </c>
      <c r="F18341">
        <v>429</v>
      </c>
      <c r="G18341">
        <v>0</v>
      </c>
      <c r="H18341" t="s">
        <v>23178</v>
      </c>
      <c r="I18341">
        <v>20848</v>
      </c>
      <c r="J18341" t="str">
        <f>VLOOKUP(E18341,DSSpieler!A:B,2,FALSE)</f>
        <v>Klappstuhl2009</v>
      </c>
    </row>
    <row r="18342" spans="1:10" x14ac:dyDescent="0.25">
      <c r="A18342">
        <v>20849</v>
      </c>
      <c r="B18342" t="s">
        <v>4539</v>
      </c>
      <c r="C18342">
        <v>366</v>
      </c>
      <c r="D18342">
        <v>497</v>
      </c>
      <c r="E18342">
        <v>1648011</v>
      </c>
      <c r="F18342">
        <v>26</v>
      </c>
      <c r="G18342">
        <v>0</v>
      </c>
      <c r="H18342" t="s">
        <v>23179</v>
      </c>
      <c r="I18342">
        <v>20849</v>
      </c>
      <c r="J18342" t="str">
        <f>VLOOKUP(E18342,DSSpieler!A:B,2,FALSE)</f>
        <v>king lutter</v>
      </c>
    </row>
    <row r="18343" spans="1:10" x14ac:dyDescent="0.25">
      <c r="A18343">
        <v>20850</v>
      </c>
      <c r="B18343" t="s">
        <v>4540</v>
      </c>
      <c r="C18343">
        <v>634</v>
      </c>
      <c r="D18343">
        <v>466</v>
      </c>
      <c r="E18343">
        <v>1577019523</v>
      </c>
      <c r="F18343">
        <v>325</v>
      </c>
      <c r="G18343">
        <v>0</v>
      </c>
      <c r="H18343" t="s">
        <v>23180</v>
      </c>
      <c r="I18343">
        <v>20850</v>
      </c>
      <c r="J18343" t="str">
        <f>VLOOKUP(E18343,DSSpieler!A:B,2,FALSE)</f>
        <v>Berserker1848</v>
      </c>
    </row>
    <row r="18344" spans="1:10" x14ac:dyDescent="0.25">
      <c r="A18344">
        <v>20851</v>
      </c>
      <c r="B18344" t="s">
        <v>531</v>
      </c>
      <c r="C18344">
        <v>469</v>
      </c>
      <c r="D18344">
        <v>370</v>
      </c>
      <c r="E18344">
        <v>0</v>
      </c>
      <c r="F18344">
        <v>51</v>
      </c>
      <c r="G18344">
        <v>0</v>
      </c>
      <c r="H18344" t="s">
        <v>23181</v>
      </c>
      <c r="I18344">
        <v>20851</v>
      </c>
      <c r="J18344" t="e">
        <f>VLOOKUP(E18344,DSSpieler!A:B,2,FALSE)</f>
        <v>#N/A</v>
      </c>
    </row>
    <row r="18345" spans="1:10" x14ac:dyDescent="0.25">
      <c r="A18345">
        <v>20852</v>
      </c>
      <c r="B18345" t="s">
        <v>4541</v>
      </c>
      <c r="C18345">
        <v>632</v>
      </c>
      <c r="D18345">
        <v>525</v>
      </c>
      <c r="E18345">
        <v>9686818</v>
      </c>
      <c r="F18345">
        <v>26</v>
      </c>
      <c r="G18345">
        <v>0</v>
      </c>
      <c r="H18345" t="s">
        <v>23182</v>
      </c>
      <c r="I18345">
        <v>20852</v>
      </c>
      <c r="J18345" t="str">
        <f>VLOOKUP(E18345,DSSpieler!A:B,2,FALSE)</f>
        <v>Cousinplay</v>
      </c>
    </row>
    <row r="18346" spans="1:10" x14ac:dyDescent="0.25">
      <c r="A18346">
        <v>20853</v>
      </c>
      <c r="B18346" t="s">
        <v>4542</v>
      </c>
      <c r="C18346">
        <v>595</v>
      </c>
      <c r="D18346">
        <v>598</v>
      </c>
      <c r="E18346">
        <v>1577105449</v>
      </c>
      <c r="F18346">
        <v>26</v>
      </c>
      <c r="G18346">
        <v>0</v>
      </c>
      <c r="H18346" t="s">
        <v>23183</v>
      </c>
      <c r="I18346">
        <v>20853</v>
      </c>
      <c r="J18346" t="str">
        <f>VLOOKUP(E18346,DSSpieler!A:B,2,FALSE)</f>
        <v>Queen Fredde</v>
      </c>
    </row>
    <row r="18347" spans="1:10" x14ac:dyDescent="0.25">
      <c r="A18347">
        <v>20854</v>
      </c>
      <c r="B18347" t="s">
        <v>35774</v>
      </c>
      <c r="C18347">
        <v>411</v>
      </c>
      <c r="D18347">
        <v>604</v>
      </c>
      <c r="E18347">
        <v>1576240098</v>
      </c>
      <c r="F18347">
        <v>271</v>
      </c>
      <c r="G18347">
        <v>0</v>
      </c>
      <c r="H18347" t="s">
        <v>23184</v>
      </c>
      <c r="I18347">
        <v>20854</v>
      </c>
      <c r="J18347" t="str">
        <f>VLOOKUP(E18347,DSSpieler!A:B,2,FALSE)</f>
        <v>Lord Jordy</v>
      </c>
    </row>
    <row r="18348" spans="1:10" x14ac:dyDescent="0.25">
      <c r="A18348">
        <v>20855</v>
      </c>
      <c r="B18348" t="s">
        <v>4543</v>
      </c>
      <c r="C18348">
        <v>385</v>
      </c>
      <c r="D18348">
        <v>427</v>
      </c>
      <c r="E18348">
        <v>1577193643</v>
      </c>
      <c r="F18348">
        <v>231</v>
      </c>
      <c r="G18348">
        <v>0</v>
      </c>
      <c r="H18348" t="s">
        <v>23185</v>
      </c>
      <c r="I18348">
        <v>20855</v>
      </c>
      <c r="J18348" t="str">
        <f>VLOOKUP(E18348,DSSpieler!A:B,2,FALSE)</f>
        <v>Caot17</v>
      </c>
    </row>
    <row r="18349" spans="1:10" x14ac:dyDescent="0.25">
      <c r="A18349">
        <v>20856</v>
      </c>
      <c r="B18349" t="s">
        <v>531</v>
      </c>
      <c r="C18349">
        <v>500</v>
      </c>
      <c r="D18349">
        <v>367</v>
      </c>
      <c r="E18349">
        <v>0</v>
      </c>
      <c r="F18349">
        <v>41</v>
      </c>
      <c r="G18349">
        <v>0</v>
      </c>
      <c r="H18349" t="s">
        <v>23186</v>
      </c>
      <c r="I18349">
        <v>20856</v>
      </c>
      <c r="J18349" t="e">
        <f>VLOOKUP(E18349,DSSpieler!A:B,2,FALSE)</f>
        <v>#N/A</v>
      </c>
    </row>
    <row r="18350" spans="1:10" x14ac:dyDescent="0.25">
      <c r="A18350">
        <v>20857</v>
      </c>
      <c r="B18350" t="s">
        <v>4544</v>
      </c>
      <c r="C18350">
        <v>495</v>
      </c>
      <c r="D18350">
        <v>637</v>
      </c>
      <c r="E18350">
        <v>1577197947</v>
      </c>
      <c r="F18350">
        <v>26</v>
      </c>
      <c r="G18350">
        <v>0</v>
      </c>
      <c r="H18350" t="s">
        <v>23187</v>
      </c>
      <c r="I18350">
        <v>20857</v>
      </c>
      <c r="J18350" t="str">
        <f>VLOOKUP(E18350,DSSpieler!A:B,2,FALSE)</f>
        <v>19devil96</v>
      </c>
    </row>
    <row r="18351" spans="1:10" x14ac:dyDescent="0.25">
      <c r="A18351">
        <v>20858</v>
      </c>
      <c r="B18351" t="s">
        <v>35775</v>
      </c>
      <c r="C18351">
        <v>636</v>
      </c>
      <c r="D18351">
        <v>523</v>
      </c>
      <c r="E18351">
        <v>1577182017</v>
      </c>
      <c r="F18351">
        <v>310</v>
      </c>
      <c r="G18351">
        <v>0</v>
      </c>
      <c r="H18351" t="s">
        <v>23188</v>
      </c>
      <c r="I18351">
        <v>20858</v>
      </c>
      <c r="J18351" t="str">
        <f>VLOOKUP(E18351,DSSpieler!A:B,2,FALSE)</f>
        <v>Opi00</v>
      </c>
    </row>
    <row r="18352" spans="1:10" x14ac:dyDescent="0.25">
      <c r="A18352">
        <v>20859</v>
      </c>
      <c r="B18352" t="s">
        <v>4545</v>
      </c>
      <c r="C18352">
        <v>625</v>
      </c>
      <c r="D18352">
        <v>453</v>
      </c>
      <c r="E18352">
        <v>1576518975</v>
      </c>
      <c r="F18352">
        <v>125</v>
      </c>
      <c r="G18352">
        <v>0</v>
      </c>
      <c r="H18352" t="s">
        <v>23189</v>
      </c>
      <c r="I18352">
        <v>20859</v>
      </c>
      <c r="J18352" t="str">
        <f>VLOOKUP(E18352,DSSpieler!A:B,2,FALSE)</f>
        <v>Limmos Dorf</v>
      </c>
    </row>
    <row r="18353" spans="1:10" x14ac:dyDescent="0.25">
      <c r="A18353">
        <v>20860</v>
      </c>
      <c r="B18353" t="s">
        <v>531</v>
      </c>
      <c r="C18353">
        <v>495</v>
      </c>
      <c r="D18353">
        <v>634</v>
      </c>
      <c r="E18353">
        <v>0</v>
      </c>
      <c r="F18353">
        <v>37</v>
      </c>
      <c r="G18353">
        <v>0</v>
      </c>
      <c r="H18353" t="s">
        <v>23190</v>
      </c>
      <c r="I18353">
        <v>20860</v>
      </c>
      <c r="J18353" t="e">
        <f>VLOOKUP(E18353,DSSpieler!A:B,2,FALSE)</f>
        <v>#N/A</v>
      </c>
    </row>
    <row r="18354" spans="1:10" x14ac:dyDescent="0.25">
      <c r="A18354">
        <v>20861</v>
      </c>
      <c r="B18354" t="s">
        <v>4546</v>
      </c>
      <c r="C18354">
        <v>490</v>
      </c>
      <c r="D18354">
        <v>638</v>
      </c>
      <c r="E18354">
        <v>1576987012</v>
      </c>
      <c r="F18354">
        <v>93</v>
      </c>
      <c r="G18354">
        <v>0</v>
      </c>
      <c r="H18354" t="s">
        <v>23191</v>
      </c>
      <c r="I18354">
        <v>20861</v>
      </c>
      <c r="J18354" t="str">
        <f>VLOOKUP(E18354,DSSpieler!A:B,2,FALSE)</f>
        <v>Starscaller-official</v>
      </c>
    </row>
    <row r="18355" spans="1:10" x14ac:dyDescent="0.25">
      <c r="A18355">
        <v>20862</v>
      </c>
      <c r="B18355">
        <v>1</v>
      </c>
      <c r="C18355">
        <v>596</v>
      </c>
      <c r="D18355">
        <v>497</v>
      </c>
      <c r="E18355">
        <v>1577187454</v>
      </c>
      <c r="F18355">
        <v>348</v>
      </c>
      <c r="G18355">
        <v>0</v>
      </c>
      <c r="H18355" t="s">
        <v>23192</v>
      </c>
      <c r="I18355">
        <v>20862</v>
      </c>
      <c r="J18355" t="str">
        <f>VLOOKUP(E18355,DSSpieler!A:B,2,FALSE)</f>
        <v>Halapaloosa</v>
      </c>
    </row>
    <row r="18356" spans="1:10" x14ac:dyDescent="0.25">
      <c r="A18356">
        <v>20863</v>
      </c>
      <c r="B18356" t="s">
        <v>531</v>
      </c>
      <c r="C18356">
        <v>498</v>
      </c>
      <c r="D18356">
        <v>638</v>
      </c>
      <c r="E18356">
        <v>0</v>
      </c>
      <c r="F18356">
        <v>40</v>
      </c>
      <c r="G18356">
        <v>0</v>
      </c>
      <c r="H18356" t="s">
        <v>23193</v>
      </c>
      <c r="I18356">
        <v>20863</v>
      </c>
      <c r="J18356" t="e">
        <f>VLOOKUP(E18356,DSSpieler!A:B,2,FALSE)</f>
        <v>#N/A</v>
      </c>
    </row>
    <row r="18357" spans="1:10" x14ac:dyDescent="0.25">
      <c r="A18357">
        <v>20864</v>
      </c>
      <c r="B18357" t="s">
        <v>4547</v>
      </c>
      <c r="C18357">
        <v>596</v>
      </c>
      <c r="D18357">
        <v>485</v>
      </c>
      <c r="E18357">
        <v>10054101</v>
      </c>
      <c r="F18357">
        <v>193</v>
      </c>
      <c r="G18357">
        <v>0</v>
      </c>
      <c r="H18357" t="s">
        <v>23194</v>
      </c>
      <c r="I18357">
        <v>20864</v>
      </c>
      <c r="J18357" t="str">
        <f>VLOOKUP(E18357,DSSpieler!A:B,2,FALSE)</f>
        <v>Mkate-Brothers</v>
      </c>
    </row>
    <row r="18358" spans="1:10" x14ac:dyDescent="0.25">
      <c r="A18358">
        <v>20865</v>
      </c>
      <c r="B18358" t="s">
        <v>4548</v>
      </c>
      <c r="C18358">
        <v>416</v>
      </c>
      <c r="D18358">
        <v>393</v>
      </c>
      <c r="E18358">
        <v>8552527</v>
      </c>
      <c r="F18358">
        <v>26</v>
      </c>
      <c r="G18358">
        <v>0</v>
      </c>
      <c r="H18358" t="s">
        <v>23195</v>
      </c>
      <c r="I18358">
        <v>20865</v>
      </c>
      <c r="J18358" t="str">
        <f>VLOOKUP(E18358,DSSpieler!A:B,2,FALSE)</f>
        <v>blackandi5</v>
      </c>
    </row>
    <row r="18359" spans="1:10" x14ac:dyDescent="0.25">
      <c r="A18359">
        <v>20866</v>
      </c>
      <c r="B18359" t="s">
        <v>4549</v>
      </c>
      <c r="C18359">
        <v>592</v>
      </c>
      <c r="D18359">
        <v>403</v>
      </c>
      <c r="E18359">
        <v>1576492328</v>
      </c>
      <c r="F18359">
        <v>26</v>
      </c>
      <c r="G18359">
        <v>0</v>
      </c>
      <c r="H18359" t="s">
        <v>23196</v>
      </c>
      <c r="I18359">
        <v>20866</v>
      </c>
      <c r="J18359" t="str">
        <f>VLOOKUP(E18359,DSSpieler!A:B,2,FALSE)</f>
        <v>Lord Basto</v>
      </c>
    </row>
    <row r="18360" spans="1:10" x14ac:dyDescent="0.25">
      <c r="A18360">
        <v>20867</v>
      </c>
      <c r="B18360" t="s">
        <v>4550</v>
      </c>
      <c r="C18360">
        <v>419</v>
      </c>
      <c r="D18360">
        <v>605</v>
      </c>
      <c r="E18360">
        <v>1576098703</v>
      </c>
      <c r="F18360">
        <v>349</v>
      </c>
      <c r="G18360">
        <v>0</v>
      </c>
      <c r="H18360" t="s">
        <v>23197</v>
      </c>
      <c r="I18360">
        <v>20867</v>
      </c>
      <c r="J18360" t="str">
        <f>VLOOKUP(E18360,DSSpieler!A:B,2,FALSE)</f>
        <v>Bangerl810</v>
      </c>
    </row>
    <row r="18361" spans="1:10" x14ac:dyDescent="0.25">
      <c r="A18361">
        <v>20868</v>
      </c>
      <c r="B18361" t="s">
        <v>531</v>
      </c>
      <c r="C18361">
        <v>543</v>
      </c>
      <c r="D18361">
        <v>627</v>
      </c>
      <c r="E18361">
        <v>0</v>
      </c>
      <c r="F18361">
        <v>39</v>
      </c>
      <c r="G18361">
        <v>0</v>
      </c>
      <c r="H18361" t="s">
        <v>23198</v>
      </c>
      <c r="I18361">
        <v>20868</v>
      </c>
      <c r="J18361" t="e">
        <f>VLOOKUP(E18361,DSSpieler!A:B,2,FALSE)</f>
        <v>#N/A</v>
      </c>
    </row>
    <row r="18362" spans="1:10" x14ac:dyDescent="0.25">
      <c r="A18362">
        <v>20869</v>
      </c>
      <c r="B18362" t="s">
        <v>35776</v>
      </c>
      <c r="C18362">
        <v>368</v>
      </c>
      <c r="D18362">
        <v>541</v>
      </c>
      <c r="E18362">
        <v>3158155</v>
      </c>
      <c r="F18362">
        <v>305</v>
      </c>
      <c r="G18362">
        <v>0</v>
      </c>
      <c r="H18362" t="s">
        <v>23199</v>
      </c>
      <c r="I18362">
        <v>20869</v>
      </c>
      <c r="J18362" t="str">
        <f>VLOOKUP(E18362,DSSpieler!A:B,2,FALSE)</f>
        <v>hexe63</v>
      </c>
    </row>
    <row r="18363" spans="1:10" x14ac:dyDescent="0.25">
      <c r="A18363">
        <v>20870</v>
      </c>
      <c r="B18363" t="s">
        <v>4551</v>
      </c>
      <c r="C18363">
        <v>606</v>
      </c>
      <c r="D18363">
        <v>415</v>
      </c>
      <c r="E18363">
        <v>1577183797</v>
      </c>
      <c r="F18363">
        <v>26</v>
      </c>
      <c r="G18363">
        <v>0</v>
      </c>
      <c r="H18363" t="s">
        <v>23200</v>
      </c>
      <c r="I18363">
        <v>20870</v>
      </c>
      <c r="J18363" t="str">
        <f>VLOOKUP(E18363,DSSpieler!A:B,2,FALSE)</f>
        <v>Prof.Twex</v>
      </c>
    </row>
    <row r="18364" spans="1:10" x14ac:dyDescent="0.25">
      <c r="A18364">
        <v>20871</v>
      </c>
      <c r="B18364" t="s">
        <v>4552</v>
      </c>
      <c r="C18364">
        <v>626</v>
      </c>
      <c r="D18364">
        <v>559</v>
      </c>
      <c r="E18364">
        <v>1577191248</v>
      </c>
      <c r="F18364">
        <v>268</v>
      </c>
      <c r="G18364">
        <v>0</v>
      </c>
      <c r="H18364" t="s">
        <v>23201</v>
      </c>
      <c r="I18364">
        <v>20871</v>
      </c>
      <c r="J18364" t="str">
        <f>VLOOKUP(E18364,DSSpieler!A:B,2,FALSE)</f>
        <v>Lorena3</v>
      </c>
    </row>
    <row r="18365" spans="1:10" x14ac:dyDescent="0.25">
      <c r="A18365">
        <v>20872</v>
      </c>
      <c r="B18365" t="s">
        <v>4553</v>
      </c>
      <c r="C18365">
        <v>374</v>
      </c>
      <c r="D18365">
        <v>444</v>
      </c>
      <c r="E18365">
        <v>1577209055</v>
      </c>
      <c r="F18365">
        <v>26</v>
      </c>
      <c r="G18365">
        <v>0</v>
      </c>
      <c r="H18365" t="s">
        <v>23202</v>
      </c>
      <c r="I18365">
        <v>20872</v>
      </c>
      <c r="J18365" t="str">
        <f>VLOOKUP(E18365,DSSpieler!A:B,2,FALSE)</f>
        <v>edamike27</v>
      </c>
    </row>
    <row r="18366" spans="1:10" x14ac:dyDescent="0.25">
      <c r="A18366">
        <v>20873</v>
      </c>
      <c r="B18366" t="s">
        <v>4554</v>
      </c>
      <c r="C18366">
        <v>620</v>
      </c>
      <c r="D18366">
        <v>559</v>
      </c>
      <c r="E18366">
        <v>1577111433</v>
      </c>
      <c r="F18366">
        <v>167</v>
      </c>
      <c r="G18366">
        <v>0</v>
      </c>
      <c r="H18366" t="s">
        <v>23203</v>
      </c>
      <c r="I18366">
        <v>20873</v>
      </c>
      <c r="J18366" t="str">
        <f>VLOOKUP(E18366,DSSpieler!A:B,2,FALSE)</f>
        <v>Fr33styler</v>
      </c>
    </row>
    <row r="18367" spans="1:10" x14ac:dyDescent="0.25">
      <c r="A18367">
        <v>20874</v>
      </c>
      <c r="B18367" t="s">
        <v>4555</v>
      </c>
      <c r="C18367">
        <v>415</v>
      </c>
      <c r="D18367">
        <v>598</v>
      </c>
      <c r="E18367">
        <v>1577101983</v>
      </c>
      <c r="F18367">
        <v>251</v>
      </c>
      <c r="G18367">
        <v>0</v>
      </c>
      <c r="H18367" t="s">
        <v>23204</v>
      </c>
      <c r="I18367">
        <v>20874</v>
      </c>
      <c r="J18367" t="str">
        <f>VLOOKUP(E18367,DSSpieler!A:B,2,FALSE)</f>
        <v>edamike</v>
      </c>
    </row>
    <row r="18368" spans="1:10" x14ac:dyDescent="0.25">
      <c r="A18368">
        <v>20875</v>
      </c>
      <c r="B18368" t="s">
        <v>35777</v>
      </c>
      <c r="C18368">
        <v>633</v>
      </c>
      <c r="D18368">
        <v>525</v>
      </c>
      <c r="E18368">
        <v>1577162370</v>
      </c>
      <c r="F18368">
        <v>26</v>
      </c>
      <c r="G18368">
        <v>0</v>
      </c>
      <c r="H18368" t="s">
        <v>23205</v>
      </c>
      <c r="I18368">
        <v>20875</v>
      </c>
      <c r="J18368" t="str">
        <f>VLOOKUP(E18368,DSSpieler!A:B,2,FALSE)</f>
        <v>Schokotörtchen</v>
      </c>
    </row>
    <row r="18369" spans="1:10" x14ac:dyDescent="0.25">
      <c r="A18369">
        <v>20876</v>
      </c>
      <c r="B18369" t="s">
        <v>4556</v>
      </c>
      <c r="C18369">
        <v>534</v>
      </c>
      <c r="D18369">
        <v>386</v>
      </c>
      <c r="E18369">
        <v>1577193479</v>
      </c>
      <c r="F18369">
        <v>187</v>
      </c>
      <c r="G18369">
        <v>0</v>
      </c>
      <c r="H18369" t="s">
        <v>23206</v>
      </c>
      <c r="I18369">
        <v>20876</v>
      </c>
      <c r="J18369" t="str">
        <f>VLOOKUP(E18369,DSSpieler!A:B,2,FALSE)</f>
        <v>DjPremier</v>
      </c>
    </row>
    <row r="18370" spans="1:10" x14ac:dyDescent="0.25">
      <c r="A18370">
        <v>20877</v>
      </c>
      <c r="B18370" t="s">
        <v>35778</v>
      </c>
      <c r="C18370">
        <v>370</v>
      </c>
      <c r="D18370">
        <v>535</v>
      </c>
      <c r="E18370">
        <v>1577205641</v>
      </c>
      <c r="F18370">
        <v>176</v>
      </c>
      <c r="G18370">
        <v>0</v>
      </c>
      <c r="H18370" t="s">
        <v>23207</v>
      </c>
      <c r="I18370">
        <v>20877</v>
      </c>
      <c r="J18370" t="str">
        <f>VLOOKUP(E18370,DSSpieler!A:B,2,FALSE)</f>
        <v>NicNäc</v>
      </c>
    </row>
    <row r="18371" spans="1:10" x14ac:dyDescent="0.25">
      <c r="A18371">
        <v>20878</v>
      </c>
      <c r="B18371" t="s">
        <v>4557</v>
      </c>
      <c r="C18371">
        <v>365</v>
      </c>
      <c r="D18371">
        <v>498</v>
      </c>
      <c r="E18371">
        <v>1576860367</v>
      </c>
      <c r="F18371">
        <v>94</v>
      </c>
      <c r="G18371">
        <v>0</v>
      </c>
      <c r="H18371" t="s">
        <v>23208</v>
      </c>
      <c r="I18371">
        <v>20878</v>
      </c>
      <c r="J18371" t="str">
        <f>VLOOKUP(E18371,DSSpieler!A:B,2,FALSE)</f>
        <v>NaNoXiD</v>
      </c>
    </row>
    <row r="18372" spans="1:10" x14ac:dyDescent="0.25">
      <c r="A18372">
        <v>20879</v>
      </c>
      <c r="B18372" t="s">
        <v>4558</v>
      </c>
      <c r="C18372">
        <v>366</v>
      </c>
      <c r="D18372">
        <v>474</v>
      </c>
      <c r="E18372">
        <v>1577206621</v>
      </c>
      <c r="F18372">
        <v>254</v>
      </c>
      <c r="G18372">
        <v>0</v>
      </c>
      <c r="H18372" t="s">
        <v>23209</v>
      </c>
      <c r="I18372">
        <v>20879</v>
      </c>
      <c r="J18372" t="str">
        <f>VLOOKUP(E18372,DSSpieler!A:B,2,FALSE)</f>
        <v>Varkaz</v>
      </c>
    </row>
    <row r="18373" spans="1:10" x14ac:dyDescent="0.25">
      <c r="A18373">
        <v>20880</v>
      </c>
      <c r="B18373" t="s">
        <v>4559</v>
      </c>
      <c r="C18373">
        <v>374</v>
      </c>
      <c r="D18373">
        <v>552</v>
      </c>
      <c r="E18373">
        <v>9331700</v>
      </c>
      <c r="F18373">
        <v>169</v>
      </c>
      <c r="G18373">
        <v>0</v>
      </c>
      <c r="H18373" t="s">
        <v>23210</v>
      </c>
      <c r="I18373">
        <v>20880</v>
      </c>
      <c r="J18373" t="str">
        <f>VLOOKUP(E18373,DSSpieler!A:B,2,FALSE)</f>
        <v>julileo</v>
      </c>
    </row>
    <row r="18374" spans="1:10" x14ac:dyDescent="0.25">
      <c r="A18374">
        <v>20881</v>
      </c>
      <c r="B18374" t="s">
        <v>4560</v>
      </c>
      <c r="C18374">
        <v>411</v>
      </c>
      <c r="D18374">
        <v>401</v>
      </c>
      <c r="E18374">
        <v>1577198359</v>
      </c>
      <c r="F18374">
        <v>180</v>
      </c>
      <c r="G18374">
        <v>0</v>
      </c>
      <c r="H18374" t="s">
        <v>23211</v>
      </c>
      <c r="I18374">
        <v>20881</v>
      </c>
      <c r="J18374" t="str">
        <f>VLOOKUP(E18374,DSSpieler!A:B,2,FALSE)</f>
        <v>FREDAYS</v>
      </c>
    </row>
    <row r="18375" spans="1:10" x14ac:dyDescent="0.25">
      <c r="A18375">
        <v>20882</v>
      </c>
      <c r="B18375" t="s">
        <v>4561</v>
      </c>
      <c r="C18375">
        <v>368</v>
      </c>
      <c r="D18375">
        <v>483</v>
      </c>
      <c r="E18375">
        <v>1107559</v>
      </c>
      <c r="F18375">
        <v>26</v>
      </c>
      <c r="G18375">
        <v>0</v>
      </c>
      <c r="H18375" t="s">
        <v>23212</v>
      </c>
      <c r="I18375">
        <v>20882</v>
      </c>
      <c r="J18375" t="str">
        <f>VLOOKUP(E18375,DSSpieler!A:B,2,FALSE)</f>
        <v>Chemar</v>
      </c>
    </row>
    <row r="18376" spans="1:10" x14ac:dyDescent="0.25">
      <c r="A18376">
        <v>20883</v>
      </c>
      <c r="B18376" t="s">
        <v>4562</v>
      </c>
      <c r="C18376">
        <v>637</v>
      </c>
      <c r="D18376">
        <v>488</v>
      </c>
      <c r="E18376">
        <v>1577001199</v>
      </c>
      <c r="F18376">
        <v>182</v>
      </c>
      <c r="G18376">
        <v>0</v>
      </c>
      <c r="H18376" t="s">
        <v>23213</v>
      </c>
      <c r="I18376">
        <v>20883</v>
      </c>
      <c r="J18376" t="str">
        <f>VLOOKUP(E18376,DSSpieler!A:B,2,FALSE)</f>
        <v>Lavira</v>
      </c>
    </row>
    <row r="18377" spans="1:10" x14ac:dyDescent="0.25">
      <c r="A18377">
        <v>20884</v>
      </c>
      <c r="B18377" t="s">
        <v>4563</v>
      </c>
      <c r="C18377">
        <v>494</v>
      </c>
      <c r="D18377">
        <v>639</v>
      </c>
      <c r="E18377">
        <v>1575874886</v>
      </c>
      <c r="F18377">
        <v>26</v>
      </c>
      <c r="G18377">
        <v>0</v>
      </c>
      <c r="H18377" t="s">
        <v>23214</v>
      </c>
      <c r="I18377">
        <v>20884</v>
      </c>
      <c r="J18377" t="str">
        <f>VLOOKUP(E18377,DSSpieler!A:B,2,FALSE)</f>
        <v>Fouracess</v>
      </c>
    </row>
    <row r="18378" spans="1:10" x14ac:dyDescent="0.25">
      <c r="A18378">
        <v>20885</v>
      </c>
      <c r="B18378" t="s">
        <v>4564</v>
      </c>
      <c r="C18378">
        <v>504</v>
      </c>
      <c r="D18378">
        <v>383</v>
      </c>
      <c r="E18378">
        <v>8921774</v>
      </c>
      <c r="F18378">
        <v>275</v>
      </c>
      <c r="G18378">
        <v>0</v>
      </c>
      <c r="H18378" t="s">
        <v>23215</v>
      </c>
      <c r="I18378">
        <v>20885</v>
      </c>
      <c r="J18378" t="str">
        <f>VLOOKUP(E18378,DSSpieler!A:B,2,FALSE)</f>
        <v>enchantra</v>
      </c>
    </row>
    <row r="18379" spans="1:10" x14ac:dyDescent="0.25">
      <c r="A18379">
        <v>20886</v>
      </c>
      <c r="B18379" t="s">
        <v>35779</v>
      </c>
      <c r="C18379">
        <v>441</v>
      </c>
      <c r="D18379">
        <v>378</v>
      </c>
      <c r="E18379">
        <v>1575955890</v>
      </c>
      <c r="F18379">
        <v>77</v>
      </c>
      <c r="G18379">
        <v>0</v>
      </c>
      <c r="H18379" t="s">
        <v>23216</v>
      </c>
      <c r="I18379">
        <v>20886</v>
      </c>
      <c r="J18379" t="str">
        <f>VLOOKUP(E18379,DSSpieler!A:B,2,FALSE)</f>
        <v>.arroganz?</v>
      </c>
    </row>
    <row r="18380" spans="1:10" x14ac:dyDescent="0.25">
      <c r="A18380">
        <v>20887</v>
      </c>
      <c r="B18380" t="s">
        <v>4565</v>
      </c>
      <c r="C18380">
        <v>505</v>
      </c>
      <c r="D18380">
        <v>634</v>
      </c>
      <c r="E18380">
        <v>1577181293</v>
      </c>
      <c r="F18380">
        <v>314</v>
      </c>
      <c r="G18380">
        <v>0</v>
      </c>
      <c r="H18380" t="s">
        <v>23217</v>
      </c>
      <c r="I18380">
        <v>20887</v>
      </c>
      <c r="J18380" t="str">
        <f>VLOOKUP(E18380,DSSpieler!A:B,2,FALSE)</f>
        <v>Valley</v>
      </c>
    </row>
    <row r="18381" spans="1:10" x14ac:dyDescent="0.25">
      <c r="A18381">
        <v>20888</v>
      </c>
      <c r="B18381" t="s">
        <v>4566</v>
      </c>
      <c r="C18381">
        <v>366</v>
      </c>
      <c r="D18381">
        <v>514</v>
      </c>
      <c r="E18381">
        <v>1577192892</v>
      </c>
      <c r="F18381">
        <v>26</v>
      </c>
      <c r="G18381">
        <v>0</v>
      </c>
      <c r="H18381" t="s">
        <v>23218</v>
      </c>
      <c r="I18381">
        <v>20888</v>
      </c>
      <c r="J18381" t="str">
        <f>VLOOKUP(E18381,DSSpieler!A:B,2,FALSE)</f>
        <v>dergnadenlose</v>
      </c>
    </row>
    <row r="18382" spans="1:10" x14ac:dyDescent="0.25">
      <c r="A18382">
        <v>20889</v>
      </c>
      <c r="B18382" t="s">
        <v>4567</v>
      </c>
      <c r="C18382">
        <v>437</v>
      </c>
      <c r="D18382">
        <v>383</v>
      </c>
      <c r="E18382">
        <v>1576973537</v>
      </c>
      <c r="F18382">
        <v>26</v>
      </c>
      <c r="G18382">
        <v>0</v>
      </c>
      <c r="H18382" t="s">
        <v>23219</v>
      </c>
      <c r="I18382">
        <v>20889</v>
      </c>
      <c r="J18382" t="str">
        <f>VLOOKUP(E18382,DSSpieler!A:B,2,FALSE)</f>
        <v>Nightfall1</v>
      </c>
    </row>
    <row r="18383" spans="1:10" x14ac:dyDescent="0.25">
      <c r="A18383">
        <v>20890</v>
      </c>
      <c r="B18383" t="s">
        <v>4568</v>
      </c>
      <c r="C18383">
        <v>387</v>
      </c>
      <c r="D18383">
        <v>421</v>
      </c>
      <c r="E18383">
        <v>917250</v>
      </c>
      <c r="F18383">
        <v>176</v>
      </c>
      <c r="G18383">
        <v>0</v>
      </c>
      <c r="H18383" t="s">
        <v>23220</v>
      </c>
      <c r="I18383">
        <v>20890</v>
      </c>
      <c r="J18383" t="str">
        <f>VLOOKUP(E18383,DSSpieler!A:B,2,FALSE)</f>
        <v>MoB der 1.</v>
      </c>
    </row>
    <row r="18384" spans="1:10" x14ac:dyDescent="0.25">
      <c r="A18384">
        <v>20891</v>
      </c>
      <c r="B18384" t="s">
        <v>4569</v>
      </c>
      <c r="C18384">
        <v>577</v>
      </c>
      <c r="D18384">
        <v>611</v>
      </c>
      <c r="E18384">
        <v>1577170913</v>
      </c>
      <c r="F18384">
        <v>26</v>
      </c>
      <c r="G18384">
        <v>0</v>
      </c>
      <c r="H18384" t="s">
        <v>23221</v>
      </c>
      <c r="I18384">
        <v>20891</v>
      </c>
      <c r="J18384" t="str">
        <f>VLOOKUP(E18384,DSSpieler!A:B,2,FALSE)</f>
        <v>LordKingson</v>
      </c>
    </row>
    <row r="18385" spans="1:10" x14ac:dyDescent="0.25">
      <c r="A18385">
        <v>20892</v>
      </c>
      <c r="B18385" t="s">
        <v>4570</v>
      </c>
      <c r="C18385">
        <v>562</v>
      </c>
      <c r="D18385">
        <v>625</v>
      </c>
      <c r="E18385">
        <v>1577209078</v>
      </c>
      <c r="F18385">
        <v>204</v>
      </c>
      <c r="G18385">
        <v>0</v>
      </c>
      <c r="H18385" t="s">
        <v>23222</v>
      </c>
      <c r="I18385">
        <v>20892</v>
      </c>
      <c r="J18385" t="str">
        <f>VLOOKUP(E18385,DSSpieler!A:B,2,FALSE)</f>
        <v>Johnny-ohne-Cash</v>
      </c>
    </row>
    <row r="18386" spans="1:10" x14ac:dyDescent="0.25">
      <c r="A18386">
        <v>20893</v>
      </c>
      <c r="B18386" t="s">
        <v>4571</v>
      </c>
      <c r="C18386">
        <v>633</v>
      </c>
      <c r="D18386">
        <v>480</v>
      </c>
      <c r="E18386">
        <v>10175331</v>
      </c>
      <c r="F18386">
        <v>289</v>
      </c>
      <c r="G18386">
        <v>0</v>
      </c>
      <c r="H18386" t="s">
        <v>23223</v>
      </c>
      <c r="I18386">
        <v>20893</v>
      </c>
      <c r="J18386" t="str">
        <f>VLOOKUP(E18386,DSSpieler!A:B,2,FALSE)</f>
        <v>Lord nik96</v>
      </c>
    </row>
    <row r="18387" spans="1:10" x14ac:dyDescent="0.25">
      <c r="A18387">
        <v>20894</v>
      </c>
      <c r="B18387" t="s">
        <v>4572</v>
      </c>
      <c r="C18387">
        <v>576</v>
      </c>
      <c r="D18387">
        <v>616</v>
      </c>
      <c r="E18387">
        <v>1577189515</v>
      </c>
      <c r="F18387">
        <v>26</v>
      </c>
      <c r="G18387">
        <v>0</v>
      </c>
      <c r="H18387" t="s">
        <v>23224</v>
      </c>
      <c r="I18387">
        <v>20894</v>
      </c>
      <c r="J18387" t="str">
        <f>VLOOKUP(E18387,DSSpieler!A:B,2,FALSE)</f>
        <v>InuYasha</v>
      </c>
    </row>
    <row r="18388" spans="1:10" x14ac:dyDescent="0.25">
      <c r="A18388">
        <v>20895</v>
      </c>
      <c r="B18388" t="s">
        <v>35780</v>
      </c>
      <c r="C18388">
        <v>448</v>
      </c>
      <c r="D18388">
        <v>587</v>
      </c>
      <c r="E18388">
        <v>1577198617</v>
      </c>
      <c r="F18388">
        <v>26</v>
      </c>
      <c r="G18388">
        <v>0</v>
      </c>
      <c r="H18388" t="s">
        <v>23225</v>
      </c>
      <c r="I18388">
        <v>20895</v>
      </c>
      <c r="J18388" t="str">
        <f>VLOOKUP(E18388,DSSpieler!A:B,2,FALSE)</f>
        <v>Häuptling Nic</v>
      </c>
    </row>
    <row r="18389" spans="1:10" x14ac:dyDescent="0.25">
      <c r="A18389">
        <v>20896</v>
      </c>
      <c r="B18389" t="s">
        <v>4573</v>
      </c>
      <c r="C18389">
        <v>621</v>
      </c>
      <c r="D18389">
        <v>434</v>
      </c>
      <c r="E18389">
        <v>1577126719</v>
      </c>
      <c r="F18389">
        <v>26</v>
      </c>
      <c r="G18389">
        <v>0</v>
      </c>
      <c r="H18389" t="s">
        <v>23226</v>
      </c>
      <c r="I18389">
        <v>20896</v>
      </c>
      <c r="J18389" t="str">
        <f>VLOOKUP(E18389,DSSpieler!A:B,2,FALSE)</f>
        <v>Hansdampf 1312</v>
      </c>
    </row>
    <row r="18390" spans="1:10" x14ac:dyDescent="0.25">
      <c r="A18390">
        <v>20897</v>
      </c>
      <c r="B18390" t="s">
        <v>4574</v>
      </c>
      <c r="C18390">
        <v>391</v>
      </c>
      <c r="D18390">
        <v>582</v>
      </c>
      <c r="E18390">
        <v>9700075</v>
      </c>
      <c r="F18390">
        <v>291</v>
      </c>
      <c r="G18390">
        <v>0</v>
      </c>
      <c r="H18390" t="s">
        <v>23227</v>
      </c>
      <c r="I18390">
        <v>20897</v>
      </c>
      <c r="J18390" t="str">
        <f>VLOOKUP(E18390,DSSpieler!A:B,2,FALSE)</f>
        <v>chrisdergrobe</v>
      </c>
    </row>
    <row r="18391" spans="1:10" x14ac:dyDescent="0.25">
      <c r="A18391">
        <v>20898</v>
      </c>
      <c r="B18391" t="s">
        <v>35781</v>
      </c>
      <c r="C18391">
        <v>373</v>
      </c>
      <c r="D18391">
        <v>462</v>
      </c>
      <c r="E18391">
        <v>10209709</v>
      </c>
      <c r="F18391">
        <v>26</v>
      </c>
      <c r="G18391">
        <v>0</v>
      </c>
      <c r="H18391" t="s">
        <v>23228</v>
      </c>
      <c r="I18391">
        <v>20898</v>
      </c>
      <c r="J18391" t="str">
        <f>VLOOKUP(E18391,DSSpieler!A:B,2,FALSE)</f>
        <v>Spotzebär</v>
      </c>
    </row>
    <row r="18392" spans="1:10" x14ac:dyDescent="0.25">
      <c r="A18392">
        <v>20899</v>
      </c>
      <c r="B18392" t="s">
        <v>35782</v>
      </c>
      <c r="C18392">
        <v>630</v>
      </c>
      <c r="D18392">
        <v>531</v>
      </c>
      <c r="E18392">
        <v>1576929269</v>
      </c>
      <c r="F18392">
        <v>68</v>
      </c>
      <c r="G18392">
        <v>0</v>
      </c>
      <c r="H18392" t="s">
        <v>23229</v>
      </c>
      <c r="I18392">
        <v>20899</v>
      </c>
      <c r="J18392" t="str">
        <f>VLOOKUP(E18392,DSSpieler!A:B,2,FALSE)</f>
        <v>KönigderAlpen</v>
      </c>
    </row>
    <row r="18393" spans="1:10" x14ac:dyDescent="0.25">
      <c r="A18393">
        <v>20900</v>
      </c>
      <c r="B18393" t="s">
        <v>4575</v>
      </c>
      <c r="C18393">
        <v>376</v>
      </c>
      <c r="D18393">
        <v>555</v>
      </c>
      <c r="E18393">
        <v>1577203779</v>
      </c>
      <c r="F18393">
        <v>26</v>
      </c>
      <c r="G18393">
        <v>0</v>
      </c>
      <c r="H18393" t="s">
        <v>23230</v>
      </c>
      <c r="I18393">
        <v>20900</v>
      </c>
      <c r="J18393" t="str">
        <f>VLOOKUP(E18393,DSSpieler!A:B,2,FALSE)</f>
        <v>CindyKimberlyy</v>
      </c>
    </row>
    <row r="18394" spans="1:10" x14ac:dyDescent="0.25">
      <c r="A18394">
        <v>20902</v>
      </c>
      <c r="B18394" t="s">
        <v>4576</v>
      </c>
      <c r="C18394">
        <v>613</v>
      </c>
      <c r="D18394">
        <v>420</v>
      </c>
      <c r="E18394">
        <v>1576566624</v>
      </c>
      <c r="F18394">
        <v>26</v>
      </c>
      <c r="G18394">
        <v>0</v>
      </c>
      <c r="H18394" t="s">
        <v>23231</v>
      </c>
      <c r="I18394">
        <v>20902</v>
      </c>
      <c r="J18394" t="str">
        <f>VLOOKUP(E18394,DSSpieler!A:B,2,FALSE)</f>
        <v>Schabuskus</v>
      </c>
    </row>
    <row r="18395" spans="1:10" x14ac:dyDescent="0.25">
      <c r="A18395">
        <v>20903</v>
      </c>
      <c r="B18395" t="s">
        <v>4577</v>
      </c>
      <c r="C18395">
        <v>635</v>
      </c>
      <c r="D18395">
        <v>481</v>
      </c>
      <c r="E18395">
        <v>1577145271</v>
      </c>
      <c r="F18395">
        <v>302</v>
      </c>
      <c r="G18395">
        <v>0</v>
      </c>
      <c r="H18395" t="s">
        <v>23232</v>
      </c>
      <c r="I18395">
        <v>20903</v>
      </c>
      <c r="J18395" t="str">
        <f>VLOOKUP(E18395,DSSpieler!A:B,2,FALSE)</f>
        <v>fclukki</v>
      </c>
    </row>
    <row r="18396" spans="1:10" x14ac:dyDescent="0.25">
      <c r="A18396">
        <v>20904</v>
      </c>
      <c r="B18396" t="s">
        <v>4578</v>
      </c>
      <c r="C18396">
        <v>493</v>
      </c>
      <c r="D18396">
        <v>362</v>
      </c>
      <c r="E18396">
        <v>1577199722</v>
      </c>
      <c r="F18396">
        <v>70</v>
      </c>
      <c r="G18396">
        <v>0</v>
      </c>
      <c r="H18396" t="s">
        <v>23233</v>
      </c>
      <c r="I18396">
        <v>20904</v>
      </c>
      <c r="J18396" t="str">
        <f>VLOOKUP(E18396,DSSpieler!A:B,2,FALSE)</f>
        <v>Sharp</v>
      </c>
    </row>
    <row r="18397" spans="1:10" x14ac:dyDescent="0.25">
      <c r="A18397">
        <v>20905</v>
      </c>
      <c r="B18397" t="s">
        <v>531</v>
      </c>
      <c r="C18397">
        <v>493</v>
      </c>
      <c r="D18397">
        <v>365</v>
      </c>
      <c r="E18397">
        <v>0</v>
      </c>
      <c r="F18397">
        <v>29</v>
      </c>
      <c r="G18397">
        <v>0</v>
      </c>
      <c r="H18397" t="s">
        <v>23234</v>
      </c>
      <c r="I18397">
        <v>20905</v>
      </c>
      <c r="J18397" t="e">
        <f>VLOOKUP(E18397,DSSpieler!A:B,2,FALSE)</f>
        <v>#N/A</v>
      </c>
    </row>
    <row r="18398" spans="1:10" x14ac:dyDescent="0.25">
      <c r="A18398">
        <v>20906</v>
      </c>
      <c r="B18398" t="s">
        <v>4579</v>
      </c>
      <c r="C18398">
        <v>446</v>
      </c>
      <c r="D18398">
        <v>556</v>
      </c>
      <c r="E18398">
        <v>1576628556</v>
      </c>
      <c r="F18398">
        <v>26</v>
      </c>
      <c r="G18398">
        <v>0</v>
      </c>
      <c r="H18398" t="s">
        <v>23235</v>
      </c>
      <c r="I18398">
        <v>20906</v>
      </c>
      <c r="J18398" t="str">
        <f>VLOOKUP(E18398,DSSpieler!A:B,2,FALSE)</f>
        <v>DiU95</v>
      </c>
    </row>
    <row r="18399" spans="1:10" x14ac:dyDescent="0.25">
      <c r="A18399">
        <v>20907</v>
      </c>
      <c r="B18399" t="s">
        <v>4580</v>
      </c>
      <c r="C18399">
        <v>592</v>
      </c>
      <c r="D18399">
        <v>602</v>
      </c>
      <c r="E18399">
        <v>1577106077</v>
      </c>
      <c r="F18399">
        <v>249</v>
      </c>
      <c r="G18399">
        <v>0</v>
      </c>
      <c r="H18399" t="s">
        <v>23236</v>
      </c>
      <c r="I18399">
        <v>20907</v>
      </c>
      <c r="J18399" t="str">
        <f>VLOOKUP(E18399,DSSpieler!A:B,2,FALSE)</f>
        <v>der Falke</v>
      </c>
    </row>
    <row r="18400" spans="1:10" x14ac:dyDescent="0.25">
      <c r="A18400">
        <v>20908</v>
      </c>
      <c r="B18400" t="s">
        <v>4581</v>
      </c>
      <c r="C18400">
        <v>534</v>
      </c>
      <c r="D18400">
        <v>370</v>
      </c>
      <c r="E18400">
        <v>8870777</v>
      </c>
      <c r="F18400">
        <v>318</v>
      </c>
      <c r="G18400">
        <v>0</v>
      </c>
      <c r="H18400" t="s">
        <v>23237</v>
      </c>
      <c r="I18400">
        <v>20908</v>
      </c>
      <c r="J18400" t="str">
        <f>VLOOKUP(E18400,DSSpieler!A:B,2,FALSE)</f>
        <v>Master DE</v>
      </c>
    </row>
    <row r="18401" spans="1:10" x14ac:dyDescent="0.25">
      <c r="A18401">
        <v>20909</v>
      </c>
      <c r="B18401" t="e">
        <f>-Morti-secret+Dorf</f>
        <v>#NAME?</v>
      </c>
      <c r="C18401">
        <v>506</v>
      </c>
      <c r="D18401">
        <v>565</v>
      </c>
      <c r="E18401">
        <v>1577197514</v>
      </c>
      <c r="F18401">
        <v>26</v>
      </c>
      <c r="G18401">
        <v>0</v>
      </c>
      <c r="H18401" t="s">
        <v>23238</v>
      </c>
      <c r="I18401">
        <v>20909</v>
      </c>
      <c r="J18401" t="str">
        <f>VLOOKUP(E18401,DSSpieler!A:B,2,FALSE)</f>
        <v>-Morti-</v>
      </c>
    </row>
    <row r="18402" spans="1:10" x14ac:dyDescent="0.25">
      <c r="A18402">
        <v>20910</v>
      </c>
      <c r="B18402" t="s">
        <v>4582</v>
      </c>
      <c r="C18402">
        <v>533</v>
      </c>
      <c r="D18402">
        <v>629</v>
      </c>
      <c r="E18402">
        <v>1853829</v>
      </c>
      <c r="F18402">
        <v>26</v>
      </c>
      <c r="G18402">
        <v>0</v>
      </c>
      <c r="H18402" t="s">
        <v>23239</v>
      </c>
      <c r="I18402">
        <v>20910</v>
      </c>
      <c r="J18402" t="str">
        <f>VLOOKUP(E18402,DSSpieler!A:B,2,FALSE)</f>
        <v>jonny1053</v>
      </c>
    </row>
    <row r="18403" spans="1:10" x14ac:dyDescent="0.25">
      <c r="A18403">
        <v>20912</v>
      </c>
      <c r="B18403" t="s">
        <v>4583</v>
      </c>
      <c r="C18403">
        <v>433</v>
      </c>
      <c r="D18403">
        <v>384</v>
      </c>
      <c r="E18403">
        <v>1576464486</v>
      </c>
      <c r="F18403">
        <v>293</v>
      </c>
      <c r="G18403">
        <v>0</v>
      </c>
      <c r="H18403" t="s">
        <v>23240</v>
      </c>
      <c r="I18403">
        <v>20912</v>
      </c>
      <c r="J18403" t="str">
        <f>VLOOKUP(E18403,DSSpieler!A:B,2,FALSE)</f>
        <v>Warriors 1</v>
      </c>
    </row>
    <row r="18404" spans="1:10" x14ac:dyDescent="0.25">
      <c r="A18404">
        <v>20913</v>
      </c>
      <c r="B18404" t="s">
        <v>1799</v>
      </c>
      <c r="C18404">
        <v>614</v>
      </c>
      <c r="D18404">
        <v>430</v>
      </c>
      <c r="E18404">
        <v>1577191243</v>
      </c>
      <c r="F18404">
        <v>259</v>
      </c>
      <c r="G18404">
        <v>0</v>
      </c>
      <c r="H18404" t="s">
        <v>23241</v>
      </c>
      <c r="I18404">
        <v>20913</v>
      </c>
      <c r="J18404" t="str">
        <f>VLOOKUP(E18404,DSSpieler!A:B,2,FALSE)</f>
        <v>Herr Fuchs</v>
      </c>
    </row>
    <row r="18405" spans="1:10" x14ac:dyDescent="0.25">
      <c r="A18405">
        <v>20914</v>
      </c>
      <c r="B18405" t="s">
        <v>4584</v>
      </c>
      <c r="C18405">
        <v>362</v>
      </c>
      <c r="D18405">
        <v>485</v>
      </c>
      <c r="E18405">
        <v>1576094429</v>
      </c>
      <c r="F18405">
        <v>32</v>
      </c>
      <c r="G18405">
        <v>0</v>
      </c>
      <c r="H18405" t="s">
        <v>23242</v>
      </c>
      <c r="I18405">
        <v>20914</v>
      </c>
      <c r="J18405" t="str">
        <f>VLOOKUP(E18405,DSSpieler!A:B,2,FALSE)</f>
        <v>Crystala</v>
      </c>
    </row>
    <row r="18406" spans="1:10" x14ac:dyDescent="0.25">
      <c r="A18406">
        <v>20915</v>
      </c>
      <c r="B18406" t="s">
        <v>4585</v>
      </c>
      <c r="C18406">
        <v>631</v>
      </c>
      <c r="D18406">
        <v>458</v>
      </c>
      <c r="E18406">
        <v>1577209095</v>
      </c>
      <c r="F18406">
        <v>381</v>
      </c>
      <c r="G18406">
        <v>0</v>
      </c>
      <c r="H18406" t="s">
        <v>23243</v>
      </c>
      <c r="I18406">
        <v>20915</v>
      </c>
      <c r="J18406" t="str">
        <f>VLOOKUP(E18406,DSSpieler!A:B,2,FALSE)</f>
        <v>supplie</v>
      </c>
    </row>
    <row r="18407" spans="1:10" x14ac:dyDescent="0.25">
      <c r="A18407">
        <v>20916</v>
      </c>
      <c r="B18407" t="s">
        <v>4586</v>
      </c>
      <c r="C18407">
        <v>510</v>
      </c>
      <c r="D18407">
        <v>630</v>
      </c>
      <c r="E18407">
        <v>1577209100</v>
      </c>
      <c r="F18407">
        <v>307</v>
      </c>
      <c r="G18407">
        <v>0</v>
      </c>
      <c r="H18407" t="s">
        <v>23244</v>
      </c>
      <c r="I18407">
        <v>20916</v>
      </c>
      <c r="J18407" t="str">
        <f>VLOOKUP(E18407,DSSpieler!A:B,2,FALSE)</f>
        <v>XBjörnEisenseiteX</v>
      </c>
    </row>
    <row r="18408" spans="1:10" x14ac:dyDescent="0.25">
      <c r="A18408">
        <v>20917</v>
      </c>
      <c r="B18408" t="s">
        <v>4587</v>
      </c>
      <c r="C18408">
        <v>481</v>
      </c>
      <c r="D18408">
        <v>368</v>
      </c>
      <c r="E18408">
        <v>1576930311</v>
      </c>
      <c r="F18408">
        <v>26</v>
      </c>
      <c r="G18408">
        <v>0</v>
      </c>
      <c r="H18408" t="s">
        <v>23245</v>
      </c>
      <c r="I18408">
        <v>20917</v>
      </c>
      <c r="J18408" t="str">
        <f>VLOOKUP(E18408,DSSpieler!A:B,2,FALSE)</f>
        <v>employ</v>
      </c>
    </row>
    <row r="18409" spans="1:10" x14ac:dyDescent="0.25">
      <c r="A18409">
        <v>20918</v>
      </c>
      <c r="B18409" t="s">
        <v>4588</v>
      </c>
      <c r="C18409">
        <v>505</v>
      </c>
      <c r="D18409">
        <v>383</v>
      </c>
      <c r="E18409">
        <v>1577178751</v>
      </c>
      <c r="F18409">
        <v>85</v>
      </c>
      <c r="G18409">
        <v>0</v>
      </c>
      <c r="H18409" t="s">
        <v>23246</v>
      </c>
      <c r="I18409">
        <v>20918</v>
      </c>
      <c r="J18409" t="str">
        <f>VLOOKUP(E18409,DSSpieler!A:B,2,FALSE)</f>
        <v>IngridP85</v>
      </c>
    </row>
    <row r="18410" spans="1:10" x14ac:dyDescent="0.25">
      <c r="A18410">
        <v>20919</v>
      </c>
      <c r="B18410" t="s">
        <v>531</v>
      </c>
      <c r="C18410">
        <v>470</v>
      </c>
      <c r="D18410">
        <v>633</v>
      </c>
      <c r="E18410">
        <v>0</v>
      </c>
      <c r="F18410">
        <v>42</v>
      </c>
      <c r="G18410">
        <v>0</v>
      </c>
      <c r="H18410" t="s">
        <v>23247</v>
      </c>
      <c r="I18410">
        <v>20919</v>
      </c>
      <c r="J18410" t="e">
        <f>VLOOKUP(E18410,DSSpieler!A:B,2,FALSE)</f>
        <v>#N/A</v>
      </c>
    </row>
    <row r="18411" spans="1:10" x14ac:dyDescent="0.25">
      <c r="A18411">
        <v>20920</v>
      </c>
      <c r="B18411" t="s">
        <v>4589</v>
      </c>
      <c r="C18411">
        <v>625</v>
      </c>
      <c r="D18411">
        <v>449</v>
      </c>
      <c r="E18411">
        <v>1577175804</v>
      </c>
      <c r="F18411">
        <v>32</v>
      </c>
      <c r="G18411">
        <v>0</v>
      </c>
      <c r="H18411" t="s">
        <v>23248</v>
      </c>
      <c r="I18411">
        <v>20920</v>
      </c>
      <c r="J18411" t="str">
        <f>VLOOKUP(E18411,DSSpieler!A:B,2,FALSE)</f>
        <v>Schokirella</v>
      </c>
    </row>
    <row r="18412" spans="1:10" x14ac:dyDescent="0.25">
      <c r="A18412">
        <v>20921</v>
      </c>
      <c r="B18412" t="s">
        <v>531</v>
      </c>
      <c r="C18412">
        <v>632</v>
      </c>
      <c r="D18412">
        <v>463</v>
      </c>
      <c r="E18412">
        <v>0</v>
      </c>
      <c r="F18412">
        <v>45</v>
      </c>
      <c r="G18412">
        <v>0</v>
      </c>
      <c r="H18412" t="s">
        <v>23249</v>
      </c>
      <c r="I18412">
        <v>20921</v>
      </c>
      <c r="J18412" t="e">
        <f>VLOOKUP(E18412,DSSpieler!A:B,2,FALSE)</f>
        <v>#N/A</v>
      </c>
    </row>
    <row r="18413" spans="1:10" x14ac:dyDescent="0.25">
      <c r="A18413">
        <v>20922</v>
      </c>
      <c r="B18413" t="s">
        <v>4590</v>
      </c>
      <c r="C18413">
        <v>637</v>
      </c>
      <c r="D18413">
        <v>497</v>
      </c>
      <c r="E18413">
        <v>1577107183</v>
      </c>
      <c r="F18413">
        <v>26</v>
      </c>
      <c r="G18413">
        <v>0</v>
      </c>
      <c r="H18413" t="s">
        <v>23250</v>
      </c>
      <c r="I18413">
        <v>20922</v>
      </c>
      <c r="J18413" t="str">
        <f>VLOOKUP(E18413,DSSpieler!A:B,2,FALSE)</f>
        <v>FlashBang</v>
      </c>
    </row>
    <row r="18414" spans="1:10" x14ac:dyDescent="0.25">
      <c r="A18414">
        <v>20923</v>
      </c>
      <c r="B18414">
        <v>1</v>
      </c>
      <c r="C18414">
        <v>566</v>
      </c>
      <c r="D18414">
        <v>617</v>
      </c>
      <c r="E18414">
        <v>887801</v>
      </c>
      <c r="F18414">
        <v>264</v>
      </c>
      <c r="G18414">
        <v>0</v>
      </c>
      <c r="H18414" t="s">
        <v>23251</v>
      </c>
      <c r="I18414">
        <v>20923</v>
      </c>
      <c r="J18414" t="str">
        <f>VLOOKUP(E18414,DSSpieler!A:B,2,FALSE)</f>
        <v>Kero22((ger)</v>
      </c>
    </row>
    <row r="18415" spans="1:10" x14ac:dyDescent="0.25">
      <c r="A18415">
        <v>20924</v>
      </c>
      <c r="B18415" t="s">
        <v>4591</v>
      </c>
      <c r="C18415">
        <v>585</v>
      </c>
      <c r="D18415">
        <v>526</v>
      </c>
      <c r="E18415">
        <v>792110</v>
      </c>
      <c r="F18415">
        <v>76</v>
      </c>
      <c r="G18415">
        <v>0</v>
      </c>
      <c r="H18415" t="s">
        <v>23252</v>
      </c>
      <c r="I18415">
        <v>20924</v>
      </c>
      <c r="J18415" t="str">
        <f>VLOOKUP(E18415,DSSpieler!A:B,2,FALSE)</f>
        <v>Selandriel</v>
      </c>
    </row>
    <row r="18416" spans="1:10" x14ac:dyDescent="0.25">
      <c r="A18416">
        <v>20925</v>
      </c>
      <c r="B18416" t="s">
        <v>4592</v>
      </c>
      <c r="C18416">
        <v>607</v>
      </c>
      <c r="D18416">
        <v>589</v>
      </c>
      <c r="E18416">
        <v>1577209112</v>
      </c>
      <c r="F18416">
        <v>296</v>
      </c>
      <c r="G18416">
        <v>0</v>
      </c>
      <c r="H18416" t="s">
        <v>23253</v>
      </c>
      <c r="I18416">
        <v>20925</v>
      </c>
      <c r="J18416" t="str">
        <f>VLOOKUP(E18416,DSSpieler!A:B,2,FALSE)</f>
        <v>Eszett</v>
      </c>
    </row>
    <row r="18417" spans="1:10" x14ac:dyDescent="0.25">
      <c r="A18417">
        <v>20926</v>
      </c>
      <c r="B18417" t="s">
        <v>4593</v>
      </c>
      <c r="C18417">
        <v>547</v>
      </c>
      <c r="D18417">
        <v>372</v>
      </c>
      <c r="E18417">
        <v>600739</v>
      </c>
      <c r="F18417">
        <v>322</v>
      </c>
      <c r="G18417">
        <v>0</v>
      </c>
      <c r="H18417" t="s">
        <v>23254</v>
      </c>
      <c r="I18417">
        <v>20926</v>
      </c>
      <c r="J18417" t="str">
        <f>VLOOKUP(E18417,DSSpieler!A:B,2,FALSE)</f>
        <v>Zagreus</v>
      </c>
    </row>
    <row r="18418" spans="1:10" x14ac:dyDescent="0.25">
      <c r="A18418">
        <v>20927</v>
      </c>
      <c r="B18418" t="s">
        <v>35783</v>
      </c>
      <c r="C18418">
        <v>619</v>
      </c>
      <c r="D18418">
        <v>541</v>
      </c>
      <c r="E18418">
        <v>1577198274</v>
      </c>
      <c r="F18418">
        <v>282</v>
      </c>
      <c r="G18418">
        <v>0</v>
      </c>
      <c r="H18418" t="s">
        <v>23255</v>
      </c>
      <c r="I18418">
        <v>20927</v>
      </c>
      <c r="J18418" t="str">
        <f>VLOOKUP(E18418,DSSpieler!A:B,2,FALSE)</f>
        <v>Le Samra</v>
      </c>
    </row>
    <row r="18419" spans="1:10" x14ac:dyDescent="0.25">
      <c r="A18419">
        <v>20928</v>
      </c>
      <c r="B18419" t="s">
        <v>4594</v>
      </c>
      <c r="C18419">
        <v>508</v>
      </c>
      <c r="D18419">
        <v>364</v>
      </c>
      <c r="E18419">
        <v>1576528969</v>
      </c>
      <c r="F18419">
        <v>206</v>
      </c>
      <c r="G18419">
        <v>0</v>
      </c>
      <c r="H18419" t="s">
        <v>23256</v>
      </c>
      <c r="I18419">
        <v>20928</v>
      </c>
      <c r="J18419" t="str">
        <f>VLOOKUP(E18419,DSSpieler!A:B,2,FALSE)</f>
        <v>kleiner schlumpf</v>
      </c>
    </row>
    <row r="18420" spans="1:10" x14ac:dyDescent="0.25">
      <c r="A18420">
        <v>20929</v>
      </c>
      <c r="B18420" t="s">
        <v>4595</v>
      </c>
      <c r="C18420">
        <v>454</v>
      </c>
      <c r="D18420">
        <v>483</v>
      </c>
      <c r="E18420">
        <v>1577190027</v>
      </c>
      <c r="F18420">
        <v>26</v>
      </c>
      <c r="G18420">
        <v>0</v>
      </c>
      <c r="H18420" t="s">
        <v>23257</v>
      </c>
      <c r="I18420">
        <v>20929</v>
      </c>
      <c r="J18420" t="str">
        <f>VLOOKUP(E18420,DSSpieler!A:B,2,FALSE)</f>
        <v>prototyp3</v>
      </c>
    </row>
    <row r="18421" spans="1:10" x14ac:dyDescent="0.25">
      <c r="A18421">
        <v>20930</v>
      </c>
      <c r="B18421" t="s">
        <v>531</v>
      </c>
      <c r="C18421">
        <v>573</v>
      </c>
      <c r="D18421">
        <v>385</v>
      </c>
      <c r="E18421">
        <v>0</v>
      </c>
      <c r="F18421">
        <v>35</v>
      </c>
      <c r="G18421">
        <v>0</v>
      </c>
      <c r="H18421" t="s">
        <v>23258</v>
      </c>
      <c r="I18421">
        <v>20930</v>
      </c>
      <c r="J18421" t="e">
        <f>VLOOKUP(E18421,DSSpieler!A:B,2,FALSE)</f>
        <v>#N/A</v>
      </c>
    </row>
    <row r="18422" spans="1:10" x14ac:dyDescent="0.25">
      <c r="A18422">
        <v>20931</v>
      </c>
      <c r="B18422" t="s">
        <v>4596</v>
      </c>
      <c r="C18422">
        <v>605</v>
      </c>
      <c r="D18422">
        <v>414</v>
      </c>
      <c r="E18422">
        <v>1576723528</v>
      </c>
      <c r="F18422">
        <v>309</v>
      </c>
      <c r="G18422">
        <v>0</v>
      </c>
      <c r="H18422" t="s">
        <v>23259</v>
      </c>
      <c r="I18422">
        <v>20931</v>
      </c>
      <c r="J18422" t="str">
        <f>VLOOKUP(E18422,DSSpieler!A:B,2,FALSE)</f>
        <v>Belford</v>
      </c>
    </row>
    <row r="18423" spans="1:10" x14ac:dyDescent="0.25">
      <c r="A18423">
        <v>20932</v>
      </c>
      <c r="B18423" t="s">
        <v>593</v>
      </c>
      <c r="C18423">
        <v>408</v>
      </c>
      <c r="D18423">
        <v>597</v>
      </c>
      <c r="E18423">
        <v>215998</v>
      </c>
      <c r="F18423">
        <v>213</v>
      </c>
      <c r="G18423">
        <v>0</v>
      </c>
      <c r="H18423" t="s">
        <v>23260</v>
      </c>
      <c r="I18423">
        <v>20932</v>
      </c>
      <c r="J18423" t="str">
        <f>VLOOKUP(E18423,DSSpieler!A:B,2,FALSE)</f>
        <v>Feuerhand</v>
      </c>
    </row>
    <row r="18424" spans="1:10" x14ac:dyDescent="0.25">
      <c r="A18424">
        <v>20933</v>
      </c>
      <c r="B18424" t="s">
        <v>4597</v>
      </c>
      <c r="C18424">
        <v>542</v>
      </c>
      <c r="D18424">
        <v>372</v>
      </c>
      <c r="E18424">
        <v>1577208663</v>
      </c>
      <c r="F18424">
        <v>26</v>
      </c>
      <c r="G18424">
        <v>0</v>
      </c>
      <c r="H18424" t="s">
        <v>23261</v>
      </c>
      <c r="I18424">
        <v>20933</v>
      </c>
      <c r="J18424" t="str">
        <f>VLOOKUP(E18424,DSSpieler!A:B,2,FALSE)</f>
        <v>deathhimself</v>
      </c>
    </row>
    <row r="18425" spans="1:10" x14ac:dyDescent="0.25">
      <c r="A18425">
        <v>20934</v>
      </c>
      <c r="B18425" t="s">
        <v>4598</v>
      </c>
      <c r="C18425">
        <v>535</v>
      </c>
      <c r="D18425">
        <v>501</v>
      </c>
      <c r="E18425">
        <v>10026721</v>
      </c>
      <c r="F18425">
        <v>230</v>
      </c>
      <c r="G18425">
        <v>0</v>
      </c>
      <c r="H18425" t="s">
        <v>23262</v>
      </c>
      <c r="I18425">
        <v>20934</v>
      </c>
      <c r="J18425" t="str">
        <f>VLOOKUP(E18425,DSSpieler!A:B,2,FALSE)</f>
        <v>rgking</v>
      </c>
    </row>
    <row r="18426" spans="1:10" x14ac:dyDescent="0.25">
      <c r="A18426">
        <v>20935</v>
      </c>
      <c r="B18426" t="s">
        <v>35784</v>
      </c>
      <c r="C18426">
        <v>596</v>
      </c>
      <c r="D18426">
        <v>478</v>
      </c>
      <c r="E18426">
        <v>714562</v>
      </c>
      <c r="F18426">
        <v>26</v>
      </c>
      <c r="G18426">
        <v>0</v>
      </c>
      <c r="H18426" t="s">
        <v>23263</v>
      </c>
      <c r="I18426">
        <v>20935</v>
      </c>
      <c r="J18426" t="str">
        <f>VLOOKUP(E18426,DSSpieler!A:B,2,FALSE)</f>
        <v>-Andy*</v>
      </c>
    </row>
    <row r="18427" spans="1:10" x14ac:dyDescent="0.25">
      <c r="A18427">
        <v>20936</v>
      </c>
      <c r="B18427" t="s">
        <v>4599</v>
      </c>
      <c r="C18427">
        <v>439</v>
      </c>
      <c r="D18427">
        <v>379</v>
      </c>
      <c r="E18427">
        <v>3231970</v>
      </c>
      <c r="F18427">
        <v>32</v>
      </c>
      <c r="G18427">
        <v>0</v>
      </c>
      <c r="H18427" t="s">
        <v>23264</v>
      </c>
      <c r="I18427">
        <v>20936</v>
      </c>
      <c r="J18427" t="str">
        <f>VLOOKUP(E18427,DSSpieler!A:B,2,FALSE)</f>
        <v>Loug</v>
      </c>
    </row>
    <row r="18428" spans="1:10" x14ac:dyDescent="0.25">
      <c r="A18428">
        <v>20937</v>
      </c>
      <c r="B18428" t="s">
        <v>4600</v>
      </c>
      <c r="C18428">
        <v>492</v>
      </c>
      <c r="D18428">
        <v>638</v>
      </c>
      <c r="E18428">
        <v>1577130232</v>
      </c>
      <c r="F18428">
        <v>46</v>
      </c>
      <c r="G18428">
        <v>0</v>
      </c>
      <c r="H18428" t="s">
        <v>23265</v>
      </c>
      <c r="I18428">
        <v>20937</v>
      </c>
      <c r="J18428" t="str">
        <f>VLOOKUP(E18428,DSSpieler!A:B,2,FALSE)</f>
        <v>Hopfensack</v>
      </c>
    </row>
    <row r="18429" spans="1:10" x14ac:dyDescent="0.25">
      <c r="A18429">
        <v>20938</v>
      </c>
      <c r="B18429" t="s">
        <v>4601</v>
      </c>
      <c r="C18429">
        <v>445</v>
      </c>
      <c r="D18429">
        <v>628</v>
      </c>
      <c r="E18429">
        <v>1567606</v>
      </c>
      <c r="F18429">
        <v>51</v>
      </c>
      <c r="G18429">
        <v>0</v>
      </c>
      <c r="H18429" t="s">
        <v>23266</v>
      </c>
      <c r="I18429">
        <v>20938</v>
      </c>
      <c r="J18429" t="str">
        <f>VLOOKUP(E18429,DSSpieler!A:B,2,FALSE)</f>
        <v>Wolfwood-42</v>
      </c>
    </row>
    <row r="18430" spans="1:10" x14ac:dyDescent="0.25">
      <c r="A18430">
        <v>20939</v>
      </c>
      <c r="B18430" t="s">
        <v>35785</v>
      </c>
      <c r="C18430">
        <v>562</v>
      </c>
      <c r="D18430">
        <v>378</v>
      </c>
      <c r="E18430">
        <v>9551256</v>
      </c>
      <c r="F18430">
        <v>222</v>
      </c>
      <c r="G18430">
        <v>0</v>
      </c>
      <c r="H18430" t="s">
        <v>23267</v>
      </c>
      <c r="I18430">
        <v>20939</v>
      </c>
      <c r="J18430" t="str">
        <f>VLOOKUP(E18430,DSSpieler!A:B,2,FALSE)</f>
        <v>schrör</v>
      </c>
    </row>
    <row r="18431" spans="1:10" x14ac:dyDescent="0.25">
      <c r="A18431">
        <v>20940</v>
      </c>
      <c r="B18431" t="s">
        <v>4602</v>
      </c>
      <c r="C18431">
        <v>638</v>
      </c>
      <c r="D18431">
        <v>490</v>
      </c>
      <c r="E18431">
        <v>1577203809</v>
      </c>
      <c r="F18431">
        <v>26</v>
      </c>
      <c r="G18431">
        <v>0</v>
      </c>
      <c r="H18431" t="s">
        <v>23268</v>
      </c>
      <c r="I18431">
        <v>20940</v>
      </c>
      <c r="J18431" t="str">
        <f>VLOOKUP(E18431,DSSpieler!A:B,2,FALSE)</f>
        <v>Rammes</v>
      </c>
    </row>
    <row r="18432" spans="1:10" x14ac:dyDescent="0.25">
      <c r="A18432">
        <v>20941</v>
      </c>
      <c r="B18432" t="s">
        <v>4603</v>
      </c>
      <c r="C18432">
        <v>441</v>
      </c>
      <c r="D18432">
        <v>620</v>
      </c>
      <c r="E18432">
        <v>1577186940</v>
      </c>
      <c r="F18432">
        <v>26</v>
      </c>
      <c r="G18432">
        <v>0</v>
      </c>
      <c r="H18432" t="s">
        <v>23269</v>
      </c>
      <c r="I18432">
        <v>20941</v>
      </c>
      <c r="J18432" t="str">
        <f>VLOOKUP(E18432,DSSpieler!A:B,2,FALSE)</f>
        <v>IVIaI2TiiNii</v>
      </c>
    </row>
    <row r="18433" spans="1:10" x14ac:dyDescent="0.25">
      <c r="A18433">
        <v>20942</v>
      </c>
      <c r="B18433" t="s">
        <v>4604</v>
      </c>
      <c r="C18433">
        <v>558</v>
      </c>
      <c r="D18433">
        <v>384</v>
      </c>
      <c r="E18433">
        <v>1577070730</v>
      </c>
      <c r="F18433">
        <v>294</v>
      </c>
      <c r="G18433">
        <v>0</v>
      </c>
      <c r="H18433" t="s">
        <v>23270</v>
      </c>
      <c r="I18433">
        <v>20942</v>
      </c>
      <c r="J18433" t="str">
        <f>VLOOKUP(E18433,DSSpieler!A:B,2,FALSE)</f>
        <v>aNNN</v>
      </c>
    </row>
    <row r="18434" spans="1:10" x14ac:dyDescent="0.25">
      <c r="A18434">
        <v>20943</v>
      </c>
      <c r="B18434" t="s">
        <v>150</v>
      </c>
      <c r="C18434">
        <v>426</v>
      </c>
      <c r="D18434">
        <v>616</v>
      </c>
      <c r="E18434">
        <v>1577209126</v>
      </c>
      <c r="F18434">
        <v>324</v>
      </c>
      <c r="G18434">
        <v>0</v>
      </c>
      <c r="H18434" t="s">
        <v>23271</v>
      </c>
      <c r="I18434">
        <v>20943</v>
      </c>
      <c r="J18434" t="str">
        <f>VLOOKUP(E18434,DSSpieler!A:B,2,FALSE)</f>
        <v>Hemiro</v>
      </c>
    </row>
    <row r="18435" spans="1:10" x14ac:dyDescent="0.25">
      <c r="A18435">
        <v>20944</v>
      </c>
      <c r="B18435" t="s">
        <v>4605</v>
      </c>
      <c r="C18435">
        <v>617</v>
      </c>
      <c r="D18435">
        <v>562</v>
      </c>
      <c r="E18435">
        <v>1577196620</v>
      </c>
      <c r="F18435">
        <v>26</v>
      </c>
      <c r="G18435">
        <v>0</v>
      </c>
      <c r="H18435" t="s">
        <v>23272</v>
      </c>
      <c r="I18435">
        <v>20944</v>
      </c>
      <c r="J18435" t="str">
        <f>VLOOKUP(E18435,DSSpieler!A:B,2,FALSE)</f>
        <v>Schwenk</v>
      </c>
    </row>
    <row r="18436" spans="1:10" x14ac:dyDescent="0.25">
      <c r="A18436">
        <v>20945</v>
      </c>
      <c r="B18436" t="s">
        <v>531</v>
      </c>
      <c r="C18436">
        <v>591</v>
      </c>
      <c r="D18436">
        <v>600</v>
      </c>
      <c r="E18436">
        <v>0</v>
      </c>
      <c r="F18436">
        <v>44</v>
      </c>
      <c r="G18436">
        <v>0</v>
      </c>
      <c r="H18436" t="s">
        <v>23273</v>
      </c>
      <c r="I18436">
        <v>20945</v>
      </c>
      <c r="J18436" t="e">
        <f>VLOOKUP(E18436,DSSpieler!A:B,2,FALSE)</f>
        <v>#N/A</v>
      </c>
    </row>
    <row r="18437" spans="1:10" x14ac:dyDescent="0.25">
      <c r="A18437">
        <v>20946</v>
      </c>
      <c r="B18437" t="s">
        <v>4606</v>
      </c>
      <c r="C18437">
        <v>609</v>
      </c>
      <c r="D18437">
        <v>413</v>
      </c>
      <c r="E18437">
        <v>3089874</v>
      </c>
      <c r="F18437">
        <v>100</v>
      </c>
      <c r="G18437">
        <v>0</v>
      </c>
      <c r="H18437" t="s">
        <v>23274</v>
      </c>
      <c r="I18437">
        <v>20946</v>
      </c>
      <c r="J18437" t="str">
        <f>VLOOKUP(E18437,DSSpieler!A:B,2,FALSE)</f>
        <v>Matzefricki</v>
      </c>
    </row>
    <row r="18438" spans="1:10" x14ac:dyDescent="0.25">
      <c r="A18438">
        <v>20947</v>
      </c>
      <c r="B18438">
        <v>1</v>
      </c>
      <c r="C18438">
        <v>380</v>
      </c>
      <c r="D18438">
        <v>563</v>
      </c>
      <c r="E18438">
        <v>1577199504</v>
      </c>
      <c r="F18438">
        <v>275</v>
      </c>
      <c r="G18438">
        <v>0</v>
      </c>
      <c r="H18438" t="s">
        <v>23275</v>
      </c>
      <c r="I18438">
        <v>20947</v>
      </c>
      <c r="J18438" t="str">
        <f>VLOOKUP(E18438,DSSpieler!A:B,2,FALSE)</f>
        <v>Ritzkeks</v>
      </c>
    </row>
    <row r="18439" spans="1:10" x14ac:dyDescent="0.25">
      <c r="A18439">
        <v>20948</v>
      </c>
      <c r="B18439" t="s">
        <v>4607</v>
      </c>
      <c r="C18439">
        <v>577</v>
      </c>
      <c r="D18439">
        <v>610</v>
      </c>
      <c r="E18439">
        <v>1577119491</v>
      </c>
      <c r="F18439">
        <v>26</v>
      </c>
      <c r="G18439">
        <v>0</v>
      </c>
      <c r="H18439" t="s">
        <v>23276</v>
      </c>
      <c r="I18439">
        <v>20948</v>
      </c>
      <c r="J18439" t="str">
        <f>VLOOKUP(E18439,DSSpieler!A:B,2,FALSE)</f>
        <v>Killerfisch</v>
      </c>
    </row>
    <row r="18440" spans="1:10" x14ac:dyDescent="0.25">
      <c r="A18440">
        <v>20949</v>
      </c>
      <c r="B18440" t="s">
        <v>4608</v>
      </c>
      <c r="C18440">
        <v>414</v>
      </c>
      <c r="D18440">
        <v>392</v>
      </c>
      <c r="E18440">
        <v>1576065132</v>
      </c>
      <c r="F18440">
        <v>87</v>
      </c>
      <c r="G18440">
        <v>0</v>
      </c>
      <c r="H18440" t="s">
        <v>23277</v>
      </c>
      <c r="I18440">
        <v>20949</v>
      </c>
      <c r="J18440" t="str">
        <f>VLOOKUP(E18440,DSSpieler!A:B,2,FALSE)</f>
        <v>ulusoy</v>
      </c>
    </row>
    <row r="18441" spans="1:10" x14ac:dyDescent="0.25">
      <c r="A18441">
        <v>20950</v>
      </c>
      <c r="B18441" t="s">
        <v>4609</v>
      </c>
      <c r="C18441">
        <v>396</v>
      </c>
      <c r="D18441">
        <v>576</v>
      </c>
      <c r="E18441">
        <v>1577176813</v>
      </c>
      <c r="F18441">
        <v>246</v>
      </c>
      <c r="G18441">
        <v>0</v>
      </c>
      <c r="H18441" t="s">
        <v>23278</v>
      </c>
      <c r="I18441">
        <v>20950</v>
      </c>
      <c r="J18441" t="str">
        <f>VLOOKUP(E18441,DSSpieler!A:B,2,FALSE)</f>
        <v>Mr Smrt</v>
      </c>
    </row>
    <row r="18442" spans="1:10" x14ac:dyDescent="0.25">
      <c r="A18442">
        <v>20952</v>
      </c>
      <c r="B18442" t="s">
        <v>4610</v>
      </c>
      <c r="C18442">
        <v>613</v>
      </c>
      <c r="D18442">
        <v>571</v>
      </c>
      <c r="E18442">
        <v>1577020765</v>
      </c>
      <c r="F18442">
        <v>161</v>
      </c>
      <c r="G18442">
        <v>0</v>
      </c>
      <c r="H18442" t="s">
        <v>23279</v>
      </c>
      <c r="I18442">
        <v>20952</v>
      </c>
      <c r="J18442" t="str">
        <f>VLOOKUP(E18442,DSSpieler!A:B,2,FALSE)</f>
        <v>masterdevel21</v>
      </c>
    </row>
    <row r="18443" spans="1:10" x14ac:dyDescent="0.25">
      <c r="A18443">
        <v>20953</v>
      </c>
      <c r="B18443" t="s">
        <v>1047</v>
      </c>
      <c r="C18443">
        <v>569</v>
      </c>
      <c r="D18443">
        <v>620</v>
      </c>
      <c r="E18443">
        <v>631325</v>
      </c>
      <c r="F18443">
        <v>363</v>
      </c>
      <c r="G18443">
        <v>0</v>
      </c>
      <c r="H18443" t="s">
        <v>23280</v>
      </c>
      <c r="I18443">
        <v>20953</v>
      </c>
      <c r="J18443" t="str">
        <f>VLOOKUP(E18443,DSSpieler!A:B,2,FALSE)</f>
        <v>Basti110</v>
      </c>
    </row>
    <row r="18444" spans="1:10" x14ac:dyDescent="0.25">
      <c r="A18444">
        <v>20954</v>
      </c>
      <c r="B18444" t="s">
        <v>4611</v>
      </c>
      <c r="C18444">
        <v>363</v>
      </c>
      <c r="D18444">
        <v>509</v>
      </c>
      <c r="E18444">
        <v>7936488</v>
      </c>
      <c r="F18444">
        <v>247</v>
      </c>
      <c r="G18444">
        <v>0</v>
      </c>
      <c r="H18444" t="s">
        <v>23281</v>
      </c>
      <c r="I18444">
        <v>20954</v>
      </c>
      <c r="J18444" t="str">
        <f>VLOOKUP(E18444,DSSpieler!A:B,2,FALSE)</f>
        <v>adler 999</v>
      </c>
    </row>
    <row r="18445" spans="1:10" x14ac:dyDescent="0.25">
      <c r="A18445">
        <v>20955</v>
      </c>
      <c r="B18445" t="s">
        <v>4612</v>
      </c>
      <c r="C18445">
        <v>430</v>
      </c>
      <c r="D18445">
        <v>380</v>
      </c>
      <c r="E18445">
        <v>9754822</v>
      </c>
      <c r="F18445">
        <v>26</v>
      </c>
      <c r="G18445">
        <v>0</v>
      </c>
      <c r="H18445" t="s">
        <v>23282</v>
      </c>
      <c r="I18445">
        <v>20955</v>
      </c>
      <c r="J18445" t="str">
        <f>VLOOKUP(E18445,DSSpieler!A:B,2,FALSE)</f>
        <v>Moinsal</v>
      </c>
    </row>
    <row r="18446" spans="1:10" x14ac:dyDescent="0.25">
      <c r="A18446">
        <v>20956</v>
      </c>
      <c r="B18446" t="s">
        <v>4613</v>
      </c>
      <c r="C18446">
        <v>460</v>
      </c>
      <c r="D18446">
        <v>631</v>
      </c>
      <c r="E18446">
        <v>1576255139</v>
      </c>
      <c r="F18446">
        <v>26</v>
      </c>
      <c r="G18446">
        <v>0</v>
      </c>
      <c r="H18446" t="s">
        <v>23283</v>
      </c>
      <c r="I18446">
        <v>20956</v>
      </c>
      <c r="J18446" t="str">
        <f>VLOOKUP(E18446,DSSpieler!A:B,2,FALSE)</f>
        <v>FAST3RASYOU</v>
      </c>
    </row>
    <row r="18447" spans="1:10" x14ac:dyDescent="0.25">
      <c r="A18447">
        <v>20957</v>
      </c>
      <c r="B18447" t="s">
        <v>4614</v>
      </c>
      <c r="C18447">
        <v>591</v>
      </c>
      <c r="D18447">
        <v>403</v>
      </c>
      <c r="E18447">
        <v>1577203713</v>
      </c>
      <c r="F18447">
        <v>121</v>
      </c>
      <c r="G18447">
        <v>0</v>
      </c>
      <c r="H18447" t="s">
        <v>23284</v>
      </c>
      <c r="I18447">
        <v>20957</v>
      </c>
      <c r="J18447" t="str">
        <f>VLOOKUP(E18447,DSSpieler!A:B,2,FALSE)</f>
        <v>sepppi91</v>
      </c>
    </row>
    <row r="18448" spans="1:10" x14ac:dyDescent="0.25">
      <c r="A18448">
        <v>20958</v>
      </c>
      <c r="B18448" t="s">
        <v>4615</v>
      </c>
      <c r="C18448">
        <v>517</v>
      </c>
      <c r="D18448">
        <v>639</v>
      </c>
      <c r="E18448">
        <v>1577209142</v>
      </c>
      <c r="F18448">
        <v>178</v>
      </c>
      <c r="G18448">
        <v>0</v>
      </c>
      <c r="H18448" t="s">
        <v>23285</v>
      </c>
      <c r="I18448">
        <v>20958</v>
      </c>
      <c r="J18448" t="str">
        <f>VLOOKUP(E18448,DSSpieler!A:B,2,FALSE)</f>
        <v>czcz</v>
      </c>
    </row>
    <row r="18449" spans="1:10" x14ac:dyDescent="0.25">
      <c r="A18449">
        <v>20959</v>
      </c>
      <c r="B18449" t="s">
        <v>4616</v>
      </c>
      <c r="C18449">
        <v>517</v>
      </c>
      <c r="D18449">
        <v>368</v>
      </c>
      <c r="E18449">
        <v>1577025772</v>
      </c>
      <c r="F18449">
        <v>26</v>
      </c>
      <c r="G18449">
        <v>0</v>
      </c>
      <c r="H18449" t="s">
        <v>23286</v>
      </c>
      <c r="I18449">
        <v>20959</v>
      </c>
      <c r="J18449" t="str">
        <f>VLOOKUP(E18449,DSSpieler!A:B,2,FALSE)</f>
        <v>Artjom361</v>
      </c>
    </row>
    <row r="18450" spans="1:10" x14ac:dyDescent="0.25">
      <c r="A18450">
        <v>20960</v>
      </c>
      <c r="B18450" t="s">
        <v>4617</v>
      </c>
      <c r="C18450">
        <v>639</v>
      </c>
      <c r="D18450">
        <v>498</v>
      </c>
      <c r="E18450">
        <v>1132765</v>
      </c>
      <c r="F18450">
        <v>92</v>
      </c>
      <c r="G18450">
        <v>0</v>
      </c>
      <c r="H18450" t="s">
        <v>23287</v>
      </c>
      <c r="I18450">
        <v>20960</v>
      </c>
      <c r="J18450" t="str">
        <f>VLOOKUP(E18450,DSSpieler!A:B,2,FALSE)</f>
        <v>Markifix</v>
      </c>
    </row>
    <row r="18451" spans="1:10" x14ac:dyDescent="0.25">
      <c r="A18451">
        <v>20961</v>
      </c>
      <c r="B18451" t="s">
        <v>4618</v>
      </c>
      <c r="C18451">
        <v>476</v>
      </c>
      <c r="D18451">
        <v>584</v>
      </c>
      <c r="E18451">
        <v>272291</v>
      </c>
      <c r="F18451">
        <v>26</v>
      </c>
      <c r="G18451">
        <v>0</v>
      </c>
      <c r="H18451" t="s">
        <v>23288</v>
      </c>
      <c r="I18451">
        <v>20961</v>
      </c>
      <c r="J18451" t="str">
        <f>VLOOKUP(E18451,DSSpieler!A:B,2,FALSE)</f>
        <v>good punisher</v>
      </c>
    </row>
    <row r="18452" spans="1:10" x14ac:dyDescent="0.25">
      <c r="A18452">
        <v>20962</v>
      </c>
      <c r="B18452">
        <v>10</v>
      </c>
      <c r="C18452">
        <v>465</v>
      </c>
      <c r="D18452">
        <v>367</v>
      </c>
      <c r="E18452">
        <v>1577209145</v>
      </c>
      <c r="F18452">
        <v>292</v>
      </c>
      <c r="G18452">
        <v>0</v>
      </c>
      <c r="H18452" t="s">
        <v>23289</v>
      </c>
      <c r="I18452">
        <v>20962</v>
      </c>
      <c r="J18452" t="str">
        <f>VLOOKUP(E18452,DSSpieler!A:B,2,FALSE)</f>
        <v>Shraik</v>
      </c>
    </row>
    <row r="18453" spans="1:10" x14ac:dyDescent="0.25">
      <c r="A18453">
        <v>20963</v>
      </c>
      <c r="B18453" t="s">
        <v>531</v>
      </c>
      <c r="C18453">
        <v>417</v>
      </c>
      <c r="D18453">
        <v>609</v>
      </c>
      <c r="E18453">
        <v>0</v>
      </c>
      <c r="F18453">
        <v>34</v>
      </c>
      <c r="G18453">
        <v>0</v>
      </c>
      <c r="H18453" t="s">
        <v>23290</v>
      </c>
      <c r="I18453">
        <v>20963</v>
      </c>
      <c r="J18453" t="e">
        <f>VLOOKUP(E18453,DSSpieler!A:B,2,FALSE)</f>
        <v>#N/A</v>
      </c>
    </row>
    <row r="18454" spans="1:10" x14ac:dyDescent="0.25">
      <c r="A18454">
        <v>20964</v>
      </c>
      <c r="B18454" t="s">
        <v>4619</v>
      </c>
      <c r="C18454">
        <v>367</v>
      </c>
      <c r="D18454">
        <v>518</v>
      </c>
      <c r="E18454">
        <v>9283160</v>
      </c>
      <c r="F18454">
        <v>257</v>
      </c>
      <c r="G18454">
        <v>0</v>
      </c>
      <c r="H18454" t="s">
        <v>23291</v>
      </c>
      <c r="I18454">
        <v>20964</v>
      </c>
      <c r="J18454">
        <f>VLOOKUP(E18454,DSSpieler!A:B,2,FALSE)</f>
        <v>44052</v>
      </c>
    </row>
    <row r="18455" spans="1:10" x14ac:dyDescent="0.25">
      <c r="A18455">
        <v>20965</v>
      </c>
      <c r="B18455" t="s">
        <v>4620</v>
      </c>
      <c r="C18455">
        <v>406</v>
      </c>
      <c r="D18455">
        <v>397</v>
      </c>
      <c r="E18455">
        <v>1576948023</v>
      </c>
      <c r="F18455">
        <v>253</v>
      </c>
      <c r="G18455">
        <v>0</v>
      </c>
      <c r="H18455" t="s">
        <v>23292</v>
      </c>
      <c r="I18455">
        <v>20965</v>
      </c>
      <c r="J18455" t="str">
        <f>VLOOKUP(E18455,DSSpieler!A:B,2,FALSE)</f>
        <v>hamzaata</v>
      </c>
    </row>
    <row r="18456" spans="1:10" x14ac:dyDescent="0.25">
      <c r="A18456">
        <v>20966</v>
      </c>
      <c r="B18456" t="s">
        <v>4621</v>
      </c>
      <c r="C18456">
        <v>565</v>
      </c>
      <c r="D18456">
        <v>619</v>
      </c>
      <c r="E18456">
        <v>1577146586</v>
      </c>
      <c r="F18456">
        <v>73</v>
      </c>
      <c r="G18456">
        <v>0</v>
      </c>
      <c r="H18456" t="s">
        <v>23293</v>
      </c>
      <c r="I18456">
        <v>20966</v>
      </c>
      <c r="J18456" t="str">
        <f>VLOOKUP(E18456,DSSpieler!A:B,2,FALSE)</f>
        <v>Alex960714</v>
      </c>
    </row>
    <row r="18457" spans="1:10" x14ac:dyDescent="0.25">
      <c r="A18457">
        <v>20967</v>
      </c>
      <c r="B18457" t="s">
        <v>4622</v>
      </c>
      <c r="C18457">
        <v>584</v>
      </c>
      <c r="D18457">
        <v>526</v>
      </c>
      <c r="E18457">
        <v>1577196485</v>
      </c>
      <c r="F18457">
        <v>26</v>
      </c>
      <c r="G18457">
        <v>0</v>
      </c>
      <c r="H18457" t="s">
        <v>23294</v>
      </c>
      <c r="I18457">
        <v>20967</v>
      </c>
      <c r="J18457" t="str">
        <f>VLOOKUP(E18457,DSSpieler!A:B,2,FALSE)</f>
        <v>karakartal</v>
      </c>
    </row>
    <row r="18458" spans="1:10" x14ac:dyDescent="0.25">
      <c r="A18458">
        <v>20968</v>
      </c>
      <c r="B18458" t="s">
        <v>4623</v>
      </c>
      <c r="C18458">
        <v>561</v>
      </c>
      <c r="D18458">
        <v>621</v>
      </c>
      <c r="E18458">
        <v>1577199141</v>
      </c>
      <c r="F18458">
        <v>26</v>
      </c>
      <c r="G18458">
        <v>0</v>
      </c>
      <c r="H18458" t="s">
        <v>23295</v>
      </c>
      <c r="I18458">
        <v>20968</v>
      </c>
      <c r="J18458" t="str">
        <f>VLOOKUP(E18458,DSSpieler!A:B,2,FALSE)</f>
        <v>browsergametrottel</v>
      </c>
    </row>
    <row r="18459" spans="1:10" x14ac:dyDescent="0.25">
      <c r="A18459">
        <v>20969</v>
      </c>
      <c r="B18459" t="s">
        <v>4624</v>
      </c>
      <c r="C18459">
        <v>544</v>
      </c>
      <c r="D18459">
        <v>428</v>
      </c>
      <c r="E18459">
        <v>502734</v>
      </c>
      <c r="F18459">
        <v>26</v>
      </c>
      <c r="G18459">
        <v>0</v>
      </c>
      <c r="H18459" t="s">
        <v>23296</v>
      </c>
      <c r="I18459">
        <v>20969</v>
      </c>
      <c r="J18459" t="str">
        <f>VLOOKUP(E18459,DSSpieler!A:B,2,FALSE)</f>
        <v>makaa</v>
      </c>
    </row>
    <row r="18460" spans="1:10" x14ac:dyDescent="0.25">
      <c r="A18460">
        <v>20970</v>
      </c>
      <c r="B18460" t="s">
        <v>4625</v>
      </c>
      <c r="C18460">
        <v>447</v>
      </c>
      <c r="D18460">
        <v>426</v>
      </c>
      <c r="E18460">
        <v>1577175586</v>
      </c>
      <c r="F18460">
        <v>26</v>
      </c>
      <c r="G18460">
        <v>0</v>
      </c>
      <c r="H18460" t="s">
        <v>23297</v>
      </c>
      <c r="I18460">
        <v>20970</v>
      </c>
      <c r="J18460" t="str">
        <f>VLOOKUP(E18460,DSSpieler!A:B,2,FALSE)</f>
        <v>sickojaenne</v>
      </c>
    </row>
    <row r="18461" spans="1:10" x14ac:dyDescent="0.25">
      <c r="A18461">
        <v>20971</v>
      </c>
      <c r="B18461" t="s">
        <v>4626</v>
      </c>
      <c r="C18461">
        <v>476</v>
      </c>
      <c r="D18461">
        <v>637</v>
      </c>
      <c r="E18461">
        <v>1576986803</v>
      </c>
      <c r="F18461">
        <v>238</v>
      </c>
      <c r="G18461">
        <v>0</v>
      </c>
      <c r="H18461" t="s">
        <v>23298</v>
      </c>
      <c r="I18461">
        <v>20971</v>
      </c>
      <c r="J18461" t="str">
        <f>VLOOKUP(E18461,DSSpieler!A:B,2,FALSE)</f>
        <v>aLeecher</v>
      </c>
    </row>
    <row r="18462" spans="1:10" x14ac:dyDescent="0.25">
      <c r="A18462">
        <v>20972</v>
      </c>
      <c r="B18462" t="s">
        <v>35786</v>
      </c>
      <c r="C18462">
        <v>456</v>
      </c>
      <c r="D18462">
        <v>515</v>
      </c>
      <c r="E18462">
        <v>1577165444</v>
      </c>
      <c r="F18462">
        <v>251</v>
      </c>
      <c r="G18462">
        <v>0</v>
      </c>
      <c r="H18462" t="s">
        <v>23299</v>
      </c>
      <c r="I18462">
        <v>20972</v>
      </c>
      <c r="J18462" t="str">
        <f>VLOOKUP(E18462,DSSpieler!A:B,2,FALSE)</f>
        <v>König BjörnEisenseite</v>
      </c>
    </row>
    <row r="18463" spans="1:10" x14ac:dyDescent="0.25">
      <c r="A18463">
        <v>20973</v>
      </c>
      <c r="B18463" t="s">
        <v>4627</v>
      </c>
      <c r="C18463">
        <v>626</v>
      </c>
      <c r="D18463">
        <v>442</v>
      </c>
      <c r="E18463">
        <v>1577209159</v>
      </c>
      <c r="F18463">
        <v>342</v>
      </c>
      <c r="G18463">
        <v>0</v>
      </c>
      <c r="H18463" t="s">
        <v>23300</v>
      </c>
      <c r="I18463">
        <v>20973</v>
      </c>
      <c r="J18463" t="str">
        <f>VLOOKUP(E18463,DSSpieler!A:B,2,FALSE)</f>
        <v>Prof.Dr.Auerhahn</v>
      </c>
    </row>
    <row r="18464" spans="1:10" x14ac:dyDescent="0.25">
      <c r="A18464">
        <v>20974</v>
      </c>
      <c r="B18464" t="s">
        <v>531</v>
      </c>
      <c r="C18464">
        <v>624</v>
      </c>
      <c r="D18464">
        <v>555</v>
      </c>
      <c r="E18464">
        <v>0</v>
      </c>
      <c r="F18464">
        <v>33</v>
      </c>
      <c r="G18464">
        <v>0</v>
      </c>
      <c r="H18464" t="s">
        <v>23301</v>
      </c>
      <c r="I18464">
        <v>20974</v>
      </c>
      <c r="J18464" t="e">
        <f>VLOOKUP(E18464,DSSpieler!A:B,2,FALSE)</f>
        <v>#N/A</v>
      </c>
    </row>
    <row r="18465" spans="1:10" x14ac:dyDescent="0.25">
      <c r="A18465">
        <v>20975</v>
      </c>
      <c r="B18465" t="s">
        <v>4628</v>
      </c>
      <c r="C18465">
        <v>446</v>
      </c>
      <c r="D18465">
        <v>624</v>
      </c>
      <c r="E18465">
        <v>2818577</v>
      </c>
      <c r="F18465">
        <v>160</v>
      </c>
      <c r="G18465">
        <v>0</v>
      </c>
      <c r="H18465" t="s">
        <v>23302</v>
      </c>
      <c r="I18465">
        <v>20975</v>
      </c>
      <c r="J18465" t="str">
        <f>VLOOKUP(E18465,DSSpieler!A:B,2,FALSE)</f>
        <v>timmy1997</v>
      </c>
    </row>
    <row r="18466" spans="1:10" x14ac:dyDescent="0.25">
      <c r="A18466">
        <v>20976</v>
      </c>
      <c r="B18466" t="s">
        <v>4629</v>
      </c>
      <c r="C18466">
        <v>442</v>
      </c>
      <c r="D18466">
        <v>590</v>
      </c>
      <c r="E18466">
        <v>21133</v>
      </c>
      <c r="F18466">
        <v>297</v>
      </c>
      <c r="G18466">
        <v>0</v>
      </c>
      <c r="H18466" t="s">
        <v>23303</v>
      </c>
      <c r="I18466">
        <v>20976</v>
      </c>
      <c r="J18466" t="str">
        <f>VLOOKUP(E18466,DSSpieler!A:B,2,FALSE)</f>
        <v>pseon</v>
      </c>
    </row>
    <row r="18467" spans="1:10" x14ac:dyDescent="0.25">
      <c r="A18467">
        <v>20977</v>
      </c>
      <c r="B18467" t="s">
        <v>4630</v>
      </c>
      <c r="C18467">
        <v>502</v>
      </c>
      <c r="D18467">
        <v>639</v>
      </c>
      <c r="E18467">
        <v>1577050773</v>
      </c>
      <c r="F18467">
        <v>278</v>
      </c>
      <c r="G18467">
        <v>0</v>
      </c>
      <c r="H18467" t="s">
        <v>23304</v>
      </c>
      <c r="I18467">
        <v>20977</v>
      </c>
      <c r="J18467" t="str">
        <f>VLOOKUP(E18467,DSSpieler!A:B,2,FALSE)</f>
        <v>Luke23</v>
      </c>
    </row>
    <row r="18468" spans="1:10" x14ac:dyDescent="0.25">
      <c r="A18468">
        <v>20978</v>
      </c>
      <c r="B18468" t="s">
        <v>4631</v>
      </c>
      <c r="C18468">
        <v>493</v>
      </c>
      <c r="D18468">
        <v>632</v>
      </c>
      <c r="E18468">
        <v>1577051320</v>
      </c>
      <c r="F18468">
        <v>271</v>
      </c>
      <c r="G18468">
        <v>0</v>
      </c>
      <c r="H18468" t="s">
        <v>23305</v>
      </c>
      <c r="I18468">
        <v>20978</v>
      </c>
      <c r="J18468" t="str">
        <f>VLOOKUP(E18468,DSSpieler!A:B,2,FALSE)</f>
        <v>SpikeZzHD</v>
      </c>
    </row>
    <row r="18469" spans="1:10" x14ac:dyDescent="0.25">
      <c r="A18469">
        <v>20979</v>
      </c>
      <c r="B18469" t="s">
        <v>1110</v>
      </c>
      <c r="C18469">
        <v>585</v>
      </c>
      <c r="D18469">
        <v>395</v>
      </c>
      <c r="E18469">
        <v>1577202209</v>
      </c>
      <c r="F18469">
        <v>310</v>
      </c>
      <c r="G18469">
        <v>0</v>
      </c>
      <c r="H18469" t="s">
        <v>23306</v>
      </c>
      <c r="I18469">
        <v>20979</v>
      </c>
      <c r="J18469" t="str">
        <f>VLOOKUP(E18469,DSSpieler!A:B,2,FALSE)</f>
        <v>UnlimitedSW</v>
      </c>
    </row>
    <row r="18470" spans="1:10" x14ac:dyDescent="0.25">
      <c r="A18470">
        <v>20980</v>
      </c>
      <c r="B18470" t="s">
        <v>4632</v>
      </c>
      <c r="C18470">
        <v>395</v>
      </c>
      <c r="D18470">
        <v>588</v>
      </c>
      <c r="E18470">
        <v>1576847760</v>
      </c>
      <c r="F18470">
        <v>233</v>
      </c>
      <c r="G18470">
        <v>0</v>
      </c>
      <c r="H18470" t="s">
        <v>23307</v>
      </c>
      <c r="I18470">
        <v>20980</v>
      </c>
      <c r="J18470" t="str">
        <f>VLOOKUP(E18470,DSSpieler!A:B,2,FALSE)</f>
        <v>deaver27</v>
      </c>
    </row>
    <row r="18471" spans="1:10" x14ac:dyDescent="0.25">
      <c r="A18471">
        <v>20981</v>
      </c>
      <c r="B18471" t="s">
        <v>4633</v>
      </c>
      <c r="C18471">
        <v>523</v>
      </c>
      <c r="D18471">
        <v>367</v>
      </c>
      <c r="E18471">
        <v>1577190900</v>
      </c>
      <c r="F18471">
        <v>260</v>
      </c>
      <c r="G18471">
        <v>0</v>
      </c>
      <c r="H18471" t="s">
        <v>23308</v>
      </c>
      <c r="I18471">
        <v>20981</v>
      </c>
      <c r="J18471" t="str">
        <f>VLOOKUP(E18471,DSSpieler!A:B,2,FALSE)</f>
        <v>Combat X</v>
      </c>
    </row>
    <row r="18472" spans="1:10" x14ac:dyDescent="0.25">
      <c r="A18472">
        <v>20982</v>
      </c>
      <c r="B18472" t="s">
        <v>35787</v>
      </c>
      <c r="C18472">
        <v>537</v>
      </c>
      <c r="D18472">
        <v>364</v>
      </c>
      <c r="E18472">
        <v>1576949637</v>
      </c>
      <c r="F18472">
        <v>353</v>
      </c>
      <c r="G18472">
        <v>0</v>
      </c>
      <c r="H18472" t="s">
        <v>23309</v>
      </c>
      <c r="I18472">
        <v>20982</v>
      </c>
      <c r="J18472" t="str">
        <f>VLOOKUP(E18472,DSSpieler!A:B,2,FALSE)</f>
        <v>MaxKing2000</v>
      </c>
    </row>
    <row r="18473" spans="1:10" x14ac:dyDescent="0.25">
      <c r="A18473">
        <v>20983</v>
      </c>
      <c r="B18473" t="s">
        <v>4634</v>
      </c>
      <c r="C18473">
        <v>362</v>
      </c>
      <c r="D18473">
        <v>481</v>
      </c>
      <c r="E18473">
        <v>1577184946</v>
      </c>
      <c r="F18473">
        <v>26</v>
      </c>
      <c r="G18473">
        <v>0</v>
      </c>
      <c r="H18473" t="s">
        <v>23310</v>
      </c>
      <c r="I18473">
        <v>20983</v>
      </c>
      <c r="J18473" t="str">
        <f>VLOOKUP(E18473,DSSpieler!A:B,2,FALSE)</f>
        <v>.Ehuhn</v>
      </c>
    </row>
    <row r="18474" spans="1:10" x14ac:dyDescent="0.25">
      <c r="A18474">
        <v>20984</v>
      </c>
      <c r="B18474" t="s">
        <v>4635</v>
      </c>
      <c r="C18474">
        <v>414</v>
      </c>
      <c r="D18474">
        <v>540</v>
      </c>
      <c r="E18474">
        <v>1577057645</v>
      </c>
      <c r="F18474">
        <v>122</v>
      </c>
      <c r="G18474">
        <v>0</v>
      </c>
      <c r="H18474" t="s">
        <v>23311</v>
      </c>
      <c r="I18474">
        <v>20984</v>
      </c>
      <c r="J18474" t="str">
        <f>VLOOKUP(E18474,DSSpieler!A:B,2,FALSE)</f>
        <v>FilipTheSlayer</v>
      </c>
    </row>
    <row r="18475" spans="1:10" x14ac:dyDescent="0.25">
      <c r="A18475">
        <v>20985</v>
      </c>
      <c r="B18475" t="s">
        <v>531</v>
      </c>
      <c r="C18475">
        <v>560</v>
      </c>
      <c r="D18475">
        <v>379</v>
      </c>
      <c r="E18475">
        <v>0</v>
      </c>
      <c r="F18475">
        <v>43</v>
      </c>
      <c r="G18475">
        <v>0</v>
      </c>
      <c r="H18475" t="s">
        <v>23312</v>
      </c>
      <c r="I18475">
        <v>20985</v>
      </c>
      <c r="J18475" t="e">
        <f>VLOOKUP(E18475,DSSpieler!A:B,2,FALSE)</f>
        <v>#N/A</v>
      </c>
    </row>
    <row r="18476" spans="1:10" x14ac:dyDescent="0.25">
      <c r="A18476">
        <v>20986</v>
      </c>
      <c r="B18476" t="s">
        <v>4636</v>
      </c>
      <c r="C18476">
        <v>567</v>
      </c>
      <c r="D18476">
        <v>621</v>
      </c>
      <c r="E18476">
        <v>1577176508</v>
      </c>
      <c r="F18476">
        <v>26</v>
      </c>
      <c r="G18476">
        <v>0</v>
      </c>
      <c r="H18476" t="s">
        <v>23313</v>
      </c>
      <c r="I18476">
        <v>20986</v>
      </c>
      <c r="J18476" t="str">
        <f>VLOOKUP(E18476,DSSpieler!A:B,2,FALSE)</f>
        <v>flushamed</v>
      </c>
    </row>
    <row r="18477" spans="1:10" x14ac:dyDescent="0.25">
      <c r="A18477">
        <v>20987</v>
      </c>
      <c r="B18477" t="s">
        <v>4637</v>
      </c>
      <c r="C18477">
        <v>373</v>
      </c>
      <c r="D18477">
        <v>554</v>
      </c>
      <c r="E18477">
        <v>1577184379</v>
      </c>
      <c r="F18477">
        <v>53</v>
      </c>
      <c r="G18477">
        <v>0</v>
      </c>
      <c r="H18477" t="s">
        <v>23314</v>
      </c>
      <c r="I18477">
        <v>20987</v>
      </c>
      <c r="J18477" t="str">
        <f>VLOOKUP(E18477,DSSpieler!A:B,2,FALSE)</f>
        <v>M-19-H</v>
      </c>
    </row>
    <row r="18478" spans="1:10" x14ac:dyDescent="0.25">
      <c r="A18478">
        <v>20989</v>
      </c>
      <c r="B18478" t="s">
        <v>4638</v>
      </c>
      <c r="C18478">
        <v>428</v>
      </c>
      <c r="D18478">
        <v>614</v>
      </c>
      <c r="E18478">
        <v>1577209172</v>
      </c>
      <c r="F18478">
        <v>301</v>
      </c>
      <c r="G18478">
        <v>0</v>
      </c>
      <c r="H18478" t="s">
        <v>23315</v>
      </c>
      <c r="I18478">
        <v>20989</v>
      </c>
      <c r="J18478" t="str">
        <f>VLOOKUP(E18478,DSSpieler!A:B,2,FALSE)</f>
        <v>Tupacboy93</v>
      </c>
    </row>
    <row r="18479" spans="1:10" x14ac:dyDescent="0.25">
      <c r="A18479">
        <v>20990</v>
      </c>
      <c r="B18479" t="s">
        <v>35788</v>
      </c>
      <c r="C18479">
        <v>415</v>
      </c>
      <c r="D18479">
        <v>609</v>
      </c>
      <c r="E18479">
        <v>1577209173</v>
      </c>
      <c r="F18479">
        <v>293</v>
      </c>
      <c r="G18479">
        <v>0</v>
      </c>
      <c r="H18479" t="s">
        <v>23316</v>
      </c>
      <c r="I18479">
        <v>20990</v>
      </c>
      <c r="J18479" t="str">
        <f>VLOOKUP(E18479,DSSpieler!A:B,2,FALSE)</f>
        <v>LiSS--</v>
      </c>
    </row>
    <row r="18480" spans="1:10" x14ac:dyDescent="0.25">
      <c r="A18480">
        <v>20991</v>
      </c>
      <c r="B18480" t="s">
        <v>531</v>
      </c>
      <c r="C18480">
        <v>458</v>
      </c>
      <c r="D18480">
        <v>632</v>
      </c>
      <c r="E18480">
        <v>0</v>
      </c>
      <c r="F18480">
        <v>40</v>
      </c>
      <c r="G18480">
        <v>0</v>
      </c>
      <c r="H18480" t="s">
        <v>23317</v>
      </c>
      <c r="I18480">
        <v>20991</v>
      </c>
      <c r="J18480" t="e">
        <f>VLOOKUP(E18480,DSSpieler!A:B,2,FALSE)</f>
        <v>#N/A</v>
      </c>
    </row>
    <row r="18481" spans="1:10" x14ac:dyDescent="0.25">
      <c r="A18481">
        <v>20992</v>
      </c>
      <c r="B18481" t="s">
        <v>4639</v>
      </c>
      <c r="C18481">
        <v>464</v>
      </c>
      <c r="D18481">
        <v>370</v>
      </c>
      <c r="E18481">
        <v>1577185973</v>
      </c>
      <c r="F18481">
        <v>26</v>
      </c>
      <c r="G18481">
        <v>0</v>
      </c>
      <c r="H18481" t="s">
        <v>23318</v>
      </c>
      <c r="I18481">
        <v>20992</v>
      </c>
      <c r="J18481" t="str">
        <f>VLOOKUP(E18481,DSSpieler!A:B,2,FALSE)</f>
        <v>Lord Afroman</v>
      </c>
    </row>
    <row r="18482" spans="1:10" x14ac:dyDescent="0.25">
      <c r="A18482">
        <v>20993</v>
      </c>
      <c r="B18482" t="s">
        <v>531</v>
      </c>
      <c r="C18482">
        <v>609</v>
      </c>
      <c r="D18482">
        <v>583</v>
      </c>
      <c r="E18482">
        <v>0</v>
      </c>
      <c r="F18482">
        <v>33</v>
      </c>
      <c r="G18482">
        <v>0</v>
      </c>
      <c r="H18482" t="s">
        <v>23319</v>
      </c>
      <c r="I18482">
        <v>20993</v>
      </c>
      <c r="J18482" t="e">
        <f>VLOOKUP(E18482,DSSpieler!A:B,2,FALSE)</f>
        <v>#N/A</v>
      </c>
    </row>
    <row r="18483" spans="1:10" x14ac:dyDescent="0.25">
      <c r="A18483">
        <v>20994</v>
      </c>
      <c r="B18483" t="s">
        <v>4640</v>
      </c>
      <c r="C18483">
        <v>383</v>
      </c>
      <c r="D18483">
        <v>572</v>
      </c>
      <c r="E18483">
        <v>7611787</v>
      </c>
      <c r="F18483">
        <v>256</v>
      </c>
      <c r="G18483">
        <v>0</v>
      </c>
      <c r="H18483" t="s">
        <v>23320</v>
      </c>
      <c r="I18483">
        <v>20994</v>
      </c>
      <c r="J18483" t="str">
        <f>VLOOKUP(E18483,DSSpieler!A:B,2,FALSE)</f>
        <v>Lady Sparrow</v>
      </c>
    </row>
    <row r="18484" spans="1:10" x14ac:dyDescent="0.25">
      <c r="A18484">
        <v>20995</v>
      </c>
      <c r="B18484" t="s">
        <v>30591</v>
      </c>
      <c r="C18484">
        <v>529</v>
      </c>
      <c r="D18484">
        <v>375</v>
      </c>
      <c r="E18484">
        <v>1576505643</v>
      </c>
      <c r="F18484">
        <v>295</v>
      </c>
      <c r="G18484">
        <v>0</v>
      </c>
      <c r="H18484" t="s">
        <v>23321</v>
      </c>
      <c r="I18484">
        <v>20995</v>
      </c>
      <c r="J18484" t="str">
        <f>VLOOKUP(E18484,DSSpieler!A:B,2,FALSE)</f>
        <v>NiPz i Storm</v>
      </c>
    </row>
    <row r="18485" spans="1:10" x14ac:dyDescent="0.25">
      <c r="A18485">
        <v>20996</v>
      </c>
      <c r="B18485" t="s">
        <v>531</v>
      </c>
      <c r="C18485">
        <v>366</v>
      </c>
      <c r="D18485">
        <v>513</v>
      </c>
      <c r="E18485">
        <v>0</v>
      </c>
      <c r="F18485">
        <v>35</v>
      </c>
      <c r="G18485">
        <v>0</v>
      </c>
      <c r="H18485" t="s">
        <v>23322</v>
      </c>
      <c r="I18485">
        <v>20996</v>
      </c>
      <c r="J18485" t="e">
        <f>VLOOKUP(E18485,DSSpieler!A:B,2,FALSE)</f>
        <v>#N/A</v>
      </c>
    </row>
    <row r="18486" spans="1:10" x14ac:dyDescent="0.25">
      <c r="A18486">
        <v>20997</v>
      </c>
      <c r="B18486" t="s">
        <v>4641</v>
      </c>
      <c r="C18486">
        <v>365</v>
      </c>
      <c r="D18486">
        <v>530</v>
      </c>
      <c r="E18486">
        <v>1577081343</v>
      </c>
      <c r="F18486">
        <v>140</v>
      </c>
      <c r="G18486">
        <v>0</v>
      </c>
      <c r="H18486" t="s">
        <v>23323</v>
      </c>
      <c r="I18486">
        <v>20997</v>
      </c>
      <c r="J18486" t="str">
        <f>VLOOKUP(E18486,DSSpieler!A:B,2,FALSE)</f>
        <v>rome</v>
      </c>
    </row>
    <row r="18487" spans="1:10" x14ac:dyDescent="0.25">
      <c r="A18487">
        <v>20998</v>
      </c>
      <c r="B18487" t="s">
        <v>4642</v>
      </c>
      <c r="C18487">
        <v>405</v>
      </c>
      <c r="D18487">
        <v>597</v>
      </c>
      <c r="E18487">
        <v>8354082</v>
      </c>
      <c r="F18487">
        <v>251</v>
      </c>
      <c r="G18487">
        <v>0</v>
      </c>
      <c r="H18487" t="s">
        <v>23324</v>
      </c>
      <c r="I18487">
        <v>20998</v>
      </c>
      <c r="J18487" t="str">
        <f>VLOOKUP(E18487,DSSpieler!A:B,2,FALSE)</f>
        <v>AndreasI.</v>
      </c>
    </row>
    <row r="18488" spans="1:10" x14ac:dyDescent="0.25">
      <c r="A18488">
        <v>20999</v>
      </c>
      <c r="B18488" t="s">
        <v>531</v>
      </c>
      <c r="C18488">
        <v>568</v>
      </c>
      <c r="D18488">
        <v>618</v>
      </c>
      <c r="E18488">
        <v>0</v>
      </c>
      <c r="F18488">
        <v>39</v>
      </c>
      <c r="G18488">
        <v>0</v>
      </c>
      <c r="H18488" t="s">
        <v>23325</v>
      </c>
      <c r="I18488">
        <v>20999</v>
      </c>
      <c r="J18488" t="e">
        <f>VLOOKUP(E18488,DSSpieler!A:B,2,FALSE)</f>
        <v>#N/A</v>
      </c>
    </row>
    <row r="18489" spans="1:10" x14ac:dyDescent="0.25">
      <c r="A18489">
        <v>21000</v>
      </c>
      <c r="B18489" t="s">
        <v>4643</v>
      </c>
      <c r="C18489">
        <v>476</v>
      </c>
      <c r="D18489">
        <v>368</v>
      </c>
      <c r="E18489">
        <v>1796779</v>
      </c>
      <c r="F18489">
        <v>26</v>
      </c>
      <c r="G18489">
        <v>0</v>
      </c>
      <c r="H18489" t="s">
        <v>23326</v>
      </c>
      <c r="I18489">
        <v>21000</v>
      </c>
      <c r="J18489" t="str">
        <f>VLOOKUP(E18489,DSSpieler!A:B,2,FALSE)</f>
        <v>Nike-boy1</v>
      </c>
    </row>
    <row r="18490" spans="1:10" x14ac:dyDescent="0.25">
      <c r="A18490">
        <v>21001</v>
      </c>
      <c r="B18490" t="s">
        <v>4644</v>
      </c>
      <c r="C18490">
        <v>547</v>
      </c>
      <c r="D18490">
        <v>367</v>
      </c>
      <c r="E18490">
        <v>1576560659</v>
      </c>
      <c r="F18490">
        <v>171</v>
      </c>
      <c r="G18490">
        <v>0</v>
      </c>
      <c r="H18490" t="s">
        <v>23327</v>
      </c>
      <c r="I18490">
        <v>21001</v>
      </c>
      <c r="J18490" t="str">
        <f>VLOOKUP(E18490,DSSpieler!A:B,2,FALSE)</f>
        <v>Der Erzherzog</v>
      </c>
    </row>
    <row r="18491" spans="1:10" x14ac:dyDescent="0.25">
      <c r="A18491">
        <v>21002</v>
      </c>
      <c r="B18491">
        <v>1</v>
      </c>
      <c r="C18491">
        <v>362</v>
      </c>
      <c r="D18491">
        <v>499</v>
      </c>
      <c r="E18491">
        <v>1576997551</v>
      </c>
      <c r="F18491">
        <v>207</v>
      </c>
      <c r="G18491">
        <v>0</v>
      </c>
      <c r="H18491" t="s">
        <v>23328</v>
      </c>
      <c r="I18491">
        <v>21002</v>
      </c>
      <c r="J18491" t="str">
        <f>VLOOKUP(E18491,DSSpieler!A:B,2,FALSE)</f>
        <v>TheBoss458</v>
      </c>
    </row>
    <row r="18492" spans="1:10" x14ac:dyDescent="0.25">
      <c r="A18492">
        <v>21003</v>
      </c>
      <c r="B18492" t="s">
        <v>4645</v>
      </c>
      <c r="C18492">
        <v>377</v>
      </c>
      <c r="D18492">
        <v>555</v>
      </c>
      <c r="E18492">
        <v>1577189160</v>
      </c>
      <c r="F18492">
        <v>26</v>
      </c>
      <c r="G18492">
        <v>0</v>
      </c>
      <c r="H18492" t="s">
        <v>23329</v>
      </c>
      <c r="I18492">
        <v>21003</v>
      </c>
      <c r="J18492" t="str">
        <f>VLOOKUP(E18492,DSSpieler!A:B,2,FALSE)</f>
        <v>erdem54</v>
      </c>
    </row>
    <row r="18493" spans="1:10" x14ac:dyDescent="0.25">
      <c r="A18493">
        <v>21004</v>
      </c>
      <c r="B18493" t="s">
        <v>4646</v>
      </c>
      <c r="C18493">
        <v>589</v>
      </c>
      <c r="D18493">
        <v>396</v>
      </c>
      <c r="E18493">
        <v>1577185523</v>
      </c>
      <c r="F18493">
        <v>26</v>
      </c>
      <c r="G18493">
        <v>0</v>
      </c>
      <c r="H18493" t="s">
        <v>23330</v>
      </c>
      <c r="I18493">
        <v>21004</v>
      </c>
      <c r="J18493" t="str">
        <f>VLOOKUP(E18493,DSSpieler!A:B,2,FALSE)</f>
        <v>GTR4</v>
      </c>
    </row>
    <row r="18494" spans="1:10" x14ac:dyDescent="0.25">
      <c r="A18494">
        <v>21005</v>
      </c>
      <c r="B18494" t="s">
        <v>531</v>
      </c>
      <c r="C18494">
        <v>368</v>
      </c>
      <c r="D18494">
        <v>470</v>
      </c>
      <c r="E18494">
        <v>0</v>
      </c>
      <c r="F18494">
        <v>42</v>
      </c>
      <c r="G18494">
        <v>0</v>
      </c>
      <c r="H18494" t="s">
        <v>23331</v>
      </c>
      <c r="I18494">
        <v>21005</v>
      </c>
      <c r="J18494" t="e">
        <f>VLOOKUP(E18494,DSSpieler!A:B,2,FALSE)</f>
        <v>#N/A</v>
      </c>
    </row>
    <row r="18495" spans="1:10" x14ac:dyDescent="0.25">
      <c r="A18495">
        <v>21006</v>
      </c>
      <c r="B18495" t="s">
        <v>4647</v>
      </c>
      <c r="C18495">
        <v>599</v>
      </c>
      <c r="D18495">
        <v>517</v>
      </c>
      <c r="E18495">
        <v>1577165797</v>
      </c>
      <c r="F18495">
        <v>122</v>
      </c>
      <c r="G18495">
        <v>0</v>
      </c>
      <c r="H18495" t="s">
        <v>23332</v>
      </c>
      <c r="I18495">
        <v>21006</v>
      </c>
      <c r="J18495" t="str">
        <f>VLOOKUP(E18495,DSSpieler!A:B,2,FALSE)</f>
        <v>DerKrasse</v>
      </c>
    </row>
    <row r="18496" spans="1:10" x14ac:dyDescent="0.25">
      <c r="A18496">
        <v>21007</v>
      </c>
      <c r="B18496" t="s">
        <v>4648</v>
      </c>
      <c r="C18496">
        <v>386</v>
      </c>
      <c r="D18496">
        <v>422</v>
      </c>
      <c r="E18496">
        <v>1577107609</v>
      </c>
      <c r="F18496">
        <v>254</v>
      </c>
      <c r="G18496">
        <v>0</v>
      </c>
      <c r="H18496" t="s">
        <v>23333</v>
      </c>
      <c r="I18496">
        <v>21007</v>
      </c>
      <c r="J18496" t="str">
        <f>VLOOKUP(E18496,DSSpieler!A:B,2,FALSE)</f>
        <v>Froggystyle12</v>
      </c>
    </row>
    <row r="18497" spans="1:10" x14ac:dyDescent="0.25">
      <c r="A18497">
        <v>21008</v>
      </c>
      <c r="B18497" t="s">
        <v>4649</v>
      </c>
      <c r="C18497">
        <v>596</v>
      </c>
      <c r="D18497">
        <v>592</v>
      </c>
      <c r="E18497">
        <v>1577180335</v>
      </c>
      <c r="F18497">
        <v>304</v>
      </c>
      <c r="G18497">
        <v>0</v>
      </c>
      <c r="H18497" t="s">
        <v>23334</v>
      </c>
      <c r="I18497">
        <v>21008</v>
      </c>
      <c r="J18497" t="str">
        <f>VLOOKUP(E18497,DSSpieler!A:B,2,FALSE)</f>
        <v>Jelle72</v>
      </c>
    </row>
    <row r="18498" spans="1:10" x14ac:dyDescent="0.25">
      <c r="A18498">
        <v>21009</v>
      </c>
      <c r="B18498" t="s">
        <v>4650</v>
      </c>
      <c r="C18498">
        <v>595</v>
      </c>
      <c r="D18498">
        <v>516</v>
      </c>
      <c r="E18498">
        <v>1577183391</v>
      </c>
      <c r="F18498">
        <v>26</v>
      </c>
      <c r="G18498">
        <v>0</v>
      </c>
      <c r="H18498" t="s">
        <v>23335</v>
      </c>
      <c r="I18498">
        <v>21009</v>
      </c>
      <c r="J18498" t="str">
        <f>VLOOKUP(E18498,DSSpieler!A:B,2,FALSE)</f>
        <v>Goggoloris</v>
      </c>
    </row>
    <row r="18499" spans="1:10" x14ac:dyDescent="0.25">
      <c r="A18499">
        <v>21010</v>
      </c>
      <c r="B18499" t="s">
        <v>531</v>
      </c>
      <c r="C18499">
        <v>397</v>
      </c>
      <c r="D18499">
        <v>414</v>
      </c>
      <c r="E18499">
        <v>0</v>
      </c>
      <c r="F18499">
        <v>34</v>
      </c>
      <c r="G18499">
        <v>0</v>
      </c>
      <c r="H18499" t="s">
        <v>23336</v>
      </c>
      <c r="I18499">
        <v>21010</v>
      </c>
      <c r="J18499" t="e">
        <f>VLOOKUP(E18499,DSSpieler!A:B,2,FALSE)</f>
        <v>#N/A</v>
      </c>
    </row>
    <row r="18500" spans="1:10" x14ac:dyDescent="0.25">
      <c r="A18500">
        <v>21011</v>
      </c>
      <c r="B18500" t="s">
        <v>4651</v>
      </c>
      <c r="C18500">
        <v>460</v>
      </c>
      <c r="D18500">
        <v>372</v>
      </c>
      <c r="E18500">
        <v>1577205151</v>
      </c>
      <c r="F18500">
        <v>197</v>
      </c>
      <c r="G18500">
        <v>0</v>
      </c>
      <c r="H18500" t="s">
        <v>23337</v>
      </c>
      <c r="I18500">
        <v>21011</v>
      </c>
      <c r="J18500" t="str">
        <f>VLOOKUP(E18500,DSSpieler!A:B,2,FALSE)</f>
        <v>Bronaldor</v>
      </c>
    </row>
    <row r="18501" spans="1:10" x14ac:dyDescent="0.25">
      <c r="A18501">
        <v>21012</v>
      </c>
      <c r="B18501" t="s">
        <v>4652</v>
      </c>
      <c r="C18501">
        <v>613</v>
      </c>
      <c r="D18501">
        <v>419</v>
      </c>
      <c r="E18501">
        <v>1577143225</v>
      </c>
      <c r="F18501">
        <v>174</v>
      </c>
      <c r="G18501">
        <v>0</v>
      </c>
      <c r="H18501" t="s">
        <v>23338</v>
      </c>
      <c r="I18501">
        <v>21012</v>
      </c>
      <c r="J18501" t="str">
        <f>VLOOKUP(E18501,DSSpieler!A:B,2,FALSE)</f>
        <v>Asterix9969</v>
      </c>
    </row>
    <row r="18502" spans="1:10" x14ac:dyDescent="0.25">
      <c r="A18502">
        <v>21013</v>
      </c>
      <c r="B18502" t="s">
        <v>1243</v>
      </c>
      <c r="C18502">
        <v>539</v>
      </c>
      <c r="D18502">
        <v>372</v>
      </c>
      <c r="E18502">
        <v>8880171</v>
      </c>
      <c r="F18502">
        <v>315</v>
      </c>
      <c r="G18502">
        <v>0</v>
      </c>
      <c r="H18502" t="s">
        <v>23339</v>
      </c>
      <c r="I18502">
        <v>21013</v>
      </c>
      <c r="J18502" t="str">
        <f>VLOOKUP(E18502,DSSpieler!A:B,2,FALSE)</f>
        <v>Schlumpfkot</v>
      </c>
    </row>
    <row r="18503" spans="1:10" x14ac:dyDescent="0.25">
      <c r="A18503">
        <v>21014</v>
      </c>
      <c r="B18503" t="s">
        <v>531</v>
      </c>
      <c r="C18503">
        <v>615</v>
      </c>
      <c r="D18503">
        <v>423</v>
      </c>
      <c r="E18503">
        <v>0</v>
      </c>
      <c r="F18503">
        <v>39</v>
      </c>
      <c r="G18503">
        <v>0</v>
      </c>
      <c r="H18503" t="s">
        <v>23340</v>
      </c>
      <c r="I18503">
        <v>21014</v>
      </c>
      <c r="J18503" t="e">
        <f>VLOOKUP(E18503,DSSpieler!A:B,2,FALSE)</f>
        <v>#N/A</v>
      </c>
    </row>
    <row r="18504" spans="1:10" x14ac:dyDescent="0.25">
      <c r="A18504">
        <v>21015</v>
      </c>
      <c r="B18504" t="s">
        <v>4653</v>
      </c>
      <c r="C18504">
        <v>483</v>
      </c>
      <c r="D18504">
        <v>632</v>
      </c>
      <c r="E18504">
        <v>1577192365</v>
      </c>
      <c r="F18504">
        <v>276</v>
      </c>
      <c r="G18504">
        <v>0</v>
      </c>
      <c r="H18504" t="s">
        <v>23341</v>
      </c>
      <c r="I18504">
        <v>21015</v>
      </c>
      <c r="J18504" t="str">
        <f>VLOOKUP(E18504,DSSpieler!A:B,2,FALSE)</f>
        <v>Fürst Oja</v>
      </c>
    </row>
    <row r="18505" spans="1:10" x14ac:dyDescent="0.25">
      <c r="A18505">
        <v>21016</v>
      </c>
      <c r="B18505" t="s">
        <v>531</v>
      </c>
      <c r="C18505">
        <v>625</v>
      </c>
      <c r="D18505">
        <v>451</v>
      </c>
      <c r="E18505">
        <v>0</v>
      </c>
      <c r="F18505">
        <v>45</v>
      </c>
      <c r="G18505">
        <v>0</v>
      </c>
      <c r="H18505" t="s">
        <v>23342</v>
      </c>
      <c r="I18505">
        <v>21016</v>
      </c>
      <c r="J18505" t="e">
        <f>VLOOKUP(E18505,DSSpieler!A:B,2,FALSE)</f>
        <v>#N/A</v>
      </c>
    </row>
    <row r="18506" spans="1:10" x14ac:dyDescent="0.25">
      <c r="A18506">
        <v>21017</v>
      </c>
      <c r="B18506" t="s">
        <v>4654</v>
      </c>
      <c r="C18506">
        <v>630</v>
      </c>
      <c r="D18506">
        <v>464</v>
      </c>
      <c r="E18506">
        <v>1577138646</v>
      </c>
      <c r="F18506">
        <v>26</v>
      </c>
      <c r="G18506">
        <v>0</v>
      </c>
      <c r="H18506" t="s">
        <v>23343</v>
      </c>
      <c r="I18506">
        <v>21017</v>
      </c>
      <c r="J18506" t="str">
        <f>VLOOKUP(E18506,DSSpieler!A:B,2,FALSE)</f>
        <v>SrgKoal</v>
      </c>
    </row>
    <row r="18507" spans="1:10" x14ac:dyDescent="0.25">
      <c r="A18507">
        <v>21018</v>
      </c>
      <c r="B18507" t="s">
        <v>531</v>
      </c>
      <c r="C18507">
        <v>385</v>
      </c>
      <c r="D18507">
        <v>567</v>
      </c>
      <c r="E18507">
        <v>570509</v>
      </c>
      <c r="F18507">
        <v>179</v>
      </c>
      <c r="G18507">
        <v>0</v>
      </c>
      <c r="H18507" t="s">
        <v>23344</v>
      </c>
      <c r="I18507">
        <v>21018</v>
      </c>
      <c r="J18507" t="str">
        <f>VLOOKUP(E18507,DSSpieler!A:B,2,FALSE)</f>
        <v>Han Solo 7</v>
      </c>
    </row>
    <row r="18508" spans="1:10" x14ac:dyDescent="0.25">
      <c r="A18508">
        <v>21019</v>
      </c>
      <c r="B18508" t="s">
        <v>4655</v>
      </c>
      <c r="C18508">
        <v>430</v>
      </c>
      <c r="D18508">
        <v>613</v>
      </c>
      <c r="E18508">
        <v>1577209211</v>
      </c>
      <c r="F18508">
        <v>26</v>
      </c>
      <c r="G18508">
        <v>0</v>
      </c>
      <c r="H18508" t="s">
        <v>23345</v>
      </c>
      <c r="I18508">
        <v>21019</v>
      </c>
      <c r="J18508" t="str">
        <f>VLOOKUP(E18508,DSSpieler!A:B,2,FALSE)</f>
        <v>Himbi123</v>
      </c>
    </row>
    <row r="18509" spans="1:10" x14ac:dyDescent="0.25">
      <c r="A18509">
        <v>21020</v>
      </c>
      <c r="B18509" t="s">
        <v>4656</v>
      </c>
      <c r="C18509">
        <v>486</v>
      </c>
      <c r="D18509">
        <v>375</v>
      </c>
      <c r="E18509">
        <v>9113845</v>
      </c>
      <c r="F18509">
        <v>104</v>
      </c>
      <c r="G18509">
        <v>0</v>
      </c>
      <c r="H18509" t="s">
        <v>23346</v>
      </c>
      <c r="I18509">
        <v>21020</v>
      </c>
      <c r="J18509" t="str">
        <f>VLOOKUP(E18509,DSSpieler!A:B,2,FALSE)</f>
        <v>Harryhirch</v>
      </c>
    </row>
    <row r="18510" spans="1:10" x14ac:dyDescent="0.25">
      <c r="A18510">
        <v>21021</v>
      </c>
      <c r="B18510" t="s">
        <v>4657</v>
      </c>
      <c r="C18510">
        <v>371</v>
      </c>
      <c r="D18510">
        <v>545</v>
      </c>
      <c r="E18510">
        <v>1577037815</v>
      </c>
      <c r="F18510">
        <v>26</v>
      </c>
      <c r="G18510">
        <v>0</v>
      </c>
      <c r="H18510" t="s">
        <v>23347</v>
      </c>
      <c r="I18510">
        <v>21021</v>
      </c>
      <c r="J18510" t="str">
        <f>VLOOKUP(E18510,DSSpieler!A:B,2,FALSE)</f>
        <v>Philippinho</v>
      </c>
    </row>
    <row r="18511" spans="1:10" x14ac:dyDescent="0.25">
      <c r="A18511">
        <v>21022</v>
      </c>
      <c r="B18511" t="s">
        <v>4658</v>
      </c>
      <c r="C18511">
        <v>566</v>
      </c>
      <c r="D18511">
        <v>377</v>
      </c>
      <c r="E18511">
        <v>1384686</v>
      </c>
      <c r="F18511">
        <v>195</v>
      </c>
      <c r="G18511">
        <v>0</v>
      </c>
      <c r="H18511" t="s">
        <v>23348</v>
      </c>
      <c r="I18511">
        <v>21022</v>
      </c>
      <c r="J18511" t="str">
        <f>VLOOKUP(E18511,DSSpieler!A:B,2,FALSE)</f>
        <v>Gollum95</v>
      </c>
    </row>
    <row r="18512" spans="1:10" x14ac:dyDescent="0.25">
      <c r="A18512">
        <v>21023</v>
      </c>
      <c r="B18512" t="s">
        <v>4659</v>
      </c>
      <c r="C18512">
        <v>625</v>
      </c>
      <c r="D18512">
        <v>486</v>
      </c>
      <c r="E18512">
        <v>8179200</v>
      </c>
      <c r="F18512">
        <v>161</v>
      </c>
      <c r="G18512">
        <v>0</v>
      </c>
      <c r="H18512" t="s">
        <v>23349</v>
      </c>
      <c r="I18512">
        <v>21023</v>
      </c>
      <c r="J18512" t="str">
        <f>VLOOKUP(E18512,DSSpieler!A:B,2,FALSE)</f>
        <v>Energycontrol</v>
      </c>
    </row>
    <row r="18513" spans="1:10" x14ac:dyDescent="0.25">
      <c r="A18513">
        <v>21024</v>
      </c>
      <c r="B18513" t="s">
        <v>4660</v>
      </c>
      <c r="C18513">
        <v>610</v>
      </c>
      <c r="D18513">
        <v>415</v>
      </c>
      <c r="E18513">
        <v>1577114285</v>
      </c>
      <c r="F18513">
        <v>52</v>
      </c>
      <c r="G18513">
        <v>0</v>
      </c>
      <c r="H18513" t="s">
        <v>23350</v>
      </c>
      <c r="I18513">
        <v>21024</v>
      </c>
      <c r="J18513" t="str">
        <f>VLOOKUP(E18513,DSSpieler!A:B,2,FALSE)</f>
        <v>Heiße-Zitrone</v>
      </c>
    </row>
    <row r="18514" spans="1:10" x14ac:dyDescent="0.25">
      <c r="A18514">
        <v>21025</v>
      </c>
      <c r="B18514" t="s">
        <v>4661</v>
      </c>
      <c r="C18514">
        <v>631</v>
      </c>
      <c r="D18514">
        <v>453</v>
      </c>
      <c r="E18514">
        <v>1577167662</v>
      </c>
      <c r="F18514">
        <v>26</v>
      </c>
      <c r="G18514">
        <v>0</v>
      </c>
      <c r="H18514" t="s">
        <v>23351</v>
      </c>
      <c r="I18514">
        <v>21025</v>
      </c>
      <c r="J18514" t="str">
        <f>VLOOKUP(E18514,DSSpieler!A:B,2,FALSE)</f>
        <v>Oix2020</v>
      </c>
    </row>
    <row r="18515" spans="1:10" x14ac:dyDescent="0.25">
      <c r="A18515">
        <v>21026</v>
      </c>
      <c r="B18515" t="s">
        <v>4662</v>
      </c>
      <c r="C18515">
        <v>480</v>
      </c>
      <c r="D18515">
        <v>636</v>
      </c>
      <c r="E18515">
        <v>1577173316</v>
      </c>
      <c r="F18515">
        <v>26</v>
      </c>
      <c r="G18515">
        <v>0</v>
      </c>
      <c r="H18515" t="s">
        <v>23352</v>
      </c>
      <c r="I18515">
        <v>21026</v>
      </c>
      <c r="J18515" t="str">
        <f>VLOOKUP(E18515,DSSpieler!A:B,2,FALSE)</f>
        <v>1210wien</v>
      </c>
    </row>
    <row r="18516" spans="1:10" x14ac:dyDescent="0.25">
      <c r="A18516">
        <v>21027</v>
      </c>
      <c r="B18516" t="s">
        <v>4663</v>
      </c>
      <c r="C18516">
        <v>636</v>
      </c>
      <c r="D18516">
        <v>495</v>
      </c>
      <c r="E18516">
        <v>7877158</v>
      </c>
      <c r="F18516">
        <v>289</v>
      </c>
      <c r="G18516">
        <v>0</v>
      </c>
      <c r="H18516" t="s">
        <v>23353</v>
      </c>
      <c r="I18516">
        <v>21027</v>
      </c>
      <c r="J18516" t="str">
        <f>VLOOKUP(E18516,DSSpieler!A:B,2,FALSE)</f>
        <v>XTzX</v>
      </c>
    </row>
    <row r="18517" spans="1:10" x14ac:dyDescent="0.25">
      <c r="A18517">
        <v>21028</v>
      </c>
      <c r="B18517" t="s">
        <v>4664</v>
      </c>
      <c r="C18517">
        <v>422</v>
      </c>
      <c r="D18517">
        <v>387</v>
      </c>
      <c r="E18517">
        <v>1577202247</v>
      </c>
      <c r="F18517">
        <v>26</v>
      </c>
      <c r="G18517">
        <v>0</v>
      </c>
      <c r="H18517" t="s">
        <v>23354</v>
      </c>
      <c r="I18517">
        <v>21028</v>
      </c>
      <c r="J18517" t="str">
        <f>VLOOKUP(E18517,DSSpieler!A:B,2,FALSE)</f>
        <v>Drakyl</v>
      </c>
    </row>
    <row r="18518" spans="1:10" x14ac:dyDescent="0.25">
      <c r="A18518">
        <v>21029</v>
      </c>
      <c r="B18518" t="s">
        <v>4665</v>
      </c>
      <c r="C18518">
        <v>417</v>
      </c>
      <c r="D18518">
        <v>610</v>
      </c>
      <c r="E18518">
        <v>1576578011</v>
      </c>
      <c r="F18518">
        <v>236</v>
      </c>
      <c r="G18518">
        <v>0</v>
      </c>
      <c r="H18518" t="s">
        <v>23355</v>
      </c>
      <c r="I18518">
        <v>21029</v>
      </c>
      <c r="J18518" t="str">
        <f>VLOOKUP(E18518,DSSpieler!A:B,2,FALSE)</f>
        <v>Renold</v>
      </c>
    </row>
    <row r="18519" spans="1:10" x14ac:dyDescent="0.25">
      <c r="A18519">
        <v>21030</v>
      </c>
      <c r="B18519" t="s">
        <v>4666</v>
      </c>
      <c r="C18519">
        <v>425</v>
      </c>
      <c r="D18519">
        <v>608</v>
      </c>
      <c r="E18519">
        <v>1576061692</v>
      </c>
      <c r="F18519">
        <v>246</v>
      </c>
      <c r="G18519">
        <v>0</v>
      </c>
      <c r="H18519" t="s">
        <v>23356</v>
      </c>
      <c r="I18519">
        <v>21030</v>
      </c>
      <c r="J18519" t="str">
        <f>VLOOKUP(E18519,DSSpieler!A:B,2,FALSE)</f>
        <v>olbi309</v>
      </c>
    </row>
    <row r="18520" spans="1:10" x14ac:dyDescent="0.25">
      <c r="A18520">
        <v>21031</v>
      </c>
      <c r="B18520" t="s">
        <v>4667</v>
      </c>
      <c r="C18520">
        <v>625</v>
      </c>
      <c r="D18520">
        <v>447</v>
      </c>
      <c r="E18520">
        <v>7829787</v>
      </c>
      <c r="F18520">
        <v>165</v>
      </c>
      <c r="G18520">
        <v>0</v>
      </c>
      <c r="H18520" t="s">
        <v>23357</v>
      </c>
      <c r="I18520">
        <v>21031</v>
      </c>
      <c r="J18520" t="str">
        <f>VLOOKUP(E18520,DSSpieler!A:B,2,FALSE)</f>
        <v>bloodhammer666</v>
      </c>
    </row>
    <row r="18521" spans="1:10" x14ac:dyDescent="0.25">
      <c r="A18521">
        <v>21032</v>
      </c>
      <c r="B18521" t="s">
        <v>4668</v>
      </c>
      <c r="C18521">
        <v>577</v>
      </c>
      <c r="D18521">
        <v>613</v>
      </c>
      <c r="E18521">
        <v>2872092</v>
      </c>
      <c r="F18521">
        <v>26</v>
      </c>
      <c r="G18521">
        <v>0</v>
      </c>
      <c r="H18521" t="s">
        <v>23358</v>
      </c>
      <c r="I18521">
        <v>21032</v>
      </c>
      <c r="J18521" t="str">
        <f>VLOOKUP(E18521,DSSpieler!A:B,2,FALSE)</f>
        <v>herrpo</v>
      </c>
    </row>
    <row r="18522" spans="1:10" x14ac:dyDescent="0.25">
      <c r="A18522">
        <v>21033</v>
      </c>
      <c r="B18522" t="s">
        <v>531</v>
      </c>
      <c r="C18522">
        <v>377</v>
      </c>
      <c r="D18522">
        <v>559</v>
      </c>
      <c r="E18522">
        <v>0</v>
      </c>
      <c r="F18522">
        <v>44</v>
      </c>
      <c r="G18522">
        <v>0</v>
      </c>
      <c r="H18522" t="s">
        <v>23359</v>
      </c>
      <c r="I18522">
        <v>21033</v>
      </c>
      <c r="J18522" t="e">
        <f>VLOOKUP(E18522,DSSpieler!A:B,2,FALSE)</f>
        <v>#N/A</v>
      </c>
    </row>
    <row r="18523" spans="1:10" x14ac:dyDescent="0.25">
      <c r="A18523">
        <v>21034</v>
      </c>
      <c r="B18523" t="s">
        <v>4669</v>
      </c>
      <c r="C18523">
        <v>540</v>
      </c>
      <c r="D18523">
        <v>378</v>
      </c>
      <c r="E18523">
        <v>2783153</v>
      </c>
      <c r="F18523">
        <v>589</v>
      </c>
      <c r="G18523">
        <v>0</v>
      </c>
      <c r="H18523" t="s">
        <v>23360</v>
      </c>
      <c r="I18523">
        <v>21034</v>
      </c>
      <c r="J18523" t="str">
        <f>VLOOKUP(E18523,DSSpieler!A:B,2,FALSE)</f>
        <v>ice1001</v>
      </c>
    </row>
    <row r="18524" spans="1:10" x14ac:dyDescent="0.25">
      <c r="A18524">
        <v>21035</v>
      </c>
      <c r="B18524" t="s">
        <v>4670</v>
      </c>
      <c r="C18524">
        <v>609</v>
      </c>
      <c r="D18524">
        <v>582</v>
      </c>
      <c r="E18524">
        <v>9819863</v>
      </c>
      <c r="F18524">
        <v>75</v>
      </c>
      <c r="G18524">
        <v>0</v>
      </c>
      <c r="H18524" t="s">
        <v>23361</v>
      </c>
      <c r="I18524">
        <v>21035</v>
      </c>
      <c r="J18524" t="str">
        <f>VLOOKUP(E18524,DSSpieler!A:B,2,FALSE)</f>
        <v>Sibi1988</v>
      </c>
    </row>
    <row r="18525" spans="1:10" x14ac:dyDescent="0.25">
      <c r="A18525">
        <v>21036</v>
      </c>
      <c r="B18525" t="s">
        <v>4671</v>
      </c>
      <c r="C18525">
        <v>466</v>
      </c>
      <c r="D18525">
        <v>366</v>
      </c>
      <c r="E18525">
        <v>1577197651</v>
      </c>
      <c r="F18525">
        <v>286</v>
      </c>
      <c r="G18525">
        <v>0</v>
      </c>
      <c r="H18525" t="s">
        <v>23362</v>
      </c>
      <c r="I18525">
        <v>21036</v>
      </c>
      <c r="J18525" t="str">
        <f>VLOOKUP(E18525,DSSpieler!A:B,2,FALSE)</f>
        <v>Janosh Kronos</v>
      </c>
    </row>
    <row r="18526" spans="1:10" x14ac:dyDescent="0.25">
      <c r="A18526">
        <v>21037</v>
      </c>
      <c r="B18526" t="s">
        <v>4672</v>
      </c>
      <c r="C18526">
        <v>474</v>
      </c>
      <c r="D18526">
        <v>632</v>
      </c>
      <c r="E18526">
        <v>1577194091</v>
      </c>
      <c r="F18526">
        <v>282</v>
      </c>
      <c r="G18526">
        <v>0</v>
      </c>
      <c r="H18526" t="s">
        <v>23363</v>
      </c>
      <c r="I18526">
        <v>21037</v>
      </c>
      <c r="J18526" t="str">
        <f>VLOOKUP(E18526,DSSpieler!A:B,2,FALSE)</f>
        <v>Corpehofi</v>
      </c>
    </row>
    <row r="18527" spans="1:10" x14ac:dyDescent="0.25">
      <c r="A18527">
        <v>21038</v>
      </c>
      <c r="B18527" t="s">
        <v>35789</v>
      </c>
      <c r="C18527">
        <v>404</v>
      </c>
      <c r="D18527">
        <v>406</v>
      </c>
      <c r="E18527">
        <v>1577207452</v>
      </c>
      <c r="F18527">
        <v>50</v>
      </c>
      <c r="G18527">
        <v>0</v>
      </c>
      <c r="H18527" t="s">
        <v>23364</v>
      </c>
      <c r="I18527">
        <v>21038</v>
      </c>
      <c r="J18527" t="str">
        <f>VLOOKUP(E18527,DSSpieler!A:B,2,FALSE)</f>
        <v>döda</v>
      </c>
    </row>
    <row r="18528" spans="1:10" x14ac:dyDescent="0.25">
      <c r="A18528">
        <v>21039</v>
      </c>
      <c r="B18528" t="s">
        <v>531</v>
      </c>
      <c r="C18528">
        <v>387</v>
      </c>
      <c r="D18528">
        <v>572</v>
      </c>
      <c r="E18528">
        <v>0</v>
      </c>
      <c r="F18528">
        <v>34</v>
      </c>
      <c r="G18528">
        <v>0</v>
      </c>
      <c r="H18528" t="s">
        <v>23365</v>
      </c>
      <c r="I18528">
        <v>21039</v>
      </c>
      <c r="J18528" t="e">
        <f>VLOOKUP(E18528,DSSpieler!A:B,2,FALSE)</f>
        <v>#N/A</v>
      </c>
    </row>
    <row r="18529" spans="1:10" x14ac:dyDescent="0.25">
      <c r="A18529">
        <v>21040</v>
      </c>
      <c r="B18529" t="s">
        <v>4673</v>
      </c>
      <c r="C18529">
        <v>376</v>
      </c>
      <c r="D18529">
        <v>548</v>
      </c>
      <c r="E18529">
        <v>1577165824</v>
      </c>
      <c r="F18529">
        <v>141</v>
      </c>
      <c r="G18529">
        <v>0</v>
      </c>
      <c r="H18529" t="s">
        <v>23366</v>
      </c>
      <c r="I18529">
        <v>21040</v>
      </c>
      <c r="J18529" t="str">
        <f>VLOOKUP(E18529,DSSpieler!A:B,2,FALSE)</f>
        <v>forazerTM</v>
      </c>
    </row>
    <row r="18530" spans="1:10" x14ac:dyDescent="0.25">
      <c r="A18530">
        <v>21041</v>
      </c>
      <c r="B18530" t="s">
        <v>4674</v>
      </c>
      <c r="C18530">
        <v>618</v>
      </c>
      <c r="D18530">
        <v>433</v>
      </c>
      <c r="E18530">
        <v>1576118171</v>
      </c>
      <c r="F18530">
        <v>26</v>
      </c>
      <c r="G18530">
        <v>0</v>
      </c>
      <c r="H18530" t="s">
        <v>23367</v>
      </c>
      <c r="I18530">
        <v>21041</v>
      </c>
      <c r="J18530" t="str">
        <f>VLOOKUP(E18530,DSSpieler!A:B,2,FALSE)</f>
        <v>KvdH</v>
      </c>
    </row>
    <row r="18531" spans="1:10" x14ac:dyDescent="0.25">
      <c r="A18531">
        <v>21042</v>
      </c>
      <c r="B18531" t="s">
        <v>4675</v>
      </c>
      <c r="C18531">
        <v>630</v>
      </c>
      <c r="D18531">
        <v>527</v>
      </c>
      <c r="E18531">
        <v>10065114</v>
      </c>
      <c r="F18531">
        <v>26</v>
      </c>
      <c r="G18531">
        <v>0</v>
      </c>
      <c r="H18531" t="s">
        <v>23368</v>
      </c>
      <c r="I18531">
        <v>21042</v>
      </c>
      <c r="J18531" t="str">
        <f>VLOOKUP(E18531,DSSpieler!A:B,2,FALSE)</f>
        <v>Potsu</v>
      </c>
    </row>
    <row r="18532" spans="1:10" x14ac:dyDescent="0.25">
      <c r="A18532">
        <v>21043</v>
      </c>
      <c r="B18532" t="s">
        <v>4676</v>
      </c>
      <c r="C18532">
        <v>526</v>
      </c>
      <c r="D18532">
        <v>365</v>
      </c>
      <c r="E18532">
        <v>2924540</v>
      </c>
      <c r="F18532">
        <v>26</v>
      </c>
      <c r="G18532">
        <v>0</v>
      </c>
      <c r="H18532" t="s">
        <v>23369</v>
      </c>
      <c r="I18532">
        <v>21043</v>
      </c>
      <c r="J18532" t="str">
        <f>VLOOKUP(E18532,DSSpieler!A:B,2,FALSE)</f>
        <v>boggy2</v>
      </c>
    </row>
    <row r="18533" spans="1:10" x14ac:dyDescent="0.25">
      <c r="A18533">
        <v>21044</v>
      </c>
      <c r="B18533" t="s">
        <v>531</v>
      </c>
      <c r="C18533">
        <v>485</v>
      </c>
      <c r="D18533">
        <v>633</v>
      </c>
      <c r="E18533">
        <v>0</v>
      </c>
      <c r="F18533">
        <v>34</v>
      </c>
      <c r="G18533">
        <v>0</v>
      </c>
      <c r="H18533" t="s">
        <v>23370</v>
      </c>
      <c r="I18533">
        <v>21044</v>
      </c>
      <c r="J18533" t="e">
        <f>VLOOKUP(E18533,DSSpieler!A:B,2,FALSE)</f>
        <v>#N/A</v>
      </c>
    </row>
    <row r="18534" spans="1:10" x14ac:dyDescent="0.25">
      <c r="A18534">
        <v>21045</v>
      </c>
      <c r="B18534" t="s">
        <v>4677</v>
      </c>
      <c r="C18534">
        <v>610</v>
      </c>
      <c r="D18534">
        <v>421</v>
      </c>
      <c r="E18534">
        <v>1577073875</v>
      </c>
      <c r="F18534">
        <v>146</v>
      </c>
      <c r="G18534">
        <v>0</v>
      </c>
      <c r="H18534" t="s">
        <v>23371</v>
      </c>
      <c r="I18534">
        <v>21045</v>
      </c>
      <c r="J18534" t="str">
        <f>VLOOKUP(E18534,DSSpieler!A:B,2,FALSE)</f>
        <v>rumen123</v>
      </c>
    </row>
    <row r="18535" spans="1:10" x14ac:dyDescent="0.25">
      <c r="A18535">
        <v>21046</v>
      </c>
      <c r="B18535" t="s">
        <v>4678</v>
      </c>
      <c r="C18535">
        <v>504</v>
      </c>
      <c r="D18535">
        <v>393</v>
      </c>
      <c r="E18535">
        <v>1577023758</v>
      </c>
      <c r="F18535">
        <v>229</v>
      </c>
      <c r="G18535">
        <v>0</v>
      </c>
      <c r="H18535" t="s">
        <v>23372</v>
      </c>
      <c r="I18535">
        <v>21046</v>
      </c>
      <c r="J18535" t="str">
        <f>VLOOKUP(E18535,DSSpieler!A:B,2,FALSE)</f>
        <v>MosiYT</v>
      </c>
    </row>
    <row r="18536" spans="1:10" x14ac:dyDescent="0.25">
      <c r="A18536">
        <v>21047</v>
      </c>
      <c r="B18536" t="s">
        <v>4679</v>
      </c>
      <c r="C18536">
        <v>430</v>
      </c>
      <c r="D18536">
        <v>619</v>
      </c>
      <c r="E18536">
        <v>1575877352</v>
      </c>
      <c r="F18536">
        <v>156</v>
      </c>
      <c r="G18536">
        <v>0</v>
      </c>
      <c r="H18536" t="s">
        <v>23373</v>
      </c>
      <c r="I18536">
        <v>21047</v>
      </c>
      <c r="J18536" t="str">
        <f>VLOOKUP(E18536,DSSpieler!A:B,2,FALSE)</f>
        <v>tilleich</v>
      </c>
    </row>
    <row r="18537" spans="1:10" x14ac:dyDescent="0.25">
      <c r="A18537">
        <v>21048</v>
      </c>
      <c r="B18537" t="s">
        <v>4680</v>
      </c>
      <c r="C18537">
        <v>570</v>
      </c>
      <c r="D18537">
        <v>385</v>
      </c>
      <c r="E18537">
        <v>1577209230</v>
      </c>
      <c r="F18537">
        <v>209</v>
      </c>
      <c r="G18537">
        <v>0</v>
      </c>
      <c r="H18537" t="s">
        <v>23374</v>
      </c>
      <c r="I18537">
        <v>21048</v>
      </c>
      <c r="J18537" t="str">
        <f>VLOOKUP(E18537,DSSpieler!A:B,2,FALSE)</f>
        <v>STORMBURNS</v>
      </c>
    </row>
    <row r="18538" spans="1:10" x14ac:dyDescent="0.25">
      <c r="A18538">
        <v>21049</v>
      </c>
      <c r="B18538" t="s">
        <v>531</v>
      </c>
      <c r="C18538">
        <v>634</v>
      </c>
      <c r="D18538">
        <v>509</v>
      </c>
      <c r="E18538">
        <v>0</v>
      </c>
      <c r="F18538">
        <v>40</v>
      </c>
      <c r="G18538">
        <v>0</v>
      </c>
      <c r="H18538" t="s">
        <v>23375</v>
      </c>
      <c r="I18538">
        <v>21049</v>
      </c>
      <c r="J18538" t="e">
        <f>VLOOKUP(E18538,DSSpieler!A:B,2,FALSE)</f>
        <v>#N/A</v>
      </c>
    </row>
    <row r="18539" spans="1:10" x14ac:dyDescent="0.25">
      <c r="A18539">
        <v>21050</v>
      </c>
      <c r="B18539" t="s">
        <v>4681</v>
      </c>
      <c r="C18539">
        <v>369</v>
      </c>
      <c r="D18539">
        <v>469</v>
      </c>
      <c r="E18539">
        <v>1577134893</v>
      </c>
      <c r="F18539">
        <v>26</v>
      </c>
      <c r="G18539">
        <v>0</v>
      </c>
      <c r="H18539" t="s">
        <v>23376</v>
      </c>
      <c r="I18539">
        <v>21050</v>
      </c>
      <c r="J18539" t="str">
        <f>VLOOKUP(E18539,DSSpieler!A:B,2,FALSE)</f>
        <v>Wandersocke3000</v>
      </c>
    </row>
    <row r="18540" spans="1:10" x14ac:dyDescent="0.25">
      <c r="A18540">
        <v>21051</v>
      </c>
      <c r="B18540" t="s">
        <v>531</v>
      </c>
      <c r="C18540">
        <v>515</v>
      </c>
      <c r="D18540">
        <v>634</v>
      </c>
      <c r="E18540">
        <v>0</v>
      </c>
      <c r="F18540">
        <v>37</v>
      </c>
      <c r="G18540">
        <v>0</v>
      </c>
      <c r="H18540" t="s">
        <v>23377</v>
      </c>
      <c r="I18540">
        <v>21051</v>
      </c>
      <c r="J18540" t="e">
        <f>VLOOKUP(E18540,DSSpieler!A:B,2,FALSE)</f>
        <v>#N/A</v>
      </c>
    </row>
    <row r="18541" spans="1:10" x14ac:dyDescent="0.25">
      <c r="A18541">
        <v>21052</v>
      </c>
      <c r="B18541" t="s">
        <v>4682</v>
      </c>
      <c r="C18541">
        <v>616</v>
      </c>
      <c r="D18541">
        <v>431</v>
      </c>
      <c r="E18541">
        <v>1576231074</v>
      </c>
      <c r="F18541">
        <v>225</v>
      </c>
      <c r="G18541">
        <v>0</v>
      </c>
      <c r="H18541" t="s">
        <v>23378</v>
      </c>
      <c r="I18541">
        <v>21052</v>
      </c>
      <c r="J18541" t="str">
        <f>VLOOKUP(E18541,DSSpieler!A:B,2,FALSE)</f>
        <v>dinosyrus</v>
      </c>
    </row>
    <row r="18542" spans="1:10" x14ac:dyDescent="0.25">
      <c r="A18542">
        <v>21053</v>
      </c>
      <c r="B18542" t="s">
        <v>4683</v>
      </c>
      <c r="C18542">
        <v>411</v>
      </c>
      <c r="D18542">
        <v>396</v>
      </c>
      <c r="E18542">
        <v>1577199766</v>
      </c>
      <c r="F18542">
        <v>276</v>
      </c>
      <c r="G18542">
        <v>0</v>
      </c>
      <c r="H18542" t="s">
        <v>23379</v>
      </c>
      <c r="I18542">
        <v>21053</v>
      </c>
      <c r="J18542" t="str">
        <f>VLOOKUP(E18542,DSSpieler!A:B,2,FALSE)</f>
        <v>Massaaaa</v>
      </c>
    </row>
    <row r="18543" spans="1:10" x14ac:dyDescent="0.25">
      <c r="A18543">
        <v>21054</v>
      </c>
      <c r="B18543" t="s">
        <v>531</v>
      </c>
      <c r="C18543">
        <v>628</v>
      </c>
      <c r="D18543">
        <v>556</v>
      </c>
      <c r="E18543">
        <v>0</v>
      </c>
      <c r="F18543">
        <v>30</v>
      </c>
      <c r="G18543">
        <v>0</v>
      </c>
      <c r="H18543" t="s">
        <v>23380</v>
      </c>
      <c r="I18543">
        <v>21054</v>
      </c>
      <c r="J18543" t="e">
        <f>VLOOKUP(E18543,DSSpieler!A:B,2,FALSE)</f>
        <v>#N/A</v>
      </c>
    </row>
    <row r="18544" spans="1:10" x14ac:dyDescent="0.25">
      <c r="A18544">
        <v>21055</v>
      </c>
      <c r="B18544" t="s">
        <v>4684</v>
      </c>
      <c r="C18544">
        <v>485</v>
      </c>
      <c r="D18544">
        <v>547</v>
      </c>
      <c r="E18544">
        <v>7856245</v>
      </c>
      <c r="F18544">
        <v>249</v>
      </c>
      <c r="G18544">
        <v>0</v>
      </c>
      <c r="H18544" t="s">
        <v>23381</v>
      </c>
      <c r="I18544">
        <v>21055</v>
      </c>
      <c r="J18544" t="str">
        <f>VLOOKUP(E18544,DSSpieler!A:B,2,FALSE)</f>
        <v>Opfergott</v>
      </c>
    </row>
    <row r="18545" spans="1:10" x14ac:dyDescent="0.25">
      <c r="A18545">
        <v>21056</v>
      </c>
      <c r="B18545" t="s">
        <v>4685</v>
      </c>
      <c r="C18545">
        <v>633</v>
      </c>
      <c r="D18545">
        <v>532</v>
      </c>
      <c r="E18545">
        <v>1577170445</v>
      </c>
      <c r="F18545">
        <v>26</v>
      </c>
      <c r="G18545">
        <v>0</v>
      </c>
      <c r="H18545" t="s">
        <v>23382</v>
      </c>
      <c r="I18545">
        <v>21056</v>
      </c>
      <c r="J18545" t="str">
        <f>VLOOKUP(E18545,DSSpieler!A:B,2,FALSE)</f>
        <v>HDKartoffelsalat</v>
      </c>
    </row>
    <row r="18546" spans="1:10" x14ac:dyDescent="0.25">
      <c r="A18546">
        <v>21057</v>
      </c>
      <c r="B18546" t="s">
        <v>35790</v>
      </c>
      <c r="C18546">
        <v>383</v>
      </c>
      <c r="D18546">
        <v>429</v>
      </c>
      <c r="E18546">
        <v>1577032063</v>
      </c>
      <c r="F18546">
        <v>220</v>
      </c>
      <c r="G18546">
        <v>0</v>
      </c>
      <c r="H18546" t="s">
        <v>23383</v>
      </c>
      <c r="I18546">
        <v>21057</v>
      </c>
      <c r="J18546" t="str">
        <f>VLOOKUP(E18546,DSSpieler!A:B,2,FALSE)</f>
        <v>Brummmbär</v>
      </c>
    </row>
    <row r="18547" spans="1:10" x14ac:dyDescent="0.25">
      <c r="A18547">
        <v>21058</v>
      </c>
      <c r="B18547" t="s">
        <v>4686</v>
      </c>
      <c r="C18547">
        <v>376</v>
      </c>
      <c r="D18547">
        <v>447</v>
      </c>
      <c r="E18547">
        <v>1576059814</v>
      </c>
      <c r="F18547">
        <v>26</v>
      </c>
      <c r="G18547">
        <v>0</v>
      </c>
      <c r="H18547" t="s">
        <v>23384</v>
      </c>
      <c r="I18547">
        <v>21058</v>
      </c>
      <c r="J18547" t="str">
        <f>VLOOKUP(E18547,DSSpieler!A:B,2,FALSE)</f>
        <v>Spidi204</v>
      </c>
    </row>
    <row r="18548" spans="1:10" x14ac:dyDescent="0.25">
      <c r="A18548">
        <v>21059</v>
      </c>
      <c r="B18548" t="s">
        <v>4687</v>
      </c>
      <c r="C18548">
        <v>476</v>
      </c>
      <c r="D18548">
        <v>435</v>
      </c>
      <c r="E18548">
        <v>1577179982</v>
      </c>
      <c r="F18548">
        <v>26</v>
      </c>
      <c r="G18548">
        <v>0</v>
      </c>
      <c r="H18548" t="s">
        <v>23385</v>
      </c>
      <c r="I18548">
        <v>21059</v>
      </c>
      <c r="J18548" t="str">
        <f>VLOOKUP(E18548,DSSpieler!A:B,2,FALSE)</f>
        <v>LuckyTera</v>
      </c>
    </row>
    <row r="18549" spans="1:10" x14ac:dyDescent="0.25">
      <c r="A18549">
        <v>21060</v>
      </c>
      <c r="B18549" t="s">
        <v>4688</v>
      </c>
      <c r="C18549">
        <v>427</v>
      </c>
      <c r="D18549">
        <v>552</v>
      </c>
      <c r="E18549">
        <v>8116656</v>
      </c>
      <c r="F18549">
        <v>151</v>
      </c>
      <c r="G18549">
        <v>0</v>
      </c>
      <c r="H18549" t="s">
        <v>23386</v>
      </c>
      <c r="I18549">
        <v>21060</v>
      </c>
      <c r="J18549" t="str">
        <f>VLOOKUP(E18549,DSSpieler!A:B,2,FALSE)</f>
        <v>starwars71</v>
      </c>
    </row>
    <row r="18550" spans="1:10" x14ac:dyDescent="0.25">
      <c r="A18550">
        <v>21061</v>
      </c>
      <c r="B18550" t="s">
        <v>4689</v>
      </c>
      <c r="C18550">
        <v>508</v>
      </c>
      <c r="D18550">
        <v>639</v>
      </c>
      <c r="E18550">
        <v>1577203749</v>
      </c>
      <c r="F18550">
        <v>207</v>
      </c>
      <c r="G18550">
        <v>0</v>
      </c>
      <c r="H18550" t="s">
        <v>23387</v>
      </c>
      <c r="I18550">
        <v>21061</v>
      </c>
      <c r="J18550" t="str">
        <f>VLOOKUP(E18550,DSSpieler!A:B,2,FALSE)</f>
        <v>schwon</v>
      </c>
    </row>
    <row r="18551" spans="1:10" x14ac:dyDescent="0.25">
      <c r="A18551">
        <v>21062</v>
      </c>
      <c r="B18551" t="s">
        <v>35791</v>
      </c>
      <c r="C18551">
        <v>506</v>
      </c>
      <c r="D18551">
        <v>376</v>
      </c>
      <c r="E18551">
        <v>1577114847</v>
      </c>
      <c r="F18551">
        <v>199</v>
      </c>
      <c r="G18551">
        <v>0</v>
      </c>
      <c r="H18551" t="s">
        <v>23388</v>
      </c>
      <c r="I18551">
        <v>21062</v>
      </c>
      <c r="J18551" t="str">
        <f>VLOOKUP(E18551,DSSpieler!A:B,2,FALSE)</f>
        <v>Fensterplätzchen</v>
      </c>
    </row>
    <row r="18552" spans="1:10" x14ac:dyDescent="0.25">
      <c r="A18552">
        <v>21063</v>
      </c>
      <c r="B18552" t="s">
        <v>4690</v>
      </c>
      <c r="C18552">
        <v>464</v>
      </c>
      <c r="D18552">
        <v>614</v>
      </c>
      <c r="E18552">
        <v>1577153736</v>
      </c>
      <c r="F18552">
        <v>26</v>
      </c>
      <c r="G18552">
        <v>0</v>
      </c>
      <c r="H18552" t="s">
        <v>23389</v>
      </c>
      <c r="I18552">
        <v>21063</v>
      </c>
      <c r="J18552" t="str">
        <f>VLOOKUP(E18552,DSSpieler!A:B,2,FALSE)</f>
        <v>Dani91</v>
      </c>
    </row>
    <row r="18553" spans="1:10" x14ac:dyDescent="0.25">
      <c r="A18553">
        <v>21064</v>
      </c>
      <c r="B18553" t="s">
        <v>4691</v>
      </c>
      <c r="C18553">
        <v>577</v>
      </c>
      <c r="D18553">
        <v>614</v>
      </c>
      <c r="E18553">
        <v>9909080</v>
      </c>
      <c r="F18553">
        <v>26</v>
      </c>
      <c r="G18553">
        <v>0</v>
      </c>
      <c r="H18553" t="s">
        <v>23390</v>
      </c>
      <c r="I18553">
        <v>21064</v>
      </c>
      <c r="J18553" t="str">
        <f>VLOOKUP(E18553,DSSpieler!A:B,2,FALSE)</f>
        <v>PB Dealer95</v>
      </c>
    </row>
    <row r="18554" spans="1:10" x14ac:dyDescent="0.25">
      <c r="A18554">
        <v>21065</v>
      </c>
      <c r="B18554" t="s">
        <v>35792</v>
      </c>
      <c r="C18554">
        <v>362</v>
      </c>
      <c r="D18554">
        <v>506</v>
      </c>
      <c r="E18554">
        <v>1577204987</v>
      </c>
      <c r="F18554">
        <v>262</v>
      </c>
      <c r="G18554">
        <v>0</v>
      </c>
      <c r="H18554" t="s">
        <v>23391</v>
      </c>
      <c r="I18554">
        <v>21065</v>
      </c>
      <c r="J18554" t="str">
        <f>VLOOKUP(E18554,DSSpieler!A:B,2,FALSE)</f>
        <v>Mara</v>
      </c>
    </row>
    <row r="18555" spans="1:10" x14ac:dyDescent="0.25">
      <c r="A18555">
        <v>21066</v>
      </c>
      <c r="B18555" t="s">
        <v>4692</v>
      </c>
      <c r="C18555">
        <v>385</v>
      </c>
      <c r="D18555">
        <v>431</v>
      </c>
      <c r="E18555">
        <v>1576903365</v>
      </c>
      <c r="F18555">
        <v>26</v>
      </c>
      <c r="G18555">
        <v>0</v>
      </c>
      <c r="H18555" t="s">
        <v>23392</v>
      </c>
      <c r="I18555">
        <v>21066</v>
      </c>
      <c r="J18555" t="str">
        <f>VLOOKUP(E18555,DSSpieler!A:B,2,FALSE)</f>
        <v>Zarroc</v>
      </c>
    </row>
    <row r="18556" spans="1:10" x14ac:dyDescent="0.25">
      <c r="A18556">
        <v>21067</v>
      </c>
      <c r="B18556" t="s">
        <v>531</v>
      </c>
      <c r="C18556">
        <v>376</v>
      </c>
      <c r="D18556">
        <v>554</v>
      </c>
      <c r="E18556">
        <v>0</v>
      </c>
      <c r="F18556">
        <v>34</v>
      </c>
      <c r="G18556">
        <v>0</v>
      </c>
      <c r="H18556" t="s">
        <v>23393</v>
      </c>
      <c r="I18556">
        <v>21067</v>
      </c>
      <c r="J18556" t="e">
        <f>VLOOKUP(E18556,DSSpieler!A:B,2,FALSE)</f>
        <v>#N/A</v>
      </c>
    </row>
    <row r="18557" spans="1:10" x14ac:dyDescent="0.25">
      <c r="A18557">
        <v>21068</v>
      </c>
      <c r="B18557" t="s">
        <v>4693</v>
      </c>
      <c r="C18557">
        <v>636</v>
      </c>
      <c r="D18557">
        <v>468</v>
      </c>
      <c r="E18557">
        <v>1577208007</v>
      </c>
      <c r="F18557">
        <v>223</v>
      </c>
      <c r="G18557">
        <v>0</v>
      </c>
      <c r="H18557" t="s">
        <v>23394</v>
      </c>
      <c r="I18557">
        <v>21068</v>
      </c>
      <c r="J18557" t="str">
        <f>VLOOKUP(E18557,DSSpieler!A:B,2,FALSE)</f>
        <v>KingPin147</v>
      </c>
    </row>
    <row r="18558" spans="1:10" x14ac:dyDescent="0.25">
      <c r="A18558">
        <v>21069</v>
      </c>
      <c r="B18558" t="s">
        <v>4694</v>
      </c>
      <c r="C18558">
        <v>370</v>
      </c>
      <c r="D18558">
        <v>551</v>
      </c>
      <c r="E18558">
        <v>8788277</v>
      </c>
      <c r="F18558">
        <v>247</v>
      </c>
      <c r="G18558">
        <v>0</v>
      </c>
      <c r="H18558" t="s">
        <v>23395</v>
      </c>
      <c r="I18558">
        <v>21069</v>
      </c>
      <c r="J18558" t="str">
        <f>VLOOKUP(E18558,DSSpieler!A:B,2,FALSE)</f>
        <v>Jogi1989</v>
      </c>
    </row>
    <row r="18559" spans="1:10" x14ac:dyDescent="0.25">
      <c r="A18559">
        <v>21071</v>
      </c>
      <c r="B18559" t="s">
        <v>4695</v>
      </c>
      <c r="C18559">
        <v>364</v>
      </c>
      <c r="D18559">
        <v>477</v>
      </c>
      <c r="E18559">
        <v>2938058</v>
      </c>
      <c r="F18559">
        <v>265</v>
      </c>
      <c r="G18559">
        <v>0</v>
      </c>
      <c r="H18559" t="s">
        <v>23396</v>
      </c>
      <c r="I18559">
        <v>21071</v>
      </c>
      <c r="J18559" t="str">
        <f>VLOOKUP(E18559,DSSpieler!A:B,2,FALSE)</f>
        <v>tarikinho</v>
      </c>
    </row>
    <row r="18560" spans="1:10" x14ac:dyDescent="0.25">
      <c r="A18560">
        <v>21072</v>
      </c>
      <c r="B18560" t="s">
        <v>1420</v>
      </c>
      <c r="C18560">
        <v>470</v>
      </c>
      <c r="D18560">
        <v>630</v>
      </c>
      <c r="E18560">
        <v>8752512</v>
      </c>
      <c r="F18560">
        <v>223</v>
      </c>
      <c r="G18560">
        <v>0</v>
      </c>
      <c r="H18560" t="s">
        <v>23397</v>
      </c>
      <c r="I18560">
        <v>21072</v>
      </c>
      <c r="J18560" t="str">
        <f>VLOOKUP(E18560,DSSpieler!A:B,2,FALSE)</f>
        <v>Stoff.93</v>
      </c>
    </row>
    <row r="18561" spans="1:10" x14ac:dyDescent="0.25">
      <c r="A18561">
        <v>21073</v>
      </c>
      <c r="B18561" t="s">
        <v>4696</v>
      </c>
      <c r="C18561">
        <v>538</v>
      </c>
      <c r="D18561">
        <v>417</v>
      </c>
      <c r="E18561">
        <v>10256466</v>
      </c>
      <c r="F18561">
        <v>75</v>
      </c>
      <c r="G18561">
        <v>0</v>
      </c>
      <c r="H18561" t="s">
        <v>23398</v>
      </c>
      <c r="I18561">
        <v>21073</v>
      </c>
      <c r="J18561" t="str">
        <f>VLOOKUP(E18561,DSSpieler!A:B,2,FALSE)</f>
        <v>divinity666</v>
      </c>
    </row>
    <row r="18562" spans="1:10" x14ac:dyDescent="0.25">
      <c r="A18562">
        <v>21074</v>
      </c>
      <c r="B18562" t="s">
        <v>4697</v>
      </c>
      <c r="C18562">
        <v>534</v>
      </c>
      <c r="D18562">
        <v>626</v>
      </c>
      <c r="E18562">
        <v>1577131293</v>
      </c>
      <c r="F18562">
        <v>133</v>
      </c>
      <c r="G18562">
        <v>0</v>
      </c>
      <c r="H18562" t="s">
        <v>23399</v>
      </c>
      <c r="I18562">
        <v>21074</v>
      </c>
      <c r="J18562" t="str">
        <f>VLOOKUP(E18562,DSSpieler!A:B,2,FALSE)</f>
        <v>longus18</v>
      </c>
    </row>
    <row r="18563" spans="1:10" x14ac:dyDescent="0.25">
      <c r="A18563">
        <v>21075</v>
      </c>
      <c r="B18563" t="s">
        <v>4698</v>
      </c>
      <c r="C18563">
        <v>586</v>
      </c>
      <c r="D18563">
        <v>610</v>
      </c>
      <c r="E18563">
        <v>1576823502</v>
      </c>
      <c r="F18563">
        <v>26</v>
      </c>
      <c r="G18563">
        <v>0</v>
      </c>
      <c r="H18563" t="s">
        <v>23400</v>
      </c>
      <c r="I18563">
        <v>21075</v>
      </c>
      <c r="J18563" t="str">
        <f>VLOOKUP(E18563,DSSpieler!A:B,2,FALSE)</f>
        <v>Awesome Lordm</v>
      </c>
    </row>
    <row r="18564" spans="1:10" x14ac:dyDescent="0.25">
      <c r="A18564">
        <v>21076</v>
      </c>
      <c r="B18564" t="s">
        <v>4699</v>
      </c>
      <c r="C18564">
        <v>639</v>
      </c>
      <c r="D18564">
        <v>490</v>
      </c>
      <c r="E18564">
        <v>1187200</v>
      </c>
      <c r="F18564">
        <v>26</v>
      </c>
      <c r="G18564">
        <v>0</v>
      </c>
      <c r="H18564" t="s">
        <v>23401</v>
      </c>
      <c r="I18564">
        <v>21076</v>
      </c>
      <c r="J18564" t="str">
        <f>VLOOKUP(E18564,DSSpieler!A:B,2,FALSE)</f>
        <v>Don Niko</v>
      </c>
    </row>
    <row r="18565" spans="1:10" x14ac:dyDescent="0.25">
      <c r="A18565">
        <v>21077</v>
      </c>
      <c r="B18565" t="s">
        <v>531</v>
      </c>
      <c r="C18565">
        <v>376</v>
      </c>
      <c r="D18565">
        <v>564</v>
      </c>
      <c r="E18565">
        <v>0</v>
      </c>
      <c r="F18565">
        <v>50</v>
      </c>
      <c r="G18565">
        <v>0</v>
      </c>
      <c r="H18565" t="s">
        <v>23402</v>
      </c>
      <c r="I18565">
        <v>21077</v>
      </c>
      <c r="J18565" t="e">
        <f>VLOOKUP(E18565,DSSpieler!A:B,2,FALSE)</f>
        <v>#N/A</v>
      </c>
    </row>
    <row r="18566" spans="1:10" x14ac:dyDescent="0.25">
      <c r="A18566">
        <v>21078</v>
      </c>
      <c r="B18566" t="s">
        <v>4700</v>
      </c>
      <c r="C18566">
        <v>628</v>
      </c>
      <c r="D18566">
        <v>447</v>
      </c>
      <c r="E18566">
        <v>1577209246</v>
      </c>
      <c r="F18566">
        <v>249</v>
      </c>
      <c r="G18566">
        <v>0</v>
      </c>
      <c r="H18566" t="s">
        <v>23403</v>
      </c>
      <c r="I18566">
        <v>21078</v>
      </c>
      <c r="J18566" t="str">
        <f>VLOOKUP(E18566,DSSpieler!A:B,2,FALSE)</f>
        <v>Occo40</v>
      </c>
    </row>
    <row r="18567" spans="1:10" x14ac:dyDescent="0.25">
      <c r="A18567">
        <v>21079</v>
      </c>
      <c r="B18567" t="s">
        <v>4701</v>
      </c>
      <c r="C18567">
        <v>473</v>
      </c>
      <c r="D18567">
        <v>636</v>
      </c>
      <c r="E18567">
        <v>1577108159</v>
      </c>
      <c r="F18567">
        <v>245</v>
      </c>
      <c r="G18567">
        <v>0</v>
      </c>
      <c r="H18567" t="s">
        <v>23404</v>
      </c>
      <c r="I18567">
        <v>21079</v>
      </c>
      <c r="J18567" t="str">
        <f>VLOOKUP(E18567,DSSpieler!A:B,2,FALSE)</f>
        <v>.007</v>
      </c>
    </row>
    <row r="18568" spans="1:10" x14ac:dyDescent="0.25">
      <c r="A18568">
        <v>21080</v>
      </c>
      <c r="B18568" t="s">
        <v>4702</v>
      </c>
      <c r="C18568">
        <v>366</v>
      </c>
      <c r="D18568">
        <v>529</v>
      </c>
      <c r="E18568">
        <v>1579273</v>
      </c>
      <c r="F18568">
        <v>229</v>
      </c>
      <c r="G18568">
        <v>0</v>
      </c>
      <c r="H18568" t="s">
        <v>23405</v>
      </c>
      <c r="I18568">
        <v>21080</v>
      </c>
      <c r="J18568" t="str">
        <f>VLOOKUP(E18568,DSSpieler!A:B,2,FALSE)</f>
        <v>lukas 1992</v>
      </c>
    </row>
    <row r="18569" spans="1:10" x14ac:dyDescent="0.25">
      <c r="A18569">
        <v>21081</v>
      </c>
      <c r="B18569" t="s">
        <v>4703</v>
      </c>
      <c r="C18569">
        <v>385</v>
      </c>
      <c r="D18569">
        <v>433</v>
      </c>
      <c r="E18569">
        <v>1577198887</v>
      </c>
      <c r="F18569">
        <v>275</v>
      </c>
      <c r="G18569">
        <v>0</v>
      </c>
      <c r="H18569" t="s">
        <v>23406</v>
      </c>
      <c r="I18569">
        <v>21081</v>
      </c>
      <c r="J18569" t="str">
        <f>VLOOKUP(E18569,DSSpieler!A:B,2,FALSE)</f>
        <v>Mr. Panda</v>
      </c>
    </row>
    <row r="18570" spans="1:10" x14ac:dyDescent="0.25">
      <c r="A18570">
        <v>21082</v>
      </c>
      <c r="B18570" t="s">
        <v>531</v>
      </c>
      <c r="C18570">
        <v>578</v>
      </c>
      <c r="D18570">
        <v>610</v>
      </c>
      <c r="E18570">
        <v>0</v>
      </c>
      <c r="F18570">
        <v>58</v>
      </c>
      <c r="G18570">
        <v>0</v>
      </c>
      <c r="H18570" t="s">
        <v>23407</v>
      </c>
      <c r="I18570">
        <v>21082</v>
      </c>
      <c r="J18570" t="e">
        <f>VLOOKUP(E18570,DSSpieler!A:B,2,FALSE)</f>
        <v>#N/A</v>
      </c>
    </row>
    <row r="18571" spans="1:10" x14ac:dyDescent="0.25">
      <c r="A18571">
        <v>21083</v>
      </c>
      <c r="B18571" t="s">
        <v>4704</v>
      </c>
      <c r="C18571">
        <v>378</v>
      </c>
      <c r="D18571">
        <v>433</v>
      </c>
      <c r="E18571">
        <v>1577209259</v>
      </c>
      <c r="F18571">
        <v>57</v>
      </c>
      <c r="G18571">
        <v>0</v>
      </c>
      <c r="H18571" t="s">
        <v>23408</v>
      </c>
      <c r="I18571">
        <v>21083</v>
      </c>
      <c r="J18571" t="str">
        <f>VLOOKUP(E18571,DSSpieler!A:B,2,FALSE)</f>
        <v>wopa</v>
      </c>
    </row>
    <row r="18572" spans="1:10" x14ac:dyDescent="0.25">
      <c r="A18572">
        <v>21084</v>
      </c>
      <c r="B18572" t="s">
        <v>4705</v>
      </c>
      <c r="C18572">
        <v>409</v>
      </c>
      <c r="D18572">
        <v>598</v>
      </c>
      <c r="E18572">
        <v>1577209262</v>
      </c>
      <c r="F18572">
        <v>182</v>
      </c>
      <c r="G18572">
        <v>0</v>
      </c>
      <c r="H18572" t="s">
        <v>23409</v>
      </c>
      <c r="I18572">
        <v>21084</v>
      </c>
      <c r="J18572" t="str">
        <f>VLOOKUP(E18572,DSSpieler!A:B,2,FALSE)</f>
        <v>Prahech</v>
      </c>
    </row>
    <row r="18573" spans="1:10" x14ac:dyDescent="0.25">
      <c r="A18573">
        <v>21085</v>
      </c>
      <c r="B18573" t="s">
        <v>4706</v>
      </c>
      <c r="C18573">
        <v>615</v>
      </c>
      <c r="D18573">
        <v>567</v>
      </c>
      <c r="E18573">
        <v>62407</v>
      </c>
      <c r="F18573">
        <v>80</v>
      </c>
      <c r="G18573">
        <v>0</v>
      </c>
      <c r="H18573" t="s">
        <v>23410</v>
      </c>
      <c r="I18573">
        <v>21085</v>
      </c>
      <c r="J18573" t="str">
        <f>VLOOKUP(E18573,DSSpieler!A:B,2,FALSE)</f>
        <v>Meadro</v>
      </c>
    </row>
    <row r="18574" spans="1:10" x14ac:dyDescent="0.25">
      <c r="A18574">
        <v>21086</v>
      </c>
      <c r="B18574" t="s">
        <v>4707</v>
      </c>
      <c r="C18574">
        <v>568</v>
      </c>
      <c r="D18574">
        <v>383</v>
      </c>
      <c r="E18574">
        <v>1577209263</v>
      </c>
      <c r="F18574">
        <v>46</v>
      </c>
      <c r="G18574">
        <v>0</v>
      </c>
      <c r="H18574" t="s">
        <v>23411</v>
      </c>
      <c r="I18574">
        <v>21086</v>
      </c>
      <c r="J18574" t="str">
        <f>VLOOKUP(E18574,DSSpieler!A:B,2,FALSE)</f>
        <v>Find4us</v>
      </c>
    </row>
    <row r="18575" spans="1:10" x14ac:dyDescent="0.25">
      <c r="A18575">
        <v>21087</v>
      </c>
      <c r="B18575" t="s">
        <v>4708</v>
      </c>
      <c r="C18575">
        <v>379</v>
      </c>
      <c r="D18575">
        <v>441</v>
      </c>
      <c r="E18575">
        <v>1577206048</v>
      </c>
      <c r="F18575">
        <v>38</v>
      </c>
      <c r="G18575">
        <v>0</v>
      </c>
      <c r="H18575" t="s">
        <v>23412</v>
      </c>
      <c r="I18575">
        <v>21087</v>
      </c>
      <c r="J18575" t="str">
        <f>VLOOKUP(E18575,DSSpieler!A:B,2,FALSE)</f>
        <v>xxdaxos</v>
      </c>
    </row>
    <row r="18576" spans="1:10" x14ac:dyDescent="0.25">
      <c r="A18576">
        <v>21088</v>
      </c>
      <c r="B18576" t="s">
        <v>4709</v>
      </c>
      <c r="C18576">
        <v>621</v>
      </c>
      <c r="D18576">
        <v>437</v>
      </c>
      <c r="E18576">
        <v>1577011788</v>
      </c>
      <c r="F18576">
        <v>26</v>
      </c>
      <c r="G18576">
        <v>0</v>
      </c>
      <c r="H18576" t="s">
        <v>23413</v>
      </c>
      <c r="I18576">
        <v>21088</v>
      </c>
      <c r="J18576" t="str">
        <f>VLOOKUP(E18576,DSSpieler!A:B,2,FALSE)</f>
        <v>NooReturn</v>
      </c>
    </row>
    <row r="18577" spans="1:10" x14ac:dyDescent="0.25">
      <c r="A18577">
        <v>21089</v>
      </c>
      <c r="B18577" t="s">
        <v>4710</v>
      </c>
      <c r="C18577">
        <v>432</v>
      </c>
      <c r="D18577">
        <v>382</v>
      </c>
      <c r="E18577">
        <v>1576579016</v>
      </c>
      <c r="F18577">
        <v>240</v>
      </c>
      <c r="G18577">
        <v>0</v>
      </c>
      <c r="H18577" t="s">
        <v>23414</v>
      </c>
      <c r="I18577">
        <v>21089</v>
      </c>
      <c r="J18577" t="str">
        <f>VLOOKUP(E18577,DSSpieler!A:B,2,FALSE)</f>
        <v>KingBobo</v>
      </c>
    </row>
    <row r="18578" spans="1:10" x14ac:dyDescent="0.25">
      <c r="A18578">
        <v>21090</v>
      </c>
      <c r="B18578" t="s">
        <v>4711</v>
      </c>
      <c r="C18578">
        <v>636</v>
      </c>
      <c r="D18578">
        <v>528</v>
      </c>
      <c r="E18578">
        <v>1575914547</v>
      </c>
      <c r="F18578">
        <v>26</v>
      </c>
      <c r="G18578">
        <v>0</v>
      </c>
      <c r="H18578" t="s">
        <v>23415</v>
      </c>
      <c r="I18578">
        <v>21090</v>
      </c>
      <c r="J18578" t="str">
        <f>VLOOKUP(E18578,DSSpieler!A:B,2,FALSE)</f>
        <v>Dumpfbackefreu</v>
      </c>
    </row>
    <row r="18579" spans="1:10" x14ac:dyDescent="0.25">
      <c r="A18579">
        <v>21091</v>
      </c>
      <c r="B18579" t="s">
        <v>4712</v>
      </c>
      <c r="C18579">
        <v>373</v>
      </c>
      <c r="D18579">
        <v>547</v>
      </c>
      <c r="E18579">
        <v>1576503614</v>
      </c>
      <c r="F18579">
        <v>266</v>
      </c>
      <c r="G18579">
        <v>0</v>
      </c>
      <c r="H18579" t="s">
        <v>23416</v>
      </c>
      <c r="I18579">
        <v>21091</v>
      </c>
      <c r="J18579" t="str">
        <f>VLOOKUP(E18579,DSSpieler!A:B,2,FALSE)</f>
        <v>Darwin</v>
      </c>
    </row>
    <row r="18580" spans="1:10" x14ac:dyDescent="0.25">
      <c r="A18580">
        <v>21092</v>
      </c>
      <c r="B18580" t="s">
        <v>4713</v>
      </c>
      <c r="C18580">
        <v>624</v>
      </c>
      <c r="D18580">
        <v>564</v>
      </c>
      <c r="E18580">
        <v>2483877</v>
      </c>
      <c r="F18580">
        <v>247</v>
      </c>
      <c r="G18580">
        <v>0</v>
      </c>
      <c r="H18580" t="s">
        <v>23417</v>
      </c>
      <c r="I18580">
        <v>21092</v>
      </c>
      <c r="J18580" t="str">
        <f>VLOOKUP(E18580,DSSpieler!A:B,2,FALSE)</f>
        <v>WINDHUND97</v>
      </c>
    </row>
    <row r="18581" spans="1:10" x14ac:dyDescent="0.25">
      <c r="A18581">
        <v>21093</v>
      </c>
      <c r="B18581" t="s">
        <v>4714</v>
      </c>
      <c r="C18581">
        <v>626</v>
      </c>
      <c r="D18581">
        <v>454</v>
      </c>
      <c r="E18581">
        <v>1576807625</v>
      </c>
      <c r="F18581">
        <v>167</v>
      </c>
      <c r="G18581">
        <v>0</v>
      </c>
      <c r="H18581" t="s">
        <v>23418</v>
      </c>
      <c r="I18581">
        <v>21093</v>
      </c>
      <c r="J18581" t="str">
        <f>VLOOKUP(E18581,DSSpieler!A:B,2,FALSE)</f>
        <v>Pepe1000</v>
      </c>
    </row>
    <row r="18582" spans="1:10" x14ac:dyDescent="0.25">
      <c r="A18582">
        <v>21094</v>
      </c>
      <c r="B18582" t="s">
        <v>4715</v>
      </c>
      <c r="C18582">
        <v>391</v>
      </c>
      <c r="D18582">
        <v>415</v>
      </c>
      <c r="E18582">
        <v>1577190563</v>
      </c>
      <c r="F18582">
        <v>259</v>
      </c>
      <c r="G18582">
        <v>0</v>
      </c>
      <c r="H18582" t="s">
        <v>23419</v>
      </c>
      <c r="I18582">
        <v>21094</v>
      </c>
      <c r="J18582" t="str">
        <f>VLOOKUP(E18582,DSSpieler!A:B,2,FALSE)</f>
        <v>johnny26</v>
      </c>
    </row>
    <row r="18583" spans="1:10" x14ac:dyDescent="0.25">
      <c r="A18583">
        <v>21095</v>
      </c>
      <c r="B18583" t="s">
        <v>531</v>
      </c>
      <c r="C18583">
        <v>383</v>
      </c>
      <c r="D18583">
        <v>570</v>
      </c>
      <c r="E18583">
        <v>0</v>
      </c>
      <c r="F18583">
        <v>42</v>
      </c>
      <c r="G18583">
        <v>0</v>
      </c>
      <c r="H18583" t="s">
        <v>23420</v>
      </c>
      <c r="I18583">
        <v>21095</v>
      </c>
      <c r="J18583" t="e">
        <f>VLOOKUP(E18583,DSSpieler!A:B,2,FALSE)</f>
        <v>#N/A</v>
      </c>
    </row>
    <row r="18584" spans="1:10" x14ac:dyDescent="0.25">
      <c r="A18584">
        <v>21096</v>
      </c>
      <c r="B18584" t="s">
        <v>4716</v>
      </c>
      <c r="C18584">
        <v>446</v>
      </c>
      <c r="D18584">
        <v>379</v>
      </c>
      <c r="E18584">
        <v>1577209278</v>
      </c>
      <c r="F18584">
        <v>45</v>
      </c>
      <c r="G18584">
        <v>0</v>
      </c>
      <c r="H18584" t="s">
        <v>23421</v>
      </c>
      <c r="I18584">
        <v>21096</v>
      </c>
      <c r="J18584" t="str">
        <f>VLOOKUP(E18584,DSSpieler!A:B,2,FALSE)</f>
        <v>Tobi-Wankenobi</v>
      </c>
    </row>
    <row r="18585" spans="1:10" x14ac:dyDescent="0.25">
      <c r="A18585">
        <v>21097</v>
      </c>
      <c r="B18585" t="s">
        <v>4717</v>
      </c>
      <c r="C18585">
        <v>575</v>
      </c>
      <c r="D18585">
        <v>617</v>
      </c>
      <c r="E18585">
        <v>1577209229</v>
      </c>
      <c r="F18585">
        <v>110</v>
      </c>
      <c r="G18585">
        <v>0</v>
      </c>
      <c r="H18585" t="s">
        <v>23422</v>
      </c>
      <c r="I18585">
        <v>21097</v>
      </c>
      <c r="J18585" t="str">
        <f>VLOOKUP(E18585,DSSpieler!A:B,2,FALSE)</f>
        <v>guruguru</v>
      </c>
    </row>
    <row r="18586" spans="1:10" x14ac:dyDescent="0.25">
      <c r="A18586">
        <v>21098</v>
      </c>
      <c r="B18586" t="s">
        <v>4718</v>
      </c>
      <c r="C18586">
        <v>469</v>
      </c>
      <c r="D18586">
        <v>364</v>
      </c>
      <c r="E18586">
        <v>1576978264</v>
      </c>
      <c r="F18586">
        <v>180</v>
      </c>
      <c r="G18586">
        <v>0</v>
      </c>
      <c r="H18586" t="s">
        <v>23423</v>
      </c>
      <c r="I18586">
        <v>21098</v>
      </c>
      <c r="J18586" t="str">
        <f>VLOOKUP(E18586,DSSpieler!A:B,2,FALSE)</f>
        <v>kova445</v>
      </c>
    </row>
    <row r="18587" spans="1:10" x14ac:dyDescent="0.25">
      <c r="A18587">
        <v>21099</v>
      </c>
      <c r="B18587" t="s">
        <v>35793</v>
      </c>
      <c r="C18587">
        <v>485</v>
      </c>
      <c r="D18587">
        <v>362</v>
      </c>
      <c r="E18587">
        <v>3369251</v>
      </c>
      <c r="F18587">
        <v>26</v>
      </c>
      <c r="G18587">
        <v>0</v>
      </c>
      <c r="H18587" t="s">
        <v>23424</v>
      </c>
      <c r="I18587">
        <v>21099</v>
      </c>
      <c r="J18587" t="str">
        <f>VLOOKUP(E18587,DSSpieler!A:B,2,FALSE)</f>
        <v>*Shadow*</v>
      </c>
    </row>
    <row r="18588" spans="1:10" x14ac:dyDescent="0.25">
      <c r="A18588">
        <v>21100</v>
      </c>
      <c r="B18588" t="e">
        <f>-DEFENDER-secret+Dorf</f>
        <v>#NAME?</v>
      </c>
      <c r="C18588">
        <v>561</v>
      </c>
      <c r="D18588">
        <v>380</v>
      </c>
      <c r="E18588">
        <v>697187</v>
      </c>
      <c r="F18588">
        <v>26</v>
      </c>
      <c r="G18588">
        <v>0</v>
      </c>
      <c r="H18588" t="s">
        <v>23425</v>
      </c>
      <c r="I18588">
        <v>21100</v>
      </c>
      <c r="J18588" t="str">
        <f>VLOOKUP(E18588,DSSpieler!A:B,2,FALSE)</f>
        <v>-DEFENDER-</v>
      </c>
    </row>
    <row r="18589" spans="1:10" x14ac:dyDescent="0.25">
      <c r="A18589">
        <v>21101</v>
      </c>
      <c r="B18589" t="s">
        <v>4719</v>
      </c>
      <c r="C18589">
        <v>634</v>
      </c>
      <c r="D18589">
        <v>486</v>
      </c>
      <c r="E18589">
        <v>1576761151</v>
      </c>
      <c r="F18589">
        <v>26</v>
      </c>
      <c r="G18589">
        <v>0</v>
      </c>
      <c r="H18589" t="s">
        <v>23426</v>
      </c>
      <c r="I18589">
        <v>21101</v>
      </c>
      <c r="J18589" t="str">
        <f>VLOOKUP(E18589,DSSpieler!A:B,2,FALSE)</f>
        <v>The Colossus</v>
      </c>
    </row>
    <row r="18590" spans="1:10" x14ac:dyDescent="0.25">
      <c r="A18590">
        <v>21102</v>
      </c>
      <c r="B18590" t="s">
        <v>4720</v>
      </c>
      <c r="C18590">
        <v>366</v>
      </c>
      <c r="D18590">
        <v>520</v>
      </c>
      <c r="E18590">
        <v>1576484839</v>
      </c>
      <c r="F18590">
        <v>26</v>
      </c>
      <c r="G18590">
        <v>0</v>
      </c>
      <c r="H18590" t="s">
        <v>23427</v>
      </c>
      <c r="I18590">
        <v>21102</v>
      </c>
      <c r="J18590" t="str">
        <f>VLOOKUP(E18590,DSSpieler!A:B,2,FALSE)</f>
        <v>lostimpact</v>
      </c>
    </row>
    <row r="18591" spans="1:10" x14ac:dyDescent="0.25">
      <c r="A18591">
        <v>21103</v>
      </c>
      <c r="B18591" t="s">
        <v>4721</v>
      </c>
      <c r="C18591">
        <v>363</v>
      </c>
      <c r="D18591">
        <v>483</v>
      </c>
      <c r="E18591">
        <v>1577170259</v>
      </c>
      <c r="F18591">
        <v>236</v>
      </c>
      <c r="G18591">
        <v>0</v>
      </c>
      <c r="H18591" t="s">
        <v>23428</v>
      </c>
      <c r="I18591">
        <v>21103</v>
      </c>
      <c r="J18591" t="str">
        <f>VLOOKUP(E18591,DSSpieler!A:B,2,FALSE)</f>
        <v>gor-sensei</v>
      </c>
    </row>
    <row r="18592" spans="1:10" x14ac:dyDescent="0.25">
      <c r="A18592">
        <v>21104</v>
      </c>
      <c r="B18592" t="s">
        <v>4722</v>
      </c>
      <c r="C18592">
        <v>514</v>
      </c>
      <c r="D18592">
        <v>362</v>
      </c>
      <c r="E18592">
        <v>1577198879</v>
      </c>
      <c r="F18592">
        <v>26</v>
      </c>
      <c r="G18592">
        <v>0</v>
      </c>
      <c r="H18592" t="s">
        <v>23429</v>
      </c>
      <c r="I18592">
        <v>21104</v>
      </c>
      <c r="J18592" t="str">
        <f>VLOOKUP(E18592,DSSpieler!A:B,2,FALSE)</f>
        <v>RamaLama</v>
      </c>
    </row>
    <row r="18593" spans="1:10" x14ac:dyDescent="0.25">
      <c r="A18593">
        <v>21105</v>
      </c>
      <c r="B18593" t="s">
        <v>4723</v>
      </c>
      <c r="C18593">
        <v>388</v>
      </c>
      <c r="D18593">
        <v>424</v>
      </c>
      <c r="E18593">
        <v>1577208085</v>
      </c>
      <c r="F18593">
        <v>221</v>
      </c>
      <c r="G18593">
        <v>0</v>
      </c>
      <c r="H18593" t="s">
        <v>23430</v>
      </c>
      <c r="I18593">
        <v>21105</v>
      </c>
      <c r="J18593" t="str">
        <f>VLOOKUP(E18593,DSSpieler!A:B,2,FALSE)</f>
        <v>Paridam</v>
      </c>
    </row>
    <row r="18594" spans="1:10" x14ac:dyDescent="0.25">
      <c r="A18594">
        <v>21106</v>
      </c>
      <c r="B18594" t="s">
        <v>1889</v>
      </c>
      <c r="C18594">
        <v>594</v>
      </c>
      <c r="D18594">
        <v>402</v>
      </c>
      <c r="E18594">
        <v>1576986420</v>
      </c>
      <c r="F18594">
        <v>204</v>
      </c>
      <c r="G18594">
        <v>0</v>
      </c>
      <c r="H18594" t="s">
        <v>23431</v>
      </c>
      <c r="I18594">
        <v>21106</v>
      </c>
      <c r="J18594" t="str">
        <f>VLOOKUP(E18594,DSSpieler!A:B,2,FALSE)</f>
        <v>Durli</v>
      </c>
    </row>
    <row r="18595" spans="1:10" x14ac:dyDescent="0.25">
      <c r="A18595">
        <v>21107</v>
      </c>
      <c r="B18595" t="s">
        <v>4724</v>
      </c>
      <c r="C18595">
        <v>465</v>
      </c>
      <c r="D18595">
        <v>634</v>
      </c>
      <c r="E18595">
        <v>1576322315</v>
      </c>
      <c r="F18595">
        <v>26</v>
      </c>
      <c r="G18595">
        <v>0</v>
      </c>
      <c r="H18595" t="s">
        <v>23432</v>
      </c>
      <c r="I18595">
        <v>21107</v>
      </c>
      <c r="J18595" t="str">
        <f>VLOOKUP(E18595,DSSpieler!A:B,2,FALSE)</f>
        <v>Ein Basher</v>
      </c>
    </row>
    <row r="18596" spans="1:10" x14ac:dyDescent="0.25">
      <c r="A18596">
        <v>21108</v>
      </c>
      <c r="B18596" t="s">
        <v>4725</v>
      </c>
      <c r="C18596">
        <v>376</v>
      </c>
      <c r="D18596">
        <v>436</v>
      </c>
      <c r="E18596">
        <v>1576882732</v>
      </c>
      <c r="F18596">
        <v>50</v>
      </c>
      <c r="G18596">
        <v>0</v>
      </c>
      <c r="H18596" t="s">
        <v>23433</v>
      </c>
      <c r="I18596">
        <v>21108</v>
      </c>
      <c r="J18596" t="str">
        <f>VLOOKUP(E18596,DSSpieler!A:B,2,FALSE)</f>
        <v>Mel0n</v>
      </c>
    </row>
    <row r="18597" spans="1:10" x14ac:dyDescent="0.25">
      <c r="A18597">
        <v>21109</v>
      </c>
      <c r="B18597" t="s">
        <v>4726</v>
      </c>
      <c r="C18597">
        <v>557</v>
      </c>
      <c r="D18597">
        <v>621</v>
      </c>
      <c r="E18597">
        <v>1576937377</v>
      </c>
      <c r="F18597">
        <v>26</v>
      </c>
      <c r="G18597">
        <v>0</v>
      </c>
      <c r="H18597" t="s">
        <v>23434</v>
      </c>
      <c r="I18597">
        <v>21109</v>
      </c>
      <c r="J18597" t="str">
        <f>VLOOKUP(E18597,DSSpieler!A:B,2,FALSE)</f>
        <v>Dopex3</v>
      </c>
    </row>
    <row r="18598" spans="1:10" x14ac:dyDescent="0.25">
      <c r="A18598">
        <v>21110</v>
      </c>
      <c r="B18598" t="s">
        <v>4727</v>
      </c>
      <c r="C18598">
        <v>611</v>
      </c>
      <c r="D18598">
        <v>416</v>
      </c>
      <c r="E18598">
        <v>1576985101</v>
      </c>
      <c r="F18598">
        <v>26</v>
      </c>
      <c r="G18598">
        <v>0</v>
      </c>
      <c r="H18598" t="s">
        <v>23435</v>
      </c>
      <c r="I18598">
        <v>21110</v>
      </c>
      <c r="J18598" t="str">
        <f>VLOOKUP(E18598,DSSpieler!A:B,2,FALSE)</f>
        <v>Baronlc</v>
      </c>
    </row>
    <row r="18599" spans="1:10" x14ac:dyDescent="0.25">
      <c r="A18599">
        <v>21111</v>
      </c>
      <c r="B18599" t="s">
        <v>4728</v>
      </c>
      <c r="C18599">
        <v>634</v>
      </c>
      <c r="D18599">
        <v>481</v>
      </c>
      <c r="E18599">
        <v>1577209290</v>
      </c>
      <c r="F18599">
        <v>86</v>
      </c>
      <c r="G18599">
        <v>0</v>
      </c>
      <c r="H18599" t="s">
        <v>23436</v>
      </c>
      <c r="I18599">
        <v>21111</v>
      </c>
      <c r="J18599" t="str">
        <f>VLOOKUP(E18599,DSSpieler!A:B,2,FALSE)</f>
        <v>LionSinOfPride</v>
      </c>
    </row>
    <row r="18600" spans="1:10" x14ac:dyDescent="0.25">
      <c r="A18600">
        <v>21112</v>
      </c>
      <c r="B18600" t="s">
        <v>4729</v>
      </c>
      <c r="C18600">
        <v>633</v>
      </c>
      <c r="D18600">
        <v>458</v>
      </c>
      <c r="E18600">
        <v>10052162</v>
      </c>
      <c r="F18600">
        <v>135</v>
      </c>
      <c r="G18600">
        <v>0</v>
      </c>
      <c r="H18600" t="s">
        <v>23437</v>
      </c>
      <c r="I18600">
        <v>21112</v>
      </c>
      <c r="J18600" t="str">
        <f>VLOOKUP(E18600,DSSpieler!A:B,2,FALSE)</f>
        <v>Denybest</v>
      </c>
    </row>
    <row r="18601" spans="1:10" x14ac:dyDescent="0.25">
      <c r="A18601">
        <v>21113</v>
      </c>
      <c r="B18601" t="s">
        <v>4730</v>
      </c>
      <c r="C18601">
        <v>536</v>
      </c>
      <c r="D18601">
        <v>414</v>
      </c>
      <c r="E18601">
        <v>1577209291</v>
      </c>
      <c r="F18601">
        <v>136</v>
      </c>
      <c r="G18601">
        <v>0</v>
      </c>
      <c r="H18601" t="s">
        <v>23438</v>
      </c>
      <c r="I18601">
        <v>21113</v>
      </c>
      <c r="J18601" t="str">
        <f>VLOOKUP(E18601,DSSpieler!A:B,2,FALSE)</f>
        <v>SadisticCookie</v>
      </c>
    </row>
    <row r="18602" spans="1:10" x14ac:dyDescent="0.25">
      <c r="A18602">
        <v>21114</v>
      </c>
      <c r="B18602" t="s">
        <v>4731</v>
      </c>
      <c r="C18602">
        <v>556</v>
      </c>
      <c r="D18602">
        <v>495</v>
      </c>
      <c r="E18602">
        <v>1576945644</v>
      </c>
      <c r="F18602">
        <v>30</v>
      </c>
      <c r="G18602">
        <v>0</v>
      </c>
      <c r="H18602" t="s">
        <v>23439</v>
      </c>
      <c r="I18602">
        <v>21114</v>
      </c>
      <c r="J18602" t="str">
        <f>VLOOKUP(E18602,DSSpieler!A:B,2,FALSE)</f>
        <v>silvan03</v>
      </c>
    </row>
    <row r="18603" spans="1:10" x14ac:dyDescent="0.25">
      <c r="A18603">
        <v>21115</v>
      </c>
      <c r="B18603" t="s">
        <v>35794</v>
      </c>
      <c r="C18603">
        <v>555</v>
      </c>
      <c r="D18603">
        <v>623</v>
      </c>
      <c r="E18603">
        <v>1576977419</v>
      </c>
      <c r="F18603">
        <v>260</v>
      </c>
      <c r="G18603">
        <v>0</v>
      </c>
      <c r="H18603" t="s">
        <v>23440</v>
      </c>
      <c r="I18603">
        <v>21115</v>
      </c>
      <c r="J18603" t="str">
        <f>VLOOKUP(E18603,DSSpieler!A:B,2,FALSE)</f>
        <v>.MaJo.</v>
      </c>
    </row>
    <row r="18604" spans="1:10" x14ac:dyDescent="0.25">
      <c r="A18604">
        <v>21116</v>
      </c>
      <c r="B18604" t="s">
        <v>4732</v>
      </c>
      <c r="C18604">
        <v>637</v>
      </c>
      <c r="D18604">
        <v>496</v>
      </c>
      <c r="E18604">
        <v>1576993563</v>
      </c>
      <c r="F18604">
        <v>219</v>
      </c>
      <c r="G18604">
        <v>0</v>
      </c>
      <c r="H18604" t="s">
        <v>23441</v>
      </c>
      <c r="I18604">
        <v>21116</v>
      </c>
      <c r="J18604" t="str">
        <f>VLOOKUP(E18604,DSSpieler!A:B,2,FALSE)</f>
        <v>Eykey</v>
      </c>
    </row>
    <row r="18605" spans="1:10" x14ac:dyDescent="0.25">
      <c r="A18605">
        <v>21117</v>
      </c>
      <c r="B18605" t="s">
        <v>4733</v>
      </c>
      <c r="C18605">
        <v>391</v>
      </c>
      <c r="D18605">
        <v>585</v>
      </c>
      <c r="E18605">
        <v>328321</v>
      </c>
      <c r="F18605">
        <v>183</v>
      </c>
      <c r="G18605">
        <v>0</v>
      </c>
      <c r="H18605" t="s">
        <v>23442</v>
      </c>
      <c r="I18605">
        <v>21117</v>
      </c>
      <c r="J18605" t="str">
        <f>VLOOKUP(E18605,DSSpieler!A:B,2,FALSE)</f>
        <v>Lord Willi</v>
      </c>
    </row>
    <row r="18606" spans="1:10" x14ac:dyDescent="0.25">
      <c r="A18606">
        <v>21118</v>
      </c>
      <c r="B18606" t="s">
        <v>4734</v>
      </c>
      <c r="C18606">
        <v>424</v>
      </c>
      <c r="D18606">
        <v>612</v>
      </c>
      <c r="E18606">
        <v>1576988900</v>
      </c>
      <c r="F18606">
        <v>26</v>
      </c>
      <c r="G18606">
        <v>0</v>
      </c>
      <c r="H18606" t="s">
        <v>23443</v>
      </c>
      <c r="I18606">
        <v>21118</v>
      </c>
      <c r="J18606" t="str">
        <f>VLOOKUP(E18606,DSSpieler!A:B,2,FALSE)</f>
        <v>Zikkgzz</v>
      </c>
    </row>
    <row r="18607" spans="1:10" x14ac:dyDescent="0.25">
      <c r="A18607">
        <v>21119</v>
      </c>
      <c r="B18607">
        <v>1</v>
      </c>
      <c r="C18607">
        <v>396</v>
      </c>
      <c r="D18607">
        <v>582</v>
      </c>
      <c r="E18607">
        <v>8366860</v>
      </c>
      <c r="F18607">
        <v>181</v>
      </c>
      <c r="G18607">
        <v>0</v>
      </c>
      <c r="H18607" t="s">
        <v>23444</v>
      </c>
      <c r="I18607">
        <v>21119</v>
      </c>
      <c r="J18607" t="str">
        <f>VLOOKUP(E18607,DSSpieler!A:B,2,FALSE)</f>
        <v>Bella27</v>
      </c>
    </row>
    <row r="18608" spans="1:10" x14ac:dyDescent="0.25">
      <c r="A18608">
        <v>21120</v>
      </c>
      <c r="B18608" t="s">
        <v>4735</v>
      </c>
      <c r="C18608">
        <v>475</v>
      </c>
      <c r="D18608">
        <v>363</v>
      </c>
      <c r="E18608">
        <v>1577209296</v>
      </c>
      <c r="F18608">
        <v>26</v>
      </c>
      <c r="G18608">
        <v>0</v>
      </c>
      <c r="H18608" t="s">
        <v>23445</v>
      </c>
      <c r="I18608">
        <v>21120</v>
      </c>
      <c r="J18608" t="str">
        <f>VLOOKUP(E18608,DSSpieler!A:B,2,FALSE)</f>
        <v>Eykey-6</v>
      </c>
    </row>
    <row r="18609" spans="1:10" x14ac:dyDescent="0.25">
      <c r="A18609">
        <v>21121</v>
      </c>
      <c r="B18609" t="s">
        <v>4736</v>
      </c>
      <c r="C18609">
        <v>637</v>
      </c>
      <c r="D18609">
        <v>498</v>
      </c>
      <c r="E18609">
        <v>1576192923</v>
      </c>
      <c r="F18609">
        <v>234</v>
      </c>
      <c r="G18609">
        <v>0</v>
      </c>
      <c r="H18609" t="s">
        <v>23446</v>
      </c>
      <c r="I18609">
        <v>21121</v>
      </c>
      <c r="J18609" t="str">
        <f>VLOOKUP(E18609,DSSpieler!A:B,2,FALSE)</f>
        <v>SoaZ</v>
      </c>
    </row>
    <row r="18610" spans="1:10" x14ac:dyDescent="0.25">
      <c r="A18610">
        <v>21122</v>
      </c>
      <c r="B18610" t="s">
        <v>4737</v>
      </c>
      <c r="C18610">
        <v>614</v>
      </c>
      <c r="D18610">
        <v>515</v>
      </c>
      <c r="E18610">
        <v>1795679</v>
      </c>
      <c r="F18610">
        <v>26</v>
      </c>
      <c r="G18610">
        <v>0</v>
      </c>
      <c r="H18610" t="s">
        <v>23447</v>
      </c>
      <c r="I18610">
        <v>21122</v>
      </c>
      <c r="J18610" t="str">
        <f>VLOOKUP(E18610,DSSpieler!A:B,2,FALSE)</f>
        <v>f1r3sh0t</v>
      </c>
    </row>
    <row r="18611" spans="1:10" x14ac:dyDescent="0.25">
      <c r="A18611">
        <v>21123</v>
      </c>
      <c r="B18611" t="s">
        <v>4738</v>
      </c>
      <c r="C18611">
        <v>376</v>
      </c>
      <c r="D18611">
        <v>444</v>
      </c>
      <c r="E18611">
        <v>8714872</v>
      </c>
      <c r="F18611">
        <v>50</v>
      </c>
      <c r="G18611">
        <v>0</v>
      </c>
      <c r="H18611" t="s">
        <v>23448</v>
      </c>
      <c r="I18611">
        <v>21123</v>
      </c>
      <c r="J18611" t="str">
        <f>VLOOKUP(E18611,DSSpieler!A:B,2,FALSE)</f>
        <v>Freakii11</v>
      </c>
    </row>
    <row r="18612" spans="1:10" x14ac:dyDescent="0.25">
      <c r="A18612">
        <v>21124</v>
      </c>
      <c r="B18612" t="s">
        <v>4739</v>
      </c>
      <c r="C18612">
        <v>381</v>
      </c>
      <c r="D18612">
        <v>554</v>
      </c>
      <c r="E18612">
        <v>1577209306</v>
      </c>
      <c r="F18612">
        <v>222</v>
      </c>
      <c r="G18612">
        <v>0</v>
      </c>
      <c r="H18612" t="s">
        <v>23449</v>
      </c>
      <c r="I18612">
        <v>21124</v>
      </c>
      <c r="J18612" t="str">
        <f>VLOOKUP(E18612,DSSpieler!A:B,2,FALSE)</f>
        <v>FrIAImEx</v>
      </c>
    </row>
    <row r="18613" spans="1:10" x14ac:dyDescent="0.25">
      <c r="A18613">
        <v>21125</v>
      </c>
      <c r="B18613" t="s">
        <v>4740</v>
      </c>
      <c r="C18613">
        <v>437</v>
      </c>
      <c r="D18613">
        <v>377</v>
      </c>
      <c r="E18613">
        <v>1577077281</v>
      </c>
      <c r="F18613">
        <v>56</v>
      </c>
      <c r="G18613">
        <v>0</v>
      </c>
      <c r="H18613" t="s">
        <v>23450</v>
      </c>
      <c r="I18613">
        <v>21125</v>
      </c>
      <c r="J18613" t="str">
        <f>VLOOKUP(E18613,DSSpieler!A:B,2,FALSE)</f>
        <v>kris99</v>
      </c>
    </row>
    <row r="18614" spans="1:10" x14ac:dyDescent="0.25">
      <c r="A18614">
        <v>21126</v>
      </c>
      <c r="B18614" t="s">
        <v>4741</v>
      </c>
      <c r="C18614">
        <v>378</v>
      </c>
      <c r="D18614">
        <v>557</v>
      </c>
      <c r="E18614">
        <v>1576647681</v>
      </c>
      <c r="F18614">
        <v>184</v>
      </c>
      <c r="G18614">
        <v>0</v>
      </c>
      <c r="H18614" t="s">
        <v>23451</v>
      </c>
      <c r="I18614">
        <v>21126</v>
      </c>
      <c r="J18614" t="str">
        <f>VLOOKUP(E18614,DSSpieler!A:B,2,FALSE)</f>
        <v>Droggel</v>
      </c>
    </row>
    <row r="18615" spans="1:10" x14ac:dyDescent="0.25">
      <c r="A18615">
        <v>21127</v>
      </c>
      <c r="B18615" t="s">
        <v>4742</v>
      </c>
      <c r="C18615">
        <v>617</v>
      </c>
      <c r="D18615">
        <v>432</v>
      </c>
      <c r="E18615">
        <v>9523375</v>
      </c>
      <c r="F18615">
        <v>45</v>
      </c>
      <c r="G18615">
        <v>0</v>
      </c>
      <c r="H18615" t="s">
        <v>23452</v>
      </c>
      <c r="I18615">
        <v>21127</v>
      </c>
      <c r="J18615" t="str">
        <f>VLOOKUP(E18615,DSSpieler!A:B,2,FALSE)</f>
        <v>Tim2.000</v>
      </c>
    </row>
    <row r="18616" spans="1:10" x14ac:dyDescent="0.25">
      <c r="A18616">
        <v>21128</v>
      </c>
      <c r="B18616" t="s">
        <v>4743</v>
      </c>
      <c r="C18616">
        <v>593</v>
      </c>
      <c r="D18616">
        <v>478</v>
      </c>
      <c r="E18616">
        <v>1576012400</v>
      </c>
      <c r="F18616">
        <v>26</v>
      </c>
      <c r="G18616">
        <v>0</v>
      </c>
      <c r="H18616" t="s">
        <v>23453</v>
      </c>
      <c r="I18616">
        <v>21128</v>
      </c>
      <c r="J18616" t="str">
        <f>VLOOKUP(E18616,DSSpieler!A:B,2,FALSE)</f>
        <v>Feuerwehrauto</v>
      </c>
    </row>
    <row r="18617" spans="1:10" x14ac:dyDescent="0.25">
      <c r="A18617">
        <v>21129</v>
      </c>
      <c r="B18617" t="s">
        <v>4744</v>
      </c>
      <c r="C18617">
        <v>376</v>
      </c>
      <c r="D18617">
        <v>437</v>
      </c>
      <c r="E18617">
        <v>8711288</v>
      </c>
      <c r="F18617">
        <v>55</v>
      </c>
      <c r="G18617">
        <v>0</v>
      </c>
      <c r="H18617" t="s">
        <v>23454</v>
      </c>
      <c r="I18617">
        <v>21129</v>
      </c>
      <c r="J18617" t="str">
        <f>VLOOKUP(E18617,DSSpieler!A:B,2,FALSE)</f>
        <v>ueli murer</v>
      </c>
    </row>
    <row r="18618" spans="1:10" x14ac:dyDescent="0.25">
      <c r="A18618">
        <v>21130</v>
      </c>
      <c r="B18618" t="s">
        <v>4745</v>
      </c>
      <c r="C18618">
        <v>372</v>
      </c>
      <c r="D18618">
        <v>491</v>
      </c>
      <c r="E18618">
        <v>1577203754</v>
      </c>
      <c r="F18618">
        <v>219</v>
      </c>
      <c r="G18618">
        <v>0</v>
      </c>
      <c r="H18618" t="s">
        <v>23455</v>
      </c>
      <c r="I18618">
        <v>21130</v>
      </c>
      <c r="J18618" t="str">
        <f>VLOOKUP(E18618,DSSpieler!A:B,2,FALSE)</f>
        <v>Luthien90</v>
      </c>
    </row>
    <row r="18619" spans="1:10" x14ac:dyDescent="0.25">
      <c r="A18619">
        <v>21131</v>
      </c>
      <c r="B18619" t="s">
        <v>4746</v>
      </c>
      <c r="C18619">
        <v>447</v>
      </c>
      <c r="D18619">
        <v>372</v>
      </c>
      <c r="E18619">
        <v>7576</v>
      </c>
      <c r="F18619">
        <v>77</v>
      </c>
      <c r="G18619">
        <v>0</v>
      </c>
      <c r="H18619" t="s">
        <v>23456</v>
      </c>
      <c r="I18619">
        <v>21131</v>
      </c>
      <c r="J18619" t="str">
        <f>VLOOKUP(E18619,DSSpieler!A:B,2,FALSE)</f>
        <v>Hardsequencer</v>
      </c>
    </row>
    <row r="18620" spans="1:10" x14ac:dyDescent="0.25">
      <c r="A18620">
        <v>21132</v>
      </c>
      <c r="B18620" t="s">
        <v>4747</v>
      </c>
      <c r="C18620">
        <v>374</v>
      </c>
      <c r="D18620">
        <v>539</v>
      </c>
      <c r="E18620">
        <v>9935776</v>
      </c>
      <c r="F18620">
        <v>55</v>
      </c>
      <c r="G18620">
        <v>0</v>
      </c>
      <c r="H18620" t="s">
        <v>23457</v>
      </c>
      <c r="I18620">
        <v>21132</v>
      </c>
      <c r="J18620" t="str">
        <f>VLOOKUP(E18620,DSSpieler!A:B,2,FALSE)</f>
        <v>H@RDLINER1</v>
      </c>
    </row>
    <row r="18621" spans="1:10" x14ac:dyDescent="0.25">
      <c r="A18621">
        <v>21133</v>
      </c>
      <c r="B18621" t="s">
        <v>531</v>
      </c>
      <c r="C18621">
        <v>399</v>
      </c>
      <c r="D18621">
        <v>588</v>
      </c>
      <c r="E18621">
        <v>0</v>
      </c>
      <c r="F18621">
        <v>37</v>
      </c>
      <c r="G18621">
        <v>0</v>
      </c>
      <c r="H18621" t="s">
        <v>23458</v>
      </c>
      <c r="I18621">
        <v>21133</v>
      </c>
      <c r="J18621" t="e">
        <f>VLOOKUP(E18621,DSSpieler!A:B,2,FALSE)</f>
        <v>#N/A</v>
      </c>
    </row>
    <row r="18622" spans="1:10" x14ac:dyDescent="0.25">
      <c r="A18622">
        <v>21134</v>
      </c>
      <c r="B18622" t="s">
        <v>4748</v>
      </c>
      <c r="C18622">
        <v>582</v>
      </c>
      <c r="D18622">
        <v>607</v>
      </c>
      <c r="E18622">
        <v>9683680</v>
      </c>
      <c r="F18622">
        <v>237</v>
      </c>
      <c r="G18622">
        <v>0</v>
      </c>
      <c r="H18622" t="s">
        <v>23459</v>
      </c>
      <c r="I18622">
        <v>21134</v>
      </c>
      <c r="J18622" t="str">
        <f>VLOOKUP(E18622,DSSpieler!A:B,2,FALSE)</f>
        <v>flake45</v>
      </c>
    </row>
    <row r="18623" spans="1:10" x14ac:dyDescent="0.25">
      <c r="A18623">
        <v>21135</v>
      </c>
      <c r="B18623" t="s">
        <v>4749</v>
      </c>
      <c r="C18623">
        <v>602</v>
      </c>
      <c r="D18623">
        <v>411</v>
      </c>
      <c r="E18623">
        <v>9849957</v>
      </c>
      <c r="F18623">
        <v>146</v>
      </c>
      <c r="G18623">
        <v>0</v>
      </c>
      <c r="H18623" t="s">
        <v>23460</v>
      </c>
      <c r="I18623">
        <v>21135</v>
      </c>
      <c r="J18623" t="str">
        <f>VLOOKUP(E18623,DSSpieler!A:B,2,FALSE)</f>
        <v>Zar Peter der 1.</v>
      </c>
    </row>
    <row r="18624" spans="1:10" x14ac:dyDescent="0.25">
      <c r="A18624">
        <v>21136</v>
      </c>
      <c r="B18624" t="s">
        <v>4750</v>
      </c>
      <c r="C18624">
        <v>475</v>
      </c>
      <c r="D18624">
        <v>633</v>
      </c>
      <c r="E18624">
        <v>1576844782</v>
      </c>
      <c r="F18624">
        <v>33</v>
      </c>
      <c r="G18624">
        <v>0</v>
      </c>
      <c r="H18624" t="s">
        <v>23461</v>
      </c>
      <c r="I18624">
        <v>21136</v>
      </c>
      <c r="J18624" t="str">
        <f>VLOOKUP(E18624,DSSpieler!A:B,2,FALSE)</f>
        <v>..SmokeY..at..HomeY..</v>
      </c>
    </row>
    <row r="18625" spans="1:10" x14ac:dyDescent="0.25">
      <c r="A18625">
        <v>21137</v>
      </c>
      <c r="B18625">
        <v>1</v>
      </c>
      <c r="C18625">
        <v>564</v>
      </c>
      <c r="D18625">
        <v>619</v>
      </c>
      <c r="E18625">
        <v>1577209342</v>
      </c>
      <c r="F18625">
        <v>237</v>
      </c>
      <c r="G18625">
        <v>0</v>
      </c>
      <c r="H18625" t="s">
        <v>23462</v>
      </c>
      <c r="I18625">
        <v>21137</v>
      </c>
      <c r="J18625" t="str">
        <f>VLOOKUP(E18625,DSSpieler!A:B,2,FALSE)</f>
        <v>derhagen</v>
      </c>
    </row>
    <row r="18626" spans="1:10" x14ac:dyDescent="0.25">
      <c r="A18626">
        <v>21138</v>
      </c>
      <c r="B18626" t="s">
        <v>4751</v>
      </c>
      <c r="C18626">
        <v>560</v>
      </c>
      <c r="D18626">
        <v>621</v>
      </c>
      <c r="E18626">
        <v>1577209338</v>
      </c>
      <c r="F18626">
        <v>223</v>
      </c>
      <c r="G18626">
        <v>0</v>
      </c>
      <c r="H18626" t="s">
        <v>23463</v>
      </c>
      <c r="I18626">
        <v>21138</v>
      </c>
      <c r="J18626" t="str">
        <f>VLOOKUP(E18626,DSSpieler!A:B,2,FALSE)</f>
        <v>Xorlog</v>
      </c>
    </row>
    <row r="18627" spans="1:10" x14ac:dyDescent="0.25">
      <c r="A18627">
        <v>21139</v>
      </c>
      <c r="B18627" t="s">
        <v>35795</v>
      </c>
      <c r="C18627">
        <v>460</v>
      </c>
      <c r="D18627">
        <v>366</v>
      </c>
      <c r="E18627">
        <v>1577204447</v>
      </c>
      <c r="F18627">
        <v>209</v>
      </c>
      <c r="G18627">
        <v>0</v>
      </c>
      <c r="H18627" t="s">
        <v>23464</v>
      </c>
      <c r="I18627">
        <v>21139</v>
      </c>
      <c r="J18627" t="str">
        <f>VLOOKUP(E18627,DSSpieler!A:B,2,FALSE)</f>
        <v>alles fit?</v>
      </c>
    </row>
    <row r="18628" spans="1:10" x14ac:dyDescent="0.25">
      <c r="A18628">
        <v>21140</v>
      </c>
      <c r="B18628" t="s">
        <v>4752</v>
      </c>
      <c r="C18628">
        <v>404</v>
      </c>
      <c r="D18628">
        <v>465</v>
      </c>
      <c r="E18628">
        <v>1576927017</v>
      </c>
      <c r="F18628">
        <v>72</v>
      </c>
      <c r="G18628">
        <v>0</v>
      </c>
      <c r="H18628" t="s">
        <v>23465</v>
      </c>
      <c r="I18628">
        <v>21140</v>
      </c>
      <c r="J18628" t="str">
        <f>VLOOKUP(E18628,DSSpieler!A:B,2,FALSE)</f>
        <v>UnsereMudi</v>
      </c>
    </row>
    <row r="18629" spans="1:10" x14ac:dyDescent="0.25">
      <c r="A18629">
        <v>21141</v>
      </c>
      <c r="B18629" t="s">
        <v>2296</v>
      </c>
      <c r="C18629">
        <v>399</v>
      </c>
      <c r="D18629">
        <v>591</v>
      </c>
      <c r="E18629">
        <v>1577159533</v>
      </c>
      <c r="F18629">
        <v>99</v>
      </c>
      <c r="G18629">
        <v>0</v>
      </c>
      <c r="H18629" t="s">
        <v>23466</v>
      </c>
      <c r="I18629">
        <v>21141</v>
      </c>
      <c r="J18629" t="str">
        <f>VLOOKUP(E18629,DSSpieler!A:B,2,FALSE)</f>
        <v>Juubi</v>
      </c>
    </row>
    <row r="18630" spans="1:10" x14ac:dyDescent="0.25">
      <c r="A18630">
        <v>21142</v>
      </c>
      <c r="B18630" t="s">
        <v>4753</v>
      </c>
      <c r="C18630">
        <v>499</v>
      </c>
      <c r="D18630">
        <v>380</v>
      </c>
      <c r="E18630">
        <v>8787208</v>
      </c>
      <c r="F18630">
        <v>26</v>
      </c>
      <c r="G18630">
        <v>0</v>
      </c>
      <c r="H18630" t="s">
        <v>23467</v>
      </c>
      <c r="I18630">
        <v>21142</v>
      </c>
      <c r="J18630" t="str">
        <f>VLOOKUP(E18630,DSSpieler!A:B,2,FALSE)</f>
        <v>Sennmann</v>
      </c>
    </row>
    <row r="18631" spans="1:10" x14ac:dyDescent="0.25">
      <c r="A18631">
        <v>21143</v>
      </c>
      <c r="B18631">
        <v>1</v>
      </c>
      <c r="C18631">
        <v>636</v>
      </c>
      <c r="D18631">
        <v>473</v>
      </c>
      <c r="E18631">
        <v>1577205561</v>
      </c>
      <c r="F18631">
        <v>241</v>
      </c>
      <c r="G18631">
        <v>0</v>
      </c>
      <c r="H18631" t="s">
        <v>23468</v>
      </c>
      <c r="I18631">
        <v>21143</v>
      </c>
      <c r="J18631" t="str">
        <f>VLOOKUP(E18631,DSSpieler!A:B,2,FALSE)</f>
        <v>Venom-X</v>
      </c>
    </row>
    <row r="18632" spans="1:10" x14ac:dyDescent="0.25">
      <c r="A18632">
        <v>21144</v>
      </c>
      <c r="B18632" t="s">
        <v>4754</v>
      </c>
      <c r="C18632">
        <v>505</v>
      </c>
      <c r="D18632">
        <v>637</v>
      </c>
      <c r="E18632">
        <v>1577137029</v>
      </c>
      <c r="F18632">
        <v>26</v>
      </c>
      <c r="G18632">
        <v>0</v>
      </c>
      <c r="H18632" t="s">
        <v>23469</v>
      </c>
      <c r="I18632">
        <v>21144</v>
      </c>
      <c r="J18632" t="str">
        <f>VLOOKUP(E18632,DSSpieler!A:B,2,FALSE)</f>
        <v>Dr.Mohy</v>
      </c>
    </row>
    <row r="18633" spans="1:10" x14ac:dyDescent="0.25">
      <c r="A18633">
        <v>21145</v>
      </c>
      <c r="B18633" t="s">
        <v>4755</v>
      </c>
      <c r="C18633">
        <v>458</v>
      </c>
      <c r="D18633">
        <v>370</v>
      </c>
      <c r="E18633">
        <v>1577207496</v>
      </c>
      <c r="F18633">
        <v>51</v>
      </c>
      <c r="G18633">
        <v>0</v>
      </c>
      <c r="H18633" t="s">
        <v>23470</v>
      </c>
      <c r="I18633">
        <v>21145</v>
      </c>
      <c r="J18633" t="str">
        <f>VLOOKUP(E18633,DSSpieler!A:B,2,FALSE)</f>
        <v>Zappow</v>
      </c>
    </row>
    <row r="18634" spans="1:10" x14ac:dyDescent="0.25">
      <c r="A18634">
        <v>21146</v>
      </c>
      <c r="B18634" t="s">
        <v>4756</v>
      </c>
      <c r="C18634">
        <v>444</v>
      </c>
      <c r="D18634">
        <v>376</v>
      </c>
      <c r="E18634">
        <v>1577081212</v>
      </c>
      <c r="F18634">
        <v>139</v>
      </c>
      <c r="G18634">
        <v>0</v>
      </c>
      <c r="H18634" t="s">
        <v>23471</v>
      </c>
      <c r="I18634">
        <v>21146</v>
      </c>
      <c r="J18634" t="str">
        <f>VLOOKUP(E18634,DSSpieler!A:B,2,FALSE)</f>
        <v>Danalina</v>
      </c>
    </row>
    <row r="18635" spans="1:10" x14ac:dyDescent="0.25">
      <c r="A18635">
        <v>21147</v>
      </c>
      <c r="B18635" t="s">
        <v>4757</v>
      </c>
      <c r="C18635">
        <v>476</v>
      </c>
      <c r="D18635">
        <v>436</v>
      </c>
      <c r="E18635">
        <v>8429180</v>
      </c>
      <c r="F18635">
        <v>251</v>
      </c>
      <c r="G18635">
        <v>0</v>
      </c>
      <c r="H18635" t="s">
        <v>23472</v>
      </c>
      <c r="I18635">
        <v>21147</v>
      </c>
      <c r="J18635" t="str">
        <f>VLOOKUP(E18635,DSSpieler!A:B,2,FALSE)</f>
        <v>grizzi</v>
      </c>
    </row>
    <row r="18636" spans="1:10" x14ac:dyDescent="0.25">
      <c r="A18636">
        <v>21148</v>
      </c>
      <c r="B18636" t="s">
        <v>531</v>
      </c>
      <c r="C18636">
        <v>598</v>
      </c>
      <c r="D18636">
        <v>592</v>
      </c>
      <c r="E18636">
        <v>0</v>
      </c>
      <c r="F18636">
        <v>35</v>
      </c>
      <c r="G18636">
        <v>0</v>
      </c>
      <c r="H18636" t="s">
        <v>23473</v>
      </c>
      <c r="I18636">
        <v>21148</v>
      </c>
      <c r="J18636" t="e">
        <f>VLOOKUP(E18636,DSSpieler!A:B,2,FALSE)</f>
        <v>#N/A</v>
      </c>
    </row>
    <row r="18637" spans="1:10" x14ac:dyDescent="0.25">
      <c r="A18637">
        <v>21149</v>
      </c>
      <c r="B18637" t="s">
        <v>4758</v>
      </c>
      <c r="C18637">
        <v>471</v>
      </c>
      <c r="D18637">
        <v>633</v>
      </c>
      <c r="E18637">
        <v>1577209351</v>
      </c>
      <c r="F18637">
        <v>187</v>
      </c>
      <c r="G18637">
        <v>0</v>
      </c>
      <c r="H18637" t="s">
        <v>23474</v>
      </c>
      <c r="I18637">
        <v>21149</v>
      </c>
      <c r="J18637" t="str">
        <f>VLOOKUP(E18637,DSSpieler!A:B,2,FALSE)</f>
        <v>ralf9898</v>
      </c>
    </row>
    <row r="18638" spans="1:10" x14ac:dyDescent="0.25">
      <c r="A18638">
        <v>21150</v>
      </c>
      <c r="B18638" t="s">
        <v>4759</v>
      </c>
      <c r="C18638">
        <v>634</v>
      </c>
      <c r="D18638">
        <v>487</v>
      </c>
      <c r="E18638">
        <v>1576248246</v>
      </c>
      <c r="F18638">
        <v>244</v>
      </c>
      <c r="G18638">
        <v>0</v>
      </c>
      <c r="H18638" t="s">
        <v>23475</v>
      </c>
      <c r="I18638">
        <v>21150</v>
      </c>
      <c r="J18638" t="str">
        <f>VLOOKUP(E18638,DSSpieler!A:B,2,FALSE)</f>
        <v>gama8</v>
      </c>
    </row>
    <row r="18639" spans="1:10" x14ac:dyDescent="0.25">
      <c r="A18639">
        <v>21151</v>
      </c>
      <c r="B18639" t="s">
        <v>4760</v>
      </c>
      <c r="C18639">
        <v>364</v>
      </c>
      <c r="D18639">
        <v>517</v>
      </c>
      <c r="E18639">
        <v>1577209358</v>
      </c>
      <c r="F18639">
        <v>52</v>
      </c>
      <c r="G18639">
        <v>0</v>
      </c>
      <c r="H18639" t="s">
        <v>23476</v>
      </c>
      <c r="I18639">
        <v>21151</v>
      </c>
      <c r="J18639" t="str">
        <f>VLOOKUP(E18639,DSSpieler!A:B,2,FALSE)</f>
        <v>carlos velhinho</v>
      </c>
    </row>
    <row r="18640" spans="1:10" x14ac:dyDescent="0.25">
      <c r="A18640">
        <v>21152</v>
      </c>
      <c r="B18640" t="s">
        <v>4761</v>
      </c>
      <c r="C18640">
        <v>598</v>
      </c>
      <c r="D18640">
        <v>405</v>
      </c>
      <c r="E18640">
        <v>1577133393</v>
      </c>
      <c r="F18640">
        <v>202</v>
      </c>
      <c r="G18640">
        <v>0</v>
      </c>
      <c r="H18640" t="s">
        <v>23477</v>
      </c>
      <c r="I18640">
        <v>21152</v>
      </c>
      <c r="J18640" t="str">
        <f>VLOOKUP(E18640,DSSpieler!A:B,2,FALSE)</f>
        <v>Pasio94</v>
      </c>
    </row>
    <row r="18641" spans="1:10" x14ac:dyDescent="0.25">
      <c r="A18641">
        <v>21153</v>
      </c>
      <c r="B18641" t="s">
        <v>4762</v>
      </c>
      <c r="C18641">
        <v>449</v>
      </c>
      <c r="D18641">
        <v>371</v>
      </c>
      <c r="E18641">
        <v>1577206101</v>
      </c>
      <c r="F18641">
        <v>114</v>
      </c>
      <c r="G18641">
        <v>0</v>
      </c>
      <c r="H18641" t="s">
        <v>23478</v>
      </c>
      <c r="I18641">
        <v>21153</v>
      </c>
      <c r="J18641" t="str">
        <f>VLOOKUP(E18641,DSSpieler!A:B,2,FALSE)</f>
        <v>JS11</v>
      </c>
    </row>
    <row r="18642" spans="1:10" x14ac:dyDescent="0.25">
      <c r="A18642">
        <v>21154</v>
      </c>
      <c r="B18642" t="s">
        <v>4763</v>
      </c>
      <c r="C18642">
        <v>554</v>
      </c>
      <c r="D18642">
        <v>524</v>
      </c>
      <c r="E18642">
        <v>8822016</v>
      </c>
      <c r="F18642">
        <v>118</v>
      </c>
      <c r="G18642">
        <v>0</v>
      </c>
      <c r="H18642" t="s">
        <v>23479</v>
      </c>
      <c r="I18642">
        <v>21154</v>
      </c>
      <c r="J18642" t="str">
        <f>VLOOKUP(E18642,DSSpieler!A:B,2,FALSE)</f>
        <v>Leviathania</v>
      </c>
    </row>
    <row r="18643" spans="1:10" x14ac:dyDescent="0.25">
      <c r="A18643">
        <v>21155</v>
      </c>
      <c r="B18643" t="s">
        <v>531</v>
      </c>
      <c r="C18643">
        <v>437</v>
      </c>
      <c r="D18643">
        <v>621</v>
      </c>
      <c r="E18643">
        <v>0</v>
      </c>
      <c r="F18643">
        <v>34</v>
      </c>
      <c r="G18643">
        <v>0</v>
      </c>
      <c r="H18643" t="s">
        <v>23480</v>
      </c>
      <c r="I18643">
        <v>21155</v>
      </c>
      <c r="J18643" t="e">
        <f>VLOOKUP(E18643,DSSpieler!A:B,2,FALSE)</f>
        <v>#N/A</v>
      </c>
    </row>
    <row r="18644" spans="1:10" x14ac:dyDescent="0.25">
      <c r="A18644">
        <v>21156</v>
      </c>
      <c r="B18644" t="s">
        <v>4764</v>
      </c>
      <c r="C18644">
        <v>367</v>
      </c>
      <c r="D18644">
        <v>540</v>
      </c>
      <c r="E18644">
        <v>1577207426</v>
      </c>
      <c r="F18644">
        <v>60</v>
      </c>
      <c r="G18644">
        <v>0</v>
      </c>
      <c r="H18644" t="s">
        <v>23481</v>
      </c>
      <c r="I18644">
        <v>21156</v>
      </c>
      <c r="J18644" t="str">
        <f>VLOOKUP(E18644,DSSpieler!A:B,2,FALSE)</f>
        <v>WotoLP</v>
      </c>
    </row>
    <row r="18645" spans="1:10" x14ac:dyDescent="0.25">
      <c r="A18645">
        <v>21157</v>
      </c>
      <c r="B18645" t="s">
        <v>4765</v>
      </c>
      <c r="C18645">
        <v>596</v>
      </c>
      <c r="D18645">
        <v>486</v>
      </c>
      <c r="E18645">
        <v>3034393</v>
      </c>
      <c r="F18645">
        <v>26</v>
      </c>
      <c r="G18645">
        <v>0</v>
      </c>
      <c r="H18645" t="s">
        <v>23482</v>
      </c>
      <c r="I18645">
        <v>21157</v>
      </c>
      <c r="J18645" t="str">
        <f>VLOOKUP(E18645,DSSpieler!A:B,2,FALSE)</f>
        <v>balo6300</v>
      </c>
    </row>
    <row r="18646" spans="1:10" x14ac:dyDescent="0.25">
      <c r="A18646">
        <v>21158</v>
      </c>
      <c r="B18646" t="s">
        <v>4766</v>
      </c>
      <c r="C18646">
        <v>413</v>
      </c>
      <c r="D18646">
        <v>392</v>
      </c>
      <c r="E18646">
        <v>9921892</v>
      </c>
      <c r="F18646">
        <v>140</v>
      </c>
      <c r="G18646">
        <v>0</v>
      </c>
      <c r="H18646" t="s">
        <v>23483</v>
      </c>
      <c r="I18646">
        <v>21158</v>
      </c>
      <c r="J18646" t="str">
        <f>VLOOKUP(E18646,DSSpieler!A:B,2,FALSE)</f>
        <v>Rosettenandi</v>
      </c>
    </row>
    <row r="18647" spans="1:10" x14ac:dyDescent="0.25">
      <c r="A18647">
        <v>21159</v>
      </c>
      <c r="B18647" t="s">
        <v>4767</v>
      </c>
      <c r="C18647">
        <v>368</v>
      </c>
      <c r="D18647">
        <v>471</v>
      </c>
      <c r="E18647">
        <v>7629919</v>
      </c>
      <c r="F18647">
        <v>26</v>
      </c>
      <c r="G18647">
        <v>0</v>
      </c>
      <c r="H18647" t="s">
        <v>23484</v>
      </c>
      <c r="I18647">
        <v>21159</v>
      </c>
      <c r="J18647" t="str">
        <f>VLOOKUP(E18647,DSSpieler!A:B,2,FALSE)</f>
        <v>alex31011995</v>
      </c>
    </row>
    <row r="18648" spans="1:10" x14ac:dyDescent="0.25">
      <c r="A18648">
        <v>21160</v>
      </c>
      <c r="B18648" t="s">
        <v>4768</v>
      </c>
      <c r="C18648">
        <v>450</v>
      </c>
      <c r="D18648">
        <v>628</v>
      </c>
      <c r="E18648">
        <v>1577191637</v>
      </c>
      <c r="F18648">
        <v>26</v>
      </c>
      <c r="G18648">
        <v>0</v>
      </c>
      <c r="H18648" t="s">
        <v>23485</v>
      </c>
      <c r="I18648">
        <v>21160</v>
      </c>
      <c r="J18648" t="str">
        <f>VLOOKUP(E18648,DSSpieler!A:B,2,FALSE)</f>
        <v>JanekM98</v>
      </c>
    </row>
    <row r="18649" spans="1:10" x14ac:dyDescent="0.25">
      <c r="A18649">
        <v>21161</v>
      </c>
      <c r="B18649" t="s">
        <v>4769</v>
      </c>
      <c r="C18649">
        <v>416</v>
      </c>
      <c r="D18649">
        <v>466</v>
      </c>
      <c r="E18649">
        <v>1577189800</v>
      </c>
      <c r="F18649">
        <v>26</v>
      </c>
      <c r="G18649">
        <v>0</v>
      </c>
      <c r="H18649" t="s">
        <v>23486</v>
      </c>
      <c r="I18649">
        <v>21161</v>
      </c>
      <c r="J18649" t="str">
        <f>VLOOKUP(E18649,DSSpieler!A:B,2,FALSE)</f>
        <v>BehaarteRenate</v>
      </c>
    </row>
    <row r="18650" spans="1:10" x14ac:dyDescent="0.25">
      <c r="A18650">
        <v>21162</v>
      </c>
      <c r="B18650" t="s">
        <v>4770</v>
      </c>
      <c r="C18650">
        <v>468</v>
      </c>
      <c r="D18650">
        <v>364</v>
      </c>
      <c r="E18650">
        <v>1577187526</v>
      </c>
      <c r="F18650">
        <v>70</v>
      </c>
      <c r="G18650">
        <v>0</v>
      </c>
      <c r="H18650" t="s">
        <v>23487</v>
      </c>
      <c r="I18650">
        <v>21162</v>
      </c>
      <c r="J18650" t="str">
        <f>VLOOKUP(E18650,DSSpieler!A:B,2,FALSE)</f>
        <v>Maxportal</v>
      </c>
    </row>
    <row r="18651" spans="1:10" x14ac:dyDescent="0.25">
      <c r="A18651">
        <v>21163</v>
      </c>
      <c r="B18651" t="s">
        <v>4771</v>
      </c>
      <c r="C18651">
        <v>392</v>
      </c>
      <c r="D18651">
        <v>421</v>
      </c>
      <c r="E18651">
        <v>404363</v>
      </c>
      <c r="F18651">
        <v>101</v>
      </c>
      <c r="G18651">
        <v>0</v>
      </c>
      <c r="H18651" t="s">
        <v>23488</v>
      </c>
      <c r="I18651">
        <v>21163</v>
      </c>
      <c r="J18651" t="str">
        <f>VLOOKUP(E18651,DSSpieler!A:B,2,FALSE)</f>
        <v>19DeeJay85</v>
      </c>
    </row>
    <row r="18652" spans="1:10" x14ac:dyDescent="0.25">
      <c r="A18652">
        <v>21164</v>
      </c>
      <c r="B18652" t="s">
        <v>4772</v>
      </c>
      <c r="C18652">
        <v>517</v>
      </c>
      <c r="D18652">
        <v>397</v>
      </c>
      <c r="E18652">
        <v>2073658</v>
      </c>
      <c r="F18652">
        <v>26</v>
      </c>
      <c r="G18652">
        <v>0</v>
      </c>
      <c r="H18652" t="s">
        <v>23489</v>
      </c>
      <c r="I18652">
        <v>21164</v>
      </c>
      <c r="J18652" t="str">
        <f>VLOOKUP(E18652,DSSpieler!A:B,2,FALSE)</f>
        <v>ZGFJL</v>
      </c>
    </row>
    <row r="18653" spans="1:10" x14ac:dyDescent="0.25">
      <c r="A18653">
        <v>21165</v>
      </c>
      <c r="B18653" t="s">
        <v>4773</v>
      </c>
      <c r="C18653">
        <v>369</v>
      </c>
      <c r="D18653">
        <v>454</v>
      </c>
      <c r="E18653">
        <v>9027173</v>
      </c>
      <c r="F18653">
        <v>218</v>
      </c>
      <c r="G18653">
        <v>0</v>
      </c>
      <c r="H18653" t="s">
        <v>23490</v>
      </c>
      <c r="I18653">
        <v>21165</v>
      </c>
      <c r="J18653" t="str">
        <f>VLOOKUP(E18653,DSSpieler!A:B,2,FALSE)</f>
        <v>Noxist</v>
      </c>
    </row>
    <row r="18654" spans="1:10" x14ac:dyDescent="0.25">
      <c r="A18654">
        <v>21166</v>
      </c>
      <c r="B18654">
        <v>1</v>
      </c>
      <c r="C18654">
        <v>629</v>
      </c>
      <c r="D18654">
        <v>446</v>
      </c>
      <c r="E18654">
        <v>9740586</v>
      </c>
      <c r="F18654">
        <v>199</v>
      </c>
      <c r="G18654">
        <v>0</v>
      </c>
      <c r="H18654" t="s">
        <v>23491</v>
      </c>
      <c r="I18654">
        <v>21166</v>
      </c>
      <c r="J18654" t="str">
        <f>VLOOKUP(E18654,DSSpieler!A:B,2,FALSE)</f>
        <v>Shin-Shi</v>
      </c>
    </row>
    <row r="18655" spans="1:10" x14ac:dyDescent="0.25">
      <c r="A18655">
        <v>21167</v>
      </c>
      <c r="B18655" t="s">
        <v>4774</v>
      </c>
      <c r="C18655">
        <v>497</v>
      </c>
      <c r="D18655">
        <v>363</v>
      </c>
      <c r="E18655">
        <v>1577207961</v>
      </c>
      <c r="F18655">
        <v>26</v>
      </c>
      <c r="G18655">
        <v>0</v>
      </c>
      <c r="H18655" t="s">
        <v>23492</v>
      </c>
      <c r="I18655">
        <v>21167</v>
      </c>
      <c r="J18655" t="str">
        <f>VLOOKUP(E18655,DSSpieler!A:B,2,FALSE)</f>
        <v>SwabianCoder</v>
      </c>
    </row>
    <row r="18656" spans="1:10" x14ac:dyDescent="0.25">
      <c r="A18656">
        <v>21168</v>
      </c>
      <c r="B18656" t="s">
        <v>4775</v>
      </c>
      <c r="C18656">
        <v>546</v>
      </c>
      <c r="D18656">
        <v>627</v>
      </c>
      <c r="E18656">
        <v>1577196211</v>
      </c>
      <c r="F18656">
        <v>26</v>
      </c>
      <c r="G18656">
        <v>0</v>
      </c>
      <c r="H18656" t="s">
        <v>23493</v>
      </c>
      <c r="I18656">
        <v>21168</v>
      </c>
      <c r="J18656" t="str">
        <f>VLOOKUP(E18656,DSSpieler!A:B,2,FALSE)</f>
        <v>Okubeam</v>
      </c>
    </row>
    <row r="18657" spans="1:10" x14ac:dyDescent="0.25">
      <c r="A18657">
        <v>21169</v>
      </c>
      <c r="B18657" t="s">
        <v>4776</v>
      </c>
      <c r="C18657">
        <v>524</v>
      </c>
      <c r="D18657">
        <v>366</v>
      </c>
      <c r="E18657">
        <v>1576332914</v>
      </c>
      <c r="F18657">
        <v>26</v>
      </c>
      <c r="G18657">
        <v>0</v>
      </c>
      <c r="H18657" t="s">
        <v>23494</v>
      </c>
      <c r="I18657">
        <v>21169</v>
      </c>
      <c r="J18657" t="str">
        <f>VLOOKUP(E18657,DSSpieler!A:B,2,FALSE)</f>
        <v>mtheb3</v>
      </c>
    </row>
    <row r="18658" spans="1:10" x14ac:dyDescent="0.25">
      <c r="A18658">
        <v>21170</v>
      </c>
      <c r="B18658" t="s">
        <v>531</v>
      </c>
      <c r="C18658">
        <v>525</v>
      </c>
      <c r="D18658">
        <v>635</v>
      </c>
      <c r="E18658">
        <v>0</v>
      </c>
      <c r="F18658">
        <v>35</v>
      </c>
      <c r="G18658">
        <v>0</v>
      </c>
      <c r="H18658" t="s">
        <v>23495</v>
      </c>
      <c r="I18658">
        <v>21170</v>
      </c>
      <c r="J18658" t="e">
        <f>VLOOKUP(E18658,DSSpieler!A:B,2,FALSE)</f>
        <v>#N/A</v>
      </c>
    </row>
    <row r="18659" spans="1:10" x14ac:dyDescent="0.25">
      <c r="A18659">
        <v>21171</v>
      </c>
      <c r="B18659" t="s">
        <v>4777</v>
      </c>
      <c r="C18659">
        <v>569</v>
      </c>
      <c r="D18659">
        <v>383</v>
      </c>
      <c r="E18659">
        <v>1577209381</v>
      </c>
      <c r="F18659">
        <v>176</v>
      </c>
      <c r="G18659">
        <v>0</v>
      </c>
      <c r="H18659" t="s">
        <v>23496</v>
      </c>
      <c r="I18659">
        <v>21171</v>
      </c>
      <c r="J18659" t="str">
        <f>VLOOKUP(E18659,DSSpieler!A:B,2,FALSE)</f>
        <v>GonzoGurkenheimer</v>
      </c>
    </row>
    <row r="18660" spans="1:10" x14ac:dyDescent="0.25">
      <c r="A18660">
        <v>21172</v>
      </c>
      <c r="B18660" t="s">
        <v>531</v>
      </c>
      <c r="C18660">
        <v>428</v>
      </c>
      <c r="D18660">
        <v>616</v>
      </c>
      <c r="E18660">
        <v>0</v>
      </c>
      <c r="F18660">
        <v>35</v>
      </c>
      <c r="G18660">
        <v>0</v>
      </c>
      <c r="H18660" t="s">
        <v>23497</v>
      </c>
      <c r="I18660">
        <v>21172</v>
      </c>
      <c r="J18660" t="e">
        <f>VLOOKUP(E18660,DSSpieler!A:B,2,FALSE)</f>
        <v>#N/A</v>
      </c>
    </row>
    <row r="18661" spans="1:10" x14ac:dyDescent="0.25">
      <c r="A18661">
        <v>21173</v>
      </c>
      <c r="B18661" t="s">
        <v>4778</v>
      </c>
      <c r="C18661">
        <v>421</v>
      </c>
      <c r="D18661">
        <v>616</v>
      </c>
      <c r="E18661">
        <v>1113760</v>
      </c>
      <c r="F18661">
        <v>212</v>
      </c>
      <c r="G18661">
        <v>0</v>
      </c>
      <c r="H18661" t="s">
        <v>23498</v>
      </c>
      <c r="I18661">
        <v>21173</v>
      </c>
      <c r="J18661" t="str">
        <f>VLOOKUP(E18661,DSSpieler!A:B,2,FALSE)</f>
        <v>Karl der Große 123</v>
      </c>
    </row>
    <row r="18662" spans="1:10" x14ac:dyDescent="0.25">
      <c r="A18662">
        <v>21174</v>
      </c>
      <c r="B18662" t="s">
        <v>4779</v>
      </c>
      <c r="C18662">
        <v>380</v>
      </c>
      <c r="D18662">
        <v>433</v>
      </c>
      <c r="E18662">
        <v>1205156</v>
      </c>
      <c r="F18662">
        <v>217</v>
      </c>
      <c r="G18662">
        <v>0</v>
      </c>
      <c r="H18662" t="s">
        <v>23499</v>
      </c>
      <c r="I18662">
        <v>21174</v>
      </c>
      <c r="J18662" t="str">
        <f>VLOOKUP(E18662,DSSpieler!A:B,2,FALSE)</f>
        <v>pattaya</v>
      </c>
    </row>
    <row r="18663" spans="1:10" x14ac:dyDescent="0.25">
      <c r="A18663">
        <v>21175</v>
      </c>
      <c r="B18663" t="s">
        <v>4780</v>
      </c>
      <c r="C18663">
        <v>447</v>
      </c>
      <c r="D18663">
        <v>622</v>
      </c>
      <c r="E18663">
        <v>1576994567</v>
      </c>
      <c r="F18663">
        <v>26</v>
      </c>
      <c r="G18663">
        <v>0</v>
      </c>
      <c r="H18663" t="s">
        <v>23500</v>
      </c>
      <c r="I18663">
        <v>21175</v>
      </c>
      <c r="J18663" t="str">
        <f>VLOOKUP(E18663,DSSpieler!A:B,2,FALSE)</f>
        <v>Beelzebuth</v>
      </c>
    </row>
    <row r="18664" spans="1:10" x14ac:dyDescent="0.25">
      <c r="A18664">
        <v>21176</v>
      </c>
      <c r="B18664" t="s">
        <v>4781</v>
      </c>
      <c r="C18664">
        <v>611</v>
      </c>
      <c r="D18664">
        <v>582</v>
      </c>
      <c r="E18664">
        <v>1577045238</v>
      </c>
      <c r="F18664">
        <v>26</v>
      </c>
      <c r="G18664">
        <v>0</v>
      </c>
      <c r="H18664" t="s">
        <v>23501</v>
      </c>
      <c r="I18664">
        <v>21176</v>
      </c>
      <c r="J18664" t="str">
        <f>VLOOKUP(E18664,DSSpieler!A:B,2,FALSE)</f>
        <v>schnecke12345</v>
      </c>
    </row>
    <row r="18665" spans="1:10" x14ac:dyDescent="0.25">
      <c r="A18665">
        <v>21177</v>
      </c>
      <c r="B18665" t="s">
        <v>4782</v>
      </c>
      <c r="C18665">
        <v>450</v>
      </c>
      <c r="D18665">
        <v>630</v>
      </c>
      <c r="E18665">
        <v>8805250</v>
      </c>
      <c r="F18665">
        <v>224</v>
      </c>
      <c r="G18665">
        <v>0</v>
      </c>
      <c r="H18665" t="s">
        <v>23502</v>
      </c>
      <c r="I18665">
        <v>21177</v>
      </c>
      <c r="J18665" t="str">
        <f>VLOOKUP(E18665,DSSpieler!A:B,2,FALSE)</f>
        <v>niewieder-stämme</v>
      </c>
    </row>
    <row r="18666" spans="1:10" x14ac:dyDescent="0.25">
      <c r="A18666">
        <v>21178</v>
      </c>
      <c r="B18666" t="s">
        <v>4783</v>
      </c>
      <c r="C18666">
        <v>382</v>
      </c>
      <c r="D18666">
        <v>566</v>
      </c>
      <c r="E18666">
        <v>1576538027</v>
      </c>
      <c r="F18666">
        <v>26</v>
      </c>
      <c r="G18666">
        <v>0</v>
      </c>
      <c r="H18666" t="s">
        <v>23503</v>
      </c>
      <c r="I18666">
        <v>21178</v>
      </c>
      <c r="J18666" t="str">
        <f>VLOOKUP(E18666,DSSpieler!A:B,2,FALSE)</f>
        <v>iMAKEYOUSeXY</v>
      </c>
    </row>
    <row r="18667" spans="1:10" x14ac:dyDescent="0.25">
      <c r="A18667">
        <v>21179</v>
      </c>
      <c r="B18667" t="s">
        <v>531</v>
      </c>
      <c r="C18667">
        <v>440</v>
      </c>
      <c r="D18667">
        <v>379</v>
      </c>
      <c r="E18667">
        <v>0</v>
      </c>
      <c r="F18667">
        <v>48</v>
      </c>
      <c r="G18667">
        <v>0</v>
      </c>
      <c r="H18667" t="s">
        <v>23504</v>
      </c>
      <c r="I18667">
        <v>21179</v>
      </c>
      <c r="J18667" t="e">
        <f>VLOOKUP(E18667,DSSpieler!A:B,2,FALSE)</f>
        <v>#N/A</v>
      </c>
    </row>
    <row r="18668" spans="1:10" x14ac:dyDescent="0.25">
      <c r="A18668">
        <v>21180</v>
      </c>
      <c r="B18668" t="s">
        <v>4784</v>
      </c>
      <c r="C18668">
        <v>459</v>
      </c>
      <c r="D18668">
        <v>370</v>
      </c>
      <c r="E18668">
        <v>1577208013</v>
      </c>
      <c r="F18668">
        <v>64</v>
      </c>
      <c r="G18668">
        <v>0</v>
      </c>
      <c r="H18668" t="s">
        <v>23505</v>
      </c>
      <c r="I18668">
        <v>21180</v>
      </c>
      <c r="J18668" t="str">
        <f>VLOOKUP(E18668,DSSpieler!A:B,2,FALSE)</f>
        <v>Gaschima</v>
      </c>
    </row>
    <row r="18669" spans="1:10" x14ac:dyDescent="0.25">
      <c r="A18669">
        <v>21181</v>
      </c>
      <c r="B18669" t="s">
        <v>4785</v>
      </c>
      <c r="C18669">
        <v>506</v>
      </c>
      <c r="D18669">
        <v>389</v>
      </c>
      <c r="E18669">
        <v>1576598461</v>
      </c>
      <c r="F18669">
        <v>51</v>
      </c>
      <c r="G18669">
        <v>0</v>
      </c>
      <c r="H18669" t="s">
        <v>23506</v>
      </c>
      <c r="I18669">
        <v>21181</v>
      </c>
      <c r="J18669" t="str">
        <f>VLOOKUP(E18669,DSSpieler!A:B,2,FALSE)</f>
        <v>Lorzing</v>
      </c>
    </row>
    <row r="18670" spans="1:10" x14ac:dyDescent="0.25">
      <c r="A18670">
        <v>21182</v>
      </c>
      <c r="B18670" t="s">
        <v>4786</v>
      </c>
      <c r="C18670">
        <v>387</v>
      </c>
      <c r="D18670">
        <v>581</v>
      </c>
      <c r="E18670">
        <v>1577074623</v>
      </c>
      <c r="F18670">
        <v>50</v>
      </c>
      <c r="G18670">
        <v>0</v>
      </c>
      <c r="H18670" t="s">
        <v>23507</v>
      </c>
      <c r="I18670">
        <v>21182</v>
      </c>
      <c r="J18670" t="str">
        <f>VLOOKUP(E18670,DSSpieler!A:B,2,FALSE)</f>
        <v>Quader</v>
      </c>
    </row>
    <row r="18671" spans="1:10" x14ac:dyDescent="0.25">
      <c r="A18671">
        <v>21183</v>
      </c>
      <c r="B18671" t="s">
        <v>4787</v>
      </c>
      <c r="C18671">
        <v>449</v>
      </c>
      <c r="D18671">
        <v>628</v>
      </c>
      <c r="E18671">
        <v>1577125594</v>
      </c>
      <c r="F18671">
        <v>90</v>
      </c>
      <c r="G18671">
        <v>0</v>
      </c>
      <c r="H18671" t="s">
        <v>23508</v>
      </c>
      <c r="I18671">
        <v>21183</v>
      </c>
      <c r="J18671" t="str">
        <f>VLOOKUP(E18671,DSSpieler!A:B,2,FALSE)</f>
        <v>Korn</v>
      </c>
    </row>
    <row r="18672" spans="1:10" x14ac:dyDescent="0.25">
      <c r="A18672">
        <v>21184</v>
      </c>
      <c r="B18672" t="s">
        <v>4788</v>
      </c>
      <c r="C18672">
        <v>607</v>
      </c>
      <c r="D18672">
        <v>412</v>
      </c>
      <c r="E18672">
        <v>1577209325</v>
      </c>
      <c r="F18672">
        <v>133</v>
      </c>
      <c r="G18672">
        <v>0</v>
      </c>
      <c r="H18672" t="s">
        <v>23509</v>
      </c>
      <c r="I18672">
        <v>21184</v>
      </c>
      <c r="J18672" t="str">
        <f>VLOOKUP(E18672,DSSpieler!A:B,2,FALSE)</f>
        <v>Lukas 30</v>
      </c>
    </row>
    <row r="18673" spans="1:10" x14ac:dyDescent="0.25">
      <c r="A18673">
        <v>21185</v>
      </c>
      <c r="B18673" t="s">
        <v>4789</v>
      </c>
      <c r="C18673">
        <v>612</v>
      </c>
      <c r="D18673">
        <v>579</v>
      </c>
      <c r="E18673">
        <v>1575937635</v>
      </c>
      <c r="F18673">
        <v>26</v>
      </c>
      <c r="G18673">
        <v>0</v>
      </c>
      <c r="H18673" t="s">
        <v>23510</v>
      </c>
      <c r="I18673">
        <v>21185</v>
      </c>
      <c r="J18673" t="str">
        <f>VLOOKUP(E18673,DSSpieler!A:B,2,FALSE)</f>
        <v>Privat98</v>
      </c>
    </row>
    <row r="18674" spans="1:10" x14ac:dyDescent="0.25">
      <c r="A18674">
        <v>21186</v>
      </c>
      <c r="B18674" t="s">
        <v>4790</v>
      </c>
      <c r="C18674">
        <v>586</v>
      </c>
      <c r="D18674">
        <v>397</v>
      </c>
      <c r="E18674">
        <v>1576821965</v>
      </c>
      <c r="F18674">
        <v>26</v>
      </c>
      <c r="G18674">
        <v>0</v>
      </c>
      <c r="H18674" t="s">
        <v>23511</v>
      </c>
      <c r="I18674">
        <v>21186</v>
      </c>
      <c r="J18674" t="str">
        <f>VLOOKUP(E18674,DSSpieler!A:B,2,FALSE)</f>
        <v>%C3%96rmi</v>
      </c>
    </row>
    <row r="18675" spans="1:10" x14ac:dyDescent="0.25">
      <c r="A18675">
        <v>21187</v>
      </c>
      <c r="B18675" t="s">
        <v>4791</v>
      </c>
      <c r="C18675">
        <v>635</v>
      </c>
      <c r="D18675">
        <v>494</v>
      </c>
      <c r="E18675">
        <v>1577209400</v>
      </c>
      <c r="F18675">
        <v>141</v>
      </c>
      <c r="G18675">
        <v>0</v>
      </c>
      <c r="H18675" t="s">
        <v>23512</v>
      </c>
      <c r="I18675">
        <v>21187</v>
      </c>
      <c r="J18675" t="str">
        <f>VLOOKUP(E18675,DSSpieler!A:B,2,FALSE)</f>
        <v>vanderhood</v>
      </c>
    </row>
    <row r="18676" spans="1:10" x14ac:dyDescent="0.25">
      <c r="A18676">
        <v>21188</v>
      </c>
      <c r="B18676" t="s">
        <v>4792</v>
      </c>
      <c r="C18676">
        <v>367</v>
      </c>
      <c r="D18676">
        <v>525</v>
      </c>
      <c r="E18676">
        <v>1577191665</v>
      </c>
      <c r="F18676">
        <v>26</v>
      </c>
      <c r="G18676">
        <v>0</v>
      </c>
      <c r="H18676" t="s">
        <v>23513</v>
      </c>
      <c r="I18676">
        <v>21188</v>
      </c>
      <c r="J18676" t="str">
        <f>VLOOKUP(E18676,DSSpieler!A:B,2,FALSE)</f>
        <v>Nico22</v>
      </c>
    </row>
    <row r="18677" spans="1:10" x14ac:dyDescent="0.25">
      <c r="A18677">
        <v>21189</v>
      </c>
      <c r="B18677" t="s">
        <v>4793</v>
      </c>
      <c r="C18677">
        <v>592</v>
      </c>
      <c r="D18677">
        <v>474</v>
      </c>
      <c r="E18677">
        <v>1576975095</v>
      </c>
      <c r="F18677">
        <v>26</v>
      </c>
      <c r="G18677">
        <v>0</v>
      </c>
      <c r="H18677" t="s">
        <v>23514</v>
      </c>
      <c r="I18677">
        <v>21189</v>
      </c>
      <c r="J18677" t="str">
        <f>VLOOKUP(E18677,DSSpieler!A:B,2,FALSE)</f>
        <v>ehrenbruder 8i</v>
      </c>
    </row>
    <row r="18678" spans="1:10" x14ac:dyDescent="0.25">
      <c r="A18678">
        <v>21190</v>
      </c>
      <c r="B18678" t="s">
        <v>4794</v>
      </c>
      <c r="C18678">
        <v>432</v>
      </c>
      <c r="D18678">
        <v>621</v>
      </c>
      <c r="E18678">
        <v>1577200435</v>
      </c>
      <c r="F18678">
        <v>133</v>
      </c>
      <c r="G18678">
        <v>0</v>
      </c>
      <c r="H18678" t="s">
        <v>23515</v>
      </c>
      <c r="I18678">
        <v>21190</v>
      </c>
      <c r="J18678" t="str">
        <f>VLOOKUP(E18678,DSSpieler!A:B,2,FALSE)</f>
        <v>Dieter50</v>
      </c>
    </row>
    <row r="18679" spans="1:10" x14ac:dyDescent="0.25">
      <c r="A18679">
        <v>21191</v>
      </c>
      <c r="B18679" t="s">
        <v>4795</v>
      </c>
      <c r="C18679">
        <v>592</v>
      </c>
      <c r="D18679">
        <v>398</v>
      </c>
      <c r="E18679">
        <v>1577191986</v>
      </c>
      <c r="F18679">
        <v>26</v>
      </c>
      <c r="G18679">
        <v>0</v>
      </c>
      <c r="H18679" t="s">
        <v>23516</v>
      </c>
      <c r="I18679">
        <v>21191</v>
      </c>
      <c r="J18679" t="str">
        <f>VLOOKUP(E18679,DSSpieler!A:B,2,FALSE)</f>
        <v>hoedt09</v>
      </c>
    </row>
    <row r="18680" spans="1:10" x14ac:dyDescent="0.25">
      <c r="A18680">
        <v>21192</v>
      </c>
      <c r="B18680" t="s">
        <v>2348</v>
      </c>
      <c r="C18680">
        <v>558</v>
      </c>
      <c r="D18680">
        <v>459</v>
      </c>
      <c r="E18680">
        <v>1577197389</v>
      </c>
      <c r="F18680">
        <v>246</v>
      </c>
      <c r="G18680">
        <v>0</v>
      </c>
      <c r="H18680" t="s">
        <v>23517</v>
      </c>
      <c r="I18680">
        <v>21192</v>
      </c>
      <c r="J18680" t="str">
        <f>VLOOKUP(E18680,DSSpieler!A:B,2,FALSE)</f>
        <v>Torde</v>
      </c>
    </row>
    <row r="18681" spans="1:10" x14ac:dyDescent="0.25">
      <c r="A18681">
        <v>21193</v>
      </c>
      <c r="B18681" t="s">
        <v>4796</v>
      </c>
      <c r="C18681">
        <v>635</v>
      </c>
      <c r="D18681">
        <v>526</v>
      </c>
      <c r="E18681">
        <v>9548236</v>
      </c>
      <c r="F18681">
        <v>38</v>
      </c>
      <c r="G18681">
        <v>0</v>
      </c>
      <c r="H18681" t="s">
        <v>23518</v>
      </c>
      <c r="I18681">
        <v>21193</v>
      </c>
      <c r="J18681" t="str">
        <f>VLOOKUP(E18681,DSSpieler!A:B,2,FALSE)</f>
        <v>mrcrux</v>
      </c>
    </row>
    <row r="18682" spans="1:10" x14ac:dyDescent="0.25">
      <c r="A18682">
        <v>21194</v>
      </c>
      <c r="B18682" t="s">
        <v>4797</v>
      </c>
      <c r="C18682">
        <v>592</v>
      </c>
      <c r="D18682">
        <v>400</v>
      </c>
      <c r="E18682">
        <v>1577204962</v>
      </c>
      <c r="F18682">
        <v>128</v>
      </c>
      <c r="G18682">
        <v>0</v>
      </c>
      <c r="H18682" t="s">
        <v>23519</v>
      </c>
      <c r="I18682">
        <v>21194</v>
      </c>
      <c r="J18682" t="str">
        <f>VLOOKUP(E18682,DSSpieler!A:B,2,FALSE)</f>
        <v>Malchinho</v>
      </c>
    </row>
    <row r="18683" spans="1:10" x14ac:dyDescent="0.25">
      <c r="A18683">
        <v>21195</v>
      </c>
      <c r="B18683" t="s">
        <v>4798</v>
      </c>
      <c r="C18683">
        <v>547</v>
      </c>
      <c r="D18683">
        <v>373</v>
      </c>
      <c r="E18683">
        <v>1577183925</v>
      </c>
      <c r="F18683">
        <v>26</v>
      </c>
      <c r="G18683">
        <v>0</v>
      </c>
      <c r="H18683" t="s">
        <v>23520</v>
      </c>
      <c r="I18683">
        <v>21195</v>
      </c>
      <c r="J18683" t="str">
        <f>VLOOKUP(E18683,DSSpieler!A:B,2,FALSE)</f>
        <v>RietenLu</v>
      </c>
    </row>
    <row r="18684" spans="1:10" x14ac:dyDescent="0.25">
      <c r="A18684">
        <v>21196</v>
      </c>
      <c r="B18684" t="s">
        <v>4799</v>
      </c>
      <c r="C18684">
        <v>481</v>
      </c>
      <c r="D18684">
        <v>362</v>
      </c>
      <c r="E18684">
        <v>8919293</v>
      </c>
      <c r="F18684">
        <v>26</v>
      </c>
      <c r="G18684">
        <v>0</v>
      </c>
      <c r="H18684" t="s">
        <v>23521</v>
      </c>
      <c r="I18684">
        <v>21196</v>
      </c>
      <c r="J18684" t="str">
        <f>VLOOKUP(E18684,DSSpieler!A:B,2,FALSE)</f>
        <v>evo92 2k10</v>
      </c>
    </row>
    <row r="18685" spans="1:10" x14ac:dyDescent="0.25">
      <c r="A18685">
        <v>21197</v>
      </c>
      <c r="B18685" t="s">
        <v>4800</v>
      </c>
      <c r="C18685">
        <v>558</v>
      </c>
      <c r="D18685">
        <v>377</v>
      </c>
      <c r="E18685">
        <v>7672804</v>
      </c>
      <c r="F18685">
        <v>190</v>
      </c>
      <c r="G18685">
        <v>0</v>
      </c>
      <c r="H18685" t="s">
        <v>23522</v>
      </c>
      <c r="I18685">
        <v>21197</v>
      </c>
      <c r="J18685" t="str">
        <f>VLOOKUP(E18685,DSSpieler!A:B,2,FALSE)</f>
        <v>wnax</v>
      </c>
    </row>
    <row r="18686" spans="1:10" x14ac:dyDescent="0.25">
      <c r="A18686">
        <v>21198</v>
      </c>
      <c r="B18686" t="s">
        <v>4801</v>
      </c>
      <c r="C18686">
        <v>535</v>
      </c>
      <c r="D18686">
        <v>607</v>
      </c>
      <c r="E18686">
        <v>1577016903</v>
      </c>
      <c r="F18686">
        <v>251</v>
      </c>
      <c r="G18686">
        <v>0</v>
      </c>
      <c r="H18686" t="s">
        <v>23523</v>
      </c>
      <c r="I18686">
        <v>21198</v>
      </c>
      <c r="J18686" t="str">
        <f>VLOOKUP(E18686,DSSpieler!A:B,2,FALSE)</f>
        <v>sodomundgomorra</v>
      </c>
    </row>
    <row r="18687" spans="1:10" x14ac:dyDescent="0.25">
      <c r="A18687">
        <v>21199</v>
      </c>
      <c r="B18687">
        <v>1</v>
      </c>
      <c r="C18687">
        <v>368</v>
      </c>
      <c r="D18687">
        <v>461</v>
      </c>
      <c r="E18687">
        <v>1577125645</v>
      </c>
      <c r="F18687">
        <v>209</v>
      </c>
      <c r="G18687">
        <v>0</v>
      </c>
      <c r="H18687" t="s">
        <v>23524</v>
      </c>
      <c r="I18687">
        <v>21199</v>
      </c>
      <c r="J18687" t="str">
        <f>VLOOKUP(E18687,DSSpieler!A:B,2,FALSE)</f>
        <v>San Remo</v>
      </c>
    </row>
    <row r="18688" spans="1:10" x14ac:dyDescent="0.25">
      <c r="A18688">
        <v>21200</v>
      </c>
      <c r="B18688" t="s">
        <v>4802</v>
      </c>
      <c r="C18688">
        <v>428</v>
      </c>
      <c r="D18688">
        <v>613</v>
      </c>
      <c r="E18688">
        <v>1577076156</v>
      </c>
      <c r="F18688">
        <v>184</v>
      </c>
      <c r="G18688">
        <v>0</v>
      </c>
      <c r="H18688" t="s">
        <v>23525</v>
      </c>
      <c r="I18688">
        <v>21200</v>
      </c>
      <c r="J18688" t="str">
        <f>VLOOKUP(E18688,DSSpieler!A:B,2,FALSE)</f>
        <v>nikki</v>
      </c>
    </row>
    <row r="18689" spans="1:10" x14ac:dyDescent="0.25">
      <c r="A18689">
        <v>21201</v>
      </c>
      <c r="B18689" t="s">
        <v>4803</v>
      </c>
      <c r="C18689">
        <v>608</v>
      </c>
      <c r="D18689">
        <v>589</v>
      </c>
      <c r="E18689">
        <v>10002442</v>
      </c>
      <c r="F18689">
        <v>26</v>
      </c>
      <c r="G18689">
        <v>0</v>
      </c>
      <c r="H18689" t="s">
        <v>23526</v>
      </c>
      <c r="I18689">
        <v>21201</v>
      </c>
      <c r="J18689" t="str">
        <f>VLOOKUP(E18689,DSSpieler!A:B,2,FALSE)</f>
        <v>DOWN-88</v>
      </c>
    </row>
    <row r="18690" spans="1:10" x14ac:dyDescent="0.25">
      <c r="A18690">
        <v>21202</v>
      </c>
      <c r="B18690" t="s">
        <v>4804</v>
      </c>
      <c r="C18690">
        <v>375</v>
      </c>
      <c r="D18690">
        <v>439</v>
      </c>
      <c r="E18690">
        <v>1577150493</v>
      </c>
      <c r="F18690">
        <v>26</v>
      </c>
      <c r="G18690">
        <v>0</v>
      </c>
      <c r="H18690" t="s">
        <v>23527</v>
      </c>
      <c r="I18690">
        <v>21202</v>
      </c>
      <c r="J18690" t="str">
        <f>VLOOKUP(E18690,DSSpieler!A:B,2,FALSE)</f>
        <v>Viagra</v>
      </c>
    </row>
    <row r="18691" spans="1:10" x14ac:dyDescent="0.25">
      <c r="A18691">
        <v>21203</v>
      </c>
      <c r="B18691" t="s">
        <v>4805</v>
      </c>
      <c r="C18691">
        <v>394</v>
      </c>
      <c r="D18691">
        <v>591</v>
      </c>
      <c r="E18691">
        <v>1577156831</v>
      </c>
      <c r="F18691">
        <v>26</v>
      </c>
      <c r="G18691">
        <v>0</v>
      </c>
      <c r="H18691" t="s">
        <v>23528</v>
      </c>
      <c r="I18691">
        <v>21203</v>
      </c>
      <c r="J18691" t="str">
        <f>VLOOKUP(E18691,DSSpieler!A:B,2,FALSE)</f>
        <v>Austrolix</v>
      </c>
    </row>
    <row r="18692" spans="1:10" x14ac:dyDescent="0.25">
      <c r="A18692">
        <v>21204</v>
      </c>
      <c r="B18692" t="s">
        <v>4806</v>
      </c>
      <c r="C18692">
        <v>358</v>
      </c>
      <c r="D18692">
        <v>493</v>
      </c>
      <c r="E18692">
        <v>1482114</v>
      </c>
      <c r="F18692">
        <v>216</v>
      </c>
      <c r="G18692">
        <v>0</v>
      </c>
      <c r="H18692" t="s">
        <v>23529</v>
      </c>
      <c r="I18692">
        <v>21204</v>
      </c>
      <c r="J18692" t="str">
        <f>VLOOKUP(E18692,DSSpieler!A:B,2,FALSE)</f>
        <v>Kaslaberl</v>
      </c>
    </row>
    <row r="18693" spans="1:10" x14ac:dyDescent="0.25">
      <c r="A18693">
        <v>21205</v>
      </c>
      <c r="B18693" t="s">
        <v>4807</v>
      </c>
      <c r="C18693">
        <v>636</v>
      </c>
      <c r="D18693">
        <v>477</v>
      </c>
      <c r="E18693">
        <v>1577183264</v>
      </c>
      <c r="F18693">
        <v>26</v>
      </c>
      <c r="G18693">
        <v>0</v>
      </c>
      <c r="H18693" t="s">
        <v>23530</v>
      </c>
      <c r="I18693">
        <v>21205</v>
      </c>
      <c r="J18693" t="str">
        <f>VLOOKUP(E18693,DSSpieler!A:B,2,FALSE)</f>
        <v>BaangX</v>
      </c>
    </row>
    <row r="18694" spans="1:10" x14ac:dyDescent="0.25">
      <c r="A18694">
        <v>21206</v>
      </c>
      <c r="B18694" t="s">
        <v>4808</v>
      </c>
      <c r="C18694">
        <v>391</v>
      </c>
      <c r="D18694">
        <v>587</v>
      </c>
      <c r="E18694">
        <v>1854435</v>
      </c>
      <c r="F18694">
        <v>26</v>
      </c>
      <c r="G18694">
        <v>0</v>
      </c>
      <c r="H18694" t="s">
        <v>23531</v>
      </c>
      <c r="I18694">
        <v>21206</v>
      </c>
      <c r="J18694" t="str">
        <f>VLOOKUP(E18694,DSSpieler!A:B,2,FALSE)</f>
        <v>xx bjoern xx</v>
      </c>
    </row>
    <row r="18695" spans="1:10" x14ac:dyDescent="0.25">
      <c r="A18695">
        <v>21207</v>
      </c>
      <c r="B18695" t="s">
        <v>4809</v>
      </c>
      <c r="C18695">
        <v>366</v>
      </c>
      <c r="D18695">
        <v>492</v>
      </c>
      <c r="E18695">
        <v>1576221717</v>
      </c>
      <c r="F18695">
        <v>196</v>
      </c>
      <c r="G18695">
        <v>0</v>
      </c>
      <c r="H18695" t="s">
        <v>23532</v>
      </c>
      <c r="I18695">
        <v>21207</v>
      </c>
      <c r="J18695" t="str">
        <f>VLOOKUP(E18695,DSSpieler!A:B,2,FALSE)</f>
        <v>KingEgo</v>
      </c>
    </row>
    <row r="18696" spans="1:10" x14ac:dyDescent="0.25">
      <c r="A18696">
        <v>21208</v>
      </c>
      <c r="B18696" t="s">
        <v>4810</v>
      </c>
      <c r="C18696">
        <v>528</v>
      </c>
      <c r="D18696">
        <v>366</v>
      </c>
      <c r="E18696">
        <v>1577208014</v>
      </c>
      <c r="F18696">
        <v>57</v>
      </c>
      <c r="G18696">
        <v>0</v>
      </c>
      <c r="H18696" t="s">
        <v>23533</v>
      </c>
      <c r="I18696">
        <v>21208</v>
      </c>
      <c r="J18696" t="str">
        <f>VLOOKUP(E18696,DSSpieler!A:B,2,FALSE)</f>
        <v>SzumilasL</v>
      </c>
    </row>
    <row r="18697" spans="1:10" x14ac:dyDescent="0.25">
      <c r="A18697">
        <v>21209</v>
      </c>
      <c r="B18697" t="s">
        <v>4811</v>
      </c>
      <c r="C18697">
        <v>366</v>
      </c>
      <c r="D18697">
        <v>466</v>
      </c>
      <c r="E18697">
        <v>8483179</v>
      </c>
      <c r="F18697">
        <v>94</v>
      </c>
      <c r="G18697">
        <v>0</v>
      </c>
      <c r="H18697" t="s">
        <v>23534</v>
      </c>
      <c r="I18697">
        <v>21209</v>
      </c>
      <c r="J18697" t="str">
        <f>VLOOKUP(E18697,DSSpieler!A:B,2,FALSE)</f>
        <v>brille02</v>
      </c>
    </row>
    <row r="18698" spans="1:10" x14ac:dyDescent="0.25">
      <c r="A18698">
        <v>21210</v>
      </c>
      <c r="B18698" t="s">
        <v>4812</v>
      </c>
      <c r="C18698">
        <v>361</v>
      </c>
      <c r="D18698">
        <v>492</v>
      </c>
      <c r="E18698">
        <v>1577208626</v>
      </c>
      <c r="F18698">
        <v>88</v>
      </c>
      <c r="G18698">
        <v>0</v>
      </c>
      <c r="H18698" t="s">
        <v>23535</v>
      </c>
      <c r="I18698">
        <v>21210</v>
      </c>
      <c r="J18698" t="str">
        <f>VLOOKUP(E18698,DSSpieler!A:B,2,FALSE)</f>
        <v>dicka01</v>
      </c>
    </row>
    <row r="18699" spans="1:10" x14ac:dyDescent="0.25">
      <c r="A18699">
        <v>21211</v>
      </c>
      <c r="B18699" t="s">
        <v>4813</v>
      </c>
      <c r="C18699">
        <v>610</v>
      </c>
      <c r="D18699">
        <v>578</v>
      </c>
      <c r="E18699">
        <v>1577186062</v>
      </c>
      <c r="F18699">
        <v>26</v>
      </c>
      <c r="G18699">
        <v>0</v>
      </c>
      <c r="H18699" t="s">
        <v>23536</v>
      </c>
      <c r="I18699">
        <v>21211</v>
      </c>
      <c r="J18699" t="str">
        <f>VLOOKUP(E18699,DSSpieler!A:B,2,FALSE)</f>
        <v>Lady Walter</v>
      </c>
    </row>
    <row r="18700" spans="1:10" x14ac:dyDescent="0.25">
      <c r="A18700">
        <v>21212</v>
      </c>
      <c r="B18700" t="s">
        <v>531</v>
      </c>
      <c r="C18700">
        <v>594</v>
      </c>
      <c r="D18700">
        <v>397</v>
      </c>
      <c r="E18700">
        <v>0</v>
      </c>
      <c r="F18700">
        <v>29</v>
      </c>
      <c r="G18700">
        <v>0</v>
      </c>
      <c r="H18700" t="s">
        <v>23537</v>
      </c>
      <c r="I18700">
        <v>21212</v>
      </c>
      <c r="J18700" t="e">
        <f>VLOOKUP(E18700,DSSpieler!A:B,2,FALSE)</f>
        <v>#N/A</v>
      </c>
    </row>
    <row r="18701" spans="1:10" x14ac:dyDescent="0.25">
      <c r="A18701">
        <v>21213</v>
      </c>
      <c r="B18701" t="s">
        <v>1243</v>
      </c>
      <c r="C18701">
        <v>639</v>
      </c>
      <c r="D18701">
        <v>507</v>
      </c>
      <c r="E18701">
        <v>1577187178</v>
      </c>
      <c r="F18701">
        <v>143</v>
      </c>
      <c r="G18701">
        <v>0</v>
      </c>
      <c r="H18701" t="s">
        <v>23538</v>
      </c>
      <c r="I18701">
        <v>21213</v>
      </c>
      <c r="J18701" t="str">
        <f>VLOOKUP(E18701,DSSpieler!A:B,2,FALSE)</f>
        <v>NiMaWi</v>
      </c>
    </row>
    <row r="18702" spans="1:10" x14ac:dyDescent="0.25">
      <c r="A18702">
        <v>21214</v>
      </c>
      <c r="B18702" t="s">
        <v>4814</v>
      </c>
      <c r="C18702">
        <v>420</v>
      </c>
      <c r="D18702">
        <v>610</v>
      </c>
      <c r="E18702">
        <v>1576377179</v>
      </c>
      <c r="F18702">
        <v>145</v>
      </c>
      <c r="G18702">
        <v>0</v>
      </c>
      <c r="H18702" t="s">
        <v>23539</v>
      </c>
      <c r="I18702">
        <v>21214</v>
      </c>
      <c r="J18702" t="str">
        <f>VLOOKUP(E18702,DSSpieler!A:B,2,FALSE)</f>
        <v>kate94</v>
      </c>
    </row>
    <row r="18703" spans="1:10" x14ac:dyDescent="0.25">
      <c r="A18703">
        <v>21215</v>
      </c>
      <c r="B18703" t="s">
        <v>1581</v>
      </c>
      <c r="C18703">
        <v>535</v>
      </c>
      <c r="D18703">
        <v>634</v>
      </c>
      <c r="E18703">
        <v>1576904284</v>
      </c>
      <c r="F18703">
        <v>220</v>
      </c>
      <c r="G18703">
        <v>0</v>
      </c>
      <c r="H18703" t="s">
        <v>23540</v>
      </c>
      <c r="I18703">
        <v>21215</v>
      </c>
      <c r="J18703" t="str">
        <f>VLOOKUP(E18703,DSSpieler!A:B,2,FALSE)</f>
        <v>Arkinon</v>
      </c>
    </row>
    <row r="18704" spans="1:10" x14ac:dyDescent="0.25">
      <c r="A18704">
        <v>21216</v>
      </c>
      <c r="B18704" t="s">
        <v>35796</v>
      </c>
      <c r="C18704">
        <v>470</v>
      </c>
      <c r="D18704">
        <v>365</v>
      </c>
      <c r="E18704">
        <v>9096975</v>
      </c>
      <c r="F18704">
        <v>26</v>
      </c>
      <c r="G18704">
        <v>0</v>
      </c>
      <c r="H18704" t="s">
        <v>23541</v>
      </c>
      <c r="I18704">
        <v>21216</v>
      </c>
      <c r="J18704" t="str">
        <f>VLOOKUP(E18704,DSSpieler!A:B,2,FALSE)</f>
        <v>JoanaMäk</v>
      </c>
    </row>
    <row r="18705" spans="1:10" x14ac:dyDescent="0.25">
      <c r="A18705">
        <v>21217</v>
      </c>
      <c r="B18705" t="s">
        <v>3010</v>
      </c>
      <c r="C18705">
        <v>398</v>
      </c>
      <c r="D18705">
        <v>595</v>
      </c>
      <c r="E18705">
        <v>1576915785</v>
      </c>
      <c r="F18705">
        <v>71</v>
      </c>
      <c r="G18705">
        <v>0</v>
      </c>
      <c r="H18705" t="s">
        <v>23542</v>
      </c>
      <c r="I18705">
        <v>21217</v>
      </c>
      <c r="J18705" t="str">
        <f>VLOOKUP(E18705,DSSpieler!A:B,2,FALSE)</f>
        <v>Smookkyy</v>
      </c>
    </row>
    <row r="18706" spans="1:10" x14ac:dyDescent="0.25">
      <c r="A18706">
        <v>21218</v>
      </c>
      <c r="B18706" t="s">
        <v>4815</v>
      </c>
      <c r="C18706">
        <v>549</v>
      </c>
      <c r="D18706">
        <v>371</v>
      </c>
      <c r="E18706">
        <v>1577126898</v>
      </c>
      <c r="F18706">
        <v>26</v>
      </c>
      <c r="G18706">
        <v>0</v>
      </c>
      <c r="H18706" t="s">
        <v>23543</v>
      </c>
      <c r="I18706">
        <v>21218</v>
      </c>
      <c r="J18706" t="str">
        <f>VLOOKUP(E18706,DSSpieler!A:B,2,FALSE)</f>
        <v>Elizabeth Keen</v>
      </c>
    </row>
    <row r="18707" spans="1:10" x14ac:dyDescent="0.25">
      <c r="A18707">
        <v>21219</v>
      </c>
      <c r="B18707" t="s">
        <v>35797</v>
      </c>
      <c r="C18707">
        <v>582</v>
      </c>
      <c r="D18707">
        <v>612</v>
      </c>
      <c r="E18707">
        <v>1577192208</v>
      </c>
      <c r="F18707">
        <v>186</v>
      </c>
      <c r="G18707">
        <v>0</v>
      </c>
      <c r="H18707" t="s">
        <v>23544</v>
      </c>
      <c r="I18707">
        <v>21219</v>
      </c>
      <c r="J18707" t="str">
        <f>VLOOKUP(E18707,DSSpieler!A:B,2,FALSE)</f>
        <v>AgentxKx</v>
      </c>
    </row>
    <row r="18708" spans="1:10" x14ac:dyDescent="0.25">
      <c r="A18708">
        <v>21220</v>
      </c>
      <c r="B18708" t="s">
        <v>531</v>
      </c>
      <c r="C18708">
        <v>400</v>
      </c>
      <c r="D18708">
        <v>405</v>
      </c>
      <c r="E18708">
        <v>0</v>
      </c>
      <c r="F18708">
        <v>33</v>
      </c>
      <c r="G18708">
        <v>0</v>
      </c>
      <c r="H18708" t="s">
        <v>23545</v>
      </c>
      <c r="I18708">
        <v>21220</v>
      </c>
      <c r="J18708" t="e">
        <f>VLOOKUP(E18708,DSSpieler!A:B,2,FALSE)</f>
        <v>#N/A</v>
      </c>
    </row>
    <row r="18709" spans="1:10" x14ac:dyDescent="0.25">
      <c r="A18709">
        <v>21221</v>
      </c>
      <c r="B18709" t="s">
        <v>4816</v>
      </c>
      <c r="C18709">
        <v>604</v>
      </c>
      <c r="D18709">
        <v>593</v>
      </c>
      <c r="E18709">
        <v>1576462867</v>
      </c>
      <c r="F18709">
        <v>26</v>
      </c>
      <c r="G18709">
        <v>0</v>
      </c>
      <c r="H18709" t="s">
        <v>23546</v>
      </c>
      <c r="I18709">
        <v>21221</v>
      </c>
      <c r="J18709" t="str">
        <f>VLOOKUP(E18709,DSSpieler!A:B,2,FALSE)</f>
        <v>tickboom</v>
      </c>
    </row>
    <row r="18710" spans="1:10" x14ac:dyDescent="0.25">
      <c r="A18710">
        <v>21222</v>
      </c>
      <c r="B18710" t="s">
        <v>4817</v>
      </c>
      <c r="C18710">
        <v>566</v>
      </c>
      <c r="D18710">
        <v>621</v>
      </c>
      <c r="E18710">
        <v>1577157464</v>
      </c>
      <c r="F18710">
        <v>26</v>
      </c>
      <c r="G18710">
        <v>0</v>
      </c>
      <c r="H18710" t="s">
        <v>23547</v>
      </c>
      <c r="I18710">
        <v>21222</v>
      </c>
      <c r="J18710" t="str">
        <f>VLOOKUP(E18710,DSSpieler!A:B,2,FALSE)</f>
        <v>Buma</v>
      </c>
    </row>
    <row r="18711" spans="1:10" x14ac:dyDescent="0.25">
      <c r="A18711">
        <v>21223</v>
      </c>
      <c r="B18711" t="s">
        <v>4818</v>
      </c>
      <c r="C18711">
        <v>623</v>
      </c>
      <c r="D18711">
        <v>440</v>
      </c>
      <c r="E18711">
        <v>1577145432</v>
      </c>
      <c r="F18711">
        <v>188</v>
      </c>
      <c r="G18711">
        <v>0</v>
      </c>
      <c r="H18711" t="s">
        <v>23548</v>
      </c>
      <c r="I18711">
        <v>21223</v>
      </c>
      <c r="J18711" t="str">
        <f>VLOOKUP(E18711,DSSpieler!A:B,2,FALSE)</f>
        <v>MaxlBu</v>
      </c>
    </row>
    <row r="18712" spans="1:10" x14ac:dyDescent="0.25">
      <c r="A18712">
        <v>21224</v>
      </c>
      <c r="B18712" t="s">
        <v>4819</v>
      </c>
      <c r="C18712">
        <v>557</v>
      </c>
      <c r="D18712">
        <v>627</v>
      </c>
      <c r="E18712">
        <v>10003534</v>
      </c>
      <c r="F18712">
        <v>80</v>
      </c>
      <c r="G18712">
        <v>0</v>
      </c>
      <c r="H18712" t="s">
        <v>23549</v>
      </c>
      <c r="I18712">
        <v>21224</v>
      </c>
      <c r="J18712" t="str">
        <f>VLOOKUP(E18712,DSSpieler!A:B,2,FALSE)</f>
        <v>tolik87</v>
      </c>
    </row>
    <row r="18713" spans="1:10" x14ac:dyDescent="0.25">
      <c r="A18713">
        <v>21225</v>
      </c>
      <c r="B18713" t="s">
        <v>4820</v>
      </c>
      <c r="C18713">
        <v>429</v>
      </c>
      <c r="D18713">
        <v>384</v>
      </c>
      <c r="E18713">
        <v>1577172739</v>
      </c>
      <c r="F18713">
        <v>26</v>
      </c>
      <c r="G18713">
        <v>0</v>
      </c>
      <c r="H18713" t="s">
        <v>23550</v>
      </c>
      <c r="I18713">
        <v>21225</v>
      </c>
      <c r="J18713" t="str">
        <f>VLOOKUP(E18713,DSSpieler!A:B,2,FALSE)</f>
        <v>Sonque</v>
      </c>
    </row>
    <row r="18714" spans="1:10" x14ac:dyDescent="0.25">
      <c r="A18714">
        <v>21226</v>
      </c>
      <c r="B18714" t="s">
        <v>4821</v>
      </c>
      <c r="C18714">
        <v>629</v>
      </c>
      <c r="D18714">
        <v>555</v>
      </c>
      <c r="E18714">
        <v>1576931907</v>
      </c>
      <c r="F18714">
        <v>26</v>
      </c>
      <c r="G18714">
        <v>0</v>
      </c>
      <c r="H18714" t="s">
        <v>23551</v>
      </c>
      <c r="I18714">
        <v>21226</v>
      </c>
      <c r="J18714" t="str">
        <f>VLOOKUP(E18714,DSSpieler!A:B,2,FALSE)</f>
        <v>Nutz99</v>
      </c>
    </row>
    <row r="18715" spans="1:10" x14ac:dyDescent="0.25">
      <c r="A18715">
        <v>21227</v>
      </c>
      <c r="B18715" t="s">
        <v>4822</v>
      </c>
      <c r="C18715">
        <v>637</v>
      </c>
      <c r="D18715">
        <v>516</v>
      </c>
      <c r="E18715">
        <v>1576780719</v>
      </c>
      <c r="F18715">
        <v>26</v>
      </c>
      <c r="G18715">
        <v>0</v>
      </c>
      <c r="H18715" t="s">
        <v>23552</v>
      </c>
      <c r="I18715">
        <v>21227</v>
      </c>
      <c r="J18715" t="str">
        <f>VLOOKUP(E18715,DSSpieler!A:B,2,FALSE)</f>
        <v>Tyr-1</v>
      </c>
    </row>
    <row r="18716" spans="1:10" x14ac:dyDescent="0.25">
      <c r="A18716">
        <v>21228</v>
      </c>
      <c r="B18716" t="s">
        <v>4823</v>
      </c>
      <c r="C18716">
        <v>436</v>
      </c>
      <c r="D18716">
        <v>381</v>
      </c>
      <c r="E18716">
        <v>8046908</v>
      </c>
      <c r="F18716">
        <v>26</v>
      </c>
      <c r="G18716">
        <v>0</v>
      </c>
      <c r="H18716" t="s">
        <v>23553</v>
      </c>
      <c r="I18716">
        <v>21228</v>
      </c>
      <c r="J18716" t="str">
        <f>VLOOKUP(E18716,DSSpieler!A:B,2,FALSE)</f>
        <v>.Bardock.</v>
      </c>
    </row>
    <row r="18717" spans="1:10" x14ac:dyDescent="0.25">
      <c r="A18717">
        <v>21229</v>
      </c>
      <c r="B18717" t="s">
        <v>4824</v>
      </c>
      <c r="C18717">
        <v>399</v>
      </c>
      <c r="D18717">
        <v>410</v>
      </c>
      <c r="E18717">
        <v>1577208341</v>
      </c>
      <c r="F18717">
        <v>133</v>
      </c>
      <c r="G18717">
        <v>0</v>
      </c>
      <c r="H18717" t="s">
        <v>23554</v>
      </c>
      <c r="I18717">
        <v>21229</v>
      </c>
      <c r="J18717" t="str">
        <f>VLOOKUP(E18717,DSSpieler!A:B,2,FALSE)</f>
        <v>kalle03</v>
      </c>
    </row>
    <row r="18718" spans="1:10" x14ac:dyDescent="0.25">
      <c r="A18718">
        <v>21230</v>
      </c>
      <c r="B18718" t="s">
        <v>4825</v>
      </c>
      <c r="C18718">
        <v>497</v>
      </c>
      <c r="D18718">
        <v>637</v>
      </c>
      <c r="E18718">
        <v>1577196273</v>
      </c>
      <c r="F18718">
        <v>26</v>
      </c>
      <c r="G18718">
        <v>0</v>
      </c>
      <c r="H18718" t="s">
        <v>23555</v>
      </c>
      <c r="I18718">
        <v>21230</v>
      </c>
      <c r="J18718" t="str">
        <f>VLOOKUP(E18718,DSSpieler!A:B,2,FALSE)</f>
        <v>Malcox</v>
      </c>
    </row>
    <row r="18719" spans="1:10" x14ac:dyDescent="0.25">
      <c r="A18719">
        <v>21231</v>
      </c>
      <c r="B18719" t="s">
        <v>4826</v>
      </c>
      <c r="C18719">
        <v>617</v>
      </c>
      <c r="D18719">
        <v>568</v>
      </c>
      <c r="E18719">
        <v>2086897</v>
      </c>
      <c r="F18719">
        <v>26</v>
      </c>
      <c r="G18719">
        <v>0</v>
      </c>
      <c r="H18719" t="s">
        <v>23556</v>
      </c>
      <c r="I18719">
        <v>21231</v>
      </c>
      <c r="J18719" t="str">
        <f>VLOOKUP(E18719,DSSpieler!A:B,2,FALSE)</f>
        <v>Schnecken.Haus</v>
      </c>
    </row>
    <row r="18720" spans="1:10" x14ac:dyDescent="0.25">
      <c r="A18720">
        <v>21232</v>
      </c>
      <c r="B18720" t="s">
        <v>4827</v>
      </c>
      <c r="C18720">
        <v>422</v>
      </c>
      <c r="D18720">
        <v>385</v>
      </c>
      <c r="E18720">
        <v>1576860506</v>
      </c>
      <c r="F18720">
        <v>26</v>
      </c>
      <c r="G18720">
        <v>0</v>
      </c>
      <c r="H18720" t="s">
        <v>23557</v>
      </c>
      <c r="I18720">
        <v>21232</v>
      </c>
      <c r="J18720" t="str">
        <f>VLOOKUP(E18720,DSSpieler!A:B,2,FALSE)</f>
        <v>Sky Gaber</v>
      </c>
    </row>
    <row r="18721" spans="1:10" x14ac:dyDescent="0.25">
      <c r="A18721">
        <v>21233</v>
      </c>
      <c r="B18721" t="s">
        <v>4828</v>
      </c>
      <c r="C18721">
        <v>489</v>
      </c>
      <c r="D18721">
        <v>367</v>
      </c>
      <c r="E18721">
        <v>1577202824</v>
      </c>
      <c r="F18721">
        <v>84</v>
      </c>
      <c r="G18721">
        <v>0</v>
      </c>
      <c r="H18721" t="s">
        <v>23558</v>
      </c>
      <c r="I18721">
        <v>21233</v>
      </c>
      <c r="J18721" t="str">
        <f>VLOOKUP(E18721,DSSpieler!A:B,2,FALSE)</f>
        <v>Ketotopp</v>
      </c>
    </row>
    <row r="18722" spans="1:10" x14ac:dyDescent="0.25">
      <c r="A18722">
        <v>21235</v>
      </c>
      <c r="B18722" t="s">
        <v>4829</v>
      </c>
      <c r="C18722">
        <v>477</v>
      </c>
      <c r="D18722">
        <v>632</v>
      </c>
      <c r="E18722">
        <v>746066</v>
      </c>
      <c r="F18722">
        <v>94</v>
      </c>
      <c r="G18722">
        <v>0</v>
      </c>
      <c r="H18722" t="s">
        <v>23559</v>
      </c>
      <c r="I18722">
        <v>21235</v>
      </c>
      <c r="J18722" t="str">
        <f>VLOOKUP(E18722,DSSpieler!A:B,2,FALSE)</f>
        <v>bindaaa</v>
      </c>
    </row>
    <row r="18723" spans="1:10" x14ac:dyDescent="0.25">
      <c r="A18723">
        <v>21236</v>
      </c>
      <c r="B18723" t="s">
        <v>4830</v>
      </c>
      <c r="C18723">
        <v>450</v>
      </c>
      <c r="D18723">
        <v>376</v>
      </c>
      <c r="E18723">
        <v>1577175285</v>
      </c>
      <c r="F18723">
        <v>26</v>
      </c>
      <c r="G18723">
        <v>0</v>
      </c>
      <c r="H18723" t="s">
        <v>23560</v>
      </c>
      <c r="I18723">
        <v>21236</v>
      </c>
      <c r="J18723" t="str">
        <f>VLOOKUP(E18723,DSSpieler!A:B,2,FALSE)</f>
        <v>Tobilisches</v>
      </c>
    </row>
    <row r="18724" spans="1:10" x14ac:dyDescent="0.25">
      <c r="A18724">
        <v>21237</v>
      </c>
      <c r="B18724" t="s">
        <v>3771</v>
      </c>
      <c r="C18724">
        <v>498</v>
      </c>
      <c r="D18724">
        <v>404</v>
      </c>
      <c r="E18724">
        <v>1577159976</v>
      </c>
      <c r="F18724">
        <v>200</v>
      </c>
      <c r="G18724">
        <v>0</v>
      </c>
      <c r="H18724" t="s">
        <v>23561</v>
      </c>
      <c r="I18724">
        <v>21237</v>
      </c>
      <c r="J18724" t="str">
        <f>VLOOKUP(E18724,DSSpieler!A:B,2,FALSE)</f>
        <v>Paulchen35</v>
      </c>
    </row>
    <row r="18725" spans="1:10" x14ac:dyDescent="0.25">
      <c r="A18725">
        <v>21238</v>
      </c>
      <c r="B18725" t="s">
        <v>4831</v>
      </c>
      <c r="C18725">
        <v>490</v>
      </c>
      <c r="D18725">
        <v>366</v>
      </c>
      <c r="E18725">
        <v>1576979342</v>
      </c>
      <c r="F18725">
        <v>201</v>
      </c>
      <c r="G18725">
        <v>0</v>
      </c>
      <c r="H18725" t="s">
        <v>23562</v>
      </c>
      <c r="I18725">
        <v>21238</v>
      </c>
      <c r="J18725" t="str">
        <f>VLOOKUP(E18725,DSSpieler!A:B,2,FALSE)</f>
        <v>Screeda</v>
      </c>
    </row>
    <row r="18726" spans="1:10" x14ac:dyDescent="0.25">
      <c r="A18726">
        <v>21239</v>
      </c>
      <c r="B18726" t="s">
        <v>35798</v>
      </c>
      <c r="C18726">
        <v>532</v>
      </c>
      <c r="D18726">
        <v>378</v>
      </c>
      <c r="E18726">
        <v>9827999</v>
      </c>
      <c r="F18726">
        <v>233</v>
      </c>
      <c r="G18726">
        <v>0</v>
      </c>
      <c r="H18726" t="s">
        <v>23563</v>
      </c>
      <c r="I18726">
        <v>21239</v>
      </c>
      <c r="J18726" t="str">
        <f>VLOOKUP(E18726,DSSpieler!A:B,2,FALSE)</f>
        <v>Lady Catweazel</v>
      </c>
    </row>
    <row r="18727" spans="1:10" x14ac:dyDescent="0.25">
      <c r="A18727">
        <v>21240</v>
      </c>
      <c r="B18727" t="s">
        <v>4832</v>
      </c>
      <c r="C18727">
        <v>507</v>
      </c>
      <c r="D18727">
        <v>363</v>
      </c>
      <c r="E18727">
        <v>1576368825</v>
      </c>
      <c r="F18727">
        <v>45</v>
      </c>
      <c r="G18727">
        <v>0</v>
      </c>
      <c r="H18727" t="s">
        <v>23564</v>
      </c>
      <c r="I18727">
        <v>21240</v>
      </c>
      <c r="J18727" t="str">
        <f>VLOOKUP(E18727,DSSpieler!A:B,2,FALSE)</f>
        <v>stef222</v>
      </c>
    </row>
    <row r="18728" spans="1:10" x14ac:dyDescent="0.25">
      <c r="A18728">
        <v>21241</v>
      </c>
      <c r="B18728" t="s">
        <v>531</v>
      </c>
      <c r="C18728">
        <v>383</v>
      </c>
      <c r="D18728">
        <v>569</v>
      </c>
      <c r="E18728">
        <v>0</v>
      </c>
      <c r="F18728">
        <v>29</v>
      </c>
      <c r="G18728">
        <v>0</v>
      </c>
      <c r="H18728" t="s">
        <v>23565</v>
      </c>
      <c r="I18728">
        <v>21241</v>
      </c>
      <c r="J18728" t="e">
        <f>VLOOKUP(E18728,DSSpieler!A:B,2,FALSE)</f>
        <v>#N/A</v>
      </c>
    </row>
    <row r="18729" spans="1:10" x14ac:dyDescent="0.25">
      <c r="A18729">
        <v>21242</v>
      </c>
      <c r="B18729" t="s">
        <v>2179</v>
      </c>
      <c r="C18729">
        <v>586</v>
      </c>
      <c r="D18729">
        <v>390</v>
      </c>
      <c r="E18729">
        <v>1577057532</v>
      </c>
      <c r="F18729">
        <v>26</v>
      </c>
      <c r="G18729">
        <v>0</v>
      </c>
      <c r="H18729" t="s">
        <v>23566</v>
      </c>
      <c r="I18729">
        <v>21242</v>
      </c>
      <c r="J18729" t="str">
        <f>VLOOKUP(E18729,DSSpieler!A:B,2,FALSE)</f>
        <v>ritter27</v>
      </c>
    </row>
    <row r="18730" spans="1:10" x14ac:dyDescent="0.25">
      <c r="A18730">
        <v>21243</v>
      </c>
      <c r="B18730" t="s">
        <v>4833</v>
      </c>
      <c r="C18730">
        <v>570</v>
      </c>
      <c r="D18730">
        <v>622</v>
      </c>
      <c r="E18730">
        <v>8162822</v>
      </c>
      <c r="F18730">
        <v>202</v>
      </c>
      <c r="G18730">
        <v>0</v>
      </c>
      <c r="H18730" t="s">
        <v>23567</v>
      </c>
      <c r="I18730">
        <v>21243</v>
      </c>
      <c r="J18730" t="str">
        <f>VLOOKUP(E18730,DSSpieler!A:B,2,FALSE)</f>
        <v>luk.frer</v>
      </c>
    </row>
    <row r="18731" spans="1:10" x14ac:dyDescent="0.25">
      <c r="A18731">
        <v>21244</v>
      </c>
      <c r="B18731" t="s">
        <v>4834</v>
      </c>
      <c r="C18731">
        <v>639</v>
      </c>
      <c r="D18731">
        <v>487</v>
      </c>
      <c r="E18731">
        <v>7980777</v>
      </c>
      <c r="F18731">
        <v>94</v>
      </c>
      <c r="G18731">
        <v>0</v>
      </c>
      <c r="H18731" t="s">
        <v>23568</v>
      </c>
      <c r="I18731">
        <v>21244</v>
      </c>
      <c r="J18731" t="str">
        <f>VLOOKUP(E18731,DSSpieler!A:B,2,FALSE)</f>
        <v>menolli</v>
      </c>
    </row>
    <row r="18732" spans="1:10" x14ac:dyDescent="0.25">
      <c r="A18732">
        <v>21245</v>
      </c>
      <c r="B18732" t="s">
        <v>4835</v>
      </c>
      <c r="C18732">
        <v>378</v>
      </c>
      <c r="D18732">
        <v>443</v>
      </c>
      <c r="E18732">
        <v>156025</v>
      </c>
      <c r="F18732">
        <v>26</v>
      </c>
      <c r="G18732">
        <v>0</v>
      </c>
      <c r="H18732" t="s">
        <v>23569</v>
      </c>
      <c r="I18732">
        <v>21245</v>
      </c>
      <c r="J18732" t="str">
        <f>VLOOKUP(E18732,DSSpieler!A:B,2,FALSE)</f>
        <v>Elrond von Bruchtal</v>
      </c>
    </row>
    <row r="18733" spans="1:10" x14ac:dyDescent="0.25">
      <c r="A18733">
        <v>21246</v>
      </c>
      <c r="B18733" t="s">
        <v>4836</v>
      </c>
      <c r="C18733">
        <v>598</v>
      </c>
      <c r="D18733">
        <v>406</v>
      </c>
      <c r="E18733">
        <v>1577199339</v>
      </c>
      <c r="F18733">
        <v>77</v>
      </c>
      <c r="G18733">
        <v>0</v>
      </c>
      <c r="H18733" t="s">
        <v>35809</v>
      </c>
      <c r="I18733">
        <v>21246</v>
      </c>
      <c r="J18733" t="str">
        <f>VLOOKUP(E18733,DSSpieler!A:B,2,FALSE)</f>
        <v>fernglas</v>
      </c>
    </row>
    <row r="18734" spans="1:10" x14ac:dyDescent="0.25">
      <c r="A18734">
        <v>21247</v>
      </c>
      <c r="B18734" t="s">
        <v>4837</v>
      </c>
      <c r="C18734">
        <v>362</v>
      </c>
      <c r="D18734">
        <v>501</v>
      </c>
      <c r="E18734">
        <v>10004060</v>
      </c>
      <c r="F18734">
        <v>211</v>
      </c>
      <c r="G18734">
        <v>0</v>
      </c>
      <c r="H18734" t="s">
        <v>23570</v>
      </c>
      <c r="I18734">
        <v>21247</v>
      </c>
      <c r="J18734" t="str">
        <f>VLOOKUP(E18734,DSSpieler!A:B,2,FALSE)</f>
        <v>Beilkrieger</v>
      </c>
    </row>
    <row r="18735" spans="1:10" x14ac:dyDescent="0.25">
      <c r="A18735">
        <v>21248</v>
      </c>
      <c r="B18735" t="s">
        <v>4838</v>
      </c>
      <c r="C18735">
        <v>417</v>
      </c>
      <c r="D18735">
        <v>616</v>
      </c>
      <c r="E18735">
        <v>1577209452</v>
      </c>
      <c r="F18735">
        <v>122</v>
      </c>
      <c r="G18735">
        <v>0</v>
      </c>
      <c r="H18735" t="s">
        <v>23571</v>
      </c>
      <c r="I18735">
        <v>21248</v>
      </c>
      <c r="J18735" t="str">
        <f>VLOOKUP(E18735,DSSpieler!A:B,2,FALSE)</f>
        <v>Karl der Dicke</v>
      </c>
    </row>
    <row r="18736" spans="1:10" x14ac:dyDescent="0.25">
      <c r="A18736">
        <v>21249</v>
      </c>
      <c r="B18736" t="s">
        <v>531</v>
      </c>
      <c r="C18736">
        <v>481</v>
      </c>
      <c r="D18736">
        <v>366</v>
      </c>
      <c r="E18736">
        <v>0</v>
      </c>
      <c r="F18736">
        <v>37</v>
      </c>
      <c r="G18736">
        <v>0</v>
      </c>
      <c r="H18736" t="s">
        <v>23572</v>
      </c>
      <c r="I18736">
        <v>21249</v>
      </c>
      <c r="J18736" t="e">
        <f>VLOOKUP(E18736,DSSpieler!A:B,2,FALSE)</f>
        <v>#N/A</v>
      </c>
    </row>
    <row r="18737" spans="1:10" x14ac:dyDescent="0.25">
      <c r="A18737">
        <v>21250</v>
      </c>
      <c r="B18737" t="s">
        <v>4839</v>
      </c>
      <c r="C18737">
        <v>571</v>
      </c>
      <c r="D18737">
        <v>384</v>
      </c>
      <c r="E18737">
        <v>8305691</v>
      </c>
      <c r="F18737">
        <v>26</v>
      </c>
      <c r="G18737">
        <v>0</v>
      </c>
      <c r="H18737" t="s">
        <v>23573</v>
      </c>
      <c r="I18737">
        <v>21250</v>
      </c>
      <c r="J18737" t="str">
        <f>VLOOKUP(E18737,DSSpieler!A:B,2,FALSE)</f>
        <v>StefanHentschel</v>
      </c>
    </row>
    <row r="18738" spans="1:10" x14ac:dyDescent="0.25">
      <c r="A18738">
        <v>21252</v>
      </c>
      <c r="B18738" t="s">
        <v>4840</v>
      </c>
      <c r="C18738">
        <v>430</v>
      </c>
      <c r="D18738">
        <v>379</v>
      </c>
      <c r="E18738">
        <v>1577209417</v>
      </c>
      <c r="F18738">
        <v>26</v>
      </c>
      <c r="G18738">
        <v>0</v>
      </c>
      <c r="H18738" t="s">
        <v>23574</v>
      </c>
      <c r="I18738">
        <v>21252</v>
      </c>
      <c r="J18738" t="str">
        <f>VLOOKUP(E18738,DSSpieler!A:B,2,FALSE)</f>
        <v>Smerfik</v>
      </c>
    </row>
    <row r="18739" spans="1:10" x14ac:dyDescent="0.25">
      <c r="A18739">
        <v>21253</v>
      </c>
      <c r="B18739" t="s">
        <v>4841</v>
      </c>
      <c r="C18739">
        <v>517</v>
      </c>
      <c r="D18739">
        <v>634</v>
      </c>
      <c r="E18739">
        <v>1576927196</v>
      </c>
      <c r="F18739">
        <v>155</v>
      </c>
      <c r="G18739">
        <v>0</v>
      </c>
      <c r="H18739" t="s">
        <v>35810</v>
      </c>
      <c r="I18739">
        <v>21253</v>
      </c>
      <c r="J18739" t="str">
        <f>VLOOKUP(E18739,DSSpieler!A:B,2,FALSE)</f>
        <v>Preyyer</v>
      </c>
    </row>
    <row r="18740" spans="1:10" x14ac:dyDescent="0.25">
      <c r="A18740">
        <v>21254</v>
      </c>
      <c r="B18740" t="s">
        <v>4842</v>
      </c>
      <c r="C18740">
        <v>366</v>
      </c>
      <c r="D18740">
        <v>509</v>
      </c>
      <c r="E18740">
        <v>1576676664</v>
      </c>
      <c r="F18740">
        <v>54</v>
      </c>
      <c r="G18740">
        <v>0</v>
      </c>
      <c r="H18740" t="s">
        <v>23575</v>
      </c>
      <c r="I18740">
        <v>21254</v>
      </c>
      <c r="J18740" t="str">
        <f>VLOOKUP(E18740,DSSpieler!A:B,2,FALSE)</f>
        <v>Lord Zeus Grace</v>
      </c>
    </row>
    <row r="18741" spans="1:10" x14ac:dyDescent="0.25">
      <c r="A18741">
        <v>21255</v>
      </c>
      <c r="B18741" t="s">
        <v>4843</v>
      </c>
      <c r="C18741">
        <v>633</v>
      </c>
      <c r="D18741">
        <v>469</v>
      </c>
      <c r="E18741">
        <v>1577112119</v>
      </c>
      <c r="F18741">
        <v>26</v>
      </c>
      <c r="G18741">
        <v>0</v>
      </c>
      <c r="H18741" t="s">
        <v>23576</v>
      </c>
      <c r="I18741">
        <v>21255</v>
      </c>
      <c r="J18741" t="str">
        <f>VLOOKUP(E18741,DSSpieler!A:B,2,FALSE)</f>
        <v>Prayyer</v>
      </c>
    </row>
    <row r="18742" spans="1:10" x14ac:dyDescent="0.25">
      <c r="A18742">
        <v>21256</v>
      </c>
      <c r="B18742" t="s">
        <v>4844</v>
      </c>
      <c r="C18742">
        <v>604</v>
      </c>
      <c r="D18742">
        <v>409</v>
      </c>
      <c r="E18742">
        <v>1577183375</v>
      </c>
      <c r="F18742">
        <v>26</v>
      </c>
      <c r="G18742">
        <v>0</v>
      </c>
      <c r="H18742" t="s">
        <v>23577</v>
      </c>
      <c r="I18742">
        <v>21256</v>
      </c>
      <c r="J18742" t="str">
        <f>VLOOKUP(E18742,DSSpieler!A:B,2,FALSE)</f>
        <v>LordPferzi</v>
      </c>
    </row>
    <row r="18743" spans="1:10" x14ac:dyDescent="0.25">
      <c r="A18743">
        <v>21257</v>
      </c>
      <c r="B18743" t="s">
        <v>4845</v>
      </c>
      <c r="C18743">
        <v>497</v>
      </c>
      <c r="D18743">
        <v>635</v>
      </c>
      <c r="E18743">
        <v>7657926</v>
      </c>
      <c r="F18743">
        <v>212</v>
      </c>
      <c r="G18743">
        <v>0</v>
      </c>
      <c r="H18743" t="s">
        <v>23578</v>
      </c>
      <c r="I18743">
        <v>21257</v>
      </c>
      <c r="J18743" t="str">
        <f>VLOOKUP(E18743,DSSpieler!A:B,2,FALSE)</f>
        <v>astramann</v>
      </c>
    </row>
    <row r="18744" spans="1:10" x14ac:dyDescent="0.25">
      <c r="A18744">
        <v>21258</v>
      </c>
      <c r="B18744" t="s">
        <v>4846</v>
      </c>
      <c r="C18744">
        <v>413</v>
      </c>
      <c r="D18744">
        <v>593</v>
      </c>
      <c r="E18744">
        <v>1577142351</v>
      </c>
      <c r="F18744">
        <v>98</v>
      </c>
      <c r="G18744">
        <v>0</v>
      </c>
      <c r="H18744" t="s">
        <v>23579</v>
      </c>
      <c r="I18744">
        <v>21258</v>
      </c>
      <c r="J18744" t="str">
        <f>VLOOKUP(E18744,DSSpieler!A:B,2,FALSE)</f>
        <v>melmel</v>
      </c>
    </row>
    <row r="18745" spans="1:10" x14ac:dyDescent="0.25">
      <c r="A18745">
        <v>21259</v>
      </c>
      <c r="B18745" t="s">
        <v>4847</v>
      </c>
      <c r="C18745">
        <v>390</v>
      </c>
      <c r="D18745">
        <v>586</v>
      </c>
      <c r="E18745">
        <v>1577207035</v>
      </c>
      <c r="F18745">
        <v>187</v>
      </c>
      <c r="G18745">
        <v>0</v>
      </c>
      <c r="H18745" t="s">
        <v>23580</v>
      </c>
      <c r="I18745">
        <v>21259</v>
      </c>
      <c r="J18745" t="str">
        <f>VLOOKUP(E18745,DSSpieler!A:B,2,FALSE)</f>
        <v>Ang3z0ckt</v>
      </c>
    </row>
    <row r="18746" spans="1:10" x14ac:dyDescent="0.25">
      <c r="A18746">
        <v>21260</v>
      </c>
      <c r="B18746" t="s">
        <v>531</v>
      </c>
      <c r="C18746">
        <v>559</v>
      </c>
      <c r="D18746">
        <v>374</v>
      </c>
      <c r="E18746">
        <v>0</v>
      </c>
      <c r="F18746">
        <v>35</v>
      </c>
      <c r="G18746">
        <v>0</v>
      </c>
      <c r="H18746" t="s">
        <v>23581</v>
      </c>
      <c r="I18746">
        <v>21260</v>
      </c>
      <c r="J18746" t="e">
        <f>VLOOKUP(E18746,DSSpieler!A:B,2,FALSE)</f>
        <v>#N/A</v>
      </c>
    </row>
    <row r="18747" spans="1:10" x14ac:dyDescent="0.25">
      <c r="A18747">
        <v>21261</v>
      </c>
      <c r="B18747" t="s">
        <v>667</v>
      </c>
      <c r="C18747">
        <v>392</v>
      </c>
      <c r="D18747">
        <v>582</v>
      </c>
      <c r="E18747">
        <v>1577206721</v>
      </c>
      <c r="F18747">
        <v>191</v>
      </c>
      <c r="G18747">
        <v>0</v>
      </c>
      <c r="H18747" t="s">
        <v>23582</v>
      </c>
      <c r="I18747">
        <v>21261</v>
      </c>
      <c r="J18747" t="str">
        <f>VLOOKUP(E18747,DSSpieler!A:B,2,FALSE)</f>
        <v>DeSirZ1701</v>
      </c>
    </row>
    <row r="18748" spans="1:10" x14ac:dyDescent="0.25">
      <c r="A18748">
        <v>21262</v>
      </c>
      <c r="B18748" t="s">
        <v>4848</v>
      </c>
      <c r="C18748">
        <v>519</v>
      </c>
      <c r="D18748">
        <v>633</v>
      </c>
      <c r="E18748">
        <v>1577209457</v>
      </c>
      <c r="F18748">
        <v>77</v>
      </c>
      <c r="G18748">
        <v>0</v>
      </c>
      <c r="H18748" t="s">
        <v>23583</v>
      </c>
      <c r="I18748">
        <v>21262</v>
      </c>
      <c r="J18748" t="str">
        <f>VLOOKUP(E18748,DSSpieler!A:B,2,FALSE)</f>
        <v>JnnyLR</v>
      </c>
    </row>
    <row r="18749" spans="1:10" x14ac:dyDescent="0.25">
      <c r="A18749">
        <v>21263</v>
      </c>
      <c r="B18749" t="s">
        <v>4849</v>
      </c>
      <c r="C18749">
        <v>411</v>
      </c>
      <c r="D18749">
        <v>609</v>
      </c>
      <c r="E18749">
        <v>1577209463</v>
      </c>
      <c r="F18749">
        <v>89</v>
      </c>
      <c r="G18749">
        <v>0</v>
      </c>
      <c r="H18749" t="s">
        <v>23584</v>
      </c>
      <c r="I18749">
        <v>21263</v>
      </c>
      <c r="J18749" t="str">
        <f>VLOOKUP(E18749,DSSpieler!A:B,2,FALSE)</f>
        <v>RoofstopSniper</v>
      </c>
    </row>
    <row r="18750" spans="1:10" x14ac:dyDescent="0.25">
      <c r="A18750">
        <v>21264</v>
      </c>
      <c r="B18750" t="s">
        <v>4850</v>
      </c>
      <c r="C18750">
        <v>637</v>
      </c>
      <c r="D18750">
        <v>511</v>
      </c>
      <c r="E18750">
        <v>1577104755</v>
      </c>
      <c r="F18750">
        <v>26</v>
      </c>
      <c r="G18750">
        <v>0</v>
      </c>
      <c r="H18750" t="s">
        <v>23585</v>
      </c>
      <c r="I18750">
        <v>21264</v>
      </c>
      <c r="J18750" t="str">
        <f>VLOOKUP(E18750,DSSpieler!A:B,2,FALSE)</f>
        <v>klari</v>
      </c>
    </row>
    <row r="18751" spans="1:10" x14ac:dyDescent="0.25">
      <c r="A18751">
        <v>21265</v>
      </c>
      <c r="B18751" t="s">
        <v>4851</v>
      </c>
      <c r="C18751">
        <v>586</v>
      </c>
      <c r="D18751">
        <v>608</v>
      </c>
      <c r="E18751">
        <v>2005156</v>
      </c>
      <c r="F18751">
        <v>158</v>
      </c>
      <c r="G18751">
        <v>0</v>
      </c>
      <c r="H18751" t="s">
        <v>23586</v>
      </c>
      <c r="I18751">
        <v>21265</v>
      </c>
      <c r="J18751" t="str">
        <f>VLOOKUP(E18751,DSSpieler!A:B,2,FALSE)</f>
        <v>Matze47</v>
      </c>
    </row>
    <row r="18752" spans="1:10" x14ac:dyDescent="0.25">
      <c r="A18752">
        <v>21266</v>
      </c>
      <c r="B18752" t="s">
        <v>31869</v>
      </c>
      <c r="C18752">
        <v>401</v>
      </c>
      <c r="D18752">
        <v>408</v>
      </c>
      <c r="E18752">
        <v>1577160358</v>
      </c>
      <c r="F18752">
        <v>182</v>
      </c>
      <c r="G18752">
        <v>0</v>
      </c>
      <c r="H18752" t="s">
        <v>35881</v>
      </c>
      <c r="I18752">
        <v>21266</v>
      </c>
      <c r="J18752" t="str">
        <f>VLOOKUP(E18752,DSSpieler!A:B,2,FALSE)</f>
        <v>Leuchter54</v>
      </c>
    </row>
    <row r="18753" spans="1:10" x14ac:dyDescent="0.25">
      <c r="A18753">
        <v>21267</v>
      </c>
      <c r="B18753" t="s">
        <v>531</v>
      </c>
      <c r="C18753">
        <v>506</v>
      </c>
      <c r="D18753">
        <v>361</v>
      </c>
      <c r="E18753">
        <v>0</v>
      </c>
      <c r="F18753">
        <v>26</v>
      </c>
      <c r="G18753">
        <v>0</v>
      </c>
      <c r="H18753" t="s">
        <v>23587</v>
      </c>
      <c r="I18753">
        <v>21267</v>
      </c>
      <c r="J18753" t="e">
        <f>VLOOKUP(E18753,DSSpieler!A:B,2,FALSE)</f>
        <v>#N/A</v>
      </c>
    </row>
    <row r="18754" spans="1:10" x14ac:dyDescent="0.25">
      <c r="A18754">
        <v>21268</v>
      </c>
      <c r="B18754" t="s">
        <v>4852</v>
      </c>
      <c r="C18754">
        <v>642</v>
      </c>
      <c r="D18754">
        <v>505</v>
      </c>
      <c r="E18754">
        <v>1577208538</v>
      </c>
      <c r="F18754">
        <v>140</v>
      </c>
      <c r="G18754">
        <v>0</v>
      </c>
      <c r="H18754" t="s">
        <v>23588</v>
      </c>
      <c r="I18754">
        <v>21268</v>
      </c>
      <c r="J18754" t="str">
        <f>VLOOKUP(E18754,DSSpieler!A:B,2,FALSE)</f>
        <v>Triiizyyy</v>
      </c>
    </row>
    <row r="18755" spans="1:10" x14ac:dyDescent="0.25">
      <c r="A18755">
        <v>21269</v>
      </c>
      <c r="B18755" t="s">
        <v>4853</v>
      </c>
      <c r="C18755">
        <v>639</v>
      </c>
      <c r="D18755">
        <v>512</v>
      </c>
      <c r="E18755">
        <v>1577207266</v>
      </c>
      <c r="F18755">
        <v>187</v>
      </c>
      <c r="G18755">
        <v>0</v>
      </c>
      <c r="H18755" t="s">
        <v>23589</v>
      </c>
      <c r="I18755">
        <v>21269</v>
      </c>
      <c r="J18755" t="str">
        <f>VLOOKUP(E18755,DSSpieler!A:B,2,FALSE)</f>
        <v>sputnick23</v>
      </c>
    </row>
    <row r="18756" spans="1:10" x14ac:dyDescent="0.25">
      <c r="A18756">
        <v>21270</v>
      </c>
      <c r="B18756" t="s">
        <v>531</v>
      </c>
      <c r="C18756">
        <v>491</v>
      </c>
      <c r="D18756">
        <v>365</v>
      </c>
      <c r="E18756">
        <v>0</v>
      </c>
      <c r="F18756">
        <v>27</v>
      </c>
      <c r="G18756">
        <v>0</v>
      </c>
      <c r="H18756" t="s">
        <v>23590</v>
      </c>
      <c r="I18756">
        <v>21270</v>
      </c>
      <c r="J18756" t="e">
        <f>VLOOKUP(E18756,DSSpieler!A:B,2,FALSE)</f>
        <v>#N/A</v>
      </c>
    </row>
    <row r="18757" spans="1:10" x14ac:dyDescent="0.25">
      <c r="A18757">
        <v>21271</v>
      </c>
      <c r="B18757" t="s">
        <v>4854</v>
      </c>
      <c r="C18757">
        <v>371</v>
      </c>
      <c r="D18757">
        <v>539</v>
      </c>
      <c r="E18757">
        <v>1577064238</v>
      </c>
      <c r="F18757">
        <v>66</v>
      </c>
      <c r="G18757">
        <v>0</v>
      </c>
      <c r="H18757" t="s">
        <v>23591</v>
      </c>
      <c r="I18757">
        <v>21271</v>
      </c>
      <c r="J18757" t="str">
        <f>VLOOKUP(E18757,DSSpieler!A:B,2,FALSE)</f>
        <v>bondfan007</v>
      </c>
    </row>
    <row r="18758" spans="1:10" x14ac:dyDescent="0.25">
      <c r="A18758">
        <v>21272</v>
      </c>
      <c r="B18758" t="s">
        <v>35799</v>
      </c>
      <c r="C18758">
        <v>477</v>
      </c>
      <c r="D18758">
        <v>366</v>
      </c>
      <c r="E18758">
        <v>1576313419</v>
      </c>
      <c r="F18758">
        <v>26</v>
      </c>
      <c r="G18758">
        <v>0</v>
      </c>
      <c r="H18758" t="s">
        <v>23592</v>
      </c>
      <c r="I18758">
        <v>21272</v>
      </c>
      <c r="J18758" t="str">
        <f>VLOOKUP(E18758,DSSpieler!A:B,2,FALSE)</f>
        <v>König AeRo98</v>
      </c>
    </row>
    <row r="18759" spans="1:10" x14ac:dyDescent="0.25">
      <c r="A18759">
        <v>21273</v>
      </c>
      <c r="B18759" t="s">
        <v>4855</v>
      </c>
      <c r="C18759">
        <v>524</v>
      </c>
      <c r="D18759">
        <v>638</v>
      </c>
      <c r="E18759">
        <v>1577177527</v>
      </c>
      <c r="F18759">
        <v>26</v>
      </c>
      <c r="G18759">
        <v>0</v>
      </c>
      <c r="H18759" t="s">
        <v>23593</v>
      </c>
      <c r="I18759">
        <v>21273</v>
      </c>
      <c r="J18759" t="str">
        <f>VLOOKUP(E18759,DSSpieler!A:B,2,FALSE)</f>
        <v>Derketa</v>
      </c>
    </row>
    <row r="18760" spans="1:10" x14ac:dyDescent="0.25">
      <c r="A18760">
        <v>21274</v>
      </c>
      <c r="B18760" t="s">
        <v>630</v>
      </c>
      <c r="C18760">
        <v>580</v>
      </c>
      <c r="D18760">
        <v>388</v>
      </c>
      <c r="E18760">
        <v>1577136680</v>
      </c>
      <c r="F18760">
        <v>195</v>
      </c>
      <c r="G18760">
        <v>0</v>
      </c>
      <c r="H18760" t="s">
        <v>23594</v>
      </c>
      <c r="I18760">
        <v>21274</v>
      </c>
      <c r="J18760" t="str">
        <f>VLOOKUP(E18760,DSSpieler!A:B,2,FALSE)</f>
        <v>Equinox</v>
      </c>
    </row>
    <row r="18761" spans="1:10" x14ac:dyDescent="0.25">
      <c r="A18761">
        <v>21275</v>
      </c>
      <c r="B18761" t="s">
        <v>4856</v>
      </c>
      <c r="C18761">
        <v>567</v>
      </c>
      <c r="D18761">
        <v>620</v>
      </c>
      <c r="E18761">
        <v>1144991</v>
      </c>
      <c r="F18761">
        <v>167</v>
      </c>
      <c r="G18761">
        <v>0</v>
      </c>
      <c r="H18761" t="s">
        <v>23595</v>
      </c>
      <c r="I18761">
        <v>21275</v>
      </c>
      <c r="J18761" t="str">
        <f>VLOOKUP(E18761,DSSpieler!A:B,2,FALSE)</f>
        <v>Juan Raul</v>
      </c>
    </row>
    <row r="18762" spans="1:10" x14ac:dyDescent="0.25">
      <c r="A18762">
        <v>21276</v>
      </c>
      <c r="B18762" t="s">
        <v>531</v>
      </c>
      <c r="C18762">
        <v>467</v>
      </c>
      <c r="D18762">
        <v>636</v>
      </c>
      <c r="E18762">
        <v>0</v>
      </c>
      <c r="F18762">
        <v>26</v>
      </c>
      <c r="G18762">
        <v>0</v>
      </c>
      <c r="H18762" t="s">
        <v>23596</v>
      </c>
      <c r="I18762">
        <v>21276</v>
      </c>
      <c r="J18762" t="e">
        <f>VLOOKUP(E18762,DSSpieler!A:B,2,FALSE)</f>
        <v>#N/A</v>
      </c>
    </row>
    <row r="18763" spans="1:10" x14ac:dyDescent="0.25">
      <c r="A18763">
        <v>21277</v>
      </c>
      <c r="B18763" t="s">
        <v>4857</v>
      </c>
      <c r="C18763">
        <v>590</v>
      </c>
      <c r="D18763">
        <v>604</v>
      </c>
      <c r="E18763">
        <v>1577089225</v>
      </c>
      <c r="F18763">
        <v>26</v>
      </c>
      <c r="G18763">
        <v>0</v>
      </c>
      <c r="H18763" t="s">
        <v>23597</v>
      </c>
      <c r="I18763">
        <v>21277</v>
      </c>
      <c r="J18763" t="str">
        <f>VLOOKUP(E18763,DSSpieler!A:B,2,FALSE)</f>
        <v>spiela</v>
      </c>
    </row>
    <row r="18764" spans="1:10" x14ac:dyDescent="0.25">
      <c r="A18764">
        <v>21278</v>
      </c>
      <c r="B18764" t="s">
        <v>4858</v>
      </c>
      <c r="C18764">
        <v>363</v>
      </c>
      <c r="D18764">
        <v>488</v>
      </c>
      <c r="E18764">
        <v>1577209483</v>
      </c>
      <c r="F18764">
        <v>144</v>
      </c>
      <c r="G18764">
        <v>0</v>
      </c>
      <c r="H18764" t="s">
        <v>23598</v>
      </c>
      <c r="I18764">
        <v>21278</v>
      </c>
      <c r="J18764" t="str">
        <f>VLOOKUP(E18764,DSSpieler!A:B,2,FALSE)</f>
        <v>derDonalpha30</v>
      </c>
    </row>
    <row r="18765" spans="1:10" x14ac:dyDescent="0.25">
      <c r="A18765">
        <v>21279</v>
      </c>
      <c r="B18765" t="s">
        <v>4859</v>
      </c>
      <c r="C18765">
        <v>389</v>
      </c>
      <c r="D18765">
        <v>420</v>
      </c>
      <c r="E18765">
        <v>1577024436</v>
      </c>
      <c r="F18765">
        <v>53</v>
      </c>
      <c r="G18765">
        <v>0</v>
      </c>
      <c r="H18765" t="s">
        <v>23599</v>
      </c>
      <c r="I18765">
        <v>21279</v>
      </c>
      <c r="J18765" t="str">
        <f>VLOOKUP(E18765,DSSpieler!A:B,2,FALSE)</f>
        <v>St.Gallen</v>
      </c>
    </row>
    <row r="18766" spans="1:10" x14ac:dyDescent="0.25">
      <c r="A18766">
        <v>21280</v>
      </c>
      <c r="B18766" t="s">
        <v>35800</v>
      </c>
      <c r="C18766">
        <v>479</v>
      </c>
      <c r="D18766">
        <v>366</v>
      </c>
      <c r="E18766">
        <v>1577182170</v>
      </c>
      <c r="F18766">
        <v>26</v>
      </c>
      <c r="G18766">
        <v>0</v>
      </c>
      <c r="H18766" t="s">
        <v>23600</v>
      </c>
      <c r="I18766">
        <v>21280</v>
      </c>
      <c r="J18766" t="str">
        <f>VLOOKUP(E18766,DSSpieler!A:B,2,FALSE)</f>
        <v>Fürst1</v>
      </c>
    </row>
    <row r="18767" spans="1:10" x14ac:dyDescent="0.25">
      <c r="A18767">
        <v>21281</v>
      </c>
      <c r="B18767" t="s">
        <v>4860</v>
      </c>
      <c r="C18767">
        <v>576</v>
      </c>
      <c r="D18767">
        <v>610</v>
      </c>
      <c r="E18767">
        <v>9400444</v>
      </c>
      <c r="F18767">
        <v>99</v>
      </c>
      <c r="G18767">
        <v>0</v>
      </c>
      <c r="H18767" t="s">
        <v>23601</v>
      </c>
      <c r="I18767">
        <v>21281</v>
      </c>
      <c r="J18767" t="str">
        <f>VLOOKUP(E18767,DSSpieler!A:B,2,FALSE)</f>
        <v>Vypo</v>
      </c>
    </row>
    <row r="18768" spans="1:10" x14ac:dyDescent="0.25">
      <c r="A18768">
        <v>21282</v>
      </c>
      <c r="B18768" t="s">
        <v>4861</v>
      </c>
      <c r="C18768">
        <v>365</v>
      </c>
      <c r="D18768">
        <v>490</v>
      </c>
      <c r="E18768">
        <v>461983</v>
      </c>
      <c r="F18768">
        <v>26</v>
      </c>
      <c r="G18768">
        <v>0</v>
      </c>
      <c r="H18768" t="s">
        <v>23602</v>
      </c>
      <c r="I18768">
        <v>21282</v>
      </c>
      <c r="J18768" t="str">
        <f>VLOOKUP(E18768,DSSpieler!A:B,2,FALSE)</f>
        <v>Puschkin2006</v>
      </c>
    </row>
    <row r="18769" spans="1:10" x14ac:dyDescent="0.25">
      <c r="A18769">
        <v>21283</v>
      </c>
      <c r="B18769" t="s">
        <v>4862</v>
      </c>
      <c r="C18769">
        <v>538</v>
      </c>
      <c r="D18769">
        <v>634</v>
      </c>
      <c r="E18769">
        <v>9832228</v>
      </c>
      <c r="F18769">
        <v>26</v>
      </c>
      <c r="G18769">
        <v>0</v>
      </c>
      <c r="H18769" t="s">
        <v>23603</v>
      </c>
      <c r="I18769">
        <v>21283</v>
      </c>
      <c r="J18769" t="str">
        <f>VLOOKUP(E18769,DSSpieler!A:B,2,FALSE)</f>
        <v>mojoBwl</v>
      </c>
    </row>
    <row r="18770" spans="1:10" x14ac:dyDescent="0.25">
      <c r="A18770">
        <v>21284</v>
      </c>
      <c r="B18770" t="s">
        <v>531</v>
      </c>
      <c r="C18770">
        <v>365</v>
      </c>
      <c r="D18770">
        <v>464</v>
      </c>
      <c r="E18770">
        <v>0</v>
      </c>
      <c r="F18770">
        <v>44</v>
      </c>
      <c r="G18770">
        <v>0</v>
      </c>
      <c r="H18770" t="s">
        <v>23604</v>
      </c>
      <c r="I18770">
        <v>21284</v>
      </c>
      <c r="J18770" t="e">
        <f>VLOOKUP(E18770,DSSpieler!A:B,2,FALSE)</f>
        <v>#N/A</v>
      </c>
    </row>
    <row r="18771" spans="1:10" x14ac:dyDescent="0.25">
      <c r="A18771">
        <v>21285</v>
      </c>
      <c r="B18771" t="s">
        <v>4863</v>
      </c>
      <c r="C18771">
        <v>607</v>
      </c>
      <c r="D18771">
        <v>420</v>
      </c>
      <c r="E18771">
        <v>1577183010</v>
      </c>
      <c r="F18771">
        <v>26</v>
      </c>
      <c r="G18771">
        <v>0</v>
      </c>
      <c r="H18771" t="s">
        <v>23605</v>
      </c>
      <c r="I18771">
        <v>21285</v>
      </c>
      <c r="J18771" t="str">
        <f>VLOOKUP(E18771,DSSpieler!A:B,2,FALSE)</f>
        <v>Discobauer</v>
      </c>
    </row>
    <row r="18772" spans="1:10" x14ac:dyDescent="0.25">
      <c r="A18772">
        <v>21286</v>
      </c>
      <c r="B18772" t="s">
        <v>4864</v>
      </c>
      <c r="C18772">
        <v>569</v>
      </c>
      <c r="D18772">
        <v>621</v>
      </c>
      <c r="E18772">
        <v>1575971962</v>
      </c>
      <c r="F18772">
        <v>26</v>
      </c>
      <c r="G18772">
        <v>0</v>
      </c>
      <c r="H18772" t="s">
        <v>23606</v>
      </c>
      <c r="I18772">
        <v>21286</v>
      </c>
      <c r="J18772" t="str">
        <f>VLOOKUP(E18772,DSSpieler!A:B,2,FALSE)</f>
        <v>L1895</v>
      </c>
    </row>
    <row r="18773" spans="1:10" x14ac:dyDescent="0.25">
      <c r="A18773">
        <v>21288</v>
      </c>
      <c r="B18773" t="s">
        <v>4865</v>
      </c>
      <c r="C18773">
        <v>443</v>
      </c>
      <c r="D18773">
        <v>373</v>
      </c>
      <c r="E18773">
        <v>9589941</v>
      </c>
      <c r="F18773">
        <v>82</v>
      </c>
      <c r="G18773">
        <v>0</v>
      </c>
      <c r="H18773" t="s">
        <v>23607</v>
      </c>
      <c r="I18773">
        <v>21288</v>
      </c>
      <c r="J18773" t="str">
        <f>VLOOKUP(E18773,DSSpieler!A:B,2,FALSE)</f>
        <v>Stormshadow91</v>
      </c>
    </row>
    <row r="18774" spans="1:10" x14ac:dyDescent="0.25">
      <c r="A18774">
        <v>21290</v>
      </c>
      <c r="B18774" t="s">
        <v>4866</v>
      </c>
      <c r="C18774">
        <v>483</v>
      </c>
      <c r="D18774">
        <v>363</v>
      </c>
      <c r="E18774">
        <v>9113295</v>
      </c>
      <c r="F18774">
        <v>197</v>
      </c>
      <c r="G18774">
        <v>0</v>
      </c>
      <c r="H18774" t="s">
        <v>23608</v>
      </c>
      <c r="I18774">
        <v>21290</v>
      </c>
      <c r="J18774" t="str">
        <f>VLOOKUP(E18774,DSSpieler!A:B,2,FALSE)</f>
        <v>Visor</v>
      </c>
    </row>
    <row r="18775" spans="1:10" x14ac:dyDescent="0.25">
      <c r="A18775">
        <v>21291</v>
      </c>
      <c r="B18775" t="s">
        <v>4867</v>
      </c>
      <c r="C18775">
        <v>444</v>
      </c>
      <c r="D18775">
        <v>544</v>
      </c>
      <c r="E18775">
        <v>1577197826</v>
      </c>
      <c r="F18775">
        <v>161</v>
      </c>
      <c r="G18775">
        <v>0</v>
      </c>
      <c r="H18775" t="s">
        <v>23609</v>
      </c>
      <c r="I18775">
        <v>21291</v>
      </c>
      <c r="J18775" t="str">
        <f>VLOOKUP(E18775,DSSpieler!A:B,2,FALSE)</f>
        <v>Millander</v>
      </c>
    </row>
    <row r="18776" spans="1:10" x14ac:dyDescent="0.25">
      <c r="A18776">
        <v>21292</v>
      </c>
      <c r="B18776" t="s">
        <v>4868</v>
      </c>
      <c r="C18776">
        <v>374</v>
      </c>
      <c r="D18776">
        <v>554</v>
      </c>
      <c r="E18776">
        <v>1577196630</v>
      </c>
      <c r="F18776">
        <v>161</v>
      </c>
      <c r="G18776">
        <v>0</v>
      </c>
      <c r="H18776" t="s">
        <v>23610</v>
      </c>
      <c r="I18776">
        <v>21292</v>
      </c>
      <c r="J18776" t="str">
        <f>VLOOKUP(E18776,DSSpieler!A:B,2,FALSE)</f>
        <v>Daarler</v>
      </c>
    </row>
    <row r="18777" spans="1:10" x14ac:dyDescent="0.25">
      <c r="A18777">
        <v>21293</v>
      </c>
      <c r="B18777" t="s">
        <v>4869</v>
      </c>
      <c r="C18777">
        <v>396</v>
      </c>
      <c r="D18777">
        <v>568</v>
      </c>
      <c r="E18777">
        <v>1576133597</v>
      </c>
      <c r="F18777">
        <v>94</v>
      </c>
      <c r="G18777">
        <v>0</v>
      </c>
      <c r="H18777" t="s">
        <v>23611</v>
      </c>
      <c r="I18777">
        <v>21293</v>
      </c>
      <c r="J18777" t="str">
        <f>VLOOKUP(E18777,DSSpieler!A:B,2,FALSE)</f>
        <v>R.S3</v>
      </c>
    </row>
    <row r="18778" spans="1:10" x14ac:dyDescent="0.25">
      <c r="A18778">
        <v>21294</v>
      </c>
      <c r="B18778" t="s">
        <v>4870</v>
      </c>
      <c r="C18778">
        <v>566</v>
      </c>
      <c r="D18778">
        <v>376</v>
      </c>
      <c r="E18778">
        <v>1576998005</v>
      </c>
      <c r="F18778">
        <v>26</v>
      </c>
      <c r="G18778">
        <v>0</v>
      </c>
      <c r="H18778" t="s">
        <v>23612</v>
      </c>
      <c r="I18778">
        <v>21294</v>
      </c>
      <c r="J18778" t="str">
        <f>VLOOKUP(E18778,DSSpieler!A:B,2,FALSE)</f>
        <v>Riddick30</v>
      </c>
    </row>
    <row r="18779" spans="1:10" x14ac:dyDescent="0.25">
      <c r="A18779">
        <v>21296</v>
      </c>
      <c r="B18779" t="s">
        <v>4871</v>
      </c>
      <c r="C18779">
        <v>428</v>
      </c>
      <c r="D18779">
        <v>382</v>
      </c>
      <c r="E18779">
        <v>1577209514</v>
      </c>
      <c r="F18779">
        <v>26</v>
      </c>
      <c r="G18779">
        <v>0</v>
      </c>
      <c r="H18779" t="s">
        <v>23613</v>
      </c>
      <c r="I18779">
        <v>21296</v>
      </c>
      <c r="J18779" t="str">
        <f>VLOOKUP(E18779,DSSpieler!A:B,2,FALSE)</f>
        <v>Naturkatastrophe</v>
      </c>
    </row>
    <row r="18780" spans="1:10" x14ac:dyDescent="0.25">
      <c r="A18780">
        <v>21297</v>
      </c>
      <c r="B18780" t="s">
        <v>4872</v>
      </c>
      <c r="C18780">
        <v>504</v>
      </c>
      <c r="D18780">
        <v>434</v>
      </c>
      <c r="E18780">
        <v>1576887327</v>
      </c>
      <c r="F18780">
        <v>202</v>
      </c>
      <c r="G18780">
        <v>0</v>
      </c>
      <c r="H18780" t="s">
        <v>23614</v>
      </c>
      <c r="I18780">
        <v>21297</v>
      </c>
      <c r="J18780" t="str">
        <f>VLOOKUP(E18780,DSSpieler!A:B,2,FALSE)</f>
        <v>Weltuntergang</v>
      </c>
    </row>
    <row r="18781" spans="1:10" x14ac:dyDescent="0.25">
      <c r="A18781">
        <v>21298</v>
      </c>
      <c r="B18781" t="s">
        <v>4873</v>
      </c>
      <c r="C18781">
        <v>447</v>
      </c>
      <c r="D18781">
        <v>545</v>
      </c>
      <c r="E18781">
        <v>1577199636</v>
      </c>
      <c r="F18781">
        <v>113</v>
      </c>
      <c r="G18781">
        <v>0</v>
      </c>
      <c r="H18781" t="s">
        <v>23615</v>
      </c>
      <c r="I18781">
        <v>21298</v>
      </c>
      <c r="J18781" t="str">
        <f>VLOOKUP(E18781,DSSpieler!A:B,2,FALSE)</f>
        <v>Falukisia</v>
      </c>
    </row>
    <row r="18782" spans="1:10" x14ac:dyDescent="0.25">
      <c r="A18782">
        <v>21299</v>
      </c>
      <c r="B18782" t="s">
        <v>531</v>
      </c>
      <c r="C18782">
        <v>591</v>
      </c>
      <c r="D18782">
        <v>397</v>
      </c>
      <c r="E18782">
        <v>0</v>
      </c>
      <c r="F18782">
        <v>26</v>
      </c>
      <c r="G18782">
        <v>0</v>
      </c>
      <c r="H18782" t="s">
        <v>23616</v>
      </c>
      <c r="I18782">
        <v>21299</v>
      </c>
      <c r="J18782" t="e">
        <f>VLOOKUP(E18782,DSSpieler!A:B,2,FALSE)</f>
        <v>#N/A</v>
      </c>
    </row>
    <row r="18783" spans="1:10" x14ac:dyDescent="0.25">
      <c r="A18783">
        <v>21300</v>
      </c>
      <c r="B18783" t="s">
        <v>4874</v>
      </c>
      <c r="C18783">
        <v>476</v>
      </c>
      <c r="D18783">
        <v>364</v>
      </c>
      <c r="E18783">
        <v>1576966163</v>
      </c>
      <c r="F18783">
        <v>206</v>
      </c>
      <c r="G18783">
        <v>0</v>
      </c>
      <c r="H18783" t="s">
        <v>23617</v>
      </c>
      <c r="I18783">
        <v>21300</v>
      </c>
      <c r="J18783" t="str">
        <f>VLOOKUP(E18783,DSSpieler!A:B,2,FALSE)</f>
        <v>Mimo117</v>
      </c>
    </row>
    <row r="18784" spans="1:10" x14ac:dyDescent="0.25">
      <c r="A18784">
        <v>21301</v>
      </c>
      <c r="B18784" t="s">
        <v>531</v>
      </c>
      <c r="C18784">
        <v>615</v>
      </c>
      <c r="D18784">
        <v>568</v>
      </c>
      <c r="E18784">
        <v>0</v>
      </c>
      <c r="F18784">
        <v>32</v>
      </c>
      <c r="G18784">
        <v>0</v>
      </c>
      <c r="H18784" t="s">
        <v>23618</v>
      </c>
      <c r="I18784">
        <v>21301</v>
      </c>
      <c r="J18784" t="e">
        <f>VLOOKUP(E18784,DSSpieler!A:B,2,FALSE)</f>
        <v>#N/A</v>
      </c>
    </row>
    <row r="18785" spans="1:10" x14ac:dyDescent="0.25">
      <c r="A18785">
        <v>21303</v>
      </c>
      <c r="B18785" t="s">
        <v>531</v>
      </c>
      <c r="C18785">
        <v>366</v>
      </c>
      <c r="D18785">
        <v>536</v>
      </c>
      <c r="E18785">
        <v>0</v>
      </c>
      <c r="F18785">
        <v>32</v>
      </c>
      <c r="G18785">
        <v>0</v>
      </c>
      <c r="H18785" t="s">
        <v>23619</v>
      </c>
      <c r="I18785">
        <v>21303</v>
      </c>
      <c r="J18785" t="e">
        <f>VLOOKUP(E18785,DSSpieler!A:B,2,FALSE)</f>
        <v>#N/A</v>
      </c>
    </row>
    <row r="18786" spans="1:10" x14ac:dyDescent="0.25">
      <c r="A18786">
        <v>21304</v>
      </c>
      <c r="B18786" t="s">
        <v>4875</v>
      </c>
      <c r="C18786">
        <v>630</v>
      </c>
      <c r="D18786">
        <v>533</v>
      </c>
      <c r="E18786">
        <v>1577011629</v>
      </c>
      <c r="F18786">
        <v>38</v>
      </c>
      <c r="G18786">
        <v>0</v>
      </c>
      <c r="H18786" t="s">
        <v>23620</v>
      </c>
      <c r="I18786">
        <v>21304</v>
      </c>
      <c r="J18786" t="str">
        <f>VLOOKUP(E18786,DSSpieler!A:B,2,FALSE)</f>
        <v>ILoveShisha</v>
      </c>
    </row>
    <row r="18787" spans="1:10" x14ac:dyDescent="0.25">
      <c r="A18787">
        <v>21305</v>
      </c>
      <c r="B18787" t="s">
        <v>4876</v>
      </c>
      <c r="C18787">
        <v>383</v>
      </c>
      <c r="D18787">
        <v>575</v>
      </c>
      <c r="E18787">
        <v>1577198817</v>
      </c>
      <c r="F18787">
        <v>26</v>
      </c>
      <c r="G18787">
        <v>0</v>
      </c>
      <c r="H18787" t="s">
        <v>23621</v>
      </c>
      <c r="I18787">
        <v>21305</v>
      </c>
      <c r="J18787" t="str">
        <f>VLOOKUP(E18787,DSSpieler!A:B,2,FALSE)</f>
        <v>Mortimer1000</v>
      </c>
    </row>
    <row r="18788" spans="1:10" x14ac:dyDescent="0.25">
      <c r="A18788">
        <v>21306</v>
      </c>
      <c r="B18788" t="s">
        <v>4877</v>
      </c>
      <c r="C18788">
        <v>364</v>
      </c>
      <c r="D18788">
        <v>515</v>
      </c>
      <c r="E18788">
        <v>1577203987</v>
      </c>
      <c r="F18788">
        <v>97</v>
      </c>
      <c r="G18788">
        <v>0</v>
      </c>
      <c r="H18788" t="s">
        <v>23622</v>
      </c>
      <c r="I18788">
        <v>21306</v>
      </c>
      <c r="J18788" t="str">
        <f>VLOOKUP(E18788,DSSpieler!A:B,2,FALSE)</f>
        <v>Wurstzweitopf</v>
      </c>
    </row>
    <row r="18789" spans="1:10" x14ac:dyDescent="0.25">
      <c r="A18789">
        <v>21307</v>
      </c>
      <c r="B18789" t="s">
        <v>4878</v>
      </c>
      <c r="C18789">
        <v>411</v>
      </c>
      <c r="D18789">
        <v>409</v>
      </c>
      <c r="E18789">
        <v>8645136</v>
      </c>
      <c r="F18789">
        <v>195</v>
      </c>
      <c r="G18789">
        <v>0</v>
      </c>
      <c r="H18789" t="s">
        <v>23623</v>
      </c>
      <c r="I18789">
        <v>21307</v>
      </c>
      <c r="J18789" t="str">
        <f>VLOOKUP(E18789,DSSpieler!A:B,2,FALSE)</f>
        <v>Piksi83</v>
      </c>
    </row>
    <row r="18790" spans="1:10" x14ac:dyDescent="0.25">
      <c r="A18790">
        <v>21308</v>
      </c>
      <c r="B18790" t="s">
        <v>4879</v>
      </c>
      <c r="C18790">
        <v>366</v>
      </c>
      <c r="D18790">
        <v>540</v>
      </c>
      <c r="E18790">
        <v>8880253</v>
      </c>
      <c r="F18790">
        <v>75</v>
      </c>
      <c r="G18790">
        <v>0</v>
      </c>
      <c r="H18790" t="s">
        <v>23624</v>
      </c>
      <c r="I18790">
        <v>21308</v>
      </c>
      <c r="J18790" t="str">
        <f>VLOOKUP(E18790,DSSpieler!A:B,2,FALSE)</f>
        <v>X-Tempo-X</v>
      </c>
    </row>
    <row r="18791" spans="1:10" x14ac:dyDescent="0.25">
      <c r="A18791">
        <v>21309</v>
      </c>
      <c r="B18791" t="s">
        <v>4880</v>
      </c>
      <c r="C18791">
        <v>364</v>
      </c>
      <c r="D18791">
        <v>484</v>
      </c>
      <c r="E18791">
        <v>8726760</v>
      </c>
      <c r="F18791">
        <v>180</v>
      </c>
      <c r="G18791">
        <v>0</v>
      </c>
      <c r="H18791" t="s">
        <v>23625</v>
      </c>
      <c r="I18791">
        <v>21309</v>
      </c>
      <c r="J18791" t="str">
        <f>VLOOKUP(E18791,DSSpieler!A:B,2,FALSE)</f>
        <v>Scham93i</v>
      </c>
    </row>
    <row r="18792" spans="1:10" x14ac:dyDescent="0.25">
      <c r="A18792">
        <v>21310</v>
      </c>
      <c r="B18792" t="s">
        <v>531</v>
      </c>
      <c r="C18792">
        <v>401</v>
      </c>
      <c r="D18792">
        <v>599</v>
      </c>
      <c r="E18792">
        <v>0</v>
      </c>
      <c r="F18792">
        <v>29</v>
      </c>
      <c r="G18792">
        <v>0</v>
      </c>
      <c r="H18792" t="s">
        <v>23626</v>
      </c>
      <c r="I18792">
        <v>21310</v>
      </c>
      <c r="J18792" t="e">
        <f>VLOOKUP(E18792,DSSpieler!A:B,2,FALSE)</f>
        <v>#N/A</v>
      </c>
    </row>
    <row r="18793" spans="1:10" x14ac:dyDescent="0.25">
      <c r="A18793">
        <v>21311</v>
      </c>
      <c r="B18793" t="s">
        <v>4881</v>
      </c>
      <c r="C18793">
        <v>454</v>
      </c>
      <c r="D18793">
        <v>370</v>
      </c>
      <c r="E18793">
        <v>1576315432</v>
      </c>
      <c r="F18793">
        <v>182</v>
      </c>
      <c r="G18793">
        <v>0</v>
      </c>
      <c r="H18793" t="s">
        <v>23627</v>
      </c>
      <c r="I18793">
        <v>21311</v>
      </c>
      <c r="J18793" t="str">
        <f>VLOOKUP(E18793,DSSpieler!A:B,2,FALSE)</f>
        <v>Kerberos.1900</v>
      </c>
    </row>
    <row r="18794" spans="1:10" x14ac:dyDescent="0.25">
      <c r="A18794">
        <v>21312</v>
      </c>
      <c r="B18794" t="s">
        <v>4882</v>
      </c>
      <c r="C18794">
        <v>440</v>
      </c>
      <c r="D18794">
        <v>601</v>
      </c>
      <c r="E18794">
        <v>1577209529</v>
      </c>
      <c r="F18794">
        <v>46</v>
      </c>
      <c r="G18794">
        <v>0</v>
      </c>
      <c r="H18794" t="s">
        <v>23628</v>
      </c>
      <c r="I18794">
        <v>21312</v>
      </c>
      <c r="J18794" t="str">
        <f>VLOOKUP(E18794,DSSpieler!A:B,2,FALSE)</f>
        <v>Baba Samu</v>
      </c>
    </row>
    <row r="18795" spans="1:10" x14ac:dyDescent="0.25">
      <c r="A18795">
        <v>21313</v>
      </c>
      <c r="B18795" t="s">
        <v>4883</v>
      </c>
      <c r="C18795">
        <v>586</v>
      </c>
      <c r="D18795">
        <v>605</v>
      </c>
      <c r="E18795">
        <v>1577112621</v>
      </c>
      <c r="F18795">
        <v>26</v>
      </c>
      <c r="G18795">
        <v>0</v>
      </c>
      <c r="H18795" t="s">
        <v>23629</v>
      </c>
      <c r="I18795">
        <v>21313</v>
      </c>
      <c r="J18795" t="str">
        <f>VLOOKUP(E18795,DSSpieler!A:B,2,FALSE)</f>
        <v>Clank</v>
      </c>
    </row>
    <row r="18796" spans="1:10" x14ac:dyDescent="0.25">
      <c r="A18796">
        <v>21314</v>
      </c>
      <c r="B18796" t="s">
        <v>2519</v>
      </c>
      <c r="C18796">
        <v>622</v>
      </c>
      <c r="D18796">
        <v>437</v>
      </c>
      <c r="E18796">
        <v>1577202471</v>
      </c>
      <c r="F18796">
        <v>26</v>
      </c>
      <c r="G18796">
        <v>0</v>
      </c>
      <c r="H18796" t="s">
        <v>23630</v>
      </c>
      <c r="I18796">
        <v>21314</v>
      </c>
      <c r="J18796" t="str">
        <f>VLOOKUP(E18796,DSSpieler!A:B,2,FALSE)</f>
        <v>poschei</v>
      </c>
    </row>
    <row r="18797" spans="1:10" x14ac:dyDescent="0.25">
      <c r="A18797">
        <v>21315</v>
      </c>
      <c r="B18797" t="s">
        <v>4884</v>
      </c>
      <c r="C18797">
        <v>404</v>
      </c>
      <c r="D18797">
        <v>464</v>
      </c>
      <c r="E18797">
        <v>1576461762</v>
      </c>
      <c r="F18797">
        <v>123</v>
      </c>
      <c r="G18797">
        <v>0</v>
      </c>
      <c r="H18797" t="s">
        <v>23631</v>
      </c>
      <c r="I18797">
        <v>21315</v>
      </c>
      <c r="J18797" t="str">
        <f>VLOOKUP(E18797,DSSpieler!A:B,2,FALSE)</f>
        <v>iNsaN3 in BraiN</v>
      </c>
    </row>
    <row r="18798" spans="1:10" x14ac:dyDescent="0.25">
      <c r="A18798">
        <v>21316</v>
      </c>
      <c r="B18798" t="s">
        <v>150</v>
      </c>
      <c r="C18798">
        <v>482</v>
      </c>
      <c r="D18798">
        <v>366</v>
      </c>
      <c r="E18798">
        <v>1577179535</v>
      </c>
      <c r="F18798">
        <v>133</v>
      </c>
      <c r="G18798">
        <v>0</v>
      </c>
      <c r="H18798" t="s">
        <v>23632</v>
      </c>
      <c r="I18798">
        <v>21316</v>
      </c>
      <c r="J18798" t="str">
        <f>VLOOKUP(E18798,DSSpieler!A:B,2,FALSE)</f>
        <v>Face</v>
      </c>
    </row>
    <row r="18799" spans="1:10" x14ac:dyDescent="0.25">
      <c r="A18799">
        <v>21317</v>
      </c>
      <c r="B18799" t="s">
        <v>4885</v>
      </c>
      <c r="C18799">
        <v>362</v>
      </c>
      <c r="D18799">
        <v>503</v>
      </c>
      <c r="E18799">
        <v>1577199376</v>
      </c>
      <c r="F18799">
        <v>26</v>
      </c>
      <c r="G18799">
        <v>0</v>
      </c>
      <c r="H18799" t="s">
        <v>23633</v>
      </c>
      <c r="I18799">
        <v>21317</v>
      </c>
      <c r="J18799" t="str">
        <f>VLOOKUP(E18799,DSSpieler!A:B,2,FALSE)</f>
        <v>ChelseaFC</v>
      </c>
    </row>
    <row r="18800" spans="1:10" x14ac:dyDescent="0.25">
      <c r="A18800">
        <v>21318</v>
      </c>
      <c r="B18800" t="s">
        <v>4886</v>
      </c>
      <c r="C18800">
        <v>596</v>
      </c>
      <c r="D18800">
        <v>413</v>
      </c>
      <c r="E18800">
        <v>1577209543</v>
      </c>
      <c r="F18800">
        <v>183</v>
      </c>
      <c r="G18800">
        <v>0</v>
      </c>
      <c r="H18800" t="s">
        <v>23634</v>
      </c>
      <c r="I18800">
        <v>21318</v>
      </c>
      <c r="J18800" t="str">
        <f>VLOOKUP(E18800,DSSpieler!A:B,2,FALSE)</f>
        <v>Mysterion13</v>
      </c>
    </row>
    <row r="18801" spans="1:10" x14ac:dyDescent="0.25">
      <c r="A18801">
        <v>21319</v>
      </c>
      <c r="B18801" t="s">
        <v>4887</v>
      </c>
      <c r="C18801">
        <v>637</v>
      </c>
      <c r="D18801">
        <v>501</v>
      </c>
      <c r="E18801">
        <v>1577069904</v>
      </c>
      <c r="F18801">
        <v>30</v>
      </c>
      <c r="G18801">
        <v>0</v>
      </c>
      <c r="H18801" t="s">
        <v>23635</v>
      </c>
      <c r="I18801">
        <v>21319</v>
      </c>
      <c r="J18801" t="str">
        <f>VLOOKUP(E18801,DSSpieler!A:B,2,FALSE)</f>
        <v>Kapitano</v>
      </c>
    </row>
    <row r="18802" spans="1:10" x14ac:dyDescent="0.25">
      <c r="A18802">
        <v>21320</v>
      </c>
      <c r="B18802" t="s">
        <v>2424</v>
      </c>
      <c r="C18802">
        <v>453</v>
      </c>
      <c r="D18802">
        <v>373</v>
      </c>
      <c r="E18802">
        <v>1576783153</v>
      </c>
      <c r="F18802">
        <v>26</v>
      </c>
      <c r="G18802">
        <v>0</v>
      </c>
      <c r="H18802" t="s">
        <v>23636</v>
      </c>
      <c r="I18802">
        <v>21320</v>
      </c>
      <c r="J18802" t="str">
        <f>VLOOKUP(E18802,DSSpieler!A:B,2,FALSE)</f>
        <v>youtox</v>
      </c>
    </row>
    <row r="18803" spans="1:10" x14ac:dyDescent="0.25">
      <c r="A18803">
        <v>21321</v>
      </c>
      <c r="B18803" t="s">
        <v>4888</v>
      </c>
      <c r="C18803">
        <v>466</v>
      </c>
      <c r="D18803">
        <v>446</v>
      </c>
      <c r="E18803">
        <v>1576115238</v>
      </c>
      <c r="F18803">
        <v>26</v>
      </c>
      <c r="G18803">
        <v>0</v>
      </c>
      <c r="H18803" t="s">
        <v>23637</v>
      </c>
      <c r="I18803">
        <v>21321</v>
      </c>
      <c r="J18803" t="str">
        <f>VLOOKUP(E18803,DSSpieler!A:B,2,FALSE)</f>
        <v>DaBucki</v>
      </c>
    </row>
    <row r="18804" spans="1:10" x14ac:dyDescent="0.25">
      <c r="A18804">
        <v>21322</v>
      </c>
      <c r="B18804" t="s">
        <v>4889</v>
      </c>
      <c r="C18804">
        <v>485</v>
      </c>
      <c r="D18804">
        <v>397</v>
      </c>
      <c r="E18804">
        <v>9866107</v>
      </c>
      <c r="F18804">
        <v>51</v>
      </c>
      <c r="G18804">
        <v>0</v>
      </c>
      <c r="H18804" t="s">
        <v>23638</v>
      </c>
      <c r="I18804">
        <v>21322</v>
      </c>
      <c r="J18804" t="str">
        <f>VLOOKUP(E18804,DSSpieler!A:B,2,FALSE)</f>
        <v>Lord Woot</v>
      </c>
    </row>
    <row r="18805" spans="1:10" x14ac:dyDescent="0.25">
      <c r="A18805">
        <v>21323</v>
      </c>
      <c r="B18805" t="s">
        <v>4890</v>
      </c>
      <c r="C18805">
        <v>369</v>
      </c>
      <c r="D18805">
        <v>458</v>
      </c>
      <c r="E18805">
        <v>1577039872</v>
      </c>
      <c r="F18805">
        <v>26</v>
      </c>
      <c r="G18805">
        <v>0</v>
      </c>
      <c r="H18805" t="s">
        <v>23639</v>
      </c>
      <c r="I18805">
        <v>21323</v>
      </c>
      <c r="J18805" t="str">
        <f>VLOOKUP(E18805,DSSpieler!A:B,2,FALSE)</f>
        <v>LePfannenwender</v>
      </c>
    </row>
    <row r="18806" spans="1:10" x14ac:dyDescent="0.25">
      <c r="A18806">
        <v>21324</v>
      </c>
      <c r="B18806" t="s">
        <v>4891</v>
      </c>
      <c r="C18806">
        <v>443</v>
      </c>
      <c r="D18806">
        <v>580</v>
      </c>
      <c r="E18806">
        <v>1577198132</v>
      </c>
      <c r="F18806">
        <v>181</v>
      </c>
      <c r="G18806">
        <v>0</v>
      </c>
      <c r="H18806" t="s">
        <v>23640</v>
      </c>
      <c r="I18806">
        <v>21324</v>
      </c>
      <c r="J18806" t="str">
        <f>VLOOKUP(E18806,DSSpieler!A:B,2,FALSE)</f>
        <v>NiNjAtUrTlE</v>
      </c>
    </row>
    <row r="18807" spans="1:10" x14ac:dyDescent="0.25">
      <c r="A18807">
        <v>21325</v>
      </c>
      <c r="B18807" t="s">
        <v>4892</v>
      </c>
      <c r="C18807">
        <v>569</v>
      </c>
      <c r="D18807">
        <v>380</v>
      </c>
      <c r="E18807">
        <v>1577188994</v>
      </c>
      <c r="F18807">
        <v>26</v>
      </c>
      <c r="G18807">
        <v>0</v>
      </c>
      <c r="H18807" t="s">
        <v>23641</v>
      </c>
      <c r="I18807">
        <v>21325</v>
      </c>
      <c r="J18807" t="str">
        <f>VLOOKUP(E18807,DSSpieler!A:B,2,FALSE)</f>
        <v>BadLud</v>
      </c>
    </row>
    <row r="18808" spans="1:10" x14ac:dyDescent="0.25">
      <c r="A18808">
        <v>21326</v>
      </c>
      <c r="B18808" t="s">
        <v>4893</v>
      </c>
      <c r="C18808">
        <v>613</v>
      </c>
      <c r="D18808">
        <v>456</v>
      </c>
      <c r="E18808">
        <v>1577203841</v>
      </c>
      <c r="F18808">
        <v>169</v>
      </c>
      <c r="G18808">
        <v>0</v>
      </c>
      <c r="H18808" t="s">
        <v>23642</v>
      </c>
      <c r="I18808">
        <v>21326</v>
      </c>
      <c r="J18808" t="str">
        <f>VLOOKUP(E18808,DSSpieler!A:B,2,FALSE)</f>
        <v>Eramos.Knight</v>
      </c>
    </row>
    <row r="18809" spans="1:10" x14ac:dyDescent="0.25">
      <c r="A18809">
        <v>21328</v>
      </c>
      <c r="B18809" t="s">
        <v>4894</v>
      </c>
      <c r="C18809">
        <v>365</v>
      </c>
      <c r="D18809">
        <v>516</v>
      </c>
      <c r="E18809">
        <v>1577209563</v>
      </c>
      <c r="F18809">
        <v>156</v>
      </c>
      <c r="G18809">
        <v>0</v>
      </c>
      <c r="H18809" t="s">
        <v>23643</v>
      </c>
      <c r="I18809">
        <v>21328</v>
      </c>
      <c r="J18809" t="str">
        <f>VLOOKUP(E18809,DSSpieler!A:B,2,FALSE)</f>
        <v>Smilodon</v>
      </c>
    </row>
    <row r="18810" spans="1:10" x14ac:dyDescent="0.25">
      <c r="A18810">
        <v>21329</v>
      </c>
      <c r="B18810" t="s">
        <v>4895</v>
      </c>
      <c r="C18810">
        <v>373</v>
      </c>
      <c r="D18810">
        <v>543</v>
      </c>
      <c r="E18810">
        <v>8658728</v>
      </c>
      <c r="F18810">
        <v>77</v>
      </c>
      <c r="G18810">
        <v>0</v>
      </c>
      <c r="H18810" t="s">
        <v>23644</v>
      </c>
      <c r="I18810">
        <v>21329</v>
      </c>
      <c r="J18810" t="str">
        <f>VLOOKUP(E18810,DSSpieler!A:B,2,FALSE)</f>
        <v>Kurdian</v>
      </c>
    </row>
    <row r="18811" spans="1:10" x14ac:dyDescent="0.25">
      <c r="A18811">
        <v>21330</v>
      </c>
      <c r="B18811" t="s">
        <v>4896</v>
      </c>
      <c r="C18811">
        <v>578</v>
      </c>
      <c r="D18811">
        <v>611</v>
      </c>
      <c r="E18811">
        <v>1577089925</v>
      </c>
      <c r="F18811">
        <v>164</v>
      </c>
      <c r="G18811">
        <v>0</v>
      </c>
      <c r="H18811" t="s">
        <v>23645</v>
      </c>
      <c r="I18811">
        <v>21330</v>
      </c>
      <c r="J18811" t="str">
        <f>VLOOKUP(E18811,DSSpieler!A:B,2,FALSE)</f>
        <v>Der Taichu</v>
      </c>
    </row>
    <row r="18812" spans="1:10" x14ac:dyDescent="0.25">
      <c r="A18812">
        <v>21331</v>
      </c>
      <c r="B18812" t="s">
        <v>4897</v>
      </c>
      <c r="C18812">
        <v>454</v>
      </c>
      <c r="D18812">
        <v>381</v>
      </c>
      <c r="E18812">
        <v>1577155673</v>
      </c>
      <c r="F18812">
        <v>85</v>
      </c>
      <c r="G18812">
        <v>0</v>
      </c>
      <c r="H18812" t="s">
        <v>23646</v>
      </c>
      <c r="I18812">
        <v>21331</v>
      </c>
      <c r="J18812" t="str">
        <f>VLOOKUP(E18812,DSSpieler!A:B,2,FALSE)</f>
        <v>FranzOz</v>
      </c>
    </row>
    <row r="18813" spans="1:10" x14ac:dyDescent="0.25">
      <c r="A18813">
        <v>21332</v>
      </c>
      <c r="B18813" t="s">
        <v>4898</v>
      </c>
      <c r="C18813">
        <v>554</v>
      </c>
      <c r="D18813">
        <v>623</v>
      </c>
      <c r="E18813">
        <v>1577209569</v>
      </c>
      <c r="F18813">
        <v>38</v>
      </c>
      <c r="G18813">
        <v>0</v>
      </c>
      <c r="H18813" t="s">
        <v>23647</v>
      </c>
      <c r="I18813">
        <v>21332</v>
      </c>
      <c r="J18813" t="str">
        <f>VLOOKUP(E18813,DSSpieler!A:B,2,FALSE)</f>
        <v>King kev</v>
      </c>
    </row>
    <row r="18814" spans="1:10" x14ac:dyDescent="0.25">
      <c r="A18814">
        <v>21333</v>
      </c>
      <c r="B18814" t="s">
        <v>4899</v>
      </c>
      <c r="C18814">
        <v>595</v>
      </c>
      <c r="D18814">
        <v>403</v>
      </c>
      <c r="E18814">
        <v>1576846854</v>
      </c>
      <c r="F18814">
        <v>97</v>
      </c>
      <c r="G18814">
        <v>0</v>
      </c>
      <c r="H18814" t="s">
        <v>23648</v>
      </c>
      <c r="I18814">
        <v>21333</v>
      </c>
      <c r="J18814" t="str">
        <f>VLOOKUP(E18814,DSSpieler!A:B,2,FALSE)</f>
        <v>basiic011</v>
      </c>
    </row>
    <row r="18815" spans="1:10" x14ac:dyDescent="0.25">
      <c r="A18815">
        <v>21334</v>
      </c>
      <c r="B18815" t="s">
        <v>4900</v>
      </c>
      <c r="C18815">
        <v>549</v>
      </c>
      <c r="D18815">
        <v>380</v>
      </c>
      <c r="E18815">
        <v>1577181220</v>
      </c>
      <c r="F18815">
        <v>156</v>
      </c>
      <c r="G18815">
        <v>0</v>
      </c>
      <c r="H18815" t="s">
        <v>23649</v>
      </c>
      <c r="I18815">
        <v>21334</v>
      </c>
      <c r="J18815" t="str">
        <f>VLOOKUP(E18815,DSSpieler!A:B,2,FALSE)</f>
        <v>Acordic</v>
      </c>
    </row>
    <row r="18816" spans="1:10" x14ac:dyDescent="0.25">
      <c r="A18816">
        <v>21335</v>
      </c>
      <c r="B18816" t="s">
        <v>4901</v>
      </c>
      <c r="C18816">
        <v>423</v>
      </c>
      <c r="D18816">
        <v>612</v>
      </c>
      <c r="E18816">
        <v>1577209586</v>
      </c>
      <c r="F18816">
        <v>45</v>
      </c>
      <c r="G18816">
        <v>0</v>
      </c>
      <c r="H18816" t="s">
        <v>23650</v>
      </c>
      <c r="I18816">
        <v>21335</v>
      </c>
      <c r="J18816" t="str">
        <f>VLOOKUP(E18816,DSSpieler!A:B,2,FALSE)</f>
        <v>The Flak</v>
      </c>
    </row>
    <row r="18817" spans="1:10" x14ac:dyDescent="0.25">
      <c r="A18817">
        <v>21336</v>
      </c>
      <c r="B18817" t="s">
        <v>4902</v>
      </c>
      <c r="C18817">
        <v>534</v>
      </c>
      <c r="D18817">
        <v>634</v>
      </c>
      <c r="E18817">
        <v>1577193748</v>
      </c>
      <c r="F18817">
        <v>82</v>
      </c>
      <c r="G18817">
        <v>0</v>
      </c>
      <c r="H18817" t="s">
        <v>23651</v>
      </c>
      <c r="I18817">
        <v>21336</v>
      </c>
      <c r="J18817" t="str">
        <f>VLOOKUP(E18817,DSSpieler!A:B,2,FALSE)</f>
        <v>Black-Python</v>
      </c>
    </row>
    <row r="18818" spans="1:10" x14ac:dyDescent="0.25">
      <c r="A18818">
        <v>21337</v>
      </c>
      <c r="B18818" t="s">
        <v>4903</v>
      </c>
      <c r="C18818">
        <v>631</v>
      </c>
      <c r="D18818">
        <v>462</v>
      </c>
      <c r="E18818">
        <v>1577199003</v>
      </c>
      <c r="F18818">
        <v>66</v>
      </c>
      <c r="G18818">
        <v>0</v>
      </c>
      <c r="H18818" t="s">
        <v>23652</v>
      </c>
      <c r="I18818">
        <v>21337</v>
      </c>
      <c r="J18818" t="str">
        <f>VLOOKUP(E18818,DSSpieler!A:B,2,FALSE)</f>
        <v>De King</v>
      </c>
    </row>
    <row r="18819" spans="1:10" x14ac:dyDescent="0.25">
      <c r="A18819">
        <v>21338</v>
      </c>
      <c r="B18819" t="s">
        <v>4904</v>
      </c>
      <c r="C18819">
        <v>536</v>
      </c>
      <c r="D18819">
        <v>629</v>
      </c>
      <c r="E18819">
        <v>1576908234</v>
      </c>
      <c r="F18819">
        <v>26</v>
      </c>
      <c r="G18819">
        <v>0</v>
      </c>
      <c r="H18819" t="s">
        <v>23653</v>
      </c>
      <c r="I18819">
        <v>21338</v>
      </c>
      <c r="J18819" t="str">
        <f>VLOOKUP(E18819,DSSpieler!A:B,2,FALSE)</f>
        <v>Tuoimunt</v>
      </c>
    </row>
    <row r="18820" spans="1:10" x14ac:dyDescent="0.25">
      <c r="A18820">
        <v>21339</v>
      </c>
      <c r="B18820" t="s">
        <v>4905</v>
      </c>
      <c r="C18820">
        <v>392</v>
      </c>
      <c r="D18820">
        <v>420</v>
      </c>
      <c r="E18820">
        <v>9215276</v>
      </c>
      <c r="F18820">
        <v>168</v>
      </c>
      <c r="G18820">
        <v>0</v>
      </c>
      <c r="H18820" t="s">
        <v>23654</v>
      </c>
      <c r="I18820">
        <v>21339</v>
      </c>
      <c r="J18820" t="str">
        <f>VLOOKUP(E18820,DSSpieler!A:B,2,FALSE)</f>
        <v>T3chn4k</v>
      </c>
    </row>
    <row r="18821" spans="1:10" x14ac:dyDescent="0.25">
      <c r="A18821">
        <v>21340</v>
      </c>
      <c r="B18821" t="s">
        <v>531</v>
      </c>
      <c r="C18821">
        <v>536</v>
      </c>
      <c r="D18821">
        <v>630</v>
      </c>
      <c r="E18821">
        <v>0</v>
      </c>
      <c r="F18821">
        <v>32</v>
      </c>
      <c r="G18821">
        <v>0</v>
      </c>
      <c r="H18821" t="s">
        <v>23655</v>
      </c>
      <c r="I18821">
        <v>21340</v>
      </c>
      <c r="J18821" t="e">
        <f>VLOOKUP(E18821,DSSpieler!A:B,2,FALSE)</f>
        <v>#N/A</v>
      </c>
    </row>
    <row r="18822" spans="1:10" x14ac:dyDescent="0.25">
      <c r="A18822">
        <v>21341</v>
      </c>
      <c r="B18822" t="s">
        <v>4906</v>
      </c>
      <c r="C18822">
        <v>477</v>
      </c>
      <c r="D18822">
        <v>634</v>
      </c>
      <c r="E18822">
        <v>9159245</v>
      </c>
      <c r="F18822">
        <v>55</v>
      </c>
      <c r="G18822">
        <v>0</v>
      </c>
      <c r="H18822" t="s">
        <v>23656</v>
      </c>
      <c r="I18822">
        <v>21341</v>
      </c>
      <c r="J18822" t="str">
        <f>VLOOKUP(E18822,DSSpieler!A:B,2,FALSE)</f>
        <v>mif1</v>
      </c>
    </row>
    <row r="18823" spans="1:10" x14ac:dyDescent="0.25">
      <c r="A18823">
        <v>21342</v>
      </c>
      <c r="B18823" t="s">
        <v>4907</v>
      </c>
      <c r="C18823">
        <v>596</v>
      </c>
      <c r="D18823">
        <v>455</v>
      </c>
      <c r="E18823">
        <v>1576991291</v>
      </c>
      <c r="F18823">
        <v>40</v>
      </c>
      <c r="G18823">
        <v>0</v>
      </c>
      <c r="H18823" t="s">
        <v>23657</v>
      </c>
      <c r="I18823">
        <v>21342</v>
      </c>
      <c r="J18823" t="str">
        <f>VLOOKUP(E18823,DSSpieler!A:B,2,FALSE)</f>
        <v>elhan17</v>
      </c>
    </row>
    <row r="18824" spans="1:10" x14ac:dyDescent="0.25">
      <c r="A18824">
        <v>21343</v>
      </c>
      <c r="B18824" t="s">
        <v>32493</v>
      </c>
      <c r="C18824">
        <v>370</v>
      </c>
      <c r="D18824">
        <v>449</v>
      </c>
      <c r="E18824">
        <v>1577206236</v>
      </c>
      <c r="F18824">
        <v>156</v>
      </c>
      <c r="G18824">
        <v>0</v>
      </c>
      <c r="H18824" t="s">
        <v>23658</v>
      </c>
      <c r="I18824">
        <v>21343</v>
      </c>
      <c r="J18824" t="str">
        <f>VLOOKUP(E18824,DSSpieler!A:B,2,FALSE)</f>
        <v>superst1ck</v>
      </c>
    </row>
    <row r="18825" spans="1:10" x14ac:dyDescent="0.25">
      <c r="A18825">
        <v>21344</v>
      </c>
      <c r="B18825" t="s">
        <v>4908</v>
      </c>
      <c r="C18825">
        <v>372</v>
      </c>
      <c r="D18825">
        <v>452</v>
      </c>
      <c r="E18825">
        <v>9461163</v>
      </c>
      <c r="F18825">
        <v>26</v>
      </c>
      <c r="G18825">
        <v>0</v>
      </c>
      <c r="H18825" t="s">
        <v>23659</v>
      </c>
      <c r="I18825">
        <v>21344</v>
      </c>
      <c r="J18825" t="str">
        <f>VLOOKUP(E18825,DSSpieler!A:B,2,FALSE)</f>
        <v>PhantomJuunge</v>
      </c>
    </row>
    <row r="18826" spans="1:10" x14ac:dyDescent="0.25">
      <c r="A18826">
        <v>21345</v>
      </c>
      <c r="B18826" t="s">
        <v>4909</v>
      </c>
      <c r="C18826">
        <v>607</v>
      </c>
      <c r="D18826">
        <v>585</v>
      </c>
      <c r="E18826">
        <v>3014704</v>
      </c>
      <c r="F18826">
        <v>97</v>
      </c>
      <c r="G18826">
        <v>0</v>
      </c>
      <c r="H18826" t="s">
        <v>23660</v>
      </c>
      <c r="I18826">
        <v>21345</v>
      </c>
      <c r="J18826" t="str">
        <f>VLOOKUP(E18826,DSSpieler!A:B,2,FALSE)</f>
        <v>esse3</v>
      </c>
    </row>
    <row r="18827" spans="1:10" x14ac:dyDescent="0.25">
      <c r="A18827">
        <v>21346</v>
      </c>
      <c r="B18827" t="s">
        <v>4910</v>
      </c>
      <c r="C18827">
        <v>417</v>
      </c>
      <c r="D18827">
        <v>392</v>
      </c>
      <c r="E18827">
        <v>1577103250</v>
      </c>
      <c r="F18827">
        <v>53</v>
      </c>
      <c r="G18827">
        <v>0</v>
      </c>
      <c r="H18827" t="s">
        <v>23661</v>
      </c>
      <c r="I18827">
        <v>21346</v>
      </c>
      <c r="J18827" t="str">
        <f>VLOOKUP(E18827,DSSpieler!A:B,2,FALSE)</f>
        <v>Nod42</v>
      </c>
    </row>
    <row r="18828" spans="1:10" x14ac:dyDescent="0.25">
      <c r="A18828">
        <v>21347</v>
      </c>
      <c r="B18828" t="s">
        <v>4911</v>
      </c>
      <c r="C18828">
        <v>370</v>
      </c>
      <c r="D18828">
        <v>447</v>
      </c>
      <c r="E18828">
        <v>1577202622</v>
      </c>
      <c r="F18828">
        <v>26</v>
      </c>
      <c r="G18828">
        <v>0</v>
      </c>
      <c r="H18828" t="s">
        <v>23662</v>
      </c>
      <c r="I18828">
        <v>21347</v>
      </c>
      <c r="J18828" t="str">
        <f>VLOOKUP(E18828,DSSpieler!A:B,2,FALSE)</f>
        <v>slayer-haze</v>
      </c>
    </row>
    <row r="18829" spans="1:10" x14ac:dyDescent="0.25">
      <c r="A18829">
        <v>21348</v>
      </c>
      <c r="B18829" t="s">
        <v>4912</v>
      </c>
      <c r="C18829">
        <v>495</v>
      </c>
      <c r="D18829">
        <v>361</v>
      </c>
      <c r="E18829">
        <v>10197868</v>
      </c>
      <c r="F18829">
        <v>26</v>
      </c>
      <c r="G18829">
        <v>0</v>
      </c>
      <c r="H18829" t="s">
        <v>23663</v>
      </c>
      <c r="I18829">
        <v>21348</v>
      </c>
      <c r="J18829" t="str">
        <f>VLOOKUP(E18829,DSSpieler!A:B,2,FALSE)</f>
        <v>lakiluk1998</v>
      </c>
    </row>
    <row r="18830" spans="1:10" x14ac:dyDescent="0.25">
      <c r="A18830">
        <v>21349</v>
      </c>
      <c r="B18830" t="s">
        <v>4913</v>
      </c>
      <c r="C18830">
        <v>382</v>
      </c>
      <c r="D18830">
        <v>427</v>
      </c>
      <c r="E18830">
        <v>1577087489</v>
      </c>
      <c r="F18830">
        <v>26</v>
      </c>
      <c r="G18830">
        <v>0</v>
      </c>
      <c r="H18830" t="s">
        <v>23664</v>
      </c>
      <c r="I18830">
        <v>21349</v>
      </c>
      <c r="J18830" t="str">
        <f>VLOOKUP(E18830,DSSpieler!A:B,2,FALSE)</f>
        <v>SiiLexX</v>
      </c>
    </row>
    <row r="18831" spans="1:10" x14ac:dyDescent="0.25">
      <c r="A18831">
        <v>21350</v>
      </c>
      <c r="B18831" t="s">
        <v>4914</v>
      </c>
      <c r="C18831">
        <v>541</v>
      </c>
      <c r="D18831">
        <v>631</v>
      </c>
      <c r="E18831">
        <v>9970980</v>
      </c>
      <c r="F18831">
        <v>154</v>
      </c>
      <c r="G18831">
        <v>0</v>
      </c>
      <c r="H18831" t="s">
        <v>23665</v>
      </c>
      <c r="I18831">
        <v>21350</v>
      </c>
      <c r="J18831" t="str">
        <f>VLOOKUP(E18831,DSSpieler!A:B,2,FALSE)</f>
        <v>British Knights</v>
      </c>
    </row>
    <row r="18832" spans="1:10" x14ac:dyDescent="0.25">
      <c r="A18832">
        <v>21351</v>
      </c>
      <c r="B18832" t="s">
        <v>35864</v>
      </c>
      <c r="C18832">
        <v>513</v>
      </c>
      <c r="D18832">
        <v>360</v>
      </c>
      <c r="E18832">
        <v>9613843</v>
      </c>
      <c r="F18832">
        <v>134</v>
      </c>
      <c r="G18832">
        <v>0</v>
      </c>
      <c r="H18832" t="s">
        <v>23666</v>
      </c>
      <c r="I18832">
        <v>21351</v>
      </c>
      <c r="J18832" t="str">
        <f>VLOOKUP(E18832,DSSpieler!A:B,2,FALSE)</f>
        <v>detlef02</v>
      </c>
    </row>
    <row r="18833" spans="1:10" x14ac:dyDescent="0.25">
      <c r="A18833">
        <v>21352</v>
      </c>
      <c r="B18833" t="s">
        <v>4915</v>
      </c>
      <c r="C18833">
        <v>631</v>
      </c>
      <c r="D18833">
        <v>549</v>
      </c>
      <c r="E18833">
        <v>1577058874</v>
      </c>
      <c r="F18833">
        <v>160</v>
      </c>
      <c r="G18833">
        <v>0</v>
      </c>
      <c r="H18833" t="s">
        <v>23667</v>
      </c>
      <c r="I18833">
        <v>21352</v>
      </c>
      <c r="J18833" t="str">
        <f>VLOOKUP(E18833,DSSpieler!A:B,2,FALSE)</f>
        <v>Thiroli</v>
      </c>
    </row>
    <row r="18834" spans="1:10" x14ac:dyDescent="0.25">
      <c r="A18834">
        <v>21353</v>
      </c>
      <c r="B18834" t="s">
        <v>4916</v>
      </c>
      <c r="C18834">
        <v>616</v>
      </c>
      <c r="D18834">
        <v>430</v>
      </c>
      <c r="E18834">
        <v>1577198929</v>
      </c>
      <c r="F18834">
        <v>26</v>
      </c>
      <c r="G18834">
        <v>0</v>
      </c>
      <c r="H18834" t="s">
        <v>23668</v>
      </c>
      <c r="I18834">
        <v>21353</v>
      </c>
      <c r="J18834" t="str">
        <f>VLOOKUP(E18834,DSSpieler!A:B,2,FALSE)</f>
        <v>Roflcopterinho</v>
      </c>
    </row>
    <row r="18835" spans="1:10" x14ac:dyDescent="0.25">
      <c r="A18835">
        <v>21354</v>
      </c>
      <c r="B18835" t="s">
        <v>4917</v>
      </c>
      <c r="C18835">
        <v>622</v>
      </c>
      <c r="D18835">
        <v>531</v>
      </c>
      <c r="E18835">
        <v>3232988</v>
      </c>
      <c r="F18835">
        <v>64</v>
      </c>
      <c r="G18835">
        <v>0</v>
      </c>
      <c r="H18835" t="s">
        <v>23669</v>
      </c>
      <c r="I18835">
        <v>21354</v>
      </c>
      <c r="J18835" t="str">
        <f>VLOOKUP(E18835,DSSpieler!A:B,2,FALSE)</f>
        <v>Kaiserbvb</v>
      </c>
    </row>
    <row r="18836" spans="1:10" x14ac:dyDescent="0.25">
      <c r="A18836">
        <v>21355</v>
      </c>
      <c r="B18836" t="s">
        <v>4918</v>
      </c>
      <c r="C18836">
        <v>404</v>
      </c>
      <c r="D18836">
        <v>398</v>
      </c>
      <c r="E18836">
        <v>1577191447</v>
      </c>
      <c r="F18836">
        <v>26</v>
      </c>
      <c r="G18836">
        <v>0</v>
      </c>
      <c r="H18836" t="s">
        <v>23670</v>
      </c>
      <c r="I18836">
        <v>21355</v>
      </c>
      <c r="J18836" t="str">
        <f>VLOOKUP(E18836,DSSpieler!A:B,2,FALSE)</f>
        <v>dirty</v>
      </c>
    </row>
    <row r="18837" spans="1:10" x14ac:dyDescent="0.25">
      <c r="A18837">
        <v>21356</v>
      </c>
      <c r="B18837" t="s">
        <v>531</v>
      </c>
      <c r="C18837">
        <v>388</v>
      </c>
      <c r="D18837">
        <v>417</v>
      </c>
      <c r="E18837">
        <v>0</v>
      </c>
      <c r="F18837">
        <v>26</v>
      </c>
      <c r="G18837">
        <v>0</v>
      </c>
      <c r="H18837" t="s">
        <v>23671</v>
      </c>
      <c r="I18837">
        <v>21356</v>
      </c>
      <c r="J18837" t="e">
        <f>VLOOKUP(E18837,DSSpieler!A:B,2,FALSE)</f>
        <v>#N/A</v>
      </c>
    </row>
    <row r="18838" spans="1:10" x14ac:dyDescent="0.25">
      <c r="A18838">
        <v>21357</v>
      </c>
      <c r="B18838" t="s">
        <v>35801</v>
      </c>
      <c r="C18838">
        <v>612</v>
      </c>
      <c r="D18838">
        <v>576</v>
      </c>
      <c r="E18838">
        <v>1577124006</v>
      </c>
      <c r="F18838">
        <v>146</v>
      </c>
      <c r="G18838">
        <v>0</v>
      </c>
      <c r="H18838" t="s">
        <v>23672</v>
      </c>
      <c r="I18838">
        <v>21357</v>
      </c>
      <c r="J18838" t="str">
        <f>VLOOKUP(E18838,DSSpieler!A:B,2,FALSE)</f>
        <v>pizza1804</v>
      </c>
    </row>
    <row r="18839" spans="1:10" x14ac:dyDescent="0.25">
      <c r="A18839">
        <v>21358</v>
      </c>
      <c r="B18839" t="s">
        <v>4919</v>
      </c>
      <c r="C18839">
        <v>360</v>
      </c>
      <c r="D18839">
        <v>489</v>
      </c>
      <c r="E18839">
        <v>1576431547</v>
      </c>
      <c r="F18839">
        <v>84</v>
      </c>
      <c r="G18839">
        <v>0</v>
      </c>
      <c r="H18839" t="s">
        <v>23673</v>
      </c>
      <c r="I18839">
        <v>21358</v>
      </c>
      <c r="J18839" t="str">
        <f>VLOOKUP(E18839,DSSpieler!A:B,2,FALSE)</f>
        <v>edher</v>
      </c>
    </row>
    <row r="18840" spans="1:10" x14ac:dyDescent="0.25">
      <c r="A18840">
        <v>21359</v>
      </c>
      <c r="B18840" t="s">
        <v>4920</v>
      </c>
      <c r="C18840">
        <v>390</v>
      </c>
      <c r="D18840">
        <v>581</v>
      </c>
      <c r="E18840">
        <v>8985816</v>
      </c>
      <c r="F18840">
        <v>26</v>
      </c>
      <c r="G18840">
        <v>0</v>
      </c>
      <c r="H18840" t="s">
        <v>23674</v>
      </c>
      <c r="I18840">
        <v>21359</v>
      </c>
      <c r="J18840" t="str">
        <f>VLOOKUP(E18840,DSSpieler!A:B,2,FALSE)</f>
        <v>aWeSomE bIgyVeS</v>
      </c>
    </row>
    <row r="18841" spans="1:10" x14ac:dyDescent="0.25">
      <c r="A18841">
        <v>21360</v>
      </c>
      <c r="B18841" t="s">
        <v>4921</v>
      </c>
      <c r="C18841">
        <v>389</v>
      </c>
      <c r="D18841">
        <v>583</v>
      </c>
      <c r="E18841">
        <v>8451790</v>
      </c>
      <c r="F18841">
        <v>101</v>
      </c>
      <c r="G18841">
        <v>0</v>
      </c>
      <c r="H18841" t="s">
        <v>23675</v>
      </c>
      <c r="I18841">
        <v>21360</v>
      </c>
      <c r="J18841" t="str">
        <f>VLOOKUP(E18841,DSSpieler!A:B,2,FALSE)</f>
        <v>Dorfkaktus</v>
      </c>
    </row>
    <row r="18842" spans="1:10" x14ac:dyDescent="0.25">
      <c r="A18842">
        <v>21361</v>
      </c>
      <c r="B18842" t="s">
        <v>4922</v>
      </c>
      <c r="C18842">
        <v>369</v>
      </c>
      <c r="D18842">
        <v>465</v>
      </c>
      <c r="E18842">
        <v>8401454</v>
      </c>
      <c r="F18842">
        <v>70</v>
      </c>
      <c r="G18842">
        <v>0</v>
      </c>
      <c r="H18842" t="s">
        <v>23676</v>
      </c>
      <c r="I18842">
        <v>21361</v>
      </c>
      <c r="J18842" t="str">
        <f>VLOOKUP(E18842,DSSpieler!A:B,2,FALSE)</f>
        <v>Kubitza1984</v>
      </c>
    </row>
    <row r="18843" spans="1:10" x14ac:dyDescent="0.25">
      <c r="A18843">
        <v>21362</v>
      </c>
      <c r="B18843" t="s">
        <v>4923</v>
      </c>
      <c r="C18843">
        <v>564</v>
      </c>
      <c r="D18843">
        <v>443</v>
      </c>
      <c r="E18843">
        <v>1577178286</v>
      </c>
      <c r="F18843">
        <v>55</v>
      </c>
      <c r="G18843">
        <v>0</v>
      </c>
      <c r="H18843" t="s">
        <v>23677</v>
      </c>
      <c r="I18843">
        <v>21362</v>
      </c>
      <c r="J18843" t="str">
        <f>VLOOKUP(E18843,DSSpieler!A:B,2,FALSE)</f>
        <v>Autogrammgeber96</v>
      </c>
    </row>
    <row r="18844" spans="1:10" x14ac:dyDescent="0.25">
      <c r="A18844">
        <v>21363</v>
      </c>
      <c r="B18844" t="s">
        <v>4924</v>
      </c>
      <c r="C18844">
        <v>629</v>
      </c>
      <c r="D18844">
        <v>452</v>
      </c>
      <c r="E18844">
        <v>3183212</v>
      </c>
      <c r="F18844">
        <v>47</v>
      </c>
      <c r="G18844">
        <v>0</v>
      </c>
      <c r="H18844" t="s">
        <v>23678</v>
      </c>
      <c r="I18844">
        <v>21363</v>
      </c>
      <c r="J18844" t="str">
        <f>VLOOKUP(E18844,DSSpieler!A:B,2,FALSE)</f>
        <v>Katuunko</v>
      </c>
    </row>
    <row r="18845" spans="1:10" x14ac:dyDescent="0.25">
      <c r="A18845">
        <v>21364</v>
      </c>
      <c r="B18845" t="s">
        <v>4925</v>
      </c>
      <c r="C18845">
        <v>399</v>
      </c>
      <c r="D18845">
        <v>407</v>
      </c>
      <c r="E18845">
        <v>1577209597</v>
      </c>
      <c r="F18845">
        <v>28</v>
      </c>
      <c r="G18845">
        <v>0</v>
      </c>
      <c r="H18845" t="s">
        <v>23679</v>
      </c>
      <c r="I18845">
        <v>21364</v>
      </c>
      <c r="J18845" t="str">
        <f>VLOOKUP(E18845,DSSpieler!A:B,2,FALSE)</f>
        <v>Stoob</v>
      </c>
    </row>
    <row r="18846" spans="1:10" x14ac:dyDescent="0.25">
      <c r="A18846">
        <v>21365</v>
      </c>
      <c r="B18846" t="s">
        <v>35802</v>
      </c>
      <c r="C18846">
        <v>552</v>
      </c>
      <c r="D18846">
        <v>439</v>
      </c>
      <c r="E18846">
        <v>1577190306</v>
      </c>
      <c r="F18846">
        <v>77</v>
      </c>
      <c r="G18846">
        <v>0</v>
      </c>
      <c r="H18846" t="s">
        <v>23680</v>
      </c>
      <c r="I18846">
        <v>21365</v>
      </c>
      <c r="J18846" t="str">
        <f>VLOOKUP(E18846,DSSpieler!A:B,2,FALSE)</f>
        <v>Königin Elligoran</v>
      </c>
    </row>
    <row r="18847" spans="1:10" x14ac:dyDescent="0.25">
      <c r="A18847">
        <v>21366</v>
      </c>
      <c r="B18847" t="s">
        <v>4926</v>
      </c>
      <c r="C18847">
        <v>597</v>
      </c>
      <c r="D18847">
        <v>525</v>
      </c>
      <c r="E18847">
        <v>1576264721</v>
      </c>
      <c r="F18847">
        <v>32</v>
      </c>
      <c r="G18847">
        <v>0</v>
      </c>
      <c r="H18847" t="s">
        <v>23681</v>
      </c>
      <c r="I18847">
        <v>21366</v>
      </c>
      <c r="J18847" t="str">
        <f>VLOOKUP(E18847,DSSpieler!A:B,2,FALSE)</f>
        <v>beroti99</v>
      </c>
    </row>
    <row r="18848" spans="1:10" x14ac:dyDescent="0.25">
      <c r="A18848">
        <v>21367</v>
      </c>
      <c r="B18848" t="s">
        <v>4927</v>
      </c>
      <c r="C18848">
        <v>503</v>
      </c>
      <c r="D18848">
        <v>636</v>
      </c>
      <c r="E18848">
        <v>3171981</v>
      </c>
      <c r="F18848">
        <v>91</v>
      </c>
      <c r="G18848">
        <v>0</v>
      </c>
      <c r="H18848" t="s">
        <v>35882</v>
      </c>
      <c r="I18848">
        <v>21367</v>
      </c>
      <c r="J18848" t="str">
        <f>VLOOKUP(E18848,DSSpieler!A:B,2,FALSE)</f>
        <v>goutier</v>
      </c>
    </row>
    <row r="18849" spans="1:10" x14ac:dyDescent="0.25">
      <c r="A18849">
        <v>21368</v>
      </c>
      <c r="B18849" t="s">
        <v>30620</v>
      </c>
      <c r="C18849">
        <v>582</v>
      </c>
      <c r="D18849">
        <v>394</v>
      </c>
      <c r="E18849">
        <v>345488</v>
      </c>
      <c r="F18849">
        <v>81</v>
      </c>
      <c r="G18849">
        <v>0</v>
      </c>
      <c r="H18849" t="s">
        <v>23682</v>
      </c>
      <c r="I18849">
        <v>21368</v>
      </c>
      <c r="J18849" t="str">
        <f>VLOOKUP(E18849,DSSpieler!A:B,2,FALSE)</f>
        <v>*DOC*</v>
      </c>
    </row>
    <row r="18850" spans="1:10" x14ac:dyDescent="0.25">
      <c r="A18850">
        <v>21369</v>
      </c>
      <c r="B18850" t="s">
        <v>35803</v>
      </c>
      <c r="C18850">
        <v>634</v>
      </c>
      <c r="D18850">
        <v>457</v>
      </c>
      <c r="E18850">
        <v>8946647</v>
      </c>
      <c r="F18850">
        <v>26</v>
      </c>
      <c r="G18850">
        <v>0</v>
      </c>
      <c r="H18850" t="s">
        <v>35811</v>
      </c>
      <c r="I18850">
        <v>21369</v>
      </c>
      <c r="J18850" t="str">
        <f>VLOOKUP(E18850,DSSpieler!A:B,2,FALSE)</f>
        <v>enrico97</v>
      </c>
    </row>
    <row r="18851" spans="1:10" x14ac:dyDescent="0.25">
      <c r="A18851">
        <v>21370</v>
      </c>
      <c r="B18851" t="s">
        <v>35804</v>
      </c>
      <c r="C18851">
        <v>639</v>
      </c>
      <c r="D18851">
        <v>514</v>
      </c>
      <c r="E18851">
        <v>1577184417</v>
      </c>
      <c r="F18851">
        <v>26</v>
      </c>
      <c r="G18851">
        <v>0</v>
      </c>
      <c r="H18851" t="s">
        <v>35812</v>
      </c>
      <c r="I18851">
        <v>21370</v>
      </c>
      <c r="J18851" t="str">
        <f>VLOOKUP(E18851,DSSpieler!A:B,2,FALSE)</f>
        <v>str1nT</v>
      </c>
    </row>
    <row r="18852" spans="1:10" x14ac:dyDescent="0.25">
      <c r="A18852">
        <v>21371</v>
      </c>
      <c r="B18852" t="s">
        <v>531</v>
      </c>
      <c r="C18852">
        <v>528</v>
      </c>
      <c r="D18852">
        <v>363</v>
      </c>
      <c r="E18852">
        <v>0</v>
      </c>
      <c r="F18852">
        <v>26</v>
      </c>
      <c r="G18852">
        <v>0</v>
      </c>
      <c r="H18852" t="s">
        <v>35813</v>
      </c>
      <c r="I18852">
        <v>21371</v>
      </c>
      <c r="J18852" t="e">
        <f>VLOOKUP(E18852,DSSpieler!A:B,2,FALSE)</f>
        <v>#N/A</v>
      </c>
    </row>
    <row r="18853" spans="1:10" x14ac:dyDescent="0.25">
      <c r="A18853">
        <v>21372</v>
      </c>
      <c r="B18853" t="s">
        <v>35805</v>
      </c>
      <c r="C18853">
        <v>411</v>
      </c>
      <c r="D18853">
        <v>395</v>
      </c>
      <c r="E18853">
        <v>1576064820</v>
      </c>
      <c r="F18853">
        <v>84</v>
      </c>
      <c r="G18853">
        <v>0</v>
      </c>
      <c r="H18853" t="s">
        <v>35814</v>
      </c>
      <c r="I18853">
        <v>21372</v>
      </c>
      <c r="J18853" t="str">
        <f>VLOOKUP(E18853,DSSpieler!A:B,2,FALSE)</f>
        <v>Nyko</v>
      </c>
    </row>
    <row r="18854" spans="1:10" x14ac:dyDescent="0.25">
      <c r="A18854">
        <v>21373</v>
      </c>
      <c r="B18854" t="s">
        <v>35806</v>
      </c>
      <c r="C18854">
        <v>429</v>
      </c>
      <c r="D18854">
        <v>379</v>
      </c>
      <c r="E18854">
        <v>1576769097</v>
      </c>
      <c r="F18854">
        <v>26</v>
      </c>
      <c r="G18854">
        <v>0</v>
      </c>
      <c r="H18854" t="s">
        <v>35815</v>
      </c>
      <c r="I18854">
        <v>21373</v>
      </c>
      <c r="J18854" t="str">
        <f>VLOOKUP(E18854,DSSpieler!A:B,2,FALSE)</f>
        <v>ben.lun</v>
      </c>
    </row>
    <row r="18855" spans="1:10" x14ac:dyDescent="0.25">
      <c r="A18855">
        <v>21374</v>
      </c>
      <c r="B18855" t="s">
        <v>35807</v>
      </c>
      <c r="C18855">
        <v>413</v>
      </c>
      <c r="D18855">
        <v>390</v>
      </c>
      <c r="E18855">
        <v>1576828608</v>
      </c>
      <c r="F18855">
        <v>26</v>
      </c>
      <c r="G18855">
        <v>0</v>
      </c>
      <c r="H18855" t="s">
        <v>35816</v>
      </c>
      <c r="I18855">
        <v>21374</v>
      </c>
      <c r="J18855" t="str">
        <f>VLOOKUP(E18855,DSSpieler!A:B,2,FALSE)</f>
        <v>MehTeh</v>
      </c>
    </row>
    <row r="18856" spans="1:10" x14ac:dyDescent="0.25">
      <c r="A18856">
        <v>21375</v>
      </c>
      <c r="B18856" t="s">
        <v>35808</v>
      </c>
      <c r="C18856">
        <v>456</v>
      </c>
      <c r="D18856">
        <v>625</v>
      </c>
      <c r="E18856">
        <v>1577150838</v>
      </c>
      <c r="F18856">
        <v>26</v>
      </c>
      <c r="G18856">
        <v>0</v>
      </c>
      <c r="H18856" t="s">
        <v>35817</v>
      </c>
      <c r="I18856">
        <v>21375</v>
      </c>
      <c r="J18856" t="str">
        <f>VLOOKUP(E18856,DSSpieler!A:B,2,FALSE)</f>
        <v>Flersfanboy</v>
      </c>
    </row>
    <row r="18857" spans="1:10" x14ac:dyDescent="0.25">
      <c r="A18857">
        <v>21376</v>
      </c>
      <c r="B18857" t="s">
        <v>35865</v>
      </c>
      <c r="C18857">
        <v>503</v>
      </c>
      <c r="D18857">
        <v>366</v>
      </c>
      <c r="E18857">
        <v>1577209519</v>
      </c>
      <c r="F18857">
        <v>77</v>
      </c>
      <c r="G18857">
        <v>0</v>
      </c>
      <c r="H18857" t="s">
        <v>35883</v>
      </c>
      <c r="I18857">
        <v>21376</v>
      </c>
      <c r="J18857" t="str">
        <f>VLOOKUP(E18857,DSSpieler!A:B,2,FALSE)</f>
        <v>Flo420</v>
      </c>
    </row>
    <row r="18858" spans="1:10" x14ac:dyDescent="0.25">
      <c r="A18858">
        <v>21377</v>
      </c>
      <c r="B18858" t="s">
        <v>35866</v>
      </c>
      <c r="C18858">
        <v>502</v>
      </c>
      <c r="D18858">
        <v>547</v>
      </c>
      <c r="E18858">
        <v>1577199029</v>
      </c>
      <c r="F18858">
        <v>56</v>
      </c>
      <c r="G18858">
        <v>0</v>
      </c>
      <c r="H18858" t="s">
        <v>35884</v>
      </c>
      <c r="I18858">
        <v>21377</v>
      </c>
      <c r="J18858" t="str">
        <f>VLOOKUP(E18858,DSSpieler!A:B,2,FALSE)</f>
        <v>Blancomanco</v>
      </c>
    </row>
    <row r="18859" spans="1:10" x14ac:dyDescent="0.25">
      <c r="A18859">
        <v>21378</v>
      </c>
      <c r="B18859" t="s">
        <v>30854</v>
      </c>
      <c r="C18859">
        <v>494</v>
      </c>
      <c r="D18859">
        <v>477</v>
      </c>
      <c r="E18859">
        <v>9934150</v>
      </c>
      <c r="F18859">
        <v>135</v>
      </c>
      <c r="G18859">
        <v>0</v>
      </c>
      <c r="H18859" t="s">
        <v>35885</v>
      </c>
      <c r="I18859">
        <v>21378</v>
      </c>
      <c r="J18859" t="str">
        <f>VLOOKUP(E18859,DSSpieler!A:B,2,FALSE)</f>
        <v>WILLIxDx</v>
      </c>
    </row>
    <row r="18860" spans="1:10" x14ac:dyDescent="0.25">
      <c r="A18860">
        <v>21379</v>
      </c>
      <c r="B18860" t="s">
        <v>35867</v>
      </c>
      <c r="C18860">
        <v>536</v>
      </c>
      <c r="D18860">
        <v>636</v>
      </c>
      <c r="E18860">
        <v>9952723</v>
      </c>
      <c r="F18860">
        <v>84</v>
      </c>
      <c r="G18860">
        <v>0</v>
      </c>
      <c r="H18860" t="s">
        <v>35886</v>
      </c>
      <c r="I18860">
        <v>21379</v>
      </c>
      <c r="J18860" t="str">
        <f>VLOOKUP(E18860,DSSpieler!A:B,2,FALSE)</f>
        <v>Land der ewigen Sonne</v>
      </c>
    </row>
    <row r="18861" spans="1:10" x14ac:dyDescent="0.25">
      <c r="A18861">
        <v>21380</v>
      </c>
      <c r="B18861" t="s">
        <v>35868</v>
      </c>
      <c r="C18861">
        <v>479</v>
      </c>
      <c r="D18861">
        <v>384</v>
      </c>
      <c r="E18861">
        <v>858689</v>
      </c>
      <c r="F18861">
        <v>46</v>
      </c>
      <c r="G18861">
        <v>0</v>
      </c>
      <c r="H18861" t="s">
        <v>35887</v>
      </c>
      <c r="I18861">
        <v>21380</v>
      </c>
      <c r="J18861" t="str">
        <f>VLOOKUP(E18861,DSSpieler!A:B,2,FALSE)</f>
        <v>Vussel@Back</v>
      </c>
    </row>
    <row r="18862" spans="1:10" x14ac:dyDescent="0.25">
      <c r="A18862">
        <v>21381</v>
      </c>
      <c r="B18862" t="s">
        <v>35869</v>
      </c>
      <c r="C18862">
        <v>365</v>
      </c>
      <c r="D18862">
        <v>513</v>
      </c>
      <c r="E18862">
        <v>1576908291</v>
      </c>
      <c r="F18862">
        <v>77</v>
      </c>
      <c r="G18862">
        <v>0</v>
      </c>
      <c r="H18862" t="s">
        <v>35888</v>
      </c>
      <c r="I18862">
        <v>21381</v>
      </c>
      <c r="J18862" t="str">
        <f>VLOOKUP(E18862,DSSpieler!A:B,2,FALSE)</f>
        <v>crUsh3r96</v>
      </c>
    </row>
    <row r="18863" spans="1:10" x14ac:dyDescent="0.25">
      <c r="A18863">
        <v>21382</v>
      </c>
      <c r="B18863" t="s">
        <v>35870</v>
      </c>
      <c r="C18863">
        <v>379</v>
      </c>
      <c r="D18863">
        <v>560</v>
      </c>
      <c r="E18863">
        <v>9180442</v>
      </c>
      <c r="F18863">
        <v>75</v>
      </c>
      <c r="G18863">
        <v>0</v>
      </c>
      <c r="H18863" t="s">
        <v>35889</v>
      </c>
      <c r="I18863">
        <v>21382</v>
      </c>
      <c r="J18863" t="str">
        <f>VLOOKUP(E18863,DSSpieler!A:B,2,FALSE)</f>
        <v>xXdD123</v>
      </c>
    </row>
    <row r="18864" spans="1:10" x14ac:dyDescent="0.25">
      <c r="A18864">
        <v>21383</v>
      </c>
      <c r="B18864" t="s">
        <v>531</v>
      </c>
      <c r="C18864">
        <v>495</v>
      </c>
      <c r="D18864">
        <v>638</v>
      </c>
      <c r="E18864">
        <v>0</v>
      </c>
      <c r="F18864">
        <v>32</v>
      </c>
      <c r="G18864">
        <v>0</v>
      </c>
      <c r="H18864" t="s">
        <v>35890</v>
      </c>
      <c r="I18864">
        <v>21383</v>
      </c>
      <c r="J18864" t="e">
        <f>VLOOKUP(E18864,DSSpieler!A:B,2,FALSE)</f>
        <v>#N/A</v>
      </c>
    </row>
    <row r="18865" spans="1:10" x14ac:dyDescent="0.25">
      <c r="A18865">
        <v>21384</v>
      </c>
      <c r="B18865" t="s">
        <v>2658</v>
      </c>
      <c r="C18865">
        <v>371</v>
      </c>
      <c r="D18865">
        <v>552</v>
      </c>
      <c r="E18865">
        <v>1576868918</v>
      </c>
      <c r="F18865">
        <v>75</v>
      </c>
      <c r="G18865">
        <v>0</v>
      </c>
      <c r="H18865" t="s">
        <v>35891</v>
      </c>
      <c r="I18865">
        <v>21384</v>
      </c>
      <c r="J18865" t="str">
        <f>VLOOKUP(E18865,DSSpieler!A:B,2,FALSE)</f>
        <v>Baby Groot</v>
      </c>
    </row>
    <row r="18866" spans="1:10" x14ac:dyDescent="0.25">
      <c r="A18866">
        <v>21385</v>
      </c>
      <c r="B18866" t="s">
        <v>35871</v>
      </c>
      <c r="C18866">
        <v>520</v>
      </c>
      <c r="D18866">
        <v>367</v>
      </c>
      <c r="E18866">
        <v>1577185308</v>
      </c>
      <c r="F18866">
        <v>50</v>
      </c>
      <c r="G18866">
        <v>0</v>
      </c>
      <c r="H18866" t="s">
        <v>35892</v>
      </c>
      <c r="I18866">
        <v>21385</v>
      </c>
      <c r="J18866" t="str">
        <f>VLOOKUP(E18866,DSSpieler!A:B,2,FALSE)</f>
        <v>timy92</v>
      </c>
    </row>
    <row r="18867" spans="1:10" x14ac:dyDescent="0.25">
      <c r="A18867">
        <v>21386</v>
      </c>
      <c r="B18867" t="s">
        <v>35872</v>
      </c>
      <c r="C18867">
        <v>608</v>
      </c>
      <c r="D18867">
        <v>582</v>
      </c>
      <c r="E18867">
        <v>959034</v>
      </c>
      <c r="F18867">
        <v>26</v>
      </c>
      <c r="G18867">
        <v>0</v>
      </c>
      <c r="H18867" t="s">
        <v>35893</v>
      </c>
      <c r="I18867">
        <v>21386</v>
      </c>
      <c r="J18867" t="str">
        <f>VLOOKUP(E18867,DSSpieler!A:B,2,FALSE)</f>
        <v>cola500</v>
      </c>
    </row>
    <row r="18868" spans="1:10" x14ac:dyDescent="0.25">
      <c r="A18868">
        <v>21387</v>
      </c>
      <c r="B18868" t="s">
        <v>35873</v>
      </c>
      <c r="C18868">
        <v>637</v>
      </c>
      <c r="D18868">
        <v>512</v>
      </c>
      <c r="E18868">
        <v>1577132862</v>
      </c>
      <c r="F18868">
        <v>26</v>
      </c>
      <c r="G18868">
        <v>0</v>
      </c>
      <c r="H18868" t="s">
        <v>35894</v>
      </c>
      <c r="I18868">
        <v>21387</v>
      </c>
      <c r="J18868" t="str">
        <f>VLOOKUP(E18868,DSSpieler!A:B,2,FALSE)</f>
        <v>Sn1tch1</v>
      </c>
    </row>
    <row r="18869" spans="1:10" x14ac:dyDescent="0.25">
      <c r="A18869">
        <v>21388</v>
      </c>
      <c r="B18869" t="s">
        <v>35874</v>
      </c>
      <c r="C18869">
        <v>636</v>
      </c>
      <c r="D18869">
        <v>496</v>
      </c>
      <c r="E18869">
        <v>1577209637</v>
      </c>
      <c r="F18869">
        <v>26</v>
      </c>
      <c r="G18869">
        <v>0</v>
      </c>
      <c r="H18869" t="s">
        <v>35895</v>
      </c>
      <c r="I18869">
        <v>21388</v>
      </c>
      <c r="J18869" t="str">
        <f>VLOOKUP(E18869,DSSpieler!A:B,2,FALSE)</f>
        <v>Lord testuser123</v>
      </c>
    </row>
    <row r="18870" spans="1:10" x14ac:dyDescent="0.25">
      <c r="A18870">
        <v>21389</v>
      </c>
      <c r="B18870" t="s">
        <v>35875</v>
      </c>
      <c r="C18870">
        <v>582</v>
      </c>
      <c r="D18870">
        <v>606</v>
      </c>
      <c r="E18870">
        <v>1577207234</v>
      </c>
      <c r="F18870">
        <v>91</v>
      </c>
      <c r="G18870">
        <v>0</v>
      </c>
      <c r="H18870" t="s">
        <v>35896</v>
      </c>
      <c r="I18870">
        <v>21389</v>
      </c>
      <c r="J18870" t="str">
        <f>VLOOKUP(E18870,DSSpieler!A:B,2,FALSE)</f>
        <v>Roberto Stecher</v>
      </c>
    </row>
    <row r="18871" spans="1:10" x14ac:dyDescent="0.25">
      <c r="A18871">
        <v>21390</v>
      </c>
      <c r="B18871" t="s">
        <v>35876</v>
      </c>
      <c r="C18871">
        <v>631</v>
      </c>
      <c r="D18871">
        <v>469</v>
      </c>
      <c r="E18871">
        <v>1577130312</v>
      </c>
      <c r="F18871">
        <v>26</v>
      </c>
      <c r="G18871">
        <v>0</v>
      </c>
      <c r="H18871" t="s">
        <v>35897</v>
      </c>
      <c r="I18871">
        <v>21390</v>
      </c>
      <c r="J18871" t="str">
        <f>VLOOKUP(E18871,DSSpieler!A:B,2,FALSE)</f>
        <v>ultimus8</v>
      </c>
    </row>
    <row r="18872" spans="1:10" x14ac:dyDescent="0.25">
      <c r="A18872">
        <v>21391</v>
      </c>
      <c r="B18872" t="s">
        <v>35877</v>
      </c>
      <c r="C18872">
        <v>598</v>
      </c>
      <c r="D18872">
        <v>599</v>
      </c>
      <c r="E18872">
        <v>1885751</v>
      </c>
      <c r="F18872">
        <v>26</v>
      </c>
      <c r="G18872">
        <v>0</v>
      </c>
      <c r="H18872" t="s">
        <v>35898</v>
      </c>
      <c r="I18872">
        <v>21391</v>
      </c>
      <c r="J18872" t="str">
        <f>VLOOKUP(E18872,DSSpieler!A:B,2,FALSE)</f>
        <v>Pechpilz</v>
      </c>
    </row>
    <row r="18873" spans="1:10" x14ac:dyDescent="0.25">
      <c r="A18873">
        <v>21392</v>
      </c>
      <c r="B18873" t="s">
        <v>35878</v>
      </c>
      <c r="C18873">
        <v>420</v>
      </c>
      <c r="D18873">
        <v>394</v>
      </c>
      <c r="E18873">
        <v>1577209642</v>
      </c>
      <c r="F18873">
        <v>82</v>
      </c>
      <c r="G18873">
        <v>0</v>
      </c>
      <c r="H18873" t="s">
        <v>35899</v>
      </c>
      <c r="I18873">
        <v>21392</v>
      </c>
      <c r="J18873" t="str">
        <f>VLOOKUP(E18873,DSSpieler!A:B,2,FALSE)</f>
        <v>foxton4</v>
      </c>
    </row>
    <row r="18874" spans="1:10" x14ac:dyDescent="0.25">
      <c r="A18874">
        <v>21393</v>
      </c>
      <c r="B18874" t="s">
        <v>35879</v>
      </c>
      <c r="C18874">
        <v>444</v>
      </c>
      <c r="D18874">
        <v>596</v>
      </c>
      <c r="E18874">
        <v>1577198907</v>
      </c>
      <c r="F18874">
        <v>56</v>
      </c>
      <c r="G18874">
        <v>0</v>
      </c>
      <c r="H18874" t="s">
        <v>35900</v>
      </c>
      <c r="I18874">
        <v>21393</v>
      </c>
      <c r="J18874" t="str">
        <f>VLOOKUP(E18874,DSSpieler!A:B,2,FALSE)</f>
        <v>Königin Stella</v>
      </c>
    </row>
    <row r="18875" spans="1:10" x14ac:dyDescent="0.25">
      <c r="A18875">
        <v>21394</v>
      </c>
      <c r="B18875" t="s">
        <v>531</v>
      </c>
      <c r="C18875">
        <v>635</v>
      </c>
      <c r="D18875">
        <v>464</v>
      </c>
      <c r="E18875">
        <v>0</v>
      </c>
      <c r="F18875">
        <v>26</v>
      </c>
      <c r="G18875">
        <v>0</v>
      </c>
      <c r="H18875" t="s">
        <v>35901</v>
      </c>
      <c r="I18875">
        <v>21394</v>
      </c>
      <c r="J18875" t="e">
        <f>VLOOKUP(E18875,DSSpieler!A:B,2,FALSE)</f>
        <v>#N/A</v>
      </c>
    </row>
    <row r="18876" spans="1:10" x14ac:dyDescent="0.25">
      <c r="A18876">
        <v>21395</v>
      </c>
      <c r="B18876" t="s">
        <v>35880</v>
      </c>
      <c r="C18876">
        <v>436</v>
      </c>
      <c r="D18876">
        <v>476</v>
      </c>
      <c r="E18876">
        <v>2688886</v>
      </c>
      <c r="F18876">
        <v>51</v>
      </c>
      <c r="G18876">
        <v>0</v>
      </c>
      <c r="H18876" t="s">
        <v>35902</v>
      </c>
      <c r="I18876">
        <v>21395</v>
      </c>
      <c r="J18876" t="str">
        <f>VLOOKUP(E18876,DSSpieler!A:B,2,FALSE)</f>
        <v>Lord-Saliven</v>
      </c>
    </row>
    <row r="18877" spans="1:10" x14ac:dyDescent="0.25">
      <c r="I18877" t="s">
        <v>529</v>
      </c>
      <c r="J18877" t="e">
        <f>VLOOKUP(E18877,DSSpieler!A:B,2,FALSE)</f>
        <v>#N/A</v>
      </c>
    </row>
  </sheetData>
  <pageMargins left="0.7" right="0.7" top="0.78740157499999996" bottom="0.78740157499999996"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3"/>
  <dimension ref="A1:G8491"/>
  <sheetViews>
    <sheetView workbookViewId="0"/>
  </sheetViews>
  <sheetFormatPr baseColWidth="10" defaultRowHeight="15" x14ac:dyDescent="0.25"/>
  <cols>
    <col min="1" max="1" width="59.5703125" bestFit="1" customWidth="1"/>
    <col min="2" max="2" width="27.5703125" bestFit="1" customWidth="1"/>
  </cols>
  <sheetData>
    <row r="1" spans="1:7" x14ac:dyDescent="0.25">
      <c r="A1">
        <v>639</v>
      </c>
      <c r="B1" t="s">
        <v>23683</v>
      </c>
      <c r="C1">
        <v>126</v>
      </c>
      <c r="D1">
        <v>2</v>
      </c>
      <c r="E1">
        <v>9646</v>
      </c>
      <c r="F1">
        <v>1616</v>
      </c>
      <c r="G1">
        <f t="shared" ref="G1:G64" si="0">A1</f>
        <v>639</v>
      </c>
    </row>
    <row r="2" spans="1:7" x14ac:dyDescent="0.25">
      <c r="A2">
        <v>1388</v>
      </c>
      <c r="B2" t="s">
        <v>23684</v>
      </c>
      <c r="C2">
        <v>2009</v>
      </c>
      <c r="D2">
        <v>2</v>
      </c>
      <c r="E2">
        <v>6333</v>
      </c>
      <c r="F2">
        <v>2224</v>
      </c>
      <c r="G2">
        <f t="shared" si="0"/>
        <v>1388</v>
      </c>
    </row>
    <row r="3" spans="1:7" x14ac:dyDescent="0.25">
      <c r="A3">
        <v>7576</v>
      </c>
      <c r="B3" t="s">
        <v>23685</v>
      </c>
      <c r="C3">
        <v>0</v>
      </c>
      <c r="D3">
        <v>1</v>
      </c>
      <c r="E3">
        <v>77</v>
      </c>
      <c r="F3">
        <v>5984</v>
      </c>
      <c r="G3">
        <f t="shared" si="0"/>
        <v>7576</v>
      </c>
    </row>
    <row r="4" spans="1:7" x14ac:dyDescent="0.25">
      <c r="A4">
        <v>10219</v>
      </c>
      <c r="B4" t="s">
        <v>23686</v>
      </c>
      <c r="C4">
        <v>0</v>
      </c>
      <c r="D4">
        <v>1</v>
      </c>
      <c r="E4">
        <v>1294</v>
      </c>
      <c r="F4">
        <v>3732</v>
      </c>
      <c r="G4">
        <f t="shared" si="0"/>
        <v>10219</v>
      </c>
    </row>
    <row r="5" spans="1:7" x14ac:dyDescent="0.25">
      <c r="A5">
        <v>10320</v>
      </c>
      <c r="B5" t="s">
        <v>23687</v>
      </c>
      <c r="C5">
        <v>0</v>
      </c>
      <c r="D5">
        <v>0</v>
      </c>
      <c r="E5">
        <v>0</v>
      </c>
      <c r="F5">
        <v>6954</v>
      </c>
      <c r="G5">
        <f t="shared" si="0"/>
        <v>10320</v>
      </c>
    </row>
    <row r="6" spans="1:7" x14ac:dyDescent="0.25">
      <c r="A6">
        <v>10747</v>
      </c>
      <c r="B6" t="s">
        <v>23688</v>
      </c>
      <c r="C6">
        <v>325</v>
      </c>
      <c r="D6">
        <v>1</v>
      </c>
      <c r="E6">
        <v>3298</v>
      </c>
      <c r="F6">
        <v>2924</v>
      </c>
      <c r="G6">
        <f t="shared" si="0"/>
        <v>10747</v>
      </c>
    </row>
    <row r="7" spans="1:7" x14ac:dyDescent="0.25">
      <c r="A7">
        <v>12423</v>
      </c>
      <c r="B7" t="s">
        <v>23689</v>
      </c>
      <c r="C7">
        <v>1063</v>
      </c>
      <c r="D7">
        <v>0</v>
      </c>
      <c r="E7">
        <v>0</v>
      </c>
      <c r="F7">
        <v>6955</v>
      </c>
      <c r="G7">
        <f t="shared" si="0"/>
        <v>12423</v>
      </c>
    </row>
    <row r="8" spans="1:7" x14ac:dyDescent="0.25">
      <c r="A8">
        <v>20184</v>
      </c>
      <c r="B8" t="s">
        <v>37209</v>
      </c>
      <c r="C8">
        <v>0</v>
      </c>
      <c r="D8">
        <v>1</v>
      </c>
      <c r="E8">
        <v>665</v>
      </c>
      <c r="F8">
        <v>4393</v>
      </c>
      <c r="G8">
        <f t="shared" si="0"/>
        <v>20184</v>
      </c>
    </row>
    <row r="9" spans="1:7" x14ac:dyDescent="0.25">
      <c r="A9">
        <v>20435</v>
      </c>
      <c r="B9" t="s">
        <v>23690</v>
      </c>
      <c r="C9">
        <v>0</v>
      </c>
      <c r="D9">
        <v>0</v>
      </c>
      <c r="E9">
        <v>0</v>
      </c>
      <c r="F9">
        <v>6956</v>
      </c>
      <c r="G9">
        <f t="shared" si="0"/>
        <v>20435</v>
      </c>
    </row>
    <row r="10" spans="1:7" x14ac:dyDescent="0.25">
      <c r="A10">
        <v>21133</v>
      </c>
      <c r="B10" t="s">
        <v>23691</v>
      </c>
      <c r="C10">
        <v>924</v>
      </c>
      <c r="D10">
        <v>1</v>
      </c>
      <c r="E10">
        <v>340</v>
      </c>
      <c r="F10">
        <v>5006</v>
      </c>
      <c r="G10">
        <f t="shared" si="0"/>
        <v>21133</v>
      </c>
    </row>
    <row r="11" spans="1:7" x14ac:dyDescent="0.25">
      <c r="A11">
        <v>22858</v>
      </c>
      <c r="B11" t="s">
        <v>23692</v>
      </c>
      <c r="C11">
        <v>301</v>
      </c>
      <c r="D11">
        <v>2</v>
      </c>
      <c r="E11">
        <v>9804</v>
      </c>
      <c r="F11">
        <v>1588</v>
      </c>
      <c r="G11">
        <f t="shared" si="0"/>
        <v>22858</v>
      </c>
    </row>
    <row r="12" spans="1:7" x14ac:dyDescent="0.25">
      <c r="A12">
        <v>25871</v>
      </c>
      <c r="B12" t="s">
        <v>35906</v>
      </c>
      <c r="C12">
        <v>0</v>
      </c>
      <c r="D12">
        <v>1</v>
      </c>
      <c r="E12">
        <v>4355</v>
      </c>
      <c r="F12">
        <v>2666</v>
      </c>
      <c r="G12">
        <f t="shared" si="0"/>
        <v>25871</v>
      </c>
    </row>
    <row r="13" spans="1:7" x14ac:dyDescent="0.25">
      <c r="A13">
        <v>26185</v>
      </c>
      <c r="B13" t="s">
        <v>23693</v>
      </c>
      <c r="C13">
        <v>0</v>
      </c>
      <c r="D13">
        <v>1</v>
      </c>
      <c r="E13">
        <v>88</v>
      </c>
      <c r="F13">
        <v>5913</v>
      </c>
      <c r="G13">
        <f t="shared" si="0"/>
        <v>26185</v>
      </c>
    </row>
    <row r="14" spans="1:7" x14ac:dyDescent="0.25">
      <c r="A14">
        <v>37347</v>
      </c>
      <c r="B14" t="s">
        <v>35907</v>
      </c>
      <c r="C14">
        <v>0</v>
      </c>
      <c r="D14">
        <v>0</v>
      </c>
      <c r="E14">
        <v>0</v>
      </c>
      <c r="F14">
        <v>6957</v>
      </c>
      <c r="G14">
        <f t="shared" si="0"/>
        <v>37347</v>
      </c>
    </row>
    <row r="15" spans="1:7" x14ac:dyDescent="0.25">
      <c r="A15">
        <v>38959</v>
      </c>
      <c r="B15" t="s">
        <v>23694</v>
      </c>
      <c r="C15">
        <v>0</v>
      </c>
      <c r="D15">
        <v>1</v>
      </c>
      <c r="E15">
        <v>782</v>
      </c>
      <c r="F15">
        <v>4228</v>
      </c>
      <c r="G15">
        <f t="shared" si="0"/>
        <v>38959</v>
      </c>
    </row>
    <row r="16" spans="1:7" x14ac:dyDescent="0.25">
      <c r="A16">
        <v>40193</v>
      </c>
      <c r="B16" t="s">
        <v>23695</v>
      </c>
      <c r="C16">
        <v>0</v>
      </c>
      <c r="D16">
        <v>0</v>
      </c>
      <c r="E16">
        <v>0</v>
      </c>
      <c r="F16">
        <v>6958</v>
      </c>
      <c r="G16">
        <f t="shared" si="0"/>
        <v>40193</v>
      </c>
    </row>
    <row r="17" spans="1:7" x14ac:dyDescent="0.25">
      <c r="A17">
        <v>42402</v>
      </c>
      <c r="B17" t="s">
        <v>23696</v>
      </c>
      <c r="C17">
        <v>1748</v>
      </c>
      <c r="D17">
        <v>1</v>
      </c>
      <c r="E17">
        <v>26</v>
      </c>
      <c r="F17">
        <v>6339</v>
      </c>
      <c r="G17">
        <f t="shared" si="0"/>
        <v>42402</v>
      </c>
    </row>
    <row r="18" spans="1:7" x14ac:dyDescent="0.25">
      <c r="A18">
        <v>42840</v>
      </c>
      <c r="B18" t="s">
        <v>23697</v>
      </c>
      <c r="C18">
        <v>0</v>
      </c>
      <c r="D18">
        <v>1</v>
      </c>
      <c r="E18">
        <v>1556</v>
      </c>
      <c r="F18">
        <v>3564</v>
      </c>
      <c r="G18">
        <f t="shared" si="0"/>
        <v>42840</v>
      </c>
    </row>
    <row r="19" spans="1:7" x14ac:dyDescent="0.25">
      <c r="A19">
        <v>44974</v>
      </c>
      <c r="B19" t="s">
        <v>23698</v>
      </c>
      <c r="C19">
        <v>23</v>
      </c>
      <c r="D19">
        <v>3</v>
      </c>
      <c r="E19">
        <v>15562</v>
      </c>
      <c r="F19">
        <v>942</v>
      </c>
      <c r="G19">
        <f t="shared" si="0"/>
        <v>44974</v>
      </c>
    </row>
    <row r="20" spans="1:7" x14ac:dyDescent="0.25">
      <c r="A20">
        <v>46703</v>
      </c>
      <c r="B20" t="s">
        <v>23699</v>
      </c>
      <c r="C20">
        <v>1825</v>
      </c>
      <c r="D20">
        <v>1</v>
      </c>
      <c r="E20">
        <v>2234</v>
      </c>
      <c r="F20">
        <v>3233</v>
      </c>
      <c r="G20">
        <f t="shared" si="0"/>
        <v>46703</v>
      </c>
    </row>
    <row r="21" spans="1:7" x14ac:dyDescent="0.25">
      <c r="A21">
        <v>46925</v>
      </c>
      <c r="B21" t="s">
        <v>37090</v>
      </c>
      <c r="C21">
        <v>0</v>
      </c>
      <c r="D21">
        <v>1</v>
      </c>
      <c r="E21">
        <v>62</v>
      </c>
      <c r="F21">
        <v>6095</v>
      </c>
      <c r="G21">
        <f t="shared" si="0"/>
        <v>46925</v>
      </c>
    </row>
    <row r="22" spans="1:7" x14ac:dyDescent="0.25">
      <c r="A22">
        <v>47242</v>
      </c>
      <c r="B22" t="s">
        <v>23700</v>
      </c>
      <c r="C22">
        <v>271</v>
      </c>
      <c r="D22">
        <v>2</v>
      </c>
      <c r="E22">
        <v>6223</v>
      </c>
      <c r="F22">
        <v>2225</v>
      </c>
      <c r="G22">
        <f t="shared" si="0"/>
        <v>47242</v>
      </c>
    </row>
    <row r="23" spans="1:7" x14ac:dyDescent="0.25">
      <c r="A23">
        <v>55871</v>
      </c>
      <c r="B23" t="s">
        <v>23701</v>
      </c>
      <c r="C23">
        <v>0</v>
      </c>
      <c r="D23">
        <v>1</v>
      </c>
      <c r="E23">
        <v>26</v>
      </c>
      <c r="F23">
        <v>6340</v>
      </c>
      <c r="G23">
        <f t="shared" si="0"/>
        <v>55871</v>
      </c>
    </row>
    <row r="24" spans="1:7" x14ac:dyDescent="0.25">
      <c r="A24">
        <v>61878</v>
      </c>
      <c r="B24" t="s">
        <v>23702</v>
      </c>
      <c r="C24">
        <v>67</v>
      </c>
      <c r="D24">
        <v>2</v>
      </c>
      <c r="E24">
        <v>9975</v>
      </c>
      <c r="F24">
        <v>1566</v>
      </c>
      <c r="G24">
        <f t="shared" si="0"/>
        <v>61878</v>
      </c>
    </row>
    <row r="25" spans="1:7" x14ac:dyDescent="0.25">
      <c r="A25">
        <v>62407</v>
      </c>
      <c r="B25" t="s">
        <v>23703</v>
      </c>
      <c r="C25">
        <v>0</v>
      </c>
      <c r="D25">
        <v>1</v>
      </c>
      <c r="E25">
        <v>80</v>
      </c>
      <c r="F25">
        <v>5968</v>
      </c>
      <c r="G25">
        <f t="shared" si="0"/>
        <v>62407</v>
      </c>
    </row>
    <row r="26" spans="1:7" x14ac:dyDescent="0.25">
      <c r="A26">
        <v>72835</v>
      </c>
      <c r="B26" t="s">
        <v>23704</v>
      </c>
      <c r="C26">
        <v>79</v>
      </c>
      <c r="D26">
        <v>1</v>
      </c>
      <c r="E26">
        <v>5002</v>
      </c>
      <c r="F26">
        <v>2516</v>
      </c>
      <c r="G26">
        <f t="shared" si="0"/>
        <v>72835</v>
      </c>
    </row>
    <row r="27" spans="1:7" x14ac:dyDescent="0.25">
      <c r="A27">
        <v>73245</v>
      </c>
      <c r="B27" t="s">
        <v>23705</v>
      </c>
      <c r="C27">
        <v>409</v>
      </c>
      <c r="D27">
        <v>1</v>
      </c>
      <c r="E27">
        <v>6018</v>
      </c>
      <c r="F27">
        <v>2271</v>
      </c>
      <c r="G27">
        <f t="shared" si="0"/>
        <v>73245</v>
      </c>
    </row>
    <row r="28" spans="1:7" x14ac:dyDescent="0.25">
      <c r="A28">
        <v>76346</v>
      </c>
      <c r="B28" t="s">
        <v>23706</v>
      </c>
      <c r="C28">
        <v>0</v>
      </c>
      <c r="D28">
        <v>1</v>
      </c>
      <c r="E28">
        <v>912</v>
      </c>
      <c r="F28">
        <v>4081</v>
      </c>
      <c r="G28">
        <f t="shared" si="0"/>
        <v>76346</v>
      </c>
    </row>
    <row r="29" spans="1:7" x14ac:dyDescent="0.25">
      <c r="A29">
        <v>77188</v>
      </c>
      <c r="B29" t="s">
        <v>23707</v>
      </c>
      <c r="C29">
        <v>325</v>
      </c>
      <c r="D29">
        <v>1</v>
      </c>
      <c r="E29">
        <v>570</v>
      </c>
      <c r="F29">
        <v>4515</v>
      </c>
      <c r="G29">
        <f t="shared" si="0"/>
        <v>77188</v>
      </c>
    </row>
    <row r="30" spans="1:7" x14ac:dyDescent="0.25">
      <c r="A30">
        <v>81115</v>
      </c>
      <c r="B30" t="s">
        <v>23708</v>
      </c>
      <c r="C30">
        <v>0</v>
      </c>
      <c r="D30">
        <v>1</v>
      </c>
      <c r="E30">
        <v>1324</v>
      </c>
      <c r="F30">
        <v>3709</v>
      </c>
      <c r="G30">
        <f t="shared" si="0"/>
        <v>81115</v>
      </c>
    </row>
    <row r="31" spans="1:7" x14ac:dyDescent="0.25">
      <c r="A31">
        <v>82754</v>
      </c>
      <c r="B31" t="s">
        <v>23709</v>
      </c>
      <c r="C31">
        <v>1844</v>
      </c>
      <c r="D31">
        <v>1</v>
      </c>
      <c r="E31">
        <v>337</v>
      </c>
      <c r="F31">
        <v>5017</v>
      </c>
      <c r="G31">
        <f t="shared" si="0"/>
        <v>82754</v>
      </c>
    </row>
    <row r="32" spans="1:7" x14ac:dyDescent="0.25">
      <c r="A32">
        <v>87803</v>
      </c>
      <c r="B32" t="s">
        <v>23710</v>
      </c>
      <c r="C32">
        <v>0</v>
      </c>
      <c r="D32">
        <v>0</v>
      </c>
      <c r="E32">
        <v>0</v>
      </c>
      <c r="F32">
        <v>6959</v>
      </c>
      <c r="G32">
        <f t="shared" si="0"/>
        <v>87803</v>
      </c>
    </row>
    <row r="33" spans="1:7" x14ac:dyDescent="0.25">
      <c r="A33">
        <v>90973</v>
      </c>
      <c r="B33" t="s">
        <v>23711</v>
      </c>
      <c r="C33">
        <v>887</v>
      </c>
      <c r="D33">
        <v>1</v>
      </c>
      <c r="E33">
        <v>1137</v>
      </c>
      <c r="F33">
        <v>3842</v>
      </c>
      <c r="G33">
        <f t="shared" si="0"/>
        <v>90973</v>
      </c>
    </row>
    <row r="34" spans="1:7" x14ac:dyDescent="0.25">
      <c r="A34">
        <v>96551</v>
      </c>
      <c r="B34" t="s">
        <v>35908</v>
      </c>
      <c r="C34">
        <v>96</v>
      </c>
      <c r="D34">
        <v>4</v>
      </c>
      <c r="E34">
        <v>11475</v>
      </c>
      <c r="F34">
        <v>1352</v>
      </c>
      <c r="G34">
        <f t="shared" si="0"/>
        <v>96551</v>
      </c>
    </row>
    <row r="35" spans="1:7" x14ac:dyDescent="0.25">
      <c r="A35">
        <v>104322</v>
      </c>
      <c r="B35" t="s">
        <v>23712</v>
      </c>
      <c r="C35">
        <v>0</v>
      </c>
      <c r="D35">
        <v>1</v>
      </c>
      <c r="E35">
        <v>588</v>
      </c>
      <c r="F35">
        <v>4484</v>
      </c>
      <c r="G35">
        <f t="shared" si="0"/>
        <v>104322</v>
      </c>
    </row>
    <row r="36" spans="1:7" x14ac:dyDescent="0.25">
      <c r="A36">
        <v>105132</v>
      </c>
      <c r="B36" t="s">
        <v>23713</v>
      </c>
      <c r="C36">
        <v>1785</v>
      </c>
      <c r="D36">
        <v>1</v>
      </c>
      <c r="E36">
        <v>1060</v>
      </c>
      <c r="F36">
        <v>3912</v>
      </c>
      <c r="G36">
        <f t="shared" si="0"/>
        <v>105132</v>
      </c>
    </row>
    <row r="37" spans="1:7" x14ac:dyDescent="0.25">
      <c r="A37">
        <v>108317</v>
      </c>
      <c r="B37" t="s">
        <v>23714</v>
      </c>
      <c r="C37">
        <v>0</v>
      </c>
      <c r="D37">
        <v>0</v>
      </c>
      <c r="E37">
        <v>0</v>
      </c>
      <c r="F37">
        <v>6960</v>
      </c>
      <c r="G37">
        <f t="shared" si="0"/>
        <v>108317</v>
      </c>
    </row>
    <row r="38" spans="1:7" x14ac:dyDescent="0.25">
      <c r="A38">
        <v>122930</v>
      </c>
      <c r="B38" t="s">
        <v>23715</v>
      </c>
      <c r="C38">
        <v>0</v>
      </c>
      <c r="D38">
        <v>1</v>
      </c>
      <c r="E38">
        <v>26</v>
      </c>
      <c r="F38">
        <v>6341</v>
      </c>
      <c r="G38">
        <f t="shared" si="0"/>
        <v>122930</v>
      </c>
    </row>
    <row r="39" spans="1:7" x14ac:dyDescent="0.25">
      <c r="A39">
        <v>123612</v>
      </c>
      <c r="B39" t="s">
        <v>23716</v>
      </c>
      <c r="C39">
        <v>0</v>
      </c>
      <c r="D39">
        <v>1</v>
      </c>
      <c r="E39">
        <v>733</v>
      </c>
      <c r="F39">
        <v>4290</v>
      </c>
      <c r="G39">
        <f t="shared" si="0"/>
        <v>123612</v>
      </c>
    </row>
    <row r="40" spans="1:7" x14ac:dyDescent="0.25">
      <c r="A40">
        <v>123833</v>
      </c>
      <c r="B40" t="s">
        <v>35909</v>
      </c>
      <c r="C40">
        <v>205</v>
      </c>
      <c r="D40">
        <v>1</v>
      </c>
      <c r="E40">
        <v>403</v>
      </c>
      <c r="F40">
        <v>4853</v>
      </c>
      <c r="G40">
        <f t="shared" si="0"/>
        <v>123833</v>
      </c>
    </row>
    <row r="41" spans="1:7" x14ac:dyDescent="0.25">
      <c r="A41">
        <v>125294</v>
      </c>
      <c r="B41" t="s">
        <v>23717</v>
      </c>
      <c r="C41">
        <v>47</v>
      </c>
      <c r="D41">
        <v>2</v>
      </c>
      <c r="E41">
        <v>7600</v>
      </c>
      <c r="F41">
        <v>1959</v>
      </c>
      <c r="G41">
        <f t="shared" si="0"/>
        <v>125294</v>
      </c>
    </row>
    <row r="42" spans="1:7" x14ac:dyDescent="0.25">
      <c r="A42">
        <v>125807</v>
      </c>
      <c r="B42" t="s">
        <v>23718</v>
      </c>
      <c r="C42">
        <v>321</v>
      </c>
      <c r="D42">
        <v>4</v>
      </c>
      <c r="E42">
        <v>34032</v>
      </c>
      <c r="F42">
        <v>160</v>
      </c>
      <c r="G42">
        <f t="shared" si="0"/>
        <v>125807</v>
      </c>
    </row>
    <row r="43" spans="1:7" x14ac:dyDescent="0.25">
      <c r="A43">
        <v>126031</v>
      </c>
      <c r="B43" t="s">
        <v>23719</v>
      </c>
      <c r="C43">
        <v>0</v>
      </c>
      <c r="D43">
        <v>1</v>
      </c>
      <c r="E43">
        <v>1615</v>
      </c>
      <c r="F43">
        <v>3541</v>
      </c>
      <c r="G43">
        <f t="shared" si="0"/>
        <v>126031</v>
      </c>
    </row>
    <row r="44" spans="1:7" x14ac:dyDescent="0.25">
      <c r="A44">
        <v>128303</v>
      </c>
      <c r="B44" t="s">
        <v>23720</v>
      </c>
      <c r="C44">
        <v>1100</v>
      </c>
      <c r="D44">
        <v>1</v>
      </c>
      <c r="E44">
        <v>3892</v>
      </c>
      <c r="F44">
        <v>2788</v>
      </c>
      <c r="G44">
        <f t="shared" si="0"/>
        <v>128303</v>
      </c>
    </row>
    <row r="45" spans="1:7" x14ac:dyDescent="0.25">
      <c r="A45">
        <v>135780</v>
      </c>
      <c r="B45" t="s">
        <v>35910</v>
      </c>
      <c r="C45">
        <v>1758</v>
      </c>
      <c r="D45">
        <v>5</v>
      </c>
      <c r="E45">
        <v>26871</v>
      </c>
      <c r="F45">
        <v>340</v>
      </c>
      <c r="G45">
        <f t="shared" si="0"/>
        <v>135780</v>
      </c>
    </row>
    <row r="46" spans="1:7" x14ac:dyDescent="0.25">
      <c r="A46">
        <v>136338</v>
      </c>
      <c r="B46" t="s">
        <v>23721</v>
      </c>
      <c r="C46">
        <v>1403</v>
      </c>
      <c r="D46">
        <v>1</v>
      </c>
      <c r="E46">
        <v>3856</v>
      </c>
      <c r="F46">
        <v>2798</v>
      </c>
      <c r="G46">
        <f t="shared" si="0"/>
        <v>136338</v>
      </c>
    </row>
    <row r="47" spans="1:7" x14ac:dyDescent="0.25">
      <c r="A47">
        <v>137205</v>
      </c>
      <c r="B47" t="s">
        <v>23722</v>
      </c>
      <c r="C47">
        <v>0</v>
      </c>
      <c r="D47">
        <v>1</v>
      </c>
      <c r="E47">
        <v>227</v>
      </c>
      <c r="F47">
        <v>5398</v>
      </c>
      <c r="G47">
        <f t="shared" si="0"/>
        <v>137205</v>
      </c>
    </row>
    <row r="48" spans="1:7" x14ac:dyDescent="0.25">
      <c r="A48">
        <v>140127</v>
      </c>
      <c r="B48" t="s">
        <v>35911</v>
      </c>
      <c r="C48">
        <v>0</v>
      </c>
      <c r="D48">
        <v>1</v>
      </c>
      <c r="E48">
        <v>1406</v>
      </c>
      <c r="F48">
        <v>3653</v>
      </c>
      <c r="G48">
        <f t="shared" si="0"/>
        <v>140127</v>
      </c>
    </row>
    <row r="49" spans="1:7" x14ac:dyDescent="0.25">
      <c r="A49">
        <v>142049</v>
      </c>
      <c r="B49" t="s">
        <v>23723</v>
      </c>
      <c r="C49">
        <v>26</v>
      </c>
      <c r="D49">
        <v>6</v>
      </c>
      <c r="E49">
        <v>27853</v>
      </c>
      <c r="F49">
        <v>354</v>
      </c>
      <c r="G49">
        <f t="shared" si="0"/>
        <v>142049</v>
      </c>
    </row>
    <row r="50" spans="1:7" x14ac:dyDescent="0.25">
      <c r="A50">
        <v>144750</v>
      </c>
      <c r="B50" t="s">
        <v>23724</v>
      </c>
      <c r="C50">
        <v>176</v>
      </c>
      <c r="D50">
        <v>1</v>
      </c>
      <c r="E50">
        <v>2090</v>
      </c>
      <c r="F50">
        <v>3296</v>
      </c>
      <c r="G50">
        <f t="shared" si="0"/>
        <v>144750</v>
      </c>
    </row>
    <row r="51" spans="1:7" x14ac:dyDescent="0.25">
      <c r="A51">
        <v>148591</v>
      </c>
      <c r="B51" t="s">
        <v>23725</v>
      </c>
      <c r="C51">
        <v>0</v>
      </c>
      <c r="D51">
        <v>1</v>
      </c>
      <c r="E51">
        <v>675</v>
      </c>
      <c r="F51">
        <v>4386</v>
      </c>
      <c r="G51">
        <f t="shared" si="0"/>
        <v>148591</v>
      </c>
    </row>
    <row r="52" spans="1:7" x14ac:dyDescent="0.25">
      <c r="A52">
        <v>151094</v>
      </c>
      <c r="B52" t="s">
        <v>23726</v>
      </c>
      <c r="C52">
        <v>0</v>
      </c>
      <c r="D52">
        <v>0</v>
      </c>
      <c r="E52">
        <v>0</v>
      </c>
      <c r="F52">
        <v>6961</v>
      </c>
      <c r="G52">
        <f t="shared" si="0"/>
        <v>151094</v>
      </c>
    </row>
    <row r="53" spans="1:7" x14ac:dyDescent="0.25">
      <c r="A53">
        <v>151185</v>
      </c>
      <c r="B53" t="s">
        <v>23727</v>
      </c>
      <c r="C53">
        <v>321</v>
      </c>
      <c r="D53">
        <v>1</v>
      </c>
      <c r="E53">
        <v>4475</v>
      </c>
      <c r="F53">
        <v>2626</v>
      </c>
      <c r="G53">
        <f t="shared" si="0"/>
        <v>151185</v>
      </c>
    </row>
    <row r="54" spans="1:7" x14ac:dyDescent="0.25">
      <c r="A54">
        <v>152294</v>
      </c>
      <c r="B54" t="s">
        <v>23728</v>
      </c>
      <c r="C54">
        <v>0</v>
      </c>
      <c r="D54">
        <v>1</v>
      </c>
      <c r="E54">
        <v>953</v>
      </c>
      <c r="F54">
        <v>4039</v>
      </c>
      <c r="G54">
        <f t="shared" si="0"/>
        <v>152294</v>
      </c>
    </row>
    <row r="55" spans="1:7" x14ac:dyDescent="0.25">
      <c r="A55">
        <v>156025</v>
      </c>
      <c r="B55" t="s">
        <v>35912</v>
      </c>
      <c r="C55">
        <v>0</v>
      </c>
      <c r="D55">
        <v>1</v>
      </c>
      <c r="E55">
        <v>26</v>
      </c>
      <c r="F55">
        <v>6342</v>
      </c>
      <c r="G55">
        <f t="shared" si="0"/>
        <v>156025</v>
      </c>
    </row>
    <row r="56" spans="1:7" x14ac:dyDescent="0.25">
      <c r="A56">
        <v>166827</v>
      </c>
      <c r="B56" t="s">
        <v>23729</v>
      </c>
      <c r="C56">
        <v>537</v>
      </c>
      <c r="D56">
        <v>2</v>
      </c>
      <c r="E56">
        <v>4384</v>
      </c>
      <c r="F56">
        <v>2665</v>
      </c>
      <c r="G56">
        <f t="shared" si="0"/>
        <v>166827</v>
      </c>
    </row>
    <row r="57" spans="1:7" x14ac:dyDescent="0.25">
      <c r="A57">
        <v>168739</v>
      </c>
      <c r="B57" t="s">
        <v>23730</v>
      </c>
      <c r="C57">
        <v>0</v>
      </c>
      <c r="D57">
        <v>1</v>
      </c>
      <c r="E57">
        <v>77</v>
      </c>
      <c r="F57">
        <v>5985</v>
      </c>
      <c r="G57">
        <f t="shared" si="0"/>
        <v>168739</v>
      </c>
    </row>
    <row r="58" spans="1:7" x14ac:dyDescent="0.25">
      <c r="A58">
        <v>170277</v>
      </c>
      <c r="B58" t="s">
        <v>23731</v>
      </c>
      <c r="C58">
        <v>1981</v>
      </c>
      <c r="D58">
        <v>0</v>
      </c>
      <c r="E58">
        <v>0</v>
      </c>
      <c r="F58">
        <v>6962</v>
      </c>
      <c r="G58">
        <f t="shared" si="0"/>
        <v>170277</v>
      </c>
    </row>
    <row r="59" spans="1:7" x14ac:dyDescent="0.25">
      <c r="A59">
        <v>174101</v>
      </c>
      <c r="B59" t="s">
        <v>23732</v>
      </c>
      <c r="C59">
        <v>0</v>
      </c>
      <c r="D59">
        <v>1</v>
      </c>
      <c r="E59">
        <v>72</v>
      </c>
      <c r="F59">
        <v>6048</v>
      </c>
      <c r="G59">
        <f t="shared" si="0"/>
        <v>174101</v>
      </c>
    </row>
    <row r="60" spans="1:7" x14ac:dyDescent="0.25">
      <c r="A60">
        <v>179420</v>
      </c>
      <c r="B60" t="s">
        <v>23733</v>
      </c>
      <c r="C60">
        <v>412</v>
      </c>
      <c r="D60">
        <v>2</v>
      </c>
      <c r="E60">
        <v>8556</v>
      </c>
      <c r="F60">
        <v>1792</v>
      </c>
      <c r="G60">
        <f t="shared" si="0"/>
        <v>179420</v>
      </c>
    </row>
    <row r="61" spans="1:7" x14ac:dyDescent="0.25">
      <c r="A61">
        <v>181887</v>
      </c>
      <c r="B61" t="s">
        <v>23734</v>
      </c>
      <c r="C61">
        <v>1867</v>
      </c>
      <c r="D61">
        <v>1</v>
      </c>
      <c r="E61">
        <v>393</v>
      </c>
      <c r="F61">
        <v>4865</v>
      </c>
      <c r="G61">
        <f t="shared" si="0"/>
        <v>181887</v>
      </c>
    </row>
    <row r="62" spans="1:7" x14ac:dyDescent="0.25">
      <c r="A62">
        <v>185404</v>
      </c>
      <c r="B62" t="s">
        <v>23735</v>
      </c>
      <c r="C62">
        <v>0</v>
      </c>
      <c r="D62">
        <v>1</v>
      </c>
      <c r="E62">
        <v>50</v>
      </c>
      <c r="F62">
        <v>6171</v>
      </c>
      <c r="G62">
        <f t="shared" si="0"/>
        <v>185404</v>
      </c>
    </row>
    <row r="63" spans="1:7" x14ac:dyDescent="0.25">
      <c r="A63">
        <v>193352</v>
      </c>
      <c r="B63" t="s">
        <v>23736</v>
      </c>
      <c r="C63">
        <v>0</v>
      </c>
      <c r="D63">
        <v>1</v>
      </c>
      <c r="E63">
        <v>1260</v>
      </c>
      <c r="F63">
        <v>3778</v>
      </c>
      <c r="G63">
        <f t="shared" si="0"/>
        <v>193352</v>
      </c>
    </row>
    <row r="64" spans="1:7" x14ac:dyDescent="0.25">
      <c r="A64">
        <v>196726</v>
      </c>
      <c r="B64" t="s">
        <v>23737</v>
      </c>
      <c r="C64">
        <v>0</v>
      </c>
      <c r="D64">
        <v>1</v>
      </c>
      <c r="E64">
        <v>39</v>
      </c>
      <c r="F64">
        <v>6261</v>
      </c>
      <c r="G64">
        <f t="shared" si="0"/>
        <v>196726</v>
      </c>
    </row>
    <row r="65" spans="1:7" x14ac:dyDescent="0.25">
      <c r="A65">
        <v>197293</v>
      </c>
      <c r="B65" t="s">
        <v>23738</v>
      </c>
      <c r="C65">
        <v>1503</v>
      </c>
      <c r="D65">
        <v>1</v>
      </c>
      <c r="E65">
        <v>4321</v>
      </c>
      <c r="F65">
        <v>2675</v>
      </c>
      <c r="G65">
        <f t="shared" ref="G65:G128" si="1">A65</f>
        <v>197293</v>
      </c>
    </row>
    <row r="66" spans="1:7" x14ac:dyDescent="0.25">
      <c r="A66">
        <v>201775</v>
      </c>
      <c r="B66" t="s">
        <v>23739</v>
      </c>
      <c r="C66">
        <v>174</v>
      </c>
      <c r="D66">
        <v>3</v>
      </c>
      <c r="E66">
        <v>9128</v>
      </c>
      <c r="F66">
        <v>1703</v>
      </c>
      <c r="G66">
        <f t="shared" si="1"/>
        <v>201775</v>
      </c>
    </row>
    <row r="67" spans="1:7" x14ac:dyDescent="0.25">
      <c r="A67">
        <v>203673</v>
      </c>
      <c r="B67" t="s">
        <v>35913</v>
      </c>
      <c r="C67">
        <v>6</v>
      </c>
      <c r="D67">
        <v>2</v>
      </c>
      <c r="E67">
        <v>10828</v>
      </c>
      <c r="F67">
        <v>1445</v>
      </c>
      <c r="G67">
        <f t="shared" si="1"/>
        <v>203673</v>
      </c>
    </row>
    <row r="68" spans="1:7" x14ac:dyDescent="0.25">
      <c r="A68">
        <v>204035</v>
      </c>
      <c r="B68" t="s">
        <v>35914</v>
      </c>
      <c r="C68">
        <v>1629</v>
      </c>
      <c r="D68">
        <v>1</v>
      </c>
      <c r="E68">
        <v>209</v>
      </c>
      <c r="F68">
        <v>5466</v>
      </c>
      <c r="G68">
        <f t="shared" si="1"/>
        <v>204035</v>
      </c>
    </row>
    <row r="69" spans="1:7" x14ac:dyDescent="0.25">
      <c r="A69">
        <v>204114</v>
      </c>
      <c r="B69" t="s">
        <v>23740</v>
      </c>
      <c r="C69">
        <v>0</v>
      </c>
      <c r="D69">
        <v>1</v>
      </c>
      <c r="E69">
        <v>426</v>
      </c>
      <c r="F69">
        <v>4789</v>
      </c>
      <c r="G69">
        <f t="shared" si="1"/>
        <v>204114</v>
      </c>
    </row>
    <row r="70" spans="1:7" x14ac:dyDescent="0.25">
      <c r="A70">
        <v>205615</v>
      </c>
      <c r="B70" t="s">
        <v>23741</v>
      </c>
      <c r="C70">
        <v>115</v>
      </c>
      <c r="D70">
        <v>14</v>
      </c>
      <c r="E70">
        <v>75901</v>
      </c>
      <c r="F70">
        <v>6</v>
      </c>
      <c r="G70">
        <f t="shared" si="1"/>
        <v>205615</v>
      </c>
    </row>
    <row r="71" spans="1:7" x14ac:dyDescent="0.25">
      <c r="A71">
        <v>212130</v>
      </c>
      <c r="B71" t="s">
        <v>23742</v>
      </c>
      <c r="C71">
        <v>0</v>
      </c>
      <c r="D71">
        <v>0</v>
      </c>
      <c r="E71">
        <v>0</v>
      </c>
      <c r="F71">
        <v>6963</v>
      </c>
      <c r="G71">
        <f t="shared" si="1"/>
        <v>212130</v>
      </c>
    </row>
    <row r="72" spans="1:7" x14ac:dyDescent="0.25">
      <c r="A72">
        <v>214667</v>
      </c>
      <c r="B72" t="s">
        <v>23743</v>
      </c>
      <c r="C72">
        <v>625</v>
      </c>
      <c r="D72">
        <v>3</v>
      </c>
      <c r="E72">
        <v>17459</v>
      </c>
      <c r="F72">
        <v>795</v>
      </c>
      <c r="G72">
        <f t="shared" si="1"/>
        <v>214667</v>
      </c>
    </row>
    <row r="73" spans="1:7" x14ac:dyDescent="0.25">
      <c r="A73">
        <v>215998</v>
      </c>
      <c r="B73" t="s">
        <v>23744</v>
      </c>
      <c r="C73">
        <v>0</v>
      </c>
      <c r="D73">
        <v>1</v>
      </c>
      <c r="E73">
        <v>222</v>
      </c>
      <c r="F73">
        <v>5452</v>
      </c>
      <c r="G73">
        <f t="shared" si="1"/>
        <v>215998</v>
      </c>
    </row>
    <row r="74" spans="1:7" x14ac:dyDescent="0.25">
      <c r="A74">
        <v>220051</v>
      </c>
      <c r="B74" t="s">
        <v>23745</v>
      </c>
      <c r="C74">
        <v>0</v>
      </c>
      <c r="D74">
        <v>1</v>
      </c>
      <c r="E74">
        <v>854</v>
      </c>
      <c r="F74">
        <v>4128</v>
      </c>
      <c r="G74">
        <f t="shared" si="1"/>
        <v>220051</v>
      </c>
    </row>
    <row r="75" spans="1:7" x14ac:dyDescent="0.25">
      <c r="A75">
        <v>224900</v>
      </c>
      <c r="B75" t="s">
        <v>37210</v>
      </c>
      <c r="C75">
        <v>1642</v>
      </c>
      <c r="D75">
        <v>1</v>
      </c>
      <c r="E75">
        <v>3833</v>
      </c>
      <c r="F75">
        <v>2811</v>
      </c>
      <c r="G75">
        <f t="shared" si="1"/>
        <v>224900</v>
      </c>
    </row>
    <row r="76" spans="1:7" x14ac:dyDescent="0.25">
      <c r="A76">
        <v>227915</v>
      </c>
      <c r="B76" t="s">
        <v>35915</v>
      </c>
      <c r="C76">
        <v>0</v>
      </c>
      <c r="D76">
        <v>0</v>
      </c>
      <c r="E76">
        <v>0</v>
      </c>
      <c r="F76">
        <v>6964</v>
      </c>
      <c r="G76">
        <f t="shared" si="1"/>
        <v>227915</v>
      </c>
    </row>
    <row r="77" spans="1:7" x14ac:dyDescent="0.25">
      <c r="A77">
        <v>229943</v>
      </c>
      <c r="B77" t="s">
        <v>23746</v>
      </c>
      <c r="C77">
        <v>0</v>
      </c>
      <c r="D77">
        <v>0</v>
      </c>
      <c r="E77">
        <v>0</v>
      </c>
      <c r="F77">
        <v>6965</v>
      </c>
      <c r="G77">
        <f t="shared" si="1"/>
        <v>229943</v>
      </c>
    </row>
    <row r="78" spans="1:7" x14ac:dyDescent="0.25">
      <c r="A78">
        <v>230810</v>
      </c>
      <c r="B78" t="s">
        <v>35916</v>
      </c>
      <c r="C78">
        <v>0</v>
      </c>
      <c r="D78">
        <v>3</v>
      </c>
      <c r="E78">
        <v>11695</v>
      </c>
      <c r="F78">
        <v>1328</v>
      </c>
      <c r="G78">
        <f t="shared" si="1"/>
        <v>230810</v>
      </c>
    </row>
    <row r="79" spans="1:7" x14ac:dyDescent="0.25">
      <c r="A79">
        <v>232227</v>
      </c>
      <c r="B79" t="s">
        <v>23747</v>
      </c>
      <c r="C79">
        <v>0</v>
      </c>
      <c r="D79">
        <v>1</v>
      </c>
      <c r="E79">
        <v>419</v>
      </c>
      <c r="F79">
        <v>4809</v>
      </c>
      <c r="G79">
        <f t="shared" si="1"/>
        <v>232227</v>
      </c>
    </row>
    <row r="80" spans="1:7" x14ac:dyDescent="0.25">
      <c r="A80">
        <v>233136</v>
      </c>
      <c r="B80" t="s">
        <v>23748</v>
      </c>
      <c r="C80">
        <v>0</v>
      </c>
      <c r="D80">
        <v>1</v>
      </c>
      <c r="E80">
        <v>26</v>
      </c>
      <c r="F80">
        <v>6343</v>
      </c>
      <c r="G80">
        <f t="shared" si="1"/>
        <v>233136</v>
      </c>
    </row>
    <row r="81" spans="1:7" x14ac:dyDescent="0.25">
      <c r="A81">
        <v>233335</v>
      </c>
      <c r="B81" t="s">
        <v>37091</v>
      </c>
      <c r="C81">
        <v>0</v>
      </c>
      <c r="D81">
        <v>1</v>
      </c>
      <c r="E81">
        <v>26</v>
      </c>
      <c r="F81">
        <v>6344</v>
      </c>
      <c r="G81">
        <f t="shared" si="1"/>
        <v>233335</v>
      </c>
    </row>
    <row r="82" spans="1:7" x14ac:dyDescent="0.25">
      <c r="A82">
        <v>233856</v>
      </c>
      <c r="B82" t="s">
        <v>23749</v>
      </c>
      <c r="C82">
        <v>0</v>
      </c>
      <c r="D82">
        <v>1</v>
      </c>
      <c r="E82">
        <v>26</v>
      </c>
      <c r="F82">
        <v>6345</v>
      </c>
      <c r="G82">
        <f t="shared" si="1"/>
        <v>233856</v>
      </c>
    </row>
    <row r="83" spans="1:7" x14ac:dyDescent="0.25">
      <c r="A83">
        <v>236071</v>
      </c>
      <c r="B83" t="s">
        <v>23750</v>
      </c>
      <c r="C83">
        <v>0</v>
      </c>
      <c r="D83">
        <v>1</v>
      </c>
      <c r="E83">
        <v>733</v>
      </c>
      <c r="F83">
        <v>4291</v>
      </c>
      <c r="G83">
        <f t="shared" si="1"/>
        <v>236071</v>
      </c>
    </row>
    <row r="84" spans="1:7" x14ac:dyDescent="0.25">
      <c r="A84">
        <v>238963</v>
      </c>
      <c r="B84" t="s">
        <v>23751</v>
      </c>
      <c r="C84">
        <v>0</v>
      </c>
      <c r="D84">
        <v>1</v>
      </c>
      <c r="E84">
        <v>283</v>
      </c>
      <c r="F84">
        <v>5170</v>
      </c>
      <c r="G84">
        <f t="shared" si="1"/>
        <v>238963</v>
      </c>
    </row>
    <row r="85" spans="1:7" x14ac:dyDescent="0.25">
      <c r="A85">
        <v>239399</v>
      </c>
      <c r="B85" t="s">
        <v>23752</v>
      </c>
      <c r="C85">
        <v>1173</v>
      </c>
      <c r="D85">
        <v>1</v>
      </c>
      <c r="E85">
        <v>2589</v>
      </c>
      <c r="F85">
        <v>3118</v>
      </c>
      <c r="G85">
        <f t="shared" si="1"/>
        <v>239399</v>
      </c>
    </row>
    <row r="86" spans="1:7" x14ac:dyDescent="0.25">
      <c r="A86">
        <v>240340</v>
      </c>
      <c r="B86" t="s">
        <v>23753</v>
      </c>
      <c r="C86">
        <v>419</v>
      </c>
      <c r="D86">
        <v>2</v>
      </c>
      <c r="E86">
        <v>11747</v>
      </c>
      <c r="F86">
        <v>1319</v>
      </c>
      <c r="G86">
        <f t="shared" si="1"/>
        <v>240340</v>
      </c>
    </row>
    <row r="87" spans="1:7" x14ac:dyDescent="0.25">
      <c r="A87">
        <v>242088</v>
      </c>
      <c r="B87" t="s">
        <v>23754</v>
      </c>
      <c r="C87">
        <v>0</v>
      </c>
      <c r="D87">
        <v>1</v>
      </c>
      <c r="E87">
        <v>1969</v>
      </c>
      <c r="F87">
        <v>3361</v>
      </c>
      <c r="G87">
        <f t="shared" si="1"/>
        <v>242088</v>
      </c>
    </row>
    <row r="88" spans="1:7" x14ac:dyDescent="0.25">
      <c r="A88">
        <v>245278</v>
      </c>
      <c r="B88" t="s">
        <v>23755</v>
      </c>
      <c r="C88">
        <v>250</v>
      </c>
      <c r="D88">
        <v>2</v>
      </c>
      <c r="E88">
        <v>5618</v>
      </c>
      <c r="F88">
        <v>2374</v>
      </c>
      <c r="G88">
        <f t="shared" si="1"/>
        <v>245278</v>
      </c>
    </row>
    <row r="89" spans="1:7" x14ac:dyDescent="0.25">
      <c r="A89">
        <v>251515</v>
      </c>
      <c r="B89" t="s">
        <v>23756</v>
      </c>
      <c r="C89">
        <v>0</v>
      </c>
      <c r="D89">
        <v>1</v>
      </c>
      <c r="E89">
        <v>235</v>
      </c>
      <c r="F89">
        <v>5367</v>
      </c>
      <c r="G89">
        <f t="shared" si="1"/>
        <v>251515</v>
      </c>
    </row>
    <row r="90" spans="1:7" x14ac:dyDescent="0.25">
      <c r="A90">
        <v>256479</v>
      </c>
      <c r="B90" t="s">
        <v>23757</v>
      </c>
      <c r="C90">
        <v>23</v>
      </c>
      <c r="D90">
        <v>3</v>
      </c>
      <c r="E90">
        <v>15967</v>
      </c>
      <c r="F90">
        <v>911</v>
      </c>
      <c r="G90">
        <f t="shared" si="1"/>
        <v>256479</v>
      </c>
    </row>
    <row r="91" spans="1:7" x14ac:dyDescent="0.25">
      <c r="A91">
        <v>257652</v>
      </c>
      <c r="B91" t="s">
        <v>23758</v>
      </c>
      <c r="C91">
        <v>23</v>
      </c>
      <c r="D91">
        <v>4</v>
      </c>
      <c r="E91">
        <v>26998</v>
      </c>
      <c r="F91">
        <v>337</v>
      </c>
      <c r="G91">
        <f t="shared" si="1"/>
        <v>257652</v>
      </c>
    </row>
    <row r="92" spans="1:7" x14ac:dyDescent="0.25">
      <c r="A92">
        <v>261877</v>
      </c>
      <c r="B92" t="s">
        <v>35917</v>
      </c>
      <c r="C92">
        <v>3</v>
      </c>
      <c r="D92">
        <v>2</v>
      </c>
      <c r="E92">
        <v>6553</v>
      </c>
      <c r="F92">
        <v>2154</v>
      </c>
      <c r="G92">
        <f t="shared" si="1"/>
        <v>261877</v>
      </c>
    </row>
    <row r="93" spans="1:7" x14ac:dyDescent="0.25">
      <c r="A93">
        <v>271888</v>
      </c>
      <c r="B93" t="s">
        <v>35918</v>
      </c>
      <c r="C93">
        <v>887</v>
      </c>
      <c r="D93">
        <v>1</v>
      </c>
      <c r="E93">
        <v>1190</v>
      </c>
      <c r="F93">
        <v>3804</v>
      </c>
      <c r="G93">
        <f t="shared" si="1"/>
        <v>271888</v>
      </c>
    </row>
    <row r="94" spans="1:7" x14ac:dyDescent="0.25">
      <c r="A94">
        <v>272291</v>
      </c>
      <c r="B94" t="s">
        <v>35919</v>
      </c>
      <c r="C94">
        <v>278</v>
      </c>
      <c r="D94">
        <v>1</v>
      </c>
      <c r="E94">
        <v>26</v>
      </c>
      <c r="F94">
        <v>6346</v>
      </c>
      <c r="G94">
        <f t="shared" si="1"/>
        <v>272291</v>
      </c>
    </row>
    <row r="95" spans="1:7" x14ac:dyDescent="0.25">
      <c r="A95">
        <v>272442</v>
      </c>
      <c r="B95" t="s">
        <v>35920</v>
      </c>
      <c r="C95">
        <v>1646</v>
      </c>
      <c r="D95">
        <v>0</v>
      </c>
      <c r="E95">
        <v>0</v>
      </c>
      <c r="F95">
        <v>6966</v>
      </c>
      <c r="G95">
        <f t="shared" si="1"/>
        <v>272442</v>
      </c>
    </row>
    <row r="96" spans="1:7" x14ac:dyDescent="0.25">
      <c r="A96">
        <v>273584</v>
      </c>
      <c r="B96" t="s">
        <v>23759</v>
      </c>
      <c r="C96">
        <v>118</v>
      </c>
      <c r="D96">
        <v>3</v>
      </c>
      <c r="E96">
        <v>9833</v>
      </c>
      <c r="F96">
        <v>1584</v>
      </c>
      <c r="G96">
        <f t="shared" si="1"/>
        <v>273584</v>
      </c>
    </row>
    <row r="97" spans="1:7" x14ac:dyDescent="0.25">
      <c r="A97">
        <v>278772</v>
      </c>
      <c r="B97" t="s">
        <v>37211</v>
      </c>
      <c r="C97">
        <v>0</v>
      </c>
      <c r="D97">
        <v>1</v>
      </c>
      <c r="E97">
        <v>45</v>
      </c>
      <c r="F97">
        <v>6228</v>
      </c>
      <c r="G97">
        <f t="shared" si="1"/>
        <v>278772</v>
      </c>
    </row>
    <row r="98" spans="1:7" x14ac:dyDescent="0.25">
      <c r="A98">
        <v>281103</v>
      </c>
      <c r="B98" t="s">
        <v>35921</v>
      </c>
      <c r="C98">
        <v>122</v>
      </c>
      <c r="D98">
        <v>6</v>
      </c>
      <c r="E98">
        <v>26254</v>
      </c>
      <c r="F98">
        <v>361</v>
      </c>
      <c r="G98">
        <f t="shared" si="1"/>
        <v>281103</v>
      </c>
    </row>
    <row r="99" spans="1:7" x14ac:dyDescent="0.25">
      <c r="A99">
        <v>285389</v>
      </c>
      <c r="B99" t="s">
        <v>23760</v>
      </c>
      <c r="C99">
        <v>0</v>
      </c>
      <c r="D99">
        <v>0</v>
      </c>
      <c r="E99">
        <v>0</v>
      </c>
      <c r="F99">
        <v>6967</v>
      </c>
      <c r="G99">
        <f t="shared" si="1"/>
        <v>285389</v>
      </c>
    </row>
    <row r="100" spans="1:7" x14ac:dyDescent="0.25">
      <c r="A100">
        <v>287459</v>
      </c>
      <c r="B100" t="s">
        <v>23761</v>
      </c>
      <c r="C100">
        <v>1212</v>
      </c>
      <c r="D100">
        <v>1</v>
      </c>
      <c r="E100">
        <v>281</v>
      </c>
      <c r="F100">
        <v>5173</v>
      </c>
      <c r="G100">
        <f t="shared" si="1"/>
        <v>287459</v>
      </c>
    </row>
    <row r="101" spans="1:7" x14ac:dyDescent="0.25">
      <c r="A101">
        <v>291733</v>
      </c>
      <c r="B101" t="s">
        <v>23762</v>
      </c>
      <c r="C101">
        <v>0</v>
      </c>
      <c r="D101">
        <v>1</v>
      </c>
      <c r="E101">
        <v>165</v>
      </c>
      <c r="F101">
        <v>5633</v>
      </c>
      <c r="G101">
        <f t="shared" si="1"/>
        <v>291733</v>
      </c>
    </row>
    <row r="102" spans="1:7" x14ac:dyDescent="0.25">
      <c r="A102">
        <v>299371</v>
      </c>
      <c r="B102" t="s">
        <v>23763</v>
      </c>
      <c r="C102">
        <v>882</v>
      </c>
      <c r="D102">
        <v>1</v>
      </c>
      <c r="E102">
        <v>4273</v>
      </c>
      <c r="F102">
        <v>2692</v>
      </c>
      <c r="G102">
        <f t="shared" si="1"/>
        <v>299371</v>
      </c>
    </row>
    <row r="103" spans="1:7" x14ac:dyDescent="0.25">
      <c r="A103">
        <v>300973</v>
      </c>
      <c r="B103" t="s">
        <v>35922</v>
      </c>
      <c r="C103">
        <v>0</v>
      </c>
      <c r="D103">
        <v>1</v>
      </c>
      <c r="E103">
        <v>3816</v>
      </c>
      <c r="F103">
        <v>2812</v>
      </c>
      <c r="G103">
        <f t="shared" si="1"/>
        <v>300973</v>
      </c>
    </row>
    <row r="104" spans="1:7" x14ac:dyDescent="0.25">
      <c r="A104">
        <v>303009</v>
      </c>
      <c r="B104" t="s">
        <v>23764</v>
      </c>
      <c r="C104">
        <v>0</v>
      </c>
      <c r="D104">
        <v>1</v>
      </c>
      <c r="E104">
        <v>3182</v>
      </c>
      <c r="F104">
        <v>2942</v>
      </c>
      <c r="G104">
        <f t="shared" si="1"/>
        <v>303009</v>
      </c>
    </row>
    <row r="105" spans="1:7" x14ac:dyDescent="0.25">
      <c r="A105">
        <v>309707</v>
      </c>
      <c r="B105" t="s">
        <v>37235</v>
      </c>
      <c r="C105">
        <v>1340</v>
      </c>
      <c r="D105">
        <v>3</v>
      </c>
      <c r="E105">
        <v>11934</v>
      </c>
      <c r="F105">
        <v>1297</v>
      </c>
      <c r="G105">
        <f t="shared" si="1"/>
        <v>309707</v>
      </c>
    </row>
    <row r="106" spans="1:7" x14ac:dyDescent="0.25">
      <c r="A106">
        <v>311215</v>
      </c>
      <c r="B106" t="s">
        <v>23765</v>
      </c>
      <c r="C106">
        <v>1340</v>
      </c>
      <c r="D106">
        <v>2</v>
      </c>
      <c r="E106">
        <v>11406</v>
      </c>
      <c r="F106">
        <v>1361</v>
      </c>
      <c r="G106">
        <f t="shared" si="1"/>
        <v>311215</v>
      </c>
    </row>
    <row r="107" spans="1:7" x14ac:dyDescent="0.25">
      <c r="A107">
        <v>311907</v>
      </c>
      <c r="B107" t="s">
        <v>23766</v>
      </c>
      <c r="C107">
        <v>0</v>
      </c>
      <c r="D107">
        <v>0</v>
      </c>
      <c r="E107">
        <v>0</v>
      </c>
      <c r="F107">
        <v>6968</v>
      </c>
      <c r="G107">
        <f t="shared" si="1"/>
        <v>311907</v>
      </c>
    </row>
    <row r="108" spans="1:7" x14ac:dyDescent="0.25">
      <c r="A108">
        <v>312204</v>
      </c>
      <c r="B108" t="s">
        <v>23767</v>
      </c>
      <c r="C108">
        <v>1357</v>
      </c>
      <c r="D108">
        <v>1</v>
      </c>
      <c r="E108">
        <v>506</v>
      </c>
      <c r="F108">
        <v>4616</v>
      </c>
      <c r="G108">
        <f t="shared" si="1"/>
        <v>312204</v>
      </c>
    </row>
    <row r="109" spans="1:7" x14ac:dyDescent="0.25">
      <c r="A109">
        <v>313284</v>
      </c>
      <c r="B109" t="s">
        <v>23768</v>
      </c>
      <c r="C109">
        <v>0</v>
      </c>
      <c r="D109">
        <v>0</v>
      </c>
      <c r="E109">
        <v>0</v>
      </c>
      <c r="F109">
        <v>6969</v>
      </c>
      <c r="G109">
        <f t="shared" si="1"/>
        <v>313284</v>
      </c>
    </row>
    <row r="110" spans="1:7" x14ac:dyDescent="0.25">
      <c r="A110">
        <v>319745</v>
      </c>
      <c r="B110" t="s">
        <v>23769</v>
      </c>
      <c r="C110">
        <v>39</v>
      </c>
      <c r="D110">
        <v>1</v>
      </c>
      <c r="E110">
        <v>6356</v>
      </c>
      <c r="F110">
        <v>2199</v>
      </c>
      <c r="G110">
        <f t="shared" si="1"/>
        <v>319745</v>
      </c>
    </row>
    <row r="111" spans="1:7" x14ac:dyDescent="0.25">
      <c r="A111">
        <v>319909</v>
      </c>
      <c r="B111" t="s">
        <v>35923</v>
      </c>
      <c r="C111">
        <v>26</v>
      </c>
      <c r="D111">
        <v>3</v>
      </c>
      <c r="E111">
        <v>14537</v>
      </c>
      <c r="F111">
        <v>1030</v>
      </c>
      <c r="G111">
        <f t="shared" si="1"/>
        <v>319909</v>
      </c>
    </row>
    <row r="112" spans="1:7" x14ac:dyDescent="0.25">
      <c r="A112">
        <v>323779</v>
      </c>
      <c r="B112" t="s">
        <v>23770</v>
      </c>
      <c r="C112">
        <v>0</v>
      </c>
      <c r="D112">
        <v>0</v>
      </c>
      <c r="E112">
        <v>0</v>
      </c>
      <c r="F112">
        <v>6970</v>
      </c>
      <c r="G112">
        <f t="shared" si="1"/>
        <v>323779</v>
      </c>
    </row>
    <row r="113" spans="1:7" x14ac:dyDescent="0.25">
      <c r="A113">
        <v>324718</v>
      </c>
      <c r="B113" t="s">
        <v>23771</v>
      </c>
      <c r="C113">
        <v>0</v>
      </c>
      <c r="D113">
        <v>1</v>
      </c>
      <c r="E113">
        <v>96</v>
      </c>
      <c r="F113">
        <v>5870</v>
      </c>
      <c r="G113">
        <f t="shared" si="1"/>
        <v>324718</v>
      </c>
    </row>
    <row r="114" spans="1:7" x14ac:dyDescent="0.25">
      <c r="A114">
        <v>328321</v>
      </c>
      <c r="B114" t="s">
        <v>35924</v>
      </c>
      <c r="C114">
        <v>0</v>
      </c>
      <c r="D114">
        <v>1</v>
      </c>
      <c r="E114">
        <v>243</v>
      </c>
      <c r="F114">
        <v>5335</v>
      </c>
      <c r="G114">
        <f t="shared" si="1"/>
        <v>328321</v>
      </c>
    </row>
    <row r="115" spans="1:7" x14ac:dyDescent="0.25">
      <c r="A115">
        <v>329301</v>
      </c>
      <c r="B115" t="s">
        <v>35925</v>
      </c>
      <c r="C115">
        <v>0</v>
      </c>
      <c r="D115">
        <v>0</v>
      </c>
      <c r="E115">
        <v>0</v>
      </c>
      <c r="F115">
        <v>6971</v>
      </c>
      <c r="G115">
        <f t="shared" si="1"/>
        <v>329301</v>
      </c>
    </row>
    <row r="116" spans="1:7" x14ac:dyDescent="0.25">
      <c r="A116">
        <v>329536</v>
      </c>
      <c r="B116" t="s">
        <v>23772</v>
      </c>
      <c r="C116">
        <v>0</v>
      </c>
      <c r="D116">
        <v>1</v>
      </c>
      <c r="E116">
        <v>706</v>
      </c>
      <c r="F116">
        <v>4342</v>
      </c>
      <c r="G116">
        <f t="shared" si="1"/>
        <v>329536</v>
      </c>
    </row>
    <row r="117" spans="1:7" x14ac:dyDescent="0.25">
      <c r="A117">
        <v>333547</v>
      </c>
      <c r="B117" t="s">
        <v>23773</v>
      </c>
      <c r="C117">
        <v>0</v>
      </c>
      <c r="D117">
        <v>3</v>
      </c>
      <c r="E117">
        <v>11241</v>
      </c>
      <c r="F117">
        <v>1377</v>
      </c>
      <c r="G117">
        <f t="shared" si="1"/>
        <v>333547</v>
      </c>
    </row>
    <row r="118" spans="1:7" x14ac:dyDescent="0.25">
      <c r="A118">
        <v>337584</v>
      </c>
      <c r="B118" t="s">
        <v>35926</v>
      </c>
      <c r="C118">
        <v>467</v>
      </c>
      <c r="D118">
        <v>4</v>
      </c>
      <c r="E118">
        <v>23318</v>
      </c>
      <c r="F118">
        <v>462</v>
      </c>
      <c r="G118">
        <f t="shared" si="1"/>
        <v>337584</v>
      </c>
    </row>
    <row r="119" spans="1:7" x14ac:dyDescent="0.25">
      <c r="A119">
        <v>339337</v>
      </c>
      <c r="B119" t="s">
        <v>23774</v>
      </c>
      <c r="C119">
        <v>0</v>
      </c>
      <c r="D119">
        <v>1</v>
      </c>
      <c r="E119">
        <v>81</v>
      </c>
      <c r="F119">
        <v>5963</v>
      </c>
      <c r="G119">
        <f t="shared" si="1"/>
        <v>339337</v>
      </c>
    </row>
    <row r="120" spans="1:7" x14ac:dyDescent="0.25">
      <c r="A120">
        <v>342608</v>
      </c>
      <c r="B120" t="s">
        <v>35927</v>
      </c>
      <c r="C120">
        <v>754</v>
      </c>
      <c r="D120">
        <v>1</v>
      </c>
      <c r="E120">
        <v>752</v>
      </c>
      <c r="F120">
        <v>4264</v>
      </c>
      <c r="G120">
        <f t="shared" si="1"/>
        <v>342608</v>
      </c>
    </row>
    <row r="121" spans="1:7" x14ac:dyDescent="0.25">
      <c r="A121">
        <v>342855</v>
      </c>
      <c r="B121" t="s">
        <v>23775</v>
      </c>
      <c r="C121">
        <v>205</v>
      </c>
      <c r="D121">
        <v>1</v>
      </c>
      <c r="E121">
        <v>321</v>
      </c>
      <c r="F121">
        <v>5062</v>
      </c>
      <c r="G121">
        <f t="shared" si="1"/>
        <v>342855</v>
      </c>
    </row>
    <row r="122" spans="1:7" x14ac:dyDescent="0.25">
      <c r="A122">
        <v>343092</v>
      </c>
      <c r="B122" t="s">
        <v>23776</v>
      </c>
      <c r="C122">
        <v>680</v>
      </c>
      <c r="D122">
        <v>4</v>
      </c>
      <c r="E122">
        <v>20676</v>
      </c>
      <c r="F122">
        <v>591</v>
      </c>
      <c r="G122">
        <f t="shared" si="1"/>
        <v>343092</v>
      </c>
    </row>
    <row r="123" spans="1:7" x14ac:dyDescent="0.25">
      <c r="A123">
        <v>343945</v>
      </c>
      <c r="B123" t="s">
        <v>23777</v>
      </c>
      <c r="C123">
        <v>215</v>
      </c>
      <c r="D123">
        <v>1</v>
      </c>
      <c r="E123">
        <v>4935</v>
      </c>
      <c r="F123">
        <v>2527</v>
      </c>
      <c r="G123">
        <f t="shared" si="1"/>
        <v>343945</v>
      </c>
    </row>
    <row r="124" spans="1:7" x14ac:dyDescent="0.25">
      <c r="A124">
        <v>345488</v>
      </c>
      <c r="B124" t="s">
        <v>36978</v>
      </c>
      <c r="C124">
        <v>0</v>
      </c>
      <c r="D124">
        <v>1</v>
      </c>
      <c r="E124">
        <v>99</v>
      </c>
      <c r="F124">
        <v>5852</v>
      </c>
      <c r="G124">
        <f t="shared" si="1"/>
        <v>345488</v>
      </c>
    </row>
    <row r="125" spans="1:7" x14ac:dyDescent="0.25">
      <c r="A125">
        <v>351599</v>
      </c>
      <c r="B125" t="s">
        <v>35928</v>
      </c>
      <c r="C125">
        <v>0</v>
      </c>
      <c r="D125">
        <v>0</v>
      </c>
      <c r="E125">
        <v>0</v>
      </c>
      <c r="F125">
        <v>6972</v>
      </c>
      <c r="G125">
        <f t="shared" si="1"/>
        <v>351599</v>
      </c>
    </row>
    <row r="126" spans="1:7" x14ac:dyDescent="0.25">
      <c r="A126">
        <v>359642</v>
      </c>
      <c r="B126" t="s">
        <v>23778</v>
      </c>
      <c r="C126">
        <v>0</v>
      </c>
      <c r="D126">
        <v>1</v>
      </c>
      <c r="E126">
        <v>281</v>
      </c>
      <c r="F126">
        <v>5174</v>
      </c>
      <c r="G126">
        <f t="shared" si="1"/>
        <v>359642</v>
      </c>
    </row>
    <row r="127" spans="1:7" x14ac:dyDescent="0.25">
      <c r="A127">
        <v>364397</v>
      </c>
      <c r="B127" t="s">
        <v>3292</v>
      </c>
      <c r="C127">
        <v>0</v>
      </c>
      <c r="D127">
        <v>1</v>
      </c>
      <c r="E127">
        <v>1221</v>
      </c>
      <c r="F127">
        <v>3781</v>
      </c>
      <c r="G127">
        <f t="shared" si="1"/>
        <v>364397</v>
      </c>
    </row>
    <row r="128" spans="1:7" x14ac:dyDescent="0.25">
      <c r="A128">
        <v>372627</v>
      </c>
      <c r="B128" t="s">
        <v>35929</v>
      </c>
      <c r="C128">
        <v>1913</v>
      </c>
      <c r="D128">
        <v>1</v>
      </c>
      <c r="E128">
        <v>1597</v>
      </c>
      <c r="F128">
        <v>3547</v>
      </c>
      <c r="G128">
        <f t="shared" si="1"/>
        <v>372627</v>
      </c>
    </row>
    <row r="129" spans="1:7" x14ac:dyDescent="0.25">
      <c r="A129">
        <v>372778</v>
      </c>
      <c r="B129" t="s">
        <v>23779</v>
      </c>
      <c r="C129">
        <v>0</v>
      </c>
      <c r="D129">
        <v>1</v>
      </c>
      <c r="E129">
        <v>26</v>
      </c>
      <c r="F129">
        <v>6347</v>
      </c>
      <c r="G129">
        <f t="shared" ref="G129:G192" si="2">A129</f>
        <v>372778</v>
      </c>
    </row>
    <row r="130" spans="1:7" x14ac:dyDescent="0.25">
      <c r="A130">
        <v>373561</v>
      </c>
      <c r="B130" t="s">
        <v>35930</v>
      </c>
      <c r="C130">
        <v>585</v>
      </c>
      <c r="D130">
        <v>1</v>
      </c>
      <c r="E130">
        <v>1484</v>
      </c>
      <c r="F130">
        <v>3627</v>
      </c>
      <c r="G130">
        <f t="shared" si="2"/>
        <v>373561</v>
      </c>
    </row>
    <row r="131" spans="1:7" x14ac:dyDescent="0.25">
      <c r="A131">
        <v>373867</v>
      </c>
      <c r="B131" t="s">
        <v>23780</v>
      </c>
      <c r="C131">
        <v>23</v>
      </c>
      <c r="D131">
        <v>3</v>
      </c>
      <c r="E131">
        <v>18083</v>
      </c>
      <c r="F131">
        <v>749</v>
      </c>
      <c r="G131">
        <f t="shared" si="2"/>
        <v>373867</v>
      </c>
    </row>
    <row r="132" spans="1:7" x14ac:dyDescent="0.25">
      <c r="A132">
        <v>374429</v>
      </c>
      <c r="B132" t="s">
        <v>23781</v>
      </c>
      <c r="C132">
        <v>25</v>
      </c>
      <c r="D132">
        <v>3</v>
      </c>
      <c r="E132">
        <v>13027</v>
      </c>
      <c r="F132">
        <v>1166</v>
      </c>
      <c r="G132">
        <f t="shared" si="2"/>
        <v>374429</v>
      </c>
    </row>
    <row r="133" spans="1:7" x14ac:dyDescent="0.25">
      <c r="A133">
        <v>377909</v>
      </c>
      <c r="B133" t="s">
        <v>23782</v>
      </c>
      <c r="C133">
        <v>645</v>
      </c>
      <c r="D133">
        <v>0</v>
      </c>
      <c r="E133">
        <v>0</v>
      </c>
      <c r="F133">
        <v>6973</v>
      </c>
      <c r="G133">
        <f t="shared" si="2"/>
        <v>377909</v>
      </c>
    </row>
    <row r="134" spans="1:7" x14ac:dyDescent="0.25">
      <c r="A134">
        <v>378401</v>
      </c>
      <c r="B134" t="s">
        <v>23783</v>
      </c>
      <c r="C134">
        <v>270</v>
      </c>
      <c r="D134">
        <v>4</v>
      </c>
      <c r="E134">
        <v>22570</v>
      </c>
      <c r="F134">
        <v>488</v>
      </c>
      <c r="G134">
        <f t="shared" si="2"/>
        <v>378401</v>
      </c>
    </row>
    <row r="135" spans="1:7" x14ac:dyDescent="0.25">
      <c r="A135">
        <v>381694</v>
      </c>
      <c r="B135" t="s">
        <v>23784</v>
      </c>
      <c r="C135">
        <v>882</v>
      </c>
      <c r="D135">
        <v>1</v>
      </c>
      <c r="E135">
        <v>5068</v>
      </c>
      <c r="F135">
        <v>2500</v>
      </c>
      <c r="G135">
        <f t="shared" si="2"/>
        <v>381694</v>
      </c>
    </row>
    <row r="136" spans="1:7" x14ac:dyDescent="0.25">
      <c r="A136">
        <v>385305</v>
      </c>
      <c r="B136" t="s">
        <v>23785</v>
      </c>
      <c r="C136">
        <v>1806</v>
      </c>
      <c r="D136">
        <v>1</v>
      </c>
      <c r="E136">
        <v>3246</v>
      </c>
      <c r="F136">
        <v>2935</v>
      </c>
      <c r="G136">
        <f t="shared" si="2"/>
        <v>385305</v>
      </c>
    </row>
    <row r="137" spans="1:7" x14ac:dyDescent="0.25">
      <c r="A137">
        <v>386730</v>
      </c>
      <c r="B137" t="s">
        <v>23786</v>
      </c>
      <c r="C137">
        <v>0</v>
      </c>
      <c r="D137">
        <v>0</v>
      </c>
      <c r="E137">
        <v>0</v>
      </c>
      <c r="F137">
        <v>6974</v>
      </c>
      <c r="G137">
        <f t="shared" si="2"/>
        <v>386730</v>
      </c>
    </row>
    <row r="138" spans="1:7" x14ac:dyDescent="0.25">
      <c r="A138">
        <v>397597</v>
      </c>
      <c r="B138" t="s">
        <v>23787</v>
      </c>
      <c r="C138">
        <v>1663</v>
      </c>
      <c r="D138">
        <v>1</v>
      </c>
      <c r="E138">
        <v>611</v>
      </c>
      <c r="F138">
        <v>4457</v>
      </c>
      <c r="G138">
        <f t="shared" si="2"/>
        <v>397597</v>
      </c>
    </row>
    <row r="139" spans="1:7" x14ac:dyDescent="0.25">
      <c r="A139">
        <v>399386</v>
      </c>
      <c r="B139" t="s">
        <v>37105</v>
      </c>
      <c r="C139">
        <v>0</v>
      </c>
      <c r="D139">
        <v>1</v>
      </c>
      <c r="E139">
        <v>32</v>
      </c>
      <c r="F139">
        <v>6302</v>
      </c>
      <c r="G139">
        <f t="shared" si="2"/>
        <v>399386</v>
      </c>
    </row>
    <row r="140" spans="1:7" x14ac:dyDescent="0.25">
      <c r="A140">
        <v>401979</v>
      </c>
      <c r="B140" t="s">
        <v>35931</v>
      </c>
      <c r="C140">
        <v>259</v>
      </c>
      <c r="D140">
        <v>8</v>
      </c>
      <c r="E140">
        <v>46328</v>
      </c>
      <c r="F140">
        <v>52</v>
      </c>
      <c r="G140">
        <f t="shared" si="2"/>
        <v>401979</v>
      </c>
    </row>
    <row r="141" spans="1:7" x14ac:dyDescent="0.25">
      <c r="A141">
        <v>402135</v>
      </c>
      <c r="B141" t="s">
        <v>23788</v>
      </c>
      <c r="C141">
        <v>419</v>
      </c>
      <c r="D141">
        <v>2</v>
      </c>
      <c r="E141">
        <v>7896</v>
      </c>
      <c r="F141">
        <v>1915</v>
      </c>
      <c r="G141">
        <f t="shared" si="2"/>
        <v>402135</v>
      </c>
    </row>
    <row r="142" spans="1:7" x14ac:dyDescent="0.25">
      <c r="A142">
        <v>402965</v>
      </c>
      <c r="B142" t="s">
        <v>23789</v>
      </c>
      <c r="C142">
        <v>1688</v>
      </c>
      <c r="D142">
        <v>1</v>
      </c>
      <c r="E142">
        <v>8298</v>
      </c>
      <c r="F142">
        <v>1828</v>
      </c>
      <c r="G142">
        <f t="shared" si="2"/>
        <v>402965</v>
      </c>
    </row>
    <row r="143" spans="1:7" x14ac:dyDescent="0.25">
      <c r="A143">
        <v>404363</v>
      </c>
      <c r="B143" t="s">
        <v>23790</v>
      </c>
      <c r="C143">
        <v>0</v>
      </c>
      <c r="D143">
        <v>1</v>
      </c>
      <c r="E143">
        <v>101</v>
      </c>
      <c r="F143">
        <v>5842</v>
      </c>
      <c r="G143">
        <f t="shared" si="2"/>
        <v>404363</v>
      </c>
    </row>
    <row r="144" spans="1:7" x14ac:dyDescent="0.25">
      <c r="A144">
        <v>412698</v>
      </c>
      <c r="B144" t="s">
        <v>23791</v>
      </c>
      <c r="C144">
        <v>1743</v>
      </c>
      <c r="D144">
        <v>1</v>
      </c>
      <c r="E144">
        <v>3707</v>
      </c>
      <c r="F144">
        <v>2831</v>
      </c>
      <c r="G144">
        <f t="shared" si="2"/>
        <v>412698</v>
      </c>
    </row>
    <row r="145" spans="1:7" x14ac:dyDescent="0.25">
      <c r="A145">
        <v>414073</v>
      </c>
      <c r="B145" t="s">
        <v>23792</v>
      </c>
      <c r="C145">
        <v>115</v>
      </c>
      <c r="D145">
        <v>3</v>
      </c>
      <c r="E145">
        <v>17767</v>
      </c>
      <c r="F145">
        <v>779</v>
      </c>
      <c r="G145">
        <f t="shared" si="2"/>
        <v>414073</v>
      </c>
    </row>
    <row r="146" spans="1:7" x14ac:dyDescent="0.25">
      <c r="A146">
        <v>418450</v>
      </c>
      <c r="B146" t="s">
        <v>23793</v>
      </c>
      <c r="C146">
        <v>1974</v>
      </c>
      <c r="D146">
        <v>1</v>
      </c>
      <c r="E146">
        <v>1706</v>
      </c>
      <c r="F146">
        <v>3493</v>
      </c>
      <c r="G146">
        <f t="shared" si="2"/>
        <v>418450</v>
      </c>
    </row>
    <row r="147" spans="1:7" x14ac:dyDescent="0.25">
      <c r="A147">
        <v>418742</v>
      </c>
      <c r="B147" t="s">
        <v>23794</v>
      </c>
      <c r="C147">
        <v>534</v>
      </c>
      <c r="D147">
        <v>1</v>
      </c>
      <c r="E147">
        <v>6368</v>
      </c>
      <c r="F147">
        <v>2196</v>
      </c>
      <c r="G147">
        <f t="shared" si="2"/>
        <v>418742</v>
      </c>
    </row>
    <row r="148" spans="1:7" x14ac:dyDescent="0.25">
      <c r="A148">
        <v>432238</v>
      </c>
      <c r="B148" t="s">
        <v>23795</v>
      </c>
      <c r="C148">
        <v>174</v>
      </c>
      <c r="D148">
        <v>3</v>
      </c>
      <c r="E148">
        <v>12720</v>
      </c>
      <c r="F148">
        <v>1206</v>
      </c>
      <c r="G148">
        <f t="shared" si="2"/>
        <v>432238</v>
      </c>
    </row>
    <row r="149" spans="1:7" x14ac:dyDescent="0.25">
      <c r="A149">
        <v>433793</v>
      </c>
      <c r="B149" t="s">
        <v>23796</v>
      </c>
      <c r="C149">
        <v>0</v>
      </c>
      <c r="D149">
        <v>0</v>
      </c>
      <c r="E149">
        <v>0</v>
      </c>
      <c r="F149">
        <v>6975</v>
      </c>
      <c r="G149">
        <f t="shared" si="2"/>
        <v>433793</v>
      </c>
    </row>
    <row r="150" spans="1:7" x14ac:dyDescent="0.25">
      <c r="A150">
        <v>434689</v>
      </c>
      <c r="B150" t="s">
        <v>35932</v>
      </c>
      <c r="C150">
        <v>0</v>
      </c>
      <c r="D150">
        <v>0</v>
      </c>
      <c r="E150">
        <v>0</v>
      </c>
      <c r="F150">
        <v>6976</v>
      </c>
      <c r="G150">
        <f t="shared" si="2"/>
        <v>434689</v>
      </c>
    </row>
    <row r="151" spans="1:7" x14ac:dyDescent="0.25">
      <c r="A151">
        <v>438222</v>
      </c>
      <c r="B151" t="s">
        <v>23797</v>
      </c>
      <c r="C151">
        <v>0</v>
      </c>
      <c r="D151">
        <v>1</v>
      </c>
      <c r="E151">
        <v>1013</v>
      </c>
      <c r="F151">
        <v>3971</v>
      </c>
      <c r="G151">
        <f t="shared" si="2"/>
        <v>438222</v>
      </c>
    </row>
    <row r="152" spans="1:7" x14ac:dyDescent="0.25">
      <c r="A152">
        <v>439841</v>
      </c>
      <c r="B152" t="s">
        <v>23798</v>
      </c>
      <c r="C152">
        <v>1587</v>
      </c>
      <c r="D152">
        <v>1</v>
      </c>
      <c r="E152">
        <v>239</v>
      </c>
      <c r="F152">
        <v>5352</v>
      </c>
      <c r="G152">
        <f t="shared" si="2"/>
        <v>439841</v>
      </c>
    </row>
    <row r="153" spans="1:7" x14ac:dyDescent="0.25">
      <c r="A153">
        <v>441993</v>
      </c>
      <c r="B153" t="s">
        <v>23799</v>
      </c>
      <c r="C153">
        <v>325</v>
      </c>
      <c r="D153">
        <v>1</v>
      </c>
      <c r="E153">
        <v>271</v>
      </c>
      <c r="F153">
        <v>5215</v>
      </c>
      <c r="G153">
        <f t="shared" si="2"/>
        <v>441993</v>
      </c>
    </row>
    <row r="154" spans="1:7" x14ac:dyDescent="0.25">
      <c r="A154">
        <v>443289</v>
      </c>
      <c r="B154" t="s">
        <v>23800</v>
      </c>
      <c r="C154">
        <v>0</v>
      </c>
      <c r="D154">
        <v>0</v>
      </c>
      <c r="E154">
        <v>0</v>
      </c>
      <c r="F154">
        <v>6977</v>
      </c>
      <c r="G154">
        <f t="shared" si="2"/>
        <v>443289</v>
      </c>
    </row>
    <row r="155" spans="1:7" x14ac:dyDescent="0.25">
      <c r="A155">
        <v>443424</v>
      </c>
      <c r="B155" t="s">
        <v>35933</v>
      </c>
      <c r="C155">
        <v>0</v>
      </c>
      <c r="D155">
        <v>1</v>
      </c>
      <c r="E155">
        <v>26</v>
      </c>
      <c r="F155">
        <v>6348</v>
      </c>
      <c r="G155">
        <f t="shared" si="2"/>
        <v>443424</v>
      </c>
    </row>
    <row r="156" spans="1:7" x14ac:dyDescent="0.25">
      <c r="A156">
        <v>448559</v>
      </c>
      <c r="B156" t="s">
        <v>35934</v>
      </c>
      <c r="C156">
        <v>0</v>
      </c>
      <c r="D156">
        <v>0</v>
      </c>
      <c r="E156">
        <v>0</v>
      </c>
      <c r="F156">
        <v>6978</v>
      </c>
      <c r="G156">
        <f t="shared" si="2"/>
        <v>448559</v>
      </c>
    </row>
    <row r="157" spans="1:7" x14ac:dyDescent="0.25">
      <c r="A157">
        <v>449511</v>
      </c>
      <c r="B157" t="s">
        <v>23801</v>
      </c>
      <c r="C157">
        <v>0</v>
      </c>
      <c r="D157">
        <v>0</v>
      </c>
      <c r="E157">
        <v>0</v>
      </c>
      <c r="F157">
        <v>6979</v>
      </c>
      <c r="G157">
        <f t="shared" si="2"/>
        <v>449511</v>
      </c>
    </row>
    <row r="158" spans="1:7" x14ac:dyDescent="0.25">
      <c r="A158">
        <v>454750</v>
      </c>
      <c r="B158" t="s">
        <v>35935</v>
      </c>
      <c r="C158">
        <v>0</v>
      </c>
      <c r="D158">
        <v>1</v>
      </c>
      <c r="E158">
        <v>376</v>
      </c>
      <c r="F158">
        <v>4912</v>
      </c>
      <c r="G158">
        <f t="shared" si="2"/>
        <v>454750</v>
      </c>
    </row>
    <row r="159" spans="1:7" x14ac:dyDescent="0.25">
      <c r="A159">
        <v>455552</v>
      </c>
      <c r="B159" t="s">
        <v>23802</v>
      </c>
      <c r="C159">
        <v>1861</v>
      </c>
      <c r="D159">
        <v>1</v>
      </c>
      <c r="E159">
        <v>1919</v>
      </c>
      <c r="F159">
        <v>3407</v>
      </c>
      <c r="G159">
        <f t="shared" si="2"/>
        <v>455552</v>
      </c>
    </row>
    <row r="160" spans="1:7" x14ac:dyDescent="0.25">
      <c r="A160">
        <v>461983</v>
      </c>
      <c r="B160" t="s">
        <v>23803</v>
      </c>
      <c r="C160">
        <v>0</v>
      </c>
      <c r="D160">
        <v>1</v>
      </c>
      <c r="E160">
        <v>26</v>
      </c>
      <c r="F160">
        <v>6349</v>
      </c>
      <c r="G160">
        <f t="shared" si="2"/>
        <v>461983</v>
      </c>
    </row>
    <row r="161" spans="1:7" x14ac:dyDescent="0.25">
      <c r="A161">
        <v>465454</v>
      </c>
      <c r="B161" t="s">
        <v>23804</v>
      </c>
      <c r="C161">
        <v>409</v>
      </c>
      <c r="D161">
        <v>2</v>
      </c>
      <c r="E161">
        <v>10050</v>
      </c>
      <c r="F161">
        <v>1555</v>
      </c>
      <c r="G161">
        <f t="shared" si="2"/>
        <v>465454</v>
      </c>
    </row>
    <row r="162" spans="1:7" x14ac:dyDescent="0.25">
      <c r="A162">
        <v>468795</v>
      </c>
      <c r="B162" t="s">
        <v>37107</v>
      </c>
      <c r="C162">
        <v>1836</v>
      </c>
      <c r="D162">
        <v>3</v>
      </c>
      <c r="E162">
        <v>10320</v>
      </c>
      <c r="F162">
        <v>1524</v>
      </c>
      <c r="G162">
        <f t="shared" si="2"/>
        <v>468795</v>
      </c>
    </row>
    <row r="163" spans="1:7" x14ac:dyDescent="0.25">
      <c r="A163">
        <v>469654</v>
      </c>
      <c r="B163" t="s">
        <v>23805</v>
      </c>
      <c r="C163">
        <v>1775</v>
      </c>
      <c r="D163">
        <v>3</v>
      </c>
      <c r="E163">
        <v>9100</v>
      </c>
      <c r="F163">
        <v>1701</v>
      </c>
      <c r="G163">
        <f t="shared" si="2"/>
        <v>469654</v>
      </c>
    </row>
    <row r="164" spans="1:7" x14ac:dyDescent="0.25">
      <c r="A164">
        <v>470602</v>
      </c>
      <c r="B164" t="s">
        <v>23806</v>
      </c>
      <c r="C164">
        <v>887</v>
      </c>
      <c r="D164">
        <v>1</v>
      </c>
      <c r="E164">
        <v>4742</v>
      </c>
      <c r="F164">
        <v>2565</v>
      </c>
      <c r="G164">
        <f t="shared" si="2"/>
        <v>470602</v>
      </c>
    </row>
    <row r="165" spans="1:7" x14ac:dyDescent="0.25">
      <c r="A165">
        <v>475867</v>
      </c>
      <c r="B165" t="s">
        <v>657</v>
      </c>
      <c r="C165">
        <v>1689</v>
      </c>
      <c r="D165">
        <v>1</v>
      </c>
      <c r="E165">
        <v>6361</v>
      </c>
      <c r="F165">
        <v>2197</v>
      </c>
      <c r="G165">
        <f t="shared" si="2"/>
        <v>475867</v>
      </c>
    </row>
    <row r="166" spans="1:7" x14ac:dyDescent="0.25">
      <c r="A166">
        <v>483392</v>
      </c>
      <c r="B166" t="s">
        <v>35936</v>
      </c>
      <c r="C166">
        <v>1946</v>
      </c>
      <c r="D166">
        <v>2</v>
      </c>
      <c r="E166">
        <v>9555</v>
      </c>
      <c r="F166">
        <v>1652</v>
      </c>
      <c r="G166">
        <f t="shared" si="2"/>
        <v>483392</v>
      </c>
    </row>
    <row r="167" spans="1:7" x14ac:dyDescent="0.25">
      <c r="A167">
        <v>498769</v>
      </c>
      <c r="B167" t="s">
        <v>23807</v>
      </c>
      <c r="C167">
        <v>0</v>
      </c>
      <c r="D167">
        <v>0</v>
      </c>
      <c r="E167">
        <v>0</v>
      </c>
      <c r="F167">
        <v>6980</v>
      </c>
      <c r="G167">
        <f t="shared" si="2"/>
        <v>498769</v>
      </c>
    </row>
    <row r="168" spans="1:7" x14ac:dyDescent="0.25">
      <c r="A168">
        <v>499160</v>
      </c>
      <c r="B168" t="s">
        <v>23808</v>
      </c>
      <c r="C168">
        <v>0</v>
      </c>
      <c r="D168">
        <v>0</v>
      </c>
      <c r="E168">
        <v>0</v>
      </c>
      <c r="F168">
        <v>6981</v>
      </c>
      <c r="G168">
        <f t="shared" si="2"/>
        <v>499160</v>
      </c>
    </row>
    <row r="169" spans="1:7" x14ac:dyDescent="0.25">
      <c r="A169">
        <v>502734</v>
      </c>
      <c r="B169" t="s">
        <v>23809</v>
      </c>
      <c r="C169">
        <v>301</v>
      </c>
      <c r="D169">
        <v>1</v>
      </c>
      <c r="E169">
        <v>26</v>
      </c>
      <c r="F169">
        <v>6350</v>
      </c>
      <c r="G169">
        <f t="shared" si="2"/>
        <v>502734</v>
      </c>
    </row>
    <row r="170" spans="1:7" x14ac:dyDescent="0.25">
      <c r="A170">
        <v>503235</v>
      </c>
      <c r="B170" t="s">
        <v>23810</v>
      </c>
      <c r="C170">
        <v>643</v>
      </c>
      <c r="D170">
        <v>12</v>
      </c>
      <c r="E170">
        <v>71278</v>
      </c>
      <c r="F170">
        <v>10</v>
      </c>
      <c r="G170">
        <f t="shared" si="2"/>
        <v>503235</v>
      </c>
    </row>
    <row r="171" spans="1:7" x14ac:dyDescent="0.25">
      <c r="A171">
        <v>514223</v>
      </c>
      <c r="B171" t="s">
        <v>23811</v>
      </c>
      <c r="C171">
        <v>36</v>
      </c>
      <c r="D171">
        <v>3</v>
      </c>
      <c r="E171">
        <v>15084</v>
      </c>
      <c r="F171">
        <v>990</v>
      </c>
      <c r="G171">
        <f t="shared" si="2"/>
        <v>514223</v>
      </c>
    </row>
    <row r="172" spans="1:7" x14ac:dyDescent="0.25">
      <c r="A172">
        <v>526715</v>
      </c>
      <c r="B172" t="s">
        <v>23812</v>
      </c>
      <c r="C172">
        <v>1373</v>
      </c>
      <c r="D172">
        <v>1</v>
      </c>
      <c r="E172">
        <v>1083</v>
      </c>
      <c r="F172">
        <v>3887</v>
      </c>
      <c r="G172">
        <f t="shared" si="2"/>
        <v>526715</v>
      </c>
    </row>
    <row r="173" spans="1:7" x14ac:dyDescent="0.25">
      <c r="A173">
        <v>532123</v>
      </c>
      <c r="B173" t="s">
        <v>23813</v>
      </c>
      <c r="C173">
        <v>733</v>
      </c>
      <c r="D173">
        <v>6</v>
      </c>
      <c r="E173">
        <v>33037</v>
      </c>
      <c r="F173">
        <v>178</v>
      </c>
      <c r="G173">
        <f t="shared" si="2"/>
        <v>532123</v>
      </c>
    </row>
    <row r="174" spans="1:7" x14ac:dyDescent="0.25">
      <c r="A174">
        <v>534516</v>
      </c>
      <c r="B174" t="s">
        <v>35937</v>
      </c>
      <c r="C174">
        <v>295</v>
      </c>
      <c r="D174">
        <v>1</v>
      </c>
      <c r="E174">
        <v>1596</v>
      </c>
      <c r="F174">
        <v>3548</v>
      </c>
      <c r="G174">
        <f t="shared" si="2"/>
        <v>534516</v>
      </c>
    </row>
    <row r="175" spans="1:7" x14ac:dyDescent="0.25">
      <c r="A175">
        <v>543291</v>
      </c>
      <c r="B175" t="s">
        <v>23814</v>
      </c>
      <c r="C175">
        <v>680</v>
      </c>
      <c r="D175">
        <v>3</v>
      </c>
      <c r="E175">
        <v>13445</v>
      </c>
      <c r="F175">
        <v>1142</v>
      </c>
      <c r="G175">
        <f t="shared" si="2"/>
        <v>543291</v>
      </c>
    </row>
    <row r="176" spans="1:7" x14ac:dyDescent="0.25">
      <c r="A176">
        <v>543535</v>
      </c>
      <c r="B176" t="s">
        <v>23815</v>
      </c>
      <c r="C176">
        <v>0</v>
      </c>
      <c r="D176">
        <v>1</v>
      </c>
      <c r="E176">
        <v>187</v>
      </c>
      <c r="F176">
        <v>5554</v>
      </c>
      <c r="G176">
        <f t="shared" si="2"/>
        <v>543535</v>
      </c>
    </row>
    <row r="177" spans="1:7" x14ac:dyDescent="0.25">
      <c r="A177">
        <v>549882</v>
      </c>
      <c r="B177" t="s">
        <v>36979</v>
      </c>
      <c r="C177">
        <v>0</v>
      </c>
      <c r="D177">
        <v>0</v>
      </c>
      <c r="E177">
        <v>0</v>
      </c>
      <c r="F177">
        <v>6982</v>
      </c>
      <c r="G177">
        <f t="shared" si="2"/>
        <v>549882</v>
      </c>
    </row>
    <row r="178" spans="1:7" x14ac:dyDescent="0.25">
      <c r="A178">
        <v>552582</v>
      </c>
      <c r="B178" t="s">
        <v>23816</v>
      </c>
      <c r="C178">
        <v>1913</v>
      </c>
      <c r="D178">
        <v>1</v>
      </c>
      <c r="E178">
        <v>2419</v>
      </c>
      <c r="F178">
        <v>3166</v>
      </c>
      <c r="G178">
        <f t="shared" si="2"/>
        <v>552582</v>
      </c>
    </row>
    <row r="179" spans="1:7" x14ac:dyDescent="0.25">
      <c r="A179">
        <v>553726</v>
      </c>
      <c r="B179" t="s">
        <v>23817</v>
      </c>
      <c r="C179">
        <v>0</v>
      </c>
      <c r="D179">
        <v>1</v>
      </c>
      <c r="E179">
        <v>26</v>
      </c>
      <c r="F179">
        <v>6351</v>
      </c>
      <c r="G179">
        <f t="shared" si="2"/>
        <v>553726</v>
      </c>
    </row>
    <row r="180" spans="1:7" x14ac:dyDescent="0.25">
      <c r="A180">
        <v>553757</v>
      </c>
      <c r="B180" t="s">
        <v>23818</v>
      </c>
      <c r="C180">
        <v>810</v>
      </c>
      <c r="D180">
        <v>0</v>
      </c>
      <c r="E180">
        <v>0</v>
      </c>
      <c r="F180">
        <v>6983</v>
      </c>
      <c r="G180">
        <f t="shared" si="2"/>
        <v>553757</v>
      </c>
    </row>
    <row r="181" spans="1:7" x14ac:dyDescent="0.25">
      <c r="A181">
        <v>555829</v>
      </c>
      <c r="B181" t="s">
        <v>23819</v>
      </c>
      <c r="C181">
        <v>179</v>
      </c>
      <c r="D181">
        <v>1</v>
      </c>
      <c r="E181">
        <v>3471</v>
      </c>
      <c r="F181">
        <v>2881</v>
      </c>
      <c r="G181">
        <f t="shared" si="2"/>
        <v>555829</v>
      </c>
    </row>
    <row r="182" spans="1:7" x14ac:dyDescent="0.25">
      <c r="A182">
        <v>557668</v>
      </c>
      <c r="B182" t="s">
        <v>23820</v>
      </c>
      <c r="C182">
        <v>4</v>
      </c>
      <c r="D182">
        <v>10</v>
      </c>
      <c r="E182">
        <v>55391</v>
      </c>
      <c r="F182">
        <v>28</v>
      </c>
      <c r="G182">
        <f t="shared" si="2"/>
        <v>557668</v>
      </c>
    </row>
    <row r="183" spans="1:7" x14ac:dyDescent="0.25">
      <c r="A183">
        <v>570509</v>
      </c>
      <c r="B183" t="s">
        <v>35938</v>
      </c>
      <c r="C183">
        <v>1885</v>
      </c>
      <c r="D183">
        <v>1</v>
      </c>
      <c r="E183">
        <v>194</v>
      </c>
      <c r="F183">
        <v>5520</v>
      </c>
      <c r="G183">
        <f t="shared" si="2"/>
        <v>570509</v>
      </c>
    </row>
    <row r="184" spans="1:7" x14ac:dyDescent="0.25">
      <c r="A184">
        <v>577438</v>
      </c>
      <c r="B184" t="s">
        <v>1944</v>
      </c>
      <c r="C184">
        <v>760</v>
      </c>
      <c r="D184">
        <v>2</v>
      </c>
      <c r="E184">
        <v>11062</v>
      </c>
      <c r="F184">
        <v>1402</v>
      </c>
      <c r="G184">
        <f t="shared" si="2"/>
        <v>577438</v>
      </c>
    </row>
    <row r="185" spans="1:7" x14ac:dyDescent="0.25">
      <c r="A185">
        <v>577708</v>
      </c>
      <c r="B185" t="s">
        <v>23821</v>
      </c>
      <c r="C185">
        <v>47</v>
      </c>
      <c r="D185">
        <v>2</v>
      </c>
      <c r="E185">
        <v>8062</v>
      </c>
      <c r="F185">
        <v>1868</v>
      </c>
      <c r="G185">
        <f t="shared" si="2"/>
        <v>577708</v>
      </c>
    </row>
    <row r="186" spans="1:7" x14ac:dyDescent="0.25">
      <c r="A186">
        <v>580170</v>
      </c>
      <c r="B186" t="s">
        <v>37236</v>
      </c>
      <c r="C186">
        <v>0</v>
      </c>
      <c r="D186">
        <v>0</v>
      </c>
      <c r="E186">
        <v>0</v>
      </c>
      <c r="F186">
        <v>6984</v>
      </c>
      <c r="G186">
        <f t="shared" si="2"/>
        <v>580170</v>
      </c>
    </row>
    <row r="187" spans="1:7" x14ac:dyDescent="0.25">
      <c r="A187">
        <v>583857</v>
      </c>
      <c r="B187" t="s">
        <v>35939</v>
      </c>
      <c r="C187">
        <v>1373</v>
      </c>
      <c r="D187">
        <v>1</v>
      </c>
      <c r="E187">
        <v>372</v>
      </c>
      <c r="F187">
        <v>4941</v>
      </c>
      <c r="G187">
        <f t="shared" si="2"/>
        <v>583857</v>
      </c>
    </row>
    <row r="188" spans="1:7" x14ac:dyDescent="0.25">
      <c r="A188">
        <v>586564</v>
      </c>
      <c r="B188" t="s">
        <v>23822</v>
      </c>
      <c r="C188">
        <v>645</v>
      </c>
      <c r="D188">
        <v>0</v>
      </c>
      <c r="E188">
        <v>0</v>
      </c>
      <c r="F188">
        <v>6985</v>
      </c>
      <c r="G188">
        <f t="shared" si="2"/>
        <v>586564</v>
      </c>
    </row>
    <row r="189" spans="1:7" x14ac:dyDescent="0.25">
      <c r="A189">
        <v>591071</v>
      </c>
      <c r="B189" t="s">
        <v>35940</v>
      </c>
      <c r="C189">
        <v>205</v>
      </c>
      <c r="D189">
        <v>1</v>
      </c>
      <c r="E189">
        <v>780</v>
      </c>
      <c r="F189">
        <v>4234</v>
      </c>
      <c r="G189">
        <f t="shared" si="2"/>
        <v>591071</v>
      </c>
    </row>
    <row r="190" spans="1:7" x14ac:dyDescent="0.25">
      <c r="A190">
        <v>597086</v>
      </c>
      <c r="B190" t="s">
        <v>35941</v>
      </c>
      <c r="C190">
        <v>0</v>
      </c>
      <c r="D190">
        <v>1</v>
      </c>
      <c r="E190">
        <v>302</v>
      </c>
      <c r="F190">
        <v>5113</v>
      </c>
      <c r="G190">
        <f t="shared" si="2"/>
        <v>597086</v>
      </c>
    </row>
    <row r="191" spans="1:7" x14ac:dyDescent="0.25">
      <c r="A191">
        <v>598435</v>
      </c>
      <c r="B191" t="s">
        <v>23823</v>
      </c>
      <c r="C191">
        <v>1622</v>
      </c>
      <c r="D191">
        <v>1</v>
      </c>
      <c r="E191">
        <v>381</v>
      </c>
      <c r="F191">
        <v>4897</v>
      </c>
      <c r="G191">
        <f t="shared" si="2"/>
        <v>598435</v>
      </c>
    </row>
    <row r="192" spans="1:7" x14ac:dyDescent="0.25">
      <c r="A192">
        <v>599230</v>
      </c>
      <c r="B192" t="s">
        <v>35942</v>
      </c>
      <c r="C192">
        <v>0</v>
      </c>
      <c r="D192">
        <v>1</v>
      </c>
      <c r="E192">
        <v>26</v>
      </c>
      <c r="F192">
        <v>6352</v>
      </c>
      <c r="G192">
        <f t="shared" si="2"/>
        <v>599230</v>
      </c>
    </row>
    <row r="193" spans="1:7" x14ac:dyDescent="0.25">
      <c r="A193">
        <v>600739</v>
      </c>
      <c r="B193" t="s">
        <v>23824</v>
      </c>
      <c r="C193">
        <v>0</v>
      </c>
      <c r="D193">
        <v>1</v>
      </c>
      <c r="E193">
        <v>351</v>
      </c>
      <c r="F193">
        <v>4982</v>
      </c>
      <c r="G193">
        <f t="shared" ref="G193:G256" si="3">A193</f>
        <v>600739</v>
      </c>
    </row>
    <row r="194" spans="1:7" x14ac:dyDescent="0.25">
      <c r="A194">
        <v>604338</v>
      </c>
      <c r="B194" t="s">
        <v>23825</v>
      </c>
      <c r="C194">
        <v>0</v>
      </c>
      <c r="D194">
        <v>1</v>
      </c>
      <c r="E194">
        <v>260</v>
      </c>
      <c r="F194">
        <v>5258</v>
      </c>
      <c r="G194">
        <f t="shared" si="3"/>
        <v>604338</v>
      </c>
    </row>
    <row r="195" spans="1:7" x14ac:dyDescent="0.25">
      <c r="A195">
        <v>608497</v>
      </c>
      <c r="B195" t="s">
        <v>23826</v>
      </c>
      <c r="C195">
        <v>0</v>
      </c>
      <c r="D195">
        <v>1</v>
      </c>
      <c r="E195">
        <v>495</v>
      </c>
      <c r="F195">
        <v>4652</v>
      </c>
      <c r="G195">
        <f t="shared" si="3"/>
        <v>608497</v>
      </c>
    </row>
    <row r="196" spans="1:7" x14ac:dyDescent="0.25">
      <c r="A196">
        <v>611188</v>
      </c>
      <c r="B196" t="s">
        <v>23827</v>
      </c>
      <c r="C196">
        <v>320</v>
      </c>
      <c r="D196">
        <v>1</v>
      </c>
      <c r="E196">
        <v>981</v>
      </c>
      <c r="F196">
        <v>4033</v>
      </c>
      <c r="G196">
        <f t="shared" si="3"/>
        <v>611188</v>
      </c>
    </row>
    <row r="197" spans="1:7" x14ac:dyDescent="0.25">
      <c r="A197">
        <v>614761</v>
      </c>
      <c r="B197" t="s">
        <v>35943</v>
      </c>
      <c r="C197">
        <v>0</v>
      </c>
      <c r="D197">
        <v>0</v>
      </c>
      <c r="E197">
        <v>0</v>
      </c>
      <c r="F197">
        <v>6986</v>
      </c>
      <c r="G197">
        <f t="shared" si="3"/>
        <v>614761</v>
      </c>
    </row>
    <row r="198" spans="1:7" x14ac:dyDescent="0.25">
      <c r="A198">
        <v>619386</v>
      </c>
      <c r="B198" t="s">
        <v>35944</v>
      </c>
      <c r="C198">
        <v>0</v>
      </c>
      <c r="D198">
        <v>0</v>
      </c>
      <c r="E198">
        <v>0</v>
      </c>
      <c r="F198">
        <v>6987</v>
      </c>
      <c r="G198">
        <f t="shared" si="3"/>
        <v>619386</v>
      </c>
    </row>
    <row r="199" spans="1:7" x14ac:dyDescent="0.25">
      <c r="A199">
        <v>619909</v>
      </c>
      <c r="B199" t="s">
        <v>23828</v>
      </c>
      <c r="C199">
        <v>1609</v>
      </c>
      <c r="D199">
        <v>5</v>
      </c>
      <c r="E199">
        <v>27388</v>
      </c>
      <c r="F199">
        <v>321</v>
      </c>
      <c r="G199">
        <f t="shared" si="3"/>
        <v>619909</v>
      </c>
    </row>
    <row r="200" spans="1:7" x14ac:dyDescent="0.25">
      <c r="A200">
        <v>620631</v>
      </c>
      <c r="B200" t="s">
        <v>23829</v>
      </c>
      <c r="C200">
        <v>0</v>
      </c>
      <c r="D200">
        <v>1</v>
      </c>
      <c r="E200">
        <v>26</v>
      </c>
      <c r="F200">
        <v>6353</v>
      </c>
      <c r="G200">
        <f t="shared" si="3"/>
        <v>620631</v>
      </c>
    </row>
    <row r="201" spans="1:7" x14ac:dyDescent="0.25">
      <c r="A201">
        <v>621977</v>
      </c>
      <c r="B201" t="s">
        <v>35945</v>
      </c>
      <c r="C201">
        <v>760</v>
      </c>
      <c r="D201">
        <v>3</v>
      </c>
      <c r="E201">
        <v>19529</v>
      </c>
      <c r="F201">
        <v>652</v>
      </c>
      <c r="G201">
        <f t="shared" si="3"/>
        <v>621977</v>
      </c>
    </row>
    <row r="202" spans="1:7" x14ac:dyDescent="0.25">
      <c r="A202">
        <v>623991</v>
      </c>
      <c r="B202" t="s">
        <v>37387</v>
      </c>
      <c r="C202">
        <v>1694</v>
      </c>
      <c r="D202">
        <v>0</v>
      </c>
      <c r="E202">
        <v>0</v>
      </c>
      <c r="F202">
        <v>3922</v>
      </c>
      <c r="G202">
        <f t="shared" si="3"/>
        <v>623991</v>
      </c>
    </row>
    <row r="203" spans="1:7" x14ac:dyDescent="0.25">
      <c r="A203">
        <v>624214</v>
      </c>
      <c r="B203" t="s">
        <v>23830</v>
      </c>
      <c r="C203">
        <v>149</v>
      </c>
      <c r="D203">
        <v>1</v>
      </c>
      <c r="E203">
        <v>411</v>
      </c>
      <c r="F203">
        <v>4824</v>
      </c>
      <c r="G203">
        <f t="shared" si="3"/>
        <v>624214</v>
      </c>
    </row>
    <row r="204" spans="1:7" x14ac:dyDescent="0.25">
      <c r="A204">
        <v>625537</v>
      </c>
      <c r="B204" t="s">
        <v>23831</v>
      </c>
      <c r="C204">
        <v>413</v>
      </c>
      <c r="D204">
        <v>3</v>
      </c>
      <c r="E204">
        <v>8702</v>
      </c>
      <c r="F204">
        <v>1770</v>
      </c>
      <c r="G204">
        <f t="shared" si="3"/>
        <v>625537</v>
      </c>
    </row>
    <row r="205" spans="1:7" x14ac:dyDescent="0.25">
      <c r="A205">
        <v>628650</v>
      </c>
      <c r="B205" t="s">
        <v>23832</v>
      </c>
      <c r="C205">
        <v>1708</v>
      </c>
      <c r="D205">
        <v>1</v>
      </c>
      <c r="E205">
        <v>1570</v>
      </c>
      <c r="F205">
        <v>3557</v>
      </c>
      <c r="G205">
        <f t="shared" si="3"/>
        <v>628650</v>
      </c>
    </row>
    <row r="206" spans="1:7" x14ac:dyDescent="0.25">
      <c r="A206">
        <v>629516</v>
      </c>
      <c r="B206" t="s">
        <v>23833</v>
      </c>
      <c r="C206">
        <v>1340</v>
      </c>
      <c r="D206">
        <v>2</v>
      </c>
      <c r="E206">
        <v>5726</v>
      </c>
      <c r="F206">
        <v>2346</v>
      </c>
      <c r="G206">
        <f t="shared" si="3"/>
        <v>629516</v>
      </c>
    </row>
    <row r="207" spans="1:7" x14ac:dyDescent="0.25">
      <c r="A207">
        <v>631325</v>
      </c>
      <c r="B207" t="s">
        <v>23834</v>
      </c>
      <c r="C207">
        <v>1976</v>
      </c>
      <c r="D207">
        <v>1</v>
      </c>
      <c r="E207">
        <v>390</v>
      </c>
      <c r="F207">
        <v>4872</v>
      </c>
      <c r="G207">
        <f t="shared" si="3"/>
        <v>631325</v>
      </c>
    </row>
    <row r="208" spans="1:7" x14ac:dyDescent="0.25">
      <c r="A208">
        <v>634639</v>
      </c>
      <c r="B208" t="s">
        <v>23835</v>
      </c>
      <c r="C208">
        <v>399</v>
      </c>
      <c r="D208">
        <v>1</v>
      </c>
      <c r="E208">
        <v>1788</v>
      </c>
      <c r="F208">
        <v>3464</v>
      </c>
      <c r="G208">
        <f t="shared" si="3"/>
        <v>634639</v>
      </c>
    </row>
    <row r="209" spans="1:7" x14ac:dyDescent="0.25">
      <c r="A209">
        <v>636573</v>
      </c>
      <c r="B209" t="s">
        <v>23836</v>
      </c>
      <c r="C209">
        <v>0</v>
      </c>
      <c r="D209">
        <v>1</v>
      </c>
      <c r="E209">
        <v>151</v>
      </c>
      <c r="F209">
        <v>5693</v>
      </c>
      <c r="G209">
        <f t="shared" si="3"/>
        <v>636573</v>
      </c>
    </row>
    <row r="210" spans="1:7" x14ac:dyDescent="0.25">
      <c r="A210">
        <v>639374</v>
      </c>
      <c r="B210" t="s">
        <v>23837</v>
      </c>
      <c r="C210">
        <v>638</v>
      </c>
      <c r="D210">
        <v>1</v>
      </c>
      <c r="E210">
        <v>5061</v>
      </c>
      <c r="F210">
        <v>2503</v>
      </c>
      <c r="G210">
        <f t="shared" si="3"/>
        <v>639374</v>
      </c>
    </row>
    <row r="211" spans="1:7" x14ac:dyDescent="0.25">
      <c r="A211">
        <v>640004</v>
      </c>
      <c r="B211" t="s">
        <v>23838</v>
      </c>
      <c r="C211">
        <v>0</v>
      </c>
      <c r="D211">
        <v>1</v>
      </c>
      <c r="E211">
        <v>769</v>
      </c>
      <c r="F211">
        <v>4247</v>
      </c>
      <c r="G211">
        <f t="shared" si="3"/>
        <v>640004</v>
      </c>
    </row>
    <row r="212" spans="1:7" x14ac:dyDescent="0.25">
      <c r="A212">
        <v>645247</v>
      </c>
      <c r="B212" t="s">
        <v>23839</v>
      </c>
      <c r="C212">
        <v>0</v>
      </c>
      <c r="D212">
        <v>1</v>
      </c>
      <c r="E212">
        <v>26</v>
      </c>
      <c r="F212">
        <v>6354</v>
      </c>
      <c r="G212">
        <f t="shared" si="3"/>
        <v>645247</v>
      </c>
    </row>
    <row r="213" spans="1:7" x14ac:dyDescent="0.25">
      <c r="A213">
        <v>655669</v>
      </c>
      <c r="B213" t="s">
        <v>23840</v>
      </c>
      <c r="C213">
        <v>1708</v>
      </c>
      <c r="D213">
        <v>1</v>
      </c>
      <c r="E213">
        <v>1959</v>
      </c>
      <c r="F213">
        <v>3389</v>
      </c>
      <c r="G213">
        <f t="shared" si="3"/>
        <v>655669</v>
      </c>
    </row>
    <row r="214" spans="1:7" x14ac:dyDescent="0.25">
      <c r="A214">
        <v>658143</v>
      </c>
      <c r="B214" t="s">
        <v>35946</v>
      </c>
      <c r="C214">
        <v>0</v>
      </c>
      <c r="D214">
        <v>1</v>
      </c>
      <c r="E214">
        <v>26</v>
      </c>
      <c r="F214">
        <v>6355</v>
      </c>
      <c r="G214">
        <f t="shared" si="3"/>
        <v>658143</v>
      </c>
    </row>
    <row r="215" spans="1:7" x14ac:dyDescent="0.25">
      <c r="A215">
        <v>659839</v>
      </c>
      <c r="B215" t="s">
        <v>23841</v>
      </c>
      <c r="C215">
        <v>0</v>
      </c>
      <c r="D215">
        <v>0</v>
      </c>
      <c r="E215">
        <v>0</v>
      </c>
      <c r="F215">
        <v>6988</v>
      </c>
      <c r="G215">
        <f t="shared" si="3"/>
        <v>659839</v>
      </c>
    </row>
    <row r="216" spans="1:7" x14ac:dyDescent="0.25">
      <c r="A216">
        <v>667174</v>
      </c>
      <c r="B216">
        <v>61</v>
      </c>
      <c r="C216">
        <v>67</v>
      </c>
      <c r="D216">
        <v>2</v>
      </c>
      <c r="E216">
        <v>9326</v>
      </c>
      <c r="F216">
        <v>1666</v>
      </c>
      <c r="G216">
        <f t="shared" si="3"/>
        <v>667174</v>
      </c>
    </row>
    <row r="217" spans="1:7" x14ac:dyDescent="0.25">
      <c r="A217">
        <v>670684</v>
      </c>
      <c r="B217" t="s">
        <v>23842</v>
      </c>
      <c r="C217">
        <v>138</v>
      </c>
      <c r="D217">
        <v>3</v>
      </c>
      <c r="E217">
        <v>14409</v>
      </c>
      <c r="F217">
        <v>1043</v>
      </c>
      <c r="G217">
        <f t="shared" si="3"/>
        <v>670684</v>
      </c>
    </row>
    <row r="218" spans="1:7" x14ac:dyDescent="0.25">
      <c r="A218">
        <v>672044</v>
      </c>
      <c r="B218" t="s">
        <v>37237</v>
      </c>
      <c r="C218">
        <v>625</v>
      </c>
      <c r="D218">
        <v>3</v>
      </c>
      <c r="E218">
        <v>6690</v>
      </c>
      <c r="F218">
        <v>2121</v>
      </c>
      <c r="G218">
        <f t="shared" si="3"/>
        <v>672044</v>
      </c>
    </row>
    <row r="219" spans="1:7" x14ac:dyDescent="0.25">
      <c r="A219">
        <v>675732</v>
      </c>
      <c r="B219" t="s">
        <v>23843</v>
      </c>
      <c r="C219">
        <v>23</v>
      </c>
      <c r="D219">
        <v>1</v>
      </c>
      <c r="E219">
        <v>3083</v>
      </c>
      <c r="F219">
        <v>2974</v>
      </c>
      <c r="G219">
        <f t="shared" si="3"/>
        <v>675732</v>
      </c>
    </row>
    <row r="220" spans="1:7" x14ac:dyDescent="0.25">
      <c r="A220">
        <v>682881</v>
      </c>
      <c r="B220" t="s">
        <v>23844</v>
      </c>
      <c r="C220">
        <v>0</v>
      </c>
      <c r="D220">
        <v>1</v>
      </c>
      <c r="E220">
        <v>1070</v>
      </c>
      <c r="F220">
        <v>3880</v>
      </c>
      <c r="G220">
        <f t="shared" si="3"/>
        <v>682881</v>
      </c>
    </row>
    <row r="221" spans="1:7" x14ac:dyDescent="0.25">
      <c r="A221">
        <v>687464</v>
      </c>
      <c r="B221" t="s">
        <v>23845</v>
      </c>
      <c r="C221">
        <v>0</v>
      </c>
      <c r="D221">
        <v>0</v>
      </c>
      <c r="E221">
        <v>0</v>
      </c>
      <c r="F221">
        <v>6989</v>
      </c>
      <c r="G221">
        <f t="shared" si="3"/>
        <v>687464</v>
      </c>
    </row>
    <row r="222" spans="1:7" x14ac:dyDescent="0.25">
      <c r="A222">
        <v>687990</v>
      </c>
      <c r="B222" t="s">
        <v>23846</v>
      </c>
      <c r="C222">
        <v>0</v>
      </c>
      <c r="D222">
        <v>1</v>
      </c>
      <c r="E222">
        <v>284</v>
      </c>
      <c r="F222">
        <v>5166</v>
      </c>
      <c r="G222">
        <f t="shared" si="3"/>
        <v>687990</v>
      </c>
    </row>
    <row r="223" spans="1:7" x14ac:dyDescent="0.25">
      <c r="A223">
        <v>688886</v>
      </c>
      <c r="B223" t="s">
        <v>23847</v>
      </c>
      <c r="C223">
        <v>1914</v>
      </c>
      <c r="D223">
        <v>1</v>
      </c>
      <c r="E223">
        <v>578</v>
      </c>
      <c r="F223">
        <v>4526</v>
      </c>
      <c r="G223">
        <f t="shared" si="3"/>
        <v>688886</v>
      </c>
    </row>
    <row r="224" spans="1:7" x14ac:dyDescent="0.25">
      <c r="A224">
        <v>689047</v>
      </c>
      <c r="B224" t="s">
        <v>35947</v>
      </c>
      <c r="C224">
        <v>196</v>
      </c>
      <c r="D224">
        <v>5</v>
      </c>
      <c r="E224">
        <v>25666</v>
      </c>
      <c r="F224">
        <v>377</v>
      </c>
      <c r="G224">
        <f t="shared" si="3"/>
        <v>689047</v>
      </c>
    </row>
    <row r="225" spans="1:7" x14ac:dyDescent="0.25">
      <c r="A225">
        <v>693727</v>
      </c>
      <c r="B225" t="s">
        <v>23848</v>
      </c>
      <c r="C225">
        <v>199</v>
      </c>
      <c r="D225">
        <v>3</v>
      </c>
      <c r="E225">
        <v>19037</v>
      </c>
      <c r="F225">
        <v>680</v>
      </c>
      <c r="G225">
        <f t="shared" si="3"/>
        <v>693727</v>
      </c>
    </row>
    <row r="226" spans="1:7" x14ac:dyDescent="0.25">
      <c r="A226">
        <v>696471</v>
      </c>
      <c r="B226" t="s">
        <v>23849</v>
      </c>
      <c r="C226">
        <v>54</v>
      </c>
      <c r="D226">
        <v>1</v>
      </c>
      <c r="E226">
        <v>1228</v>
      </c>
      <c r="F226">
        <v>3773</v>
      </c>
      <c r="G226">
        <f t="shared" si="3"/>
        <v>696471</v>
      </c>
    </row>
    <row r="227" spans="1:7" x14ac:dyDescent="0.25">
      <c r="A227">
        <v>697187</v>
      </c>
      <c r="B227" t="s">
        <v>23850</v>
      </c>
      <c r="C227">
        <v>0</v>
      </c>
      <c r="D227">
        <v>1</v>
      </c>
      <c r="E227">
        <v>26</v>
      </c>
      <c r="F227">
        <v>6356</v>
      </c>
      <c r="G227">
        <f t="shared" si="3"/>
        <v>697187</v>
      </c>
    </row>
    <row r="228" spans="1:7" x14ac:dyDescent="0.25">
      <c r="A228">
        <v>700859</v>
      </c>
      <c r="B228" t="s">
        <v>23851</v>
      </c>
      <c r="C228">
        <v>53</v>
      </c>
      <c r="D228">
        <v>1</v>
      </c>
      <c r="E228">
        <v>3460</v>
      </c>
      <c r="F228">
        <v>2882</v>
      </c>
      <c r="G228">
        <f t="shared" si="3"/>
        <v>700859</v>
      </c>
    </row>
    <row r="229" spans="1:7" x14ac:dyDescent="0.25">
      <c r="A229">
        <v>701412</v>
      </c>
      <c r="B229" t="s">
        <v>23852</v>
      </c>
      <c r="C229">
        <v>0</v>
      </c>
      <c r="D229">
        <v>1</v>
      </c>
      <c r="E229">
        <v>435</v>
      </c>
      <c r="F229">
        <v>4768</v>
      </c>
      <c r="G229">
        <f t="shared" si="3"/>
        <v>701412</v>
      </c>
    </row>
    <row r="230" spans="1:7" x14ac:dyDescent="0.25">
      <c r="A230">
        <v>707944</v>
      </c>
      <c r="B230" t="s">
        <v>35948</v>
      </c>
      <c r="C230">
        <v>0</v>
      </c>
      <c r="D230">
        <v>1</v>
      </c>
      <c r="E230">
        <v>666</v>
      </c>
      <c r="F230">
        <v>4388</v>
      </c>
      <c r="G230">
        <f t="shared" si="3"/>
        <v>707944</v>
      </c>
    </row>
    <row r="231" spans="1:7" x14ac:dyDescent="0.25">
      <c r="A231">
        <v>714562</v>
      </c>
      <c r="B231" t="s">
        <v>36980</v>
      </c>
      <c r="C231">
        <v>15</v>
      </c>
      <c r="D231">
        <v>1</v>
      </c>
      <c r="E231">
        <v>26</v>
      </c>
      <c r="F231">
        <v>6357</v>
      </c>
      <c r="G231">
        <f t="shared" si="3"/>
        <v>714562</v>
      </c>
    </row>
    <row r="232" spans="1:7" x14ac:dyDescent="0.25">
      <c r="A232">
        <v>716159</v>
      </c>
      <c r="B232" t="s">
        <v>23853</v>
      </c>
      <c r="C232">
        <v>0</v>
      </c>
      <c r="D232">
        <v>1</v>
      </c>
      <c r="E232">
        <v>26</v>
      </c>
      <c r="F232">
        <v>6358</v>
      </c>
      <c r="G232">
        <f t="shared" si="3"/>
        <v>716159</v>
      </c>
    </row>
    <row r="233" spans="1:7" x14ac:dyDescent="0.25">
      <c r="A233">
        <v>721087</v>
      </c>
      <c r="B233" t="s">
        <v>23854</v>
      </c>
      <c r="C233">
        <v>0</v>
      </c>
      <c r="D233">
        <v>1</v>
      </c>
      <c r="E233">
        <v>26</v>
      </c>
      <c r="F233">
        <v>6359</v>
      </c>
      <c r="G233">
        <f t="shared" si="3"/>
        <v>721087</v>
      </c>
    </row>
    <row r="234" spans="1:7" x14ac:dyDescent="0.25">
      <c r="A234">
        <v>729406</v>
      </c>
      <c r="B234" t="s">
        <v>23855</v>
      </c>
      <c r="C234">
        <v>74</v>
      </c>
      <c r="D234">
        <v>0</v>
      </c>
      <c r="E234">
        <v>0</v>
      </c>
      <c r="F234">
        <v>6990</v>
      </c>
      <c r="G234">
        <f t="shared" si="3"/>
        <v>729406</v>
      </c>
    </row>
    <row r="235" spans="1:7" x14ac:dyDescent="0.25">
      <c r="A235">
        <v>731739</v>
      </c>
      <c r="B235" t="s">
        <v>23856</v>
      </c>
      <c r="C235">
        <v>760</v>
      </c>
      <c r="D235">
        <v>5</v>
      </c>
      <c r="E235">
        <v>23891</v>
      </c>
      <c r="F235">
        <v>441</v>
      </c>
      <c r="G235">
        <f t="shared" si="3"/>
        <v>731739</v>
      </c>
    </row>
    <row r="236" spans="1:7" x14ac:dyDescent="0.25">
      <c r="A236">
        <v>734126</v>
      </c>
      <c r="B236" t="s">
        <v>23857</v>
      </c>
      <c r="C236">
        <v>0</v>
      </c>
      <c r="D236">
        <v>1</v>
      </c>
      <c r="E236">
        <v>549</v>
      </c>
      <c r="F236">
        <v>4551</v>
      </c>
      <c r="G236">
        <f t="shared" si="3"/>
        <v>734126</v>
      </c>
    </row>
    <row r="237" spans="1:7" x14ac:dyDescent="0.25">
      <c r="A237">
        <v>735534</v>
      </c>
      <c r="B237" t="s">
        <v>37238</v>
      </c>
      <c r="C237">
        <v>1699</v>
      </c>
      <c r="D237">
        <v>4</v>
      </c>
      <c r="E237">
        <v>15939</v>
      </c>
      <c r="F237">
        <v>914</v>
      </c>
      <c r="G237">
        <f t="shared" si="3"/>
        <v>735534</v>
      </c>
    </row>
    <row r="238" spans="1:7" x14ac:dyDescent="0.25">
      <c r="A238">
        <v>737479</v>
      </c>
      <c r="B238" t="s">
        <v>23858</v>
      </c>
      <c r="C238">
        <v>0</v>
      </c>
      <c r="D238">
        <v>0</v>
      </c>
      <c r="E238">
        <v>0</v>
      </c>
      <c r="F238">
        <v>6991</v>
      </c>
      <c r="G238">
        <f t="shared" si="3"/>
        <v>737479</v>
      </c>
    </row>
    <row r="239" spans="1:7" x14ac:dyDescent="0.25">
      <c r="A239">
        <v>739984</v>
      </c>
      <c r="B239" t="s">
        <v>35949</v>
      </c>
      <c r="C239">
        <v>278</v>
      </c>
      <c r="D239">
        <v>1</v>
      </c>
      <c r="E239">
        <v>26</v>
      </c>
      <c r="F239">
        <v>6360</v>
      </c>
      <c r="G239">
        <f t="shared" si="3"/>
        <v>739984</v>
      </c>
    </row>
    <row r="240" spans="1:7" x14ac:dyDescent="0.25">
      <c r="A240">
        <v>740566</v>
      </c>
      <c r="B240" t="s">
        <v>23859</v>
      </c>
      <c r="C240">
        <v>1823</v>
      </c>
      <c r="D240">
        <v>1</v>
      </c>
      <c r="E240">
        <v>701</v>
      </c>
      <c r="F240">
        <v>4354</v>
      </c>
      <c r="G240">
        <f t="shared" si="3"/>
        <v>740566</v>
      </c>
    </row>
    <row r="241" spans="1:7" x14ac:dyDescent="0.25">
      <c r="A241">
        <v>746066</v>
      </c>
      <c r="B241" t="s">
        <v>23860</v>
      </c>
      <c r="C241">
        <v>0</v>
      </c>
      <c r="D241">
        <v>1</v>
      </c>
      <c r="E241">
        <v>94</v>
      </c>
      <c r="F241">
        <v>5879</v>
      </c>
      <c r="G241">
        <f t="shared" si="3"/>
        <v>746066</v>
      </c>
    </row>
    <row r="242" spans="1:7" x14ac:dyDescent="0.25">
      <c r="A242">
        <v>754508</v>
      </c>
      <c r="B242" t="s">
        <v>23861</v>
      </c>
      <c r="C242">
        <v>0</v>
      </c>
      <c r="D242">
        <v>0</v>
      </c>
      <c r="E242">
        <v>0</v>
      </c>
      <c r="F242">
        <v>6992</v>
      </c>
      <c r="G242">
        <f t="shared" si="3"/>
        <v>754508</v>
      </c>
    </row>
    <row r="243" spans="1:7" x14ac:dyDescent="0.25">
      <c r="A243">
        <v>759344</v>
      </c>
      <c r="B243" t="s">
        <v>23862</v>
      </c>
      <c r="C243">
        <v>0</v>
      </c>
      <c r="D243">
        <v>0</v>
      </c>
      <c r="E243">
        <v>0</v>
      </c>
      <c r="F243">
        <v>6993</v>
      </c>
      <c r="G243">
        <f t="shared" si="3"/>
        <v>759344</v>
      </c>
    </row>
    <row r="244" spans="1:7" x14ac:dyDescent="0.25">
      <c r="A244">
        <v>759436</v>
      </c>
      <c r="B244" t="s">
        <v>23863</v>
      </c>
      <c r="C244">
        <v>0</v>
      </c>
      <c r="D244">
        <v>1</v>
      </c>
      <c r="E244">
        <v>169</v>
      </c>
      <c r="F244">
        <v>5619</v>
      </c>
      <c r="G244">
        <f t="shared" si="3"/>
        <v>759436</v>
      </c>
    </row>
    <row r="245" spans="1:7" x14ac:dyDescent="0.25">
      <c r="A245">
        <v>767751</v>
      </c>
      <c r="B245" t="s">
        <v>35950</v>
      </c>
      <c r="C245">
        <v>733</v>
      </c>
      <c r="D245">
        <v>4</v>
      </c>
      <c r="E245">
        <v>23766</v>
      </c>
      <c r="F245">
        <v>454</v>
      </c>
      <c r="G245">
        <f t="shared" si="3"/>
        <v>767751</v>
      </c>
    </row>
    <row r="246" spans="1:7" x14ac:dyDescent="0.25">
      <c r="A246">
        <v>778833</v>
      </c>
      <c r="B246" t="s">
        <v>23864</v>
      </c>
      <c r="C246">
        <v>0</v>
      </c>
      <c r="D246">
        <v>1</v>
      </c>
      <c r="E246">
        <v>26</v>
      </c>
      <c r="F246">
        <v>6361</v>
      </c>
      <c r="G246">
        <f t="shared" si="3"/>
        <v>778833</v>
      </c>
    </row>
    <row r="247" spans="1:7" x14ac:dyDescent="0.25">
      <c r="A247">
        <v>786743</v>
      </c>
      <c r="B247" t="s">
        <v>23865</v>
      </c>
      <c r="C247">
        <v>0</v>
      </c>
      <c r="D247">
        <v>0</v>
      </c>
      <c r="E247">
        <v>0</v>
      </c>
      <c r="F247">
        <v>6994</v>
      </c>
      <c r="G247">
        <f t="shared" si="3"/>
        <v>786743</v>
      </c>
    </row>
    <row r="248" spans="1:7" x14ac:dyDescent="0.25">
      <c r="A248">
        <v>792110</v>
      </c>
      <c r="B248" t="s">
        <v>23866</v>
      </c>
      <c r="C248">
        <v>1582</v>
      </c>
      <c r="D248">
        <v>1</v>
      </c>
      <c r="E248">
        <v>76</v>
      </c>
      <c r="F248">
        <v>6002</v>
      </c>
      <c r="G248">
        <f t="shared" si="3"/>
        <v>792110</v>
      </c>
    </row>
    <row r="249" spans="1:7" x14ac:dyDescent="0.25">
      <c r="A249">
        <v>793981</v>
      </c>
      <c r="B249" t="s">
        <v>37239</v>
      </c>
      <c r="C249">
        <v>422</v>
      </c>
      <c r="D249">
        <v>4</v>
      </c>
      <c r="E249">
        <v>22676</v>
      </c>
      <c r="F249">
        <v>492</v>
      </c>
      <c r="G249">
        <f t="shared" si="3"/>
        <v>793981</v>
      </c>
    </row>
    <row r="250" spans="1:7" x14ac:dyDescent="0.25">
      <c r="A250">
        <v>808015</v>
      </c>
      <c r="B250" t="s">
        <v>23867</v>
      </c>
      <c r="C250">
        <v>0</v>
      </c>
      <c r="D250">
        <v>0</v>
      </c>
      <c r="E250">
        <v>0</v>
      </c>
      <c r="F250">
        <v>6995</v>
      </c>
      <c r="G250">
        <f t="shared" si="3"/>
        <v>808015</v>
      </c>
    </row>
    <row r="251" spans="1:7" x14ac:dyDescent="0.25">
      <c r="A251">
        <v>809343</v>
      </c>
      <c r="B251" t="s">
        <v>23868</v>
      </c>
      <c r="C251">
        <v>0</v>
      </c>
      <c r="D251">
        <v>0</v>
      </c>
      <c r="E251">
        <v>0</v>
      </c>
      <c r="F251">
        <v>6996</v>
      </c>
      <c r="G251">
        <f t="shared" si="3"/>
        <v>809343</v>
      </c>
    </row>
    <row r="252" spans="1:7" x14ac:dyDescent="0.25">
      <c r="A252">
        <v>814507</v>
      </c>
      <c r="B252" t="s">
        <v>23869</v>
      </c>
      <c r="C252">
        <v>1858</v>
      </c>
      <c r="D252">
        <v>1</v>
      </c>
      <c r="E252">
        <v>784</v>
      </c>
      <c r="F252">
        <v>4223</v>
      </c>
      <c r="G252">
        <f t="shared" si="3"/>
        <v>814507</v>
      </c>
    </row>
    <row r="253" spans="1:7" x14ac:dyDescent="0.25">
      <c r="A253">
        <v>822120</v>
      </c>
      <c r="B253" t="s">
        <v>23870</v>
      </c>
      <c r="C253">
        <v>149</v>
      </c>
      <c r="D253">
        <v>2</v>
      </c>
      <c r="E253">
        <v>8059</v>
      </c>
      <c r="F253">
        <v>1870</v>
      </c>
      <c r="G253">
        <f t="shared" si="3"/>
        <v>822120</v>
      </c>
    </row>
    <row r="254" spans="1:7" x14ac:dyDescent="0.25">
      <c r="A254">
        <v>823432</v>
      </c>
      <c r="B254" t="s">
        <v>35951</v>
      </c>
      <c r="C254">
        <v>0</v>
      </c>
      <c r="D254">
        <v>1</v>
      </c>
      <c r="E254">
        <v>158</v>
      </c>
      <c r="F254">
        <v>5665</v>
      </c>
      <c r="G254">
        <f t="shared" si="3"/>
        <v>823432</v>
      </c>
    </row>
    <row r="255" spans="1:7" x14ac:dyDescent="0.25">
      <c r="A255">
        <v>823554</v>
      </c>
      <c r="B255" t="s">
        <v>23871</v>
      </c>
      <c r="C255">
        <v>321</v>
      </c>
      <c r="D255">
        <v>2</v>
      </c>
      <c r="E255">
        <v>7528</v>
      </c>
      <c r="F255">
        <v>1975</v>
      </c>
      <c r="G255">
        <f t="shared" si="3"/>
        <v>823554</v>
      </c>
    </row>
    <row r="256" spans="1:7" x14ac:dyDescent="0.25">
      <c r="A256">
        <v>824029</v>
      </c>
      <c r="B256" t="s">
        <v>23872</v>
      </c>
      <c r="C256">
        <v>0</v>
      </c>
      <c r="D256">
        <v>0</v>
      </c>
      <c r="E256">
        <v>0</v>
      </c>
      <c r="F256">
        <v>6997</v>
      </c>
      <c r="G256">
        <f t="shared" si="3"/>
        <v>824029</v>
      </c>
    </row>
    <row r="257" spans="1:7" x14ac:dyDescent="0.25">
      <c r="A257">
        <v>824769</v>
      </c>
      <c r="B257" t="s">
        <v>23873</v>
      </c>
      <c r="C257">
        <v>152</v>
      </c>
      <c r="D257">
        <v>2</v>
      </c>
      <c r="E257">
        <v>8022</v>
      </c>
      <c r="F257">
        <v>1880</v>
      </c>
      <c r="G257">
        <f t="shared" ref="G257:G320" si="4">A257</f>
        <v>824769</v>
      </c>
    </row>
    <row r="258" spans="1:7" x14ac:dyDescent="0.25">
      <c r="A258">
        <v>832699</v>
      </c>
      <c r="B258" t="s">
        <v>37092</v>
      </c>
      <c r="C258">
        <v>760</v>
      </c>
      <c r="D258">
        <v>8</v>
      </c>
      <c r="E258">
        <v>52006</v>
      </c>
      <c r="F258">
        <v>35</v>
      </c>
      <c r="G258">
        <f t="shared" si="4"/>
        <v>832699</v>
      </c>
    </row>
    <row r="259" spans="1:7" x14ac:dyDescent="0.25">
      <c r="A259">
        <v>833938</v>
      </c>
      <c r="B259" t="s">
        <v>23874</v>
      </c>
      <c r="C259">
        <v>1602</v>
      </c>
      <c r="D259">
        <v>1</v>
      </c>
      <c r="E259">
        <v>2014</v>
      </c>
      <c r="F259">
        <v>3356</v>
      </c>
      <c r="G259">
        <f t="shared" si="4"/>
        <v>833938</v>
      </c>
    </row>
    <row r="260" spans="1:7" x14ac:dyDescent="0.25">
      <c r="A260">
        <v>840147</v>
      </c>
      <c r="B260" t="s">
        <v>35952</v>
      </c>
      <c r="C260">
        <v>1459</v>
      </c>
      <c r="D260">
        <v>1</v>
      </c>
      <c r="E260">
        <v>296</v>
      </c>
      <c r="F260">
        <v>5129</v>
      </c>
      <c r="G260">
        <f t="shared" si="4"/>
        <v>840147</v>
      </c>
    </row>
    <row r="261" spans="1:7" x14ac:dyDescent="0.25">
      <c r="A261">
        <v>841722</v>
      </c>
      <c r="B261" t="s">
        <v>23875</v>
      </c>
      <c r="C261">
        <v>924</v>
      </c>
      <c r="D261">
        <v>0</v>
      </c>
      <c r="E261">
        <v>0</v>
      </c>
      <c r="F261">
        <v>6998</v>
      </c>
      <c r="G261">
        <f t="shared" si="4"/>
        <v>841722</v>
      </c>
    </row>
    <row r="262" spans="1:7" x14ac:dyDescent="0.25">
      <c r="A262">
        <v>845508</v>
      </c>
      <c r="B262" t="s">
        <v>23876</v>
      </c>
      <c r="C262">
        <v>189</v>
      </c>
      <c r="D262">
        <v>4</v>
      </c>
      <c r="E262">
        <v>8154</v>
      </c>
      <c r="F262">
        <v>1849</v>
      </c>
      <c r="G262">
        <f t="shared" si="4"/>
        <v>845508</v>
      </c>
    </row>
    <row r="263" spans="1:7" x14ac:dyDescent="0.25">
      <c r="A263">
        <v>852853</v>
      </c>
      <c r="B263" t="s">
        <v>35953</v>
      </c>
      <c r="C263">
        <v>1622</v>
      </c>
      <c r="D263">
        <v>1</v>
      </c>
      <c r="E263">
        <v>830</v>
      </c>
      <c r="F263">
        <v>4154</v>
      </c>
      <c r="G263">
        <f t="shared" si="4"/>
        <v>852853</v>
      </c>
    </row>
    <row r="264" spans="1:7" x14ac:dyDescent="0.25">
      <c r="A264">
        <v>858526</v>
      </c>
      <c r="B264" t="s">
        <v>23877</v>
      </c>
      <c r="C264">
        <v>0</v>
      </c>
      <c r="D264">
        <v>0</v>
      </c>
      <c r="E264">
        <v>0</v>
      </c>
      <c r="F264">
        <v>6999</v>
      </c>
      <c r="G264">
        <f t="shared" si="4"/>
        <v>858526</v>
      </c>
    </row>
    <row r="265" spans="1:7" x14ac:dyDescent="0.25">
      <c r="A265">
        <v>858689</v>
      </c>
      <c r="B265" t="s">
        <v>37093</v>
      </c>
      <c r="C265">
        <v>0</v>
      </c>
      <c r="D265">
        <v>1</v>
      </c>
      <c r="E265">
        <v>95</v>
      </c>
      <c r="F265">
        <v>5874</v>
      </c>
      <c r="G265">
        <f t="shared" si="4"/>
        <v>858689</v>
      </c>
    </row>
    <row r="266" spans="1:7" x14ac:dyDescent="0.25">
      <c r="A266">
        <v>862232</v>
      </c>
      <c r="B266" t="s">
        <v>23878</v>
      </c>
      <c r="C266">
        <v>1490</v>
      </c>
      <c r="D266">
        <v>1</v>
      </c>
      <c r="E266">
        <v>540</v>
      </c>
      <c r="F266">
        <v>4566</v>
      </c>
      <c r="G266">
        <f t="shared" si="4"/>
        <v>862232</v>
      </c>
    </row>
    <row r="267" spans="1:7" x14ac:dyDescent="0.25">
      <c r="A267">
        <v>867156</v>
      </c>
      <c r="B267" t="s">
        <v>23879</v>
      </c>
      <c r="C267">
        <v>20</v>
      </c>
      <c r="D267">
        <v>2</v>
      </c>
      <c r="E267">
        <v>10985</v>
      </c>
      <c r="F267">
        <v>1422</v>
      </c>
      <c r="G267">
        <f t="shared" si="4"/>
        <v>867156</v>
      </c>
    </row>
    <row r="268" spans="1:7" x14ac:dyDescent="0.25">
      <c r="A268">
        <v>877941</v>
      </c>
      <c r="B268" t="s">
        <v>23880</v>
      </c>
      <c r="C268">
        <v>0</v>
      </c>
      <c r="D268">
        <v>1</v>
      </c>
      <c r="E268">
        <v>879</v>
      </c>
      <c r="F268">
        <v>4110</v>
      </c>
      <c r="G268">
        <f t="shared" si="4"/>
        <v>877941</v>
      </c>
    </row>
    <row r="269" spans="1:7" x14ac:dyDescent="0.25">
      <c r="A269">
        <v>881657</v>
      </c>
      <c r="B269" t="s">
        <v>35954</v>
      </c>
      <c r="C269">
        <v>1775</v>
      </c>
      <c r="D269">
        <v>1</v>
      </c>
      <c r="E269">
        <v>3566</v>
      </c>
      <c r="F269">
        <v>2860</v>
      </c>
      <c r="G269">
        <f t="shared" si="4"/>
        <v>881657</v>
      </c>
    </row>
    <row r="270" spans="1:7" x14ac:dyDescent="0.25">
      <c r="A270">
        <v>882734</v>
      </c>
      <c r="B270" t="s">
        <v>23881</v>
      </c>
      <c r="C270">
        <v>0</v>
      </c>
      <c r="D270">
        <v>1</v>
      </c>
      <c r="E270">
        <v>350</v>
      </c>
      <c r="F270">
        <v>5003</v>
      </c>
      <c r="G270">
        <f t="shared" si="4"/>
        <v>882734</v>
      </c>
    </row>
    <row r="271" spans="1:7" x14ac:dyDescent="0.25">
      <c r="A271">
        <v>882797</v>
      </c>
      <c r="B271" t="s">
        <v>35955</v>
      </c>
      <c r="C271">
        <v>15</v>
      </c>
      <c r="D271">
        <v>0</v>
      </c>
      <c r="E271">
        <v>0</v>
      </c>
      <c r="F271">
        <v>7000</v>
      </c>
      <c r="G271">
        <f t="shared" si="4"/>
        <v>882797</v>
      </c>
    </row>
    <row r="272" spans="1:7" x14ac:dyDescent="0.25">
      <c r="A272">
        <v>887801</v>
      </c>
      <c r="B272" t="s">
        <v>37106</v>
      </c>
      <c r="C272">
        <v>1976</v>
      </c>
      <c r="D272">
        <v>1</v>
      </c>
      <c r="E272">
        <v>304</v>
      </c>
      <c r="F272">
        <v>5117</v>
      </c>
      <c r="G272">
        <f t="shared" si="4"/>
        <v>887801</v>
      </c>
    </row>
    <row r="273" spans="1:7" x14ac:dyDescent="0.25">
      <c r="A273">
        <v>889991</v>
      </c>
      <c r="B273" t="s">
        <v>23882</v>
      </c>
      <c r="C273">
        <v>0</v>
      </c>
      <c r="D273">
        <v>1</v>
      </c>
      <c r="E273">
        <v>26</v>
      </c>
      <c r="F273">
        <v>6362</v>
      </c>
      <c r="G273">
        <f t="shared" si="4"/>
        <v>889991</v>
      </c>
    </row>
    <row r="274" spans="1:7" x14ac:dyDescent="0.25">
      <c r="A274">
        <v>890198</v>
      </c>
      <c r="B274" t="s">
        <v>23883</v>
      </c>
      <c r="C274">
        <v>53</v>
      </c>
      <c r="D274">
        <v>5</v>
      </c>
      <c r="E274">
        <v>21560</v>
      </c>
      <c r="F274">
        <v>544</v>
      </c>
      <c r="G274">
        <f t="shared" si="4"/>
        <v>890198</v>
      </c>
    </row>
    <row r="275" spans="1:7" x14ac:dyDescent="0.25">
      <c r="A275">
        <v>897823</v>
      </c>
      <c r="B275" t="s">
        <v>23884</v>
      </c>
      <c r="C275">
        <v>138</v>
      </c>
      <c r="D275">
        <v>5</v>
      </c>
      <c r="E275">
        <v>20623</v>
      </c>
      <c r="F275">
        <v>595</v>
      </c>
      <c r="G275">
        <f t="shared" si="4"/>
        <v>897823</v>
      </c>
    </row>
    <row r="276" spans="1:7" x14ac:dyDescent="0.25">
      <c r="A276">
        <v>902335</v>
      </c>
      <c r="B276" t="s">
        <v>23885</v>
      </c>
      <c r="C276">
        <v>94</v>
      </c>
      <c r="D276">
        <v>3</v>
      </c>
      <c r="E276">
        <v>18826</v>
      </c>
      <c r="F276">
        <v>702</v>
      </c>
      <c r="G276">
        <f t="shared" si="4"/>
        <v>902335</v>
      </c>
    </row>
    <row r="277" spans="1:7" x14ac:dyDescent="0.25">
      <c r="A277">
        <v>902658</v>
      </c>
      <c r="B277" t="s">
        <v>23886</v>
      </c>
      <c r="C277">
        <v>149</v>
      </c>
      <c r="D277">
        <v>1</v>
      </c>
      <c r="E277">
        <v>780</v>
      </c>
      <c r="F277">
        <v>4235</v>
      </c>
      <c r="G277">
        <f t="shared" si="4"/>
        <v>902658</v>
      </c>
    </row>
    <row r="278" spans="1:7" x14ac:dyDescent="0.25">
      <c r="A278">
        <v>908101</v>
      </c>
      <c r="B278" t="s">
        <v>23887</v>
      </c>
      <c r="C278">
        <v>74</v>
      </c>
      <c r="D278">
        <v>1</v>
      </c>
      <c r="E278">
        <v>1097</v>
      </c>
      <c r="F278">
        <v>3888</v>
      </c>
      <c r="G278">
        <f t="shared" si="4"/>
        <v>908101</v>
      </c>
    </row>
    <row r="279" spans="1:7" x14ac:dyDescent="0.25">
      <c r="A279">
        <v>908297</v>
      </c>
      <c r="B279" t="s">
        <v>35956</v>
      </c>
      <c r="C279">
        <v>413</v>
      </c>
      <c r="D279">
        <v>3</v>
      </c>
      <c r="E279">
        <v>8924</v>
      </c>
      <c r="F279">
        <v>1730</v>
      </c>
      <c r="G279">
        <f t="shared" si="4"/>
        <v>908297</v>
      </c>
    </row>
    <row r="280" spans="1:7" x14ac:dyDescent="0.25">
      <c r="A280">
        <v>916243</v>
      </c>
      <c r="B280" t="s">
        <v>23888</v>
      </c>
      <c r="C280">
        <v>205</v>
      </c>
      <c r="D280">
        <v>1</v>
      </c>
      <c r="E280">
        <v>1847</v>
      </c>
      <c r="F280">
        <v>3417</v>
      </c>
      <c r="G280">
        <f t="shared" si="4"/>
        <v>916243</v>
      </c>
    </row>
    <row r="281" spans="1:7" x14ac:dyDescent="0.25">
      <c r="A281">
        <v>917250</v>
      </c>
      <c r="B281" t="s">
        <v>35957</v>
      </c>
      <c r="C281">
        <v>0</v>
      </c>
      <c r="D281">
        <v>1</v>
      </c>
      <c r="E281">
        <v>176</v>
      </c>
      <c r="F281">
        <v>5594</v>
      </c>
      <c r="G281">
        <f t="shared" si="4"/>
        <v>917250</v>
      </c>
    </row>
    <row r="282" spans="1:7" x14ac:dyDescent="0.25">
      <c r="A282">
        <v>918317</v>
      </c>
      <c r="B282" t="s">
        <v>37240</v>
      </c>
      <c r="C282">
        <v>0</v>
      </c>
      <c r="D282">
        <v>1</v>
      </c>
      <c r="E282">
        <v>123</v>
      </c>
      <c r="F282">
        <v>5793</v>
      </c>
      <c r="G282">
        <f t="shared" si="4"/>
        <v>918317</v>
      </c>
    </row>
    <row r="283" spans="1:7" x14ac:dyDescent="0.25">
      <c r="A283">
        <v>940895</v>
      </c>
      <c r="B283" t="s">
        <v>23889</v>
      </c>
      <c r="C283">
        <v>0</v>
      </c>
      <c r="D283">
        <v>1</v>
      </c>
      <c r="E283">
        <v>26</v>
      </c>
      <c r="F283">
        <v>6363</v>
      </c>
      <c r="G283">
        <f t="shared" si="4"/>
        <v>940895</v>
      </c>
    </row>
    <row r="284" spans="1:7" x14ac:dyDescent="0.25">
      <c r="A284">
        <v>941519</v>
      </c>
      <c r="B284" t="s">
        <v>2147</v>
      </c>
      <c r="C284">
        <v>0</v>
      </c>
      <c r="D284">
        <v>5</v>
      </c>
      <c r="E284">
        <v>9316</v>
      </c>
      <c r="F284">
        <v>1668</v>
      </c>
      <c r="G284">
        <f t="shared" si="4"/>
        <v>941519</v>
      </c>
    </row>
    <row r="285" spans="1:7" x14ac:dyDescent="0.25">
      <c r="A285">
        <v>942831</v>
      </c>
      <c r="B285" t="s">
        <v>2698</v>
      </c>
      <c r="C285">
        <v>205</v>
      </c>
      <c r="D285">
        <v>1</v>
      </c>
      <c r="E285">
        <v>2130</v>
      </c>
      <c r="F285">
        <v>3280</v>
      </c>
      <c r="G285">
        <f t="shared" si="4"/>
        <v>942831</v>
      </c>
    </row>
    <row r="286" spans="1:7" x14ac:dyDescent="0.25">
      <c r="A286">
        <v>950620</v>
      </c>
      <c r="B286" t="s">
        <v>23890</v>
      </c>
      <c r="C286">
        <v>1688</v>
      </c>
      <c r="D286">
        <v>3</v>
      </c>
      <c r="E286">
        <v>18161</v>
      </c>
      <c r="F286">
        <v>744</v>
      </c>
      <c r="G286">
        <f t="shared" si="4"/>
        <v>950620</v>
      </c>
    </row>
    <row r="287" spans="1:7" x14ac:dyDescent="0.25">
      <c r="A287">
        <v>959034</v>
      </c>
      <c r="B287" t="s">
        <v>30460</v>
      </c>
      <c r="C287">
        <v>0</v>
      </c>
      <c r="D287">
        <v>1</v>
      </c>
      <c r="E287">
        <v>26</v>
      </c>
      <c r="F287">
        <v>6364</v>
      </c>
      <c r="G287">
        <f t="shared" si="4"/>
        <v>959034</v>
      </c>
    </row>
    <row r="288" spans="1:7" x14ac:dyDescent="0.25">
      <c r="A288">
        <v>959593</v>
      </c>
      <c r="B288" t="s">
        <v>35958</v>
      </c>
      <c r="C288">
        <v>179</v>
      </c>
      <c r="D288">
        <v>3</v>
      </c>
      <c r="E288">
        <v>9460</v>
      </c>
      <c r="F288">
        <v>1641</v>
      </c>
      <c r="G288">
        <f t="shared" si="4"/>
        <v>959593</v>
      </c>
    </row>
    <row r="289" spans="1:7" x14ac:dyDescent="0.25">
      <c r="A289">
        <v>967360</v>
      </c>
      <c r="B289" t="s">
        <v>23891</v>
      </c>
      <c r="C289">
        <v>0</v>
      </c>
      <c r="D289">
        <v>1</v>
      </c>
      <c r="E289">
        <v>441</v>
      </c>
      <c r="F289">
        <v>4761</v>
      </c>
      <c r="G289">
        <f t="shared" si="4"/>
        <v>967360</v>
      </c>
    </row>
    <row r="290" spans="1:7" x14ac:dyDescent="0.25">
      <c r="A290">
        <v>971486</v>
      </c>
      <c r="B290" t="s">
        <v>23892</v>
      </c>
      <c r="C290">
        <v>1695</v>
      </c>
      <c r="D290">
        <v>1</v>
      </c>
      <c r="E290">
        <v>2104</v>
      </c>
      <c r="F290">
        <v>3297</v>
      </c>
      <c r="G290">
        <f t="shared" si="4"/>
        <v>971486</v>
      </c>
    </row>
    <row r="291" spans="1:7" x14ac:dyDescent="0.25">
      <c r="A291">
        <v>971800</v>
      </c>
      <c r="B291" t="s">
        <v>23893</v>
      </c>
      <c r="C291">
        <v>1946</v>
      </c>
      <c r="D291">
        <v>2</v>
      </c>
      <c r="E291">
        <v>10179</v>
      </c>
      <c r="F291">
        <v>1539</v>
      </c>
      <c r="G291">
        <f t="shared" si="4"/>
        <v>971800</v>
      </c>
    </row>
    <row r="292" spans="1:7" x14ac:dyDescent="0.25">
      <c r="A292">
        <v>973186</v>
      </c>
      <c r="B292" t="s">
        <v>37108</v>
      </c>
      <c r="C292">
        <v>1643</v>
      </c>
      <c r="D292">
        <v>1</v>
      </c>
      <c r="E292">
        <v>1039</v>
      </c>
      <c r="F292">
        <v>3934</v>
      </c>
      <c r="G292">
        <f t="shared" si="4"/>
        <v>973186</v>
      </c>
    </row>
    <row r="293" spans="1:7" x14ac:dyDescent="0.25">
      <c r="A293">
        <v>978765</v>
      </c>
      <c r="B293" t="s">
        <v>35959</v>
      </c>
      <c r="C293">
        <v>409</v>
      </c>
      <c r="D293">
        <v>2</v>
      </c>
      <c r="E293">
        <v>7816</v>
      </c>
      <c r="F293">
        <v>1924</v>
      </c>
      <c r="G293">
        <f t="shared" si="4"/>
        <v>978765</v>
      </c>
    </row>
    <row r="294" spans="1:7" x14ac:dyDescent="0.25">
      <c r="A294">
        <v>986826</v>
      </c>
      <c r="B294" t="s">
        <v>23894</v>
      </c>
      <c r="C294">
        <v>45</v>
      </c>
      <c r="D294">
        <v>1</v>
      </c>
      <c r="E294">
        <v>315</v>
      </c>
      <c r="F294">
        <v>5105</v>
      </c>
      <c r="G294">
        <f t="shared" si="4"/>
        <v>986826</v>
      </c>
    </row>
    <row r="295" spans="1:7" x14ac:dyDescent="0.25">
      <c r="A295">
        <v>998056</v>
      </c>
      <c r="B295" t="s">
        <v>35960</v>
      </c>
      <c r="C295">
        <v>399</v>
      </c>
      <c r="D295">
        <v>1</v>
      </c>
      <c r="E295">
        <v>737</v>
      </c>
      <c r="F295">
        <v>4284</v>
      </c>
      <c r="G295">
        <f t="shared" si="4"/>
        <v>998056</v>
      </c>
    </row>
    <row r="296" spans="1:7" x14ac:dyDescent="0.25">
      <c r="A296">
        <v>1004717</v>
      </c>
      <c r="B296" t="s">
        <v>37109</v>
      </c>
      <c r="C296">
        <v>721</v>
      </c>
      <c r="D296">
        <v>1</v>
      </c>
      <c r="E296">
        <v>2574</v>
      </c>
      <c r="F296">
        <v>3108</v>
      </c>
      <c r="G296">
        <f t="shared" si="4"/>
        <v>1004717</v>
      </c>
    </row>
    <row r="297" spans="1:7" x14ac:dyDescent="0.25">
      <c r="A297">
        <v>1017093</v>
      </c>
      <c r="B297" t="s">
        <v>2593</v>
      </c>
      <c r="C297">
        <v>1642</v>
      </c>
      <c r="D297">
        <v>1</v>
      </c>
      <c r="E297">
        <v>2456</v>
      </c>
      <c r="F297">
        <v>3155</v>
      </c>
      <c r="G297">
        <f t="shared" si="4"/>
        <v>1017093</v>
      </c>
    </row>
    <row r="298" spans="1:7" x14ac:dyDescent="0.25">
      <c r="A298">
        <v>1020788</v>
      </c>
      <c r="B298" t="s">
        <v>23895</v>
      </c>
      <c r="C298">
        <v>0</v>
      </c>
      <c r="D298">
        <v>1</v>
      </c>
      <c r="E298">
        <v>549</v>
      </c>
      <c r="F298">
        <v>4552</v>
      </c>
      <c r="G298">
        <f t="shared" si="4"/>
        <v>1020788</v>
      </c>
    </row>
    <row r="299" spans="1:7" x14ac:dyDescent="0.25">
      <c r="A299">
        <v>1034459</v>
      </c>
      <c r="B299" t="s">
        <v>35961</v>
      </c>
      <c r="C299">
        <v>0</v>
      </c>
      <c r="D299">
        <v>0</v>
      </c>
      <c r="E299">
        <v>0</v>
      </c>
      <c r="F299">
        <v>7001</v>
      </c>
      <c r="G299">
        <f t="shared" si="4"/>
        <v>1034459</v>
      </c>
    </row>
    <row r="300" spans="1:7" x14ac:dyDescent="0.25">
      <c r="A300">
        <v>1041015</v>
      </c>
      <c r="B300" t="s">
        <v>23896</v>
      </c>
      <c r="C300">
        <v>424</v>
      </c>
      <c r="D300">
        <v>6</v>
      </c>
      <c r="E300">
        <v>37160</v>
      </c>
      <c r="F300">
        <v>123</v>
      </c>
      <c r="G300">
        <f t="shared" si="4"/>
        <v>1041015</v>
      </c>
    </row>
    <row r="301" spans="1:7" x14ac:dyDescent="0.25">
      <c r="A301">
        <v>1043194</v>
      </c>
      <c r="B301" t="s">
        <v>23897</v>
      </c>
      <c r="C301">
        <v>122</v>
      </c>
      <c r="D301">
        <v>1</v>
      </c>
      <c r="E301">
        <v>6534</v>
      </c>
      <c r="F301">
        <v>2157</v>
      </c>
      <c r="G301">
        <f t="shared" si="4"/>
        <v>1043194</v>
      </c>
    </row>
    <row r="302" spans="1:7" x14ac:dyDescent="0.25">
      <c r="A302">
        <v>1051418</v>
      </c>
      <c r="B302" t="s">
        <v>35962</v>
      </c>
      <c r="C302">
        <v>325</v>
      </c>
      <c r="D302">
        <v>1</v>
      </c>
      <c r="E302">
        <v>2676</v>
      </c>
      <c r="F302">
        <v>3077</v>
      </c>
      <c r="G302">
        <f t="shared" si="4"/>
        <v>1051418</v>
      </c>
    </row>
    <row r="303" spans="1:7" x14ac:dyDescent="0.25">
      <c r="A303">
        <v>1062503</v>
      </c>
      <c r="B303" t="s">
        <v>35963</v>
      </c>
      <c r="C303">
        <v>1852</v>
      </c>
      <c r="D303">
        <v>1</v>
      </c>
      <c r="E303">
        <v>2128</v>
      </c>
      <c r="F303">
        <v>3278</v>
      </c>
      <c r="G303">
        <f t="shared" si="4"/>
        <v>1062503</v>
      </c>
    </row>
    <row r="304" spans="1:7" x14ac:dyDescent="0.25">
      <c r="A304">
        <v>1069861</v>
      </c>
      <c r="B304" t="s">
        <v>23898</v>
      </c>
      <c r="C304">
        <v>67</v>
      </c>
      <c r="D304">
        <v>2</v>
      </c>
      <c r="E304">
        <v>11382</v>
      </c>
      <c r="F304">
        <v>1365</v>
      </c>
      <c r="G304">
        <f t="shared" si="4"/>
        <v>1069861</v>
      </c>
    </row>
    <row r="305" spans="1:7" x14ac:dyDescent="0.25">
      <c r="A305">
        <v>1071029</v>
      </c>
      <c r="B305" t="s">
        <v>23899</v>
      </c>
      <c r="C305">
        <v>0</v>
      </c>
      <c r="D305">
        <v>0</v>
      </c>
      <c r="E305">
        <v>0</v>
      </c>
      <c r="F305">
        <v>7002</v>
      </c>
      <c r="G305">
        <f t="shared" si="4"/>
        <v>1071029</v>
      </c>
    </row>
    <row r="306" spans="1:7" x14ac:dyDescent="0.25">
      <c r="A306">
        <v>1074846</v>
      </c>
      <c r="B306" t="s">
        <v>23900</v>
      </c>
      <c r="C306">
        <v>1373</v>
      </c>
      <c r="D306">
        <v>1</v>
      </c>
      <c r="E306">
        <v>3871</v>
      </c>
      <c r="F306">
        <v>2794</v>
      </c>
      <c r="G306">
        <f t="shared" si="4"/>
        <v>1074846</v>
      </c>
    </row>
    <row r="307" spans="1:7" x14ac:dyDescent="0.25">
      <c r="A307">
        <v>1079729</v>
      </c>
      <c r="B307" t="s">
        <v>35964</v>
      </c>
      <c r="C307">
        <v>0</v>
      </c>
      <c r="D307">
        <v>0</v>
      </c>
      <c r="E307">
        <v>0</v>
      </c>
      <c r="F307">
        <v>7003</v>
      </c>
      <c r="G307">
        <f t="shared" si="4"/>
        <v>1079729</v>
      </c>
    </row>
    <row r="308" spans="1:7" x14ac:dyDescent="0.25">
      <c r="A308">
        <v>1079756</v>
      </c>
      <c r="B308" t="s">
        <v>23901</v>
      </c>
      <c r="C308">
        <v>1850</v>
      </c>
      <c r="D308">
        <v>1</v>
      </c>
      <c r="E308">
        <v>2174</v>
      </c>
      <c r="F308">
        <v>3259</v>
      </c>
      <c r="G308">
        <f t="shared" si="4"/>
        <v>1079756</v>
      </c>
    </row>
    <row r="309" spans="1:7" x14ac:dyDescent="0.25">
      <c r="A309">
        <v>1080560</v>
      </c>
      <c r="B309" t="s">
        <v>23902</v>
      </c>
      <c r="C309">
        <v>0</v>
      </c>
      <c r="D309">
        <v>0</v>
      </c>
      <c r="E309">
        <v>0</v>
      </c>
      <c r="F309">
        <v>7004</v>
      </c>
      <c r="G309">
        <f t="shared" si="4"/>
        <v>1080560</v>
      </c>
    </row>
    <row r="310" spans="1:7" x14ac:dyDescent="0.25">
      <c r="A310">
        <v>1084763</v>
      </c>
      <c r="B310" t="s">
        <v>35965</v>
      </c>
      <c r="C310">
        <v>1695</v>
      </c>
      <c r="D310">
        <v>1</v>
      </c>
      <c r="E310">
        <v>2883</v>
      </c>
      <c r="F310">
        <v>3017</v>
      </c>
      <c r="G310">
        <f t="shared" si="4"/>
        <v>1084763</v>
      </c>
    </row>
    <row r="311" spans="1:7" x14ac:dyDescent="0.25">
      <c r="A311">
        <v>1086209</v>
      </c>
      <c r="B311" t="s">
        <v>23903</v>
      </c>
      <c r="C311">
        <v>0</v>
      </c>
      <c r="D311">
        <v>1</v>
      </c>
      <c r="E311">
        <v>176</v>
      </c>
      <c r="F311">
        <v>5595</v>
      </c>
      <c r="G311">
        <f t="shared" si="4"/>
        <v>1086209</v>
      </c>
    </row>
    <row r="312" spans="1:7" x14ac:dyDescent="0.25">
      <c r="A312">
        <v>1086282</v>
      </c>
      <c r="B312" t="s">
        <v>23904</v>
      </c>
      <c r="C312">
        <v>0</v>
      </c>
      <c r="D312">
        <v>1</v>
      </c>
      <c r="E312">
        <v>2245</v>
      </c>
      <c r="F312">
        <v>3227</v>
      </c>
      <c r="G312">
        <f t="shared" si="4"/>
        <v>1086282</v>
      </c>
    </row>
    <row r="313" spans="1:7" x14ac:dyDescent="0.25">
      <c r="A313">
        <v>1092500</v>
      </c>
      <c r="B313" t="s">
        <v>23905</v>
      </c>
      <c r="C313">
        <v>578</v>
      </c>
      <c r="D313">
        <v>3</v>
      </c>
      <c r="E313">
        <v>14446</v>
      </c>
      <c r="F313">
        <v>1038</v>
      </c>
      <c r="G313">
        <f t="shared" si="4"/>
        <v>1092500</v>
      </c>
    </row>
    <row r="314" spans="1:7" x14ac:dyDescent="0.25">
      <c r="A314">
        <v>1096271</v>
      </c>
      <c r="B314" t="s">
        <v>35966</v>
      </c>
      <c r="C314">
        <v>0</v>
      </c>
      <c r="D314">
        <v>1</v>
      </c>
      <c r="E314">
        <v>491</v>
      </c>
      <c r="F314">
        <v>4662</v>
      </c>
      <c r="G314">
        <f t="shared" si="4"/>
        <v>1096271</v>
      </c>
    </row>
    <row r="315" spans="1:7" x14ac:dyDescent="0.25">
      <c r="A315">
        <v>1097975</v>
      </c>
      <c r="B315" t="s">
        <v>23906</v>
      </c>
      <c r="C315">
        <v>1340</v>
      </c>
      <c r="D315">
        <v>2</v>
      </c>
      <c r="E315">
        <v>3393</v>
      </c>
      <c r="F315">
        <v>2914</v>
      </c>
      <c r="G315">
        <f t="shared" si="4"/>
        <v>1097975</v>
      </c>
    </row>
    <row r="316" spans="1:7" x14ac:dyDescent="0.25">
      <c r="A316">
        <v>1107559</v>
      </c>
      <c r="B316" t="s">
        <v>23907</v>
      </c>
      <c r="C316">
        <v>0</v>
      </c>
      <c r="D316">
        <v>1</v>
      </c>
      <c r="E316">
        <v>26</v>
      </c>
      <c r="F316">
        <v>6365</v>
      </c>
      <c r="G316">
        <f t="shared" si="4"/>
        <v>1107559</v>
      </c>
    </row>
    <row r="317" spans="1:7" x14ac:dyDescent="0.25">
      <c r="A317">
        <v>1113760</v>
      </c>
      <c r="B317" t="s">
        <v>37212</v>
      </c>
      <c r="C317">
        <v>0</v>
      </c>
      <c r="D317">
        <v>1</v>
      </c>
      <c r="E317">
        <v>228</v>
      </c>
      <c r="F317">
        <v>5418</v>
      </c>
      <c r="G317">
        <f t="shared" si="4"/>
        <v>1113760</v>
      </c>
    </row>
    <row r="318" spans="1:7" x14ac:dyDescent="0.25">
      <c r="A318">
        <v>1117588</v>
      </c>
      <c r="B318" t="s">
        <v>23908</v>
      </c>
      <c r="C318">
        <v>409</v>
      </c>
      <c r="D318">
        <v>2</v>
      </c>
      <c r="E318">
        <v>6177</v>
      </c>
      <c r="F318">
        <v>2240</v>
      </c>
      <c r="G318">
        <f t="shared" si="4"/>
        <v>1117588</v>
      </c>
    </row>
    <row r="319" spans="1:7" x14ac:dyDescent="0.25">
      <c r="A319">
        <v>1123668</v>
      </c>
      <c r="B319" t="s">
        <v>23909</v>
      </c>
      <c r="C319">
        <v>367</v>
      </c>
      <c r="D319">
        <v>3</v>
      </c>
      <c r="E319">
        <v>13145</v>
      </c>
      <c r="F319">
        <v>1154</v>
      </c>
      <c r="G319">
        <f t="shared" si="4"/>
        <v>1123668</v>
      </c>
    </row>
    <row r="320" spans="1:7" x14ac:dyDescent="0.25">
      <c r="A320">
        <v>1128170</v>
      </c>
      <c r="B320" t="s">
        <v>23910</v>
      </c>
      <c r="C320">
        <v>0</v>
      </c>
      <c r="D320">
        <v>0</v>
      </c>
      <c r="E320">
        <v>0</v>
      </c>
      <c r="F320">
        <v>7005</v>
      </c>
      <c r="G320">
        <f t="shared" si="4"/>
        <v>1128170</v>
      </c>
    </row>
    <row r="321" spans="1:7" x14ac:dyDescent="0.25">
      <c r="A321">
        <v>1131387</v>
      </c>
      <c r="B321" t="s">
        <v>23911</v>
      </c>
      <c r="C321">
        <v>399</v>
      </c>
      <c r="D321">
        <v>1</v>
      </c>
      <c r="E321">
        <v>536</v>
      </c>
      <c r="F321">
        <v>4571</v>
      </c>
      <c r="G321">
        <f t="shared" ref="G321:G384" si="5">A321</f>
        <v>1131387</v>
      </c>
    </row>
    <row r="322" spans="1:7" x14ac:dyDescent="0.25">
      <c r="A322">
        <v>1132765</v>
      </c>
      <c r="B322" t="s">
        <v>23912</v>
      </c>
      <c r="C322">
        <v>0</v>
      </c>
      <c r="D322">
        <v>1</v>
      </c>
      <c r="E322">
        <v>92</v>
      </c>
      <c r="F322">
        <v>5891</v>
      </c>
      <c r="G322">
        <f t="shared" si="5"/>
        <v>1132765</v>
      </c>
    </row>
    <row r="323" spans="1:7" x14ac:dyDescent="0.25">
      <c r="A323">
        <v>1133428</v>
      </c>
      <c r="B323" t="s">
        <v>37241</v>
      </c>
      <c r="C323">
        <v>67</v>
      </c>
      <c r="D323">
        <v>3</v>
      </c>
      <c r="E323">
        <v>14827</v>
      </c>
      <c r="F323">
        <v>1007</v>
      </c>
      <c r="G323">
        <f t="shared" si="5"/>
        <v>1133428</v>
      </c>
    </row>
    <row r="324" spans="1:7" x14ac:dyDescent="0.25">
      <c r="A324">
        <v>1138743</v>
      </c>
      <c r="B324" t="s">
        <v>23913</v>
      </c>
      <c r="C324">
        <v>270</v>
      </c>
      <c r="D324">
        <v>1</v>
      </c>
      <c r="E324">
        <v>8568</v>
      </c>
      <c r="F324">
        <v>1788</v>
      </c>
      <c r="G324">
        <f t="shared" si="5"/>
        <v>1138743</v>
      </c>
    </row>
    <row r="325" spans="1:7" x14ac:dyDescent="0.25">
      <c r="A325">
        <v>1142612</v>
      </c>
      <c r="B325" t="s">
        <v>23914</v>
      </c>
      <c r="C325">
        <v>0</v>
      </c>
      <c r="D325">
        <v>2</v>
      </c>
      <c r="E325">
        <v>13407</v>
      </c>
      <c r="F325">
        <v>1130</v>
      </c>
      <c r="G325">
        <f t="shared" si="5"/>
        <v>1142612</v>
      </c>
    </row>
    <row r="326" spans="1:7" x14ac:dyDescent="0.25">
      <c r="A326">
        <v>1144991</v>
      </c>
      <c r="B326" t="s">
        <v>35967</v>
      </c>
      <c r="C326">
        <v>0</v>
      </c>
      <c r="D326">
        <v>1</v>
      </c>
      <c r="E326">
        <v>179</v>
      </c>
      <c r="F326">
        <v>5585</v>
      </c>
      <c r="G326">
        <f t="shared" si="5"/>
        <v>1144991</v>
      </c>
    </row>
    <row r="327" spans="1:7" x14ac:dyDescent="0.25">
      <c r="A327">
        <v>1147967</v>
      </c>
      <c r="B327" t="s">
        <v>23915</v>
      </c>
      <c r="C327">
        <v>271</v>
      </c>
      <c r="D327">
        <v>4</v>
      </c>
      <c r="E327">
        <v>18283</v>
      </c>
      <c r="F327">
        <v>734</v>
      </c>
      <c r="G327">
        <f t="shared" si="5"/>
        <v>1147967</v>
      </c>
    </row>
    <row r="328" spans="1:7" x14ac:dyDescent="0.25">
      <c r="A328">
        <v>1150935</v>
      </c>
      <c r="B328" t="s">
        <v>23916</v>
      </c>
      <c r="C328">
        <v>6</v>
      </c>
      <c r="D328">
        <v>5</v>
      </c>
      <c r="E328">
        <v>32476</v>
      </c>
      <c r="F328">
        <v>197</v>
      </c>
      <c r="G328">
        <f t="shared" si="5"/>
        <v>1150935</v>
      </c>
    </row>
    <row r="329" spans="1:7" x14ac:dyDescent="0.25">
      <c r="A329">
        <v>1153997</v>
      </c>
      <c r="B329" t="s">
        <v>23917</v>
      </c>
      <c r="C329">
        <v>0</v>
      </c>
      <c r="D329">
        <v>0</v>
      </c>
      <c r="E329">
        <v>0</v>
      </c>
      <c r="F329">
        <v>7006</v>
      </c>
      <c r="G329">
        <f t="shared" si="5"/>
        <v>1153997</v>
      </c>
    </row>
    <row r="330" spans="1:7" x14ac:dyDescent="0.25">
      <c r="A330">
        <v>1162784</v>
      </c>
      <c r="B330" t="s">
        <v>23918</v>
      </c>
      <c r="C330">
        <v>27</v>
      </c>
      <c r="D330">
        <v>4</v>
      </c>
      <c r="E330">
        <v>17627</v>
      </c>
      <c r="F330">
        <v>802</v>
      </c>
      <c r="G330">
        <f t="shared" si="5"/>
        <v>1162784</v>
      </c>
    </row>
    <row r="331" spans="1:7" x14ac:dyDescent="0.25">
      <c r="A331">
        <v>1168769</v>
      </c>
      <c r="B331" t="s">
        <v>23919</v>
      </c>
      <c r="C331">
        <v>1340</v>
      </c>
      <c r="D331">
        <v>2</v>
      </c>
      <c r="E331">
        <v>6632</v>
      </c>
      <c r="F331">
        <v>2132</v>
      </c>
      <c r="G331">
        <f t="shared" si="5"/>
        <v>1168769</v>
      </c>
    </row>
    <row r="332" spans="1:7" x14ac:dyDescent="0.25">
      <c r="A332">
        <v>1173632</v>
      </c>
      <c r="B332" t="s">
        <v>35968</v>
      </c>
      <c r="C332">
        <v>494</v>
      </c>
      <c r="D332">
        <v>2</v>
      </c>
      <c r="E332">
        <v>8921</v>
      </c>
      <c r="F332">
        <v>1731</v>
      </c>
      <c r="G332">
        <f t="shared" si="5"/>
        <v>1173632</v>
      </c>
    </row>
    <row r="333" spans="1:7" x14ac:dyDescent="0.25">
      <c r="A333">
        <v>1180176</v>
      </c>
      <c r="B333" t="s">
        <v>23920</v>
      </c>
      <c r="C333">
        <v>31</v>
      </c>
      <c r="D333">
        <v>2</v>
      </c>
      <c r="E333">
        <v>9277</v>
      </c>
      <c r="F333">
        <v>1679</v>
      </c>
      <c r="G333">
        <f t="shared" si="5"/>
        <v>1180176</v>
      </c>
    </row>
    <row r="334" spans="1:7" x14ac:dyDescent="0.25">
      <c r="A334">
        <v>1183177</v>
      </c>
      <c r="B334" t="s">
        <v>23921</v>
      </c>
      <c r="C334">
        <v>625</v>
      </c>
      <c r="D334">
        <v>4</v>
      </c>
      <c r="E334">
        <v>20609</v>
      </c>
      <c r="F334">
        <v>593</v>
      </c>
      <c r="G334">
        <f t="shared" si="5"/>
        <v>1183177</v>
      </c>
    </row>
    <row r="335" spans="1:7" x14ac:dyDescent="0.25">
      <c r="A335">
        <v>1184529</v>
      </c>
      <c r="B335" t="s">
        <v>23922</v>
      </c>
      <c r="C335">
        <v>0</v>
      </c>
      <c r="D335">
        <v>1</v>
      </c>
      <c r="E335">
        <v>1111</v>
      </c>
      <c r="F335">
        <v>3862</v>
      </c>
      <c r="G335">
        <f t="shared" si="5"/>
        <v>1184529</v>
      </c>
    </row>
    <row r="336" spans="1:7" x14ac:dyDescent="0.25">
      <c r="A336">
        <v>1186708</v>
      </c>
      <c r="B336" t="s">
        <v>3699</v>
      </c>
      <c r="C336">
        <v>1862</v>
      </c>
      <c r="D336">
        <v>1</v>
      </c>
      <c r="E336">
        <v>1126</v>
      </c>
      <c r="F336">
        <v>3849</v>
      </c>
      <c r="G336">
        <f t="shared" si="5"/>
        <v>1186708</v>
      </c>
    </row>
    <row r="337" spans="1:7" x14ac:dyDescent="0.25">
      <c r="A337">
        <v>1187200</v>
      </c>
      <c r="B337" t="s">
        <v>35969</v>
      </c>
      <c r="C337">
        <v>645</v>
      </c>
      <c r="D337">
        <v>1</v>
      </c>
      <c r="E337">
        <v>26</v>
      </c>
      <c r="F337">
        <v>6366</v>
      </c>
      <c r="G337">
        <f t="shared" si="5"/>
        <v>1187200</v>
      </c>
    </row>
    <row r="338" spans="1:7" x14ac:dyDescent="0.25">
      <c r="A338">
        <v>1191670</v>
      </c>
      <c r="B338" t="s">
        <v>35970</v>
      </c>
      <c r="C338">
        <v>270</v>
      </c>
      <c r="D338">
        <v>3</v>
      </c>
      <c r="E338">
        <v>15949</v>
      </c>
      <c r="F338">
        <v>913</v>
      </c>
      <c r="G338">
        <f t="shared" si="5"/>
        <v>1191670</v>
      </c>
    </row>
    <row r="339" spans="1:7" x14ac:dyDescent="0.25">
      <c r="A339">
        <v>1192855</v>
      </c>
      <c r="B339" t="s">
        <v>35971</v>
      </c>
      <c r="C339">
        <v>259</v>
      </c>
      <c r="D339">
        <v>4</v>
      </c>
      <c r="E339">
        <v>18292</v>
      </c>
      <c r="F339">
        <v>732</v>
      </c>
      <c r="G339">
        <f t="shared" si="5"/>
        <v>1192855</v>
      </c>
    </row>
    <row r="340" spans="1:7" x14ac:dyDescent="0.25">
      <c r="A340">
        <v>1194094</v>
      </c>
      <c r="B340" t="s">
        <v>23923</v>
      </c>
      <c r="C340">
        <v>480</v>
      </c>
      <c r="D340">
        <v>2</v>
      </c>
      <c r="E340">
        <v>11622</v>
      </c>
      <c r="F340">
        <v>1329</v>
      </c>
      <c r="G340">
        <f t="shared" si="5"/>
        <v>1194094</v>
      </c>
    </row>
    <row r="341" spans="1:7" x14ac:dyDescent="0.25">
      <c r="A341">
        <v>1202637</v>
      </c>
      <c r="B341" t="s">
        <v>23924</v>
      </c>
      <c r="C341">
        <v>1373</v>
      </c>
      <c r="D341">
        <v>1</v>
      </c>
      <c r="E341">
        <v>5504</v>
      </c>
      <c r="F341">
        <v>2437</v>
      </c>
      <c r="G341">
        <f t="shared" si="5"/>
        <v>1202637</v>
      </c>
    </row>
    <row r="342" spans="1:7" x14ac:dyDescent="0.25">
      <c r="A342">
        <v>1202788</v>
      </c>
      <c r="B342" t="s">
        <v>23925</v>
      </c>
      <c r="C342">
        <v>887</v>
      </c>
      <c r="D342">
        <v>1</v>
      </c>
      <c r="E342">
        <v>2368</v>
      </c>
      <c r="F342">
        <v>3189</v>
      </c>
      <c r="G342">
        <f t="shared" si="5"/>
        <v>1202788</v>
      </c>
    </row>
    <row r="343" spans="1:7" x14ac:dyDescent="0.25">
      <c r="A343">
        <v>1205156</v>
      </c>
      <c r="B343" t="s">
        <v>23926</v>
      </c>
      <c r="C343">
        <v>0</v>
      </c>
      <c r="D343">
        <v>1</v>
      </c>
      <c r="E343">
        <v>259</v>
      </c>
      <c r="F343">
        <v>5296</v>
      </c>
      <c r="G343">
        <f t="shared" si="5"/>
        <v>1205156</v>
      </c>
    </row>
    <row r="344" spans="1:7" x14ac:dyDescent="0.25">
      <c r="A344">
        <v>1211055</v>
      </c>
      <c r="B344" t="s">
        <v>23927</v>
      </c>
      <c r="C344">
        <v>0</v>
      </c>
      <c r="D344">
        <v>1</v>
      </c>
      <c r="E344">
        <v>1230</v>
      </c>
      <c r="F344">
        <v>3772</v>
      </c>
      <c r="G344">
        <f t="shared" si="5"/>
        <v>1211055</v>
      </c>
    </row>
    <row r="345" spans="1:7" x14ac:dyDescent="0.25">
      <c r="A345">
        <v>1213503</v>
      </c>
      <c r="B345" t="s">
        <v>35972</v>
      </c>
      <c r="C345">
        <v>55</v>
      </c>
      <c r="D345">
        <v>1</v>
      </c>
      <c r="E345">
        <v>4124</v>
      </c>
      <c r="F345">
        <v>2739</v>
      </c>
      <c r="G345">
        <f t="shared" si="5"/>
        <v>1213503</v>
      </c>
    </row>
    <row r="346" spans="1:7" x14ac:dyDescent="0.25">
      <c r="A346">
        <v>1215056</v>
      </c>
      <c r="B346" t="s">
        <v>23928</v>
      </c>
      <c r="C346">
        <v>0</v>
      </c>
      <c r="D346">
        <v>1</v>
      </c>
      <c r="E346">
        <v>762</v>
      </c>
      <c r="F346">
        <v>4252</v>
      </c>
      <c r="G346">
        <f t="shared" si="5"/>
        <v>1215056</v>
      </c>
    </row>
    <row r="347" spans="1:7" x14ac:dyDescent="0.25">
      <c r="A347">
        <v>1215338</v>
      </c>
      <c r="B347" t="s">
        <v>23929</v>
      </c>
      <c r="C347">
        <v>325</v>
      </c>
      <c r="D347">
        <v>0</v>
      </c>
      <c r="E347">
        <v>0</v>
      </c>
      <c r="F347">
        <v>7007</v>
      </c>
      <c r="G347">
        <f t="shared" si="5"/>
        <v>1215338</v>
      </c>
    </row>
    <row r="348" spans="1:7" x14ac:dyDescent="0.25">
      <c r="A348">
        <v>1222990</v>
      </c>
      <c r="B348" t="s">
        <v>23930</v>
      </c>
      <c r="C348">
        <v>578</v>
      </c>
      <c r="D348">
        <v>4</v>
      </c>
      <c r="E348">
        <v>19766</v>
      </c>
      <c r="F348">
        <v>635</v>
      </c>
      <c r="G348">
        <f t="shared" si="5"/>
        <v>1222990</v>
      </c>
    </row>
    <row r="349" spans="1:7" x14ac:dyDescent="0.25">
      <c r="A349">
        <v>1230608</v>
      </c>
      <c r="B349" t="s">
        <v>23931</v>
      </c>
      <c r="C349">
        <v>20</v>
      </c>
      <c r="D349">
        <v>6</v>
      </c>
      <c r="E349">
        <v>21161</v>
      </c>
      <c r="F349">
        <v>564</v>
      </c>
      <c r="G349">
        <f t="shared" si="5"/>
        <v>1230608</v>
      </c>
    </row>
    <row r="350" spans="1:7" x14ac:dyDescent="0.25">
      <c r="A350">
        <v>1230832</v>
      </c>
      <c r="B350" t="s">
        <v>744</v>
      </c>
      <c r="C350">
        <v>39</v>
      </c>
      <c r="D350">
        <v>2</v>
      </c>
      <c r="E350">
        <v>11681</v>
      </c>
      <c r="F350">
        <v>1325</v>
      </c>
      <c r="G350">
        <f t="shared" si="5"/>
        <v>1230832</v>
      </c>
    </row>
    <row r="351" spans="1:7" x14ac:dyDescent="0.25">
      <c r="A351">
        <v>1238423</v>
      </c>
      <c r="B351" t="e">
        <f>GSS= SGLog</f>
        <v>#NAME?</v>
      </c>
      <c r="C351">
        <v>0</v>
      </c>
      <c r="D351">
        <v>0</v>
      </c>
      <c r="E351">
        <v>0</v>
      </c>
      <c r="F351">
        <v>7008</v>
      </c>
      <c r="G351">
        <f t="shared" si="5"/>
        <v>1238423</v>
      </c>
    </row>
    <row r="352" spans="1:7" x14ac:dyDescent="0.25">
      <c r="A352">
        <v>1251308</v>
      </c>
      <c r="B352" t="s">
        <v>23932</v>
      </c>
      <c r="C352">
        <v>0</v>
      </c>
      <c r="D352">
        <v>0</v>
      </c>
      <c r="E352">
        <v>0</v>
      </c>
      <c r="F352">
        <v>7009</v>
      </c>
      <c r="G352">
        <f t="shared" si="5"/>
        <v>1251308</v>
      </c>
    </row>
    <row r="353" spans="1:7" x14ac:dyDescent="0.25">
      <c r="A353">
        <v>1251565</v>
      </c>
      <c r="B353" t="s">
        <v>23933</v>
      </c>
      <c r="C353">
        <v>0</v>
      </c>
      <c r="D353">
        <v>1</v>
      </c>
      <c r="E353">
        <v>1047</v>
      </c>
      <c r="F353">
        <v>3926</v>
      </c>
      <c r="G353">
        <f t="shared" si="5"/>
        <v>1251565</v>
      </c>
    </row>
    <row r="354" spans="1:7" x14ac:dyDescent="0.25">
      <c r="A354">
        <v>1257571</v>
      </c>
      <c r="B354" t="s">
        <v>35973</v>
      </c>
      <c r="C354">
        <v>215</v>
      </c>
      <c r="D354">
        <v>4</v>
      </c>
      <c r="E354">
        <v>24861</v>
      </c>
      <c r="F354">
        <v>398</v>
      </c>
      <c r="G354">
        <f t="shared" si="5"/>
        <v>1257571</v>
      </c>
    </row>
    <row r="355" spans="1:7" x14ac:dyDescent="0.25">
      <c r="A355">
        <v>1259273</v>
      </c>
      <c r="B355" t="s">
        <v>23934</v>
      </c>
      <c r="C355">
        <v>1630</v>
      </c>
      <c r="D355">
        <v>1</v>
      </c>
      <c r="E355">
        <v>635</v>
      </c>
      <c r="F355">
        <v>4426</v>
      </c>
      <c r="G355">
        <f t="shared" si="5"/>
        <v>1259273</v>
      </c>
    </row>
    <row r="356" spans="1:7" x14ac:dyDescent="0.25">
      <c r="A356">
        <v>1260323</v>
      </c>
      <c r="B356" t="s">
        <v>23935</v>
      </c>
      <c r="C356">
        <v>235</v>
      </c>
      <c r="D356">
        <v>1</v>
      </c>
      <c r="E356">
        <v>4539</v>
      </c>
      <c r="F356">
        <v>2610</v>
      </c>
      <c r="G356">
        <f t="shared" si="5"/>
        <v>1260323</v>
      </c>
    </row>
    <row r="357" spans="1:7" x14ac:dyDescent="0.25">
      <c r="A357">
        <v>1271966</v>
      </c>
      <c r="B357" t="s">
        <v>23936</v>
      </c>
      <c r="C357">
        <v>149</v>
      </c>
      <c r="D357">
        <v>1</v>
      </c>
      <c r="E357">
        <v>1988</v>
      </c>
      <c r="F357">
        <v>3349</v>
      </c>
      <c r="G357">
        <f t="shared" si="5"/>
        <v>1271966</v>
      </c>
    </row>
    <row r="358" spans="1:7" x14ac:dyDescent="0.25">
      <c r="A358">
        <v>1276638</v>
      </c>
      <c r="B358" t="s">
        <v>35974</v>
      </c>
      <c r="C358">
        <v>0</v>
      </c>
      <c r="D358">
        <v>0</v>
      </c>
      <c r="E358">
        <v>0</v>
      </c>
      <c r="F358">
        <v>7010</v>
      </c>
      <c r="G358">
        <f t="shared" si="5"/>
        <v>1276638</v>
      </c>
    </row>
    <row r="359" spans="1:7" x14ac:dyDescent="0.25">
      <c r="A359">
        <v>1280337</v>
      </c>
      <c r="B359" t="s">
        <v>23937</v>
      </c>
      <c r="C359">
        <v>1861</v>
      </c>
      <c r="D359">
        <v>1</v>
      </c>
      <c r="E359">
        <v>2600</v>
      </c>
      <c r="F359">
        <v>3100</v>
      </c>
      <c r="G359">
        <f t="shared" si="5"/>
        <v>1280337</v>
      </c>
    </row>
    <row r="360" spans="1:7" x14ac:dyDescent="0.25">
      <c r="A360">
        <v>1280380</v>
      </c>
      <c r="B360" t="s">
        <v>37242</v>
      </c>
      <c r="C360">
        <v>0</v>
      </c>
      <c r="D360">
        <v>1</v>
      </c>
      <c r="E360">
        <v>343</v>
      </c>
      <c r="F360">
        <v>4999</v>
      </c>
      <c r="G360">
        <f t="shared" si="5"/>
        <v>1280380</v>
      </c>
    </row>
    <row r="361" spans="1:7" x14ac:dyDescent="0.25">
      <c r="A361">
        <v>1282194</v>
      </c>
      <c r="B361" t="s">
        <v>23938</v>
      </c>
      <c r="C361">
        <v>1826</v>
      </c>
      <c r="D361">
        <v>1</v>
      </c>
      <c r="E361">
        <v>240</v>
      </c>
      <c r="F361">
        <v>5347</v>
      </c>
      <c r="G361">
        <f t="shared" si="5"/>
        <v>1282194</v>
      </c>
    </row>
    <row r="362" spans="1:7" x14ac:dyDescent="0.25">
      <c r="A362">
        <v>1289804</v>
      </c>
      <c r="B362" t="s">
        <v>23939</v>
      </c>
      <c r="C362">
        <v>58</v>
      </c>
      <c r="D362">
        <v>2</v>
      </c>
      <c r="E362">
        <v>11007</v>
      </c>
      <c r="F362">
        <v>1416</v>
      </c>
      <c r="G362">
        <f t="shared" si="5"/>
        <v>1289804</v>
      </c>
    </row>
    <row r="363" spans="1:7" x14ac:dyDescent="0.25">
      <c r="A363">
        <v>1296370</v>
      </c>
      <c r="B363" t="s">
        <v>23940</v>
      </c>
      <c r="C363">
        <v>1630</v>
      </c>
      <c r="D363">
        <v>1</v>
      </c>
      <c r="E363">
        <v>446</v>
      </c>
      <c r="F363">
        <v>4753</v>
      </c>
      <c r="G363">
        <f t="shared" si="5"/>
        <v>1296370</v>
      </c>
    </row>
    <row r="364" spans="1:7" x14ac:dyDescent="0.25">
      <c r="A364">
        <v>1301176</v>
      </c>
      <c r="B364" t="s">
        <v>23941</v>
      </c>
      <c r="C364">
        <v>0</v>
      </c>
      <c r="D364">
        <v>1</v>
      </c>
      <c r="E364">
        <v>106</v>
      </c>
      <c r="F364">
        <v>5824</v>
      </c>
      <c r="G364">
        <f t="shared" si="5"/>
        <v>1301176</v>
      </c>
    </row>
    <row r="365" spans="1:7" x14ac:dyDescent="0.25">
      <c r="A365">
        <v>1301261</v>
      </c>
      <c r="B365" t="s">
        <v>23942</v>
      </c>
      <c r="C365">
        <v>1630</v>
      </c>
      <c r="D365">
        <v>1</v>
      </c>
      <c r="E365">
        <v>515</v>
      </c>
      <c r="F365">
        <v>4599</v>
      </c>
      <c r="G365">
        <f t="shared" si="5"/>
        <v>1301261</v>
      </c>
    </row>
    <row r="366" spans="1:7" x14ac:dyDescent="0.25">
      <c r="A366">
        <v>1315856</v>
      </c>
      <c r="B366" t="s">
        <v>35975</v>
      </c>
      <c r="C366">
        <v>0</v>
      </c>
      <c r="D366">
        <v>1</v>
      </c>
      <c r="E366">
        <v>340</v>
      </c>
      <c r="F366">
        <v>5007</v>
      </c>
      <c r="G366">
        <f t="shared" si="5"/>
        <v>1315856</v>
      </c>
    </row>
    <row r="367" spans="1:7" x14ac:dyDescent="0.25">
      <c r="A367">
        <v>1317679</v>
      </c>
      <c r="B367" t="s">
        <v>35976</v>
      </c>
      <c r="C367">
        <v>1974</v>
      </c>
      <c r="D367">
        <v>1</v>
      </c>
      <c r="E367">
        <v>796</v>
      </c>
      <c r="F367">
        <v>4202</v>
      </c>
      <c r="G367">
        <f t="shared" si="5"/>
        <v>1317679</v>
      </c>
    </row>
    <row r="368" spans="1:7" x14ac:dyDescent="0.25">
      <c r="A368">
        <v>1318153</v>
      </c>
      <c r="B368" t="s">
        <v>35977</v>
      </c>
      <c r="C368">
        <v>0</v>
      </c>
      <c r="D368">
        <v>1</v>
      </c>
      <c r="E368">
        <v>288</v>
      </c>
      <c r="F368">
        <v>5243</v>
      </c>
      <c r="G368">
        <f t="shared" si="5"/>
        <v>1318153</v>
      </c>
    </row>
    <row r="369" spans="1:7" x14ac:dyDescent="0.25">
      <c r="A369">
        <v>1324412</v>
      </c>
      <c r="B369" t="s">
        <v>23943</v>
      </c>
      <c r="C369">
        <v>409</v>
      </c>
      <c r="D369">
        <v>4</v>
      </c>
      <c r="E369">
        <v>12553</v>
      </c>
      <c r="F369">
        <v>1224</v>
      </c>
      <c r="G369">
        <f t="shared" si="5"/>
        <v>1324412</v>
      </c>
    </row>
    <row r="370" spans="1:7" x14ac:dyDescent="0.25">
      <c r="A370">
        <v>1326967</v>
      </c>
      <c r="B370" t="s">
        <v>23944</v>
      </c>
      <c r="C370">
        <v>0</v>
      </c>
      <c r="D370">
        <v>0</v>
      </c>
      <c r="E370">
        <v>0</v>
      </c>
      <c r="F370">
        <v>7011</v>
      </c>
      <c r="G370">
        <f t="shared" si="5"/>
        <v>1326967</v>
      </c>
    </row>
    <row r="371" spans="1:7" x14ac:dyDescent="0.25">
      <c r="A371">
        <v>1327189</v>
      </c>
      <c r="B371" t="s">
        <v>23945</v>
      </c>
      <c r="C371">
        <v>138</v>
      </c>
      <c r="D371">
        <v>12</v>
      </c>
      <c r="E371">
        <v>65778</v>
      </c>
      <c r="F371">
        <v>15</v>
      </c>
      <c r="G371">
        <f t="shared" si="5"/>
        <v>1327189</v>
      </c>
    </row>
    <row r="372" spans="1:7" x14ac:dyDescent="0.25">
      <c r="A372">
        <v>1329319</v>
      </c>
      <c r="B372" t="s">
        <v>23946</v>
      </c>
      <c r="C372">
        <v>0</v>
      </c>
      <c r="D372">
        <v>0</v>
      </c>
      <c r="E372">
        <v>0</v>
      </c>
      <c r="F372">
        <v>7012</v>
      </c>
      <c r="G372">
        <f t="shared" si="5"/>
        <v>1329319</v>
      </c>
    </row>
    <row r="373" spans="1:7" x14ac:dyDescent="0.25">
      <c r="A373">
        <v>1337938</v>
      </c>
      <c r="B373" t="s">
        <v>23947</v>
      </c>
      <c r="C373">
        <v>0</v>
      </c>
      <c r="D373">
        <v>1</v>
      </c>
      <c r="E373">
        <v>914</v>
      </c>
      <c r="F373">
        <v>4078</v>
      </c>
      <c r="G373">
        <f t="shared" si="5"/>
        <v>1337938</v>
      </c>
    </row>
    <row r="374" spans="1:7" x14ac:dyDescent="0.25">
      <c r="A374">
        <v>1358630</v>
      </c>
      <c r="B374" t="s">
        <v>23948</v>
      </c>
      <c r="C374">
        <v>0</v>
      </c>
      <c r="D374">
        <v>1</v>
      </c>
      <c r="E374">
        <v>87</v>
      </c>
      <c r="F374">
        <v>5919</v>
      </c>
      <c r="G374">
        <f t="shared" si="5"/>
        <v>1358630</v>
      </c>
    </row>
    <row r="375" spans="1:7" x14ac:dyDescent="0.25">
      <c r="A375">
        <v>1368482</v>
      </c>
      <c r="B375" t="s">
        <v>23949</v>
      </c>
      <c r="C375">
        <v>58</v>
      </c>
      <c r="D375">
        <v>2</v>
      </c>
      <c r="E375">
        <v>7240</v>
      </c>
      <c r="F375">
        <v>2021</v>
      </c>
      <c r="G375">
        <f t="shared" si="5"/>
        <v>1368482</v>
      </c>
    </row>
    <row r="376" spans="1:7" x14ac:dyDescent="0.25">
      <c r="A376">
        <v>1369880</v>
      </c>
      <c r="B376" t="s">
        <v>23950</v>
      </c>
      <c r="C376">
        <v>4</v>
      </c>
      <c r="D376">
        <v>7</v>
      </c>
      <c r="E376">
        <v>34994</v>
      </c>
      <c r="F376">
        <v>149</v>
      </c>
      <c r="G376">
        <f t="shared" si="5"/>
        <v>1369880</v>
      </c>
    </row>
    <row r="377" spans="1:7" x14ac:dyDescent="0.25">
      <c r="A377">
        <v>1370514</v>
      </c>
      <c r="B377" t="s">
        <v>35978</v>
      </c>
      <c r="C377">
        <v>0</v>
      </c>
      <c r="D377">
        <v>0</v>
      </c>
      <c r="E377">
        <v>0</v>
      </c>
      <c r="F377">
        <v>7013</v>
      </c>
      <c r="G377">
        <f t="shared" si="5"/>
        <v>1370514</v>
      </c>
    </row>
    <row r="378" spans="1:7" x14ac:dyDescent="0.25">
      <c r="A378">
        <v>1372474</v>
      </c>
      <c r="B378" t="s">
        <v>23951</v>
      </c>
      <c r="C378">
        <v>1875</v>
      </c>
      <c r="D378">
        <v>1</v>
      </c>
      <c r="E378">
        <v>321</v>
      </c>
      <c r="F378">
        <v>5063</v>
      </c>
      <c r="G378">
        <f t="shared" si="5"/>
        <v>1372474</v>
      </c>
    </row>
    <row r="379" spans="1:7" x14ac:dyDescent="0.25">
      <c r="A379">
        <v>1377467</v>
      </c>
      <c r="B379" t="s">
        <v>35979</v>
      </c>
      <c r="C379">
        <v>294</v>
      </c>
      <c r="D379">
        <v>2</v>
      </c>
      <c r="E379">
        <v>10797</v>
      </c>
      <c r="F379">
        <v>1449</v>
      </c>
      <c r="G379">
        <f t="shared" si="5"/>
        <v>1377467</v>
      </c>
    </row>
    <row r="380" spans="1:7" x14ac:dyDescent="0.25">
      <c r="A380">
        <v>1378053</v>
      </c>
      <c r="B380" t="s">
        <v>23952</v>
      </c>
      <c r="C380">
        <v>67</v>
      </c>
      <c r="D380">
        <v>5</v>
      </c>
      <c r="E380">
        <v>14835</v>
      </c>
      <c r="F380">
        <v>1008</v>
      </c>
      <c r="G380">
        <f t="shared" si="5"/>
        <v>1378053</v>
      </c>
    </row>
    <row r="381" spans="1:7" x14ac:dyDescent="0.25">
      <c r="A381">
        <v>1379556</v>
      </c>
      <c r="B381" t="s">
        <v>23953</v>
      </c>
      <c r="C381">
        <v>0</v>
      </c>
      <c r="D381">
        <v>1</v>
      </c>
      <c r="E381">
        <v>51</v>
      </c>
      <c r="F381">
        <v>6156</v>
      </c>
      <c r="G381">
        <f t="shared" si="5"/>
        <v>1379556</v>
      </c>
    </row>
    <row r="382" spans="1:7" x14ac:dyDescent="0.25">
      <c r="A382">
        <v>1382913</v>
      </c>
      <c r="B382" t="s">
        <v>23954</v>
      </c>
      <c r="C382">
        <v>429</v>
      </c>
      <c r="D382">
        <v>1</v>
      </c>
      <c r="E382">
        <v>2637</v>
      </c>
      <c r="F382">
        <v>3092</v>
      </c>
      <c r="G382">
        <f t="shared" si="5"/>
        <v>1382913</v>
      </c>
    </row>
    <row r="383" spans="1:7" x14ac:dyDescent="0.25">
      <c r="A383">
        <v>1384686</v>
      </c>
      <c r="B383" t="s">
        <v>23955</v>
      </c>
      <c r="C383">
        <v>0</v>
      </c>
      <c r="D383">
        <v>1</v>
      </c>
      <c r="E383">
        <v>228</v>
      </c>
      <c r="F383">
        <v>5394</v>
      </c>
      <c r="G383">
        <f t="shared" si="5"/>
        <v>1384686</v>
      </c>
    </row>
    <row r="384" spans="1:7" x14ac:dyDescent="0.25">
      <c r="A384">
        <v>1385576</v>
      </c>
      <c r="B384" t="s">
        <v>23956</v>
      </c>
      <c r="C384">
        <v>31</v>
      </c>
      <c r="D384">
        <v>2</v>
      </c>
      <c r="E384">
        <v>8914</v>
      </c>
      <c r="F384">
        <v>1754</v>
      </c>
      <c r="G384">
        <f t="shared" si="5"/>
        <v>1385576</v>
      </c>
    </row>
    <row r="385" spans="1:7" x14ac:dyDescent="0.25">
      <c r="A385">
        <v>1388726</v>
      </c>
      <c r="B385" t="s">
        <v>23957</v>
      </c>
      <c r="C385">
        <v>0</v>
      </c>
      <c r="D385">
        <v>1</v>
      </c>
      <c r="E385">
        <v>878</v>
      </c>
      <c r="F385">
        <v>4111</v>
      </c>
      <c r="G385">
        <f t="shared" ref="G385:G448" si="6">A385</f>
        <v>1388726</v>
      </c>
    </row>
    <row r="386" spans="1:7" x14ac:dyDescent="0.25">
      <c r="A386">
        <v>1393509</v>
      </c>
      <c r="B386" t="s">
        <v>23958</v>
      </c>
      <c r="C386">
        <v>0</v>
      </c>
      <c r="D386">
        <v>0</v>
      </c>
      <c r="E386">
        <v>0</v>
      </c>
      <c r="F386">
        <v>7014</v>
      </c>
      <c r="G386">
        <f t="shared" si="6"/>
        <v>1393509</v>
      </c>
    </row>
    <row r="387" spans="1:7" x14ac:dyDescent="0.25">
      <c r="A387">
        <v>1406771</v>
      </c>
      <c r="B387" t="s">
        <v>35980</v>
      </c>
      <c r="C387">
        <v>79</v>
      </c>
      <c r="D387">
        <v>2</v>
      </c>
      <c r="E387">
        <v>6317</v>
      </c>
      <c r="F387">
        <v>2209</v>
      </c>
      <c r="G387">
        <f t="shared" si="6"/>
        <v>1406771</v>
      </c>
    </row>
    <row r="388" spans="1:7" x14ac:dyDescent="0.25">
      <c r="A388">
        <v>1410071</v>
      </c>
      <c r="B388" t="s">
        <v>23959</v>
      </c>
      <c r="C388">
        <v>0</v>
      </c>
      <c r="D388">
        <v>1</v>
      </c>
      <c r="E388">
        <v>293</v>
      </c>
      <c r="F388">
        <v>5144</v>
      </c>
      <c r="G388">
        <f t="shared" si="6"/>
        <v>1410071</v>
      </c>
    </row>
    <row r="389" spans="1:7" x14ac:dyDescent="0.25">
      <c r="A389">
        <v>1413707</v>
      </c>
      <c r="B389" t="s">
        <v>23960</v>
      </c>
      <c r="C389">
        <v>250</v>
      </c>
      <c r="D389">
        <v>1</v>
      </c>
      <c r="E389">
        <v>1845</v>
      </c>
      <c r="F389">
        <v>3420</v>
      </c>
      <c r="G389">
        <f t="shared" si="6"/>
        <v>1413707</v>
      </c>
    </row>
    <row r="390" spans="1:7" x14ac:dyDescent="0.25">
      <c r="A390">
        <v>1417982</v>
      </c>
      <c r="B390" t="s">
        <v>23961</v>
      </c>
      <c r="C390">
        <v>0</v>
      </c>
      <c r="D390">
        <v>1</v>
      </c>
      <c r="E390">
        <v>722</v>
      </c>
      <c r="F390">
        <v>4305</v>
      </c>
      <c r="G390">
        <f t="shared" si="6"/>
        <v>1417982</v>
      </c>
    </row>
    <row r="391" spans="1:7" x14ac:dyDescent="0.25">
      <c r="A391">
        <v>1419671</v>
      </c>
      <c r="B391" t="s">
        <v>23962</v>
      </c>
      <c r="C391">
        <v>1663</v>
      </c>
      <c r="D391">
        <v>0</v>
      </c>
      <c r="E391">
        <v>0</v>
      </c>
      <c r="F391">
        <v>7015</v>
      </c>
      <c r="G391">
        <f t="shared" si="6"/>
        <v>1419671</v>
      </c>
    </row>
    <row r="392" spans="1:7" x14ac:dyDescent="0.25">
      <c r="A392">
        <v>1422098</v>
      </c>
      <c r="B392" t="s">
        <v>37213</v>
      </c>
      <c r="C392">
        <v>0</v>
      </c>
      <c r="D392">
        <v>1</v>
      </c>
      <c r="E392">
        <v>423</v>
      </c>
      <c r="F392">
        <v>4799</v>
      </c>
      <c r="G392">
        <f t="shared" si="6"/>
        <v>1422098</v>
      </c>
    </row>
    <row r="393" spans="1:7" x14ac:dyDescent="0.25">
      <c r="A393">
        <v>1424191</v>
      </c>
      <c r="B393" t="s">
        <v>23963</v>
      </c>
      <c r="C393">
        <v>12</v>
      </c>
      <c r="D393">
        <v>3</v>
      </c>
      <c r="E393">
        <v>7617</v>
      </c>
      <c r="F393">
        <v>1963</v>
      </c>
      <c r="G393">
        <f t="shared" si="6"/>
        <v>1424191</v>
      </c>
    </row>
    <row r="394" spans="1:7" x14ac:dyDescent="0.25">
      <c r="A394">
        <v>1428213</v>
      </c>
      <c r="B394" t="s">
        <v>23964</v>
      </c>
      <c r="C394">
        <v>321</v>
      </c>
      <c r="D394">
        <v>1</v>
      </c>
      <c r="E394">
        <v>2042</v>
      </c>
      <c r="F394">
        <v>3325</v>
      </c>
      <c r="G394">
        <f t="shared" si="6"/>
        <v>1428213</v>
      </c>
    </row>
    <row r="395" spans="1:7" x14ac:dyDescent="0.25">
      <c r="A395">
        <v>1428815</v>
      </c>
      <c r="B395" t="s">
        <v>36981</v>
      </c>
      <c r="C395">
        <v>0</v>
      </c>
      <c r="D395">
        <v>2</v>
      </c>
      <c r="E395">
        <v>6273</v>
      </c>
      <c r="F395">
        <v>2218</v>
      </c>
      <c r="G395">
        <f t="shared" si="6"/>
        <v>1428815</v>
      </c>
    </row>
    <row r="396" spans="1:7" x14ac:dyDescent="0.25">
      <c r="A396">
        <v>1438017</v>
      </c>
      <c r="B396" t="s">
        <v>23965</v>
      </c>
      <c r="C396">
        <v>1816</v>
      </c>
      <c r="D396">
        <v>1</v>
      </c>
      <c r="E396">
        <v>44</v>
      </c>
      <c r="F396">
        <v>6236</v>
      </c>
      <c r="G396">
        <f t="shared" si="6"/>
        <v>1438017</v>
      </c>
    </row>
    <row r="397" spans="1:7" x14ac:dyDescent="0.25">
      <c r="A397">
        <v>1442482</v>
      </c>
      <c r="B397" t="s">
        <v>23966</v>
      </c>
      <c r="C397">
        <v>189</v>
      </c>
      <c r="D397">
        <v>5</v>
      </c>
      <c r="E397">
        <v>24203</v>
      </c>
      <c r="F397">
        <v>429</v>
      </c>
      <c r="G397">
        <f t="shared" si="6"/>
        <v>1442482</v>
      </c>
    </row>
    <row r="398" spans="1:7" x14ac:dyDescent="0.25">
      <c r="A398">
        <v>1445693</v>
      </c>
      <c r="B398" t="s">
        <v>35981</v>
      </c>
      <c r="C398">
        <v>69</v>
      </c>
      <c r="D398">
        <v>3</v>
      </c>
      <c r="E398">
        <v>15307</v>
      </c>
      <c r="F398">
        <v>960</v>
      </c>
      <c r="G398">
        <f t="shared" si="6"/>
        <v>1445693</v>
      </c>
    </row>
    <row r="399" spans="1:7" x14ac:dyDescent="0.25">
      <c r="A399">
        <v>1446206</v>
      </c>
      <c r="B399" t="s">
        <v>23967</v>
      </c>
      <c r="C399">
        <v>0</v>
      </c>
      <c r="D399">
        <v>1</v>
      </c>
      <c r="E399">
        <v>713</v>
      </c>
      <c r="F399">
        <v>4322</v>
      </c>
      <c r="G399">
        <f t="shared" si="6"/>
        <v>1446206</v>
      </c>
    </row>
    <row r="400" spans="1:7" x14ac:dyDescent="0.25">
      <c r="A400">
        <v>1447511</v>
      </c>
      <c r="B400" t="s">
        <v>23968</v>
      </c>
      <c r="C400">
        <v>0</v>
      </c>
      <c r="D400">
        <v>1</v>
      </c>
      <c r="E400">
        <v>51</v>
      </c>
      <c r="F400">
        <v>6157</v>
      </c>
      <c r="G400">
        <f t="shared" si="6"/>
        <v>1447511</v>
      </c>
    </row>
    <row r="401" spans="1:7" x14ac:dyDescent="0.25">
      <c r="A401">
        <v>1448549</v>
      </c>
      <c r="B401" t="s">
        <v>23969</v>
      </c>
      <c r="C401">
        <v>0</v>
      </c>
      <c r="D401">
        <v>0</v>
      </c>
      <c r="E401">
        <v>0</v>
      </c>
      <c r="F401">
        <v>7016</v>
      </c>
      <c r="G401">
        <f t="shared" si="6"/>
        <v>1448549</v>
      </c>
    </row>
    <row r="402" spans="1:7" x14ac:dyDescent="0.25">
      <c r="A402">
        <v>1459176</v>
      </c>
      <c r="B402" t="s">
        <v>35982</v>
      </c>
      <c r="C402">
        <v>321</v>
      </c>
      <c r="D402">
        <v>0</v>
      </c>
      <c r="E402">
        <v>0</v>
      </c>
      <c r="F402">
        <v>7017</v>
      </c>
      <c r="G402">
        <f t="shared" si="6"/>
        <v>1459176</v>
      </c>
    </row>
    <row r="403" spans="1:7" x14ac:dyDescent="0.25">
      <c r="A403">
        <v>1471481</v>
      </c>
      <c r="B403" t="s">
        <v>23970</v>
      </c>
      <c r="C403">
        <v>1927</v>
      </c>
      <c r="D403">
        <v>1</v>
      </c>
      <c r="E403">
        <v>1537</v>
      </c>
      <c r="F403">
        <v>3573</v>
      </c>
      <c r="G403">
        <f t="shared" si="6"/>
        <v>1471481</v>
      </c>
    </row>
    <row r="404" spans="1:7" x14ac:dyDescent="0.25">
      <c r="A404">
        <v>1480582</v>
      </c>
      <c r="B404" t="s">
        <v>23971</v>
      </c>
      <c r="C404">
        <v>1413</v>
      </c>
      <c r="D404">
        <v>2</v>
      </c>
      <c r="E404">
        <v>6967</v>
      </c>
      <c r="F404">
        <v>2067</v>
      </c>
      <c r="G404">
        <f t="shared" si="6"/>
        <v>1480582</v>
      </c>
    </row>
    <row r="405" spans="1:7" x14ac:dyDescent="0.25">
      <c r="A405">
        <v>1481312</v>
      </c>
      <c r="B405" t="s">
        <v>23972</v>
      </c>
      <c r="C405">
        <v>537</v>
      </c>
      <c r="D405">
        <v>2</v>
      </c>
      <c r="E405">
        <v>5071</v>
      </c>
      <c r="F405">
        <v>2499</v>
      </c>
      <c r="G405">
        <f t="shared" si="6"/>
        <v>1481312</v>
      </c>
    </row>
    <row r="406" spans="1:7" x14ac:dyDescent="0.25">
      <c r="A406">
        <v>1482114</v>
      </c>
      <c r="B406" t="s">
        <v>23973</v>
      </c>
      <c r="C406">
        <v>1975</v>
      </c>
      <c r="D406">
        <v>1</v>
      </c>
      <c r="E406">
        <v>254</v>
      </c>
      <c r="F406">
        <v>5395</v>
      </c>
      <c r="G406">
        <f t="shared" si="6"/>
        <v>1482114</v>
      </c>
    </row>
    <row r="407" spans="1:7" x14ac:dyDescent="0.25">
      <c r="A407">
        <v>1486702</v>
      </c>
      <c r="B407" t="s">
        <v>23974</v>
      </c>
      <c r="C407">
        <v>1678</v>
      </c>
      <c r="D407">
        <v>1</v>
      </c>
      <c r="E407">
        <v>26</v>
      </c>
      <c r="F407">
        <v>6367</v>
      </c>
      <c r="G407">
        <f t="shared" si="6"/>
        <v>1486702</v>
      </c>
    </row>
    <row r="408" spans="1:7" x14ac:dyDescent="0.25">
      <c r="A408">
        <v>1487738</v>
      </c>
      <c r="B408" t="s">
        <v>23975</v>
      </c>
      <c r="C408">
        <v>1163</v>
      </c>
      <c r="D408">
        <v>0</v>
      </c>
      <c r="E408">
        <v>0</v>
      </c>
      <c r="F408">
        <v>7018</v>
      </c>
      <c r="G408">
        <f t="shared" si="6"/>
        <v>1487738</v>
      </c>
    </row>
    <row r="409" spans="1:7" x14ac:dyDescent="0.25">
      <c r="A409">
        <v>1493164</v>
      </c>
      <c r="B409" t="s">
        <v>23976</v>
      </c>
      <c r="C409">
        <v>36</v>
      </c>
      <c r="D409">
        <v>2</v>
      </c>
      <c r="E409">
        <v>6442</v>
      </c>
      <c r="F409">
        <v>2177</v>
      </c>
      <c r="G409">
        <f t="shared" si="6"/>
        <v>1493164</v>
      </c>
    </row>
    <row r="410" spans="1:7" x14ac:dyDescent="0.25">
      <c r="A410">
        <v>1494457</v>
      </c>
      <c r="B410" t="s">
        <v>35983</v>
      </c>
      <c r="C410">
        <v>1689</v>
      </c>
      <c r="D410">
        <v>1</v>
      </c>
      <c r="E410">
        <v>6307</v>
      </c>
      <c r="F410">
        <v>2212</v>
      </c>
      <c r="G410">
        <f t="shared" si="6"/>
        <v>1494457</v>
      </c>
    </row>
    <row r="411" spans="1:7" x14ac:dyDescent="0.25">
      <c r="A411">
        <v>1499771</v>
      </c>
      <c r="B411" t="s">
        <v>23977</v>
      </c>
      <c r="C411">
        <v>413</v>
      </c>
      <c r="D411">
        <v>1</v>
      </c>
      <c r="E411">
        <v>6210</v>
      </c>
      <c r="F411">
        <v>2229</v>
      </c>
      <c r="G411">
        <f t="shared" si="6"/>
        <v>1499771</v>
      </c>
    </row>
    <row r="412" spans="1:7" x14ac:dyDescent="0.25">
      <c r="A412">
        <v>1509395</v>
      </c>
      <c r="B412" t="s">
        <v>23978</v>
      </c>
      <c r="C412">
        <v>552</v>
      </c>
      <c r="D412">
        <v>3</v>
      </c>
      <c r="E412">
        <v>20051</v>
      </c>
      <c r="F412">
        <v>619</v>
      </c>
      <c r="G412">
        <f t="shared" si="6"/>
        <v>1509395</v>
      </c>
    </row>
    <row r="413" spans="1:7" x14ac:dyDescent="0.25">
      <c r="A413">
        <v>1512868</v>
      </c>
      <c r="B413" t="s">
        <v>23979</v>
      </c>
      <c r="C413">
        <v>0</v>
      </c>
      <c r="D413">
        <v>1</v>
      </c>
      <c r="E413">
        <v>2914</v>
      </c>
      <c r="F413">
        <v>3019</v>
      </c>
      <c r="G413">
        <f t="shared" si="6"/>
        <v>1512868</v>
      </c>
    </row>
    <row r="414" spans="1:7" x14ac:dyDescent="0.25">
      <c r="A414">
        <v>1515293</v>
      </c>
      <c r="B414" t="s">
        <v>23980</v>
      </c>
      <c r="C414">
        <v>152</v>
      </c>
      <c r="D414">
        <v>4</v>
      </c>
      <c r="E414">
        <v>21524</v>
      </c>
      <c r="F414">
        <v>547</v>
      </c>
      <c r="G414">
        <f t="shared" si="6"/>
        <v>1515293</v>
      </c>
    </row>
    <row r="415" spans="1:7" x14ac:dyDescent="0.25">
      <c r="A415">
        <v>1515548</v>
      </c>
      <c r="B415" t="s">
        <v>37243</v>
      </c>
      <c r="C415">
        <v>431</v>
      </c>
      <c r="D415">
        <v>3</v>
      </c>
      <c r="E415">
        <v>11813</v>
      </c>
      <c r="F415">
        <v>1307</v>
      </c>
      <c r="G415">
        <f t="shared" si="6"/>
        <v>1515548</v>
      </c>
    </row>
    <row r="416" spans="1:7" x14ac:dyDescent="0.25">
      <c r="A416">
        <v>1518022</v>
      </c>
      <c r="B416" t="s">
        <v>23981</v>
      </c>
      <c r="C416">
        <v>412</v>
      </c>
      <c r="D416">
        <v>1</v>
      </c>
      <c r="E416">
        <v>7118</v>
      </c>
      <c r="F416">
        <v>2045</v>
      </c>
      <c r="G416">
        <f t="shared" si="6"/>
        <v>1518022</v>
      </c>
    </row>
    <row r="417" spans="1:7" x14ac:dyDescent="0.25">
      <c r="A417">
        <v>1520440</v>
      </c>
      <c r="B417" t="s">
        <v>37244</v>
      </c>
      <c r="C417">
        <v>0</v>
      </c>
      <c r="D417">
        <v>1</v>
      </c>
      <c r="E417">
        <v>44</v>
      </c>
      <c r="F417">
        <v>6237</v>
      </c>
      <c r="G417">
        <f t="shared" si="6"/>
        <v>1520440</v>
      </c>
    </row>
    <row r="418" spans="1:7" x14ac:dyDescent="0.25">
      <c r="A418">
        <v>1520570</v>
      </c>
      <c r="B418" t="s">
        <v>35984</v>
      </c>
      <c r="C418">
        <v>0</v>
      </c>
      <c r="D418">
        <v>1</v>
      </c>
      <c r="E418">
        <v>347</v>
      </c>
      <c r="F418">
        <v>4990</v>
      </c>
      <c r="G418">
        <f t="shared" si="6"/>
        <v>1520570</v>
      </c>
    </row>
    <row r="419" spans="1:7" x14ac:dyDescent="0.25">
      <c r="A419">
        <v>1526306</v>
      </c>
      <c r="B419" t="s">
        <v>23982</v>
      </c>
      <c r="C419">
        <v>0</v>
      </c>
      <c r="D419">
        <v>0</v>
      </c>
      <c r="E419">
        <v>0</v>
      </c>
      <c r="F419">
        <v>7019</v>
      </c>
      <c r="G419">
        <f t="shared" si="6"/>
        <v>1526306</v>
      </c>
    </row>
    <row r="420" spans="1:7" x14ac:dyDescent="0.25">
      <c r="A420">
        <v>1527141</v>
      </c>
      <c r="B420" t="s">
        <v>35985</v>
      </c>
      <c r="C420">
        <v>47</v>
      </c>
      <c r="D420">
        <v>2</v>
      </c>
      <c r="E420">
        <v>6957</v>
      </c>
      <c r="F420">
        <v>2080</v>
      </c>
      <c r="G420">
        <f t="shared" si="6"/>
        <v>1527141</v>
      </c>
    </row>
    <row r="421" spans="1:7" x14ac:dyDescent="0.25">
      <c r="A421">
        <v>1531416</v>
      </c>
      <c r="B421" t="s">
        <v>23983</v>
      </c>
      <c r="C421">
        <v>117</v>
      </c>
      <c r="D421">
        <v>2</v>
      </c>
      <c r="E421">
        <v>10382</v>
      </c>
      <c r="F421">
        <v>1511</v>
      </c>
      <c r="G421">
        <f t="shared" si="6"/>
        <v>1531416</v>
      </c>
    </row>
    <row r="422" spans="1:7" x14ac:dyDescent="0.25">
      <c r="A422">
        <v>1539246</v>
      </c>
      <c r="B422" t="s">
        <v>23984</v>
      </c>
      <c r="C422">
        <v>412</v>
      </c>
      <c r="D422">
        <v>4</v>
      </c>
      <c r="E422">
        <v>17846</v>
      </c>
      <c r="F422">
        <v>762</v>
      </c>
      <c r="G422">
        <f t="shared" si="6"/>
        <v>1539246</v>
      </c>
    </row>
    <row r="423" spans="1:7" x14ac:dyDescent="0.25">
      <c r="A423">
        <v>1546663</v>
      </c>
      <c r="B423" t="s">
        <v>23985</v>
      </c>
      <c r="C423">
        <v>47</v>
      </c>
      <c r="D423">
        <v>1</v>
      </c>
      <c r="E423">
        <v>2470</v>
      </c>
      <c r="F423">
        <v>3156</v>
      </c>
      <c r="G423">
        <f t="shared" si="6"/>
        <v>1546663</v>
      </c>
    </row>
    <row r="424" spans="1:7" x14ac:dyDescent="0.25">
      <c r="A424">
        <v>1547124</v>
      </c>
      <c r="B424" t="s">
        <v>23986</v>
      </c>
      <c r="C424">
        <v>1836</v>
      </c>
      <c r="D424">
        <v>3</v>
      </c>
      <c r="E424">
        <v>8437</v>
      </c>
      <c r="F424">
        <v>1807</v>
      </c>
      <c r="G424">
        <f t="shared" si="6"/>
        <v>1547124</v>
      </c>
    </row>
    <row r="425" spans="1:7" x14ac:dyDescent="0.25">
      <c r="A425">
        <v>1547719</v>
      </c>
      <c r="B425" t="s">
        <v>23987</v>
      </c>
      <c r="C425">
        <v>0</v>
      </c>
      <c r="D425">
        <v>2</v>
      </c>
      <c r="E425">
        <v>7326</v>
      </c>
      <c r="F425">
        <v>2043</v>
      </c>
      <c r="G425">
        <f t="shared" si="6"/>
        <v>1547719</v>
      </c>
    </row>
    <row r="426" spans="1:7" x14ac:dyDescent="0.25">
      <c r="A426">
        <v>1547790</v>
      </c>
      <c r="B426" t="s">
        <v>23988</v>
      </c>
      <c r="C426">
        <v>578</v>
      </c>
      <c r="D426">
        <v>3</v>
      </c>
      <c r="E426">
        <v>16354</v>
      </c>
      <c r="F426">
        <v>885</v>
      </c>
      <c r="G426">
        <f t="shared" si="6"/>
        <v>1547790</v>
      </c>
    </row>
    <row r="427" spans="1:7" x14ac:dyDescent="0.25">
      <c r="A427">
        <v>1560210</v>
      </c>
      <c r="B427" t="s">
        <v>35986</v>
      </c>
      <c r="C427">
        <v>0</v>
      </c>
      <c r="D427">
        <v>0</v>
      </c>
      <c r="E427">
        <v>0</v>
      </c>
      <c r="F427">
        <v>7020</v>
      </c>
      <c r="G427">
        <f t="shared" si="6"/>
        <v>1560210</v>
      </c>
    </row>
    <row r="428" spans="1:7" x14ac:dyDescent="0.25">
      <c r="A428">
        <v>1565777</v>
      </c>
      <c r="B428" t="s">
        <v>23989</v>
      </c>
      <c r="C428">
        <v>0</v>
      </c>
      <c r="D428">
        <v>1</v>
      </c>
      <c r="E428">
        <v>1565</v>
      </c>
      <c r="F428">
        <v>3560</v>
      </c>
      <c r="G428">
        <f t="shared" si="6"/>
        <v>1565777</v>
      </c>
    </row>
    <row r="429" spans="1:7" x14ac:dyDescent="0.25">
      <c r="A429">
        <v>1567606</v>
      </c>
      <c r="B429" t="s">
        <v>23990</v>
      </c>
      <c r="C429">
        <v>0</v>
      </c>
      <c r="D429">
        <v>1</v>
      </c>
      <c r="E429">
        <v>51</v>
      </c>
      <c r="F429">
        <v>6158</v>
      </c>
      <c r="G429">
        <f t="shared" si="6"/>
        <v>1567606</v>
      </c>
    </row>
    <row r="430" spans="1:7" x14ac:dyDescent="0.25">
      <c r="A430">
        <v>1573098</v>
      </c>
      <c r="B430" t="s">
        <v>23991</v>
      </c>
      <c r="C430">
        <v>1953</v>
      </c>
      <c r="D430">
        <v>1</v>
      </c>
      <c r="E430">
        <v>5339</v>
      </c>
      <c r="F430">
        <v>2438</v>
      </c>
      <c r="G430">
        <f t="shared" si="6"/>
        <v>1573098</v>
      </c>
    </row>
    <row r="431" spans="1:7" x14ac:dyDescent="0.25">
      <c r="A431">
        <v>1574742</v>
      </c>
      <c r="B431" t="s">
        <v>23992</v>
      </c>
      <c r="C431">
        <v>6</v>
      </c>
      <c r="D431">
        <v>4</v>
      </c>
      <c r="E431">
        <v>19585</v>
      </c>
      <c r="F431">
        <v>648</v>
      </c>
      <c r="G431">
        <f t="shared" si="6"/>
        <v>1574742</v>
      </c>
    </row>
    <row r="432" spans="1:7" x14ac:dyDescent="0.25">
      <c r="A432">
        <v>1576325</v>
      </c>
      <c r="B432" t="s">
        <v>35987</v>
      </c>
      <c r="C432">
        <v>271</v>
      </c>
      <c r="D432">
        <v>2</v>
      </c>
      <c r="E432">
        <v>7922</v>
      </c>
      <c r="F432">
        <v>1896</v>
      </c>
      <c r="G432">
        <f t="shared" si="6"/>
        <v>1576325</v>
      </c>
    </row>
    <row r="433" spans="1:7" x14ac:dyDescent="0.25">
      <c r="A433">
        <v>1579273</v>
      </c>
      <c r="B433" t="s">
        <v>35988</v>
      </c>
      <c r="C433">
        <v>10</v>
      </c>
      <c r="D433">
        <v>1</v>
      </c>
      <c r="E433">
        <v>268</v>
      </c>
      <c r="F433">
        <v>5285</v>
      </c>
      <c r="G433">
        <f t="shared" si="6"/>
        <v>1579273</v>
      </c>
    </row>
    <row r="434" spans="1:7" x14ac:dyDescent="0.25">
      <c r="A434">
        <v>1583164</v>
      </c>
      <c r="B434" t="s">
        <v>23993</v>
      </c>
      <c r="C434">
        <v>0</v>
      </c>
      <c r="D434">
        <v>1</v>
      </c>
      <c r="E434">
        <v>866</v>
      </c>
      <c r="F434">
        <v>4132</v>
      </c>
      <c r="G434">
        <f t="shared" si="6"/>
        <v>1583164</v>
      </c>
    </row>
    <row r="435" spans="1:7" x14ac:dyDescent="0.25">
      <c r="A435">
        <v>1586253</v>
      </c>
      <c r="B435" t="s">
        <v>23994</v>
      </c>
      <c r="C435">
        <v>0</v>
      </c>
      <c r="D435">
        <v>0</v>
      </c>
      <c r="E435">
        <v>0</v>
      </c>
      <c r="F435">
        <v>7021</v>
      </c>
      <c r="G435">
        <f t="shared" si="6"/>
        <v>1586253</v>
      </c>
    </row>
    <row r="436" spans="1:7" x14ac:dyDescent="0.25">
      <c r="A436">
        <v>1598336</v>
      </c>
      <c r="B436" t="s">
        <v>23995</v>
      </c>
      <c r="C436">
        <v>412</v>
      </c>
      <c r="D436">
        <v>2</v>
      </c>
      <c r="E436">
        <v>8325</v>
      </c>
      <c r="F436">
        <v>1823</v>
      </c>
      <c r="G436">
        <f t="shared" si="6"/>
        <v>1598336</v>
      </c>
    </row>
    <row r="437" spans="1:7" x14ac:dyDescent="0.25">
      <c r="A437">
        <v>1598956</v>
      </c>
      <c r="B437" t="s">
        <v>23996</v>
      </c>
      <c r="C437">
        <v>0</v>
      </c>
      <c r="D437">
        <v>0</v>
      </c>
      <c r="E437">
        <v>0</v>
      </c>
      <c r="F437">
        <v>7022</v>
      </c>
      <c r="G437">
        <f t="shared" si="6"/>
        <v>1598956</v>
      </c>
    </row>
    <row r="438" spans="1:7" x14ac:dyDescent="0.25">
      <c r="A438">
        <v>1603036</v>
      </c>
      <c r="B438" t="s">
        <v>37454</v>
      </c>
      <c r="C438">
        <v>1956</v>
      </c>
      <c r="D438">
        <v>1</v>
      </c>
      <c r="E438">
        <v>96</v>
      </c>
      <c r="F438">
        <v>5929</v>
      </c>
      <c r="G438">
        <f t="shared" si="6"/>
        <v>1603036</v>
      </c>
    </row>
    <row r="439" spans="1:7" x14ac:dyDescent="0.25">
      <c r="A439">
        <v>1603963</v>
      </c>
      <c r="B439" t="s">
        <v>23997</v>
      </c>
      <c r="C439">
        <v>0</v>
      </c>
      <c r="D439">
        <v>0</v>
      </c>
      <c r="E439">
        <v>0</v>
      </c>
      <c r="F439">
        <v>7023</v>
      </c>
      <c r="G439">
        <f t="shared" si="6"/>
        <v>1603963</v>
      </c>
    </row>
    <row r="440" spans="1:7" x14ac:dyDescent="0.25">
      <c r="A440">
        <v>1605009</v>
      </c>
      <c r="B440" t="s">
        <v>23998</v>
      </c>
      <c r="C440">
        <v>887</v>
      </c>
      <c r="D440">
        <v>2</v>
      </c>
      <c r="E440">
        <v>4212</v>
      </c>
      <c r="F440">
        <v>2747</v>
      </c>
      <c r="G440">
        <f t="shared" si="6"/>
        <v>1605009</v>
      </c>
    </row>
    <row r="441" spans="1:7" x14ac:dyDescent="0.25">
      <c r="A441">
        <v>1619469</v>
      </c>
      <c r="B441" t="s">
        <v>23999</v>
      </c>
      <c r="C441">
        <v>0</v>
      </c>
      <c r="D441">
        <v>1</v>
      </c>
      <c r="E441">
        <v>32</v>
      </c>
      <c r="F441">
        <v>6303</v>
      </c>
      <c r="G441">
        <f t="shared" si="6"/>
        <v>1619469</v>
      </c>
    </row>
    <row r="442" spans="1:7" x14ac:dyDescent="0.25">
      <c r="A442">
        <v>1620538</v>
      </c>
      <c r="B442" t="s">
        <v>24000</v>
      </c>
      <c r="C442">
        <v>55</v>
      </c>
      <c r="D442">
        <v>1</v>
      </c>
      <c r="E442">
        <v>1303</v>
      </c>
      <c r="F442">
        <v>3724</v>
      </c>
      <c r="G442">
        <f t="shared" si="6"/>
        <v>1620538</v>
      </c>
    </row>
    <row r="443" spans="1:7" x14ac:dyDescent="0.25">
      <c r="A443">
        <v>1625165</v>
      </c>
      <c r="B443" t="s">
        <v>24001</v>
      </c>
      <c r="C443">
        <v>424</v>
      </c>
      <c r="D443">
        <v>2</v>
      </c>
      <c r="E443">
        <v>5122</v>
      </c>
      <c r="F443">
        <v>2485</v>
      </c>
      <c r="G443">
        <f t="shared" si="6"/>
        <v>1625165</v>
      </c>
    </row>
    <row r="444" spans="1:7" x14ac:dyDescent="0.25">
      <c r="A444">
        <v>1627263</v>
      </c>
      <c r="B444" t="s">
        <v>24002</v>
      </c>
      <c r="C444">
        <v>1968</v>
      </c>
      <c r="D444">
        <v>0</v>
      </c>
      <c r="E444">
        <v>0</v>
      </c>
      <c r="F444">
        <v>7024</v>
      </c>
      <c r="G444">
        <f t="shared" si="6"/>
        <v>1627263</v>
      </c>
    </row>
    <row r="445" spans="1:7" x14ac:dyDescent="0.25">
      <c r="A445">
        <v>1632155</v>
      </c>
      <c r="B445" t="s">
        <v>24003</v>
      </c>
      <c r="C445">
        <v>0</v>
      </c>
      <c r="D445">
        <v>1</v>
      </c>
      <c r="E445">
        <v>1225</v>
      </c>
      <c r="F445">
        <v>3785</v>
      </c>
      <c r="G445">
        <f t="shared" si="6"/>
        <v>1632155</v>
      </c>
    </row>
    <row r="446" spans="1:7" x14ac:dyDescent="0.25">
      <c r="A446">
        <v>1634636</v>
      </c>
      <c r="B446" t="s">
        <v>35989</v>
      </c>
      <c r="C446">
        <v>0</v>
      </c>
      <c r="D446">
        <v>1</v>
      </c>
      <c r="E446">
        <v>58</v>
      </c>
      <c r="F446">
        <v>6112</v>
      </c>
      <c r="G446">
        <f t="shared" si="6"/>
        <v>1634636</v>
      </c>
    </row>
    <row r="447" spans="1:7" x14ac:dyDescent="0.25">
      <c r="A447">
        <v>1635254</v>
      </c>
      <c r="B447" t="s">
        <v>24004</v>
      </c>
      <c r="C447">
        <v>1931</v>
      </c>
      <c r="D447">
        <v>1</v>
      </c>
      <c r="E447">
        <v>162</v>
      </c>
      <c r="F447">
        <v>5643</v>
      </c>
      <c r="G447">
        <f t="shared" si="6"/>
        <v>1635254</v>
      </c>
    </row>
    <row r="448" spans="1:7" x14ac:dyDescent="0.25">
      <c r="A448">
        <v>1637531</v>
      </c>
      <c r="B448" t="s">
        <v>24005</v>
      </c>
      <c r="C448">
        <v>0</v>
      </c>
      <c r="D448">
        <v>0</v>
      </c>
      <c r="E448">
        <v>0</v>
      </c>
      <c r="F448">
        <v>7025</v>
      </c>
      <c r="G448">
        <f t="shared" si="6"/>
        <v>1637531</v>
      </c>
    </row>
    <row r="449" spans="1:7" x14ac:dyDescent="0.25">
      <c r="A449">
        <v>1638706</v>
      </c>
      <c r="B449" t="s">
        <v>37245</v>
      </c>
      <c r="C449">
        <v>0</v>
      </c>
      <c r="D449">
        <v>1</v>
      </c>
      <c r="E449">
        <v>385</v>
      </c>
      <c r="F449">
        <v>4883</v>
      </c>
      <c r="G449">
        <f t="shared" ref="G449:G512" si="7">A449</f>
        <v>1638706</v>
      </c>
    </row>
    <row r="450" spans="1:7" x14ac:dyDescent="0.25">
      <c r="A450">
        <v>1638791</v>
      </c>
      <c r="B450" t="s">
        <v>35990</v>
      </c>
      <c r="C450">
        <v>0</v>
      </c>
      <c r="D450">
        <v>0</v>
      </c>
      <c r="E450">
        <v>0</v>
      </c>
      <c r="F450">
        <v>7026</v>
      </c>
      <c r="G450">
        <f t="shared" si="7"/>
        <v>1638791</v>
      </c>
    </row>
    <row r="451" spans="1:7" x14ac:dyDescent="0.25">
      <c r="A451">
        <v>1640677</v>
      </c>
      <c r="B451" t="s">
        <v>24006</v>
      </c>
      <c r="C451">
        <v>1316</v>
      </c>
      <c r="D451">
        <v>0</v>
      </c>
      <c r="E451">
        <v>0</v>
      </c>
      <c r="F451">
        <v>7027</v>
      </c>
      <c r="G451">
        <f t="shared" si="7"/>
        <v>1640677</v>
      </c>
    </row>
    <row r="452" spans="1:7" x14ac:dyDescent="0.25">
      <c r="A452">
        <v>1648011</v>
      </c>
      <c r="B452" t="s">
        <v>35991</v>
      </c>
      <c r="C452">
        <v>95</v>
      </c>
      <c r="D452">
        <v>1</v>
      </c>
      <c r="E452">
        <v>26</v>
      </c>
      <c r="F452">
        <v>6368</v>
      </c>
      <c r="G452">
        <f t="shared" si="7"/>
        <v>1648011</v>
      </c>
    </row>
    <row r="453" spans="1:7" x14ac:dyDescent="0.25">
      <c r="A453">
        <v>1649481</v>
      </c>
      <c r="B453" t="s">
        <v>24007</v>
      </c>
      <c r="C453">
        <v>0</v>
      </c>
      <c r="D453">
        <v>1</v>
      </c>
      <c r="E453">
        <v>492</v>
      </c>
      <c r="F453">
        <v>4682</v>
      </c>
      <c r="G453">
        <f t="shared" si="7"/>
        <v>1649481</v>
      </c>
    </row>
    <row r="454" spans="1:7" x14ac:dyDescent="0.25">
      <c r="A454">
        <v>1650443</v>
      </c>
      <c r="B454" t="s">
        <v>24008</v>
      </c>
      <c r="C454">
        <v>1867</v>
      </c>
      <c r="D454">
        <v>1</v>
      </c>
      <c r="E454">
        <v>1553</v>
      </c>
      <c r="F454">
        <v>3565</v>
      </c>
      <c r="G454">
        <f t="shared" si="7"/>
        <v>1650443</v>
      </c>
    </row>
    <row r="455" spans="1:7" x14ac:dyDescent="0.25">
      <c r="A455">
        <v>1650546</v>
      </c>
      <c r="B455" t="s">
        <v>24009</v>
      </c>
      <c r="C455">
        <v>0</v>
      </c>
      <c r="D455">
        <v>0</v>
      </c>
      <c r="E455">
        <v>0</v>
      </c>
      <c r="F455">
        <v>7028</v>
      </c>
      <c r="G455">
        <f t="shared" si="7"/>
        <v>1650546</v>
      </c>
    </row>
    <row r="456" spans="1:7" x14ac:dyDescent="0.25">
      <c r="A456">
        <v>1653601</v>
      </c>
      <c r="B456" t="s">
        <v>24010</v>
      </c>
      <c r="C456">
        <v>0</v>
      </c>
      <c r="D456">
        <v>1</v>
      </c>
      <c r="E456">
        <v>26</v>
      </c>
      <c r="F456">
        <v>6369</v>
      </c>
      <c r="G456">
        <f t="shared" si="7"/>
        <v>1653601</v>
      </c>
    </row>
    <row r="457" spans="1:7" x14ac:dyDescent="0.25">
      <c r="A457">
        <v>1653911</v>
      </c>
      <c r="B457" t="s">
        <v>24011</v>
      </c>
      <c r="C457">
        <v>806</v>
      </c>
      <c r="D457">
        <v>1</v>
      </c>
      <c r="E457">
        <v>1510</v>
      </c>
      <c r="F457">
        <v>3592</v>
      </c>
      <c r="G457">
        <f t="shared" si="7"/>
        <v>1653911</v>
      </c>
    </row>
    <row r="458" spans="1:7" x14ac:dyDescent="0.25">
      <c r="A458">
        <v>1655589</v>
      </c>
      <c r="B458" t="s">
        <v>35992</v>
      </c>
      <c r="C458">
        <v>0</v>
      </c>
      <c r="D458">
        <v>1</v>
      </c>
      <c r="E458">
        <v>454</v>
      </c>
      <c r="F458">
        <v>4735</v>
      </c>
      <c r="G458">
        <f t="shared" si="7"/>
        <v>1655589</v>
      </c>
    </row>
    <row r="459" spans="1:7" x14ac:dyDescent="0.25">
      <c r="A459">
        <v>1655762</v>
      </c>
      <c r="B459" t="s">
        <v>24012</v>
      </c>
      <c r="C459">
        <v>1</v>
      </c>
      <c r="D459">
        <v>1</v>
      </c>
      <c r="E459">
        <v>6480</v>
      </c>
      <c r="F459">
        <v>2172</v>
      </c>
      <c r="G459">
        <f t="shared" si="7"/>
        <v>1655762</v>
      </c>
    </row>
    <row r="460" spans="1:7" x14ac:dyDescent="0.25">
      <c r="A460">
        <v>1664238</v>
      </c>
      <c r="B460" t="s">
        <v>37110</v>
      </c>
      <c r="C460">
        <v>0</v>
      </c>
      <c r="D460">
        <v>1</v>
      </c>
      <c r="E460">
        <v>632</v>
      </c>
      <c r="F460">
        <v>4430</v>
      </c>
      <c r="G460">
        <f t="shared" si="7"/>
        <v>1664238</v>
      </c>
    </row>
    <row r="461" spans="1:7" x14ac:dyDescent="0.25">
      <c r="A461">
        <v>1666326</v>
      </c>
      <c r="B461" t="s">
        <v>35993</v>
      </c>
      <c r="C461">
        <v>480</v>
      </c>
      <c r="D461">
        <v>3</v>
      </c>
      <c r="E461">
        <v>15553</v>
      </c>
      <c r="F461">
        <v>955</v>
      </c>
      <c r="G461">
        <f t="shared" si="7"/>
        <v>1666326</v>
      </c>
    </row>
    <row r="462" spans="1:7" x14ac:dyDescent="0.25">
      <c r="A462">
        <v>1667196</v>
      </c>
      <c r="B462" t="s">
        <v>24013</v>
      </c>
      <c r="C462">
        <v>419</v>
      </c>
      <c r="D462">
        <v>4</v>
      </c>
      <c r="E462">
        <v>26207</v>
      </c>
      <c r="F462">
        <v>359</v>
      </c>
      <c r="G462">
        <f t="shared" si="7"/>
        <v>1667196</v>
      </c>
    </row>
    <row r="463" spans="1:7" x14ac:dyDescent="0.25">
      <c r="A463">
        <v>1674849</v>
      </c>
      <c r="B463" t="s">
        <v>35994</v>
      </c>
      <c r="C463">
        <v>0</v>
      </c>
      <c r="D463">
        <v>0</v>
      </c>
      <c r="E463">
        <v>0</v>
      </c>
      <c r="F463">
        <v>7029</v>
      </c>
      <c r="G463">
        <f t="shared" si="7"/>
        <v>1674849</v>
      </c>
    </row>
    <row r="464" spans="1:7" x14ac:dyDescent="0.25">
      <c r="A464">
        <v>1677092</v>
      </c>
      <c r="B464" t="s">
        <v>37246</v>
      </c>
      <c r="C464">
        <v>174</v>
      </c>
      <c r="D464">
        <v>2</v>
      </c>
      <c r="E464">
        <v>6819</v>
      </c>
      <c r="F464">
        <v>2098</v>
      </c>
      <c r="G464">
        <f t="shared" si="7"/>
        <v>1677092</v>
      </c>
    </row>
    <row r="465" spans="1:7" x14ac:dyDescent="0.25">
      <c r="A465">
        <v>1677602</v>
      </c>
      <c r="B465" t="s">
        <v>24014</v>
      </c>
      <c r="C465">
        <v>0</v>
      </c>
      <c r="D465">
        <v>1</v>
      </c>
      <c r="E465">
        <v>364</v>
      </c>
      <c r="F465">
        <v>4942</v>
      </c>
      <c r="G465">
        <f t="shared" si="7"/>
        <v>1677602</v>
      </c>
    </row>
    <row r="466" spans="1:7" x14ac:dyDescent="0.25">
      <c r="A466">
        <v>1679619</v>
      </c>
      <c r="B466" t="s">
        <v>24015</v>
      </c>
      <c r="C466">
        <v>1752</v>
      </c>
      <c r="D466">
        <v>1</v>
      </c>
      <c r="E466">
        <v>693</v>
      </c>
      <c r="F466">
        <v>4358</v>
      </c>
      <c r="G466">
        <f t="shared" si="7"/>
        <v>1679619</v>
      </c>
    </row>
    <row r="467" spans="1:7" x14ac:dyDescent="0.25">
      <c r="A467">
        <v>1687534</v>
      </c>
      <c r="B467" t="s">
        <v>35995</v>
      </c>
      <c r="C467">
        <v>0</v>
      </c>
      <c r="D467">
        <v>1</v>
      </c>
      <c r="E467">
        <v>1034</v>
      </c>
      <c r="F467">
        <v>3941</v>
      </c>
      <c r="G467">
        <f t="shared" si="7"/>
        <v>1687534</v>
      </c>
    </row>
    <row r="468" spans="1:7" x14ac:dyDescent="0.25">
      <c r="A468">
        <v>1691328</v>
      </c>
      <c r="B468" t="s">
        <v>24016</v>
      </c>
      <c r="C468">
        <v>69</v>
      </c>
      <c r="D468">
        <v>4</v>
      </c>
      <c r="E468">
        <v>21423</v>
      </c>
      <c r="F468">
        <v>552</v>
      </c>
      <c r="G468">
        <f t="shared" si="7"/>
        <v>1691328</v>
      </c>
    </row>
    <row r="469" spans="1:7" x14ac:dyDescent="0.25">
      <c r="A469">
        <v>1691528</v>
      </c>
      <c r="B469" t="s">
        <v>35996</v>
      </c>
      <c r="C469">
        <v>94</v>
      </c>
      <c r="D469">
        <v>1</v>
      </c>
      <c r="E469">
        <v>4322</v>
      </c>
      <c r="F469">
        <v>2674</v>
      </c>
      <c r="G469">
        <f t="shared" si="7"/>
        <v>1691528</v>
      </c>
    </row>
    <row r="470" spans="1:7" x14ac:dyDescent="0.25">
      <c r="A470">
        <v>1702601</v>
      </c>
      <c r="B470" t="s">
        <v>24017</v>
      </c>
      <c r="C470">
        <v>1991</v>
      </c>
      <c r="D470">
        <v>1</v>
      </c>
      <c r="E470">
        <v>948</v>
      </c>
      <c r="F470">
        <v>4045</v>
      </c>
      <c r="G470">
        <f t="shared" si="7"/>
        <v>1702601</v>
      </c>
    </row>
    <row r="471" spans="1:7" x14ac:dyDescent="0.25">
      <c r="A471">
        <v>1706835</v>
      </c>
      <c r="B471" t="s">
        <v>24018</v>
      </c>
      <c r="C471">
        <v>0</v>
      </c>
      <c r="D471">
        <v>0</v>
      </c>
      <c r="E471">
        <v>0</v>
      </c>
      <c r="F471">
        <v>7030</v>
      </c>
      <c r="G471">
        <f t="shared" si="7"/>
        <v>1706835</v>
      </c>
    </row>
    <row r="472" spans="1:7" x14ac:dyDescent="0.25">
      <c r="A472">
        <v>1707742</v>
      </c>
      <c r="B472" t="s">
        <v>36982</v>
      </c>
      <c r="C472">
        <v>0</v>
      </c>
      <c r="D472">
        <v>0</v>
      </c>
      <c r="E472">
        <v>0</v>
      </c>
      <c r="F472">
        <v>7031</v>
      </c>
      <c r="G472">
        <f t="shared" si="7"/>
        <v>1707742</v>
      </c>
    </row>
    <row r="473" spans="1:7" x14ac:dyDescent="0.25">
      <c r="A473">
        <v>1711657</v>
      </c>
      <c r="B473" t="s">
        <v>24019</v>
      </c>
      <c r="C473">
        <v>0</v>
      </c>
      <c r="D473">
        <v>1</v>
      </c>
      <c r="E473">
        <v>664</v>
      </c>
      <c r="F473">
        <v>4395</v>
      </c>
      <c r="G473">
        <f t="shared" si="7"/>
        <v>1711657</v>
      </c>
    </row>
    <row r="474" spans="1:7" x14ac:dyDescent="0.25">
      <c r="A474">
        <v>1715064</v>
      </c>
      <c r="B474" t="s">
        <v>24020</v>
      </c>
      <c r="C474">
        <v>1699</v>
      </c>
      <c r="D474">
        <v>1</v>
      </c>
      <c r="E474">
        <v>6740</v>
      </c>
      <c r="F474">
        <v>2112</v>
      </c>
      <c r="G474">
        <f t="shared" si="7"/>
        <v>1715064</v>
      </c>
    </row>
    <row r="475" spans="1:7" x14ac:dyDescent="0.25">
      <c r="A475">
        <v>1725309</v>
      </c>
      <c r="B475" t="s">
        <v>24021</v>
      </c>
      <c r="C475">
        <v>0</v>
      </c>
      <c r="D475">
        <v>1</v>
      </c>
      <c r="E475">
        <v>5094</v>
      </c>
      <c r="F475">
        <v>2491</v>
      </c>
      <c r="G475">
        <f t="shared" si="7"/>
        <v>1725309</v>
      </c>
    </row>
    <row r="476" spans="1:7" x14ac:dyDescent="0.25">
      <c r="A476">
        <v>1731030</v>
      </c>
      <c r="B476" t="s">
        <v>24022</v>
      </c>
      <c r="C476">
        <v>578</v>
      </c>
      <c r="D476">
        <v>5</v>
      </c>
      <c r="E476">
        <v>25828</v>
      </c>
      <c r="F476">
        <v>369</v>
      </c>
      <c r="G476">
        <f t="shared" si="7"/>
        <v>1731030</v>
      </c>
    </row>
    <row r="477" spans="1:7" x14ac:dyDescent="0.25">
      <c r="A477">
        <v>1731065</v>
      </c>
      <c r="B477" t="s">
        <v>24023</v>
      </c>
      <c r="C477">
        <v>138</v>
      </c>
      <c r="D477">
        <v>2</v>
      </c>
      <c r="E477">
        <v>7906</v>
      </c>
      <c r="F477">
        <v>1900</v>
      </c>
      <c r="G477">
        <f t="shared" si="7"/>
        <v>1731065</v>
      </c>
    </row>
    <row r="478" spans="1:7" x14ac:dyDescent="0.25">
      <c r="A478">
        <v>1735219</v>
      </c>
      <c r="B478" t="s">
        <v>37111</v>
      </c>
      <c r="C478">
        <v>27</v>
      </c>
      <c r="D478">
        <v>1</v>
      </c>
      <c r="E478">
        <v>5247</v>
      </c>
      <c r="F478">
        <v>2487</v>
      </c>
      <c r="G478">
        <f t="shared" si="7"/>
        <v>1735219</v>
      </c>
    </row>
    <row r="479" spans="1:7" x14ac:dyDescent="0.25">
      <c r="A479">
        <v>1738700</v>
      </c>
      <c r="B479" t="s">
        <v>24024</v>
      </c>
      <c r="C479">
        <v>1974</v>
      </c>
      <c r="D479">
        <v>1</v>
      </c>
      <c r="E479">
        <v>1856</v>
      </c>
      <c r="F479">
        <v>3413</v>
      </c>
      <c r="G479">
        <f t="shared" si="7"/>
        <v>1738700</v>
      </c>
    </row>
    <row r="480" spans="1:7" x14ac:dyDescent="0.25">
      <c r="A480">
        <v>1744847</v>
      </c>
      <c r="B480" t="s">
        <v>24025</v>
      </c>
      <c r="C480">
        <v>0</v>
      </c>
      <c r="D480">
        <v>1</v>
      </c>
      <c r="E480">
        <v>2060</v>
      </c>
      <c r="F480">
        <v>3313</v>
      </c>
      <c r="G480">
        <f t="shared" si="7"/>
        <v>1744847</v>
      </c>
    </row>
    <row r="481" spans="1:7" x14ac:dyDescent="0.25">
      <c r="A481">
        <v>1747165</v>
      </c>
      <c r="B481" t="s">
        <v>24026</v>
      </c>
      <c r="C481">
        <v>0</v>
      </c>
      <c r="D481">
        <v>0</v>
      </c>
      <c r="E481">
        <v>0</v>
      </c>
      <c r="F481">
        <v>7032</v>
      </c>
      <c r="G481">
        <f t="shared" si="7"/>
        <v>1747165</v>
      </c>
    </row>
    <row r="482" spans="1:7" x14ac:dyDescent="0.25">
      <c r="A482">
        <v>1749344</v>
      </c>
      <c r="B482" t="s">
        <v>24027</v>
      </c>
      <c r="C482">
        <v>1971</v>
      </c>
      <c r="D482">
        <v>1</v>
      </c>
      <c r="E482">
        <v>465</v>
      </c>
      <c r="F482">
        <v>4709</v>
      </c>
      <c r="G482">
        <f t="shared" si="7"/>
        <v>1749344</v>
      </c>
    </row>
    <row r="483" spans="1:7" x14ac:dyDescent="0.25">
      <c r="A483">
        <v>1751697</v>
      </c>
      <c r="B483" t="s">
        <v>35997</v>
      </c>
      <c r="C483">
        <v>94</v>
      </c>
      <c r="D483">
        <v>1</v>
      </c>
      <c r="E483">
        <v>437</v>
      </c>
      <c r="F483">
        <v>4765</v>
      </c>
      <c r="G483">
        <f t="shared" si="7"/>
        <v>1751697</v>
      </c>
    </row>
    <row r="484" spans="1:7" x14ac:dyDescent="0.25">
      <c r="A484">
        <v>1751754</v>
      </c>
      <c r="B484" t="s">
        <v>24028</v>
      </c>
      <c r="C484">
        <v>1503</v>
      </c>
      <c r="D484">
        <v>2</v>
      </c>
      <c r="E484">
        <v>9478</v>
      </c>
      <c r="F484">
        <v>1644</v>
      </c>
      <c r="G484">
        <f t="shared" si="7"/>
        <v>1751754</v>
      </c>
    </row>
    <row r="485" spans="1:7" x14ac:dyDescent="0.25">
      <c r="A485">
        <v>1758644</v>
      </c>
      <c r="B485" t="s">
        <v>37112</v>
      </c>
      <c r="C485">
        <v>1743</v>
      </c>
      <c r="D485">
        <v>1</v>
      </c>
      <c r="E485">
        <v>3059</v>
      </c>
      <c r="F485">
        <v>2981</v>
      </c>
      <c r="G485">
        <f t="shared" si="7"/>
        <v>1758644</v>
      </c>
    </row>
    <row r="486" spans="1:7" x14ac:dyDescent="0.25">
      <c r="A486">
        <v>1759370</v>
      </c>
      <c r="B486" t="s">
        <v>24029</v>
      </c>
      <c r="C486">
        <v>138</v>
      </c>
      <c r="D486">
        <v>5</v>
      </c>
      <c r="E486">
        <v>21896</v>
      </c>
      <c r="F486">
        <v>528</v>
      </c>
      <c r="G486">
        <f t="shared" si="7"/>
        <v>1759370</v>
      </c>
    </row>
    <row r="487" spans="1:7" x14ac:dyDescent="0.25">
      <c r="A487">
        <v>1763166</v>
      </c>
      <c r="B487" t="s">
        <v>35998</v>
      </c>
      <c r="C487">
        <v>896</v>
      </c>
      <c r="D487">
        <v>1</v>
      </c>
      <c r="E487">
        <v>5772</v>
      </c>
      <c r="F487">
        <v>2332</v>
      </c>
      <c r="G487">
        <f t="shared" si="7"/>
        <v>1763166</v>
      </c>
    </row>
    <row r="488" spans="1:7" x14ac:dyDescent="0.25">
      <c r="A488">
        <v>1779177</v>
      </c>
      <c r="B488" t="s">
        <v>35999</v>
      </c>
      <c r="C488">
        <v>1880</v>
      </c>
      <c r="D488">
        <v>1</v>
      </c>
      <c r="E488">
        <v>1300</v>
      </c>
      <c r="F488">
        <v>3728</v>
      </c>
      <c r="G488">
        <f t="shared" si="7"/>
        <v>1779177</v>
      </c>
    </row>
    <row r="489" spans="1:7" x14ac:dyDescent="0.25">
      <c r="A489">
        <v>1780900</v>
      </c>
      <c r="B489" t="s">
        <v>24030</v>
      </c>
      <c r="C489">
        <v>0</v>
      </c>
      <c r="D489">
        <v>1</v>
      </c>
      <c r="E489">
        <v>735</v>
      </c>
      <c r="F489">
        <v>4287</v>
      </c>
      <c r="G489">
        <f t="shared" si="7"/>
        <v>1780900</v>
      </c>
    </row>
    <row r="490" spans="1:7" x14ac:dyDescent="0.25">
      <c r="A490">
        <v>1784298</v>
      </c>
      <c r="B490" t="s">
        <v>24031</v>
      </c>
      <c r="C490">
        <v>3</v>
      </c>
      <c r="D490">
        <v>4</v>
      </c>
      <c r="E490">
        <v>13521</v>
      </c>
      <c r="F490">
        <v>1126</v>
      </c>
      <c r="G490">
        <f t="shared" si="7"/>
        <v>1784298</v>
      </c>
    </row>
    <row r="491" spans="1:7" x14ac:dyDescent="0.25">
      <c r="A491">
        <v>1785224</v>
      </c>
      <c r="B491" t="s">
        <v>24032</v>
      </c>
      <c r="C491">
        <v>0</v>
      </c>
      <c r="D491">
        <v>1</v>
      </c>
      <c r="E491">
        <v>1540</v>
      </c>
      <c r="F491">
        <v>3574</v>
      </c>
      <c r="G491">
        <f t="shared" si="7"/>
        <v>1785224</v>
      </c>
    </row>
    <row r="492" spans="1:7" x14ac:dyDescent="0.25">
      <c r="A492">
        <v>1788622</v>
      </c>
      <c r="B492" t="s">
        <v>24033</v>
      </c>
      <c r="C492">
        <v>1453</v>
      </c>
      <c r="D492">
        <v>1</v>
      </c>
      <c r="E492">
        <v>624</v>
      </c>
      <c r="F492">
        <v>4443</v>
      </c>
      <c r="G492">
        <f t="shared" si="7"/>
        <v>1788622</v>
      </c>
    </row>
    <row r="493" spans="1:7" x14ac:dyDescent="0.25">
      <c r="A493">
        <v>1789761</v>
      </c>
      <c r="B493" t="s">
        <v>36000</v>
      </c>
      <c r="C493">
        <v>643</v>
      </c>
      <c r="D493">
        <v>9</v>
      </c>
      <c r="E493">
        <v>46291</v>
      </c>
      <c r="F493">
        <v>54</v>
      </c>
      <c r="G493">
        <f t="shared" si="7"/>
        <v>1789761</v>
      </c>
    </row>
    <row r="494" spans="1:7" x14ac:dyDescent="0.25">
      <c r="A494">
        <v>1790768</v>
      </c>
      <c r="B494" t="s">
        <v>24034</v>
      </c>
      <c r="C494">
        <v>1775</v>
      </c>
      <c r="D494">
        <v>4</v>
      </c>
      <c r="E494">
        <v>13818</v>
      </c>
      <c r="F494">
        <v>1093</v>
      </c>
      <c r="G494">
        <f t="shared" si="7"/>
        <v>1790768</v>
      </c>
    </row>
    <row r="495" spans="1:7" x14ac:dyDescent="0.25">
      <c r="A495">
        <v>1791682</v>
      </c>
      <c r="B495" t="s">
        <v>24035</v>
      </c>
      <c r="C495">
        <v>643</v>
      </c>
      <c r="D495">
        <v>4</v>
      </c>
      <c r="E495">
        <v>22785</v>
      </c>
      <c r="F495">
        <v>480</v>
      </c>
      <c r="G495">
        <f t="shared" si="7"/>
        <v>1791682</v>
      </c>
    </row>
    <row r="496" spans="1:7" x14ac:dyDescent="0.25">
      <c r="A496">
        <v>1792869</v>
      </c>
      <c r="B496" t="s">
        <v>24036</v>
      </c>
      <c r="C496">
        <v>0</v>
      </c>
      <c r="D496">
        <v>1</v>
      </c>
      <c r="E496">
        <v>482</v>
      </c>
      <c r="F496">
        <v>4679</v>
      </c>
      <c r="G496">
        <f t="shared" si="7"/>
        <v>1792869</v>
      </c>
    </row>
    <row r="497" spans="1:7" x14ac:dyDescent="0.25">
      <c r="A497">
        <v>1795679</v>
      </c>
      <c r="B497" t="s">
        <v>24037</v>
      </c>
      <c r="C497">
        <v>1430</v>
      </c>
      <c r="D497">
        <v>1</v>
      </c>
      <c r="E497">
        <v>26</v>
      </c>
      <c r="F497">
        <v>6370</v>
      </c>
      <c r="G497">
        <f t="shared" si="7"/>
        <v>1795679</v>
      </c>
    </row>
    <row r="498" spans="1:7" x14ac:dyDescent="0.25">
      <c r="A498">
        <v>1796779</v>
      </c>
      <c r="B498" t="s">
        <v>24038</v>
      </c>
      <c r="C498">
        <v>0</v>
      </c>
      <c r="D498">
        <v>1</v>
      </c>
      <c r="E498">
        <v>26</v>
      </c>
      <c r="F498">
        <v>6371</v>
      </c>
      <c r="G498">
        <f t="shared" si="7"/>
        <v>1796779</v>
      </c>
    </row>
    <row r="499" spans="1:7" x14ac:dyDescent="0.25">
      <c r="A499">
        <v>1804538</v>
      </c>
      <c r="B499" t="s">
        <v>24039</v>
      </c>
      <c r="C499">
        <v>638</v>
      </c>
      <c r="D499">
        <v>1</v>
      </c>
      <c r="E499">
        <v>830</v>
      </c>
      <c r="F499">
        <v>4155</v>
      </c>
      <c r="G499">
        <f t="shared" si="7"/>
        <v>1804538</v>
      </c>
    </row>
    <row r="500" spans="1:7" x14ac:dyDescent="0.25">
      <c r="A500">
        <v>1805049</v>
      </c>
      <c r="B500" t="s">
        <v>24040</v>
      </c>
      <c r="C500">
        <v>0</v>
      </c>
      <c r="D500">
        <v>1</v>
      </c>
      <c r="E500">
        <v>26</v>
      </c>
      <c r="F500">
        <v>6372</v>
      </c>
      <c r="G500">
        <f t="shared" si="7"/>
        <v>1805049</v>
      </c>
    </row>
    <row r="501" spans="1:7" x14ac:dyDescent="0.25">
      <c r="A501">
        <v>1809824</v>
      </c>
      <c r="B501" t="s">
        <v>24041</v>
      </c>
      <c r="C501">
        <v>1324</v>
      </c>
      <c r="D501">
        <v>1</v>
      </c>
      <c r="E501">
        <v>468</v>
      </c>
      <c r="F501">
        <v>4703</v>
      </c>
      <c r="G501">
        <f t="shared" si="7"/>
        <v>1809824</v>
      </c>
    </row>
    <row r="502" spans="1:7" x14ac:dyDescent="0.25">
      <c r="A502">
        <v>1821774</v>
      </c>
      <c r="B502" t="s">
        <v>24042</v>
      </c>
      <c r="C502">
        <v>409</v>
      </c>
      <c r="D502">
        <v>1</v>
      </c>
      <c r="E502">
        <v>4956</v>
      </c>
      <c r="F502">
        <v>2519</v>
      </c>
      <c r="G502">
        <f t="shared" si="7"/>
        <v>1821774</v>
      </c>
    </row>
    <row r="503" spans="1:7" x14ac:dyDescent="0.25">
      <c r="A503">
        <v>1825814</v>
      </c>
      <c r="B503" t="s">
        <v>36001</v>
      </c>
      <c r="C503">
        <v>431</v>
      </c>
      <c r="D503">
        <v>1</v>
      </c>
      <c r="E503">
        <v>5379</v>
      </c>
      <c r="F503">
        <v>2429</v>
      </c>
      <c r="G503">
        <f t="shared" si="7"/>
        <v>1825814</v>
      </c>
    </row>
    <row r="504" spans="1:7" x14ac:dyDescent="0.25">
      <c r="A504">
        <v>1831616</v>
      </c>
      <c r="B504" t="s">
        <v>24043</v>
      </c>
      <c r="C504">
        <v>806</v>
      </c>
      <c r="D504">
        <v>0</v>
      </c>
      <c r="E504">
        <v>0</v>
      </c>
      <c r="F504">
        <v>7033</v>
      </c>
      <c r="G504">
        <f t="shared" si="7"/>
        <v>1831616</v>
      </c>
    </row>
    <row r="505" spans="1:7" x14ac:dyDescent="0.25">
      <c r="A505">
        <v>1835510</v>
      </c>
      <c r="B505" t="s">
        <v>24044</v>
      </c>
      <c r="C505">
        <v>1858</v>
      </c>
      <c r="D505">
        <v>1</v>
      </c>
      <c r="E505">
        <v>724</v>
      </c>
      <c r="F505">
        <v>4304</v>
      </c>
      <c r="G505">
        <f t="shared" si="7"/>
        <v>1835510</v>
      </c>
    </row>
    <row r="506" spans="1:7" x14ac:dyDescent="0.25">
      <c r="A506">
        <v>1840322</v>
      </c>
      <c r="B506" t="s">
        <v>24045</v>
      </c>
      <c r="C506">
        <v>625</v>
      </c>
      <c r="D506">
        <v>1</v>
      </c>
      <c r="E506">
        <v>5929</v>
      </c>
      <c r="F506">
        <v>2296</v>
      </c>
      <c r="G506">
        <f t="shared" si="7"/>
        <v>1840322</v>
      </c>
    </row>
    <row r="507" spans="1:7" x14ac:dyDescent="0.25">
      <c r="A507">
        <v>1852630</v>
      </c>
      <c r="B507" t="s">
        <v>36002</v>
      </c>
      <c r="C507">
        <v>422</v>
      </c>
      <c r="D507">
        <v>3</v>
      </c>
      <c r="E507">
        <v>14618</v>
      </c>
      <c r="F507">
        <v>1018</v>
      </c>
      <c r="G507">
        <f t="shared" si="7"/>
        <v>1852630</v>
      </c>
    </row>
    <row r="508" spans="1:7" x14ac:dyDescent="0.25">
      <c r="A508">
        <v>1853829</v>
      </c>
      <c r="B508" t="s">
        <v>24046</v>
      </c>
      <c r="C508">
        <v>1337</v>
      </c>
      <c r="D508">
        <v>1</v>
      </c>
      <c r="E508">
        <v>26</v>
      </c>
      <c r="F508">
        <v>6373</v>
      </c>
      <c r="G508">
        <f t="shared" si="7"/>
        <v>1853829</v>
      </c>
    </row>
    <row r="509" spans="1:7" x14ac:dyDescent="0.25">
      <c r="A509">
        <v>1854435</v>
      </c>
      <c r="B509" t="s">
        <v>36003</v>
      </c>
      <c r="C509">
        <v>0</v>
      </c>
      <c r="D509">
        <v>1</v>
      </c>
      <c r="E509">
        <v>26</v>
      </c>
      <c r="F509">
        <v>6374</v>
      </c>
      <c r="G509">
        <f t="shared" si="7"/>
        <v>1854435</v>
      </c>
    </row>
    <row r="510" spans="1:7" x14ac:dyDescent="0.25">
      <c r="A510">
        <v>1854636</v>
      </c>
      <c r="B510" t="s">
        <v>24047</v>
      </c>
      <c r="C510">
        <v>1885</v>
      </c>
      <c r="D510">
        <v>1</v>
      </c>
      <c r="E510">
        <v>1117</v>
      </c>
      <c r="F510">
        <v>3855</v>
      </c>
      <c r="G510">
        <f t="shared" si="7"/>
        <v>1854636</v>
      </c>
    </row>
    <row r="511" spans="1:7" x14ac:dyDescent="0.25">
      <c r="A511">
        <v>1858027</v>
      </c>
      <c r="B511" t="s">
        <v>24048</v>
      </c>
      <c r="C511">
        <v>295</v>
      </c>
      <c r="D511">
        <v>1</v>
      </c>
      <c r="E511">
        <v>740</v>
      </c>
      <c r="F511">
        <v>4280</v>
      </c>
      <c r="G511">
        <f t="shared" si="7"/>
        <v>1858027</v>
      </c>
    </row>
    <row r="512" spans="1:7" x14ac:dyDescent="0.25">
      <c r="A512">
        <v>1866172</v>
      </c>
      <c r="B512" t="s">
        <v>24049</v>
      </c>
      <c r="C512">
        <v>0</v>
      </c>
      <c r="D512">
        <v>1</v>
      </c>
      <c r="E512">
        <v>328</v>
      </c>
      <c r="F512">
        <v>5068</v>
      </c>
      <c r="G512">
        <f t="shared" si="7"/>
        <v>1866172</v>
      </c>
    </row>
    <row r="513" spans="1:7" x14ac:dyDescent="0.25">
      <c r="A513">
        <v>1867040</v>
      </c>
      <c r="B513" t="s">
        <v>24050</v>
      </c>
      <c r="C513">
        <v>325</v>
      </c>
      <c r="D513">
        <v>0</v>
      </c>
      <c r="E513">
        <v>0</v>
      </c>
      <c r="F513">
        <v>7034</v>
      </c>
      <c r="G513">
        <f t="shared" ref="G513:G576" si="8">A513</f>
        <v>1867040</v>
      </c>
    </row>
    <row r="514" spans="1:7" x14ac:dyDescent="0.25">
      <c r="A514">
        <v>1868513</v>
      </c>
      <c r="B514" t="s">
        <v>24051</v>
      </c>
      <c r="C514">
        <v>0</v>
      </c>
      <c r="D514">
        <v>1</v>
      </c>
      <c r="E514">
        <v>26</v>
      </c>
      <c r="F514">
        <v>6375</v>
      </c>
      <c r="G514">
        <f t="shared" si="8"/>
        <v>1868513</v>
      </c>
    </row>
    <row r="515" spans="1:7" x14ac:dyDescent="0.25">
      <c r="A515">
        <v>1872639</v>
      </c>
      <c r="B515" t="s">
        <v>24052</v>
      </c>
      <c r="C515">
        <v>31</v>
      </c>
      <c r="D515">
        <v>4</v>
      </c>
      <c r="E515">
        <v>26878</v>
      </c>
      <c r="F515">
        <v>339</v>
      </c>
      <c r="G515">
        <f t="shared" si="8"/>
        <v>1872639</v>
      </c>
    </row>
    <row r="516" spans="1:7" x14ac:dyDescent="0.25">
      <c r="A516">
        <v>1885495</v>
      </c>
      <c r="B516" t="s">
        <v>24053</v>
      </c>
      <c r="C516">
        <v>0</v>
      </c>
      <c r="D516">
        <v>1</v>
      </c>
      <c r="E516">
        <v>581</v>
      </c>
      <c r="F516">
        <v>4493</v>
      </c>
      <c r="G516">
        <f t="shared" si="8"/>
        <v>1885495</v>
      </c>
    </row>
    <row r="517" spans="1:7" x14ac:dyDescent="0.25">
      <c r="A517">
        <v>1885751</v>
      </c>
      <c r="B517" t="s">
        <v>24054</v>
      </c>
      <c r="C517">
        <v>0</v>
      </c>
      <c r="D517">
        <v>1</v>
      </c>
      <c r="E517">
        <v>26</v>
      </c>
      <c r="F517">
        <v>6376</v>
      </c>
      <c r="G517">
        <f t="shared" si="8"/>
        <v>1885751</v>
      </c>
    </row>
    <row r="518" spans="1:7" x14ac:dyDescent="0.25">
      <c r="A518">
        <v>1886374</v>
      </c>
      <c r="B518" t="s">
        <v>24055</v>
      </c>
      <c r="C518">
        <v>989</v>
      </c>
      <c r="D518">
        <v>1</v>
      </c>
      <c r="E518">
        <v>26</v>
      </c>
      <c r="F518">
        <v>6377</v>
      </c>
      <c r="G518">
        <f t="shared" si="8"/>
        <v>1886374</v>
      </c>
    </row>
    <row r="519" spans="1:7" x14ac:dyDescent="0.25">
      <c r="A519">
        <v>1888062</v>
      </c>
      <c r="B519" t="s">
        <v>24056</v>
      </c>
      <c r="C519">
        <v>0</v>
      </c>
      <c r="D519">
        <v>1</v>
      </c>
      <c r="E519">
        <v>580</v>
      </c>
      <c r="F519">
        <v>4495</v>
      </c>
      <c r="G519">
        <f t="shared" si="8"/>
        <v>1888062</v>
      </c>
    </row>
    <row r="520" spans="1:7" x14ac:dyDescent="0.25">
      <c r="A520">
        <v>1903350</v>
      </c>
      <c r="B520" t="s">
        <v>37455</v>
      </c>
      <c r="C520">
        <v>0</v>
      </c>
      <c r="D520">
        <v>1</v>
      </c>
      <c r="E520">
        <v>54</v>
      </c>
      <c r="F520">
        <v>8488</v>
      </c>
      <c r="G520">
        <f t="shared" si="8"/>
        <v>1903350</v>
      </c>
    </row>
    <row r="521" spans="1:7" x14ac:dyDescent="0.25">
      <c r="A521">
        <v>1909473</v>
      </c>
      <c r="B521" t="s">
        <v>24057</v>
      </c>
      <c r="C521">
        <v>96</v>
      </c>
      <c r="D521">
        <v>3</v>
      </c>
      <c r="E521">
        <v>16239</v>
      </c>
      <c r="F521">
        <v>889</v>
      </c>
      <c r="G521">
        <f t="shared" si="8"/>
        <v>1909473</v>
      </c>
    </row>
    <row r="522" spans="1:7" x14ac:dyDescent="0.25">
      <c r="A522">
        <v>1925420</v>
      </c>
      <c r="B522" t="s">
        <v>36004</v>
      </c>
      <c r="C522">
        <v>0</v>
      </c>
      <c r="D522">
        <v>0</v>
      </c>
      <c r="E522">
        <v>0</v>
      </c>
      <c r="F522">
        <v>7035</v>
      </c>
      <c r="G522">
        <f t="shared" si="8"/>
        <v>1925420</v>
      </c>
    </row>
    <row r="523" spans="1:7" x14ac:dyDescent="0.25">
      <c r="A523">
        <v>1928966</v>
      </c>
      <c r="B523" t="s">
        <v>24058</v>
      </c>
      <c r="C523">
        <v>124</v>
      </c>
      <c r="D523">
        <v>2</v>
      </c>
      <c r="E523">
        <v>8042</v>
      </c>
      <c r="F523">
        <v>1877</v>
      </c>
      <c r="G523">
        <f t="shared" si="8"/>
        <v>1928966</v>
      </c>
    </row>
    <row r="524" spans="1:7" x14ac:dyDescent="0.25">
      <c r="A524">
        <v>1933884</v>
      </c>
      <c r="B524" t="s">
        <v>37113</v>
      </c>
      <c r="C524">
        <v>1694</v>
      </c>
      <c r="D524">
        <v>1</v>
      </c>
      <c r="E524">
        <v>1363</v>
      </c>
      <c r="F524">
        <v>3685</v>
      </c>
      <c r="G524">
        <f t="shared" si="8"/>
        <v>1933884</v>
      </c>
    </row>
    <row r="525" spans="1:7" x14ac:dyDescent="0.25">
      <c r="A525">
        <v>1934876</v>
      </c>
      <c r="B525" t="s">
        <v>24059</v>
      </c>
      <c r="C525">
        <v>0</v>
      </c>
      <c r="D525">
        <v>0</v>
      </c>
      <c r="E525">
        <v>0</v>
      </c>
      <c r="F525">
        <v>7036</v>
      </c>
      <c r="G525">
        <f t="shared" si="8"/>
        <v>1934876</v>
      </c>
    </row>
    <row r="526" spans="1:7" x14ac:dyDescent="0.25">
      <c r="A526">
        <v>1941704</v>
      </c>
      <c r="B526" t="s">
        <v>24060</v>
      </c>
      <c r="C526">
        <v>321</v>
      </c>
      <c r="D526">
        <v>4</v>
      </c>
      <c r="E526">
        <v>19557</v>
      </c>
      <c r="F526">
        <v>653</v>
      </c>
      <c r="G526">
        <f t="shared" si="8"/>
        <v>1941704</v>
      </c>
    </row>
    <row r="527" spans="1:7" x14ac:dyDescent="0.25">
      <c r="A527">
        <v>1941935</v>
      </c>
      <c r="B527" t="s">
        <v>36005</v>
      </c>
      <c r="C527">
        <v>4</v>
      </c>
      <c r="D527">
        <v>4</v>
      </c>
      <c r="E527">
        <v>24554</v>
      </c>
      <c r="F527">
        <v>414</v>
      </c>
      <c r="G527">
        <f t="shared" si="8"/>
        <v>1941935</v>
      </c>
    </row>
    <row r="528" spans="1:7" x14ac:dyDescent="0.25">
      <c r="A528">
        <v>1945041</v>
      </c>
      <c r="B528" t="s">
        <v>24061</v>
      </c>
      <c r="C528">
        <v>36</v>
      </c>
      <c r="D528">
        <v>2</v>
      </c>
      <c r="E528">
        <v>7342</v>
      </c>
      <c r="F528">
        <v>2004</v>
      </c>
      <c r="G528">
        <f t="shared" si="8"/>
        <v>1945041</v>
      </c>
    </row>
    <row r="529" spans="1:7" x14ac:dyDescent="0.25">
      <c r="A529">
        <v>1946237</v>
      </c>
      <c r="B529" t="s">
        <v>24062</v>
      </c>
      <c r="C529">
        <v>422</v>
      </c>
      <c r="D529">
        <v>2</v>
      </c>
      <c r="E529">
        <v>11409</v>
      </c>
      <c r="F529">
        <v>1360</v>
      </c>
      <c r="G529">
        <f t="shared" si="8"/>
        <v>1946237</v>
      </c>
    </row>
    <row r="530" spans="1:7" x14ac:dyDescent="0.25">
      <c r="A530">
        <v>1946984</v>
      </c>
      <c r="B530" t="s">
        <v>24063</v>
      </c>
      <c r="C530">
        <v>1728</v>
      </c>
      <c r="D530">
        <v>1</v>
      </c>
      <c r="E530">
        <v>226</v>
      </c>
      <c r="F530">
        <v>5401</v>
      </c>
      <c r="G530">
        <f t="shared" si="8"/>
        <v>1946984</v>
      </c>
    </row>
    <row r="531" spans="1:7" x14ac:dyDescent="0.25">
      <c r="A531">
        <v>1946985</v>
      </c>
      <c r="B531" t="s">
        <v>24064</v>
      </c>
      <c r="C531">
        <v>189</v>
      </c>
      <c r="D531">
        <v>5</v>
      </c>
      <c r="E531">
        <v>22053</v>
      </c>
      <c r="F531">
        <v>517</v>
      </c>
      <c r="G531">
        <f t="shared" si="8"/>
        <v>1946985</v>
      </c>
    </row>
    <row r="532" spans="1:7" x14ac:dyDescent="0.25">
      <c r="A532">
        <v>1954561</v>
      </c>
      <c r="B532" t="s">
        <v>24065</v>
      </c>
      <c r="C532">
        <v>1695</v>
      </c>
      <c r="D532">
        <v>1</v>
      </c>
      <c r="E532">
        <v>3364</v>
      </c>
      <c r="F532">
        <v>2911</v>
      </c>
      <c r="G532">
        <f t="shared" si="8"/>
        <v>1954561</v>
      </c>
    </row>
    <row r="533" spans="1:7" x14ac:dyDescent="0.25">
      <c r="A533">
        <v>1962450</v>
      </c>
      <c r="B533" t="s">
        <v>24066</v>
      </c>
      <c r="C533">
        <v>235</v>
      </c>
      <c r="D533">
        <v>1</v>
      </c>
      <c r="E533">
        <v>2661</v>
      </c>
      <c r="F533">
        <v>3081</v>
      </c>
      <c r="G533">
        <f t="shared" si="8"/>
        <v>1962450</v>
      </c>
    </row>
    <row r="534" spans="1:7" x14ac:dyDescent="0.25">
      <c r="A534">
        <v>1971431</v>
      </c>
      <c r="B534" t="s">
        <v>24067</v>
      </c>
      <c r="C534">
        <v>0</v>
      </c>
      <c r="D534">
        <v>0</v>
      </c>
      <c r="E534">
        <v>0</v>
      </c>
      <c r="F534">
        <v>7037</v>
      </c>
      <c r="G534">
        <f t="shared" si="8"/>
        <v>1971431</v>
      </c>
    </row>
    <row r="535" spans="1:7" x14ac:dyDescent="0.25">
      <c r="A535">
        <v>1974764</v>
      </c>
      <c r="B535" t="s">
        <v>36006</v>
      </c>
      <c r="C535">
        <v>179</v>
      </c>
      <c r="D535">
        <v>3</v>
      </c>
      <c r="E535">
        <v>11467</v>
      </c>
      <c r="F535">
        <v>1351</v>
      </c>
      <c r="G535">
        <f t="shared" si="8"/>
        <v>1974764</v>
      </c>
    </row>
    <row r="536" spans="1:7" x14ac:dyDescent="0.25">
      <c r="A536">
        <v>1977195</v>
      </c>
      <c r="B536" t="s">
        <v>24068</v>
      </c>
      <c r="C536">
        <v>0</v>
      </c>
      <c r="D536">
        <v>0</v>
      </c>
      <c r="E536">
        <v>0</v>
      </c>
      <c r="F536">
        <v>7038</v>
      </c>
      <c r="G536">
        <f t="shared" si="8"/>
        <v>1977195</v>
      </c>
    </row>
    <row r="537" spans="1:7" x14ac:dyDescent="0.25">
      <c r="A537">
        <v>1979965</v>
      </c>
      <c r="B537" t="s">
        <v>24069</v>
      </c>
      <c r="C537">
        <v>0</v>
      </c>
      <c r="D537">
        <v>1</v>
      </c>
      <c r="E537">
        <v>133</v>
      </c>
      <c r="F537">
        <v>5756</v>
      </c>
      <c r="G537">
        <f t="shared" si="8"/>
        <v>1979965</v>
      </c>
    </row>
    <row r="538" spans="1:7" x14ac:dyDescent="0.25">
      <c r="A538">
        <v>1990744</v>
      </c>
      <c r="B538" t="s">
        <v>24070</v>
      </c>
      <c r="C538">
        <v>680</v>
      </c>
      <c r="D538">
        <v>1</v>
      </c>
      <c r="E538">
        <v>6541</v>
      </c>
      <c r="F538">
        <v>2155</v>
      </c>
      <c r="G538">
        <f t="shared" si="8"/>
        <v>1990744</v>
      </c>
    </row>
    <row r="539" spans="1:7" x14ac:dyDescent="0.25">
      <c r="A539">
        <v>1992384</v>
      </c>
      <c r="B539" t="s">
        <v>24071</v>
      </c>
      <c r="C539">
        <v>0</v>
      </c>
      <c r="D539">
        <v>0</v>
      </c>
      <c r="E539">
        <v>0</v>
      </c>
      <c r="F539">
        <v>7039</v>
      </c>
      <c r="G539">
        <f t="shared" si="8"/>
        <v>1992384</v>
      </c>
    </row>
    <row r="540" spans="1:7" x14ac:dyDescent="0.25">
      <c r="A540">
        <v>1997079</v>
      </c>
      <c r="B540" t="s">
        <v>36007</v>
      </c>
      <c r="C540">
        <v>1609</v>
      </c>
      <c r="D540">
        <v>2</v>
      </c>
      <c r="E540">
        <v>7305</v>
      </c>
      <c r="F540">
        <v>2008</v>
      </c>
      <c r="G540">
        <f t="shared" si="8"/>
        <v>1997079</v>
      </c>
    </row>
    <row r="541" spans="1:7" x14ac:dyDescent="0.25">
      <c r="A541">
        <v>1998195</v>
      </c>
      <c r="B541" t="s">
        <v>36008</v>
      </c>
      <c r="C541">
        <v>79</v>
      </c>
      <c r="D541">
        <v>4</v>
      </c>
      <c r="E541">
        <v>15265</v>
      </c>
      <c r="F541">
        <v>964</v>
      </c>
      <c r="G541">
        <f t="shared" si="8"/>
        <v>1998195</v>
      </c>
    </row>
    <row r="542" spans="1:7" x14ac:dyDescent="0.25">
      <c r="A542">
        <v>2004023</v>
      </c>
      <c r="B542" t="s">
        <v>24072</v>
      </c>
      <c r="C542">
        <v>0</v>
      </c>
      <c r="D542">
        <v>1</v>
      </c>
      <c r="E542">
        <v>1580</v>
      </c>
      <c r="F542">
        <v>3553</v>
      </c>
      <c r="G542">
        <f t="shared" si="8"/>
        <v>2004023</v>
      </c>
    </row>
    <row r="543" spans="1:7" x14ac:dyDescent="0.25">
      <c r="A543">
        <v>2004534</v>
      </c>
      <c r="B543" t="s">
        <v>24073</v>
      </c>
      <c r="C543">
        <v>31</v>
      </c>
      <c r="D543">
        <v>7</v>
      </c>
      <c r="E543">
        <v>33755</v>
      </c>
      <c r="F543">
        <v>166</v>
      </c>
      <c r="G543">
        <f t="shared" si="8"/>
        <v>2004534</v>
      </c>
    </row>
    <row r="544" spans="1:7" x14ac:dyDescent="0.25">
      <c r="A544">
        <v>2005156</v>
      </c>
      <c r="B544" t="s">
        <v>24074</v>
      </c>
      <c r="C544">
        <v>1734</v>
      </c>
      <c r="D544">
        <v>1</v>
      </c>
      <c r="E544">
        <v>181</v>
      </c>
      <c r="F544">
        <v>5578</v>
      </c>
      <c r="G544">
        <f t="shared" si="8"/>
        <v>2005156</v>
      </c>
    </row>
    <row r="545" spans="1:7" x14ac:dyDescent="0.25">
      <c r="A545">
        <v>2007573</v>
      </c>
      <c r="B545" t="s">
        <v>24075</v>
      </c>
      <c r="C545">
        <v>0</v>
      </c>
      <c r="D545">
        <v>1</v>
      </c>
      <c r="E545">
        <v>1832</v>
      </c>
      <c r="F545">
        <v>3429</v>
      </c>
      <c r="G545">
        <f t="shared" si="8"/>
        <v>2007573</v>
      </c>
    </row>
    <row r="546" spans="1:7" x14ac:dyDescent="0.25">
      <c r="A546">
        <v>2008774</v>
      </c>
      <c r="B546" t="s">
        <v>24076</v>
      </c>
      <c r="C546">
        <v>0</v>
      </c>
      <c r="D546">
        <v>1</v>
      </c>
      <c r="E546">
        <v>1895</v>
      </c>
      <c r="F546">
        <v>3396</v>
      </c>
      <c r="G546">
        <f t="shared" si="8"/>
        <v>2008774</v>
      </c>
    </row>
    <row r="547" spans="1:7" x14ac:dyDescent="0.25">
      <c r="A547">
        <v>2019815</v>
      </c>
      <c r="B547" t="s">
        <v>24077</v>
      </c>
      <c r="C547">
        <v>431</v>
      </c>
      <c r="D547">
        <v>2</v>
      </c>
      <c r="E547">
        <v>5218</v>
      </c>
      <c r="F547">
        <v>2462</v>
      </c>
      <c r="G547">
        <f t="shared" si="8"/>
        <v>2019815</v>
      </c>
    </row>
    <row r="548" spans="1:7" x14ac:dyDescent="0.25">
      <c r="A548">
        <v>2020069</v>
      </c>
      <c r="B548" t="s">
        <v>36009</v>
      </c>
      <c r="C548">
        <v>1503</v>
      </c>
      <c r="D548">
        <v>1</v>
      </c>
      <c r="E548">
        <v>4113</v>
      </c>
      <c r="F548">
        <v>2743</v>
      </c>
      <c r="G548">
        <f t="shared" si="8"/>
        <v>2020069</v>
      </c>
    </row>
    <row r="549" spans="1:7" x14ac:dyDescent="0.25">
      <c r="A549">
        <v>2035856</v>
      </c>
      <c r="B549" t="s">
        <v>36010</v>
      </c>
      <c r="C549">
        <v>0</v>
      </c>
      <c r="D549">
        <v>1</v>
      </c>
      <c r="E549">
        <v>270</v>
      </c>
      <c r="F549">
        <v>5222</v>
      </c>
      <c r="G549">
        <f t="shared" si="8"/>
        <v>2035856</v>
      </c>
    </row>
    <row r="550" spans="1:7" x14ac:dyDescent="0.25">
      <c r="A550">
        <v>2035934</v>
      </c>
      <c r="B550" t="s">
        <v>36011</v>
      </c>
      <c r="C550">
        <v>0</v>
      </c>
      <c r="D550">
        <v>1</v>
      </c>
      <c r="E550">
        <v>574</v>
      </c>
      <c r="F550">
        <v>4504</v>
      </c>
      <c r="G550">
        <f t="shared" si="8"/>
        <v>2035934</v>
      </c>
    </row>
    <row r="551" spans="1:7" x14ac:dyDescent="0.25">
      <c r="A551">
        <v>2038810</v>
      </c>
      <c r="B551" t="s">
        <v>24078</v>
      </c>
      <c r="C551">
        <v>0</v>
      </c>
      <c r="D551">
        <v>1</v>
      </c>
      <c r="E551">
        <v>1382</v>
      </c>
      <c r="F551">
        <v>3670</v>
      </c>
      <c r="G551">
        <f t="shared" si="8"/>
        <v>2038810</v>
      </c>
    </row>
    <row r="552" spans="1:7" x14ac:dyDescent="0.25">
      <c r="A552">
        <v>2046772</v>
      </c>
      <c r="B552" t="s">
        <v>24079</v>
      </c>
      <c r="C552">
        <v>53</v>
      </c>
      <c r="D552">
        <v>3</v>
      </c>
      <c r="E552">
        <v>10696</v>
      </c>
      <c r="F552">
        <v>1464</v>
      </c>
      <c r="G552">
        <f t="shared" si="8"/>
        <v>2046772</v>
      </c>
    </row>
    <row r="553" spans="1:7" x14ac:dyDescent="0.25">
      <c r="A553">
        <v>2053085</v>
      </c>
      <c r="B553" t="s">
        <v>36012</v>
      </c>
      <c r="C553">
        <v>467</v>
      </c>
      <c r="D553">
        <v>3</v>
      </c>
      <c r="E553">
        <v>9539</v>
      </c>
      <c r="F553">
        <v>1631</v>
      </c>
      <c r="G553">
        <f t="shared" si="8"/>
        <v>2053085</v>
      </c>
    </row>
    <row r="554" spans="1:7" x14ac:dyDescent="0.25">
      <c r="A554">
        <v>2060664</v>
      </c>
      <c r="B554" t="s">
        <v>24080</v>
      </c>
      <c r="C554">
        <v>1232</v>
      </c>
      <c r="D554">
        <v>2</v>
      </c>
      <c r="E554">
        <v>6269</v>
      </c>
      <c r="F554">
        <v>2220</v>
      </c>
      <c r="G554">
        <f t="shared" si="8"/>
        <v>2060664</v>
      </c>
    </row>
    <row r="555" spans="1:7" x14ac:dyDescent="0.25">
      <c r="A555">
        <v>2062749</v>
      </c>
      <c r="B555" t="s">
        <v>36013</v>
      </c>
      <c r="C555">
        <v>1622</v>
      </c>
      <c r="D555">
        <v>1</v>
      </c>
      <c r="E555">
        <v>912</v>
      </c>
      <c r="F555">
        <v>4082</v>
      </c>
      <c r="G555">
        <f t="shared" si="8"/>
        <v>2062749</v>
      </c>
    </row>
    <row r="556" spans="1:7" x14ac:dyDescent="0.25">
      <c r="A556">
        <v>2063017</v>
      </c>
      <c r="B556" t="s">
        <v>24081</v>
      </c>
      <c r="C556">
        <v>1383</v>
      </c>
      <c r="D556">
        <v>1</v>
      </c>
      <c r="E556">
        <v>257</v>
      </c>
      <c r="F556">
        <v>5269</v>
      </c>
      <c r="G556">
        <f t="shared" si="8"/>
        <v>2063017</v>
      </c>
    </row>
    <row r="557" spans="1:7" x14ac:dyDescent="0.25">
      <c r="A557">
        <v>2063168</v>
      </c>
      <c r="B557" t="s">
        <v>24082</v>
      </c>
      <c r="C557">
        <v>333</v>
      </c>
      <c r="D557">
        <v>4</v>
      </c>
      <c r="E557">
        <v>13072</v>
      </c>
      <c r="F557">
        <v>1165</v>
      </c>
      <c r="G557">
        <f t="shared" si="8"/>
        <v>2063168</v>
      </c>
    </row>
    <row r="558" spans="1:7" x14ac:dyDescent="0.25">
      <c r="A558">
        <v>2072226</v>
      </c>
      <c r="B558" t="s">
        <v>24083</v>
      </c>
      <c r="C558">
        <v>1858</v>
      </c>
      <c r="D558">
        <v>1</v>
      </c>
      <c r="E558">
        <v>928</v>
      </c>
      <c r="F558">
        <v>4068</v>
      </c>
      <c r="G558">
        <f t="shared" si="8"/>
        <v>2072226</v>
      </c>
    </row>
    <row r="559" spans="1:7" x14ac:dyDescent="0.25">
      <c r="A559">
        <v>2073658</v>
      </c>
      <c r="B559" t="s">
        <v>24084</v>
      </c>
      <c r="C559">
        <v>0</v>
      </c>
      <c r="D559">
        <v>1</v>
      </c>
      <c r="E559">
        <v>26</v>
      </c>
      <c r="F559">
        <v>6378</v>
      </c>
      <c r="G559">
        <f t="shared" si="8"/>
        <v>2073658</v>
      </c>
    </row>
    <row r="560" spans="1:7" x14ac:dyDescent="0.25">
      <c r="A560">
        <v>2075317</v>
      </c>
      <c r="B560" t="s">
        <v>24085</v>
      </c>
      <c r="C560">
        <v>131</v>
      </c>
      <c r="D560">
        <v>1</v>
      </c>
      <c r="E560">
        <v>3540</v>
      </c>
      <c r="F560">
        <v>2869</v>
      </c>
      <c r="G560">
        <f t="shared" si="8"/>
        <v>2075317</v>
      </c>
    </row>
    <row r="561" spans="1:7" x14ac:dyDescent="0.25">
      <c r="A561">
        <v>2078242</v>
      </c>
      <c r="B561" t="s">
        <v>36014</v>
      </c>
      <c r="C561">
        <v>0</v>
      </c>
      <c r="D561">
        <v>1</v>
      </c>
      <c r="E561">
        <v>281</v>
      </c>
      <c r="F561">
        <v>5175</v>
      </c>
      <c r="G561">
        <f t="shared" si="8"/>
        <v>2078242</v>
      </c>
    </row>
    <row r="562" spans="1:7" x14ac:dyDescent="0.25">
      <c r="A562">
        <v>2086897</v>
      </c>
      <c r="B562" t="s">
        <v>24086</v>
      </c>
      <c r="C562">
        <v>0</v>
      </c>
      <c r="D562">
        <v>1</v>
      </c>
      <c r="E562">
        <v>26</v>
      </c>
      <c r="F562">
        <v>6379</v>
      </c>
      <c r="G562">
        <f t="shared" si="8"/>
        <v>2086897</v>
      </c>
    </row>
    <row r="563" spans="1:7" x14ac:dyDescent="0.25">
      <c r="A563">
        <v>2092034</v>
      </c>
      <c r="B563" t="s">
        <v>24087</v>
      </c>
      <c r="C563">
        <v>0</v>
      </c>
      <c r="D563">
        <v>1</v>
      </c>
      <c r="E563">
        <v>248</v>
      </c>
      <c r="F563">
        <v>5312</v>
      </c>
      <c r="G563">
        <f t="shared" si="8"/>
        <v>2092034</v>
      </c>
    </row>
    <row r="564" spans="1:7" x14ac:dyDescent="0.25">
      <c r="A564">
        <v>2096559</v>
      </c>
      <c r="B564" t="s">
        <v>24088</v>
      </c>
      <c r="C564">
        <v>1802</v>
      </c>
      <c r="D564">
        <v>1</v>
      </c>
      <c r="E564">
        <v>993</v>
      </c>
      <c r="F564">
        <v>3989</v>
      </c>
      <c r="G564">
        <f t="shared" si="8"/>
        <v>2096559</v>
      </c>
    </row>
    <row r="565" spans="1:7" x14ac:dyDescent="0.25">
      <c r="A565">
        <v>2100127</v>
      </c>
      <c r="B565" t="s">
        <v>24089</v>
      </c>
      <c r="C565">
        <v>1535</v>
      </c>
      <c r="D565">
        <v>3</v>
      </c>
      <c r="E565">
        <v>8045</v>
      </c>
      <c r="F565">
        <v>1874</v>
      </c>
      <c r="G565">
        <f t="shared" si="8"/>
        <v>2100127</v>
      </c>
    </row>
    <row r="566" spans="1:7" x14ac:dyDescent="0.25">
      <c r="A566">
        <v>2102220</v>
      </c>
      <c r="B566" t="s">
        <v>24090</v>
      </c>
      <c r="C566">
        <v>333</v>
      </c>
      <c r="D566">
        <v>1</v>
      </c>
      <c r="E566">
        <v>1134</v>
      </c>
      <c r="F566">
        <v>3866</v>
      </c>
      <c r="G566">
        <f t="shared" si="8"/>
        <v>2102220</v>
      </c>
    </row>
    <row r="567" spans="1:7" x14ac:dyDescent="0.25">
      <c r="A567">
        <v>2106875</v>
      </c>
      <c r="B567" t="s">
        <v>24091</v>
      </c>
      <c r="C567">
        <v>55</v>
      </c>
      <c r="D567">
        <v>1</v>
      </c>
      <c r="E567">
        <v>3622</v>
      </c>
      <c r="F567">
        <v>2859</v>
      </c>
      <c r="G567">
        <f t="shared" si="8"/>
        <v>2106875</v>
      </c>
    </row>
    <row r="568" spans="1:7" x14ac:dyDescent="0.25">
      <c r="A568">
        <v>2108766</v>
      </c>
      <c r="B568" t="s">
        <v>24092</v>
      </c>
      <c r="C568">
        <v>0</v>
      </c>
      <c r="D568">
        <v>0</v>
      </c>
      <c r="E568">
        <v>0</v>
      </c>
      <c r="F568">
        <v>7040</v>
      </c>
      <c r="G568">
        <f t="shared" si="8"/>
        <v>2108766</v>
      </c>
    </row>
    <row r="569" spans="1:7" x14ac:dyDescent="0.25">
      <c r="A569">
        <v>2114228</v>
      </c>
      <c r="B569" t="s">
        <v>36015</v>
      </c>
      <c r="C569">
        <v>0</v>
      </c>
      <c r="D569">
        <v>0</v>
      </c>
      <c r="E569">
        <v>0</v>
      </c>
      <c r="F569">
        <v>7041</v>
      </c>
      <c r="G569">
        <f t="shared" si="8"/>
        <v>2114228</v>
      </c>
    </row>
    <row r="570" spans="1:7" x14ac:dyDescent="0.25">
      <c r="A570">
        <v>2133543</v>
      </c>
      <c r="B570" t="s">
        <v>36016</v>
      </c>
      <c r="C570">
        <v>0</v>
      </c>
      <c r="D570">
        <v>1</v>
      </c>
      <c r="E570">
        <v>967</v>
      </c>
      <c r="F570">
        <v>4022</v>
      </c>
      <c r="G570">
        <f t="shared" si="8"/>
        <v>2133543</v>
      </c>
    </row>
    <row r="571" spans="1:7" x14ac:dyDescent="0.25">
      <c r="A571">
        <v>2135947</v>
      </c>
      <c r="B571" t="s">
        <v>36017</v>
      </c>
      <c r="C571">
        <v>199</v>
      </c>
      <c r="D571">
        <v>5</v>
      </c>
      <c r="E571">
        <v>21229</v>
      </c>
      <c r="F571">
        <v>561</v>
      </c>
      <c r="G571">
        <f t="shared" si="8"/>
        <v>2135947</v>
      </c>
    </row>
    <row r="572" spans="1:7" x14ac:dyDescent="0.25">
      <c r="A572">
        <v>2142180</v>
      </c>
      <c r="B572" t="s">
        <v>24093</v>
      </c>
      <c r="C572">
        <v>31</v>
      </c>
      <c r="D572">
        <v>4</v>
      </c>
      <c r="E572">
        <v>18983</v>
      </c>
      <c r="F572">
        <v>683</v>
      </c>
      <c r="G572">
        <f t="shared" si="8"/>
        <v>2142180</v>
      </c>
    </row>
    <row r="573" spans="1:7" x14ac:dyDescent="0.25">
      <c r="A573">
        <v>2148643</v>
      </c>
      <c r="B573" t="s">
        <v>36018</v>
      </c>
      <c r="C573">
        <v>26</v>
      </c>
      <c r="D573">
        <v>1</v>
      </c>
      <c r="E573">
        <v>6952</v>
      </c>
      <c r="F573">
        <v>2071</v>
      </c>
      <c r="G573">
        <f t="shared" si="8"/>
        <v>2148643</v>
      </c>
    </row>
    <row r="574" spans="1:7" x14ac:dyDescent="0.25">
      <c r="A574">
        <v>2155857</v>
      </c>
      <c r="B574" t="s">
        <v>24094</v>
      </c>
      <c r="C574">
        <v>1357</v>
      </c>
      <c r="D574">
        <v>1</v>
      </c>
      <c r="E574">
        <v>1660</v>
      </c>
      <c r="F574">
        <v>3516</v>
      </c>
      <c r="G574">
        <f t="shared" si="8"/>
        <v>2155857</v>
      </c>
    </row>
    <row r="575" spans="1:7" x14ac:dyDescent="0.25">
      <c r="A575">
        <v>2158301</v>
      </c>
      <c r="B575" t="s">
        <v>36019</v>
      </c>
      <c r="C575">
        <v>0</v>
      </c>
      <c r="D575">
        <v>1</v>
      </c>
      <c r="E575">
        <v>83</v>
      </c>
      <c r="F575">
        <v>5947</v>
      </c>
      <c r="G575">
        <f t="shared" si="8"/>
        <v>2158301</v>
      </c>
    </row>
    <row r="576" spans="1:7" x14ac:dyDescent="0.25">
      <c r="A576">
        <v>2166947</v>
      </c>
      <c r="B576" t="s">
        <v>24095</v>
      </c>
      <c r="C576">
        <v>1877</v>
      </c>
      <c r="D576">
        <v>1</v>
      </c>
      <c r="E576">
        <v>746</v>
      </c>
      <c r="F576">
        <v>4270</v>
      </c>
      <c r="G576">
        <f t="shared" si="8"/>
        <v>2166947</v>
      </c>
    </row>
    <row r="577" spans="1:7" x14ac:dyDescent="0.25">
      <c r="A577">
        <v>2173445</v>
      </c>
      <c r="B577" t="s">
        <v>863</v>
      </c>
      <c r="C577">
        <v>3</v>
      </c>
      <c r="D577">
        <v>4</v>
      </c>
      <c r="E577">
        <v>16336</v>
      </c>
      <c r="F577">
        <v>886</v>
      </c>
      <c r="G577">
        <f t="shared" ref="G577:G640" si="9">A577</f>
        <v>2173445</v>
      </c>
    </row>
    <row r="578" spans="1:7" x14ac:dyDescent="0.25">
      <c r="A578">
        <v>2182209</v>
      </c>
      <c r="B578" t="s">
        <v>37030</v>
      </c>
      <c r="C578">
        <v>53</v>
      </c>
      <c r="D578">
        <v>2</v>
      </c>
      <c r="E578">
        <v>10859</v>
      </c>
      <c r="F578">
        <v>1438</v>
      </c>
      <c r="G578">
        <f t="shared" si="9"/>
        <v>2182209</v>
      </c>
    </row>
    <row r="579" spans="1:7" x14ac:dyDescent="0.25">
      <c r="A579">
        <v>2191043</v>
      </c>
      <c r="B579" t="s">
        <v>36020</v>
      </c>
      <c r="C579">
        <v>1965</v>
      </c>
      <c r="D579">
        <v>1</v>
      </c>
      <c r="E579">
        <v>350</v>
      </c>
      <c r="F579">
        <v>4991</v>
      </c>
      <c r="G579">
        <f t="shared" si="9"/>
        <v>2191043</v>
      </c>
    </row>
    <row r="580" spans="1:7" x14ac:dyDescent="0.25">
      <c r="A580">
        <v>2195028</v>
      </c>
      <c r="B580" t="s">
        <v>24096</v>
      </c>
      <c r="C580">
        <v>0</v>
      </c>
      <c r="D580">
        <v>0</v>
      </c>
      <c r="E580">
        <v>0</v>
      </c>
      <c r="F580">
        <v>7042</v>
      </c>
      <c r="G580">
        <f t="shared" si="9"/>
        <v>2195028</v>
      </c>
    </row>
    <row r="581" spans="1:7" x14ac:dyDescent="0.25">
      <c r="A581">
        <v>2201913</v>
      </c>
      <c r="B581" t="s">
        <v>24097</v>
      </c>
      <c r="C581">
        <v>1993</v>
      </c>
      <c r="D581">
        <v>1</v>
      </c>
      <c r="E581">
        <v>2098</v>
      </c>
      <c r="F581">
        <v>3291</v>
      </c>
      <c r="G581">
        <f t="shared" si="9"/>
        <v>2201913</v>
      </c>
    </row>
    <row r="582" spans="1:7" x14ac:dyDescent="0.25">
      <c r="A582">
        <v>2202240</v>
      </c>
      <c r="B582" t="s">
        <v>37247</v>
      </c>
      <c r="C582">
        <v>54</v>
      </c>
      <c r="D582">
        <v>2</v>
      </c>
      <c r="E582">
        <v>12399</v>
      </c>
      <c r="F582">
        <v>1241</v>
      </c>
      <c r="G582">
        <f t="shared" si="9"/>
        <v>2202240</v>
      </c>
    </row>
    <row r="583" spans="1:7" x14ac:dyDescent="0.25">
      <c r="A583">
        <v>2204623</v>
      </c>
      <c r="B583" t="s">
        <v>36021</v>
      </c>
      <c r="C583">
        <v>131</v>
      </c>
      <c r="D583">
        <v>8</v>
      </c>
      <c r="E583">
        <v>36643</v>
      </c>
      <c r="F583">
        <v>129</v>
      </c>
      <c r="G583">
        <f t="shared" si="9"/>
        <v>2204623</v>
      </c>
    </row>
    <row r="584" spans="1:7" x14ac:dyDescent="0.25">
      <c r="A584">
        <v>2207679</v>
      </c>
      <c r="B584" t="s">
        <v>36022</v>
      </c>
      <c r="C584">
        <v>0</v>
      </c>
      <c r="D584">
        <v>1</v>
      </c>
      <c r="E584">
        <v>38</v>
      </c>
      <c r="F584">
        <v>6263</v>
      </c>
      <c r="G584">
        <f t="shared" si="9"/>
        <v>2207679</v>
      </c>
    </row>
    <row r="585" spans="1:7" x14ac:dyDescent="0.25">
      <c r="A585">
        <v>2221256</v>
      </c>
      <c r="B585" t="s">
        <v>24098</v>
      </c>
      <c r="C585">
        <v>0</v>
      </c>
      <c r="D585">
        <v>1</v>
      </c>
      <c r="E585">
        <v>26</v>
      </c>
      <c r="F585">
        <v>6380</v>
      </c>
      <c r="G585">
        <f t="shared" si="9"/>
        <v>2221256</v>
      </c>
    </row>
    <row r="586" spans="1:7" x14ac:dyDescent="0.25">
      <c r="A586">
        <v>2225843</v>
      </c>
      <c r="B586" t="s">
        <v>24099</v>
      </c>
      <c r="C586">
        <v>1834</v>
      </c>
      <c r="D586">
        <v>1</v>
      </c>
      <c r="E586">
        <v>169</v>
      </c>
      <c r="F586">
        <v>5620</v>
      </c>
      <c r="G586">
        <f t="shared" si="9"/>
        <v>2225843</v>
      </c>
    </row>
    <row r="587" spans="1:7" x14ac:dyDescent="0.25">
      <c r="A587">
        <v>2227197</v>
      </c>
      <c r="B587" t="s">
        <v>37248</v>
      </c>
      <c r="C587">
        <v>26</v>
      </c>
      <c r="D587">
        <v>3</v>
      </c>
      <c r="E587">
        <v>15865</v>
      </c>
      <c r="F587">
        <v>919</v>
      </c>
      <c r="G587">
        <f t="shared" si="9"/>
        <v>2227197</v>
      </c>
    </row>
    <row r="588" spans="1:7" x14ac:dyDescent="0.25">
      <c r="A588">
        <v>2228319</v>
      </c>
      <c r="B588" t="s">
        <v>24100</v>
      </c>
      <c r="C588">
        <v>0</v>
      </c>
      <c r="D588">
        <v>1</v>
      </c>
      <c r="E588">
        <v>315</v>
      </c>
      <c r="F588">
        <v>5077</v>
      </c>
      <c r="G588">
        <f t="shared" si="9"/>
        <v>2228319</v>
      </c>
    </row>
    <row r="589" spans="1:7" x14ac:dyDescent="0.25">
      <c r="A589">
        <v>2235577</v>
      </c>
      <c r="B589" t="s">
        <v>24101</v>
      </c>
      <c r="C589">
        <v>1622</v>
      </c>
      <c r="D589">
        <v>1</v>
      </c>
      <c r="E589">
        <v>978</v>
      </c>
      <c r="F589">
        <v>4016</v>
      </c>
      <c r="G589">
        <f t="shared" si="9"/>
        <v>2235577</v>
      </c>
    </row>
    <row r="590" spans="1:7" x14ac:dyDescent="0.25">
      <c r="A590">
        <v>2237807</v>
      </c>
      <c r="B590" t="s">
        <v>24102</v>
      </c>
      <c r="C590">
        <v>0</v>
      </c>
      <c r="D590">
        <v>1</v>
      </c>
      <c r="E590">
        <v>257</v>
      </c>
      <c r="F590">
        <v>5270</v>
      </c>
      <c r="G590">
        <f t="shared" si="9"/>
        <v>2237807</v>
      </c>
    </row>
    <row r="591" spans="1:7" x14ac:dyDescent="0.25">
      <c r="A591">
        <v>2239128</v>
      </c>
      <c r="B591" t="s">
        <v>24103</v>
      </c>
      <c r="C591">
        <v>106</v>
      </c>
      <c r="D591">
        <v>1</v>
      </c>
      <c r="E591">
        <v>1477</v>
      </c>
      <c r="F591">
        <v>3631</v>
      </c>
      <c r="G591">
        <f t="shared" si="9"/>
        <v>2239128</v>
      </c>
    </row>
    <row r="592" spans="1:7" x14ac:dyDescent="0.25">
      <c r="A592">
        <v>2241597</v>
      </c>
      <c r="B592" t="s">
        <v>24104</v>
      </c>
      <c r="C592">
        <v>1775</v>
      </c>
      <c r="D592">
        <v>2</v>
      </c>
      <c r="E592">
        <v>8555</v>
      </c>
      <c r="F592">
        <v>1793</v>
      </c>
      <c r="G592">
        <f t="shared" si="9"/>
        <v>2241597</v>
      </c>
    </row>
    <row r="593" spans="1:7" x14ac:dyDescent="0.25">
      <c r="A593">
        <v>2241644</v>
      </c>
      <c r="B593" t="s">
        <v>24105</v>
      </c>
      <c r="C593">
        <v>494</v>
      </c>
      <c r="D593">
        <v>2</v>
      </c>
      <c r="E593">
        <v>7209</v>
      </c>
      <c r="F593">
        <v>2027</v>
      </c>
      <c r="G593">
        <f t="shared" si="9"/>
        <v>2241644</v>
      </c>
    </row>
    <row r="594" spans="1:7" x14ac:dyDescent="0.25">
      <c r="A594">
        <v>2247098</v>
      </c>
      <c r="B594" t="s">
        <v>24106</v>
      </c>
      <c r="C594">
        <v>1885</v>
      </c>
      <c r="D594">
        <v>1</v>
      </c>
      <c r="E594">
        <v>696</v>
      </c>
      <c r="F594">
        <v>4293</v>
      </c>
      <c r="G594">
        <f t="shared" si="9"/>
        <v>2247098</v>
      </c>
    </row>
    <row r="595" spans="1:7" x14ac:dyDescent="0.25">
      <c r="A595">
        <v>2249768</v>
      </c>
      <c r="B595" t="s">
        <v>24107</v>
      </c>
      <c r="C595">
        <v>0</v>
      </c>
      <c r="D595">
        <v>2</v>
      </c>
      <c r="E595">
        <v>8561</v>
      </c>
      <c r="F595">
        <v>1789</v>
      </c>
      <c r="G595">
        <f t="shared" si="9"/>
        <v>2249768</v>
      </c>
    </row>
    <row r="596" spans="1:7" x14ac:dyDescent="0.25">
      <c r="A596">
        <v>2270158</v>
      </c>
      <c r="B596" t="s">
        <v>37031</v>
      </c>
      <c r="C596">
        <v>0</v>
      </c>
      <c r="D596">
        <v>1</v>
      </c>
      <c r="E596">
        <v>30</v>
      </c>
      <c r="F596">
        <v>6318</v>
      </c>
      <c r="G596">
        <f t="shared" si="9"/>
        <v>2270158</v>
      </c>
    </row>
    <row r="597" spans="1:7" x14ac:dyDescent="0.25">
      <c r="A597">
        <v>2270592</v>
      </c>
      <c r="B597" t="s">
        <v>24108</v>
      </c>
      <c r="C597">
        <v>0</v>
      </c>
      <c r="D597">
        <v>1</v>
      </c>
      <c r="E597">
        <v>2824</v>
      </c>
      <c r="F597">
        <v>3033</v>
      </c>
      <c r="G597">
        <f t="shared" si="9"/>
        <v>2270592</v>
      </c>
    </row>
    <row r="598" spans="1:7" x14ac:dyDescent="0.25">
      <c r="A598">
        <v>2274741</v>
      </c>
      <c r="B598" t="s">
        <v>37249</v>
      </c>
      <c r="C598">
        <v>27</v>
      </c>
      <c r="D598">
        <v>1</v>
      </c>
      <c r="E598">
        <v>6071</v>
      </c>
      <c r="F598">
        <v>2257</v>
      </c>
      <c r="G598">
        <f t="shared" si="9"/>
        <v>2274741</v>
      </c>
    </row>
    <row r="599" spans="1:7" x14ac:dyDescent="0.25">
      <c r="A599">
        <v>2276294</v>
      </c>
      <c r="B599" t="s">
        <v>24109</v>
      </c>
      <c r="C599">
        <v>896</v>
      </c>
      <c r="D599">
        <v>1</v>
      </c>
      <c r="E599">
        <v>7417</v>
      </c>
      <c r="F599">
        <v>1989</v>
      </c>
      <c r="G599">
        <f t="shared" si="9"/>
        <v>2276294</v>
      </c>
    </row>
    <row r="600" spans="1:7" x14ac:dyDescent="0.25">
      <c r="A600">
        <v>2277839</v>
      </c>
      <c r="B600" t="s">
        <v>24110</v>
      </c>
      <c r="C600">
        <v>0</v>
      </c>
      <c r="D600">
        <v>0</v>
      </c>
      <c r="E600">
        <v>0</v>
      </c>
      <c r="F600">
        <v>7043</v>
      </c>
      <c r="G600">
        <f t="shared" si="9"/>
        <v>2277839</v>
      </c>
    </row>
    <row r="601" spans="1:7" x14ac:dyDescent="0.25">
      <c r="A601">
        <v>2279596</v>
      </c>
      <c r="B601" t="s">
        <v>36023</v>
      </c>
      <c r="C601">
        <v>541</v>
      </c>
      <c r="D601">
        <v>1</v>
      </c>
      <c r="E601">
        <v>5066</v>
      </c>
      <c r="F601">
        <v>2502</v>
      </c>
      <c r="G601">
        <f t="shared" si="9"/>
        <v>2279596</v>
      </c>
    </row>
    <row r="602" spans="1:7" x14ac:dyDescent="0.25">
      <c r="A602">
        <v>2279844</v>
      </c>
      <c r="B602" t="s">
        <v>24111</v>
      </c>
      <c r="C602">
        <v>0</v>
      </c>
      <c r="D602">
        <v>1</v>
      </c>
      <c r="E602">
        <v>1512</v>
      </c>
      <c r="F602">
        <v>3588</v>
      </c>
      <c r="G602">
        <f t="shared" si="9"/>
        <v>2279844</v>
      </c>
    </row>
    <row r="603" spans="1:7" x14ac:dyDescent="0.25">
      <c r="A603">
        <v>2286634</v>
      </c>
      <c r="B603" t="s">
        <v>24112</v>
      </c>
      <c r="C603">
        <v>424</v>
      </c>
      <c r="D603">
        <v>2</v>
      </c>
      <c r="E603">
        <v>9891</v>
      </c>
      <c r="F603">
        <v>1581</v>
      </c>
      <c r="G603">
        <f t="shared" si="9"/>
        <v>2286634</v>
      </c>
    </row>
    <row r="604" spans="1:7" x14ac:dyDescent="0.25">
      <c r="A604">
        <v>2289557</v>
      </c>
      <c r="B604" t="s">
        <v>24113</v>
      </c>
      <c r="C604">
        <v>0</v>
      </c>
      <c r="D604">
        <v>0</v>
      </c>
      <c r="E604">
        <v>0</v>
      </c>
      <c r="F604">
        <v>7044</v>
      </c>
      <c r="G604">
        <f t="shared" si="9"/>
        <v>2289557</v>
      </c>
    </row>
    <row r="605" spans="1:7" x14ac:dyDescent="0.25">
      <c r="A605">
        <v>2293610</v>
      </c>
      <c r="B605" t="s">
        <v>24114</v>
      </c>
      <c r="C605">
        <v>1695</v>
      </c>
      <c r="D605">
        <v>1</v>
      </c>
      <c r="E605">
        <v>2100</v>
      </c>
      <c r="F605">
        <v>3289</v>
      </c>
      <c r="G605">
        <f t="shared" si="9"/>
        <v>2293610</v>
      </c>
    </row>
    <row r="606" spans="1:7" x14ac:dyDescent="0.25">
      <c r="A606">
        <v>2293713</v>
      </c>
      <c r="B606" t="s">
        <v>36024</v>
      </c>
      <c r="C606">
        <v>0</v>
      </c>
      <c r="D606">
        <v>1</v>
      </c>
      <c r="E606">
        <v>222</v>
      </c>
      <c r="F606">
        <v>5425</v>
      </c>
      <c r="G606">
        <f t="shared" si="9"/>
        <v>2293713</v>
      </c>
    </row>
    <row r="607" spans="1:7" x14ac:dyDescent="0.25">
      <c r="A607">
        <v>2298209</v>
      </c>
      <c r="B607" t="s">
        <v>37250</v>
      </c>
      <c r="C607">
        <v>924</v>
      </c>
      <c r="D607">
        <v>0</v>
      </c>
      <c r="E607">
        <v>0</v>
      </c>
      <c r="F607">
        <v>4029</v>
      </c>
      <c r="G607">
        <f t="shared" si="9"/>
        <v>2298209</v>
      </c>
    </row>
    <row r="608" spans="1:7" x14ac:dyDescent="0.25">
      <c r="A608">
        <v>2302059</v>
      </c>
      <c r="B608" t="s">
        <v>24115</v>
      </c>
      <c r="C608">
        <v>1869</v>
      </c>
      <c r="D608">
        <v>1</v>
      </c>
      <c r="E608">
        <v>3426</v>
      </c>
      <c r="F608">
        <v>2893</v>
      </c>
      <c r="G608">
        <f t="shared" si="9"/>
        <v>2302059</v>
      </c>
    </row>
    <row r="609" spans="1:7" x14ac:dyDescent="0.25">
      <c r="A609">
        <v>2302763</v>
      </c>
      <c r="B609" t="s">
        <v>24116</v>
      </c>
      <c r="C609">
        <v>1875</v>
      </c>
      <c r="D609">
        <v>0</v>
      </c>
      <c r="E609">
        <v>0</v>
      </c>
      <c r="F609">
        <v>7045</v>
      </c>
      <c r="G609">
        <f t="shared" si="9"/>
        <v>2302763</v>
      </c>
    </row>
    <row r="610" spans="1:7" x14ac:dyDescent="0.25">
      <c r="A610">
        <v>2306194</v>
      </c>
      <c r="B610" t="s">
        <v>24117</v>
      </c>
      <c r="C610">
        <v>1069</v>
      </c>
      <c r="D610">
        <v>0</v>
      </c>
      <c r="E610">
        <v>0</v>
      </c>
      <c r="F610">
        <v>7046</v>
      </c>
      <c r="G610">
        <f t="shared" si="9"/>
        <v>2306194</v>
      </c>
    </row>
    <row r="611" spans="1:7" x14ac:dyDescent="0.25">
      <c r="A611">
        <v>2313041</v>
      </c>
      <c r="B611" t="s">
        <v>24118</v>
      </c>
      <c r="C611">
        <v>0</v>
      </c>
      <c r="D611">
        <v>0</v>
      </c>
      <c r="E611">
        <v>0</v>
      </c>
      <c r="F611">
        <v>7047</v>
      </c>
      <c r="G611">
        <f t="shared" si="9"/>
        <v>2313041</v>
      </c>
    </row>
    <row r="612" spans="1:7" x14ac:dyDescent="0.25">
      <c r="A612">
        <v>2313188</v>
      </c>
      <c r="B612" t="s">
        <v>24119</v>
      </c>
      <c r="C612">
        <v>0</v>
      </c>
      <c r="D612">
        <v>0</v>
      </c>
      <c r="E612">
        <v>0</v>
      </c>
      <c r="F612">
        <v>7048</v>
      </c>
      <c r="G612">
        <f t="shared" si="9"/>
        <v>2313188</v>
      </c>
    </row>
    <row r="613" spans="1:7" x14ac:dyDescent="0.25">
      <c r="A613">
        <v>2314068</v>
      </c>
      <c r="B613" t="s">
        <v>24120</v>
      </c>
      <c r="C613">
        <v>494</v>
      </c>
      <c r="D613">
        <v>1</v>
      </c>
      <c r="E613">
        <v>2560</v>
      </c>
      <c r="F613">
        <v>3114</v>
      </c>
      <c r="G613">
        <f t="shared" si="9"/>
        <v>2314068</v>
      </c>
    </row>
    <row r="614" spans="1:7" x14ac:dyDescent="0.25">
      <c r="A614">
        <v>2314956</v>
      </c>
      <c r="B614" t="s">
        <v>24121</v>
      </c>
      <c r="C614">
        <v>0</v>
      </c>
      <c r="D614">
        <v>1</v>
      </c>
      <c r="E614">
        <v>175</v>
      </c>
      <c r="F614">
        <v>5597</v>
      </c>
      <c r="G614">
        <f t="shared" si="9"/>
        <v>2314956</v>
      </c>
    </row>
    <row r="615" spans="1:7" x14ac:dyDescent="0.25">
      <c r="A615">
        <v>2316748</v>
      </c>
      <c r="B615" s="404" t="s">
        <v>24122</v>
      </c>
      <c r="C615">
        <v>0</v>
      </c>
      <c r="D615">
        <v>0</v>
      </c>
      <c r="E615">
        <v>0</v>
      </c>
      <c r="F615">
        <v>7049</v>
      </c>
      <c r="G615">
        <f t="shared" si="9"/>
        <v>2316748</v>
      </c>
    </row>
    <row r="616" spans="1:7" x14ac:dyDescent="0.25">
      <c r="A616">
        <v>2320491</v>
      </c>
      <c r="B616" s="405" t="s">
        <v>24123</v>
      </c>
      <c r="C616">
        <v>1861</v>
      </c>
      <c r="D616">
        <v>1</v>
      </c>
      <c r="E616">
        <v>1204</v>
      </c>
      <c r="F616">
        <v>3801</v>
      </c>
      <c r="G616">
        <f t="shared" si="9"/>
        <v>2320491</v>
      </c>
    </row>
    <row r="617" spans="1:7" x14ac:dyDescent="0.25">
      <c r="A617">
        <v>2327236</v>
      </c>
      <c r="B617" s="402" t="s">
        <v>24124</v>
      </c>
      <c r="C617">
        <v>0</v>
      </c>
      <c r="D617">
        <v>0</v>
      </c>
      <c r="E617">
        <v>0</v>
      </c>
      <c r="F617">
        <v>7050</v>
      </c>
      <c r="G617">
        <f t="shared" si="9"/>
        <v>2327236</v>
      </c>
    </row>
    <row r="618" spans="1:7" x14ac:dyDescent="0.25">
      <c r="A618">
        <v>2330777</v>
      </c>
      <c r="B618" t="e">
        <f>-FanTa</f>
        <v>#NAME?</v>
      </c>
      <c r="C618">
        <v>23</v>
      </c>
      <c r="D618">
        <v>2</v>
      </c>
      <c r="E618">
        <v>8743</v>
      </c>
      <c r="F618">
        <v>1762</v>
      </c>
      <c r="G618">
        <f t="shared" si="9"/>
        <v>2330777</v>
      </c>
    </row>
    <row r="619" spans="1:7" x14ac:dyDescent="0.25">
      <c r="A619">
        <v>2333111</v>
      </c>
      <c r="B619" s="402">
        <v>34669</v>
      </c>
      <c r="C619">
        <v>259</v>
      </c>
      <c r="D619">
        <v>1</v>
      </c>
      <c r="E619">
        <v>5296</v>
      </c>
      <c r="F619">
        <v>2450</v>
      </c>
      <c r="G619">
        <f t="shared" si="9"/>
        <v>2333111</v>
      </c>
    </row>
    <row r="620" spans="1:7" x14ac:dyDescent="0.25">
      <c r="A620">
        <v>2345608</v>
      </c>
      <c r="B620" t="s">
        <v>36025</v>
      </c>
      <c r="C620">
        <v>205</v>
      </c>
      <c r="D620">
        <v>1</v>
      </c>
      <c r="E620">
        <v>1504</v>
      </c>
      <c r="F620">
        <v>3595</v>
      </c>
      <c r="G620">
        <f t="shared" si="9"/>
        <v>2345608</v>
      </c>
    </row>
    <row r="621" spans="1:7" x14ac:dyDescent="0.25">
      <c r="A621">
        <v>2347529</v>
      </c>
      <c r="B621" t="s">
        <v>36026</v>
      </c>
      <c r="C621">
        <v>1791</v>
      </c>
      <c r="D621">
        <v>1</v>
      </c>
      <c r="E621">
        <v>1327</v>
      </c>
      <c r="F621">
        <v>3706</v>
      </c>
      <c r="G621">
        <f t="shared" si="9"/>
        <v>2347529</v>
      </c>
    </row>
    <row r="622" spans="1:7" x14ac:dyDescent="0.25">
      <c r="A622">
        <v>2349974</v>
      </c>
      <c r="B622" t="s">
        <v>24125</v>
      </c>
      <c r="C622">
        <v>1823</v>
      </c>
      <c r="D622">
        <v>1</v>
      </c>
      <c r="E622">
        <v>1149</v>
      </c>
      <c r="F622">
        <v>3830</v>
      </c>
      <c r="G622">
        <f t="shared" si="9"/>
        <v>2349974</v>
      </c>
    </row>
    <row r="623" spans="1:7" x14ac:dyDescent="0.25">
      <c r="A623">
        <v>2360064</v>
      </c>
      <c r="B623" t="s">
        <v>24126</v>
      </c>
      <c r="C623">
        <v>0</v>
      </c>
      <c r="D623">
        <v>0</v>
      </c>
      <c r="E623">
        <v>0</v>
      </c>
      <c r="F623">
        <v>7051</v>
      </c>
      <c r="G623">
        <f t="shared" si="9"/>
        <v>2360064</v>
      </c>
    </row>
    <row r="624" spans="1:7" x14ac:dyDescent="0.25">
      <c r="A624">
        <v>2368794</v>
      </c>
      <c r="B624" t="s">
        <v>24127</v>
      </c>
      <c r="C624">
        <v>196</v>
      </c>
      <c r="D624">
        <v>3</v>
      </c>
      <c r="E624">
        <v>9089</v>
      </c>
      <c r="F624">
        <v>1706</v>
      </c>
      <c r="G624">
        <f t="shared" si="9"/>
        <v>2368794</v>
      </c>
    </row>
    <row r="625" spans="1:7" x14ac:dyDescent="0.25">
      <c r="A625">
        <v>2372498</v>
      </c>
      <c r="B625" t="s">
        <v>24128</v>
      </c>
      <c r="C625">
        <v>189</v>
      </c>
      <c r="D625">
        <v>1</v>
      </c>
      <c r="E625">
        <v>6928</v>
      </c>
      <c r="F625">
        <v>2076</v>
      </c>
      <c r="G625">
        <f t="shared" si="9"/>
        <v>2372498</v>
      </c>
    </row>
    <row r="626" spans="1:7" x14ac:dyDescent="0.25">
      <c r="A626">
        <v>2372597</v>
      </c>
      <c r="B626" t="s">
        <v>24129</v>
      </c>
      <c r="C626">
        <v>196</v>
      </c>
      <c r="D626">
        <v>4</v>
      </c>
      <c r="E626">
        <v>16953</v>
      </c>
      <c r="F626">
        <v>831</v>
      </c>
      <c r="G626">
        <f t="shared" si="9"/>
        <v>2372597</v>
      </c>
    </row>
    <row r="627" spans="1:7" x14ac:dyDescent="0.25">
      <c r="A627">
        <v>2372606</v>
      </c>
      <c r="B627" t="s">
        <v>24130</v>
      </c>
      <c r="C627">
        <v>1960</v>
      </c>
      <c r="D627">
        <v>1</v>
      </c>
      <c r="E627">
        <v>475</v>
      </c>
      <c r="F627">
        <v>4689</v>
      </c>
      <c r="G627">
        <f t="shared" si="9"/>
        <v>2372606</v>
      </c>
    </row>
    <row r="628" spans="1:7" x14ac:dyDescent="0.25">
      <c r="A628">
        <v>2375326</v>
      </c>
      <c r="B628" t="s">
        <v>24131</v>
      </c>
      <c r="C628">
        <v>0</v>
      </c>
      <c r="D628">
        <v>0</v>
      </c>
      <c r="E628">
        <v>0</v>
      </c>
      <c r="F628">
        <v>7052</v>
      </c>
      <c r="G628">
        <f t="shared" si="9"/>
        <v>2375326</v>
      </c>
    </row>
    <row r="629" spans="1:7" x14ac:dyDescent="0.25">
      <c r="A629">
        <v>2384127</v>
      </c>
      <c r="B629" t="s">
        <v>24132</v>
      </c>
      <c r="C629">
        <v>1952</v>
      </c>
      <c r="D629">
        <v>1</v>
      </c>
      <c r="E629">
        <v>357</v>
      </c>
      <c r="F629">
        <v>4986</v>
      </c>
      <c r="G629">
        <f t="shared" si="9"/>
        <v>2384127</v>
      </c>
    </row>
    <row r="630" spans="1:7" x14ac:dyDescent="0.25">
      <c r="A630">
        <v>2384645</v>
      </c>
      <c r="B630" t="s">
        <v>37114</v>
      </c>
      <c r="C630">
        <v>333</v>
      </c>
      <c r="D630">
        <v>2</v>
      </c>
      <c r="E630">
        <v>13610</v>
      </c>
      <c r="F630">
        <v>1116</v>
      </c>
      <c r="G630">
        <f t="shared" si="9"/>
        <v>2384645</v>
      </c>
    </row>
    <row r="631" spans="1:7" x14ac:dyDescent="0.25">
      <c r="A631">
        <v>2389451</v>
      </c>
      <c r="B631" t="s">
        <v>24133</v>
      </c>
      <c r="C631">
        <v>174</v>
      </c>
      <c r="D631">
        <v>3</v>
      </c>
      <c r="E631">
        <v>16715</v>
      </c>
      <c r="F631">
        <v>848</v>
      </c>
      <c r="G631">
        <f t="shared" si="9"/>
        <v>2389451</v>
      </c>
    </row>
    <row r="632" spans="1:7" x14ac:dyDescent="0.25">
      <c r="A632">
        <v>2392487</v>
      </c>
      <c r="B632" t="s">
        <v>24134</v>
      </c>
      <c r="C632">
        <v>149</v>
      </c>
      <c r="D632">
        <v>0</v>
      </c>
      <c r="E632">
        <v>0</v>
      </c>
      <c r="F632">
        <v>7053</v>
      </c>
      <c r="G632">
        <f t="shared" si="9"/>
        <v>2392487</v>
      </c>
    </row>
    <row r="633" spans="1:7" x14ac:dyDescent="0.25">
      <c r="A633">
        <v>2395835</v>
      </c>
      <c r="B633" t="s">
        <v>36027</v>
      </c>
      <c r="C633">
        <v>1791</v>
      </c>
      <c r="D633">
        <v>1</v>
      </c>
      <c r="E633">
        <v>1123</v>
      </c>
      <c r="F633">
        <v>3852</v>
      </c>
      <c r="G633">
        <f t="shared" si="9"/>
        <v>2395835</v>
      </c>
    </row>
    <row r="634" spans="1:7" x14ac:dyDescent="0.25">
      <c r="A634">
        <v>2400442</v>
      </c>
      <c r="B634" t="s">
        <v>24135</v>
      </c>
      <c r="C634">
        <v>1503</v>
      </c>
      <c r="D634">
        <v>1</v>
      </c>
      <c r="E634">
        <v>4146</v>
      </c>
      <c r="F634">
        <v>2733</v>
      </c>
      <c r="G634">
        <f t="shared" si="9"/>
        <v>2400442</v>
      </c>
    </row>
    <row r="635" spans="1:7" x14ac:dyDescent="0.25">
      <c r="A635">
        <v>2404557</v>
      </c>
      <c r="B635" t="s">
        <v>36028</v>
      </c>
      <c r="C635">
        <v>0</v>
      </c>
      <c r="D635">
        <v>1</v>
      </c>
      <c r="E635">
        <v>204</v>
      </c>
      <c r="F635">
        <v>5476</v>
      </c>
      <c r="G635">
        <f t="shared" si="9"/>
        <v>2404557</v>
      </c>
    </row>
    <row r="636" spans="1:7" x14ac:dyDescent="0.25">
      <c r="A636">
        <v>2408053</v>
      </c>
      <c r="B636" t="s">
        <v>24136</v>
      </c>
      <c r="C636">
        <v>0</v>
      </c>
      <c r="D636">
        <v>1</v>
      </c>
      <c r="E636">
        <v>2255</v>
      </c>
      <c r="F636">
        <v>3222</v>
      </c>
      <c r="G636">
        <f t="shared" si="9"/>
        <v>2408053</v>
      </c>
    </row>
    <row r="637" spans="1:7" x14ac:dyDescent="0.25">
      <c r="A637">
        <v>2412701</v>
      </c>
      <c r="B637" t="s">
        <v>24137</v>
      </c>
      <c r="C637">
        <v>896</v>
      </c>
      <c r="D637">
        <v>2</v>
      </c>
      <c r="E637">
        <v>8285</v>
      </c>
      <c r="F637">
        <v>1834</v>
      </c>
      <c r="G637">
        <f t="shared" si="9"/>
        <v>2412701</v>
      </c>
    </row>
    <row r="638" spans="1:7" x14ac:dyDescent="0.25">
      <c r="A638">
        <v>2429688</v>
      </c>
      <c r="B638" t="s">
        <v>24138</v>
      </c>
      <c r="C638">
        <v>0</v>
      </c>
      <c r="D638">
        <v>0</v>
      </c>
      <c r="E638">
        <v>0</v>
      </c>
      <c r="F638">
        <v>7054</v>
      </c>
      <c r="G638">
        <f t="shared" si="9"/>
        <v>2429688</v>
      </c>
    </row>
    <row r="639" spans="1:7" x14ac:dyDescent="0.25">
      <c r="A639">
        <v>2444984</v>
      </c>
      <c r="B639" t="s">
        <v>24139</v>
      </c>
      <c r="C639">
        <v>896</v>
      </c>
      <c r="D639">
        <v>0</v>
      </c>
      <c r="E639">
        <v>0</v>
      </c>
      <c r="F639">
        <v>7055</v>
      </c>
      <c r="G639">
        <f t="shared" si="9"/>
        <v>2444984</v>
      </c>
    </row>
    <row r="640" spans="1:7" x14ac:dyDescent="0.25">
      <c r="A640">
        <v>2445336</v>
      </c>
      <c r="B640" t="s">
        <v>24140</v>
      </c>
      <c r="C640">
        <v>0</v>
      </c>
      <c r="D640">
        <v>1</v>
      </c>
      <c r="E640">
        <v>2893</v>
      </c>
      <c r="F640">
        <v>3012</v>
      </c>
      <c r="G640">
        <f t="shared" si="9"/>
        <v>2445336</v>
      </c>
    </row>
    <row r="641" spans="1:7" x14ac:dyDescent="0.25">
      <c r="A641">
        <v>2451330</v>
      </c>
      <c r="B641" t="s">
        <v>24141</v>
      </c>
      <c r="C641">
        <v>1340</v>
      </c>
      <c r="D641">
        <v>5</v>
      </c>
      <c r="E641">
        <v>22099</v>
      </c>
      <c r="F641">
        <v>514</v>
      </c>
      <c r="G641">
        <f t="shared" ref="G641:G704" si="10">A641</f>
        <v>2451330</v>
      </c>
    </row>
    <row r="642" spans="1:7" x14ac:dyDescent="0.25">
      <c r="A642">
        <v>2458112</v>
      </c>
      <c r="B642" t="s">
        <v>36029</v>
      </c>
      <c r="C642">
        <v>0</v>
      </c>
      <c r="D642">
        <v>0</v>
      </c>
      <c r="E642">
        <v>0</v>
      </c>
      <c r="F642">
        <v>7056</v>
      </c>
      <c r="G642">
        <f t="shared" si="10"/>
        <v>2458112</v>
      </c>
    </row>
    <row r="643" spans="1:7" x14ac:dyDescent="0.25">
      <c r="A643">
        <v>2459085</v>
      </c>
      <c r="B643" t="s">
        <v>24142</v>
      </c>
      <c r="C643">
        <v>0</v>
      </c>
      <c r="D643">
        <v>1</v>
      </c>
      <c r="E643">
        <v>50</v>
      </c>
      <c r="F643">
        <v>6172</v>
      </c>
      <c r="G643">
        <f t="shared" si="10"/>
        <v>2459085</v>
      </c>
    </row>
    <row r="644" spans="1:7" x14ac:dyDescent="0.25">
      <c r="A644">
        <v>2479120</v>
      </c>
      <c r="B644" t="s">
        <v>24143</v>
      </c>
      <c r="C644">
        <v>1100</v>
      </c>
      <c r="D644">
        <v>1</v>
      </c>
      <c r="E644">
        <v>806</v>
      </c>
      <c r="F644">
        <v>4192</v>
      </c>
      <c r="G644">
        <f t="shared" si="10"/>
        <v>2479120</v>
      </c>
    </row>
    <row r="645" spans="1:7" x14ac:dyDescent="0.25">
      <c r="A645">
        <v>2482304</v>
      </c>
      <c r="B645" t="s">
        <v>24144</v>
      </c>
      <c r="C645">
        <v>0</v>
      </c>
      <c r="D645">
        <v>1</v>
      </c>
      <c r="E645">
        <v>555</v>
      </c>
      <c r="F645">
        <v>4542</v>
      </c>
      <c r="G645">
        <f t="shared" si="10"/>
        <v>2482304</v>
      </c>
    </row>
    <row r="646" spans="1:7" x14ac:dyDescent="0.25">
      <c r="A646">
        <v>2483877</v>
      </c>
      <c r="B646" t="s">
        <v>24145</v>
      </c>
      <c r="C646">
        <v>0</v>
      </c>
      <c r="D646">
        <v>1</v>
      </c>
      <c r="E646">
        <v>266</v>
      </c>
      <c r="F646">
        <v>5238</v>
      </c>
      <c r="G646">
        <f t="shared" si="10"/>
        <v>2483877</v>
      </c>
    </row>
    <row r="647" spans="1:7" x14ac:dyDescent="0.25">
      <c r="A647">
        <v>2485478</v>
      </c>
      <c r="B647" t="s">
        <v>24146</v>
      </c>
      <c r="C647">
        <v>1373</v>
      </c>
      <c r="D647">
        <v>2</v>
      </c>
      <c r="E647">
        <v>6440</v>
      </c>
      <c r="F647">
        <v>2178</v>
      </c>
      <c r="G647">
        <f t="shared" si="10"/>
        <v>2485478</v>
      </c>
    </row>
    <row r="648" spans="1:7" x14ac:dyDescent="0.25">
      <c r="A648">
        <v>2492644</v>
      </c>
      <c r="B648" t="s">
        <v>24147</v>
      </c>
      <c r="C648">
        <v>1643</v>
      </c>
      <c r="D648">
        <v>1</v>
      </c>
      <c r="E648">
        <v>1441</v>
      </c>
      <c r="F648">
        <v>3633</v>
      </c>
      <c r="G648">
        <f t="shared" si="10"/>
        <v>2492644</v>
      </c>
    </row>
    <row r="649" spans="1:7" x14ac:dyDescent="0.25">
      <c r="A649">
        <v>2493089</v>
      </c>
      <c r="B649" t="s">
        <v>24148</v>
      </c>
      <c r="C649">
        <v>409</v>
      </c>
      <c r="D649">
        <v>3</v>
      </c>
      <c r="E649">
        <v>9802</v>
      </c>
      <c r="F649">
        <v>1590</v>
      </c>
      <c r="G649">
        <f t="shared" si="10"/>
        <v>2493089</v>
      </c>
    </row>
    <row r="650" spans="1:7" x14ac:dyDescent="0.25">
      <c r="A650">
        <v>2493248</v>
      </c>
      <c r="B650" t="s">
        <v>36030</v>
      </c>
      <c r="C650">
        <v>0</v>
      </c>
      <c r="D650">
        <v>0</v>
      </c>
      <c r="E650">
        <v>0</v>
      </c>
      <c r="F650">
        <v>7057</v>
      </c>
      <c r="G650">
        <f t="shared" si="10"/>
        <v>2493248</v>
      </c>
    </row>
    <row r="651" spans="1:7" x14ac:dyDescent="0.25">
      <c r="A651">
        <v>2495798</v>
      </c>
      <c r="B651" t="s">
        <v>24149</v>
      </c>
      <c r="C651">
        <v>20</v>
      </c>
      <c r="D651">
        <v>3</v>
      </c>
      <c r="E651">
        <v>9312</v>
      </c>
      <c r="F651">
        <v>1670</v>
      </c>
      <c r="G651">
        <f t="shared" si="10"/>
        <v>2495798</v>
      </c>
    </row>
    <row r="652" spans="1:7" x14ac:dyDescent="0.25">
      <c r="A652">
        <v>2495937</v>
      </c>
      <c r="B652" t="s">
        <v>24150</v>
      </c>
      <c r="C652">
        <v>0</v>
      </c>
      <c r="D652">
        <v>0</v>
      </c>
      <c r="E652">
        <v>0</v>
      </c>
      <c r="F652">
        <v>7058</v>
      </c>
      <c r="G652">
        <f t="shared" si="10"/>
        <v>2495937</v>
      </c>
    </row>
    <row r="653" spans="1:7" x14ac:dyDescent="0.25">
      <c r="A653">
        <v>2507918</v>
      </c>
      <c r="B653" t="s">
        <v>24151</v>
      </c>
      <c r="C653">
        <v>271</v>
      </c>
      <c r="D653">
        <v>2</v>
      </c>
      <c r="E653">
        <v>7695</v>
      </c>
      <c r="F653">
        <v>1941</v>
      </c>
      <c r="G653">
        <f t="shared" si="10"/>
        <v>2507918</v>
      </c>
    </row>
    <row r="654" spans="1:7" x14ac:dyDescent="0.25">
      <c r="A654">
        <v>2510561</v>
      </c>
      <c r="B654" t="s">
        <v>36031</v>
      </c>
      <c r="C654">
        <v>0</v>
      </c>
      <c r="D654">
        <v>0</v>
      </c>
      <c r="E654">
        <v>0</v>
      </c>
      <c r="F654">
        <v>7059</v>
      </c>
      <c r="G654">
        <f t="shared" si="10"/>
        <v>2510561</v>
      </c>
    </row>
    <row r="655" spans="1:7" x14ac:dyDescent="0.25">
      <c r="A655">
        <v>2513190</v>
      </c>
      <c r="B655" t="s">
        <v>24152</v>
      </c>
      <c r="C655">
        <v>1695</v>
      </c>
      <c r="D655">
        <v>1</v>
      </c>
      <c r="E655">
        <v>2608</v>
      </c>
      <c r="F655">
        <v>3129</v>
      </c>
      <c r="G655">
        <f t="shared" si="10"/>
        <v>2513190</v>
      </c>
    </row>
    <row r="656" spans="1:7" x14ac:dyDescent="0.25">
      <c r="A656">
        <v>2516516</v>
      </c>
      <c r="B656">
        <v>300123</v>
      </c>
      <c r="C656">
        <v>0</v>
      </c>
      <c r="D656">
        <v>1</v>
      </c>
      <c r="E656">
        <v>26</v>
      </c>
      <c r="F656">
        <v>6381</v>
      </c>
      <c r="G656">
        <f t="shared" si="10"/>
        <v>2516516</v>
      </c>
    </row>
    <row r="657" spans="1:7" x14ac:dyDescent="0.25">
      <c r="A657">
        <v>2517318</v>
      </c>
      <c r="B657" t="s">
        <v>36032</v>
      </c>
      <c r="C657">
        <v>419</v>
      </c>
      <c r="D657">
        <v>4</v>
      </c>
      <c r="E657">
        <v>25724</v>
      </c>
      <c r="F657">
        <v>371</v>
      </c>
      <c r="G657">
        <f t="shared" si="10"/>
        <v>2517318</v>
      </c>
    </row>
    <row r="658" spans="1:7" x14ac:dyDescent="0.25">
      <c r="A658">
        <v>2520452</v>
      </c>
      <c r="B658" t="s">
        <v>24153</v>
      </c>
      <c r="C658">
        <v>409</v>
      </c>
      <c r="D658">
        <v>1</v>
      </c>
      <c r="E658">
        <v>969</v>
      </c>
      <c r="F658">
        <v>4036</v>
      </c>
      <c r="G658">
        <f t="shared" si="10"/>
        <v>2520452</v>
      </c>
    </row>
    <row r="659" spans="1:7" x14ac:dyDescent="0.25">
      <c r="A659">
        <v>2522339</v>
      </c>
      <c r="B659" t="s">
        <v>24154</v>
      </c>
      <c r="C659">
        <v>0</v>
      </c>
      <c r="D659">
        <v>1</v>
      </c>
      <c r="E659">
        <v>936</v>
      </c>
      <c r="F659">
        <v>4055</v>
      </c>
      <c r="G659">
        <f t="shared" si="10"/>
        <v>2522339</v>
      </c>
    </row>
    <row r="660" spans="1:7" x14ac:dyDescent="0.25">
      <c r="A660">
        <v>2523758</v>
      </c>
      <c r="B660" t="s">
        <v>24155</v>
      </c>
      <c r="C660">
        <v>578</v>
      </c>
      <c r="D660">
        <v>4</v>
      </c>
      <c r="E660">
        <v>14454</v>
      </c>
      <c r="F660">
        <v>1036</v>
      </c>
      <c r="G660">
        <f t="shared" si="10"/>
        <v>2523758</v>
      </c>
    </row>
    <row r="661" spans="1:7" x14ac:dyDescent="0.25">
      <c r="A661">
        <v>2550247</v>
      </c>
      <c r="B661" t="s">
        <v>24156</v>
      </c>
      <c r="C661">
        <v>0</v>
      </c>
      <c r="D661">
        <v>3</v>
      </c>
      <c r="E661">
        <v>11718</v>
      </c>
      <c r="F661">
        <v>1322</v>
      </c>
      <c r="G661">
        <f t="shared" si="10"/>
        <v>2550247</v>
      </c>
    </row>
    <row r="662" spans="1:7" x14ac:dyDescent="0.25">
      <c r="A662">
        <v>2557603</v>
      </c>
      <c r="B662" t="s">
        <v>24157</v>
      </c>
      <c r="C662">
        <v>0</v>
      </c>
      <c r="D662">
        <v>0</v>
      </c>
      <c r="E662">
        <v>0</v>
      </c>
      <c r="F662">
        <v>7060</v>
      </c>
      <c r="G662">
        <f t="shared" si="10"/>
        <v>2557603</v>
      </c>
    </row>
    <row r="663" spans="1:7" x14ac:dyDescent="0.25">
      <c r="A663">
        <v>2557643</v>
      </c>
      <c r="B663" t="s">
        <v>36033</v>
      </c>
      <c r="C663">
        <v>0</v>
      </c>
      <c r="D663">
        <v>1</v>
      </c>
      <c r="E663">
        <v>91</v>
      </c>
      <c r="F663">
        <v>5895</v>
      </c>
      <c r="G663">
        <f t="shared" si="10"/>
        <v>2557643</v>
      </c>
    </row>
    <row r="664" spans="1:7" x14ac:dyDescent="0.25">
      <c r="A664">
        <v>2557919</v>
      </c>
      <c r="B664" t="s">
        <v>24158</v>
      </c>
      <c r="C664">
        <v>57</v>
      </c>
      <c r="D664">
        <v>1</v>
      </c>
      <c r="E664">
        <v>2155</v>
      </c>
      <c r="F664">
        <v>3277</v>
      </c>
      <c r="G664">
        <f t="shared" si="10"/>
        <v>2557919</v>
      </c>
    </row>
    <row r="665" spans="1:7" x14ac:dyDescent="0.25">
      <c r="A665">
        <v>2559190</v>
      </c>
      <c r="B665" t="s">
        <v>24159</v>
      </c>
      <c r="C665">
        <v>1</v>
      </c>
      <c r="D665">
        <v>1</v>
      </c>
      <c r="E665">
        <v>494</v>
      </c>
      <c r="F665">
        <v>4655</v>
      </c>
      <c r="G665">
        <f t="shared" si="10"/>
        <v>2559190</v>
      </c>
    </row>
    <row r="666" spans="1:7" x14ac:dyDescent="0.25">
      <c r="A666">
        <v>2561755</v>
      </c>
      <c r="B666" t="s">
        <v>24160</v>
      </c>
      <c r="C666">
        <v>2010</v>
      </c>
      <c r="D666">
        <v>1</v>
      </c>
      <c r="E666">
        <v>639</v>
      </c>
      <c r="F666">
        <v>4420</v>
      </c>
      <c r="G666">
        <f t="shared" si="10"/>
        <v>2561755</v>
      </c>
    </row>
    <row r="667" spans="1:7" x14ac:dyDescent="0.25">
      <c r="A667">
        <v>2572016</v>
      </c>
      <c r="B667" t="s">
        <v>37115</v>
      </c>
      <c r="C667">
        <v>245</v>
      </c>
      <c r="D667">
        <v>1</v>
      </c>
      <c r="E667">
        <v>502</v>
      </c>
      <c r="F667">
        <v>4630</v>
      </c>
      <c r="G667">
        <f t="shared" si="10"/>
        <v>2572016</v>
      </c>
    </row>
    <row r="668" spans="1:7" x14ac:dyDescent="0.25">
      <c r="A668">
        <v>2589657</v>
      </c>
      <c r="B668" t="s">
        <v>24161</v>
      </c>
      <c r="C668">
        <v>367</v>
      </c>
      <c r="D668">
        <v>1</v>
      </c>
      <c r="E668">
        <v>5735</v>
      </c>
      <c r="F668">
        <v>2342</v>
      </c>
      <c r="G668">
        <f t="shared" si="10"/>
        <v>2589657</v>
      </c>
    </row>
    <row r="669" spans="1:7" x14ac:dyDescent="0.25">
      <c r="A669">
        <v>2590130</v>
      </c>
      <c r="B669" t="s">
        <v>36034</v>
      </c>
      <c r="C669">
        <v>0</v>
      </c>
      <c r="D669">
        <v>1</v>
      </c>
      <c r="E669">
        <v>277</v>
      </c>
      <c r="F669">
        <v>5232</v>
      </c>
      <c r="G669">
        <f t="shared" si="10"/>
        <v>2590130</v>
      </c>
    </row>
    <row r="670" spans="1:7" x14ac:dyDescent="0.25">
      <c r="A670">
        <v>2593290</v>
      </c>
      <c r="B670" t="s">
        <v>24162</v>
      </c>
      <c r="C670">
        <v>1868</v>
      </c>
      <c r="D670">
        <v>1</v>
      </c>
      <c r="E670">
        <v>3683</v>
      </c>
      <c r="F670">
        <v>2834</v>
      </c>
      <c r="G670">
        <f t="shared" si="10"/>
        <v>2593290</v>
      </c>
    </row>
    <row r="671" spans="1:7" x14ac:dyDescent="0.25">
      <c r="A671">
        <v>2609780</v>
      </c>
      <c r="B671" t="s">
        <v>24163</v>
      </c>
      <c r="C671">
        <v>0</v>
      </c>
      <c r="D671">
        <v>1</v>
      </c>
      <c r="E671">
        <v>267</v>
      </c>
      <c r="F671">
        <v>5233</v>
      </c>
      <c r="G671">
        <f t="shared" si="10"/>
        <v>2609780</v>
      </c>
    </row>
    <row r="672" spans="1:7" x14ac:dyDescent="0.25">
      <c r="A672">
        <v>2613794</v>
      </c>
      <c r="B672" t="s">
        <v>24164</v>
      </c>
      <c r="C672">
        <v>0</v>
      </c>
      <c r="D672">
        <v>1</v>
      </c>
      <c r="E672">
        <v>259</v>
      </c>
      <c r="F672">
        <v>5259</v>
      </c>
      <c r="G672">
        <f t="shared" si="10"/>
        <v>2613794</v>
      </c>
    </row>
    <row r="673" spans="1:7" x14ac:dyDescent="0.25">
      <c r="A673">
        <v>2619870</v>
      </c>
      <c r="B673" t="s">
        <v>24165</v>
      </c>
      <c r="C673">
        <v>0</v>
      </c>
      <c r="D673">
        <v>1</v>
      </c>
      <c r="E673">
        <v>542</v>
      </c>
      <c r="F673">
        <v>4564</v>
      </c>
      <c r="G673">
        <f t="shared" si="10"/>
        <v>2619870</v>
      </c>
    </row>
    <row r="674" spans="1:7" x14ac:dyDescent="0.25">
      <c r="A674">
        <v>2624281</v>
      </c>
      <c r="B674" t="s">
        <v>24166</v>
      </c>
      <c r="C674">
        <v>1974</v>
      </c>
      <c r="D674">
        <v>1</v>
      </c>
      <c r="E674">
        <v>1261</v>
      </c>
      <c r="F674">
        <v>3786</v>
      </c>
      <c r="G674">
        <f t="shared" si="10"/>
        <v>2624281</v>
      </c>
    </row>
    <row r="675" spans="1:7" x14ac:dyDescent="0.25">
      <c r="A675">
        <v>2624937</v>
      </c>
      <c r="B675" t="s">
        <v>36035</v>
      </c>
      <c r="C675">
        <v>1775</v>
      </c>
      <c r="D675">
        <v>1</v>
      </c>
      <c r="E675">
        <v>3426</v>
      </c>
      <c r="F675">
        <v>2898</v>
      </c>
      <c r="G675">
        <f t="shared" si="10"/>
        <v>2624937</v>
      </c>
    </row>
    <row r="676" spans="1:7" x14ac:dyDescent="0.25">
      <c r="A676">
        <v>2626781</v>
      </c>
      <c r="B676" t="s">
        <v>36036</v>
      </c>
      <c r="C676">
        <v>0</v>
      </c>
      <c r="D676">
        <v>0</v>
      </c>
      <c r="E676">
        <v>0</v>
      </c>
      <c r="F676">
        <v>7061</v>
      </c>
      <c r="G676">
        <f t="shared" si="10"/>
        <v>2626781</v>
      </c>
    </row>
    <row r="677" spans="1:7" x14ac:dyDescent="0.25">
      <c r="A677">
        <v>2632635</v>
      </c>
      <c r="B677" t="s">
        <v>24167</v>
      </c>
      <c r="C677">
        <v>0</v>
      </c>
      <c r="D677">
        <v>0</v>
      </c>
      <c r="E677">
        <v>0</v>
      </c>
      <c r="F677">
        <v>7062</v>
      </c>
      <c r="G677">
        <f t="shared" si="10"/>
        <v>2632635</v>
      </c>
    </row>
    <row r="678" spans="1:7" x14ac:dyDescent="0.25">
      <c r="A678">
        <v>2634766</v>
      </c>
      <c r="B678" t="s">
        <v>24168</v>
      </c>
      <c r="C678">
        <v>0</v>
      </c>
      <c r="D678">
        <v>1</v>
      </c>
      <c r="E678">
        <v>1579</v>
      </c>
      <c r="F678">
        <v>3554</v>
      </c>
      <c r="G678">
        <f t="shared" si="10"/>
        <v>2634766</v>
      </c>
    </row>
    <row r="679" spans="1:7" x14ac:dyDescent="0.25">
      <c r="A679">
        <v>2637684</v>
      </c>
      <c r="B679" t="s">
        <v>36037</v>
      </c>
      <c r="C679">
        <v>1952</v>
      </c>
      <c r="D679">
        <v>1</v>
      </c>
      <c r="E679">
        <v>219</v>
      </c>
      <c r="F679">
        <v>5435</v>
      </c>
      <c r="G679">
        <f t="shared" si="10"/>
        <v>2637684</v>
      </c>
    </row>
    <row r="680" spans="1:7" x14ac:dyDescent="0.25">
      <c r="A680">
        <v>2639534</v>
      </c>
      <c r="B680" t="s">
        <v>36038</v>
      </c>
      <c r="C680">
        <v>20</v>
      </c>
      <c r="D680">
        <v>8</v>
      </c>
      <c r="E680">
        <v>32501</v>
      </c>
      <c r="F680">
        <v>193</v>
      </c>
      <c r="G680">
        <f t="shared" si="10"/>
        <v>2639534</v>
      </c>
    </row>
    <row r="681" spans="1:7" x14ac:dyDescent="0.25">
      <c r="A681">
        <v>2641220</v>
      </c>
      <c r="B681" t="s">
        <v>36039</v>
      </c>
      <c r="C681">
        <v>4</v>
      </c>
      <c r="D681">
        <v>6</v>
      </c>
      <c r="E681">
        <v>31926</v>
      </c>
      <c r="F681">
        <v>207</v>
      </c>
      <c r="G681">
        <f t="shared" si="10"/>
        <v>2641220</v>
      </c>
    </row>
    <row r="682" spans="1:7" x14ac:dyDescent="0.25">
      <c r="A682">
        <v>2642692</v>
      </c>
      <c r="B682" t="s">
        <v>24169</v>
      </c>
      <c r="C682">
        <v>39</v>
      </c>
      <c r="D682">
        <v>2</v>
      </c>
      <c r="E682">
        <v>10999</v>
      </c>
      <c r="F682">
        <v>1419</v>
      </c>
      <c r="G682">
        <f t="shared" si="10"/>
        <v>2642692</v>
      </c>
    </row>
    <row r="683" spans="1:7" x14ac:dyDescent="0.25">
      <c r="A683">
        <v>2646418</v>
      </c>
      <c r="B683" t="s">
        <v>24170</v>
      </c>
      <c r="C683">
        <v>0</v>
      </c>
      <c r="D683">
        <v>1</v>
      </c>
      <c r="E683">
        <v>2330</v>
      </c>
      <c r="F683">
        <v>3201</v>
      </c>
      <c r="G683">
        <f t="shared" si="10"/>
        <v>2646418</v>
      </c>
    </row>
    <row r="684" spans="1:7" x14ac:dyDescent="0.25">
      <c r="A684">
        <v>2647981</v>
      </c>
      <c r="B684" t="s">
        <v>24171</v>
      </c>
      <c r="C684">
        <v>0</v>
      </c>
      <c r="D684">
        <v>1</v>
      </c>
      <c r="E684">
        <v>4080</v>
      </c>
      <c r="F684">
        <v>2752</v>
      </c>
      <c r="G684">
        <f t="shared" si="10"/>
        <v>2647981</v>
      </c>
    </row>
    <row r="685" spans="1:7" x14ac:dyDescent="0.25">
      <c r="A685">
        <v>2648050</v>
      </c>
      <c r="B685" t="s">
        <v>24172</v>
      </c>
      <c r="C685">
        <v>1143</v>
      </c>
      <c r="D685">
        <v>1</v>
      </c>
      <c r="E685">
        <v>2570</v>
      </c>
      <c r="F685">
        <v>3110</v>
      </c>
      <c r="G685">
        <f t="shared" si="10"/>
        <v>2648050</v>
      </c>
    </row>
    <row r="686" spans="1:7" x14ac:dyDescent="0.25">
      <c r="A686">
        <v>2650614</v>
      </c>
      <c r="B686" t="s">
        <v>24173</v>
      </c>
      <c r="C686">
        <v>0</v>
      </c>
      <c r="D686">
        <v>1</v>
      </c>
      <c r="E686">
        <v>49</v>
      </c>
      <c r="F686">
        <v>6192</v>
      </c>
      <c r="G686">
        <f t="shared" si="10"/>
        <v>2650614</v>
      </c>
    </row>
    <row r="687" spans="1:7" x14ac:dyDescent="0.25">
      <c r="A687">
        <v>2651379</v>
      </c>
      <c r="B687" t="s">
        <v>24174</v>
      </c>
      <c r="C687">
        <v>578</v>
      </c>
      <c r="D687">
        <v>6</v>
      </c>
      <c r="E687">
        <v>23620</v>
      </c>
      <c r="F687">
        <v>452</v>
      </c>
      <c r="G687">
        <f t="shared" si="10"/>
        <v>2651379</v>
      </c>
    </row>
    <row r="688" spans="1:7" x14ac:dyDescent="0.25">
      <c r="A688">
        <v>2660493</v>
      </c>
      <c r="B688" t="s">
        <v>36040</v>
      </c>
      <c r="C688">
        <v>760</v>
      </c>
      <c r="D688">
        <v>4</v>
      </c>
      <c r="E688">
        <v>25311</v>
      </c>
      <c r="F688">
        <v>382</v>
      </c>
      <c r="G688">
        <f t="shared" si="10"/>
        <v>2660493</v>
      </c>
    </row>
    <row r="689" spans="1:7" x14ac:dyDescent="0.25">
      <c r="A689">
        <v>2666558</v>
      </c>
      <c r="B689" t="s">
        <v>24175</v>
      </c>
      <c r="C689">
        <v>55</v>
      </c>
      <c r="D689">
        <v>1</v>
      </c>
      <c r="E689">
        <v>420</v>
      </c>
      <c r="F689">
        <v>4806</v>
      </c>
      <c r="G689">
        <f t="shared" si="10"/>
        <v>2666558</v>
      </c>
    </row>
    <row r="690" spans="1:7" x14ac:dyDescent="0.25">
      <c r="A690">
        <v>2667871</v>
      </c>
      <c r="B690" t="s">
        <v>24176</v>
      </c>
      <c r="C690">
        <v>882</v>
      </c>
      <c r="D690">
        <v>4</v>
      </c>
      <c r="E690">
        <v>22705</v>
      </c>
      <c r="F690">
        <v>484</v>
      </c>
      <c r="G690">
        <f t="shared" si="10"/>
        <v>2667871</v>
      </c>
    </row>
    <row r="691" spans="1:7" x14ac:dyDescent="0.25">
      <c r="A691">
        <v>2671666</v>
      </c>
      <c r="B691" t="s">
        <v>24177</v>
      </c>
      <c r="C691">
        <v>235</v>
      </c>
      <c r="D691">
        <v>0</v>
      </c>
      <c r="E691">
        <v>0</v>
      </c>
      <c r="F691">
        <v>7063</v>
      </c>
      <c r="G691">
        <f t="shared" si="10"/>
        <v>2671666</v>
      </c>
    </row>
    <row r="692" spans="1:7" x14ac:dyDescent="0.25">
      <c r="A692">
        <v>2674486</v>
      </c>
      <c r="B692" t="s">
        <v>24178</v>
      </c>
      <c r="C692">
        <v>896</v>
      </c>
      <c r="D692">
        <v>2</v>
      </c>
      <c r="E692">
        <v>10100</v>
      </c>
      <c r="F692">
        <v>1563</v>
      </c>
      <c r="G692">
        <f t="shared" si="10"/>
        <v>2674486</v>
      </c>
    </row>
    <row r="693" spans="1:7" x14ac:dyDescent="0.25">
      <c r="A693">
        <v>2679744</v>
      </c>
      <c r="B693" t="s">
        <v>24179</v>
      </c>
      <c r="C693">
        <v>733</v>
      </c>
      <c r="D693">
        <v>7</v>
      </c>
      <c r="E693">
        <v>27581</v>
      </c>
      <c r="F693">
        <v>315</v>
      </c>
      <c r="G693">
        <f t="shared" si="10"/>
        <v>2679744</v>
      </c>
    </row>
    <row r="694" spans="1:7" x14ac:dyDescent="0.25">
      <c r="A694">
        <v>2683003</v>
      </c>
      <c r="B694" t="s">
        <v>24180</v>
      </c>
      <c r="C694">
        <v>47</v>
      </c>
      <c r="D694">
        <v>3</v>
      </c>
      <c r="E694">
        <v>9953</v>
      </c>
      <c r="F694">
        <v>1571</v>
      </c>
      <c r="G694">
        <f t="shared" si="10"/>
        <v>2683003</v>
      </c>
    </row>
    <row r="695" spans="1:7" x14ac:dyDescent="0.25">
      <c r="A695">
        <v>2688886</v>
      </c>
      <c r="B695" t="s">
        <v>24181</v>
      </c>
      <c r="C695">
        <v>126</v>
      </c>
      <c r="D695">
        <v>1</v>
      </c>
      <c r="E695">
        <v>80</v>
      </c>
      <c r="F695">
        <v>5986</v>
      </c>
      <c r="G695">
        <f t="shared" si="10"/>
        <v>2688886</v>
      </c>
    </row>
    <row r="696" spans="1:7" x14ac:dyDescent="0.25">
      <c r="A696">
        <v>2691840</v>
      </c>
      <c r="B696" t="s">
        <v>24182</v>
      </c>
      <c r="C696">
        <v>0</v>
      </c>
      <c r="D696">
        <v>0</v>
      </c>
      <c r="E696">
        <v>0</v>
      </c>
      <c r="F696">
        <v>7064</v>
      </c>
      <c r="G696">
        <f t="shared" si="10"/>
        <v>2691840</v>
      </c>
    </row>
    <row r="697" spans="1:7" x14ac:dyDescent="0.25">
      <c r="A697">
        <v>2692887</v>
      </c>
      <c r="B697" t="s">
        <v>37251</v>
      </c>
      <c r="C697">
        <v>58</v>
      </c>
      <c r="D697">
        <v>5</v>
      </c>
      <c r="E697">
        <v>29449</v>
      </c>
      <c r="F697">
        <v>254</v>
      </c>
      <c r="G697">
        <f t="shared" si="10"/>
        <v>2692887</v>
      </c>
    </row>
    <row r="698" spans="1:7" x14ac:dyDescent="0.25">
      <c r="A698">
        <v>2696156</v>
      </c>
      <c r="B698" t="s">
        <v>24183</v>
      </c>
      <c r="C698">
        <v>541</v>
      </c>
      <c r="D698">
        <v>1</v>
      </c>
      <c r="E698">
        <v>6398</v>
      </c>
      <c r="F698">
        <v>2189</v>
      </c>
      <c r="G698">
        <f t="shared" si="10"/>
        <v>2696156</v>
      </c>
    </row>
    <row r="699" spans="1:7" x14ac:dyDescent="0.25">
      <c r="A699">
        <v>2708826</v>
      </c>
      <c r="B699" t="s">
        <v>24184</v>
      </c>
      <c r="C699">
        <v>259</v>
      </c>
      <c r="D699">
        <v>3</v>
      </c>
      <c r="E699">
        <v>17703</v>
      </c>
      <c r="F699">
        <v>776</v>
      </c>
      <c r="G699">
        <f t="shared" si="10"/>
        <v>2708826</v>
      </c>
    </row>
    <row r="700" spans="1:7" x14ac:dyDescent="0.25">
      <c r="A700">
        <v>2709160</v>
      </c>
      <c r="B700" t="s">
        <v>36041</v>
      </c>
      <c r="C700">
        <v>179</v>
      </c>
      <c r="D700">
        <v>4</v>
      </c>
      <c r="E700">
        <v>16590</v>
      </c>
      <c r="F700">
        <v>862</v>
      </c>
      <c r="G700">
        <f t="shared" si="10"/>
        <v>2709160</v>
      </c>
    </row>
    <row r="701" spans="1:7" x14ac:dyDescent="0.25">
      <c r="A701">
        <v>2710916</v>
      </c>
      <c r="B701" t="s">
        <v>36042</v>
      </c>
      <c r="C701">
        <v>896</v>
      </c>
      <c r="D701">
        <v>3</v>
      </c>
      <c r="E701">
        <v>12564</v>
      </c>
      <c r="F701">
        <v>1220</v>
      </c>
      <c r="G701">
        <f t="shared" si="10"/>
        <v>2710916</v>
      </c>
    </row>
    <row r="702" spans="1:7" x14ac:dyDescent="0.25">
      <c r="A702">
        <v>2717311</v>
      </c>
      <c r="B702" t="s">
        <v>24185</v>
      </c>
      <c r="C702">
        <v>638</v>
      </c>
      <c r="D702">
        <v>0</v>
      </c>
      <c r="E702">
        <v>0</v>
      </c>
      <c r="F702">
        <v>7065</v>
      </c>
      <c r="G702">
        <f t="shared" si="10"/>
        <v>2717311</v>
      </c>
    </row>
    <row r="703" spans="1:7" x14ac:dyDescent="0.25">
      <c r="A703">
        <v>2722276</v>
      </c>
      <c r="B703" t="s">
        <v>37252</v>
      </c>
      <c r="C703">
        <v>419</v>
      </c>
      <c r="D703">
        <v>3</v>
      </c>
      <c r="E703">
        <v>11179</v>
      </c>
      <c r="F703">
        <v>1398</v>
      </c>
      <c r="G703">
        <f t="shared" si="10"/>
        <v>2722276</v>
      </c>
    </row>
    <row r="704" spans="1:7" x14ac:dyDescent="0.25">
      <c r="A704">
        <v>2723579</v>
      </c>
      <c r="B704" t="s">
        <v>24186</v>
      </c>
      <c r="C704">
        <v>412</v>
      </c>
      <c r="D704">
        <v>2</v>
      </c>
      <c r="E704">
        <v>6606</v>
      </c>
      <c r="F704">
        <v>2137</v>
      </c>
      <c r="G704">
        <f t="shared" si="10"/>
        <v>2723579</v>
      </c>
    </row>
    <row r="705" spans="1:7" x14ac:dyDescent="0.25">
      <c r="A705">
        <v>2726958</v>
      </c>
      <c r="B705" t="s">
        <v>24187</v>
      </c>
      <c r="C705">
        <v>199</v>
      </c>
      <c r="D705">
        <v>2</v>
      </c>
      <c r="E705">
        <v>8709</v>
      </c>
      <c r="F705">
        <v>1769</v>
      </c>
      <c r="G705">
        <f t="shared" ref="G705:G768" si="11">A705</f>
        <v>2726958</v>
      </c>
    </row>
    <row r="706" spans="1:7" x14ac:dyDescent="0.25">
      <c r="A706">
        <v>2727215</v>
      </c>
      <c r="B706" t="s">
        <v>24188</v>
      </c>
      <c r="C706">
        <v>2021</v>
      </c>
      <c r="D706">
        <v>1</v>
      </c>
      <c r="E706">
        <v>3604</v>
      </c>
      <c r="F706">
        <v>2851</v>
      </c>
      <c r="G706">
        <f t="shared" si="11"/>
        <v>2727215</v>
      </c>
    </row>
    <row r="707" spans="1:7" x14ac:dyDescent="0.25">
      <c r="A707">
        <v>2728918</v>
      </c>
      <c r="B707" t="s">
        <v>24189</v>
      </c>
      <c r="C707">
        <v>1858</v>
      </c>
      <c r="D707">
        <v>1</v>
      </c>
      <c r="E707">
        <v>707</v>
      </c>
      <c r="F707">
        <v>4331</v>
      </c>
      <c r="G707">
        <f t="shared" si="11"/>
        <v>2728918</v>
      </c>
    </row>
    <row r="708" spans="1:7" x14ac:dyDescent="0.25">
      <c r="A708">
        <v>2729821</v>
      </c>
      <c r="B708" t="s">
        <v>24190</v>
      </c>
      <c r="C708">
        <v>301</v>
      </c>
      <c r="D708">
        <v>0</v>
      </c>
      <c r="E708">
        <v>0</v>
      </c>
      <c r="F708">
        <v>7066</v>
      </c>
      <c r="G708">
        <f t="shared" si="11"/>
        <v>2729821</v>
      </c>
    </row>
    <row r="709" spans="1:7" x14ac:dyDescent="0.25">
      <c r="A709">
        <v>2738358</v>
      </c>
      <c r="B709" t="s">
        <v>24191</v>
      </c>
      <c r="C709">
        <v>96</v>
      </c>
      <c r="D709">
        <v>1</v>
      </c>
      <c r="E709">
        <v>3613</v>
      </c>
      <c r="F709">
        <v>2847</v>
      </c>
      <c r="G709">
        <f t="shared" si="11"/>
        <v>2738358</v>
      </c>
    </row>
    <row r="710" spans="1:7" x14ac:dyDescent="0.25">
      <c r="A710">
        <v>2740401</v>
      </c>
      <c r="B710" t="s">
        <v>24192</v>
      </c>
      <c r="C710">
        <v>74</v>
      </c>
      <c r="D710">
        <v>1</v>
      </c>
      <c r="E710">
        <v>1706</v>
      </c>
      <c r="F710">
        <v>3494</v>
      </c>
      <c r="G710">
        <f t="shared" si="11"/>
        <v>2740401</v>
      </c>
    </row>
    <row r="711" spans="1:7" x14ac:dyDescent="0.25">
      <c r="A711">
        <v>2740929</v>
      </c>
      <c r="B711" t="s">
        <v>24193</v>
      </c>
      <c r="C711">
        <v>138</v>
      </c>
      <c r="D711">
        <v>3</v>
      </c>
      <c r="E711">
        <v>14631</v>
      </c>
      <c r="F711">
        <v>1015</v>
      </c>
      <c r="G711">
        <f t="shared" si="11"/>
        <v>2740929</v>
      </c>
    </row>
    <row r="712" spans="1:7" x14ac:dyDescent="0.25">
      <c r="A712">
        <v>2747441</v>
      </c>
      <c r="B712" t="s">
        <v>24194</v>
      </c>
      <c r="C712">
        <v>0</v>
      </c>
      <c r="D712">
        <v>1</v>
      </c>
      <c r="E712">
        <v>2545</v>
      </c>
      <c r="F712">
        <v>3122</v>
      </c>
      <c r="G712">
        <f t="shared" si="11"/>
        <v>2747441</v>
      </c>
    </row>
    <row r="713" spans="1:7" x14ac:dyDescent="0.25">
      <c r="A713">
        <v>2748559</v>
      </c>
      <c r="B713" t="s">
        <v>24195</v>
      </c>
      <c r="C713">
        <v>284</v>
      </c>
      <c r="D713">
        <v>0</v>
      </c>
      <c r="E713">
        <v>0</v>
      </c>
      <c r="F713">
        <v>7067</v>
      </c>
      <c r="G713">
        <f t="shared" si="11"/>
        <v>2748559</v>
      </c>
    </row>
    <row r="714" spans="1:7" x14ac:dyDescent="0.25">
      <c r="A714">
        <v>2750404</v>
      </c>
      <c r="B714" t="s">
        <v>24196</v>
      </c>
      <c r="C714">
        <v>0</v>
      </c>
      <c r="D714">
        <v>1</v>
      </c>
      <c r="E714">
        <v>38</v>
      </c>
      <c r="F714">
        <v>6264</v>
      </c>
      <c r="G714">
        <f t="shared" si="11"/>
        <v>2750404</v>
      </c>
    </row>
    <row r="715" spans="1:7" x14ac:dyDescent="0.25">
      <c r="A715">
        <v>2756224</v>
      </c>
      <c r="B715" t="s">
        <v>36043</v>
      </c>
      <c r="C715">
        <v>0</v>
      </c>
      <c r="D715">
        <v>0</v>
      </c>
      <c r="E715">
        <v>0</v>
      </c>
      <c r="F715">
        <v>7068</v>
      </c>
      <c r="G715">
        <f t="shared" si="11"/>
        <v>2756224</v>
      </c>
    </row>
    <row r="716" spans="1:7" x14ac:dyDescent="0.25">
      <c r="A716">
        <v>2757221</v>
      </c>
      <c r="B716" t="s">
        <v>24197</v>
      </c>
      <c r="C716">
        <v>10</v>
      </c>
      <c r="D716">
        <v>1</v>
      </c>
      <c r="E716">
        <v>352</v>
      </c>
      <c r="F716">
        <v>4975</v>
      </c>
      <c r="G716">
        <f t="shared" si="11"/>
        <v>2757221</v>
      </c>
    </row>
    <row r="717" spans="1:7" x14ac:dyDescent="0.25">
      <c r="A717">
        <v>2760238</v>
      </c>
      <c r="B717" t="s">
        <v>24198</v>
      </c>
      <c r="C717">
        <v>541</v>
      </c>
      <c r="D717">
        <v>3</v>
      </c>
      <c r="E717">
        <v>8794</v>
      </c>
      <c r="F717">
        <v>1755</v>
      </c>
      <c r="G717">
        <f t="shared" si="11"/>
        <v>2760238</v>
      </c>
    </row>
    <row r="718" spans="1:7" x14ac:dyDescent="0.25">
      <c r="A718">
        <v>2779332</v>
      </c>
      <c r="B718" t="s">
        <v>37032</v>
      </c>
      <c r="C718">
        <v>1357</v>
      </c>
      <c r="D718">
        <v>1</v>
      </c>
      <c r="E718">
        <v>248</v>
      </c>
      <c r="F718">
        <v>5313</v>
      </c>
      <c r="G718">
        <f t="shared" si="11"/>
        <v>2779332</v>
      </c>
    </row>
    <row r="719" spans="1:7" x14ac:dyDescent="0.25">
      <c r="A719">
        <v>2781474</v>
      </c>
      <c r="B719" t="s">
        <v>24199</v>
      </c>
      <c r="C719">
        <v>1362</v>
      </c>
      <c r="D719">
        <v>1</v>
      </c>
      <c r="E719">
        <v>752</v>
      </c>
      <c r="F719">
        <v>4268</v>
      </c>
      <c r="G719">
        <f t="shared" si="11"/>
        <v>2781474</v>
      </c>
    </row>
    <row r="720" spans="1:7" x14ac:dyDescent="0.25">
      <c r="A720">
        <v>2783153</v>
      </c>
      <c r="B720" t="s">
        <v>24200</v>
      </c>
      <c r="C720">
        <v>55</v>
      </c>
      <c r="D720">
        <v>1</v>
      </c>
      <c r="E720">
        <v>643</v>
      </c>
      <c r="F720">
        <v>4419</v>
      </c>
      <c r="G720">
        <f t="shared" si="11"/>
        <v>2783153</v>
      </c>
    </row>
    <row r="721" spans="1:7" x14ac:dyDescent="0.25">
      <c r="A721">
        <v>2787421</v>
      </c>
      <c r="B721" t="s">
        <v>24201</v>
      </c>
      <c r="C721">
        <v>250</v>
      </c>
      <c r="D721">
        <v>1</v>
      </c>
      <c r="E721">
        <v>2492</v>
      </c>
      <c r="F721">
        <v>3137</v>
      </c>
      <c r="G721">
        <f t="shared" si="11"/>
        <v>2787421</v>
      </c>
    </row>
    <row r="722" spans="1:7" x14ac:dyDescent="0.25">
      <c r="A722">
        <v>2788871</v>
      </c>
      <c r="B722" t="s">
        <v>24202</v>
      </c>
      <c r="C722">
        <v>680</v>
      </c>
      <c r="D722">
        <v>3</v>
      </c>
      <c r="E722">
        <v>18044</v>
      </c>
      <c r="F722">
        <v>751</v>
      </c>
      <c r="G722">
        <f t="shared" si="11"/>
        <v>2788871</v>
      </c>
    </row>
    <row r="723" spans="1:7" x14ac:dyDescent="0.25">
      <c r="A723">
        <v>2792882</v>
      </c>
      <c r="B723" t="s">
        <v>36044</v>
      </c>
      <c r="C723">
        <v>1357</v>
      </c>
      <c r="D723">
        <v>1</v>
      </c>
      <c r="E723">
        <v>1070</v>
      </c>
      <c r="F723">
        <v>3900</v>
      </c>
      <c r="G723">
        <f t="shared" si="11"/>
        <v>2792882</v>
      </c>
    </row>
    <row r="724" spans="1:7" x14ac:dyDescent="0.25">
      <c r="A724">
        <v>2795452</v>
      </c>
      <c r="B724" t="s">
        <v>24203</v>
      </c>
      <c r="C724">
        <v>810</v>
      </c>
      <c r="D724">
        <v>0</v>
      </c>
      <c r="E724">
        <v>0</v>
      </c>
      <c r="F724">
        <v>7069</v>
      </c>
      <c r="G724">
        <f t="shared" si="11"/>
        <v>2795452</v>
      </c>
    </row>
    <row r="725" spans="1:7" x14ac:dyDescent="0.25">
      <c r="A725">
        <v>2798016</v>
      </c>
      <c r="B725" t="s">
        <v>24204</v>
      </c>
      <c r="C725">
        <v>1708</v>
      </c>
      <c r="D725">
        <v>1</v>
      </c>
      <c r="E725">
        <v>1467</v>
      </c>
      <c r="F725">
        <v>3617</v>
      </c>
      <c r="G725">
        <f t="shared" si="11"/>
        <v>2798016</v>
      </c>
    </row>
    <row r="726" spans="1:7" x14ac:dyDescent="0.25">
      <c r="A726">
        <v>2803106</v>
      </c>
      <c r="B726" t="s">
        <v>24205</v>
      </c>
      <c r="C726">
        <v>1930</v>
      </c>
      <c r="D726">
        <v>0</v>
      </c>
      <c r="E726">
        <v>0</v>
      </c>
      <c r="F726">
        <v>7070</v>
      </c>
      <c r="G726">
        <f t="shared" si="11"/>
        <v>2803106</v>
      </c>
    </row>
    <row r="727" spans="1:7" x14ac:dyDescent="0.25">
      <c r="A727">
        <v>2807345</v>
      </c>
      <c r="B727" t="s">
        <v>24206</v>
      </c>
      <c r="C727">
        <v>27</v>
      </c>
      <c r="D727">
        <v>2</v>
      </c>
      <c r="E727">
        <v>8755</v>
      </c>
      <c r="F727">
        <v>1759</v>
      </c>
      <c r="G727">
        <f t="shared" si="11"/>
        <v>2807345</v>
      </c>
    </row>
    <row r="728" spans="1:7" x14ac:dyDescent="0.25">
      <c r="A728">
        <v>2811774</v>
      </c>
      <c r="B728" t="s">
        <v>37033</v>
      </c>
      <c r="C728">
        <v>0</v>
      </c>
      <c r="D728">
        <v>1</v>
      </c>
      <c r="E728">
        <v>275</v>
      </c>
      <c r="F728">
        <v>5202</v>
      </c>
      <c r="G728">
        <f t="shared" si="11"/>
        <v>2811774</v>
      </c>
    </row>
    <row r="729" spans="1:7" x14ac:dyDescent="0.25">
      <c r="A729">
        <v>2815069</v>
      </c>
      <c r="B729" t="s">
        <v>24207</v>
      </c>
      <c r="C729">
        <v>0</v>
      </c>
      <c r="D729">
        <v>0</v>
      </c>
      <c r="E729">
        <v>0</v>
      </c>
      <c r="F729">
        <v>7071</v>
      </c>
      <c r="G729">
        <f t="shared" si="11"/>
        <v>2815069</v>
      </c>
    </row>
    <row r="730" spans="1:7" x14ac:dyDescent="0.25">
      <c r="A730">
        <v>2815150</v>
      </c>
      <c r="B730" t="s">
        <v>24208</v>
      </c>
      <c r="C730">
        <v>0</v>
      </c>
      <c r="D730">
        <v>1</v>
      </c>
      <c r="E730">
        <v>1490</v>
      </c>
      <c r="F730">
        <v>3602</v>
      </c>
      <c r="G730">
        <f t="shared" si="11"/>
        <v>2815150</v>
      </c>
    </row>
    <row r="731" spans="1:7" x14ac:dyDescent="0.25">
      <c r="A731">
        <v>2816098</v>
      </c>
      <c r="B731" t="s">
        <v>36045</v>
      </c>
      <c r="C731">
        <v>1609</v>
      </c>
      <c r="D731">
        <v>6</v>
      </c>
      <c r="E731">
        <v>28024</v>
      </c>
      <c r="F731">
        <v>295</v>
      </c>
      <c r="G731">
        <f t="shared" si="11"/>
        <v>2816098</v>
      </c>
    </row>
    <row r="732" spans="1:7" x14ac:dyDescent="0.25">
      <c r="A732">
        <v>2818577</v>
      </c>
      <c r="B732" t="s">
        <v>24209</v>
      </c>
      <c r="C732">
        <v>0</v>
      </c>
      <c r="D732">
        <v>1</v>
      </c>
      <c r="E732">
        <v>160</v>
      </c>
      <c r="F732">
        <v>5660</v>
      </c>
      <c r="G732">
        <f t="shared" si="11"/>
        <v>2818577</v>
      </c>
    </row>
    <row r="733" spans="1:7" x14ac:dyDescent="0.25">
      <c r="A733">
        <v>2826656</v>
      </c>
      <c r="B733" t="s">
        <v>24210</v>
      </c>
      <c r="C733">
        <v>0</v>
      </c>
      <c r="D733">
        <v>1</v>
      </c>
      <c r="E733">
        <v>160</v>
      </c>
      <c r="F733">
        <v>5661</v>
      </c>
      <c r="G733">
        <f t="shared" si="11"/>
        <v>2826656</v>
      </c>
    </row>
    <row r="734" spans="1:7" x14ac:dyDescent="0.25">
      <c r="A734">
        <v>2828023</v>
      </c>
      <c r="B734" t="s">
        <v>24211</v>
      </c>
      <c r="C734">
        <v>1699</v>
      </c>
      <c r="D734">
        <v>1</v>
      </c>
      <c r="E734">
        <v>6930</v>
      </c>
      <c r="F734">
        <v>2075</v>
      </c>
      <c r="G734">
        <f t="shared" si="11"/>
        <v>2828023</v>
      </c>
    </row>
    <row r="735" spans="1:7" x14ac:dyDescent="0.25">
      <c r="A735">
        <v>2834318</v>
      </c>
      <c r="B735" t="s">
        <v>24212</v>
      </c>
      <c r="C735">
        <v>0</v>
      </c>
      <c r="D735">
        <v>1</v>
      </c>
      <c r="E735">
        <v>26</v>
      </c>
      <c r="F735">
        <v>6382</v>
      </c>
      <c r="G735">
        <f t="shared" si="11"/>
        <v>2834318</v>
      </c>
    </row>
    <row r="736" spans="1:7" x14ac:dyDescent="0.25">
      <c r="A736">
        <v>2835790</v>
      </c>
      <c r="B736" t="s">
        <v>24213</v>
      </c>
      <c r="C736">
        <v>0</v>
      </c>
      <c r="D736">
        <v>1</v>
      </c>
      <c r="E736">
        <v>1401</v>
      </c>
      <c r="F736">
        <v>3656</v>
      </c>
      <c r="G736">
        <f t="shared" si="11"/>
        <v>2835790</v>
      </c>
    </row>
    <row r="737" spans="1:7" x14ac:dyDescent="0.25">
      <c r="A737">
        <v>2843088</v>
      </c>
      <c r="B737" t="s">
        <v>36046</v>
      </c>
      <c r="C737">
        <v>0</v>
      </c>
      <c r="D737">
        <v>1</v>
      </c>
      <c r="E737">
        <v>26</v>
      </c>
      <c r="F737">
        <v>6383</v>
      </c>
      <c r="G737">
        <f t="shared" si="11"/>
        <v>2843088</v>
      </c>
    </row>
    <row r="738" spans="1:7" x14ac:dyDescent="0.25">
      <c r="A738">
        <v>2855030</v>
      </c>
      <c r="B738" t="s">
        <v>24214</v>
      </c>
      <c r="C738">
        <v>0</v>
      </c>
      <c r="D738">
        <v>1</v>
      </c>
      <c r="E738">
        <v>2086</v>
      </c>
      <c r="F738">
        <v>3317</v>
      </c>
      <c r="G738">
        <f t="shared" si="11"/>
        <v>2855030</v>
      </c>
    </row>
    <row r="739" spans="1:7" x14ac:dyDescent="0.25">
      <c r="A739">
        <v>2856268</v>
      </c>
      <c r="B739" t="s">
        <v>24215</v>
      </c>
      <c r="C739">
        <v>680</v>
      </c>
      <c r="D739">
        <v>2</v>
      </c>
      <c r="E739">
        <v>8469</v>
      </c>
      <c r="F739">
        <v>1802</v>
      </c>
      <c r="G739">
        <f t="shared" si="11"/>
        <v>2856268</v>
      </c>
    </row>
    <row r="740" spans="1:7" x14ac:dyDescent="0.25">
      <c r="A740">
        <v>2857572</v>
      </c>
      <c r="B740" t="s">
        <v>24216</v>
      </c>
      <c r="C740">
        <v>25</v>
      </c>
      <c r="D740">
        <v>2</v>
      </c>
      <c r="E740">
        <v>10158</v>
      </c>
      <c r="F740">
        <v>1541</v>
      </c>
      <c r="G740">
        <f t="shared" si="11"/>
        <v>2857572</v>
      </c>
    </row>
    <row r="741" spans="1:7" x14ac:dyDescent="0.25">
      <c r="A741">
        <v>2859798</v>
      </c>
      <c r="B741" t="s">
        <v>24217</v>
      </c>
      <c r="C741">
        <v>0</v>
      </c>
      <c r="D741">
        <v>1</v>
      </c>
      <c r="E741">
        <v>1015</v>
      </c>
      <c r="F741">
        <v>3968</v>
      </c>
      <c r="G741">
        <f t="shared" si="11"/>
        <v>2859798</v>
      </c>
    </row>
    <row r="742" spans="1:7" x14ac:dyDescent="0.25">
      <c r="A742">
        <v>2859975</v>
      </c>
      <c r="B742" t="s">
        <v>24218</v>
      </c>
      <c r="C742">
        <v>62</v>
      </c>
      <c r="D742">
        <v>1</v>
      </c>
      <c r="E742">
        <v>2753</v>
      </c>
      <c r="F742">
        <v>3069</v>
      </c>
      <c r="G742">
        <f t="shared" si="11"/>
        <v>2859975</v>
      </c>
    </row>
    <row r="743" spans="1:7" x14ac:dyDescent="0.25">
      <c r="A743">
        <v>2861117</v>
      </c>
      <c r="B743" t="s">
        <v>24219</v>
      </c>
      <c r="C743">
        <v>25</v>
      </c>
      <c r="D743">
        <v>3</v>
      </c>
      <c r="E743">
        <v>9283</v>
      </c>
      <c r="F743">
        <v>1678</v>
      </c>
      <c r="G743">
        <f t="shared" si="11"/>
        <v>2861117</v>
      </c>
    </row>
    <row r="744" spans="1:7" x14ac:dyDescent="0.25">
      <c r="A744">
        <v>2864632</v>
      </c>
      <c r="B744" t="s">
        <v>24220</v>
      </c>
      <c r="C744">
        <v>1743</v>
      </c>
      <c r="D744">
        <v>1</v>
      </c>
      <c r="E744">
        <v>624</v>
      </c>
      <c r="F744">
        <v>4444</v>
      </c>
      <c r="G744">
        <f t="shared" si="11"/>
        <v>2864632</v>
      </c>
    </row>
    <row r="745" spans="1:7" x14ac:dyDescent="0.25">
      <c r="A745">
        <v>2865628</v>
      </c>
      <c r="B745" t="s">
        <v>24221</v>
      </c>
      <c r="C745">
        <v>1643</v>
      </c>
      <c r="D745">
        <v>1</v>
      </c>
      <c r="E745">
        <v>1387</v>
      </c>
      <c r="F745">
        <v>3665</v>
      </c>
      <c r="G745">
        <f t="shared" si="11"/>
        <v>2865628</v>
      </c>
    </row>
    <row r="746" spans="1:7" x14ac:dyDescent="0.25">
      <c r="A746">
        <v>2870142</v>
      </c>
      <c r="B746" t="s">
        <v>24222</v>
      </c>
      <c r="C746">
        <v>1633</v>
      </c>
      <c r="D746">
        <v>1</v>
      </c>
      <c r="E746">
        <v>1856</v>
      </c>
      <c r="F746">
        <v>3414</v>
      </c>
      <c r="G746">
        <f t="shared" si="11"/>
        <v>2870142</v>
      </c>
    </row>
    <row r="747" spans="1:7" x14ac:dyDescent="0.25">
      <c r="A747">
        <v>2870253</v>
      </c>
      <c r="B747" t="s">
        <v>36047</v>
      </c>
      <c r="C747">
        <v>1974</v>
      </c>
      <c r="D747">
        <v>1</v>
      </c>
      <c r="E747">
        <v>400</v>
      </c>
      <c r="F747">
        <v>4846</v>
      </c>
      <c r="G747">
        <f t="shared" si="11"/>
        <v>2870253</v>
      </c>
    </row>
    <row r="748" spans="1:7" x14ac:dyDescent="0.25">
      <c r="A748">
        <v>2872092</v>
      </c>
      <c r="B748" t="s">
        <v>24223</v>
      </c>
      <c r="C748">
        <v>0</v>
      </c>
      <c r="D748">
        <v>1</v>
      </c>
      <c r="E748">
        <v>26</v>
      </c>
      <c r="F748">
        <v>6384</v>
      </c>
      <c r="G748">
        <f t="shared" si="11"/>
        <v>2872092</v>
      </c>
    </row>
    <row r="749" spans="1:7" x14ac:dyDescent="0.25">
      <c r="A749">
        <v>2873882</v>
      </c>
      <c r="B749" t="s">
        <v>24224</v>
      </c>
      <c r="C749">
        <v>842</v>
      </c>
      <c r="D749">
        <v>1</v>
      </c>
      <c r="E749">
        <v>610</v>
      </c>
      <c r="F749">
        <v>4458</v>
      </c>
      <c r="G749">
        <f t="shared" si="11"/>
        <v>2873882</v>
      </c>
    </row>
    <row r="750" spans="1:7" x14ac:dyDescent="0.25">
      <c r="A750">
        <v>2874877</v>
      </c>
      <c r="B750" t="s">
        <v>24225</v>
      </c>
      <c r="C750">
        <v>617</v>
      </c>
      <c r="D750">
        <v>4</v>
      </c>
      <c r="E750">
        <v>24162</v>
      </c>
      <c r="F750">
        <v>433</v>
      </c>
      <c r="G750">
        <f t="shared" si="11"/>
        <v>2874877</v>
      </c>
    </row>
    <row r="751" spans="1:7" x14ac:dyDescent="0.25">
      <c r="A751">
        <v>2884072</v>
      </c>
      <c r="B751" t="s">
        <v>24226</v>
      </c>
      <c r="C751">
        <v>160</v>
      </c>
      <c r="D751">
        <v>2</v>
      </c>
      <c r="E751">
        <v>6594</v>
      </c>
      <c r="F751">
        <v>2141</v>
      </c>
      <c r="G751">
        <f t="shared" si="11"/>
        <v>2884072</v>
      </c>
    </row>
    <row r="752" spans="1:7" x14ac:dyDescent="0.25">
      <c r="A752">
        <v>2884541</v>
      </c>
      <c r="B752" t="s">
        <v>36048</v>
      </c>
      <c r="C752">
        <v>1643</v>
      </c>
      <c r="D752">
        <v>1</v>
      </c>
      <c r="E752">
        <v>1011</v>
      </c>
      <c r="F752">
        <v>3980</v>
      </c>
      <c r="G752">
        <f t="shared" si="11"/>
        <v>2884541</v>
      </c>
    </row>
    <row r="753" spans="1:7" x14ac:dyDescent="0.25">
      <c r="A753">
        <v>2886130</v>
      </c>
      <c r="B753" t="s">
        <v>24227</v>
      </c>
      <c r="C753">
        <v>1785</v>
      </c>
      <c r="D753">
        <v>1</v>
      </c>
      <c r="E753">
        <v>1822</v>
      </c>
      <c r="F753">
        <v>3434</v>
      </c>
      <c r="G753">
        <f t="shared" si="11"/>
        <v>2886130</v>
      </c>
    </row>
    <row r="754" spans="1:7" x14ac:dyDescent="0.25">
      <c r="A754">
        <v>2887937</v>
      </c>
      <c r="B754" t="s">
        <v>36049</v>
      </c>
      <c r="C754">
        <v>347</v>
      </c>
      <c r="D754">
        <v>1</v>
      </c>
      <c r="E754">
        <v>638</v>
      </c>
      <c r="F754">
        <v>4422</v>
      </c>
      <c r="G754">
        <f t="shared" si="11"/>
        <v>2887937</v>
      </c>
    </row>
    <row r="755" spans="1:7" x14ac:dyDescent="0.25">
      <c r="A755">
        <v>2890445</v>
      </c>
      <c r="B755" t="s">
        <v>24228</v>
      </c>
      <c r="C755">
        <v>1913</v>
      </c>
      <c r="D755">
        <v>1</v>
      </c>
      <c r="E755">
        <v>1381</v>
      </c>
      <c r="F755">
        <v>3673</v>
      </c>
      <c r="G755">
        <f t="shared" si="11"/>
        <v>2890445</v>
      </c>
    </row>
    <row r="756" spans="1:7" x14ac:dyDescent="0.25">
      <c r="A756">
        <v>2890598</v>
      </c>
      <c r="B756" t="s">
        <v>24229</v>
      </c>
      <c r="C756">
        <v>0</v>
      </c>
      <c r="D756">
        <v>1</v>
      </c>
      <c r="E756">
        <v>412</v>
      </c>
      <c r="F756">
        <v>4823</v>
      </c>
      <c r="G756">
        <f t="shared" si="11"/>
        <v>2890598</v>
      </c>
    </row>
    <row r="757" spans="1:7" x14ac:dyDescent="0.25">
      <c r="A757">
        <v>2893048</v>
      </c>
      <c r="B757" t="s">
        <v>24230</v>
      </c>
      <c r="C757">
        <v>294</v>
      </c>
      <c r="D757">
        <v>2</v>
      </c>
      <c r="E757">
        <v>10840</v>
      </c>
      <c r="F757">
        <v>1441</v>
      </c>
      <c r="G757">
        <f t="shared" si="11"/>
        <v>2893048</v>
      </c>
    </row>
    <row r="758" spans="1:7" x14ac:dyDescent="0.25">
      <c r="A758">
        <v>2909171</v>
      </c>
      <c r="B758" t="s">
        <v>24231</v>
      </c>
      <c r="C758">
        <v>0</v>
      </c>
      <c r="D758">
        <v>0</v>
      </c>
      <c r="E758">
        <v>0</v>
      </c>
      <c r="F758">
        <v>7072</v>
      </c>
      <c r="G758">
        <f t="shared" si="11"/>
        <v>2909171</v>
      </c>
    </row>
    <row r="759" spans="1:7" x14ac:dyDescent="0.25">
      <c r="A759">
        <v>2910580</v>
      </c>
      <c r="B759" t="s">
        <v>24232</v>
      </c>
      <c r="C759">
        <v>6</v>
      </c>
      <c r="D759">
        <v>4</v>
      </c>
      <c r="E759">
        <v>21298</v>
      </c>
      <c r="F759">
        <v>563</v>
      </c>
      <c r="G759">
        <f t="shared" si="11"/>
        <v>2910580</v>
      </c>
    </row>
    <row r="760" spans="1:7" x14ac:dyDescent="0.25">
      <c r="A760">
        <v>2917196</v>
      </c>
      <c r="B760" t="s">
        <v>24233</v>
      </c>
      <c r="C760">
        <v>480</v>
      </c>
      <c r="D760">
        <v>4</v>
      </c>
      <c r="E760">
        <v>21473</v>
      </c>
      <c r="F760">
        <v>551</v>
      </c>
      <c r="G760">
        <f t="shared" si="11"/>
        <v>2917196</v>
      </c>
    </row>
    <row r="761" spans="1:7" x14ac:dyDescent="0.25">
      <c r="A761">
        <v>2918209</v>
      </c>
      <c r="B761" t="s">
        <v>24234</v>
      </c>
      <c r="C761">
        <v>617</v>
      </c>
      <c r="D761">
        <v>5</v>
      </c>
      <c r="E761">
        <v>23826</v>
      </c>
      <c r="F761">
        <v>451</v>
      </c>
      <c r="G761">
        <f t="shared" si="11"/>
        <v>2918209</v>
      </c>
    </row>
    <row r="762" spans="1:7" x14ac:dyDescent="0.25">
      <c r="A762">
        <v>2920276</v>
      </c>
      <c r="B762" t="s">
        <v>24235</v>
      </c>
      <c r="C762">
        <v>235</v>
      </c>
      <c r="D762">
        <v>1</v>
      </c>
      <c r="E762">
        <v>3604</v>
      </c>
      <c r="F762">
        <v>2852</v>
      </c>
      <c r="G762">
        <f t="shared" si="11"/>
        <v>2920276</v>
      </c>
    </row>
    <row r="763" spans="1:7" x14ac:dyDescent="0.25">
      <c r="A763">
        <v>2924156</v>
      </c>
      <c r="B763" t="s">
        <v>24236</v>
      </c>
      <c r="C763">
        <v>0</v>
      </c>
      <c r="D763">
        <v>1</v>
      </c>
      <c r="E763">
        <v>26</v>
      </c>
      <c r="F763">
        <v>6385</v>
      </c>
      <c r="G763">
        <f t="shared" si="11"/>
        <v>2924156</v>
      </c>
    </row>
    <row r="764" spans="1:7" x14ac:dyDescent="0.25">
      <c r="A764">
        <v>2924540</v>
      </c>
      <c r="B764" t="s">
        <v>24237</v>
      </c>
      <c r="C764">
        <v>0</v>
      </c>
      <c r="D764">
        <v>1</v>
      </c>
      <c r="E764">
        <v>26</v>
      </c>
      <c r="F764">
        <v>6386</v>
      </c>
      <c r="G764">
        <f t="shared" si="11"/>
        <v>2924540</v>
      </c>
    </row>
    <row r="765" spans="1:7" x14ac:dyDescent="0.25">
      <c r="A765">
        <v>2925704</v>
      </c>
      <c r="B765" t="s">
        <v>24238</v>
      </c>
      <c r="C765">
        <v>537</v>
      </c>
      <c r="D765">
        <v>1</v>
      </c>
      <c r="E765">
        <v>1853</v>
      </c>
      <c r="F765">
        <v>3452</v>
      </c>
      <c r="G765">
        <f t="shared" si="11"/>
        <v>2925704</v>
      </c>
    </row>
    <row r="766" spans="1:7" x14ac:dyDescent="0.25">
      <c r="A766">
        <v>2926532</v>
      </c>
      <c r="B766" t="s">
        <v>24239</v>
      </c>
      <c r="C766">
        <v>960</v>
      </c>
      <c r="D766">
        <v>1</v>
      </c>
      <c r="E766">
        <v>6959</v>
      </c>
      <c r="F766">
        <v>2069</v>
      </c>
      <c r="G766">
        <f t="shared" si="11"/>
        <v>2926532</v>
      </c>
    </row>
    <row r="767" spans="1:7" x14ac:dyDescent="0.25">
      <c r="A767">
        <v>2927517</v>
      </c>
      <c r="B767" t="s">
        <v>24240</v>
      </c>
      <c r="C767">
        <v>320</v>
      </c>
      <c r="D767">
        <v>1</v>
      </c>
      <c r="E767">
        <v>380</v>
      </c>
      <c r="F767">
        <v>4902</v>
      </c>
      <c r="G767">
        <f t="shared" si="11"/>
        <v>2927517</v>
      </c>
    </row>
    <row r="768" spans="1:7" x14ac:dyDescent="0.25">
      <c r="A768">
        <v>2931339</v>
      </c>
      <c r="B768" t="s">
        <v>36050</v>
      </c>
      <c r="C768">
        <v>0</v>
      </c>
      <c r="D768">
        <v>1</v>
      </c>
      <c r="E768">
        <v>2010</v>
      </c>
      <c r="F768">
        <v>3369</v>
      </c>
      <c r="G768">
        <f t="shared" si="11"/>
        <v>2931339</v>
      </c>
    </row>
    <row r="769" spans="1:7" x14ac:dyDescent="0.25">
      <c r="A769">
        <v>2933285</v>
      </c>
      <c r="B769" t="s">
        <v>24241</v>
      </c>
      <c r="C769">
        <v>431</v>
      </c>
      <c r="D769">
        <v>1</v>
      </c>
      <c r="E769">
        <v>4153</v>
      </c>
      <c r="F769">
        <v>2730</v>
      </c>
      <c r="G769">
        <f t="shared" ref="G769:G832" si="12">A769</f>
        <v>2933285</v>
      </c>
    </row>
    <row r="770" spans="1:7" x14ac:dyDescent="0.25">
      <c r="A770">
        <v>2938058</v>
      </c>
      <c r="B770" t="s">
        <v>24242</v>
      </c>
      <c r="C770">
        <v>0</v>
      </c>
      <c r="D770">
        <v>1</v>
      </c>
      <c r="E770">
        <v>267</v>
      </c>
      <c r="F770">
        <v>5234</v>
      </c>
      <c r="G770">
        <f t="shared" si="12"/>
        <v>2938058</v>
      </c>
    </row>
    <row r="771" spans="1:7" x14ac:dyDescent="0.25">
      <c r="A771">
        <v>2946190</v>
      </c>
      <c r="B771" t="s">
        <v>24243</v>
      </c>
      <c r="C771">
        <v>0</v>
      </c>
      <c r="D771">
        <v>0</v>
      </c>
      <c r="E771">
        <v>0</v>
      </c>
      <c r="F771">
        <v>7073</v>
      </c>
      <c r="G771">
        <f t="shared" si="12"/>
        <v>2946190</v>
      </c>
    </row>
    <row r="772" spans="1:7" x14ac:dyDescent="0.25">
      <c r="A772">
        <v>2946624</v>
      </c>
      <c r="B772" t="s">
        <v>36051</v>
      </c>
      <c r="C772">
        <v>15</v>
      </c>
      <c r="D772">
        <v>0</v>
      </c>
      <c r="E772">
        <v>0</v>
      </c>
      <c r="F772">
        <v>7074</v>
      </c>
      <c r="G772">
        <f t="shared" si="12"/>
        <v>2946624</v>
      </c>
    </row>
    <row r="773" spans="1:7" x14ac:dyDescent="0.25">
      <c r="A773">
        <v>2947640</v>
      </c>
      <c r="B773" t="s">
        <v>24244</v>
      </c>
      <c r="C773">
        <v>321</v>
      </c>
      <c r="D773">
        <v>0</v>
      </c>
      <c r="E773">
        <v>0</v>
      </c>
      <c r="F773">
        <v>7075</v>
      </c>
      <c r="G773">
        <f t="shared" si="12"/>
        <v>2947640</v>
      </c>
    </row>
    <row r="774" spans="1:7" x14ac:dyDescent="0.25">
      <c r="A774">
        <v>2951338</v>
      </c>
      <c r="B774" t="s">
        <v>24245</v>
      </c>
      <c r="C774">
        <v>638</v>
      </c>
      <c r="D774">
        <v>1</v>
      </c>
      <c r="E774">
        <v>4958</v>
      </c>
      <c r="F774">
        <v>2518</v>
      </c>
      <c r="G774">
        <f t="shared" si="12"/>
        <v>2951338</v>
      </c>
    </row>
    <row r="775" spans="1:7" x14ac:dyDescent="0.25">
      <c r="A775">
        <v>2951522</v>
      </c>
      <c r="B775" t="s">
        <v>24246</v>
      </c>
      <c r="C775">
        <v>0</v>
      </c>
      <c r="D775">
        <v>1</v>
      </c>
      <c r="E775">
        <v>85</v>
      </c>
      <c r="F775">
        <v>5935</v>
      </c>
      <c r="G775">
        <f t="shared" si="12"/>
        <v>2951522</v>
      </c>
    </row>
    <row r="776" spans="1:7" x14ac:dyDescent="0.25">
      <c r="A776">
        <v>2956862</v>
      </c>
      <c r="B776" t="s">
        <v>37034</v>
      </c>
      <c r="C776">
        <v>0</v>
      </c>
      <c r="D776">
        <v>1</v>
      </c>
      <c r="E776">
        <v>1087</v>
      </c>
      <c r="F776">
        <v>3882</v>
      </c>
      <c r="G776">
        <f t="shared" si="12"/>
        <v>2956862</v>
      </c>
    </row>
    <row r="777" spans="1:7" x14ac:dyDescent="0.25">
      <c r="A777">
        <v>2959742</v>
      </c>
      <c r="B777" t="s">
        <v>24247</v>
      </c>
      <c r="C777">
        <v>1100</v>
      </c>
      <c r="D777">
        <v>2</v>
      </c>
      <c r="E777">
        <v>7961</v>
      </c>
      <c r="F777">
        <v>1904</v>
      </c>
      <c r="G777">
        <f t="shared" si="12"/>
        <v>2959742</v>
      </c>
    </row>
    <row r="778" spans="1:7" x14ac:dyDescent="0.25">
      <c r="A778">
        <v>2960864</v>
      </c>
      <c r="B778" t="s">
        <v>37214</v>
      </c>
      <c r="C778">
        <v>0</v>
      </c>
      <c r="D778">
        <v>1</v>
      </c>
      <c r="E778">
        <v>341</v>
      </c>
      <c r="F778">
        <v>5005</v>
      </c>
      <c r="G778">
        <f t="shared" si="12"/>
        <v>2960864</v>
      </c>
    </row>
    <row r="779" spans="1:7" x14ac:dyDescent="0.25">
      <c r="A779">
        <v>2969236</v>
      </c>
      <c r="B779" t="s">
        <v>36052</v>
      </c>
      <c r="C779">
        <v>0</v>
      </c>
      <c r="D779">
        <v>1</v>
      </c>
      <c r="E779">
        <v>665</v>
      </c>
      <c r="F779">
        <v>4394</v>
      </c>
      <c r="G779">
        <f t="shared" si="12"/>
        <v>2969236</v>
      </c>
    </row>
    <row r="780" spans="1:7" x14ac:dyDescent="0.25">
      <c r="A780">
        <v>2969329</v>
      </c>
      <c r="B780" t="s">
        <v>24248</v>
      </c>
      <c r="C780">
        <v>1695</v>
      </c>
      <c r="D780">
        <v>1</v>
      </c>
      <c r="E780">
        <v>1365</v>
      </c>
      <c r="F780">
        <v>3683</v>
      </c>
      <c r="G780">
        <f t="shared" si="12"/>
        <v>2969329</v>
      </c>
    </row>
    <row r="781" spans="1:7" x14ac:dyDescent="0.25">
      <c r="A781">
        <v>2973761</v>
      </c>
      <c r="B781" t="s">
        <v>24249</v>
      </c>
      <c r="C781">
        <v>1688</v>
      </c>
      <c r="D781">
        <v>2</v>
      </c>
      <c r="E781">
        <v>9945</v>
      </c>
      <c r="F781">
        <v>1573</v>
      </c>
      <c r="G781">
        <f t="shared" si="12"/>
        <v>2973761</v>
      </c>
    </row>
    <row r="782" spans="1:7" x14ac:dyDescent="0.25">
      <c r="A782">
        <v>2976969</v>
      </c>
      <c r="B782" t="s">
        <v>36053</v>
      </c>
      <c r="C782">
        <v>0</v>
      </c>
      <c r="D782">
        <v>1</v>
      </c>
      <c r="E782">
        <v>898</v>
      </c>
      <c r="F782">
        <v>4092</v>
      </c>
      <c r="G782">
        <f t="shared" si="12"/>
        <v>2976969</v>
      </c>
    </row>
    <row r="783" spans="1:7" x14ac:dyDescent="0.25">
      <c r="A783">
        <v>2987629</v>
      </c>
      <c r="B783" t="s">
        <v>24250</v>
      </c>
      <c r="C783">
        <v>1412</v>
      </c>
      <c r="D783">
        <v>1</v>
      </c>
      <c r="E783">
        <v>2379</v>
      </c>
      <c r="F783">
        <v>3178</v>
      </c>
      <c r="G783">
        <f t="shared" si="12"/>
        <v>2987629</v>
      </c>
    </row>
    <row r="784" spans="1:7" x14ac:dyDescent="0.25">
      <c r="A784">
        <v>2990341</v>
      </c>
      <c r="B784" t="s">
        <v>24251</v>
      </c>
      <c r="C784">
        <v>0</v>
      </c>
      <c r="D784">
        <v>0</v>
      </c>
      <c r="E784">
        <v>0</v>
      </c>
      <c r="F784">
        <v>7076</v>
      </c>
      <c r="G784">
        <f t="shared" si="12"/>
        <v>2990341</v>
      </c>
    </row>
    <row r="785" spans="1:7" x14ac:dyDescent="0.25">
      <c r="A785">
        <v>3008867</v>
      </c>
      <c r="B785" t="s">
        <v>36054</v>
      </c>
      <c r="C785">
        <v>1602</v>
      </c>
      <c r="D785">
        <v>1</v>
      </c>
      <c r="E785">
        <v>853</v>
      </c>
      <c r="F785">
        <v>4133</v>
      </c>
      <c r="G785">
        <f t="shared" si="12"/>
        <v>3008867</v>
      </c>
    </row>
    <row r="786" spans="1:7" x14ac:dyDescent="0.25">
      <c r="A786">
        <v>3014704</v>
      </c>
      <c r="B786" t="s">
        <v>24252</v>
      </c>
      <c r="C786">
        <v>1315</v>
      </c>
      <c r="D786">
        <v>1</v>
      </c>
      <c r="E786">
        <v>105</v>
      </c>
      <c r="F786">
        <v>5826</v>
      </c>
      <c r="G786">
        <f t="shared" si="12"/>
        <v>3014704</v>
      </c>
    </row>
    <row r="787" spans="1:7" x14ac:dyDescent="0.25">
      <c r="A787">
        <v>3018880</v>
      </c>
      <c r="B787" t="s">
        <v>24253</v>
      </c>
      <c r="C787">
        <v>0</v>
      </c>
      <c r="D787">
        <v>1</v>
      </c>
      <c r="E787">
        <v>26</v>
      </c>
      <c r="F787">
        <v>6387</v>
      </c>
      <c r="G787">
        <f t="shared" si="12"/>
        <v>3018880</v>
      </c>
    </row>
    <row r="788" spans="1:7" x14ac:dyDescent="0.25">
      <c r="A788">
        <v>3018956</v>
      </c>
      <c r="B788" t="s">
        <v>24254</v>
      </c>
      <c r="C788">
        <v>2010</v>
      </c>
      <c r="D788">
        <v>1</v>
      </c>
      <c r="E788">
        <v>1867</v>
      </c>
      <c r="F788">
        <v>3405</v>
      </c>
      <c r="G788">
        <f t="shared" si="12"/>
        <v>3018956</v>
      </c>
    </row>
    <row r="789" spans="1:7" x14ac:dyDescent="0.25">
      <c r="A789">
        <v>3019681</v>
      </c>
      <c r="B789" t="s">
        <v>24255</v>
      </c>
      <c r="C789">
        <v>0</v>
      </c>
      <c r="D789">
        <v>0</v>
      </c>
      <c r="E789">
        <v>0</v>
      </c>
      <c r="F789">
        <v>7077</v>
      </c>
      <c r="G789">
        <f t="shared" si="12"/>
        <v>3019681</v>
      </c>
    </row>
    <row r="790" spans="1:7" x14ac:dyDescent="0.25">
      <c r="A790">
        <v>3019869</v>
      </c>
      <c r="B790" t="s">
        <v>24256</v>
      </c>
      <c r="C790">
        <v>277</v>
      </c>
      <c r="D790">
        <v>0</v>
      </c>
      <c r="E790">
        <v>0</v>
      </c>
      <c r="F790">
        <v>7078</v>
      </c>
      <c r="G790">
        <f t="shared" si="12"/>
        <v>3019869</v>
      </c>
    </row>
    <row r="791" spans="1:7" x14ac:dyDescent="0.25">
      <c r="A791">
        <v>3020711</v>
      </c>
      <c r="B791" t="e">
        <f>-fcb-fan</f>
        <v>#NAME?</v>
      </c>
      <c r="C791">
        <v>124</v>
      </c>
      <c r="D791">
        <v>1</v>
      </c>
      <c r="E791">
        <v>2301</v>
      </c>
      <c r="F791">
        <v>3218</v>
      </c>
      <c r="G791">
        <f t="shared" si="12"/>
        <v>3020711</v>
      </c>
    </row>
    <row r="792" spans="1:7" x14ac:dyDescent="0.25">
      <c r="A792">
        <v>3027012</v>
      </c>
      <c r="B792" t="s">
        <v>24257</v>
      </c>
      <c r="C792">
        <v>0</v>
      </c>
      <c r="D792">
        <v>1</v>
      </c>
      <c r="E792">
        <v>552</v>
      </c>
      <c r="F792">
        <v>4545</v>
      </c>
      <c r="G792">
        <f t="shared" si="12"/>
        <v>3027012</v>
      </c>
    </row>
    <row r="793" spans="1:7" x14ac:dyDescent="0.25">
      <c r="A793">
        <v>3031955</v>
      </c>
      <c r="B793" t="s">
        <v>24258</v>
      </c>
      <c r="C793">
        <v>47</v>
      </c>
      <c r="D793">
        <v>3</v>
      </c>
      <c r="E793">
        <v>13637</v>
      </c>
      <c r="F793">
        <v>1111</v>
      </c>
      <c r="G793">
        <f t="shared" si="12"/>
        <v>3031955</v>
      </c>
    </row>
    <row r="794" spans="1:7" x14ac:dyDescent="0.25">
      <c r="A794">
        <v>3032774</v>
      </c>
      <c r="B794" t="s">
        <v>36055</v>
      </c>
      <c r="C794">
        <v>174</v>
      </c>
      <c r="D794">
        <v>3</v>
      </c>
      <c r="E794">
        <v>20467</v>
      </c>
      <c r="F794">
        <v>597</v>
      </c>
      <c r="G794">
        <f t="shared" si="12"/>
        <v>3032774</v>
      </c>
    </row>
    <row r="795" spans="1:7" x14ac:dyDescent="0.25">
      <c r="A795">
        <v>3034393</v>
      </c>
      <c r="B795" t="s">
        <v>24259</v>
      </c>
      <c r="C795">
        <v>431</v>
      </c>
      <c r="D795">
        <v>1</v>
      </c>
      <c r="E795">
        <v>26</v>
      </c>
      <c r="F795">
        <v>6388</v>
      </c>
      <c r="G795">
        <f t="shared" si="12"/>
        <v>3034393</v>
      </c>
    </row>
    <row r="796" spans="1:7" x14ac:dyDescent="0.25">
      <c r="A796">
        <v>3037214</v>
      </c>
      <c r="B796" t="s">
        <v>24260</v>
      </c>
      <c r="C796">
        <v>218</v>
      </c>
      <c r="D796">
        <v>2</v>
      </c>
      <c r="E796">
        <v>7934</v>
      </c>
      <c r="F796">
        <v>1894</v>
      </c>
      <c r="G796">
        <f t="shared" si="12"/>
        <v>3037214</v>
      </c>
    </row>
    <row r="797" spans="1:7" x14ac:dyDescent="0.25">
      <c r="A797">
        <v>3044923</v>
      </c>
      <c r="B797" t="s">
        <v>24261</v>
      </c>
      <c r="C797">
        <v>150</v>
      </c>
      <c r="D797">
        <v>0</v>
      </c>
      <c r="E797">
        <v>0</v>
      </c>
      <c r="F797">
        <v>7079</v>
      </c>
      <c r="G797">
        <f t="shared" si="12"/>
        <v>3044923</v>
      </c>
    </row>
    <row r="798" spans="1:7" x14ac:dyDescent="0.25">
      <c r="A798">
        <v>3046026</v>
      </c>
      <c r="B798" t="s">
        <v>24262</v>
      </c>
      <c r="C798">
        <v>1743</v>
      </c>
      <c r="D798">
        <v>1</v>
      </c>
      <c r="E798">
        <v>2208</v>
      </c>
      <c r="F798">
        <v>3244</v>
      </c>
      <c r="G798">
        <f t="shared" si="12"/>
        <v>3046026</v>
      </c>
    </row>
    <row r="799" spans="1:7" x14ac:dyDescent="0.25">
      <c r="A799">
        <v>3048682</v>
      </c>
      <c r="B799" t="s">
        <v>24263</v>
      </c>
      <c r="C799">
        <v>1019</v>
      </c>
      <c r="D799">
        <v>1</v>
      </c>
      <c r="E799">
        <v>26</v>
      </c>
      <c r="F799">
        <v>6389</v>
      </c>
      <c r="G799">
        <f t="shared" si="12"/>
        <v>3048682</v>
      </c>
    </row>
    <row r="800" spans="1:7" x14ac:dyDescent="0.25">
      <c r="A800">
        <v>3049622</v>
      </c>
      <c r="B800" t="s">
        <v>36056</v>
      </c>
      <c r="C800">
        <v>1503</v>
      </c>
      <c r="D800">
        <v>2</v>
      </c>
      <c r="E800">
        <v>8817</v>
      </c>
      <c r="F800">
        <v>1749</v>
      </c>
      <c r="G800">
        <f t="shared" si="12"/>
        <v>3049622</v>
      </c>
    </row>
    <row r="801" spans="1:7" x14ac:dyDescent="0.25">
      <c r="A801">
        <v>3049837</v>
      </c>
      <c r="B801" t="s">
        <v>24264</v>
      </c>
      <c r="C801">
        <v>0</v>
      </c>
      <c r="D801">
        <v>1</v>
      </c>
      <c r="E801">
        <v>3681</v>
      </c>
      <c r="F801">
        <v>2835</v>
      </c>
      <c r="G801">
        <f t="shared" si="12"/>
        <v>3049837</v>
      </c>
    </row>
    <row r="802" spans="1:7" x14ac:dyDescent="0.25">
      <c r="A802">
        <v>3055612</v>
      </c>
      <c r="B802" t="s">
        <v>36057</v>
      </c>
      <c r="C802">
        <v>235</v>
      </c>
      <c r="D802">
        <v>3</v>
      </c>
      <c r="E802">
        <v>12313</v>
      </c>
      <c r="F802">
        <v>1250</v>
      </c>
      <c r="G802">
        <f t="shared" si="12"/>
        <v>3055612</v>
      </c>
    </row>
    <row r="803" spans="1:7" x14ac:dyDescent="0.25">
      <c r="A803">
        <v>3055766</v>
      </c>
      <c r="B803" t="s">
        <v>24265</v>
      </c>
      <c r="C803">
        <v>0</v>
      </c>
      <c r="D803">
        <v>1</v>
      </c>
      <c r="E803">
        <v>570</v>
      </c>
      <c r="F803">
        <v>4516</v>
      </c>
      <c r="G803">
        <f t="shared" si="12"/>
        <v>3055766</v>
      </c>
    </row>
    <row r="804" spans="1:7" x14ac:dyDescent="0.25">
      <c r="A804">
        <v>3058830</v>
      </c>
      <c r="B804" t="s">
        <v>24266</v>
      </c>
      <c r="C804">
        <v>0</v>
      </c>
      <c r="D804">
        <v>3</v>
      </c>
      <c r="E804">
        <v>7149</v>
      </c>
      <c r="F804">
        <v>2041</v>
      </c>
      <c r="G804">
        <f t="shared" si="12"/>
        <v>3058830</v>
      </c>
    </row>
    <row r="805" spans="1:7" x14ac:dyDescent="0.25">
      <c r="A805">
        <v>3059201</v>
      </c>
      <c r="B805" t="s">
        <v>24267</v>
      </c>
      <c r="C805">
        <v>1213</v>
      </c>
      <c r="D805">
        <v>1</v>
      </c>
      <c r="E805">
        <v>2601</v>
      </c>
      <c r="F805">
        <v>3099</v>
      </c>
      <c r="G805">
        <f t="shared" si="12"/>
        <v>3059201</v>
      </c>
    </row>
    <row r="806" spans="1:7" x14ac:dyDescent="0.25">
      <c r="A806">
        <v>3064189</v>
      </c>
      <c r="B806" t="s">
        <v>24268</v>
      </c>
      <c r="C806">
        <v>367</v>
      </c>
      <c r="D806">
        <v>3</v>
      </c>
      <c r="E806">
        <v>12199</v>
      </c>
      <c r="F806">
        <v>1263</v>
      </c>
      <c r="G806">
        <f t="shared" si="12"/>
        <v>3064189</v>
      </c>
    </row>
    <row r="807" spans="1:7" x14ac:dyDescent="0.25">
      <c r="A807">
        <v>3067835</v>
      </c>
      <c r="B807" t="s">
        <v>24269</v>
      </c>
      <c r="C807">
        <v>152</v>
      </c>
      <c r="D807">
        <v>2</v>
      </c>
      <c r="E807">
        <v>16479</v>
      </c>
      <c r="F807">
        <v>873</v>
      </c>
      <c r="G807">
        <f t="shared" si="12"/>
        <v>3067835</v>
      </c>
    </row>
    <row r="808" spans="1:7" x14ac:dyDescent="0.25">
      <c r="A808">
        <v>3068514</v>
      </c>
      <c r="B808" t="s">
        <v>24270</v>
      </c>
      <c r="C808">
        <v>0</v>
      </c>
      <c r="D808">
        <v>1</v>
      </c>
      <c r="E808">
        <v>38</v>
      </c>
      <c r="F808">
        <v>6265</v>
      </c>
      <c r="G808">
        <f t="shared" si="12"/>
        <v>3068514</v>
      </c>
    </row>
    <row r="809" spans="1:7" x14ac:dyDescent="0.25">
      <c r="A809">
        <v>3070187</v>
      </c>
      <c r="B809" t="s">
        <v>24271</v>
      </c>
      <c r="C809">
        <v>541</v>
      </c>
      <c r="D809">
        <v>1</v>
      </c>
      <c r="E809">
        <v>2329</v>
      </c>
      <c r="F809">
        <v>3202</v>
      </c>
      <c r="G809">
        <f t="shared" si="12"/>
        <v>3070187</v>
      </c>
    </row>
    <row r="810" spans="1:7" x14ac:dyDescent="0.25">
      <c r="A810">
        <v>3070780</v>
      </c>
      <c r="B810" t="s">
        <v>36058</v>
      </c>
      <c r="C810">
        <v>0</v>
      </c>
      <c r="D810">
        <v>1</v>
      </c>
      <c r="E810">
        <v>26</v>
      </c>
      <c r="F810">
        <v>6390</v>
      </c>
      <c r="G810">
        <f t="shared" si="12"/>
        <v>3070780</v>
      </c>
    </row>
    <row r="811" spans="1:7" x14ac:dyDescent="0.25">
      <c r="A811">
        <v>3074086</v>
      </c>
      <c r="B811" t="s">
        <v>36059</v>
      </c>
      <c r="C811">
        <v>0</v>
      </c>
      <c r="D811">
        <v>1</v>
      </c>
      <c r="E811">
        <v>1066</v>
      </c>
      <c r="F811">
        <v>3935</v>
      </c>
      <c r="G811">
        <f t="shared" si="12"/>
        <v>3074086</v>
      </c>
    </row>
    <row r="812" spans="1:7" x14ac:dyDescent="0.25">
      <c r="A812">
        <v>3075885</v>
      </c>
      <c r="B812" t="s">
        <v>24272</v>
      </c>
      <c r="C812">
        <v>1403</v>
      </c>
      <c r="D812">
        <v>1</v>
      </c>
      <c r="E812">
        <v>3874</v>
      </c>
      <c r="F812">
        <v>2792</v>
      </c>
      <c r="G812">
        <f t="shared" si="12"/>
        <v>3075885</v>
      </c>
    </row>
    <row r="813" spans="1:7" x14ac:dyDescent="0.25">
      <c r="A813">
        <v>3079462</v>
      </c>
      <c r="B813" t="s">
        <v>24273</v>
      </c>
      <c r="C813">
        <v>151</v>
      </c>
      <c r="D813">
        <v>0</v>
      </c>
      <c r="E813">
        <v>0</v>
      </c>
      <c r="F813">
        <v>7080</v>
      </c>
      <c r="G813">
        <f t="shared" si="12"/>
        <v>3079462</v>
      </c>
    </row>
    <row r="814" spans="1:7" x14ac:dyDescent="0.25">
      <c r="A814">
        <v>3080427</v>
      </c>
      <c r="B814" t="s">
        <v>24274</v>
      </c>
      <c r="C814">
        <v>0</v>
      </c>
      <c r="D814">
        <v>1</v>
      </c>
      <c r="E814">
        <v>49</v>
      </c>
      <c r="F814">
        <v>6193</v>
      </c>
      <c r="G814">
        <f t="shared" si="12"/>
        <v>3080427</v>
      </c>
    </row>
    <row r="815" spans="1:7" x14ac:dyDescent="0.25">
      <c r="A815">
        <v>3087179</v>
      </c>
      <c r="B815" t="s">
        <v>36060</v>
      </c>
      <c r="C815">
        <v>1885</v>
      </c>
      <c r="D815">
        <v>1</v>
      </c>
      <c r="E815">
        <v>381</v>
      </c>
      <c r="F815">
        <v>4898</v>
      </c>
      <c r="G815">
        <f t="shared" si="12"/>
        <v>3087179</v>
      </c>
    </row>
    <row r="816" spans="1:7" x14ac:dyDescent="0.25">
      <c r="A816">
        <v>3089874</v>
      </c>
      <c r="B816" t="s">
        <v>24275</v>
      </c>
      <c r="C816">
        <v>1459</v>
      </c>
      <c r="D816">
        <v>1</v>
      </c>
      <c r="E816">
        <v>120</v>
      </c>
      <c r="F816">
        <v>5797</v>
      </c>
      <c r="G816">
        <f t="shared" si="12"/>
        <v>3089874</v>
      </c>
    </row>
    <row r="817" spans="1:7" x14ac:dyDescent="0.25">
      <c r="A817">
        <v>3106803</v>
      </c>
      <c r="B817" t="s">
        <v>24276</v>
      </c>
      <c r="C817">
        <v>0</v>
      </c>
      <c r="D817">
        <v>1</v>
      </c>
      <c r="E817">
        <v>26</v>
      </c>
      <c r="F817">
        <v>6391</v>
      </c>
      <c r="G817">
        <f t="shared" si="12"/>
        <v>3106803</v>
      </c>
    </row>
    <row r="818" spans="1:7" x14ac:dyDescent="0.25">
      <c r="A818">
        <v>3107331</v>
      </c>
      <c r="B818" t="s">
        <v>24277</v>
      </c>
      <c r="C818">
        <v>94</v>
      </c>
      <c r="D818">
        <v>1</v>
      </c>
      <c r="E818">
        <v>4442</v>
      </c>
      <c r="F818">
        <v>2639</v>
      </c>
      <c r="G818">
        <f t="shared" si="12"/>
        <v>3107331</v>
      </c>
    </row>
    <row r="819" spans="1:7" x14ac:dyDescent="0.25">
      <c r="A819">
        <v>3109521</v>
      </c>
      <c r="B819" t="s">
        <v>24278</v>
      </c>
      <c r="C819">
        <v>617</v>
      </c>
      <c r="D819">
        <v>4</v>
      </c>
      <c r="E819">
        <v>17183</v>
      </c>
      <c r="F819">
        <v>811</v>
      </c>
      <c r="G819">
        <f t="shared" si="12"/>
        <v>3109521</v>
      </c>
    </row>
    <row r="820" spans="1:7" x14ac:dyDescent="0.25">
      <c r="A820">
        <v>3111455</v>
      </c>
      <c r="B820" t="s">
        <v>24279</v>
      </c>
      <c r="C820">
        <v>1966</v>
      </c>
      <c r="D820">
        <v>1</v>
      </c>
      <c r="E820">
        <v>4520</v>
      </c>
      <c r="F820">
        <v>2612</v>
      </c>
      <c r="G820">
        <f t="shared" si="12"/>
        <v>3111455</v>
      </c>
    </row>
    <row r="821" spans="1:7" x14ac:dyDescent="0.25">
      <c r="A821">
        <v>3114520</v>
      </c>
      <c r="B821" t="s">
        <v>24280</v>
      </c>
      <c r="C821">
        <v>1728</v>
      </c>
      <c r="D821">
        <v>1</v>
      </c>
      <c r="E821">
        <v>2221</v>
      </c>
      <c r="F821">
        <v>3238</v>
      </c>
      <c r="G821">
        <f t="shared" si="12"/>
        <v>3114520</v>
      </c>
    </row>
    <row r="822" spans="1:7" x14ac:dyDescent="0.25">
      <c r="A822">
        <v>3115409</v>
      </c>
      <c r="B822" t="s">
        <v>24281</v>
      </c>
      <c r="C822">
        <v>0</v>
      </c>
      <c r="D822">
        <v>0</v>
      </c>
      <c r="E822">
        <v>0</v>
      </c>
      <c r="F822">
        <v>7081</v>
      </c>
      <c r="G822">
        <f t="shared" si="12"/>
        <v>3115409</v>
      </c>
    </row>
    <row r="823" spans="1:7" x14ac:dyDescent="0.25">
      <c r="A823">
        <v>3120912</v>
      </c>
      <c r="B823" t="s">
        <v>24282</v>
      </c>
      <c r="C823">
        <v>0</v>
      </c>
      <c r="D823">
        <v>1</v>
      </c>
      <c r="E823">
        <v>26</v>
      </c>
      <c r="F823">
        <v>6392</v>
      </c>
      <c r="G823">
        <f t="shared" si="12"/>
        <v>3120912</v>
      </c>
    </row>
    <row r="824" spans="1:7" x14ac:dyDescent="0.25">
      <c r="A824">
        <v>3124173</v>
      </c>
      <c r="B824" t="s">
        <v>24283</v>
      </c>
      <c r="C824">
        <v>0</v>
      </c>
      <c r="D824">
        <v>0</v>
      </c>
      <c r="E824">
        <v>0</v>
      </c>
      <c r="F824">
        <v>7082</v>
      </c>
      <c r="G824">
        <f t="shared" si="12"/>
        <v>3124173</v>
      </c>
    </row>
    <row r="825" spans="1:7" x14ac:dyDescent="0.25">
      <c r="A825">
        <v>3126954</v>
      </c>
      <c r="B825" t="s">
        <v>24284</v>
      </c>
      <c r="C825">
        <v>0</v>
      </c>
      <c r="D825">
        <v>1</v>
      </c>
      <c r="E825">
        <v>425</v>
      </c>
      <c r="F825">
        <v>4833</v>
      </c>
      <c r="G825">
        <f t="shared" si="12"/>
        <v>3126954</v>
      </c>
    </row>
    <row r="826" spans="1:7" x14ac:dyDescent="0.25">
      <c r="A826">
        <v>3130049</v>
      </c>
      <c r="B826" t="s">
        <v>24285</v>
      </c>
      <c r="C826">
        <v>27</v>
      </c>
      <c r="D826">
        <v>2</v>
      </c>
      <c r="E826">
        <v>7099</v>
      </c>
      <c r="F826">
        <v>2051</v>
      </c>
      <c r="G826">
        <f t="shared" si="12"/>
        <v>3130049</v>
      </c>
    </row>
    <row r="827" spans="1:7" x14ac:dyDescent="0.25">
      <c r="A827">
        <v>3140559</v>
      </c>
      <c r="B827" t="s">
        <v>37094</v>
      </c>
      <c r="C827">
        <v>0</v>
      </c>
      <c r="D827">
        <v>2</v>
      </c>
      <c r="E827">
        <v>477</v>
      </c>
      <c r="F827">
        <v>4675</v>
      </c>
      <c r="G827">
        <f t="shared" si="12"/>
        <v>3140559</v>
      </c>
    </row>
    <row r="828" spans="1:7" x14ac:dyDescent="0.25">
      <c r="A828">
        <v>3143028</v>
      </c>
      <c r="B828" t="s">
        <v>36061</v>
      </c>
      <c r="C828">
        <v>259</v>
      </c>
      <c r="D828">
        <v>12</v>
      </c>
      <c r="E828">
        <v>75251</v>
      </c>
      <c r="F828">
        <v>7</v>
      </c>
      <c r="G828">
        <f t="shared" si="12"/>
        <v>3143028</v>
      </c>
    </row>
    <row r="829" spans="1:7" x14ac:dyDescent="0.25">
      <c r="A829">
        <v>3144164</v>
      </c>
      <c r="B829" t="s">
        <v>24286</v>
      </c>
      <c r="C829">
        <v>1885</v>
      </c>
      <c r="D829">
        <v>0</v>
      </c>
      <c r="E829">
        <v>0</v>
      </c>
      <c r="F829">
        <v>7083</v>
      </c>
      <c r="G829">
        <f t="shared" si="12"/>
        <v>3144164</v>
      </c>
    </row>
    <row r="830" spans="1:7" x14ac:dyDescent="0.25">
      <c r="A830">
        <v>3145136</v>
      </c>
      <c r="B830" t="s">
        <v>24287</v>
      </c>
      <c r="C830">
        <v>0</v>
      </c>
      <c r="D830">
        <v>0</v>
      </c>
      <c r="E830">
        <v>0</v>
      </c>
      <c r="F830">
        <v>7084</v>
      </c>
      <c r="G830">
        <f t="shared" si="12"/>
        <v>3145136</v>
      </c>
    </row>
    <row r="831" spans="1:7" x14ac:dyDescent="0.25">
      <c r="A831">
        <v>3145599</v>
      </c>
      <c r="B831" t="s">
        <v>37215</v>
      </c>
      <c r="C831">
        <v>0</v>
      </c>
      <c r="D831">
        <v>0</v>
      </c>
      <c r="E831">
        <v>0</v>
      </c>
      <c r="F831">
        <v>7085</v>
      </c>
      <c r="G831">
        <f t="shared" si="12"/>
        <v>3145599</v>
      </c>
    </row>
    <row r="832" spans="1:7" x14ac:dyDescent="0.25">
      <c r="A832">
        <v>3145674</v>
      </c>
      <c r="B832" t="s">
        <v>24288</v>
      </c>
      <c r="C832">
        <v>0</v>
      </c>
      <c r="D832">
        <v>1</v>
      </c>
      <c r="E832">
        <v>26</v>
      </c>
      <c r="F832">
        <v>6393</v>
      </c>
      <c r="G832">
        <f t="shared" si="12"/>
        <v>3145674</v>
      </c>
    </row>
    <row r="833" spans="1:7" x14ac:dyDescent="0.25">
      <c r="A833">
        <v>3153714</v>
      </c>
      <c r="B833" t="s">
        <v>24289</v>
      </c>
      <c r="C833">
        <v>0</v>
      </c>
      <c r="D833">
        <v>1</v>
      </c>
      <c r="E833">
        <v>26</v>
      </c>
      <c r="F833">
        <v>6394</v>
      </c>
      <c r="G833">
        <f t="shared" ref="G833:G896" si="13">A833</f>
        <v>3153714</v>
      </c>
    </row>
    <row r="834" spans="1:7" x14ac:dyDescent="0.25">
      <c r="A834">
        <v>3157813</v>
      </c>
      <c r="B834" t="s">
        <v>24290</v>
      </c>
      <c r="C834">
        <v>0</v>
      </c>
      <c r="D834">
        <v>0</v>
      </c>
      <c r="E834">
        <v>0</v>
      </c>
      <c r="F834">
        <v>7086</v>
      </c>
      <c r="G834">
        <f t="shared" si="13"/>
        <v>3157813</v>
      </c>
    </row>
    <row r="835" spans="1:7" x14ac:dyDescent="0.25">
      <c r="A835">
        <v>3158155</v>
      </c>
      <c r="B835" t="s">
        <v>24291</v>
      </c>
      <c r="C835">
        <v>45</v>
      </c>
      <c r="D835">
        <v>1</v>
      </c>
      <c r="E835">
        <v>317</v>
      </c>
      <c r="F835">
        <v>5072</v>
      </c>
      <c r="G835">
        <f t="shared" si="13"/>
        <v>3158155</v>
      </c>
    </row>
    <row r="836" spans="1:7" x14ac:dyDescent="0.25">
      <c r="A836">
        <v>3162596</v>
      </c>
      <c r="B836" t="s">
        <v>36062</v>
      </c>
      <c r="C836">
        <v>0</v>
      </c>
      <c r="D836">
        <v>1</v>
      </c>
      <c r="E836">
        <v>927</v>
      </c>
      <c r="F836">
        <v>4073</v>
      </c>
      <c r="G836">
        <f t="shared" si="13"/>
        <v>3162596</v>
      </c>
    </row>
    <row r="837" spans="1:7" x14ac:dyDescent="0.25">
      <c r="A837">
        <v>3164101</v>
      </c>
      <c r="B837" t="s">
        <v>24292</v>
      </c>
      <c r="C837">
        <v>48</v>
      </c>
      <c r="D837">
        <v>1</v>
      </c>
      <c r="E837">
        <v>833</v>
      </c>
      <c r="F837">
        <v>4149</v>
      </c>
      <c r="G837">
        <f t="shared" si="13"/>
        <v>3164101</v>
      </c>
    </row>
    <row r="838" spans="1:7" x14ac:dyDescent="0.25">
      <c r="A838">
        <v>3164121</v>
      </c>
      <c r="B838" t="s">
        <v>24293</v>
      </c>
      <c r="C838">
        <v>124</v>
      </c>
      <c r="D838">
        <v>2</v>
      </c>
      <c r="E838">
        <v>9727</v>
      </c>
      <c r="F838">
        <v>1603</v>
      </c>
      <c r="G838">
        <f t="shared" si="13"/>
        <v>3164121</v>
      </c>
    </row>
    <row r="839" spans="1:7" x14ac:dyDescent="0.25">
      <c r="A839">
        <v>3167113</v>
      </c>
      <c r="B839" t="s">
        <v>37253</v>
      </c>
      <c r="C839">
        <v>625</v>
      </c>
      <c r="D839">
        <v>3</v>
      </c>
      <c r="E839">
        <v>12264</v>
      </c>
      <c r="F839">
        <v>1256</v>
      </c>
      <c r="G839">
        <f t="shared" si="13"/>
        <v>3167113</v>
      </c>
    </row>
    <row r="840" spans="1:7" x14ac:dyDescent="0.25">
      <c r="A840">
        <v>3171981</v>
      </c>
      <c r="B840" t="s">
        <v>24294</v>
      </c>
      <c r="C840">
        <v>0</v>
      </c>
      <c r="D840">
        <v>1</v>
      </c>
      <c r="E840">
        <v>163</v>
      </c>
      <c r="F840">
        <v>5653</v>
      </c>
      <c r="G840">
        <f t="shared" si="13"/>
        <v>3171981</v>
      </c>
    </row>
    <row r="841" spans="1:7" x14ac:dyDescent="0.25">
      <c r="A841">
        <v>3174122</v>
      </c>
      <c r="B841" t="s">
        <v>24295</v>
      </c>
      <c r="C841">
        <v>325</v>
      </c>
      <c r="D841">
        <v>0</v>
      </c>
      <c r="E841">
        <v>0</v>
      </c>
      <c r="F841">
        <v>7087</v>
      </c>
      <c r="G841">
        <f t="shared" si="13"/>
        <v>3174122</v>
      </c>
    </row>
    <row r="842" spans="1:7" x14ac:dyDescent="0.25">
      <c r="A842">
        <v>3175402</v>
      </c>
      <c r="B842" t="s">
        <v>36983</v>
      </c>
      <c r="C842">
        <v>413</v>
      </c>
      <c r="D842">
        <v>3</v>
      </c>
      <c r="E842">
        <v>8930</v>
      </c>
      <c r="F842">
        <v>1728</v>
      </c>
      <c r="G842">
        <f t="shared" si="13"/>
        <v>3175402</v>
      </c>
    </row>
    <row r="843" spans="1:7" x14ac:dyDescent="0.25">
      <c r="A843">
        <v>3178368</v>
      </c>
      <c r="B843" t="s">
        <v>36063</v>
      </c>
      <c r="C843">
        <v>0</v>
      </c>
      <c r="D843">
        <v>0</v>
      </c>
      <c r="E843">
        <v>0</v>
      </c>
      <c r="F843">
        <v>7088</v>
      </c>
      <c r="G843">
        <f t="shared" si="13"/>
        <v>3178368</v>
      </c>
    </row>
    <row r="844" spans="1:7" x14ac:dyDescent="0.25">
      <c r="A844">
        <v>3179462</v>
      </c>
      <c r="B844" t="s">
        <v>24296</v>
      </c>
      <c r="C844">
        <v>0</v>
      </c>
      <c r="D844">
        <v>1</v>
      </c>
      <c r="E844">
        <v>1410</v>
      </c>
      <c r="F844">
        <v>3663</v>
      </c>
      <c r="G844">
        <f t="shared" si="13"/>
        <v>3179462</v>
      </c>
    </row>
    <row r="845" spans="1:7" x14ac:dyDescent="0.25">
      <c r="A845">
        <v>3182831</v>
      </c>
      <c r="B845" t="s">
        <v>24297</v>
      </c>
      <c r="C845">
        <v>0</v>
      </c>
      <c r="D845">
        <v>1</v>
      </c>
      <c r="E845">
        <v>284</v>
      </c>
      <c r="F845">
        <v>5167</v>
      </c>
      <c r="G845">
        <f t="shared" si="13"/>
        <v>3182831</v>
      </c>
    </row>
    <row r="846" spans="1:7" x14ac:dyDescent="0.25">
      <c r="A846">
        <v>3183212</v>
      </c>
      <c r="B846" t="s">
        <v>24298</v>
      </c>
      <c r="C846">
        <v>0</v>
      </c>
      <c r="D846">
        <v>1</v>
      </c>
      <c r="E846">
        <v>158</v>
      </c>
      <c r="F846">
        <v>5686</v>
      </c>
      <c r="G846">
        <f t="shared" si="13"/>
        <v>3183212</v>
      </c>
    </row>
    <row r="847" spans="1:7" x14ac:dyDescent="0.25">
      <c r="A847">
        <v>3210351</v>
      </c>
      <c r="B847" t="s">
        <v>24299</v>
      </c>
      <c r="C847">
        <v>1</v>
      </c>
      <c r="D847">
        <v>2</v>
      </c>
      <c r="E847">
        <v>5848</v>
      </c>
      <c r="F847">
        <v>2325</v>
      </c>
      <c r="G847">
        <f t="shared" si="13"/>
        <v>3210351</v>
      </c>
    </row>
    <row r="848" spans="1:7" x14ac:dyDescent="0.25">
      <c r="A848">
        <v>3210799</v>
      </c>
      <c r="B848" t="s">
        <v>24300</v>
      </c>
      <c r="C848">
        <v>4</v>
      </c>
      <c r="D848">
        <v>6</v>
      </c>
      <c r="E848">
        <v>33033</v>
      </c>
      <c r="F848">
        <v>181</v>
      </c>
      <c r="G848">
        <f t="shared" si="13"/>
        <v>3210799</v>
      </c>
    </row>
    <row r="849" spans="1:7" x14ac:dyDescent="0.25">
      <c r="A849">
        <v>3214244</v>
      </c>
      <c r="B849" t="s">
        <v>24301</v>
      </c>
      <c r="C849">
        <v>0</v>
      </c>
      <c r="D849">
        <v>1</v>
      </c>
      <c r="E849">
        <v>702</v>
      </c>
      <c r="F849">
        <v>4339</v>
      </c>
      <c r="G849">
        <f t="shared" si="13"/>
        <v>3214244</v>
      </c>
    </row>
    <row r="850" spans="1:7" x14ac:dyDescent="0.25">
      <c r="A850">
        <v>3215406</v>
      </c>
      <c r="B850" t="s">
        <v>24302</v>
      </c>
      <c r="C850">
        <v>1858</v>
      </c>
      <c r="D850">
        <v>1</v>
      </c>
      <c r="E850">
        <v>390</v>
      </c>
      <c r="F850">
        <v>4873</v>
      </c>
      <c r="G850">
        <f t="shared" si="13"/>
        <v>3215406</v>
      </c>
    </row>
    <row r="851" spans="1:7" x14ac:dyDescent="0.25">
      <c r="A851">
        <v>3219124</v>
      </c>
      <c r="B851" t="s">
        <v>24303</v>
      </c>
      <c r="C851">
        <v>0</v>
      </c>
      <c r="D851">
        <v>1</v>
      </c>
      <c r="E851">
        <v>329</v>
      </c>
      <c r="F851">
        <v>5039</v>
      </c>
      <c r="G851">
        <f t="shared" si="13"/>
        <v>3219124</v>
      </c>
    </row>
    <row r="852" spans="1:7" x14ac:dyDescent="0.25">
      <c r="A852">
        <v>3220309</v>
      </c>
      <c r="B852" t="s">
        <v>24304</v>
      </c>
      <c r="C852">
        <v>1988</v>
      </c>
      <c r="D852">
        <v>1</v>
      </c>
      <c r="E852">
        <v>3968</v>
      </c>
      <c r="F852">
        <v>2774</v>
      </c>
      <c r="G852">
        <f t="shared" si="13"/>
        <v>3220309</v>
      </c>
    </row>
    <row r="853" spans="1:7" x14ac:dyDescent="0.25">
      <c r="A853">
        <v>3220692</v>
      </c>
      <c r="B853" t="s">
        <v>36064</v>
      </c>
      <c r="C853">
        <v>0</v>
      </c>
      <c r="D853">
        <v>0</v>
      </c>
      <c r="E853">
        <v>0</v>
      </c>
      <c r="F853">
        <v>7089</v>
      </c>
      <c r="G853">
        <f t="shared" si="13"/>
        <v>3220692</v>
      </c>
    </row>
    <row r="854" spans="1:7" x14ac:dyDescent="0.25">
      <c r="A854">
        <v>3223549</v>
      </c>
      <c r="B854" t="s">
        <v>24305</v>
      </c>
      <c r="C854">
        <v>175</v>
      </c>
      <c r="D854">
        <v>3</v>
      </c>
      <c r="E854">
        <v>19295</v>
      </c>
      <c r="F854">
        <v>665</v>
      </c>
      <c r="G854">
        <f t="shared" si="13"/>
        <v>3223549</v>
      </c>
    </row>
    <row r="855" spans="1:7" x14ac:dyDescent="0.25">
      <c r="A855">
        <v>3225442</v>
      </c>
      <c r="B855" t="s">
        <v>24306</v>
      </c>
      <c r="C855">
        <v>1688</v>
      </c>
      <c r="D855">
        <v>4</v>
      </c>
      <c r="E855">
        <v>24189</v>
      </c>
      <c r="F855">
        <v>427</v>
      </c>
      <c r="G855">
        <f t="shared" si="13"/>
        <v>3225442</v>
      </c>
    </row>
    <row r="856" spans="1:7" x14ac:dyDescent="0.25">
      <c r="A856">
        <v>3230894</v>
      </c>
      <c r="B856" t="s">
        <v>24307</v>
      </c>
      <c r="C856">
        <v>321</v>
      </c>
      <c r="D856">
        <v>3</v>
      </c>
      <c r="E856">
        <v>20273</v>
      </c>
      <c r="F856">
        <v>609</v>
      </c>
      <c r="G856">
        <f t="shared" si="13"/>
        <v>3230894</v>
      </c>
    </row>
    <row r="857" spans="1:7" x14ac:dyDescent="0.25">
      <c r="A857">
        <v>3231741</v>
      </c>
      <c r="B857" t="s">
        <v>36065</v>
      </c>
      <c r="C857">
        <v>0</v>
      </c>
      <c r="D857">
        <v>1</v>
      </c>
      <c r="E857">
        <v>26</v>
      </c>
      <c r="F857">
        <v>6395</v>
      </c>
      <c r="G857">
        <f t="shared" si="13"/>
        <v>3231741</v>
      </c>
    </row>
    <row r="858" spans="1:7" x14ac:dyDescent="0.25">
      <c r="A858">
        <v>3231970</v>
      </c>
      <c r="B858" t="s">
        <v>24308</v>
      </c>
      <c r="C858">
        <v>0</v>
      </c>
      <c r="D858">
        <v>1</v>
      </c>
      <c r="E858">
        <v>32</v>
      </c>
      <c r="F858">
        <v>6304</v>
      </c>
      <c r="G858">
        <f t="shared" si="13"/>
        <v>3231970</v>
      </c>
    </row>
    <row r="859" spans="1:7" x14ac:dyDescent="0.25">
      <c r="A859">
        <v>3232286</v>
      </c>
      <c r="B859" t="s">
        <v>24309</v>
      </c>
      <c r="C859">
        <v>1861</v>
      </c>
      <c r="D859">
        <v>1</v>
      </c>
      <c r="E859">
        <v>1147</v>
      </c>
      <c r="F859">
        <v>3832</v>
      </c>
      <c r="G859">
        <f t="shared" si="13"/>
        <v>3232286</v>
      </c>
    </row>
    <row r="860" spans="1:7" x14ac:dyDescent="0.25">
      <c r="A860">
        <v>3232988</v>
      </c>
      <c r="B860" t="s">
        <v>24310</v>
      </c>
      <c r="C860">
        <v>0</v>
      </c>
      <c r="D860">
        <v>1</v>
      </c>
      <c r="E860">
        <v>115</v>
      </c>
      <c r="F860">
        <v>5798</v>
      </c>
      <c r="G860">
        <f t="shared" si="13"/>
        <v>3232988</v>
      </c>
    </row>
    <row r="861" spans="1:7" x14ac:dyDescent="0.25">
      <c r="A861">
        <v>3240324</v>
      </c>
      <c r="B861" t="s">
        <v>24311</v>
      </c>
      <c r="C861">
        <v>270</v>
      </c>
      <c r="D861">
        <v>7</v>
      </c>
      <c r="E861">
        <v>24837</v>
      </c>
      <c r="F861">
        <v>401</v>
      </c>
      <c r="G861">
        <f t="shared" si="13"/>
        <v>3240324</v>
      </c>
    </row>
    <row r="862" spans="1:7" x14ac:dyDescent="0.25">
      <c r="A862">
        <v>3241642</v>
      </c>
      <c r="B862" t="s">
        <v>24312</v>
      </c>
      <c r="C862">
        <v>36</v>
      </c>
      <c r="D862">
        <v>6</v>
      </c>
      <c r="E862">
        <v>32337</v>
      </c>
      <c r="F862">
        <v>199</v>
      </c>
      <c r="G862">
        <f t="shared" si="13"/>
        <v>3241642</v>
      </c>
    </row>
    <row r="863" spans="1:7" x14ac:dyDescent="0.25">
      <c r="A863">
        <v>3248439</v>
      </c>
      <c r="B863" t="s">
        <v>24313</v>
      </c>
      <c r="C863">
        <v>1315</v>
      </c>
      <c r="D863">
        <v>0</v>
      </c>
      <c r="E863">
        <v>0</v>
      </c>
      <c r="F863">
        <v>7090</v>
      </c>
      <c r="G863">
        <f t="shared" si="13"/>
        <v>3248439</v>
      </c>
    </row>
    <row r="864" spans="1:7" x14ac:dyDescent="0.25">
      <c r="A864">
        <v>3257711</v>
      </c>
      <c r="B864" t="s">
        <v>24314</v>
      </c>
      <c r="C864">
        <v>0</v>
      </c>
      <c r="D864">
        <v>1</v>
      </c>
      <c r="E864">
        <v>354</v>
      </c>
      <c r="F864">
        <v>4967</v>
      </c>
      <c r="G864">
        <f t="shared" si="13"/>
        <v>3257711</v>
      </c>
    </row>
    <row r="865" spans="1:7" x14ac:dyDescent="0.25">
      <c r="A865">
        <v>3259870</v>
      </c>
      <c r="B865" t="s">
        <v>36066</v>
      </c>
      <c r="C865">
        <v>45</v>
      </c>
      <c r="D865">
        <v>1</v>
      </c>
      <c r="E865">
        <v>635</v>
      </c>
      <c r="F865">
        <v>4427</v>
      </c>
      <c r="G865">
        <f t="shared" si="13"/>
        <v>3259870</v>
      </c>
    </row>
    <row r="866" spans="1:7" x14ac:dyDescent="0.25">
      <c r="A866">
        <v>3259974</v>
      </c>
      <c r="B866" t="s">
        <v>24315</v>
      </c>
      <c r="C866">
        <v>0</v>
      </c>
      <c r="D866">
        <v>1</v>
      </c>
      <c r="E866">
        <v>26</v>
      </c>
      <c r="F866">
        <v>6396</v>
      </c>
      <c r="G866">
        <f t="shared" si="13"/>
        <v>3259974</v>
      </c>
    </row>
    <row r="867" spans="1:7" x14ac:dyDescent="0.25">
      <c r="A867">
        <v>3260151</v>
      </c>
      <c r="B867" t="s">
        <v>36067</v>
      </c>
      <c r="C867">
        <v>896</v>
      </c>
      <c r="D867">
        <v>0</v>
      </c>
      <c r="E867">
        <v>0</v>
      </c>
      <c r="F867">
        <v>7091</v>
      </c>
      <c r="G867">
        <f t="shared" si="13"/>
        <v>3260151</v>
      </c>
    </row>
    <row r="868" spans="1:7" x14ac:dyDescent="0.25">
      <c r="A868">
        <v>3264957</v>
      </c>
      <c r="B868" t="s">
        <v>24316</v>
      </c>
      <c r="C868">
        <v>0</v>
      </c>
      <c r="D868">
        <v>1</v>
      </c>
      <c r="E868">
        <v>271</v>
      </c>
      <c r="F868">
        <v>5216</v>
      </c>
      <c r="G868">
        <f t="shared" si="13"/>
        <v>3264957</v>
      </c>
    </row>
    <row r="869" spans="1:7" x14ac:dyDescent="0.25">
      <c r="A869">
        <v>3269983</v>
      </c>
      <c r="B869" t="s">
        <v>37095</v>
      </c>
      <c r="C869">
        <v>4</v>
      </c>
      <c r="D869">
        <v>8</v>
      </c>
      <c r="E869">
        <v>39050</v>
      </c>
      <c r="F869">
        <v>100</v>
      </c>
      <c r="G869">
        <f t="shared" si="13"/>
        <v>3269983</v>
      </c>
    </row>
    <row r="870" spans="1:7" x14ac:dyDescent="0.25">
      <c r="A870">
        <v>3275899</v>
      </c>
      <c r="B870" t="s">
        <v>36068</v>
      </c>
      <c r="C870">
        <v>0</v>
      </c>
      <c r="D870">
        <v>0</v>
      </c>
      <c r="E870">
        <v>0</v>
      </c>
      <c r="F870">
        <v>7092</v>
      </c>
      <c r="G870">
        <f t="shared" si="13"/>
        <v>3275899</v>
      </c>
    </row>
    <row r="871" spans="1:7" x14ac:dyDescent="0.25">
      <c r="A871">
        <v>3279395</v>
      </c>
      <c r="B871" t="s">
        <v>36069</v>
      </c>
      <c r="C871">
        <v>0</v>
      </c>
      <c r="D871">
        <v>0</v>
      </c>
      <c r="E871">
        <v>0</v>
      </c>
      <c r="F871">
        <v>7093</v>
      </c>
      <c r="G871">
        <f t="shared" si="13"/>
        <v>3279395</v>
      </c>
    </row>
    <row r="872" spans="1:7" x14ac:dyDescent="0.25">
      <c r="A872">
        <v>3280653</v>
      </c>
      <c r="B872" t="s">
        <v>24317</v>
      </c>
      <c r="C872">
        <v>810</v>
      </c>
      <c r="D872">
        <v>1</v>
      </c>
      <c r="E872">
        <v>294</v>
      </c>
      <c r="F872">
        <v>5137</v>
      </c>
      <c r="G872">
        <f t="shared" si="13"/>
        <v>3280653</v>
      </c>
    </row>
    <row r="873" spans="1:7" x14ac:dyDescent="0.25">
      <c r="A873">
        <v>3283049</v>
      </c>
      <c r="B873" t="s">
        <v>24318</v>
      </c>
      <c r="C873">
        <v>0</v>
      </c>
      <c r="D873">
        <v>1</v>
      </c>
      <c r="E873">
        <v>162</v>
      </c>
      <c r="F873">
        <v>5644</v>
      </c>
      <c r="G873">
        <f t="shared" si="13"/>
        <v>3283049</v>
      </c>
    </row>
    <row r="874" spans="1:7" x14ac:dyDescent="0.25">
      <c r="A874">
        <v>3287479</v>
      </c>
      <c r="B874" t="s">
        <v>24319</v>
      </c>
      <c r="C874">
        <v>0</v>
      </c>
      <c r="D874">
        <v>1</v>
      </c>
      <c r="E874">
        <v>187</v>
      </c>
      <c r="F874">
        <v>5555</v>
      </c>
      <c r="G874">
        <f t="shared" si="13"/>
        <v>3287479</v>
      </c>
    </row>
    <row r="875" spans="1:7" x14ac:dyDescent="0.25">
      <c r="A875">
        <v>3289095</v>
      </c>
      <c r="B875" t="s">
        <v>24320</v>
      </c>
      <c r="C875">
        <v>36</v>
      </c>
      <c r="D875">
        <v>5</v>
      </c>
      <c r="E875">
        <v>17650</v>
      </c>
      <c r="F875">
        <v>781</v>
      </c>
      <c r="G875">
        <f t="shared" si="13"/>
        <v>3289095</v>
      </c>
    </row>
    <row r="876" spans="1:7" x14ac:dyDescent="0.25">
      <c r="A876">
        <v>3293661</v>
      </c>
      <c r="B876" t="s">
        <v>24321</v>
      </c>
      <c r="C876">
        <v>0</v>
      </c>
      <c r="D876">
        <v>1</v>
      </c>
      <c r="E876">
        <v>26</v>
      </c>
      <c r="F876">
        <v>6397</v>
      </c>
      <c r="G876">
        <f t="shared" si="13"/>
        <v>3293661</v>
      </c>
    </row>
    <row r="877" spans="1:7" x14ac:dyDescent="0.25">
      <c r="A877">
        <v>3294196</v>
      </c>
      <c r="B877" t="s">
        <v>24322</v>
      </c>
      <c r="C877">
        <v>896</v>
      </c>
      <c r="D877">
        <v>2</v>
      </c>
      <c r="E877">
        <v>8005</v>
      </c>
      <c r="F877">
        <v>1879</v>
      </c>
      <c r="G877">
        <f t="shared" si="13"/>
        <v>3294196</v>
      </c>
    </row>
    <row r="878" spans="1:7" x14ac:dyDescent="0.25">
      <c r="A878">
        <v>3299234</v>
      </c>
      <c r="B878" t="s">
        <v>24323</v>
      </c>
      <c r="C878">
        <v>0</v>
      </c>
      <c r="D878">
        <v>1</v>
      </c>
      <c r="E878">
        <v>2019</v>
      </c>
      <c r="F878">
        <v>3334</v>
      </c>
      <c r="G878">
        <f t="shared" si="13"/>
        <v>3299234</v>
      </c>
    </row>
    <row r="879" spans="1:7" x14ac:dyDescent="0.25">
      <c r="A879">
        <v>3299904</v>
      </c>
      <c r="B879" t="s">
        <v>36070</v>
      </c>
      <c r="C879">
        <v>480</v>
      </c>
      <c r="D879">
        <v>4</v>
      </c>
      <c r="E879">
        <v>14816</v>
      </c>
      <c r="F879">
        <v>1016</v>
      </c>
      <c r="G879">
        <f t="shared" si="13"/>
        <v>3299904</v>
      </c>
    </row>
    <row r="880" spans="1:7" x14ac:dyDescent="0.25">
      <c r="A880">
        <v>3300124</v>
      </c>
      <c r="B880" t="s">
        <v>36071</v>
      </c>
      <c r="C880">
        <v>1239</v>
      </c>
      <c r="D880">
        <v>1</v>
      </c>
      <c r="E880">
        <v>3434</v>
      </c>
      <c r="F880">
        <v>2892</v>
      </c>
      <c r="G880">
        <f t="shared" si="13"/>
        <v>3300124</v>
      </c>
    </row>
    <row r="881" spans="1:7" x14ac:dyDescent="0.25">
      <c r="A881">
        <v>3304353</v>
      </c>
      <c r="B881" t="s">
        <v>24324</v>
      </c>
      <c r="C881">
        <v>1806</v>
      </c>
      <c r="D881">
        <v>1</v>
      </c>
      <c r="E881">
        <v>2952</v>
      </c>
      <c r="F881">
        <v>3002</v>
      </c>
      <c r="G881">
        <f t="shared" si="13"/>
        <v>3304353</v>
      </c>
    </row>
    <row r="882" spans="1:7" x14ac:dyDescent="0.25">
      <c r="A882">
        <v>3310720</v>
      </c>
      <c r="B882" t="s">
        <v>24325</v>
      </c>
      <c r="C882">
        <v>0</v>
      </c>
      <c r="D882">
        <v>1</v>
      </c>
      <c r="E882">
        <v>233</v>
      </c>
      <c r="F882">
        <v>5374</v>
      </c>
      <c r="G882">
        <f t="shared" si="13"/>
        <v>3310720</v>
      </c>
    </row>
    <row r="883" spans="1:7" x14ac:dyDescent="0.25">
      <c r="A883">
        <v>3314936</v>
      </c>
      <c r="B883" t="s">
        <v>24326</v>
      </c>
      <c r="C883">
        <v>47</v>
      </c>
      <c r="D883">
        <v>5</v>
      </c>
      <c r="E883">
        <v>18223</v>
      </c>
      <c r="F883">
        <v>740</v>
      </c>
      <c r="G883">
        <f t="shared" si="13"/>
        <v>3314936</v>
      </c>
    </row>
    <row r="884" spans="1:7" x14ac:dyDescent="0.25">
      <c r="A884">
        <v>3321049</v>
      </c>
      <c r="B884" t="s">
        <v>24327</v>
      </c>
      <c r="C884">
        <v>0</v>
      </c>
      <c r="D884">
        <v>1</v>
      </c>
      <c r="E884">
        <v>87</v>
      </c>
      <c r="F884">
        <v>5920</v>
      </c>
      <c r="G884">
        <f t="shared" si="13"/>
        <v>3321049</v>
      </c>
    </row>
    <row r="885" spans="1:7" x14ac:dyDescent="0.25">
      <c r="A885">
        <v>3325325</v>
      </c>
      <c r="B885" t="s">
        <v>24328</v>
      </c>
      <c r="C885">
        <v>0</v>
      </c>
      <c r="D885">
        <v>1</v>
      </c>
      <c r="E885">
        <v>154</v>
      </c>
      <c r="F885">
        <v>5685</v>
      </c>
      <c r="G885">
        <f t="shared" si="13"/>
        <v>3325325</v>
      </c>
    </row>
    <row r="886" spans="1:7" x14ac:dyDescent="0.25">
      <c r="A886">
        <v>3328221</v>
      </c>
      <c r="B886" t="s">
        <v>24329</v>
      </c>
      <c r="C886">
        <v>1695</v>
      </c>
      <c r="D886">
        <v>1</v>
      </c>
      <c r="E886">
        <v>3136</v>
      </c>
      <c r="F886">
        <v>2973</v>
      </c>
      <c r="G886">
        <f t="shared" si="13"/>
        <v>3328221</v>
      </c>
    </row>
    <row r="887" spans="1:7" x14ac:dyDescent="0.25">
      <c r="A887">
        <v>3335085</v>
      </c>
      <c r="B887" t="s">
        <v>36072</v>
      </c>
      <c r="C887">
        <v>733</v>
      </c>
      <c r="D887">
        <v>5</v>
      </c>
      <c r="E887">
        <v>30252</v>
      </c>
      <c r="F887">
        <v>238</v>
      </c>
      <c r="G887">
        <f t="shared" si="13"/>
        <v>3335085</v>
      </c>
    </row>
    <row r="888" spans="1:7" x14ac:dyDescent="0.25">
      <c r="A888">
        <v>3339581</v>
      </c>
      <c r="B888" t="s">
        <v>24330</v>
      </c>
      <c r="C888">
        <v>151</v>
      </c>
      <c r="D888">
        <v>0</v>
      </c>
      <c r="E888">
        <v>0</v>
      </c>
      <c r="F888">
        <v>7094</v>
      </c>
      <c r="G888">
        <f t="shared" si="13"/>
        <v>3339581</v>
      </c>
    </row>
    <row r="889" spans="1:7" x14ac:dyDescent="0.25">
      <c r="A889">
        <v>3347981</v>
      </c>
      <c r="B889" t="s">
        <v>24331</v>
      </c>
      <c r="C889">
        <v>1734</v>
      </c>
      <c r="D889">
        <v>1</v>
      </c>
      <c r="E889">
        <v>1774</v>
      </c>
      <c r="F889">
        <v>3461</v>
      </c>
      <c r="G889">
        <f t="shared" si="13"/>
        <v>3347981</v>
      </c>
    </row>
    <row r="890" spans="1:7" x14ac:dyDescent="0.25">
      <c r="A890">
        <v>3351920</v>
      </c>
      <c r="B890" t="s">
        <v>24332</v>
      </c>
      <c r="C890">
        <v>0</v>
      </c>
      <c r="D890">
        <v>1</v>
      </c>
      <c r="E890">
        <v>2001</v>
      </c>
      <c r="F890">
        <v>3343</v>
      </c>
      <c r="G890">
        <f t="shared" si="13"/>
        <v>3351920</v>
      </c>
    </row>
    <row r="891" spans="1:7" x14ac:dyDescent="0.25">
      <c r="A891">
        <v>3353224</v>
      </c>
      <c r="B891" t="s">
        <v>24333</v>
      </c>
      <c r="C891">
        <v>1752</v>
      </c>
      <c r="D891">
        <v>1</v>
      </c>
      <c r="E891">
        <v>1775</v>
      </c>
      <c r="F891">
        <v>3460</v>
      </c>
      <c r="G891">
        <f t="shared" si="13"/>
        <v>3353224</v>
      </c>
    </row>
    <row r="892" spans="1:7" x14ac:dyDescent="0.25">
      <c r="A892">
        <v>3362710</v>
      </c>
      <c r="B892" t="s">
        <v>24334</v>
      </c>
      <c r="C892">
        <v>467</v>
      </c>
      <c r="D892">
        <v>7</v>
      </c>
      <c r="E892">
        <v>37077</v>
      </c>
      <c r="F892">
        <v>122</v>
      </c>
      <c r="G892">
        <f t="shared" si="13"/>
        <v>3362710</v>
      </c>
    </row>
    <row r="893" spans="1:7" x14ac:dyDescent="0.25">
      <c r="A893">
        <v>3362946</v>
      </c>
      <c r="B893" t="s">
        <v>36073</v>
      </c>
      <c r="C893">
        <v>27</v>
      </c>
      <c r="D893">
        <v>1</v>
      </c>
      <c r="E893">
        <v>5158</v>
      </c>
      <c r="F893">
        <v>2478</v>
      </c>
      <c r="G893">
        <f t="shared" si="13"/>
        <v>3362946</v>
      </c>
    </row>
    <row r="894" spans="1:7" x14ac:dyDescent="0.25">
      <c r="A894">
        <v>3363691</v>
      </c>
      <c r="B894" t="s">
        <v>24335</v>
      </c>
      <c r="C894">
        <v>552</v>
      </c>
      <c r="D894">
        <v>4</v>
      </c>
      <c r="E894">
        <v>24282</v>
      </c>
      <c r="F894">
        <v>430</v>
      </c>
      <c r="G894">
        <f t="shared" si="13"/>
        <v>3363691</v>
      </c>
    </row>
    <row r="895" spans="1:7" x14ac:dyDescent="0.25">
      <c r="A895">
        <v>3366692</v>
      </c>
      <c r="B895" t="s">
        <v>24336</v>
      </c>
      <c r="C895">
        <v>0</v>
      </c>
      <c r="D895">
        <v>1</v>
      </c>
      <c r="E895">
        <v>167</v>
      </c>
      <c r="F895">
        <v>5628</v>
      </c>
      <c r="G895">
        <f t="shared" si="13"/>
        <v>3366692</v>
      </c>
    </row>
    <row r="896" spans="1:7" x14ac:dyDescent="0.25">
      <c r="A896">
        <v>3368842</v>
      </c>
      <c r="B896" t="s">
        <v>24337</v>
      </c>
      <c r="C896">
        <v>0</v>
      </c>
      <c r="D896">
        <v>1</v>
      </c>
      <c r="E896">
        <v>73</v>
      </c>
      <c r="F896">
        <v>6029</v>
      </c>
      <c r="G896">
        <f t="shared" si="13"/>
        <v>3368842</v>
      </c>
    </row>
    <row r="897" spans="1:7" x14ac:dyDescent="0.25">
      <c r="A897">
        <v>3369251</v>
      </c>
      <c r="B897" t="s">
        <v>36984</v>
      </c>
      <c r="C897">
        <v>0</v>
      </c>
      <c r="D897">
        <v>1</v>
      </c>
      <c r="E897">
        <v>26</v>
      </c>
      <c r="F897">
        <v>6398</v>
      </c>
      <c r="G897">
        <f t="shared" ref="G897:G960" si="14">A897</f>
        <v>3369251</v>
      </c>
    </row>
    <row r="898" spans="1:7" x14ac:dyDescent="0.25">
      <c r="A898">
        <v>3371961</v>
      </c>
      <c r="B898" t="s">
        <v>24338</v>
      </c>
      <c r="C898">
        <v>0</v>
      </c>
      <c r="D898">
        <v>0</v>
      </c>
      <c r="E898">
        <v>0</v>
      </c>
      <c r="F898">
        <v>7095</v>
      </c>
      <c r="G898">
        <f t="shared" si="14"/>
        <v>3371961</v>
      </c>
    </row>
    <row r="899" spans="1:7" x14ac:dyDescent="0.25">
      <c r="A899">
        <v>3376139</v>
      </c>
      <c r="B899" t="s">
        <v>24339</v>
      </c>
      <c r="C899">
        <v>53</v>
      </c>
      <c r="D899">
        <v>3</v>
      </c>
      <c r="E899">
        <v>21051</v>
      </c>
      <c r="F899">
        <v>571</v>
      </c>
      <c r="G899">
        <f t="shared" si="14"/>
        <v>3376139</v>
      </c>
    </row>
    <row r="900" spans="1:7" x14ac:dyDescent="0.25">
      <c r="A900">
        <v>3383777</v>
      </c>
      <c r="B900" t="s">
        <v>36074</v>
      </c>
      <c r="C900">
        <v>1357</v>
      </c>
      <c r="D900">
        <v>1</v>
      </c>
      <c r="E900">
        <v>509</v>
      </c>
      <c r="F900">
        <v>4609</v>
      </c>
      <c r="G900">
        <f t="shared" si="14"/>
        <v>3383777</v>
      </c>
    </row>
    <row r="901" spans="1:7" x14ac:dyDescent="0.25">
      <c r="A901">
        <v>3387377</v>
      </c>
      <c r="B901" t="s">
        <v>24340</v>
      </c>
      <c r="C901">
        <v>190</v>
      </c>
      <c r="D901">
        <v>1</v>
      </c>
      <c r="E901">
        <v>3043</v>
      </c>
      <c r="F901">
        <v>2985</v>
      </c>
      <c r="G901">
        <f t="shared" si="14"/>
        <v>3387377</v>
      </c>
    </row>
    <row r="902" spans="1:7" x14ac:dyDescent="0.25">
      <c r="A902">
        <v>3396933</v>
      </c>
      <c r="B902" t="s">
        <v>24341</v>
      </c>
      <c r="C902">
        <v>1609</v>
      </c>
      <c r="D902">
        <v>3</v>
      </c>
      <c r="E902">
        <v>13941</v>
      </c>
      <c r="F902">
        <v>1086</v>
      </c>
      <c r="G902">
        <f t="shared" si="14"/>
        <v>3396933</v>
      </c>
    </row>
    <row r="903" spans="1:7" x14ac:dyDescent="0.25">
      <c r="A903">
        <v>3408793</v>
      </c>
      <c r="B903" t="s">
        <v>24342</v>
      </c>
      <c r="C903">
        <v>55</v>
      </c>
      <c r="D903">
        <v>1</v>
      </c>
      <c r="E903">
        <v>1136</v>
      </c>
      <c r="F903">
        <v>3844</v>
      </c>
      <c r="G903">
        <f t="shared" si="14"/>
        <v>3408793</v>
      </c>
    </row>
    <row r="904" spans="1:7" x14ac:dyDescent="0.25">
      <c r="A904">
        <v>3409026</v>
      </c>
      <c r="B904" t="s">
        <v>24343</v>
      </c>
      <c r="C904">
        <v>15</v>
      </c>
      <c r="D904">
        <v>2</v>
      </c>
      <c r="E904">
        <v>6110</v>
      </c>
      <c r="F904">
        <v>2253</v>
      </c>
      <c r="G904">
        <f t="shared" si="14"/>
        <v>3409026</v>
      </c>
    </row>
    <row r="905" spans="1:7" x14ac:dyDescent="0.25">
      <c r="A905">
        <v>3427882</v>
      </c>
      <c r="B905" t="s">
        <v>24344</v>
      </c>
      <c r="C905">
        <v>101</v>
      </c>
      <c r="D905">
        <v>0</v>
      </c>
      <c r="E905">
        <v>0</v>
      </c>
      <c r="F905">
        <v>7096</v>
      </c>
      <c r="G905">
        <f t="shared" si="14"/>
        <v>3427882</v>
      </c>
    </row>
    <row r="906" spans="1:7" x14ac:dyDescent="0.25">
      <c r="A906">
        <v>3435353</v>
      </c>
      <c r="B906" t="s">
        <v>24345</v>
      </c>
      <c r="C906">
        <v>69</v>
      </c>
      <c r="D906">
        <v>2</v>
      </c>
      <c r="E906">
        <v>12590</v>
      </c>
      <c r="F906">
        <v>1214</v>
      </c>
      <c r="G906">
        <f t="shared" si="14"/>
        <v>3435353</v>
      </c>
    </row>
    <row r="907" spans="1:7" x14ac:dyDescent="0.25">
      <c r="A907">
        <v>3435465</v>
      </c>
      <c r="B907" t="s">
        <v>24346</v>
      </c>
      <c r="C907">
        <v>0</v>
      </c>
      <c r="D907">
        <v>1</v>
      </c>
      <c r="E907">
        <v>769</v>
      </c>
      <c r="F907">
        <v>4248</v>
      </c>
      <c r="G907">
        <f t="shared" si="14"/>
        <v>3435465</v>
      </c>
    </row>
    <row r="908" spans="1:7" x14ac:dyDescent="0.25">
      <c r="A908">
        <v>3439996</v>
      </c>
      <c r="B908" t="s">
        <v>24347</v>
      </c>
      <c r="C908">
        <v>0</v>
      </c>
      <c r="D908">
        <v>1</v>
      </c>
      <c r="E908">
        <v>76</v>
      </c>
      <c r="F908">
        <v>6003</v>
      </c>
      <c r="G908">
        <f t="shared" si="14"/>
        <v>3439996</v>
      </c>
    </row>
    <row r="909" spans="1:7" x14ac:dyDescent="0.25">
      <c r="A909">
        <v>3440784</v>
      </c>
      <c r="B909" t="s">
        <v>24348</v>
      </c>
      <c r="C909">
        <v>419</v>
      </c>
      <c r="D909">
        <v>2</v>
      </c>
      <c r="E909">
        <v>9745</v>
      </c>
      <c r="F909">
        <v>1605</v>
      </c>
      <c r="G909">
        <f t="shared" si="14"/>
        <v>3440784</v>
      </c>
    </row>
    <row r="910" spans="1:7" x14ac:dyDescent="0.25">
      <c r="A910">
        <v>3449535</v>
      </c>
      <c r="B910" t="s">
        <v>24349</v>
      </c>
      <c r="C910">
        <v>412</v>
      </c>
      <c r="D910">
        <v>3</v>
      </c>
      <c r="E910">
        <v>13507</v>
      </c>
      <c r="F910">
        <v>1125</v>
      </c>
      <c r="G910">
        <f t="shared" si="14"/>
        <v>3449535</v>
      </c>
    </row>
    <row r="911" spans="1:7" x14ac:dyDescent="0.25">
      <c r="A911">
        <v>3451421</v>
      </c>
      <c r="B911" t="s">
        <v>24350</v>
      </c>
      <c r="C911">
        <v>1695</v>
      </c>
      <c r="D911">
        <v>1</v>
      </c>
      <c r="E911">
        <v>2122</v>
      </c>
      <c r="F911">
        <v>3298</v>
      </c>
      <c r="G911">
        <f t="shared" si="14"/>
        <v>3451421</v>
      </c>
    </row>
    <row r="912" spans="1:7" x14ac:dyDescent="0.25">
      <c r="A912">
        <v>3454576</v>
      </c>
      <c r="B912" t="s">
        <v>24351</v>
      </c>
      <c r="C912">
        <v>1315</v>
      </c>
      <c r="D912">
        <v>1</v>
      </c>
      <c r="E912">
        <v>473</v>
      </c>
      <c r="F912">
        <v>4710</v>
      </c>
      <c r="G912">
        <f t="shared" si="14"/>
        <v>3454576</v>
      </c>
    </row>
    <row r="913" spans="1:7" x14ac:dyDescent="0.25">
      <c r="A913">
        <v>3461705</v>
      </c>
      <c r="B913" t="s">
        <v>36985</v>
      </c>
      <c r="C913">
        <v>0</v>
      </c>
      <c r="D913">
        <v>0</v>
      </c>
      <c r="E913">
        <v>0</v>
      </c>
      <c r="F913">
        <v>7097</v>
      </c>
      <c r="G913">
        <f t="shared" si="14"/>
        <v>3461705</v>
      </c>
    </row>
    <row r="914" spans="1:7" x14ac:dyDescent="0.25">
      <c r="A914">
        <v>3466196</v>
      </c>
      <c r="B914" t="s">
        <v>24352</v>
      </c>
      <c r="C914">
        <v>1663</v>
      </c>
      <c r="D914">
        <v>0</v>
      </c>
      <c r="E914">
        <v>0</v>
      </c>
      <c r="F914">
        <v>7098</v>
      </c>
      <c r="G914">
        <f t="shared" si="14"/>
        <v>3466196</v>
      </c>
    </row>
    <row r="915" spans="1:7" x14ac:dyDescent="0.25">
      <c r="A915">
        <v>3466771</v>
      </c>
      <c r="B915" t="s">
        <v>24353</v>
      </c>
      <c r="C915">
        <v>0</v>
      </c>
      <c r="D915">
        <v>1</v>
      </c>
      <c r="E915">
        <v>458</v>
      </c>
      <c r="F915">
        <v>4728</v>
      </c>
      <c r="G915">
        <f t="shared" si="14"/>
        <v>3466771</v>
      </c>
    </row>
    <row r="916" spans="1:7" x14ac:dyDescent="0.25">
      <c r="A916">
        <v>3467530</v>
      </c>
      <c r="B916" t="s">
        <v>24354</v>
      </c>
      <c r="C916">
        <v>106</v>
      </c>
      <c r="D916">
        <v>2</v>
      </c>
      <c r="E916">
        <v>9350</v>
      </c>
      <c r="F916">
        <v>1662</v>
      </c>
      <c r="G916">
        <f t="shared" si="14"/>
        <v>3467530</v>
      </c>
    </row>
    <row r="917" spans="1:7" x14ac:dyDescent="0.25">
      <c r="A917">
        <v>3468182</v>
      </c>
      <c r="B917" t="s">
        <v>24355</v>
      </c>
      <c r="C917">
        <v>0</v>
      </c>
      <c r="D917">
        <v>1</v>
      </c>
      <c r="E917">
        <v>237</v>
      </c>
      <c r="F917">
        <v>5360</v>
      </c>
      <c r="G917">
        <f t="shared" si="14"/>
        <v>3468182</v>
      </c>
    </row>
    <row r="918" spans="1:7" x14ac:dyDescent="0.25">
      <c r="A918">
        <v>3468221</v>
      </c>
      <c r="B918" t="s">
        <v>36075</v>
      </c>
      <c r="C918">
        <v>1858</v>
      </c>
      <c r="D918">
        <v>1</v>
      </c>
      <c r="E918">
        <v>1614</v>
      </c>
      <c r="F918">
        <v>3542</v>
      </c>
      <c r="G918">
        <f t="shared" si="14"/>
        <v>3468221</v>
      </c>
    </row>
    <row r="919" spans="1:7" x14ac:dyDescent="0.25">
      <c r="A919">
        <v>3473126</v>
      </c>
      <c r="B919" t="s">
        <v>37254</v>
      </c>
      <c r="C919">
        <v>0</v>
      </c>
      <c r="D919">
        <v>0</v>
      </c>
      <c r="E919">
        <v>0</v>
      </c>
      <c r="F919">
        <v>7099</v>
      </c>
      <c r="G919">
        <f t="shared" si="14"/>
        <v>3473126</v>
      </c>
    </row>
    <row r="920" spans="1:7" x14ac:dyDescent="0.25">
      <c r="A920">
        <v>3479010</v>
      </c>
      <c r="B920" t="s">
        <v>24356</v>
      </c>
      <c r="C920">
        <v>294</v>
      </c>
      <c r="D920">
        <v>8</v>
      </c>
      <c r="E920">
        <v>33195</v>
      </c>
      <c r="F920">
        <v>177</v>
      </c>
      <c r="G920">
        <f t="shared" si="14"/>
        <v>3479010</v>
      </c>
    </row>
    <row r="921" spans="1:7" x14ac:dyDescent="0.25">
      <c r="A921">
        <v>3484637</v>
      </c>
      <c r="B921" t="s">
        <v>24357</v>
      </c>
      <c r="C921">
        <v>0</v>
      </c>
      <c r="D921">
        <v>2</v>
      </c>
      <c r="E921">
        <v>9720</v>
      </c>
      <c r="F921">
        <v>1595</v>
      </c>
      <c r="G921">
        <f t="shared" si="14"/>
        <v>3484637</v>
      </c>
    </row>
    <row r="922" spans="1:7" x14ac:dyDescent="0.25">
      <c r="A922">
        <v>3485059</v>
      </c>
      <c r="B922" t="s">
        <v>24358</v>
      </c>
      <c r="C922">
        <v>6</v>
      </c>
      <c r="D922">
        <v>6</v>
      </c>
      <c r="E922">
        <v>24524</v>
      </c>
      <c r="F922">
        <v>415</v>
      </c>
      <c r="G922">
        <f t="shared" si="14"/>
        <v>3485059</v>
      </c>
    </row>
    <row r="923" spans="1:7" x14ac:dyDescent="0.25">
      <c r="A923">
        <v>7591160</v>
      </c>
      <c r="B923" t="s">
        <v>24359</v>
      </c>
      <c r="C923">
        <v>294</v>
      </c>
      <c r="D923">
        <v>3</v>
      </c>
      <c r="E923">
        <v>15020</v>
      </c>
      <c r="F923">
        <v>994</v>
      </c>
      <c r="G923">
        <f t="shared" si="14"/>
        <v>7591160</v>
      </c>
    </row>
    <row r="924" spans="1:7" x14ac:dyDescent="0.25">
      <c r="A924">
        <v>7592744</v>
      </c>
      <c r="B924" t="s">
        <v>24360</v>
      </c>
      <c r="C924">
        <v>1403</v>
      </c>
      <c r="D924">
        <v>2</v>
      </c>
      <c r="E924">
        <v>4705</v>
      </c>
      <c r="F924">
        <v>2575</v>
      </c>
      <c r="G924">
        <f t="shared" si="14"/>
        <v>7592744</v>
      </c>
    </row>
    <row r="925" spans="1:7" x14ac:dyDescent="0.25">
      <c r="A925">
        <v>7594050</v>
      </c>
      <c r="B925" t="s">
        <v>24361</v>
      </c>
      <c r="C925">
        <v>0</v>
      </c>
      <c r="D925">
        <v>1</v>
      </c>
      <c r="E925">
        <v>26</v>
      </c>
      <c r="F925">
        <v>6399</v>
      </c>
      <c r="G925">
        <f t="shared" si="14"/>
        <v>7594050</v>
      </c>
    </row>
    <row r="926" spans="1:7" x14ac:dyDescent="0.25">
      <c r="A926">
        <v>7598773</v>
      </c>
      <c r="B926" t="s">
        <v>36076</v>
      </c>
      <c r="C926">
        <v>467</v>
      </c>
      <c r="D926">
        <v>2</v>
      </c>
      <c r="E926">
        <v>11978</v>
      </c>
      <c r="F926">
        <v>1283</v>
      </c>
      <c r="G926">
        <f t="shared" si="14"/>
        <v>7598773</v>
      </c>
    </row>
    <row r="927" spans="1:7" x14ac:dyDescent="0.25">
      <c r="A927">
        <v>7599264</v>
      </c>
      <c r="B927" t="s">
        <v>36077</v>
      </c>
      <c r="C927">
        <v>0</v>
      </c>
      <c r="D927">
        <v>1</v>
      </c>
      <c r="E927">
        <v>2096</v>
      </c>
      <c r="F927">
        <v>3294</v>
      </c>
      <c r="G927">
        <f t="shared" si="14"/>
        <v>7599264</v>
      </c>
    </row>
    <row r="928" spans="1:7" x14ac:dyDescent="0.25">
      <c r="A928">
        <v>7600466</v>
      </c>
      <c r="B928" t="s">
        <v>24362</v>
      </c>
      <c r="C928">
        <v>0</v>
      </c>
      <c r="D928">
        <v>0</v>
      </c>
      <c r="E928">
        <v>0</v>
      </c>
      <c r="F928">
        <v>7100</v>
      </c>
      <c r="G928">
        <f t="shared" si="14"/>
        <v>7600466</v>
      </c>
    </row>
    <row r="929" spans="1:7" x14ac:dyDescent="0.25">
      <c r="A929">
        <v>7603763</v>
      </c>
      <c r="B929" t="s">
        <v>24363</v>
      </c>
      <c r="C929">
        <v>1695</v>
      </c>
      <c r="D929">
        <v>1</v>
      </c>
      <c r="E929">
        <v>2886</v>
      </c>
      <c r="F929">
        <v>3016</v>
      </c>
      <c r="G929">
        <f t="shared" si="14"/>
        <v>7603763</v>
      </c>
    </row>
    <row r="930" spans="1:7" x14ac:dyDescent="0.25">
      <c r="A930">
        <v>7605699</v>
      </c>
      <c r="B930" t="s">
        <v>36078</v>
      </c>
      <c r="C930">
        <v>0</v>
      </c>
      <c r="D930">
        <v>0</v>
      </c>
      <c r="E930">
        <v>0</v>
      </c>
      <c r="F930">
        <v>7101</v>
      </c>
      <c r="G930">
        <f t="shared" si="14"/>
        <v>7605699</v>
      </c>
    </row>
    <row r="931" spans="1:7" x14ac:dyDescent="0.25">
      <c r="A931">
        <v>7607937</v>
      </c>
      <c r="B931" t="s">
        <v>24364</v>
      </c>
      <c r="C931">
        <v>1</v>
      </c>
      <c r="D931">
        <v>2</v>
      </c>
      <c r="E931">
        <v>6687</v>
      </c>
      <c r="F931">
        <v>2122</v>
      </c>
      <c r="G931">
        <f t="shared" si="14"/>
        <v>7607937</v>
      </c>
    </row>
    <row r="932" spans="1:7" x14ac:dyDescent="0.25">
      <c r="A932">
        <v>7610226</v>
      </c>
      <c r="B932" t="s">
        <v>24365</v>
      </c>
      <c r="C932">
        <v>1621</v>
      </c>
      <c r="D932">
        <v>0</v>
      </c>
      <c r="E932">
        <v>0</v>
      </c>
      <c r="F932">
        <v>7102</v>
      </c>
      <c r="G932">
        <f t="shared" si="14"/>
        <v>7610226</v>
      </c>
    </row>
    <row r="933" spans="1:7" x14ac:dyDescent="0.25">
      <c r="A933">
        <v>7611787</v>
      </c>
      <c r="B933" t="s">
        <v>36079</v>
      </c>
      <c r="C933">
        <v>1885</v>
      </c>
      <c r="D933">
        <v>1</v>
      </c>
      <c r="E933">
        <v>275</v>
      </c>
      <c r="F933">
        <v>5225</v>
      </c>
      <c r="G933">
        <f t="shared" si="14"/>
        <v>7611787</v>
      </c>
    </row>
    <row r="934" spans="1:7" x14ac:dyDescent="0.25">
      <c r="A934">
        <v>7614516</v>
      </c>
      <c r="B934" t="s">
        <v>36080</v>
      </c>
      <c r="C934">
        <v>53</v>
      </c>
      <c r="D934">
        <v>2</v>
      </c>
      <c r="E934">
        <v>7275</v>
      </c>
      <c r="F934">
        <v>2015</v>
      </c>
      <c r="G934">
        <f t="shared" si="14"/>
        <v>7614516</v>
      </c>
    </row>
    <row r="935" spans="1:7" x14ac:dyDescent="0.25">
      <c r="A935">
        <v>7615223</v>
      </c>
      <c r="B935" t="s">
        <v>24366</v>
      </c>
      <c r="C935">
        <v>0</v>
      </c>
      <c r="D935">
        <v>1</v>
      </c>
      <c r="E935">
        <v>1056</v>
      </c>
      <c r="F935">
        <v>3916</v>
      </c>
      <c r="G935">
        <f t="shared" si="14"/>
        <v>7615223</v>
      </c>
    </row>
    <row r="936" spans="1:7" x14ac:dyDescent="0.25">
      <c r="A936">
        <v>7615580</v>
      </c>
      <c r="B936" t="s">
        <v>37255</v>
      </c>
      <c r="C936">
        <v>625</v>
      </c>
      <c r="D936">
        <v>1</v>
      </c>
      <c r="E936">
        <v>2097</v>
      </c>
      <c r="F936">
        <v>3293</v>
      </c>
      <c r="G936">
        <f t="shared" si="14"/>
        <v>7615580</v>
      </c>
    </row>
    <row r="937" spans="1:7" x14ac:dyDescent="0.25">
      <c r="A937">
        <v>7617925</v>
      </c>
      <c r="B937" t="s">
        <v>24367</v>
      </c>
      <c r="C937">
        <v>0</v>
      </c>
      <c r="D937">
        <v>1</v>
      </c>
      <c r="E937">
        <v>26</v>
      </c>
      <c r="F937">
        <v>6400</v>
      </c>
      <c r="G937">
        <f t="shared" si="14"/>
        <v>7617925</v>
      </c>
    </row>
    <row r="938" spans="1:7" x14ac:dyDescent="0.25">
      <c r="A938">
        <v>7618318</v>
      </c>
      <c r="B938" t="s">
        <v>24368</v>
      </c>
      <c r="C938">
        <v>0</v>
      </c>
      <c r="D938">
        <v>0</v>
      </c>
      <c r="E938">
        <v>0</v>
      </c>
      <c r="F938">
        <v>7103</v>
      </c>
      <c r="G938">
        <f t="shared" si="14"/>
        <v>7618318</v>
      </c>
    </row>
    <row r="939" spans="1:7" x14ac:dyDescent="0.25">
      <c r="A939">
        <v>7620498</v>
      </c>
      <c r="B939" t="s">
        <v>24369</v>
      </c>
      <c r="C939">
        <v>0</v>
      </c>
      <c r="D939">
        <v>0</v>
      </c>
      <c r="E939">
        <v>0</v>
      </c>
      <c r="F939">
        <v>7104</v>
      </c>
      <c r="G939">
        <f t="shared" si="14"/>
        <v>7620498</v>
      </c>
    </row>
    <row r="940" spans="1:7" x14ac:dyDescent="0.25">
      <c r="A940">
        <v>7623632</v>
      </c>
      <c r="B940" t="s">
        <v>24370</v>
      </c>
      <c r="C940">
        <v>1913</v>
      </c>
      <c r="D940">
        <v>1</v>
      </c>
      <c r="E940">
        <v>2046</v>
      </c>
      <c r="F940">
        <v>3322</v>
      </c>
      <c r="G940">
        <f t="shared" si="14"/>
        <v>7623632</v>
      </c>
    </row>
    <row r="941" spans="1:7" x14ac:dyDescent="0.25">
      <c r="A941">
        <v>7624025</v>
      </c>
      <c r="B941" t="s">
        <v>24371</v>
      </c>
      <c r="C941">
        <v>617</v>
      </c>
      <c r="D941">
        <v>5</v>
      </c>
      <c r="E941">
        <v>16532</v>
      </c>
      <c r="F941">
        <v>868</v>
      </c>
      <c r="G941">
        <f t="shared" si="14"/>
        <v>7624025</v>
      </c>
    </row>
    <row r="942" spans="1:7" x14ac:dyDescent="0.25">
      <c r="A942">
        <v>7627920</v>
      </c>
      <c r="B942" t="s">
        <v>24372</v>
      </c>
      <c r="C942">
        <v>1688</v>
      </c>
      <c r="D942">
        <v>4</v>
      </c>
      <c r="E942">
        <v>12941</v>
      </c>
      <c r="F942">
        <v>1176</v>
      </c>
      <c r="G942">
        <f t="shared" si="14"/>
        <v>7627920</v>
      </c>
    </row>
    <row r="943" spans="1:7" x14ac:dyDescent="0.25">
      <c r="A943">
        <v>7629919</v>
      </c>
      <c r="B943" t="s">
        <v>24373</v>
      </c>
      <c r="C943">
        <v>0</v>
      </c>
      <c r="D943">
        <v>1</v>
      </c>
      <c r="E943">
        <v>26</v>
      </c>
      <c r="F943">
        <v>6401</v>
      </c>
      <c r="G943">
        <f t="shared" si="14"/>
        <v>7629919</v>
      </c>
    </row>
    <row r="944" spans="1:7" x14ac:dyDescent="0.25">
      <c r="A944">
        <v>7631574</v>
      </c>
      <c r="B944" t="s">
        <v>24374</v>
      </c>
      <c r="C944">
        <v>0</v>
      </c>
      <c r="D944">
        <v>1</v>
      </c>
      <c r="E944">
        <v>1156</v>
      </c>
      <c r="F944">
        <v>3820</v>
      </c>
      <c r="G944">
        <f t="shared" si="14"/>
        <v>7631574</v>
      </c>
    </row>
    <row r="945" spans="1:7" x14ac:dyDescent="0.25">
      <c r="A945">
        <v>7637874</v>
      </c>
      <c r="B945" t="s">
        <v>24375</v>
      </c>
      <c r="C945">
        <v>0</v>
      </c>
      <c r="D945">
        <v>1</v>
      </c>
      <c r="E945">
        <v>52</v>
      </c>
      <c r="F945">
        <v>6149</v>
      </c>
      <c r="G945">
        <f t="shared" si="14"/>
        <v>7637874</v>
      </c>
    </row>
    <row r="946" spans="1:7" x14ac:dyDescent="0.25">
      <c r="A946">
        <v>7639221</v>
      </c>
      <c r="B946" t="s">
        <v>36081</v>
      </c>
      <c r="C946">
        <v>0</v>
      </c>
      <c r="D946">
        <v>1</v>
      </c>
      <c r="E946">
        <v>735</v>
      </c>
      <c r="F946">
        <v>4288</v>
      </c>
      <c r="G946">
        <f t="shared" si="14"/>
        <v>7639221</v>
      </c>
    </row>
    <row r="947" spans="1:7" x14ac:dyDescent="0.25">
      <c r="A947">
        <v>7643960</v>
      </c>
      <c r="B947" t="s">
        <v>24376</v>
      </c>
      <c r="C947">
        <v>625</v>
      </c>
      <c r="D947">
        <v>1</v>
      </c>
      <c r="E947">
        <v>4938</v>
      </c>
      <c r="F947">
        <v>2525</v>
      </c>
      <c r="G947">
        <f t="shared" si="14"/>
        <v>7643960</v>
      </c>
    </row>
    <row r="948" spans="1:7" x14ac:dyDescent="0.25">
      <c r="A948">
        <v>7645581</v>
      </c>
      <c r="B948" t="s">
        <v>24377</v>
      </c>
      <c r="C948">
        <v>106</v>
      </c>
      <c r="D948">
        <v>2</v>
      </c>
      <c r="E948">
        <v>7488</v>
      </c>
      <c r="F948">
        <v>1980</v>
      </c>
      <c r="G948">
        <f t="shared" si="14"/>
        <v>7645581</v>
      </c>
    </row>
    <row r="949" spans="1:7" x14ac:dyDescent="0.25">
      <c r="A949">
        <v>7653905</v>
      </c>
      <c r="B949" t="s">
        <v>24378</v>
      </c>
      <c r="C949">
        <v>31</v>
      </c>
      <c r="D949">
        <v>3</v>
      </c>
      <c r="E949">
        <v>15547</v>
      </c>
      <c r="F949">
        <v>947</v>
      </c>
      <c r="G949">
        <f t="shared" si="14"/>
        <v>7653905</v>
      </c>
    </row>
    <row r="950" spans="1:7" x14ac:dyDescent="0.25">
      <c r="A950">
        <v>7654698</v>
      </c>
      <c r="B950" t="s">
        <v>24379</v>
      </c>
      <c r="C950">
        <v>6</v>
      </c>
      <c r="D950">
        <v>4</v>
      </c>
      <c r="E950">
        <v>22126</v>
      </c>
      <c r="F950">
        <v>522</v>
      </c>
      <c r="G950">
        <f t="shared" si="14"/>
        <v>7654698</v>
      </c>
    </row>
    <row r="951" spans="1:7" x14ac:dyDescent="0.25">
      <c r="A951">
        <v>7657059</v>
      </c>
      <c r="B951" t="s">
        <v>24380</v>
      </c>
      <c r="C951">
        <v>152</v>
      </c>
      <c r="D951">
        <v>6</v>
      </c>
      <c r="E951">
        <v>33834</v>
      </c>
      <c r="F951">
        <v>168</v>
      </c>
      <c r="G951">
        <f t="shared" si="14"/>
        <v>7657059</v>
      </c>
    </row>
    <row r="952" spans="1:7" x14ac:dyDescent="0.25">
      <c r="A952">
        <v>7657926</v>
      </c>
      <c r="B952" t="s">
        <v>24381</v>
      </c>
      <c r="C952">
        <v>268</v>
      </c>
      <c r="D952">
        <v>1</v>
      </c>
      <c r="E952">
        <v>240</v>
      </c>
      <c r="F952">
        <v>5378</v>
      </c>
      <c r="G952">
        <f t="shared" si="14"/>
        <v>7657926</v>
      </c>
    </row>
    <row r="953" spans="1:7" x14ac:dyDescent="0.25">
      <c r="A953">
        <v>7658091</v>
      </c>
      <c r="B953" t="s">
        <v>24382</v>
      </c>
      <c r="C953">
        <v>36</v>
      </c>
      <c r="D953">
        <v>1</v>
      </c>
      <c r="E953">
        <v>1038</v>
      </c>
      <c r="F953">
        <v>3936</v>
      </c>
      <c r="G953">
        <f t="shared" si="14"/>
        <v>7658091</v>
      </c>
    </row>
    <row r="954" spans="1:7" x14ac:dyDescent="0.25">
      <c r="A954">
        <v>7668315</v>
      </c>
      <c r="B954" t="s">
        <v>24383</v>
      </c>
      <c r="C954">
        <v>1732</v>
      </c>
      <c r="D954">
        <v>1</v>
      </c>
      <c r="E954">
        <v>2168</v>
      </c>
      <c r="F954">
        <v>3264</v>
      </c>
      <c r="G954">
        <f t="shared" si="14"/>
        <v>7668315</v>
      </c>
    </row>
    <row r="955" spans="1:7" x14ac:dyDescent="0.25">
      <c r="A955">
        <v>7670667</v>
      </c>
      <c r="B955" t="s">
        <v>24384</v>
      </c>
      <c r="C955">
        <v>0</v>
      </c>
      <c r="D955">
        <v>1</v>
      </c>
      <c r="E955">
        <v>26</v>
      </c>
      <c r="F955">
        <v>6402</v>
      </c>
      <c r="G955">
        <f t="shared" si="14"/>
        <v>7670667</v>
      </c>
    </row>
    <row r="956" spans="1:7" x14ac:dyDescent="0.25">
      <c r="A956">
        <v>7672723</v>
      </c>
      <c r="B956" t="s">
        <v>24385</v>
      </c>
      <c r="C956">
        <v>259</v>
      </c>
      <c r="D956">
        <v>3</v>
      </c>
      <c r="E956">
        <v>13369</v>
      </c>
      <c r="F956">
        <v>1131</v>
      </c>
      <c r="G956">
        <f t="shared" si="14"/>
        <v>7672723</v>
      </c>
    </row>
    <row r="957" spans="1:7" x14ac:dyDescent="0.25">
      <c r="A957">
        <v>7672804</v>
      </c>
      <c r="B957" t="s">
        <v>24386</v>
      </c>
      <c r="C957">
        <v>54</v>
      </c>
      <c r="D957">
        <v>1</v>
      </c>
      <c r="E957">
        <v>203</v>
      </c>
      <c r="F957">
        <v>5479</v>
      </c>
      <c r="G957">
        <f t="shared" si="14"/>
        <v>7672804</v>
      </c>
    </row>
    <row r="958" spans="1:7" x14ac:dyDescent="0.25">
      <c r="A958">
        <v>7674564</v>
      </c>
      <c r="B958" t="s">
        <v>24387</v>
      </c>
      <c r="C958">
        <v>1965</v>
      </c>
      <c r="D958">
        <v>1</v>
      </c>
      <c r="E958">
        <v>335</v>
      </c>
      <c r="F958">
        <v>5023</v>
      </c>
      <c r="G958">
        <f t="shared" si="14"/>
        <v>7674564</v>
      </c>
    </row>
    <row r="959" spans="1:7" x14ac:dyDescent="0.25">
      <c r="A959">
        <v>7676965</v>
      </c>
      <c r="B959" t="s">
        <v>24388</v>
      </c>
      <c r="C959">
        <v>0</v>
      </c>
      <c r="D959">
        <v>0</v>
      </c>
      <c r="E959">
        <v>0</v>
      </c>
      <c r="F959">
        <v>7105</v>
      </c>
      <c r="G959">
        <f t="shared" si="14"/>
        <v>7676965</v>
      </c>
    </row>
    <row r="960" spans="1:7" x14ac:dyDescent="0.25">
      <c r="A960">
        <v>7683314</v>
      </c>
      <c r="B960" t="s">
        <v>36082</v>
      </c>
      <c r="C960">
        <v>67</v>
      </c>
      <c r="D960">
        <v>4</v>
      </c>
      <c r="E960">
        <v>12055</v>
      </c>
      <c r="F960">
        <v>1277</v>
      </c>
      <c r="G960">
        <f t="shared" si="14"/>
        <v>7683314</v>
      </c>
    </row>
    <row r="961" spans="1:7" x14ac:dyDescent="0.25">
      <c r="A961">
        <v>7684309</v>
      </c>
      <c r="B961" t="s">
        <v>24389</v>
      </c>
      <c r="C961">
        <v>578</v>
      </c>
      <c r="D961">
        <v>5</v>
      </c>
      <c r="E961">
        <v>23068</v>
      </c>
      <c r="F961">
        <v>471</v>
      </c>
      <c r="G961">
        <f t="shared" ref="G961:G1024" si="15">A961</f>
        <v>7684309</v>
      </c>
    </row>
    <row r="962" spans="1:7" x14ac:dyDescent="0.25">
      <c r="A962">
        <v>7690912</v>
      </c>
      <c r="B962" t="s">
        <v>24390</v>
      </c>
      <c r="C962">
        <v>0</v>
      </c>
      <c r="D962">
        <v>1</v>
      </c>
      <c r="E962">
        <v>323</v>
      </c>
      <c r="F962">
        <v>5056</v>
      </c>
      <c r="G962">
        <f t="shared" si="15"/>
        <v>7690912</v>
      </c>
    </row>
    <row r="963" spans="1:7" x14ac:dyDescent="0.25">
      <c r="A963">
        <v>7697208</v>
      </c>
      <c r="B963" t="s">
        <v>37256</v>
      </c>
      <c r="C963">
        <v>0</v>
      </c>
      <c r="D963">
        <v>0</v>
      </c>
      <c r="E963">
        <v>0</v>
      </c>
      <c r="F963">
        <v>7106</v>
      </c>
      <c r="G963">
        <f t="shared" si="15"/>
        <v>7697208</v>
      </c>
    </row>
    <row r="964" spans="1:7" x14ac:dyDescent="0.25">
      <c r="A964">
        <v>7714338</v>
      </c>
      <c r="B964" t="s">
        <v>24391</v>
      </c>
      <c r="C964">
        <v>424</v>
      </c>
      <c r="D964">
        <v>3</v>
      </c>
      <c r="E964">
        <v>16563</v>
      </c>
      <c r="F964">
        <v>864</v>
      </c>
      <c r="G964">
        <f t="shared" si="15"/>
        <v>7714338</v>
      </c>
    </row>
    <row r="965" spans="1:7" x14ac:dyDescent="0.25">
      <c r="A965">
        <v>7715202</v>
      </c>
      <c r="B965" t="s">
        <v>24392</v>
      </c>
      <c r="C965">
        <v>0</v>
      </c>
      <c r="D965">
        <v>0</v>
      </c>
      <c r="E965">
        <v>0</v>
      </c>
      <c r="F965">
        <v>7107</v>
      </c>
      <c r="G965">
        <f t="shared" si="15"/>
        <v>7715202</v>
      </c>
    </row>
    <row r="966" spans="1:7" x14ac:dyDescent="0.25">
      <c r="A966">
        <v>7719918</v>
      </c>
      <c r="B966" t="s">
        <v>36083</v>
      </c>
      <c r="C966">
        <v>47</v>
      </c>
      <c r="D966">
        <v>2</v>
      </c>
      <c r="E966">
        <v>7814</v>
      </c>
      <c r="F966">
        <v>1919</v>
      </c>
      <c r="G966">
        <f t="shared" si="15"/>
        <v>7719918</v>
      </c>
    </row>
    <row r="967" spans="1:7" x14ac:dyDescent="0.25">
      <c r="A967">
        <v>7721033</v>
      </c>
      <c r="B967" t="s">
        <v>24393</v>
      </c>
      <c r="C967">
        <v>0</v>
      </c>
      <c r="D967">
        <v>0</v>
      </c>
      <c r="E967">
        <v>0</v>
      </c>
      <c r="F967">
        <v>7108</v>
      </c>
      <c r="G967">
        <f t="shared" si="15"/>
        <v>7721033</v>
      </c>
    </row>
    <row r="968" spans="1:7" x14ac:dyDescent="0.25">
      <c r="A968">
        <v>7723058</v>
      </c>
      <c r="B968" t="s">
        <v>37035</v>
      </c>
      <c r="C968">
        <v>0</v>
      </c>
      <c r="D968">
        <v>1</v>
      </c>
      <c r="E968">
        <v>573</v>
      </c>
      <c r="F968">
        <v>4507</v>
      </c>
      <c r="G968">
        <f t="shared" si="15"/>
        <v>7723058</v>
      </c>
    </row>
    <row r="969" spans="1:7" x14ac:dyDescent="0.25">
      <c r="A969">
        <v>7727491</v>
      </c>
      <c r="B969" t="s">
        <v>24394</v>
      </c>
      <c r="C969">
        <v>69</v>
      </c>
      <c r="D969">
        <v>2</v>
      </c>
      <c r="E969">
        <v>9017</v>
      </c>
      <c r="F969">
        <v>1714</v>
      </c>
      <c r="G969">
        <f t="shared" si="15"/>
        <v>7727491</v>
      </c>
    </row>
    <row r="970" spans="1:7" x14ac:dyDescent="0.25">
      <c r="A970">
        <v>7728544</v>
      </c>
      <c r="B970" t="s">
        <v>24395</v>
      </c>
      <c r="C970">
        <v>422</v>
      </c>
      <c r="D970">
        <v>4</v>
      </c>
      <c r="E970">
        <v>20083</v>
      </c>
      <c r="F970">
        <v>617</v>
      </c>
      <c r="G970">
        <f t="shared" si="15"/>
        <v>7728544</v>
      </c>
    </row>
    <row r="971" spans="1:7" x14ac:dyDescent="0.25">
      <c r="A971">
        <v>7731195</v>
      </c>
      <c r="B971" t="s">
        <v>24396</v>
      </c>
      <c r="C971">
        <v>0</v>
      </c>
      <c r="D971">
        <v>1</v>
      </c>
      <c r="E971">
        <v>279</v>
      </c>
      <c r="F971">
        <v>5184</v>
      </c>
      <c r="G971">
        <f t="shared" si="15"/>
        <v>7731195</v>
      </c>
    </row>
    <row r="972" spans="1:7" x14ac:dyDescent="0.25">
      <c r="A972">
        <v>7734530</v>
      </c>
      <c r="B972" t="s">
        <v>24397</v>
      </c>
      <c r="C972">
        <v>94</v>
      </c>
      <c r="D972">
        <v>2</v>
      </c>
      <c r="E972">
        <v>5442</v>
      </c>
      <c r="F972">
        <v>2434</v>
      </c>
      <c r="G972">
        <f t="shared" si="15"/>
        <v>7734530</v>
      </c>
    </row>
    <row r="973" spans="1:7" x14ac:dyDescent="0.25">
      <c r="A973">
        <v>7743888</v>
      </c>
      <c r="B973" t="s">
        <v>24398</v>
      </c>
      <c r="C973">
        <v>0</v>
      </c>
      <c r="D973">
        <v>0</v>
      </c>
      <c r="E973">
        <v>0</v>
      </c>
      <c r="F973">
        <v>7109</v>
      </c>
      <c r="G973">
        <f t="shared" si="15"/>
        <v>7743888</v>
      </c>
    </row>
    <row r="974" spans="1:7" x14ac:dyDescent="0.25">
      <c r="A974">
        <v>7746251</v>
      </c>
      <c r="B974" t="s">
        <v>24399</v>
      </c>
      <c r="C974">
        <v>27</v>
      </c>
      <c r="D974">
        <v>4</v>
      </c>
      <c r="E974">
        <v>19591</v>
      </c>
      <c r="F974">
        <v>647</v>
      </c>
      <c r="G974">
        <f t="shared" si="15"/>
        <v>7746251</v>
      </c>
    </row>
    <row r="975" spans="1:7" x14ac:dyDescent="0.25">
      <c r="A975">
        <v>7755325</v>
      </c>
      <c r="B975" t="s">
        <v>24400</v>
      </c>
      <c r="C975">
        <v>1850</v>
      </c>
      <c r="D975">
        <v>1</v>
      </c>
      <c r="E975">
        <v>1382</v>
      </c>
      <c r="F975">
        <v>3671</v>
      </c>
      <c r="G975">
        <f t="shared" si="15"/>
        <v>7755325</v>
      </c>
    </row>
    <row r="976" spans="1:7" x14ac:dyDescent="0.25">
      <c r="A976">
        <v>7755584</v>
      </c>
      <c r="B976" t="s">
        <v>24401</v>
      </c>
      <c r="C976">
        <v>1784</v>
      </c>
      <c r="D976">
        <v>1</v>
      </c>
      <c r="E976">
        <v>684</v>
      </c>
      <c r="F976">
        <v>4360</v>
      </c>
      <c r="G976">
        <f t="shared" si="15"/>
        <v>7755584</v>
      </c>
    </row>
    <row r="977" spans="1:7" x14ac:dyDescent="0.25">
      <c r="A977">
        <v>7757230</v>
      </c>
      <c r="B977" t="s">
        <v>24402</v>
      </c>
      <c r="C977">
        <v>0</v>
      </c>
      <c r="D977">
        <v>1</v>
      </c>
      <c r="E977">
        <v>506</v>
      </c>
      <c r="F977">
        <v>4617</v>
      </c>
      <c r="G977">
        <f t="shared" si="15"/>
        <v>7757230</v>
      </c>
    </row>
    <row r="978" spans="1:7" x14ac:dyDescent="0.25">
      <c r="A978">
        <v>7757709</v>
      </c>
      <c r="B978" t="s">
        <v>24403</v>
      </c>
      <c r="C978">
        <v>0</v>
      </c>
      <c r="D978">
        <v>1</v>
      </c>
      <c r="E978">
        <v>162</v>
      </c>
      <c r="F978">
        <v>5645</v>
      </c>
      <c r="G978">
        <f t="shared" si="15"/>
        <v>7757709</v>
      </c>
    </row>
    <row r="979" spans="1:7" x14ac:dyDescent="0.25">
      <c r="A979">
        <v>7758047</v>
      </c>
      <c r="B979" t="s">
        <v>24404</v>
      </c>
      <c r="C979">
        <v>325</v>
      </c>
      <c r="D979">
        <v>0</v>
      </c>
      <c r="E979">
        <v>0</v>
      </c>
      <c r="F979">
        <v>7110</v>
      </c>
      <c r="G979">
        <f t="shared" si="15"/>
        <v>7758047</v>
      </c>
    </row>
    <row r="980" spans="1:7" x14ac:dyDescent="0.25">
      <c r="A980">
        <v>7759833</v>
      </c>
      <c r="B980" t="s">
        <v>24405</v>
      </c>
      <c r="C980">
        <v>1856</v>
      </c>
      <c r="D980">
        <v>1</v>
      </c>
      <c r="E980">
        <v>828</v>
      </c>
      <c r="F980">
        <v>4159</v>
      </c>
      <c r="G980">
        <f t="shared" si="15"/>
        <v>7759833</v>
      </c>
    </row>
    <row r="981" spans="1:7" x14ac:dyDescent="0.25">
      <c r="A981">
        <v>7761272</v>
      </c>
      <c r="B981" t="s">
        <v>36084</v>
      </c>
      <c r="C981">
        <v>174</v>
      </c>
      <c r="D981">
        <v>1</v>
      </c>
      <c r="E981">
        <v>4245</v>
      </c>
      <c r="F981">
        <v>2703</v>
      </c>
      <c r="G981">
        <f t="shared" si="15"/>
        <v>7761272</v>
      </c>
    </row>
    <row r="982" spans="1:7" x14ac:dyDescent="0.25">
      <c r="A982">
        <v>7762409</v>
      </c>
      <c r="B982" t="s">
        <v>24406</v>
      </c>
      <c r="C982">
        <v>0</v>
      </c>
      <c r="D982">
        <v>1</v>
      </c>
      <c r="E982">
        <v>2811</v>
      </c>
      <c r="F982">
        <v>3039</v>
      </c>
      <c r="G982">
        <f t="shared" si="15"/>
        <v>7762409</v>
      </c>
    </row>
    <row r="983" spans="1:7" x14ac:dyDescent="0.25">
      <c r="A983">
        <v>7764592</v>
      </c>
      <c r="B983" t="s">
        <v>24407</v>
      </c>
      <c r="C983">
        <v>0</v>
      </c>
      <c r="D983">
        <v>1</v>
      </c>
      <c r="E983">
        <v>97</v>
      </c>
      <c r="F983">
        <v>5862</v>
      </c>
      <c r="G983">
        <f t="shared" si="15"/>
        <v>7764592</v>
      </c>
    </row>
    <row r="984" spans="1:7" x14ac:dyDescent="0.25">
      <c r="A984">
        <v>7764645</v>
      </c>
      <c r="B984" t="s">
        <v>36085</v>
      </c>
      <c r="C984">
        <v>1357</v>
      </c>
      <c r="D984">
        <v>1</v>
      </c>
      <c r="E984">
        <v>570</v>
      </c>
      <c r="F984">
        <v>4517</v>
      </c>
      <c r="G984">
        <f t="shared" si="15"/>
        <v>7764645</v>
      </c>
    </row>
    <row r="985" spans="1:7" x14ac:dyDescent="0.25">
      <c r="A985">
        <v>7765891</v>
      </c>
      <c r="B985" t="s">
        <v>24408</v>
      </c>
      <c r="C985">
        <v>1900</v>
      </c>
      <c r="D985">
        <v>2</v>
      </c>
      <c r="E985">
        <v>12416</v>
      </c>
      <c r="F985">
        <v>1239</v>
      </c>
      <c r="G985">
        <f t="shared" si="15"/>
        <v>7765891</v>
      </c>
    </row>
    <row r="986" spans="1:7" x14ac:dyDescent="0.25">
      <c r="A986">
        <v>7773756</v>
      </c>
      <c r="B986" t="s">
        <v>24409</v>
      </c>
      <c r="C986">
        <v>0</v>
      </c>
      <c r="D986">
        <v>1</v>
      </c>
      <c r="E986">
        <v>26</v>
      </c>
      <c r="F986">
        <v>6403</v>
      </c>
      <c r="G986">
        <f t="shared" si="15"/>
        <v>7773756</v>
      </c>
    </row>
    <row r="987" spans="1:7" x14ac:dyDescent="0.25">
      <c r="A987">
        <v>7775748</v>
      </c>
      <c r="B987" t="s">
        <v>37036</v>
      </c>
      <c r="C987">
        <v>1232</v>
      </c>
      <c r="D987">
        <v>2</v>
      </c>
      <c r="E987">
        <v>6102</v>
      </c>
      <c r="F987">
        <v>2252</v>
      </c>
      <c r="G987">
        <f t="shared" si="15"/>
        <v>7775748</v>
      </c>
    </row>
    <row r="988" spans="1:7" x14ac:dyDescent="0.25">
      <c r="A988">
        <v>7776593</v>
      </c>
      <c r="B988" t="s">
        <v>36086</v>
      </c>
      <c r="C988">
        <v>0</v>
      </c>
      <c r="D988">
        <v>0</v>
      </c>
      <c r="E988">
        <v>0</v>
      </c>
      <c r="F988">
        <v>7111</v>
      </c>
      <c r="G988">
        <f t="shared" si="15"/>
        <v>7776593</v>
      </c>
    </row>
    <row r="989" spans="1:7" x14ac:dyDescent="0.25">
      <c r="A989">
        <v>7777802</v>
      </c>
      <c r="B989" t="s">
        <v>24410</v>
      </c>
      <c r="C989">
        <v>106</v>
      </c>
      <c r="D989">
        <v>2</v>
      </c>
      <c r="E989">
        <v>6618</v>
      </c>
      <c r="F989">
        <v>2135</v>
      </c>
      <c r="G989">
        <f t="shared" si="15"/>
        <v>7777802</v>
      </c>
    </row>
    <row r="990" spans="1:7" x14ac:dyDescent="0.25">
      <c r="A990">
        <v>7778412</v>
      </c>
      <c r="B990" t="s">
        <v>24411</v>
      </c>
      <c r="C990">
        <v>0</v>
      </c>
      <c r="D990">
        <v>1</v>
      </c>
      <c r="E990">
        <v>3329</v>
      </c>
      <c r="F990">
        <v>2919</v>
      </c>
      <c r="G990">
        <f t="shared" si="15"/>
        <v>7778412</v>
      </c>
    </row>
    <row r="991" spans="1:7" x14ac:dyDescent="0.25">
      <c r="A991">
        <v>7782438</v>
      </c>
      <c r="B991" t="s">
        <v>36087</v>
      </c>
      <c r="C991">
        <v>1340</v>
      </c>
      <c r="D991">
        <v>3</v>
      </c>
      <c r="E991">
        <v>8078</v>
      </c>
      <c r="F991">
        <v>1865</v>
      </c>
      <c r="G991">
        <f t="shared" si="15"/>
        <v>7782438</v>
      </c>
    </row>
    <row r="992" spans="1:7" x14ac:dyDescent="0.25">
      <c r="A992">
        <v>7785606</v>
      </c>
      <c r="B992" t="s">
        <v>36986</v>
      </c>
      <c r="C992">
        <v>643</v>
      </c>
      <c r="D992">
        <v>7</v>
      </c>
      <c r="E992">
        <v>37259</v>
      </c>
      <c r="F992">
        <v>116</v>
      </c>
      <c r="G992">
        <f t="shared" si="15"/>
        <v>7785606</v>
      </c>
    </row>
    <row r="993" spans="1:7" x14ac:dyDescent="0.25">
      <c r="A993">
        <v>7793327</v>
      </c>
      <c r="B993" t="s">
        <v>24412</v>
      </c>
      <c r="C993">
        <v>0</v>
      </c>
      <c r="D993">
        <v>1</v>
      </c>
      <c r="E993">
        <v>264</v>
      </c>
      <c r="F993">
        <v>5244</v>
      </c>
      <c r="G993">
        <f t="shared" si="15"/>
        <v>7793327</v>
      </c>
    </row>
    <row r="994" spans="1:7" x14ac:dyDescent="0.25">
      <c r="A994">
        <v>7794052</v>
      </c>
      <c r="B994" t="s">
        <v>24413</v>
      </c>
      <c r="C994">
        <v>1620</v>
      </c>
      <c r="D994">
        <v>1</v>
      </c>
      <c r="E994">
        <v>2153</v>
      </c>
      <c r="F994">
        <v>3276</v>
      </c>
      <c r="G994">
        <f t="shared" si="15"/>
        <v>7794052</v>
      </c>
    </row>
    <row r="995" spans="1:7" x14ac:dyDescent="0.25">
      <c r="A995">
        <v>7801082</v>
      </c>
      <c r="B995" t="s">
        <v>36088</v>
      </c>
      <c r="C995">
        <v>1363</v>
      </c>
      <c r="D995">
        <v>1</v>
      </c>
      <c r="E995">
        <v>3443</v>
      </c>
      <c r="F995">
        <v>2887</v>
      </c>
      <c r="G995">
        <f t="shared" si="15"/>
        <v>7801082</v>
      </c>
    </row>
    <row r="996" spans="1:7" x14ac:dyDescent="0.25">
      <c r="A996">
        <v>7801723</v>
      </c>
      <c r="B996" t="s">
        <v>36089</v>
      </c>
      <c r="C996">
        <v>138</v>
      </c>
      <c r="D996">
        <v>5</v>
      </c>
      <c r="E996">
        <v>21551</v>
      </c>
      <c r="F996">
        <v>545</v>
      </c>
      <c r="G996">
        <f t="shared" si="15"/>
        <v>7801723</v>
      </c>
    </row>
    <row r="997" spans="1:7" x14ac:dyDescent="0.25">
      <c r="A997">
        <v>7801744</v>
      </c>
      <c r="B997" t="s">
        <v>24414</v>
      </c>
      <c r="C997">
        <v>190</v>
      </c>
      <c r="D997">
        <v>1</v>
      </c>
      <c r="E997">
        <v>358</v>
      </c>
      <c r="F997">
        <v>4956</v>
      </c>
      <c r="G997">
        <f t="shared" si="15"/>
        <v>7801744</v>
      </c>
    </row>
    <row r="998" spans="1:7" x14ac:dyDescent="0.25">
      <c r="A998">
        <v>7805308</v>
      </c>
      <c r="B998" t="s">
        <v>36090</v>
      </c>
      <c r="C998">
        <v>1880</v>
      </c>
      <c r="D998">
        <v>1</v>
      </c>
      <c r="E998">
        <v>990</v>
      </c>
      <c r="F998">
        <v>4000</v>
      </c>
      <c r="G998">
        <f t="shared" si="15"/>
        <v>7805308</v>
      </c>
    </row>
    <row r="999" spans="1:7" x14ac:dyDescent="0.25">
      <c r="A999">
        <v>7805538</v>
      </c>
      <c r="B999" t="s">
        <v>24415</v>
      </c>
      <c r="C999">
        <v>0</v>
      </c>
      <c r="D999">
        <v>1</v>
      </c>
      <c r="E999">
        <v>592</v>
      </c>
      <c r="F999">
        <v>4477</v>
      </c>
      <c r="G999">
        <f t="shared" si="15"/>
        <v>7805538</v>
      </c>
    </row>
    <row r="1000" spans="1:7" x14ac:dyDescent="0.25">
      <c r="A1000">
        <v>7806131</v>
      </c>
      <c r="B1000" t="s">
        <v>24416</v>
      </c>
      <c r="C1000">
        <v>0</v>
      </c>
      <c r="D1000">
        <v>0</v>
      </c>
      <c r="E1000">
        <v>0</v>
      </c>
      <c r="F1000">
        <v>7112</v>
      </c>
      <c r="G1000">
        <f t="shared" si="15"/>
        <v>7806131</v>
      </c>
    </row>
    <row r="1001" spans="1:7" x14ac:dyDescent="0.25">
      <c r="A1001">
        <v>7806902</v>
      </c>
      <c r="B1001" t="s">
        <v>24417</v>
      </c>
      <c r="C1001">
        <v>643</v>
      </c>
      <c r="D1001">
        <v>14</v>
      </c>
      <c r="E1001">
        <v>90051</v>
      </c>
      <c r="F1001">
        <v>1</v>
      </c>
      <c r="G1001">
        <f t="shared" si="15"/>
        <v>7806902</v>
      </c>
    </row>
    <row r="1002" spans="1:7" x14ac:dyDescent="0.25">
      <c r="A1002">
        <v>7811335</v>
      </c>
      <c r="B1002" t="s">
        <v>24418</v>
      </c>
      <c r="C1002">
        <v>152</v>
      </c>
      <c r="D1002">
        <v>3</v>
      </c>
      <c r="E1002">
        <v>15468</v>
      </c>
      <c r="F1002">
        <v>950</v>
      </c>
      <c r="G1002">
        <f t="shared" si="15"/>
        <v>7811335</v>
      </c>
    </row>
    <row r="1003" spans="1:7" x14ac:dyDescent="0.25">
      <c r="A1003">
        <v>7816945</v>
      </c>
      <c r="B1003" t="s">
        <v>37257</v>
      </c>
      <c r="C1003">
        <v>1413</v>
      </c>
      <c r="D1003">
        <v>2</v>
      </c>
      <c r="E1003">
        <v>6473</v>
      </c>
      <c r="F1003">
        <v>2173</v>
      </c>
      <c r="G1003">
        <f t="shared" si="15"/>
        <v>7816945</v>
      </c>
    </row>
    <row r="1004" spans="1:7" x14ac:dyDescent="0.25">
      <c r="A1004">
        <v>7818701</v>
      </c>
      <c r="B1004" t="s">
        <v>24419</v>
      </c>
      <c r="C1004">
        <v>1850</v>
      </c>
      <c r="D1004">
        <v>1</v>
      </c>
      <c r="E1004">
        <v>2668</v>
      </c>
      <c r="F1004">
        <v>3079</v>
      </c>
      <c r="G1004">
        <f t="shared" si="15"/>
        <v>7818701</v>
      </c>
    </row>
    <row r="1005" spans="1:7" x14ac:dyDescent="0.25">
      <c r="A1005">
        <v>7824484</v>
      </c>
      <c r="B1005" t="s">
        <v>36091</v>
      </c>
      <c r="C1005">
        <v>189</v>
      </c>
      <c r="D1005">
        <v>5</v>
      </c>
      <c r="E1005">
        <v>19268</v>
      </c>
      <c r="F1005">
        <v>670</v>
      </c>
      <c r="G1005">
        <f t="shared" si="15"/>
        <v>7824484</v>
      </c>
    </row>
    <row r="1006" spans="1:7" x14ac:dyDescent="0.25">
      <c r="A1006">
        <v>7825726</v>
      </c>
      <c r="B1006" t="s">
        <v>36092</v>
      </c>
      <c r="C1006">
        <v>1885</v>
      </c>
      <c r="D1006">
        <v>1</v>
      </c>
      <c r="E1006">
        <v>697</v>
      </c>
      <c r="F1006">
        <v>4347</v>
      </c>
      <c r="G1006">
        <f t="shared" si="15"/>
        <v>7825726</v>
      </c>
    </row>
    <row r="1007" spans="1:7" x14ac:dyDescent="0.25">
      <c r="A1007">
        <v>7829787</v>
      </c>
      <c r="B1007" t="s">
        <v>24420</v>
      </c>
      <c r="C1007">
        <v>1837</v>
      </c>
      <c r="D1007">
        <v>1</v>
      </c>
      <c r="E1007">
        <v>165</v>
      </c>
      <c r="F1007">
        <v>5634</v>
      </c>
      <c r="G1007">
        <f t="shared" si="15"/>
        <v>7829787</v>
      </c>
    </row>
    <row r="1008" spans="1:7" x14ac:dyDescent="0.25">
      <c r="A1008">
        <v>7830140</v>
      </c>
      <c r="B1008" t="s">
        <v>36093</v>
      </c>
      <c r="C1008">
        <v>0</v>
      </c>
      <c r="D1008">
        <v>1</v>
      </c>
      <c r="E1008">
        <v>483</v>
      </c>
      <c r="F1008">
        <v>4716</v>
      </c>
      <c r="G1008">
        <f t="shared" si="15"/>
        <v>7830140</v>
      </c>
    </row>
    <row r="1009" spans="1:7" x14ac:dyDescent="0.25">
      <c r="A1009">
        <v>7831827</v>
      </c>
      <c r="B1009" t="s">
        <v>24421</v>
      </c>
      <c r="C1009">
        <v>1357</v>
      </c>
      <c r="D1009">
        <v>0</v>
      </c>
      <c r="E1009">
        <v>0</v>
      </c>
      <c r="F1009">
        <v>7113</v>
      </c>
      <c r="G1009">
        <f t="shared" si="15"/>
        <v>7831827</v>
      </c>
    </row>
    <row r="1010" spans="1:7" x14ac:dyDescent="0.25">
      <c r="A1010">
        <v>7836798</v>
      </c>
      <c r="B1010" t="s">
        <v>24422</v>
      </c>
      <c r="C1010">
        <v>0</v>
      </c>
      <c r="D1010">
        <v>1</v>
      </c>
      <c r="E1010">
        <v>26</v>
      </c>
      <c r="F1010">
        <v>6404</v>
      </c>
      <c r="G1010">
        <f t="shared" si="15"/>
        <v>7836798</v>
      </c>
    </row>
    <row r="1011" spans="1:7" x14ac:dyDescent="0.25">
      <c r="A1011">
        <v>7837965</v>
      </c>
      <c r="B1011" t="s">
        <v>36094</v>
      </c>
      <c r="C1011">
        <v>1688</v>
      </c>
      <c r="D1011">
        <v>3</v>
      </c>
      <c r="E1011">
        <v>8007</v>
      </c>
      <c r="F1011">
        <v>1878</v>
      </c>
      <c r="G1011">
        <f t="shared" si="15"/>
        <v>7837965</v>
      </c>
    </row>
    <row r="1012" spans="1:7" x14ac:dyDescent="0.25">
      <c r="A1012">
        <v>7841686</v>
      </c>
      <c r="B1012" t="s">
        <v>24423</v>
      </c>
      <c r="C1012">
        <v>0</v>
      </c>
      <c r="D1012">
        <v>1</v>
      </c>
      <c r="E1012">
        <v>26</v>
      </c>
      <c r="F1012">
        <v>6405</v>
      </c>
      <c r="G1012">
        <f t="shared" si="15"/>
        <v>7841686</v>
      </c>
    </row>
    <row r="1013" spans="1:7" x14ac:dyDescent="0.25">
      <c r="A1013">
        <v>7850854</v>
      </c>
      <c r="B1013" t="s">
        <v>24424</v>
      </c>
      <c r="C1013">
        <v>0</v>
      </c>
      <c r="D1013">
        <v>0</v>
      </c>
      <c r="E1013">
        <v>0</v>
      </c>
      <c r="F1013">
        <v>7114</v>
      </c>
      <c r="G1013">
        <f t="shared" si="15"/>
        <v>7850854</v>
      </c>
    </row>
    <row r="1014" spans="1:7" x14ac:dyDescent="0.25">
      <c r="A1014">
        <v>7856245</v>
      </c>
      <c r="B1014" t="s">
        <v>24425</v>
      </c>
      <c r="C1014">
        <v>0</v>
      </c>
      <c r="D1014">
        <v>1</v>
      </c>
      <c r="E1014">
        <v>276</v>
      </c>
      <c r="F1014">
        <v>5217</v>
      </c>
      <c r="G1014">
        <f t="shared" si="15"/>
        <v>7856245</v>
      </c>
    </row>
    <row r="1015" spans="1:7" x14ac:dyDescent="0.25">
      <c r="A1015">
        <v>7857634</v>
      </c>
      <c r="B1015" t="s">
        <v>24426</v>
      </c>
      <c r="C1015">
        <v>0</v>
      </c>
      <c r="D1015">
        <v>0</v>
      </c>
      <c r="E1015">
        <v>0</v>
      </c>
      <c r="F1015">
        <v>7115</v>
      </c>
      <c r="G1015">
        <f t="shared" si="15"/>
        <v>7857634</v>
      </c>
    </row>
    <row r="1016" spans="1:7" x14ac:dyDescent="0.25">
      <c r="A1016">
        <v>7857985</v>
      </c>
      <c r="B1016" t="s">
        <v>37037</v>
      </c>
      <c r="C1016">
        <v>151</v>
      </c>
      <c r="D1016">
        <v>0</v>
      </c>
      <c r="E1016">
        <v>0</v>
      </c>
      <c r="F1016">
        <v>7116</v>
      </c>
      <c r="G1016">
        <f t="shared" si="15"/>
        <v>7857985</v>
      </c>
    </row>
    <row r="1017" spans="1:7" x14ac:dyDescent="0.25">
      <c r="A1017">
        <v>7860348</v>
      </c>
      <c r="B1017" t="s">
        <v>24427</v>
      </c>
      <c r="C1017">
        <v>1107</v>
      </c>
      <c r="D1017">
        <v>1</v>
      </c>
      <c r="E1017">
        <v>273</v>
      </c>
      <c r="F1017">
        <v>5209</v>
      </c>
      <c r="G1017">
        <f t="shared" si="15"/>
        <v>7860348</v>
      </c>
    </row>
    <row r="1018" spans="1:7" x14ac:dyDescent="0.25">
      <c r="A1018">
        <v>7866086</v>
      </c>
      <c r="B1018" t="s">
        <v>24428</v>
      </c>
      <c r="C1018">
        <v>152</v>
      </c>
      <c r="D1018">
        <v>2</v>
      </c>
      <c r="E1018">
        <v>10727</v>
      </c>
      <c r="F1018">
        <v>1456</v>
      </c>
      <c r="G1018">
        <f t="shared" si="15"/>
        <v>7866086</v>
      </c>
    </row>
    <row r="1019" spans="1:7" x14ac:dyDescent="0.25">
      <c r="A1019">
        <v>7867309</v>
      </c>
      <c r="B1019" t="s">
        <v>24429</v>
      </c>
      <c r="C1019">
        <v>0</v>
      </c>
      <c r="D1019">
        <v>1</v>
      </c>
      <c r="E1019">
        <v>838</v>
      </c>
      <c r="F1019">
        <v>4156</v>
      </c>
      <c r="G1019">
        <f t="shared" si="15"/>
        <v>7867309</v>
      </c>
    </row>
    <row r="1020" spans="1:7" x14ac:dyDescent="0.25">
      <c r="A1020">
        <v>7867799</v>
      </c>
      <c r="B1020" t="s">
        <v>24430</v>
      </c>
      <c r="C1020">
        <v>1806</v>
      </c>
      <c r="D1020">
        <v>1</v>
      </c>
      <c r="E1020">
        <v>2548</v>
      </c>
      <c r="F1020">
        <v>3119</v>
      </c>
      <c r="G1020">
        <f t="shared" si="15"/>
        <v>7867799</v>
      </c>
    </row>
    <row r="1021" spans="1:7" x14ac:dyDescent="0.25">
      <c r="A1021">
        <v>7873819</v>
      </c>
      <c r="B1021" t="s">
        <v>24431</v>
      </c>
      <c r="C1021">
        <v>0</v>
      </c>
      <c r="D1021">
        <v>1</v>
      </c>
      <c r="E1021">
        <v>494</v>
      </c>
      <c r="F1021">
        <v>4656</v>
      </c>
      <c r="G1021">
        <f t="shared" si="15"/>
        <v>7873819</v>
      </c>
    </row>
    <row r="1022" spans="1:7" x14ac:dyDescent="0.25">
      <c r="A1022">
        <v>7877158</v>
      </c>
      <c r="B1022" t="s">
        <v>24432</v>
      </c>
      <c r="C1022">
        <v>1914</v>
      </c>
      <c r="D1022">
        <v>1</v>
      </c>
      <c r="E1022">
        <v>294</v>
      </c>
      <c r="F1022">
        <v>5138</v>
      </c>
      <c r="G1022">
        <f t="shared" si="15"/>
        <v>7877158</v>
      </c>
    </row>
    <row r="1023" spans="1:7" x14ac:dyDescent="0.25">
      <c r="A1023">
        <v>7879300</v>
      </c>
      <c r="B1023" t="s">
        <v>24433</v>
      </c>
      <c r="C1023">
        <v>1849</v>
      </c>
      <c r="D1023">
        <v>1</v>
      </c>
      <c r="E1023">
        <v>1102</v>
      </c>
      <c r="F1023">
        <v>3872</v>
      </c>
      <c r="G1023">
        <f t="shared" si="15"/>
        <v>7879300</v>
      </c>
    </row>
    <row r="1024" spans="1:7" x14ac:dyDescent="0.25">
      <c r="A1024">
        <v>7879631</v>
      </c>
      <c r="B1024" t="s">
        <v>24434</v>
      </c>
      <c r="C1024">
        <v>1880</v>
      </c>
      <c r="D1024">
        <v>1</v>
      </c>
      <c r="E1024">
        <v>679</v>
      </c>
      <c r="F1024">
        <v>4384</v>
      </c>
      <c r="G1024">
        <f t="shared" si="15"/>
        <v>7879631</v>
      </c>
    </row>
    <row r="1025" spans="1:7" x14ac:dyDescent="0.25">
      <c r="A1025">
        <v>7879748</v>
      </c>
      <c r="B1025" t="s">
        <v>24435</v>
      </c>
      <c r="C1025">
        <v>1357</v>
      </c>
      <c r="D1025">
        <v>1</v>
      </c>
      <c r="E1025">
        <v>2770</v>
      </c>
      <c r="F1025">
        <v>3047</v>
      </c>
      <c r="G1025">
        <f t="shared" ref="G1025:G1088" si="16">A1025</f>
        <v>7879748</v>
      </c>
    </row>
    <row r="1026" spans="1:7" x14ac:dyDescent="0.25">
      <c r="A1026">
        <v>7880167</v>
      </c>
      <c r="B1026" t="s">
        <v>36095</v>
      </c>
      <c r="C1026">
        <v>259</v>
      </c>
      <c r="D1026">
        <v>1</v>
      </c>
      <c r="E1026">
        <v>4684</v>
      </c>
      <c r="F1026">
        <v>2579</v>
      </c>
      <c r="G1026">
        <f t="shared" si="16"/>
        <v>7880167</v>
      </c>
    </row>
    <row r="1027" spans="1:7" x14ac:dyDescent="0.25">
      <c r="A1027">
        <v>7880401</v>
      </c>
      <c r="B1027" t="s">
        <v>37038</v>
      </c>
      <c r="C1027">
        <v>151</v>
      </c>
      <c r="D1027">
        <v>1</v>
      </c>
      <c r="E1027">
        <v>538</v>
      </c>
      <c r="F1027">
        <v>4568</v>
      </c>
      <c r="G1027">
        <f t="shared" si="16"/>
        <v>7880401</v>
      </c>
    </row>
    <row r="1028" spans="1:7" x14ac:dyDescent="0.25">
      <c r="A1028">
        <v>7880842</v>
      </c>
      <c r="B1028" t="s">
        <v>24436</v>
      </c>
      <c r="C1028">
        <v>0</v>
      </c>
      <c r="D1028">
        <v>1</v>
      </c>
      <c r="E1028">
        <v>802</v>
      </c>
      <c r="F1028">
        <v>4194</v>
      </c>
      <c r="G1028">
        <f t="shared" si="16"/>
        <v>7880842</v>
      </c>
    </row>
    <row r="1029" spans="1:7" x14ac:dyDescent="0.25">
      <c r="A1029">
        <v>7882291</v>
      </c>
      <c r="B1029" t="s">
        <v>36096</v>
      </c>
      <c r="C1029">
        <v>0</v>
      </c>
      <c r="D1029">
        <v>1</v>
      </c>
      <c r="E1029">
        <v>38</v>
      </c>
      <c r="F1029">
        <v>6266</v>
      </c>
      <c r="G1029">
        <f t="shared" si="16"/>
        <v>7882291</v>
      </c>
    </row>
    <row r="1030" spans="1:7" x14ac:dyDescent="0.25">
      <c r="A1030">
        <v>7883310</v>
      </c>
      <c r="B1030" t="s">
        <v>36097</v>
      </c>
      <c r="C1030">
        <v>0</v>
      </c>
      <c r="D1030">
        <v>1</v>
      </c>
      <c r="E1030">
        <v>26</v>
      </c>
      <c r="F1030">
        <v>6406</v>
      </c>
      <c r="G1030">
        <f t="shared" si="16"/>
        <v>7883310</v>
      </c>
    </row>
    <row r="1031" spans="1:7" x14ac:dyDescent="0.25">
      <c r="A1031">
        <v>7884169</v>
      </c>
      <c r="B1031" t="s">
        <v>24437</v>
      </c>
      <c r="C1031">
        <v>0</v>
      </c>
      <c r="D1031">
        <v>1</v>
      </c>
      <c r="E1031">
        <v>184</v>
      </c>
      <c r="F1031">
        <v>5564</v>
      </c>
      <c r="G1031">
        <f t="shared" si="16"/>
        <v>7884169</v>
      </c>
    </row>
    <row r="1032" spans="1:7" x14ac:dyDescent="0.25">
      <c r="A1032">
        <v>7890127</v>
      </c>
      <c r="B1032" t="s">
        <v>24438</v>
      </c>
      <c r="C1032">
        <v>294</v>
      </c>
      <c r="D1032">
        <v>1</v>
      </c>
      <c r="E1032">
        <v>7486</v>
      </c>
      <c r="F1032">
        <v>1982</v>
      </c>
      <c r="G1032">
        <f t="shared" si="16"/>
        <v>7890127</v>
      </c>
    </row>
    <row r="1033" spans="1:7" x14ac:dyDescent="0.25">
      <c r="A1033">
        <v>7894942</v>
      </c>
      <c r="B1033" t="s">
        <v>24439</v>
      </c>
      <c r="C1033">
        <v>1930</v>
      </c>
      <c r="D1033">
        <v>1</v>
      </c>
      <c r="E1033">
        <v>4044</v>
      </c>
      <c r="F1033">
        <v>2762</v>
      </c>
      <c r="G1033">
        <f t="shared" si="16"/>
        <v>7894942</v>
      </c>
    </row>
    <row r="1034" spans="1:7" x14ac:dyDescent="0.25">
      <c r="A1034">
        <v>7901195</v>
      </c>
      <c r="B1034" t="s">
        <v>24440</v>
      </c>
      <c r="C1034">
        <v>0</v>
      </c>
      <c r="D1034">
        <v>0</v>
      </c>
      <c r="E1034">
        <v>0</v>
      </c>
      <c r="F1034">
        <v>7117</v>
      </c>
      <c r="G1034">
        <f t="shared" si="16"/>
        <v>7901195</v>
      </c>
    </row>
    <row r="1035" spans="1:7" x14ac:dyDescent="0.25">
      <c r="A1035">
        <v>7901609</v>
      </c>
      <c r="B1035" t="s">
        <v>24441</v>
      </c>
      <c r="C1035">
        <v>399</v>
      </c>
      <c r="D1035">
        <v>1</v>
      </c>
      <c r="E1035">
        <v>2658</v>
      </c>
      <c r="F1035">
        <v>3083</v>
      </c>
      <c r="G1035">
        <f t="shared" si="16"/>
        <v>7901609</v>
      </c>
    </row>
    <row r="1036" spans="1:7" x14ac:dyDescent="0.25">
      <c r="A1036">
        <v>7904253</v>
      </c>
      <c r="B1036" t="s">
        <v>24442</v>
      </c>
      <c r="C1036">
        <v>121</v>
      </c>
      <c r="D1036">
        <v>0</v>
      </c>
      <c r="E1036">
        <v>0</v>
      </c>
      <c r="F1036">
        <v>7118</v>
      </c>
      <c r="G1036">
        <f t="shared" si="16"/>
        <v>7904253</v>
      </c>
    </row>
    <row r="1037" spans="1:7" x14ac:dyDescent="0.25">
      <c r="A1037">
        <v>7904967</v>
      </c>
      <c r="B1037" t="s">
        <v>36098</v>
      </c>
      <c r="C1037">
        <v>0</v>
      </c>
      <c r="D1037">
        <v>1</v>
      </c>
      <c r="E1037">
        <v>232</v>
      </c>
      <c r="F1037">
        <v>5379</v>
      </c>
      <c r="G1037">
        <f t="shared" si="16"/>
        <v>7904967</v>
      </c>
    </row>
    <row r="1038" spans="1:7" x14ac:dyDescent="0.25">
      <c r="A1038">
        <v>7906356</v>
      </c>
      <c r="B1038" t="s">
        <v>24443</v>
      </c>
      <c r="C1038">
        <v>1743</v>
      </c>
      <c r="D1038">
        <v>1</v>
      </c>
      <c r="E1038">
        <v>3279</v>
      </c>
      <c r="F1038">
        <v>2928</v>
      </c>
      <c r="G1038">
        <f t="shared" si="16"/>
        <v>7906356</v>
      </c>
    </row>
    <row r="1039" spans="1:7" x14ac:dyDescent="0.25">
      <c r="A1039">
        <v>7911348</v>
      </c>
      <c r="B1039" t="s">
        <v>24444</v>
      </c>
      <c r="C1039">
        <v>11</v>
      </c>
      <c r="D1039">
        <v>0</v>
      </c>
      <c r="E1039">
        <v>0</v>
      </c>
      <c r="F1039">
        <v>7119</v>
      </c>
      <c r="G1039">
        <f t="shared" si="16"/>
        <v>7911348</v>
      </c>
    </row>
    <row r="1040" spans="1:7" x14ac:dyDescent="0.25">
      <c r="A1040">
        <v>7914342</v>
      </c>
      <c r="B1040" t="s">
        <v>24445</v>
      </c>
      <c r="C1040">
        <v>0</v>
      </c>
      <c r="D1040">
        <v>1</v>
      </c>
      <c r="E1040">
        <v>1096</v>
      </c>
      <c r="F1040">
        <v>3875</v>
      </c>
      <c r="G1040">
        <f t="shared" si="16"/>
        <v>7914342</v>
      </c>
    </row>
    <row r="1041" spans="1:7" x14ac:dyDescent="0.25">
      <c r="A1041">
        <v>7914761</v>
      </c>
      <c r="B1041">
        <v>22011966</v>
      </c>
      <c r="C1041">
        <v>1689</v>
      </c>
      <c r="D1041">
        <v>3</v>
      </c>
      <c r="E1041">
        <v>9127</v>
      </c>
      <c r="F1041">
        <v>1696</v>
      </c>
      <c r="G1041">
        <f t="shared" si="16"/>
        <v>7914761</v>
      </c>
    </row>
    <row r="1042" spans="1:7" x14ac:dyDescent="0.25">
      <c r="A1042">
        <v>7916427</v>
      </c>
      <c r="B1042" t="s">
        <v>24446</v>
      </c>
      <c r="C1042">
        <v>760</v>
      </c>
      <c r="D1042">
        <v>3</v>
      </c>
      <c r="E1042">
        <v>14552</v>
      </c>
      <c r="F1042">
        <v>1028</v>
      </c>
      <c r="G1042">
        <f t="shared" si="16"/>
        <v>7916427</v>
      </c>
    </row>
    <row r="1043" spans="1:7" x14ac:dyDescent="0.25">
      <c r="A1043">
        <v>7916545</v>
      </c>
      <c r="B1043" t="s">
        <v>24447</v>
      </c>
      <c r="C1043">
        <v>0</v>
      </c>
      <c r="D1043">
        <v>1</v>
      </c>
      <c r="E1043">
        <v>26</v>
      </c>
      <c r="F1043">
        <v>6407</v>
      </c>
      <c r="G1043">
        <f t="shared" si="16"/>
        <v>7916545</v>
      </c>
    </row>
    <row r="1044" spans="1:7" x14ac:dyDescent="0.25">
      <c r="A1044">
        <v>7917910</v>
      </c>
      <c r="B1044" t="s">
        <v>24448</v>
      </c>
      <c r="C1044">
        <v>151</v>
      </c>
      <c r="D1044">
        <v>0</v>
      </c>
      <c r="E1044">
        <v>0</v>
      </c>
      <c r="F1044">
        <v>7120</v>
      </c>
      <c r="G1044">
        <f t="shared" si="16"/>
        <v>7917910</v>
      </c>
    </row>
    <row r="1045" spans="1:7" x14ac:dyDescent="0.25">
      <c r="A1045">
        <v>7918583</v>
      </c>
      <c r="B1045" t="s">
        <v>24449</v>
      </c>
      <c r="C1045">
        <v>1</v>
      </c>
      <c r="D1045">
        <v>0</v>
      </c>
      <c r="E1045">
        <v>0</v>
      </c>
      <c r="F1045">
        <v>7121</v>
      </c>
      <c r="G1045">
        <f t="shared" si="16"/>
        <v>7918583</v>
      </c>
    </row>
    <row r="1046" spans="1:7" x14ac:dyDescent="0.25">
      <c r="A1046">
        <v>7918634</v>
      </c>
      <c r="B1046" t="s">
        <v>36099</v>
      </c>
      <c r="C1046">
        <v>0</v>
      </c>
      <c r="D1046">
        <v>1</v>
      </c>
      <c r="E1046">
        <v>237</v>
      </c>
      <c r="F1046">
        <v>5361</v>
      </c>
      <c r="G1046">
        <f t="shared" si="16"/>
        <v>7918634</v>
      </c>
    </row>
    <row r="1047" spans="1:7" x14ac:dyDescent="0.25">
      <c r="A1047">
        <v>7923684</v>
      </c>
      <c r="B1047" t="s">
        <v>24450</v>
      </c>
      <c r="C1047">
        <v>0</v>
      </c>
      <c r="D1047">
        <v>1</v>
      </c>
      <c r="E1047">
        <v>449</v>
      </c>
      <c r="F1047">
        <v>4743</v>
      </c>
      <c r="G1047">
        <f t="shared" si="16"/>
        <v>7923684</v>
      </c>
    </row>
    <row r="1048" spans="1:7" x14ac:dyDescent="0.25">
      <c r="A1048">
        <v>7924203</v>
      </c>
      <c r="B1048" t="s">
        <v>36987</v>
      </c>
      <c r="C1048">
        <v>760</v>
      </c>
      <c r="D1048">
        <v>4</v>
      </c>
      <c r="E1048">
        <v>25339</v>
      </c>
      <c r="F1048">
        <v>381</v>
      </c>
      <c r="G1048">
        <f t="shared" si="16"/>
        <v>7924203</v>
      </c>
    </row>
    <row r="1049" spans="1:7" x14ac:dyDescent="0.25">
      <c r="A1049">
        <v>7926607</v>
      </c>
      <c r="B1049" t="s">
        <v>24451</v>
      </c>
      <c r="C1049">
        <v>0</v>
      </c>
      <c r="D1049">
        <v>0</v>
      </c>
      <c r="E1049">
        <v>0</v>
      </c>
      <c r="F1049">
        <v>7122</v>
      </c>
      <c r="G1049">
        <f t="shared" si="16"/>
        <v>7926607</v>
      </c>
    </row>
    <row r="1050" spans="1:7" x14ac:dyDescent="0.25">
      <c r="A1050">
        <v>7928000</v>
      </c>
      <c r="B1050" t="s">
        <v>24452</v>
      </c>
      <c r="C1050">
        <v>431</v>
      </c>
      <c r="D1050">
        <v>2</v>
      </c>
      <c r="E1050">
        <v>7633</v>
      </c>
      <c r="F1050">
        <v>1956</v>
      </c>
      <c r="G1050">
        <f t="shared" si="16"/>
        <v>7928000</v>
      </c>
    </row>
    <row r="1051" spans="1:7" x14ac:dyDescent="0.25">
      <c r="A1051">
        <v>7932390</v>
      </c>
      <c r="B1051" t="s">
        <v>24453</v>
      </c>
      <c r="C1051">
        <v>25</v>
      </c>
      <c r="D1051">
        <v>4</v>
      </c>
      <c r="E1051">
        <v>20890</v>
      </c>
      <c r="F1051">
        <v>573</v>
      </c>
      <c r="G1051">
        <f t="shared" si="16"/>
        <v>7932390</v>
      </c>
    </row>
    <row r="1052" spans="1:7" x14ac:dyDescent="0.25">
      <c r="A1052">
        <v>7934108</v>
      </c>
      <c r="B1052" t="s">
        <v>24454</v>
      </c>
      <c r="C1052">
        <v>0</v>
      </c>
      <c r="D1052">
        <v>1</v>
      </c>
      <c r="E1052">
        <v>101</v>
      </c>
      <c r="F1052">
        <v>5843</v>
      </c>
      <c r="G1052">
        <f t="shared" si="16"/>
        <v>7934108</v>
      </c>
    </row>
    <row r="1053" spans="1:7" x14ac:dyDescent="0.25">
      <c r="A1053">
        <v>7935427</v>
      </c>
      <c r="B1053" t="s">
        <v>24455</v>
      </c>
      <c r="C1053">
        <v>422</v>
      </c>
      <c r="D1053">
        <v>5</v>
      </c>
      <c r="E1053">
        <v>30675</v>
      </c>
      <c r="F1053">
        <v>232</v>
      </c>
      <c r="G1053">
        <f t="shared" si="16"/>
        <v>7935427</v>
      </c>
    </row>
    <row r="1054" spans="1:7" x14ac:dyDescent="0.25">
      <c r="A1054">
        <v>7936488</v>
      </c>
      <c r="B1054" t="s">
        <v>36100</v>
      </c>
      <c r="C1054">
        <v>0</v>
      </c>
      <c r="D1054">
        <v>1</v>
      </c>
      <c r="E1054">
        <v>256</v>
      </c>
      <c r="F1054">
        <v>5274</v>
      </c>
      <c r="G1054">
        <f t="shared" si="16"/>
        <v>7936488</v>
      </c>
    </row>
    <row r="1055" spans="1:7" x14ac:dyDescent="0.25">
      <c r="A1055">
        <v>7940101</v>
      </c>
      <c r="B1055" t="s">
        <v>24456</v>
      </c>
      <c r="C1055">
        <v>0</v>
      </c>
      <c r="D1055">
        <v>1</v>
      </c>
      <c r="E1055">
        <v>153</v>
      </c>
      <c r="F1055">
        <v>5687</v>
      </c>
      <c r="G1055">
        <f t="shared" si="16"/>
        <v>7940101</v>
      </c>
    </row>
    <row r="1056" spans="1:7" x14ac:dyDescent="0.25">
      <c r="A1056">
        <v>7943688</v>
      </c>
      <c r="B1056" t="s">
        <v>37258</v>
      </c>
      <c r="C1056">
        <v>3</v>
      </c>
      <c r="D1056">
        <v>3</v>
      </c>
      <c r="E1056">
        <v>13562</v>
      </c>
      <c r="F1056">
        <v>1123</v>
      </c>
      <c r="G1056">
        <f t="shared" si="16"/>
        <v>7943688</v>
      </c>
    </row>
    <row r="1057" spans="1:7" x14ac:dyDescent="0.25">
      <c r="A1057">
        <v>7943814</v>
      </c>
      <c r="B1057" t="s">
        <v>24457</v>
      </c>
      <c r="C1057">
        <v>0</v>
      </c>
      <c r="D1057">
        <v>0</v>
      </c>
      <c r="E1057">
        <v>0</v>
      </c>
      <c r="F1057">
        <v>7123</v>
      </c>
      <c r="G1057">
        <f t="shared" si="16"/>
        <v>7943814</v>
      </c>
    </row>
    <row r="1058" spans="1:7" x14ac:dyDescent="0.25">
      <c r="A1058">
        <v>7943883</v>
      </c>
      <c r="B1058" t="s">
        <v>36101</v>
      </c>
      <c r="C1058">
        <v>199</v>
      </c>
      <c r="D1058">
        <v>3</v>
      </c>
      <c r="E1058">
        <v>11166</v>
      </c>
      <c r="F1058">
        <v>1388</v>
      </c>
      <c r="G1058">
        <f t="shared" si="16"/>
        <v>7943883</v>
      </c>
    </row>
    <row r="1059" spans="1:7" x14ac:dyDescent="0.25">
      <c r="A1059">
        <v>7948740</v>
      </c>
      <c r="B1059" t="s">
        <v>24458</v>
      </c>
      <c r="C1059">
        <v>1708</v>
      </c>
      <c r="D1059">
        <v>1</v>
      </c>
      <c r="E1059">
        <v>1391</v>
      </c>
      <c r="F1059">
        <v>3664</v>
      </c>
      <c r="G1059">
        <f t="shared" si="16"/>
        <v>7948740</v>
      </c>
    </row>
    <row r="1060" spans="1:7" x14ac:dyDescent="0.25">
      <c r="A1060">
        <v>7950014</v>
      </c>
      <c r="B1060" t="s">
        <v>36102</v>
      </c>
      <c r="C1060">
        <v>0</v>
      </c>
      <c r="D1060">
        <v>0</v>
      </c>
      <c r="E1060">
        <v>0</v>
      </c>
      <c r="F1060">
        <v>7124</v>
      </c>
      <c r="G1060">
        <f t="shared" si="16"/>
        <v>7950014</v>
      </c>
    </row>
    <row r="1061" spans="1:7" x14ac:dyDescent="0.25">
      <c r="A1061">
        <v>7951144</v>
      </c>
      <c r="B1061" t="s">
        <v>24459</v>
      </c>
      <c r="C1061">
        <v>1622</v>
      </c>
      <c r="D1061">
        <v>1</v>
      </c>
      <c r="E1061">
        <v>699</v>
      </c>
      <c r="F1061">
        <v>4345</v>
      </c>
      <c r="G1061">
        <f t="shared" si="16"/>
        <v>7951144</v>
      </c>
    </row>
    <row r="1062" spans="1:7" x14ac:dyDescent="0.25">
      <c r="A1062">
        <v>7951561</v>
      </c>
      <c r="B1062" t="s">
        <v>24460</v>
      </c>
      <c r="C1062">
        <v>0</v>
      </c>
      <c r="D1062">
        <v>0</v>
      </c>
      <c r="E1062">
        <v>0</v>
      </c>
      <c r="F1062">
        <v>7125</v>
      </c>
      <c r="G1062">
        <f t="shared" si="16"/>
        <v>7951561</v>
      </c>
    </row>
    <row r="1063" spans="1:7" x14ac:dyDescent="0.25">
      <c r="A1063">
        <v>7951778</v>
      </c>
      <c r="B1063" t="s">
        <v>37039</v>
      </c>
      <c r="C1063">
        <v>186</v>
      </c>
      <c r="D1063">
        <v>2</v>
      </c>
      <c r="E1063">
        <v>4884</v>
      </c>
      <c r="F1063">
        <v>2537</v>
      </c>
      <c r="G1063">
        <f t="shared" si="16"/>
        <v>7951778</v>
      </c>
    </row>
    <row r="1064" spans="1:7" x14ac:dyDescent="0.25">
      <c r="A1064">
        <v>7952015</v>
      </c>
      <c r="B1064" t="s">
        <v>24461</v>
      </c>
      <c r="C1064">
        <v>1622</v>
      </c>
      <c r="D1064">
        <v>1</v>
      </c>
      <c r="E1064">
        <v>476</v>
      </c>
      <c r="F1064">
        <v>4687</v>
      </c>
      <c r="G1064">
        <f t="shared" si="16"/>
        <v>7952015</v>
      </c>
    </row>
    <row r="1065" spans="1:7" x14ac:dyDescent="0.25">
      <c r="A1065">
        <v>7953081</v>
      </c>
      <c r="B1065" t="s">
        <v>24462</v>
      </c>
      <c r="C1065">
        <v>1817</v>
      </c>
      <c r="D1065">
        <v>2</v>
      </c>
      <c r="E1065">
        <v>5340</v>
      </c>
      <c r="F1065">
        <v>2446</v>
      </c>
      <c r="G1065">
        <f t="shared" si="16"/>
        <v>7953081</v>
      </c>
    </row>
    <row r="1066" spans="1:7" x14ac:dyDescent="0.25">
      <c r="A1066">
        <v>7956383</v>
      </c>
      <c r="B1066" t="s">
        <v>36103</v>
      </c>
      <c r="C1066">
        <v>0</v>
      </c>
      <c r="D1066">
        <v>1</v>
      </c>
      <c r="E1066">
        <v>302</v>
      </c>
      <c r="F1066">
        <v>5114</v>
      </c>
      <c r="G1066">
        <f t="shared" si="16"/>
        <v>7956383</v>
      </c>
    </row>
    <row r="1067" spans="1:7" x14ac:dyDescent="0.25">
      <c r="A1067">
        <v>7958886</v>
      </c>
      <c r="B1067" t="s">
        <v>24463</v>
      </c>
      <c r="C1067">
        <v>69</v>
      </c>
      <c r="D1067">
        <v>3</v>
      </c>
      <c r="E1067">
        <v>14572</v>
      </c>
      <c r="F1067">
        <v>1029</v>
      </c>
      <c r="G1067">
        <f t="shared" si="16"/>
        <v>7958886</v>
      </c>
    </row>
    <row r="1068" spans="1:7" x14ac:dyDescent="0.25">
      <c r="A1068">
        <v>7960757</v>
      </c>
      <c r="B1068" t="s">
        <v>24464</v>
      </c>
      <c r="C1068">
        <v>31</v>
      </c>
      <c r="D1068">
        <v>5</v>
      </c>
      <c r="E1068">
        <v>25406</v>
      </c>
      <c r="F1068">
        <v>380</v>
      </c>
      <c r="G1068">
        <f t="shared" si="16"/>
        <v>7960757</v>
      </c>
    </row>
    <row r="1069" spans="1:7" x14ac:dyDescent="0.25">
      <c r="A1069">
        <v>7966151</v>
      </c>
      <c r="B1069" t="s">
        <v>24465</v>
      </c>
      <c r="C1069">
        <v>1743</v>
      </c>
      <c r="D1069">
        <v>1</v>
      </c>
      <c r="E1069">
        <v>2045</v>
      </c>
      <c r="F1069">
        <v>3359</v>
      </c>
      <c r="G1069">
        <f t="shared" si="16"/>
        <v>7966151</v>
      </c>
    </row>
    <row r="1070" spans="1:7" x14ac:dyDescent="0.25">
      <c r="A1070">
        <v>7969846</v>
      </c>
      <c r="B1070" t="s">
        <v>24466</v>
      </c>
      <c r="C1070">
        <v>0</v>
      </c>
      <c r="D1070">
        <v>1</v>
      </c>
      <c r="E1070">
        <v>48</v>
      </c>
      <c r="F1070">
        <v>6195</v>
      </c>
      <c r="G1070">
        <f t="shared" si="16"/>
        <v>7969846</v>
      </c>
    </row>
    <row r="1071" spans="1:7" x14ac:dyDescent="0.25">
      <c r="A1071">
        <v>7970920</v>
      </c>
      <c r="B1071" t="s">
        <v>24467</v>
      </c>
      <c r="C1071">
        <v>1743</v>
      </c>
      <c r="D1071">
        <v>1</v>
      </c>
      <c r="E1071">
        <v>1885</v>
      </c>
      <c r="F1071">
        <v>3399</v>
      </c>
      <c r="G1071">
        <f t="shared" si="16"/>
        <v>7970920</v>
      </c>
    </row>
    <row r="1072" spans="1:7" x14ac:dyDescent="0.25">
      <c r="A1072">
        <v>7972143</v>
      </c>
      <c r="B1072" t="s">
        <v>36104</v>
      </c>
      <c r="C1072">
        <v>118</v>
      </c>
      <c r="D1072">
        <v>3</v>
      </c>
      <c r="E1072">
        <v>14024</v>
      </c>
      <c r="F1072">
        <v>1076</v>
      </c>
      <c r="G1072">
        <f t="shared" si="16"/>
        <v>7972143</v>
      </c>
    </row>
    <row r="1073" spans="1:7" x14ac:dyDescent="0.25">
      <c r="A1073">
        <v>7973746</v>
      </c>
      <c r="B1073" t="s">
        <v>24468</v>
      </c>
      <c r="C1073">
        <v>480</v>
      </c>
      <c r="D1073">
        <v>3</v>
      </c>
      <c r="E1073">
        <v>17324</v>
      </c>
      <c r="F1073">
        <v>803</v>
      </c>
      <c r="G1073">
        <f t="shared" si="16"/>
        <v>7973746</v>
      </c>
    </row>
    <row r="1074" spans="1:7" x14ac:dyDescent="0.25">
      <c r="A1074">
        <v>7980777</v>
      </c>
      <c r="B1074" t="s">
        <v>24469</v>
      </c>
      <c r="C1074">
        <v>1622</v>
      </c>
      <c r="D1074">
        <v>1</v>
      </c>
      <c r="E1074">
        <v>94</v>
      </c>
      <c r="F1074">
        <v>5880</v>
      </c>
      <c r="G1074">
        <f t="shared" si="16"/>
        <v>7980777</v>
      </c>
    </row>
    <row r="1075" spans="1:7" x14ac:dyDescent="0.25">
      <c r="A1075">
        <v>7982145</v>
      </c>
      <c r="B1075" t="s">
        <v>24470</v>
      </c>
      <c r="C1075">
        <v>94</v>
      </c>
      <c r="D1075">
        <v>1</v>
      </c>
      <c r="E1075">
        <v>3003</v>
      </c>
      <c r="F1075">
        <v>2995</v>
      </c>
      <c r="G1075">
        <f t="shared" si="16"/>
        <v>7982145</v>
      </c>
    </row>
    <row r="1076" spans="1:7" x14ac:dyDescent="0.25">
      <c r="A1076">
        <v>7984887</v>
      </c>
      <c r="B1076" t="s">
        <v>24471</v>
      </c>
      <c r="C1076">
        <v>0</v>
      </c>
      <c r="D1076">
        <v>1</v>
      </c>
      <c r="E1076">
        <v>135</v>
      </c>
      <c r="F1076">
        <v>5748</v>
      </c>
      <c r="G1076">
        <f t="shared" si="16"/>
        <v>7984887</v>
      </c>
    </row>
    <row r="1077" spans="1:7" x14ac:dyDescent="0.25">
      <c r="A1077">
        <v>7985086</v>
      </c>
      <c r="B1077" t="s">
        <v>36105</v>
      </c>
      <c r="C1077">
        <v>278</v>
      </c>
      <c r="D1077">
        <v>1</v>
      </c>
      <c r="E1077">
        <v>756</v>
      </c>
      <c r="F1077">
        <v>4260</v>
      </c>
      <c r="G1077">
        <f t="shared" si="16"/>
        <v>7985086</v>
      </c>
    </row>
    <row r="1078" spans="1:7" x14ac:dyDescent="0.25">
      <c r="A1078">
        <v>7985922</v>
      </c>
      <c r="B1078" t="s">
        <v>24472</v>
      </c>
      <c r="C1078">
        <v>0</v>
      </c>
      <c r="D1078">
        <v>1</v>
      </c>
      <c r="E1078">
        <v>979</v>
      </c>
      <c r="F1078">
        <v>4004</v>
      </c>
      <c r="G1078">
        <f t="shared" si="16"/>
        <v>7985922</v>
      </c>
    </row>
    <row r="1079" spans="1:7" x14ac:dyDescent="0.25">
      <c r="A1079">
        <v>7987483</v>
      </c>
      <c r="B1079" t="s">
        <v>24473</v>
      </c>
      <c r="C1079">
        <v>896</v>
      </c>
      <c r="D1079">
        <v>2</v>
      </c>
      <c r="E1079">
        <v>4956</v>
      </c>
      <c r="F1079">
        <v>2521</v>
      </c>
      <c r="G1079">
        <f t="shared" si="16"/>
        <v>7987483</v>
      </c>
    </row>
    <row r="1080" spans="1:7" x14ac:dyDescent="0.25">
      <c r="A1080">
        <v>7991434</v>
      </c>
      <c r="B1080" t="s">
        <v>24474</v>
      </c>
      <c r="C1080">
        <v>1622</v>
      </c>
      <c r="D1080">
        <v>1</v>
      </c>
      <c r="E1080">
        <v>2071</v>
      </c>
      <c r="F1080">
        <v>3306</v>
      </c>
      <c r="G1080">
        <f t="shared" si="16"/>
        <v>7991434</v>
      </c>
    </row>
    <row r="1081" spans="1:7" x14ac:dyDescent="0.25">
      <c r="A1081">
        <v>7994565</v>
      </c>
      <c r="B1081" t="s">
        <v>24475</v>
      </c>
      <c r="C1081">
        <v>296</v>
      </c>
      <c r="D1081">
        <v>0</v>
      </c>
      <c r="E1081">
        <v>0</v>
      </c>
      <c r="F1081">
        <v>7126</v>
      </c>
      <c r="G1081">
        <f t="shared" si="16"/>
        <v>7994565</v>
      </c>
    </row>
    <row r="1082" spans="1:7" x14ac:dyDescent="0.25">
      <c r="A1082">
        <v>7996503</v>
      </c>
      <c r="B1082" t="s">
        <v>24476</v>
      </c>
      <c r="C1082">
        <v>1708</v>
      </c>
      <c r="D1082">
        <v>1</v>
      </c>
      <c r="E1082">
        <v>3424</v>
      </c>
      <c r="F1082">
        <v>2894</v>
      </c>
      <c r="G1082">
        <f t="shared" si="16"/>
        <v>7996503</v>
      </c>
    </row>
    <row r="1083" spans="1:7" x14ac:dyDescent="0.25">
      <c r="A1083">
        <v>7996577</v>
      </c>
      <c r="B1083" t="s">
        <v>24477</v>
      </c>
      <c r="C1083">
        <v>0</v>
      </c>
      <c r="D1083">
        <v>1</v>
      </c>
      <c r="E1083">
        <v>26</v>
      </c>
      <c r="F1083">
        <v>6408</v>
      </c>
      <c r="G1083">
        <f t="shared" si="16"/>
        <v>7996577</v>
      </c>
    </row>
    <row r="1084" spans="1:7" x14ac:dyDescent="0.25">
      <c r="A1084">
        <v>7997480</v>
      </c>
      <c r="B1084" t="s">
        <v>24478</v>
      </c>
      <c r="C1084">
        <v>918</v>
      </c>
      <c r="D1084">
        <v>1</v>
      </c>
      <c r="E1084">
        <v>1045</v>
      </c>
      <c r="F1084">
        <v>3928</v>
      </c>
      <c r="G1084">
        <f t="shared" si="16"/>
        <v>7997480</v>
      </c>
    </row>
    <row r="1085" spans="1:7" x14ac:dyDescent="0.25">
      <c r="A1085">
        <v>8003876</v>
      </c>
      <c r="B1085" t="s">
        <v>24479</v>
      </c>
      <c r="C1085">
        <v>0</v>
      </c>
      <c r="D1085">
        <v>0</v>
      </c>
      <c r="E1085">
        <v>0</v>
      </c>
      <c r="F1085">
        <v>7127</v>
      </c>
      <c r="G1085">
        <f t="shared" si="16"/>
        <v>8003876</v>
      </c>
    </row>
    <row r="1086" spans="1:7" x14ac:dyDescent="0.25">
      <c r="A1086">
        <v>8011870</v>
      </c>
      <c r="B1086" t="s">
        <v>24480</v>
      </c>
      <c r="C1086">
        <v>96</v>
      </c>
      <c r="D1086">
        <v>2</v>
      </c>
      <c r="E1086">
        <v>11551</v>
      </c>
      <c r="F1086">
        <v>1337</v>
      </c>
      <c r="G1086">
        <f t="shared" si="16"/>
        <v>8011870</v>
      </c>
    </row>
    <row r="1087" spans="1:7" x14ac:dyDescent="0.25">
      <c r="A1087">
        <v>8015718</v>
      </c>
      <c r="B1087" t="s">
        <v>24481</v>
      </c>
      <c r="C1087">
        <v>23</v>
      </c>
      <c r="D1087">
        <v>1</v>
      </c>
      <c r="E1087">
        <v>2633</v>
      </c>
      <c r="F1087">
        <v>3089</v>
      </c>
      <c r="G1087">
        <f t="shared" si="16"/>
        <v>8015718</v>
      </c>
    </row>
    <row r="1088" spans="1:7" x14ac:dyDescent="0.25">
      <c r="A1088">
        <v>8015832</v>
      </c>
      <c r="B1088" t="s">
        <v>37096</v>
      </c>
      <c r="C1088">
        <v>537</v>
      </c>
      <c r="D1088">
        <v>2</v>
      </c>
      <c r="E1088">
        <v>12162</v>
      </c>
      <c r="F1088">
        <v>1264</v>
      </c>
      <c r="G1088">
        <f t="shared" si="16"/>
        <v>8015832</v>
      </c>
    </row>
    <row r="1089" spans="1:7" x14ac:dyDescent="0.25">
      <c r="A1089">
        <v>8016878</v>
      </c>
      <c r="B1089" t="s">
        <v>24482</v>
      </c>
      <c r="C1089">
        <v>0</v>
      </c>
      <c r="D1089">
        <v>0</v>
      </c>
      <c r="E1089">
        <v>0</v>
      </c>
      <c r="F1089">
        <v>7128</v>
      </c>
      <c r="G1089">
        <f t="shared" ref="G1089:G1152" si="17">A1089</f>
        <v>8016878</v>
      </c>
    </row>
    <row r="1090" spans="1:7" x14ac:dyDescent="0.25">
      <c r="A1090">
        <v>8022245</v>
      </c>
      <c r="B1090" t="s">
        <v>37040</v>
      </c>
      <c r="C1090">
        <v>0</v>
      </c>
      <c r="D1090">
        <v>0</v>
      </c>
      <c r="E1090">
        <v>0</v>
      </c>
      <c r="F1090">
        <v>7129</v>
      </c>
      <c r="G1090">
        <f t="shared" si="17"/>
        <v>8022245</v>
      </c>
    </row>
    <row r="1091" spans="1:7" x14ac:dyDescent="0.25">
      <c r="A1091">
        <v>8031071</v>
      </c>
      <c r="B1091" t="s">
        <v>36106</v>
      </c>
      <c r="C1091">
        <v>174</v>
      </c>
      <c r="D1091">
        <v>1</v>
      </c>
      <c r="E1091">
        <v>5636</v>
      </c>
      <c r="F1091">
        <v>2369</v>
      </c>
      <c r="G1091">
        <f t="shared" si="17"/>
        <v>8031071</v>
      </c>
    </row>
    <row r="1092" spans="1:7" x14ac:dyDescent="0.25">
      <c r="A1092">
        <v>8036229</v>
      </c>
      <c r="B1092" t="s">
        <v>24483</v>
      </c>
      <c r="C1092">
        <v>1403</v>
      </c>
      <c r="D1092">
        <v>1</v>
      </c>
      <c r="E1092">
        <v>4527</v>
      </c>
      <c r="F1092">
        <v>2611</v>
      </c>
      <c r="G1092">
        <f t="shared" si="17"/>
        <v>8036229</v>
      </c>
    </row>
    <row r="1093" spans="1:7" x14ac:dyDescent="0.25">
      <c r="A1093">
        <v>8041203</v>
      </c>
      <c r="B1093" t="s">
        <v>24484</v>
      </c>
      <c r="C1093">
        <v>367</v>
      </c>
      <c r="D1093">
        <v>2</v>
      </c>
      <c r="E1093">
        <v>8329</v>
      </c>
      <c r="F1093">
        <v>1821</v>
      </c>
      <c r="G1093">
        <f t="shared" si="17"/>
        <v>8041203</v>
      </c>
    </row>
    <row r="1094" spans="1:7" x14ac:dyDescent="0.25">
      <c r="A1094">
        <v>8042533</v>
      </c>
      <c r="B1094" t="s">
        <v>24485</v>
      </c>
      <c r="C1094">
        <v>1503</v>
      </c>
      <c r="D1094">
        <v>2</v>
      </c>
      <c r="E1094">
        <v>7113</v>
      </c>
      <c r="F1094">
        <v>2047</v>
      </c>
      <c r="G1094">
        <f t="shared" si="17"/>
        <v>8042533</v>
      </c>
    </row>
    <row r="1095" spans="1:7" x14ac:dyDescent="0.25">
      <c r="A1095">
        <v>8042959</v>
      </c>
      <c r="B1095" t="s">
        <v>24486</v>
      </c>
      <c r="C1095">
        <v>294</v>
      </c>
      <c r="D1095">
        <v>1</v>
      </c>
      <c r="E1095">
        <v>3171</v>
      </c>
      <c r="F1095">
        <v>2968</v>
      </c>
      <c r="G1095">
        <f t="shared" si="17"/>
        <v>8042959</v>
      </c>
    </row>
    <row r="1096" spans="1:7" x14ac:dyDescent="0.25">
      <c r="A1096">
        <v>8043810</v>
      </c>
      <c r="B1096" t="s">
        <v>24487</v>
      </c>
      <c r="C1096">
        <v>1695</v>
      </c>
      <c r="D1096">
        <v>2</v>
      </c>
      <c r="E1096">
        <v>3647</v>
      </c>
      <c r="F1096">
        <v>2840</v>
      </c>
      <c r="G1096">
        <f t="shared" si="17"/>
        <v>8043810</v>
      </c>
    </row>
    <row r="1097" spans="1:7" x14ac:dyDescent="0.25">
      <c r="A1097">
        <v>8045936</v>
      </c>
      <c r="B1097" t="s">
        <v>24488</v>
      </c>
      <c r="C1097">
        <v>0</v>
      </c>
      <c r="D1097">
        <v>1</v>
      </c>
      <c r="E1097">
        <v>567</v>
      </c>
      <c r="F1097">
        <v>4523</v>
      </c>
      <c r="G1097">
        <f t="shared" si="17"/>
        <v>8045936</v>
      </c>
    </row>
    <row r="1098" spans="1:7" x14ac:dyDescent="0.25">
      <c r="A1098">
        <v>8046448</v>
      </c>
      <c r="B1098" t="s">
        <v>24489</v>
      </c>
      <c r="C1098">
        <v>0</v>
      </c>
      <c r="D1098">
        <v>1</v>
      </c>
      <c r="E1098">
        <v>311</v>
      </c>
      <c r="F1098">
        <v>5096</v>
      </c>
      <c r="G1098">
        <f t="shared" si="17"/>
        <v>8046448</v>
      </c>
    </row>
    <row r="1099" spans="1:7" x14ac:dyDescent="0.25">
      <c r="A1099">
        <v>8046908</v>
      </c>
      <c r="B1099" t="s">
        <v>24490</v>
      </c>
      <c r="C1099">
        <v>0</v>
      </c>
      <c r="D1099">
        <v>1</v>
      </c>
      <c r="E1099">
        <v>26</v>
      </c>
      <c r="F1099">
        <v>6409</v>
      </c>
      <c r="G1099">
        <f t="shared" si="17"/>
        <v>8046908</v>
      </c>
    </row>
    <row r="1100" spans="1:7" x14ac:dyDescent="0.25">
      <c r="A1100">
        <v>8049397</v>
      </c>
      <c r="B1100" t="s">
        <v>24491</v>
      </c>
      <c r="C1100">
        <v>94</v>
      </c>
      <c r="D1100">
        <v>2</v>
      </c>
      <c r="E1100">
        <v>7929</v>
      </c>
      <c r="F1100">
        <v>1895</v>
      </c>
      <c r="G1100">
        <f t="shared" si="17"/>
        <v>8049397</v>
      </c>
    </row>
    <row r="1101" spans="1:7" x14ac:dyDescent="0.25">
      <c r="A1101">
        <v>8050201</v>
      </c>
      <c r="B1101" t="s">
        <v>24492</v>
      </c>
      <c r="C1101">
        <v>806</v>
      </c>
      <c r="D1101">
        <v>0</v>
      </c>
      <c r="E1101">
        <v>0</v>
      </c>
      <c r="F1101">
        <v>7130</v>
      </c>
      <c r="G1101">
        <f t="shared" si="17"/>
        <v>8050201</v>
      </c>
    </row>
    <row r="1102" spans="1:7" x14ac:dyDescent="0.25">
      <c r="A1102">
        <v>8051624</v>
      </c>
      <c r="B1102" t="s">
        <v>24493</v>
      </c>
      <c r="C1102">
        <v>1861</v>
      </c>
      <c r="D1102">
        <v>1</v>
      </c>
      <c r="E1102">
        <v>1132</v>
      </c>
      <c r="F1102">
        <v>3847</v>
      </c>
      <c r="G1102">
        <f t="shared" si="17"/>
        <v>8051624</v>
      </c>
    </row>
    <row r="1103" spans="1:7" x14ac:dyDescent="0.25">
      <c r="A1103">
        <v>8051928</v>
      </c>
      <c r="B1103" t="s">
        <v>24494</v>
      </c>
      <c r="C1103">
        <v>760</v>
      </c>
      <c r="D1103">
        <v>4</v>
      </c>
      <c r="E1103">
        <v>13854</v>
      </c>
      <c r="F1103">
        <v>1095</v>
      </c>
      <c r="G1103">
        <f t="shared" si="17"/>
        <v>8051928</v>
      </c>
    </row>
    <row r="1104" spans="1:7" x14ac:dyDescent="0.25">
      <c r="A1104">
        <v>8055555</v>
      </c>
      <c r="B1104" t="s">
        <v>24495</v>
      </c>
      <c r="C1104">
        <v>0</v>
      </c>
      <c r="D1104">
        <v>1</v>
      </c>
      <c r="E1104">
        <v>967</v>
      </c>
      <c r="F1104">
        <v>4023</v>
      </c>
      <c r="G1104">
        <f t="shared" si="17"/>
        <v>8055555</v>
      </c>
    </row>
    <row r="1105" spans="1:7" x14ac:dyDescent="0.25">
      <c r="A1105">
        <v>8058372</v>
      </c>
      <c r="B1105" t="s">
        <v>24496</v>
      </c>
      <c r="C1105">
        <v>1883</v>
      </c>
      <c r="D1105">
        <v>1</v>
      </c>
      <c r="E1105">
        <v>348</v>
      </c>
      <c r="F1105">
        <v>4989</v>
      </c>
      <c r="G1105">
        <f t="shared" si="17"/>
        <v>8058372</v>
      </c>
    </row>
    <row r="1106" spans="1:7" x14ac:dyDescent="0.25">
      <c r="A1106">
        <v>8061322</v>
      </c>
      <c r="B1106" t="s">
        <v>24497</v>
      </c>
      <c r="C1106">
        <v>23</v>
      </c>
      <c r="D1106">
        <v>3</v>
      </c>
      <c r="E1106">
        <v>16284</v>
      </c>
      <c r="F1106">
        <v>888</v>
      </c>
      <c r="G1106">
        <f t="shared" si="17"/>
        <v>8061322</v>
      </c>
    </row>
    <row r="1107" spans="1:7" x14ac:dyDescent="0.25">
      <c r="A1107">
        <v>8064569</v>
      </c>
      <c r="B1107" t="s">
        <v>24498</v>
      </c>
      <c r="C1107">
        <v>1609</v>
      </c>
      <c r="D1107">
        <v>3</v>
      </c>
      <c r="E1107">
        <v>10489</v>
      </c>
      <c r="F1107">
        <v>1494</v>
      </c>
      <c r="G1107">
        <f t="shared" si="17"/>
        <v>8064569</v>
      </c>
    </row>
    <row r="1108" spans="1:7" x14ac:dyDescent="0.25">
      <c r="A1108">
        <v>8076591</v>
      </c>
      <c r="B1108" t="s">
        <v>24499</v>
      </c>
      <c r="C1108">
        <v>31</v>
      </c>
      <c r="D1108">
        <v>5</v>
      </c>
      <c r="E1108">
        <v>22930</v>
      </c>
      <c r="F1108">
        <v>481</v>
      </c>
      <c r="G1108">
        <f t="shared" si="17"/>
        <v>8076591</v>
      </c>
    </row>
    <row r="1109" spans="1:7" x14ac:dyDescent="0.25">
      <c r="A1109">
        <v>8077830</v>
      </c>
      <c r="B1109" t="s">
        <v>24500</v>
      </c>
      <c r="C1109">
        <v>3</v>
      </c>
      <c r="D1109">
        <v>4</v>
      </c>
      <c r="E1109">
        <v>20832</v>
      </c>
      <c r="F1109">
        <v>574</v>
      </c>
      <c r="G1109">
        <f t="shared" si="17"/>
        <v>8077830</v>
      </c>
    </row>
    <row r="1110" spans="1:7" x14ac:dyDescent="0.25">
      <c r="A1110">
        <v>8083594</v>
      </c>
      <c r="B1110" t="s">
        <v>24501</v>
      </c>
      <c r="C1110">
        <v>0</v>
      </c>
      <c r="D1110">
        <v>1</v>
      </c>
      <c r="E1110">
        <v>74</v>
      </c>
      <c r="F1110">
        <v>6021</v>
      </c>
      <c r="G1110">
        <f t="shared" si="17"/>
        <v>8083594</v>
      </c>
    </row>
    <row r="1111" spans="1:7" x14ac:dyDescent="0.25">
      <c r="A1111">
        <v>8090023</v>
      </c>
      <c r="B1111" t="s">
        <v>24502</v>
      </c>
      <c r="C1111">
        <v>0</v>
      </c>
      <c r="D1111">
        <v>1</v>
      </c>
      <c r="E1111">
        <v>162</v>
      </c>
      <c r="F1111">
        <v>5646</v>
      </c>
      <c r="G1111">
        <f t="shared" si="17"/>
        <v>8090023</v>
      </c>
    </row>
    <row r="1112" spans="1:7" x14ac:dyDescent="0.25">
      <c r="A1112">
        <v>8095493</v>
      </c>
      <c r="B1112" t="s">
        <v>24503</v>
      </c>
      <c r="C1112">
        <v>0</v>
      </c>
      <c r="D1112">
        <v>0</v>
      </c>
      <c r="E1112">
        <v>0</v>
      </c>
      <c r="F1112">
        <v>7131</v>
      </c>
      <c r="G1112">
        <f t="shared" si="17"/>
        <v>8095493</v>
      </c>
    </row>
    <row r="1113" spans="1:7" x14ac:dyDescent="0.25">
      <c r="A1113">
        <v>8095829</v>
      </c>
      <c r="B1113" t="s">
        <v>24504</v>
      </c>
      <c r="C1113">
        <v>0</v>
      </c>
      <c r="D1113">
        <v>1</v>
      </c>
      <c r="E1113">
        <v>243</v>
      </c>
      <c r="F1113">
        <v>5336</v>
      </c>
      <c r="G1113">
        <f t="shared" si="17"/>
        <v>8095829</v>
      </c>
    </row>
    <row r="1114" spans="1:7" x14ac:dyDescent="0.25">
      <c r="A1114">
        <v>8096363</v>
      </c>
      <c r="B1114" t="s">
        <v>24505</v>
      </c>
      <c r="C1114">
        <v>0</v>
      </c>
      <c r="D1114">
        <v>1</v>
      </c>
      <c r="E1114">
        <v>46</v>
      </c>
      <c r="F1114">
        <v>6213</v>
      </c>
      <c r="G1114">
        <f t="shared" si="17"/>
        <v>8096363</v>
      </c>
    </row>
    <row r="1115" spans="1:7" x14ac:dyDescent="0.25">
      <c r="A1115">
        <v>8097540</v>
      </c>
      <c r="B1115" t="s">
        <v>24506</v>
      </c>
      <c r="C1115">
        <v>0</v>
      </c>
      <c r="D1115">
        <v>1</v>
      </c>
      <c r="E1115">
        <v>238</v>
      </c>
      <c r="F1115">
        <v>5357</v>
      </c>
      <c r="G1115">
        <f t="shared" si="17"/>
        <v>8097540</v>
      </c>
    </row>
    <row r="1116" spans="1:7" x14ac:dyDescent="0.25">
      <c r="A1116">
        <v>8106081</v>
      </c>
      <c r="B1116" t="s">
        <v>24507</v>
      </c>
      <c r="C1116">
        <v>552</v>
      </c>
      <c r="D1116">
        <v>3</v>
      </c>
      <c r="E1116">
        <v>15723</v>
      </c>
      <c r="F1116">
        <v>928</v>
      </c>
      <c r="G1116">
        <f t="shared" si="17"/>
        <v>8106081</v>
      </c>
    </row>
    <row r="1117" spans="1:7" x14ac:dyDescent="0.25">
      <c r="A1117">
        <v>8106617</v>
      </c>
      <c r="B1117" t="s">
        <v>24508</v>
      </c>
      <c r="C1117">
        <v>1651</v>
      </c>
      <c r="D1117">
        <v>1</v>
      </c>
      <c r="E1117">
        <v>792</v>
      </c>
      <c r="F1117">
        <v>4207</v>
      </c>
      <c r="G1117">
        <f t="shared" si="17"/>
        <v>8106617</v>
      </c>
    </row>
    <row r="1118" spans="1:7" x14ac:dyDescent="0.25">
      <c r="A1118">
        <v>8107173</v>
      </c>
      <c r="B1118" t="s">
        <v>24509</v>
      </c>
      <c r="C1118">
        <v>0</v>
      </c>
      <c r="D1118">
        <v>1</v>
      </c>
      <c r="E1118">
        <v>26</v>
      </c>
      <c r="F1118">
        <v>6410</v>
      </c>
      <c r="G1118">
        <f t="shared" si="17"/>
        <v>8107173</v>
      </c>
    </row>
    <row r="1119" spans="1:7" x14ac:dyDescent="0.25">
      <c r="A1119">
        <v>8108790</v>
      </c>
      <c r="B1119" t="s">
        <v>36107</v>
      </c>
      <c r="C1119">
        <v>900</v>
      </c>
      <c r="D1119">
        <v>1</v>
      </c>
      <c r="E1119">
        <v>232</v>
      </c>
      <c r="F1119">
        <v>5380</v>
      </c>
      <c r="G1119">
        <f t="shared" si="17"/>
        <v>8108790</v>
      </c>
    </row>
    <row r="1120" spans="1:7" x14ac:dyDescent="0.25">
      <c r="A1120">
        <v>8110441</v>
      </c>
      <c r="B1120" t="s">
        <v>24510</v>
      </c>
      <c r="C1120">
        <v>0</v>
      </c>
      <c r="D1120">
        <v>0</v>
      </c>
      <c r="E1120">
        <v>0</v>
      </c>
      <c r="F1120">
        <v>7132</v>
      </c>
      <c r="G1120">
        <f t="shared" si="17"/>
        <v>8110441</v>
      </c>
    </row>
    <row r="1121" spans="1:7" x14ac:dyDescent="0.25">
      <c r="A1121">
        <v>8110776</v>
      </c>
      <c r="B1121" t="s">
        <v>24511</v>
      </c>
      <c r="C1121">
        <v>131</v>
      </c>
      <c r="D1121">
        <v>3</v>
      </c>
      <c r="E1121">
        <v>10309</v>
      </c>
      <c r="F1121">
        <v>1527</v>
      </c>
      <c r="G1121">
        <f t="shared" si="17"/>
        <v>8110776</v>
      </c>
    </row>
    <row r="1122" spans="1:7" x14ac:dyDescent="0.25">
      <c r="A1122">
        <v>8116656</v>
      </c>
      <c r="B1122" t="s">
        <v>24512</v>
      </c>
      <c r="C1122">
        <v>307</v>
      </c>
      <c r="D1122">
        <v>1</v>
      </c>
      <c r="E1122">
        <v>162</v>
      </c>
      <c r="F1122">
        <v>5676</v>
      </c>
      <c r="G1122">
        <f t="shared" si="17"/>
        <v>8116656</v>
      </c>
    </row>
    <row r="1123" spans="1:7" x14ac:dyDescent="0.25">
      <c r="A1123">
        <v>8117207</v>
      </c>
      <c r="B1123" t="s">
        <v>24513</v>
      </c>
      <c r="C1123">
        <v>409</v>
      </c>
      <c r="D1123">
        <v>4</v>
      </c>
      <c r="E1123">
        <v>19229</v>
      </c>
      <c r="F1123">
        <v>669</v>
      </c>
      <c r="G1123">
        <f t="shared" si="17"/>
        <v>8117207</v>
      </c>
    </row>
    <row r="1124" spans="1:7" x14ac:dyDescent="0.25">
      <c r="A1124">
        <v>8120170</v>
      </c>
      <c r="B1124" t="s">
        <v>36108</v>
      </c>
      <c r="C1124">
        <v>45</v>
      </c>
      <c r="D1124">
        <v>0</v>
      </c>
      <c r="E1124">
        <v>0</v>
      </c>
      <c r="F1124">
        <v>7133</v>
      </c>
      <c r="G1124">
        <f t="shared" si="17"/>
        <v>8120170</v>
      </c>
    </row>
    <row r="1125" spans="1:7" x14ac:dyDescent="0.25">
      <c r="A1125">
        <v>8120705</v>
      </c>
      <c r="B1125" t="s">
        <v>24514</v>
      </c>
      <c r="C1125">
        <v>409</v>
      </c>
      <c r="D1125">
        <v>1</v>
      </c>
      <c r="E1125">
        <v>6196</v>
      </c>
      <c r="F1125">
        <v>2248</v>
      </c>
      <c r="G1125">
        <f t="shared" si="17"/>
        <v>8120705</v>
      </c>
    </row>
    <row r="1126" spans="1:7" x14ac:dyDescent="0.25">
      <c r="A1126">
        <v>8136159</v>
      </c>
      <c r="B1126" t="s">
        <v>24515</v>
      </c>
      <c r="C1126">
        <v>1609</v>
      </c>
      <c r="D1126">
        <v>4</v>
      </c>
      <c r="E1126">
        <v>17143</v>
      </c>
      <c r="F1126">
        <v>815</v>
      </c>
      <c r="G1126">
        <f t="shared" si="17"/>
        <v>8136159</v>
      </c>
    </row>
    <row r="1127" spans="1:7" x14ac:dyDescent="0.25">
      <c r="A1127">
        <v>8137802</v>
      </c>
      <c r="B1127" t="s">
        <v>24516</v>
      </c>
      <c r="C1127">
        <v>0</v>
      </c>
      <c r="D1127">
        <v>1</v>
      </c>
      <c r="E1127">
        <v>319</v>
      </c>
      <c r="F1127">
        <v>5069</v>
      </c>
      <c r="G1127">
        <f t="shared" si="17"/>
        <v>8137802</v>
      </c>
    </row>
    <row r="1128" spans="1:7" x14ac:dyDescent="0.25">
      <c r="A1128">
        <v>8145902</v>
      </c>
      <c r="B1128" t="s">
        <v>24517</v>
      </c>
      <c r="C1128">
        <v>0</v>
      </c>
      <c r="D1128">
        <v>1</v>
      </c>
      <c r="E1128">
        <v>47</v>
      </c>
      <c r="F1128">
        <v>6203</v>
      </c>
      <c r="G1128">
        <f t="shared" si="17"/>
        <v>8145902</v>
      </c>
    </row>
    <row r="1129" spans="1:7" x14ac:dyDescent="0.25">
      <c r="A1129">
        <v>8146001</v>
      </c>
      <c r="B1129" t="s">
        <v>24518</v>
      </c>
      <c r="C1129">
        <v>617</v>
      </c>
      <c r="D1129">
        <v>5</v>
      </c>
      <c r="E1129">
        <v>26711</v>
      </c>
      <c r="F1129">
        <v>345</v>
      </c>
      <c r="G1129">
        <f t="shared" si="17"/>
        <v>8146001</v>
      </c>
    </row>
    <row r="1130" spans="1:7" x14ac:dyDescent="0.25">
      <c r="A1130">
        <v>8147322</v>
      </c>
      <c r="B1130" t="s">
        <v>36109</v>
      </c>
      <c r="C1130">
        <v>186</v>
      </c>
      <c r="D1130">
        <v>1</v>
      </c>
      <c r="E1130">
        <v>2222</v>
      </c>
      <c r="F1130">
        <v>3237</v>
      </c>
      <c r="G1130">
        <f t="shared" si="17"/>
        <v>8147322</v>
      </c>
    </row>
    <row r="1131" spans="1:7" x14ac:dyDescent="0.25">
      <c r="A1131">
        <v>8147504</v>
      </c>
      <c r="B1131" t="s">
        <v>36110</v>
      </c>
      <c r="C1131">
        <v>1100</v>
      </c>
      <c r="D1131">
        <v>3</v>
      </c>
      <c r="E1131">
        <v>10788</v>
      </c>
      <c r="F1131">
        <v>1452</v>
      </c>
      <c r="G1131">
        <f t="shared" si="17"/>
        <v>8147504</v>
      </c>
    </row>
    <row r="1132" spans="1:7" x14ac:dyDescent="0.25">
      <c r="A1132">
        <v>8151304</v>
      </c>
      <c r="B1132" t="s">
        <v>37426</v>
      </c>
      <c r="C1132">
        <v>0</v>
      </c>
      <c r="D1132">
        <v>1</v>
      </c>
      <c r="E1132">
        <v>174</v>
      </c>
      <c r="F1132">
        <v>5601</v>
      </c>
      <c r="G1132">
        <f t="shared" si="17"/>
        <v>8151304</v>
      </c>
    </row>
    <row r="1133" spans="1:7" x14ac:dyDescent="0.25">
      <c r="A1133">
        <v>8153826</v>
      </c>
      <c r="B1133" t="s">
        <v>24519</v>
      </c>
      <c r="C1133">
        <v>0</v>
      </c>
      <c r="D1133">
        <v>1</v>
      </c>
      <c r="E1133">
        <v>3662</v>
      </c>
      <c r="F1133">
        <v>2837</v>
      </c>
      <c r="G1133">
        <f t="shared" si="17"/>
        <v>8153826</v>
      </c>
    </row>
    <row r="1134" spans="1:7" x14ac:dyDescent="0.25">
      <c r="A1134">
        <v>8158421</v>
      </c>
      <c r="B1134" t="s">
        <v>36111</v>
      </c>
      <c r="C1134">
        <v>1694</v>
      </c>
      <c r="D1134">
        <v>0</v>
      </c>
      <c r="E1134">
        <v>0</v>
      </c>
      <c r="F1134">
        <v>7134</v>
      </c>
      <c r="G1134">
        <f t="shared" si="17"/>
        <v>8158421</v>
      </c>
    </row>
    <row r="1135" spans="1:7" x14ac:dyDescent="0.25">
      <c r="A1135">
        <v>8162822</v>
      </c>
      <c r="B1135" t="s">
        <v>24520</v>
      </c>
      <c r="C1135">
        <v>1</v>
      </c>
      <c r="D1135">
        <v>1</v>
      </c>
      <c r="E1135">
        <v>214</v>
      </c>
      <c r="F1135">
        <v>5450</v>
      </c>
      <c r="G1135">
        <f t="shared" si="17"/>
        <v>8162822</v>
      </c>
    </row>
    <row r="1136" spans="1:7" x14ac:dyDescent="0.25">
      <c r="A1136">
        <v>8164050</v>
      </c>
      <c r="B1136" t="s">
        <v>24521</v>
      </c>
      <c r="C1136">
        <v>1143</v>
      </c>
      <c r="D1136">
        <v>1</v>
      </c>
      <c r="E1136">
        <v>3790</v>
      </c>
      <c r="F1136">
        <v>2813</v>
      </c>
      <c r="G1136">
        <f t="shared" si="17"/>
        <v>8164050</v>
      </c>
    </row>
    <row r="1137" spans="1:7" x14ac:dyDescent="0.25">
      <c r="A1137">
        <v>8165228</v>
      </c>
      <c r="B1137" t="s">
        <v>24522</v>
      </c>
      <c r="C1137">
        <v>174</v>
      </c>
      <c r="D1137">
        <v>2</v>
      </c>
      <c r="E1137">
        <v>8277</v>
      </c>
      <c r="F1137">
        <v>1837</v>
      </c>
      <c r="G1137">
        <f t="shared" si="17"/>
        <v>8165228</v>
      </c>
    </row>
    <row r="1138" spans="1:7" x14ac:dyDescent="0.25">
      <c r="A1138">
        <v>8166871</v>
      </c>
      <c r="B1138" t="s">
        <v>24523</v>
      </c>
      <c r="C1138">
        <v>0</v>
      </c>
      <c r="D1138">
        <v>1</v>
      </c>
      <c r="E1138">
        <v>1763</v>
      </c>
      <c r="F1138">
        <v>3466</v>
      </c>
      <c r="G1138">
        <f t="shared" si="17"/>
        <v>8166871</v>
      </c>
    </row>
    <row r="1139" spans="1:7" x14ac:dyDescent="0.25">
      <c r="A1139">
        <v>8170231</v>
      </c>
      <c r="B1139" t="s">
        <v>24524</v>
      </c>
      <c r="C1139">
        <v>95</v>
      </c>
      <c r="D1139">
        <v>1</v>
      </c>
      <c r="E1139">
        <v>26</v>
      </c>
      <c r="F1139">
        <v>6411</v>
      </c>
      <c r="G1139">
        <f t="shared" si="17"/>
        <v>8170231</v>
      </c>
    </row>
    <row r="1140" spans="1:7" x14ac:dyDescent="0.25">
      <c r="A1140">
        <v>8172894</v>
      </c>
      <c r="B1140" t="s">
        <v>24525</v>
      </c>
      <c r="C1140">
        <v>1858</v>
      </c>
      <c r="D1140">
        <v>1</v>
      </c>
      <c r="E1140">
        <v>217</v>
      </c>
      <c r="F1140">
        <v>5442</v>
      </c>
      <c r="G1140">
        <f t="shared" si="17"/>
        <v>8172894</v>
      </c>
    </row>
    <row r="1141" spans="1:7" x14ac:dyDescent="0.25">
      <c r="A1141">
        <v>8173151</v>
      </c>
      <c r="B1141" t="s">
        <v>24526</v>
      </c>
      <c r="C1141">
        <v>0</v>
      </c>
      <c r="D1141">
        <v>1</v>
      </c>
      <c r="E1141">
        <v>1322</v>
      </c>
      <c r="F1141">
        <v>3711</v>
      </c>
      <c r="G1141">
        <f t="shared" si="17"/>
        <v>8173151</v>
      </c>
    </row>
    <row r="1142" spans="1:7" x14ac:dyDescent="0.25">
      <c r="A1142">
        <v>8179200</v>
      </c>
      <c r="B1142" t="s">
        <v>24527</v>
      </c>
      <c r="C1142">
        <v>151</v>
      </c>
      <c r="D1142">
        <v>1</v>
      </c>
      <c r="E1142">
        <v>161</v>
      </c>
      <c r="F1142">
        <v>5654</v>
      </c>
      <c r="G1142">
        <f t="shared" si="17"/>
        <v>8179200</v>
      </c>
    </row>
    <row r="1143" spans="1:7" x14ac:dyDescent="0.25">
      <c r="A1143">
        <v>8179590</v>
      </c>
      <c r="B1143" t="s">
        <v>37388</v>
      </c>
      <c r="C1143">
        <v>552</v>
      </c>
      <c r="D1143">
        <v>5</v>
      </c>
      <c r="E1143">
        <v>25197</v>
      </c>
      <c r="F1143">
        <v>387</v>
      </c>
      <c r="G1143">
        <f t="shared" si="17"/>
        <v>8179590</v>
      </c>
    </row>
    <row r="1144" spans="1:7" x14ac:dyDescent="0.25">
      <c r="A1144">
        <v>8185409</v>
      </c>
      <c r="B1144" t="s">
        <v>36112</v>
      </c>
      <c r="C1144">
        <v>1483</v>
      </c>
      <c r="D1144">
        <v>2</v>
      </c>
      <c r="E1144">
        <v>7557</v>
      </c>
      <c r="F1144">
        <v>1970</v>
      </c>
      <c r="G1144">
        <f t="shared" si="17"/>
        <v>8185409</v>
      </c>
    </row>
    <row r="1145" spans="1:7" x14ac:dyDescent="0.25">
      <c r="A1145">
        <v>8187043</v>
      </c>
      <c r="B1145" t="s">
        <v>24528</v>
      </c>
      <c r="C1145">
        <v>270</v>
      </c>
      <c r="D1145">
        <v>2</v>
      </c>
      <c r="E1145">
        <v>8167</v>
      </c>
      <c r="F1145">
        <v>1851</v>
      </c>
      <c r="G1145">
        <f t="shared" si="17"/>
        <v>8187043</v>
      </c>
    </row>
    <row r="1146" spans="1:7" x14ac:dyDescent="0.25">
      <c r="A1146">
        <v>8189827</v>
      </c>
      <c r="B1146" t="s">
        <v>37097</v>
      </c>
      <c r="C1146">
        <v>78</v>
      </c>
      <c r="D1146">
        <v>1</v>
      </c>
      <c r="E1146">
        <v>3614</v>
      </c>
      <c r="F1146">
        <v>2858</v>
      </c>
      <c r="G1146">
        <f t="shared" si="17"/>
        <v>8189827</v>
      </c>
    </row>
    <row r="1147" spans="1:7" x14ac:dyDescent="0.25">
      <c r="A1147">
        <v>8191213</v>
      </c>
      <c r="B1147" t="s">
        <v>24529</v>
      </c>
      <c r="C1147">
        <v>6</v>
      </c>
      <c r="D1147">
        <v>2</v>
      </c>
      <c r="E1147">
        <v>13888</v>
      </c>
      <c r="F1147">
        <v>1088</v>
      </c>
      <c r="G1147">
        <f t="shared" si="17"/>
        <v>8191213</v>
      </c>
    </row>
    <row r="1148" spans="1:7" x14ac:dyDescent="0.25">
      <c r="A1148">
        <v>8192149</v>
      </c>
      <c r="B1148" t="s">
        <v>36113</v>
      </c>
      <c r="C1148">
        <v>179</v>
      </c>
      <c r="D1148">
        <v>1</v>
      </c>
      <c r="E1148">
        <v>4716</v>
      </c>
      <c r="F1148">
        <v>2572</v>
      </c>
      <c r="G1148">
        <f t="shared" si="17"/>
        <v>8192149</v>
      </c>
    </row>
    <row r="1149" spans="1:7" x14ac:dyDescent="0.25">
      <c r="A1149">
        <v>8194775</v>
      </c>
      <c r="B1149" t="s">
        <v>24530</v>
      </c>
      <c r="C1149">
        <v>0</v>
      </c>
      <c r="D1149">
        <v>1</v>
      </c>
      <c r="E1149">
        <v>549</v>
      </c>
      <c r="F1149">
        <v>4553</v>
      </c>
      <c r="G1149">
        <f t="shared" si="17"/>
        <v>8194775</v>
      </c>
    </row>
    <row r="1150" spans="1:7" x14ac:dyDescent="0.25">
      <c r="A1150">
        <v>8198259</v>
      </c>
      <c r="B1150" t="s">
        <v>24531</v>
      </c>
      <c r="C1150">
        <v>152</v>
      </c>
      <c r="D1150">
        <v>7</v>
      </c>
      <c r="E1150">
        <v>29137</v>
      </c>
      <c r="F1150">
        <v>263</v>
      </c>
      <c r="G1150">
        <f t="shared" si="17"/>
        <v>8198259</v>
      </c>
    </row>
    <row r="1151" spans="1:7" x14ac:dyDescent="0.25">
      <c r="A1151">
        <v>8198979</v>
      </c>
      <c r="B1151" t="s">
        <v>36114</v>
      </c>
      <c r="C1151">
        <v>152</v>
      </c>
      <c r="D1151">
        <v>5</v>
      </c>
      <c r="E1151">
        <v>27264</v>
      </c>
      <c r="F1151">
        <v>323</v>
      </c>
      <c r="G1151">
        <f t="shared" si="17"/>
        <v>8198979</v>
      </c>
    </row>
    <row r="1152" spans="1:7" x14ac:dyDescent="0.25">
      <c r="A1152">
        <v>8203054</v>
      </c>
      <c r="B1152" t="s">
        <v>24532</v>
      </c>
      <c r="C1152">
        <v>1063</v>
      </c>
      <c r="D1152">
        <v>1</v>
      </c>
      <c r="E1152">
        <v>26</v>
      </c>
      <c r="F1152">
        <v>6412</v>
      </c>
      <c r="G1152">
        <f t="shared" si="17"/>
        <v>8203054</v>
      </c>
    </row>
    <row r="1153" spans="1:7" x14ac:dyDescent="0.25">
      <c r="A1153">
        <v>8205186</v>
      </c>
      <c r="B1153" t="s">
        <v>24533</v>
      </c>
      <c r="C1153">
        <v>1663</v>
      </c>
      <c r="D1153">
        <v>1</v>
      </c>
      <c r="E1153">
        <v>2057</v>
      </c>
      <c r="F1153">
        <v>3315</v>
      </c>
      <c r="G1153">
        <f t="shared" ref="G1153:G1216" si="18">A1153</f>
        <v>8205186</v>
      </c>
    </row>
    <row r="1154" spans="1:7" x14ac:dyDescent="0.25">
      <c r="A1154">
        <v>8207075</v>
      </c>
      <c r="B1154" t="s">
        <v>36115</v>
      </c>
      <c r="C1154">
        <v>0</v>
      </c>
      <c r="D1154">
        <v>1</v>
      </c>
      <c r="E1154">
        <v>323</v>
      </c>
      <c r="F1154">
        <v>5057</v>
      </c>
      <c r="G1154">
        <f t="shared" si="18"/>
        <v>8207075</v>
      </c>
    </row>
    <row r="1155" spans="1:7" x14ac:dyDescent="0.25">
      <c r="A1155">
        <v>8210201</v>
      </c>
      <c r="B1155" t="s">
        <v>24534</v>
      </c>
      <c r="C1155">
        <v>887</v>
      </c>
      <c r="D1155">
        <v>1</v>
      </c>
      <c r="E1155">
        <v>2239</v>
      </c>
      <c r="F1155">
        <v>3230</v>
      </c>
      <c r="G1155">
        <f t="shared" si="18"/>
        <v>8210201</v>
      </c>
    </row>
    <row r="1156" spans="1:7" x14ac:dyDescent="0.25">
      <c r="A1156">
        <v>8212814</v>
      </c>
      <c r="B1156" t="s">
        <v>24535</v>
      </c>
      <c r="C1156">
        <v>578</v>
      </c>
      <c r="D1156">
        <v>5</v>
      </c>
      <c r="E1156">
        <v>24081</v>
      </c>
      <c r="F1156">
        <v>434</v>
      </c>
      <c r="G1156">
        <f t="shared" si="18"/>
        <v>8212814</v>
      </c>
    </row>
    <row r="1157" spans="1:7" x14ac:dyDescent="0.25">
      <c r="A1157">
        <v>8217959</v>
      </c>
      <c r="B1157" t="s">
        <v>24536</v>
      </c>
      <c r="C1157">
        <v>126</v>
      </c>
      <c r="D1157">
        <v>3</v>
      </c>
      <c r="E1157">
        <v>10694</v>
      </c>
      <c r="F1157">
        <v>1470</v>
      </c>
      <c r="G1157">
        <f t="shared" si="18"/>
        <v>8217959</v>
      </c>
    </row>
    <row r="1158" spans="1:7" x14ac:dyDescent="0.25">
      <c r="A1158">
        <v>8225126</v>
      </c>
      <c r="B1158" t="s">
        <v>24537</v>
      </c>
      <c r="C1158">
        <v>0</v>
      </c>
      <c r="D1158">
        <v>0</v>
      </c>
      <c r="E1158">
        <v>0</v>
      </c>
      <c r="F1158">
        <v>7135</v>
      </c>
      <c r="G1158">
        <f t="shared" si="18"/>
        <v>8225126</v>
      </c>
    </row>
    <row r="1159" spans="1:7" x14ac:dyDescent="0.25">
      <c r="A1159">
        <v>8227144</v>
      </c>
      <c r="B1159" t="s">
        <v>24538</v>
      </c>
      <c r="C1159">
        <v>1699</v>
      </c>
      <c r="D1159">
        <v>2</v>
      </c>
      <c r="E1159">
        <v>11625</v>
      </c>
      <c r="F1159">
        <v>1341</v>
      </c>
      <c r="G1159">
        <f t="shared" si="18"/>
        <v>8227144</v>
      </c>
    </row>
    <row r="1160" spans="1:7" x14ac:dyDescent="0.25">
      <c r="A1160">
        <v>8227539</v>
      </c>
      <c r="B1160" t="s">
        <v>24539</v>
      </c>
      <c r="C1160">
        <v>419</v>
      </c>
      <c r="D1160">
        <v>4</v>
      </c>
      <c r="E1160">
        <v>17465</v>
      </c>
      <c r="F1160">
        <v>794</v>
      </c>
      <c r="G1160">
        <f t="shared" si="18"/>
        <v>8227539</v>
      </c>
    </row>
    <row r="1161" spans="1:7" x14ac:dyDescent="0.25">
      <c r="A1161">
        <v>8229715</v>
      </c>
      <c r="B1161" t="s">
        <v>24540</v>
      </c>
      <c r="C1161">
        <v>760</v>
      </c>
      <c r="D1161">
        <v>6</v>
      </c>
      <c r="E1161">
        <v>29836</v>
      </c>
      <c r="F1161">
        <v>244</v>
      </c>
      <c r="G1161">
        <f t="shared" si="18"/>
        <v>8229715</v>
      </c>
    </row>
    <row r="1162" spans="1:7" x14ac:dyDescent="0.25">
      <c r="A1162">
        <v>8233843</v>
      </c>
      <c r="B1162" t="s">
        <v>24541</v>
      </c>
      <c r="C1162">
        <v>0</v>
      </c>
      <c r="D1162">
        <v>0</v>
      </c>
      <c r="E1162">
        <v>0</v>
      </c>
      <c r="F1162">
        <v>7136</v>
      </c>
      <c r="G1162">
        <f t="shared" si="18"/>
        <v>8233843</v>
      </c>
    </row>
    <row r="1163" spans="1:7" x14ac:dyDescent="0.25">
      <c r="A1163">
        <v>8234595</v>
      </c>
      <c r="B1163" t="s">
        <v>24542</v>
      </c>
      <c r="C1163">
        <v>1743</v>
      </c>
      <c r="D1163">
        <v>1</v>
      </c>
      <c r="E1163">
        <v>2639</v>
      </c>
      <c r="F1163">
        <v>3087</v>
      </c>
      <c r="G1163">
        <f t="shared" si="18"/>
        <v>8234595</v>
      </c>
    </row>
    <row r="1164" spans="1:7" x14ac:dyDescent="0.25">
      <c r="A1164">
        <v>8235607</v>
      </c>
      <c r="B1164" t="s">
        <v>24543</v>
      </c>
      <c r="C1164">
        <v>578</v>
      </c>
      <c r="D1164">
        <v>1</v>
      </c>
      <c r="E1164">
        <v>3541</v>
      </c>
      <c r="F1164">
        <v>2868</v>
      </c>
      <c r="G1164">
        <f t="shared" si="18"/>
        <v>8235607</v>
      </c>
    </row>
    <row r="1165" spans="1:7" x14ac:dyDescent="0.25">
      <c r="A1165">
        <v>8241622</v>
      </c>
      <c r="B1165" t="s">
        <v>24544</v>
      </c>
      <c r="C1165">
        <v>0</v>
      </c>
      <c r="D1165">
        <v>0</v>
      </c>
      <c r="E1165">
        <v>0</v>
      </c>
      <c r="F1165">
        <v>7137</v>
      </c>
      <c r="G1165">
        <f t="shared" si="18"/>
        <v>8241622</v>
      </c>
    </row>
    <row r="1166" spans="1:7" x14ac:dyDescent="0.25">
      <c r="A1166">
        <v>8247237</v>
      </c>
      <c r="B1166" t="s">
        <v>24545</v>
      </c>
      <c r="C1166">
        <v>10</v>
      </c>
      <c r="D1166">
        <v>1</v>
      </c>
      <c r="E1166">
        <v>92</v>
      </c>
      <c r="F1166">
        <v>5892</v>
      </c>
      <c r="G1166">
        <f t="shared" si="18"/>
        <v>8247237</v>
      </c>
    </row>
    <row r="1167" spans="1:7" x14ac:dyDescent="0.25">
      <c r="A1167">
        <v>8250743</v>
      </c>
      <c r="B1167" t="s">
        <v>36116</v>
      </c>
      <c r="C1167">
        <v>0</v>
      </c>
      <c r="D1167">
        <v>1</v>
      </c>
      <c r="E1167">
        <v>4220</v>
      </c>
      <c r="F1167">
        <v>2709</v>
      </c>
      <c r="G1167">
        <f t="shared" si="18"/>
        <v>8250743</v>
      </c>
    </row>
    <row r="1168" spans="1:7" x14ac:dyDescent="0.25">
      <c r="A1168">
        <v>8251401</v>
      </c>
      <c r="B1168" t="s">
        <v>24546</v>
      </c>
      <c r="C1168">
        <v>882</v>
      </c>
      <c r="D1168">
        <v>1</v>
      </c>
      <c r="E1168">
        <v>5185</v>
      </c>
      <c r="F1168">
        <v>2470</v>
      </c>
      <c r="G1168">
        <f t="shared" si="18"/>
        <v>8251401</v>
      </c>
    </row>
    <row r="1169" spans="1:7" x14ac:dyDescent="0.25">
      <c r="A1169">
        <v>8252795</v>
      </c>
      <c r="B1169" t="s">
        <v>24547</v>
      </c>
      <c r="C1169">
        <v>0</v>
      </c>
      <c r="D1169">
        <v>0</v>
      </c>
      <c r="E1169">
        <v>0</v>
      </c>
      <c r="F1169">
        <v>7138</v>
      </c>
      <c r="G1169">
        <f t="shared" si="18"/>
        <v>8252795</v>
      </c>
    </row>
    <row r="1170" spans="1:7" x14ac:dyDescent="0.25">
      <c r="A1170">
        <v>8253850</v>
      </c>
      <c r="B1170" t="s">
        <v>24548</v>
      </c>
      <c r="C1170">
        <v>680</v>
      </c>
      <c r="D1170">
        <v>0</v>
      </c>
      <c r="E1170">
        <v>0</v>
      </c>
      <c r="F1170">
        <v>7139</v>
      </c>
      <c r="G1170">
        <f t="shared" si="18"/>
        <v>8253850</v>
      </c>
    </row>
    <row r="1171" spans="1:7" x14ac:dyDescent="0.25">
      <c r="A1171">
        <v>8258691</v>
      </c>
      <c r="B1171" t="s">
        <v>24549</v>
      </c>
      <c r="C1171">
        <v>0</v>
      </c>
      <c r="D1171">
        <v>1</v>
      </c>
      <c r="E1171">
        <v>89</v>
      </c>
      <c r="F1171">
        <v>5909</v>
      </c>
      <c r="G1171">
        <f t="shared" si="18"/>
        <v>8258691</v>
      </c>
    </row>
    <row r="1172" spans="1:7" x14ac:dyDescent="0.25">
      <c r="A1172">
        <v>8260921</v>
      </c>
      <c r="B1172" t="s">
        <v>36117</v>
      </c>
      <c r="C1172">
        <v>0</v>
      </c>
      <c r="D1172">
        <v>1</v>
      </c>
      <c r="E1172">
        <v>679</v>
      </c>
      <c r="F1172">
        <v>4370</v>
      </c>
      <c r="G1172">
        <f t="shared" si="18"/>
        <v>8260921</v>
      </c>
    </row>
    <row r="1173" spans="1:7" x14ac:dyDescent="0.25">
      <c r="A1173">
        <v>8271506</v>
      </c>
      <c r="B1173" t="s">
        <v>36118</v>
      </c>
      <c r="C1173">
        <v>27</v>
      </c>
      <c r="D1173">
        <v>2</v>
      </c>
      <c r="E1173">
        <v>14595</v>
      </c>
      <c r="F1173">
        <v>1022</v>
      </c>
      <c r="G1173">
        <f t="shared" si="18"/>
        <v>8271506</v>
      </c>
    </row>
    <row r="1174" spans="1:7" x14ac:dyDescent="0.25">
      <c r="A1174">
        <v>8271863</v>
      </c>
      <c r="B1174" t="s">
        <v>24550</v>
      </c>
      <c r="C1174">
        <v>541</v>
      </c>
      <c r="D1174">
        <v>1</v>
      </c>
      <c r="E1174">
        <v>6113</v>
      </c>
      <c r="F1174">
        <v>2250</v>
      </c>
      <c r="G1174">
        <f t="shared" si="18"/>
        <v>8271863</v>
      </c>
    </row>
    <row r="1175" spans="1:7" x14ac:dyDescent="0.25">
      <c r="A1175">
        <v>8272072</v>
      </c>
      <c r="B1175" t="s">
        <v>24551</v>
      </c>
      <c r="C1175">
        <v>15</v>
      </c>
      <c r="D1175">
        <v>1</v>
      </c>
      <c r="E1175">
        <v>970</v>
      </c>
      <c r="F1175">
        <v>4017</v>
      </c>
      <c r="G1175">
        <f t="shared" si="18"/>
        <v>8272072</v>
      </c>
    </row>
    <row r="1176" spans="1:7" x14ac:dyDescent="0.25">
      <c r="A1176">
        <v>8273130</v>
      </c>
      <c r="B1176" t="s">
        <v>24552</v>
      </c>
      <c r="C1176">
        <v>0</v>
      </c>
      <c r="D1176">
        <v>1</v>
      </c>
      <c r="E1176">
        <v>32</v>
      </c>
      <c r="F1176">
        <v>6305</v>
      </c>
      <c r="G1176">
        <f t="shared" si="18"/>
        <v>8273130</v>
      </c>
    </row>
    <row r="1177" spans="1:7" x14ac:dyDescent="0.25">
      <c r="A1177">
        <v>8278372</v>
      </c>
      <c r="B1177" t="s">
        <v>24553</v>
      </c>
      <c r="C1177">
        <v>205</v>
      </c>
      <c r="D1177">
        <v>1</v>
      </c>
      <c r="E1177">
        <v>455</v>
      </c>
      <c r="F1177">
        <v>4734</v>
      </c>
      <c r="G1177">
        <f t="shared" si="18"/>
        <v>8278372</v>
      </c>
    </row>
    <row r="1178" spans="1:7" x14ac:dyDescent="0.25">
      <c r="A1178">
        <v>8280342</v>
      </c>
      <c r="B1178" t="s">
        <v>24554</v>
      </c>
      <c r="C1178">
        <v>95</v>
      </c>
      <c r="D1178">
        <v>0</v>
      </c>
      <c r="E1178">
        <v>0</v>
      </c>
      <c r="F1178">
        <v>7140</v>
      </c>
      <c r="G1178">
        <f t="shared" si="18"/>
        <v>8280342</v>
      </c>
    </row>
    <row r="1179" spans="1:7" x14ac:dyDescent="0.25">
      <c r="A1179">
        <v>8285146</v>
      </c>
      <c r="B1179" t="s">
        <v>36119</v>
      </c>
      <c r="C1179">
        <v>0</v>
      </c>
      <c r="D1179">
        <v>0</v>
      </c>
      <c r="E1179">
        <v>0</v>
      </c>
      <c r="F1179">
        <v>7141</v>
      </c>
      <c r="G1179">
        <f t="shared" si="18"/>
        <v>8285146</v>
      </c>
    </row>
    <row r="1180" spans="1:7" x14ac:dyDescent="0.25">
      <c r="A1180">
        <v>8288027</v>
      </c>
      <c r="B1180" t="s">
        <v>36120</v>
      </c>
      <c r="C1180">
        <v>1363</v>
      </c>
      <c r="D1180">
        <v>1</v>
      </c>
      <c r="E1180">
        <v>2522</v>
      </c>
      <c r="F1180">
        <v>3132</v>
      </c>
      <c r="G1180">
        <f t="shared" si="18"/>
        <v>8288027</v>
      </c>
    </row>
    <row r="1181" spans="1:7" x14ac:dyDescent="0.25">
      <c r="A1181">
        <v>8292760</v>
      </c>
      <c r="B1181" t="s">
        <v>24555</v>
      </c>
      <c r="C1181">
        <v>0</v>
      </c>
      <c r="D1181">
        <v>0</v>
      </c>
      <c r="E1181">
        <v>0</v>
      </c>
      <c r="F1181">
        <v>7142</v>
      </c>
      <c r="G1181">
        <f t="shared" si="18"/>
        <v>8292760</v>
      </c>
    </row>
    <row r="1182" spans="1:7" x14ac:dyDescent="0.25">
      <c r="A1182">
        <v>8295473</v>
      </c>
      <c r="B1182" t="s">
        <v>24556</v>
      </c>
      <c r="C1182">
        <v>367</v>
      </c>
      <c r="D1182">
        <v>3</v>
      </c>
      <c r="E1182">
        <v>10485</v>
      </c>
      <c r="F1182">
        <v>1498</v>
      </c>
      <c r="G1182">
        <f t="shared" si="18"/>
        <v>8295473</v>
      </c>
    </row>
    <row r="1183" spans="1:7" x14ac:dyDescent="0.25">
      <c r="A1183">
        <v>8297454</v>
      </c>
      <c r="B1183" t="s">
        <v>24557</v>
      </c>
      <c r="C1183">
        <v>106</v>
      </c>
      <c r="D1183">
        <v>1</v>
      </c>
      <c r="E1183">
        <v>5957</v>
      </c>
      <c r="F1183">
        <v>2285</v>
      </c>
      <c r="G1183">
        <f t="shared" si="18"/>
        <v>8297454</v>
      </c>
    </row>
    <row r="1184" spans="1:7" x14ac:dyDescent="0.25">
      <c r="A1184">
        <v>8300935</v>
      </c>
      <c r="B1184" t="s">
        <v>37389</v>
      </c>
      <c r="C1184">
        <v>552</v>
      </c>
      <c r="D1184">
        <v>6</v>
      </c>
      <c r="E1184">
        <v>29073</v>
      </c>
      <c r="F1184">
        <v>267</v>
      </c>
      <c r="G1184">
        <f t="shared" si="18"/>
        <v>8300935</v>
      </c>
    </row>
    <row r="1185" spans="1:7" x14ac:dyDescent="0.25">
      <c r="A1185">
        <v>8304888</v>
      </c>
      <c r="B1185" t="s">
        <v>24558</v>
      </c>
      <c r="C1185">
        <v>0</v>
      </c>
      <c r="D1185">
        <v>1</v>
      </c>
      <c r="E1185">
        <v>427</v>
      </c>
      <c r="F1185">
        <v>4788</v>
      </c>
      <c r="G1185">
        <f t="shared" si="18"/>
        <v>8304888</v>
      </c>
    </row>
    <row r="1186" spans="1:7" x14ac:dyDescent="0.25">
      <c r="A1186">
        <v>8305691</v>
      </c>
      <c r="B1186" t="s">
        <v>24559</v>
      </c>
      <c r="C1186">
        <v>0</v>
      </c>
      <c r="D1186">
        <v>1</v>
      </c>
      <c r="E1186">
        <v>26</v>
      </c>
      <c r="F1186">
        <v>6413</v>
      </c>
      <c r="G1186">
        <f t="shared" si="18"/>
        <v>8305691</v>
      </c>
    </row>
    <row r="1187" spans="1:7" x14ac:dyDescent="0.25">
      <c r="A1187">
        <v>8305777</v>
      </c>
      <c r="B1187" t="s">
        <v>24560</v>
      </c>
      <c r="C1187">
        <v>160</v>
      </c>
      <c r="D1187">
        <v>1</v>
      </c>
      <c r="E1187">
        <v>5125</v>
      </c>
      <c r="F1187">
        <v>2484</v>
      </c>
      <c r="G1187">
        <f t="shared" si="18"/>
        <v>8305777</v>
      </c>
    </row>
    <row r="1188" spans="1:7" x14ac:dyDescent="0.25">
      <c r="A1188">
        <v>8309212</v>
      </c>
      <c r="B1188" t="s">
        <v>24561</v>
      </c>
      <c r="C1188">
        <v>117</v>
      </c>
      <c r="D1188">
        <v>4</v>
      </c>
      <c r="E1188">
        <v>22248</v>
      </c>
      <c r="F1188">
        <v>509</v>
      </c>
      <c r="G1188">
        <f t="shared" si="18"/>
        <v>8309212</v>
      </c>
    </row>
    <row r="1189" spans="1:7" x14ac:dyDescent="0.25">
      <c r="A1189">
        <v>8310122</v>
      </c>
      <c r="B1189" t="s">
        <v>24562</v>
      </c>
      <c r="C1189">
        <v>0</v>
      </c>
      <c r="D1189">
        <v>1</v>
      </c>
      <c r="E1189">
        <v>212</v>
      </c>
      <c r="F1189">
        <v>5456</v>
      </c>
      <c r="G1189">
        <f t="shared" si="18"/>
        <v>8310122</v>
      </c>
    </row>
    <row r="1190" spans="1:7" x14ac:dyDescent="0.25">
      <c r="A1190">
        <v>8311997</v>
      </c>
      <c r="B1190" t="s">
        <v>36121</v>
      </c>
      <c r="C1190">
        <v>131</v>
      </c>
      <c r="D1190">
        <v>4</v>
      </c>
      <c r="E1190">
        <v>15185</v>
      </c>
      <c r="F1190">
        <v>976</v>
      </c>
      <c r="G1190">
        <f t="shared" si="18"/>
        <v>8311997</v>
      </c>
    </row>
    <row r="1191" spans="1:7" x14ac:dyDescent="0.25">
      <c r="A1191">
        <v>8314639</v>
      </c>
      <c r="B1191" t="s">
        <v>24563</v>
      </c>
      <c r="C1191">
        <v>78</v>
      </c>
      <c r="D1191">
        <v>0</v>
      </c>
      <c r="E1191">
        <v>0</v>
      </c>
      <c r="F1191">
        <v>7143</v>
      </c>
      <c r="G1191">
        <f t="shared" si="18"/>
        <v>8314639</v>
      </c>
    </row>
    <row r="1192" spans="1:7" x14ac:dyDescent="0.25">
      <c r="A1192">
        <v>8315602</v>
      </c>
      <c r="B1192" t="s">
        <v>24564</v>
      </c>
      <c r="C1192">
        <v>122</v>
      </c>
      <c r="D1192">
        <v>5</v>
      </c>
      <c r="E1192">
        <v>24813</v>
      </c>
      <c r="F1192">
        <v>408</v>
      </c>
      <c r="G1192">
        <f t="shared" si="18"/>
        <v>8315602</v>
      </c>
    </row>
    <row r="1193" spans="1:7" x14ac:dyDescent="0.25">
      <c r="A1193">
        <v>8318485</v>
      </c>
      <c r="B1193" t="s">
        <v>24565</v>
      </c>
      <c r="C1193">
        <v>1946</v>
      </c>
      <c r="D1193">
        <v>2</v>
      </c>
      <c r="E1193">
        <v>8460</v>
      </c>
      <c r="F1193">
        <v>1803</v>
      </c>
      <c r="G1193">
        <f t="shared" si="18"/>
        <v>8318485</v>
      </c>
    </row>
    <row r="1194" spans="1:7" x14ac:dyDescent="0.25">
      <c r="A1194">
        <v>8318735</v>
      </c>
      <c r="B1194">
        <v>5362</v>
      </c>
      <c r="C1194">
        <v>541</v>
      </c>
      <c r="D1194">
        <v>2</v>
      </c>
      <c r="E1194">
        <v>12858</v>
      </c>
      <c r="F1194">
        <v>1192</v>
      </c>
      <c r="G1194">
        <f t="shared" si="18"/>
        <v>8318735</v>
      </c>
    </row>
    <row r="1195" spans="1:7" x14ac:dyDescent="0.25">
      <c r="A1195">
        <v>8321251</v>
      </c>
      <c r="B1195" t="s">
        <v>24566</v>
      </c>
      <c r="C1195">
        <v>1357</v>
      </c>
      <c r="D1195">
        <v>1</v>
      </c>
      <c r="E1195">
        <v>483</v>
      </c>
      <c r="F1195">
        <v>4676</v>
      </c>
      <c r="G1195">
        <f t="shared" si="18"/>
        <v>8321251</v>
      </c>
    </row>
    <row r="1196" spans="1:7" x14ac:dyDescent="0.25">
      <c r="A1196">
        <v>8321603</v>
      </c>
      <c r="B1196">
        <v>25262054</v>
      </c>
      <c r="C1196">
        <v>199</v>
      </c>
      <c r="D1196">
        <v>5</v>
      </c>
      <c r="E1196">
        <v>28185</v>
      </c>
      <c r="F1196">
        <v>292</v>
      </c>
      <c r="G1196">
        <f t="shared" si="18"/>
        <v>8321603</v>
      </c>
    </row>
    <row r="1197" spans="1:7" x14ac:dyDescent="0.25">
      <c r="A1197">
        <v>8328748</v>
      </c>
      <c r="B1197" t="s">
        <v>24567</v>
      </c>
      <c r="C1197">
        <v>0</v>
      </c>
      <c r="D1197">
        <v>1</v>
      </c>
      <c r="E1197">
        <v>396</v>
      </c>
      <c r="F1197">
        <v>4856</v>
      </c>
      <c r="G1197">
        <f t="shared" si="18"/>
        <v>8328748</v>
      </c>
    </row>
    <row r="1198" spans="1:7" x14ac:dyDescent="0.25">
      <c r="A1198">
        <v>8331904</v>
      </c>
      <c r="B1198" t="s">
        <v>24568</v>
      </c>
      <c r="C1198">
        <v>625</v>
      </c>
      <c r="D1198">
        <v>1</v>
      </c>
      <c r="E1198">
        <v>4138</v>
      </c>
      <c r="F1198">
        <v>2736</v>
      </c>
      <c r="G1198">
        <f t="shared" si="18"/>
        <v>8331904</v>
      </c>
    </row>
    <row r="1199" spans="1:7" x14ac:dyDescent="0.25">
      <c r="A1199">
        <v>8332271</v>
      </c>
      <c r="B1199" t="s">
        <v>24569</v>
      </c>
      <c r="C1199">
        <v>1642</v>
      </c>
      <c r="D1199">
        <v>1</v>
      </c>
      <c r="E1199">
        <v>4186</v>
      </c>
      <c r="F1199">
        <v>2720</v>
      </c>
      <c r="G1199">
        <f t="shared" si="18"/>
        <v>8332271</v>
      </c>
    </row>
    <row r="1200" spans="1:7" x14ac:dyDescent="0.25">
      <c r="A1200">
        <v>8333854</v>
      </c>
      <c r="B1200" t="s">
        <v>24570</v>
      </c>
      <c r="C1200">
        <v>58</v>
      </c>
      <c r="D1200">
        <v>4</v>
      </c>
      <c r="E1200">
        <v>20462</v>
      </c>
      <c r="F1200">
        <v>599</v>
      </c>
      <c r="G1200">
        <f t="shared" si="18"/>
        <v>8333854</v>
      </c>
    </row>
    <row r="1201" spans="1:7" x14ac:dyDescent="0.25">
      <c r="A1201">
        <v>8334558</v>
      </c>
      <c r="B1201" t="s">
        <v>24571</v>
      </c>
      <c r="C1201">
        <v>578</v>
      </c>
      <c r="D1201">
        <v>6</v>
      </c>
      <c r="E1201">
        <v>29137</v>
      </c>
      <c r="F1201">
        <v>268</v>
      </c>
      <c r="G1201">
        <f t="shared" si="18"/>
        <v>8334558</v>
      </c>
    </row>
    <row r="1202" spans="1:7" x14ac:dyDescent="0.25">
      <c r="A1202">
        <v>8337313</v>
      </c>
      <c r="B1202" t="s">
        <v>24572</v>
      </c>
      <c r="C1202">
        <v>274</v>
      </c>
      <c r="D1202">
        <v>4</v>
      </c>
      <c r="E1202">
        <v>23871</v>
      </c>
      <c r="F1202">
        <v>446</v>
      </c>
      <c r="G1202">
        <f t="shared" si="18"/>
        <v>8337313</v>
      </c>
    </row>
    <row r="1203" spans="1:7" x14ac:dyDescent="0.25">
      <c r="A1203">
        <v>8337682</v>
      </c>
      <c r="B1203" t="s">
        <v>24573</v>
      </c>
      <c r="C1203">
        <v>0</v>
      </c>
      <c r="D1203">
        <v>1</v>
      </c>
      <c r="E1203">
        <v>634</v>
      </c>
      <c r="F1203">
        <v>4428</v>
      </c>
      <c r="G1203">
        <f t="shared" si="18"/>
        <v>8337682</v>
      </c>
    </row>
    <row r="1204" spans="1:7" x14ac:dyDescent="0.25">
      <c r="A1204">
        <v>8340040</v>
      </c>
      <c r="B1204" t="s">
        <v>24574</v>
      </c>
      <c r="C1204">
        <v>1643</v>
      </c>
      <c r="D1204">
        <v>1</v>
      </c>
      <c r="E1204">
        <v>1399</v>
      </c>
      <c r="F1204">
        <v>3660</v>
      </c>
      <c r="G1204">
        <f t="shared" si="18"/>
        <v>8340040</v>
      </c>
    </row>
    <row r="1205" spans="1:7" x14ac:dyDescent="0.25">
      <c r="A1205">
        <v>8342200</v>
      </c>
      <c r="B1205" t="s">
        <v>24575</v>
      </c>
      <c r="C1205">
        <v>541</v>
      </c>
      <c r="D1205">
        <v>2</v>
      </c>
      <c r="E1205">
        <v>13826</v>
      </c>
      <c r="F1205">
        <v>1091</v>
      </c>
      <c r="G1205">
        <f t="shared" si="18"/>
        <v>8342200</v>
      </c>
    </row>
    <row r="1206" spans="1:7" x14ac:dyDescent="0.25">
      <c r="A1206">
        <v>8342313</v>
      </c>
      <c r="B1206" t="s">
        <v>36122</v>
      </c>
      <c r="C1206">
        <v>882</v>
      </c>
      <c r="D1206">
        <v>5</v>
      </c>
      <c r="E1206">
        <v>16664</v>
      </c>
      <c r="F1206">
        <v>854</v>
      </c>
      <c r="G1206">
        <f t="shared" si="18"/>
        <v>8342313</v>
      </c>
    </row>
    <row r="1207" spans="1:7" x14ac:dyDescent="0.25">
      <c r="A1207">
        <v>8343432</v>
      </c>
      <c r="B1207" t="s">
        <v>24576</v>
      </c>
      <c r="C1207">
        <v>0</v>
      </c>
      <c r="D1207">
        <v>1</v>
      </c>
      <c r="E1207">
        <v>385</v>
      </c>
      <c r="F1207">
        <v>4884</v>
      </c>
      <c r="G1207">
        <f t="shared" si="18"/>
        <v>8343432</v>
      </c>
    </row>
    <row r="1208" spans="1:7" x14ac:dyDescent="0.25">
      <c r="A1208">
        <v>8350550</v>
      </c>
      <c r="B1208" t="s">
        <v>24577</v>
      </c>
      <c r="C1208">
        <v>23</v>
      </c>
      <c r="D1208">
        <v>2</v>
      </c>
      <c r="E1208">
        <v>9636</v>
      </c>
      <c r="F1208">
        <v>1620</v>
      </c>
      <c r="G1208">
        <f t="shared" si="18"/>
        <v>8350550</v>
      </c>
    </row>
    <row r="1209" spans="1:7" x14ac:dyDescent="0.25">
      <c r="A1209">
        <v>8353139</v>
      </c>
      <c r="B1209" t="s">
        <v>36123</v>
      </c>
      <c r="C1209">
        <v>1019</v>
      </c>
      <c r="D1209">
        <v>1</v>
      </c>
      <c r="E1209">
        <v>4380</v>
      </c>
      <c r="F1209">
        <v>2656</v>
      </c>
      <c r="G1209">
        <f t="shared" si="18"/>
        <v>8353139</v>
      </c>
    </row>
    <row r="1210" spans="1:7" x14ac:dyDescent="0.25">
      <c r="A1210">
        <v>8353498</v>
      </c>
      <c r="B1210" t="s">
        <v>24578</v>
      </c>
      <c r="C1210">
        <v>1691</v>
      </c>
      <c r="D1210">
        <v>1</v>
      </c>
      <c r="E1210">
        <v>206</v>
      </c>
      <c r="F1210">
        <v>5473</v>
      </c>
      <c r="G1210">
        <f t="shared" si="18"/>
        <v>8353498</v>
      </c>
    </row>
    <row r="1211" spans="1:7" x14ac:dyDescent="0.25">
      <c r="A1211">
        <v>8354082</v>
      </c>
      <c r="B1211" t="s">
        <v>24579</v>
      </c>
      <c r="C1211">
        <v>0</v>
      </c>
      <c r="D1211">
        <v>1</v>
      </c>
      <c r="E1211">
        <v>259</v>
      </c>
      <c r="F1211">
        <v>5279</v>
      </c>
      <c r="G1211">
        <f t="shared" si="18"/>
        <v>8354082</v>
      </c>
    </row>
    <row r="1212" spans="1:7" x14ac:dyDescent="0.25">
      <c r="A1212">
        <v>8358158</v>
      </c>
      <c r="B1212" t="s">
        <v>24580</v>
      </c>
      <c r="C1212">
        <v>0</v>
      </c>
      <c r="D1212">
        <v>0</v>
      </c>
      <c r="E1212">
        <v>0</v>
      </c>
      <c r="F1212">
        <v>7144</v>
      </c>
      <c r="G1212">
        <f t="shared" si="18"/>
        <v>8358158</v>
      </c>
    </row>
    <row r="1213" spans="1:7" x14ac:dyDescent="0.25">
      <c r="A1213">
        <v>8358719</v>
      </c>
      <c r="B1213" t="s">
        <v>24581</v>
      </c>
      <c r="C1213">
        <v>1966</v>
      </c>
      <c r="D1213">
        <v>2</v>
      </c>
      <c r="E1213">
        <v>12625</v>
      </c>
      <c r="F1213">
        <v>1209</v>
      </c>
      <c r="G1213">
        <f t="shared" si="18"/>
        <v>8358719</v>
      </c>
    </row>
    <row r="1214" spans="1:7" x14ac:dyDescent="0.25">
      <c r="A1214">
        <v>8359919</v>
      </c>
      <c r="B1214" t="s">
        <v>24582</v>
      </c>
      <c r="C1214">
        <v>1340</v>
      </c>
      <c r="D1214">
        <v>3</v>
      </c>
      <c r="E1214">
        <v>15680</v>
      </c>
      <c r="F1214">
        <v>933</v>
      </c>
      <c r="G1214">
        <f t="shared" si="18"/>
        <v>8359919</v>
      </c>
    </row>
    <row r="1215" spans="1:7" x14ac:dyDescent="0.25">
      <c r="A1215">
        <v>8361525</v>
      </c>
      <c r="B1215" t="s">
        <v>4489</v>
      </c>
      <c r="C1215">
        <v>0</v>
      </c>
      <c r="D1215">
        <v>1</v>
      </c>
      <c r="E1215">
        <v>478</v>
      </c>
      <c r="F1215">
        <v>4747</v>
      </c>
      <c r="G1215">
        <f t="shared" si="18"/>
        <v>8361525</v>
      </c>
    </row>
    <row r="1216" spans="1:7" x14ac:dyDescent="0.25">
      <c r="A1216">
        <v>8363670</v>
      </c>
      <c r="B1216" t="s">
        <v>24583</v>
      </c>
      <c r="C1216">
        <v>0</v>
      </c>
      <c r="D1216">
        <v>1</v>
      </c>
      <c r="E1216">
        <v>1485</v>
      </c>
      <c r="F1216">
        <v>3605</v>
      </c>
      <c r="G1216">
        <f t="shared" si="18"/>
        <v>8363670</v>
      </c>
    </row>
    <row r="1217" spans="1:7" x14ac:dyDescent="0.25">
      <c r="A1217">
        <v>8363828</v>
      </c>
      <c r="B1217" t="s">
        <v>36124</v>
      </c>
      <c r="C1217">
        <v>273</v>
      </c>
      <c r="D1217">
        <v>1</v>
      </c>
      <c r="E1217">
        <v>449</v>
      </c>
      <c r="F1217">
        <v>4744</v>
      </c>
      <c r="G1217">
        <f t="shared" ref="G1217:G1280" si="19">A1217</f>
        <v>8363828</v>
      </c>
    </row>
    <row r="1218" spans="1:7" x14ac:dyDescent="0.25">
      <c r="A1218">
        <v>8366860</v>
      </c>
      <c r="B1218" t="s">
        <v>24584</v>
      </c>
      <c r="C1218">
        <v>0</v>
      </c>
      <c r="D1218">
        <v>1</v>
      </c>
      <c r="E1218">
        <v>207</v>
      </c>
      <c r="F1218">
        <v>5491</v>
      </c>
      <c r="G1218">
        <f t="shared" si="19"/>
        <v>8366860</v>
      </c>
    </row>
    <row r="1219" spans="1:7" x14ac:dyDescent="0.25">
      <c r="A1219">
        <v>8369275</v>
      </c>
      <c r="B1219" t="s">
        <v>24585</v>
      </c>
      <c r="C1219">
        <v>1880</v>
      </c>
      <c r="D1219">
        <v>1</v>
      </c>
      <c r="E1219">
        <v>2009</v>
      </c>
      <c r="F1219">
        <v>3339</v>
      </c>
      <c r="G1219">
        <f t="shared" si="19"/>
        <v>8369275</v>
      </c>
    </row>
    <row r="1220" spans="1:7" x14ac:dyDescent="0.25">
      <c r="A1220">
        <v>8370474</v>
      </c>
      <c r="B1220" t="s">
        <v>36125</v>
      </c>
      <c r="C1220">
        <v>10</v>
      </c>
      <c r="D1220">
        <v>1</v>
      </c>
      <c r="E1220">
        <v>5636</v>
      </c>
      <c r="F1220">
        <v>2370</v>
      </c>
      <c r="G1220">
        <f t="shared" si="19"/>
        <v>8370474</v>
      </c>
    </row>
    <row r="1221" spans="1:7" x14ac:dyDescent="0.25">
      <c r="A1221">
        <v>8370596</v>
      </c>
      <c r="B1221" t="s">
        <v>24586</v>
      </c>
      <c r="C1221">
        <v>96</v>
      </c>
      <c r="D1221">
        <v>4</v>
      </c>
      <c r="E1221">
        <v>29940</v>
      </c>
      <c r="F1221">
        <v>242</v>
      </c>
      <c r="G1221">
        <f t="shared" si="19"/>
        <v>8370596</v>
      </c>
    </row>
    <row r="1222" spans="1:7" x14ac:dyDescent="0.25">
      <c r="A1222">
        <v>8371026</v>
      </c>
      <c r="B1222" t="s">
        <v>24587</v>
      </c>
      <c r="C1222">
        <v>19</v>
      </c>
      <c r="D1222">
        <v>1</v>
      </c>
      <c r="E1222">
        <v>30</v>
      </c>
      <c r="F1222">
        <v>6319</v>
      </c>
      <c r="G1222">
        <f t="shared" si="19"/>
        <v>8371026</v>
      </c>
    </row>
    <row r="1223" spans="1:7" x14ac:dyDescent="0.25">
      <c r="A1223">
        <v>8371520</v>
      </c>
      <c r="B1223" t="s">
        <v>24588</v>
      </c>
      <c r="C1223">
        <v>0</v>
      </c>
      <c r="D1223">
        <v>1</v>
      </c>
      <c r="E1223">
        <v>26</v>
      </c>
      <c r="F1223">
        <v>6414</v>
      </c>
      <c r="G1223">
        <f t="shared" si="19"/>
        <v>8371520</v>
      </c>
    </row>
    <row r="1224" spans="1:7" x14ac:dyDescent="0.25">
      <c r="A1224">
        <v>8372557</v>
      </c>
      <c r="B1224" t="s">
        <v>36126</v>
      </c>
      <c r="C1224">
        <v>1413</v>
      </c>
      <c r="D1224">
        <v>1</v>
      </c>
      <c r="E1224">
        <v>4513</v>
      </c>
      <c r="F1224">
        <v>2613</v>
      </c>
      <c r="G1224">
        <f t="shared" si="19"/>
        <v>8372557</v>
      </c>
    </row>
    <row r="1225" spans="1:7" x14ac:dyDescent="0.25">
      <c r="A1225">
        <v>8374321</v>
      </c>
      <c r="B1225" t="s">
        <v>24589</v>
      </c>
      <c r="C1225">
        <v>1699</v>
      </c>
      <c r="D1225">
        <v>3</v>
      </c>
      <c r="E1225">
        <v>17147</v>
      </c>
      <c r="F1225">
        <v>820</v>
      </c>
      <c r="G1225">
        <f t="shared" si="19"/>
        <v>8374321</v>
      </c>
    </row>
    <row r="1226" spans="1:7" x14ac:dyDescent="0.25">
      <c r="A1226">
        <v>8377070</v>
      </c>
      <c r="B1226" t="s">
        <v>24590</v>
      </c>
      <c r="C1226">
        <v>2010</v>
      </c>
      <c r="D1226">
        <v>1</v>
      </c>
      <c r="E1226">
        <v>728</v>
      </c>
      <c r="F1226">
        <v>4298</v>
      </c>
      <c r="G1226">
        <f t="shared" si="19"/>
        <v>8377070</v>
      </c>
    </row>
    <row r="1227" spans="1:7" x14ac:dyDescent="0.25">
      <c r="A1227">
        <v>8377713</v>
      </c>
      <c r="B1227" t="s">
        <v>36127</v>
      </c>
      <c r="C1227">
        <v>1974</v>
      </c>
      <c r="D1227">
        <v>1</v>
      </c>
      <c r="E1227">
        <v>1743</v>
      </c>
      <c r="F1227">
        <v>3475</v>
      </c>
      <c r="G1227">
        <f t="shared" si="19"/>
        <v>8377713</v>
      </c>
    </row>
    <row r="1228" spans="1:7" x14ac:dyDescent="0.25">
      <c r="A1228">
        <v>8377913</v>
      </c>
      <c r="B1228" t="s">
        <v>24591</v>
      </c>
      <c r="C1228">
        <v>0</v>
      </c>
      <c r="D1228">
        <v>0</v>
      </c>
      <c r="E1228">
        <v>0</v>
      </c>
      <c r="F1228">
        <v>7145</v>
      </c>
      <c r="G1228">
        <f t="shared" si="19"/>
        <v>8377913</v>
      </c>
    </row>
    <row r="1229" spans="1:7" x14ac:dyDescent="0.25">
      <c r="A1229">
        <v>8380075</v>
      </c>
      <c r="B1229" t="s">
        <v>24592</v>
      </c>
      <c r="C1229">
        <v>294</v>
      </c>
      <c r="D1229">
        <v>1</v>
      </c>
      <c r="E1229">
        <v>7677</v>
      </c>
      <c r="F1229">
        <v>1947</v>
      </c>
      <c r="G1229">
        <f t="shared" si="19"/>
        <v>8380075</v>
      </c>
    </row>
    <row r="1230" spans="1:7" x14ac:dyDescent="0.25">
      <c r="A1230">
        <v>8381239</v>
      </c>
      <c r="B1230" t="s">
        <v>24593</v>
      </c>
      <c r="C1230">
        <v>1712</v>
      </c>
      <c r="D1230">
        <v>1</v>
      </c>
      <c r="E1230">
        <v>1994</v>
      </c>
      <c r="F1230">
        <v>3347</v>
      </c>
      <c r="G1230">
        <f t="shared" si="19"/>
        <v>8381239</v>
      </c>
    </row>
    <row r="1231" spans="1:7" x14ac:dyDescent="0.25">
      <c r="A1231">
        <v>8383781</v>
      </c>
      <c r="B1231" t="s">
        <v>36128</v>
      </c>
      <c r="C1231">
        <v>1315</v>
      </c>
      <c r="D1231">
        <v>1</v>
      </c>
      <c r="E1231">
        <v>391</v>
      </c>
      <c r="F1231">
        <v>4890</v>
      </c>
      <c r="G1231">
        <f t="shared" si="19"/>
        <v>8383781</v>
      </c>
    </row>
    <row r="1232" spans="1:7" x14ac:dyDescent="0.25">
      <c r="A1232">
        <v>8387310</v>
      </c>
      <c r="B1232" t="s">
        <v>37041</v>
      </c>
      <c r="C1232">
        <v>1837</v>
      </c>
      <c r="D1232">
        <v>1</v>
      </c>
      <c r="E1232">
        <v>381</v>
      </c>
      <c r="F1232">
        <v>4899</v>
      </c>
      <c r="G1232">
        <f t="shared" si="19"/>
        <v>8387310</v>
      </c>
    </row>
    <row r="1233" spans="1:7" x14ac:dyDescent="0.25">
      <c r="A1233">
        <v>8387691</v>
      </c>
      <c r="B1233" t="s">
        <v>37216</v>
      </c>
      <c r="C1233">
        <v>0</v>
      </c>
      <c r="D1233">
        <v>1</v>
      </c>
      <c r="E1233">
        <v>121</v>
      </c>
      <c r="F1233">
        <v>5785</v>
      </c>
      <c r="G1233">
        <f t="shared" si="19"/>
        <v>8387691</v>
      </c>
    </row>
    <row r="1234" spans="1:7" x14ac:dyDescent="0.25">
      <c r="A1234">
        <v>8388232</v>
      </c>
      <c r="B1234" t="s">
        <v>24594</v>
      </c>
      <c r="C1234">
        <v>443</v>
      </c>
      <c r="D1234">
        <v>1</v>
      </c>
      <c r="E1234">
        <v>3339</v>
      </c>
      <c r="F1234">
        <v>2915</v>
      </c>
      <c r="G1234">
        <f t="shared" si="19"/>
        <v>8388232</v>
      </c>
    </row>
    <row r="1235" spans="1:7" x14ac:dyDescent="0.25">
      <c r="A1235">
        <v>8389534</v>
      </c>
      <c r="B1235" t="s">
        <v>24595</v>
      </c>
      <c r="C1235">
        <v>0</v>
      </c>
      <c r="D1235">
        <v>0</v>
      </c>
      <c r="E1235">
        <v>0</v>
      </c>
      <c r="F1235">
        <v>7146</v>
      </c>
      <c r="G1235">
        <f t="shared" si="19"/>
        <v>8389534</v>
      </c>
    </row>
    <row r="1236" spans="1:7" x14ac:dyDescent="0.25">
      <c r="A1236">
        <v>8390116</v>
      </c>
      <c r="B1236" t="s">
        <v>37116</v>
      </c>
      <c r="C1236">
        <v>0</v>
      </c>
      <c r="D1236">
        <v>1</v>
      </c>
      <c r="E1236">
        <v>7684</v>
      </c>
      <c r="F1236">
        <v>1944</v>
      </c>
      <c r="G1236">
        <f t="shared" si="19"/>
        <v>8390116</v>
      </c>
    </row>
    <row r="1237" spans="1:7" x14ac:dyDescent="0.25">
      <c r="A1237">
        <v>8391066</v>
      </c>
      <c r="B1237" t="s">
        <v>24596</v>
      </c>
      <c r="C1237">
        <v>0</v>
      </c>
      <c r="D1237">
        <v>1</v>
      </c>
      <c r="E1237">
        <v>1214</v>
      </c>
      <c r="F1237">
        <v>3791</v>
      </c>
      <c r="G1237">
        <f t="shared" si="19"/>
        <v>8391066</v>
      </c>
    </row>
    <row r="1238" spans="1:7" x14ac:dyDescent="0.25">
      <c r="A1238">
        <v>8392517</v>
      </c>
      <c r="B1238" t="s">
        <v>24597</v>
      </c>
      <c r="C1238">
        <v>467</v>
      </c>
      <c r="D1238">
        <v>4</v>
      </c>
      <c r="E1238">
        <v>12678</v>
      </c>
      <c r="F1238">
        <v>1204</v>
      </c>
      <c r="G1238">
        <f t="shared" si="19"/>
        <v>8392517</v>
      </c>
    </row>
    <row r="1239" spans="1:7" x14ac:dyDescent="0.25">
      <c r="A1239">
        <v>8393437</v>
      </c>
      <c r="B1239" t="s">
        <v>37259</v>
      </c>
      <c r="C1239">
        <v>480</v>
      </c>
      <c r="D1239">
        <v>4</v>
      </c>
      <c r="E1239">
        <v>18607</v>
      </c>
      <c r="F1239">
        <v>712</v>
      </c>
      <c r="G1239">
        <f t="shared" si="19"/>
        <v>8393437</v>
      </c>
    </row>
    <row r="1240" spans="1:7" x14ac:dyDescent="0.25">
      <c r="A1240">
        <v>8397536</v>
      </c>
      <c r="B1240" t="s">
        <v>24598</v>
      </c>
      <c r="C1240">
        <v>0</v>
      </c>
      <c r="D1240">
        <v>1</v>
      </c>
      <c r="E1240">
        <v>26</v>
      </c>
      <c r="F1240">
        <v>6415</v>
      </c>
      <c r="G1240">
        <f t="shared" si="19"/>
        <v>8397536</v>
      </c>
    </row>
    <row r="1241" spans="1:7" x14ac:dyDescent="0.25">
      <c r="A1241">
        <v>8398126</v>
      </c>
      <c r="B1241" t="s">
        <v>24599</v>
      </c>
      <c r="C1241">
        <v>0</v>
      </c>
      <c r="D1241">
        <v>1</v>
      </c>
      <c r="E1241">
        <v>885</v>
      </c>
      <c r="F1241">
        <v>4106</v>
      </c>
      <c r="G1241">
        <f t="shared" si="19"/>
        <v>8398126</v>
      </c>
    </row>
    <row r="1242" spans="1:7" x14ac:dyDescent="0.25">
      <c r="A1242">
        <v>8401454</v>
      </c>
      <c r="B1242" t="s">
        <v>24600</v>
      </c>
      <c r="C1242">
        <v>0</v>
      </c>
      <c r="D1242">
        <v>1</v>
      </c>
      <c r="E1242">
        <v>70</v>
      </c>
      <c r="F1242">
        <v>6062</v>
      </c>
      <c r="G1242">
        <f t="shared" si="19"/>
        <v>8401454</v>
      </c>
    </row>
    <row r="1243" spans="1:7" x14ac:dyDescent="0.25">
      <c r="A1243">
        <v>8405150</v>
      </c>
      <c r="B1243" t="s">
        <v>24601</v>
      </c>
      <c r="C1243">
        <v>0</v>
      </c>
      <c r="D1243">
        <v>0</v>
      </c>
      <c r="E1243">
        <v>0</v>
      </c>
      <c r="F1243">
        <v>7147</v>
      </c>
      <c r="G1243">
        <f t="shared" si="19"/>
        <v>8405150</v>
      </c>
    </row>
    <row r="1244" spans="1:7" x14ac:dyDescent="0.25">
      <c r="A1244">
        <v>8405997</v>
      </c>
      <c r="B1244" t="s">
        <v>24602</v>
      </c>
      <c r="C1244">
        <v>0</v>
      </c>
      <c r="D1244">
        <v>1</v>
      </c>
      <c r="E1244">
        <v>457</v>
      </c>
      <c r="F1244">
        <v>4729</v>
      </c>
      <c r="G1244">
        <f t="shared" si="19"/>
        <v>8405997</v>
      </c>
    </row>
    <row r="1245" spans="1:7" x14ac:dyDescent="0.25">
      <c r="A1245">
        <v>8416945</v>
      </c>
      <c r="B1245" t="s">
        <v>24603</v>
      </c>
      <c r="C1245">
        <v>429</v>
      </c>
      <c r="D1245">
        <v>2</v>
      </c>
      <c r="E1245">
        <v>5674</v>
      </c>
      <c r="F1245">
        <v>2357</v>
      </c>
      <c r="G1245">
        <f t="shared" si="19"/>
        <v>8416945</v>
      </c>
    </row>
    <row r="1246" spans="1:7" x14ac:dyDescent="0.25">
      <c r="A1246">
        <v>8421830</v>
      </c>
      <c r="B1246" t="s">
        <v>36129</v>
      </c>
      <c r="C1246">
        <v>0</v>
      </c>
      <c r="D1246">
        <v>1</v>
      </c>
      <c r="E1246">
        <v>1382</v>
      </c>
      <c r="F1246">
        <v>3672</v>
      </c>
      <c r="G1246">
        <f t="shared" si="19"/>
        <v>8421830</v>
      </c>
    </row>
    <row r="1247" spans="1:7" x14ac:dyDescent="0.25">
      <c r="A1247">
        <v>8424547</v>
      </c>
      <c r="B1247" t="s">
        <v>37427</v>
      </c>
      <c r="C1247">
        <v>0</v>
      </c>
      <c r="D1247">
        <v>1</v>
      </c>
      <c r="E1247">
        <v>141</v>
      </c>
      <c r="F1247">
        <v>5749</v>
      </c>
      <c r="G1247">
        <f t="shared" si="19"/>
        <v>8424547</v>
      </c>
    </row>
    <row r="1248" spans="1:7" x14ac:dyDescent="0.25">
      <c r="A1248">
        <v>8428504</v>
      </c>
      <c r="B1248" t="s">
        <v>24604</v>
      </c>
      <c r="C1248">
        <v>1806</v>
      </c>
      <c r="D1248">
        <v>1</v>
      </c>
      <c r="E1248">
        <v>1767</v>
      </c>
      <c r="F1248">
        <v>3476</v>
      </c>
      <c r="G1248">
        <f t="shared" si="19"/>
        <v>8428504</v>
      </c>
    </row>
    <row r="1249" spans="1:7" x14ac:dyDescent="0.25">
      <c r="A1249">
        <v>8429101</v>
      </c>
      <c r="B1249" t="s">
        <v>24605</v>
      </c>
      <c r="C1249">
        <v>0</v>
      </c>
      <c r="D1249">
        <v>0</v>
      </c>
      <c r="E1249">
        <v>0</v>
      </c>
      <c r="F1249">
        <v>7148</v>
      </c>
      <c r="G1249">
        <f t="shared" si="19"/>
        <v>8429101</v>
      </c>
    </row>
    <row r="1250" spans="1:7" x14ac:dyDescent="0.25">
      <c r="A1250">
        <v>8429180</v>
      </c>
      <c r="B1250" t="s">
        <v>24606</v>
      </c>
      <c r="C1250">
        <v>443</v>
      </c>
      <c r="D1250">
        <v>1</v>
      </c>
      <c r="E1250">
        <v>254</v>
      </c>
      <c r="F1250">
        <v>5280</v>
      </c>
      <c r="G1250">
        <f t="shared" si="19"/>
        <v>8429180</v>
      </c>
    </row>
    <row r="1251" spans="1:7" x14ac:dyDescent="0.25">
      <c r="A1251">
        <v>8429295</v>
      </c>
      <c r="B1251" t="s">
        <v>24607</v>
      </c>
      <c r="C1251">
        <v>1714</v>
      </c>
      <c r="D1251">
        <v>0</v>
      </c>
      <c r="E1251">
        <v>0</v>
      </c>
      <c r="F1251">
        <v>7149</v>
      </c>
      <c r="G1251">
        <f t="shared" si="19"/>
        <v>8429295</v>
      </c>
    </row>
    <row r="1252" spans="1:7" x14ac:dyDescent="0.25">
      <c r="A1252">
        <v>8431665</v>
      </c>
      <c r="B1252" t="s">
        <v>36130</v>
      </c>
      <c r="C1252">
        <v>0</v>
      </c>
      <c r="D1252">
        <v>1</v>
      </c>
      <c r="E1252">
        <v>56</v>
      </c>
      <c r="F1252">
        <v>6120</v>
      </c>
      <c r="G1252">
        <f t="shared" si="19"/>
        <v>8431665</v>
      </c>
    </row>
    <row r="1253" spans="1:7" x14ac:dyDescent="0.25">
      <c r="A1253">
        <v>8439473</v>
      </c>
      <c r="B1253" t="s">
        <v>24608</v>
      </c>
      <c r="C1253">
        <v>0</v>
      </c>
      <c r="D1253">
        <v>0</v>
      </c>
      <c r="E1253">
        <v>0</v>
      </c>
      <c r="F1253">
        <v>7150</v>
      </c>
      <c r="G1253">
        <f t="shared" si="19"/>
        <v>8439473</v>
      </c>
    </row>
    <row r="1254" spans="1:7" x14ac:dyDescent="0.25">
      <c r="A1254">
        <v>8441109</v>
      </c>
      <c r="B1254" t="s">
        <v>24609</v>
      </c>
      <c r="C1254">
        <v>1775</v>
      </c>
      <c r="D1254">
        <v>2</v>
      </c>
      <c r="E1254">
        <v>8971</v>
      </c>
      <c r="F1254">
        <v>1724</v>
      </c>
      <c r="G1254">
        <f t="shared" si="19"/>
        <v>8441109</v>
      </c>
    </row>
    <row r="1255" spans="1:7" x14ac:dyDescent="0.25">
      <c r="A1255">
        <v>8444461</v>
      </c>
      <c r="B1255" t="s">
        <v>24610</v>
      </c>
      <c r="C1255">
        <v>0</v>
      </c>
      <c r="D1255">
        <v>1</v>
      </c>
      <c r="E1255">
        <v>214</v>
      </c>
      <c r="F1255">
        <v>5451</v>
      </c>
      <c r="G1255">
        <f t="shared" si="19"/>
        <v>8444461</v>
      </c>
    </row>
    <row r="1256" spans="1:7" x14ac:dyDescent="0.25">
      <c r="A1256">
        <v>8446345</v>
      </c>
      <c r="B1256" t="s">
        <v>36131</v>
      </c>
      <c r="C1256">
        <v>1651</v>
      </c>
      <c r="D1256">
        <v>1</v>
      </c>
      <c r="E1256">
        <v>454</v>
      </c>
      <c r="F1256">
        <v>4736</v>
      </c>
      <c r="G1256">
        <f t="shared" si="19"/>
        <v>8446345</v>
      </c>
    </row>
    <row r="1257" spans="1:7" x14ac:dyDescent="0.25">
      <c r="A1257">
        <v>8449541</v>
      </c>
      <c r="B1257" t="s">
        <v>36132</v>
      </c>
      <c r="C1257">
        <v>0</v>
      </c>
      <c r="D1257">
        <v>1</v>
      </c>
      <c r="E1257">
        <v>1532</v>
      </c>
      <c r="F1257">
        <v>3576</v>
      </c>
      <c r="G1257">
        <f t="shared" si="19"/>
        <v>8449541</v>
      </c>
    </row>
    <row r="1258" spans="1:7" x14ac:dyDescent="0.25">
      <c r="A1258">
        <v>8451790</v>
      </c>
      <c r="B1258" t="s">
        <v>24611</v>
      </c>
      <c r="C1258">
        <v>0</v>
      </c>
      <c r="D1258">
        <v>1</v>
      </c>
      <c r="E1258">
        <v>107</v>
      </c>
      <c r="F1258">
        <v>5844</v>
      </c>
      <c r="G1258">
        <f t="shared" si="19"/>
        <v>8451790</v>
      </c>
    </row>
    <row r="1259" spans="1:7" x14ac:dyDescent="0.25">
      <c r="A1259">
        <v>8457813</v>
      </c>
      <c r="B1259" t="s">
        <v>36133</v>
      </c>
      <c r="C1259">
        <v>896</v>
      </c>
      <c r="D1259">
        <v>5</v>
      </c>
      <c r="E1259">
        <v>18166</v>
      </c>
      <c r="F1259">
        <v>743</v>
      </c>
      <c r="G1259">
        <f t="shared" si="19"/>
        <v>8457813</v>
      </c>
    </row>
    <row r="1260" spans="1:7" x14ac:dyDescent="0.25">
      <c r="A1260">
        <v>8459448</v>
      </c>
      <c r="B1260" t="s">
        <v>24612</v>
      </c>
      <c r="C1260">
        <v>126</v>
      </c>
      <c r="D1260">
        <v>5</v>
      </c>
      <c r="E1260">
        <v>24518</v>
      </c>
      <c r="F1260">
        <v>419</v>
      </c>
      <c r="G1260">
        <f t="shared" si="19"/>
        <v>8459448</v>
      </c>
    </row>
    <row r="1261" spans="1:7" x14ac:dyDescent="0.25">
      <c r="A1261">
        <v>8463227</v>
      </c>
      <c r="B1261" t="s">
        <v>24613</v>
      </c>
      <c r="C1261">
        <v>0</v>
      </c>
      <c r="D1261">
        <v>1</v>
      </c>
      <c r="E1261">
        <v>145</v>
      </c>
      <c r="F1261">
        <v>5711</v>
      </c>
      <c r="G1261">
        <f t="shared" si="19"/>
        <v>8463227</v>
      </c>
    </row>
    <row r="1262" spans="1:7" x14ac:dyDescent="0.25">
      <c r="A1262">
        <v>8468072</v>
      </c>
      <c r="B1262" t="s">
        <v>24614</v>
      </c>
      <c r="C1262">
        <v>1880</v>
      </c>
      <c r="D1262">
        <v>1</v>
      </c>
      <c r="E1262">
        <v>1101</v>
      </c>
      <c r="F1262">
        <v>3908</v>
      </c>
      <c r="G1262">
        <f t="shared" si="19"/>
        <v>8468072</v>
      </c>
    </row>
    <row r="1263" spans="1:7" x14ac:dyDescent="0.25">
      <c r="A1263">
        <v>8474505</v>
      </c>
      <c r="B1263" t="s">
        <v>24615</v>
      </c>
      <c r="C1263">
        <v>0</v>
      </c>
      <c r="D1263">
        <v>0</v>
      </c>
      <c r="E1263">
        <v>0</v>
      </c>
      <c r="F1263">
        <v>7151</v>
      </c>
      <c r="G1263">
        <f t="shared" si="19"/>
        <v>8474505</v>
      </c>
    </row>
    <row r="1264" spans="1:7" x14ac:dyDescent="0.25">
      <c r="A1264">
        <v>8475700</v>
      </c>
      <c r="B1264" t="s">
        <v>24616</v>
      </c>
      <c r="C1264">
        <v>0</v>
      </c>
      <c r="D1264">
        <v>0</v>
      </c>
      <c r="E1264">
        <v>0</v>
      </c>
      <c r="F1264">
        <v>7152</v>
      </c>
      <c r="G1264">
        <f t="shared" si="19"/>
        <v>8475700</v>
      </c>
    </row>
    <row r="1265" spans="1:7" x14ac:dyDescent="0.25">
      <c r="A1265">
        <v>8477631</v>
      </c>
      <c r="B1265" t="s">
        <v>24617</v>
      </c>
      <c r="C1265">
        <v>122</v>
      </c>
      <c r="D1265">
        <v>4</v>
      </c>
      <c r="E1265">
        <v>17412</v>
      </c>
      <c r="F1265">
        <v>798</v>
      </c>
      <c r="G1265">
        <f t="shared" si="19"/>
        <v>8477631</v>
      </c>
    </row>
    <row r="1266" spans="1:7" x14ac:dyDescent="0.25">
      <c r="A1266">
        <v>8483179</v>
      </c>
      <c r="B1266" t="s">
        <v>24618</v>
      </c>
      <c r="C1266">
        <v>0</v>
      </c>
      <c r="D1266">
        <v>1</v>
      </c>
      <c r="E1266">
        <v>94</v>
      </c>
      <c r="F1266">
        <v>5881</v>
      </c>
      <c r="G1266">
        <f t="shared" si="19"/>
        <v>8483179</v>
      </c>
    </row>
    <row r="1267" spans="1:7" x14ac:dyDescent="0.25">
      <c r="A1267">
        <v>8487021</v>
      </c>
      <c r="B1267" t="s">
        <v>36134</v>
      </c>
      <c r="C1267">
        <v>0</v>
      </c>
      <c r="D1267">
        <v>1</v>
      </c>
      <c r="E1267">
        <v>3160</v>
      </c>
      <c r="F1267">
        <v>2956</v>
      </c>
      <c r="G1267">
        <f t="shared" si="19"/>
        <v>8487021</v>
      </c>
    </row>
    <row r="1268" spans="1:7" x14ac:dyDescent="0.25">
      <c r="A1268">
        <v>8489593</v>
      </c>
      <c r="B1268" t="s">
        <v>36135</v>
      </c>
      <c r="C1268">
        <v>53</v>
      </c>
      <c r="D1268">
        <v>1</v>
      </c>
      <c r="E1268">
        <v>5091</v>
      </c>
      <c r="F1268">
        <v>2492</v>
      </c>
      <c r="G1268">
        <f t="shared" si="19"/>
        <v>8489593</v>
      </c>
    </row>
    <row r="1269" spans="1:7" x14ac:dyDescent="0.25">
      <c r="A1269">
        <v>8490240</v>
      </c>
      <c r="B1269" t="s">
        <v>24619</v>
      </c>
      <c r="C1269">
        <v>0</v>
      </c>
      <c r="D1269">
        <v>1</v>
      </c>
      <c r="E1269">
        <v>432</v>
      </c>
      <c r="F1269">
        <v>4778</v>
      </c>
      <c r="G1269">
        <f t="shared" si="19"/>
        <v>8490240</v>
      </c>
    </row>
    <row r="1270" spans="1:7" x14ac:dyDescent="0.25">
      <c r="A1270">
        <v>8491450</v>
      </c>
      <c r="B1270" t="s">
        <v>36136</v>
      </c>
      <c r="C1270">
        <v>0</v>
      </c>
      <c r="D1270">
        <v>0</v>
      </c>
      <c r="E1270">
        <v>0</v>
      </c>
      <c r="F1270">
        <v>7153</v>
      </c>
      <c r="G1270">
        <f t="shared" si="19"/>
        <v>8491450</v>
      </c>
    </row>
    <row r="1271" spans="1:7" x14ac:dyDescent="0.25">
      <c r="A1271">
        <v>8495664</v>
      </c>
      <c r="B1271" t="s">
        <v>24620</v>
      </c>
      <c r="C1271">
        <v>0</v>
      </c>
      <c r="D1271">
        <v>0</v>
      </c>
      <c r="E1271">
        <v>0</v>
      </c>
      <c r="F1271">
        <v>7154</v>
      </c>
      <c r="G1271">
        <f t="shared" si="19"/>
        <v>8495664</v>
      </c>
    </row>
    <row r="1272" spans="1:7" x14ac:dyDescent="0.25">
      <c r="A1272">
        <v>8496756</v>
      </c>
      <c r="B1272" t="s">
        <v>24621</v>
      </c>
      <c r="C1272">
        <v>333</v>
      </c>
      <c r="D1272">
        <v>1</v>
      </c>
      <c r="E1272">
        <v>5948</v>
      </c>
      <c r="F1272">
        <v>2290</v>
      </c>
      <c r="G1272">
        <f t="shared" si="19"/>
        <v>8496756</v>
      </c>
    </row>
    <row r="1273" spans="1:7" x14ac:dyDescent="0.25">
      <c r="A1273">
        <v>8498871</v>
      </c>
      <c r="B1273" t="s">
        <v>24622</v>
      </c>
      <c r="C1273">
        <v>0</v>
      </c>
      <c r="D1273">
        <v>0</v>
      </c>
      <c r="E1273">
        <v>0</v>
      </c>
      <c r="F1273">
        <v>7155</v>
      </c>
      <c r="G1273">
        <f t="shared" si="19"/>
        <v>8498871</v>
      </c>
    </row>
    <row r="1274" spans="1:7" x14ac:dyDescent="0.25">
      <c r="A1274">
        <v>8499266</v>
      </c>
      <c r="B1274" t="s">
        <v>24623</v>
      </c>
      <c r="C1274">
        <v>424</v>
      </c>
      <c r="D1274">
        <v>4</v>
      </c>
      <c r="E1274">
        <v>10082</v>
      </c>
      <c r="F1274">
        <v>1552</v>
      </c>
      <c r="G1274">
        <f t="shared" si="19"/>
        <v>8499266</v>
      </c>
    </row>
    <row r="1275" spans="1:7" x14ac:dyDescent="0.25">
      <c r="A1275">
        <v>8499874</v>
      </c>
      <c r="B1275" t="s">
        <v>37117</v>
      </c>
      <c r="C1275">
        <v>0</v>
      </c>
      <c r="D1275">
        <v>1</v>
      </c>
      <c r="E1275">
        <v>418</v>
      </c>
      <c r="F1275">
        <v>4812</v>
      </c>
      <c r="G1275">
        <f t="shared" si="19"/>
        <v>8499874</v>
      </c>
    </row>
    <row r="1276" spans="1:7" x14ac:dyDescent="0.25">
      <c r="A1276">
        <v>8502524</v>
      </c>
      <c r="B1276" t="s">
        <v>24624</v>
      </c>
      <c r="C1276">
        <v>307</v>
      </c>
      <c r="D1276">
        <v>1</v>
      </c>
      <c r="E1276">
        <v>393</v>
      </c>
      <c r="F1276">
        <v>4866</v>
      </c>
      <c r="G1276">
        <f t="shared" si="19"/>
        <v>8502524</v>
      </c>
    </row>
    <row r="1277" spans="1:7" x14ac:dyDescent="0.25">
      <c r="A1277">
        <v>8505169</v>
      </c>
      <c r="B1277" t="s">
        <v>24625</v>
      </c>
      <c r="C1277">
        <v>31</v>
      </c>
      <c r="D1277">
        <v>5</v>
      </c>
      <c r="E1277">
        <v>25685</v>
      </c>
      <c r="F1277">
        <v>374</v>
      </c>
      <c r="G1277">
        <f t="shared" si="19"/>
        <v>8505169</v>
      </c>
    </row>
    <row r="1278" spans="1:7" x14ac:dyDescent="0.25">
      <c r="A1278">
        <v>8506623</v>
      </c>
      <c r="B1278" t="s">
        <v>36137</v>
      </c>
      <c r="C1278">
        <v>1888</v>
      </c>
      <c r="D1278">
        <v>2</v>
      </c>
      <c r="E1278">
        <v>5804</v>
      </c>
      <c r="F1278">
        <v>2326</v>
      </c>
      <c r="G1278">
        <f t="shared" si="19"/>
        <v>8506623</v>
      </c>
    </row>
    <row r="1279" spans="1:7" x14ac:dyDescent="0.25">
      <c r="A1279">
        <v>8511051</v>
      </c>
      <c r="B1279" t="s">
        <v>24626</v>
      </c>
      <c r="C1279">
        <v>1019</v>
      </c>
      <c r="D1279">
        <v>2</v>
      </c>
      <c r="E1279">
        <v>6751</v>
      </c>
      <c r="F1279">
        <v>2111</v>
      </c>
      <c r="G1279">
        <f t="shared" si="19"/>
        <v>8511051</v>
      </c>
    </row>
    <row r="1280" spans="1:7" x14ac:dyDescent="0.25">
      <c r="A1280">
        <v>8512794</v>
      </c>
      <c r="B1280" t="s">
        <v>24627</v>
      </c>
      <c r="C1280">
        <v>101</v>
      </c>
      <c r="D1280">
        <v>1</v>
      </c>
      <c r="E1280">
        <v>2413</v>
      </c>
      <c r="F1280">
        <v>3174</v>
      </c>
      <c r="G1280">
        <f t="shared" si="19"/>
        <v>8512794</v>
      </c>
    </row>
    <row r="1281" spans="1:7" x14ac:dyDescent="0.25">
      <c r="A1281">
        <v>8513790</v>
      </c>
      <c r="B1281" t="s">
        <v>24628</v>
      </c>
      <c r="C1281">
        <v>0</v>
      </c>
      <c r="D1281">
        <v>0</v>
      </c>
      <c r="E1281">
        <v>0</v>
      </c>
      <c r="F1281">
        <v>7156</v>
      </c>
      <c r="G1281">
        <f t="shared" ref="G1281:G1344" si="20">A1281</f>
        <v>8513790</v>
      </c>
    </row>
    <row r="1282" spans="1:7" x14ac:dyDescent="0.25">
      <c r="A1282">
        <v>8515428</v>
      </c>
      <c r="B1282" t="s">
        <v>24629</v>
      </c>
      <c r="C1282">
        <v>0</v>
      </c>
      <c r="D1282">
        <v>1</v>
      </c>
      <c r="E1282">
        <v>4148</v>
      </c>
      <c r="F1282">
        <v>2732</v>
      </c>
      <c r="G1282">
        <f t="shared" si="20"/>
        <v>8515428</v>
      </c>
    </row>
    <row r="1283" spans="1:7" x14ac:dyDescent="0.25">
      <c r="A1283">
        <v>8516867</v>
      </c>
      <c r="B1283" t="s">
        <v>24630</v>
      </c>
      <c r="C1283">
        <v>625</v>
      </c>
      <c r="D1283">
        <v>1</v>
      </c>
      <c r="E1283">
        <v>2246</v>
      </c>
      <c r="F1283">
        <v>3226</v>
      </c>
      <c r="G1283">
        <f t="shared" si="20"/>
        <v>8516867</v>
      </c>
    </row>
    <row r="1284" spans="1:7" x14ac:dyDescent="0.25">
      <c r="A1284">
        <v>8519219</v>
      </c>
      <c r="B1284" t="s">
        <v>24631</v>
      </c>
      <c r="C1284">
        <v>0</v>
      </c>
      <c r="D1284">
        <v>0</v>
      </c>
      <c r="E1284">
        <v>0</v>
      </c>
      <c r="F1284">
        <v>7157</v>
      </c>
      <c r="G1284">
        <f t="shared" si="20"/>
        <v>8519219</v>
      </c>
    </row>
    <row r="1285" spans="1:7" x14ac:dyDescent="0.25">
      <c r="A1285">
        <v>8525385</v>
      </c>
      <c r="B1285" t="s">
        <v>24632</v>
      </c>
      <c r="C1285">
        <v>409</v>
      </c>
      <c r="D1285">
        <v>3</v>
      </c>
      <c r="E1285">
        <v>17273</v>
      </c>
      <c r="F1285">
        <v>804</v>
      </c>
      <c r="G1285">
        <f t="shared" si="20"/>
        <v>8525385</v>
      </c>
    </row>
    <row r="1286" spans="1:7" x14ac:dyDescent="0.25">
      <c r="A1286">
        <v>8530344</v>
      </c>
      <c r="B1286" t="s">
        <v>24633</v>
      </c>
      <c r="C1286">
        <v>0</v>
      </c>
      <c r="D1286">
        <v>1</v>
      </c>
      <c r="E1286">
        <v>26</v>
      </c>
      <c r="F1286">
        <v>6416</v>
      </c>
      <c r="G1286">
        <f t="shared" si="20"/>
        <v>8530344</v>
      </c>
    </row>
    <row r="1287" spans="1:7" x14ac:dyDescent="0.25">
      <c r="A1287">
        <v>8531744</v>
      </c>
      <c r="B1287" t="s">
        <v>36138</v>
      </c>
      <c r="C1287">
        <v>399</v>
      </c>
      <c r="D1287">
        <v>1</v>
      </c>
      <c r="E1287">
        <v>2981</v>
      </c>
      <c r="F1287">
        <v>2999</v>
      </c>
      <c r="G1287">
        <f t="shared" si="20"/>
        <v>8531744</v>
      </c>
    </row>
    <row r="1288" spans="1:7" x14ac:dyDescent="0.25">
      <c r="A1288">
        <v>8532220</v>
      </c>
      <c r="B1288" t="s">
        <v>36139</v>
      </c>
      <c r="C1288">
        <v>1316</v>
      </c>
      <c r="D1288">
        <v>1</v>
      </c>
      <c r="E1288">
        <v>1965</v>
      </c>
      <c r="F1288">
        <v>3365</v>
      </c>
      <c r="G1288">
        <f t="shared" si="20"/>
        <v>8532220</v>
      </c>
    </row>
    <row r="1289" spans="1:7" x14ac:dyDescent="0.25">
      <c r="A1289">
        <v>8534857</v>
      </c>
      <c r="B1289" t="s">
        <v>36140</v>
      </c>
      <c r="C1289">
        <v>294</v>
      </c>
      <c r="D1289">
        <v>1</v>
      </c>
      <c r="E1289">
        <v>7269</v>
      </c>
      <c r="F1289">
        <v>2016</v>
      </c>
      <c r="G1289">
        <f t="shared" si="20"/>
        <v>8534857</v>
      </c>
    </row>
    <row r="1290" spans="1:7" x14ac:dyDescent="0.25">
      <c r="A1290">
        <v>8542616</v>
      </c>
      <c r="B1290" t="s">
        <v>24634</v>
      </c>
      <c r="C1290">
        <v>0</v>
      </c>
      <c r="D1290">
        <v>1</v>
      </c>
      <c r="E1290">
        <v>327</v>
      </c>
      <c r="F1290">
        <v>5046</v>
      </c>
      <c r="G1290">
        <f t="shared" si="20"/>
        <v>8542616</v>
      </c>
    </row>
    <row r="1291" spans="1:7" x14ac:dyDescent="0.25">
      <c r="A1291">
        <v>8545785</v>
      </c>
      <c r="B1291" t="s">
        <v>24635</v>
      </c>
      <c r="C1291">
        <v>149</v>
      </c>
      <c r="D1291">
        <v>3</v>
      </c>
      <c r="E1291">
        <v>11825</v>
      </c>
      <c r="F1291">
        <v>1305</v>
      </c>
      <c r="G1291">
        <f t="shared" si="20"/>
        <v>8545785</v>
      </c>
    </row>
    <row r="1292" spans="1:7" x14ac:dyDescent="0.25">
      <c r="A1292">
        <v>8546334</v>
      </c>
      <c r="B1292" t="s">
        <v>24636</v>
      </c>
      <c r="C1292">
        <v>1100</v>
      </c>
      <c r="D1292">
        <v>1</v>
      </c>
      <c r="E1292">
        <v>3714</v>
      </c>
      <c r="F1292">
        <v>2828</v>
      </c>
      <c r="G1292">
        <f t="shared" si="20"/>
        <v>8546334</v>
      </c>
    </row>
    <row r="1293" spans="1:7" x14ac:dyDescent="0.25">
      <c r="A1293">
        <v>8552527</v>
      </c>
      <c r="B1293" t="s">
        <v>24637</v>
      </c>
      <c r="C1293">
        <v>1828</v>
      </c>
      <c r="D1293">
        <v>1</v>
      </c>
      <c r="E1293">
        <v>26</v>
      </c>
      <c r="F1293">
        <v>6417</v>
      </c>
      <c r="G1293">
        <f t="shared" si="20"/>
        <v>8552527</v>
      </c>
    </row>
    <row r="1294" spans="1:7" x14ac:dyDescent="0.25">
      <c r="A1294">
        <v>8559828</v>
      </c>
      <c r="B1294" t="s">
        <v>36141</v>
      </c>
      <c r="C1294">
        <v>1974</v>
      </c>
      <c r="D1294">
        <v>1</v>
      </c>
      <c r="E1294">
        <v>448</v>
      </c>
      <c r="F1294">
        <v>4748</v>
      </c>
      <c r="G1294">
        <f t="shared" si="20"/>
        <v>8559828</v>
      </c>
    </row>
    <row r="1295" spans="1:7" x14ac:dyDescent="0.25">
      <c r="A1295">
        <v>8563199</v>
      </c>
      <c r="B1295" t="s">
        <v>36988</v>
      </c>
      <c r="C1295">
        <v>0</v>
      </c>
      <c r="D1295">
        <v>0</v>
      </c>
      <c r="E1295">
        <v>0</v>
      </c>
      <c r="F1295">
        <v>7158</v>
      </c>
      <c r="G1295">
        <f t="shared" si="20"/>
        <v>8563199</v>
      </c>
    </row>
    <row r="1296" spans="1:7" x14ac:dyDescent="0.25">
      <c r="A1296">
        <v>8563827</v>
      </c>
      <c r="B1296" t="s">
        <v>24638</v>
      </c>
      <c r="C1296">
        <v>412</v>
      </c>
      <c r="D1296">
        <v>4</v>
      </c>
      <c r="E1296">
        <v>25158</v>
      </c>
      <c r="F1296">
        <v>391</v>
      </c>
      <c r="G1296">
        <f t="shared" si="20"/>
        <v>8563827</v>
      </c>
    </row>
    <row r="1297" spans="1:7" x14ac:dyDescent="0.25">
      <c r="A1297">
        <v>8566911</v>
      </c>
      <c r="B1297" t="s">
        <v>24639</v>
      </c>
      <c r="C1297">
        <v>0</v>
      </c>
      <c r="D1297">
        <v>1</v>
      </c>
      <c r="E1297">
        <v>755</v>
      </c>
      <c r="F1297">
        <v>4261</v>
      </c>
      <c r="G1297">
        <f t="shared" si="20"/>
        <v>8566911</v>
      </c>
    </row>
    <row r="1298" spans="1:7" x14ac:dyDescent="0.25">
      <c r="A1298">
        <v>8574065</v>
      </c>
      <c r="B1298" t="s">
        <v>36142</v>
      </c>
      <c r="C1298">
        <v>1340</v>
      </c>
      <c r="D1298">
        <v>3</v>
      </c>
      <c r="E1298">
        <v>10709</v>
      </c>
      <c r="F1298">
        <v>1459</v>
      </c>
      <c r="G1298">
        <f t="shared" si="20"/>
        <v>8574065</v>
      </c>
    </row>
    <row r="1299" spans="1:7" x14ac:dyDescent="0.25">
      <c r="A1299">
        <v>8574211</v>
      </c>
      <c r="B1299" t="s">
        <v>24640</v>
      </c>
      <c r="C1299">
        <v>0</v>
      </c>
      <c r="D1299">
        <v>0</v>
      </c>
      <c r="E1299">
        <v>0</v>
      </c>
      <c r="F1299">
        <v>7159</v>
      </c>
      <c r="G1299">
        <f t="shared" si="20"/>
        <v>8574211</v>
      </c>
    </row>
    <row r="1300" spans="1:7" x14ac:dyDescent="0.25">
      <c r="A1300">
        <v>8589054</v>
      </c>
      <c r="B1300" t="s">
        <v>24641</v>
      </c>
      <c r="C1300">
        <v>294</v>
      </c>
      <c r="D1300">
        <v>2</v>
      </c>
      <c r="E1300">
        <v>4690</v>
      </c>
      <c r="F1300">
        <v>2568</v>
      </c>
      <c r="G1300">
        <f t="shared" si="20"/>
        <v>8589054</v>
      </c>
    </row>
    <row r="1301" spans="1:7" x14ac:dyDescent="0.25">
      <c r="A1301">
        <v>8589345</v>
      </c>
      <c r="B1301" t="s">
        <v>24642</v>
      </c>
      <c r="C1301">
        <v>625</v>
      </c>
      <c r="D1301">
        <v>1</v>
      </c>
      <c r="E1301">
        <v>3566</v>
      </c>
      <c r="F1301">
        <v>2861</v>
      </c>
      <c r="G1301">
        <f t="shared" si="20"/>
        <v>8589345</v>
      </c>
    </row>
    <row r="1302" spans="1:7" x14ac:dyDescent="0.25">
      <c r="A1302">
        <v>8589483</v>
      </c>
      <c r="B1302" t="s">
        <v>24643</v>
      </c>
      <c r="C1302">
        <v>0</v>
      </c>
      <c r="D1302">
        <v>1</v>
      </c>
      <c r="E1302">
        <v>62</v>
      </c>
      <c r="F1302">
        <v>6096</v>
      </c>
      <c r="G1302">
        <f t="shared" si="20"/>
        <v>8589483</v>
      </c>
    </row>
    <row r="1303" spans="1:7" x14ac:dyDescent="0.25">
      <c r="A1303">
        <v>8590904</v>
      </c>
      <c r="B1303" t="s">
        <v>24644</v>
      </c>
      <c r="C1303">
        <v>0</v>
      </c>
      <c r="D1303">
        <v>1</v>
      </c>
      <c r="E1303">
        <v>271</v>
      </c>
      <c r="F1303">
        <v>5218</v>
      </c>
      <c r="G1303">
        <f t="shared" si="20"/>
        <v>8590904</v>
      </c>
    </row>
    <row r="1304" spans="1:7" x14ac:dyDescent="0.25">
      <c r="A1304">
        <v>8591922</v>
      </c>
      <c r="B1304" t="s">
        <v>24645</v>
      </c>
      <c r="C1304">
        <v>0</v>
      </c>
      <c r="D1304">
        <v>1</v>
      </c>
      <c r="E1304">
        <v>99</v>
      </c>
      <c r="F1304">
        <v>5853</v>
      </c>
      <c r="G1304">
        <f t="shared" si="20"/>
        <v>8591922</v>
      </c>
    </row>
    <row r="1305" spans="1:7" x14ac:dyDescent="0.25">
      <c r="A1305">
        <v>8592950</v>
      </c>
      <c r="B1305" t="s">
        <v>24646</v>
      </c>
      <c r="C1305">
        <v>2011</v>
      </c>
      <c r="D1305">
        <v>1</v>
      </c>
      <c r="E1305">
        <v>400</v>
      </c>
      <c r="F1305">
        <v>4854</v>
      </c>
      <c r="G1305">
        <f t="shared" si="20"/>
        <v>8592950</v>
      </c>
    </row>
    <row r="1306" spans="1:7" x14ac:dyDescent="0.25">
      <c r="A1306">
        <v>8594724</v>
      </c>
      <c r="B1306" t="s">
        <v>24647</v>
      </c>
      <c r="C1306">
        <v>1</v>
      </c>
      <c r="D1306">
        <v>1</v>
      </c>
      <c r="E1306">
        <v>1748</v>
      </c>
      <c r="F1306">
        <v>3471</v>
      </c>
      <c r="G1306">
        <f t="shared" si="20"/>
        <v>8594724</v>
      </c>
    </row>
    <row r="1307" spans="1:7" x14ac:dyDescent="0.25">
      <c r="A1307">
        <v>8598516</v>
      </c>
      <c r="B1307" t="s">
        <v>37042</v>
      </c>
      <c r="C1307">
        <v>0</v>
      </c>
      <c r="D1307">
        <v>0</v>
      </c>
      <c r="E1307">
        <v>0</v>
      </c>
      <c r="F1307">
        <v>7160</v>
      </c>
      <c r="G1307">
        <f t="shared" si="20"/>
        <v>8598516</v>
      </c>
    </row>
    <row r="1308" spans="1:7" x14ac:dyDescent="0.25">
      <c r="A1308">
        <v>8605089</v>
      </c>
      <c r="B1308" t="s">
        <v>36143</v>
      </c>
      <c r="C1308">
        <v>480</v>
      </c>
      <c r="D1308">
        <v>3</v>
      </c>
      <c r="E1308">
        <v>13735</v>
      </c>
      <c r="F1308">
        <v>1098</v>
      </c>
      <c r="G1308">
        <f t="shared" si="20"/>
        <v>8605089</v>
      </c>
    </row>
    <row r="1309" spans="1:7" x14ac:dyDescent="0.25">
      <c r="A1309">
        <v>8607972</v>
      </c>
      <c r="B1309" t="s">
        <v>24648</v>
      </c>
      <c r="C1309">
        <v>20</v>
      </c>
      <c r="D1309">
        <v>8</v>
      </c>
      <c r="E1309">
        <v>41460</v>
      </c>
      <c r="F1309">
        <v>83</v>
      </c>
      <c r="G1309">
        <f t="shared" si="20"/>
        <v>8607972</v>
      </c>
    </row>
    <row r="1310" spans="1:7" x14ac:dyDescent="0.25">
      <c r="A1310">
        <v>8610936</v>
      </c>
      <c r="B1310" t="s">
        <v>36989</v>
      </c>
      <c r="C1310">
        <v>94</v>
      </c>
      <c r="D1310">
        <v>1</v>
      </c>
      <c r="E1310">
        <v>3138</v>
      </c>
      <c r="F1310">
        <v>2958</v>
      </c>
      <c r="G1310">
        <f t="shared" si="20"/>
        <v>8610936</v>
      </c>
    </row>
    <row r="1311" spans="1:7" x14ac:dyDescent="0.25">
      <c r="A1311">
        <v>8612755</v>
      </c>
      <c r="B1311" t="s">
        <v>24649</v>
      </c>
      <c r="C1311">
        <v>0</v>
      </c>
      <c r="D1311">
        <v>1</v>
      </c>
      <c r="E1311">
        <v>1760</v>
      </c>
      <c r="F1311">
        <v>3469</v>
      </c>
      <c r="G1311">
        <f t="shared" si="20"/>
        <v>8612755</v>
      </c>
    </row>
    <row r="1312" spans="1:7" x14ac:dyDescent="0.25">
      <c r="A1312">
        <v>8613959</v>
      </c>
      <c r="B1312" t="s">
        <v>24650</v>
      </c>
      <c r="C1312">
        <v>0</v>
      </c>
      <c r="D1312">
        <v>1</v>
      </c>
      <c r="E1312">
        <v>1924</v>
      </c>
      <c r="F1312">
        <v>3381</v>
      </c>
      <c r="G1312">
        <f t="shared" si="20"/>
        <v>8613959</v>
      </c>
    </row>
    <row r="1313" spans="1:7" x14ac:dyDescent="0.25">
      <c r="A1313">
        <v>8618504</v>
      </c>
      <c r="B1313" t="s">
        <v>24651</v>
      </c>
      <c r="C1313">
        <v>1836</v>
      </c>
      <c r="D1313">
        <v>3</v>
      </c>
      <c r="E1313">
        <v>12048</v>
      </c>
      <c r="F1313">
        <v>1280</v>
      </c>
      <c r="G1313">
        <f t="shared" si="20"/>
        <v>8618504</v>
      </c>
    </row>
    <row r="1314" spans="1:7" x14ac:dyDescent="0.25">
      <c r="A1314">
        <v>8621332</v>
      </c>
      <c r="B1314" t="s">
        <v>24652</v>
      </c>
      <c r="C1314">
        <v>0</v>
      </c>
      <c r="D1314">
        <v>0</v>
      </c>
      <c r="E1314">
        <v>0</v>
      </c>
      <c r="F1314">
        <v>7161</v>
      </c>
      <c r="G1314">
        <f t="shared" si="20"/>
        <v>8621332</v>
      </c>
    </row>
    <row r="1315" spans="1:7" x14ac:dyDescent="0.25">
      <c r="A1315">
        <v>8627192</v>
      </c>
      <c r="B1315" t="s">
        <v>24653</v>
      </c>
      <c r="C1315">
        <v>274</v>
      </c>
      <c r="D1315">
        <v>4</v>
      </c>
      <c r="E1315">
        <v>19793</v>
      </c>
      <c r="F1315">
        <v>640</v>
      </c>
      <c r="G1315">
        <f t="shared" si="20"/>
        <v>8627192</v>
      </c>
    </row>
    <row r="1316" spans="1:7" x14ac:dyDescent="0.25">
      <c r="A1316">
        <v>8629482</v>
      </c>
      <c r="B1316" t="s">
        <v>24654</v>
      </c>
      <c r="C1316">
        <v>1413</v>
      </c>
      <c r="D1316">
        <v>1</v>
      </c>
      <c r="E1316">
        <v>2383</v>
      </c>
      <c r="F1316">
        <v>3176</v>
      </c>
      <c r="G1316">
        <f t="shared" si="20"/>
        <v>8629482</v>
      </c>
    </row>
    <row r="1317" spans="1:7" x14ac:dyDescent="0.25">
      <c r="A1317">
        <v>8635827</v>
      </c>
      <c r="B1317" t="s">
        <v>24655</v>
      </c>
      <c r="C1317">
        <v>1609</v>
      </c>
      <c r="D1317">
        <v>4</v>
      </c>
      <c r="E1317">
        <v>18357</v>
      </c>
      <c r="F1317">
        <v>726</v>
      </c>
      <c r="G1317">
        <f t="shared" si="20"/>
        <v>8635827</v>
      </c>
    </row>
    <row r="1318" spans="1:7" x14ac:dyDescent="0.25">
      <c r="A1318">
        <v>8639312</v>
      </c>
      <c r="B1318" t="s">
        <v>24656</v>
      </c>
      <c r="C1318">
        <v>617</v>
      </c>
      <c r="D1318">
        <v>3</v>
      </c>
      <c r="E1318">
        <v>15995</v>
      </c>
      <c r="F1318">
        <v>910</v>
      </c>
      <c r="G1318">
        <f t="shared" si="20"/>
        <v>8639312</v>
      </c>
    </row>
    <row r="1319" spans="1:7" x14ac:dyDescent="0.25">
      <c r="A1319">
        <v>8643310</v>
      </c>
      <c r="B1319" t="s">
        <v>24657</v>
      </c>
      <c r="C1319">
        <v>196</v>
      </c>
      <c r="D1319">
        <v>1</v>
      </c>
      <c r="E1319">
        <v>6880</v>
      </c>
      <c r="F1319">
        <v>2086</v>
      </c>
      <c r="G1319">
        <f t="shared" si="20"/>
        <v>8643310</v>
      </c>
    </row>
    <row r="1320" spans="1:7" x14ac:dyDescent="0.25">
      <c r="A1320">
        <v>8644698</v>
      </c>
      <c r="B1320" t="s">
        <v>37449</v>
      </c>
      <c r="C1320">
        <v>0</v>
      </c>
      <c r="D1320">
        <v>1</v>
      </c>
      <c r="E1320">
        <v>75</v>
      </c>
      <c r="F1320">
        <v>6011</v>
      </c>
      <c r="G1320">
        <f t="shared" si="20"/>
        <v>8644698</v>
      </c>
    </row>
    <row r="1321" spans="1:7" x14ac:dyDescent="0.25">
      <c r="A1321">
        <v>8645048</v>
      </c>
      <c r="B1321" t="s">
        <v>37260</v>
      </c>
      <c r="C1321">
        <v>733</v>
      </c>
      <c r="D1321">
        <v>9</v>
      </c>
      <c r="E1321">
        <v>49710</v>
      </c>
      <c r="F1321">
        <v>41</v>
      </c>
      <c r="G1321">
        <f t="shared" si="20"/>
        <v>8645048</v>
      </c>
    </row>
    <row r="1322" spans="1:7" x14ac:dyDescent="0.25">
      <c r="A1322">
        <v>8645136</v>
      </c>
      <c r="B1322" t="s">
        <v>24658</v>
      </c>
      <c r="C1322">
        <v>887</v>
      </c>
      <c r="D1322">
        <v>1</v>
      </c>
      <c r="E1322">
        <v>248</v>
      </c>
      <c r="F1322">
        <v>5348</v>
      </c>
      <c r="G1322">
        <f t="shared" si="20"/>
        <v>8645136</v>
      </c>
    </row>
    <row r="1323" spans="1:7" x14ac:dyDescent="0.25">
      <c r="A1323">
        <v>8648932</v>
      </c>
      <c r="B1323" t="s">
        <v>36144</v>
      </c>
      <c r="C1323">
        <v>0</v>
      </c>
      <c r="D1323">
        <v>1</v>
      </c>
      <c r="E1323">
        <v>447</v>
      </c>
      <c r="F1323">
        <v>4766</v>
      </c>
      <c r="G1323">
        <f t="shared" si="20"/>
        <v>8648932</v>
      </c>
    </row>
    <row r="1324" spans="1:7" x14ac:dyDescent="0.25">
      <c r="A1324">
        <v>8649980</v>
      </c>
      <c r="B1324" t="s">
        <v>36145</v>
      </c>
      <c r="C1324">
        <v>0</v>
      </c>
      <c r="D1324">
        <v>0</v>
      </c>
      <c r="E1324">
        <v>0</v>
      </c>
      <c r="F1324">
        <v>7162</v>
      </c>
      <c r="G1324">
        <f t="shared" si="20"/>
        <v>8649980</v>
      </c>
    </row>
    <row r="1325" spans="1:7" x14ac:dyDescent="0.25">
      <c r="A1325">
        <v>8651884</v>
      </c>
      <c r="B1325" t="s">
        <v>24659</v>
      </c>
      <c r="C1325">
        <v>1806</v>
      </c>
      <c r="D1325">
        <v>1</v>
      </c>
      <c r="E1325">
        <v>2058</v>
      </c>
      <c r="F1325">
        <v>3314</v>
      </c>
      <c r="G1325">
        <f t="shared" si="20"/>
        <v>8651884</v>
      </c>
    </row>
    <row r="1326" spans="1:7" x14ac:dyDescent="0.25">
      <c r="A1326">
        <v>8652752</v>
      </c>
      <c r="B1326" t="s">
        <v>24660</v>
      </c>
      <c r="C1326">
        <v>1100</v>
      </c>
      <c r="D1326">
        <v>1</v>
      </c>
      <c r="E1326">
        <v>6325</v>
      </c>
      <c r="F1326">
        <v>2206</v>
      </c>
      <c r="G1326">
        <f t="shared" si="20"/>
        <v>8652752</v>
      </c>
    </row>
    <row r="1327" spans="1:7" x14ac:dyDescent="0.25">
      <c r="A1327">
        <v>8654256</v>
      </c>
      <c r="B1327" t="s">
        <v>36146</v>
      </c>
      <c r="C1327">
        <v>0</v>
      </c>
      <c r="D1327">
        <v>0</v>
      </c>
      <c r="E1327">
        <v>0</v>
      </c>
      <c r="F1327">
        <v>7163</v>
      </c>
      <c r="G1327">
        <f t="shared" si="20"/>
        <v>8654256</v>
      </c>
    </row>
    <row r="1328" spans="1:7" x14ac:dyDescent="0.25">
      <c r="A1328">
        <v>8655866</v>
      </c>
      <c r="B1328" t="s">
        <v>24661</v>
      </c>
      <c r="C1328">
        <v>0</v>
      </c>
      <c r="D1328">
        <v>0</v>
      </c>
      <c r="E1328">
        <v>0</v>
      </c>
      <c r="F1328">
        <v>7164</v>
      </c>
      <c r="G1328">
        <f t="shared" si="20"/>
        <v>8655866</v>
      </c>
    </row>
    <row r="1329" spans="1:7" x14ac:dyDescent="0.25">
      <c r="A1329">
        <v>8655873</v>
      </c>
      <c r="B1329" t="s">
        <v>24662</v>
      </c>
      <c r="C1329">
        <v>1503</v>
      </c>
      <c r="D1329">
        <v>1</v>
      </c>
      <c r="E1329">
        <v>3559</v>
      </c>
      <c r="F1329">
        <v>2864</v>
      </c>
      <c r="G1329">
        <f t="shared" si="20"/>
        <v>8655873</v>
      </c>
    </row>
    <row r="1330" spans="1:7" x14ac:dyDescent="0.25">
      <c r="A1330">
        <v>8656912</v>
      </c>
      <c r="B1330" t="s">
        <v>24663</v>
      </c>
      <c r="C1330">
        <v>1622</v>
      </c>
      <c r="D1330">
        <v>1</v>
      </c>
      <c r="E1330">
        <v>720</v>
      </c>
      <c r="F1330">
        <v>4309</v>
      </c>
      <c r="G1330">
        <f t="shared" si="20"/>
        <v>8656912</v>
      </c>
    </row>
    <row r="1331" spans="1:7" x14ac:dyDescent="0.25">
      <c r="A1331">
        <v>8657668</v>
      </c>
      <c r="B1331" t="s">
        <v>36147</v>
      </c>
      <c r="C1331">
        <v>277</v>
      </c>
      <c r="D1331">
        <v>0</v>
      </c>
      <c r="E1331">
        <v>0</v>
      </c>
      <c r="F1331">
        <v>7165</v>
      </c>
      <c r="G1331">
        <f t="shared" si="20"/>
        <v>8657668</v>
      </c>
    </row>
    <row r="1332" spans="1:7" x14ac:dyDescent="0.25">
      <c r="A1332">
        <v>8658113</v>
      </c>
      <c r="B1332" t="s">
        <v>24664</v>
      </c>
      <c r="C1332">
        <v>0</v>
      </c>
      <c r="D1332">
        <v>1</v>
      </c>
      <c r="E1332">
        <v>312</v>
      </c>
      <c r="F1332">
        <v>5095</v>
      </c>
      <c r="G1332">
        <f t="shared" si="20"/>
        <v>8658113</v>
      </c>
    </row>
    <row r="1333" spans="1:7" x14ac:dyDescent="0.25">
      <c r="A1333">
        <v>8658728</v>
      </c>
      <c r="B1333" t="s">
        <v>24665</v>
      </c>
      <c r="C1333">
        <v>0</v>
      </c>
      <c r="D1333">
        <v>1</v>
      </c>
      <c r="E1333">
        <v>86</v>
      </c>
      <c r="F1333">
        <v>5930</v>
      </c>
      <c r="G1333">
        <f t="shared" si="20"/>
        <v>8658728</v>
      </c>
    </row>
    <row r="1334" spans="1:7" x14ac:dyDescent="0.25">
      <c r="A1334">
        <v>8659150</v>
      </c>
      <c r="B1334" t="s">
        <v>36148</v>
      </c>
      <c r="C1334">
        <v>0</v>
      </c>
      <c r="D1334">
        <v>0</v>
      </c>
      <c r="E1334">
        <v>0</v>
      </c>
      <c r="F1334">
        <v>7166</v>
      </c>
      <c r="G1334">
        <f t="shared" si="20"/>
        <v>8659150</v>
      </c>
    </row>
    <row r="1335" spans="1:7" x14ac:dyDescent="0.25">
      <c r="A1335">
        <v>8660651</v>
      </c>
      <c r="B1335" t="s">
        <v>24666</v>
      </c>
      <c r="C1335">
        <v>0</v>
      </c>
      <c r="D1335">
        <v>1</v>
      </c>
      <c r="E1335">
        <v>2547</v>
      </c>
      <c r="F1335">
        <v>3120</v>
      </c>
      <c r="G1335">
        <f t="shared" si="20"/>
        <v>8660651</v>
      </c>
    </row>
    <row r="1336" spans="1:7" x14ac:dyDescent="0.25">
      <c r="A1336">
        <v>8663413</v>
      </c>
      <c r="B1336" t="s">
        <v>24667</v>
      </c>
      <c r="C1336">
        <v>160</v>
      </c>
      <c r="D1336">
        <v>3</v>
      </c>
      <c r="E1336">
        <v>15038</v>
      </c>
      <c r="F1336">
        <v>993</v>
      </c>
      <c r="G1336">
        <f t="shared" si="20"/>
        <v>8663413</v>
      </c>
    </row>
    <row r="1337" spans="1:7" x14ac:dyDescent="0.25">
      <c r="A1337">
        <v>8664507</v>
      </c>
      <c r="B1337" t="s">
        <v>24668</v>
      </c>
      <c r="C1337">
        <v>0</v>
      </c>
      <c r="D1337">
        <v>1</v>
      </c>
      <c r="E1337">
        <v>26</v>
      </c>
      <c r="F1337">
        <v>6418</v>
      </c>
      <c r="G1337">
        <f t="shared" si="20"/>
        <v>8664507</v>
      </c>
    </row>
    <row r="1338" spans="1:7" x14ac:dyDescent="0.25">
      <c r="A1338">
        <v>8668581</v>
      </c>
      <c r="B1338" t="s">
        <v>36149</v>
      </c>
      <c r="C1338">
        <v>47</v>
      </c>
      <c r="D1338">
        <v>1</v>
      </c>
      <c r="E1338">
        <v>4602</v>
      </c>
      <c r="F1338">
        <v>2594</v>
      </c>
      <c r="G1338">
        <f t="shared" si="20"/>
        <v>8668581</v>
      </c>
    </row>
    <row r="1339" spans="1:7" x14ac:dyDescent="0.25">
      <c r="A1339">
        <v>8669149</v>
      </c>
      <c r="B1339" t="s">
        <v>24669</v>
      </c>
      <c r="C1339">
        <v>215</v>
      </c>
      <c r="D1339">
        <v>1</v>
      </c>
      <c r="E1339">
        <v>5691</v>
      </c>
      <c r="F1339">
        <v>2352</v>
      </c>
      <c r="G1339">
        <f t="shared" si="20"/>
        <v>8669149</v>
      </c>
    </row>
    <row r="1340" spans="1:7" x14ac:dyDescent="0.25">
      <c r="A1340">
        <v>8673208</v>
      </c>
      <c r="B1340" t="s">
        <v>24670</v>
      </c>
      <c r="C1340">
        <v>0</v>
      </c>
      <c r="D1340">
        <v>1</v>
      </c>
      <c r="E1340">
        <v>207</v>
      </c>
      <c r="F1340">
        <v>5470</v>
      </c>
      <c r="G1340">
        <f t="shared" si="20"/>
        <v>8673208</v>
      </c>
    </row>
    <row r="1341" spans="1:7" x14ac:dyDescent="0.25">
      <c r="A1341">
        <v>8674699</v>
      </c>
      <c r="B1341" t="s">
        <v>24671</v>
      </c>
      <c r="C1341">
        <v>1373</v>
      </c>
      <c r="D1341">
        <v>1</v>
      </c>
      <c r="E1341">
        <v>2612</v>
      </c>
      <c r="F1341">
        <v>3096</v>
      </c>
      <c r="G1341">
        <f t="shared" si="20"/>
        <v>8674699</v>
      </c>
    </row>
    <row r="1342" spans="1:7" x14ac:dyDescent="0.25">
      <c r="A1342">
        <v>8676563</v>
      </c>
      <c r="B1342" t="s">
        <v>24672</v>
      </c>
      <c r="C1342">
        <v>19</v>
      </c>
      <c r="D1342">
        <v>1</v>
      </c>
      <c r="E1342">
        <v>475</v>
      </c>
      <c r="F1342">
        <v>4690</v>
      </c>
      <c r="G1342">
        <f t="shared" si="20"/>
        <v>8676563</v>
      </c>
    </row>
    <row r="1343" spans="1:7" x14ac:dyDescent="0.25">
      <c r="A1343">
        <v>8677854</v>
      </c>
      <c r="B1343" t="s">
        <v>24673</v>
      </c>
      <c r="C1343">
        <v>53</v>
      </c>
      <c r="D1343">
        <v>2</v>
      </c>
      <c r="E1343">
        <v>13642</v>
      </c>
      <c r="F1343">
        <v>1110</v>
      </c>
      <c r="G1343">
        <f t="shared" si="20"/>
        <v>8677854</v>
      </c>
    </row>
    <row r="1344" spans="1:7" x14ac:dyDescent="0.25">
      <c r="A1344">
        <v>8678858</v>
      </c>
      <c r="B1344" t="s">
        <v>24674</v>
      </c>
      <c r="C1344">
        <v>0</v>
      </c>
      <c r="D1344">
        <v>1</v>
      </c>
      <c r="E1344">
        <v>228</v>
      </c>
      <c r="F1344">
        <v>5396</v>
      </c>
      <c r="G1344">
        <f t="shared" si="20"/>
        <v>8678858</v>
      </c>
    </row>
    <row r="1345" spans="1:7" x14ac:dyDescent="0.25">
      <c r="A1345">
        <v>8678939</v>
      </c>
      <c r="B1345" t="s">
        <v>24675</v>
      </c>
      <c r="C1345">
        <v>0</v>
      </c>
      <c r="D1345">
        <v>0</v>
      </c>
      <c r="E1345">
        <v>0</v>
      </c>
      <c r="F1345">
        <v>7167</v>
      </c>
      <c r="G1345">
        <f t="shared" ref="G1345:G1408" si="21">A1345</f>
        <v>8678939</v>
      </c>
    </row>
    <row r="1346" spans="1:7" x14ac:dyDescent="0.25">
      <c r="A1346">
        <v>8679736</v>
      </c>
      <c r="B1346" t="s">
        <v>24676</v>
      </c>
      <c r="C1346">
        <v>95</v>
      </c>
      <c r="D1346">
        <v>0</v>
      </c>
      <c r="E1346">
        <v>0</v>
      </c>
      <c r="F1346">
        <v>7168</v>
      </c>
      <c r="G1346">
        <f t="shared" si="21"/>
        <v>8679736</v>
      </c>
    </row>
    <row r="1347" spans="1:7" x14ac:dyDescent="0.25">
      <c r="A1347">
        <v>8682164</v>
      </c>
      <c r="B1347" t="s">
        <v>24677</v>
      </c>
      <c r="C1347">
        <v>270</v>
      </c>
      <c r="D1347">
        <v>0</v>
      </c>
      <c r="E1347">
        <v>0</v>
      </c>
      <c r="F1347">
        <v>2495</v>
      </c>
      <c r="G1347">
        <f t="shared" si="21"/>
        <v>8682164</v>
      </c>
    </row>
    <row r="1348" spans="1:7" x14ac:dyDescent="0.25">
      <c r="A1348">
        <v>8682440</v>
      </c>
      <c r="B1348" t="s">
        <v>24678</v>
      </c>
      <c r="C1348">
        <v>413</v>
      </c>
      <c r="D1348">
        <v>1</v>
      </c>
      <c r="E1348">
        <v>5795</v>
      </c>
      <c r="F1348">
        <v>2328</v>
      </c>
      <c r="G1348">
        <f t="shared" si="21"/>
        <v>8682440</v>
      </c>
    </row>
    <row r="1349" spans="1:7" x14ac:dyDescent="0.25">
      <c r="A1349">
        <v>8683830</v>
      </c>
      <c r="B1349" t="s">
        <v>24679</v>
      </c>
      <c r="C1349">
        <v>1363</v>
      </c>
      <c r="D1349">
        <v>1</v>
      </c>
      <c r="E1349">
        <v>5619</v>
      </c>
      <c r="F1349">
        <v>2373</v>
      </c>
      <c r="G1349">
        <f t="shared" si="21"/>
        <v>8683830</v>
      </c>
    </row>
    <row r="1350" spans="1:7" x14ac:dyDescent="0.25">
      <c r="A1350">
        <v>8684190</v>
      </c>
      <c r="B1350" t="s">
        <v>24680</v>
      </c>
      <c r="C1350">
        <v>0</v>
      </c>
      <c r="D1350">
        <v>1</v>
      </c>
      <c r="E1350">
        <v>143</v>
      </c>
      <c r="F1350">
        <v>5719</v>
      </c>
      <c r="G1350">
        <f t="shared" si="21"/>
        <v>8684190</v>
      </c>
    </row>
    <row r="1351" spans="1:7" x14ac:dyDescent="0.25">
      <c r="A1351">
        <v>8685599</v>
      </c>
      <c r="B1351" t="s">
        <v>24681</v>
      </c>
      <c r="C1351">
        <v>0</v>
      </c>
      <c r="D1351">
        <v>0</v>
      </c>
      <c r="E1351">
        <v>0</v>
      </c>
      <c r="F1351">
        <v>7169</v>
      </c>
      <c r="G1351">
        <f t="shared" si="21"/>
        <v>8685599</v>
      </c>
    </row>
    <row r="1352" spans="1:7" x14ac:dyDescent="0.25">
      <c r="A1352">
        <v>8685792</v>
      </c>
      <c r="B1352" t="s">
        <v>36150</v>
      </c>
      <c r="C1352">
        <v>0</v>
      </c>
      <c r="D1352">
        <v>1</v>
      </c>
      <c r="E1352">
        <v>457</v>
      </c>
      <c r="F1352">
        <v>4730</v>
      </c>
      <c r="G1352">
        <f t="shared" si="21"/>
        <v>8685792</v>
      </c>
    </row>
    <row r="1353" spans="1:7" x14ac:dyDescent="0.25">
      <c r="A1353">
        <v>8689006</v>
      </c>
      <c r="B1353" t="s">
        <v>24682</v>
      </c>
      <c r="C1353">
        <v>422</v>
      </c>
      <c r="D1353">
        <v>4</v>
      </c>
      <c r="E1353">
        <v>20011</v>
      </c>
      <c r="F1353">
        <v>623</v>
      </c>
      <c r="G1353">
        <f t="shared" si="21"/>
        <v>8689006</v>
      </c>
    </row>
    <row r="1354" spans="1:7" x14ac:dyDescent="0.25">
      <c r="A1354">
        <v>8690143</v>
      </c>
      <c r="B1354" t="s">
        <v>24683</v>
      </c>
      <c r="C1354">
        <v>1753</v>
      </c>
      <c r="D1354">
        <v>1</v>
      </c>
      <c r="E1354">
        <v>1188</v>
      </c>
      <c r="F1354">
        <v>3805</v>
      </c>
      <c r="G1354">
        <f t="shared" si="21"/>
        <v>8690143</v>
      </c>
    </row>
    <row r="1355" spans="1:7" x14ac:dyDescent="0.25">
      <c r="A1355">
        <v>8698883</v>
      </c>
      <c r="B1355" t="s">
        <v>24684</v>
      </c>
      <c r="C1355">
        <v>0</v>
      </c>
      <c r="D1355">
        <v>1</v>
      </c>
      <c r="E1355">
        <v>784</v>
      </c>
      <c r="F1355">
        <v>4224</v>
      </c>
      <c r="G1355">
        <f t="shared" si="21"/>
        <v>8698883</v>
      </c>
    </row>
    <row r="1356" spans="1:7" x14ac:dyDescent="0.25">
      <c r="A1356">
        <v>8699223</v>
      </c>
      <c r="B1356" t="s">
        <v>24685</v>
      </c>
      <c r="C1356">
        <v>1734</v>
      </c>
      <c r="D1356">
        <v>1</v>
      </c>
      <c r="E1356">
        <v>609</v>
      </c>
      <c r="F1356">
        <v>4459</v>
      </c>
      <c r="G1356">
        <f t="shared" si="21"/>
        <v>8699223</v>
      </c>
    </row>
    <row r="1357" spans="1:7" x14ac:dyDescent="0.25">
      <c r="A1357">
        <v>8703971</v>
      </c>
      <c r="B1357" t="s">
        <v>24686</v>
      </c>
      <c r="C1357">
        <v>733</v>
      </c>
      <c r="D1357">
        <v>6</v>
      </c>
      <c r="E1357">
        <v>29711</v>
      </c>
      <c r="F1357">
        <v>248</v>
      </c>
      <c r="G1357">
        <f t="shared" si="21"/>
        <v>8703971</v>
      </c>
    </row>
    <row r="1358" spans="1:7" x14ac:dyDescent="0.25">
      <c r="A1358">
        <v>8707591</v>
      </c>
      <c r="B1358" t="s">
        <v>37043</v>
      </c>
      <c r="C1358">
        <v>0</v>
      </c>
      <c r="D1358">
        <v>1</v>
      </c>
      <c r="E1358">
        <v>26</v>
      </c>
      <c r="F1358">
        <v>6419</v>
      </c>
      <c r="G1358">
        <f t="shared" si="21"/>
        <v>8707591</v>
      </c>
    </row>
    <row r="1359" spans="1:7" x14ac:dyDescent="0.25">
      <c r="A1359">
        <v>8707637</v>
      </c>
      <c r="B1359" t="s">
        <v>24687</v>
      </c>
      <c r="C1359">
        <v>320</v>
      </c>
      <c r="D1359">
        <v>2</v>
      </c>
      <c r="E1359">
        <v>7705</v>
      </c>
      <c r="F1359">
        <v>1938</v>
      </c>
      <c r="G1359">
        <f t="shared" si="21"/>
        <v>8707637</v>
      </c>
    </row>
    <row r="1360" spans="1:7" x14ac:dyDescent="0.25">
      <c r="A1360">
        <v>8711288</v>
      </c>
      <c r="B1360" t="s">
        <v>36151</v>
      </c>
      <c r="C1360">
        <v>0</v>
      </c>
      <c r="D1360">
        <v>1</v>
      </c>
      <c r="E1360">
        <v>59</v>
      </c>
      <c r="F1360">
        <v>6110</v>
      </c>
      <c r="G1360">
        <f t="shared" si="21"/>
        <v>8711288</v>
      </c>
    </row>
    <row r="1361" spans="1:7" x14ac:dyDescent="0.25">
      <c r="A1361">
        <v>8712301</v>
      </c>
      <c r="B1361" t="s">
        <v>24688</v>
      </c>
      <c r="C1361">
        <v>419</v>
      </c>
      <c r="D1361">
        <v>3</v>
      </c>
      <c r="E1361">
        <v>13802</v>
      </c>
      <c r="F1361">
        <v>1101</v>
      </c>
      <c r="G1361">
        <f t="shared" si="21"/>
        <v>8712301</v>
      </c>
    </row>
    <row r="1362" spans="1:7" x14ac:dyDescent="0.25">
      <c r="A1362">
        <v>8712330</v>
      </c>
      <c r="B1362" t="s">
        <v>24689</v>
      </c>
      <c r="C1362">
        <v>419</v>
      </c>
      <c r="D1362">
        <v>4</v>
      </c>
      <c r="E1362">
        <v>12603</v>
      </c>
      <c r="F1362">
        <v>1213</v>
      </c>
      <c r="G1362">
        <f t="shared" si="21"/>
        <v>8712330</v>
      </c>
    </row>
    <row r="1363" spans="1:7" x14ac:dyDescent="0.25">
      <c r="A1363">
        <v>8714872</v>
      </c>
      <c r="B1363" t="s">
        <v>24690</v>
      </c>
      <c r="C1363">
        <v>0</v>
      </c>
      <c r="D1363">
        <v>1</v>
      </c>
      <c r="E1363">
        <v>50</v>
      </c>
      <c r="F1363">
        <v>6173</v>
      </c>
      <c r="G1363">
        <f t="shared" si="21"/>
        <v>8714872</v>
      </c>
    </row>
    <row r="1364" spans="1:7" x14ac:dyDescent="0.25">
      <c r="A1364">
        <v>8714956</v>
      </c>
      <c r="B1364" t="s">
        <v>24691</v>
      </c>
      <c r="C1364">
        <v>443</v>
      </c>
      <c r="D1364">
        <v>0</v>
      </c>
      <c r="E1364">
        <v>0</v>
      </c>
      <c r="F1364">
        <v>7170</v>
      </c>
      <c r="G1364">
        <f t="shared" si="21"/>
        <v>8714956</v>
      </c>
    </row>
    <row r="1365" spans="1:7" x14ac:dyDescent="0.25">
      <c r="A1365">
        <v>8717899</v>
      </c>
      <c r="B1365" t="s">
        <v>3037</v>
      </c>
      <c r="C1365">
        <v>0</v>
      </c>
      <c r="D1365">
        <v>1</v>
      </c>
      <c r="E1365">
        <v>96</v>
      </c>
      <c r="F1365">
        <v>5871</v>
      </c>
      <c r="G1365">
        <f t="shared" si="21"/>
        <v>8717899</v>
      </c>
    </row>
    <row r="1366" spans="1:7" x14ac:dyDescent="0.25">
      <c r="A1366">
        <v>8719091</v>
      </c>
      <c r="B1366" t="s">
        <v>24692</v>
      </c>
      <c r="C1366">
        <v>1965</v>
      </c>
      <c r="D1366">
        <v>1</v>
      </c>
      <c r="E1366">
        <v>333</v>
      </c>
      <c r="F1366">
        <v>5070</v>
      </c>
      <c r="G1366">
        <f t="shared" si="21"/>
        <v>8719091</v>
      </c>
    </row>
    <row r="1367" spans="1:7" x14ac:dyDescent="0.25">
      <c r="A1367">
        <v>8719883</v>
      </c>
      <c r="B1367" t="s">
        <v>24693</v>
      </c>
      <c r="C1367">
        <v>0</v>
      </c>
      <c r="D1367">
        <v>1</v>
      </c>
      <c r="E1367">
        <v>725</v>
      </c>
      <c r="F1367">
        <v>4303</v>
      </c>
      <c r="G1367">
        <f t="shared" si="21"/>
        <v>8719883</v>
      </c>
    </row>
    <row r="1368" spans="1:7" x14ac:dyDescent="0.25">
      <c r="A1368">
        <v>8720410</v>
      </c>
      <c r="B1368" t="s">
        <v>36152</v>
      </c>
      <c r="C1368">
        <v>67</v>
      </c>
      <c r="D1368">
        <v>2</v>
      </c>
      <c r="E1368">
        <v>11197</v>
      </c>
      <c r="F1368">
        <v>1385</v>
      </c>
      <c r="G1368">
        <f t="shared" si="21"/>
        <v>8720410</v>
      </c>
    </row>
    <row r="1369" spans="1:7" x14ac:dyDescent="0.25">
      <c r="A1369">
        <v>8723730</v>
      </c>
      <c r="B1369" t="s">
        <v>24694</v>
      </c>
      <c r="C1369">
        <v>0</v>
      </c>
      <c r="D1369">
        <v>1</v>
      </c>
      <c r="E1369">
        <v>955</v>
      </c>
      <c r="F1369">
        <v>4038</v>
      </c>
      <c r="G1369">
        <f t="shared" si="21"/>
        <v>8723730</v>
      </c>
    </row>
    <row r="1370" spans="1:7" x14ac:dyDescent="0.25">
      <c r="A1370">
        <v>8726402</v>
      </c>
      <c r="B1370" t="s">
        <v>24695</v>
      </c>
      <c r="C1370">
        <v>0</v>
      </c>
      <c r="D1370">
        <v>1</v>
      </c>
      <c r="E1370">
        <v>253</v>
      </c>
      <c r="F1370">
        <v>5286</v>
      </c>
      <c r="G1370">
        <f t="shared" si="21"/>
        <v>8726402</v>
      </c>
    </row>
    <row r="1371" spans="1:7" x14ac:dyDescent="0.25">
      <c r="A1371">
        <v>8726760</v>
      </c>
      <c r="B1371" t="s">
        <v>24696</v>
      </c>
      <c r="C1371">
        <v>1975</v>
      </c>
      <c r="D1371">
        <v>1</v>
      </c>
      <c r="E1371">
        <v>196</v>
      </c>
      <c r="F1371">
        <v>5537</v>
      </c>
      <c r="G1371">
        <f t="shared" si="21"/>
        <v>8726760</v>
      </c>
    </row>
    <row r="1372" spans="1:7" x14ac:dyDescent="0.25">
      <c r="A1372">
        <v>8726945</v>
      </c>
      <c r="B1372" t="s">
        <v>24697</v>
      </c>
      <c r="C1372">
        <v>1</v>
      </c>
      <c r="D1372">
        <v>1</v>
      </c>
      <c r="E1372">
        <v>1290</v>
      </c>
      <c r="F1372">
        <v>3742</v>
      </c>
      <c r="G1372">
        <f t="shared" si="21"/>
        <v>8726945</v>
      </c>
    </row>
    <row r="1373" spans="1:7" x14ac:dyDescent="0.25">
      <c r="A1373">
        <v>8728413</v>
      </c>
      <c r="B1373" t="s">
        <v>24698</v>
      </c>
      <c r="C1373">
        <v>25</v>
      </c>
      <c r="D1373">
        <v>1</v>
      </c>
      <c r="E1373">
        <v>8035</v>
      </c>
      <c r="F1373">
        <v>1888</v>
      </c>
      <c r="G1373">
        <f t="shared" si="21"/>
        <v>8728413</v>
      </c>
    </row>
    <row r="1374" spans="1:7" x14ac:dyDescent="0.25">
      <c r="A1374">
        <v>8730926</v>
      </c>
      <c r="B1374" t="s">
        <v>36153</v>
      </c>
      <c r="C1374">
        <v>0</v>
      </c>
      <c r="D1374">
        <v>0</v>
      </c>
      <c r="E1374">
        <v>0</v>
      </c>
      <c r="F1374">
        <v>7171</v>
      </c>
      <c r="G1374">
        <f t="shared" si="21"/>
        <v>8730926</v>
      </c>
    </row>
    <row r="1375" spans="1:7" x14ac:dyDescent="0.25">
      <c r="A1375">
        <v>8731559</v>
      </c>
      <c r="B1375" t="s">
        <v>24699</v>
      </c>
      <c r="C1375">
        <v>0</v>
      </c>
      <c r="D1375">
        <v>1</v>
      </c>
      <c r="E1375">
        <v>26</v>
      </c>
      <c r="F1375">
        <v>6420</v>
      </c>
      <c r="G1375">
        <f t="shared" si="21"/>
        <v>8731559</v>
      </c>
    </row>
    <row r="1376" spans="1:7" x14ac:dyDescent="0.25">
      <c r="A1376">
        <v>8733805</v>
      </c>
      <c r="B1376" t="s">
        <v>24700</v>
      </c>
      <c r="C1376">
        <v>0</v>
      </c>
      <c r="D1376">
        <v>0</v>
      </c>
      <c r="E1376">
        <v>0</v>
      </c>
      <c r="F1376">
        <v>7172</v>
      </c>
      <c r="G1376">
        <f t="shared" si="21"/>
        <v>8733805</v>
      </c>
    </row>
    <row r="1377" spans="1:7" x14ac:dyDescent="0.25">
      <c r="A1377">
        <v>8734784</v>
      </c>
      <c r="B1377" t="s">
        <v>24701</v>
      </c>
      <c r="C1377">
        <v>1965</v>
      </c>
      <c r="D1377">
        <v>1</v>
      </c>
      <c r="E1377">
        <v>441</v>
      </c>
      <c r="F1377">
        <v>4772</v>
      </c>
      <c r="G1377">
        <f t="shared" si="21"/>
        <v>8734784</v>
      </c>
    </row>
    <row r="1378" spans="1:7" x14ac:dyDescent="0.25">
      <c r="A1378">
        <v>8735448</v>
      </c>
      <c r="B1378" t="s">
        <v>24702</v>
      </c>
      <c r="C1378">
        <v>1806</v>
      </c>
      <c r="D1378">
        <v>1</v>
      </c>
      <c r="E1378">
        <v>2206</v>
      </c>
      <c r="F1378">
        <v>3246</v>
      </c>
      <c r="G1378">
        <f t="shared" si="21"/>
        <v>8735448</v>
      </c>
    </row>
    <row r="1379" spans="1:7" x14ac:dyDescent="0.25">
      <c r="A1379">
        <v>8740022</v>
      </c>
      <c r="B1379" t="s">
        <v>36154</v>
      </c>
      <c r="C1379">
        <v>625</v>
      </c>
      <c r="D1379">
        <v>3</v>
      </c>
      <c r="E1379">
        <v>11387</v>
      </c>
      <c r="F1379">
        <v>1364</v>
      </c>
      <c r="G1379">
        <f t="shared" si="21"/>
        <v>8740022</v>
      </c>
    </row>
    <row r="1380" spans="1:7" x14ac:dyDescent="0.25">
      <c r="A1380">
        <v>8740198</v>
      </c>
      <c r="B1380" t="s">
        <v>24703</v>
      </c>
      <c r="C1380">
        <v>0</v>
      </c>
      <c r="D1380">
        <v>0</v>
      </c>
      <c r="E1380">
        <v>0</v>
      </c>
      <c r="F1380">
        <v>7173</v>
      </c>
      <c r="G1380">
        <f t="shared" si="21"/>
        <v>8740198</v>
      </c>
    </row>
    <row r="1381" spans="1:7" x14ac:dyDescent="0.25">
      <c r="A1381">
        <v>8741798</v>
      </c>
      <c r="B1381" t="s">
        <v>24704</v>
      </c>
      <c r="C1381">
        <v>1836</v>
      </c>
      <c r="D1381">
        <v>1</v>
      </c>
      <c r="E1381">
        <v>5474</v>
      </c>
      <c r="F1381">
        <v>2409</v>
      </c>
      <c r="G1381">
        <f t="shared" si="21"/>
        <v>8741798</v>
      </c>
    </row>
    <row r="1382" spans="1:7" x14ac:dyDescent="0.25">
      <c r="A1382">
        <v>8741961</v>
      </c>
      <c r="B1382" t="s">
        <v>24705</v>
      </c>
      <c r="C1382">
        <v>0</v>
      </c>
      <c r="D1382">
        <v>0</v>
      </c>
      <c r="E1382">
        <v>0</v>
      </c>
      <c r="F1382">
        <v>7174</v>
      </c>
      <c r="G1382">
        <f t="shared" si="21"/>
        <v>8741961</v>
      </c>
    </row>
    <row r="1383" spans="1:7" x14ac:dyDescent="0.25">
      <c r="A1383">
        <v>8743953</v>
      </c>
      <c r="B1383" t="s">
        <v>36155</v>
      </c>
      <c r="C1383">
        <v>26</v>
      </c>
      <c r="D1383">
        <v>1</v>
      </c>
      <c r="E1383">
        <v>1377</v>
      </c>
      <c r="F1383">
        <v>3680</v>
      </c>
      <c r="G1383">
        <f t="shared" si="21"/>
        <v>8743953</v>
      </c>
    </row>
    <row r="1384" spans="1:7" x14ac:dyDescent="0.25">
      <c r="A1384">
        <v>8744601</v>
      </c>
      <c r="B1384" t="s">
        <v>24706</v>
      </c>
      <c r="C1384">
        <v>419</v>
      </c>
      <c r="D1384">
        <v>3</v>
      </c>
      <c r="E1384">
        <v>16095</v>
      </c>
      <c r="F1384">
        <v>902</v>
      </c>
      <c r="G1384">
        <f t="shared" si="21"/>
        <v>8744601</v>
      </c>
    </row>
    <row r="1385" spans="1:7" x14ac:dyDescent="0.25">
      <c r="A1385">
        <v>8752512</v>
      </c>
      <c r="B1385" t="s">
        <v>24707</v>
      </c>
      <c r="C1385">
        <v>0</v>
      </c>
      <c r="D1385">
        <v>1</v>
      </c>
      <c r="E1385">
        <v>236</v>
      </c>
      <c r="F1385">
        <v>5365</v>
      </c>
      <c r="G1385">
        <f t="shared" si="21"/>
        <v>8752512</v>
      </c>
    </row>
    <row r="1386" spans="1:7" x14ac:dyDescent="0.25">
      <c r="A1386">
        <v>8755343</v>
      </c>
      <c r="B1386" t="s">
        <v>24708</v>
      </c>
      <c r="C1386">
        <v>1173</v>
      </c>
      <c r="D1386">
        <v>1</v>
      </c>
      <c r="E1386">
        <v>2177</v>
      </c>
      <c r="F1386">
        <v>3257</v>
      </c>
      <c r="G1386">
        <f t="shared" si="21"/>
        <v>8755343</v>
      </c>
    </row>
    <row r="1387" spans="1:7" x14ac:dyDescent="0.25">
      <c r="A1387">
        <v>8756039</v>
      </c>
      <c r="B1387" t="s">
        <v>36156</v>
      </c>
      <c r="C1387">
        <v>382</v>
      </c>
      <c r="D1387">
        <v>0</v>
      </c>
      <c r="E1387">
        <v>0</v>
      </c>
      <c r="F1387">
        <v>7175</v>
      </c>
      <c r="G1387">
        <f t="shared" si="21"/>
        <v>8756039</v>
      </c>
    </row>
    <row r="1388" spans="1:7" x14ac:dyDescent="0.25">
      <c r="A1388">
        <v>8757542</v>
      </c>
      <c r="B1388" t="s">
        <v>24709</v>
      </c>
      <c r="C1388">
        <v>424</v>
      </c>
      <c r="D1388">
        <v>3</v>
      </c>
      <c r="E1388">
        <v>10198</v>
      </c>
      <c r="F1388">
        <v>1536</v>
      </c>
      <c r="G1388">
        <f t="shared" si="21"/>
        <v>8757542</v>
      </c>
    </row>
    <row r="1389" spans="1:7" x14ac:dyDescent="0.25">
      <c r="A1389">
        <v>8758527</v>
      </c>
      <c r="B1389" t="s">
        <v>24710</v>
      </c>
      <c r="C1389">
        <v>680</v>
      </c>
      <c r="D1389">
        <v>2</v>
      </c>
      <c r="E1389">
        <v>9040</v>
      </c>
      <c r="F1389">
        <v>1711</v>
      </c>
      <c r="G1389">
        <f t="shared" si="21"/>
        <v>8758527</v>
      </c>
    </row>
    <row r="1390" spans="1:7" x14ac:dyDescent="0.25">
      <c r="A1390">
        <v>8766603</v>
      </c>
      <c r="B1390" t="s">
        <v>24711</v>
      </c>
      <c r="C1390">
        <v>0</v>
      </c>
      <c r="D1390">
        <v>1</v>
      </c>
      <c r="E1390">
        <v>237</v>
      </c>
      <c r="F1390">
        <v>5362</v>
      </c>
      <c r="G1390">
        <f t="shared" si="21"/>
        <v>8766603</v>
      </c>
    </row>
    <row r="1391" spans="1:7" x14ac:dyDescent="0.25">
      <c r="A1391">
        <v>8767416</v>
      </c>
      <c r="B1391" t="s">
        <v>24712</v>
      </c>
      <c r="C1391">
        <v>1869</v>
      </c>
      <c r="D1391">
        <v>1</v>
      </c>
      <c r="E1391">
        <v>1107</v>
      </c>
      <c r="F1391">
        <v>3867</v>
      </c>
      <c r="G1391">
        <f t="shared" si="21"/>
        <v>8767416</v>
      </c>
    </row>
    <row r="1392" spans="1:7" x14ac:dyDescent="0.25">
      <c r="A1392">
        <v>8768081</v>
      </c>
      <c r="B1392" t="s">
        <v>36157</v>
      </c>
      <c r="C1392">
        <v>1869</v>
      </c>
      <c r="D1392">
        <v>1</v>
      </c>
      <c r="E1392">
        <v>1257</v>
      </c>
      <c r="F1392">
        <v>3755</v>
      </c>
      <c r="G1392">
        <f t="shared" si="21"/>
        <v>8768081</v>
      </c>
    </row>
    <row r="1393" spans="1:7" x14ac:dyDescent="0.25">
      <c r="A1393">
        <v>8771557</v>
      </c>
      <c r="B1393" t="s">
        <v>24713</v>
      </c>
      <c r="C1393">
        <v>429</v>
      </c>
      <c r="D1393">
        <v>1</v>
      </c>
      <c r="E1393">
        <v>1947</v>
      </c>
      <c r="F1393">
        <v>3372</v>
      </c>
      <c r="G1393">
        <f t="shared" si="21"/>
        <v>8771557</v>
      </c>
    </row>
    <row r="1394" spans="1:7" x14ac:dyDescent="0.25">
      <c r="A1394">
        <v>8772145</v>
      </c>
      <c r="B1394" t="s">
        <v>36158</v>
      </c>
      <c r="C1394">
        <v>1126</v>
      </c>
      <c r="D1394">
        <v>1</v>
      </c>
      <c r="E1394">
        <v>253</v>
      </c>
      <c r="F1394">
        <v>5287</v>
      </c>
      <c r="G1394">
        <f t="shared" si="21"/>
        <v>8772145</v>
      </c>
    </row>
    <row r="1395" spans="1:7" x14ac:dyDescent="0.25">
      <c r="A1395">
        <v>8772279</v>
      </c>
      <c r="B1395" t="s">
        <v>24714</v>
      </c>
      <c r="C1395">
        <v>156</v>
      </c>
      <c r="D1395">
        <v>0</v>
      </c>
      <c r="E1395">
        <v>0</v>
      </c>
      <c r="F1395">
        <v>7176</v>
      </c>
      <c r="G1395">
        <f t="shared" si="21"/>
        <v>8772279</v>
      </c>
    </row>
    <row r="1396" spans="1:7" x14ac:dyDescent="0.25">
      <c r="A1396">
        <v>8774779</v>
      </c>
      <c r="B1396" t="s">
        <v>36159</v>
      </c>
      <c r="C1396">
        <v>0</v>
      </c>
      <c r="D1396">
        <v>0</v>
      </c>
      <c r="E1396">
        <v>0</v>
      </c>
      <c r="F1396">
        <v>7177</v>
      </c>
      <c r="G1396">
        <f t="shared" si="21"/>
        <v>8774779</v>
      </c>
    </row>
    <row r="1397" spans="1:7" x14ac:dyDescent="0.25">
      <c r="A1397">
        <v>8775769</v>
      </c>
      <c r="B1397" t="s">
        <v>24715</v>
      </c>
      <c r="C1397">
        <v>0</v>
      </c>
      <c r="D1397">
        <v>1</v>
      </c>
      <c r="E1397">
        <v>746</v>
      </c>
      <c r="F1397">
        <v>4271</v>
      </c>
      <c r="G1397">
        <f t="shared" si="21"/>
        <v>8775769</v>
      </c>
    </row>
    <row r="1398" spans="1:7" x14ac:dyDescent="0.25">
      <c r="A1398">
        <v>8776383</v>
      </c>
      <c r="B1398" t="s">
        <v>36160</v>
      </c>
      <c r="C1398">
        <v>896</v>
      </c>
      <c r="D1398">
        <v>5</v>
      </c>
      <c r="E1398">
        <v>27117</v>
      </c>
      <c r="F1398">
        <v>330</v>
      </c>
      <c r="G1398">
        <f t="shared" si="21"/>
        <v>8776383</v>
      </c>
    </row>
    <row r="1399" spans="1:7" x14ac:dyDescent="0.25">
      <c r="A1399">
        <v>8782477</v>
      </c>
      <c r="B1399" t="s">
        <v>24716</v>
      </c>
      <c r="C1399">
        <v>0</v>
      </c>
      <c r="D1399">
        <v>0</v>
      </c>
      <c r="E1399">
        <v>0</v>
      </c>
      <c r="F1399">
        <v>7178</v>
      </c>
      <c r="G1399">
        <f t="shared" si="21"/>
        <v>8782477</v>
      </c>
    </row>
    <row r="1400" spans="1:7" x14ac:dyDescent="0.25">
      <c r="A1400">
        <v>8783554</v>
      </c>
      <c r="B1400" t="s">
        <v>24717</v>
      </c>
      <c r="C1400">
        <v>367</v>
      </c>
      <c r="D1400">
        <v>3</v>
      </c>
      <c r="E1400">
        <v>16698</v>
      </c>
      <c r="F1400">
        <v>850</v>
      </c>
      <c r="G1400">
        <f t="shared" si="21"/>
        <v>8783554</v>
      </c>
    </row>
    <row r="1401" spans="1:7" x14ac:dyDescent="0.25">
      <c r="A1401">
        <v>8785138</v>
      </c>
      <c r="B1401" t="s">
        <v>36161</v>
      </c>
      <c r="C1401">
        <v>0</v>
      </c>
      <c r="D1401">
        <v>5</v>
      </c>
      <c r="E1401">
        <v>18793</v>
      </c>
      <c r="F1401">
        <v>704</v>
      </c>
      <c r="G1401">
        <f t="shared" si="21"/>
        <v>8785138</v>
      </c>
    </row>
    <row r="1402" spans="1:7" x14ac:dyDescent="0.25">
      <c r="A1402">
        <v>8785400</v>
      </c>
      <c r="B1402" t="s">
        <v>24718</v>
      </c>
      <c r="C1402">
        <v>0</v>
      </c>
      <c r="D1402">
        <v>1</v>
      </c>
      <c r="E1402">
        <v>38</v>
      </c>
      <c r="F1402">
        <v>6267</v>
      </c>
      <c r="G1402">
        <f t="shared" si="21"/>
        <v>8785400</v>
      </c>
    </row>
    <row r="1403" spans="1:7" x14ac:dyDescent="0.25">
      <c r="A1403">
        <v>8787208</v>
      </c>
      <c r="B1403" t="s">
        <v>24719</v>
      </c>
      <c r="C1403">
        <v>0</v>
      </c>
      <c r="D1403">
        <v>1</v>
      </c>
      <c r="E1403">
        <v>26</v>
      </c>
      <c r="F1403">
        <v>6421</v>
      </c>
      <c r="G1403">
        <f t="shared" si="21"/>
        <v>8787208</v>
      </c>
    </row>
    <row r="1404" spans="1:7" x14ac:dyDescent="0.25">
      <c r="A1404">
        <v>8788277</v>
      </c>
      <c r="B1404" t="s">
        <v>24720</v>
      </c>
      <c r="C1404">
        <v>0</v>
      </c>
      <c r="D1404">
        <v>1</v>
      </c>
      <c r="E1404">
        <v>266</v>
      </c>
      <c r="F1404">
        <v>5239</v>
      </c>
      <c r="G1404">
        <f t="shared" si="21"/>
        <v>8788277</v>
      </c>
    </row>
    <row r="1405" spans="1:7" x14ac:dyDescent="0.25">
      <c r="A1405">
        <v>8790349</v>
      </c>
      <c r="B1405" t="s">
        <v>24721</v>
      </c>
      <c r="C1405">
        <v>1232</v>
      </c>
      <c r="D1405">
        <v>1</v>
      </c>
      <c r="E1405">
        <v>3341</v>
      </c>
      <c r="F1405">
        <v>2920</v>
      </c>
      <c r="G1405">
        <f t="shared" si="21"/>
        <v>8790349</v>
      </c>
    </row>
    <row r="1406" spans="1:7" x14ac:dyDescent="0.25">
      <c r="A1406">
        <v>8794130</v>
      </c>
      <c r="B1406" t="s">
        <v>24722</v>
      </c>
      <c r="C1406">
        <v>0</v>
      </c>
      <c r="D1406">
        <v>0</v>
      </c>
      <c r="E1406">
        <v>0</v>
      </c>
      <c r="F1406">
        <v>7179</v>
      </c>
      <c r="G1406">
        <f t="shared" si="21"/>
        <v>8794130</v>
      </c>
    </row>
    <row r="1407" spans="1:7" x14ac:dyDescent="0.25">
      <c r="A1407">
        <v>8797397</v>
      </c>
      <c r="B1407" t="s">
        <v>24723</v>
      </c>
      <c r="C1407">
        <v>0</v>
      </c>
      <c r="D1407">
        <v>1</v>
      </c>
      <c r="E1407">
        <v>68</v>
      </c>
      <c r="F1407">
        <v>6074</v>
      </c>
      <c r="G1407">
        <f t="shared" si="21"/>
        <v>8797397</v>
      </c>
    </row>
    <row r="1408" spans="1:7" x14ac:dyDescent="0.25">
      <c r="A1408">
        <v>8801214</v>
      </c>
      <c r="B1408" t="s">
        <v>24724</v>
      </c>
      <c r="C1408">
        <v>1694</v>
      </c>
      <c r="D1408">
        <v>0</v>
      </c>
      <c r="E1408">
        <v>0</v>
      </c>
      <c r="F1408">
        <v>7180</v>
      </c>
      <c r="G1408">
        <f t="shared" si="21"/>
        <v>8801214</v>
      </c>
    </row>
    <row r="1409" spans="1:7" x14ac:dyDescent="0.25">
      <c r="A1409">
        <v>8802572</v>
      </c>
      <c r="B1409" t="s">
        <v>36162</v>
      </c>
      <c r="C1409">
        <v>721</v>
      </c>
      <c r="D1409">
        <v>1</v>
      </c>
      <c r="E1409">
        <v>585</v>
      </c>
      <c r="F1409">
        <v>4488</v>
      </c>
      <c r="G1409">
        <f t="shared" ref="G1409:G1472" si="22">A1409</f>
        <v>8802572</v>
      </c>
    </row>
    <row r="1410" spans="1:7" x14ac:dyDescent="0.25">
      <c r="A1410">
        <v>8803403</v>
      </c>
      <c r="B1410" t="s">
        <v>24725</v>
      </c>
      <c r="C1410">
        <v>924</v>
      </c>
      <c r="D1410">
        <v>1</v>
      </c>
      <c r="E1410">
        <v>5465</v>
      </c>
      <c r="F1410">
        <v>2414</v>
      </c>
      <c r="G1410">
        <f t="shared" si="22"/>
        <v>8803403</v>
      </c>
    </row>
    <row r="1411" spans="1:7" x14ac:dyDescent="0.25">
      <c r="A1411">
        <v>8803498</v>
      </c>
      <c r="B1411" t="s">
        <v>24726</v>
      </c>
      <c r="C1411">
        <v>0</v>
      </c>
      <c r="D1411">
        <v>1</v>
      </c>
      <c r="E1411">
        <v>26</v>
      </c>
      <c r="F1411">
        <v>6422</v>
      </c>
      <c r="G1411">
        <f t="shared" si="22"/>
        <v>8803498</v>
      </c>
    </row>
    <row r="1412" spans="1:7" x14ac:dyDescent="0.25">
      <c r="A1412">
        <v>8804334</v>
      </c>
      <c r="B1412" t="s">
        <v>24727</v>
      </c>
      <c r="C1412">
        <v>1232</v>
      </c>
      <c r="D1412">
        <v>1</v>
      </c>
      <c r="E1412">
        <v>2372</v>
      </c>
      <c r="F1412">
        <v>3188</v>
      </c>
      <c r="G1412">
        <f t="shared" si="22"/>
        <v>8804334</v>
      </c>
    </row>
    <row r="1413" spans="1:7" x14ac:dyDescent="0.25">
      <c r="A1413">
        <v>8805250</v>
      </c>
      <c r="B1413" t="s">
        <v>37118</v>
      </c>
      <c r="C1413">
        <v>0</v>
      </c>
      <c r="D1413">
        <v>1</v>
      </c>
      <c r="E1413">
        <v>243</v>
      </c>
      <c r="F1413">
        <v>5337</v>
      </c>
      <c r="G1413">
        <f t="shared" si="22"/>
        <v>8805250</v>
      </c>
    </row>
    <row r="1414" spans="1:7" x14ac:dyDescent="0.25">
      <c r="A1414">
        <v>8806700</v>
      </c>
      <c r="B1414" t="s">
        <v>24728</v>
      </c>
      <c r="C1414">
        <v>196</v>
      </c>
      <c r="D1414">
        <v>9</v>
      </c>
      <c r="E1414">
        <v>44952</v>
      </c>
      <c r="F1414">
        <v>62</v>
      </c>
      <c r="G1414">
        <f t="shared" si="22"/>
        <v>8806700</v>
      </c>
    </row>
    <row r="1415" spans="1:7" x14ac:dyDescent="0.25">
      <c r="A1415">
        <v>8814130</v>
      </c>
      <c r="B1415" t="s">
        <v>24729</v>
      </c>
      <c r="C1415">
        <v>0</v>
      </c>
      <c r="D1415">
        <v>0</v>
      </c>
      <c r="E1415">
        <v>0</v>
      </c>
      <c r="F1415">
        <v>7181</v>
      </c>
      <c r="G1415">
        <f t="shared" si="22"/>
        <v>8814130</v>
      </c>
    </row>
    <row r="1416" spans="1:7" x14ac:dyDescent="0.25">
      <c r="A1416">
        <v>8816543</v>
      </c>
      <c r="B1416" t="s">
        <v>24730</v>
      </c>
      <c r="C1416">
        <v>0</v>
      </c>
      <c r="D1416">
        <v>1</v>
      </c>
      <c r="E1416">
        <v>614</v>
      </c>
      <c r="F1416">
        <v>4455</v>
      </c>
      <c r="G1416">
        <f t="shared" si="22"/>
        <v>8816543</v>
      </c>
    </row>
    <row r="1417" spans="1:7" x14ac:dyDescent="0.25">
      <c r="A1417">
        <v>8816741</v>
      </c>
      <c r="B1417" t="s">
        <v>36163</v>
      </c>
      <c r="C1417">
        <v>0</v>
      </c>
      <c r="D1417">
        <v>1</v>
      </c>
      <c r="E1417">
        <v>179</v>
      </c>
      <c r="F1417">
        <v>5586</v>
      </c>
      <c r="G1417">
        <f t="shared" si="22"/>
        <v>8816741</v>
      </c>
    </row>
    <row r="1418" spans="1:7" x14ac:dyDescent="0.25">
      <c r="A1418">
        <v>8817594</v>
      </c>
      <c r="B1418" t="s">
        <v>24731</v>
      </c>
      <c r="C1418">
        <v>0</v>
      </c>
      <c r="D1418">
        <v>0</v>
      </c>
      <c r="E1418">
        <v>0</v>
      </c>
      <c r="F1418">
        <v>7182</v>
      </c>
      <c r="G1418">
        <f t="shared" si="22"/>
        <v>8817594</v>
      </c>
    </row>
    <row r="1419" spans="1:7" x14ac:dyDescent="0.25">
      <c r="A1419">
        <v>8819786</v>
      </c>
      <c r="B1419" t="s">
        <v>24732</v>
      </c>
      <c r="C1419">
        <v>1728</v>
      </c>
      <c r="D1419">
        <v>1</v>
      </c>
      <c r="E1419">
        <v>3122</v>
      </c>
      <c r="F1419">
        <v>2963</v>
      </c>
      <c r="G1419">
        <f t="shared" si="22"/>
        <v>8819786</v>
      </c>
    </row>
    <row r="1420" spans="1:7" x14ac:dyDescent="0.25">
      <c r="A1420">
        <v>8819928</v>
      </c>
      <c r="B1420" t="s">
        <v>36164</v>
      </c>
      <c r="C1420">
        <v>0</v>
      </c>
      <c r="D1420">
        <v>1</v>
      </c>
      <c r="E1420">
        <v>759</v>
      </c>
      <c r="F1420">
        <v>4257</v>
      </c>
      <c r="G1420">
        <f t="shared" si="22"/>
        <v>8819928</v>
      </c>
    </row>
    <row r="1421" spans="1:7" x14ac:dyDescent="0.25">
      <c r="A1421">
        <v>8822016</v>
      </c>
      <c r="B1421" t="s">
        <v>24733</v>
      </c>
      <c r="C1421">
        <v>1966</v>
      </c>
      <c r="D1421">
        <v>1</v>
      </c>
      <c r="E1421">
        <v>140</v>
      </c>
      <c r="F1421">
        <v>5729</v>
      </c>
      <c r="G1421">
        <f t="shared" si="22"/>
        <v>8822016</v>
      </c>
    </row>
    <row r="1422" spans="1:7" x14ac:dyDescent="0.25">
      <c r="A1422">
        <v>8828096</v>
      </c>
      <c r="B1422" t="s">
        <v>24734</v>
      </c>
      <c r="C1422">
        <v>274</v>
      </c>
      <c r="D1422">
        <v>0</v>
      </c>
      <c r="E1422">
        <v>0</v>
      </c>
      <c r="F1422">
        <v>7183</v>
      </c>
      <c r="G1422">
        <f t="shared" si="22"/>
        <v>8828096</v>
      </c>
    </row>
    <row r="1423" spans="1:7" x14ac:dyDescent="0.25">
      <c r="A1423">
        <v>8828213</v>
      </c>
      <c r="B1423" t="s">
        <v>36165</v>
      </c>
      <c r="C1423">
        <v>896</v>
      </c>
      <c r="D1423">
        <v>1</v>
      </c>
      <c r="E1423">
        <v>6564</v>
      </c>
      <c r="F1423">
        <v>2150</v>
      </c>
      <c r="G1423">
        <f t="shared" si="22"/>
        <v>8828213</v>
      </c>
    </row>
    <row r="1424" spans="1:7" x14ac:dyDescent="0.25">
      <c r="A1424">
        <v>8828814</v>
      </c>
      <c r="B1424" t="s">
        <v>24735</v>
      </c>
      <c r="C1424">
        <v>1885</v>
      </c>
      <c r="D1424">
        <v>1</v>
      </c>
      <c r="E1424">
        <v>476</v>
      </c>
      <c r="F1424">
        <v>4688</v>
      </c>
      <c r="G1424">
        <f t="shared" si="22"/>
        <v>8828814</v>
      </c>
    </row>
    <row r="1425" spans="1:7" x14ac:dyDescent="0.25">
      <c r="A1425">
        <v>8829351</v>
      </c>
      <c r="B1425" t="s">
        <v>24736</v>
      </c>
      <c r="C1425">
        <v>1858</v>
      </c>
      <c r="D1425">
        <v>1</v>
      </c>
      <c r="E1425">
        <v>255</v>
      </c>
      <c r="F1425">
        <v>5277</v>
      </c>
      <c r="G1425">
        <f t="shared" si="22"/>
        <v>8829351</v>
      </c>
    </row>
    <row r="1426" spans="1:7" x14ac:dyDescent="0.25">
      <c r="A1426">
        <v>8829356</v>
      </c>
      <c r="B1426" t="s">
        <v>24737</v>
      </c>
      <c r="C1426">
        <v>79</v>
      </c>
      <c r="D1426">
        <v>2</v>
      </c>
      <c r="E1426">
        <v>6330</v>
      </c>
      <c r="F1426">
        <v>2205</v>
      </c>
      <c r="G1426">
        <f t="shared" si="22"/>
        <v>8829356</v>
      </c>
    </row>
    <row r="1427" spans="1:7" x14ac:dyDescent="0.25">
      <c r="A1427">
        <v>8833216</v>
      </c>
      <c r="B1427" t="s">
        <v>24738</v>
      </c>
      <c r="C1427">
        <v>882</v>
      </c>
      <c r="D1427">
        <v>1</v>
      </c>
      <c r="E1427">
        <v>26</v>
      </c>
      <c r="F1427">
        <v>6423</v>
      </c>
      <c r="G1427">
        <f t="shared" si="22"/>
        <v>8833216</v>
      </c>
    </row>
    <row r="1428" spans="1:7" x14ac:dyDescent="0.25">
      <c r="A1428">
        <v>8833591</v>
      </c>
      <c r="B1428" t="s">
        <v>24739</v>
      </c>
      <c r="C1428">
        <v>122</v>
      </c>
      <c r="D1428">
        <v>4</v>
      </c>
      <c r="E1428">
        <v>21500</v>
      </c>
      <c r="F1428">
        <v>549</v>
      </c>
      <c r="G1428">
        <f t="shared" si="22"/>
        <v>8833591</v>
      </c>
    </row>
    <row r="1429" spans="1:7" x14ac:dyDescent="0.25">
      <c r="A1429">
        <v>8835520</v>
      </c>
      <c r="B1429" t="s">
        <v>24740</v>
      </c>
      <c r="C1429">
        <v>126</v>
      </c>
      <c r="D1429">
        <v>5</v>
      </c>
      <c r="E1429">
        <v>29902</v>
      </c>
      <c r="F1429">
        <v>240</v>
      </c>
      <c r="G1429">
        <f t="shared" si="22"/>
        <v>8835520</v>
      </c>
    </row>
    <row r="1430" spans="1:7" x14ac:dyDescent="0.25">
      <c r="A1430">
        <v>8839309</v>
      </c>
      <c r="B1430" t="s">
        <v>24741</v>
      </c>
      <c r="C1430">
        <v>0</v>
      </c>
      <c r="D1430">
        <v>1</v>
      </c>
      <c r="E1430">
        <v>26</v>
      </c>
      <c r="F1430">
        <v>6424</v>
      </c>
      <c r="G1430">
        <f t="shared" si="22"/>
        <v>8839309</v>
      </c>
    </row>
    <row r="1431" spans="1:7" x14ac:dyDescent="0.25">
      <c r="A1431">
        <v>8839915</v>
      </c>
      <c r="B1431" t="s">
        <v>24742</v>
      </c>
      <c r="C1431">
        <v>218</v>
      </c>
      <c r="D1431">
        <v>5</v>
      </c>
      <c r="E1431">
        <v>28660</v>
      </c>
      <c r="F1431">
        <v>279</v>
      </c>
      <c r="G1431">
        <f t="shared" si="22"/>
        <v>8839915</v>
      </c>
    </row>
    <row r="1432" spans="1:7" x14ac:dyDescent="0.25">
      <c r="A1432">
        <v>8840411</v>
      </c>
      <c r="B1432" t="s">
        <v>24743</v>
      </c>
      <c r="C1432">
        <v>0</v>
      </c>
      <c r="D1432">
        <v>0</v>
      </c>
      <c r="E1432">
        <v>0</v>
      </c>
      <c r="F1432">
        <v>7184</v>
      </c>
      <c r="G1432">
        <f t="shared" si="22"/>
        <v>8840411</v>
      </c>
    </row>
    <row r="1433" spans="1:7" x14ac:dyDescent="0.25">
      <c r="A1433">
        <v>8843354</v>
      </c>
      <c r="B1433" t="s">
        <v>24744</v>
      </c>
      <c r="C1433">
        <v>2017</v>
      </c>
      <c r="D1433">
        <v>1</v>
      </c>
      <c r="E1433">
        <v>315</v>
      </c>
      <c r="F1433">
        <v>5078</v>
      </c>
      <c r="G1433">
        <f t="shared" si="22"/>
        <v>8843354</v>
      </c>
    </row>
    <row r="1434" spans="1:7" x14ac:dyDescent="0.25">
      <c r="A1434">
        <v>8843734</v>
      </c>
      <c r="B1434" t="s">
        <v>24745</v>
      </c>
      <c r="C1434">
        <v>1753</v>
      </c>
      <c r="D1434">
        <v>1</v>
      </c>
      <c r="E1434">
        <v>939</v>
      </c>
      <c r="F1434">
        <v>4051</v>
      </c>
      <c r="G1434">
        <f t="shared" si="22"/>
        <v>8843734</v>
      </c>
    </row>
    <row r="1435" spans="1:7" x14ac:dyDescent="0.25">
      <c r="A1435">
        <v>8844274</v>
      </c>
      <c r="B1435" t="s">
        <v>24746</v>
      </c>
      <c r="C1435">
        <v>36</v>
      </c>
      <c r="D1435">
        <v>1</v>
      </c>
      <c r="E1435">
        <v>6563</v>
      </c>
      <c r="F1435">
        <v>2151</v>
      </c>
      <c r="G1435">
        <f t="shared" si="22"/>
        <v>8844274</v>
      </c>
    </row>
    <row r="1436" spans="1:7" x14ac:dyDescent="0.25">
      <c r="A1436">
        <v>8845273</v>
      </c>
      <c r="B1436" t="s">
        <v>24747</v>
      </c>
      <c r="C1436">
        <v>1413</v>
      </c>
      <c r="D1436">
        <v>1</v>
      </c>
      <c r="E1436">
        <v>3957</v>
      </c>
      <c r="F1436">
        <v>2777</v>
      </c>
      <c r="G1436">
        <f t="shared" si="22"/>
        <v>8845273</v>
      </c>
    </row>
    <row r="1437" spans="1:7" x14ac:dyDescent="0.25">
      <c r="A1437">
        <v>8845635</v>
      </c>
      <c r="B1437" t="s">
        <v>24748</v>
      </c>
      <c r="C1437">
        <v>1340</v>
      </c>
      <c r="D1437">
        <v>3</v>
      </c>
      <c r="E1437">
        <v>12276</v>
      </c>
      <c r="F1437">
        <v>1253</v>
      </c>
      <c r="G1437">
        <f t="shared" si="22"/>
        <v>8845635</v>
      </c>
    </row>
    <row r="1438" spans="1:7" x14ac:dyDescent="0.25">
      <c r="A1438">
        <v>8846444</v>
      </c>
      <c r="B1438" t="s">
        <v>24749</v>
      </c>
      <c r="C1438">
        <v>0</v>
      </c>
      <c r="D1438">
        <v>1</v>
      </c>
      <c r="E1438">
        <v>190</v>
      </c>
      <c r="F1438">
        <v>5538</v>
      </c>
      <c r="G1438">
        <f t="shared" si="22"/>
        <v>8846444</v>
      </c>
    </row>
    <row r="1439" spans="1:7" x14ac:dyDescent="0.25">
      <c r="A1439">
        <v>8846963</v>
      </c>
      <c r="B1439" t="s">
        <v>24750</v>
      </c>
      <c r="C1439">
        <v>0</v>
      </c>
      <c r="D1439">
        <v>1</v>
      </c>
      <c r="E1439">
        <v>718</v>
      </c>
      <c r="F1439">
        <v>4313</v>
      </c>
      <c r="G1439">
        <f t="shared" si="22"/>
        <v>8846963</v>
      </c>
    </row>
    <row r="1440" spans="1:7" x14ac:dyDescent="0.25">
      <c r="A1440">
        <v>8847077</v>
      </c>
      <c r="B1440" t="s">
        <v>24751</v>
      </c>
      <c r="C1440">
        <v>0</v>
      </c>
      <c r="D1440">
        <v>0</v>
      </c>
      <c r="E1440">
        <v>0</v>
      </c>
      <c r="F1440">
        <v>7185</v>
      </c>
      <c r="G1440">
        <f t="shared" si="22"/>
        <v>8847077</v>
      </c>
    </row>
    <row r="1441" spans="1:7" x14ac:dyDescent="0.25">
      <c r="A1441">
        <v>8847890</v>
      </c>
      <c r="B1441" t="s">
        <v>24752</v>
      </c>
      <c r="C1441">
        <v>0</v>
      </c>
      <c r="D1441">
        <v>1</v>
      </c>
      <c r="E1441">
        <v>1246</v>
      </c>
      <c r="F1441">
        <v>3765</v>
      </c>
      <c r="G1441">
        <f t="shared" si="22"/>
        <v>8847890</v>
      </c>
    </row>
    <row r="1442" spans="1:7" x14ac:dyDescent="0.25">
      <c r="A1442">
        <v>8848072</v>
      </c>
      <c r="B1442" t="s">
        <v>24753</v>
      </c>
      <c r="C1442">
        <v>26</v>
      </c>
      <c r="D1442">
        <v>1</v>
      </c>
      <c r="E1442">
        <v>447</v>
      </c>
      <c r="F1442">
        <v>4785</v>
      </c>
      <c r="G1442">
        <f t="shared" si="22"/>
        <v>8848072</v>
      </c>
    </row>
    <row r="1443" spans="1:7" x14ac:dyDescent="0.25">
      <c r="A1443">
        <v>8848121</v>
      </c>
      <c r="B1443" t="s">
        <v>36166</v>
      </c>
      <c r="C1443">
        <v>1483</v>
      </c>
      <c r="D1443">
        <v>2</v>
      </c>
      <c r="E1443">
        <v>3966</v>
      </c>
      <c r="F1443">
        <v>2789</v>
      </c>
      <c r="G1443">
        <f t="shared" si="22"/>
        <v>8848121</v>
      </c>
    </row>
    <row r="1444" spans="1:7" x14ac:dyDescent="0.25">
      <c r="A1444">
        <v>8849497</v>
      </c>
      <c r="B1444" t="s">
        <v>24754</v>
      </c>
      <c r="C1444">
        <v>1643</v>
      </c>
      <c r="D1444">
        <v>1</v>
      </c>
      <c r="E1444">
        <v>1311</v>
      </c>
      <c r="F1444">
        <v>3719</v>
      </c>
      <c r="G1444">
        <f t="shared" si="22"/>
        <v>8849497</v>
      </c>
    </row>
    <row r="1445" spans="1:7" x14ac:dyDescent="0.25">
      <c r="A1445">
        <v>8850892</v>
      </c>
      <c r="B1445" t="s">
        <v>24755</v>
      </c>
      <c r="C1445">
        <v>0</v>
      </c>
      <c r="D1445">
        <v>0</v>
      </c>
      <c r="E1445">
        <v>0</v>
      </c>
      <c r="F1445">
        <v>7186</v>
      </c>
      <c r="G1445">
        <f t="shared" si="22"/>
        <v>8850892</v>
      </c>
    </row>
    <row r="1446" spans="1:7" x14ac:dyDescent="0.25">
      <c r="A1446">
        <v>8851407</v>
      </c>
      <c r="B1446" t="s">
        <v>24756</v>
      </c>
      <c r="C1446">
        <v>0</v>
      </c>
      <c r="D1446">
        <v>1</v>
      </c>
      <c r="E1446">
        <v>26</v>
      </c>
      <c r="F1446">
        <v>6425</v>
      </c>
      <c r="G1446">
        <f t="shared" si="22"/>
        <v>8851407</v>
      </c>
    </row>
    <row r="1447" spans="1:7" x14ac:dyDescent="0.25">
      <c r="A1447">
        <v>8857214</v>
      </c>
      <c r="B1447" t="s">
        <v>24757</v>
      </c>
      <c r="C1447">
        <v>1699</v>
      </c>
      <c r="D1447">
        <v>3</v>
      </c>
      <c r="E1447">
        <v>12365</v>
      </c>
      <c r="F1447">
        <v>1226</v>
      </c>
      <c r="G1447">
        <f t="shared" si="22"/>
        <v>8857214</v>
      </c>
    </row>
    <row r="1448" spans="1:7" x14ac:dyDescent="0.25">
      <c r="A1448">
        <v>8860225</v>
      </c>
      <c r="B1448" t="s">
        <v>24758</v>
      </c>
      <c r="C1448">
        <v>205</v>
      </c>
      <c r="D1448">
        <v>1</v>
      </c>
      <c r="E1448">
        <v>1890</v>
      </c>
      <c r="F1448">
        <v>3398</v>
      </c>
      <c r="G1448">
        <f t="shared" si="22"/>
        <v>8860225</v>
      </c>
    </row>
    <row r="1449" spans="1:7" x14ac:dyDescent="0.25">
      <c r="A1449">
        <v>8861779</v>
      </c>
      <c r="B1449" t="s">
        <v>24759</v>
      </c>
      <c r="C1449">
        <v>1775</v>
      </c>
      <c r="D1449">
        <v>2</v>
      </c>
      <c r="E1449">
        <v>6597</v>
      </c>
      <c r="F1449">
        <v>2140</v>
      </c>
      <c r="G1449">
        <f t="shared" si="22"/>
        <v>8861779</v>
      </c>
    </row>
    <row r="1450" spans="1:7" x14ac:dyDescent="0.25">
      <c r="A1450">
        <v>8862374</v>
      </c>
      <c r="B1450" t="s">
        <v>24760</v>
      </c>
      <c r="C1450">
        <v>179</v>
      </c>
      <c r="D1450">
        <v>2</v>
      </c>
      <c r="E1450">
        <v>12301</v>
      </c>
      <c r="F1450">
        <v>1251</v>
      </c>
      <c r="G1450">
        <f t="shared" si="22"/>
        <v>8862374</v>
      </c>
    </row>
    <row r="1451" spans="1:7" x14ac:dyDescent="0.25">
      <c r="A1451">
        <v>8863214</v>
      </c>
      <c r="B1451" t="s">
        <v>24761</v>
      </c>
      <c r="C1451">
        <v>1836</v>
      </c>
      <c r="D1451">
        <v>1</v>
      </c>
      <c r="E1451">
        <v>2014</v>
      </c>
      <c r="F1451">
        <v>3336</v>
      </c>
      <c r="G1451">
        <f t="shared" si="22"/>
        <v>8863214</v>
      </c>
    </row>
    <row r="1452" spans="1:7" x14ac:dyDescent="0.25">
      <c r="A1452">
        <v>8868301</v>
      </c>
      <c r="B1452" t="s">
        <v>24762</v>
      </c>
      <c r="C1452">
        <v>0</v>
      </c>
      <c r="D1452">
        <v>1</v>
      </c>
      <c r="E1452">
        <v>26</v>
      </c>
      <c r="F1452">
        <v>6426</v>
      </c>
      <c r="G1452">
        <f t="shared" si="22"/>
        <v>8868301</v>
      </c>
    </row>
    <row r="1453" spans="1:7" x14ac:dyDescent="0.25">
      <c r="A1453">
        <v>8870777</v>
      </c>
      <c r="B1453" t="s">
        <v>36167</v>
      </c>
      <c r="C1453">
        <v>55</v>
      </c>
      <c r="D1453">
        <v>1</v>
      </c>
      <c r="E1453">
        <v>347</v>
      </c>
      <c r="F1453">
        <v>4992</v>
      </c>
      <c r="G1453">
        <f t="shared" si="22"/>
        <v>8870777</v>
      </c>
    </row>
    <row r="1454" spans="1:7" x14ac:dyDescent="0.25">
      <c r="A1454">
        <v>8874279</v>
      </c>
      <c r="B1454" t="s">
        <v>24763</v>
      </c>
      <c r="C1454">
        <v>199</v>
      </c>
      <c r="D1454">
        <v>2</v>
      </c>
      <c r="E1454">
        <v>13285</v>
      </c>
      <c r="F1454">
        <v>1140</v>
      </c>
      <c r="G1454">
        <f t="shared" si="22"/>
        <v>8874279</v>
      </c>
    </row>
    <row r="1455" spans="1:7" x14ac:dyDescent="0.25">
      <c r="A1455">
        <v>8874324</v>
      </c>
      <c r="B1455" t="s">
        <v>36168</v>
      </c>
      <c r="C1455">
        <v>36</v>
      </c>
      <c r="D1455">
        <v>3</v>
      </c>
      <c r="E1455">
        <v>12655</v>
      </c>
      <c r="F1455">
        <v>1203</v>
      </c>
      <c r="G1455">
        <f t="shared" si="22"/>
        <v>8874324</v>
      </c>
    </row>
    <row r="1456" spans="1:7" x14ac:dyDescent="0.25">
      <c r="A1456">
        <v>8874977</v>
      </c>
      <c r="B1456" t="s">
        <v>24764</v>
      </c>
      <c r="C1456">
        <v>680</v>
      </c>
      <c r="D1456">
        <v>2</v>
      </c>
      <c r="E1456">
        <v>5346</v>
      </c>
      <c r="F1456">
        <v>2435</v>
      </c>
      <c r="G1456">
        <f t="shared" si="22"/>
        <v>8874977</v>
      </c>
    </row>
    <row r="1457" spans="1:7" x14ac:dyDescent="0.25">
      <c r="A1457">
        <v>8875414</v>
      </c>
      <c r="B1457" t="s">
        <v>36169</v>
      </c>
      <c r="C1457">
        <v>152</v>
      </c>
      <c r="D1457">
        <v>6</v>
      </c>
      <c r="E1457">
        <v>25679</v>
      </c>
      <c r="F1457">
        <v>372</v>
      </c>
      <c r="G1457">
        <f t="shared" si="22"/>
        <v>8875414</v>
      </c>
    </row>
    <row r="1458" spans="1:7" x14ac:dyDescent="0.25">
      <c r="A1458">
        <v>8876711</v>
      </c>
      <c r="B1458" t="s">
        <v>24765</v>
      </c>
      <c r="C1458">
        <v>0</v>
      </c>
      <c r="D1458">
        <v>0</v>
      </c>
      <c r="E1458">
        <v>0</v>
      </c>
      <c r="F1458">
        <v>7187</v>
      </c>
      <c r="G1458">
        <f t="shared" si="22"/>
        <v>8876711</v>
      </c>
    </row>
    <row r="1459" spans="1:7" x14ac:dyDescent="0.25">
      <c r="A1459">
        <v>8877809</v>
      </c>
      <c r="B1459" t="s">
        <v>37119</v>
      </c>
      <c r="C1459">
        <v>443</v>
      </c>
      <c r="D1459">
        <v>0</v>
      </c>
      <c r="E1459">
        <v>0</v>
      </c>
      <c r="F1459">
        <v>7188</v>
      </c>
      <c r="G1459">
        <f t="shared" si="22"/>
        <v>8877809</v>
      </c>
    </row>
    <row r="1460" spans="1:7" x14ac:dyDescent="0.25">
      <c r="A1460">
        <v>8877953</v>
      </c>
      <c r="B1460" t="s">
        <v>24766</v>
      </c>
      <c r="C1460">
        <v>0</v>
      </c>
      <c r="D1460">
        <v>1</v>
      </c>
      <c r="E1460">
        <v>60</v>
      </c>
      <c r="F1460">
        <v>6105</v>
      </c>
      <c r="G1460">
        <f t="shared" si="22"/>
        <v>8877953</v>
      </c>
    </row>
    <row r="1461" spans="1:7" x14ac:dyDescent="0.25">
      <c r="A1461">
        <v>8879522</v>
      </c>
      <c r="B1461" t="s">
        <v>24767</v>
      </c>
      <c r="C1461">
        <v>617</v>
      </c>
      <c r="D1461">
        <v>1</v>
      </c>
      <c r="E1461">
        <v>6544</v>
      </c>
      <c r="F1461">
        <v>2202</v>
      </c>
      <c r="G1461">
        <f t="shared" si="22"/>
        <v>8879522</v>
      </c>
    </row>
    <row r="1462" spans="1:7" x14ac:dyDescent="0.25">
      <c r="A1462">
        <v>8879628</v>
      </c>
      <c r="B1462" t="s">
        <v>24768</v>
      </c>
      <c r="C1462">
        <v>0</v>
      </c>
      <c r="D1462">
        <v>0</v>
      </c>
      <c r="E1462">
        <v>0</v>
      </c>
      <c r="F1462">
        <v>7189</v>
      </c>
      <c r="G1462">
        <f t="shared" si="22"/>
        <v>8879628</v>
      </c>
    </row>
    <row r="1463" spans="1:7" x14ac:dyDescent="0.25">
      <c r="A1463">
        <v>8880171</v>
      </c>
      <c r="B1463" t="s">
        <v>24769</v>
      </c>
      <c r="C1463">
        <v>0</v>
      </c>
      <c r="D1463">
        <v>1</v>
      </c>
      <c r="E1463">
        <v>339</v>
      </c>
      <c r="F1463">
        <v>5009</v>
      </c>
      <c r="G1463">
        <f t="shared" si="22"/>
        <v>8880171</v>
      </c>
    </row>
    <row r="1464" spans="1:7" x14ac:dyDescent="0.25">
      <c r="A1464">
        <v>8880253</v>
      </c>
      <c r="B1464" t="s">
        <v>24770</v>
      </c>
      <c r="C1464">
        <v>0</v>
      </c>
      <c r="D1464">
        <v>1</v>
      </c>
      <c r="E1464">
        <v>75</v>
      </c>
      <c r="F1464">
        <v>6012</v>
      </c>
      <c r="G1464">
        <f t="shared" si="22"/>
        <v>8880253</v>
      </c>
    </row>
    <row r="1465" spans="1:7" x14ac:dyDescent="0.25">
      <c r="A1465">
        <v>8881745</v>
      </c>
      <c r="B1465" t="s">
        <v>24771</v>
      </c>
      <c r="C1465">
        <v>0</v>
      </c>
      <c r="D1465">
        <v>1</v>
      </c>
      <c r="E1465">
        <v>189</v>
      </c>
      <c r="F1465">
        <v>5542</v>
      </c>
      <c r="G1465">
        <f t="shared" si="22"/>
        <v>8881745</v>
      </c>
    </row>
    <row r="1466" spans="1:7" x14ac:dyDescent="0.25">
      <c r="A1466">
        <v>8884440</v>
      </c>
      <c r="B1466">
        <v>24242</v>
      </c>
      <c r="C1466">
        <v>0</v>
      </c>
      <c r="D1466">
        <v>1</v>
      </c>
      <c r="E1466">
        <v>5758</v>
      </c>
      <c r="F1466">
        <v>2336</v>
      </c>
      <c r="G1466">
        <f t="shared" si="22"/>
        <v>8884440</v>
      </c>
    </row>
    <row r="1467" spans="1:7" x14ac:dyDescent="0.25">
      <c r="A1467">
        <v>8886056</v>
      </c>
      <c r="B1467" t="s">
        <v>24772</v>
      </c>
      <c r="C1467">
        <v>0</v>
      </c>
      <c r="D1467">
        <v>1</v>
      </c>
      <c r="E1467">
        <v>26</v>
      </c>
      <c r="F1467">
        <v>6427</v>
      </c>
      <c r="G1467">
        <f t="shared" si="22"/>
        <v>8886056</v>
      </c>
    </row>
    <row r="1468" spans="1:7" x14ac:dyDescent="0.25">
      <c r="A1468">
        <v>8887108</v>
      </c>
      <c r="B1468" t="s">
        <v>36170</v>
      </c>
      <c r="C1468">
        <v>1946</v>
      </c>
      <c r="D1468">
        <v>2</v>
      </c>
      <c r="E1468">
        <v>9077</v>
      </c>
      <c r="F1468">
        <v>1709</v>
      </c>
      <c r="G1468">
        <f t="shared" si="22"/>
        <v>8887108</v>
      </c>
    </row>
    <row r="1469" spans="1:7" x14ac:dyDescent="0.25">
      <c r="A1469">
        <v>8887287</v>
      </c>
      <c r="B1469" t="s">
        <v>24773</v>
      </c>
      <c r="C1469">
        <v>1914</v>
      </c>
      <c r="D1469">
        <v>1</v>
      </c>
      <c r="E1469">
        <v>705</v>
      </c>
      <c r="F1469">
        <v>4335</v>
      </c>
      <c r="G1469">
        <f t="shared" si="22"/>
        <v>8887287</v>
      </c>
    </row>
    <row r="1470" spans="1:7" x14ac:dyDescent="0.25">
      <c r="A1470">
        <v>8897367</v>
      </c>
      <c r="B1470" t="s">
        <v>24774</v>
      </c>
      <c r="C1470">
        <v>1758</v>
      </c>
      <c r="D1470">
        <v>10</v>
      </c>
      <c r="E1470">
        <v>65894</v>
      </c>
      <c r="F1470">
        <v>13</v>
      </c>
      <c r="G1470">
        <f t="shared" si="22"/>
        <v>8897367</v>
      </c>
    </row>
    <row r="1471" spans="1:7" x14ac:dyDescent="0.25">
      <c r="A1471">
        <v>8903359</v>
      </c>
      <c r="B1471" t="s">
        <v>24775</v>
      </c>
      <c r="C1471">
        <v>0</v>
      </c>
      <c r="D1471">
        <v>1</v>
      </c>
      <c r="E1471">
        <v>2440</v>
      </c>
      <c r="F1471">
        <v>3161</v>
      </c>
      <c r="G1471">
        <f t="shared" si="22"/>
        <v>8903359</v>
      </c>
    </row>
    <row r="1472" spans="1:7" x14ac:dyDescent="0.25">
      <c r="A1472">
        <v>8909812</v>
      </c>
      <c r="B1472" t="s">
        <v>24776</v>
      </c>
      <c r="C1472">
        <v>467</v>
      </c>
      <c r="D1472">
        <v>2</v>
      </c>
      <c r="E1472">
        <v>12674</v>
      </c>
      <c r="F1472">
        <v>1200</v>
      </c>
      <c r="G1472">
        <f t="shared" si="22"/>
        <v>8909812</v>
      </c>
    </row>
    <row r="1473" spans="1:7" x14ac:dyDescent="0.25">
      <c r="A1473">
        <v>8911166</v>
      </c>
      <c r="B1473" t="s">
        <v>37120</v>
      </c>
      <c r="C1473">
        <v>0</v>
      </c>
      <c r="D1473">
        <v>1</v>
      </c>
      <c r="E1473">
        <v>473</v>
      </c>
      <c r="F1473">
        <v>4693</v>
      </c>
      <c r="G1473">
        <f t="shared" ref="G1473:G1536" si="23">A1473</f>
        <v>8911166</v>
      </c>
    </row>
    <row r="1474" spans="1:7" x14ac:dyDescent="0.25">
      <c r="A1474">
        <v>8911791</v>
      </c>
      <c r="B1474" t="s">
        <v>24777</v>
      </c>
      <c r="C1474">
        <v>541</v>
      </c>
      <c r="D1474">
        <v>3</v>
      </c>
      <c r="E1474">
        <v>12045</v>
      </c>
      <c r="F1474">
        <v>1278</v>
      </c>
      <c r="G1474">
        <f t="shared" si="23"/>
        <v>8911791</v>
      </c>
    </row>
    <row r="1475" spans="1:7" x14ac:dyDescent="0.25">
      <c r="A1475">
        <v>8913153</v>
      </c>
      <c r="B1475" t="s">
        <v>24778</v>
      </c>
      <c r="C1475">
        <v>494</v>
      </c>
      <c r="D1475">
        <v>2</v>
      </c>
      <c r="E1475">
        <v>7976</v>
      </c>
      <c r="F1475">
        <v>1885</v>
      </c>
      <c r="G1475">
        <f t="shared" si="23"/>
        <v>8913153</v>
      </c>
    </row>
    <row r="1476" spans="1:7" x14ac:dyDescent="0.25">
      <c r="A1476">
        <v>8919293</v>
      </c>
      <c r="B1476" t="s">
        <v>36171</v>
      </c>
      <c r="C1476">
        <v>0</v>
      </c>
      <c r="D1476">
        <v>1</v>
      </c>
      <c r="E1476">
        <v>26</v>
      </c>
      <c r="F1476">
        <v>6428</v>
      </c>
      <c r="G1476">
        <f t="shared" si="23"/>
        <v>8919293</v>
      </c>
    </row>
    <row r="1477" spans="1:7" x14ac:dyDescent="0.25">
      <c r="A1477">
        <v>8920386</v>
      </c>
      <c r="B1477" t="s">
        <v>24779</v>
      </c>
      <c r="C1477">
        <v>367</v>
      </c>
      <c r="D1477">
        <v>1</v>
      </c>
      <c r="E1477">
        <v>5466</v>
      </c>
      <c r="F1477">
        <v>2413</v>
      </c>
      <c r="G1477">
        <f t="shared" si="23"/>
        <v>8920386</v>
      </c>
    </row>
    <row r="1478" spans="1:7" x14ac:dyDescent="0.25">
      <c r="A1478">
        <v>8921774</v>
      </c>
      <c r="B1478" t="s">
        <v>24780</v>
      </c>
      <c r="C1478">
        <v>1315</v>
      </c>
      <c r="D1478">
        <v>1</v>
      </c>
      <c r="E1478">
        <v>278</v>
      </c>
      <c r="F1478">
        <v>5188</v>
      </c>
      <c r="G1478">
        <f t="shared" si="23"/>
        <v>8921774</v>
      </c>
    </row>
    <row r="1479" spans="1:7" x14ac:dyDescent="0.25">
      <c r="A1479">
        <v>8922389</v>
      </c>
      <c r="B1479" t="s">
        <v>24781</v>
      </c>
      <c r="C1479">
        <v>12</v>
      </c>
      <c r="D1479">
        <v>1</v>
      </c>
      <c r="E1479">
        <v>1789</v>
      </c>
      <c r="F1479">
        <v>3450</v>
      </c>
      <c r="G1479">
        <f t="shared" si="23"/>
        <v>8922389</v>
      </c>
    </row>
    <row r="1480" spans="1:7" x14ac:dyDescent="0.25">
      <c r="A1480">
        <v>8922762</v>
      </c>
      <c r="B1480" t="s">
        <v>24782</v>
      </c>
      <c r="C1480">
        <v>0</v>
      </c>
      <c r="D1480">
        <v>1</v>
      </c>
      <c r="E1480">
        <v>319</v>
      </c>
      <c r="F1480">
        <v>5074</v>
      </c>
      <c r="G1480">
        <f t="shared" si="23"/>
        <v>8922762</v>
      </c>
    </row>
    <row r="1481" spans="1:7" x14ac:dyDescent="0.25">
      <c r="A1481">
        <v>8926852</v>
      </c>
      <c r="B1481" t="s">
        <v>24783</v>
      </c>
      <c r="C1481">
        <v>0</v>
      </c>
      <c r="D1481">
        <v>1</v>
      </c>
      <c r="E1481">
        <v>966</v>
      </c>
      <c r="F1481">
        <v>4024</v>
      </c>
      <c r="G1481">
        <f t="shared" si="23"/>
        <v>8926852</v>
      </c>
    </row>
    <row r="1482" spans="1:7" x14ac:dyDescent="0.25">
      <c r="A1482">
        <v>8932267</v>
      </c>
      <c r="B1482" t="s">
        <v>24784</v>
      </c>
      <c r="C1482">
        <v>0</v>
      </c>
      <c r="D1482">
        <v>1</v>
      </c>
      <c r="E1482">
        <v>477</v>
      </c>
      <c r="F1482">
        <v>4691</v>
      </c>
      <c r="G1482">
        <f t="shared" si="23"/>
        <v>8932267</v>
      </c>
    </row>
    <row r="1483" spans="1:7" x14ac:dyDescent="0.25">
      <c r="A1483">
        <v>8933191</v>
      </c>
      <c r="B1483" t="s">
        <v>24785</v>
      </c>
      <c r="C1483">
        <v>0</v>
      </c>
      <c r="D1483">
        <v>0</v>
      </c>
      <c r="E1483">
        <v>0</v>
      </c>
      <c r="F1483">
        <v>7190</v>
      </c>
      <c r="G1483">
        <f t="shared" si="23"/>
        <v>8933191</v>
      </c>
    </row>
    <row r="1484" spans="1:7" x14ac:dyDescent="0.25">
      <c r="A1484">
        <v>8942786</v>
      </c>
      <c r="B1484" t="s">
        <v>24786</v>
      </c>
      <c r="C1484">
        <v>0</v>
      </c>
      <c r="D1484">
        <v>0</v>
      </c>
      <c r="E1484">
        <v>0</v>
      </c>
      <c r="F1484">
        <v>7191</v>
      </c>
      <c r="G1484">
        <f t="shared" si="23"/>
        <v>8942786</v>
      </c>
    </row>
    <row r="1485" spans="1:7" x14ac:dyDescent="0.25">
      <c r="A1485">
        <v>8942925</v>
      </c>
      <c r="B1485" t="s">
        <v>24787</v>
      </c>
      <c r="C1485">
        <v>199</v>
      </c>
      <c r="D1485">
        <v>8</v>
      </c>
      <c r="E1485">
        <v>41553</v>
      </c>
      <c r="F1485">
        <v>82</v>
      </c>
      <c r="G1485">
        <f t="shared" si="23"/>
        <v>8942925</v>
      </c>
    </row>
    <row r="1486" spans="1:7" x14ac:dyDescent="0.25">
      <c r="A1486">
        <v>8943438</v>
      </c>
      <c r="B1486" t="s">
        <v>36990</v>
      </c>
      <c r="C1486">
        <v>278</v>
      </c>
      <c r="D1486">
        <v>1</v>
      </c>
      <c r="E1486">
        <v>26</v>
      </c>
      <c r="F1486">
        <v>6429</v>
      </c>
      <c r="G1486">
        <f t="shared" si="23"/>
        <v>8943438</v>
      </c>
    </row>
    <row r="1487" spans="1:7" x14ac:dyDescent="0.25">
      <c r="A1487">
        <v>8943635</v>
      </c>
      <c r="B1487" t="s">
        <v>24788</v>
      </c>
      <c r="C1487">
        <v>0</v>
      </c>
      <c r="D1487">
        <v>1</v>
      </c>
      <c r="E1487">
        <v>26</v>
      </c>
      <c r="F1487">
        <v>6430</v>
      </c>
      <c r="G1487">
        <f t="shared" si="23"/>
        <v>8943635</v>
      </c>
    </row>
    <row r="1488" spans="1:7" x14ac:dyDescent="0.25">
      <c r="A1488">
        <v>8945393</v>
      </c>
      <c r="B1488" t="s">
        <v>24789</v>
      </c>
      <c r="C1488">
        <v>96</v>
      </c>
      <c r="D1488">
        <v>7</v>
      </c>
      <c r="E1488">
        <v>29089</v>
      </c>
      <c r="F1488">
        <v>266</v>
      </c>
      <c r="G1488">
        <f t="shared" si="23"/>
        <v>8945393</v>
      </c>
    </row>
    <row r="1489" spans="1:7" x14ac:dyDescent="0.25">
      <c r="A1489">
        <v>8946412</v>
      </c>
      <c r="B1489" t="s">
        <v>24790</v>
      </c>
      <c r="C1489">
        <v>270</v>
      </c>
      <c r="D1489">
        <v>0</v>
      </c>
      <c r="E1489">
        <v>0</v>
      </c>
      <c r="F1489">
        <v>7192</v>
      </c>
      <c r="G1489">
        <f t="shared" si="23"/>
        <v>8946412</v>
      </c>
    </row>
    <row r="1490" spans="1:7" x14ac:dyDescent="0.25">
      <c r="A1490">
        <v>8946647</v>
      </c>
      <c r="B1490" t="s">
        <v>24791</v>
      </c>
      <c r="C1490">
        <v>250</v>
      </c>
      <c r="D1490">
        <v>1</v>
      </c>
      <c r="E1490">
        <v>26</v>
      </c>
      <c r="F1490">
        <v>6431</v>
      </c>
      <c r="G1490">
        <f t="shared" si="23"/>
        <v>8946647</v>
      </c>
    </row>
    <row r="1491" spans="1:7" x14ac:dyDescent="0.25">
      <c r="A1491">
        <v>8947272</v>
      </c>
      <c r="B1491" t="s">
        <v>24792</v>
      </c>
      <c r="C1491">
        <v>0</v>
      </c>
      <c r="D1491">
        <v>1</v>
      </c>
      <c r="E1491">
        <v>649</v>
      </c>
      <c r="F1491">
        <v>4411</v>
      </c>
      <c r="G1491">
        <f t="shared" si="23"/>
        <v>8947272</v>
      </c>
    </row>
    <row r="1492" spans="1:7" x14ac:dyDescent="0.25">
      <c r="A1492">
        <v>8947656</v>
      </c>
      <c r="B1492" t="s">
        <v>36172</v>
      </c>
      <c r="C1492">
        <v>578</v>
      </c>
      <c r="D1492">
        <v>1</v>
      </c>
      <c r="E1492">
        <v>2065</v>
      </c>
      <c r="F1492">
        <v>3310</v>
      </c>
      <c r="G1492">
        <f t="shared" si="23"/>
        <v>8947656</v>
      </c>
    </row>
    <row r="1493" spans="1:7" x14ac:dyDescent="0.25">
      <c r="A1493">
        <v>8950540</v>
      </c>
      <c r="B1493" t="s">
        <v>1759</v>
      </c>
      <c r="C1493">
        <v>545</v>
      </c>
      <c r="D1493">
        <v>1</v>
      </c>
      <c r="E1493">
        <v>197</v>
      </c>
      <c r="F1493">
        <v>5508</v>
      </c>
      <c r="G1493">
        <f t="shared" si="23"/>
        <v>8950540</v>
      </c>
    </row>
    <row r="1494" spans="1:7" x14ac:dyDescent="0.25">
      <c r="A1494">
        <v>8951253</v>
      </c>
      <c r="B1494" t="s">
        <v>37098</v>
      </c>
      <c r="C1494">
        <v>259</v>
      </c>
      <c r="D1494">
        <v>6</v>
      </c>
      <c r="E1494">
        <v>34737</v>
      </c>
      <c r="F1494">
        <v>155</v>
      </c>
      <c r="G1494">
        <f t="shared" si="23"/>
        <v>8951253</v>
      </c>
    </row>
    <row r="1495" spans="1:7" x14ac:dyDescent="0.25">
      <c r="A1495">
        <v>8952898</v>
      </c>
      <c r="B1495" t="s">
        <v>24793</v>
      </c>
      <c r="C1495">
        <v>0</v>
      </c>
      <c r="D1495">
        <v>1</v>
      </c>
      <c r="E1495">
        <v>247</v>
      </c>
      <c r="F1495">
        <v>5319</v>
      </c>
      <c r="G1495">
        <f t="shared" si="23"/>
        <v>8952898</v>
      </c>
    </row>
    <row r="1496" spans="1:7" x14ac:dyDescent="0.25">
      <c r="A1496">
        <v>8954846</v>
      </c>
      <c r="B1496" t="s">
        <v>24794</v>
      </c>
      <c r="C1496">
        <v>882</v>
      </c>
      <c r="D1496">
        <v>1</v>
      </c>
      <c r="E1496">
        <v>3119</v>
      </c>
      <c r="F1496">
        <v>2964</v>
      </c>
      <c r="G1496">
        <f t="shared" si="23"/>
        <v>8954846</v>
      </c>
    </row>
    <row r="1497" spans="1:7" x14ac:dyDescent="0.25">
      <c r="A1497">
        <v>8963542</v>
      </c>
      <c r="B1497" t="s">
        <v>24795</v>
      </c>
      <c r="C1497">
        <v>399</v>
      </c>
      <c r="D1497">
        <v>1</v>
      </c>
      <c r="E1497">
        <v>2089</v>
      </c>
      <c r="F1497">
        <v>3320</v>
      </c>
      <c r="G1497">
        <f t="shared" si="23"/>
        <v>8963542</v>
      </c>
    </row>
    <row r="1498" spans="1:7" x14ac:dyDescent="0.25">
      <c r="A1498">
        <v>8968731</v>
      </c>
      <c r="B1498" t="s">
        <v>24796</v>
      </c>
      <c r="C1498">
        <v>1373</v>
      </c>
      <c r="D1498">
        <v>2</v>
      </c>
      <c r="E1498">
        <v>6075</v>
      </c>
      <c r="F1498">
        <v>2265</v>
      </c>
      <c r="G1498">
        <f t="shared" si="23"/>
        <v>8968731</v>
      </c>
    </row>
    <row r="1499" spans="1:7" x14ac:dyDescent="0.25">
      <c r="A1499">
        <v>8969018</v>
      </c>
      <c r="B1499" t="s">
        <v>36991</v>
      </c>
      <c r="C1499">
        <v>0</v>
      </c>
      <c r="D1499">
        <v>1</v>
      </c>
      <c r="E1499">
        <v>26</v>
      </c>
      <c r="F1499">
        <v>6432</v>
      </c>
      <c r="G1499">
        <f t="shared" si="23"/>
        <v>8969018</v>
      </c>
    </row>
    <row r="1500" spans="1:7" x14ac:dyDescent="0.25">
      <c r="A1500">
        <v>8979093</v>
      </c>
      <c r="B1500" t="s">
        <v>24797</v>
      </c>
      <c r="C1500">
        <v>1758</v>
      </c>
      <c r="D1500">
        <v>12</v>
      </c>
      <c r="E1500">
        <v>78759</v>
      </c>
      <c r="F1500">
        <v>5</v>
      </c>
      <c r="G1500">
        <f t="shared" si="23"/>
        <v>8979093</v>
      </c>
    </row>
    <row r="1501" spans="1:7" x14ac:dyDescent="0.25">
      <c r="A1501">
        <v>8983119</v>
      </c>
      <c r="B1501" t="s">
        <v>24798</v>
      </c>
      <c r="C1501">
        <v>0</v>
      </c>
      <c r="D1501">
        <v>1</v>
      </c>
      <c r="E1501">
        <v>1344</v>
      </c>
      <c r="F1501">
        <v>3695</v>
      </c>
      <c r="G1501">
        <f t="shared" si="23"/>
        <v>8983119</v>
      </c>
    </row>
    <row r="1502" spans="1:7" x14ac:dyDescent="0.25">
      <c r="A1502">
        <v>8983893</v>
      </c>
      <c r="B1502" t="s">
        <v>24799</v>
      </c>
      <c r="C1502">
        <v>0</v>
      </c>
      <c r="D1502">
        <v>1</v>
      </c>
      <c r="E1502">
        <v>26</v>
      </c>
      <c r="F1502">
        <v>6433</v>
      </c>
      <c r="G1502">
        <f t="shared" si="23"/>
        <v>8983893</v>
      </c>
    </row>
    <row r="1503" spans="1:7" x14ac:dyDescent="0.25">
      <c r="A1503">
        <v>8985583</v>
      </c>
      <c r="B1503" t="s">
        <v>24800</v>
      </c>
      <c r="C1503">
        <v>277</v>
      </c>
      <c r="D1503">
        <v>0</v>
      </c>
      <c r="E1503">
        <v>0</v>
      </c>
      <c r="F1503">
        <v>7193</v>
      </c>
      <c r="G1503">
        <f t="shared" si="23"/>
        <v>8985583</v>
      </c>
    </row>
    <row r="1504" spans="1:7" x14ac:dyDescent="0.25">
      <c r="A1504">
        <v>8985816</v>
      </c>
      <c r="B1504" t="s">
        <v>36173</v>
      </c>
      <c r="C1504">
        <v>0</v>
      </c>
      <c r="D1504">
        <v>1</v>
      </c>
      <c r="E1504">
        <v>26</v>
      </c>
      <c r="F1504">
        <v>6434</v>
      </c>
      <c r="G1504">
        <f t="shared" si="23"/>
        <v>8985816</v>
      </c>
    </row>
    <row r="1505" spans="1:7" x14ac:dyDescent="0.25">
      <c r="A1505">
        <v>8987776</v>
      </c>
      <c r="B1505" t="s">
        <v>24801</v>
      </c>
      <c r="C1505">
        <v>126</v>
      </c>
      <c r="D1505">
        <v>2</v>
      </c>
      <c r="E1505">
        <v>8654</v>
      </c>
      <c r="F1505">
        <v>1774</v>
      </c>
      <c r="G1505">
        <f t="shared" si="23"/>
        <v>8987776</v>
      </c>
    </row>
    <row r="1506" spans="1:7" x14ac:dyDescent="0.25">
      <c r="A1506">
        <v>8993459</v>
      </c>
      <c r="B1506" t="s">
        <v>36174</v>
      </c>
      <c r="C1506">
        <v>0</v>
      </c>
      <c r="D1506">
        <v>0</v>
      </c>
      <c r="E1506">
        <v>0</v>
      </c>
      <c r="F1506">
        <v>7194</v>
      </c>
      <c r="G1506">
        <f t="shared" si="23"/>
        <v>8993459</v>
      </c>
    </row>
    <row r="1507" spans="1:7" x14ac:dyDescent="0.25">
      <c r="A1507">
        <v>8996017</v>
      </c>
      <c r="B1507" t="s">
        <v>24802</v>
      </c>
      <c r="C1507">
        <v>1960</v>
      </c>
      <c r="D1507">
        <v>2</v>
      </c>
      <c r="E1507">
        <v>2817</v>
      </c>
      <c r="F1507">
        <v>3064</v>
      </c>
      <c r="G1507">
        <f t="shared" si="23"/>
        <v>8996017</v>
      </c>
    </row>
    <row r="1508" spans="1:7" x14ac:dyDescent="0.25">
      <c r="A1508">
        <v>9003808</v>
      </c>
      <c r="B1508" t="s">
        <v>36175</v>
      </c>
      <c r="C1508">
        <v>186</v>
      </c>
      <c r="D1508">
        <v>1</v>
      </c>
      <c r="E1508">
        <v>3635</v>
      </c>
      <c r="F1508">
        <v>2866</v>
      </c>
      <c r="G1508">
        <f t="shared" si="23"/>
        <v>9003808</v>
      </c>
    </row>
    <row r="1509" spans="1:7" x14ac:dyDescent="0.25">
      <c r="A1509">
        <v>9004374</v>
      </c>
      <c r="B1509" t="s">
        <v>24803</v>
      </c>
      <c r="C1509">
        <v>0</v>
      </c>
      <c r="D1509">
        <v>0</v>
      </c>
      <c r="E1509">
        <v>0</v>
      </c>
      <c r="F1509">
        <v>7195</v>
      </c>
      <c r="G1509">
        <f t="shared" si="23"/>
        <v>9004374</v>
      </c>
    </row>
    <row r="1510" spans="1:7" x14ac:dyDescent="0.25">
      <c r="A1510">
        <v>9006912</v>
      </c>
      <c r="B1510" t="s">
        <v>24804</v>
      </c>
      <c r="C1510">
        <v>0</v>
      </c>
      <c r="D1510">
        <v>1</v>
      </c>
      <c r="E1510">
        <v>306</v>
      </c>
      <c r="F1510">
        <v>5108</v>
      </c>
      <c r="G1510">
        <f t="shared" si="23"/>
        <v>9006912</v>
      </c>
    </row>
    <row r="1511" spans="1:7" x14ac:dyDescent="0.25">
      <c r="A1511">
        <v>9008110</v>
      </c>
      <c r="B1511" t="s">
        <v>24805</v>
      </c>
      <c r="C1511">
        <v>156</v>
      </c>
      <c r="D1511">
        <v>0</v>
      </c>
      <c r="E1511">
        <v>0</v>
      </c>
      <c r="F1511">
        <v>7196</v>
      </c>
      <c r="G1511">
        <f t="shared" si="23"/>
        <v>9008110</v>
      </c>
    </row>
    <row r="1512" spans="1:7" x14ac:dyDescent="0.25">
      <c r="A1512">
        <v>9015750</v>
      </c>
      <c r="B1512" t="s">
        <v>36176</v>
      </c>
      <c r="C1512">
        <v>1858</v>
      </c>
      <c r="D1512">
        <v>1</v>
      </c>
      <c r="E1512">
        <v>694</v>
      </c>
      <c r="F1512">
        <v>4352</v>
      </c>
      <c r="G1512">
        <f t="shared" si="23"/>
        <v>9015750</v>
      </c>
    </row>
    <row r="1513" spans="1:7" x14ac:dyDescent="0.25">
      <c r="A1513">
        <v>9016434</v>
      </c>
      <c r="B1513" t="s">
        <v>24806</v>
      </c>
      <c r="C1513">
        <v>333</v>
      </c>
      <c r="D1513">
        <v>1</v>
      </c>
      <c r="E1513">
        <v>4189</v>
      </c>
      <c r="F1513">
        <v>2718</v>
      </c>
      <c r="G1513">
        <f t="shared" si="23"/>
        <v>9016434</v>
      </c>
    </row>
    <row r="1514" spans="1:7" x14ac:dyDescent="0.25">
      <c r="A1514">
        <v>9018075</v>
      </c>
      <c r="B1514" t="s">
        <v>24807</v>
      </c>
      <c r="C1514">
        <v>0</v>
      </c>
      <c r="D1514">
        <v>1</v>
      </c>
      <c r="E1514">
        <v>740</v>
      </c>
      <c r="F1514">
        <v>4294</v>
      </c>
      <c r="G1514">
        <f t="shared" si="23"/>
        <v>9018075</v>
      </c>
    </row>
    <row r="1515" spans="1:7" x14ac:dyDescent="0.25">
      <c r="A1515">
        <v>9018960</v>
      </c>
      <c r="B1515" t="s">
        <v>24808</v>
      </c>
      <c r="C1515">
        <v>0</v>
      </c>
      <c r="D1515">
        <v>0</v>
      </c>
      <c r="E1515">
        <v>0</v>
      </c>
      <c r="F1515">
        <v>7197</v>
      </c>
      <c r="G1515">
        <f t="shared" si="23"/>
        <v>9018960</v>
      </c>
    </row>
    <row r="1516" spans="1:7" x14ac:dyDescent="0.25">
      <c r="A1516">
        <v>9019208</v>
      </c>
      <c r="B1516" t="s">
        <v>24809</v>
      </c>
      <c r="C1516">
        <v>0</v>
      </c>
      <c r="D1516">
        <v>1</v>
      </c>
      <c r="E1516">
        <v>1032</v>
      </c>
      <c r="F1516">
        <v>3959</v>
      </c>
      <c r="G1516">
        <f t="shared" si="23"/>
        <v>9019208</v>
      </c>
    </row>
    <row r="1517" spans="1:7" x14ac:dyDescent="0.25">
      <c r="A1517">
        <v>9019900</v>
      </c>
      <c r="B1517" t="s">
        <v>24810</v>
      </c>
      <c r="C1517">
        <v>15</v>
      </c>
      <c r="D1517">
        <v>0</v>
      </c>
      <c r="E1517">
        <v>0</v>
      </c>
      <c r="F1517">
        <v>7198</v>
      </c>
      <c r="G1517">
        <f t="shared" si="23"/>
        <v>9019900</v>
      </c>
    </row>
    <row r="1518" spans="1:7" x14ac:dyDescent="0.25">
      <c r="A1518">
        <v>9021953</v>
      </c>
      <c r="B1518" t="s">
        <v>24811</v>
      </c>
      <c r="C1518">
        <v>26</v>
      </c>
      <c r="D1518">
        <v>2</v>
      </c>
      <c r="E1518">
        <v>12911</v>
      </c>
      <c r="F1518">
        <v>1178</v>
      </c>
      <c r="G1518">
        <f t="shared" si="23"/>
        <v>9021953</v>
      </c>
    </row>
    <row r="1519" spans="1:7" x14ac:dyDescent="0.25">
      <c r="A1519">
        <v>9025165</v>
      </c>
      <c r="B1519" t="s">
        <v>36177</v>
      </c>
      <c r="C1519">
        <v>0</v>
      </c>
      <c r="D1519">
        <v>1</v>
      </c>
      <c r="E1519">
        <v>338</v>
      </c>
      <c r="F1519">
        <v>5025</v>
      </c>
      <c r="G1519">
        <f t="shared" si="23"/>
        <v>9025165</v>
      </c>
    </row>
    <row r="1520" spans="1:7" x14ac:dyDescent="0.25">
      <c r="A1520">
        <v>9025593</v>
      </c>
      <c r="B1520" t="s">
        <v>24812</v>
      </c>
      <c r="C1520">
        <v>409</v>
      </c>
      <c r="D1520">
        <v>1</v>
      </c>
      <c r="E1520">
        <v>5965</v>
      </c>
      <c r="F1520">
        <v>2281</v>
      </c>
      <c r="G1520">
        <f t="shared" si="23"/>
        <v>9025593</v>
      </c>
    </row>
    <row r="1521" spans="1:7" x14ac:dyDescent="0.25">
      <c r="A1521">
        <v>9026066</v>
      </c>
      <c r="B1521" t="s">
        <v>24813</v>
      </c>
      <c r="C1521">
        <v>20</v>
      </c>
      <c r="D1521">
        <v>11</v>
      </c>
      <c r="E1521">
        <v>61738</v>
      </c>
      <c r="F1521">
        <v>19</v>
      </c>
      <c r="G1521">
        <f t="shared" si="23"/>
        <v>9026066</v>
      </c>
    </row>
    <row r="1522" spans="1:7" x14ac:dyDescent="0.25">
      <c r="A1522">
        <v>9027164</v>
      </c>
      <c r="B1522" t="s">
        <v>24814</v>
      </c>
      <c r="C1522">
        <v>1885</v>
      </c>
      <c r="D1522">
        <v>1</v>
      </c>
      <c r="E1522">
        <v>591</v>
      </c>
      <c r="F1522">
        <v>4480</v>
      </c>
      <c r="G1522">
        <f t="shared" si="23"/>
        <v>9027164</v>
      </c>
    </row>
    <row r="1523" spans="1:7" x14ac:dyDescent="0.25">
      <c r="A1523">
        <v>9027173</v>
      </c>
      <c r="B1523" t="s">
        <v>24815</v>
      </c>
      <c r="C1523">
        <v>0</v>
      </c>
      <c r="D1523">
        <v>1</v>
      </c>
      <c r="E1523">
        <v>236</v>
      </c>
      <c r="F1523">
        <v>5389</v>
      </c>
      <c r="G1523">
        <f t="shared" si="23"/>
        <v>9027173</v>
      </c>
    </row>
    <row r="1524" spans="1:7" x14ac:dyDescent="0.25">
      <c r="A1524">
        <v>9032529</v>
      </c>
      <c r="B1524" t="s">
        <v>36178</v>
      </c>
      <c r="C1524">
        <v>0</v>
      </c>
      <c r="D1524">
        <v>1</v>
      </c>
      <c r="E1524">
        <v>992</v>
      </c>
      <c r="F1524">
        <v>3990</v>
      </c>
      <c r="G1524">
        <f t="shared" si="23"/>
        <v>9032529</v>
      </c>
    </row>
    <row r="1525" spans="1:7" x14ac:dyDescent="0.25">
      <c r="A1525">
        <v>9042651</v>
      </c>
      <c r="B1525" t="s">
        <v>24816</v>
      </c>
      <c r="C1525">
        <v>131</v>
      </c>
      <c r="D1525">
        <v>3</v>
      </c>
      <c r="E1525">
        <v>12449</v>
      </c>
      <c r="F1525">
        <v>1235</v>
      </c>
      <c r="G1525">
        <f t="shared" si="23"/>
        <v>9042651</v>
      </c>
    </row>
    <row r="1526" spans="1:7" x14ac:dyDescent="0.25">
      <c r="A1526">
        <v>9043164</v>
      </c>
      <c r="B1526" t="s">
        <v>24817</v>
      </c>
      <c r="C1526">
        <v>1858</v>
      </c>
      <c r="D1526">
        <v>1</v>
      </c>
      <c r="E1526">
        <v>1089</v>
      </c>
      <c r="F1526">
        <v>3881</v>
      </c>
      <c r="G1526">
        <f t="shared" si="23"/>
        <v>9043164</v>
      </c>
    </row>
    <row r="1527" spans="1:7" x14ac:dyDescent="0.25">
      <c r="A1527">
        <v>9043799</v>
      </c>
      <c r="B1527" t="s">
        <v>24818</v>
      </c>
      <c r="C1527">
        <v>31</v>
      </c>
      <c r="D1527">
        <v>3</v>
      </c>
      <c r="E1527">
        <v>12533</v>
      </c>
      <c r="F1527">
        <v>1231</v>
      </c>
      <c r="G1527">
        <f t="shared" si="23"/>
        <v>9043799</v>
      </c>
    </row>
    <row r="1528" spans="1:7" x14ac:dyDescent="0.25">
      <c r="A1528">
        <v>9045057</v>
      </c>
      <c r="B1528" t="s">
        <v>24819</v>
      </c>
      <c r="C1528">
        <v>0</v>
      </c>
      <c r="D1528">
        <v>1</v>
      </c>
      <c r="E1528">
        <v>352</v>
      </c>
      <c r="F1528">
        <v>4976</v>
      </c>
      <c r="G1528">
        <f t="shared" si="23"/>
        <v>9045057</v>
      </c>
    </row>
    <row r="1529" spans="1:7" x14ac:dyDescent="0.25">
      <c r="A1529">
        <v>9045303</v>
      </c>
      <c r="B1529" t="s">
        <v>36179</v>
      </c>
      <c r="C1529">
        <v>0</v>
      </c>
      <c r="D1529">
        <v>1</v>
      </c>
      <c r="E1529">
        <v>162</v>
      </c>
      <c r="F1529">
        <v>5647</v>
      </c>
      <c r="G1529">
        <f t="shared" si="23"/>
        <v>9045303</v>
      </c>
    </row>
    <row r="1530" spans="1:7" x14ac:dyDescent="0.25">
      <c r="A1530">
        <v>9045629</v>
      </c>
      <c r="B1530" t="s">
        <v>24820</v>
      </c>
      <c r="C1530">
        <v>1867</v>
      </c>
      <c r="D1530">
        <v>1</v>
      </c>
      <c r="E1530">
        <v>969</v>
      </c>
      <c r="F1530">
        <v>4049</v>
      </c>
      <c r="G1530">
        <f t="shared" si="23"/>
        <v>9045629</v>
      </c>
    </row>
    <row r="1531" spans="1:7" x14ac:dyDescent="0.25">
      <c r="A1531">
        <v>9046846</v>
      </c>
      <c r="B1531" t="s">
        <v>24821</v>
      </c>
      <c r="C1531">
        <v>189</v>
      </c>
      <c r="D1531">
        <v>2</v>
      </c>
      <c r="E1531">
        <v>6145</v>
      </c>
      <c r="F1531">
        <v>2245</v>
      </c>
      <c r="G1531">
        <f t="shared" si="23"/>
        <v>9046846</v>
      </c>
    </row>
    <row r="1532" spans="1:7" x14ac:dyDescent="0.25">
      <c r="A1532">
        <v>9048152</v>
      </c>
      <c r="B1532" t="s">
        <v>24822</v>
      </c>
      <c r="C1532">
        <v>882</v>
      </c>
      <c r="D1532">
        <v>0</v>
      </c>
      <c r="E1532">
        <v>0</v>
      </c>
      <c r="F1532">
        <v>7199</v>
      </c>
      <c r="G1532">
        <f t="shared" si="23"/>
        <v>9048152</v>
      </c>
    </row>
    <row r="1533" spans="1:7" x14ac:dyDescent="0.25">
      <c r="A1533">
        <v>9048157</v>
      </c>
      <c r="B1533" t="s">
        <v>24823</v>
      </c>
      <c r="C1533">
        <v>0</v>
      </c>
      <c r="D1533">
        <v>0</v>
      </c>
      <c r="E1533">
        <v>0</v>
      </c>
      <c r="F1533">
        <v>7200</v>
      </c>
      <c r="G1533">
        <f t="shared" si="23"/>
        <v>9048157</v>
      </c>
    </row>
    <row r="1534" spans="1:7" x14ac:dyDescent="0.25">
      <c r="A1534">
        <v>9050389</v>
      </c>
      <c r="B1534" t="s">
        <v>24824</v>
      </c>
      <c r="C1534">
        <v>126</v>
      </c>
      <c r="D1534">
        <v>7</v>
      </c>
      <c r="E1534">
        <v>23465</v>
      </c>
      <c r="F1534">
        <v>457</v>
      </c>
      <c r="G1534">
        <f t="shared" si="23"/>
        <v>9050389</v>
      </c>
    </row>
    <row r="1535" spans="1:7" x14ac:dyDescent="0.25">
      <c r="A1535">
        <v>9053512</v>
      </c>
      <c r="B1535" t="s">
        <v>24825</v>
      </c>
      <c r="C1535">
        <v>0</v>
      </c>
      <c r="D1535">
        <v>1</v>
      </c>
      <c r="E1535">
        <v>293</v>
      </c>
      <c r="F1535">
        <v>5145</v>
      </c>
      <c r="G1535">
        <f t="shared" si="23"/>
        <v>9053512</v>
      </c>
    </row>
    <row r="1536" spans="1:7" x14ac:dyDescent="0.25">
      <c r="A1536">
        <v>9055044</v>
      </c>
      <c r="B1536" t="s">
        <v>36180</v>
      </c>
      <c r="C1536">
        <v>1861</v>
      </c>
      <c r="D1536">
        <v>1</v>
      </c>
      <c r="E1536">
        <v>853</v>
      </c>
      <c r="F1536">
        <v>4138</v>
      </c>
      <c r="G1536">
        <f t="shared" si="23"/>
        <v>9055044</v>
      </c>
    </row>
    <row r="1537" spans="1:7" x14ac:dyDescent="0.25">
      <c r="A1537">
        <v>9055892</v>
      </c>
      <c r="B1537" t="s">
        <v>36181</v>
      </c>
      <c r="C1537">
        <v>0</v>
      </c>
      <c r="D1537">
        <v>1</v>
      </c>
      <c r="E1537">
        <v>855</v>
      </c>
      <c r="F1537">
        <v>4127</v>
      </c>
      <c r="G1537">
        <f t="shared" ref="G1537:G1600" si="24">A1537</f>
        <v>9055892</v>
      </c>
    </row>
    <row r="1538" spans="1:7" x14ac:dyDescent="0.25">
      <c r="A1538">
        <v>9056769</v>
      </c>
      <c r="B1538" t="s">
        <v>24826</v>
      </c>
      <c r="C1538">
        <v>74</v>
      </c>
      <c r="D1538">
        <v>1</v>
      </c>
      <c r="E1538">
        <v>26</v>
      </c>
      <c r="F1538">
        <v>6435</v>
      </c>
      <c r="G1538">
        <f t="shared" si="24"/>
        <v>9056769</v>
      </c>
    </row>
    <row r="1539" spans="1:7" x14ac:dyDescent="0.25">
      <c r="A1539">
        <v>9058777</v>
      </c>
      <c r="B1539" t="s">
        <v>24827</v>
      </c>
      <c r="C1539">
        <v>0</v>
      </c>
      <c r="D1539">
        <v>1</v>
      </c>
      <c r="E1539">
        <v>3363</v>
      </c>
      <c r="F1539">
        <v>2912</v>
      </c>
      <c r="G1539">
        <f t="shared" si="24"/>
        <v>9058777</v>
      </c>
    </row>
    <row r="1540" spans="1:7" x14ac:dyDescent="0.25">
      <c r="A1540">
        <v>9064505</v>
      </c>
      <c r="B1540" t="s">
        <v>24828</v>
      </c>
      <c r="C1540">
        <v>4</v>
      </c>
      <c r="D1540">
        <v>6</v>
      </c>
      <c r="E1540">
        <v>37042</v>
      </c>
      <c r="F1540">
        <v>124</v>
      </c>
      <c r="G1540">
        <f t="shared" si="24"/>
        <v>9064505</v>
      </c>
    </row>
    <row r="1541" spans="1:7" x14ac:dyDescent="0.25">
      <c r="A1541">
        <v>9065687</v>
      </c>
      <c r="B1541" t="s">
        <v>36182</v>
      </c>
      <c r="C1541">
        <v>0</v>
      </c>
      <c r="D1541">
        <v>1</v>
      </c>
      <c r="E1541">
        <v>26</v>
      </c>
      <c r="F1541">
        <v>6436</v>
      </c>
      <c r="G1541">
        <f t="shared" si="24"/>
        <v>9065687</v>
      </c>
    </row>
    <row r="1542" spans="1:7" x14ac:dyDescent="0.25">
      <c r="A1542">
        <v>9068206</v>
      </c>
      <c r="B1542" t="s">
        <v>36183</v>
      </c>
      <c r="C1542">
        <v>1875</v>
      </c>
      <c r="D1542">
        <v>1</v>
      </c>
      <c r="E1542">
        <v>826</v>
      </c>
      <c r="F1542">
        <v>4163</v>
      </c>
      <c r="G1542">
        <f t="shared" si="24"/>
        <v>9068206</v>
      </c>
    </row>
    <row r="1543" spans="1:7" x14ac:dyDescent="0.25">
      <c r="A1543">
        <v>9072236</v>
      </c>
      <c r="B1543" t="s">
        <v>24829</v>
      </c>
      <c r="C1543">
        <v>0</v>
      </c>
      <c r="D1543">
        <v>1</v>
      </c>
      <c r="E1543">
        <v>26</v>
      </c>
      <c r="F1543">
        <v>6437</v>
      </c>
      <c r="G1543">
        <f t="shared" si="24"/>
        <v>9072236</v>
      </c>
    </row>
    <row r="1544" spans="1:7" x14ac:dyDescent="0.25">
      <c r="A1544">
        <v>9076037</v>
      </c>
      <c r="B1544" t="s">
        <v>24830</v>
      </c>
      <c r="C1544">
        <v>1828</v>
      </c>
      <c r="D1544">
        <v>1</v>
      </c>
      <c r="E1544">
        <v>66</v>
      </c>
      <c r="F1544">
        <v>6089</v>
      </c>
      <c r="G1544">
        <f t="shared" si="24"/>
        <v>9076037</v>
      </c>
    </row>
    <row r="1545" spans="1:7" x14ac:dyDescent="0.25">
      <c r="A1545">
        <v>9076801</v>
      </c>
      <c r="B1545" t="s">
        <v>24831</v>
      </c>
      <c r="C1545">
        <v>0</v>
      </c>
      <c r="D1545">
        <v>1</v>
      </c>
      <c r="E1545">
        <v>1458</v>
      </c>
      <c r="F1545">
        <v>3626</v>
      </c>
      <c r="G1545">
        <f t="shared" si="24"/>
        <v>9076801</v>
      </c>
    </row>
    <row r="1546" spans="1:7" x14ac:dyDescent="0.25">
      <c r="A1546">
        <v>9079088</v>
      </c>
      <c r="B1546" t="s">
        <v>24832</v>
      </c>
      <c r="C1546">
        <v>0</v>
      </c>
      <c r="D1546">
        <v>1</v>
      </c>
      <c r="E1546">
        <v>252</v>
      </c>
      <c r="F1546">
        <v>5290</v>
      </c>
      <c r="G1546">
        <f t="shared" si="24"/>
        <v>9079088</v>
      </c>
    </row>
    <row r="1547" spans="1:7" x14ac:dyDescent="0.25">
      <c r="A1547">
        <v>9079678</v>
      </c>
      <c r="B1547" t="s">
        <v>36184</v>
      </c>
      <c r="C1547">
        <v>0</v>
      </c>
      <c r="D1547">
        <v>2</v>
      </c>
      <c r="E1547">
        <v>6209</v>
      </c>
      <c r="F1547">
        <v>2230</v>
      </c>
      <c r="G1547">
        <f t="shared" si="24"/>
        <v>9079678</v>
      </c>
    </row>
    <row r="1548" spans="1:7" x14ac:dyDescent="0.25">
      <c r="A1548">
        <v>9081889</v>
      </c>
      <c r="B1548" t="s">
        <v>24833</v>
      </c>
      <c r="C1548">
        <v>0</v>
      </c>
      <c r="D1548">
        <v>1</v>
      </c>
      <c r="E1548">
        <v>485</v>
      </c>
      <c r="F1548">
        <v>4672</v>
      </c>
      <c r="G1548">
        <f t="shared" si="24"/>
        <v>9081889</v>
      </c>
    </row>
    <row r="1549" spans="1:7" x14ac:dyDescent="0.25">
      <c r="A1549">
        <v>9084754</v>
      </c>
      <c r="B1549" t="s">
        <v>24834</v>
      </c>
      <c r="C1549">
        <v>0</v>
      </c>
      <c r="D1549">
        <v>1</v>
      </c>
      <c r="E1549">
        <v>505</v>
      </c>
      <c r="F1549">
        <v>4620</v>
      </c>
      <c r="G1549">
        <f t="shared" si="24"/>
        <v>9084754</v>
      </c>
    </row>
    <row r="1550" spans="1:7" x14ac:dyDescent="0.25">
      <c r="A1550">
        <v>9085992</v>
      </c>
      <c r="B1550" t="s">
        <v>24835</v>
      </c>
      <c r="C1550">
        <v>0</v>
      </c>
      <c r="D1550">
        <v>1</v>
      </c>
      <c r="E1550">
        <v>26</v>
      </c>
      <c r="F1550">
        <v>6438</v>
      </c>
      <c r="G1550">
        <f t="shared" si="24"/>
        <v>9085992</v>
      </c>
    </row>
    <row r="1551" spans="1:7" x14ac:dyDescent="0.25">
      <c r="A1551">
        <v>9087447</v>
      </c>
      <c r="B1551" t="s">
        <v>24836</v>
      </c>
      <c r="C1551">
        <v>413</v>
      </c>
      <c r="D1551">
        <v>2</v>
      </c>
      <c r="E1551">
        <v>8114</v>
      </c>
      <c r="F1551">
        <v>1857</v>
      </c>
      <c r="G1551">
        <f t="shared" si="24"/>
        <v>9087447</v>
      </c>
    </row>
    <row r="1552" spans="1:7" x14ac:dyDescent="0.25">
      <c r="A1552">
        <v>9088382</v>
      </c>
      <c r="B1552" t="s">
        <v>24837</v>
      </c>
      <c r="C1552">
        <v>0</v>
      </c>
      <c r="D1552">
        <v>1</v>
      </c>
      <c r="E1552">
        <v>272</v>
      </c>
      <c r="F1552">
        <v>5213</v>
      </c>
      <c r="G1552">
        <f t="shared" si="24"/>
        <v>9088382</v>
      </c>
    </row>
    <row r="1553" spans="1:7" x14ac:dyDescent="0.25">
      <c r="A1553">
        <v>9088940</v>
      </c>
      <c r="B1553" t="s">
        <v>24838</v>
      </c>
      <c r="C1553">
        <v>0</v>
      </c>
      <c r="D1553">
        <v>1</v>
      </c>
      <c r="E1553">
        <v>936</v>
      </c>
      <c r="F1553">
        <v>4056</v>
      </c>
      <c r="G1553">
        <f t="shared" si="24"/>
        <v>9088940</v>
      </c>
    </row>
    <row r="1554" spans="1:7" x14ac:dyDescent="0.25">
      <c r="A1554">
        <v>9090528</v>
      </c>
      <c r="B1554" t="s">
        <v>24839</v>
      </c>
      <c r="C1554">
        <v>0</v>
      </c>
      <c r="D1554">
        <v>1</v>
      </c>
      <c r="E1554">
        <v>705</v>
      </c>
      <c r="F1554">
        <v>4336</v>
      </c>
      <c r="G1554">
        <f t="shared" si="24"/>
        <v>9090528</v>
      </c>
    </row>
    <row r="1555" spans="1:7" x14ac:dyDescent="0.25">
      <c r="A1555">
        <v>9090972</v>
      </c>
      <c r="B1555" t="s">
        <v>24840</v>
      </c>
      <c r="C1555">
        <v>0</v>
      </c>
      <c r="D1555">
        <v>1</v>
      </c>
      <c r="E1555">
        <v>172</v>
      </c>
      <c r="F1555">
        <v>5607</v>
      </c>
      <c r="G1555">
        <f t="shared" si="24"/>
        <v>9090972</v>
      </c>
    </row>
    <row r="1556" spans="1:7" x14ac:dyDescent="0.25">
      <c r="A1556">
        <v>9096975</v>
      </c>
      <c r="B1556" t="s">
        <v>37121</v>
      </c>
      <c r="C1556">
        <v>494</v>
      </c>
      <c r="D1556">
        <v>1</v>
      </c>
      <c r="E1556">
        <v>26</v>
      </c>
      <c r="F1556">
        <v>6439</v>
      </c>
      <c r="G1556">
        <f t="shared" si="24"/>
        <v>9096975</v>
      </c>
    </row>
    <row r="1557" spans="1:7" x14ac:dyDescent="0.25">
      <c r="A1557">
        <v>9099199</v>
      </c>
      <c r="B1557" t="s">
        <v>24841</v>
      </c>
      <c r="C1557">
        <v>0</v>
      </c>
      <c r="D1557">
        <v>1</v>
      </c>
      <c r="E1557">
        <v>1321</v>
      </c>
      <c r="F1557">
        <v>3712</v>
      </c>
      <c r="G1557">
        <f t="shared" si="24"/>
        <v>9099199</v>
      </c>
    </row>
    <row r="1558" spans="1:7" x14ac:dyDescent="0.25">
      <c r="A1558">
        <v>9101668</v>
      </c>
      <c r="B1558" t="s">
        <v>36185</v>
      </c>
      <c r="C1558">
        <v>0</v>
      </c>
      <c r="D1558">
        <v>1</v>
      </c>
      <c r="E1558">
        <v>476</v>
      </c>
      <c r="F1558">
        <v>4711</v>
      </c>
      <c r="G1558">
        <f t="shared" si="24"/>
        <v>9101668</v>
      </c>
    </row>
    <row r="1559" spans="1:7" x14ac:dyDescent="0.25">
      <c r="A1559">
        <v>9101768</v>
      </c>
      <c r="B1559" t="s">
        <v>24842</v>
      </c>
      <c r="C1559">
        <v>578</v>
      </c>
      <c r="D1559">
        <v>4</v>
      </c>
      <c r="E1559">
        <v>21938</v>
      </c>
      <c r="F1559">
        <v>527</v>
      </c>
      <c r="G1559">
        <f t="shared" si="24"/>
        <v>9101768</v>
      </c>
    </row>
    <row r="1560" spans="1:7" x14ac:dyDescent="0.25">
      <c r="A1560">
        <v>9102689</v>
      </c>
      <c r="B1560" t="s">
        <v>24843</v>
      </c>
      <c r="C1560">
        <v>179</v>
      </c>
      <c r="D1560">
        <v>2</v>
      </c>
      <c r="E1560">
        <v>4591</v>
      </c>
      <c r="F1560">
        <v>2598</v>
      </c>
      <c r="G1560">
        <f t="shared" si="24"/>
        <v>9102689</v>
      </c>
    </row>
    <row r="1561" spans="1:7" x14ac:dyDescent="0.25">
      <c r="A1561">
        <v>9108586</v>
      </c>
      <c r="B1561" t="s">
        <v>24844</v>
      </c>
      <c r="C1561">
        <v>1413</v>
      </c>
      <c r="D1561">
        <v>2</v>
      </c>
      <c r="E1561">
        <v>5960</v>
      </c>
      <c r="F1561">
        <v>2284</v>
      </c>
      <c r="G1561">
        <f t="shared" si="24"/>
        <v>9108586</v>
      </c>
    </row>
    <row r="1562" spans="1:7" x14ac:dyDescent="0.25">
      <c r="A1562">
        <v>9112034</v>
      </c>
      <c r="B1562" t="s">
        <v>24845</v>
      </c>
      <c r="C1562">
        <v>0</v>
      </c>
      <c r="D1562">
        <v>1</v>
      </c>
      <c r="E1562">
        <v>51</v>
      </c>
      <c r="F1562">
        <v>6159</v>
      </c>
      <c r="G1562">
        <f t="shared" si="24"/>
        <v>9112034</v>
      </c>
    </row>
    <row r="1563" spans="1:7" x14ac:dyDescent="0.25">
      <c r="A1563">
        <v>9113295</v>
      </c>
      <c r="B1563" t="s">
        <v>24846</v>
      </c>
      <c r="C1563">
        <v>0</v>
      </c>
      <c r="D1563">
        <v>1</v>
      </c>
      <c r="E1563">
        <v>223</v>
      </c>
      <c r="F1563">
        <v>5419</v>
      </c>
      <c r="G1563">
        <f t="shared" si="24"/>
        <v>9113295</v>
      </c>
    </row>
    <row r="1564" spans="1:7" x14ac:dyDescent="0.25">
      <c r="A1564">
        <v>9113845</v>
      </c>
      <c r="B1564" t="s">
        <v>24847</v>
      </c>
      <c r="C1564">
        <v>1357</v>
      </c>
      <c r="D1564">
        <v>1</v>
      </c>
      <c r="E1564">
        <v>104</v>
      </c>
      <c r="F1564">
        <v>5831</v>
      </c>
      <c r="G1564">
        <f t="shared" si="24"/>
        <v>9113845</v>
      </c>
    </row>
    <row r="1565" spans="1:7" x14ac:dyDescent="0.25">
      <c r="A1565">
        <v>9113869</v>
      </c>
      <c r="B1565" t="s">
        <v>24848</v>
      </c>
      <c r="C1565">
        <v>151</v>
      </c>
      <c r="D1565">
        <v>1</v>
      </c>
      <c r="E1565">
        <v>151</v>
      </c>
      <c r="F1565">
        <v>5694</v>
      </c>
      <c r="G1565">
        <f t="shared" si="24"/>
        <v>9113869</v>
      </c>
    </row>
    <row r="1566" spans="1:7" x14ac:dyDescent="0.25">
      <c r="A1566">
        <v>9115889</v>
      </c>
      <c r="B1566" t="s">
        <v>36992</v>
      </c>
      <c r="C1566">
        <v>541</v>
      </c>
      <c r="D1566">
        <v>2</v>
      </c>
      <c r="E1566">
        <v>12128</v>
      </c>
      <c r="F1566">
        <v>1265</v>
      </c>
      <c r="G1566">
        <f t="shared" si="24"/>
        <v>9115889</v>
      </c>
    </row>
    <row r="1567" spans="1:7" x14ac:dyDescent="0.25">
      <c r="A1567">
        <v>9116012</v>
      </c>
      <c r="B1567" t="s">
        <v>24849</v>
      </c>
      <c r="C1567">
        <v>0</v>
      </c>
      <c r="D1567">
        <v>1</v>
      </c>
      <c r="E1567">
        <v>70</v>
      </c>
      <c r="F1567">
        <v>6063</v>
      </c>
      <c r="G1567">
        <f t="shared" si="24"/>
        <v>9116012</v>
      </c>
    </row>
    <row r="1568" spans="1:7" x14ac:dyDescent="0.25">
      <c r="A1568">
        <v>9122692</v>
      </c>
      <c r="B1568" t="s">
        <v>36186</v>
      </c>
      <c r="C1568">
        <v>160</v>
      </c>
      <c r="D1568">
        <v>5</v>
      </c>
      <c r="E1568">
        <v>27228</v>
      </c>
      <c r="F1568">
        <v>324</v>
      </c>
      <c r="G1568">
        <f t="shared" si="24"/>
        <v>9122692</v>
      </c>
    </row>
    <row r="1569" spans="1:7" x14ac:dyDescent="0.25">
      <c r="A1569">
        <v>9132493</v>
      </c>
      <c r="B1569" t="s">
        <v>36187</v>
      </c>
      <c r="C1569">
        <v>259</v>
      </c>
      <c r="D1569">
        <v>6</v>
      </c>
      <c r="E1569">
        <v>37097</v>
      </c>
      <c r="F1569">
        <v>121</v>
      </c>
      <c r="G1569">
        <f t="shared" si="24"/>
        <v>9132493</v>
      </c>
    </row>
    <row r="1570" spans="1:7" x14ac:dyDescent="0.25">
      <c r="A1570">
        <v>9133635</v>
      </c>
      <c r="B1570" t="s">
        <v>24850</v>
      </c>
      <c r="C1570">
        <v>0</v>
      </c>
      <c r="D1570">
        <v>0</v>
      </c>
      <c r="E1570">
        <v>0</v>
      </c>
      <c r="F1570">
        <v>7201</v>
      </c>
      <c r="G1570">
        <f t="shared" si="24"/>
        <v>9133635</v>
      </c>
    </row>
    <row r="1571" spans="1:7" x14ac:dyDescent="0.25">
      <c r="A1571">
        <v>9134245</v>
      </c>
      <c r="B1571" t="s">
        <v>24851</v>
      </c>
      <c r="C1571">
        <v>1944</v>
      </c>
      <c r="D1571">
        <v>1</v>
      </c>
      <c r="E1571">
        <v>490</v>
      </c>
      <c r="F1571">
        <v>4673</v>
      </c>
      <c r="G1571">
        <f t="shared" si="24"/>
        <v>9134245</v>
      </c>
    </row>
    <row r="1572" spans="1:7" x14ac:dyDescent="0.25">
      <c r="A1572">
        <v>9137297</v>
      </c>
      <c r="B1572" t="s">
        <v>36188</v>
      </c>
      <c r="C1572">
        <v>443</v>
      </c>
      <c r="D1572">
        <v>0</v>
      </c>
      <c r="E1572">
        <v>0</v>
      </c>
      <c r="F1572">
        <v>7202</v>
      </c>
      <c r="G1572">
        <f t="shared" si="24"/>
        <v>9137297</v>
      </c>
    </row>
    <row r="1573" spans="1:7" x14ac:dyDescent="0.25">
      <c r="A1573">
        <v>9139676</v>
      </c>
      <c r="B1573" t="s">
        <v>24852</v>
      </c>
      <c r="C1573">
        <v>422</v>
      </c>
      <c r="D1573">
        <v>3</v>
      </c>
      <c r="E1573">
        <v>19500</v>
      </c>
      <c r="F1573">
        <v>654</v>
      </c>
      <c r="G1573">
        <f t="shared" si="24"/>
        <v>9139676</v>
      </c>
    </row>
    <row r="1574" spans="1:7" x14ac:dyDescent="0.25">
      <c r="A1574">
        <v>9139870</v>
      </c>
      <c r="B1574" t="s">
        <v>36189</v>
      </c>
      <c r="C1574">
        <v>0</v>
      </c>
      <c r="D1574">
        <v>0</v>
      </c>
      <c r="E1574">
        <v>0</v>
      </c>
      <c r="F1574">
        <v>7203</v>
      </c>
      <c r="G1574">
        <f t="shared" si="24"/>
        <v>9139870</v>
      </c>
    </row>
    <row r="1575" spans="1:7" x14ac:dyDescent="0.25">
      <c r="A1575">
        <v>9143388</v>
      </c>
      <c r="B1575" t="s">
        <v>24853</v>
      </c>
      <c r="C1575">
        <v>617</v>
      </c>
      <c r="D1575">
        <v>2</v>
      </c>
      <c r="E1575">
        <v>9686</v>
      </c>
      <c r="F1575">
        <v>1625</v>
      </c>
      <c r="G1575">
        <f t="shared" si="24"/>
        <v>9143388</v>
      </c>
    </row>
    <row r="1576" spans="1:7" x14ac:dyDescent="0.25">
      <c r="A1576">
        <v>9145635</v>
      </c>
      <c r="B1576" t="s">
        <v>24854</v>
      </c>
      <c r="C1576">
        <v>138</v>
      </c>
      <c r="D1576">
        <v>2</v>
      </c>
      <c r="E1576">
        <v>7569</v>
      </c>
      <c r="F1576">
        <v>1968</v>
      </c>
      <c r="G1576">
        <f t="shared" si="24"/>
        <v>9145635</v>
      </c>
    </row>
    <row r="1577" spans="1:7" x14ac:dyDescent="0.25">
      <c r="A1577">
        <v>9146835</v>
      </c>
      <c r="B1577" t="s">
        <v>24855</v>
      </c>
      <c r="C1577">
        <v>1535</v>
      </c>
      <c r="D1577">
        <v>2</v>
      </c>
      <c r="E1577">
        <v>6522</v>
      </c>
      <c r="F1577">
        <v>2170</v>
      </c>
      <c r="G1577">
        <f t="shared" si="24"/>
        <v>9146835</v>
      </c>
    </row>
    <row r="1578" spans="1:7" x14ac:dyDescent="0.25">
      <c r="A1578">
        <v>9155090</v>
      </c>
      <c r="B1578" t="s">
        <v>37261</v>
      </c>
      <c r="C1578">
        <v>190</v>
      </c>
      <c r="D1578">
        <v>1</v>
      </c>
      <c r="E1578">
        <v>56</v>
      </c>
      <c r="F1578">
        <v>6121</v>
      </c>
      <c r="G1578">
        <f t="shared" si="24"/>
        <v>9155090</v>
      </c>
    </row>
    <row r="1579" spans="1:7" x14ac:dyDescent="0.25">
      <c r="A1579">
        <v>9157203</v>
      </c>
      <c r="B1579" t="s">
        <v>36190</v>
      </c>
      <c r="C1579">
        <v>0</v>
      </c>
      <c r="D1579">
        <v>0</v>
      </c>
      <c r="E1579">
        <v>0</v>
      </c>
      <c r="F1579">
        <v>7204</v>
      </c>
      <c r="G1579">
        <f t="shared" si="24"/>
        <v>9157203</v>
      </c>
    </row>
    <row r="1580" spans="1:7" x14ac:dyDescent="0.25">
      <c r="A1580">
        <v>9158239</v>
      </c>
      <c r="B1580" t="s">
        <v>1981</v>
      </c>
      <c r="C1580">
        <v>0</v>
      </c>
      <c r="D1580">
        <v>0</v>
      </c>
      <c r="E1580">
        <v>0</v>
      </c>
      <c r="F1580">
        <v>7205</v>
      </c>
      <c r="G1580">
        <f t="shared" si="24"/>
        <v>9158239</v>
      </c>
    </row>
    <row r="1581" spans="1:7" x14ac:dyDescent="0.25">
      <c r="A1581">
        <v>9159245</v>
      </c>
      <c r="B1581" t="s">
        <v>24856</v>
      </c>
      <c r="C1581">
        <v>1946</v>
      </c>
      <c r="D1581">
        <v>1</v>
      </c>
      <c r="E1581">
        <v>62</v>
      </c>
      <c r="F1581">
        <v>6106</v>
      </c>
      <c r="G1581">
        <f t="shared" si="24"/>
        <v>9159245</v>
      </c>
    </row>
    <row r="1582" spans="1:7" x14ac:dyDescent="0.25">
      <c r="A1582">
        <v>9164856</v>
      </c>
      <c r="B1582" t="s">
        <v>24857</v>
      </c>
      <c r="C1582">
        <v>595</v>
      </c>
      <c r="D1582">
        <v>1</v>
      </c>
      <c r="E1582">
        <v>386</v>
      </c>
      <c r="F1582">
        <v>4882</v>
      </c>
      <c r="G1582">
        <f t="shared" si="24"/>
        <v>9164856</v>
      </c>
    </row>
    <row r="1583" spans="1:7" x14ac:dyDescent="0.25">
      <c r="A1583">
        <v>9165284</v>
      </c>
      <c r="B1583" t="s">
        <v>24858</v>
      </c>
      <c r="C1583">
        <v>0</v>
      </c>
      <c r="D1583">
        <v>0</v>
      </c>
      <c r="E1583">
        <v>0</v>
      </c>
      <c r="F1583">
        <v>7206</v>
      </c>
      <c r="G1583">
        <f t="shared" si="24"/>
        <v>9165284</v>
      </c>
    </row>
    <row r="1584" spans="1:7" x14ac:dyDescent="0.25">
      <c r="A1584">
        <v>9166822</v>
      </c>
      <c r="B1584" t="s">
        <v>37122</v>
      </c>
      <c r="C1584">
        <v>0</v>
      </c>
      <c r="D1584">
        <v>1</v>
      </c>
      <c r="E1584">
        <v>116</v>
      </c>
      <c r="F1584">
        <v>5795</v>
      </c>
      <c r="G1584">
        <f t="shared" si="24"/>
        <v>9166822</v>
      </c>
    </row>
    <row r="1585" spans="1:7" x14ac:dyDescent="0.25">
      <c r="A1585">
        <v>9168836</v>
      </c>
      <c r="B1585" t="s">
        <v>24859</v>
      </c>
      <c r="C1585">
        <v>643</v>
      </c>
      <c r="D1585">
        <v>6</v>
      </c>
      <c r="E1585">
        <v>33424</v>
      </c>
      <c r="F1585">
        <v>174</v>
      </c>
      <c r="G1585">
        <f t="shared" si="24"/>
        <v>9168836</v>
      </c>
    </row>
    <row r="1586" spans="1:7" x14ac:dyDescent="0.25">
      <c r="A1586">
        <v>9170540</v>
      </c>
      <c r="B1586" t="s">
        <v>37123</v>
      </c>
      <c r="C1586">
        <v>45</v>
      </c>
      <c r="D1586">
        <v>1</v>
      </c>
      <c r="E1586">
        <v>1800</v>
      </c>
      <c r="F1586">
        <v>3391</v>
      </c>
      <c r="G1586">
        <f t="shared" si="24"/>
        <v>9170540</v>
      </c>
    </row>
    <row r="1587" spans="1:7" x14ac:dyDescent="0.25">
      <c r="A1587">
        <v>9173861</v>
      </c>
      <c r="B1587" t="s">
        <v>24860</v>
      </c>
      <c r="C1587">
        <v>4</v>
      </c>
      <c r="D1587">
        <v>7</v>
      </c>
      <c r="E1587">
        <v>29249</v>
      </c>
      <c r="F1587">
        <v>261</v>
      </c>
      <c r="G1587">
        <f t="shared" si="24"/>
        <v>9173861</v>
      </c>
    </row>
    <row r="1588" spans="1:7" x14ac:dyDescent="0.25">
      <c r="A1588">
        <v>9175535</v>
      </c>
      <c r="B1588" t="s">
        <v>24861</v>
      </c>
      <c r="C1588">
        <v>301</v>
      </c>
      <c r="D1588">
        <v>0</v>
      </c>
      <c r="E1588">
        <v>0</v>
      </c>
      <c r="F1588">
        <v>7207</v>
      </c>
      <c r="G1588">
        <f t="shared" si="24"/>
        <v>9175535</v>
      </c>
    </row>
    <row r="1589" spans="1:7" x14ac:dyDescent="0.25">
      <c r="A1589">
        <v>9178540</v>
      </c>
      <c r="B1589" t="s">
        <v>24862</v>
      </c>
      <c r="C1589">
        <v>0</v>
      </c>
      <c r="D1589">
        <v>1</v>
      </c>
      <c r="E1589">
        <v>57</v>
      </c>
      <c r="F1589">
        <v>6114</v>
      </c>
      <c r="G1589">
        <f t="shared" si="24"/>
        <v>9178540</v>
      </c>
    </row>
    <row r="1590" spans="1:7" x14ac:dyDescent="0.25">
      <c r="A1590">
        <v>9180442</v>
      </c>
      <c r="B1590" t="s">
        <v>24863</v>
      </c>
      <c r="C1590">
        <v>0</v>
      </c>
      <c r="D1590">
        <v>1</v>
      </c>
      <c r="E1590">
        <v>128</v>
      </c>
      <c r="F1590">
        <v>5775</v>
      </c>
      <c r="G1590">
        <f t="shared" si="24"/>
        <v>9180442</v>
      </c>
    </row>
    <row r="1591" spans="1:7" x14ac:dyDescent="0.25">
      <c r="A1591">
        <v>9182327</v>
      </c>
      <c r="B1591" t="s">
        <v>37262</v>
      </c>
      <c r="C1591">
        <v>1752</v>
      </c>
      <c r="D1591">
        <v>1</v>
      </c>
      <c r="E1591">
        <v>858</v>
      </c>
      <c r="F1591">
        <v>4148</v>
      </c>
      <c r="G1591">
        <f t="shared" si="24"/>
        <v>9182327</v>
      </c>
    </row>
    <row r="1592" spans="1:7" x14ac:dyDescent="0.25">
      <c r="A1592">
        <v>9183503</v>
      </c>
      <c r="B1592" t="s">
        <v>24864</v>
      </c>
      <c r="C1592">
        <v>0</v>
      </c>
      <c r="D1592">
        <v>0</v>
      </c>
      <c r="E1592">
        <v>0</v>
      </c>
      <c r="F1592">
        <v>7208</v>
      </c>
      <c r="G1592">
        <f t="shared" si="24"/>
        <v>9183503</v>
      </c>
    </row>
    <row r="1593" spans="1:7" x14ac:dyDescent="0.25">
      <c r="A1593">
        <v>9184594</v>
      </c>
      <c r="B1593" t="s">
        <v>36191</v>
      </c>
      <c r="C1593">
        <v>1708</v>
      </c>
      <c r="D1593">
        <v>1</v>
      </c>
      <c r="E1593">
        <v>1325</v>
      </c>
      <c r="F1593">
        <v>3707</v>
      </c>
      <c r="G1593">
        <f t="shared" si="24"/>
        <v>9184594</v>
      </c>
    </row>
    <row r="1594" spans="1:7" x14ac:dyDescent="0.25">
      <c r="A1594">
        <v>9186675</v>
      </c>
      <c r="B1594" t="s">
        <v>24865</v>
      </c>
      <c r="C1594">
        <v>39</v>
      </c>
      <c r="D1594">
        <v>1</v>
      </c>
      <c r="E1594">
        <v>4449</v>
      </c>
      <c r="F1594">
        <v>2638</v>
      </c>
      <c r="G1594">
        <f t="shared" si="24"/>
        <v>9186675</v>
      </c>
    </row>
    <row r="1595" spans="1:7" x14ac:dyDescent="0.25">
      <c r="A1595">
        <v>9186810</v>
      </c>
      <c r="B1595" t="s">
        <v>24866</v>
      </c>
      <c r="C1595">
        <v>0</v>
      </c>
      <c r="D1595">
        <v>1</v>
      </c>
      <c r="E1595">
        <v>224</v>
      </c>
      <c r="F1595">
        <v>5411</v>
      </c>
      <c r="G1595">
        <f t="shared" si="24"/>
        <v>9186810</v>
      </c>
    </row>
    <row r="1596" spans="1:7" x14ac:dyDescent="0.25">
      <c r="A1596">
        <v>9187554</v>
      </c>
      <c r="B1596" t="s">
        <v>24867</v>
      </c>
      <c r="C1596">
        <v>1888</v>
      </c>
      <c r="D1596">
        <v>2</v>
      </c>
      <c r="E1596">
        <v>7984</v>
      </c>
      <c r="F1596">
        <v>1883</v>
      </c>
      <c r="G1596">
        <f t="shared" si="24"/>
        <v>9187554</v>
      </c>
    </row>
    <row r="1597" spans="1:7" x14ac:dyDescent="0.25">
      <c r="A1597">
        <v>9190168</v>
      </c>
      <c r="B1597" t="s">
        <v>24868</v>
      </c>
      <c r="C1597">
        <v>0</v>
      </c>
      <c r="D1597">
        <v>0</v>
      </c>
      <c r="E1597">
        <v>0</v>
      </c>
      <c r="F1597">
        <v>7209</v>
      </c>
      <c r="G1597">
        <f t="shared" si="24"/>
        <v>9190168</v>
      </c>
    </row>
    <row r="1598" spans="1:7" x14ac:dyDescent="0.25">
      <c r="A1598">
        <v>9190490</v>
      </c>
      <c r="B1598" t="s">
        <v>36192</v>
      </c>
      <c r="C1598">
        <v>301</v>
      </c>
      <c r="D1598">
        <v>1</v>
      </c>
      <c r="E1598">
        <v>1288</v>
      </c>
      <c r="F1598">
        <v>3756</v>
      </c>
      <c r="G1598">
        <f t="shared" si="24"/>
        <v>9190490</v>
      </c>
    </row>
    <row r="1599" spans="1:7" x14ac:dyDescent="0.25">
      <c r="A1599">
        <v>9190648</v>
      </c>
      <c r="B1599" t="s">
        <v>24869</v>
      </c>
      <c r="C1599">
        <v>424</v>
      </c>
      <c r="D1599">
        <v>2</v>
      </c>
      <c r="E1599">
        <v>8059</v>
      </c>
      <c r="F1599">
        <v>1869</v>
      </c>
      <c r="G1599">
        <f t="shared" si="24"/>
        <v>9190648</v>
      </c>
    </row>
    <row r="1600" spans="1:7" x14ac:dyDescent="0.25">
      <c r="A1600">
        <v>9194341</v>
      </c>
      <c r="B1600" t="s">
        <v>37217</v>
      </c>
      <c r="C1600">
        <v>138</v>
      </c>
      <c r="D1600">
        <v>4</v>
      </c>
      <c r="E1600">
        <v>19348</v>
      </c>
      <c r="F1600">
        <v>676</v>
      </c>
      <c r="G1600">
        <f t="shared" si="24"/>
        <v>9194341</v>
      </c>
    </row>
    <row r="1601" spans="1:7" x14ac:dyDescent="0.25">
      <c r="A1601">
        <v>9195185</v>
      </c>
      <c r="B1601" t="s">
        <v>36193</v>
      </c>
      <c r="C1601">
        <v>1430</v>
      </c>
      <c r="D1601">
        <v>0</v>
      </c>
      <c r="E1601">
        <v>0</v>
      </c>
      <c r="F1601">
        <v>7210</v>
      </c>
      <c r="G1601">
        <f t="shared" ref="G1601:G1664" si="25">A1601</f>
        <v>9195185</v>
      </c>
    </row>
    <row r="1602" spans="1:7" x14ac:dyDescent="0.25">
      <c r="A1602">
        <v>9195987</v>
      </c>
      <c r="B1602" t="s">
        <v>24870</v>
      </c>
      <c r="C1602">
        <v>494</v>
      </c>
      <c r="D1602">
        <v>3</v>
      </c>
      <c r="E1602">
        <v>13673</v>
      </c>
      <c r="F1602">
        <v>1105</v>
      </c>
      <c r="G1602">
        <f t="shared" si="25"/>
        <v>9195987</v>
      </c>
    </row>
    <row r="1603" spans="1:7" x14ac:dyDescent="0.25">
      <c r="A1603">
        <v>9200868</v>
      </c>
      <c r="B1603" t="s">
        <v>36194</v>
      </c>
      <c r="C1603">
        <v>0</v>
      </c>
      <c r="D1603">
        <v>1</v>
      </c>
      <c r="E1603">
        <v>26</v>
      </c>
      <c r="F1603">
        <v>6440</v>
      </c>
      <c r="G1603">
        <f t="shared" si="25"/>
        <v>9200868</v>
      </c>
    </row>
    <row r="1604" spans="1:7" x14ac:dyDescent="0.25">
      <c r="A1604">
        <v>9202328</v>
      </c>
      <c r="B1604" t="s">
        <v>24871</v>
      </c>
      <c r="C1604">
        <v>179</v>
      </c>
      <c r="D1604">
        <v>1</v>
      </c>
      <c r="E1604">
        <v>4183</v>
      </c>
      <c r="F1604">
        <v>2722</v>
      </c>
      <c r="G1604">
        <f t="shared" si="25"/>
        <v>9202328</v>
      </c>
    </row>
    <row r="1605" spans="1:7" x14ac:dyDescent="0.25">
      <c r="A1605">
        <v>9202979</v>
      </c>
      <c r="B1605" t="s">
        <v>24872</v>
      </c>
      <c r="C1605">
        <v>367</v>
      </c>
      <c r="D1605">
        <v>3</v>
      </c>
      <c r="E1605">
        <v>17838</v>
      </c>
      <c r="F1605">
        <v>763</v>
      </c>
      <c r="G1605">
        <f t="shared" si="25"/>
        <v>9202979</v>
      </c>
    </row>
    <row r="1606" spans="1:7" x14ac:dyDescent="0.25">
      <c r="A1606">
        <v>9203302</v>
      </c>
      <c r="B1606" t="s">
        <v>24873</v>
      </c>
      <c r="C1606">
        <v>1837</v>
      </c>
      <c r="D1606">
        <v>1</v>
      </c>
      <c r="E1606">
        <v>383</v>
      </c>
      <c r="F1606">
        <v>4891</v>
      </c>
      <c r="G1606">
        <f t="shared" si="25"/>
        <v>9203302</v>
      </c>
    </row>
    <row r="1607" spans="1:7" x14ac:dyDescent="0.25">
      <c r="A1607">
        <v>9203662</v>
      </c>
      <c r="B1607" t="s">
        <v>24874</v>
      </c>
      <c r="C1607">
        <v>0</v>
      </c>
      <c r="D1607">
        <v>1</v>
      </c>
      <c r="E1607">
        <v>3162</v>
      </c>
      <c r="F1607">
        <v>2953</v>
      </c>
      <c r="G1607">
        <f t="shared" si="25"/>
        <v>9203662</v>
      </c>
    </row>
    <row r="1608" spans="1:7" x14ac:dyDescent="0.25">
      <c r="A1608">
        <v>9208411</v>
      </c>
      <c r="B1608" t="s">
        <v>24875</v>
      </c>
      <c r="C1608">
        <v>0</v>
      </c>
      <c r="D1608">
        <v>0</v>
      </c>
      <c r="E1608">
        <v>0</v>
      </c>
      <c r="F1608">
        <v>7211</v>
      </c>
      <c r="G1608">
        <f t="shared" si="25"/>
        <v>9208411</v>
      </c>
    </row>
    <row r="1609" spans="1:7" x14ac:dyDescent="0.25">
      <c r="A1609">
        <v>9208545</v>
      </c>
      <c r="B1609" t="s">
        <v>24876</v>
      </c>
      <c r="C1609">
        <v>0</v>
      </c>
      <c r="D1609">
        <v>0</v>
      </c>
      <c r="E1609">
        <v>0</v>
      </c>
      <c r="F1609">
        <v>7212</v>
      </c>
      <c r="G1609">
        <f t="shared" si="25"/>
        <v>9208545</v>
      </c>
    </row>
    <row r="1610" spans="1:7" x14ac:dyDescent="0.25">
      <c r="A1610">
        <v>9209107</v>
      </c>
      <c r="B1610" t="s">
        <v>36195</v>
      </c>
      <c r="C1610">
        <v>0</v>
      </c>
      <c r="D1610">
        <v>1</v>
      </c>
      <c r="E1610">
        <v>2079</v>
      </c>
      <c r="F1610">
        <v>3300</v>
      </c>
      <c r="G1610">
        <f t="shared" si="25"/>
        <v>9209107</v>
      </c>
    </row>
    <row r="1611" spans="1:7" x14ac:dyDescent="0.25">
      <c r="A1611">
        <v>9209997</v>
      </c>
      <c r="B1611" t="s">
        <v>24877</v>
      </c>
      <c r="C1611">
        <v>424</v>
      </c>
      <c r="D1611">
        <v>3</v>
      </c>
      <c r="E1611">
        <v>13281</v>
      </c>
      <c r="F1611">
        <v>1141</v>
      </c>
      <c r="G1611">
        <f t="shared" si="25"/>
        <v>9209997</v>
      </c>
    </row>
    <row r="1612" spans="1:7" x14ac:dyDescent="0.25">
      <c r="A1612">
        <v>9212920</v>
      </c>
      <c r="B1612" t="s">
        <v>24878</v>
      </c>
      <c r="C1612">
        <v>0</v>
      </c>
      <c r="D1612">
        <v>1</v>
      </c>
      <c r="E1612">
        <v>553</v>
      </c>
      <c r="F1612">
        <v>4561</v>
      </c>
      <c r="G1612">
        <f t="shared" si="25"/>
        <v>9212920</v>
      </c>
    </row>
    <row r="1613" spans="1:7" x14ac:dyDescent="0.25">
      <c r="A1613">
        <v>9213593</v>
      </c>
      <c r="B1613" t="s">
        <v>36196</v>
      </c>
      <c r="C1613">
        <v>0</v>
      </c>
      <c r="D1613">
        <v>1</v>
      </c>
      <c r="E1613">
        <v>697</v>
      </c>
      <c r="F1613">
        <v>4348</v>
      </c>
      <c r="G1613">
        <f t="shared" si="25"/>
        <v>9213593</v>
      </c>
    </row>
    <row r="1614" spans="1:7" x14ac:dyDescent="0.25">
      <c r="A1614">
        <v>9215276</v>
      </c>
      <c r="B1614" t="s">
        <v>24879</v>
      </c>
      <c r="C1614">
        <v>0</v>
      </c>
      <c r="D1614">
        <v>1</v>
      </c>
      <c r="E1614">
        <v>197</v>
      </c>
      <c r="F1614">
        <v>5536</v>
      </c>
      <c r="G1614">
        <f t="shared" si="25"/>
        <v>9215276</v>
      </c>
    </row>
    <row r="1615" spans="1:7" x14ac:dyDescent="0.25">
      <c r="A1615">
        <v>9215753</v>
      </c>
      <c r="B1615" t="s">
        <v>24880</v>
      </c>
      <c r="C1615">
        <v>1699</v>
      </c>
      <c r="D1615">
        <v>0</v>
      </c>
      <c r="E1615">
        <v>0</v>
      </c>
      <c r="F1615">
        <v>7213</v>
      </c>
      <c r="G1615">
        <f t="shared" si="25"/>
        <v>9215753</v>
      </c>
    </row>
    <row r="1616" spans="1:7" x14ac:dyDescent="0.25">
      <c r="A1616">
        <v>9217088</v>
      </c>
      <c r="B1616" t="s">
        <v>36197</v>
      </c>
      <c r="C1616">
        <v>0</v>
      </c>
      <c r="D1616">
        <v>1</v>
      </c>
      <c r="E1616">
        <v>26</v>
      </c>
      <c r="F1616">
        <v>6441</v>
      </c>
      <c r="G1616">
        <f t="shared" si="25"/>
        <v>9217088</v>
      </c>
    </row>
    <row r="1617" spans="1:7" x14ac:dyDescent="0.25">
      <c r="A1617">
        <v>9218699</v>
      </c>
      <c r="B1617" t="s">
        <v>36993</v>
      </c>
      <c r="C1617">
        <v>960</v>
      </c>
      <c r="D1617">
        <v>2</v>
      </c>
      <c r="E1617">
        <v>14218</v>
      </c>
      <c r="F1617">
        <v>1059</v>
      </c>
      <c r="G1617">
        <f t="shared" si="25"/>
        <v>9218699</v>
      </c>
    </row>
    <row r="1618" spans="1:7" x14ac:dyDescent="0.25">
      <c r="A1618">
        <v>9219282</v>
      </c>
      <c r="B1618" t="s">
        <v>36198</v>
      </c>
      <c r="C1618">
        <v>294</v>
      </c>
      <c r="D1618">
        <v>2</v>
      </c>
      <c r="E1618">
        <v>6856</v>
      </c>
      <c r="F1618">
        <v>2090</v>
      </c>
      <c r="G1618">
        <f t="shared" si="25"/>
        <v>9219282</v>
      </c>
    </row>
    <row r="1619" spans="1:7" x14ac:dyDescent="0.25">
      <c r="A1619">
        <v>9220946</v>
      </c>
      <c r="B1619" t="s">
        <v>24881</v>
      </c>
      <c r="C1619">
        <v>0</v>
      </c>
      <c r="D1619">
        <v>1</v>
      </c>
      <c r="E1619">
        <v>26</v>
      </c>
      <c r="F1619">
        <v>6442</v>
      </c>
      <c r="G1619">
        <f t="shared" si="25"/>
        <v>9220946</v>
      </c>
    </row>
    <row r="1620" spans="1:7" x14ac:dyDescent="0.25">
      <c r="A1620">
        <v>9222372</v>
      </c>
      <c r="B1620" t="s">
        <v>24882</v>
      </c>
      <c r="C1620">
        <v>1753</v>
      </c>
      <c r="D1620">
        <v>1</v>
      </c>
      <c r="E1620">
        <v>1492</v>
      </c>
      <c r="F1620">
        <v>3601</v>
      </c>
      <c r="G1620">
        <f t="shared" si="25"/>
        <v>9222372</v>
      </c>
    </row>
    <row r="1621" spans="1:7" x14ac:dyDescent="0.25">
      <c r="A1621">
        <v>9225513</v>
      </c>
      <c r="B1621" t="s">
        <v>24883</v>
      </c>
      <c r="C1621">
        <v>810</v>
      </c>
      <c r="D1621">
        <v>0</v>
      </c>
      <c r="E1621">
        <v>0</v>
      </c>
      <c r="F1621">
        <v>7214</v>
      </c>
      <c r="G1621">
        <f t="shared" si="25"/>
        <v>9225513</v>
      </c>
    </row>
    <row r="1622" spans="1:7" x14ac:dyDescent="0.25">
      <c r="A1622">
        <v>9225710</v>
      </c>
      <c r="B1622" t="s">
        <v>24884</v>
      </c>
      <c r="C1622">
        <v>1503</v>
      </c>
      <c r="D1622">
        <v>2</v>
      </c>
      <c r="E1622">
        <v>12074</v>
      </c>
      <c r="F1622">
        <v>1271</v>
      </c>
      <c r="G1622">
        <f t="shared" si="25"/>
        <v>9225710</v>
      </c>
    </row>
    <row r="1623" spans="1:7" x14ac:dyDescent="0.25">
      <c r="A1623">
        <v>9225854</v>
      </c>
      <c r="B1623" t="s">
        <v>24885</v>
      </c>
      <c r="C1623">
        <v>0</v>
      </c>
      <c r="D1623">
        <v>0</v>
      </c>
      <c r="E1623">
        <v>0</v>
      </c>
      <c r="F1623">
        <v>7215</v>
      </c>
      <c r="G1623">
        <f t="shared" si="25"/>
        <v>9225854</v>
      </c>
    </row>
    <row r="1624" spans="1:7" x14ac:dyDescent="0.25">
      <c r="A1624">
        <v>9226556</v>
      </c>
      <c r="B1624" t="s">
        <v>24886</v>
      </c>
      <c r="C1624">
        <v>106</v>
      </c>
      <c r="D1624">
        <v>1</v>
      </c>
      <c r="E1624">
        <v>4371</v>
      </c>
      <c r="F1624">
        <v>2658</v>
      </c>
      <c r="G1624">
        <f t="shared" si="25"/>
        <v>9226556</v>
      </c>
    </row>
    <row r="1625" spans="1:7" x14ac:dyDescent="0.25">
      <c r="A1625">
        <v>9227861</v>
      </c>
      <c r="B1625" t="s">
        <v>24887</v>
      </c>
      <c r="C1625">
        <v>131</v>
      </c>
      <c r="D1625">
        <v>4</v>
      </c>
      <c r="E1625">
        <v>13167</v>
      </c>
      <c r="F1625">
        <v>1151</v>
      </c>
      <c r="G1625">
        <f t="shared" si="25"/>
        <v>9227861</v>
      </c>
    </row>
    <row r="1626" spans="1:7" x14ac:dyDescent="0.25">
      <c r="A1626">
        <v>9228611</v>
      </c>
      <c r="B1626" t="s">
        <v>24888</v>
      </c>
      <c r="C1626">
        <v>1885</v>
      </c>
      <c r="D1626">
        <v>1</v>
      </c>
      <c r="E1626">
        <v>468</v>
      </c>
      <c r="F1626">
        <v>4704</v>
      </c>
      <c r="G1626">
        <f t="shared" si="25"/>
        <v>9228611</v>
      </c>
    </row>
    <row r="1627" spans="1:7" x14ac:dyDescent="0.25">
      <c r="A1627">
        <v>9230394</v>
      </c>
      <c r="B1627" t="s">
        <v>24889</v>
      </c>
      <c r="C1627">
        <v>0</v>
      </c>
      <c r="D1627">
        <v>1</v>
      </c>
      <c r="E1627">
        <v>230</v>
      </c>
      <c r="F1627">
        <v>5386</v>
      </c>
      <c r="G1627">
        <f t="shared" si="25"/>
        <v>9230394</v>
      </c>
    </row>
    <row r="1628" spans="1:7" x14ac:dyDescent="0.25">
      <c r="A1628">
        <v>9232630</v>
      </c>
      <c r="B1628" t="s">
        <v>24890</v>
      </c>
      <c r="C1628">
        <v>0</v>
      </c>
      <c r="D1628">
        <v>1</v>
      </c>
      <c r="E1628">
        <v>66</v>
      </c>
      <c r="F1628">
        <v>6082</v>
      </c>
      <c r="G1628">
        <f t="shared" si="25"/>
        <v>9232630</v>
      </c>
    </row>
    <row r="1629" spans="1:7" x14ac:dyDescent="0.25">
      <c r="A1629">
        <v>9234327</v>
      </c>
      <c r="B1629" t="s">
        <v>36199</v>
      </c>
      <c r="C1629">
        <v>1861</v>
      </c>
      <c r="D1629">
        <v>1</v>
      </c>
      <c r="E1629">
        <v>1869</v>
      </c>
      <c r="F1629">
        <v>3404</v>
      </c>
      <c r="G1629">
        <f t="shared" si="25"/>
        <v>9234327</v>
      </c>
    </row>
    <row r="1630" spans="1:7" x14ac:dyDescent="0.25">
      <c r="A1630">
        <v>9235805</v>
      </c>
      <c r="B1630" t="s">
        <v>24891</v>
      </c>
      <c r="C1630">
        <v>301</v>
      </c>
      <c r="D1630">
        <v>1</v>
      </c>
      <c r="E1630">
        <v>1703</v>
      </c>
      <c r="F1630">
        <v>3501</v>
      </c>
      <c r="G1630">
        <f t="shared" si="25"/>
        <v>9235805</v>
      </c>
    </row>
    <row r="1631" spans="1:7" x14ac:dyDescent="0.25">
      <c r="A1631">
        <v>9237489</v>
      </c>
      <c r="B1631" t="s">
        <v>24892</v>
      </c>
      <c r="C1631">
        <v>1340</v>
      </c>
      <c r="D1631">
        <v>1</v>
      </c>
      <c r="E1631">
        <v>4231</v>
      </c>
      <c r="F1631">
        <v>2706</v>
      </c>
      <c r="G1631">
        <f t="shared" si="25"/>
        <v>9237489</v>
      </c>
    </row>
    <row r="1632" spans="1:7" x14ac:dyDescent="0.25">
      <c r="A1632">
        <v>9238203</v>
      </c>
      <c r="B1632" t="s">
        <v>24893</v>
      </c>
      <c r="C1632">
        <v>6</v>
      </c>
      <c r="D1632">
        <v>2</v>
      </c>
      <c r="E1632">
        <v>13360</v>
      </c>
      <c r="F1632">
        <v>1132</v>
      </c>
      <c r="G1632">
        <f t="shared" si="25"/>
        <v>9238203</v>
      </c>
    </row>
    <row r="1633" spans="1:7" x14ac:dyDescent="0.25">
      <c r="A1633">
        <v>9238575</v>
      </c>
      <c r="B1633" t="s">
        <v>24894</v>
      </c>
      <c r="C1633">
        <v>1315</v>
      </c>
      <c r="D1633">
        <v>1</v>
      </c>
      <c r="E1633">
        <v>480</v>
      </c>
      <c r="F1633">
        <v>4680</v>
      </c>
      <c r="G1633">
        <f t="shared" si="25"/>
        <v>9238575</v>
      </c>
    </row>
    <row r="1634" spans="1:7" x14ac:dyDescent="0.25">
      <c r="A1634">
        <v>9239094</v>
      </c>
      <c r="B1634" t="s">
        <v>24895</v>
      </c>
      <c r="C1634">
        <v>567</v>
      </c>
      <c r="D1634">
        <v>1</v>
      </c>
      <c r="E1634">
        <v>2683</v>
      </c>
      <c r="F1634">
        <v>3090</v>
      </c>
      <c r="G1634">
        <f t="shared" si="25"/>
        <v>9239094</v>
      </c>
    </row>
    <row r="1635" spans="1:7" x14ac:dyDescent="0.25">
      <c r="A1635">
        <v>9241555</v>
      </c>
      <c r="B1635" t="s">
        <v>36200</v>
      </c>
      <c r="C1635">
        <v>0</v>
      </c>
      <c r="D1635">
        <v>0</v>
      </c>
      <c r="E1635">
        <v>0</v>
      </c>
      <c r="F1635">
        <v>7216</v>
      </c>
      <c r="G1635">
        <f t="shared" si="25"/>
        <v>9241555</v>
      </c>
    </row>
    <row r="1636" spans="1:7" x14ac:dyDescent="0.25">
      <c r="A1636">
        <v>9251785</v>
      </c>
      <c r="B1636" t="s">
        <v>24896</v>
      </c>
      <c r="C1636">
        <v>534</v>
      </c>
      <c r="D1636">
        <v>2</v>
      </c>
      <c r="E1636">
        <v>13902</v>
      </c>
      <c r="F1636">
        <v>1087</v>
      </c>
      <c r="G1636">
        <f t="shared" si="25"/>
        <v>9251785</v>
      </c>
    </row>
    <row r="1637" spans="1:7" x14ac:dyDescent="0.25">
      <c r="A1637">
        <v>9252408</v>
      </c>
      <c r="B1637" t="s">
        <v>24897</v>
      </c>
      <c r="C1637">
        <v>307</v>
      </c>
      <c r="D1637">
        <v>0</v>
      </c>
      <c r="E1637">
        <v>0</v>
      </c>
      <c r="F1637">
        <v>7217</v>
      </c>
      <c r="G1637">
        <f t="shared" si="25"/>
        <v>9252408</v>
      </c>
    </row>
    <row r="1638" spans="1:7" x14ac:dyDescent="0.25">
      <c r="A1638">
        <v>9254584</v>
      </c>
      <c r="B1638" t="s">
        <v>24898</v>
      </c>
      <c r="C1638">
        <v>1232</v>
      </c>
      <c r="D1638">
        <v>1</v>
      </c>
      <c r="E1638">
        <v>3421</v>
      </c>
      <c r="F1638">
        <v>2896</v>
      </c>
      <c r="G1638">
        <f t="shared" si="25"/>
        <v>9254584</v>
      </c>
    </row>
    <row r="1639" spans="1:7" x14ac:dyDescent="0.25">
      <c r="A1639">
        <v>9259027</v>
      </c>
      <c r="B1639" t="s">
        <v>24899</v>
      </c>
      <c r="C1639">
        <v>31</v>
      </c>
      <c r="D1639">
        <v>5</v>
      </c>
      <c r="E1639">
        <v>20462</v>
      </c>
      <c r="F1639">
        <v>603</v>
      </c>
      <c r="G1639">
        <f t="shared" si="25"/>
        <v>9259027</v>
      </c>
    </row>
    <row r="1640" spans="1:7" x14ac:dyDescent="0.25">
      <c r="A1640">
        <v>9259336</v>
      </c>
      <c r="B1640" t="s">
        <v>36201</v>
      </c>
      <c r="C1640">
        <v>0</v>
      </c>
      <c r="D1640">
        <v>0</v>
      </c>
      <c r="E1640">
        <v>0</v>
      </c>
      <c r="F1640">
        <v>7218</v>
      </c>
      <c r="G1640">
        <f t="shared" si="25"/>
        <v>9259336</v>
      </c>
    </row>
    <row r="1641" spans="1:7" x14ac:dyDescent="0.25">
      <c r="A1641">
        <v>9259563</v>
      </c>
      <c r="B1641" t="s">
        <v>24900</v>
      </c>
      <c r="C1641">
        <v>321</v>
      </c>
      <c r="D1641">
        <v>4</v>
      </c>
      <c r="E1641">
        <v>26637</v>
      </c>
      <c r="F1641">
        <v>346</v>
      </c>
      <c r="G1641">
        <f t="shared" si="25"/>
        <v>9259563</v>
      </c>
    </row>
    <row r="1642" spans="1:7" x14ac:dyDescent="0.25">
      <c r="A1642">
        <v>9259920</v>
      </c>
      <c r="B1642" t="s">
        <v>36202</v>
      </c>
      <c r="C1642">
        <v>900</v>
      </c>
      <c r="D1642">
        <v>1</v>
      </c>
      <c r="E1642">
        <v>268</v>
      </c>
      <c r="F1642">
        <v>5230</v>
      </c>
      <c r="G1642">
        <f t="shared" si="25"/>
        <v>9259920</v>
      </c>
    </row>
    <row r="1643" spans="1:7" x14ac:dyDescent="0.25">
      <c r="A1643">
        <v>9260135</v>
      </c>
      <c r="B1643" t="s">
        <v>24901</v>
      </c>
      <c r="C1643">
        <v>0</v>
      </c>
      <c r="D1643">
        <v>1</v>
      </c>
      <c r="E1643">
        <v>253</v>
      </c>
      <c r="F1643">
        <v>5288</v>
      </c>
      <c r="G1643">
        <f t="shared" si="25"/>
        <v>9260135</v>
      </c>
    </row>
    <row r="1644" spans="1:7" x14ac:dyDescent="0.25">
      <c r="A1644">
        <v>9261077</v>
      </c>
      <c r="B1644" t="s">
        <v>24902</v>
      </c>
      <c r="C1644">
        <v>0</v>
      </c>
      <c r="D1644">
        <v>0</v>
      </c>
      <c r="E1644">
        <v>0</v>
      </c>
      <c r="F1644">
        <v>7219</v>
      </c>
      <c r="G1644">
        <f t="shared" si="25"/>
        <v>9261077</v>
      </c>
    </row>
    <row r="1645" spans="1:7" x14ac:dyDescent="0.25">
      <c r="A1645">
        <v>9262570</v>
      </c>
      <c r="B1645" t="s">
        <v>24903</v>
      </c>
      <c r="C1645">
        <v>0</v>
      </c>
      <c r="D1645">
        <v>1</v>
      </c>
      <c r="E1645">
        <v>129</v>
      </c>
      <c r="F1645">
        <v>5763</v>
      </c>
      <c r="G1645">
        <f t="shared" si="25"/>
        <v>9262570</v>
      </c>
    </row>
    <row r="1646" spans="1:7" x14ac:dyDescent="0.25">
      <c r="A1646">
        <v>9263618</v>
      </c>
      <c r="B1646" t="s">
        <v>24904</v>
      </c>
      <c r="C1646">
        <v>1836</v>
      </c>
      <c r="D1646">
        <v>1</v>
      </c>
      <c r="E1646">
        <v>1295</v>
      </c>
      <c r="F1646">
        <v>3731</v>
      </c>
      <c r="G1646">
        <f t="shared" si="25"/>
        <v>9263618</v>
      </c>
    </row>
    <row r="1647" spans="1:7" x14ac:dyDescent="0.25">
      <c r="A1647">
        <v>9266958</v>
      </c>
      <c r="B1647" s="403" t="s">
        <v>24905</v>
      </c>
      <c r="C1647">
        <v>270</v>
      </c>
      <c r="D1647">
        <v>3</v>
      </c>
      <c r="E1647">
        <v>13259</v>
      </c>
      <c r="F1647">
        <v>1156</v>
      </c>
      <c r="G1647">
        <f t="shared" si="25"/>
        <v>9266958</v>
      </c>
    </row>
    <row r="1648" spans="1:7" x14ac:dyDescent="0.25">
      <c r="A1648">
        <v>9267037</v>
      </c>
      <c r="B1648" s="403" t="s">
        <v>24906</v>
      </c>
      <c r="C1648">
        <v>760</v>
      </c>
      <c r="D1648">
        <v>4</v>
      </c>
      <c r="E1648">
        <v>20031</v>
      </c>
      <c r="F1648">
        <v>621</v>
      </c>
      <c r="G1648">
        <f t="shared" si="25"/>
        <v>9267037</v>
      </c>
    </row>
    <row r="1649" spans="1:7" x14ac:dyDescent="0.25">
      <c r="A1649">
        <v>9268817</v>
      </c>
      <c r="B1649" t="s">
        <v>37124</v>
      </c>
      <c r="C1649">
        <v>271</v>
      </c>
      <c r="D1649">
        <v>4</v>
      </c>
      <c r="E1649">
        <v>18516</v>
      </c>
      <c r="F1649">
        <v>720</v>
      </c>
      <c r="G1649">
        <f t="shared" si="25"/>
        <v>9268817</v>
      </c>
    </row>
    <row r="1650" spans="1:7" x14ac:dyDescent="0.25">
      <c r="A1650">
        <v>9277954</v>
      </c>
      <c r="B1650" t="s">
        <v>24907</v>
      </c>
      <c r="C1650">
        <v>882</v>
      </c>
      <c r="D1650">
        <v>1</v>
      </c>
      <c r="E1650">
        <v>6245</v>
      </c>
      <c r="F1650">
        <v>2222</v>
      </c>
      <c r="G1650">
        <f t="shared" si="25"/>
        <v>9277954</v>
      </c>
    </row>
    <row r="1651" spans="1:7" x14ac:dyDescent="0.25">
      <c r="A1651">
        <v>9280156</v>
      </c>
      <c r="B1651" t="s">
        <v>24908</v>
      </c>
      <c r="C1651">
        <v>235</v>
      </c>
      <c r="D1651">
        <v>1</v>
      </c>
      <c r="E1651">
        <v>2817</v>
      </c>
      <c r="F1651">
        <v>3036</v>
      </c>
      <c r="G1651">
        <f t="shared" si="25"/>
        <v>9280156</v>
      </c>
    </row>
    <row r="1652" spans="1:7" x14ac:dyDescent="0.25">
      <c r="A1652">
        <v>9281141</v>
      </c>
      <c r="B1652" t="s">
        <v>24909</v>
      </c>
      <c r="C1652">
        <v>3</v>
      </c>
      <c r="D1652">
        <v>2</v>
      </c>
      <c r="E1652">
        <v>7583</v>
      </c>
      <c r="F1652">
        <v>1964</v>
      </c>
      <c r="G1652">
        <f t="shared" si="25"/>
        <v>9281141</v>
      </c>
    </row>
    <row r="1653" spans="1:7" x14ac:dyDescent="0.25">
      <c r="A1653">
        <v>9283160</v>
      </c>
      <c r="B1653" s="403">
        <v>44052</v>
      </c>
      <c r="C1653">
        <v>0</v>
      </c>
      <c r="D1653">
        <v>1</v>
      </c>
      <c r="E1653">
        <v>257</v>
      </c>
      <c r="F1653">
        <v>5271</v>
      </c>
      <c r="G1653">
        <f t="shared" si="25"/>
        <v>9283160</v>
      </c>
    </row>
    <row r="1654" spans="1:7" x14ac:dyDescent="0.25">
      <c r="A1654">
        <v>9284860</v>
      </c>
      <c r="B1654" t="s">
        <v>24910</v>
      </c>
      <c r="C1654">
        <v>480</v>
      </c>
      <c r="D1654">
        <v>6</v>
      </c>
      <c r="E1654">
        <v>29447</v>
      </c>
      <c r="F1654">
        <v>255</v>
      </c>
      <c r="G1654">
        <f t="shared" si="25"/>
        <v>9284860</v>
      </c>
    </row>
    <row r="1655" spans="1:7" x14ac:dyDescent="0.25">
      <c r="A1655">
        <v>9287099</v>
      </c>
      <c r="B1655" t="s">
        <v>24911</v>
      </c>
      <c r="C1655">
        <v>26</v>
      </c>
      <c r="D1655">
        <v>5</v>
      </c>
      <c r="E1655">
        <v>27878</v>
      </c>
      <c r="F1655">
        <v>299</v>
      </c>
      <c r="G1655">
        <f t="shared" si="25"/>
        <v>9287099</v>
      </c>
    </row>
    <row r="1656" spans="1:7" x14ac:dyDescent="0.25">
      <c r="A1656">
        <v>9287475</v>
      </c>
      <c r="B1656" t="s">
        <v>24912</v>
      </c>
      <c r="C1656">
        <v>0</v>
      </c>
      <c r="D1656">
        <v>1</v>
      </c>
      <c r="E1656">
        <v>514</v>
      </c>
      <c r="F1656">
        <v>4603</v>
      </c>
      <c r="G1656">
        <f t="shared" si="25"/>
        <v>9287475</v>
      </c>
    </row>
    <row r="1657" spans="1:7" x14ac:dyDescent="0.25">
      <c r="A1657">
        <v>9289216</v>
      </c>
      <c r="B1657" t="s">
        <v>24913</v>
      </c>
      <c r="C1657">
        <v>0</v>
      </c>
      <c r="D1657">
        <v>1</v>
      </c>
      <c r="E1657">
        <v>782</v>
      </c>
      <c r="F1657">
        <v>4229</v>
      </c>
      <c r="G1657">
        <f t="shared" si="25"/>
        <v>9289216</v>
      </c>
    </row>
    <row r="1658" spans="1:7" x14ac:dyDescent="0.25">
      <c r="A1658">
        <v>9291686</v>
      </c>
      <c r="B1658" t="s">
        <v>24914</v>
      </c>
      <c r="C1658">
        <v>0</v>
      </c>
      <c r="D1658">
        <v>1</v>
      </c>
      <c r="E1658">
        <v>46</v>
      </c>
      <c r="F1658">
        <v>6214</v>
      </c>
      <c r="G1658">
        <f t="shared" si="25"/>
        <v>9291686</v>
      </c>
    </row>
    <row r="1659" spans="1:7" x14ac:dyDescent="0.25">
      <c r="A1659">
        <v>9295043</v>
      </c>
      <c r="B1659" t="s">
        <v>36994</v>
      </c>
      <c r="C1659">
        <v>467</v>
      </c>
      <c r="D1659">
        <v>4</v>
      </c>
      <c r="E1659">
        <v>18264</v>
      </c>
      <c r="F1659">
        <v>735</v>
      </c>
      <c r="G1659">
        <f t="shared" si="25"/>
        <v>9295043</v>
      </c>
    </row>
    <row r="1660" spans="1:7" x14ac:dyDescent="0.25">
      <c r="A1660">
        <v>9296002</v>
      </c>
      <c r="B1660" t="s">
        <v>36203</v>
      </c>
      <c r="C1660">
        <v>0</v>
      </c>
      <c r="D1660">
        <v>0</v>
      </c>
      <c r="E1660">
        <v>0</v>
      </c>
      <c r="F1660">
        <v>7220</v>
      </c>
      <c r="G1660">
        <f t="shared" si="25"/>
        <v>9296002</v>
      </c>
    </row>
    <row r="1661" spans="1:7" x14ac:dyDescent="0.25">
      <c r="A1661">
        <v>9296261</v>
      </c>
      <c r="B1661" t="s">
        <v>24915</v>
      </c>
      <c r="C1661">
        <v>0</v>
      </c>
      <c r="D1661">
        <v>1</v>
      </c>
      <c r="E1661">
        <v>4294</v>
      </c>
      <c r="F1661">
        <v>2683</v>
      </c>
      <c r="G1661">
        <f t="shared" si="25"/>
        <v>9296261</v>
      </c>
    </row>
    <row r="1662" spans="1:7" x14ac:dyDescent="0.25">
      <c r="A1662">
        <v>9296843</v>
      </c>
      <c r="B1662" t="s">
        <v>24916</v>
      </c>
      <c r="C1662">
        <v>122</v>
      </c>
      <c r="D1662">
        <v>3</v>
      </c>
      <c r="E1662">
        <v>19188</v>
      </c>
      <c r="F1662">
        <v>674</v>
      </c>
      <c r="G1662">
        <f t="shared" si="25"/>
        <v>9296843</v>
      </c>
    </row>
    <row r="1663" spans="1:7" x14ac:dyDescent="0.25">
      <c r="A1663">
        <v>9297409</v>
      </c>
      <c r="B1663" t="s">
        <v>24917</v>
      </c>
      <c r="C1663">
        <v>0</v>
      </c>
      <c r="D1663">
        <v>0</v>
      </c>
      <c r="E1663">
        <v>0</v>
      </c>
      <c r="F1663">
        <v>7221</v>
      </c>
      <c r="G1663">
        <f t="shared" si="25"/>
        <v>9297409</v>
      </c>
    </row>
    <row r="1664" spans="1:7" x14ac:dyDescent="0.25">
      <c r="A1664">
        <v>9297442</v>
      </c>
      <c r="B1664" t="s">
        <v>24918</v>
      </c>
      <c r="C1664">
        <v>0</v>
      </c>
      <c r="D1664">
        <v>0</v>
      </c>
      <c r="E1664">
        <v>0</v>
      </c>
      <c r="F1664">
        <v>7222</v>
      </c>
      <c r="G1664">
        <f t="shared" si="25"/>
        <v>9297442</v>
      </c>
    </row>
    <row r="1665" spans="1:7" x14ac:dyDescent="0.25">
      <c r="A1665">
        <v>9298227</v>
      </c>
      <c r="B1665" t="s">
        <v>24919</v>
      </c>
      <c r="C1665">
        <v>0</v>
      </c>
      <c r="D1665">
        <v>0</v>
      </c>
      <c r="E1665">
        <v>0</v>
      </c>
      <c r="F1665">
        <v>7223</v>
      </c>
      <c r="G1665">
        <f t="shared" ref="G1665:G1728" si="26">A1665</f>
        <v>9298227</v>
      </c>
    </row>
    <row r="1666" spans="1:7" x14ac:dyDescent="0.25">
      <c r="A1666">
        <v>9308033</v>
      </c>
      <c r="B1666" t="s">
        <v>24920</v>
      </c>
      <c r="C1666">
        <v>39</v>
      </c>
      <c r="D1666">
        <v>2</v>
      </c>
      <c r="E1666">
        <v>10687</v>
      </c>
      <c r="F1666">
        <v>1467</v>
      </c>
      <c r="G1666">
        <f t="shared" si="26"/>
        <v>9308033</v>
      </c>
    </row>
    <row r="1667" spans="1:7" x14ac:dyDescent="0.25">
      <c r="A1667">
        <v>9312082</v>
      </c>
      <c r="B1667" t="s">
        <v>24921</v>
      </c>
      <c r="C1667">
        <v>1775</v>
      </c>
      <c r="D1667">
        <v>4</v>
      </c>
      <c r="E1667">
        <v>14409</v>
      </c>
      <c r="F1667">
        <v>1432</v>
      </c>
      <c r="G1667">
        <f t="shared" si="26"/>
        <v>9312082</v>
      </c>
    </row>
    <row r="1668" spans="1:7" x14ac:dyDescent="0.25">
      <c r="A1668">
        <v>9314373</v>
      </c>
      <c r="B1668" t="s">
        <v>24922</v>
      </c>
      <c r="C1668">
        <v>294</v>
      </c>
      <c r="D1668">
        <v>2</v>
      </c>
      <c r="E1668">
        <v>7232</v>
      </c>
      <c r="F1668">
        <v>2022</v>
      </c>
      <c r="G1668">
        <f t="shared" si="26"/>
        <v>9314373</v>
      </c>
    </row>
    <row r="1669" spans="1:7" x14ac:dyDescent="0.25">
      <c r="A1669">
        <v>9314477</v>
      </c>
      <c r="B1669" t="s">
        <v>24923</v>
      </c>
      <c r="C1669">
        <v>989</v>
      </c>
      <c r="D1669">
        <v>0</v>
      </c>
      <c r="E1669">
        <v>0</v>
      </c>
      <c r="F1669">
        <v>7224</v>
      </c>
      <c r="G1669">
        <f t="shared" si="26"/>
        <v>9314477</v>
      </c>
    </row>
    <row r="1670" spans="1:7" x14ac:dyDescent="0.25">
      <c r="A1670">
        <v>9314635</v>
      </c>
      <c r="B1670" t="s">
        <v>24924</v>
      </c>
      <c r="C1670">
        <v>294</v>
      </c>
      <c r="D1670">
        <v>1</v>
      </c>
      <c r="E1670">
        <v>5023</v>
      </c>
      <c r="F1670">
        <v>2509</v>
      </c>
      <c r="G1670">
        <f t="shared" si="26"/>
        <v>9314635</v>
      </c>
    </row>
    <row r="1671" spans="1:7" x14ac:dyDescent="0.25">
      <c r="A1671">
        <v>9318560</v>
      </c>
      <c r="B1671" t="s">
        <v>24925</v>
      </c>
      <c r="C1671">
        <v>424</v>
      </c>
      <c r="D1671">
        <v>7</v>
      </c>
      <c r="E1671">
        <v>19005</v>
      </c>
      <c r="F1671">
        <v>682</v>
      </c>
      <c r="G1671">
        <f t="shared" si="26"/>
        <v>9318560</v>
      </c>
    </row>
    <row r="1672" spans="1:7" x14ac:dyDescent="0.25">
      <c r="A1672">
        <v>9319592</v>
      </c>
      <c r="B1672" t="s">
        <v>24926</v>
      </c>
      <c r="C1672">
        <v>122</v>
      </c>
      <c r="D1672">
        <v>6</v>
      </c>
      <c r="E1672">
        <v>24931</v>
      </c>
      <c r="F1672">
        <v>397</v>
      </c>
      <c r="G1672">
        <f t="shared" si="26"/>
        <v>9319592</v>
      </c>
    </row>
    <row r="1673" spans="1:7" x14ac:dyDescent="0.25">
      <c r="A1673">
        <v>9325150</v>
      </c>
      <c r="B1673" t="s">
        <v>24927</v>
      </c>
      <c r="C1673">
        <v>199</v>
      </c>
      <c r="D1673">
        <v>5</v>
      </c>
      <c r="E1673">
        <v>32992</v>
      </c>
      <c r="F1673">
        <v>180</v>
      </c>
      <c r="G1673">
        <f t="shared" si="26"/>
        <v>9325150</v>
      </c>
    </row>
    <row r="1674" spans="1:7" x14ac:dyDescent="0.25">
      <c r="A1674">
        <v>9325868</v>
      </c>
      <c r="B1674" t="s">
        <v>36204</v>
      </c>
      <c r="C1674">
        <v>0</v>
      </c>
      <c r="D1674">
        <v>1</v>
      </c>
      <c r="E1674">
        <v>26</v>
      </c>
      <c r="F1674">
        <v>6443</v>
      </c>
      <c r="G1674">
        <f t="shared" si="26"/>
        <v>9325868</v>
      </c>
    </row>
    <row r="1675" spans="1:7" x14ac:dyDescent="0.25">
      <c r="A1675">
        <v>9327306</v>
      </c>
      <c r="B1675" t="s">
        <v>24928</v>
      </c>
      <c r="C1675">
        <v>0</v>
      </c>
      <c r="D1675">
        <v>0</v>
      </c>
      <c r="E1675">
        <v>0</v>
      </c>
      <c r="F1675">
        <v>7225</v>
      </c>
      <c r="G1675">
        <f t="shared" si="26"/>
        <v>9327306</v>
      </c>
    </row>
    <row r="1676" spans="1:7" x14ac:dyDescent="0.25">
      <c r="A1676">
        <v>9327351</v>
      </c>
      <c r="B1676" t="s">
        <v>24929</v>
      </c>
      <c r="C1676">
        <v>199</v>
      </c>
      <c r="D1676">
        <v>5</v>
      </c>
      <c r="E1676">
        <v>29501</v>
      </c>
      <c r="F1676">
        <v>257</v>
      </c>
      <c r="G1676">
        <f t="shared" si="26"/>
        <v>9327351</v>
      </c>
    </row>
    <row r="1677" spans="1:7" x14ac:dyDescent="0.25">
      <c r="A1677">
        <v>9330725</v>
      </c>
      <c r="B1677" t="s">
        <v>24930</v>
      </c>
      <c r="C1677">
        <v>325</v>
      </c>
      <c r="D1677">
        <v>1</v>
      </c>
      <c r="E1677">
        <v>26</v>
      </c>
      <c r="F1677">
        <v>6444</v>
      </c>
      <c r="G1677">
        <f t="shared" si="26"/>
        <v>9330725</v>
      </c>
    </row>
    <row r="1678" spans="1:7" x14ac:dyDescent="0.25">
      <c r="A1678">
        <v>9331700</v>
      </c>
      <c r="B1678" t="s">
        <v>4559</v>
      </c>
      <c r="C1678">
        <v>0</v>
      </c>
      <c r="D1678">
        <v>1</v>
      </c>
      <c r="E1678">
        <v>169</v>
      </c>
      <c r="F1678">
        <v>5621</v>
      </c>
      <c r="G1678">
        <f t="shared" si="26"/>
        <v>9331700</v>
      </c>
    </row>
    <row r="1679" spans="1:7" x14ac:dyDescent="0.25">
      <c r="A1679">
        <v>9334397</v>
      </c>
      <c r="B1679" t="s">
        <v>24931</v>
      </c>
      <c r="C1679">
        <v>0</v>
      </c>
      <c r="D1679">
        <v>1</v>
      </c>
      <c r="E1679">
        <v>26</v>
      </c>
      <c r="F1679">
        <v>6445</v>
      </c>
      <c r="G1679">
        <f t="shared" si="26"/>
        <v>9334397</v>
      </c>
    </row>
    <row r="1680" spans="1:7" x14ac:dyDescent="0.25">
      <c r="A1680">
        <v>9334636</v>
      </c>
      <c r="B1680" t="s">
        <v>24932</v>
      </c>
      <c r="C1680">
        <v>0</v>
      </c>
      <c r="D1680">
        <v>1</v>
      </c>
      <c r="E1680">
        <v>448</v>
      </c>
      <c r="F1680">
        <v>4749</v>
      </c>
      <c r="G1680">
        <f t="shared" si="26"/>
        <v>9334636</v>
      </c>
    </row>
    <row r="1681" spans="1:7" x14ac:dyDescent="0.25">
      <c r="A1681">
        <v>9336009</v>
      </c>
      <c r="B1681" t="s">
        <v>36205</v>
      </c>
      <c r="C1681">
        <v>413</v>
      </c>
      <c r="D1681">
        <v>3</v>
      </c>
      <c r="E1681">
        <v>8292</v>
      </c>
      <c r="F1681">
        <v>1832</v>
      </c>
      <c r="G1681">
        <f t="shared" si="26"/>
        <v>9336009</v>
      </c>
    </row>
    <row r="1682" spans="1:7" x14ac:dyDescent="0.25">
      <c r="A1682">
        <v>9337931</v>
      </c>
      <c r="B1682" t="s">
        <v>36206</v>
      </c>
      <c r="C1682">
        <v>680</v>
      </c>
      <c r="D1682">
        <v>2</v>
      </c>
      <c r="E1682">
        <v>7633</v>
      </c>
      <c r="F1682">
        <v>1957</v>
      </c>
      <c r="G1682">
        <f t="shared" si="26"/>
        <v>9337931</v>
      </c>
    </row>
    <row r="1683" spans="1:7" x14ac:dyDescent="0.25">
      <c r="A1683">
        <v>9338566</v>
      </c>
      <c r="B1683" t="s">
        <v>24933</v>
      </c>
      <c r="C1683">
        <v>1363</v>
      </c>
      <c r="D1683">
        <v>1</v>
      </c>
      <c r="E1683">
        <v>762</v>
      </c>
      <c r="F1683">
        <v>4253</v>
      </c>
      <c r="G1683">
        <f t="shared" si="26"/>
        <v>9338566</v>
      </c>
    </row>
    <row r="1684" spans="1:7" x14ac:dyDescent="0.25">
      <c r="A1684">
        <v>9340699</v>
      </c>
      <c r="B1684" t="s">
        <v>24934</v>
      </c>
      <c r="C1684">
        <v>96</v>
      </c>
      <c r="D1684">
        <v>2</v>
      </c>
      <c r="E1684">
        <v>9905</v>
      </c>
      <c r="F1684">
        <v>1580</v>
      </c>
      <c r="G1684">
        <f t="shared" si="26"/>
        <v>9340699</v>
      </c>
    </row>
    <row r="1685" spans="1:7" x14ac:dyDescent="0.25">
      <c r="A1685">
        <v>9341944</v>
      </c>
      <c r="B1685" t="s">
        <v>24935</v>
      </c>
      <c r="C1685">
        <v>0</v>
      </c>
      <c r="D1685">
        <v>1</v>
      </c>
      <c r="E1685">
        <v>93</v>
      </c>
      <c r="F1685">
        <v>5888</v>
      </c>
      <c r="G1685">
        <f t="shared" si="26"/>
        <v>9341944</v>
      </c>
    </row>
    <row r="1686" spans="1:7" x14ac:dyDescent="0.25">
      <c r="A1686">
        <v>9348887</v>
      </c>
      <c r="B1686" t="s">
        <v>24936</v>
      </c>
      <c r="C1686">
        <v>0</v>
      </c>
      <c r="D1686">
        <v>0</v>
      </c>
      <c r="E1686">
        <v>0</v>
      </c>
      <c r="F1686">
        <v>7226</v>
      </c>
      <c r="G1686">
        <f t="shared" si="26"/>
        <v>9348887</v>
      </c>
    </row>
    <row r="1687" spans="1:7" x14ac:dyDescent="0.25">
      <c r="A1687">
        <v>9350607</v>
      </c>
      <c r="B1687" t="s">
        <v>24937</v>
      </c>
      <c r="C1687">
        <v>1688</v>
      </c>
      <c r="D1687">
        <v>2</v>
      </c>
      <c r="E1687">
        <v>9495</v>
      </c>
      <c r="F1687">
        <v>1636</v>
      </c>
      <c r="G1687">
        <f t="shared" si="26"/>
        <v>9350607</v>
      </c>
    </row>
    <row r="1688" spans="1:7" x14ac:dyDescent="0.25">
      <c r="A1688">
        <v>9352041</v>
      </c>
      <c r="B1688" t="s">
        <v>24938</v>
      </c>
      <c r="C1688">
        <v>1373</v>
      </c>
      <c r="D1688">
        <v>1</v>
      </c>
      <c r="E1688">
        <v>2182</v>
      </c>
      <c r="F1688">
        <v>3254</v>
      </c>
      <c r="G1688">
        <f t="shared" si="26"/>
        <v>9352041</v>
      </c>
    </row>
    <row r="1689" spans="1:7" x14ac:dyDescent="0.25">
      <c r="A1689">
        <v>9352706</v>
      </c>
      <c r="B1689" t="s">
        <v>24939</v>
      </c>
      <c r="C1689">
        <v>0</v>
      </c>
      <c r="D1689">
        <v>1</v>
      </c>
      <c r="E1689">
        <v>26</v>
      </c>
      <c r="F1689">
        <v>6446</v>
      </c>
      <c r="G1689">
        <f t="shared" si="26"/>
        <v>9352706</v>
      </c>
    </row>
    <row r="1690" spans="1:7" x14ac:dyDescent="0.25">
      <c r="A1690">
        <v>9354659</v>
      </c>
      <c r="B1690" t="s">
        <v>24940</v>
      </c>
      <c r="C1690">
        <v>0</v>
      </c>
      <c r="D1690">
        <v>1</v>
      </c>
      <c r="E1690">
        <v>26</v>
      </c>
      <c r="F1690">
        <v>6447</v>
      </c>
      <c r="G1690">
        <f t="shared" si="26"/>
        <v>9354659</v>
      </c>
    </row>
    <row r="1691" spans="1:7" x14ac:dyDescent="0.25">
      <c r="A1691">
        <v>9354820</v>
      </c>
      <c r="B1691" t="s">
        <v>24941</v>
      </c>
      <c r="C1691">
        <v>126</v>
      </c>
      <c r="D1691">
        <v>4</v>
      </c>
      <c r="E1691">
        <v>15718</v>
      </c>
      <c r="F1691">
        <v>930</v>
      </c>
      <c r="G1691">
        <f t="shared" si="26"/>
        <v>9354820</v>
      </c>
    </row>
    <row r="1692" spans="1:7" x14ac:dyDescent="0.25">
      <c r="A1692">
        <v>9355345</v>
      </c>
      <c r="B1692" t="s">
        <v>24942</v>
      </c>
      <c r="C1692">
        <v>0</v>
      </c>
      <c r="D1692">
        <v>1</v>
      </c>
      <c r="E1692">
        <v>513</v>
      </c>
      <c r="F1692">
        <v>4612</v>
      </c>
      <c r="G1692">
        <f t="shared" si="26"/>
        <v>9355345</v>
      </c>
    </row>
    <row r="1693" spans="1:7" x14ac:dyDescent="0.25">
      <c r="A1693">
        <v>9362012</v>
      </c>
      <c r="B1693" t="s">
        <v>24943</v>
      </c>
      <c r="C1693">
        <v>1363</v>
      </c>
      <c r="D1693">
        <v>1</v>
      </c>
      <c r="E1693">
        <v>3638</v>
      </c>
      <c r="F1693">
        <v>2841</v>
      </c>
      <c r="G1693">
        <f t="shared" si="26"/>
        <v>9362012</v>
      </c>
    </row>
    <row r="1694" spans="1:7" x14ac:dyDescent="0.25">
      <c r="A1694">
        <v>9364488</v>
      </c>
      <c r="B1694" t="s">
        <v>24944</v>
      </c>
      <c r="C1694">
        <v>1651</v>
      </c>
      <c r="D1694">
        <v>1</v>
      </c>
      <c r="E1694">
        <v>2109</v>
      </c>
      <c r="F1694">
        <v>3285</v>
      </c>
      <c r="G1694">
        <f t="shared" si="26"/>
        <v>9364488</v>
      </c>
    </row>
    <row r="1695" spans="1:7" x14ac:dyDescent="0.25">
      <c r="A1695">
        <v>9364534</v>
      </c>
      <c r="B1695" t="s">
        <v>24945</v>
      </c>
      <c r="C1695">
        <v>467</v>
      </c>
      <c r="D1695">
        <v>4</v>
      </c>
      <c r="E1695">
        <v>16743</v>
      </c>
      <c r="F1695">
        <v>847</v>
      </c>
      <c r="G1695">
        <f t="shared" si="26"/>
        <v>9364534</v>
      </c>
    </row>
    <row r="1696" spans="1:7" x14ac:dyDescent="0.25">
      <c r="A1696">
        <v>9367366</v>
      </c>
      <c r="B1696" t="s">
        <v>36207</v>
      </c>
      <c r="C1696">
        <v>1</v>
      </c>
      <c r="D1696">
        <v>1</v>
      </c>
      <c r="E1696">
        <v>1306</v>
      </c>
      <c r="F1696">
        <v>3721</v>
      </c>
      <c r="G1696">
        <f t="shared" si="26"/>
        <v>9367366</v>
      </c>
    </row>
    <row r="1697" spans="1:7" x14ac:dyDescent="0.25">
      <c r="A1697">
        <v>9368758</v>
      </c>
      <c r="B1697" t="s">
        <v>24946</v>
      </c>
      <c r="C1697">
        <v>0</v>
      </c>
      <c r="D1697">
        <v>1</v>
      </c>
      <c r="E1697">
        <v>812</v>
      </c>
      <c r="F1697">
        <v>4183</v>
      </c>
      <c r="G1697">
        <f t="shared" si="26"/>
        <v>9368758</v>
      </c>
    </row>
    <row r="1698" spans="1:7" x14ac:dyDescent="0.25">
      <c r="A1698">
        <v>9369272</v>
      </c>
      <c r="B1698" t="s">
        <v>24947</v>
      </c>
      <c r="C1698">
        <v>1373</v>
      </c>
      <c r="D1698">
        <v>1</v>
      </c>
      <c r="E1698">
        <v>1266</v>
      </c>
      <c r="F1698">
        <v>3749</v>
      </c>
      <c r="G1698">
        <f t="shared" si="26"/>
        <v>9369272</v>
      </c>
    </row>
    <row r="1699" spans="1:7" x14ac:dyDescent="0.25">
      <c r="A1699">
        <v>9369687</v>
      </c>
      <c r="B1699" t="s">
        <v>24948</v>
      </c>
      <c r="C1699">
        <v>578</v>
      </c>
      <c r="D1699">
        <v>4</v>
      </c>
      <c r="E1699">
        <v>20783</v>
      </c>
      <c r="F1699">
        <v>581</v>
      </c>
      <c r="G1699">
        <f t="shared" si="26"/>
        <v>9369687</v>
      </c>
    </row>
    <row r="1700" spans="1:7" x14ac:dyDescent="0.25">
      <c r="A1700">
        <v>9374247</v>
      </c>
      <c r="B1700" t="s">
        <v>24949</v>
      </c>
      <c r="C1700">
        <v>96</v>
      </c>
      <c r="D1700">
        <v>4</v>
      </c>
      <c r="E1700">
        <v>19418</v>
      </c>
      <c r="F1700">
        <v>661</v>
      </c>
      <c r="G1700">
        <f t="shared" si="26"/>
        <v>9374247</v>
      </c>
    </row>
    <row r="1701" spans="1:7" x14ac:dyDescent="0.25">
      <c r="A1701">
        <v>9375952</v>
      </c>
      <c r="B1701" t="s">
        <v>24950</v>
      </c>
      <c r="C1701">
        <v>0</v>
      </c>
      <c r="D1701">
        <v>1</v>
      </c>
      <c r="E1701">
        <v>352</v>
      </c>
      <c r="F1701">
        <v>4977</v>
      </c>
      <c r="G1701">
        <f t="shared" si="26"/>
        <v>9375952</v>
      </c>
    </row>
    <row r="1702" spans="1:7" x14ac:dyDescent="0.25">
      <c r="A1702">
        <v>9376750</v>
      </c>
      <c r="B1702" t="s">
        <v>24951</v>
      </c>
      <c r="C1702">
        <v>422</v>
      </c>
      <c r="D1702">
        <v>3</v>
      </c>
      <c r="E1702">
        <v>11469</v>
      </c>
      <c r="F1702">
        <v>1354</v>
      </c>
      <c r="G1702">
        <f t="shared" si="26"/>
        <v>9376750</v>
      </c>
    </row>
    <row r="1703" spans="1:7" x14ac:dyDescent="0.25">
      <c r="A1703">
        <v>9378546</v>
      </c>
      <c r="B1703" t="s">
        <v>37263</v>
      </c>
      <c r="C1703">
        <v>645</v>
      </c>
      <c r="D1703">
        <v>1</v>
      </c>
      <c r="E1703">
        <v>1648</v>
      </c>
      <c r="F1703">
        <v>3520</v>
      </c>
      <c r="G1703">
        <f t="shared" si="26"/>
        <v>9378546</v>
      </c>
    </row>
    <row r="1704" spans="1:7" x14ac:dyDescent="0.25">
      <c r="A1704">
        <v>9378610</v>
      </c>
      <c r="B1704" t="s">
        <v>24952</v>
      </c>
      <c r="C1704">
        <v>0</v>
      </c>
      <c r="D1704">
        <v>1</v>
      </c>
      <c r="E1704">
        <v>805</v>
      </c>
      <c r="F1704">
        <v>4193</v>
      </c>
      <c r="G1704">
        <f t="shared" si="26"/>
        <v>9378610</v>
      </c>
    </row>
    <row r="1705" spans="1:7" x14ac:dyDescent="0.25">
      <c r="A1705">
        <v>9380418</v>
      </c>
      <c r="B1705" t="s">
        <v>24953</v>
      </c>
      <c r="C1705">
        <v>31</v>
      </c>
      <c r="D1705">
        <v>5</v>
      </c>
      <c r="E1705">
        <v>24931</v>
      </c>
      <c r="F1705">
        <v>393</v>
      </c>
      <c r="G1705">
        <f t="shared" si="26"/>
        <v>9380418</v>
      </c>
    </row>
    <row r="1706" spans="1:7" x14ac:dyDescent="0.25">
      <c r="A1706">
        <v>9380742</v>
      </c>
      <c r="B1706" t="s">
        <v>24954</v>
      </c>
      <c r="C1706">
        <v>0</v>
      </c>
      <c r="D1706">
        <v>1</v>
      </c>
      <c r="E1706">
        <v>2798</v>
      </c>
      <c r="F1706">
        <v>3040</v>
      </c>
      <c r="G1706">
        <f t="shared" si="26"/>
        <v>9380742</v>
      </c>
    </row>
    <row r="1707" spans="1:7" x14ac:dyDescent="0.25">
      <c r="A1707">
        <v>9380929</v>
      </c>
      <c r="B1707" t="s">
        <v>24955</v>
      </c>
      <c r="C1707">
        <v>680</v>
      </c>
      <c r="D1707">
        <v>4</v>
      </c>
      <c r="E1707">
        <v>21441</v>
      </c>
      <c r="F1707">
        <v>554</v>
      </c>
      <c r="G1707">
        <f t="shared" si="26"/>
        <v>9380929</v>
      </c>
    </row>
    <row r="1708" spans="1:7" x14ac:dyDescent="0.25">
      <c r="A1708">
        <v>9385331</v>
      </c>
      <c r="B1708" t="s">
        <v>24956</v>
      </c>
      <c r="C1708">
        <v>680</v>
      </c>
      <c r="D1708">
        <v>1</v>
      </c>
      <c r="E1708">
        <v>2486</v>
      </c>
      <c r="F1708">
        <v>3142</v>
      </c>
      <c r="G1708">
        <f t="shared" si="26"/>
        <v>9385331</v>
      </c>
    </row>
    <row r="1709" spans="1:7" x14ac:dyDescent="0.25">
      <c r="A1709">
        <v>9385729</v>
      </c>
      <c r="B1709" t="s">
        <v>24957</v>
      </c>
      <c r="C1709">
        <v>0</v>
      </c>
      <c r="D1709">
        <v>0</v>
      </c>
      <c r="E1709">
        <v>0</v>
      </c>
      <c r="F1709">
        <v>7227</v>
      </c>
      <c r="G1709">
        <f t="shared" si="26"/>
        <v>9385729</v>
      </c>
    </row>
    <row r="1710" spans="1:7" x14ac:dyDescent="0.25">
      <c r="A1710">
        <v>9386350</v>
      </c>
      <c r="B1710" t="s">
        <v>36995</v>
      </c>
      <c r="C1710">
        <v>1203</v>
      </c>
      <c r="D1710">
        <v>1</v>
      </c>
      <c r="E1710">
        <v>3916</v>
      </c>
      <c r="F1710">
        <v>2782</v>
      </c>
      <c r="G1710">
        <f t="shared" si="26"/>
        <v>9386350</v>
      </c>
    </row>
    <row r="1711" spans="1:7" x14ac:dyDescent="0.25">
      <c r="A1711">
        <v>9387408</v>
      </c>
      <c r="B1711" t="s">
        <v>36208</v>
      </c>
      <c r="C1711">
        <v>0</v>
      </c>
      <c r="D1711">
        <v>1</v>
      </c>
      <c r="E1711">
        <v>184</v>
      </c>
      <c r="F1711">
        <v>5565</v>
      </c>
      <c r="G1711">
        <f t="shared" si="26"/>
        <v>9387408</v>
      </c>
    </row>
    <row r="1712" spans="1:7" x14ac:dyDescent="0.25">
      <c r="A1712">
        <v>9389833</v>
      </c>
      <c r="B1712" t="s">
        <v>24958</v>
      </c>
      <c r="C1712">
        <v>0</v>
      </c>
      <c r="D1712">
        <v>1</v>
      </c>
      <c r="E1712">
        <v>301</v>
      </c>
      <c r="F1712">
        <v>5118</v>
      </c>
      <c r="G1712">
        <f t="shared" si="26"/>
        <v>9389833</v>
      </c>
    </row>
    <row r="1713" spans="1:7" x14ac:dyDescent="0.25">
      <c r="A1713">
        <v>9391409</v>
      </c>
      <c r="B1713" t="s">
        <v>24959</v>
      </c>
      <c r="C1713">
        <v>0</v>
      </c>
      <c r="D1713">
        <v>1</v>
      </c>
      <c r="E1713">
        <v>218</v>
      </c>
      <c r="F1713">
        <v>5439</v>
      </c>
      <c r="G1713">
        <f t="shared" si="26"/>
        <v>9391409</v>
      </c>
    </row>
    <row r="1714" spans="1:7" x14ac:dyDescent="0.25">
      <c r="A1714">
        <v>9391532</v>
      </c>
      <c r="B1714" t="s">
        <v>36209</v>
      </c>
      <c r="C1714">
        <v>0</v>
      </c>
      <c r="D1714">
        <v>1</v>
      </c>
      <c r="E1714">
        <v>430</v>
      </c>
      <c r="F1714">
        <v>4786</v>
      </c>
      <c r="G1714">
        <f t="shared" si="26"/>
        <v>9391532</v>
      </c>
    </row>
    <row r="1715" spans="1:7" x14ac:dyDescent="0.25">
      <c r="A1715">
        <v>9394779</v>
      </c>
      <c r="B1715" t="s">
        <v>24960</v>
      </c>
      <c r="C1715">
        <v>419</v>
      </c>
      <c r="D1715">
        <v>3</v>
      </c>
      <c r="E1715">
        <v>11501</v>
      </c>
      <c r="F1715">
        <v>1346</v>
      </c>
      <c r="G1715">
        <f t="shared" si="26"/>
        <v>9394779</v>
      </c>
    </row>
    <row r="1716" spans="1:7" x14ac:dyDescent="0.25">
      <c r="A1716">
        <v>9394926</v>
      </c>
      <c r="B1716" t="s">
        <v>36210</v>
      </c>
      <c r="C1716">
        <v>0</v>
      </c>
      <c r="D1716">
        <v>1</v>
      </c>
      <c r="E1716">
        <v>493</v>
      </c>
      <c r="F1716">
        <v>4658</v>
      </c>
      <c r="G1716">
        <f t="shared" si="26"/>
        <v>9394926</v>
      </c>
    </row>
    <row r="1717" spans="1:7" x14ac:dyDescent="0.25">
      <c r="A1717">
        <v>9395558</v>
      </c>
      <c r="B1717" t="s">
        <v>36211</v>
      </c>
      <c r="C1717">
        <v>1643</v>
      </c>
      <c r="D1717">
        <v>1</v>
      </c>
      <c r="E1717">
        <v>1023</v>
      </c>
      <c r="F1717">
        <v>3953</v>
      </c>
      <c r="G1717">
        <f t="shared" si="26"/>
        <v>9395558</v>
      </c>
    </row>
    <row r="1718" spans="1:7" x14ac:dyDescent="0.25">
      <c r="A1718">
        <v>9395622</v>
      </c>
      <c r="B1718" t="s">
        <v>24961</v>
      </c>
      <c r="C1718">
        <v>0</v>
      </c>
      <c r="D1718">
        <v>1</v>
      </c>
      <c r="E1718">
        <v>1401</v>
      </c>
      <c r="F1718">
        <v>3657</v>
      </c>
      <c r="G1718">
        <f t="shared" si="26"/>
        <v>9395622</v>
      </c>
    </row>
    <row r="1719" spans="1:7" x14ac:dyDescent="0.25">
      <c r="A1719">
        <v>9395772</v>
      </c>
      <c r="B1719">
        <v>9182736436</v>
      </c>
      <c r="C1719">
        <v>3</v>
      </c>
      <c r="D1719">
        <v>2</v>
      </c>
      <c r="E1719">
        <v>8312</v>
      </c>
      <c r="F1719">
        <v>1841</v>
      </c>
      <c r="G1719">
        <f t="shared" si="26"/>
        <v>9395772</v>
      </c>
    </row>
    <row r="1720" spans="1:7" x14ac:dyDescent="0.25">
      <c r="A1720">
        <v>9400444</v>
      </c>
      <c r="B1720" t="s">
        <v>24962</v>
      </c>
      <c r="C1720">
        <v>0</v>
      </c>
      <c r="D1720">
        <v>1</v>
      </c>
      <c r="E1720">
        <v>99</v>
      </c>
      <c r="F1720">
        <v>5854</v>
      </c>
      <c r="G1720">
        <f t="shared" si="26"/>
        <v>9400444</v>
      </c>
    </row>
    <row r="1721" spans="1:7" x14ac:dyDescent="0.25">
      <c r="A1721">
        <v>9401798</v>
      </c>
      <c r="B1721" t="s">
        <v>24963</v>
      </c>
      <c r="C1721">
        <v>0</v>
      </c>
      <c r="D1721">
        <v>1</v>
      </c>
      <c r="E1721">
        <v>73</v>
      </c>
      <c r="F1721">
        <v>6030</v>
      </c>
      <c r="G1721">
        <f t="shared" si="26"/>
        <v>9401798</v>
      </c>
    </row>
    <row r="1722" spans="1:7" x14ac:dyDescent="0.25">
      <c r="A1722">
        <v>9403807</v>
      </c>
      <c r="B1722" t="s">
        <v>24964</v>
      </c>
      <c r="C1722">
        <v>0</v>
      </c>
      <c r="D1722">
        <v>1</v>
      </c>
      <c r="E1722">
        <v>396</v>
      </c>
      <c r="F1722">
        <v>4870</v>
      </c>
      <c r="G1722">
        <f t="shared" si="26"/>
        <v>9403807</v>
      </c>
    </row>
    <row r="1723" spans="1:7" x14ac:dyDescent="0.25">
      <c r="A1723">
        <v>9404221</v>
      </c>
      <c r="B1723" t="s">
        <v>24965</v>
      </c>
      <c r="C1723">
        <v>989</v>
      </c>
      <c r="D1723">
        <v>0</v>
      </c>
      <c r="E1723">
        <v>0</v>
      </c>
      <c r="F1723">
        <v>7228</v>
      </c>
      <c r="G1723">
        <f t="shared" si="26"/>
        <v>9404221</v>
      </c>
    </row>
    <row r="1724" spans="1:7" x14ac:dyDescent="0.25">
      <c r="A1724">
        <v>9405313</v>
      </c>
      <c r="B1724" t="s">
        <v>37099</v>
      </c>
      <c r="C1724">
        <v>0</v>
      </c>
      <c r="D1724">
        <v>1</v>
      </c>
      <c r="E1724">
        <v>26</v>
      </c>
      <c r="F1724">
        <v>6448</v>
      </c>
      <c r="G1724">
        <f t="shared" si="26"/>
        <v>9405313</v>
      </c>
    </row>
    <row r="1725" spans="1:7" x14ac:dyDescent="0.25">
      <c r="A1725">
        <v>9406990</v>
      </c>
      <c r="B1725" t="s">
        <v>24966</v>
      </c>
      <c r="C1725">
        <v>1914</v>
      </c>
      <c r="D1725">
        <v>1</v>
      </c>
      <c r="E1725">
        <v>936</v>
      </c>
      <c r="F1725">
        <v>4057</v>
      </c>
      <c r="G1725">
        <f t="shared" si="26"/>
        <v>9406990</v>
      </c>
    </row>
    <row r="1726" spans="1:7" x14ac:dyDescent="0.25">
      <c r="A1726">
        <v>9408355</v>
      </c>
      <c r="B1726" t="s">
        <v>24967</v>
      </c>
      <c r="C1726">
        <v>0</v>
      </c>
      <c r="D1726">
        <v>1</v>
      </c>
      <c r="E1726">
        <v>26</v>
      </c>
      <c r="F1726">
        <v>6449</v>
      </c>
      <c r="G1726">
        <f t="shared" si="26"/>
        <v>9408355</v>
      </c>
    </row>
    <row r="1727" spans="1:7" x14ac:dyDescent="0.25">
      <c r="A1727">
        <v>9410032</v>
      </c>
      <c r="B1727" t="s">
        <v>36212</v>
      </c>
      <c r="C1727">
        <v>733</v>
      </c>
      <c r="D1727">
        <v>5</v>
      </c>
      <c r="E1727">
        <v>27713</v>
      </c>
      <c r="F1727">
        <v>312</v>
      </c>
      <c r="G1727">
        <f t="shared" si="26"/>
        <v>9410032</v>
      </c>
    </row>
    <row r="1728" spans="1:7" x14ac:dyDescent="0.25">
      <c r="A1728">
        <v>9410560</v>
      </c>
      <c r="B1728" t="s">
        <v>24968</v>
      </c>
      <c r="C1728">
        <v>0</v>
      </c>
      <c r="D1728">
        <v>1</v>
      </c>
      <c r="E1728">
        <v>497</v>
      </c>
      <c r="F1728">
        <v>4643</v>
      </c>
      <c r="G1728">
        <f t="shared" si="26"/>
        <v>9410560</v>
      </c>
    </row>
    <row r="1729" spans="1:7" x14ac:dyDescent="0.25">
      <c r="A1729">
        <v>9411745</v>
      </c>
      <c r="B1729" t="s">
        <v>24969</v>
      </c>
      <c r="C1729">
        <v>69</v>
      </c>
      <c r="D1729">
        <v>4</v>
      </c>
      <c r="E1729">
        <v>20824</v>
      </c>
      <c r="F1729">
        <v>575</v>
      </c>
      <c r="G1729">
        <f t="shared" ref="G1729:G1792" si="27">A1729</f>
        <v>9411745</v>
      </c>
    </row>
    <row r="1730" spans="1:7" x14ac:dyDescent="0.25">
      <c r="A1730">
        <v>9412662</v>
      </c>
      <c r="B1730" t="s">
        <v>24970</v>
      </c>
      <c r="C1730">
        <v>0</v>
      </c>
      <c r="D1730">
        <v>1</v>
      </c>
      <c r="E1730">
        <v>51</v>
      </c>
      <c r="F1730">
        <v>6160</v>
      </c>
      <c r="G1730">
        <f t="shared" si="27"/>
        <v>9412662</v>
      </c>
    </row>
    <row r="1731" spans="1:7" x14ac:dyDescent="0.25">
      <c r="A1731">
        <v>9415506</v>
      </c>
      <c r="B1731" t="s">
        <v>24971</v>
      </c>
      <c r="C1731">
        <v>131</v>
      </c>
      <c r="D1731">
        <v>5</v>
      </c>
      <c r="E1731">
        <v>17050</v>
      </c>
      <c r="F1731">
        <v>822</v>
      </c>
      <c r="G1731">
        <f t="shared" si="27"/>
        <v>9415506</v>
      </c>
    </row>
    <row r="1732" spans="1:7" x14ac:dyDescent="0.25">
      <c r="A1732">
        <v>9416029</v>
      </c>
      <c r="B1732" t="s">
        <v>24972</v>
      </c>
      <c r="C1732">
        <v>0</v>
      </c>
      <c r="D1732">
        <v>2</v>
      </c>
      <c r="E1732">
        <v>11142</v>
      </c>
      <c r="F1732">
        <v>1423</v>
      </c>
      <c r="G1732">
        <f t="shared" si="27"/>
        <v>9416029</v>
      </c>
    </row>
    <row r="1733" spans="1:7" x14ac:dyDescent="0.25">
      <c r="A1733">
        <v>9418614</v>
      </c>
      <c r="B1733" t="s">
        <v>24973</v>
      </c>
      <c r="C1733">
        <v>0</v>
      </c>
      <c r="D1733">
        <v>0</v>
      </c>
      <c r="E1733">
        <v>0</v>
      </c>
      <c r="F1733">
        <v>7229</v>
      </c>
      <c r="G1733">
        <f t="shared" si="27"/>
        <v>9418614</v>
      </c>
    </row>
    <row r="1734" spans="1:7" x14ac:dyDescent="0.25">
      <c r="A1734">
        <v>9418772</v>
      </c>
      <c r="B1734" t="s">
        <v>36213</v>
      </c>
      <c r="C1734">
        <v>1974</v>
      </c>
      <c r="D1734">
        <v>1</v>
      </c>
      <c r="E1734">
        <v>1956</v>
      </c>
      <c r="F1734">
        <v>3345</v>
      </c>
      <c r="G1734">
        <f t="shared" si="27"/>
        <v>9418772</v>
      </c>
    </row>
    <row r="1735" spans="1:7" x14ac:dyDescent="0.25">
      <c r="A1735">
        <v>9422279</v>
      </c>
      <c r="B1735" t="s">
        <v>24974</v>
      </c>
      <c r="C1735">
        <v>31</v>
      </c>
      <c r="D1735">
        <v>6</v>
      </c>
      <c r="E1735">
        <v>28072</v>
      </c>
      <c r="F1735">
        <v>294</v>
      </c>
      <c r="G1735">
        <f t="shared" si="27"/>
        <v>9422279</v>
      </c>
    </row>
    <row r="1736" spans="1:7" x14ac:dyDescent="0.25">
      <c r="A1736">
        <v>9425107</v>
      </c>
      <c r="B1736" t="s">
        <v>24975</v>
      </c>
      <c r="C1736">
        <v>0</v>
      </c>
      <c r="D1736">
        <v>1</v>
      </c>
      <c r="E1736">
        <v>77</v>
      </c>
      <c r="F1736">
        <v>5987</v>
      </c>
      <c r="G1736">
        <f t="shared" si="27"/>
        <v>9425107</v>
      </c>
    </row>
    <row r="1737" spans="1:7" x14ac:dyDescent="0.25">
      <c r="A1737">
        <v>9425598</v>
      </c>
      <c r="B1737" t="s">
        <v>24976</v>
      </c>
      <c r="C1737">
        <v>115</v>
      </c>
      <c r="D1737">
        <v>6</v>
      </c>
      <c r="E1737">
        <v>24182</v>
      </c>
      <c r="F1737">
        <v>431</v>
      </c>
      <c r="G1737">
        <f t="shared" si="27"/>
        <v>9425598</v>
      </c>
    </row>
    <row r="1738" spans="1:7" x14ac:dyDescent="0.25">
      <c r="A1738">
        <v>9426418</v>
      </c>
      <c r="B1738" t="s">
        <v>24977</v>
      </c>
      <c r="C1738">
        <v>0</v>
      </c>
      <c r="D1738">
        <v>0</v>
      </c>
      <c r="E1738">
        <v>0</v>
      </c>
      <c r="F1738">
        <v>7230</v>
      </c>
      <c r="G1738">
        <f t="shared" si="27"/>
        <v>9426418</v>
      </c>
    </row>
    <row r="1739" spans="1:7" x14ac:dyDescent="0.25">
      <c r="A1739">
        <v>9429167</v>
      </c>
      <c r="B1739" t="s">
        <v>24978</v>
      </c>
      <c r="C1739">
        <v>0</v>
      </c>
      <c r="D1739">
        <v>1</v>
      </c>
      <c r="E1739">
        <v>26</v>
      </c>
      <c r="F1739">
        <v>6450</v>
      </c>
      <c r="G1739">
        <f t="shared" si="27"/>
        <v>9429167</v>
      </c>
    </row>
    <row r="1740" spans="1:7" x14ac:dyDescent="0.25">
      <c r="A1740">
        <v>9429849</v>
      </c>
      <c r="B1740" t="s">
        <v>24979</v>
      </c>
      <c r="C1740">
        <v>208</v>
      </c>
      <c r="D1740">
        <v>0</v>
      </c>
      <c r="E1740">
        <v>0</v>
      </c>
      <c r="F1740">
        <v>7231</v>
      </c>
      <c r="G1740">
        <f t="shared" si="27"/>
        <v>9429849</v>
      </c>
    </row>
    <row r="1741" spans="1:7" x14ac:dyDescent="0.25">
      <c r="A1741">
        <v>9432353</v>
      </c>
      <c r="B1741" t="s">
        <v>24980</v>
      </c>
      <c r="C1741">
        <v>126</v>
      </c>
      <c r="D1741">
        <v>9</v>
      </c>
      <c r="E1741">
        <v>50113</v>
      </c>
      <c r="F1741">
        <v>40</v>
      </c>
      <c r="G1741">
        <f t="shared" si="27"/>
        <v>9432353</v>
      </c>
    </row>
    <row r="1742" spans="1:7" x14ac:dyDescent="0.25">
      <c r="A1742">
        <v>9433851</v>
      </c>
      <c r="B1742" t="s">
        <v>24981</v>
      </c>
      <c r="C1742">
        <v>0</v>
      </c>
      <c r="D1742">
        <v>2</v>
      </c>
      <c r="E1742">
        <v>12602</v>
      </c>
      <c r="F1742">
        <v>1210</v>
      </c>
      <c r="G1742">
        <f t="shared" si="27"/>
        <v>9433851</v>
      </c>
    </row>
    <row r="1743" spans="1:7" x14ac:dyDescent="0.25">
      <c r="A1743">
        <v>9435943</v>
      </c>
      <c r="B1743" t="s">
        <v>24982</v>
      </c>
      <c r="C1743">
        <v>0</v>
      </c>
      <c r="D1743">
        <v>1</v>
      </c>
      <c r="E1743">
        <v>829</v>
      </c>
      <c r="F1743">
        <v>4157</v>
      </c>
      <c r="G1743">
        <f t="shared" si="27"/>
        <v>9435943</v>
      </c>
    </row>
    <row r="1744" spans="1:7" x14ac:dyDescent="0.25">
      <c r="A1744">
        <v>9436207</v>
      </c>
      <c r="B1744" t="s">
        <v>24983</v>
      </c>
      <c r="C1744">
        <v>0</v>
      </c>
      <c r="D1744">
        <v>1</v>
      </c>
      <c r="E1744">
        <v>509</v>
      </c>
      <c r="F1744">
        <v>4610</v>
      </c>
      <c r="G1744">
        <f t="shared" si="27"/>
        <v>9436207</v>
      </c>
    </row>
    <row r="1745" spans="1:7" x14ac:dyDescent="0.25">
      <c r="A1745">
        <v>9436945</v>
      </c>
      <c r="B1745" t="s">
        <v>1242</v>
      </c>
      <c r="C1745">
        <v>124</v>
      </c>
      <c r="D1745">
        <v>1</v>
      </c>
      <c r="E1745">
        <v>6932</v>
      </c>
      <c r="F1745">
        <v>2074</v>
      </c>
      <c r="G1745">
        <f t="shared" si="27"/>
        <v>9436945</v>
      </c>
    </row>
    <row r="1746" spans="1:7" x14ac:dyDescent="0.25">
      <c r="A1746">
        <v>9442286</v>
      </c>
      <c r="B1746" t="s">
        <v>36996</v>
      </c>
      <c r="C1746">
        <v>0</v>
      </c>
      <c r="D1746">
        <v>1</v>
      </c>
      <c r="E1746">
        <v>26</v>
      </c>
      <c r="F1746">
        <v>6451</v>
      </c>
      <c r="G1746">
        <f t="shared" si="27"/>
        <v>9442286</v>
      </c>
    </row>
    <row r="1747" spans="1:7" x14ac:dyDescent="0.25">
      <c r="A1747">
        <v>9442447</v>
      </c>
      <c r="B1747" t="s">
        <v>24984</v>
      </c>
      <c r="C1747">
        <v>0</v>
      </c>
      <c r="D1747">
        <v>1</v>
      </c>
      <c r="E1747">
        <v>422</v>
      </c>
      <c r="F1747">
        <v>4800</v>
      </c>
      <c r="G1747">
        <f t="shared" si="27"/>
        <v>9442447</v>
      </c>
    </row>
    <row r="1748" spans="1:7" x14ac:dyDescent="0.25">
      <c r="A1748">
        <v>9443789</v>
      </c>
      <c r="B1748" t="s">
        <v>36214</v>
      </c>
      <c r="C1748">
        <v>0</v>
      </c>
      <c r="D1748">
        <v>1</v>
      </c>
      <c r="E1748">
        <v>848</v>
      </c>
      <c r="F1748">
        <v>4142</v>
      </c>
      <c r="G1748">
        <f t="shared" si="27"/>
        <v>9443789</v>
      </c>
    </row>
    <row r="1749" spans="1:7" x14ac:dyDescent="0.25">
      <c r="A1749">
        <v>9445924</v>
      </c>
      <c r="B1749" t="s">
        <v>37125</v>
      </c>
      <c r="C1749">
        <v>0</v>
      </c>
      <c r="D1749">
        <v>0</v>
      </c>
      <c r="E1749">
        <v>0</v>
      </c>
      <c r="F1749">
        <v>7232</v>
      </c>
      <c r="G1749">
        <f t="shared" si="27"/>
        <v>9445924</v>
      </c>
    </row>
    <row r="1750" spans="1:7" x14ac:dyDescent="0.25">
      <c r="A1750">
        <v>9446231</v>
      </c>
      <c r="B1750" t="s">
        <v>2107</v>
      </c>
      <c r="C1750">
        <v>413</v>
      </c>
      <c r="D1750">
        <v>1</v>
      </c>
      <c r="E1750">
        <v>4368</v>
      </c>
      <c r="F1750">
        <v>2661</v>
      </c>
      <c r="G1750">
        <f t="shared" si="27"/>
        <v>9446231</v>
      </c>
    </row>
    <row r="1751" spans="1:7" x14ac:dyDescent="0.25">
      <c r="A1751">
        <v>9448125</v>
      </c>
      <c r="B1751" t="s">
        <v>24985</v>
      </c>
      <c r="C1751">
        <v>0</v>
      </c>
      <c r="D1751">
        <v>1</v>
      </c>
      <c r="E1751">
        <v>26</v>
      </c>
      <c r="F1751">
        <v>6452</v>
      </c>
      <c r="G1751">
        <f t="shared" si="27"/>
        <v>9448125</v>
      </c>
    </row>
    <row r="1752" spans="1:7" x14ac:dyDescent="0.25">
      <c r="A1752">
        <v>9448451</v>
      </c>
      <c r="B1752" t="s">
        <v>24986</v>
      </c>
      <c r="C1752">
        <v>1946</v>
      </c>
      <c r="D1752">
        <v>3</v>
      </c>
      <c r="E1752">
        <v>9317</v>
      </c>
      <c r="F1752">
        <v>1674</v>
      </c>
      <c r="G1752">
        <f t="shared" si="27"/>
        <v>9448451</v>
      </c>
    </row>
    <row r="1753" spans="1:7" x14ac:dyDescent="0.25">
      <c r="A1753">
        <v>9448699</v>
      </c>
      <c r="B1753" t="s">
        <v>24987</v>
      </c>
      <c r="C1753">
        <v>0</v>
      </c>
      <c r="D1753">
        <v>1</v>
      </c>
      <c r="E1753">
        <v>26</v>
      </c>
      <c r="F1753">
        <v>6453</v>
      </c>
      <c r="G1753">
        <f t="shared" si="27"/>
        <v>9448699</v>
      </c>
    </row>
    <row r="1754" spans="1:7" x14ac:dyDescent="0.25">
      <c r="A1754">
        <v>9448972</v>
      </c>
      <c r="B1754" t="s">
        <v>36215</v>
      </c>
      <c r="C1754">
        <v>0</v>
      </c>
      <c r="D1754">
        <v>0</v>
      </c>
      <c r="E1754">
        <v>0</v>
      </c>
      <c r="F1754">
        <v>7233</v>
      </c>
      <c r="G1754">
        <f t="shared" si="27"/>
        <v>9448972</v>
      </c>
    </row>
    <row r="1755" spans="1:7" x14ac:dyDescent="0.25">
      <c r="A1755">
        <v>9449355</v>
      </c>
      <c r="B1755" t="s">
        <v>24988</v>
      </c>
      <c r="C1755">
        <v>4</v>
      </c>
      <c r="D1755">
        <v>7</v>
      </c>
      <c r="E1755">
        <v>35330</v>
      </c>
      <c r="F1755">
        <v>146</v>
      </c>
      <c r="G1755">
        <f t="shared" si="27"/>
        <v>9449355</v>
      </c>
    </row>
    <row r="1756" spans="1:7" x14ac:dyDescent="0.25">
      <c r="A1756">
        <v>9449591</v>
      </c>
      <c r="B1756" t="s">
        <v>24989</v>
      </c>
      <c r="C1756">
        <v>0</v>
      </c>
      <c r="D1756">
        <v>1</v>
      </c>
      <c r="E1756">
        <v>442</v>
      </c>
      <c r="F1756">
        <v>4757</v>
      </c>
      <c r="G1756">
        <f t="shared" si="27"/>
        <v>9449591</v>
      </c>
    </row>
    <row r="1757" spans="1:7" x14ac:dyDescent="0.25">
      <c r="A1757">
        <v>9453224</v>
      </c>
      <c r="B1757" t="s">
        <v>36216</v>
      </c>
      <c r="C1757">
        <v>0</v>
      </c>
      <c r="D1757">
        <v>0</v>
      </c>
      <c r="E1757">
        <v>0</v>
      </c>
      <c r="F1757">
        <v>7234</v>
      </c>
      <c r="G1757">
        <f t="shared" si="27"/>
        <v>9453224</v>
      </c>
    </row>
    <row r="1758" spans="1:7" x14ac:dyDescent="0.25">
      <c r="A1758">
        <v>9457134</v>
      </c>
      <c r="B1758" t="s">
        <v>36217</v>
      </c>
      <c r="C1758">
        <v>0</v>
      </c>
      <c r="D1758">
        <v>1</v>
      </c>
      <c r="E1758">
        <v>26</v>
      </c>
      <c r="F1758">
        <v>6454</v>
      </c>
      <c r="G1758">
        <f t="shared" si="27"/>
        <v>9457134</v>
      </c>
    </row>
    <row r="1759" spans="1:7" x14ac:dyDescent="0.25">
      <c r="A1759">
        <v>9457258</v>
      </c>
      <c r="B1759" t="s">
        <v>24990</v>
      </c>
      <c r="C1759">
        <v>1609</v>
      </c>
      <c r="D1759">
        <v>2</v>
      </c>
      <c r="E1759">
        <v>9568</v>
      </c>
      <c r="F1759">
        <v>1628</v>
      </c>
      <c r="G1759">
        <f t="shared" si="27"/>
        <v>9457258</v>
      </c>
    </row>
    <row r="1760" spans="1:7" x14ac:dyDescent="0.25">
      <c r="A1760">
        <v>9457306</v>
      </c>
      <c r="B1760" t="s">
        <v>24991</v>
      </c>
      <c r="C1760">
        <v>1609</v>
      </c>
      <c r="D1760">
        <v>3</v>
      </c>
      <c r="E1760">
        <v>14570</v>
      </c>
      <c r="F1760">
        <v>1026</v>
      </c>
      <c r="G1760">
        <f t="shared" si="27"/>
        <v>9457306</v>
      </c>
    </row>
    <row r="1761" spans="1:7" x14ac:dyDescent="0.25">
      <c r="A1761">
        <v>9460687</v>
      </c>
      <c r="B1761" t="s">
        <v>24992</v>
      </c>
      <c r="C1761">
        <v>321</v>
      </c>
      <c r="D1761">
        <v>4</v>
      </c>
      <c r="E1761">
        <v>27086</v>
      </c>
      <c r="F1761">
        <v>331</v>
      </c>
      <c r="G1761">
        <f t="shared" si="27"/>
        <v>9460687</v>
      </c>
    </row>
    <row r="1762" spans="1:7" x14ac:dyDescent="0.25">
      <c r="A1762">
        <v>9461163</v>
      </c>
      <c r="B1762" t="s">
        <v>24993</v>
      </c>
      <c r="C1762">
        <v>218</v>
      </c>
      <c r="D1762">
        <v>1</v>
      </c>
      <c r="E1762">
        <v>26</v>
      </c>
      <c r="F1762">
        <v>6455</v>
      </c>
      <c r="G1762">
        <f t="shared" si="27"/>
        <v>9461163</v>
      </c>
    </row>
    <row r="1763" spans="1:7" x14ac:dyDescent="0.25">
      <c r="A1763">
        <v>9461419</v>
      </c>
      <c r="B1763" t="s">
        <v>24994</v>
      </c>
      <c r="C1763">
        <v>67</v>
      </c>
      <c r="D1763">
        <v>2</v>
      </c>
      <c r="E1763">
        <v>9226</v>
      </c>
      <c r="F1763">
        <v>1686</v>
      </c>
      <c r="G1763">
        <f t="shared" si="27"/>
        <v>9461419</v>
      </c>
    </row>
    <row r="1764" spans="1:7" x14ac:dyDescent="0.25">
      <c r="A1764">
        <v>9464323</v>
      </c>
      <c r="B1764" t="s">
        <v>24995</v>
      </c>
      <c r="C1764">
        <v>1930</v>
      </c>
      <c r="D1764">
        <v>1</v>
      </c>
      <c r="E1764">
        <v>684</v>
      </c>
      <c r="F1764">
        <v>4361</v>
      </c>
      <c r="G1764">
        <f t="shared" si="27"/>
        <v>9464323</v>
      </c>
    </row>
    <row r="1765" spans="1:7" x14ac:dyDescent="0.25">
      <c r="A1765">
        <v>9473617</v>
      </c>
      <c r="B1765" t="s">
        <v>24996</v>
      </c>
      <c r="C1765">
        <v>259</v>
      </c>
      <c r="D1765">
        <v>2</v>
      </c>
      <c r="E1765">
        <v>9249</v>
      </c>
      <c r="F1765">
        <v>1682</v>
      </c>
      <c r="G1765">
        <f t="shared" si="27"/>
        <v>9473617</v>
      </c>
    </row>
    <row r="1766" spans="1:7" x14ac:dyDescent="0.25">
      <c r="A1766">
        <v>9473982</v>
      </c>
      <c r="B1766" t="s">
        <v>24997</v>
      </c>
      <c r="C1766">
        <v>0</v>
      </c>
      <c r="D1766">
        <v>1</v>
      </c>
      <c r="E1766">
        <v>77</v>
      </c>
      <c r="F1766">
        <v>6022</v>
      </c>
      <c r="G1766">
        <f t="shared" si="27"/>
        <v>9473982</v>
      </c>
    </row>
    <row r="1767" spans="1:7" x14ac:dyDescent="0.25">
      <c r="A1767">
        <v>9474313</v>
      </c>
      <c r="B1767" t="s">
        <v>37218</v>
      </c>
      <c r="C1767">
        <v>887</v>
      </c>
      <c r="D1767">
        <v>3</v>
      </c>
      <c r="E1767">
        <v>8112</v>
      </c>
      <c r="F1767">
        <v>1859</v>
      </c>
      <c r="G1767">
        <f t="shared" si="27"/>
        <v>9474313</v>
      </c>
    </row>
    <row r="1768" spans="1:7" x14ac:dyDescent="0.25">
      <c r="A1768">
        <v>9474767</v>
      </c>
      <c r="B1768" t="s">
        <v>24998</v>
      </c>
      <c r="C1768">
        <v>1858</v>
      </c>
      <c r="D1768">
        <v>1</v>
      </c>
      <c r="E1768">
        <v>632</v>
      </c>
      <c r="F1768">
        <v>4431</v>
      </c>
      <c r="G1768">
        <f t="shared" si="27"/>
        <v>9474767</v>
      </c>
    </row>
    <row r="1769" spans="1:7" x14ac:dyDescent="0.25">
      <c r="A1769">
        <v>9475059</v>
      </c>
      <c r="B1769" t="s">
        <v>24999</v>
      </c>
      <c r="C1769">
        <v>0</v>
      </c>
      <c r="D1769">
        <v>0</v>
      </c>
      <c r="E1769">
        <v>0</v>
      </c>
      <c r="F1769">
        <v>7235</v>
      </c>
      <c r="G1769">
        <f t="shared" si="27"/>
        <v>9475059</v>
      </c>
    </row>
    <row r="1770" spans="1:7" x14ac:dyDescent="0.25">
      <c r="A1770">
        <v>9475407</v>
      </c>
      <c r="B1770" t="s">
        <v>37264</v>
      </c>
      <c r="C1770">
        <v>1119</v>
      </c>
      <c r="D1770">
        <v>1</v>
      </c>
      <c r="E1770">
        <v>1023</v>
      </c>
      <c r="F1770">
        <v>3907</v>
      </c>
      <c r="G1770">
        <f t="shared" si="27"/>
        <v>9475407</v>
      </c>
    </row>
    <row r="1771" spans="1:7" x14ac:dyDescent="0.25">
      <c r="A1771">
        <v>9475457</v>
      </c>
      <c r="B1771" t="s">
        <v>25000</v>
      </c>
      <c r="C1771">
        <v>235</v>
      </c>
      <c r="D1771">
        <v>1</v>
      </c>
      <c r="E1771">
        <v>5570</v>
      </c>
      <c r="F1771">
        <v>2388</v>
      </c>
      <c r="G1771">
        <f t="shared" si="27"/>
        <v>9475457</v>
      </c>
    </row>
    <row r="1772" spans="1:7" x14ac:dyDescent="0.25">
      <c r="A1772">
        <v>9475618</v>
      </c>
      <c r="B1772" t="s">
        <v>25001</v>
      </c>
      <c r="C1772">
        <v>0</v>
      </c>
      <c r="D1772">
        <v>1</v>
      </c>
      <c r="E1772">
        <v>77</v>
      </c>
      <c r="F1772">
        <v>5988</v>
      </c>
      <c r="G1772">
        <f t="shared" si="27"/>
        <v>9475618</v>
      </c>
    </row>
    <row r="1773" spans="1:7" x14ac:dyDescent="0.25">
      <c r="A1773">
        <v>9476482</v>
      </c>
      <c r="B1773" t="s">
        <v>25002</v>
      </c>
      <c r="C1773">
        <v>39</v>
      </c>
      <c r="D1773">
        <v>4</v>
      </c>
      <c r="E1773">
        <v>21305</v>
      </c>
      <c r="F1773">
        <v>557</v>
      </c>
      <c r="G1773">
        <f t="shared" si="27"/>
        <v>9476482</v>
      </c>
    </row>
    <row r="1774" spans="1:7" x14ac:dyDescent="0.25">
      <c r="A1774">
        <v>9484403</v>
      </c>
      <c r="B1774" t="s">
        <v>36218</v>
      </c>
      <c r="C1774">
        <v>645</v>
      </c>
      <c r="D1774">
        <v>1</v>
      </c>
      <c r="E1774">
        <v>4394</v>
      </c>
      <c r="F1774">
        <v>2649</v>
      </c>
      <c r="G1774">
        <f t="shared" si="27"/>
        <v>9484403</v>
      </c>
    </row>
    <row r="1775" spans="1:7" x14ac:dyDescent="0.25">
      <c r="A1775">
        <v>9488089</v>
      </c>
      <c r="B1775" t="s">
        <v>25003</v>
      </c>
      <c r="C1775">
        <v>131</v>
      </c>
      <c r="D1775">
        <v>3</v>
      </c>
      <c r="E1775">
        <v>11556</v>
      </c>
      <c r="F1775">
        <v>1348</v>
      </c>
      <c r="G1775">
        <f t="shared" si="27"/>
        <v>9488089</v>
      </c>
    </row>
    <row r="1776" spans="1:7" x14ac:dyDescent="0.25">
      <c r="A1776">
        <v>9490221</v>
      </c>
      <c r="B1776" t="s">
        <v>36219</v>
      </c>
      <c r="C1776">
        <v>23</v>
      </c>
      <c r="D1776">
        <v>5</v>
      </c>
      <c r="E1776">
        <v>29569</v>
      </c>
      <c r="F1776">
        <v>252</v>
      </c>
      <c r="G1776">
        <f t="shared" si="27"/>
        <v>9490221</v>
      </c>
    </row>
    <row r="1777" spans="1:7" x14ac:dyDescent="0.25">
      <c r="A1777">
        <v>9490545</v>
      </c>
      <c r="B1777" t="s">
        <v>37126</v>
      </c>
      <c r="C1777">
        <v>424</v>
      </c>
      <c r="D1777">
        <v>3</v>
      </c>
      <c r="E1777">
        <v>11935</v>
      </c>
      <c r="F1777">
        <v>1311</v>
      </c>
      <c r="G1777">
        <f t="shared" si="27"/>
        <v>9490545</v>
      </c>
    </row>
    <row r="1778" spans="1:7" x14ac:dyDescent="0.25">
      <c r="A1778">
        <v>9493909</v>
      </c>
      <c r="B1778" t="s">
        <v>37390</v>
      </c>
      <c r="C1778">
        <v>0</v>
      </c>
      <c r="D1778">
        <v>1</v>
      </c>
      <c r="E1778">
        <v>505</v>
      </c>
      <c r="F1778">
        <v>4621</v>
      </c>
      <c r="G1778">
        <f t="shared" si="27"/>
        <v>9493909</v>
      </c>
    </row>
    <row r="1779" spans="1:7" x14ac:dyDescent="0.25">
      <c r="A1779">
        <v>9494846</v>
      </c>
      <c r="B1779" t="s">
        <v>36220</v>
      </c>
      <c r="C1779">
        <v>1663</v>
      </c>
      <c r="D1779">
        <v>1</v>
      </c>
      <c r="E1779">
        <v>1725</v>
      </c>
      <c r="F1779">
        <v>3512</v>
      </c>
      <c r="G1779">
        <f t="shared" si="27"/>
        <v>9494846</v>
      </c>
    </row>
    <row r="1780" spans="1:7" x14ac:dyDescent="0.25">
      <c r="A1780">
        <v>9495397</v>
      </c>
      <c r="B1780" t="s">
        <v>25004</v>
      </c>
      <c r="C1780">
        <v>0</v>
      </c>
      <c r="D1780">
        <v>1</v>
      </c>
      <c r="E1780">
        <v>695</v>
      </c>
      <c r="F1780">
        <v>4355</v>
      </c>
      <c r="G1780">
        <f t="shared" si="27"/>
        <v>9495397</v>
      </c>
    </row>
    <row r="1781" spans="1:7" x14ac:dyDescent="0.25">
      <c r="A1781">
        <v>9496414</v>
      </c>
      <c r="B1781" t="s">
        <v>25005</v>
      </c>
      <c r="C1781">
        <v>10</v>
      </c>
      <c r="D1781">
        <v>1</v>
      </c>
      <c r="E1781">
        <v>310</v>
      </c>
      <c r="F1781">
        <v>5098</v>
      </c>
      <c r="G1781">
        <f t="shared" si="27"/>
        <v>9496414</v>
      </c>
    </row>
    <row r="1782" spans="1:7" x14ac:dyDescent="0.25">
      <c r="A1782">
        <v>9498455</v>
      </c>
      <c r="B1782" t="s">
        <v>25006</v>
      </c>
      <c r="C1782">
        <v>0</v>
      </c>
      <c r="D1782">
        <v>0</v>
      </c>
      <c r="E1782">
        <v>0</v>
      </c>
      <c r="F1782">
        <v>7236</v>
      </c>
      <c r="G1782">
        <f t="shared" si="27"/>
        <v>9498455</v>
      </c>
    </row>
    <row r="1783" spans="1:7" x14ac:dyDescent="0.25">
      <c r="A1783">
        <v>9499370</v>
      </c>
      <c r="B1783" t="s">
        <v>25007</v>
      </c>
      <c r="C1783">
        <v>1535</v>
      </c>
      <c r="D1783">
        <v>1</v>
      </c>
      <c r="E1783">
        <v>2698</v>
      </c>
      <c r="F1783">
        <v>3074</v>
      </c>
      <c r="G1783">
        <f t="shared" si="27"/>
        <v>9499370</v>
      </c>
    </row>
    <row r="1784" spans="1:7" x14ac:dyDescent="0.25">
      <c r="A1784">
        <v>9499570</v>
      </c>
      <c r="B1784" t="s">
        <v>25008</v>
      </c>
      <c r="C1784">
        <v>205</v>
      </c>
      <c r="D1784">
        <v>1</v>
      </c>
      <c r="E1784">
        <v>928</v>
      </c>
      <c r="F1784">
        <v>4069</v>
      </c>
      <c r="G1784">
        <f t="shared" si="27"/>
        <v>9499570</v>
      </c>
    </row>
    <row r="1785" spans="1:7" x14ac:dyDescent="0.25">
      <c r="A1785">
        <v>9500492</v>
      </c>
      <c r="B1785" t="s">
        <v>25009</v>
      </c>
      <c r="C1785">
        <v>0</v>
      </c>
      <c r="D1785">
        <v>0</v>
      </c>
      <c r="E1785">
        <v>0</v>
      </c>
      <c r="F1785">
        <v>7237</v>
      </c>
      <c r="G1785">
        <f t="shared" si="27"/>
        <v>9500492</v>
      </c>
    </row>
    <row r="1786" spans="1:7" x14ac:dyDescent="0.25">
      <c r="A1786">
        <v>9501265</v>
      </c>
      <c r="B1786" t="s">
        <v>25010</v>
      </c>
      <c r="C1786">
        <v>0</v>
      </c>
      <c r="D1786">
        <v>1</v>
      </c>
      <c r="E1786">
        <v>182</v>
      </c>
      <c r="F1786">
        <v>5572</v>
      </c>
      <c r="G1786">
        <f t="shared" si="27"/>
        <v>9501265</v>
      </c>
    </row>
    <row r="1787" spans="1:7" x14ac:dyDescent="0.25">
      <c r="A1787">
        <v>9501588</v>
      </c>
      <c r="B1787" t="s">
        <v>25011</v>
      </c>
      <c r="C1787">
        <v>0</v>
      </c>
      <c r="D1787">
        <v>1</v>
      </c>
      <c r="E1787">
        <v>54</v>
      </c>
      <c r="F1787">
        <v>6132</v>
      </c>
      <c r="G1787">
        <f t="shared" si="27"/>
        <v>9501588</v>
      </c>
    </row>
    <row r="1788" spans="1:7" x14ac:dyDescent="0.25">
      <c r="A1788">
        <v>9505197</v>
      </c>
      <c r="B1788" t="s">
        <v>25012</v>
      </c>
      <c r="C1788">
        <v>1972</v>
      </c>
      <c r="D1788">
        <v>3</v>
      </c>
      <c r="E1788">
        <v>16597</v>
      </c>
      <c r="F1788">
        <v>859</v>
      </c>
      <c r="G1788">
        <f t="shared" si="27"/>
        <v>9505197</v>
      </c>
    </row>
    <row r="1789" spans="1:7" x14ac:dyDescent="0.25">
      <c r="A1789">
        <v>9507800</v>
      </c>
      <c r="B1789" t="s">
        <v>25013</v>
      </c>
      <c r="C1789">
        <v>584</v>
      </c>
      <c r="D1789">
        <v>1</v>
      </c>
      <c r="E1789">
        <v>26</v>
      </c>
      <c r="F1789">
        <v>6456</v>
      </c>
      <c r="G1789">
        <f t="shared" si="27"/>
        <v>9507800</v>
      </c>
    </row>
    <row r="1790" spans="1:7" x14ac:dyDescent="0.25">
      <c r="A1790">
        <v>9510108</v>
      </c>
      <c r="B1790" t="s">
        <v>25014</v>
      </c>
      <c r="C1790">
        <v>294</v>
      </c>
      <c r="D1790">
        <v>3</v>
      </c>
      <c r="E1790">
        <v>11394</v>
      </c>
      <c r="F1790">
        <v>1363</v>
      </c>
      <c r="G1790">
        <f t="shared" si="27"/>
        <v>9510108</v>
      </c>
    </row>
    <row r="1791" spans="1:7" x14ac:dyDescent="0.25">
      <c r="A1791">
        <v>9511137</v>
      </c>
      <c r="B1791" t="s">
        <v>36221</v>
      </c>
      <c r="C1791">
        <v>0</v>
      </c>
      <c r="D1791">
        <v>0</v>
      </c>
      <c r="E1791">
        <v>0</v>
      </c>
      <c r="F1791">
        <v>7238</v>
      </c>
      <c r="G1791">
        <f t="shared" si="27"/>
        <v>9511137</v>
      </c>
    </row>
    <row r="1792" spans="1:7" x14ac:dyDescent="0.25">
      <c r="A1792">
        <v>9511193</v>
      </c>
      <c r="B1792" t="s">
        <v>25015</v>
      </c>
      <c r="C1792">
        <v>36</v>
      </c>
      <c r="D1792">
        <v>1</v>
      </c>
      <c r="E1792">
        <v>5738</v>
      </c>
      <c r="F1792">
        <v>2341</v>
      </c>
      <c r="G1792">
        <f t="shared" si="27"/>
        <v>9511193</v>
      </c>
    </row>
    <row r="1793" spans="1:7" x14ac:dyDescent="0.25">
      <c r="A1793">
        <v>9512975</v>
      </c>
      <c r="B1793" t="s">
        <v>25016</v>
      </c>
      <c r="C1793">
        <v>0</v>
      </c>
      <c r="D1793">
        <v>1</v>
      </c>
      <c r="E1793">
        <v>26</v>
      </c>
      <c r="F1793">
        <v>6457</v>
      </c>
      <c r="G1793">
        <f t="shared" ref="G1793:G1856" si="28">A1793</f>
        <v>9512975</v>
      </c>
    </row>
    <row r="1794" spans="1:7" x14ac:dyDescent="0.25">
      <c r="A1794">
        <v>9513814</v>
      </c>
      <c r="B1794" t="s">
        <v>37391</v>
      </c>
      <c r="C1794">
        <v>413</v>
      </c>
      <c r="D1794">
        <v>1</v>
      </c>
      <c r="E1794">
        <v>3123</v>
      </c>
      <c r="F1794">
        <v>2962</v>
      </c>
      <c r="G1794">
        <f t="shared" si="28"/>
        <v>9513814</v>
      </c>
    </row>
    <row r="1795" spans="1:7" x14ac:dyDescent="0.25">
      <c r="A1795">
        <v>9514604</v>
      </c>
      <c r="B1795" t="s">
        <v>25017</v>
      </c>
      <c r="C1795">
        <v>1836</v>
      </c>
      <c r="D1795">
        <v>1</v>
      </c>
      <c r="E1795">
        <v>969</v>
      </c>
      <c r="F1795">
        <v>4020</v>
      </c>
      <c r="G1795">
        <f t="shared" si="28"/>
        <v>9514604</v>
      </c>
    </row>
    <row r="1796" spans="1:7" x14ac:dyDescent="0.25">
      <c r="A1796">
        <v>9517568</v>
      </c>
      <c r="B1796" t="s">
        <v>37044</v>
      </c>
      <c r="C1796">
        <v>1804</v>
      </c>
      <c r="D1796">
        <v>1</v>
      </c>
      <c r="E1796">
        <v>364</v>
      </c>
      <c r="F1796">
        <v>4943</v>
      </c>
      <c r="G1796">
        <f t="shared" si="28"/>
        <v>9517568</v>
      </c>
    </row>
    <row r="1797" spans="1:7" x14ac:dyDescent="0.25">
      <c r="A1797">
        <v>9518176</v>
      </c>
      <c r="B1797" t="s">
        <v>25018</v>
      </c>
      <c r="C1797">
        <v>1946</v>
      </c>
      <c r="D1797">
        <v>2</v>
      </c>
      <c r="E1797">
        <v>12703</v>
      </c>
      <c r="F1797">
        <v>1197</v>
      </c>
      <c r="G1797">
        <f t="shared" si="28"/>
        <v>9518176</v>
      </c>
    </row>
    <row r="1798" spans="1:7" x14ac:dyDescent="0.25">
      <c r="A1798">
        <v>9518352</v>
      </c>
      <c r="B1798" t="s">
        <v>25019</v>
      </c>
      <c r="C1798">
        <v>0</v>
      </c>
      <c r="D1798">
        <v>0</v>
      </c>
      <c r="E1798">
        <v>0</v>
      </c>
      <c r="F1798">
        <v>7239</v>
      </c>
      <c r="G1798">
        <f t="shared" si="28"/>
        <v>9518352</v>
      </c>
    </row>
    <row r="1799" spans="1:7" x14ac:dyDescent="0.25">
      <c r="A1799">
        <v>9519677</v>
      </c>
      <c r="B1799" t="s">
        <v>25020</v>
      </c>
      <c r="C1799">
        <v>0</v>
      </c>
      <c r="D1799">
        <v>1</v>
      </c>
      <c r="E1799">
        <v>193</v>
      </c>
      <c r="F1799">
        <v>5527</v>
      </c>
      <c r="G1799">
        <f t="shared" si="28"/>
        <v>9519677</v>
      </c>
    </row>
    <row r="1800" spans="1:7" x14ac:dyDescent="0.25">
      <c r="A1800">
        <v>9520702</v>
      </c>
      <c r="B1800" t="s">
        <v>37392</v>
      </c>
      <c r="C1800">
        <v>918</v>
      </c>
      <c r="D1800">
        <v>1</v>
      </c>
      <c r="E1800">
        <v>1032</v>
      </c>
      <c r="F1800">
        <v>3950</v>
      </c>
      <c r="G1800">
        <f t="shared" si="28"/>
        <v>9520702</v>
      </c>
    </row>
    <row r="1801" spans="1:7" x14ac:dyDescent="0.25">
      <c r="A1801">
        <v>9522244</v>
      </c>
      <c r="B1801" t="s">
        <v>25021</v>
      </c>
      <c r="C1801">
        <v>3</v>
      </c>
      <c r="D1801">
        <v>3</v>
      </c>
      <c r="E1801">
        <v>15829</v>
      </c>
      <c r="F1801">
        <v>924</v>
      </c>
      <c r="G1801">
        <f t="shared" si="28"/>
        <v>9522244</v>
      </c>
    </row>
    <row r="1802" spans="1:7" x14ac:dyDescent="0.25">
      <c r="A1802">
        <v>9523375</v>
      </c>
      <c r="B1802" t="s">
        <v>25022</v>
      </c>
      <c r="C1802">
        <v>0</v>
      </c>
      <c r="D1802">
        <v>1</v>
      </c>
      <c r="E1802">
        <v>45</v>
      </c>
      <c r="F1802">
        <v>6229</v>
      </c>
      <c r="G1802">
        <f t="shared" si="28"/>
        <v>9523375</v>
      </c>
    </row>
    <row r="1803" spans="1:7" x14ac:dyDescent="0.25">
      <c r="A1803">
        <v>9524091</v>
      </c>
      <c r="B1803" t="s">
        <v>25023</v>
      </c>
      <c r="C1803">
        <v>1363</v>
      </c>
      <c r="D1803">
        <v>1</v>
      </c>
      <c r="E1803">
        <v>2558</v>
      </c>
      <c r="F1803">
        <v>3115</v>
      </c>
      <c r="G1803">
        <f t="shared" si="28"/>
        <v>9524091</v>
      </c>
    </row>
    <row r="1804" spans="1:7" x14ac:dyDescent="0.25">
      <c r="A1804">
        <v>9528075</v>
      </c>
      <c r="B1804" t="s">
        <v>25024</v>
      </c>
      <c r="C1804">
        <v>0</v>
      </c>
      <c r="D1804">
        <v>0</v>
      </c>
      <c r="E1804">
        <v>0</v>
      </c>
      <c r="F1804">
        <v>7240</v>
      </c>
      <c r="G1804">
        <f t="shared" si="28"/>
        <v>9528075</v>
      </c>
    </row>
    <row r="1805" spans="1:7" x14ac:dyDescent="0.25">
      <c r="A1805">
        <v>9531614</v>
      </c>
      <c r="B1805" t="s">
        <v>36222</v>
      </c>
      <c r="C1805">
        <v>199</v>
      </c>
      <c r="D1805">
        <v>1</v>
      </c>
      <c r="E1805">
        <v>5005</v>
      </c>
      <c r="F1805">
        <v>2513</v>
      </c>
      <c r="G1805">
        <f t="shared" si="28"/>
        <v>9531614</v>
      </c>
    </row>
    <row r="1806" spans="1:7" x14ac:dyDescent="0.25">
      <c r="A1806">
        <v>9533270</v>
      </c>
      <c r="B1806" t="s">
        <v>25025</v>
      </c>
      <c r="C1806">
        <v>431</v>
      </c>
      <c r="D1806">
        <v>1</v>
      </c>
      <c r="E1806">
        <v>26</v>
      </c>
      <c r="F1806">
        <v>6458</v>
      </c>
      <c r="G1806">
        <f t="shared" si="28"/>
        <v>9533270</v>
      </c>
    </row>
    <row r="1807" spans="1:7" x14ac:dyDescent="0.25">
      <c r="A1807">
        <v>9535697</v>
      </c>
      <c r="B1807" t="s">
        <v>25026</v>
      </c>
      <c r="C1807">
        <v>124</v>
      </c>
      <c r="D1807">
        <v>3</v>
      </c>
      <c r="E1807">
        <v>14582</v>
      </c>
      <c r="F1807">
        <v>1025</v>
      </c>
      <c r="G1807">
        <f t="shared" si="28"/>
        <v>9535697</v>
      </c>
    </row>
    <row r="1808" spans="1:7" x14ac:dyDescent="0.25">
      <c r="A1808">
        <v>9536345</v>
      </c>
      <c r="B1808" t="s">
        <v>36223</v>
      </c>
      <c r="C1808">
        <v>0</v>
      </c>
      <c r="D1808">
        <v>1</v>
      </c>
      <c r="E1808">
        <v>80</v>
      </c>
      <c r="F1808">
        <v>5969</v>
      </c>
      <c r="G1808">
        <f t="shared" si="28"/>
        <v>9536345</v>
      </c>
    </row>
    <row r="1809" spans="1:7" x14ac:dyDescent="0.25">
      <c r="A1809">
        <v>9536421</v>
      </c>
      <c r="B1809" t="s">
        <v>25027</v>
      </c>
      <c r="C1809">
        <v>0</v>
      </c>
      <c r="D1809">
        <v>1</v>
      </c>
      <c r="E1809">
        <v>231</v>
      </c>
      <c r="F1809">
        <v>5381</v>
      </c>
      <c r="G1809">
        <f t="shared" si="28"/>
        <v>9536421</v>
      </c>
    </row>
    <row r="1810" spans="1:7" x14ac:dyDescent="0.25">
      <c r="A1810">
        <v>9536436</v>
      </c>
      <c r="B1810" t="s">
        <v>25028</v>
      </c>
      <c r="C1810">
        <v>0</v>
      </c>
      <c r="D1810">
        <v>1</v>
      </c>
      <c r="E1810">
        <v>4153</v>
      </c>
      <c r="F1810">
        <v>2758</v>
      </c>
      <c r="G1810">
        <f t="shared" si="28"/>
        <v>9536436</v>
      </c>
    </row>
    <row r="1811" spans="1:7" x14ac:dyDescent="0.25">
      <c r="A1811">
        <v>9539205</v>
      </c>
      <c r="B1811" t="s">
        <v>36224</v>
      </c>
      <c r="C1811">
        <v>0</v>
      </c>
      <c r="D1811">
        <v>1</v>
      </c>
      <c r="E1811">
        <v>326</v>
      </c>
      <c r="F1811">
        <v>4922</v>
      </c>
      <c r="G1811">
        <f t="shared" si="28"/>
        <v>9539205</v>
      </c>
    </row>
    <row r="1812" spans="1:7" x14ac:dyDescent="0.25">
      <c r="A1812">
        <v>9545484</v>
      </c>
      <c r="B1812" t="s">
        <v>25029</v>
      </c>
      <c r="C1812">
        <v>1695</v>
      </c>
      <c r="D1812">
        <v>1</v>
      </c>
      <c r="E1812">
        <v>2228</v>
      </c>
      <c r="F1812">
        <v>3236</v>
      </c>
      <c r="G1812">
        <f t="shared" si="28"/>
        <v>9545484</v>
      </c>
    </row>
    <row r="1813" spans="1:7" x14ac:dyDescent="0.25">
      <c r="A1813">
        <v>9548236</v>
      </c>
      <c r="B1813" t="s">
        <v>25030</v>
      </c>
      <c r="C1813">
        <v>0</v>
      </c>
      <c r="D1813">
        <v>1</v>
      </c>
      <c r="E1813">
        <v>38</v>
      </c>
      <c r="F1813">
        <v>6268</v>
      </c>
      <c r="G1813">
        <f t="shared" si="28"/>
        <v>9548236</v>
      </c>
    </row>
    <row r="1814" spans="1:7" x14ac:dyDescent="0.25">
      <c r="A1814">
        <v>9550228</v>
      </c>
      <c r="B1814" t="s">
        <v>25031</v>
      </c>
      <c r="C1814">
        <v>680</v>
      </c>
      <c r="D1814">
        <v>2</v>
      </c>
      <c r="E1814">
        <v>8984</v>
      </c>
      <c r="F1814">
        <v>1720</v>
      </c>
      <c r="G1814">
        <f t="shared" si="28"/>
        <v>9550228</v>
      </c>
    </row>
    <row r="1815" spans="1:7" x14ac:dyDescent="0.25">
      <c r="A1815">
        <v>9551256</v>
      </c>
      <c r="B1815" t="s">
        <v>37265</v>
      </c>
      <c r="C1815">
        <v>0</v>
      </c>
      <c r="D1815">
        <v>1</v>
      </c>
      <c r="E1815">
        <v>231</v>
      </c>
      <c r="F1815">
        <v>5382</v>
      </c>
      <c r="G1815">
        <f t="shared" si="28"/>
        <v>9551256</v>
      </c>
    </row>
    <row r="1816" spans="1:7" x14ac:dyDescent="0.25">
      <c r="A1816">
        <v>9551701</v>
      </c>
      <c r="B1816" t="s">
        <v>37219</v>
      </c>
      <c r="C1816">
        <v>152</v>
      </c>
      <c r="D1816">
        <v>13</v>
      </c>
      <c r="E1816">
        <v>55944</v>
      </c>
      <c r="F1816">
        <v>26</v>
      </c>
      <c r="G1816">
        <f t="shared" si="28"/>
        <v>9551701</v>
      </c>
    </row>
    <row r="1817" spans="1:7" x14ac:dyDescent="0.25">
      <c r="A1817">
        <v>9553379</v>
      </c>
      <c r="B1817" t="s">
        <v>25032</v>
      </c>
      <c r="C1817">
        <v>537</v>
      </c>
      <c r="D1817">
        <v>1</v>
      </c>
      <c r="E1817">
        <v>899</v>
      </c>
      <c r="F1817">
        <v>4091</v>
      </c>
      <c r="G1817">
        <f t="shared" si="28"/>
        <v>9553379</v>
      </c>
    </row>
    <row r="1818" spans="1:7" x14ac:dyDescent="0.25">
      <c r="A1818">
        <v>9553782</v>
      </c>
      <c r="B1818" t="s">
        <v>36225</v>
      </c>
      <c r="C1818">
        <v>578</v>
      </c>
      <c r="D1818">
        <v>5</v>
      </c>
      <c r="E1818">
        <v>31401</v>
      </c>
      <c r="F1818">
        <v>216</v>
      </c>
      <c r="G1818">
        <f t="shared" si="28"/>
        <v>9553782</v>
      </c>
    </row>
    <row r="1819" spans="1:7" x14ac:dyDescent="0.25">
      <c r="A1819">
        <v>9553851</v>
      </c>
      <c r="B1819" t="s">
        <v>25033</v>
      </c>
      <c r="C1819">
        <v>1867</v>
      </c>
      <c r="D1819">
        <v>1</v>
      </c>
      <c r="E1819">
        <v>1250</v>
      </c>
      <c r="F1819">
        <v>3795</v>
      </c>
      <c r="G1819">
        <f t="shared" si="28"/>
        <v>9553851</v>
      </c>
    </row>
    <row r="1820" spans="1:7" x14ac:dyDescent="0.25">
      <c r="A1820">
        <v>9554949</v>
      </c>
      <c r="B1820" t="s">
        <v>36226</v>
      </c>
      <c r="C1820">
        <v>0</v>
      </c>
      <c r="D1820">
        <v>1</v>
      </c>
      <c r="E1820">
        <v>62</v>
      </c>
      <c r="F1820">
        <v>6097</v>
      </c>
      <c r="G1820">
        <f t="shared" si="28"/>
        <v>9554949</v>
      </c>
    </row>
    <row r="1821" spans="1:7" x14ac:dyDescent="0.25">
      <c r="A1821">
        <v>9559034</v>
      </c>
      <c r="B1821" t="s">
        <v>25034</v>
      </c>
      <c r="C1821">
        <v>0</v>
      </c>
      <c r="D1821">
        <v>1</v>
      </c>
      <c r="E1821">
        <v>316</v>
      </c>
      <c r="F1821">
        <v>5075</v>
      </c>
      <c r="G1821">
        <f t="shared" si="28"/>
        <v>9559034</v>
      </c>
    </row>
    <row r="1822" spans="1:7" x14ac:dyDescent="0.25">
      <c r="A1822">
        <v>9560562</v>
      </c>
      <c r="B1822" t="s">
        <v>25035</v>
      </c>
      <c r="C1822">
        <v>0</v>
      </c>
      <c r="D1822">
        <v>1</v>
      </c>
      <c r="E1822">
        <v>4330</v>
      </c>
      <c r="F1822">
        <v>2673</v>
      </c>
      <c r="G1822">
        <f t="shared" si="28"/>
        <v>9560562</v>
      </c>
    </row>
    <row r="1823" spans="1:7" x14ac:dyDescent="0.25">
      <c r="A1823">
        <v>9561979</v>
      </c>
      <c r="B1823" t="s">
        <v>36227</v>
      </c>
      <c r="C1823">
        <v>0</v>
      </c>
      <c r="D1823">
        <v>0</v>
      </c>
      <c r="E1823">
        <v>0</v>
      </c>
      <c r="F1823">
        <v>7241</v>
      </c>
      <c r="G1823">
        <f t="shared" si="28"/>
        <v>9561979</v>
      </c>
    </row>
    <row r="1824" spans="1:7" x14ac:dyDescent="0.25">
      <c r="A1824">
        <v>9563580</v>
      </c>
      <c r="B1824" t="s">
        <v>1648</v>
      </c>
      <c r="C1824">
        <v>0</v>
      </c>
      <c r="D1824">
        <v>1</v>
      </c>
      <c r="E1824">
        <v>4565</v>
      </c>
      <c r="F1824">
        <v>2603</v>
      </c>
      <c r="G1824">
        <f t="shared" si="28"/>
        <v>9563580</v>
      </c>
    </row>
    <row r="1825" spans="1:7" x14ac:dyDescent="0.25">
      <c r="A1825">
        <v>9564726</v>
      </c>
      <c r="B1825" t="s">
        <v>25036</v>
      </c>
      <c r="C1825">
        <v>1107</v>
      </c>
      <c r="D1825">
        <v>1</v>
      </c>
      <c r="E1825">
        <v>182</v>
      </c>
      <c r="F1825">
        <v>5573</v>
      </c>
      <c r="G1825">
        <f t="shared" si="28"/>
        <v>9564726</v>
      </c>
    </row>
    <row r="1826" spans="1:7" x14ac:dyDescent="0.25">
      <c r="A1826">
        <v>9564764</v>
      </c>
      <c r="B1826" t="s">
        <v>25037</v>
      </c>
      <c r="C1826">
        <v>1063</v>
      </c>
      <c r="D1826">
        <v>0</v>
      </c>
      <c r="E1826">
        <v>0</v>
      </c>
      <c r="F1826">
        <v>7242</v>
      </c>
      <c r="G1826">
        <f t="shared" si="28"/>
        <v>9564764</v>
      </c>
    </row>
    <row r="1827" spans="1:7" x14ac:dyDescent="0.25">
      <c r="A1827">
        <v>9565948</v>
      </c>
      <c r="B1827" t="s">
        <v>36228</v>
      </c>
      <c r="C1827">
        <v>1126</v>
      </c>
      <c r="D1827">
        <v>1</v>
      </c>
      <c r="E1827">
        <v>387</v>
      </c>
      <c r="F1827">
        <v>4879</v>
      </c>
      <c r="G1827">
        <f t="shared" si="28"/>
        <v>9565948</v>
      </c>
    </row>
    <row r="1828" spans="1:7" x14ac:dyDescent="0.25">
      <c r="A1828">
        <v>9566196</v>
      </c>
      <c r="B1828" t="s">
        <v>36229</v>
      </c>
      <c r="C1828">
        <v>480</v>
      </c>
      <c r="D1828">
        <v>3</v>
      </c>
      <c r="E1828">
        <v>12817</v>
      </c>
      <c r="F1828">
        <v>1188</v>
      </c>
      <c r="G1828">
        <f t="shared" si="28"/>
        <v>9566196</v>
      </c>
    </row>
    <row r="1829" spans="1:7" x14ac:dyDescent="0.25">
      <c r="A1829">
        <v>9567678</v>
      </c>
      <c r="B1829" t="s">
        <v>25038</v>
      </c>
      <c r="C1829">
        <v>0</v>
      </c>
      <c r="D1829">
        <v>1</v>
      </c>
      <c r="E1829">
        <v>189</v>
      </c>
      <c r="F1829">
        <v>5543</v>
      </c>
      <c r="G1829">
        <f t="shared" si="28"/>
        <v>9567678</v>
      </c>
    </row>
    <row r="1830" spans="1:7" x14ac:dyDescent="0.25">
      <c r="A1830">
        <v>9569148</v>
      </c>
      <c r="B1830" t="s">
        <v>36997</v>
      </c>
      <c r="C1830">
        <v>4</v>
      </c>
      <c r="D1830">
        <v>14</v>
      </c>
      <c r="E1830">
        <v>82235</v>
      </c>
      <c r="F1830">
        <v>4</v>
      </c>
      <c r="G1830">
        <f t="shared" si="28"/>
        <v>9569148</v>
      </c>
    </row>
    <row r="1831" spans="1:7" x14ac:dyDescent="0.25">
      <c r="A1831">
        <v>9570059</v>
      </c>
      <c r="B1831" t="s">
        <v>25039</v>
      </c>
      <c r="C1831">
        <v>215</v>
      </c>
      <c r="D1831">
        <v>2</v>
      </c>
      <c r="E1831">
        <v>10045</v>
      </c>
      <c r="F1831">
        <v>1556</v>
      </c>
      <c r="G1831">
        <f t="shared" si="28"/>
        <v>9570059</v>
      </c>
    </row>
    <row r="1832" spans="1:7" x14ac:dyDescent="0.25">
      <c r="A1832">
        <v>9571087</v>
      </c>
      <c r="B1832" t="s">
        <v>25040</v>
      </c>
      <c r="C1832">
        <v>1459</v>
      </c>
      <c r="D1832">
        <v>0</v>
      </c>
      <c r="E1832">
        <v>0</v>
      </c>
      <c r="F1832">
        <v>7243</v>
      </c>
      <c r="G1832">
        <f t="shared" si="28"/>
        <v>9571087</v>
      </c>
    </row>
    <row r="1833" spans="1:7" x14ac:dyDescent="0.25">
      <c r="A1833">
        <v>9571698</v>
      </c>
      <c r="B1833" t="s">
        <v>25041</v>
      </c>
      <c r="C1833">
        <v>1340</v>
      </c>
      <c r="D1833">
        <v>1</v>
      </c>
      <c r="E1833">
        <v>5048</v>
      </c>
      <c r="F1833">
        <v>2507</v>
      </c>
      <c r="G1833">
        <f t="shared" si="28"/>
        <v>9571698</v>
      </c>
    </row>
    <row r="1834" spans="1:7" x14ac:dyDescent="0.25">
      <c r="A1834">
        <v>9572533</v>
      </c>
      <c r="B1834" t="s">
        <v>25042</v>
      </c>
      <c r="C1834">
        <v>0</v>
      </c>
      <c r="D1834">
        <v>1</v>
      </c>
      <c r="E1834">
        <v>26</v>
      </c>
      <c r="F1834">
        <v>6459</v>
      </c>
      <c r="G1834">
        <f t="shared" si="28"/>
        <v>9572533</v>
      </c>
    </row>
    <row r="1835" spans="1:7" x14ac:dyDescent="0.25">
      <c r="A1835">
        <v>9573089</v>
      </c>
      <c r="B1835" t="s">
        <v>25043</v>
      </c>
      <c r="C1835">
        <v>367</v>
      </c>
      <c r="D1835">
        <v>1</v>
      </c>
      <c r="E1835">
        <v>5111</v>
      </c>
      <c r="F1835">
        <v>2486</v>
      </c>
      <c r="G1835">
        <f t="shared" si="28"/>
        <v>9573089</v>
      </c>
    </row>
    <row r="1836" spans="1:7" x14ac:dyDescent="0.25">
      <c r="A1836">
        <v>9573659</v>
      </c>
      <c r="B1836" t="s">
        <v>25044</v>
      </c>
      <c r="C1836">
        <v>424</v>
      </c>
      <c r="D1836">
        <v>2</v>
      </c>
      <c r="E1836">
        <v>8619</v>
      </c>
      <c r="F1836">
        <v>1779</v>
      </c>
      <c r="G1836">
        <f t="shared" si="28"/>
        <v>9573659</v>
      </c>
    </row>
    <row r="1837" spans="1:7" x14ac:dyDescent="0.25">
      <c r="A1837">
        <v>9574714</v>
      </c>
      <c r="B1837" t="s">
        <v>37393</v>
      </c>
      <c r="C1837">
        <v>4</v>
      </c>
      <c r="D1837">
        <v>7</v>
      </c>
      <c r="E1837">
        <v>43564</v>
      </c>
      <c r="F1837">
        <v>73</v>
      </c>
      <c r="G1837">
        <f t="shared" si="28"/>
        <v>9574714</v>
      </c>
    </row>
    <row r="1838" spans="1:7" x14ac:dyDescent="0.25">
      <c r="A1838">
        <v>9575066</v>
      </c>
      <c r="B1838" t="s">
        <v>25045</v>
      </c>
      <c r="C1838">
        <v>733</v>
      </c>
      <c r="D1838">
        <v>6</v>
      </c>
      <c r="E1838">
        <v>33362</v>
      </c>
      <c r="F1838">
        <v>175</v>
      </c>
      <c r="G1838">
        <f t="shared" si="28"/>
        <v>9575066</v>
      </c>
    </row>
    <row r="1839" spans="1:7" x14ac:dyDescent="0.25">
      <c r="A1839">
        <v>9578570</v>
      </c>
      <c r="B1839" t="s">
        <v>25046</v>
      </c>
      <c r="C1839">
        <v>0</v>
      </c>
      <c r="D1839">
        <v>0</v>
      </c>
      <c r="E1839">
        <v>0</v>
      </c>
      <c r="F1839">
        <v>7244</v>
      </c>
      <c r="G1839">
        <f t="shared" si="28"/>
        <v>9578570</v>
      </c>
    </row>
    <row r="1840" spans="1:7" x14ac:dyDescent="0.25">
      <c r="A1840">
        <v>9581476</v>
      </c>
      <c r="B1840" t="s">
        <v>25047</v>
      </c>
      <c r="C1840">
        <v>1888</v>
      </c>
      <c r="D1840">
        <v>2</v>
      </c>
      <c r="E1840">
        <v>8210</v>
      </c>
      <c r="F1840">
        <v>1845</v>
      </c>
      <c r="G1840">
        <f t="shared" si="28"/>
        <v>9581476</v>
      </c>
    </row>
    <row r="1841" spans="1:7" x14ac:dyDescent="0.25">
      <c r="A1841">
        <v>9582614</v>
      </c>
      <c r="B1841" t="s">
        <v>25048</v>
      </c>
      <c r="C1841">
        <v>0</v>
      </c>
      <c r="D1841">
        <v>1</v>
      </c>
      <c r="E1841">
        <v>1019</v>
      </c>
      <c r="F1841">
        <v>3962</v>
      </c>
      <c r="G1841">
        <f t="shared" si="28"/>
        <v>9582614</v>
      </c>
    </row>
    <row r="1842" spans="1:7" x14ac:dyDescent="0.25">
      <c r="A1842">
        <v>9583455</v>
      </c>
      <c r="B1842" t="s">
        <v>25049</v>
      </c>
      <c r="C1842">
        <v>0</v>
      </c>
      <c r="D1842">
        <v>0</v>
      </c>
      <c r="E1842">
        <v>0</v>
      </c>
      <c r="F1842">
        <v>7245</v>
      </c>
      <c r="G1842">
        <f t="shared" si="28"/>
        <v>9583455</v>
      </c>
    </row>
    <row r="1843" spans="1:7" x14ac:dyDescent="0.25">
      <c r="A1843">
        <v>9586106</v>
      </c>
      <c r="B1843" t="s">
        <v>25050</v>
      </c>
      <c r="C1843">
        <v>1188</v>
      </c>
      <c r="D1843">
        <v>0</v>
      </c>
      <c r="E1843">
        <v>0</v>
      </c>
      <c r="F1843">
        <v>7246</v>
      </c>
      <c r="G1843">
        <f t="shared" si="28"/>
        <v>9586106</v>
      </c>
    </row>
    <row r="1844" spans="1:7" x14ac:dyDescent="0.25">
      <c r="A1844">
        <v>9588421</v>
      </c>
      <c r="B1844" t="s">
        <v>25051</v>
      </c>
      <c r="C1844">
        <v>0</v>
      </c>
      <c r="D1844">
        <v>1</v>
      </c>
      <c r="E1844">
        <v>26</v>
      </c>
      <c r="F1844">
        <v>6460</v>
      </c>
      <c r="G1844">
        <f t="shared" si="28"/>
        <v>9588421</v>
      </c>
    </row>
    <row r="1845" spans="1:7" x14ac:dyDescent="0.25">
      <c r="A1845">
        <v>9588811</v>
      </c>
      <c r="B1845" t="s">
        <v>36230</v>
      </c>
      <c r="C1845">
        <v>179</v>
      </c>
      <c r="D1845">
        <v>1</v>
      </c>
      <c r="E1845">
        <v>5628</v>
      </c>
      <c r="F1845">
        <v>2371</v>
      </c>
      <c r="G1845">
        <f t="shared" si="28"/>
        <v>9588811</v>
      </c>
    </row>
    <row r="1846" spans="1:7" x14ac:dyDescent="0.25">
      <c r="A1846">
        <v>9588827</v>
      </c>
      <c r="B1846" t="s">
        <v>25052</v>
      </c>
      <c r="C1846">
        <v>10</v>
      </c>
      <c r="D1846">
        <v>0</v>
      </c>
      <c r="E1846">
        <v>0</v>
      </c>
      <c r="F1846">
        <v>7247</v>
      </c>
      <c r="G1846">
        <f t="shared" si="28"/>
        <v>9588827</v>
      </c>
    </row>
    <row r="1847" spans="1:7" x14ac:dyDescent="0.25">
      <c r="A1847">
        <v>9589757</v>
      </c>
      <c r="B1847" t="s">
        <v>25053</v>
      </c>
      <c r="C1847">
        <v>760</v>
      </c>
      <c r="D1847">
        <v>8</v>
      </c>
      <c r="E1847">
        <v>45696</v>
      </c>
      <c r="F1847">
        <v>59</v>
      </c>
      <c r="G1847">
        <f t="shared" si="28"/>
        <v>9589757</v>
      </c>
    </row>
    <row r="1848" spans="1:7" x14ac:dyDescent="0.25">
      <c r="A1848">
        <v>9589823</v>
      </c>
      <c r="B1848" t="s">
        <v>25054</v>
      </c>
      <c r="C1848">
        <v>0</v>
      </c>
      <c r="D1848">
        <v>0</v>
      </c>
      <c r="E1848">
        <v>0</v>
      </c>
      <c r="F1848">
        <v>7248</v>
      </c>
      <c r="G1848">
        <f t="shared" si="28"/>
        <v>9589823</v>
      </c>
    </row>
    <row r="1849" spans="1:7" x14ac:dyDescent="0.25">
      <c r="A1849">
        <v>9589941</v>
      </c>
      <c r="B1849" t="s">
        <v>25055</v>
      </c>
      <c r="C1849">
        <v>0</v>
      </c>
      <c r="D1849">
        <v>1</v>
      </c>
      <c r="E1849">
        <v>99</v>
      </c>
      <c r="F1849">
        <v>5855</v>
      </c>
      <c r="G1849">
        <f t="shared" si="28"/>
        <v>9589941</v>
      </c>
    </row>
    <row r="1850" spans="1:7" x14ac:dyDescent="0.25">
      <c r="A1850">
        <v>9590448</v>
      </c>
      <c r="B1850" t="s">
        <v>25056</v>
      </c>
      <c r="C1850">
        <v>1869</v>
      </c>
      <c r="D1850">
        <v>1</v>
      </c>
      <c r="E1850">
        <v>915</v>
      </c>
      <c r="F1850">
        <v>4077</v>
      </c>
      <c r="G1850">
        <f t="shared" si="28"/>
        <v>9590448</v>
      </c>
    </row>
    <row r="1851" spans="1:7" x14ac:dyDescent="0.25">
      <c r="A1851">
        <v>9590681</v>
      </c>
      <c r="B1851" t="s">
        <v>25057</v>
      </c>
      <c r="C1851">
        <v>124</v>
      </c>
      <c r="D1851">
        <v>3</v>
      </c>
      <c r="E1851">
        <v>15769</v>
      </c>
      <c r="F1851">
        <v>926</v>
      </c>
      <c r="G1851">
        <f t="shared" si="28"/>
        <v>9590681</v>
      </c>
    </row>
    <row r="1852" spans="1:7" x14ac:dyDescent="0.25">
      <c r="A1852">
        <v>9591734</v>
      </c>
      <c r="B1852" t="s">
        <v>25058</v>
      </c>
      <c r="C1852">
        <v>0</v>
      </c>
      <c r="D1852">
        <v>1</v>
      </c>
      <c r="E1852">
        <v>605</v>
      </c>
      <c r="F1852">
        <v>4464</v>
      </c>
      <c r="G1852">
        <f t="shared" si="28"/>
        <v>9591734</v>
      </c>
    </row>
    <row r="1853" spans="1:7" x14ac:dyDescent="0.25">
      <c r="A1853">
        <v>9594338</v>
      </c>
      <c r="B1853" t="s">
        <v>25059</v>
      </c>
      <c r="C1853">
        <v>271</v>
      </c>
      <c r="D1853">
        <v>1</v>
      </c>
      <c r="E1853">
        <v>5821</v>
      </c>
      <c r="F1853">
        <v>2322</v>
      </c>
      <c r="G1853">
        <f t="shared" si="28"/>
        <v>9594338</v>
      </c>
    </row>
    <row r="1854" spans="1:7" x14ac:dyDescent="0.25">
      <c r="A1854">
        <v>9595220</v>
      </c>
      <c r="B1854" t="s">
        <v>37127</v>
      </c>
      <c r="C1854">
        <v>866</v>
      </c>
      <c r="D1854">
        <v>1</v>
      </c>
      <c r="E1854">
        <v>26</v>
      </c>
      <c r="F1854">
        <v>6461</v>
      </c>
      <c r="G1854">
        <f t="shared" si="28"/>
        <v>9595220</v>
      </c>
    </row>
    <row r="1855" spans="1:7" x14ac:dyDescent="0.25">
      <c r="A1855">
        <v>9595490</v>
      </c>
      <c r="B1855" t="s">
        <v>25060</v>
      </c>
      <c r="C1855">
        <v>1622</v>
      </c>
      <c r="D1855">
        <v>1</v>
      </c>
      <c r="E1855">
        <v>1998</v>
      </c>
      <c r="F1855">
        <v>3344</v>
      </c>
      <c r="G1855">
        <f t="shared" si="28"/>
        <v>9595490</v>
      </c>
    </row>
    <row r="1856" spans="1:7" x14ac:dyDescent="0.25">
      <c r="A1856">
        <v>9596701</v>
      </c>
      <c r="B1856" t="s">
        <v>25061</v>
      </c>
      <c r="C1856">
        <v>294</v>
      </c>
      <c r="D1856">
        <v>3</v>
      </c>
      <c r="E1856">
        <v>10835</v>
      </c>
      <c r="F1856">
        <v>1444</v>
      </c>
      <c r="G1856">
        <f t="shared" si="28"/>
        <v>9596701</v>
      </c>
    </row>
    <row r="1857" spans="1:7" x14ac:dyDescent="0.25">
      <c r="A1857">
        <v>9598223</v>
      </c>
      <c r="B1857" t="s">
        <v>25062</v>
      </c>
      <c r="C1857">
        <v>625</v>
      </c>
      <c r="D1857">
        <v>2</v>
      </c>
      <c r="E1857">
        <v>5224</v>
      </c>
      <c r="F1857">
        <v>2461</v>
      </c>
      <c r="G1857">
        <f t="shared" ref="G1857:G1920" si="29">A1857</f>
        <v>9598223</v>
      </c>
    </row>
    <row r="1858" spans="1:7" x14ac:dyDescent="0.25">
      <c r="A1858">
        <v>9598232</v>
      </c>
      <c r="B1858" t="s">
        <v>37045</v>
      </c>
      <c r="C1858">
        <v>79</v>
      </c>
      <c r="D1858">
        <v>1</v>
      </c>
      <c r="E1858">
        <v>5826</v>
      </c>
      <c r="F1858">
        <v>2321</v>
      </c>
      <c r="G1858">
        <f t="shared" si="29"/>
        <v>9598232</v>
      </c>
    </row>
    <row r="1859" spans="1:7" x14ac:dyDescent="0.25">
      <c r="A1859">
        <v>9599376</v>
      </c>
      <c r="B1859" t="s">
        <v>25063</v>
      </c>
      <c r="C1859">
        <v>3</v>
      </c>
      <c r="D1859">
        <v>4</v>
      </c>
      <c r="E1859">
        <v>21764</v>
      </c>
      <c r="F1859">
        <v>533</v>
      </c>
      <c r="G1859">
        <f t="shared" si="29"/>
        <v>9599376</v>
      </c>
    </row>
    <row r="1860" spans="1:7" x14ac:dyDescent="0.25">
      <c r="A1860">
        <v>9600054</v>
      </c>
      <c r="B1860" t="s">
        <v>25064</v>
      </c>
      <c r="C1860">
        <v>1885</v>
      </c>
      <c r="D1860">
        <v>1</v>
      </c>
      <c r="E1860">
        <v>1120</v>
      </c>
      <c r="F1860">
        <v>3853</v>
      </c>
      <c r="G1860">
        <f t="shared" si="29"/>
        <v>9600054</v>
      </c>
    </row>
    <row r="1861" spans="1:7" x14ac:dyDescent="0.25">
      <c r="A1861">
        <v>9600695</v>
      </c>
      <c r="B1861" t="s">
        <v>25065</v>
      </c>
      <c r="C1861">
        <v>55</v>
      </c>
      <c r="D1861">
        <v>1</v>
      </c>
      <c r="E1861">
        <v>1477</v>
      </c>
      <c r="F1861">
        <v>3609</v>
      </c>
      <c r="G1861">
        <f t="shared" si="29"/>
        <v>9600695</v>
      </c>
    </row>
    <row r="1862" spans="1:7" x14ac:dyDescent="0.25">
      <c r="A1862">
        <v>9607209</v>
      </c>
      <c r="B1862" t="s">
        <v>25066</v>
      </c>
      <c r="C1862">
        <v>67</v>
      </c>
      <c r="D1862">
        <v>8</v>
      </c>
      <c r="E1862">
        <v>36038</v>
      </c>
      <c r="F1862">
        <v>141</v>
      </c>
      <c r="G1862">
        <f t="shared" si="29"/>
        <v>9607209</v>
      </c>
    </row>
    <row r="1863" spans="1:7" x14ac:dyDescent="0.25">
      <c r="A1863">
        <v>9607665</v>
      </c>
      <c r="B1863" t="s">
        <v>25067</v>
      </c>
      <c r="C1863">
        <v>1622</v>
      </c>
      <c r="D1863">
        <v>1</v>
      </c>
      <c r="E1863">
        <v>189</v>
      </c>
      <c r="F1863">
        <v>5544</v>
      </c>
      <c r="G1863">
        <f t="shared" si="29"/>
        <v>9607665</v>
      </c>
    </row>
    <row r="1864" spans="1:7" x14ac:dyDescent="0.25">
      <c r="A1864">
        <v>9607859</v>
      </c>
      <c r="B1864" t="s">
        <v>25068</v>
      </c>
      <c r="C1864">
        <v>429</v>
      </c>
      <c r="D1864">
        <v>2</v>
      </c>
      <c r="E1864">
        <v>9549</v>
      </c>
      <c r="F1864">
        <v>1630</v>
      </c>
      <c r="G1864">
        <f t="shared" si="29"/>
        <v>9607859</v>
      </c>
    </row>
    <row r="1865" spans="1:7" x14ac:dyDescent="0.25">
      <c r="A1865">
        <v>9609333</v>
      </c>
      <c r="B1865" t="s">
        <v>25069</v>
      </c>
      <c r="C1865">
        <v>17</v>
      </c>
      <c r="D1865">
        <v>1</v>
      </c>
      <c r="E1865">
        <v>3161</v>
      </c>
      <c r="F1865">
        <v>2955</v>
      </c>
      <c r="G1865">
        <f t="shared" si="29"/>
        <v>9609333</v>
      </c>
    </row>
    <row r="1866" spans="1:7" x14ac:dyDescent="0.25">
      <c r="A1866">
        <v>9609483</v>
      </c>
      <c r="B1866" t="s">
        <v>25070</v>
      </c>
      <c r="C1866">
        <v>0</v>
      </c>
      <c r="D1866">
        <v>1</v>
      </c>
      <c r="E1866">
        <v>26</v>
      </c>
      <c r="F1866">
        <v>6462</v>
      </c>
      <c r="G1866">
        <f t="shared" si="29"/>
        <v>9609483</v>
      </c>
    </row>
    <row r="1867" spans="1:7" x14ac:dyDescent="0.25">
      <c r="A1867">
        <v>9610666</v>
      </c>
      <c r="B1867" t="s">
        <v>25071</v>
      </c>
      <c r="C1867">
        <v>0</v>
      </c>
      <c r="D1867">
        <v>1</v>
      </c>
      <c r="E1867">
        <v>2215</v>
      </c>
      <c r="F1867">
        <v>3267</v>
      </c>
      <c r="G1867">
        <f t="shared" si="29"/>
        <v>9610666</v>
      </c>
    </row>
    <row r="1868" spans="1:7" x14ac:dyDescent="0.25">
      <c r="A1868">
        <v>9611921</v>
      </c>
      <c r="B1868" t="s">
        <v>25072</v>
      </c>
      <c r="C1868">
        <v>61</v>
      </c>
      <c r="D1868">
        <v>1</v>
      </c>
      <c r="E1868">
        <v>26</v>
      </c>
      <c r="F1868">
        <v>6463</v>
      </c>
      <c r="G1868">
        <f t="shared" si="29"/>
        <v>9611921</v>
      </c>
    </row>
    <row r="1869" spans="1:7" x14ac:dyDescent="0.25">
      <c r="A1869">
        <v>9612128</v>
      </c>
      <c r="B1869" t="s">
        <v>25073</v>
      </c>
      <c r="C1869">
        <v>0</v>
      </c>
      <c r="D1869">
        <v>0</v>
      </c>
      <c r="E1869">
        <v>0</v>
      </c>
      <c r="F1869">
        <v>7249</v>
      </c>
      <c r="G1869">
        <f t="shared" si="29"/>
        <v>9612128</v>
      </c>
    </row>
    <row r="1870" spans="1:7" x14ac:dyDescent="0.25">
      <c r="A1870">
        <v>9612166</v>
      </c>
      <c r="B1870" t="s">
        <v>25074</v>
      </c>
      <c r="C1870">
        <v>1968</v>
      </c>
      <c r="D1870">
        <v>0</v>
      </c>
      <c r="E1870">
        <v>0</v>
      </c>
      <c r="F1870">
        <v>7250</v>
      </c>
      <c r="G1870">
        <f t="shared" si="29"/>
        <v>9612166</v>
      </c>
    </row>
    <row r="1871" spans="1:7" x14ac:dyDescent="0.25">
      <c r="A1871">
        <v>9613463</v>
      </c>
      <c r="B1871" t="s">
        <v>25075</v>
      </c>
      <c r="C1871">
        <v>0</v>
      </c>
      <c r="D1871">
        <v>1</v>
      </c>
      <c r="E1871">
        <v>229</v>
      </c>
      <c r="F1871">
        <v>5390</v>
      </c>
      <c r="G1871">
        <f t="shared" si="29"/>
        <v>9613463</v>
      </c>
    </row>
    <row r="1872" spans="1:7" x14ac:dyDescent="0.25">
      <c r="A1872">
        <v>9613683</v>
      </c>
      <c r="B1872" t="s">
        <v>36231</v>
      </c>
      <c r="C1872">
        <v>760</v>
      </c>
      <c r="D1872">
        <v>5</v>
      </c>
      <c r="E1872">
        <v>26569</v>
      </c>
      <c r="F1872">
        <v>347</v>
      </c>
      <c r="G1872">
        <f t="shared" si="29"/>
        <v>9613683</v>
      </c>
    </row>
    <row r="1873" spans="1:7" x14ac:dyDescent="0.25">
      <c r="A1873">
        <v>9613788</v>
      </c>
      <c r="B1873" t="s">
        <v>25076</v>
      </c>
      <c r="C1873">
        <v>0</v>
      </c>
      <c r="D1873">
        <v>1</v>
      </c>
      <c r="E1873">
        <v>368</v>
      </c>
      <c r="F1873">
        <v>4932</v>
      </c>
      <c r="G1873">
        <f t="shared" si="29"/>
        <v>9613788</v>
      </c>
    </row>
    <row r="1874" spans="1:7" x14ac:dyDescent="0.25">
      <c r="A1874">
        <v>9613843</v>
      </c>
      <c r="B1874" t="s">
        <v>25077</v>
      </c>
      <c r="C1874">
        <v>0</v>
      </c>
      <c r="D1874">
        <v>1</v>
      </c>
      <c r="E1874">
        <v>161</v>
      </c>
      <c r="F1874">
        <v>5655</v>
      </c>
      <c r="G1874">
        <f t="shared" si="29"/>
        <v>9613843</v>
      </c>
    </row>
    <row r="1875" spans="1:7" x14ac:dyDescent="0.25">
      <c r="A1875">
        <v>9615440</v>
      </c>
      <c r="B1875" t="s">
        <v>25078</v>
      </c>
      <c r="C1875">
        <v>0</v>
      </c>
      <c r="D1875">
        <v>1</v>
      </c>
      <c r="E1875">
        <v>57</v>
      </c>
      <c r="F1875">
        <v>6115</v>
      </c>
      <c r="G1875">
        <f t="shared" si="29"/>
        <v>9615440</v>
      </c>
    </row>
    <row r="1876" spans="1:7" x14ac:dyDescent="0.25">
      <c r="A1876">
        <v>9616338</v>
      </c>
      <c r="B1876" t="s">
        <v>25079</v>
      </c>
      <c r="C1876">
        <v>0</v>
      </c>
      <c r="D1876">
        <v>0</v>
      </c>
      <c r="E1876">
        <v>0</v>
      </c>
      <c r="F1876">
        <v>7251</v>
      </c>
      <c r="G1876">
        <f t="shared" si="29"/>
        <v>9616338</v>
      </c>
    </row>
    <row r="1877" spans="1:7" x14ac:dyDescent="0.25">
      <c r="A1877">
        <v>9616906</v>
      </c>
      <c r="B1877" t="s">
        <v>25080</v>
      </c>
      <c r="C1877">
        <v>0</v>
      </c>
      <c r="D1877">
        <v>1</v>
      </c>
      <c r="E1877">
        <v>136</v>
      </c>
      <c r="F1877">
        <v>5745</v>
      </c>
      <c r="G1877">
        <f t="shared" si="29"/>
        <v>9616906</v>
      </c>
    </row>
    <row r="1878" spans="1:7" x14ac:dyDescent="0.25">
      <c r="A1878">
        <v>9616994</v>
      </c>
      <c r="B1878" t="s">
        <v>36232</v>
      </c>
      <c r="C1878">
        <v>215</v>
      </c>
      <c r="D1878">
        <v>3</v>
      </c>
      <c r="E1878">
        <v>14065</v>
      </c>
      <c r="F1878">
        <v>1069</v>
      </c>
      <c r="G1878">
        <f t="shared" si="29"/>
        <v>9616994</v>
      </c>
    </row>
    <row r="1879" spans="1:7" x14ac:dyDescent="0.25">
      <c r="A1879">
        <v>9619276</v>
      </c>
      <c r="B1879" t="s">
        <v>36233</v>
      </c>
      <c r="C1879">
        <v>179</v>
      </c>
      <c r="D1879">
        <v>1</v>
      </c>
      <c r="E1879">
        <v>3446</v>
      </c>
      <c r="F1879">
        <v>2886</v>
      </c>
      <c r="G1879">
        <f t="shared" si="29"/>
        <v>9619276</v>
      </c>
    </row>
    <row r="1880" spans="1:7" x14ac:dyDescent="0.25">
      <c r="A1880">
        <v>9621124</v>
      </c>
      <c r="B1880" t="s">
        <v>25081</v>
      </c>
      <c r="C1880">
        <v>0</v>
      </c>
      <c r="D1880">
        <v>1</v>
      </c>
      <c r="E1880">
        <v>677</v>
      </c>
      <c r="F1880">
        <v>4374</v>
      </c>
      <c r="G1880">
        <f t="shared" si="29"/>
        <v>9621124</v>
      </c>
    </row>
    <row r="1881" spans="1:7" x14ac:dyDescent="0.25">
      <c r="A1881">
        <v>9621199</v>
      </c>
      <c r="B1881" t="s">
        <v>25082</v>
      </c>
      <c r="C1881">
        <v>58</v>
      </c>
      <c r="D1881">
        <v>5</v>
      </c>
      <c r="E1881">
        <v>27119</v>
      </c>
      <c r="F1881">
        <v>328</v>
      </c>
      <c r="G1881">
        <f t="shared" si="29"/>
        <v>9621199</v>
      </c>
    </row>
    <row r="1882" spans="1:7" x14ac:dyDescent="0.25">
      <c r="A1882">
        <v>9621962</v>
      </c>
      <c r="B1882" t="s">
        <v>25083</v>
      </c>
      <c r="C1882">
        <v>0</v>
      </c>
      <c r="D1882">
        <v>0</v>
      </c>
      <c r="E1882">
        <v>0</v>
      </c>
      <c r="F1882">
        <v>7252</v>
      </c>
      <c r="G1882">
        <f t="shared" si="29"/>
        <v>9621962</v>
      </c>
    </row>
    <row r="1883" spans="1:7" x14ac:dyDescent="0.25">
      <c r="A1883">
        <v>9623859</v>
      </c>
      <c r="B1883" t="s">
        <v>36234</v>
      </c>
      <c r="C1883">
        <v>896</v>
      </c>
      <c r="D1883">
        <v>2</v>
      </c>
      <c r="E1883">
        <v>9783</v>
      </c>
      <c r="F1883">
        <v>1592</v>
      </c>
      <c r="G1883">
        <f t="shared" si="29"/>
        <v>9623859</v>
      </c>
    </row>
    <row r="1884" spans="1:7" x14ac:dyDescent="0.25">
      <c r="A1884">
        <v>9626379</v>
      </c>
      <c r="B1884" t="s">
        <v>25084</v>
      </c>
      <c r="C1884">
        <v>0</v>
      </c>
      <c r="D1884">
        <v>1</v>
      </c>
      <c r="E1884">
        <v>50</v>
      </c>
      <c r="F1884">
        <v>6174</v>
      </c>
      <c r="G1884">
        <f t="shared" si="29"/>
        <v>9626379</v>
      </c>
    </row>
    <row r="1885" spans="1:7" x14ac:dyDescent="0.25">
      <c r="A1885">
        <v>9628170</v>
      </c>
      <c r="B1885" t="s">
        <v>25085</v>
      </c>
      <c r="C1885">
        <v>1403</v>
      </c>
      <c r="D1885">
        <v>1</v>
      </c>
      <c r="E1885">
        <v>4507</v>
      </c>
      <c r="F1885">
        <v>2645</v>
      </c>
      <c r="G1885">
        <f t="shared" si="29"/>
        <v>9628170</v>
      </c>
    </row>
    <row r="1886" spans="1:7" x14ac:dyDescent="0.25">
      <c r="A1886">
        <v>9628915</v>
      </c>
      <c r="B1886" t="s">
        <v>37128</v>
      </c>
      <c r="C1886">
        <v>0</v>
      </c>
      <c r="D1886">
        <v>1</v>
      </c>
      <c r="E1886">
        <v>157</v>
      </c>
      <c r="F1886">
        <v>5669</v>
      </c>
      <c r="G1886">
        <f t="shared" si="29"/>
        <v>9628915</v>
      </c>
    </row>
    <row r="1887" spans="1:7" x14ac:dyDescent="0.25">
      <c r="A1887">
        <v>9629077</v>
      </c>
      <c r="B1887" t="s">
        <v>2794</v>
      </c>
      <c r="C1887">
        <v>0</v>
      </c>
      <c r="D1887">
        <v>1</v>
      </c>
      <c r="E1887">
        <v>210</v>
      </c>
      <c r="F1887">
        <v>5458</v>
      </c>
      <c r="G1887">
        <f t="shared" si="29"/>
        <v>9629077</v>
      </c>
    </row>
    <row r="1888" spans="1:7" x14ac:dyDescent="0.25">
      <c r="A1888">
        <v>9629783</v>
      </c>
      <c r="B1888" t="s">
        <v>25086</v>
      </c>
      <c r="C1888">
        <v>0</v>
      </c>
      <c r="D1888">
        <v>1</v>
      </c>
      <c r="E1888">
        <v>2729</v>
      </c>
      <c r="F1888">
        <v>3066</v>
      </c>
      <c r="G1888">
        <f t="shared" si="29"/>
        <v>9629783</v>
      </c>
    </row>
    <row r="1889" spans="1:7" x14ac:dyDescent="0.25">
      <c r="A1889">
        <v>9631608</v>
      </c>
      <c r="B1889" t="s">
        <v>25087</v>
      </c>
      <c r="C1889">
        <v>47</v>
      </c>
      <c r="D1889">
        <v>2</v>
      </c>
      <c r="E1889">
        <v>4724</v>
      </c>
      <c r="F1889">
        <v>2570</v>
      </c>
      <c r="G1889">
        <f t="shared" si="29"/>
        <v>9631608</v>
      </c>
    </row>
    <row r="1890" spans="1:7" x14ac:dyDescent="0.25">
      <c r="A1890">
        <v>9633507</v>
      </c>
      <c r="B1890" t="s">
        <v>25088</v>
      </c>
      <c r="C1890">
        <v>0</v>
      </c>
      <c r="D1890">
        <v>1</v>
      </c>
      <c r="E1890">
        <v>26</v>
      </c>
      <c r="F1890">
        <v>6464</v>
      </c>
      <c r="G1890">
        <f t="shared" si="29"/>
        <v>9633507</v>
      </c>
    </row>
    <row r="1891" spans="1:7" x14ac:dyDescent="0.25">
      <c r="A1891">
        <v>9634511</v>
      </c>
      <c r="B1891" t="s">
        <v>25089</v>
      </c>
      <c r="C1891">
        <v>39</v>
      </c>
      <c r="D1891">
        <v>1</v>
      </c>
      <c r="E1891">
        <v>3135</v>
      </c>
      <c r="F1891">
        <v>2959</v>
      </c>
      <c r="G1891">
        <f t="shared" si="29"/>
        <v>9634511</v>
      </c>
    </row>
    <row r="1892" spans="1:7" x14ac:dyDescent="0.25">
      <c r="A1892">
        <v>9637025</v>
      </c>
      <c r="B1892" t="s">
        <v>25090</v>
      </c>
      <c r="C1892">
        <v>23</v>
      </c>
      <c r="D1892">
        <v>1</v>
      </c>
      <c r="E1892">
        <v>1711</v>
      </c>
      <c r="F1892">
        <v>3509</v>
      </c>
      <c r="G1892">
        <f t="shared" si="29"/>
        <v>9637025</v>
      </c>
    </row>
    <row r="1893" spans="1:7" x14ac:dyDescent="0.25">
      <c r="A1893">
        <v>9637656</v>
      </c>
      <c r="B1893" t="s">
        <v>25091</v>
      </c>
      <c r="C1893">
        <v>1362</v>
      </c>
      <c r="D1893">
        <v>1</v>
      </c>
      <c r="E1893">
        <v>190</v>
      </c>
      <c r="F1893">
        <v>5539</v>
      </c>
      <c r="G1893">
        <f t="shared" si="29"/>
        <v>9637656</v>
      </c>
    </row>
    <row r="1894" spans="1:7" x14ac:dyDescent="0.25">
      <c r="A1894">
        <v>9637905</v>
      </c>
      <c r="B1894" t="s">
        <v>25092</v>
      </c>
      <c r="C1894">
        <v>1651</v>
      </c>
      <c r="D1894">
        <v>1</v>
      </c>
      <c r="E1894">
        <v>1740</v>
      </c>
      <c r="F1894">
        <v>3478</v>
      </c>
      <c r="G1894">
        <f t="shared" si="29"/>
        <v>9637905</v>
      </c>
    </row>
    <row r="1895" spans="1:7" x14ac:dyDescent="0.25">
      <c r="A1895">
        <v>9638311</v>
      </c>
      <c r="B1895" t="s">
        <v>1703</v>
      </c>
      <c r="C1895">
        <v>15</v>
      </c>
      <c r="D1895">
        <v>2</v>
      </c>
      <c r="E1895">
        <v>13583</v>
      </c>
      <c r="F1895">
        <v>1120</v>
      </c>
      <c r="G1895">
        <f t="shared" si="29"/>
        <v>9638311</v>
      </c>
    </row>
    <row r="1896" spans="1:7" x14ac:dyDescent="0.25">
      <c r="A1896">
        <v>9639579</v>
      </c>
      <c r="B1896" t="s">
        <v>37100</v>
      </c>
      <c r="C1896">
        <v>625</v>
      </c>
      <c r="D1896">
        <v>3</v>
      </c>
      <c r="E1896">
        <v>11168</v>
      </c>
      <c r="F1896">
        <v>1387</v>
      </c>
      <c r="G1896">
        <f t="shared" si="29"/>
        <v>9639579</v>
      </c>
    </row>
    <row r="1897" spans="1:7" x14ac:dyDescent="0.25">
      <c r="A1897">
        <v>9639955</v>
      </c>
      <c r="B1897" t="s">
        <v>25093</v>
      </c>
      <c r="C1897">
        <v>1885</v>
      </c>
      <c r="D1897">
        <v>1</v>
      </c>
      <c r="E1897">
        <v>510</v>
      </c>
      <c r="F1897">
        <v>4644</v>
      </c>
      <c r="G1897">
        <f t="shared" si="29"/>
        <v>9639955</v>
      </c>
    </row>
    <row r="1898" spans="1:7" x14ac:dyDescent="0.25">
      <c r="A1898">
        <v>9640541</v>
      </c>
      <c r="B1898" t="s">
        <v>25094</v>
      </c>
      <c r="C1898">
        <v>0</v>
      </c>
      <c r="D1898">
        <v>0</v>
      </c>
      <c r="E1898">
        <v>0</v>
      </c>
      <c r="F1898">
        <v>7253</v>
      </c>
      <c r="G1898">
        <f t="shared" si="29"/>
        <v>9640541</v>
      </c>
    </row>
    <row r="1899" spans="1:7" x14ac:dyDescent="0.25">
      <c r="A1899">
        <v>9642632</v>
      </c>
      <c r="B1899" t="s">
        <v>25095</v>
      </c>
      <c r="C1899">
        <v>333</v>
      </c>
      <c r="D1899">
        <v>8</v>
      </c>
      <c r="E1899">
        <v>28226</v>
      </c>
      <c r="F1899">
        <v>290</v>
      </c>
      <c r="G1899">
        <f t="shared" si="29"/>
        <v>9642632</v>
      </c>
    </row>
    <row r="1900" spans="1:7" x14ac:dyDescent="0.25">
      <c r="A1900">
        <v>9642842</v>
      </c>
      <c r="B1900" t="s">
        <v>25096</v>
      </c>
      <c r="C1900">
        <v>1297</v>
      </c>
      <c r="D1900">
        <v>0</v>
      </c>
      <c r="E1900">
        <v>0</v>
      </c>
      <c r="F1900">
        <v>7254</v>
      </c>
      <c r="G1900">
        <f t="shared" si="29"/>
        <v>9642842</v>
      </c>
    </row>
    <row r="1901" spans="1:7" x14ac:dyDescent="0.25">
      <c r="A1901">
        <v>9642940</v>
      </c>
      <c r="B1901" t="s">
        <v>25097</v>
      </c>
      <c r="C1901">
        <v>189</v>
      </c>
      <c r="D1901">
        <v>1</v>
      </c>
      <c r="E1901">
        <v>6935</v>
      </c>
      <c r="F1901">
        <v>2073</v>
      </c>
      <c r="G1901">
        <f t="shared" si="29"/>
        <v>9642940</v>
      </c>
    </row>
    <row r="1902" spans="1:7" x14ac:dyDescent="0.25">
      <c r="A1902">
        <v>9643030</v>
      </c>
      <c r="B1902" t="s">
        <v>36998</v>
      </c>
      <c r="C1902">
        <v>26</v>
      </c>
      <c r="D1902">
        <v>1</v>
      </c>
      <c r="E1902">
        <v>6922</v>
      </c>
      <c r="F1902">
        <v>2078</v>
      </c>
      <c r="G1902">
        <f t="shared" si="29"/>
        <v>9643030</v>
      </c>
    </row>
    <row r="1903" spans="1:7" x14ac:dyDescent="0.25">
      <c r="A1903">
        <v>9643314</v>
      </c>
      <c r="B1903" t="s">
        <v>25098</v>
      </c>
      <c r="C1903">
        <v>274</v>
      </c>
      <c r="D1903">
        <v>5</v>
      </c>
      <c r="E1903">
        <v>28593</v>
      </c>
      <c r="F1903">
        <v>284</v>
      </c>
      <c r="G1903">
        <f t="shared" si="29"/>
        <v>9643314</v>
      </c>
    </row>
    <row r="1904" spans="1:7" x14ac:dyDescent="0.25">
      <c r="A1904">
        <v>9646096</v>
      </c>
      <c r="B1904" t="s">
        <v>25099</v>
      </c>
      <c r="C1904">
        <v>199</v>
      </c>
      <c r="D1904">
        <v>7</v>
      </c>
      <c r="E1904">
        <v>36694</v>
      </c>
      <c r="F1904">
        <v>128</v>
      </c>
      <c r="G1904">
        <f t="shared" si="29"/>
        <v>9646096</v>
      </c>
    </row>
    <row r="1905" spans="1:7" x14ac:dyDescent="0.25">
      <c r="A1905">
        <v>9646597</v>
      </c>
      <c r="B1905" t="s">
        <v>25100</v>
      </c>
      <c r="C1905">
        <v>0</v>
      </c>
      <c r="D1905">
        <v>1</v>
      </c>
      <c r="E1905">
        <v>26</v>
      </c>
      <c r="F1905">
        <v>6465</v>
      </c>
      <c r="G1905">
        <f t="shared" si="29"/>
        <v>9646597</v>
      </c>
    </row>
    <row r="1906" spans="1:7" x14ac:dyDescent="0.25">
      <c r="A1906">
        <v>9647614</v>
      </c>
      <c r="B1906" t="s">
        <v>25101</v>
      </c>
      <c r="C1906">
        <v>578</v>
      </c>
      <c r="D1906">
        <v>4</v>
      </c>
      <c r="E1906">
        <v>22957</v>
      </c>
      <c r="F1906">
        <v>476</v>
      </c>
      <c r="G1906">
        <f t="shared" si="29"/>
        <v>9647614</v>
      </c>
    </row>
    <row r="1907" spans="1:7" x14ac:dyDescent="0.25">
      <c r="A1907">
        <v>9654874</v>
      </c>
      <c r="B1907" t="s">
        <v>36235</v>
      </c>
      <c r="C1907">
        <v>138</v>
      </c>
      <c r="D1907">
        <v>2</v>
      </c>
      <c r="E1907">
        <v>6379</v>
      </c>
      <c r="F1907">
        <v>2195</v>
      </c>
      <c r="G1907">
        <f t="shared" si="29"/>
        <v>9654874</v>
      </c>
    </row>
    <row r="1908" spans="1:7" x14ac:dyDescent="0.25">
      <c r="A1908">
        <v>9656187</v>
      </c>
      <c r="B1908" t="s">
        <v>36236</v>
      </c>
      <c r="C1908">
        <v>960</v>
      </c>
      <c r="D1908">
        <v>1</v>
      </c>
      <c r="E1908">
        <v>6278</v>
      </c>
      <c r="F1908">
        <v>2217</v>
      </c>
      <c r="G1908">
        <f t="shared" si="29"/>
        <v>9656187</v>
      </c>
    </row>
    <row r="1909" spans="1:7" x14ac:dyDescent="0.25">
      <c r="A1909">
        <v>9657555</v>
      </c>
      <c r="B1909" t="s">
        <v>25102</v>
      </c>
      <c r="C1909">
        <v>1363</v>
      </c>
      <c r="D1909">
        <v>2</v>
      </c>
      <c r="E1909">
        <v>5467</v>
      </c>
      <c r="F1909">
        <v>2411</v>
      </c>
      <c r="G1909">
        <f t="shared" si="29"/>
        <v>9657555</v>
      </c>
    </row>
    <row r="1910" spans="1:7" x14ac:dyDescent="0.25">
      <c r="A1910">
        <v>9658690</v>
      </c>
      <c r="B1910" t="s">
        <v>36237</v>
      </c>
      <c r="C1910">
        <v>1858</v>
      </c>
      <c r="D1910">
        <v>1</v>
      </c>
      <c r="E1910">
        <v>526</v>
      </c>
      <c r="F1910">
        <v>4586</v>
      </c>
      <c r="G1910">
        <f t="shared" si="29"/>
        <v>9658690</v>
      </c>
    </row>
    <row r="1911" spans="1:7" x14ac:dyDescent="0.25">
      <c r="A1911">
        <v>9659252</v>
      </c>
      <c r="B1911" t="s">
        <v>25103</v>
      </c>
      <c r="C1911">
        <v>0</v>
      </c>
      <c r="D1911">
        <v>1</v>
      </c>
      <c r="E1911">
        <v>1014</v>
      </c>
      <c r="F1911">
        <v>3969</v>
      </c>
      <c r="G1911">
        <f t="shared" si="29"/>
        <v>9659252</v>
      </c>
    </row>
    <row r="1912" spans="1:7" x14ac:dyDescent="0.25">
      <c r="A1912">
        <v>9659588</v>
      </c>
      <c r="B1912" t="s">
        <v>25104</v>
      </c>
      <c r="C1912">
        <v>0</v>
      </c>
      <c r="D1912">
        <v>0</v>
      </c>
      <c r="E1912">
        <v>0</v>
      </c>
      <c r="F1912">
        <v>7255</v>
      </c>
      <c r="G1912">
        <f t="shared" si="29"/>
        <v>9659588</v>
      </c>
    </row>
    <row r="1913" spans="1:7" x14ac:dyDescent="0.25">
      <c r="A1913">
        <v>9666061</v>
      </c>
      <c r="B1913" t="s">
        <v>25105</v>
      </c>
      <c r="C1913">
        <v>1712</v>
      </c>
      <c r="D1913">
        <v>1</v>
      </c>
      <c r="E1913">
        <v>1061</v>
      </c>
      <c r="F1913">
        <v>3911</v>
      </c>
      <c r="G1913">
        <f t="shared" si="29"/>
        <v>9666061</v>
      </c>
    </row>
    <row r="1914" spans="1:7" x14ac:dyDescent="0.25">
      <c r="A1914">
        <v>9667037</v>
      </c>
      <c r="B1914" t="s">
        <v>25106</v>
      </c>
      <c r="C1914">
        <v>0</v>
      </c>
      <c r="D1914">
        <v>1</v>
      </c>
      <c r="E1914">
        <v>26</v>
      </c>
      <c r="F1914">
        <v>6466</v>
      </c>
      <c r="G1914">
        <f t="shared" si="29"/>
        <v>9667037</v>
      </c>
    </row>
    <row r="1915" spans="1:7" x14ac:dyDescent="0.25">
      <c r="A1915">
        <v>9667243</v>
      </c>
      <c r="B1915" t="s">
        <v>25107</v>
      </c>
      <c r="C1915">
        <v>0</v>
      </c>
      <c r="D1915">
        <v>0</v>
      </c>
      <c r="E1915">
        <v>0</v>
      </c>
      <c r="F1915">
        <v>7256</v>
      </c>
      <c r="G1915">
        <f t="shared" si="29"/>
        <v>9667243</v>
      </c>
    </row>
    <row r="1916" spans="1:7" x14ac:dyDescent="0.25">
      <c r="A1916">
        <v>9669559</v>
      </c>
      <c r="B1916" t="s">
        <v>25108</v>
      </c>
      <c r="C1916">
        <v>0</v>
      </c>
      <c r="D1916">
        <v>0</v>
      </c>
      <c r="E1916">
        <v>0</v>
      </c>
      <c r="F1916">
        <v>7257</v>
      </c>
      <c r="G1916">
        <f t="shared" si="29"/>
        <v>9669559</v>
      </c>
    </row>
    <row r="1917" spans="1:7" x14ac:dyDescent="0.25">
      <c r="A1917">
        <v>9671466</v>
      </c>
      <c r="B1917" t="s">
        <v>25109</v>
      </c>
      <c r="C1917">
        <v>138</v>
      </c>
      <c r="D1917">
        <v>2</v>
      </c>
      <c r="E1917">
        <v>11375</v>
      </c>
      <c r="F1917">
        <v>1366</v>
      </c>
      <c r="G1917">
        <f t="shared" si="29"/>
        <v>9671466</v>
      </c>
    </row>
    <row r="1918" spans="1:7" x14ac:dyDescent="0.25">
      <c r="A1918">
        <v>9674526</v>
      </c>
      <c r="B1918" t="s">
        <v>25110</v>
      </c>
      <c r="C1918">
        <v>160</v>
      </c>
      <c r="D1918">
        <v>3</v>
      </c>
      <c r="E1918">
        <v>13351</v>
      </c>
      <c r="F1918">
        <v>1135</v>
      </c>
      <c r="G1918">
        <f t="shared" si="29"/>
        <v>9674526</v>
      </c>
    </row>
    <row r="1919" spans="1:7" x14ac:dyDescent="0.25">
      <c r="A1919">
        <v>9675094</v>
      </c>
      <c r="B1919" t="s">
        <v>25111</v>
      </c>
      <c r="C1919">
        <v>67</v>
      </c>
      <c r="D1919">
        <v>4</v>
      </c>
      <c r="E1919">
        <v>17141</v>
      </c>
      <c r="F1919">
        <v>816</v>
      </c>
      <c r="G1919">
        <f t="shared" si="29"/>
        <v>9675094</v>
      </c>
    </row>
    <row r="1920" spans="1:7" x14ac:dyDescent="0.25">
      <c r="A1920">
        <v>9678265</v>
      </c>
      <c r="B1920" t="s">
        <v>25112</v>
      </c>
      <c r="C1920">
        <v>413</v>
      </c>
      <c r="D1920">
        <v>1</v>
      </c>
      <c r="E1920">
        <v>4005</v>
      </c>
      <c r="F1920">
        <v>2768</v>
      </c>
      <c r="G1920">
        <f t="shared" si="29"/>
        <v>9678265</v>
      </c>
    </row>
    <row r="1921" spans="1:7" x14ac:dyDescent="0.25">
      <c r="A1921">
        <v>9678817</v>
      </c>
      <c r="B1921" t="s">
        <v>25113</v>
      </c>
      <c r="C1921">
        <v>0</v>
      </c>
      <c r="D1921">
        <v>1</v>
      </c>
      <c r="E1921">
        <v>126</v>
      </c>
      <c r="F1921">
        <v>5771</v>
      </c>
      <c r="G1921">
        <f t="shared" ref="G1921:G1984" si="30">A1921</f>
        <v>9678817</v>
      </c>
    </row>
    <row r="1922" spans="1:7" x14ac:dyDescent="0.25">
      <c r="A1922">
        <v>9681506</v>
      </c>
      <c r="B1922" t="s">
        <v>25114</v>
      </c>
      <c r="C1922">
        <v>0</v>
      </c>
      <c r="D1922">
        <v>1</v>
      </c>
      <c r="E1922">
        <v>808</v>
      </c>
      <c r="F1922">
        <v>4187</v>
      </c>
      <c r="G1922">
        <f t="shared" si="30"/>
        <v>9681506</v>
      </c>
    </row>
    <row r="1923" spans="1:7" x14ac:dyDescent="0.25">
      <c r="A1923">
        <v>9683680</v>
      </c>
      <c r="B1923" t="s">
        <v>25115</v>
      </c>
      <c r="C1923">
        <v>0</v>
      </c>
      <c r="D1923">
        <v>1</v>
      </c>
      <c r="E1923">
        <v>249</v>
      </c>
      <c r="F1923">
        <v>5324</v>
      </c>
      <c r="G1923">
        <f t="shared" si="30"/>
        <v>9683680</v>
      </c>
    </row>
    <row r="1924" spans="1:7" x14ac:dyDescent="0.25">
      <c r="A1924">
        <v>9686818</v>
      </c>
      <c r="B1924" t="s">
        <v>25116</v>
      </c>
      <c r="C1924">
        <v>0</v>
      </c>
      <c r="D1924">
        <v>1</v>
      </c>
      <c r="E1924">
        <v>26</v>
      </c>
      <c r="F1924">
        <v>6467</v>
      </c>
      <c r="G1924">
        <f t="shared" si="30"/>
        <v>9686818</v>
      </c>
    </row>
    <row r="1925" spans="1:7" x14ac:dyDescent="0.25">
      <c r="A1925">
        <v>9687243</v>
      </c>
      <c r="B1925" t="s">
        <v>25117</v>
      </c>
      <c r="C1925">
        <v>0</v>
      </c>
      <c r="D1925">
        <v>1</v>
      </c>
      <c r="E1925">
        <v>50</v>
      </c>
      <c r="F1925">
        <v>6175</v>
      </c>
      <c r="G1925">
        <f t="shared" si="30"/>
        <v>9687243</v>
      </c>
    </row>
    <row r="1926" spans="1:7" x14ac:dyDescent="0.25">
      <c r="A1926">
        <v>9689431</v>
      </c>
      <c r="B1926" t="s">
        <v>25118</v>
      </c>
      <c r="C1926">
        <v>0</v>
      </c>
      <c r="D1926">
        <v>1</v>
      </c>
      <c r="E1926">
        <v>141</v>
      </c>
      <c r="F1926">
        <v>5724</v>
      </c>
      <c r="G1926">
        <f t="shared" si="30"/>
        <v>9689431</v>
      </c>
    </row>
    <row r="1927" spans="1:7" x14ac:dyDescent="0.25">
      <c r="A1927">
        <v>9689513</v>
      </c>
      <c r="B1927" t="s">
        <v>25119</v>
      </c>
      <c r="C1927">
        <v>78</v>
      </c>
      <c r="D1927">
        <v>1</v>
      </c>
      <c r="E1927">
        <v>833</v>
      </c>
      <c r="F1927">
        <v>4150</v>
      </c>
      <c r="G1927">
        <f t="shared" si="30"/>
        <v>9689513</v>
      </c>
    </row>
    <row r="1928" spans="1:7" x14ac:dyDescent="0.25">
      <c r="A1928">
        <v>9690746</v>
      </c>
      <c r="B1928" t="s">
        <v>25120</v>
      </c>
      <c r="C1928">
        <v>62</v>
      </c>
      <c r="D1928">
        <v>1</v>
      </c>
      <c r="E1928">
        <v>26</v>
      </c>
      <c r="F1928">
        <v>6468</v>
      </c>
      <c r="G1928">
        <f t="shared" si="30"/>
        <v>9690746</v>
      </c>
    </row>
    <row r="1929" spans="1:7" x14ac:dyDescent="0.25">
      <c r="A1929">
        <v>9691813</v>
      </c>
      <c r="B1929" t="s">
        <v>36238</v>
      </c>
      <c r="C1929">
        <v>1363</v>
      </c>
      <c r="D1929">
        <v>1</v>
      </c>
      <c r="E1929">
        <v>4393</v>
      </c>
      <c r="F1929">
        <v>2651</v>
      </c>
      <c r="G1929">
        <f t="shared" si="30"/>
        <v>9691813</v>
      </c>
    </row>
    <row r="1930" spans="1:7" x14ac:dyDescent="0.25">
      <c r="A1930">
        <v>9693466</v>
      </c>
      <c r="B1930" t="s">
        <v>25121</v>
      </c>
      <c r="C1930">
        <v>259</v>
      </c>
      <c r="D1930">
        <v>7</v>
      </c>
      <c r="E1930">
        <v>38059</v>
      </c>
      <c r="F1930">
        <v>107</v>
      </c>
      <c r="G1930">
        <f t="shared" si="30"/>
        <v>9693466</v>
      </c>
    </row>
    <row r="1931" spans="1:7" x14ac:dyDescent="0.25">
      <c r="A1931">
        <v>9694313</v>
      </c>
      <c r="B1931" t="s">
        <v>25122</v>
      </c>
      <c r="C1931">
        <v>122</v>
      </c>
      <c r="D1931">
        <v>8</v>
      </c>
      <c r="E1931">
        <v>48840</v>
      </c>
      <c r="F1931">
        <v>44</v>
      </c>
      <c r="G1931">
        <f t="shared" si="30"/>
        <v>9694313</v>
      </c>
    </row>
    <row r="1932" spans="1:7" x14ac:dyDescent="0.25">
      <c r="A1932">
        <v>9695732</v>
      </c>
      <c r="B1932" t="s">
        <v>37101</v>
      </c>
      <c r="C1932">
        <v>882</v>
      </c>
      <c r="D1932">
        <v>1</v>
      </c>
      <c r="E1932">
        <v>4900</v>
      </c>
      <c r="F1932">
        <v>2532</v>
      </c>
      <c r="G1932">
        <f t="shared" si="30"/>
        <v>9695732</v>
      </c>
    </row>
    <row r="1933" spans="1:7" x14ac:dyDescent="0.25">
      <c r="A1933">
        <v>9696060</v>
      </c>
      <c r="B1933" t="s">
        <v>25123</v>
      </c>
      <c r="C1933">
        <v>1689</v>
      </c>
      <c r="D1933">
        <v>2</v>
      </c>
      <c r="E1933">
        <v>7961</v>
      </c>
      <c r="F1933">
        <v>1908</v>
      </c>
      <c r="G1933">
        <f t="shared" si="30"/>
        <v>9696060</v>
      </c>
    </row>
    <row r="1934" spans="1:7" x14ac:dyDescent="0.25">
      <c r="A1934">
        <v>9700075</v>
      </c>
      <c r="B1934" t="s">
        <v>25124</v>
      </c>
      <c r="C1934">
        <v>0</v>
      </c>
      <c r="D1934">
        <v>1</v>
      </c>
      <c r="E1934">
        <v>314</v>
      </c>
      <c r="F1934">
        <v>5082</v>
      </c>
      <c r="G1934">
        <f t="shared" si="30"/>
        <v>9700075</v>
      </c>
    </row>
    <row r="1935" spans="1:7" x14ac:dyDescent="0.25">
      <c r="A1935">
        <v>9702713</v>
      </c>
      <c r="B1935" t="s">
        <v>25125</v>
      </c>
      <c r="C1935">
        <v>0</v>
      </c>
      <c r="D1935">
        <v>0</v>
      </c>
      <c r="E1935">
        <v>0</v>
      </c>
      <c r="F1935">
        <v>7258</v>
      </c>
      <c r="G1935">
        <f t="shared" si="30"/>
        <v>9702713</v>
      </c>
    </row>
    <row r="1936" spans="1:7" x14ac:dyDescent="0.25">
      <c r="A1936">
        <v>9703535</v>
      </c>
      <c r="B1936" t="s">
        <v>25126</v>
      </c>
      <c r="C1936">
        <v>760</v>
      </c>
      <c r="D1936">
        <v>3</v>
      </c>
      <c r="E1936">
        <v>12917</v>
      </c>
      <c r="F1936">
        <v>1186</v>
      </c>
      <c r="G1936">
        <f t="shared" si="30"/>
        <v>9703535</v>
      </c>
    </row>
    <row r="1937" spans="1:7" x14ac:dyDescent="0.25">
      <c r="A1937">
        <v>9704633</v>
      </c>
      <c r="B1937" t="s">
        <v>25127</v>
      </c>
      <c r="C1937">
        <v>294</v>
      </c>
      <c r="D1937">
        <v>3</v>
      </c>
      <c r="E1937">
        <v>12368</v>
      </c>
      <c r="F1937">
        <v>1246</v>
      </c>
      <c r="G1937">
        <f t="shared" si="30"/>
        <v>9704633</v>
      </c>
    </row>
    <row r="1938" spans="1:7" x14ac:dyDescent="0.25">
      <c r="A1938">
        <v>9705270</v>
      </c>
      <c r="B1938" t="s">
        <v>25128</v>
      </c>
      <c r="C1938">
        <v>0</v>
      </c>
      <c r="D1938">
        <v>1</v>
      </c>
      <c r="E1938">
        <v>1585</v>
      </c>
      <c r="F1938">
        <v>3551</v>
      </c>
      <c r="G1938">
        <f t="shared" si="30"/>
        <v>9705270</v>
      </c>
    </row>
    <row r="1939" spans="1:7" x14ac:dyDescent="0.25">
      <c r="A1939">
        <v>9705555</v>
      </c>
      <c r="B1939" t="s">
        <v>999</v>
      </c>
      <c r="C1939">
        <v>122</v>
      </c>
      <c r="D1939">
        <v>6</v>
      </c>
      <c r="E1939">
        <v>37239</v>
      </c>
      <c r="F1939">
        <v>120</v>
      </c>
      <c r="G1939">
        <f t="shared" si="30"/>
        <v>9705555</v>
      </c>
    </row>
    <row r="1940" spans="1:7" x14ac:dyDescent="0.25">
      <c r="A1940">
        <v>9706179</v>
      </c>
      <c r="B1940" t="s">
        <v>36239</v>
      </c>
      <c r="C1940">
        <v>467</v>
      </c>
      <c r="D1940">
        <v>4</v>
      </c>
      <c r="E1940">
        <v>18860</v>
      </c>
      <c r="F1940">
        <v>707</v>
      </c>
      <c r="G1940">
        <f t="shared" si="30"/>
        <v>9706179</v>
      </c>
    </row>
    <row r="1941" spans="1:7" x14ac:dyDescent="0.25">
      <c r="A1941">
        <v>9707059</v>
      </c>
      <c r="B1941" t="s">
        <v>25129</v>
      </c>
      <c r="C1941">
        <v>0</v>
      </c>
      <c r="D1941">
        <v>0</v>
      </c>
      <c r="E1941">
        <v>0</v>
      </c>
      <c r="F1941">
        <v>7259</v>
      </c>
      <c r="G1941">
        <f t="shared" si="30"/>
        <v>9707059</v>
      </c>
    </row>
    <row r="1942" spans="1:7" x14ac:dyDescent="0.25">
      <c r="A1942">
        <v>9707740</v>
      </c>
      <c r="B1942" t="s">
        <v>25130</v>
      </c>
      <c r="C1942">
        <v>0</v>
      </c>
      <c r="D1942">
        <v>0</v>
      </c>
      <c r="E1942">
        <v>0</v>
      </c>
      <c r="F1942">
        <v>7260</v>
      </c>
      <c r="G1942">
        <f t="shared" si="30"/>
        <v>9707740</v>
      </c>
    </row>
    <row r="1943" spans="1:7" x14ac:dyDescent="0.25">
      <c r="A1943">
        <v>9707878</v>
      </c>
      <c r="B1943" t="s">
        <v>25131</v>
      </c>
      <c r="C1943">
        <v>0</v>
      </c>
      <c r="D1943">
        <v>1</v>
      </c>
      <c r="E1943">
        <v>26</v>
      </c>
      <c r="F1943">
        <v>6469</v>
      </c>
      <c r="G1943">
        <f t="shared" si="30"/>
        <v>9707878</v>
      </c>
    </row>
    <row r="1944" spans="1:7" x14ac:dyDescent="0.25">
      <c r="A1944">
        <v>9708358</v>
      </c>
      <c r="B1944" t="s">
        <v>25132</v>
      </c>
      <c r="C1944">
        <v>0</v>
      </c>
      <c r="D1944">
        <v>1</v>
      </c>
      <c r="E1944">
        <v>352</v>
      </c>
      <c r="F1944">
        <v>4978</v>
      </c>
      <c r="G1944">
        <f t="shared" si="30"/>
        <v>9708358</v>
      </c>
    </row>
    <row r="1945" spans="1:7" x14ac:dyDescent="0.25">
      <c r="A1945">
        <v>9709999</v>
      </c>
      <c r="B1945" t="s">
        <v>25133</v>
      </c>
      <c r="C1945">
        <v>0</v>
      </c>
      <c r="D1945">
        <v>1</v>
      </c>
      <c r="E1945">
        <v>26</v>
      </c>
      <c r="F1945">
        <v>6470</v>
      </c>
      <c r="G1945">
        <f t="shared" si="30"/>
        <v>9709999</v>
      </c>
    </row>
    <row r="1946" spans="1:7" x14ac:dyDescent="0.25">
      <c r="A1946">
        <v>9710353</v>
      </c>
      <c r="B1946" t="s">
        <v>25134</v>
      </c>
      <c r="C1946">
        <v>1861</v>
      </c>
      <c r="D1946">
        <v>1</v>
      </c>
      <c r="E1946">
        <v>1055</v>
      </c>
      <c r="F1946">
        <v>3954</v>
      </c>
      <c r="G1946">
        <f t="shared" si="30"/>
        <v>9710353</v>
      </c>
    </row>
    <row r="1947" spans="1:7" x14ac:dyDescent="0.25">
      <c r="A1947">
        <v>9710676</v>
      </c>
      <c r="B1947" t="s">
        <v>25135</v>
      </c>
      <c r="C1947">
        <v>23</v>
      </c>
      <c r="D1947">
        <v>2</v>
      </c>
      <c r="E1947">
        <v>7975</v>
      </c>
      <c r="F1947">
        <v>1886</v>
      </c>
      <c r="G1947">
        <f t="shared" si="30"/>
        <v>9710676</v>
      </c>
    </row>
    <row r="1948" spans="1:7" x14ac:dyDescent="0.25">
      <c r="A1948">
        <v>9710721</v>
      </c>
      <c r="B1948" t="s">
        <v>2936</v>
      </c>
      <c r="C1948">
        <v>0</v>
      </c>
      <c r="D1948">
        <v>0</v>
      </c>
      <c r="E1948">
        <v>0</v>
      </c>
      <c r="F1948">
        <v>7261</v>
      </c>
      <c r="G1948">
        <f t="shared" si="30"/>
        <v>9710721</v>
      </c>
    </row>
    <row r="1949" spans="1:7" x14ac:dyDescent="0.25">
      <c r="A1949">
        <v>9712134</v>
      </c>
      <c r="B1949" t="s">
        <v>25136</v>
      </c>
      <c r="C1949">
        <v>0</v>
      </c>
      <c r="D1949">
        <v>1</v>
      </c>
      <c r="E1949">
        <v>193</v>
      </c>
      <c r="F1949">
        <v>5528</v>
      </c>
      <c r="G1949">
        <f t="shared" si="30"/>
        <v>9712134</v>
      </c>
    </row>
    <row r="1950" spans="1:7" x14ac:dyDescent="0.25">
      <c r="A1950">
        <v>9712251</v>
      </c>
      <c r="B1950" t="s">
        <v>25137</v>
      </c>
      <c r="C1950">
        <v>0</v>
      </c>
      <c r="D1950">
        <v>1</v>
      </c>
      <c r="E1950">
        <v>286</v>
      </c>
      <c r="F1950">
        <v>5161</v>
      </c>
      <c r="G1950">
        <f t="shared" si="30"/>
        <v>9712251</v>
      </c>
    </row>
    <row r="1951" spans="1:7" x14ac:dyDescent="0.25">
      <c r="A1951">
        <v>9712698</v>
      </c>
      <c r="B1951" t="s">
        <v>25138</v>
      </c>
      <c r="C1951">
        <v>0</v>
      </c>
      <c r="D1951">
        <v>0</v>
      </c>
      <c r="E1951">
        <v>0</v>
      </c>
      <c r="F1951">
        <v>7262</v>
      </c>
      <c r="G1951">
        <f t="shared" si="30"/>
        <v>9712698</v>
      </c>
    </row>
    <row r="1952" spans="1:7" x14ac:dyDescent="0.25">
      <c r="A1952">
        <v>9713659</v>
      </c>
      <c r="B1952" t="s">
        <v>37129</v>
      </c>
      <c r="C1952">
        <v>179</v>
      </c>
      <c r="D1952">
        <v>1</v>
      </c>
      <c r="E1952">
        <v>718</v>
      </c>
      <c r="F1952">
        <v>4321</v>
      </c>
      <c r="G1952">
        <f t="shared" si="30"/>
        <v>9713659</v>
      </c>
    </row>
    <row r="1953" spans="1:7" x14ac:dyDescent="0.25">
      <c r="A1953">
        <v>9713817</v>
      </c>
      <c r="B1953" t="s">
        <v>36240</v>
      </c>
      <c r="C1953">
        <v>0</v>
      </c>
      <c r="D1953">
        <v>1</v>
      </c>
      <c r="E1953">
        <v>26</v>
      </c>
      <c r="F1953">
        <v>6471</v>
      </c>
      <c r="G1953">
        <f t="shared" si="30"/>
        <v>9713817</v>
      </c>
    </row>
    <row r="1954" spans="1:7" x14ac:dyDescent="0.25">
      <c r="A1954">
        <v>9714561</v>
      </c>
      <c r="B1954" t="s">
        <v>25139</v>
      </c>
      <c r="C1954">
        <v>124</v>
      </c>
      <c r="D1954">
        <v>2</v>
      </c>
      <c r="E1954">
        <v>9707</v>
      </c>
      <c r="F1954">
        <v>1606</v>
      </c>
      <c r="G1954">
        <f t="shared" si="30"/>
        <v>9714561</v>
      </c>
    </row>
    <row r="1955" spans="1:7" x14ac:dyDescent="0.25">
      <c r="A1955">
        <v>9717624</v>
      </c>
      <c r="B1955" t="s">
        <v>25140</v>
      </c>
      <c r="C1955">
        <v>0</v>
      </c>
      <c r="D1955">
        <v>1</v>
      </c>
      <c r="E1955">
        <v>47</v>
      </c>
      <c r="F1955">
        <v>6204</v>
      </c>
      <c r="G1955">
        <f t="shared" si="30"/>
        <v>9717624</v>
      </c>
    </row>
    <row r="1956" spans="1:7" x14ac:dyDescent="0.25">
      <c r="A1956">
        <v>9718296</v>
      </c>
      <c r="B1956" t="s">
        <v>25141</v>
      </c>
      <c r="C1956">
        <v>1974</v>
      </c>
      <c r="D1956">
        <v>1</v>
      </c>
      <c r="E1956">
        <v>1027</v>
      </c>
      <c r="F1956">
        <v>3949</v>
      </c>
      <c r="G1956">
        <f t="shared" si="30"/>
        <v>9718296</v>
      </c>
    </row>
    <row r="1957" spans="1:7" x14ac:dyDescent="0.25">
      <c r="A1957">
        <v>9720376</v>
      </c>
      <c r="B1957" t="s">
        <v>25142</v>
      </c>
      <c r="C1957">
        <v>1353</v>
      </c>
      <c r="D1957">
        <v>1</v>
      </c>
      <c r="E1957">
        <v>192</v>
      </c>
      <c r="F1957">
        <v>5531</v>
      </c>
      <c r="G1957">
        <f t="shared" si="30"/>
        <v>9720376</v>
      </c>
    </row>
    <row r="1958" spans="1:7" x14ac:dyDescent="0.25">
      <c r="A1958">
        <v>9722639</v>
      </c>
      <c r="B1958" t="s">
        <v>36241</v>
      </c>
      <c r="C1958">
        <v>0</v>
      </c>
      <c r="D1958">
        <v>0</v>
      </c>
      <c r="E1958">
        <v>0</v>
      </c>
      <c r="F1958">
        <v>7263</v>
      </c>
      <c r="G1958">
        <f t="shared" si="30"/>
        <v>9722639</v>
      </c>
    </row>
    <row r="1959" spans="1:7" x14ac:dyDescent="0.25">
      <c r="A1959">
        <v>9726417</v>
      </c>
      <c r="B1959" t="s">
        <v>25143</v>
      </c>
      <c r="C1959">
        <v>0</v>
      </c>
      <c r="D1959">
        <v>1</v>
      </c>
      <c r="E1959">
        <v>91</v>
      </c>
      <c r="F1959">
        <v>5896</v>
      </c>
      <c r="G1959">
        <f t="shared" si="30"/>
        <v>9726417</v>
      </c>
    </row>
    <row r="1960" spans="1:7" x14ac:dyDescent="0.25">
      <c r="A1960">
        <v>9726912</v>
      </c>
      <c r="B1960" t="s">
        <v>25144</v>
      </c>
      <c r="C1960">
        <v>1651</v>
      </c>
      <c r="D1960">
        <v>1</v>
      </c>
      <c r="E1960">
        <v>2537</v>
      </c>
      <c r="F1960">
        <v>3126</v>
      </c>
      <c r="G1960">
        <f t="shared" si="30"/>
        <v>9726912</v>
      </c>
    </row>
    <row r="1961" spans="1:7" x14ac:dyDescent="0.25">
      <c r="A1961">
        <v>9728168</v>
      </c>
      <c r="B1961" t="s">
        <v>25145</v>
      </c>
      <c r="C1961">
        <v>1868</v>
      </c>
      <c r="D1961">
        <v>1</v>
      </c>
      <c r="E1961">
        <v>374</v>
      </c>
      <c r="F1961">
        <v>4917</v>
      </c>
      <c r="G1961">
        <f t="shared" si="30"/>
        <v>9728168</v>
      </c>
    </row>
    <row r="1962" spans="1:7" x14ac:dyDescent="0.25">
      <c r="A1962">
        <v>9731293</v>
      </c>
      <c r="B1962" t="s">
        <v>25146</v>
      </c>
      <c r="C1962">
        <v>0</v>
      </c>
      <c r="D1962">
        <v>0</v>
      </c>
      <c r="E1962">
        <v>0</v>
      </c>
      <c r="F1962">
        <v>7264</v>
      </c>
      <c r="G1962">
        <f t="shared" si="30"/>
        <v>9731293</v>
      </c>
    </row>
    <row r="1963" spans="1:7" x14ac:dyDescent="0.25">
      <c r="A1963">
        <v>9736677</v>
      </c>
      <c r="B1963" t="s">
        <v>37130</v>
      </c>
      <c r="C1963">
        <v>79</v>
      </c>
      <c r="D1963">
        <v>5</v>
      </c>
      <c r="E1963">
        <v>27011</v>
      </c>
      <c r="F1963">
        <v>334</v>
      </c>
      <c r="G1963">
        <f t="shared" si="30"/>
        <v>9736677</v>
      </c>
    </row>
    <row r="1964" spans="1:7" x14ac:dyDescent="0.25">
      <c r="A1964">
        <v>9738149</v>
      </c>
      <c r="B1964" t="s">
        <v>25147</v>
      </c>
      <c r="C1964">
        <v>1775</v>
      </c>
      <c r="D1964">
        <v>2</v>
      </c>
      <c r="E1964">
        <v>6606</v>
      </c>
      <c r="F1964">
        <v>2138</v>
      </c>
      <c r="G1964">
        <f t="shared" si="30"/>
        <v>9738149</v>
      </c>
    </row>
    <row r="1965" spans="1:7" x14ac:dyDescent="0.25">
      <c r="A1965">
        <v>9738896</v>
      </c>
      <c r="B1965" t="s">
        <v>25148</v>
      </c>
      <c r="C1965">
        <v>218</v>
      </c>
      <c r="D1965">
        <v>3</v>
      </c>
      <c r="E1965">
        <v>10349</v>
      </c>
      <c r="F1965">
        <v>1521</v>
      </c>
      <c r="G1965">
        <f t="shared" si="30"/>
        <v>9738896</v>
      </c>
    </row>
    <row r="1966" spans="1:7" x14ac:dyDescent="0.25">
      <c r="A1966">
        <v>9740586</v>
      </c>
      <c r="B1966" t="s">
        <v>25149</v>
      </c>
      <c r="C1966">
        <v>0</v>
      </c>
      <c r="D1966">
        <v>1</v>
      </c>
      <c r="E1966">
        <v>231</v>
      </c>
      <c r="F1966">
        <v>5383</v>
      </c>
      <c r="G1966">
        <f t="shared" si="30"/>
        <v>9740586</v>
      </c>
    </row>
    <row r="1967" spans="1:7" x14ac:dyDescent="0.25">
      <c r="A1967">
        <v>9741946</v>
      </c>
      <c r="B1967" t="s">
        <v>37266</v>
      </c>
      <c r="C1967">
        <v>1602</v>
      </c>
      <c r="D1967">
        <v>1</v>
      </c>
      <c r="E1967">
        <v>1776</v>
      </c>
      <c r="F1967">
        <v>3459</v>
      </c>
      <c r="G1967">
        <f t="shared" si="30"/>
        <v>9741946</v>
      </c>
    </row>
    <row r="1968" spans="1:7" x14ac:dyDescent="0.25">
      <c r="A1968">
        <v>9742133</v>
      </c>
      <c r="B1968" t="s">
        <v>25150</v>
      </c>
      <c r="C1968">
        <v>69</v>
      </c>
      <c r="D1968">
        <v>5</v>
      </c>
      <c r="E1968">
        <v>30778</v>
      </c>
      <c r="F1968">
        <v>229</v>
      </c>
      <c r="G1968">
        <f t="shared" si="30"/>
        <v>9742133</v>
      </c>
    </row>
    <row r="1969" spans="1:7" x14ac:dyDescent="0.25">
      <c r="A1969">
        <v>9744319</v>
      </c>
      <c r="B1969" t="s">
        <v>25151</v>
      </c>
      <c r="C1969">
        <v>0</v>
      </c>
      <c r="D1969">
        <v>0</v>
      </c>
      <c r="E1969">
        <v>0</v>
      </c>
      <c r="F1969">
        <v>7265</v>
      </c>
      <c r="G1969">
        <f t="shared" si="30"/>
        <v>9744319</v>
      </c>
    </row>
    <row r="1970" spans="1:7" x14ac:dyDescent="0.25">
      <c r="A1970">
        <v>9748177</v>
      </c>
      <c r="B1970" t="s">
        <v>37394</v>
      </c>
      <c r="C1970">
        <v>0</v>
      </c>
      <c r="D1970">
        <v>0</v>
      </c>
      <c r="E1970">
        <v>0</v>
      </c>
      <c r="F1970">
        <v>7266</v>
      </c>
      <c r="G1970">
        <f t="shared" si="30"/>
        <v>9748177</v>
      </c>
    </row>
    <row r="1971" spans="1:7" x14ac:dyDescent="0.25">
      <c r="A1971">
        <v>9749545</v>
      </c>
      <c r="B1971" t="s">
        <v>25152</v>
      </c>
      <c r="C1971">
        <v>0</v>
      </c>
      <c r="D1971">
        <v>1</v>
      </c>
      <c r="E1971">
        <v>29</v>
      </c>
      <c r="F1971">
        <v>6325</v>
      </c>
      <c r="G1971">
        <f t="shared" si="30"/>
        <v>9749545</v>
      </c>
    </row>
    <row r="1972" spans="1:7" x14ac:dyDescent="0.25">
      <c r="A1972">
        <v>9750091</v>
      </c>
      <c r="B1972" t="s">
        <v>25153</v>
      </c>
      <c r="C1972">
        <v>12</v>
      </c>
      <c r="D1972">
        <v>1</v>
      </c>
      <c r="E1972">
        <v>4560</v>
      </c>
      <c r="F1972">
        <v>2604</v>
      </c>
      <c r="G1972">
        <f t="shared" si="30"/>
        <v>9750091</v>
      </c>
    </row>
    <row r="1973" spans="1:7" x14ac:dyDescent="0.25">
      <c r="A1973">
        <v>9750746</v>
      </c>
      <c r="B1973" t="s">
        <v>25154</v>
      </c>
      <c r="C1973">
        <v>0</v>
      </c>
      <c r="D1973">
        <v>1</v>
      </c>
      <c r="E1973">
        <v>223</v>
      </c>
      <c r="F1973">
        <v>5420</v>
      </c>
      <c r="G1973">
        <f t="shared" si="30"/>
        <v>9750746</v>
      </c>
    </row>
    <row r="1974" spans="1:7" x14ac:dyDescent="0.25">
      <c r="A1974">
        <v>9751835</v>
      </c>
      <c r="B1974" t="s">
        <v>25155</v>
      </c>
      <c r="C1974">
        <v>1689</v>
      </c>
      <c r="D1974">
        <v>1</v>
      </c>
      <c r="E1974">
        <v>1211</v>
      </c>
      <c r="F1974">
        <v>3793</v>
      </c>
      <c r="G1974">
        <f t="shared" si="30"/>
        <v>9751835</v>
      </c>
    </row>
    <row r="1975" spans="1:7" x14ac:dyDescent="0.25">
      <c r="A1975">
        <v>9751955</v>
      </c>
      <c r="B1975" t="s">
        <v>25156</v>
      </c>
      <c r="C1975">
        <v>0</v>
      </c>
      <c r="D1975">
        <v>1</v>
      </c>
      <c r="E1975">
        <v>464</v>
      </c>
      <c r="F1975">
        <v>4727</v>
      </c>
      <c r="G1975">
        <f t="shared" si="30"/>
        <v>9751955</v>
      </c>
    </row>
    <row r="1976" spans="1:7" x14ac:dyDescent="0.25">
      <c r="A1976">
        <v>9752994</v>
      </c>
      <c r="B1976" t="s">
        <v>36242</v>
      </c>
      <c r="C1976">
        <v>480</v>
      </c>
      <c r="D1976">
        <v>4</v>
      </c>
      <c r="E1976">
        <v>13656</v>
      </c>
      <c r="F1976">
        <v>1108</v>
      </c>
      <c r="G1976">
        <f t="shared" si="30"/>
        <v>9752994</v>
      </c>
    </row>
    <row r="1977" spans="1:7" x14ac:dyDescent="0.25">
      <c r="A1977">
        <v>9753568</v>
      </c>
      <c r="B1977" t="s">
        <v>25157</v>
      </c>
      <c r="C1977">
        <v>294</v>
      </c>
      <c r="D1977">
        <v>3</v>
      </c>
      <c r="E1977">
        <v>13646</v>
      </c>
      <c r="F1977">
        <v>1114</v>
      </c>
      <c r="G1977">
        <f t="shared" si="30"/>
        <v>9753568</v>
      </c>
    </row>
    <row r="1978" spans="1:7" x14ac:dyDescent="0.25">
      <c r="A1978">
        <v>9754822</v>
      </c>
      <c r="B1978" t="s">
        <v>25158</v>
      </c>
      <c r="C1978">
        <v>0</v>
      </c>
      <c r="D1978">
        <v>1</v>
      </c>
      <c r="E1978">
        <v>26</v>
      </c>
      <c r="F1978">
        <v>6472</v>
      </c>
      <c r="G1978">
        <f t="shared" si="30"/>
        <v>9754822</v>
      </c>
    </row>
    <row r="1979" spans="1:7" x14ac:dyDescent="0.25">
      <c r="A1979">
        <v>9756356</v>
      </c>
      <c r="B1979" t="s">
        <v>25159</v>
      </c>
      <c r="C1979">
        <v>6</v>
      </c>
      <c r="D1979">
        <v>2</v>
      </c>
      <c r="E1979">
        <v>14298</v>
      </c>
      <c r="F1979">
        <v>1052</v>
      </c>
      <c r="G1979">
        <f t="shared" si="30"/>
        <v>9756356</v>
      </c>
    </row>
    <row r="1980" spans="1:7" x14ac:dyDescent="0.25">
      <c r="A1980">
        <v>9757149</v>
      </c>
      <c r="B1980" t="s">
        <v>36999</v>
      </c>
      <c r="C1980">
        <v>79</v>
      </c>
      <c r="D1980">
        <v>5</v>
      </c>
      <c r="E1980">
        <v>16877</v>
      </c>
      <c r="F1980">
        <v>838</v>
      </c>
      <c r="G1980">
        <f t="shared" si="30"/>
        <v>9757149</v>
      </c>
    </row>
    <row r="1981" spans="1:7" x14ac:dyDescent="0.25">
      <c r="A1981">
        <v>9758051</v>
      </c>
      <c r="B1981" t="s">
        <v>25160</v>
      </c>
      <c r="C1981">
        <v>67</v>
      </c>
      <c r="D1981">
        <v>3</v>
      </c>
      <c r="E1981">
        <v>14000</v>
      </c>
      <c r="F1981">
        <v>1081</v>
      </c>
      <c r="G1981">
        <f t="shared" si="30"/>
        <v>9758051</v>
      </c>
    </row>
    <row r="1982" spans="1:7" x14ac:dyDescent="0.25">
      <c r="A1982">
        <v>9759172</v>
      </c>
      <c r="B1982" t="s">
        <v>25161</v>
      </c>
      <c r="C1982">
        <v>1403</v>
      </c>
      <c r="D1982">
        <v>3</v>
      </c>
      <c r="E1982">
        <v>8782</v>
      </c>
      <c r="F1982">
        <v>1756</v>
      </c>
      <c r="G1982">
        <f t="shared" si="30"/>
        <v>9759172</v>
      </c>
    </row>
    <row r="1983" spans="1:7" x14ac:dyDescent="0.25">
      <c r="A1983">
        <v>9763267</v>
      </c>
      <c r="B1983" t="s">
        <v>25162</v>
      </c>
      <c r="C1983">
        <v>617</v>
      </c>
      <c r="D1983">
        <v>3</v>
      </c>
      <c r="E1983">
        <v>13320</v>
      </c>
      <c r="F1983">
        <v>1136</v>
      </c>
      <c r="G1983">
        <f t="shared" si="30"/>
        <v>9763267</v>
      </c>
    </row>
    <row r="1984" spans="1:7" x14ac:dyDescent="0.25">
      <c r="A1984">
        <v>9763935</v>
      </c>
      <c r="B1984" t="s">
        <v>25163</v>
      </c>
      <c r="C1984">
        <v>160</v>
      </c>
      <c r="D1984">
        <v>4</v>
      </c>
      <c r="E1984">
        <v>18361</v>
      </c>
      <c r="F1984">
        <v>725</v>
      </c>
      <c r="G1984">
        <f t="shared" si="30"/>
        <v>9763935</v>
      </c>
    </row>
    <row r="1985" spans="1:7" x14ac:dyDescent="0.25">
      <c r="A1985">
        <v>9764098</v>
      </c>
      <c r="B1985" t="s">
        <v>25164</v>
      </c>
      <c r="C1985">
        <v>552</v>
      </c>
      <c r="D1985">
        <v>3</v>
      </c>
      <c r="E1985">
        <v>15152</v>
      </c>
      <c r="F1985">
        <v>983</v>
      </c>
      <c r="G1985">
        <f t="shared" ref="G1985:G2048" si="31">A1985</f>
        <v>9764098</v>
      </c>
    </row>
    <row r="1986" spans="1:7" x14ac:dyDescent="0.25">
      <c r="A1986">
        <v>9764565</v>
      </c>
      <c r="B1986" t="s">
        <v>25165</v>
      </c>
      <c r="C1986">
        <v>199</v>
      </c>
      <c r="D1986">
        <v>11</v>
      </c>
      <c r="E1986">
        <v>62881</v>
      </c>
      <c r="F1986">
        <v>17</v>
      </c>
      <c r="G1986">
        <f t="shared" si="31"/>
        <v>9764565</v>
      </c>
    </row>
    <row r="1987" spans="1:7" x14ac:dyDescent="0.25">
      <c r="A1987">
        <v>9765485</v>
      </c>
      <c r="B1987" t="s">
        <v>25166</v>
      </c>
      <c r="C1987">
        <v>1363</v>
      </c>
      <c r="D1987">
        <v>2</v>
      </c>
      <c r="E1987">
        <v>7290</v>
      </c>
      <c r="F1987">
        <v>2012</v>
      </c>
      <c r="G1987">
        <f t="shared" si="31"/>
        <v>9765485</v>
      </c>
    </row>
    <row r="1988" spans="1:7" x14ac:dyDescent="0.25">
      <c r="A1988">
        <v>9766429</v>
      </c>
      <c r="B1988" t="s">
        <v>25167</v>
      </c>
      <c r="C1988">
        <v>94</v>
      </c>
      <c r="D1988">
        <v>1</v>
      </c>
      <c r="E1988">
        <v>631</v>
      </c>
      <c r="F1988">
        <v>4434</v>
      </c>
      <c r="G1988">
        <f t="shared" si="31"/>
        <v>9766429</v>
      </c>
    </row>
    <row r="1989" spans="1:7" x14ac:dyDescent="0.25">
      <c r="A1989">
        <v>9766535</v>
      </c>
      <c r="B1989" t="s">
        <v>25168</v>
      </c>
      <c r="C1989">
        <v>0</v>
      </c>
      <c r="D1989">
        <v>1</v>
      </c>
      <c r="E1989">
        <v>46</v>
      </c>
      <c r="F1989">
        <v>6215</v>
      </c>
      <c r="G1989">
        <f t="shared" si="31"/>
        <v>9766535</v>
      </c>
    </row>
    <row r="1990" spans="1:7" x14ac:dyDescent="0.25">
      <c r="A1990">
        <v>9767107</v>
      </c>
      <c r="B1990" t="s">
        <v>25169</v>
      </c>
      <c r="C1990">
        <v>413</v>
      </c>
      <c r="D1990">
        <v>2</v>
      </c>
      <c r="E1990">
        <v>7790</v>
      </c>
      <c r="F1990">
        <v>1925</v>
      </c>
      <c r="G1990">
        <f t="shared" si="31"/>
        <v>9767107</v>
      </c>
    </row>
    <row r="1991" spans="1:7" x14ac:dyDescent="0.25">
      <c r="A1991">
        <v>9768241</v>
      </c>
      <c r="B1991" t="s">
        <v>25170</v>
      </c>
      <c r="C1991">
        <v>1176</v>
      </c>
      <c r="D1991">
        <v>1</v>
      </c>
      <c r="E1991">
        <v>3005</v>
      </c>
      <c r="F1991">
        <v>2994</v>
      </c>
      <c r="G1991">
        <f t="shared" si="31"/>
        <v>9768241</v>
      </c>
    </row>
    <row r="1992" spans="1:7" x14ac:dyDescent="0.25">
      <c r="A1992">
        <v>9768664</v>
      </c>
      <c r="B1992" t="s">
        <v>25171</v>
      </c>
      <c r="C1992">
        <v>643</v>
      </c>
      <c r="D1992">
        <v>7</v>
      </c>
      <c r="E1992">
        <v>38944</v>
      </c>
      <c r="F1992">
        <v>99</v>
      </c>
      <c r="G1992">
        <f t="shared" si="31"/>
        <v>9768664</v>
      </c>
    </row>
    <row r="1993" spans="1:7" x14ac:dyDescent="0.25">
      <c r="A1993">
        <v>9768832</v>
      </c>
      <c r="B1993" t="s">
        <v>25172</v>
      </c>
      <c r="C1993">
        <v>0</v>
      </c>
      <c r="D1993">
        <v>1</v>
      </c>
      <c r="E1993">
        <v>1283</v>
      </c>
      <c r="F1993">
        <v>3739</v>
      </c>
      <c r="G1993">
        <f t="shared" si="31"/>
        <v>9768832</v>
      </c>
    </row>
    <row r="1994" spans="1:7" x14ac:dyDescent="0.25">
      <c r="A1994">
        <v>9769149</v>
      </c>
      <c r="B1994" t="s">
        <v>25173</v>
      </c>
      <c r="C1994">
        <v>1688</v>
      </c>
      <c r="D1994">
        <v>5</v>
      </c>
      <c r="E1994">
        <v>30312</v>
      </c>
      <c r="F1994">
        <v>236</v>
      </c>
      <c r="G1994">
        <f t="shared" si="31"/>
        <v>9769149</v>
      </c>
    </row>
    <row r="1995" spans="1:7" x14ac:dyDescent="0.25">
      <c r="A1995">
        <v>9773668</v>
      </c>
      <c r="B1995" t="s">
        <v>25174</v>
      </c>
      <c r="C1995">
        <v>413</v>
      </c>
      <c r="D1995">
        <v>1</v>
      </c>
      <c r="E1995">
        <v>6013</v>
      </c>
      <c r="F1995">
        <v>2272</v>
      </c>
      <c r="G1995">
        <f t="shared" si="31"/>
        <v>9773668</v>
      </c>
    </row>
    <row r="1996" spans="1:7" x14ac:dyDescent="0.25">
      <c r="A1996">
        <v>9775795</v>
      </c>
      <c r="B1996" t="s">
        <v>25175</v>
      </c>
      <c r="C1996">
        <v>333</v>
      </c>
      <c r="D1996">
        <v>0</v>
      </c>
      <c r="E1996">
        <v>0</v>
      </c>
      <c r="F1996">
        <v>7267</v>
      </c>
      <c r="G1996">
        <f t="shared" si="31"/>
        <v>9775795</v>
      </c>
    </row>
    <row r="1997" spans="1:7" x14ac:dyDescent="0.25">
      <c r="A1997">
        <v>9778036</v>
      </c>
      <c r="B1997" t="s">
        <v>25176</v>
      </c>
      <c r="C1997">
        <v>1503</v>
      </c>
      <c r="D1997">
        <v>1</v>
      </c>
      <c r="E1997">
        <v>3870</v>
      </c>
      <c r="F1997">
        <v>2795</v>
      </c>
      <c r="G1997">
        <f t="shared" si="31"/>
        <v>9778036</v>
      </c>
    </row>
    <row r="1998" spans="1:7" x14ac:dyDescent="0.25">
      <c r="A1998">
        <v>9778051</v>
      </c>
      <c r="B1998" t="s">
        <v>25177</v>
      </c>
      <c r="C1998">
        <v>0</v>
      </c>
      <c r="D1998">
        <v>1</v>
      </c>
      <c r="E1998">
        <v>314</v>
      </c>
      <c r="F1998">
        <v>5083</v>
      </c>
      <c r="G1998">
        <f t="shared" si="31"/>
        <v>9778051</v>
      </c>
    </row>
    <row r="1999" spans="1:7" x14ac:dyDescent="0.25">
      <c r="A1999">
        <v>9779061</v>
      </c>
      <c r="B1999" t="s">
        <v>25178</v>
      </c>
      <c r="C1999">
        <v>0</v>
      </c>
      <c r="D1999">
        <v>0</v>
      </c>
      <c r="E1999">
        <v>0</v>
      </c>
      <c r="F1999">
        <v>7268</v>
      </c>
      <c r="G1999">
        <f t="shared" si="31"/>
        <v>9779061</v>
      </c>
    </row>
    <row r="2000" spans="1:7" x14ac:dyDescent="0.25">
      <c r="A2000">
        <v>9779158</v>
      </c>
      <c r="B2000" t="s">
        <v>25179</v>
      </c>
      <c r="C2000">
        <v>23</v>
      </c>
      <c r="D2000">
        <v>3</v>
      </c>
      <c r="E2000">
        <v>17127</v>
      </c>
      <c r="F2000">
        <v>817</v>
      </c>
      <c r="G2000">
        <f t="shared" si="31"/>
        <v>9779158</v>
      </c>
    </row>
    <row r="2001" spans="1:7" x14ac:dyDescent="0.25">
      <c r="A2001">
        <v>9780007</v>
      </c>
      <c r="B2001" t="s">
        <v>36243</v>
      </c>
      <c r="C2001">
        <v>1143</v>
      </c>
      <c r="D2001">
        <v>2</v>
      </c>
      <c r="E2001">
        <v>6326</v>
      </c>
      <c r="F2001">
        <v>2207</v>
      </c>
      <c r="G2001">
        <f t="shared" si="31"/>
        <v>9780007</v>
      </c>
    </row>
    <row r="2002" spans="1:7" x14ac:dyDescent="0.25">
      <c r="A2002">
        <v>9781418</v>
      </c>
      <c r="B2002" t="s">
        <v>25180</v>
      </c>
      <c r="C2002">
        <v>0</v>
      </c>
      <c r="D2002">
        <v>0</v>
      </c>
      <c r="E2002">
        <v>0</v>
      </c>
      <c r="F2002">
        <v>7269</v>
      </c>
      <c r="G2002">
        <f t="shared" si="31"/>
        <v>9781418</v>
      </c>
    </row>
    <row r="2003" spans="1:7" x14ac:dyDescent="0.25">
      <c r="A2003">
        <v>9781467</v>
      </c>
      <c r="B2003" t="s">
        <v>36244</v>
      </c>
      <c r="C2003">
        <v>1946</v>
      </c>
      <c r="D2003">
        <v>1</v>
      </c>
      <c r="E2003">
        <v>4802</v>
      </c>
      <c r="F2003">
        <v>2550</v>
      </c>
      <c r="G2003">
        <f t="shared" si="31"/>
        <v>9781467</v>
      </c>
    </row>
    <row r="2004" spans="1:7" x14ac:dyDescent="0.25">
      <c r="A2004">
        <v>9781560</v>
      </c>
      <c r="B2004" t="s">
        <v>25181</v>
      </c>
      <c r="C2004">
        <v>1622</v>
      </c>
      <c r="D2004">
        <v>1</v>
      </c>
      <c r="E2004">
        <v>225</v>
      </c>
      <c r="F2004">
        <v>5409</v>
      </c>
      <c r="G2004">
        <f t="shared" si="31"/>
        <v>9781560</v>
      </c>
    </row>
    <row r="2005" spans="1:7" x14ac:dyDescent="0.25">
      <c r="A2005">
        <v>9783170</v>
      </c>
      <c r="B2005" t="s">
        <v>25182</v>
      </c>
      <c r="C2005">
        <v>541</v>
      </c>
      <c r="D2005">
        <v>1</v>
      </c>
      <c r="E2005">
        <v>3715</v>
      </c>
      <c r="F2005">
        <v>2827</v>
      </c>
      <c r="G2005">
        <f t="shared" si="31"/>
        <v>9783170</v>
      </c>
    </row>
    <row r="2006" spans="1:7" x14ac:dyDescent="0.25">
      <c r="A2006">
        <v>9783617</v>
      </c>
      <c r="B2006" t="s">
        <v>25183</v>
      </c>
      <c r="C2006">
        <v>534</v>
      </c>
      <c r="D2006">
        <v>2</v>
      </c>
      <c r="E2006">
        <v>9981</v>
      </c>
      <c r="F2006">
        <v>1565</v>
      </c>
      <c r="G2006">
        <f t="shared" si="31"/>
        <v>9783617</v>
      </c>
    </row>
    <row r="2007" spans="1:7" x14ac:dyDescent="0.25">
      <c r="A2007">
        <v>9784338</v>
      </c>
      <c r="B2007" t="s">
        <v>25184</v>
      </c>
      <c r="C2007">
        <v>0</v>
      </c>
      <c r="D2007">
        <v>1</v>
      </c>
      <c r="E2007">
        <v>26</v>
      </c>
      <c r="F2007">
        <v>6473</v>
      </c>
      <c r="G2007">
        <f t="shared" si="31"/>
        <v>9784338</v>
      </c>
    </row>
    <row r="2008" spans="1:7" x14ac:dyDescent="0.25">
      <c r="A2008">
        <v>9784818</v>
      </c>
      <c r="B2008" t="s">
        <v>25185</v>
      </c>
      <c r="C2008">
        <v>1869</v>
      </c>
      <c r="D2008">
        <v>1</v>
      </c>
      <c r="E2008">
        <v>1150</v>
      </c>
      <c r="F2008">
        <v>3828</v>
      </c>
      <c r="G2008">
        <f t="shared" si="31"/>
        <v>9784818</v>
      </c>
    </row>
    <row r="2009" spans="1:7" x14ac:dyDescent="0.25">
      <c r="A2009">
        <v>9786421</v>
      </c>
      <c r="B2009" t="s">
        <v>25186</v>
      </c>
      <c r="C2009">
        <v>0</v>
      </c>
      <c r="D2009">
        <v>1</v>
      </c>
      <c r="E2009">
        <v>161</v>
      </c>
      <c r="F2009">
        <v>5656</v>
      </c>
      <c r="G2009">
        <f t="shared" si="31"/>
        <v>9786421</v>
      </c>
    </row>
    <row r="2010" spans="1:7" x14ac:dyDescent="0.25">
      <c r="A2010">
        <v>9787214</v>
      </c>
      <c r="B2010" t="s">
        <v>25187</v>
      </c>
      <c r="C2010">
        <v>1403</v>
      </c>
      <c r="D2010">
        <v>2</v>
      </c>
      <c r="E2010">
        <v>10124</v>
      </c>
      <c r="F2010">
        <v>1547</v>
      </c>
      <c r="G2010">
        <f t="shared" si="31"/>
        <v>9787214</v>
      </c>
    </row>
    <row r="2011" spans="1:7" x14ac:dyDescent="0.25">
      <c r="A2011">
        <v>9788085</v>
      </c>
      <c r="B2011" t="s">
        <v>25188</v>
      </c>
      <c r="C2011">
        <v>1752</v>
      </c>
      <c r="D2011">
        <v>1</v>
      </c>
      <c r="E2011">
        <v>1550</v>
      </c>
      <c r="F2011">
        <v>3569</v>
      </c>
      <c r="G2011">
        <f t="shared" si="31"/>
        <v>9788085</v>
      </c>
    </row>
    <row r="2012" spans="1:7" x14ac:dyDescent="0.25">
      <c r="A2012">
        <v>9788379</v>
      </c>
      <c r="B2012" t="s">
        <v>25189</v>
      </c>
      <c r="C2012">
        <v>1699</v>
      </c>
      <c r="D2012">
        <v>4</v>
      </c>
      <c r="E2012">
        <v>10410</v>
      </c>
      <c r="F2012">
        <v>1515</v>
      </c>
      <c r="G2012">
        <f t="shared" si="31"/>
        <v>9788379</v>
      </c>
    </row>
    <row r="2013" spans="1:7" x14ac:dyDescent="0.25">
      <c r="A2013">
        <v>9788935</v>
      </c>
      <c r="B2013" t="s">
        <v>25190</v>
      </c>
      <c r="C2013">
        <v>0</v>
      </c>
      <c r="D2013">
        <v>0</v>
      </c>
      <c r="E2013">
        <v>0</v>
      </c>
      <c r="F2013">
        <v>7270</v>
      </c>
      <c r="G2013">
        <f t="shared" si="31"/>
        <v>9788935</v>
      </c>
    </row>
    <row r="2014" spans="1:7" x14ac:dyDescent="0.25">
      <c r="A2014">
        <v>9789222</v>
      </c>
      <c r="B2014" t="s">
        <v>25191</v>
      </c>
      <c r="C2014">
        <v>0</v>
      </c>
      <c r="D2014">
        <v>1</v>
      </c>
      <c r="E2014">
        <v>26</v>
      </c>
      <c r="F2014">
        <v>6474</v>
      </c>
      <c r="G2014">
        <f t="shared" si="31"/>
        <v>9789222</v>
      </c>
    </row>
    <row r="2015" spans="1:7" x14ac:dyDescent="0.25">
      <c r="A2015">
        <v>9790630</v>
      </c>
      <c r="B2015" t="s">
        <v>25192</v>
      </c>
      <c r="C2015">
        <v>152</v>
      </c>
      <c r="D2015">
        <v>3</v>
      </c>
      <c r="E2015">
        <v>14192</v>
      </c>
      <c r="F2015">
        <v>1062</v>
      </c>
      <c r="G2015">
        <f t="shared" si="31"/>
        <v>9790630</v>
      </c>
    </row>
    <row r="2016" spans="1:7" x14ac:dyDescent="0.25">
      <c r="A2016">
        <v>9793705</v>
      </c>
      <c r="B2016" t="s">
        <v>25193</v>
      </c>
      <c r="C2016">
        <v>0</v>
      </c>
      <c r="D2016">
        <v>1</v>
      </c>
      <c r="E2016">
        <v>729</v>
      </c>
      <c r="F2016">
        <v>4296</v>
      </c>
      <c r="G2016">
        <f t="shared" si="31"/>
        <v>9793705</v>
      </c>
    </row>
    <row r="2017" spans="1:7" x14ac:dyDescent="0.25">
      <c r="A2017">
        <v>9795415</v>
      </c>
      <c r="B2017" t="s">
        <v>36245</v>
      </c>
      <c r="C2017">
        <v>0</v>
      </c>
      <c r="D2017">
        <v>1</v>
      </c>
      <c r="E2017">
        <v>80</v>
      </c>
      <c r="F2017">
        <v>5970</v>
      </c>
      <c r="G2017">
        <f t="shared" si="31"/>
        <v>9795415</v>
      </c>
    </row>
    <row r="2018" spans="1:7" x14ac:dyDescent="0.25">
      <c r="A2018">
        <v>9795724</v>
      </c>
      <c r="B2018" t="s">
        <v>25194</v>
      </c>
      <c r="C2018">
        <v>1791</v>
      </c>
      <c r="D2018">
        <v>1</v>
      </c>
      <c r="E2018">
        <v>413</v>
      </c>
      <c r="F2018">
        <v>4820</v>
      </c>
      <c r="G2018">
        <f t="shared" si="31"/>
        <v>9795724</v>
      </c>
    </row>
    <row r="2019" spans="1:7" x14ac:dyDescent="0.25">
      <c r="A2019">
        <v>9795764</v>
      </c>
      <c r="B2019" t="s">
        <v>25195</v>
      </c>
      <c r="C2019">
        <v>62</v>
      </c>
      <c r="D2019">
        <v>1</v>
      </c>
      <c r="E2019">
        <v>3081</v>
      </c>
      <c r="F2019">
        <v>2975</v>
      </c>
      <c r="G2019">
        <f t="shared" si="31"/>
        <v>9795764</v>
      </c>
    </row>
    <row r="2020" spans="1:7" x14ac:dyDescent="0.25">
      <c r="A2020">
        <v>9795958</v>
      </c>
      <c r="B2020" t="s">
        <v>25196</v>
      </c>
      <c r="C2020">
        <v>1357</v>
      </c>
      <c r="D2020">
        <v>1</v>
      </c>
      <c r="E2020">
        <v>1534</v>
      </c>
      <c r="F2020">
        <v>3575</v>
      </c>
      <c r="G2020">
        <f t="shared" si="31"/>
        <v>9795958</v>
      </c>
    </row>
    <row r="2021" spans="1:7" x14ac:dyDescent="0.25">
      <c r="A2021">
        <v>9797650</v>
      </c>
      <c r="B2021" t="s">
        <v>25197</v>
      </c>
      <c r="C2021">
        <v>6</v>
      </c>
      <c r="D2021">
        <v>6</v>
      </c>
      <c r="E2021">
        <v>32544</v>
      </c>
      <c r="F2021">
        <v>191</v>
      </c>
      <c r="G2021">
        <f t="shared" si="31"/>
        <v>9797650</v>
      </c>
    </row>
    <row r="2022" spans="1:7" x14ac:dyDescent="0.25">
      <c r="A2022">
        <v>9799706</v>
      </c>
      <c r="B2022" t="s">
        <v>25198</v>
      </c>
      <c r="C2022">
        <v>1880</v>
      </c>
      <c r="D2022">
        <v>1</v>
      </c>
      <c r="E2022">
        <v>1415</v>
      </c>
      <c r="F2022">
        <v>3646</v>
      </c>
      <c r="G2022">
        <f t="shared" si="31"/>
        <v>9799706</v>
      </c>
    </row>
    <row r="2023" spans="1:7" x14ac:dyDescent="0.25">
      <c r="A2023">
        <v>9799758</v>
      </c>
      <c r="B2023" t="s">
        <v>25199</v>
      </c>
      <c r="C2023">
        <v>259</v>
      </c>
      <c r="D2023">
        <v>2</v>
      </c>
      <c r="E2023">
        <v>12605</v>
      </c>
      <c r="F2023">
        <v>1211</v>
      </c>
      <c r="G2023">
        <f t="shared" si="31"/>
        <v>9799758</v>
      </c>
    </row>
    <row r="2024" spans="1:7" x14ac:dyDescent="0.25">
      <c r="A2024">
        <v>9801163</v>
      </c>
      <c r="B2024" t="s">
        <v>36246</v>
      </c>
      <c r="C2024">
        <v>307</v>
      </c>
      <c r="D2024">
        <v>1</v>
      </c>
      <c r="E2024">
        <v>334</v>
      </c>
      <c r="F2024">
        <v>5026</v>
      </c>
      <c r="G2024">
        <f t="shared" si="31"/>
        <v>9801163</v>
      </c>
    </row>
    <row r="2025" spans="1:7" x14ac:dyDescent="0.25">
      <c r="A2025">
        <v>9803019</v>
      </c>
      <c r="B2025" t="s">
        <v>36247</v>
      </c>
      <c r="C2025">
        <v>0</v>
      </c>
      <c r="D2025">
        <v>1</v>
      </c>
      <c r="E2025">
        <v>132</v>
      </c>
      <c r="F2025">
        <v>5759</v>
      </c>
      <c r="G2025">
        <f t="shared" si="31"/>
        <v>9803019</v>
      </c>
    </row>
    <row r="2026" spans="1:7" x14ac:dyDescent="0.25">
      <c r="A2026">
        <v>9803065</v>
      </c>
      <c r="B2026" t="s">
        <v>36248</v>
      </c>
      <c r="C2026">
        <v>0</v>
      </c>
      <c r="D2026">
        <v>1</v>
      </c>
      <c r="E2026">
        <v>102</v>
      </c>
      <c r="F2026">
        <v>5836</v>
      </c>
      <c r="G2026">
        <f t="shared" si="31"/>
        <v>9803065</v>
      </c>
    </row>
    <row r="2027" spans="1:7" x14ac:dyDescent="0.25">
      <c r="A2027">
        <v>9805933</v>
      </c>
      <c r="B2027" t="s">
        <v>25200</v>
      </c>
      <c r="C2027">
        <v>96</v>
      </c>
      <c r="D2027">
        <v>1</v>
      </c>
      <c r="E2027">
        <v>5999</v>
      </c>
      <c r="F2027">
        <v>2275</v>
      </c>
      <c r="G2027">
        <f t="shared" si="31"/>
        <v>9805933</v>
      </c>
    </row>
    <row r="2028" spans="1:7" x14ac:dyDescent="0.25">
      <c r="A2028">
        <v>9806003</v>
      </c>
      <c r="B2028" t="s">
        <v>36249</v>
      </c>
      <c r="C2028">
        <v>0</v>
      </c>
      <c r="D2028">
        <v>1</v>
      </c>
      <c r="E2028">
        <v>26</v>
      </c>
      <c r="F2028">
        <v>6475</v>
      </c>
      <c r="G2028">
        <f t="shared" si="31"/>
        <v>9806003</v>
      </c>
    </row>
    <row r="2029" spans="1:7" x14ac:dyDescent="0.25">
      <c r="A2029">
        <v>9806947</v>
      </c>
      <c r="B2029" t="s">
        <v>25201</v>
      </c>
      <c r="C2029">
        <v>122</v>
      </c>
      <c r="D2029">
        <v>4</v>
      </c>
      <c r="E2029">
        <v>21895</v>
      </c>
      <c r="F2029">
        <v>529</v>
      </c>
      <c r="G2029">
        <f t="shared" si="31"/>
        <v>9806947</v>
      </c>
    </row>
    <row r="2030" spans="1:7" x14ac:dyDescent="0.25">
      <c r="A2030">
        <v>9807006</v>
      </c>
      <c r="B2030" t="s">
        <v>25202</v>
      </c>
      <c r="C2030">
        <v>122</v>
      </c>
      <c r="D2030">
        <v>2</v>
      </c>
      <c r="E2030">
        <v>11233</v>
      </c>
      <c r="F2030">
        <v>1380</v>
      </c>
      <c r="G2030">
        <f t="shared" si="31"/>
        <v>9807006</v>
      </c>
    </row>
    <row r="2031" spans="1:7" x14ac:dyDescent="0.25">
      <c r="A2031">
        <v>9807053</v>
      </c>
      <c r="B2031" t="s">
        <v>25203</v>
      </c>
      <c r="C2031">
        <v>1972</v>
      </c>
      <c r="D2031">
        <v>1</v>
      </c>
      <c r="E2031">
        <v>8176</v>
      </c>
      <c r="F2031">
        <v>1848</v>
      </c>
      <c r="G2031">
        <f t="shared" si="31"/>
        <v>9807053</v>
      </c>
    </row>
    <row r="2032" spans="1:7" x14ac:dyDescent="0.25">
      <c r="A2032">
        <v>9807227</v>
      </c>
      <c r="B2032" t="s">
        <v>25204</v>
      </c>
      <c r="C2032">
        <v>0</v>
      </c>
      <c r="D2032">
        <v>0</v>
      </c>
      <c r="E2032">
        <v>0</v>
      </c>
      <c r="F2032">
        <v>7271</v>
      </c>
      <c r="G2032">
        <f t="shared" si="31"/>
        <v>9807227</v>
      </c>
    </row>
    <row r="2033" spans="1:7" x14ac:dyDescent="0.25">
      <c r="A2033">
        <v>9807803</v>
      </c>
      <c r="B2033" t="s">
        <v>36250</v>
      </c>
      <c r="C2033">
        <v>18</v>
      </c>
      <c r="D2033">
        <v>1</v>
      </c>
      <c r="E2033">
        <v>404</v>
      </c>
      <c r="F2033">
        <v>4847</v>
      </c>
      <c r="G2033">
        <f t="shared" si="31"/>
        <v>9807803</v>
      </c>
    </row>
    <row r="2034" spans="1:7" x14ac:dyDescent="0.25">
      <c r="A2034">
        <v>9807826</v>
      </c>
      <c r="B2034" t="s">
        <v>36251</v>
      </c>
      <c r="C2034">
        <v>18</v>
      </c>
      <c r="D2034">
        <v>0</v>
      </c>
      <c r="E2034">
        <v>0</v>
      </c>
      <c r="F2034">
        <v>7272</v>
      </c>
      <c r="G2034">
        <f t="shared" si="31"/>
        <v>9807826</v>
      </c>
    </row>
    <row r="2035" spans="1:7" x14ac:dyDescent="0.25">
      <c r="A2035">
        <v>9807827</v>
      </c>
      <c r="B2035" t="s">
        <v>25205</v>
      </c>
      <c r="C2035">
        <v>1503</v>
      </c>
      <c r="D2035">
        <v>0</v>
      </c>
      <c r="E2035">
        <v>0</v>
      </c>
      <c r="F2035">
        <v>7273</v>
      </c>
      <c r="G2035">
        <f t="shared" si="31"/>
        <v>9807827</v>
      </c>
    </row>
    <row r="2036" spans="1:7" x14ac:dyDescent="0.25">
      <c r="A2036">
        <v>9808290</v>
      </c>
      <c r="B2036" t="s">
        <v>25206</v>
      </c>
      <c r="C2036">
        <v>0</v>
      </c>
      <c r="D2036">
        <v>1</v>
      </c>
      <c r="E2036">
        <v>26</v>
      </c>
      <c r="F2036">
        <v>6476</v>
      </c>
      <c r="G2036">
        <f t="shared" si="31"/>
        <v>9808290</v>
      </c>
    </row>
    <row r="2037" spans="1:7" x14ac:dyDescent="0.25">
      <c r="A2037">
        <v>9808309</v>
      </c>
      <c r="B2037" t="s">
        <v>36252</v>
      </c>
      <c r="C2037">
        <v>0</v>
      </c>
      <c r="D2037">
        <v>0</v>
      </c>
      <c r="E2037">
        <v>0</v>
      </c>
      <c r="F2037">
        <v>7274</v>
      </c>
      <c r="G2037">
        <f t="shared" si="31"/>
        <v>9808309</v>
      </c>
    </row>
    <row r="2038" spans="1:7" x14ac:dyDescent="0.25">
      <c r="A2038">
        <v>9809341</v>
      </c>
      <c r="B2038" t="s">
        <v>25207</v>
      </c>
      <c r="C2038">
        <v>0</v>
      </c>
      <c r="D2038">
        <v>1</v>
      </c>
      <c r="E2038">
        <v>144</v>
      </c>
      <c r="F2038">
        <v>5715</v>
      </c>
      <c r="G2038">
        <f t="shared" si="31"/>
        <v>9809341</v>
      </c>
    </row>
    <row r="2039" spans="1:7" x14ac:dyDescent="0.25">
      <c r="A2039">
        <v>9809468</v>
      </c>
      <c r="B2039" t="s">
        <v>36253</v>
      </c>
      <c r="C2039">
        <v>294</v>
      </c>
      <c r="D2039">
        <v>2</v>
      </c>
      <c r="E2039">
        <v>6638</v>
      </c>
      <c r="F2039">
        <v>2136</v>
      </c>
      <c r="G2039">
        <f t="shared" si="31"/>
        <v>9809468</v>
      </c>
    </row>
    <row r="2040" spans="1:7" x14ac:dyDescent="0.25">
      <c r="A2040">
        <v>9809934</v>
      </c>
      <c r="B2040" t="s">
        <v>25208</v>
      </c>
      <c r="C2040">
        <v>1753</v>
      </c>
      <c r="D2040">
        <v>1</v>
      </c>
      <c r="E2040">
        <v>1570</v>
      </c>
      <c r="F2040">
        <v>3563</v>
      </c>
      <c r="G2040">
        <f t="shared" si="31"/>
        <v>9809934</v>
      </c>
    </row>
    <row r="2041" spans="1:7" x14ac:dyDescent="0.25">
      <c r="A2041">
        <v>9810257</v>
      </c>
      <c r="B2041" t="s">
        <v>25209</v>
      </c>
      <c r="C2041">
        <v>0</v>
      </c>
      <c r="D2041">
        <v>0</v>
      </c>
      <c r="E2041">
        <v>0</v>
      </c>
      <c r="F2041">
        <v>7275</v>
      </c>
      <c r="G2041">
        <f t="shared" si="31"/>
        <v>9810257</v>
      </c>
    </row>
    <row r="2042" spans="1:7" x14ac:dyDescent="0.25">
      <c r="A2042">
        <v>9810361</v>
      </c>
      <c r="B2042" t="s">
        <v>25210</v>
      </c>
      <c r="C2042">
        <v>0</v>
      </c>
      <c r="D2042">
        <v>0</v>
      </c>
      <c r="E2042">
        <v>0</v>
      </c>
      <c r="F2042">
        <v>7276</v>
      </c>
      <c r="G2042">
        <f t="shared" si="31"/>
        <v>9810361</v>
      </c>
    </row>
    <row r="2043" spans="1:7" x14ac:dyDescent="0.25">
      <c r="A2043">
        <v>9810380</v>
      </c>
      <c r="B2043" t="s">
        <v>25211</v>
      </c>
      <c r="C2043">
        <v>0</v>
      </c>
      <c r="D2043">
        <v>1</v>
      </c>
      <c r="E2043">
        <v>644</v>
      </c>
      <c r="F2043">
        <v>4418</v>
      </c>
      <c r="G2043">
        <f t="shared" si="31"/>
        <v>9810380</v>
      </c>
    </row>
    <row r="2044" spans="1:7" x14ac:dyDescent="0.25">
      <c r="A2044">
        <v>9813109</v>
      </c>
      <c r="B2044" t="s">
        <v>25212</v>
      </c>
      <c r="C2044">
        <v>160</v>
      </c>
      <c r="D2044">
        <v>4</v>
      </c>
      <c r="E2044">
        <v>17980</v>
      </c>
      <c r="F2044">
        <v>756</v>
      </c>
      <c r="G2044">
        <f t="shared" si="31"/>
        <v>9813109</v>
      </c>
    </row>
    <row r="2045" spans="1:7" x14ac:dyDescent="0.25">
      <c r="A2045">
        <v>9813287</v>
      </c>
      <c r="B2045" t="s">
        <v>37046</v>
      </c>
      <c r="C2045">
        <v>1972</v>
      </c>
      <c r="D2045">
        <v>1</v>
      </c>
      <c r="E2045">
        <v>5948</v>
      </c>
      <c r="F2045">
        <v>2291</v>
      </c>
      <c r="G2045">
        <f t="shared" si="31"/>
        <v>9813287</v>
      </c>
    </row>
    <row r="2046" spans="1:7" x14ac:dyDescent="0.25">
      <c r="A2046">
        <v>9814006</v>
      </c>
      <c r="B2046" t="s">
        <v>36254</v>
      </c>
      <c r="C2046">
        <v>1908</v>
      </c>
      <c r="D2046">
        <v>1</v>
      </c>
      <c r="E2046">
        <v>343</v>
      </c>
      <c r="F2046">
        <v>5000</v>
      </c>
      <c r="G2046">
        <f t="shared" si="31"/>
        <v>9814006</v>
      </c>
    </row>
    <row r="2047" spans="1:7" x14ac:dyDescent="0.25">
      <c r="A2047">
        <v>9814361</v>
      </c>
      <c r="B2047" t="s">
        <v>25213</v>
      </c>
      <c r="C2047">
        <v>480</v>
      </c>
      <c r="D2047">
        <v>3</v>
      </c>
      <c r="E2047">
        <v>12808</v>
      </c>
      <c r="F2047">
        <v>1190</v>
      </c>
      <c r="G2047">
        <f t="shared" si="31"/>
        <v>9814361</v>
      </c>
    </row>
    <row r="2048" spans="1:7" x14ac:dyDescent="0.25">
      <c r="A2048">
        <v>9814995</v>
      </c>
      <c r="B2048" t="s">
        <v>25214</v>
      </c>
      <c r="C2048">
        <v>0</v>
      </c>
      <c r="D2048">
        <v>0</v>
      </c>
      <c r="E2048">
        <v>0</v>
      </c>
      <c r="F2048">
        <v>7277</v>
      </c>
      <c r="G2048">
        <f t="shared" si="31"/>
        <v>9814995</v>
      </c>
    </row>
    <row r="2049" spans="1:7" x14ac:dyDescent="0.25">
      <c r="A2049">
        <v>9815148</v>
      </c>
      <c r="B2049" t="s">
        <v>25215</v>
      </c>
      <c r="C2049">
        <v>0</v>
      </c>
      <c r="D2049">
        <v>1</v>
      </c>
      <c r="E2049">
        <v>945</v>
      </c>
      <c r="F2049">
        <v>4046</v>
      </c>
      <c r="G2049">
        <f t="shared" ref="G2049:G2112" si="32">A2049</f>
        <v>9815148</v>
      </c>
    </row>
    <row r="2050" spans="1:7" x14ac:dyDescent="0.25">
      <c r="A2050">
        <v>9816501</v>
      </c>
      <c r="B2050" t="s">
        <v>36255</v>
      </c>
      <c r="C2050">
        <v>274</v>
      </c>
      <c r="D2050">
        <v>4</v>
      </c>
      <c r="E2050">
        <v>18873</v>
      </c>
      <c r="F2050">
        <v>696</v>
      </c>
      <c r="G2050">
        <f t="shared" si="32"/>
        <v>9816501</v>
      </c>
    </row>
    <row r="2051" spans="1:7" x14ac:dyDescent="0.25">
      <c r="A2051">
        <v>9816508</v>
      </c>
      <c r="B2051" t="s">
        <v>25216</v>
      </c>
      <c r="C2051">
        <v>156</v>
      </c>
      <c r="D2051">
        <v>1</v>
      </c>
      <c r="E2051">
        <v>38</v>
      </c>
      <c r="F2051">
        <v>6269</v>
      </c>
      <c r="G2051">
        <f t="shared" si="32"/>
        <v>9816508</v>
      </c>
    </row>
    <row r="2052" spans="1:7" x14ac:dyDescent="0.25">
      <c r="A2052">
        <v>9817068</v>
      </c>
      <c r="B2052" t="s">
        <v>25217</v>
      </c>
      <c r="C2052">
        <v>0</v>
      </c>
      <c r="D2052">
        <v>1</v>
      </c>
      <c r="E2052">
        <v>792</v>
      </c>
      <c r="F2052">
        <v>4208</v>
      </c>
      <c r="G2052">
        <f t="shared" si="32"/>
        <v>9817068</v>
      </c>
    </row>
    <row r="2053" spans="1:7" x14ac:dyDescent="0.25">
      <c r="A2053">
        <v>9818824</v>
      </c>
      <c r="B2053" t="s">
        <v>25218</v>
      </c>
      <c r="C2053">
        <v>625</v>
      </c>
      <c r="D2053">
        <v>1</v>
      </c>
      <c r="E2053">
        <v>2525</v>
      </c>
      <c r="F2053">
        <v>3131</v>
      </c>
      <c r="G2053">
        <f t="shared" si="32"/>
        <v>9818824</v>
      </c>
    </row>
    <row r="2054" spans="1:7" x14ac:dyDescent="0.25">
      <c r="A2054">
        <v>9819539</v>
      </c>
      <c r="B2054" t="s">
        <v>37267</v>
      </c>
      <c r="C2054">
        <v>284</v>
      </c>
      <c r="D2054">
        <v>0</v>
      </c>
      <c r="E2054">
        <v>0</v>
      </c>
      <c r="F2054">
        <v>7278</v>
      </c>
      <c r="G2054">
        <f t="shared" si="32"/>
        <v>9819539</v>
      </c>
    </row>
    <row r="2055" spans="1:7" x14ac:dyDescent="0.25">
      <c r="A2055">
        <v>9819781</v>
      </c>
      <c r="B2055" t="s">
        <v>36256</v>
      </c>
      <c r="C2055">
        <v>96</v>
      </c>
      <c r="D2055">
        <v>1</v>
      </c>
      <c r="E2055">
        <v>5599</v>
      </c>
      <c r="F2055">
        <v>2385</v>
      </c>
      <c r="G2055">
        <f t="shared" si="32"/>
        <v>9819781</v>
      </c>
    </row>
    <row r="2056" spans="1:7" x14ac:dyDescent="0.25">
      <c r="A2056">
        <v>9819863</v>
      </c>
      <c r="B2056" t="s">
        <v>25219</v>
      </c>
      <c r="C2056">
        <v>0</v>
      </c>
      <c r="D2056">
        <v>1</v>
      </c>
      <c r="E2056">
        <v>75</v>
      </c>
      <c r="F2056">
        <v>6013</v>
      </c>
      <c r="G2056">
        <f t="shared" si="32"/>
        <v>9819863</v>
      </c>
    </row>
    <row r="2057" spans="1:7" x14ac:dyDescent="0.25">
      <c r="A2057">
        <v>9820518</v>
      </c>
      <c r="B2057" t="s">
        <v>25220</v>
      </c>
      <c r="C2057">
        <v>0</v>
      </c>
      <c r="D2057">
        <v>0</v>
      </c>
      <c r="E2057">
        <v>0</v>
      </c>
      <c r="F2057">
        <v>7279</v>
      </c>
      <c r="G2057">
        <f t="shared" si="32"/>
        <v>9820518</v>
      </c>
    </row>
    <row r="2058" spans="1:7" x14ac:dyDescent="0.25">
      <c r="A2058">
        <v>9820718</v>
      </c>
      <c r="B2058" t="s">
        <v>25221</v>
      </c>
      <c r="C2058">
        <v>0</v>
      </c>
      <c r="D2058">
        <v>0</v>
      </c>
      <c r="E2058">
        <v>0</v>
      </c>
      <c r="F2058">
        <v>7280</v>
      </c>
      <c r="G2058">
        <f t="shared" si="32"/>
        <v>9820718</v>
      </c>
    </row>
    <row r="2059" spans="1:7" x14ac:dyDescent="0.25">
      <c r="A2059">
        <v>9823227</v>
      </c>
      <c r="B2059" t="s">
        <v>25222</v>
      </c>
      <c r="C2059">
        <v>189</v>
      </c>
      <c r="D2059">
        <v>4</v>
      </c>
      <c r="E2059">
        <v>15163</v>
      </c>
      <c r="F2059">
        <v>980</v>
      </c>
      <c r="G2059">
        <f t="shared" si="32"/>
        <v>9823227</v>
      </c>
    </row>
    <row r="2060" spans="1:7" x14ac:dyDescent="0.25">
      <c r="A2060">
        <v>9825755</v>
      </c>
      <c r="B2060" t="s">
        <v>36257</v>
      </c>
      <c r="C2060">
        <v>47</v>
      </c>
      <c r="D2060">
        <v>2</v>
      </c>
      <c r="E2060">
        <v>10259</v>
      </c>
      <c r="F2060">
        <v>1529</v>
      </c>
      <c r="G2060">
        <f t="shared" si="32"/>
        <v>9825755</v>
      </c>
    </row>
    <row r="2061" spans="1:7" x14ac:dyDescent="0.25">
      <c r="A2061">
        <v>9827391</v>
      </c>
      <c r="B2061" t="s">
        <v>36258</v>
      </c>
      <c r="C2061">
        <v>0</v>
      </c>
      <c r="D2061">
        <v>0</v>
      </c>
      <c r="E2061">
        <v>0</v>
      </c>
      <c r="F2061">
        <v>7281</v>
      </c>
      <c r="G2061">
        <f t="shared" si="32"/>
        <v>9827391</v>
      </c>
    </row>
    <row r="2062" spans="1:7" x14ac:dyDescent="0.25">
      <c r="A2062">
        <v>9827999</v>
      </c>
      <c r="B2062" t="s">
        <v>36259</v>
      </c>
      <c r="C2062">
        <v>55</v>
      </c>
      <c r="D2062">
        <v>1</v>
      </c>
      <c r="E2062">
        <v>275</v>
      </c>
      <c r="F2062">
        <v>5223</v>
      </c>
      <c r="G2062">
        <f t="shared" si="32"/>
        <v>9827999</v>
      </c>
    </row>
    <row r="2063" spans="1:7" x14ac:dyDescent="0.25">
      <c r="A2063">
        <v>9828264</v>
      </c>
      <c r="B2063" t="s">
        <v>25223</v>
      </c>
      <c r="C2063">
        <v>0</v>
      </c>
      <c r="D2063">
        <v>0</v>
      </c>
      <c r="E2063">
        <v>0</v>
      </c>
      <c r="F2063">
        <v>7282</v>
      </c>
      <c r="G2063">
        <f t="shared" si="32"/>
        <v>9828264</v>
      </c>
    </row>
    <row r="2064" spans="1:7" x14ac:dyDescent="0.25">
      <c r="A2064">
        <v>9828921</v>
      </c>
      <c r="B2064" t="s">
        <v>36260</v>
      </c>
      <c r="C2064">
        <v>1743</v>
      </c>
      <c r="D2064">
        <v>1</v>
      </c>
      <c r="E2064">
        <v>1159</v>
      </c>
      <c r="F2064">
        <v>3818</v>
      </c>
      <c r="G2064">
        <f t="shared" si="32"/>
        <v>9828921</v>
      </c>
    </row>
    <row r="2065" spans="1:7" x14ac:dyDescent="0.25">
      <c r="A2065">
        <v>9830669</v>
      </c>
      <c r="B2065" t="s">
        <v>25224</v>
      </c>
      <c r="C2065">
        <v>0</v>
      </c>
      <c r="D2065">
        <v>1</v>
      </c>
      <c r="E2065">
        <v>73</v>
      </c>
      <c r="F2065">
        <v>6031</v>
      </c>
      <c r="G2065">
        <f t="shared" si="32"/>
        <v>9830669</v>
      </c>
    </row>
    <row r="2066" spans="1:7" x14ac:dyDescent="0.25">
      <c r="A2066">
        <v>9832228</v>
      </c>
      <c r="B2066" t="s">
        <v>25225</v>
      </c>
      <c r="C2066">
        <v>0</v>
      </c>
      <c r="D2066">
        <v>1</v>
      </c>
      <c r="E2066">
        <v>26</v>
      </c>
      <c r="F2066">
        <v>6477</v>
      </c>
      <c r="G2066">
        <f t="shared" si="32"/>
        <v>9832228</v>
      </c>
    </row>
    <row r="2067" spans="1:7" x14ac:dyDescent="0.25">
      <c r="A2067">
        <v>9832876</v>
      </c>
      <c r="B2067" t="s">
        <v>36261</v>
      </c>
      <c r="C2067">
        <v>268</v>
      </c>
      <c r="D2067">
        <v>0</v>
      </c>
      <c r="E2067">
        <v>0</v>
      </c>
      <c r="F2067">
        <v>7283</v>
      </c>
      <c r="G2067">
        <f t="shared" si="32"/>
        <v>9832876</v>
      </c>
    </row>
    <row r="2068" spans="1:7" x14ac:dyDescent="0.25">
      <c r="A2068">
        <v>9834011</v>
      </c>
      <c r="B2068" t="s">
        <v>36262</v>
      </c>
      <c r="C2068">
        <v>45</v>
      </c>
      <c r="D2068">
        <v>1</v>
      </c>
      <c r="E2068">
        <v>2359</v>
      </c>
      <c r="F2068">
        <v>3192</v>
      </c>
      <c r="G2068">
        <f t="shared" si="32"/>
        <v>9834011</v>
      </c>
    </row>
    <row r="2069" spans="1:7" x14ac:dyDescent="0.25">
      <c r="A2069">
        <v>9834184</v>
      </c>
      <c r="B2069" t="s">
        <v>25226</v>
      </c>
      <c r="C2069">
        <v>270</v>
      </c>
      <c r="D2069">
        <v>3</v>
      </c>
      <c r="E2069">
        <v>15298</v>
      </c>
      <c r="F2069">
        <v>961</v>
      </c>
      <c r="G2069">
        <f t="shared" si="32"/>
        <v>9834184</v>
      </c>
    </row>
    <row r="2070" spans="1:7" x14ac:dyDescent="0.25">
      <c r="A2070">
        <v>9834202</v>
      </c>
      <c r="B2070" t="s">
        <v>25227</v>
      </c>
      <c r="C2070">
        <v>0</v>
      </c>
      <c r="D2070">
        <v>1</v>
      </c>
      <c r="E2070">
        <v>403</v>
      </c>
      <c r="F2070">
        <v>4841</v>
      </c>
      <c r="G2070">
        <f t="shared" si="32"/>
        <v>9834202</v>
      </c>
    </row>
    <row r="2071" spans="1:7" x14ac:dyDescent="0.25">
      <c r="A2071">
        <v>9834260</v>
      </c>
      <c r="B2071" t="s">
        <v>37268</v>
      </c>
      <c r="C2071">
        <v>0</v>
      </c>
      <c r="D2071">
        <v>0</v>
      </c>
      <c r="E2071">
        <v>0</v>
      </c>
      <c r="F2071">
        <v>7284</v>
      </c>
      <c r="G2071">
        <f t="shared" si="32"/>
        <v>9834260</v>
      </c>
    </row>
    <row r="2072" spans="1:7" x14ac:dyDescent="0.25">
      <c r="A2072">
        <v>9834860</v>
      </c>
      <c r="B2072" t="s">
        <v>25228</v>
      </c>
      <c r="C2072">
        <v>0</v>
      </c>
      <c r="D2072">
        <v>1</v>
      </c>
      <c r="E2072">
        <v>101</v>
      </c>
      <c r="F2072">
        <v>5845</v>
      </c>
      <c r="G2072">
        <f t="shared" si="32"/>
        <v>9834860</v>
      </c>
    </row>
    <row r="2073" spans="1:7" x14ac:dyDescent="0.25">
      <c r="A2073">
        <v>9834965</v>
      </c>
      <c r="B2073" t="s">
        <v>25229</v>
      </c>
      <c r="C2073">
        <v>0</v>
      </c>
      <c r="D2073">
        <v>1</v>
      </c>
      <c r="E2073">
        <v>2363</v>
      </c>
      <c r="F2073">
        <v>3190</v>
      </c>
      <c r="G2073">
        <f t="shared" si="32"/>
        <v>9834965</v>
      </c>
    </row>
    <row r="2074" spans="1:7" x14ac:dyDescent="0.25">
      <c r="A2074">
        <v>9835126</v>
      </c>
      <c r="B2074" t="s">
        <v>25230</v>
      </c>
      <c r="C2074">
        <v>0</v>
      </c>
      <c r="D2074">
        <v>0</v>
      </c>
      <c r="E2074">
        <v>0</v>
      </c>
      <c r="F2074">
        <v>7285</v>
      </c>
      <c r="G2074">
        <f t="shared" si="32"/>
        <v>9835126</v>
      </c>
    </row>
    <row r="2075" spans="1:7" x14ac:dyDescent="0.25">
      <c r="A2075">
        <v>9835495</v>
      </c>
      <c r="B2075" t="s">
        <v>25231</v>
      </c>
      <c r="C2075">
        <v>467</v>
      </c>
      <c r="D2075">
        <v>4</v>
      </c>
      <c r="E2075">
        <v>17216</v>
      </c>
      <c r="F2075">
        <v>807</v>
      </c>
      <c r="G2075">
        <f t="shared" si="32"/>
        <v>9835495</v>
      </c>
    </row>
    <row r="2076" spans="1:7" x14ac:dyDescent="0.25">
      <c r="A2076">
        <v>9837616</v>
      </c>
      <c r="B2076" t="s">
        <v>25232</v>
      </c>
      <c r="C2076">
        <v>115</v>
      </c>
      <c r="D2076">
        <v>5</v>
      </c>
      <c r="E2076">
        <v>29997</v>
      </c>
      <c r="F2076">
        <v>241</v>
      </c>
      <c r="G2076">
        <f t="shared" si="32"/>
        <v>9837616</v>
      </c>
    </row>
    <row r="2077" spans="1:7" x14ac:dyDescent="0.25">
      <c r="A2077">
        <v>9839438</v>
      </c>
      <c r="B2077" t="s">
        <v>25233</v>
      </c>
      <c r="C2077">
        <v>1609</v>
      </c>
      <c r="D2077">
        <v>5</v>
      </c>
      <c r="E2077">
        <v>18171</v>
      </c>
      <c r="F2077">
        <v>745</v>
      </c>
      <c r="G2077">
        <f t="shared" si="32"/>
        <v>9839438</v>
      </c>
    </row>
    <row r="2078" spans="1:7" x14ac:dyDescent="0.25">
      <c r="A2078">
        <v>9839524</v>
      </c>
      <c r="B2078" t="s">
        <v>25234</v>
      </c>
      <c r="C2078">
        <v>0</v>
      </c>
      <c r="D2078">
        <v>0</v>
      </c>
      <c r="E2078">
        <v>0</v>
      </c>
      <c r="F2078">
        <v>7286</v>
      </c>
      <c r="G2078">
        <f t="shared" si="32"/>
        <v>9839524</v>
      </c>
    </row>
    <row r="2079" spans="1:7" x14ac:dyDescent="0.25">
      <c r="A2079">
        <v>9841080</v>
      </c>
      <c r="B2079" t="s">
        <v>25235</v>
      </c>
      <c r="C2079">
        <v>0</v>
      </c>
      <c r="D2079">
        <v>1</v>
      </c>
      <c r="E2079">
        <v>138</v>
      </c>
      <c r="F2079">
        <v>5735</v>
      </c>
      <c r="G2079">
        <f t="shared" si="32"/>
        <v>9841080</v>
      </c>
    </row>
    <row r="2080" spans="1:7" x14ac:dyDescent="0.25">
      <c r="A2080">
        <v>9841263</v>
      </c>
      <c r="B2080" t="s">
        <v>25236</v>
      </c>
      <c r="C2080">
        <v>882</v>
      </c>
      <c r="D2080">
        <v>8</v>
      </c>
      <c r="E2080">
        <v>42860</v>
      </c>
      <c r="F2080">
        <v>78</v>
      </c>
      <c r="G2080">
        <f t="shared" si="32"/>
        <v>9841263</v>
      </c>
    </row>
    <row r="2081" spans="1:7" x14ac:dyDescent="0.25">
      <c r="A2081">
        <v>9841270</v>
      </c>
      <c r="B2081" t="s">
        <v>25237</v>
      </c>
      <c r="C2081">
        <v>1837</v>
      </c>
      <c r="D2081">
        <v>1</v>
      </c>
      <c r="E2081">
        <v>664</v>
      </c>
      <c r="F2081">
        <v>4396</v>
      </c>
      <c r="G2081">
        <f t="shared" si="32"/>
        <v>9841270</v>
      </c>
    </row>
    <row r="2082" spans="1:7" x14ac:dyDescent="0.25">
      <c r="A2082">
        <v>9842736</v>
      </c>
      <c r="B2082" t="s">
        <v>25238</v>
      </c>
      <c r="C2082">
        <v>552</v>
      </c>
      <c r="D2082">
        <v>6</v>
      </c>
      <c r="E2082">
        <v>32801</v>
      </c>
      <c r="F2082">
        <v>185</v>
      </c>
      <c r="G2082">
        <f t="shared" si="32"/>
        <v>9842736</v>
      </c>
    </row>
    <row r="2083" spans="1:7" x14ac:dyDescent="0.25">
      <c r="A2083">
        <v>9843496</v>
      </c>
      <c r="B2083" t="s">
        <v>25239</v>
      </c>
      <c r="C2083">
        <v>0</v>
      </c>
      <c r="D2083">
        <v>1</v>
      </c>
      <c r="E2083">
        <v>504</v>
      </c>
      <c r="F2083">
        <v>4624</v>
      </c>
      <c r="G2083">
        <f t="shared" si="32"/>
        <v>9843496</v>
      </c>
    </row>
    <row r="2084" spans="1:7" x14ac:dyDescent="0.25">
      <c r="A2084">
        <v>9843775</v>
      </c>
      <c r="B2084" t="s">
        <v>36263</v>
      </c>
      <c r="C2084">
        <v>0</v>
      </c>
      <c r="D2084">
        <v>0</v>
      </c>
      <c r="E2084">
        <v>0</v>
      </c>
      <c r="F2084">
        <v>7287</v>
      </c>
      <c r="G2084">
        <f t="shared" si="32"/>
        <v>9843775</v>
      </c>
    </row>
    <row r="2085" spans="1:7" x14ac:dyDescent="0.25">
      <c r="A2085">
        <v>9844316</v>
      </c>
      <c r="B2085" t="s">
        <v>36264</v>
      </c>
      <c r="C2085">
        <v>0</v>
      </c>
      <c r="D2085">
        <v>1</v>
      </c>
      <c r="E2085">
        <v>26</v>
      </c>
      <c r="F2085">
        <v>6478</v>
      </c>
      <c r="G2085">
        <f t="shared" si="32"/>
        <v>9844316</v>
      </c>
    </row>
    <row r="2086" spans="1:7" x14ac:dyDescent="0.25">
      <c r="A2086">
        <v>9846715</v>
      </c>
      <c r="B2086" t="s">
        <v>25240</v>
      </c>
      <c r="C2086">
        <v>617</v>
      </c>
      <c r="D2086">
        <v>5</v>
      </c>
      <c r="E2086">
        <v>24267</v>
      </c>
      <c r="F2086">
        <v>424</v>
      </c>
      <c r="G2086">
        <f t="shared" si="32"/>
        <v>9846715</v>
      </c>
    </row>
    <row r="2087" spans="1:7" x14ac:dyDescent="0.25">
      <c r="A2087">
        <v>9848136</v>
      </c>
      <c r="B2087" t="s">
        <v>25241</v>
      </c>
      <c r="C2087">
        <v>399</v>
      </c>
      <c r="D2087">
        <v>1</v>
      </c>
      <c r="E2087">
        <v>1431</v>
      </c>
      <c r="F2087">
        <v>3651</v>
      </c>
      <c r="G2087">
        <f t="shared" si="32"/>
        <v>9848136</v>
      </c>
    </row>
    <row r="2088" spans="1:7" x14ac:dyDescent="0.25">
      <c r="A2088">
        <v>9848850</v>
      </c>
      <c r="B2088" t="s">
        <v>36265</v>
      </c>
      <c r="C2088">
        <v>0</v>
      </c>
      <c r="D2088">
        <v>0</v>
      </c>
      <c r="E2088">
        <v>0</v>
      </c>
      <c r="F2088">
        <v>7288</v>
      </c>
      <c r="G2088">
        <f t="shared" si="32"/>
        <v>9848850</v>
      </c>
    </row>
    <row r="2089" spans="1:7" x14ac:dyDescent="0.25">
      <c r="A2089">
        <v>9849079</v>
      </c>
      <c r="B2089" t="s">
        <v>25242</v>
      </c>
      <c r="C2089">
        <v>1</v>
      </c>
      <c r="D2089">
        <v>2</v>
      </c>
      <c r="E2089">
        <v>6954</v>
      </c>
      <c r="F2089">
        <v>2070</v>
      </c>
      <c r="G2089">
        <f t="shared" si="32"/>
        <v>9849079</v>
      </c>
    </row>
    <row r="2090" spans="1:7" x14ac:dyDescent="0.25">
      <c r="A2090">
        <v>9849432</v>
      </c>
      <c r="B2090" t="s">
        <v>36266</v>
      </c>
      <c r="C2090">
        <v>69</v>
      </c>
      <c r="D2090">
        <v>3</v>
      </c>
      <c r="E2090">
        <v>13927</v>
      </c>
      <c r="F2090">
        <v>1085</v>
      </c>
      <c r="G2090">
        <f t="shared" si="32"/>
        <v>9849432</v>
      </c>
    </row>
    <row r="2091" spans="1:7" x14ac:dyDescent="0.25">
      <c r="A2091">
        <v>9849534</v>
      </c>
      <c r="B2091" t="s">
        <v>25243</v>
      </c>
      <c r="C2091">
        <v>0</v>
      </c>
      <c r="D2091">
        <v>1</v>
      </c>
      <c r="E2091">
        <v>533</v>
      </c>
      <c r="F2091">
        <v>4575</v>
      </c>
      <c r="G2091">
        <f t="shared" si="32"/>
        <v>9849534</v>
      </c>
    </row>
    <row r="2092" spans="1:7" x14ac:dyDescent="0.25">
      <c r="A2092">
        <v>9849940</v>
      </c>
      <c r="B2092" t="s">
        <v>36267</v>
      </c>
      <c r="C2092">
        <v>643</v>
      </c>
      <c r="D2092">
        <v>4</v>
      </c>
      <c r="E2092">
        <v>22542</v>
      </c>
      <c r="F2092">
        <v>496</v>
      </c>
      <c r="G2092">
        <f t="shared" si="32"/>
        <v>9849940</v>
      </c>
    </row>
    <row r="2093" spans="1:7" x14ac:dyDescent="0.25">
      <c r="A2093">
        <v>9849957</v>
      </c>
      <c r="B2093" t="s">
        <v>36268</v>
      </c>
      <c r="C2093">
        <v>1622</v>
      </c>
      <c r="D2093">
        <v>1</v>
      </c>
      <c r="E2093">
        <v>156</v>
      </c>
      <c r="F2093">
        <v>5677</v>
      </c>
      <c r="G2093">
        <f t="shared" si="32"/>
        <v>9849957</v>
      </c>
    </row>
    <row r="2094" spans="1:7" x14ac:dyDescent="0.25">
      <c r="A2094">
        <v>9850687</v>
      </c>
      <c r="B2094" t="s">
        <v>36269</v>
      </c>
      <c r="C2094">
        <v>0</v>
      </c>
      <c r="D2094">
        <v>1</v>
      </c>
      <c r="E2094">
        <v>111</v>
      </c>
      <c r="F2094">
        <v>5808</v>
      </c>
      <c r="G2094">
        <f t="shared" si="32"/>
        <v>9850687</v>
      </c>
    </row>
    <row r="2095" spans="1:7" x14ac:dyDescent="0.25">
      <c r="A2095">
        <v>9850930</v>
      </c>
      <c r="B2095" t="s">
        <v>36270</v>
      </c>
      <c r="C2095">
        <v>1453</v>
      </c>
      <c r="D2095">
        <v>1</v>
      </c>
      <c r="E2095">
        <v>421</v>
      </c>
      <c r="F2095">
        <v>4804</v>
      </c>
      <c r="G2095">
        <f t="shared" si="32"/>
        <v>9850930</v>
      </c>
    </row>
    <row r="2096" spans="1:7" x14ac:dyDescent="0.25">
      <c r="A2096">
        <v>9851774</v>
      </c>
      <c r="B2096" t="s">
        <v>25244</v>
      </c>
      <c r="C2096">
        <v>0</v>
      </c>
      <c r="D2096">
        <v>1</v>
      </c>
      <c r="E2096">
        <v>4165</v>
      </c>
      <c r="F2096">
        <v>2728</v>
      </c>
      <c r="G2096">
        <f t="shared" si="32"/>
        <v>9851774</v>
      </c>
    </row>
    <row r="2097" spans="1:7" x14ac:dyDescent="0.25">
      <c r="A2097">
        <v>9852346</v>
      </c>
      <c r="B2097" t="s">
        <v>36271</v>
      </c>
      <c r="C2097">
        <v>0</v>
      </c>
      <c r="D2097">
        <v>1</v>
      </c>
      <c r="E2097">
        <v>406</v>
      </c>
      <c r="F2097">
        <v>4836</v>
      </c>
      <c r="G2097">
        <f t="shared" si="32"/>
        <v>9852346</v>
      </c>
    </row>
    <row r="2098" spans="1:7" x14ac:dyDescent="0.25">
      <c r="A2098">
        <v>9853358</v>
      </c>
      <c r="B2098" t="s">
        <v>25245</v>
      </c>
      <c r="C2098">
        <v>55</v>
      </c>
      <c r="D2098">
        <v>1</v>
      </c>
      <c r="E2098">
        <v>91</v>
      </c>
      <c r="F2098">
        <v>5897</v>
      </c>
      <c r="G2098">
        <f t="shared" si="32"/>
        <v>9853358</v>
      </c>
    </row>
    <row r="2099" spans="1:7" x14ac:dyDescent="0.25">
      <c r="A2099">
        <v>9853438</v>
      </c>
      <c r="B2099" t="s">
        <v>25246</v>
      </c>
      <c r="C2099">
        <v>0</v>
      </c>
      <c r="D2099">
        <v>1</v>
      </c>
      <c r="E2099">
        <v>4160</v>
      </c>
      <c r="F2099">
        <v>2734</v>
      </c>
      <c r="G2099">
        <f t="shared" si="32"/>
        <v>9853438</v>
      </c>
    </row>
    <row r="2100" spans="1:7" x14ac:dyDescent="0.25">
      <c r="A2100">
        <v>9854283</v>
      </c>
      <c r="B2100" t="s">
        <v>25247</v>
      </c>
      <c r="C2100">
        <v>1914</v>
      </c>
      <c r="D2100">
        <v>1</v>
      </c>
      <c r="E2100">
        <v>633</v>
      </c>
      <c r="F2100">
        <v>4450</v>
      </c>
      <c r="G2100">
        <f t="shared" si="32"/>
        <v>9854283</v>
      </c>
    </row>
    <row r="2101" spans="1:7" x14ac:dyDescent="0.25">
      <c r="A2101">
        <v>9855943</v>
      </c>
      <c r="B2101" t="s">
        <v>25248</v>
      </c>
      <c r="C2101">
        <v>333</v>
      </c>
      <c r="D2101">
        <v>1</v>
      </c>
      <c r="E2101">
        <v>5605</v>
      </c>
      <c r="F2101">
        <v>2379</v>
      </c>
      <c r="G2101">
        <f t="shared" si="32"/>
        <v>9855943</v>
      </c>
    </row>
    <row r="2102" spans="1:7" x14ac:dyDescent="0.25">
      <c r="A2102">
        <v>9857261</v>
      </c>
      <c r="B2102" t="s">
        <v>25249</v>
      </c>
      <c r="C2102">
        <v>0</v>
      </c>
      <c r="D2102">
        <v>0</v>
      </c>
      <c r="E2102">
        <v>0</v>
      </c>
      <c r="F2102">
        <v>7289</v>
      </c>
      <c r="G2102">
        <f t="shared" si="32"/>
        <v>9857261</v>
      </c>
    </row>
    <row r="2103" spans="1:7" x14ac:dyDescent="0.25">
      <c r="A2103">
        <v>9858857</v>
      </c>
      <c r="B2103" t="s">
        <v>25250</v>
      </c>
      <c r="C2103">
        <v>174</v>
      </c>
      <c r="D2103">
        <v>2</v>
      </c>
      <c r="E2103">
        <v>14272</v>
      </c>
      <c r="F2103">
        <v>1056</v>
      </c>
      <c r="G2103">
        <f t="shared" si="32"/>
        <v>9858857</v>
      </c>
    </row>
    <row r="2104" spans="1:7" x14ac:dyDescent="0.25">
      <c r="A2104">
        <v>9859018</v>
      </c>
      <c r="B2104" t="s">
        <v>25251</v>
      </c>
      <c r="C2104">
        <v>278</v>
      </c>
      <c r="D2104">
        <v>0</v>
      </c>
      <c r="E2104">
        <v>0</v>
      </c>
      <c r="F2104">
        <v>7290</v>
      </c>
      <c r="G2104">
        <f t="shared" si="32"/>
        <v>9859018</v>
      </c>
    </row>
    <row r="2105" spans="1:7" x14ac:dyDescent="0.25">
      <c r="A2105">
        <v>9860316</v>
      </c>
      <c r="B2105" t="s">
        <v>25252</v>
      </c>
      <c r="C2105">
        <v>0</v>
      </c>
      <c r="D2105">
        <v>0</v>
      </c>
      <c r="E2105">
        <v>0</v>
      </c>
      <c r="F2105">
        <v>7291</v>
      </c>
      <c r="G2105">
        <f t="shared" si="32"/>
        <v>9860316</v>
      </c>
    </row>
    <row r="2106" spans="1:7" x14ac:dyDescent="0.25">
      <c r="A2106">
        <v>9861084</v>
      </c>
      <c r="B2106" t="s">
        <v>36272</v>
      </c>
      <c r="C2106">
        <v>0</v>
      </c>
      <c r="D2106">
        <v>0</v>
      </c>
      <c r="E2106">
        <v>0</v>
      </c>
      <c r="F2106">
        <v>7292</v>
      </c>
      <c r="G2106">
        <f t="shared" si="32"/>
        <v>9861084</v>
      </c>
    </row>
    <row r="2107" spans="1:7" x14ac:dyDescent="0.25">
      <c r="A2107">
        <v>9862117</v>
      </c>
      <c r="B2107" t="s">
        <v>25253</v>
      </c>
      <c r="C2107">
        <v>36</v>
      </c>
      <c r="D2107">
        <v>4</v>
      </c>
      <c r="E2107">
        <v>12696</v>
      </c>
      <c r="F2107">
        <v>1205</v>
      </c>
      <c r="G2107">
        <f t="shared" si="32"/>
        <v>9862117</v>
      </c>
    </row>
    <row r="2108" spans="1:7" x14ac:dyDescent="0.25">
      <c r="A2108">
        <v>9863797</v>
      </c>
      <c r="B2108" t="s">
        <v>36273</v>
      </c>
      <c r="C2108">
        <v>0</v>
      </c>
      <c r="D2108">
        <v>1</v>
      </c>
      <c r="E2108">
        <v>1339</v>
      </c>
      <c r="F2108">
        <v>3699</v>
      </c>
      <c r="G2108">
        <f t="shared" si="32"/>
        <v>9863797</v>
      </c>
    </row>
    <row r="2109" spans="1:7" x14ac:dyDescent="0.25">
      <c r="A2109">
        <v>9864236</v>
      </c>
      <c r="B2109" t="s">
        <v>25254</v>
      </c>
      <c r="C2109">
        <v>321</v>
      </c>
      <c r="D2109">
        <v>3</v>
      </c>
      <c r="E2109">
        <v>16076</v>
      </c>
      <c r="F2109">
        <v>905</v>
      </c>
      <c r="G2109">
        <f t="shared" si="32"/>
        <v>9864236</v>
      </c>
    </row>
    <row r="2110" spans="1:7" x14ac:dyDescent="0.25">
      <c r="A2110">
        <v>9865268</v>
      </c>
      <c r="B2110" t="s">
        <v>36274</v>
      </c>
      <c r="C2110">
        <v>367</v>
      </c>
      <c r="D2110">
        <v>1</v>
      </c>
      <c r="E2110">
        <v>4776</v>
      </c>
      <c r="F2110">
        <v>2558</v>
      </c>
      <c r="G2110">
        <f t="shared" si="32"/>
        <v>9865268</v>
      </c>
    </row>
    <row r="2111" spans="1:7" x14ac:dyDescent="0.25">
      <c r="A2111">
        <v>9865902</v>
      </c>
      <c r="B2111" t="s">
        <v>25255</v>
      </c>
      <c r="C2111">
        <v>1850</v>
      </c>
      <c r="D2111">
        <v>1</v>
      </c>
      <c r="E2111">
        <v>1377</v>
      </c>
      <c r="F2111">
        <v>3677</v>
      </c>
      <c r="G2111">
        <f t="shared" si="32"/>
        <v>9865902</v>
      </c>
    </row>
    <row r="2112" spans="1:7" x14ac:dyDescent="0.25">
      <c r="A2112">
        <v>9866107</v>
      </c>
      <c r="B2112" t="s">
        <v>36275</v>
      </c>
      <c r="C2112">
        <v>0</v>
      </c>
      <c r="D2112">
        <v>1</v>
      </c>
      <c r="E2112">
        <v>51</v>
      </c>
      <c r="F2112">
        <v>6161</v>
      </c>
      <c r="G2112">
        <f t="shared" si="32"/>
        <v>9866107</v>
      </c>
    </row>
    <row r="2113" spans="1:7" x14ac:dyDescent="0.25">
      <c r="A2113">
        <v>9866672</v>
      </c>
      <c r="B2113" t="s">
        <v>25256</v>
      </c>
      <c r="C2113">
        <v>1019</v>
      </c>
      <c r="D2113">
        <v>1</v>
      </c>
      <c r="E2113">
        <v>6832</v>
      </c>
      <c r="F2113">
        <v>2093</v>
      </c>
      <c r="G2113">
        <f t="shared" ref="G2113:G2176" si="33">A2113</f>
        <v>9866672</v>
      </c>
    </row>
    <row r="2114" spans="1:7" x14ac:dyDescent="0.25">
      <c r="A2114">
        <v>9867460</v>
      </c>
      <c r="B2114" t="s">
        <v>37000</v>
      </c>
      <c r="C2114">
        <v>57</v>
      </c>
      <c r="D2114">
        <v>1</v>
      </c>
      <c r="E2114">
        <v>2383</v>
      </c>
      <c r="F2114">
        <v>3177</v>
      </c>
      <c r="G2114">
        <f t="shared" si="33"/>
        <v>9867460</v>
      </c>
    </row>
    <row r="2115" spans="1:7" x14ac:dyDescent="0.25">
      <c r="A2115">
        <v>9868037</v>
      </c>
      <c r="B2115" t="s">
        <v>25257</v>
      </c>
      <c r="C2115">
        <v>152</v>
      </c>
      <c r="D2115">
        <v>11</v>
      </c>
      <c r="E2115">
        <v>54646</v>
      </c>
      <c r="F2115">
        <v>29</v>
      </c>
      <c r="G2115">
        <f t="shared" si="33"/>
        <v>9868037</v>
      </c>
    </row>
    <row r="2116" spans="1:7" x14ac:dyDescent="0.25">
      <c r="A2116">
        <v>9869870</v>
      </c>
      <c r="B2116" t="s">
        <v>25258</v>
      </c>
      <c r="C2116">
        <v>712</v>
      </c>
      <c r="D2116">
        <v>0</v>
      </c>
      <c r="E2116">
        <v>0</v>
      </c>
      <c r="F2116">
        <v>7293</v>
      </c>
      <c r="G2116">
        <f t="shared" si="33"/>
        <v>9869870</v>
      </c>
    </row>
    <row r="2117" spans="1:7" x14ac:dyDescent="0.25">
      <c r="A2117">
        <v>9869957</v>
      </c>
      <c r="B2117" t="s">
        <v>25259</v>
      </c>
      <c r="C2117">
        <v>0</v>
      </c>
      <c r="D2117">
        <v>1</v>
      </c>
      <c r="E2117">
        <v>497</v>
      </c>
      <c r="F2117">
        <v>4645</v>
      </c>
      <c r="G2117">
        <f t="shared" si="33"/>
        <v>9869957</v>
      </c>
    </row>
    <row r="2118" spans="1:7" x14ac:dyDescent="0.25">
      <c r="A2118">
        <v>9870152</v>
      </c>
      <c r="B2118" t="s">
        <v>25260</v>
      </c>
      <c r="C2118">
        <v>1971</v>
      </c>
      <c r="D2118">
        <v>1</v>
      </c>
      <c r="E2118">
        <v>425</v>
      </c>
      <c r="F2118">
        <v>4814</v>
      </c>
      <c r="G2118">
        <f t="shared" si="33"/>
        <v>9870152</v>
      </c>
    </row>
    <row r="2119" spans="1:7" x14ac:dyDescent="0.25">
      <c r="A2119">
        <v>9870968</v>
      </c>
      <c r="B2119" t="s">
        <v>36276</v>
      </c>
      <c r="C2119">
        <v>882</v>
      </c>
      <c r="D2119">
        <v>1</v>
      </c>
      <c r="E2119">
        <v>2480</v>
      </c>
      <c r="F2119">
        <v>3144</v>
      </c>
      <c r="G2119">
        <f t="shared" si="33"/>
        <v>9870968</v>
      </c>
    </row>
    <row r="2120" spans="1:7" x14ac:dyDescent="0.25">
      <c r="A2120">
        <v>9871295</v>
      </c>
      <c r="B2120" t="s">
        <v>25261</v>
      </c>
      <c r="C2120">
        <v>534</v>
      </c>
      <c r="D2120">
        <v>2</v>
      </c>
      <c r="E2120">
        <v>8853</v>
      </c>
      <c r="F2120">
        <v>1745</v>
      </c>
      <c r="G2120">
        <f t="shared" si="33"/>
        <v>9871295</v>
      </c>
    </row>
    <row r="2121" spans="1:7" x14ac:dyDescent="0.25">
      <c r="A2121">
        <v>9872979</v>
      </c>
      <c r="B2121" t="s">
        <v>25262</v>
      </c>
      <c r="C2121">
        <v>0</v>
      </c>
      <c r="D2121">
        <v>1</v>
      </c>
      <c r="E2121">
        <v>379</v>
      </c>
      <c r="F2121">
        <v>4907</v>
      </c>
      <c r="G2121">
        <f t="shared" si="33"/>
        <v>9872979</v>
      </c>
    </row>
    <row r="2122" spans="1:7" x14ac:dyDescent="0.25">
      <c r="A2122">
        <v>9873901</v>
      </c>
      <c r="B2122" t="s">
        <v>25263</v>
      </c>
      <c r="C2122">
        <v>0</v>
      </c>
      <c r="D2122">
        <v>1</v>
      </c>
      <c r="E2122">
        <v>26</v>
      </c>
      <c r="F2122">
        <v>6479</v>
      </c>
      <c r="G2122">
        <f t="shared" si="33"/>
        <v>9873901</v>
      </c>
    </row>
    <row r="2123" spans="1:7" x14ac:dyDescent="0.25">
      <c r="A2123">
        <v>9875916</v>
      </c>
      <c r="B2123" t="s">
        <v>25264</v>
      </c>
      <c r="C2123">
        <v>760</v>
      </c>
      <c r="D2123">
        <v>5</v>
      </c>
      <c r="E2123">
        <v>23434</v>
      </c>
      <c r="F2123">
        <v>460</v>
      </c>
      <c r="G2123">
        <f t="shared" si="33"/>
        <v>9875916</v>
      </c>
    </row>
    <row r="2124" spans="1:7" x14ac:dyDescent="0.25">
      <c r="A2124">
        <v>9876086</v>
      </c>
      <c r="B2124" t="s">
        <v>25265</v>
      </c>
      <c r="C2124">
        <v>0</v>
      </c>
      <c r="D2124">
        <v>0</v>
      </c>
      <c r="E2124">
        <v>0</v>
      </c>
      <c r="F2124">
        <v>7294</v>
      </c>
      <c r="G2124">
        <f t="shared" si="33"/>
        <v>9876086</v>
      </c>
    </row>
    <row r="2125" spans="1:7" x14ac:dyDescent="0.25">
      <c r="A2125">
        <v>9876439</v>
      </c>
      <c r="B2125" t="s">
        <v>25266</v>
      </c>
      <c r="C2125">
        <v>1850</v>
      </c>
      <c r="D2125">
        <v>1</v>
      </c>
      <c r="E2125">
        <v>2807</v>
      </c>
      <c r="F2125">
        <v>3038</v>
      </c>
      <c r="G2125">
        <f t="shared" si="33"/>
        <v>9876439</v>
      </c>
    </row>
    <row r="2126" spans="1:7" x14ac:dyDescent="0.25">
      <c r="A2126">
        <v>9878022</v>
      </c>
      <c r="B2126" t="s">
        <v>37269</v>
      </c>
      <c r="C2126">
        <v>412</v>
      </c>
      <c r="D2126">
        <v>5</v>
      </c>
      <c r="E2126">
        <v>27061</v>
      </c>
      <c r="F2126">
        <v>333</v>
      </c>
      <c r="G2126">
        <f t="shared" si="33"/>
        <v>9878022</v>
      </c>
    </row>
    <row r="2127" spans="1:7" x14ac:dyDescent="0.25">
      <c r="A2127">
        <v>9879482</v>
      </c>
      <c r="B2127" t="s">
        <v>37270</v>
      </c>
      <c r="C2127">
        <v>0</v>
      </c>
      <c r="D2127">
        <v>1</v>
      </c>
      <c r="E2127">
        <v>188</v>
      </c>
      <c r="F2127">
        <v>5549</v>
      </c>
      <c r="G2127">
        <f t="shared" si="33"/>
        <v>9879482</v>
      </c>
    </row>
    <row r="2128" spans="1:7" x14ac:dyDescent="0.25">
      <c r="A2128">
        <v>9879935</v>
      </c>
      <c r="B2128" t="s">
        <v>25267</v>
      </c>
      <c r="C2128">
        <v>1535</v>
      </c>
      <c r="D2128">
        <v>2</v>
      </c>
      <c r="E2128">
        <v>6349</v>
      </c>
      <c r="F2128">
        <v>2201</v>
      </c>
      <c r="G2128">
        <f t="shared" si="33"/>
        <v>9879935</v>
      </c>
    </row>
    <row r="2129" spans="1:7" x14ac:dyDescent="0.25">
      <c r="A2129">
        <v>9880626</v>
      </c>
      <c r="B2129" t="s">
        <v>25268</v>
      </c>
      <c r="C2129">
        <v>126</v>
      </c>
      <c r="D2129">
        <v>1</v>
      </c>
      <c r="E2129">
        <v>4004</v>
      </c>
      <c r="F2129">
        <v>2769</v>
      </c>
      <c r="G2129">
        <f t="shared" si="33"/>
        <v>9880626</v>
      </c>
    </row>
    <row r="2130" spans="1:7" x14ac:dyDescent="0.25">
      <c r="A2130">
        <v>9882196</v>
      </c>
      <c r="B2130" t="s">
        <v>25269</v>
      </c>
      <c r="C2130">
        <v>0</v>
      </c>
      <c r="D2130">
        <v>0</v>
      </c>
      <c r="E2130">
        <v>0</v>
      </c>
      <c r="F2130">
        <v>7295</v>
      </c>
      <c r="G2130">
        <f t="shared" si="33"/>
        <v>9882196</v>
      </c>
    </row>
    <row r="2131" spans="1:7" x14ac:dyDescent="0.25">
      <c r="A2131">
        <v>9882404</v>
      </c>
      <c r="B2131" t="s">
        <v>25270</v>
      </c>
      <c r="C2131">
        <v>151</v>
      </c>
      <c r="D2131">
        <v>1</v>
      </c>
      <c r="E2131">
        <v>1111</v>
      </c>
      <c r="F2131">
        <v>3863</v>
      </c>
      <c r="G2131">
        <f t="shared" si="33"/>
        <v>9882404</v>
      </c>
    </row>
    <row r="2132" spans="1:7" x14ac:dyDescent="0.25">
      <c r="A2132">
        <v>9882989</v>
      </c>
      <c r="B2132" t="s">
        <v>25271</v>
      </c>
      <c r="C2132">
        <v>0</v>
      </c>
      <c r="D2132">
        <v>1</v>
      </c>
      <c r="E2132">
        <v>26</v>
      </c>
      <c r="F2132">
        <v>6480</v>
      </c>
      <c r="G2132">
        <f t="shared" si="33"/>
        <v>9882989</v>
      </c>
    </row>
    <row r="2133" spans="1:7" x14ac:dyDescent="0.25">
      <c r="A2133">
        <v>9883742</v>
      </c>
      <c r="B2133" t="s">
        <v>25272</v>
      </c>
      <c r="C2133">
        <v>399</v>
      </c>
      <c r="D2133">
        <v>1</v>
      </c>
      <c r="E2133">
        <v>5626</v>
      </c>
      <c r="F2133">
        <v>2372</v>
      </c>
      <c r="G2133">
        <f t="shared" si="33"/>
        <v>9883742</v>
      </c>
    </row>
    <row r="2134" spans="1:7" x14ac:dyDescent="0.25">
      <c r="A2134">
        <v>9883802</v>
      </c>
      <c r="B2134" t="s">
        <v>25273</v>
      </c>
      <c r="C2134">
        <v>1100</v>
      </c>
      <c r="D2134">
        <v>2</v>
      </c>
      <c r="E2134">
        <v>6927</v>
      </c>
      <c r="F2134">
        <v>2077</v>
      </c>
      <c r="G2134">
        <f t="shared" si="33"/>
        <v>9883802</v>
      </c>
    </row>
    <row r="2135" spans="1:7" x14ac:dyDescent="0.25">
      <c r="A2135">
        <v>9886578</v>
      </c>
      <c r="B2135" t="s">
        <v>25274</v>
      </c>
      <c r="C2135">
        <v>0</v>
      </c>
      <c r="D2135">
        <v>1</v>
      </c>
      <c r="E2135">
        <v>50</v>
      </c>
      <c r="F2135">
        <v>6176</v>
      </c>
      <c r="G2135">
        <f t="shared" si="33"/>
        <v>9886578</v>
      </c>
    </row>
    <row r="2136" spans="1:7" x14ac:dyDescent="0.25">
      <c r="A2136">
        <v>9886597</v>
      </c>
      <c r="B2136" t="s">
        <v>25275</v>
      </c>
      <c r="C2136">
        <v>680</v>
      </c>
      <c r="D2136">
        <v>1</v>
      </c>
      <c r="E2136">
        <v>1686</v>
      </c>
      <c r="F2136">
        <v>3504</v>
      </c>
      <c r="G2136">
        <f t="shared" si="33"/>
        <v>9886597</v>
      </c>
    </row>
    <row r="2137" spans="1:7" x14ac:dyDescent="0.25">
      <c r="A2137">
        <v>9887827</v>
      </c>
      <c r="B2137" t="s">
        <v>25276</v>
      </c>
      <c r="C2137">
        <v>196</v>
      </c>
      <c r="D2137">
        <v>3</v>
      </c>
      <c r="E2137">
        <v>16897</v>
      </c>
      <c r="F2137">
        <v>835</v>
      </c>
      <c r="G2137">
        <f t="shared" si="33"/>
        <v>9887827</v>
      </c>
    </row>
    <row r="2138" spans="1:7" x14ac:dyDescent="0.25">
      <c r="A2138">
        <v>9888509</v>
      </c>
      <c r="B2138" t="s">
        <v>25277</v>
      </c>
      <c r="C2138">
        <v>250</v>
      </c>
      <c r="D2138">
        <v>1</v>
      </c>
      <c r="E2138">
        <v>1124</v>
      </c>
      <c r="F2138">
        <v>3851</v>
      </c>
      <c r="G2138">
        <f t="shared" si="33"/>
        <v>9888509</v>
      </c>
    </row>
    <row r="2139" spans="1:7" x14ac:dyDescent="0.25">
      <c r="A2139">
        <v>9888557</v>
      </c>
      <c r="B2139" t="s">
        <v>25278</v>
      </c>
      <c r="C2139">
        <v>0</v>
      </c>
      <c r="D2139">
        <v>0</v>
      </c>
      <c r="E2139">
        <v>0</v>
      </c>
      <c r="F2139">
        <v>7296</v>
      </c>
      <c r="G2139">
        <f t="shared" si="33"/>
        <v>9888557</v>
      </c>
    </row>
    <row r="2140" spans="1:7" x14ac:dyDescent="0.25">
      <c r="A2140">
        <v>9888727</v>
      </c>
      <c r="B2140" t="s">
        <v>25279</v>
      </c>
      <c r="C2140">
        <v>0</v>
      </c>
      <c r="D2140">
        <v>1</v>
      </c>
      <c r="E2140">
        <v>26</v>
      </c>
      <c r="F2140">
        <v>6481</v>
      </c>
      <c r="G2140">
        <f t="shared" si="33"/>
        <v>9888727</v>
      </c>
    </row>
    <row r="2141" spans="1:7" x14ac:dyDescent="0.25">
      <c r="A2141">
        <v>9888850</v>
      </c>
      <c r="B2141" t="s">
        <v>36277</v>
      </c>
      <c r="C2141">
        <v>0</v>
      </c>
      <c r="D2141">
        <v>1</v>
      </c>
      <c r="E2141">
        <v>231</v>
      </c>
      <c r="F2141">
        <v>5384</v>
      </c>
      <c r="G2141">
        <f t="shared" si="33"/>
        <v>9888850</v>
      </c>
    </row>
    <row r="2142" spans="1:7" x14ac:dyDescent="0.25">
      <c r="A2142">
        <v>9888987</v>
      </c>
      <c r="B2142" t="s">
        <v>25280</v>
      </c>
      <c r="C2142">
        <v>1403</v>
      </c>
      <c r="D2142">
        <v>2</v>
      </c>
      <c r="E2142">
        <v>4961</v>
      </c>
      <c r="F2142">
        <v>2517</v>
      </c>
      <c r="G2142">
        <f t="shared" si="33"/>
        <v>9888987</v>
      </c>
    </row>
    <row r="2143" spans="1:7" x14ac:dyDescent="0.25">
      <c r="A2143">
        <v>9890811</v>
      </c>
      <c r="B2143" t="s">
        <v>25281</v>
      </c>
      <c r="C2143">
        <v>1730</v>
      </c>
      <c r="D2143">
        <v>1</v>
      </c>
      <c r="E2143">
        <v>302</v>
      </c>
      <c r="F2143">
        <v>5127</v>
      </c>
      <c r="G2143">
        <f t="shared" si="33"/>
        <v>9890811</v>
      </c>
    </row>
    <row r="2144" spans="1:7" x14ac:dyDescent="0.25">
      <c r="A2144">
        <v>9891889</v>
      </c>
      <c r="B2144" t="s">
        <v>25282</v>
      </c>
      <c r="C2144">
        <v>235</v>
      </c>
      <c r="D2144">
        <v>1</v>
      </c>
      <c r="E2144">
        <v>3504</v>
      </c>
      <c r="F2144">
        <v>2876</v>
      </c>
      <c r="G2144">
        <f t="shared" si="33"/>
        <v>9891889</v>
      </c>
    </row>
    <row r="2145" spans="1:7" x14ac:dyDescent="0.25">
      <c r="A2145">
        <v>9893167</v>
      </c>
      <c r="B2145" t="s">
        <v>25283</v>
      </c>
      <c r="C2145">
        <v>0</v>
      </c>
      <c r="D2145">
        <v>0</v>
      </c>
      <c r="E2145">
        <v>0</v>
      </c>
      <c r="F2145">
        <v>7297</v>
      </c>
      <c r="G2145">
        <f t="shared" si="33"/>
        <v>9893167</v>
      </c>
    </row>
    <row r="2146" spans="1:7" x14ac:dyDescent="0.25">
      <c r="A2146">
        <v>9893539</v>
      </c>
      <c r="B2146" t="s">
        <v>37131</v>
      </c>
      <c r="C2146">
        <v>0</v>
      </c>
      <c r="D2146">
        <v>1</v>
      </c>
      <c r="E2146">
        <v>26</v>
      </c>
      <c r="F2146">
        <v>6482</v>
      </c>
      <c r="G2146">
        <f t="shared" si="33"/>
        <v>9893539</v>
      </c>
    </row>
    <row r="2147" spans="1:7" x14ac:dyDescent="0.25">
      <c r="A2147">
        <v>9899213</v>
      </c>
      <c r="B2147" t="s">
        <v>25284</v>
      </c>
      <c r="C2147">
        <v>0</v>
      </c>
      <c r="D2147">
        <v>1</v>
      </c>
      <c r="E2147">
        <v>698</v>
      </c>
      <c r="F2147">
        <v>4346</v>
      </c>
      <c r="G2147">
        <f t="shared" si="33"/>
        <v>9899213</v>
      </c>
    </row>
    <row r="2148" spans="1:7" x14ac:dyDescent="0.25">
      <c r="A2148">
        <v>9900841</v>
      </c>
      <c r="B2148" t="s">
        <v>36278</v>
      </c>
      <c r="C2148">
        <v>0</v>
      </c>
      <c r="D2148">
        <v>1</v>
      </c>
      <c r="E2148">
        <v>38</v>
      </c>
      <c r="F2148">
        <v>6270</v>
      </c>
      <c r="G2148">
        <f t="shared" si="33"/>
        <v>9900841</v>
      </c>
    </row>
    <row r="2149" spans="1:7" x14ac:dyDescent="0.25">
      <c r="A2149">
        <v>9904977</v>
      </c>
      <c r="B2149" t="s">
        <v>25285</v>
      </c>
      <c r="C2149">
        <v>321</v>
      </c>
      <c r="D2149">
        <v>0</v>
      </c>
      <c r="E2149">
        <v>0</v>
      </c>
      <c r="F2149">
        <v>7298</v>
      </c>
      <c r="G2149">
        <f t="shared" si="33"/>
        <v>9904977</v>
      </c>
    </row>
    <row r="2150" spans="1:7" x14ac:dyDescent="0.25">
      <c r="A2150">
        <v>9906812</v>
      </c>
      <c r="B2150" t="s">
        <v>25286</v>
      </c>
      <c r="C2150">
        <v>0</v>
      </c>
      <c r="D2150">
        <v>1</v>
      </c>
      <c r="E2150">
        <v>533</v>
      </c>
      <c r="F2150">
        <v>4583</v>
      </c>
      <c r="G2150">
        <f t="shared" si="33"/>
        <v>9906812</v>
      </c>
    </row>
    <row r="2151" spans="1:7" x14ac:dyDescent="0.25">
      <c r="A2151">
        <v>9907026</v>
      </c>
      <c r="B2151" t="s">
        <v>25287</v>
      </c>
      <c r="C2151">
        <v>0</v>
      </c>
      <c r="D2151">
        <v>1</v>
      </c>
      <c r="E2151">
        <v>46</v>
      </c>
      <c r="F2151">
        <v>6216</v>
      </c>
      <c r="G2151">
        <f t="shared" si="33"/>
        <v>9907026</v>
      </c>
    </row>
    <row r="2152" spans="1:7" x14ac:dyDescent="0.25">
      <c r="A2152">
        <v>9907962</v>
      </c>
      <c r="B2152" t="s">
        <v>25288</v>
      </c>
      <c r="C2152">
        <v>122</v>
      </c>
      <c r="D2152">
        <v>5</v>
      </c>
      <c r="E2152">
        <v>28386</v>
      </c>
      <c r="F2152">
        <v>287</v>
      </c>
      <c r="G2152">
        <f t="shared" si="33"/>
        <v>9907962</v>
      </c>
    </row>
    <row r="2153" spans="1:7" x14ac:dyDescent="0.25">
      <c r="A2153">
        <v>9908440</v>
      </c>
      <c r="B2153" t="s">
        <v>25289</v>
      </c>
      <c r="C2153">
        <v>0</v>
      </c>
      <c r="D2153">
        <v>1</v>
      </c>
      <c r="E2153">
        <v>96</v>
      </c>
      <c r="F2153">
        <v>5872</v>
      </c>
      <c r="G2153">
        <f t="shared" si="33"/>
        <v>9908440</v>
      </c>
    </row>
    <row r="2154" spans="1:7" x14ac:dyDescent="0.25">
      <c r="A2154">
        <v>9909080</v>
      </c>
      <c r="B2154" t="s">
        <v>36279</v>
      </c>
      <c r="C2154">
        <v>431</v>
      </c>
      <c r="D2154">
        <v>1</v>
      </c>
      <c r="E2154">
        <v>26</v>
      </c>
      <c r="F2154">
        <v>6483</v>
      </c>
      <c r="G2154">
        <f t="shared" si="33"/>
        <v>9909080</v>
      </c>
    </row>
    <row r="2155" spans="1:7" x14ac:dyDescent="0.25">
      <c r="A2155">
        <v>9909100</v>
      </c>
      <c r="B2155" t="s">
        <v>25290</v>
      </c>
      <c r="C2155">
        <v>0</v>
      </c>
      <c r="D2155">
        <v>1</v>
      </c>
      <c r="E2155">
        <v>279</v>
      </c>
      <c r="F2155">
        <v>5185</v>
      </c>
      <c r="G2155">
        <f t="shared" si="33"/>
        <v>9909100</v>
      </c>
    </row>
    <row r="2156" spans="1:7" x14ac:dyDescent="0.25">
      <c r="A2156">
        <v>9909224</v>
      </c>
      <c r="B2156" t="s">
        <v>25291</v>
      </c>
      <c r="C2156">
        <v>0</v>
      </c>
      <c r="D2156">
        <v>0</v>
      </c>
      <c r="E2156">
        <v>0</v>
      </c>
      <c r="F2156">
        <v>7299</v>
      </c>
      <c r="G2156">
        <f t="shared" si="33"/>
        <v>9909224</v>
      </c>
    </row>
    <row r="2157" spans="1:7" x14ac:dyDescent="0.25">
      <c r="A2157">
        <v>9910762</v>
      </c>
      <c r="B2157" t="s">
        <v>25292</v>
      </c>
      <c r="C2157">
        <v>617</v>
      </c>
      <c r="D2157">
        <v>2</v>
      </c>
      <c r="E2157">
        <v>11550</v>
      </c>
      <c r="F2157">
        <v>1338</v>
      </c>
      <c r="G2157">
        <f t="shared" si="33"/>
        <v>9910762</v>
      </c>
    </row>
    <row r="2158" spans="1:7" x14ac:dyDescent="0.25">
      <c r="A2158">
        <v>9913167</v>
      </c>
      <c r="B2158" t="s">
        <v>25293</v>
      </c>
      <c r="C2158">
        <v>196</v>
      </c>
      <c r="D2158">
        <v>3</v>
      </c>
      <c r="E2158">
        <v>16978</v>
      </c>
      <c r="F2158">
        <v>841</v>
      </c>
      <c r="G2158">
        <f t="shared" si="33"/>
        <v>9913167</v>
      </c>
    </row>
    <row r="2159" spans="1:7" x14ac:dyDescent="0.25">
      <c r="A2159">
        <v>9914027</v>
      </c>
      <c r="B2159" t="s">
        <v>25294</v>
      </c>
      <c r="C2159">
        <v>1693</v>
      </c>
      <c r="D2159">
        <v>1</v>
      </c>
      <c r="E2159">
        <v>2146</v>
      </c>
      <c r="F2159">
        <v>3273</v>
      </c>
      <c r="G2159">
        <f t="shared" si="33"/>
        <v>9914027</v>
      </c>
    </row>
    <row r="2160" spans="1:7" x14ac:dyDescent="0.25">
      <c r="A2160">
        <v>9915152</v>
      </c>
      <c r="B2160" t="s">
        <v>25295</v>
      </c>
      <c r="C2160">
        <v>443</v>
      </c>
      <c r="D2160">
        <v>1</v>
      </c>
      <c r="E2160">
        <v>27</v>
      </c>
      <c r="F2160">
        <v>6335</v>
      </c>
      <c r="G2160">
        <f t="shared" si="33"/>
        <v>9915152</v>
      </c>
    </row>
    <row r="2161" spans="1:7" x14ac:dyDescent="0.25">
      <c r="A2161">
        <v>9915369</v>
      </c>
      <c r="B2161" t="s">
        <v>25296</v>
      </c>
      <c r="C2161">
        <v>1836</v>
      </c>
      <c r="D2161">
        <v>1</v>
      </c>
      <c r="E2161">
        <v>2112</v>
      </c>
      <c r="F2161">
        <v>3284</v>
      </c>
      <c r="G2161">
        <f t="shared" si="33"/>
        <v>9915369</v>
      </c>
    </row>
    <row r="2162" spans="1:7" x14ac:dyDescent="0.25">
      <c r="A2162">
        <v>9915682</v>
      </c>
      <c r="B2162" t="s">
        <v>25297</v>
      </c>
      <c r="C2162">
        <v>79</v>
      </c>
      <c r="D2162">
        <v>2</v>
      </c>
      <c r="E2162">
        <v>7305</v>
      </c>
      <c r="F2162">
        <v>2018</v>
      </c>
      <c r="G2162">
        <f t="shared" si="33"/>
        <v>9915682</v>
      </c>
    </row>
    <row r="2163" spans="1:7" x14ac:dyDescent="0.25">
      <c r="A2163">
        <v>9916738</v>
      </c>
      <c r="B2163" t="s">
        <v>25298</v>
      </c>
      <c r="C2163">
        <v>1689</v>
      </c>
      <c r="D2163">
        <v>1</v>
      </c>
      <c r="E2163">
        <v>869</v>
      </c>
      <c r="F2163">
        <v>4119</v>
      </c>
      <c r="G2163">
        <f t="shared" si="33"/>
        <v>9916738</v>
      </c>
    </row>
    <row r="2164" spans="1:7" x14ac:dyDescent="0.25">
      <c r="A2164">
        <v>9917125</v>
      </c>
      <c r="B2164" t="s">
        <v>25299</v>
      </c>
      <c r="C2164">
        <v>0</v>
      </c>
      <c r="D2164">
        <v>1</v>
      </c>
      <c r="E2164">
        <v>539</v>
      </c>
      <c r="F2164">
        <v>4572</v>
      </c>
      <c r="G2164">
        <f t="shared" si="33"/>
        <v>9917125</v>
      </c>
    </row>
    <row r="2165" spans="1:7" x14ac:dyDescent="0.25">
      <c r="A2165">
        <v>9917381</v>
      </c>
      <c r="B2165" t="s">
        <v>25300</v>
      </c>
      <c r="C2165">
        <v>131</v>
      </c>
      <c r="D2165">
        <v>6</v>
      </c>
      <c r="E2165">
        <v>27873</v>
      </c>
      <c r="F2165">
        <v>499</v>
      </c>
      <c r="G2165">
        <f t="shared" si="33"/>
        <v>9917381</v>
      </c>
    </row>
    <row r="2166" spans="1:7" x14ac:dyDescent="0.25">
      <c r="A2166">
        <v>9917501</v>
      </c>
      <c r="B2166" t="s">
        <v>25301</v>
      </c>
      <c r="C2166">
        <v>0</v>
      </c>
      <c r="D2166">
        <v>0</v>
      </c>
      <c r="E2166">
        <v>0</v>
      </c>
      <c r="F2166">
        <v>7300</v>
      </c>
      <c r="G2166">
        <f t="shared" si="33"/>
        <v>9917501</v>
      </c>
    </row>
    <row r="2167" spans="1:7" x14ac:dyDescent="0.25">
      <c r="A2167">
        <v>9918583</v>
      </c>
      <c r="B2167" t="s">
        <v>25302</v>
      </c>
      <c r="C2167">
        <v>274</v>
      </c>
      <c r="D2167">
        <v>3</v>
      </c>
      <c r="E2167">
        <v>9170</v>
      </c>
      <c r="F2167">
        <v>1691</v>
      </c>
      <c r="G2167">
        <f t="shared" si="33"/>
        <v>9918583</v>
      </c>
    </row>
    <row r="2168" spans="1:7" x14ac:dyDescent="0.25">
      <c r="A2168">
        <v>9918883</v>
      </c>
      <c r="B2168" t="s">
        <v>36280</v>
      </c>
      <c r="C2168">
        <v>1708</v>
      </c>
      <c r="D2168">
        <v>1</v>
      </c>
      <c r="E2168">
        <v>2242</v>
      </c>
      <c r="F2168">
        <v>3228</v>
      </c>
      <c r="G2168">
        <f t="shared" si="33"/>
        <v>9918883</v>
      </c>
    </row>
    <row r="2169" spans="1:7" x14ac:dyDescent="0.25">
      <c r="A2169">
        <v>9921642</v>
      </c>
      <c r="B2169" t="s">
        <v>25303</v>
      </c>
      <c r="C2169">
        <v>0</v>
      </c>
      <c r="D2169">
        <v>0</v>
      </c>
      <c r="E2169">
        <v>0</v>
      </c>
      <c r="F2169">
        <v>7301</v>
      </c>
      <c r="G2169">
        <f t="shared" si="33"/>
        <v>9921642</v>
      </c>
    </row>
    <row r="2170" spans="1:7" x14ac:dyDescent="0.25">
      <c r="A2170">
        <v>9921892</v>
      </c>
      <c r="B2170" t="s">
        <v>25304</v>
      </c>
      <c r="C2170">
        <v>0</v>
      </c>
      <c r="D2170">
        <v>1</v>
      </c>
      <c r="E2170">
        <v>172</v>
      </c>
      <c r="F2170">
        <v>5622</v>
      </c>
      <c r="G2170">
        <f t="shared" si="33"/>
        <v>9921892</v>
      </c>
    </row>
    <row r="2171" spans="1:7" x14ac:dyDescent="0.25">
      <c r="A2171">
        <v>9923003</v>
      </c>
      <c r="B2171" t="s">
        <v>25305</v>
      </c>
      <c r="C2171">
        <v>734</v>
      </c>
      <c r="D2171">
        <v>0</v>
      </c>
      <c r="E2171">
        <v>0</v>
      </c>
      <c r="F2171">
        <v>7302</v>
      </c>
      <c r="G2171">
        <f t="shared" si="33"/>
        <v>9923003</v>
      </c>
    </row>
    <row r="2172" spans="1:7" x14ac:dyDescent="0.25">
      <c r="A2172">
        <v>9923840</v>
      </c>
      <c r="B2172" t="s">
        <v>37271</v>
      </c>
      <c r="C2172">
        <v>206</v>
      </c>
      <c r="D2172">
        <v>0</v>
      </c>
      <c r="E2172">
        <v>0</v>
      </c>
      <c r="F2172">
        <v>7303</v>
      </c>
      <c r="G2172">
        <f t="shared" si="33"/>
        <v>9923840</v>
      </c>
    </row>
    <row r="2173" spans="1:7" x14ac:dyDescent="0.25">
      <c r="A2173">
        <v>9923874</v>
      </c>
      <c r="B2173" t="s">
        <v>25306</v>
      </c>
      <c r="C2173">
        <v>196</v>
      </c>
      <c r="D2173">
        <v>4</v>
      </c>
      <c r="E2173">
        <v>14137</v>
      </c>
      <c r="F2173">
        <v>1084</v>
      </c>
      <c r="G2173">
        <f t="shared" si="33"/>
        <v>9923874</v>
      </c>
    </row>
    <row r="2174" spans="1:7" x14ac:dyDescent="0.25">
      <c r="A2174">
        <v>9925292</v>
      </c>
      <c r="B2174" t="s">
        <v>25307</v>
      </c>
      <c r="C2174">
        <v>0</v>
      </c>
      <c r="D2174">
        <v>0</v>
      </c>
      <c r="E2174">
        <v>0</v>
      </c>
      <c r="F2174">
        <v>7304</v>
      </c>
      <c r="G2174">
        <f t="shared" si="33"/>
        <v>9925292</v>
      </c>
    </row>
    <row r="2175" spans="1:7" x14ac:dyDescent="0.25">
      <c r="A2175">
        <v>9925325</v>
      </c>
      <c r="B2175" t="s">
        <v>36281</v>
      </c>
      <c r="C2175">
        <v>268</v>
      </c>
      <c r="D2175">
        <v>0</v>
      </c>
      <c r="E2175">
        <v>0</v>
      </c>
      <c r="F2175">
        <v>7305</v>
      </c>
      <c r="G2175">
        <f t="shared" si="33"/>
        <v>9925325</v>
      </c>
    </row>
    <row r="2176" spans="1:7" x14ac:dyDescent="0.25">
      <c r="A2176">
        <v>9925917</v>
      </c>
      <c r="B2176" t="s">
        <v>36282</v>
      </c>
      <c r="C2176">
        <v>25</v>
      </c>
      <c r="D2176">
        <v>4</v>
      </c>
      <c r="E2176">
        <v>26822</v>
      </c>
      <c r="F2176">
        <v>342</v>
      </c>
      <c r="G2176">
        <f t="shared" si="33"/>
        <v>9925917</v>
      </c>
    </row>
    <row r="2177" spans="1:7" x14ac:dyDescent="0.25">
      <c r="A2177">
        <v>9927270</v>
      </c>
      <c r="B2177" t="s">
        <v>25308</v>
      </c>
      <c r="C2177">
        <v>0</v>
      </c>
      <c r="D2177">
        <v>1</v>
      </c>
      <c r="E2177">
        <v>50</v>
      </c>
      <c r="F2177">
        <v>6177</v>
      </c>
      <c r="G2177">
        <f t="shared" ref="G2177:G2240" si="34">A2177</f>
        <v>9927270</v>
      </c>
    </row>
    <row r="2178" spans="1:7" x14ac:dyDescent="0.25">
      <c r="A2178">
        <v>9928204</v>
      </c>
      <c r="B2178" t="s">
        <v>25309</v>
      </c>
      <c r="C2178">
        <v>0</v>
      </c>
      <c r="D2178">
        <v>1</v>
      </c>
      <c r="E2178">
        <v>26</v>
      </c>
      <c r="F2178">
        <v>6484</v>
      </c>
      <c r="G2178">
        <f t="shared" si="34"/>
        <v>9928204</v>
      </c>
    </row>
    <row r="2179" spans="1:7" x14ac:dyDescent="0.25">
      <c r="A2179">
        <v>9929494</v>
      </c>
      <c r="B2179" t="s">
        <v>25310</v>
      </c>
      <c r="C2179">
        <v>0</v>
      </c>
      <c r="D2179">
        <v>1</v>
      </c>
      <c r="E2179">
        <v>32</v>
      </c>
      <c r="F2179">
        <v>6306</v>
      </c>
      <c r="G2179">
        <f t="shared" si="34"/>
        <v>9929494</v>
      </c>
    </row>
    <row r="2180" spans="1:7" x14ac:dyDescent="0.25">
      <c r="A2180">
        <v>9930153</v>
      </c>
      <c r="B2180" t="s">
        <v>25311</v>
      </c>
      <c r="C2180">
        <v>0</v>
      </c>
      <c r="D2180">
        <v>1</v>
      </c>
      <c r="E2180">
        <v>26</v>
      </c>
      <c r="F2180">
        <v>6485</v>
      </c>
      <c r="G2180">
        <f t="shared" si="34"/>
        <v>9930153</v>
      </c>
    </row>
    <row r="2181" spans="1:7" x14ac:dyDescent="0.25">
      <c r="A2181">
        <v>9931122</v>
      </c>
      <c r="B2181" t="s">
        <v>25312</v>
      </c>
      <c r="C2181">
        <v>680</v>
      </c>
      <c r="D2181">
        <v>3</v>
      </c>
      <c r="E2181">
        <v>9645</v>
      </c>
      <c r="F2181">
        <v>1617</v>
      </c>
      <c r="G2181">
        <f t="shared" si="34"/>
        <v>9931122</v>
      </c>
    </row>
    <row r="2182" spans="1:7" x14ac:dyDescent="0.25">
      <c r="A2182">
        <v>9931144</v>
      </c>
      <c r="B2182" t="s">
        <v>25313</v>
      </c>
      <c r="C2182">
        <v>0</v>
      </c>
      <c r="D2182">
        <v>0</v>
      </c>
      <c r="E2182">
        <v>0</v>
      </c>
      <c r="F2182">
        <v>7306</v>
      </c>
      <c r="G2182">
        <f t="shared" si="34"/>
        <v>9931144</v>
      </c>
    </row>
    <row r="2183" spans="1:7" x14ac:dyDescent="0.25">
      <c r="A2183">
        <v>9933981</v>
      </c>
      <c r="B2183" t="s">
        <v>36283</v>
      </c>
      <c r="C2183">
        <v>25</v>
      </c>
      <c r="D2183">
        <v>3</v>
      </c>
      <c r="E2183">
        <v>10477</v>
      </c>
      <c r="F2183">
        <v>1497</v>
      </c>
      <c r="G2183">
        <f t="shared" si="34"/>
        <v>9933981</v>
      </c>
    </row>
    <row r="2184" spans="1:7" x14ac:dyDescent="0.25">
      <c r="A2184">
        <v>9934150</v>
      </c>
      <c r="B2184" t="s">
        <v>25314</v>
      </c>
      <c r="C2184">
        <v>45</v>
      </c>
      <c r="D2184">
        <v>1</v>
      </c>
      <c r="E2184">
        <v>231</v>
      </c>
      <c r="F2184">
        <v>5402</v>
      </c>
      <c r="G2184">
        <f t="shared" si="34"/>
        <v>9934150</v>
      </c>
    </row>
    <row r="2185" spans="1:7" x14ac:dyDescent="0.25">
      <c r="A2185">
        <v>9934669</v>
      </c>
      <c r="B2185" t="s">
        <v>25315</v>
      </c>
      <c r="C2185">
        <v>126</v>
      </c>
      <c r="D2185">
        <v>4</v>
      </c>
      <c r="E2185">
        <v>24313</v>
      </c>
      <c r="F2185">
        <v>421</v>
      </c>
      <c r="G2185">
        <f t="shared" si="34"/>
        <v>9934669</v>
      </c>
    </row>
    <row r="2186" spans="1:7" x14ac:dyDescent="0.25">
      <c r="A2186">
        <v>9935255</v>
      </c>
      <c r="B2186" t="s">
        <v>25316</v>
      </c>
      <c r="C2186">
        <v>160</v>
      </c>
      <c r="D2186">
        <v>0</v>
      </c>
      <c r="E2186">
        <v>0</v>
      </c>
      <c r="F2186">
        <v>7307</v>
      </c>
      <c r="G2186">
        <f t="shared" si="34"/>
        <v>9935255</v>
      </c>
    </row>
    <row r="2187" spans="1:7" x14ac:dyDescent="0.25">
      <c r="A2187">
        <v>9935776</v>
      </c>
      <c r="B2187" t="s">
        <v>37102</v>
      </c>
      <c r="C2187">
        <v>0</v>
      </c>
      <c r="D2187">
        <v>1</v>
      </c>
      <c r="E2187">
        <v>55</v>
      </c>
      <c r="F2187">
        <v>6127</v>
      </c>
      <c r="G2187">
        <f t="shared" si="34"/>
        <v>9935776</v>
      </c>
    </row>
    <row r="2188" spans="1:7" x14ac:dyDescent="0.25">
      <c r="A2188">
        <v>9938217</v>
      </c>
      <c r="B2188" t="s">
        <v>25317</v>
      </c>
      <c r="C2188">
        <v>0</v>
      </c>
      <c r="D2188">
        <v>0</v>
      </c>
      <c r="E2188">
        <v>0</v>
      </c>
      <c r="F2188">
        <v>7308</v>
      </c>
      <c r="G2188">
        <f t="shared" si="34"/>
        <v>9938217</v>
      </c>
    </row>
    <row r="2189" spans="1:7" x14ac:dyDescent="0.25">
      <c r="A2189">
        <v>9938723</v>
      </c>
      <c r="B2189" t="s">
        <v>25318</v>
      </c>
      <c r="C2189">
        <v>189</v>
      </c>
      <c r="D2189">
        <v>2</v>
      </c>
      <c r="E2189">
        <v>8482</v>
      </c>
      <c r="F2189">
        <v>1800</v>
      </c>
      <c r="G2189">
        <f t="shared" si="34"/>
        <v>9938723</v>
      </c>
    </row>
    <row r="2190" spans="1:7" x14ac:dyDescent="0.25">
      <c r="A2190">
        <v>9939653</v>
      </c>
      <c r="B2190" t="s">
        <v>25319</v>
      </c>
      <c r="C2190">
        <v>467</v>
      </c>
      <c r="D2190">
        <v>4</v>
      </c>
      <c r="E2190">
        <v>15104</v>
      </c>
      <c r="F2190">
        <v>988</v>
      </c>
      <c r="G2190">
        <f t="shared" si="34"/>
        <v>9939653</v>
      </c>
    </row>
    <row r="2191" spans="1:7" x14ac:dyDescent="0.25">
      <c r="A2191">
        <v>9940375</v>
      </c>
      <c r="B2191" t="s">
        <v>25320</v>
      </c>
      <c r="C2191">
        <v>1806</v>
      </c>
      <c r="D2191">
        <v>1</v>
      </c>
      <c r="E2191">
        <v>2617</v>
      </c>
      <c r="F2191">
        <v>3095</v>
      </c>
      <c r="G2191">
        <f t="shared" si="34"/>
        <v>9940375</v>
      </c>
    </row>
    <row r="2192" spans="1:7" x14ac:dyDescent="0.25">
      <c r="A2192">
        <v>9940998</v>
      </c>
      <c r="B2192" t="s">
        <v>25321</v>
      </c>
      <c r="C2192">
        <v>1100</v>
      </c>
      <c r="D2192">
        <v>1</v>
      </c>
      <c r="E2192">
        <v>4152</v>
      </c>
      <c r="F2192">
        <v>2731</v>
      </c>
      <c r="G2192">
        <f t="shared" si="34"/>
        <v>9940998</v>
      </c>
    </row>
    <row r="2193" spans="1:7" x14ac:dyDescent="0.25">
      <c r="A2193">
        <v>9941309</v>
      </c>
      <c r="B2193" t="s">
        <v>25322</v>
      </c>
      <c r="C2193">
        <v>0</v>
      </c>
      <c r="D2193">
        <v>1</v>
      </c>
      <c r="E2193">
        <v>26</v>
      </c>
      <c r="F2193">
        <v>6486</v>
      </c>
      <c r="G2193">
        <f t="shared" si="34"/>
        <v>9941309</v>
      </c>
    </row>
    <row r="2194" spans="1:7" x14ac:dyDescent="0.25">
      <c r="A2194">
        <v>9942630</v>
      </c>
      <c r="B2194" t="s">
        <v>37132</v>
      </c>
      <c r="C2194">
        <v>419</v>
      </c>
      <c r="D2194">
        <v>4</v>
      </c>
      <c r="E2194">
        <v>21654</v>
      </c>
      <c r="F2194">
        <v>538</v>
      </c>
      <c r="G2194">
        <f t="shared" si="34"/>
        <v>9942630</v>
      </c>
    </row>
    <row r="2195" spans="1:7" x14ac:dyDescent="0.25">
      <c r="A2195">
        <v>9942826</v>
      </c>
      <c r="B2195" t="s">
        <v>36284</v>
      </c>
      <c r="C2195">
        <v>0</v>
      </c>
      <c r="D2195">
        <v>0</v>
      </c>
      <c r="E2195">
        <v>0</v>
      </c>
      <c r="F2195">
        <v>7309</v>
      </c>
      <c r="G2195">
        <f t="shared" si="34"/>
        <v>9942826</v>
      </c>
    </row>
    <row r="2196" spans="1:7" x14ac:dyDescent="0.25">
      <c r="A2196">
        <v>9943452</v>
      </c>
      <c r="B2196" t="s">
        <v>25323</v>
      </c>
      <c r="C2196">
        <v>0</v>
      </c>
      <c r="D2196">
        <v>0</v>
      </c>
      <c r="E2196">
        <v>0</v>
      </c>
      <c r="F2196">
        <v>7310</v>
      </c>
      <c r="G2196">
        <f t="shared" si="34"/>
        <v>9943452</v>
      </c>
    </row>
    <row r="2197" spans="1:7" x14ac:dyDescent="0.25">
      <c r="A2197">
        <v>9945482</v>
      </c>
      <c r="B2197" t="s">
        <v>25324</v>
      </c>
      <c r="C2197">
        <v>0</v>
      </c>
      <c r="D2197">
        <v>1</v>
      </c>
      <c r="E2197">
        <v>1455</v>
      </c>
      <c r="F2197">
        <v>3629</v>
      </c>
      <c r="G2197">
        <f t="shared" si="34"/>
        <v>9945482</v>
      </c>
    </row>
    <row r="2198" spans="1:7" x14ac:dyDescent="0.25">
      <c r="A2198">
        <v>9947050</v>
      </c>
      <c r="B2198" t="s">
        <v>25325</v>
      </c>
      <c r="C2198">
        <v>0</v>
      </c>
      <c r="D2198">
        <v>1</v>
      </c>
      <c r="E2198">
        <v>1806</v>
      </c>
      <c r="F2198">
        <v>3441</v>
      </c>
      <c r="G2198">
        <f t="shared" si="34"/>
        <v>9947050</v>
      </c>
    </row>
    <row r="2199" spans="1:7" x14ac:dyDescent="0.25">
      <c r="A2199">
        <v>9948333</v>
      </c>
      <c r="B2199" t="s">
        <v>25326</v>
      </c>
      <c r="C2199">
        <v>179</v>
      </c>
      <c r="D2199">
        <v>1</v>
      </c>
      <c r="E2199">
        <v>1081</v>
      </c>
      <c r="F2199">
        <v>3889</v>
      </c>
      <c r="G2199">
        <f t="shared" si="34"/>
        <v>9948333</v>
      </c>
    </row>
    <row r="2200" spans="1:7" x14ac:dyDescent="0.25">
      <c r="A2200">
        <v>9948711</v>
      </c>
      <c r="B2200" t="s">
        <v>37272</v>
      </c>
      <c r="C2200">
        <v>1968</v>
      </c>
      <c r="D2200">
        <v>1</v>
      </c>
      <c r="E2200">
        <v>850</v>
      </c>
      <c r="F2200">
        <v>4131</v>
      </c>
      <c r="G2200">
        <f t="shared" si="34"/>
        <v>9948711</v>
      </c>
    </row>
    <row r="2201" spans="1:7" x14ac:dyDescent="0.25">
      <c r="A2201">
        <v>9949815</v>
      </c>
      <c r="B2201" t="s">
        <v>25327</v>
      </c>
      <c r="C2201">
        <v>645</v>
      </c>
      <c r="D2201">
        <v>1</v>
      </c>
      <c r="E2201">
        <v>614</v>
      </c>
      <c r="F2201">
        <v>4489</v>
      </c>
      <c r="G2201">
        <f t="shared" si="34"/>
        <v>9949815</v>
      </c>
    </row>
    <row r="2202" spans="1:7" x14ac:dyDescent="0.25">
      <c r="A2202">
        <v>9951520</v>
      </c>
      <c r="B2202" t="s">
        <v>25328</v>
      </c>
      <c r="C2202">
        <v>2010</v>
      </c>
      <c r="D2202">
        <v>1</v>
      </c>
      <c r="E2202">
        <v>1354</v>
      </c>
      <c r="F2202">
        <v>3715</v>
      </c>
      <c r="G2202">
        <f t="shared" si="34"/>
        <v>9951520</v>
      </c>
    </row>
    <row r="2203" spans="1:7" x14ac:dyDescent="0.25">
      <c r="A2203">
        <v>9952053</v>
      </c>
      <c r="B2203" t="s">
        <v>37001</v>
      </c>
      <c r="C2203">
        <v>0</v>
      </c>
      <c r="D2203">
        <v>1</v>
      </c>
      <c r="E2203">
        <v>1548</v>
      </c>
      <c r="F2203">
        <v>3570</v>
      </c>
      <c r="G2203">
        <f t="shared" si="34"/>
        <v>9952053</v>
      </c>
    </row>
    <row r="2204" spans="1:7" x14ac:dyDescent="0.25">
      <c r="A2204">
        <v>9952287</v>
      </c>
      <c r="B2204" t="s">
        <v>36285</v>
      </c>
      <c r="C2204">
        <v>1695</v>
      </c>
      <c r="D2204">
        <v>1</v>
      </c>
      <c r="E2204">
        <v>2342</v>
      </c>
      <c r="F2204">
        <v>3199</v>
      </c>
      <c r="G2204">
        <f t="shared" si="34"/>
        <v>9952287</v>
      </c>
    </row>
    <row r="2205" spans="1:7" x14ac:dyDescent="0.25">
      <c r="A2205">
        <v>9952723</v>
      </c>
      <c r="B2205" t="s">
        <v>36286</v>
      </c>
      <c r="C2205">
        <v>2022</v>
      </c>
      <c r="D2205">
        <v>1</v>
      </c>
      <c r="E2205">
        <v>178</v>
      </c>
      <c r="F2205">
        <v>5631</v>
      </c>
      <c r="G2205">
        <f t="shared" si="34"/>
        <v>9952723</v>
      </c>
    </row>
    <row r="2206" spans="1:7" x14ac:dyDescent="0.25">
      <c r="A2206">
        <v>9953171</v>
      </c>
      <c r="B2206" t="s">
        <v>25329</v>
      </c>
      <c r="C2206">
        <v>0</v>
      </c>
      <c r="D2206">
        <v>1</v>
      </c>
      <c r="E2206">
        <v>936</v>
      </c>
      <c r="F2206">
        <v>4058</v>
      </c>
      <c r="G2206">
        <f t="shared" si="34"/>
        <v>9953171</v>
      </c>
    </row>
    <row r="2207" spans="1:7" x14ac:dyDescent="0.25">
      <c r="A2207">
        <v>9953236</v>
      </c>
      <c r="B2207" t="s">
        <v>25330</v>
      </c>
      <c r="C2207">
        <v>1373</v>
      </c>
      <c r="D2207">
        <v>1</v>
      </c>
      <c r="E2207">
        <v>2851</v>
      </c>
      <c r="F2207">
        <v>3026</v>
      </c>
      <c r="G2207">
        <f t="shared" si="34"/>
        <v>9953236</v>
      </c>
    </row>
    <row r="2208" spans="1:7" x14ac:dyDescent="0.25">
      <c r="A2208">
        <v>9953505</v>
      </c>
      <c r="B2208" t="s">
        <v>25331</v>
      </c>
      <c r="C2208">
        <v>54</v>
      </c>
      <c r="D2208">
        <v>1</v>
      </c>
      <c r="E2208">
        <v>1011</v>
      </c>
      <c r="F2208">
        <v>3974</v>
      </c>
      <c r="G2208">
        <f t="shared" si="34"/>
        <v>9953505</v>
      </c>
    </row>
    <row r="2209" spans="1:7" x14ac:dyDescent="0.25">
      <c r="A2209">
        <v>9953901</v>
      </c>
      <c r="B2209" t="s">
        <v>25332</v>
      </c>
      <c r="C2209">
        <v>27</v>
      </c>
      <c r="D2209">
        <v>3</v>
      </c>
      <c r="E2209">
        <v>17398</v>
      </c>
      <c r="F2209">
        <v>799</v>
      </c>
      <c r="G2209">
        <f t="shared" si="34"/>
        <v>9953901</v>
      </c>
    </row>
    <row r="2210" spans="1:7" x14ac:dyDescent="0.25">
      <c r="A2210">
        <v>9954872</v>
      </c>
      <c r="B2210" t="s">
        <v>25333</v>
      </c>
      <c r="C2210">
        <v>0</v>
      </c>
      <c r="D2210">
        <v>0</v>
      </c>
      <c r="E2210">
        <v>0</v>
      </c>
      <c r="F2210">
        <v>7311</v>
      </c>
      <c r="G2210">
        <f t="shared" si="34"/>
        <v>9954872</v>
      </c>
    </row>
    <row r="2211" spans="1:7" x14ac:dyDescent="0.25">
      <c r="A2211">
        <v>9955456</v>
      </c>
      <c r="B2211" t="s">
        <v>25334</v>
      </c>
      <c r="C2211">
        <v>0</v>
      </c>
      <c r="D2211">
        <v>1</v>
      </c>
      <c r="E2211">
        <v>26</v>
      </c>
      <c r="F2211">
        <v>6487</v>
      </c>
      <c r="G2211">
        <f t="shared" si="34"/>
        <v>9955456</v>
      </c>
    </row>
    <row r="2212" spans="1:7" x14ac:dyDescent="0.25">
      <c r="A2212">
        <v>9955598</v>
      </c>
      <c r="B2212" t="s">
        <v>25335</v>
      </c>
      <c r="C2212">
        <v>0</v>
      </c>
      <c r="D2212">
        <v>1</v>
      </c>
      <c r="E2212">
        <v>26</v>
      </c>
      <c r="F2212">
        <v>6488</v>
      </c>
      <c r="G2212">
        <f t="shared" si="34"/>
        <v>9955598</v>
      </c>
    </row>
    <row r="2213" spans="1:7" x14ac:dyDescent="0.25">
      <c r="A2213">
        <v>9955600</v>
      </c>
      <c r="B2213" t="s">
        <v>37103</v>
      </c>
      <c r="C2213">
        <v>0</v>
      </c>
      <c r="D2213">
        <v>0</v>
      </c>
      <c r="E2213">
        <v>0</v>
      </c>
      <c r="F2213">
        <v>7312</v>
      </c>
      <c r="G2213">
        <f t="shared" si="34"/>
        <v>9955600</v>
      </c>
    </row>
    <row r="2214" spans="1:7" x14ac:dyDescent="0.25">
      <c r="A2214">
        <v>9956098</v>
      </c>
      <c r="B2214" t="s">
        <v>25336</v>
      </c>
      <c r="C2214">
        <v>1966</v>
      </c>
      <c r="D2214">
        <v>3</v>
      </c>
      <c r="E2214">
        <v>15237</v>
      </c>
      <c r="F2214">
        <v>979</v>
      </c>
      <c r="G2214">
        <f t="shared" si="34"/>
        <v>9956098</v>
      </c>
    </row>
    <row r="2215" spans="1:7" x14ac:dyDescent="0.25">
      <c r="A2215">
        <v>9958758</v>
      </c>
      <c r="B2215" t="s">
        <v>25337</v>
      </c>
      <c r="C2215">
        <v>0</v>
      </c>
      <c r="D2215">
        <v>0</v>
      </c>
      <c r="E2215">
        <v>0</v>
      </c>
      <c r="F2215">
        <v>7313</v>
      </c>
      <c r="G2215">
        <f t="shared" si="34"/>
        <v>9958758</v>
      </c>
    </row>
    <row r="2216" spans="1:7" x14ac:dyDescent="0.25">
      <c r="A2216">
        <v>9960007</v>
      </c>
      <c r="B2216" t="s">
        <v>25338</v>
      </c>
      <c r="C2216">
        <v>1850</v>
      </c>
      <c r="D2216">
        <v>1</v>
      </c>
      <c r="E2216">
        <v>1844</v>
      </c>
      <c r="F2216">
        <v>3421</v>
      </c>
      <c r="G2216">
        <f t="shared" si="34"/>
        <v>9960007</v>
      </c>
    </row>
    <row r="2217" spans="1:7" x14ac:dyDescent="0.25">
      <c r="A2217">
        <v>9961010</v>
      </c>
      <c r="B2217" t="s">
        <v>25339</v>
      </c>
      <c r="C2217">
        <v>122</v>
      </c>
      <c r="D2217">
        <v>5</v>
      </c>
      <c r="E2217">
        <v>16862</v>
      </c>
      <c r="F2217">
        <v>837</v>
      </c>
      <c r="G2217">
        <f t="shared" si="34"/>
        <v>9961010</v>
      </c>
    </row>
    <row r="2218" spans="1:7" x14ac:dyDescent="0.25">
      <c r="A2218">
        <v>9961160</v>
      </c>
      <c r="B2218" t="s">
        <v>25340</v>
      </c>
      <c r="C2218">
        <v>53</v>
      </c>
      <c r="D2218">
        <v>3</v>
      </c>
      <c r="E2218">
        <v>15491</v>
      </c>
      <c r="F2218">
        <v>949</v>
      </c>
      <c r="G2218">
        <f t="shared" si="34"/>
        <v>9961160</v>
      </c>
    </row>
    <row r="2219" spans="1:7" x14ac:dyDescent="0.25">
      <c r="A2219">
        <v>9962504</v>
      </c>
      <c r="B2219" t="s">
        <v>25341</v>
      </c>
      <c r="C2219">
        <v>20</v>
      </c>
      <c r="D2219">
        <v>7</v>
      </c>
      <c r="E2219">
        <v>41827</v>
      </c>
      <c r="F2219">
        <v>81</v>
      </c>
      <c r="G2219">
        <f t="shared" si="34"/>
        <v>9962504</v>
      </c>
    </row>
    <row r="2220" spans="1:7" x14ac:dyDescent="0.25">
      <c r="A2220">
        <v>9963556</v>
      </c>
      <c r="B2220" t="s">
        <v>25342</v>
      </c>
      <c r="C2220">
        <v>0</v>
      </c>
      <c r="D2220">
        <v>1</v>
      </c>
      <c r="E2220">
        <v>233</v>
      </c>
      <c r="F2220">
        <v>5375</v>
      </c>
      <c r="G2220">
        <f t="shared" si="34"/>
        <v>9963556</v>
      </c>
    </row>
    <row r="2221" spans="1:7" x14ac:dyDescent="0.25">
      <c r="A2221">
        <v>9964090</v>
      </c>
      <c r="B2221" t="s">
        <v>25343</v>
      </c>
      <c r="C2221">
        <v>4</v>
      </c>
      <c r="D2221">
        <v>6</v>
      </c>
      <c r="E2221">
        <v>24639</v>
      </c>
      <c r="F2221">
        <v>411</v>
      </c>
      <c r="G2221">
        <f t="shared" si="34"/>
        <v>9964090</v>
      </c>
    </row>
    <row r="2222" spans="1:7" x14ac:dyDescent="0.25">
      <c r="A2222">
        <v>9964561</v>
      </c>
      <c r="B2222" t="s">
        <v>25344</v>
      </c>
      <c r="C2222">
        <v>0</v>
      </c>
      <c r="D2222">
        <v>1</v>
      </c>
      <c r="E2222">
        <v>26</v>
      </c>
      <c r="F2222">
        <v>6489</v>
      </c>
      <c r="G2222">
        <f t="shared" si="34"/>
        <v>9964561</v>
      </c>
    </row>
    <row r="2223" spans="1:7" x14ac:dyDescent="0.25">
      <c r="A2223">
        <v>9967171</v>
      </c>
      <c r="B2223" t="s">
        <v>37273</v>
      </c>
      <c r="C2223">
        <v>321</v>
      </c>
      <c r="D2223">
        <v>0</v>
      </c>
      <c r="E2223">
        <v>0</v>
      </c>
      <c r="F2223">
        <v>7314</v>
      </c>
      <c r="G2223">
        <f t="shared" si="34"/>
        <v>9967171</v>
      </c>
    </row>
    <row r="2224" spans="1:7" x14ac:dyDescent="0.25">
      <c r="A2224">
        <v>9967816</v>
      </c>
      <c r="B2224" t="s">
        <v>25345</v>
      </c>
      <c r="C2224">
        <v>0</v>
      </c>
      <c r="D2224">
        <v>1</v>
      </c>
      <c r="E2224">
        <v>210</v>
      </c>
      <c r="F2224">
        <v>5459</v>
      </c>
      <c r="G2224">
        <f t="shared" si="34"/>
        <v>9967816</v>
      </c>
    </row>
    <row r="2225" spans="1:7" x14ac:dyDescent="0.25">
      <c r="A2225">
        <v>9968016</v>
      </c>
      <c r="B2225" t="s">
        <v>25346</v>
      </c>
      <c r="C2225">
        <v>0</v>
      </c>
      <c r="D2225">
        <v>1</v>
      </c>
      <c r="E2225">
        <v>26</v>
      </c>
      <c r="F2225">
        <v>6490</v>
      </c>
      <c r="G2225">
        <f t="shared" si="34"/>
        <v>9968016</v>
      </c>
    </row>
    <row r="2226" spans="1:7" x14ac:dyDescent="0.25">
      <c r="A2226">
        <v>9970980</v>
      </c>
      <c r="B2226" t="s">
        <v>36287</v>
      </c>
      <c r="C2226">
        <v>2022</v>
      </c>
      <c r="D2226">
        <v>1</v>
      </c>
      <c r="E2226">
        <v>182</v>
      </c>
      <c r="F2226">
        <v>5579</v>
      </c>
      <c r="G2226">
        <f t="shared" si="34"/>
        <v>9970980</v>
      </c>
    </row>
    <row r="2227" spans="1:7" x14ac:dyDescent="0.25">
      <c r="A2227">
        <v>9971807</v>
      </c>
      <c r="B2227" t="s">
        <v>25347</v>
      </c>
      <c r="C2227">
        <v>680</v>
      </c>
      <c r="D2227">
        <v>1</v>
      </c>
      <c r="E2227">
        <v>4943</v>
      </c>
      <c r="F2227">
        <v>2523</v>
      </c>
      <c r="G2227">
        <f t="shared" si="34"/>
        <v>9971807</v>
      </c>
    </row>
    <row r="2228" spans="1:7" x14ac:dyDescent="0.25">
      <c r="A2228">
        <v>9972250</v>
      </c>
      <c r="B2228" t="s">
        <v>36288</v>
      </c>
      <c r="C2228">
        <v>0</v>
      </c>
      <c r="D2228">
        <v>0</v>
      </c>
      <c r="E2228">
        <v>0</v>
      </c>
      <c r="F2228">
        <v>7315</v>
      </c>
      <c r="G2228">
        <f t="shared" si="34"/>
        <v>9972250</v>
      </c>
    </row>
    <row r="2229" spans="1:7" x14ac:dyDescent="0.25">
      <c r="A2229">
        <v>9973706</v>
      </c>
      <c r="B2229" t="s">
        <v>25348</v>
      </c>
      <c r="C2229">
        <v>23</v>
      </c>
      <c r="D2229">
        <v>2</v>
      </c>
      <c r="E2229">
        <v>7557</v>
      </c>
      <c r="F2229">
        <v>1971</v>
      </c>
      <c r="G2229">
        <f t="shared" si="34"/>
        <v>9973706</v>
      </c>
    </row>
    <row r="2230" spans="1:7" x14ac:dyDescent="0.25">
      <c r="A2230">
        <v>9974825</v>
      </c>
      <c r="B2230" t="s">
        <v>36289</v>
      </c>
      <c r="C2230">
        <v>0</v>
      </c>
      <c r="D2230">
        <v>1</v>
      </c>
      <c r="E2230">
        <v>995</v>
      </c>
      <c r="F2230">
        <v>3985</v>
      </c>
      <c r="G2230">
        <f t="shared" si="34"/>
        <v>9974825</v>
      </c>
    </row>
    <row r="2231" spans="1:7" x14ac:dyDescent="0.25">
      <c r="A2231">
        <v>9974969</v>
      </c>
      <c r="B2231" t="s">
        <v>25349</v>
      </c>
      <c r="C2231">
        <v>218</v>
      </c>
      <c r="D2231">
        <v>2</v>
      </c>
      <c r="E2231">
        <v>8103</v>
      </c>
      <c r="F2231">
        <v>1872</v>
      </c>
      <c r="G2231">
        <f t="shared" si="34"/>
        <v>9974969</v>
      </c>
    </row>
    <row r="2232" spans="1:7" x14ac:dyDescent="0.25">
      <c r="A2232">
        <v>9976285</v>
      </c>
      <c r="B2232" t="s">
        <v>36290</v>
      </c>
      <c r="C2232">
        <v>0</v>
      </c>
      <c r="D2232">
        <v>0</v>
      </c>
      <c r="E2232">
        <v>0</v>
      </c>
      <c r="F2232">
        <v>7316</v>
      </c>
      <c r="G2232">
        <f t="shared" si="34"/>
        <v>9976285</v>
      </c>
    </row>
    <row r="2233" spans="1:7" x14ac:dyDescent="0.25">
      <c r="A2233">
        <v>9976796</v>
      </c>
      <c r="B2233" t="s">
        <v>25350</v>
      </c>
      <c r="C2233">
        <v>0</v>
      </c>
      <c r="D2233">
        <v>1</v>
      </c>
      <c r="E2233">
        <v>758</v>
      </c>
      <c r="F2233">
        <v>4258</v>
      </c>
      <c r="G2233">
        <f t="shared" si="34"/>
        <v>9976796</v>
      </c>
    </row>
    <row r="2234" spans="1:7" x14ac:dyDescent="0.25">
      <c r="A2234">
        <v>9978194</v>
      </c>
      <c r="B2234" t="s">
        <v>36291</v>
      </c>
      <c r="C2234">
        <v>1100</v>
      </c>
      <c r="D2234">
        <v>1</v>
      </c>
      <c r="E2234">
        <v>5086</v>
      </c>
      <c r="F2234">
        <v>2494</v>
      </c>
      <c r="G2234">
        <f t="shared" si="34"/>
        <v>9978194</v>
      </c>
    </row>
    <row r="2235" spans="1:7" x14ac:dyDescent="0.25">
      <c r="A2235">
        <v>9978884</v>
      </c>
      <c r="B2235" t="s">
        <v>25351</v>
      </c>
      <c r="C2235">
        <v>196</v>
      </c>
      <c r="D2235">
        <v>6</v>
      </c>
      <c r="E2235">
        <v>32601</v>
      </c>
      <c r="F2235">
        <v>189</v>
      </c>
      <c r="G2235">
        <f t="shared" si="34"/>
        <v>9978884</v>
      </c>
    </row>
    <row r="2236" spans="1:7" x14ac:dyDescent="0.25">
      <c r="A2236">
        <v>9979514</v>
      </c>
      <c r="B2236" t="s">
        <v>25352</v>
      </c>
      <c r="C2236">
        <v>0</v>
      </c>
      <c r="D2236">
        <v>1</v>
      </c>
      <c r="E2236">
        <v>184</v>
      </c>
      <c r="F2236">
        <v>5566</v>
      </c>
      <c r="G2236">
        <f t="shared" si="34"/>
        <v>9979514</v>
      </c>
    </row>
    <row r="2237" spans="1:7" x14ac:dyDescent="0.25">
      <c r="A2237">
        <v>9979692</v>
      </c>
      <c r="B2237" t="s">
        <v>25353</v>
      </c>
      <c r="C2237">
        <v>215</v>
      </c>
      <c r="D2237">
        <v>4</v>
      </c>
      <c r="E2237">
        <v>14652</v>
      </c>
      <c r="F2237">
        <v>1031</v>
      </c>
      <c r="G2237">
        <f t="shared" si="34"/>
        <v>9979692</v>
      </c>
    </row>
    <row r="2238" spans="1:7" x14ac:dyDescent="0.25">
      <c r="A2238">
        <v>9979798</v>
      </c>
      <c r="B2238" t="s">
        <v>25354</v>
      </c>
      <c r="C2238">
        <v>54</v>
      </c>
      <c r="D2238">
        <v>1</v>
      </c>
      <c r="E2238">
        <v>771</v>
      </c>
      <c r="F2238">
        <v>4244</v>
      </c>
      <c r="G2238">
        <f t="shared" si="34"/>
        <v>9979798</v>
      </c>
    </row>
    <row r="2239" spans="1:7" x14ac:dyDescent="0.25">
      <c r="A2239">
        <v>9980505</v>
      </c>
      <c r="B2239" t="s">
        <v>25355</v>
      </c>
      <c r="C2239">
        <v>734</v>
      </c>
      <c r="D2239">
        <v>3</v>
      </c>
      <c r="E2239">
        <v>6582</v>
      </c>
      <c r="F2239">
        <v>2144</v>
      </c>
      <c r="G2239">
        <f t="shared" si="34"/>
        <v>9980505</v>
      </c>
    </row>
    <row r="2240" spans="1:7" x14ac:dyDescent="0.25">
      <c r="A2240">
        <v>9980594</v>
      </c>
      <c r="B2240" t="s">
        <v>25356</v>
      </c>
      <c r="C2240">
        <v>1961</v>
      </c>
      <c r="D2240">
        <v>1</v>
      </c>
      <c r="E2240">
        <v>567</v>
      </c>
      <c r="F2240">
        <v>4524</v>
      </c>
      <c r="G2240">
        <f t="shared" si="34"/>
        <v>9980594</v>
      </c>
    </row>
    <row r="2241" spans="1:7" x14ac:dyDescent="0.25">
      <c r="A2241">
        <v>9982083</v>
      </c>
      <c r="B2241" t="s">
        <v>25357</v>
      </c>
      <c r="C2241">
        <v>0</v>
      </c>
      <c r="D2241">
        <v>1</v>
      </c>
      <c r="E2241">
        <v>4573</v>
      </c>
      <c r="F2241">
        <v>2601</v>
      </c>
      <c r="G2241">
        <f t="shared" ref="G2241:G2304" si="35">A2241</f>
        <v>9982083</v>
      </c>
    </row>
    <row r="2242" spans="1:7" x14ac:dyDescent="0.25">
      <c r="A2242">
        <v>9982319</v>
      </c>
      <c r="B2242" t="s">
        <v>25358</v>
      </c>
      <c r="C2242">
        <v>1</v>
      </c>
      <c r="D2242">
        <v>0</v>
      </c>
      <c r="E2242">
        <v>0</v>
      </c>
      <c r="F2242">
        <v>7317</v>
      </c>
      <c r="G2242">
        <f t="shared" si="35"/>
        <v>9982319</v>
      </c>
    </row>
    <row r="2243" spans="1:7" x14ac:dyDescent="0.25">
      <c r="A2243">
        <v>9982406</v>
      </c>
      <c r="B2243" t="s">
        <v>25359</v>
      </c>
      <c r="C2243">
        <v>0</v>
      </c>
      <c r="D2243">
        <v>0</v>
      </c>
      <c r="E2243">
        <v>0</v>
      </c>
      <c r="F2243">
        <v>7318</v>
      </c>
      <c r="G2243">
        <f t="shared" si="35"/>
        <v>9982406</v>
      </c>
    </row>
    <row r="2244" spans="1:7" x14ac:dyDescent="0.25">
      <c r="A2244">
        <v>9982426</v>
      </c>
      <c r="B2244" t="s">
        <v>25360</v>
      </c>
      <c r="C2244">
        <v>0</v>
      </c>
      <c r="D2244">
        <v>1</v>
      </c>
      <c r="E2244">
        <v>733</v>
      </c>
      <c r="F2244">
        <v>4311</v>
      </c>
      <c r="G2244">
        <f t="shared" si="35"/>
        <v>9982426</v>
      </c>
    </row>
    <row r="2245" spans="1:7" x14ac:dyDescent="0.25">
      <c r="A2245">
        <v>9983304</v>
      </c>
      <c r="B2245" t="s">
        <v>36292</v>
      </c>
      <c r="C2245">
        <v>0</v>
      </c>
      <c r="D2245">
        <v>0</v>
      </c>
      <c r="E2245">
        <v>0</v>
      </c>
      <c r="F2245">
        <v>7319</v>
      </c>
      <c r="G2245">
        <f t="shared" si="35"/>
        <v>9983304</v>
      </c>
    </row>
    <row r="2246" spans="1:7" x14ac:dyDescent="0.25">
      <c r="A2246">
        <v>9983558</v>
      </c>
      <c r="B2246" t="s">
        <v>25361</v>
      </c>
      <c r="C2246">
        <v>0</v>
      </c>
      <c r="D2246">
        <v>1</v>
      </c>
      <c r="E2246">
        <v>972</v>
      </c>
      <c r="F2246">
        <v>4013</v>
      </c>
      <c r="G2246">
        <f t="shared" si="35"/>
        <v>9983558</v>
      </c>
    </row>
    <row r="2247" spans="1:7" x14ac:dyDescent="0.25">
      <c r="A2247">
        <v>9983619</v>
      </c>
      <c r="B2247" t="s">
        <v>25362</v>
      </c>
      <c r="C2247">
        <v>0</v>
      </c>
      <c r="D2247">
        <v>0</v>
      </c>
      <c r="E2247">
        <v>0</v>
      </c>
      <c r="F2247">
        <v>7320</v>
      </c>
      <c r="G2247">
        <f t="shared" si="35"/>
        <v>9983619</v>
      </c>
    </row>
    <row r="2248" spans="1:7" x14ac:dyDescent="0.25">
      <c r="A2248">
        <v>9984968</v>
      </c>
      <c r="B2248" t="s">
        <v>25363</v>
      </c>
      <c r="C2248">
        <v>0</v>
      </c>
      <c r="D2248">
        <v>1</v>
      </c>
      <c r="E2248">
        <v>26</v>
      </c>
      <c r="F2248">
        <v>6491</v>
      </c>
      <c r="G2248">
        <f t="shared" si="35"/>
        <v>9984968</v>
      </c>
    </row>
    <row r="2249" spans="1:7" x14ac:dyDescent="0.25">
      <c r="A2249">
        <v>9985043</v>
      </c>
      <c r="B2249" t="s">
        <v>25364</v>
      </c>
      <c r="C2249">
        <v>131</v>
      </c>
      <c r="D2249">
        <v>1</v>
      </c>
      <c r="E2249">
        <v>6296</v>
      </c>
      <c r="F2249">
        <v>2215</v>
      </c>
      <c r="G2249">
        <f t="shared" si="35"/>
        <v>9985043</v>
      </c>
    </row>
    <row r="2250" spans="1:7" x14ac:dyDescent="0.25">
      <c r="A2250">
        <v>9985386</v>
      </c>
      <c r="B2250" t="s">
        <v>36293</v>
      </c>
      <c r="C2250">
        <v>126</v>
      </c>
      <c r="D2250">
        <v>3</v>
      </c>
      <c r="E2250">
        <v>14068</v>
      </c>
      <c r="F2250">
        <v>1068</v>
      </c>
      <c r="G2250">
        <f t="shared" si="35"/>
        <v>9985386</v>
      </c>
    </row>
    <row r="2251" spans="1:7" x14ac:dyDescent="0.25">
      <c r="A2251">
        <v>9987462</v>
      </c>
      <c r="B2251" t="s">
        <v>25365</v>
      </c>
      <c r="C2251">
        <v>0</v>
      </c>
      <c r="D2251">
        <v>1</v>
      </c>
      <c r="E2251">
        <v>316</v>
      </c>
      <c r="F2251">
        <v>5089</v>
      </c>
      <c r="G2251">
        <f t="shared" si="35"/>
        <v>9987462</v>
      </c>
    </row>
    <row r="2252" spans="1:7" x14ac:dyDescent="0.25">
      <c r="A2252">
        <v>9987687</v>
      </c>
      <c r="B2252" t="s">
        <v>25366</v>
      </c>
      <c r="C2252">
        <v>0</v>
      </c>
      <c r="D2252">
        <v>0</v>
      </c>
      <c r="E2252">
        <v>0</v>
      </c>
      <c r="F2252">
        <v>7321</v>
      </c>
      <c r="G2252">
        <f t="shared" si="35"/>
        <v>9987687</v>
      </c>
    </row>
    <row r="2253" spans="1:7" x14ac:dyDescent="0.25">
      <c r="A2253">
        <v>9988214</v>
      </c>
      <c r="B2253" t="s">
        <v>25367</v>
      </c>
      <c r="C2253">
        <v>1836</v>
      </c>
      <c r="D2253">
        <v>1</v>
      </c>
      <c r="E2253">
        <v>823</v>
      </c>
      <c r="F2253">
        <v>4170</v>
      </c>
      <c r="G2253">
        <f t="shared" si="35"/>
        <v>9988214</v>
      </c>
    </row>
    <row r="2254" spans="1:7" x14ac:dyDescent="0.25">
      <c r="A2254">
        <v>9989147</v>
      </c>
      <c r="B2254" t="s">
        <v>25368</v>
      </c>
      <c r="C2254">
        <v>1775</v>
      </c>
      <c r="D2254">
        <v>3</v>
      </c>
      <c r="E2254">
        <v>6680</v>
      </c>
      <c r="F2254">
        <v>2147</v>
      </c>
      <c r="G2254">
        <f t="shared" si="35"/>
        <v>9989147</v>
      </c>
    </row>
    <row r="2255" spans="1:7" x14ac:dyDescent="0.25">
      <c r="A2255">
        <v>9989555</v>
      </c>
      <c r="B2255" t="s">
        <v>25369</v>
      </c>
      <c r="C2255">
        <v>0</v>
      </c>
      <c r="D2255">
        <v>1</v>
      </c>
      <c r="E2255">
        <v>77</v>
      </c>
      <c r="F2255">
        <v>5989</v>
      </c>
      <c r="G2255">
        <f t="shared" si="35"/>
        <v>9989555</v>
      </c>
    </row>
    <row r="2256" spans="1:7" x14ac:dyDescent="0.25">
      <c r="A2256">
        <v>9990099</v>
      </c>
      <c r="B2256" t="s">
        <v>36294</v>
      </c>
      <c r="C2256">
        <v>1688</v>
      </c>
      <c r="D2256">
        <v>2</v>
      </c>
      <c r="E2256">
        <v>15882</v>
      </c>
      <c r="F2256">
        <v>917</v>
      </c>
      <c r="G2256">
        <f t="shared" si="35"/>
        <v>9990099</v>
      </c>
    </row>
    <row r="2257" spans="1:7" x14ac:dyDescent="0.25">
      <c r="A2257">
        <v>9991967</v>
      </c>
      <c r="B2257" t="s">
        <v>25370</v>
      </c>
      <c r="C2257">
        <v>0</v>
      </c>
      <c r="D2257">
        <v>1</v>
      </c>
      <c r="E2257">
        <v>102</v>
      </c>
      <c r="F2257">
        <v>5837</v>
      </c>
      <c r="G2257">
        <f t="shared" si="35"/>
        <v>9991967</v>
      </c>
    </row>
    <row r="2258" spans="1:7" x14ac:dyDescent="0.25">
      <c r="A2258">
        <v>9992155</v>
      </c>
      <c r="B2258" t="s">
        <v>37274</v>
      </c>
      <c r="C2258">
        <v>0</v>
      </c>
      <c r="D2258">
        <v>1</v>
      </c>
      <c r="E2258">
        <v>7636</v>
      </c>
      <c r="F2258">
        <v>1955</v>
      </c>
      <c r="G2258">
        <f t="shared" si="35"/>
        <v>9992155</v>
      </c>
    </row>
    <row r="2259" spans="1:7" x14ac:dyDescent="0.25">
      <c r="A2259">
        <v>9993551</v>
      </c>
      <c r="B2259" t="s">
        <v>25371</v>
      </c>
      <c r="C2259">
        <v>0</v>
      </c>
      <c r="D2259">
        <v>1</v>
      </c>
      <c r="E2259">
        <v>359</v>
      </c>
      <c r="F2259">
        <v>4954</v>
      </c>
      <c r="G2259">
        <f t="shared" si="35"/>
        <v>9993551</v>
      </c>
    </row>
    <row r="2260" spans="1:7" x14ac:dyDescent="0.25">
      <c r="A2260">
        <v>9993706</v>
      </c>
      <c r="B2260" t="s">
        <v>25372</v>
      </c>
      <c r="C2260">
        <v>1806</v>
      </c>
      <c r="D2260">
        <v>1</v>
      </c>
      <c r="E2260">
        <v>2076</v>
      </c>
      <c r="F2260">
        <v>3303</v>
      </c>
      <c r="G2260">
        <f t="shared" si="35"/>
        <v>9993706</v>
      </c>
    </row>
    <row r="2261" spans="1:7" x14ac:dyDescent="0.25">
      <c r="A2261">
        <v>9994877</v>
      </c>
      <c r="B2261" t="s">
        <v>25373</v>
      </c>
      <c r="C2261">
        <v>1019</v>
      </c>
      <c r="D2261">
        <v>2</v>
      </c>
      <c r="E2261">
        <v>7484</v>
      </c>
      <c r="F2261">
        <v>1983</v>
      </c>
      <c r="G2261">
        <f t="shared" si="35"/>
        <v>9994877</v>
      </c>
    </row>
    <row r="2262" spans="1:7" x14ac:dyDescent="0.25">
      <c r="A2262">
        <v>9995712</v>
      </c>
      <c r="B2262" t="s">
        <v>25374</v>
      </c>
      <c r="C2262">
        <v>0</v>
      </c>
      <c r="D2262">
        <v>0</v>
      </c>
      <c r="E2262">
        <v>0</v>
      </c>
      <c r="F2262">
        <v>7322</v>
      </c>
      <c r="G2262">
        <f t="shared" si="35"/>
        <v>9995712</v>
      </c>
    </row>
    <row r="2263" spans="1:7" x14ac:dyDescent="0.25">
      <c r="A2263">
        <v>9995750</v>
      </c>
      <c r="B2263" t="s">
        <v>25375</v>
      </c>
      <c r="C2263">
        <v>0</v>
      </c>
      <c r="D2263">
        <v>1</v>
      </c>
      <c r="E2263">
        <v>87</v>
      </c>
      <c r="F2263">
        <v>5921</v>
      </c>
      <c r="G2263">
        <f t="shared" si="35"/>
        <v>9995750</v>
      </c>
    </row>
    <row r="2264" spans="1:7" x14ac:dyDescent="0.25">
      <c r="A2264">
        <v>9996245</v>
      </c>
      <c r="B2264" t="s">
        <v>25376</v>
      </c>
      <c r="C2264">
        <v>126</v>
      </c>
      <c r="D2264">
        <v>2</v>
      </c>
      <c r="E2264">
        <v>10629</v>
      </c>
      <c r="F2264">
        <v>1480</v>
      </c>
      <c r="G2264">
        <f t="shared" si="35"/>
        <v>9996245</v>
      </c>
    </row>
    <row r="2265" spans="1:7" x14ac:dyDescent="0.25">
      <c r="A2265">
        <v>9996271</v>
      </c>
      <c r="B2265" t="s">
        <v>37275</v>
      </c>
      <c r="C2265">
        <v>0</v>
      </c>
      <c r="D2265">
        <v>1</v>
      </c>
      <c r="E2265">
        <v>1081</v>
      </c>
      <c r="F2265">
        <v>3890</v>
      </c>
      <c r="G2265">
        <f t="shared" si="35"/>
        <v>9996271</v>
      </c>
    </row>
    <row r="2266" spans="1:7" x14ac:dyDescent="0.25">
      <c r="A2266">
        <v>9997229</v>
      </c>
      <c r="B2266" t="s">
        <v>25377</v>
      </c>
      <c r="C2266">
        <v>15</v>
      </c>
      <c r="D2266">
        <v>1</v>
      </c>
      <c r="E2266">
        <v>26</v>
      </c>
      <c r="F2266">
        <v>6492</v>
      </c>
      <c r="G2266">
        <f t="shared" si="35"/>
        <v>9997229</v>
      </c>
    </row>
    <row r="2267" spans="1:7" x14ac:dyDescent="0.25">
      <c r="A2267">
        <v>10001101</v>
      </c>
      <c r="B2267" t="s">
        <v>36295</v>
      </c>
      <c r="C2267">
        <v>0</v>
      </c>
      <c r="D2267">
        <v>0</v>
      </c>
      <c r="E2267">
        <v>0</v>
      </c>
      <c r="F2267">
        <v>7323</v>
      </c>
      <c r="G2267">
        <f t="shared" si="35"/>
        <v>10001101</v>
      </c>
    </row>
    <row r="2268" spans="1:7" x14ac:dyDescent="0.25">
      <c r="A2268">
        <v>10001525</v>
      </c>
      <c r="B2268" t="s">
        <v>25378</v>
      </c>
      <c r="C2268">
        <v>494</v>
      </c>
      <c r="D2268">
        <v>3</v>
      </c>
      <c r="E2268">
        <v>12167</v>
      </c>
      <c r="F2268">
        <v>1268</v>
      </c>
      <c r="G2268">
        <f t="shared" si="35"/>
        <v>10001525</v>
      </c>
    </row>
    <row r="2269" spans="1:7" x14ac:dyDescent="0.25">
      <c r="A2269">
        <v>10002117</v>
      </c>
      <c r="B2269" t="s">
        <v>37428</v>
      </c>
      <c r="C2269">
        <v>0</v>
      </c>
      <c r="D2269">
        <v>1</v>
      </c>
      <c r="E2269">
        <v>58</v>
      </c>
      <c r="F2269">
        <v>6113</v>
      </c>
      <c r="G2269">
        <f t="shared" si="35"/>
        <v>10002117</v>
      </c>
    </row>
    <row r="2270" spans="1:7" x14ac:dyDescent="0.25">
      <c r="A2270">
        <v>10002442</v>
      </c>
      <c r="B2270" t="s">
        <v>25379</v>
      </c>
      <c r="C2270">
        <v>0</v>
      </c>
      <c r="D2270">
        <v>1</v>
      </c>
      <c r="E2270">
        <v>26</v>
      </c>
      <c r="F2270">
        <v>6493</v>
      </c>
      <c r="G2270">
        <f t="shared" si="35"/>
        <v>10002442</v>
      </c>
    </row>
    <row r="2271" spans="1:7" x14ac:dyDescent="0.25">
      <c r="A2271">
        <v>10003534</v>
      </c>
      <c r="B2271" t="s">
        <v>25380</v>
      </c>
      <c r="C2271">
        <v>0</v>
      </c>
      <c r="D2271">
        <v>1</v>
      </c>
      <c r="E2271">
        <v>80</v>
      </c>
      <c r="F2271">
        <v>5971</v>
      </c>
      <c r="G2271">
        <f t="shared" si="35"/>
        <v>10003534</v>
      </c>
    </row>
    <row r="2272" spans="1:7" x14ac:dyDescent="0.25">
      <c r="A2272">
        <v>10004060</v>
      </c>
      <c r="B2272" t="s">
        <v>25381</v>
      </c>
      <c r="C2272">
        <v>0</v>
      </c>
      <c r="D2272">
        <v>1</v>
      </c>
      <c r="E2272">
        <v>221</v>
      </c>
      <c r="F2272">
        <v>5429</v>
      </c>
      <c r="G2272">
        <f t="shared" si="35"/>
        <v>10004060</v>
      </c>
    </row>
    <row r="2273" spans="1:7" x14ac:dyDescent="0.25">
      <c r="A2273">
        <v>10005787</v>
      </c>
      <c r="B2273" t="s">
        <v>25382</v>
      </c>
      <c r="C2273">
        <v>0</v>
      </c>
      <c r="D2273">
        <v>1</v>
      </c>
      <c r="E2273">
        <v>83</v>
      </c>
      <c r="F2273">
        <v>5948</v>
      </c>
      <c r="G2273">
        <f t="shared" si="35"/>
        <v>10005787</v>
      </c>
    </row>
    <row r="2274" spans="1:7" x14ac:dyDescent="0.25">
      <c r="A2274">
        <v>10006222</v>
      </c>
      <c r="B2274" t="s">
        <v>25383</v>
      </c>
      <c r="C2274">
        <v>1357</v>
      </c>
      <c r="D2274">
        <v>1</v>
      </c>
      <c r="E2274">
        <v>1152</v>
      </c>
      <c r="F2274">
        <v>3824</v>
      </c>
      <c r="G2274">
        <f t="shared" si="35"/>
        <v>10006222</v>
      </c>
    </row>
    <row r="2275" spans="1:7" x14ac:dyDescent="0.25">
      <c r="A2275">
        <v>10006430</v>
      </c>
      <c r="B2275" t="s">
        <v>25384</v>
      </c>
      <c r="C2275">
        <v>0</v>
      </c>
      <c r="D2275">
        <v>1</v>
      </c>
      <c r="E2275">
        <v>113</v>
      </c>
      <c r="F2275">
        <v>5803</v>
      </c>
      <c r="G2275">
        <f t="shared" si="35"/>
        <v>10006430</v>
      </c>
    </row>
    <row r="2276" spans="1:7" x14ac:dyDescent="0.25">
      <c r="A2276">
        <v>10006855</v>
      </c>
      <c r="B2276" t="s">
        <v>25385</v>
      </c>
      <c r="C2276">
        <v>1913</v>
      </c>
      <c r="D2276">
        <v>1</v>
      </c>
      <c r="E2276">
        <v>1672</v>
      </c>
      <c r="F2276">
        <v>3511</v>
      </c>
      <c r="G2276">
        <f t="shared" si="35"/>
        <v>10006855</v>
      </c>
    </row>
    <row r="2277" spans="1:7" x14ac:dyDescent="0.25">
      <c r="A2277">
        <v>10007206</v>
      </c>
      <c r="B2277" t="s">
        <v>1654</v>
      </c>
      <c r="C2277">
        <v>494</v>
      </c>
      <c r="D2277">
        <v>3</v>
      </c>
      <c r="E2277">
        <v>12760</v>
      </c>
      <c r="F2277">
        <v>1194</v>
      </c>
      <c r="G2277">
        <f t="shared" si="35"/>
        <v>10007206</v>
      </c>
    </row>
    <row r="2278" spans="1:7" x14ac:dyDescent="0.25">
      <c r="A2278">
        <v>10008820</v>
      </c>
      <c r="B2278" t="s">
        <v>36296</v>
      </c>
      <c r="C2278">
        <v>117</v>
      </c>
      <c r="D2278">
        <v>3</v>
      </c>
      <c r="E2278">
        <v>13712</v>
      </c>
      <c r="F2278">
        <v>1109</v>
      </c>
      <c r="G2278">
        <f t="shared" si="35"/>
        <v>10008820</v>
      </c>
    </row>
    <row r="2279" spans="1:7" x14ac:dyDescent="0.25">
      <c r="A2279">
        <v>10008893</v>
      </c>
      <c r="B2279" t="s">
        <v>36297</v>
      </c>
      <c r="C2279">
        <v>274</v>
      </c>
      <c r="D2279">
        <v>6</v>
      </c>
      <c r="E2279">
        <v>36771</v>
      </c>
      <c r="F2279">
        <v>127</v>
      </c>
      <c r="G2279">
        <f t="shared" si="35"/>
        <v>10008893</v>
      </c>
    </row>
    <row r="2280" spans="1:7" x14ac:dyDescent="0.25">
      <c r="A2280">
        <v>10010272</v>
      </c>
      <c r="B2280" t="s">
        <v>25386</v>
      </c>
      <c r="C2280">
        <v>6</v>
      </c>
      <c r="D2280">
        <v>2</v>
      </c>
      <c r="E2280">
        <v>12125</v>
      </c>
      <c r="F2280">
        <v>1267</v>
      </c>
      <c r="G2280">
        <f t="shared" si="35"/>
        <v>10010272</v>
      </c>
    </row>
    <row r="2281" spans="1:7" x14ac:dyDescent="0.25">
      <c r="A2281">
        <v>10012713</v>
      </c>
      <c r="B2281" t="s">
        <v>25387</v>
      </c>
      <c r="C2281">
        <v>321</v>
      </c>
      <c r="D2281">
        <v>2</v>
      </c>
      <c r="E2281">
        <v>8941</v>
      </c>
      <c r="F2281">
        <v>1726</v>
      </c>
      <c r="G2281">
        <f t="shared" si="35"/>
        <v>10012713</v>
      </c>
    </row>
    <row r="2282" spans="1:7" x14ac:dyDescent="0.25">
      <c r="A2282">
        <v>10014105</v>
      </c>
      <c r="B2282" t="s">
        <v>25388</v>
      </c>
      <c r="C2282">
        <v>1163</v>
      </c>
      <c r="D2282">
        <v>0</v>
      </c>
      <c r="E2282">
        <v>0</v>
      </c>
      <c r="F2282">
        <v>7324</v>
      </c>
      <c r="G2282">
        <f t="shared" si="35"/>
        <v>10014105</v>
      </c>
    </row>
    <row r="2283" spans="1:7" x14ac:dyDescent="0.25">
      <c r="A2283">
        <v>10014519</v>
      </c>
      <c r="B2283" t="s">
        <v>36298</v>
      </c>
      <c r="C2283">
        <v>1817</v>
      </c>
      <c r="D2283">
        <v>0</v>
      </c>
      <c r="E2283">
        <v>0</v>
      </c>
      <c r="F2283">
        <v>7325</v>
      </c>
      <c r="G2283">
        <f t="shared" si="35"/>
        <v>10014519</v>
      </c>
    </row>
    <row r="2284" spans="1:7" x14ac:dyDescent="0.25">
      <c r="A2284">
        <v>10014597</v>
      </c>
      <c r="B2284" t="s">
        <v>25389</v>
      </c>
      <c r="C2284">
        <v>0</v>
      </c>
      <c r="D2284">
        <v>0</v>
      </c>
      <c r="E2284">
        <v>0</v>
      </c>
      <c r="F2284">
        <v>7326</v>
      </c>
      <c r="G2284">
        <f t="shared" si="35"/>
        <v>10014597</v>
      </c>
    </row>
    <row r="2285" spans="1:7" x14ac:dyDescent="0.25">
      <c r="A2285">
        <v>10016176</v>
      </c>
      <c r="B2285" t="s">
        <v>25390</v>
      </c>
      <c r="C2285">
        <v>69</v>
      </c>
      <c r="D2285">
        <v>4</v>
      </c>
      <c r="E2285">
        <v>21597</v>
      </c>
      <c r="F2285">
        <v>543</v>
      </c>
      <c r="G2285">
        <f t="shared" si="35"/>
        <v>10016176</v>
      </c>
    </row>
    <row r="2286" spans="1:7" x14ac:dyDescent="0.25">
      <c r="A2286">
        <v>10017101</v>
      </c>
      <c r="B2286" t="s">
        <v>25391</v>
      </c>
      <c r="C2286">
        <v>1633</v>
      </c>
      <c r="D2286">
        <v>1</v>
      </c>
      <c r="E2286">
        <v>217</v>
      </c>
      <c r="F2286">
        <v>5443</v>
      </c>
      <c r="G2286">
        <f t="shared" si="35"/>
        <v>10017101</v>
      </c>
    </row>
    <row r="2287" spans="1:7" x14ac:dyDescent="0.25">
      <c r="A2287">
        <v>10017115</v>
      </c>
      <c r="B2287" t="s">
        <v>25392</v>
      </c>
      <c r="C2287">
        <v>0</v>
      </c>
      <c r="D2287">
        <v>0</v>
      </c>
      <c r="E2287">
        <v>0</v>
      </c>
      <c r="F2287">
        <v>7327</v>
      </c>
      <c r="G2287">
        <f t="shared" si="35"/>
        <v>10017115</v>
      </c>
    </row>
    <row r="2288" spans="1:7" x14ac:dyDescent="0.25">
      <c r="A2288">
        <v>10017645</v>
      </c>
      <c r="B2288" t="s">
        <v>37220</v>
      </c>
      <c r="C2288">
        <v>0</v>
      </c>
      <c r="D2288">
        <v>1</v>
      </c>
      <c r="E2288">
        <v>26</v>
      </c>
      <c r="F2288">
        <v>6494</v>
      </c>
      <c r="G2288">
        <f t="shared" si="35"/>
        <v>10017645</v>
      </c>
    </row>
    <row r="2289" spans="1:7" x14ac:dyDescent="0.25">
      <c r="A2289">
        <v>10017854</v>
      </c>
      <c r="B2289" t="s">
        <v>25393</v>
      </c>
      <c r="C2289">
        <v>1362</v>
      </c>
      <c r="D2289">
        <v>1</v>
      </c>
      <c r="E2289">
        <v>1072</v>
      </c>
      <c r="F2289">
        <v>3898</v>
      </c>
      <c r="G2289">
        <f t="shared" si="35"/>
        <v>10017854</v>
      </c>
    </row>
    <row r="2290" spans="1:7" x14ac:dyDescent="0.25">
      <c r="A2290">
        <v>10020820</v>
      </c>
      <c r="B2290" t="s">
        <v>36299</v>
      </c>
      <c r="C2290">
        <v>215</v>
      </c>
      <c r="D2290">
        <v>5</v>
      </c>
      <c r="E2290">
        <v>28678</v>
      </c>
      <c r="F2290">
        <v>282</v>
      </c>
      <c r="G2290">
        <f t="shared" si="35"/>
        <v>10020820</v>
      </c>
    </row>
    <row r="2291" spans="1:7" x14ac:dyDescent="0.25">
      <c r="A2291">
        <v>10021930</v>
      </c>
      <c r="B2291" t="s">
        <v>25394</v>
      </c>
      <c r="C2291">
        <v>333</v>
      </c>
      <c r="D2291">
        <v>1</v>
      </c>
      <c r="E2291">
        <v>2644</v>
      </c>
      <c r="F2291">
        <v>3085</v>
      </c>
      <c r="G2291">
        <f t="shared" si="35"/>
        <v>10021930</v>
      </c>
    </row>
    <row r="2292" spans="1:7" x14ac:dyDescent="0.25">
      <c r="A2292">
        <v>10022207</v>
      </c>
      <c r="B2292" t="s">
        <v>25395</v>
      </c>
      <c r="C2292">
        <v>1362</v>
      </c>
      <c r="D2292">
        <v>1</v>
      </c>
      <c r="E2292">
        <v>845</v>
      </c>
      <c r="F2292">
        <v>4137</v>
      </c>
      <c r="G2292">
        <f t="shared" si="35"/>
        <v>10022207</v>
      </c>
    </row>
    <row r="2293" spans="1:7" x14ac:dyDescent="0.25">
      <c r="A2293">
        <v>10022733</v>
      </c>
      <c r="B2293" t="s">
        <v>25396</v>
      </c>
      <c r="C2293">
        <v>0</v>
      </c>
      <c r="D2293">
        <v>1</v>
      </c>
      <c r="E2293">
        <v>879</v>
      </c>
      <c r="F2293">
        <v>4114</v>
      </c>
      <c r="G2293">
        <f t="shared" si="35"/>
        <v>10022733</v>
      </c>
    </row>
    <row r="2294" spans="1:7" x14ac:dyDescent="0.25">
      <c r="A2294">
        <v>10023564</v>
      </c>
      <c r="B2294" t="s">
        <v>25397</v>
      </c>
      <c r="C2294">
        <v>69</v>
      </c>
      <c r="D2294">
        <v>2</v>
      </c>
      <c r="E2294">
        <v>10391</v>
      </c>
      <c r="F2294">
        <v>1509</v>
      </c>
      <c r="G2294">
        <f t="shared" si="35"/>
        <v>10023564</v>
      </c>
    </row>
    <row r="2295" spans="1:7" x14ac:dyDescent="0.25">
      <c r="A2295">
        <v>10023603</v>
      </c>
      <c r="B2295" t="s">
        <v>25398</v>
      </c>
      <c r="C2295">
        <v>431</v>
      </c>
      <c r="D2295">
        <v>1</v>
      </c>
      <c r="E2295">
        <v>770</v>
      </c>
      <c r="F2295">
        <v>4246</v>
      </c>
      <c r="G2295">
        <f t="shared" si="35"/>
        <v>10023603</v>
      </c>
    </row>
    <row r="2296" spans="1:7" x14ac:dyDescent="0.25">
      <c r="A2296">
        <v>10023784</v>
      </c>
      <c r="B2296" t="s">
        <v>25399</v>
      </c>
      <c r="C2296">
        <v>1710</v>
      </c>
      <c r="D2296">
        <v>1</v>
      </c>
      <c r="E2296">
        <v>77</v>
      </c>
      <c r="F2296">
        <v>5990</v>
      </c>
      <c r="G2296">
        <f t="shared" si="35"/>
        <v>10023784</v>
      </c>
    </row>
    <row r="2297" spans="1:7" x14ac:dyDescent="0.25">
      <c r="A2297">
        <v>10024490</v>
      </c>
      <c r="B2297" t="s">
        <v>25400</v>
      </c>
      <c r="C2297">
        <v>0</v>
      </c>
      <c r="D2297">
        <v>1</v>
      </c>
      <c r="E2297">
        <v>237</v>
      </c>
      <c r="F2297">
        <v>5260</v>
      </c>
      <c r="G2297">
        <f t="shared" si="35"/>
        <v>10024490</v>
      </c>
    </row>
    <row r="2298" spans="1:7" x14ac:dyDescent="0.25">
      <c r="A2298">
        <v>10025340</v>
      </c>
      <c r="B2298" t="s">
        <v>25401</v>
      </c>
      <c r="C2298">
        <v>680</v>
      </c>
      <c r="D2298">
        <v>6</v>
      </c>
      <c r="E2298">
        <v>34205</v>
      </c>
      <c r="F2298">
        <v>158</v>
      </c>
      <c r="G2298">
        <f t="shared" si="35"/>
        <v>10025340</v>
      </c>
    </row>
    <row r="2299" spans="1:7" x14ac:dyDescent="0.25">
      <c r="A2299">
        <v>10025388</v>
      </c>
      <c r="B2299" t="s">
        <v>25402</v>
      </c>
      <c r="C2299">
        <v>106</v>
      </c>
      <c r="D2299">
        <v>2</v>
      </c>
      <c r="E2299">
        <v>11023</v>
      </c>
      <c r="F2299">
        <v>1414</v>
      </c>
      <c r="G2299">
        <f t="shared" si="35"/>
        <v>10025388</v>
      </c>
    </row>
    <row r="2300" spans="1:7" x14ac:dyDescent="0.25">
      <c r="A2300">
        <v>10026472</v>
      </c>
      <c r="B2300" t="s">
        <v>25403</v>
      </c>
      <c r="C2300">
        <v>0</v>
      </c>
      <c r="D2300">
        <v>0</v>
      </c>
      <c r="E2300">
        <v>0</v>
      </c>
      <c r="F2300">
        <v>7328</v>
      </c>
      <c r="G2300">
        <f t="shared" si="35"/>
        <v>10026472</v>
      </c>
    </row>
    <row r="2301" spans="1:7" x14ac:dyDescent="0.25">
      <c r="A2301">
        <v>10026721</v>
      </c>
      <c r="B2301" t="s">
        <v>25404</v>
      </c>
      <c r="C2301">
        <v>0</v>
      </c>
      <c r="D2301">
        <v>1</v>
      </c>
      <c r="E2301">
        <v>230</v>
      </c>
      <c r="F2301">
        <v>5387</v>
      </c>
      <c r="G2301">
        <f t="shared" si="35"/>
        <v>10026721</v>
      </c>
    </row>
    <row r="2302" spans="1:7" x14ac:dyDescent="0.25">
      <c r="A2302">
        <v>10028664</v>
      </c>
      <c r="B2302" t="s">
        <v>25405</v>
      </c>
      <c r="C2302">
        <v>58</v>
      </c>
      <c r="D2302">
        <v>3</v>
      </c>
      <c r="E2302">
        <v>13145</v>
      </c>
      <c r="F2302">
        <v>1155</v>
      </c>
      <c r="G2302">
        <f t="shared" si="35"/>
        <v>10028664</v>
      </c>
    </row>
    <row r="2303" spans="1:7" x14ac:dyDescent="0.25">
      <c r="A2303">
        <v>10030938</v>
      </c>
      <c r="B2303" t="s">
        <v>36300</v>
      </c>
      <c r="C2303">
        <v>0</v>
      </c>
      <c r="D2303">
        <v>0</v>
      </c>
      <c r="E2303">
        <v>0</v>
      </c>
      <c r="F2303">
        <v>7329</v>
      </c>
      <c r="G2303">
        <f t="shared" si="35"/>
        <v>10030938</v>
      </c>
    </row>
    <row r="2304" spans="1:7" x14ac:dyDescent="0.25">
      <c r="A2304">
        <v>10033144</v>
      </c>
      <c r="B2304" t="s">
        <v>25406</v>
      </c>
      <c r="C2304">
        <v>0</v>
      </c>
      <c r="D2304">
        <v>1</v>
      </c>
      <c r="E2304">
        <v>26</v>
      </c>
      <c r="F2304">
        <v>6495</v>
      </c>
      <c r="G2304">
        <f t="shared" si="35"/>
        <v>10033144</v>
      </c>
    </row>
    <row r="2305" spans="1:7" x14ac:dyDescent="0.25">
      <c r="A2305">
        <v>10033592</v>
      </c>
      <c r="B2305" t="s">
        <v>25407</v>
      </c>
      <c r="C2305">
        <v>0</v>
      </c>
      <c r="D2305">
        <v>1</v>
      </c>
      <c r="E2305">
        <v>234</v>
      </c>
      <c r="F2305">
        <v>5371</v>
      </c>
      <c r="G2305">
        <f t="shared" ref="G2305:G2368" si="36">A2305</f>
        <v>10033592</v>
      </c>
    </row>
    <row r="2306" spans="1:7" x14ac:dyDescent="0.25">
      <c r="A2306">
        <v>10034026</v>
      </c>
      <c r="B2306" t="s">
        <v>1918</v>
      </c>
      <c r="C2306">
        <v>1019</v>
      </c>
      <c r="D2306">
        <v>1</v>
      </c>
      <c r="E2306">
        <v>6425</v>
      </c>
      <c r="F2306">
        <v>2182</v>
      </c>
      <c r="G2306">
        <f t="shared" si="36"/>
        <v>10034026</v>
      </c>
    </row>
    <row r="2307" spans="1:7" x14ac:dyDescent="0.25">
      <c r="A2307">
        <v>10034688</v>
      </c>
      <c r="B2307" t="s">
        <v>25408</v>
      </c>
      <c r="C2307">
        <v>0</v>
      </c>
      <c r="D2307">
        <v>1</v>
      </c>
      <c r="E2307">
        <v>152</v>
      </c>
      <c r="F2307">
        <v>5690</v>
      </c>
      <c r="G2307">
        <f t="shared" si="36"/>
        <v>10034688</v>
      </c>
    </row>
    <row r="2308" spans="1:7" x14ac:dyDescent="0.25">
      <c r="A2308">
        <v>10035690</v>
      </c>
      <c r="B2308" t="s">
        <v>25409</v>
      </c>
      <c r="C2308">
        <v>0</v>
      </c>
      <c r="D2308">
        <v>1</v>
      </c>
      <c r="E2308">
        <v>32</v>
      </c>
      <c r="F2308">
        <v>6307</v>
      </c>
      <c r="G2308">
        <f t="shared" si="36"/>
        <v>10035690</v>
      </c>
    </row>
    <row r="2309" spans="1:7" x14ac:dyDescent="0.25">
      <c r="A2309">
        <v>10036893</v>
      </c>
      <c r="B2309" t="s">
        <v>25410</v>
      </c>
      <c r="C2309">
        <v>122</v>
      </c>
      <c r="D2309">
        <v>5</v>
      </c>
      <c r="E2309">
        <v>30897</v>
      </c>
      <c r="F2309">
        <v>226</v>
      </c>
      <c r="G2309">
        <f t="shared" si="36"/>
        <v>10036893</v>
      </c>
    </row>
    <row r="2310" spans="1:7" x14ac:dyDescent="0.25">
      <c r="A2310">
        <v>10038000</v>
      </c>
      <c r="B2310" t="s">
        <v>25411</v>
      </c>
      <c r="C2310">
        <v>1622</v>
      </c>
      <c r="D2310">
        <v>1</v>
      </c>
      <c r="E2310">
        <v>1618</v>
      </c>
      <c r="F2310">
        <v>3538</v>
      </c>
      <c r="G2310">
        <f t="shared" si="36"/>
        <v>10038000</v>
      </c>
    </row>
    <row r="2311" spans="1:7" x14ac:dyDescent="0.25">
      <c r="A2311">
        <v>10038536</v>
      </c>
      <c r="B2311" t="s">
        <v>25412</v>
      </c>
      <c r="C2311">
        <v>106</v>
      </c>
      <c r="D2311">
        <v>1</v>
      </c>
      <c r="E2311">
        <v>5879</v>
      </c>
      <c r="F2311">
        <v>2307</v>
      </c>
      <c r="G2311">
        <f t="shared" si="36"/>
        <v>10038536</v>
      </c>
    </row>
    <row r="2312" spans="1:7" x14ac:dyDescent="0.25">
      <c r="A2312">
        <v>10040524</v>
      </c>
      <c r="B2312" t="s">
        <v>25413</v>
      </c>
      <c r="C2312">
        <v>0</v>
      </c>
      <c r="D2312">
        <v>1</v>
      </c>
      <c r="E2312">
        <v>168</v>
      </c>
      <c r="F2312">
        <v>5625</v>
      </c>
      <c r="G2312">
        <f t="shared" si="36"/>
        <v>10040524</v>
      </c>
    </row>
    <row r="2313" spans="1:7" x14ac:dyDescent="0.25">
      <c r="A2313">
        <v>10041887</v>
      </c>
      <c r="B2313" t="s">
        <v>25414</v>
      </c>
      <c r="C2313">
        <v>205</v>
      </c>
      <c r="D2313">
        <v>1</v>
      </c>
      <c r="E2313">
        <v>2309</v>
      </c>
      <c r="F2313">
        <v>3208</v>
      </c>
      <c r="G2313">
        <f t="shared" si="36"/>
        <v>10041887</v>
      </c>
    </row>
    <row r="2314" spans="1:7" x14ac:dyDescent="0.25">
      <c r="A2314">
        <v>10042452</v>
      </c>
      <c r="B2314" t="s">
        <v>25415</v>
      </c>
      <c r="C2314">
        <v>1689</v>
      </c>
      <c r="D2314">
        <v>1</v>
      </c>
      <c r="E2314">
        <v>2875</v>
      </c>
      <c r="F2314">
        <v>3034</v>
      </c>
      <c r="G2314">
        <f t="shared" si="36"/>
        <v>10042452</v>
      </c>
    </row>
    <row r="2315" spans="1:7" x14ac:dyDescent="0.25">
      <c r="A2315">
        <v>10043883</v>
      </c>
      <c r="B2315" t="s">
        <v>25416</v>
      </c>
      <c r="C2315">
        <v>25</v>
      </c>
      <c r="D2315">
        <v>3</v>
      </c>
      <c r="E2315">
        <v>11446</v>
      </c>
      <c r="F2315">
        <v>1358</v>
      </c>
      <c r="G2315">
        <f t="shared" si="36"/>
        <v>10043883</v>
      </c>
    </row>
    <row r="2316" spans="1:7" x14ac:dyDescent="0.25">
      <c r="A2316">
        <v>10044025</v>
      </c>
      <c r="B2316" t="s">
        <v>25417</v>
      </c>
      <c r="C2316">
        <v>1503</v>
      </c>
      <c r="D2316">
        <v>1</v>
      </c>
      <c r="E2316">
        <v>4731</v>
      </c>
      <c r="F2316">
        <v>2569</v>
      </c>
      <c r="G2316">
        <f t="shared" si="36"/>
        <v>10044025</v>
      </c>
    </row>
    <row r="2317" spans="1:7" x14ac:dyDescent="0.25">
      <c r="A2317">
        <v>10044977</v>
      </c>
      <c r="B2317" t="s">
        <v>36301</v>
      </c>
      <c r="C2317">
        <v>1602</v>
      </c>
      <c r="D2317">
        <v>1</v>
      </c>
      <c r="E2317">
        <v>1528</v>
      </c>
      <c r="F2317">
        <v>3578</v>
      </c>
      <c r="G2317">
        <f t="shared" si="36"/>
        <v>10044977</v>
      </c>
    </row>
    <row r="2318" spans="1:7" x14ac:dyDescent="0.25">
      <c r="A2318">
        <v>10045116</v>
      </c>
      <c r="B2318" t="s">
        <v>25418</v>
      </c>
      <c r="C2318">
        <v>259</v>
      </c>
      <c r="D2318">
        <v>1</v>
      </c>
      <c r="E2318">
        <v>8034</v>
      </c>
      <c r="F2318">
        <v>1871</v>
      </c>
      <c r="G2318">
        <f t="shared" si="36"/>
        <v>10045116</v>
      </c>
    </row>
    <row r="2319" spans="1:7" x14ac:dyDescent="0.25">
      <c r="A2319">
        <v>10046655</v>
      </c>
      <c r="B2319" t="s">
        <v>25419</v>
      </c>
      <c r="C2319">
        <v>0</v>
      </c>
      <c r="D2319">
        <v>2</v>
      </c>
      <c r="E2319">
        <v>7552</v>
      </c>
      <c r="F2319">
        <v>1972</v>
      </c>
      <c r="G2319">
        <f t="shared" si="36"/>
        <v>10046655</v>
      </c>
    </row>
    <row r="2320" spans="1:7" x14ac:dyDescent="0.25">
      <c r="A2320">
        <v>10047033</v>
      </c>
      <c r="B2320" t="s">
        <v>25420</v>
      </c>
      <c r="C2320">
        <v>1143</v>
      </c>
      <c r="D2320">
        <v>1</v>
      </c>
      <c r="E2320">
        <v>2220</v>
      </c>
      <c r="F2320">
        <v>3240</v>
      </c>
      <c r="G2320">
        <f t="shared" si="36"/>
        <v>10047033</v>
      </c>
    </row>
    <row r="2321" spans="1:7" x14ac:dyDescent="0.25">
      <c r="A2321">
        <v>10047604</v>
      </c>
      <c r="B2321" t="s">
        <v>25421</v>
      </c>
      <c r="C2321">
        <v>1836</v>
      </c>
      <c r="D2321">
        <v>3</v>
      </c>
      <c r="E2321">
        <v>11119</v>
      </c>
      <c r="F2321">
        <v>1396</v>
      </c>
      <c r="G2321">
        <f t="shared" si="36"/>
        <v>10047604</v>
      </c>
    </row>
    <row r="2322" spans="1:7" x14ac:dyDescent="0.25">
      <c r="A2322">
        <v>10048578</v>
      </c>
      <c r="B2322" t="s">
        <v>25422</v>
      </c>
      <c r="C2322">
        <v>443</v>
      </c>
      <c r="D2322">
        <v>1</v>
      </c>
      <c r="E2322">
        <v>366</v>
      </c>
      <c r="F2322">
        <v>4962</v>
      </c>
      <c r="G2322">
        <f t="shared" si="36"/>
        <v>10048578</v>
      </c>
    </row>
    <row r="2323" spans="1:7" x14ac:dyDescent="0.25">
      <c r="A2323">
        <v>10050710</v>
      </c>
      <c r="B2323" t="s">
        <v>25423</v>
      </c>
      <c r="C2323">
        <v>0</v>
      </c>
      <c r="D2323">
        <v>1</v>
      </c>
      <c r="E2323">
        <v>890</v>
      </c>
      <c r="F2323">
        <v>4101</v>
      </c>
      <c r="G2323">
        <f t="shared" si="36"/>
        <v>10050710</v>
      </c>
    </row>
    <row r="2324" spans="1:7" x14ac:dyDescent="0.25">
      <c r="A2324">
        <v>10051869</v>
      </c>
      <c r="B2324" t="s">
        <v>36302</v>
      </c>
      <c r="C2324">
        <v>1643</v>
      </c>
      <c r="D2324">
        <v>1</v>
      </c>
      <c r="E2324">
        <v>785</v>
      </c>
      <c r="F2324">
        <v>4222</v>
      </c>
      <c r="G2324">
        <f t="shared" si="36"/>
        <v>10051869</v>
      </c>
    </row>
    <row r="2325" spans="1:7" x14ac:dyDescent="0.25">
      <c r="A2325">
        <v>10052162</v>
      </c>
      <c r="B2325" t="s">
        <v>25424</v>
      </c>
      <c r="C2325">
        <v>0</v>
      </c>
      <c r="D2325">
        <v>1</v>
      </c>
      <c r="E2325">
        <v>135</v>
      </c>
      <c r="F2325">
        <v>5750</v>
      </c>
      <c r="G2325">
        <f t="shared" si="36"/>
        <v>10052162</v>
      </c>
    </row>
    <row r="2326" spans="1:7" x14ac:dyDescent="0.25">
      <c r="A2326">
        <v>10053939</v>
      </c>
      <c r="B2326" t="s">
        <v>36303</v>
      </c>
      <c r="C2326">
        <v>27</v>
      </c>
      <c r="D2326">
        <v>2</v>
      </c>
      <c r="E2326">
        <v>6738</v>
      </c>
      <c r="F2326">
        <v>2113</v>
      </c>
      <c r="G2326">
        <f t="shared" si="36"/>
        <v>10053939</v>
      </c>
    </row>
    <row r="2327" spans="1:7" x14ac:dyDescent="0.25">
      <c r="A2327">
        <v>10054101</v>
      </c>
      <c r="B2327" t="s">
        <v>25425</v>
      </c>
      <c r="C2327">
        <v>15</v>
      </c>
      <c r="D2327">
        <v>1</v>
      </c>
      <c r="E2327">
        <v>203</v>
      </c>
      <c r="F2327">
        <v>5509</v>
      </c>
      <c r="G2327">
        <f t="shared" si="36"/>
        <v>10054101</v>
      </c>
    </row>
    <row r="2328" spans="1:7" x14ac:dyDescent="0.25">
      <c r="A2328">
        <v>10055369</v>
      </c>
      <c r="B2328" t="s">
        <v>25426</v>
      </c>
      <c r="C2328">
        <v>1</v>
      </c>
      <c r="D2328">
        <v>1</v>
      </c>
      <c r="E2328">
        <v>7061</v>
      </c>
      <c r="F2328">
        <v>2054</v>
      </c>
      <c r="G2328">
        <f t="shared" si="36"/>
        <v>10055369</v>
      </c>
    </row>
    <row r="2329" spans="1:7" x14ac:dyDescent="0.25">
      <c r="A2329">
        <v>10057670</v>
      </c>
      <c r="B2329" t="s">
        <v>25427</v>
      </c>
      <c r="C2329">
        <v>0</v>
      </c>
      <c r="D2329">
        <v>1</v>
      </c>
      <c r="E2329">
        <v>26</v>
      </c>
      <c r="F2329">
        <v>6496</v>
      </c>
      <c r="G2329">
        <f t="shared" si="36"/>
        <v>10057670</v>
      </c>
    </row>
    <row r="2330" spans="1:7" x14ac:dyDescent="0.25">
      <c r="A2330">
        <v>10058709</v>
      </c>
      <c r="B2330" t="s">
        <v>25428</v>
      </c>
      <c r="C2330">
        <v>0</v>
      </c>
      <c r="D2330">
        <v>1</v>
      </c>
      <c r="E2330">
        <v>294</v>
      </c>
      <c r="F2330">
        <v>5139</v>
      </c>
      <c r="G2330">
        <f t="shared" si="36"/>
        <v>10058709</v>
      </c>
    </row>
    <row r="2331" spans="1:7" x14ac:dyDescent="0.25">
      <c r="A2331">
        <v>10059310</v>
      </c>
      <c r="B2331" t="s">
        <v>25429</v>
      </c>
      <c r="C2331">
        <v>0</v>
      </c>
      <c r="D2331">
        <v>1</v>
      </c>
      <c r="E2331">
        <v>492</v>
      </c>
      <c r="F2331">
        <v>4660</v>
      </c>
      <c r="G2331">
        <f t="shared" si="36"/>
        <v>10059310</v>
      </c>
    </row>
    <row r="2332" spans="1:7" x14ac:dyDescent="0.25">
      <c r="A2332">
        <v>10061551</v>
      </c>
      <c r="B2332" t="s">
        <v>25430</v>
      </c>
      <c r="C2332">
        <v>160</v>
      </c>
      <c r="D2332">
        <v>1</v>
      </c>
      <c r="E2332">
        <v>4222</v>
      </c>
      <c r="F2332">
        <v>2708</v>
      </c>
      <c r="G2332">
        <f t="shared" si="36"/>
        <v>10061551</v>
      </c>
    </row>
    <row r="2333" spans="1:7" x14ac:dyDescent="0.25">
      <c r="A2333">
        <v>10065076</v>
      </c>
      <c r="B2333" t="s">
        <v>36304</v>
      </c>
      <c r="C2333">
        <v>1858</v>
      </c>
      <c r="D2333">
        <v>1</v>
      </c>
      <c r="E2333">
        <v>393</v>
      </c>
      <c r="F2333">
        <v>4877</v>
      </c>
      <c r="G2333">
        <f t="shared" si="36"/>
        <v>10065076</v>
      </c>
    </row>
    <row r="2334" spans="1:7" x14ac:dyDescent="0.25">
      <c r="A2334">
        <v>10065114</v>
      </c>
      <c r="B2334" t="s">
        <v>25431</v>
      </c>
      <c r="C2334">
        <v>1817</v>
      </c>
      <c r="D2334">
        <v>1</v>
      </c>
      <c r="E2334">
        <v>26</v>
      </c>
      <c r="F2334">
        <v>6497</v>
      </c>
      <c r="G2334">
        <f t="shared" si="36"/>
        <v>10065114</v>
      </c>
    </row>
    <row r="2335" spans="1:7" x14ac:dyDescent="0.25">
      <c r="A2335">
        <v>10067662</v>
      </c>
      <c r="B2335" t="s">
        <v>25432</v>
      </c>
      <c r="C2335">
        <v>412</v>
      </c>
      <c r="D2335">
        <v>3</v>
      </c>
      <c r="E2335">
        <v>14382</v>
      </c>
      <c r="F2335">
        <v>1045</v>
      </c>
      <c r="G2335">
        <f t="shared" si="36"/>
        <v>10067662</v>
      </c>
    </row>
    <row r="2336" spans="1:7" x14ac:dyDescent="0.25">
      <c r="A2336">
        <v>10067787</v>
      </c>
      <c r="B2336" t="s">
        <v>25433</v>
      </c>
      <c r="C2336">
        <v>0</v>
      </c>
      <c r="D2336">
        <v>1</v>
      </c>
      <c r="E2336">
        <v>98</v>
      </c>
      <c r="F2336">
        <v>5857</v>
      </c>
      <c r="G2336">
        <f t="shared" si="36"/>
        <v>10067787</v>
      </c>
    </row>
    <row r="2337" spans="1:7" x14ac:dyDescent="0.25">
      <c r="A2337">
        <v>10068183</v>
      </c>
      <c r="B2337" t="s">
        <v>25434</v>
      </c>
      <c r="C2337">
        <v>0</v>
      </c>
      <c r="D2337">
        <v>1</v>
      </c>
      <c r="E2337">
        <v>57</v>
      </c>
      <c r="F2337">
        <v>6116</v>
      </c>
      <c r="G2337">
        <f t="shared" si="36"/>
        <v>10068183</v>
      </c>
    </row>
    <row r="2338" spans="1:7" x14ac:dyDescent="0.25">
      <c r="A2338">
        <v>10068867</v>
      </c>
      <c r="B2338" t="s">
        <v>25435</v>
      </c>
      <c r="C2338">
        <v>0</v>
      </c>
      <c r="D2338">
        <v>0</v>
      </c>
      <c r="E2338">
        <v>0</v>
      </c>
      <c r="F2338">
        <v>7330</v>
      </c>
      <c r="G2338">
        <f t="shared" si="36"/>
        <v>10068867</v>
      </c>
    </row>
    <row r="2339" spans="1:7" x14ac:dyDescent="0.25">
      <c r="A2339">
        <v>10071539</v>
      </c>
      <c r="B2339" t="s">
        <v>25436</v>
      </c>
      <c r="C2339">
        <v>0</v>
      </c>
      <c r="D2339">
        <v>1</v>
      </c>
      <c r="E2339">
        <v>1804</v>
      </c>
      <c r="F2339">
        <v>3444</v>
      </c>
      <c r="G2339">
        <f t="shared" si="36"/>
        <v>10071539</v>
      </c>
    </row>
    <row r="2340" spans="1:7" x14ac:dyDescent="0.25">
      <c r="A2340">
        <v>10072769</v>
      </c>
      <c r="B2340" t="s">
        <v>25437</v>
      </c>
      <c r="C2340">
        <v>0</v>
      </c>
      <c r="D2340">
        <v>1</v>
      </c>
      <c r="E2340">
        <v>131</v>
      </c>
      <c r="F2340">
        <v>5761</v>
      </c>
      <c r="G2340">
        <f t="shared" si="36"/>
        <v>10072769</v>
      </c>
    </row>
    <row r="2341" spans="1:7" x14ac:dyDescent="0.25">
      <c r="A2341">
        <v>10073152</v>
      </c>
      <c r="B2341" t="s">
        <v>25438</v>
      </c>
      <c r="C2341">
        <v>0</v>
      </c>
      <c r="D2341">
        <v>1</v>
      </c>
      <c r="E2341">
        <v>659</v>
      </c>
      <c r="F2341">
        <v>4401</v>
      </c>
      <c r="G2341">
        <f t="shared" si="36"/>
        <v>10073152</v>
      </c>
    </row>
    <row r="2342" spans="1:7" x14ac:dyDescent="0.25">
      <c r="A2342">
        <v>10073310</v>
      </c>
      <c r="B2342" t="s">
        <v>25439</v>
      </c>
      <c r="C2342">
        <v>0</v>
      </c>
      <c r="D2342">
        <v>1</v>
      </c>
      <c r="E2342">
        <v>279</v>
      </c>
      <c r="F2342">
        <v>5186</v>
      </c>
      <c r="G2342">
        <f t="shared" si="36"/>
        <v>10073310</v>
      </c>
    </row>
    <row r="2343" spans="1:7" x14ac:dyDescent="0.25">
      <c r="A2343">
        <v>10074124</v>
      </c>
      <c r="B2343" t="s">
        <v>25440</v>
      </c>
      <c r="C2343">
        <v>196</v>
      </c>
      <c r="D2343">
        <v>3</v>
      </c>
      <c r="E2343">
        <v>13074</v>
      </c>
      <c r="F2343">
        <v>1169</v>
      </c>
      <c r="G2343">
        <f t="shared" si="36"/>
        <v>10074124</v>
      </c>
    </row>
    <row r="2344" spans="1:7" x14ac:dyDescent="0.25">
      <c r="A2344">
        <v>10074791</v>
      </c>
      <c r="B2344" t="s">
        <v>25441</v>
      </c>
      <c r="C2344">
        <v>680</v>
      </c>
      <c r="D2344">
        <v>2</v>
      </c>
      <c r="E2344">
        <v>9682</v>
      </c>
      <c r="F2344">
        <v>1633</v>
      </c>
      <c r="G2344">
        <f t="shared" si="36"/>
        <v>10074791</v>
      </c>
    </row>
    <row r="2345" spans="1:7" x14ac:dyDescent="0.25">
      <c r="A2345">
        <v>10075302</v>
      </c>
      <c r="B2345" t="s">
        <v>25442</v>
      </c>
      <c r="C2345">
        <v>1663</v>
      </c>
      <c r="D2345">
        <v>1</v>
      </c>
      <c r="E2345">
        <v>2570</v>
      </c>
      <c r="F2345">
        <v>3111</v>
      </c>
      <c r="G2345">
        <f t="shared" si="36"/>
        <v>10075302</v>
      </c>
    </row>
    <row r="2346" spans="1:7" x14ac:dyDescent="0.25">
      <c r="A2346">
        <v>10076115</v>
      </c>
      <c r="B2346" t="s">
        <v>25443</v>
      </c>
      <c r="C2346">
        <v>0</v>
      </c>
      <c r="D2346">
        <v>1</v>
      </c>
      <c r="E2346">
        <v>576</v>
      </c>
      <c r="F2346">
        <v>4500</v>
      </c>
      <c r="G2346">
        <f t="shared" si="36"/>
        <v>10076115</v>
      </c>
    </row>
    <row r="2347" spans="1:7" x14ac:dyDescent="0.25">
      <c r="A2347">
        <v>10076641</v>
      </c>
      <c r="B2347" t="s">
        <v>25444</v>
      </c>
      <c r="C2347">
        <v>130</v>
      </c>
      <c r="D2347">
        <v>0</v>
      </c>
      <c r="E2347">
        <v>0</v>
      </c>
      <c r="F2347">
        <v>7331</v>
      </c>
      <c r="G2347">
        <f t="shared" si="36"/>
        <v>10076641</v>
      </c>
    </row>
    <row r="2348" spans="1:7" x14ac:dyDescent="0.25">
      <c r="A2348">
        <v>10077002</v>
      </c>
      <c r="B2348" t="s">
        <v>25445</v>
      </c>
      <c r="C2348">
        <v>259</v>
      </c>
      <c r="D2348">
        <v>5</v>
      </c>
      <c r="E2348">
        <v>24074</v>
      </c>
      <c r="F2348">
        <v>439</v>
      </c>
      <c r="G2348">
        <f t="shared" si="36"/>
        <v>10077002</v>
      </c>
    </row>
    <row r="2349" spans="1:7" x14ac:dyDescent="0.25">
      <c r="A2349">
        <v>10077190</v>
      </c>
      <c r="B2349" t="s">
        <v>36305</v>
      </c>
      <c r="C2349">
        <v>174</v>
      </c>
      <c r="D2349">
        <v>2</v>
      </c>
      <c r="E2349">
        <v>8211</v>
      </c>
      <c r="F2349">
        <v>1844</v>
      </c>
      <c r="G2349">
        <f t="shared" si="36"/>
        <v>10077190</v>
      </c>
    </row>
    <row r="2350" spans="1:7" x14ac:dyDescent="0.25">
      <c r="A2350">
        <v>10079265</v>
      </c>
      <c r="B2350" t="s">
        <v>25446</v>
      </c>
      <c r="C2350">
        <v>0</v>
      </c>
      <c r="D2350">
        <v>1</v>
      </c>
      <c r="E2350">
        <v>104</v>
      </c>
      <c r="F2350">
        <v>5832</v>
      </c>
      <c r="G2350">
        <f t="shared" si="36"/>
        <v>10079265</v>
      </c>
    </row>
    <row r="2351" spans="1:7" x14ac:dyDescent="0.25">
      <c r="A2351">
        <v>10080317</v>
      </c>
      <c r="B2351" t="s">
        <v>25447</v>
      </c>
      <c r="C2351">
        <v>1743</v>
      </c>
      <c r="D2351">
        <v>1</v>
      </c>
      <c r="E2351">
        <v>1662</v>
      </c>
      <c r="F2351">
        <v>3514</v>
      </c>
      <c r="G2351">
        <f t="shared" si="36"/>
        <v>10080317</v>
      </c>
    </row>
    <row r="2352" spans="1:7" x14ac:dyDescent="0.25">
      <c r="A2352">
        <v>10080535</v>
      </c>
      <c r="B2352" t="s">
        <v>25448</v>
      </c>
      <c r="C2352">
        <v>367</v>
      </c>
      <c r="D2352">
        <v>3</v>
      </c>
      <c r="E2352">
        <v>7794</v>
      </c>
      <c r="F2352">
        <v>1934</v>
      </c>
      <c r="G2352">
        <f t="shared" si="36"/>
        <v>10080535</v>
      </c>
    </row>
    <row r="2353" spans="1:7" x14ac:dyDescent="0.25">
      <c r="A2353">
        <v>10080976</v>
      </c>
      <c r="B2353" t="s">
        <v>25449</v>
      </c>
      <c r="C2353">
        <v>537</v>
      </c>
      <c r="D2353">
        <v>6</v>
      </c>
      <c r="E2353">
        <v>33388</v>
      </c>
      <c r="F2353">
        <v>173</v>
      </c>
      <c r="G2353">
        <f t="shared" si="36"/>
        <v>10080976</v>
      </c>
    </row>
    <row r="2354" spans="1:7" x14ac:dyDescent="0.25">
      <c r="A2354">
        <v>10082771</v>
      </c>
      <c r="B2354" t="s">
        <v>25450</v>
      </c>
      <c r="C2354">
        <v>0</v>
      </c>
      <c r="D2354">
        <v>1</v>
      </c>
      <c r="E2354">
        <v>26</v>
      </c>
      <c r="F2354">
        <v>6498</v>
      </c>
      <c r="G2354">
        <f t="shared" si="36"/>
        <v>10082771</v>
      </c>
    </row>
    <row r="2355" spans="1:7" x14ac:dyDescent="0.25">
      <c r="A2355">
        <v>10084420</v>
      </c>
      <c r="B2355" t="s">
        <v>37276</v>
      </c>
      <c r="C2355">
        <v>175</v>
      </c>
      <c r="D2355">
        <v>4</v>
      </c>
      <c r="E2355">
        <v>24791</v>
      </c>
      <c r="F2355">
        <v>404</v>
      </c>
      <c r="G2355">
        <f t="shared" si="36"/>
        <v>10084420</v>
      </c>
    </row>
    <row r="2356" spans="1:7" x14ac:dyDescent="0.25">
      <c r="A2356">
        <v>10085205</v>
      </c>
      <c r="B2356" t="s">
        <v>36306</v>
      </c>
      <c r="C2356">
        <v>541</v>
      </c>
      <c r="D2356">
        <v>2</v>
      </c>
      <c r="E2356">
        <v>9780</v>
      </c>
      <c r="F2356">
        <v>1593</v>
      </c>
      <c r="G2356">
        <f t="shared" si="36"/>
        <v>10085205</v>
      </c>
    </row>
    <row r="2357" spans="1:7" x14ac:dyDescent="0.25">
      <c r="A2357">
        <v>10086232</v>
      </c>
      <c r="B2357" t="s">
        <v>25451</v>
      </c>
      <c r="C2357">
        <v>552</v>
      </c>
      <c r="D2357">
        <v>5</v>
      </c>
      <c r="E2357">
        <v>24483</v>
      </c>
      <c r="F2357">
        <v>416</v>
      </c>
      <c r="G2357">
        <f t="shared" si="36"/>
        <v>10086232</v>
      </c>
    </row>
    <row r="2358" spans="1:7" x14ac:dyDescent="0.25">
      <c r="A2358">
        <v>10087211</v>
      </c>
      <c r="B2358" t="s">
        <v>25452</v>
      </c>
      <c r="C2358">
        <v>1875</v>
      </c>
      <c r="D2358">
        <v>1</v>
      </c>
      <c r="E2358">
        <v>666</v>
      </c>
      <c r="F2358">
        <v>4389</v>
      </c>
      <c r="G2358">
        <f t="shared" si="36"/>
        <v>10087211</v>
      </c>
    </row>
    <row r="2359" spans="1:7" x14ac:dyDescent="0.25">
      <c r="A2359">
        <v>10087397</v>
      </c>
      <c r="B2359" t="s">
        <v>25453</v>
      </c>
      <c r="C2359">
        <v>1880</v>
      </c>
      <c r="D2359">
        <v>1</v>
      </c>
      <c r="E2359">
        <v>570</v>
      </c>
      <c r="F2359">
        <v>4518</v>
      </c>
      <c r="G2359">
        <f t="shared" si="36"/>
        <v>10087397</v>
      </c>
    </row>
    <row r="2360" spans="1:7" x14ac:dyDescent="0.25">
      <c r="A2360">
        <v>10087565</v>
      </c>
      <c r="B2360" t="s">
        <v>25454</v>
      </c>
      <c r="C2360">
        <v>1651</v>
      </c>
      <c r="D2360">
        <v>1</v>
      </c>
      <c r="E2360">
        <v>202</v>
      </c>
      <c r="F2360">
        <v>5487</v>
      </c>
      <c r="G2360">
        <f t="shared" si="36"/>
        <v>10087565</v>
      </c>
    </row>
    <row r="2361" spans="1:7" x14ac:dyDescent="0.25">
      <c r="A2361">
        <v>10088272</v>
      </c>
      <c r="B2361" t="s">
        <v>25455</v>
      </c>
      <c r="C2361">
        <v>138</v>
      </c>
      <c r="D2361">
        <v>4</v>
      </c>
      <c r="E2361">
        <v>18948</v>
      </c>
      <c r="F2361">
        <v>689</v>
      </c>
      <c r="G2361">
        <f t="shared" si="36"/>
        <v>10088272</v>
      </c>
    </row>
    <row r="2362" spans="1:7" x14ac:dyDescent="0.25">
      <c r="A2362">
        <v>10089720</v>
      </c>
      <c r="B2362" t="s">
        <v>25456</v>
      </c>
      <c r="C2362">
        <v>480</v>
      </c>
      <c r="D2362">
        <v>3</v>
      </c>
      <c r="E2362">
        <v>12251</v>
      </c>
      <c r="F2362">
        <v>1257</v>
      </c>
      <c r="G2362">
        <f t="shared" si="36"/>
        <v>10089720</v>
      </c>
    </row>
    <row r="2363" spans="1:7" x14ac:dyDescent="0.25">
      <c r="A2363">
        <v>10094389</v>
      </c>
      <c r="B2363" t="s">
        <v>25457</v>
      </c>
      <c r="C2363">
        <v>0</v>
      </c>
      <c r="D2363">
        <v>1</v>
      </c>
      <c r="E2363">
        <v>113</v>
      </c>
      <c r="F2363">
        <v>5804</v>
      </c>
      <c r="G2363">
        <f t="shared" si="36"/>
        <v>10094389</v>
      </c>
    </row>
    <row r="2364" spans="1:7" x14ac:dyDescent="0.25">
      <c r="A2364">
        <v>10095044</v>
      </c>
      <c r="B2364" t="s">
        <v>25458</v>
      </c>
      <c r="C2364">
        <v>467</v>
      </c>
      <c r="D2364">
        <v>2</v>
      </c>
      <c r="E2364">
        <v>7939</v>
      </c>
      <c r="F2364">
        <v>1893</v>
      </c>
      <c r="G2364">
        <f t="shared" si="36"/>
        <v>10095044</v>
      </c>
    </row>
    <row r="2365" spans="1:7" x14ac:dyDescent="0.25">
      <c r="A2365">
        <v>10097263</v>
      </c>
      <c r="B2365" t="s">
        <v>25459</v>
      </c>
      <c r="C2365">
        <v>67</v>
      </c>
      <c r="D2365">
        <v>3</v>
      </c>
      <c r="E2365">
        <v>12440</v>
      </c>
      <c r="F2365">
        <v>1236</v>
      </c>
      <c r="G2365">
        <f t="shared" si="36"/>
        <v>10097263</v>
      </c>
    </row>
    <row r="2366" spans="1:7" x14ac:dyDescent="0.25">
      <c r="A2366">
        <v>10098622</v>
      </c>
      <c r="B2366" t="s">
        <v>37277</v>
      </c>
      <c r="C2366">
        <v>115</v>
      </c>
      <c r="D2366">
        <v>3</v>
      </c>
      <c r="E2366">
        <v>9460</v>
      </c>
      <c r="F2366">
        <v>1658</v>
      </c>
      <c r="G2366">
        <f t="shared" si="36"/>
        <v>10098622</v>
      </c>
    </row>
    <row r="2367" spans="1:7" x14ac:dyDescent="0.25">
      <c r="A2367">
        <v>10099438</v>
      </c>
      <c r="B2367" t="s">
        <v>25460</v>
      </c>
      <c r="C2367">
        <v>0</v>
      </c>
      <c r="D2367">
        <v>1</v>
      </c>
      <c r="E2367">
        <v>891</v>
      </c>
      <c r="F2367">
        <v>4098</v>
      </c>
      <c r="G2367">
        <f t="shared" si="36"/>
        <v>10099438</v>
      </c>
    </row>
    <row r="2368" spans="1:7" x14ac:dyDescent="0.25">
      <c r="A2368">
        <v>10099646</v>
      </c>
      <c r="B2368" t="s">
        <v>25461</v>
      </c>
      <c r="C2368">
        <v>1340</v>
      </c>
      <c r="D2368">
        <v>1</v>
      </c>
      <c r="E2368">
        <v>3620</v>
      </c>
      <c r="F2368">
        <v>2844</v>
      </c>
      <c r="G2368">
        <f t="shared" si="36"/>
        <v>10099646</v>
      </c>
    </row>
    <row r="2369" spans="1:7" x14ac:dyDescent="0.25">
      <c r="A2369">
        <v>10100693</v>
      </c>
      <c r="B2369" t="s">
        <v>25462</v>
      </c>
      <c r="C2369">
        <v>1695</v>
      </c>
      <c r="D2369">
        <v>1</v>
      </c>
      <c r="E2369">
        <v>2156</v>
      </c>
      <c r="F2369">
        <v>3269</v>
      </c>
      <c r="G2369">
        <f t="shared" ref="G2369:G2432" si="37">A2369</f>
        <v>10100693</v>
      </c>
    </row>
    <row r="2370" spans="1:7" x14ac:dyDescent="0.25">
      <c r="A2370">
        <v>10101782</v>
      </c>
      <c r="B2370" t="s">
        <v>25463</v>
      </c>
      <c r="C2370">
        <v>0</v>
      </c>
      <c r="D2370">
        <v>1</v>
      </c>
      <c r="E2370">
        <v>26</v>
      </c>
      <c r="F2370">
        <v>6499</v>
      </c>
      <c r="G2370">
        <f t="shared" si="37"/>
        <v>10101782</v>
      </c>
    </row>
    <row r="2371" spans="1:7" x14ac:dyDescent="0.25">
      <c r="A2371">
        <v>10104309</v>
      </c>
      <c r="B2371" t="s">
        <v>25464</v>
      </c>
      <c r="C2371">
        <v>431</v>
      </c>
      <c r="D2371">
        <v>1</v>
      </c>
      <c r="E2371">
        <v>5752</v>
      </c>
      <c r="F2371">
        <v>2340</v>
      </c>
      <c r="G2371">
        <f t="shared" si="37"/>
        <v>10104309</v>
      </c>
    </row>
    <row r="2372" spans="1:7" x14ac:dyDescent="0.25">
      <c r="A2372">
        <v>10105414</v>
      </c>
      <c r="B2372" t="s">
        <v>25465</v>
      </c>
      <c r="C2372">
        <v>882</v>
      </c>
      <c r="D2372">
        <v>2</v>
      </c>
      <c r="E2372">
        <v>5103</v>
      </c>
      <c r="F2372">
        <v>2489</v>
      </c>
      <c r="G2372">
        <f t="shared" si="37"/>
        <v>10105414</v>
      </c>
    </row>
    <row r="2373" spans="1:7" x14ac:dyDescent="0.25">
      <c r="A2373">
        <v>10107415</v>
      </c>
      <c r="B2373" t="s">
        <v>25466</v>
      </c>
      <c r="C2373">
        <v>53</v>
      </c>
      <c r="D2373">
        <v>2</v>
      </c>
      <c r="E2373">
        <v>9502</v>
      </c>
      <c r="F2373">
        <v>1671</v>
      </c>
      <c r="G2373">
        <f t="shared" si="37"/>
        <v>10107415</v>
      </c>
    </row>
    <row r="2374" spans="1:7" x14ac:dyDescent="0.25">
      <c r="A2374">
        <v>10108912</v>
      </c>
      <c r="B2374" t="s">
        <v>25467</v>
      </c>
      <c r="C2374">
        <v>54</v>
      </c>
      <c r="D2374">
        <v>1</v>
      </c>
      <c r="E2374">
        <v>5168</v>
      </c>
      <c r="F2374">
        <v>2477</v>
      </c>
      <c r="G2374">
        <f t="shared" si="37"/>
        <v>10108912</v>
      </c>
    </row>
    <row r="2375" spans="1:7" x14ac:dyDescent="0.25">
      <c r="A2375">
        <v>10109027</v>
      </c>
      <c r="B2375" t="s">
        <v>25468</v>
      </c>
      <c r="C2375">
        <v>23</v>
      </c>
      <c r="D2375">
        <v>3</v>
      </c>
      <c r="E2375">
        <v>14659</v>
      </c>
      <c r="F2375">
        <v>1013</v>
      </c>
      <c r="G2375">
        <f t="shared" si="37"/>
        <v>10109027</v>
      </c>
    </row>
    <row r="2376" spans="1:7" x14ac:dyDescent="0.25">
      <c r="A2376">
        <v>10111939</v>
      </c>
      <c r="B2376" t="s">
        <v>25469</v>
      </c>
      <c r="C2376">
        <v>0</v>
      </c>
      <c r="D2376">
        <v>0</v>
      </c>
      <c r="E2376">
        <v>0</v>
      </c>
      <c r="F2376">
        <v>7332</v>
      </c>
      <c r="G2376">
        <f t="shared" si="37"/>
        <v>10111939</v>
      </c>
    </row>
    <row r="2377" spans="1:7" x14ac:dyDescent="0.25">
      <c r="A2377">
        <v>10112850</v>
      </c>
      <c r="B2377" t="s">
        <v>25470</v>
      </c>
      <c r="C2377">
        <v>0</v>
      </c>
      <c r="D2377">
        <v>1</v>
      </c>
      <c r="E2377">
        <v>26</v>
      </c>
      <c r="F2377">
        <v>6500</v>
      </c>
      <c r="G2377">
        <f t="shared" si="37"/>
        <v>10112850</v>
      </c>
    </row>
    <row r="2378" spans="1:7" x14ac:dyDescent="0.25">
      <c r="A2378">
        <v>10114831</v>
      </c>
      <c r="B2378" t="s">
        <v>36307</v>
      </c>
      <c r="C2378">
        <v>0</v>
      </c>
      <c r="D2378">
        <v>1</v>
      </c>
      <c r="E2378">
        <v>26</v>
      </c>
      <c r="F2378">
        <v>6501</v>
      </c>
      <c r="G2378">
        <f t="shared" si="37"/>
        <v>10114831</v>
      </c>
    </row>
    <row r="2379" spans="1:7" x14ac:dyDescent="0.25">
      <c r="A2379">
        <v>10115858</v>
      </c>
      <c r="B2379" t="s">
        <v>25471</v>
      </c>
      <c r="C2379">
        <v>235</v>
      </c>
      <c r="D2379">
        <v>1</v>
      </c>
      <c r="E2379">
        <v>3406</v>
      </c>
      <c r="F2379">
        <v>2900</v>
      </c>
      <c r="G2379">
        <f t="shared" si="37"/>
        <v>10115858</v>
      </c>
    </row>
    <row r="2380" spans="1:7" x14ac:dyDescent="0.25">
      <c r="A2380">
        <v>10115932</v>
      </c>
      <c r="B2380" t="s">
        <v>25472</v>
      </c>
      <c r="C2380">
        <v>1983</v>
      </c>
      <c r="D2380">
        <v>1</v>
      </c>
      <c r="E2380">
        <v>4434</v>
      </c>
      <c r="F2380">
        <v>2641</v>
      </c>
      <c r="G2380">
        <f t="shared" si="37"/>
        <v>10115932</v>
      </c>
    </row>
    <row r="2381" spans="1:7" x14ac:dyDescent="0.25">
      <c r="A2381">
        <v>10121747</v>
      </c>
      <c r="B2381" t="s">
        <v>37278</v>
      </c>
      <c r="C2381">
        <v>0</v>
      </c>
      <c r="D2381">
        <v>1</v>
      </c>
      <c r="E2381">
        <v>5850</v>
      </c>
      <c r="F2381">
        <v>2313</v>
      </c>
      <c r="G2381">
        <f t="shared" si="37"/>
        <v>10121747</v>
      </c>
    </row>
    <row r="2382" spans="1:7" x14ac:dyDescent="0.25">
      <c r="A2382">
        <v>10122584</v>
      </c>
      <c r="B2382" t="s">
        <v>25473</v>
      </c>
      <c r="C2382">
        <v>0</v>
      </c>
      <c r="D2382">
        <v>1</v>
      </c>
      <c r="E2382">
        <v>97</v>
      </c>
      <c r="F2382">
        <v>5863</v>
      </c>
      <c r="G2382">
        <f t="shared" si="37"/>
        <v>10122584</v>
      </c>
    </row>
    <row r="2383" spans="1:7" x14ac:dyDescent="0.25">
      <c r="A2383">
        <v>10124051</v>
      </c>
      <c r="B2383" t="s">
        <v>25474</v>
      </c>
      <c r="C2383">
        <v>0</v>
      </c>
      <c r="D2383">
        <v>0</v>
      </c>
      <c r="E2383">
        <v>0</v>
      </c>
      <c r="F2383">
        <v>7333</v>
      </c>
      <c r="G2383">
        <f t="shared" si="37"/>
        <v>10124051</v>
      </c>
    </row>
    <row r="2384" spans="1:7" x14ac:dyDescent="0.25">
      <c r="A2384">
        <v>10124100</v>
      </c>
      <c r="B2384" t="s">
        <v>25475</v>
      </c>
      <c r="C2384">
        <v>122</v>
      </c>
      <c r="D2384">
        <v>5</v>
      </c>
      <c r="E2384">
        <v>26420</v>
      </c>
      <c r="F2384">
        <v>352</v>
      </c>
      <c r="G2384">
        <f t="shared" si="37"/>
        <v>10124100</v>
      </c>
    </row>
    <row r="2385" spans="1:7" x14ac:dyDescent="0.25">
      <c r="A2385">
        <v>10125062</v>
      </c>
      <c r="B2385" t="s">
        <v>25476</v>
      </c>
      <c r="C2385">
        <v>3</v>
      </c>
      <c r="D2385">
        <v>1</v>
      </c>
      <c r="E2385">
        <v>4566</v>
      </c>
      <c r="F2385">
        <v>2602</v>
      </c>
      <c r="G2385">
        <f t="shared" si="37"/>
        <v>10125062</v>
      </c>
    </row>
    <row r="2386" spans="1:7" x14ac:dyDescent="0.25">
      <c r="A2386">
        <v>10125255</v>
      </c>
      <c r="B2386" t="e">
        <f>-Pure</f>
        <v>#NAME?</v>
      </c>
      <c r="C2386">
        <v>3</v>
      </c>
      <c r="D2386">
        <v>3</v>
      </c>
      <c r="E2386">
        <v>14178</v>
      </c>
      <c r="F2386">
        <v>1071</v>
      </c>
      <c r="G2386">
        <f t="shared" si="37"/>
        <v>10125255</v>
      </c>
    </row>
    <row r="2387" spans="1:7" x14ac:dyDescent="0.25">
      <c r="A2387">
        <v>10125329</v>
      </c>
      <c r="B2387" t="s">
        <v>25477</v>
      </c>
      <c r="C2387">
        <v>0</v>
      </c>
      <c r="D2387">
        <v>1</v>
      </c>
      <c r="E2387">
        <v>1160</v>
      </c>
      <c r="F2387">
        <v>3831</v>
      </c>
      <c r="G2387">
        <f t="shared" si="37"/>
        <v>10125329</v>
      </c>
    </row>
    <row r="2388" spans="1:7" x14ac:dyDescent="0.25">
      <c r="A2388">
        <v>10125938</v>
      </c>
      <c r="B2388" t="s">
        <v>25478</v>
      </c>
      <c r="C2388">
        <v>205</v>
      </c>
      <c r="D2388">
        <v>1</v>
      </c>
      <c r="E2388">
        <v>1364</v>
      </c>
      <c r="F2388">
        <v>3684</v>
      </c>
      <c r="G2388">
        <f t="shared" si="37"/>
        <v>10125938</v>
      </c>
    </row>
    <row r="2389" spans="1:7" x14ac:dyDescent="0.25">
      <c r="A2389">
        <v>10126331</v>
      </c>
      <c r="B2389" t="s">
        <v>25479</v>
      </c>
      <c r="C2389">
        <v>0</v>
      </c>
      <c r="D2389">
        <v>1</v>
      </c>
      <c r="E2389">
        <v>26</v>
      </c>
      <c r="F2389">
        <v>6502</v>
      </c>
      <c r="G2389">
        <f t="shared" si="37"/>
        <v>10126331</v>
      </c>
    </row>
    <row r="2390" spans="1:7" x14ac:dyDescent="0.25">
      <c r="A2390">
        <v>10127263</v>
      </c>
      <c r="B2390" t="s">
        <v>25480</v>
      </c>
      <c r="C2390">
        <v>0</v>
      </c>
      <c r="D2390">
        <v>1</v>
      </c>
      <c r="E2390">
        <v>26</v>
      </c>
      <c r="F2390">
        <v>6503</v>
      </c>
      <c r="G2390">
        <f t="shared" si="37"/>
        <v>10127263</v>
      </c>
    </row>
    <row r="2391" spans="1:7" x14ac:dyDescent="0.25">
      <c r="A2391">
        <v>10127721</v>
      </c>
      <c r="B2391" t="s">
        <v>25481</v>
      </c>
      <c r="C2391">
        <v>0</v>
      </c>
      <c r="D2391">
        <v>0</v>
      </c>
      <c r="E2391">
        <v>0</v>
      </c>
      <c r="F2391">
        <v>7334</v>
      </c>
      <c r="G2391">
        <f t="shared" si="37"/>
        <v>10127721</v>
      </c>
    </row>
    <row r="2392" spans="1:7" x14ac:dyDescent="0.25">
      <c r="A2392">
        <v>10128959</v>
      </c>
      <c r="B2392" t="s">
        <v>25482</v>
      </c>
      <c r="C2392">
        <v>0</v>
      </c>
      <c r="D2392">
        <v>0</v>
      </c>
      <c r="E2392">
        <v>0</v>
      </c>
      <c r="F2392">
        <v>7335</v>
      </c>
      <c r="G2392">
        <f t="shared" si="37"/>
        <v>10128959</v>
      </c>
    </row>
    <row r="2393" spans="1:7" x14ac:dyDescent="0.25">
      <c r="A2393">
        <v>10129010</v>
      </c>
      <c r="B2393" t="s">
        <v>36308</v>
      </c>
      <c r="C2393">
        <v>0</v>
      </c>
      <c r="D2393">
        <v>0</v>
      </c>
      <c r="E2393">
        <v>0</v>
      </c>
      <c r="F2393">
        <v>7336</v>
      </c>
      <c r="G2393">
        <f t="shared" si="37"/>
        <v>10129010</v>
      </c>
    </row>
    <row r="2394" spans="1:7" x14ac:dyDescent="0.25">
      <c r="A2394">
        <v>10134553</v>
      </c>
      <c r="B2394" t="s">
        <v>36309</v>
      </c>
      <c r="C2394">
        <v>0</v>
      </c>
      <c r="D2394">
        <v>1</v>
      </c>
      <c r="E2394">
        <v>86</v>
      </c>
      <c r="F2394">
        <v>5931</v>
      </c>
      <c r="G2394">
        <f t="shared" si="37"/>
        <v>10134553</v>
      </c>
    </row>
    <row r="2395" spans="1:7" x14ac:dyDescent="0.25">
      <c r="A2395">
        <v>10138043</v>
      </c>
      <c r="B2395" t="s">
        <v>37133</v>
      </c>
      <c r="C2395">
        <v>1602</v>
      </c>
      <c r="D2395">
        <v>1</v>
      </c>
      <c r="E2395">
        <v>1209</v>
      </c>
      <c r="F2395">
        <v>3802</v>
      </c>
      <c r="G2395">
        <f t="shared" si="37"/>
        <v>10138043</v>
      </c>
    </row>
    <row r="2396" spans="1:7" x14ac:dyDescent="0.25">
      <c r="A2396">
        <v>10139188</v>
      </c>
      <c r="B2396" t="s">
        <v>25483</v>
      </c>
      <c r="C2396">
        <v>215</v>
      </c>
      <c r="D2396">
        <v>0</v>
      </c>
      <c r="E2396">
        <v>0</v>
      </c>
      <c r="F2396">
        <v>7337</v>
      </c>
      <c r="G2396">
        <f t="shared" si="37"/>
        <v>10139188</v>
      </c>
    </row>
    <row r="2397" spans="1:7" x14ac:dyDescent="0.25">
      <c r="A2397">
        <v>10139402</v>
      </c>
      <c r="B2397" t="s">
        <v>25484</v>
      </c>
      <c r="C2397">
        <v>27</v>
      </c>
      <c r="D2397">
        <v>2</v>
      </c>
      <c r="E2397">
        <v>12961</v>
      </c>
      <c r="F2397">
        <v>1171</v>
      </c>
      <c r="G2397">
        <f t="shared" si="37"/>
        <v>10139402</v>
      </c>
    </row>
    <row r="2398" spans="1:7" x14ac:dyDescent="0.25">
      <c r="A2398">
        <v>10139615</v>
      </c>
      <c r="B2398" t="s">
        <v>25485</v>
      </c>
      <c r="C2398">
        <v>0</v>
      </c>
      <c r="D2398">
        <v>1</v>
      </c>
      <c r="E2398">
        <v>273</v>
      </c>
      <c r="F2398">
        <v>5210</v>
      </c>
      <c r="G2398">
        <f t="shared" si="37"/>
        <v>10139615</v>
      </c>
    </row>
    <row r="2399" spans="1:7" x14ac:dyDescent="0.25">
      <c r="A2399">
        <v>10140893</v>
      </c>
      <c r="B2399" t="s">
        <v>25486</v>
      </c>
      <c r="C2399">
        <v>1988</v>
      </c>
      <c r="D2399">
        <v>1</v>
      </c>
      <c r="E2399">
        <v>1352</v>
      </c>
      <c r="F2399">
        <v>3692</v>
      </c>
      <c r="G2399">
        <f t="shared" si="37"/>
        <v>10140893</v>
      </c>
    </row>
    <row r="2400" spans="1:7" x14ac:dyDescent="0.25">
      <c r="A2400">
        <v>10142258</v>
      </c>
      <c r="B2400" t="s">
        <v>25487</v>
      </c>
      <c r="C2400">
        <v>0</v>
      </c>
      <c r="D2400">
        <v>0</v>
      </c>
      <c r="E2400">
        <v>0</v>
      </c>
      <c r="F2400">
        <v>7338</v>
      </c>
      <c r="G2400">
        <f t="shared" si="37"/>
        <v>10142258</v>
      </c>
    </row>
    <row r="2401" spans="1:7" x14ac:dyDescent="0.25">
      <c r="A2401">
        <v>10145966</v>
      </c>
      <c r="B2401" t="s">
        <v>25488</v>
      </c>
      <c r="C2401">
        <v>0</v>
      </c>
      <c r="D2401">
        <v>0</v>
      </c>
      <c r="E2401">
        <v>0</v>
      </c>
      <c r="F2401">
        <v>7339</v>
      </c>
      <c r="G2401">
        <f t="shared" si="37"/>
        <v>10145966</v>
      </c>
    </row>
    <row r="2402" spans="1:7" x14ac:dyDescent="0.25">
      <c r="A2402">
        <v>10150018</v>
      </c>
      <c r="B2402" t="s">
        <v>25489</v>
      </c>
      <c r="C2402">
        <v>138</v>
      </c>
      <c r="D2402">
        <v>6</v>
      </c>
      <c r="E2402">
        <v>29132</v>
      </c>
      <c r="F2402">
        <v>264</v>
      </c>
      <c r="G2402">
        <f t="shared" si="37"/>
        <v>10150018</v>
      </c>
    </row>
    <row r="2403" spans="1:7" x14ac:dyDescent="0.25">
      <c r="A2403">
        <v>10150448</v>
      </c>
      <c r="B2403" t="s">
        <v>36310</v>
      </c>
      <c r="C2403">
        <v>0</v>
      </c>
      <c r="D2403">
        <v>1</v>
      </c>
      <c r="E2403">
        <v>996</v>
      </c>
      <c r="F2403">
        <v>3984</v>
      </c>
      <c r="G2403">
        <f t="shared" si="37"/>
        <v>10150448</v>
      </c>
    </row>
    <row r="2404" spans="1:7" x14ac:dyDescent="0.25">
      <c r="A2404">
        <v>10150608</v>
      </c>
      <c r="B2404" t="s">
        <v>37104</v>
      </c>
      <c r="C2404">
        <v>138</v>
      </c>
      <c r="D2404">
        <v>3</v>
      </c>
      <c r="E2404">
        <v>19405</v>
      </c>
      <c r="F2404">
        <v>658</v>
      </c>
      <c r="G2404">
        <f t="shared" si="37"/>
        <v>10150608</v>
      </c>
    </row>
    <row r="2405" spans="1:7" x14ac:dyDescent="0.25">
      <c r="A2405">
        <v>10151151</v>
      </c>
      <c r="B2405" t="s">
        <v>25490</v>
      </c>
      <c r="C2405">
        <v>1019</v>
      </c>
      <c r="D2405">
        <v>1</v>
      </c>
      <c r="E2405">
        <v>1638</v>
      </c>
      <c r="F2405">
        <v>3527</v>
      </c>
      <c r="G2405">
        <f t="shared" si="37"/>
        <v>10151151</v>
      </c>
    </row>
    <row r="2406" spans="1:7" x14ac:dyDescent="0.25">
      <c r="A2406">
        <v>10152048</v>
      </c>
      <c r="B2406" t="s">
        <v>37134</v>
      </c>
      <c r="C2406">
        <v>0</v>
      </c>
      <c r="D2406">
        <v>1</v>
      </c>
      <c r="E2406">
        <v>26</v>
      </c>
      <c r="F2406">
        <v>6504</v>
      </c>
      <c r="G2406">
        <f t="shared" si="37"/>
        <v>10152048</v>
      </c>
    </row>
    <row r="2407" spans="1:7" x14ac:dyDescent="0.25">
      <c r="A2407">
        <v>10152489</v>
      </c>
      <c r="B2407" t="s">
        <v>36311</v>
      </c>
      <c r="C2407">
        <v>138</v>
      </c>
      <c r="D2407">
        <v>2</v>
      </c>
      <c r="E2407">
        <v>9105</v>
      </c>
      <c r="F2407">
        <v>1704</v>
      </c>
      <c r="G2407">
        <f t="shared" si="37"/>
        <v>10152489</v>
      </c>
    </row>
    <row r="2408" spans="1:7" x14ac:dyDescent="0.25">
      <c r="A2408">
        <v>10152725</v>
      </c>
      <c r="B2408" t="s">
        <v>25491</v>
      </c>
      <c r="C2408">
        <v>94</v>
      </c>
      <c r="D2408">
        <v>2</v>
      </c>
      <c r="E2408">
        <v>6907</v>
      </c>
      <c r="F2408">
        <v>2085</v>
      </c>
      <c r="G2408">
        <f t="shared" si="37"/>
        <v>10152725</v>
      </c>
    </row>
    <row r="2409" spans="1:7" x14ac:dyDescent="0.25">
      <c r="A2409">
        <v>10153328</v>
      </c>
      <c r="B2409" t="s">
        <v>1050</v>
      </c>
      <c r="C2409">
        <v>196</v>
      </c>
      <c r="D2409">
        <v>8</v>
      </c>
      <c r="E2409">
        <v>39419</v>
      </c>
      <c r="F2409">
        <v>93</v>
      </c>
      <c r="G2409">
        <f t="shared" si="37"/>
        <v>10153328</v>
      </c>
    </row>
    <row r="2410" spans="1:7" x14ac:dyDescent="0.25">
      <c r="A2410">
        <v>10153854</v>
      </c>
      <c r="B2410" t="s">
        <v>25492</v>
      </c>
      <c r="C2410">
        <v>0</v>
      </c>
      <c r="D2410">
        <v>1</v>
      </c>
      <c r="E2410">
        <v>598</v>
      </c>
      <c r="F2410">
        <v>4470</v>
      </c>
      <c r="G2410">
        <f t="shared" si="37"/>
        <v>10153854</v>
      </c>
    </row>
    <row r="2411" spans="1:7" x14ac:dyDescent="0.25">
      <c r="A2411">
        <v>10154134</v>
      </c>
      <c r="B2411" t="s">
        <v>25493</v>
      </c>
      <c r="C2411">
        <v>1340</v>
      </c>
      <c r="D2411">
        <v>1</v>
      </c>
      <c r="E2411">
        <v>3460</v>
      </c>
      <c r="F2411">
        <v>2883</v>
      </c>
      <c r="G2411">
        <f t="shared" si="37"/>
        <v>10154134</v>
      </c>
    </row>
    <row r="2412" spans="1:7" x14ac:dyDescent="0.25">
      <c r="A2412">
        <v>10154415</v>
      </c>
      <c r="B2412" t="s">
        <v>25494</v>
      </c>
      <c r="C2412">
        <v>1163</v>
      </c>
      <c r="D2412">
        <v>1</v>
      </c>
      <c r="E2412">
        <v>420</v>
      </c>
      <c r="F2412">
        <v>4807</v>
      </c>
      <c r="G2412">
        <f t="shared" si="37"/>
        <v>10154415</v>
      </c>
    </row>
    <row r="2413" spans="1:7" x14ac:dyDescent="0.25">
      <c r="A2413">
        <v>10154907</v>
      </c>
      <c r="B2413" t="s">
        <v>25495</v>
      </c>
      <c r="C2413">
        <v>733</v>
      </c>
      <c r="D2413">
        <v>9</v>
      </c>
      <c r="E2413">
        <v>43705</v>
      </c>
      <c r="F2413">
        <v>72</v>
      </c>
      <c r="G2413">
        <f t="shared" si="37"/>
        <v>10154907</v>
      </c>
    </row>
    <row r="2414" spans="1:7" x14ac:dyDescent="0.25">
      <c r="A2414">
        <v>10157216</v>
      </c>
      <c r="B2414" t="s">
        <v>25496</v>
      </c>
      <c r="C2414">
        <v>0</v>
      </c>
      <c r="D2414">
        <v>0</v>
      </c>
      <c r="E2414">
        <v>0</v>
      </c>
      <c r="F2414">
        <v>7340</v>
      </c>
      <c r="G2414">
        <f t="shared" si="37"/>
        <v>10157216</v>
      </c>
    </row>
    <row r="2415" spans="1:7" x14ac:dyDescent="0.25">
      <c r="A2415">
        <v>10157742</v>
      </c>
      <c r="B2415" t="s">
        <v>25497</v>
      </c>
      <c r="C2415">
        <v>39</v>
      </c>
      <c r="D2415">
        <v>4</v>
      </c>
      <c r="E2415">
        <v>23745</v>
      </c>
      <c r="F2415">
        <v>444</v>
      </c>
      <c r="G2415">
        <f t="shared" si="37"/>
        <v>10157742</v>
      </c>
    </row>
    <row r="2416" spans="1:7" x14ac:dyDescent="0.25">
      <c r="A2416">
        <v>10158455</v>
      </c>
      <c r="B2416" t="s">
        <v>25498</v>
      </c>
      <c r="C2416">
        <v>196</v>
      </c>
      <c r="D2416">
        <v>4</v>
      </c>
      <c r="E2416">
        <v>16332</v>
      </c>
      <c r="F2416">
        <v>887</v>
      </c>
      <c r="G2416">
        <f t="shared" si="37"/>
        <v>10158455</v>
      </c>
    </row>
    <row r="2417" spans="1:7" x14ac:dyDescent="0.25">
      <c r="A2417">
        <v>10158971</v>
      </c>
      <c r="B2417" t="s">
        <v>25499</v>
      </c>
      <c r="C2417">
        <v>0</v>
      </c>
      <c r="D2417">
        <v>0</v>
      </c>
      <c r="E2417">
        <v>0</v>
      </c>
      <c r="F2417">
        <v>7341</v>
      </c>
      <c r="G2417">
        <f t="shared" si="37"/>
        <v>10158971</v>
      </c>
    </row>
    <row r="2418" spans="1:7" x14ac:dyDescent="0.25">
      <c r="A2418">
        <v>10159359</v>
      </c>
      <c r="B2418" t="s">
        <v>25500</v>
      </c>
      <c r="C2418">
        <v>1621</v>
      </c>
      <c r="D2418">
        <v>0</v>
      </c>
      <c r="E2418">
        <v>0</v>
      </c>
      <c r="F2418">
        <v>7342</v>
      </c>
      <c r="G2418">
        <f t="shared" si="37"/>
        <v>10159359</v>
      </c>
    </row>
    <row r="2419" spans="1:7" x14ac:dyDescent="0.25">
      <c r="A2419">
        <v>10159854</v>
      </c>
      <c r="B2419" t="s">
        <v>36312</v>
      </c>
      <c r="C2419">
        <v>0</v>
      </c>
      <c r="D2419">
        <v>1</v>
      </c>
      <c r="E2419">
        <v>156</v>
      </c>
      <c r="F2419">
        <v>5678</v>
      </c>
      <c r="G2419">
        <f t="shared" si="37"/>
        <v>10159854</v>
      </c>
    </row>
    <row r="2420" spans="1:7" x14ac:dyDescent="0.25">
      <c r="A2420">
        <v>10162467</v>
      </c>
      <c r="B2420" t="s">
        <v>25501</v>
      </c>
      <c r="C2420">
        <v>296</v>
      </c>
      <c r="D2420">
        <v>0</v>
      </c>
      <c r="E2420">
        <v>0</v>
      </c>
      <c r="F2420">
        <v>7343</v>
      </c>
      <c r="G2420">
        <f t="shared" si="37"/>
        <v>10162467</v>
      </c>
    </row>
    <row r="2421" spans="1:7" x14ac:dyDescent="0.25">
      <c r="A2421">
        <v>10163428</v>
      </c>
      <c r="B2421" t="s">
        <v>25502</v>
      </c>
      <c r="C2421">
        <v>0</v>
      </c>
      <c r="D2421">
        <v>1</v>
      </c>
      <c r="E2421">
        <v>26</v>
      </c>
      <c r="F2421">
        <v>6505</v>
      </c>
      <c r="G2421">
        <f t="shared" si="37"/>
        <v>10163428</v>
      </c>
    </row>
    <row r="2422" spans="1:7" x14ac:dyDescent="0.25">
      <c r="A2422">
        <v>10163862</v>
      </c>
      <c r="B2422" t="s">
        <v>36313</v>
      </c>
      <c r="C2422">
        <v>0</v>
      </c>
      <c r="D2422">
        <v>1</v>
      </c>
      <c r="E2422">
        <v>2022</v>
      </c>
      <c r="F2422">
        <v>3332</v>
      </c>
      <c r="G2422">
        <f t="shared" si="37"/>
        <v>10163862</v>
      </c>
    </row>
    <row r="2423" spans="1:7" x14ac:dyDescent="0.25">
      <c r="A2423">
        <v>10164835</v>
      </c>
      <c r="B2423" t="s">
        <v>25503</v>
      </c>
      <c r="C2423">
        <v>0</v>
      </c>
      <c r="D2423">
        <v>1</v>
      </c>
      <c r="E2423">
        <v>28</v>
      </c>
      <c r="F2423">
        <v>6327</v>
      </c>
      <c r="G2423">
        <f t="shared" si="37"/>
        <v>10164835</v>
      </c>
    </row>
    <row r="2424" spans="1:7" x14ac:dyDescent="0.25">
      <c r="A2424">
        <v>10165695</v>
      </c>
      <c r="B2424" t="s">
        <v>25504</v>
      </c>
      <c r="C2424">
        <v>882</v>
      </c>
      <c r="D2424">
        <v>1</v>
      </c>
      <c r="E2424">
        <v>3922</v>
      </c>
      <c r="F2424">
        <v>2781</v>
      </c>
      <c r="G2424">
        <f t="shared" si="37"/>
        <v>10165695</v>
      </c>
    </row>
    <row r="2425" spans="1:7" x14ac:dyDescent="0.25">
      <c r="A2425">
        <v>10166667</v>
      </c>
      <c r="B2425" t="s">
        <v>25505</v>
      </c>
      <c r="C2425">
        <v>578</v>
      </c>
      <c r="D2425">
        <v>6</v>
      </c>
      <c r="E2425">
        <v>27510</v>
      </c>
      <c r="F2425">
        <v>313</v>
      </c>
      <c r="G2425">
        <f t="shared" si="37"/>
        <v>10166667</v>
      </c>
    </row>
    <row r="2426" spans="1:7" x14ac:dyDescent="0.25">
      <c r="A2426">
        <v>10166726</v>
      </c>
      <c r="B2426" t="s">
        <v>25506</v>
      </c>
      <c r="C2426">
        <v>269</v>
      </c>
      <c r="D2426">
        <v>0</v>
      </c>
      <c r="E2426">
        <v>0</v>
      </c>
      <c r="F2426">
        <v>7344</v>
      </c>
      <c r="G2426">
        <f t="shared" si="37"/>
        <v>10166726</v>
      </c>
    </row>
    <row r="2427" spans="1:7" x14ac:dyDescent="0.25">
      <c r="A2427">
        <v>10167441</v>
      </c>
      <c r="B2427" t="s">
        <v>25507</v>
      </c>
      <c r="C2427">
        <v>1836</v>
      </c>
      <c r="D2427">
        <v>1</v>
      </c>
      <c r="E2427">
        <v>5375</v>
      </c>
      <c r="F2427">
        <v>2430</v>
      </c>
      <c r="G2427">
        <f t="shared" si="37"/>
        <v>10167441</v>
      </c>
    </row>
    <row r="2428" spans="1:7" x14ac:dyDescent="0.25">
      <c r="A2428">
        <v>10169866</v>
      </c>
      <c r="B2428" t="s">
        <v>36314</v>
      </c>
      <c r="C2428">
        <v>179</v>
      </c>
      <c r="D2428">
        <v>1</v>
      </c>
      <c r="E2428">
        <v>3559</v>
      </c>
      <c r="F2428">
        <v>2865</v>
      </c>
      <c r="G2428">
        <f t="shared" si="37"/>
        <v>10169866</v>
      </c>
    </row>
    <row r="2429" spans="1:7" x14ac:dyDescent="0.25">
      <c r="A2429">
        <v>10170264</v>
      </c>
      <c r="B2429" t="s">
        <v>25508</v>
      </c>
      <c r="C2429">
        <v>0</v>
      </c>
      <c r="D2429">
        <v>1</v>
      </c>
      <c r="E2429">
        <v>1500</v>
      </c>
      <c r="F2429">
        <v>3624</v>
      </c>
      <c r="G2429">
        <f t="shared" si="37"/>
        <v>10170264</v>
      </c>
    </row>
    <row r="2430" spans="1:7" x14ac:dyDescent="0.25">
      <c r="A2430">
        <v>10170920</v>
      </c>
      <c r="B2430" t="s">
        <v>25509</v>
      </c>
      <c r="C2430">
        <v>0</v>
      </c>
      <c r="D2430">
        <v>1</v>
      </c>
      <c r="E2430">
        <v>111</v>
      </c>
      <c r="F2430">
        <v>5809</v>
      </c>
      <c r="G2430">
        <f t="shared" si="37"/>
        <v>10170920</v>
      </c>
    </row>
    <row r="2431" spans="1:7" x14ac:dyDescent="0.25">
      <c r="A2431">
        <v>10172988</v>
      </c>
      <c r="B2431" t="s">
        <v>25510</v>
      </c>
      <c r="C2431">
        <v>1602</v>
      </c>
      <c r="D2431">
        <v>1</v>
      </c>
      <c r="E2431">
        <v>456</v>
      </c>
      <c r="F2431">
        <v>4732</v>
      </c>
      <c r="G2431">
        <f t="shared" si="37"/>
        <v>10172988</v>
      </c>
    </row>
    <row r="2432" spans="1:7" x14ac:dyDescent="0.25">
      <c r="A2432">
        <v>10173427</v>
      </c>
      <c r="B2432" t="s">
        <v>25511</v>
      </c>
      <c r="C2432">
        <v>215</v>
      </c>
      <c r="D2432">
        <v>1</v>
      </c>
      <c r="E2432">
        <v>4797</v>
      </c>
      <c r="F2432">
        <v>2556</v>
      </c>
      <c r="G2432">
        <f t="shared" si="37"/>
        <v>10173427</v>
      </c>
    </row>
    <row r="2433" spans="1:7" x14ac:dyDescent="0.25">
      <c r="A2433">
        <v>10174050</v>
      </c>
      <c r="B2433" t="s">
        <v>25512</v>
      </c>
      <c r="C2433">
        <v>467</v>
      </c>
      <c r="D2433">
        <v>3</v>
      </c>
      <c r="E2433">
        <v>13578</v>
      </c>
      <c r="F2433">
        <v>1121</v>
      </c>
      <c r="G2433">
        <f t="shared" ref="G2433:G2496" si="38">A2433</f>
        <v>10174050</v>
      </c>
    </row>
    <row r="2434" spans="1:7" x14ac:dyDescent="0.25">
      <c r="A2434">
        <v>10174328</v>
      </c>
      <c r="B2434" t="s">
        <v>25513</v>
      </c>
      <c r="C2434">
        <v>1687</v>
      </c>
      <c r="D2434">
        <v>1</v>
      </c>
      <c r="E2434">
        <v>261</v>
      </c>
      <c r="F2434">
        <v>5255</v>
      </c>
      <c r="G2434">
        <f t="shared" si="38"/>
        <v>10174328</v>
      </c>
    </row>
    <row r="2435" spans="1:7" x14ac:dyDescent="0.25">
      <c r="A2435">
        <v>10175302</v>
      </c>
      <c r="B2435" t="s">
        <v>25514</v>
      </c>
      <c r="C2435">
        <v>1695</v>
      </c>
      <c r="D2435">
        <v>1</v>
      </c>
      <c r="E2435">
        <v>2082</v>
      </c>
      <c r="F2435">
        <v>3299</v>
      </c>
      <c r="G2435">
        <f t="shared" si="38"/>
        <v>10175302</v>
      </c>
    </row>
    <row r="2436" spans="1:7" x14ac:dyDescent="0.25">
      <c r="A2436">
        <v>10175331</v>
      </c>
      <c r="B2436" t="s">
        <v>36315</v>
      </c>
      <c r="C2436">
        <v>1914</v>
      </c>
      <c r="D2436">
        <v>1</v>
      </c>
      <c r="E2436">
        <v>302</v>
      </c>
      <c r="F2436">
        <v>5115</v>
      </c>
      <c r="G2436">
        <f t="shared" si="38"/>
        <v>10175331</v>
      </c>
    </row>
    <row r="2437" spans="1:7" x14ac:dyDescent="0.25">
      <c r="A2437">
        <v>10175716</v>
      </c>
      <c r="B2437" t="s">
        <v>25515</v>
      </c>
      <c r="C2437">
        <v>0</v>
      </c>
      <c r="D2437">
        <v>1</v>
      </c>
      <c r="E2437">
        <v>257</v>
      </c>
      <c r="F2437">
        <v>5235</v>
      </c>
      <c r="G2437">
        <f t="shared" si="38"/>
        <v>10175716</v>
      </c>
    </row>
    <row r="2438" spans="1:7" x14ac:dyDescent="0.25">
      <c r="A2438">
        <v>10175771</v>
      </c>
      <c r="B2438" t="s">
        <v>25516</v>
      </c>
      <c r="C2438">
        <v>0</v>
      </c>
      <c r="D2438">
        <v>1</v>
      </c>
      <c r="E2438">
        <v>26</v>
      </c>
      <c r="F2438">
        <v>6506</v>
      </c>
      <c r="G2438">
        <f t="shared" si="38"/>
        <v>10175771</v>
      </c>
    </row>
    <row r="2439" spans="1:7" x14ac:dyDescent="0.25">
      <c r="A2439">
        <v>10177222</v>
      </c>
      <c r="B2439" t="s">
        <v>25517</v>
      </c>
      <c r="C2439">
        <v>196</v>
      </c>
      <c r="D2439">
        <v>2</v>
      </c>
      <c r="E2439">
        <v>10055</v>
      </c>
      <c r="F2439">
        <v>1553</v>
      </c>
      <c r="G2439">
        <f t="shared" si="38"/>
        <v>10177222</v>
      </c>
    </row>
    <row r="2440" spans="1:7" x14ac:dyDescent="0.25">
      <c r="A2440">
        <v>10182810</v>
      </c>
      <c r="B2440" t="s">
        <v>25518</v>
      </c>
      <c r="C2440">
        <v>1609</v>
      </c>
      <c r="D2440">
        <v>3</v>
      </c>
      <c r="E2440">
        <v>11602</v>
      </c>
      <c r="F2440">
        <v>1333</v>
      </c>
      <c r="G2440">
        <f t="shared" si="38"/>
        <v>10182810</v>
      </c>
    </row>
    <row r="2441" spans="1:7" x14ac:dyDescent="0.25">
      <c r="A2441">
        <v>10184986</v>
      </c>
      <c r="B2441" t="s">
        <v>37279</v>
      </c>
      <c r="C2441">
        <v>680</v>
      </c>
      <c r="D2441">
        <v>3</v>
      </c>
      <c r="E2441">
        <v>10378</v>
      </c>
      <c r="F2441">
        <v>1513</v>
      </c>
      <c r="G2441">
        <f t="shared" si="38"/>
        <v>10184986</v>
      </c>
    </row>
    <row r="2442" spans="1:7" x14ac:dyDescent="0.25">
      <c r="A2442">
        <v>10186257</v>
      </c>
      <c r="B2442" t="s">
        <v>25519</v>
      </c>
      <c r="C2442">
        <v>151</v>
      </c>
      <c r="D2442">
        <v>1</v>
      </c>
      <c r="E2442">
        <v>518</v>
      </c>
      <c r="F2442">
        <v>4600</v>
      </c>
      <c r="G2442">
        <f t="shared" si="38"/>
        <v>10186257</v>
      </c>
    </row>
    <row r="2443" spans="1:7" x14ac:dyDescent="0.25">
      <c r="A2443">
        <v>10186624</v>
      </c>
      <c r="B2443" t="s">
        <v>25520</v>
      </c>
      <c r="C2443">
        <v>480</v>
      </c>
      <c r="D2443">
        <v>5</v>
      </c>
      <c r="E2443">
        <v>20186</v>
      </c>
      <c r="F2443">
        <v>613</v>
      </c>
      <c r="G2443">
        <f t="shared" si="38"/>
        <v>10186624</v>
      </c>
    </row>
    <row r="2444" spans="1:7" x14ac:dyDescent="0.25">
      <c r="A2444">
        <v>10187316</v>
      </c>
      <c r="B2444" t="s">
        <v>25521</v>
      </c>
      <c r="C2444">
        <v>0</v>
      </c>
      <c r="D2444">
        <v>1</v>
      </c>
      <c r="E2444">
        <v>819</v>
      </c>
      <c r="F2444">
        <v>4173</v>
      </c>
      <c r="G2444">
        <f t="shared" si="38"/>
        <v>10187316</v>
      </c>
    </row>
    <row r="2445" spans="1:7" x14ac:dyDescent="0.25">
      <c r="A2445">
        <v>10187533</v>
      </c>
      <c r="B2445" t="s">
        <v>25522</v>
      </c>
      <c r="C2445">
        <v>0</v>
      </c>
      <c r="D2445">
        <v>1</v>
      </c>
      <c r="E2445">
        <v>226</v>
      </c>
      <c r="F2445">
        <v>5403</v>
      </c>
      <c r="G2445">
        <f t="shared" si="38"/>
        <v>10187533</v>
      </c>
    </row>
    <row r="2446" spans="1:7" x14ac:dyDescent="0.25">
      <c r="A2446">
        <v>10189485</v>
      </c>
      <c r="B2446" t="s">
        <v>25523</v>
      </c>
      <c r="C2446">
        <v>47</v>
      </c>
      <c r="D2446">
        <v>2</v>
      </c>
      <c r="E2446">
        <v>9757</v>
      </c>
      <c r="F2446">
        <v>1618</v>
      </c>
      <c r="G2446">
        <f t="shared" si="38"/>
        <v>10189485</v>
      </c>
    </row>
    <row r="2447" spans="1:7" x14ac:dyDescent="0.25">
      <c r="A2447">
        <v>10191634</v>
      </c>
      <c r="B2447" t="s">
        <v>25524</v>
      </c>
      <c r="C2447">
        <v>0</v>
      </c>
      <c r="D2447">
        <v>1</v>
      </c>
      <c r="E2447">
        <v>1927</v>
      </c>
      <c r="F2447">
        <v>3379</v>
      </c>
      <c r="G2447">
        <f t="shared" si="38"/>
        <v>10191634</v>
      </c>
    </row>
    <row r="2448" spans="1:7" x14ac:dyDescent="0.25">
      <c r="A2448">
        <v>10192406</v>
      </c>
      <c r="B2448" t="s">
        <v>25525</v>
      </c>
      <c r="C2448">
        <v>321</v>
      </c>
      <c r="D2448">
        <v>0</v>
      </c>
      <c r="E2448">
        <v>0</v>
      </c>
      <c r="F2448">
        <v>7345</v>
      </c>
      <c r="G2448">
        <f t="shared" si="38"/>
        <v>10192406</v>
      </c>
    </row>
    <row r="2449" spans="1:7" x14ac:dyDescent="0.25">
      <c r="A2449">
        <v>10193389</v>
      </c>
      <c r="B2449" t="s">
        <v>36316</v>
      </c>
      <c r="C2449">
        <v>0</v>
      </c>
      <c r="D2449">
        <v>1</v>
      </c>
      <c r="E2449">
        <v>395</v>
      </c>
      <c r="F2449">
        <v>4860</v>
      </c>
      <c r="G2449">
        <f t="shared" si="38"/>
        <v>10193389</v>
      </c>
    </row>
    <row r="2450" spans="1:7" x14ac:dyDescent="0.25">
      <c r="A2450">
        <v>10196539</v>
      </c>
      <c r="B2450" t="s">
        <v>25526</v>
      </c>
      <c r="C2450">
        <v>1699</v>
      </c>
      <c r="D2450">
        <v>4</v>
      </c>
      <c r="E2450">
        <v>16948</v>
      </c>
      <c r="F2450">
        <v>832</v>
      </c>
      <c r="G2450">
        <f t="shared" si="38"/>
        <v>10196539</v>
      </c>
    </row>
    <row r="2451" spans="1:7" x14ac:dyDescent="0.25">
      <c r="A2451">
        <v>10197321</v>
      </c>
      <c r="B2451" t="s">
        <v>25527</v>
      </c>
      <c r="C2451">
        <v>0</v>
      </c>
      <c r="D2451">
        <v>1</v>
      </c>
      <c r="E2451">
        <v>26</v>
      </c>
      <c r="F2451">
        <v>6507</v>
      </c>
      <c r="G2451">
        <f t="shared" si="38"/>
        <v>10197321</v>
      </c>
    </row>
    <row r="2452" spans="1:7" x14ac:dyDescent="0.25">
      <c r="A2452">
        <v>10197868</v>
      </c>
      <c r="B2452" t="s">
        <v>25528</v>
      </c>
      <c r="C2452">
        <v>0</v>
      </c>
      <c r="D2452">
        <v>1</v>
      </c>
      <c r="E2452">
        <v>26</v>
      </c>
      <c r="F2452">
        <v>6508</v>
      </c>
      <c r="G2452">
        <f t="shared" si="38"/>
        <v>10197868</v>
      </c>
    </row>
    <row r="2453" spans="1:7" x14ac:dyDescent="0.25">
      <c r="A2453">
        <v>10198579</v>
      </c>
      <c r="B2453" t="s">
        <v>25529</v>
      </c>
      <c r="C2453">
        <v>2010</v>
      </c>
      <c r="D2453">
        <v>1</v>
      </c>
      <c r="E2453">
        <v>819</v>
      </c>
      <c r="F2453">
        <v>4174</v>
      </c>
      <c r="G2453">
        <f t="shared" si="38"/>
        <v>10198579</v>
      </c>
    </row>
    <row r="2454" spans="1:7" x14ac:dyDescent="0.25">
      <c r="A2454">
        <v>10199140</v>
      </c>
      <c r="B2454" t="s">
        <v>25530</v>
      </c>
      <c r="C2454">
        <v>429</v>
      </c>
      <c r="D2454">
        <v>2</v>
      </c>
      <c r="E2454">
        <v>7897</v>
      </c>
      <c r="F2454">
        <v>1903</v>
      </c>
      <c r="G2454">
        <f t="shared" si="38"/>
        <v>10199140</v>
      </c>
    </row>
    <row r="2455" spans="1:7" x14ac:dyDescent="0.25">
      <c r="A2455">
        <v>10199776</v>
      </c>
      <c r="B2455" t="s">
        <v>25531</v>
      </c>
      <c r="C2455">
        <v>175</v>
      </c>
      <c r="D2455">
        <v>1</v>
      </c>
      <c r="E2455">
        <v>3563</v>
      </c>
      <c r="F2455">
        <v>2862</v>
      </c>
      <c r="G2455">
        <f t="shared" si="38"/>
        <v>10199776</v>
      </c>
    </row>
    <row r="2456" spans="1:7" x14ac:dyDescent="0.25">
      <c r="A2456">
        <v>10202383</v>
      </c>
      <c r="B2456" t="s">
        <v>25532</v>
      </c>
      <c r="C2456">
        <v>15</v>
      </c>
      <c r="D2456">
        <v>0</v>
      </c>
      <c r="E2456">
        <v>0</v>
      </c>
      <c r="F2456">
        <v>7346</v>
      </c>
      <c r="G2456">
        <f t="shared" si="38"/>
        <v>10202383</v>
      </c>
    </row>
    <row r="2457" spans="1:7" x14ac:dyDescent="0.25">
      <c r="A2457">
        <v>10202681</v>
      </c>
      <c r="B2457" t="s">
        <v>25533</v>
      </c>
      <c r="C2457">
        <v>189</v>
      </c>
      <c r="D2457">
        <v>3</v>
      </c>
      <c r="E2457">
        <v>6563</v>
      </c>
      <c r="F2457">
        <v>2153</v>
      </c>
      <c r="G2457">
        <f t="shared" si="38"/>
        <v>10202681</v>
      </c>
    </row>
    <row r="2458" spans="1:7" x14ac:dyDescent="0.25">
      <c r="A2458">
        <v>10203648</v>
      </c>
      <c r="B2458" t="s">
        <v>25534</v>
      </c>
      <c r="C2458">
        <v>760</v>
      </c>
      <c r="D2458">
        <v>3</v>
      </c>
      <c r="E2458">
        <v>16901</v>
      </c>
      <c r="F2458">
        <v>840</v>
      </c>
      <c r="G2458">
        <f t="shared" si="38"/>
        <v>10203648</v>
      </c>
    </row>
    <row r="2459" spans="1:7" x14ac:dyDescent="0.25">
      <c r="A2459">
        <v>10204393</v>
      </c>
      <c r="B2459" t="s">
        <v>37135</v>
      </c>
      <c r="C2459">
        <v>1858</v>
      </c>
      <c r="D2459">
        <v>1</v>
      </c>
      <c r="E2459">
        <v>807</v>
      </c>
      <c r="F2459">
        <v>4189</v>
      </c>
      <c r="G2459">
        <f t="shared" si="38"/>
        <v>10204393</v>
      </c>
    </row>
    <row r="2460" spans="1:7" x14ac:dyDescent="0.25">
      <c r="A2460">
        <v>10207083</v>
      </c>
      <c r="B2460" t="s">
        <v>36317</v>
      </c>
      <c r="C2460">
        <v>0</v>
      </c>
      <c r="D2460">
        <v>1</v>
      </c>
      <c r="E2460">
        <v>985</v>
      </c>
      <c r="F2460">
        <v>3995</v>
      </c>
      <c r="G2460">
        <f t="shared" si="38"/>
        <v>10207083</v>
      </c>
    </row>
    <row r="2461" spans="1:7" x14ac:dyDescent="0.25">
      <c r="A2461">
        <v>10208325</v>
      </c>
      <c r="B2461" t="s">
        <v>25535</v>
      </c>
      <c r="C2461">
        <v>0</v>
      </c>
      <c r="D2461">
        <v>0</v>
      </c>
      <c r="E2461">
        <v>0</v>
      </c>
      <c r="F2461">
        <v>7347</v>
      </c>
      <c r="G2461">
        <f t="shared" si="38"/>
        <v>10208325</v>
      </c>
    </row>
    <row r="2462" spans="1:7" x14ac:dyDescent="0.25">
      <c r="A2462">
        <v>10209709</v>
      </c>
      <c r="B2462" t="s">
        <v>37136</v>
      </c>
      <c r="C2462">
        <v>0</v>
      </c>
      <c r="D2462">
        <v>1</v>
      </c>
      <c r="E2462">
        <v>26</v>
      </c>
      <c r="F2462">
        <v>6509</v>
      </c>
      <c r="G2462">
        <f t="shared" si="38"/>
        <v>10209709</v>
      </c>
    </row>
    <row r="2463" spans="1:7" x14ac:dyDescent="0.25">
      <c r="A2463">
        <v>10211730</v>
      </c>
      <c r="B2463" t="s">
        <v>36318</v>
      </c>
      <c r="C2463">
        <v>1858</v>
      </c>
      <c r="D2463">
        <v>1</v>
      </c>
      <c r="E2463">
        <v>1254</v>
      </c>
      <c r="F2463">
        <v>3774</v>
      </c>
      <c r="G2463">
        <f t="shared" si="38"/>
        <v>10211730</v>
      </c>
    </row>
    <row r="2464" spans="1:7" x14ac:dyDescent="0.25">
      <c r="A2464">
        <v>10212296</v>
      </c>
      <c r="B2464" t="s">
        <v>25536</v>
      </c>
      <c r="C2464">
        <v>0</v>
      </c>
      <c r="D2464">
        <v>1</v>
      </c>
      <c r="E2464">
        <v>1419</v>
      </c>
      <c r="F2464">
        <v>3641</v>
      </c>
      <c r="G2464">
        <f t="shared" si="38"/>
        <v>10212296</v>
      </c>
    </row>
    <row r="2465" spans="1:7" x14ac:dyDescent="0.25">
      <c r="A2465">
        <v>10213377</v>
      </c>
      <c r="B2465" t="s">
        <v>25537</v>
      </c>
      <c r="C2465">
        <v>1695</v>
      </c>
      <c r="D2465">
        <v>1</v>
      </c>
      <c r="E2465">
        <v>2445</v>
      </c>
      <c r="F2465">
        <v>3159</v>
      </c>
      <c r="G2465">
        <f t="shared" si="38"/>
        <v>10213377</v>
      </c>
    </row>
    <row r="2466" spans="1:7" x14ac:dyDescent="0.25">
      <c r="A2466">
        <v>10214231</v>
      </c>
      <c r="B2466" t="s">
        <v>25538</v>
      </c>
      <c r="C2466">
        <v>25</v>
      </c>
      <c r="D2466">
        <v>4</v>
      </c>
      <c r="E2466">
        <v>16483</v>
      </c>
      <c r="F2466">
        <v>881</v>
      </c>
      <c r="G2466">
        <f t="shared" si="38"/>
        <v>10214231</v>
      </c>
    </row>
    <row r="2467" spans="1:7" x14ac:dyDescent="0.25">
      <c r="A2467">
        <v>10214391</v>
      </c>
      <c r="B2467" t="s">
        <v>25539</v>
      </c>
      <c r="C2467">
        <v>0</v>
      </c>
      <c r="D2467">
        <v>1</v>
      </c>
      <c r="E2467">
        <v>426</v>
      </c>
      <c r="F2467">
        <v>4790</v>
      </c>
      <c r="G2467">
        <f t="shared" si="38"/>
        <v>10214391</v>
      </c>
    </row>
    <row r="2468" spans="1:7" x14ac:dyDescent="0.25">
      <c r="A2468">
        <v>10214630</v>
      </c>
      <c r="B2468" t="s">
        <v>1582</v>
      </c>
      <c r="C2468">
        <v>1063</v>
      </c>
      <c r="D2468">
        <v>1</v>
      </c>
      <c r="E2468">
        <v>1997</v>
      </c>
      <c r="F2468">
        <v>3346</v>
      </c>
      <c r="G2468">
        <f t="shared" si="38"/>
        <v>10214630</v>
      </c>
    </row>
    <row r="2469" spans="1:7" x14ac:dyDescent="0.25">
      <c r="A2469">
        <v>10215528</v>
      </c>
      <c r="B2469" t="s">
        <v>25540</v>
      </c>
      <c r="C2469">
        <v>2010</v>
      </c>
      <c r="D2469">
        <v>1</v>
      </c>
      <c r="E2469">
        <v>1022</v>
      </c>
      <c r="F2469">
        <v>3970</v>
      </c>
      <c r="G2469">
        <f t="shared" si="38"/>
        <v>10215528</v>
      </c>
    </row>
    <row r="2470" spans="1:7" x14ac:dyDescent="0.25">
      <c r="A2470">
        <v>10217706</v>
      </c>
      <c r="B2470" t="s">
        <v>25541</v>
      </c>
      <c r="C2470">
        <v>0</v>
      </c>
      <c r="D2470">
        <v>1</v>
      </c>
      <c r="E2470">
        <v>394</v>
      </c>
      <c r="F2470">
        <v>4863</v>
      </c>
      <c r="G2470">
        <f t="shared" si="38"/>
        <v>10217706</v>
      </c>
    </row>
    <row r="2471" spans="1:7" x14ac:dyDescent="0.25">
      <c r="A2471">
        <v>10220537</v>
      </c>
      <c r="B2471" t="s">
        <v>25542</v>
      </c>
      <c r="C2471">
        <v>1323</v>
      </c>
      <c r="D2471">
        <v>1</v>
      </c>
      <c r="E2471">
        <v>2049</v>
      </c>
      <c r="F2471">
        <v>3353</v>
      </c>
      <c r="G2471">
        <f t="shared" si="38"/>
        <v>10220537</v>
      </c>
    </row>
    <row r="2472" spans="1:7" x14ac:dyDescent="0.25">
      <c r="A2472">
        <v>10220966</v>
      </c>
      <c r="B2472" t="s">
        <v>36319</v>
      </c>
      <c r="C2472">
        <v>534</v>
      </c>
      <c r="D2472">
        <v>1</v>
      </c>
      <c r="E2472">
        <v>1473</v>
      </c>
      <c r="F2472">
        <v>3614</v>
      </c>
      <c r="G2472">
        <f t="shared" si="38"/>
        <v>10220966</v>
      </c>
    </row>
    <row r="2473" spans="1:7" x14ac:dyDescent="0.25">
      <c r="A2473">
        <v>10224052</v>
      </c>
      <c r="B2473" t="s">
        <v>37395</v>
      </c>
      <c r="C2473">
        <v>1057</v>
      </c>
      <c r="D2473">
        <v>1</v>
      </c>
      <c r="E2473">
        <v>26</v>
      </c>
      <c r="F2473">
        <v>6510</v>
      </c>
      <c r="G2473">
        <f t="shared" si="38"/>
        <v>10224052</v>
      </c>
    </row>
    <row r="2474" spans="1:7" x14ac:dyDescent="0.25">
      <c r="A2474">
        <v>10225593</v>
      </c>
      <c r="B2474" t="s">
        <v>25543</v>
      </c>
      <c r="C2474">
        <v>0</v>
      </c>
      <c r="D2474">
        <v>1</v>
      </c>
      <c r="E2474">
        <v>50</v>
      </c>
      <c r="F2474">
        <v>6178</v>
      </c>
      <c r="G2474">
        <f t="shared" si="38"/>
        <v>10225593</v>
      </c>
    </row>
    <row r="2475" spans="1:7" x14ac:dyDescent="0.25">
      <c r="A2475">
        <v>10226787</v>
      </c>
      <c r="B2475" t="s">
        <v>2201</v>
      </c>
      <c r="C2475">
        <v>1373</v>
      </c>
      <c r="D2475">
        <v>1</v>
      </c>
      <c r="E2475">
        <v>825</v>
      </c>
      <c r="F2475">
        <v>4165</v>
      </c>
      <c r="G2475">
        <f t="shared" si="38"/>
        <v>10226787</v>
      </c>
    </row>
    <row r="2476" spans="1:7" x14ac:dyDescent="0.25">
      <c r="A2476">
        <v>10228773</v>
      </c>
      <c r="B2476" t="s">
        <v>25544</v>
      </c>
      <c r="C2476">
        <v>1753</v>
      </c>
      <c r="D2476">
        <v>1</v>
      </c>
      <c r="E2476">
        <v>973</v>
      </c>
      <c r="F2476">
        <v>4010</v>
      </c>
      <c r="G2476">
        <f t="shared" si="38"/>
        <v>10228773</v>
      </c>
    </row>
    <row r="2477" spans="1:7" x14ac:dyDescent="0.25">
      <c r="A2477">
        <v>10229642</v>
      </c>
      <c r="B2477" t="s">
        <v>36320</v>
      </c>
      <c r="C2477">
        <v>69</v>
      </c>
      <c r="D2477">
        <v>4</v>
      </c>
      <c r="E2477">
        <v>23982</v>
      </c>
      <c r="F2477">
        <v>437</v>
      </c>
      <c r="G2477">
        <f t="shared" si="38"/>
        <v>10229642</v>
      </c>
    </row>
    <row r="2478" spans="1:7" x14ac:dyDescent="0.25">
      <c r="A2478">
        <v>10230585</v>
      </c>
      <c r="B2478" t="s">
        <v>25545</v>
      </c>
      <c r="C2478">
        <v>1609</v>
      </c>
      <c r="D2478">
        <v>4</v>
      </c>
      <c r="E2478">
        <v>12997</v>
      </c>
      <c r="F2478">
        <v>1170</v>
      </c>
      <c r="G2478">
        <f t="shared" si="38"/>
        <v>10230585</v>
      </c>
    </row>
    <row r="2479" spans="1:7" x14ac:dyDescent="0.25">
      <c r="A2479">
        <v>10233928</v>
      </c>
      <c r="B2479" t="s">
        <v>25546</v>
      </c>
      <c r="C2479">
        <v>25</v>
      </c>
      <c r="D2479">
        <v>4</v>
      </c>
      <c r="E2479">
        <v>21627</v>
      </c>
      <c r="F2479">
        <v>541</v>
      </c>
      <c r="G2479">
        <f t="shared" si="38"/>
        <v>10233928</v>
      </c>
    </row>
    <row r="2480" spans="1:7" x14ac:dyDescent="0.25">
      <c r="A2480">
        <v>10234388</v>
      </c>
      <c r="B2480" t="s">
        <v>25547</v>
      </c>
      <c r="C2480">
        <v>0</v>
      </c>
      <c r="D2480">
        <v>1</v>
      </c>
      <c r="E2480">
        <v>375</v>
      </c>
      <c r="F2480">
        <v>4927</v>
      </c>
      <c r="G2480">
        <f t="shared" si="38"/>
        <v>10234388</v>
      </c>
    </row>
    <row r="2481" spans="1:7" x14ac:dyDescent="0.25">
      <c r="A2481">
        <v>10235219</v>
      </c>
      <c r="B2481" t="s">
        <v>25548</v>
      </c>
      <c r="C2481">
        <v>0</v>
      </c>
      <c r="D2481">
        <v>1</v>
      </c>
      <c r="E2481">
        <v>2881</v>
      </c>
      <c r="F2481">
        <v>3018</v>
      </c>
      <c r="G2481">
        <f t="shared" si="38"/>
        <v>10235219</v>
      </c>
    </row>
    <row r="2482" spans="1:7" x14ac:dyDescent="0.25">
      <c r="A2482">
        <v>10235584</v>
      </c>
      <c r="B2482" t="s">
        <v>25549</v>
      </c>
      <c r="C2482">
        <v>20</v>
      </c>
      <c r="D2482">
        <v>5</v>
      </c>
      <c r="E2482">
        <v>28256</v>
      </c>
      <c r="F2482">
        <v>288</v>
      </c>
      <c r="G2482">
        <f t="shared" si="38"/>
        <v>10235584</v>
      </c>
    </row>
    <row r="2483" spans="1:7" x14ac:dyDescent="0.25">
      <c r="A2483">
        <v>10235585</v>
      </c>
      <c r="B2483" t="s">
        <v>25550</v>
      </c>
      <c r="C2483">
        <v>419</v>
      </c>
      <c r="D2483">
        <v>4</v>
      </c>
      <c r="E2483">
        <v>23229</v>
      </c>
      <c r="F2483">
        <v>463</v>
      </c>
      <c r="G2483">
        <f t="shared" si="38"/>
        <v>10235585</v>
      </c>
    </row>
    <row r="2484" spans="1:7" x14ac:dyDescent="0.25">
      <c r="A2484">
        <v>10235841</v>
      </c>
      <c r="B2484" t="s">
        <v>25551</v>
      </c>
      <c r="C2484">
        <v>0</v>
      </c>
      <c r="D2484">
        <v>1</v>
      </c>
      <c r="E2484">
        <v>606</v>
      </c>
      <c r="F2484">
        <v>4463</v>
      </c>
      <c r="G2484">
        <f t="shared" si="38"/>
        <v>10235841</v>
      </c>
    </row>
    <row r="2485" spans="1:7" x14ac:dyDescent="0.25">
      <c r="A2485">
        <v>10236423</v>
      </c>
      <c r="B2485" t="s">
        <v>25552</v>
      </c>
      <c r="C2485">
        <v>235</v>
      </c>
      <c r="D2485">
        <v>1</v>
      </c>
      <c r="E2485">
        <v>793</v>
      </c>
      <c r="F2485">
        <v>4206</v>
      </c>
      <c r="G2485">
        <f t="shared" si="38"/>
        <v>10236423</v>
      </c>
    </row>
    <row r="2486" spans="1:7" x14ac:dyDescent="0.25">
      <c r="A2486">
        <v>10237263</v>
      </c>
      <c r="B2486" t="s">
        <v>36321</v>
      </c>
      <c r="C2486">
        <v>0</v>
      </c>
      <c r="D2486">
        <v>1</v>
      </c>
      <c r="E2486">
        <v>443</v>
      </c>
      <c r="F2486">
        <v>4756</v>
      </c>
      <c r="G2486">
        <f t="shared" si="38"/>
        <v>10237263</v>
      </c>
    </row>
    <row r="2487" spans="1:7" x14ac:dyDescent="0.25">
      <c r="A2487">
        <v>10240199</v>
      </c>
      <c r="B2487" t="s">
        <v>25553</v>
      </c>
      <c r="C2487">
        <v>882</v>
      </c>
      <c r="D2487">
        <v>3</v>
      </c>
      <c r="E2487">
        <v>13151</v>
      </c>
      <c r="F2487">
        <v>1153</v>
      </c>
      <c r="G2487">
        <f t="shared" si="38"/>
        <v>10240199</v>
      </c>
    </row>
    <row r="2488" spans="1:7" x14ac:dyDescent="0.25">
      <c r="A2488">
        <v>10240562</v>
      </c>
      <c r="B2488" t="s">
        <v>25554</v>
      </c>
      <c r="C2488">
        <v>1850</v>
      </c>
      <c r="D2488">
        <v>1</v>
      </c>
      <c r="E2488">
        <v>3284</v>
      </c>
      <c r="F2488">
        <v>2927</v>
      </c>
      <c r="G2488">
        <f t="shared" si="38"/>
        <v>10240562</v>
      </c>
    </row>
    <row r="2489" spans="1:7" x14ac:dyDescent="0.25">
      <c r="A2489">
        <v>10240669</v>
      </c>
      <c r="B2489" t="s">
        <v>25555</v>
      </c>
      <c r="C2489">
        <v>3</v>
      </c>
      <c r="D2489">
        <v>3</v>
      </c>
      <c r="E2489">
        <v>12285</v>
      </c>
      <c r="F2489">
        <v>1259</v>
      </c>
      <c r="G2489">
        <f t="shared" si="38"/>
        <v>10240669</v>
      </c>
    </row>
    <row r="2490" spans="1:7" x14ac:dyDescent="0.25">
      <c r="A2490">
        <v>10241426</v>
      </c>
      <c r="B2490" t="s">
        <v>36322</v>
      </c>
      <c r="C2490">
        <v>106</v>
      </c>
      <c r="D2490">
        <v>2</v>
      </c>
      <c r="E2490">
        <v>5757</v>
      </c>
      <c r="F2490">
        <v>2338</v>
      </c>
      <c r="G2490">
        <f t="shared" si="38"/>
        <v>10241426</v>
      </c>
    </row>
    <row r="2491" spans="1:7" x14ac:dyDescent="0.25">
      <c r="A2491">
        <v>10241896</v>
      </c>
      <c r="B2491" t="s">
        <v>25556</v>
      </c>
      <c r="C2491">
        <v>53</v>
      </c>
      <c r="D2491">
        <v>2</v>
      </c>
      <c r="E2491">
        <v>9762</v>
      </c>
      <c r="F2491">
        <v>1597</v>
      </c>
      <c r="G2491">
        <f t="shared" si="38"/>
        <v>10241896</v>
      </c>
    </row>
    <row r="2492" spans="1:7" x14ac:dyDescent="0.25">
      <c r="A2492">
        <v>10242175</v>
      </c>
      <c r="B2492" t="s">
        <v>25557</v>
      </c>
      <c r="C2492">
        <v>4</v>
      </c>
      <c r="D2492">
        <v>9</v>
      </c>
      <c r="E2492">
        <v>46063</v>
      </c>
      <c r="F2492">
        <v>56</v>
      </c>
      <c r="G2492">
        <f t="shared" si="38"/>
        <v>10242175</v>
      </c>
    </row>
    <row r="2493" spans="1:7" x14ac:dyDescent="0.25">
      <c r="A2493">
        <v>10242367</v>
      </c>
      <c r="B2493" t="s">
        <v>25558</v>
      </c>
      <c r="C2493">
        <v>0</v>
      </c>
      <c r="D2493">
        <v>1</v>
      </c>
      <c r="E2493">
        <v>26</v>
      </c>
      <c r="F2493">
        <v>6511</v>
      </c>
      <c r="G2493">
        <f t="shared" si="38"/>
        <v>10242367</v>
      </c>
    </row>
    <row r="2494" spans="1:7" x14ac:dyDescent="0.25">
      <c r="A2494">
        <v>10244114</v>
      </c>
      <c r="B2494" t="s">
        <v>25559</v>
      </c>
      <c r="C2494">
        <v>36</v>
      </c>
      <c r="D2494">
        <v>4</v>
      </c>
      <c r="E2494">
        <v>21101</v>
      </c>
      <c r="F2494">
        <v>565</v>
      </c>
      <c r="G2494">
        <f t="shared" si="38"/>
        <v>10244114</v>
      </c>
    </row>
    <row r="2495" spans="1:7" x14ac:dyDescent="0.25">
      <c r="A2495">
        <v>10245249</v>
      </c>
      <c r="B2495" t="s">
        <v>37137</v>
      </c>
      <c r="C2495">
        <v>1743</v>
      </c>
      <c r="D2495">
        <v>1</v>
      </c>
      <c r="E2495">
        <v>1181</v>
      </c>
      <c r="F2495">
        <v>3811</v>
      </c>
      <c r="G2495">
        <f t="shared" si="38"/>
        <v>10245249</v>
      </c>
    </row>
    <row r="2496" spans="1:7" x14ac:dyDescent="0.25">
      <c r="A2496">
        <v>10246937</v>
      </c>
      <c r="B2496" t="s">
        <v>25560</v>
      </c>
      <c r="C2496">
        <v>1357</v>
      </c>
      <c r="D2496">
        <v>1</v>
      </c>
      <c r="E2496">
        <v>465</v>
      </c>
      <c r="F2496">
        <v>4712</v>
      </c>
      <c r="G2496">
        <f t="shared" si="38"/>
        <v>10246937</v>
      </c>
    </row>
    <row r="2497" spans="1:7" x14ac:dyDescent="0.25">
      <c r="A2497">
        <v>10248165</v>
      </c>
      <c r="B2497" t="s">
        <v>25561</v>
      </c>
      <c r="C2497">
        <v>1708</v>
      </c>
      <c r="D2497">
        <v>1</v>
      </c>
      <c r="E2497">
        <v>1673</v>
      </c>
      <c r="F2497">
        <v>3510</v>
      </c>
      <c r="G2497">
        <f t="shared" ref="G2497:G2560" si="39">A2497</f>
        <v>10248165</v>
      </c>
    </row>
    <row r="2498" spans="1:7" x14ac:dyDescent="0.25">
      <c r="A2498">
        <v>10248901</v>
      </c>
      <c r="B2498" t="s">
        <v>25562</v>
      </c>
      <c r="C2498">
        <v>57</v>
      </c>
      <c r="D2498">
        <v>1</v>
      </c>
      <c r="E2498">
        <v>2213</v>
      </c>
      <c r="F2498">
        <v>3241</v>
      </c>
      <c r="G2498">
        <f t="shared" si="39"/>
        <v>10248901</v>
      </c>
    </row>
    <row r="2499" spans="1:7" x14ac:dyDescent="0.25">
      <c r="A2499">
        <v>10250955</v>
      </c>
      <c r="B2499" t="s">
        <v>25563</v>
      </c>
      <c r="C2499">
        <v>541</v>
      </c>
      <c r="D2499">
        <v>2</v>
      </c>
      <c r="E2499">
        <v>10822</v>
      </c>
      <c r="F2499">
        <v>1446</v>
      </c>
      <c r="G2499">
        <f t="shared" si="39"/>
        <v>10250955</v>
      </c>
    </row>
    <row r="2500" spans="1:7" x14ac:dyDescent="0.25">
      <c r="A2500">
        <v>10256466</v>
      </c>
      <c r="B2500" t="s">
        <v>25564</v>
      </c>
      <c r="C2500">
        <v>0</v>
      </c>
      <c r="D2500">
        <v>1</v>
      </c>
      <c r="E2500">
        <v>75</v>
      </c>
      <c r="F2500">
        <v>6014</v>
      </c>
      <c r="G2500">
        <f t="shared" si="39"/>
        <v>10256466</v>
      </c>
    </row>
    <row r="2501" spans="1:7" x14ac:dyDescent="0.25">
      <c r="A2501">
        <v>10257301</v>
      </c>
      <c r="B2501" t="s">
        <v>25565</v>
      </c>
      <c r="C2501">
        <v>47</v>
      </c>
      <c r="D2501">
        <v>3</v>
      </c>
      <c r="E2501">
        <v>9370</v>
      </c>
      <c r="F2501">
        <v>1657</v>
      </c>
      <c r="G2501">
        <f t="shared" si="39"/>
        <v>10257301</v>
      </c>
    </row>
    <row r="2502" spans="1:7" x14ac:dyDescent="0.25">
      <c r="A2502">
        <v>10259310</v>
      </c>
      <c r="B2502" t="s">
        <v>25566</v>
      </c>
      <c r="C2502">
        <v>1019</v>
      </c>
      <c r="D2502">
        <v>3</v>
      </c>
      <c r="E2502">
        <v>11199</v>
      </c>
      <c r="F2502">
        <v>1384</v>
      </c>
      <c r="G2502">
        <f t="shared" si="39"/>
        <v>10259310</v>
      </c>
    </row>
    <row r="2503" spans="1:7" x14ac:dyDescent="0.25">
      <c r="A2503">
        <v>10262055</v>
      </c>
      <c r="B2503" t="s">
        <v>25567</v>
      </c>
      <c r="C2503">
        <v>0</v>
      </c>
      <c r="D2503">
        <v>1</v>
      </c>
      <c r="E2503">
        <v>69</v>
      </c>
      <c r="F2503">
        <v>6070</v>
      </c>
      <c r="G2503">
        <f t="shared" si="39"/>
        <v>10262055</v>
      </c>
    </row>
    <row r="2504" spans="1:7" x14ac:dyDescent="0.25">
      <c r="A2504">
        <v>10263957</v>
      </c>
      <c r="B2504" t="s">
        <v>37002</v>
      </c>
      <c r="C2504">
        <v>0</v>
      </c>
      <c r="D2504">
        <v>1</v>
      </c>
      <c r="E2504">
        <v>26</v>
      </c>
      <c r="F2504">
        <v>6512</v>
      </c>
      <c r="G2504">
        <f t="shared" si="39"/>
        <v>10263957</v>
      </c>
    </row>
    <row r="2505" spans="1:7" x14ac:dyDescent="0.25">
      <c r="A2505">
        <v>10264083</v>
      </c>
      <c r="B2505" t="s">
        <v>36323</v>
      </c>
      <c r="C2505">
        <v>53</v>
      </c>
      <c r="D2505">
        <v>5</v>
      </c>
      <c r="E2505">
        <v>25546</v>
      </c>
      <c r="F2505">
        <v>376</v>
      </c>
      <c r="G2505">
        <f t="shared" si="39"/>
        <v>10264083</v>
      </c>
    </row>
    <row r="2506" spans="1:7" x14ac:dyDescent="0.25">
      <c r="A2506">
        <v>10264260</v>
      </c>
      <c r="B2506" t="s">
        <v>36324</v>
      </c>
      <c r="C2506">
        <v>0</v>
      </c>
      <c r="D2506">
        <v>0</v>
      </c>
      <c r="E2506">
        <v>0</v>
      </c>
      <c r="F2506">
        <v>7348</v>
      </c>
      <c r="G2506">
        <f t="shared" si="39"/>
        <v>10264260</v>
      </c>
    </row>
    <row r="2507" spans="1:7" x14ac:dyDescent="0.25">
      <c r="A2507">
        <v>10265819</v>
      </c>
      <c r="B2507" t="s">
        <v>25568</v>
      </c>
      <c r="C2507">
        <v>0</v>
      </c>
      <c r="D2507">
        <v>1</v>
      </c>
      <c r="E2507">
        <v>719</v>
      </c>
      <c r="F2507">
        <v>4312</v>
      </c>
      <c r="G2507">
        <f t="shared" si="39"/>
        <v>10265819</v>
      </c>
    </row>
    <row r="2508" spans="1:7" x14ac:dyDescent="0.25">
      <c r="A2508">
        <v>10267140</v>
      </c>
      <c r="B2508" t="s">
        <v>25569</v>
      </c>
      <c r="C2508">
        <v>25</v>
      </c>
      <c r="D2508">
        <v>5</v>
      </c>
      <c r="E2508">
        <v>25234</v>
      </c>
      <c r="F2508">
        <v>385</v>
      </c>
      <c r="G2508">
        <f t="shared" si="39"/>
        <v>10267140</v>
      </c>
    </row>
    <row r="2509" spans="1:7" x14ac:dyDescent="0.25">
      <c r="A2509">
        <v>10268161</v>
      </c>
      <c r="B2509" t="s">
        <v>25570</v>
      </c>
      <c r="C2509">
        <v>0</v>
      </c>
      <c r="D2509">
        <v>1</v>
      </c>
      <c r="E2509">
        <v>129</v>
      </c>
      <c r="F2509">
        <v>5764</v>
      </c>
      <c r="G2509">
        <f t="shared" si="39"/>
        <v>10268161</v>
      </c>
    </row>
    <row r="2510" spans="1:7" x14ac:dyDescent="0.25">
      <c r="A2510">
        <v>10269033</v>
      </c>
      <c r="B2510" t="s">
        <v>25571</v>
      </c>
      <c r="C2510">
        <v>419</v>
      </c>
      <c r="D2510">
        <v>2</v>
      </c>
      <c r="E2510">
        <v>11164</v>
      </c>
      <c r="F2510">
        <v>1389</v>
      </c>
      <c r="G2510">
        <f t="shared" si="39"/>
        <v>10269033</v>
      </c>
    </row>
    <row r="2511" spans="1:7" x14ac:dyDescent="0.25">
      <c r="A2511">
        <v>10270003</v>
      </c>
      <c r="B2511" t="s">
        <v>25572</v>
      </c>
      <c r="C2511">
        <v>680</v>
      </c>
      <c r="D2511">
        <v>6</v>
      </c>
      <c r="E2511">
        <v>30917</v>
      </c>
      <c r="F2511">
        <v>225</v>
      </c>
      <c r="G2511">
        <f t="shared" si="39"/>
        <v>10270003</v>
      </c>
    </row>
    <row r="2512" spans="1:7" x14ac:dyDescent="0.25">
      <c r="A2512">
        <v>10277944</v>
      </c>
      <c r="B2512" t="s">
        <v>25573</v>
      </c>
      <c r="C2512">
        <v>0</v>
      </c>
      <c r="D2512">
        <v>1</v>
      </c>
      <c r="E2512">
        <v>882</v>
      </c>
      <c r="F2512">
        <v>4108</v>
      </c>
      <c r="G2512">
        <f t="shared" si="39"/>
        <v>10277944</v>
      </c>
    </row>
    <row r="2513" spans="1:7" x14ac:dyDescent="0.25">
      <c r="A2513">
        <v>10278269</v>
      </c>
      <c r="B2513" t="s">
        <v>25574</v>
      </c>
      <c r="C2513">
        <v>0</v>
      </c>
      <c r="D2513">
        <v>1</v>
      </c>
      <c r="E2513">
        <v>26</v>
      </c>
      <c r="F2513">
        <v>6513</v>
      </c>
      <c r="G2513">
        <f t="shared" si="39"/>
        <v>10278269</v>
      </c>
    </row>
    <row r="2514" spans="1:7" x14ac:dyDescent="0.25">
      <c r="A2514">
        <v>10283391</v>
      </c>
      <c r="B2514" t="s">
        <v>36325</v>
      </c>
      <c r="C2514">
        <v>882</v>
      </c>
      <c r="D2514">
        <v>5</v>
      </c>
      <c r="E2514">
        <v>26874</v>
      </c>
      <c r="F2514">
        <v>341</v>
      </c>
      <c r="G2514">
        <f t="shared" si="39"/>
        <v>10283391</v>
      </c>
    </row>
    <row r="2515" spans="1:7" x14ac:dyDescent="0.25">
      <c r="A2515">
        <v>10284030</v>
      </c>
      <c r="B2515" t="s">
        <v>25575</v>
      </c>
      <c r="C2515">
        <v>1880</v>
      </c>
      <c r="D2515">
        <v>1</v>
      </c>
      <c r="E2515">
        <v>1231</v>
      </c>
      <c r="F2515">
        <v>3770</v>
      </c>
      <c r="G2515">
        <f t="shared" si="39"/>
        <v>10284030</v>
      </c>
    </row>
    <row r="2516" spans="1:7" x14ac:dyDescent="0.25">
      <c r="A2516">
        <v>10284852</v>
      </c>
      <c r="B2516" t="s">
        <v>36326</v>
      </c>
      <c r="C2516">
        <v>0</v>
      </c>
      <c r="D2516">
        <v>1</v>
      </c>
      <c r="E2516">
        <v>174</v>
      </c>
      <c r="F2516">
        <v>5602</v>
      </c>
      <c r="G2516">
        <f t="shared" si="39"/>
        <v>10284852</v>
      </c>
    </row>
    <row r="2517" spans="1:7" x14ac:dyDescent="0.25">
      <c r="A2517">
        <v>10286045</v>
      </c>
      <c r="B2517" t="s">
        <v>36327</v>
      </c>
      <c r="C2517">
        <v>0</v>
      </c>
      <c r="D2517">
        <v>1</v>
      </c>
      <c r="E2517">
        <v>26</v>
      </c>
      <c r="F2517">
        <v>6514</v>
      </c>
      <c r="G2517">
        <f t="shared" si="39"/>
        <v>10286045</v>
      </c>
    </row>
    <row r="2518" spans="1:7" x14ac:dyDescent="0.25">
      <c r="A2518">
        <v>10288535</v>
      </c>
      <c r="B2518" t="s">
        <v>25576</v>
      </c>
      <c r="C2518">
        <v>1176</v>
      </c>
      <c r="D2518">
        <v>1</v>
      </c>
      <c r="E2518">
        <v>242</v>
      </c>
      <c r="F2518">
        <v>5338</v>
      </c>
      <c r="G2518">
        <f t="shared" si="39"/>
        <v>10288535</v>
      </c>
    </row>
    <row r="2519" spans="1:7" x14ac:dyDescent="0.25">
      <c r="A2519">
        <v>10289373</v>
      </c>
      <c r="B2519" t="s">
        <v>37396</v>
      </c>
      <c r="C2519">
        <v>31</v>
      </c>
      <c r="D2519">
        <v>4</v>
      </c>
      <c r="E2519">
        <v>19292</v>
      </c>
      <c r="F2519">
        <v>664</v>
      </c>
      <c r="G2519">
        <f t="shared" si="39"/>
        <v>10289373</v>
      </c>
    </row>
    <row r="2520" spans="1:7" x14ac:dyDescent="0.25">
      <c r="A2520">
        <v>10292946</v>
      </c>
      <c r="B2520" t="s">
        <v>25577</v>
      </c>
      <c r="C2520">
        <v>0</v>
      </c>
      <c r="D2520">
        <v>0</v>
      </c>
      <c r="E2520">
        <v>0</v>
      </c>
      <c r="F2520">
        <v>7349</v>
      </c>
      <c r="G2520">
        <f t="shared" si="39"/>
        <v>10292946</v>
      </c>
    </row>
    <row r="2521" spans="1:7" x14ac:dyDescent="0.25">
      <c r="A2521">
        <v>10293191</v>
      </c>
      <c r="B2521" t="s">
        <v>25578</v>
      </c>
      <c r="C2521">
        <v>1688</v>
      </c>
      <c r="D2521">
        <v>1</v>
      </c>
      <c r="E2521">
        <v>801</v>
      </c>
      <c r="F2521">
        <v>4213</v>
      </c>
      <c r="G2521">
        <f t="shared" si="39"/>
        <v>10293191</v>
      </c>
    </row>
    <row r="2522" spans="1:7" x14ac:dyDescent="0.25">
      <c r="A2522">
        <v>10293691</v>
      </c>
      <c r="B2522" t="s">
        <v>25579</v>
      </c>
      <c r="C2522">
        <v>0</v>
      </c>
      <c r="D2522">
        <v>1</v>
      </c>
      <c r="E2522">
        <v>575</v>
      </c>
      <c r="F2522">
        <v>4502</v>
      </c>
      <c r="G2522">
        <f t="shared" si="39"/>
        <v>10293691</v>
      </c>
    </row>
    <row r="2523" spans="1:7" x14ac:dyDescent="0.25">
      <c r="A2523">
        <v>10294798</v>
      </c>
      <c r="B2523" t="s">
        <v>25580</v>
      </c>
      <c r="C2523">
        <v>1734</v>
      </c>
      <c r="D2523">
        <v>1</v>
      </c>
      <c r="E2523">
        <v>565</v>
      </c>
      <c r="F2523">
        <v>4527</v>
      </c>
      <c r="G2523">
        <f t="shared" si="39"/>
        <v>10294798</v>
      </c>
    </row>
    <row r="2524" spans="1:7" x14ac:dyDescent="0.25">
      <c r="A2524">
        <v>188327441</v>
      </c>
      <c r="B2524" t="s">
        <v>25581</v>
      </c>
      <c r="C2524">
        <v>1743</v>
      </c>
      <c r="D2524">
        <v>1</v>
      </c>
      <c r="E2524">
        <v>1704</v>
      </c>
      <c r="F2524">
        <v>3495</v>
      </c>
      <c r="G2524">
        <f t="shared" si="39"/>
        <v>188327441</v>
      </c>
    </row>
    <row r="2525" spans="1:7" x14ac:dyDescent="0.25">
      <c r="A2525">
        <v>848875464</v>
      </c>
      <c r="B2525" t="s">
        <v>25582</v>
      </c>
      <c r="C2525">
        <v>1828</v>
      </c>
      <c r="D2525">
        <v>1</v>
      </c>
      <c r="E2525">
        <v>3019</v>
      </c>
      <c r="F2525">
        <v>3001</v>
      </c>
      <c r="G2525">
        <f t="shared" si="39"/>
        <v>848875464</v>
      </c>
    </row>
    <row r="2526" spans="1:7" x14ac:dyDescent="0.25">
      <c r="A2526">
        <v>1575830702</v>
      </c>
      <c r="B2526" t="s">
        <v>25583</v>
      </c>
      <c r="C2526">
        <v>115</v>
      </c>
      <c r="D2526">
        <v>8</v>
      </c>
      <c r="E2526">
        <v>47476</v>
      </c>
      <c r="F2526">
        <v>49</v>
      </c>
      <c r="G2526">
        <f t="shared" si="39"/>
        <v>1575830702</v>
      </c>
    </row>
    <row r="2527" spans="1:7" x14ac:dyDescent="0.25">
      <c r="A2527">
        <v>1575832881</v>
      </c>
      <c r="B2527" t="s">
        <v>25584</v>
      </c>
      <c r="C2527">
        <v>0</v>
      </c>
      <c r="D2527">
        <v>0</v>
      </c>
      <c r="E2527">
        <v>0</v>
      </c>
      <c r="F2527">
        <v>7350</v>
      </c>
      <c r="G2527">
        <f t="shared" si="39"/>
        <v>1575832881</v>
      </c>
    </row>
    <row r="2528" spans="1:7" x14ac:dyDescent="0.25">
      <c r="A2528">
        <v>1575840647</v>
      </c>
      <c r="B2528" t="s">
        <v>25585</v>
      </c>
      <c r="C2528">
        <v>1688</v>
      </c>
      <c r="D2528">
        <v>6</v>
      </c>
      <c r="E2528">
        <v>37324</v>
      </c>
      <c r="F2528">
        <v>115</v>
      </c>
      <c r="G2528">
        <f t="shared" si="39"/>
        <v>1575840647</v>
      </c>
    </row>
    <row r="2529" spans="1:7" x14ac:dyDescent="0.25">
      <c r="A2529">
        <v>1575841599</v>
      </c>
      <c r="B2529" t="s">
        <v>37280</v>
      </c>
      <c r="C2529">
        <v>1753</v>
      </c>
      <c r="D2529">
        <v>1</v>
      </c>
      <c r="E2529">
        <v>1900</v>
      </c>
      <c r="F2529">
        <v>3394</v>
      </c>
      <c r="G2529">
        <f t="shared" si="39"/>
        <v>1575841599</v>
      </c>
    </row>
    <row r="2530" spans="1:7" x14ac:dyDescent="0.25">
      <c r="A2530">
        <v>1575844777</v>
      </c>
      <c r="B2530" t="s">
        <v>25586</v>
      </c>
      <c r="C2530">
        <v>882</v>
      </c>
      <c r="D2530">
        <v>3</v>
      </c>
      <c r="E2530">
        <v>15589</v>
      </c>
      <c r="F2530">
        <v>937</v>
      </c>
      <c r="G2530">
        <f t="shared" si="39"/>
        <v>1575844777</v>
      </c>
    </row>
    <row r="2531" spans="1:7" x14ac:dyDescent="0.25">
      <c r="A2531">
        <v>1575847025</v>
      </c>
      <c r="B2531" t="s">
        <v>25587</v>
      </c>
      <c r="C2531">
        <v>1362</v>
      </c>
      <c r="D2531">
        <v>1</v>
      </c>
      <c r="E2531">
        <v>3584</v>
      </c>
      <c r="F2531">
        <v>2856</v>
      </c>
      <c r="G2531">
        <f t="shared" si="39"/>
        <v>1575847025</v>
      </c>
    </row>
    <row r="2532" spans="1:7" x14ac:dyDescent="0.25">
      <c r="A2532">
        <v>1575849896</v>
      </c>
      <c r="B2532" t="s">
        <v>25588</v>
      </c>
      <c r="C2532">
        <v>250</v>
      </c>
      <c r="D2532">
        <v>1</v>
      </c>
      <c r="E2532">
        <v>1069</v>
      </c>
      <c r="F2532">
        <v>3901</v>
      </c>
      <c r="G2532">
        <f t="shared" si="39"/>
        <v>1575849896</v>
      </c>
    </row>
    <row r="2533" spans="1:7" x14ac:dyDescent="0.25">
      <c r="A2533">
        <v>1575851630</v>
      </c>
      <c r="B2533" t="s">
        <v>25589</v>
      </c>
      <c r="C2533">
        <v>0</v>
      </c>
      <c r="D2533">
        <v>0</v>
      </c>
      <c r="E2533">
        <v>0</v>
      </c>
      <c r="F2533">
        <v>7351</v>
      </c>
      <c r="G2533">
        <f t="shared" si="39"/>
        <v>1575851630</v>
      </c>
    </row>
    <row r="2534" spans="1:7" x14ac:dyDescent="0.25">
      <c r="A2534">
        <v>1575852758</v>
      </c>
      <c r="B2534" t="s">
        <v>36328</v>
      </c>
      <c r="C2534">
        <v>1660</v>
      </c>
      <c r="D2534">
        <v>1</v>
      </c>
      <c r="E2534">
        <v>3474</v>
      </c>
      <c r="F2534">
        <v>2880</v>
      </c>
      <c r="G2534">
        <f t="shared" si="39"/>
        <v>1575852758</v>
      </c>
    </row>
    <row r="2535" spans="1:7" x14ac:dyDescent="0.25">
      <c r="A2535">
        <v>1575853380</v>
      </c>
      <c r="B2535" t="s">
        <v>25590</v>
      </c>
      <c r="C2535">
        <v>1363</v>
      </c>
      <c r="D2535">
        <v>1</v>
      </c>
      <c r="E2535">
        <v>3061</v>
      </c>
      <c r="F2535">
        <v>2980</v>
      </c>
      <c r="G2535">
        <f t="shared" si="39"/>
        <v>1575853380</v>
      </c>
    </row>
    <row r="2536" spans="1:7" x14ac:dyDescent="0.25">
      <c r="A2536">
        <v>1575855113</v>
      </c>
      <c r="B2536" t="s">
        <v>25591</v>
      </c>
      <c r="C2536">
        <v>0</v>
      </c>
      <c r="D2536">
        <v>1</v>
      </c>
      <c r="E2536">
        <v>275</v>
      </c>
      <c r="F2536">
        <v>5203</v>
      </c>
      <c r="G2536">
        <f t="shared" si="39"/>
        <v>1575855113</v>
      </c>
    </row>
    <row r="2537" spans="1:7" x14ac:dyDescent="0.25">
      <c r="A2537">
        <v>1575855752</v>
      </c>
      <c r="B2537" t="s">
        <v>25592</v>
      </c>
      <c r="C2537">
        <v>58</v>
      </c>
      <c r="D2537">
        <v>4</v>
      </c>
      <c r="E2537">
        <v>22560</v>
      </c>
      <c r="F2537">
        <v>490</v>
      </c>
      <c r="G2537">
        <f t="shared" si="39"/>
        <v>1575855752</v>
      </c>
    </row>
    <row r="2538" spans="1:7" x14ac:dyDescent="0.25">
      <c r="A2538">
        <v>1575856912</v>
      </c>
      <c r="B2538" t="s">
        <v>25593</v>
      </c>
      <c r="C2538">
        <v>1232</v>
      </c>
      <c r="D2538">
        <v>1</v>
      </c>
      <c r="E2538">
        <v>4465</v>
      </c>
      <c r="F2538">
        <v>2629</v>
      </c>
      <c r="G2538">
        <f t="shared" si="39"/>
        <v>1575856912</v>
      </c>
    </row>
    <row r="2539" spans="1:7" x14ac:dyDescent="0.25">
      <c r="A2539">
        <v>1575860971</v>
      </c>
      <c r="B2539" t="e">
        <f>-owned</f>
        <v>#NAME?</v>
      </c>
      <c r="C2539">
        <v>1734</v>
      </c>
      <c r="D2539">
        <v>0</v>
      </c>
      <c r="E2539">
        <v>0</v>
      </c>
      <c r="F2539">
        <v>7352</v>
      </c>
      <c r="G2539">
        <f t="shared" si="39"/>
        <v>1575860971</v>
      </c>
    </row>
    <row r="2540" spans="1:7" x14ac:dyDescent="0.25">
      <c r="A2540">
        <v>1575862578</v>
      </c>
      <c r="B2540" t="s">
        <v>25594</v>
      </c>
      <c r="C2540">
        <v>1340</v>
      </c>
      <c r="D2540">
        <v>5</v>
      </c>
      <c r="E2540">
        <v>18278</v>
      </c>
      <c r="F2540">
        <v>758</v>
      </c>
      <c r="G2540">
        <f t="shared" si="39"/>
        <v>1575862578</v>
      </c>
    </row>
    <row r="2541" spans="1:7" x14ac:dyDescent="0.25">
      <c r="A2541">
        <v>1575866659</v>
      </c>
      <c r="B2541" t="s">
        <v>25595</v>
      </c>
      <c r="C2541">
        <v>0</v>
      </c>
      <c r="D2541">
        <v>0</v>
      </c>
      <c r="E2541">
        <v>0</v>
      </c>
      <c r="F2541">
        <v>7353</v>
      </c>
      <c r="G2541">
        <f t="shared" si="39"/>
        <v>1575866659</v>
      </c>
    </row>
    <row r="2542" spans="1:7" x14ac:dyDescent="0.25">
      <c r="A2542">
        <v>1575867932</v>
      </c>
      <c r="B2542" t="s">
        <v>25596</v>
      </c>
      <c r="C2542">
        <v>882</v>
      </c>
      <c r="D2542">
        <v>1</v>
      </c>
      <c r="E2542">
        <v>2190</v>
      </c>
      <c r="F2542">
        <v>3252</v>
      </c>
      <c r="G2542">
        <f t="shared" si="39"/>
        <v>1575867932</v>
      </c>
    </row>
    <row r="2543" spans="1:7" x14ac:dyDescent="0.25">
      <c r="A2543">
        <v>1575870409</v>
      </c>
      <c r="B2543" t="s">
        <v>36329</v>
      </c>
      <c r="C2543">
        <v>399</v>
      </c>
      <c r="D2543">
        <v>1</v>
      </c>
      <c r="E2543">
        <v>2236</v>
      </c>
      <c r="F2543">
        <v>3255</v>
      </c>
      <c r="G2543">
        <f t="shared" si="39"/>
        <v>1575870409</v>
      </c>
    </row>
    <row r="2544" spans="1:7" x14ac:dyDescent="0.25">
      <c r="A2544">
        <v>1575870717</v>
      </c>
      <c r="B2544" t="s">
        <v>25597</v>
      </c>
      <c r="C2544">
        <v>0</v>
      </c>
      <c r="D2544">
        <v>0</v>
      </c>
      <c r="E2544">
        <v>0</v>
      </c>
      <c r="F2544">
        <v>7354</v>
      </c>
      <c r="G2544">
        <f t="shared" si="39"/>
        <v>1575870717</v>
      </c>
    </row>
    <row r="2545" spans="1:7" x14ac:dyDescent="0.25">
      <c r="A2545">
        <v>1575871779</v>
      </c>
      <c r="B2545" t="s">
        <v>25598</v>
      </c>
      <c r="C2545">
        <v>1373</v>
      </c>
      <c r="D2545">
        <v>2</v>
      </c>
      <c r="E2545">
        <v>8815</v>
      </c>
      <c r="F2545">
        <v>1761</v>
      </c>
      <c r="G2545">
        <f t="shared" si="39"/>
        <v>1575871779</v>
      </c>
    </row>
    <row r="2546" spans="1:7" x14ac:dyDescent="0.25">
      <c r="A2546">
        <v>1575873412</v>
      </c>
      <c r="B2546" t="s">
        <v>25599</v>
      </c>
      <c r="C2546">
        <v>0</v>
      </c>
      <c r="D2546">
        <v>1</v>
      </c>
      <c r="E2546">
        <v>1105</v>
      </c>
      <c r="F2546">
        <v>3869</v>
      </c>
      <c r="G2546">
        <f t="shared" si="39"/>
        <v>1575873412</v>
      </c>
    </row>
    <row r="2547" spans="1:7" x14ac:dyDescent="0.25">
      <c r="A2547">
        <v>1575873872</v>
      </c>
      <c r="B2547" t="s">
        <v>25600</v>
      </c>
      <c r="C2547">
        <v>1403</v>
      </c>
      <c r="D2547">
        <v>2</v>
      </c>
      <c r="E2547">
        <v>9090</v>
      </c>
      <c r="F2547">
        <v>1705</v>
      </c>
      <c r="G2547">
        <f t="shared" si="39"/>
        <v>1575873872</v>
      </c>
    </row>
    <row r="2548" spans="1:7" x14ac:dyDescent="0.25">
      <c r="A2548">
        <v>1575874886</v>
      </c>
      <c r="B2548" t="s">
        <v>25601</v>
      </c>
      <c r="C2548">
        <v>0</v>
      </c>
      <c r="D2548">
        <v>1</v>
      </c>
      <c r="E2548">
        <v>26</v>
      </c>
      <c r="F2548">
        <v>6515</v>
      </c>
      <c r="G2548">
        <f t="shared" si="39"/>
        <v>1575874886</v>
      </c>
    </row>
    <row r="2549" spans="1:7" x14ac:dyDescent="0.25">
      <c r="A2549">
        <v>1575877313</v>
      </c>
      <c r="B2549" t="s">
        <v>25602</v>
      </c>
      <c r="C2549">
        <v>1885</v>
      </c>
      <c r="D2549">
        <v>1</v>
      </c>
      <c r="E2549">
        <v>504</v>
      </c>
      <c r="F2549">
        <v>4649</v>
      </c>
      <c r="G2549">
        <f t="shared" si="39"/>
        <v>1575877313</v>
      </c>
    </row>
    <row r="2550" spans="1:7" x14ac:dyDescent="0.25">
      <c r="A2550">
        <v>1575877352</v>
      </c>
      <c r="B2550" t="s">
        <v>25603</v>
      </c>
      <c r="C2550">
        <v>0</v>
      </c>
      <c r="D2550">
        <v>1</v>
      </c>
      <c r="E2550">
        <v>156</v>
      </c>
      <c r="F2550">
        <v>5679</v>
      </c>
      <c r="G2550">
        <f t="shared" si="39"/>
        <v>1575877352</v>
      </c>
    </row>
    <row r="2551" spans="1:7" x14ac:dyDescent="0.25">
      <c r="A2551">
        <v>1575877996</v>
      </c>
      <c r="B2551" t="s">
        <v>25604</v>
      </c>
      <c r="C2551">
        <v>1459</v>
      </c>
      <c r="D2551">
        <v>1</v>
      </c>
      <c r="E2551">
        <v>363</v>
      </c>
      <c r="F2551">
        <v>4946</v>
      </c>
      <c r="G2551">
        <f t="shared" si="39"/>
        <v>1575877996</v>
      </c>
    </row>
    <row r="2552" spans="1:7" x14ac:dyDescent="0.25">
      <c r="A2552">
        <v>1575879198</v>
      </c>
      <c r="B2552" t="s">
        <v>25605</v>
      </c>
      <c r="C2552">
        <v>0</v>
      </c>
      <c r="D2552">
        <v>0</v>
      </c>
      <c r="E2552">
        <v>0</v>
      </c>
      <c r="F2552">
        <v>7355</v>
      </c>
      <c r="G2552">
        <f t="shared" si="39"/>
        <v>1575879198</v>
      </c>
    </row>
    <row r="2553" spans="1:7" x14ac:dyDescent="0.25">
      <c r="A2553">
        <v>1575879668</v>
      </c>
      <c r="B2553" t="s">
        <v>25606</v>
      </c>
      <c r="C2553">
        <v>0</v>
      </c>
      <c r="D2553">
        <v>0</v>
      </c>
      <c r="E2553">
        <v>0</v>
      </c>
      <c r="F2553">
        <v>7356</v>
      </c>
      <c r="G2553">
        <f t="shared" si="39"/>
        <v>1575879668</v>
      </c>
    </row>
    <row r="2554" spans="1:7" x14ac:dyDescent="0.25">
      <c r="A2554">
        <v>1575880049</v>
      </c>
      <c r="B2554" t="s">
        <v>25607</v>
      </c>
      <c r="C2554">
        <v>0</v>
      </c>
      <c r="D2554">
        <v>1</v>
      </c>
      <c r="E2554">
        <v>310</v>
      </c>
      <c r="F2554">
        <v>5099</v>
      </c>
      <c r="G2554">
        <f t="shared" si="39"/>
        <v>1575880049</v>
      </c>
    </row>
    <row r="2555" spans="1:7" x14ac:dyDescent="0.25">
      <c r="A2555">
        <v>1575880662</v>
      </c>
      <c r="B2555" t="s">
        <v>25608</v>
      </c>
      <c r="C2555">
        <v>196</v>
      </c>
      <c r="D2555">
        <v>5</v>
      </c>
      <c r="E2555">
        <v>24111</v>
      </c>
      <c r="F2555">
        <v>435</v>
      </c>
      <c r="G2555">
        <f t="shared" si="39"/>
        <v>1575880662</v>
      </c>
    </row>
    <row r="2556" spans="1:7" x14ac:dyDescent="0.25">
      <c r="A2556">
        <v>1575881708</v>
      </c>
      <c r="B2556" t="s">
        <v>25609</v>
      </c>
      <c r="C2556">
        <v>424</v>
      </c>
      <c r="D2556">
        <v>4</v>
      </c>
      <c r="E2556">
        <v>23528</v>
      </c>
      <c r="F2556">
        <v>456</v>
      </c>
      <c r="G2556">
        <f t="shared" si="39"/>
        <v>1575881708</v>
      </c>
    </row>
    <row r="2557" spans="1:7" x14ac:dyDescent="0.25">
      <c r="A2557">
        <v>1575881899</v>
      </c>
      <c r="B2557" t="s">
        <v>25610</v>
      </c>
      <c r="C2557">
        <v>0</v>
      </c>
      <c r="D2557">
        <v>1</v>
      </c>
      <c r="E2557">
        <v>92</v>
      </c>
      <c r="F2557">
        <v>5893</v>
      </c>
      <c r="G2557">
        <f t="shared" si="39"/>
        <v>1575881899</v>
      </c>
    </row>
    <row r="2558" spans="1:7" x14ac:dyDescent="0.25">
      <c r="A2558">
        <v>1575882913</v>
      </c>
      <c r="B2558" t="s">
        <v>25611</v>
      </c>
      <c r="C2558">
        <v>0</v>
      </c>
      <c r="D2558">
        <v>1</v>
      </c>
      <c r="E2558">
        <v>367</v>
      </c>
      <c r="F2558">
        <v>4955</v>
      </c>
      <c r="G2558">
        <f t="shared" si="39"/>
        <v>1575882913</v>
      </c>
    </row>
    <row r="2559" spans="1:7" x14ac:dyDescent="0.25">
      <c r="A2559">
        <v>1575884360</v>
      </c>
      <c r="B2559" t="s">
        <v>25612</v>
      </c>
      <c r="C2559">
        <v>552</v>
      </c>
      <c r="D2559">
        <v>3</v>
      </c>
      <c r="E2559">
        <v>12753</v>
      </c>
      <c r="F2559">
        <v>1195</v>
      </c>
      <c r="G2559">
        <f t="shared" si="39"/>
        <v>1575884360</v>
      </c>
    </row>
    <row r="2560" spans="1:7" x14ac:dyDescent="0.25">
      <c r="A2560">
        <v>1575884681</v>
      </c>
      <c r="B2560" t="s">
        <v>25613</v>
      </c>
      <c r="C2560">
        <v>189</v>
      </c>
      <c r="D2560">
        <v>1</v>
      </c>
      <c r="E2560">
        <v>8596</v>
      </c>
      <c r="F2560">
        <v>1794</v>
      </c>
      <c r="G2560">
        <f t="shared" si="39"/>
        <v>1575884681</v>
      </c>
    </row>
    <row r="2561" spans="1:7" x14ac:dyDescent="0.25">
      <c r="A2561">
        <v>1575887068</v>
      </c>
      <c r="B2561" t="s">
        <v>25614</v>
      </c>
      <c r="C2561">
        <v>0</v>
      </c>
      <c r="D2561">
        <v>1</v>
      </c>
      <c r="E2561">
        <v>396</v>
      </c>
      <c r="F2561">
        <v>4857</v>
      </c>
      <c r="G2561">
        <f t="shared" ref="G2561:G2624" si="40">A2561</f>
        <v>1575887068</v>
      </c>
    </row>
    <row r="2562" spans="1:7" x14ac:dyDescent="0.25">
      <c r="A2562">
        <v>1575888028</v>
      </c>
      <c r="B2562" t="s">
        <v>25615</v>
      </c>
      <c r="C2562">
        <v>0</v>
      </c>
      <c r="D2562">
        <v>1</v>
      </c>
      <c r="E2562">
        <v>100</v>
      </c>
      <c r="F2562">
        <v>5850</v>
      </c>
      <c r="G2562">
        <f t="shared" si="40"/>
        <v>1575888028</v>
      </c>
    </row>
    <row r="2563" spans="1:7" x14ac:dyDescent="0.25">
      <c r="A2563">
        <v>1575888967</v>
      </c>
      <c r="B2563" t="s">
        <v>25616</v>
      </c>
      <c r="C2563">
        <v>1534</v>
      </c>
      <c r="D2563">
        <v>1</v>
      </c>
      <c r="E2563">
        <v>648</v>
      </c>
      <c r="F2563">
        <v>4412</v>
      </c>
      <c r="G2563">
        <f t="shared" si="40"/>
        <v>1575888967</v>
      </c>
    </row>
    <row r="2564" spans="1:7" x14ac:dyDescent="0.25">
      <c r="A2564">
        <v>1575891872</v>
      </c>
      <c r="B2564" t="s">
        <v>36330</v>
      </c>
      <c r="C2564">
        <v>270</v>
      </c>
      <c r="D2564">
        <v>8</v>
      </c>
      <c r="E2564">
        <v>36205</v>
      </c>
      <c r="F2564">
        <v>134</v>
      </c>
      <c r="G2564">
        <f t="shared" si="40"/>
        <v>1575891872</v>
      </c>
    </row>
    <row r="2565" spans="1:7" x14ac:dyDescent="0.25">
      <c r="A2565">
        <v>1575894737</v>
      </c>
      <c r="B2565" t="s">
        <v>25617</v>
      </c>
      <c r="C2565">
        <v>78</v>
      </c>
      <c r="D2565">
        <v>1</v>
      </c>
      <c r="E2565">
        <v>6703</v>
      </c>
      <c r="F2565">
        <v>2116</v>
      </c>
      <c r="G2565">
        <f t="shared" si="40"/>
        <v>1575894737</v>
      </c>
    </row>
    <row r="2566" spans="1:7" x14ac:dyDescent="0.25">
      <c r="A2566">
        <v>1575896498</v>
      </c>
      <c r="B2566" t="s">
        <v>25618</v>
      </c>
      <c r="C2566">
        <v>0</v>
      </c>
      <c r="D2566">
        <v>0</v>
      </c>
      <c r="E2566">
        <v>0</v>
      </c>
      <c r="F2566">
        <v>7357</v>
      </c>
      <c r="G2566">
        <f t="shared" si="40"/>
        <v>1575896498</v>
      </c>
    </row>
    <row r="2567" spans="1:7" x14ac:dyDescent="0.25">
      <c r="A2567">
        <v>1575897424</v>
      </c>
      <c r="B2567" t="s">
        <v>36331</v>
      </c>
      <c r="C2567">
        <v>0</v>
      </c>
      <c r="D2567">
        <v>1</v>
      </c>
      <c r="E2567">
        <v>46</v>
      </c>
      <c r="F2567">
        <v>6217</v>
      </c>
      <c r="G2567">
        <f t="shared" si="40"/>
        <v>1575897424</v>
      </c>
    </row>
    <row r="2568" spans="1:7" x14ac:dyDescent="0.25">
      <c r="A2568">
        <v>1575897680</v>
      </c>
      <c r="B2568" t="s">
        <v>25619</v>
      </c>
      <c r="C2568">
        <v>27</v>
      </c>
      <c r="D2568">
        <v>3</v>
      </c>
      <c r="E2568">
        <v>8891</v>
      </c>
      <c r="F2568">
        <v>1737</v>
      </c>
      <c r="G2568">
        <f t="shared" si="40"/>
        <v>1575897680</v>
      </c>
    </row>
    <row r="2569" spans="1:7" x14ac:dyDescent="0.25">
      <c r="A2569">
        <v>1575899183</v>
      </c>
      <c r="B2569" t="s">
        <v>25620</v>
      </c>
      <c r="C2569">
        <v>0</v>
      </c>
      <c r="D2569">
        <v>1</v>
      </c>
      <c r="E2569">
        <v>92</v>
      </c>
      <c r="F2569">
        <v>5894</v>
      </c>
      <c r="G2569">
        <f t="shared" si="40"/>
        <v>1575899183</v>
      </c>
    </row>
    <row r="2570" spans="1:7" x14ac:dyDescent="0.25">
      <c r="A2570">
        <v>1575899639</v>
      </c>
      <c r="B2570" t="s">
        <v>25621</v>
      </c>
      <c r="C2570">
        <v>58</v>
      </c>
      <c r="D2570">
        <v>2</v>
      </c>
      <c r="E2570">
        <v>11209</v>
      </c>
      <c r="F2570">
        <v>1382</v>
      </c>
      <c r="G2570">
        <f t="shared" si="40"/>
        <v>1575899639</v>
      </c>
    </row>
    <row r="2571" spans="1:7" x14ac:dyDescent="0.25">
      <c r="A2571">
        <v>1575900433</v>
      </c>
      <c r="B2571" t="s">
        <v>25622</v>
      </c>
      <c r="C2571">
        <v>235</v>
      </c>
      <c r="D2571">
        <v>3</v>
      </c>
      <c r="E2571">
        <v>7204</v>
      </c>
      <c r="F2571">
        <v>2030</v>
      </c>
      <c r="G2571">
        <f t="shared" si="40"/>
        <v>1575900433</v>
      </c>
    </row>
    <row r="2572" spans="1:7" x14ac:dyDescent="0.25">
      <c r="A2572">
        <v>1575902647</v>
      </c>
      <c r="B2572" t="s">
        <v>36332</v>
      </c>
      <c r="C2572">
        <v>0</v>
      </c>
      <c r="D2572">
        <v>0</v>
      </c>
      <c r="E2572">
        <v>0</v>
      </c>
      <c r="F2572">
        <v>7358</v>
      </c>
      <c r="G2572">
        <f t="shared" si="40"/>
        <v>1575902647</v>
      </c>
    </row>
    <row r="2573" spans="1:7" x14ac:dyDescent="0.25">
      <c r="A2573">
        <v>1575903481</v>
      </c>
      <c r="B2573" t="s">
        <v>25623</v>
      </c>
      <c r="C2573">
        <v>4</v>
      </c>
      <c r="D2573">
        <v>7</v>
      </c>
      <c r="E2573">
        <v>41225</v>
      </c>
      <c r="F2573">
        <v>85</v>
      </c>
      <c r="G2573">
        <f t="shared" si="40"/>
        <v>1575903481</v>
      </c>
    </row>
    <row r="2574" spans="1:7" x14ac:dyDescent="0.25">
      <c r="A2574">
        <v>1575903781</v>
      </c>
      <c r="B2574" t="s">
        <v>36333</v>
      </c>
      <c r="C2574">
        <v>1688</v>
      </c>
      <c r="D2574">
        <v>7</v>
      </c>
      <c r="E2574">
        <v>33956</v>
      </c>
      <c r="F2574">
        <v>163</v>
      </c>
      <c r="G2574">
        <f t="shared" si="40"/>
        <v>1575903781</v>
      </c>
    </row>
    <row r="2575" spans="1:7" x14ac:dyDescent="0.25">
      <c r="A2575">
        <v>1575904603</v>
      </c>
      <c r="B2575" t="s">
        <v>25624</v>
      </c>
      <c r="C2575">
        <v>1268</v>
      </c>
      <c r="D2575">
        <v>1</v>
      </c>
      <c r="E2575">
        <v>76</v>
      </c>
      <c r="F2575">
        <v>6004</v>
      </c>
      <c r="G2575">
        <f t="shared" si="40"/>
        <v>1575904603</v>
      </c>
    </row>
    <row r="2576" spans="1:7" x14ac:dyDescent="0.25">
      <c r="A2576">
        <v>1575904868</v>
      </c>
      <c r="B2576" t="s">
        <v>25625</v>
      </c>
      <c r="C2576">
        <v>424</v>
      </c>
      <c r="D2576">
        <v>2</v>
      </c>
      <c r="E2576">
        <v>4098</v>
      </c>
      <c r="F2576">
        <v>2749</v>
      </c>
      <c r="G2576">
        <f t="shared" si="40"/>
        <v>1575904868</v>
      </c>
    </row>
    <row r="2577" spans="1:7" x14ac:dyDescent="0.25">
      <c r="A2577">
        <v>1575909931</v>
      </c>
      <c r="B2577" t="s">
        <v>25626</v>
      </c>
      <c r="C2577">
        <v>0</v>
      </c>
      <c r="D2577">
        <v>1</v>
      </c>
      <c r="E2577">
        <v>409</v>
      </c>
      <c r="F2577">
        <v>4828</v>
      </c>
      <c r="G2577">
        <f t="shared" si="40"/>
        <v>1575909931</v>
      </c>
    </row>
    <row r="2578" spans="1:7" x14ac:dyDescent="0.25">
      <c r="A2578">
        <v>1575910129</v>
      </c>
      <c r="B2578" t="s">
        <v>25627</v>
      </c>
      <c r="C2578">
        <v>431</v>
      </c>
      <c r="D2578">
        <v>0</v>
      </c>
      <c r="E2578">
        <v>0</v>
      </c>
      <c r="F2578">
        <v>7359</v>
      </c>
      <c r="G2578">
        <f t="shared" si="40"/>
        <v>1575910129</v>
      </c>
    </row>
    <row r="2579" spans="1:7" x14ac:dyDescent="0.25">
      <c r="A2579">
        <v>1575910986</v>
      </c>
      <c r="B2579" t="s">
        <v>25628</v>
      </c>
      <c r="C2579">
        <v>6</v>
      </c>
      <c r="D2579">
        <v>3</v>
      </c>
      <c r="E2579">
        <v>11920</v>
      </c>
      <c r="F2579">
        <v>1290</v>
      </c>
      <c r="G2579">
        <f t="shared" si="40"/>
        <v>1575910986</v>
      </c>
    </row>
    <row r="2580" spans="1:7" x14ac:dyDescent="0.25">
      <c r="A2580">
        <v>1575911315</v>
      </c>
      <c r="B2580" t="s">
        <v>25629</v>
      </c>
      <c r="C2580">
        <v>1340</v>
      </c>
      <c r="D2580">
        <v>1</v>
      </c>
      <c r="E2580">
        <v>2855</v>
      </c>
      <c r="F2580">
        <v>3023</v>
      </c>
      <c r="G2580">
        <f t="shared" si="40"/>
        <v>1575911315</v>
      </c>
    </row>
    <row r="2581" spans="1:7" x14ac:dyDescent="0.25">
      <c r="A2581">
        <v>1575911462</v>
      </c>
      <c r="B2581" t="s">
        <v>25630</v>
      </c>
      <c r="C2581">
        <v>235</v>
      </c>
      <c r="D2581">
        <v>1</v>
      </c>
      <c r="E2581">
        <v>5067</v>
      </c>
      <c r="F2581">
        <v>2501</v>
      </c>
      <c r="G2581">
        <f t="shared" si="40"/>
        <v>1575911462</v>
      </c>
    </row>
    <row r="2582" spans="1:7" x14ac:dyDescent="0.25">
      <c r="A2582">
        <v>1575913262</v>
      </c>
      <c r="B2582" t="s">
        <v>25631</v>
      </c>
      <c r="C2582">
        <v>270</v>
      </c>
      <c r="D2582">
        <v>1</v>
      </c>
      <c r="E2582">
        <v>4173</v>
      </c>
      <c r="F2582">
        <v>2723</v>
      </c>
      <c r="G2582">
        <f t="shared" si="40"/>
        <v>1575913262</v>
      </c>
    </row>
    <row r="2583" spans="1:7" x14ac:dyDescent="0.25">
      <c r="A2583">
        <v>1575913398</v>
      </c>
      <c r="B2583" t="s">
        <v>25632</v>
      </c>
      <c r="C2583">
        <v>0</v>
      </c>
      <c r="D2583">
        <v>1</v>
      </c>
      <c r="E2583">
        <v>3042</v>
      </c>
      <c r="F2583">
        <v>2986</v>
      </c>
      <c r="G2583">
        <f t="shared" si="40"/>
        <v>1575913398</v>
      </c>
    </row>
    <row r="2584" spans="1:7" x14ac:dyDescent="0.25">
      <c r="A2584">
        <v>1575913621</v>
      </c>
      <c r="B2584" t="s">
        <v>25633</v>
      </c>
      <c r="C2584">
        <v>0</v>
      </c>
      <c r="D2584">
        <v>1</v>
      </c>
      <c r="E2584">
        <v>1721</v>
      </c>
      <c r="F2584">
        <v>3485</v>
      </c>
      <c r="G2584">
        <f t="shared" si="40"/>
        <v>1575913621</v>
      </c>
    </row>
    <row r="2585" spans="1:7" x14ac:dyDescent="0.25">
      <c r="A2585">
        <v>1575914547</v>
      </c>
      <c r="B2585" t="s">
        <v>25634</v>
      </c>
      <c r="C2585">
        <v>0</v>
      </c>
      <c r="D2585">
        <v>1</v>
      </c>
      <c r="E2585">
        <v>26</v>
      </c>
      <c r="F2585">
        <v>6516</v>
      </c>
      <c r="G2585">
        <f t="shared" si="40"/>
        <v>1575914547</v>
      </c>
    </row>
    <row r="2586" spans="1:7" x14ac:dyDescent="0.25">
      <c r="A2586">
        <v>1575914765</v>
      </c>
      <c r="B2586" t="s">
        <v>25635</v>
      </c>
      <c r="C2586">
        <v>235</v>
      </c>
      <c r="D2586">
        <v>2</v>
      </c>
      <c r="E2586">
        <v>5935</v>
      </c>
      <c r="F2586">
        <v>2294</v>
      </c>
      <c r="G2586">
        <f t="shared" si="40"/>
        <v>1575914765</v>
      </c>
    </row>
    <row r="2587" spans="1:7" x14ac:dyDescent="0.25">
      <c r="A2587">
        <v>1575914865</v>
      </c>
      <c r="B2587" t="s">
        <v>25636</v>
      </c>
      <c r="C2587">
        <v>106</v>
      </c>
      <c r="D2587">
        <v>2</v>
      </c>
      <c r="E2587">
        <v>8544</v>
      </c>
      <c r="F2587">
        <v>1795</v>
      </c>
      <c r="G2587">
        <f t="shared" si="40"/>
        <v>1575914865</v>
      </c>
    </row>
    <row r="2588" spans="1:7" x14ac:dyDescent="0.25">
      <c r="A2588">
        <v>1575916450</v>
      </c>
      <c r="B2588" t="s">
        <v>25637</v>
      </c>
      <c r="C2588">
        <v>0</v>
      </c>
      <c r="D2588">
        <v>0</v>
      </c>
      <c r="E2588">
        <v>0</v>
      </c>
      <c r="F2588">
        <v>7360</v>
      </c>
      <c r="G2588">
        <f t="shared" si="40"/>
        <v>1575916450</v>
      </c>
    </row>
    <row r="2589" spans="1:7" x14ac:dyDescent="0.25">
      <c r="A2589">
        <v>1575917538</v>
      </c>
      <c r="B2589" t="s">
        <v>25638</v>
      </c>
      <c r="C2589">
        <v>0</v>
      </c>
      <c r="D2589">
        <v>1</v>
      </c>
      <c r="E2589">
        <v>171</v>
      </c>
      <c r="F2589">
        <v>5611</v>
      </c>
      <c r="G2589">
        <f t="shared" si="40"/>
        <v>1575917538</v>
      </c>
    </row>
    <row r="2590" spans="1:7" x14ac:dyDescent="0.25">
      <c r="A2590">
        <v>1575920032</v>
      </c>
      <c r="B2590" t="s">
        <v>37281</v>
      </c>
      <c r="C2590">
        <v>0</v>
      </c>
      <c r="D2590">
        <v>1</v>
      </c>
      <c r="E2590">
        <v>148</v>
      </c>
      <c r="F2590">
        <v>5704</v>
      </c>
      <c r="G2590">
        <f t="shared" si="40"/>
        <v>1575920032</v>
      </c>
    </row>
    <row r="2591" spans="1:7" x14ac:dyDescent="0.25">
      <c r="A2591">
        <v>1575920058</v>
      </c>
      <c r="B2591" t="s">
        <v>25639</v>
      </c>
      <c r="C2591">
        <v>1913</v>
      </c>
      <c r="D2591">
        <v>1</v>
      </c>
      <c r="E2591">
        <v>982</v>
      </c>
      <c r="F2591">
        <v>4001</v>
      </c>
      <c r="G2591">
        <f t="shared" si="40"/>
        <v>1575920058</v>
      </c>
    </row>
    <row r="2592" spans="1:7" x14ac:dyDescent="0.25">
      <c r="A2592">
        <v>1575922861</v>
      </c>
      <c r="B2592" t="s">
        <v>25640</v>
      </c>
      <c r="C2592">
        <v>0</v>
      </c>
      <c r="D2592">
        <v>0</v>
      </c>
      <c r="E2592">
        <v>0</v>
      </c>
      <c r="F2592">
        <v>7361</v>
      </c>
      <c r="G2592">
        <f t="shared" si="40"/>
        <v>1575922861</v>
      </c>
    </row>
    <row r="2593" spans="1:7" x14ac:dyDescent="0.25">
      <c r="A2593">
        <v>1575923303</v>
      </c>
      <c r="B2593" t="s">
        <v>25641</v>
      </c>
      <c r="C2593">
        <v>1403</v>
      </c>
      <c r="D2593">
        <v>4</v>
      </c>
      <c r="E2593">
        <v>11676</v>
      </c>
      <c r="F2593">
        <v>1324</v>
      </c>
      <c r="G2593">
        <f t="shared" si="40"/>
        <v>1575923303</v>
      </c>
    </row>
    <row r="2594" spans="1:7" x14ac:dyDescent="0.25">
      <c r="A2594">
        <v>1575926239</v>
      </c>
      <c r="B2594" t="s">
        <v>25642</v>
      </c>
      <c r="C2594">
        <v>0</v>
      </c>
      <c r="D2594">
        <v>1</v>
      </c>
      <c r="E2594">
        <v>179</v>
      </c>
      <c r="F2594">
        <v>5587</v>
      </c>
      <c r="G2594">
        <f t="shared" si="40"/>
        <v>1575926239</v>
      </c>
    </row>
    <row r="2595" spans="1:7" x14ac:dyDescent="0.25">
      <c r="A2595">
        <v>1575935262</v>
      </c>
      <c r="B2595" t="s">
        <v>25643</v>
      </c>
      <c r="C2595">
        <v>419</v>
      </c>
      <c r="D2595">
        <v>1</v>
      </c>
      <c r="E2595">
        <v>6182</v>
      </c>
      <c r="F2595">
        <v>2238</v>
      </c>
      <c r="G2595">
        <f t="shared" si="40"/>
        <v>1575935262</v>
      </c>
    </row>
    <row r="2596" spans="1:7" x14ac:dyDescent="0.25">
      <c r="A2596">
        <v>1575936145</v>
      </c>
      <c r="B2596" t="s">
        <v>36334</v>
      </c>
      <c r="C2596">
        <v>0</v>
      </c>
      <c r="D2596">
        <v>1</v>
      </c>
      <c r="E2596">
        <v>1828</v>
      </c>
      <c r="F2596">
        <v>3465</v>
      </c>
      <c r="G2596">
        <f t="shared" si="40"/>
        <v>1575936145</v>
      </c>
    </row>
    <row r="2597" spans="1:7" x14ac:dyDescent="0.25">
      <c r="A2597">
        <v>1575936239</v>
      </c>
      <c r="B2597" t="s">
        <v>36335</v>
      </c>
      <c r="C2597">
        <v>0</v>
      </c>
      <c r="D2597">
        <v>1</v>
      </c>
      <c r="E2597">
        <v>246</v>
      </c>
      <c r="F2597">
        <v>5325</v>
      </c>
      <c r="G2597">
        <f t="shared" si="40"/>
        <v>1575936239</v>
      </c>
    </row>
    <row r="2598" spans="1:7" x14ac:dyDescent="0.25">
      <c r="A2598">
        <v>1575937635</v>
      </c>
      <c r="B2598" t="s">
        <v>25644</v>
      </c>
      <c r="C2598">
        <v>0</v>
      </c>
      <c r="D2598">
        <v>1</v>
      </c>
      <c r="E2598">
        <v>26</v>
      </c>
      <c r="F2598">
        <v>6517</v>
      </c>
      <c r="G2598">
        <f t="shared" si="40"/>
        <v>1575937635</v>
      </c>
    </row>
    <row r="2599" spans="1:7" x14ac:dyDescent="0.25">
      <c r="A2599">
        <v>1575939554</v>
      </c>
      <c r="B2599" t="s">
        <v>36336</v>
      </c>
      <c r="C2599">
        <v>0</v>
      </c>
      <c r="D2599">
        <v>1</v>
      </c>
      <c r="E2599">
        <v>26</v>
      </c>
      <c r="F2599">
        <v>6518</v>
      </c>
      <c r="G2599">
        <f t="shared" si="40"/>
        <v>1575939554</v>
      </c>
    </row>
    <row r="2600" spans="1:7" x14ac:dyDescent="0.25">
      <c r="A2600">
        <v>1575940519</v>
      </c>
      <c r="B2600" t="s">
        <v>25645</v>
      </c>
      <c r="C2600">
        <v>0</v>
      </c>
      <c r="D2600">
        <v>1</v>
      </c>
      <c r="E2600">
        <v>50</v>
      </c>
      <c r="F2600">
        <v>6179</v>
      </c>
      <c r="G2600">
        <f t="shared" si="40"/>
        <v>1575940519</v>
      </c>
    </row>
    <row r="2601" spans="1:7" x14ac:dyDescent="0.25">
      <c r="A2601">
        <v>1575941214</v>
      </c>
      <c r="B2601" t="s">
        <v>25646</v>
      </c>
      <c r="C2601">
        <v>0</v>
      </c>
      <c r="D2601">
        <v>0</v>
      </c>
      <c r="E2601">
        <v>0</v>
      </c>
      <c r="F2601">
        <v>7362</v>
      </c>
      <c r="G2601">
        <f t="shared" si="40"/>
        <v>1575941214</v>
      </c>
    </row>
    <row r="2602" spans="1:7" x14ac:dyDescent="0.25">
      <c r="A2602">
        <v>1575946215</v>
      </c>
      <c r="B2602" t="s">
        <v>36337</v>
      </c>
      <c r="C2602">
        <v>1708</v>
      </c>
      <c r="D2602">
        <v>1</v>
      </c>
      <c r="E2602">
        <v>2828</v>
      </c>
      <c r="F2602">
        <v>3030</v>
      </c>
      <c r="G2602">
        <f t="shared" si="40"/>
        <v>1575946215</v>
      </c>
    </row>
    <row r="2603" spans="1:7" x14ac:dyDescent="0.25">
      <c r="A2603">
        <v>1575947069</v>
      </c>
      <c r="B2603" t="s">
        <v>25647</v>
      </c>
      <c r="C2603">
        <v>190</v>
      </c>
      <c r="D2603">
        <v>0</v>
      </c>
      <c r="E2603">
        <v>0</v>
      </c>
      <c r="F2603">
        <v>7363</v>
      </c>
      <c r="G2603">
        <f t="shared" si="40"/>
        <v>1575947069</v>
      </c>
    </row>
    <row r="2604" spans="1:7" x14ac:dyDescent="0.25">
      <c r="A2604">
        <v>1575948513</v>
      </c>
      <c r="B2604" t="s">
        <v>25648</v>
      </c>
      <c r="C2604">
        <v>0</v>
      </c>
      <c r="D2604">
        <v>0</v>
      </c>
      <c r="E2604">
        <v>0</v>
      </c>
      <c r="F2604">
        <v>7364</v>
      </c>
      <c r="G2604">
        <f t="shared" si="40"/>
        <v>1575948513</v>
      </c>
    </row>
    <row r="2605" spans="1:7" x14ac:dyDescent="0.25">
      <c r="A2605">
        <v>1575951708</v>
      </c>
      <c r="B2605" t="s">
        <v>25649</v>
      </c>
      <c r="C2605">
        <v>1299</v>
      </c>
      <c r="D2605">
        <v>1</v>
      </c>
      <c r="E2605">
        <v>296</v>
      </c>
      <c r="F2605">
        <v>5130</v>
      </c>
      <c r="G2605">
        <f t="shared" si="40"/>
        <v>1575951708</v>
      </c>
    </row>
    <row r="2606" spans="1:7" x14ac:dyDescent="0.25">
      <c r="A2606">
        <v>1575951772</v>
      </c>
      <c r="B2606" t="s">
        <v>25650</v>
      </c>
      <c r="C2606">
        <v>69</v>
      </c>
      <c r="D2606">
        <v>3</v>
      </c>
      <c r="E2606">
        <v>10676</v>
      </c>
      <c r="F2606">
        <v>1471</v>
      </c>
      <c r="G2606">
        <f t="shared" si="40"/>
        <v>1575951772</v>
      </c>
    </row>
    <row r="2607" spans="1:7" x14ac:dyDescent="0.25">
      <c r="A2607">
        <v>1575953433</v>
      </c>
      <c r="B2607" t="s">
        <v>25651</v>
      </c>
      <c r="C2607">
        <v>1357</v>
      </c>
      <c r="D2607">
        <v>1</v>
      </c>
      <c r="E2607">
        <v>384</v>
      </c>
      <c r="F2607">
        <v>4887</v>
      </c>
      <c r="G2607">
        <f t="shared" si="40"/>
        <v>1575953433</v>
      </c>
    </row>
    <row r="2608" spans="1:7" x14ac:dyDescent="0.25">
      <c r="A2608">
        <v>1575953788</v>
      </c>
      <c r="B2608" t="s">
        <v>25652</v>
      </c>
      <c r="C2608">
        <v>126</v>
      </c>
      <c r="D2608">
        <v>5</v>
      </c>
      <c r="E2608">
        <v>22251</v>
      </c>
      <c r="F2608">
        <v>505</v>
      </c>
      <c r="G2608">
        <f t="shared" si="40"/>
        <v>1575953788</v>
      </c>
    </row>
    <row r="2609" spans="1:7" x14ac:dyDescent="0.25">
      <c r="A2609">
        <v>1575955890</v>
      </c>
      <c r="B2609" t="s">
        <v>37397</v>
      </c>
      <c r="C2609">
        <v>0</v>
      </c>
      <c r="D2609">
        <v>1</v>
      </c>
      <c r="E2609">
        <v>77</v>
      </c>
      <c r="F2609">
        <v>5991</v>
      </c>
      <c r="G2609">
        <f t="shared" si="40"/>
        <v>1575955890</v>
      </c>
    </row>
    <row r="2610" spans="1:7" x14ac:dyDescent="0.25">
      <c r="A2610">
        <v>1575956362</v>
      </c>
      <c r="B2610" t="s">
        <v>25653</v>
      </c>
      <c r="C2610">
        <v>617</v>
      </c>
      <c r="D2610">
        <v>2</v>
      </c>
      <c r="E2610">
        <v>9218</v>
      </c>
      <c r="F2610">
        <v>1708</v>
      </c>
      <c r="G2610">
        <f t="shared" si="40"/>
        <v>1575956362</v>
      </c>
    </row>
    <row r="2611" spans="1:7" x14ac:dyDescent="0.25">
      <c r="A2611">
        <v>1575957171</v>
      </c>
      <c r="B2611" t="s">
        <v>25654</v>
      </c>
      <c r="C2611">
        <v>126</v>
      </c>
      <c r="D2611">
        <v>6</v>
      </c>
      <c r="E2611">
        <v>30674</v>
      </c>
      <c r="F2611">
        <v>233</v>
      </c>
      <c r="G2611">
        <f t="shared" si="40"/>
        <v>1575957171</v>
      </c>
    </row>
    <row r="2612" spans="1:7" x14ac:dyDescent="0.25">
      <c r="A2612">
        <v>1575958408</v>
      </c>
      <c r="B2612" t="s">
        <v>25655</v>
      </c>
      <c r="C2612">
        <v>151</v>
      </c>
      <c r="D2612">
        <v>1</v>
      </c>
      <c r="E2612">
        <v>444</v>
      </c>
      <c r="F2612">
        <v>4755</v>
      </c>
      <c r="G2612">
        <f t="shared" si="40"/>
        <v>1575958408</v>
      </c>
    </row>
    <row r="2613" spans="1:7" x14ac:dyDescent="0.25">
      <c r="A2613">
        <v>1575959056</v>
      </c>
      <c r="B2613" t="s">
        <v>37282</v>
      </c>
      <c r="C2613">
        <v>151</v>
      </c>
      <c r="D2613">
        <v>1</v>
      </c>
      <c r="E2613">
        <v>484</v>
      </c>
      <c r="F2613">
        <v>4695</v>
      </c>
      <c r="G2613">
        <f t="shared" si="40"/>
        <v>1575959056</v>
      </c>
    </row>
    <row r="2614" spans="1:7" x14ac:dyDescent="0.25">
      <c r="A2614">
        <v>1575963120</v>
      </c>
      <c r="B2614" t="s">
        <v>25656</v>
      </c>
      <c r="C2614">
        <v>0</v>
      </c>
      <c r="D2614">
        <v>0</v>
      </c>
      <c r="E2614">
        <v>0</v>
      </c>
      <c r="F2614">
        <v>7365</v>
      </c>
      <c r="G2614">
        <f t="shared" si="40"/>
        <v>1575963120</v>
      </c>
    </row>
    <row r="2615" spans="1:7" x14ac:dyDescent="0.25">
      <c r="A2615">
        <v>1575963464</v>
      </c>
      <c r="B2615" t="s">
        <v>25657</v>
      </c>
      <c r="C2615">
        <v>1413</v>
      </c>
      <c r="D2615">
        <v>2</v>
      </c>
      <c r="E2615">
        <v>7018</v>
      </c>
      <c r="F2615">
        <v>2059</v>
      </c>
      <c r="G2615">
        <f t="shared" si="40"/>
        <v>1575963464</v>
      </c>
    </row>
    <row r="2616" spans="1:7" x14ac:dyDescent="0.25">
      <c r="A2616">
        <v>1575963662</v>
      </c>
      <c r="B2616" t="s">
        <v>25658</v>
      </c>
      <c r="C2616">
        <v>0</v>
      </c>
      <c r="D2616">
        <v>0</v>
      </c>
      <c r="E2616">
        <v>0</v>
      </c>
      <c r="F2616">
        <v>7366</v>
      </c>
      <c r="G2616">
        <f t="shared" si="40"/>
        <v>1575963662</v>
      </c>
    </row>
    <row r="2617" spans="1:7" x14ac:dyDescent="0.25">
      <c r="A2617">
        <v>1575967068</v>
      </c>
      <c r="B2617" t="s">
        <v>25659</v>
      </c>
      <c r="C2617">
        <v>0</v>
      </c>
      <c r="D2617">
        <v>1</v>
      </c>
      <c r="E2617">
        <v>162</v>
      </c>
      <c r="F2617">
        <v>5648</v>
      </c>
      <c r="G2617">
        <f t="shared" si="40"/>
        <v>1575967068</v>
      </c>
    </row>
    <row r="2618" spans="1:7" x14ac:dyDescent="0.25">
      <c r="A2618">
        <v>1575967084</v>
      </c>
      <c r="B2618" t="s">
        <v>25660</v>
      </c>
      <c r="C2618">
        <v>0</v>
      </c>
      <c r="D2618">
        <v>1</v>
      </c>
      <c r="E2618">
        <v>152</v>
      </c>
      <c r="F2618">
        <v>5691</v>
      </c>
      <c r="G2618">
        <f t="shared" si="40"/>
        <v>1575967084</v>
      </c>
    </row>
    <row r="2619" spans="1:7" x14ac:dyDescent="0.25">
      <c r="A2619">
        <v>1575967104</v>
      </c>
      <c r="B2619" t="s">
        <v>25661</v>
      </c>
      <c r="C2619">
        <v>0</v>
      </c>
      <c r="D2619">
        <v>1</v>
      </c>
      <c r="E2619">
        <v>147</v>
      </c>
      <c r="F2619">
        <v>5706</v>
      </c>
      <c r="G2619">
        <f t="shared" si="40"/>
        <v>1575967104</v>
      </c>
    </row>
    <row r="2620" spans="1:7" x14ac:dyDescent="0.25">
      <c r="A2620">
        <v>1575967615</v>
      </c>
      <c r="B2620" t="s">
        <v>25662</v>
      </c>
      <c r="C2620">
        <v>1775</v>
      </c>
      <c r="D2620">
        <v>2</v>
      </c>
      <c r="E2620">
        <v>5613</v>
      </c>
      <c r="F2620">
        <v>2375</v>
      </c>
      <c r="G2620">
        <f t="shared" si="40"/>
        <v>1575967615</v>
      </c>
    </row>
    <row r="2621" spans="1:7" x14ac:dyDescent="0.25">
      <c r="A2621">
        <v>1575968625</v>
      </c>
      <c r="B2621" t="s">
        <v>36338</v>
      </c>
      <c r="C2621">
        <v>0</v>
      </c>
      <c r="D2621">
        <v>0</v>
      </c>
      <c r="E2621">
        <v>0</v>
      </c>
      <c r="F2621">
        <v>7367</v>
      </c>
      <c r="G2621">
        <f t="shared" si="40"/>
        <v>1575968625</v>
      </c>
    </row>
    <row r="2622" spans="1:7" x14ac:dyDescent="0.25">
      <c r="A2622">
        <v>1575968781</v>
      </c>
      <c r="B2622" t="s">
        <v>25663</v>
      </c>
      <c r="C2622">
        <v>271</v>
      </c>
      <c r="D2622">
        <v>1</v>
      </c>
      <c r="E2622">
        <v>4320</v>
      </c>
      <c r="F2622">
        <v>2676</v>
      </c>
      <c r="G2622">
        <f t="shared" si="40"/>
        <v>1575968781</v>
      </c>
    </row>
    <row r="2623" spans="1:7" x14ac:dyDescent="0.25">
      <c r="A2623">
        <v>1575970561</v>
      </c>
      <c r="B2623" t="s">
        <v>25664</v>
      </c>
      <c r="C2623">
        <v>31</v>
      </c>
      <c r="D2623">
        <v>3</v>
      </c>
      <c r="E2623">
        <v>15654</v>
      </c>
      <c r="F2623">
        <v>932</v>
      </c>
      <c r="G2623">
        <f t="shared" si="40"/>
        <v>1575970561</v>
      </c>
    </row>
    <row r="2624" spans="1:7" x14ac:dyDescent="0.25">
      <c r="A2624">
        <v>1575971780</v>
      </c>
      <c r="B2624" t="s">
        <v>25665</v>
      </c>
      <c r="C2624">
        <v>126</v>
      </c>
      <c r="D2624">
        <v>3</v>
      </c>
      <c r="E2624">
        <v>17027</v>
      </c>
      <c r="F2624">
        <v>826</v>
      </c>
      <c r="G2624">
        <f t="shared" si="40"/>
        <v>1575971780</v>
      </c>
    </row>
    <row r="2625" spans="1:7" x14ac:dyDescent="0.25">
      <c r="A2625">
        <v>1575971962</v>
      </c>
      <c r="B2625" t="s">
        <v>25666</v>
      </c>
      <c r="C2625">
        <v>1875</v>
      </c>
      <c r="D2625">
        <v>1</v>
      </c>
      <c r="E2625">
        <v>26</v>
      </c>
      <c r="F2625">
        <v>6519</v>
      </c>
      <c r="G2625">
        <f t="shared" ref="G2625:G2688" si="41">A2625</f>
        <v>1575971962</v>
      </c>
    </row>
    <row r="2626" spans="1:7" x14ac:dyDescent="0.25">
      <c r="A2626">
        <v>1575973745</v>
      </c>
      <c r="B2626" t="s">
        <v>25667</v>
      </c>
      <c r="C2626">
        <v>0</v>
      </c>
      <c r="D2626">
        <v>1</v>
      </c>
      <c r="E2626">
        <v>26</v>
      </c>
      <c r="F2626">
        <v>6520</v>
      </c>
      <c r="G2626">
        <f t="shared" si="41"/>
        <v>1575973745</v>
      </c>
    </row>
    <row r="2627" spans="1:7" x14ac:dyDescent="0.25">
      <c r="A2627">
        <v>1575974550</v>
      </c>
      <c r="B2627" t="s">
        <v>25668</v>
      </c>
      <c r="C2627">
        <v>47</v>
      </c>
      <c r="D2627">
        <v>2</v>
      </c>
      <c r="E2627">
        <v>6599</v>
      </c>
      <c r="F2627">
        <v>2158</v>
      </c>
      <c r="G2627">
        <f t="shared" si="41"/>
        <v>1575974550</v>
      </c>
    </row>
    <row r="2628" spans="1:7" x14ac:dyDescent="0.25">
      <c r="A2628">
        <v>1575974592</v>
      </c>
      <c r="B2628" t="s">
        <v>25669</v>
      </c>
      <c r="C2628">
        <v>0</v>
      </c>
      <c r="D2628">
        <v>0</v>
      </c>
      <c r="E2628">
        <v>0</v>
      </c>
      <c r="F2628">
        <v>7368</v>
      </c>
      <c r="G2628">
        <f t="shared" si="41"/>
        <v>1575974592</v>
      </c>
    </row>
    <row r="2629" spans="1:7" x14ac:dyDescent="0.25">
      <c r="A2629">
        <v>1575977810</v>
      </c>
      <c r="B2629" t="s">
        <v>25670</v>
      </c>
      <c r="C2629">
        <v>887</v>
      </c>
      <c r="D2629">
        <v>1</v>
      </c>
      <c r="E2629">
        <v>3180</v>
      </c>
      <c r="F2629">
        <v>2945</v>
      </c>
      <c r="G2629">
        <f t="shared" si="41"/>
        <v>1575977810</v>
      </c>
    </row>
    <row r="2630" spans="1:7" x14ac:dyDescent="0.25">
      <c r="A2630">
        <v>1575978100</v>
      </c>
      <c r="B2630" t="s">
        <v>36339</v>
      </c>
      <c r="C2630">
        <v>887</v>
      </c>
      <c r="D2630">
        <v>1</v>
      </c>
      <c r="E2630">
        <v>1475</v>
      </c>
      <c r="F2630">
        <v>3610</v>
      </c>
      <c r="G2630">
        <f t="shared" si="41"/>
        <v>1575978100</v>
      </c>
    </row>
    <row r="2631" spans="1:7" x14ac:dyDescent="0.25">
      <c r="A2631">
        <v>1575978261</v>
      </c>
      <c r="B2631" t="s">
        <v>25671</v>
      </c>
      <c r="C2631">
        <v>422</v>
      </c>
      <c r="D2631">
        <v>1</v>
      </c>
      <c r="E2631">
        <v>1006</v>
      </c>
      <c r="F2631">
        <v>3977</v>
      </c>
      <c r="G2631">
        <f t="shared" si="41"/>
        <v>1575978261</v>
      </c>
    </row>
    <row r="2632" spans="1:7" x14ac:dyDescent="0.25">
      <c r="A2632">
        <v>1575978349</v>
      </c>
      <c r="B2632" t="s">
        <v>25672</v>
      </c>
      <c r="C2632">
        <v>0</v>
      </c>
      <c r="D2632">
        <v>0</v>
      </c>
      <c r="E2632">
        <v>0</v>
      </c>
      <c r="F2632">
        <v>7369</v>
      </c>
      <c r="G2632">
        <f t="shared" si="41"/>
        <v>1575978349</v>
      </c>
    </row>
    <row r="2633" spans="1:7" x14ac:dyDescent="0.25">
      <c r="A2633">
        <v>1575979045</v>
      </c>
      <c r="B2633" t="s">
        <v>36340</v>
      </c>
      <c r="C2633">
        <v>0</v>
      </c>
      <c r="D2633">
        <v>1</v>
      </c>
      <c r="E2633">
        <v>241</v>
      </c>
      <c r="F2633">
        <v>5341</v>
      </c>
      <c r="G2633">
        <f t="shared" si="41"/>
        <v>1575979045</v>
      </c>
    </row>
    <row r="2634" spans="1:7" x14ac:dyDescent="0.25">
      <c r="A2634">
        <v>1575980673</v>
      </c>
      <c r="B2634" t="s">
        <v>25673</v>
      </c>
      <c r="C2634">
        <v>0</v>
      </c>
      <c r="D2634">
        <v>1</v>
      </c>
      <c r="E2634">
        <v>227</v>
      </c>
      <c r="F2634">
        <v>5399</v>
      </c>
      <c r="G2634">
        <f t="shared" si="41"/>
        <v>1575980673</v>
      </c>
    </row>
    <row r="2635" spans="1:7" x14ac:dyDescent="0.25">
      <c r="A2635">
        <v>1575986401</v>
      </c>
      <c r="B2635" t="s">
        <v>25674</v>
      </c>
      <c r="C2635">
        <v>325</v>
      </c>
      <c r="D2635">
        <v>1</v>
      </c>
      <c r="E2635">
        <v>2855</v>
      </c>
      <c r="F2635">
        <v>3024</v>
      </c>
      <c r="G2635">
        <f t="shared" si="41"/>
        <v>1575986401</v>
      </c>
    </row>
    <row r="2636" spans="1:7" x14ac:dyDescent="0.25">
      <c r="A2636">
        <v>1575988694</v>
      </c>
      <c r="B2636" t="s">
        <v>36341</v>
      </c>
      <c r="C2636">
        <v>413</v>
      </c>
      <c r="D2636">
        <v>1</v>
      </c>
      <c r="E2636">
        <v>3242</v>
      </c>
      <c r="F2636">
        <v>2936</v>
      </c>
      <c r="G2636">
        <f t="shared" si="41"/>
        <v>1575988694</v>
      </c>
    </row>
    <row r="2637" spans="1:7" x14ac:dyDescent="0.25">
      <c r="A2637">
        <v>1575989858</v>
      </c>
      <c r="B2637" t="s">
        <v>25675</v>
      </c>
      <c r="C2637">
        <v>0</v>
      </c>
      <c r="D2637">
        <v>1</v>
      </c>
      <c r="E2637">
        <v>621</v>
      </c>
      <c r="F2637">
        <v>4448</v>
      </c>
      <c r="G2637">
        <f t="shared" si="41"/>
        <v>1575989858</v>
      </c>
    </row>
    <row r="2638" spans="1:7" x14ac:dyDescent="0.25">
      <c r="A2638">
        <v>1575990002</v>
      </c>
      <c r="B2638" t="s">
        <v>25676</v>
      </c>
      <c r="C2638">
        <v>3</v>
      </c>
      <c r="D2638">
        <v>1</v>
      </c>
      <c r="E2638">
        <v>5867</v>
      </c>
      <c r="F2638">
        <v>2310</v>
      </c>
      <c r="G2638">
        <f t="shared" si="41"/>
        <v>1575990002</v>
      </c>
    </row>
    <row r="2639" spans="1:7" x14ac:dyDescent="0.25">
      <c r="A2639">
        <v>1575990065</v>
      </c>
      <c r="B2639" t="s">
        <v>36342</v>
      </c>
      <c r="C2639">
        <v>27</v>
      </c>
      <c r="D2639">
        <v>4</v>
      </c>
      <c r="E2639">
        <v>27492</v>
      </c>
      <c r="F2639">
        <v>569</v>
      </c>
      <c r="G2639">
        <f t="shared" si="41"/>
        <v>1575990065</v>
      </c>
    </row>
    <row r="2640" spans="1:7" x14ac:dyDescent="0.25">
      <c r="A2640">
        <v>1575991002</v>
      </c>
      <c r="B2640" t="s">
        <v>25677</v>
      </c>
      <c r="C2640">
        <v>0</v>
      </c>
      <c r="D2640">
        <v>0</v>
      </c>
      <c r="E2640">
        <v>0</v>
      </c>
      <c r="F2640">
        <v>7370</v>
      </c>
      <c r="G2640">
        <f t="shared" si="41"/>
        <v>1575991002</v>
      </c>
    </row>
    <row r="2641" spans="1:7" x14ac:dyDescent="0.25">
      <c r="A2641">
        <v>1575991722</v>
      </c>
      <c r="B2641" t="s">
        <v>37003</v>
      </c>
      <c r="C2641">
        <v>480</v>
      </c>
      <c r="D2641">
        <v>2</v>
      </c>
      <c r="E2641">
        <v>7558</v>
      </c>
      <c r="F2641">
        <v>1974</v>
      </c>
      <c r="G2641">
        <f t="shared" si="41"/>
        <v>1575991722</v>
      </c>
    </row>
    <row r="2642" spans="1:7" x14ac:dyDescent="0.25">
      <c r="A2642">
        <v>1575992062</v>
      </c>
      <c r="B2642" t="s">
        <v>25678</v>
      </c>
      <c r="C2642">
        <v>0</v>
      </c>
      <c r="D2642">
        <v>0</v>
      </c>
      <c r="E2642">
        <v>0</v>
      </c>
      <c r="F2642">
        <v>7371</v>
      </c>
      <c r="G2642">
        <f t="shared" si="41"/>
        <v>1575992062</v>
      </c>
    </row>
    <row r="2643" spans="1:7" x14ac:dyDescent="0.25">
      <c r="A2643">
        <v>1575994652</v>
      </c>
      <c r="B2643" t="s">
        <v>25679</v>
      </c>
      <c r="C2643">
        <v>0</v>
      </c>
      <c r="D2643">
        <v>1</v>
      </c>
      <c r="E2643">
        <v>2797</v>
      </c>
      <c r="F2643">
        <v>3041</v>
      </c>
      <c r="G2643">
        <f t="shared" si="41"/>
        <v>1575994652</v>
      </c>
    </row>
    <row r="2644" spans="1:7" x14ac:dyDescent="0.25">
      <c r="A2644">
        <v>1575996788</v>
      </c>
      <c r="B2644" t="s">
        <v>25680</v>
      </c>
      <c r="C2644">
        <v>122</v>
      </c>
      <c r="D2644">
        <v>5</v>
      </c>
      <c r="E2644">
        <v>27671</v>
      </c>
      <c r="F2644">
        <v>306</v>
      </c>
      <c r="G2644">
        <f t="shared" si="41"/>
        <v>1575996788</v>
      </c>
    </row>
    <row r="2645" spans="1:7" x14ac:dyDescent="0.25">
      <c r="A2645">
        <v>1575997882</v>
      </c>
      <c r="B2645" t="s">
        <v>36343</v>
      </c>
      <c r="C2645">
        <v>1126</v>
      </c>
      <c r="D2645">
        <v>1</v>
      </c>
      <c r="E2645">
        <v>563</v>
      </c>
      <c r="F2645">
        <v>4530</v>
      </c>
      <c r="G2645">
        <f t="shared" si="41"/>
        <v>1575997882</v>
      </c>
    </row>
    <row r="2646" spans="1:7" x14ac:dyDescent="0.25">
      <c r="A2646">
        <v>1576001397</v>
      </c>
      <c r="B2646" t="s">
        <v>25681</v>
      </c>
      <c r="C2646">
        <v>0</v>
      </c>
      <c r="D2646">
        <v>0</v>
      </c>
      <c r="E2646">
        <v>0</v>
      </c>
      <c r="F2646">
        <v>7372</v>
      </c>
      <c r="G2646">
        <f t="shared" si="41"/>
        <v>1576001397</v>
      </c>
    </row>
    <row r="2647" spans="1:7" x14ac:dyDescent="0.25">
      <c r="A2647">
        <v>1576004479</v>
      </c>
      <c r="B2647" t="s">
        <v>25682</v>
      </c>
      <c r="C2647">
        <v>1582</v>
      </c>
      <c r="D2647">
        <v>1</v>
      </c>
      <c r="E2647">
        <v>1220</v>
      </c>
      <c r="F2647">
        <v>3783</v>
      </c>
      <c r="G2647">
        <f t="shared" si="41"/>
        <v>1576004479</v>
      </c>
    </row>
    <row r="2648" spans="1:7" x14ac:dyDescent="0.25">
      <c r="A2648">
        <v>1576007470</v>
      </c>
      <c r="B2648" t="s">
        <v>37283</v>
      </c>
      <c r="C2648">
        <v>26</v>
      </c>
      <c r="D2648">
        <v>3</v>
      </c>
      <c r="E2648">
        <v>15761</v>
      </c>
      <c r="F2648">
        <v>925</v>
      </c>
      <c r="G2648">
        <f t="shared" si="41"/>
        <v>1576007470</v>
      </c>
    </row>
    <row r="2649" spans="1:7" x14ac:dyDescent="0.25">
      <c r="A2649">
        <v>1576009166</v>
      </c>
      <c r="B2649" t="s">
        <v>25683</v>
      </c>
      <c r="C2649">
        <v>0</v>
      </c>
      <c r="D2649">
        <v>0</v>
      </c>
      <c r="E2649">
        <v>0</v>
      </c>
      <c r="F2649">
        <v>7373</v>
      </c>
      <c r="G2649">
        <f t="shared" si="41"/>
        <v>1576009166</v>
      </c>
    </row>
    <row r="2650" spans="1:7" x14ac:dyDescent="0.25">
      <c r="A2650">
        <v>1576010448</v>
      </c>
      <c r="B2650" t="s">
        <v>25684</v>
      </c>
      <c r="C2650">
        <v>0</v>
      </c>
      <c r="D2650">
        <v>0</v>
      </c>
      <c r="E2650">
        <v>0</v>
      </c>
      <c r="F2650">
        <v>7374</v>
      </c>
      <c r="G2650">
        <f t="shared" si="41"/>
        <v>1576010448</v>
      </c>
    </row>
    <row r="2651" spans="1:7" x14ac:dyDescent="0.25">
      <c r="A2651">
        <v>1576012014</v>
      </c>
      <c r="B2651" t="s">
        <v>37138</v>
      </c>
      <c r="C2651">
        <v>424</v>
      </c>
      <c r="D2651">
        <v>4</v>
      </c>
      <c r="E2651">
        <v>20970</v>
      </c>
      <c r="F2651">
        <v>570</v>
      </c>
      <c r="G2651">
        <f t="shared" si="41"/>
        <v>1576012014</v>
      </c>
    </row>
    <row r="2652" spans="1:7" x14ac:dyDescent="0.25">
      <c r="A2652">
        <v>1576012400</v>
      </c>
      <c r="B2652" t="s">
        <v>25685</v>
      </c>
      <c r="C2652">
        <v>0</v>
      </c>
      <c r="D2652">
        <v>1</v>
      </c>
      <c r="E2652">
        <v>26</v>
      </c>
      <c r="F2652">
        <v>6521</v>
      </c>
      <c r="G2652">
        <f t="shared" si="41"/>
        <v>1576012400</v>
      </c>
    </row>
    <row r="2653" spans="1:7" x14ac:dyDescent="0.25">
      <c r="A2653">
        <v>1576013477</v>
      </c>
      <c r="B2653" t="s">
        <v>25686</v>
      </c>
      <c r="C2653">
        <v>1766</v>
      </c>
      <c r="D2653">
        <v>0</v>
      </c>
      <c r="E2653">
        <v>0</v>
      </c>
      <c r="F2653">
        <v>7375</v>
      </c>
      <c r="G2653">
        <f t="shared" si="41"/>
        <v>1576013477</v>
      </c>
    </row>
    <row r="2654" spans="1:7" x14ac:dyDescent="0.25">
      <c r="A2654">
        <v>1576013529</v>
      </c>
      <c r="B2654" t="s">
        <v>36344</v>
      </c>
      <c r="C2654">
        <v>578</v>
      </c>
      <c r="D2654">
        <v>5</v>
      </c>
      <c r="E2654">
        <v>26551</v>
      </c>
      <c r="F2654">
        <v>348</v>
      </c>
      <c r="G2654">
        <f t="shared" si="41"/>
        <v>1576013529</v>
      </c>
    </row>
    <row r="2655" spans="1:7" x14ac:dyDescent="0.25">
      <c r="A2655">
        <v>1576014044</v>
      </c>
      <c r="B2655" t="s">
        <v>36345</v>
      </c>
      <c r="C2655">
        <v>2019</v>
      </c>
      <c r="D2655">
        <v>1</v>
      </c>
      <c r="E2655">
        <v>432</v>
      </c>
      <c r="F2655">
        <v>4783</v>
      </c>
      <c r="G2655">
        <f t="shared" si="41"/>
        <v>1576014044</v>
      </c>
    </row>
    <row r="2656" spans="1:7" x14ac:dyDescent="0.25">
      <c r="A2656">
        <v>1576014480</v>
      </c>
      <c r="B2656" t="s">
        <v>25687</v>
      </c>
      <c r="C2656">
        <v>1896</v>
      </c>
      <c r="D2656">
        <v>1</v>
      </c>
      <c r="E2656">
        <v>1212</v>
      </c>
      <c r="F2656">
        <v>3792</v>
      </c>
      <c r="G2656">
        <f t="shared" si="41"/>
        <v>1576014480</v>
      </c>
    </row>
    <row r="2657" spans="1:7" x14ac:dyDescent="0.25">
      <c r="A2657">
        <v>1576014813</v>
      </c>
      <c r="B2657" t="s">
        <v>25688</v>
      </c>
      <c r="C2657">
        <v>0</v>
      </c>
      <c r="D2657">
        <v>0</v>
      </c>
      <c r="E2657">
        <v>0</v>
      </c>
      <c r="F2657">
        <v>7376</v>
      </c>
      <c r="G2657">
        <f t="shared" si="41"/>
        <v>1576014813</v>
      </c>
    </row>
    <row r="2658" spans="1:7" x14ac:dyDescent="0.25">
      <c r="A2658">
        <v>1576015921</v>
      </c>
      <c r="B2658" t="s">
        <v>25689</v>
      </c>
      <c r="C2658">
        <v>0</v>
      </c>
      <c r="D2658">
        <v>0</v>
      </c>
      <c r="E2658">
        <v>0</v>
      </c>
      <c r="F2658">
        <v>7377</v>
      </c>
      <c r="G2658">
        <f t="shared" si="41"/>
        <v>1576015921</v>
      </c>
    </row>
    <row r="2659" spans="1:7" x14ac:dyDescent="0.25">
      <c r="A2659">
        <v>1576017969</v>
      </c>
      <c r="B2659" t="s">
        <v>25690</v>
      </c>
      <c r="C2659">
        <v>0</v>
      </c>
      <c r="D2659">
        <v>1</v>
      </c>
      <c r="E2659">
        <v>988</v>
      </c>
      <c r="F2659">
        <v>3994</v>
      </c>
      <c r="G2659">
        <f t="shared" si="41"/>
        <v>1576017969</v>
      </c>
    </row>
    <row r="2660" spans="1:7" x14ac:dyDescent="0.25">
      <c r="A2660">
        <v>1576020114</v>
      </c>
      <c r="B2660" t="s">
        <v>25691</v>
      </c>
      <c r="C2660">
        <v>0</v>
      </c>
      <c r="D2660">
        <v>1</v>
      </c>
      <c r="E2660">
        <v>3846</v>
      </c>
      <c r="F2660">
        <v>2801</v>
      </c>
      <c r="G2660">
        <f t="shared" si="41"/>
        <v>1576020114</v>
      </c>
    </row>
    <row r="2661" spans="1:7" x14ac:dyDescent="0.25">
      <c r="A2661">
        <v>1576021277</v>
      </c>
      <c r="B2661" t="s">
        <v>25692</v>
      </c>
      <c r="C2661">
        <v>1828</v>
      </c>
      <c r="D2661">
        <v>1</v>
      </c>
      <c r="E2661">
        <v>1436</v>
      </c>
      <c r="F2661">
        <v>3634</v>
      </c>
      <c r="G2661">
        <f t="shared" si="41"/>
        <v>1576021277</v>
      </c>
    </row>
    <row r="2662" spans="1:7" x14ac:dyDescent="0.25">
      <c r="A2662">
        <v>1576021807</v>
      </c>
      <c r="B2662" t="s">
        <v>25693</v>
      </c>
      <c r="C2662">
        <v>733</v>
      </c>
      <c r="D2662">
        <v>5</v>
      </c>
      <c r="E2662">
        <v>31229</v>
      </c>
      <c r="F2662">
        <v>210</v>
      </c>
      <c r="G2662">
        <f t="shared" si="41"/>
        <v>1576021807</v>
      </c>
    </row>
    <row r="2663" spans="1:7" x14ac:dyDescent="0.25">
      <c r="A2663">
        <v>1576022930</v>
      </c>
      <c r="B2663" t="s">
        <v>25694</v>
      </c>
      <c r="C2663">
        <v>271</v>
      </c>
      <c r="D2663">
        <v>1</v>
      </c>
      <c r="E2663">
        <v>4109</v>
      </c>
      <c r="F2663">
        <v>2745</v>
      </c>
      <c r="G2663">
        <f t="shared" si="41"/>
        <v>1576022930</v>
      </c>
    </row>
    <row r="2664" spans="1:7" x14ac:dyDescent="0.25">
      <c r="A2664">
        <v>1576023454</v>
      </c>
      <c r="B2664" t="s">
        <v>25695</v>
      </c>
      <c r="C2664">
        <v>294</v>
      </c>
      <c r="D2664">
        <v>1</v>
      </c>
      <c r="E2664">
        <v>2121</v>
      </c>
      <c r="F2664">
        <v>3282</v>
      </c>
      <c r="G2664">
        <f t="shared" si="41"/>
        <v>1576023454</v>
      </c>
    </row>
    <row r="2665" spans="1:7" x14ac:dyDescent="0.25">
      <c r="A2665">
        <v>1576023473</v>
      </c>
      <c r="B2665" t="s">
        <v>25696</v>
      </c>
      <c r="C2665">
        <v>96</v>
      </c>
      <c r="D2665">
        <v>3</v>
      </c>
      <c r="E2665">
        <v>15110</v>
      </c>
      <c r="F2665">
        <v>987</v>
      </c>
      <c r="G2665">
        <f t="shared" si="41"/>
        <v>1576023473</v>
      </c>
    </row>
    <row r="2666" spans="1:7" x14ac:dyDescent="0.25">
      <c r="A2666">
        <v>1576024808</v>
      </c>
      <c r="B2666" t="s">
        <v>25697</v>
      </c>
      <c r="C2666">
        <v>0</v>
      </c>
      <c r="D2666">
        <v>1</v>
      </c>
      <c r="E2666">
        <v>339</v>
      </c>
      <c r="F2666">
        <v>5010</v>
      </c>
      <c r="G2666">
        <f t="shared" si="41"/>
        <v>1576024808</v>
      </c>
    </row>
    <row r="2667" spans="1:7" x14ac:dyDescent="0.25">
      <c r="A2667">
        <v>1576027028</v>
      </c>
      <c r="B2667" t="s">
        <v>25698</v>
      </c>
      <c r="C2667">
        <v>175</v>
      </c>
      <c r="D2667">
        <v>4</v>
      </c>
      <c r="E2667">
        <v>17791</v>
      </c>
      <c r="F2667">
        <v>782</v>
      </c>
      <c r="G2667">
        <f t="shared" si="41"/>
        <v>1576027028</v>
      </c>
    </row>
    <row r="2668" spans="1:7" x14ac:dyDescent="0.25">
      <c r="A2668">
        <v>1576027128</v>
      </c>
      <c r="B2668" t="s">
        <v>25699</v>
      </c>
      <c r="C2668">
        <v>151</v>
      </c>
      <c r="D2668">
        <v>1</v>
      </c>
      <c r="E2668">
        <v>1240</v>
      </c>
      <c r="F2668">
        <v>3768</v>
      </c>
      <c r="G2668">
        <f t="shared" si="41"/>
        <v>1576027128</v>
      </c>
    </row>
    <row r="2669" spans="1:7" x14ac:dyDescent="0.25">
      <c r="A2669">
        <v>1576027166</v>
      </c>
      <c r="B2669" t="s">
        <v>25700</v>
      </c>
      <c r="C2669">
        <v>0</v>
      </c>
      <c r="D2669">
        <v>2</v>
      </c>
      <c r="E2669">
        <v>5818</v>
      </c>
      <c r="F2669">
        <v>2324</v>
      </c>
      <c r="G2669">
        <f t="shared" si="41"/>
        <v>1576027166</v>
      </c>
    </row>
    <row r="2670" spans="1:7" x14ac:dyDescent="0.25">
      <c r="A2670">
        <v>1576027626</v>
      </c>
      <c r="B2670" t="s">
        <v>25701</v>
      </c>
      <c r="C2670">
        <v>0</v>
      </c>
      <c r="D2670">
        <v>1</v>
      </c>
      <c r="E2670">
        <v>26</v>
      </c>
      <c r="F2670">
        <v>6522</v>
      </c>
      <c r="G2670">
        <f t="shared" si="41"/>
        <v>1576027626</v>
      </c>
    </row>
    <row r="2671" spans="1:7" x14ac:dyDescent="0.25">
      <c r="A2671">
        <v>1576028783</v>
      </c>
      <c r="B2671" t="s">
        <v>36346</v>
      </c>
      <c r="C2671">
        <v>0</v>
      </c>
      <c r="D2671">
        <v>1</v>
      </c>
      <c r="E2671">
        <v>26</v>
      </c>
      <c r="F2671">
        <v>6523</v>
      </c>
      <c r="G2671">
        <f t="shared" si="41"/>
        <v>1576028783</v>
      </c>
    </row>
    <row r="2672" spans="1:7" x14ac:dyDescent="0.25">
      <c r="A2672">
        <v>1576029425</v>
      </c>
      <c r="B2672" t="s">
        <v>25702</v>
      </c>
      <c r="C2672">
        <v>1100</v>
      </c>
      <c r="D2672">
        <v>2</v>
      </c>
      <c r="E2672">
        <v>8655</v>
      </c>
      <c r="F2672">
        <v>1773</v>
      </c>
      <c r="G2672">
        <f t="shared" si="41"/>
        <v>1576029425</v>
      </c>
    </row>
    <row r="2673" spans="1:7" x14ac:dyDescent="0.25">
      <c r="A2673">
        <v>1576032609</v>
      </c>
      <c r="B2673" t="s">
        <v>25703</v>
      </c>
      <c r="C2673">
        <v>419</v>
      </c>
      <c r="D2673">
        <v>6</v>
      </c>
      <c r="E2673">
        <v>26978</v>
      </c>
      <c r="F2673">
        <v>338</v>
      </c>
      <c r="G2673">
        <f t="shared" si="41"/>
        <v>1576032609</v>
      </c>
    </row>
    <row r="2674" spans="1:7" x14ac:dyDescent="0.25">
      <c r="A2674">
        <v>1576035435</v>
      </c>
      <c r="B2674" t="s">
        <v>25704</v>
      </c>
      <c r="C2674">
        <v>0</v>
      </c>
      <c r="D2674">
        <v>1</v>
      </c>
      <c r="E2674">
        <v>387</v>
      </c>
      <c r="F2674">
        <v>4880</v>
      </c>
      <c r="G2674">
        <f t="shared" si="41"/>
        <v>1576035435</v>
      </c>
    </row>
    <row r="2675" spans="1:7" x14ac:dyDescent="0.25">
      <c r="A2675">
        <v>1576035602</v>
      </c>
      <c r="B2675" t="s">
        <v>25705</v>
      </c>
      <c r="C2675">
        <v>0</v>
      </c>
      <c r="D2675">
        <v>1</v>
      </c>
      <c r="E2675">
        <v>519</v>
      </c>
      <c r="F2675">
        <v>4592</v>
      </c>
      <c r="G2675">
        <f t="shared" si="41"/>
        <v>1576035602</v>
      </c>
    </row>
    <row r="2676" spans="1:7" x14ac:dyDescent="0.25">
      <c r="A2676">
        <v>1576035810</v>
      </c>
      <c r="B2676" t="s">
        <v>25706</v>
      </c>
      <c r="C2676">
        <v>0</v>
      </c>
      <c r="D2676">
        <v>1</v>
      </c>
      <c r="E2676">
        <v>666</v>
      </c>
      <c r="F2676">
        <v>4390</v>
      </c>
      <c r="G2676">
        <f t="shared" si="41"/>
        <v>1576035810</v>
      </c>
    </row>
    <row r="2677" spans="1:7" x14ac:dyDescent="0.25">
      <c r="A2677">
        <v>1576038493</v>
      </c>
      <c r="B2677" t="s">
        <v>25707</v>
      </c>
      <c r="C2677">
        <v>205</v>
      </c>
      <c r="D2677">
        <v>1</v>
      </c>
      <c r="E2677">
        <v>2866</v>
      </c>
      <c r="F2677">
        <v>3020</v>
      </c>
      <c r="G2677">
        <f t="shared" si="41"/>
        <v>1576038493</v>
      </c>
    </row>
    <row r="2678" spans="1:7" x14ac:dyDescent="0.25">
      <c r="A2678">
        <v>1576039154</v>
      </c>
      <c r="B2678" t="s">
        <v>37139</v>
      </c>
      <c r="C2678">
        <v>1413</v>
      </c>
      <c r="D2678">
        <v>2</v>
      </c>
      <c r="E2678">
        <v>5671</v>
      </c>
      <c r="F2678">
        <v>2358</v>
      </c>
      <c r="G2678">
        <f t="shared" si="41"/>
        <v>1576039154</v>
      </c>
    </row>
    <row r="2679" spans="1:7" x14ac:dyDescent="0.25">
      <c r="A2679">
        <v>1576039632</v>
      </c>
      <c r="B2679" t="s">
        <v>25708</v>
      </c>
      <c r="C2679">
        <v>31</v>
      </c>
      <c r="D2679">
        <v>3</v>
      </c>
      <c r="E2679">
        <v>16556</v>
      </c>
      <c r="F2679">
        <v>865</v>
      </c>
      <c r="G2679">
        <f t="shared" si="41"/>
        <v>1576039632</v>
      </c>
    </row>
    <row r="2680" spans="1:7" x14ac:dyDescent="0.25">
      <c r="A2680">
        <v>1576039886</v>
      </c>
      <c r="B2680" t="s">
        <v>25709</v>
      </c>
      <c r="C2680">
        <v>413</v>
      </c>
      <c r="D2680">
        <v>1</v>
      </c>
      <c r="E2680">
        <v>4902</v>
      </c>
      <c r="F2680">
        <v>2530</v>
      </c>
      <c r="G2680">
        <f t="shared" si="41"/>
        <v>1576039886</v>
      </c>
    </row>
    <row r="2681" spans="1:7" x14ac:dyDescent="0.25">
      <c r="A2681">
        <v>1576042992</v>
      </c>
      <c r="B2681" t="s">
        <v>25710</v>
      </c>
      <c r="C2681">
        <v>0</v>
      </c>
      <c r="D2681">
        <v>1</v>
      </c>
      <c r="E2681">
        <v>26</v>
      </c>
      <c r="F2681">
        <v>6524</v>
      </c>
      <c r="G2681">
        <f t="shared" si="41"/>
        <v>1576042992</v>
      </c>
    </row>
    <row r="2682" spans="1:7" x14ac:dyDescent="0.25">
      <c r="A2682">
        <v>1576044702</v>
      </c>
      <c r="B2682" t="s">
        <v>37004</v>
      </c>
      <c r="C2682">
        <v>1669</v>
      </c>
      <c r="D2682">
        <v>0</v>
      </c>
      <c r="E2682">
        <v>0</v>
      </c>
      <c r="F2682">
        <v>7378</v>
      </c>
      <c r="G2682">
        <f t="shared" si="41"/>
        <v>1576044702</v>
      </c>
    </row>
    <row r="2683" spans="1:7" x14ac:dyDescent="0.25">
      <c r="A2683">
        <v>1576046022</v>
      </c>
      <c r="B2683" t="s">
        <v>25711</v>
      </c>
      <c r="C2683">
        <v>199</v>
      </c>
      <c r="D2683">
        <v>5</v>
      </c>
      <c r="E2683">
        <v>21541</v>
      </c>
      <c r="F2683">
        <v>546</v>
      </c>
      <c r="G2683">
        <f t="shared" si="41"/>
        <v>1576046022</v>
      </c>
    </row>
    <row r="2684" spans="1:7" x14ac:dyDescent="0.25">
      <c r="A2684">
        <v>1576049187</v>
      </c>
      <c r="B2684" t="s">
        <v>36347</v>
      </c>
      <c r="C2684">
        <v>0</v>
      </c>
      <c r="D2684">
        <v>1</v>
      </c>
      <c r="E2684">
        <v>1722</v>
      </c>
      <c r="F2684">
        <v>3483</v>
      </c>
      <c r="G2684">
        <f t="shared" si="41"/>
        <v>1576049187</v>
      </c>
    </row>
    <row r="2685" spans="1:7" x14ac:dyDescent="0.25">
      <c r="A2685">
        <v>1576052023</v>
      </c>
      <c r="B2685" t="s">
        <v>25712</v>
      </c>
      <c r="C2685">
        <v>0</v>
      </c>
      <c r="D2685">
        <v>0</v>
      </c>
      <c r="E2685">
        <v>0</v>
      </c>
      <c r="F2685">
        <v>7379</v>
      </c>
      <c r="G2685">
        <f t="shared" si="41"/>
        <v>1576052023</v>
      </c>
    </row>
    <row r="2686" spans="1:7" x14ac:dyDescent="0.25">
      <c r="A2686">
        <v>1576052536</v>
      </c>
      <c r="B2686" t="s">
        <v>25713</v>
      </c>
      <c r="C2686">
        <v>0</v>
      </c>
      <c r="D2686">
        <v>1</v>
      </c>
      <c r="E2686">
        <v>78</v>
      </c>
      <c r="F2686">
        <v>5979</v>
      </c>
      <c r="G2686">
        <f t="shared" si="41"/>
        <v>1576052536</v>
      </c>
    </row>
    <row r="2687" spans="1:7" x14ac:dyDescent="0.25">
      <c r="A2687">
        <v>1576057331</v>
      </c>
      <c r="B2687" t="s">
        <v>25714</v>
      </c>
      <c r="C2687">
        <v>424</v>
      </c>
      <c r="D2687">
        <v>6</v>
      </c>
      <c r="E2687">
        <v>27769</v>
      </c>
      <c r="F2687">
        <v>309</v>
      </c>
      <c r="G2687">
        <f t="shared" si="41"/>
        <v>1576057331</v>
      </c>
    </row>
    <row r="2688" spans="1:7" x14ac:dyDescent="0.25">
      <c r="A2688">
        <v>1576058993</v>
      </c>
      <c r="B2688" t="s">
        <v>25715</v>
      </c>
      <c r="C2688">
        <v>0</v>
      </c>
      <c r="D2688">
        <v>1</v>
      </c>
      <c r="E2688">
        <v>784</v>
      </c>
      <c r="F2688">
        <v>4225</v>
      </c>
      <c r="G2688">
        <f t="shared" si="41"/>
        <v>1576058993</v>
      </c>
    </row>
    <row r="2689" spans="1:7" x14ac:dyDescent="0.25">
      <c r="A2689">
        <v>1576059693</v>
      </c>
      <c r="B2689" t="s">
        <v>25716</v>
      </c>
      <c r="C2689">
        <v>0</v>
      </c>
      <c r="D2689">
        <v>1</v>
      </c>
      <c r="E2689">
        <v>144</v>
      </c>
      <c r="F2689">
        <v>5716</v>
      </c>
      <c r="G2689">
        <f t="shared" ref="G2689:G2752" si="42">A2689</f>
        <v>1576059693</v>
      </c>
    </row>
    <row r="2690" spans="1:7" x14ac:dyDescent="0.25">
      <c r="A2690">
        <v>1576059814</v>
      </c>
      <c r="B2690" t="s">
        <v>25717</v>
      </c>
      <c r="C2690">
        <v>0</v>
      </c>
      <c r="D2690">
        <v>1</v>
      </c>
      <c r="E2690">
        <v>26</v>
      </c>
      <c r="F2690">
        <v>6525</v>
      </c>
      <c r="G2690">
        <f t="shared" si="42"/>
        <v>1576059814</v>
      </c>
    </row>
    <row r="2691" spans="1:7" x14ac:dyDescent="0.25">
      <c r="A2691">
        <v>1576061692</v>
      </c>
      <c r="B2691" t="s">
        <v>25718</v>
      </c>
      <c r="C2691">
        <v>1987</v>
      </c>
      <c r="D2691">
        <v>1</v>
      </c>
      <c r="E2691">
        <v>283</v>
      </c>
      <c r="F2691">
        <v>5208</v>
      </c>
      <c r="G2691">
        <f t="shared" si="42"/>
        <v>1576061692</v>
      </c>
    </row>
    <row r="2692" spans="1:7" x14ac:dyDescent="0.25">
      <c r="A2692">
        <v>1576064169</v>
      </c>
      <c r="B2692" t="s">
        <v>25719</v>
      </c>
      <c r="C2692">
        <v>733</v>
      </c>
      <c r="D2692">
        <v>11</v>
      </c>
      <c r="E2692">
        <v>56769</v>
      </c>
      <c r="F2692">
        <v>24</v>
      </c>
      <c r="G2692">
        <f t="shared" si="42"/>
        <v>1576064169</v>
      </c>
    </row>
    <row r="2693" spans="1:7" x14ac:dyDescent="0.25">
      <c r="A2693">
        <v>1576064509</v>
      </c>
      <c r="B2693" t="s">
        <v>25720</v>
      </c>
      <c r="C2693">
        <v>0</v>
      </c>
      <c r="D2693">
        <v>1</v>
      </c>
      <c r="E2693">
        <v>296</v>
      </c>
      <c r="F2693">
        <v>5131</v>
      </c>
      <c r="G2693">
        <f t="shared" si="42"/>
        <v>1576064509</v>
      </c>
    </row>
    <row r="2694" spans="1:7" x14ac:dyDescent="0.25">
      <c r="A2694">
        <v>1576064820</v>
      </c>
      <c r="B2694" t="s">
        <v>25721</v>
      </c>
      <c r="C2694">
        <v>0</v>
      </c>
      <c r="D2694">
        <v>1</v>
      </c>
      <c r="E2694">
        <v>84</v>
      </c>
      <c r="F2694">
        <v>5940</v>
      </c>
      <c r="G2694">
        <f t="shared" si="42"/>
        <v>1576064820</v>
      </c>
    </row>
    <row r="2695" spans="1:7" x14ac:dyDescent="0.25">
      <c r="A2695">
        <v>1576065132</v>
      </c>
      <c r="B2695" t="s">
        <v>25722</v>
      </c>
      <c r="C2695">
        <v>0</v>
      </c>
      <c r="D2695">
        <v>1</v>
      </c>
      <c r="E2695">
        <v>87</v>
      </c>
      <c r="F2695">
        <v>5922</v>
      </c>
      <c r="G2695">
        <f t="shared" si="42"/>
        <v>1576065132</v>
      </c>
    </row>
    <row r="2696" spans="1:7" x14ac:dyDescent="0.25">
      <c r="A2696">
        <v>1576065329</v>
      </c>
      <c r="B2696" t="s">
        <v>25723</v>
      </c>
      <c r="C2696">
        <v>0</v>
      </c>
      <c r="D2696">
        <v>1</v>
      </c>
      <c r="E2696">
        <v>26</v>
      </c>
      <c r="F2696">
        <v>6526</v>
      </c>
      <c r="G2696">
        <f t="shared" si="42"/>
        <v>1576065329</v>
      </c>
    </row>
    <row r="2697" spans="1:7" x14ac:dyDescent="0.25">
      <c r="A2697">
        <v>1576066494</v>
      </c>
      <c r="B2697" t="s">
        <v>36348</v>
      </c>
      <c r="C2697">
        <v>1689</v>
      </c>
      <c r="D2697">
        <v>1</v>
      </c>
      <c r="E2697">
        <v>782</v>
      </c>
      <c r="F2697">
        <v>4230</v>
      </c>
      <c r="G2697">
        <f t="shared" si="42"/>
        <v>1576066494</v>
      </c>
    </row>
    <row r="2698" spans="1:7" x14ac:dyDescent="0.25">
      <c r="A2698">
        <v>1576066650</v>
      </c>
      <c r="B2698" t="s">
        <v>36349</v>
      </c>
      <c r="C2698">
        <v>0</v>
      </c>
      <c r="D2698">
        <v>0</v>
      </c>
      <c r="E2698">
        <v>0</v>
      </c>
      <c r="F2698">
        <v>7380</v>
      </c>
      <c r="G2698">
        <f t="shared" si="42"/>
        <v>1576066650</v>
      </c>
    </row>
    <row r="2699" spans="1:7" x14ac:dyDescent="0.25">
      <c r="A2699">
        <v>1576066667</v>
      </c>
      <c r="B2699" t="s">
        <v>25724</v>
      </c>
      <c r="C2699">
        <v>18</v>
      </c>
      <c r="D2699">
        <v>0</v>
      </c>
      <c r="E2699">
        <v>0</v>
      </c>
      <c r="F2699">
        <v>7381</v>
      </c>
      <c r="G2699">
        <f t="shared" si="42"/>
        <v>1576066667</v>
      </c>
    </row>
    <row r="2700" spans="1:7" x14ac:dyDescent="0.25">
      <c r="A2700">
        <v>1576070819</v>
      </c>
      <c r="B2700" t="s">
        <v>25725</v>
      </c>
      <c r="C2700">
        <v>1663</v>
      </c>
      <c r="D2700">
        <v>1</v>
      </c>
      <c r="E2700">
        <v>2011</v>
      </c>
      <c r="F2700">
        <v>3337</v>
      </c>
      <c r="G2700">
        <f t="shared" si="42"/>
        <v>1576070819</v>
      </c>
    </row>
    <row r="2701" spans="1:7" x14ac:dyDescent="0.25">
      <c r="A2701">
        <v>1576071499</v>
      </c>
      <c r="B2701" t="s">
        <v>25726</v>
      </c>
      <c r="C2701">
        <v>0</v>
      </c>
      <c r="D2701">
        <v>0</v>
      </c>
      <c r="E2701">
        <v>0</v>
      </c>
      <c r="F2701">
        <v>7382</v>
      </c>
      <c r="G2701">
        <f t="shared" si="42"/>
        <v>1576071499</v>
      </c>
    </row>
    <row r="2702" spans="1:7" x14ac:dyDescent="0.25">
      <c r="A2702">
        <v>1576072374</v>
      </c>
      <c r="B2702" t="s">
        <v>36350</v>
      </c>
      <c r="C2702">
        <v>1966</v>
      </c>
      <c r="D2702">
        <v>2</v>
      </c>
      <c r="E2702">
        <v>11603</v>
      </c>
      <c r="F2702">
        <v>1332</v>
      </c>
      <c r="G2702">
        <f t="shared" si="42"/>
        <v>1576072374</v>
      </c>
    </row>
    <row r="2703" spans="1:7" x14ac:dyDescent="0.25">
      <c r="A2703">
        <v>1576073744</v>
      </c>
      <c r="B2703" t="s">
        <v>25727</v>
      </c>
      <c r="C2703">
        <v>179</v>
      </c>
      <c r="D2703">
        <v>1</v>
      </c>
      <c r="E2703">
        <v>4360</v>
      </c>
      <c r="F2703">
        <v>2663</v>
      </c>
      <c r="G2703">
        <f t="shared" si="42"/>
        <v>1576073744</v>
      </c>
    </row>
    <row r="2704" spans="1:7" x14ac:dyDescent="0.25">
      <c r="A2704">
        <v>1576075442</v>
      </c>
      <c r="B2704" t="s">
        <v>25728</v>
      </c>
      <c r="C2704">
        <v>0</v>
      </c>
      <c r="D2704">
        <v>1</v>
      </c>
      <c r="E2704">
        <v>564</v>
      </c>
      <c r="F2704">
        <v>4528</v>
      </c>
      <c r="G2704">
        <f t="shared" si="42"/>
        <v>1576075442</v>
      </c>
    </row>
    <row r="2705" spans="1:7" x14ac:dyDescent="0.25">
      <c r="A2705">
        <v>1576076024</v>
      </c>
      <c r="B2705" t="s">
        <v>25729</v>
      </c>
      <c r="C2705">
        <v>0</v>
      </c>
      <c r="D2705">
        <v>1</v>
      </c>
      <c r="E2705">
        <v>52</v>
      </c>
      <c r="F2705">
        <v>6150</v>
      </c>
      <c r="G2705">
        <f t="shared" si="42"/>
        <v>1576076024</v>
      </c>
    </row>
    <row r="2706" spans="1:7" x14ac:dyDescent="0.25">
      <c r="A2706">
        <v>1576078365</v>
      </c>
      <c r="B2706" t="s">
        <v>25730</v>
      </c>
      <c r="C2706">
        <v>0</v>
      </c>
      <c r="D2706">
        <v>1</v>
      </c>
      <c r="E2706">
        <v>1647</v>
      </c>
      <c r="F2706">
        <v>3524</v>
      </c>
      <c r="G2706">
        <f t="shared" si="42"/>
        <v>1576078365</v>
      </c>
    </row>
    <row r="2707" spans="1:7" x14ac:dyDescent="0.25">
      <c r="A2707">
        <v>1576079033</v>
      </c>
      <c r="B2707" t="s">
        <v>25731</v>
      </c>
      <c r="C2707">
        <v>638</v>
      </c>
      <c r="D2707">
        <v>1</v>
      </c>
      <c r="E2707">
        <v>7772</v>
      </c>
      <c r="F2707">
        <v>1929</v>
      </c>
      <c r="G2707">
        <f t="shared" si="42"/>
        <v>1576079033</v>
      </c>
    </row>
    <row r="2708" spans="1:7" x14ac:dyDescent="0.25">
      <c r="A2708">
        <v>1576079298</v>
      </c>
      <c r="B2708" t="s">
        <v>25732</v>
      </c>
      <c r="C2708">
        <v>118</v>
      </c>
      <c r="D2708">
        <v>1</v>
      </c>
      <c r="E2708">
        <v>4292</v>
      </c>
      <c r="F2708">
        <v>2686</v>
      </c>
      <c r="G2708">
        <f t="shared" si="42"/>
        <v>1576079298</v>
      </c>
    </row>
    <row r="2709" spans="1:7" x14ac:dyDescent="0.25">
      <c r="A2709">
        <v>1576082007</v>
      </c>
      <c r="B2709" t="s">
        <v>36351</v>
      </c>
      <c r="C2709">
        <v>228</v>
      </c>
      <c r="D2709">
        <v>1</v>
      </c>
      <c r="E2709">
        <v>4142</v>
      </c>
      <c r="F2709">
        <v>2735</v>
      </c>
      <c r="G2709">
        <f t="shared" si="42"/>
        <v>1576082007</v>
      </c>
    </row>
    <row r="2710" spans="1:7" x14ac:dyDescent="0.25">
      <c r="A2710">
        <v>1576082944</v>
      </c>
      <c r="B2710" t="s">
        <v>25733</v>
      </c>
      <c r="C2710">
        <v>1991</v>
      </c>
      <c r="D2710">
        <v>1</v>
      </c>
      <c r="E2710">
        <v>1489</v>
      </c>
      <c r="F2710">
        <v>3604</v>
      </c>
      <c r="G2710">
        <f t="shared" si="42"/>
        <v>1576082944</v>
      </c>
    </row>
    <row r="2711" spans="1:7" x14ac:dyDescent="0.25">
      <c r="A2711">
        <v>1576083107</v>
      </c>
      <c r="B2711" t="s">
        <v>36352</v>
      </c>
      <c r="C2711">
        <v>882</v>
      </c>
      <c r="D2711">
        <v>4</v>
      </c>
      <c r="E2711">
        <v>21805</v>
      </c>
      <c r="F2711">
        <v>532</v>
      </c>
      <c r="G2711">
        <f t="shared" si="42"/>
        <v>1576083107</v>
      </c>
    </row>
    <row r="2712" spans="1:7" x14ac:dyDescent="0.25">
      <c r="A2712">
        <v>1576083245</v>
      </c>
      <c r="B2712" t="s">
        <v>25734</v>
      </c>
      <c r="C2712">
        <v>294</v>
      </c>
      <c r="D2712">
        <v>3</v>
      </c>
      <c r="E2712">
        <v>18354</v>
      </c>
      <c r="F2712">
        <v>727</v>
      </c>
      <c r="G2712">
        <f t="shared" si="42"/>
        <v>1576083245</v>
      </c>
    </row>
    <row r="2713" spans="1:7" x14ac:dyDescent="0.25">
      <c r="A2713">
        <v>1576084016</v>
      </c>
      <c r="B2713" t="s">
        <v>25735</v>
      </c>
      <c r="C2713">
        <v>96</v>
      </c>
      <c r="D2713">
        <v>2</v>
      </c>
      <c r="E2713">
        <v>14284</v>
      </c>
      <c r="F2713">
        <v>1065</v>
      </c>
      <c r="G2713">
        <f t="shared" si="42"/>
        <v>1576084016</v>
      </c>
    </row>
    <row r="2714" spans="1:7" x14ac:dyDescent="0.25">
      <c r="A2714">
        <v>1576084032</v>
      </c>
      <c r="B2714" t="s">
        <v>25736</v>
      </c>
      <c r="C2714">
        <v>0</v>
      </c>
      <c r="D2714">
        <v>1</v>
      </c>
      <c r="E2714">
        <v>259</v>
      </c>
      <c r="F2714">
        <v>5261</v>
      </c>
      <c r="G2714">
        <f t="shared" si="42"/>
        <v>1576084032</v>
      </c>
    </row>
    <row r="2715" spans="1:7" x14ac:dyDescent="0.25">
      <c r="A2715">
        <v>1576084140</v>
      </c>
      <c r="B2715" t="s">
        <v>36353</v>
      </c>
      <c r="C2715">
        <v>0</v>
      </c>
      <c r="D2715">
        <v>0</v>
      </c>
      <c r="E2715">
        <v>0</v>
      </c>
      <c r="F2715">
        <v>7383</v>
      </c>
      <c r="G2715">
        <f t="shared" si="42"/>
        <v>1576084140</v>
      </c>
    </row>
    <row r="2716" spans="1:7" x14ac:dyDescent="0.25">
      <c r="A2716">
        <v>1576084396</v>
      </c>
      <c r="B2716" t="s">
        <v>25737</v>
      </c>
      <c r="C2716">
        <v>270</v>
      </c>
      <c r="D2716">
        <v>1</v>
      </c>
      <c r="E2716">
        <v>3422</v>
      </c>
      <c r="F2716">
        <v>2895</v>
      </c>
      <c r="G2716">
        <f t="shared" si="42"/>
        <v>1576084396</v>
      </c>
    </row>
    <row r="2717" spans="1:7" x14ac:dyDescent="0.25">
      <c r="A2717">
        <v>1576084675</v>
      </c>
      <c r="B2717" t="s">
        <v>25738</v>
      </c>
      <c r="C2717">
        <v>0</v>
      </c>
      <c r="D2717">
        <v>1</v>
      </c>
      <c r="E2717">
        <v>226</v>
      </c>
      <c r="F2717">
        <v>5404</v>
      </c>
      <c r="G2717">
        <f t="shared" si="42"/>
        <v>1576084675</v>
      </c>
    </row>
    <row r="2718" spans="1:7" x14ac:dyDescent="0.25">
      <c r="A2718">
        <v>1576084971</v>
      </c>
      <c r="B2718" t="s">
        <v>25739</v>
      </c>
      <c r="C2718">
        <v>175</v>
      </c>
      <c r="D2718">
        <v>5</v>
      </c>
      <c r="E2718">
        <v>27081</v>
      </c>
      <c r="F2718">
        <v>332</v>
      </c>
      <c r="G2718">
        <f t="shared" si="42"/>
        <v>1576084971</v>
      </c>
    </row>
    <row r="2719" spans="1:7" x14ac:dyDescent="0.25">
      <c r="A2719">
        <v>1576086825</v>
      </c>
      <c r="B2719" t="s">
        <v>25740</v>
      </c>
      <c r="C2719">
        <v>0</v>
      </c>
      <c r="D2719">
        <v>1</v>
      </c>
      <c r="E2719">
        <v>61</v>
      </c>
      <c r="F2719">
        <v>6098</v>
      </c>
      <c r="G2719">
        <f t="shared" si="42"/>
        <v>1576086825</v>
      </c>
    </row>
    <row r="2720" spans="1:7" x14ac:dyDescent="0.25">
      <c r="A2720">
        <v>1576089212</v>
      </c>
      <c r="B2720" t="s">
        <v>25741</v>
      </c>
      <c r="C2720">
        <v>270</v>
      </c>
      <c r="D2720">
        <v>3</v>
      </c>
      <c r="E2720">
        <v>15097</v>
      </c>
      <c r="F2720">
        <v>992</v>
      </c>
      <c r="G2720">
        <f t="shared" si="42"/>
        <v>1576089212</v>
      </c>
    </row>
    <row r="2721" spans="1:7" x14ac:dyDescent="0.25">
      <c r="A2721">
        <v>1576090863</v>
      </c>
      <c r="B2721" t="s">
        <v>25742</v>
      </c>
      <c r="C2721">
        <v>0</v>
      </c>
      <c r="D2721">
        <v>1</v>
      </c>
      <c r="E2721">
        <v>512</v>
      </c>
      <c r="F2721">
        <v>4606</v>
      </c>
      <c r="G2721">
        <f t="shared" si="42"/>
        <v>1576090863</v>
      </c>
    </row>
    <row r="2722" spans="1:7" x14ac:dyDescent="0.25">
      <c r="A2722">
        <v>1576092453</v>
      </c>
      <c r="B2722" t="s">
        <v>25743</v>
      </c>
      <c r="C2722">
        <v>0</v>
      </c>
      <c r="D2722">
        <v>1</v>
      </c>
      <c r="E2722">
        <v>192</v>
      </c>
      <c r="F2722">
        <v>5532</v>
      </c>
      <c r="G2722">
        <f t="shared" si="42"/>
        <v>1576092453</v>
      </c>
    </row>
    <row r="2723" spans="1:7" x14ac:dyDescent="0.25">
      <c r="A2723">
        <v>1576094429</v>
      </c>
      <c r="B2723" t="s">
        <v>25744</v>
      </c>
      <c r="C2723">
        <v>0</v>
      </c>
      <c r="D2723">
        <v>1</v>
      </c>
      <c r="E2723">
        <v>32</v>
      </c>
      <c r="F2723">
        <v>6308</v>
      </c>
      <c r="G2723">
        <f t="shared" si="42"/>
        <v>1576094429</v>
      </c>
    </row>
    <row r="2724" spans="1:7" x14ac:dyDescent="0.25">
      <c r="A2724">
        <v>1576094748</v>
      </c>
      <c r="B2724" t="s">
        <v>25745</v>
      </c>
      <c r="C2724">
        <v>0</v>
      </c>
      <c r="D2724">
        <v>1</v>
      </c>
      <c r="E2724">
        <v>26</v>
      </c>
      <c r="F2724">
        <v>6527</v>
      </c>
      <c r="G2724">
        <f t="shared" si="42"/>
        <v>1576094748</v>
      </c>
    </row>
    <row r="2725" spans="1:7" x14ac:dyDescent="0.25">
      <c r="A2725">
        <v>1576095682</v>
      </c>
      <c r="B2725" t="s">
        <v>25746</v>
      </c>
      <c r="C2725">
        <v>31</v>
      </c>
      <c r="D2725">
        <v>0</v>
      </c>
      <c r="E2725">
        <v>0</v>
      </c>
      <c r="F2725">
        <v>7384</v>
      </c>
      <c r="G2725">
        <f t="shared" si="42"/>
        <v>1576095682</v>
      </c>
    </row>
    <row r="2726" spans="1:7" x14ac:dyDescent="0.25">
      <c r="A2726">
        <v>1576098468</v>
      </c>
      <c r="B2726" t="s">
        <v>25747</v>
      </c>
      <c r="C2726">
        <v>0</v>
      </c>
      <c r="D2726">
        <v>1</v>
      </c>
      <c r="E2726">
        <v>338</v>
      </c>
      <c r="F2726">
        <v>5013</v>
      </c>
      <c r="G2726">
        <f t="shared" si="42"/>
        <v>1576098468</v>
      </c>
    </row>
    <row r="2727" spans="1:7" x14ac:dyDescent="0.25">
      <c r="A2727">
        <v>1576098703</v>
      </c>
      <c r="B2727" t="s">
        <v>25748</v>
      </c>
      <c r="C2727">
        <v>0</v>
      </c>
      <c r="D2727">
        <v>1</v>
      </c>
      <c r="E2727">
        <v>368</v>
      </c>
      <c r="F2727">
        <v>4933</v>
      </c>
      <c r="G2727">
        <f t="shared" si="42"/>
        <v>1576098703</v>
      </c>
    </row>
    <row r="2728" spans="1:7" x14ac:dyDescent="0.25">
      <c r="A2728">
        <v>1576099065</v>
      </c>
      <c r="B2728" t="s">
        <v>25749</v>
      </c>
      <c r="C2728">
        <v>58</v>
      </c>
      <c r="D2728">
        <v>3</v>
      </c>
      <c r="E2728">
        <v>14888</v>
      </c>
      <c r="F2728">
        <v>1005</v>
      </c>
      <c r="G2728">
        <f t="shared" si="42"/>
        <v>1576099065</v>
      </c>
    </row>
    <row r="2729" spans="1:7" x14ac:dyDescent="0.25">
      <c r="A2729">
        <v>1576099489</v>
      </c>
      <c r="B2729" t="s">
        <v>25750</v>
      </c>
      <c r="C2729">
        <v>0</v>
      </c>
      <c r="D2729">
        <v>1</v>
      </c>
      <c r="E2729">
        <v>673</v>
      </c>
      <c r="F2729">
        <v>4378</v>
      </c>
      <c r="G2729">
        <f t="shared" si="42"/>
        <v>1576099489</v>
      </c>
    </row>
    <row r="2730" spans="1:7" x14ac:dyDescent="0.25">
      <c r="A2730">
        <v>1576101865</v>
      </c>
      <c r="B2730" t="s">
        <v>37398</v>
      </c>
      <c r="C2730">
        <v>0</v>
      </c>
      <c r="D2730">
        <v>0</v>
      </c>
      <c r="E2730">
        <v>0</v>
      </c>
      <c r="F2730">
        <v>7385</v>
      </c>
      <c r="G2730">
        <f t="shared" si="42"/>
        <v>1576101865</v>
      </c>
    </row>
    <row r="2731" spans="1:7" x14ac:dyDescent="0.25">
      <c r="A2731">
        <v>1576103513</v>
      </c>
      <c r="B2731" t="s">
        <v>25751</v>
      </c>
      <c r="C2731">
        <v>1340</v>
      </c>
      <c r="D2731">
        <v>2</v>
      </c>
      <c r="E2731">
        <v>6102</v>
      </c>
      <c r="F2731">
        <v>2255</v>
      </c>
      <c r="G2731">
        <f t="shared" si="42"/>
        <v>1576103513</v>
      </c>
    </row>
    <row r="2732" spans="1:7" x14ac:dyDescent="0.25">
      <c r="A2732">
        <v>1576103544</v>
      </c>
      <c r="B2732" t="s">
        <v>25752</v>
      </c>
      <c r="C2732">
        <v>27</v>
      </c>
      <c r="D2732">
        <v>2</v>
      </c>
      <c r="E2732">
        <v>8728</v>
      </c>
      <c r="F2732">
        <v>1764</v>
      </c>
      <c r="G2732">
        <f t="shared" si="42"/>
        <v>1576103544</v>
      </c>
    </row>
    <row r="2733" spans="1:7" x14ac:dyDescent="0.25">
      <c r="A2733">
        <v>1576104328</v>
      </c>
      <c r="B2733" t="s">
        <v>25753</v>
      </c>
      <c r="C2733">
        <v>0</v>
      </c>
      <c r="D2733">
        <v>1</v>
      </c>
      <c r="E2733">
        <v>390</v>
      </c>
      <c r="F2733">
        <v>4881</v>
      </c>
      <c r="G2733">
        <f t="shared" si="42"/>
        <v>1576104328</v>
      </c>
    </row>
    <row r="2734" spans="1:7" x14ac:dyDescent="0.25">
      <c r="A2734">
        <v>1576104415</v>
      </c>
      <c r="B2734" t="s">
        <v>25754</v>
      </c>
      <c r="C2734">
        <v>1373</v>
      </c>
      <c r="D2734">
        <v>2</v>
      </c>
      <c r="E2734">
        <v>6489</v>
      </c>
      <c r="F2734">
        <v>2169</v>
      </c>
      <c r="G2734">
        <f t="shared" si="42"/>
        <v>1576104415</v>
      </c>
    </row>
    <row r="2735" spans="1:7" x14ac:dyDescent="0.25">
      <c r="A2735">
        <v>1576104594</v>
      </c>
      <c r="B2735" t="s">
        <v>25755</v>
      </c>
      <c r="C2735">
        <v>131</v>
      </c>
      <c r="D2735">
        <v>2</v>
      </c>
      <c r="E2735">
        <v>7395</v>
      </c>
      <c r="F2735">
        <v>1995</v>
      </c>
      <c r="G2735">
        <f t="shared" si="42"/>
        <v>1576104594</v>
      </c>
    </row>
    <row r="2736" spans="1:7" x14ac:dyDescent="0.25">
      <c r="A2736">
        <v>1576105308</v>
      </c>
      <c r="B2736" t="s">
        <v>25756</v>
      </c>
      <c r="C2736">
        <v>0</v>
      </c>
      <c r="D2736">
        <v>1</v>
      </c>
      <c r="E2736">
        <v>91</v>
      </c>
      <c r="F2736">
        <v>5898</v>
      </c>
      <c r="G2736">
        <f t="shared" si="42"/>
        <v>1576105308</v>
      </c>
    </row>
    <row r="2737" spans="1:7" x14ac:dyDescent="0.25">
      <c r="A2737">
        <v>1576105309</v>
      </c>
      <c r="B2737" t="s">
        <v>36354</v>
      </c>
      <c r="C2737">
        <v>0</v>
      </c>
      <c r="D2737">
        <v>0</v>
      </c>
      <c r="E2737">
        <v>0</v>
      </c>
      <c r="F2737">
        <v>7386</v>
      </c>
      <c r="G2737">
        <f t="shared" si="42"/>
        <v>1576105309</v>
      </c>
    </row>
    <row r="2738" spans="1:7" x14ac:dyDescent="0.25">
      <c r="A2738">
        <v>1576107244</v>
      </c>
      <c r="B2738" t="s">
        <v>25757</v>
      </c>
      <c r="C2738">
        <v>419</v>
      </c>
      <c r="D2738">
        <v>1</v>
      </c>
      <c r="E2738">
        <v>2453</v>
      </c>
      <c r="F2738">
        <v>3157</v>
      </c>
      <c r="G2738">
        <f t="shared" si="42"/>
        <v>1576107244</v>
      </c>
    </row>
    <row r="2739" spans="1:7" x14ac:dyDescent="0.25">
      <c r="A2739">
        <v>1576107845</v>
      </c>
      <c r="B2739" t="s">
        <v>25758</v>
      </c>
      <c r="C2739">
        <v>0</v>
      </c>
      <c r="D2739">
        <v>0</v>
      </c>
      <c r="E2739">
        <v>0</v>
      </c>
      <c r="F2739">
        <v>7387</v>
      </c>
      <c r="G2739">
        <f t="shared" si="42"/>
        <v>1576107845</v>
      </c>
    </row>
    <row r="2740" spans="1:7" x14ac:dyDescent="0.25">
      <c r="A2740">
        <v>1576109832</v>
      </c>
      <c r="B2740" t="s">
        <v>25759</v>
      </c>
      <c r="C2740">
        <v>0</v>
      </c>
      <c r="D2740">
        <v>1</v>
      </c>
      <c r="E2740">
        <v>1028</v>
      </c>
      <c r="F2740">
        <v>3964</v>
      </c>
      <c r="G2740">
        <f t="shared" si="42"/>
        <v>1576109832</v>
      </c>
    </row>
    <row r="2741" spans="1:7" x14ac:dyDescent="0.25">
      <c r="A2741">
        <v>1576109966</v>
      </c>
      <c r="B2741" t="s">
        <v>36355</v>
      </c>
      <c r="C2741">
        <v>0</v>
      </c>
      <c r="D2741">
        <v>0</v>
      </c>
      <c r="E2741">
        <v>0</v>
      </c>
      <c r="F2741">
        <v>7388</v>
      </c>
      <c r="G2741">
        <f t="shared" si="42"/>
        <v>1576109966</v>
      </c>
    </row>
    <row r="2742" spans="1:7" x14ac:dyDescent="0.25">
      <c r="A2742">
        <v>1576110914</v>
      </c>
      <c r="B2742" t="s">
        <v>36356</v>
      </c>
      <c r="C2742">
        <v>960</v>
      </c>
      <c r="D2742">
        <v>3</v>
      </c>
      <c r="E2742">
        <v>13093</v>
      </c>
      <c r="F2742">
        <v>1160</v>
      </c>
      <c r="G2742">
        <f t="shared" si="42"/>
        <v>1576110914</v>
      </c>
    </row>
    <row r="2743" spans="1:7" x14ac:dyDescent="0.25">
      <c r="A2743">
        <v>1576111611</v>
      </c>
      <c r="B2743" t="s">
        <v>25760</v>
      </c>
      <c r="C2743">
        <v>0</v>
      </c>
      <c r="D2743">
        <v>1</v>
      </c>
      <c r="E2743">
        <v>113</v>
      </c>
      <c r="F2743">
        <v>5805</v>
      </c>
      <c r="G2743">
        <f t="shared" si="42"/>
        <v>1576111611</v>
      </c>
    </row>
    <row r="2744" spans="1:7" x14ac:dyDescent="0.25">
      <c r="A2744">
        <v>1576114533</v>
      </c>
      <c r="B2744" t="s">
        <v>25761</v>
      </c>
      <c r="C2744">
        <v>1107</v>
      </c>
      <c r="D2744">
        <v>1</v>
      </c>
      <c r="E2744">
        <v>288</v>
      </c>
      <c r="F2744">
        <v>5153</v>
      </c>
      <c r="G2744">
        <f t="shared" si="42"/>
        <v>1576114533</v>
      </c>
    </row>
    <row r="2745" spans="1:7" x14ac:dyDescent="0.25">
      <c r="A2745">
        <v>1576114840</v>
      </c>
      <c r="B2745" t="s">
        <v>25762</v>
      </c>
      <c r="C2745">
        <v>0</v>
      </c>
      <c r="D2745">
        <v>1</v>
      </c>
      <c r="E2745">
        <v>961</v>
      </c>
      <c r="F2745">
        <v>4030</v>
      </c>
      <c r="G2745">
        <f t="shared" si="42"/>
        <v>1576114840</v>
      </c>
    </row>
    <row r="2746" spans="1:7" x14ac:dyDescent="0.25">
      <c r="A2746">
        <v>1576115238</v>
      </c>
      <c r="B2746" t="s">
        <v>25763</v>
      </c>
      <c r="C2746">
        <v>0</v>
      </c>
      <c r="D2746">
        <v>1</v>
      </c>
      <c r="E2746">
        <v>26</v>
      </c>
      <c r="F2746">
        <v>6528</v>
      </c>
      <c r="G2746">
        <f t="shared" si="42"/>
        <v>1576115238</v>
      </c>
    </row>
    <row r="2747" spans="1:7" x14ac:dyDescent="0.25">
      <c r="A2747">
        <v>1576115557</v>
      </c>
      <c r="B2747" t="s">
        <v>25764</v>
      </c>
      <c r="C2747">
        <v>1176</v>
      </c>
      <c r="D2747">
        <v>0</v>
      </c>
      <c r="E2747">
        <v>0</v>
      </c>
      <c r="F2747">
        <v>7389</v>
      </c>
      <c r="G2747">
        <f t="shared" si="42"/>
        <v>1576115557</v>
      </c>
    </row>
    <row r="2748" spans="1:7" x14ac:dyDescent="0.25">
      <c r="A2748">
        <v>1576117183</v>
      </c>
      <c r="B2748" t="s">
        <v>25765</v>
      </c>
      <c r="C2748">
        <v>308</v>
      </c>
      <c r="D2748">
        <v>0</v>
      </c>
      <c r="E2748">
        <v>0</v>
      </c>
      <c r="F2748">
        <v>7390</v>
      </c>
      <c r="G2748">
        <f t="shared" si="42"/>
        <v>1576117183</v>
      </c>
    </row>
    <row r="2749" spans="1:7" x14ac:dyDescent="0.25">
      <c r="A2749">
        <v>1576117998</v>
      </c>
      <c r="B2749" t="s">
        <v>25766</v>
      </c>
      <c r="C2749">
        <v>0</v>
      </c>
      <c r="D2749">
        <v>0</v>
      </c>
      <c r="E2749">
        <v>0</v>
      </c>
      <c r="F2749">
        <v>7391</v>
      </c>
      <c r="G2749">
        <f t="shared" si="42"/>
        <v>1576117998</v>
      </c>
    </row>
    <row r="2750" spans="1:7" x14ac:dyDescent="0.25">
      <c r="A2750">
        <v>1576118171</v>
      </c>
      <c r="B2750" t="s">
        <v>25767</v>
      </c>
      <c r="C2750">
        <v>0</v>
      </c>
      <c r="D2750">
        <v>1</v>
      </c>
      <c r="E2750">
        <v>26</v>
      </c>
      <c r="F2750">
        <v>6529</v>
      </c>
      <c r="G2750">
        <f t="shared" si="42"/>
        <v>1576118171</v>
      </c>
    </row>
    <row r="2751" spans="1:7" x14ac:dyDescent="0.25">
      <c r="A2751">
        <v>1576120511</v>
      </c>
      <c r="B2751" t="s">
        <v>25768</v>
      </c>
      <c r="C2751">
        <v>0</v>
      </c>
      <c r="D2751">
        <v>0</v>
      </c>
      <c r="E2751">
        <v>0</v>
      </c>
      <c r="F2751">
        <v>7392</v>
      </c>
      <c r="G2751">
        <f t="shared" si="42"/>
        <v>1576120511</v>
      </c>
    </row>
    <row r="2752" spans="1:7" x14ac:dyDescent="0.25">
      <c r="A2752">
        <v>1576121001</v>
      </c>
      <c r="B2752" t="s">
        <v>25769</v>
      </c>
      <c r="C2752">
        <v>1779</v>
      </c>
      <c r="D2752">
        <v>1</v>
      </c>
      <c r="E2752">
        <v>321</v>
      </c>
      <c r="F2752">
        <v>5064</v>
      </c>
      <c r="G2752">
        <f t="shared" si="42"/>
        <v>1576121001</v>
      </c>
    </row>
    <row r="2753" spans="1:7" x14ac:dyDescent="0.25">
      <c r="A2753">
        <v>1576122645</v>
      </c>
      <c r="B2753" t="s">
        <v>25770</v>
      </c>
      <c r="C2753">
        <v>367</v>
      </c>
      <c r="D2753">
        <v>2</v>
      </c>
      <c r="E2753">
        <v>8812</v>
      </c>
      <c r="F2753">
        <v>1751</v>
      </c>
      <c r="G2753">
        <f t="shared" ref="G2753:G2816" si="43">A2753</f>
        <v>1576122645</v>
      </c>
    </row>
    <row r="2754" spans="1:7" x14ac:dyDescent="0.25">
      <c r="A2754">
        <v>1576123109</v>
      </c>
      <c r="B2754" t="s">
        <v>36357</v>
      </c>
      <c r="C2754">
        <v>31</v>
      </c>
      <c r="D2754">
        <v>4</v>
      </c>
      <c r="E2754">
        <v>20327</v>
      </c>
      <c r="F2754">
        <v>604</v>
      </c>
      <c r="G2754">
        <f t="shared" si="43"/>
        <v>1576123109</v>
      </c>
    </row>
    <row r="2755" spans="1:7" x14ac:dyDescent="0.25">
      <c r="A2755">
        <v>1576123680</v>
      </c>
      <c r="B2755" t="s">
        <v>25771</v>
      </c>
      <c r="C2755">
        <v>0</v>
      </c>
      <c r="D2755">
        <v>1</v>
      </c>
      <c r="E2755">
        <v>672</v>
      </c>
      <c r="F2755">
        <v>4380</v>
      </c>
      <c r="G2755">
        <f t="shared" si="43"/>
        <v>1576123680</v>
      </c>
    </row>
    <row r="2756" spans="1:7" x14ac:dyDescent="0.25">
      <c r="A2756">
        <v>1576123873</v>
      </c>
      <c r="B2756" t="s">
        <v>36358</v>
      </c>
      <c r="C2756">
        <v>131</v>
      </c>
      <c r="D2756">
        <v>4</v>
      </c>
      <c r="E2756">
        <v>14005</v>
      </c>
      <c r="F2756">
        <v>1079</v>
      </c>
      <c r="G2756">
        <f t="shared" si="43"/>
        <v>1576123873</v>
      </c>
    </row>
    <row r="2757" spans="1:7" x14ac:dyDescent="0.25">
      <c r="A2757">
        <v>1576125761</v>
      </c>
      <c r="B2757" t="s">
        <v>25772</v>
      </c>
      <c r="C2757">
        <v>733</v>
      </c>
      <c r="D2757">
        <v>9</v>
      </c>
      <c r="E2757">
        <v>42227</v>
      </c>
      <c r="F2757">
        <v>79</v>
      </c>
      <c r="G2757">
        <f t="shared" si="43"/>
        <v>1576125761</v>
      </c>
    </row>
    <row r="2758" spans="1:7" x14ac:dyDescent="0.25">
      <c r="A2758">
        <v>1576125906</v>
      </c>
      <c r="B2758" t="s">
        <v>25773</v>
      </c>
      <c r="C2758">
        <v>643</v>
      </c>
      <c r="D2758">
        <v>7</v>
      </c>
      <c r="E2758">
        <v>44324</v>
      </c>
      <c r="F2758">
        <v>65</v>
      </c>
      <c r="G2758">
        <f t="shared" si="43"/>
        <v>1576125906</v>
      </c>
    </row>
    <row r="2759" spans="1:7" x14ac:dyDescent="0.25">
      <c r="A2759">
        <v>1576128662</v>
      </c>
      <c r="B2759" t="s">
        <v>25774</v>
      </c>
      <c r="C2759">
        <v>1806</v>
      </c>
      <c r="D2759">
        <v>1</v>
      </c>
      <c r="E2759">
        <v>2068</v>
      </c>
      <c r="F2759">
        <v>3308</v>
      </c>
      <c r="G2759">
        <f t="shared" si="43"/>
        <v>1576128662</v>
      </c>
    </row>
    <row r="2760" spans="1:7" x14ac:dyDescent="0.25">
      <c r="A2760">
        <v>1576128871</v>
      </c>
      <c r="B2760" t="s">
        <v>25775</v>
      </c>
      <c r="C2760">
        <v>0</v>
      </c>
      <c r="D2760">
        <v>1</v>
      </c>
      <c r="E2760">
        <v>38</v>
      </c>
      <c r="F2760">
        <v>6271</v>
      </c>
      <c r="G2760">
        <f t="shared" si="43"/>
        <v>1576128871</v>
      </c>
    </row>
    <row r="2761" spans="1:7" x14ac:dyDescent="0.25">
      <c r="A2761">
        <v>1576133597</v>
      </c>
      <c r="B2761" t="s">
        <v>25776</v>
      </c>
      <c r="C2761">
        <v>1107</v>
      </c>
      <c r="D2761">
        <v>1</v>
      </c>
      <c r="E2761">
        <v>94</v>
      </c>
      <c r="F2761">
        <v>5882</v>
      </c>
      <c r="G2761">
        <f t="shared" si="43"/>
        <v>1576133597</v>
      </c>
    </row>
    <row r="2762" spans="1:7" x14ac:dyDescent="0.25">
      <c r="A2762">
        <v>1576133947</v>
      </c>
      <c r="B2762" t="s">
        <v>25777</v>
      </c>
      <c r="C2762">
        <v>218</v>
      </c>
      <c r="D2762">
        <v>3</v>
      </c>
      <c r="E2762">
        <v>11208</v>
      </c>
      <c r="F2762">
        <v>1383</v>
      </c>
      <c r="G2762">
        <f t="shared" si="43"/>
        <v>1576133947</v>
      </c>
    </row>
    <row r="2763" spans="1:7" x14ac:dyDescent="0.25">
      <c r="A2763">
        <v>1576134517</v>
      </c>
      <c r="B2763" t="s">
        <v>25778</v>
      </c>
      <c r="C2763">
        <v>138</v>
      </c>
      <c r="D2763">
        <v>7</v>
      </c>
      <c r="E2763">
        <v>41279</v>
      </c>
      <c r="F2763">
        <v>87</v>
      </c>
      <c r="G2763">
        <f t="shared" si="43"/>
        <v>1576134517</v>
      </c>
    </row>
    <row r="2764" spans="1:7" x14ac:dyDescent="0.25">
      <c r="A2764">
        <v>1576135165</v>
      </c>
      <c r="B2764" t="s">
        <v>36359</v>
      </c>
      <c r="C2764">
        <v>174</v>
      </c>
      <c r="D2764">
        <v>5</v>
      </c>
      <c r="E2764">
        <v>29462</v>
      </c>
      <c r="F2764">
        <v>253</v>
      </c>
      <c r="G2764">
        <f t="shared" si="43"/>
        <v>1576135165</v>
      </c>
    </row>
    <row r="2765" spans="1:7" x14ac:dyDescent="0.25">
      <c r="A2765">
        <v>1576135562</v>
      </c>
      <c r="B2765" t="s">
        <v>25779</v>
      </c>
      <c r="C2765">
        <v>0</v>
      </c>
      <c r="D2765">
        <v>0</v>
      </c>
      <c r="E2765">
        <v>0</v>
      </c>
      <c r="F2765">
        <v>7393</v>
      </c>
      <c r="G2765">
        <f t="shared" si="43"/>
        <v>1576135562</v>
      </c>
    </row>
    <row r="2766" spans="1:7" x14ac:dyDescent="0.25">
      <c r="A2766">
        <v>1576135928</v>
      </c>
      <c r="B2766" t="s">
        <v>25780</v>
      </c>
      <c r="C2766">
        <v>1983</v>
      </c>
      <c r="D2766">
        <v>1</v>
      </c>
      <c r="E2766">
        <v>5599</v>
      </c>
      <c r="F2766">
        <v>2380</v>
      </c>
      <c r="G2766">
        <f t="shared" si="43"/>
        <v>1576135928</v>
      </c>
    </row>
    <row r="2767" spans="1:7" x14ac:dyDescent="0.25">
      <c r="A2767">
        <v>1576136163</v>
      </c>
      <c r="B2767" t="s">
        <v>25781</v>
      </c>
      <c r="C2767">
        <v>0</v>
      </c>
      <c r="D2767">
        <v>0</v>
      </c>
      <c r="E2767">
        <v>0</v>
      </c>
      <c r="F2767">
        <v>7394</v>
      </c>
      <c r="G2767">
        <f t="shared" si="43"/>
        <v>1576136163</v>
      </c>
    </row>
    <row r="2768" spans="1:7" x14ac:dyDescent="0.25">
      <c r="A2768">
        <v>1576136651</v>
      </c>
      <c r="B2768" t="s">
        <v>25782</v>
      </c>
      <c r="C2768">
        <v>0</v>
      </c>
      <c r="D2768">
        <v>0</v>
      </c>
      <c r="E2768">
        <v>0</v>
      </c>
      <c r="F2768">
        <v>7395</v>
      </c>
      <c r="G2768">
        <f t="shared" si="43"/>
        <v>1576136651</v>
      </c>
    </row>
    <row r="2769" spans="1:7" x14ac:dyDescent="0.25">
      <c r="A2769">
        <v>1576139108</v>
      </c>
      <c r="B2769" t="s">
        <v>36360</v>
      </c>
      <c r="C2769">
        <v>0</v>
      </c>
      <c r="D2769">
        <v>0</v>
      </c>
      <c r="E2769">
        <v>0</v>
      </c>
      <c r="F2769">
        <v>7396</v>
      </c>
      <c r="G2769">
        <f t="shared" si="43"/>
        <v>1576139108</v>
      </c>
    </row>
    <row r="2770" spans="1:7" x14ac:dyDescent="0.25">
      <c r="A2770">
        <v>1576139349</v>
      </c>
      <c r="B2770" t="s">
        <v>25783</v>
      </c>
      <c r="C2770">
        <v>1946</v>
      </c>
      <c r="D2770">
        <v>0</v>
      </c>
      <c r="E2770">
        <v>0</v>
      </c>
      <c r="F2770">
        <v>7397</v>
      </c>
      <c r="G2770">
        <f t="shared" si="43"/>
        <v>1576139349</v>
      </c>
    </row>
    <row r="2771" spans="1:7" x14ac:dyDescent="0.25">
      <c r="A2771">
        <v>1576141051</v>
      </c>
      <c r="B2771" t="s">
        <v>25784</v>
      </c>
      <c r="C2771">
        <v>0</v>
      </c>
      <c r="D2771">
        <v>0</v>
      </c>
      <c r="E2771">
        <v>0</v>
      </c>
      <c r="F2771">
        <v>7398</v>
      </c>
      <c r="G2771">
        <f t="shared" si="43"/>
        <v>1576141051</v>
      </c>
    </row>
    <row r="2772" spans="1:7" x14ac:dyDescent="0.25">
      <c r="A2772">
        <v>1576142627</v>
      </c>
      <c r="B2772" t="s">
        <v>25785</v>
      </c>
      <c r="C2772">
        <v>1503</v>
      </c>
      <c r="D2772">
        <v>1</v>
      </c>
      <c r="E2772">
        <v>5436</v>
      </c>
      <c r="F2772">
        <v>2421</v>
      </c>
      <c r="G2772">
        <f t="shared" si="43"/>
        <v>1576142627</v>
      </c>
    </row>
    <row r="2773" spans="1:7" x14ac:dyDescent="0.25">
      <c r="A2773">
        <v>1576142723</v>
      </c>
      <c r="B2773" t="s">
        <v>36361</v>
      </c>
      <c r="C2773">
        <v>0</v>
      </c>
      <c r="D2773">
        <v>0</v>
      </c>
      <c r="E2773">
        <v>0</v>
      </c>
      <c r="F2773">
        <v>7399</v>
      </c>
      <c r="G2773">
        <f t="shared" si="43"/>
        <v>1576142723</v>
      </c>
    </row>
    <row r="2774" spans="1:7" x14ac:dyDescent="0.25">
      <c r="A2774">
        <v>1576143490</v>
      </c>
      <c r="B2774" t="s">
        <v>25786</v>
      </c>
      <c r="C2774">
        <v>61</v>
      </c>
      <c r="D2774">
        <v>0</v>
      </c>
      <c r="E2774">
        <v>0</v>
      </c>
      <c r="F2774">
        <v>7400</v>
      </c>
      <c r="G2774">
        <f t="shared" si="43"/>
        <v>1576143490</v>
      </c>
    </row>
    <row r="2775" spans="1:7" x14ac:dyDescent="0.25">
      <c r="A2775">
        <v>1576146267</v>
      </c>
      <c r="B2775" t="s">
        <v>25787</v>
      </c>
      <c r="C2775">
        <v>1745</v>
      </c>
      <c r="D2775">
        <v>1</v>
      </c>
      <c r="E2775">
        <v>4901</v>
      </c>
      <c r="F2775">
        <v>2531</v>
      </c>
      <c r="G2775">
        <f t="shared" si="43"/>
        <v>1576146267</v>
      </c>
    </row>
    <row r="2776" spans="1:7" x14ac:dyDescent="0.25">
      <c r="A2776">
        <v>1576146529</v>
      </c>
      <c r="B2776" t="s">
        <v>25788</v>
      </c>
      <c r="C2776">
        <v>1984</v>
      </c>
      <c r="D2776">
        <v>1</v>
      </c>
      <c r="E2776">
        <v>4297</v>
      </c>
      <c r="F2776">
        <v>2681</v>
      </c>
      <c r="G2776">
        <f t="shared" si="43"/>
        <v>1576146529</v>
      </c>
    </row>
    <row r="2777" spans="1:7" x14ac:dyDescent="0.25">
      <c r="A2777">
        <v>1576147930</v>
      </c>
      <c r="B2777" t="s">
        <v>25789</v>
      </c>
      <c r="C2777">
        <v>1643</v>
      </c>
      <c r="D2777">
        <v>5</v>
      </c>
      <c r="E2777">
        <v>16483</v>
      </c>
      <c r="F2777">
        <v>875</v>
      </c>
      <c r="G2777">
        <f t="shared" si="43"/>
        <v>1576147930</v>
      </c>
    </row>
    <row r="2778" spans="1:7" x14ac:dyDescent="0.25">
      <c r="A2778">
        <v>1576151021</v>
      </c>
      <c r="B2778" t="s">
        <v>25790</v>
      </c>
      <c r="C2778">
        <v>3</v>
      </c>
      <c r="D2778">
        <v>2</v>
      </c>
      <c r="E2778">
        <v>11001</v>
      </c>
      <c r="F2778">
        <v>1418</v>
      </c>
      <c r="G2778">
        <f t="shared" si="43"/>
        <v>1576151021</v>
      </c>
    </row>
    <row r="2779" spans="1:7" x14ac:dyDescent="0.25">
      <c r="A2779">
        <v>1576152596</v>
      </c>
      <c r="B2779" t="s">
        <v>25791</v>
      </c>
      <c r="C2779">
        <v>1880</v>
      </c>
      <c r="D2779">
        <v>1</v>
      </c>
      <c r="E2779">
        <v>529</v>
      </c>
      <c r="F2779">
        <v>4604</v>
      </c>
      <c r="G2779">
        <f t="shared" si="43"/>
        <v>1576152596</v>
      </c>
    </row>
    <row r="2780" spans="1:7" x14ac:dyDescent="0.25">
      <c r="A2780">
        <v>1576153564</v>
      </c>
      <c r="B2780" t="s">
        <v>36362</v>
      </c>
      <c r="C2780">
        <v>0</v>
      </c>
      <c r="D2780">
        <v>1</v>
      </c>
      <c r="E2780">
        <v>54</v>
      </c>
      <c r="F2780">
        <v>6133</v>
      </c>
      <c r="G2780">
        <f t="shared" si="43"/>
        <v>1576153564</v>
      </c>
    </row>
    <row r="2781" spans="1:7" x14ac:dyDescent="0.25">
      <c r="A2781">
        <v>1576159880</v>
      </c>
      <c r="B2781" t="s">
        <v>25792</v>
      </c>
      <c r="C2781">
        <v>0</v>
      </c>
      <c r="D2781">
        <v>0</v>
      </c>
      <c r="E2781">
        <v>0</v>
      </c>
      <c r="F2781">
        <v>7401</v>
      </c>
      <c r="G2781">
        <f t="shared" si="43"/>
        <v>1576159880</v>
      </c>
    </row>
    <row r="2782" spans="1:7" x14ac:dyDescent="0.25">
      <c r="A2782">
        <v>1576161306</v>
      </c>
      <c r="B2782" t="s">
        <v>25793</v>
      </c>
      <c r="C2782">
        <v>0</v>
      </c>
      <c r="D2782">
        <v>1</v>
      </c>
      <c r="E2782">
        <v>142</v>
      </c>
      <c r="F2782">
        <v>5721</v>
      </c>
      <c r="G2782">
        <f t="shared" si="43"/>
        <v>1576161306</v>
      </c>
    </row>
    <row r="2783" spans="1:7" x14ac:dyDescent="0.25">
      <c r="A2783">
        <v>1576161820</v>
      </c>
      <c r="B2783" t="s">
        <v>25794</v>
      </c>
      <c r="C2783">
        <v>245</v>
      </c>
      <c r="D2783">
        <v>1</v>
      </c>
      <c r="E2783">
        <v>1290</v>
      </c>
      <c r="F2783">
        <v>3736</v>
      </c>
      <c r="G2783">
        <f t="shared" si="43"/>
        <v>1576161820</v>
      </c>
    </row>
    <row r="2784" spans="1:7" x14ac:dyDescent="0.25">
      <c r="A2784">
        <v>1576164063</v>
      </c>
      <c r="B2784" t="s">
        <v>25795</v>
      </c>
      <c r="C2784">
        <v>680</v>
      </c>
      <c r="D2784">
        <v>2</v>
      </c>
      <c r="E2784">
        <v>9763</v>
      </c>
      <c r="F2784">
        <v>1596</v>
      </c>
      <c r="G2784">
        <f t="shared" si="43"/>
        <v>1576164063</v>
      </c>
    </row>
    <row r="2785" spans="1:7" x14ac:dyDescent="0.25">
      <c r="A2785">
        <v>1576164075</v>
      </c>
      <c r="B2785" t="s">
        <v>25796</v>
      </c>
      <c r="C2785">
        <v>0</v>
      </c>
      <c r="D2785">
        <v>0</v>
      </c>
      <c r="E2785">
        <v>0</v>
      </c>
      <c r="F2785">
        <v>7402</v>
      </c>
      <c r="G2785">
        <f t="shared" si="43"/>
        <v>1576164075</v>
      </c>
    </row>
    <row r="2786" spans="1:7" x14ac:dyDescent="0.25">
      <c r="A2786">
        <v>1576170098</v>
      </c>
      <c r="B2786" t="s">
        <v>25797</v>
      </c>
      <c r="C2786">
        <v>1597</v>
      </c>
      <c r="D2786">
        <v>1</v>
      </c>
      <c r="E2786">
        <v>1431</v>
      </c>
      <c r="F2786">
        <v>3637</v>
      </c>
      <c r="G2786">
        <f t="shared" si="43"/>
        <v>1576170098</v>
      </c>
    </row>
    <row r="2787" spans="1:7" x14ac:dyDescent="0.25">
      <c r="A2787">
        <v>1576170529</v>
      </c>
      <c r="B2787" t="s">
        <v>25798</v>
      </c>
      <c r="C2787">
        <v>0</v>
      </c>
      <c r="D2787">
        <v>1</v>
      </c>
      <c r="E2787">
        <v>91</v>
      </c>
      <c r="F2787">
        <v>5899</v>
      </c>
      <c r="G2787">
        <f t="shared" si="43"/>
        <v>1576170529</v>
      </c>
    </row>
    <row r="2788" spans="1:7" x14ac:dyDescent="0.25">
      <c r="A2788">
        <v>1576170718</v>
      </c>
      <c r="B2788" t="s">
        <v>37429</v>
      </c>
      <c r="C2788">
        <v>0</v>
      </c>
      <c r="D2788">
        <v>1</v>
      </c>
      <c r="E2788">
        <v>86</v>
      </c>
      <c r="F2788">
        <v>5932</v>
      </c>
      <c r="G2788">
        <f t="shared" si="43"/>
        <v>1576170718</v>
      </c>
    </row>
    <row r="2789" spans="1:7" x14ac:dyDescent="0.25">
      <c r="A2789">
        <v>1576172159</v>
      </c>
      <c r="B2789" t="s">
        <v>36363</v>
      </c>
      <c r="C2789">
        <v>179</v>
      </c>
      <c r="D2789">
        <v>4</v>
      </c>
      <c r="E2789">
        <v>12965</v>
      </c>
      <c r="F2789">
        <v>1172</v>
      </c>
      <c r="G2789">
        <f t="shared" si="43"/>
        <v>1576172159</v>
      </c>
    </row>
    <row r="2790" spans="1:7" x14ac:dyDescent="0.25">
      <c r="A2790">
        <v>1576172304</v>
      </c>
      <c r="B2790" t="s">
        <v>36364</v>
      </c>
      <c r="C2790">
        <v>680</v>
      </c>
      <c r="D2790">
        <v>2</v>
      </c>
      <c r="E2790">
        <v>9055</v>
      </c>
      <c r="F2790">
        <v>1733</v>
      </c>
      <c r="G2790">
        <f t="shared" si="43"/>
        <v>1576172304</v>
      </c>
    </row>
    <row r="2791" spans="1:7" x14ac:dyDescent="0.25">
      <c r="A2791">
        <v>1576174494</v>
      </c>
      <c r="B2791" t="s">
        <v>36365</v>
      </c>
      <c r="C2791">
        <v>419</v>
      </c>
      <c r="D2791">
        <v>3</v>
      </c>
      <c r="E2791">
        <v>14771</v>
      </c>
      <c r="F2791">
        <v>1010</v>
      </c>
      <c r="G2791">
        <f t="shared" si="43"/>
        <v>1576174494</v>
      </c>
    </row>
    <row r="2792" spans="1:7" x14ac:dyDescent="0.25">
      <c r="A2792">
        <v>1576174848</v>
      </c>
      <c r="B2792" t="s">
        <v>25799</v>
      </c>
      <c r="C2792">
        <v>0</v>
      </c>
      <c r="D2792">
        <v>1</v>
      </c>
      <c r="E2792">
        <v>1568</v>
      </c>
      <c r="F2792">
        <v>3559</v>
      </c>
      <c r="G2792">
        <f t="shared" si="43"/>
        <v>1576174848</v>
      </c>
    </row>
    <row r="2793" spans="1:7" x14ac:dyDescent="0.25">
      <c r="A2793">
        <v>1576175317</v>
      </c>
      <c r="B2793" t="s">
        <v>36366</v>
      </c>
      <c r="C2793">
        <v>0</v>
      </c>
      <c r="D2793">
        <v>1</v>
      </c>
      <c r="E2793">
        <v>2235</v>
      </c>
      <c r="F2793">
        <v>3232</v>
      </c>
      <c r="G2793">
        <f t="shared" si="43"/>
        <v>1576175317</v>
      </c>
    </row>
    <row r="2794" spans="1:7" x14ac:dyDescent="0.25">
      <c r="A2794">
        <v>1576176852</v>
      </c>
      <c r="B2794" t="s">
        <v>25800</v>
      </c>
      <c r="C2794">
        <v>541</v>
      </c>
      <c r="D2794">
        <v>4</v>
      </c>
      <c r="E2794">
        <v>15985</v>
      </c>
      <c r="F2794">
        <v>909</v>
      </c>
      <c r="G2794">
        <f t="shared" si="43"/>
        <v>1576176852</v>
      </c>
    </row>
    <row r="2795" spans="1:7" x14ac:dyDescent="0.25">
      <c r="A2795">
        <v>1576178066</v>
      </c>
      <c r="B2795" t="s">
        <v>25801</v>
      </c>
      <c r="C2795">
        <v>124</v>
      </c>
      <c r="D2795">
        <v>3</v>
      </c>
      <c r="E2795">
        <v>13681</v>
      </c>
      <c r="F2795">
        <v>1104</v>
      </c>
      <c r="G2795">
        <f t="shared" si="43"/>
        <v>1576178066</v>
      </c>
    </row>
    <row r="2796" spans="1:7" x14ac:dyDescent="0.25">
      <c r="A2796">
        <v>1576179081</v>
      </c>
      <c r="B2796" t="s">
        <v>25802</v>
      </c>
      <c r="C2796">
        <v>0</v>
      </c>
      <c r="D2796">
        <v>1</v>
      </c>
      <c r="E2796">
        <v>26</v>
      </c>
      <c r="F2796">
        <v>6530</v>
      </c>
      <c r="G2796">
        <f t="shared" si="43"/>
        <v>1576179081</v>
      </c>
    </row>
    <row r="2797" spans="1:7" x14ac:dyDescent="0.25">
      <c r="A2797">
        <v>1576179227</v>
      </c>
      <c r="B2797" t="s">
        <v>25803</v>
      </c>
      <c r="C2797">
        <v>1107</v>
      </c>
      <c r="D2797">
        <v>0</v>
      </c>
      <c r="E2797">
        <v>0</v>
      </c>
      <c r="F2797">
        <v>7403</v>
      </c>
      <c r="G2797">
        <f t="shared" si="43"/>
        <v>1576179227</v>
      </c>
    </row>
    <row r="2798" spans="1:7" x14ac:dyDescent="0.25">
      <c r="A2798">
        <v>1576180507</v>
      </c>
      <c r="B2798" t="s">
        <v>25804</v>
      </c>
      <c r="C2798">
        <v>412</v>
      </c>
      <c r="D2798">
        <v>1</v>
      </c>
      <c r="E2798">
        <v>5562</v>
      </c>
      <c r="F2798">
        <v>2389</v>
      </c>
      <c r="G2798">
        <f t="shared" si="43"/>
        <v>1576180507</v>
      </c>
    </row>
    <row r="2799" spans="1:7" x14ac:dyDescent="0.25">
      <c r="A2799">
        <v>1576180527</v>
      </c>
      <c r="B2799" t="s">
        <v>36367</v>
      </c>
      <c r="C2799">
        <v>896</v>
      </c>
      <c r="D2799">
        <v>2</v>
      </c>
      <c r="E2799">
        <v>9498</v>
      </c>
      <c r="F2799">
        <v>1635</v>
      </c>
      <c r="G2799">
        <f t="shared" si="43"/>
        <v>1576180527</v>
      </c>
    </row>
    <row r="2800" spans="1:7" x14ac:dyDescent="0.25">
      <c r="A2800">
        <v>1576181376</v>
      </c>
      <c r="B2800" t="s">
        <v>25805</v>
      </c>
      <c r="C2800">
        <v>152</v>
      </c>
      <c r="D2800">
        <v>2</v>
      </c>
      <c r="E2800">
        <v>10848</v>
      </c>
      <c r="F2800">
        <v>1439</v>
      </c>
      <c r="G2800">
        <f t="shared" si="43"/>
        <v>1576181376</v>
      </c>
    </row>
    <row r="2801" spans="1:7" x14ac:dyDescent="0.25">
      <c r="A2801">
        <v>1576181692</v>
      </c>
      <c r="B2801" t="s">
        <v>37221</v>
      </c>
      <c r="C2801">
        <v>4</v>
      </c>
      <c r="D2801">
        <v>6</v>
      </c>
      <c r="E2801">
        <v>34788</v>
      </c>
      <c r="F2801">
        <v>154</v>
      </c>
      <c r="G2801">
        <f t="shared" si="43"/>
        <v>1576181692</v>
      </c>
    </row>
    <row r="2802" spans="1:7" x14ac:dyDescent="0.25">
      <c r="A2802">
        <v>1576182923</v>
      </c>
      <c r="B2802" t="s">
        <v>25806</v>
      </c>
      <c r="C2802">
        <v>0</v>
      </c>
      <c r="D2802">
        <v>1</v>
      </c>
      <c r="E2802">
        <v>2770</v>
      </c>
      <c r="F2802">
        <v>3048</v>
      </c>
      <c r="G2802">
        <f t="shared" si="43"/>
        <v>1576182923</v>
      </c>
    </row>
    <row r="2803" spans="1:7" x14ac:dyDescent="0.25">
      <c r="A2803">
        <v>1576183074</v>
      </c>
      <c r="B2803" t="s">
        <v>25807</v>
      </c>
      <c r="C2803">
        <v>67</v>
      </c>
      <c r="D2803">
        <v>2</v>
      </c>
      <c r="E2803">
        <v>8451</v>
      </c>
      <c r="F2803">
        <v>1805</v>
      </c>
      <c r="G2803">
        <f t="shared" si="43"/>
        <v>1576183074</v>
      </c>
    </row>
    <row r="2804" spans="1:7" x14ac:dyDescent="0.25">
      <c r="A2804">
        <v>1576183317</v>
      </c>
      <c r="B2804" t="s">
        <v>25808</v>
      </c>
      <c r="C2804">
        <v>0</v>
      </c>
      <c r="D2804">
        <v>1</v>
      </c>
      <c r="E2804">
        <v>1837</v>
      </c>
      <c r="F2804">
        <v>3425</v>
      </c>
      <c r="G2804">
        <f t="shared" si="43"/>
        <v>1576183317</v>
      </c>
    </row>
    <row r="2805" spans="1:7" x14ac:dyDescent="0.25">
      <c r="A2805">
        <v>1576184345</v>
      </c>
      <c r="B2805" t="s">
        <v>25809</v>
      </c>
      <c r="C2805">
        <v>680</v>
      </c>
      <c r="D2805">
        <v>1</v>
      </c>
      <c r="E2805">
        <v>3958</v>
      </c>
      <c r="F2805">
        <v>2776</v>
      </c>
      <c r="G2805">
        <f t="shared" si="43"/>
        <v>1576184345</v>
      </c>
    </row>
    <row r="2806" spans="1:7" x14ac:dyDescent="0.25">
      <c r="A2806">
        <v>1576186677</v>
      </c>
      <c r="B2806" t="s">
        <v>25810</v>
      </c>
      <c r="C2806">
        <v>106</v>
      </c>
      <c r="D2806">
        <v>2</v>
      </c>
      <c r="E2806">
        <v>7748</v>
      </c>
      <c r="F2806">
        <v>1935</v>
      </c>
      <c r="G2806">
        <f t="shared" si="43"/>
        <v>1576186677</v>
      </c>
    </row>
    <row r="2807" spans="1:7" x14ac:dyDescent="0.25">
      <c r="A2807">
        <v>1576188158</v>
      </c>
      <c r="B2807" t="s">
        <v>25811</v>
      </c>
      <c r="C2807">
        <v>1694</v>
      </c>
      <c r="D2807">
        <v>1</v>
      </c>
      <c r="E2807">
        <v>26</v>
      </c>
      <c r="F2807">
        <v>6531</v>
      </c>
      <c r="G2807">
        <f t="shared" si="43"/>
        <v>1576188158</v>
      </c>
    </row>
    <row r="2808" spans="1:7" x14ac:dyDescent="0.25">
      <c r="A2808">
        <v>1576188624</v>
      </c>
      <c r="B2808" t="s">
        <v>25812</v>
      </c>
      <c r="C2808">
        <v>58</v>
      </c>
      <c r="D2808">
        <v>6</v>
      </c>
      <c r="E2808">
        <v>29951</v>
      </c>
      <c r="F2808">
        <v>246</v>
      </c>
      <c r="G2808">
        <f t="shared" si="43"/>
        <v>1576188624</v>
      </c>
    </row>
    <row r="2809" spans="1:7" x14ac:dyDescent="0.25">
      <c r="A2809">
        <v>1576189514</v>
      </c>
      <c r="B2809" t="s">
        <v>25813</v>
      </c>
      <c r="C2809">
        <v>58</v>
      </c>
      <c r="D2809">
        <v>6</v>
      </c>
      <c r="E2809">
        <v>30895</v>
      </c>
      <c r="F2809">
        <v>227</v>
      </c>
      <c r="G2809">
        <f t="shared" si="43"/>
        <v>1576189514</v>
      </c>
    </row>
    <row r="2810" spans="1:7" x14ac:dyDescent="0.25">
      <c r="A2810">
        <v>1576189675</v>
      </c>
      <c r="B2810" t="s">
        <v>25814</v>
      </c>
      <c r="C2810">
        <v>419</v>
      </c>
      <c r="D2810">
        <v>2</v>
      </c>
      <c r="E2810">
        <v>9538</v>
      </c>
      <c r="F2810">
        <v>1632</v>
      </c>
      <c r="G2810">
        <f t="shared" si="43"/>
        <v>1576189675</v>
      </c>
    </row>
    <row r="2811" spans="1:7" x14ac:dyDescent="0.25">
      <c r="A2811">
        <v>1576189880</v>
      </c>
      <c r="B2811" t="s">
        <v>25815</v>
      </c>
      <c r="C2811">
        <v>266</v>
      </c>
      <c r="D2811">
        <v>1</v>
      </c>
      <c r="E2811">
        <v>26</v>
      </c>
      <c r="F2811">
        <v>7404</v>
      </c>
      <c r="G2811">
        <f t="shared" si="43"/>
        <v>1576189880</v>
      </c>
    </row>
    <row r="2812" spans="1:7" x14ac:dyDescent="0.25">
      <c r="A2812">
        <v>1576190508</v>
      </c>
      <c r="B2812" t="s">
        <v>25816</v>
      </c>
      <c r="C2812">
        <v>215</v>
      </c>
      <c r="D2812">
        <v>2</v>
      </c>
      <c r="E2812">
        <v>8333</v>
      </c>
      <c r="F2812">
        <v>1820</v>
      </c>
      <c r="G2812">
        <f t="shared" si="43"/>
        <v>1576190508</v>
      </c>
    </row>
    <row r="2813" spans="1:7" x14ac:dyDescent="0.25">
      <c r="A2813">
        <v>1576190576</v>
      </c>
      <c r="B2813" t="s">
        <v>25817</v>
      </c>
      <c r="C2813">
        <v>1602</v>
      </c>
      <c r="D2813">
        <v>1</v>
      </c>
      <c r="E2813">
        <v>1750</v>
      </c>
      <c r="F2813">
        <v>3480</v>
      </c>
      <c r="G2813">
        <f t="shared" si="43"/>
        <v>1576190576</v>
      </c>
    </row>
    <row r="2814" spans="1:7" x14ac:dyDescent="0.25">
      <c r="A2814">
        <v>1576191539</v>
      </c>
      <c r="B2814" t="s">
        <v>25818</v>
      </c>
      <c r="C2814">
        <v>1430</v>
      </c>
      <c r="D2814">
        <v>0</v>
      </c>
      <c r="E2814">
        <v>0</v>
      </c>
      <c r="F2814">
        <v>7405</v>
      </c>
      <c r="G2814">
        <f t="shared" si="43"/>
        <v>1576191539</v>
      </c>
    </row>
    <row r="2815" spans="1:7" x14ac:dyDescent="0.25">
      <c r="A2815">
        <v>1576192923</v>
      </c>
      <c r="B2815" t="s">
        <v>25819</v>
      </c>
      <c r="C2815">
        <v>0</v>
      </c>
      <c r="D2815">
        <v>1</v>
      </c>
      <c r="E2815">
        <v>246</v>
      </c>
      <c r="F2815">
        <v>5326</v>
      </c>
      <c r="G2815">
        <f t="shared" si="43"/>
        <v>1576192923</v>
      </c>
    </row>
    <row r="2816" spans="1:7" x14ac:dyDescent="0.25">
      <c r="A2816">
        <v>1576193337</v>
      </c>
      <c r="B2816" t="s">
        <v>36368</v>
      </c>
      <c r="C2816">
        <v>0</v>
      </c>
      <c r="D2816">
        <v>1</v>
      </c>
      <c r="E2816">
        <v>182</v>
      </c>
      <c r="F2816">
        <v>5574</v>
      </c>
      <c r="G2816">
        <f t="shared" si="43"/>
        <v>1576193337</v>
      </c>
    </row>
    <row r="2817" spans="1:7" x14ac:dyDescent="0.25">
      <c r="A2817">
        <v>1576194862</v>
      </c>
      <c r="B2817" t="s">
        <v>25820</v>
      </c>
      <c r="C2817">
        <v>0</v>
      </c>
      <c r="D2817">
        <v>1</v>
      </c>
      <c r="E2817">
        <v>363</v>
      </c>
      <c r="F2817">
        <v>4947</v>
      </c>
      <c r="G2817">
        <f t="shared" ref="G2817:G2880" si="44">A2817</f>
        <v>1576194862</v>
      </c>
    </row>
    <row r="2818" spans="1:7" x14ac:dyDescent="0.25">
      <c r="A2818">
        <v>1576194985</v>
      </c>
      <c r="B2818" t="s">
        <v>25821</v>
      </c>
      <c r="C2818">
        <v>0</v>
      </c>
      <c r="D2818">
        <v>1</v>
      </c>
      <c r="E2818">
        <v>352</v>
      </c>
      <c r="F2818">
        <v>4979</v>
      </c>
      <c r="G2818">
        <f t="shared" si="44"/>
        <v>1576194985</v>
      </c>
    </row>
    <row r="2819" spans="1:7" x14ac:dyDescent="0.25">
      <c r="A2819">
        <v>1576197248</v>
      </c>
      <c r="B2819" t="s">
        <v>25822</v>
      </c>
      <c r="C2819">
        <v>31</v>
      </c>
      <c r="D2819">
        <v>10</v>
      </c>
      <c r="E2819">
        <v>52834</v>
      </c>
      <c r="F2819">
        <v>33</v>
      </c>
      <c r="G2819">
        <f t="shared" si="44"/>
        <v>1576197248</v>
      </c>
    </row>
    <row r="2820" spans="1:7" x14ac:dyDescent="0.25">
      <c r="A2820">
        <v>1576198612</v>
      </c>
      <c r="B2820" t="s">
        <v>25823</v>
      </c>
      <c r="C2820">
        <v>277</v>
      </c>
      <c r="D2820">
        <v>1</v>
      </c>
      <c r="E2820">
        <v>26</v>
      </c>
      <c r="F2820">
        <v>6532</v>
      </c>
      <c r="G2820">
        <f t="shared" si="44"/>
        <v>1576198612</v>
      </c>
    </row>
    <row r="2821" spans="1:7" x14ac:dyDescent="0.25">
      <c r="A2821">
        <v>1576198931</v>
      </c>
      <c r="B2821" t="s">
        <v>36369</v>
      </c>
      <c r="C2821">
        <v>215</v>
      </c>
      <c r="D2821">
        <v>2</v>
      </c>
      <c r="E2821">
        <v>7995</v>
      </c>
      <c r="F2821">
        <v>1881</v>
      </c>
      <c r="G2821">
        <f t="shared" si="44"/>
        <v>1576198931</v>
      </c>
    </row>
    <row r="2822" spans="1:7" x14ac:dyDescent="0.25">
      <c r="A2822">
        <v>1576200238</v>
      </c>
      <c r="B2822" t="s">
        <v>25824</v>
      </c>
      <c r="C2822">
        <v>1621</v>
      </c>
      <c r="D2822">
        <v>1</v>
      </c>
      <c r="E2822">
        <v>3989</v>
      </c>
      <c r="F2822">
        <v>2771</v>
      </c>
      <c r="G2822">
        <f t="shared" si="44"/>
        <v>1576200238</v>
      </c>
    </row>
    <row r="2823" spans="1:7" x14ac:dyDescent="0.25">
      <c r="A2823">
        <v>1576200718</v>
      </c>
      <c r="B2823" t="s">
        <v>25825</v>
      </c>
      <c r="C2823">
        <v>0</v>
      </c>
      <c r="D2823">
        <v>3</v>
      </c>
      <c r="E2823">
        <v>8240</v>
      </c>
      <c r="F2823">
        <v>1847</v>
      </c>
      <c r="G2823">
        <f t="shared" si="44"/>
        <v>1576200718</v>
      </c>
    </row>
    <row r="2824" spans="1:7" x14ac:dyDescent="0.25">
      <c r="A2824">
        <v>1576203801</v>
      </c>
      <c r="B2824" t="s">
        <v>25826</v>
      </c>
      <c r="C2824">
        <v>643</v>
      </c>
      <c r="D2824">
        <v>5</v>
      </c>
      <c r="E2824">
        <v>25943</v>
      </c>
      <c r="F2824">
        <v>367</v>
      </c>
      <c r="G2824">
        <f t="shared" si="44"/>
        <v>1576203801</v>
      </c>
    </row>
    <row r="2825" spans="1:7" x14ac:dyDescent="0.25">
      <c r="A2825">
        <v>1576205007</v>
      </c>
      <c r="B2825" t="s">
        <v>25827</v>
      </c>
      <c r="C2825">
        <v>578</v>
      </c>
      <c r="D2825">
        <v>0</v>
      </c>
      <c r="E2825">
        <v>0</v>
      </c>
      <c r="F2825">
        <v>7406</v>
      </c>
      <c r="G2825">
        <f t="shared" si="44"/>
        <v>1576205007</v>
      </c>
    </row>
    <row r="2826" spans="1:7" x14ac:dyDescent="0.25">
      <c r="A2826">
        <v>1576214431</v>
      </c>
      <c r="B2826" t="s">
        <v>25828</v>
      </c>
      <c r="C2826">
        <v>314</v>
      </c>
      <c r="D2826">
        <v>0</v>
      </c>
      <c r="E2826">
        <v>0</v>
      </c>
      <c r="F2826">
        <v>7407</v>
      </c>
      <c r="G2826">
        <f t="shared" si="44"/>
        <v>1576214431</v>
      </c>
    </row>
    <row r="2827" spans="1:7" x14ac:dyDescent="0.25">
      <c r="A2827">
        <v>1576214516</v>
      </c>
      <c r="B2827" t="s">
        <v>37222</v>
      </c>
      <c r="C2827">
        <v>0</v>
      </c>
      <c r="D2827">
        <v>1</v>
      </c>
      <c r="E2827">
        <v>73</v>
      </c>
      <c r="F2827">
        <v>6032</v>
      </c>
      <c r="G2827">
        <f t="shared" si="44"/>
        <v>1576214516</v>
      </c>
    </row>
    <row r="2828" spans="1:7" x14ac:dyDescent="0.25">
      <c r="A2828">
        <v>1576216930</v>
      </c>
      <c r="B2828" t="s">
        <v>25829</v>
      </c>
      <c r="C2828">
        <v>0</v>
      </c>
      <c r="D2828">
        <v>1</v>
      </c>
      <c r="E2828">
        <v>26</v>
      </c>
      <c r="F2828">
        <v>6533</v>
      </c>
      <c r="G2828">
        <f t="shared" si="44"/>
        <v>1576216930</v>
      </c>
    </row>
    <row r="2829" spans="1:7" x14ac:dyDescent="0.25">
      <c r="A2829">
        <v>1576216931</v>
      </c>
      <c r="B2829" t="s">
        <v>25830</v>
      </c>
      <c r="C2829">
        <v>887</v>
      </c>
      <c r="D2829">
        <v>1</v>
      </c>
      <c r="E2829">
        <v>1648</v>
      </c>
      <c r="F2829">
        <v>3521</v>
      </c>
      <c r="G2829">
        <f t="shared" si="44"/>
        <v>1576216931</v>
      </c>
    </row>
    <row r="2830" spans="1:7" x14ac:dyDescent="0.25">
      <c r="A2830">
        <v>1576218770</v>
      </c>
      <c r="B2830" t="s">
        <v>25831</v>
      </c>
      <c r="C2830">
        <v>0</v>
      </c>
      <c r="D2830">
        <v>0</v>
      </c>
      <c r="E2830">
        <v>0</v>
      </c>
      <c r="F2830">
        <v>7408</v>
      </c>
      <c r="G2830">
        <f t="shared" si="44"/>
        <v>1576218770</v>
      </c>
    </row>
    <row r="2831" spans="1:7" x14ac:dyDescent="0.25">
      <c r="A2831">
        <v>1576218773</v>
      </c>
      <c r="B2831" t="s">
        <v>25832</v>
      </c>
      <c r="C2831">
        <v>270</v>
      </c>
      <c r="D2831">
        <v>6</v>
      </c>
      <c r="E2831">
        <v>27159</v>
      </c>
      <c r="F2831">
        <v>329</v>
      </c>
      <c r="G2831">
        <f t="shared" si="44"/>
        <v>1576218773</v>
      </c>
    </row>
    <row r="2832" spans="1:7" x14ac:dyDescent="0.25">
      <c r="A2832">
        <v>1576220378</v>
      </c>
      <c r="B2832" t="s">
        <v>25833</v>
      </c>
      <c r="C2832">
        <v>69</v>
      </c>
      <c r="D2832">
        <v>4</v>
      </c>
      <c r="E2832">
        <v>20013</v>
      </c>
      <c r="F2832">
        <v>629</v>
      </c>
      <c r="G2832">
        <f t="shared" si="44"/>
        <v>1576220378</v>
      </c>
    </row>
    <row r="2833" spans="1:7" x14ac:dyDescent="0.25">
      <c r="A2833">
        <v>1576220948</v>
      </c>
      <c r="B2833" t="s">
        <v>25834</v>
      </c>
      <c r="C2833">
        <v>680</v>
      </c>
      <c r="D2833">
        <v>8</v>
      </c>
      <c r="E2833">
        <v>42009</v>
      </c>
      <c r="F2833">
        <v>80</v>
      </c>
      <c r="G2833">
        <f t="shared" si="44"/>
        <v>1576220948</v>
      </c>
    </row>
    <row r="2834" spans="1:7" x14ac:dyDescent="0.25">
      <c r="A2834">
        <v>1576221095</v>
      </c>
      <c r="B2834" t="s">
        <v>37399</v>
      </c>
      <c r="C2834">
        <v>733</v>
      </c>
      <c r="D2834">
        <v>6</v>
      </c>
      <c r="E2834">
        <v>36218</v>
      </c>
      <c r="F2834">
        <v>138</v>
      </c>
      <c r="G2834">
        <f t="shared" si="44"/>
        <v>1576221095</v>
      </c>
    </row>
    <row r="2835" spans="1:7" x14ac:dyDescent="0.25">
      <c r="A2835">
        <v>1576221415</v>
      </c>
      <c r="B2835" t="s">
        <v>36370</v>
      </c>
      <c r="C2835">
        <v>1609</v>
      </c>
      <c r="D2835">
        <v>3</v>
      </c>
      <c r="E2835">
        <v>7604</v>
      </c>
      <c r="F2835">
        <v>1973</v>
      </c>
      <c r="G2835">
        <f t="shared" si="44"/>
        <v>1576221415</v>
      </c>
    </row>
    <row r="2836" spans="1:7" x14ac:dyDescent="0.25">
      <c r="A2836">
        <v>1576221695</v>
      </c>
      <c r="B2836" t="s">
        <v>25835</v>
      </c>
      <c r="C2836">
        <v>0</v>
      </c>
      <c r="D2836">
        <v>1</v>
      </c>
      <c r="E2836">
        <v>82</v>
      </c>
      <c r="F2836">
        <v>5953</v>
      </c>
      <c r="G2836">
        <f t="shared" si="44"/>
        <v>1576221695</v>
      </c>
    </row>
    <row r="2837" spans="1:7" x14ac:dyDescent="0.25">
      <c r="A2837">
        <v>1576221717</v>
      </c>
      <c r="B2837" t="s">
        <v>25836</v>
      </c>
      <c r="C2837">
        <v>0</v>
      </c>
      <c r="D2837">
        <v>1</v>
      </c>
      <c r="E2837">
        <v>211</v>
      </c>
      <c r="F2837">
        <v>5471</v>
      </c>
      <c r="G2837">
        <f t="shared" si="44"/>
        <v>1576221717</v>
      </c>
    </row>
    <row r="2838" spans="1:7" x14ac:dyDescent="0.25">
      <c r="A2838">
        <v>1576222652</v>
      </c>
      <c r="B2838" t="s">
        <v>25837</v>
      </c>
      <c r="C2838">
        <v>0</v>
      </c>
      <c r="D2838">
        <v>0</v>
      </c>
      <c r="E2838">
        <v>0</v>
      </c>
      <c r="F2838">
        <v>7409</v>
      </c>
      <c r="G2838">
        <f t="shared" si="44"/>
        <v>1576222652</v>
      </c>
    </row>
    <row r="2839" spans="1:7" x14ac:dyDescent="0.25">
      <c r="A2839">
        <v>1576223510</v>
      </c>
      <c r="B2839" t="s">
        <v>25838</v>
      </c>
      <c r="C2839">
        <v>0</v>
      </c>
      <c r="D2839">
        <v>1</v>
      </c>
      <c r="E2839">
        <v>1155</v>
      </c>
      <c r="F2839">
        <v>3829</v>
      </c>
      <c r="G2839">
        <f t="shared" si="44"/>
        <v>1576223510</v>
      </c>
    </row>
    <row r="2840" spans="1:7" x14ac:dyDescent="0.25">
      <c r="A2840">
        <v>1576231074</v>
      </c>
      <c r="B2840" t="s">
        <v>25839</v>
      </c>
      <c r="C2840">
        <v>0</v>
      </c>
      <c r="D2840">
        <v>1</v>
      </c>
      <c r="E2840">
        <v>241</v>
      </c>
      <c r="F2840">
        <v>5342</v>
      </c>
      <c r="G2840">
        <f t="shared" si="44"/>
        <v>1576231074</v>
      </c>
    </row>
    <row r="2841" spans="1:7" x14ac:dyDescent="0.25">
      <c r="A2841">
        <v>1576237852</v>
      </c>
      <c r="B2841" t="s">
        <v>25840</v>
      </c>
      <c r="C2841">
        <v>413</v>
      </c>
      <c r="D2841">
        <v>2</v>
      </c>
      <c r="E2841">
        <v>6257</v>
      </c>
      <c r="F2841">
        <v>2228</v>
      </c>
      <c r="G2841">
        <f t="shared" si="44"/>
        <v>1576237852</v>
      </c>
    </row>
    <row r="2842" spans="1:7" x14ac:dyDescent="0.25">
      <c r="A2842">
        <v>1576239968</v>
      </c>
      <c r="B2842" t="s">
        <v>36371</v>
      </c>
      <c r="C2842">
        <v>0</v>
      </c>
      <c r="D2842">
        <v>0</v>
      </c>
      <c r="E2842">
        <v>0</v>
      </c>
      <c r="F2842">
        <v>7410</v>
      </c>
      <c r="G2842">
        <f t="shared" si="44"/>
        <v>1576239968</v>
      </c>
    </row>
    <row r="2843" spans="1:7" x14ac:dyDescent="0.25">
      <c r="A2843">
        <v>1576240098</v>
      </c>
      <c r="B2843" t="s">
        <v>36372</v>
      </c>
      <c r="C2843">
        <v>1923</v>
      </c>
      <c r="D2843">
        <v>1</v>
      </c>
      <c r="E2843">
        <v>271</v>
      </c>
      <c r="F2843">
        <v>5219</v>
      </c>
      <c r="G2843">
        <f t="shared" si="44"/>
        <v>1576240098</v>
      </c>
    </row>
    <row r="2844" spans="1:7" x14ac:dyDescent="0.25">
      <c r="A2844">
        <v>1576242125</v>
      </c>
      <c r="B2844" t="s">
        <v>25841</v>
      </c>
      <c r="C2844">
        <v>1806</v>
      </c>
      <c r="D2844">
        <v>1</v>
      </c>
      <c r="E2844">
        <v>3019</v>
      </c>
      <c r="F2844">
        <v>2991</v>
      </c>
      <c r="G2844">
        <f t="shared" si="44"/>
        <v>1576242125</v>
      </c>
    </row>
    <row r="2845" spans="1:7" x14ac:dyDescent="0.25">
      <c r="A2845">
        <v>1576247329</v>
      </c>
      <c r="B2845" t="s">
        <v>36373</v>
      </c>
      <c r="C2845">
        <v>367</v>
      </c>
      <c r="D2845">
        <v>2</v>
      </c>
      <c r="E2845">
        <v>6813</v>
      </c>
      <c r="F2845">
        <v>2099</v>
      </c>
      <c r="G2845">
        <f t="shared" si="44"/>
        <v>1576247329</v>
      </c>
    </row>
    <row r="2846" spans="1:7" x14ac:dyDescent="0.25">
      <c r="A2846">
        <v>1576248074</v>
      </c>
      <c r="B2846" t="s">
        <v>25842</v>
      </c>
      <c r="C2846">
        <v>1880</v>
      </c>
      <c r="D2846">
        <v>1</v>
      </c>
      <c r="E2846">
        <v>1052</v>
      </c>
      <c r="F2846">
        <v>3960</v>
      </c>
      <c r="G2846">
        <f t="shared" si="44"/>
        <v>1576248074</v>
      </c>
    </row>
    <row r="2847" spans="1:7" x14ac:dyDescent="0.25">
      <c r="A2847">
        <v>1576248246</v>
      </c>
      <c r="B2847" t="s">
        <v>25843</v>
      </c>
      <c r="C2847">
        <v>151</v>
      </c>
      <c r="D2847">
        <v>1</v>
      </c>
      <c r="E2847">
        <v>260</v>
      </c>
      <c r="F2847">
        <v>5291</v>
      </c>
      <c r="G2847">
        <f t="shared" si="44"/>
        <v>1576248246</v>
      </c>
    </row>
    <row r="2848" spans="1:7" x14ac:dyDescent="0.25">
      <c r="A2848">
        <v>1576249276</v>
      </c>
      <c r="B2848" t="s">
        <v>25844</v>
      </c>
      <c r="C2848">
        <v>1754</v>
      </c>
      <c r="D2848">
        <v>1</v>
      </c>
      <c r="E2848">
        <v>1551</v>
      </c>
      <c r="F2848">
        <v>3567</v>
      </c>
      <c r="G2848">
        <f t="shared" si="44"/>
        <v>1576249276</v>
      </c>
    </row>
    <row r="2849" spans="1:7" x14ac:dyDescent="0.25">
      <c r="A2849">
        <v>1576254263</v>
      </c>
      <c r="B2849" t="s">
        <v>25845</v>
      </c>
      <c r="C2849">
        <v>1459</v>
      </c>
      <c r="D2849">
        <v>0</v>
      </c>
      <c r="E2849">
        <v>0</v>
      </c>
      <c r="F2849">
        <v>7411</v>
      </c>
      <c r="G2849">
        <f t="shared" si="44"/>
        <v>1576254263</v>
      </c>
    </row>
    <row r="2850" spans="1:7" x14ac:dyDescent="0.25">
      <c r="A2850">
        <v>1576254667</v>
      </c>
      <c r="B2850" t="s">
        <v>25846</v>
      </c>
      <c r="C2850">
        <v>1403</v>
      </c>
      <c r="D2850">
        <v>1</v>
      </c>
      <c r="E2850">
        <v>1741</v>
      </c>
      <c r="F2850">
        <v>3477</v>
      </c>
      <c r="G2850">
        <f t="shared" si="44"/>
        <v>1576254667</v>
      </c>
    </row>
    <row r="2851" spans="1:7" x14ac:dyDescent="0.25">
      <c r="A2851">
        <v>1576255139</v>
      </c>
      <c r="B2851" t="s">
        <v>25847</v>
      </c>
      <c r="C2851">
        <v>0</v>
      </c>
      <c r="D2851">
        <v>1</v>
      </c>
      <c r="E2851">
        <v>26</v>
      </c>
      <c r="F2851">
        <v>6534</v>
      </c>
      <c r="G2851">
        <f t="shared" si="44"/>
        <v>1576255139</v>
      </c>
    </row>
    <row r="2852" spans="1:7" x14ac:dyDescent="0.25">
      <c r="A2852">
        <v>1576255757</v>
      </c>
      <c r="B2852" t="s">
        <v>25848</v>
      </c>
      <c r="C2852">
        <v>124</v>
      </c>
      <c r="D2852">
        <v>2</v>
      </c>
      <c r="E2852">
        <v>10713</v>
      </c>
      <c r="F2852">
        <v>1457</v>
      </c>
      <c r="G2852">
        <f t="shared" si="44"/>
        <v>1576255757</v>
      </c>
    </row>
    <row r="2853" spans="1:7" x14ac:dyDescent="0.25">
      <c r="A2853">
        <v>1576256779</v>
      </c>
      <c r="B2853" t="s">
        <v>25849</v>
      </c>
      <c r="C2853">
        <v>0</v>
      </c>
      <c r="D2853">
        <v>1</v>
      </c>
      <c r="E2853">
        <v>478</v>
      </c>
      <c r="F2853">
        <v>4683</v>
      </c>
      <c r="G2853">
        <f t="shared" si="44"/>
        <v>1576256779</v>
      </c>
    </row>
    <row r="2854" spans="1:7" x14ac:dyDescent="0.25">
      <c r="A2854">
        <v>1576256877</v>
      </c>
      <c r="B2854" t="s">
        <v>25850</v>
      </c>
      <c r="C2854">
        <v>301</v>
      </c>
      <c r="D2854">
        <v>1</v>
      </c>
      <c r="E2854">
        <v>1377</v>
      </c>
      <c r="F2854">
        <v>3678</v>
      </c>
      <c r="G2854">
        <f t="shared" si="44"/>
        <v>1576256877</v>
      </c>
    </row>
    <row r="2855" spans="1:7" x14ac:dyDescent="0.25">
      <c r="A2855">
        <v>1576257609</v>
      </c>
      <c r="B2855" t="s">
        <v>25851</v>
      </c>
      <c r="C2855">
        <v>268</v>
      </c>
      <c r="D2855">
        <v>0</v>
      </c>
      <c r="E2855">
        <v>0</v>
      </c>
      <c r="F2855">
        <v>7412</v>
      </c>
      <c r="G2855">
        <f t="shared" si="44"/>
        <v>1576257609</v>
      </c>
    </row>
    <row r="2856" spans="1:7" x14ac:dyDescent="0.25">
      <c r="A2856">
        <v>1576260161</v>
      </c>
      <c r="B2856" t="s">
        <v>36374</v>
      </c>
      <c r="C2856">
        <v>218</v>
      </c>
      <c r="D2856">
        <v>4</v>
      </c>
      <c r="E2856">
        <v>22425</v>
      </c>
      <c r="F2856">
        <v>498</v>
      </c>
      <c r="G2856">
        <f t="shared" si="44"/>
        <v>1576260161</v>
      </c>
    </row>
    <row r="2857" spans="1:7" x14ac:dyDescent="0.25">
      <c r="A2857">
        <v>1576260277</v>
      </c>
      <c r="B2857" t="s">
        <v>25852</v>
      </c>
      <c r="C2857">
        <v>0</v>
      </c>
      <c r="D2857">
        <v>1</v>
      </c>
      <c r="E2857">
        <v>286</v>
      </c>
      <c r="F2857">
        <v>5162</v>
      </c>
      <c r="G2857">
        <f t="shared" si="44"/>
        <v>1576260277</v>
      </c>
    </row>
    <row r="2858" spans="1:7" x14ac:dyDescent="0.25">
      <c r="A2858">
        <v>1576262323</v>
      </c>
      <c r="B2858" t="s">
        <v>25853</v>
      </c>
      <c r="C2858">
        <v>1366</v>
      </c>
      <c r="D2858">
        <v>1</v>
      </c>
      <c r="E2858">
        <v>4283</v>
      </c>
      <c r="F2858">
        <v>2691</v>
      </c>
      <c r="G2858">
        <f t="shared" si="44"/>
        <v>1576262323</v>
      </c>
    </row>
    <row r="2859" spans="1:7" x14ac:dyDescent="0.25">
      <c r="A2859">
        <v>1576264125</v>
      </c>
      <c r="B2859" t="s">
        <v>25854</v>
      </c>
      <c r="C2859">
        <v>0</v>
      </c>
      <c r="D2859">
        <v>1</v>
      </c>
      <c r="E2859">
        <v>374</v>
      </c>
      <c r="F2859">
        <v>4918</v>
      </c>
      <c r="G2859">
        <f t="shared" si="44"/>
        <v>1576264125</v>
      </c>
    </row>
    <row r="2860" spans="1:7" x14ac:dyDescent="0.25">
      <c r="A2860">
        <v>1576264175</v>
      </c>
      <c r="B2860" t="s">
        <v>25855</v>
      </c>
      <c r="C2860">
        <v>1823</v>
      </c>
      <c r="D2860">
        <v>1</v>
      </c>
      <c r="E2860">
        <v>522</v>
      </c>
      <c r="F2860">
        <v>4590</v>
      </c>
      <c r="G2860">
        <f t="shared" si="44"/>
        <v>1576264175</v>
      </c>
    </row>
    <row r="2861" spans="1:7" x14ac:dyDescent="0.25">
      <c r="A2861">
        <v>1576264721</v>
      </c>
      <c r="B2861" t="s">
        <v>25856</v>
      </c>
      <c r="C2861">
        <v>1946</v>
      </c>
      <c r="D2861">
        <v>1</v>
      </c>
      <c r="E2861">
        <v>37</v>
      </c>
      <c r="F2861">
        <v>6293</v>
      </c>
      <c r="G2861">
        <f t="shared" si="44"/>
        <v>1576264721</v>
      </c>
    </row>
    <row r="2862" spans="1:7" x14ac:dyDescent="0.25">
      <c r="A2862">
        <v>1576264963</v>
      </c>
      <c r="B2862" t="s">
        <v>25857</v>
      </c>
      <c r="C2862">
        <v>0</v>
      </c>
      <c r="D2862">
        <v>0</v>
      </c>
      <c r="E2862">
        <v>0</v>
      </c>
      <c r="F2862">
        <v>7413</v>
      </c>
      <c r="G2862">
        <f t="shared" si="44"/>
        <v>1576264963</v>
      </c>
    </row>
    <row r="2863" spans="1:7" x14ac:dyDescent="0.25">
      <c r="A2863">
        <v>1576265517</v>
      </c>
      <c r="B2863" t="s">
        <v>25858</v>
      </c>
      <c r="C2863">
        <v>422</v>
      </c>
      <c r="D2863">
        <v>2</v>
      </c>
      <c r="E2863">
        <v>8991</v>
      </c>
      <c r="F2863">
        <v>1723</v>
      </c>
      <c r="G2863">
        <f t="shared" si="44"/>
        <v>1576265517</v>
      </c>
    </row>
    <row r="2864" spans="1:7" x14ac:dyDescent="0.25">
      <c r="A2864">
        <v>1576267637</v>
      </c>
      <c r="B2864" t="s">
        <v>37284</v>
      </c>
      <c r="C2864">
        <v>1828</v>
      </c>
      <c r="D2864">
        <v>1</v>
      </c>
      <c r="E2864">
        <v>203</v>
      </c>
      <c r="F2864">
        <v>5480</v>
      </c>
      <c r="G2864">
        <f t="shared" si="44"/>
        <v>1576267637</v>
      </c>
    </row>
    <row r="2865" spans="1:7" x14ac:dyDescent="0.25">
      <c r="A2865">
        <v>1576272402</v>
      </c>
      <c r="B2865" t="s">
        <v>25859</v>
      </c>
      <c r="C2865">
        <v>424</v>
      </c>
      <c r="D2865">
        <v>5</v>
      </c>
      <c r="E2865">
        <v>25907</v>
      </c>
      <c r="F2865">
        <v>368</v>
      </c>
      <c r="G2865">
        <f t="shared" si="44"/>
        <v>1576272402</v>
      </c>
    </row>
    <row r="2866" spans="1:7" x14ac:dyDescent="0.25">
      <c r="A2866">
        <v>1576272508</v>
      </c>
      <c r="B2866" t="s">
        <v>25860</v>
      </c>
      <c r="C2866">
        <v>0</v>
      </c>
      <c r="D2866">
        <v>1</v>
      </c>
      <c r="E2866">
        <v>256</v>
      </c>
      <c r="F2866">
        <v>5275</v>
      </c>
      <c r="G2866">
        <f t="shared" si="44"/>
        <v>1576272508</v>
      </c>
    </row>
    <row r="2867" spans="1:7" x14ac:dyDescent="0.25">
      <c r="A2867">
        <v>1576276172</v>
      </c>
      <c r="B2867" t="s">
        <v>25861</v>
      </c>
      <c r="C2867">
        <v>96</v>
      </c>
      <c r="D2867">
        <v>5</v>
      </c>
      <c r="E2867">
        <v>26057</v>
      </c>
      <c r="F2867">
        <v>363</v>
      </c>
      <c r="G2867">
        <f t="shared" si="44"/>
        <v>1576276172</v>
      </c>
    </row>
    <row r="2868" spans="1:7" x14ac:dyDescent="0.25">
      <c r="A2868">
        <v>1576276798</v>
      </c>
      <c r="B2868" t="s">
        <v>25862</v>
      </c>
      <c r="C2868">
        <v>23</v>
      </c>
      <c r="D2868">
        <v>1</v>
      </c>
      <c r="E2868">
        <v>5637</v>
      </c>
      <c r="F2868">
        <v>2367</v>
      </c>
      <c r="G2868">
        <f t="shared" si="44"/>
        <v>1576276798</v>
      </c>
    </row>
    <row r="2869" spans="1:7" x14ac:dyDescent="0.25">
      <c r="A2869">
        <v>1576277382</v>
      </c>
      <c r="B2869" t="s">
        <v>25863</v>
      </c>
      <c r="C2869">
        <v>0</v>
      </c>
      <c r="D2869">
        <v>2</v>
      </c>
      <c r="E2869">
        <v>6033</v>
      </c>
      <c r="F2869">
        <v>2264</v>
      </c>
      <c r="G2869">
        <f t="shared" si="44"/>
        <v>1576277382</v>
      </c>
    </row>
    <row r="2870" spans="1:7" x14ac:dyDescent="0.25">
      <c r="A2870">
        <v>1576279907</v>
      </c>
      <c r="B2870" t="s">
        <v>25864</v>
      </c>
      <c r="C2870">
        <v>1913</v>
      </c>
      <c r="D2870">
        <v>1</v>
      </c>
      <c r="E2870">
        <v>1005</v>
      </c>
      <c r="F2870">
        <v>3978</v>
      </c>
      <c r="G2870">
        <f t="shared" si="44"/>
        <v>1576279907</v>
      </c>
    </row>
    <row r="2871" spans="1:7" x14ac:dyDescent="0.25">
      <c r="A2871">
        <v>1576281097</v>
      </c>
      <c r="B2871" t="s">
        <v>37285</v>
      </c>
      <c r="C2871">
        <v>0</v>
      </c>
      <c r="D2871">
        <v>1</v>
      </c>
      <c r="E2871">
        <v>138</v>
      </c>
      <c r="F2871">
        <v>5736</v>
      </c>
      <c r="G2871">
        <f t="shared" si="44"/>
        <v>1576281097</v>
      </c>
    </row>
    <row r="2872" spans="1:7" x14ac:dyDescent="0.25">
      <c r="A2872">
        <v>1576281272</v>
      </c>
      <c r="B2872" t="s">
        <v>25865</v>
      </c>
      <c r="C2872">
        <v>278</v>
      </c>
      <c r="D2872">
        <v>1</v>
      </c>
      <c r="E2872">
        <v>3652</v>
      </c>
      <c r="F2872">
        <v>2839</v>
      </c>
      <c r="G2872">
        <f t="shared" si="44"/>
        <v>1576281272</v>
      </c>
    </row>
    <row r="2873" spans="1:7" x14ac:dyDescent="0.25">
      <c r="A2873">
        <v>1576281323</v>
      </c>
      <c r="B2873" t="s">
        <v>25866</v>
      </c>
      <c r="C2873">
        <v>680</v>
      </c>
      <c r="D2873">
        <v>3</v>
      </c>
      <c r="E2873">
        <v>18020</v>
      </c>
      <c r="F2873">
        <v>752</v>
      </c>
      <c r="G2873">
        <f t="shared" si="44"/>
        <v>1576281323</v>
      </c>
    </row>
    <row r="2874" spans="1:7" x14ac:dyDescent="0.25">
      <c r="A2874">
        <v>1576282380</v>
      </c>
      <c r="B2874" t="s">
        <v>36375</v>
      </c>
      <c r="C2874">
        <v>552</v>
      </c>
      <c r="D2874">
        <v>3</v>
      </c>
      <c r="E2874">
        <v>16370</v>
      </c>
      <c r="F2874">
        <v>892</v>
      </c>
      <c r="G2874">
        <f t="shared" si="44"/>
        <v>1576282380</v>
      </c>
    </row>
    <row r="2875" spans="1:7" x14ac:dyDescent="0.25">
      <c r="A2875">
        <v>1576283115</v>
      </c>
      <c r="B2875" t="s">
        <v>36376</v>
      </c>
      <c r="C2875">
        <v>0</v>
      </c>
      <c r="D2875">
        <v>1</v>
      </c>
      <c r="E2875">
        <v>1709</v>
      </c>
      <c r="F2875">
        <v>3492</v>
      </c>
      <c r="G2875">
        <f t="shared" si="44"/>
        <v>1576283115</v>
      </c>
    </row>
    <row r="2876" spans="1:7" x14ac:dyDescent="0.25">
      <c r="A2876">
        <v>1576283437</v>
      </c>
      <c r="B2876" t="s">
        <v>36377</v>
      </c>
      <c r="C2876">
        <v>1743</v>
      </c>
      <c r="D2876">
        <v>1</v>
      </c>
      <c r="E2876">
        <v>2055</v>
      </c>
      <c r="F2876">
        <v>3340</v>
      </c>
      <c r="G2876">
        <f t="shared" si="44"/>
        <v>1576283437</v>
      </c>
    </row>
    <row r="2877" spans="1:7" x14ac:dyDescent="0.25">
      <c r="A2877">
        <v>1576285716</v>
      </c>
      <c r="B2877" t="s">
        <v>25867</v>
      </c>
      <c r="C2877">
        <v>0</v>
      </c>
      <c r="D2877">
        <v>2</v>
      </c>
      <c r="E2877">
        <v>6664</v>
      </c>
      <c r="F2877">
        <v>2143</v>
      </c>
      <c r="G2877">
        <f t="shared" si="44"/>
        <v>1576285716</v>
      </c>
    </row>
    <row r="2878" spans="1:7" x14ac:dyDescent="0.25">
      <c r="A2878">
        <v>1576286508</v>
      </c>
      <c r="B2878" t="s">
        <v>25868</v>
      </c>
      <c r="C2878">
        <v>1357</v>
      </c>
      <c r="D2878">
        <v>1</v>
      </c>
      <c r="E2878">
        <v>949</v>
      </c>
      <c r="F2878">
        <v>4043</v>
      </c>
      <c r="G2878">
        <f t="shared" si="44"/>
        <v>1576286508</v>
      </c>
    </row>
    <row r="2879" spans="1:7" x14ac:dyDescent="0.25">
      <c r="A2879">
        <v>1576287406</v>
      </c>
      <c r="B2879" t="s">
        <v>25869</v>
      </c>
      <c r="C2879">
        <v>896</v>
      </c>
      <c r="D2879">
        <v>2</v>
      </c>
      <c r="E2879">
        <v>4840</v>
      </c>
      <c r="F2879">
        <v>2545</v>
      </c>
      <c r="G2879">
        <f t="shared" si="44"/>
        <v>1576287406</v>
      </c>
    </row>
    <row r="2880" spans="1:7" x14ac:dyDescent="0.25">
      <c r="A2880">
        <v>1576293851</v>
      </c>
      <c r="B2880" t="s">
        <v>25870</v>
      </c>
      <c r="C2880">
        <v>1836</v>
      </c>
      <c r="D2880">
        <v>1</v>
      </c>
      <c r="E2880">
        <v>3520</v>
      </c>
      <c r="F2880">
        <v>2872</v>
      </c>
      <c r="G2880">
        <f t="shared" si="44"/>
        <v>1576293851</v>
      </c>
    </row>
    <row r="2881" spans="1:7" x14ac:dyDescent="0.25">
      <c r="A2881">
        <v>1576294527</v>
      </c>
      <c r="B2881" t="s">
        <v>25871</v>
      </c>
      <c r="C2881">
        <v>259</v>
      </c>
      <c r="D2881">
        <v>7</v>
      </c>
      <c r="E2881">
        <v>39514</v>
      </c>
      <c r="F2881">
        <v>91</v>
      </c>
      <c r="G2881">
        <f t="shared" ref="G2881:G2944" si="45">A2881</f>
        <v>1576294527</v>
      </c>
    </row>
    <row r="2882" spans="1:7" x14ac:dyDescent="0.25">
      <c r="A2882">
        <v>1576295300</v>
      </c>
      <c r="B2882" t="s">
        <v>36378</v>
      </c>
      <c r="C2882">
        <v>419</v>
      </c>
      <c r="D2882">
        <v>4</v>
      </c>
      <c r="E2882">
        <v>14065</v>
      </c>
      <c r="F2882">
        <v>1070</v>
      </c>
      <c r="G2882">
        <f t="shared" si="45"/>
        <v>1576295300</v>
      </c>
    </row>
    <row r="2883" spans="1:7" x14ac:dyDescent="0.25">
      <c r="A2883">
        <v>1576298173</v>
      </c>
      <c r="B2883" t="s">
        <v>25872</v>
      </c>
      <c r="C2883">
        <v>1324</v>
      </c>
      <c r="D2883">
        <v>1</v>
      </c>
      <c r="E2883">
        <v>250</v>
      </c>
      <c r="F2883">
        <v>5301</v>
      </c>
      <c r="G2883">
        <f t="shared" si="45"/>
        <v>1576298173</v>
      </c>
    </row>
    <row r="2884" spans="1:7" x14ac:dyDescent="0.25">
      <c r="A2884">
        <v>1576298448</v>
      </c>
      <c r="B2884" t="s">
        <v>25873</v>
      </c>
      <c r="C2884">
        <v>0</v>
      </c>
      <c r="D2884">
        <v>0</v>
      </c>
      <c r="E2884">
        <v>0</v>
      </c>
      <c r="F2884">
        <v>7414</v>
      </c>
      <c r="G2884">
        <f t="shared" si="45"/>
        <v>1576298448</v>
      </c>
    </row>
    <row r="2885" spans="1:7" x14ac:dyDescent="0.25">
      <c r="A2885">
        <v>1576298577</v>
      </c>
      <c r="B2885" t="s">
        <v>25874</v>
      </c>
      <c r="C2885">
        <v>1766</v>
      </c>
      <c r="D2885">
        <v>1</v>
      </c>
      <c r="E2885">
        <v>51</v>
      </c>
      <c r="F2885">
        <v>6162</v>
      </c>
      <c r="G2885">
        <f t="shared" si="45"/>
        <v>1576298577</v>
      </c>
    </row>
    <row r="2886" spans="1:7" x14ac:dyDescent="0.25">
      <c r="A2886">
        <v>1576299159</v>
      </c>
      <c r="B2886" t="s">
        <v>25875</v>
      </c>
      <c r="C2886">
        <v>0</v>
      </c>
      <c r="D2886">
        <v>0</v>
      </c>
      <c r="E2886">
        <v>0</v>
      </c>
      <c r="F2886">
        <v>7415</v>
      </c>
      <c r="G2886">
        <f t="shared" si="45"/>
        <v>1576299159</v>
      </c>
    </row>
    <row r="2887" spans="1:7" x14ac:dyDescent="0.25">
      <c r="A2887">
        <v>1576304050</v>
      </c>
      <c r="B2887" t="s">
        <v>25876</v>
      </c>
      <c r="C2887">
        <v>0</v>
      </c>
      <c r="D2887">
        <v>1</v>
      </c>
      <c r="E2887">
        <v>77</v>
      </c>
      <c r="F2887">
        <v>5992</v>
      </c>
      <c r="G2887">
        <f t="shared" si="45"/>
        <v>1576304050</v>
      </c>
    </row>
    <row r="2888" spans="1:7" x14ac:dyDescent="0.25">
      <c r="A2888">
        <v>1576306272</v>
      </c>
      <c r="B2888" t="s">
        <v>25877</v>
      </c>
      <c r="C2888">
        <v>55</v>
      </c>
      <c r="D2888">
        <v>0</v>
      </c>
      <c r="E2888">
        <v>0</v>
      </c>
      <c r="F2888">
        <v>3057</v>
      </c>
      <c r="G2888">
        <f t="shared" si="45"/>
        <v>1576306272</v>
      </c>
    </row>
    <row r="2889" spans="1:7" x14ac:dyDescent="0.25">
      <c r="A2889">
        <v>1576306956</v>
      </c>
      <c r="B2889" t="s">
        <v>25878</v>
      </c>
      <c r="C2889">
        <v>266</v>
      </c>
      <c r="D2889">
        <v>2</v>
      </c>
      <c r="E2889">
        <v>12456</v>
      </c>
      <c r="F2889">
        <v>1232</v>
      </c>
      <c r="G2889">
        <f t="shared" si="45"/>
        <v>1576306956</v>
      </c>
    </row>
    <row r="2890" spans="1:7" x14ac:dyDescent="0.25">
      <c r="A2890">
        <v>1576310846</v>
      </c>
      <c r="B2890" t="s">
        <v>25879</v>
      </c>
      <c r="C2890">
        <v>0</v>
      </c>
      <c r="D2890">
        <v>1</v>
      </c>
      <c r="E2890">
        <v>44</v>
      </c>
      <c r="F2890">
        <v>6238</v>
      </c>
      <c r="G2890">
        <f t="shared" si="45"/>
        <v>1576310846</v>
      </c>
    </row>
    <row r="2891" spans="1:7" x14ac:dyDescent="0.25">
      <c r="A2891">
        <v>1576311709</v>
      </c>
      <c r="B2891" t="s">
        <v>25880</v>
      </c>
      <c r="C2891">
        <v>186</v>
      </c>
      <c r="D2891">
        <v>1</v>
      </c>
      <c r="E2891">
        <v>1647</v>
      </c>
      <c r="F2891">
        <v>3525</v>
      </c>
      <c r="G2891">
        <f t="shared" si="45"/>
        <v>1576311709</v>
      </c>
    </row>
    <row r="2892" spans="1:7" x14ac:dyDescent="0.25">
      <c r="A2892">
        <v>1576311874</v>
      </c>
      <c r="B2892" t="s">
        <v>25881</v>
      </c>
      <c r="C2892">
        <v>1403</v>
      </c>
      <c r="D2892">
        <v>5</v>
      </c>
      <c r="E2892">
        <v>17273</v>
      </c>
      <c r="F2892">
        <v>805</v>
      </c>
      <c r="G2892">
        <f t="shared" si="45"/>
        <v>1576311874</v>
      </c>
    </row>
    <row r="2893" spans="1:7" x14ac:dyDescent="0.25">
      <c r="A2893">
        <v>1576311875</v>
      </c>
      <c r="B2893" t="s">
        <v>25882</v>
      </c>
      <c r="C2893">
        <v>138</v>
      </c>
      <c r="D2893">
        <v>2</v>
      </c>
      <c r="E2893">
        <v>9253</v>
      </c>
      <c r="F2893">
        <v>1681</v>
      </c>
      <c r="G2893">
        <f t="shared" si="45"/>
        <v>1576311875</v>
      </c>
    </row>
    <row r="2894" spans="1:7" x14ac:dyDescent="0.25">
      <c r="A2894">
        <v>1576313419</v>
      </c>
      <c r="B2894" t="s">
        <v>37286</v>
      </c>
      <c r="C2894">
        <v>0</v>
      </c>
      <c r="D2894">
        <v>1</v>
      </c>
      <c r="E2894">
        <v>26</v>
      </c>
      <c r="F2894">
        <v>6535</v>
      </c>
      <c r="G2894">
        <f t="shared" si="45"/>
        <v>1576313419</v>
      </c>
    </row>
    <row r="2895" spans="1:7" x14ac:dyDescent="0.25">
      <c r="A2895">
        <v>1576315432</v>
      </c>
      <c r="B2895" t="s">
        <v>25883</v>
      </c>
      <c r="C2895">
        <v>0</v>
      </c>
      <c r="D2895">
        <v>1</v>
      </c>
      <c r="E2895">
        <v>203</v>
      </c>
      <c r="F2895">
        <v>5481</v>
      </c>
      <c r="G2895">
        <f t="shared" si="45"/>
        <v>1576315432</v>
      </c>
    </row>
    <row r="2896" spans="1:7" x14ac:dyDescent="0.25">
      <c r="A2896">
        <v>1576317017</v>
      </c>
      <c r="B2896" t="s">
        <v>37287</v>
      </c>
      <c r="C2896">
        <v>53</v>
      </c>
      <c r="D2896">
        <v>3</v>
      </c>
      <c r="E2896">
        <v>10925</v>
      </c>
      <c r="F2896">
        <v>1431</v>
      </c>
      <c r="G2896">
        <f t="shared" si="45"/>
        <v>1576317017</v>
      </c>
    </row>
    <row r="2897" spans="1:7" x14ac:dyDescent="0.25">
      <c r="A2897">
        <v>1576318052</v>
      </c>
      <c r="B2897" t="s">
        <v>25884</v>
      </c>
      <c r="C2897">
        <v>617</v>
      </c>
      <c r="D2897">
        <v>1</v>
      </c>
      <c r="E2897">
        <v>5735</v>
      </c>
      <c r="F2897">
        <v>2343</v>
      </c>
      <c r="G2897">
        <f t="shared" si="45"/>
        <v>1576318052</v>
      </c>
    </row>
    <row r="2898" spans="1:7" x14ac:dyDescent="0.25">
      <c r="A2898">
        <v>1576322315</v>
      </c>
      <c r="B2898" t="s">
        <v>36379</v>
      </c>
      <c r="C2898">
        <v>0</v>
      </c>
      <c r="D2898">
        <v>1</v>
      </c>
      <c r="E2898">
        <v>26</v>
      </c>
      <c r="F2898">
        <v>6536</v>
      </c>
      <c r="G2898">
        <f t="shared" si="45"/>
        <v>1576322315</v>
      </c>
    </row>
    <row r="2899" spans="1:7" x14ac:dyDescent="0.25">
      <c r="A2899">
        <v>1576326703</v>
      </c>
      <c r="B2899" t="s">
        <v>25885</v>
      </c>
      <c r="C2899">
        <v>0</v>
      </c>
      <c r="D2899">
        <v>0</v>
      </c>
      <c r="E2899">
        <v>0</v>
      </c>
      <c r="F2899">
        <v>7416</v>
      </c>
      <c r="G2899">
        <f t="shared" si="45"/>
        <v>1576326703</v>
      </c>
    </row>
    <row r="2900" spans="1:7" x14ac:dyDescent="0.25">
      <c r="A2900">
        <v>1576326737</v>
      </c>
      <c r="B2900" t="s">
        <v>25886</v>
      </c>
      <c r="C2900">
        <v>0</v>
      </c>
      <c r="D2900">
        <v>1</v>
      </c>
      <c r="E2900">
        <v>519</v>
      </c>
      <c r="F2900">
        <v>4593</v>
      </c>
      <c r="G2900">
        <f t="shared" si="45"/>
        <v>1576326737</v>
      </c>
    </row>
    <row r="2901" spans="1:7" x14ac:dyDescent="0.25">
      <c r="A2901">
        <v>1576327552</v>
      </c>
      <c r="B2901" t="s">
        <v>36380</v>
      </c>
      <c r="C2901">
        <v>0</v>
      </c>
      <c r="D2901">
        <v>0</v>
      </c>
      <c r="E2901">
        <v>0</v>
      </c>
      <c r="F2901">
        <v>7417</v>
      </c>
      <c r="G2901">
        <f t="shared" si="45"/>
        <v>1576327552</v>
      </c>
    </row>
    <row r="2902" spans="1:7" x14ac:dyDescent="0.25">
      <c r="A2902">
        <v>1576328934</v>
      </c>
      <c r="B2902" t="s">
        <v>25887</v>
      </c>
      <c r="C2902">
        <v>270</v>
      </c>
      <c r="D2902">
        <v>3</v>
      </c>
      <c r="E2902">
        <v>10721</v>
      </c>
      <c r="F2902">
        <v>1458</v>
      </c>
      <c r="G2902">
        <f t="shared" si="45"/>
        <v>1576328934</v>
      </c>
    </row>
    <row r="2903" spans="1:7" x14ac:dyDescent="0.25">
      <c r="A2903">
        <v>1576329355</v>
      </c>
      <c r="B2903" t="s">
        <v>25888</v>
      </c>
      <c r="C2903">
        <v>0</v>
      </c>
      <c r="D2903">
        <v>1</v>
      </c>
      <c r="E2903">
        <v>26</v>
      </c>
      <c r="F2903">
        <v>6537</v>
      </c>
      <c r="G2903">
        <f t="shared" si="45"/>
        <v>1576329355</v>
      </c>
    </row>
    <row r="2904" spans="1:7" x14ac:dyDescent="0.25">
      <c r="A2904">
        <v>1576330987</v>
      </c>
      <c r="B2904" t="s">
        <v>25889</v>
      </c>
      <c r="C2904">
        <v>0</v>
      </c>
      <c r="D2904">
        <v>0</v>
      </c>
      <c r="E2904">
        <v>0</v>
      </c>
      <c r="F2904">
        <v>7418</v>
      </c>
      <c r="G2904">
        <f t="shared" si="45"/>
        <v>1576330987</v>
      </c>
    </row>
    <row r="2905" spans="1:7" x14ac:dyDescent="0.25">
      <c r="A2905">
        <v>1576331207</v>
      </c>
      <c r="B2905" t="s">
        <v>25890</v>
      </c>
      <c r="C2905">
        <v>0</v>
      </c>
      <c r="D2905">
        <v>1</v>
      </c>
      <c r="E2905">
        <v>26</v>
      </c>
      <c r="F2905">
        <v>6538</v>
      </c>
      <c r="G2905">
        <f t="shared" si="45"/>
        <v>1576331207</v>
      </c>
    </row>
    <row r="2906" spans="1:7" x14ac:dyDescent="0.25">
      <c r="A2906">
        <v>1576332914</v>
      </c>
      <c r="B2906" t="s">
        <v>25891</v>
      </c>
      <c r="C2906">
        <v>0</v>
      </c>
      <c r="D2906">
        <v>1</v>
      </c>
      <c r="E2906">
        <v>26</v>
      </c>
      <c r="F2906">
        <v>6539</v>
      </c>
      <c r="G2906">
        <f t="shared" si="45"/>
        <v>1576332914</v>
      </c>
    </row>
    <row r="2907" spans="1:7" x14ac:dyDescent="0.25">
      <c r="A2907">
        <v>1576333645</v>
      </c>
      <c r="B2907" t="s">
        <v>36381</v>
      </c>
      <c r="C2907">
        <v>367</v>
      </c>
      <c r="D2907">
        <v>4</v>
      </c>
      <c r="E2907">
        <v>18634</v>
      </c>
      <c r="F2907">
        <v>718</v>
      </c>
      <c r="G2907">
        <f t="shared" si="45"/>
        <v>1576333645</v>
      </c>
    </row>
    <row r="2908" spans="1:7" x14ac:dyDescent="0.25">
      <c r="A2908">
        <v>1576336178</v>
      </c>
      <c r="B2908" t="s">
        <v>36382</v>
      </c>
      <c r="C2908">
        <v>1836</v>
      </c>
      <c r="D2908">
        <v>1</v>
      </c>
      <c r="E2908">
        <v>1932</v>
      </c>
      <c r="F2908">
        <v>3378</v>
      </c>
      <c r="G2908">
        <f t="shared" si="45"/>
        <v>1576336178</v>
      </c>
    </row>
    <row r="2909" spans="1:7" x14ac:dyDescent="0.25">
      <c r="A2909">
        <v>1576337345</v>
      </c>
      <c r="B2909" t="s">
        <v>25892</v>
      </c>
      <c r="C2909">
        <v>67</v>
      </c>
      <c r="D2909">
        <v>5</v>
      </c>
      <c r="E2909">
        <v>20159</v>
      </c>
      <c r="F2909">
        <v>615</v>
      </c>
      <c r="G2909">
        <f t="shared" si="45"/>
        <v>1576337345</v>
      </c>
    </row>
    <row r="2910" spans="1:7" x14ac:dyDescent="0.25">
      <c r="A2910">
        <v>1576339154</v>
      </c>
      <c r="B2910" t="s">
        <v>37005</v>
      </c>
      <c r="C2910">
        <v>896</v>
      </c>
      <c r="D2910">
        <v>1</v>
      </c>
      <c r="E2910">
        <v>4896</v>
      </c>
      <c r="F2910">
        <v>2534</v>
      </c>
      <c r="G2910">
        <f t="shared" si="45"/>
        <v>1576339154</v>
      </c>
    </row>
    <row r="2911" spans="1:7" x14ac:dyDescent="0.25">
      <c r="A2911">
        <v>1576339292</v>
      </c>
      <c r="B2911" t="s">
        <v>25893</v>
      </c>
      <c r="C2911">
        <v>0</v>
      </c>
      <c r="D2911">
        <v>0</v>
      </c>
      <c r="E2911">
        <v>0</v>
      </c>
      <c r="F2911">
        <v>7419</v>
      </c>
      <c r="G2911">
        <f t="shared" si="45"/>
        <v>1576339292</v>
      </c>
    </row>
    <row r="2912" spans="1:7" x14ac:dyDescent="0.25">
      <c r="A2912">
        <v>1576339491</v>
      </c>
      <c r="B2912" t="s">
        <v>25894</v>
      </c>
      <c r="C2912">
        <v>924</v>
      </c>
      <c r="D2912">
        <v>1</v>
      </c>
      <c r="E2912">
        <v>171</v>
      </c>
      <c r="F2912">
        <v>5612</v>
      </c>
      <c r="G2912">
        <f t="shared" si="45"/>
        <v>1576339491</v>
      </c>
    </row>
    <row r="2913" spans="1:7" x14ac:dyDescent="0.25">
      <c r="A2913">
        <v>1576339547</v>
      </c>
      <c r="B2913" t="s">
        <v>25895</v>
      </c>
      <c r="C2913">
        <v>0</v>
      </c>
      <c r="D2913">
        <v>1</v>
      </c>
      <c r="E2913">
        <v>562</v>
      </c>
      <c r="F2913">
        <v>4532</v>
      </c>
      <c r="G2913">
        <f t="shared" si="45"/>
        <v>1576339547</v>
      </c>
    </row>
    <row r="2914" spans="1:7" x14ac:dyDescent="0.25">
      <c r="A2914">
        <v>1576340438</v>
      </c>
      <c r="B2914" t="s">
        <v>25896</v>
      </c>
      <c r="C2914">
        <v>0</v>
      </c>
      <c r="D2914">
        <v>1</v>
      </c>
      <c r="E2914">
        <v>529</v>
      </c>
      <c r="F2914">
        <v>4581</v>
      </c>
      <c r="G2914">
        <f t="shared" si="45"/>
        <v>1576340438</v>
      </c>
    </row>
    <row r="2915" spans="1:7" x14ac:dyDescent="0.25">
      <c r="A2915">
        <v>1576341148</v>
      </c>
      <c r="B2915" t="s">
        <v>36383</v>
      </c>
      <c r="C2915">
        <v>0</v>
      </c>
      <c r="D2915">
        <v>0</v>
      </c>
      <c r="E2915">
        <v>0</v>
      </c>
      <c r="F2915">
        <v>7420</v>
      </c>
      <c r="G2915">
        <f t="shared" si="45"/>
        <v>1576341148</v>
      </c>
    </row>
    <row r="2916" spans="1:7" x14ac:dyDescent="0.25">
      <c r="A2916">
        <v>1576341416</v>
      </c>
      <c r="B2916" t="s">
        <v>25897</v>
      </c>
      <c r="C2916">
        <v>960</v>
      </c>
      <c r="D2916">
        <v>3</v>
      </c>
      <c r="E2916">
        <v>17364</v>
      </c>
      <c r="F2916">
        <v>801</v>
      </c>
      <c r="G2916">
        <f t="shared" si="45"/>
        <v>1576341416</v>
      </c>
    </row>
    <row r="2917" spans="1:7" x14ac:dyDescent="0.25">
      <c r="A2917">
        <v>1576342688</v>
      </c>
      <c r="B2917" t="s">
        <v>25898</v>
      </c>
      <c r="C2917">
        <v>0</v>
      </c>
      <c r="D2917">
        <v>0</v>
      </c>
      <c r="E2917">
        <v>0</v>
      </c>
      <c r="F2917">
        <v>7421</v>
      </c>
      <c r="G2917">
        <f t="shared" si="45"/>
        <v>1576342688</v>
      </c>
    </row>
    <row r="2918" spans="1:7" x14ac:dyDescent="0.25">
      <c r="A2918">
        <v>1576344740</v>
      </c>
      <c r="B2918" t="s">
        <v>36384</v>
      </c>
      <c r="C2918">
        <v>0</v>
      </c>
      <c r="D2918">
        <v>1</v>
      </c>
      <c r="E2918">
        <v>26</v>
      </c>
      <c r="F2918">
        <v>6540</v>
      </c>
      <c r="G2918">
        <f t="shared" si="45"/>
        <v>1576344740</v>
      </c>
    </row>
    <row r="2919" spans="1:7" x14ac:dyDescent="0.25">
      <c r="A2919">
        <v>1576345897</v>
      </c>
      <c r="B2919" t="s">
        <v>25899</v>
      </c>
      <c r="C2919">
        <v>47</v>
      </c>
      <c r="D2919">
        <v>2</v>
      </c>
      <c r="E2919">
        <v>11530</v>
      </c>
      <c r="F2919">
        <v>1340</v>
      </c>
      <c r="G2919">
        <f t="shared" si="45"/>
        <v>1576345897</v>
      </c>
    </row>
    <row r="2920" spans="1:7" x14ac:dyDescent="0.25">
      <c r="A2920">
        <v>1576347628</v>
      </c>
      <c r="B2920" t="s">
        <v>25900</v>
      </c>
      <c r="C2920">
        <v>1858</v>
      </c>
      <c r="D2920">
        <v>1</v>
      </c>
      <c r="E2920">
        <v>261</v>
      </c>
      <c r="F2920">
        <v>5256</v>
      </c>
      <c r="G2920">
        <f t="shared" si="45"/>
        <v>1576347628</v>
      </c>
    </row>
    <row r="2921" spans="1:7" x14ac:dyDescent="0.25">
      <c r="A2921">
        <v>1576348420</v>
      </c>
      <c r="B2921" t="s">
        <v>25901</v>
      </c>
      <c r="C2921">
        <v>199</v>
      </c>
      <c r="D2921">
        <v>6</v>
      </c>
      <c r="E2921">
        <v>30707</v>
      </c>
      <c r="F2921">
        <v>230</v>
      </c>
      <c r="G2921">
        <f t="shared" si="45"/>
        <v>1576348420</v>
      </c>
    </row>
    <row r="2922" spans="1:7" x14ac:dyDescent="0.25">
      <c r="A2922">
        <v>1576350475</v>
      </c>
      <c r="B2922" t="s">
        <v>25902</v>
      </c>
      <c r="C2922">
        <v>0</v>
      </c>
      <c r="D2922">
        <v>1</v>
      </c>
      <c r="E2922">
        <v>182</v>
      </c>
      <c r="F2922">
        <v>5575</v>
      </c>
      <c r="G2922">
        <f t="shared" si="45"/>
        <v>1576350475</v>
      </c>
    </row>
    <row r="2923" spans="1:7" x14ac:dyDescent="0.25">
      <c r="A2923">
        <v>1576350877</v>
      </c>
      <c r="B2923" t="s">
        <v>25903</v>
      </c>
      <c r="C2923">
        <v>1967</v>
      </c>
      <c r="D2923">
        <v>1</v>
      </c>
      <c r="E2923">
        <v>463</v>
      </c>
      <c r="F2923">
        <v>4725</v>
      </c>
      <c r="G2923">
        <f t="shared" si="45"/>
        <v>1576350877</v>
      </c>
    </row>
    <row r="2924" spans="1:7" x14ac:dyDescent="0.25">
      <c r="A2924">
        <v>1576351219</v>
      </c>
      <c r="B2924" t="s">
        <v>25904</v>
      </c>
      <c r="C2924">
        <v>320</v>
      </c>
      <c r="D2924">
        <v>1</v>
      </c>
      <c r="E2924">
        <v>2168</v>
      </c>
      <c r="F2924">
        <v>3265</v>
      </c>
      <c r="G2924">
        <f t="shared" si="45"/>
        <v>1576351219</v>
      </c>
    </row>
    <row r="2925" spans="1:7" x14ac:dyDescent="0.25">
      <c r="A2925">
        <v>1576351396</v>
      </c>
      <c r="B2925" t="s">
        <v>25905</v>
      </c>
      <c r="C2925">
        <v>0</v>
      </c>
      <c r="D2925">
        <v>1</v>
      </c>
      <c r="E2925">
        <v>84</v>
      </c>
      <c r="F2925">
        <v>5941</v>
      </c>
      <c r="G2925">
        <f t="shared" si="45"/>
        <v>1576351396</v>
      </c>
    </row>
    <row r="2926" spans="1:7" x14ac:dyDescent="0.25">
      <c r="A2926">
        <v>1576351544</v>
      </c>
      <c r="B2926" t="s">
        <v>25906</v>
      </c>
      <c r="C2926">
        <v>0</v>
      </c>
      <c r="D2926">
        <v>1</v>
      </c>
      <c r="E2926">
        <v>1080</v>
      </c>
      <c r="F2926">
        <v>3924</v>
      </c>
      <c r="G2926">
        <f t="shared" si="45"/>
        <v>1576351544</v>
      </c>
    </row>
    <row r="2927" spans="1:7" x14ac:dyDescent="0.25">
      <c r="A2927">
        <v>1576351632</v>
      </c>
      <c r="B2927" t="s">
        <v>25907</v>
      </c>
      <c r="C2927">
        <v>1745</v>
      </c>
      <c r="D2927">
        <v>1</v>
      </c>
      <c r="E2927">
        <v>817</v>
      </c>
      <c r="F2927">
        <v>4177</v>
      </c>
      <c r="G2927">
        <f t="shared" si="45"/>
        <v>1576351632</v>
      </c>
    </row>
    <row r="2928" spans="1:7" x14ac:dyDescent="0.25">
      <c r="A2928">
        <v>1576352386</v>
      </c>
      <c r="B2928" t="s">
        <v>25908</v>
      </c>
      <c r="C2928">
        <v>412</v>
      </c>
      <c r="D2928">
        <v>4</v>
      </c>
      <c r="E2928">
        <v>14363</v>
      </c>
      <c r="F2928">
        <v>1047</v>
      </c>
      <c r="G2928">
        <f t="shared" si="45"/>
        <v>1576352386</v>
      </c>
    </row>
    <row r="2929" spans="1:7" x14ac:dyDescent="0.25">
      <c r="A2929">
        <v>1576355953</v>
      </c>
      <c r="B2929" t="s">
        <v>25909</v>
      </c>
      <c r="C2929">
        <v>680</v>
      </c>
      <c r="D2929">
        <v>3</v>
      </c>
      <c r="E2929">
        <v>16566</v>
      </c>
      <c r="F2929">
        <v>863</v>
      </c>
      <c r="G2929">
        <f t="shared" si="45"/>
        <v>1576355953</v>
      </c>
    </row>
    <row r="2930" spans="1:7" x14ac:dyDescent="0.25">
      <c r="A2930">
        <v>1576357129</v>
      </c>
      <c r="B2930" t="s">
        <v>25910</v>
      </c>
      <c r="C2930">
        <v>0</v>
      </c>
      <c r="D2930">
        <v>1</v>
      </c>
      <c r="E2930">
        <v>591</v>
      </c>
      <c r="F2930">
        <v>4481</v>
      </c>
      <c r="G2930">
        <f t="shared" si="45"/>
        <v>1576357129</v>
      </c>
    </row>
    <row r="2931" spans="1:7" x14ac:dyDescent="0.25">
      <c r="A2931">
        <v>1576358131</v>
      </c>
      <c r="B2931" t="s">
        <v>25911</v>
      </c>
      <c r="C2931">
        <v>0</v>
      </c>
      <c r="D2931">
        <v>1</v>
      </c>
      <c r="E2931">
        <v>1517</v>
      </c>
      <c r="F2931">
        <v>3596</v>
      </c>
      <c r="G2931">
        <f t="shared" si="45"/>
        <v>1576358131</v>
      </c>
    </row>
    <row r="2932" spans="1:7" x14ac:dyDescent="0.25">
      <c r="A2932">
        <v>1576358853</v>
      </c>
      <c r="B2932" t="s">
        <v>25912</v>
      </c>
      <c r="C2932">
        <v>189</v>
      </c>
      <c r="D2932">
        <v>4</v>
      </c>
      <c r="E2932">
        <v>8905</v>
      </c>
      <c r="F2932">
        <v>1735</v>
      </c>
      <c r="G2932">
        <f t="shared" si="45"/>
        <v>1576358853</v>
      </c>
    </row>
    <row r="2933" spans="1:7" x14ac:dyDescent="0.25">
      <c r="A2933">
        <v>1576361409</v>
      </c>
      <c r="B2933" t="s">
        <v>25913</v>
      </c>
      <c r="C2933">
        <v>4</v>
      </c>
      <c r="D2933">
        <v>5</v>
      </c>
      <c r="E2933">
        <v>27490</v>
      </c>
      <c r="F2933">
        <v>316</v>
      </c>
      <c r="G2933">
        <f t="shared" si="45"/>
        <v>1576361409</v>
      </c>
    </row>
    <row r="2934" spans="1:7" x14ac:dyDescent="0.25">
      <c r="A2934">
        <v>1576362692</v>
      </c>
      <c r="B2934" t="s">
        <v>25914</v>
      </c>
      <c r="C2934">
        <v>989</v>
      </c>
      <c r="D2934">
        <v>0</v>
      </c>
      <c r="E2934">
        <v>0</v>
      </c>
      <c r="F2934">
        <v>7422</v>
      </c>
      <c r="G2934">
        <f t="shared" si="45"/>
        <v>1576362692</v>
      </c>
    </row>
    <row r="2935" spans="1:7" x14ac:dyDescent="0.25">
      <c r="A2935">
        <v>1576363407</v>
      </c>
      <c r="B2935" t="s">
        <v>25915</v>
      </c>
      <c r="C2935">
        <v>638</v>
      </c>
      <c r="D2935">
        <v>2</v>
      </c>
      <c r="E2935">
        <v>8593</v>
      </c>
      <c r="F2935">
        <v>1783</v>
      </c>
      <c r="G2935">
        <f t="shared" si="45"/>
        <v>1576363407</v>
      </c>
    </row>
    <row r="2936" spans="1:7" x14ac:dyDescent="0.25">
      <c r="A2936">
        <v>1576363648</v>
      </c>
      <c r="B2936" t="s">
        <v>25916</v>
      </c>
      <c r="C2936">
        <v>0</v>
      </c>
      <c r="D2936">
        <v>0</v>
      </c>
      <c r="E2936">
        <v>0</v>
      </c>
      <c r="F2936">
        <v>7423</v>
      </c>
      <c r="G2936">
        <f t="shared" si="45"/>
        <v>1576363648</v>
      </c>
    </row>
    <row r="2937" spans="1:7" x14ac:dyDescent="0.25">
      <c r="A2937">
        <v>1576365354</v>
      </c>
      <c r="B2937" t="s">
        <v>36385</v>
      </c>
      <c r="C2937">
        <v>1727</v>
      </c>
      <c r="D2937">
        <v>1</v>
      </c>
      <c r="E2937">
        <v>491</v>
      </c>
      <c r="F2937">
        <v>4663</v>
      </c>
      <c r="G2937">
        <f t="shared" si="45"/>
        <v>1576365354</v>
      </c>
    </row>
    <row r="2938" spans="1:7" x14ac:dyDescent="0.25">
      <c r="A2938">
        <v>1576366062</v>
      </c>
      <c r="B2938" t="s">
        <v>25917</v>
      </c>
      <c r="C2938">
        <v>124</v>
      </c>
      <c r="D2938">
        <v>1</v>
      </c>
      <c r="E2938">
        <v>6924</v>
      </c>
      <c r="F2938">
        <v>2109</v>
      </c>
      <c r="G2938">
        <f t="shared" si="45"/>
        <v>1576366062</v>
      </c>
    </row>
    <row r="2939" spans="1:7" x14ac:dyDescent="0.25">
      <c r="A2939">
        <v>1576368825</v>
      </c>
      <c r="B2939" t="s">
        <v>25918</v>
      </c>
      <c r="C2939">
        <v>0</v>
      </c>
      <c r="D2939">
        <v>1</v>
      </c>
      <c r="E2939">
        <v>45</v>
      </c>
      <c r="F2939">
        <v>6230</v>
      </c>
      <c r="G2939">
        <f t="shared" si="45"/>
        <v>1576368825</v>
      </c>
    </row>
    <row r="2940" spans="1:7" x14ac:dyDescent="0.25">
      <c r="A2940">
        <v>1576368912</v>
      </c>
      <c r="B2940" t="s">
        <v>25919</v>
      </c>
      <c r="C2940">
        <v>0</v>
      </c>
      <c r="D2940">
        <v>1</v>
      </c>
      <c r="E2940">
        <v>378</v>
      </c>
      <c r="F2940">
        <v>4908</v>
      </c>
      <c r="G2940">
        <f t="shared" si="45"/>
        <v>1576368912</v>
      </c>
    </row>
    <row r="2941" spans="1:7" x14ac:dyDescent="0.25">
      <c r="A2941">
        <v>1576369777</v>
      </c>
      <c r="B2941" t="s">
        <v>25920</v>
      </c>
      <c r="C2941">
        <v>1315</v>
      </c>
      <c r="D2941">
        <v>0</v>
      </c>
      <c r="E2941">
        <v>0</v>
      </c>
      <c r="F2941">
        <v>7424</v>
      </c>
      <c r="G2941">
        <f t="shared" si="45"/>
        <v>1576369777</v>
      </c>
    </row>
    <row r="2942" spans="1:7" x14ac:dyDescent="0.25">
      <c r="A2942">
        <v>1576370008</v>
      </c>
      <c r="B2942" t="s">
        <v>25921</v>
      </c>
      <c r="C2942">
        <v>0</v>
      </c>
      <c r="D2942">
        <v>0</v>
      </c>
      <c r="E2942">
        <v>0</v>
      </c>
      <c r="F2942">
        <v>7425</v>
      </c>
      <c r="G2942">
        <f t="shared" si="45"/>
        <v>1576370008</v>
      </c>
    </row>
    <row r="2943" spans="1:7" x14ac:dyDescent="0.25">
      <c r="A2943">
        <v>1576371197</v>
      </c>
      <c r="B2943" t="s">
        <v>25922</v>
      </c>
      <c r="C2943">
        <v>1986</v>
      </c>
      <c r="D2943">
        <v>1</v>
      </c>
      <c r="E2943">
        <v>331</v>
      </c>
      <c r="F2943">
        <v>5035</v>
      </c>
      <c r="G2943">
        <f t="shared" si="45"/>
        <v>1576371197</v>
      </c>
    </row>
    <row r="2944" spans="1:7" x14ac:dyDescent="0.25">
      <c r="A2944">
        <v>1576372243</v>
      </c>
      <c r="B2944" t="s">
        <v>25923</v>
      </c>
      <c r="C2944">
        <v>0</v>
      </c>
      <c r="D2944">
        <v>1</v>
      </c>
      <c r="E2944">
        <v>825</v>
      </c>
      <c r="F2944">
        <v>4166</v>
      </c>
      <c r="G2944">
        <f t="shared" si="45"/>
        <v>1576372243</v>
      </c>
    </row>
    <row r="2945" spans="1:7" x14ac:dyDescent="0.25">
      <c r="A2945">
        <v>1576372265</v>
      </c>
      <c r="B2945" t="s">
        <v>25924</v>
      </c>
      <c r="C2945">
        <v>205</v>
      </c>
      <c r="D2945">
        <v>1</v>
      </c>
      <c r="E2945">
        <v>722</v>
      </c>
      <c r="F2945">
        <v>4306</v>
      </c>
      <c r="G2945">
        <f t="shared" ref="G2945:G3008" si="46">A2945</f>
        <v>1576372265</v>
      </c>
    </row>
    <row r="2946" spans="1:7" x14ac:dyDescent="0.25">
      <c r="A2946">
        <v>1576372545</v>
      </c>
      <c r="B2946" t="s">
        <v>25925</v>
      </c>
      <c r="C2946">
        <v>0</v>
      </c>
      <c r="D2946">
        <v>0</v>
      </c>
      <c r="E2946">
        <v>0</v>
      </c>
      <c r="F2946">
        <v>7426</v>
      </c>
      <c r="G2946">
        <f t="shared" si="46"/>
        <v>1576372545</v>
      </c>
    </row>
    <row r="2947" spans="1:7" x14ac:dyDescent="0.25">
      <c r="A2947">
        <v>1576373467</v>
      </c>
      <c r="B2947" t="s">
        <v>25926</v>
      </c>
      <c r="C2947">
        <v>6</v>
      </c>
      <c r="D2947">
        <v>6</v>
      </c>
      <c r="E2947">
        <v>33935</v>
      </c>
      <c r="F2947">
        <v>164</v>
      </c>
      <c r="G2947">
        <f t="shared" si="46"/>
        <v>1576373467</v>
      </c>
    </row>
    <row r="2948" spans="1:7" x14ac:dyDescent="0.25">
      <c r="A2948">
        <v>1576375539</v>
      </c>
      <c r="B2948" t="s">
        <v>25927</v>
      </c>
      <c r="C2948">
        <v>0</v>
      </c>
      <c r="D2948">
        <v>1</v>
      </c>
      <c r="E2948">
        <v>2487</v>
      </c>
      <c r="F2948">
        <v>3140</v>
      </c>
      <c r="G2948">
        <f t="shared" si="46"/>
        <v>1576375539</v>
      </c>
    </row>
    <row r="2949" spans="1:7" x14ac:dyDescent="0.25">
      <c r="A2949">
        <v>1576375723</v>
      </c>
      <c r="B2949" t="s">
        <v>37400</v>
      </c>
      <c r="C2949">
        <v>0</v>
      </c>
      <c r="D2949">
        <v>1</v>
      </c>
      <c r="E2949">
        <v>26</v>
      </c>
      <c r="F2949">
        <v>6541</v>
      </c>
      <c r="G2949">
        <f t="shared" si="46"/>
        <v>1576375723</v>
      </c>
    </row>
    <row r="2950" spans="1:7" x14ac:dyDescent="0.25">
      <c r="A2950">
        <v>1576376601</v>
      </c>
      <c r="B2950" t="s">
        <v>25928</v>
      </c>
      <c r="C2950">
        <v>0</v>
      </c>
      <c r="D2950">
        <v>0</v>
      </c>
      <c r="E2950">
        <v>0</v>
      </c>
      <c r="F2950">
        <v>7427</v>
      </c>
      <c r="G2950">
        <f t="shared" si="46"/>
        <v>1576376601</v>
      </c>
    </row>
    <row r="2951" spans="1:7" x14ac:dyDescent="0.25">
      <c r="A2951">
        <v>1576376755</v>
      </c>
      <c r="B2951" t="s">
        <v>25929</v>
      </c>
      <c r="C2951">
        <v>1833</v>
      </c>
      <c r="D2951">
        <v>1</v>
      </c>
      <c r="E2951">
        <v>2482</v>
      </c>
      <c r="F2951">
        <v>3152</v>
      </c>
      <c r="G2951">
        <f t="shared" si="46"/>
        <v>1576376755</v>
      </c>
    </row>
    <row r="2952" spans="1:7" x14ac:dyDescent="0.25">
      <c r="A2952">
        <v>1576377179</v>
      </c>
      <c r="B2952" t="s">
        <v>25930</v>
      </c>
      <c r="C2952">
        <v>0</v>
      </c>
      <c r="D2952">
        <v>1</v>
      </c>
      <c r="E2952">
        <v>145</v>
      </c>
      <c r="F2952">
        <v>5712</v>
      </c>
      <c r="G2952">
        <f t="shared" si="46"/>
        <v>1576377179</v>
      </c>
    </row>
    <row r="2953" spans="1:7" x14ac:dyDescent="0.25">
      <c r="A2953">
        <v>1576377315</v>
      </c>
      <c r="B2953" t="s">
        <v>25931</v>
      </c>
      <c r="C2953">
        <v>0</v>
      </c>
      <c r="D2953">
        <v>1</v>
      </c>
      <c r="E2953">
        <v>50</v>
      </c>
      <c r="F2953">
        <v>6180</v>
      </c>
      <c r="G2953">
        <f t="shared" si="46"/>
        <v>1576377315</v>
      </c>
    </row>
    <row r="2954" spans="1:7" x14ac:dyDescent="0.25">
      <c r="A2954">
        <v>1576379303</v>
      </c>
      <c r="B2954" t="s">
        <v>25932</v>
      </c>
      <c r="C2954">
        <v>0</v>
      </c>
      <c r="D2954">
        <v>1</v>
      </c>
      <c r="E2954">
        <v>26</v>
      </c>
      <c r="F2954">
        <v>6542</v>
      </c>
      <c r="G2954">
        <f t="shared" si="46"/>
        <v>1576379303</v>
      </c>
    </row>
    <row r="2955" spans="1:7" x14ac:dyDescent="0.25">
      <c r="A2955">
        <v>1576379797</v>
      </c>
      <c r="B2955" t="s">
        <v>25933</v>
      </c>
      <c r="C2955">
        <v>1</v>
      </c>
      <c r="D2955">
        <v>1</v>
      </c>
      <c r="E2955">
        <v>4312</v>
      </c>
      <c r="F2955">
        <v>2680</v>
      </c>
      <c r="G2955">
        <f t="shared" si="46"/>
        <v>1576379797</v>
      </c>
    </row>
    <row r="2956" spans="1:7" x14ac:dyDescent="0.25">
      <c r="A2956">
        <v>1576380415</v>
      </c>
      <c r="B2956" t="s">
        <v>25934</v>
      </c>
      <c r="C2956">
        <v>0</v>
      </c>
      <c r="D2956">
        <v>0</v>
      </c>
      <c r="E2956">
        <v>0</v>
      </c>
      <c r="F2956">
        <v>7428</v>
      </c>
      <c r="G2956">
        <f t="shared" si="46"/>
        <v>1576380415</v>
      </c>
    </row>
    <row r="2957" spans="1:7" x14ac:dyDescent="0.25">
      <c r="A2957">
        <v>1576380782</v>
      </c>
      <c r="B2957" t="s">
        <v>25935</v>
      </c>
      <c r="C2957">
        <v>0</v>
      </c>
      <c r="D2957">
        <v>0</v>
      </c>
      <c r="E2957">
        <v>0</v>
      </c>
      <c r="F2957">
        <v>7429</v>
      </c>
      <c r="G2957">
        <f t="shared" si="46"/>
        <v>1576380782</v>
      </c>
    </row>
    <row r="2958" spans="1:7" x14ac:dyDescent="0.25">
      <c r="A2958">
        <v>1576381834</v>
      </c>
      <c r="B2958" t="s">
        <v>25936</v>
      </c>
      <c r="C2958">
        <v>0</v>
      </c>
      <c r="D2958">
        <v>1</v>
      </c>
      <c r="E2958">
        <v>1745</v>
      </c>
      <c r="F2958">
        <v>3473</v>
      </c>
      <c r="G2958">
        <f t="shared" si="46"/>
        <v>1576381834</v>
      </c>
    </row>
    <row r="2959" spans="1:7" x14ac:dyDescent="0.25">
      <c r="A2959">
        <v>1576382026</v>
      </c>
      <c r="B2959" t="s">
        <v>25937</v>
      </c>
      <c r="C2959">
        <v>0</v>
      </c>
      <c r="D2959">
        <v>0</v>
      </c>
      <c r="E2959">
        <v>0</v>
      </c>
      <c r="F2959">
        <v>7430</v>
      </c>
      <c r="G2959">
        <f t="shared" si="46"/>
        <v>1576382026</v>
      </c>
    </row>
    <row r="2960" spans="1:7" x14ac:dyDescent="0.25">
      <c r="A2960">
        <v>1576382522</v>
      </c>
      <c r="B2960" t="s">
        <v>25938</v>
      </c>
      <c r="C2960">
        <v>419</v>
      </c>
      <c r="D2960">
        <v>5</v>
      </c>
      <c r="E2960">
        <v>20085</v>
      </c>
      <c r="F2960">
        <v>618</v>
      </c>
      <c r="G2960">
        <f t="shared" si="46"/>
        <v>1576382522</v>
      </c>
    </row>
    <row r="2961" spans="1:7" x14ac:dyDescent="0.25">
      <c r="A2961">
        <v>1576384260</v>
      </c>
      <c r="B2961" t="s">
        <v>25939</v>
      </c>
      <c r="C2961">
        <v>47</v>
      </c>
      <c r="D2961">
        <v>2</v>
      </c>
      <c r="E2961">
        <v>10839</v>
      </c>
      <c r="F2961">
        <v>1442</v>
      </c>
      <c r="G2961">
        <f t="shared" si="46"/>
        <v>1576384260</v>
      </c>
    </row>
    <row r="2962" spans="1:7" x14ac:dyDescent="0.25">
      <c r="A2962">
        <v>1576384520</v>
      </c>
      <c r="B2962" t="s">
        <v>25940</v>
      </c>
      <c r="C2962">
        <v>0</v>
      </c>
      <c r="D2962">
        <v>1</v>
      </c>
      <c r="E2962">
        <v>741</v>
      </c>
      <c r="F2962">
        <v>4278</v>
      </c>
      <c r="G2962">
        <f t="shared" si="46"/>
        <v>1576384520</v>
      </c>
    </row>
    <row r="2963" spans="1:7" x14ac:dyDescent="0.25">
      <c r="A2963">
        <v>1576385810</v>
      </c>
      <c r="B2963" t="s">
        <v>25941</v>
      </c>
      <c r="C2963">
        <v>0</v>
      </c>
      <c r="D2963">
        <v>1</v>
      </c>
      <c r="E2963">
        <v>790</v>
      </c>
      <c r="F2963">
        <v>4214</v>
      </c>
      <c r="G2963">
        <f t="shared" si="46"/>
        <v>1576385810</v>
      </c>
    </row>
    <row r="2964" spans="1:7" x14ac:dyDescent="0.25">
      <c r="A2964">
        <v>1576387990</v>
      </c>
      <c r="B2964" t="s">
        <v>25942</v>
      </c>
      <c r="C2964">
        <v>0</v>
      </c>
      <c r="D2964">
        <v>0</v>
      </c>
      <c r="E2964">
        <v>0</v>
      </c>
      <c r="F2964">
        <v>7431</v>
      </c>
      <c r="G2964">
        <f t="shared" si="46"/>
        <v>1576387990</v>
      </c>
    </row>
    <row r="2965" spans="1:7" x14ac:dyDescent="0.25">
      <c r="A2965">
        <v>1576390493</v>
      </c>
      <c r="B2965" t="s">
        <v>25943</v>
      </c>
      <c r="C2965">
        <v>0</v>
      </c>
      <c r="D2965">
        <v>1</v>
      </c>
      <c r="E2965">
        <v>3763</v>
      </c>
      <c r="F2965">
        <v>2820</v>
      </c>
      <c r="G2965">
        <f t="shared" si="46"/>
        <v>1576390493</v>
      </c>
    </row>
    <row r="2966" spans="1:7" x14ac:dyDescent="0.25">
      <c r="A2966">
        <v>1576390569</v>
      </c>
      <c r="B2966" t="s">
        <v>36386</v>
      </c>
      <c r="C2966">
        <v>0</v>
      </c>
      <c r="D2966">
        <v>1</v>
      </c>
      <c r="E2966">
        <v>1013</v>
      </c>
      <c r="F2966">
        <v>3972</v>
      </c>
      <c r="G2966">
        <f t="shared" si="46"/>
        <v>1576390569</v>
      </c>
    </row>
    <row r="2967" spans="1:7" x14ac:dyDescent="0.25">
      <c r="A2967">
        <v>1576391117</v>
      </c>
      <c r="B2967" t="s">
        <v>25944</v>
      </c>
      <c r="C2967">
        <v>0</v>
      </c>
      <c r="D2967">
        <v>1</v>
      </c>
      <c r="E2967">
        <v>311</v>
      </c>
      <c r="F2967">
        <v>5097</v>
      </c>
      <c r="G2967">
        <f t="shared" si="46"/>
        <v>1576391117</v>
      </c>
    </row>
    <row r="2968" spans="1:7" x14ac:dyDescent="0.25">
      <c r="A2968">
        <v>1576391750</v>
      </c>
      <c r="B2968" t="s">
        <v>25945</v>
      </c>
      <c r="C2968">
        <v>1930</v>
      </c>
      <c r="D2968">
        <v>1</v>
      </c>
      <c r="E2968">
        <v>3810</v>
      </c>
      <c r="F2968">
        <v>2808</v>
      </c>
      <c r="G2968">
        <f t="shared" si="46"/>
        <v>1576391750</v>
      </c>
    </row>
    <row r="2969" spans="1:7" x14ac:dyDescent="0.25">
      <c r="A2969">
        <v>1576392496</v>
      </c>
      <c r="B2969" t="s">
        <v>37288</v>
      </c>
      <c r="C2969">
        <v>0</v>
      </c>
      <c r="D2969">
        <v>1</v>
      </c>
      <c r="E2969">
        <v>815</v>
      </c>
      <c r="F2969">
        <v>4180</v>
      </c>
      <c r="G2969">
        <f t="shared" si="46"/>
        <v>1576392496</v>
      </c>
    </row>
    <row r="2970" spans="1:7" x14ac:dyDescent="0.25">
      <c r="A2970">
        <v>1576394964</v>
      </c>
      <c r="B2970" t="s">
        <v>25946</v>
      </c>
      <c r="C2970">
        <v>1708</v>
      </c>
      <c r="D2970">
        <v>1</v>
      </c>
      <c r="E2970">
        <v>2998</v>
      </c>
      <c r="F2970">
        <v>3011</v>
      </c>
      <c r="G2970">
        <f t="shared" si="46"/>
        <v>1576394964</v>
      </c>
    </row>
    <row r="2971" spans="1:7" x14ac:dyDescent="0.25">
      <c r="A2971">
        <v>1576395422</v>
      </c>
      <c r="B2971" t="s">
        <v>36387</v>
      </c>
      <c r="C2971">
        <v>0</v>
      </c>
      <c r="D2971">
        <v>1</v>
      </c>
      <c r="E2971">
        <v>74</v>
      </c>
      <c r="F2971">
        <v>6023</v>
      </c>
      <c r="G2971">
        <f t="shared" si="46"/>
        <v>1576395422</v>
      </c>
    </row>
    <row r="2972" spans="1:7" x14ac:dyDescent="0.25">
      <c r="A2972">
        <v>1576398012</v>
      </c>
      <c r="B2972" t="s">
        <v>25947</v>
      </c>
      <c r="C2972">
        <v>1885</v>
      </c>
      <c r="D2972">
        <v>1</v>
      </c>
      <c r="E2972">
        <v>298</v>
      </c>
      <c r="F2972">
        <v>5125</v>
      </c>
      <c r="G2972">
        <f t="shared" si="46"/>
        <v>1576398012</v>
      </c>
    </row>
    <row r="2973" spans="1:7" x14ac:dyDescent="0.25">
      <c r="A2973">
        <v>1576398791</v>
      </c>
      <c r="B2973" t="s">
        <v>25948</v>
      </c>
      <c r="C2973">
        <v>1340</v>
      </c>
      <c r="D2973">
        <v>2</v>
      </c>
      <c r="E2973">
        <v>6058</v>
      </c>
      <c r="F2973">
        <v>2260</v>
      </c>
      <c r="G2973">
        <f t="shared" si="46"/>
        <v>1576398791</v>
      </c>
    </row>
    <row r="2974" spans="1:7" x14ac:dyDescent="0.25">
      <c r="A2974">
        <v>1576402134</v>
      </c>
      <c r="B2974" t="s">
        <v>25949</v>
      </c>
      <c r="C2974">
        <v>0</v>
      </c>
      <c r="D2974">
        <v>1</v>
      </c>
      <c r="E2974">
        <v>357</v>
      </c>
      <c r="F2974">
        <v>4960</v>
      </c>
      <c r="G2974">
        <f t="shared" si="46"/>
        <v>1576402134</v>
      </c>
    </row>
    <row r="2975" spans="1:7" x14ac:dyDescent="0.25">
      <c r="A2975">
        <v>1576402199</v>
      </c>
      <c r="B2975" t="s">
        <v>25950</v>
      </c>
      <c r="C2975">
        <v>215</v>
      </c>
      <c r="D2975">
        <v>2</v>
      </c>
      <c r="E2975">
        <v>12835</v>
      </c>
      <c r="F2975">
        <v>1185</v>
      </c>
      <c r="G2975">
        <f t="shared" si="46"/>
        <v>1576402199</v>
      </c>
    </row>
    <row r="2976" spans="1:7" x14ac:dyDescent="0.25">
      <c r="A2976">
        <v>1576403267</v>
      </c>
      <c r="B2976" t="s">
        <v>2423</v>
      </c>
      <c r="C2976">
        <v>617</v>
      </c>
      <c r="D2976">
        <v>2</v>
      </c>
      <c r="E2976">
        <v>5521</v>
      </c>
      <c r="F2976">
        <v>2397</v>
      </c>
      <c r="G2976">
        <f t="shared" si="46"/>
        <v>1576403267</v>
      </c>
    </row>
    <row r="2977" spans="1:7" x14ac:dyDescent="0.25">
      <c r="A2977">
        <v>1576405643</v>
      </c>
      <c r="B2977" t="s">
        <v>25951</v>
      </c>
      <c r="C2977">
        <v>27</v>
      </c>
      <c r="D2977">
        <v>8</v>
      </c>
      <c r="E2977">
        <v>51985</v>
      </c>
      <c r="F2977">
        <v>36</v>
      </c>
      <c r="G2977">
        <f t="shared" si="46"/>
        <v>1576405643</v>
      </c>
    </row>
    <row r="2978" spans="1:7" x14ac:dyDescent="0.25">
      <c r="A2978">
        <v>1576410168</v>
      </c>
      <c r="B2978" t="s">
        <v>25952</v>
      </c>
      <c r="C2978">
        <v>0</v>
      </c>
      <c r="D2978">
        <v>1</v>
      </c>
      <c r="E2978">
        <v>289</v>
      </c>
      <c r="F2978">
        <v>5151</v>
      </c>
      <c r="G2978">
        <f t="shared" si="46"/>
        <v>1576410168</v>
      </c>
    </row>
    <row r="2979" spans="1:7" x14ac:dyDescent="0.25">
      <c r="A2979">
        <v>1576411842</v>
      </c>
      <c r="B2979" t="s">
        <v>25953</v>
      </c>
      <c r="C2979">
        <v>1063</v>
      </c>
      <c r="D2979">
        <v>1</v>
      </c>
      <c r="E2979">
        <v>52</v>
      </c>
      <c r="F2979">
        <v>7432</v>
      </c>
      <c r="G2979">
        <f t="shared" si="46"/>
        <v>1576411842</v>
      </c>
    </row>
    <row r="2980" spans="1:7" x14ac:dyDescent="0.25">
      <c r="A2980">
        <v>1576412944</v>
      </c>
      <c r="B2980" t="s">
        <v>25954</v>
      </c>
      <c r="C2980">
        <v>174</v>
      </c>
      <c r="D2980">
        <v>1</v>
      </c>
      <c r="E2980">
        <v>5571</v>
      </c>
      <c r="F2980">
        <v>2387</v>
      </c>
      <c r="G2980">
        <f t="shared" si="46"/>
        <v>1576412944</v>
      </c>
    </row>
    <row r="2981" spans="1:7" x14ac:dyDescent="0.25">
      <c r="A2981">
        <v>1576413140</v>
      </c>
      <c r="B2981" t="s">
        <v>25955</v>
      </c>
      <c r="C2981">
        <v>494</v>
      </c>
      <c r="D2981">
        <v>2</v>
      </c>
      <c r="E2981">
        <v>8605</v>
      </c>
      <c r="F2981">
        <v>1781</v>
      </c>
      <c r="G2981">
        <f t="shared" si="46"/>
        <v>1576413140</v>
      </c>
    </row>
    <row r="2982" spans="1:7" x14ac:dyDescent="0.25">
      <c r="A2982">
        <v>1576416278</v>
      </c>
      <c r="B2982" t="s">
        <v>36388</v>
      </c>
      <c r="C2982">
        <v>0</v>
      </c>
      <c r="D2982">
        <v>1</v>
      </c>
      <c r="E2982">
        <v>1917</v>
      </c>
      <c r="F2982">
        <v>3388</v>
      </c>
      <c r="G2982">
        <f t="shared" si="46"/>
        <v>1576416278</v>
      </c>
    </row>
    <row r="2983" spans="1:7" x14ac:dyDescent="0.25">
      <c r="A2983">
        <v>1576417648</v>
      </c>
      <c r="B2983" t="s">
        <v>25956</v>
      </c>
      <c r="C2983">
        <v>0</v>
      </c>
      <c r="D2983">
        <v>0</v>
      </c>
      <c r="E2983">
        <v>0</v>
      </c>
      <c r="F2983">
        <v>7433</v>
      </c>
      <c r="G2983">
        <f t="shared" si="46"/>
        <v>1576417648</v>
      </c>
    </row>
    <row r="2984" spans="1:7" x14ac:dyDescent="0.25">
      <c r="A2984">
        <v>1576417753</v>
      </c>
      <c r="B2984" t="s">
        <v>25957</v>
      </c>
      <c r="C2984">
        <v>1019</v>
      </c>
      <c r="D2984">
        <v>0</v>
      </c>
      <c r="E2984">
        <v>0</v>
      </c>
      <c r="F2984">
        <v>7434</v>
      </c>
      <c r="G2984">
        <f t="shared" si="46"/>
        <v>1576417753</v>
      </c>
    </row>
    <row r="2985" spans="1:7" x14ac:dyDescent="0.25">
      <c r="A2985">
        <v>1576418085</v>
      </c>
      <c r="B2985" t="s">
        <v>25958</v>
      </c>
      <c r="C2985">
        <v>1708</v>
      </c>
      <c r="D2985">
        <v>1</v>
      </c>
      <c r="E2985">
        <v>2358</v>
      </c>
      <c r="F2985">
        <v>3193</v>
      </c>
      <c r="G2985">
        <f t="shared" si="46"/>
        <v>1576418085</v>
      </c>
    </row>
    <row r="2986" spans="1:7" x14ac:dyDescent="0.25">
      <c r="A2986">
        <v>1576418916</v>
      </c>
      <c r="B2986" t="s">
        <v>25959</v>
      </c>
      <c r="C2986">
        <v>0</v>
      </c>
      <c r="D2986">
        <v>1</v>
      </c>
      <c r="E2986">
        <v>461</v>
      </c>
      <c r="F2986">
        <v>4720</v>
      </c>
      <c r="G2986">
        <f t="shared" si="46"/>
        <v>1576418916</v>
      </c>
    </row>
    <row r="2987" spans="1:7" x14ac:dyDescent="0.25">
      <c r="A2987">
        <v>1576419354</v>
      </c>
      <c r="B2987" t="s">
        <v>36389</v>
      </c>
      <c r="C2987">
        <v>0</v>
      </c>
      <c r="D2987">
        <v>0</v>
      </c>
      <c r="E2987">
        <v>0</v>
      </c>
      <c r="F2987">
        <v>7435</v>
      </c>
      <c r="G2987">
        <f t="shared" si="46"/>
        <v>1576419354</v>
      </c>
    </row>
    <row r="2988" spans="1:7" x14ac:dyDescent="0.25">
      <c r="A2988">
        <v>1576419388</v>
      </c>
      <c r="B2988" t="s">
        <v>25960</v>
      </c>
      <c r="C2988">
        <v>55</v>
      </c>
      <c r="D2988">
        <v>1</v>
      </c>
      <c r="E2988">
        <v>1230</v>
      </c>
      <c r="F2988">
        <v>3790</v>
      </c>
      <c r="G2988">
        <f t="shared" si="46"/>
        <v>1576419388</v>
      </c>
    </row>
    <row r="2989" spans="1:7" x14ac:dyDescent="0.25">
      <c r="A2989">
        <v>1576421275</v>
      </c>
      <c r="B2989" t="s">
        <v>25961</v>
      </c>
      <c r="C2989">
        <v>0</v>
      </c>
      <c r="D2989">
        <v>1</v>
      </c>
      <c r="E2989">
        <v>689</v>
      </c>
      <c r="F2989">
        <v>4356</v>
      </c>
      <c r="G2989">
        <f t="shared" si="46"/>
        <v>1576421275</v>
      </c>
    </row>
    <row r="2990" spans="1:7" x14ac:dyDescent="0.25">
      <c r="A2990">
        <v>1576422671</v>
      </c>
      <c r="B2990" t="s">
        <v>25962</v>
      </c>
      <c r="C2990">
        <v>1920</v>
      </c>
      <c r="D2990">
        <v>1</v>
      </c>
      <c r="E2990">
        <v>786</v>
      </c>
      <c r="F2990">
        <v>4220</v>
      </c>
      <c r="G2990">
        <f t="shared" si="46"/>
        <v>1576422671</v>
      </c>
    </row>
    <row r="2991" spans="1:7" x14ac:dyDescent="0.25">
      <c r="A2991">
        <v>1576423691</v>
      </c>
      <c r="B2991" t="s">
        <v>25963</v>
      </c>
      <c r="C2991">
        <v>0</v>
      </c>
      <c r="D2991">
        <v>0</v>
      </c>
      <c r="E2991">
        <v>0</v>
      </c>
      <c r="F2991">
        <v>7436</v>
      </c>
      <c r="G2991">
        <f t="shared" si="46"/>
        <v>1576423691</v>
      </c>
    </row>
    <row r="2992" spans="1:7" x14ac:dyDescent="0.25">
      <c r="A2992">
        <v>1576424364</v>
      </c>
      <c r="B2992" t="s">
        <v>25964</v>
      </c>
      <c r="C2992">
        <v>0</v>
      </c>
      <c r="D2992">
        <v>1</v>
      </c>
      <c r="E2992">
        <v>203</v>
      </c>
      <c r="F2992">
        <v>5482</v>
      </c>
      <c r="G2992">
        <f t="shared" si="46"/>
        <v>1576424364</v>
      </c>
    </row>
    <row r="2993" spans="1:7" x14ac:dyDescent="0.25">
      <c r="A2993">
        <v>1576425798</v>
      </c>
      <c r="B2993" t="s">
        <v>25965</v>
      </c>
      <c r="C2993">
        <v>0</v>
      </c>
      <c r="D2993">
        <v>1</v>
      </c>
      <c r="E2993">
        <v>26</v>
      </c>
      <c r="F2993">
        <v>6543</v>
      </c>
      <c r="G2993">
        <f t="shared" si="46"/>
        <v>1576425798</v>
      </c>
    </row>
    <row r="2994" spans="1:7" x14ac:dyDescent="0.25">
      <c r="A2994">
        <v>1576427323</v>
      </c>
      <c r="B2994" t="s">
        <v>25966</v>
      </c>
      <c r="C2994">
        <v>268</v>
      </c>
      <c r="D2994">
        <v>1</v>
      </c>
      <c r="E2994">
        <v>26</v>
      </c>
      <c r="F2994">
        <v>6544</v>
      </c>
      <c r="G2994">
        <f t="shared" si="46"/>
        <v>1576427323</v>
      </c>
    </row>
    <row r="2995" spans="1:7" x14ac:dyDescent="0.25">
      <c r="A2995">
        <v>1576428534</v>
      </c>
      <c r="B2995" t="s">
        <v>25967</v>
      </c>
      <c r="C2995">
        <v>259</v>
      </c>
      <c r="D2995">
        <v>4</v>
      </c>
      <c r="E2995">
        <v>22049</v>
      </c>
      <c r="F2995">
        <v>519</v>
      </c>
      <c r="G2995">
        <f t="shared" si="46"/>
        <v>1576428534</v>
      </c>
    </row>
    <row r="2996" spans="1:7" x14ac:dyDescent="0.25">
      <c r="A2996">
        <v>1576430467</v>
      </c>
      <c r="B2996" t="s">
        <v>25968</v>
      </c>
      <c r="C2996">
        <v>1413</v>
      </c>
      <c r="D2996">
        <v>3</v>
      </c>
      <c r="E2996">
        <v>8766</v>
      </c>
      <c r="F2996">
        <v>1768</v>
      </c>
      <c r="G2996">
        <f t="shared" si="46"/>
        <v>1576430467</v>
      </c>
    </row>
    <row r="2997" spans="1:7" x14ac:dyDescent="0.25">
      <c r="A2997">
        <v>1576431547</v>
      </c>
      <c r="B2997" t="s">
        <v>25969</v>
      </c>
      <c r="C2997">
        <v>0</v>
      </c>
      <c r="D2997">
        <v>1</v>
      </c>
      <c r="E2997">
        <v>84</v>
      </c>
      <c r="F2997">
        <v>5942</v>
      </c>
      <c r="G2997">
        <f t="shared" si="46"/>
        <v>1576431547</v>
      </c>
    </row>
    <row r="2998" spans="1:7" x14ac:dyDescent="0.25">
      <c r="A2998">
        <v>1576434225</v>
      </c>
      <c r="B2998" t="s">
        <v>25970</v>
      </c>
      <c r="C2998">
        <v>0</v>
      </c>
      <c r="D2998">
        <v>1</v>
      </c>
      <c r="E2998">
        <v>490</v>
      </c>
      <c r="F2998">
        <v>4667</v>
      </c>
      <c r="G2998">
        <f t="shared" si="46"/>
        <v>1576434225</v>
      </c>
    </row>
    <row r="2999" spans="1:7" x14ac:dyDescent="0.25">
      <c r="A2999">
        <v>1576434748</v>
      </c>
      <c r="B2999" t="s">
        <v>25971</v>
      </c>
      <c r="C2999">
        <v>451</v>
      </c>
      <c r="D2999">
        <v>1</v>
      </c>
      <c r="E2999">
        <v>721</v>
      </c>
      <c r="F2999">
        <v>4307</v>
      </c>
      <c r="G2999">
        <f t="shared" si="46"/>
        <v>1576434748</v>
      </c>
    </row>
    <row r="3000" spans="1:7" x14ac:dyDescent="0.25">
      <c r="A3000">
        <v>1576435605</v>
      </c>
      <c r="B3000" t="s">
        <v>37289</v>
      </c>
      <c r="C3000">
        <v>0</v>
      </c>
      <c r="D3000">
        <v>1</v>
      </c>
      <c r="E3000">
        <v>141</v>
      </c>
      <c r="F3000">
        <v>5725</v>
      </c>
      <c r="G3000">
        <f t="shared" si="46"/>
        <v>1576435605</v>
      </c>
    </row>
    <row r="3001" spans="1:7" x14ac:dyDescent="0.25">
      <c r="A3001">
        <v>1576435797</v>
      </c>
      <c r="B3001" t="s">
        <v>25972</v>
      </c>
      <c r="C3001">
        <v>429</v>
      </c>
      <c r="D3001">
        <v>2</v>
      </c>
      <c r="E3001">
        <v>4177</v>
      </c>
      <c r="F3001">
        <v>2725</v>
      </c>
      <c r="G3001">
        <f t="shared" si="46"/>
        <v>1576435797</v>
      </c>
    </row>
    <row r="3002" spans="1:7" x14ac:dyDescent="0.25">
      <c r="A3002">
        <v>1576436373</v>
      </c>
      <c r="B3002" t="s">
        <v>37140</v>
      </c>
      <c r="C3002">
        <v>122</v>
      </c>
      <c r="D3002">
        <v>6</v>
      </c>
      <c r="E3002">
        <v>32488</v>
      </c>
      <c r="F3002">
        <v>195</v>
      </c>
      <c r="G3002">
        <f t="shared" si="46"/>
        <v>1576436373</v>
      </c>
    </row>
    <row r="3003" spans="1:7" x14ac:dyDescent="0.25">
      <c r="A3003">
        <v>1576437061</v>
      </c>
      <c r="B3003" t="s">
        <v>25973</v>
      </c>
      <c r="C3003">
        <v>0</v>
      </c>
      <c r="D3003">
        <v>1</v>
      </c>
      <c r="E3003">
        <v>973</v>
      </c>
      <c r="F3003">
        <v>4011</v>
      </c>
      <c r="G3003">
        <f t="shared" si="46"/>
        <v>1576437061</v>
      </c>
    </row>
    <row r="3004" spans="1:7" x14ac:dyDescent="0.25">
      <c r="A3004">
        <v>1576437451</v>
      </c>
      <c r="B3004" t="s">
        <v>25974</v>
      </c>
      <c r="C3004">
        <v>1100</v>
      </c>
      <c r="D3004">
        <v>3</v>
      </c>
      <c r="E3004">
        <v>9369</v>
      </c>
      <c r="F3004">
        <v>1659</v>
      </c>
      <c r="G3004">
        <f t="shared" si="46"/>
        <v>1576437451</v>
      </c>
    </row>
    <row r="3005" spans="1:7" x14ac:dyDescent="0.25">
      <c r="A3005">
        <v>1576437729</v>
      </c>
      <c r="B3005" t="s">
        <v>25975</v>
      </c>
      <c r="C3005">
        <v>39</v>
      </c>
      <c r="D3005">
        <v>2</v>
      </c>
      <c r="E3005">
        <v>9444</v>
      </c>
      <c r="F3005">
        <v>1647</v>
      </c>
      <c r="G3005">
        <f t="shared" si="46"/>
        <v>1576437729</v>
      </c>
    </row>
    <row r="3006" spans="1:7" x14ac:dyDescent="0.25">
      <c r="A3006">
        <v>1576438856</v>
      </c>
      <c r="B3006" t="s">
        <v>36390</v>
      </c>
      <c r="C3006">
        <v>0</v>
      </c>
      <c r="D3006">
        <v>1</v>
      </c>
      <c r="E3006">
        <v>125</v>
      </c>
      <c r="F3006">
        <v>5773</v>
      </c>
      <c r="G3006">
        <f t="shared" si="46"/>
        <v>1576438856</v>
      </c>
    </row>
    <row r="3007" spans="1:7" x14ac:dyDescent="0.25">
      <c r="A3007">
        <v>1576438900</v>
      </c>
      <c r="B3007" t="s">
        <v>25976</v>
      </c>
      <c r="C3007">
        <v>0</v>
      </c>
      <c r="D3007">
        <v>1</v>
      </c>
      <c r="E3007">
        <v>1261</v>
      </c>
      <c r="F3007">
        <v>3753</v>
      </c>
      <c r="G3007">
        <f t="shared" si="46"/>
        <v>1576438900</v>
      </c>
    </row>
    <row r="3008" spans="1:7" x14ac:dyDescent="0.25">
      <c r="A3008">
        <v>1576439466</v>
      </c>
      <c r="B3008" t="s">
        <v>25977</v>
      </c>
      <c r="C3008">
        <v>1867</v>
      </c>
      <c r="D3008">
        <v>1</v>
      </c>
      <c r="E3008">
        <v>669</v>
      </c>
      <c r="F3008">
        <v>4387</v>
      </c>
      <c r="G3008">
        <f t="shared" si="46"/>
        <v>1576439466</v>
      </c>
    </row>
    <row r="3009" spans="1:7" x14ac:dyDescent="0.25">
      <c r="A3009">
        <v>1576440587</v>
      </c>
      <c r="B3009" t="s">
        <v>25978</v>
      </c>
      <c r="C3009">
        <v>1373</v>
      </c>
      <c r="D3009">
        <v>2</v>
      </c>
      <c r="E3009">
        <v>6199</v>
      </c>
      <c r="F3009">
        <v>2233</v>
      </c>
      <c r="G3009">
        <f t="shared" ref="G3009:G3072" si="47">A3009</f>
        <v>1576440587</v>
      </c>
    </row>
    <row r="3010" spans="1:7" x14ac:dyDescent="0.25">
      <c r="A3010">
        <v>1576440855</v>
      </c>
      <c r="B3010" t="s">
        <v>25979</v>
      </c>
      <c r="C3010">
        <v>1754</v>
      </c>
      <c r="D3010">
        <v>1</v>
      </c>
      <c r="E3010">
        <v>477</v>
      </c>
      <c r="F3010">
        <v>4685</v>
      </c>
      <c r="G3010">
        <f t="shared" si="47"/>
        <v>1576440855</v>
      </c>
    </row>
    <row r="3011" spans="1:7" x14ac:dyDescent="0.25">
      <c r="A3011">
        <v>1576442334</v>
      </c>
      <c r="B3011" t="s">
        <v>36391</v>
      </c>
      <c r="C3011">
        <v>0</v>
      </c>
      <c r="D3011">
        <v>0</v>
      </c>
      <c r="E3011">
        <v>0</v>
      </c>
      <c r="F3011">
        <v>7437</v>
      </c>
      <c r="G3011">
        <f t="shared" si="47"/>
        <v>1576442334</v>
      </c>
    </row>
    <row r="3012" spans="1:7" x14ac:dyDescent="0.25">
      <c r="A3012">
        <v>1576443574</v>
      </c>
      <c r="B3012" t="s">
        <v>25980</v>
      </c>
      <c r="C3012">
        <v>989</v>
      </c>
      <c r="D3012">
        <v>1</v>
      </c>
      <c r="E3012">
        <v>2318</v>
      </c>
      <c r="F3012">
        <v>3216</v>
      </c>
      <c r="G3012">
        <f t="shared" si="47"/>
        <v>1576443574</v>
      </c>
    </row>
    <row r="3013" spans="1:7" x14ac:dyDescent="0.25">
      <c r="A3013">
        <v>1576444572</v>
      </c>
      <c r="B3013" t="s">
        <v>25981</v>
      </c>
      <c r="C3013">
        <v>0</v>
      </c>
      <c r="D3013">
        <v>1</v>
      </c>
      <c r="E3013">
        <v>1407</v>
      </c>
      <c r="F3013">
        <v>3652</v>
      </c>
      <c r="G3013">
        <f t="shared" si="47"/>
        <v>1576444572</v>
      </c>
    </row>
    <row r="3014" spans="1:7" x14ac:dyDescent="0.25">
      <c r="A3014">
        <v>1576446601</v>
      </c>
      <c r="B3014" t="s">
        <v>25982</v>
      </c>
      <c r="C3014">
        <v>0</v>
      </c>
      <c r="D3014">
        <v>0</v>
      </c>
      <c r="E3014">
        <v>0</v>
      </c>
      <c r="F3014">
        <v>7438</v>
      </c>
      <c r="G3014">
        <f t="shared" si="47"/>
        <v>1576446601</v>
      </c>
    </row>
    <row r="3015" spans="1:7" x14ac:dyDescent="0.25">
      <c r="A3015">
        <v>1576446607</v>
      </c>
      <c r="B3015" t="s">
        <v>25983</v>
      </c>
      <c r="C3015">
        <v>0</v>
      </c>
      <c r="D3015">
        <v>1</v>
      </c>
      <c r="E3015">
        <v>647</v>
      </c>
      <c r="F3015">
        <v>4414</v>
      </c>
      <c r="G3015">
        <f t="shared" si="47"/>
        <v>1576446607</v>
      </c>
    </row>
    <row r="3016" spans="1:7" x14ac:dyDescent="0.25">
      <c r="A3016">
        <v>1576447732</v>
      </c>
      <c r="B3016" t="s">
        <v>25984</v>
      </c>
      <c r="C3016">
        <v>1663</v>
      </c>
      <c r="D3016">
        <v>1</v>
      </c>
      <c r="E3016">
        <v>3214</v>
      </c>
      <c r="F3016">
        <v>2957</v>
      </c>
      <c r="G3016">
        <f t="shared" si="47"/>
        <v>1576447732</v>
      </c>
    </row>
    <row r="3017" spans="1:7" x14ac:dyDescent="0.25">
      <c r="A3017">
        <v>1576449681</v>
      </c>
      <c r="B3017" t="s">
        <v>25985</v>
      </c>
      <c r="C3017">
        <v>0</v>
      </c>
      <c r="D3017">
        <v>0</v>
      </c>
      <c r="E3017">
        <v>0</v>
      </c>
      <c r="F3017">
        <v>7439</v>
      </c>
      <c r="G3017">
        <f t="shared" si="47"/>
        <v>1576449681</v>
      </c>
    </row>
    <row r="3018" spans="1:7" x14ac:dyDescent="0.25">
      <c r="A3018">
        <v>1576450184</v>
      </c>
      <c r="B3018" t="s">
        <v>36392</v>
      </c>
      <c r="C3018">
        <v>399</v>
      </c>
      <c r="D3018">
        <v>1</v>
      </c>
      <c r="E3018">
        <v>3998</v>
      </c>
      <c r="F3018">
        <v>2770</v>
      </c>
      <c r="G3018">
        <f t="shared" si="47"/>
        <v>1576450184</v>
      </c>
    </row>
    <row r="3019" spans="1:7" x14ac:dyDescent="0.25">
      <c r="A3019">
        <v>1576450468</v>
      </c>
      <c r="B3019" t="s">
        <v>25986</v>
      </c>
      <c r="C3019">
        <v>4</v>
      </c>
      <c r="D3019">
        <v>10</v>
      </c>
      <c r="E3019">
        <v>47499</v>
      </c>
      <c r="F3019">
        <v>48</v>
      </c>
      <c r="G3019">
        <f t="shared" si="47"/>
        <v>1576450468</v>
      </c>
    </row>
    <row r="3020" spans="1:7" x14ac:dyDescent="0.25">
      <c r="A3020">
        <v>1576453294</v>
      </c>
      <c r="B3020" t="s">
        <v>25987</v>
      </c>
      <c r="C3020">
        <v>1535</v>
      </c>
      <c r="D3020">
        <v>1</v>
      </c>
      <c r="E3020">
        <v>2570</v>
      </c>
      <c r="F3020">
        <v>3112</v>
      </c>
      <c r="G3020">
        <f t="shared" si="47"/>
        <v>1576453294</v>
      </c>
    </row>
    <row r="3021" spans="1:7" x14ac:dyDescent="0.25">
      <c r="A3021">
        <v>1576453325</v>
      </c>
      <c r="B3021" t="s">
        <v>36393</v>
      </c>
      <c r="C3021">
        <v>0</v>
      </c>
      <c r="D3021">
        <v>0</v>
      </c>
      <c r="E3021">
        <v>0</v>
      </c>
      <c r="F3021">
        <v>7440</v>
      </c>
      <c r="G3021">
        <f t="shared" si="47"/>
        <v>1576453325</v>
      </c>
    </row>
    <row r="3022" spans="1:7" x14ac:dyDescent="0.25">
      <c r="A3022">
        <v>1576454274</v>
      </c>
      <c r="B3022" t="s">
        <v>25988</v>
      </c>
      <c r="C3022">
        <v>0</v>
      </c>
      <c r="D3022">
        <v>1</v>
      </c>
      <c r="E3022">
        <v>114</v>
      </c>
      <c r="F3022">
        <v>5802</v>
      </c>
      <c r="G3022">
        <f t="shared" si="47"/>
        <v>1576454274</v>
      </c>
    </row>
    <row r="3023" spans="1:7" x14ac:dyDescent="0.25">
      <c r="A3023">
        <v>1576454907</v>
      </c>
      <c r="B3023" t="s">
        <v>25989</v>
      </c>
      <c r="C3023">
        <v>1873</v>
      </c>
      <c r="D3023">
        <v>1</v>
      </c>
      <c r="E3023">
        <v>582</v>
      </c>
      <c r="F3023">
        <v>4492</v>
      </c>
      <c r="G3023">
        <f t="shared" si="47"/>
        <v>1576454907</v>
      </c>
    </row>
    <row r="3024" spans="1:7" x14ac:dyDescent="0.25">
      <c r="A3024">
        <v>1576455458</v>
      </c>
      <c r="B3024" t="s">
        <v>37290</v>
      </c>
      <c r="C3024">
        <v>0</v>
      </c>
      <c r="D3024">
        <v>1</v>
      </c>
      <c r="E3024">
        <v>661</v>
      </c>
      <c r="F3024">
        <v>4398</v>
      </c>
      <c r="G3024">
        <f t="shared" si="47"/>
        <v>1576455458</v>
      </c>
    </row>
    <row r="3025" spans="1:7" x14ac:dyDescent="0.25">
      <c r="A3025">
        <v>1576455813</v>
      </c>
      <c r="B3025" t="s">
        <v>25990</v>
      </c>
      <c r="C3025">
        <v>0</v>
      </c>
      <c r="D3025">
        <v>1</v>
      </c>
      <c r="E3025">
        <v>5936</v>
      </c>
      <c r="F3025">
        <v>2293</v>
      </c>
      <c r="G3025">
        <f t="shared" si="47"/>
        <v>1576455813</v>
      </c>
    </row>
    <row r="3026" spans="1:7" x14ac:dyDescent="0.25">
      <c r="A3026">
        <v>1576457532</v>
      </c>
      <c r="B3026" t="s">
        <v>36394</v>
      </c>
      <c r="C3026">
        <v>0</v>
      </c>
      <c r="D3026">
        <v>1</v>
      </c>
      <c r="E3026">
        <v>5021</v>
      </c>
      <c r="F3026">
        <v>2510</v>
      </c>
      <c r="G3026">
        <f t="shared" si="47"/>
        <v>1576457532</v>
      </c>
    </row>
    <row r="3027" spans="1:7" x14ac:dyDescent="0.25">
      <c r="A3027">
        <v>1576458993</v>
      </c>
      <c r="B3027" t="s">
        <v>36395</v>
      </c>
      <c r="C3027">
        <v>0</v>
      </c>
      <c r="D3027">
        <v>0</v>
      </c>
      <c r="E3027">
        <v>0</v>
      </c>
      <c r="F3027">
        <v>7441</v>
      </c>
      <c r="G3027">
        <f t="shared" si="47"/>
        <v>1576458993</v>
      </c>
    </row>
    <row r="3028" spans="1:7" x14ac:dyDescent="0.25">
      <c r="A3028">
        <v>1576459063</v>
      </c>
      <c r="B3028" t="s">
        <v>25991</v>
      </c>
      <c r="C3028">
        <v>1403</v>
      </c>
      <c r="D3028">
        <v>1</v>
      </c>
      <c r="E3028">
        <v>2670</v>
      </c>
      <c r="F3028">
        <v>3078</v>
      </c>
      <c r="G3028">
        <f t="shared" si="47"/>
        <v>1576459063</v>
      </c>
    </row>
    <row r="3029" spans="1:7" x14ac:dyDescent="0.25">
      <c r="A3029">
        <v>1576459834</v>
      </c>
      <c r="B3029" t="s">
        <v>25992</v>
      </c>
      <c r="C3029">
        <v>1972</v>
      </c>
      <c r="D3029">
        <v>5</v>
      </c>
      <c r="E3029">
        <v>22978</v>
      </c>
      <c r="F3029">
        <v>474</v>
      </c>
      <c r="G3029">
        <f t="shared" si="47"/>
        <v>1576459834</v>
      </c>
    </row>
    <row r="3030" spans="1:7" x14ac:dyDescent="0.25">
      <c r="A3030">
        <v>1576459902</v>
      </c>
      <c r="B3030" t="s">
        <v>25993</v>
      </c>
      <c r="C3030">
        <v>0</v>
      </c>
      <c r="D3030">
        <v>1</v>
      </c>
      <c r="E3030">
        <v>46</v>
      </c>
      <c r="F3030">
        <v>6218</v>
      </c>
      <c r="G3030">
        <f t="shared" si="47"/>
        <v>1576459902</v>
      </c>
    </row>
    <row r="3031" spans="1:7" x14ac:dyDescent="0.25">
      <c r="A3031">
        <v>1576460031</v>
      </c>
      <c r="B3031" t="s">
        <v>25994</v>
      </c>
      <c r="C3031">
        <v>422</v>
      </c>
      <c r="D3031">
        <v>2</v>
      </c>
      <c r="E3031">
        <v>10243</v>
      </c>
      <c r="F3031">
        <v>1534</v>
      </c>
      <c r="G3031">
        <f t="shared" si="47"/>
        <v>1576460031</v>
      </c>
    </row>
    <row r="3032" spans="1:7" x14ac:dyDescent="0.25">
      <c r="A3032">
        <v>1576460108</v>
      </c>
      <c r="B3032" t="s">
        <v>25995</v>
      </c>
      <c r="C3032">
        <v>39</v>
      </c>
      <c r="D3032">
        <v>2</v>
      </c>
      <c r="E3032">
        <v>7883</v>
      </c>
      <c r="F3032">
        <v>1907</v>
      </c>
      <c r="G3032">
        <f t="shared" si="47"/>
        <v>1576460108</v>
      </c>
    </row>
    <row r="3033" spans="1:7" x14ac:dyDescent="0.25">
      <c r="A3033">
        <v>1576461475</v>
      </c>
      <c r="B3033" t="s">
        <v>25996</v>
      </c>
      <c r="C3033">
        <v>0</v>
      </c>
      <c r="D3033">
        <v>0</v>
      </c>
      <c r="E3033">
        <v>0</v>
      </c>
      <c r="F3033">
        <v>7442</v>
      </c>
      <c r="G3033">
        <f t="shared" si="47"/>
        <v>1576461475</v>
      </c>
    </row>
    <row r="3034" spans="1:7" x14ac:dyDescent="0.25">
      <c r="A3034">
        <v>1576461762</v>
      </c>
      <c r="B3034" t="s">
        <v>36396</v>
      </c>
      <c r="C3034">
        <v>734</v>
      </c>
      <c r="D3034">
        <v>1</v>
      </c>
      <c r="E3034">
        <v>133</v>
      </c>
      <c r="F3034">
        <v>5767</v>
      </c>
      <c r="G3034">
        <f t="shared" si="47"/>
        <v>1576461762</v>
      </c>
    </row>
    <row r="3035" spans="1:7" x14ac:dyDescent="0.25">
      <c r="A3035">
        <v>1576462416</v>
      </c>
      <c r="B3035" t="s">
        <v>25997</v>
      </c>
      <c r="C3035">
        <v>325</v>
      </c>
      <c r="D3035">
        <v>0</v>
      </c>
      <c r="E3035">
        <v>0</v>
      </c>
      <c r="F3035">
        <v>7443</v>
      </c>
      <c r="G3035">
        <f t="shared" si="47"/>
        <v>1576462416</v>
      </c>
    </row>
    <row r="3036" spans="1:7" x14ac:dyDescent="0.25">
      <c r="A3036">
        <v>1576462603</v>
      </c>
      <c r="B3036" t="s">
        <v>25998</v>
      </c>
      <c r="C3036">
        <v>278</v>
      </c>
      <c r="D3036">
        <v>1</v>
      </c>
      <c r="E3036">
        <v>935</v>
      </c>
      <c r="F3036">
        <v>4060</v>
      </c>
      <c r="G3036">
        <f t="shared" si="47"/>
        <v>1576462603</v>
      </c>
    </row>
    <row r="3037" spans="1:7" x14ac:dyDescent="0.25">
      <c r="A3037">
        <v>1576462867</v>
      </c>
      <c r="B3037" t="s">
        <v>25999</v>
      </c>
      <c r="C3037">
        <v>0</v>
      </c>
      <c r="D3037">
        <v>1</v>
      </c>
      <c r="E3037">
        <v>26</v>
      </c>
      <c r="F3037">
        <v>6545</v>
      </c>
      <c r="G3037">
        <f t="shared" si="47"/>
        <v>1576462867</v>
      </c>
    </row>
    <row r="3038" spans="1:7" x14ac:dyDescent="0.25">
      <c r="A3038">
        <v>1576463784</v>
      </c>
      <c r="B3038" t="s">
        <v>26000</v>
      </c>
      <c r="C3038">
        <v>0</v>
      </c>
      <c r="D3038">
        <v>1</v>
      </c>
      <c r="E3038">
        <v>77</v>
      </c>
      <c r="F3038">
        <v>5993</v>
      </c>
      <c r="G3038">
        <f t="shared" si="47"/>
        <v>1576463784</v>
      </c>
    </row>
    <row r="3039" spans="1:7" x14ac:dyDescent="0.25">
      <c r="A3039">
        <v>1576463812</v>
      </c>
      <c r="B3039" t="s">
        <v>4169</v>
      </c>
      <c r="C3039">
        <v>0</v>
      </c>
      <c r="D3039">
        <v>1</v>
      </c>
      <c r="E3039">
        <v>328</v>
      </c>
      <c r="F3039">
        <v>5043</v>
      </c>
      <c r="G3039">
        <f t="shared" si="47"/>
        <v>1576463812</v>
      </c>
    </row>
    <row r="3040" spans="1:7" x14ac:dyDescent="0.25">
      <c r="A3040">
        <v>1576464486</v>
      </c>
      <c r="B3040" t="s">
        <v>36397</v>
      </c>
      <c r="C3040">
        <v>1867</v>
      </c>
      <c r="D3040">
        <v>1</v>
      </c>
      <c r="E3040">
        <v>354</v>
      </c>
      <c r="F3040">
        <v>4968</v>
      </c>
      <c r="G3040">
        <f t="shared" si="47"/>
        <v>1576464486</v>
      </c>
    </row>
    <row r="3041" spans="1:7" x14ac:dyDescent="0.25">
      <c r="A3041">
        <v>1576464597</v>
      </c>
      <c r="B3041" t="s">
        <v>26001</v>
      </c>
      <c r="C3041">
        <v>0</v>
      </c>
      <c r="D3041">
        <v>1</v>
      </c>
      <c r="E3041">
        <v>26</v>
      </c>
      <c r="F3041">
        <v>6546</v>
      </c>
      <c r="G3041">
        <f t="shared" si="47"/>
        <v>1576464597</v>
      </c>
    </row>
    <row r="3042" spans="1:7" x14ac:dyDescent="0.25">
      <c r="A3042">
        <v>1576465907</v>
      </c>
      <c r="B3042" t="s">
        <v>26002</v>
      </c>
      <c r="C3042">
        <v>552</v>
      </c>
      <c r="D3042">
        <v>7</v>
      </c>
      <c r="E3042">
        <v>28468</v>
      </c>
      <c r="F3042">
        <v>285</v>
      </c>
      <c r="G3042">
        <f t="shared" si="47"/>
        <v>1576465907</v>
      </c>
    </row>
    <row r="3043" spans="1:7" x14ac:dyDescent="0.25">
      <c r="A3043">
        <v>1576469182</v>
      </c>
      <c r="B3043" t="s">
        <v>26003</v>
      </c>
      <c r="C3043">
        <v>0</v>
      </c>
      <c r="D3043">
        <v>1</v>
      </c>
      <c r="E3043">
        <v>365</v>
      </c>
      <c r="F3043">
        <v>4949</v>
      </c>
      <c r="G3043">
        <f t="shared" si="47"/>
        <v>1576469182</v>
      </c>
    </row>
    <row r="3044" spans="1:7" x14ac:dyDescent="0.25">
      <c r="A3044">
        <v>1576469546</v>
      </c>
      <c r="B3044" t="s">
        <v>36398</v>
      </c>
      <c r="C3044">
        <v>0</v>
      </c>
      <c r="D3044">
        <v>0</v>
      </c>
      <c r="E3044">
        <v>0</v>
      </c>
      <c r="F3044">
        <v>7444</v>
      </c>
      <c r="G3044">
        <f t="shared" si="47"/>
        <v>1576469546</v>
      </c>
    </row>
    <row r="3045" spans="1:7" x14ac:dyDescent="0.25">
      <c r="A3045">
        <v>1576469682</v>
      </c>
      <c r="B3045" t="s">
        <v>26004</v>
      </c>
      <c r="C3045">
        <v>55</v>
      </c>
      <c r="D3045">
        <v>1</v>
      </c>
      <c r="E3045">
        <v>962</v>
      </c>
      <c r="F3045">
        <v>4061</v>
      </c>
      <c r="G3045">
        <f t="shared" si="47"/>
        <v>1576469682</v>
      </c>
    </row>
    <row r="3046" spans="1:7" x14ac:dyDescent="0.25">
      <c r="A3046">
        <v>1576469773</v>
      </c>
      <c r="B3046" t="s">
        <v>26005</v>
      </c>
      <c r="C3046">
        <v>0</v>
      </c>
      <c r="D3046">
        <v>1</v>
      </c>
      <c r="E3046">
        <v>26</v>
      </c>
      <c r="F3046">
        <v>6547</v>
      </c>
      <c r="G3046">
        <f t="shared" si="47"/>
        <v>1576469773</v>
      </c>
    </row>
    <row r="3047" spans="1:7" x14ac:dyDescent="0.25">
      <c r="A3047">
        <v>1576469799</v>
      </c>
      <c r="B3047" t="s">
        <v>26006</v>
      </c>
      <c r="C3047">
        <v>20</v>
      </c>
      <c r="D3047">
        <v>6</v>
      </c>
      <c r="E3047">
        <v>35076</v>
      </c>
      <c r="F3047">
        <v>148</v>
      </c>
      <c r="G3047">
        <f t="shared" si="47"/>
        <v>1576469799</v>
      </c>
    </row>
    <row r="3048" spans="1:7" x14ac:dyDescent="0.25">
      <c r="A3048">
        <v>1576470429</v>
      </c>
      <c r="B3048" t="s">
        <v>26007</v>
      </c>
      <c r="C3048">
        <v>0</v>
      </c>
      <c r="D3048">
        <v>0</v>
      </c>
      <c r="E3048">
        <v>0</v>
      </c>
      <c r="F3048">
        <v>7445</v>
      </c>
      <c r="G3048">
        <f t="shared" si="47"/>
        <v>1576470429</v>
      </c>
    </row>
    <row r="3049" spans="1:7" x14ac:dyDescent="0.25">
      <c r="A3049">
        <v>1576471055</v>
      </c>
      <c r="B3049" t="s">
        <v>26008</v>
      </c>
      <c r="C3049">
        <v>3</v>
      </c>
      <c r="D3049">
        <v>5</v>
      </c>
      <c r="E3049">
        <v>25210</v>
      </c>
      <c r="F3049">
        <v>388</v>
      </c>
      <c r="G3049">
        <f t="shared" si="47"/>
        <v>1576471055</v>
      </c>
    </row>
    <row r="3050" spans="1:7" x14ac:dyDescent="0.25">
      <c r="A3050">
        <v>1576472084</v>
      </c>
      <c r="B3050" t="s">
        <v>26009</v>
      </c>
      <c r="C3050">
        <v>189</v>
      </c>
      <c r="D3050">
        <v>4</v>
      </c>
      <c r="E3050">
        <v>13784</v>
      </c>
      <c r="F3050">
        <v>1096</v>
      </c>
      <c r="G3050">
        <f t="shared" si="47"/>
        <v>1576472084</v>
      </c>
    </row>
    <row r="3051" spans="1:7" x14ac:dyDescent="0.25">
      <c r="A3051">
        <v>1576472376</v>
      </c>
      <c r="B3051" t="s">
        <v>26010</v>
      </c>
      <c r="C3051">
        <v>422</v>
      </c>
      <c r="D3051">
        <v>1</v>
      </c>
      <c r="E3051">
        <v>6703</v>
      </c>
      <c r="F3051">
        <v>2117</v>
      </c>
      <c r="G3051">
        <f t="shared" si="47"/>
        <v>1576472376</v>
      </c>
    </row>
    <row r="3052" spans="1:7" x14ac:dyDescent="0.25">
      <c r="A3052">
        <v>1576473817</v>
      </c>
      <c r="B3052" t="s">
        <v>26011</v>
      </c>
      <c r="C3052">
        <v>494</v>
      </c>
      <c r="D3052">
        <v>3</v>
      </c>
      <c r="E3052">
        <v>10581</v>
      </c>
      <c r="F3052">
        <v>1484</v>
      </c>
      <c r="G3052">
        <f t="shared" si="47"/>
        <v>1576473817</v>
      </c>
    </row>
    <row r="3053" spans="1:7" x14ac:dyDescent="0.25">
      <c r="A3053">
        <v>1576475655</v>
      </c>
      <c r="B3053" t="s">
        <v>36399</v>
      </c>
      <c r="C3053">
        <v>0</v>
      </c>
      <c r="D3053">
        <v>1</v>
      </c>
      <c r="E3053">
        <v>50</v>
      </c>
      <c r="F3053">
        <v>6181</v>
      </c>
      <c r="G3053">
        <f t="shared" si="47"/>
        <v>1576475655</v>
      </c>
    </row>
    <row r="3054" spans="1:7" x14ac:dyDescent="0.25">
      <c r="A3054">
        <v>1576475878</v>
      </c>
      <c r="B3054" t="s">
        <v>26012</v>
      </c>
      <c r="C3054">
        <v>149</v>
      </c>
      <c r="D3054">
        <v>0</v>
      </c>
      <c r="E3054">
        <v>0</v>
      </c>
      <c r="F3054">
        <v>7446</v>
      </c>
      <c r="G3054">
        <f t="shared" si="47"/>
        <v>1576475878</v>
      </c>
    </row>
    <row r="3055" spans="1:7" x14ac:dyDescent="0.25">
      <c r="A3055">
        <v>1576476295</v>
      </c>
      <c r="B3055" t="s">
        <v>26013</v>
      </c>
      <c r="C3055">
        <v>0</v>
      </c>
      <c r="D3055">
        <v>1</v>
      </c>
      <c r="E3055">
        <v>38</v>
      </c>
      <c r="F3055">
        <v>6272</v>
      </c>
      <c r="G3055">
        <f t="shared" si="47"/>
        <v>1576476295</v>
      </c>
    </row>
    <row r="3056" spans="1:7" x14ac:dyDescent="0.25">
      <c r="A3056">
        <v>1576477166</v>
      </c>
      <c r="B3056" t="s">
        <v>26014</v>
      </c>
      <c r="C3056">
        <v>0</v>
      </c>
      <c r="D3056">
        <v>1</v>
      </c>
      <c r="E3056">
        <v>2625</v>
      </c>
      <c r="F3056">
        <v>3091</v>
      </c>
      <c r="G3056">
        <f t="shared" si="47"/>
        <v>1576477166</v>
      </c>
    </row>
    <row r="3057" spans="1:7" x14ac:dyDescent="0.25">
      <c r="A3057">
        <v>1576477906</v>
      </c>
      <c r="B3057" t="s">
        <v>26015</v>
      </c>
      <c r="C3057">
        <v>0</v>
      </c>
      <c r="D3057">
        <v>0</v>
      </c>
      <c r="E3057">
        <v>0</v>
      </c>
      <c r="F3057">
        <v>7447</v>
      </c>
      <c r="G3057">
        <f t="shared" si="47"/>
        <v>1576477906</v>
      </c>
    </row>
    <row r="3058" spans="1:7" x14ac:dyDescent="0.25">
      <c r="A3058">
        <v>1576477994</v>
      </c>
      <c r="B3058" t="s">
        <v>26016</v>
      </c>
      <c r="C3058">
        <v>122</v>
      </c>
      <c r="D3058">
        <v>6</v>
      </c>
      <c r="E3058">
        <v>31167</v>
      </c>
      <c r="F3058">
        <v>222</v>
      </c>
      <c r="G3058">
        <f t="shared" si="47"/>
        <v>1576477994</v>
      </c>
    </row>
    <row r="3059" spans="1:7" x14ac:dyDescent="0.25">
      <c r="A3059">
        <v>1576478650</v>
      </c>
      <c r="B3059" t="s">
        <v>26017</v>
      </c>
      <c r="C3059">
        <v>480</v>
      </c>
      <c r="D3059">
        <v>3</v>
      </c>
      <c r="E3059">
        <v>10475</v>
      </c>
      <c r="F3059">
        <v>1512</v>
      </c>
      <c r="G3059">
        <f t="shared" si="47"/>
        <v>1576478650</v>
      </c>
    </row>
    <row r="3060" spans="1:7" x14ac:dyDescent="0.25">
      <c r="A3060">
        <v>1576479132</v>
      </c>
      <c r="B3060" t="s">
        <v>26018</v>
      </c>
      <c r="C3060">
        <v>1100</v>
      </c>
      <c r="D3060">
        <v>1</v>
      </c>
      <c r="E3060">
        <v>4512</v>
      </c>
      <c r="F3060">
        <v>2643</v>
      </c>
      <c r="G3060">
        <f t="shared" si="47"/>
        <v>1576479132</v>
      </c>
    </row>
    <row r="3061" spans="1:7" x14ac:dyDescent="0.25">
      <c r="A3061">
        <v>1576479228</v>
      </c>
      <c r="B3061" t="s">
        <v>36400</v>
      </c>
      <c r="C3061">
        <v>1403</v>
      </c>
      <c r="D3061">
        <v>1</v>
      </c>
      <c r="E3061">
        <v>3170</v>
      </c>
      <c r="F3061">
        <v>2949</v>
      </c>
      <c r="G3061">
        <f t="shared" si="47"/>
        <v>1576479228</v>
      </c>
    </row>
    <row r="3062" spans="1:7" x14ac:dyDescent="0.25">
      <c r="A3062">
        <v>1576483653</v>
      </c>
      <c r="B3062" t="s">
        <v>26019</v>
      </c>
      <c r="C3062">
        <v>271</v>
      </c>
      <c r="D3062">
        <v>3</v>
      </c>
      <c r="E3062">
        <v>6108</v>
      </c>
      <c r="F3062">
        <v>2266</v>
      </c>
      <c r="G3062">
        <f t="shared" si="47"/>
        <v>1576483653</v>
      </c>
    </row>
    <row r="3063" spans="1:7" x14ac:dyDescent="0.25">
      <c r="A3063">
        <v>1576484680</v>
      </c>
      <c r="B3063" t="s">
        <v>26020</v>
      </c>
      <c r="C3063">
        <v>0</v>
      </c>
      <c r="D3063">
        <v>0</v>
      </c>
      <c r="E3063">
        <v>0</v>
      </c>
      <c r="F3063">
        <v>7448</v>
      </c>
      <c r="G3063">
        <f t="shared" si="47"/>
        <v>1576484680</v>
      </c>
    </row>
    <row r="3064" spans="1:7" x14ac:dyDescent="0.25">
      <c r="A3064">
        <v>1576484839</v>
      </c>
      <c r="B3064" t="s">
        <v>26021</v>
      </c>
      <c r="C3064">
        <v>0</v>
      </c>
      <c r="D3064">
        <v>1</v>
      </c>
      <c r="E3064">
        <v>26</v>
      </c>
      <c r="F3064">
        <v>6548</v>
      </c>
      <c r="G3064">
        <f t="shared" si="47"/>
        <v>1576484839</v>
      </c>
    </row>
    <row r="3065" spans="1:7" x14ac:dyDescent="0.25">
      <c r="A3065">
        <v>1576485060</v>
      </c>
      <c r="B3065" t="s">
        <v>26022</v>
      </c>
      <c r="C3065">
        <v>0</v>
      </c>
      <c r="D3065">
        <v>1</v>
      </c>
      <c r="E3065">
        <v>4745</v>
      </c>
      <c r="F3065">
        <v>2563</v>
      </c>
      <c r="G3065">
        <f t="shared" si="47"/>
        <v>1576485060</v>
      </c>
    </row>
    <row r="3066" spans="1:7" x14ac:dyDescent="0.25">
      <c r="A3066">
        <v>1576487111</v>
      </c>
      <c r="B3066" t="s">
        <v>26023</v>
      </c>
      <c r="C3066">
        <v>228</v>
      </c>
      <c r="D3066">
        <v>0</v>
      </c>
      <c r="E3066">
        <v>0</v>
      </c>
      <c r="F3066">
        <v>7449</v>
      </c>
      <c r="G3066">
        <f t="shared" si="47"/>
        <v>1576487111</v>
      </c>
    </row>
    <row r="3067" spans="1:7" x14ac:dyDescent="0.25">
      <c r="A3067">
        <v>1576487284</v>
      </c>
      <c r="B3067" t="s">
        <v>26024</v>
      </c>
      <c r="C3067">
        <v>320</v>
      </c>
      <c r="D3067">
        <v>1</v>
      </c>
      <c r="E3067">
        <v>702</v>
      </c>
      <c r="F3067">
        <v>4340</v>
      </c>
      <c r="G3067">
        <f t="shared" si="47"/>
        <v>1576487284</v>
      </c>
    </row>
    <row r="3068" spans="1:7" x14ac:dyDescent="0.25">
      <c r="A3068">
        <v>1576490123</v>
      </c>
      <c r="B3068" t="s">
        <v>26025</v>
      </c>
      <c r="C3068">
        <v>1916</v>
      </c>
      <c r="D3068">
        <v>1</v>
      </c>
      <c r="E3068">
        <v>424</v>
      </c>
      <c r="F3068">
        <v>4794</v>
      </c>
      <c r="G3068">
        <f t="shared" si="47"/>
        <v>1576490123</v>
      </c>
    </row>
    <row r="3069" spans="1:7" x14ac:dyDescent="0.25">
      <c r="A3069">
        <v>1576491348</v>
      </c>
      <c r="B3069" t="s">
        <v>26026</v>
      </c>
      <c r="C3069">
        <v>0</v>
      </c>
      <c r="D3069">
        <v>4</v>
      </c>
      <c r="E3069">
        <v>6970</v>
      </c>
      <c r="F3069">
        <v>2066</v>
      </c>
      <c r="G3069">
        <f t="shared" si="47"/>
        <v>1576491348</v>
      </c>
    </row>
    <row r="3070" spans="1:7" x14ac:dyDescent="0.25">
      <c r="A3070">
        <v>1576492004</v>
      </c>
      <c r="B3070" t="s">
        <v>26027</v>
      </c>
      <c r="C3070">
        <v>1972</v>
      </c>
      <c r="D3070">
        <v>3</v>
      </c>
      <c r="E3070">
        <v>16644</v>
      </c>
      <c r="F3070">
        <v>855</v>
      </c>
      <c r="G3070">
        <f t="shared" si="47"/>
        <v>1576492004</v>
      </c>
    </row>
    <row r="3071" spans="1:7" x14ac:dyDescent="0.25">
      <c r="A3071">
        <v>1576492328</v>
      </c>
      <c r="B3071" t="s">
        <v>36401</v>
      </c>
      <c r="C3071">
        <v>1766</v>
      </c>
      <c r="D3071">
        <v>1</v>
      </c>
      <c r="E3071">
        <v>26</v>
      </c>
      <c r="F3071">
        <v>6549</v>
      </c>
      <c r="G3071">
        <f t="shared" si="47"/>
        <v>1576492328</v>
      </c>
    </row>
    <row r="3072" spans="1:7" x14ac:dyDescent="0.25">
      <c r="A3072">
        <v>1576493594</v>
      </c>
      <c r="B3072" t="s">
        <v>26028</v>
      </c>
      <c r="C3072">
        <v>537</v>
      </c>
      <c r="D3072">
        <v>5</v>
      </c>
      <c r="E3072">
        <v>21002</v>
      </c>
      <c r="F3072">
        <v>568</v>
      </c>
      <c r="G3072">
        <f t="shared" si="47"/>
        <v>1576493594</v>
      </c>
    </row>
    <row r="3073" spans="1:7" x14ac:dyDescent="0.25">
      <c r="A3073">
        <v>1576493721</v>
      </c>
      <c r="B3073" t="s">
        <v>26029</v>
      </c>
      <c r="C3073">
        <v>0</v>
      </c>
      <c r="D3073">
        <v>0</v>
      </c>
      <c r="E3073">
        <v>0</v>
      </c>
      <c r="F3073">
        <v>7450</v>
      </c>
      <c r="G3073">
        <f t="shared" ref="G3073:G3136" si="48">A3073</f>
        <v>1576493721</v>
      </c>
    </row>
    <row r="3074" spans="1:7" x14ac:dyDescent="0.25">
      <c r="A3074">
        <v>1576493863</v>
      </c>
      <c r="B3074" t="s">
        <v>26030</v>
      </c>
      <c r="C3074">
        <v>131</v>
      </c>
      <c r="D3074">
        <v>1</v>
      </c>
      <c r="E3074">
        <v>4489</v>
      </c>
      <c r="F3074">
        <v>2623</v>
      </c>
      <c r="G3074">
        <f t="shared" si="48"/>
        <v>1576493863</v>
      </c>
    </row>
    <row r="3075" spans="1:7" x14ac:dyDescent="0.25">
      <c r="A3075">
        <v>1576494337</v>
      </c>
      <c r="B3075" t="s">
        <v>26031</v>
      </c>
      <c r="C3075">
        <v>0</v>
      </c>
      <c r="D3075">
        <v>0</v>
      </c>
      <c r="E3075">
        <v>0</v>
      </c>
      <c r="F3075">
        <v>7451</v>
      </c>
      <c r="G3075">
        <f t="shared" si="48"/>
        <v>1576494337</v>
      </c>
    </row>
    <row r="3076" spans="1:7" x14ac:dyDescent="0.25">
      <c r="A3076">
        <v>1576495333</v>
      </c>
      <c r="B3076" t="s">
        <v>26032</v>
      </c>
      <c r="C3076">
        <v>96</v>
      </c>
      <c r="D3076">
        <v>2</v>
      </c>
      <c r="E3076">
        <v>10647</v>
      </c>
      <c r="F3076">
        <v>1474</v>
      </c>
      <c r="G3076">
        <f t="shared" si="48"/>
        <v>1576495333</v>
      </c>
    </row>
    <row r="3077" spans="1:7" x14ac:dyDescent="0.25">
      <c r="A3077">
        <v>1576496022</v>
      </c>
      <c r="B3077" t="s">
        <v>36402</v>
      </c>
      <c r="C3077">
        <v>0</v>
      </c>
      <c r="D3077">
        <v>1</v>
      </c>
      <c r="E3077">
        <v>466</v>
      </c>
      <c r="F3077">
        <v>4707</v>
      </c>
      <c r="G3077">
        <f t="shared" si="48"/>
        <v>1576496022</v>
      </c>
    </row>
    <row r="3078" spans="1:7" x14ac:dyDescent="0.25">
      <c r="A3078">
        <v>1576497823</v>
      </c>
      <c r="B3078" t="s">
        <v>26033</v>
      </c>
      <c r="C3078">
        <v>0</v>
      </c>
      <c r="D3078">
        <v>1</v>
      </c>
      <c r="E3078">
        <v>26</v>
      </c>
      <c r="F3078">
        <v>6550</v>
      </c>
      <c r="G3078">
        <f t="shared" si="48"/>
        <v>1576497823</v>
      </c>
    </row>
    <row r="3079" spans="1:7" x14ac:dyDescent="0.25">
      <c r="A3079">
        <v>1576499087</v>
      </c>
      <c r="B3079" t="s">
        <v>26034</v>
      </c>
      <c r="C3079">
        <v>0</v>
      </c>
      <c r="D3079">
        <v>0</v>
      </c>
      <c r="E3079">
        <v>0</v>
      </c>
      <c r="F3079">
        <v>7452</v>
      </c>
      <c r="G3079">
        <f t="shared" si="48"/>
        <v>1576499087</v>
      </c>
    </row>
    <row r="3080" spans="1:7" x14ac:dyDescent="0.25">
      <c r="A3080">
        <v>1576499820</v>
      </c>
      <c r="B3080" t="s">
        <v>26035</v>
      </c>
      <c r="C3080">
        <v>0</v>
      </c>
      <c r="D3080">
        <v>1</v>
      </c>
      <c r="E3080">
        <v>414</v>
      </c>
      <c r="F3080">
        <v>4817</v>
      </c>
      <c r="G3080">
        <f t="shared" si="48"/>
        <v>1576499820</v>
      </c>
    </row>
    <row r="3081" spans="1:7" x14ac:dyDescent="0.25">
      <c r="A3081">
        <v>1576499941</v>
      </c>
      <c r="B3081" t="s">
        <v>26036</v>
      </c>
      <c r="C3081">
        <v>58</v>
      </c>
      <c r="D3081">
        <v>4</v>
      </c>
      <c r="E3081">
        <v>20753</v>
      </c>
      <c r="F3081">
        <v>584</v>
      </c>
      <c r="G3081">
        <f t="shared" si="48"/>
        <v>1576499941</v>
      </c>
    </row>
    <row r="3082" spans="1:7" x14ac:dyDescent="0.25">
      <c r="A3082">
        <v>1576500131</v>
      </c>
      <c r="B3082" t="s">
        <v>26037</v>
      </c>
      <c r="C3082">
        <v>1885</v>
      </c>
      <c r="D3082">
        <v>1</v>
      </c>
      <c r="E3082">
        <v>602</v>
      </c>
      <c r="F3082">
        <v>4466</v>
      </c>
      <c r="G3082">
        <f t="shared" si="48"/>
        <v>1576500131</v>
      </c>
    </row>
    <row r="3083" spans="1:7" x14ac:dyDescent="0.25">
      <c r="A3083">
        <v>1576500302</v>
      </c>
      <c r="B3083" t="s">
        <v>26038</v>
      </c>
      <c r="C3083">
        <v>58</v>
      </c>
      <c r="D3083">
        <v>3</v>
      </c>
      <c r="E3083">
        <v>16907</v>
      </c>
      <c r="F3083">
        <v>834</v>
      </c>
      <c r="G3083">
        <f t="shared" si="48"/>
        <v>1576500302</v>
      </c>
    </row>
    <row r="3084" spans="1:7" x14ac:dyDescent="0.25">
      <c r="A3084">
        <v>1576500928</v>
      </c>
      <c r="B3084" t="s">
        <v>26039</v>
      </c>
      <c r="C3084">
        <v>1019</v>
      </c>
      <c r="D3084">
        <v>2</v>
      </c>
      <c r="E3084">
        <v>8552</v>
      </c>
      <c r="F3084">
        <v>1796</v>
      </c>
      <c r="G3084">
        <f t="shared" si="48"/>
        <v>1576500928</v>
      </c>
    </row>
    <row r="3085" spans="1:7" x14ac:dyDescent="0.25">
      <c r="A3085">
        <v>1576501444</v>
      </c>
      <c r="B3085" t="s">
        <v>37291</v>
      </c>
      <c r="C3085">
        <v>26</v>
      </c>
      <c r="D3085">
        <v>5</v>
      </c>
      <c r="E3085">
        <v>22106</v>
      </c>
      <c r="F3085">
        <v>515</v>
      </c>
      <c r="G3085">
        <f t="shared" si="48"/>
        <v>1576501444</v>
      </c>
    </row>
    <row r="3086" spans="1:7" x14ac:dyDescent="0.25">
      <c r="A3086">
        <v>1576501619</v>
      </c>
      <c r="B3086" t="s">
        <v>26040</v>
      </c>
      <c r="C3086">
        <v>0</v>
      </c>
      <c r="D3086">
        <v>1</v>
      </c>
      <c r="E3086">
        <v>223</v>
      </c>
      <c r="F3086">
        <v>5421</v>
      </c>
      <c r="G3086">
        <f t="shared" si="48"/>
        <v>1576501619</v>
      </c>
    </row>
    <row r="3087" spans="1:7" x14ac:dyDescent="0.25">
      <c r="A3087">
        <v>1576501978</v>
      </c>
      <c r="B3087" t="s">
        <v>26041</v>
      </c>
      <c r="C3087">
        <v>0</v>
      </c>
      <c r="D3087">
        <v>1</v>
      </c>
      <c r="E3087">
        <v>26</v>
      </c>
      <c r="F3087">
        <v>6551</v>
      </c>
      <c r="G3087">
        <f t="shared" si="48"/>
        <v>1576501978</v>
      </c>
    </row>
    <row r="3088" spans="1:7" x14ac:dyDescent="0.25">
      <c r="A3088">
        <v>1576501987</v>
      </c>
      <c r="B3088" t="s">
        <v>26042</v>
      </c>
      <c r="C3088">
        <v>0</v>
      </c>
      <c r="D3088">
        <v>1</v>
      </c>
      <c r="E3088">
        <v>26</v>
      </c>
      <c r="F3088">
        <v>6552</v>
      </c>
      <c r="G3088">
        <f t="shared" si="48"/>
        <v>1576501987</v>
      </c>
    </row>
    <row r="3089" spans="1:7" x14ac:dyDescent="0.25">
      <c r="A3089">
        <v>1576502340</v>
      </c>
      <c r="B3089" t="s">
        <v>26043</v>
      </c>
      <c r="C3089">
        <v>118</v>
      </c>
      <c r="D3089">
        <v>1</v>
      </c>
      <c r="E3089">
        <v>4513</v>
      </c>
      <c r="F3089">
        <v>2614</v>
      </c>
      <c r="G3089">
        <f t="shared" si="48"/>
        <v>1576502340</v>
      </c>
    </row>
    <row r="3090" spans="1:7" x14ac:dyDescent="0.25">
      <c r="A3090">
        <v>1576502624</v>
      </c>
      <c r="B3090" t="s">
        <v>26044</v>
      </c>
      <c r="C3090">
        <v>126</v>
      </c>
      <c r="D3090">
        <v>6</v>
      </c>
      <c r="E3090">
        <v>31344</v>
      </c>
      <c r="F3090">
        <v>221</v>
      </c>
      <c r="G3090">
        <f t="shared" si="48"/>
        <v>1576502624</v>
      </c>
    </row>
    <row r="3091" spans="1:7" x14ac:dyDescent="0.25">
      <c r="A3091">
        <v>1576502833</v>
      </c>
      <c r="B3091" t="s">
        <v>26045</v>
      </c>
      <c r="C3091">
        <v>1403</v>
      </c>
      <c r="D3091">
        <v>4</v>
      </c>
      <c r="E3091">
        <v>14344</v>
      </c>
      <c r="F3091">
        <v>1054</v>
      </c>
      <c r="G3091">
        <f t="shared" si="48"/>
        <v>1576502833</v>
      </c>
    </row>
    <row r="3092" spans="1:7" x14ac:dyDescent="0.25">
      <c r="A3092">
        <v>1576503614</v>
      </c>
      <c r="B3092" t="s">
        <v>26046</v>
      </c>
      <c r="C3092">
        <v>0</v>
      </c>
      <c r="D3092">
        <v>1</v>
      </c>
      <c r="E3092">
        <v>300</v>
      </c>
      <c r="F3092">
        <v>5140</v>
      </c>
      <c r="G3092">
        <f t="shared" si="48"/>
        <v>1576503614</v>
      </c>
    </row>
    <row r="3093" spans="1:7" x14ac:dyDescent="0.25">
      <c r="A3093">
        <v>1576503740</v>
      </c>
      <c r="B3093" t="s">
        <v>26047</v>
      </c>
      <c r="C3093">
        <v>413</v>
      </c>
      <c r="D3093">
        <v>1</v>
      </c>
      <c r="E3093">
        <v>4938</v>
      </c>
      <c r="F3093">
        <v>2526</v>
      </c>
      <c r="G3093">
        <f t="shared" si="48"/>
        <v>1576503740</v>
      </c>
    </row>
    <row r="3094" spans="1:7" x14ac:dyDescent="0.25">
      <c r="A3094">
        <v>1576504294</v>
      </c>
      <c r="B3094" t="s">
        <v>26048</v>
      </c>
      <c r="C3094">
        <v>0</v>
      </c>
      <c r="D3094">
        <v>1</v>
      </c>
      <c r="E3094">
        <v>26</v>
      </c>
      <c r="F3094">
        <v>6553</v>
      </c>
      <c r="G3094">
        <f t="shared" si="48"/>
        <v>1576504294</v>
      </c>
    </row>
    <row r="3095" spans="1:7" x14ac:dyDescent="0.25">
      <c r="A3095">
        <v>1576504446</v>
      </c>
      <c r="B3095" t="s">
        <v>36403</v>
      </c>
      <c r="C3095">
        <v>0</v>
      </c>
      <c r="D3095">
        <v>1</v>
      </c>
      <c r="E3095">
        <v>244</v>
      </c>
      <c r="F3095">
        <v>5330</v>
      </c>
      <c r="G3095">
        <f t="shared" si="48"/>
        <v>1576504446</v>
      </c>
    </row>
    <row r="3096" spans="1:7" x14ac:dyDescent="0.25">
      <c r="A3096">
        <v>1576505643</v>
      </c>
      <c r="B3096" t="s">
        <v>36404</v>
      </c>
      <c r="C3096">
        <v>55</v>
      </c>
      <c r="D3096">
        <v>1</v>
      </c>
      <c r="E3096">
        <v>336</v>
      </c>
      <c r="F3096">
        <v>5027</v>
      </c>
      <c r="G3096">
        <f t="shared" si="48"/>
        <v>1576505643</v>
      </c>
    </row>
    <row r="3097" spans="1:7" x14ac:dyDescent="0.25">
      <c r="A3097">
        <v>1576508063</v>
      </c>
      <c r="B3097" t="s">
        <v>26049</v>
      </c>
      <c r="C3097">
        <v>0</v>
      </c>
      <c r="D3097">
        <v>0</v>
      </c>
      <c r="E3097">
        <v>0</v>
      </c>
      <c r="F3097">
        <v>7453</v>
      </c>
      <c r="G3097">
        <f t="shared" si="48"/>
        <v>1576508063</v>
      </c>
    </row>
    <row r="3098" spans="1:7" x14ac:dyDescent="0.25">
      <c r="A3098">
        <v>1576508504</v>
      </c>
      <c r="B3098" t="s">
        <v>26050</v>
      </c>
      <c r="C3098">
        <v>205</v>
      </c>
      <c r="D3098">
        <v>1</v>
      </c>
      <c r="E3098">
        <v>693</v>
      </c>
      <c r="F3098">
        <v>4353</v>
      </c>
      <c r="G3098">
        <f t="shared" si="48"/>
        <v>1576508504</v>
      </c>
    </row>
    <row r="3099" spans="1:7" x14ac:dyDescent="0.25">
      <c r="A3099">
        <v>1576509570</v>
      </c>
      <c r="B3099" t="s">
        <v>26051</v>
      </c>
      <c r="C3099">
        <v>0</v>
      </c>
      <c r="D3099">
        <v>0</v>
      </c>
      <c r="E3099">
        <v>0</v>
      </c>
      <c r="F3099">
        <v>7454</v>
      </c>
      <c r="G3099">
        <f t="shared" si="48"/>
        <v>1576509570</v>
      </c>
    </row>
    <row r="3100" spans="1:7" x14ac:dyDescent="0.25">
      <c r="A3100">
        <v>1576510718</v>
      </c>
      <c r="B3100" t="s">
        <v>26052</v>
      </c>
      <c r="C3100">
        <v>409</v>
      </c>
      <c r="D3100">
        <v>6</v>
      </c>
      <c r="E3100">
        <v>36290</v>
      </c>
      <c r="F3100">
        <v>133</v>
      </c>
      <c r="G3100">
        <f t="shared" si="48"/>
        <v>1576510718</v>
      </c>
    </row>
    <row r="3101" spans="1:7" x14ac:dyDescent="0.25">
      <c r="A3101">
        <v>1576511583</v>
      </c>
      <c r="B3101" t="s">
        <v>26053</v>
      </c>
      <c r="C3101">
        <v>480</v>
      </c>
      <c r="D3101">
        <v>2</v>
      </c>
      <c r="E3101">
        <v>7410</v>
      </c>
      <c r="F3101">
        <v>1992</v>
      </c>
      <c r="G3101">
        <f t="shared" si="48"/>
        <v>1576511583</v>
      </c>
    </row>
    <row r="3102" spans="1:7" x14ac:dyDescent="0.25">
      <c r="A3102">
        <v>1576511943</v>
      </c>
      <c r="B3102" t="s">
        <v>26054</v>
      </c>
      <c r="C3102">
        <v>810</v>
      </c>
      <c r="D3102">
        <v>0</v>
      </c>
      <c r="E3102">
        <v>0</v>
      </c>
      <c r="F3102">
        <v>7455</v>
      </c>
      <c r="G3102">
        <f t="shared" si="48"/>
        <v>1576511943</v>
      </c>
    </row>
    <row r="3103" spans="1:7" x14ac:dyDescent="0.25">
      <c r="A3103">
        <v>1576511961</v>
      </c>
      <c r="B3103" t="s">
        <v>36405</v>
      </c>
      <c r="C3103">
        <v>0</v>
      </c>
      <c r="D3103">
        <v>0</v>
      </c>
      <c r="E3103">
        <v>0</v>
      </c>
      <c r="F3103">
        <v>7456</v>
      </c>
      <c r="G3103">
        <f t="shared" si="48"/>
        <v>1576511961</v>
      </c>
    </row>
    <row r="3104" spans="1:7" x14ac:dyDescent="0.25">
      <c r="A3104">
        <v>1576512079</v>
      </c>
      <c r="B3104" t="s">
        <v>36406</v>
      </c>
      <c r="C3104">
        <v>0</v>
      </c>
      <c r="D3104">
        <v>1</v>
      </c>
      <c r="E3104">
        <v>421</v>
      </c>
      <c r="F3104">
        <v>4805</v>
      </c>
      <c r="G3104">
        <f t="shared" si="48"/>
        <v>1576512079</v>
      </c>
    </row>
    <row r="3105" spans="1:7" x14ac:dyDescent="0.25">
      <c r="A3105">
        <v>1576513182</v>
      </c>
      <c r="B3105" t="s">
        <v>26055</v>
      </c>
      <c r="C3105">
        <v>1983</v>
      </c>
      <c r="D3105">
        <v>2</v>
      </c>
      <c r="E3105">
        <v>5072</v>
      </c>
      <c r="F3105">
        <v>2498</v>
      </c>
      <c r="G3105">
        <f t="shared" si="48"/>
        <v>1576513182</v>
      </c>
    </row>
    <row r="3106" spans="1:7" x14ac:dyDescent="0.25">
      <c r="A3106">
        <v>1576515282</v>
      </c>
      <c r="B3106" t="s">
        <v>26056</v>
      </c>
      <c r="C3106">
        <v>0</v>
      </c>
      <c r="D3106">
        <v>1</v>
      </c>
      <c r="E3106">
        <v>634</v>
      </c>
      <c r="F3106">
        <v>4429</v>
      </c>
      <c r="G3106">
        <f t="shared" si="48"/>
        <v>1576515282</v>
      </c>
    </row>
    <row r="3107" spans="1:7" x14ac:dyDescent="0.25">
      <c r="A3107">
        <v>1576515497</v>
      </c>
      <c r="B3107" t="s">
        <v>26057</v>
      </c>
      <c r="C3107">
        <v>399</v>
      </c>
      <c r="D3107">
        <v>1</v>
      </c>
      <c r="E3107">
        <v>1827</v>
      </c>
      <c r="F3107">
        <v>3468</v>
      </c>
      <c r="G3107">
        <f t="shared" si="48"/>
        <v>1576515497</v>
      </c>
    </row>
    <row r="3108" spans="1:7" x14ac:dyDescent="0.25">
      <c r="A3108">
        <v>1576516425</v>
      </c>
      <c r="B3108" t="s">
        <v>26058</v>
      </c>
      <c r="C3108">
        <v>0</v>
      </c>
      <c r="D3108">
        <v>1</v>
      </c>
      <c r="E3108">
        <v>425</v>
      </c>
      <c r="F3108">
        <v>4791</v>
      </c>
      <c r="G3108">
        <f t="shared" si="48"/>
        <v>1576516425</v>
      </c>
    </row>
    <row r="3109" spans="1:7" x14ac:dyDescent="0.25">
      <c r="A3109">
        <v>1576516572</v>
      </c>
      <c r="B3109" t="s">
        <v>26059</v>
      </c>
      <c r="C3109">
        <v>0</v>
      </c>
      <c r="D3109">
        <v>0</v>
      </c>
      <c r="E3109">
        <v>0</v>
      </c>
      <c r="F3109">
        <v>7457</v>
      </c>
      <c r="G3109">
        <f t="shared" si="48"/>
        <v>1576516572</v>
      </c>
    </row>
    <row r="3110" spans="1:7" x14ac:dyDescent="0.25">
      <c r="A3110">
        <v>1576516780</v>
      </c>
      <c r="B3110" t="s">
        <v>26060</v>
      </c>
      <c r="C3110">
        <v>1363</v>
      </c>
      <c r="D3110">
        <v>2</v>
      </c>
      <c r="E3110">
        <v>5496</v>
      </c>
      <c r="F3110">
        <v>2403</v>
      </c>
      <c r="G3110">
        <f t="shared" si="48"/>
        <v>1576516780</v>
      </c>
    </row>
    <row r="3111" spans="1:7" x14ac:dyDescent="0.25">
      <c r="A3111">
        <v>1576517085</v>
      </c>
      <c r="B3111" t="s">
        <v>26061</v>
      </c>
      <c r="C3111">
        <v>1743</v>
      </c>
      <c r="D3111">
        <v>1</v>
      </c>
      <c r="E3111">
        <v>2644</v>
      </c>
      <c r="F3111">
        <v>3086</v>
      </c>
      <c r="G3111">
        <f t="shared" si="48"/>
        <v>1576517085</v>
      </c>
    </row>
    <row r="3112" spans="1:7" x14ac:dyDescent="0.25">
      <c r="A3112">
        <v>1576517129</v>
      </c>
      <c r="B3112" t="s">
        <v>26062</v>
      </c>
      <c r="C3112">
        <v>1879</v>
      </c>
      <c r="D3112">
        <v>0</v>
      </c>
      <c r="E3112">
        <v>0</v>
      </c>
      <c r="F3112">
        <v>7458</v>
      </c>
      <c r="G3112">
        <f t="shared" si="48"/>
        <v>1576517129</v>
      </c>
    </row>
    <row r="3113" spans="1:7" x14ac:dyDescent="0.25">
      <c r="A3113">
        <v>1576517505</v>
      </c>
      <c r="B3113" t="s">
        <v>26063</v>
      </c>
      <c r="C3113">
        <v>1609</v>
      </c>
      <c r="D3113">
        <v>4</v>
      </c>
      <c r="E3113">
        <v>15584</v>
      </c>
      <c r="F3113">
        <v>938</v>
      </c>
      <c r="G3113">
        <f t="shared" si="48"/>
        <v>1576517505</v>
      </c>
    </row>
    <row r="3114" spans="1:7" x14ac:dyDescent="0.25">
      <c r="A3114">
        <v>1576518975</v>
      </c>
      <c r="B3114" t="s">
        <v>36407</v>
      </c>
      <c r="C3114">
        <v>0</v>
      </c>
      <c r="D3114">
        <v>1</v>
      </c>
      <c r="E3114">
        <v>134</v>
      </c>
      <c r="F3114">
        <v>5754</v>
      </c>
      <c r="G3114">
        <f t="shared" si="48"/>
        <v>1576518975</v>
      </c>
    </row>
    <row r="3115" spans="1:7" x14ac:dyDescent="0.25">
      <c r="A3115">
        <v>1576519729</v>
      </c>
      <c r="B3115" t="s">
        <v>26064</v>
      </c>
      <c r="C3115">
        <v>567</v>
      </c>
      <c r="D3115">
        <v>1</v>
      </c>
      <c r="E3115">
        <v>232</v>
      </c>
      <c r="F3115">
        <v>5391</v>
      </c>
      <c r="G3115">
        <f t="shared" si="48"/>
        <v>1576519729</v>
      </c>
    </row>
    <row r="3116" spans="1:7" x14ac:dyDescent="0.25">
      <c r="A3116">
        <v>1576521858</v>
      </c>
      <c r="B3116" t="s">
        <v>37047</v>
      </c>
      <c r="C3116">
        <v>0</v>
      </c>
      <c r="D3116">
        <v>1</v>
      </c>
      <c r="E3116">
        <v>657</v>
      </c>
      <c r="F3116">
        <v>4406</v>
      </c>
      <c r="G3116">
        <f t="shared" si="48"/>
        <v>1576521858</v>
      </c>
    </row>
    <row r="3117" spans="1:7" x14ac:dyDescent="0.25">
      <c r="A3117">
        <v>1576523771</v>
      </c>
      <c r="B3117" t="s">
        <v>26065</v>
      </c>
      <c r="C3117">
        <v>122</v>
      </c>
      <c r="D3117">
        <v>7</v>
      </c>
      <c r="E3117">
        <v>31493</v>
      </c>
      <c r="F3117">
        <v>212</v>
      </c>
      <c r="G3117">
        <f t="shared" si="48"/>
        <v>1576523771</v>
      </c>
    </row>
    <row r="3118" spans="1:7" x14ac:dyDescent="0.25">
      <c r="A3118">
        <v>1576524494</v>
      </c>
      <c r="B3118" t="s">
        <v>26066</v>
      </c>
      <c r="C3118">
        <v>1357</v>
      </c>
      <c r="D3118">
        <v>1</v>
      </c>
      <c r="E3118">
        <v>165</v>
      </c>
      <c r="F3118">
        <v>5635</v>
      </c>
      <c r="G3118">
        <f t="shared" si="48"/>
        <v>1576524494</v>
      </c>
    </row>
    <row r="3119" spans="1:7" x14ac:dyDescent="0.25">
      <c r="A3119">
        <v>1576525047</v>
      </c>
      <c r="B3119" t="s">
        <v>26067</v>
      </c>
      <c r="C3119">
        <v>0</v>
      </c>
      <c r="D3119">
        <v>1</v>
      </c>
      <c r="E3119">
        <v>550</v>
      </c>
      <c r="F3119">
        <v>4549</v>
      </c>
      <c r="G3119">
        <f t="shared" si="48"/>
        <v>1576525047</v>
      </c>
    </row>
    <row r="3120" spans="1:7" x14ac:dyDescent="0.25">
      <c r="A3120">
        <v>1576525211</v>
      </c>
      <c r="B3120" t="s">
        <v>26068</v>
      </c>
      <c r="C3120">
        <v>0</v>
      </c>
      <c r="D3120">
        <v>1</v>
      </c>
      <c r="E3120">
        <v>94</v>
      </c>
      <c r="F3120">
        <v>5883</v>
      </c>
      <c r="G3120">
        <f t="shared" si="48"/>
        <v>1576525211</v>
      </c>
    </row>
    <row r="3121" spans="1:7" x14ac:dyDescent="0.25">
      <c r="A3121">
        <v>1576526812</v>
      </c>
      <c r="B3121" t="s">
        <v>26069</v>
      </c>
      <c r="C3121">
        <v>0</v>
      </c>
      <c r="D3121">
        <v>1</v>
      </c>
      <c r="E3121">
        <v>91</v>
      </c>
      <c r="F3121">
        <v>5900</v>
      </c>
      <c r="G3121">
        <f t="shared" si="48"/>
        <v>1576526812</v>
      </c>
    </row>
    <row r="3122" spans="1:7" x14ac:dyDescent="0.25">
      <c r="A3122">
        <v>1576528969</v>
      </c>
      <c r="B3122" t="s">
        <v>36408</v>
      </c>
      <c r="C3122">
        <v>0</v>
      </c>
      <c r="D3122">
        <v>1</v>
      </c>
      <c r="E3122">
        <v>218</v>
      </c>
      <c r="F3122">
        <v>5440</v>
      </c>
      <c r="G3122">
        <f t="shared" si="48"/>
        <v>1576528969</v>
      </c>
    </row>
    <row r="3123" spans="1:7" x14ac:dyDescent="0.25">
      <c r="A3123">
        <v>1576529285</v>
      </c>
      <c r="B3123" t="s">
        <v>26070</v>
      </c>
      <c r="C3123">
        <v>138</v>
      </c>
      <c r="D3123">
        <v>5</v>
      </c>
      <c r="E3123">
        <v>18335</v>
      </c>
      <c r="F3123">
        <v>825</v>
      </c>
      <c r="G3123">
        <f t="shared" si="48"/>
        <v>1576529285</v>
      </c>
    </row>
    <row r="3124" spans="1:7" x14ac:dyDescent="0.25">
      <c r="A3124">
        <v>1576530118</v>
      </c>
      <c r="B3124" t="s">
        <v>26071</v>
      </c>
      <c r="C3124">
        <v>156</v>
      </c>
      <c r="D3124">
        <v>0</v>
      </c>
      <c r="E3124">
        <v>0</v>
      </c>
      <c r="F3124">
        <v>7459</v>
      </c>
      <c r="G3124">
        <f t="shared" si="48"/>
        <v>1576530118</v>
      </c>
    </row>
    <row r="3125" spans="1:7" x14ac:dyDescent="0.25">
      <c r="A3125">
        <v>1576530923</v>
      </c>
      <c r="B3125" t="s">
        <v>26072</v>
      </c>
      <c r="C3125">
        <v>0</v>
      </c>
      <c r="D3125">
        <v>1</v>
      </c>
      <c r="E3125">
        <v>294</v>
      </c>
      <c r="F3125">
        <v>5141</v>
      </c>
      <c r="G3125">
        <f t="shared" si="48"/>
        <v>1576530923</v>
      </c>
    </row>
    <row r="3126" spans="1:7" x14ac:dyDescent="0.25">
      <c r="A3126">
        <v>1576531912</v>
      </c>
      <c r="B3126" t="s">
        <v>37292</v>
      </c>
      <c r="C3126">
        <v>1880</v>
      </c>
      <c r="D3126">
        <v>1</v>
      </c>
      <c r="E3126">
        <v>711</v>
      </c>
      <c r="F3126">
        <v>4327</v>
      </c>
      <c r="G3126">
        <f t="shared" si="48"/>
        <v>1576531912</v>
      </c>
    </row>
    <row r="3127" spans="1:7" x14ac:dyDescent="0.25">
      <c r="A3127">
        <v>1576532115</v>
      </c>
      <c r="B3127" t="s">
        <v>37401</v>
      </c>
      <c r="C3127">
        <v>1743</v>
      </c>
      <c r="D3127">
        <v>1</v>
      </c>
      <c r="E3127">
        <v>2126</v>
      </c>
      <c r="F3127">
        <v>3279</v>
      </c>
      <c r="G3127">
        <f t="shared" si="48"/>
        <v>1576532115</v>
      </c>
    </row>
    <row r="3128" spans="1:7" x14ac:dyDescent="0.25">
      <c r="A3128">
        <v>1576532829</v>
      </c>
      <c r="B3128" t="s">
        <v>26073</v>
      </c>
      <c r="C3128">
        <v>645</v>
      </c>
      <c r="D3128">
        <v>1</v>
      </c>
      <c r="E3128">
        <v>930</v>
      </c>
      <c r="F3128">
        <v>4067</v>
      </c>
      <c r="G3128">
        <f t="shared" si="48"/>
        <v>1576532829</v>
      </c>
    </row>
    <row r="3129" spans="1:7" x14ac:dyDescent="0.25">
      <c r="A3129">
        <v>1576533418</v>
      </c>
      <c r="B3129" t="s">
        <v>26074</v>
      </c>
      <c r="C3129">
        <v>124</v>
      </c>
      <c r="D3129">
        <v>2</v>
      </c>
      <c r="E3129">
        <v>6515</v>
      </c>
      <c r="F3129">
        <v>2161</v>
      </c>
      <c r="G3129">
        <f t="shared" si="48"/>
        <v>1576533418</v>
      </c>
    </row>
    <row r="3130" spans="1:7" x14ac:dyDescent="0.25">
      <c r="A3130">
        <v>1576535784</v>
      </c>
      <c r="B3130" t="s">
        <v>26075</v>
      </c>
      <c r="C3130">
        <v>0</v>
      </c>
      <c r="D3130">
        <v>0</v>
      </c>
      <c r="E3130">
        <v>0</v>
      </c>
      <c r="F3130">
        <v>7460</v>
      </c>
      <c r="G3130">
        <f t="shared" si="48"/>
        <v>1576535784</v>
      </c>
    </row>
    <row r="3131" spans="1:7" x14ac:dyDescent="0.25">
      <c r="A3131">
        <v>1576536449</v>
      </c>
      <c r="B3131" t="s">
        <v>26076</v>
      </c>
      <c r="C3131">
        <v>0</v>
      </c>
      <c r="D3131">
        <v>1</v>
      </c>
      <c r="E3131">
        <v>67</v>
      </c>
      <c r="F3131">
        <v>6077</v>
      </c>
      <c r="G3131">
        <f t="shared" si="48"/>
        <v>1576536449</v>
      </c>
    </row>
    <row r="3132" spans="1:7" x14ac:dyDescent="0.25">
      <c r="A3132">
        <v>1576538027</v>
      </c>
      <c r="B3132" t="s">
        <v>26077</v>
      </c>
      <c r="C3132">
        <v>325</v>
      </c>
      <c r="D3132">
        <v>1</v>
      </c>
      <c r="E3132">
        <v>26</v>
      </c>
      <c r="F3132">
        <v>6554</v>
      </c>
      <c r="G3132">
        <f t="shared" si="48"/>
        <v>1576538027</v>
      </c>
    </row>
    <row r="3133" spans="1:7" x14ac:dyDescent="0.25">
      <c r="A3133">
        <v>1576538508</v>
      </c>
      <c r="B3133" t="s">
        <v>26078</v>
      </c>
      <c r="C3133">
        <v>0</v>
      </c>
      <c r="D3133">
        <v>1</v>
      </c>
      <c r="E3133">
        <v>48</v>
      </c>
      <c r="F3133">
        <v>6196</v>
      </c>
      <c r="G3133">
        <f t="shared" si="48"/>
        <v>1576538508</v>
      </c>
    </row>
    <row r="3134" spans="1:7" x14ac:dyDescent="0.25">
      <c r="A3134">
        <v>1576539473</v>
      </c>
      <c r="B3134" t="s">
        <v>26079</v>
      </c>
      <c r="C3134">
        <v>0</v>
      </c>
      <c r="D3134">
        <v>1</v>
      </c>
      <c r="E3134">
        <v>26</v>
      </c>
      <c r="F3134">
        <v>6555</v>
      </c>
      <c r="G3134">
        <f t="shared" si="48"/>
        <v>1576539473</v>
      </c>
    </row>
    <row r="3135" spans="1:7" x14ac:dyDescent="0.25">
      <c r="A3135">
        <v>1576542711</v>
      </c>
      <c r="B3135" t="s">
        <v>26080</v>
      </c>
      <c r="C3135">
        <v>0</v>
      </c>
      <c r="D3135">
        <v>1</v>
      </c>
      <c r="E3135">
        <v>118</v>
      </c>
      <c r="F3135">
        <v>5792</v>
      </c>
      <c r="G3135">
        <f t="shared" si="48"/>
        <v>1576542711</v>
      </c>
    </row>
    <row r="3136" spans="1:7" x14ac:dyDescent="0.25">
      <c r="A3136">
        <v>1576543026</v>
      </c>
      <c r="B3136" t="s">
        <v>26081</v>
      </c>
      <c r="C3136">
        <v>0</v>
      </c>
      <c r="D3136">
        <v>1</v>
      </c>
      <c r="E3136">
        <v>676</v>
      </c>
      <c r="F3136">
        <v>4391</v>
      </c>
      <c r="G3136">
        <f t="shared" si="48"/>
        <v>1576543026</v>
      </c>
    </row>
    <row r="3137" spans="1:7" x14ac:dyDescent="0.25">
      <c r="A3137">
        <v>1576543956</v>
      </c>
      <c r="B3137" t="s">
        <v>26082</v>
      </c>
      <c r="C3137">
        <v>1017</v>
      </c>
      <c r="D3137">
        <v>1</v>
      </c>
      <c r="E3137">
        <v>4798</v>
      </c>
      <c r="F3137">
        <v>2555</v>
      </c>
      <c r="G3137">
        <f t="shared" ref="G3137:G3200" si="49">A3137</f>
        <v>1576543956</v>
      </c>
    </row>
    <row r="3138" spans="1:7" x14ac:dyDescent="0.25">
      <c r="A3138">
        <v>1576544035</v>
      </c>
      <c r="B3138" t="s">
        <v>26083</v>
      </c>
      <c r="C3138">
        <v>126</v>
      </c>
      <c r="D3138">
        <v>1</v>
      </c>
      <c r="E3138">
        <v>5295</v>
      </c>
      <c r="F3138">
        <v>2451</v>
      </c>
      <c r="G3138">
        <f t="shared" si="49"/>
        <v>1576544035</v>
      </c>
    </row>
    <row r="3139" spans="1:7" x14ac:dyDescent="0.25">
      <c r="A3139">
        <v>1576544688</v>
      </c>
      <c r="B3139" t="s">
        <v>26084</v>
      </c>
      <c r="C3139">
        <v>0</v>
      </c>
      <c r="D3139">
        <v>0</v>
      </c>
      <c r="E3139">
        <v>0</v>
      </c>
      <c r="F3139">
        <v>7461</v>
      </c>
      <c r="G3139">
        <f t="shared" si="49"/>
        <v>1576544688</v>
      </c>
    </row>
    <row r="3140" spans="1:7" x14ac:dyDescent="0.25">
      <c r="A3140">
        <v>1576544831</v>
      </c>
      <c r="B3140" t="s">
        <v>37293</v>
      </c>
      <c r="C3140">
        <v>0</v>
      </c>
      <c r="D3140">
        <v>0</v>
      </c>
      <c r="E3140">
        <v>0</v>
      </c>
      <c r="F3140">
        <v>7462</v>
      </c>
      <c r="G3140">
        <f t="shared" si="49"/>
        <v>1576544831</v>
      </c>
    </row>
    <row r="3141" spans="1:7" x14ac:dyDescent="0.25">
      <c r="A3141">
        <v>1576545999</v>
      </c>
      <c r="B3141" t="s">
        <v>26085</v>
      </c>
      <c r="C3141">
        <v>0</v>
      </c>
      <c r="D3141">
        <v>1</v>
      </c>
      <c r="E3141">
        <v>97</v>
      </c>
      <c r="F3141">
        <v>5864</v>
      </c>
      <c r="G3141">
        <f t="shared" si="49"/>
        <v>1576545999</v>
      </c>
    </row>
    <row r="3142" spans="1:7" x14ac:dyDescent="0.25">
      <c r="A3142">
        <v>1576546207</v>
      </c>
      <c r="B3142" t="s">
        <v>26086</v>
      </c>
      <c r="C3142">
        <v>0</v>
      </c>
      <c r="D3142">
        <v>3</v>
      </c>
      <c r="E3142">
        <v>5626</v>
      </c>
      <c r="F3142">
        <v>2449</v>
      </c>
      <c r="G3142">
        <f t="shared" si="49"/>
        <v>1576546207</v>
      </c>
    </row>
    <row r="3143" spans="1:7" x14ac:dyDescent="0.25">
      <c r="A3143">
        <v>1576546336</v>
      </c>
      <c r="B3143" t="s">
        <v>26087</v>
      </c>
      <c r="C3143">
        <v>55</v>
      </c>
      <c r="D3143">
        <v>1</v>
      </c>
      <c r="E3143">
        <v>919</v>
      </c>
      <c r="F3143">
        <v>4086</v>
      </c>
      <c r="G3143">
        <f t="shared" si="49"/>
        <v>1576546336</v>
      </c>
    </row>
    <row r="3144" spans="1:7" x14ac:dyDescent="0.25">
      <c r="A3144">
        <v>1576546523</v>
      </c>
      <c r="B3144" t="s">
        <v>26088</v>
      </c>
      <c r="C3144">
        <v>0</v>
      </c>
      <c r="D3144">
        <v>1</v>
      </c>
      <c r="E3144">
        <v>376</v>
      </c>
      <c r="F3144">
        <v>4913</v>
      </c>
      <c r="G3144">
        <f t="shared" si="49"/>
        <v>1576546523</v>
      </c>
    </row>
    <row r="3145" spans="1:7" x14ac:dyDescent="0.25">
      <c r="A3145">
        <v>1576548173</v>
      </c>
      <c r="B3145" t="s">
        <v>26089</v>
      </c>
      <c r="C3145">
        <v>131</v>
      </c>
      <c r="D3145">
        <v>2</v>
      </c>
      <c r="E3145">
        <v>5275</v>
      </c>
      <c r="F3145">
        <v>2453</v>
      </c>
      <c r="G3145">
        <f t="shared" si="49"/>
        <v>1576548173</v>
      </c>
    </row>
    <row r="3146" spans="1:7" x14ac:dyDescent="0.25">
      <c r="A3146">
        <v>1576551502</v>
      </c>
      <c r="B3146" t="s">
        <v>36409</v>
      </c>
      <c r="C3146">
        <v>0</v>
      </c>
      <c r="D3146">
        <v>1</v>
      </c>
      <c r="E3146">
        <v>617</v>
      </c>
      <c r="F3146">
        <v>4452</v>
      </c>
      <c r="G3146">
        <f t="shared" si="49"/>
        <v>1576551502</v>
      </c>
    </row>
    <row r="3147" spans="1:7" x14ac:dyDescent="0.25">
      <c r="A3147">
        <v>1576552397</v>
      </c>
      <c r="B3147" t="s">
        <v>26090</v>
      </c>
      <c r="C3147">
        <v>1885</v>
      </c>
      <c r="D3147">
        <v>1</v>
      </c>
      <c r="E3147">
        <v>275</v>
      </c>
      <c r="F3147">
        <v>5250</v>
      </c>
      <c r="G3147">
        <f t="shared" si="49"/>
        <v>1576552397</v>
      </c>
    </row>
    <row r="3148" spans="1:7" x14ac:dyDescent="0.25">
      <c r="A3148">
        <v>1576552754</v>
      </c>
      <c r="B3148" t="s">
        <v>36410</v>
      </c>
      <c r="C3148">
        <v>919</v>
      </c>
      <c r="D3148">
        <v>1</v>
      </c>
      <c r="E3148">
        <v>26</v>
      </c>
      <c r="F3148">
        <v>6556</v>
      </c>
      <c r="G3148">
        <f t="shared" si="49"/>
        <v>1576552754</v>
      </c>
    </row>
    <row r="3149" spans="1:7" x14ac:dyDescent="0.25">
      <c r="A3149">
        <v>1576553789</v>
      </c>
      <c r="B3149" t="s">
        <v>26091</v>
      </c>
      <c r="C3149">
        <v>48</v>
      </c>
      <c r="D3149">
        <v>0</v>
      </c>
      <c r="E3149">
        <v>0</v>
      </c>
      <c r="F3149">
        <v>7463</v>
      </c>
      <c r="G3149">
        <f t="shared" si="49"/>
        <v>1576553789</v>
      </c>
    </row>
    <row r="3150" spans="1:7" x14ac:dyDescent="0.25">
      <c r="A3150">
        <v>1576554122</v>
      </c>
      <c r="B3150" t="s">
        <v>26092</v>
      </c>
      <c r="C3150">
        <v>0</v>
      </c>
      <c r="D3150">
        <v>1</v>
      </c>
      <c r="E3150">
        <v>202</v>
      </c>
      <c r="F3150">
        <v>5488</v>
      </c>
      <c r="G3150">
        <f t="shared" si="49"/>
        <v>1576554122</v>
      </c>
    </row>
    <row r="3151" spans="1:7" x14ac:dyDescent="0.25">
      <c r="A3151">
        <v>1576554670</v>
      </c>
      <c r="B3151" t="s">
        <v>37294</v>
      </c>
      <c r="C3151">
        <v>1880</v>
      </c>
      <c r="D3151">
        <v>1</v>
      </c>
      <c r="E3151">
        <v>672</v>
      </c>
      <c r="F3151">
        <v>4381</v>
      </c>
      <c r="G3151">
        <f t="shared" si="49"/>
        <v>1576554670</v>
      </c>
    </row>
    <row r="3152" spans="1:7" x14ac:dyDescent="0.25">
      <c r="A3152">
        <v>1576555364</v>
      </c>
      <c r="B3152" t="s">
        <v>37295</v>
      </c>
      <c r="C3152">
        <v>27</v>
      </c>
      <c r="D3152">
        <v>4</v>
      </c>
      <c r="E3152">
        <v>23103</v>
      </c>
      <c r="F3152">
        <v>468</v>
      </c>
      <c r="G3152">
        <f t="shared" si="49"/>
        <v>1576555364</v>
      </c>
    </row>
    <row r="3153" spans="1:7" x14ac:dyDescent="0.25">
      <c r="A3153">
        <v>1576557662</v>
      </c>
      <c r="B3153" t="s">
        <v>26093</v>
      </c>
      <c r="C3153">
        <v>0</v>
      </c>
      <c r="D3153">
        <v>0</v>
      </c>
      <c r="E3153">
        <v>0</v>
      </c>
      <c r="F3153">
        <v>7464</v>
      </c>
      <c r="G3153">
        <f t="shared" si="49"/>
        <v>1576557662</v>
      </c>
    </row>
    <row r="3154" spans="1:7" x14ac:dyDescent="0.25">
      <c r="A3154">
        <v>1576559856</v>
      </c>
      <c r="B3154" t="s">
        <v>26094</v>
      </c>
      <c r="C3154">
        <v>1019</v>
      </c>
      <c r="D3154">
        <v>1</v>
      </c>
      <c r="E3154">
        <v>4250</v>
      </c>
      <c r="F3154">
        <v>2701</v>
      </c>
      <c r="G3154">
        <f t="shared" si="49"/>
        <v>1576559856</v>
      </c>
    </row>
    <row r="3155" spans="1:7" x14ac:dyDescent="0.25">
      <c r="A3155">
        <v>1576560659</v>
      </c>
      <c r="B3155" t="s">
        <v>36411</v>
      </c>
      <c r="C3155">
        <v>55</v>
      </c>
      <c r="D3155">
        <v>1</v>
      </c>
      <c r="E3155">
        <v>177</v>
      </c>
      <c r="F3155">
        <v>5591</v>
      </c>
      <c r="G3155">
        <f t="shared" si="49"/>
        <v>1576560659</v>
      </c>
    </row>
    <row r="3156" spans="1:7" x14ac:dyDescent="0.25">
      <c r="A3156">
        <v>1576563077</v>
      </c>
      <c r="B3156" t="s">
        <v>26095</v>
      </c>
      <c r="C3156">
        <v>0</v>
      </c>
      <c r="D3156">
        <v>1</v>
      </c>
      <c r="E3156">
        <v>26</v>
      </c>
      <c r="F3156">
        <v>6557</v>
      </c>
      <c r="G3156">
        <f t="shared" si="49"/>
        <v>1576563077</v>
      </c>
    </row>
    <row r="3157" spans="1:7" x14ac:dyDescent="0.25">
      <c r="A3157">
        <v>1576564256</v>
      </c>
      <c r="B3157" t="s">
        <v>26096</v>
      </c>
      <c r="C3157">
        <v>0</v>
      </c>
      <c r="D3157">
        <v>1</v>
      </c>
      <c r="E3157">
        <v>107</v>
      </c>
      <c r="F3157">
        <v>5818</v>
      </c>
      <c r="G3157">
        <f t="shared" si="49"/>
        <v>1576564256</v>
      </c>
    </row>
    <row r="3158" spans="1:7" x14ac:dyDescent="0.25">
      <c r="A3158">
        <v>1576564391</v>
      </c>
      <c r="B3158" t="s">
        <v>37141</v>
      </c>
      <c r="C3158">
        <v>325</v>
      </c>
      <c r="D3158">
        <v>1</v>
      </c>
      <c r="E3158">
        <v>833</v>
      </c>
      <c r="F3158">
        <v>4151</v>
      </c>
      <c r="G3158">
        <f t="shared" si="49"/>
        <v>1576564391</v>
      </c>
    </row>
    <row r="3159" spans="1:7" x14ac:dyDescent="0.25">
      <c r="A3159">
        <v>1576565351</v>
      </c>
      <c r="B3159" t="s">
        <v>26097</v>
      </c>
      <c r="C3159">
        <v>0</v>
      </c>
      <c r="D3159">
        <v>1</v>
      </c>
      <c r="E3159">
        <v>1830</v>
      </c>
      <c r="F3159">
        <v>3431</v>
      </c>
      <c r="G3159">
        <f t="shared" si="49"/>
        <v>1576565351</v>
      </c>
    </row>
    <row r="3160" spans="1:7" x14ac:dyDescent="0.25">
      <c r="A3160">
        <v>1576565552</v>
      </c>
      <c r="B3160" t="s">
        <v>26098</v>
      </c>
      <c r="C3160">
        <v>480</v>
      </c>
      <c r="D3160">
        <v>2</v>
      </c>
      <c r="E3160">
        <v>6271</v>
      </c>
      <c r="F3160">
        <v>2236</v>
      </c>
      <c r="G3160">
        <f t="shared" si="49"/>
        <v>1576565552</v>
      </c>
    </row>
    <row r="3161" spans="1:7" x14ac:dyDescent="0.25">
      <c r="A3161">
        <v>1576566624</v>
      </c>
      <c r="B3161" t="s">
        <v>26099</v>
      </c>
      <c r="C3161">
        <v>0</v>
      </c>
      <c r="D3161">
        <v>1</v>
      </c>
      <c r="E3161">
        <v>26</v>
      </c>
      <c r="F3161">
        <v>6558</v>
      </c>
      <c r="G3161">
        <f t="shared" si="49"/>
        <v>1576566624</v>
      </c>
    </row>
    <row r="3162" spans="1:7" x14ac:dyDescent="0.25">
      <c r="A3162">
        <v>1576567327</v>
      </c>
      <c r="B3162" t="s">
        <v>26100</v>
      </c>
      <c r="C3162">
        <v>0</v>
      </c>
      <c r="D3162">
        <v>0</v>
      </c>
      <c r="E3162">
        <v>0</v>
      </c>
      <c r="F3162">
        <v>7465</v>
      </c>
      <c r="G3162">
        <f t="shared" si="49"/>
        <v>1576567327</v>
      </c>
    </row>
    <row r="3163" spans="1:7" x14ac:dyDescent="0.25">
      <c r="A3163">
        <v>1576570181</v>
      </c>
      <c r="B3163" t="s">
        <v>36412</v>
      </c>
      <c r="C3163">
        <v>152</v>
      </c>
      <c r="D3163">
        <v>4</v>
      </c>
      <c r="E3163">
        <v>18389</v>
      </c>
      <c r="F3163">
        <v>723</v>
      </c>
      <c r="G3163">
        <f t="shared" si="49"/>
        <v>1576570181</v>
      </c>
    </row>
    <row r="3164" spans="1:7" x14ac:dyDescent="0.25">
      <c r="A3164">
        <v>1576572030</v>
      </c>
      <c r="B3164" t="s">
        <v>26101</v>
      </c>
      <c r="C3164">
        <v>0</v>
      </c>
      <c r="D3164">
        <v>1</v>
      </c>
      <c r="E3164">
        <v>195</v>
      </c>
      <c r="F3164">
        <v>5515</v>
      </c>
      <c r="G3164">
        <f t="shared" si="49"/>
        <v>1576572030</v>
      </c>
    </row>
    <row r="3165" spans="1:7" x14ac:dyDescent="0.25">
      <c r="A3165">
        <v>1576572054</v>
      </c>
      <c r="B3165" t="s">
        <v>26102</v>
      </c>
      <c r="C3165">
        <v>1413</v>
      </c>
      <c r="D3165">
        <v>1</v>
      </c>
      <c r="E3165">
        <v>2600</v>
      </c>
      <c r="F3165">
        <v>3105</v>
      </c>
      <c r="G3165">
        <f t="shared" si="49"/>
        <v>1576572054</v>
      </c>
    </row>
    <row r="3166" spans="1:7" x14ac:dyDescent="0.25">
      <c r="A3166">
        <v>1576572176</v>
      </c>
      <c r="B3166" t="s">
        <v>26103</v>
      </c>
      <c r="C3166">
        <v>67</v>
      </c>
      <c r="D3166">
        <v>4</v>
      </c>
      <c r="E3166">
        <v>17602</v>
      </c>
      <c r="F3166">
        <v>786</v>
      </c>
      <c r="G3166">
        <f t="shared" si="49"/>
        <v>1576572176</v>
      </c>
    </row>
    <row r="3167" spans="1:7" x14ac:dyDescent="0.25">
      <c r="A3167">
        <v>1576572910</v>
      </c>
      <c r="B3167" t="s">
        <v>36413</v>
      </c>
      <c r="C3167">
        <v>419</v>
      </c>
      <c r="D3167">
        <v>3</v>
      </c>
      <c r="E3167">
        <v>18064</v>
      </c>
      <c r="F3167">
        <v>750</v>
      </c>
      <c r="G3167">
        <f t="shared" si="49"/>
        <v>1576572910</v>
      </c>
    </row>
    <row r="3168" spans="1:7" x14ac:dyDescent="0.25">
      <c r="A3168">
        <v>1576573321</v>
      </c>
      <c r="B3168" t="s">
        <v>26104</v>
      </c>
      <c r="C3168">
        <v>0</v>
      </c>
      <c r="D3168">
        <v>1</v>
      </c>
      <c r="E3168">
        <v>332</v>
      </c>
      <c r="F3168">
        <v>5032</v>
      </c>
      <c r="G3168">
        <f t="shared" si="49"/>
        <v>1576573321</v>
      </c>
    </row>
    <row r="3169" spans="1:7" x14ac:dyDescent="0.25">
      <c r="A3169">
        <v>1576573892</v>
      </c>
      <c r="B3169" t="s">
        <v>26105</v>
      </c>
      <c r="C3169">
        <v>399</v>
      </c>
      <c r="D3169">
        <v>1</v>
      </c>
      <c r="E3169">
        <v>1302</v>
      </c>
      <c r="F3169">
        <v>3725</v>
      </c>
      <c r="G3169">
        <f t="shared" si="49"/>
        <v>1576573892</v>
      </c>
    </row>
    <row r="3170" spans="1:7" x14ac:dyDescent="0.25">
      <c r="A3170">
        <v>1576574103</v>
      </c>
      <c r="B3170" t="s">
        <v>26106</v>
      </c>
      <c r="C3170">
        <v>1780</v>
      </c>
      <c r="D3170">
        <v>0</v>
      </c>
      <c r="E3170">
        <v>0</v>
      </c>
      <c r="F3170">
        <v>7466</v>
      </c>
      <c r="G3170">
        <f t="shared" si="49"/>
        <v>1576574103</v>
      </c>
    </row>
    <row r="3171" spans="1:7" x14ac:dyDescent="0.25">
      <c r="A3171">
        <v>1576575121</v>
      </c>
      <c r="B3171" t="s">
        <v>37223</v>
      </c>
      <c r="C3171">
        <v>33</v>
      </c>
      <c r="D3171">
        <v>0</v>
      </c>
      <c r="E3171">
        <v>0</v>
      </c>
      <c r="F3171">
        <v>7467</v>
      </c>
      <c r="G3171">
        <f t="shared" si="49"/>
        <v>1576575121</v>
      </c>
    </row>
    <row r="3172" spans="1:7" x14ac:dyDescent="0.25">
      <c r="A3172">
        <v>1576575154</v>
      </c>
      <c r="B3172" t="s">
        <v>26107</v>
      </c>
      <c r="C3172">
        <v>0</v>
      </c>
      <c r="D3172">
        <v>0</v>
      </c>
      <c r="E3172">
        <v>0</v>
      </c>
      <c r="F3172">
        <v>7468</v>
      </c>
      <c r="G3172">
        <f t="shared" si="49"/>
        <v>1576575154</v>
      </c>
    </row>
    <row r="3173" spans="1:7" x14ac:dyDescent="0.25">
      <c r="A3173">
        <v>1576575171</v>
      </c>
      <c r="B3173" t="s">
        <v>26108</v>
      </c>
      <c r="C3173">
        <v>152</v>
      </c>
      <c r="D3173">
        <v>8</v>
      </c>
      <c r="E3173">
        <v>39667</v>
      </c>
      <c r="F3173">
        <v>90</v>
      </c>
      <c r="G3173">
        <f t="shared" si="49"/>
        <v>1576575171</v>
      </c>
    </row>
    <row r="3174" spans="1:7" x14ac:dyDescent="0.25">
      <c r="A3174">
        <v>1576575565</v>
      </c>
      <c r="B3174" t="s">
        <v>26109</v>
      </c>
      <c r="C3174">
        <v>0</v>
      </c>
      <c r="D3174">
        <v>1</v>
      </c>
      <c r="E3174">
        <v>2832</v>
      </c>
      <c r="F3174">
        <v>3029</v>
      </c>
      <c r="G3174">
        <f t="shared" si="49"/>
        <v>1576575565</v>
      </c>
    </row>
    <row r="3175" spans="1:7" x14ac:dyDescent="0.25">
      <c r="A3175">
        <v>1576575813</v>
      </c>
      <c r="B3175" t="s">
        <v>26110</v>
      </c>
      <c r="C3175">
        <v>0</v>
      </c>
      <c r="D3175">
        <v>0</v>
      </c>
      <c r="E3175">
        <v>0</v>
      </c>
      <c r="F3175">
        <v>7469</v>
      </c>
      <c r="G3175">
        <f t="shared" si="49"/>
        <v>1576575813</v>
      </c>
    </row>
    <row r="3176" spans="1:7" x14ac:dyDescent="0.25">
      <c r="A3176">
        <v>1576577871</v>
      </c>
      <c r="B3176" t="s">
        <v>26111</v>
      </c>
      <c r="C3176">
        <v>1232</v>
      </c>
      <c r="D3176">
        <v>1</v>
      </c>
      <c r="E3176">
        <v>4511</v>
      </c>
      <c r="F3176">
        <v>2615</v>
      </c>
      <c r="G3176">
        <f t="shared" si="49"/>
        <v>1576577871</v>
      </c>
    </row>
    <row r="3177" spans="1:7" x14ac:dyDescent="0.25">
      <c r="A3177">
        <v>1576578011</v>
      </c>
      <c r="B3177" t="s">
        <v>26112</v>
      </c>
      <c r="C3177">
        <v>1987</v>
      </c>
      <c r="D3177">
        <v>1</v>
      </c>
      <c r="E3177">
        <v>266</v>
      </c>
      <c r="F3177">
        <v>5240</v>
      </c>
      <c r="G3177">
        <f t="shared" si="49"/>
        <v>1576578011</v>
      </c>
    </row>
    <row r="3178" spans="1:7" x14ac:dyDescent="0.25">
      <c r="A3178">
        <v>1576579016</v>
      </c>
      <c r="B3178" t="s">
        <v>26113</v>
      </c>
      <c r="C3178">
        <v>0</v>
      </c>
      <c r="D3178">
        <v>1</v>
      </c>
      <c r="E3178">
        <v>277</v>
      </c>
      <c r="F3178">
        <v>5193</v>
      </c>
      <c r="G3178">
        <f t="shared" si="49"/>
        <v>1576579016</v>
      </c>
    </row>
    <row r="3179" spans="1:7" x14ac:dyDescent="0.25">
      <c r="A3179">
        <v>1576580760</v>
      </c>
      <c r="B3179" t="s">
        <v>26114</v>
      </c>
      <c r="C3179">
        <v>1865</v>
      </c>
      <c r="D3179">
        <v>1</v>
      </c>
      <c r="E3179">
        <v>2242</v>
      </c>
      <c r="F3179">
        <v>3229</v>
      </c>
      <c r="G3179">
        <f t="shared" si="49"/>
        <v>1576580760</v>
      </c>
    </row>
    <row r="3180" spans="1:7" x14ac:dyDescent="0.25">
      <c r="A3180">
        <v>1576581259</v>
      </c>
      <c r="B3180" t="s">
        <v>26115</v>
      </c>
      <c r="C3180">
        <v>0</v>
      </c>
      <c r="D3180">
        <v>1</v>
      </c>
      <c r="E3180">
        <v>71</v>
      </c>
      <c r="F3180">
        <v>6053</v>
      </c>
      <c r="G3180">
        <f t="shared" si="49"/>
        <v>1576581259</v>
      </c>
    </row>
    <row r="3181" spans="1:7" x14ac:dyDescent="0.25">
      <c r="A3181">
        <v>1576583180</v>
      </c>
      <c r="B3181" t="s">
        <v>26116</v>
      </c>
      <c r="C3181">
        <v>152</v>
      </c>
      <c r="D3181">
        <v>8</v>
      </c>
      <c r="E3181">
        <v>47268</v>
      </c>
      <c r="F3181">
        <v>50</v>
      </c>
      <c r="G3181">
        <f t="shared" si="49"/>
        <v>1576583180</v>
      </c>
    </row>
    <row r="3182" spans="1:7" x14ac:dyDescent="0.25">
      <c r="A3182">
        <v>1576583273</v>
      </c>
      <c r="B3182" t="s">
        <v>26117</v>
      </c>
      <c r="C3182">
        <v>1063</v>
      </c>
      <c r="D3182">
        <v>0</v>
      </c>
      <c r="E3182">
        <v>0</v>
      </c>
      <c r="F3182">
        <v>7470</v>
      </c>
      <c r="G3182">
        <f t="shared" si="49"/>
        <v>1576583273</v>
      </c>
    </row>
    <row r="3183" spans="1:7" x14ac:dyDescent="0.25">
      <c r="A3183">
        <v>1576583632</v>
      </c>
      <c r="B3183" t="s">
        <v>26118</v>
      </c>
      <c r="C3183">
        <v>39</v>
      </c>
      <c r="D3183">
        <v>3</v>
      </c>
      <c r="E3183">
        <v>18102</v>
      </c>
      <c r="F3183">
        <v>759</v>
      </c>
      <c r="G3183">
        <f t="shared" si="49"/>
        <v>1576583632</v>
      </c>
    </row>
    <row r="3184" spans="1:7" x14ac:dyDescent="0.25">
      <c r="A3184">
        <v>1576584854</v>
      </c>
      <c r="B3184" t="s">
        <v>37296</v>
      </c>
      <c r="C3184">
        <v>179</v>
      </c>
      <c r="D3184">
        <v>1</v>
      </c>
      <c r="E3184">
        <v>1546</v>
      </c>
      <c r="F3184">
        <v>3580</v>
      </c>
      <c r="G3184">
        <f t="shared" si="49"/>
        <v>1576584854</v>
      </c>
    </row>
    <row r="3185" spans="1:7" x14ac:dyDescent="0.25">
      <c r="A3185">
        <v>1576585696</v>
      </c>
      <c r="B3185" t="s">
        <v>37297</v>
      </c>
      <c r="C3185">
        <v>680</v>
      </c>
      <c r="D3185">
        <v>4</v>
      </c>
      <c r="E3185">
        <v>9392</v>
      </c>
      <c r="F3185">
        <v>1654</v>
      </c>
      <c r="G3185">
        <f t="shared" si="49"/>
        <v>1576585696</v>
      </c>
    </row>
    <row r="3186" spans="1:7" x14ac:dyDescent="0.25">
      <c r="A3186">
        <v>1576586625</v>
      </c>
      <c r="B3186" t="s">
        <v>26119</v>
      </c>
      <c r="C3186">
        <v>429</v>
      </c>
      <c r="D3186">
        <v>1</v>
      </c>
      <c r="E3186">
        <v>56</v>
      </c>
      <c r="F3186">
        <v>6122</v>
      </c>
      <c r="G3186">
        <f t="shared" si="49"/>
        <v>1576586625</v>
      </c>
    </row>
    <row r="3187" spans="1:7" x14ac:dyDescent="0.25">
      <c r="A3187">
        <v>1576586947</v>
      </c>
      <c r="B3187" t="s">
        <v>26120</v>
      </c>
      <c r="C3187">
        <v>0</v>
      </c>
      <c r="D3187">
        <v>0</v>
      </c>
      <c r="E3187">
        <v>0</v>
      </c>
      <c r="F3187">
        <v>7471</v>
      </c>
      <c r="G3187">
        <f t="shared" si="49"/>
        <v>1576586947</v>
      </c>
    </row>
    <row r="3188" spans="1:7" x14ac:dyDescent="0.25">
      <c r="A3188">
        <v>1576588414</v>
      </c>
      <c r="B3188" t="s">
        <v>26121</v>
      </c>
      <c r="C3188">
        <v>0</v>
      </c>
      <c r="D3188">
        <v>0</v>
      </c>
      <c r="E3188">
        <v>0</v>
      </c>
      <c r="F3188">
        <v>7472</v>
      </c>
      <c r="G3188">
        <f t="shared" si="49"/>
        <v>1576588414</v>
      </c>
    </row>
    <row r="3189" spans="1:7" x14ac:dyDescent="0.25">
      <c r="A3189">
        <v>1576588733</v>
      </c>
      <c r="B3189" t="s">
        <v>26122</v>
      </c>
      <c r="C3189">
        <v>0</v>
      </c>
      <c r="D3189">
        <v>1</v>
      </c>
      <c r="E3189">
        <v>222</v>
      </c>
      <c r="F3189">
        <v>5426</v>
      </c>
      <c r="G3189">
        <f t="shared" si="49"/>
        <v>1576588733</v>
      </c>
    </row>
    <row r="3190" spans="1:7" x14ac:dyDescent="0.25">
      <c r="A3190">
        <v>1576589979</v>
      </c>
      <c r="B3190" t="s">
        <v>26123</v>
      </c>
      <c r="C3190">
        <v>1689</v>
      </c>
      <c r="D3190">
        <v>3</v>
      </c>
      <c r="E3190">
        <v>8227</v>
      </c>
      <c r="F3190">
        <v>1843</v>
      </c>
      <c r="G3190">
        <f t="shared" si="49"/>
        <v>1576589979</v>
      </c>
    </row>
    <row r="3191" spans="1:7" x14ac:dyDescent="0.25">
      <c r="A3191">
        <v>1576591949</v>
      </c>
      <c r="B3191" t="s">
        <v>26124</v>
      </c>
      <c r="C3191">
        <v>0</v>
      </c>
      <c r="D3191">
        <v>1</v>
      </c>
      <c r="E3191">
        <v>371</v>
      </c>
      <c r="F3191">
        <v>4925</v>
      </c>
      <c r="G3191">
        <f t="shared" si="49"/>
        <v>1576591949</v>
      </c>
    </row>
    <row r="3192" spans="1:7" x14ac:dyDescent="0.25">
      <c r="A3192">
        <v>1576593978</v>
      </c>
      <c r="B3192" t="s">
        <v>26125</v>
      </c>
      <c r="C3192">
        <v>189</v>
      </c>
      <c r="D3192">
        <v>2</v>
      </c>
      <c r="E3192">
        <v>6698</v>
      </c>
      <c r="F3192">
        <v>2118</v>
      </c>
      <c r="G3192">
        <f t="shared" si="49"/>
        <v>1576593978</v>
      </c>
    </row>
    <row r="3193" spans="1:7" x14ac:dyDescent="0.25">
      <c r="A3193">
        <v>1576594574</v>
      </c>
      <c r="B3193" t="s">
        <v>26126</v>
      </c>
      <c r="C3193">
        <v>25</v>
      </c>
      <c r="D3193">
        <v>4</v>
      </c>
      <c r="E3193">
        <v>23602</v>
      </c>
      <c r="F3193">
        <v>459</v>
      </c>
      <c r="G3193">
        <f t="shared" si="49"/>
        <v>1576594574</v>
      </c>
    </row>
    <row r="3194" spans="1:7" x14ac:dyDescent="0.25">
      <c r="A3194">
        <v>1576597864</v>
      </c>
      <c r="B3194" t="s">
        <v>26127</v>
      </c>
      <c r="C3194">
        <v>0</v>
      </c>
      <c r="D3194">
        <v>0</v>
      </c>
      <c r="E3194">
        <v>0</v>
      </c>
      <c r="F3194">
        <v>7473</v>
      </c>
      <c r="G3194">
        <f t="shared" si="49"/>
        <v>1576597864</v>
      </c>
    </row>
    <row r="3195" spans="1:7" x14ac:dyDescent="0.25">
      <c r="A3195">
        <v>1576598298</v>
      </c>
      <c r="B3195" t="s">
        <v>26128</v>
      </c>
      <c r="C3195">
        <v>1503</v>
      </c>
      <c r="D3195">
        <v>2</v>
      </c>
      <c r="E3195">
        <v>6423</v>
      </c>
      <c r="F3195">
        <v>2192</v>
      </c>
      <c r="G3195">
        <f t="shared" si="49"/>
        <v>1576598298</v>
      </c>
    </row>
    <row r="3196" spans="1:7" x14ac:dyDescent="0.25">
      <c r="A3196">
        <v>1576598461</v>
      </c>
      <c r="B3196" t="s">
        <v>26129</v>
      </c>
      <c r="C3196">
        <v>1315</v>
      </c>
      <c r="D3196">
        <v>1</v>
      </c>
      <c r="E3196">
        <v>53</v>
      </c>
      <c r="F3196">
        <v>6140</v>
      </c>
      <c r="G3196">
        <f t="shared" si="49"/>
        <v>1576598461</v>
      </c>
    </row>
    <row r="3197" spans="1:7" x14ac:dyDescent="0.25">
      <c r="A3197">
        <v>1576600402</v>
      </c>
      <c r="B3197" t="s">
        <v>26130</v>
      </c>
      <c r="C3197">
        <v>1930</v>
      </c>
      <c r="D3197">
        <v>1</v>
      </c>
      <c r="E3197">
        <v>3554</v>
      </c>
      <c r="F3197">
        <v>2867</v>
      </c>
      <c r="G3197">
        <f t="shared" si="49"/>
        <v>1576600402</v>
      </c>
    </row>
    <row r="3198" spans="1:7" x14ac:dyDescent="0.25">
      <c r="A3198">
        <v>1576601483</v>
      </c>
      <c r="B3198" t="s">
        <v>26131</v>
      </c>
      <c r="C3198">
        <v>0</v>
      </c>
      <c r="D3198">
        <v>1</v>
      </c>
      <c r="E3198">
        <v>220</v>
      </c>
      <c r="F3198">
        <v>5433</v>
      </c>
      <c r="G3198">
        <f t="shared" si="49"/>
        <v>1576601483</v>
      </c>
    </row>
    <row r="3199" spans="1:7" x14ac:dyDescent="0.25">
      <c r="A3199">
        <v>1576601949</v>
      </c>
      <c r="B3199" t="s">
        <v>26132</v>
      </c>
      <c r="C3199">
        <v>0</v>
      </c>
      <c r="D3199">
        <v>1</v>
      </c>
      <c r="E3199">
        <v>30</v>
      </c>
      <c r="F3199">
        <v>6320</v>
      </c>
      <c r="G3199">
        <f t="shared" si="49"/>
        <v>1576601949</v>
      </c>
    </row>
    <row r="3200" spans="1:7" x14ac:dyDescent="0.25">
      <c r="A3200">
        <v>1576603742</v>
      </c>
      <c r="B3200" t="s">
        <v>26133</v>
      </c>
      <c r="C3200">
        <v>179</v>
      </c>
      <c r="D3200">
        <v>2</v>
      </c>
      <c r="E3200">
        <v>5099</v>
      </c>
      <c r="F3200">
        <v>2493</v>
      </c>
      <c r="G3200">
        <f t="shared" si="49"/>
        <v>1576603742</v>
      </c>
    </row>
    <row r="3201" spans="1:7" x14ac:dyDescent="0.25">
      <c r="A3201">
        <v>1576604234</v>
      </c>
      <c r="B3201" t="s">
        <v>36414</v>
      </c>
      <c r="C3201">
        <v>1622</v>
      </c>
      <c r="D3201">
        <v>1</v>
      </c>
      <c r="E3201">
        <v>935</v>
      </c>
      <c r="F3201">
        <v>4062</v>
      </c>
      <c r="G3201">
        <f t="shared" ref="G3201:G3264" si="50">A3201</f>
        <v>1576604234</v>
      </c>
    </row>
    <row r="3202" spans="1:7" x14ac:dyDescent="0.25">
      <c r="A3202">
        <v>1576604413</v>
      </c>
      <c r="B3202" t="s">
        <v>36415</v>
      </c>
      <c r="C3202">
        <v>1885</v>
      </c>
      <c r="D3202">
        <v>1</v>
      </c>
      <c r="E3202">
        <v>435</v>
      </c>
      <c r="F3202">
        <v>4769</v>
      </c>
      <c r="G3202">
        <f t="shared" si="50"/>
        <v>1576604413</v>
      </c>
    </row>
    <row r="3203" spans="1:7" x14ac:dyDescent="0.25">
      <c r="A3203">
        <v>1576604482</v>
      </c>
      <c r="B3203" t="s">
        <v>26134</v>
      </c>
      <c r="C3203">
        <v>0</v>
      </c>
      <c r="D3203">
        <v>0</v>
      </c>
      <c r="E3203">
        <v>0</v>
      </c>
      <c r="F3203">
        <v>7474</v>
      </c>
      <c r="G3203">
        <f t="shared" si="50"/>
        <v>1576604482</v>
      </c>
    </row>
    <row r="3204" spans="1:7" x14ac:dyDescent="0.25">
      <c r="A3204">
        <v>1576605405</v>
      </c>
      <c r="B3204" t="s">
        <v>26135</v>
      </c>
      <c r="C3204">
        <v>67</v>
      </c>
      <c r="D3204">
        <v>3</v>
      </c>
      <c r="E3204">
        <v>10687</v>
      </c>
      <c r="F3204">
        <v>1468</v>
      </c>
      <c r="G3204">
        <f t="shared" si="50"/>
        <v>1576605405</v>
      </c>
    </row>
    <row r="3205" spans="1:7" x14ac:dyDescent="0.25">
      <c r="A3205">
        <v>1576605487</v>
      </c>
      <c r="B3205" t="s">
        <v>26136</v>
      </c>
      <c r="C3205">
        <v>4</v>
      </c>
      <c r="D3205">
        <v>8</v>
      </c>
      <c r="E3205">
        <v>43744</v>
      </c>
      <c r="F3205">
        <v>71</v>
      </c>
      <c r="G3205">
        <f t="shared" si="50"/>
        <v>1576605487</v>
      </c>
    </row>
    <row r="3206" spans="1:7" x14ac:dyDescent="0.25">
      <c r="A3206">
        <v>1576608249</v>
      </c>
      <c r="B3206" t="s">
        <v>36416</v>
      </c>
      <c r="C3206">
        <v>0</v>
      </c>
      <c r="D3206">
        <v>1</v>
      </c>
      <c r="E3206">
        <v>1494</v>
      </c>
      <c r="F3206">
        <v>3600</v>
      </c>
      <c r="G3206">
        <f t="shared" si="50"/>
        <v>1576608249</v>
      </c>
    </row>
    <row r="3207" spans="1:7" x14ac:dyDescent="0.25">
      <c r="A3207">
        <v>1576609691</v>
      </c>
      <c r="B3207" t="s">
        <v>26137</v>
      </c>
      <c r="C3207">
        <v>1609</v>
      </c>
      <c r="D3207">
        <v>3</v>
      </c>
      <c r="E3207">
        <v>14617</v>
      </c>
      <c r="F3207">
        <v>1019</v>
      </c>
      <c r="G3207">
        <f t="shared" si="50"/>
        <v>1576609691</v>
      </c>
    </row>
    <row r="3208" spans="1:7" x14ac:dyDescent="0.25">
      <c r="A3208">
        <v>1576609927</v>
      </c>
      <c r="B3208" t="s">
        <v>36417</v>
      </c>
      <c r="C3208">
        <v>0</v>
      </c>
      <c r="D3208">
        <v>1</v>
      </c>
      <c r="E3208">
        <v>1427</v>
      </c>
      <c r="F3208">
        <v>3639</v>
      </c>
      <c r="G3208">
        <f t="shared" si="50"/>
        <v>1576609927</v>
      </c>
    </row>
    <row r="3209" spans="1:7" x14ac:dyDescent="0.25">
      <c r="A3209">
        <v>1576610239</v>
      </c>
      <c r="B3209" t="s">
        <v>26138</v>
      </c>
      <c r="C3209">
        <v>67</v>
      </c>
      <c r="D3209">
        <v>5</v>
      </c>
      <c r="E3209">
        <v>28977</v>
      </c>
      <c r="F3209">
        <v>270</v>
      </c>
      <c r="G3209">
        <f t="shared" si="50"/>
        <v>1576610239</v>
      </c>
    </row>
    <row r="3210" spans="1:7" x14ac:dyDescent="0.25">
      <c r="A3210">
        <v>1576610785</v>
      </c>
      <c r="B3210" t="s">
        <v>26139</v>
      </c>
      <c r="C3210">
        <v>419</v>
      </c>
      <c r="D3210">
        <v>1</v>
      </c>
      <c r="E3210">
        <v>6673</v>
      </c>
      <c r="F3210">
        <v>2165</v>
      </c>
      <c r="G3210">
        <f t="shared" si="50"/>
        <v>1576610785</v>
      </c>
    </row>
    <row r="3211" spans="1:7" x14ac:dyDescent="0.25">
      <c r="A3211">
        <v>1576612700</v>
      </c>
      <c r="B3211" t="s">
        <v>26140</v>
      </c>
      <c r="C3211">
        <v>1836</v>
      </c>
      <c r="D3211">
        <v>3</v>
      </c>
      <c r="E3211">
        <v>16678</v>
      </c>
      <c r="F3211">
        <v>853</v>
      </c>
      <c r="G3211">
        <f t="shared" si="50"/>
        <v>1576612700</v>
      </c>
    </row>
    <row r="3212" spans="1:7" x14ac:dyDescent="0.25">
      <c r="A3212">
        <v>1576613198</v>
      </c>
      <c r="B3212" t="s">
        <v>26141</v>
      </c>
      <c r="C3212">
        <v>733</v>
      </c>
      <c r="D3212">
        <v>5</v>
      </c>
      <c r="E3212">
        <v>27908</v>
      </c>
      <c r="F3212">
        <v>297</v>
      </c>
      <c r="G3212">
        <f t="shared" si="50"/>
        <v>1576613198</v>
      </c>
    </row>
    <row r="3213" spans="1:7" x14ac:dyDescent="0.25">
      <c r="A3213">
        <v>1576613431</v>
      </c>
      <c r="B3213" t="s">
        <v>2082</v>
      </c>
      <c r="C3213">
        <v>0</v>
      </c>
      <c r="D3213">
        <v>1</v>
      </c>
      <c r="E3213">
        <v>334</v>
      </c>
      <c r="F3213">
        <v>5028</v>
      </c>
      <c r="G3213">
        <f t="shared" si="50"/>
        <v>1576613431</v>
      </c>
    </row>
    <row r="3214" spans="1:7" x14ac:dyDescent="0.25">
      <c r="A3214">
        <v>1576614137</v>
      </c>
      <c r="B3214" t="s">
        <v>36418</v>
      </c>
      <c r="C3214">
        <v>58</v>
      </c>
      <c r="D3214">
        <v>3</v>
      </c>
      <c r="E3214">
        <v>13070</v>
      </c>
      <c r="F3214">
        <v>1174</v>
      </c>
      <c r="G3214">
        <f t="shared" si="50"/>
        <v>1576614137</v>
      </c>
    </row>
    <row r="3215" spans="1:7" x14ac:dyDescent="0.25">
      <c r="A3215">
        <v>1576614872</v>
      </c>
      <c r="B3215" t="s">
        <v>37298</v>
      </c>
      <c r="C3215">
        <v>205</v>
      </c>
      <c r="D3215">
        <v>1</v>
      </c>
      <c r="E3215">
        <v>1682</v>
      </c>
      <c r="F3215">
        <v>3507</v>
      </c>
      <c r="G3215">
        <f t="shared" si="50"/>
        <v>1576614872</v>
      </c>
    </row>
    <row r="3216" spans="1:7" x14ac:dyDescent="0.25">
      <c r="A3216">
        <v>1576615120</v>
      </c>
      <c r="B3216" t="s">
        <v>26142</v>
      </c>
      <c r="C3216">
        <v>235</v>
      </c>
      <c r="D3216">
        <v>1</v>
      </c>
      <c r="E3216">
        <v>1711</v>
      </c>
      <c r="F3216">
        <v>3490</v>
      </c>
      <c r="G3216">
        <f t="shared" si="50"/>
        <v>1576615120</v>
      </c>
    </row>
    <row r="3217" spans="1:7" x14ac:dyDescent="0.25">
      <c r="A3217">
        <v>1576615155</v>
      </c>
      <c r="B3217" t="s">
        <v>37299</v>
      </c>
      <c r="C3217">
        <v>537</v>
      </c>
      <c r="D3217">
        <v>3</v>
      </c>
      <c r="E3217">
        <v>14321</v>
      </c>
      <c r="F3217">
        <v>1049</v>
      </c>
      <c r="G3217">
        <f t="shared" si="50"/>
        <v>1576615155</v>
      </c>
    </row>
    <row r="3218" spans="1:7" x14ac:dyDescent="0.25">
      <c r="A3218">
        <v>1576617122</v>
      </c>
      <c r="B3218" t="s">
        <v>26143</v>
      </c>
      <c r="C3218">
        <v>1689</v>
      </c>
      <c r="D3218">
        <v>1</v>
      </c>
      <c r="E3218">
        <v>1044</v>
      </c>
      <c r="F3218">
        <v>3929</v>
      </c>
      <c r="G3218">
        <f t="shared" si="50"/>
        <v>1576617122</v>
      </c>
    </row>
    <row r="3219" spans="1:7" x14ac:dyDescent="0.25">
      <c r="A3219">
        <v>1576617361</v>
      </c>
      <c r="B3219" t="e">
        <f>-EDM</f>
        <v>#NAME?</v>
      </c>
      <c r="C3219">
        <v>919</v>
      </c>
      <c r="D3219">
        <v>0</v>
      </c>
      <c r="E3219">
        <v>0</v>
      </c>
      <c r="F3219">
        <v>7475</v>
      </c>
      <c r="G3219">
        <f t="shared" si="50"/>
        <v>1576617361</v>
      </c>
    </row>
    <row r="3220" spans="1:7" x14ac:dyDescent="0.25">
      <c r="A3220">
        <v>1576617784</v>
      </c>
      <c r="B3220" t="s">
        <v>36419</v>
      </c>
      <c r="C3220">
        <v>23</v>
      </c>
      <c r="D3220">
        <v>3</v>
      </c>
      <c r="E3220">
        <v>17753</v>
      </c>
      <c r="F3220">
        <v>769</v>
      </c>
      <c r="G3220">
        <f t="shared" si="50"/>
        <v>1576617784</v>
      </c>
    </row>
    <row r="3221" spans="1:7" x14ac:dyDescent="0.25">
      <c r="A3221">
        <v>1576618532</v>
      </c>
      <c r="B3221" t="s">
        <v>26144</v>
      </c>
      <c r="C3221">
        <v>1682</v>
      </c>
      <c r="D3221">
        <v>1</v>
      </c>
      <c r="E3221">
        <v>1794</v>
      </c>
      <c r="F3221">
        <v>3462</v>
      </c>
      <c r="G3221">
        <f t="shared" si="50"/>
        <v>1576618532</v>
      </c>
    </row>
    <row r="3222" spans="1:7" x14ac:dyDescent="0.25">
      <c r="A3222">
        <v>1576620676</v>
      </c>
      <c r="B3222" t="s">
        <v>36420</v>
      </c>
      <c r="C3222">
        <v>0</v>
      </c>
      <c r="D3222">
        <v>0</v>
      </c>
      <c r="E3222">
        <v>0</v>
      </c>
      <c r="F3222">
        <v>7476</v>
      </c>
      <c r="G3222">
        <f t="shared" si="50"/>
        <v>1576620676</v>
      </c>
    </row>
    <row r="3223" spans="1:7" x14ac:dyDescent="0.25">
      <c r="A3223">
        <v>1576621624</v>
      </c>
      <c r="B3223" t="s">
        <v>36421</v>
      </c>
      <c r="C3223">
        <v>205</v>
      </c>
      <c r="D3223">
        <v>1</v>
      </c>
      <c r="E3223">
        <v>1527</v>
      </c>
      <c r="F3223">
        <v>3581</v>
      </c>
      <c r="G3223">
        <f t="shared" si="50"/>
        <v>1576621624</v>
      </c>
    </row>
    <row r="3224" spans="1:7" x14ac:dyDescent="0.25">
      <c r="A3224">
        <v>1576622664</v>
      </c>
      <c r="B3224" t="s">
        <v>36422</v>
      </c>
      <c r="C3224">
        <v>1315</v>
      </c>
      <c r="D3224">
        <v>0</v>
      </c>
      <c r="E3224">
        <v>0</v>
      </c>
      <c r="F3224">
        <v>7477</v>
      </c>
      <c r="G3224">
        <f t="shared" si="50"/>
        <v>1576622664</v>
      </c>
    </row>
    <row r="3225" spans="1:7" x14ac:dyDescent="0.25">
      <c r="A3225">
        <v>1576623509</v>
      </c>
      <c r="B3225" t="s">
        <v>26145</v>
      </c>
      <c r="C3225">
        <v>53</v>
      </c>
      <c r="D3225">
        <v>3</v>
      </c>
      <c r="E3225">
        <v>15665</v>
      </c>
      <c r="F3225">
        <v>931</v>
      </c>
      <c r="G3225">
        <f t="shared" si="50"/>
        <v>1576623509</v>
      </c>
    </row>
    <row r="3226" spans="1:7" x14ac:dyDescent="0.25">
      <c r="A3226">
        <v>1576624271</v>
      </c>
      <c r="B3226" t="s">
        <v>26146</v>
      </c>
      <c r="C3226">
        <v>409</v>
      </c>
      <c r="D3226">
        <v>2</v>
      </c>
      <c r="E3226">
        <v>9177</v>
      </c>
      <c r="F3226">
        <v>1690</v>
      </c>
      <c r="G3226">
        <f t="shared" si="50"/>
        <v>1576624271</v>
      </c>
    </row>
    <row r="3227" spans="1:7" x14ac:dyDescent="0.25">
      <c r="A3227">
        <v>1576625579</v>
      </c>
      <c r="B3227" t="s">
        <v>36423</v>
      </c>
      <c r="C3227">
        <v>0</v>
      </c>
      <c r="D3227">
        <v>0</v>
      </c>
      <c r="E3227">
        <v>0</v>
      </c>
      <c r="F3227">
        <v>7478</v>
      </c>
      <c r="G3227">
        <f t="shared" si="50"/>
        <v>1576625579</v>
      </c>
    </row>
    <row r="3228" spans="1:7" x14ac:dyDescent="0.25">
      <c r="A3228">
        <v>1576625925</v>
      </c>
      <c r="B3228" t="s">
        <v>36424</v>
      </c>
      <c r="C3228">
        <v>0</v>
      </c>
      <c r="D3228">
        <v>1</v>
      </c>
      <c r="E3228">
        <v>26</v>
      </c>
      <c r="F3228">
        <v>6559</v>
      </c>
      <c r="G3228">
        <f t="shared" si="50"/>
        <v>1576625925</v>
      </c>
    </row>
    <row r="3229" spans="1:7" x14ac:dyDescent="0.25">
      <c r="A3229">
        <v>1576625972</v>
      </c>
      <c r="B3229" t="s">
        <v>26147</v>
      </c>
      <c r="C3229">
        <v>0</v>
      </c>
      <c r="D3229">
        <v>1</v>
      </c>
      <c r="E3229">
        <v>1047</v>
      </c>
      <c r="F3229">
        <v>3927</v>
      </c>
      <c r="G3229">
        <f t="shared" si="50"/>
        <v>1576625972</v>
      </c>
    </row>
    <row r="3230" spans="1:7" x14ac:dyDescent="0.25">
      <c r="A3230">
        <v>1576626300</v>
      </c>
      <c r="B3230" t="s">
        <v>36425</v>
      </c>
      <c r="C3230">
        <v>218</v>
      </c>
      <c r="D3230">
        <v>2</v>
      </c>
      <c r="E3230">
        <v>12868</v>
      </c>
      <c r="F3230">
        <v>1183</v>
      </c>
      <c r="G3230">
        <f t="shared" si="50"/>
        <v>1576626300</v>
      </c>
    </row>
    <row r="3231" spans="1:7" x14ac:dyDescent="0.25">
      <c r="A3231">
        <v>1576626408</v>
      </c>
      <c r="B3231" t="s">
        <v>26148</v>
      </c>
      <c r="C3231">
        <v>0</v>
      </c>
      <c r="D3231">
        <v>1</v>
      </c>
      <c r="E3231">
        <v>100</v>
      </c>
      <c r="F3231">
        <v>5851</v>
      </c>
      <c r="G3231">
        <f t="shared" si="50"/>
        <v>1576626408</v>
      </c>
    </row>
    <row r="3232" spans="1:7" x14ac:dyDescent="0.25">
      <c r="A3232">
        <v>1576626963</v>
      </c>
      <c r="B3232" t="s">
        <v>26149</v>
      </c>
      <c r="C3232">
        <v>294</v>
      </c>
      <c r="D3232">
        <v>3</v>
      </c>
      <c r="E3232">
        <v>10463</v>
      </c>
      <c r="F3232">
        <v>1499</v>
      </c>
      <c r="G3232">
        <f t="shared" si="50"/>
        <v>1576626963</v>
      </c>
    </row>
    <row r="3233" spans="1:7" x14ac:dyDescent="0.25">
      <c r="A3233">
        <v>1576627034</v>
      </c>
      <c r="B3233" t="s">
        <v>26150</v>
      </c>
      <c r="C3233">
        <v>0</v>
      </c>
      <c r="D3233">
        <v>1</v>
      </c>
      <c r="E3233">
        <v>195</v>
      </c>
      <c r="F3233">
        <v>5516</v>
      </c>
      <c r="G3233">
        <f t="shared" si="50"/>
        <v>1576627034</v>
      </c>
    </row>
    <row r="3234" spans="1:7" x14ac:dyDescent="0.25">
      <c r="A3234">
        <v>1576628556</v>
      </c>
      <c r="B3234" t="s">
        <v>26151</v>
      </c>
      <c r="C3234">
        <v>0</v>
      </c>
      <c r="D3234">
        <v>1</v>
      </c>
      <c r="E3234">
        <v>26</v>
      </c>
      <c r="F3234">
        <v>6560</v>
      </c>
      <c r="G3234">
        <f t="shared" si="50"/>
        <v>1576628556</v>
      </c>
    </row>
    <row r="3235" spans="1:7" x14ac:dyDescent="0.25">
      <c r="A3235">
        <v>1576628882</v>
      </c>
      <c r="B3235" t="s">
        <v>36426</v>
      </c>
      <c r="C3235">
        <v>4</v>
      </c>
      <c r="D3235">
        <v>10</v>
      </c>
      <c r="E3235">
        <v>57128</v>
      </c>
      <c r="F3235">
        <v>37</v>
      </c>
      <c r="G3235">
        <f t="shared" si="50"/>
        <v>1576628882</v>
      </c>
    </row>
    <row r="3236" spans="1:7" x14ac:dyDescent="0.25">
      <c r="A3236">
        <v>1576629032</v>
      </c>
      <c r="B3236" t="s">
        <v>36427</v>
      </c>
      <c r="C3236">
        <v>294</v>
      </c>
      <c r="D3236">
        <v>3</v>
      </c>
      <c r="E3236">
        <v>11474</v>
      </c>
      <c r="F3236">
        <v>1350</v>
      </c>
      <c r="G3236">
        <f t="shared" si="50"/>
        <v>1576629032</v>
      </c>
    </row>
    <row r="3237" spans="1:7" x14ac:dyDescent="0.25">
      <c r="A3237">
        <v>1576629992</v>
      </c>
      <c r="B3237" t="s">
        <v>37142</v>
      </c>
      <c r="C3237">
        <v>321</v>
      </c>
      <c r="D3237">
        <v>2</v>
      </c>
      <c r="E3237">
        <v>7914</v>
      </c>
      <c r="F3237">
        <v>1898</v>
      </c>
      <c r="G3237">
        <f t="shared" si="50"/>
        <v>1576629992</v>
      </c>
    </row>
    <row r="3238" spans="1:7" x14ac:dyDescent="0.25">
      <c r="A3238">
        <v>1576631461</v>
      </c>
      <c r="B3238" t="s">
        <v>26152</v>
      </c>
      <c r="C3238">
        <v>534</v>
      </c>
      <c r="D3238">
        <v>2</v>
      </c>
      <c r="E3238">
        <v>11467</v>
      </c>
      <c r="F3238">
        <v>1356</v>
      </c>
      <c r="G3238">
        <f t="shared" si="50"/>
        <v>1576631461</v>
      </c>
    </row>
    <row r="3239" spans="1:7" x14ac:dyDescent="0.25">
      <c r="A3239">
        <v>1576631552</v>
      </c>
      <c r="B3239" t="s">
        <v>36428</v>
      </c>
      <c r="C3239">
        <v>0</v>
      </c>
      <c r="D3239">
        <v>1</v>
      </c>
      <c r="E3239">
        <v>298</v>
      </c>
      <c r="F3239">
        <v>5126</v>
      </c>
      <c r="G3239">
        <f t="shared" si="50"/>
        <v>1576631552</v>
      </c>
    </row>
    <row r="3240" spans="1:7" x14ac:dyDescent="0.25">
      <c r="A3240">
        <v>1576632270</v>
      </c>
      <c r="B3240" t="s">
        <v>26153</v>
      </c>
      <c r="C3240">
        <v>0</v>
      </c>
      <c r="D3240">
        <v>0</v>
      </c>
      <c r="E3240">
        <v>0</v>
      </c>
      <c r="F3240">
        <v>7479</v>
      </c>
      <c r="G3240">
        <f t="shared" si="50"/>
        <v>1576632270</v>
      </c>
    </row>
    <row r="3241" spans="1:7" x14ac:dyDescent="0.25">
      <c r="A3241">
        <v>1576633726</v>
      </c>
      <c r="B3241" t="s">
        <v>26154</v>
      </c>
      <c r="C3241">
        <v>36</v>
      </c>
      <c r="D3241">
        <v>1</v>
      </c>
      <c r="E3241">
        <v>7763</v>
      </c>
      <c r="F3241">
        <v>1930</v>
      </c>
      <c r="G3241">
        <f t="shared" si="50"/>
        <v>1576633726</v>
      </c>
    </row>
    <row r="3242" spans="1:7" x14ac:dyDescent="0.25">
      <c r="A3242">
        <v>1576633838</v>
      </c>
      <c r="B3242" t="s">
        <v>26155</v>
      </c>
      <c r="C3242">
        <v>1913</v>
      </c>
      <c r="D3242">
        <v>1</v>
      </c>
      <c r="E3242">
        <v>1546</v>
      </c>
      <c r="F3242">
        <v>3619</v>
      </c>
      <c r="G3242">
        <f t="shared" si="50"/>
        <v>1576633838</v>
      </c>
    </row>
    <row r="3243" spans="1:7" x14ac:dyDescent="0.25">
      <c r="A3243">
        <v>1576634586</v>
      </c>
      <c r="B3243" t="s">
        <v>26156</v>
      </c>
      <c r="C3243">
        <v>0</v>
      </c>
      <c r="D3243">
        <v>0</v>
      </c>
      <c r="E3243">
        <v>0</v>
      </c>
      <c r="F3243">
        <v>7480</v>
      </c>
      <c r="G3243">
        <f t="shared" si="50"/>
        <v>1576634586</v>
      </c>
    </row>
    <row r="3244" spans="1:7" x14ac:dyDescent="0.25">
      <c r="A3244">
        <v>1576635820</v>
      </c>
      <c r="B3244" t="s">
        <v>36429</v>
      </c>
      <c r="C3244">
        <v>1991</v>
      </c>
      <c r="D3244">
        <v>1</v>
      </c>
      <c r="E3244">
        <v>389</v>
      </c>
      <c r="F3244">
        <v>4875</v>
      </c>
      <c r="G3244">
        <f t="shared" si="50"/>
        <v>1576635820</v>
      </c>
    </row>
    <row r="3245" spans="1:7" x14ac:dyDescent="0.25">
      <c r="A3245">
        <v>1576635949</v>
      </c>
      <c r="B3245" t="s">
        <v>26157</v>
      </c>
      <c r="C3245">
        <v>1850</v>
      </c>
      <c r="D3245">
        <v>1</v>
      </c>
      <c r="E3245">
        <v>1225</v>
      </c>
      <c r="F3245">
        <v>3797</v>
      </c>
      <c r="G3245">
        <f t="shared" si="50"/>
        <v>1576635949</v>
      </c>
    </row>
    <row r="3246" spans="1:7" x14ac:dyDescent="0.25">
      <c r="A3246">
        <v>1576639107</v>
      </c>
      <c r="B3246" t="s">
        <v>26158</v>
      </c>
      <c r="C3246">
        <v>36</v>
      </c>
      <c r="D3246">
        <v>3</v>
      </c>
      <c r="E3246">
        <v>12508</v>
      </c>
      <c r="F3246">
        <v>1227</v>
      </c>
      <c r="G3246">
        <f t="shared" si="50"/>
        <v>1576639107</v>
      </c>
    </row>
    <row r="3247" spans="1:7" x14ac:dyDescent="0.25">
      <c r="A3247">
        <v>1576639538</v>
      </c>
      <c r="B3247" t="s">
        <v>26159</v>
      </c>
      <c r="C3247">
        <v>0</v>
      </c>
      <c r="D3247">
        <v>0</v>
      </c>
      <c r="E3247">
        <v>0</v>
      </c>
      <c r="F3247">
        <v>7481</v>
      </c>
      <c r="G3247">
        <f t="shared" si="50"/>
        <v>1576639538</v>
      </c>
    </row>
    <row r="3248" spans="1:7" x14ac:dyDescent="0.25">
      <c r="A3248">
        <v>1576640514</v>
      </c>
      <c r="B3248" t="s">
        <v>1271</v>
      </c>
      <c r="C3248">
        <v>1689</v>
      </c>
      <c r="D3248">
        <v>1</v>
      </c>
      <c r="E3248">
        <v>1033</v>
      </c>
      <c r="F3248">
        <v>3944</v>
      </c>
      <c r="G3248">
        <f t="shared" si="50"/>
        <v>1576640514</v>
      </c>
    </row>
    <row r="3249" spans="1:7" x14ac:dyDescent="0.25">
      <c r="A3249">
        <v>1576641448</v>
      </c>
      <c r="B3249" t="s">
        <v>26160</v>
      </c>
      <c r="C3249">
        <v>0</v>
      </c>
      <c r="D3249">
        <v>0</v>
      </c>
      <c r="E3249">
        <v>0</v>
      </c>
      <c r="F3249">
        <v>7482</v>
      </c>
      <c r="G3249">
        <f t="shared" si="50"/>
        <v>1576641448</v>
      </c>
    </row>
    <row r="3250" spans="1:7" x14ac:dyDescent="0.25">
      <c r="A3250">
        <v>1576641692</v>
      </c>
      <c r="B3250" t="s">
        <v>26161</v>
      </c>
      <c r="C3250">
        <v>0</v>
      </c>
      <c r="D3250">
        <v>1</v>
      </c>
      <c r="E3250">
        <v>208</v>
      </c>
      <c r="F3250">
        <v>5469</v>
      </c>
      <c r="G3250">
        <f t="shared" si="50"/>
        <v>1576641692</v>
      </c>
    </row>
    <row r="3251" spans="1:7" x14ac:dyDescent="0.25">
      <c r="A3251">
        <v>1576642319</v>
      </c>
      <c r="B3251" t="s">
        <v>26162</v>
      </c>
      <c r="C3251">
        <v>0</v>
      </c>
      <c r="D3251">
        <v>0</v>
      </c>
      <c r="E3251">
        <v>0</v>
      </c>
      <c r="F3251">
        <v>7483</v>
      </c>
      <c r="G3251">
        <f t="shared" si="50"/>
        <v>1576642319</v>
      </c>
    </row>
    <row r="3252" spans="1:7" x14ac:dyDescent="0.25">
      <c r="A3252">
        <v>1576644130</v>
      </c>
      <c r="B3252" t="s">
        <v>26163</v>
      </c>
      <c r="C3252">
        <v>1974</v>
      </c>
      <c r="D3252">
        <v>1</v>
      </c>
      <c r="E3252">
        <v>1035</v>
      </c>
      <c r="F3252">
        <v>3963</v>
      </c>
      <c r="G3252">
        <f t="shared" si="50"/>
        <v>1576644130</v>
      </c>
    </row>
    <row r="3253" spans="1:7" x14ac:dyDescent="0.25">
      <c r="A3253">
        <v>1576647134</v>
      </c>
      <c r="B3253" t="s">
        <v>26164</v>
      </c>
      <c r="C3253">
        <v>0</v>
      </c>
      <c r="D3253">
        <v>1</v>
      </c>
      <c r="E3253">
        <v>1617</v>
      </c>
      <c r="F3253">
        <v>3539</v>
      </c>
      <c r="G3253">
        <f t="shared" si="50"/>
        <v>1576647134</v>
      </c>
    </row>
    <row r="3254" spans="1:7" x14ac:dyDescent="0.25">
      <c r="A3254">
        <v>1576647681</v>
      </c>
      <c r="B3254" t="s">
        <v>26165</v>
      </c>
      <c r="C3254">
        <v>1999</v>
      </c>
      <c r="D3254">
        <v>1</v>
      </c>
      <c r="E3254">
        <v>184</v>
      </c>
      <c r="F3254">
        <v>5567</v>
      </c>
      <c r="G3254">
        <f t="shared" si="50"/>
        <v>1576647681</v>
      </c>
    </row>
    <row r="3255" spans="1:7" x14ac:dyDescent="0.25">
      <c r="A3255">
        <v>1576649724</v>
      </c>
      <c r="B3255" t="s">
        <v>26166</v>
      </c>
      <c r="C3255">
        <v>680</v>
      </c>
      <c r="D3255">
        <v>1</v>
      </c>
      <c r="E3255">
        <v>4639</v>
      </c>
      <c r="F3255">
        <v>2586</v>
      </c>
      <c r="G3255">
        <f t="shared" si="50"/>
        <v>1576649724</v>
      </c>
    </row>
    <row r="3256" spans="1:7" x14ac:dyDescent="0.25">
      <c r="A3256">
        <v>1576650152</v>
      </c>
      <c r="B3256" t="s">
        <v>26167</v>
      </c>
      <c r="C3256">
        <v>0</v>
      </c>
      <c r="D3256">
        <v>0</v>
      </c>
      <c r="E3256">
        <v>0</v>
      </c>
      <c r="F3256">
        <v>7484</v>
      </c>
      <c r="G3256">
        <f t="shared" si="50"/>
        <v>1576650152</v>
      </c>
    </row>
    <row r="3257" spans="1:7" x14ac:dyDescent="0.25">
      <c r="A3257">
        <v>1576650707</v>
      </c>
      <c r="B3257" t="s">
        <v>26168</v>
      </c>
      <c r="C3257">
        <v>0</v>
      </c>
      <c r="D3257">
        <v>1</v>
      </c>
      <c r="E3257">
        <v>469</v>
      </c>
      <c r="F3257">
        <v>4701</v>
      </c>
      <c r="G3257">
        <f t="shared" si="50"/>
        <v>1576650707</v>
      </c>
    </row>
    <row r="3258" spans="1:7" x14ac:dyDescent="0.25">
      <c r="A3258">
        <v>1576652175</v>
      </c>
      <c r="B3258" t="s">
        <v>26169</v>
      </c>
      <c r="C3258">
        <v>53</v>
      </c>
      <c r="D3258">
        <v>2</v>
      </c>
      <c r="E3258">
        <v>11652</v>
      </c>
      <c r="F3258">
        <v>1326</v>
      </c>
      <c r="G3258">
        <f t="shared" si="50"/>
        <v>1576652175</v>
      </c>
    </row>
    <row r="3259" spans="1:7" x14ac:dyDescent="0.25">
      <c r="A3259">
        <v>1576653088</v>
      </c>
      <c r="B3259" t="s">
        <v>26170</v>
      </c>
      <c r="C3259">
        <v>1691</v>
      </c>
      <c r="D3259">
        <v>1</v>
      </c>
      <c r="E3259">
        <v>267</v>
      </c>
      <c r="F3259">
        <v>5236</v>
      </c>
      <c r="G3259">
        <f t="shared" si="50"/>
        <v>1576653088</v>
      </c>
    </row>
    <row r="3260" spans="1:7" x14ac:dyDescent="0.25">
      <c r="A3260">
        <v>1576654615</v>
      </c>
      <c r="B3260" t="s">
        <v>26171</v>
      </c>
      <c r="C3260">
        <v>31</v>
      </c>
      <c r="D3260">
        <v>5</v>
      </c>
      <c r="E3260">
        <v>25029</v>
      </c>
      <c r="F3260">
        <v>390</v>
      </c>
      <c r="G3260">
        <f t="shared" si="50"/>
        <v>1576654615</v>
      </c>
    </row>
    <row r="3261" spans="1:7" x14ac:dyDescent="0.25">
      <c r="A3261">
        <v>1576654683</v>
      </c>
      <c r="B3261" t="s">
        <v>26172</v>
      </c>
      <c r="C3261">
        <v>0</v>
      </c>
      <c r="D3261">
        <v>1</v>
      </c>
      <c r="E3261">
        <v>178</v>
      </c>
      <c r="F3261">
        <v>5589</v>
      </c>
      <c r="G3261">
        <f t="shared" si="50"/>
        <v>1576654683</v>
      </c>
    </row>
    <row r="3262" spans="1:7" x14ac:dyDescent="0.25">
      <c r="A3262">
        <v>1576655029</v>
      </c>
      <c r="B3262" t="s">
        <v>26173</v>
      </c>
      <c r="C3262">
        <v>1674</v>
      </c>
      <c r="D3262">
        <v>0</v>
      </c>
      <c r="E3262">
        <v>0</v>
      </c>
      <c r="F3262">
        <v>7485</v>
      </c>
      <c r="G3262">
        <f t="shared" si="50"/>
        <v>1576655029</v>
      </c>
    </row>
    <row r="3263" spans="1:7" x14ac:dyDescent="0.25">
      <c r="A3263">
        <v>1576655476</v>
      </c>
      <c r="B3263" t="s">
        <v>26174</v>
      </c>
      <c r="C3263">
        <v>1609</v>
      </c>
      <c r="D3263">
        <v>4</v>
      </c>
      <c r="E3263">
        <v>15326</v>
      </c>
      <c r="F3263">
        <v>968</v>
      </c>
      <c r="G3263">
        <f t="shared" si="50"/>
        <v>1576655476</v>
      </c>
    </row>
    <row r="3264" spans="1:7" x14ac:dyDescent="0.25">
      <c r="A3264">
        <v>1576656557</v>
      </c>
      <c r="B3264" t="s">
        <v>26175</v>
      </c>
      <c r="C3264">
        <v>124</v>
      </c>
      <c r="D3264">
        <v>4</v>
      </c>
      <c r="E3264">
        <v>12888</v>
      </c>
      <c r="F3264">
        <v>1181</v>
      </c>
      <c r="G3264">
        <f t="shared" si="50"/>
        <v>1576656557</v>
      </c>
    </row>
    <row r="3265" spans="1:7" x14ac:dyDescent="0.25">
      <c r="A3265">
        <v>1576657010</v>
      </c>
      <c r="B3265" t="s">
        <v>26176</v>
      </c>
      <c r="C3265">
        <v>0</v>
      </c>
      <c r="D3265">
        <v>1</v>
      </c>
      <c r="E3265">
        <v>54</v>
      </c>
      <c r="F3265">
        <v>6134</v>
      </c>
      <c r="G3265">
        <f t="shared" ref="G3265:G3328" si="51">A3265</f>
        <v>1576657010</v>
      </c>
    </row>
    <row r="3266" spans="1:7" x14ac:dyDescent="0.25">
      <c r="A3266">
        <v>1576658322</v>
      </c>
      <c r="B3266" t="s">
        <v>26177</v>
      </c>
      <c r="C3266">
        <v>152</v>
      </c>
      <c r="D3266">
        <v>7</v>
      </c>
      <c r="E3266">
        <v>33305</v>
      </c>
      <c r="F3266">
        <v>176</v>
      </c>
      <c r="G3266">
        <f t="shared" si="51"/>
        <v>1576658322</v>
      </c>
    </row>
    <row r="3267" spans="1:7" x14ac:dyDescent="0.25">
      <c r="A3267">
        <v>1576658335</v>
      </c>
      <c r="B3267" t="s">
        <v>26178</v>
      </c>
      <c r="C3267">
        <v>422</v>
      </c>
      <c r="D3267">
        <v>4</v>
      </c>
      <c r="E3267">
        <v>22973</v>
      </c>
      <c r="F3267">
        <v>475</v>
      </c>
      <c r="G3267">
        <f t="shared" si="51"/>
        <v>1576658335</v>
      </c>
    </row>
    <row r="3268" spans="1:7" x14ac:dyDescent="0.25">
      <c r="A3268">
        <v>1576659054</v>
      </c>
      <c r="B3268" t="s">
        <v>36430</v>
      </c>
      <c r="C3268">
        <v>1836</v>
      </c>
      <c r="D3268">
        <v>2</v>
      </c>
      <c r="E3268">
        <v>7797</v>
      </c>
      <c r="F3268">
        <v>1922</v>
      </c>
      <c r="G3268">
        <f t="shared" si="51"/>
        <v>1576659054</v>
      </c>
    </row>
    <row r="3269" spans="1:7" x14ac:dyDescent="0.25">
      <c r="A3269">
        <v>1576660551</v>
      </c>
      <c r="B3269" t="s">
        <v>26179</v>
      </c>
      <c r="C3269">
        <v>431</v>
      </c>
      <c r="D3269">
        <v>1</v>
      </c>
      <c r="E3269">
        <v>583</v>
      </c>
      <c r="F3269">
        <v>4497</v>
      </c>
      <c r="G3269">
        <f t="shared" si="51"/>
        <v>1576660551</v>
      </c>
    </row>
    <row r="3270" spans="1:7" x14ac:dyDescent="0.25">
      <c r="A3270">
        <v>1576660691</v>
      </c>
      <c r="B3270" t="s">
        <v>36431</v>
      </c>
      <c r="C3270">
        <v>0</v>
      </c>
      <c r="D3270">
        <v>1</v>
      </c>
      <c r="E3270">
        <v>53</v>
      </c>
      <c r="F3270">
        <v>6141</v>
      </c>
      <c r="G3270">
        <f t="shared" si="51"/>
        <v>1576660691</v>
      </c>
    </row>
    <row r="3271" spans="1:7" x14ac:dyDescent="0.25">
      <c r="A3271">
        <v>1576661570</v>
      </c>
      <c r="B3271" t="s">
        <v>26180</v>
      </c>
      <c r="C3271">
        <v>4</v>
      </c>
      <c r="D3271">
        <v>6</v>
      </c>
      <c r="E3271">
        <v>29093</v>
      </c>
      <c r="F3271">
        <v>269</v>
      </c>
      <c r="G3271">
        <f t="shared" si="51"/>
        <v>1576661570</v>
      </c>
    </row>
    <row r="3272" spans="1:7" x14ac:dyDescent="0.25">
      <c r="A3272">
        <v>1576662455</v>
      </c>
      <c r="B3272" t="s">
        <v>26181</v>
      </c>
      <c r="C3272">
        <v>0</v>
      </c>
      <c r="D3272">
        <v>1</v>
      </c>
      <c r="E3272">
        <v>474</v>
      </c>
      <c r="F3272">
        <v>4692</v>
      </c>
      <c r="G3272">
        <f t="shared" si="51"/>
        <v>1576662455</v>
      </c>
    </row>
    <row r="3273" spans="1:7" x14ac:dyDescent="0.25">
      <c r="A3273">
        <v>1576662569</v>
      </c>
      <c r="B3273" t="s">
        <v>26182</v>
      </c>
      <c r="C3273">
        <v>31</v>
      </c>
      <c r="D3273">
        <v>4</v>
      </c>
      <c r="E3273">
        <v>17038</v>
      </c>
      <c r="F3273">
        <v>824</v>
      </c>
      <c r="G3273">
        <f t="shared" si="51"/>
        <v>1576662569</v>
      </c>
    </row>
    <row r="3274" spans="1:7" x14ac:dyDescent="0.25">
      <c r="A3274">
        <v>1576662600</v>
      </c>
      <c r="B3274" t="s">
        <v>26183</v>
      </c>
      <c r="C3274">
        <v>0</v>
      </c>
      <c r="D3274">
        <v>1</v>
      </c>
      <c r="E3274">
        <v>1385</v>
      </c>
      <c r="F3274">
        <v>3667</v>
      </c>
      <c r="G3274">
        <f t="shared" si="51"/>
        <v>1576662600</v>
      </c>
    </row>
    <row r="3275" spans="1:7" x14ac:dyDescent="0.25">
      <c r="A3275">
        <v>1576663664</v>
      </c>
      <c r="B3275" t="s">
        <v>26184</v>
      </c>
      <c r="C3275">
        <v>118</v>
      </c>
      <c r="D3275">
        <v>3</v>
      </c>
      <c r="E3275">
        <v>8039</v>
      </c>
      <c r="F3275">
        <v>1873</v>
      </c>
      <c r="G3275">
        <f t="shared" si="51"/>
        <v>1576663664</v>
      </c>
    </row>
    <row r="3276" spans="1:7" x14ac:dyDescent="0.25">
      <c r="A3276">
        <v>1576664405</v>
      </c>
      <c r="B3276" t="s">
        <v>26185</v>
      </c>
      <c r="C3276">
        <v>6</v>
      </c>
      <c r="D3276">
        <v>3</v>
      </c>
      <c r="E3276">
        <v>15644</v>
      </c>
      <c r="F3276">
        <v>934</v>
      </c>
      <c r="G3276">
        <f t="shared" si="51"/>
        <v>1576664405</v>
      </c>
    </row>
    <row r="3277" spans="1:7" x14ac:dyDescent="0.25">
      <c r="A3277">
        <v>1576664721</v>
      </c>
      <c r="B3277" t="s">
        <v>26186</v>
      </c>
      <c r="C3277">
        <v>0</v>
      </c>
      <c r="D3277">
        <v>1</v>
      </c>
      <c r="E3277">
        <v>1377</v>
      </c>
      <c r="F3277">
        <v>3679</v>
      </c>
      <c r="G3277">
        <f t="shared" si="51"/>
        <v>1576664721</v>
      </c>
    </row>
    <row r="3278" spans="1:7" x14ac:dyDescent="0.25">
      <c r="A3278">
        <v>1576665431</v>
      </c>
      <c r="B3278" t="s">
        <v>26187</v>
      </c>
      <c r="C3278">
        <v>0</v>
      </c>
      <c r="D3278">
        <v>0</v>
      </c>
      <c r="E3278">
        <v>0</v>
      </c>
      <c r="F3278">
        <v>7486</v>
      </c>
      <c r="G3278">
        <f t="shared" si="51"/>
        <v>1576665431</v>
      </c>
    </row>
    <row r="3279" spans="1:7" x14ac:dyDescent="0.25">
      <c r="A3279">
        <v>1576665516</v>
      </c>
      <c r="B3279" t="s">
        <v>26188</v>
      </c>
      <c r="C3279">
        <v>0</v>
      </c>
      <c r="D3279">
        <v>1</v>
      </c>
      <c r="E3279">
        <v>776</v>
      </c>
      <c r="F3279">
        <v>4237</v>
      </c>
      <c r="G3279">
        <f t="shared" si="51"/>
        <v>1576665516</v>
      </c>
    </row>
    <row r="3280" spans="1:7" x14ac:dyDescent="0.25">
      <c r="A3280">
        <v>1576666092</v>
      </c>
      <c r="B3280" t="s">
        <v>26189</v>
      </c>
      <c r="C3280">
        <v>0</v>
      </c>
      <c r="D3280">
        <v>0</v>
      </c>
      <c r="E3280">
        <v>0</v>
      </c>
      <c r="F3280">
        <v>7487</v>
      </c>
      <c r="G3280">
        <f t="shared" si="51"/>
        <v>1576666092</v>
      </c>
    </row>
    <row r="3281" spans="1:7" x14ac:dyDescent="0.25">
      <c r="A3281">
        <v>1576667777</v>
      </c>
      <c r="B3281" t="s">
        <v>26190</v>
      </c>
      <c r="C3281">
        <v>0</v>
      </c>
      <c r="D3281">
        <v>0</v>
      </c>
      <c r="E3281">
        <v>0</v>
      </c>
      <c r="F3281">
        <v>7488</v>
      </c>
      <c r="G3281">
        <f t="shared" si="51"/>
        <v>1576667777</v>
      </c>
    </row>
    <row r="3282" spans="1:7" x14ac:dyDescent="0.25">
      <c r="A3282">
        <v>1576668504</v>
      </c>
      <c r="B3282" t="s">
        <v>26191</v>
      </c>
      <c r="C3282">
        <v>0</v>
      </c>
      <c r="D3282">
        <v>1</v>
      </c>
      <c r="E3282">
        <v>26</v>
      </c>
      <c r="F3282">
        <v>6561</v>
      </c>
      <c r="G3282">
        <f t="shared" si="51"/>
        <v>1576668504</v>
      </c>
    </row>
    <row r="3283" spans="1:7" x14ac:dyDescent="0.25">
      <c r="A3283">
        <v>1576669167</v>
      </c>
      <c r="B3283" t="s">
        <v>26192</v>
      </c>
      <c r="C3283">
        <v>0</v>
      </c>
      <c r="D3283">
        <v>0</v>
      </c>
      <c r="E3283">
        <v>0</v>
      </c>
      <c r="F3283">
        <v>7489</v>
      </c>
      <c r="G3283">
        <f t="shared" si="51"/>
        <v>1576669167</v>
      </c>
    </row>
    <row r="3284" spans="1:7" x14ac:dyDescent="0.25">
      <c r="A3284">
        <v>1576670805</v>
      </c>
      <c r="B3284" t="s">
        <v>26193</v>
      </c>
      <c r="C3284">
        <v>924</v>
      </c>
      <c r="D3284">
        <v>1</v>
      </c>
      <c r="E3284">
        <v>5337</v>
      </c>
      <c r="F3284">
        <v>2439</v>
      </c>
      <c r="G3284">
        <f t="shared" si="51"/>
        <v>1576670805</v>
      </c>
    </row>
    <row r="3285" spans="1:7" x14ac:dyDescent="0.25">
      <c r="A3285">
        <v>1576671087</v>
      </c>
      <c r="B3285" t="s">
        <v>26194</v>
      </c>
      <c r="C3285">
        <v>1503</v>
      </c>
      <c r="D3285">
        <v>5</v>
      </c>
      <c r="E3285">
        <v>27535</v>
      </c>
      <c r="F3285">
        <v>311</v>
      </c>
      <c r="G3285">
        <f t="shared" si="51"/>
        <v>1576671087</v>
      </c>
    </row>
    <row r="3286" spans="1:7" x14ac:dyDescent="0.25">
      <c r="A3286">
        <v>1576671131</v>
      </c>
      <c r="B3286" t="s">
        <v>26195</v>
      </c>
      <c r="C3286">
        <v>0</v>
      </c>
      <c r="D3286">
        <v>1</v>
      </c>
      <c r="E3286">
        <v>26</v>
      </c>
      <c r="F3286">
        <v>6562</v>
      </c>
      <c r="G3286">
        <f t="shared" si="51"/>
        <v>1576671131</v>
      </c>
    </row>
    <row r="3287" spans="1:7" x14ac:dyDescent="0.25">
      <c r="A3287">
        <v>1576671578</v>
      </c>
      <c r="B3287" t="s">
        <v>36432</v>
      </c>
      <c r="C3287">
        <v>0</v>
      </c>
      <c r="D3287">
        <v>1</v>
      </c>
      <c r="E3287">
        <v>743</v>
      </c>
      <c r="F3287">
        <v>4289</v>
      </c>
      <c r="G3287">
        <f t="shared" si="51"/>
        <v>1576671578</v>
      </c>
    </row>
    <row r="3288" spans="1:7" x14ac:dyDescent="0.25">
      <c r="A3288">
        <v>1576671991</v>
      </c>
      <c r="B3288" t="s">
        <v>26196</v>
      </c>
      <c r="C3288">
        <v>0</v>
      </c>
      <c r="D3288">
        <v>0</v>
      </c>
      <c r="E3288">
        <v>0</v>
      </c>
      <c r="F3288">
        <v>7490</v>
      </c>
      <c r="G3288">
        <f t="shared" si="51"/>
        <v>1576671991</v>
      </c>
    </row>
    <row r="3289" spans="1:7" x14ac:dyDescent="0.25">
      <c r="A3289">
        <v>1576672063</v>
      </c>
      <c r="B3289" t="s">
        <v>26197</v>
      </c>
      <c r="C3289">
        <v>0</v>
      </c>
      <c r="D3289">
        <v>0</v>
      </c>
      <c r="E3289">
        <v>0</v>
      </c>
      <c r="F3289">
        <v>7491</v>
      </c>
      <c r="G3289">
        <f t="shared" si="51"/>
        <v>1576672063</v>
      </c>
    </row>
    <row r="3290" spans="1:7" x14ac:dyDescent="0.25">
      <c r="A3290">
        <v>1576672940</v>
      </c>
      <c r="B3290" t="s">
        <v>26198</v>
      </c>
      <c r="C3290">
        <v>0</v>
      </c>
      <c r="D3290">
        <v>1</v>
      </c>
      <c r="E3290">
        <v>400</v>
      </c>
      <c r="F3290">
        <v>4861</v>
      </c>
      <c r="G3290">
        <f t="shared" si="51"/>
        <v>1576672940</v>
      </c>
    </row>
    <row r="3291" spans="1:7" x14ac:dyDescent="0.25">
      <c r="A3291">
        <v>1576673038</v>
      </c>
      <c r="B3291" t="s">
        <v>26199</v>
      </c>
      <c r="C3291">
        <v>0</v>
      </c>
      <c r="D3291">
        <v>0</v>
      </c>
      <c r="E3291">
        <v>0</v>
      </c>
      <c r="F3291">
        <v>7492</v>
      </c>
      <c r="G3291">
        <f t="shared" si="51"/>
        <v>1576673038</v>
      </c>
    </row>
    <row r="3292" spans="1:7" x14ac:dyDescent="0.25">
      <c r="A3292">
        <v>1576674038</v>
      </c>
      <c r="B3292" t="s">
        <v>26200</v>
      </c>
      <c r="C3292">
        <v>175</v>
      </c>
      <c r="D3292">
        <v>5</v>
      </c>
      <c r="E3292">
        <v>23692</v>
      </c>
      <c r="F3292">
        <v>445</v>
      </c>
      <c r="G3292">
        <f t="shared" si="51"/>
        <v>1576674038</v>
      </c>
    </row>
    <row r="3293" spans="1:7" x14ac:dyDescent="0.25">
      <c r="A3293">
        <v>1576674301</v>
      </c>
      <c r="B3293" t="s">
        <v>26201</v>
      </c>
      <c r="C3293">
        <v>0</v>
      </c>
      <c r="D3293">
        <v>1</v>
      </c>
      <c r="E3293">
        <v>373</v>
      </c>
      <c r="F3293">
        <v>4920</v>
      </c>
      <c r="G3293">
        <f t="shared" si="51"/>
        <v>1576674301</v>
      </c>
    </row>
    <row r="3294" spans="1:7" x14ac:dyDescent="0.25">
      <c r="A3294">
        <v>1576674932</v>
      </c>
      <c r="B3294" t="s">
        <v>26202</v>
      </c>
      <c r="C3294">
        <v>0</v>
      </c>
      <c r="D3294">
        <v>1</v>
      </c>
      <c r="E3294">
        <v>26</v>
      </c>
      <c r="F3294">
        <v>6563</v>
      </c>
      <c r="G3294">
        <f t="shared" si="51"/>
        <v>1576674932</v>
      </c>
    </row>
    <row r="3295" spans="1:7" x14ac:dyDescent="0.25">
      <c r="A3295">
        <v>1576675354</v>
      </c>
      <c r="B3295" t="s">
        <v>26203</v>
      </c>
      <c r="C3295">
        <v>0</v>
      </c>
      <c r="D3295">
        <v>1</v>
      </c>
      <c r="E3295">
        <v>162</v>
      </c>
      <c r="F3295">
        <v>5649</v>
      </c>
      <c r="G3295">
        <f t="shared" si="51"/>
        <v>1576675354</v>
      </c>
    </row>
    <row r="3296" spans="1:7" x14ac:dyDescent="0.25">
      <c r="A3296">
        <v>1576675927</v>
      </c>
      <c r="B3296" t="s">
        <v>26204</v>
      </c>
      <c r="C3296">
        <v>0</v>
      </c>
      <c r="D3296">
        <v>1</v>
      </c>
      <c r="E3296">
        <v>38</v>
      </c>
      <c r="F3296">
        <v>6273</v>
      </c>
      <c r="G3296">
        <f t="shared" si="51"/>
        <v>1576675927</v>
      </c>
    </row>
    <row r="3297" spans="1:7" x14ac:dyDescent="0.25">
      <c r="A3297">
        <v>1576676103</v>
      </c>
      <c r="B3297" t="s">
        <v>36433</v>
      </c>
      <c r="C3297">
        <v>0</v>
      </c>
      <c r="D3297">
        <v>1</v>
      </c>
      <c r="E3297">
        <v>868</v>
      </c>
      <c r="F3297">
        <v>4120</v>
      </c>
      <c r="G3297">
        <f t="shared" si="51"/>
        <v>1576676103</v>
      </c>
    </row>
    <row r="3298" spans="1:7" x14ac:dyDescent="0.25">
      <c r="A3298">
        <v>1576676664</v>
      </c>
      <c r="B3298" t="s">
        <v>36434</v>
      </c>
      <c r="C3298">
        <v>0</v>
      </c>
      <c r="D3298">
        <v>1</v>
      </c>
      <c r="E3298">
        <v>54</v>
      </c>
      <c r="F3298">
        <v>6135</v>
      </c>
      <c r="G3298">
        <f t="shared" si="51"/>
        <v>1576676664</v>
      </c>
    </row>
    <row r="3299" spans="1:7" x14ac:dyDescent="0.25">
      <c r="A3299">
        <v>1576677891</v>
      </c>
      <c r="B3299" t="s">
        <v>37300</v>
      </c>
      <c r="C3299">
        <v>235</v>
      </c>
      <c r="D3299">
        <v>1</v>
      </c>
      <c r="E3299">
        <v>3115</v>
      </c>
      <c r="F3299">
        <v>2965</v>
      </c>
      <c r="G3299">
        <f t="shared" si="51"/>
        <v>1576677891</v>
      </c>
    </row>
    <row r="3300" spans="1:7" x14ac:dyDescent="0.25">
      <c r="A3300">
        <v>1576679391</v>
      </c>
      <c r="B3300" t="s">
        <v>36435</v>
      </c>
      <c r="C3300">
        <v>23</v>
      </c>
      <c r="D3300">
        <v>3</v>
      </c>
      <c r="E3300">
        <v>19951</v>
      </c>
      <c r="F3300">
        <v>626</v>
      </c>
      <c r="G3300">
        <f t="shared" si="51"/>
        <v>1576679391</v>
      </c>
    </row>
    <row r="3301" spans="1:7" x14ac:dyDescent="0.25">
      <c r="A3301">
        <v>1576679949</v>
      </c>
      <c r="B3301" t="s">
        <v>26205</v>
      </c>
      <c r="C3301">
        <v>0</v>
      </c>
      <c r="D3301">
        <v>1</v>
      </c>
      <c r="E3301">
        <v>362</v>
      </c>
      <c r="F3301">
        <v>4950</v>
      </c>
      <c r="G3301">
        <f t="shared" si="51"/>
        <v>1576679949</v>
      </c>
    </row>
    <row r="3302" spans="1:7" x14ac:dyDescent="0.25">
      <c r="A3302">
        <v>1576680977</v>
      </c>
      <c r="B3302" t="s">
        <v>26206</v>
      </c>
      <c r="C3302">
        <v>424</v>
      </c>
      <c r="D3302">
        <v>10</v>
      </c>
      <c r="E3302">
        <v>61975</v>
      </c>
      <c r="F3302">
        <v>18</v>
      </c>
      <c r="G3302">
        <f t="shared" si="51"/>
        <v>1576680977</v>
      </c>
    </row>
    <row r="3303" spans="1:7" x14ac:dyDescent="0.25">
      <c r="A3303">
        <v>1576681265</v>
      </c>
      <c r="B3303" t="s">
        <v>26207</v>
      </c>
      <c r="C3303">
        <v>174</v>
      </c>
      <c r="D3303">
        <v>1</v>
      </c>
      <c r="E3303">
        <v>6417</v>
      </c>
      <c r="F3303">
        <v>2185</v>
      </c>
      <c r="G3303">
        <f t="shared" si="51"/>
        <v>1576681265</v>
      </c>
    </row>
    <row r="3304" spans="1:7" x14ac:dyDescent="0.25">
      <c r="A3304">
        <v>1576681280</v>
      </c>
      <c r="B3304" t="s">
        <v>36436</v>
      </c>
      <c r="C3304">
        <v>1535</v>
      </c>
      <c r="D3304">
        <v>1</v>
      </c>
      <c r="E3304">
        <v>928</v>
      </c>
      <c r="F3304">
        <v>4070</v>
      </c>
      <c r="G3304">
        <f t="shared" si="51"/>
        <v>1576681280</v>
      </c>
    </row>
    <row r="3305" spans="1:7" x14ac:dyDescent="0.25">
      <c r="A3305">
        <v>1576681333</v>
      </c>
      <c r="B3305" t="s">
        <v>26208</v>
      </c>
      <c r="C3305">
        <v>235</v>
      </c>
      <c r="D3305">
        <v>1</v>
      </c>
      <c r="E3305">
        <v>2660</v>
      </c>
      <c r="F3305">
        <v>3093</v>
      </c>
      <c r="G3305">
        <f t="shared" si="51"/>
        <v>1576681333</v>
      </c>
    </row>
    <row r="3306" spans="1:7" x14ac:dyDescent="0.25">
      <c r="A3306">
        <v>1576681766</v>
      </c>
      <c r="B3306" t="s">
        <v>36437</v>
      </c>
      <c r="C3306">
        <v>0</v>
      </c>
      <c r="D3306">
        <v>0</v>
      </c>
      <c r="E3306">
        <v>0</v>
      </c>
      <c r="F3306">
        <v>7493</v>
      </c>
      <c r="G3306">
        <f t="shared" si="51"/>
        <v>1576681766</v>
      </c>
    </row>
    <row r="3307" spans="1:7" x14ac:dyDescent="0.25">
      <c r="A3307">
        <v>1576682340</v>
      </c>
      <c r="B3307" t="s">
        <v>26209</v>
      </c>
      <c r="C3307">
        <v>1885</v>
      </c>
      <c r="D3307">
        <v>1</v>
      </c>
      <c r="E3307">
        <v>1067</v>
      </c>
      <c r="F3307">
        <v>3913</v>
      </c>
      <c r="G3307">
        <f t="shared" si="51"/>
        <v>1576682340</v>
      </c>
    </row>
    <row r="3308" spans="1:7" x14ac:dyDescent="0.25">
      <c r="A3308">
        <v>1576682612</v>
      </c>
      <c r="B3308" t="s">
        <v>26210</v>
      </c>
      <c r="C3308">
        <v>0</v>
      </c>
      <c r="D3308">
        <v>0</v>
      </c>
      <c r="E3308">
        <v>0</v>
      </c>
      <c r="F3308">
        <v>7494</v>
      </c>
      <c r="G3308">
        <f t="shared" si="51"/>
        <v>1576682612</v>
      </c>
    </row>
    <row r="3309" spans="1:7" x14ac:dyDescent="0.25">
      <c r="A3309">
        <v>1576684223</v>
      </c>
      <c r="B3309" t="s">
        <v>26211</v>
      </c>
      <c r="C3309">
        <v>23</v>
      </c>
      <c r="D3309">
        <v>2</v>
      </c>
      <c r="E3309">
        <v>7156</v>
      </c>
      <c r="F3309">
        <v>2040</v>
      </c>
      <c r="G3309">
        <f t="shared" si="51"/>
        <v>1576684223</v>
      </c>
    </row>
    <row r="3310" spans="1:7" x14ac:dyDescent="0.25">
      <c r="A3310">
        <v>1576684501</v>
      </c>
      <c r="B3310" t="s">
        <v>36438</v>
      </c>
      <c r="C3310">
        <v>0</v>
      </c>
      <c r="D3310">
        <v>1</v>
      </c>
      <c r="E3310">
        <v>3279</v>
      </c>
      <c r="F3310">
        <v>2937</v>
      </c>
      <c r="G3310">
        <f t="shared" si="51"/>
        <v>1576684501</v>
      </c>
    </row>
    <row r="3311" spans="1:7" x14ac:dyDescent="0.25">
      <c r="A3311">
        <v>1576685522</v>
      </c>
      <c r="B3311" t="s">
        <v>26212</v>
      </c>
      <c r="C3311">
        <v>0</v>
      </c>
      <c r="D3311">
        <v>1</v>
      </c>
      <c r="E3311">
        <v>2284</v>
      </c>
      <c r="F3311">
        <v>3215</v>
      </c>
      <c r="G3311">
        <f t="shared" si="51"/>
        <v>1576685522</v>
      </c>
    </row>
    <row r="3312" spans="1:7" x14ac:dyDescent="0.25">
      <c r="A3312">
        <v>1576686712</v>
      </c>
      <c r="B3312" t="s">
        <v>26213</v>
      </c>
      <c r="C3312">
        <v>1947</v>
      </c>
      <c r="D3312">
        <v>0</v>
      </c>
      <c r="E3312">
        <v>0</v>
      </c>
      <c r="F3312">
        <v>7495</v>
      </c>
      <c r="G3312">
        <f t="shared" si="51"/>
        <v>1576686712</v>
      </c>
    </row>
    <row r="3313" spans="1:7" x14ac:dyDescent="0.25">
      <c r="A3313">
        <v>1576687794</v>
      </c>
      <c r="B3313" t="s">
        <v>36439</v>
      </c>
      <c r="C3313">
        <v>0</v>
      </c>
      <c r="D3313">
        <v>1</v>
      </c>
      <c r="E3313">
        <v>1306</v>
      </c>
      <c r="F3313">
        <v>3722</v>
      </c>
      <c r="G3313">
        <f t="shared" si="51"/>
        <v>1576687794</v>
      </c>
    </row>
    <row r="3314" spans="1:7" x14ac:dyDescent="0.25">
      <c r="A3314">
        <v>1576690243</v>
      </c>
      <c r="B3314" t="s">
        <v>26214</v>
      </c>
      <c r="C3314">
        <v>1100</v>
      </c>
      <c r="D3314">
        <v>2</v>
      </c>
      <c r="E3314">
        <v>4861</v>
      </c>
      <c r="F3314">
        <v>2542</v>
      </c>
      <c r="G3314">
        <f t="shared" si="51"/>
        <v>1576690243</v>
      </c>
    </row>
    <row r="3315" spans="1:7" x14ac:dyDescent="0.25">
      <c r="A3315">
        <v>1576692130</v>
      </c>
      <c r="B3315" t="s">
        <v>37430</v>
      </c>
      <c r="C3315">
        <v>0</v>
      </c>
      <c r="D3315">
        <v>1</v>
      </c>
      <c r="E3315">
        <v>77</v>
      </c>
      <c r="F3315">
        <v>8487</v>
      </c>
      <c r="G3315">
        <f t="shared" si="51"/>
        <v>1576692130</v>
      </c>
    </row>
    <row r="3316" spans="1:7" x14ac:dyDescent="0.25">
      <c r="A3316">
        <v>1576692459</v>
      </c>
      <c r="B3316" t="s">
        <v>36440</v>
      </c>
      <c r="C3316">
        <v>760</v>
      </c>
      <c r="D3316">
        <v>4</v>
      </c>
      <c r="E3316">
        <v>18934</v>
      </c>
      <c r="F3316">
        <v>691</v>
      </c>
      <c r="G3316">
        <f t="shared" si="51"/>
        <v>1576692459</v>
      </c>
    </row>
    <row r="3317" spans="1:7" x14ac:dyDescent="0.25">
      <c r="A3317">
        <v>1576693113</v>
      </c>
      <c r="B3317" t="s">
        <v>36441</v>
      </c>
      <c r="C3317">
        <v>3</v>
      </c>
      <c r="D3317">
        <v>1</v>
      </c>
      <c r="E3317">
        <v>4534</v>
      </c>
      <c r="F3317">
        <v>2633</v>
      </c>
      <c r="G3317">
        <f t="shared" si="51"/>
        <v>1576693113</v>
      </c>
    </row>
    <row r="3318" spans="1:7" x14ac:dyDescent="0.25">
      <c r="A3318">
        <v>1576694124</v>
      </c>
      <c r="B3318" t="s">
        <v>26215</v>
      </c>
      <c r="C3318">
        <v>1609</v>
      </c>
      <c r="D3318">
        <v>5</v>
      </c>
      <c r="E3318">
        <v>22453</v>
      </c>
      <c r="F3318">
        <v>495</v>
      </c>
      <c r="G3318">
        <f t="shared" si="51"/>
        <v>1576694124</v>
      </c>
    </row>
    <row r="3319" spans="1:7" x14ac:dyDescent="0.25">
      <c r="A3319">
        <v>1576696241</v>
      </c>
      <c r="B3319" t="s">
        <v>26216</v>
      </c>
      <c r="C3319">
        <v>55</v>
      </c>
      <c r="D3319">
        <v>1</v>
      </c>
      <c r="E3319">
        <v>1648</v>
      </c>
      <c r="F3319">
        <v>3522</v>
      </c>
      <c r="G3319">
        <f t="shared" si="51"/>
        <v>1576696241</v>
      </c>
    </row>
    <row r="3320" spans="1:7" x14ac:dyDescent="0.25">
      <c r="A3320">
        <v>1576696487</v>
      </c>
      <c r="B3320" t="s">
        <v>37143</v>
      </c>
      <c r="C3320">
        <v>0</v>
      </c>
      <c r="D3320">
        <v>1</v>
      </c>
      <c r="E3320">
        <v>90</v>
      </c>
      <c r="F3320">
        <v>5905</v>
      </c>
      <c r="G3320">
        <f t="shared" si="51"/>
        <v>1576696487</v>
      </c>
    </row>
    <row r="3321" spans="1:7" x14ac:dyDescent="0.25">
      <c r="A3321">
        <v>1576697713</v>
      </c>
      <c r="B3321" t="s">
        <v>26217</v>
      </c>
      <c r="C3321">
        <v>0</v>
      </c>
      <c r="D3321">
        <v>1</v>
      </c>
      <c r="E3321">
        <v>1368</v>
      </c>
      <c r="F3321">
        <v>3681</v>
      </c>
      <c r="G3321">
        <f t="shared" si="51"/>
        <v>1576697713</v>
      </c>
    </row>
    <row r="3322" spans="1:7" x14ac:dyDescent="0.25">
      <c r="A3322">
        <v>1576698432</v>
      </c>
      <c r="B3322" t="s">
        <v>36442</v>
      </c>
      <c r="C3322">
        <v>23</v>
      </c>
      <c r="D3322">
        <v>4</v>
      </c>
      <c r="E3322">
        <v>15803</v>
      </c>
      <c r="F3322">
        <v>923</v>
      </c>
      <c r="G3322">
        <f t="shared" si="51"/>
        <v>1576698432</v>
      </c>
    </row>
    <row r="3323" spans="1:7" x14ac:dyDescent="0.25">
      <c r="A3323">
        <v>1576699219</v>
      </c>
      <c r="B3323" t="s">
        <v>26218</v>
      </c>
      <c r="C3323">
        <v>0</v>
      </c>
      <c r="D3323">
        <v>1</v>
      </c>
      <c r="E3323">
        <v>70</v>
      </c>
      <c r="F3323">
        <v>6064</v>
      </c>
      <c r="G3323">
        <f t="shared" si="51"/>
        <v>1576699219</v>
      </c>
    </row>
    <row r="3324" spans="1:7" x14ac:dyDescent="0.25">
      <c r="A3324">
        <v>1576699542</v>
      </c>
      <c r="B3324" t="s">
        <v>26219</v>
      </c>
      <c r="C3324">
        <v>419</v>
      </c>
      <c r="D3324">
        <v>2</v>
      </c>
      <c r="E3324">
        <v>9016</v>
      </c>
      <c r="F3324">
        <v>1715</v>
      </c>
      <c r="G3324">
        <f t="shared" si="51"/>
        <v>1576699542</v>
      </c>
    </row>
    <row r="3325" spans="1:7" x14ac:dyDescent="0.25">
      <c r="A3325">
        <v>1576702022</v>
      </c>
      <c r="B3325" t="s">
        <v>26220</v>
      </c>
      <c r="C3325">
        <v>924</v>
      </c>
      <c r="D3325">
        <v>0</v>
      </c>
      <c r="E3325">
        <v>0</v>
      </c>
      <c r="F3325">
        <v>7496</v>
      </c>
      <c r="G3325">
        <f t="shared" si="51"/>
        <v>1576702022</v>
      </c>
    </row>
    <row r="3326" spans="1:7" x14ac:dyDescent="0.25">
      <c r="A3326">
        <v>1576702279</v>
      </c>
      <c r="B3326" t="s">
        <v>3485</v>
      </c>
      <c r="C3326">
        <v>1919</v>
      </c>
      <c r="D3326">
        <v>1</v>
      </c>
      <c r="E3326">
        <v>1578</v>
      </c>
      <c r="F3326">
        <v>3558</v>
      </c>
      <c r="G3326">
        <f t="shared" si="51"/>
        <v>1576702279</v>
      </c>
    </row>
    <row r="3327" spans="1:7" x14ac:dyDescent="0.25">
      <c r="A3327">
        <v>1576702565</v>
      </c>
      <c r="B3327" t="s">
        <v>26221</v>
      </c>
      <c r="C3327">
        <v>0</v>
      </c>
      <c r="D3327">
        <v>1</v>
      </c>
      <c r="E3327">
        <v>26</v>
      </c>
      <c r="F3327">
        <v>6564</v>
      </c>
      <c r="G3327">
        <f t="shared" si="51"/>
        <v>1576702565</v>
      </c>
    </row>
    <row r="3328" spans="1:7" x14ac:dyDescent="0.25">
      <c r="A3328">
        <v>1576702785</v>
      </c>
      <c r="B3328" t="s">
        <v>26222</v>
      </c>
      <c r="C3328">
        <v>67</v>
      </c>
      <c r="D3328">
        <v>2</v>
      </c>
      <c r="E3328">
        <v>9706</v>
      </c>
      <c r="F3328">
        <v>1613</v>
      </c>
      <c r="G3328">
        <f t="shared" si="51"/>
        <v>1576702785</v>
      </c>
    </row>
    <row r="3329" spans="1:7" x14ac:dyDescent="0.25">
      <c r="A3329">
        <v>1576703110</v>
      </c>
      <c r="B3329" t="s">
        <v>37431</v>
      </c>
      <c r="C3329">
        <v>0</v>
      </c>
      <c r="D3329">
        <v>1</v>
      </c>
      <c r="E3329">
        <v>59</v>
      </c>
      <c r="F3329">
        <v>6111</v>
      </c>
      <c r="G3329">
        <f t="shared" ref="G3329:G3392" si="52">A3329</f>
        <v>1576703110</v>
      </c>
    </row>
    <row r="3330" spans="1:7" x14ac:dyDescent="0.25">
      <c r="A3330">
        <v>1576703166</v>
      </c>
      <c r="B3330" t="s">
        <v>26223</v>
      </c>
      <c r="C3330">
        <v>643</v>
      </c>
      <c r="D3330">
        <v>10</v>
      </c>
      <c r="E3330">
        <v>54512</v>
      </c>
      <c r="F3330">
        <v>30</v>
      </c>
      <c r="G3330">
        <f t="shared" si="52"/>
        <v>1576703166</v>
      </c>
    </row>
    <row r="3331" spans="1:7" x14ac:dyDescent="0.25">
      <c r="A3331">
        <v>1576703645</v>
      </c>
      <c r="B3331" t="s">
        <v>26224</v>
      </c>
      <c r="C3331">
        <v>270</v>
      </c>
      <c r="D3331">
        <v>2</v>
      </c>
      <c r="E3331">
        <v>9709</v>
      </c>
      <c r="F3331">
        <v>1608</v>
      </c>
      <c r="G3331">
        <f t="shared" si="52"/>
        <v>1576703645</v>
      </c>
    </row>
    <row r="3332" spans="1:7" x14ac:dyDescent="0.25">
      <c r="A3332">
        <v>1576703780</v>
      </c>
      <c r="B3332" t="s">
        <v>26225</v>
      </c>
      <c r="C3332">
        <v>1946</v>
      </c>
      <c r="D3332">
        <v>1</v>
      </c>
      <c r="E3332">
        <v>6263</v>
      </c>
      <c r="F3332">
        <v>2219</v>
      </c>
      <c r="G3332">
        <f t="shared" si="52"/>
        <v>1576703780</v>
      </c>
    </row>
    <row r="3333" spans="1:7" x14ac:dyDescent="0.25">
      <c r="A3333">
        <v>1576704854</v>
      </c>
      <c r="B3333" t="s">
        <v>36443</v>
      </c>
      <c r="C3333">
        <v>179</v>
      </c>
      <c r="D3333">
        <v>1</v>
      </c>
      <c r="E3333">
        <v>5214</v>
      </c>
      <c r="F3333">
        <v>2464</v>
      </c>
      <c r="G3333">
        <f t="shared" si="52"/>
        <v>1576704854</v>
      </c>
    </row>
    <row r="3334" spans="1:7" x14ac:dyDescent="0.25">
      <c r="A3334">
        <v>1576704931</v>
      </c>
      <c r="B3334" t="s">
        <v>26226</v>
      </c>
      <c r="C3334">
        <v>152</v>
      </c>
      <c r="D3334">
        <v>4</v>
      </c>
      <c r="E3334">
        <v>18100</v>
      </c>
      <c r="F3334">
        <v>747</v>
      </c>
      <c r="G3334">
        <f t="shared" si="52"/>
        <v>1576704931</v>
      </c>
    </row>
    <row r="3335" spans="1:7" x14ac:dyDescent="0.25">
      <c r="A3335">
        <v>1576705615</v>
      </c>
      <c r="B3335" t="s">
        <v>26227</v>
      </c>
      <c r="C3335">
        <v>301</v>
      </c>
      <c r="D3335">
        <v>0</v>
      </c>
      <c r="E3335">
        <v>0</v>
      </c>
      <c r="F3335">
        <v>7497</v>
      </c>
      <c r="G3335">
        <f t="shared" si="52"/>
        <v>1576705615</v>
      </c>
    </row>
    <row r="3336" spans="1:7" x14ac:dyDescent="0.25">
      <c r="A3336">
        <v>1576705864</v>
      </c>
      <c r="B3336" t="s">
        <v>26228</v>
      </c>
      <c r="C3336">
        <v>174</v>
      </c>
      <c r="D3336">
        <v>4</v>
      </c>
      <c r="E3336">
        <v>16027</v>
      </c>
      <c r="F3336">
        <v>906</v>
      </c>
      <c r="G3336">
        <f t="shared" si="52"/>
        <v>1576705864</v>
      </c>
    </row>
    <row r="3337" spans="1:7" x14ac:dyDescent="0.25">
      <c r="A3337">
        <v>1576706013</v>
      </c>
      <c r="B3337" t="s">
        <v>26229</v>
      </c>
      <c r="C3337">
        <v>96</v>
      </c>
      <c r="D3337">
        <v>1</v>
      </c>
      <c r="E3337">
        <v>6300</v>
      </c>
      <c r="F3337">
        <v>2214</v>
      </c>
      <c r="G3337">
        <f t="shared" si="52"/>
        <v>1576706013</v>
      </c>
    </row>
    <row r="3338" spans="1:7" x14ac:dyDescent="0.25">
      <c r="A3338">
        <v>1576706289</v>
      </c>
      <c r="B3338" t="s">
        <v>26230</v>
      </c>
      <c r="C3338">
        <v>617</v>
      </c>
      <c r="D3338">
        <v>4</v>
      </c>
      <c r="E3338">
        <v>16084</v>
      </c>
      <c r="F3338">
        <v>903</v>
      </c>
      <c r="G3338">
        <f t="shared" si="52"/>
        <v>1576706289</v>
      </c>
    </row>
    <row r="3339" spans="1:7" x14ac:dyDescent="0.25">
      <c r="A3339">
        <v>1576706600</v>
      </c>
      <c r="B3339" t="s">
        <v>2529</v>
      </c>
      <c r="C3339">
        <v>1743</v>
      </c>
      <c r="D3339">
        <v>1</v>
      </c>
      <c r="E3339">
        <v>1139</v>
      </c>
      <c r="F3339">
        <v>3839</v>
      </c>
      <c r="G3339">
        <f t="shared" si="52"/>
        <v>1576706600</v>
      </c>
    </row>
    <row r="3340" spans="1:7" x14ac:dyDescent="0.25">
      <c r="A3340">
        <v>1576707194</v>
      </c>
      <c r="B3340" t="s">
        <v>26231</v>
      </c>
      <c r="C3340">
        <v>196</v>
      </c>
      <c r="D3340">
        <v>3</v>
      </c>
      <c r="E3340">
        <v>9950</v>
      </c>
      <c r="F3340">
        <v>1572</v>
      </c>
      <c r="G3340">
        <f t="shared" si="52"/>
        <v>1576707194</v>
      </c>
    </row>
    <row r="3341" spans="1:7" x14ac:dyDescent="0.25">
      <c r="A3341">
        <v>1576708182</v>
      </c>
      <c r="B3341" t="s">
        <v>36444</v>
      </c>
      <c r="C3341">
        <v>271</v>
      </c>
      <c r="D3341">
        <v>2</v>
      </c>
      <c r="E3341">
        <v>9720</v>
      </c>
      <c r="F3341">
        <v>1622</v>
      </c>
      <c r="G3341">
        <f t="shared" si="52"/>
        <v>1576708182</v>
      </c>
    </row>
    <row r="3342" spans="1:7" x14ac:dyDescent="0.25">
      <c r="A3342">
        <v>1576708425</v>
      </c>
      <c r="B3342" t="s">
        <v>26232</v>
      </c>
      <c r="C3342">
        <v>0</v>
      </c>
      <c r="D3342">
        <v>5</v>
      </c>
      <c r="E3342">
        <v>20742</v>
      </c>
      <c r="F3342">
        <v>583</v>
      </c>
      <c r="G3342">
        <f t="shared" si="52"/>
        <v>1576708425</v>
      </c>
    </row>
    <row r="3343" spans="1:7" x14ac:dyDescent="0.25">
      <c r="A3343">
        <v>1576710693</v>
      </c>
      <c r="B3343" t="s">
        <v>26233</v>
      </c>
      <c r="C3343">
        <v>0</v>
      </c>
      <c r="D3343">
        <v>0</v>
      </c>
      <c r="E3343">
        <v>0</v>
      </c>
      <c r="F3343">
        <v>7498</v>
      </c>
      <c r="G3343">
        <f t="shared" si="52"/>
        <v>1576710693</v>
      </c>
    </row>
    <row r="3344" spans="1:7" x14ac:dyDescent="0.25">
      <c r="A3344">
        <v>1576711209</v>
      </c>
      <c r="B3344" t="s">
        <v>26234</v>
      </c>
      <c r="C3344">
        <v>1622</v>
      </c>
      <c r="D3344">
        <v>1</v>
      </c>
      <c r="E3344">
        <v>461</v>
      </c>
      <c r="F3344">
        <v>4721</v>
      </c>
      <c r="G3344">
        <f t="shared" si="52"/>
        <v>1576711209</v>
      </c>
    </row>
    <row r="3345" spans="1:7" x14ac:dyDescent="0.25">
      <c r="A3345">
        <v>1576711312</v>
      </c>
      <c r="B3345" t="s">
        <v>26235</v>
      </c>
      <c r="C3345">
        <v>0</v>
      </c>
      <c r="D3345">
        <v>1</v>
      </c>
      <c r="E3345">
        <v>631</v>
      </c>
      <c r="F3345">
        <v>4435</v>
      </c>
      <c r="G3345">
        <f t="shared" si="52"/>
        <v>1576711312</v>
      </c>
    </row>
    <row r="3346" spans="1:7" x14ac:dyDescent="0.25">
      <c r="A3346">
        <v>1576711830</v>
      </c>
      <c r="B3346" t="s">
        <v>647</v>
      </c>
      <c r="C3346">
        <v>27</v>
      </c>
      <c r="D3346">
        <v>3</v>
      </c>
      <c r="E3346">
        <v>15542</v>
      </c>
      <c r="F3346">
        <v>944</v>
      </c>
      <c r="G3346">
        <f t="shared" si="52"/>
        <v>1576711830</v>
      </c>
    </row>
    <row r="3347" spans="1:7" x14ac:dyDescent="0.25">
      <c r="A3347">
        <v>1576712239</v>
      </c>
      <c r="B3347" t="s">
        <v>26236</v>
      </c>
      <c r="C3347">
        <v>1622</v>
      </c>
      <c r="D3347">
        <v>1</v>
      </c>
      <c r="E3347">
        <v>970</v>
      </c>
      <c r="F3347">
        <v>4018</v>
      </c>
      <c r="G3347">
        <f t="shared" si="52"/>
        <v>1576712239</v>
      </c>
    </row>
    <row r="3348" spans="1:7" x14ac:dyDescent="0.25">
      <c r="A3348">
        <v>1576713156</v>
      </c>
      <c r="B3348" t="s">
        <v>26237</v>
      </c>
      <c r="C3348">
        <v>638</v>
      </c>
      <c r="D3348">
        <v>1</v>
      </c>
      <c r="E3348">
        <v>5343</v>
      </c>
      <c r="F3348">
        <v>2465</v>
      </c>
      <c r="G3348">
        <f t="shared" si="52"/>
        <v>1576713156</v>
      </c>
    </row>
    <row r="3349" spans="1:7" x14ac:dyDescent="0.25">
      <c r="A3349">
        <v>1576715249</v>
      </c>
      <c r="B3349" t="s">
        <v>26238</v>
      </c>
      <c r="C3349">
        <v>115</v>
      </c>
      <c r="D3349">
        <v>4</v>
      </c>
      <c r="E3349">
        <v>17185</v>
      </c>
      <c r="F3349">
        <v>814</v>
      </c>
      <c r="G3349">
        <f t="shared" si="52"/>
        <v>1576715249</v>
      </c>
    </row>
    <row r="3350" spans="1:7" x14ac:dyDescent="0.25">
      <c r="A3350">
        <v>1576716202</v>
      </c>
      <c r="B3350" t="s">
        <v>26239</v>
      </c>
      <c r="C3350">
        <v>0</v>
      </c>
      <c r="D3350">
        <v>1</v>
      </c>
      <c r="E3350">
        <v>679</v>
      </c>
      <c r="F3350">
        <v>4399</v>
      </c>
      <c r="G3350">
        <f t="shared" si="52"/>
        <v>1576716202</v>
      </c>
    </row>
    <row r="3351" spans="1:7" x14ac:dyDescent="0.25">
      <c r="A3351">
        <v>1576716919</v>
      </c>
      <c r="B3351" t="s">
        <v>26240</v>
      </c>
      <c r="C3351">
        <v>0</v>
      </c>
      <c r="D3351">
        <v>1</v>
      </c>
      <c r="E3351">
        <v>26</v>
      </c>
      <c r="F3351">
        <v>6565</v>
      </c>
      <c r="G3351">
        <f t="shared" si="52"/>
        <v>1576716919</v>
      </c>
    </row>
    <row r="3352" spans="1:7" x14ac:dyDescent="0.25">
      <c r="A3352">
        <v>1576717422</v>
      </c>
      <c r="B3352" t="s">
        <v>26241</v>
      </c>
      <c r="C3352">
        <v>115</v>
      </c>
      <c r="D3352">
        <v>3</v>
      </c>
      <c r="E3352">
        <v>15257</v>
      </c>
      <c r="F3352">
        <v>965</v>
      </c>
      <c r="G3352">
        <f t="shared" si="52"/>
        <v>1576717422</v>
      </c>
    </row>
    <row r="3353" spans="1:7" x14ac:dyDescent="0.25">
      <c r="A3353">
        <v>1576718136</v>
      </c>
      <c r="B3353" t="s">
        <v>36445</v>
      </c>
      <c r="C3353">
        <v>189</v>
      </c>
      <c r="D3353">
        <v>1</v>
      </c>
      <c r="E3353">
        <v>4241</v>
      </c>
      <c r="F3353">
        <v>2704</v>
      </c>
      <c r="G3353">
        <f t="shared" si="52"/>
        <v>1576718136</v>
      </c>
    </row>
    <row r="3354" spans="1:7" x14ac:dyDescent="0.25">
      <c r="A3354">
        <v>1576718806</v>
      </c>
      <c r="B3354" t="s">
        <v>26242</v>
      </c>
      <c r="C3354">
        <v>199</v>
      </c>
      <c r="D3354">
        <v>1</v>
      </c>
      <c r="E3354">
        <v>1416</v>
      </c>
      <c r="F3354">
        <v>3645</v>
      </c>
      <c r="G3354">
        <f t="shared" si="52"/>
        <v>1576718806</v>
      </c>
    </row>
    <row r="3355" spans="1:7" x14ac:dyDescent="0.25">
      <c r="A3355">
        <v>1576719388</v>
      </c>
      <c r="B3355" t="s">
        <v>26243</v>
      </c>
      <c r="C3355">
        <v>0</v>
      </c>
      <c r="D3355">
        <v>1</v>
      </c>
      <c r="E3355">
        <v>115</v>
      </c>
      <c r="F3355">
        <v>5799</v>
      </c>
      <c r="G3355">
        <f t="shared" si="52"/>
        <v>1576719388</v>
      </c>
    </row>
    <row r="3356" spans="1:7" x14ac:dyDescent="0.25">
      <c r="A3356">
        <v>1576720097</v>
      </c>
      <c r="B3356" t="s">
        <v>26244</v>
      </c>
      <c r="C3356">
        <v>399</v>
      </c>
      <c r="D3356">
        <v>2</v>
      </c>
      <c r="E3356">
        <v>7247</v>
      </c>
      <c r="F3356">
        <v>2020</v>
      </c>
      <c r="G3356">
        <f t="shared" si="52"/>
        <v>1576720097</v>
      </c>
    </row>
    <row r="3357" spans="1:7" x14ac:dyDescent="0.25">
      <c r="A3357">
        <v>1576721973</v>
      </c>
      <c r="B3357" t="s">
        <v>36446</v>
      </c>
      <c r="C3357">
        <v>138</v>
      </c>
      <c r="D3357">
        <v>4</v>
      </c>
      <c r="E3357">
        <v>15619</v>
      </c>
      <c r="F3357">
        <v>936</v>
      </c>
      <c r="G3357">
        <f t="shared" si="52"/>
        <v>1576721973</v>
      </c>
    </row>
    <row r="3358" spans="1:7" x14ac:dyDescent="0.25">
      <c r="A3358">
        <v>1576722406</v>
      </c>
      <c r="B3358" t="s">
        <v>26245</v>
      </c>
      <c r="C3358">
        <v>78</v>
      </c>
      <c r="D3358">
        <v>1</v>
      </c>
      <c r="E3358">
        <v>994</v>
      </c>
      <c r="F3358">
        <v>3987</v>
      </c>
      <c r="G3358">
        <f t="shared" si="52"/>
        <v>1576722406</v>
      </c>
    </row>
    <row r="3359" spans="1:7" x14ac:dyDescent="0.25">
      <c r="A3359">
        <v>1576722779</v>
      </c>
      <c r="B3359" t="s">
        <v>26246</v>
      </c>
      <c r="C3359">
        <v>0</v>
      </c>
      <c r="D3359">
        <v>1</v>
      </c>
      <c r="E3359">
        <v>684</v>
      </c>
      <c r="F3359">
        <v>4362</v>
      </c>
      <c r="G3359">
        <f t="shared" si="52"/>
        <v>1576722779</v>
      </c>
    </row>
    <row r="3360" spans="1:7" x14ac:dyDescent="0.25">
      <c r="A3360">
        <v>1576722945</v>
      </c>
      <c r="B3360" t="s">
        <v>26247</v>
      </c>
      <c r="C3360">
        <v>534</v>
      </c>
      <c r="D3360">
        <v>6</v>
      </c>
      <c r="E3360">
        <v>20350</v>
      </c>
      <c r="F3360">
        <v>606</v>
      </c>
      <c r="G3360">
        <f t="shared" si="52"/>
        <v>1576722945</v>
      </c>
    </row>
    <row r="3361" spans="1:7" x14ac:dyDescent="0.25">
      <c r="A3361">
        <v>1576723437</v>
      </c>
      <c r="B3361" t="s">
        <v>26248</v>
      </c>
      <c r="C3361">
        <v>0</v>
      </c>
      <c r="D3361">
        <v>0</v>
      </c>
      <c r="E3361">
        <v>0</v>
      </c>
      <c r="F3361">
        <v>7499</v>
      </c>
      <c r="G3361">
        <f t="shared" si="52"/>
        <v>1576723437</v>
      </c>
    </row>
    <row r="3362" spans="1:7" x14ac:dyDescent="0.25">
      <c r="A3362">
        <v>1576723528</v>
      </c>
      <c r="B3362" t="s">
        <v>26249</v>
      </c>
      <c r="C3362">
        <v>0</v>
      </c>
      <c r="D3362">
        <v>1</v>
      </c>
      <c r="E3362">
        <v>361</v>
      </c>
      <c r="F3362">
        <v>4995</v>
      </c>
      <c r="G3362">
        <f t="shared" si="52"/>
        <v>1576723528</v>
      </c>
    </row>
    <row r="3363" spans="1:7" x14ac:dyDescent="0.25">
      <c r="A3363">
        <v>1576724673</v>
      </c>
      <c r="B3363" t="s">
        <v>26250</v>
      </c>
      <c r="C3363">
        <v>15</v>
      </c>
      <c r="D3363">
        <v>0</v>
      </c>
      <c r="E3363">
        <v>0</v>
      </c>
      <c r="F3363">
        <v>3426</v>
      </c>
      <c r="G3363">
        <f t="shared" si="52"/>
        <v>1576724673</v>
      </c>
    </row>
    <row r="3364" spans="1:7" x14ac:dyDescent="0.25">
      <c r="A3364">
        <v>1576725981</v>
      </c>
      <c r="B3364" t="s">
        <v>37301</v>
      </c>
      <c r="C3364">
        <v>0</v>
      </c>
      <c r="D3364">
        <v>1</v>
      </c>
      <c r="E3364">
        <v>333</v>
      </c>
      <c r="F3364">
        <v>5031</v>
      </c>
      <c r="G3364">
        <f t="shared" si="52"/>
        <v>1576725981</v>
      </c>
    </row>
    <row r="3365" spans="1:7" x14ac:dyDescent="0.25">
      <c r="A3365">
        <v>1576727150</v>
      </c>
      <c r="B3365" t="s">
        <v>26251</v>
      </c>
      <c r="C3365">
        <v>1885</v>
      </c>
      <c r="D3365">
        <v>1</v>
      </c>
      <c r="E3365">
        <v>939</v>
      </c>
      <c r="F3365">
        <v>4052</v>
      </c>
      <c r="G3365">
        <f t="shared" si="52"/>
        <v>1576727150</v>
      </c>
    </row>
    <row r="3366" spans="1:7" x14ac:dyDescent="0.25">
      <c r="A3366">
        <v>1576728350</v>
      </c>
      <c r="B3366" t="s">
        <v>26252</v>
      </c>
      <c r="C3366">
        <v>1741</v>
      </c>
      <c r="D3366">
        <v>1</v>
      </c>
      <c r="E3366">
        <v>26</v>
      </c>
      <c r="F3366">
        <v>6566</v>
      </c>
      <c r="G3366">
        <f t="shared" si="52"/>
        <v>1576728350</v>
      </c>
    </row>
    <row r="3367" spans="1:7" x14ac:dyDescent="0.25">
      <c r="A3367">
        <v>1576728689</v>
      </c>
      <c r="B3367" t="s">
        <v>26253</v>
      </c>
      <c r="C3367">
        <v>552</v>
      </c>
      <c r="D3367">
        <v>6</v>
      </c>
      <c r="E3367">
        <v>33644</v>
      </c>
      <c r="F3367">
        <v>169</v>
      </c>
      <c r="G3367">
        <f t="shared" si="52"/>
        <v>1576728689</v>
      </c>
    </row>
    <row r="3368" spans="1:7" x14ac:dyDescent="0.25">
      <c r="A3368">
        <v>1576728802</v>
      </c>
      <c r="B3368" t="s">
        <v>26254</v>
      </c>
      <c r="C3368">
        <v>1836</v>
      </c>
      <c r="D3368">
        <v>2</v>
      </c>
      <c r="E3368">
        <v>4062</v>
      </c>
      <c r="F3368">
        <v>2760</v>
      </c>
      <c r="G3368">
        <f t="shared" si="52"/>
        <v>1576728802</v>
      </c>
    </row>
    <row r="3369" spans="1:7" x14ac:dyDescent="0.25">
      <c r="A3369">
        <v>1576730028</v>
      </c>
      <c r="B3369" t="s">
        <v>26255</v>
      </c>
      <c r="C3369">
        <v>541</v>
      </c>
      <c r="D3369">
        <v>4</v>
      </c>
      <c r="E3369">
        <v>18877</v>
      </c>
      <c r="F3369">
        <v>695</v>
      </c>
      <c r="G3369">
        <f t="shared" si="52"/>
        <v>1576730028</v>
      </c>
    </row>
    <row r="3370" spans="1:7" x14ac:dyDescent="0.25">
      <c r="A3370">
        <v>1576730474</v>
      </c>
      <c r="B3370" t="s">
        <v>26256</v>
      </c>
      <c r="C3370">
        <v>1688</v>
      </c>
      <c r="D3370">
        <v>4</v>
      </c>
      <c r="E3370">
        <v>25592</v>
      </c>
      <c r="F3370">
        <v>375</v>
      </c>
      <c r="G3370">
        <f t="shared" si="52"/>
        <v>1576730474</v>
      </c>
    </row>
    <row r="3371" spans="1:7" x14ac:dyDescent="0.25">
      <c r="A3371">
        <v>1576732715</v>
      </c>
      <c r="B3371" t="s">
        <v>26257</v>
      </c>
      <c r="C3371">
        <v>215</v>
      </c>
      <c r="D3371">
        <v>2</v>
      </c>
      <c r="E3371">
        <v>7915</v>
      </c>
      <c r="F3371">
        <v>1897</v>
      </c>
      <c r="G3371">
        <f t="shared" si="52"/>
        <v>1576732715</v>
      </c>
    </row>
    <row r="3372" spans="1:7" x14ac:dyDescent="0.25">
      <c r="A3372">
        <v>1576732766</v>
      </c>
      <c r="B3372" t="s">
        <v>2603</v>
      </c>
      <c r="C3372">
        <v>0</v>
      </c>
      <c r="D3372">
        <v>1</v>
      </c>
      <c r="E3372">
        <v>1873</v>
      </c>
      <c r="F3372">
        <v>3402</v>
      </c>
      <c r="G3372">
        <f t="shared" si="52"/>
        <v>1576732766</v>
      </c>
    </row>
    <row r="3373" spans="1:7" x14ac:dyDescent="0.25">
      <c r="A3373">
        <v>1576733040</v>
      </c>
      <c r="B3373" t="s">
        <v>36447</v>
      </c>
      <c r="C3373">
        <v>0</v>
      </c>
      <c r="D3373">
        <v>1</v>
      </c>
      <c r="E3373">
        <v>26</v>
      </c>
      <c r="F3373">
        <v>6567</v>
      </c>
      <c r="G3373">
        <f t="shared" si="52"/>
        <v>1576733040</v>
      </c>
    </row>
    <row r="3374" spans="1:7" x14ac:dyDescent="0.25">
      <c r="A3374">
        <v>1576734560</v>
      </c>
      <c r="B3374" t="s">
        <v>26258</v>
      </c>
      <c r="C3374">
        <v>0</v>
      </c>
      <c r="D3374">
        <v>0</v>
      </c>
      <c r="E3374">
        <v>0</v>
      </c>
      <c r="F3374">
        <v>7500</v>
      </c>
      <c r="G3374">
        <f t="shared" si="52"/>
        <v>1576734560</v>
      </c>
    </row>
    <row r="3375" spans="1:7" x14ac:dyDescent="0.25">
      <c r="A3375">
        <v>1576735588</v>
      </c>
      <c r="B3375" t="s">
        <v>36448</v>
      </c>
      <c r="C3375">
        <v>429</v>
      </c>
      <c r="D3375">
        <v>0</v>
      </c>
      <c r="E3375">
        <v>0</v>
      </c>
      <c r="F3375">
        <v>7501</v>
      </c>
      <c r="G3375">
        <f t="shared" si="52"/>
        <v>1576735588</v>
      </c>
    </row>
    <row r="3376" spans="1:7" x14ac:dyDescent="0.25">
      <c r="A3376">
        <v>1576735979</v>
      </c>
      <c r="B3376" t="s">
        <v>26259</v>
      </c>
      <c r="C3376">
        <v>0</v>
      </c>
      <c r="D3376">
        <v>0</v>
      </c>
      <c r="E3376">
        <v>0</v>
      </c>
      <c r="F3376">
        <v>7502</v>
      </c>
      <c r="G3376">
        <f t="shared" si="52"/>
        <v>1576735979</v>
      </c>
    </row>
    <row r="3377" spans="1:7" x14ac:dyDescent="0.25">
      <c r="A3377">
        <v>1576736475</v>
      </c>
      <c r="B3377" t="s">
        <v>26260</v>
      </c>
      <c r="C3377">
        <v>0</v>
      </c>
      <c r="D3377">
        <v>1</v>
      </c>
      <c r="E3377">
        <v>153</v>
      </c>
      <c r="F3377">
        <v>5688</v>
      </c>
      <c r="G3377">
        <f t="shared" si="52"/>
        <v>1576736475</v>
      </c>
    </row>
    <row r="3378" spans="1:7" x14ac:dyDescent="0.25">
      <c r="A3378">
        <v>1576736840</v>
      </c>
      <c r="B3378" t="s">
        <v>26261</v>
      </c>
      <c r="C3378">
        <v>0</v>
      </c>
      <c r="D3378">
        <v>0</v>
      </c>
      <c r="E3378">
        <v>0</v>
      </c>
      <c r="F3378">
        <v>7503</v>
      </c>
      <c r="G3378">
        <f t="shared" si="52"/>
        <v>1576736840</v>
      </c>
    </row>
    <row r="3379" spans="1:7" x14ac:dyDescent="0.25">
      <c r="A3379">
        <v>1576736915</v>
      </c>
      <c r="B3379" t="s">
        <v>26262</v>
      </c>
      <c r="C3379">
        <v>0</v>
      </c>
      <c r="D3379">
        <v>1</v>
      </c>
      <c r="E3379">
        <v>746</v>
      </c>
      <c r="F3379">
        <v>4272</v>
      </c>
      <c r="G3379">
        <f t="shared" si="52"/>
        <v>1576736915</v>
      </c>
    </row>
    <row r="3380" spans="1:7" x14ac:dyDescent="0.25">
      <c r="A3380">
        <v>1576737548</v>
      </c>
      <c r="B3380" t="s">
        <v>26263</v>
      </c>
      <c r="C3380">
        <v>0</v>
      </c>
      <c r="D3380">
        <v>1</v>
      </c>
      <c r="E3380">
        <v>46</v>
      </c>
      <c r="F3380">
        <v>6219</v>
      </c>
      <c r="G3380">
        <f t="shared" si="52"/>
        <v>1576737548</v>
      </c>
    </row>
    <row r="3381" spans="1:7" x14ac:dyDescent="0.25">
      <c r="A3381">
        <v>1576737638</v>
      </c>
      <c r="B3381" t="s">
        <v>26264</v>
      </c>
      <c r="C3381">
        <v>0</v>
      </c>
      <c r="D3381">
        <v>1</v>
      </c>
      <c r="E3381">
        <v>33</v>
      </c>
      <c r="F3381">
        <v>6300</v>
      </c>
      <c r="G3381">
        <f t="shared" si="52"/>
        <v>1576737638</v>
      </c>
    </row>
    <row r="3382" spans="1:7" x14ac:dyDescent="0.25">
      <c r="A3382">
        <v>1576738658</v>
      </c>
      <c r="B3382" t="s">
        <v>26265</v>
      </c>
      <c r="C3382">
        <v>989</v>
      </c>
      <c r="D3382">
        <v>0</v>
      </c>
      <c r="E3382">
        <v>0</v>
      </c>
      <c r="F3382">
        <v>7504</v>
      </c>
      <c r="G3382">
        <f t="shared" si="52"/>
        <v>1576738658</v>
      </c>
    </row>
    <row r="3383" spans="1:7" x14ac:dyDescent="0.25">
      <c r="A3383">
        <v>1576738680</v>
      </c>
      <c r="B3383" t="s">
        <v>26266</v>
      </c>
      <c r="C3383">
        <v>896</v>
      </c>
      <c r="D3383">
        <v>1</v>
      </c>
      <c r="E3383">
        <v>1387</v>
      </c>
      <c r="F3383">
        <v>3666</v>
      </c>
      <c r="G3383">
        <f t="shared" si="52"/>
        <v>1576738680</v>
      </c>
    </row>
    <row r="3384" spans="1:7" x14ac:dyDescent="0.25">
      <c r="A3384">
        <v>1576739058</v>
      </c>
      <c r="B3384" t="s">
        <v>26267</v>
      </c>
      <c r="C3384">
        <v>0</v>
      </c>
      <c r="D3384">
        <v>1</v>
      </c>
      <c r="E3384">
        <v>659</v>
      </c>
      <c r="F3384">
        <v>4402</v>
      </c>
      <c r="G3384">
        <f t="shared" si="52"/>
        <v>1576739058</v>
      </c>
    </row>
    <row r="3385" spans="1:7" x14ac:dyDescent="0.25">
      <c r="A3385">
        <v>1576740778</v>
      </c>
      <c r="B3385" t="s">
        <v>1486</v>
      </c>
      <c r="C3385">
        <v>0</v>
      </c>
      <c r="D3385">
        <v>1</v>
      </c>
      <c r="E3385">
        <v>263</v>
      </c>
      <c r="F3385">
        <v>5251</v>
      </c>
      <c r="G3385">
        <f t="shared" si="52"/>
        <v>1576740778</v>
      </c>
    </row>
    <row r="3386" spans="1:7" x14ac:dyDescent="0.25">
      <c r="A3386">
        <v>1576740851</v>
      </c>
      <c r="B3386" t="s">
        <v>26268</v>
      </c>
      <c r="C3386">
        <v>0</v>
      </c>
      <c r="D3386">
        <v>1</v>
      </c>
      <c r="E3386">
        <v>2022</v>
      </c>
      <c r="F3386">
        <v>3333</v>
      </c>
      <c r="G3386">
        <f t="shared" si="52"/>
        <v>1576740851</v>
      </c>
    </row>
    <row r="3387" spans="1:7" x14ac:dyDescent="0.25">
      <c r="A3387">
        <v>1576741439</v>
      </c>
      <c r="B3387" t="s">
        <v>26269</v>
      </c>
      <c r="C3387">
        <v>0</v>
      </c>
      <c r="D3387">
        <v>1</v>
      </c>
      <c r="E3387">
        <v>185</v>
      </c>
      <c r="F3387">
        <v>5559</v>
      </c>
      <c r="G3387">
        <f t="shared" si="52"/>
        <v>1576741439</v>
      </c>
    </row>
    <row r="3388" spans="1:7" x14ac:dyDescent="0.25">
      <c r="A3388">
        <v>1576741449</v>
      </c>
      <c r="B3388" t="s">
        <v>26270</v>
      </c>
      <c r="C3388">
        <v>31</v>
      </c>
      <c r="D3388">
        <v>4</v>
      </c>
      <c r="E3388">
        <v>22327</v>
      </c>
      <c r="F3388">
        <v>502</v>
      </c>
      <c r="G3388">
        <f t="shared" si="52"/>
        <v>1576741449</v>
      </c>
    </row>
    <row r="3389" spans="1:7" x14ac:dyDescent="0.25">
      <c r="A3389">
        <v>1576742327</v>
      </c>
      <c r="B3389" t="s">
        <v>26271</v>
      </c>
      <c r="C3389">
        <v>25</v>
      </c>
      <c r="D3389">
        <v>2</v>
      </c>
      <c r="E3389">
        <v>7670</v>
      </c>
      <c r="F3389">
        <v>1952</v>
      </c>
      <c r="G3389">
        <f t="shared" si="52"/>
        <v>1576742327</v>
      </c>
    </row>
    <row r="3390" spans="1:7" x14ac:dyDescent="0.25">
      <c r="A3390">
        <v>1576742492</v>
      </c>
      <c r="B3390" t="s">
        <v>26272</v>
      </c>
      <c r="C3390">
        <v>680</v>
      </c>
      <c r="D3390">
        <v>2</v>
      </c>
      <c r="E3390">
        <v>9440</v>
      </c>
      <c r="F3390">
        <v>1648</v>
      </c>
      <c r="G3390">
        <f t="shared" si="52"/>
        <v>1576742492</v>
      </c>
    </row>
    <row r="3391" spans="1:7" x14ac:dyDescent="0.25">
      <c r="A3391">
        <v>1576745756</v>
      </c>
      <c r="B3391" t="s">
        <v>26273</v>
      </c>
      <c r="C3391">
        <v>0</v>
      </c>
      <c r="D3391">
        <v>1</v>
      </c>
      <c r="E3391">
        <v>26</v>
      </c>
      <c r="F3391">
        <v>6568</v>
      </c>
      <c r="G3391">
        <f t="shared" si="52"/>
        <v>1576745756</v>
      </c>
    </row>
    <row r="3392" spans="1:7" x14ac:dyDescent="0.25">
      <c r="A3392">
        <v>1576745808</v>
      </c>
      <c r="B3392" t="s">
        <v>26274</v>
      </c>
      <c r="C3392">
        <v>0</v>
      </c>
      <c r="D3392">
        <v>0</v>
      </c>
      <c r="E3392">
        <v>0</v>
      </c>
      <c r="F3392">
        <v>7505</v>
      </c>
      <c r="G3392">
        <f t="shared" si="52"/>
        <v>1576745808</v>
      </c>
    </row>
    <row r="3393" spans="1:7" x14ac:dyDescent="0.25">
      <c r="A3393">
        <v>1576748324</v>
      </c>
      <c r="B3393" t="s">
        <v>36449</v>
      </c>
      <c r="C3393">
        <v>1019</v>
      </c>
      <c r="D3393">
        <v>1</v>
      </c>
      <c r="E3393">
        <v>4216</v>
      </c>
      <c r="F3393">
        <v>2711</v>
      </c>
      <c r="G3393">
        <f t="shared" ref="G3393:G3456" si="53">A3393</f>
        <v>1576748324</v>
      </c>
    </row>
    <row r="3394" spans="1:7" x14ac:dyDescent="0.25">
      <c r="A3394">
        <v>1576749432</v>
      </c>
      <c r="B3394" t="s">
        <v>26275</v>
      </c>
      <c r="C3394">
        <v>79</v>
      </c>
      <c r="D3394">
        <v>2</v>
      </c>
      <c r="E3394">
        <v>7538</v>
      </c>
      <c r="F3394">
        <v>1976</v>
      </c>
      <c r="G3394">
        <f t="shared" si="53"/>
        <v>1576749432</v>
      </c>
    </row>
    <row r="3395" spans="1:7" x14ac:dyDescent="0.25">
      <c r="A3395">
        <v>1576749449</v>
      </c>
      <c r="B3395" t="s">
        <v>26276</v>
      </c>
      <c r="C3395">
        <v>0</v>
      </c>
      <c r="D3395">
        <v>1</v>
      </c>
      <c r="E3395">
        <v>26</v>
      </c>
      <c r="F3395">
        <v>6569</v>
      </c>
      <c r="G3395">
        <f t="shared" si="53"/>
        <v>1576749449</v>
      </c>
    </row>
    <row r="3396" spans="1:7" x14ac:dyDescent="0.25">
      <c r="A3396">
        <v>1576749486</v>
      </c>
      <c r="B3396" t="s">
        <v>26277</v>
      </c>
      <c r="C3396">
        <v>0</v>
      </c>
      <c r="D3396">
        <v>1</v>
      </c>
      <c r="E3396">
        <v>1056</v>
      </c>
      <c r="F3396">
        <v>3917</v>
      </c>
      <c r="G3396">
        <f t="shared" si="53"/>
        <v>1576749486</v>
      </c>
    </row>
    <row r="3397" spans="1:7" x14ac:dyDescent="0.25">
      <c r="A3397">
        <v>1576751047</v>
      </c>
      <c r="B3397" t="s">
        <v>26278</v>
      </c>
      <c r="C3397">
        <v>1867</v>
      </c>
      <c r="D3397">
        <v>1</v>
      </c>
      <c r="E3397">
        <v>1112</v>
      </c>
      <c r="F3397">
        <v>3861</v>
      </c>
      <c r="G3397">
        <f t="shared" si="53"/>
        <v>1576751047</v>
      </c>
    </row>
    <row r="3398" spans="1:7" x14ac:dyDescent="0.25">
      <c r="A3398">
        <v>1576751230</v>
      </c>
      <c r="B3398" t="s">
        <v>26279</v>
      </c>
      <c r="C3398">
        <v>0</v>
      </c>
      <c r="D3398">
        <v>0</v>
      </c>
      <c r="E3398">
        <v>0</v>
      </c>
      <c r="F3398">
        <v>7506</v>
      </c>
      <c r="G3398">
        <f t="shared" si="53"/>
        <v>1576751230</v>
      </c>
    </row>
    <row r="3399" spans="1:7" x14ac:dyDescent="0.25">
      <c r="A3399">
        <v>1576751743</v>
      </c>
      <c r="B3399" t="s">
        <v>26280</v>
      </c>
      <c r="C3399">
        <v>0</v>
      </c>
      <c r="D3399">
        <v>1</v>
      </c>
      <c r="E3399">
        <v>224</v>
      </c>
      <c r="F3399">
        <v>5412</v>
      </c>
      <c r="G3399">
        <f t="shared" si="53"/>
        <v>1576751743</v>
      </c>
    </row>
    <row r="3400" spans="1:7" x14ac:dyDescent="0.25">
      <c r="A3400">
        <v>1576751873</v>
      </c>
      <c r="B3400" t="s">
        <v>36450</v>
      </c>
      <c r="C3400">
        <v>578</v>
      </c>
      <c r="D3400">
        <v>7</v>
      </c>
      <c r="E3400">
        <v>36601</v>
      </c>
      <c r="F3400">
        <v>130</v>
      </c>
      <c r="G3400">
        <f t="shared" si="53"/>
        <v>1576751873</v>
      </c>
    </row>
    <row r="3401" spans="1:7" x14ac:dyDescent="0.25">
      <c r="A3401">
        <v>1576752371</v>
      </c>
      <c r="B3401" t="s">
        <v>26281</v>
      </c>
      <c r="C3401">
        <v>0</v>
      </c>
      <c r="D3401">
        <v>1</v>
      </c>
      <c r="E3401">
        <v>80</v>
      </c>
      <c r="F3401">
        <v>5972</v>
      </c>
      <c r="G3401">
        <f t="shared" si="53"/>
        <v>1576752371</v>
      </c>
    </row>
    <row r="3402" spans="1:7" x14ac:dyDescent="0.25">
      <c r="A3402">
        <v>1576754381</v>
      </c>
      <c r="B3402" t="s">
        <v>26282</v>
      </c>
      <c r="C3402">
        <v>218</v>
      </c>
      <c r="D3402">
        <v>2</v>
      </c>
      <c r="E3402">
        <v>11002</v>
      </c>
      <c r="F3402">
        <v>1417</v>
      </c>
      <c r="G3402">
        <f t="shared" si="53"/>
        <v>1576754381</v>
      </c>
    </row>
    <row r="3403" spans="1:7" x14ac:dyDescent="0.25">
      <c r="A3403">
        <v>1576754527</v>
      </c>
      <c r="B3403" t="s">
        <v>26283</v>
      </c>
      <c r="C3403">
        <v>882</v>
      </c>
      <c r="D3403">
        <v>3</v>
      </c>
      <c r="E3403">
        <v>13686</v>
      </c>
      <c r="F3403">
        <v>1102</v>
      </c>
      <c r="G3403">
        <f t="shared" si="53"/>
        <v>1576754527</v>
      </c>
    </row>
    <row r="3404" spans="1:7" x14ac:dyDescent="0.25">
      <c r="A3404">
        <v>1576755280</v>
      </c>
      <c r="B3404" t="s">
        <v>26284</v>
      </c>
      <c r="C3404">
        <v>1708</v>
      </c>
      <c r="D3404">
        <v>1</v>
      </c>
      <c r="E3404">
        <v>398</v>
      </c>
      <c r="F3404">
        <v>4849</v>
      </c>
      <c r="G3404">
        <f t="shared" si="53"/>
        <v>1576755280</v>
      </c>
    </row>
    <row r="3405" spans="1:7" x14ac:dyDescent="0.25">
      <c r="A3405">
        <v>1576755690</v>
      </c>
      <c r="B3405" t="s">
        <v>26285</v>
      </c>
      <c r="C3405">
        <v>152</v>
      </c>
      <c r="D3405">
        <v>6</v>
      </c>
      <c r="E3405">
        <v>32731</v>
      </c>
      <c r="F3405">
        <v>186</v>
      </c>
      <c r="G3405">
        <f t="shared" si="53"/>
        <v>1576755690</v>
      </c>
    </row>
    <row r="3406" spans="1:7" x14ac:dyDescent="0.25">
      <c r="A3406">
        <v>1576755725</v>
      </c>
      <c r="B3406" t="s">
        <v>26286</v>
      </c>
      <c r="C3406">
        <v>0</v>
      </c>
      <c r="D3406">
        <v>0</v>
      </c>
      <c r="E3406">
        <v>0</v>
      </c>
      <c r="F3406">
        <v>7507</v>
      </c>
      <c r="G3406">
        <f t="shared" si="53"/>
        <v>1576755725</v>
      </c>
    </row>
    <row r="3407" spans="1:7" x14ac:dyDescent="0.25">
      <c r="A3407">
        <v>1576756003</v>
      </c>
      <c r="B3407" t="s">
        <v>26287</v>
      </c>
      <c r="C3407">
        <v>0</v>
      </c>
      <c r="D3407">
        <v>0</v>
      </c>
      <c r="E3407">
        <v>0</v>
      </c>
      <c r="F3407">
        <v>7508</v>
      </c>
      <c r="G3407">
        <f t="shared" si="53"/>
        <v>1576756003</v>
      </c>
    </row>
    <row r="3408" spans="1:7" x14ac:dyDescent="0.25">
      <c r="A3408">
        <v>1576756439</v>
      </c>
      <c r="B3408" t="s">
        <v>26288</v>
      </c>
      <c r="C3408">
        <v>1753</v>
      </c>
      <c r="D3408">
        <v>1</v>
      </c>
      <c r="E3408">
        <v>1320</v>
      </c>
      <c r="F3408">
        <v>3713</v>
      </c>
      <c r="G3408">
        <f t="shared" si="53"/>
        <v>1576756439</v>
      </c>
    </row>
    <row r="3409" spans="1:7" x14ac:dyDescent="0.25">
      <c r="A3409">
        <v>1576757138</v>
      </c>
      <c r="B3409" t="s">
        <v>26289</v>
      </c>
      <c r="C3409">
        <v>0</v>
      </c>
      <c r="D3409">
        <v>1</v>
      </c>
      <c r="E3409">
        <v>26</v>
      </c>
      <c r="F3409">
        <v>6570</v>
      </c>
      <c r="G3409">
        <f t="shared" si="53"/>
        <v>1576757138</v>
      </c>
    </row>
    <row r="3410" spans="1:7" x14ac:dyDescent="0.25">
      <c r="A3410">
        <v>1576757402</v>
      </c>
      <c r="B3410" t="s">
        <v>26290</v>
      </c>
      <c r="C3410">
        <v>0</v>
      </c>
      <c r="D3410">
        <v>0</v>
      </c>
      <c r="E3410">
        <v>0</v>
      </c>
      <c r="F3410">
        <v>7509</v>
      </c>
      <c r="G3410">
        <f t="shared" si="53"/>
        <v>1576757402</v>
      </c>
    </row>
    <row r="3411" spans="1:7" x14ac:dyDescent="0.25">
      <c r="A3411">
        <v>1576758207</v>
      </c>
      <c r="B3411" t="s">
        <v>4043</v>
      </c>
      <c r="C3411">
        <v>0</v>
      </c>
      <c r="D3411">
        <v>1</v>
      </c>
      <c r="E3411">
        <v>624</v>
      </c>
      <c r="F3411">
        <v>4445</v>
      </c>
      <c r="G3411">
        <f t="shared" si="53"/>
        <v>1576758207</v>
      </c>
    </row>
    <row r="3412" spans="1:7" x14ac:dyDescent="0.25">
      <c r="A3412">
        <v>1576758865</v>
      </c>
      <c r="B3412" t="s">
        <v>26291</v>
      </c>
      <c r="C3412">
        <v>26</v>
      </c>
      <c r="D3412">
        <v>4</v>
      </c>
      <c r="E3412">
        <v>14057</v>
      </c>
      <c r="F3412">
        <v>1072</v>
      </c>
      <c r="G3412">
        <f t="shared" si="53"/>
        <v>1576758865</v>
      </c>
    </row>
    <row r="3413" spans="1:7" x14ac:dyDescent="0.25">
      <c r="A3413">
        <v>1576759634</v>
      </c>
      <c r="B3413" t="s">
        <v>26292</v>
      </c>
      <c r="C3413">
        <v>0</v>
      </c>
      <c r="D3413">
        <v>1</v>
      </c>
      <c r="E3413">
        <v>26</v>
      </c>
      <c r="F3413">
        <v>6571</v>
      </c>
      <c r="G3413">
        <f t="shared" si="53"/>
        <v>1576759634</v>
      </c>
    </row>
    <row r="3414" spans="1:7" x14ac:dyDescent="0.25">
      <c r="A3414">
        <v>1576760128</v>
      </c>
      <c r="B3414" t="s">
        <v>26293</v>
      </c>
      <c r="C3414">
        <v>0</v>
      </c>
      <c r="D3414">
        <v>0</v>
      </c>
      <c r="E3414">
        <v>0</v>
      </c>
      <c r="F3414">
        <v>7510</v>
      </c>
      <c r="G3414">
        <f t="shared" si="53"/>
        <v>1576760128</v>
      </c>
    </row>
    <row r="3415" spans="1:7" x14ac:dyDescent="0.25">
      <c r="A3415">
        <v>1576760309</v>
      </c>
      <c r="B3415" t="s">
        <v>26294</v>
      </c>
      <c r="C3415">
        <v>31</v>
      </c>
      <c r="D3415">
        <v>3</v>
      </c>
      <c r="E3415">
        <v>17541</v>
      </c>
      <c r="F3415">
        <v>788</v>
      </c>
      <c r="G3415">
        <f t="shared" si="53"/>
        <v>1576760309</v>
      </c>
    </row>
    <row r="3416" spans="1:7" x14ac:dyDescent="0.25">
      <c r="A3416">
        <v>1576761052</v>
      </c>
      <c r="B3416" t="s">
        <v>26295</v>
      </c>
      <c r="C3416">
        <v>0</v>
      </c>
      <c r="D3416">
        <v>1</v>
      </c>
      <c r="E3416">
        <v>637</v>
      </c>
      <c r="F3416">
        <v>4424</v>
      </c>
      <c r="G3416">
        <f t="shared" si="53"/>
        <v>1576761052</v>
      </c>
    </row>
    <row r="3417" spans="1:7" x14ac:dyDescent="0.25">
      <c r="A3417">
        <v>1576761151</v>
      </c>
      <c r="B3417" t="s">
        <v>36451</v>
      </c>
      <c r="C3417">
        <v>0</v>
      </c>
      <c r="D3417">
        <v>1</v>
      </c>
      <c r="E3417">
        <v>26</v>
      </c>
      <c r="F3417">
        <v>6572</v>
      </c>
      <c r="G3417">
        <f t="shared" si="53"/>
        <v>1576761151</v>
      </c>
    </row>
    <row r="3418" spans="1:7" x14ac:dyDescent="0.25">
      <c r="A3418">
        <v>1576761253</v>
      </c>
      <c r="B3418" t="s">
        <v>36452</v>
      </c>
      <c r="C3418">
        <v>45</v>
      </c>
      <c r="D3418">
        <v>1</v>
      </c>
      <c r="E3418">
        <v>894</v>
      </c>
      <c r="F3418">
        <v>4097</v>
      </c>
      <c r="G3418">
        <f t="shared" si="53"/>
        <v>1576761253</v>
      </c>
    </row>
    <row r="3419" spans="1:7" x14ac:dyDescent="0.25">
      <c r="A3419">
        <v>1576761492</v>
      </c>
      <c r="B3419" t="s">
        <v>26296</v>
      </c>
      <c r="C3419">
        <v>0</v>
      </c>
      <c r="D3419">
        <v>1</v>
      </c>
      <c r="E3419">
        <v>75</v>
      </c>
      <c r="F3419">
        <v>6015</v>
      </c>
      <c r="G3419">
        <f t="shared" si="53"/>
        <v>1576761492</v>
      </c>
    </row>
    <row r="3420" spans="1:7" x14ac:dyDescent="0.25">
      <c r="A3420">
        <v>1576761765</v>
      </c>
      <c r="B3420" t="s">
        <v>26297</v>
      </c>
      <c r="C3420">
        <v>0</v>
      </c>
      <c r="D3420">
        <v>1</v>
      </c>
      <c r="E3420">
        <v>26</v>
      </c>
      <c r="F3420">
        <v>6573</v>
      </c>
      <c r="G3420">
        <f t="shared" si="53"/>
        <v>1576761765</v>
      </c>
    </row>
    <row r="3421" spans="1:7" x14ac:dyDescent="0.25">
      <c r="A3421">
        <v>1576761768</v>
      </c>
      <c r="B3421" t="s">
        <v>26298</v>
      </c>
      <c r="C3421">
        <v>760</v>
      </c>
      <c r="D3421">
        <v>6</v>
      </c>
      <c r="E3421">
        <v>37244</v>
      </c>
      <c r="F3421">
        <v>118</v>
      </c>
      <c r="G3421">
        <f t="shared" si="53"/>
        <v>1576761768</v>
      </c>
    </row>
    <row r="3422" spans="1:7" x14ac:dyDescent="0.25">
      <c r="A3422">
        <v>1576764081</v>
      </c>
      <c r="B3422" t="s">
        <v>26299</v>
      </c>
      <c r="C3422">
        <v>1100</v>
      </c>
      <c r="D3422">
        <v>3</v>
      </c>
      <c r="E3422">
        <v>7212</v>
      </c>
      <c r="F3422">
        <v>2042</v>
      </c>
      <c r="G3422">
        <f t="shared" si="53"/>
        <v>1576764081</v>
      </c>
    </row>
    <row r="3423" spans="1:7" x14ac:dyDescent="0.25">
      <c r="A3423">
        <v>1576764568</v>
      </c>
      <c r="B3423" t="s">
        <v>26300</v>
      </c>
      <c r="C3423">
        <v>39</v>
      </c>
      <c r="D3423">
        <v>4</v>
      </c>
      <c r="E3423">
        <v>14639</v>
      </c>
      <c r="F3423">
        <v>1014</v>
      </c>
      <c r="G3423">
        <f t="shared" si="53"/>
        <v>1576764568</v>
      </c>
    </row>
    <row r="3424" spans="1:7" x14ac:dyDescent="0.25">
      <c r="A3424">
        <v>1576765182</v>
      </c>
      <c r="B3424" t="s">
        <v>26301</v>
      </c>
      <c r="C3424">
        <v>235</v>
      </c>
      <c r="D3424">
        <v>4</v>
      </c>
      <c r="E3424">
        <v>20510</v>
      </c>
      <c r="F3424">
        <v>607</v>
      </c>
      <c r="G3424">
        <f t="shared" si="53"/>
        <v>1576765182</v>
      </c>
    </row>
    <row r="3425" spans="1:7" x14ac:dyDescent="0.25">
      <c r="A3425">
        <v>1576765186</v>
      </c>
      <c r="B3425" t="s">
        <v>2222</v>
      </c>
      <c r="C3425">
        <v>235</v>
      </c>
      <c r="D3425">
        <v>3</v>
      </c>
      <c r="E3425">
        <v>9617</v>
      </c>
      <c r="F3425">
        <v>1623</v>
      </c>
      <c r="G3425">
        <f t="shared" si="53"/>
        <v>1576765186</v>
      </c>
    </row>
    <row r="3426" spans="1:7" x14ac:dyDescent="0.25">
      <c r="A3426">
        <v>1576765647</v>
      </c>
      <c r="B3426" t="s">
        <v>26302</v>
      </c>
      <c r="C3426">
        <v>0</v>
      </c>
      <c r="D3426">
        <v>1</v>
      </c>
      <c r="E3426">
        <v>101</v>
      </c>
      <c r="F3426">
        <v>5846</v>
      </c>
      <c r="G3426">
        <f t="shared" si="53"/>
        <v>1576765647</v>
      </c>
    </row>
    <row r="3427" spans="1:7" x14ac:dyDescent="0.25">
      <c r="A3427">
        <v>1576765928</v>
      </c>
      <c r="B3427" t="s">
        <v>26303</v>
      </c>
      <c r="C3427">
        <v>0</v>
      </c>
      <c r="D3427">
        <v>1</v>
      </c>
      <c r="E3427">
        <v>45</v>
      </c>
      <c r="F3427">
        <v>6231</v>
      </c>
      <c r="G3427">
        <f t="shared" si="53"/>
        <v>1576765928</v>
      </c>
    </row>
    <row r="3428" spans="1:7" x14ac:dyDescent="0.25">
      <c r="A3428">
        <v>1576766210</v>
      </c>
      <c r="B3428" t="s">
        <v>26304</v>
      </c>
      <c r="C3428">
        <v>0</v>
      </c>
      <c r="D3428">
        <v>0</v>
      </c>
      <c r="E3428">
        <v>0</v>
      </c>
      <c r="F3428">
        <v>7511</v>
      </c>
      <c r="G3428">
        <f t="shared" si="53"/>
        <v>1576766210</v>
      </c>
    </row>
    <row r="3429" spans="1:7" x14ac:dyDescent="0.25">
      <c r="A3429">
        <v>1576766997</v>
      </c>
      <c r="B3429" t="s">
        <v>26305</v>
      </c>
      <c r="C3429">
        <v>0</v>
      </c>
      <c r="D3429">
        <v>1</v>
      </c>
      <c r="E3429">
        <v>26</v>
      </c>
      <c r="F3429">
        <v>6574</v>
      </c>
      <c r="G3429">
        <f t="shared" si="53"/>
        <v>1576766997</v>
      </c>
    </row>
    <row r="3430" spans="1:7" x14ac:dyDescent="0.25">
      <c r="A3430">
        <v>1576767086</v>
      </c>
      <c r="B3430" t="s">
        <v>26306</v>
      </c>
      <c r="C3430">
        <v>422</v>
      </c>
      <c r="D3430">
        <v>1</v>
      </c>
      <c r="E3430">
        <v>6020</v>
      </c>
      <c r="F3430">
        <v>2270</v>
      </c>
      <c r="G3430">
        <f t="shared" si="53"/>
        <v>1576767086</v>
      </c>
    </row>
    <row r="3431" spans="1:7" x14ac:dyDescent="0.25">
      <c r="A3431">
        <v>1576769097</v>
      </c>
      <c r="B3431" t="s">
        <v>26307</v>
      </c>
      <c r="C3431">
        <v>0</v>
      </c>
      <c r="D3431">
        <v>1</v>
      </c>
      <c r="E3431">
        <v>26</v>
      </c>
      <c r="F3431">
        <v>6575</v>
      </c>
      <c r="G3431">
        <f t="shared" si="53"/>
        <v>1576769097</v>
      </c>
    </row>
    <row r="3432" spans="1:7" x14ac:dyDescent="0.25">
      <c r="A3432">
        <v>1576769288</v>
      </c>
      <c r="B3432" t="s">
        <v>2758</v>
      </c>
      <c r="C3432">
        <v>0</v>
      </c>
      <c r="D3432">
        <v>1</v>
      </c>
      <c r="E3432">
        <v>501</v>
      </c>
      <c r="F3432">
        <v>4633</v>
      </c>
      <c r="G3432">
        <f t="shared" si="53"/>
        <v>1576769288</v>
      </c>
    </row>
    <row r="3433" spans="1:7" x14ac:dyDescent="0.25">
      <c r="A3433">
        <v>1576769595</v>
      </c>
      <c r="B3433" t="s">
        <v>26308</v>
      </c>
      <c r="C3433">
        <v>0</v>
      </c>
      <c r="D3433">
        <v>1</v>
      </c>
      <c r="E3433">
        <v>1993</v>
      </c>
      <c r="F3433">
        <v>3348</v>
      </c>
      <c r="G3433">
        <f t="shared" si="53"/>
        <v>1576769595</v>
      </c>
    </row>
    <row r="3434" spans="1:7" x14ac:dyDescent="0.25">
      <c r="A3434">
        <v>1576769932</v>
      </c>
      <c r="B3434" t="s">
        <v>26309</v>
      </c>
      <c r="C3434">
        <v>0</v>
      </c>
      <c r="D3434">
        <v>0</v>
      </c>
      <c r="E3434">
        <v>0</v>
      </c>
      <c r="F3434">
        <v>7512</v>
      </c>
      <c r="G3434">
        <f t="shared" si="53"/>
        <v>1576769932</v>
      </c>
    </row>
    <row r="3435" spans="1:7" x14ac:dyDescent="0.25">
      <c r="A3435">
        <v>1576770016</v>
      </c>
      <c r="B3435" t="s">
        <v>26310</v>
      </c>
      <c r="C3435">
        <v>0</v>
      </c>
      <c r="D3435">
        <v>1</v>
      </c>
      <c r="E3435">
        <v>1362</v>
      </c>
      <c r="F3435">
        <v>3686</v>
      </c>
      <c r="G3435">
        <f t="shared" si="53"/>
        <v>1576770016</v>
      </c>
    </row>
    <row r="3436" spans="1:7" x14ac:dyDescent="0.25">
      <c r="A3436">
        <v>1576770406</v>
      </c>
      <c r="B3436" t="s">
        <v>26311</v>
      </c>
      <c r="C3436">
        <v>274</v>
      </c>
      <c r="D3436">
        <v>5</v>
      </c>
      <c r="E3436">
        <v>30375</v>
      </c>
      <c r="F3436">
        <v>235</v>
      </c>
      <c r="G3436">
        <f t="shared" si="53"/>
        <v>1576770406</v>
      </c>
    </row>
    <row r="3437" spans="1:7" x14ac:dyDescent="0.25">
      <c r="A3437">
        <v>1576771123</v>
      </c>
      <c r="B3437" t="s">
        <v>26312</v>
      </c>
      <c r="C3437">
        <v>0</v>
      </c>
      <c r="D3437">
        <v>0</v>
      </c>
      <c r="E3437">
        <v>0</v>
      </c>
      <c r="F3437">
        <v>7513</v>
      </c>
      <c r="G3437">
        <f t="shared" si="53"/>
        <v>1576771123</v>
      </c>
    </row>
    <row r="3438" spans="1:7" x14ac:dyDescent="0.25">
      <c r="A3438">
        <v>1576772561</v>
      </c>
      <c r="B3438" t="s">
        <v>26313</v>
      </c>
      <c r="C3438">
        <v>0</v>
      </c>
      <c r="D3438">
        <v>0</v>
      </c>
      <c r="E3438">
        <v>0</v>
      </c>
      <c r="F3438">
        <v>7514</v>
      </c>
      <c r="G3438">
        <f t="shared" si="53"/>
        <v>1576772561</v>
      </c>
    </row>
    <row r="3439" spans="1:7" x14ac:dyDescent="0.25">
      <c r="A3439">
        <v>1576772564</v>
      </c>
      <c r="B3439" t="s">
        <v>26314</v>
      </c>
      <c r="C3439">
        <v>617</v>
      </c>
      <c r="D3439">
        <v>3</v>
      </c>
      <c r="E3439">
        <v>18298</v>
      </c>
      <c r="F3439">
        <v>731</v>
      </c>
      <c r="G3439">
        <f t="shared" si="53"/>
        <v>1576772564</v>
      </c>
    </row>
    <row r="3440" spans="1:7" x14ac:dyDescent="0.25">
      <c r="A3440">
        <v>1576772718</v>
      </c>
      <c r="B3440" t="s">
        <v>37144</v>
      </c>
      <c r="C3440">
        <v>0</v>
      </c>
      <c r="D3440">
        <v>1</v>
      </c>
      <c r="E3440">
        <v>324</v>
      </c>
      <c r="F3440">
        <v>5054</v>
      </c>
      <c r="G3440">
        <f t="shared" si="53"/>
        <v>1576772718</v>
      </c>
    </row>
    <row r="3441" spans="1:7" x14ac:dyDescent="0.25">
      <c r="A3441">
        <v>1576772739</v>
      </c>
      <c r="B3441" t="s">
        <v>26315</v>
      </c>
      <c r="C3441">
        <v>0</v>
      </c>
      <c r="D3441">
        <v>0</v>
      </c>
      <c r="E3441">
        <v>0</v>
      </c>
      <c r="F3441">
        <v>7515</v>
      </c>
      <c r="G3441">
        <f t="shared" si="53"/>
        <v>1576772739</v>
      </c>
    </row>
    <row r="3442" spans="1:7" x14ac:dyDescent="0.25">
      <c r="A3442">
        <v>1576775167</v>
      </c>
      <c r="B3442" t="s">
        <v>26316</v>
      </c>
      <c r="C3442">
        <v>0</v>
      </c>
      <c r="D3442">
        <v>0</v>
      </c>
      <c r="E3442">
        <v>0</v>
      </c>
      <c r="F3442">
        <v>7516</v>
      </c>
      <c r="G3442">
        <f t="shared" si="53"/>
        <v>1576775167</v>
      </c>
    </row>
    <row r="3443" spans="1:7" x14ac:dyDescent="0.25">
      <c r="A3443">
        <v>1576775378</v>
      </c>
      <c r="B3443" t="s">
        <v>26317</v>
      </c>
      <c r="C3443">
        <v>1753</v>
      </c>
      <c r="D3443">
        <v>1</v>
      </c>
      <c r="E3443">
        <v>1458</v>
      </c>
      <c r="F3443">
        <v>3636</v>
      </c>
      <c r="G3443">
        <f t="shared" si="53"/>
        <v>1576775378</v>
      </c>
    </row>
    <row r="3444" spans="1:7" x14ac:dyDescent="0.25">
      <c r="A3444">
        <v>1576776027</v>
      </c>
      <c r="B3444" t="s">
        <v>26318</v>
      </c>
      <c r="C3444">
        <v>333</v>
      </c>
      <c r="D3444">
        <v>4</v>
      </c>
      <c r="E3444">
        <v>7835</v>
      </c>
      <c r="F3444">
        <v>1916</v>
      </c>
      <c r="G3444">
        <f t="shared" si="53"/>
        <v>1576776027</v>
      </c>
    </row>
    <row r="3445" spans="1:7" x14ac:dyDescent="0.25">
      <c r="A3445">
        <v>1576776463</v>
      </c>
      <c r="B3445" t="s">
        <v>26319</v>
      </c>
      <c r="C3445">
        <v>0</v>
      </c>
      <c r="D3445">
        <v>1</v>
      </c>
      <c r="E3445">
        <v>136</v>
      </c>
      <c r="F3445">
        <v>5746</v>
      </c>
      <c r="G3445">
        <f t="shared" si="53"/>
        <v>1576776463</v>
      </c>
    </row>
    <row r="3446" spans="1:7" x14ac:dyDescent="0.25">
      <c r="A3446">
        <v>1576776469</v>
      </c>
      <c r="B3446" t="s">
        <v>37302</v>
      </c>
      <c r="C3446">
        <v>0</v>
      </c>
      <c r="D3446">
        <v>1</v>
      </c>
      <c r="E3446">
        <v>356</v>
      </c>
      <c r="F3446">
        <v>4963</v>
      </c>
      <c r="G3446">
        <f t="shared" si="53"/>
        <v>1576776469</v>
      </c>
    </row>
    <row r="3447" spans="1:7" x14ac:dyDescent="0.25">
      <c r="A3447">
        <v>1576776833</v>
      </c>
      <c r="B3447" t="s">
        <v>26320</v>
      </c>
      <c r="C3447">
        <v>0</v>
      </c>
      <c r="D3447">
        <v>1</v>
      </c>
      <c r="E3447">
        <v>527</v>
      </c>
      <c r="F3447">
        <v>4584</v>
      </c>
      <c r="G3447">
        <f t="shared" si="53"/>
        <v>1576776833</v>
      </c>
    </row>
    <row r="3448" spans="1:7" x14ac:dyDescent="0.25">
      <c r="A3448">
        <v>1576778129</v>
      </c>
      <c r="B3448" t="s">
        <v>26321</v>
      </c>
      <c r="C3448">
        <v>0</v>
      </c>
      <c r="D3448">
        <v>1</v>
      </c>
      <c r="E3448">
        <v>26</v>
      </c>
      <c r="F3448">
        <v>6576</v>
      </c>
      <c r="G3448">
        <f t="shared" si="53"/>
        <v>1576778129</v>
      </c>
    </row>
    <row r="3449" spans="1:7" x14ac:dyDescent="0.25">
      <c r="A3449">
        <v>1576778163</v>
      </c>
      <c r="B3449" t="s">
        <v>26322</v>
      </c>
      <c r="C3449">
        <v>494</v>
      </c>
      <c r="D3449">
        <v>2</v>
      </c>
      <c r="E3449">
        <v>10641</v>
      </c>
      <c r="F3449">
        <v>1476</v>
      </c>
      <c r="G3449">
        <f t="shared" si="53"/>
        <v>1576778163</v>
      </c>
    </row>
    <row r="3450" spans="1:7" x14ac:dyDescent="0.25">
      <c r="A3450">
        <v>1576778462</v>
      </c>
      <c r="B3450" t="s">
        <v>26323</v>
      </c>
      <c r="C3450">
        <v>124</v>
      </c>
      <c r="D3450">
        <v>3</v>
      </c>
      <c r="E3450">
        <v>17978</v>
      </c>
      <c r="F3450">
        <v>754</v>
      </c>
      <c r="G3450">
        <f t="shared" si="53"/>
        <v>1576778462</v>
      </c>
    </row>
    <row r="3451" spans="1:7" x14ac:dyDescent="0.25">
      <c r="A3451">
        <v>1576778774</v>
      </c>
      <c r="B3451" t="s">
        <v>26324</v>
      </c>
      <c r="C3451">
        <v>541</v>
      </c>
      <c r="D3451">
        <v>3</v>
      </c>
      <c r="E3451">
        <v>13952</v>
      </c>
      <c r="F3451">
        <v>1082</v>
      </c>
      <c r="G3451">
        <f t="shared" si="53"/>
        <v>1576778774</v>
      </c>
    </row>
    <row r="3452" spans="1:7" x14ac:dyDescent="0.25">
      <c r="A3452">
        <v>1576778897</v>
      </c>
      <c r="B3452" t="s">
        <v>26325</v>
      </c>
      <c r="C3452">
        <v>55</v>
      </c>
      <c r="D3452">
        <v>1</v>
      </c>
      <c r="E3452">
        <v>828</v>
      </c>
      <c r="F3452">
        <v>4160</v>
      </c>
      <c r="G3452">
        <f t="shared" si="53"/>
        <v>1576778897</v>
      </c>
    </row>
    <row r="3453" spans="1:7" x14ac:dyDescent="0.25">
      <c r="A3453">
        <v>1576779265</v>
      </c>
      <c r="B3453" t="s">
        <v>36453</v>
      </c>
      <c r="C3453">
        <v>1373</v>
      </c>
      <c r="D3453">
        <v>2</v>
      </c>
      <c r="E3453">
        <v>7591</v>
      </c>
      <c r="F3453">
        <v>1962</v>
      </c>
      <c r="G3453">
        <f t="shared" si="53"/>
        <v>1576779265</v>
      </c>
    </row>
    <row r="3454" spans="1:7" x14ac:dyDescent="0.25">
      <c r="A3454">
        <v>1576779600</v>
      </c>
      <c r="B3454" t="s">
        <v>26326</v>
      </c>
      <c r="C3454">
        <v>270</v>
      </c>
      <c r="D3454">
        <v>8</v>
      </c>
      <c r="E3454">
        <v>34688</v>
      </c>
      <c r="F3454">
        <v>156</v>
      </c>
      <c r="G3454">
        <f t="shared" si="53"/>
        <v>1576779600</v>
      </c>
    </row>
    <row r="3455" spans="1:7" x14ac:dyDescent="0.25">
      <c r="A3455">
        <v>1576780279</v>
      </c>
      <c r="B3455" t="s">
        <v>26327</v>
      </c>
      <c r="C3455">
        <v>419</v>
      </c>
      <c r="D3455">
        <v>7</v>
      </c>
      <c r="E3455">
        <v>35435</v>
      </c>
      <c r="F3455">
        <v>144</v>
      </c>
      <c r="G3455">
        <f t="shared" si="53"/>
        <v>1576780279</v>
      </c>
    </row>
    <row r="3456" spans="1:7" x14ac:dyDescent="0.25">
      <c r="A3456">
        <v>1576780512</v>
      </c>
      <c r="B3456" t="s">
        <v>26328</v>
      </c>
      <c r="C3456">
        <v>1413</v>
      </c>
      <c r="D3456">
        <v>1</v>
      </c>
      <c r="E3456">
        <v>3511</v>
      </c>
      <c r="F3456">
        <v>2874</v>
      </c>
      <c r="G3456">
        <f t="shared" si="53"/>
        <v>1576780512</v>
      </c>
    </row>
    <row r="3457" spans="1:7" x14ac:dyDescent="0.25">
      <c r="A3457">
        <v>1576780719</v>
      </c>
      <c r="B3457" t="s">
        <v>26329</v>
      </c>
      <c r="C3457">
        <v>0</v>
      </c>
      <c r="D3457">
        <v>1</v>
      </c>
      <c r="E3457">
        <v>26</v>
      </c>
      <c r="F3457">
        <v>6577</v>
      </c>
      <c r="G3457">
        <f t="shared" ref="G3457:G3520" si="54">A3457</f>
        <v>1576780719</v>
      </c>
    </row>
    <row r="3458" spans="1:7" x14ac:dyDescent="0.25">
      <c r="A3458">
        <v>1576780849</v>
      </c>
      <c r="B3458" t="s">
        <v>26330</v>
      </c>
      <c r="C3458">
        <v>0</v>
      </c>
      <c r="D3458">
        <v>1</v>
      </c>
      <c r="E3458">
        <v>50</v>
      </c>
      <c r="F3458">
        <v>6182</v>
      </c>
      <c r="G3458">
        <f t="shared" si="54"/>
        <v>1576780849</v>
      </c>
    </row>
    <row r="3459" spans="1:7" x14ac:dyDescent="0.25">
      <c r="A3459">
        <v>1576782672</v>
      </c>
      <c r="B3459" t="s">
        <v>37303</v>
      </c>
      <c r="C3459">
        <v>55</v>
      </c>
      <c r="D3459">
        <v>1</v>
      </c>
      <c r="E3459">
        <v>958</v>
      </c>
      <c r="F3459">
        <v>4044</v>
      </c>
      <c r="G3459">
        <f t="shared" si="54"/>
        <v>1576782672</v>
      </c>
    </row>
    <row r="3460" spans="1:7" x14ac:dyDescent="0.25">
      <c r="A3460">
        <v>1576783119</v>
      </c>
      <c r="B3460" t="s">
        <v>26331</v>
      </c>
      <c r="C3460">
        <v>957</v>
      </c>
      <c r="D3460">
        <v>1</v>
      </c>
      <c r="E3460">
        <v>322</v>
      </c>
      <c r="F3460">
        <v>5060</v>
      </c>
      <c r="G3460">
        <f t="shared" si="54"/>
        <v>1576783119</v>
      </c>
    </row>
    <row r="3461" spans="1:7" x14ac:dyDescent="0.25">
      <c r="A3461">
        <v>1576783153</v>
      </c>
      <c r="B3461" t="s">
        <v>26332</v>
      </c>
      <c r="C3461">
        <v>0</v>
      </c>
      <c r="D3461">
        <v>1</v>
      </c>
      <c r="E3461">
        <v>26</v>
      </c>
      <c r="F3461">
        <v>6578</v>
      </c>
      <c r="G3461">
        <f t="shared" si="54"/>
        <v>1576783153</v>
      </c>
    </row>
    <row r="3462" spans="1:7" x14ac:dyDescent="0.25">
      <c r="A3462">
        <v>1576783585</v>
      </c>
      <c r="B3462" t="s">
        <v>36454</v>
      </c>
      <c r="C3462">
        <v>419</v>
      </c>
      <c r="D3462">
        <v>3</v>
      </c>
      <c r="E3462">
        <v>15915</v>
      </c>
      <c r="F3462">
        <v>916</v>
      </c>
      <c r="G3462">
        <f t="shared" si="54"/>
        <v>1576783585</v>
      </c>
    </row>
    <row r="3463" spans="1:7" x14ac:dyDescent="0.25">
      <c r="A3463">
        <v>1576783604</v>
      </c>
      <c r="B3463" t="s">
        <v>26333</v>
      </c>
      <c r="C3463">
        <v>0</v>
      </c>
      <c r="D3463">
        <v>0</v>
      </c>
      <c r="E3463">
        <v>0</v>
      </c>
      <c r="F3463">
        <v>7517</v>
      </c>
      <c r="G3463">
        <f t="shared" si="54"/>
        <v>1576783604</v>
      </c>
    </row>
    <row r="3464" spans="1:7" x14ac:dyDescent="0.25">
      <c r="A3464">
        <v>1576783714</v>
      </c>
      <c r="B3464" t="s">
        <v>36455</v>
      </c>
      <c r="C3464">
        <v>149</v>
      </c>
      <c r="D3464">
        <v>1</v>
      </c>
      <c r="E3464">
        <v>718</v>
      </c>
      <c r="F3464">
        <v>4314</v>
      </c>
      <c r="G3464">
        <f t="shared" si="54"/>
        <v>1576783714</v>
      </c>
    </row>
    <row r="3465" spans="1:7" x14ac:dyDescent="0.25">
      <c r="A3465">
        <v>1576784013</v>
      </c>
      <c r="B3465" t="s">
        <v>26334</v>
      </c>
      <c r="C3465">
        <v>494</v>
      </c>
      <c r="D3465">
        <v>2</v>
      </c>
      <c r="E3465">
        <v>3607</v>
      </c>
      <c r="F3465">
        <v>2850</v>
      </c>
      <c r="G3465">
        <f t="shared" si="54"/>
        <v>1576784013</v>
      </c>
    </row>
    <row r="3466" spans="1:7" x14ac:dyDescent="0.25">
      <c r="A3466">
        <v>1576784519</v>
      </c>
      <c r="B3466" t="s">
        <v>26335</v>
      </c>
      <c r="C3466">
        <v>0</v>
      </c>
      <c r="D3466">
        <v>0</v>
      </c>
      <c r="E3466">
        <v>0</v>
      </c>
      <c r="F3466">
        <v>7518</v>
      </c>
      <c r="G3466">
        <f t="shared" si="54"/>
        <v>1576784519</v>
      </c>
    </row>
    <row r="3467" spans="1:7" x14ac:dyDescent="0.25">
      <c r="A3467">
        <v>1576785045</v>
      </c>
      <c r="B3467" t="s">
        <v>26336</v>
      </c>
      <c r="C3467">
        <v>977</v>
      </c>
      <c r="D3467">
        <v>1</v>
      </c>
      <c r="E3467">
        <v>1560</v>
      </c>
      <c r="F3467">
        <v>3561</v>
      </c>
      <c r="G3467">
        <f t="shared" si="54"/>
        <v>1576785045</v>
      </c>
    </row>
    <row r="3468" spans="1:7" x14ac:dyDescent="0.25">
      <c r="A3468">
        <v>1576785492</v>
      </c>
      <c r="B3468" t="s">
        <v>26337</v>
      </c>
      <c r="C3468">
        <v>199</v>
      </c>
      <c r="D3468">
        <v>1</v>
      </c>
      <c r="E3468">
        <v>2817</v>
      </c>
      <c r="F3468">
        <v>3037</v>
      </c>
      <c r="G3468">
        <f t="shared" si="54"/>
        <v>1576785492</v>
      </c>
    </row>
    <row r="3469" spans="1:7" x14ac:dyDescent="0.25">
      <c r="A3469">
        <v>1576785741</v>
      </c>
      <c r="B3469" t="s">
        <v>26338</v>
      </c>
      <c r="C3469">
        <v>152</v>
      </c>
      <c r="D3469">
        <v>3</v>
      </c>
      <c r="E3469">
        <v>12394</v>
      </c>
      <c r="F3469">
        <v>1242</v>
      </c>
      <c r="G3469">
        <f t="shared" si="54"/>
        <v>1576785741</v>
      </c>
    </row>
    <row r="3470" spans="1:7" x14ac:dyDescent="0.25">
      <c r="A3470">
        <v>1576785796</v>
      </c>
      <c r="B3470" t="s">
        <v>26339</v>
      </c>
      <c r="C3470">
        <v>541</v>
      </c>
      <c r="D3470">
        <v>4</v>
      </c>
      <c r="E3470">
        <v>20247</v>
      </c>
      <c r="F3470">
        <v>610</v>
      </c>
      <c r="G3470">
        <f t="shared" si="54"/>
        <v>1576785796</v>
      </c>
    </row>
    <row r="3471" spans="1:7" x14ac:dyDescent="0.25">
      <c r="A3471">
        <v>1576785860</v>
      </c>
      <c r="B3471" t="s">
        <v>26340</v>
      </c>
      <c r="C3471">
        <v>0</v>
      </c>
      <c r="D3471">
        <v>0</v>
      </c>
      <c r="E3471">
        <v>0</v>
      </c>
      <c r="F3471">
        <v>7519</v>
      </c>
      <c r="G3471">
        <f t="shared" si="54"/>
        <v>1576785860</v>
      </c>
    </row>
    <row r="3472" spans="1:7" x14ac:dyDescent="0.25">
      <c r="A3472">
        <v>1576787713</v>
      </c>
      <c r="B3472" t="s">
        <v>36456</v>
      </c>
      <c r="C3472">
        <v>0</v>
      </c>
      <c r="D3472">
        <v>0</v>
      </c>
      <c r="E3472">
        <v>0</v>
      </c>
      <c r="F3472">
        <v>7520</v>
      </c>
      <c r="G3472">
        <f t="shared" si="54"/>
        <v>1576787713</v>
      </c>
    </row>
    <row r="3473" spans="1:7" x14ac:dyDescent="0.25">
      <c r="A3473">
        <v>1576787783</v>
      </c>
      <c r="B3473" t="s">
        <v>36457</v>
      </c>
      <c r="C3473">
        <v>1754</v>
      </c>
      <c r="D3473">
        <v>1</v>
      </c>
      <c r="E3473">
        <v>575</v>
      </c>
      <c r="F3473">
        <v>4503</v>
      </c>
      <c r="G3473">
        <f t="shared" si="54"/>
        <v>1576787783</v>
      </c>
    </row>
    <row r="3474" spans="1:7" x14ac:dyDescent="0.25">
      <c r="A3474">
        <v>1576788228</v>
      </c>
      <c r="B3474" t="s">
        <v>26341</v>
      </c>
      <c r="C3474">
        <v>0</v>
      </c>
      <c r="D3474">
        <v>1</v>
      </c>
      <c r="E3474">
        <v>26</v>
      </c>
      <c r="F3474">
        <v>6579</v>
      </c>
      <c r="G3474">
        <f t="shared" si="54"/>
        <v>1576788228</v>
      </c>
    </row>
    <row r="3475" spans="1:7" x14ac:dyDescent="0.25">
      <c r="A3475">
        <v>1576788305</v>
      </c>
      <c r="B3475" t="s">
        <v>26342</v>
      </c>
      <c r="C3475">
        <v>1775</v>
      </c>
      <c r="D3475">
        <v>1</v>
      </c>
      <c r="E3475">
        <v>2027</v>
      </c>
      <c r="F3475">
        <v>3330</v>
      </c>
      <c r="G3475">
        <f t="shared" si="54"/>
        <v>1576788305</v>
      </c>
    </row>
    <row r="3476" spans="1:7" x14ac:dyDescent="0.25">
      <c r="A3476">
        <v>1576789885</v>
      </c>
      <c r="B3476" t="s">
        <v>26343</v>
      </c>
      <c r="C3476">
        <v>0</v>
      </c>
      <c r="D3476">
        <v>0</v>
      </c>
      <c r="E3476">
        <v>0</v>
      </c>
      <c r="F3476">
        <v>7521</v>
      </c>
      <c r="G3476">
        <f t="shared" si="54"/>
        <v>1576789885</v>
      </c>
    </row>
    <row r="3477" spans="1:7" x14ac:dyDescent="0.25">
      <c r="A3477">
        <v>1576790536</v>
      </c>
      <c r="B3477" t="s">
        <v>26344</v>
      </c>
      <c r="C3477">
        <v>0</v>
      </c>
      <c r="D3477">
        <v>1</v>
      </c>
      <c r="E3477">
        <v>712</v>
      </c>
      <c r="F3477">
        <v>4325</v>
      </c>
      <c r="G3477">
        <f t="shared" si="54"/>
        <v>1576790536</v>
      </c>
    </row>
    <row r="3478" spans="1:7" x14ac:dyDescent="0.25">
      <c r="A3478">
        <v>1576790542</v>
      </c>
      <c r="B3478" t="s">
        <v>26345</v>
      </c>
      <c r="C3478">
        <v>1880</v>
      </c>
      <c r="D3478">
        <v>1</v>
      </c>
      <c r="E3478">
        <v>544</v>
      </c>
      <c r="F3478">
        <v>4559</v>
      </c>
      <c r="G3478">
        <f t="shared" si="54"/>
        <v>1576790542</v>
      </c>
    </row>
    <row r="3479" spans="1:7" x14ac:dyDescent="0.25">
      <c r="A3479">
        <v>1576791770</v>
      </c>
      <c r="B3479" t="s">
        <v>26346</v>
      </c>
      <c r="C3479">
        <v>0</v>
      </c>
      <c r="D3479">
        <v>1</v>
      </c>
      <c r="E3479">
        <v>202</v>
      </c>
      <c r="F3479">
        <v>5489</v>
      </c>
      <c r="G3479">
        <f t="shared" si="54"/>
        <v>1576791770</v>
      </c>
    </row>
    <row r="3480" spans="1:7" x14ac:dyDescent="0.25">
      <c r="A3480">
        <v>1576793074</v>
      </c>
      <c r="B3480" t="s">
        <v>26347</v>
      </c>
      <c r="C3480">
        <v>0</v>
      </c>
      <c r="D3480">
        <v>1</v>
      </c>
      <c r="E3480">
        <v>26</v>
      </c>
      <c r="F3480">
        <v>6580</v>
      </c>
      <c r="G3480">
        <f t="shared" si="54"/>
        <v>1576793074</v>
      </c>
    </row>
    <row r="3481" spans="1:7" x14ac:dyDescent="0.25">
      <c r="A3481">
        <v>1576793490</v>
      </c>
      <c r="B3481" t="s">
        <v>26348</v>
      </c>
      <c r="C3481">
        <v>0</v>
      </c>
      <c r="D3481">
        <v>1</v>
      </c>
      <c r="E3481">
        <v>26</v>
      </c>
      <c r="F3481">
        <v>6581</v>
      </c>
      <c r="G3481">
        <f t="shared" si="54"/>
        <v>1576793490</v>
      </c>
    </row>
    <row r="3482" spans="1:7" x14ac:dyDescent="0.25">
      <c r="A3482">
        <v>1576793606</v>
      </c>
      <c r="B3482" t="s">
        <v>26349</v>
      </c>
      <c r="C3482">
        <v>0</v>
      </c>
      <c r="D3482">
        <v>0</v>
      </c>
      <c r="E3482">
        <v>0</v>
      </c>
      <c r="F3482">
        <v>7522</v>
      </c>
      <c r="G3482">
        <f t="shared" si="54"/>
        <v>1576793606</v>
      </c>
    </row>
    <row r="3483" spans="1:7" x14ac:dyDescent="0.25">
      <c r="A3483">
        <v>1576793715</v>
      </c>
      <c r="B3483" t="s">
        <v>26350</v>
      </c>
      <c r="C3483">
        <v>0</v>
      </c>
      <c r="D3483">
        <v>0</v>
      </c>
      <c r="E3483">
        <v>0</v>
      </c>
      <c r="F3483">
        <v>7523</v>
      </c>
      <c r="G3483">
        <f t="shared" si="54"/>
        <v>1576793715</v>
      </c>
    </row>
    <row r="3484" spans="1:7" x14ac:dyDescent="0.25">
      <c r="A3484">
        <v>1576793882</v>
      </c>
      <c r="B3484" t="s">
        <v>26351</v>
      </c>
      <c r="C3484">
        <v>325</v>
      </c>
      <c r="D3484">
        <v>1</v>
      </c>
      <c r="E3484">
        <v>2192</v>
      </c>
      <c r="F3484">
        <v>3250</v>
      </c>
      <c r="G3484">
        <f t="shared" si="54"/>
        <v>1576793882</v>
      </c>
    </row>
    <row r="3485" spans="1:7" x14ac:dyDescent="0.25">
      <c r="A3485">
        <v>1576793918</v>
      </c>
      <c r="B3485" t="s">
        <v>26352</v>
      </c>
      <c r="C3485">
        <v>131</v>
      </c>
      <c r="D3485">
        <v>1</v>
      </c>
      <c r="E3485">
        <v>5128</v>
      </c>
      <c r="F3485">
        <v>2482</v>
      </c>
      <c r="G3485">
        <f t="shared" si="54"/>
        <v>1576793918</v>
      </c>
    </row>
    <row r="3486" spans="1:7" x14ac:dyDescent="0.25">
      <c r="A3486">
        <v>1576794370</v>
      </c>
      <c r="B3486" t="s">
        <v>26353</v>
      </c>
      <c r="C3486">
        <v>27</v>
      </c>
      <c r="D3486">
        <v>1</v>
      </c>
      <c r="E3486">
        <v>7393</v>
      </c>
      <c r="F3486">
        <v>1996</v>
      </c>
      <c r="G3486">
        <f t="shared" si="54"/>
        <v>1576794370</v>
      </c>
    </row>
    <row r="3487" spans="1:7" x14ac:dyDescent="0.25">
      <c r="A3487">
        <v>1576794600</v>
      </c>
      <c r="B3487" t="s">
        <v>26354</v>
      </c>
      <c r="C3487">
        <v>1753</v>
      </c>
      <c r="D3487">
        <v>1</v>
      </c>
      <c r="E3487">
        <v>2751</v>
      </c>
      <c r="F3487">
        <v>3054</v>
      </c>
      <c r="G3487">
        <f t="shared" si="54"/>
        <v>1576794600</v>
      </c>
    </row>
    <row r="3488" spans="1:7" x14ac:dyDescent="0.25">
      <c r="A3488">
        <v>1576794931</v>
      </c>
      <c r="B3488" t="s">
        <v>37450</v>
      </c>
      <c r="C3488">
        <v>0</v>
      </c>
      <c r="D3488">
        <v>1</v>
      </c>
      <c r="E3488">
        <v>70</v>
      </c>
      <c r="F3488">
        <v>8489</v>
      </c>
      <c r="G3488">
        <f t="shared" si="54"/>
        <v>1576794931</v>
      </c>
    </row>
    <row r="3489" spans="1:7" x14ac:dyDescent="0.25">
      <c r="A3489">
        <v>1576795194</v>
      </c>
      <c r="B3489" t="s">
        <v>26355</v>
      </c>
      <c r="C3489">
        <v>367</v>
      </c>
      <c r="D3489">
        <v>6</v>
      </c>
      <c r="E3489">
        <v>39134</v>
      </c>
      <c r="F3489">
        <v>96</v>
      </c>
      <c r="G3489">
        <f t="shared" si="54"/>
        <v>1576795194</v>
      </c>
    </row>
    <row r="3490" spans="1:7" x14ac:dyDescent="0.25">
      <c r="A3490">
        <v>1576795490</v>
      </c>
      <c r="B3490" t="s">
        <v>26356</v>
      </c>
      <c r="C3490">
        <v>1100</v>
      </c>
      <c r="D3490">
        <v>2</v>
      </c>
      <c r="E3490">
        <v>2463</v>
      </c>
      <c r="F3490">
        <v>3150</v>
      </c>
      <c r="G3490">
        <f t="shared" si="54"/>
        <v>1576795490</v>
      </c>
    </row>
    <row r="3491" spans="1:7" x14ac:dyDescent="0.25">
      <c r="A3491">
        <v>1576795542</v>
      </c>
      <c r="B3491" t="s">
        <v>26357</v>
      </c>
      <c r="C3491">
        <v>0</v>
      </c>
      <c r="D3491">
        <v>1</v>
      </c>
      <c r="E3491">
        <v>44</v>
      </c>
      <c r="F3491">
        <v>6239</v>
      </c>
      <c r="G3491">
        <f t="shared" si="54"/>
        <v>1576795542</v>
      </c>
    </row>
    <row r="3492" spans="1:7" x14ac:dyDescent="0.25">
      <c r="A3492">
        <v>1576796409</v>
      </c>
      <c r="B3492" t="s">
        <v>26358</v>
      </c>
      <c r="C3492">
        <v>1663</v>
      </c>
      <c r="D3492">
        <v>1</v>
      </c>
      <c r="E3492">
        <v>1036</v>
      </c>
      <c r="F3492">
        <v>3938</v>
      </c>
      <c r="G3492">
        <f t="shared" si="54"/>
        <v>1576796409</v>
      </c>
    </row>
    <row r="3493" spans="1:7" x14ac:dyDescent="0.25">
      <c r="A3493">
        <v>1576796550</v>
      </c>
      <c r="B3493" t="s">
        <v>26359</v>
      </c>
      <c r="C3493">
        <v>1867</v>
      </c>
      <c r="D3493">
        <v>1</v>
      </c>
      <c r="E3493">
        <v>829</v>
      </c>
      <c r="F3493">
        <v>4158</v>
      </c>
      <c r="G3493">
        <f t="shared" si="54"/>
        <v>1576796550</v>
      </c>
    </row>
    <row r="3494" spans="1:7" x14ac:dyDescent="0.25">
      <c r="A3494">
        <v>1576796739</v>
      </c>
      <c r="B3494" t="s">
        <v>26360</v>
      </c>
      <c r="C3494">
        <v>1972</v>
      </c>
      <c r="D3494">
        <v>2</v>
      </c>
      <c r="E3494">
        <v>12566</v>
      </c>
      <c r="F3494">
        <v>1218</v>
      </c>
      <c r="G3494">
        <f t="shared" si="54"/>
        <v>1576796739</v>
      </c>
    </row>
    <row r="3495" spans="1:7" x14ac:dyDescent="0.25">
      <c r="A3495">
        <v>1576796997</v>
      </c>
      <c r="B3495" t="s">
        <v>26361</v>
      </c>
      <c r="C3495">
        <v>1858</v>
      </c>
      <c r="D3495">
        <v>1</v>
      </c>
      <c r="E3495">
        <v>437</v>
      </c>
      <c r="F3495">
        <v>4767</v>
      </c>
      <c r="G3495">
        <f t="shared" si="54"/>
        <v>1576796997</v>
      </c>
    </row>
    <row r="3496" spans="1:7" x14ac:dyDescent="0.25">
      <c r="A3496">
        <v>1576797901</v>
      </c>
      <c r="B3496" t="s">
        <v>26362</v>
      </c>
      <c r="C3496">
        <v>0</v>
      </c>
      <c r="D3496">
        <v>1</v>
      </c>
      <c r="E3496">
        <v>328</v>
      </c>
      <c r="F3496">
        <v>5044</v>
      </c>
      <c r="G3496">
        <f t="shared" si="54"/>
        <v>1576797901</v>
      </c>
    </row>
    <row r="3497" spans="1:7" x14ac:dyDescent="0.25">
      <c r="A3497">
        <v>1576798357</v>
      </c>
      <c r="B3497" t="s">
        <v>26363</v>
      </c>
      <c r="C3497">
        <v>0</v>
      </c>
      <c r="D3497">
        <v>1</v>
      </c>
      <c r="E3497">
        <v>233</v>
      </c>
      <c r="F3497">
        <v>5376</v>
      </c>
      <c r="G3497">
        <f t="shared" si="54"/>
        <v>1576798357</v>
      </c>
    </row>
    <row r="3498" spans="1:7" x14ac:dyDescent="0.25">
      <c r="A3498">
        <v>1576798374</v>
      </c>
      <c r="B3498" t="s">
        <v>26364</v>
      </c>
      <c r="C3498">
        <v>0</v>
      </c>
      <c r="D3498">
        <v>1</v>
      </c>
      <c r="E3498">
        <v>26</v>
      </c>
      <c r="F3498">
        <v>6582</v>
      </c>
      <c r="G3498">
        <f t="shared" si="54"/>
        <v>1576798374</v>
      </c>
    </row>
    <row r="3499" spans="1:7" x14ac:dyDescent="0.25">
      <c r="A3499">
        <v>1576798381</v>
      </c>
      <c r="B3499" t="s">
        <v>26365</v>
      </c>
      <c r="C3499">
        <v>0</v>
      </c>
      <c r="D3499">
        <v>0</v>
      </c>
      <c r="E3499">
        <v>0</v>
      </c>
      <c r="F3499">
        <v>7524</v>
      </c>
      <c r="G3499">
        <f t="shared" si="54"/>
        <v>1576798381</v>
      </c>
    </row>
    <row r="3500" spans="1:7" x14ac:dyDescent="0.25">
      <c r="A3500">
        <v>1576799238</v>
      </c>
      <c r="B3500" t="s">
        <v>26366</v>
      </c>
      <c r="C3500">
        <v>0</v>
      </c>
      <c r="D3500">
        <v>1</v>
      </c>
      <c r="E3500">
        <v>468</v>
      </c>
      <c r="F3500">
        <v>4717</v>
      </c>
      <c r="G3500">
        <f t="shared" si="54"/>
        <v>1576799238</v>
      </c>
    </row>
    <row r="3501" spans="1:7" x14ac:dyDescent="0.25">
      <c r="A3501">
        <v>1576799346</v>
      </c>
      <c r="B3501" t="s">
        <v>26367</v>
      </c>
      <c r="C3501">
        <v>0</v>
      </c>
      <c r="D3501">
        <v>1</v>
      </c>
      <c r="E3501">
        <v>281</v>
      </c>
      <c r="F3501">
        <v>5176</v>
      </c>
      <c r="G3501">
        <f t="shared" si="54"/>
        <v>1576799346</v>
      </c>
    </row>
    <row r="3502" spans="1:7" x14ac:dyDescent="0.25">
      <c r="A3502">
        <v>1576801371</v>
      </c>
      <c r="B3502" t="s">
        <v>26368</v>
      </c>
      <c r="C3502">
        <v>1621</v>
      </c>
      <c r="D3502">
        <v>0</v>
      </c>
      <c r="E3502">
        <v>0</v>
      </c>
      <c r="F3502">
        <v>7525</v>
      </c>
      <c r="G3502">
        <f t="shared" si="54"/>
        <v>1576801371</v>
      </c>
    </row>
    <row r="3503" spans="1:7" x14ac:dyDescent="0.25">
      <c r="A3503">
        <v>1576802413</v>
      </c>
      <c r="B3503" t="s">
        <v>36458</v>
      </c>
      <c r="C3503">
        <v>151</v>
      </c>
      <c r="D3503">
        <v>1</v>
      </c>
      <c r="E3503">
        <v>2837</v>
      </c>
      <c r="F3503">
        <v>3045</v>
      </c>
      <c r="G3503">
        <f t="shared" si="54"/>
        <v>1576802413</v>
      </c>
    </row>
    <row r="3504" spans="1:7" x14ac:dyDescent="0.25">
      <c r="A3504">
        <v>1576802900</v>
      </c>
      <c r="B3504" t="s">
        <v>26369</v>
      </c>
      <c r="C3504">
        <v>0</v>
      </c>
      <c r="D3504">
        <v>1</v>
      </c>
      <c r="E3504">
        <v>186</v>
      </c>
      <c r="F3504">
        <v>5557</v>
      </c>
      <c r="G3504">
        <f t="shared" si="54"/>
        <v>1576802900</v>
      </c>
    </row>
    <row r="3505" spans="1:7" x14ac:dyDescent="0.25">
      <c r="A3505">
        <v>1576803828</v>
      </c>
      <c r="B3505" t="s">
        <v>26370</v>
      </c>
      <c r="C3505">
        <v>0</v>
      </c>
      <c r="D3505">
        <v>0</v>
      </c>
      <c r="E3505">
        <v>0</v>
      </c>
      <c r="F3505">
        <v>7526</v>
      </c>
      <c r="G3505">
        <f t="shared" si="54"/>
        <v>1576803828</v>
      </c>
    </row>
    <row r="3506" spans="1:7" x14ac:dyDescent="0.25">
      <c r="A3506">
        <v>1576804847</v>
      </c>
      <c r="B3506" t="s">
        <v>26371</v>
      </c>
      <c r="C3506">
        <v>0</v>
      </c>
      <c r="D3506">
        <v>1</v>
      </c>
      <c r="E3506">
        <v>26</v>
      </c>
      <c r="F3506">
        <v>6583</v>
      </c>
      <c r="G3506">
        <f t="shared" si="54"/>
        <v>1576804847</v>
      </c>
    </row>
    <row r="3507" spans="1:7" x14ac:dyDescent="0.25">
      <c r="A3507">
        <v>1576804998</v>
      </c>
      <c r="B3507" t="s">
        <v>26372</v>
      </c>
      <c r="C3507">
        <v>1694</v>
      </c>
      <c r="D3507">
        <v>0</v>
      </c>
      <c r="E3507">
        <v>0</v>
      </c>
      <c r="F3507">
        <v>7527</v>
      </c>
      <c r="G3507">
        <f t="shared" si="54"/>
        <v>1576804998</v>
      </c>
    </row>
    <row r="3508" spans="1:7" x14ac:dyDescent="0.25">
      <c r="A3508">
        <v>1576805412</v>
      </c>
      <c r="B3508" t="s">
        <v>36459</v>
      </c>
      <c r="C3508">
        <v>0</v>
      </c>
      <c r="D3508">
        <v>0</v>
      </c>
      <c r="E3508">
        <v>0</v>
      </c>
      <c r="F3508">
        <v>7528</v>
      </c>
      <c r="G3508">
        <f t="shared" si="54"/>
        <v>1576805412</v>
      </c>
    </row>
    <row r="3509" spans="1:7" x14ac:dyDescent="0.25">
      <c r="A3509">
        <v>1576805448</v>
      </c>
      <c r="B3509" t="s">
        <v>26373</v>
      </c>
      <c r="C3509">
        <v>0</v>
      </c>
      <c r="D3509">
        <v>1</v>
      </c>
      <c r="E3509">
        <v>1033</v>
      </c>
      <c r="F3509">
        <v>3945</v>
      </c>
      <c r="G3509">
        <f t="shared" si="54"/>
        <v>1576805448</v>
      </c>
    </row>
    <row r="3510" spans="1:7" x14ac:dyDescent="0.25">
      <c r="A3510">
        <v>1576806947</v>
      </c>
      <c r="B3510" t="s">
        <v>26374</v>
      </c>
      <c r="C3510">
        <v>431</v>
      </c>
      <c r="D3510">
        <v>1</v>
      </c>
      <c r="E3510">
        <v>6768</v>
      </c>
      <c r="F3510">
        <v>2107</v>
      </c>
      <c r="G3510">
        <f t="shared" si="54"/>
        <v>1576806947</v>
      </c>
    </row>
    <row r="3511" spans="1:7" x14ac:dyDescent="0.25">
      <c r="A3511">
        <v>1576807256</v>
      </c>
      <c r="B3511" t="s">
        <v>37145</v>
      </c>
      <c r="C3511">
        <v>1609</v>
      </c>
      <c r="D3511">
        <v>3</v>
      </c>
      <c r="E3511">
        <v>19054</v>
      </c>
      <c r="F3511">
        <v>678</v>
      </c>
      <c r="G3511">
        <f t="shared" si="54"/>
        <v>1576807256</v>
      </c>
    </row>
    <row r="3512" spans="1:7" x14ac:dyDescent="0.25">
      <c r="A3512">
        <v>1576807451</v>
      </c>
      <c r="B3512" t="s">
        <v>26375</v>
      </c>
      <c r="C3512">
        <v>0</v>
      </c>
      <c r="D3512">
        <v>0</v>
      </c>
      <c r="E3512">
        <v>0</v>
      </c>
      <c r="F3512">
        <v>7529</v>
      </c>
      <c r="G3512">
        <f t="shared" si="54"/>
        <v>1576807451</v>
      </c>
    </row>
    <row r="3513" spans="1:7" x14ac:dyDescent="0.25">
      <c r="A3513">
        <v>1576807625</v>
      </c>
      <c r="B3513" t="s">
        <v>26376</v>
      </c>
      <c r="C3513">
        <v>0</v>
      </c>
      <c r="D3513">
        <v>1</v>
      </c>
      <c r="E3513">
        <v>167</v>
      </c>
      <c r="F3513">
        <v>5629</v>
      </c>
      <c r="G3513">
        <f t="shared" si="54"/>
        <v>1576807625</v>
      </c>
    </row>
    <row r="3514" spans="1:7" x14ac:dyDescent="0.25">
      <c r="A3514">
        <v>1576807749</v>
      </c>
      <c r="B3514" t="s">
        <v>36460</v>
      </c>
      <c r="C3514">
        <v>0</v>
      </c>
      <c r="D3514">
        <v>1</v>
      </c>
      <c r="E3514">
        <v>26</v>
      </c>
      <c r="F3514">
        <v>6584</v>
      </c>
      <c r="G3514">
        <f t="shared" si="54"/>
        <v>1576807749</v>
      </c>
    </row>
    <row r="3515" spans="1:7" x14ac:dyDescent="0.25">
      <c r="A3515">
        <v>1576807787</v>
      </c>
      <c r="B3515" t="s">
        <v>37006</v>
      </c>
      <c r="C3515">
        <v>760</v>
      </c>
      <c r="D3515">
        <v>5</v>
      </c>
      <c r="E3515">
        <v>20768</v>
      </c>
      <c r="F3515">
        <v>580</v>
      </c>
      <c r="G3515">
        <f t="shared" si="54"/>
        <v>1576807787</v>
      </c>
    </row>
    <row r="3516" spans="1:7" x14ac:dyDescent="0.25">
      <c r="A3516">
        <v>1576808519</v>
      </c>
      <c r="B3516" t="s">
        <v>26377</v>
      </c>
      <c r="C3516">
        <v>0</v>
      </c>
      <c r="D3516">
        <v>0</v>
      </c>
      <c r="E3516">
        <v>0</v>
      </c>
      <c r="F3516">
        <v>7530</v>
      </c>
      <c r="G3516">
        <f t="shared" si="54"/>
        <v>1576808519</v>
      </c>
    </row>
    <row r="3517" spans="1:7" x14ac:dyDescent="0.25">
      <c r="A3517">
        <v>1576808722</v>
      </c>
      <c r="B3517" t="s">
        <v>26378</v>
      </c>
      <c r="C3517">
        <v>106</v>
      </c>
      <c r="D3517">
        <v>3</v>
      </c>
      <c r="E3517">
        <v>11589</v>
      </c>
      <c r="F3517">
        <v>1335</v>
      </c>
      <c r="G3517">
        <f t="shared" si="54"/>
        <v>1576808722</v>
      </c>
    </row>
    <row r="3518" spans="1:7" x14ac:dyDescent="0.25">
      <c r="A3518">
        <v>1576810476</v>
      </c>
      <c r="B3518" t="s">
        <v>26379</v>
      </c>
      <c r="C3518">
        <v>0</v>
      </c>
      <c r="D3518">
        <v>1</v>
      </c>
      <c r="E3518">
        <v>286</v>
      </c>
      <c r="F3518">
        <v>5163</v>
      </c>
      <c r="G3518">
        <f t="shared" si="54"/>
        <v>1576810476</v>
      </c>
    </row>
    <row r="3519" spans="1:7" x14ac:dyDescent="0.25">
      <c r="A3519">
        <v>1576810534</v>
      </c>
      <c r="B3519" t="s">
        <v>36461</v>
      </c>
      <c r="C3519">
        <v>0</v>
      </c>
      <c r="D3519">
        <v>1</v>
      </c>
      <c r="E3519">
        <v>326</v>
      </c>
      <c r="F3519">
        <v>5049</v>
      </c>
      <c r="G3519">
        <f t="shared" si="54"/>
        <v>1576810534</v>
      </c>
    </row>
    <row r="3520" spans="1:7" x14ac:dyDescent="0.25">
      <c r="A3520">
        <v>1576812740</v>
      </c>
      <c r="B3520" t="s">
        <v>26380</v>
      </c>
      <c r="C3520">
        <v>0</v>
      </c>
      <c r="D3520">
        <v>1</v>
      </c>
      <c r="E3520">
        <v>26</v>
      </c>
      <c r="F3520">
        <v>6585</v>
      </c>
      <c r="G3520">
        <f t="shared" si="54"/>
        <v>1576812740</v>
      </c>
    </row>
    <row r="3521" spans="1:7" x14ac:dyDescent="0.25">
      <c r="A3521">
        <v>1576813699</v>
      </c>
      <c r="B3521" t="s">
        <v>36462</v>
      </c>
      <c r="C3521">
        <v>882</v>
      </c>
      <c r="D3521">
        <v>5</v>
      </c>
      <c r="E3521">
        <v>24561</v>
      </c>
      <c r="F3521">
        <v>422</v>
      </c>
      <c r="G3521">
        <f t="shared" ref="G3521:G3584" si="55">A3521</f>
        <v>1576813699</v>
      </c>
    </row>
    <row r="3522" spans="1:7" x14ac:dyDescent="0.25">
      <c r="A3522">
        <v>1576813734</v>
      </c>
      <c r="B3522" t="s">
        <v>26381</v>
      </c>
      <c r="C3522">
        <v>25</v>
      </c>
      <c r="D3522">
        <v>3</v>
      </c>
      <c r="E3522">
        <v>14030</v>
      </c>
      <c r="F3522">
        <v>1075</v>
      </c>
      <c r="G3522">
        <f t="shared" si="55"/>
        <v>1576813734</v>
      </c>
    </row>
    <row r="3523" spans="1:7" x14ac:dyDescent="0.25">
      <c r="A3523">
        <v>1576814505</v>
      </c>
      <c r="B3523" t="s">
        <v>26382</v>
      </c>
      <c r="C3523">
        <v>733</v>
      </c>
      <c r="D3523">
        <v>10</v>
      </c>
      <c r="E3523">
        <v>51452</v>
      </c>
      <c r="F3523">
        <v>38</v>
      </c>
      <c r="G3523">
        <f t="shared" si="55"/>
        <v>1576814505</v>
      </c>
    </row>
    <row r="3524" spans="1:7" x14ac:dyDescent="0.25">
      <c r="A3524">
        <v>1576814526</v>
      </c>
      <c r="B3524" t="s">
        <v>26383</v>
      </c>
      <c r="C3524">
        <v>333</v>
      </c>
      <c r="D3524">
        <v>2</v>
      </c>
      <c r="E3524">
        <v>6641</v>
      </c>
      <c r="F3524">
        <v>2131</v>
      </c>
      <c r="G3524">
        <f t="shared" si="55"/>
        <v>1576814526</v>
      </c>
    </row>
    <row r="3525" spans="1:7" x14ac:dyDescent="0.25">
      <c r="A3525">
        <v>1576815278</v>
      </c>
      <c r="B3525" t="s">
        <v>26384</v>
      </c>
      <c r="C3525">
        <v>0</v>
      </c>
      <c r="D3525">
        <v>1</v>
      </c>
      <c r="E3525">
        <v>84</v>
      </c>
      <c r="F3525">
        <v>5943</v>
      </c>
      <c r="G3525">
        <f t="shared" si="55"/>
        <v>1576815278</v>
      </c>
    </row>
    <row r="3526" spans="1:7" x14ac:dyDescent="0.25">
      <c r="A3526">
        <v>1576815963</v>
      </c>
      <c r="B3526" t="s">
        <v>26385</v>
      </c>
      <c r="C3526">
        <v>0</v>
      </c>
      <c r="D3526">
        <v>1</v>
      </c>
      <c r="E3526">
        <v>413</v>
      </c>
      <c r="F3526">
        <v>4821</v>
      </c>
      <c r="G3526">
        <f t="shared" si="55"/>
        <v>1576815963</v>
      </c>
    </row>
    <row r="3527" spans="1:7" x14ac:dyDescent="0.25">
      <c r="A3527">
        <v>1576816631</v>
      </c>
      <c r="B3527" t="s">
        <v>37304</v>
      </c>
      <c r="C3527">
        <v>0</v>
      </c>
      <c r="D3527">
        <v>0</v>
      </c>
      <c r="E3527">
        <v>0</v>
      </c>
      <c r="F3527">
        <v>7531</v>
      </c>
      <c r="G3527">
        <f t="shared" si="55"/>
        <v>1576816631</v>
      </c>
    </row>
    <row r="3528" spans="1:7" x14ac:dyDescent="0.25">
      <c r="A3528">
        <v>1576816643</v>
      </c>
      <c r="B3528" t="s">
        <v>26386</v>
      </c>
      <c r="C3528">
        <v>70</v>
      </c>
      <c r="D3528">
        <v>2</v>
      </c>
      <c r="E3528">
        <v>2314</v>
      </c>
      <c r="F3528">
        <v>3207</v>
      </c>
      <c r="G3528">
        <f t="shared" si="55"/>
        <v>1576816643</v>
      </c>
    </row>
    <row r="3529" spans="1:7" x14ac:dyDescent="0.25">
      <c r="A3529">
        <v>1576816814</v>
      </c>
      <c r="B3529" t="s">
        <v>26387</v>
      </c>
      <c r="C3529">
        <v>0</v>
      </c>
      <c r="D3529">
        <v>1</v>
      </c>
      <c r="E3529">
        <v>354</v>
      </c>
      <c r="F3529">
        <v>4969</v>
      </c>
      <c r="G3529">
        <f t="shared" si="55"/>
        <v>1576816814</v>
      </c>
    </row>
    <row r="3530" spans="1:7" x14ac:dyDescent="0.25">
      <c r="A3530">
        <v>1576818090</v>
      </c>
      <c r="B3530" t="s">
        <v>36463</v>
      </c>
      <c r="C3530">
        <v>1775</v>
      </c>
      <c r="D3530">
        <v>3</v>
      </c>
      <c r="E3530">
        <v>19737</v>
      </c>
      <c r="F3530">
        <v>639</v>
      </c>
      <c r="G3530">
        <f t="shared" si="55"/>
        <v>1576818090</v>
      </c>
    </row>
    <row r="3531" spans="1:7" x14ac:dyDescent="0.25">
      <c r="A3531">
        <v>1576818116</v>
      </c>
      <c r="B3531" t="s">
        <v>36464</v>
      </c>
      <c r="C3531">
        <v>0</v>
      </c>
      <c r="D3531">
        <v>1</v>
      </c>
      <c r="E3531">
        <v>26</v>
      </c>
      <c r="F3531">
        <v>6586</v>
      </c>
      <c r="G3531">
        <f t="shared" si="55"/>
        <v>1576818116</v>
      </c>
    </row>
    <row r="3532" spans="1:7" x14ac:dyDescent="0.25">
      <c r="A3532">
        <v>1576818285</v>
      </c>
      <c r="B3532" t="s">
        <v>26388</v>
      </c>
      <c r="C3532">
        <v>0</v>
      </c>
      <c r="D3532">
        <v>1</v>
      </c>
      <c r="E3532">
        <v>26</v>
      </c>
      <c r="F3532">
        <v>6587</v>
      </c>
      <c r="G3532">
        <f t="shared" si="55"/>
        <v>1576818285</v>
      </c>
    </row>
    <row r="3533" spans="1:7" x14ac:dyDescent="0.25">
      <c r="A3533">
        <v>1576818468</v>
      </c>
      <c r="B3533" t="s">
        <v>26389</v>
      </c>
      <c r="C3533">
        <v>69</v>
      </c>
      <c r="D3533">
        <v>2</v>
      </c>
      <c r="E3533">
        <v>6771</v>
      </c>
      <c r="F3533">
        <v>2106</v>
      </c>
      <c r="G3533">
        <f t="shared" si="55"/>
        <v>1576818468</v>
      </c>
    </row>
    <row r="3534" spans="1:7" x14ac:dyDescent="0.25">
      <c r="A3534">
        <v>1576818570</v>
      </c>
      <c r="B3534" t="s">
        <v>26390</v>
      </c>
      <c r="C3534">
        <v>1403</v>
      </c>
      <c r="D3534">
        <v>2</v>
      </c>
      <c r="E3534">
        <v>5646</v>
      </c>
      <c r="F3534">
        <v>2366</v>
      </c>
      <c r="G3534">
        <f t="shared" si="55"/>
        <v>1576818570</v>
      </c>
    </row>
    <row r="3535" spans="1:7" x14ac:dyDescent="0.25">
      <c r="A3535">
        <v>1576818849</v>
      </c>
      <c r="B3535" t="s">
        <v>26391</v>
      </c>
      <c r="C3535">
        <v>0</v>
      </c>
      <c r="D3535">
        <v>1</v>
      </c>
      <c r="E3535">
        <v>555</v>
      </c>
      <c r="F3535">
        <v>4543</v>
      </c>
      <c r="G3535">
        <f t="shared" si="55"/>
        <v>1576818849</v>
      </c>
    </row>
    <row r="3536" spans="1:7" x14ac:dyDescent="0.25">
      <c r="A3536">
        <v>1576820085</v>
      </c>
      <c r="B3536" t="s">
        <v>26392</v>
      </c>
      <c r="C3536">
        <v>0</v>
      </c>
      <c r="D3536">
        <v>1</v>
      </c>
      <c r="E3536">
        <v>1337</v>
      </c>
      <c r="F3536">
        <v>3701</v>
      </c>
      <c r="G3536">
        <f t="shared" si="55"/>
        <v>1576820085</v>
      </c>
    </row>
    <row r="3537" spans="1:7" x14ac:dyDescent="0.25">
      <c r="A3537">
        <v>1576820156</v>
      </c>
      <c r="B3537" t="s">
        <v>36465</v>
      </c>
      <c r="C3537">
        <v>0</v>
      </c>
      <c r="D3537">
        <v>1</v>
      </c>
      <c r="E3537">
        <v>26</v>
      </c>
      <c r="F3537">
        <v>6588</v>
      </c>
      <c r="G3537">
        <f t="shared" si="55"/>
        <v>1576820156</v>
      </c>
    </row>
    <row r="3538" spans="1:7" x14ac:dyDescent="0.25">
      <c r="A3538">
        <v>1576820196</v>
      </c>
      <c r="B3538" t="s">
        <v>36466</v>
      </c>
      <c r="C3538">
        <v>0</v>
      </c>
      <c r="D3538">
        <v>1</v>
      </c>
      <c r="E3538">
        <v>1110</v>
      </c>
      <c r="F3538">
        <v>3865</v>
      </c>
      <c r="G3538">
        <f t="shared" si="55"/>
        <v>1576820196</v>
      </c>
    </row>
    <row r="3539" spans="1:7" x14ac:dyDescent="0.25">
      <c r="A3539">
        <v>1576820948</v>
      </c>
      <c r="B3539" t="s">
        <v>26393</v>
      </c>
      <c r="C3539">
        <v>0</v>
      </c>
      <c r="D3539">
        <v>0</v>
      </c>
      <c r="E3539">
        <v>0</v>
      </c>
      <c r="F3539">
        <v>7532</v>
      </c>
      <c r="G3539">
        <f t="shared" si="55"/>
        <v>1576820948</v>
      </c>
    </row>
    <row r="3540" spans="1:7" x14ac:dyDescent="0.25">
      <c r="A3540">
        <v>1576821170</v>
      </c>
      <c r="B3540" t="s">
        <v>26394</v>
      </c>
      <c r="C3540">
        <v>480</v>
      </c>
      <c r="D3540">
        <v>3</v>
      </c>
      <c r="E3540">
        <v>14018</v>
      </c>
      <c r="F3540">
        <v>1077</v>
      </c>
      <c r="G3540">
        <f t="shared" si="55"/>
        <v>1576821170</v>
      </c>
    </row>
    <row r="3541" spans="1:7" x14ac:dyDescent="0.25">
      <c r="A3541">
        <v>1576821617</v>
      </c>
      <c r="B3541" t="s">
        <v>26395</v>
      </c>
      <c r="C3541">
        <v>0</v>
      </c>
      <c r="D3541">
        <v>1</v>
      </c>
      <c r="E3541">
        <v>331</v>
      </c>
      <c r="F3541">
        <v>5036</v>
      </c>
      <c r="G3541">
        <f t="shared" si="55"/>
        <v>1576821617</v>
      </c>
    </row>
    <row r="3542" spans="1:7" x14ac:dyDescent="0.25">
      <c r="A3542">
        <v>1576821965</v>
      </c>
      <c r="B3542" t="s">
        <v>26396</v>
      </c>
      <c r="C3542">
        <v>0</v>
      </c>
      <c r="D3542">
        <v>1</v>
      </c>
      <c r="E3542">
        <v>26</v>
      </c>
      <c r="F3542">
        <v>6589</v>
      </c>
      <c r="G3542">
        <f t="shared" si="55"/>
        <v>1576821965</v>
      </c>
    </row>
    <row r="3543" spans="1:7" x14ac:dyDescent="0.25">
      <c r="A3543">
        <v>1576822286</v>
      </c>
      <c r="B3543" t="s">
        <v>26397</v>
      </c>
      <c r="C3543">
        <v>424</v>
      </c>
      <c r="D3543">
        <v>4</v>
      </c>
      <c r="E3543">
        <v>18788</v>
      </c>
      <c r="F3543">
        <v>705</v>
      </c>
      <c r="G3543">
        <f t="shared" si="55"/>
        <v>1576822286</v>
      </c>
    </row>
    <row r="3544" spans="1:7" x14ac:dyDescent="0.25">
      <c r="A3544">
        <v>1576822543</v>
      </c>
      <c r="B3544" t="s">
        <v>26398</v>
      </c>
      <c r="C3544">
        <v>896</v>
      </c>
      <c r="D3544">
        <v>2</v>
      </c>
      <c r="E3544">
        <v>7188</v>
      </c>
      <c r="F3544">
        <v>2037</v>
      </c>
      <c r="G3544">
        <f t="shared" si="55"/>
        <v>1576822543</v>
      </c>
    </row>
    <row r="3545" spans="1:7" x14ac:dyDescent="0.25">
      <c r="A3545">
        <v>1576822838</v>
      </c>
      <c r="B3545" t="s">
        <v>26399</v>
      </c>
      <c r="C3545">
        <v>0</v>
      </c>
      <c r="D3545">
        <v>1</v>
      </c>
      <c r="E3545">
        <v>71</v>
      </c>
      <c r="F3545">
        <v>6054</v>
      </c>
      <c r="G3545">
        <f t="shared" si="55"/>
        <v>1576822838</v>
      </c>
    </row>
    <row r="3546" spans="1:7" x14ac:dyDescent="0.25">
      <c r="A3546">
        <v>1576822927</v>
      </c>
      <c r="B3546" t="s">
        <v>26400</v>
      </c>
      <c r="C3546">
        <v>152</v>
      </c>
      <c r="D3546">
        <v>14</v>
      </c>
      <c r="E3546">
        <v>73824</v>
      </c>
      <c r="F3546">
        <v>8</v>
      </c>
      <c r="G3546">
        <f t="shared" si="55"/>
        <v>1576822927</v>
      </c>
    </row>
    <row r="3547" spans="1:7" x14ac:dyDescent="0.25">
      <c r="A3547">
        <v>1576823270</v>
      </c>
      <c r="B3547" t="s">
        <v>26401</v>
      </c>
      <c r="C3547">
        <v>0</v>
      </c>
      <c r="D3547">
        <v>1</v>
      </c>
      <c r="E3547">
        <v>846</v>
      </c>
      <c r="F3547">
        <v>4136</v>
      </c>
      <c r="G3547">
        <f t="shared" si="55"/>
        <v>1576823270</v>
      </c>
    </row>
    <row r="3548" spans="1:7" x14ac:dyDescent="0.25">
      <c r="A3548">
        <v>1576823448</v>
      </c>
      <c r="B3548" t="s">
        <v>26402</v>
      </c>
      <c r="C3548">
        <v>152</v>
      </c>
      <c r="D3548">
        <v>4</v>
      </c>
      <c r="E3548">
        <v>22520</v>
      </c>
      <c r="F3548">
        <v>493</v>
      </c>
      <c r="G3548">
        <f t="shared" si="55"/>
        <v>1576823448</v>
      </c>
    </row>
    <row r="3549" spans="1:7" x14ac:dyDescent="0.25">
      <c r="A3549">
        <v>1576823502</v>
      </c>
      <c r="B3549" t="s">
        <v>36467</v>
      </c>
      <c r="C3549">
        <v>0</v>
      </c>
      <c r="D3549">
        <v>1</v>
      </c>
      <c r="E3549">
        <v>26</v>
      </c>
      <c r="F3549">
        <v>6590</v>
      </c>
      <c r="G3549">
        <f t="shared" si="55"/>
        <v>1576823502</v>
      </c>
    </row>
    <row r="3550" spans="1:7" x14ac:dyDescent="0.25">
      <c r="A3550">
        <v>1576823565</v>
      </c>
      <c r="B3550" t="s">
        <v>26403</v>
      </c>
      <c r="C3550">
        <v>0</v>
      </c>
      <c r="D3550">
        <v>0</v>
      </c>
      <c r="E3550">
        <v>0</v>
      </c>
      <c r="F3550">
        <v>7533</v>
      </c>
      <c r="G3550">
        <f t="shared" si="55"/>
        <v>1576823565</v>
      </c>
    </row>
    <row r="3551" spans="1:7" x14ac:dyDescent="0.25">
      <c r="A3551">
        <v>1576824008</v>
      </c>
      <c r="B3551" t="s">
        <v>26404</v>
      </c>
      <c r="C3551">
        <v>617</v>
      </c>
      <c r="D3551">
        <v>4</v>
      </c>
      <c r="E3551">
        <v>18632</v>
      </c>
      <c r="F3551">
        <v>710</v>
      </c>
      <c r="G3551">
        <f t="shared" si="55"/>
        <v>1576824008</v>
      </c>
    </row>
    <row r="3552" spans="1:7" x14ac:dyDescent="0.25">
      <c r="A3552">
        <v>1576824312</v>
      </c>
      <c r="B3552" t="s">
        <v>26405</v>
      </c>
      <c r="C3552">
        <v>0</v>
      </c>
      <c r="D3552">
        <v>1</v>
      </c>
      <c r="E3552">
        <v>239</v>
      </c>
      <c r="F3552">
        <v>5353</v>
      </c>
      <c r="G3552">
        <f t="shared" si="55"/>
        <v>1576824312</v>
      </c>
    </row>
    <row r="3553" spans="1:7" x14ac:dyDescent="0.25">
      <c r="A3553">
        <v>1576824637</v>
      </c>
      <c r="B3553" t="s">
        <v>26406</v>
      </c>
      <c r="C3553">
        <v>0</v>
      </c>
      <c r="D3553">
        <v>0</v>
      </c>
      <c r="E3553">
        <v>0</v>
      </c>
      <c r="F3553">
        <v>7534</v>
      </c>
      <c r="G3553">
        <f t="shared" si="55"/>
        <v>1576824637</v>
      </c>
    </row>
    <row r="3554" spans="1:7" x14ac:dyDescent="0.25">
      <c r="A3554">
        <v>1576824913</v>
      </c>
      <c r="B3554" t="s">
        <v>26407</v>
      </c>
      <c r="C3554">
        <v>1966</v>
      </c>
      <c r="D3554">
        <v>3</v>
      </c>
      <c r="E3554">
        <v>14808</v>
      </c>
      <c r="F3554">
        <v>1009</v>
      </c>
      <c r="G3554">
        <f t="shared" si="55"/>
        <v>1576824913</v>
      </c>
    </row>
    <row r="3555" spans="1:7" x14ac:dyDescent="0.25">
      <c r="A3555">
        <v>1576825056</v>
      </c>
      <c r="B3555" t="s">
        <v>26408</v>
      </c>
      <c r="C3555">
        <v>179</v>
      </c>
      <c r="D3555">
        <v>1</v>
      </c>
      <c r="E3555">
        <v>790</v>
      </c>
      <c r="F3555">
        <v>4215</v>
      </c>
      <c r="G3555">
        <f t="shared" si="55"/>
        <v>1576825056</v>
      </c>
    </row>
    <row r="3556" spans="1:7" x14ac:dyDescent="0.25">
      <c r="A3556">
        <v>1576825370</v>
      </c>
      <c r="B3556" t="s">
        <v>36468</v>
      </c>
      <c r="C3556">
        <v>0</v>
      </c>
      <c r="D3556">
        <v>0</v>
      </c>
      <c r="E3556">
        <v>0</v>
      </c>
      <c r="F3556">
        <v>7535</v>
      </c>
      <c r="G3556">
        <f t="shared" si="55"/>
        <v>1576825370</v>
      </c>
    </row>
    <row r="3557" spans="1:7" x14ac:dyDescent="0.25">
      <c r="A3557">
        <v>1576825822</v>
      </c>
      <c r="B3557" t="s">
        <v>26409</v>
      </c>
      <c r="C3557">
        <v>0</v>
      </c>
      <c r="D3557">
        <v>1</v>
      </c>
      <c r="E3557">
        <v>1891</v>
      </c>
      <c r="F3557">
        <v>3397</v>
      </c>
      <c r="G3557">
        <f t="shared" si="55"/>
        <v>1576825822</v>
      </c>
    </row>
    <row r="3558" spans="1:7" x14ac:dyDescent="0.25">
      <c r="A3558">
        <v>1576826515</v>
      </c>
      <c r="B3558" t="s">
        <v>26410</v>
      </c>
      <c r="C3558">
        <v>138</v>
      </c>
      <c r="D3558">
        <v>4</v>
      </c>
      <c r="E3558">
        <v>23050</v>
      </c>
      <c r="F3558">
        <v>472</v>
      </c>
      <c r="G3558">
        <f t="shared" si="55"/>
        <v>1576826515</v>
      </c>
    </row>
    <row r="3559" spans="1:7" x14ac:dyDescent="0.25">
      <c r="A3559">
        <v>1576826598</v>
      </c>
      <c r="B3559" t="s">
        <v>36469</v>
      </c>
      <c r="C3559">
        <v>643</v>
      </c>
      <c r="D3559">
        <v>8</v>
      </c>
      <c r="E3559">
        <v>45594</v>
      </c>
      <c r="F3559">
        <v>61</v>
      </c>
      <c r="G3559">
        <f t="shared" si="55"/>
        <v>1576826598</v>
      </c>
    </row>
    <row r="3560" spans="1:7" x14ac:dyDescent="0.25">
      <c r="A3560">
        <v>1576826604</v>
      </c>
      <c r="B3560" t="s">
        <v>26411</v>
      </c>
      <c r="C3560">
        <v>0</v>
      </c>
      <c r="D3560">
        <v>1</v>
      </c>
      <c r="E3560">
        <v>26</v>
      </c>
      <c r="F3560">
        <v>6591</v>
      </c>
      <c r="G3560">
        <f t="shared" si="55"/>
        <v>1576826604</v>
      </c>
    </row>
    <row r="3561" spans="1:7" x14ac:dyDescent="0.25">
      <c r="A3561">
        <v>1576826820</v>
      </c>
      <c r="B3561" t="s">
        <v>26412</v>
      </c>
      <c r="C3561">
        <v>1651</v>
      </c>
      <c r="D3561">
        <v>1</v>
      </c>
      <c r="E3561">
        <v>763</v>
      </c>
      <c r="F3561">
        <v>4251</v>
      </c>
      <c r="G3561">
        <f t="shared" si="55"/>
        <v>1576826820</v>
      </c>
    </row>
    <row r="3562" spans="1:7" x14ac:dyDescent="0.25">
      <c r="A3562">
        <v>1576827758</v>
      </c>
      <c r="B3562" t="s">
        <v>36470</v>
      </c>
      <c r="C3562">
        <v>0</v>
      </c>
      <c r="D3562">
        <v>1</v>
      </c>
      <c r="E3562">
        <v>1937</v>
      </c>
      <c r="F3562">
        <v>3380</v>
      </c>
      <c r="G3562">
        <f t="shared" si="55"/>
        <v>1576827758</v>
      </c>
    </row>
    <row r="3563" spans="1:7" x14ac:dyDescent="0.25">
      <c r="A3563">
        <v>1576828154</v>
      </c>
      <c r="B3563" t="s">
        <v>26413</v>
      </c>
      <c r="C3563">
        <v>424</v>
      </c>
      <c r="D3563">
        <v>5</v>
      </c>
      <c r="E3563">
        <v>29346</v>
      </c>
      <c r="F3563">
        <v>485</v>
      </c>
      <c r="G3563">
        <f t="shared" si="55"/>
        <v>1576828154</v>
      </c>
    </row>
    <row r="3564" spans="1:7" x14ac:dyDescent="0.25">
      <c r="A3564">
        <v>1576828608</v>
      </c>
      <c r="B3564" t="s">
        <v>30438</v>
      </c>
      <c r="C3564">
        <v>0</v>
      </c>
      <c r="D3564">
        <v>1</v>
      </c>
      <c r="E3564">
        <v>26</v>
      </c>
      <c r="F3564">
        <v>6592</v>
      </c>
      <c r="G3564">
        <f t="shared" si="55"/>
        <v>1576828608</v>
      </c>
    </row>
    <row r="3565" spans="1:7" x14ac:dyDescent="0.25">
      <c r="A3565">
        <v>1576829331</v>
      </c>
      <c r="B3565" t="s">
        <v>26414</v>
      </c>
      <c r="C3565">
        <v>58</v>
      </c>
      <c r="D3565">
        <v>5</v>
      </c>
      <c r="E3565">
        <v>19426</v>
      </c>
      <c r="F3565">
        <v>657</v>
      </c>
      <c r="G3565">
        <f t="shared" si="55"/>
        <v>1576829331</v>
      </c>
    </row>
    <row r="3566" spans="1:7" x14ac:dyDescent="0.25">
      <c r="A3566">
        <v>1576829510</v>
      </c>
      <c r="B3566" t="s">
        <v>26415</v>
      </c>
      <c r="C3566">
        <v>271</v>
      </c>
      <c r="D3566">
        <v>2</v>
      </c>
      <c r="E3566">
        <v>11224</v>
      </c>
      <c r="F3566">
        <v>1381</v>
      </c>
      <c r="G3566">
        <f t="shared" si="55"/>
        <v>1576829510</v>
      </c>
    </row>
    <row r="3567" spans="1:7" x14ac:dyDescent="0.25">
      <c r="A3567">
        <v>1576830047</v>
      </c>
      <c r="B3567" t="s">
        <v>26416</v>
      </c>
      <c r="C3567">
        <v>0</v>
      </c>
      <c r="D3567">
        <v>1</v>
      </c>
      <c r="E3567">
        <v>169</v>
      </c>
      <c r="F3567">
        <v>5623</v>
      </c>
      <c r="G3567">
        <f t="shared" si="55"/>
        <v>1576830047</v>
      </c>
    </row>
    <row r="3568" spans="1:7" x14ac:dyDescent="0.25">
      <c r="A3568">
        <v>1576830122</v>
      </c>
      <c r="B3568" t="s">
        <v>26417</v>
      </c>
      <c r="C3568">
        <v>308</v>
      </c>
      <c r="D3568">
        <v>1</v>
      </c>
      <c r="E3568">
        <v>26</v>
      </c>
      <c r="F3568">
        <v>6593</v>
      </c>
      <c r="G3568">
        <f t="shared" si="55"/>
        <v>1576830122</v>
      </c>
    </row>
    <row r="3569" spans="1:7" x14ac:dyDescent="0.25">
      <c r="A3569">
        <v>1576830313</v>
      </c>
      <c r="B3569" t="s">
        <v>26418</v>
      </c>
      <c r="C3569">
        <v>0</v>
      </c>
      <c r="D3569">
        <v>1</v>
      </c>
      <c r="E3569">
        <v>26</v>
      </c>
      <c r="F3569">
        <v>6594</v>
      </c>
      <c r="G3569">
        <f t="shared" si="55"/>
        <v>1576830313</v>
      </c>
    </row>
    <row r="3570" spans="1:7" x14ac:dyDescent="0.25">
      <c r="A3570">
        <v>1576830388</v>
      </c>
      <c r="B3570" t="s">
        <v>26419</v>
      </c>
      <c r="C3570">
        <v>0</v>
      </c>
      <c r="D3570">
        <v>1</v>
      </c>
      <c r="E3570">
        <v>26</v>
      </c>
      <c r="F3570">
        <v>6595</v>
      </c>
      <c r="G3570">
        <f t="shared" si="55"/>
        <v>1576830388</v>
      </c>
    </row>
    <row r="3571" spans="1:7" x14ac:dyDescent="0.25">
      <c r="A3571">
        <v>1576830431</v>
      </c>
      <c r="B3571" t="s">
        <v>26420</v>
      </c>
      <c r="C3571">
        <v>320</v>
      </c>
      <c r="D3571">
        <v>3</v>
      </c>
      <c r="E3571">
        <v>6883</v>
      </c>
      <c r="F3571">
        <v>2097</v>
      </c>
      <c r="G3571">
        <f t="shared" si="55"/>
        <v>1576830431</v>
      </c>
    </row>
    <row r="3572" spans="1:7" x14ac:dyDescent="0.25">
      <c r="A3572">
        <v>1576831592</v>
      </c>
      <c r="B3572" t="s">
        <v>26421</v>
      </c>
      <c r="C3572">
        <v>138</v>
      </c>
      <c r="D3572">
        <v>2</v>
      </c>
      <c r="E3572">
        <v>9467</v>
      </c>
      <c r="F3572">
        <v>1639</v>
      </c>
      <c r="G3572">
        <f t="shared" si="55"/>
        <v>1576831592</v>
      </c>
    </row>
    <row r="3573" spans="1:7" x14ac:dyDescent="0.25">
      <c r="A3573">
        <v>1576831754</v>
      </c>
      <c r="B3573" t="s">
        <v>37432</v>
      </c>
      <c r="C3573">
        <v>0</v>
      </c>
      <c r="D3573">
        <v>1</v>
      </c>
      <c r="E3573">
        <v>70</v>
      </c>
      <c r="F3573">
        <v>6075</v>
      </c>
      <c r="G3573">
        <f t="shared" si="55"/>
        <v>1576831754</v>
      </c>
    </row>
    <row r="3574" spans="1:7" x14ac:dyDescent="0.25">
      <c r="A3574">
        <v>1576833093</v>
      </c>
      <c r="B3574" t="s">
        <v>26422</v>
      </c>
      <c r="C3574">
        <v>1699</v>
      </c>
      <c r="D3574">
        <v>3</v>
      </c>
      <c r="E3574">
        <v>17972</v>
      </c>
      <c r="F3574">
        <v>757</v>
      </c>
      <c r="G3574">
        <f t="shared" si="55"/>
        <v>1576833093</v>
      </c>
    </row>
    <row r="3575" spans="1:7" x14ac:dyDescent="0.25">
      <c r="A3575">
        <v>1576833230</v>
      </c>
      <c r="B3575" t="s">
        <v>26423</v>
      </c>
      <c r="C3575">
        <v>0</v>
      </c>
      <c r="D3575">
        <v>0</v>
      </c>
      <c r="E3575">
        <v>0</v>
      </c>
      <c r="F3575">
        <v>7536</v>
      </c>
      <c r="G3575">
        <f t="shared" si="55"/>
        <v>1576833230</v>
      </c>
    </row>
    <row r="3576" spans="1:7" x14ac:dyDescent="0.25">
      <c r="A3576">
        <v>1576833254</v>
      </c>
      <c r="B3576" t="s">
        <v>26424</v>
      </c>
      <c r="C3576">
        <v>422</v>
      </c>
      <c r="D3576">
        <v>3</v>
      </c>
      <c r="E3576">
        <v>16971</v>
      </c>
      <c r="F3576">
        <v>830</v>
      </c>
      <c r="G3576">
        <f t="shared" si="55"/>
        <v>1576833254</v>
      </c>
    </row>
    <row r="3577" spans="1:7" x14ac:dyDescent="0.25">
      <c r="A3577">
        <v>1576833722</v>
      </c>
      <c r="B3577" t="s">
        <v>26425</v>
      </c>
      <c r="C3577">
        <v>0</v>
      </c>
      <c r="D3577">
        <v>1</v>
      </c>
      <c r="E3577">
        <v>2577</v>
      </c>
      <c r="F3577">
        <v>3107</v>
      </c>
      <c r="G3577">
        <f t="shared" si="55"/>
        <v>1576833722</v>
      </c>
    </row>
    <row r="3578" spans="1:7" x14ac:dyDescent="0.25">
      <c r="A3578">
        <v>1576834867</v>
      </c>
      <c r="B3578" t="s">
        <v>26426</v>
      </c>
      <c r="C3578">
        <v>0</v>
      </c>
      <c r="D3578">
        <v>0</v>
      </c>
      <c r="E3578">
        <v>0</v>
      </c>
      <c r="F3578">
        <v>7537</v>
      </c>
      <c r="G3578">
        <f t="shared" si="55"/>
        <v>1576834867</v>
      </c>
    </row>
    <row r="3579" spans="1:7" x14ac:dyDescent="0.25">
      <c r="A3579">
        <v>1576835049</v>
      </c>
      <c r="B3579" t="s">
        <v>26427</v>
      </c>
      <c r="C3579">
        <v>483</v>
      </c>
      <c r="D3579">
        <v>0</v>
      </c>
      <c r="E3579">
        <v>0</v>
      </c>
      <c r="F3579">
        <v>7538</v>
      </c>
      <c r="G3579">
        <f t="shared" si="55"/>
        <v>1576835049</v>
      </c>
    </row>
    <row r="3580" spans="1:7" x14ac:dyDescent="0.25">
      <c r="A3580">
        <v>1576835232</v>
      </c>
      <c r="B3580" t="s">
        <v>26428</v>
      </c>
      <c r="C3580">
        <v>0</v>
      </c>
      <c r="D3580">
        <v>0</v>
      </c>
      <c r="E3580">
        <v>0</v>
      </c>
      <c r="F3580">
        <v>7539</v>
      </c>
      <c r="G3580">
        <f t="shared" si="55"/>
        <v>1576835232</v>
      </c>
    </row>
    <row r="3581" spans="1:7" x14ac:dyDescent="0.25">
      <c r="A3581">
        <v>1576835760</v>
      </c>
      <c r="B3581" t="s">
        <v>36471</v>
      </c>
      <c r="C3581">
        <v>250</v>
      </c>
      <c r="D3581">
        <v>2</v>
      </c>
      <c r="E3581">
        <v>8851</v>
      </c>
      <c r="F3581">
        <v>1747</v>
      </c>
      <c r="G3581">
        <f t="shared" si="55"/>
        <v>1576835760</v>
      </c>
    </row>
    <row r="3582" spans="1:7" x14ac:dyDescent="0.25">
      <c r="A3582">
        <v>1576835870</v>
      </c>
      <c r="B3582" t="s">
        <v>26429</v>
      </c>
      <c r="C3582">
        <v>1315</v>
      </c>
      <c r="D3582">
        <v>1</v>
      </c>
      <c r="E3582">
        <v>1020</v>
      </c>
      <c r="F3582">
        <v>3996</v>
      </c>
      <c r="G3582">
        <f t="shared" si="55"/>
        <v>1576835870</v>
      </c>
    </row>
    <row r="3583" spans="1:7" x14ac:dyDescent="0.25">
      <c r="A3583">
        <v>1576836514</v>
      </c>
      <c r="B3583" t="s">
        <v>36472</v>
      </c>
      <c r="C3583">
        <v>0</v>
      </c>
      <c r="D3583">
        <v>1</v>
      </c>
      <c r="E3583">
        <v>252</v>
      </c>
      <c r="F3583">
        <v>5292</v>
      </c>
      <c r="G3583">
        <f t="shared" si="55"/>
        <v>1576836514</v>
      </c>
    </row>
    <row r="3584" spans="1:7" x14ac:dyDescent="0.25">
      <c r="A3584">
        <v>1576837300</v>
      </c>
      <c r="B3584" t="s">
        <v>26430</v>
      </c>
      <c r="C3584">
        <v>3</v>
      </c>
      <c r="D3584">
        <v>3</v>
      </c>
      <c r="E3584">
        <v>18598</v>
      </c>
      <c r="F3584">
        <v>713</v>
      </c>
      <c r="G3584">
        <f t="shared" si="55"/>
        <v>1576837300</v>
      </c>
    </row>
    <row r="3585" spans="1:7" x14ac:dyDescent="0.25">
      <c r="A3585">
        <v>1576838043</v>
      </c>
      <c r="B3585" t="s">
        <v>1489</v>
      </c>
      <c r="C3585">
        <v>431</v>
      </c>
      <c r="D3585">
        <v>1</v>
      </c>
      <c r="E3585">
        <v>3821</v>
      </c>
      <c r="F3585">
        <v>2806</v>
      </c>
      <c r="G3585">
        <f t="shared" ref="G3585:G3648" si="56">A3585</f>
        <v>1576838043</v>
      </c>
    </row>
    <row r="3586" spans="1:7" x14ac:dyDescent="0.25">
      <c r="A3586">
        <v>1576838265</v>
      </c>
      <c r="B3586" t="s">
        <v>26431</v>
      </c>
      <c r="C3586">
        <v>69</v>
      </c>
      <c r="D3586">
        <v>5</v>
      </c>
      <c r="E3586">
        <v>26725</v>
      </c>
      <c r="F3586">
        <v>344</v>
      </c>
      <c r="G3586">
        <f t="shared" si="56"/>
        <v>1576838265</v>
      </c>
    </row>
    <row r="3587" spans="1:7" x14ac:dyDescent="0.25">
      <c r="A3587">
        <v>1576838281</v>
      </c>
      <c r="B3587" t="s">
        <v>26432</v>
      </c>
      <c r="C3587">
        <v>0</v>
      </c>
      <c r="D3587">
        <v>0</v>
      </c>
      <c r="E3587">
        <v>0</v>
      </c>
      <c r="F3587">
        <v>7540</v>
      </c>
      <c r="G3587">
        <f t="shared" si="56"/>
        <v>1576838281</v>
      </c>
    </row>
    <row r="3588" spans="1:7" x14ac:dyDescent="0.25">
      <c r="A3588">
        <v>1576838344</v>
      </c>
      <c r="B3588" t="s">
        <v>36473</v>
      </c>
      <c r="C3588">
        <v>740</v>
      </c>
      <c r="D3588">
        <v>0</v>
      </c>
      <c r="E3588">
        <v>0</v>
      </c>
      <c r="F3588">
        <v>7541</v>
      </c>
      <c r="G3588">
        <f t="shared" si="56"/>
        <v>1576838344</v>
      </c>
    </row>
    <row r="3589" spans="1:7" x14ac:dyDescent="0.25">
      <c r="A3589">
        <v>1576838481</v>
      </c>
      <c r="B3589" t="s">
        <v>26433</v>
      </c>
      <c r="C3589">
        <v>235</v>
      </c>
      <c r="D3589">
        <v>1</v>
      </c>
      <c r="E3589">
        <v>1286</v>
      </c>
      <c r="F3589">
        <v>3737</v>
      </c>
      <c r="G3589">
        <f t="shared" si="56"/>
        <v>1576838481</v>
      </c>
    </row>
    <row r="3590" spans="1:7" x14ac:dyDescent="0.25">
      <c r="A3590">
        <v>1576838849</v>
      </c>
      <c r="B3590" t="s">
        <v>37007</v>
      </c>
      <c r="C3590">
        <v>0</v>
      </c>
      <c r="D3590">
        <v>1</v>
      </c>
      <c r="E3590">
        <v>357</v>
      </c>
      <c r="F3590">
        <v>4961</v>
      </c>
      <c r="G3590">
        <f t="shared" si="56"/>
        <v>1576838849</v>
      </c>
    </row>
    <row r="3591" spans="1:7" x14ac:dyDescent="0.25">
      <c r="A3591">
        <v>1576839353</v>
      </c>
      <c r="B3591" t="s">
        <v>26434</v>
      </c>
      <c r="C3591">
        <v>0</v>
      </c>
      <c r="D3591">
        <v>0</v>
      </c>
      <c r="E3591">
        <v>0</v>
      </c>
      <c r="F3591">
        <v>7542</v>
      </c>
      <c r="G3591">
        <f t="shared" si="56"/>
        <v>1576839353</v>
      </c>
    </row>
    <row r="3592" spans="1:7" x14ac:dyDescent="0.25">
      <c r="A3592">
        <v>1576839703</v>
      </c>
      <c r="B3592" t="s">
        <v>26435</v>
      </c>
      <c r="C3592">
        <v>0</v>
      </c>
      <c r="D3592">
        <v>1</v>
      </c>
      <c r="E3592">
        <v>1275</v>
      </c>
      <c r="F3592">
        <v>3744</v>
      </c>
      <c r="G3592">
        <f t="shared" si="56"/>
        <v>1576839703</v>
      </c>
    </row>
    <row r="3593" spans="1:7" x14ac:dyDescent="0.25">
      <c r="A3593">
        <v>1576839757</v>
      </c>
      <c r="B3593" t="s">
        <v>26436</v>
      </c>
      <c r="C3593">
        <v>0</v>
      </c>
      <c r="D3593">
        <v>0</v>
      </c>
      <c r="E3593">
        <v>0</v>
      </c>
      <c r="F3593">
        <v>7543</v>
      </c>
      <c r="G3593">
        <f t="shared" si="56"/>
        <v>1576839757</v>
      </c>
    </row>
    <row r="3594" spans="1:7" x14ac:dyDescent="0.25">
      <c r="A3594">
        <v>1576839771</v>
      </c>
      <c r="B3594" t="s">
        <v>26437</v>
      </c>
      <c r="C3594">
        <v>1403</v>
      </c>
      <c r="D3594">
        <v>1</v>
      </c>
      <c r="E3594">
        <v>2652</v>
      </c>
      <c r="F3594">
        <v>3106</v>
      </c>
      <c r="G3594">
        <f t="shared" si="56"/>
        <v>1576839771</v>
      </c>
    </row>
    <row r="3595" spans="1:7" x14ac:dyDescent="0.25">
      <c r="A3595">
        <v>1576839794</v>
      </c>
      <c r="B3595" t="s">
        <v>36474</v>
      </c>
      <c r="C3595">
        <v>0</v>
      </c>
      <c r="D3595">
        <v>1</v>
      </c>
      <c r="E3595">
        <v>992</v>
      </c>
      <c r="F3595">
        <v>3991</v>
      </c>
      <c r="G3595">
        <f t="shared" si="56"/>
        <v>1576839794</v>
      </c>
    </row>
    <row r="3596" spans="1:7" x14ac:dyDescent="0.25">
      <c r="A3596">
        <v>1576840291</v>
      </c>
      <c r="B3596" t="s">
        <v>26438</v>
      </c>
      <c r="C3596">
        <v>270</v>
      </c>
      <c r="D3596">
        <v>1</v>
      </c>
      <c r="E3596">
        <v>6464</v>
      </c>
      <c r="F3596">
        <v>2174</v>
      </c>
      <c r="G3596">
        <f t="shared" si="56"/>
        <v>1576840291</v>
      </c>
    </row>
    <row r="3597" spans="1:7" x14ac:dyDescent="0.25">
      <c r="A3597">
        <v>1576840362</v>
      </c>
      <c r="B3597" t="s">
        <v>26439</v>
      </c>
      <c r="C3597">
        <v>106</v>
      </c>
      <c r="D3597">
        <v>2</v>
      </c>
      <c r="E3597">
        <v>6897</v>
      </c>
      <c r="F3597">
        <v>2084</v>
      </c>
      <c r="G3597">
        <f t="shared" si="56"/>
        <v>1576840362</v>
      </c>
    </row>
    <row r="3598" spans="1:7" x14ac:dyDescent="0.25">
      <c r="A3598">
        <v>1576840655</v>
      </c>
      <c r="B3598" t="s">
        <v>26440</v>
      </c>
      <c r="C3598">
        <v>117</v>
      </c>
      <c r="D3598">
        <v>6</v>
      </c>
      <c r="E3598">
        <v>33870</v>
      </c>
      <c r="F3598">
        <v>165</v>
      </c>
      <c r="G3598">
        <f t="shared" si="56"/>
        <v>1576840655</v>
      </c>
    </row>
    <row r="3599" spans="1:7" x14ac:dyDescent="0.25">
      <c r="A3599">
        <v>1576840841</v>
      </c>
      <c r="B3599" t="s">
        <v>26441</v>
      </c>
      <c r="C3599">
        <v>0</v>
      </c>
      <c r="D3599">
        <v>1</v>
      </c>
      <c r="E3599">
        <v>5362</v>
      </c>
      <c r="F3599">
        <v>2436</v>
      </c>
      <c r="G3599">
        <f t="shared" si="56"/>
        <v>1576840841</v>
      </c>
    </row>
    <row r="3600" spans="1:7" x14ac:dyDescent="0.25">
      <c r="A3600">
        <v>1576841685</v>
      </c>
      <c r="B3600" t="s">
        <v>36475</v>
      </c>
      <c r="C3600">
        <v>174</v>
      </c>
      <c r="D3600">
        <v>1</v>
      </c>
      <c r="E3600">
        <v>5411</v>
      </c>
      <c r="F3600">
        <v>2425</v>
      </c>
      <c r="G3600">
        <f t="shared" si="56"/>
        <v>1576841685</v>
      </c>
    </row>
    <row r="3601" spans="1:7" x14ac:dyDescent="0.25">
      <c r="A3601">
        <v>1576842002</v>
      </c>
      <c r="B3601" t="s">
        <v>26442</v>
      </c>
      <c r="C3601">
        <v>480</v>
      </c>
      <c r="D3601">
        <v>0</v>
      </c>
      <c r="E3601">
        <v>0</v>
      </c>
      <c r="F3601">
        <v>2877</v>
      </c>
      <c r="G3601">
        <f t="shared" si="56"/>
        <v>1576842002</v>
      </c>
    </row>
    <row r="3602" spans="1:7" x14ac:dyDescent="0.25">
      <c r="A3602">
        <v>1576842625</v>
      </c>
      <c r="B3602" t="s">
        <v>26443</v>
      </c>
      <c r="C3602">
        <v>0</v>
      </c>
      <c r="D3602">
        <v>1</v>
      </c>
      <c r="E3602">
        <v>538</v>
      </c>
      <c r="F3602">
        <v>4569</v>
      </c>
      <c r="G3602">
        <f t="shared" si="56"/>
        <v>1576842625</v>
      </c>
    </row>
    <row r="3603" spans="1:7" x14ac:dyDescent="0.25">
      <c r="A3603">
        <v>1576843086</v>
      </c>
      <c r="B3603" t="s">
        <v>37402</v>
      </c>
      <c r="C3603">
        <v>0</v>
      </c>
      <c r="D3603">
        <v>1</v>
      </c>
      <c r="E3603">
        <v>408</v>
      </c>
      <c r="F3603">
        <v>4831</v>
      </c>
      <c r="G3603">
        <f t="shared" si="56"/>
        <v>1576843086</v>
      </c>
    </row>
    <row r="3604" spans="1:7" x14ac:dyDescent="0.25">
      <c r="A3604">
        <v>1576843222</v>
      </c>
      <c r="B3604" t="s">
        <v>26444</v>
      </c>
      <c r="C3604">
        <v>1734</v>
      </c>
      <c r="D3604">
        <v>1</v>
      </c>
      <c r="E3604">
        <v>839</v>
      </c>
      <c r="F3604">
        <v>4145</v>
      </c>
      <c r="G3604">
        <f t="shared" si="56"/>
        <v>1576843222</v>
      </c>
    </row>
    <row r="3605" spans="1:7" x14ac:dyDescent="0.25">
      <c r="A3605">
        <v>1576843307</v>
      </c>
      <c r="B3605" t="s">
        <v>26445</v>
      </c>
      <c r="C3605">
        <v>1663</v>
      </c>
      <c r="D3605">
        <v>1</v>
      </c>
      <c r="E3605">
        <v>2003</v>
      </c>
      <c r="F3605">
        <v>3342</v>
      </c>
      <c r="G3605">
        <f t="shared" si="56"/>
        <v>1576843307</v>
      </c>
    </row>
    <row r="3606" spans="1:7" x14ac:dyDescent="0.25">
      <c r="A3606">
        <v>1576843431</v>
      </c>
      <c r="B3606" t="s">
        <v>26446</v>
      </c>
      <c r="C3606">
        <v>0</v>
      </c>
      <c r="D3606">
        <v>1</v>
      </c>
      <c r="E3606">
        <v>325</v>
      </c>
      <c r="F3606">
        <v>5051</v>
      </c>
      <c r="G3606">
        <f t="shared" si="56"/>
        <v>1576843431</v>
      </c>
    </row>
    <row r="3607" spans="1:7" x14ac:dyDescent="0.25">
      <c r="A3607">
        <v>1576844046</v>
      </c>
      <c r="B3607" t="s">
        <v>26447</v>
      </c>
      <c r="C3607">
        <v>0</v>
      </c>
      <c r="D3607">
        <v>1</v>
      </c>
      <c r="E3607">
        <v>99</v>
      </c>
      <c r="F3607">
        <v>5856</v>
      </c>
      <c r="G3607">
        <f t="shared" si="56"/>
        <v>1576844046</v>
      </c>
    </row>
    <row r="3608" spans="1:7" x14ac:dyDescent="0.25">
      <c r="A3608">
        <v>1576844527</v>
      </c>
      <c r="B3608" t="s">
        <v>1952</v>
      </c>
      <c r="C3608">
        <v>0</v>
      </c>
      <c r="D3608">
        <v>1</v>
      </c>
      <c r="E3608">
        <v>26</v>
      </c>
      <c r="F3608">
        <v>6596</v>
      </c>
      <c r="G3608">
        <f t="shared" si="56"/>
        <v>1576844527</v>
      </c>
    </row>
    <row r="3609" spans="1:7" x14ac:dyDescent="0.25">
      <c r="A3609">
        <v>1576844674</v>
      </c>
      <c r="B3609" t="s">
        <v>26448</v>
      </c>
      <c r="C3609">
        <v>126</v>
      </c>
      <c r="D3609">
        <v>3</v>
      </c>
      <c r="E3609">
        <v>13302</v>
      </c>
      <c r="F3609">
        <v>1139</v>
      </c>
      <c r="G3609">
        <f t="shared" si="56"/>
        <v>1576844674</v>
      </c>
    </row>
    <row r="3610" spans="1:7" x14ac:dyDescent="0.25">
      <c r="A3610">
        <v>1576844782</v>
      </c>
      <c r="B3610" t="s">
        <v>26449</v>
      </c>
      <c r="C3610">
        <v>0</v>
      </c>
      <c r="D3610">
        <v>1</v>
      </c>
      <c r="E3610">
        <v>33</v>
      </c>
      <c r="F3610">
        <v>6301</v>
      </c>
      <c r="G3610">
        <f t="shared" si="56"/>
        <v>1576844782</v>
      </c>
    </row>
    <row r="3611" spans="1:7" x14ac:dyDescent="0.25">
      <c r="A3611">
        <v>1576846640</v>
      </c>
      <c r="B3611" t="s">
        <v>37224</v>
      </c>
      <c r="C3611">
        <v>0</v>
      </c>
      <c r="D3611">
        <v>0</v>
      </c>
      <c r="E3611">
        <v>0</v>
      </c>
      <c r="F3611">
        <v>7544</v>
      </c>
      <c r="G3611">
        <f t="shared" si="56"/>
        <v>1576846640</v>
      </c>
    </row>
    <row r="3612" spans="1:7" x14ac:dyDescent="0.25">
      <c r="A3612">
        <v>1576846722</v>
      </c>
      <c r="B3612" t="s">
        <v>26450</v>
      </c>
      <c r="C3612">
        <v>150</v>
      </c>
      <c r="D3612">
        <v>2</v>
      </c>
      <c r="E3612">
        <v>10228</v>
      </c>
      <c r="F3612">
        <v>1533</v>
      </c>
      <c r="G3612">
        <f t="shared" si="56"/>
        <v>1576846722</v>
      </c>
    </row>
    <row r="3613" spans="1:7" x14ac:dyDescent="0.25">
      <c r="A3613">
        <v>1576846818</v>
      </c>
      <c r="B3613" t="s">
        <v>26451</v>
      </c>
      <c r="C3613">
        <v>419</v>
      </c>
      <c r="D3613">
        <v>4</v>
      </c>
      <c r="E3613">
        <v>11192</v>
      </c>
      <c r="F3613">
        <v>1391</v>
      </c>
      <c r="G3613">
        <f t="shared" si="56"/>
        <v>1576846818</v>
      </c>
    </row>
    <row r="3614" spans="1:7" x14ac:dyDescent="0.25">
      <c r="A3614">
        <v>1576846854</v>
      </c>
      <c r="B3614" t="s">
        <v>26452</v>
      </c>
      <c r="C3614">
        <v>0</v>
      </c>
      <c r="D3614">
        <v>1</v>
      </c>
      <c r="E3614">
        <v>97</v>
      </c>
      <c r="F3614">
        <v>5865</v>
      </c>
      <c r="G3614">
        <f t="shared" si="56"/>
        <v>1576846854</v>
      </c>
    </row>
    <row r="3615" spans="1:7" x14ac:dyDescent="0.25">
      <c r="A3615">
        <v>1576847007</v>
      </c>
      <c r="B3615" t="s">
        <v>26453</v>
      </c>
      <c r="C3615">
        <v>0</v>
      </c>
      <c r="D3615">
        <v>1</v>
      </c>
      <c r="E3615">
        <v>187</v>
      </c>
      <c r="F3615">
        <v>5556</v>
      </c>
      <c r="G3615">
        <f t="shared" si="56"/>
        <v>1576847007</v>
      </c>
    </row>
    <row r="3616" spans="1:7" x14ac:dyDescent="0.25">
      <c r="A3616">
        <v>1576847484</v>
      </c>
      <c r="B3616" t="s">
        <v>26454</v>
      </c>
      <c r="C3616">
        <v>26</v>
      </c>
      <c r="D3616">
        <v>2</v>
      </c>
      <c r="E3616">
        <v>10571</v>
      </c>
      <c r="F3616">
        <v>1483</v>
      </c>
      <c r="G3616">
        <f t="shared" si="56"/>
        <v>1576847484</v>
      </c>
    </row>
    <row r="3617" spans="1:7" x14ac:dyDescent="0.25">
      <c r="A3617">
        <v>1576847585</v>
      </c>
      <c r="B3617" t="s">
        <v>36476</v>
      </c>
      <c r="C3617">
        <v>0</v>
      </c>
      <c r="D3617">
        <v>1</v>
      </c>
      <c r="E3617">
        <v>789</v>
      </c>
      <c r="F3617">
        <v>4217</v>
      </c>
      <c r="G3617">
        <f t="shared" si="56"/>
        <v>1576847585</v>
      </c>
    </row>
    <row r="3618" spans="1:7" x14ac:dyDescent="0.25">
      <c r="A3618">
        <v>1576847641</v>
      </c>
      <c r="B3618" t="s">
        <v>26455</v>
      </c>
      <c r="C3618">
        <v>3</v>
      </c>
      <c r="D3618">
        <v>2</v>
      </c>
      <c r="E3618">
        <v>11803</v>
      </c>
      <c r="F3618">
        <v>1309</v>
      </c>
      <c r="G3618">
        <f t="shared" si="56"/>
        <v>1576847641</v>
      </c>
    </row>
    <row r="3619" spans="1:7" x14ac:dyDescent="0.25">
      <c r="A3619">
        <v>1576847760</v>
      </c>
      <c r="B3619" t="s">
        <v>26456</v>
      </c>
      <c r="C3619">
        <v>0</v>
      </c>
      <c r="D3619">
        <v>1</v>
      </c>
      <c r="E3619">
        <v>233</v>
      </c>
      <c r="F3619">
        <v>5377</v>
      </c>
      <c r="G3619">
        <f t="shared" si="56"/>
        <v>1576847760</v>
      </c>
    </row>
    <row r="3620" spans="1:7" x14ac:dyDescent="0.25">
      <c r="A3620">
        <v>1576848096</v>
      </c>
      <c r="B3620" t="s">
        <v>26457</v>
      </c>
      <c r="C3620">
        <v>0</v>
      </c>
      <c r="D3620">
        <v>0</v>
      </c>
      <c r="E3620">
        <v>0</v>
      </c>
      <c r="F3620">
        <v>7545</v>
      </c>
      <c r="G3620">
        <f t="shared" si="56"/>
        <v>1576848096</v>
      </c>
    </row>
    <row r="3621" spans="1:7" x14ac:dyDescent="0.25">
      <c r="A3621">
        <v>1576848571</v>
      </c>
      <c r="B3621" t="s">
        <v>26458</v>
      </c>
      <c r="C3621">
        <v>1858</v>
      </c>
      <c r="D3621">
        <v>1</v>
      </c>
      <c r="E3621">
        <v>349</v>
      </c>
      <c r="F3621">
        <v>4987</v>
      </c>
      <c r="G3621">
        <f t="shared" si="56"/>
        <v>1576848571</v>
      </c>
    </row>
    <row r="3622" spans="1:7" x14ac:dyDescent="0.25">
      <c r="A3622">
        <v>1576849067</v>
      </c>
      <c r="B3622" t="s">
        <v>26459</v>
      </c>
      <c r="C3622">
        <v>0</v>
      </c>
      <c r="D3622">
        <v>1</v>
      </c>
      <c r="E3622">
        <v>496</v>
      </c>
      <c r="F3622">
        <v>4674</v>
      </c>
      <c r="G3622">
        <f t="shared" si="56"/>
        <v>1576849067</v>
      </c>
    </row>
    <row r="3623" spans="1:7" x14ac:dyDescent="0.25">
      <c r="A3623">
        <v>1576849350</v>
      </c>
      <c r="B3623" t="s">
        <v>26460</v>
      </c>
      <c r="C3623">
        <v>0</v>
      </c>
      <c r="D3623">
        <v>1</v>
      </c>
      <c r="E3623">
        <v>45</v>
      </c>
      <c r="F3623">
        <v>6232</v>
      </c>
      <c r="G3623">
        <f t="shared" si="56"/>
        <v>1576849350</v>
      </c>
    </row>
    <row r="3624" spans="1:7" x14ac:dyDescent="0.25">
      <c r="A3624">
        <v>1576849553</v>
      </c>
      <c r="B3624" t="s">
        <v>26461</v>
      </c>
      <c r="C3624">
        <v>176</v>
      </c>
      <c r="D3624">
        <v>0</v>
      </c>
      <c r="E3624">
        <v>0</v>
      </c>
      <c r="F3624">
        <v>7546</v>
      </c>
      <c r="G3624">
        <f t="shared" si="56"/>
        <v>1576849553</v>
      </c>
    </row>
    <row r="3625" spans="1:7" x14ac:dyDescent="0.25">
      <c r="A3625">
        <v>1576849839</v>
      </c>
      <c r="B3625" t="s">
        <v>26462</v>
      </c>
      <c r="C3625">
        <v>0</v>
      </c>
      <c r="D3625">
        <v>0</v>
      </c>
      <c r="E3625">
        <v>0</v>
      </c>
      <c r="F3625">
        <v>7547</v>
      </c>
      <c r="G3625">
        <f t="shared" si="56"/>
        <v>1576849839</v>
      </c>
    </row>
    <row r="3626" spans="1:7" x14ac:dyDescent="0.25">
      <c r="A3626">
        <v>1576850271</v>
      </c>
      <c r="B3626" t="s">
        <v>26463</v>
      </c>
      <c r="C3626">
        <v>54</v>
      </c>
      <c r="D3626">
        <v>1</v>
      </c>
      <c r="E3626">
        <v>5717</v>
      </c>
      <c r="F3626">
        <v>2349</v>
      </c>
      <c r="G3626">
        <f t="shared" si="56"/>
        <v>1576850271</v>
      </c>
    </row>
    <row r="3627" spans="1:7" x14ac:dyDescent="0.25">
      <c r="A3627">
        <v>1576850372</v>
      </c>
      <c r="B3627" t="s">
        <v>26464</v>
      </c>
      <c r="C3627">
        <v>308</v>
      </c>
      <c r="D3627">
        <v>0</v>
      </c>
      <c r="E3627">
        <v>0</v>
      </c>
      <c r="F3627">
        <v>7548</v>
      </c>
      <c r="G3627">
        <f t="shared" si="56"/>
        <v>1576850372</v>
      </c>
    </row>
    <row r="3628" spans="1:7" x14ac:dyDescent="0.25">
      <c r="A3628">
        <v>1576850707</v>
      </c>
      <c r="B3628" t="s">
        <v>26465</v>
      </c>
      <c r="C3628">
        <v>0</v>
      </c>
      <c r="D3628">
        <v>0</v>
      </c>
      <c r="E3628">
        <v>0</v>
      </c>
      <c r="F3628">
        <v>7549</v>
      </c>
      <c r="G3628">
        <f t="shared" si="56"/>
        <v>1576850707</v>
      </c>
    </row>
    <row r="3629" spans="1:7" x14ac:dyDescent="0.25">
      <c r="A3629">
        <v>1576851644</v>
      </c>
      <c r="B3629" t="s">
        <v>26466</v>
      </c>
      <c r="C3629">
        <v>422</v>
      </c>
      <c r="D3629">
        <v>3</v>
      </c>
      <c r="E3629">
        <v>10748</v>
      </c>
      <c r="F3629">
        <v>1455</v>
      </c>
      <c r="G3629">
        <f t="shared" si="56"/>
        <v>1576851644</v>
      </c>
    </row>
    <row r="3630" spans="1:7" x14ac:dyDescent="0.25">
      <c r="A3630">
        <v>1576852426</v>
      </c>
      <c r="B3630" t="s">
        <v>26467</v>
      </c>
      <c r="C3630">
        <v>1836</v>
      </c>
      <c r="D3630">
        <v>1</v>
      </c>
      <c r="E3630">
        <v>2054</v>
      </c>
      <c r="F3630">
        <v>3318</v>
      </c>
      <c r="G3630">
        <f t="shared" si="56"/>
        <v>1576852426</v>
      </c>
    </row>
    <row r="3631" spans="1:7" x14ac:dyDescent="0.25">
      <c r="A3631">
        <v>1576852611</v>
      </c>
      <c r="B3631" t="s">
        <v>26468</v>
      </c>
      <c r="C3631">
        <v>1880</v>
      </c>
      <c r="D3631">
        <v>1</v>
      </c>
      <c r="E3631">
        <v>739</v>
      </c>
      <c r="F3631">
        <v>4281</v>
      </c>
      <c r="G3631">
        <f t="shared" si="56"/>
        <v>1576852611</v>
      </c>
    </row>
    <row r="3632" spans="1:7" x14ac:dyDescent="0.25">
      <c r="A3632">
        <v>1576853110</v>
      </c>
      <c r="B3632" t="s">
        <v>26469</v>
      </c>
      <c r="C3632">
        <v>0</v>
      </c>
      <c r="D3632">
        <v>1</v>
      </c>
      <c r="E3632">
        <v>178</v>
      </c>
      <c r="F3632">
        <v>5590</v>
      </c>
      <c r="G3632">
        <f t="shared" si="56"/>
        <v>1576853110</v>
      </c>
    </row>
    <row r="3633" spans="1:7" x14ac:dyDescent="0.25">
      <c r="A3633">
        <v>1576853341</v>
      </c>
      <c r="B3633" t="s">
        <v>26470</v>
      </c>
      <c r="C3633">
        <v>0</v>
      </c>
      <c r="D3633">
        <v>1</v>
      </c>
      <c r="E3633">
        <v>142</v>
      </c>
      <c r="F3633">
        <v>5722</v>
      </c>
      <c r="G3633">
        <f t="shared" si="56"/>
        <v>1576853341</v>
      </c>
    </row>
    <row r="3634" spans="1:7" x14ac:dyDescent="0.25">
      <c r="A3634">
        <v>1576854399</v>
      </c>
      <c r="B3634" t="s">
        <v>26471</v>
      </c>
      <c r="C3634">
        <v>0</v>
      </c>
      <c r="D3634">
        <v>0</v>
      </c>
      <c r="E3634">
        <v>0</v>
      </c>
      <c r="F3634">
        <v>7550</v>
      </c>
      <c r="G3634">
        <f t="shared" si="56"/>
        <v>1576854399</v>
      </c>
    </row>
    <row r="3635" spans="1:7" x14ac:dyDescent="0.25">
      <c r="A3635">
        <v>1576856099</v>
      </c>
      <c r="B3635" t="s">
        <v>26472</v>
      </c>
      <c r="C3635">
        <v>2011</v>
      </c>
      <c r="D3635">
        <v>1</v>
      </c>
      <c r="E3635">
        <v>1403</v>
      </c>
      <c r="F3635">
        <v>3655</v>
      </c>
      <c r="G3635">
        <f t="shared" si="56"/>
        <v>1576856099</v>
      </c>
    </row>
    <row r="3636" spans="1:7" x14ac:dyDescent="0.25">
      <c r="A3636">
        <v>1576856977</v>
      </c>
      <c r="B3636" t="s">
        <v>26473</v>
      </c>
      <c r="C3636">
        <v>47</v>
      </c>
      <c r="D3636">
        <v>2</v>
      </c>
      <c r="E3636">
        <v>6779</v>
      </c>
      <c r="F3636">
        <v>2105</v>
      </c>
      <c r="G3636">
        <f t="shared" si="56"/>
        <v>1576856977</v>
      </c>
    </row>
    <row r="3637" spans="1:7" x14ac:dyDescent="0.25">
      <c r="A3637">
        <v>1576857239</v>
      </c>
      <c r="B3637" t="s">
        <v>36477</v>
      </c>
      <c r="C3637">
        <v>0</v>
      </c>
      <c r="D3637">
        <v>1</v>
      </c>
      <c r="E3637">
        <v>1077</v>
      </c>
      <c r="F3637">
        <v>3894</v>
      </c>
      <c r="G3637">
        <f t="shared" si="56"/>
        <v>1576857239</v>
      </c>
    </row>
    <row r="3638" spans="1:7" x14ac:dyDescent="0.25">
      <c r="A3638">
        <v>1576857378</v>
      </c>
      <c r="B3638" t="s">
        <v>26474</v>
      </c>
      <c r="C3638">
        <v>0</v>
      </c>
      <c r="D3638">
        <v>1</v>
      </c>
      <c r="E3638">
        <v>126</v>
      </c>
      <c r="F3638">
        <v>5772</v>
      </c>
      <c r="G3638">
        <f t="shared" si="56"/>
        <v>1576857378</v>
      </c>
    </row>
    <row r="3639" spans="1:7" x14ac:dyDescent="0.25">
      <c r="A3639">
        <v>1576857814</v>
      </c>
      <c r="B3639" t="s">
        <v>26475</v>
      </c>
      <c r="C3639">
        <v>1743</v>
      </c>
      <c r="D3639">
        <v>1</v>
      </c>
      <c r="E3639">
        <v>1947</v>
      </c>
      <c r="F3639">
        <v>3373</v>
      </c>
      <c r="G3639">
        <f t="shared" si="56"/>
        <v>1576857814</v>
      </c>
    </row>
    <row r="3640" spans="1:7" x14ac:dyDescent="0.25">
      <c r="A3640">
        <v>1576857946</v>
      </c>
      <c r="B3640" t="s">
        <v>26476</v>
      </c>
      <c r="C3640">
        <v>0</v>
      </c>
      <c r="D3640">
        <v>1</v>
      </c>
      <c r="E3640">
        <v>84</v>
      </c>
      <c r="F3640">
        <v>5944</v>
      </c>
      <c r="G3640">
        <f t="shared" si="56"/>
        <v>1576857946</v>
      </c>
    </row>
    <row r="3641" spans="1:7" x14ac:dyDescent="0.25">
      <c r="A3641">
        <v>1576858982</v>
      </c>
      <c r="B3641" t="s">
        <v>26477</v>
      </c>
      <c r="C3641">
        <v>0</v>
      </c>
      <c r="D3641">
        <v>0</v>
      </c>
      <c r="E3641">
        <v>0</v>
      </c>
      <c r="F3641">
        <v>7551</v>
      </c>
      <c r="G3641">
        <f t="shared" si="56"/>
        <v>1576858982</v>
      </c>
    </row>
    <row r="3642" spans="1:7" x14ac:dyDescent="0.25">
      <c r="A3642">
        <v>1576858983</v>
      </c>
      <c r="B3642" t="s">
        <v>37146</v>
      </c>
      <c r="C3642">
        <v>126</v>
      </c>
      <c r="D3642">
        <v>3</v>
      </c>
      <c r="E3642">
        <v>15387</v>
      </c>
      <c r="F3642">
        <v>954</v>
      </c>
      <c r="G3642">
        <f t="shared" si="56"/>
        <v>1576858983</v>
      </c>
    </row>
    <row r="3643" spans="1:7" x14ac:dyDescent="0.25">
      <c r="A3643">
        <v>1576859241</v>
      </c>
      <c r="B3643" t="s">
        <v>26478</v>
      </c>
      <c r="C3643">
        <v>1925</v>
      </c>
      <c r="D3643">
        <v>0</v>
      </c>
      <c r="E3643">
        <v>0</v>
      </c>
      <c r="F3643">
        <v>7552</v>
      </c>
      <c r="G3643">
        <f t="shared" si="56"/>
        <v>1576859241</v>
      </c>
    </row>
    <row r="3644" spans="1:7" x14ac:dyDescent="0.25">
      <c r="A3644">
        <v>1576860154</v>
      </c>
      <c r="B3644" t="s">
        <v>26479</v>
      </c>
      <c r="C3644">
        <v>1831</v>
      </c>
      <c r="D3644">
        <v>1</v>
      </c>
      <c r="E3644">
        <v>1226</v>
      </c>
      <c r="F3644">
        <v>3776</v>
      </c>
      <c r="G3644">
        <f t="shared" si="56"/>
        <v>1576860154</v>
      </c>
    </row>
    <row r="3645" spans="1:7" x14ac:dyDescent="0.25">
      <c r="A3645">
        <v>1576860367</v>
      </c>
      <c r="B3645" t="s">
        <v>26480</v>
      </c>
      <c r="C3645">
        <v>0</v>
      </c>
      <c r="D3645">
        <v>1</v>
      </c>
      <c r="E3645">
        <v>94</v>
      </c>
      <c r="F3645">
        <v>5884</v>
      </c>
      <c r="G3645">
        <f t="shared" si="56"/>
        <v>1576860367</v>
      </c>
    </row>
    <row r="3646" spans="1:7" x14ac:dyDescent="0.25">
      <c r="A3646">
        <v>1576860506</v>
      </c>
      <c r="B3646" t="s">
        <v>36478</v>
      </c>
      <c r="C3646">
        <v>0</v>
      </c>
      <c r="D3646">
        <v>1</v>
      </c>
      <c r="E3646">
        <v>26</v>
      </c>
      <c r="F3646">
        <v>6597</v>
      </c>
      <c r="G3646">
        <f t="shared" si="56"/>
        <v>1576860506</v>
      </c>
    </row>
    <row r="3647" spans="1:7" x14ac:dyDescent="0.25">
      <c r="A3647">
        <v>1576860928</v>
      </c>
      <c r="B3647" t="s">
        <v>26481</v>
      </c>
      <c r="C3647">
        <v>118</v>
      </c>
      <c r="D3647">
        <v>2</v>
      </c>
      <c r="E3647">
        <v>10969</v>
      </c>
      <c r="F3647">
        <v>1426</v>
      </c>
      <c r="G3647">
        <f t="shared" si="56"/>
        <v>1576860928</v>
      </c>
    </row>
    <row r="3648" spans="1:7" x14ac:dyDescent="0.25">
      <c r="A3648">
        <v>1576860989</v>
      </c>
      <c r="B3648" t="s">
        <v>26482</v>
      </c>
      <c r="C3648">
        <v>150</v>
      </c>
      <c r="D3648">
        <v>2</v>
      </c>
      <c r="E3648">
        <v>2764</v>
      </c>
      <c r="F3648">
        <v>3051</v>
      </c>
      <c r="G3648">
        <f t="shared" si="56"/>
        <v>1576860989</v>
      </c>
    </row>
    <row r="3649" spans="1:7" x14ac:dyDescent="0.25">
      <c r="A3649">
        <v>1576861081</v>
      </c>
      <c r="B3649" t="s">
        <v>26483</v>
      </c>
      <c r="C3649">
        <v>1535</v>
      </c>
      <c r="D3649">
        <v>3</v>
      </c>
      <c r="E3649">
        <v>11739</v>
      </c>
      <c r="F3649">
        <v>1320</v>
      </c>
      <c r="G3649">
        <f t="shared" ref="G3649:G3712" si="57">A3649</f>
        <v>1576861081</v>
      </c>
    </row>
    <row r="3650" spans="1:7" x14ac:dyDescent="0.25">
      <c r="A3650">
        <v>1576862111</v>
      </c>
      <c r="B3650" t="s">
        <v>26484</v>
      </c>
      <c r="C3650">
        <v>160</v>
      </c>
      <c r="D3650">
        <v>3</v>
      </c>
      <c r="E3650">
        <v>12453</v>
      </c>
      <c r="F3650">
        <v>1233</v>
      </c>
      <c r="G3650">
        <f t="shared" si="57"/>
        <v>1576862111</v>
      </c>
    </row>
    <row r="3651" spans="1:7" x14ac:dyDescent="0.25">
      <c r="A3651">
        <v>1576862176</v>
      </c>
      <c r="B3651" t="s">
        <v>36479</v>
      </c>
      <c r="C3651">
        <v>0</v>
      </c>
      <c r="D3651">
        <v>1</v>
      </c>
      <c r="E3651">
        <v>26</v>
      </c>
      <c r="F3651">
        <v>6598</v>
      </c>
      <c r="G3651">
        <f t="shared" si="57"/>
        <v>1576862176</v>
      </c>
    </row>
    <row r="3652" spans="1:7" x14ac:dyDescent="0.25">
      <c r="A3652">
        <v>1576862367</v>
      </c>
      <c r="B3652" t="s">
        <v>26485</v>
      </c>
      <c r="C3652">
        <v>1373</v>
      </c>
      <c r="D3652">
        <v>1</v>
      </c>
      <c r="E3652">
        <v>2095</v>
      </c>
      <c r="F3652">
        <v>3329</v>
      </c>
      <c r="G3652">
        <f t="shared" si="57"/>
        <v>1576862367</v>
      </c>
    </row>
    <row r="3653" spans="1:7" x14ac:dyDescent="0.25">
      <c r="A3653">
        <v>1576862423</v>
      </c>
      <c r="B3653" t="s">
        <v>26486</v>
      </c>
      <c r="C3653">
        <v>0</v>
      </c>
      <c r="D3653">
        <v>0</v>
      </c>
      <c r="E3653">
        <v>0</v>
      </c>
      <c r="F3653">
        <v>7553</v>
      </c>
      <c r="G3653">
        <f t="shared" si="57"/>
        <v>1576862423</v>
      </c>
    </row>
    <row r="3654" spans="1:7" x14ac:dyDescent="0.25">
      <c r="A3654">
        <v>1576863526</v>
      </c>
      <c r="B3654" t="s">
        <v>26487</v>
      </c>
      <c r="C3654">
        <v>47</v>
      </c>
      <c r="D3654">
        <v>2</v>
      </c>
      <c r="E3654">
        <v>7487</v>
      </c>
      <c r="F3654">
        <v>1981</v>
      </c>
      <c r="G3654">
        <f t="shared" si="57"/>
        <v>1576863526</v>
      </c>
    </row>
    <row r="3655" spans="1:7" x14ac:dyDescent="0.25">
      <c r="A3655">
        <v>1576863915</v>
      </c>
      <c r="B3655" t="s">
        <v>26488</v>
      </c>
      <c r="C3655">
        <v>1126</v>
      </c>
      <c r="D3655">
        <v>1</v>
      </c>
      <c r="E3655">
        <v>1560</v>
      </c>
      <c r="F3655">
        <v>3562</v>
      </c>
      <c r="G3655">
        <f t="shared" si="57"/>
        <v>1576863915</v>
      </c>
    </row>
    <row r="3656" spans="1:7" x14ac:dyDescent="0.25">
      <c r="A3656">
        <v>1576864272</v>
      </c>
      <c r="B3656" t="s">
        <v>26489</v>
      </c>
      <c r="C3656">
        <v>733</v>
      </c>
      <c r="D3656">
        <v>6</v>
      </c>
      <c r="E3656">
        <v>36879</v>
      </c>
      <c r="F3656">
        <v>126</v>
      </c>
      <c r="G3656">
        <f t="shared" si="57"/>
        <v>1576864272</v>
      </c>
    </row>
    <row r="3657" spans="1:7" x14ac:dyDescent="0.25">
      <c r="A3657">
        <v>1576864700</v>
      </c>
      <c r="B3657" t="s">
        <v>26490</v>
      </c>
      <c r="C3657">
        <v>1791</v>
      </c>
      <c r="D3657">
        <v>1</v>
      </c>
      <c r="E3657">
        <v>559</v>
      </c>
      <c r="F3657">
        <v>4546</v>
      </c>
      <c r="G3657">
        <f t="shared" si="57"/>
        <v>1576864700</v>
      </c>
    </row>
    <row r="3658" spans="1:7" x14ac:dyDescent="0.25">
      <c r="A3658">
        <v>1576865433</v>
      </c>
      <c r="B3658" t="s">
        <v>26491</v>
      </c>
      <c r="C3658">
        <v>0</v>
      </c>
      <c r="D3658">
        <v>1</v>
      </c>
      <c r="E3658">
        <v>150</v>
      </c>
      <c r="F3658">
        <v>5699</v>
      </c>
      <c r="G3658">
        <f t="shared" si="57"/>
        <v>1576865433</v>
      </c>
    </row>
    <row r="3659" spans="1:7" x14ac:dyDescent="0.25">
      <c r="A3659">
        <v>1576865740</v>
      </c>
      <c r="B3659" t="s">
        <v>26492</v>
      </c>
      <c r="C3659">
        <v>1232</v>
      </c>
      <c r="D3659">
        <v>1</v>
      </c>
      <c r="E3659">
        <v>4039</v>
      </c>
      <c r="F3659">
        <v>2763</v>
      </c>
      <c r="G3659">
        <f t="shared" si="57"/>
        <v>1576865740</v>
      </c>
    </row>
    <row r="3660" spans="1:7" x14ac:dyDescent="0.25">
      <c r="A3660">
        <v>1576866781</v>
      </c>
      <c r="B3660" t="s">
        <v>26493</v>
      </c>
      <c r="C3660">
        <v>0</v>
      </c>
      <c r="D3660">
        <v>1</v>
      </c>
      <c r="E3660">
        <v>281</v>
      </c>
      <c r="F3660">
        <v>5177</v>
      </c>
      <c r="G3660">
        <f t="shared" si="57"/>
        <v>1576866781</v>
      </c>
    </row>
    <row r="3661" spans="1:7" x14ac:dyDescent="0.25">
      <c r="A3661">
        <v>1576867434</v>
      </c>
      <c r="B3661" t="s">
        <v>26494</v>
      </c>
      <c r="C3661">
        <v>0</v>
      </c>
      <c r="D3661">
        <v>1</v>
      </c>
      <c r="E3661">
        <v>1619</v>
      </c>
      <c r="F3661">
        <v>3536</v>
      </c>
      <c r="G3661">
        <f t="shared" si="57"/>
        <v>1576867434</v>
      </c>
    </row>
    <row r="3662" spans="1:7" x14ac:dyDescent="0.25">
      <c r="A3662">
        <v>1576867448</v>
      </c>
      <c r="B3662" t="s">
        <v>26495</v>
      </c>
      <c r="C3662">
        <v>422</v>
      </c>
      <c r="D3662">
        <v>6</v>
      </c>
      <c r="E3662">
        <v>35592</v>
      </c>
      <c r="F3662">
        <v>143</v>
      </c>
      <c r="G3662">
        <f t="shared" si="57"/>
        <v>1576867448</v>
      </c>
    </row>
    <row r="3663" spans="1:7" x14ac:dyDescent="0.25">
      <c r="A3663">
        <v>1576868129</v>
      </c>
      <c r="B3663" t="s">
        <v>26496</v>
      </c>
      <c r="C3663">
        <v>0</v>
      </c>
      <c r="D3663">
        <v>0</v>
      </c>
      <c r="E3663">
        <v>0</v>
      </c>
      <c r="F3663">
        <v>7554</v>
      </c>
      <c r="G3663">
        <f t="shared" si="57"/>
        <v>1576868129</v>
      </c>
    </row>
    <row r="3664" spans="1:7" x14ac:dyDescent="0.25">
      <c r="A3664">
        <v>1576868878</v>
      </c>
      <c r="B3664" t="s">
        <v>26497</v>
      </c>
      <c r="C3664">
        <v>15</v>
      </c>
      <c r="D3664">
        <v>1</v>
      </c>
      <c r="E3664">
        <v>72</v>
      </c>
      <c r="F3664">
        <v>6049</v>
      </c>
      <c r="G3664">
        <f t="shared" si="57"/>
        <v>1576868878</v>
      </c>
    </row>
    <row r="3665" spans="1:7" x14ac:dyDescent="0.25">
      <c r="A3665">
        <v>1576868918</v>
      </c>
      <c r="B3665" t="s">
        <v>36480</v>
      </c>
      <c r="C3665">
        <v>0</v>
      </c>
      <c r="D3665">
        <v>1</v>
      </c>
      <c r="E3665">
        <v>165</v>
      </c>
      <c r="F3665">
        <v>5636</v>
      </c>
      <c r="G3665">
        <f t="shared" si="57"/>
        <v>1576868918</v>
      </c>
    </row>
    <row r="3666" spans="1:7" x14ac:dyDescent="0.25">
      <c r="A3666">
        <v>1576869181</v>
      </c>
      <c r="B3666" t="s">
        <v>37008</v>
      </c>
      <c r="C3666">
        <v>1753</v>
      </c>
      <c r="D3666">
        <v>1</v>
      </c>
      <c r="E3666">
        <v>1383</v>
      </c>
      <c r="F3666">
        <v>3669</v>
      </c>
      <c r="G3666">
        <f t="shared" si="57"/>
        <v>1576869181</v>
      </c>
    </row>
    <row r="3667" spans="1:7" x14ac:dyDescent="0.25">
      <c r="A3667">
        <v>1576869341</v>
      </c>
      <c r="B3667" t="s">
        <v>26498</v>
      </c>
      <c r="C3667">
        <v>0</v>
      </c>
      <c r="D3667">
        <v>0</v>
      </c>
      <c r="E3667">
        <v>0</v>
      </c>
      <c r="F3667">
        <v>7555</v>
      </c>
      <c r="G3667">
        <f t="shared" si="57"/>
        <v>1576869341</v>
      </c>
    </row>
    <row r="3668" spans="1:7" x14ac:dyDescent="0.25">
      <c r="A3668">
        <v>1576869736</v>
      </c>
      <c r="B3668" t="s">
        <v>26499</v>
      </c>
      <c r="C3668">
        <v>0</v>
      </c>
      <c r="D3668">
        <v>1</v>
      </c>
      <c r="E3668">
        <v>26</v>
      </c>
      <c r="F3668">
        <v>6599</v>
      </c>
      <c r="G3668">
        <f t="shared" si="57"/>
        <v>1576869736</v>
      </c>
    </row>
    <row r="3669" spans="1:7" x14ac:dyDescent="0.25">
      <c r="A3669">
        <v>1576870112</v>
      </c>
      <c r="B3669" t="s">
        <v>26500</v>
      </c>
      <c r="C3669">
        <v>1403</v>
      </c>
      <c r="D3669">
        <v>3</v>
      </c>
      <c r="E3669">
        <v>10411</v>
      </c>
      <c r="F3669">
        <v>1522</v>
      </c>
      <c r="G3669">
        <f t="shared" si="57"/>
        <v>1576870112</v>
      </c>
    </row>
    <row r="3670" spans="1:7" x14ac:dyDescent="0.25">
      <c r="A3670">
        <v>1576870227</v>
      </c>
      <c r="B3670" t="s">
        <v>26501</v>
      </c>
      <c r="C3670">
        <v>152</v>
      </c>
      <c r="D3670">
        <v>6</v>
      </c>
      <c r="E3670">
        <v>34248</v>
      </c>
      <c r="F3670">
        <v>159</v>
      </c>
      <c r="G3670">
        <f t="shared" si="57"/>
        <v>1576870227</v>
      </c>
    </row>
    <row r="3671" spans="1:7" x14ac:dyDescent="0.25">
      <c r="A3671">
        <v>1576870901</v>
      </c>
      <c r="B3671" t="s">
        <v>36481</v>
      </c>
      <c r="C3671">
        <v>160</v>
      </c>
      <c r="D3671">
        <v>4</v>
      </c>
      <c r="E3671">
        <v>20491</v>
      </c>
      <c r="F3671">
        <v>596</v>
      </c>
      <c r="G3671">
        <f t="shared" si="57"/>
        <v>1576870901</v>
      </c>
    </row>
    <row r="3672" spans="1:7" x14ac:dyDescent="0.25">
      <c r="A3672">
        <v>1576871047</v>
      </c>
      <c r="B3672" t="s">
        <v>26502</v>
      </c>
      <c r="C3672">
        <v>301</v>
      </c>
      <c r="D3672">
        <v>1</v>
      </c>
      <c r="E3672">
        <v>1551</v>
      </c>
      <c r="F3672">
        <v>3568</v>
      </c>
      <c r="G3672">
        <f t="shared" si="57"/>
        <v>1576871047</v>
      </c>
    </row>
    <row r="3673" spans="1:7" x14ac:dyDescent="0.25">
      <c r="A3673">
        <v>1576871070</v>
      </c>
      <c r="B3673" t="s">
        <v>36482</v>
      </c>
      <c r="C3673">
        <v>160</v>
      </c>
      <c r="D3673">
        <v>2</v>
      </c>
      <c r="E3673">
        <v>8898</v>
      </c>
      <c r="F3673">
        <v>1734</v>
      </c>
      <c r="G3673">
        <f t="shared" si="57"/>
        <v>1576871070</v>
      </c>
    </row>
    <row r="3674" spans="1:7" x14ac:dyDescent="0.25">
      <c r="A3674">
        <v>1576871099</v>
      </c>
      <c r="B3674" t="s">
        <v>26503</v>
      </c>
      <c r="C3674">
        <v>0</v>
      </c>
      <c r="D3674">
        <v>1</v>
      </c>
      <c r="E3674">
        <v>27</v>
      </c>
      <c r="F3674">
        <v>6336</v>
      </c>
      <c r="G3674">
        <f t="shared" si="57"/>
        <v>1576871099</v>
      </c>
    </row>
    <row r="3675" spans="1:7" x14ac:dyDescent="0.25">
      <c r="A3675">
        <v>1576871121</v>
      </c>
      <c r="B3675" t="s">
        <v>26504</v>
      </c>
      <c r="C3675">
        <v>0</v>
      </c>
      <c r="D3675">
        <v>1</v>
      </c>
      <c r="E3675">
        <v>26</v>
      </c>
      <c r="F3675">
        <v>6600</v>
      </c>
      <c r="G3675">
        <f t="shared" si="57"/>
        <v>1576871121</v>
      </c>
    </row>
    <row r="3676" spans="1:7" x14ac:dyDescent="0.25">
      <c r="A3676">
        <v>1576871127</v>
      </c>
      <c r="B3676" t="s">
        <v>26505</v>
      </c>
      <c r="C3676">
        <v>0</v>
      </c>
      <c r="D3676">
        <v>1</v>
      </c>
      <c r="E3676">
        <v>280</v>
      </c>
      <c r="F3676">
        <v>5182</v>
      </c>
      <c r="G3676">
        <f t="shared" si="57"/>
        <v>1576871127</v>
      </c>
    </row>
    <row r="3677" spans="1:7" x14ac:dyDescent="0.25">
      <c r="A3677">
        <v>1576872851</v>
      </c>
      <c r="B3677" t="s">
        <v>36483</v>
      </c>
      <c r="C3677">
        <v>989</v>
      </c>
      <c r="D3677">
        <v>1</v>
      </c>
      <c r="E3677">
        <v>2749</v>
      </c>
      <c r="F3677">
        <v>3055</v>
      </c>
      <c r="G3677">
        <f t="shared" si="57"/>
        <v>1576872851</v>
      </c>
    </row>
    <row r="3678" spans="1:7" x14ac:dyDescent="0.25">
      <c r="A3678">
        <v>1576872895</v>
      </c>
      <c r="B3678" t="s">
        <v>37048</v>
      </c>
      <c r="C3678">
        <v>36</v>
      </c>
      <c r="D3678">
        <v>2</v>
      </c>
      <c r="E3678">
        <v>11180</v>
      </c>
      <c r="F3678">
        <v>1394</v>
      </c>
      <c r="G3678">
        <f t="shared" si="57"/>
        <v>1576872895</v>
      </c>
    </row>
    <row r="3679" spans="1:7" x14ac:dyDescent="0.25">
      <c r="A3679">
        <v>1576872907</v>
      </c>
      <c r="B3679" t="s">
        <v>26506</v>
      </c>
      <c r="C3679">
        <v>1163</v>
      </c>
      <c r="D3679">
        <v>1</v>
      </c>
      <c r="E3679">
        <v>3404</v>
      </c>
      <c r="F3679">
        <v>2902</v>
      </c>
      <c r="G3679">
        <f t="shared" si="57"/>
        <v>1576872907</v>
      </c>
    </row>
    <row r="3680" spans="1:7" x14ac:dyDescent="0.25">
      <c r="A3680">
        <v>1576873073</v>
      </c>
      <c r="B3680" t="s">
        <v>26507</v>
      </c>
      <c r="C3680">
        <v>308</v>
      </c>
      <c r="D3680">
        <v>1</v>
      </c>
      <c r="E3680">
        <v>250</v>
      </c>
      <c r="F3680">
        <v>5302</v>
      </c>
      <c r="G3680">
        <f t="shared" si="57"/>
        <v>1576873073</v>
      </c>
    </row>
    <row r="3681" spans="1:7" x14ac:dyDescent="0.25">
      <c r="A3681">
        <v>1576873311</v>
      </c>
      <c r="B3681" t="s">
        <v>26508</v>
      </c>
      <c r="C3681">
        <v>0</v>
      </c>
      <c r="D3681">
        <v>1</v>
      </c>
      <c r="E3681">
        <v>389</v>
      </c>
      <c r="F3681">
        <v>4876</v>
      </c>
      <c r="G3681">
        <f t="shared" si="57"/>
        <v>1576873311</v>
      </c>
    </row>
    <row r="3682" spans="1:7" x14ac:dyDescent="0.25">
      <c r="A3682">
        <v>1576874535</v>
      </c>
      <c r="B3682" t="s">
        <v>26509</v>
      </c>
      <c r="C3682">
        <v>31</v>
      </c>
      <c r="D3682">
        <v>5</v>
      </c>
      <c r="E3682">
        <v>23849</v>
      </c>
      <c r="F3682">
        <v>440</v>
      </c>
      <c r="G3682">
        <f t="shared" si="57"/>
        <v>1576874535</v>
      </c>
    </row>
    <row r="3683" spans="1:7" x14ac:dyDescent="0.25">
      <c r="A3683">
        <v>1576874690</v>
      </c>
      <c r="B3683" t="s">
        <v>26510</v>
      </c>
      <c r="C3683">
        <v>0</v>
      </c>
      <c r="D3683">
        <v>1</v>
      </c>
      <c r="E3683">
        <v>729</v>
      </c>
      <c r="F3683">
        <v>4297</v>
      </c>
      <c r="G3683">
        <f t="shared" si="57"/>
        <v>1576874690</v>
      </c>
    </row>
    <row r="3684" spans="1:7" x14ac:dyDescent="0.25">
      <c r="A3684">
        <v>1576874903</v>
      </c>
      <c r="B3684" t="s">
        <v>26511</v>
      </c>
      <c r="C3684">
        <v>79</v>
      </c>
      <c r="D3684">
        <v>2</v>
      </c>
      <c r="E3684">
        <v>9219</v>
      </c>
      <c r="F3684">
        <v>1697</v>
      </c>
      <c r="G3684">
        <f t="shared" si="57"/>
        <v>1576874903</v>
      </c>
    </row>
    <row r="3685" spans="1:7" x14ac:dyDescent="0.25">
      <c r="A3685">
        <v>1576875068</v>
      </c>
      <c r="B3685" t="s">
        <v>26512</v>
      </c>
      <c r="C3685">
        <v>0</v>
      </c>
      <c r="D3685">
        <v>1</v>
      </c>
      <c r="E3685">
        <v>201</v>
      </c>
      <c r="F3685">
        <v>5492</v>
      </c>
      <c r="G3685">
        <f t="shared" si="57"/>
        <v>1576875068</v>
      </c>
    </row>
    <row r="3686" spans="1:7" x14ac:dyDescent="0.25">
      <c r="A3686">
        <v>1576875723</v>
      </c>
      <c r="B3686" t="s">
        <v>26513</v>
      </c>
      <c r="C3686">
        <v>0</v>
      </c>
      <c r="D3686">
        <v>1</v>
      </c>
      <c r="E3686">
        <v>329</v>
      </c>
      <c r="F3686">
        <v>5040</v>
      </c>
      <c r="G3686">
        <f t="shared" si="57"/>
        <v>1576875723</v>
      </c>
    </row>
    <row r="3687" spans="1:7" x14ac:dyDescent="0.25">
      <c r="A3687">
        <v>1576876593</v>
      </c>
      <c r="B3687" t="s">
        <v>26514</v>
      </c>
      <c r="C3687">
        <v>1877</v>
      </c>
      <c r="D3687">
        <v>1</v>
      </c>
      <c r="E3687">
        <v>933</v>
      </c>
      <c r="F3687">
        <v>4065</v>
      </c>
      <c r="G3687">
        <f t="shared" si="57"/>
        <v>1576876593</v>
      </c>
    </row>
    <row r="3688" spans="1:7" x14ac:dyDescent="0.25">
      <c r="A3688">
        <v>1576876614</v>
      </c>
      <c r="B3688" t="s">
        <v>26515</v>
      </c>
      <c r="C3688">
        <v>53</v>
      </c>
      <c r="D3688">
        <v>3</v>
      </c>
      <c r="E3688">
        <v>15992</v>
      </c>
      <c r="F3688">
        <v>908</v>
      </c>
      <c r="G3688">
        <f t="shared" si="57"/>
        <v>1576876614</v>
      </c>
    </row>
    <row r="3689" spans="1:7" x14ac:dyDescent="0.25">
      <c r="A3689">
        <v>1576876664</v>
      </c>
      <c r="B3689" t="s">
        <v>26516</v>
      </c>
      <c r="C3689">
        <v>0</v>
      </c>
      <c r="D3689">
        <v>0</v>
      </c>
      <c r="E3689">
        <v>0</v>
      </c>
      <c r="F3689">
        <v>7556</v>
      </c>
      <c r="G3689">
        <f t="shared" si="57"/>
        <v>1576876664</v>
      </c>
    </row>
    <row r="3690" spans="1:7" x14ac:dyDescent="0.25">
      <c r="A3690">
        <v>1576876853</v>
      </c>
      <c r="B3690" t="s">
        <v>26517</v>
      </c>
      <c r="C3690">
        <v>122</v>
      </c>
      <c r="D3690">
        <v>5</v>
      </c>
      <c r="E3690">
        <v>29636</v>
      </c>
      <c r="F3690">
        <v>251</v>
      </c>
      <c r="G3690">
        <f t="shared" si="57"/>
        <v>1576876853</v>
      </c>
    </row>
    <row r="3691" spans="1:7" x14ac:dyDescent="0.25">
      <c r="A3691">
        <v>1576877094</v>
      </c>
      <c r="B3691" t="s">
        <v>26518</v>
      </c>
      <c r="C3691">
        <v>96</v>
      </c>
      <c r="D3691">
        <v>1</v>
      </c>
      <c r="E3691">
        <v>3808</v>
      </c>
      <c r="F3691">
        <v>2809</v>
      </c>
      <c r="G3691">
        <f t="shared" si="57"/>
        <v>1576877094</v>
      </c>
    </row>
    <row r="3692" spans="1:7" x14ac:dyDescent="0.25">
      <c r="A3692">
        <v>1576877299</v>
      </c>
      <c r="B3692" t="s">
        <v>26519</v>
      </c>
      <c r="C3692">
        <v>0</v>
      </c>
      <c r="D3692">
        <v>0</v>
      </c>
      <c r="E3692">
        <v>0</v>
      </c>
      <c r="F3692">
        <v>7557</v>
      </c>
      <c r="G3692">
        <f t="shared" si="57"/>
        <v>1576877299</v>
      </c>
    </row>
    <row r="3693" spans="1:7" x14ac:dyDescent="0.25">
      <c r="A3693">
        <v>1576878148</v>
      </c>
      <c r="B3693" t="s">
        <v>26520</v>
      </c>
      <c r="C3693">
        <v>0</v>
      </c>
      <c r="D3693">
        <v>1</v>
      </c>
      <c r="E3693">
        <v>355</v>
      </c>
      <c r="F3693">
        <v>4965</v>
      </c>
      <c r="G3693">
        <f t="shared" si="57"/>
        <v>1576878148</v>
      </c>
    </row>
    <row r="3694" spans="1:7" x14ac:dyDescent="0.25">
      <c r="A3694">
        <v>1576878354</v>
      </c>
      <c r="B3694" t="s">
        <v>36484</v>
      </c>
      <c r="C3694">
        <v>0</v>
      </c>
      <c r="D3694">
        <v>0</v>
      </c>
      <c r="E3694">
        <v>0</v>
      </c>
      <c r="F3694">
        <v>7558</v>
      </c>
      <c r="G3694">
        <f t="shared" si="57"/>
        <v>1576878354</v>
      </c>
    </row>
    <row r="3695" spans="1:7" x14ac:dyDescent="0.25">
      <c r="A3695">
        <v>1576878494</v>
      </c>
      <c r="B3695" t="s">
        <v>36485</v>
      </c>
      <c r="C3695">
        <v>896</v>
      </c>
      <c r="D3695">
        <v>1</v>
      </c>
      <c r="E3695">
        <v>2927</v>
      </c>
      <c r="F3695">
        <v>3006</v>
      </c>
      <c r="G3695">
        <f t="shared" si="57"/>
        <v>1576878494</v>
      </c>
    </row>
    <row r="3696" spans="1:7" x14ac:dyDescent="0.25">
      <c r="A3696">
        <v>1576879196</v>
      </c>
      <c r="B3696" t="s">
        <v>37049</v>
      </c>
      <c r="C3696">
        <v>1972</v>
      </c>
      <c r="D3696">
        <v>3</v>
      </c>
      <c r="E3696">
        <v>13174</v>
      </c>
      <c r="F3696">
        <v>1150</v>
      </c>
      <c r="G3696">
        <f t="shared" si="57"/>
        <v>1576879196</v>
      </c>
    </row>
    <row r="3697" spans="1:7" x14ac:dyDescent="0.25">
      <c r="A3697">
        <v>1576879408</v>
      </c>
      <c r="B3697" t="s">
        <v>26521</v>
      </c>
      <c r="C3697">
        <v>643</v>
      </c>
      <c r="D3697">
        <v>7</v>
      </c>
      <c r="E3697">
        <v>37627</v>
      </c>
      <c r="F3697">
        <v>111</v>
      </c>
      <c r="G3697">
        <f t="shared" si="57"/>
        <v>1576879408</v>
      </c>
    </row>
    <row r="3698" spans="1:7" x14ac:dyDescent="0.25">
      <c r="A3698">
        <v>1576880053</v>
      </c>
      <c r="B3698" t="s">
        <v>26522</v>
      </c>
      <c r="C3698">
        <v>0</v>
      </c>
      <c r="D3698">
        <v>1</v>
      </c>
      <c r="E3698">
        <v>26</v>
      </c>
      <c r="F3698">
        <v>6601</v>
      </c>
      <c r="G3698">
        <f t="shared" si="57"/>
        <v>1576880053</v>
      </c>
    </row>
    <row r="3699" spans="1:7" x14ac:dyDescent="0.25">
      <c r="A3699">
        <v>1576880244</v>
      </c>
      <c r="B3699" t="s">
        <v>26523</v>
      </c>
      <c r="C3699">
        <v>0</v>
      </c>
      <c r="D3699">
        <v>0</v>
      </c>
      <c r="E3699">
        <v>0</v>
      </c>
      <c r="F3699">
        <v>7559</v>
      </c>
      <c r="G3699">
        <f t="shared" si="57"/>
        <v>1576880244</v>
      </c>
    </row>
    <row r="3700" spans="1:7" x14ac:dyDescent="0.25">
      <c r="A3700">
        <v>1576880392</v>
      </c>
      <c r="B3700" t="s">
        <v>26524</v>
      </c>
      <c r="C3700">
        <v>0</v>
      </c>
      <c r="D3700">
        <v>1</v>
      </c>
      <c r="E3700">
        <v>1247</v>
      </c>
      <c r="F3700">
        <v>3763</v>
      </c>
      <c r="G3700">
        <f t="shared" si="57"/>
        <v>1576880392</v>
      </c>
    </row>
    <row r="3701" spans="1:7" x14ac:dyDescent="0.25">
      <c r="A3701">
        <v>1576880629</v>
      </c>
      <c r="B3701" t="s">
        <v>26525</v>
      </c>
      <c r="C3701">
        <v>1663</v>
      </c>
      <c r="D3701">
        <v>1</v>
      </c>
      <c r="E3701">
        <v>568</v>
      </c>
      <c r="F3701">
        <v>4570</v>
      </c>
      <c r="G3701">
        <f t="shared" si="57"/>
        <v>1576880629</v>
      </c>
    </row>
    <row r="3702" spans="1:7" x14ac:dyDescent="0.25">
      <c r="A3702">
        <v>1576881890</v>
      </c>
      <c r="B3702" t="s">
        <v>26526</v>
      </c>
      <c r="C3702">
        <v>53</v>
      </c>
      <c r="D3702">
        <v>2</v>
      </c>
      <c r="E3702">
        <v>10989</v>
      </c>
      <c r="F3702">
        <v>1420</v>
      </c>
      <c r="G3702">
        <f t="shared" si="57"/>
        <v>1576881890</v>
      </c>
    </row>
    <row r="3703" spans="1:7" x14ac:dyDescent="0.25">
      <c r="A3703">
        <v>1576882233</v>
      </c>
      <c r="B3703" t="s">
        <v>26527</v>
      </c>
      <c r="C3703">
        <v>67</v>
      </c>
      <c r="D3703">
        <v>5</v>
      </c>
      <c r="E3703">
        <v>24420</v>
      </c>
      <c r="F3703">
        <v>418</v>
      </c>
      <c r="G3703">
        <f t="shared" si="57"/>
        <v>1576882233</v>
      </c>
    </row>
    <row r="3704" spans="1:7" x14ac:dyDescent="0.25">
      <c r="A3704">
        <v>1576882732</v>
      </c>
      <c r="B3704" t="s">
        <v>26528</v>
      </c>
      <c r="C3704">
        <v>0</v>
      </c>
      <c r="D3704">
        <v>1</v>
      </c>
      <c r="E3704">
        <v>50</v>
      </c>
      <c r="F3704">
        <v>6183</v>
      </c>
      <c r="G3704">
        <f t="shared" si="57"/>
        <v>1576882732</v>
      </c>
    </row>
    <row r="3705" spans="1:7" x14ac:dyDescent="0.25">
      <c r="A3705">
        <v>1576882939</v>
      </c>
      <c r="B3705" t="s">
        <v>26529</v>
      </c>
      <c r="C3705">
        <v>1836</v>
      </c>
      <c r="D3705">
        <v>1</v>
      </c>
      <c r="E3705">
        <v>3781</v>
      </c>
      <c r="F3705">
        <v>2815</v>
      </c>
      <c r="G3705">
        <f t="shared" si="57"/>
        <v>1576882939</v>
      </c>
    </row>
    <row r="3706" spans="1:7" x14ac:dyDescent="0.25">
      <c r="A3706">
        <v>1576883247</v>
      </c>
      <c r="B3706" t="s">
        <v>26530</v>
      </c>
      <c r="C3706">
        <v>174</v>
      </c>
      <c r="D3706">
        <v>2</v>
      </c>
      <c r="E3706">
        <v>11845</v>
      </c>
      <c r="F3706">
        <v>1302</v>
      </c>
      <c r="G3706">
        <f t="shared" si="57"/>
        <v>1576883247</v>
      </c>
    </row>
    <row r="3707" spans="1:7" x14ac:dyDescent="0.25">
      <c r="A3707">
        <v>1576883359</v>
      </c>
      <c r="B3707" t="s">
        <v>37147</v>
      </c>
      <c r="C3707">
        <v>0</v>
      </c>
      <c r="D3707">
        <v>0</v>
      </c>
      <c r="E3707">
        <v>0</v>
      </c>
      <c r="F3707">
        <v>7560</v>
      </c>
      <c r="G3707">
        <f t="shared" si="57"/>
        <v>1576883359</v>
      </c>
    </row>
    <row r="3708" spans="1:7" x14ac:dyDescent="0.25">
      <c r="A3708">
        <v>1576883905</v>
      </c>
      <c r="B3708" t="s">
        <v>26531</v>
      </c>
      <c r="C3708">
        <v>0</v>
      </c>
      <c r="D3708">
        <v>0</v>
      </c>
      <c r="E3708">
        <v>0</v>
      </c>
      <c r="F3708">
        <v>7561</v>
      </c>
      <c r="G3708">
        <f t="shared" si="57"/>
        <v>1576883905</v>
      </c>
    </row>
    <row r="3709" spans="1:7" x14ac:dyDescent="0.25">
      <c r="A3709">
        <v>1576884345</v>
      </c>
      <c r="B3709" t="s">
        <v>26532</v>
      </c>
      <c r="C3709">
        <v>174</v>
      </c>
      <c r="D3709">
        <v>3</v>
      </c>
      <c r="E3709">
        <v>16077</v>
      </c>
      <c r="F3709">
        <v>904</v>
      </c>
      <c r="G3709">
        <f t="shared" si="57"/>
        <v>1576884345</v>
      </c>
    </row>
    <row r="3710" spans="1:7" x14ac:dyDescent="0.25">
      <c r="A3710">
        <v>1576884435</v>
      </c>
      <c r="B3710" t="s">
        <v>26533</v>
      </c>
      <c r="C3710">
        <v>2010</v>
      </c>
      <c r="D3710">
        <v>1</v>
      </c>
      <c r="E3710">
        <v>1222</v>
      </c>
      <c r="F3710">
        <v>3779</v>
      </c>
      <c r="G3710">
        <f t="shared" si="57"/>
        <v>1576884435</v>
      </c>
    </row>
    <row r="3711" spans="1:7" x14ac:dyDescent="0.25">
      <c r="A3711">
        <v>1576885101</v>
      </c>
      <c r="B3711" t="s">
        <v>26534</v>
      </c>
      <c r="C3711">
        <v>1734</v>
      </c>
      <c r="D3711">
        <v>1</v>
      </c>
      <c r="E3711">
        <v>1245</v>
      </c>
      <c r="F3711">
        <v>3766</v>
      </c>
      <c r="G3711">
        <f t="shared" si="57"/>
        <v>1576885101</v>
      </c>
    </row>
    <row r="3712" spans="1:7" x14ac:dyDescent="0.25">
      <c r="A3712">
        <v>1576885344</v>
      </c>
      <c r="B3712" t="s">
        <v>26535</v>
      </c>
      <c r="C3712">
        <v>643</v>
      </c>
      <c r="D3712">
        <v>8</v>
      </c>
      <c r="E3712">
        <v>46525</v>
      </c>
      <c r="F3712">
        <v>51</v>
      </c>
      <c r="G3712">
        <f t="shared" si="57"/>
        <v>1576885344</v>
      </c>
    </row>
    <row r="3713" spans="1:7" x14ac:dyDescent="0.25">
      <c r="A3713">
        <v>1576885521</v>
      </c>
      <c r="B3713" t="s">
        <v>36486</v>
      </c>
      <c r="C3713">
        <v>0</v>
      </c>
      <c r="D3713">
        <v>0</v>
      </c>
      <c r="E3713">
        <v>0</v>
      </c>
      <c r="F3713">
        <v>7562</v>
      </c>
      <c r="G3713">
        <f t="shared" ref="G3713:G3776" si="58">A3713</f>
        <v>1576885521</v>
      </c>
    </row>
    <row r="3714" spans="1:7" x14ac:dyDescent="0.25">
      <c r="A3714">
        <v>1576885647</v>
      </c>
      <c r="B3714" t="s">
        <v>26536</v>
      </c>
      <c r="C3714">
        <v>1100</v>
      </c>
      <c r="D3714">
        <v>1</v>
      </c>
      <c r="E3714">
        <v>2917</v>
      </c>
      <c r="F3714">
        <v>3007</v>
      </c>
      <c r="G3714">
        <f t="shared" si="58"/>
        <v>1576885647</v>
      </c>
    </row>
    <row r="3715" spans="1:7" x14ac:dyDescent="0.25">
      <c r="A3715">
        <v>1576885711</v>
      </c>
      <c r="B3715" t="s">
        <v>26537</v>
      </c>
      <c r="C3715">
        <v>0</v>
      </c>
      <c r="D3715">
        <v>1</v>
      </c>
      <c r="E3715">
        <v>2479</v>
      </c>
      <c r="F3715">
        <v>3146</v>
      </c>
      <c r="G3715">
        <f t="shared" si="58"/>
        <v>1576885711</v>
      </c>
    </row>
    <row r="3716" spans="1:7" x14ac:dyDescent="0.25">
      <c r="A3716">
        <v>1576885823</v>
      </c>
      <c r="B3716" t="s">
        <v>26538</v>
      </c>
      <c r="C3716">
        <v>69</v>
      </c>
      <c r="D3716">
        <v>2</v>
      </c>
      <c r="E3716">
        <v>9233</v>
      </c>
      <c r="F3716">
        <v>1685</v>
      </c>
      <c r="G3716">
        <f t="shared" si="58"/>
        <v>1576885823</v>
      </c>
    </row>
    <row r="3717" spans="1:7" x14ac:dyDescent="0.25">
      <c r="A3717">
        <v>1576886117</v>
      </c>
      <c r="B3717" t="s">
        <v>26539</v>
      </c>
      <c r="C3717">
        <v>138</v>
      </c>
      <c r="D3717">
        <v>3</v>
      </c>
      <c r="E3717">
        <v>7589</v>
      </c>
      <c r="F3717">
        <v>1967</v>
      </c>
      <c r="G3717">
        <f t="shared" si="58"/>
        <v>1576886117</v>
      </c>
    </row>
    <row r="3718" spans="1:7" x14ac:dyDescent="0.25">
      <c r="A3718">
        <v>1576886607</v>
      </c>
      <c r="B3718" t="s">
        <v>37148</v>
      </c>
      <c r="C3718">
        <v>0</v>
      </c>
      <c r="D3718">
        <v>1</v>
      </c>
      <c r="E3718">
        <v>94</v>
      </c>
      <c r="F3718">
        <v>5885</v>
      </c>
      <c r="G3718">
        <f t="shared" si="58"/>
        <v>1576886607</v>
      </c>
    </row>
    <row r="3719" spans="1:7" x14ac:dyDescent="0.25">
      <c r="A3719">
        <v>1576886619</v>
      </c>
      <c r="B3719" t="s">
        <v>26540</v>
      </c>
      <c r="C3719">
        <v>1888</v>
      </c>
      <c r="D3719">
        <v>1</v>
      </c>
      <c r="E3719">
        <v>5534</v>
      </c>
      <c r="F3719">
        <v>2394</v>
      </c>
      <c r="G3719">
        <f t="shared" si="58"/>
        <v>1576886619</v>
      </c>
    </row>
    <row r="3720" spans="1:7" x14ac:dyDescent="0.25">
      <c r="A3720">
        <v>1576886830</v>
      </c>
      <c r="B3720" t="s">
        <v>26541</v>
      </c>
      <c r="C3720">
        <v>0</v>
      </c>
      <c r="D3720">
        <v>1</v>
      </c>
      <c r="E3720">
        <v>2920</v>
      </c>
      <c r="F3720">
        <v>3013</v>
      </c>
      <c r="G3720">
        <f t="shared" si="58"/>
        <v>1576886830</v>
      </c>
    </row>
    <row r="3721" spans="1:7" x14ac:dyDescent="0.25">
      <c r="A3721">
        <v>1576886988</v>
      </c>
      <c r="B3721" t="s">
        <v>26542</v>
      </c>
      <c r="C3721">
        <v>0</v>
      </c>
      <c r="D3721">
        <v>0</v>
      </c>
      <c r="E3721">
        <v>0</v>
      </c>
      <c r="F3721">
        <v>7563</v>
      </c>
      <c r="G3721">
        <f t="shared" si="58"/>
        <v>1576886988</v>
      </c>
    </row>
    <row r="3722" spans="1:7" x14ac:dyDescent="0.25">
      <c r="A3722">
        <v>1576887052</v>
      </c>
      <c r="B3722" t="s">
        <v>26543</v>
      </c>
      <c r="C3722">
        <v>1971</v>
      </c>
      <c r="D3722">
        <v>1</v>
      </c>
      <c r="E3722">
        <v>329</v>
      </c>
      <c r="F3722">
        <v>5050</v>
      </c>
      <c r="G3722">
        <f t="shared" si="58"/>
        <v>1576887052</v>
      </c>
    </row>
    <row r="3723" spans="1:7" x14ac:dyDescent="0.25">
      <c r="A3723">
        <v>1576887327</v>
      </c>
      <c r="B3723" t="s">
        <v>26544</v>
      </c>
      <c r="C3723">
        <v>1100</v>
      </c>
      <c r="D3723">
        <v>1</v>
      </c>
      <c r="E3723">
        <v>270</v>
      </c>
      <c r="F3723">
        <v>5245</v>
      </c>
      <c r="G3723">
        <f t="shared" si="58"/>
        <v>1576887327</v>
      </c>
    </row>
    <row r="3724" spans="1:7" x14ac:dyDescent="0.25">
      <c r="A3724">
        <v>1576887631</v>
      </c>
      <c r="B3724" t="s">
        <v>26545</v>
      </c>
      <c r="C3724">
        <v>0</v>
      </c>
      <c r="D3724">
        <v>0</v>
      </c>
      <c r="E3724">
        <v>0</v>
      </c>
      <c r="F3724">
        <v>7564</v>
      </c>
      <c r="G3724">
        <f t="shared" si="58"/>
        <v>1576887631</v>
      </c>
    </row>
    <row r="3725" spans="1:7" x14ac:dyDescent="0.25">
      <c r="A3725">
        <v>1576887762</v>
      </c>
      <c r="B3725" t="s">
        <v>679</v>
      </c>
      <c r="C3725">
        <v>36</v>
      </c>
      <c r="D3725">
        <v>2</v>
      </c>
      <c r="E3725">
        <v>10779</v>
      </c>
      <c r="F3725">
        <v>1463</v>
      </c>
      <c r="G3725">
        <f t="shared" si="58"/>
        <v>1576887762</v>
      </c>
    </row>
    <row r="3726" spans="1:7" x14ac:dyDescent="0.25">
      <c r="A3726">
        <v>1576887961</v>
      </c>
      <c r="B3726" t="s">
        <v>26546</v>
      </c>
      <c r="C3726">
        <v>1913</v>
      </c>
      <c r="D3726">
        <v>1</v>
      </c>
      <c r="E3726">
        <v>1114</v>
      </c>
      <c r="F3726">
        <v>3859</v>
      </c>
      <c r="G3726">
        <f t="shared" si="58"/>
        <v>1576887961</v>
      </c>
    </row>
    <row r="3727" spans="1:7" x14ac:dyDescent="0.25">
      <c r="A3727">
        <v>1576888271</v>
      </c>
      <c r="B3727" t="s">
        <v>26547</v>
      </c>
      <c r="C3727">
        <v>578</v>
      </c>
      <c r="D3727">
        <v>4</v>
      </c>
      <c r="E3727">
        <v>24725</v>
      </c>
      <c r="F3727">
        <v>407</v>
      </c>
      <c r="G3727">
        <f t="shared" si="58"/>
        <v>1576888271</v>
      </c>
    </row>
    <row r="3728" spans="1:7" x14ac:dyDescent="0.25">
      <c r="A3728">
        <v>1576888357</v>
      </c>
      <c r="B3728" t="s">
        <v>26548</v>
      </c>
      <c r="C3728">
        <v>1913</v>
      </c>
      <c r="D3728">
        <v>1</v>
      </c>
      <c r="E3728">
        <v>1066</v>
      </c>
      <c r="F3728">
        <v>3904</v>
      </c>
      <c r="G3728">
        <f t="shared" si="58"/>
        <v>1576888357</v>
      </c>
    </row>
    <row r="3729" spans="1:7" x14ac:dyDescent="0.25">
      <c r="A3729">
        <v>1576888493</v>
      </c>
      <c r="B3729" t="s">
        <v>26549</v>
      </c>
      <c r="C3729">
        <v>26</v>
      </c>
      <c r="D3729">
        <v>4</v>
      </c>
      <c r="E3729">
        <v>22103</v>
      </c>
      <c r="F3729">
        <v>513</v>
      </c>
      <c r="G3729">
        <f t="shared" si="58"/>
        <v>1576888493</v>
      </c>
    </row>
    <row r="3730" spans="1:7" x14ac:dyDescent="0.25">
      <c r="A3730">
        <v>1576889855</v>
      </c>
      <c r="B3730" t="s">
        <v>26550</v>
      </c>
      <c r="C3730">
        <v>126</v>
      </c>
      <c r="D3730">
        <v>3</v>
      </c>
      <c r="E3730">
        <v>14346</v>
      </c>
      <c r="F3730">
        <v>1051</v>
      </c>
      <c r="G3730">
        <f t="shared" si="58"/>
        <v>1576889855</v>
      </c>
    </row>
    <row r="3731" spans="1:7" x14ac:dyDescent="0.25">
      <c r="A3731">
        <v>1576890084</v>
      </c>
      <c r="B3731" t="s">
        <v>26551</v>
      </c>
      <c r="C3731">
        <v>1689</v>
      </c>
      <c r="D3731">
        <v>2</v>
      </c>
      <c r="E3731">
        <v>4750</v>
      </c>
      <c r="F3731">
        <v>2562</v>
      </c>
      <c r="G3731">
        <f t="shared" si="58"/>
        <v>1576890084</v>
      </c>
    </row>
    <row r="3732" spans="1:7" x14ac:dyDescent="0.25">
      <c r="A3732">
        <v>1576890801</v>
      </c>
      <c r="B3732" t="s">
        <v>26552</v>
      </c>
      <c r="C3732">
        <v>1791</v>
      </c>
      <c r="D3732">
        <v>1</v>
      </c>
      <c r="E3732">
        <v>1787</v>
      </c>
      <c r="F3732">
        <v>3453</v>
      </c>
      <c r="G3732">
        <f t="shared" si="58"/>
        <v>1576890801</v>
      </c>
    </row>
    <row r="3733" spans="1:7" x14ac:dyDescent="0.25">
      <c r="A3733">
        <v>1576890816</v>
      </c>
      <c r="B3733" t="s">
        <v>26553</v>
      </c>
      <c r="C3733">
        <v>0</v>
      </c>
      <c r="D3733">
        <v>1</v>
      </c>
      <c r="E3733">
        <v>556</v>
      </c>
      <c r="F3733">
        <v>4541</v>
      </c>
      <c r="G3733">
        <f t="shared" si="58"/>
        <v>1576890816</v>
      </c>
    </row>
    <row r="3734" spans="1:7" x14ac:dyDescent="0.25">
      <c r="A3734">
        <v>1576890987</v>
      </c>
      <c r="B3734" t="s">
        <v>26554</v>
      </c>
      <c r="C3734">
        <v>1403</v>
      </c>
      <c r="D3734">
        <v>1</v>
      </c>
      <c r="E3734">
        <v>4212</v>
      </c>
      <c r="F3734">
        <v>2710</v>
      </c>
      <c r="G3734">
        <f t="shared" si="58"/>
        <v>1576890987</v>
      </c>
    </row>
    <row r="3735" spans="1:7" x14ac:dyDescent="0.25">
      <c r="A3735">
        <v>1576891726</v>
      </c>
      <c r="B3735" t="s">
        <v>26555</v>
      </c>
      <c r="C3735">
        <v>1972</v>
      </c>
      <c r="D3735">
        <v>3</v>
      </c>
      <c r="E3735">
        <v>16482</v>
      </c>
      <c r="F3735">
        <v>883</v>
      </c>
      <c r="G3735">
        <f t="shared" si="58"/>
        <v>1576891726</v>
      </c>
    </row>
    <row r="3736" spans="1:7" x14ac:dyDescent="0.25">
      <c r="A3736">
        <v>1576892850</v>
      </c>
      <c r="B3736" t="s">
        <v>36487</v>
      </c>
      <c r="C3736">
        <v>625</v>
      </c>
      <c r="D3736">
        <v>1</v>
      </c>
      <c r="E3736">
        <v>2181</v>
      </c>
      <c r="F3736">
        <v>3256</v>
      </c>
      <c r="G3736">
        <f t="shared" si="58"/>
        <v>1576892850</v>
      </c>
    </row>
    <row r="3737" spans="1:7" x14ac:dyDescent="0.25">
      <c r="A3737">
        <v>1576893149</v>
      </c>
      <c r="B3737" t="s">
        <v>26556</v>
      </c>
      <c r="C3737">
        <v>0</v>
      </c>
      <c r="D3737">
        <v>0</v>
      </c>
      <c r="E3737">
        <v>0</v>
      </c>
      <c r="F3737">
        <v>7565</v>
      </c>
      <c r="G3737">
        <f t="shared" si="58"/>
        <v>1576893149</v>
      </c>
    </row>
    <row r="3738" spans="1:7" x14ac:dyDescent="0.25">
      <c r="A3738">
        <v>1576893263</v>
      </c>
      <c r="B3738" t="s">
        <v>26557</v>
      </c>
      <c r="C3738">
        <v>1362</v>
      </c>
      <c r="D3738">
        <v>1</v>
      </c>
      <c r="E3738">
        <v>1054</v>
      </c>
      <c r="F3738">
        <v>3919</v>
      </c>
      <c r="G3738">
        <f t="shared" si="58"/>
        <v>1576893263</v>
      </c>
    </row>
    <row r="3739" spans="1:7" x14ac:dyDescent="0.25">
      <c r="A3739">
        <v>1576893347</v>
      </c>
      <c r="B3739" t="s">
        <v>26558</v>
      </c>
      <c r="C3739">
        <v>0</v>
      </c>
      <c r="D3739">
        <v>1</v>
      </c>
      <c r="E3739">
        <v>42</v>
      </c>
      <c r="F3739">
        <v>6253</v>
      </c>
      <c r="G3739">
        <f t="shared" si="58"/>
        <v>1576893347</v>
      </c>
    </row>
    <row r="3740" spans="1:7" x14ac:dyDescent="0.25">
      <c r="A3740">
        <v>1576893556</v>
      </c>
      <c r="B3740" t="s">
        <v>26559</v>
      </c>
      <c r="C3740">
        <v>0</v>
      </c>
      <c r="D3740">
        <v>1</v>
      </c>
      <c r="E3740">
        <v>1048</v>
      </c>
      <c r="F3740">
        <v>3925</v>
      </c>
      <c r="G3740">
        <f t="shared" si="58"/>
        <v>1576893556</v>
      </c>
    </row>
    <row r="3741" spans="1:7" x14ac:dyDescent="0.25">
      <c r="A3741">
        <v>1576893878</v>
      </c>
      <c r="B3741" t="s">
        <v>26560</v>
      </c>
      <c r="C3741">
        <v>0</v>
      </c>
      <c r="D3741">
        <v>0</v>
      </c>
      <c r="E3741">
        <v>0</v>
      </c>
      <c r="F3741">
        <v>7566</v>
      </c>
      <c r="G3741">
        <f t="shared" si="58"/>
        <v>1576893878</v>
      </c>
    </row>
    <row r="3742" spans="1:7" x14ac:dyDescent="0.25">
      <c r="A3742">
        <v>1576894702</v>
      </c>
      <c r="B3742" t="s">
        <v>36488</v>
      </c>
      <c r="C3742">
        <v>0</v>
      </c>
      <c r="D3742">
        <v>0</v>
      </c>
      <c r="E3742">
        <v>0</v>
      </c>
      <c r="F3742">
        <v>7567</v>
      </c>
      <c r="G3742">
        <f t="shared" si="58"/>
        <v>1576894702</v>
      </c>
    </row>
    <row r="3743" spans="1:7" x14ac:dyDescent="0.25">
      <c r="A3743">
        <v>1576894984</v>
      </c>
      <c r="B3743" t="s">
        <v>26561</v>
      </c>
      <c r="C3743">
        <v>896</v>
      </c>
      <c r="D3743">
        <v>2</v>
      </c>
      <c r="E3743">
        <v>6110</v>
      </c>
      <c r="F3743">
        <v>2254</v>
      </c>
      <c r="G3743">
        <f t="shared" si="58"/>
        <v>1576894984</v>
      </c>
    </row>
    <row r="3744" spans="1:7" x14ac:dyDescent="0.25">
      <c r="A3744">
        <v>1576895276</v>
      </c>
      <c r="B3744" t="s">
        <v>26562</v>
      </c>
      <c r="C3744">
        <v>0</v>
      </c>
      <c r="D3744">
        <v>1</v>
      </c>
      <c r="E3744">
        <v>66</v>
      </c>
      <c r="F3744">
        <v>6083</v>
      </c>
      <c r="G3744">
        <f t="shared" si="58"/>
        <v>1576895276</v>
      </c>
    </row>
    <row r="3745" spans="1:7" x14ac:dyDescent="0.25">
      <c r="A3745">
        <v>1576895335</v>
      </c>
      <c r="B3745" t="s">
        <v>26563</v>
      </c>
      <c r="C3745">
        <v>151</v>
      </c>
      <c r="D3745">
        <v>1</v>
      </c>
      <c r="E3745">
        <v>1022</v>
      </c>
      <c r="F3745">
        <v>3955</v>
      </c>
      <c r="G3745">
        <f t="shared" si="58"/>
        <v>1576895335</v>
      </c>
    </row>
    <row r="3746" spans="1:7" x14ac:dyDescent="0.25">
      <c r="A3746">
        <v>1576895710</v>
      </c>
      <c r="B3746" t="s">
        <v>36489</v>
      </c>
      <c r="C3746">
        <v>271</v>
      </c>
      <c r="D3746">
        <v>1</v>
      </c>
      <c r="E3746">
        <v>6573</v>
      </c>
      <c r="F3746">
        <v>2146</v>
      </c>
      <c r="G3746">
        <f t="shared" si="58"/>
        <v>1576895710</v>
      </c>
    </row>
    <row r="3747" spans="1:7" x14ac:dyDescent="0.25">
      <c r="A3747">
        <v>1576896284</v>
      </c>
      <c r="B3747" t="s">
        <v>26564</v>
      </c>
      <c r="C3747">
        <v>36</v>
      </c>
      <c r="D3747">
        <v>4</v>
      </c>
      <c r="E3747">
        <v>21025</v>
      </c>
      <c r="F3747">
        <v>567</v>
      </c>
      <c r="G3747">
        <f t="shared" si="58"/>
        <v>1576896284</v>
      </c>
    </row>
    <row r="3748" spans="1:7" x14ac:dyDescent="0.25">
      <c r="A3748">
        <v>1576896810</v>
      </c>
      <c r="B3748" t="s">
        <v>26565</v>
      </c>
      <c r="C3748">
        <v>0</v>
      </c>
      <c r="D3748">
        <v>1</v>
      </c>
      <c r="E3748">
        <v>571</v>
      </c>
      <c r="F3748">
        <v>4531</v>
      </c>
      <c r="G3748">
        <f t="shared" si="58"/>
        <v>1576896810</v>
      </c>
    </row>
    <row r="3749" spans="1:7" x14ac:dyDescent="0.25">
      <c r="A3749">
        <v>1576897590</v>
      </c>
      <c r="B3749" t="s">
        <v>26566</v>
      </c>
      <c r="C3749">
        <v>433</v>
      </c>
      <c r="D3749">
        <v>1</v>
      </c>
      <c r="E3749">
        <v>2737</v>
      </c>
      <c r="F3749">
        <v>3060</v>
      </c>
      <c r="G3749">
        <f t="shared" si="58"/>
        <v>1576897590</v>
      </c>
    </row>
    <row r="3750" spans="1:7" x14ac:dyDescent="0.25">
      <c r="A3750">
        <v>1576897890</v>
      </c>
      <c r="B3750" t="s">
        <v>36490</v>
      </c>
      <c r="C3750">
        <v>0</v>
      </c>
      <c r="D3750">
        <v>1</v>
      </c>
      <c r="E3750">
        <v>964</v>
      </c>
      <c r="F3750">
        <v>4034</v>
      </c>
      <c r="G3750">
        <f t="shared" si="58"/>
        <v>1576897890</v>
      </c>
    </row>
    <row r="3751" spans="1:7" x14ac:dyDescent="0.25">
      <c r="A3751">
        <v>1576898283</v>
      </c>
      <c r="B3751" t="s">
        <v>26567</v>
      </c>
      <c r="C3751">
        <v>0</v>
      </c>
      <c r="D3751">
        <v>0</v>
      </c>
      <c r="E3751">
        <v>0</v>
      </c>
      <c r="F3751">
        <v>7568</v>
      </c>
      <c r="G3751">
        <f t="shared" si="58"/>
        <v>1576898283</v>
      </c>
    </row>
    <row r="3752" spans="1:7" x14ac:dyDescent="0.25">
      <c r="A3752">
        <v>1576898296</v>
      </c>
      <c r="B3752" t="s">
        <v>26568</v>
      </c>
      <c r="C3752">
        <v>0</v>
      </c>
      <c r="D3752">
        <v>0</v>
      </c>
      <c r="E3752">
        <v>0</v>
      </c>
      <c r="F3752">
        <v>7569</v>
      </c>
      <c r="G3752">
        <f t="shared" si="58"/>
        <v>1576898296</v>
      </c>
    </row>
    <row r="3753" spans="1:7" x14ac:dyDescent="0.25">
      <c r="A3753">
        <v>1576898576</v>
      </c>
      <c r="B3753" t="s">
        <v>26569</v>
      </c>
      <c r="C3753">
        <v>1503</v>
      </c>
      <c r="D3753">
        <v>1</v>
      </c>
      <c r="E3753">
        <v>4385</v>
      </c>
      <c r="F3753">
        <v>2653</v>
      </c>
      <c r="G3753">
        <f t="shared" si="58"/>
        <v>1576898576</v>
      </c>
    </row>
    <row r="3754" spans="1:7" x14ac:dyDescent="0.25">
      <c r="A3754">
        <v>1576899280</v>
      </c>
      <c r="B3754" t="s">
        <v>26570</v>
      </c>
      <c r="C3754">
        <v>0</v>
      </c>
      <c r="D3754">
        <v>1</v>
      </c>
      <c r="E3754">
        <v>26</v>
      </c>
      <c r="F3754">
        <v>6602</v>
      </c>
      <c r="G3754">
        <f t="shared" si="58"/>
        <v>1576899280</v>
      </c>
    </row>
    <row r="3755" spans="1:7" x14ac:dyDescent="0.25">
      <c r="A3755">
        <v>1576899444</v>
      </c>
      <c r="B3755" t="s">
        <v>26571</v>
      </c>
      <c r="C3755">
        <v>1946</v>
      </c>
      <c r="D3755">
        <v>2</v>
      </c>
      <c r="E3755">
        <v>7733</v>
      </c>
      <c r="F3755">
        <v>1933</v>
      </c>
      <c r="G3755">
        <f t="shared" si="58"/>
        <v>1576899444</v>
      </c>
    </row>
    <row r="3756" spans="1:7" x14ac:dyDescent="0.25">
      <c r="A3756">
        <v>1576899646</v>
      </c>
      <c r="B3756" t="s">
        <v>26572</v>
      </c>
      <c r="C3756">
        <v>58</v>
      </c>
      <c r="D3756">
        <v>6</v>
      </c>
      <c r="E3756">
        <v>38111</v>
      </c>
      <c r="F3756">
        <v>108</v>
      </c>
      <c r="G3756">
        <f t="shared" si="58"/>
        <v>1576899646</v>
      </c>
    </row>
    <row r="3757" spans="1:7" x14ac:dyDescent="0.25">
      <c r="A3757">
        <v>1576899656</v>
      </c>
      <c r="B3757" t="s">
        <v>26573</v>
      </c>
      <c r="C3757">
        <v>0</v>
      </c>
      <c r="D3757">
        <v>1</v>
      </c>
      <c r="E3757">
        <v>47</v>
      </c>
      <c r="F3757">
        <v>6205</v>
      </c>
      <c r="G3757">
        <f t="shared" si="58"/>
        <v>1576899656</v>
      </c>
    </row>
    <row r="3758" spans="1:7" x14ac:dyDescent="0.25">
      <c r="A3758">
        <v>1576900094</v>
      </c>
      <c r="B3758" t="s">
        <v>26574</v>
      </c>
      <c r="C3758">
        <v>0</v>
      </c>
      <c r="D3758">
        <v>0</v>
      </c>
      <c r="E3758">
        <v>0</v>
      </c>
      <c r="F3758">
        <v>7570</v>
      </c>
      <c r="G3758">
        <f t="shared" si="58"/>
        <v>1576900094</v>
      </c>
    </row>
    <row r="3759" spans="1:7" x14ac:dyDescent="0.25">
      <c r="A3759">
        <v>1576900654</v>
      </c>
      <c r="B3759" t="s">
        <v>26575</v>
      </c>
      <c r="C3759">
        <v>1357</v>
      </c>
      <c r="D3759">
        <v>1</v>
      </c>
      <c r="E3759">
        <v>511</v>
      </c>
      <c r="F3759">
        <v>4607</v>
      </c>
      <c r="G3759">
        <f t="shared" si="58"/>
        <v>1576900654</v>
      </c>
    </row>
    <row r="3760" spans="1:7" x14ac:dyDescent="0.25">
      <c r="A3760">
        <v>1576900725</v>
      </c>
      <c r="B3760" t="s">
        <v>26576</v>
      </c>
      <c r="C3760">
        <v>0</v>
      </c>
      <c r="D3760">
        <v>1</v>
      </c>
      <c r="E3760">
        <v>51</v>
      </c>
      <c r="F3760">
        <v>6163</v>
      </c>
      <c r="G3760">
        <f t="shared" si="58"/>
        <v>1576900725</v>
      </c>
    </row>
    <row r="3761" spans="1:7" x14ac:dyDescent="0.25">
      <c r="A3761">
        <v>1576901589</v>
      </c>
      <c r="B3761" t="s">
        <v>26577</v>
      </c>
      <c r="C3761">
        <v>69</v>
      </c>
      <c r="D3761">
        <v>5</v>
      </c>
      <c r="E3761">
        <v>29735</v>
      </c>
      <c r="F3761">
        <v>247</v>
      </c>
      <c r="G3761">
        <f t="shared" si="58"/>
        <v>1576901589</v>
      </c>
    </row>
    <row r="3762" spans="1:7" x14ac:dyDescent="0.25">
      <c r="A3762">
        <v>1576901943</v>
      </c>
      <c r="B3762" t="s">
        <v>26578</v>
      </c>
      <c r="C3762">
        <v>0</v>
      </c>
      <c r="D3762">
        <v>1</v>
      </c>
      <c r="E3762">
        <v>26</v>
      </c>
      <c r="F3762">
        <v>6603</v>
      </c>
      <c r="G3762">
        <f t="shared" si="58"/>
        <v>1576901943</v>
      </c>
    </row>
    <row r="3763" spans="1:7" x14ac:dyDescent="0.25">
      <c r="A3763">
        <v>1576902066</v>
      </c>
      <c r="B3763" t="s">
        <v>26579</v>
      </c>
      <c r="C3763">
        <v>0</v>
      </c>
      <c r="D3763">
        <v>1</v>
      </c>
      <c r="E3763">
        <v>407</v>
      </c>
      <c r="F3763">
        <v>4844</v>
      </c>
      <c r="G3763">
        <f t="shared" si="58"/>
        <v>1576902066</v>
      </c>
    </row>
    <row r="3764" spans="1:7" x14ac:dyDescent="0.25">
      <c r="A3764">
        <v>1576902072</v>
      </c>
      <c r="B3764" t="s">
        <v>26580</v>
      </c>
      <c r="C3764">
        <v>0</v>
      </c>
      <c r="D3764">
        <v>1</v>
      </c>
      <c r="E3764">
        <v>30</v>
      </c>
      <c r="F3764">
        <v>6321</v>
      </c>
      <c r="G3764">
        <f t="shared" si="58"/>
        <v>1576902072</v>
      </c>
    </row>
    <row r="3765" spans="1:7" x14ac:dyDescent="0.25">
      <c r="A3765">
        <v>1576902757</v>
      </c>
      <c r="B3765" t="s">
        <v>26581</v>
      </c>
      <c r="C3765">
        <v>1357</v>
      </c>
      <c r="D3765">
        <v>1</v>
      </c>
      <c r="E3765">
        <v>235</v>
      </c>
      <c r="F3765">
        <v>5368</v>
      </c>
      <c r="G3765">
        <f t="shared" si="58"/>
        <v>1576902757</v>
      </c>
    </row>
    <row r="3766" spans="1:7" x14ac:dyDescent="0.25">
      <c r="A3766">
        <v>1576902971</v>
      </c>
      <c r="B3766" t="s">
        <v>26582</v>
      </c>
      <c r="C3766">
        <v>0</v>
      </c>
      <c r="D3766">
        <v>0</v>
      </c>
      <c r="E3766">
        <v>0</v>
      </c>
      <c r="F3766">
        <v>7571</v>
      </c>
      <c r="G3766">
        <f t="shared" si="58"/>
        <v>1576902971</v>
      </c>
    </row>
    <row r="3767" spans="1:7" x14ac:dyDescent="0.25">
      <c r="A3767">
        <v>1576903362</v>
      </c>
      <c r="B3767" t="s">
        <v>37305</v>
      </c>
      <c r="C3767">
        <v>0</v>
      </c>
      <c r="D3767">
        <v>1</v>
      </c>
      <c r="E3767">
        <v>76</v>
      </c>
      <c r="F3767">
        <v>6005</v>
      </c>
      <c r="G3767">
        <f t="shared" si="58"/>
        <v>1576903362</v>
      </c>
    </row>
    <row r="3768" spans="1:7" x14ac:dyDescent="0.25">
      <c r="A3768">
        <v>1576903365</v>
      </c>
      <c r="B3768" t="s">
        <v>26583</v>
      </c>
      <c r="C3768">
        <v>0</v>
      </c>
      <c r="D3768">
        <v>1</v>
      </c>
      <c r="E3768">
        <v>26</v>
      </c>
      <c r="F3768">
        <v>6604</v>
      </c>
      <c r="G3768">
        <f t="shared" si="58"/>
        <v>1576903365</v>
      </c>
    </row>
    <row r="3769" spans="1:7" x14ac:dyDescent="0.25">
      <c r="A3769">
        <v>1576904284</v>
      </c>
      <c r="B3769" t="s">
        <v>26584</v>
      </c>
      <c r="C3769">
        <v>205</v>
      </c>
      <c r="D3769">
        <v>1</v>
      </c>
      <c r="E3769">
        <v>239</v>
      </c>
      <c r="F3769">
        <v>5354</v>
      </c>
      <c r="G3769">
        <f t="shared" si="58"/>
        <v>1576904284</v>
      </c>
    </row>
    <row r="3770" spans="1:7" x14ac:dyDescent="0.25">
      <c r="A3770">
        <v>1576904547</v>
      </c>
      <c r="B3770" t="s">
        <v>26585</v>
      </c>
      <c r="C3770">
        <v>0</v>
      </c>
      <c r="D3770">
        <v>1</v>
      </c>
      <c r="E3770">
        <v>525</v>
      </c>
      <c r="F3770">
        <v>4588</v>
      </c>
      <c r="G3770">
        <f t="shared" si="58"/>
        <v>1576904547</v>
      </c>
    </row>
    <row r="3771" spans="1:7" x14ac:dyDescent="0.25">
      <c r="A3771">
        <v>1576904608</v>
      </c>
      <c r="B3771" t="s">
        <v>26586</v>
      </c>
      <c r="C3771">
        <v>1806</v>
      </c>
      <c r="D3771">
        <v>1</v>
      </c>
      <c r="E3771">
        <v>2428</v>
      </c>
      <c r="F3771">
        <v>3165</v>
      </c>
      <c r="G3771">
        <f t="shared" si="58"/>
        <v>1576904608</v>
      </c>
    </row>
    <row r="3772" spans="1:7" x14ac:dyDescent="0.25">
      <c r="A3772">
        <v>1576905236</v>
      </c>
      <c r="B3772" t="s">
        <v>37050</v>
      </c>
      <c r="C3772">
        <v>0</v>
      </c>
      <c r="D3772">
        <v>0</v>
      </c>
      <c r="E3772">
        <v>0</v>
      </c>
      <c r="F3772">
        <v>7572</v>
      </c>
      <c r="G3772">
        <f t="shared" si="58"/>
        <v>1576905236</v>
      </c>
    </row>
    <row r="3773" spans="1:7" x14ac:dyDescent="0.25">
      <c r="A3773">
        <v>1576905713</v>
      </c>
      <c r="B3773" t="s">
        <v>26587</v>
      </c>
      <c r="C3773">
        <v>0</v>
      </c>
      <c r="D3773">
        <v>0</v>
      </c>
      <c r="E3773">
        <v>0</v>
      </c>
      <c r="F3773">
        <v>7573</v>
      </c>
      <c r="G3773">
        <f t="shared" si="58"/>
        <v>1576905713</v>
      </c>
    </row>
    <row r="3774" spans="1:7" x14ac:dyDescent="0.25">
      <c r="A3774">
        <v>1576906748</v>
      </c>
      <c r="B3774" t="s">
        <v>26588</v>
      </c>
      <c r="C3774">
        <v>0</v>
      </c>
      <c r="D3774">
        <v>0</v>
      </c>
      <c r="E3774">
        <v>0</v>
      </c>
      <c r="F3774">
        <v>7574</v>
      </c>
      <c r="G3774">
        <f t="shared" si="58"/>
        <v>1576906748</v>
      </c>
    </row>
    <row r="3775" spans="1:7" x14ac:dyDescent="0.25">
      <c r="A3775">
        <v>1576907211</v>
      </c>
      <c r="B3775" t="s">
        <v>26589</v>
      </c>
      <c r="C3775">
        <v>0</v>
      </c>
      <c r="D3775">
        <v>0</v>
      </c>
      <c r="E3775">
        <v>0</v>
      </c>
      <c r="F3775">
        <v>7575</v>
      </c>
      <c r="G3775">
        <f t="shared" si="58"/>
        <v>1576907211</v>
      </c>
    </row>
    <row r="3776" spans="1:7" x14ac:dyDescent="0.25">
      <c r="A3776">
        <v>1576907335</v>
      </c>
      <c r="B3776" t="s">
        <v>26590</v>
      </c>
      <c r="C3776">
        <v>1100</v>
      </c>
      <c r="D3776">
        <v>1</v>
      </c>
      <c r="E3776">
        <v>4801</v>
      </c>
      <c r="F3776">
        <v>2552</v>
      </c>
      <c r="G3776">
        <f t="shared" si="58"/>
        <v>1576907335</v>
      </c>
    </row>
    <row r="3777" spans="1:7" x14ac:dyDescent="0.25">
      <c r="A3777">
        <v>1576907411</v>
      </c>
      <c r="B3777" t="s">
        <v>26591</v>
      </c>
      <c r="C3777">
        <v>151</v>
      </c>
      <c r="D3777">
        <v>0</v>
      </c>
      <c r="E3777">
        <v>0</v>
      </c>
      <c r="F3777">
        <v>7576</v>
      </c>
      <c r="G3777">
        <f t="shared" ref="G3777:G3840" si="59">A3777</f>
        <v>1576907411</v>
      </c>
    </row>
    <row r="3778" spans="1:7" x14ac:dyDescent="0.25">
      <c r="A3778">
        <v>1576907900</v>
      </c>
      <c r="B3778" t="s">
        <v>26592</v>
      </c>
      <c r="C3778">
        <v>0</v>
      </c>
      <c r="D3778">
        <v>1</v>
      </c>
      <c r="E3778">
        <v>160</v>
      </c>
      <c r="F3778">
        <v>5662</v>
      </c>
      <c r="G3778">
        <f t="shared" si="59"/>
        <v>1576907900</v>
      </c>
    </row>
    <row r="3779" spans="1:7" x14ac:dyDescent="0.25">
      <c r="A3779">
        <v>1576907929</v>
      </c>
      <c r="B3779" t="s">
        <v>26593</v>
      </c>
      <c r="C3779">
        <v>1775</v>
      </c>
      <c r="D3779">
        <v>1</v>
      </c>
      <c r="E3779">
        <v>1483</v>
      </c>
      <c r="F3779">
        <v>3607</v>
      </c>
      <c r="G3779">
        <f t="shared" si="59"/>
        <v>1576907929</v>
      </c>
    </row>
    <row r="3780" spans="1:7" x14ac:dyDescent="0.25">
      <c r="A3780">
        <v>1576908234</v>
      </c>
      <c r="B3780" t="s">
        <v>26594</v>
      </c>
      <c r="C3780">
        <v>443</v>
      </c>
      <c r="D3780">
        <v>1</v>
      </c>
      <c r="E3780">
        <v>26</v>
      </c>
      <c r="F3780">
        <v>6605</v>
      </c>
      <c r="G3780">
        <f t="shared" si="59"/>
        <v>1576908234</v>
      </c>
    </row>
    <row r="3781" spans="1:7" x14ac:dyDescent="0.25">
      <c r="A3781">
        <v>1576908291</v>
      </c>
      <c r="B3781" t="s">
        <v>26595</v>
      </c>
      <c r="C3781">
        <v>0</v>
      </c>
      <c r="D3781">
        <v>1</v>
      </c>
      <c r="E3781">
        <v>144</v>
      </c>
      <c r="F3781">
        <v>5819</v>
      </c>
      <c r="G3781">
        <f t="shared" si="59"/>
        <v>1576908291</v>
      </c>
    </row>
    <row r="3782" spans="1:7" x14ac:dyDescent="0.25">
      <c r="A3782">
        <v>1576909094</v>
      </c>
      <c r="B3782" t="s">
        <v>26596</v>
      </c>
      <c r="C3782">
        <v>26</v>
      </c>
      <c r="D3782">
        <v>1</v>
      </c>
      <c r="E3782">
        <v>4735</v>
      </c>
      <c r="F3782">
        <v>2567</v>
      </c>
      <c r="G3782">
        <f t="shared" si="59"/>
        <v>1576909094</v>
      </c>
    </row>
    <row r="3783" spans="1:7" x14ac:dyDescent="0.25">
      <c r="A3783">
        <v>1576909773</v>
      </c>
      <c r="B3783" t="s">
        <v>26597</v>
      </c>
      <c r="C3783">
        <v>1503</v>
      </c>
      <c r="D3783">
        <v>5</v>
      </c>
      <c r="E3783">
        <v>16493</v>
      </c>
      <c r="F3783">
        <v>872</v>
      </c>
      <c r="G3783">
        <f t="shared" si="59"/>
        <v>1576909773</v>
      </c>
    </row>
    <row r="3784" spans="1:7" x14ac:dyDescent="0.25">
      <c r="A3784">
        <v>1576910880</v>
      </c>
      <c r="B3784" t="s">
        <v>37009</v>
      </c>
      <c r="C3784">
        <v>552</v>
      </c>
      <c r="D3784">
        <v>5</v>
      </c>
      <c r="E3784">
        <v>24684</v>
      </c>
      <c r="F3784">
        <v>409</v>
      </c>
      <c r="G3784">
        <f t="shared" si="59"/>
        <v>1576910880</v>
      </c>
    </row>
    <row r="3785" spans="1:7" x14ac:dyDescent="0.25">
      <c r="A3785">
        <v>1576911285</v>
      </c>
      <c r="B3785" t="s">
        <v>26598</v>
      </c>
      <c r="C3785">
        <v>36</v>
      </c>
      <c r="D3785">
        <v>4</v>
      </c>
      <c r="E3785">
        <v>18919</v>
      </c>
      <c r="F3785">
        <v>693</v>
      </c>
      <c r="G3785">
        <f t="shared" si="59"/>
        <v>1576911285</v>
      </c>
    </row>
    <row r="3786" spans="1:7" x14ac:dyDescent="0.25">
      <c r="A3786">
        <v>1576911683</v>
      </c>
      <c r="B3786" t="s">
        <v>26599</v>
      </c>
      <c r="C3786">
        <v>0</v>
      </c>
      <c r="D3786">
        <v>1</v>
      </c>
      <c r="E3786">
        <v>338</v>
      </c>
      <c r="F3786">
        <v>5014</v>
      </c>
      <c r="G3786">
        <f t="shared" si="59"/>
        <v>1576911683</v>
      </c>
    </row>
    <row r="3787" spans="1:7" x14ac:dyDescent="0.25">
      <c r="A3787">
        <v>1576911806</v>
      </c>
      <c r="B3787" t="s">
        <v>26600</v>
      </c>
      <c r="C3787">
        <v>333</v>
      </c>
      <c r="D3787">
        <v>2</v>
      </c>
      <c r="E3787">
        <v>9164</v>
      </c>
      <c r="F3787">
        <v>1692</v>
      </c>
      <c r="G3787">
        <f t="shared" si="59"/>
        <v>1576911806</v>
      </c>
    </row>
    <row r="3788" spans="1:7" x14ac:dyDescent="0.25">
      <c r="A3788">
        <v>1576912190</v>
      </c>
      <c r="B3788" t="s">
        <v>26601</v>
      </c>
      <c r="C3788">
        <v>0</v>
      </c>
      <c r="D3788">
        <v>0</v>
      </c>
      <c r="E3788">
        <v>0</v>
      </c>
      <c r="F3788">
        <v>7577</v>
      </c>
      <c r="G3788">
        <f t="shared" si="59"/>
        <v>1576912190</v>
      </c>
    </row>
    <row r="3789" spans="1:7" x14ac:dyDescent="0.25">
      <c r="A3789">
        <v>1576912477</v>
      </c>
      <c r="B3789" t="s">
        <v>26602</v>
      </c>
      <c r="C3789">
        <v>0</v>
      </c>
      <c r="D3789">
        <v>1</v>
      </c>
      <c r="E3789">
        <v>4395</v>
      </c>
      <c r="F3789">
        <v>2648</v>
      </c>
      <c r="G3789">
        <f t="shared" si="59"/>
        <v>1576912477</v>
      </c>
    </row>
    <row r="3790" spans="1:7" x14ac:dyDescent="0.25">
      <c r="A3790">
        <v>1576912487</v>
      </c>
      <c r="B3790" t="s">
        <v>26603</v>
      </c>
      <c r="C3790">
        <v>0</v>
      </c>
      <c r="D3790">
        <v>1</v>
      </c>
      <c r="E3790">
        <v>2024</v>
      </c>
      <c r="F3790">
        <v>3354</v>
      </c>
      <c r="G3790">
        <f t="shared" si="59"/>
        <v>1576912487</v>
      </c>
    </row>
    <row r="3791" spans="1:7" x14ac:dyDescent="0.25">
      <c r="A3791">
        <v>1576912686</v>
      </c>
      <c r="B3791" t="s">
        <v>26604</v>
      </c>
      <c r="C3791">
        <v>0</v>
      </c>
      <c r="D3791">
        <v>0</v>
      </c>
      <c r="E3791">
        <v>0</v>
      </c>
      <c r="F3791">
        <v>7578</v>
      </c>
      <c r="G3791">
        <f t="shared" si="59"/>
        <v>1576912686</v>
      </c>
    </row>
    <row r="3792" spans="1:7" x14ac:dyDescent="0.25">
      <c r="A3792">
        <v>1576913007</v>
      </c>
      <c r="B3792" t="s">
        <v>26605</v>
      </c>
      <c r="C3792">
        <v>10</v>
      </c>
      <c r="D3792">
        <v>1</v>
      </c>
      <c r="E3792">
        <v>1775</v>
      </c>
      <c r="F3792">
        <v>3498</v>
      </c>
      <c r="G3792">
        <f t="shared" si="59"/>
        <v>1576913007</v>
      </c>
    </row>
    <row r="3793" spans="1:7" x14ac:dyDescent="0.25">
      <c r="A3793">
        <v>1576913108</v>
      </c>
      <c r="B3793" t="s">
        <v>26606</v>
      </c>
      <c r="C3793">
        <v>152</v>
      </c>
      <c r="D3793">
        <v>7</v>
      </c>
      <c r="E3793">
        <v>30770</v>
      </c>
      <c r="F3793">
        <v>231</v>
      </c>
      <c r="G3793">
        <f t="shared" si="59"/>
        <v>1576913108</v>
      </c>
    </row>
    <row r="3794" spans="1:7" x14ac:dyDescent="0.25">
      <c r="A3794">
        <v>1576913376</v>
      </c>
      <c r="B3794" t="s">
        <v>26607</v>
      </c>
      <c r="C3794">
        <v>0</v>
      </c>
      <c r="D3794">
        <v>1</v>
      </c>
      <c r="E3794">
        <v>471</v>
      </c>
      <c r="F3794">
        <v>4696</v>
      </c>
      <c r="G3794">
        <f t="shared" si="59"/>
        <v>1576913376</v>
      </c>
    </row>
    <row r="3795" spans="1:7" x14ac:dyDescent="0.25">
      <c r="A3795">
        <v>1576913840</v>
      </c>
      <c r="B3795" t="s">
        <v>26608</v>
      </c>
      <c r="C3795">
        <v>0</v>
      </c>
      <c r="D3795">
        <v>0</v>
      </c>
      <c r="E3795">
        <v>0</v>
      </c>
      <c r="F3795">
        <v>7579</v>
      </c>
      <c r="G3795">
        <f t="shared" si="59"/>
        <v>1576913840</v>
      </c>
    </row>
    <row r="3796" spans="1:7" x14ac:dyDescent="0.25">
      <c r="A3796">
        <v>1576913881</v>
      </c>
      <c r="B3796" t="s">
        <v>26609</v>
      </c>
      <c r="C3796">
        <v>422</v>
      </c>
      <c r="D3796">
        <v>2</v>
      </c>
      <c r="E3796">
        <v>12667</v>
      </c>
      <c r="F3796">
        <v>1215</v>
      </c>
      <c r="G3796">
        <f t="shared" si="59"/>
        <v>1576913881</v>
      </c>
    </row>
    <row r="3797" spans="1:7" x14ac:dyDescent="0.25">
      <c r="A3797">
        <v>1576914053</v>
      </c>
      <c r="B3797" t="s">
        <v>26610</v>
      </c>
      <c r="C3797">
        <v>0</v>
      </c>
      <c r="D3797">
        <v>0</v>
      </c>
      <c r="E3797">
        <v>0</v>
      </c>
      <c r="F3797">
        <v>7580</v>
      </c>
      <c r="G3797">
        <f t="shared" si="59"/>
        <v>1576914053</v>
      </c>
    </row>
    <row r="3798" spans="1:7" x14ac:dyDescent="0.25">
      <c r="A3798">
        <v>1576914417</v>
      </c>
      <c r="B3798" t="s">
        <v>26611</v>
      </c>
      <c r="C3798">
        <v>189</v>
      </c>
      <c r="D3798">
        <v>6</v>
      </c>
      <c r="E3798">
        <v>17991</v>
      </c>
      <c r="F3798">
        <v>755</v>
      </c>
      <c r="G3798">
        <f t="shared" si="59"/>
        <v>1576914417</v>
      </c>
    </row>
    <row r="3799" spans="1:7" x14ac:dyDescent="0.25">
      <c r="A3799">
        <v>1576914597</v>
      </c>
      <c r="B3799" t="s">
        <v>26612</v>
      </c>
      <c r="C3799">
        <v>47</v>
      </c>
      <c r="D3799">
        <v>4</v>
      </c>
      <c r="E3799">
        <v>16364</v>
      </c>
      <c r="F3799">
        <v>893</v>
      </c>
      <c r="G3799">
        <f t="shared" si="59"/>
        <v>1576914597</v>
      </c>
    </row>
    <row r="3800" spans="1:7" x14ac:dyDescent="0.25">
      <c r="A3800">
        <v>1576915020</v>
      </c>
      <c r="B3800" t="s">
        <v>26613</v>
      </c>
      <c r="C3800">
        <v>0</v>
      </c>
      <c r="D3800">
        <v>0</v>
      </c>
      <c r="E3800">
        <v>0</v>
      </c>
      <c r="F3800">
        <v>7581</v>
      </c>
      <c r="G3800">
        <f t="shared" si="59"/>
        <v>1576915020</v>
      </c>
    </row>
    <row r="3801" spans="1:7" x14ac:dyDescent="0.25">
      <c r="A3801">
        <v>1576915148</v>
      </c>
      <c r="B3801" t="s">
        <v>26614</v>
      </c>
      <c r="C3801">
        <v>625</v>
      </c>
      <c r="D3801">
        <v>4</v>
      </c>
      <c r="E3801">
        <v>18382</v>
      </c>
      <c r="F3801">
        <v>724</v>
      </c>
      <c r="G3801">
        <f t="shared" si="59"/>
        <v>1576915148</v>
      </c>
    </row>
    <row r="3802" spans="1:7" x14ac:dyDescent="0.25">
      <c r="A3802">
        <v>1576915415</v>
      </c>
      <c r="B3802" t="s">
        <v>26615</v>
      </c>
      <c r="C3802">
        <v>0</v>
      </c>
      <c r="D3802">
        <v>0</v>
      </c>
      <c r="E3802">
        <v>0</v>
      </c>
      <c r="F3802">
        <v>7582</v>
      </c>
      <c r="G3802">
        <f t="shared" si="59"/>
        <v>1576915415</v>
      </c>
    </row>
    <row r="3803" spans="1:7" x14ac:dyDescent="0.25">
      <c r="A3803">
        <v>1576915527</v>
      </c>
      <c r="B3803" t="s">
        <v>26616</v>
      </c>
      <c r="C3803">
        <v>0</v>
      </c>
      <c r="D3803">
        <v>0</v>
      </c>
      <c r="E3803">
        <v>0</v>
      </c>
      <c r="F3803">
        <v>7583</v>
      </c>
      <c r="G3803">
        <f t="shared" si="59"/>
        <v>1576915527</v>
      </c>
    </row>
    <row r="3804" spans="1:7" x14ac:dyDescent="0.25">
      <c r="A3804">
        <v>1576915785</v>
      </c>
      <c r="B3804" t="s">
        <v>26617</v>
      </c>
      <c r="C3804">
        <v>278</v>
      </c>
      <c r="D3804">
        <v>1</v>
      </c>
      <c r="E3804">
        <v>77</v>
      </c>
      <c r="F3804">
        <v>6055</v>
      </c>
      <c r="G3804">
        <f t="shared" si="59"/>
        <v>1576915785</v>
      </c>
    </row>
    <row r="3805" spans="1:7" x14ac:dyDescent="0.25">
      <c r="A3805">
        <v>1576915896</v>
      </c>
      <c r="B3805" t="s">
        <v>26618</v>
      </c>
      <c r="C3805">
        <v>0</v>
      </c>
      <c r="D3805">
        <v>1</v>
      </c>
      <c r="E3805">
        <v>127</v>
      </c>
      <c r="F3805">
        <v>5768</v>
      </c>
      <c r="G3805">
        <f t="shared" si="59"/>
        <v>1576915896</v>
      </c>
    </row>
    <row r="3806" spans="1:7" x14ac:dyDescent="0.25">
      <c r="A3806">
        <v>1576916284</v>
      </c>
      <c r="B3806" t="s">
        <v>26619</v>
      </c>
      <c r="C3806">
        <v>0</v>
      </c>
      <c r="D3806">
        <v>0</v>
      </c>
      <c r="E3806">
        <v>0</v>
      </c>
      <c r="F3806">
        <v>7584</v>
      </c>
      <c r="G3806">
        <f t="shared" si="59"/>
        <v>1576916284</v>
      </c>
    </row>
    <row r="3807" spans="1:7" x14ac:dyDescent="0.25">
      <c r="A3807">
        <v>1576916314</v>
      </c>
      <c r="B3807" t="s">
        <v>26620</v>
      </c>
      <c r="C3807">
        <v>1226</v>
      </c>
      <c r="D3807">
        <v>1</v>
      </c>
      <c r="E3807">
        <v>5773</v>
      </c>
      <c r="F3807">
        <v>2331</v>
      </c>
      <c r="G3807">
        <f t="shared" si="59"/>
        <v>1576916314</v>
      </c>
    </row>
    <row r="3808" spans="1:7" x14ac:dyDescent="0.25">
      <c r="A3808">
        <v>1576916587</v>
      </c>
      <c r="B3808" t="s">
        <v>36491</v>
      </c>
      <c r="C3808">
        <v>190</v>
      </c>
      <c r="D3808">
        <v>0</v>
      </c>
      <c r="E3808">
        <v>0</v>
      </c>
      <c r="F3808">
        <v>7585</v>
      </c>
      <c r="G3808">
        <f t="shared" si="59"/>
        <v>1576916587</v>
      </c>
    </row>
    <row r="3809" spans="1:7" x14ac:dyDescent="0.25">
      <c r="A3809">
        <v>1576916652</v>
      </c>
      <c r="B3809" t="s">
        <v>26621</v>
      </c>
      <c r="C3809">
        <v>23</v>
      </c>
      <c r="D3809">
        <v>2</v>
      </c>
      <c r="E3809">
        <v>11848</v>
      </c>
      <c r="F3809">
        <v>1301</v>
      </c>
      <c r="G3809">
        <f t="shared" si="59"/>
        <v>1576916652</v>
      </c>
    </row>
    <row r="3810" spans="1:7" x14ac:dyDescent="0.25">
      <c r="A3810">
        <v>1576916694</v>
      </c>
      <c r="B3810" t="s">
        <v>26622</v>
      </c>
      <c r="C3810">
        <v>1651</v>
      </c>
      <c r="D3810">
        <v>1</v>
      </c>
      <c r="E3810">
        <v>1689</v>
      </c>
      <c r="F3810">
        <v>3502</v>
      </c>
      <c r="G3810">
        <f t="shared" si="59"/>
        <v>1576916694</v>
      </c>
    </row>
    <row r="3811" spans="1:7" x14ac:dyDescent="0.25">
      <c r="A3811">
        <v>1576917303</v>
      </c>
      <c r="B3811" t="s">
        <v>36492</v>
      </c>
      <c r="C3811">
        <v>47</v>
      </c>
      <c r="D3811">
        <v>5</v>
      </c>
      <c r="E3811">
        <v>18930</v>
      </c>
      <c r="F3811">
        <v>690</v>
      </c>
      <c r="G3811">
        <f t="shared" si="59"/>
        <v>1576917303</v>
      </c>
    </row>
    <row r="3812" spans="1:7" x14ac:dyDescent="0.25">
      <c r="A3812">
        <v>1576917322</v>
      </c>
      <c r="B3812" t="s">
        <v>36493</v>
      </c>
      <c r="C3812">
        <v>0</v>
      </c>
      <c r="D3812">
        <v>1</v>
      </c>
      <c r="E3812">
        <v>3872</v>
      </c>
      <c r="F3812">
        <v>2793</v>
      </c>
      <c r="G3812">
        <f t="shared" si="59"/>
        <v>1576917322</v>
      </c>
    </row>
    <row r="3813" spans="1:7" x14ac:dyDescent="0.25">
      <c r="A3813">
        <v>1576917406</v>
      </c>
      <c r="B3813" t="s">
        <v>26623</v>
      </c>
      <c r="C3813">
        <v>25</v>
      </c>
      <c r="D3813">
        <v>2</v>
      </c>
      <c r="E3813">
        <v>13234</v>
      </c>
      <c r="F3813">
        <v>1147</v>
      </c>
      <c r="G3813">
        <f t="shared" si="59"/>
        <v>1576917406</v>
      </c>
    </row>
    <row r="3814" spans="1:7" x14ac:dyDescent="0.25">
      <c r="A3814">
        <v>1576917479</v>
      </c>
      <c r="B3814" t="s">
        <v>26624</v>
      </c>
      <c r="C3814">
        <v>1669</v>
      </c>
      <c r="D3814">
        <v>0</v>
      </c>
      <c r="E3814">
        <v>0</v>
      </c>
      <c r="F3814">
        <v>7586</v>
      </c>
      <c r="G3814">
        <f t="shared" si="59"/>
        <v>1576917479</v>
      </c>
    </row>
    <row r="3815" spans="1:7" x14ac:dyDescent="0.25">
      <c r="A3815">
        <v>1576917638</v>
      </c>
      <c r="B3815" t="s">
        <v>36494</v>
      </c>
      <c r="C3815">
        <v>1954</v>
      </c>
      <c r="D3815">
        <v>1</v>
      </c>
      <c r="E3815">
        <v>316</v>
      </c>
      <c r="F3815">
        <v>5100</v>
      </c>
      <c r="G3815">
        <f t="shared" si="59"/>
        <v>1576917638</v>
      </c>
    </row>
    <row r="3816" spans="1:7" x14ac:dyDescent="0.25">
      <c r="A3816">
        <v>1576917766</v>
      </c>
      <c r="B3816" t="s">
        <v>26625</v>
      </c>
      <c r="C3816">
        <v>0</v>
      </c>
      <c r="D3816">
        <v>0</v>
      </c>
      <c r="E3816">
        <v>0</v>
      </c>
      <c r="F3816">
        <v>7587</v>
      </c>
      <c r="G3816">
        <f t="shared" si="59"/>
        <v>1576917766</v>
      </c>
    </row>
    <row r="3817" spans="1:7" x14ac:dyDescent="0.25">
      <c r="A3817">
        <v>1576917801</v>
      </c>
      <c r="B3817" t="s">
        <v>26626</v>
      </c>
      <c r="C3817">
        <v>2010</v>
      </c>
      <c r="D3817">
        <v>1</v>
      </c>
      <c r="E3817">
        <v>1647</v>
      </c>
      <c r="F3817">
        <v>3529</v>
      </c>
      <c r="G3817">
        <f t="shared" si="59"/>
        <v>1576917801</v>
      </c>
    </row>
    <row r="3818" spans="1:7" x14ac:dyDescent="0.25">
      <c r="A3818">
        <v>1576918595</v>
      </c>
      <c r="B3818" t="s">
        <v>26627</v>
      </c>
      <c r="C3818">
        <v>274</v>
      </c>
      <c r="D3818">
        <v>1</v>
      </c>
      <c r="E3818">
        <v>1795</v>
      </c>
      <c r="F3818">
        <v>3474</v>
      </c>
      <c r="G3818">
        <f t="shared" si="59"/>
        <v>1576918595</v>
      </c>
    </row>
    <row r="3819" spans="1:7" x14ac:dyDescent="0.25">
      <c r="A3819">
        <v>1576918886</v>
      </c>
      <c r="B3819" t="s">
        <v>1092</v>
      </c>
      <c r="C3819">
        <v>4</v>
      </c>
      <c r="D3819">
        <v>6</v>
      </c>
      <c r="E3819">
        <v>32459</v>
      </c>
      <c r="F3819">
        <v>198</v>
      </c>
      <c r="G3819">
        <f t="shared" si="59"/>
        <v>1576918886</v>
      </c>
    </row>
    <row r="3820" spans="1:7" x14ac:dyDescent="0.25">
      <c r="A3820">
        <v>1576919517</v>
      </c>
      <c r="B3820" t="s">
        <v>26628</v>
      </c>
      <c r="C3820">
        <v>0</v>
      </c>
      <c r="D3820">
        <v>1</v>
      </c>
      <c r="E3820">
        <v>120</v>
      </c>
      <c r="F3820">
        <v>5788</v>
      </c>
      <c r="G3820">
        <f t="shared" si="59"/>
        <v>1576919517</v>
      </c>
    </row>
    <row r="3821" spans="1:7" x14ac:dyDescent="0.25">
      <c r="A3821">
        <v>1576919878</v>
      </c>
      <c r="B3821" t="s">
        <v>26629</v>
      </c>
      <c r="C3821">
        <v>1858</v>
      </c>
      <c r="D3821">
        <v>1</v>
      </c>
      <c r="E3821">
        <v>1412</v>
      </c>
      <c r="F3821">
        <v>3648</v>
      </c>
      <c r="G3821">
        <f t="shared" si="59"/>
        <v>1576919878</v>
      </c>
    </row>
    <row r="3822" spans="1:7" x14ac:dyDescent="0.25">
      <c r="A3822">
        <v>1576920052</v>
      </c>
      <c r="B3822" t="s">
        <v>26630</v>
      </c>
      <c r="C3822">
        <v>1100</v>
      </c>
      <c r="D3822">
        <v>2</v>
      </c>
      <c r="E3822">
        <v>9115</v>
      </c>
      <c r="F3822">
        <v>1700</v>
      </c>
      <c r="G3822">
        <f t="shared" si="59"/>
        <v>1576920052</v>
      </c>
    </row>
    <row r="3823" spans="1:7" x14ac:dyDescent="0.25">
      <c r="A3823">
        <v>1576920105</v>
      </c>
      <c r="B3823" t="s">
        <v>26631</v>
      </c>
      <c r="C3823">
        <v>1800</v>
      </c>
      <c r="D3823">
        <v>1</v>
      </c>
      <c r="E3823">
        <v>226</v>
      </c>
      <c r="F3823">
        <v>5405</v>
      </c>
      <c r="G3823">
        <f t="shared" si="59"/>
        <v>1576920105</v>
      </c>
    </row>
    <row r="3824" spans="1:7" x14ac:dyDescent="0.25">
      <c r="A3824">
        <v>1576920379</v>
      </c>
      <c r="B3824" t="s">
        <v>26632</v>
      </c>
      <c r="C3824">
        <v>271</v>
      </c>
      <c r="D3824">
        <v>4</v>
      </c>
      <c r="E3824">
        <v>18093</v>
      </c>
      <c r="F3824">
        <v>748</v>
      </c>
      <c r="G3824">
        <f t="shared" si="59"/>
        <v>1576920379</v>
      </c>
    </row>
    <row r="3825" spans="1:7" x14ac:dyDescent="0.25">
      <c r="A3825">
        <v>1576920398</v>
      </c>
      <c r="B3825" t="s">
        <v>26633</v>
      </c>
      <c r="C3825">
        <v>1885</v>
      </c>
      <c r="D3825">
        <v>1</v>
      </c>
      <c r="E3825">
        <v>1342</v>
      </c>
      <c r="F3825">
        <v>3696</v>
      </c>
      <c r="G3825">
        <f t="shared" si="59"/>
        <v>1576920398</v>
      </c>
    </row>
    <row r="3826" spans="1:7" x14ac:dyDescent="0.25">
      <c r="A3826">
        <v>1576920415</v>
      </c>
      <c r="B3826" t="s">
        <v>26634</v>
      </c>
      <c r="C3826">
        <v>0</v>
      </c>
      <c r="D3826">
        <v>1</v>
      </c>
      <c r="E3826">
        <v>277</v>
      </c>
      <c r="F3826">
        <v>5226</v>
      </c>
      <c r="G3826">
        <f t="shared" si="59"/>
        <v>1576920415</v>
      </c>
    </row>
    <row r="3827" spans="1:7" x14ac:dyDescent="0.25">
      <c r="A3827">
        <v>1576920968</v>
      </c>
      <c r="B3827" t="s">
        <v>26635</v>
      </c>
      <c r="C3827">
        <v>175</v>
      </c>
      <c r="D3827">
        <v>3</v>
      </c>
      <c r="E3827">
        <v>16123</v>
      </c>
      <c r="F3827">
        <v>900</v>
      </c>
      <c r="G3827">
        <f t="shared" si="59"/>
        <v>1576920968</v>
      </c>
    </row>
    <row r="3828" spans="1:7" x14ac:dyDescent="0.25">
      <c r="A3828">
        <v>1576921320</v>
      </c>
      <c r="B3828" t="s">
        <v>26636</v>
      </c>
      <c r="C3828">
        <v>0</v>
      </c>
      <c r="D3828">
        <v>0</v>
      </c>
      <c r="E3828">
        <v>0</v>
      </c>
      <c r="F3828">
        <v>7588</v>
      </c>
      <c r="G3828">
        <f t="shared" si="59"/>
        <v>1576921320</v>
      </c>
    </row>
    <row r="3829" spans="1:7" x14ac:dyDescent="0.25">
      <c r="A3829">
        <v>1576921880</v>
      </c>
      <c r="B3829" t="s">
        <v>26637</v>
      </c>
      <c r="C3829">
        <v>1576</v>
      </c>
      <c r="D3829">
        <v>1</v>
      </c>
      <c r="E3829">
        <v>212</v>
      </c>
      <c r="F3829">
        <v>5457</v>
      </c>
      <c r="G3829">
        <f t="shared" si="59"/>
        <v>1576921880</v>
      </c>
    </row>
    <row r="3830" spans="1:7" x14ac:dyDescent="0.25">
      <c r="A3830">
        <v>1576922370</v>
      </c>
      <c r="B3830" t="s">
        <v>26638</v>
      </c>
      <c r="C3830">
        <v>0</v>
      </c>
      <c r="D3830">
        <v>1</v>
      </c>
      <c r="E3830">
        <v>5174</v>
      </c>
      <c r="F3830">
        <v>2474</v>
      </c>
      <c r="G3830">
        <f t="shared" si="59"/>
        <v>1576922370</v>
      </c>
    </row>
    <row r="3831" spans="1:7" x14ac:dyDescent="0.25">
      <c r="A3831">
        <v>1576923004</v>
      </c>
      <c r="B3831" t="s">
        <v>26639</v>
      </c>
      <c r="C3831">
        <v>1688</v>
      </c>
      <c r="D3831">
        <v>7</v>
      </c>
      <c r="E3831">
        <v>36178</v>
      </c>
      <c r="F3831">
        <v>136</v>
      </c>
      <c r="G3831">
        <f t="shared" si="59"/>
        <v>1576923004</v>
      </c>
    </row>
    <row r="3832" spans="1:7" x14ac:dyDescent="0.25">
      <c r="A3832">
        <v>1576923338</v>
      </c>
      <c r="B3832" t="s">
        <v>26640</v>
      </c>
      <c r="C3832">
        <v>0</v>
      </c>
      <c r="D3832">
        <v>1</v>
      </c>
      <c r="E3832">
        <v>1410</v>
      </c>
      <c r="F3832">
        <v>3649</v>
      </c>
      <c r="G3832">
        <f t="shared" si="59"/>
        <v>1576923338</v>
      </c>
    </row>
    <row r="3833" spans="1:7" x14ac:dyDescent="0.25">
      <c r="A3833">
        <v>1576923998</v>
      </c>
      <c r="B3833" t="s">
        <v>26641</v>
      </c>
      <c r="C3833">
        <v>0</v>
      </c>
      <c r="D3833">
        <v>0</v>
      </c>
      <c r="E3833">
        <v>0</v>
      </c>
      <c r="F3833">
        <v>7589</v>
      </c>
      <c r="G3833">
        <f t="shared" si="59"/>
        <v>1576923998</v>
      </c>
    </row>
    <row r="3834" spans="1:7" x14ac:dyDescent="0.25">
      <c r="A3834">
        <v>1576924132</v>
      </c>
      <c r="B3834" t="s">
        <v>36495</v>
      </c>
      <c r="C3834">
        <v>1895</v>
      </c>
      <c r="D3834">
        <v>1</v>
      </c>
      <c r="E3834">
        <v>1137</v>
      </c>
      <c r="F3834">
        <v>3843</v>
      </c>
      <c r="G3834">
        <f t="shared" si="59"/>
        <v>1576924132</v>
      </c>
    </row>
    <row r="3835" spans="1:7" x14ac:dyDescent="0.25">
      <c r="A3835">
        <v>1576924717</v>
      </c>
      <c r="B3835" t="s">
        <v>26642</v>
      </c>
      <c r="C3835">
        <v>174</v>
      </c>
      <c r="D3835">
        <v>2</v>
      </c>
      <c r="E3835">
        <v>11179</v>
      </c>
      <c r="F3835">
        <v>1401</v>
      </c>
      <c r="G3835">
        <f t="shared" si="59"/>
        <v>1576924717</v>
      </c>
    </row>
    <row r="3836" spans="1:7" x14ac:dyDescent="0.25">
      <c r="A3836">
        <v>1576925641</v>
      </c>
      <c r="B3836" t="s">
        <v>36496</v>
      </c>
      <c r="C3836">
        <v>0</v>
      </c>
      <c r="D3836">
        <v>3</v>
      </c>
      <c r="E3836">
        <v>3817</v>
      </c>
      <c r="F3836">
        <v>2807</v>
      </c>
      <c r="G3836">
        <f t="shared" si="59"/>
        <v>1576925641</v>
      </c>
    </row>
    <row r="3837" spans="1:7" x14ac:dyDescent="0.25">
      <c r="A3837">
        <v>1576925899</v>
      </c>
      <c r="B3837" t="s">
        <v>26643</v>
      </c>
      <c r="C3837">
        <v>0</v>
      </c>
      <c r="D3837">
        <v>1</v>
      </c>
      <c r="E3837">
        <v>504</v>
      </c>
      <c r="F3837">
        <v>4625</v>
      </c>
      <c r="G3837">
        <f t="shared" si="59"/>
        <v>1576925899</v>
      </c>
    </row>
    <row r="3838" spans="1:7" x14ac:dyDescent="0.25">
      <c r="A3838">
        <v>1576925969</v>
      </c>
      <c r="B3838" t="s">
        <v>26644</v>
      </c>
      <c r="C3838">
        <v>1691</v>
      </c>
      <c r="D3838">
        <v>1</v>
      </c>
      <c r="E3838">
        <v>667</v>
      </c>
      <c r="F3838">
        <v>4397</v>
      </c>
      <c r="G3838">
        <f t="shared" si="59"/>
        <v>1576925969</v>
      </c>
    </row>
    <row r="3839" spans="1:7" x14ac:dyDescent="0.25">
      <c r="A3839">
        <v>1576926379</v>
      </c>
      <c r="B3839" t="s">
        <v>36497</v>
      </c>
      <c r="C3839">
        <v>638</v>
      </c>
      <c r="D3839">
        <v>1</v>
      </c>
      <c r="E3839">
        <v>4273</v>
      </c>
      <c r="F3839">
        <v>2693</v>
      </c>
      <c r="G3839">
        <f t="shared" si="59"/>
        <v>1576926379</v>
      </c>
    </row>
    <row r="3840" spans="1:7" x14ac:dyDescent="0.25">
      <c r="A3840">
        <v>1576926576</v>
      </c>
      <c r="B3840" t="s">
        <v>37010</v>
      </c>
      <c r="C3840">
        <v>274</v>
      </c>
      <c r="D3840">
        <v>6</v>
      </c>
      <c r="E3840">
        <v>19211</v>
      </c>
      <c r="F3840">
        <v>671</v>
      </c>
      <c r="G3840">
        <f t="shared" si="59"/>
        <v>1576926576</v>
      </c>
    </row>
    <row r="3841" spans="1:7" x14ac:dyDescent="0.25">
      <c r="A3841">
        <v>1576926973</v>
      </c>
      <c r="B3841" t="s">
        <v>37306</v>
      </c>
      <c r="C3841">
        <v>39</v>
      </c>
      <c r="D3841">
        <v>2</v>
      </c>
      <c r="E3841">
        <v>9745</v>
      </c>
      <c r="F3841">
        <v>1598</v>
      </c>
      <c r="G3841">
        <f t="shared" ref="G3841:G3904" si="60">A3841</f>
        <v>1576926973</v>
      </c>
    </row>
    <row r="3842" spans="1:7" x14ac:dyDescent="0.25">
      <c r="A3842">
        <v>1576927017</v>
      </c>
      <c r="B3842" t="s">
        <v>26645</v>
      </c>
      <c r="C3842">
        <v>0</v>
      </c>
      <c r="D3842">
        <v>1</v>
      </c>
      <c r="E3842">
        <v>72</v>
      </c>
      <c r="F3842">
        <v>6050</v>
      </c>
      <c r="G3842">
        <f t="shared" si="60"/>
        <v>1576927017</v>
      </c>
    </row>
    <row r="3843" spans="1:7" x14ac:dyDescent="0.25">
      <c r="A3843">
        <v>1576927155</v>
      </c>
      <c r="B3843" t="s">
        <v>36498</v>
      </c>
      <c r="C3843">
        <v>1708</v>
      </c>
      <c r="D3843">
        <v>1</v>
      </c>
      <c r="E3843">
        <v>2296</v>
      </c>
      <c r="F3843">
        <v>3213</v>
      </c>
      <c r="G3843">
        <f t="shared" si="60"/>
        <v>1576927155</v>
      </c>
    </row>
    <row r="3844" spans="1:7" x14ac:dyDescent="0.25">
      <c r="A3844">
        <v>1576927186</v>
      </c>
      <c r="B3844" t="s">
        <v>26646</v>
      </c>
      <c r="C3844">
        <v>413</v>
      </c>
      <c r="D3844">
        <v>2</v>
      </c>
      <c r="E3844">
        <v>10055</v>
      </c>
      <c r="F3844">
        <v>1560</v>
      </c>
      <c r="G3844">
        <f t="shared" si="60"/>
        <v>1576927186</v>
      </c>
    </row>
    <row r="3845" spans="1:7" x14ac:dyDescent="0.25">
      <c r="A3845">
        <v>1576927196</v>
      </c>
      <c r="B3845" t="s">
        <v>26647</v>
      </c>
      <c r="C3845">
        <v>0</v>
      </c>
      <c r="D3845">
        <v>1</v>
      </c>
      <c r="E3845">
        <v>174</v>
      </c>
      <c r="F3845">
        <v>5603</v>
      </c>
      <c r="G3845">
        <f t="shared" si="60"/>
        <v>1576927196</v>
      </c>
    </row>
    <row r="3846" spans="1:7" x14ac:dyDescent="0.25">
      <c r="A3846">
        <v>1576927352</v>
      </c>
      <c r="B3846" t="s">
        <v>26648</v>
      </c>
      <c r="C3846">
        <v>215</v>
      </c>
      <c r="D3846">
        <v>2</v>
      </c>
      <c r="E3846">
        <v>10562</v>
      </c>
      <c r="F3846">
        <v>1485</v>
      </c>
      <c r="G3846">
        <f t="shared" si="60"/>
        <v>1576927352</v>
      </c>
    </row>
    <row r="3847" spans="1:7" x14ac:dyDescent="0.25">
      <c r="A3847">
        <v>1576927679</v>
      </c>
      <c r="B3847" t="s">
        <v>36499</v>
      </c>
      <c r="C3847">
        <v>0</v>
      </c>
      <c r="D3847">
        <v>1</v>
      </c>
      <c r="E3847">
        <v>150</v>
      </c>
      <c r="F3847">
        <v>5700</v>
      </c>
      <c r="G3847">
        <f t="shared" si="60"/>
        <v>1576927679</v>
      </c>
    </row>
    <row r="3848" spans="1:7" x14ac:dyDescent="0.25">
      <c r="A3848">
        <v>1576928335</v>
      </c>
      <c r="B3848" t="s">
        <v>26649</v>
      </c>
      <c r="C3848">
        <v>0</v>
      </c>
      <c r="D3848">
        <v>1</v>
      </c>
      <c r="E3848">
        <v>52</v>
      </c>
      <c r="F3848">
        <v>6151</v>
      </c>
      <c r="G3848">
        <f t="shared" si="60"/>
        <v>1576928335</v>
      </c>
    </row>
    <row r="3849" spans="1:7" x14ac:dyDescent="0.25">
      <c r="A3849">
        <v>1576928840</v>
      </c>
      <c r="B3849" t="s">
        <v>26650</v>
      </c>
      <c r="C3849">
        <v>0</v>
      </c>
      <c r="D3849">
        <v>1</v>
      </c>
      <c r="E3849">
        <v>87</v>
      </c>
      <c r="F3849">
        <v>5923</v>
      </c>
      <c r="G3849">
        <f t="shared" si="60"/>
        <v>1576928840</v>
      </c>
    </row>
    <row r="3850" spans="1:7" x14ac:dyDescent="0.25">
      <c r="A3850">
        <v>1576928876</v>
      </c>
      <c r="B3850" t="s">
        <v>26651</v>
      </c>
      <c r="C3850">
        <v>1689</v>
      </c>
      <c r="D3850">
        <v>2</v>
      </c>
      <c r="E3850">
        <v>7117</v>
      </c>
      <c r="F3850">
        <v>2046</v>
      </c>
      <c r="G3850">
        <f t="shared" si="60"/>
        <v>1576928876</v>
      </c>
    </row>
    <row r="3851" spans="1:7" x14ac:dyDescent="0.25">
      <c r="A3851">
        <v>1576929151</v>
      </c>
      <c r="B3851" t="s">
        <v>26652</v>
      </c>
      <c r="C3851">
        <v>0</v>
      </c>
      <c r="D3851">
        <v>1</v>
      </c>
      <c r="E3851">
        <v>85</v>
      </c>
      <c r="F3851">
        <v>5936</v>
      </c>
      <c r="G3851">
        <f t="shared" si="60"/>
        <v>1576929151</v>
      </c>
    </row>
    <row r="3852" spans="1:7" x14ac:dyDescent="0.25">
      <c r="A3852">
        <v>1576929269</v>
      </c>
      <c r="B3852" t="s">
        <v>37307</v>
      </c>
      <c r="C3852">
        <v>0</v>
      </c>
      <c r="D3852">
        <v>1</v>
      </c>
      <c r="E3852">
        <v>68</v>
      </c>
      <c r="F3852">
        <v>6076</v>
      </c>
      <c r="G3852">
        <f t="shared" si="60"/>
        <v>1576929269</v>
      </c>
    </row>
    <row r="3853" spans="1:7" x14ac:dyDescent="0.25">
      <c r="A3853">
        <v>1576929967</v>
      </c>
      <c r="B3853" t="s">
        <v>26653</v>
      </c>
      <c r="C3853">
        <v>1914</v>
      </c>
      <c r="D3853">
        <v>1</v>
      </c>
      <c r="E3853">
        <v>380</v>
      </c>
      <c r="F3853">
        <v>4903</v>
      </c>
      <c r="G3853">
        <f t="shared" si="60"/>
        <v>1576929967</v>
      </c>
    </row>
    <row r="3854" spans="1:7" x14ac:dyDescent="0.25">
      <c r="A3854">
        <v>1576930311</v>
      </c>
      <c r="B3854" t="s">
        <v>26654</v>
      </c>
      <c r="C3854">
        <v>0</v>
      </c>
      <c r="D3854">
        <v>1</v>
      </c>
      <c r="E3854">
        <v>26</v>
      </c>
      <c r="F3854">
        <v>6606</v>
      </c>
      <c r="G3854">
        <f t="shared" si="60"/>
        <v>1576930311</v>
      </c>
    </row>
    <row r="3855" spans="1:7" x14ac:dyDescent="0.25">
      <c r="A3855">
        <v>1576930724</v>
      </c>
      <c r="B3855" t="s">
        <v>26655</v>
      </c>
      <c r="C3855">
        <v>0</v>
      </c>
      <c r="D3855">
        <v>0</v>
      </c>
      <c r="E3855">
        <v>0</v>
      </c>
      <c r="F3855">
        <v>7590</v>
      </c>
      <c r="G3855">
        <f t="shared" si="60"/>
        <v>1576930724</v>
      </c>
    </row>
    <row r="3856" spans="1:7" x14ac:dyDescent="0.25">
      <c r="A3856">
        <v>1576931635</v>
      </c>
      <c r="B3856" t="s">
        <v>26656</v>
      </c>
      <c r="C3856">
        <v>15</v>
      </c>
      <c r="D3856">
        <v>1</v>
      </c>
      <c r="E3856">
        <v>550</v>
      </c>
      <c r="F3856">
        <v>4550</v>
      </c>
      <c r="G3856">
        <f t="shared" si="60"/>
        <v>1576931635</v>
      </c>
    </row>
    <row r="3857" spans="1:7" x14ac:dyDescent="0.25">
      <c r="A3857">
        <v>1576931851</v>
      </c>
      <c r="B3857" t="s">
        <v>26657</v>
      </c>
      <c r="C3857">
        <v>0</v>
      </c>
      <c r="D3857">
        <v>0</v>
      </c>
      <c r="E3857">
        <v>0</v>
      </c>
      <c r="F3857">
        <v>7591</v>
      </c>
      <c r="G3857">
        <f t="shared" si="60"/>
        <v>1576931851</v>
      </c>
    </row>
    <row r="3858" spans="1:7" x14ac:dyDescent="0.25">
      <c r="A3858">
        <v>1576931907</v>
      </c>
      <c r="B3858" t="s">
        <v>26658</v>
      </c>
      <c r="C3858">
        <v>0</v>
      </c>
      <c r="D3858">
        <v>1</v>
      </c>
      <c r="E3858">
        <v>26</v>
      </c>
      <c r="F3858">
        <v>6607</v>
      </c>
      <c r="G3858">
        <f t="shared" si="60"/>
        <v>1576931907</v>
      </c>
    </row>
    <row r="3859" spans="1:7" x14ac:dyDescent="0.25">
      <c r="A3859">
        <v>1576932272</v>
      </c>
      <c r="B3859" t="s">
        <v>36500</v>
      </c>
      <c r="C3859">
        <v>1867</v>
      </c>
      <c r="D3859">
        <v>1</v>
      </c>
      <c r="E3859">
        <v>833</v>
      </c>
      <c r="F3859">
        <v>4152</v>
      </c>
      <c r="G3859">
        <f t="shared" si="60"/>
        <v>1576932272</v>
      </c>
    </row>
    <row r="3860" spans="1:7" x14ac:dyDescent="0.25">
      <c r="A3860">
        <v>1576932540</v>
      </c>
      <c r="B3860" t="s">
        <v>26659</v>
      </c>
      <c r="C3860">
        <v>419</v>
      </c>
      <c r="D3860">
        <v>1</v>
      </c>
      <c r="E3860">
        <v>6512</v>
      </c>
      <c r="F3860">
        <v>2162</v>
      </c>
      <c r="G3860">
        <f t="shared" si="60"/>
        <v>1576932540</v>
      </c>
    </row>
    <row r="3861" spans="1:7" x14ac:dyDescent="0.25">
      <c r="A3861">
        <v>1576932853</v>
      </c>
      <c r="B3861" t="s">
        <v>26660</v>
      </c>
      <c r="C3861">
        <v>1362</v>
      </c>
      <c r="D3861">
        <v>1</v>
      </c>
      <c r="E3861">
        <v>1252</v>
      </c>
      <c r="F3861">
        <v>3759</v>
      </c>
      <c r="G3861">
        <f t="shared" si="60"/>
        <v>1576932853</v>
      </c>
    </row>
    <row r="3862" spans="1:7" x14ac:dyDescent="0.25">
      <c r="A3862">
        <v>1576933147</v>
      </c>
      <c r="B3862" t="s">
        <v>26661</v>
      </c>
      <c r="C3862">
        <v>1019</v>
      </c>
      <c r="D3862">
        <v>1</v>
      </c>
      <c r="E3862">
        <v>3880</v>
      </c>
      <c r="F3862">
        <v>2790</v>
      </c>
      <c r="G3862">
        <f t="shared" si="60"/>
        <v>1576933147</v>
      </c>
    </row>
    <row r="3863" spans="1:7" x14ac:dyDescent="0.25">
      <c r="A3863">
        <v>1576933386</v>
      </c>
      <c r="B3863" t="s">
        <v>2150</v>
      </c>
      <c r="C3863">
        <v>1425</v>
      </c>
      <c r="D3863">
        <v>1</v>
      </c>
      <c r="E3863">
        <v>461</v>
      </c>
      <c r="F3863">
        <v>4722</v>
      </c>
      <c r="G3863">
        <f t="shared" si="60"/>
        <v>1576933386</v>
      </c>
    </row>
    <row r="3864" spans="1:7" x14ac:dyDescent="0.25">
      <c r="A3864">
        <v>1576933488</v>
      </c>
      <c r="B3864" t="s">
        <v>26662</v>
      </c>
      <c r="C3864">
        <v>0</v>
      </c>
      <c r="D3864">
        <v>0</v>
      </c>
      <c r="E3864">
        <v>0</v>
      </c>
      <c r="F3864">
        <v>7592</v>
      </c>
      <c r="G3864">
        <f t="shared" si="60"/>
        <v>1576933488</v>
      </c>
    </row>
    <row r="3865" spans="1:7" x14ac:dyDescent="0.25">
      <c r="A3865">
        <v>1576933668</v>
      </c>
      <c r="B3865" t="s">
        <v>26663</v>
      </c>
      <c r="C3865">
        <v>1914</v>
      </c>
      <c r="D3865">
        <v>1</v>
      </c>
      <c r="E3865">
        <v>561</v>
      </c>
      <c r="F3865">
        <v>4534</v>
      </c>
      <c r="G3865">
        <f t="shared" si="60"/>
        <v>1576933668</v>
      </c>
    </row>
    <row r="3866" spans="1:7" x14ac:dyDescent="0.25">
      <c r="A3866">
        <v>1576934386</v>
      </c>
      <c r="B3866" t="s">
        <v>26664</v>
      </c>
      <c r="C3866">
        <v>760</v>
      </c>
      <c r="D3866">
        <v>7</v>
      </c>
      <c r="E3866">
        <v>32668</v>
      </c>
      <c r="F3866">
        <v>187</v>
      </c>
      <c r="G3866">
        <f t="shared" si="60"/>
        <v>1576934386</v>
      </c>
    </row>
    <row r="3867" spans="1:7" x14ac:dyDescent="0.25">
      <c r="A3867">
        <v>1576934444</v>
      </c>
      <c r="B3867" t="s">
        <v>26665</v>
      </c>
      <c r="C3867">
        <v>0</v>
      </c>
      <c r="D3867">
        <v>1</v>
      </c>
      <c r="E3867">
        <v>26</v>
      </c>
      <c r="F3867">
        <v>6608</v>
      </c>
      <c r="G3867">
        <f t="shared" si="60"/>
        <v>1576934444</v>
      </c>
    </row>
    <row r="3868" spans="1:7" x14ac:dyDescent="0.25">
      <c r="A3868">
        <v>1576934917</v>
      </c>
      <c r="B3868" t="s">
        <v>26666</v>
      </c>
      <c r="C3868">
        <v>617</v>
      </c>
      <c r="D3868">
        <v>2</v>
      </c>
      <c r="E3868">
        <v>11241</v>
      </c>
      <c r="F3868">
        <v>1378</v>
      </c>
      <c r="G3868">
        <f t="shared" si="60"/>
        <v>1576934917</v>
      </c>
    </row>
    <row r="3869" spans="1:7" x14ac:dyDescent="0.25">
      <c r="A3869">
        <v>1576935134</v>
      </c>
      <c r="B3869" t="s">
        <v>26667</v>
      </c>
      <c r="C3869">
        <v>1806</v>
      </c>
      <c r="D3869">
        <v>1</v>
      </c>
      <c r="E3869">
        <v>2540</v>
      </c>
      <c r="F3869">
        <v>3134</v>
      </c>
      <c r="G3869">
        <f t="shared" si="60"/>
        <v>1576935134</v>
      </c>
    </row>
    <row r="3870" spans="1:7" x14ac:dyDescent="0.25">
      <c r="A3870">
        <v>1576935207</v>
      </c>
      <c r="B3870" t="s">
        <v>26668</v>
      </c>
      <c r="C3870">
        <v>101</v>
      </c>
      <c r="D3870">
        <v>1</v>
      </c>
      <c r="E3870">
        <v>1254</v>
      </c>
      <c r="F3870">
        <v>3757</v>
      </c>
      <c r="G3870">
        <f t="shared" si="60"/>
        <v>1576935207</v>
      </c>
    </row>
    <row r="3871" spans="1:7" x14ac:dyDescent="0.25">
      <c r="A3871">
        <v>1576935425</v>
      </c>
      <c r="B3871" t="s">
        <v>26669</v>
      </c>
      <c r="C3871">
        <v>0</v>
      </c>
      <c r="D3871">
        <v>1</v>
      </c>
      <c r="E3871">
        <v>625</v>
      </c>
      <c r="F3871">
        <v>4440</v>
      </c>
      <c r="G3871">
        <f t="shared" si="60"/>
        <v>1576935425</v>
      </c>
    </row>
    <row r="3872" spans="1:7" x14ac:dyDescent="0.25">
      <c r="A3872">
        <v>1576936217</v>
      </c>
      <c r="B3872" t="s">
        <v>26670</v>
      </c>
      <c r="C3872">
        <v>1695</v>
      </c>
      <c r="D3872">
        <v>2</v>
      </c>
      <c r="E3872">
        <v>5686</v>
      </c>
      <c r="F3872">
        <v>2355</v>
      </c>
      <c r="G3872">
        <f t="shared" si="60"/>
        <v>1576936217</v>
      </c>
    </row>
    <row r="3873" spans="1:7" x14ac:dyDescent="0.25">
      <c r="A3873">
        <v>1576936781</v>
      </c>
      <c r="B3873" t="s">
        <v>26671</v>
      </c>
      <c r="C3873">
        <v>0</v>
      </c>
      <c r="D3873">
        <v>0</v>
      </c>
      <c r="E3873">
        <v>0</v>
      </c>
      <c r="F3873">
        <v>7593</v>
      </c>
      <c r="G3873">
        <f t="shared" si="60"/>
        <v>1576936781</v>
      </c>
    </row>
    <row r="3874" spans="1:7" x14ac:dyDescent="0.25">
      <c r="A3874">
        <v>1576937070</v>
      </c>
      <c r="B3874" t="s">
        <v>26672</v>
      </c>
      <c r="C3874">
        <v>106</v>
      </c>
      <c r="D3874">
        <v>1</v>
      </c>
      <c r="E3874">
        <v>4110</v>
      </c>
      <c r="F3874">
        <v>2756</v>
      </c>
      <c r="G3874">
        <f t="shared" si="60"/>
        <v>1576937070</v>
      </c>
    </row>
    <row r="3875" spans="1:7" x14ac:dyDescent="0.25">
      <c r="A3875">
        <v>1576937324</v>
      </c>
      <c r="B3875" t="s">
        <v>36501</v>
      </c>
      <c r="C3875">
        <v>0</v>
      </c>
      <c r="D3875">
        <v>0</v>
      </c>
      <c r="E3875">
        <v>0</v>
      </c>
      <c r="F3875">
        <v>7594</v>
      </c>
      <c r="G3875">
        <f t="shared" si="60"/>
        <v>1576937324</v>
      </c>
    </row>
    <row r="3876" spans="1:7" x14ac:dyDescent="0.25">
      <c r="A3876">
        <v>1576937377</v>
      </c>
      <c r="B3876" t="s">
        <v>26673</v>
      </c>
      <c r="C3876">
        <v>0</v>
      </c>
      <c r="D3876">
        <v>1</v>
      </c>
      <c r="E3876">
        <v>26</v>
      </c>
      <c r="F3876">
        <v>6609</v>
      </c>
      <c r="G3876">
        <f t="shared" si="60"/>
        <v>1576937377</v>
      </c>
    </row>
    <row r="3877" spans="1:7" x14ac:dyDescent="0.25">
      <c r="A3877">
        <v>1576937599</v>
      </c>
      <c r="B3877" t="s">
        <v>26674</v>
      </c>
      <c r="C3877">
        <v>0</v>
      </c>
      <c r="D3877">
        <v>0</v>
      </c>
      <c r="E3877">
        <v>0</v>
      </c>
      <c r="F3877">
        <v>7595</v>
      </c>
      <c r="G3877">
        <f t="shared" si="60"/>
        <v>1576937599</v>
      </c>
    </row>
    <row r="3878" spans="1:7" x14ac:dyDescent="0.25">
      <c r="A3878">
        <v>1576938611</v>
      </c>
      <c r="B3878" t="s">
        <v>26675</v>
      </c>
      <c r="C3878">
        <v>31</v>
      </c>
      <c r="D3878">
        <v>7</v>
      </c>
      <c r="E3878">
        <v>36064</v>
      </c>
      <c r="F3878">
        <v>139</v>
      </c>
      <c r="G3878">
        <f t="shared" si="60"/>
        <v>1576938611</v>
      </c>
    </row>
    <row r="3879" spans="1:7" x14ac:dyDescent="0.25">
      <c r="A3879">
        <v>1576938656</v>
      </c>
      <c r="B3879" t="s">
        <v>36502</v>
      </c>
      <c r="C3879">
        <v>680</v>
      </c>
      <c r="D3879">
        <v>1</v>
      </c>
      <c r="E3879">
        <v>7861</v>
      </c>
      <c r="F3879">
        <v>1911</v>
      </c>
      <c r="G3879">
        <f t="shared" si="60"/>
        <v>1576938656</v>
      </c>
    </row>
    <row r="3880" spans="1:7" x14ac:dyDescent="0.25">
      <c r="A3880">
        <v>1576938677</v>
      </c>
      <c r="B3880" t="s">
        <v>26676</v>
      </c>
      <c r="C3880">
        <v>0</v>
      </c>
      <c r="D3880">
        <v>0</v>
      </c>
      <c r="E3880">
        <v>0</v>
      </c>
      <c r="F3880">
        <v>7596</v>
      </c>
      <c r="G3880">
        <f t="shared" si="60"/>
        <v>1576938677</v>
      </c>
    </row>
    <row r="3881" spans="1:7" x14ac:dyDescent="0.25">
      <c r="A3881">
        <v>1576938782</v>
      </c>
      <c r="B3881" t="s">
        <v>37308</v>
      </c>
      <c r="C3881">
        <v>173</v>
      </c>
      <c r="D3881">
        <v>1</v>
      </c>
      <c r="E3881">
        <v>143</v>
      </c>
      <c r="F3881">
        <v>5720</v>
      </c>
      <c r="G3881">
        <f t="shared" si="60"/>
        <v>1576938782</v>
      </c>
    </row>
    <row r="3882" spans="1:7" x14ac:dyDescent="0.25">
      <c r="A3882">
        <v>1576938835</v>
      </c>
      <c r="B3882" t="s">
        <v>26677</v>
      </c>
      <c r="C3882">
        <v>0</v>
      </c>
      <c r="D3882">
        <v>1</v>
      </c>
      <c r="E3882">
        <v>409</v>
      </c>
      <c r="F3882">
        <v>4829</v>
      </c>
      <c r="G3882">
        <f t="shared" si="60"/>
        <v>1576938835</v>
      </c>
    </row>
    <row r="3883" spans="1:7" x14ac:dyDescent="0.25">
      <c r="A3883">
        <v>1576939408</v>
      </c>
      <c r="B3883" t="s">
        <v>36503</v>
      </c>
      <c r="C3883">
        <v>733</v>
      </c>
      <c r="D3883">
        <v>6</v>
      </c>
      <c r="E3883">
        <v>35035</v>
      </c>
      <c r="F3883">
        <v>147</v>
      </c>
      <c r="G3883">
        <f t="shared" si="60"/>
        <v>1576939408</v>
      </c>
    </row>
    <row r="3884" spans="1:7" x14ac:dyDescent="0.25">
      <c r="A3884">
        <v>1576939597</v>
      </c>
      <c r="B3884" t="s">
        <v>26678</v>
      </c>
      <c r="C3884">
        <v>1694</v>
      </c>
      <c r="D3884">
        <v>1</v>
      </c>
      <c r="E3884">
        <v>741</v>
      </c>
      <c r="F3884">
        <v>4279</v>
      </c>
      <c r="G3884">
        <f t="shared" si="60"/>
        <v>1576939597</v>
      </c>
    </row>
    <row r="3885" spans="1:7" x14ac:dyDescent="0.25">
      <c r="A3885">
        <v>1576939720</v>
      </c>
      <c r="B3885" t="s">
        <v>37403</v>
      </c>
      <c r="C3885">
        <v>0</v>
      </c>
      <c r="D3885">
        <v>0</v>
      </c>
      <c r="E3885">
        <v>0</v>
      </c>
      <c r="F3885">
        <v>7597</v>
      </c>
      <c r="G3885">
        <f t="shared" si="60"/>
        <v>1576939720</v>
      </c>
    </row>
    <row r="3886" spans="1:7" x14ac:dyDescent="0.25">
      <c r="A3886">
        <v>1576940166</v>
      </c>
      <c r="B3886" t="s">
        <v>26679</v>
      </c>
      <c r="C3886">
        <v>1972</v>
      </c>
      <c r="D3886">
        <v>4</v>
      </c>
      <c r="E3886">
        <v>17776</v>
      </c>
      <c r="F3886">
        <v>766</v>
      </c>
      <c r="G3886">
        <f t="shared" si="60"/>
        <v>1576940166</v>
      </c>
    </row>
    <row r="3887" spans="1:7" x14ac:dyDescent="0.25">
      <c r="A3887">
        <v>1576941620</v>
      </c>
      <c r="B3887" t="s">
        <v>26680</v>
      </c>
      <c r="C3887">
        <v>480</v>
      </c>
      <c r="D3887">
        <v>3</v>
      </c>
      <c r="E3887">
        <v>11916</v>
      </c>
      <c r="F3887">
        <v>1314</v>
      </c>
      <c r="G3887">
        <f t="shared" si="60"/>
        <v>1576941620</v>
      </c>
    </row>
    <row r="3888" spans="1:7" x14ac:dyDescent="0.25">
      <c r="A3888">
        <v>1576942115</v>
      </c>
      <c r="B3888" t="s">
        <v>26681</v>
      </c>
      <c r="C3888">
        <v>174</v>
      </c>
      <c r="D3888">
        <v>3</v>
      </c>
      <c r="E3888">
        <v>16502</v>
      </c>
      <c r="F3888">
        <v>870</v>
      </c>
      <c r="G3888">
        <f t="shared" si="60"/>
        <v>1576942115</v>
      </c>
    </row>
    <row r="3889" spans="1:7" x14ac:dyDescent="0.25">
      <c r="A3889">
        <v>1576942745</v>
      </c>
      <c r="B3889" t="s">
        <v>26682</v>
      </c>
      <c r="C3889">
        <v>1708</v>
      </c>
      <c r="D3889">
        <v>2</v>
      </c>
      <c r="E3889">
        <v>6183</v>
      </c>
      <c r="F3889">
        <v>2237</v>
      </c>
      <c r="G3889">
        <f t="shared" si="60"/>
        <v>1576942745</v>
      </c>
    </row>
    <row r="3890" spans="1:7" x14ac:dyDescent="0.25">
      <c r="A3890">
        <v>1576942861</v>
      </c>
      <c r="B3890" t="s">
        <v>26683</v>
      </c>
      <c r="C3890">
        <v>617</v>
      </c>
      <c r="D3890">
        <v>4</v>
      </c>
      <c r="E3890">
        <v>16181</v>
      </c>
      <c r="F3890">
        <v>895</v>
      </c>
      <c r="G3890">
        <f t="shared" si="60"/>
        <v>1576942861</v>
      </c>
    </row>
    <row r="3891" spans="1:7" x14ac:dyDescent="0.25">
      <c r="A3891">
        <v>1576943229</v>
      </c>
      <c r="B3891" t="s">
        <v>26684</v>
      </c>
      <c r="C3891">
        <v>0</v>
      </c>
      <c r="D3891">
        <v>1</v>
      </c>
      <c r="E3891">
        <v>266</v>
      </c>
      <c r="F3891">
        <v>5241</v>
      </c>
      <c r="G3891">
        <f t="shared" si="60"/>
        <v>1576943229</v>
      </c>
    </row>
    <row r="3892" spans="1:7" x14ac:dyDescent="0.25">
      <c r="A3892">
        <v>1576943443</v>
      </c>
      <c r="B3892" t="s">
        <v>37433</v>
      </c>
      <c r="C3892">
        <v>0</v>
      </c>
      <c r="D3892">
        <v>1</v>
      </c>
      <c r="E3892">
        <v>32</v>
      </c>
      <c r="F3892">
        <v>6610</v>
      </c>
      <c r="G3892">
        <f t="shared" si="60"/>
        <v>1576943443</v>
      </c>
    </row>
    <row r="3893" spans="1:7" x14ac:dyDescent="0.25">
      <c r="A3893">
        <v>1576943454</v>
      </c>
      <c r="B3893" t="s">
        <v>26685</v>
      </c>
      <c r="C3893">
        <v>115</v>
      </c>
      <c r="D3893">
        <v>6</v>
      </c>
      <c r="E3893">
        <v>22334</v>
      </c>
      <c r="F3893">
        <v>503</v>
      </c>
      <c r="G3893">
        <f t="shared" si="60"/>
        <v>1576943454</v>
      </c>
    </row>
    <row r="3894" spans="1:7" x14ac:dyDescent="0.25">
      <c r="A3894">
        <v>1576943984</v>
      </c>
      <c r="B3894" t="s">
        <v>26686</v>
      </c>
      <c r="C3894">
        <v>0</v>
      </c>
      <c r="D3894">
        <v>1</v>
      </c>
      <c r="E3894">
        <v>26</v>
      </c>
      <c r="F3894">
        <v>6611</v>
      </c>
      <c r="G3894">
        <f t="shared" si="60"/>
        <v>1576943984</v>
      </c>
    </row>
    <row r="3895" spans="1:7" x14ac:dyDescent="0.25">
      <c r="A3895">
        <v>1576944316</v>
      </c>
      <c r="B3895" t="s">
        <v>26687</v>
      </c>
      <c r="C3895">
        <v>31</v>
      </c>
      <c r="D3895">
        <v>5</v>
      </c>
      <c r="E3895">
        <v>22127</v>
      </c>
      <c r="F3895">
        <v>511</v>
      </c>
      <c r="G3895">
        <f t="shared" si="60"/>
        <v>1576944316</v>
      </c>
    </row>
    <row r="3896" spans="1:7" x14ac:dyDescent="0.25">
      <c r="A3896">
        <v>1576944391</v>
      </c>
      <c r="B3896" t="s">
        <v>26688</v>
      </c>
      <c r="C3896">
        <v>269</v>
      </c>
      <c r="D3896">
        <v>0</v>
      </c>
      <c r="E3896">
        <v>0</v>
      </c>
      <c r="F3896">
        <v>7598</v>
      </c>
      <c r="G3896">
        <f t="shared" si="60"/>
        <v>1576944391</v>
      </c>
    </row>
    <row r="3897" spans="1:7" x14ac:dyDescent="0.25">
      <c r="A3897">
        <v>1576944462</v>
      </c>
      <c r="B3897" t="s">
        <v>26689</v>
      </c>
      <c r="C3897">
        <v>578</v>
      </c>
      <c r="D3897">
        <v>2</v>
      </c>
      <c r="E3897">
        <v>9205</v>
      </c>
      <c r="F3897">
        <v>1688</v>
      </c>
      <c r="G3897">
        <f t="shared" si="60"/>
        <v>1576944462</v>
      </c>
    </row>
    <row r="3898" spans="1:7" x14ac:dyDescent="0.25">
      <c r="A3898">
        <v>1576944585</v>
      </c>
      <c r="B3898" t="s">
        <v>26690</v>
      </c>
      <c r="C3898">
        <v>53</v>
      </c>
      <c r="D3898">
        <v>2</v>
      </c>
      <c r="E3898">
        <v>12058</v>
      </c>
      <c r="F3898">
        <v>1276</v>
      </c>
      <c r="G3898">
        <f t="shared" si="60"/>
        <v>1576944585</v>
      </c>
    </row>
    <row r="3899" spans="1:7" x14ac:dyDescent="0.25">
      <c r="A3899">
        <v>1576944759</v>
      </c>
      <c r="B3899" t="s">
        <v>26691</v>
      </c>
      <c r="C3899">
        <v>0</v>
      </c>
      <c r="D3899">
        <v>0</v>
      </c>
      <c r="E3899">
        <v>0</v>
      </c>
      <c r="F3899">
        <v>7599</v>
      </c>
      <c r="G3899">
        <f t="shared" si="60"/>
        <v>1576944759</v>
      </c>
    </row>
    <row r="3900" spans="1:7" x14ac:dyDescent="0.25">
      <c r="A3900">
        <v>1576944775</v>
      </c>
      <c r="B3900" t="s">
        <v>26692</v>
      </c>
      <c r="C3900">
        <v>1316</v>
      </c>
      <c r="D3900">
        <v>1</v>
      </c>
      <c r="E3900">
        <v>679</v>
      </c>
      <c r="F3900">
        <v>4371</v>
      </c>
      <c r="G3900">
        <f t="shared" si="60"/>
        <v>1576944775</v>
      </c>
    </row>
    <row r="3901" spans="1:7" x14ac:dyDescent="0.25">
      <c r="A3901">
        <v>1576945193</v>
      </c>
      <c r="B3901" t="s">
        <v>26693</v>
      </c>
      <c r="C3901">
        <v>94</v>
      </c>
      <c r="D3901">
        <v>1</v>
      </c>
      <c r="E3901">
        <v>4912</v>
      </c>
      <c r="F3901">
        <v>2528</v>
      </c>
      <c r="G3901">
        <f t="shared" si="60"/>
        <v>1576945193</v>
      </c>
    </row>
    <row r="3902" spans="1:7" x14ac:dyDescent="0.25">
      <c r="A3902">
        <v>1576945644</v>
      </c>
      <c r="B3902" t="s">
        <v>26694</v>
      </c>
      <c r="C3902">
        <v>0</v>
      </c>
      <c r="D3902">
        <v>1</v>
      </c>
      <c r="E3902">
        <v>30</v>
      </c>
      <c r="F3902">
        <v>6322</v>
      </c>
      <c r="G3902">
        <f t="shared" si="60"/>
        <v>1576945644</v>
      </c>
    </row>
    <row r="3903" spans="1:7" x14ac:dyDescent="0.25">
      <c r="A3903">
        <v>1576945801</v>
      </c>
      <c r="B3903" t="s">
        <v>26695</v>
      </c>
      <c r="C3903">
        <v>270</v>
      </c>
      <c r="D3903">
        <v>8</v>
      </c>
      <c r="E3903">
        <v>38419</v>
      </c>
      <c r="F3903">
        <v>105</v>
      </c>
      <c r="G3903">
        <f t="shared" si="60"/>
        <v>1576945801</v>
      </c>
    </row>
    <row r="3904" spans="1:7" x14ac:dyDescent="0.25">
      <c r="A3904">
        <v>1576946186</v>
      </c>
      <c r="B3904" t="s">
        <v>36504</v>
      </c>
      <c r="C3904">
        <v>0</v>
      </c>
      <c r="D3904">
        <v>1</v>
      </c>
      <c r="E3904">
        <v>173</v>
      </c>
      <c r="F3904">
        <v>5606</v>
      </c>
      <c r="G3904">
        <f t="shared" si="60"/>
        <v>1576946186</v>
      </c>
    </row>
    <row r="3905" spans="1:7" x14ac:dyDescent="0.25">
      <c r="A3905">
        <v>1576946212</v>
      </c>
      <c r="B3905" t="s">
        <v>26696</v>
      </c>
      <c r="C3905">
        <v>1694</v>
      </c>
      <c r="D3905">
        <v>1</v>
      </c>
      <c r="E3905">
        <v>1384</v>
      </c>
      <c r="F3905">
        <v>3668</v>
      </c>
      <c r="G3905">
        <f t="shared" ref="G3905:G3968" si="61">A3905</f>
        <v>1576946212</v>
      </c>
    </row>
    <row r="3906" spans="1:7" x14ac:dyDescent="0.25">
      <c r="A3906">
        <v>1576947003</v>
      </c>
      <c r="B3906" t="s">
        <v>26697</v>
      </c>
      <c r="C3906">
        <v>0</v>
      </c>
      <c r="D3906">
        <v>1</v>
      </c>
      <c r="E3906">
        <v>4609</v>
      </c>
      <c r="F3906">
        <v>2592</v>
      </c>
      <c r="G3906">
        <f t="shared" si="61"/>
        <v>1576947003</v>
      </c>
    </row>
    <row r="3907" spans="1:7" x14ac:dyDescent="0.25">
      <c r="A3907">
        <v>1576947159</v>
      </c>
      <c r="B3907" t="s">
        <v>26698</v>
      </c>
      <c r="C3907">
        <v>552</v>
      </c>
      <c r="D3907">
        <v>16</v>
      </c>
      <c r="E3907">
        <v>71391</v>
      </c>
      <c r="F3907">
        <v>9</v>
      </c>
      <c r="G3907">
        <f t="shared" si="61"/>
        <v>1576947159</v>
      </c>
    </row>
    <row r="3908" spans="1:7" x14ac:dyDescent="0.25">
      <c r="A3908">
        <v>1576947449</v>
      </c>
      <c r="B3908" t="s">
        <v>26699</v>
      </c>
      <c r="C3908">
        <v>0</v>
      </c>
      <c r="D3908">
        <v>1</v>
      </c>
      <c r="E3908">
        <v>77</v>
      </c>
      <c r="F3908">
        <v>5994</v>
      </c>
      <c r="G3908">
        <f t="shared" si="61"/>
        <v>1576947449</v>
      </c>
    </row>
    <row r="3909" spans="1:7" x14ac:dyDescent="0.25">
      <c r="A3909">
        <v>1576947504</v>
      </c>
      <c r="B3909" t="s">
        <v>26700</v>
      </c>
      <c r="C3909">
        <v>1902</v>
      </c>
      <c r="D3909">
        <v>1</v>
      </c>
      <c r="E3909">
        <v>774</v>
      </c>
      <c r="F3909">
        <v>4262</v>
      </c>
      <c r="G3909">
        <f t="shared" si="61"/>
        <v>1576947504</v>
      </c>
    </row>
    <row r="3910" spans="1:7" x14ac:dyDescent="0.25">
      <c r="A3910">
        <v>1576947542</v>
      </c>
      <c r="B3910" t="s">
        <v>36505</v>
      </c>
      <c r="C3910">
        <v>320</v>
      </c>
      <c r="D3910">
        <v>2</v>
      </c>
      <c r="E3910">
        <v>5467</v>
      </c>
      <c r="F3910">
        <v>2412</v>
      </c>
      <c r="G3910">
        <f t="shared" si="61"/>
        <v>1576947542</v>
      </c>
    </row>
    <row r="3911" spans="1:7" x14ac:dyDescent="0.25">
      <c r="A3911">
        <v>1576947832</v>
      </c>
      <c r="B3911" t="s">
        <v>2355</v>
      </c>
      <c r="C3911">
        <v>0</v>
      </c>
      <c r="D3911">
        <v>1</v>
      </c>
      <c r="E3911">
        <v>597</v>
      </c>
      <c r="F3911">
        <v>4473</v>
      </c>
      <c r="G3911">
        <f t="shared" si="61"/>
        <v>1576947832</v>
      </c>
    </row>
    <row r="3912" spans="1:7" x14ac:dyDescent="0.25">
      <c r="A3912">
        <v>1576948023</v>
      </c>
      <c r="B3912" t="s">
        <v>26701</v>
      </c>
      <c r="C3912">
        <v>1324</v>
      </c>
      <c r="D3912">
        <v>1</v>
      </c>
      <c r="E3912">
        <v>264</v>
      </c>
      <c r="F3912">
        <v>5262</v>
      </c>
      <c r="G3912">
        <f t="shared" si="61"/>
        <v>1576948023</v>
      </c>
    </row>
    <row r="3913" spans="1:7" x14ac:dyDescent="0.25">
      <c r="A3913">
        <v>1576948108</v>
      </c>
      <c r="B3913" t="s">
        <v>26702</v>
      </c>
      <c r="C3913">
        <v>0</v>
      </c>
      <c r="D3913">
        <v>2</v>
      </c>
      <c r="E3913">
        <v>42</v>
      </c>
      <c r="F3913">
        <v>6254</v>
      </c>
      <c r="G3913">
        <f t="shared" si="61"/>
        <v>1576948108</v>
      </c>
    </row>
    <row r="3914" spans="1:7" x14ac:dyDescent="0.25">
      <c r="A3914">
        <v>1576948132</v>
      </c>
      <c r="B3914" t="s">
        <v>36506</v>
      </c>
      <c r="C3914">
        <v>625</v>
      </c>
      <c r="D3914">
        <v>3</v>
      </c>
      <c r="E3914">
        <v>13473</v>
      </c>
      <c r="F3914">
        <v>1128</v>
      </c>
      <c r="G3914">
        <f t="shared" si="61"/>
        <v>1576948132</v>
      </c>
    </row>
    <row r="3915" spans="1:7" x14ac:dyDescent="0.25">
      <c r="A3915">
        <v>1576948504</v>
      </c>
      <c r="B3915" t="s">
        <v>26703</v>
      </c>
      <c r="C3915">
        <v>413</v>
      </c>
      <c r="D3915">
        <v>1</v>
      </c>
      <c r="E3915">
        <v>3928</v>
      </c>
      <c r="F3915">
        <v>2780</v>
      </c>
      <c r="G3915">
        <f t="shared" si="61"/>
        <v>1576948504</v>
      </c>
    </row>
    <row r="3916" spans="1:7" x14ac:dyDescent="0.25">
      <c r="A3916">
        <v>1576948708</v>
      </c>
      <c r="B3916" t="s">
        <v>36507</v>
      </c>
      <c r="C3916">
        <v>0</v>
      </c>
      <c r="D3916">
        <v>0</v>
      </c>
      <c r="E3916">
        <v>0</v>
      </c>
      <c r="F3916">
        <v>7600</v>
      </c>
      <c r="G3916">
        <f t="shared" si="61"/>
        <v>1576948708</v>
      </c>
    </row>
    <row r="3917" spans="1:7" x14ac:dyDescent="0.25">
      <c r="A3917">
        <v>1576949637</v>
      </c>
      <c r="B3917" t="s">
        <v>26704</v>
      </c>
      <c r="C3917">
        <v>55</v>
      </c>
      <c r="D3917">
        <v>1</v>
      </c>
      <c r="E3917">
        <v>382</v>
      </c>
      <c r="F3917">
        <v>4894</v>
      </c>
      <c r="G3917">
        <f t="shared" si="61"/>
        <v>1576949637</v>
      </c>
    </row>
    <row r="3918" spans="1:7" x14ac:dyDescent="0.25">
      <c r="A3918">
        <v>1576949733</v>
      </c>
      <c r="B3918" t="s">
        <v>26705</v>
      </c>
      <c r="C3918">
        <v>424</v>
      </c>
      <c r="D3918">
        <v>5</v>
      </c>
      <c r="E3918">
        <v>26094</v>
      </c>
      <c r="F3918">
        <v>362</v>
      </c>
      <c r="G3918">
        <f t="shared" si="61"/>
        <v>1576949733</v>
      </c>
    </row>
    <row r="3919" spans="1:7" x14ac:dyDescent="0.25">
      <c r="A3919">
        <v>1576949780</v>
      </c>
      <c r="B3919" t="s">
        <v>26706</v>
      </c>
      <c r="C3919">
        <v>160</v>
      </c>
      <c r="D3919">
        <v>4</v>
      </c>
      <c r="E3919">
        <v>16495</v>
      </c>
      <c r="F3919">
        <v>871</v>
      </c>
      <c r="G3919">
        <f t="shared" si="61"/>
        <v>1576949780</v>
      </c>
    </row>
    <row r="3920" spans="1:7" x14ac:dyDescent="0.25">
      <c r="A3920">
        <v>1576950028</v>
      </c>
      <c r="B3920" t="s">
        <v>26707</v>
      </c>
      <c r="C3920">
        <v>0</v>
      </c>
      <c r="D3920">
        <v>1</v>
      </c>
      <c r="E3920">
        <v>3941</v>
      </c>
      <c r="F3920">
        <v>2778</v>
      </c>
      <c r="G3920">
        <f t="shared" si="61"/>
        <v>1576950028</v>
      </c>
    </row>
    <row r="3921" spans="1:7" x14ac:dyDescent="0.25">
      <c r="A3921">
        <v>1576950038</v>
      </c>
      <c r="B3921" t="s">
        <v>26708</v>
      </c>
      <c r="C3921">
        <v>1785</v>
      </c>
      <c r="D3921">
        <v>1</v>
      </c>
      <c r="E3921">
        <v>467</v>
      </c>
      <c r="F3921">
        <v>4713</v>
      </c>
      <c r="G3921">
        <f t="shared" si="61"/>
        <v>1576950038</v>
      </c>
    </row>
    <row r="3922" spans="1:7" x14ac:dyDescent="0.25">
      <c r="A3922">
        <v>1576950154</v>
      </c>
      <c r="B3922" t="s">
        <v>36508</v>
      </c>
      <c r="C3922">
        <v>643</v>
      </c>
      <c r="D3922">
        <v>6</v>
      </c>
      <c r="E3922">
        <v>34109</v>
      </c>
      <c r="F3922">
        <v>161</v>
      </c>
      <c r="G3922">
        <f t="shared" si="61"/>
        <v>1576950154</v>
      </c>
    </row>
    <row r="3923" spans="1:7" x14ac:dyDescent="0.25">
      <c r="A3923">
        <v>1576950873</v>
      </c>
      <c r="B3923" t="s">
        <v>36509</v>
      </c>
      <c r="C3923">
        <v>152</v>
      </c>
      <c r="D3923">
        <v>3</v>
      </c>
      <c r="E3923">
        <v>14427</v>
      </c>
      <c r="F3923">
        <v>1040</v>
      </c>
      <c r="G3923">
        <f t="shared" si="61"/>
        <v>1576950873</v>
      </c>
    </row>
    <row r="3924" spans="1:7" x14ac:dyDescent="0.25">
      <c r="A3924">
        <v>1576951187</v>
      </c>
      <c r="B3924" t="s">
        <v>26709</v>
      </c>
      <c r="C3924">
        <v>0</v>
      </c>
      <c r="D3924">
        <v>1</v>
      </c>
      <c r="E3924">
        <v>432</v>
      </c>
      <c r="F3924">
        <v>4776</v>
      </c>
      <c r="G3924">
        <f t="shared" si="61"/>
        <v>1576951187</v>
      </c>
    </row>
    <row r="3925" spans="1:7" x14ac:dyDescent="0.25">
      <c r="A3925">
        <v>1576951611</v>
      </c>
      <c r="B3925" t="s">
        <v>26710</v>
      </c>
      <c r="C3925">
        <v>0</v>
      </c>
      <c r="D3925">
        <v>1</v>
      </c>
      <c r="E3925">
        <v>26</v>
      </c>
      <c r="F3925">
        <v>6612</v>
      </c>
      <c r="G3925">
        <f t="shared" si="61"/>
        <v>1576951611</v>
      </c>
    </row>
    <row r="3926" spans="1:7" x14ac:dyDescent="0.25">
      <c r="A3926">
        <v>1576951925</v>
      </c>
      <c r="B3926" t="s">
        <v>26711</v>
      </c>
      <c r="C3926">
        <v>1920</v>
      </c>
      <c r="D3926">
        <v>1</v>
      </c>
      <c r="E3926">
        <v>475</v>
      </c>
      <c r="F3926">
        <v>4705</v>
      </c>
      <c r="G3926">
        <f t="shared" si="61"/>
        <v>1576951925</v>
      </c>
    </row>
    <row r="3927" spans="1:7" x14ac:dyDescent="0.25">
      <c r="A3927">
        <v>1576951990</v>
      </c>
      <c r="B3927" t="s">
        <v>26712</v>
      </c>
      <c r="C3927">
        <v>0</v>
      </c>
      <c r="D3927">
        <v>1</v>
      </c>
      <c r="E3927">
        <v>1418</v>
      </c>
      <c r="F3927">
        <v>3642</v>
      </c>
      <c r="G3927">
        <f t="shared" si="61"/>
        <v>1576951990</v>
      </c>
    </row>
    <row r="3928" spans="1:7" x14ac:dyDescent="0.25">
      <c r="A3928">
        <v>1576952391</v>
      </c>
      <c r="B3928" t="s">
        <v>26713</v>
      </c>
      <c r="C3928">
        <v>1850</v>
      </c>
      <c r="D3928">
        <v>1</v>
      </c>
      <c r="E3928">
        <v>3371</v>
      </c>
      <c r="F3928">
        <v>2910</v>
      </c>
      <c r="G3928">
        <f t="shared" si="61"/>
        <v>1576952391</v>
      </c>
    </row>
    <row r="3929" spans="1:7" x14ac:dyDescent="0.25">
      <c r="A3929">
        <v>1576952844</v>
      </c>
      <c r="B3929" t="s">
        <v>26714</v>
      </c>
      <c r="C3929">
        <v>0</v>
      </c>
      <c r="D3929">
        <v>1</v>
      </c>
      <c r="E3929">
        <v>26</v>
      </c>
      <c r="F3929">
        <v>6613</v>
      </c>
      <c r="G3929">
        <f t="shared" si="61"/>
        <v>1576952844</v>
      </c>
    </row>
    <row r="3930" spans="1:7" x14ac:dyDescent="0.25">
      <c r="A3930">
        <v>1576952980</v>
      </c>
      <c r="B3930" t="s">
        <v>36510</v>
      </c>
      <c r="C3930">
        <v>0</v>
      </c>
      <c r="D3930">
        <v>0</v>
      </c>
      <c r="E3930">
        <v>0</v>
      </c>
      <c r="F3930">
        <v>7601</v>
      </c>
      <c r="G3930">
        <f t="shared" si="61"/>
        <v>1576952980</v>
      </c>
    </row>
    <row r="3931" spans="1:7" x14ac:dyDescent="0.25">
      <c r="A3931">
        <v>1576953173</v>
      </c>
      <c r="B3931" t="s">
        <v>26715</v>
      </c>
      <c r="C3931">
        <v>0</v>
      </c>
      <c r="D3931">
        <v>0</v>
      </c>
      <c r="E3931">
        <v>0</v>
      </c>
      <c r="F3931">
        <v>7602</v>
      </c>
      <c r="G3931">
        <f t="shared" si="61"/>
        <v>1576953173</v>
      </c>
    </row>
    <row r="3932" spans="1:7" x14ac:dyDescent="0.25">
      <c r="A3932">
        <v>1576953487</v>
      </c>
      <c r="B3932" t="s">
        <v>26716</v>
      </c>
      <c r="C3932">
        <v>57</v>
      </c>
      <c r="D3932">
        <v>1</v>
      </c>
      <c r="E3932">
        <v>3967</v>
      </c>
      <c r="F3932">
        <v>2775</v>
      </c>
      <c r="G3932">
        <f t="shared" si="61"/>
        <v>1576953487</v>
      </c>
    </row>
    <row r="3933" spans="1:7" x14ac:dyDescent="0.25">
      <c r="A3933">
        <v>1576953488</v>
      </c>
      <c r="B3933" t="s">
        <v>36511</v>
      </c>
      <c r="C3933">
        <v>1630</v>
      </c>
      <c r="D3933">
        <v>1</v>
      </c>
      <c r="E3933">
        <v>1333</v>
      </c>
      <c r="F3933">
        <v>3704</v>
      </c>
      <c r="G3933">
        <f t="shared" si="61"/>
        <v>1576953488</v>
      </c>
    </row>
    <row r="3934" spans="1:7" x14ac:dyDescent="0.25">
      <c r="A3934">
        <v>1576953812</v>
      </c>
      <c r="B3934" t="s">
        <v>26717</v>
      </c>
      <c r="C3934">
        <v>0</v>
      </c>
      <c r="D3934">
        <v>0</v>
      </c>
      <c r="E3934">
        <v>0</v>
      </c>
      <c r="F3934">
        <v>7603</v>
      </c>
      <c r="G3934">
        <f t="shared" si="61"/>
        <v>1576953812</v>
      </c>
    </row>
    <row r="3935" spans="1:7" x14ac:dyDescent="0.25">
      <c r="A3935">
        <v>1576953927</v>
      </c>
      <c r="B3935" t="s">
        <v>37051</v>
      </c>
      <c r="C3935">
        <v>643</v>
      </c>
      <c r="D3935">
        <v>5</v>
      </c>
      <c r="E3935">
        <v>29815</v>
      </c>
      <c r="F3935">
        <v>245</v>
      </c>
      <c r="G3935">
        <f t="shared" si="61"/>
        <v>1576953927</v>
      </c>
    </row>
    <row r="3936" spans="1:7" x14ac:dyDescent="0.25">
      <c r="A3936">
        <v>1576954109</v>
      </c>
      <c r="B3936" t="s">
        <v>26718</v>
      </c>
      <c r="C3936">
        <v>1357</v>
      </c>
      <c r="D3936">
        <v>1</v>
      </c>
      <c r="E3936">
        <v>26</v>
      </c>
      <c r="F3936">
        <v>6614</v>
      </c>
      <c r="G3936">
        <f t="shared" si="61"/>
        <v>1576954109</v>
      </c>
    </row>
    <row r="3937" spans="1:7" x14ac:dyDescent="0.25">
      <c r="A3937">
        <v>1576955230</v>
      </c>
      <c r="B3937" t="s">
        <v>26719</v>
      </c>
      <c r="C3937">
        <v>1858</v>
      </c>
      <c r="D3937">
        <v>1</v>
      </c>
      <c r="E3937">
        <v>782</v>
      </c>
      <c r="F3937">
        <v>4231</v>
      </c>
      <c r="G3937">
        <f t="shared" si="61"/>
        <v>1576955230</v>
      </c>
    </row>
    <row r="3938" spans="1:7" x14ac:dyDescent="0.25">
      <c r="A3938">
        <v>1576955253</v>
      </c>
      <c r="B3938" t="s">
        <v>36512</v>
      </c>
      <c r="C3938">
        <v>0</v>
      </c>
      <c r="D3938">
        <v>1</v>
      </c>
      <c r="E3938">
        <v>196</v>
      </c>
      <c r="F3938">
        <v>5472</v>
      </c>
      <c r="G3938">
        <f t="shared" si="61"/>
        <v>1576955253</v>
      </c>
    </row>
    <row r="3939" spans="1:7" x14ac:dyDescent="0.25">
      <c r="A3939">
        <v>1576955344</v>
      </c>
      <c r="B3939" t="s">
        <v>4363</v>
      </c>
      <c r="C3939">
        <v>0</v>
      </c>
      <c r="D3939">
        <v>1</v>
      </c>
      <c r="E3939">
        <v>486</v>
      </c>
      <c r="F3939">
        <v>4671</v>
      </c>
      <c r="G3939">
        <f t="shared" si="61"/>
        <v>1576955344</v>
      </c>
    </row>
    <row r="3940" spans="1:7" x14ac:dyDescent="0.25">
      <c r="A3940">
        <v>1576955646</v>
      </c>
      <c r="B3940" t="s">
        <v>26720</v>
      </c>
      <c r="C3940">
        <v>124</v>
      </c>
      <c r="D3940">
        <v>3</v>
      </c>
      <c r="E3940">
        <v>10690</v>
      </c>
      <c r="F3940">
        <v>1466</v>
      </c>
      <c r="G3940">
        <f t="shared" si="61"/>
        <v>1576955646</v>
      </c>
    </row>
    <row r="3941" spans="1:7" x14ac:dyDescent="0.25">
      <c r="A3941">
        <v>1576956193</v>
      </c>
      <c r="B3941" t="s">
        <v>26721</v>
      </c>
      <c r="C3941">
        <v>274</v>
      </c>
      <c r="D3941">
        <v>2</v>
      </c>
      <c r="E3941">
        <v>12719</v>
      </c>
      <c r="F3941">
        <v>1196</v>
      </c>
      <c r="G3941">
        <f t="shared" si="61"/>
        <v>1576956193</v>
      </c>
    </row>
    <row r="3942" spans="1:7" x14ac:dyDescent="0.25">
      <c r="A3942">
        <v>1576956198</v>
      </c>
      <c r="B3942" t="s">
        <v>26722</v>
      </c>
      <c r="C3942">
        <v>0</v>
      </c>
      <c r="D3942">
        <v>1</v>
      </c>
      <c r="E3942">
        <v>111</v>
      </c>
      <c r="F3942">
        <v>5810</v>
      </c>
      <c r="G3942">
        <f t="shared" si="61"/>
        <v>1576956198</v>
      </c>
    </row>
    <row r="3943" spans="1:7" x14ac:dyDescent="0.25">
      <c r="A3943">
        <v>1576956415</v>
      </c>
      <c r="B3943" t="s">
        <v>37149</v>
      </c>
      <c r="C3943">
        <v>138</v>
      </c>
      <c r="D3943">
        <v>1</v>
      </c>
      <c r="E3943">
        <v>2162</v>
      </c>
      <c r="F3943">
        <v>3266</v>
      </c>
      <c r="G3943">
        <f t="shared" si="61"/>
        <v>1576956415</v>
      </c>
    </row>
    <row r="3944" spans="1:7" x14ac:dyDescent="0.25">
      <c r="A3944">
        <v>1576956636</v>
      </c>
      <c r="B3944" t="s">
        <v>36513</v>
      </c>
      <c r="C3944">
        <v>152</v>
      </c>
      <c r="D3944">
        <v>2</v>
      </c>
      <c r="E3944">
        <v>8182</v>
      </c>
      <c r="F3944">
        <v>1846</v>
      </c>
      <c r="G3944">
        <f t="shared" si="61"/>
        <v>1576956636</v>
      </c>
    </row>
    <row r="3945" spans="1:7" x14ac:dyDescent="0.25">
      <c r="A3945">
        <v>1576957100</v>
      </c>
      <c r="B3945" t="s">
        <v>26723</v>
      </c>
      <c r="C3945">
        <v>0</v>
      </c>
      <c r="D3945">
        <v>0</v>
      </c>
      <c r="E3945">
        <v>0</v>
      </c>
      <c r="F3945">
        <v>7604</v>
      </c>
      <c r="G3945">
        <f t="shared" si="61"/>
        <v>1576957100</v>
      </c>
    </row>
    <row r="3946" spans="1:7" x14ac:dyDescent="0.25">
      <c r="A3946">
        <v>1576957683</v>
      </c>
      <c r="B3946" t="s">
        <v>26724</v>
      </c>
      <c r="C3946">
        <v>810</v>
      </c>
      <c r="D3946">
        <v>1</v>
      </c>
      <c r="E3946">
        <v>26</v>
      </c>
      <c r="F3946">
        <v>6615</v>
      </c>
      <c r="G3946">
        <f t="shared" si="61"/>
        <v>1576957683</v>
      </c>
    </row>
    <row r="3947" spans="1:7" x14ac:dyDescent="0.25">
      <c r="A3947">
        <v>1576957697</v>
      </c>
      <c r="B3947" t="s">
        <v>1384</v>
      </c>
      <c r="C3947">
        <v>1017</v>
      </c>
      <c r="D3947">
        <v>1</v>
      </c>
      <c r="E3947">
        <v>5274</v>
      </c>
      <c r="F3947">
        <v>2455</v>
      </c>
      <c r="G3947">
        <f t="shared" si="61"/>
        <v>1576957697</v>
      </c>
    </row>
    <row r="3948" spans="1:7" x14ac:dyDescent="0.25">
      <c r="A3948">
        <v>1576957746</v>
      </c>
      <c r="B3948" t="s">
        <v>26725</v>
      </c>
      <c r="C3948">
        <v>0</v>
      </c>
      <c r="D3948">
        <v>1</v>
      </c>
      <c r="E3948">
        <v>26</v>
      </c>
      <c r="F3948">
        <v>6616</v>
      </c>
      <c r="G3948">
        <f t="shared" si="61"/>
        <v>1576957746</v>
      </c>
    </row>
    <row r="3949" spans="1:7" x14ac:dyDescent="0.25">
      <c r="A3949">
        <v>1576958059</v>
      </c>
      <c r="B3949" t="s">
        <v>26726</v>
      </c>
      <c r="C3949">
        <v>367</v>
      </c>
      <c r="D3949">
        <v>2</v>
      </c>
      <c r="E3949">
        <v>11929</v>
      </c>
      <c r="F3949">
        <v>1289</v>
      </c>
      <c r="G3949">
        <f t="shared" si="61"/>
        <v>1576958059</v>
      </c>
    </row>
    <row r="3950" spans="1:7" x14ac:dyDescent="0.25">
      <c r="A3950">
        <v>1576958270</v>
      </c>
      <c r="B3950" t="s">
        <v>37434</v>
      </c>
      <c r="C3950">
        <v>1858</v>
      </c>
      <c r="D3950">
        <v>1</v>
      </c>
      <c r="E3950">
        <v>79</v>
      </c>
      <c r="F3950">
        <v>5995</v>
      </c>
      <c r="G3950">
        <f t="shared" si="61"/>
        <v>1576958270</v>
      </c>
    </row>
    <row r="3951" spans="1:7" x14ac:dyDescent="0.25">
      <c r="A3951">
        <v>1576958271</v>
      </c>
      <c r="B3951" t="s">
        <v>26727</v>
      </c>
      <c r="C3951">
        <v>47</v>
      </c>
      <c r="D3951">
        <v>3</v>
      </c>
      <c r="E3951">
        <v>9060</v>
      </c>
      <c r="F3951">
        <v>1713</v>
      </c>
      <c r="G3951">
        <f t="shared" si="61"/>
        <v>1576958271</v>
      </c>
    </row>
    <row r="3952" spans="1:7" x14ac:dyDescent="0.25">
      <c r="A3952">
        <v>1576958292</v>
      </c>
      <c r="B3952" t="s">
        <v>36514</v>
      </c>
      <c r="C3952">
        <v>0</v>
      </c>
      <c r="D3952">
        <v>1</v>
      </c>
      <c r="E3952">
        <v>1185</v>
      </c>
      <c r="F3952">
        <v>3807</v>
      </c>
      <c r="G3952">
        <f t="shared" si="61"/>
        <v>1576958292</v>
      </c>
    </row>
    <row r="3953" spans="1:7" x14ac:dyDescent="0.25">
      <c r="A3953">
        <v>1576958415</v>
      </c>
      <c r="B3953" t="s">
        <v>26728</v>
      </c>
      <c r="C3953">
        <v>4</v>
      </c>
      <c r="D3953">
        <v>4</v>
      </c>
      <c r="E3953">
        <v>21828</v>
      </c>
      <c r="F3953">
        <v>530</v>
      </c>
      <c r="G3953">
        <f t="shared" si="61"/>
        <v>1576958415</v>
      </c>
    </row>
    <row r="3954" spans="1:7" x14ac:dyDescent="0.25">
      <c r="A3954">
        <v>1576958853</v>
      </c>
      <c r="B3954" t="s">
        <v>26729</v>
      </c>
      <c r="C3954">
        <v>106</v>
      </c>
      <c r="D3954">
        <v>1</v>
      </c>
      <c r="E3954">
        <v>6397</v>
      </c>
      <c r="F3954">
        <v>2190</v>
      </c>
      <c r="G3954">
        <f t="shared" si="61"/>
        <v>1576958853</v>
      </c>
    </row>
    <row r="3955" spans="1:7" x14ac:dyDescent="0.25">
      <c r="A3955">
        <v>1576958889</v>
      </c>
      <c r="B3955" t="s">
        <v>26730</v>
      </c>
      <c r="C3955">
        <v>47</v>
      </c>
      <c r="D3955">
        <v>5</v>
      </c>
      <c r="E3955">
        <v>25436</v>
      </c>
      <c r="F3955">
        <v>394</v>
      </c>
      <c r="G3955">
        <f t="shared" si="61"/>
        <v>1576958889</v>
      </c>
    </row>
    <row r="3956" spans="1:7" x14ac:dyDescent="0.25">
      <c r="A3956">
        <v>1576959146</v>
      </c>
      <c r="B3956" t="s">
        <v>26731</v>
      </c>
      <c r="C3956">
        <v>0</v>
      </c>
      <c r="D3956">
        <v>1</v>
      </c>
      <c r="E3956">
        <v>1297</v>
      </c>
      <c r="F3956">
        <v>3730</v>
      </c>
      <c r="G3956">
        <f t="shared" si="61"/>
        <v>1576959146</v>
      </c>
    </row>
    <row r="3957" spans="1:7" x14ac:dyDescent="0.25">
      <c r="A3957">
        <v>1576959537</v>
      </c>
      <c r="B3957" t="s">
        <v>26732</v>
      </c>
      <c r="C3957">
        <v>0</v>
      </c>
      <c r="D3957">
        <v>0</v>
      </c>
      <c r="E3957">
        <v>0</v>
      </c>
      <c r="F3957">
        <v>7605</v>
      </c>
      <c r="G3957">
        <f t="shared" si="61"/>
        <v>1576959537</v>
      </c>
    </row>
    <row r="3958" spans="1:7" x14ac:dyDescent="0.25">
      <c r="A3958">
        <v>1576960477</v>
      </c>
      <c r="B3958" t="s">
        <v>26733</v>
      </c>
      <c r="C3958">
        <v>0</v>
      </c>
      <c r="D3958">
        <v>1</v>
      </c>
      <c r="E3958">
        <v>2828</v>
      </c>
      <c r="F3958">
        <v>3031</v>
      </c>
      <c r="G3958">
        <f t="shared" si="61"/>
        <v>1576960477</v>
      </c>
    </row>
    <row r="3959" spans="1:7" x14ac:dyDescent="0.25">
      <c r="A3959">
        <v>1576960694</v>
      </c>
      <c r="B3959" t="s">
        <v>26734</v>
      </c>
      <c r="C3959">
        <v>1972</v>
      </c>
      <c r="D3959">
        <v>3</v>
      </c>
      <c r="E3959">
        <v>16378</v>
      </c>
      <c r="F3959">
        <v>882</v>
      </c>
      <c r="G3959">
        <f t="shared" si="61"/>
        <v>1576960694</v>
      </c>
    </row>
    <row r="3960" spans="1:7" x14ac:dyDescent="0.25">
      <c r="A3960">
        <v>1576960909</v>
      </c>
      <c r="B3960" t="s">
        <v>26735</v>
      </c>
      <c r="C3960">
        <v>1498</v>
      </c>
      <c r="D3960">
        <v>1</v>
      </c>
      <c r="E3960">
        <v>1066</v>
      </c>
      <c r="F3960">
        <v>3905</v>
      </c>
      <c r="G3960">
        <f t="shared" si="61"/>
        <v>1576960909</v>
      </c>
    </row>
    <row r="3961" spans="1:7" x14ac:dyDescent="0.25">
      <c r="A3961">
        <v>1576960979</v>
      </c>
      <c r="B3961" t="s">
        <v>26736</v>
      </c>
      <c r="C3961">
        <v>0</v>
      </c>
      <c r="D3961">
        <v>0</v>
      </c>
      <c r="E3961">
        <v>0</v>
      </c>
      <c r="F3961">
        <v>7606</v>
      </c>
      <c r="G3961">
        <f t="shared" si="61"/>
        <v>1576960979</v>
      </c>
    </row>
    <row r="3962" spans="1:7" x14ac:dyDescent="0.25">
      <c r="A3962">
        <v>1576961019</v>
      </c>
      <c r="B3962" t="s">
        <v>37309</v>
      </c>
      <c r="C3962">
        <v>320</v>
      </c>
      <c r="D3962">
        <v>1</v>
      </c>
      <c r="E3962">
        <v>1244</v>
      </c>
      <c r="F3962">
        <v>3787</v>
      </c>
      <c r="G3962">
        <f t="shared" si="61"/>
        <v>1576961019</v>
      </c>
    </row>
    <row r="3963" spans="1:7" x14ac:dyDescent="0.25">
      <c r="A3963">
        <v>1576961556</v>
      </c>
      <c r="B3963" t="s">
        <v>26737</v>
      </c>
      <c r="C3963">
        <v>552</v>
      </c>
      <c r="D3963">
        <v>5</v>
      </c>
      <c r="E3963">
        <v>29273</v>
      </c>
      <c r="F3963">
        <v>260</v>
      </c>
      <c r="G3963">
        <f t="shared" si="61"/>
        <v>1576961556</v>
      </c>
    </row>
    <row r="3964" spans="1:7" x14ac:dyDescent="0.25">
      <c r="A3964">
        <v>1576961883</v>
      </c>
      <c r="B3964" t="s">
        <v>26738</v>
      </c>
      <c r="C3964">
        <v>567</v>
      </c>
      <c r="D3964">
        <v>1</v>
      </c>
      <c r="E3964">
        <v>26</v>
      </c>
      <c r="F3964">
        <v>6617</v>
      </c>
      <c r="G3964">
        <f t="shared" si="61"/>
        <v>1576961883</v>
      </c>
    </row>
    <row r="3965" spans="1:7" x14ac:dyDescent="0.25">
      <c r="A3965">
        <v>1576962402</v>
      </c>
      <c r="B3965" t="s">
        <v>26739</v>
      </c>
      <c r="C3965">
        <v>367</v>
      </c>
      <c r="D3965">
        <v>4</v>
      </c>
      <c r="E3965">
        <v>16472</v>
      </c>
      <c r="F3965">
        <v>874</v>
      </c>
      <c r="G3965">
        <f t="shared" si="61"/>
        <v>1576962402</v>
      </c>
    </row>
    <row r="3966" spans="1:7" x14ac:dyDescent="0.25">
      <c r="A3966">
        <v>1576962528</v>
      </c>
      <c r="B3966" t="s">
        <v>26740</v>
      </c>
      <c r="C3966">
        <v>0</v>
      </c>
      <c r="D3966">
        <v>1</v>
      </c>
      <c r="E3966">
        <v>174</v>
      </c>
      <c r="F3966">
        <v>5604</v>
      </c>
      <c r="G3966">
        <f t="shared" si="61"/>
        <v>1576962528</v>
      </c>
    </row>
    <row r="3967" spans="1:7" x14ac:dyDescent="0.25">
      <c r="A3967">
        <v>1576962684</v>
      </c>
      <c r="B3967" t="s">
        <v>26741</v>
      </c>
      <c r="C3967">
        <v>0</v>
      </c>
      <c r="D3967">
        <v>2</v>
      </c>
      <c r="E3967">
        <v>9311</v>
      </c>
      <c r="F3967">
        <v>1669</v>
      </c>
      <c r="G3967">
        <f t="shared" si="61"/>
        <v>1576962684</v>
      </c>
    </row>
    <row r="3968" spans="1:7" x14ac:dyDescent="0.25">
      <c r="A3968">
        <v>1576962937</v>
      </c>
      <c r="B3968" t="s">
        <v>26742</v>
      </c>
      <c r="C3968">
        <v>53</v>
      </c>
      <c r="D3968">
        <v>4</v>
      </c>
      <c r="E3968">
        <v>19477</v>
      </c>
      <c r="F3968">
        <v>656</v>
      </c>
      <c r="G3968">
        <f t="shared" si="61"/>
        <v>1576962937</v>
      </c>
    </row>
    <row r="3969" spans="1:7" x14ac:dyDescent="0.25">
      <c r="A3969">
        <v>1576962997</v>
      </c>
      <c r="B3969" t="s">
        <v>36515</v>
      </c>
      <c r="C3969">
        <v>399</v>
      </c>
      <c r="D3969">
        <v>1</v>
      </c>
      <c r="E3969">
        <v>2604</v>
      </c>
      <c r="F3969">
        <v>3098</v>
      </c>
      <c r="G3969">
        <f t="shared" ref="G3969:G4032" si="62">A3969</f>
        <v>1576962997</v>
      </c>
    </row>
    <row r="3970" spans="1:7" x14ac:dyDescent="0.25">
      <c r="A3970">
        <v>1576963514</v>
      </c>
      <c r="B3970" t="s">
        <v>37310</v>
      </c>
      <c r="C3970">
        <v>0</v>
      </c>
      <c r="D3970">
        <v>1</v>
      </c>
      <c r="E3970">
        <v>1233</v>
      </c>
      <c r="F3970">
        <v>3777</v>
      </c>
      <c r="G3970">
        <f t="shared" si="62"/>
        <v>1576963514</v>
      </c>
    </row>
    <row r="3971" spans="1:7" x14ac:dyDescent="0.25">
      <c r="A3971">
        <v>1576963748</v>
      </c>
      <c r="B3971" t="s">
        <v>37451</v>
      </c>
      <c r="C3971">
        <v>0</v>
      </c>
      <c r="D3971">
        <v>1</v>
      </c>
      <c r="E3971">
        <v>26</v>
      </c>
      <c r="F3971">
        <v>6618</v>
      </c>
      <c r="G3971">
        <f t="shared" si="62"/>
        <v>1576963748</v>
      </c>
    </row>
    <row r="3972" spans="1:7" x14ac:dyDescent="0.25">
      <c r="A3972">
        <v>1576963824</v>
      </c>
      <c r="B3972" t="s">
        <v>26743</v>
      </c>
      <c r="C3972">
        <v>55</v>
      </c>
      <c r="D3972">
        <v>1</v>
      </c>
      <c r="E3972">
        <v>2710</v>
      </c>
      <c r="F3972">
        <v>3073</v>
      </c>
      <c r="G3972">
        <f t="shared" si="62"/>
        <v>1576963824</v>
      </c>
    </row>
    <row r="3973" spans="1:7" x14ac:dyDescent="0.25">
      <c r="A3973">
        <v>1576963877</v>
      </c>
      <c r="B3973" t="s">
        <v>26744</v>
      </c>
      <c r="C3973">
        <v>0</v>
      </c>
      <c r="D3973">
        <v>1</v>
      </c>
      <c r="E3973">
        <v>137</v>
      </c>
      <c r="F3973">
        <v>5740</v>
      </c>
      <c r="G3973">
        <f t="shared" si="62"/>
        <v>1576963877</v>
      </c>
    </row>
    <row r="3974" spans="1:7" x14ac:dyDescent="0.25">
      <c r="A3974">
        <v>1576964247</v>
      </c>
      <c r="B3974" t="s">
        <v>26745</v>
      </c>
      <c r="C3974">
        <v>271</v>
      </c>
      <c r="D3974">
        <v>4</v>
      </c>
      <c r="E3974">
        <v>22040</v>
      </c>
      <c r="F3974">
        <v>520</v>
      </c>
      <c r="G3974">
        <f t="shared" si="62"/>
        <v>1576964247</v>
      </c>
    </row>
    <row r="3975" spans="1:7" x14ac:dyDescent="0.25">
      <c r="A3975">
        <v>1576965057</v>
      </c>
      <c r="B3975" t="s">
        <v>36516</v>
      </c>
      <c r="C3975">
        <v>0</v>
      </c>
      <c r="D3975">
        <v>1</v>
      </c>
      <c r="E3975">
        <v>32</v>
      </c>
      <c r="F3975">
        <v>6309</v>
      </c>
      <c r="G3975">
        <f t="shared" si="62"/>
        <v>1576965057</v>
      </c>
    </row>
    <row r="3976" spans="1:7" x14ac:dyDescent="0.25">
      <c r="A3976">
        <v>1576965316</v>
      </c>
      <c r="B3976" t="s">
        <v>26746</v>
      </c>
      <c r="C3976">
        <v>0</v>
      </c>
      <c r="D3976">
        <v>1</v>
      </c>
      <c r="E3976">
        <v>182</v>
      </c>
      <c r="F3976">
        <v>5576</v>
      </c>
      <c r="G3976">
        <f t="shared" si="62"/>
        <v>1576965316</v>
      </c>
    </row>
    <row r="3977" spans="1:7" x14ac:dyDescent="0.25">
      <c r="A3977">
        <v>1576966163</v>
      </c>
      <c r="B3977" t="s">
        <v>26747</v>
      </c>
      <c r="C3977">
        <v>0</v>
      </c>
      <c r="D3977">
        <v>1</v>
      </c>
      <c r="E3977">
        <v>216</v>
      </c>
      <c r="F3977">
        <v>5445</v>
      </c>
      <c r="G3977">
        <f t="shared" si="62"/>
        <v>1576966163</v>
      </c>
    </row>
    <row r="3978" spans="1:7" x14ac:dyDescent="0.25">
      <c r="A3978">
        <v>1576966402</v>
      </c>
      <c r="B3978" t="s">
        <v>26748</v>
      </c>
      <c r="C3978">
        <v>0</v>
      </c>
      <c r="D3978">
        <v>1</v>
      </c>
      <c r="E3978">
        <v>1197</v>
      </c>
      <c r="F3978">
        <v>3827</v>
      </c>
      <c r="G3978">
        <f t="shared" si="62"/>
        <v>1576966402</v>
      </c>
    </row>
    <row r="3979" spans="1:7" x14ac:dyDescent="0.25">
      <c r="A3979">
        <v>1576966416</v>
      </c>
      <c r="B3979" t="s">
        <v>26749</v>
      </c>
      <c r="C3979">
        <v>887</v>
      </c>
      <c r="D3979">
        <v>1</v>
      </c>
      <c r="E3979">
        <v>2253</v>
      </c>
      <c r="F3979">
        <v>3223</v>
      </c>
      <c r="G3979">
        <f t="shared" si="62"/>
        <v>1576966416</v>
      </c>
    </row>
    <row r="3980" spans="1:7" x14ac:dyDescent="0.25">
      <c r="A3980">
        <v>1576966533</v>
      </c>
      <c r="B3980" t="s">
        <v>26750</v>
      </c>
      <c r="C3980">
        <v>0</v>
      </c>
      <c r="D3980">
        <v>1</v>
      </c>
      <c r="E3980">
        <v>26</v>
      </c>
      <c r="F3980">
        <v>6619</v>
      </c>
      <c r="G3980">
        <f t="shared" si="62"/>
        <v>1576966533</v>
      </c>
    </row>
    <row r="3981" spans="1:7" x14ac:dyDescent="0.25">
      <c r="A3981">
        <v>1576966909</v>
      </c>
      <c r="B3981" t="s">
        <v>36517</v>
      </c>
      <c r="C3981">
        <v>0</v>
      </c>
      <c r="D3981">
        <v>1</v>
      </c>
      <c r="E3981">
        <v>80</v>
      </c>
      <c r="F3981">
        <v>5973</v>
      </c>
      <c r="G3981">
        <f t="shared" si="62"/>
        <v>1576966909</v>
      </c>
    </row>
    <row r="3982" spans="1:7" x14ac:dyDescent="0.25">
      <c r="A3982">
        <v>1576967295</v>
      </c>
      <c r="B3982" t="s">
        <v>26751</v>
      </c>
      <c r="C3982">
        <v>0</v>
      </c>
      <c r="D3982">
        <v>0</v>
      </c>
      <c r="E3982">
        <v>0</v>
      </c>
      <c r="F3982">
        <v>7607</v>
      </c>
      <c r="G3982">
        <f t="shared" si="62"/>
        <v>1576967295</v>
      </c>
    </row>
    <row r="3983" spans="1:7" x14ac:dyDescent="0.25">
      <c r="A3983">
        <v>1576967440</v>
      </c>
      <c r="B3983" t="s">
        <v>26752</v>
      </c>
      <c r="C3983">
        <v>25</v>
      </c>
      <c r="D3983">
        <v>0</v>
      </c>
      <c r="E3983">
        <v>0</v>
      </c>
      <c r="F3983">
        <v>7608</v>
      </c>
      <c r="G3983">
        <f t="shared" si="62"/>
        <v>1576967440</v>
      </c>
    </row>
    <row r="3984" spans="1:7" x14ac:dyDescent="0.25">
      <c r="A3984">
        <v>1576967744</v>
      </c>
      <c r="B3984" t="s">
        <v>26753</v>
      </c>
      <c r="C3984">
        <v>0</v>
      </c>
      <c r="D3984">
        <v>0</v>
      </c>
      <c r="E3984">
        <v>0</v>
      </c>
      <c r="F3984">
        <v>7609</v>
      </c>
      <c r="G3984">
        <f t="shared" si="62"/>
        <v>1576967744</v>
      </c>
    </row>
    <row r="3985" spans="1:7" x14ac:dyDescent="0.25">
      <c r="A3985">
        <v>1576968258</v>
      </c>
      <c r="B3985" t="s">
        <v>36518</v>
      </c>
      <c r="C3985">
        <v>0</v>
      </c>
      <c r="D3985">
        <v>1</v>
      </c>
      <c r="E3985">
        <v>659</v>
      </c>
      <c r="F3985">
        <v>4403</v>
      </c>
      <c r="G3985">
        <f t="shared" si="62"/>
        <v>1576968258</v>
      </c>
    </row>
    <row r="3986" spans="1:7" x14ac:dyDescent="0.25">
      <c r="A3986">
        <v>1576968765</v>
      </c>
      <c r="B3986" t="s">
        <v>26754</v>
      </c>
      <c r="C3986">
        <v>152</v>
      </c>
      <c r="D3986">
        <v>7</v>
      </c>
      <c r="E3986">
        <v>41580</v>
      </c>
      <c r="F3986">
        <v>84</v>
      </c>
      <c r="G3986">
        <f t="shared" si="62"/>
        <v>1576968765</v>
      </c>
    </row>
    <row r="3987" spans="1:7" x14ac:dyDescent="0.25">
      <c r="A3987">
        <v>1576968985</v>
      </c>
      <c r="B3987" t="s">
        <v>26755</v>
      </c>
      <c r="C3987">
        <v>0</v>
      </c>
      <c r="D3987">
        <v>0</v>
      </c>
      <c r="E3987">
        <v>0</v>
      </c>
      <c r="F3987">
        <v>7610</v>
      </c>
      <c r="G3987">
        <f t="shared" si="62"/>
        <v>1576968985</v>
      </c>
    </row>
    <row r="3988" spans="1:7" x14ac:dyDescent="0.25">
      <c r="A3988">
        <v>1576969430</v>
      </c>
      <c r="B3988" t="s">
        <v>26756</v>
      </c>
      <c r="C3988">
        <v>1207</v>
      </c>
      <c r="D3988">
        <v>1</v>
      </c>
      <c r="E3988">
        <v>210</v>
      </c>
      <c r="F3988">
        <v>5483</v>
      </c>
      <c r="G3988">
        <f t="shared" si="62"/>
        <v>1576969430</v>
      </c>
    </row>
    <row r="3989" spans="1:7" x14ac:dyDescent="0.25">
      <c r="A3989">
        <v>1576969514</v>
      </c>
      <c r="B3989" t="s">
        <v>26757</v>
      </c>
      <c r="C3989">
        <v>36</v>
      </c>
      <c r="D3989">
        <v>2</v>
      </c>
      <c r="E3989">
        <v>13749</v>
      </c>
      <c r="F3989">
        <v>1097</v>
      </c>
      <c r="G3989">
        <f t="shared" si="62"/>
        <v>1576969514</v>
      </c>
    </row>
    <row r="3990" spans="1:7" x14ac:dyDescent="0.25">
      <c r="A3990">
        <v>1576969873</v>
      </c>
      <c r="B3990" t="s">
        <v>26758</v>
      </c>
      <c r="C3990">
        <v>274</v>
      </c>
      <c r="D3990">
        <v>8</v>
      </c>
      <c r="E3990">
        <v>39279</v>
      </c>
      <c r="F3990">
        <v>94</v>
      </c>
      <c r="G3990">
        <f t="shared" si="62"/>
        <v>1576969873</v>
      </c>
    </row>
    <row r="3991" spans="1:7" x14ac:dyDescent="0.25">
      <c r="A3991">
        <v>1576970225</v>
      </c>
      <c r="B3991" t="s">
        <v>26759</v>
      </c>
      <c r="C3991">
        <v>0</v>
      </c>
      <c r="D3991">
        <v>1</v>
      </c>
      <c r="E3991">
        <v>44</v>
      </c>
      <c r="F3991">
        <v>6240</v>
      </c>
      <c r="G3991">
        <f t="shared" si="62"/>
        <v>1576970225</v>
      </c>
    </row>
    <row r="3992" spans="1:7" x14ac:dyDescent="0.25">
      <c r="A3992">
        <v>1576970716</v>
      </c>
      <c r="B3992" t="s">
        <v>37011</v>
      </c>
      <c r="C3992">
        <v>1</v>
      </c>
      <c r="D3992">
        <v>2</v>
      </c>
      <c r="E3992">
        <v>6167</v>
      </c>
      <c r="F3992">
        <v>2242</v>
      </c>
      <c r="G3992">
        <f t="shared" si="62"/>
        <v>1576970716</v>
      </c>
    </row>
    <row r="3993" spans="1:7" x14ac:dyDescent="0.25">
      <c r="A3993">
        <v>1576971417</v>
      </c>
      <c r="B3993" t="s">
        <v>26760</v>
      </c>
      <c r="C3993">
        <v>15</v>
      </c>
      <c r="D3993">
        <v>1</v>
      </c>
      <c r="E3993">
        <v>26</v>
      </c>
      <c r="F3993">
        <v>6620</v>
      </c>
      <c r="G3993">
        <f t="shared" si="62"/>
        <v>1576971417</v>
      </c>
    </row>
    <row r="3994" spans="1:7" x14ac:dyDescent="0.25">
      <c r="A3994">
        <v>1576971611</v>
      </c>
      <c r="B3994" t="s">
        <v>37404</v>
      </c>
      <c r="C3994">
        <v>1836</v>
      </c>
      <c r="D3994">
        <v>1</v>
      </c>
      <c r="E3994">
        <v>2156</v>
      </c>
      <c r="F3994">
        <v>3270</v>
      </c>
      <c r="G3994">
        <f t="shared" si="62"/>
        <v>1576971611</v>
      </c>
    </row>
    <row r="3995" spans="1:7" x14ac:dyDescent="0.25">
      <c r="A3995">
        <v>1576972309</v>
      </c>
      <c r="B3995" t="s">
        <v>26761</v>
      </c>
      <c r="C3995">
        <v>882</v>
      </c>
      <c r="D3995">
        <v>6</v>
      </c>
      <c r="E3995">
        <v>32863</v>
      </c>
      <c r="F3995">
        <v>183</v>
      </c>
      <c r="G3995">
        <f t="shared" si="62"/>
        <v>1576972309</v>
      </c>
    </row>
    <row r="3996" spans="1:7" x14ac:dyDescent="0.25">
      <c r="A3996">
        <v>1576972334</v>
      </c>
      <c r="B3996" t="s">
        <v>36519</v>
      </c>
      <c r="C3996">
        <v>0</v>
      </c>
      <c r="D3996">
        <v>1</v>
      </c>
      <c r="E3996">
        <v>26</v>
      </c>
      <c r="F3996">
        <v>6621</v>
      </c>
      <c r="G3996">
        <f t="shared" si="62"/>
        <v>1576972334</v>
      </c>
    </row>
    <row r="3997" spans="1:7" x14ac:dyDescent="0.25">
      <c r="A3997">
        <v>1576972699</v>
      </c>
      <c r="B3997" t="s">
        <v>37150</v>
      </c>
      <c r="C3997">
        <v>409</v>
      </c>
      <c r="D3997">
        <v>1</v>
      </c>
      <c r="E3997">
        <v>688</v>
      </c>
      <c r="F3997">
        <v>4357</v>
      </c>
      <c r="G3997">
        <f t="shared" si="62"/>
        <v>1576972699</v>
      </c>
    </row>
    <row r="3998" spans="1:7" x14ac:dyDescent="0.25">
      <c r="A3998">
        <v>1576973176</v>
      </c>
      <c r="B3998" t="s">
        <v>26762</v>
      </c>
      <c r="C3998">
        <v>0</v>
      </c>
      <c r="D3998">
        <v>0</v>
      </c>
      <c r="E3998">
        <v>0</v>
      </c>
      <c r="F3998">
        <v>7611</v>
      </c>
      <c r="G3998">
        <f t="shared" si="62"/>
        <v>1576973176</v>
      </c>
    </row>
    <row r="3999" spans="1:7" x14ac:dyDescent="0.25">
      <c r="A3999">
        <v>1576973217</v>
      </c>
      <c r="B3999" t="s">
        <v>36520</v>
      </c>
      <c r="C3999">
        <v>815</v>
      </c>
      <c r="D3999">
        <v>1</v>
      </c>
      <c r="E3999">
        <v>1466</v>
      </c>
      <c r="F3999">
        <v>3620</v>
      </c>
      <c r="G3999">
        <f t="shared" si="62"/>
        <v>1576973217</v>
      </c>
    </row>
    <row r="4000" spans="1:7" x14ac:dyDescent="0.25">
      <c r="A4000">
        <v>1576973298</v>
      </c>
      <c r="B4000" t="s">
        <v>26763</v>
      </c>
      <c r="C4000">
        <v>54</v>
      </c>
      <c r="D4000">
        <v>2</v>
      </c>
      <c r="E4000">
        <v>9814</v>
      </c>
      <c r="F4000">
        <v>1586</v>
      </c>
      <c r="G4000">
        <f t="shared" si="62"/>
        <v>1576973298</v>
      </c>
    </row>
    <row r="4001" spans="1:7" x14ac:dyDescent="0.25">
      <c r="A4001">
        <v>1576973537</v>
      </c>
      <c r="B4001" t="s">
        <v>26764</v>
      </c>
      <c r="C4001">
        <v>0</v>
      </c>
      <c r="D4001">
        <v>1</v>
      </c>
      <c r="E4001">
        <v>26</v>
      </c>
      <c r="F4001">
        <v>6622</v>
      </c>
      <c r="G4001">
        <f t="shared" si="62"/>
        <v>1576973537</v>
      </c>
    </row>
    <row r="4002" spans="1:7" x14ac:dyDescent="0.25">
      <c r="A4002">
        <v>1576973882</v>
      </c>
      <c r="B4002" t="s">
        <v>36521</v>
      </c>
      <c r="C4002">
        <v>1743</v>
      </c>
      <c r="D4002">
        <v>1</v>
      </c>
      <c r="E4002">
        <v>1103</v>
      </c>
      <c r="F4002">
        <v>3871</v>
      </c>
      <c r="G4002">
        <f t="shared" si="62"/>
        <v>1576973882</v>
      </c>
    </row>
    <row r="4003" spans="1:7" x14ac:dyDescent="0.25">
      <c r="A4003">
        <v>1576973890</v>
      </c>
      <c r="B4003" t="s">
        <v>26765</v>
      </c>
      <c r="C4003">
        <v>0</v>
      </c>
      <c r="D4003">
        <v>0</v>
      </c>
      <c r="E4003">
        <v>0</v>
      </c>
      <c r="F4003">
        <v>7612</v>
      </c>
      <c r="G4003">
        <f t="shared" si="62"/>
        <v>1576973890</v>
      </c>
    </row>
    <row r="4004" spans="1:7" x14ac:dyDescent="0.25">
      <c r="A4004">
        <v>1576974001</v>
      </c>
      <c r="B4004" t="s">
        <v>37012</v>
      </c>
      <c r="C4004">
        <v>199</v>
      </c>
      <c r="D4004">
        <v>3</v>
      </c>
      <c r="E4004">
        <v>12094</v>
      </c>
      <c r="F4004">
        <v>1286</v>
      </c>
      <c r="G4004">
        <f t="shared" si="62"/>
        <v>1576974001</v>
      </c>
    </row>
    <row r="4005" spans="1:7" x14ac:dyDescent="0.25">
      <c r="A4005">
        <v>1576974363</v>
      </c>
      <c r="B4005" t="s">
        <v>26766</v>
      </c>
      <c r="C4005">
        <v>106</v>
      </c>
      <c r="D4005">
        <v>2</v>
      </c>
      <c r="E4005">
        <v>9057</v>
      </c>
      <c r="F4005">
        <v>1710</v>
      </c>
      <c r="G4005">
        <f t="shared" si="62"/>
        <v>1576974363</v>
      </c>
    </row>
    <row r="4006" spans="1:7" x14ac:dyDescent="0.25">
      <c r="A4006">
        <v>1576974479</v>
      </c>
      <c r="B4006" t="s">
        <v>26767</v>
      </c>
      <c r="C4006">
        <v>1643</v>
      </c>
      <c r="D4006">
        <v>1</v>
      </c>
      <c r="E4006">
        <v>1094</v>
      </c>
      <c r="F4006">
        <v>3877</v>
      </c>
      <c r="G4006">
        <f t="shared" si="62"/>
        <v>1576974479</v>
      </c>
    </row>
    <row r="4007" spans="1:7" x14ac:dyDescent="0.25">
      <c r="A4007">
        <v>1576974490</v>
      </c>
      <c r="B4007" t="s">
        <v>26768</v>
      </c>
      <c r="C4007">
        <v>26</v>
      </c>
      <c r="D4007">
        <v>2</v>
      </c>
      <c r="E4007">
        <v>12064</v>
      </c>
      <c r="F4007">
        <v>1273</v>
      </c>
      <c r="G4007">
        <f t="shared" si="62"/>
        <v>1576974490</v>
      </c>
    </row>
    <row r="4008" spans="1:7" x14ac:dyDescent="0.25">
      <c r="A4008">
        <v>1576974573</v>
      </c>
      <c r="B4008" t="s">
        <v>26769</v>
      </c>
      <c r="C4008">
        <v>26</v>
      </c>
      <c r="D4008">
        <v>3</v>
      </c>
      <c r="E4008">
        <v>13244</v>
      </c>
      <c r="F4008">
        <v>1144</v>
      </c>
      <c r="G4008">
        <f t="shared" si="62"/>
        <v>1576974573</v>
      </c>
    </row>
    <row r="4009" spans="1:7" x14ac:dyDescent="0.25">
      <c r="A4009">
        <v>1576975086</v>
      </c>
      <c r="B4009" t="s">
        <v>26770</v>
      </c>
      <c r="C4009">
        <v>259</v>
      </c>
      <c r="D4009">
        <v>4</v>
      </c>
      <c r="E4009">
        <v>15172</v>
      </c>
      <c r="F4009">
        <v>977</v>
      </c>
      <c r="G4009">
        <f t="shared" si="62"/>
        <v>1576975086</v>
      </c>
    </row>
    <row r="4010" spans="1:7" x14ac:dyDescent="0.25">
      <c r="A4010">
        <v>1576975095</v>
      </c>
      <c r="B4010" t="s">
        <v>36522</v>
      </c>
      <c r="C4010">
        <v>0</v>
      </c>
      <c r="D4010">
        <v>1</v>
      </c>
      <c r="E4010">
        <v>26</v>
      </c>
      <c r="F4010">
        <v>6623</v>
      </c>
      <c r="G4010">
        <f t="shared" si="62"/>
        <v>1576975095</v>
      </c>
    </row>
    <row r="4011" spans="1:7" x14ac:dyDescent="0.25">
      <c r="A4011">
        <v>1576975116</v>
      </c>
      <c r="B4011" t="s">
        <v>26771</v>
      </c>
      <c r="C4011">
        <v>1743</v>
      </c>
      <c r="D4011">
        <v>2</v>
      </c>
      <c r="E4011">
        <v>4381</v>
      </c>
      <c r="F4011">
        <v>2659</v>
      </c>
      <c r="G4011">
        <f t="shared" si="62"/>
        <v>1576975116</v>
      </c>
    </row>
    <row r="4012" spans="1:7" x14ac:dyDescent="0.25">
      <c r="A4012">
        <v>1576975248</v>
      </c>
      <c r="B4012" t="s">
        <v>36523</v>
      </c>
      <c r="C4012">
        <v>0</v>
      </c>
      <c r="D4012">
        <v>0</v>
      </c>
      <c r="E4012">
        <v>0</v>
      </c>
      <c r="F4012">
        <v>7613</v>
      </c>
      <c r="G4012">
        <f t="shared" si="62"/>
        <v>1576975248</v>
      </c>
    </row>
    <row r="4013" spans="1:7" x14ac:dyDescent="0.25">
      <c r="A4013">
        <v>1576975249</v>
      </c>
      <c r="B4013" t="s">
        <v>36524</v>
      </c>
      <c r="C4013">
        <v>0</v>
      </c>
      <c r="D4013">
        <v>0</v>
      </c>
      <c r="E4013">
        <v>0</v>
      </c>
      <c r="F4013">
        <v>7614</v>
      </c>
      <c r="G4013">
        <f t="shared" si="62"/>
        <v>1576975249</v>
      </c>
    </row>
    <row r="4014" spans="1:7" x14ac:dyDescent="0.25">
      <c r="A4014">
        <v>1576975630</v>
      </c>
      <c r="B4014" t="s">
        <v>26772</v>
      </c>
      <c r="C4014">
        <v>0</v>
      </c>
      <c r="D4014">
        <v>1</v>
      </c>
      <c r="E4014">
        <v>131</v>
      </c>
      <c r="F4014">
        <v>5762</v>
      </c>
      <c r="G4014">
        <f t="shared" si="62"/>
        <v>1576975630</v>
      </c>
    </row>
    <row r="4015" spans="1:7" x14ac:dyDescent="0.25">
      <c r="A4015">
        <v>1576975871</v>
      </c>
      <c r="B4015" t="s">
        <v>26773</v>
      </c>
      <c r="C4015">
        <v>0</v>
      </c>
      <c r="D4015">
        <v>0</v>
      </c>
      <c r="E4015">
        <v>0</v>
      </c>
      <c r="F4015">
        <v>7615</v>
      </c>
      <c r="G4015">
        <f t="shared" si="62"/>
        <v>1576975871</v>
      </c>
    </row>
    <row r="4016" spans="1:7" x14ac:dyDescent="0.25">
      <c r="A4016">
        <v>1576975878</v>
      </c>
      <c r="B4016" t="s">
        <v>26774</v>
      </c>
      <c r="C4016">
        <v>126</v>
      </c>
      <c r="D4016">
        <v>5</v>
      </c>
      <c r="E4016">
        <v>23746</v>
      </c>
      <c r="F4016">
        <v>443</v>
      </c>
      <c r="G4016">
        <f t="shared" si="62"/>
        <v>1576975878</v>
      </c>
    </row>
    <row r="4017" spans="1:7" x14ac:dyDescent="0.25">
      <c r="A4017">
        <v>1576975883</v>
      </c>
      <c r="B4017" t="s">
        <v>26775</v>
      </c>
      <c r="C4017">
        <v>69</v>
      </c>
      <c r="D4017">
        <v>3</v>
      </c>
      <c r="E4017">
        <v>14993</v>
      </c>
      <c r="F4017">
        <v>998</v>
      </c>
      <c r="G4017">
        <f t="shared" si="62"/>
        <v>1576975883</v>
      </c>
    </row>
    <row r="4018" spans="1:7" x14ac:dyDescent="0.25">
      <c r="A4018">
        <v>1576975949</v>
      </c>
      <c r="B4018" t="s">
        <v>36525</v>
      </c>
      <c r="C4018">
        <v>0</v>
      </c>
      <c r="D4018">
        <v>1</v>
      </c>
      <c r="E4018">
        <v>1259</v>
      </c>
      <c r="F4018">
        <v>3754</v>
      </c>
      <c r="G4018">
        <f t="shared" si="62"/>
        <v>1576975949</v>
      </c>
    </row>
    <row r="4019" spans="1:7" x14ac:dyDescent="0.25">
      <c r="A4019">
        <v>1576975968</v>
      </c>
      <c r="B4019" t="s">
        <v>36526</v>
      </c>
      <c r="C4019">
        <v>259</v>
      </c>
      <c r="D4019">
        <v>2</v>
      </c>
      <c r="E4019">
        <v>11962</v>
      </c>
      <c r="F4019">
        <v>1285</v>
      </c>
      <c r="G4019">
        <f t="shared" si="62"/>
        <v>1576975968</v>
      </c>
    </row>
    <row r="4020" spans="1:7" x14ac:dyDescent="0.25">
      <c r="A4020">
        <v>1576976185</v>
      </c>
      <c r="B4020" t="s">
        <v>26776</v>
      </c>
      <c r="C4020">
        <v>567</v>
      </c>
      <c r="D4020">
        <v>1</v>
      </c>
      <c r="E4020">
        <v>26</v>
      </c>
      <c r="F4020">
        <v>6624</v>
      </c>
      <c r="G4020">
        <f t="shared" si="62"/>
        <v>1576976185</v>
      </c>
    </row>
    <row r="4021" spans="1:7" x14ac:dyDescent="0.25">
      <c r="A4021">
        <v>1576976198</v>
      </c>
      <c r="B4021" t="s">
        <v>36527</v>
      </c>
      <c r="C4021">
        <v>467</v>
      </c>
      <c r="D4021">
        <v>4</v>
      </c>
      <c r="E4021">
        <v>19661</v>
      </c>
      <c r="F4021">
        <v>646</v>
      </c>
      <c r="G4021">
        <f t="shared" si="62"/>
        <v>1576976198</v>
      </c>
    </row>
    <row r="4022" spans="1:7" x14ac:dyDescent="0.25">
      <c r="A4022">
        <v>1576976314</v>
      </c>
      <c r="B4022" t="s">
        <v>36528</v>
      </c>
      <c r="C4022">
        <v>1585</v>
      </c>
      <c r="D4022">
        <v>1</v>
      </c>
      <c r="E4022">
        <v>3822</v>
      </c>
      <c r="F4022">
        <v>2805</v>
      </c>
      <c r="G4022">
        <f t="shared" si="62"/>
        <v>1576976314</v>
      </c>
    </row>
    <row r="4023" spans="1:7" x14ac:dyDescent="0.25">
      <c r="A4023">
        <v>1576976466</v>
      </c>
      <c r="B4023" t="s">
        <v>26777</v>
      </c>
      <c r="C4023">
        <v>150</v>
      </c>
      <c r="D4023">
        <v>0</v>
      </c>
      <c r="E4023">
        <v>0</v>
      </c>
      <c r="F4023">
        <v>7616</v>
      </c>
      <c r="G4023">
        <f t="shared" si="62"/>
        <v>1576976466</v>
      </c>
    </row>
    <row r="4024" spans="1:7" x14ac:dyDescent="0.25">
      <c r="A4024">
        <v>1576976983</v>
      </c>
      <c r="B4024" t="s">
        <v>26778</v>
      </c>
      <c r="C4024">
        <v>0</v>
      </c>
      <c r="D4024">
        <v>0</v>
      </c>
      <c r="E4024">
        <v>0</v>
      </c>
      <c r="F4024">
        <v>7617</v>
      </c>
      <c r="G4024">
        <f t="shared" si="62"/>
        <v>1576976983</v>
      </c>
    </row>
    <row r="4025" spans="1:7" x14ac:dyDescent="0.25">
      <c r="A4025">
        <v>1576977419</v>
      </c>
      <c r="B4025" t="s">
        <v>26779</v>
      </c>
      <c r="C4025">
        <v>0</v>
      </c>
      <c r="D4025">
        <v>1</v>
      </c>
      <c r="E4025">
        <v>277</v>
      </c>
      <c r="F4025">
        <v>5194</v>
      </c>
      <c r="G4025">
        <f t="shared" si="62"/>
        <v>1576977419</v>
      </c>
    </row>
    <row r="4026" spans="1:7" x14ac:dyDescent="0.25">
      <c r="A4026">
        <v>1576977598</v>
      </c>
      <c r="B4026" t="s">
        <v>26780</v>
      </c>
      <c r="C4026">
        <v>126</v>
      </c>
      <c r="D4026">
        <v>2</v>
      </c>
      <c r="E4026">
        <v>10817</v>
      </c>
      <c r="F4026">
        <v>1447</v>
      </c>
      <c r="G4026">
        <f t="shared" si="62"/>
        <v>1576977598</v>
      </c>
    </row>
    <row r="4027" spans="1:7" x14ac:dyDescent="0.25">
      <c r="A4027">
        <v>1576977644</v>
      </c>
      <c r="B4027" t="s">
        <v>36529</v>
      </c>
      <c r="C4027">
        <v>0</v>
      </c>
      <c r="D4027">
        <v>0</v>
      </c>
      <c r="E4027">
        <v>0</v>
      </c>
      <c r="F4027">
        <v>7618</v>
      </c>
      <c r="G4027">
        <f t="shared" si="62"/>
        <v>1576977644</v>
      </c>
    </row>
    <row r="4028" spans="1:7" x14ac:dyDescent="0.25">
      <c r="A4028">
        <v>1576977767</v>
      </c>
      <c r="B4028" t="s">
        <v>26781</v>
      </c>
      <c r="C4028">
        <v>1861</v>
      </c>
      <c r="D4028">
        <v>1</v>
      </c>
      <c r="E4028">
        <v>2571</v>
      </c>
      <c r="F4028">
        <v>3109</v>
      </c>
      <c r="G4028">
        <f t="shared" si="62"/>
        <v>1576977767</v>
      </c>
    </row>
    <row r="4029" spans="1:7" x14ac:dyDescent="0.25">
      <c r="A4029">
        <v>1576977795</v>
      </c>
      <c r="B4029" t="s">
        <v>26782</v>
      </c>
      <c r="C4029">
        <v>53</v>
      </c>
      <c r="D4029">
        <v>3</v>
      </c>
      <c r="E4029">
        <v>15225</v>
      </c>
      <c r="F4029">
        <v>969</v>
      </c>
      <c r="G4029">
        <f t="shared" si="62"/>
        <v>1576977795</v>
      </c>
    </row>
    <row r="4030" spans="1:7" x14ac:dyDescent="0.25">
      <c r="A4030">
        <v>1576978264</v>
      </c>
      <c r="B4030" t="s">
        <v>26783</v>
      </c>
      <c r="C4030">
        <v>0</v>
      </c>
      <c r="D4030">
        <v>1</v>
      </c>
      <c r="E4030">
        <v>201</v>
      </c>
      <c r="F4030">
        <v>5493</v>
      </c>
      <c r="G4030">
        <f t="shared" si="62"/>
        <v>1576978264</v>
      </c>
    </row>
    <row r="4031" spans="1:7" x14ac:dyDescent="0.25">
      <c r="A4031">
        <v>1576978385</v>
      </c>
      <c r="B4031" t="s">
        <v>26784</v>
      </c>
      <c r="C4031">
        <v>433</v>
      </c>
      <c r="D4031">
        <v>1</v>
      </c>
      <c r="E4031">
        <v>299</v>
      </c>
      <c r="F4031">
        <v>5121</v>
      </c>
      <c r="G4031">
        <f t="shared" si="62"/>
        <v>1576978385</v>
      </c>
    </row>
    <row r="4032" spans="1:7" x14ac:dyDescent="0.25">
      <c r="A4032">
        <v>1576978416</v>
      </c>
      <c r="B4032" t="s">
        <v>26785</v>
      </c>
      <c r="C4032">
        <v>0</v>
      </c>
      <c r="D4032">
        <v>0</v>
      </c>
      <c r="E4032">
        <v>0</v>
      </c>
      <c r="F4032">
        <v>7619</v>
      </c>
      <c r="G4032">
        <f t="shared" si="62"/>
        <v>1576978416</v>
      </c>
    </row>
    <row r="4033" spans="1:7" x14ac:dyDescent="0.25">
      <c r="A4033">
        <v>1576978438</v>
      </c>
      <c r="B4033" t="s">
        <v>26786</v>
      </c>
      <c r="C4033">
        <v>0</v>
      </c>
      <c r="D4033">
        <v>2</v>
      </c>
      <c r="E4033">
        <v>6987</v>
      </c>
      <c r="F4033">
        <v>2064</v>
      </c>
      <c r="G4033">
        <f t="shared" ref="G4033:G4096" si="63">A4033</f>
        <v>1576978438</v>
      </c>
    </row>
    <row r="4034" spans="1:7" x14ac:dyDescent="0.25">
      <c r="A4034">
        <v>1576978783</v>
      </c>
      <c r="B4034" t="s">
        <v>26787</v>
      </c>
      <c r="C4034">
        <v>0</v>
      </c>
      <c r="D4034">
        <v>0</v>
      </c>
      <c r="E4034">
        <v>0</v>
      </c>
      <c r="F4034">
        <v>7620</v>
      </c>
      <c r="G4034">
        <f t="shared" si="63"/>
        <v>1576978783</v>
      </c>
    </row>
    <row r="4035" spans="1:7" x14ac:dyDescent="0.25">
      <c r="A4035">
        <v>1576979068</v>
      </c>
      <c r="B4035" t="s">
        <v>26788</v>
      </c>
      <c r="C4035">
        <v>0</v>
      </c>
      <c r="D4035">
        <v>1</v>
      </c>
      <c r="E4035">
        <v>42</v>
      </c>
      <c r="F4035">
        <v>6255</v>
      </c>
      <c r="G4035">
        <f t="shared" si="63"/>
        <v>1576979068</v>
      </c>
    </row>
    <row r="4036" spans="1:7" x14ac:dyDescent="0.25">
      <c r="A4036">
        <v>1576979342</v>
      </c>
      <c r="B4036" t="s">
        <v>26789</v>
      </c>
      <c r="C4036">
        <v>0</v>
      </c>
      <c r="D4036">
        <v>1</v>
      </c>
      <c r="E4036">
        <v>224</v>
      </c>
      <c r="F4036">
        <v>5413</v>
      </c>
      <c r="G4036">
        <f t="shared" si="63"/>
        <v>1576979342</v>
      </c>
    </row>
    <row r="4037" spans="1:7" x14ac:dyDescent="0.25">
      <c r="A4037">
        <v>1576979467</v>
      </c>
      <c r="B4037" t="s">
        <v>26790</v>
      </c>
      <c r="C4037">
        <v>0</v>
      </c>
      <c r="D4037">
        <v>1</v>
      </c>
      <c r="E4037">
        <v>26</v>
      </c>
      <c r="F4037">
        <v>6625</v>
      </c>
      <c r="G4037">
        <f t="shared" si="63"/>
        <v>1576979467</v>
      </c>
    </row>
    <row r="4038" spans="1:7" x14ac:dyDescent="0.25">
      <c r="A4038">
        <v>1576980103</v>
      </c>
      <c r="B4038" t="s">
        <v>26791</v>
      </c>
      <c r="C4038">
        <v>1785</v>
      </c>
      <c r="D4038">
        <v>1</v>
      </c>
      <c r="E4038">
        <v>213</v>
      </c>
      <c r="F4038">
        <v>5453</v>
      </c>
      <c r="G4038">
        <f t="shared" si="63"/>
        <v>1576980103</v>
      </c>
    </row>
    <row r="4039" spans="1:7" x14ac:dyDescent="0.25">
      <c r="A4039">
        <v>1576980105</v>
      </c>
      <c r="B4039" t="s">
        <v>26792</v>
      </c>
      <c r="C4039">
        <v>0</v>
      </c>
      <c r="D4039">
        <v>1</v>
      </c>
      <c r="E4039">
        <v>119</v>
      </c>
      <c r="F4039">
        <v>5789</v>
      </c>
      <c r="G4039">
        <f t="shared" si="63"/>
        <v>1576980105</v>
      </c>
    </row>
    <row r="4040" spans="1:7" x14ac:dyDescent="0.25">
      <c r="A4040">
        <v>1576980194</v>
      </c>
      <c r="B4040" t="s">
        <v>26793</v>
      </c>
      <c r="C4040">
        <v>1683</v>
      </c>
      <c r="D4040">
        <v>0</v>
      </c>
      <c r="E4040">
        <v>0</v>
      </c>
      <c r="F4040">
        <v>7621</v>
      </c>
      <c r="G4040">
        <f t="shared" si="63"/>
        <v>1576980194</v>
      </c>
    </row>
    <row r="4041" spans="1:7" x14ac:dyDescent="0.25">
      <c r="A4041">
        <v>1576980281</v>
      </c>
      <c r="B4041" t="s">
        <v>26794</v>
      </c>
      <c r="C4041">
        <v>0</v>
      </c>
      <c r="D4041">
        <v>1</v>
      </c>
      <c r="E4041">
        <v>287</v>
      </c>
      <c r="F4041">
        <v>5155</v>
      </c>
      <c r="G4041">
        <f t="shared" si="63"/>
        <v>1576980281</v>
      </c>
    </row>
    <row r="4042" spans="1:7" x14ac:dyDescent="0.25">
      <c r="A4042">
        <v>1576980922</v>
      </c>
      <c r="B4042" t="s">
        <v>26795</v>
      </c>
      <c r="C4042">
        <v>467</v>
      </c>
      <c r="D4042">
        <v>8</v>
      </c>
      <c r="E4042">
        <v>40137</v>
      </c>
      <c r="F4042">
        <v>88</v>
      </c>
      <c r="G4042">
        <f t="shared" si="63"/>
        <v>1576980922</v>
      </c>
    </row>
    <row r="4043" spans="1:7" x14ac:dyDescent="0.25">
      <c r="A4043">
        <v>1576983050</v>
      </c>
      <c r="B4043" t="s">
        <v>26796</v>
      </c>
      <c r="C4043">
        <v>0</v>
      </c>
      <c r="D4043">
        <v>1</v>
      </c>
      <c r="E4043">
        <v>461</v>
      </c>
      <c r="F4043">
        <v>4723</v>
      </c>
      <c r="G4043">
        <f t="shared" si="63"/>
        <v>1576983050</v>
      </c>
    </row>
    <row r="4044" spans="1:7" x14ac:dyDescent="0.25">
      <c r="A4044">
        <v>1576983306</v>
      </c>
      <c r="B4044" t="s">
        <v>26797</v>
      </c>
      <c r="C4044">
        <v>1699</v>
      </c>
      <c r="D4044">
        <v>1</v>
      </c>
      <c r="E4044">
        <v>6213</v>
      </c>
      <c r="F4044">
        <v>2227</v>
      </c>
      <c r="G4044">
        <f t="shared" si="63"/>
        <v>1576983306</v>
      </c>
    </row>
    <row r="4045" spans="1:7" x14ac:dyDescent="0.25">
      <c r="A4045">
        <v>1576983367</v>
      </c>
      <c r="B4045" t="s">
        <v>26798</v>
      </c>
      <c r="C4045">
        <v>977</v>
      </c>
      <c r="D4045">
        <v>1</v>
      </c>
      <c r="E4045">
        <v>561</v>
      </c>
      <c r="F4045">
        <v>4535</v>
      </c>
      <c r="G4045">
        <f t="shared" si="63"/>
        <v>1576983367</v>
      </c>
    </row>
    <row r="4046" spans="1:7" x14ac:dyDescent="0.25">
      <c r="A4046">
        <v>1576983569</v>
      </c>
      <c r="B4046" t="s">
        <v>26799</v>
      </c>
      <c r="C4046">
        <v>3</v>
      </c>
      <c r="D4046">
        <v>3</v>
      </c>
      <c r="E4046">
        <v>15503</v>
      </c>
      <c r="F4046">
        <v>948</v>
      </c>
      <c r="G4046">
        <f t="shared" si="63"/>
        <v>1576983569</v>
      </c>
    </row>
    <row r="4047" spans="1:7" x14ac:dyDescent="0.25">
      <c r="A4047">
        <v>1576983577</v>
      </c>
      <c r="B4047" t="s">
        <v>26800</v>
      </c>
      <c r="C4047">
        <v>1100</v>
      </c>
      <c r="D4047">
        <v>3</v>
      </c>
      <c r="E4047">
        <v>10960</v>
      </c>
      <c r="F4047">
        <v>1428</v>
      </c>
      <c r="G4047">
        <f t="shared" si="63"/>
        <v>1576983577</v>
      </c>
    </row>
    <row r="4048" spans="1:7" x14ac:dyDescent="0.25">
      <c r="A4048">
        <v>1576983671</v>
      </c>
      <c r="B4048" t="s">
        <v>26801</v>
      </c>
      <c r="C4048">
        <v>0</v>
      </c>
      <c r="D4048">
        <v>0</v>
      </c>
      <c r="E4048">
        <v>0</v>
      </c>
      <c r="F4048">
        <v>7622</v>
      </c>
      <c r="G4048">
        <f t="shared" si="63"/>
        <v>1576983671</v>
      </c>
    </row>
    <row r="4049" spans="1:7" x14ac:dyDescent="0.25">
      <c r="A4049">
        <v>1576983747</v>
      </c>
      <c r="B4049" t="s">
        <v>36530</v>
      </c>
      <c r="C4049">
        <v>0</v>
      </c>
      <c r="D4049">
        <v>0</v>
      </c>
      <c r="E4049">
        <v>0</v>
      </c>
      <c r="F4049">
        <v>7623</v>
      </c>
      <c r="G4049">
        <f t="shared" si="63"/>
        <v>1576983747</v>
      </c>
    </row>
    <row r="4050" spans="1:7" x14ac:dyDescent="0.25">
      <c r="A4050">
        <v>1576984066</v>
      </c>
      <c r="B4050" t="s">
        <v>26802</v>
      </c>
      <c r="C4050">
        <v>1960</v>
      </c>
      <c r="D4050">
        <v>1</v>
      </c>
      <c r="E4050">
        <v>5171</v>
      </c>
      <c r="F4050">
        <v>2475</v>
      </c>
      <c r="G4050">
        <f t="shared" si="63"/>
        <v>1576984066</v>
      </c>
    </row>
    <row r="4051" spans="1:7" x14ac:dyDescent="0.25">
      <c r="A4051">
        <v>1576984501</v>
      </c>
      <c r="B4051" t="s">
        <v>26803</v>
      </c>
      <c r="C4051">
        <v>1775</v>
      </c>
      <c r="D4051">
        <v>3</v>
      </c>
      <c r="E4051">
        <v>10848</v>
      </c>
      <c r="F4051">
        <v>1440</v>
      </c>
      <c r="G4051">
        <f t="shared" si="63"/>
        <v>1576984501</v>
      </c>
    </row>
    <row r="4052" spans="1:7" x14ac:dyDescent="0.25">
      <c r="A4052">
        <v>1576984666</v>
      </c>
      <c r="B4052" t="s">
        <v>26804</v>
      </c>
      <c r="C4052">
        <v>1836</v>
      </c>
      <c r="D4052">
        <v>1</v>
      </c>
      <c r="E4052">
        <v>887</v>
      </c>
      <c r="F4052">
        <v>4104</v>
      </c>
      <c r="G4052">
        <f t="shared" si="63"/>
        <v>1576984666</v>
      </c>
    </row>
    <row r="4053" spans="1:7" x14ac:dyDescent="0.25">
      <c r="A4053">
        <v>1576984901</v>
      </c>
      <c r="B4053" t="s">
        <v>26805</v>
      </c>
      <c r="C4053">
        <v>541</v>
      </c>
      <c r="D4053">
        <v>2</v>
      </c>
      <c r="E4053">
        <v>8865</v>
      </c>
      <c r="F4053">
        <v>1743</v>
      </c>
      <c r="G4053">
        <f t="shared" si="63"/>
        <v>1576984901</v>
      </c>
    </row>
    <row r="4054" spans="1:7" x14ac:dyDescent="0.25">
      <c r="A4054">
        <v>1576985101</v>
      </c>
      <c r="B4054" t="s">
        <v>26806</v>
      </c>
      <c r="C4054">
        <v>0</v>
      </c>
      <c r="D4054">
        <v>1</v>
      </c>
      <c r="E4054">
        <v>26</v>
      </c>
      <c r="F4054">
        <v>6626</v>
      </c>
      <c r="G4054">
        <f t="shared" si="63"/>
        <v>1576985101</v>
      </c>
    </row>
    <row r="4055" spans="1:7" x14ac:dyDescent="0.25">
      <c r="A4055">
        <v>1576985899</v>
      </c>
      <c r="B4055" t="s">
        <v>26807</v>
      </c>
      <c r="C4055">
        <v>0</v>
      </c>
      <c r="D4055">
        <v>1</v>
      </c>
      <c r="E4055">
        <v>44</v>
      </c>
      <c r="F4055">
        <v>6241</v>
      </c>
      <c r="G4055">
        <f t="shared" si="63"/>
        <v>1576985899</v>
      </c>
    </row>
    <row r="4056" spans="1:7" x14ac:dyDescent="0.25">
      <c r="A4056">
        <v>1576986104</v>
      </c>
      <c r="B4056" t="s">
        <v>3928</v>
      </c>
      <c r="C4056">
        <v>0</v>
      </c>
      <c r="D4056">
        <v>1</v>
      </c>
      <c r="E4056">
        <v>340</v>
      </c>
      <c r="F4056">
        <v>5008</v>
      </c>
      <c r="G4056">
        <f t="shared" si="63"/>
        <v>1576986104</v>
      </c>
    </row>
    <row r="4057" spans="1:7" x14ac:dyDescent="0.25">
      <c r="A4057">
        <v>1576986420</v>
      </c>
      <c r="B4057" t="s">
        <v>26808</v>
      </c>
      <c r="C4057">
        <v>0</v>
      </c>
      <c r="D4057">
        <v>1</v>
      </c>
      <c r="E4057">
        <v>229</v>
      </c>
      <c r="F4057">
        <v>5392</v>
      </c>
      <c r="G4057">
        <f t="shared" si="63"/>
        <v>1576986420</v>
      </c>
    </row>
    <row r="4058" spans="1:7" x14ac:dyDescent="0.25">
      <c r="A4058">
        <v>1576986803</v>
      </c>
      <c r="B4058" t="s">
        <v>26809</v>
      </c>
      <c r="C4058">
        <v>1979</v>
      </c>
      <c r="D4058">
        <v>1</v>
      </c>
      <c r="E4058">
        <v>238</v>
      </c>
      <c r="F4058">
        <v>5358</v>
      </c>
      <c r="G4058">
        <f t="shared" si="63"/>
        <v>1576986803</v>
      </c>
    </row>
    <row r="4059" spans="1:7" x14ac:dyDescent="0.25">
      <c r="A4059">
        <v>1576987012</v>
      </c>
      <c r="B4059" t="s">
        <v>26810</v>
      </c>
      <c r="C4059">
        <v>1973</v>
      </c>
      <c r="D4059">
        <v>1</v>
      </c>
      <c r="E4059">
        <v>93</v>
      </c>
      <c r="F4059">
        <v>5889</v>
      </c>
      <c r="G4059">
        <f t="shared" si="63"/>
        <v>1576987012</v>
      </c>
    </row>
    <row r="4060" spans="1:7" x14ac:dyDescent="0.25">
      <c r="A4060">
        <v>1576987161</v>
      </c>
      <c r="B4060" t="s">
        <v>26811</v>
      </c>
      <c r="C4060">
        <v>0</v>
      </c>
      <c r="D4060">
        <v>0</v>
      </c>
      <c r="E4060">
        <v>0</v>
      </c>
      <c r="F4060">
        <v>7624</v>
      </c>
      <c r="G4060">
        <f t="shared" si="63"/>
        <v>1576987161</v>
      </c>
    </row>
    <row r="4061" spans="1:7" x14ac:dyDescent="0.25">
      <c r="A4061">
        <v>1576987194</v>
      </c>
      <c r="B4061" t="s">
        <v>26812</v>
      </c>
      <c r="C4061">
        <v>1403</v>
      </c>
      <c r="D4061">
        <v>1</v>
      </c>
      <c r="E4061">
        <v>4720</v>
      </c>
      <c r="F4061">
        <v>2590</v>
      </c>
      <c r="G4061">
        <f t="shared" si="63"/>
        <v>1576987194</v>
      </c>
    </row>
    <row r="4062" spans="1:7" x14ac:dyDescent="0.25">
      <c r="A4062">
        <v>1576987531</v>
      </c>
      <c r="B4062" t="s">
        <v>26813</v>
      </c>
      <c r="C4062">
        <v>0</v>
      </c>
      <c r="D4062">
        <v>0</v>
      </c>
      <c r="E4062">
        <v>0</v>
      </c>
      <c r="F4062">
        <v>7625</v>
      </c>
      <c r="G4062">
        <f t="shared" si="63"/>
        <v>1576987531</v>
      </c>
    </row>
    <row r="4063" spans="1:7" x14ac:dyDescent="0.25">
      <c r="A4063">
        <v>1576987597</v>
      </c>
      <c r="B4063" t="s">
        <v>26814</v>
      </c>
      <c r="C4063">
        <v>882</v>
      </c>
      <c r="D4063">
        <v>2</v>
      </c>
      <c r="E4063">
        <v>6914</v>
      </c>
      <c r="F4063">
        <v>2081</v>
      </c>
      <c r="G4063">
        <f t="shared" si="63"/>
        <v>1576987597</v>
      </c>
    </row>
    <row r="4064" spans="1:7" x14ac:dyDescent="0.25">
      <c r="A4064">
        <v>1576987972</v>
      </c>
      <c r="B4064" t="s">
        <v>4250</v>
      </c>
      <c r="C4064">
        <v>1888</v>
      </c>
      <c r="D4064">
        <v>1</v>
      </c>
      <c r="E4064">
        <v>442</v>
      </c>
      <c r="F4064">
        <v>4758</v>
      </c>
      <c r="G4064">
        <f t="shared" si="63"/>
        <v>1576987972</v>
      </c>
    </row>
    <row r="4065" spans="1:7" x14ac:dyDescent="0.25">
      <c r="A4065">
        <v>1576988145</v>
      </c>
      <c r="B4065" t="s">
        <v>26815</v>
      </c>
      <c r="C4065">
        <v>0</v>
      </c>
      <c r="D4065">
        <v>1</v>
      </c>
      <c r="E4065">
        <v>284</v>
      </c>
      <c r="F4065">
        <v>5168</v>
      </c>
      <c r="G4065">
        <f t="shared" si="63"/>
        <v>1576988145</v>
      </c>
    </row>
    <row r="4066" spans="1:7" x14ac:dyDescent="0.25">
      <c r="A4066">
        <v>1576988282</v>
      </c>
      <c r="B4066" t="s">
        <v>26816</v>
      </c>
      <c r="C4066">
        <v>0</v>
      </c>
      <c r="D4066">
        <v>1</v>
      </c>
      <c r="E4066">
        <v>26</v>
      </c>
      <c r="F4066">
        <v>6627</v>
      </c>
      <c r="G4066">
        <f t="shared" si="63"/>
        <v>1576988282</v>
      </c>
    </row>
    <row r="4067" spans="1:7" x14ac:dyDescent="0.25">
      <c r="A4067">
        <v>1576988391</v>
      </c>
      <c r="B4067" t="s">
        <v>36531</v>
      </c>
      <c r="C4067">
        <v>0</v>
      </c>
      <c r="D4067">
        <v>0</v>
      </c>
      <c r="E4067">
        <v>0</v>
      </c>
      <c r="F4067">
        <v>7626</v>
      </c>
      <c r="G4067">
        <f t="shared" si="63"/>
        <v>1576988391</v>
      </c>
    </row>
    <row r="4068" spans="1:7" x14ac:dyDescent="0.25">
      <c r="A4068">
        <v>1576988596</v>
      </c>
      <c r="B4068" t="s">
        <v>36532</v>
      </c>
      <c r="C4068">
        <v>0</v>
      </c>
      <c r="D4068">
        <v>0</v>
      </c>
      <c r="E4068">
        <v>0</v>
      </c>
      <c r="F4068">
        <v>7627</v>
      </c>
      <c r="G4068">
        <f t="shared" si="63"/>
        <v>1576988596</v>
      </c>
    </row>
    <row r="4069" spans="1:7" x14ac:dyDescent="0.25">
      <c r="A4069">
        <v>1576988780</v>
      </c>
      <c r="B4069" t="s">
        <v>26817</v>
      </c>
      <c r="C4069">
        <v>1858</v>
      </c>
      <c r="D4069">
        <v>1</v>
      </c>
      <c r="E4069">
        <v>1301</v>
      </c>
      <c r="F4069">
        <v>3726</v>
      </c>
      <c r="G4069">
        <f t="shared" si="63"/>
        <v>1576988780</v>
      </c>
    </row>
    <row r="4070" spans="1:7" x14ac:dyDescent="0.25">
      <c r="A4070">
        <v>1576988900</v>
      </c>
      <c r="B4070" t="s">
        <v>26818</v>
      </c>
      <c r="C4070">
        <v>0</v>
      </c>
      <c r="D4070">
        <v>1</v>
      </c>
      <c r="E4070">
        <v>26</v>
      </c>
      <c r="F4070">
        <v>6628</v>
      </c>
      <c r="G4070">
        <f t="shared" si="63"/>
        <v>1576988900</v>
      </c>
    </row>
    <row r="4071" spans="1:7" x14ac:dyDescent="0.25">
      <c r="A4071">
        <v>1576989669</v>
      </c>
      <c r="B4071" t="s">
        <v>26819</v>
      </c>
      <c r="C4071">
        <v>0</v>
      </c>
      <c r="D4071">
        <v>0</v>
      </c>
      <c r="E4071">
        <v>0</v>
      </c>
      <c r="F4071">
        <v>7628</v>
      </c>
      <c r="G4071">
        <f t="shared" si="63"/>
        <v>1576989669</v>
      </c>
    </row>
    <row r="4072" spans="1:7" x14ac:dyDescent="0.25">
      <c r="A4072">
        <v>1576989867</v>
      </c>
      <c r="B4072" t="s">
        <v>26820</v>
      </c>
      <c r="C4072">
        <v>0</v>
      </c>
      <c r="D4072">
        <v>1</v>
      </c>
      <c r="E4072">
        <v>94</v>
      </c>
      <c r="F4072">
        <v>5886</v>
      </c>
      <c r="G4072">
        <f t="shared" si="63"/>
        <v>1576989867</v>
      </c>
    </row>
    <row r="4073" spans="1:7" x14ac:dyDescent="0.25">
      <c r="A4073">
        <v>1576990616</v>
      </c>
      <c r="B4073" t="s">
        <v>26821</v>
      </c>
      <c r="C4073">
        <v>1914</v>
      </c>
      <c r="D4073">
        <v>1</v>
      </c>
      <c r="E4073">
        <v>966</v>
      </c>
      <c r="F4073">
        <v>4025</v>
      </c>
      <c r="G4073">
        <f t="shared" si="63"/>
        <v>1576990616</v>
      </c>
    </row>
    <row r="4074" spans="1:7" x14ac:dyDescent="0.25">
      <c r="A4074">
        <v>1576990689</v>
      </c>
      <c r="B4074" t="s">
        <v>26822</v>
      </c>
      <c r="C4074">
        <v>0</v>
      </c>
      <c r="D4074">
        <v>1</v>
      </c>
      <c r="E4074">
        <v>44</v>
      </c>
      <c r="F4074">
        <v>6242</v>
      </c>
      <c r="G4074">
        <f t="shared" si="63"/>
        <v>1576990689</v>
      </c>
    </row>
    <row r="4075" spans="1:7" x14ac:dyDescent="0.25">
      <c r="A4075">
        <v>1576990783</v>
      </c>
      <c r="B4075" t="s">
        <v>26823</v>
      </c>
      <c r="C4075">
        <v>0</v>
      </c>
      <c r="D4075">
        <v>0</v>
      </c>
      <c r="E4075">
        <v>0</v>
      </c>
      <c r="F4075">
        <v>7629</v>
      </c>
      <c r="G4075">
        <f t="shared" si="63"/>
        <v>1576990783</v>
      </c>
    </row>
    <row r="4076" spans="1:7" x14ac:dyDescent="0.25">
      <c r="A4076">
        <v>1576990941</v>
      </c>
      <c r="B4076" t="s">
        <v>36533</v>
      </c>
      <c r="C4076">
        <v>1633</v>
      </c>
      <c r="D4076">
        <v>1</v>
      </c>
      <c r="E4076">
        <v>914</v>
      </c>
      <c r="F4076">
        <v>4079</v>
      </c>
      <c r="G4076">
        <f t="shared" si="63"/>
        <v>1576990941</v>
      </c>
    </row>
    <row r="4077" spans="1:7" x14ac:dyDescent="0.25">
      <c r="A4077">
        <v>1576990955</v>
      </c>
      <c r="B4077" t="s">
        <v>36534</v>
      </c>
      <c r="C4077">
        <v>1705</v>
      </c>
      <c r="D4077">
        <v>1</v>
      </c>
      <c r="E4077">
        <v>190</v>
      </c>
      <c r="F4077">
        <v>5540</v>
      </c>
      <c r="G4077">
        <f t="shared" si="63"/>
        <v>1576990955</v>
      </c>
    </row>
    <row r="4078" spans="1:7" x14ac:dyDescent="0.25">
      <c r="A4078">
        <v>1576990988</v>
      </c>
      <c r="B4078" t="s">
        <v>26824</v>
      </c>
      <c r="C4078">
        <v>95</v>
      </c>
      <c r="D4078">
        <v>1</v>
      </c>
      <c r="E4078">
        <v>1862</v>
      </c>
      <c r="F4078">
        <v>3410</v>
      </c>
      <c r="G4078">
        <f t="shared" si="63"/>
        <v>1576990988</v>
      </c>
    </row>
    <row r="4079" spans="1:7" x14ac:dyDescent="0.25">
      <c r="A4079">
        <v>1576991011</v>
      </c>
      <c r="B4079" t="s">
        <v>26825</v>
      </c>
      <c r="C4079">
        <v>268</v>
      </c>
      <c r="D4079">
        <v>0</v>
      </c>
      <c r="E4079">
        <v>0</v>
      </c>
      <c r="F4079">
        <v>7630</v>
      </c>
      <c r="G4079">
        <f t="shared" si="63"/>
        <v>1576991011</v>
      </c>
    </row>
    <row r="4080" spans="1:7" x14ac:dyDescent="0.25">
      <c r="A4080">
        <v>1576991291</v>
      </c>
      <c r="B4080" t="s">
        <v>26826</v>
      </c>
      <c r="C4080">
        <v>266</v>
      </c>
      <c r="D4080">
        <v>1</v>
      </c>
      <c r="E4080">
        <v>40</v>
      </c>
      <c r="F4080">
        <v>6260</v>
      </c>
      <c r="G4080">
        <f t="shared" si="63"/>
        <v>1576991291</v>
      </c>
    </row>
    <row r="4081" spans="1:7" x14ac:dyDescent="0.25">
      <c r="A4081">
        <v>1576991328</v>
      </c>
      <c r="B4081" t="s">
        <v>26827</v>
      </c>
      <c r="C4081">
        <v>118</v>
      </c>
      <c r="D4081">
        <v>1</v>
      </c>
      <c r="E4081">
        <v>4505</v>
      </c>
      <c r="F4081">
        <v>2618</v>
      </c>
      <c r="G4081">
        <f t="shared" si="63"/>
        <v>1576991328</v>
      </c>
    </row>
    <row r="4082" spans="1:7" x14ac:dyDescent="0.25">
      <c r="A4082">
        <v>1576991474</v>
      </c>
      <c r="B4082" t="s">
        <v>26828</v>
      </c>
      <c r="C4082">
        <v>0</v>
      </c>
      <c r="D4082">
        <v>1</v>
      </c>
      <c r="E4082">
        <v>380</v>
      </c>
      <c r="F4082">
        <v>4904</v>
      </c>
      <c r="G4082">
        <f t="shared" si="63"/>
        <v>1576991474</v>
      </c>
    </row>
    <row r="4083" spans="1:7" x14ac:dyDescent="0.25">
      <c r="A4083">
        <v>1576991527</v>
      </c>
      <c r="B4083" t="s">
        <v>36535</v>
      </c>
      <c r="C4083">
        <v>1107</v>
      </c>
      <c r="D4083">
        <v>1</v>
      </c>
      <c r="E4083">
        <v>358</v>
      </c>
      <c r="F4083">
        <v>4957</v>
      </c>
      <c r="G4083">
        <f t="shared" si="63"/>
        <v>1576991527</v>
      </c>
    </row>
    <row r="4084" spans="1:7" x14ac:dyDescent="0.25">
      <c r="A4084">
        <v>1576991804</v>
      </c>
      <c r="B4084" t="s">
        <v>26829</v>
      </c>
      <c r="C4084">
        <v>0</v>
      </c>
      <c r="D4084">
        <v>0</v>
      </c>
      <c r="E4084">
        <v>0</v>
      </c>
      <c r="F4084">
        <v>7631</v>
      </c>
      <c r="G4084">
        <f t="shared" si="63"/>
        <v>1576991804</v>
      </c>
    </row>
    <row r="4085" spans="1:7" x14ac:dyDescent="0.25">
      <c r="A4085">
        <v>1576991850</v>
      </c>
      <c r="B4085" t="s">
        <v>36536</v>
      </c>
      <c r="C4085">
        <v>0</v>
      </c>
      <c r="D4085">
        <v>0</v>
      </c>
      <c r="E4085">
        <v>0</v>
      </c>
      <c r="F4085">
        <v>7632</v>
      </c>
      <c r="G4085">
        <f t="shared" si="63"/>
        <v>1576991850</v>
      </c>
    </row>
    <row r="4086" spans="1:7" x14ac:dyDescent="0.25">
      <c r="A4086">
        <v>1576991907</v>
      </c>
      <c r="B4086" t="s">
        <v>26830</v>
      </c>
      <c r="C4086">
        <v>189</v>
      </c>
      <c r="D4086">
        <v>3</v>
      </c>
      <c r="E4086">
        <v>13423</v>
      </c>
      <c r="F4086">
        <v>1129</v>
      </c>
      <c r="G4086">
        <f t="shared" si="63"/>
        <v>1576991907</v>
      </c>
    </row>
    <row r="4087" spans="1:7" x14ac:dyDescent="0.25">
      <c r="A4087">
        <v>1576992125</v>
      </c>
      <c r="B4087" t="s">
        <v>26831</v>
      </c>
      <c r="C4087">
        <v>1232</v>
      </c>
      <c r="D4087">
        <v>1</v>
      </c>
      <c r="E4087">
        <v>1617</v>
      </c>
      <c r="F4087">
        <v>3540</v>
      </c>
      <c r="G4087">
        <f t="shared" si="63"/>
        <v>1576992125</v>
      </c>
    </row>
    <row r="4088" spans="1:7" x14ac:dyDescent="0.25">
      <c r="A4088">
        <v>1576992134</v>
      </c>
      <c r="B4088" t="s">
        <v>26832</v>
      </c>
      <c r="C4088">
        <v>1357</v>
      </c>
      <c r="D4088">
        <v>1</v>
      </c>
      <c r="E4088">
        <v>573</v>
      </c>
      <c r="F4088">
        <v>4508</v>
      </c>
      <c r="G4088">
        <f t="shared" si="63"/>
        <v>1576992134</v>
      </c>
    </row>
    <row r="4089" spans="1:7" x14ac:dyDescent="0.25">
      <c r="A4089">
        <v>1576992254</v>
      </c>
      <c r="B4089" t="s">
        <v>26833</v>
      </c>
      <c r="C4089">
        <v>0</v>
      </c>
      <c r="D4089">
        <v>1</v>
      </c>
      <c r="E4089">
        <v>26</v>
      </c>
      <c r="F4089">
        <v>6629</v>
      </c>
      <c r="G4089">
        <f t="shared" si="63"/>
        <v>1576992254</v>
      </c>
    </row>
    <row r="4090" spans="1:7" x14ac:dyDescent="0.25">
      <c r="A4090">
        <v>1576992293</v>
      </c>
      <c r="B4090" t="s">
        <v>26834</v>
      </c>
      <c r="C4090">
        <v>199</v>
      </c>
      <c r="D4090">
        <v>1</v>
      </c>
      <c r="E4090">
        <v>8378</v>
      </c>
      <c r="F4090">
        <v>1814</v>
      </c>
      <c r="G4090">
        <f t="shared" si="63"/>
        <v>1576992293</v>
      </c>
    </row>
    <row r="4091" spans="1:7" x14ac:dyDescent="0.25">
      <c r="A4091">
        <v>1576992332</v>
      </c>
      <c r="B4091" t="s">
        <v>26835</v>
      </c>
      <c r="C4091">
        <v>625</v>
      </c>
      <c r="D4091">
        <v>2</v>
      </c>
      <c r="E4091">
        <v>10794</v>
      </c>
      <c r="F4091">
        <v>1450</v>
      </c>
      <c r="G4091">
        <f t="shared" si="63"/>
        <v>1576992332</v>
      </c>
    </row>
    <row r="4092" spans="1:7" x14ac:dyDescent="0.25">
      <c r="A4092">
        <v>1576992370</v>
      </c>
      <c r="B4092" t="s">
        <v>26836</v>
      </c>
      <c r="C4092">
        <v>1888</v>
      </c>
      <c r="D4092">
        <v>3</v>
      </c>
      <c r="E4092">
        <v>12064</v>
      </c>
      <c r="F4092">
        <v>1274</v>
      </c>
      <c r="G4092">
        <f t="shared" si="63"/>
        <v>1576992370</v>
      </c>
    </row>
    <row r="4093" spans="1:7" x14ac:dyDescent="0.25">
      <c r="A4093">
        <v>1576992563</v>
      </c>
      <c r="B4093" t="s">
        <v>26837</v>
      </c>
      <c r="C4093">
        <v>131</v>
      </c>
      <c r="D4093">
        <v>4</v>
      </c>
      <c r="E4093">
        <v>20244</v>
      </c>
      <c r="F4093">
        <v>611</v>
      </c>
      <c r="G4093">
        <f t="shared" si="63"/>
        <v>1576992563</v>
      </c>
    </row>
    <row r="4094" spans="1:7" x14ac:dyDescent="0.25">
      <c r="A4094">
        <v>1576992678</v>
      </c>
      <c r="B4094" t="s">
        <v>36537</v>
      </c>
      <c r="C4094">
        <v>25</v>
      </c>
      <c r="D4094">
        <v>0</v>
      </c>
      <c r="E4094">
        <v>0</v>
      </c>
      <c r="F4094">
        <v>7633</v>
      </c>
      <c r="G4094">
        <f t="shared" si="63"/>
        <v>1576992678</v>
      </c>
    </row>
    <row r="4095" spans="1:7" x14ac:dyDescent="0.25">
      <c r="A4095">
        <v>1576992743</v>
      </c>
      <c r="B4095" t="s">
        <v>26838</v>
      </c>
      <c r="C4095">
        <v>1913</v>
      </c>
      <c r="D4095">
        <v>1</v>
      </c>
      <c r="E4095">
        <v>1667</v>
      </c>
      <c r="F4095">
        <v>3513</v>
      </c>
      <c r="G4095">
        <f t="shared" si="63"/>
        <v>1576992743</v>
      </c>
    </row>
    <row r="4096" spans="1:7" x14ac:dyDescent="0.25">
      <c r="A4096">
        <v>1576993563</v>
      </c>
      <c r="B4096" t="s">
        <v>26839</v>
      </c>
      <c r="C4096">
        <v>1914</v>
      </c>
      <c r="D4096">
        <v>1</v>
      </c>
      <c r="E4096">
        <v>248</v>
      </c>
      <c r="F4096">
        <v>5331</v>
      </c>
      <c r="G4096">
        <f t="shared" si="63"/>
        <v>1576993563</v>
      </c>
    </row>
    <row r="4097" spans="1:7" x14ac:dyDescent="0.25">
      <c r="A4097">
        <v>1576993593</v>
      </c>
      <c r="B4097" t="s">
        <v>26840</v>
      </c>
      <c r="C4097">
        <v>118</v>
      </c>
      <c r="D4097">
        <v>1</v>
      </c>
      <c r="E4097">
        <v>3971</v>
      </c>
      <c r="F4097">
        <v>2773</v>
      </c>
      <c r="G4097">
        <f t="shared" ref="G4097:G4160" si="64">A4097</f>
        <v>1576993593</v>
      </c>
    </row>
    <row r="4098" spans="1:7" x14ac:dyDescent="0.25">
      <c r="A4098">
        <v>1576993697</v>
      </c>
      <c r="B4098" t="s">
        <v>37052</v>
      </c>
      <c r="C4098">
        <v>0</v>
      </c>
      <c r="D4098">
        <v>1</v>
      </c>
      <c r="E4098">
        <v>1417</v>
      </c>
      <c r="F4098">
        <v>3643</v>
      </c>
      <c r="G4098">
        <f t="shared" si="64"/>
        <v>1576993697</v>
      </c>
    </row>
    <row r="4099" spans="1:7" x14ac:dyDescent="0.25">
      <c r="A4099">
        <v>1576993982</v>
      </c>
      <c r="B4099" t="s">
        <v>1680</v>
      </c>
      <c r="C4099">
        <v>0</v>
      </c>
      <c r="D4099">
        <v>1</v>
      </c>
      <c r="E4099">
        <v>513</v>
      </c>
      <c r="F4099">
        <v>4605</v>
      </c>
      <c r="G4099">
        <f t="shared" si="64"/>
        <v>1576993982</v>
      </c>
    </row>
    <row r="4100" spans="1:7" x14ac:dyDescent="0.25">
      <c r="A4100">
        <v>1576994383</v>
      </c>
      <c r="B4100" t="s">
        <v>26841</v>
      </c>
      <c r="C4100">
        <v>1284</v>
      </c>
      <c r="D4100">
        <v>0</v>
      </c>
      <c r="E4100">
        <v>0</v>
      </c>
      <c r="F4100">
        <v>7634</v>
      </c>
      <c r="G4100">
        <f t="shared" si="64"/>
        <v>1576994383</v>
      </c>
    </row>
    <row r="4101" spans="1:7" x14ac:dyDescent="0.25">
      <c r="A4101">
        <v>1576994567</v>
      </c>
      <c r="B4101" t="s">
        <v>26842</v>
      </c>
      <c r="C4101">
        <v>0</v>
      </c>
      <c r="D4101">
        <v>1</v>
      </c>
      <c r="E4101">
        <v>26</v>
      </c>
      <c r="F4101">
        <v>6630</v>
      </c>
      <c r="G4101">
        <f t="shared" si="64"/>
        <v>1576994567</v>
      </c>
    </row>
    <row r="4102" spans="1:7" x14ac:dyDescent="0.25">
      <c r="A4102">
        <v>1576994611</v>
      </c>
      <c r="B4102" t="s">
        <v>26843</v>
      </c>
      <c r="C4102">
        <v>294</v>
      </c>
      <c r="D4102">
        <v>4</v>
      </c>
      <c r="E4102">
        <v>9122</v>
      </c>
      <c r="F4102">
        <v>1698</v>
      </c>
      <c r="G4102">
        <f t="shared" si="64"/>
        <v>1576994611</v>
      </c>
    </row>
    <row r="4103" spans="1:7" x14ac:dyDescent="0.25">
      <c r="A4103">
        <v>1576994616</v>
      </c>
      <c r="B4103" t="s">
        <v>26844</v>
      </c>
      <c r="C4103">
        <v>0</v>
      </c>
      <c r="D4103">
        <v>0</v>
      </c>
      <c r="E4103">
        <v>0</v>
      </c>
      <c r="F4103">
        <v>7635</v>
      </c>
      <c r="G4103">
        <f t="shared" si="64"/>
        <v>1576994616</v>
      </c>
    </row>
    <row r="4104" spans="1:7" x14ac:dyDescent="0.25">
      <c r="A4104">
        <v>1576994620</v>
      </c>
      <c r="B4104" t="s">
        <v>26845</v>
      </c>
      <c r="C4104">
        <v>0</v>
      </c>
      <c r="D4104">
        <v>0</v>
      </c>
      <c r="E4104">
        <v>0</v>
      </c>
      <c r="F4104">
        <v>7636</v>
      </c>
      <c r="G4104">
        <f t="shared" si="64"/>
        <v>1576994620</v>
      </c>
    </row>
    <row r="4105" spans="1:7" x14ac:dyDescent="0.25">
      <c r="A4105">
        <v>1576994627</v>
      </c>
      <c r="B4105" t="s">
        <v>26846</v>
      </c>
      <c r="C4105">
        <v>67</v>
      </c>
      <c r="D4105">
        <v>2</v>
      </c>
      <c r="E4105">
        <v>9958</v>
      </c>
      <c r="F4105">
        <v>1569</v>
      </c>
      <c r="G4105">
        <f t="shared" si="64"/>
        <v>1576994627</v>
      </c>
    </row>
    <row r="4106" spans="1:7" x14ac:dyDescent="0.25">
      <c r="A4106">
        <v>1576994636</v>
      </c>
      <c r="B4106" t="s">
        <v>26847</v>
      </c>
      <c r="C4106">
        <v>126</v>
      </c>
      <c r="D4106">
        <v>4</v>
      </c>
      <c r="E4106">
        <v>24874</v>
      </c>
      <c r="F4106">
        <v>402</v>
      </c>
      <c r="G4106">
        <f t="shared" si="64"/>
        <v>1576994636</v>
      </c>
    </row>
    <row r="4107" spans="1:7" x14ac:dyDescent="0.25">
      <c r="A4107">
        <v>1576994804</v>
      </c>
      <c r="B4107" t="s">
        <v>26848</v>
      </c>
      <c r="C4107">
        <v>0</v>
      </c>
      <c r="D4107">
        <v>0</v>
      </c>
      <c r="E4107">
        <v>0</v>
      </c>
      <c r="F4107">
        <v>7637</v>
      </c>
      <c r="G4107">
        <f t="shared" si="64"/>
        <v>1576994804</v>
      </c>
    </row>
    <row r="4108" spans="1:7" x14ac:dyDescent="0.25">
      <c r="A4108">
        <v>1576994865</v>
      </c>
      <c r="B4108" t="s">
        <v>26849</v>
      </c>
      <c r="C4108">
        <v>0</v>
      </c>
      <c r="D4108">
        <v>1</v>
      </c>
      <c r="E4108">
        <v>216</v>
      </c>
      <c r="F4108">
        <v>5446</v>
      </c>
      <c r="G4108">
        <f t="shared" si="64"/>
        <v>1576994865</v>
      </c>
    </row>
    <row r="4109" spans="1:7" x14ac:dyDescent="0.25">
      <c r="A4109">
        <v>1576995042</v>
      </c>
      <c r="B4109" t="s">
        <v>26850</v>
      </c>
      <c r="C4109">
        <v>160</v>
      </c>
      <c r="D4109">
        <v>3</v>
      </c>
      <c r="E4109">
        <v>15090</v>
      </c>
      <c r="F4109">
        <v>989</v>
      </c>
      <c r="G4109">
        <f t="shared" si="64"/>
        <v>1576995042</v>
      </c>
    </row>
    <row r="4110" spans="1:7" x14ac:dyDescent="0.25">
      <c r="A4110">
        <v>1576995319</v>
      </c>
      <c r="B4110" t="s">
        <v>26851</v>
      </c>
      <c r="C4110">
        <v>0</v>
      </c>
      <c r="D4110">
        <v>1</v>
      </c>
      <c r="E4110">
        <v>77</v>
      </c>
      <c r="F4110">
        <v>5996</v>
      </c>
      <c r="G4110">
        <f t="shared" si="64"/>
        <v>1576995319</v>
      </c>
    </row>
    <row r="4111" spans="1:7" x14ac:dyDescent="0.25">
      <c r="A4111">
        <v>1576995458</v>
      </c>
      <c r="B4111" t="s">
        <v>26852</v>
      </c>
      <c r="C4111">
        <v>15</v>
      </c>
      <c r="D4111">
        <v>1</v>
      </c>
      <c r="E4111">
        <v>26</v>
      </c>
      <c r="F4111">
        <v>6631</v>
      </c>
      <c r="G4111">
        <f t="shared" si="64"/>
        <v>1576995458</v>
      </c>
    </row>
    <row r="4112" spans="1:7" x14ac:dyDescent="0.25">
      <c r="A4112">
        <v>1576995701</v>
      </c>
      <c r="B4112" t="s">
        <v>37151</v>
      </c>
      <c r="C4112">
        <v>0</v>
      </c>
      <c r="D4112">
        <v>1</v>
      </c>
      <c r="E4112">
        <v>194</v>
      </c>
      <c r="F4112">
        <v>5521</v>
      </c>
      <c r="G4112">
        <f t="shared" si="64"/>
        <v>1576995701</v>
      </c>
    </row>
    <row r="4113" spans="1:7" x14ac:dyDescent="0.25">
      <c r="A4113">
        <v>1576995893</v>
      </c>
      <c r="B4113" t="s">
        <v>26853</v>
      </c>
      <c r="C4113">
        <v>1315</v>
      </c>
      <c r="D4113">
        <v>1</v>
      </c>
      <c r="E4113">
        <v>347</v>
      </c>
      <c r="F4113">
        <v>4993</v>
      </c>
      <c r="G4113">
        <f t="shared" si="64"/>
        <v>1576995893</v>
      </c>
    </row>
    <row r="4114" spans="1:7" x14ac:dyDescent="0.25">
      <c r="A4114">
        <v>1576996153</v>
      </c>
      <c r="B4114" t="s">
        <v>26854</v>
      </c>
      <c r="C4114">
        <v>0</v>
      </c>
      <c r="D4114">
        <v>0</v>
      </c>
      <c r="E4114">
        <v>0</v>
      </c>
      <c r="F4114">
        <v>7638</v>
      </c>
      <c r="G4114">
        <f t="shared" si="64"/>
        <v>1576996153</v>
      </c>
    </row>
    <row r="4115" spans="1:7" x14ac:dyDescent="0.25">
      <c r="A4115">
        <v>1576996165</v>
      </c>
      <c r="B4115" t="s">
        <v>26855</v>
      </c>
      <c r="C4115">
        <v>0</v>
      </c>
      <c r="D4115">
        <v>1</v>
      </c>
      <c r="E4115">
        <v>6237</v>
      </c>
      <c r="F4115">
        <v>2223</v>
      </c>
      <c r="G4115">
        <f t="shared" si="64"/>
        <v>1576996165</v>
      </c>
    </row>
    <row r="4116" spans="1:7" x14ac:dyDescent="0.25">
      <c r="A4116">
        <v>1576996170</v>
      </c>
      <c r="B4116" t="s">
        <v>26856</v>
      </c>
      <c r="C4116">
        <v>122</v>
      </c>
      <c r="D4116">
        <v>4</v>
      </c>
      <c r="E4116">
        <v>23196</v>
      </c>
      <c r="F4116">
        <v>465</v>
      </c>
      <c r="G4116">
        <f t="shared" si="64"/>
        <v>1576996170</v>
      </c>
    </row>
    <row r="4117" spans="1:7" x14ac:dyDescent="0.25">
      <c r="A4117">
        <v>1576996290</v>
      </c>
      <c r="B4117" t="s">
        <v>26857</v>
      </c>
      <c r="C4117">
        <v>1143</v>
      </c>
      <c r="D4117">
        <v>0</v>
      </c>
      <c r="E4117">
        <v>0</v>
      </c>
      <c r="F4117">
        <v>7639</v>
      </c>
      <c r="G4117">
        <f t="shared" si="64"/>
        <v>1576996290</v>
      </c>
    </row>
    <row r="4118" spans="1:7" x14ac:dyDescent="0.25">
      <c r="A4118">
        <v>1576996347</v>
      </c>
      <c r="B4118" t="s">
        <v>36538</v>
      </c>
      <c r="C4118">
        <v>0</v>
      </c>
      <c r="D4118">
        <v>1</v>
      </c>
      <c r="E4118">
        <v>562</v>
      </c>
      <c r="F4118">
        <v>4533</v>
      </c>
      <c r="G4118">
        <f t="shared" si="64"/>
        <v>1576996347</v>
      </c>
    </row>
    <row r="4119" spans="1:7" x14ac:dyDescent="0.25">
      <c r="A4119">
        <v>1576996406</v>
      </c>
      <c r="B4119" t="s">
        <v>26858</v>
      </c>
      <c r="C4119">
        <v>4</v>
      </c>
      <c r="D4119">
        <v>16</v>
      </c>
      <c r="E4119">
        <v>88968</v>
      </c>
      <c r="F4119">
        <v>2</v>
      </c>
      <c r="G4119">
        <f t="shared" si="64"/>
        <v>1576996406</v>
      </c>
    </row>
    <row r="4120" spans="1:7" x14ac:dyDescent="0.25">
      <c r="A4120">
        <v>1576996845</v>
      </c>
      <c r="B4120" t="s">
        <v>26859</v>
      </c>
      <c r="C4120">
        <v>1946</v>
      </c>
      <c r="D4120">
        <v>2</v>
      </c>
      <c r="E4120">
        <v>8755</v>
      </c>
      <c r="F4120">
        <v>1766</v>
      </c>
      <c r="G4120">
        <f t="shared" si="64"/>
        <v>1576996845</v>
      </c>
    </row>
    <row r="4121" spans="1:7" x14ac:dyDescent="0.25">
      <c r="A4121">
        <v>1576996984</v>
      </c>
      <c r="B4121" t="s">
        <v>26860</v>
      </c>
      <c r="C4121">
        <v>20</v>
      </c>
      <c r="D4121">
        <v>10</v>
      </c>
      <c r="E4121">
        <v>58227</v>
      </c>
      <c r="F4121">
        <v>21</v>
      </c>
      <c r="G4121">
        <f t="shared" si="64"/>
        <v>1576996984</v>
      </c>
    </row>
    <row r="4122" spans="1:7" x14ac:dyDescent="0.25">
      <c r="A4122">
        <v>1576996997</v>
      </c>
      <c r="B4122" t="s">
        <v>26861</v>
      </c>
      <c r="C4122">
        <v>0</v>
      </c>
      <c r="D4122">
        <v>1</v>
      </c>
      <c r="E4122">
        <v>1271</v>
      </c>
      <c r="F4122">
        <v>3745</v>
      </c>
      <c r="G4122">
        <f t="shared" si="64"/>
        <v>1576996997</v>
      </c>
    </row>
    <row r="4123" spans="1:7" x14ac:dyDescent="0.25">
      <c r="A4123">
        <v>1576997086</v>
      </c>
      <c r="B4123" t="s">
        <v>26862</v>
      </c>
      <c r="C4123">
        <v>1357</v>
      </c>
      <c r="D4123">
        <v>0</v>
      </c>
      <c r="E4123">
        <v>0</v>
      </c>
      <c r="F4123">
        <v>7640</v>
      </c>
      <c r="G4123">
        <f t="shared" si="64"/>
        <v>1576997086</v>
      </c>
    </row>
    <row r="4124" spans="1:7" x14ac:dyDescent="0.25">
      <c r="A4124">
        <v>1576997334</v>
      </c>
      <c r="B4124" t="s">
        <v>26863</v>
      </c>
      <c r="C4124">
        <v>625</v>
      </c>
      <c r="D4124">
        <v>3</v>
      </c>
      <c r="E4124">
        <v>17611</v>
      </c>
      <c r="F4124">
        <v>784</v>
      </c>
      <c r="G4124">
        <f t="shared" si="64"/>
        <v>1576997334</v>
      </c>
    </row>
    <row r="4125" spans="1:7" x14ac:dyDescent="0.25">
      <c r="A4125">
        <v>1576997488</v>
      </c>
      <c r="B4125" t="s">
        <v>26864</v>
      </c>
      <c r="C4125">
        <v>0</v>
      </c>
      <c r="D4125">
        <v>1</v>
      </c>
      <c r="E4125">
        <v>1334</v>
      </c>
      <c r="F4125">
        <v>3703</v>
      </c>
      <c r="G4125">
        <f t="shared" si="64"/>
        <v>1576997488</v>
      </c>
    </row>
    <row r="4126" spans="1:7" x14ac:dyDescent="0.25">
      <c r="A4126">
        <v>1576997544</v>
      </c>
      <c r="B4126" t="s">
        <v>26865</v>
      </c>
      <c r="C4126">
        <v>3</v>
      </c>
      <c r="D4126">
        <v>1</v>
      </c>
      <c r="E4126">
        <v>6795</v>
      </c>
      <c r="F4126">
        <v>2102</v>
      </c>
      <c r="G4126">
        <f t="shared" si="64"/>
        <v>1576997544</v>
      </c>
    </row>
    <row r="4127" spans="1:7" x14ac:dyDescent="0.25">
      <c r="A4127">
        <v>1576997551</v>
      </c>
      <c r="B4127" t="s">
        <v>26866</v>
      </c>
      <c r="C4127">
        <v>0</v>
      </c>
      <c r="D4127">
        <v>1</v>
      </c>
      <c r="E4127">
        <v>236</v>
      </c>
      <c r="F4127">
        <v>5406</v>
      </c>
      <c r="G4127">
        <f t="shared" si="64"/>
        <v>1576997551</v>
      </c>
    </row>
    <row r="4128" spans="1:7" x14ac:dyDescent="0.25">
      <c r="A4128">
        <v>1576997612</v>
      </c>
      <c r="B4128" t="s">
        <v>26867</v>
      </c>
      <c r="C4128">
        <v>274</v>
      </c>
      <c r="D4128">
        <v>0</v>
      </c>
      <c r="E4128">
        <v>0</v>
      </c>
      <c r="F4128">
        <v>7641</v>
      </c>
      <c r="G4128">
        <f t="shared" si="64"/>
        <v>1576997612</v>
      </c>
    </row>
    <row r="4129" spans="1:7" x14ac:dyDescent="0.25">
      <c r="A4129">
        <v>1576998005</v>
      </c>
      <c r="B4129" t="s">
        <v>26868</v>
      </c>
      <c r="C4129">
        <v>26</v>
      </c>
      <c r="D4129">
        <v>1</v>
      </c>
      <c r="E4129">
        <v>26</v>
      </c>
      <c r="F4129">
        <v>6632</v>
      </c>
      <c r="G4129">
        <f t="shared" si="64"/>
        <v>1576998005</v>
      </c>
    </row>
    <row r="4130" spans="1:7" x14ac:dyDescent="0.25">
      <c r="A4130">
        <v>1576998130</v>
      </c>
      <c r="B4130" t="s">
        <v>26869</v>
      </c>
      <c r="C4130">
        <v>1743</v>
      </c>
      <c r="D4130">
        <v>1</v>
      </c>
      <c r="E4130">
        <v>1622</v>
      </c>
      <c r="F4130">
        <v>3534</v>
      </c>
      <c r="G4130">
        <f t="shared" si="64"/>
        <v>1576998130</v>
      </c>
    </row>
    <row r="4131" spans="1:7" x14ac:dyDescent="0.25">
      <c r="A4131">
        <v>1576998192</v>
      </c>
      <c r="B4131" t="s">
        <v>26870</v>
      </c>
      <c r="C4131">
        <v>27</v>
      </c>
      <c r="D4131">
        <v>2</v>
      </c>
      <c r="E4131">
        <v>11750</v>
      </c>
      <c r="F4131">
        <v>1316</v>
      </c>
      <c r="G4131">
        <f t="shared" si="64"/>
        <v>1576998192</v>
      </c>
    </row>
    <row r="4132" spans="1:7" x14ac:dyDescent="0.25">
      <c r="A4132">
        <v>1576998206</v>
      </c>
      <c r="B4132" t="s">
        <v>26871</v>
      </c>
      <c r="C4132">
        <v>0</v>
      </c>
      <c r="D4132">
        <v>1</v>
      </c>
      <c r="E4132">
        <v>1619</v>
      </c>
      <c r="F4132">
        <v>3537</v>
      </c>
      <c r="G4132">
        <f t="shared" si="64"/>
        <v>1576998206</v>
      </c>
    </row>
    <row r="4133" spans="1:7" x14ac:dyDescent="0.25">
      <c r="A4133">
        <v>1576998401</v>
      </c>
      <c r="B4133" t="s">
        <v>36539</v>
      </c>
      <c r="C4133">
        <v>0</v>
      </c>
      <c r="D4133">
        <v>1</v>
      </c>
      <c r="E4133">
        <v>275</v>
      </c>
      <c r="F4133">
        <v>5214</v>
      </c>
      <c r="G4133">
        <f t="shared" si="64"/>
        <v>1576998401</v>
      </c>
    </row>
    <row r="4134" spans="1:7" x14ac:dyDescent="0.25">
      <c r="A4134">
        <v>1576998581</v>
      </c>
      <c r="B4134" t="s">
        <v>26872</v>
      </c>
      <c r="C4134">
        <v>0</v>
      </c>
      <c r="D4134">
        <v>1</v>
      </c>
      <c r="E4134">
        <v>26</v>
      </c>
      <c r="F4134">
        <v>6633</v>
      </c>
      <c r="G4134">
        <f t="shared" si="64"/>
        <v>1576998581</v>
      </c>
    </row>
    <row r="4135" spans="1:7" x14ac:dyDescent="0.25">
      <c r="A4135">
        <v>1576998664</v>
      </c>
      <c r="B4135" t="s">
        <v>36540</v>
      </c>
      <c r="C4135">
        <v>0</v>
      </c>
      <c r="D4135">
        <v>1</v>
      </c>
      <c r="E4135">
        <v>286</v>
      </c>
      <c r="F4135">
        <v>5164</v>
      </c>
      <c r="G4135">
        <f t="shared" si="64"/>
        <v>1576998664</v>
      </c>
    </row>
    <row r="4136" spans="1:7" x14ac:dyDescent="0.25">
      <c r="A4136">
        <v>1576998775</v>
      </c>
      <c r="B4136" t="s">
        <v>26873</v>
      </c>
      <c r="C4136">
        <v>431</v>
      </c>
      <c r="D4136">
        <v>1</v>
      </c>
      <c r="E4136">
        <v>5335</v>
      </c>
      <c r="F4136">
        <v>2441</v>
      </c>
      <c r="G4136">
        <f t="shared" si="64"/>
        <v>1576998775</v>
      </c>
    </row>
    <row r="4137" spans="1:7" x14ac:dyDescent="0.25">
      <c r="A4137">
        <v>1576998844</v>
      </c>
      <c r="B4137" t="s">
        <v>26874</v>
      </c>
      <c r="C4137">
        <v>0</v>
      </c>
      <c r="D4137">
        <v>0</v>
      </c>
      <c r="E4137">
        <v>0</v>
      </c>
      <c r="F4137">
        <v>7642</v>
      </c>
      <c r="G4137">
        <f t="shared" si="64"/>
        <v>1576998844</v>
      </c>
    </row>
    <row r="4138" spans="1:7" x14ac:dyDescent="0.25">
      <c r="A4138">
        <v>1576999033</v>
      </c>
      <c r="B4138" t="s">
        <v>26875</v>
      </c>
      <c r="C4138">
        <v>1708</v>
      </c>
      <c r="D4138">
        <v>1</v>
      </c>
      <c r="E4138">
        <v>1086</v>
      </c>
      <c r="F4138">
        <v>3883</v>
      </c>
      <c r="G4138">
        <f t="shared" si="64"/>
        <v>1576999033</v>
      </c>
    </row>
    <row r="4139" spans="1:7" x14ac:dyDescent="0.25">
      <c r="A4139">
        <v>1576999160</v>
      </c>
      <c r="B4139" t="s">
        <v>37311</v>
      </c>
      <c r="C4139">
        <v>1609</v>
      </c>
      <c r="D4139">
        <v>3</v>
      </c>
      <c r="E4139">
        <v>11845</v>
      </c>
      <c r="F4139">
        <v>1304</v>
      </c>
      <c r="G4139">
        <f t="shared" si="64"/>
        <v>1576999160</v>
      </c>
    </row>
    <row r="4140" spans="1:7" x14ac:dyDescent="0.25">
      <c r="A4140">
        <v>1576999407</v>
      </c>
      <c r="B4140" t="s">
        <v>26876</v>
      </c>
      <c r="C4140">
        <v>1775</v>
      </c>
      <c r="D4140">
        <v>1</v>
      </c>
      <c r="E4140">
        <v>3587</v>
      </c>
      <c r="F4140">
        <v>2855</v>
      </c>
      <c r="G4140">
        <f t="shared" si="64"/>
        <v>1576999407</v>
      </c>
    </row>
    <row r="4141" spans="1:7" x14ac:dyDescent="0.25">
      <c r="A4141">
        <v>1576999701</v>
      </c>
      <c r="B4141" t="s">
        <v>26877</v>
      </c>
      <c r="C4141">
        <v>0</v>
      </c>
      <c r="D4141">
        <v>1</v>
      </c>
      <c r="E4141">
        <v>983</v>
      </c>
      <c r="F4141">
        <v>3998</v>
      </c>
      <c r="G4141">
        <f t="shared" si="64"/>
        <v>1576999701</v>
      </c>
    </row>
    <row r="4142" spans="1:7" x14ac:dyDescent="0.25">
      <c r="A4142">
        <v>1577000278</v>
      </c>
      <c r="B4142" t="s">
        <v>26878</v>
      </c>
      <c r="C4142">
        <v>1643</v>
      </c>
      <c r="D4142">
        <v>1</v>
      </c>
      <c r="E4142">
        <v>3878</v>
      </c>
      <c r="F4142">
        <v>2791</v>
      </c>
      <c r="G4142">
        <f t="shared" si="64"/>
        <v>1577000278</v>
      </c>
    </row>
    <row r="4143" spans="1:7" x14ac:dyDescent="0.25">
      <c r="A4143">
        <v>1577000486</v>
      </c>
      <c r="B4143" t="s">
        <v>26879</v>
      </c>
      <c r="C4143">
        <v>0</v>
      </c>
      <c r="D4143">
        <v>1</v>
      </c>
      <c r="E4143">
        <v>1035</v>
      </c>
      <c r="F4143">
        <v>3940</v>
      </c>
      <c r="G4143">
        <f t="shared" si="64"/>
        <v>1577000486</v>
      </c>
    </row>
    <row r="4144" spans="1:7" x14ac:dyDescent="0.25">
      <c r="A4144">
        <v>1577000579</v>
      </c>
      <c r="B4144" t="s">
        <v>36541</v>
      </c>
      <c r="C4144">
        <v>1340</v>
      </c>
      <c r="D4144">
        <v>1</v>
      </c>
      <c r="E4144">
        <v>4627</v>
      </c>
      <c r="F4144">
        <v>2589</v>
      </c>
      <c r="G4144">
        <f t="shared" si="64"/>
        <v>1577000579</v>
      </c>
    </row>
    <row r="4145" spans="1:7" x14ac:dyDescent="0.25">
      <c r="A4145">
        <v>1577000641</v>
      </c>
      <c r="B4145" t="s">
        <v>26880</v>
      </c>
      <c r="C4145">
        <v>0</v>
      </c>
      <c r="D4145">
        <v>1</v>
      </c>
      <c r="E4145">
        <v>270</v>
      </c>
      <c r="F4145">
        <v>5224</v>
      </c>
      <c r="G4145">
        <f t="shared" si="64"/>
        <v>1577000641</v>
      </c>
    </row>
    <row r="4146" spans="1:7" x14ac:dyDescent="0.25">
      <c r="A4146">
        <v>1577000918</v>
      </c>
      <c r="B4146" t="s">
        <v>26881</v>
      </c>
      <c r="C4146">
        <v>0</v>
      </c>
      <c r="D4146">
        <v>1</v>
      </c>
      <c r="E4146">
        <v>1265</v>
      </c>
      <c r="F4146">
        <v>3750</v>
      </c>
      <c r="G4146">
        <f t="shared" si="64"/>
        <v>1577000918</v>
      </c>
    </row>
    <row r="4147" spans="1:7" x14ac:dyDescent="0.25">
      <c r="A4147">
        <v>1577000951</v>
      </c>
      <c r="B4147" t="s">
        <v>26882</v>
      </c>
      <c r="C4147">
        <v>1403</v>
      </c>
      <c r="D4147">
        <v>2</v>
      </c>
      <c r="E4147">
        <v>5397</v>
      </c>
      <c r="F4147">
        <v>2426</v>
      </c>
      <c r="G4147">
        <f t="shared" si="64"/>
        <v>1577000951</v>
      </c>
    </row>
    <row r="4148" spans="1:7" x14ac:dyDescent="0.25">
      <c r="A4148">
        <v>1577001199</v>
      </c>
      <c r="B4148" t="s">
        <v>26883</v>
      </c>
      <c r="C4148">
        <v>151</v>
      </c>
      <c r="D4148">
        <v>1</v>
      </c>
      <c r="E4148">
        <v>194</v>
      </c>
      <c r="F4148">
        <v>5522</v>
      </c>
      <c r="G4148">
        <f t="shared" si="64"/>
        <v>1577001199</v>
      </c>
    </row>
    <row r="4149" spans="1:7" x14ac:dyDescent="0.25">
      <c r="A4149">
        <v>1577001566</v>
      </c>
      <c r="B4149" t="s">
        <v>26884</v>
      </c>
      <c r="C4149">
        <v>409</v>
      </c>
      <c r="D4149">
        <v>3</v>
      </c>
      <c r="E4149">
        <v>10451</v>
      </c>
      <c r="F4149">
        <v>1501</v>
      </c>
      <c r="G4149">
        <f t="shared" si="64"/>
        <v>1577001566</v>
      </c>
    </row>
    <row r="4150" spans="1:7" x14ac:dyDescent="0.25">
      <c r="A4150">
        <v>1577001740</v>
      </c>
      <c r="B4150" t="s">
        <v>36542</v>
      </c>
      <c r="C4150">
        <v>0</v>
      </c>
      <c r="D4150">
        <v>1</v>
      </c>
      <c r="E4150">
        <v>75</v>
      </c>
      <c r="F4150">
        <v>6016</v>
      </c>
      <c r="G4150">
        <f t="shared" si="64"/>
        <v>1577001740</v>
      </c>
    </row>
    <row r="4151" spans="1:7" x14ac:dyDescent="0.25">
      <c r="A4151">
        <v>1577001749</v>
      </c>
      <c r="B4151" t="s">
        <v>1251</v>
      </c>
      <c r="C4151">
        <v>0</v>
      </c>
      <c r="D4151">
        <v>1</v>
      </c>
      <c r="E4151">
        <v>26</v>
      </c>
      <c r="F4151">
        <v>6634</v>
      </c>
      <c r="G4151">
        <f t="shared" si="64"/>
        <v>1577001749</v>
      </c>
    </row>
    <row r="4152" spans="1:7" x14ac:dyDescent="0.25">
      <c r="A4152">
        <v>1577001814</v>
      </c>
      <c r="B4152" t="s">
        <v>26885</v>
      </c>
      <c r="C4152">
        <v>0</v>
      </c>
      <c r="D4152">
        <v>0</v>
      </c>
      <c r="E4152">
        <v>0</v>
      </c>
      <c r="F4152">
        <v>7643</v>
      </c>
      <c r="G4152">
        <f t="shared" si="64"/>
        <v>1577001814</v>
      </c>
    </row>
    <row r="4153" spans="1:7" x14ac:dyDescent="0.25">
      <c r="A4153">
        <v>1577001885</v>
      </c>
      <c r="B4153" t="s">
        <v>26886</v>
      </c>
      <c r="C4153">
        <v>0</v>
      </c>
      <c r="D4153">
        <v>1</v>
      </c>
      <c r="E4153">
        <v>81</v>
      </c>
      <c r="F4153">
        <v>5964</v>
      </c>
      <c r="G4153">
        <f t="shared" si="64"/>
        <v>1577001885</v>
      </c>
    </row>
    <row r="4154" spans="1:7" x14ac:dyDescent="0.25">
      <c r="A4154">
        <v>1577002061</v>
      </c>
      <c r="B4154" t="s">
        <v>37312</v>
      </c>
      <c r="C4154">
        <v>494</v>
      </c>
      <c r="D4154">
        <v>2</v>
      </c>
      <c r="E4154">
        <v>11037</v>
      </c>
      <c r="F4154">
        <v>1410</v>
      </c>
      <c r="G4154">
        <f t="shared" si="64"/>
        <v>1577002061</v>
      </c>
    </row>
    <row r="4155" spans="1:7" x14ac:dyDescent="0.25">
      <c r="A4155">
        <v>1577002284</v>
      </c>
      <c r="B4155" t="s">
        <v>36543</v>
      </c>
      <c r="C4155">
        <v>26</v>
      </c>
      <c r="D4155">
        <v>4</v>
      </c>
      <c r="E4155">
        <v>14000</v>
      </c>
      <c r="F4155">
        <v>1089</v>
      </c>
      <c r="G4155">
        <f t="shared" si="64"/>
        <v>1577002284</v>
      </c>
    </row>
    <row r="4156" spans="1:7" x14ac:dyDescent="0.25">
      <c r="A4156">
        <v>1577002560</v>
      </c>
      <c r="B4156" t="s">
        <v>26887</v>
      </c>
      <c r="C4156">
        <v>271</v>
      </c>
      <c r="D4156">
        <v>3</v>
      </c>
      <c r="E4156">
        <v>9630</v>
      </c>
      <c r="F4156">
        <v>1621</v>
      </c>
      <c r="G4156">
        <f t="shared" si="64"/>
        <v>1577002560</v>
      </c>
    </row>
    <row r="4157" spans="1:7" x14ac:dyDescent="0.25">
      <c r="A4157">
        <v>1577003082</v>
      </c>
      <c r="B4157" t="s">
        <v>26888</v>
      </c>
      <c r="C4157">
        <v>0</v>
      </c>
      <c r="D4157">
        <v>1</v>
      </c>
      <c r="E4157">
        <v>38</v>
      </c>
      <c r="F4157">
        <v>6274</v>
      </c>
      <c r="G4157">
        <f t="shared" si="64"/>
        <v>1577003082</v>
      </c>
    </row>
    <row r="4158" spans="1:7" x14ac:dyDescent="0.25">
      <c r="A4158">
        <v>1577003435</v>
      </c>
      <c r="B4158" t="s">
        <v>36544</v>
      </c>
      <c r="C4158">
        <v>0</v>
      </c>
      <c r="D4158">
        <v>0</v>
      </c>
      <c r="E4158">
        <v>0</v>
      </c>
      <c r="F4158">
        <v>7644</v>
      </c>
      <c r="G4158">
        <f t="shared" si="64"/>
        <v>1577003435</v>
      </c>
    </row>
    <row r="4159" spans="1:7" x14ac:dyDescent="0.25">
      <c r="A4159">
        <v>1577003629</v>
      </c>
      <c r="B4159" t="s">
        <v>26889</v>
      </c>
      <c r="C4159">
        <v>118</v>
      </c>
      <c r="D4159">
        <v>3</v>
      </c>
      <c r="E4159">
        <v>8114</v>
      </c>
      <c r="F4159">
        <v>1858</v>
      </c>
      <c r="G4159">
        <f t="shared" si="64"/>
        <v>1577003629</v>
      </c>
    </row>
    <row r="4160" spans="1:7" x14ac:dyDescent="0.25">
      <c r="A4160">
        <v>1577003861</v>
      </c>
      <c r="B4160" t="s">
        <v>26890</v>
      </c>
      <c r="C4160">
        <v>274</v>
      </c>
      <c r="D4160">
        <v>1</v>
      </c>
      <c r="E4160">
        <v>4666</v>
      </c>
      <c r="F4160">
        <v>2583</v>
      </c>
      <c r="G4160">
        <f t="shared" si="64"/>
        <v>1577003861</v>
      </c>
    </row>
    <row r="4161" spans="1:7" x14ac:dyDescent="0.25">
      <c r="A4161">
        <v>1577004052</v>
      </c>
      <c r="B4161" t="s">
        <v>26891</v>
      </c>
      <c r="C4161">
        <v>1063</v>
      </c>
      <c r="D4161">
        <v>1</v>
      </c>
      <c r="E4161">
        <v>372</v>
      </c>
      <c r="F4161">
        <v>4923</v>
      </c>
      <c r="G4161">
        <f t="shared" ref="G4161:G4224" si="65">A4161</f>
        <v>1577004052</v>
      </c>
    </row>
    <row r="4162" spans="1:7" x14ac:dyDescent="0.25">
      <c r="A4162">
        <v>1577004247</v>
      </c>
      <c r="B4162" t="s">
        <v>26892</v>
      </c>
      <c r="C4162">
        <v>0</v>
      </c>
      <c r="D4162">
        <v>1</v>
      </c>
      <c r="E4162">
        <v>288</v>
      </c>
      <c r="F4162">
        <v>5154</v>
      </c>
      <c r="G4162">
        <f t="shared" si="65"/>
        <v>1577004247</v>
      </c>
    </row>
    <row r="4163" spans="1:7" x14ac:dyDescent="0.25">
      <c r="A4163">
        <v>1577004372</v>
      </c>
      <c r="B4163" t="s">
        <v>26893</v>
      </c>
      <c r="C4163">
        <v>1107</v>
      </c>
      <c r="D4163">
        <v>1</v>
      </c>
      <c r="E4163">
        <v>462</v>
      </c>
      <c r="F4163">
        <v>4737</v>
      </c>
      <c r="G4163">
        <f t="shared" si="65"/>
        <v>1577004372</v>
      </c>
    </row>
    <row r="4164" spans="1:7" x14ac:dyDescent="0.25">
      <c r="A4164">
        <v>1577004445</v>
      </c>
      <c r="B4164" t="s">
        <v>26894</v>
      </c>
      <c r="C4164">
        <v>0</v>
      </c>
      <c r="D4164">
        <v>0</v>
      </c>
      <c r="E4164">
        <v>0</v>
      </c>
      <c r="F4164">
        <v>7645</v>
      </c>
      <c r="G4164">
        <f t="shared" si="65"/>
        <v>1577004445</v>
      </c>
    </row>
    <row r="4165" spans="1:7" x14ac:dyDescent="0.25">
      <c r="A4165">
        <v>1577004458</v>
      </c>
      <c r="B4165" t="s">
        <v>26895</v>
      </c>
      <c r="C4165">
        <v>0</v>
      </c>
      <c r="D4165">
        <v>0</v>
      </c>
      <c r="E4165">
        <v>0</v>
      </c>
      <c r="F4165">
        <v>7646</v>
      </c>
      <c r="G4165">
        <f t="shared" si="65"/>
        <v>1577004458</v>
      </c>
    </row>
    <row r="4166" spans="1:7" x14ac:dyDescent="0.25">
      <c r="A4166">
        <v>1577004627</v>
      </c>
      <c r="B4166" t="s">
        <v>26896</v>
      </c>
      <c r="C4166">
        <v>0</v>
      </c>
      <c r="D4166">
        <v>1</v>
      </c>
      <c r="E4166">
        <v>193</v>
      </c>
      <c r="F4166">
        <v>5529</v>
      </c>
      <c r="G4166">
        <f t="shared" si="65"/>
        <v>1577004627</v>
      </c>
    </row>
    <row r="4167" spans="1:7" x14ac:dyDescent="0.25">
      <c r="A4167">
        <v>1577004716</v>
      </c>
      <c r="B4167" t="s">
        <v>26897</v>
      </c>
      <c r="C4167">
        <v>0</v>
      </c>
      <c r="D4167">
        <v>1</v>
      </c>
      <c r="E4167">
        <v>226</v>
      </c>
      <c r="F4167">
        <v>5407</v>
      </c>
      <c r="G4167">
        <f t="shared" si="65"/>
        <v>1577004716</v>
      </c>
    </row>
    <row r="4168" spans="1:7" x14ac:dyDescent="0.25">
      <c r="A4168">
        <v>1577004821</v>
      </c>
      <c r="B4168" t="s">
        <v>26898</v>
      </c>
      <c r="C4168">
        <v>25</v>
      </c>
      <c r="D4168">
        <v>3</v>
      </c>
      <c r="E4168">
        <v>7712</v>
      </c>
      <c r="F4168">
        <v>1940</v>
      </c>
      <c r="G4168">
        <f t="shared" si="65"/>
        <v>1577004821</v>
      </c>
    </row>
    <row r="4169" spans="1:7" x14ac:dyDescent="0.25">
      <c r="A4169">
        <v>1577004966</v>
      </c>
      <c r="B4169" t="s">
        <v>26899</v>
      </c>
      <c r="C4169">
        <v>118</v>
      </c>
      <c r="D4169">
        <v>1</v>
      </c>
      <c r="E4169">
        <v>3261</v>
      </c>
      <c r="F4169">
        <v>2943</v>
      </c>
      <c r="G4169">
        <f t="shared" si="65"/>
        <v>1577004966</v>
      </c>
    </row>
    <row r="4170" spans="1:7" x14ac:dyDescent="0.25">
      <c r="A4170">
        <v>1577005357</v>
      </c>
      <c r="B4170" t="s">
        <v>26900</v>
      </c>
      <c r="C4170">
        <v>58</v>
      </c>
      <c r="D4170">
        <v>2</v>
      </c>
      <c r="E4170">
        <v>10673</v>
      </c>
      <c r="F4170">
        <v>1472</v>
      </c>
      <c r="G4170">
        <f t="shared" si="65"/>
        <v>1577005357</v>
      </c>
    </row>
    <row r="4171" spans="1:7" x14ac:dyDescent="0.25">
      <c r="A4171">
        <v>1577005522</v>
      </c>
      <c r="B4171" t="s">
        <v>37152</v>
      </c>
      <c r="C4171">
        <v>160</v>
      </c>
      <c r="D4171">
        <v>0</v>
      </c>
      <c r="E4171">
        <v>0</v>
      </c>
      <c r="F4171">
        <v>7647</v>
      </c>
      <c r="G4171">
        <f t="shared" si="65"/>
        <v>1577005522</v>
      </c>
    </row>
    <row r="4172" spans="1:7" x14ac:dyDescent="0.25">
      <c r="A4172">
        <v>1577006207</v>
      </c>
      <c r="B4172" t="s">
        <v>26901</v>
      </c>
      <c r="C4172">
        <v>218</v>
      </c>
      <c r="D4172">
        <v>2</v>
      </c>
      <c r="E4172">
        <v>7533</v>
      </c>
      <c r="F4172">
        <v>1977</v>
      </c>
      <c r="G4172">
        <f t="shared" si="65"/>
        <v>1577006207</v>
      </c>
    </row>
    <row r="4173" spans="1:7" x14ac:dyDescent="0.25">
      <c r="A4173">
        <v>1577006439</v>
      </c>
      <c r="B4173" t="s">
        <v>36545</v>
      </c>
      <c r="C4173">
        <v>118</v>
      </c>
      <c r="D4173">
        <v>1</v>
      </c>
      <c r="E4173">
        <v>5431</v>
      </c>
      <c r="F4173">
        <v>2422</v>
      </c>
      <c r="G4173">
        <f t="shared" si="65"/>
        <v>1577006439</v>
      </c>
    </row>
    <row r="4174" spans="1:7" x14ac:dyDescent="0.25">
      <c r="A4174">
        <v>1577006755</v>
      </c>
      <c r="B4174" t="s">
        <v>37153</v>
      </c>
      <c r="C4174">
        <v>0</v>
      </c>
      <c r="D4174">
        <v>1</v>
      </c>
      <c r="E4174">
        <v>795</v>
      </c>
      <c r="F4174">
        <v>4203</v>
      </c>
      <c r="G4174">
        <f t="shared" si="65"/>
        <v>1577006755</v>
      </c>
    </row>
    <row r="4175" spans="1:7" x14ac:dyDescent="0.25">
      <c r="A4175">
        <v>1577006772</v>
      </c>
      <c r="B4175" t="s">
        <v>26902</v>
      </c>
      <c r="C4175">
        <v>53</v>
      </c>
      <c r="D4175">
        <v>6</v>
      </c>
      <c r="E4175">
        <v>34985</v>
      </c>
      <c r="F4175">
        <v>151</v>
      </c>
      <c r="G4175">
        <f t="shared" si="65"/>
        <v>1577006772</v>
      </c>
    </row>
    <row r="4176" spans="1:7" x14ac:dyDescent="0.25">
      <c r="A4176">
        <v>1577006949</v>
      </c>
      <c r="B4176" t="s">
        <v>26903</v>
      </c>
      <c r="C4176">
        <v>0</v>
      </c>
      <c r="D4176">
        <v>0</v>
      </c>
      <c r="E4176">
        <v>0</v>
      </c>
      <c r="F4176">
        <v>7648</v>
      </c>
      <c r="G4176">
        <f t="shared" si="65"/>
        <v>1577006949</v>
      </c>
    </row>
    <row r="4177" spans="1:7" x14ac:dyDescent="0.25">
      <c r="A4177">
        <v>1577007084</v>
      </c>
      <c r="B4177" t="s">
        <v>26904</v>
      </c>
      <c r="C4177">
        <v>347</v>
      </c>
      <c r="D4177">
        <v>0</v>
      </c>
      <c r="E4177">
        <v>0</v>
      </c>
      <c r="F4177">
        <v>7649</v>
      </c>
      <c r="G4177">
        <f t="shared" si="65"/>
        <v>1577007084</v>
      </c>
    </row>
    <row r="4178" spans="1:7" x14ac:dyDescent="0.25">
      <c r="A4178">
        <v>1577007100</v>
      </c>
      <c r="B4178" t="s">
        <v>26905</v>
      </c>
      <c r="C4178">
        <v>1431</v>
      </c>
      <c r="D4178">
        <v>1</v>
      </c>
      <c r="E4178">
        <v>569</v>
      </c>
      <c r="F4178">
        <v>4521</v>
      </c>
      <c r="G4178">
        <f t="shared" si="65"/>
        <v>1577007100</v>
      </c>
    </row>
    <row r="4179" spans="1:7" x14ac:dyDescent="0.25">
      <c r="A4179">
        <v>1577007288</v>
      </c>
      <c r="B4179" t="s">
        <v>26906</v>
      </c>
      <c r="C4179">
        <v>138</v>
      </c>
      <c r="D4179">
        <v>3</v>
      </c>
      <c r="E4179">
        <v>11509</v>
      </c>
      <c r="F4179">
        <v>1344</v>
      </c>
      <c r="G4179">
        <f t="shared" si="65"/>
        <v>1577007288</v>
      </c>
    </row>
    <row r="4180" spans="1:7" x14ac:dyDescent="0.25">
      <c r="A4180">
        <v>1577007372</v>
      </c>
      <c r="B4180" t="s">
        <v>26907</v>
      </c>
      <c r="C4180">
        <v>162</v>
      </c>
      <c r="D4180">
        <v>0</v>
      </c>
      <c r="E4180">
        <v>0</v>
      </c>
      <c r="F4180">
        <v>7650</v>
      </c>
      <c r="G4180">
        <f t="shared" si="65"/>
        <v>1577007372</v>
      </c>
    </row>
    <row r="4181" spans="1:7" x14ac:dyDescent="0.25">
      <c r="A4181">
        <v>1577007804</v>
      </c>
      <c r="B4181" t="s">
        <v>26908</v>
      </c>
      <c r="C4181">
        <v>422</v>
      </c>
      <c r="D4181">
        <v>3</v>
      </c>
      <c r="E4181">
        <v>12453</v>
      </c>
      <c r="F4181">
        <v>1234</v>
      </c>
      <c r="G4181">
        <f t="shared" si="65"/>
        <v>1577007804</v>
      </c>
    </row>
    <row r="4182" spans="1:7" x14ac:dyDescent="0.25">
      <c r="A4182">
        <v>1577008085</v>
      </c>
      <c r="B4182" t="s">
        <v>26909</v>
      </c>
      <c r="C4182">
        <v>0</v>
      </c>
      <c r="D4182">
        <v>1</v>
      </c>
      <c r="E4182">
        <v>107</v>
      </c>
      <c r="F4182">
        <v>5820</v>
      </c>
      <c r="G4182">
        <f t="shared" si="65"/>
        <v>1577008085</v>
      </c>
    </row>
    <row r="4183" spans="1:7" x14ac:dyDescent="0.25">
      <c r="A4183">
        <v>1577008198</v>
      </c>
      <c r="B4183" t="s">
        <v>26910</v>
      </c>
      <c r="C4183">
        <v>0</v>
      </c>
      <c r="D4183">
        <v>1</v>
      </c>
      <c r="E4183">
        <v>46</v>
      </c>
      <c r="F4183">
        <v>6220</v>
      </c>
      <c r="G4183">
        <f t="shared" si="65"/>
        <v>1577008198</v>
      </c>
    </row>
    <row r="4184" spans="1:7" x14ac:dyDescent="0.25">
      <c r="A4184">
        <v>1577008291</v>
      </c>
      <c r="B4184" t="s">
        <v>26911</v>
      </c>
      <c r="C4184">
        <v>733</v>
      </c>
      <c r="D4184">
        <v>4</v>
      </c>
      <c r="E4184">
        <v>21625</v>
      </c>
      <c r="F4184">
        <v>542</v>
      </c>
      <c r="G4184">
        <f t="shared" si="65"/>
        <v>1577008291</v>
      </c>
    </row>
    <row r="4185" spans="1:7" x14ac:dyDescent="0.25">
      <c r="A4185">
        <v>1577008422</v>
      </c>
      <c r="B4185" t="s">
        <v>26912</v>
      </c>
      <c r="C4185">
        <v>625</v>
      </c>
      <c r="D4185">
        <v>2</v>
      </c>
      <c r="E4185">
        <v>7228</v>
      </c>
      <c r="F4185">
        <v>2024</v>
      </c>
      <c r="G4185">
        <f t="shared" si="65"/>
        <v>1577008422</v>
      </c>
    </row>
    <row r="4186" spans="1:7" x14ac:dyDescent="0.25">
      <c r="A4186">
        <v>1577008656</v>
      </c>
      <c r="B4186" t="s">
        <v>26913</v>
      </c>
      <c r="C4186">
        <v>55</v>
      </c>
      <c r="D4186">
        <v>1</v>
      </c>
      <c r="E4186">
        <v>998</v>
      </c>
      <c r="F4186">
        <v>3982</v>
      </c>
      <c r="G4186">
        <f t="shared" si="65"/>
        <v>1577008656</v>
      </c>
    </row>
    <row r="4187" spans="1:7" x14ac:dyDescent="0.25">
      <c r="A4187">
        <v>1577008722</v>
      </c>
      <c r="B4187" t="s">
        <v>26914</v>
      </c>
      <c r="C4187">
        <v>25</v>
      </c>
      <c r="D4187">
        <v>2</v>
      </c>
      <c r="E4187">
        <v>8429</v>
      </c>
      <c r="F4187">
        <v>1813</v>
      </c>
      <c r="G4187">
        <f t="shared" si="65"/>
        <v>1577008722</v>
      </c>
    </row>
    <row r="4188" spans="1:7" x14ac:dyDescent="0.25">
      <c r="A4188">
        <v>1577008771</v>
      </c>
      <c r="B4188" t="s">
        <v>26915</v>
      </c>
      <c r="C4188">
        <v>0</v>
      </c>
      <c r="D4188">
        <v>1</v>
      </c>
      <c r="E4188">
        <v>1177</v>
      </c>
      <c r="F4188">
        <v>3813</v>
      </c>
      <c r="G4188">
        <f t="shared" si="65"/>
        <v>1577008771</v>
      </c>
    </row>
    <row r="4189" spans="1:7" x14ac:dyDescent="0.25">
      <c r="A4189">
        <v>1577009176</v>
      </c>
      <c r="B4189" t="s">
        <v>26916</v>
      </c>
      <c r="C4189">
        <v>0</v>
      </c>
      <c r="D4189">
        <v>1</v>
      </c>
      <c r="E4189">
        <v>1018</v>
      </c>
      <c r="F4189">
        <v>3965</v>
      </c>
      <c r="G4189">
        <f t="shared" si="65"/>
        <v>1577009176</v>
      </c>
    </row>
    <row r="4190" spans="1:7" x14ac:dyDescent="0.25">
      <c r="A4190">
        <v>1577009423</v>
      </c>
      <c r="B4190" t="s">
        <v>26917</v>
      </c>
      <c r="C4190">
        <v>0</v>
      </c>
      <c r="D4190">
        <v>1</v>
      </c>
      <c r="E4190">
        <v>26</v>
      </c>
      <c r="F4190">
        <v>6635</v>
      </c>
      <c r="G4190">
        <f t="shared" si="65"/>
        <v>1577009423</v>
      </c>
    </row>
    <row r="4191" spans="1:7" x14ac:dyDescent="0.25">
      <c r="A4191">
        <v>1577009698</v>
      </c>
      <c r="B4191" t="s">
        <v>36546</v>
      </c>
      <c r="C4191">
        <v>39</v>
      </c>
      <c r="D4191">
        <v>1</v>
      </c>
      <c r="E4191">
        <v>1152</v>
      </c>
      <c r="F4191">
        <v>3825</v>
      </c>
      <c r="G4191">
        <f t="shared" si="65"/>
        <v>1577009698</v>
      </c>
    </row>
    <row r="4192" spans="1:7" x14ac:dyDescent="0.25">
      <c r="A4192">
        <v>1577010127</v>
      </c>
      <c r="B4192" t="s">
        <v>26918</v>
      </c>
      <c r="C4192">
        <v>552</v>
      </c>
      <c r="D4192">
        <v>6</v>
      </c>
      <c r="E4192">
        <v>31637</v>
      </c>
      <c r="F4192">
        <v>211</v>
      </c>
      <c r="G4192">
        <f t="shared" si="65"/>
        <v>1577010127</v>
      </c>
    </row>
    <row r="4193" spans="1:7" x14ac:dyDescent="0.25">
      <c r="A4193">
        <v>1577010392</v>
      </c>
      <c r="B4193" t="s">
        <v>37313</v>
      </c>
      <c r="C4193">
        <v>235</v>
      </c>
      <c r="D4193">
        <v>1</v>
      </c>
      <c r="E4193">
        <v>4483</v>
      </c>
      <c r="F4193">
        <v>2625</v>
      </c>
      <c r="G4193">
        <f t="shared" si="65"/>
        <v>1577010392</v>
      </c>
    </row>
    <row r="4194" spans="1:7" x14ac:dyDescent="0.25">
      <c r="A4194">
        <v>1577010409</v>
      </c>
      <c r="B4194" t="s">
        <v>26919</v>
      </c>
      <c r="C4194">
        <v>18</v>
      </c>
      <c r="D4194">
        <v>0</v>
      </c>
      <c r="E4194">
        <v>0</v>
      </c>
      <c r="F4194">
        <v>7651</v>
      </c>
      <c r="G4194">
        <f t="shared" si="65"/>
        <v>1577010409</v>
      </c>
    </row>
    <row r="4195" spans="1:7" x14ac:dyDescent="0.25">
      <c r="A4195">
        <v>1577010421</v>
      </c>
      <c r="B4195" t="s">
        <v>26920</v>
      </c>
      <c r="C4195">
        <v>0</v>
      </c>
      <c r="D4195">
        <v>2</v>
      </c>
      <c r="E4195">
        <v>6043</v>
      </c>
      <c r="F4195">
        <v>2263</v>
      </c>
      <c r="G4195">
        <f t="shared" si="65"/>
        <v>1577010421</v>
      </c>
    </row>
    <row r="4196" spans="1:7" x14ac:dyDescent="0.25">
      <c r="A4196">
        <v>1577010474</v>
      </c>
      <c r="B4196" t="s">
        <v>36547</v>
      </c>
      <c r="C4196">
        <v>924</v>
      </c>
      <c r="D4196">
        <v>1</v>
      </c>
      <c r="E4196">
        <v>3906</v>
      </c>
      <c r="F4196">
        <v>2785</v>
      </c>
      <c r="G4196">
        <f t="shared" si="65"/>
        <v>1577010474</v>
      </c>
    </row>
    <row r="4197" spans="1:7" x14ac:dyDescent="0.25">
      <c r="A4197">
        <v>1577010530</v>
      </c>
      <c r="B4197" t="s">
        <v>36548</v>
      </c>
      <c r="C4197">
        <v>235</v>
      </c>
      <c r="D4197">
        <v>1</v>
      </c>
      <c r="E4197">
        <v>4239</v>
      </c>
      <c r="F4197">
        <v>2705</v>
      </c>
      <c r="G4197">
        <f t="shared" si="65"/>
        <v>1577010530</v>
      </c>
    </row>
    <row r="4198" spans="1:7" x14ac:dyDescent="0.25">
      <c r="A4198">
        <v>1577010599</v>
      </c>
      <c r="B4198" t="s">
        <v>36549</v>
      </c>
      <c r="C4198">
        <v>0</v>
      </c>
      <c r="D4198">
        <v>1</v>
      </c>
      <c r="E4198">
        <v>2831</v>
      </c>
      <c r="F4198">
        <v>3035</v>
      </c>
      <c r="G4198">
        <f t="shared" si="65"/>
        <v>1577010599</v>
      </c>
    </row>
    <row r="4199" spans="1:7" x14ac:dyDescent="0.25">
      <c r="A4199">
        <v>1577010730</v>
      </c>
      <c r="B4199" t="s">
        <v>26921</v>
      </c>
      <c r="C4199">
        <v>733</v>
      </c>
      <c r="D4199">
        <v>6</v>
      </c>
      <c r="E4199">
        <v>34915</v>
      </c>
      <c r="F4199">
        <v>152</v>
      </c>
      <c r="G4199">
        <f t="shared" si="65"/>
        <v>1577010730</v>
      </c>
    </row>
    <row r="4200" spans="1:7" x14ac:dyDescent="0.25">
      <c r="A4200">
        <v>1577010765</v>
      </c>
      <c r="B4200" t="s">
        <v>26922</v>
      </c>
      <c r="C4200">
        <v>1885</v>
      </c>
      <c r="D4200">
        <v>1</v>
      </c>
      <c r="E4200">
        <v>281</v>
      </c>
      <c r="F4200">
        <v>5178</v>
      </c>
      <c r="G4200">
        <f t="shared" si="65"/>
        <v>1577010765</v>
      </c>
    </row>
    <row r="4201" spans="1:7" x14ac:dyDescent="0.25">
      <c r="A4201">
        <v>1577010931</v>
      </c>
      <c r="B4201" t="e">
        <f>-Panic</f>
        <v>#NAME?</v>
      </c>
      <c r="C4201">
        <v>0</v>
      </c>
      <c r="D4201">
        <v>0</v>
      </c>
      <c r="E4201">
        <v>0</v>
      </c>
      <c r="F4201">
        <v>7652</v>
      </c>
      <c r="G4201">
        <f t="shared" si="65"/>
        <v>1577010931</v>
      </c>
    </row>
    <row r="4202" spans="1:7" x14ac:dyDescent="0.25">
      <c r="A4202">
        <v>1577011042</v>
      </c>
      <c r="B4202" t="s">
        <v>26923</v>
      </c>
      <c r="C4202">
        <v>0</v>
      </c>
      <c r="D4202">
        <v>1</v>
      </c>
      <c r="E4202">
        <v>26</v>
      </c>
      <c r="F4202">
        <v>6636</v>
      </c>
      <c r="G4202">
        <f t="shared" si="65"/>
        <v>1577011042</v>
      </c>
    </row>
    <row r="4203" spans="1:7" x14ac:dyDescent="0.25">
      <c r="A4203">
        <v>1577011450</v>
      </c>
      <c r="B4203" t="s">
        <v>26924</v>
      </c>
      <c r="C4203">
        <v>0</v>
      </c>
      <c r="D4203">
        <v>1</v>
      </c>
      <c r="E4203">
        <v>26</v>
      </c>
      <c r="F4203">
        <v>6637</v>
      </c>
      <c r="G4203">
        <f t="shared" si="65"/>
        <v>1577011450</v>
      </c>
    </row>
    <row r="4204" spans="1:7" x14ac:dyDescent="0.25">
      <c r="A4204">
        <v>1577011479</v>
      </c>
      <c r="B4204" t="s">
        <v>37154</v>
      </c>
      <c r="C4204">
        <v>69</v>
      </c>
      <c r="D4204">
        <v>8</v>
      </c>
      <c r="E4204">
        <v>39032</v>
      </c>
      <c r="F4204">
        <v>102</v>
      </c>
      <c r="G4204">
        <f t="shared" si="65"/>
        <v>1577011479</v>
      </c>
    </row>
    <row r="4205" spans="1:7" x14ac:dyDescent="0.25">
      <c r="A4205">
        <v>1577011629</v>
      </c>
      <c r="B4205" t="s">
        <v>26925</v>
      </c>
      <c r="C4205">
        <v>0</v>
      </c>
      <c r="D4205">
        <v>1</v>
      </c>
      <c r="E4205">
        <v>38</v>
      </c>
      <c r="F4205">
        <v>6275</v>
      </c>
      <c r="G4205">
        <f t="shared" si="65"/>
        <v>1577011629</v>
      </c>
    </row>
    <row r="4206" spans="1:7" x14ac:dyDescent="0.25">
      <c r="A4206">
        <v>1577011683</v>
      </c>
      <c r="B4206" t="s">
        <v>26926</v>
      </c>
      <c r="C4206">
        <v>0</v>
      </c>
      <c r="D4206">
        <v>1</v>
      </c>
      <c r="E4206">
        <v>26</v>
      </c>
      <c r="F4206">
        <v>6638</v>
      </c>
      <c r="G4206">
        <f t="shared" si="65"/>
        <v>1577011683</v>
      </c>
    </row>
    <row r="4207" spans="1:7" x14ac:dyDescent="0.25">
      <c r="A4207">
        <v>1577011771</v>
      </c>
      <c r="B4207" t="s">
        <v>26927</v>
      </c>
      <c r="C4207">
        <v>294</v>
      </c>
      <c r="D4207">
        <v>3</v>
      </c>
      <c r="E4207">
        <v>9258</v>
      </c>
      <c r="F4207">
        <v>1680</v>
      </c>
      <c r="G4207">
        <f t="shared" si="65"/>
        <v>1577011771</v>
      </c>
    </row>
    <row r="4208" spans="1:7" x14ac:dyDescent="0.25">
      <c r="A4208">
        <v>1577011788</v>
      </c>
      <c r="B4208" t="s">
        <v>26928</v>
      </c>
      <c r="C4208">
        <v>0</v>
      </c>
      <c r="D4208">
        <v>1</v>
      </c>
      <c r="E4208">
        <v>26</v>
      </c>
      <c r="F4208">
        <v>6639</v>
      </c>
      <c r="G4208">
        <f t="shared" si="65"/>
        <v>1577011788</v>
      </c>
    </row>
    <row r="4209" spans="1:7" x14ac:dyDescent="0.25">
      <c r="A4209">
        <v>1577012524</v>
      </c>
      <c r="B4209" t="s">
        <v>26929</v>
      </c>
      <c r="C4209">
        <v>0</v>
      </c>
      <c r="D4209">
        <v>1</v>
      </c>
      <c r="E4209">
        <v>26</v>
      </c>
      <c r="F4209">
        <v>6640</v>
      </c>
      <c r="G4209">
        <f t="shared" si="65"/>
        <v>1577012524</v>
      </c>
    </row>
    <row r="4210" spans="1:7" x14ac:dyDescent="0.25">
      <c r="A4210">
        <v>1577012534</v>
      </c>
      <c r="B4210" t="s">
        <v>36550</v>
      </c>
      <c r="C4210">
        <v>27</v>
      </c>
      <c r="D4210">
        <v>1</v>
      </c>
      <c r="E4210">
        <v>7692</v>
      </c>
      <c r="F4210">
        <v>1942</v>
      </c>
      <c r="G4210">
        <f t="shared" si="65"/>
        <v>1577012534</v>
      </c>
    </row>
    <row r="4211" spans="1:7" x14ac:dyDescent="0.25">
      <c r="A4211">
        <v>1577012688</v>
      </c>
      <c r="B4211" t="s">
        <v>26930</v>
      </c>
      <c r="C4211">
        <v>643</v>
      </c>
      <c r="D4211">
        <v>5</v>
      </c>
      <c r="E4211">
        <v>22569</v>
      </c>
      <c r="F4211">
        <v>489</v>
      </c>
      <c r="G4211">
        <f t="shared" si="65"/>
        <v>1577012688</v>
      </c>
    </row>
    <row r="4212" spans="1:7" x14ac:dyDescent="0.25">
      <c r="A4212">
        <v>1577013193</v>
      </c>
      <c r="B4212" t="s">
        <v>36551</v>
      </c>
      <c r="C4212">
        <v>0</v>
      </c>
      <c r="D4212">
        <v>0</v>
      </c>
      <c r="E4212">
        <v>0</v>
      </c>
      <c r="F4212">
        <v>7653</v>
      </c>
      <c r="G4212">
        <f t="shared" si="65"/>
        <v>1577013193</v>
      </c>
    </row>
    <row r="4213" spans="1:7" x14ac:dyDescent="0.25">
      <c r="A4213">
        <v>1577013449</v>
      </c>
      <c r="B4213" t="s">
        <v>26931</v>
      </c>
      <c r="C4213">
        <v>0</v>
      </c>
      <c r="D4213">
        <v>0</v>
      </c>
      <c r="E4213">
        <v>0</v>
      </c>
      <c r="F4213">
        <v>7654</v>
      </c>
      <c r="G4213">
        <f t="shared" si="65"/>
        <v>1577013449</v>
      </c>
    </row>
    <row r="4214" spans="1:7" x14ac:dyDescent="0.25">
      <c r="A4214">
        <v>1577014152</v>
      </c>
      <c r="B4214" t="s">
        <v>26932</v>
      </c>
      <c r="C4214">
        <v>0</v>
      </c>
      <c r="D4214">
        <v>1</v>
      </c>
      <c r="E4214">
        <v>91</v>
      </c>
      <c r="F4214">
        <v>5901</v>
      </c>
      <c r="G4214">
        <f t="shared" si="65"/>
        <v>1577014152</v>
      </c>
    </row>
    <row r="4215" spans="1:7" x14ac:dyDescent="0.25">
      <c r="A4215">
        <v>1577014186</v>
      </c>
      <c r="B4215" t="s">
        <v>26933</v>
      </c>
      <c r="C4215">
        <v>625</v>
      </c>
      <c r="D4215">
        <v>1</v>
      </c>
      <c r="E4215">
        <v>4188</v>
      </c>
      <c r="F4215">
        <v>1861</v>
      </c>
      <c r="G4215">
        <f t="shared" si="65"/>
        <v>1577014186</v>
      </c>
    </row>
    <row r="4216" spans="1:7" x14ac:dyDescent="0.25">
      <c r="A4216">
        <v>1577014267</v>
      </c>
      <c r="B4216" t="s">
        <v>37155</v>
      </c>
      <c r="C4216">
        <v>1403</v>
      </c>
      <c r="D4216">
        <v>2</v>
      </c>
      <c r="E4216">
        <v>6545</v>
      </c>
      <c r="F4216">
        <v>2180</v>
      </c>
      <c r="G4216">
        <f t="shared" si="65"/>
        <v>1577014267</v>
      </c>
    </row>
    <row r="4217" spans="1:7" x14ac:dyDescent="0.25">
      <c r="A4217">
        <v>1577014280</v>
      </c>
      <c r="B4217" t="s">
        <v>37053</v>
      </c>
      <c r="C4217">
        <v>1403</v>
      </c>
      <c r="D4217">
        <v>1</v>
      </c>
      <c r="E4217">
        <v>5140</v>
      </c>
      <c r="F4217">
        <v>2504</v>
      </c>
      <c r="G4217">
        <f t="shared" si="65"/>
        <v>1577014280</v>
      </c>
    </row>
    <row r="4218" spans="1:7" x14ac:dyDescent="0.25">
      <c r="A4218">
        <v>1577014315</v>
      </c>
      <c r="B4218" t="s">
        <v>26934</v>
      </c>
      <c r="C4218">
        <v>15</v>
      </c>
      <c r="D4218">
        <v>0</v>
      </c>
      <c r="E4218">
        <v>0</v>
      </c>
      <c r="F4218">
        <v>7655</v>
      </c>
      <c r="G4218">
        <f t="shared" si="65"/>
        <v>1577014315</v>
      </c>
    </row>
    <row r="4219" spans="1:7" x14ac:dyDescent="0.25">
      <c r="A4219">
        <v>1577014413</v>
      </c>
      <c r="B4219" t="s">
        <v>26935</v>
      </c>
      <c r="C4219">
        <v>0</v>
      </c>
      <c r="D4219">
        <v>1</v>
      </c>
      <c r="E4219">
        <v>26</v>
      </c>
      <c r="F4219">
        <v>6641</v>
      </c>
      <c r="G4219">
        <f t="shared" si="65"/>
        <v>1577014413</v>
      </c>
    </row>
    <row r="4220" spans="1:7" x14ac:dyDescent="0.25">
      <c r="A4220">
        <v>1577014421</v>
      </c>
      <c r="B4220" t="s">
        <v>26936</v>
      </c>
      <c r="C4220">
        <v>15</v>
      </c>
      <c r="D4220">
        <v>0</v>
      </c>
      <c r="E4220">
        <v>0</v>
      </c>
      <c r="F4220">
        <v>7656</v>
      </c>
      <c r="G4220">
        <f t="shared" si="65"/>
        <v>1577014421</v>
      </c>
    </row>
    <row r="4221" spans="1:7" x14ac:dyDescent="0.25">
      <c r="A4221">
        <v>1577014658</v>
      </c>
      <c r="B4221" t="s">
        <v>26937</v>
      </c>
      <c r="C4221">
        <v>0</v>
      </c>
      <c r="D4221">
        <v>1</v>
      </c>
      <c r="E4221">
        <v>109</v>
      </c>
      <c r="F4221">
        <v>5813</v>
      </c>
      <c r="G4221">
        <f t="shared" si="65"/>
        <v>1577014658</v>
      </c>
    </row>
    <row r="4222" spans="1:7" x14ac:dyDescent="0.25">
      <c r="A4222">
        <v>1577014659</v>
      </c>
      <c r="B4222" t="s">
        <v>26938</v>
      </c>
      <c r="C4222">
        <v>15</v>
      </c>
      <c r="D4222">
        <v>0</v>
      </c>
      <c r="E4222">
        <v>0</v>
      </c>
      <c r="F4222">
        <v>7657</v>
      </c>
      <c r="G4222">
        <f t="shared" si="65"/>
        <v>1577014659</v>
      </c>
    </row>
    <row r="4223" spans="1:7" x14ac:dyDescent="0.25">
      <c r="A4223">
        <v>1577014798</v>
      </c>
      <c r="B4223" t="s">
        <v>26939</v>
      </c>
      <c r="C4223">
        <v>0</v>
      </c>
      <c r="D4223">
        <v>1</v>
      </c>
      <c r="E4223">
        <v>48</v>
      </c>
      <c r="F4223">
        <v>6197</v>
      </c>
      <c r="G4223">
        <f t="shared" si="65"/>
        <v>1577014798</v>
      </c>
    </row>
    <row r="4224" spans="1:7" x14ac:dyDescent="0.25">
      <c r="A4224">
        <v>1577014833</v>
      </c>
      <c r="B4224" t="s">
        <v>26940</v>
      </c>
      <c r="C4224">
        <v>0</v>
      </c>
      <c r="D4224">
        <v>0</v>
      </c>
      <c r="E4224">
        <v>0</v>
      </c>
      <c r="F4224">
        <v>7658</v>
      </c>
      <c r="G4224">
        <f t="shared" si="65"/>
        <v>1577014833</v>
      </c>
    </row>
    <row r="4225" spans="1:7" x14ac:dyDescent="0.25">
      <c r="A4225">
        <v>1577014874</v>
      </c>
      <c r="B4225" t="s">
        <v>26941</v>
      </c>
      <c r="C4225">
        <v>638</v>
      </c>
      <c r="D4225">
        <v>1</v>
      </c>
      <c r="E4225">
        <v>858</v>
      </c>
      <c r="F4225">
        <v>4126</v>
      </c>
      <c r="G4225">
        <f t="shared" ref="G4225:G4288" si="66">A4225</f>
        <v>1577014874</v>
      </c>
    </row>
    <row r="4226" spans="1:7" x14ac:dyDescent="0.25">
      <c r="A4226">
        <v>1577014875</v>
      </c>
      <c r="B4226" t="s">
        <v>26942</v>
      </c>
      <c r="C4226">
        <v>15</v>
      </c>
      <c r="D4226">
        <v>1</v>
      </c>
      <c r="E4226">
        <v>26</v>
      </c>
      <c r="F4226">
        <v>6642</v>
      </c>
      <c r="G4226">
        <f t="shared" si="66"/>
        <v>1577014875</v>
      </c>
    </row>
    <row r="4227" spans="1:7" x14ac:dyDescent="0.25">
      <c r="A4227">
        <v>1577015055</v>
      </c>
      <c r="B4227" t="s">
        <v>36552</v>
      </c>
      <c r="C4227">
        <v>1403</v>
      </c>
      <c r="D4227">
        <v>1</v>
      </c>
      <c r="E4227">
        <v>3858</v>
      </c>
      <c r="F4227">
        <v>2796</v>
      </c>
      <c r="G4227">
        <f t="shared" si="66"/>
        <v>1577015055</v>
      </c>
    </row>
    <row r="4228" spans="1:7" x14ac:dyDescent="0.25">
      <c r="A4228">
        <v>1577015178</v>
      </c>
      <c r="B4228" t="s">
        <v>26943</v>
      </c>
      <c r="C4228">
        <v>294</v>
      </c>
      <c r="D4228">
        <v>3</v>
      </c>
      <c r="E4228">
        <v>15751</v>
      </c>
      <c r="F4228">
        <v>927</v>
      </c>
      <c r="G4228">
        <f t="shared" si="66"/>
        <v>1577015178</v>
      </c>
    </row>
    <row r="4229" spans="1:7" x14ac:dyDescent="0.25">
      <c r="A4229">
        <v>1577015241</v>
      </c>
      <c r="B4229" t="s">
        <v>26944</v>
      </c>
      <c r="C4229">
        <v>0</v>
      </c>
      <c r="D4229">
        <v>1</v>
      </c>
      <c r="E4229">
        <v>1034</v>
      </c>
      <c r="F4229">
        <v>3942</v>
      </c>
      <c r="G4229">
        <f t="shared" si="66"/>
        <v>1577015241</v>
      </c>
    </row>
    <row r="4230" spans="1:7" x14ac:dyDescent="0.25">
      <c r="A4230">
        <v>1577015446</v>
      </c>
      <c r="B4230" t="s">
        <v>26945</v>
      </c>
      <c r="C4230">
        <v>1786</v>
      </c>
      <c r="D4230">
        <v>1</v>
      </c>
      <c r="E4230">
        <v>1262</v>
      </c>
      <c r="F4230">
        <v>3752</v>
      </c>
      <c r="G4230">
        <f t="shared" si="66"/>
        <v>1577015446</v>
      </c>
    </row>
    <row r="4231" spans="1:7" x14ac:dyDescent="0.25">
      <c r="A4231">
        <v>1577015521</v>
      </c>
      <c r="B4231" t="s">
        <v>26946</v>
      </c>
      <c r="C4231">
        <v>190</v>
      </c>
      <c r="D4231">
        <v>0</v>
      </c>
      <c r="E4231">
        <v>0</v>
      </c>
      <c r="F4231">
        <v>7659</v>
      </c>
      <c r="G4231">
        <f t="shared" si="66"/>
        <v>1577015521</v>
      </c>
    </row>
    <row r="4232" spans="1:7" x14ac:dyDescent="0.25">
      <c r="A4232">
        <v>1577015589</v>
      </c>
      <c r="B4232" t="s">
        <v>26947</v>
      </c>
      <c r="C4232">
        <v>0</v>
      </c>
      <c r="D4232">
        <v>1</v>
      </c>
      <c r="E4232">
        <v>506</v>
      </c>
      <c r="F4232">
        <v>4618</v>
      </c>
      <c r="G4232">
        <f t="shared" si="66"/>
        <v>1577015589</v>
      </c>
    </row>
    <row r="4233" spans="1:7" x14ac:dyDescent="0.25">
      <c r="A4233">
        <v>1577015690</v>
      </c>
      <c r="B4233" t="s">
        <v>26948</v>
      </c>
      <c r="C4233">
        <v>1974</v>
      </c>
      <c r="D4233">
        <v>1</v>
      </c>
      <c r="E4233">
        <v>864</v>
      </c>
      <c r="F4233">
        <v>4121</v>
      </c>
      <c r="G4233">
        <f t="shared" si="66"/>
        <v>1577015690</v>
      </c>
    </row>
    <row r="4234" spans="1:7" x14ac:dyDescent="0.25">
      <c r="A4234">
        <v>1577016441</v>
      </c>
      <c r="B4234" t="s">
        <v>26949</v>
      </c>
      <c r="C4234">
        <v>36</v>
      </c>
      <c r="D4234">
        <v>1</v>
      </c>
      <c r="E4234">
        <v>3597</v>
      </c>
      <c r="F4234">
        <v>2853</v>
      </c>
      <c r="G4234">
        <f t="shared" si="66"/>
        <v>1577016441</v>
      </c>
    </row>
    <row r="4235" spans="1:7" x14ac:dyDescent="0.25">
      <c r="A4235">
        <v>1577016565</v>
      </c>
      <c r="B4235" t="s">
        <v>26950</v>
      </c>
      <c r="C4235">
        <v>321</v>
      </c>
      <c r="D4235">
        <v>1</v>
      </c>
      <c r="E4235">
        <v>5337</v>
      </c>
      <c r="F4235">
        <v>2440</v>
      </c>
      <c r="G4235">
        <f t="shared" si="66"/>
        <v>1577016565</v>
      </c>
    </row>
    <row r="4236" spans="1:7" x14ac:dyDescent="0.25">
      <c r="A4236">
        <v>1577016607</v>
      </c>
      <c r="B4236" t="s">
        <v>26951</v>
      </c>
      <c r="C4236">
        <v>0</v>
      </c>
      <c r="D4236">
        <v>1</v>
      </c>
      <c r="E4236">
        <v>275</v>
      </c>
      <c r="F4236">
        <v>5204</v>
      </c>
      <c r="G4236">
        <f t="shared" si="66"/>
        <v>1577016607</v>
      </c>
    </row>
    <row r="4237" spans="1:7" x14ac:dyDescent="0.25">
      <c r="A4237">
        <v>1577016638</v>
      </c>
      <c r="B4237" t="s">
        <v>36553</v>
      </c>
      <c r="C4237">
        <v>0</v>
      </c>
      <c r="D4237">
        <v>1</v>
      </c>
      <c r="E4237">
        <v>276</v>
      </c>
      <c r="F4237">
        <v>5199</v>
      </c>
      <c r="G4237">
        <f t="shared" si="66"/>
        <v>1577016638</v>
      </c>
    </row>
    <row r="4238" spans="1:7" x14ac:dyDescent="0.25">
      <c r="A4238">
        <v>1577016903</v>
      </c>
      <c r="B4238" t="s">
        <v>26952</v>
      </c>
      <c r="C4238">
        <v>1019</v>
      </c>
      <c r="D4238">
        <v>1</v>
      </c>
      <c r="E4238">
        <v>262</v>
      </c>
      <c r="F4238">
        <v>5253</v>
      </c>
      <c r="G4238">
        <f t="shared" si="66"/>
        <v>1577016903</v>
      </c>
    </row>
    <row r="4239" spans="1:7" x14ac:dyDescent="0.25">
      <c r="A4239">
        <v>1577017123</v>
      </c>
      <c r="B4239" t="s">
        <v>36554</v>
      </c>
      <c r="C4239">
        <v>541</v>
      </c>
      <c r="D4239">
        <v>4</v>
      </c>
      <c r="E4239">
        <v>11684</v>
      </c>
      <c r="F4239">
        <v>1331</v>
      </c>
      <c r="G4239">
        <f t="shared" si="66"/>
        <v>1577017123</v>
      </c>
    </row>
    <row r="4240" spans="1:7" x14ac:dyDescent="0.25">
      <c r="A4240">
        <v>1577017588</v>
      </c>
      <c r="B4240" t="s">
        <v>26953</v>
      </c>
      <c r="C4240">
        <v>1867</v>
      </c>
      <c r="D4240">
        <v>1</v>
      </c>
      <c r="E4240">
        <v>1293</v>
      </c>
      <c r="F4240">
        <v>3733</v>
      </c>
      <c r="G4240">
        <f t="shared" si="66"/>
        <v>1577017588</v>
      </c>
    </row>
    <row r="4241" spans="1:7" x14ac:dyDescent="0.25">
      <c r="A4241">
        <v>1577017665</v>
      </c>
      <c r="B4241" t="s">
        <v>26954</v>
      </c>
      <c r="C4241">
        <v>1913</v>
      </c>
      <c r="D4241">
        <v>1</v>
      </c>
      <c r="E4241">
        <v>1145</v>
      </c>
      <c r="F4241">
        <v>3833</v>
      </c>
      <c r="G4241">
        <f t="shared" si="66"/>
        <v>1577017665</v>
      </c>
    </row>
    <row r="4242" spans="1:7" x14ac:dyDescent="0.25">
      <c r="A4242">
        <v>1577018096</v>
      </c>
      <c r="B4242" t="s">
        <v>26955</v>
      </c>
      <c r="C4242">
        <v>422</v>
      </c>
      <c r="D4242">
        <v>4</v>
      </c>
      <c r="E4242">
        <v>14996</v>
      </c>
      <c r="F4242">
        <v>1003</v>
      </c>
      <c r="G4242">
        <f t="shared" si="66"/>
        <v>1577018096</v>
      </c>
    </row>
    <row r="4243" spans="1:7" x14ac:dyDescent="0.25">
      <c r="A4243">
        <v>1577018251</v>
      </c>
      <c r="B4243" t="s">
        <v>26956</v>
      </c>
      <c r="C4243">
        <v>0</v>
      </c>
      <c r="D4243">
        <v>1</v>
      </c>
      <c r="E4243">
        <v>125</v>
      </c>
      <c r="F4243">
        <v>5774</v>
      </c>
      <c r="G4243">
        <f t="shared" si="66"/>
        <v>1577018251</v>
      </c>
    </row>
    <row r="4244" spans="1:7" x14ac:dyDescent="0.25">
      <c r="A4244">
        <v>1577018347</v>
      </c>
      <c r="B4244" t="s">
        <v>26957</v>
      </c>
      <c r="C4244">
        <v>1413</v>
      </c>
      <c r="D4244">
        <v>1</v>
      </c>
      <c r="E4244">
        <v>2239</v>
      </c>
      <c r="F4244">
        <v>3231</v>
      </c>
      <c r="G4244">
        <f t="shared" si="66"/>
        <v>1577018347</v>
      </c>
    </row>
    <row r="4245" spans="1:7" x14ac:dyDescent="0.25">
      <c r="A4245">
        <v>1577018348</v>
      </c>
      <c r="B4245" t="s">
        <v>26958</v>
      </c>
      <c r="C4245">
        <v>1413</v>
      </c>
      <c r="D4245">
        <v>2</v>
      </c>
      <c r="E4245">
        <v>5841</v>
      </c>
      <c r="F4245">
        <v>2315</v>
      </c>
      <c r="G4245">
        <f t="shared" si="66"/>
        <v>1577018348</v>
      </c>
    </row>
    <row r="4246" spans="1:7" x14ac:dyDescent="0.25">
      <c r="A4246">
        <v>1577018392</v>
      </c>
      <c r="B4246" t="s">
        <v>26959</v>
      </c>
      <c r="C4246">
        <v>0</v>
      </c>
      <c r="D4246">
        <v>1</v>
      </c>
      <c r="E4246">
        <v>518</v>
      </c>
      <c r="F4246">
        <v>4601</v>
      </c>
      <c r="G4246">
        <f t="shared" si="66"/>
        <v>1577018392</v>
      </c>
    </row>
    <row r="4247" spans="1:7" x14ac:dyDescent="0.25">
      <c r="A4247">
        <v>1577018397</v>
      </c>
      <c r="B4247" t="s">
        <v>26960</v>
      </c>
      <c r="C4247">
        <v>6</v>
      </c>
      <c r="D4247">
        <v>4</v>
      </c>
      <c r="E4247">
        <v>15157</v>
      </c>
      <c r="F4247">
        <v>981</v>
      </c>
      <c r="G4247">
        <f t="shared" si="66"/>
        <v>1577018397</v>
      </c>
    </row>
    <row r="4248" spans="1:7" x14ac:dyDescent="0.25">
      <c r="A4248">
        <v>1577018427</v>
      </c>
      <c r="B4248" t="s">
        <v>26961</v>
      </c>
      <c r="C4248">
        <v>271</v>
      </c>
      <c r="D4248">
        <v>3</v>
      </c>
      <c r="E4248">
        <v>15169</v>
      </c>
      <c r="F4248">
        <v>978</v>
      </c>
      <c r="G4248">
        <f t="shared" si="66"/>
        <v>1577018427</v>
      </c>
    </row>
    <row r="4249" spans="1:7" x14ac:dyDescent="0.25">
      <c r="A4249">
        <v>1577018450</v>
      </c>
      <c r="B4249" t="s">
        <v>26962</v>
      </c>
      <c r="C4249">
        <v>271</v>
      </c>
      <c r="D4249">
        <v>4</v>
      </c>
      <c r="E4249">
        <v>17120</v>
      </c>
      <c r="F4249">
        <v>819</v>
      </c>
      <c r="G4249">
        <f t="shared" si="66"/>
        <v>1577018450</v>
      </c>
    </row>
    <row r="4250" spans="1:7" x14ac:dyDescent="0.25">
      <c r="A4250">
        <v>1577019226</v>
      </c>
      <c r="B4250" t="s">
        <v>26963</v>
      </c>
      <c r="C4250">
        <v>422</v>
      </c>
      <c r="D4250">
        <v>1</v>
      </c>
      <c r="E4250">
        <v>6290</v>
      </c>
      <c r="F4250">
        <v>2216</v>
      </c>
      <c r="G4250">
        <f t="shared" si="66"/>
        <v>1577019226</v>
      </c>
    </row>
    <row r="4251" spans="1:7" x14ac:dyDescent="0.25">
      <c r="A4251">
        <v>1577019379</v>
      </c>
      <c r="B4251" t="s">
        <v>36555</v>
      </c>
      <c r="C4251">
        <v>26</v>
      </c>
      <c r="D4251">
        <v>6</v>
      </c>
      <c r="E4251">
        <v>36420</v>
      </c>
      <c r="F4251">
        <v>132</v>
      </c>
      <c r="G4251">
        <f t="shared" si="66"/>
        <v>1577019379</v>
      </c>
    </row>
    <row r="4252" spans="1:7" x14ac:dyDescent="0.25">
      <c r="A4252">
        <v>1577019523</v>
      </c>
      <c r="B4252" t="s">
        <v>26964</v>
      </c>
      <c r="C4252">
        <v>0</v>
      </c>
      <c r="D4252">
        <v>1</v>
      </c>
      <c r="E4252">
        <v>325</v>
      </c>
      <c r="F4252">
        <v>5052</v>
      </c>
      <c r="G4252">
        <f t="shared" si="66"/>
        <v>1577019523</v>
      </c>
    </row>
    <row r="4253" spans="1:7" x14ac:dyDescent="0.25">
      <c r="A4253">
        <v>1577019602</v>
      </c>
      <c r="B4253" t="s">
        <v>26965</v>
      </c>
      <c r="C4253">
        <v>0</v>
      </c>
      <c r="D4253">
        <v>1</v>
      </c>
      <c r="E4253">
        <v>406</v>
      </c>
      <c r="F4253">
        <v>4837</v>
      </c>
      <c r="G4253">
        <f t="shared" si="66"/>
        <v>1577019602</v>
      </c>
    </row>
    <row r="4254" spans="1:7" x14ac:dyDescent="0.25">
      <c r="A4254">
        <v>1577019810</v>
      </c>
      <c r="B4254" t="s">
        <v>36556</v>
      </c>
      <c r="C4254">
        <v>0</v>
      </c>
      <c r="D4254">
        <v>1</v>
      </c>
      <c r="E4254">
        <v>277</v>
      </c>
      <c r="F4254">
        <v>5195</v>
      </c>
      <c r="G4254">
        <f t="shared" si="66"/>
        <v>1577019810</v>
      </c>
    </row>
    <row r="4255" spans="1:7" x14ac:dyDescent="0.25">
      <c r="A4255">
        <v>1577020202</v>
      </c>
      <c r="B4255" t="s">
        <v>26966</v>
      </c>
      <c r="C4255">
        <v>1582</v>
      </c>
      <c r="D4255">
        <v>0</v>
      </c>
      <c r="E4255">
        <v>0</v>
      </c>
      <c r="F4255">
        <v>7660</v>
      </c>
      <c r="G4255">
        <f t="shared" si="66"/>
        <v>1577020202</v>
      </c>
    </row>
    <row r="4256" spans="1:7" x14ac:dyDescent="0.25">
      <c r="A4256">
        <v>1577020446</v>
      </c>
      <c r="B4256" t="s">
        <v>26967</v>
      </c>
      <c r="C4256">
        <v>1861</v>
      </c>
      <c r="D4256">
        <v>1</v>
      </c>
      <c r="E4256">
        <v>2561</v>
      </c>
      <c r="F4256">
        <v>3113</v>
      </c>
      <c r="G4256">
        <f t="shared" si="66"/>
        <v>1577020446</v>
      </c>
    </row>
    <row r="4257" spans="1:7" x14ac:dyDescent="0.25">
      <c r="A4257">
        <v>1577020544</v>
      </c>
      <c r="B4257" t="s">
        <v>26968</v>
      </c>
      <c r="C4257">
        <v>39</v>
      </c>
      <c r="D4257">
        <v>1</v>
      </c>
      <c r="E4257">
        <v>5460</v>
      </c>
      <c r="F4257">
        <v>2416</v>
      </c>
      <c r="G4257">
        <f t="shared" si="66"/>
        <v>1577020544</v>
      </c>
    </row>
    <row r="4258" spans="1:7" x14ac:dyDescent="0.25">
      <c r="A4258">
        <v>1577020665</v>
      </c>
      <c r="B4258" t="s">
        <v>26969</v>
      </c>
      <c r="C4258">
        <v>0</v>
      </c>
      <c r="D4258">
        <v>0</v>
      </c>
      <c r="E4258">
        <v>0</v>
      </c>
      <c r="F4258">
        <v>7661</v>
      </c>
      <c r="G4258">
        <f t="shared" si="66"/>
        <v>1577020665</v>
      </c>
    </row>
    <row r="4259" spans="1:7" x14ac:dyDescent="0.25">
      <c r="A4259">
        <v>1577020765</v>
      </c>
      <c r="B4259" t="s">
        <v>26970</v>
      </c>
      <c r="C4259">
        <v>0</v>
      </c>
      <c r="D4259">
        <v>1</v>
      </c>
      <c r="E4259">
        <v>170</v>
      </c>
      <c r="F4259">
        <v>5614</v>
      </c>
      <c r="G4259">
        <f t="shared" si="66"/>
        <v>1577020765</v>
      </c>
    </row>
    <row r="4260" spans="1:7" x14ac:dyDescent="0.25">
      <c r="A4260">
        <v>1577020853</v>
      </c>
      <c r="B4260" t="s">
        <v>26971</v>
      </c>
      <c r="C4260">
        <v>0</v>
      </c>
      <c r="D4260">
        <v>1</v>
      </c>
      <c r="E4260">
        <v>26</v>
      </c>
      <c r="F4260">
        <v>6643</v>
      </c>
      <c r="G4260">
        <f t="shared" si="66"/>
        <v>1577020853</v>
      </c>
    </row>
    <row r="4261" spans="1:7" x14ac:dyDescent="0.25">
      <c r="A4261">
        <v>1577020880</v>
      </c>
      <c r="B4261" t="s">
        <v>26972</v>
      </c>
      <c r="C4261">
        <v>1357</v>
      </c>
      <c r="D4261">
        <v>1</v>
      </c>
      <c r="E4261">
        <v>917</v>
      </c>
      <c r="F4261">
        <v>4093</v>
      </c>
      <c r="G4261">
        <f t="shared" si="66"/>
        <v>1577020880</v>
      </c>
    </row>
    <row r="4262" spans="1:7" x14ac:dyDescent="0.25">
      <c r="A4262">
        <v>1577021125</v>
      </c>
      <c r="B4262" t="s">
        <v>26973</v>
      </c>
      <c r="C4262">
        <v>882</v>
      </c>
      <c r="D4262">
        <v>2</v>
      </c>
      <c r="E4262">
        <v>5935</v>
      </c>
      <c r="F4262">
        <v>2295</v>
      </c>
      <c r="G4262">
        <f t="shared" si="66"/>
        <v>1577021125</v>
      </c>
    </row>
    <row r="4263" spans="1:7" x14ac:dyDescent="0.25">
      <c r="A4263">
        <v>1577021246</v>
      </c>
      <c r="B4263" t="s">
        <v>26974</v>
      </c>
      <c r="C4263">
        <v>0</v>
      </c>
      <c r="D4263">
        <v>0</v>
      </c>
      <c r="E4263">
        <v>0</v>
      </c>
      <c r="F4263">
        <v>7662</v>
      </c>
      <c r="G4263">
        <f t="shared" si="66"/>
        <v>1577021246</v>
      </c>
    </row>
    <row r="4264" spans="1:7" x14ac:dyDescent="0.25">
      <c r="A4264">
        <v>1577021252</v>
      </c>
      <c r="B4264" t="s">
        <v>36557</v>
      </c>
      <c r="C4264">
        <v>0</v>
      </c>
      <c r="D4264">
        <v>0</v>
      </c>
      <c r="E4264">
        <v>0</v>
      </c>
      <c r="F4264">
        <v>7663</v>
      </c>
      <c r="G4264">
        <f t="shared" si="66"/>
        <v>1577021252</v>
      </c>
    </row>
    <row r="4265" spans="1:7" x14ac:dyDescent="0.25">
      <c r="A4265">
        <v>1577021364</v>
      </c>
      <c r="B4265" t="s">
        <v>26975</v>
      </c>
      <c r="C4265">
        <v>431</v>
      </c>
      <c r="D4265">
        <v>0</v>
      </c>
      <c r="E4265">
        <v>0</v>
      </c>
      <c r="F4265">
        <v>7664</v>
      </c>
      <c r="G4265">
        <f t="shared" si="66"/>
        <v>1577021364</v>
      </c>
    </row>
    <row r="4266" spans="1:7" x14ac:dyDescent="0.25">
      <c r="A4266">
        <v>1577021657</v>
      </c>
      <c r="B4266" t="s">
        <v>26976</v>
      </c>
      <c r="C4266">
        <v>18</v>
      </c>
      <c r="D4266">
        <v>1</v>
      </c>
      <c r="E4266">
        <v>527</v>
      </c>
      <c r="F4266">
        <v>4585</v>
      </c>
      <c r="G4266">
        <f t="shared" si="66"/>
        <v>1577021657</v>
      </c>
    </row>
    <row r="4267" spans="1:7" x14ac:dyDescent="0.25">
      <c r="A4267">
        <v>1577022084</v>
      </c>
      <c r="B4267" t="s">
        <v>37013</v>
      </c>
      <c r="C4267">
        <v>0</v>
      </c>
      <c r="D4267">
        <v>1</v>
      </c>
      <c r="E4267">
        <v>26</v>
      </c>
      <c r="F4267">
        <v>6644</v>
      </c>
      <c r="G4267">
        <f t="shared" si="66"/>
        <v>1577022084</v>
      </c>
    </row>
    <row r="4268" spans="1:7" x14ac:dyDescent="0.25">
      <c r="A4268">
        <v>1577022275</v>
      </c>
      <c r="B4268" t="s">
        <v>26977</v>
      </c>
      <c r="C4268">
        <v>567</v>
      </c>
      <c r="D4268">
        <v>0</v>
      </c>
      <c r="E4268">
        <v>0</v>
      </c>
      <c r="F4268">
        <v>7665</v>
      </c>
      <c r="G4268">
        <f t="shared" si="66"/>
        <v>1577022275</v>
      </c>
    </row>
    <row r="4269" spans="1:7" x14ac:dyDescent="0.25">
      <c r="A4269">
        <v>1577022635</v>
      </c>
      <c r="B4269" t="s">
        <v>26978</v>
      </c>
      <c r="C4269">
        <v>0</v>
      </c>
      <c r="D4269">
        <v>0</v>
      </c>
      <c r="E4269">
        <v>0</v>
      </c>
      <c r="F4269">
        <v>7666</v>
      </c>
      <c r="G4269">
        <f t="shared" si="66"/>
        <v>1577022635</v>
      </c>
    </row>
    <row r="4270" spans="1:7" x14ac:dyDescent="0.25">
      <c r="A4270">
        <v>1577022750</v>
      </c>
      <c r="B4270" t="s">
        <v>26979</v>
      </c>
      <c r="C4270">
        <v>0</v>
      </c>
      <c r="D4270">
        <v>1</v>
      </c>
      <c r="E4270">
        <v>438</v>
      </c>
      <c r="F4270">
        <v>4762</v>
      </c>
      <c r="G4270">
        <f t="shared" si="66"/>
        <v>1577022750</v>
      </c>
    </row>
    <row r="4271" spans="1:7" x14ac:dyDescent="0.25">
      <c r="A4271">
        <v>1577022885</v>
      </c>
      <c r="B4271" t="s">
        <v>36558</v>
      </c>
      <c r="C4271">
        <v>0</v>
      </c>
      <c r="D4271">
        <v>1</v>
      </c>
      <c r="E4271">
        <v>519</v>
      </c>
      <c r="F4271">
        <v>4594</v>
      </c>
      <c r="G4271">
        <f t="shared" si="66"/>
        <v>1577022885</v>
      </c>
    </row>
    <row r="4272" spans="1:7" x14ac:dyDescent="0.25">
      <c r="A4272">
        <v>1577023006</v>
      </c>
      <c r="B4272" t="s">
        <v>26980</v>
      </c>
      <c r="C4272">
        <v>0</v>
      </c>
      <c r="D4272">
        <v>0</v>
      </c>
      <c r="E4272">
        <v>0</v>
      </c>
      <c r="F4272">
        <v>7667</v>
      </c>
      <c r="G4272">
        <f t="shared" si="66"/>
        <v>1577023006</v>
      </c>
    </row>
    <row r="4273" spans="1:7" x14ac:dyDescent="0.25">
      <c r="A4273">
        <v>1577023045</v>
      </c>
      <c r="B4273" t="s">
        <v>37054</v>
      </c>
      <c r="C4273">
        <v>0</v>
      </c>
      <c r="D4273">
        <v>0</v>
      </c>
      <c r="E4273">
        <v>0</v>
      </c>
      <c r="F4273">
        <v>7668</v>
      </c>
      <c r="G4273">
        <f t="shared" si="66"/>
        <v>1577023045</v>
      </c>
    </row>
    <row r="4274" spans="1:7" x14ac:dyDescent="0.25">
      <c r="A4274">
        <v>1577023140</v>
      </c>
      <c r="B4274" t="s">
        <v>26981</v>
      </c>
      <c r="C4274">
        <v>0</v>
      </c>
      <c r="D4274">
        <v>1</v>
      </c>
      <c r="E4274">
        <v>26</v>
      </c>
      <c r="F4274">
        <v>6645</v>
      </c>
      <c r="G4274">
        <f t="shared" si="66"/>
        <v>1577023140</v>
      </c>
    </row>
    <row r="4275" spans="1:7" x14ac:dyDescent="0.25">
      <c r="A4275">
        <v>1577023758</v>
      </c>
      <c r="B4275" t="s">
        <v>26982</v>
      </c>
      <c r="C4275">
        <v>0</v>
      </c>
      <c r="D4275">
        <v>1</v>
      </c>
      <c r="E4275">
        <v>298</v>
      </c>
      <c r="F4275">
        <v>5149</v>
      </c>
      <c r="G4275">
        <f t="shared" si="66"/>
        <v>1577023758</v>
      </c>
    </row>
    <row r="4276" spans="1:7" x14ac:dyDescent="0.25">
      <c r="A4276">
        <v>1577023901</v>
      </c>
      <c r="B4276" t="s">
        <v>26983</v>
      </c>
      <c r="C4276">
        <v>0</v>
      </c>
      <c r="D4276">
        <v>1</v>
      </c>
      <c r="E4276">
        <v>49</v>
      </c>
      <c r="F4276">
        <v>6194</v>
      </c>
      <c r="G4276">
        <f t="shared" si="66"/>
        <v>1577023901</v>
      </c>
    </row>
    <row r="4277" spans="1:7" x14ac:dyDescent="0.25">
      <c r="A4277">
        <v>1577024258</v>
      </c>
      <c r="B4277" t="s">
        <v>26984</v>
      </c>
      <c r="C4277">
        <v>0</v>
      </c>
      <c r="D4277">
        <v>1</v>
      </c>
      <c r="E4277">
        <v>252</v>
      </c>
      <c r="F4277">
        <v>5293</v>
      </c>
      <c r="G4277">
        <f t="shared" si="66"/>
        <v>1577024258</v>
      </c>
    </row>
    <row r="4278" spans="1:7" x14ac:dyDescent="0.25">
      <c r="A4278">
        <v>1577024436</v>
      </c>
      <c r="B4278" t="s">
        <v>26985</v>
      </c>
      <c r="C4278">
        <v>0</v>
      </c>
      <c r="D4278">
        <v>1</v>
      </c>
      <c r="E4278">
        <v>53</v>
      </c>
      <c r="F4278">
        <v>6142</v>
      </c>
      <c r="G4278">
        <f t="shared" si="66"/>
        <v>1577024436</v>
      </c>
    </row>
    <row r="4279" spans="1:7" x14ac:dyDescent="0.25">
      <c r="A4279">
        <v>1577025745</v>
      </c>
      <c r="B4279" t="s">
        <v>26986</v>
      </c>
      <c r="C4279">
        <v>0</v>
      </c>
      <c r="D4279">
        <v>1</v>
      </c>
      <c r="E4279">
        <v>278</v>
      </c>
      <c r="F4279">
        <v>5189</v>
      </c>
      <c r="G4279">
        <f t="shared" si="66"/>
        <v>1577025745</v>
      </c>
    </row>
    <row r="4280" spans="1:7" x14ac:dyDescent="0.25">
      <c r="A4280">
        <v>1577025772</v>
      </c>
      <c r="B4280" t="s">
        <v>26987</v>
      </c>
      <c r="C4280">
        <v>0</v>
      </c>
      <c r="D4280">
        <v>1</v>
      </c>
      <c r="E4280">
        <v>26</v>
      </c>
      <c r="F4280">
        <v>6646</v>
      </c>
      <c r="G4280">
        <f t="shared" si="66"/>
        <v>1577025772</v>
      </c>
    </row>
    <row r="4281" spans="1:7" x14ac:dyDescent="0.25">
      <c r="A4281">
        <v>1577025836</v>
      </c>
      <c r="B4281" t="s">
        <v>36559</v>
      </c>
      <c r="C4281">
        <v>0</v>
      </c>
      <c r="D4281">
        <v>1</v>
      </c>
      <c r="E4281">
        <v>83</v>
      </c>
      <c r="F4281">
        <v>5949</v>
      </c>
      <c r="G4281">
        <f t="shared" si="66"/>
        <v>1577025836</v>
      </c>
    </row>
    <row r="4282" spans="1:7" x14ac:dyDescent="0.25">
      <c r="A4282">
        <v>1577025920</v>
      </c>
      <c r="B4282" t="s">
        <v>26988</v>
      </c>
      <c r="C4282">
        <v>0</v>
      </c>
      <c r="D4282">
        <v>1</v>
      </c>
      <c r="E4282">
        <v>3399</v>
      </c>
      <c r="F4282">
        <v>2903</v>
      </c>
      <c r="G4282">
        <f t="shared" si="66"/>
        <v>1577025920</v>
      </c>
    </row>
    <row r="4283" spans="1:7" x14ac:dyDescent="0.25">
      <c r="A4283">
        <v>1577026002</v>
      </c>
      <c r="B4283" t="s">
        <v>26989</v>
      </c>
      <c r="C4283">
        <v>0</v>
      </c>
      <c r="D4283">
        <v>1</v>
      </c>
      <c r="E4283">
        <v>1736</v>
      </c>
      <c r="F4283">
        <v>3479</v>
      </c>
      <c r="G4283">
        <f t="shared" si="66"/>
        <v>1577026002</v>
      </c>
    </row>
    <row r="4284" spans="1:7" x14ac:dyDescent="0.25">
      <c r="A4284">
        <v>1577026289</v>
      </c>
      <c r="B4284" t="s">
        <v>37055</v>
      </c>
      <c r="C4284">
        <v>1362</v>
      </c>
      <c r="D4284">
        <v>1</v>
      </c>
      <c r="E4284">
        <v>1867</v>
      </c>
      <c r="F4284">
        <v>3406</v>
      </c>
      <c r="G4284">
        <f t="shared" si="66"/>
        <v>1577026289</v>
      </c>
    </row>
    <row r="4285" spans="1:7" x14ac:dyDescent="0.25">
      <c r="A4285">
        <v>1577026457</v>
      </c>
      <c r="B4285" t="s">
        <v>26990</v>
      </c>
      <c r="C4285">
        <v>0</v>
      </c>
      <c r="D4285">
        <v>1</v>
      </c>
      <c r="E4285">
        <v>73</v>
      </c>
      <c r="F4285">
        <v>6033</v>
      </c>
      <c r="G4285">
        <f t="shared" si="66"/>
        <v>1577026457</v>
      </c>
    </row>
    <row r="4286" spans="1:7" x14ac:dyDescent="0.25">
      <c r="A4286">
        <v>1577026484</v>
      </c>
      <c r="B4286" t="s">
        <v>26991</v>
      </c>
      <c r="C4286">
        <v>4</v>
      </c>
      <c r="D4286">
        <v>6</v>
      </c>
      <c r="E4286">
        <v>35408</v>
      </c>
      <c r="F4286">
        <v>145</v>
      </c>
      <c r="G4286">
        <f t="shared" si="66"/>
        <v>1577026484</v>
      </c>
    </row>
    <row r="4287" spans="1:7" x14ac:dyDescent="0.25">
      <c r="A4287">
        <v>1577026810</v>
      </c>
      <c r="B4287" t="s">
        <v>26992</v>
      </c>
      <c r="C4287">
        <v>117</v>
      </c>
      <c r="D4287">
        <v>1</v>
      </c>
      <c r="E4287">
        <v>5952</v>
      </c>
      <c r="F4287">
        <v>2288</v>
      </c>
      <c r="G4287">
        <f t="shared" si="66"/>
        <v>1577026810</v>
      </c>
    </row>
    <row r="4288" spans="1:7" x14ac:dyDescent="0.25">
      <c r="A4288">
        <v>1577027224</v>
      </c>
      <c r="B4288" t="s">
        <v>26993</v>
      </c>
      <c r="C4288">
        <v>680</v>
      </c>
      <c r="D4288">
        <v>1</v>
      </c>
      <c r="E4288">
        <v>5188</v>
      </c>
      <c r="F4288">
        <v>2469</v>
      </c>
      <c r="G4288">
        <f t="shared" si="66"/>
        <v>1577027224</v>
      </c>
    </row>
    <row r="4289" spans="1:7" x14ac:dyDescent="0.25">
      <c r="A4289">
        <v>1577027330</v>
      </c>
      <c r="B4289" t="s">
        <v>36560</v>
      </c>
      <c r="C4289">
        <v>578</v>
      </c>
      <c r="D4289">
        <v>3</v>
      </c>
      <c r="E4289">
        <v>10329</v>
      </c>
      <c r="F4289">
        <v>1523</v>
      </c>
      <c r="G4289">
        <f t="shared" ref="G4289:G4352" si="67">A4289</f>
        <v>1577027330</v>
      </c>
    </row>
    <row r="4290" spans="1:7" x14ac:dyDescent="0.25">
      <c r="A4290">
        <v>1577027447</v>
      </c>
      <c r="B4290" t="s">
        <v>26994</v>
      </c>
      <c r="C4290">
        <v>321</v>
      </c>
      <c r="D4290">
        <v>3</v>
      </c>
      <c r="E4290">
        <v>21206</v>
      </c>
      <c r="F4290">
        <v>562</v>
      </c>
      <c r="G4290">
        <f t="shared" si="67"/>
        <v>1577027447</v>
      </c>
    </row>
    <row r="4291" spans="1:7" x14ac:dyDescent="0.25">
      <c r="A4291">
        <v>1577027712</v>
      </c>
      <c r="B4291" t="s">
        <v>26995</v>
      </c>
      <c r="C4291">
        <v>152</v>
      </c>
      <c r="D4291">
        <v>5</v>
      </c>
      <c r="E4291">
        <v>22747</v>
      </c>
      <c r="F4291">
        <v>482</v>
      </c>
      <c r="G4291">
        <f t="shared" si="67"/>
        <v>1577027712</v>
      </c>
    </row>
    <row r="4292" spans="1:7" x14ac:dyDescent="0.25">
      <c r="A4292">
        <v>1577027732</v>
      </c>
      <c r="B4292" t="s">
        <v>26996</v>
      </c>
      <c r="C4292">
        <v>0</v>
      </c>
      <c r="D4292">
        <v>1</v>
      </c>
      <c r="E4292">
        <v>1238</v>
      </c>
      <c r="F4292">
        <v>3769</v>
      </c>
      <c r="G4292">
        <f t="shared" si="67"/>
        <v>1577027732</v>
      </c>
    </row>
    <row r="4293" spans="1:7" x14ac:dyDescent="0.25">
      <c r="A4293">
        <v>1577027850</v>
      </c>
      <c r="B4293" t="s">
        <v>26997</v>
      </c>
      <c r="C4293">
        <v>321</v>
      </c>
      <c r="D4293">
        <v>3</v>
      </c>
      <c r="E4293">
        <v>21410</v>
      </c>
      <c r="F4293">
        <v>558</v>
      </c>
      <c r="G4293">
        <f t="shared" si="67"/>
        <v>1577027850</v>
      </c>
    </row>
    <row r="4294" spans="1:7" x14ac:dyDescent="0.25">
      <c r="A4294">
        <v>1577028197</v>
      </c>
      <c r="B4294" t="s">
        <v>26998</v>
      </c>
      <c r="C4294">
        <v>138</v>
      </c>
      <c r="D4294">
        <v>11</v>
      </c>
      <c r="E4294">
        <v>45919</v>
      </c>
      <c r="F4294">
        <v>57</v>
      </c>
      <c r="G4294">
        <f t="shared" si="67"/>
        <v>1577028197</v>
      </c>
    </row>
    <row r="4295" spans="1:7" x14ac:dyDescent="0.25">
      <c r="A4295">
        <v>1577028224</v>
      </c>
      <c r="B4295" t="s">
        <v>26999</v>
      </c>
      <c r="C4295">
        <v>0</v>
      </c>
      <c r="D4295">
        <v>1</v>
      </c>
      <c r="E4295">
        <v>26</v>
      </c>
      <c r="F4295">
        <v>6647</v>
      </c>
      <c r="G4295">
        <f t="shared" si="67"/>
        <v>1577028224</v>
      </c>
    </row>
    <row r="4296" spans="1:7" x14ac:dyDescent="0.25">
      <c r="A4296">
        <v>1577028249</v>
      </c>
      <c r="B4296" t="s">
        <v>27000</v>
      </c>
      <c r="C4296">
        <v>0</v>
      </c>
      <c r="D4296">
        <v>1</v>
      </c>
      <c r="E4296">
        <v>695</v>
      </c>
      <c r="F4296">
        <v>4350</v>
      </c>
      <c r="G4296">
        <f t="shared" si="67"/>
        <v>1577028249</v>
      </c>
    </row>
    <row r="4297" spans="1:7" x14ac:dyDescent="0.25">
      <c r="A4297">
        <v>1577028555</v>
      </c>
      <c r="B4297" t="s">
        <v>27001</v>
      </c>
      <c r="C4297">
        <v>0</v>
      </c>
      <c r="D4297">
        <v>0</v>
      </c>
      <c r="E4297">
        <v>0</v>
      </c>
      <c r="F4297">
        <v>7669</v>
      </c>
      <c r="G4297">
        <f t="shared" si="67"/>
        <v>1577028555</v>
      </c>
    </row>
    <row r="4298" spans="1:7" x14ac:dyDescent="0.25">
      <c r="A4298">
        <v>1577028566</v>
      </c>
      <c r="B4298" t="s">
        <v>36561</v>
      </c>
      <c r="C4298">
        <v>0</v>
      </c>
      <c r="D4298">
        <v>1</v>
      </c>
      <c r="E4298">
        <v>1073</v>
      </c>
      <c r="F4298">
        <v>3897</v>
      </c>
      <c r="G4298">
        <f t="shared" si="67"/>
        <v>1577028566</v>
      </c>
    </row>
    <row r="4299" spans="1:7" x14ac:dyDescent="0.25">
      <c r="A4299">
        <v>1577028783</v>
      </c>
      <c r="B4299" t="s">
        <v>27002</v>
      </c>
      <c r="C4299">
        <v>1894</v>
      </c>
      <c r="D4299">
        <v>0</v>
      </c>
      <c r="E4299">
        <v>0</v>
      </c>
      <c r="F4299">
        <v>7670</v>
      </c>
      <c r="G4299">
        <f t="shared" si="67"/>
        <v>1577028783</v>
      </c>
    </row>
    <row r="4300" spans="1:7" x14ac:dyDescent="0.25">
      <c r="A4300">
        <v>1577028811</v>
      </c>
      <c r="B4300" t="s">
        <v>27003</v>
      </c>
      <c r="C4300">
        <v>1357</v>
      </c>
      <c r="D4300">
        <v>1</v>
      </c>
      <c r="E4300">
        <v>176</v>
      </c>
      <c r="F4300">
        <v>5596</v>
      </c>
      <c r="G4300">
        <f t="shared" si="67"/>
        <v>1577028811</v>
      </c>
    </row>
    <row r="4301" spans="1:7" x14ac:dyDescent="0.25">
      <c r="A4301">
        <v>1577028939</v>
      </c>
      <c r="B4301" t="s">
        <v>27004</v>
      </c>
      <c r="C4301">
        <v>1913</v>
      </c>
      <c r="D4301">
        <v>1</v>
      </c>
      <c r="E4301">
        <v>753</v>
      </c>
      <c r="F4301">
        <v>4263</v>
      </c>
      <c r="G4301">
        <f t="shared" si="67"/>
        <v>1577028939</v>
      </c>
    </row>
    <row r="4302" spans="1:7" x14ac:dyDescent="0.25">
      <c r="A4302">
        <v>1577029398</v>
      </c>
      <c r="B4302" t="s">
        <v>27005</v>
      </c>
      <c r="C4302">
        <v>497</v>
      </c>
      <c r="D4302">
        <v>0</v>
      </c>
      <c r="E4302">
        <v>0</v>
      </c>
      <c r="F4302">
        <v>7671</v>
      </c>
      <c r="G4302">
        <f t="shared" si="67"/>
        <v>1577029398</v>
      </c>
    </row>
    <row r="4303" spans="1:7" x14ac:dyDescent="0.25">
      <c r="A4303">
        <v>1577029422</v>
      </c>
      <c r="B4303" t="s">
        <v>27006</v>
      </c>
      <c r="C4303">
        <v>0</v>
      </c>
      <c r="D4303">
        <v>1</v>
      </c>
      <c r="E4303">
        <v>606</v>
      </c>
      <c r="F4303">
        <v>4471</v>
      </c>
      <c r="G4303">
        <f t="shared" si="67"/>
        <v>1577029422</v>
      </c>
    </row>
    <row r="4304" spans="1:7" x14ac:dyDescent="0.25">
      <c r="A4304">
        <v>1577030247</v>
      </c>
      <c r="B4304" t="s">
        <v>27007</v>
      </c>
      <c r="C4304">
        <v>67</v>
      </c>
      <c r="D4304">
        <v>4</v>
      </c>
      <c r="E4304">
        <v>23708</v>
      </c>
      <c r="F4304">
        <v>450</v>
      </c>
      <c r="G4304">
        <f t="shared" si="67"/>
        <v>1577030247</v>
      </c>
    </row>
    <row r="4305" spans="1:7" x14ac:dyDescent="0.25">
      <c r="A4305">
        <v>1577030433</v>
      </c>
      <c r="B4305" t="s">
        <v>36562</v>
      </c>
      <c r="C4305">
        <v>1232</v>
      </c>
      <c r="D4305">
        <v>1</v>
      </c>
      <c r="E4305">
        <v>1953</v>
      </c>
      <c r="F4305">
        <v>3370</v>
      </c>
      <c r="G4305">
        <f t="shared" si="67"/>
        <v>1577030433</v>
      </c>
    </row>
    <row r="4306" spans="1:7" x14ac:dyDescent="0.25">
      <c r="A4306">
        <v>1577031239</v>
      </c>
      <c r="B4306" t="s">
        <v>27008</v>
      </c>
      <c r="C4306">
        <v>1063</v>
      </c>
      <c r="D4306">
        <v>0</v>
      </c>
      <c r="E4306">
        <v>0</v>
      </c>
      <c r="F4306">
        <v>7672</v>
      </c>
      <c r="G4306">
        <f t="shared" si="67"/>
        <v>1577031239</v>
      </c>
    </row>
    <row r="4307" spans="1:7" x14ac:dyDescent="0.25">
      <c r="A4307">
        <v>1577031350</v>
      </c>
      <c r="B4307" t="s">
        <v>27009</v>
      </c>
      <c r="C4307">
        <v>0</v>
      </c>
      <c r="D4307">
        <v>1</v>
      </c>
      <c r="E4307">
        <v>2657</v>
      </c>
      <c r="F4307">
        <v>3084</v>
      </c>
      <c r="G4307">
        <f t="shared" si="67"/>
        <v>1577031350</v>
      </c>
    </row>
    <row r="4308" spans="1:7" x14ac:dyDescent="0.25">
      <c r="A4308">
        <v>1577031384</v>
      </c>
      <c r="B4308" t="s">
        <v>766</v>
      </c>
      <c r="C4308">
        <v>152</v>
      </c>
      <c r="D4308">
        <v>3</v>
      </c>
      <c r="E4308">
        <v>17183</v>
      </c>
      <c r="F4308">
        <v>812</v>
      </c>
      <c r="G4308">
        <f t="shared" si="67"/>
        <v>1577031384</v>
      </c>
    </row>
    <row r="4309" spans="1:7" x14ac:dyDescent="0.25">
      <c r="A4309">
        <v>1577031515</v>
      </c>
      <c r="B4309" t="s">
        <v>37225</v>
      </c>
      <c r="C4309">
        <v>0</v>
      </c>
      <c r="D4309">
        <v>0</v>
      </c>
      <c r="E4309">
        <v>0</v>
      </c>
      <c r="F4309">
        <v>7673</v>
      </c>
      <c r="G4309">
        <f t="shared" si="67"/>
        <v>1577031515</v>
      </c>
    </row>
    <row r="4310" spans="1:7" x14ac:dyDescent="0.25">
      <c r="A4310">
        <v>1577031642</v>
      </c>
      <c r="B4310" t="s">
        <v>37435</v>
      </c>
      <c r="C4310">
        <v>2016</v>
      </c>
      <c r="D4310">
        <v>1</v>
      </c>
      <c r="E4310">
        <v>172</v>
      </c>
      <c r="F4310">
        <v>5608</v>
      </c>
      <c r="G4310">
        <f t="shared" si="67"/>
        <v>1577031642</v>
      </c>
    </row>
    <row r="4311" spans="1:7" x14ac:dyDescent="0.25">
      <c r="A4311">
        <v>1577031827</v>
      </c>
      <c r="B4311" t="s">
        <v>27010</v>
      </c>
      <c r="C4311">
        <v>26</v>
      </c>
      <c r="D4311">
        <v>5</v>
      </c>
      <c r="E4311">
        <v>27023</v>
      </c>
      <c r="F4311">
        <v>335</v>
      </c>
      <c r="G4311">
        <f t="shared" si="67"/>
        <v>1577031827</v>
      </c>
    </row>
    <row r="4312" spans="1:7" x14ac:dyDescent="0.25">
      <c r="A4312">
        <v>1577032063</v>
      </c>
      <c r="B4312" t="s">
        <v>37156</v>
      </c>
      <c r="C4312">
        <v>0</v>
      </c>
      <c r="D4312">
        <v>1</v>
      </c>
      <c r="E4312">
        <v>252</v>
      </c>
      <c r="F4312">
        <v>5307</v>
      </c>
      <c r="G4312">
        <f t="shared" si="67"/>
        <v>1577032063</v>
      </c>
    </row>
    <row r="4313" spans="1:7" x14ac:dyDescent="0.25">
      <c r="A4313">
        <v>1577032155</v>
      </c>
      <c r="B4313" t="s">
        <v>27011</v>
      </c>
      <c r="C4313">
        <v>0</v>
      </c>
      <c r="D4313">
        <v>1</v>
      </c>
      <c r="E4313">
        <v>181</v>
      </c>
      <c r="F4313">
        <v>5577</v>
      </c>
      <c r="G4313">
        <f t="shared" si="67"/>
        <v>1577032155</v>
      </c>
    </row>
    <row r="4314" spans="1:7" x14ac:dyDescent="0.25">
      <c r="A4314">
        <v>1577033037</v>
      </c>
      <c r="B4314" t="s">
        <v>27012</v>
      </c>
      <c r="C4314">
        <v>0</v>
      </c>
      <c r="D4314">
        <v>0</v>
      </c>
      <c r="E4314">
        <v>0</v>
      </c>
      <c r="F4314">
        <v>7674</v>
      </c>
      <c r="G4314">
        <f t="shared" si="67"/>
        <v>1577033037</v>
      </c>
    </row>
    <row r="4315" spans="1:7" x14ac:dyDescent="0.25">
      <c r="A4315">
        <v>1577033216</v>
      </c>
      <c r="B4315" t="s">
        <v>27013</v>
      </c>
      <c r="C4315">
        <v>0</v>
      </c>
      <c r="D4315">
        <v>1</v>
      </c>
      <c r="E4315">
        <v>92</v>
      </c>
      <c r="F4315">
        <v>5906</v>
      </c>
      <c r="G4315">
        <f t="shared" si="67"/>
        <v>1577033216</v>
      </c>
    </row>
    <row r="4316" spans="1:7" x14ac:dyDescent="0.25">
      <c r="A4316">
        <v>1577033300</v>
      </c>
      <c r="B4316" t="s">
        <v>27014</v>
      </c>
      <c r="C4316">
        <v>733</v>
      </c>
      <c r="D4316">
        <v>6</v>
      </c>
      <c r="E4316">
        <v>32305</v>
      </c>
      <c r="F4316">
        <v>200</v>
      </c>
      <c r="G4316">
        <f t="shared" si="67"/>
        <v>1577033300</v>
      </c>
    </row>
    <row r="4317" spans="1:7" x14ac:dyDescent="0.25">
      <c r="A4317">
        <v>1577033606</v>
      </c>
      <c r="B4317" t="s">
        <v>36563</v>
      </c>
      <c r="C4317">
        <v>0</v>
      </c>
      <c r="D4317">
        <v>0</v>
      </c>
      <c r="E4317">
        <v>0</v>
      </c>
      <c r="F4317">
        <v>7675</v>
      </c>
      <c r="G4317">
        <f t="shared" si="67"/>
        <v>1577033606</v>
      </c>
    </row>
    <row r="4318" spans="1:7" x14ac:dyDescent="0.25">
      <c r="A4318">
        <v>1577033677</v>
      </c>
      <c r="B4318" t="s">
        <v>36564</v>
      </c>
      <c r="C4318">
        <v>1651</v>
      </c>
      <c r="D4318">
        <v>1</v>
      </c>
      <c r="E4318">
        <v>1042</v>
      </c>
      <c r="F4318">
        <v>3931</v>
      </c>
      <c r="G4318">
        <f t="shared" si="67"/>
        <v>1577033677</v>
      </c>
    </row>
    <row r="4319" spans="1:7" x14ac:dyDescent="0.25">
      <c r="A4319">
        <v>1577033820</v>
      </c>
      <c r="B4319" t="s">
        <v>27015</v>
      </c>
      <c r="C4319">
        <v>333</v>
      </c>
      <c r="D4319">
        <v>1</v>
      </c>
      <c r="E4319">
        <v>435</v>
      </c>
      <c r="F4319">
        <v>4770</v>
      </c>
      <c r="G4319">
        <f t="shared" si="67"/>
        <v>1577033820</v>
      </c>
    </row>
    <row r="4320" spans="1:7" x14ac:dyDescent="0.25">
      <c r="A4320">
        <v>1577034477</v>
      </c>
      <c r="B4320" t="s">
        <v>27016</v>
      </c>
      <c r="C4320">
        <v>0</v>
      </c>
      <c r="D4320">
        <v>1</v>
      </c>
      <c r="E4320">
        <v>1467</v>
      </c>
      <c r="F4320">
        <v>3618</v>
      </c>
      <c r="G4320">
        <f t="shared" si="67"/>
        <v>1577034477</v>
      </c>
    </row>
    <row r="4321" spans="1:7" x14ac:dyDescent="0.25">
      <c r="A4321">
        <v>1577034825</v>
      </c>
      <c r="B4321" t="s">
        <v>36565</v>
      </c>
      <c r="C4321">
        <v>1972</v>
      </c>
      <c r="D4321">
        <v>4</v>
      </c>
      <c r="E4321">
        <v>20653</v>
      </c>
      <c r="F4321">
        <v>587</v>
      </c>
      <c r="G4321">
        <f t="shared" si="67"/>
        <v>1577034825</v>
      </c>
    </row>
    <row r="4322" spans="1:7" x14ac:dyDescent="0.25">
      <c r="A4322">
        <v>1577035038</v>
      </c>
      <c r="B4322" t="s">
        <v>27017</v>
      </c>
      <c r="C4322">
        <v>1930</v>
      </c>
      <c r="D4322">
        <v>1</v>
      </c>
      <c r="E4322">
        <v>4940</v>
      </c>
      <c r="F4322">
        <v>2524</v>
      </c>
      <c r="G4322">
        <f t="shared" si="67"/>
        <v>1577035038</v>
      </c>
    </row>
    <row r="4323" spans="1:7" x14ac:dyDescent="0.25">
      <c r="A4323">
        <v>1577035237</v>
      </c>
      <c r="B4323" t="s">
        <v>27018</v>
      </c>
      <c r="C4323">
        <v>0</v>
      </c>
      <c r="D4323">
        <v>0</v>
      </c>
      <c r="E4323">
        <v>0</v>
      </c>
      <c r="F4323">
        <v>7676</v>
      </c>
      <c r="G4323">
        <f t="shared" si="67"/>
        <v>1577035237</v>
      </c>
    </row>
    <row r="4324" spans="1:7" x14ac:dyDescent="0.25">
      <c r="A4324">
        <v>1577035327</v>
      </c>
      <c r="B4324" t="s">
        <v>36566</v>
      </c>
      <c r="C4324">
        <v>152</v>
      </c>
      <c r="D4324">
        <v>1</v>
      </c>
      <c r="E4324">
        <v>7454</v>
      </c>
      <c r="F4324">
        <v>1986</v>
      </c>
      <c r="G4324">
        <f t="shared" si="67"/>
        <v>1577035327</v>
      </c>
    </row>
    <row r="4325" spans="1:7" x14ac:dyDescent="0.25">
      <c r="A4325">
        <v>1577035453</v>
      </c>
      <c r="B4325" t="s">
        <v>27019</v>
      </c>
      <c r="C4325">
        <v>96</v>
      </c>
      <c r="D4325">
        <v>2</v>
      </c>
      <c r="E4325">
        <v>9639</v>
      </c>
      <c r="F4325">
        <v>1619</v>
      </c>
      <c r="G4325">
        <f t="shared" si="67"/>
        <v>1577035453</v>
      </c>
    </row>
    <row r="4326" spans="1:7" x14ac:dyDescent="0.25">
      <c r="A4326">
        <v>1577035634</v>
      </c>
      <c r="B4326" t="s">
        <v>27020</v>
      </c>
      <c r="C4326">
        <v>31</v>
      </c>
      <c r="D4326">
        <v>3</v>
      </c>
      <c r="E4326">
        <v>18245</v>
      </c>
      <c r="F4326">
        <v>738</v>
      </c>
      <c r="G4326">
        <f t="shared" si="67"/>
        <v>1577035634</v>
      </c>
    </row>
    <row r="4327" spans="1:7" x14ac:dyDescent="0.25">
      <c r="A4327">
        <v>1577035648</v>
      </c>
      <c r="B4327" t="s">
        <v>36567</v>
      </c>
      <c r="C4327">
        <v>1954</v>
      </c>
      <c r="D4327">
        <v>1</v>
      </c>
      <c r="E4327">
        <v>1861</v>
      </c>
      <c r="F4327">
        <v>3419</v>
      </c>
      <c r="G4327">
        <f t="shared" si="67"/>
        <v>1577035648</v>
      </c>
    </row>
    <row r="4328" spans="1:7" x14ac:dyDescent="0.25">
      <c r="A4328">
        <v>1577035810</v>
      </c>
      <c r="B4328" t="s">
        <v>27021</v>
      </c>
      <c r="C4328">
        <v>0</v>
      </c>
      <c r="D4328">
        <v>0</v>
      </c>
      <c r="E4328">
        <v>0</v>
      </c>
      <c r="F4328">
        <v>7677</v>
      </c>
      <c r="G4328">
        <f t="shared" si="67"/>
        <v>1577035810</v>
      </c>
    </row>
    <row r="4329" spans="1:7" x14ac:dyDescent="0.25">
      <c r="A4329">
        <v>1577035851</v>
      </c>
      <c r="B4329" t="s">
        <v>27022</v>
      </c>
      <c r="C4329">
        <v>67</v>
      </c>
      <c r="D4329">
        <v>2</v>
      </c>
      <c r="E4329">
        <v>11597</v>
      </c>
      <c r="F4329">
        <v>1334</v>
      </c>
      <c r="G4329">
        <f t="shared" si="67"/>
        <v>1577035851</v>
      </c>
    </row>
    <row r="4330" spans="1:7" x14ac:dyDescent="0.25">
      <c r="A4330">
        <v>1577036114</v>
      </c>
      <c r="B4330" t="s">
        <v>27023</v>
      </c>
      <c r="C4330">
        <v>578</v>
      </c>
      <c r="D4330">
        <v>2</v>
      </c>
      <c r="E4330">
        <v>7949</v>
      </c>
      <c r="F4330">
        <v>1892</v>
      </c>
      <c r="G4330">
        <f t="shared" si="67"/>
        <v>1577036114</v>
      </c>
    </row>
    <row r="4331" spans="1:7" x14ac:dyDescent="0.25">
      <c r="A4331">
        <v>1577036496</v>
      </c>
      <c r="B4331" t="s">
        <v>27024</v>
      </c>
      <c r="C4331">
        <v>1734</v>
      </c>
      <c r="D4331">
        <v>1</v>
      </c>
      <c r="E4331">
        <v>659</v>
      </c>
      <c r="F4331">
        <v>4404</v>
      </c>
      <c r="G4331">
        <f t="shared" si="67"/>
        <v>1577036496</v>
      </c>
    </row>
    <row r="4332" spans="1:7" x14ac:dyDescent="0.25">
      <c r="A4332">
        <v>1577037113</v>
      </c>
      <c r="B4332" t="s">
        <v>36568</v>
      </c>
      <c r="C4332">
        <v>1919</v>
      </c>
      <c r="D4332">
        <v>1</v>
      </c>
      <c r="E4332">
        <v>931</v>
      </c>
      <c r="F4332">
        <v>4066</v>
      </c>
      <c r="G4332">
        <f t="shared" si="67"/>
        <v>1577037113</v>
      </c>
    </row>
    <row r="4333" spans="1:7" x14ac:dyDescent="0.25">
      <c r="A4333">
        <v>1577037124</v>
      </c>
      <c r="B4333" t="s">
        <v>27025</v>
      </c>
      <c r="C4333">
        <v>0</v>
      </c>
      <c r="D4333">
        <v>1</v>
      </c>
      <c r="E4333">
        <v>73</v>
      </c>
      <c r="F4333">
        <v>6034</v>
      </c>
      <c r="G4333">
        <f t="shared" si="67"/>
        <v>1577037124</v>
      </c>
    </row>
    <row r="4334" spans="1:7" x14ac:dyDescent="0.25">
      <c r="A4334">
        <v>1577037347</v>
      </c>
      <c r="B4334" t="s">
        <v>27026</v>
      </c>
      <c r="C4334">
        <v>0</v>
      </c>
      <c r="D4334">
        <v>1</v>
      </c>
      <c r="E4334">
        <v>493</v>
      </c>
      <c r="F4334">
        <v>4659</v>
      </c>
      <c r="G4334">
        <f t="shared" si="67"/>
        <v>1577037347</v>
      </c>
    </row>
    <row r="4335" spans="1:7" x14ac:dyDescent="0.25">
      <c r="A4335">
        <v>1577037525</v>
      </c>
      <c r="B4335" t="s">
        <v>36569</v>
      </c>
      <c r="C4335">
        <v>0</v>
      </c>
      <c r="D4335">
        <v>1</v>
      </c>
      <c r="E4335">
        <v>275</v>
      </c>
      <c r="F4335">
        <v>5205</v>
      </c>
      <c r="G4335">
        <f t="shared" si="67"/>
        <v>1577037525</v>
      </c>
    </row>
    <row r="4336" spans="1:7" x14ac:dyDescent="0.25">
      <c r="A4336">
        <v>1577037668</v>
      </c>
      <c r="B4336" t="s">
        <v>27027</v>
      </c>
      <c r="C4336">
        <v>0</v>
      </c>
      <c r="D4336">
        <v>1</v>
      </c>
      <c r="E4336">
        <v>56</v>
      </c>
      <c r="F4336">
        <v>6123</v>
      </c>
      <c r="G4336">
        <f t="shared" si="67"/>
        <v>1577037668</v>
      </c>
    </row>
    <row r="4337" spans="1:7" x14ac:dyDescent="0.25">
      <c r="A4337">
        <v>1577037782</v>
      </c>
      <c r="B4337" t="s">
        <v>27028</v>
      </c>
      <c r="C4337">
        <v>179</v>
      </c>
      <c r="D4337">
        <v>1</v>
      </c>
      <c r="E4337">
        <v>3053</v>
      </c>
      <c r="F4337">
        <v>2923</v>
      </c>
      <c r="G4337">
        <f t="shared" si="67"/>
        <v>1577037782</v>
      </c>
    </row>
    <row r="4338" spans="1:7" x14ac:dyDescent="0.25">
      <c r="A4338">
        <v>1577037815</v>
      </c>
      <c r="B4338" t="s">
        <v>27029</v>
      </c>
      <c r="C4338">
        <v>0</v>
      </c>
      <c r="D4338">
        <v>1</v>
      </c>
      <c r="E4338">
        <v>26</v>
      </c>
      <c r="F4338">
        <v>6648</v>
      </c>
      <c r="G4338">
        <f t="shared" si="67"/>
        <v>1577037815</v>
      </c>
    </row>
    <row r="4339" spans="1:7" x14ac:dyDescent="0.25">
      <c r="A4339">
        <v>1577038440</v>
      </c>
      <c r="B4339" t="s">
        <v>27030</v>
      </c>
      <c r="C4339">
        <v>0</v>
      </c>
      <c r="D4339">
        <v>0</v>
      </c>
      <c r="E4339">
        <v>0</v>
      </c>
      <c r="F4339">
        <v>7678</v>
      </c>
      <c r="G4339">
        <f t="shared" si="67"/>
        <v>1577038440</v>
      </c>
    </row>
    <row r="4340" spans="1:7" x14ac:dyDescent="0.25">
      <c r="A4340">
        <v>1577039264</v>
      </c>
      <c r="B4340" t="s">
        <v>27031</v>
      </c>
      <c r="C4340">
        <v>887</v>
      </c>
      <c r="D4340">
        <v>1</v>
      </c>
      <c r="E4340">
        <v>2186</v>
      </c>
      <c r="F4340">
        <v>3253</v>
      </c>
      <c r="G4340">
        <f t="shared" si="67"/>
        <v>1577039264</v>
      </c>
    </row>
    <row r="4341" spans="1:7" x14ac:dyDescent="0.25">
      <c r="A4341">
        <v>1577039301</v>
      </c>
      <c r="B4341" t="s">
        <v>27032</v>
      </c>
      <c r="C4341">
        <v>422</v>
      </c>
      <c r="D4341">
        <v>2</v>
      </c>
      <c r="E4341">
        <v>10398</v>
      </c>
      <c r="F4341">
        <v>1508</v>
      </c>
      <c r="G4341">
        <f t="shared" si="67"/>
        <v>1577039301</v>
      </c>
    </row>
    <row r="4342" spans="1:7" x14ac:dyDescent="0.25">
      <c r="A4342">
        <v>1577039484</v>
      </c>
      <c r="B4342" t="s">
        <v>27033</v>
      </c>
      <c r="C4342">
        <v>0</v>
      </c>
      <c r="D4342">
        <v>1</v>
      </c>
      <c r="E4342">
        <v>381</v>
      </c>
      <c r="F4342">
        <v>4900</v>
      </c>
      <c r="G4342">
        <f t="shared" si="67"/>
        <v>1577039484</v>
      </c>
    </row>
    <row r="4343" spans="1:7" x14ac:dyDescent="0.25">
      <c r="A4343">
        <v>1577039508</v>
      </c>
      <c r="B4343" t="s">
        <v>27034</v>
      </c>
      <c r="C4343">
        <v>1413</v>
      </c>
      <c r="D4343">
        <v>1</v>
      </c>
      <c r="E4343">
        <v>4199</v>
      </c>
      <c r="F4343">
        <v>2715</v>
      </c>
      <c r="G4343">
        <f t="shared" si="67"/>
        <v>1577039508</v>
      </c>
    </row>
    <row r="4344" spans="1:7" x14ac:dyDescent="0.25">
      <c r="A4344">
        <v>1577039544</v>
      </c>
      <c r="B4344" t="s">
        <v>27035</v>
      </c>
      <c r="C4344">
        <v>1547</v>
      </c>
      <c r="D4344">
        <v>1</v>
      </c>
      <c r="E4344">
        <v>1185</v>
      </c>
      <c r="F4344">
        <v>3808</v>
      </c>
      <c r="G4344">
        <f t="shared" si="67"/>
        <v>1577039544</v>
      </c>
    </row>
    <row r="4345" spans="1:7" x14ac:dyDescent="0.25">
      <c r="A4345">
        <v>1577039872</v>
      </c>
      <c r="B4345" t="s">
        <v>27036</v>
      </c>
      <c r="C4345">
        <v>0</v>
      </c>
      <c r="D4345">
        <v>1</v>
      </c>
      <c r="E4345">
        <v>26</v>
      </c>
      <c r="F4345">
        <v>6649</v>
      </c>
      <c r="G4345">
        <f t="shared" si="67"/>
        <v>1577039872</v>
      </c>
    </row>
    <row r="4346" spans="1:7" x14ac:dyDescent="0.25">
      <c r="A4346">
        <v>1577040375</v>
      </c>
      <c r="B4346" t="s">
        <v>27037</v>
      </c>
      <c r="C4346">
        <v>0</v>
      </c>
      <c r="D4346">
        <v>1</v>
      </c>
      <c r="E4346">
        <v>1066</v>
      </c>
      <c r="F4346">
        <v>3906</v>
      </c>
      <c r="G4346">
        <f t="shared" si="67"/>
        <v>1577040375</v>
      </c>
    </row>
    <row r="4347" spans="1:7" x14ac:dyDescent="0.25">
      <c r="A4347">
        <v>1577040884</v>
      </c>
      <c r="B4347" t="s">
        <v>27038</v>
      </c>
      <c r="C4347">
        <v>1535</v>
      </c>
      <c r="D4347">
        <v>2</v>
      </c>
      <c r="E4347">
        <v>7013</v>
      </c>
      <c r="F4347">
        <v>2061</v>
      </c>
      <c r="G4347">
        <f t="shared" si="67"/>
        <v>1577040884</v>
      </c>
    </row>
    <row r="4348" spans="1:7" x14ac:dyDescent="0.25">
      <c r="A4348">
        <v>1577040909</v>
      </c>
      <c r="B4348" t="s">
        <v>27039</v>
      </c>
      <c r="C4348">
        <v>0</v>
      </c>
      <c r="D4348">
        <v>1</v>
      </c>
      <c r="E4348">
        <v>438</v>
      </c>
      <c r="F4348">
        <v>4763</v>
      </c>
      <c r="G4348">
        <f t="shared" si="67"/>
        <v>1577040909</v>
      </c>
    </row>
    <row r="4349" spans="1:7" x14ac:dyDescent="0.25">
      <c r="A4349">
        <v>1577040924</v>
      </c>
      <c r="B4349" t="s">
        <v>27040</v>
      </c>
      <c r="C4349">
        <v>1622</v>
      </c>
      <c r="D4349">
        <v>1</v>
      </c>
      <c r="E4349">
        <v>1197</v>
      </c>
      <c r="F4349">
        <v>3798</v>
      </c>
      <c r="G4349">
        <f t="shared" si="67"/>
        <v>1577040924</v>
      </c>
    </row>
    <row r="4350" spans="1:7" x14ac:dyDescent="0.25">
      <c r="A4350">
        <v>1577041107</v>
      </c>
      <c r="B4350" t="s">
        <v>27041</v>
      </c>
      <c r="C4350">
        <v>0</v>
      </c>
      <c r="D4350">
        <v>0</v>
      </c>
      <c r="E4350">
        <v>0</v>
      </c>
      <c r="F4350">
        <v>7679</v>
      </c>
      <c r="G4350">
        <f t="shared" si="67"/>
        <v>1577041107</v>
      </c>
    </row>
    <row r="4351" spans="1:7" x14ac:dyDescent="0.25">
      <c r="A4351">
        <v>1577041398</v>
      </c>
      <c r="B4351" t="s">
        <v>36570</v>
      </c>
      <c r="C4351">
        <v>422</v>
      </c>
      <c r="D4351">
        <v>3</v>
      </c>
      <c r="E4351">
        <v>15016</v>
      </c>
      <c r="F4351">
        <v>996</v>
      </c>
      <c r="G4351">
        <f t="shared" si="67"/>
        <v>1577041398</v>
      </c>
    </row>
    <row r="4352" spans="1:7" x14ac:dyDescent="0.25">
      <c r="A4352">
        <v>1577041400</v>
      </c>
      <c r="B4352" t="s">
        <v>27042</v>
      </c>
      <c r="C4352">
        <v>3</v>
      </c>
      <c r="D4352">
        <v>6</v>
      </c>
      <c r="E4352">
        <v>28617</v>
      </c>
      <c r="F4352">
        <v>280</v>
      </c>
      <c r="G4352">
        <f t="shared" si="67"/>
        <v>1577041400</v>
      </c>
    </row>
    <row r="4353" spans="1:7" x14ac:dyDescent="0.25">
      <c r="A4353">
        <v>1577042188</v>
      </c>
      <c r="B4353" t="s">
        <v>27043</v>
      </c>
      <c r="C4353">
        <v>0</v>
      </c>
      <c r="D4353">
        <v>0</v>
      </c>
      <c r="E4353">
        <v>0</v>
      </c>
      <c r="F4353">
        <v>7680</v>
      </c>
      <c r="G4353">
        <f t="shared" ref="G4353:G4416" si="68">A4353</f>
        <v>1577042188</v>
      </c>
    </row>
    <row r="4354" spans="1:7" x14ac:dyDescent="0.25">
      <c r="A4354">
        <v>1577042248</v>
      </c>
      <c r="B4354" t="s">
        <v>37314</v>
      </c>
      <c r="C4354">
        <v>1913</v>
      </c>
      <c r="D4354">
        <v>1</v>
      </c>
      <c r="E4354">
        <v>1945</v>
      </c>
      <c r="F4354">
        <v>3382</v>
      </c>
      <c r="G4354">
        <f t="shared" si="68"/>
        <v>1577042248</v>
      </c>
    </row>
    <row r="4355" spans="1:7" x14ac:dyDescent="0.25">
      <c r="A4355">
        <v>1577042481</v>
      </c>
      <c r="B4355" t="s">
        <v>27044</v>
      </c>
      <c r="C4355">
        <v>36</v>
      </c>
      <c r="D4355">
        <v>1</v>
      </c>
      <c r="E4355">
        <v>7849</v>
      </c>
      <c r="F4355">
        <v>1913</v>
      </c>
      <c r="G4355">
        <f t="shared" si="68"/>
        <v>1577042481</v>
      </c>
    </row>
    <row r="4356" spans="1:7" x14ac:dyDescent="0.25">
      <c r="A4356">
        <v>1577042567</v>
      </c>
      <c r="B4356" t="s">
        <v>27045</v>
      </c>
      <c r="C4356">
        <v>0</v>
      </c>
      <c r="D4356">
        <v>1</v>
      </c>
      <c r="E4356">
        <v>3095</v>
      </c>
      <c r="F4356">
        <v>2971</v>
      </c>
      <c r="G4356">
        <f t="shared" si="68"/>
        <v>1577042567</v>
      </c>
    </row>
    <row r="4357" spans="1:7" x14ac:dyDescent="0.25">
      <c r="A4357">
        <v>1577042724</v>
      </c>
      <c r="B4357" t="s">
        <v>27046</v>
      </c>
      <c r="C4357">
        <v>0</v>
      </c>
      <c r="D4357">
        <v>1</v>
      </c>
      <c r="E4357">
        <v>84</v>
      </c>
      <c r="F4357">
        <v>5945</v>
      </c>
      <c r="G4357">
        <f t="shared" si="68"/>
        <v>1577042724</v>
      </c>
    </row>
    <row r="4358" spans="1:7" x14ac:dyDescent="0.25">
      <c r="A4358">
        <v>1577042786</v>
      </c>
      <c r="B4358" t="s">
        <v>27047</v>
      </c>
      <c r="C4358">
        <v>567</v>
      </c>
      <c r="D4358">
        <v>1</v>
      </c>
      <c r="E4358">
        <v>4257</v>
      </c>
      <c r="F4358">
        <v>2696</v>
      </c>
      <c r="G4358">
        <f t="shared" si="68"/>
        <v>1577042786</v>
      </c>
    </row>
    <row r="4359" spans="1:7" x14ac:dyDescent="0.25">
      <c r="A4359">
        <v>1577042932</v>
      </c>
      <c r="B4359" t="s">
        <v>27048</v>
      </c>
      <c r="C4359">
        <v>1602</v>
      </c>
      <c r="D4359">
        <v>1</v>
      </c>
      <c r="E4359">
        <v>1036</v>
      </c>
      <c r="F4359">
        <v>3952</v>
      </c>
      <c r="G4359">
        <f t="shared" si="68"/>
        <v>1577042932</v>
      </c>
    </row>
    <row r="4360" spans="1:7" x14ac:dyDescent="0.25">
      <c r="A4360">
        <v>1577043234</v>
      </c>
      <c r="B4360" t="s">
        <v>27049</v>
      </c>
      <c r="C4360">
        <v>320</v>
      </c>
      <c r="D4360">
        <v>1</v>
      </c>
      <c r="E4360">
        <v>3777</v>
      </c>
      <c r="F4360">
        <v>2818</v>
      </c>
      <c r="G4360">
        <f t="shared" si="68"/>
        <v>1577043234</v>
      </c>
    </row>
    <row r="4361" spans="1:7" x14ac:dyDescent="0.25">
      <c r="A4361">
        <v>1577043438</v>
      </c>
      <c r="B4361" t="s">
        <v>27050</v>
      </c>
      <c r="C4361">
        <v>0</v>
      </c>
      <c r="D4361">
        <v>0</v>
      </c>
      <c r="E4361">
        <v>0</v>
      </c>
      <c r="F4361">
        <v>7681</v>
      </c>
      <c r="G4361">
        <f t="shared" si="68"/>
        <v>1577043438</v>
      </c>
    </row>
    <row r="4362" spans="1:7" x14ac:dyDescent="0.25">
      <c r="A4362">
        <v>1577043503</v>
      </c>
      <c r="B4362" t="s">
        <v>27051</v>
      </c>
      <c r="C4362">
        <v>0</v>
      </c>
      <c r="D4362">
        <v>0</v>
      </c>
      <c r="E4362">
        <v>0</v>
      </c>
      <c r="F4362">
        <v>7682</v>
      </c>
      <c r="G4362">
        <f t="shared" si="68"/>
        <v>1577043503</v>
      </c>
    </row>
    <row r="4363" spans="1:7" x14ac:dyDescent="0.25">
      <c r="A4363">
        <v>1577043512</v>
      </c>
      <c r="B4363" t="s">
        <v>27052</v>
      </c>
      <c r="C4363">
        <v>0</v>
      </c>
      <c r="D4363">
        <v>1</v>
      </c>
      <c r="E4363">
        <v>42</v>
      </c>
      <c r="F4363">
        <v>6256</v>
      </c>
      <c r="G4363">
        <f t="shared" si="68"/>
        <v>1577043512</v>
      </c>
    </row>
    <row r="4364" spans="1:7" x14ac:dyDescent="0.25">
      <c r="A4364">
        <v>1577043523</v>
      </c>
      <c r="B4364" t="s">
        <v>27053</v>
      </c>
      <c r="C4364">
        <v>0</v>
      </c>
      <c r="D4364">
        <v>1</v>
      </c>
      <c r="E4364">
        <v>862</v>
      </c>
      <c r="F4364">
        <v>4123</v>
      </c>
      <c r="G4364">
        <f t="shared" si="68"/>
        <v>1577043523</v>
      </c>
    </row>
    <row r="4365" spans="1:7" x14ac:dyDescent="0.25">
      <c r="A4365">
        <v>1577043583</v>
      </c>
      <c r="B4365" t="s">
        <v>27054</v>
      </c>
      <c r="C4365">
        <v>250</v>
      </c>
      <c r="D4365">
        <v>0</v>
      </c>
      <c r="E4365">
        <v>0</v>
      </c>
      <c r="F4365">
        <v>7683</v>
      </c>
      <c r="G4365">
        <f t="shared" si="68"/>
        <v>1577043583</v>
      </c>
    </row>
    <row r="4366" spans="1:7" x14ac:dyDescent="0.25">
      <c r="A4366">
        <v>1577043595</v>
      </c>
      <c r="B4366" t="s">
        <v>37315</v>
      </c>
      <c r="C4366">
        <v>1643</v>
      </c>
      <c r="D4366">
        <v>1</v>
      </c>
      <c r="E4366">
        <v>1806</v>
      </c>
      <c r="F4366">
        <v>3442</v>
      </c>
      <c r="G4366">
        <f t="shared" si="68"/>
        <v>1577043595</v>
      </c>
    </row>
    <row r="4367" spans="1:7" x14ac:dyDescent="0.25">
      <c r="A4367">
        <v>1577043722</v>
      </c>
      <c r="B4367" t="s">
        <v>27055</v>
      </c>
      <c r="C4367">
        <v>0</v>
      </c>
      <c r="D4367">
        <v>1</v>
      </c>
      <c r="E4367">
        <v>190</v>
      </c>
      <c r="F4367">
        <v>5541</v>
      </c>
      <c r="G4367">
        <f t="shared" si="68"/>
        <v>1577043722</v>
      </c>
    </row>
    <row r="4368" spans="1:7" x14ac:dyDescent="0.25">
      <c r="A4368">
        <v>1577043725</v>
      </c>
      <c r="B4368" t="s">
        <v>27056</v>
      </c>
      <c r="C4368">
        <v>645</v>
      </c>
      <c r="D4368">
        <v>1</v>
      </c>
      <c r="E4368">
        <v>404</v>
      </c>
      <c r="F4368">
        <v>4839</v>
      </c>
      <c r="G4368">
        <f t="shared" si="68"/>
        <v>1577043725</v>
      </c>
    </row>
    <row r="4369" spans="1:7" x14ac:dyDescent="0.25">
      <c r="A4369">
        <v>1577043826</v>
      </c>
      <c r="B4369" t="s">
        <v>37157</v>
      </c>
      <c r="C4369">
        <v>0</v>
      </c>
      <c r="D4369">
        <v>1</v>
      </c>
      <c r="E4369">
        <v>2795</v>
      </c>
      <c r="F4369">
        <v>3043</v>
      </c>
      <c r="G4369">
        <f t="shared" si="68"/>
        <v>1577043826</v>
      </c>
    </row>
    <row r="4370" spans="1:7" x14ac:dyDescent="0.25">
      <c r="A4370">
        <v>1577043880</v>
      </c>
      <c r="B4370" t="s">
        <v>27057</v>
      </c>
      <c r="C4370">
        <v>106</v>
      </c>
      <c r="D4370">
        <v>2</v>
      </c>
      <c r="E4370">
        <v>8793</v>
      </c>
      <c r="F4370">
        <v>1757</v>
      </c>
      <c r="G4370">
        <f t="shared" si="68"/>
        <v>1577043880</v>
      </c>
    </row>
    <row r="4371" spans="1:7" x14ac:dyDescent="0.25">
      <c r="A4371">
        <v>1577044240</v>
      </c>
      <c r="B4371" t="s">
        <v>27058</v>
      </c>
      <c r="C4371">
        <v>733</v>
      </c>
      <c r="D4371">
        <v>5</v>
      </c>
      <c r="E4371">
        <v>29443</v>
      </c>
      <c r="F4371">
        <v>256</v>
      </c>
      <c r="G4371">
        <f t="shared" si="68"/>
        <v>1577044240</v>
      </c>
    </row>
    <row r="4372" spans="1:7" x14ac:dyDescent="0.25">
      <c r="A4372">
        <v>1577044420</v>
      </c>
      <c r="B4372" t="s">
        <v>27059</v>
      </c>
      <c r="C4372">
        <v>1403</v>
      </c>
      <c r="D4372">
        <v>3</v>
      </c>
      <c r="E4372">
        <v>8522</v>
      </c>
      <c r="F4372">
        <v>1797</v>
      </c>
      <c r="G4372">
        <f t="shared" si="68"/>
        <v>1577044420</v>
      </c>
    </row>
    <row r="4373" spans="1:7" x14ac:dyDescent="0.25">
      <c r="A4373">
        <v>1577044442</v>
      </c>
      <c r="B4373" t="s">
        <v>27060</v>
      </c>
      <c r="C4373">
        <v>419</v>
      </c>
      <c r="D4373">
        <v>1</v>
      </c>
      <c r="E4373">
        <v>5659</v>
      </c>
      <c r="F4373">
        <v>2361</v>
      </c>
      <c r="G4373">
        <f t="shared" si="68"/>
        <v>1577044442</v>
      </c>
    </row>
    <row r="4374" spans="1:7" x14ac:dyDescent="0.25">
      <c r="A4374">
        <v>1577044541</v>
      </c>
      <c r="B4374" t="s">
        <v>27061</v>
      </c>
      <c r="C4374">
        <v>0</v>
      </c>
      <c r="D4374">
        <v>1</v>
      </c>
      <c r="E4374">
        <v>38</v>
      </c>
      <c r="F4374">
        <v>6276</v>
      </c>
      <c r="G4374">
        <f t="shared" si="68"/>
        <v>1577044541</v>
      </c>
    </row>
    <row r="4375" spans="1:7" x14ac:dyDescent="0.25">
      <c r="A4375">
        <v>1577044588</v>
      </c>
      <c r="B4375" t="s">
        <v>27062</v>
      </c>
      <c r="C4375">
        <v>250</v>
      </c>
      <c r="D4375">
        <v>1</v>
      </c>
      <c r="E4375">
        <v>612</v>
      </c>
      <c r="F4375">
        <v>4467</v>
      </c>
      <c r="G4375">
        <f t="shared" si="68"/>
        <v>1577044588</v>
      </c>
    </row>
    <row r="4376" spans="1:7" x14ac:dyDescent="0.25">
      <c r="A4376">
        <v>1577044901</v>
      </c>
      <c r="B4376" t="s">
        <v>27063</v>
      </c>
      <c r="C4376">
        <v>1019</v>
      </c>
      <c r="D4376">
        <v>3</v>
      </c>
      <c r="E4376">
        <v>13186</v>
      </c>
      <c r="F4376">
        <v>1149</v>
      </c>
      <c r="G4376">
        <f t="shared" si="68"/>
        <v>1577044901</v>
      </c>
    </row>
    <row r="4377" spans="1:7" x14ac:dyDescent="0.25">
      <c r="A4377">
        <v>1577045005</v>
      </c>
      <c r="B4377" t="s">
        <v>27064</v>
      </c>
      <c r="C4377">
        <v>887</v>
      </c>
      <c r="D4377">
        <v>2</v>
      </c>
      <c r="E4377">
        <v>7687</v>
      </c>
      <c r="F4377">
        <v>1945</v>
      </c>
      <c r="G4377">
        <f t="shared" si="68"/>
        <v>1577045005</v>
      </c>
    </row>
    <row r="4378" spans="1:7" x14ac:dyDescent="0.25">
      <c r="A4378">
        <v>1577045102</v>
      </c>
      <c r="B4378" t="s">
        <v>27065</v>
      </c>
      <c r="C4378">
        <v>126</v>
      </c>
      <c r="D4378">
        <v>7</v>
      </c>
      <c r="E4378">
        <v>39158</v>
      </c>
      <c r="F4378">
        <v>97</v>
      </c>
      <c r="G4378">
        <f t="shared" si="68"/>
        <v>1577045102</v>
      </c>
    </row>
    <row r="4379" spans="1:7" x14ac:dyDescent="0.25">
      <c r="A4379">
        <v>1577045139</v>
      </c>
      <c r="B4379" t="s">
        <v>36571</v>
      </c>
      <c r="C4379">
        <v>58</v>
      </c>
      <c r="D4379">
        <v>6</v>
      </c>
      <c r="E4379">
        <v>31326</v>
      </c>
      <c r="F4379">
        <v>220</v>
      </c>
      <c r="G4379">
        <f t="shared" si="68"/>
        <v>1577045139</v>
      </c>
    </row>
    <row r="4380" spans="1:7" x14ac:dyDescent="0.25">
      <c r="A4380">
        <v>1577045171</v>
      </c>
      <c r="B4380" t="s">
        <v>27066</v>
      </c>
      <c r="C4380">
        <v>0</v>
      </c>
      <c r="D4380">
        <v>0</v>
      </c>
      <c r="E4380">
        <v>0</v>
      </c>
      <c r="F4380">
        <v>7684</v>
      </c>
      <c r="G4380">
        <f t="shared" si="68"/>
        <v>1577045171</v>
      </c>
    </row>
    <row r="4381" spans="1:7" x14ac:dyDescent="0.25">
      <c r="A4381">
        <v>1577045238</v>
      </c>
      <c r="B4381" t="s">
        <v>27067</v>
      </c>
      <c r="C4381">
        <v>0</v>
      </c>
      <c r="D4381">
        <v>1</v>
      </c>
      <c r="E4381">
        <v>26</v>
      </c>
      <c r="F4381">
        <v>6650</v>
      </c>
      <c r="G4381">
        <f t="shared" si="68"/>
        <v>1577045238</v>
      </c>
    </row>
    <row r="4382" spans="1:7" x14ac:dyDescent="0.25">
      <c r="A4382">
        <v>1577045326</v>
      </c>
      <c r="B4382" t="s">
        <v>27068</v>
      </c>
      <c r="C4382">
        <v>58</v>
      </c>
      <c r="D4382">
        <v>4</v>
      </c>
      <c r="E4382">
        <v>12633</v>
      </c>
      <c r="F4382">
        <v>1208</v>
      </c>
      <c r="G4382">
        <f t="shared" si="68"/>
        <v>1577045326</v>
      </c>
    </row>
    <row r="4383" spans="1:7" x14ac:dyDescent="0.25">
      <c r="A4383">
        <v>1577045342</v>
      </c>
      <c r="B4383" t="s">
        <v>27069</v>
      </c>
      <c r="C4383">
        <v>1885</v>
      </c>
      <c r="D4383">
        <v>1</v>
      </c>
      <c r="E4383">
        <v>558</v>
      </c>
      <c r="F4383">
        <v>4539</v>
      </c>
      <c r="G4383">
        <f t="shared" si="68"/>
        <v>1577045342</v>
      </c>
    </row>
    <row r="4384" spans="1:7" x14ac:dyDescent="0.25">
      <c r="A4384">
        <v>1577045482</v>
      </c>
      <c r="B4384" t="s">
        <v>27070</v>
      </c>
      <c r="C4384">
        <v>25</v>
      </c>
      <c r="D4384">
        <v>3</v>
      </c>
      <c r="E4384">
        <v>11372</v>
      </c>
      <c r="F4384">
        <v>1370</v>
      </c>
      <c r="G4384">
        <f t="shared" si="68"/>
        <v>1577045482</v>
      </c>
    </row>
    <row r="4385" spans="1:7" x14ac:dyDescent="0.25">
      <c r="A4385">
        <v>1577045547</v>
      </c>
      <c r="B4385" t="s">
        <v>27071</v>
      </c>
      <c r="C4385">
        <v>0</v>
      </c>
      <c r="D4385">
        <v>1</v>
      </c>
      <c r="E4385">
        <v>82</v>
      </c>
      <c r="F4385">
        <v>5954</v>
      </c>
      <c r="G4385">
        <f t="shared" si="68"/>
        <v>1577045547</v>
      </c>
    </row>
    <row r="4386" spans="1:7" x14ac:dyDescent="0.25">
      <c r="A4386">
        <v>1577045668</v>
      </c>
      <c r="B4386" t="s">
        <v>27072</v>
      </c>
      <c r="C4386">
        <v>412</v>
      </c>
      <c r="D4386">
        <v>4</v>
      </c>
      <c r="E4386">
        <v>15390</v>
      </c>
      <c r="F4386">
        <v>953</v>
      </c>
      <c r="G4386">
        <f t="shared" si="68"/>
        <v>1577045668</v>
      </c>
    </row>
    <row r="4387" spans="1:7" x14ac:dyDescent="0.25">
      <c r="A4387">
        <v>1577046188</v>
      </c>
      <c r="B4387" t="s">
        <v>27073</v>
      </c>
      <c r="C4387">
        <v>0</v>
      </c>
      <c r="D4387">
        <v>0</v>
      </c>
      <c r="E4387">
        <v>0</v>
      </c>
      <c r="F4387">
        <v>7685</v>
      </c>
      <c r="G4387">
        <f t="shared" si="68"/>
        <v>1577046188</v>
      </c>
    </row>
    <row r="4388" spans="1:7" x14ac:dyDescent="0.25">
      <c r="A4388">
        <v>1577046240</v>
      </c>
      <c r="B4388" t="s">
        <v>27074</v>
      </c>
      <c r="C4388">
        <v>0</v>
      </c>
      <c r="D4388">
        <v>1</v>
      </c>
      <c r="E4388">
        <v>532</v>
      </c>
      <c r="F4388">
        <v>4576</v>
      </c>
      <c r="G4388">
        <f t="shared" si="68"/>
        <v>1577046240</v>
      </c>
    </row>
    <row r="4389" spans="1:7" x14ac:dyDescent="0.25">
      <c r="A4389">
        <v>1577046410</v>
      </c>
      <c r="B4389" t="s">
        <v>27075</v>
      </c>
      <c r="C4389">
        <v>189</v>
      </c>
      <c r="D4389">
        <v>3</v>
      </c>
      <c r="E4389">
        <v>13276</v>
      </c>
      <c r="F4389">
        <v>1148</v>
      </c>
      <c r="G4389">
        <f t="shared" si="68"/>
        <v>1577046410</v>
      </c>
    </row>
    <row r="4390" spans="1:7" x14ac:dyDescent="0.25">
      <c r="A4390">
        <v>1577046653</v>
      </c>
      <c r="B4390" t="s">
        <v>27076</v>
      </c>
      <c r="C4390">
        <v>1971</v>
      </c>
      <c r="D4390">
        <v>1</v>
      </c>
      <c r="E4390">
        <v>849</v>
      </c>
      <c r="F4390">
        <v>4144</v>
      </c>
      <c r="G4390">
        <f t="shared" si="68"/>
        <v>1577046653</v>
      </c>
    </row>
    <row r="4391" spans="1:7" x14ac:dyDescent="0.25">
      <c r="A4391">
        <v>1577046735</v>
      </c>
      <c r="B4391" t="s">
        <v>27077</v>
      </c>
      <c r="C4391">
        <v>278</v>
      </c>
      <c r="D4391">
        <v>1</v>
      </c>
      <c r="E4391">
        <v>26</v>
      </c>
      <c r="F4391">
        <v>6651</v>
      </c>
      <c r="G4391">
        <f t="shared" si="68"/>
        <v>1577046735</v>
      </c>
    </row>
    <row r="4392" spans="1:7" x14ac:dyDescent="0.25">
      <c r="A4392">
        <v>1577046903</v>
      </c>
      <c r="B4392" t="s">
        <v>27078</v>
      </c>
      <c r="C4392">
        <v>305</v>
      </c>
      <c r="D4392">
        <v>0</v>
      </c>
      <c r="E4392">
        <v>0</v>
      </c>
      <c r="F4392">
        <v>7686</v>
      </c>
      <c r="G4392">
        <f t="shared" si="68"/>
        <v>1577046903</v>
      </c>
    </row>
    <row r="4393" spans="1:7" x14ac:dyDescent="0.25">
      <c r="A4393">
        <v>1577046904</v>
      </c>
      <c r="B4393" t="s">
        <v>27079</v>
      </c>
      <c r="C4393">
        <v>305</v>
      </c>
      <c r="D4393">
        <v>1</v>
      </c>
      <c r="E4393">
        <v>776</v>
      </c>
      <c r="F4393">
        <v>4238</v>
      </c>
      <c r="G4393">
        <f t="shared" si="68"/>
        <v>1577046904</v>
      </c>
    </row>
    <row r="4394" spans="1:7" x14ac:dyDescent="0.25">
      <c r="A4394">
        <v>1577046994</v>
      </c>
      <c r="B4394" t="s">
        <v>27080</v>
      </c>
      <c r="C4394">
        <v>0</v>
      </c>
      <c r="D4394">
        <v>1</v>
      </c>
      <c r="E4394">
        <v>1844</v>
      </c>
      <c r="F4394">
        <v>3422</v>
      </c>
      <c r="G4394">
        <f t="shared" si="68"/>
        <v>1577046994</v>
      </c>
    </row>
    <row r="4395" spans="1:7" x14ac:dyDescent="0.25">
      <c r="A4395">
        <v>1577047107</v>
      </c>
      <c r="B4395" t="s">
        <v>27081</v>
      </c>
      <c r="C4395">
        <v>0</v>
      </c>
      <c r="D4395">
        <v>1</v>
      </c>
      <c r="E4395">
        <v>380</v>
      </c>
      <c r="F4395">
        <v>4905</v>
      </c>
      <c r="G4395">
        <f t="shared" si="68"/>
        <v>1577047107</v>
      </c>
    </row>
    <row r="4396" spans="1:7" x14ac:dyDescent="0.25">
      <c r="A4396">
        <v>1577047230</v>
      </c>
      <c r="B4396" t="s">
        <v>27082</v>
      </c>
      <c r="C4396">
        <v>1984</v>
      </c>
      <c r="D4396">
        <v>0</v>
      </c>
      <c r="E4396">
        <v>0</v>
      </c>
      <c r="F4396">
        <v>7687</v>
      </c>
      <c r="G4396">
        <f t="shared" si="68"/>
        <v>1577047230</v>
      </c>
    </row>
    <row r="4397" spans="1:7" x14ac:dyDescent="0.25">
      <c r="A4397">
        <v>1577047269</v>
      </c>
      <c r="B4397" t="s">
        <v>36572</v>
      </c>
      <c r="C4397">
        <v>0</v>
      </c>
      <c r="D4397">
        <v>1</v>
      </c>
      <c r="E4397">
        <v>832</v>
      </c>
      <c r="F4397">
        <v>4153</v>
      </c>
      <c r="G4397">
        <f t="shared" si="68"/>
        <v>1577047269</v>
      </c>
    </row>
    <row r="4398" spans="1:7" x14ac:dyDescent="0.25">
      <c r="A4398">
        <v>1577047370</v>
      </c>
      <c r="B4398" t="s">
        <v>27083</v>
      </c>
      <c r="C4398">
        <v>0</v>
      </c>
      <c r="D4398">
        <v>1</v>
      </c>
      <c r="E4398">
        <v>115</v>
      </c>
      <c r="F4398">
        <v>5800</v>
      </c>
      <c r="G4398">
        <f t="shared" si="68"/>
        <v>1577047370</v>
      </c>
    </row>
    <row r="4399" spans="1:7" x14ac:dyDescent="0.25">
      <c r="A4399">
        <v>1577047378</v>
      </c>
      <c r="B4399" t="s">
        <v>27084</v>
      </c>
      <c r="C4399">
        <v>3</v>
      </c>
      <c r="D4399">
        <v>4</v>
      </c>
      <c r="E4399">
        <v>18861</v>
      </c>
      <c r="F4399">
        <v>698</v>
      </c>
      <c r="G4399">
        <f t="shared" si="68"/>
        <v>1577047378</v>
      </c>
    </row>
    <row r="4400" spans="1:7" x14ac:dyDescent="0.25">
      <c r="A4400">
        <v>1577047575</v>
      </c>
      <c r="B4400" t="s">
        <v>36573</v>
      </c>
      <c r="C4400">
        <v>36</v>
      </c>
      <c r="D4400">
        <v>4</v>
      </c>
      <c r="E4400">
        <v>17678</v>
      </c>
      <c r="F4400">
        <v>777</v>
      </c>
      <c r="G4400">
        <f t="shared" si="68"/>
        <v>1577047575</v>
      </c>
    </row>
    <row r="4401" spans="1:7" x14ac:dyDescent="0.25">
      <c r="A4401">
        <v>1577048219</v>
      </c>
      <c r="B4401" t="s">
        <v>27085</v>
      </c>
      <c r="C4401">
        <v>0</v>
      </c>
      <c r="D4401">
        <v>0</v>
      </c>
      <c r="E4401">
        <v>0</v>
      </c>
      <c r="F4401">
        <v>7688</v>
      </c>
      <c r="G4401">
        <f t="shared" si="68"/>
        <v>1577048219</v>
      </c>
    </row>
    <row r="4402" spans="1:7" x14ac:dyDescent="0.25">
      <c r="A4402">
        <v>1577048237</v>
      </c>
      <c r="B4402" t="s">
        <v>27086</v>
      </c>
      <c r="C4402">
        <v>1403</v>
      </c>
      <c r="D4402">
        <v>1</v>
      </c>
      <c r="E4402">
        <v>7025</v>
      </c>
      <c r="F4402">
        <v>2057</v>
      </c>
      <c r="G4402">
        <f t="shared" si="68"/>
        <v>1577048237</v>
      </c>
    </row>
    <row r="4403" spans="1:7" x14ac:dyDescent="0.25">
      <c r="A4403">
        <v>1577049253</v>
      </c>
      <c r="B4403" t="s">
        <v>1422</v>
      </c>
      <c r="C4403">
        <v>196</v>
      </c>
      <c r="D4403">
        <v>6</v>
      </c>
      <c r="E4403">
        <v>31165</v>
      </c>
      <c r="F4403">
        <v>223</v>
      </c>
      <c r="G4403">
        <f t="shared" si="68"/>
        <v>1577049253</v>
      </c>
    </row>
    <row r="4404" spans="1:7" x14ac:dyDescent="0.25">
      <c r="A4404">
        <v>1577049445</v>
      </c>
      <c r="B4404" t="s">
        <v>27087</v>
      </c>
      <c r="C4404">
        <v>0</v>
      </c>
      <c r="D4404">
        <v>0</v>
      </c>
      <c r="E4404">
        <v>0</v>
      </c>
      <c r="F4404">
        <v>7689</v>
      </c>
      <c r="G4404">
        <f t="shared" si="68"/>
        <v>1577049445</v>
      </c>
    </row>
    <row r="4405" spans="1:7" x14ac:dyDescent="0.25">
      <c r="A4405">
        <v>1577049716</v>
      </c>
      <c r="B4405" t="s">
        <v>36574</v>
      </c>
      <c r="C4405">
        <v>117</v>
      </c>
      <c r="D4405">
        <v>2</v>
      </c>
      <c r="E4405">
        <v>11046</v>
      </c>
      <c r="F4405">
        <v>1407</v>
      </c>
      <c r="G4405">
        <f t="shared" si="68"/>
        <v>1577049716</v>
      </c>
    </row>
    <row r="4406" spans="1:7" x14ac:dyDescent="0.25">
      <c r="A4406">
        <v>1577049781</v>
      </c>
      <c r="B4406" t="s">
        <v>27088</v>
      </c>
      <c r="C4406">
        <v>106</v>
      </c>
      <c r="D4406">
        <v>1</v>
      </c>
      <c r="E4406">
        <v>2438</v>
      </c>
      <c r="F4406">
        <v>3169</v>
      </c>
      <c r="G4406">
        <f t="shared" si="68"/>
        <v>1577049781</v>
      </c>
    </row>
    <row r="4407" spans="1:7" x14ac:dyDescent="0.25">
      <c r="A4407">
        <v>1577050445</v>
      </c>
      <c r="B4407" t="s">
        <v>27089</v>
      </c>
      <c r="C4407">
        <v>1</v>
      </c>
      <c r="D4407">
        <v>1</v>
      </c>
      <c r="E4407">
        <v>26</v>
      </c>
      <c r="F4407">
        <v>6652</v>
      </c>
      <c r="G4407">
        <f t="shared" si="68"/>
        <v>1577050445</v>
      </c>
    </row>
    <row r="4408" spans="1:7" x14ac:dyDescent="0.25">
      <c r="A4408">
        <v>1577050672</v>
      </c>
      <c r="B4408" t="s">
        <v>27090</v>
      </c>
      <c r="C4408">
        <v>1991</v>
      </c>
      <c r="D4408">
        <v>1</v>
      </c>
      <c r="E4408">
        <v>715</v>
      </c>
      <c r="F4408">
        <v>4320</v>
      </c>
      <c r="G4408">
        <f t="shared" si="68"/>
        <v>1577050672</v>
      </c>
    </row>
    <row r="4409" spans="1:7" x14ac:dyDescent="0.25">
      <c r="A4409">
        <v>1577050773</v>
      </c>
      <c r="B4409" t="s">
        <v>4630</v>
      </c>
      <c r="C4409">
        <v>0</v>
      </c>
      <c r="D4409">
        <v>1</v>
      </c>
      <c r="E4409">
        <v>290</v>
      </c>
      <c r="F4409">
        <v>5171</v>
      </c>
      <c r="G4409">
        <f t="shared" si="68"/>
        <v>1577050773</v>
      </c>
    </row>
    <row r="4410" spans="1:7" x14ac:dyDescent="0.25">
      <c r="A4410">
        <v>1577050777</v>
      </c>
      <c r="B4410" t="s">
        <v>27091</v>
      </c>
      <c r="C4410">
        <v>0</v>
      </c>
      <c r="D4410">
        <v>1</v>
      </c>
      <c r="E4410">
        <v>333</v>
      </c>
      <c r="F4410">
        <v>5061</v>
      </c>
      <c r="G4410">
        <f t="shared" si="68"/>
        <v>1577050777</v>
      </c>
    </row>
    <row r="4411" spans="1:7" x14ac:dyDescent="0.25">
      <c r="A4411">
        <v>1577050961</v>
      </c>
      <c r="B4411" t="s">
        <v>27092</v>
      </c>
      <c r="C4411">
        <v>0</v>
      </c>
      <c r="D4411">
        <v>0</v>
      </c>
      <c r="E4411">
        <v>0</v>
      </c>
      <c r="F4411">
        <v>7690</v>
      </c>
      <c r="G4411">
        <f t="shared" si="68"/>
        <v>1577050961</v>
      </c>
    </row>
    <row r="4412" spans="1:7" x14ac:dyDescent="0.25">
      <c r="A4412">
        <v>1577051035</v>
      </c>
      <c r="B4412" t="s">
        <v>27093</v>
      </c>
      <c r="C4412">
        <v>0</v>
      </c>
      <c r="D4412">
        <v>1</v>
      </c>
      <c r="E4412">
        <v>303</v>
      </c>
      <c r="F4412">
        <v>5112</v>
      </c>
      <c r="G4412">
        <f t="shared" si="68"/>
        <v>1577051035</v>
      </c>
    </row>
    <row r="4413" spans="1:7" x14ac:dyDescent="0.25">
      <c r="A4413">
        <v>1577051320</v>
      </c>
      <c r="B4413" t="s">
        <v>27094</v>
      </c>
      <c r="C4413">
        <v>0</v>
      </c>
      <c r="D4413">
        <v>1</v>
      </c>
      <c r="E4413">
        <v>313</v>
      </c>
      <c r="F4413">
        <v>5090</v>
      </c>
      <c r="G4413">
        <f t="shared" si="68"/>
        <v>1577051320</v>
      </c>
    </row>
    <row r="4414" spans="1:7" x14ac:dyDescent="0.25">
      <c r="A4414">
        <v>1577051321</v>
      </c>
      <c r="B4414" t="s">
        <v>27095</v>
      </c>
      <c r="C4414">
        <v>1977</v>
      </c>
      <c r="D4414">
        <v>1</v>
      </c>
      <c r="E4414">
        <v>425</v>
      </c>
      <c r="F4414">
        <v>4810</v>
      </c>
      <c r="G4414">
        <f t="shared" si="68"/>
        <v>1577051321</v>
      </c>
    </row>
    <row r="4415" spans="1:7" x14ac:dyDescent="0.25">
      <c r="A4415">
        <v>1577051431</v>
      </c>
      <c r="B4415" t="s">
        <v>27096</v>
      </c>
      <c r="C4415">
        <v>0</v>
      </c>
      <c r="D4415">
        <v>0</v>
      </c>
      <c r="E4415">
        <v>0</v>
      </c>
      <c r="F4415">
        <v>7691</v>
      </c>
      <c r="G4415">
        <f t="shared" si="68"/>
        <v>1577051431</v>
      </c>
    </row>
    <row r="4416" spans="1:7" x14ac:dyDescent="0.25">
      <c r="A4416">
        <v>1577051452</v>
      </c>
      <c r="B4416" t="s">
        <v>27097</v>
      </c>
      <c r="C4416">
        <v>215</v>
      </c>
      <c r="D4416">
        <v>2</v>
      </c>
      <c r="E4416">
        <v>5671</v>
      </c>
      <c r="F4416">
        <v>2365</v>
      </c>
      <c r="G4416">
        <f t="shared" si="68"/>
        <v>1577051452</v>
      </c>
    </row>
    <row r="4417" spans="1:7" x14ac:dyDescent="0.25">
      <c r="A4417">
        <v>1577051499</v>
      </c>
      <c r="B4417" t="s">
        <v>27098</v>
      </c>
      <c r="C4417">
        <v>0</v>
      </c>
      <c r="D4417">
        <v>1</v>
      </c>
      <c r="E4417">
        <v>26</v>
      </c>
      <c r="F4417">
        <v>6653</v>
      </c>
      <c r="G4417">
        <f t="shared" ref="G4417:G4480" si="69">A4417</f>
        <v>1577051499</v>
      </c>
    </row>
    <row r="4418" spans="1:7" x14ac:dyDescent="0.25">
      <c r="A4418">
        <v>1577051514</v>
      </c>
      <c r="B4418" t="s">
        <v>27099</v>
      </c>
      <c r="C4418">
        <v>0</v>
      </c>
      <c r="D4418">
        <v>1</v>
      </c>
      <c r="E4418">
        <v>534</v>
      </c>
      <c r="F4418">
        <v>4573</v>
      </c>
      <c r="G4418">
        <f t="shared" si="69"/>
        <v>1577051514</v>
      </c>
    </row>
    <row r="4419" spans="1:7" x14ac:dyDescent="0.25">
      <c r="A4419">
        <v>1577052371</v>
      </c>
      <c r="B4419" t="s">
        <v>27100</v>
      </c>
      <c r="C4419">
        <v>235</v>
      </c>
      <c r="D4419">
        <v>1</v>
      </c>
      <c r="E4419">
        <v>1834</v>
      </c>
      <c r="F4419">
        <v>3428</v>
      </c>
      <c r="G4419">
        <f t="shared" si="69"/>
        <v>1577052371</v>
      </c>
    </row>
    <row r="4420" spans="1:7" x14ac:dyDescent="0.25">
      <c r="A4420">
        <v>1577052946</v>
      </c>
      <c r="B4420" t="s">
        <v>27101</v>
      </c>
      <c r="C4420">
        <v>0</v>
      </c>
      <c r="D4420">
        <v>1</v>
      </c>
      <c r="E4420">
        <v>703</v>
      </c>
      <c r="F4420">
        <v>4338</v>
      </c>
      <c r="G4420">
        <f t="shared" si="69"/>
        <v>1577052946</v>
      </c>
    </row>
    <row r="4421" spans="1:7" x14ac:dyDescent="0.25">
      <c r="A4421">
        <v>1577053048</v>
      </c>
      <c r="B4421" t="s">
        <v>27102</v>
      </c>
      <c r="C4421">
        <v>0</v>
      </c>
      <c r="D4421">
        <v>0</v>
      </c>
      <c r="E4421">
        <v>0</v>
      </c>
      <c r="F4421">
        <v>7692</v>
      </c>
      <c r="G4421">
        <f t="shared" si="69"/>
        <v>1577053048</v>
      </c>
    </row>
    <row r="4422" spans="1:7" x14ac:dyDescent="0.25">
      <c r="A4422">
        <v>1577053358</v>
      </c>
      <c r="B4422" t="s">
        <v>27103</v>
      </c>
      <c r="C4422">
        <v>1984</v>
      </c>
      <c r="D4422">
        <v>1</v>
      </c>
      <c r="E4422">
        <v>5910</v>
      </c>
      <c r="F4422">
        <v>2303</v>
      </c>
      <c r="G4422">
        <f t="shared" si="69"/>
        <v>1577053358</v>
      </c>
    </row>
    <row r="4423" spans="1:7" x14ac:dyDescent="0.25">
      <c r="A4423">
        <v>1577053473</v>
      </c>
      <c r="B4423" t="s">
        <v>27104</v>
      </c>
      <c r="C4423">
        <v>1597</v>
      </c>
      <c r="D4423">
        <v>1</v>
      </c>
      <c r="E4423">
        <v>2372</v>
      </c>
      <c r="F4423">
        <v>3182</v>
      </c>
      <c r="G4423">
        <f t="shared" si="69"/>
        <v>1577053473</v>
      </c>
    </row>
    <row r="4424" spans="1:7" x14ac:dyDescent="0.25">
      <c r="A4424">
        <v>1577053560</v>
      </c>
      <c r="B4424" t="s">
        <v>27105</v>
      </c>
      <c r="C4424">
        <v>1817</v>
      </c>
      <c r="D4424">
        <v>0</v>
      </c>
      <c r="E4424">
        <v>0</v>
      </c>
      <c r="F4424">
        <v>7693</v>
      </c>
      <c r="G4424">
        <f t="shared" si="69"/>
        <v>1577053560</v>
      </c>
    </row>
    <row r="4425" spans="1:7" x14ac:dyDescent="0.25">
      <c r="A4425">
        <v>1577053721</v>
      </c>
      <c r="B4425" t="s">
        <v>27106</v>
      </c>
      <c r="C4425">
        <v>413</v>
      </c>
      <c r="D4425">
        <v>2</v>
      </c>
      <c r="E4425">
        <v>5852</v>
      </c>
      <c r="F4425">
        <v>2317</v>
      </c>
      <c r="G4425">
        <f t="shared" si="69"/>
        <v>1577053721</v>
      </c>
    </row>
    <row r="4426" spans="1:7" x14ac:dyDescent="0.25">
      <c r="A4426">
        <v>1577053727</v>
      </c>
      <c r="B4426" t="s">
        <v>27107</v>
      </c>
      <c r="C4426">
        <v>0</v>
      </c>
      <c r="D4426">
        <v>1</v>
      </c>
      <c r="E4426">
        <v>209</v>
      </c>
      <c r="F4426">
        <v>5467</v>
      </c>
      <c r="G4426">
        <f t="shared" si="69"/>
        <v>1577053727</v>
      </c>
    </row>
    <row r="4427" spans="1:7" x14ac:dyDescent="0.25">
      <c r="A4427">
        <v>1577054001</v>
      </c>
      <c r="B4427" t="s">
        <v>27108</v>
      </c>
      <c r="C4427">
        <v>271</v>
      </c>
      <c r="D4427">
        <v>1</v>
      </c>
      <c r="E4427">
        <v>5386</v>
      </c>
      <c r="F4427">
        <v>2428</v>
      </c>
      <c r="G4427">
        <f t="shared" si="69"/>
        <v>1577054001</v>
      </c>
    </row>
    <row r="4428" spans="1:7" x14ac:dyDescent="0.25">
      <c r="A4428">
        <v>1577054268</v>
      </c>
      <c r="B4428" t="s">
        <v>36575</v>
      </c>
      <c r="C4428">
        <v>39</v>
      </c>
      <c r="D4428">
        <v>2</v>
      </c>
      <c r="E4428">
        <v>9903</v>
      </c>
      <c r="F4428">
        <v>1576</v>
      </c>
      <c r="G4428">
        <f t="shared" si="69"/>
        <v>1577054268</v>
      </c>
    </row>
    <row r="4429" spans="1:7" x14ac:dyDescent="0.25">
      <c r="A4429">
        <v>1577054698</v>
      </c>
      <c r="B4429" t="s">
        <v>27109</v>
      </c>
      <c r="C4429">
        <v>0</v>
      </c>
      <c r="D4429">
        <v>0</v>
      </c>
      <c r="E4429">
        <v>0</v>
      </c>
      <c r="F4429">
        <v>7694</v>
      </c>
      <c r="G4429">
        <f t="shared" si="69"/>
        <v>1577054698</v>
      </c>
    </row>
    <row r="4430" spans="1:7" x14ac:dyDescent="0.25">
      <c r="A4430">
        <v>1577055127</v>
      </c>
      <c r="B4430" t="s">
        <v>27110</v>
      </c>
      <c r="C4430">
        <v>122</v>
      </c>
      <c r="D4430">
        <v>7</v>
      </c>
      <c r="E4430">
        <v>44293</v>
      </c>
      <c r="F4430">
        <v>66</v>
      </c>
      <c r="G4430">
        <f t="shared" si="69"/>
        <v>1577055127</v>
      </c>
    </row>
    <row r="4431" spans="1:7" x14ac:dyDescent="0.25">
      <c r="A4431">
        <v>1577055756</v>
      </c>
      <c r="B4431" t="s">
        <v>36576</v>
      </c>
      <c r="C4431">
        <v>0</v>
      </c>
      <c r="D4431">
        <v>0</v>
      </c>
      <c r="E4431">
        <v>0</v>
      </c>
      <c r="F4431">
        <v>7695</v>
      </c>
      <c r="G4431">
        <f t="shared" si="69"/>
        <v>1577055756</v>
      </c>
    </row>
    <row r="4432" spans="1:7" x14ac:dyDescent="0.25">
      <c r="A4432">
        <v>1577055762</v>
      </c>
      <c r="B4432" t="s">
        <v>27111</v>
      </c>
      <c r="C4432">
        <v>0</v>
      </c>
      <c r="D4432">
        <v>1</v>
      </c>
      <c r="E4432">
        <v>598</v>
      </c>
      <c r="F4432">
        <v>4472</v>
      </c>
      <c r="G4432">
        <f t="shared" si="69"/>
        <v>1577055762</v>
      </c>
    </row>
    <row r="4433" spans="1:7" x14ac:dyDescent="0.25">
      <c r="A4433">
        <v>1577056044</v>
      </c>
      <c r="B4433" t="s">
        <v>27112</v>
      </c>
      <c r="C4433">
        <v>760</v>
      </c>
      <c r="D4433">
        <v>2</v>
      </c>
      <c r="E4433">
        <v>5887</v>
      </c>
      <c r="F4433">
        <v>2305</v>
      </c>
      <c r="G4433">
        <f t="shared" si="69"/>
        <v>1577056044</v>
      </c>
    </row>
    <row r="4434" spans="1:7" x14ac:dyDescent="0.25">
      <c r="A4434">
        <v>1577056093</v>
      </c>
      <c r="B4434" t="s">
        <v>27113</v>
      </c>
      <c r="C4434">
        <v>0</v>
      </c>
      <c r="D4434">
        <v>0</v>
      </c>
      <c r="E4434">
        <v>0</v>
      </c>
      <c r="F4434">
        <v>7696</v>
      </c>
      <c r="G4434">
        <f t="shared" si="69"/>
        <v>1577056093</v>
      </c>
    </row>
    <row r="4435" spans="1:7" x14ac:dyDescent="0.25">
      <c r="A4435">
        <v>1577056373</v>
      </c>
      <c r="B4435" t="s">
        <v>27114</v>
      </c>
      <c r="C4435">
        <v>0</v>
      </c>
      <c r="D4435">
        <v>1</v>
      </c>
      <c r="E4435">
        <v>382</v>
      </c>
      <c r="F4435">
        <v>4895</v>
      </c>
      <c r="G4435">
        <f t="shared" si="69"/>
        <v>1577056373</v>
      </c>
    </row>
    <row r="4436" spans="1:7" x14ac:dyDescent="0.25">
      <c r="A4436">
        <v>1577056580</v>
      </c>
      <c r="B4436" t="s">
        <v>27115</v>
      </c>
      <c r="C4436">
        <v>0</v>
      </c>
      <c r="D4436">
        <v>0</v>
      </c>
      <c r="E4436">
        <v>0</v>
      </c>
      <c r="F4436">
        <v>7697</v>
      </c>
      <c r="G4436">
        <f t="shared" si="69"/>
        <v>1577056580</v>
      </c>
    </row>
    <row r="4437" spans="1:7" x14ac:dyDescent="0.25">
      <c r="A4437">
        <v>1577056692</v>
      </c>
      <c r="B4437" t="s">
        <v>27116</v>
      </c>
      <c r="C4437">
        <v>0</v>
      </c>
      <c r="D4437">
        <v>1</v>
      </c>
      <c r="E4437">
        <v>105</v>
      </c>
      <c r="F4437">
        <v>5827</v>
      </c>
      <c r="G4437">
        <f t="shared" si="69"/>
        <v>1577056692</v>
      </c>
    </row>
    <row r="4438" spans="1:7" x14ac:dyDescent="0.25">
      <c r="A4438">
        <v>1577056983</v>
      </c>
      <c r="B4438" t="s">
        <v>27117</v>
      </c>
      <c r="C4438">
        <v>1699</v>
      </c>
      <c r="D4438">
        <v>2</v>
      </c>
      <c r="E4438">
        <v>7968</v>
      </c>
      <c r="F4438">
        <v>1889</v>
      </c>
      <c r="G4438">
        <f t="shared" si="69"/>
        <v>1577056983</v>
      </c>
    </row>
    <row r="4439" spans="1:7" x14ac:dyDescent="0.25">
      <c r="A4439">
        <v>1577057161</v>
      </c>
      <c r="B4439" t="s">
        <v>27118</v>
      </c>
      <c r="C4439">
        <v>0</v>
      </c>
      <c r="D4439">
        <v>1</v>
      </c>
      <c r="E4439">
        <v>503</v>
      </c>
      <c r="F4439">
        <v>4627</v>
      </c>
      <c r="G4439">
        <f t="shared" si="69"/>
        <v>1577057161</v>
      </c>
    </row>
    <row r="4440" spans="1:7" x14ac:dyDescent="0.25">
      <c r="A4440">
        <v>1577057432</v>
      </c>
      <c r="B4440" t="s">
        <v>27119</v>
      </c>
      <c r="C4440">
        <v>424</v>
      </c>
      <c r="D4440">
        <v>6</v>
      </c>
      <c r="E4440">
        <v>29177</v>
      </c>
      <c r="F4440">
        <v>262</v>
      </c>
      <c r="G4440">
        <f t="shared" si="69"/>
        <v>1577057432</v>
      </c>
    </row>
    <row r="4441" spans="1:7" x14ac:dyDescent="0.25">
      <c r="A4441">
        <v>1577057518</v>
      </c>
      <c r="B4441" t="s">
        <v>36577</v>
      </c>
      <c r="C4441">
        <v>924</v>
      </c>
      <c r="D4441">
        <v>0</v>
      </c>
      <c r="E4441">
        <v>0</v>
      </c>
      <c r="F4441">
        <v>7698</v>
      </c>
      <c r="G4441">
        <f t="shared" si="69"/>
        <v>1577057518</v>
      </c>
    </row>
    <row r="4442" spans="1:7" x14ac:dyDescent="0.25">
      <c r="A4442">
        <v>1577057532</v>
      </c>
      <c r="B4442" t="s">
        <v>27120</v>
      </c>
      <c r="C4442">
        <v>0</v>
      </c>
      <c r="D4442">
        <v>1</v>
      </c>
      <c r="E4442">
        <v>26</v>
      </c>
      <c r="F4442">
        <v>6654</v>
      </c>
      <c r="G4442">
        <f t="shared" si="69"/>
        <v>1577057532</v>
      </c>
    </row>
    <row r="4443" spans="1:7" x14ac:dyDescent="0.25">
      <c r="A4443">
        <v>1577057645</v>
      </c>
      <c r="B4443" t="s">
        <v>27121</v>
      </c>
      <c r="C4443">
        <v>0</v>
      </c>
      <c r="D4443">
        <v>1</v>
      </c>
      <c r="E4443">
        <v>122</v>
      </c>
      <c r="F4443">
        <v>5781</v>
      </c>
      <c r="G4443">
        <f t="shared" si="69"/>
        <v>1577057645</v>
      </c>
    </row>
    <row r="4444" spans="1:7" x14ac:dyDescent="0.25">
      <c r="A4444">
        <v>1577057815</v>
      </c>
      <c r="B4444" t="s">
        <v>27122</v>
      </c>
      <c r="C4444">
        <v>0</v>
      </c>
      <c r="D4444">
        <v>0</v>
      </c>
      <c r="E4444">
        <v>0</v>
      </c>
      <c r="F4444">
        <v>7699</v>
      </c>
      <c r="G4444">
        <f t="shared" si="69"/>
        <v>1577057815</v>
      </c>
    </row>
    <row r="4445" spans="1:7" x14ac:dyDescent="0.25">
      <c r="A4445">
        <v>1577057989</v>
      </c>
      <c r="B4445" t="s">
        <v>36578</v>
      </c>
      <c r="C4445">
        <v>0</v>
      </c>
      <c r="D4445">
        <v>0</v>
      </c>
      <c r="E4445">
        <v>0</v>
      </c>
      <c r="F4445">
        <v>7700</v>
      </c>
      <c r="G4445">
        <f t="shared" si="69"/>
        <v>1577057989</v>
      </c>
    </row>
    <row r="4446" spans="1:7" x14ac:dyDescent="0.25">
      <c r="A4446">
        <v>1577058392</v>
      </c>
      <c r="B4446" t="s">
        <v>27123</v>
      </c>
      <c r="C4446">
        <v>0</v>
      </c>
      <c r="D4446">
        <v>0</v>
      </c>
      <c r="E4446">
        <v>0</v>
      </c>
      <c r="F4446">
        <v>7701</v>
      </c>
      <c r="G4446">
        <f t="shared" si="69"/>
        <v>1577058392</v>
      </c>
    </row>
    <row r="4447" spans="1:7" x14ac:dyDescent="0.25">
      <c r="A4447">
        <v>1577058788</v>
      </c>
      <c r="B4447" t="s">
        <v>27124</v>
      </c>
      <c r="C4447">
        <v>896</v>
      </c>
      <c r="D4447">
        <v>1</v>
      </c>
      <c r="E4447">
        <v>2991</v>
      </c>
      <c r="F4447">
        <v>2998</v>
      </c>
      <c r="G4447">
        <f t="shared" si="69"/>
        <v>1577058788</v>
      </c>
    </row>
    <row r="4448" spans="1:7" x14ac:dyDescent="0.25">
      <c r="A4448">
        <v>1577058874</v>
      </c>
      <c r="B4448" t="s">
        <v>27125</v>
      </c>
      <c r="C4448">
        <v>0</v>
      </c>
      <c r="D4448">
        <v>1</v>
      </c>
      <c r="E4448">
        <v>192</v>
      </c>
      <c r="F4448">
        <v>5533</v>
      </c>
      <c r="G4448">
        <f t="shared" si="69"/>
        <v>1577058874</v>
      </c>
    </row>
    <row r="4449" spans="1:7" x14ac:dyDescent="0.25">
      <c r="A4449">
        <v>1577058995</v>
      </c>
      <c r="B4449" t="s">
        <v>27126</v>
      </c>
      <c r="C4449">
        <v>0</v>
      </c>
      <c r="D4449">
        <v>1</v>
      </c>
      <c r="E4449">
        <v>241</v>
      </c>
      <c r="F4449">
        <v>5343</v>
      </c>
      <c r="G4449">
        <f t="shared" si="69"/>
        <v>1577058995</v>
      </c>
    </row>
    <row r="4450" spans="1:7" x14ac:dyDescent="0.25">
      <c r="A4450">
        <v>1577059051</v>
      </c>
      <c r="B4450" t="s">
        <v>27127</v>
      </c>
      <c r="C4450">
        <v>0</v>
      </c>
      <c r="D4450">
        <v>0</v>
      </c>
      <c r="E4450">
        <v>0</v>
      </c>
      <c r="F4450">
        <v>7702</v>
      </c>
      <c r="G4450">
        <f t="shared" si="69"/>
        <v>1577059051</v>
      </c>
    </row>
    <row r="4451" spans="1:7" x14ac:dyDescent="0.25">
      <c r="A4451">
        <v>1577059150</v>
      </c>
      <c r="B4451" t="s">
        <v>37316</v>
      </c>
      <c r="C4451">
        <v>0</v>
      </c>
      <c r="D4451">
        <v>0</v>
      </c>
      <c r="E4451">
        <v>0</v>
      </c>
      <c r="F4451">
        <v>7703</v>
      </c>
      <c r="G4451">
        <f t="shared" si="69"/>
        <v>1577059150</v>
      </c>
    </row>
    <row r="4452" spans="1:7" x14ac:dyDescent="0.25">
      <c r="A4452">
        <v>1577059202</v>
      </c>
      <c r="B4452" t="s">
        <v>27128</v>
      </c>
      <c r="C4452">
        <v>1775</v>
      </c>
      <c r="D4452">
        <v>3</v>
      </c>
      <c r="E4452">
        <v>11509</v>
      </c>
      <c r="F4452">
        <v>1345</v>
      </c>
      <c r="G4452">
        <f t="shared" si="69"/>
        <v>1577059202</v>
      </c>
    </row>
    <row r="4453" spans="1:7" x14ac:dyDescent="0.25">
      <c r="A4453">
        <v>1577059989</v>
      </c>
      <c r="B4453" t="s">
        <v>27129</v>
      </c>
      <c r="C4453">
        <v>0</v>
      </c>
      <c r="D4453">
        <v>1</v>
      </c>
      <c r="E4453">
        <v>391</v>
      </c>
      <c r="F4453">
        <v>4871</v>
      </c>
      <c r="G4453">
        <f t="shared" si="69"/>
        <v>1577059989</v>
      </c>
    </row>
    <row r="4454" spans="1:7" x14ac:dyDescent="0.25">
      <c r="A4454">
        <v>1577060011</v>
      </c>
      <c r="B4454" t="s">
        <v>27130</v>
      </c>
      <c r="C4454">
        <v>0</v>
      </c>
      <c r="D4454">
        <v>1</v>
      </c>
      <c r="E4454">
        <v>26</v>
      </c>
      <c r="F4454">
        <v>6655</v>
      </c>
      <c r="G4454">
        <f t="shared" si="69"/>
        <v>1577060011</v>
      </c>
    </row>
    <row r="4455" spans="1:7" x14ac:dyDescent="0.25">
      <c r="A4455">
        <v>1577060338</v>
      </c>
      <c r="B4455" t="s">
        <v>27131</v>
      </c>
      <c r="C4455">
        <v>0</v>
      </c>
      <c r="D4455">
        <v>0</v>
      </c>
      <c r="E4455">
        <v>0</v>
      </c>
      <c r="F4455">
        <v>7704</v>
      </c>
      <c r="G4455">
        <f t="shared" si="69"/>
        <v>1577060338</v>
      </c>
    </row>
    <row r="4456" spans="1:7" x14ac:dyDescent="0.25">
      <c r="A4456">
        <v>1577060557</v>
      </c>
      <c r="B4456" t="s">
        <v>36579</v>
      </c>
      <c r="C4456">
        <v>1643</v>
      </c>
      <c r="D4456">
        <v>1</v>
      </c>
      <c r="E4456">
        <v>1994</v>
      </c>
      <c r="F4456">
        <v>3375</v>
      </c>
      <c r="G4456">
        <f t="shared" si="69"/>
        <v>1577060557</v>
      </c>
    </row>
    <row r="4457" spans="1:7" x14ac:dyDescent="0.25">
      <c r="A4457">
        <v>1577060953</v>
      </c>
      <c r="B4457" t="s">
        <v>27132</v>
      </c>
      <c r="C4457">
        <v>552</v>
      </c>
      <c r="D4457">
        <v>6</v>
      </c>
      <c r="E4457">
        <v>28957</v>
      </c>
      <c r="F4457">
        <v>272</v>
      </c>
      <c r="G4457">
        <f t="shared" si="69"/>
        <v>1577060953</v>
      </c>
    </row>
    <row r="4458" spans="1:7" x14ac:dyDescent="0.25">
      <c r="A4458">
        <v>1577061391</v>
      </c>
      <c r="B4458" t="s">
        <v>27133</v>
      </c>
      <c r="C4458">
        <v>0</v>
      </c>
      <c r="D4458">
        <v>1</v>
      </c>
      <c r="E4458">
        <v>26</v>
      </c>
      <c r="F4458">
        <v>6656</v>
      </c>
      <c r="G4458">
        <f t="shared" si="69"/>
        <v>1577061391</v>
      </c>
    </row>
    <row r="4459" spans="1:7" x14ac:dyDescent="0.25">
      <c r="A4459">
        <v>1577061436</v>
      </c>
      <c r="B4459" t="s">
        <v>27134</v>
      </c>
      <c r="C4459">
        <v>1430</v>
      </c>
      <c r="D4459">
        <v>0</v>
      </c>
      <c r="E4459">
        <v>0</v>
      </c>
      <c r="F4459">
        <v>7705</v>
      </c>
      <c r="G4459">
        <f t="shared" si="69"/>
        <v>1577061436</v>
      </c>
    </row>
    <row r="4460" spans="1:7" x14ac:dyDescent="0.25">
      <c r="A4460">
        <v>1577061492</v>
      </c>
      <c r="B4460" t="s">
        <v>27135</v>
      </c>
      <c r="C4460">
        <v>1752</v>
      </c>
      <c r="D4460">
        <v>1</v>
      </c>
      <c r="E4460">
        <v>645</v>
      </c>
      <c r="F4460">
        <v>4416</v>
      </c>
      <c r="G4460">
        <f t="shared" si="69"/>
        <v>1577061492</v>
      </c>
    </row>
    <row r="4461" spans="1:7" x14ac:dyDescent="0.25">
      <c r="A4461">
        <v>1577061500</v>
      </c>
      <c r="B4461" t="s">
        <v>27136</v>
      </c>
      <c r="C4461">
        <v>151</v>
      </c>
      <c r="D4461">
        <v>0</v>
      </c>
      <c r="E4461">
        <v>0</v>
      </c>
      <c r="F4461">
        <v>7706</v>
      </c>
      <c r="G4461">
        <f t="shared" si="69"/>
        <v>1577061500</v>
      </c>
    </row>
    <row r="4462" spans="1:7" x14ac:dyDescent="0.25">
      <c r="A4462">
        <v>1577061527</v>
      </c>
      <c r="B4462" t="s">
        <v>27137</v>
      </c>
      <c r="C4462">
        <v>1708</v>
      </c>
      <c r="D4462">
        <v>1</v>
      </c>
      <c r="E4462">
        <v>720</v>
      </c>
      <c r="F4462">
        <v>4368</v>
      </c>
      <c r="G4462">
        <f t="shared" si="69"/>
        <v>1577061527</v>
      </c>
    </row>
    <row r="4463" spans="1:7" x14ac:dyDescent="0.25">
      <c r="A4463">
        <v>1577061560</v>
      </c>
      <c r="B4463" t="s">
        <v>27138</v>
      </c>
      <c r="C4463">
        <v>1430</v>
      </c>
      <c r="D4463">
        <v>2</v>
      </c>
      <c r="E4463">
        <v>8263</v>
      </c>
      <c r="F4463">
        <v>1842</v>
      </c>
      <c r="G4463">
        <f t="shared" si="69"/>
        <v>1577061560</v>
      </c>
    </row>
    <row r="4464" spans="1:7" x14ac:dyDescent="0.25">
      <c r="A4464">
        <v>1577061788</v>
      </c>
      <c r="B4464" t="s">
        <v>27139</v>
      </c>
      <c r="C4464">
        <v>151</v>
      </c>
      <c r="D4464">
        <v>0</v>
      </c>
      <c r="E4464">
        <v>0</v>
      </c>
      <c r="F4464">
        <v>7707</v>
      </c>
      <c r="G4464">
        <f t="shared" si="69"/>
        <v>1577061788</v>
      </c>
    </row>
    <row r="4465" spans="1:7" x14ac:dyDescent="0.25">
      <c r="A4465">
        <v>1577061822</v>
      </c>
      <c r="B4465" t="s">
        <v>27140</v>
      </c>
      <c r="C4465">
        <v>810</v>
      </c>
      <c r="D4465">
        <v>0</v>
      </c>
      <c r="E4465">
        <v>0</v>
      </c>
      <c r="F4465">
        <v>7708</v>
      </c>
      <c r="G4465">
        <f t="shared" si="69"/>
        <v>1577061822</v>
      </c>
    </row>
    <row r="4466" spans="1:7" x14ac:dyDescent="0.25">
      <c r="A4466">
        <v>1577061920</v>
      </c>
      <c r="B4466" t="s">
        <v>27141</v>
      </c>
      <c r="C4466">
        <v>1743</v>
      </c>
      <c r="D4466">
        <v>1</v>
      </c>
      <c r="E4466">
        <v>781</v>
      </c>
      <c r="F4466">
        <v>4232</v>
      </c>
      <c r="G4466">
        <f t="shared" si="69"/>
        <v>1577061920</v>
      </c>
    </row>
    <row r="4467" spans="1:7" x14ac:dyDescent="0.25">
      <c r="A4467">
        <v>1577061927</v>
      </c>
      <c r="B4467" t="s">
        <v>27142</v>
      </c>
      <c r="C4467">
        <v>1831</v>
      </c>
      <c r="D4467">
        <v>1</v>
      </c>
      <c r="E4467">
        <v>543</v>
      </c>
      <c r="F4467">
        <v>4562</v>
      </c>
      <c r="G4467">
        <f t="shared" si="69"/>
        <v>1577061927</v>
      </c>
    </row>
    <row r="4468" spans="1:7" x14ac:dyDescent="0.25">
      <c r="A4468">
        <v>1577062261</v>
      </c>
      <c r="B4468" t="s">
        <v>27143</v>
      </c>
      <c r="C4468">
        <v>0</v>
      </c>
      <c r="D4468">
        <v>1</v>
      </c>
      <c r="E4468">
        <v>98</v>
      </c>
      <c r="F4468">
        <v>5858</v>
      </c>
      <c r="G4468">
        <f t="shared" si="69"/>
        <v>1577062261</v>
      </c>
    </row>
    <row r="4469" spans="1:7" x14ac:dyDescent="0.25">
      <c r="A4469">
        <v>1577062267</v>
      </c>
      <c r="B4469" t="s">
        <v>37436</v>
      </c>
      <c r="C4469">
        <v>0</v>
      </c>
      <c r="D4469">
        <v>1</v>
      </c>
      <c r="E4469">
        <v>26</v>
      </c>
      <c r="F4469">
        <v>6657</v>
      </c>
      <c r="G4469">
        <f t="shared" si="69"/>
        <v>1577062267</v>
      </c>
    </row>
    <row r="4470" spans="1:7" x14ac:dyDescent="0.25">
      <c r="A4470">
        <v>1577062531</v>
      </c>
      <c r="B4470" t="s">
        <v>27144</v>
      </c>
      <c r="C4470">
        <v>1689</v>
      </c>
      <c r="D4470">
        <v>1</v>
      </c>
      <c r="E4470">
        <v>3337</v>
      </c>
      <c r="F4470">
        <v>2917</v>
      </c>
      <c r="G4470">
        <f t="shared" si="69"/>
        <v>1577062531</v>
      </c>
    </row>
    <row r="4471" spans="1:7" x14ac:dyDescent="0.25">
      <c r="A4471">
        <v>1577062585</v>
      </c>
      <c r="B4471" t="s">
        <v>27145</v>
      </c>
      <c r="C4471">
        <v>1831</v>
      </c>
      <c r="D4471">
        <v>1</v>
      </c>
      <c r="E4471">
        <v>275</v>
      </c>
      <c r="F4471">
        <v>5227</v>
      </c>
      <c r="G4471">
        <f t="shared" si="69"/>
        <v>1577062585</v>
      </c>
    </row>
    <row r="4472" spans="1:7" x14ac:dyDescent="0.25">
      <c r="A4472">
        <v>1577062790</v>
      </c>
      <c r="B4472" t="s">
        <v>27146</v>
      </c>
      <c r="C4472">
        <v>0</v>
      </c>
      <c r="D4472">
        <v>1</v>
      </c>
      <c r="E4472">
        <v>1976</v>
      </c>
      <c r="F4472">
        <v>3358</v>
      </c>
      <c r="G4472">
        <f t="shared" si="69"/>
        <v>1577062790</v>
      </c>
    </row>
    <row r="4473" spans="1:7" x14ac:dyDescent="0.25">
      <c r="A4473">
        <v>1577062800</v>
      </c>
      <c r="B4473" t="s">
        <v>27147</v>
      </c>
      <c r="C4473">
        <v>6</v>
      </c>
      <c r="D4473">
        <v>3</v>
      </c>
      <c r="E4473">
        <v>12423</v>
      </c>
      <c r="F4473">
        <v>1243</v>
      </c>
      <c r="G4473">
        <f t="shared" si="69"/>
        <v>1577062800</v>
      </c>
    </row>
    <row r="4474" spans="1:7" x14ac:dyDescent="0.25">
      <c r="A4474">
        <v>1577063007</v>
      </c>
      <c r="B4474" t="s">
        <v>27148</v>
      </c>
      <c r="C4474">
        <v>1708</v>
      </c>
      <c r="D4474">
        <v>1</v>
      </c>
      <c r="E4474">
        <v>2521</v>
      </c>
      <c r="F4474">
        <v>3133</v>
      </c>
      <c r="G4474">
        <f t="shared" si="69"/>
        <v>1577063007</v>
      </c>
    </row>
    <row r="4475" spans="1:7" x14ac:dyDescent="0.25">
      <c r="A4475">
        <v>1577063162</v>
      </c>
      <c r="B4475" t="s">
        <v>3603</v>
      </c>
      <c r="C4475">
        <v>1831</v>
      </c>
      <c r="D4475">
        <v>1</v>
      </c>
      <c r="E4475">
        <v>744</v>
      </c>
      <c r="F4475">
        <v>4276</v>
      </c>
      <c r="G4475">
        <f t="shared" si="69"/>
        <v>1577063162</v>
      </c>
    </row>
    <row r="4476" spans="1:7" x14ac:dyDescent="0.25">
      <c r="A4476">
        <v>1577063582</v>
      </c>
      <c r="B4476" t="s">
        <v>27149</v>
      </c>
      <c r="C4476">
        <v>0</v>
      </c>
      <c r="D4476">
        <v>1</v>
      </c>
      <c r="E4476">
        <v>1818</v>
      </c>
      <c r="F4476">
        <v>3437</v>
      </c>
      <c r="G4476">
        <f t="shared" si="69"/>
        <v>1577063582</v>
      </c>
    </row>
    <row r="4477" spans="1:7" x14ac:dyDescent="0.25">
      <c r="A4477">
        <v>1577064018</v>
      </c>
      <c r="B4477" t="s">
        <v>1941</v>
      </c>
      <c r="C4477">
        <v>1971</v>
      </c>
      <c r="D4477">
        <v>0</v>
      </c>
      <c r="E4477">
        <v>0</v>
      </c>
      <c r="F4477">
        <v>7709</v>
      </c>
      <c r="G4477">
        <f t="shared" si="69"/>
        <v>1577064018</v>
      </c>
    </row>
    <row r="4478" spans="1:7" x14ac:dyDescent="0.25">
      <c r="A4478">
        <v>1577064044</v>
      </c>
      <c r="B4478" t="s">
        <v>36580</v>
      </c>
      <c r="C4478">
        <v>1535</v>
      </c>
      <c r="D4478">
        <v>1</v>
      </c>
      <c r="E4478">
        <v>1204</v>
      </c>
      <c r="F4478">
        <v>3796</v>
      </c>
      <c r="G4478">
        <f t="shared" si="69"/>
        <v>1577064044</v>
      </c>
    </row>
    <row r="4479" spans="1:7" x14ac:dyDescent="0.25">
      <c r="A4479">
        <v>1577064238</v>
      </c>
      <c r="B4479" t="s">
        <v>27150</v>
      </c>
      <c r="C4479">
        <v>0</v>
      </c>
      <c r="D4479">
        <v>1</v>
      </c>
      <c r="E4479">
        <v>66</v>
      </c>
      <c r="F4479">
        <v>6084</v>
      </c>
      <c r="G4479">
        <f t="shared" si="69"/>
        <v>1577064238</v>
      </c>
    </row>
    <row r="4480" spans="1:7" x14ac:dyDescent="0.25">
      <c r="A4480">
        <v>1577064270</v>
      </c>
      <c r="B4480" t="s">
        <v>27151</v>
      </c>
      <c r="C4480">
        <v>47</v>
      </c>
      <c r="D4480">
        <v>2</v>
      </c>
      <c r="E4480">
        <v>7218</v>
      </c>
      <c r="F4480">
        <v>2025</v>
      </c>
      <c r="G4480">
        <f t="shared" si="69"/>
        <v>1577064270</v>
      </c>
    </row>
    <row r="4481" spans="1:7" x14ac:dyDescent="0.25">
      <c r="A4481">
        <v>1577064445</v>
      </c>
      <c r="B4481" t="s">
        <v>27152</v>
      </c>
      <c r="C4481">
        <v>117</v>
      </c>
      <c r="D4481">
        <v>8</v>
      </c>
      <c r="E4481">
        <v>38495</v>
      </c>
      <c r="F4481">
        <v>104</v>
      </c>
      <c r="G4481">
        <f t="shared" ref="G4481:G4544" si="70">A4481</f>
        <v>1577064445</v>
      </c>
    </row>
    <row r="4482" spans="1:7" x14ac:dyDescent="0.25">
      <c r="A4482">
        <v>1577064494</v>
      </c>
      <c r="B4482" t="s">
        <v>27153</v>
      </c>
      <c r="C4482">
        <v>1946</v>
      </c>
      <c r="D4482">
        <v>1</v>
      </c>
      <c r="E4482">
        <v>1840</v>
      </c>
      <c r="F4482">
        <v>3423</v>
      </c>
      <c r="G4482">
        <f t="shared" si="70"/>
        <v>1577064494</v>
      </c>
    </row>
    <row r="4483" spans="1:7" x14ac:dyDescent="0.25">
      <c r="A4483">
        <v>1577064562</v>
      </c>
      <c r="B4483" t="s">
        <v>27154</v>
      </c>
      <c r="C4483">
        <v>36</v>
      </c>
      <c r="D4483">
        <v>1</v>
      </c>
      <c r="E4483">
        <v>2411</v>
      </c>
      <c r="F4483">
        <v>3170</v>
      </c>
      <c r="G4483">
        <f t="shared" si="70"/>
        <v>1577064562</v>
      </c>
    </row>
    <row r="4484" spans="1:7" x14ac:dyDescent="0.25">
      <c r="A4484">
        <v>1577064592</v>
      </c>
      <c r="B4484" t="s">
        <v>27155</v>
      </c>
      <c r="C4484">
        <v>18</v>
      </c>
      <c r="D4484">
        <v>0</v>
      </c>
      <c r="E4484">
        <v>0</v>
      </c>
      <c r="F4484">
        <v>7710</v>
      </c>
      <c r="G4484">
        <f t="shared" si="70"/>
        <v>1577064592</v>
      </c>
    </row>
    <row r="4485" spans="1:7" x14ac:dyDescent="0.25">
      <c r="A4485">
        <v>1577064608</v>
      </c>
      <c r="B4485" t="s">
        <v>27156</v>
      </c>
      <c r="C4485">
        <v>0</v>
      </c>
      <c r="D4485">
        <v>0</v>
      </c>
      <c r="E4485">
        <v>0</v>
      </c>
      <c r="F4485">
        <v>7711</v>
      </c>
      <c r="G4485">
        <f t="shared" si="70"/>
        <v>1577064608</v>
      </c>
    </row>
    <row r="4486" spans="1:7" x14ac:dyDescent="0.25">
      <c r="A4486">
        <v>1577064688</v>
      </c>
      <c r="B4486" t="s">
        <v>27157</v>
      </c>
      <c r="C4486">
        <v>680</v>
      </c>
      <c r="D4486">
        <v>4</v>
      </c>
      <c r="E4486">
        <v>19810</v>
      </c>
      <c r="F4486">
        <v>631</v>
      </c>
      <c r="G4486">
        <f t="shared" si="70"/>
        <v>1577064688</v>
      </c>
    </row>
    <row r="4487" spans="1:7" x14ac:dyDescent="0.25">
      <c r="A4487">
        <v>1577064721</v>
      </c>
      <c r="B4487" t="s">
        <v>27158</v>
      </c>
      <c r="C4487">
        <v>0</v>
      </c>
      <c r="D4487">
        <v>1</v>
      </c>
      <c r="E4487">
        <v>1051</v>
      </c>
      <c r="F4487">
        <v>3921</v>
      </c>
      <c r="G4487">
        <f t="shared" si="70"/>
        <v>1577064721</v>
      </c>
    </row>
    <row r="4488" spans="1:7" x14ac:dyDescent="0.25">
      <c r="A4488">
        <v>1577064793</v>
      </c>
      <c r="B4488" t="s">
        <v>27159</v>
      </c>
      <c r="C4488">
        <v>270</v>
      </c>
      <c r="D4488">
        <v>5</v>
      </c>
      <c r="E4488">
        <v>20802</v>
      </c>
      <c r="F4488">
        <v>576</v>
      </c>
      <c r="G4488">
        <f t="shared" si="70"/>
        <v>1577064793</v>
      </c>
    </row>
    <row r="4489" spans="1:7" x14ac:dyDescent="0.25">
      <c r="A4489">
        <v>1577065153</v>
      </c>
      <c r="B4489" t="s">
        <v>27160</v>
      </c>
      <c r="C4489">
        <v>0</v>
      </c>
      <c r="D4489">
        <v>0</v>
      </c>
      <c r="E4489">
        <v>0</v>
      </c>
      <c r="F4489">
        <v>7712</v>
      </c>
      <c r="G4489">
        <f t="shared" si="70"/>
        <v>1577065153</v>
      </c>
    </row>
    <row r="4490" spans="1:7" x14ac:dyDescent="0.25">
      <c r="A4490">
        <v>1577065299</v>
      </c>
      <c r="B4490" t="s">
        <v>27161</v>
      </c>
      <c r="C4490">
        <v>1836</v>
      </c>
      <c r="D4490">
        <v>1</v>
      </c>
      <c r="E4490">
        <v>1284</v>
      </c>
      <c r="F4490">
        <v>3738</v>
      </c>
      <c r="G4490">
        <f t="shared" si="70"/>
        <v>1577065299</v>
      </c>
    </row>
    <row r="4491" spans="1:7" x14ac:dyDescent="0.25">
      <c r="A4491">
        <v>1577065354</v>
      </c>
      <c r="B4491" t="s">
        <v>27162</v>
      </c>
      <c r="C4491">
        <v>1413</v>
      </c>
      <c r="D4491">
        <v>2</v>
      </c>
      <c r="E4491">
        <v>4293</v>
      </c>
      <c r="F4491">
        <v>2685</v>
      </c>
      <c r="G4491">
        <f t="shared" si="70"/>
        <v>1577065354</v>
      </c>
    </row>
    <row r="4492" spans="1:7" x14ac:dyDescent="0.25">
      <c r="A4492">
        <v>1577065529</v>
      </c>
      <c r="B4492" t="s">
        <v>27163</v>
      </c>
      <c r="C4492">
        <v>552</v>
      </c>
      <c r="D4492">
        <v>5</v>
      </c>
      <c r="E4492">
        <v>25122</v>
      </c>
      <c r="F4492">
        <v>389</v>
      </c>
      <c r="G4492">
        <f t="shared" si="70"/>
        <v>1577065529</v>
      </c>
    </row>
    <row r="4493" spans="1:7" x14ac:dyDescent="0.25">
      <c r="A4493">
        <v>1577065591</v>
      </c>
      <c r="B4493" t="s">
        <v>27164</v>
      </c>
      <c r="C4493">
        <v>10</v>
      </c>
      <c r="D4493">
        <v>1</v>
      </c>
      <c r="E4493">
        <v>328</v>
      </c>
      <c r="F4493">
        <v>5045</v>
      </c>
      <c r="G4493">
        <f t="shared" si="70"/>
        <v>1577065591</v>
      </c>
    </row>
    <row r="4494" spans="1:7" x14ac:dyDescent="0.25">
      <c r="A4494">
        <v>1577065593</v>
      </c>
      <c r="B4494" t="s">
        <v>27165</v>
      </c>
      <c r="C4494">
        <v>0</v>
      </c>
      <c r="D4494">
        <v>1</v>
      </c>
      <c r="E4494">
        <v>338</v>
      </c>
      <c r="F4494">
        <v>5015</v>
      </c>
      <c r="G4494">
        <f t="shared" si="70"/>
        <v>1577065593</v>
      </c>
    </row>
    <row r="4495" spans="1:7" x14ac:dyDescent="0.25">
      <c r="A4495">
        <v>1577065649</v>
      </c>
      <c r="B4495" t="s">
        <v>27166</v>
      </c>
      <c r="C4495">
        <v>1914</v>
      </c>
      <c r="D4495">
        <v>1</v>
      </c>
      <c r="E4495">
        <v>707</v>
      </c>
      <c r="F4495">
        <v>4332</v>
      </c>
      <c r="G4495">
        <f t="shared" si="70"/>
        <v>1577065649</v>
      </c>
    </row>
    <row r="4496" spans="1:7" x14ac:dyDescent="0.25">
      <c r="A4496">
        <v>1577065708</v>
      </c>
      <c r="B4496" t="s">
        <v>27167</v>
      </c>
      <c r="C4496">
        <v>0</v>
      </c>
      <c r="D4496">
        <v>1</v>
      </c>
      <c r="E4496">
        <v>713</v>
      </c>
      <c r="F4496">
        <v>4323</v>
      </c>
      <c r="G4496">
        <f t="shared" si="70"/>
        <v>1577065708</v>
      </c>
    </row>
    <row r="4497" spans="1:7" x14ac:dyDescent="0.25">
      <c r="A4497">
        <v>1577066132</v>
      </c>
      <c r="B4497" t="s">
        <v>27168</v>
      </c>
      <c r="C4497">
        <v>189</v>
      </c>
      <c r="D4497">
        <v>3</v>
      </c>
      <c r="E4497">
        <v>11845</v>
      </c>
      <c r="F4497">
        <v>1306</v>
      </c>
      <c r="G4497">
        <f t="shared" si="70"/>
        <v>1577066132</v>
      </c>
    </row>
    <row r="4498" spans="1:7" x14ac:dyDescent="0.25">
      <c r="A4498">
        <v>1577066298</v>
      </c>
      <c r="B4498" t="s">
        <v>27169</v>
      </c>
      <c r="C4498">
        <v>19</v>
      </c>
      <c r="D4498">
        <v>0</v>
      </c>
      <c r="E4498">
        <v>0</v>
      </c>
      <c r="F4498">
        <v>7713</v>
      </c>
      <c r="G4498">
        <f t="shared" si="70"/>
        <v>1577066298</v>
      </c>
    </row>
    <row r="4499" spans="1:7" x14ac:dyDescent="0.25">
      <c r="A4499">
        <v>1577067045</v>
      </c>
      <c r="B4499" t="s">
        <v>27170</v>
      </c>
      <c r="C4499">
        <v>1297</v>
      </c>
      <c r="D4499">
        <v>0</v>
      </c>
      <c r="E4499">
        <v>0</v>
      </c>
      <c r="F4499">
        <v>7714</v>
      </c>
      <c r="G4499">
        <f t="shared" si="70"/>
        <v>1577067045</v>
      </c>
    </row>
    <row r="4500" spans="1:7" x14ac:dyDescent="0.25">
      <c r="A4500">
        <v>1577067533</v>
      </c>
      <c r="B4500" t="s">
        <v>27171</v>
      </c>
      <c r="C4500">
        <v>0</v>
      </c>
      <c r="D4500">
        <v>1</v>
      </c>
      <c r="E4500">
        <v>371</v>
      </c>
      <c r="F4500">
        <v>4952</v>
      </c>
      <c r="G4500">
        <f t="shared" si="70"/>
        <v>1577067533</v>
      </c>
    </row>
    <row r="4501" spans="1:7" x14ac:dyDescent="0.25">
      <c r="A4501">
        <v>1577067841</v>
      </c>
      <c r="B4501" t="s">
        <v>27172</v>
      </c>
      <c r="C4501">
        <v>0</v>
      </c>
      <c r="D4501">
        <v>1</v>
      </c>
      <c r="E4501">
        <v>626</v>
      </c>
      <c r="F4501">
        <v>4438</v>
      </c>
      <c r="G4501">
        <f t="shared" si="70"/>
        <v>1577067841</v>
      </c>
    </row>
    <row r="4502" spans="1:7" x14ac:dyDescent="0.25">
      <c r="A4502">
        <v>1577067930</v>
      </c>
      <c r="B4502" t="s">
        <v>27173</v>
      </c>
      <c r="C4502">
        <v>0</v>
      </c>
      <c r="D4502">
        <v>0</v>
      </c>
      <c r="E4502">
        <v>0</v>
      </c>
      <c r="F4502">
        <v>7715</v>
      </c>
      <c r="G4502">
        <f t="shared" si="70"/>
        <v>1577067930</v>
      </c>
    </row>
    <row r="4503" spans="1:7" x14ac:dyDescent="0.25">
      <c r="A4503">
        <v>1577068066</v>
      </c>
      <c r="B4503" t="s">
        <v>27174</v>
      </c>
      <c r="C4503">
        <v>578</v>
      </c>
      <c r="D4503">
        <v>4</v>
      </c>
      <c r="E4503">
        <v>16947</v>
      </c>
      <c r="F4503">
        <v>842</v>
      </c>
      <c r="G4503">
        <f t="shared" si="70"/>
        <v>1577068066</v>
      </c>
    </row>
    <row r="4504" spans="1:7" x14ac:dyDescent="0.25">
      <c r="A4504">
        <v>1577068088</v>
      </c>
      <c r="B4504" t="s">
        <v>36581</v>
      </c>
      <c r="C4504">
        <v>399</v>
      </c>
      <c r="D4504">
        <v>1</v>
      </c>
      <c r="E4504">
        <v>408</v>
      </c>
      <c r="F4504">
        <v>4832</v>
      </c>
      <c r="G4504">
        <f t="shared" si="70"/>
        <v>1577068088</v>
      </c>
    </row>
    <row r="4505" spans="1:7" x14ac:dyDescent="0.25">
      <c r="A4505">
        <v>1577068141</v>
      </c>
      <c r="B4505" t="s">
        <v>27175</v>
      </c>
      <c r="C4505">
        <v>882</v>
      </c>
      <c r="D4505">
        <v>2</v>
      </c>
      <c r="E4505">
        <v>9850</v>
      </c>
      <c r="F4505">
        <v>1582</v>
      </c>
      <c r="G4505">
        <f t="shared" si="70"/>
        <v>1577068141</v>
      </c>
    </row>
    <row r="4506" spans="1:7" x14ac:dyDescent="0.25">
      <c r="A4506">
        <v>1577068262</v>
      </c>
      <c r="B4506" t="s">
        <v>27176</v>
      </c>
      <c r="C4506">
        <v>1268</v>
      </c>
      <c r="D4506">
        <v>0</v>
      </c>
      <c r="E4506">
        <v>0</v>
      </c>
      <c r="F4506">
        <v>7716</v>
      </c>
      <c r="G4506">
        <f t="shared" si="70"/>
        <v>1577068262</v>
      </c>
    </row>
    <row r="4507" spans="1:7" x14ac:dyDescent="0.25">
      <c r="A4507">
        <v>1577068352</v>
      </c>
      <c r="B4507" t="s">
        <v>27177</v>
      </c>
      <c r="C4507">
        <v>0</v>
      </c>
      <c r="D4507">
        <v>1</v>
      </c>
      <c r="E4507">
        <v>26</v>
      </c>
      <c r="F4507">
        <v>6658</v>
      </c>
      <c r="G4507">
        <f t="shared" si="70"/>
        <v>1577068352</v>
      </c>
    </row>
    <row r="4508" spans="1:7" x14ac:dyDescent="0.25">
      <c r="A4508">
        <v>1577068670</v>
      </c>
      <c r="B4508" t="s">
        <v>27178</v>
      </c>
      <c r="C4508">
        <v>96</v>
      </c>
      <c r="D4508">
        <v>1</v>
      </c>
      <c r="E4508">
        <v>6404</v>
      </c>
      <c r="F4508">
        <v>2186</v>
      </c>
      <c r="G4508">
        <f t="shared" si="70"/>
        <v>1577068670</v>
      </c>
    </row>
    <row r="4509" spans="1:7" x14ac:dyDescent="0.25">
      <c r="A4509">
        <v>1577068691</v>
      </c>
      <c r="B4509" t="s">
        <v>27179</v>
      </c>
      <c r="C4509">
        <v>424</v>
      </c>
      <c r="D4509">
        <v>4</v>
      </c>
      <c r="E4509">
        <v>17110</v>
      </c>
      <c r="F4509">
        <v>821</v>
      </c>
      <c r="G4509">
        <f t="shared" si="70"/>
        <v>1577068691</v>
      </c>
    </row>
    <row r="4510" spans="1:7" x14ac:dyDescent="0.25">
      <c r="A4510">
        <v>1577069086</v>
      </c>
      <c r="B4510" t="s">
        <v>27180</v>
      </c>
      <c r="C4510">
        <v>409</v>
      </c>
      <c r="D4510">
        <v>3</v>
      </c>
      <c r="E4510">
        <v>11835</v>
      </c>
      <c r="F4510">
        <v>1303</v>
      </c>
      <c r="G4510">
        <f t="shared" si="70"/>
        <v>1577069086</v>
      </c>
    </row>
    <row r="4511" spans="1:7" x14ac:dyDescent="0.25">
      <c r="A4511">
        <v>1577069264</v>
      </c>
      <c r="B4511" t="s">
        <v>27181</v>
      </c>
      <c r="C4511">
        <v>1993</v>
      </c>
      <c r="D4511">
        <v>1</v>
      </c>
      <c r="E4511">
        <v>1028</v>
      </c>
      <c r="F4511">
        <v>3946</v>
      </c>
      <c r="G4511">
        <f t="shared" si="70"/>
        <v>1577069264</v>
      </c>
    </row>
    <row r="4512" spans="1:7" x14ac:dyDescent="0.25">
      <c r="A4512">
        <v>1577069277</v>
      </c>
      <c r="B4512" t="s">
        <v>36582</v>
      </c>
      <c r="C4512">
        <v>6</v>
      </c>
      <c r="D4512">
        <v>7</v>
      </c>
      <c r="E4512">
        <v>37222</v>
      </c>
      <c r="F4512">
        <v>119</v>
      </c>
      <c r="G4512">
        <f t="shared" si="70"/>
        <v>1577069277</v>
      </c>
    </row>
    <row r="4513" spans="1:7" x14ac:dyDescent="0.25">
      <c r="A4513">
        <v>1577069351</v>
      </c>
      <c r="B4513" t="s">
        <v>27182</v>
      </c>
      <c r="C4513">
        <v>924</v>
      </c>
      <c r="D4513">
        <v>2</v>
      </c>
      <c r="E4513">
        <v>9349</v>
      </c>
      <c r="F4513">
        <v>1661</v>
      </c>
      <c r="G4513">
        <f t="shared" si="70"/>
        <v>1577069351</v>
      </c>
    </row>
    <row r="4514" spans="1:7" x14ac:dyDescent="0.25">
      <c r="A4514">
        <v>1577069487</v>
      </c>
      <c r="B4514" t="s">
        <v>1756</v>
      </c>
      <c r="C4514">
        <v>399</v>
      </c>
      <c r="D4514">
        <v>2</v>
      </c>
      <c r="E4514">
        <v>5992</v>
      </c>
      <c r="F4514">
        <v>2282</v>
      </c>
      <c r="G4514">
        <f t="shared" si="70"/>
        <v>1577069487</v>
      </c>
    </row>
    <row r="4515" spans="1:7" x14ac:dyDescent="0.25">
      <c r="A4515">
        <v>1577069626</v>
      </c>
      <c r="B4515" t="s">
        <v>27183</v>
      </c>
      <c r="C4515">
        <v>23</v>
      </c>
      <c r="D4515">
        <v>2</v>
      </c>
      <c r="E4515">
        <v>7779</v>
      </c>
      <c r="F4515">
        <v>1927</v>
      </c>
      <c r="G4515">
        <f t="shared" si="70"/>
        <v>1577069626</v>
      </c>
    </row>
    <row r="4516" spans="1:7" x14ac:dyDescent="0.25">
      <c r="A4516">
        <v>1577069780</v>
      </c>
      <c r="B4516" t="s">
        <v>27184</v>
      </c>
      <c r="C4516">
        <v>39</v>
      </c>
      <c r="D4516">
        <v>3</v>
      </c>
      <c r="E4516">
        <v>14619</v>
      </c>
      <c r="F4516">
        <v>1017</v>
      </c>
      <c r="G4516">
        <f t="shared" si="70"/>
        <v>1577069780</v>
      </c>
    </row>
    <row r="4517" spans="1:7" x14ac:dyDescent="0.25">
      <c r="A4517">
        <v>1577069804</v>
      </c>
      <c r="B4517" t="s">
        <v>2357</v>
      </c>
      <c r="C4517">
        <v>205</v>
      </c>
      <c r="D4517">
        <v>1</v>
      </c>
      <c r="E4517">
        <v>852</v>
      </c>
      <c r="F4517">
        <v>4129</v>
      </c>
      <c r="G4517">
        <f t="shared" si="70"/>
        <v>1577069804</v>
      </c>
    </row>
    <row r="4518" spans="1:7" x14ac:dyDescent="0.25">
      <c r="A4518">
        <v>1577069886</v>
      </c>
      <c r="B4518" t="s">
        <v>27185</v>
      </c>
      <c r="C4518">
        <v>1430</v>
      </c>
      <c r="D4518">
        <v>3</v>
      </c>
      <c r="E4518">
        <v>8441</v>
      </c>
      <c r="F4518">
        <v>1806</v>
      </c>
      <c r="G4518">
        <f t="shared" si="70"/>
        <v>1577069886</v>
      </c>
    </row>
    <row r="4519" spans="1:7" x14ac:dyDescent="0.25">
      <c r="A4519">
        <v>1577069904</v>
      </c>
      <c r="B4519" t="s">
        <v>27186</v>
      </c>
      <c r="C4519">
        <v>0</v>
      </c>
      <c r="D4519">
        <v>1</v>
      </c>
      <c r="E4519">
        <v>30</v>
      </c>
      <c r="F4519">
        <v>6323</v>
      </c>
      <c r="G4519">
        <f t="shared" si="70"/>
        <v>1577069904</v>
      </c>
    </row>
    <row r="4520" spans="1:7" x14ac:dyDescent="0.25">
      <c r="A4520">
        <v>1577069936</v>
      </c>
      <c r="B4520" t="s">
        <v>27187</v>
      </c>
      <c r="C4520">
        <v>0</v>
      </c>
      <c r="D4520">
        <v>1</v>
      </c>
      <c r="E4520">
        <v>1812</v>
      </c>
      <c r="F4520">
        <v>3439</v>
      </c>
      <c r="G4520">
        <f t="shared" si="70"/>
        <v>1577069936</v>
      </c>
    </row>
    <row r="4521" spans="1:7" x14ac:dyDescent="0.25">
      <c r="A4521">
        <v>1577070018</v>
      </c>
      <c r="B4521" t="s">
        <v>27188</v>
      </c>
      <c r="C4521">
        <v>0</v>
      </c>
      <c r="D4521">
        <v>1</v>
      </c>
      <c r="E4521">
        <v>50</v>
      </c>
      <c r="F4521">
        <v>6184</v>
      </c>
      <c r="G4521">
        <f t="shared" si="70"/>
        <v>1577070018</v>
      </c>
    </row>
    <row r="4522" spans="1:7" x14ac:dyDescent="0.25">
      <c r="A4522">
        <v>1577070025</v>
      </c>
      <c r="B4522" t="s">
        <v>27189</v>
      </c>
      <c r="C4522">
        <v>733</v>
      </c>
      <c r="D4522">
        <v>5</v>
      </c>
      <c r="E4522">
        <v>31389</v>
      </c>
      <c r="F4522">
        <v>217</v>
      </c>
      <c r="G4522">
        <f t="shared" si="70"/>
        <v>1577070025</v>
      </c>
    </row>
    <row r="4523" spans="1:7" x14ac:dyDescent="0.25">
      <c r="A4523">
        <v>1577070084</v>
      </c>
      <c r="B4523" t="s">
        <v>27190</v>
      </c>
      <c r="C4523">
        <v>0</v>
      </c>
      <c r="D4523">
        <v>1</v>
      </c>
      <c r="E4523">
        <v>809</v>
      </c>
      <c r="F4523">
        <v>4185</v>
      </c>
      <c r="G4523">
        <f t="shared" si="70"/>
        <v>1577070084</v>
      </c>
    </row>
    <row r="4524" spans="1:7" x14ac:dyDescent="0.25">
      <c r="A4524">
        <v>1577070192</v>
      </c>
      <c r="B4524" t="s">
        <v>27191</v>
      </c>
      <c r="C4524">
        <v>122</v>
      </c>
      <c r="D4524">
        <v>10</v>
      </c>
      <c r="E4524">
        <v>48871</v>
      </c>
      <c r="F4524">
        <v>43</v>
      </c>
      <c r="G4524">
        <f t="shared" si="70"/>
        <v>1577070192</v>
      </c>
    </row>
    <row r="4525" spans="1:7" x14ac:dyDescent="0.25">
      <c r="A4525">
        <v>1577070261</v>
      </c>
      <c r="B4525" t="s">
        <v>36583</v>
      </c>
      <c r="C4525">
        <v>422</v>
      </c>
      <c r="D4525">
        <v>5</v>
      </c>
      <c r="E4525">
        <v>27465</v>
      </c>
      <c r="F4525">
        <v>318</v>
      </c>
      <c r="G4525">
        <f t="shared" si="70"/>
        <v>1577070261</v>
      </c>
    </row>
    <row r="4526" spans="1:7" x14ac:dyDescent="0.25">
      <c r="A4526">
        <v>1577070427</v>
      </c>
      <c r="B4526" t="s">
        <v>27192</v>
      </c>
      <c r="C4526">
        <v>0</v>
      </c>
      <c r="D4526">
        <v>1</v>
      </c>
      <c r="E4526">
        <v>26</v>
      </c>
      <c r="F4526">
        <v>6659</v>
      </c>
      <c r="G4526">
        <f t="shared" si="70"/>
        <v>1577070427</v>
      </c>
    </row>
    <row r="4527" spans="1:7" x14ac:dyDescent="0.25">
      <c r="A4527">
        <v>1577070517</v>
      </c>
      <c r="B4527" t="s">
        <v>27193</v>
      </c>
      <c r="C4527">
        <v>1947</v>
      </c>
      <c r="D4527">
        <v>1</v>
      </c>
      <c r="E4527">
        <v>46</v>
      </c>
      <c r="F4527">
        <v>6221</v>
      </c>
      <c r="G4527">
        <f t="shared" si="70"/>
        <v>1577070517</v>
      </c>
    </row>
    <row r="4528" spans="1:7" x14ac:dyDescent="0.25">
      <c r="A4528">
        <v>1577070621</v>
      </c>
      <c r="B4528" t="s">
        <v>27194</v>
      </c>
      <c r="C4528">
        <v>36</v>
      </c>
      <c r="D4528">
        <v>8</v>
      </c>
      <c r="E4528">
        <v>34858</v>
      </c>
      <c r="F4528">
        <v>153</v>
      </c>
      <c r="G4528">
        <f t="shared" si="70"/>
        <v>1577070621</v>
      </c>
    </row>
    <row r="4529" spans="1:7" x14ac:dyDescent="0.25">
      <c r="A4529">
        <v>1577070657</v>
      </c>
      <c r="B4529" t="s">
        <v>27195</v>
      </c>
      <c r="C4529">
        <v>1609</v>
      </c>
      <c r="D4529">
        <v>6</v>
      </c>
      <c r="E4529">
        <v>28859</v>
      </c>
      <c r="F4529">
        <v>276</v>
      </c>
      <c r="G4529">
        <f t="shared" si="70"/>
        <v>1577070657</v>
      </c>
    </row>
    <row r="4530" spans="1:7" x14ac:dyDescent="0.25">
      <c r="A4530">
        <v>1577070658</v>
      </c>
      <c r="B4530" t="s">
        <v>27196</v>
      </c>
      <c r="C4530">
        <v>0</v>
      </c>
      <c r="D4530">
        <v>0</v>
      </c>
      <c r="E4530">
        <v>0</v>
      </c>
      <c r="F4530">
        <v>7717</v>
      </c>
      <c r="G4530">
        <f t="shared" si="70"/>
        <v>1577070658</v>
      </c>
    </row>
    <row r="4531" spans="1:7" x14ac:dyDescent="0.25">
      <c r="A4531">
        <v>1577070709</v>
      </c>
      <c r="B4531" t="s">
        <v>27197</v>
      </c>
      <c r="C4531">
        <v>95</v>
      </c>
      <c r="D4531">
        <v>0</v>
      </c>
      <c r="E4531">
        <v>0</v>
      </c>
      <c r="F4531">
        <v>7718</v>
      </c>
      <c r="G4531">
        <f t="shared" si="70"/>
        <v>1577070709</v>
      </c>
    </row>
    <row r="4532" spans="1:7" x14ac:dyDescent="0.25">
      <c r="A4532">
        <v>1577070730</v>
      </c>
      <c r="B4532" t="s">
        <v>27198</v>
      </c>
      <c r="C4532">
        <v>1967</v>
      </c>
      <c r="D4532">
        <v>1</v>
      </c>
      <c r="E4532">
        <v>300</v>
      </c>
      <c r="F4532">
        <v>5119</v>
      </c>
      <c r="G4532">
        <f t="shared" si="70"/>
        <v>1577070730</v>
      </c>
    </row>
    <row r="4533" spans="1:7" x14ac:dyDescent="0.25">
      <c r="A4533">
        <v>1577070902</v>
      </c>
      <c r="B4533" t="s">
        <v>27199</v>
      </c>
      <c r="C4533">
        <v>422</v>
      </c>
      <c r="D4533">
        <v>1</v>
      </c>
      <c r="E4533">
        <v>4076</v>
      </c>
      <c r="F4533">
        <v>2754</v>
      </c>
      <c r="G4533">
        <f t="shared" si="70"/>
        <v>1577070902</v>
      </c>
    </row>
    <row r="4534" spans="1:7" x14ac:dyDescent="0.25">
      <c r="A4534">
        <v>1577071112</v>
      </c>
      <c r="B4534" t="s">
        <v>27200</v>
      </c>
      <c r="C4534">
        <v>0</v>
      </c>
      <c r="D4534">
        <v>1</v>
      </c>
      <c r="E4534">
        <v>26</v>
      </c>
      <c r="F4534">
        <v>6660</v>
      </c>
      <c r="G4534">
        <f t="shared" si="70"/>
        <v>1577071112</v>
      </c>
    </row>
    <row r="4535" spans="1:7" x14ac:dyDescent="0.25">
      <c r="A4535">
        <v>1577071150</v>
      </c>
      <c r="B4535" t="s">
        <v>27201</v>
      </c>
      <c r="C4535">
        <v>412</v>
      </c>
      <c r="D4535">
        <v>1</v>
      </c>
      <c r="E4535">
        <v>5887</v>
      </c>
      <c r="F4535">
        <v>2306</v>
      </c>
      <c r="G4535">
        <f t="shared" si="70"/>
        <v>1577071150</v>
      </c>
    </row>
    <row r="4536" spans="1:7" x14ac:dyDescent="0.25">
      <c r="A4536">
        <v>1577071262</v>
      </c>
      <c r="B4536" t="s">
        <v>27202</v>
      </c>
      <c r="C4536">
        <v>1743</v>
      </c>
      <c r="D4536">
        <v>1</v>
      </c>
      <c r="E4536">
        <v>3115</v>
      </c>
      <c r="F4536">
        <v>2966</v>
      </c>
      <c r="G4536">
        <f t="shared" si="70"/>
        <v>1577071262</v>
      </c>
    </row>
    <row r="4537" spans="1:7" x14ac:dyDescent="0.25">
      <c r="A4537">
        <v>1577071291</v>
      </c>
      <c r="B4537" t="s">
        <v>27203</v>
      </c>
      <c r="C4537">
        <v>48</v>
      </c>
      <c r="D4537">
        <v>0</v>
      </c>
      <c r="E4537">
        <v>0</v>
      </c>
      <c r="F4537">
        <v>7719</v>
      </c>
      <c r="G4537">
        <f t="shared" si="70"/>
        <v>1577071291</v>
      </c>
    </row>
    <row r="4538" spans="1:7" x14ac:dyDescent="0.25">
      <c r="A4538">
        <v>1577071379</v>
      </c>
      <c r="B4538" t="s">
        <v>27204</v>
      </c>
      <c r="C4538">
        <v>643</v>
      </c>
      <c r="D4538">
        <v>3</v>
      </c>
      <c r="E4538">
        <v>16436</v>
      </c>
      <c r="F4538">
        <v>879</v>
      </c>
      <c r="G4538">
        <f t="shared" si="70"/>
        <v>1577071379</v>
      </c>
    </row>
    <row r="4539" spans="1:7" x14ac:dyDescent="0.25">
      <c r="A4539">
        <v>1577071433</v>
      </c>
      <c r="B4539" t="s">
        <v>27205</v>
      </c>
      <c r="C4539">
        <v>308</v>
      </c>
      <c r="D4539">
        <v>1</v>
      </c>
      <c r="E4539">
        <v>769</v>
      </c>
      <c r="F4539">
        <v>4249</v>
      </c>
      <c r="G4539">
        <f t="shared" si="70"/>
        <v>1577071433</v>
      </c>
    </row>
    <row r="4540" spans="1:7" x14ac:dyDescent="0.25">
      <c r="A4540">
        <v>1577071465</v>
      </c>
      <c r="B4540" t="s">
        <v>27206</v>
      </c>
      <c r="C4540">
        <v>1357</v>
      </c>
      <c r="D4540">
        <v>1</v>
      </c>
      <c r="E4540">
        <v>61</v>
      </c>
      <c r="F4540">
        <v>6099</v>
      </c>
      <c r="G4540">
        <f t="shared" si="70"/>
        <v>1577071465</v>
      </c>
    </row>
    <row r="4541" spans="1:7" x14ac:dyDescent="0.25">
      <c r="A4541">
        <v>1577071496</v>
      </c>
      <c r="B4541" t="s">
        <v>27207</v>
      </c>
      <c r="C4541">
        <v>1622</v>
      </c>
      <c r="D4541">
        <v>7</v>
      </c>
      <c r="E4541">
        <v>37313</v>
      </c>
      <c r="F4541">
        <v>117</v>
      </c>
      <c r="G4541">
        <f t="shared" si="70"/>
        <v>1577071496</v>
      </c>
    </row>
    <row r="4542" spans="1:7" x14ac:dyDescent="0.25">
      <c r="A4542">
        <v>1577071528</v>
      </c>
      <c r="B4542" t="s">
        <v>27208</v>
      </c>
      <c r="C4542">
        <v>443</v>
      </c>
      <c r="D4542">
        <v>1</v>
      </c>
      <c r="E4542">
        <v>2644</v>
      </c>
      <c r="F4542">
        <v>3082</v>
      </c>
      <c r="G4542">
        <f t="shared" si="70"/>
        <v>1577071528</v>
      </c>
    </row>
    <row r="4543" spans="1:7" x14ac:dyDescent="0.25">
      <c r="A4543">
        <v>1577071691</v>
      </c>
      <c r="B4543" t="s">
        <v>27209</v>
      </c>
      <c r="C4543">
        <v>0</v>
      </c>
      <c r="D4543">
        <v>1</v>
      </c>
      <c r="E4543">
        <v>430</v>
      </c>
      <c r="F4543">
        <v>4815</v>
      </c>
      <c r="G4543">
        <f t="shared" si="70"/>
        <v>1577071691</v>
      </c>
    </row>
    <row r="4544" spans="1:7" x14ac:dyDescent="0.25">
      <c r="A4544">
        <v>1577071766</v>
      </c>
      <c r="B4544" t="s">
        <v>27210</v>
      </c>
      <c r="C4544">
        <v>419</v>
      </c>
      <c r="D4544">
        <v>5</v>
      </c>
      <c r="E4544">
        <v>20957</v>
      </c>
      <c r="F4544">
        <v>578</v>
      </c>
      <c r="G4544">
        <f t="shared" si="70"/>
        <v>1577071766</v>
      </c>
    </row>
    <row r="4545" spans="1:7" x14ac:dyDescent="0.25">
      <c r="A4545">
        <v>1577071801</v>
      </c>
      <c r="B4545" t="s">
        <v>27211</v>
      </c>
      <c r="C4545">
        <v>0</v>
      </c>
      <c r="D4545">
        <v>1</v>
      </c>
      <c r="E4545">
        <v>26</v>
      </c>
      <c r="F4545">
        <v>6661</v>
      </c>
      <c r="G4545">
        <f t="shared" ref="G4545:G4608" si="71">A4545</f>
        <v>1577071801</v>
      </c>
    </row>
    <row r="4546" spans="1:7" x14ac:dyDescent="0.25">
      <c r="A4546">
        <v>1577071913</v>
      </c>
      <c r="B4546" t="s">
        <v>27212</v>
      </c>
      <c r="C4546">
        <v>0</v>
      </c>
      <c r="D4546">
        <v>1</v>
      </c>
      <c r="E4546">
        <v>71</v>
      </c>
      <c r="F4546">
        <v>6056</v>
      </c>
      <c r="G4546">
        <f t="shared" si="71"/>
        <v>1577071913</v>
      </c>
    </row>
    <row r="4547" spans="1:7" x14ac:dyDescent="0.25">
      <c r="A4547">
        <v>1577072052</v>
      </c>
      <c r="B4547" t="s">
        <v>27213</v>
      </c>
      <c r="C4547">
        <v>0</v>
      </c>
      <c r="D4547">
        <v>1</v>
      </c>
      <c r="E4547">
        <v>82</v>
      </c>
      <c r="F4547">
        <v>5955</v>
      </c>
      <c r="G4547">
        <f t="shared" si="71"/>
        <v>1577072052</v>
      </c>
    </row>
    <row r="4548" spans="1:7" x14ac:dyDescent="0.25">
      <c r="A4548">
        <v>1577072096</v>
      </c>
      <c r="B4548" t="s">
        <v>27214</v>
      </c>
      <c r="C4548">
        <v>174</v>
      </c>
      <c r="D4548">
        <v>3</v>
      </c>
      <c r="E4548">
        <v>14452</v>
      </c>
      <c r="F4548">
        <v>1041</v>
      </c>
      <c r="G4548">
        <f t="shared" si="71"/>
        <v>1577072096</v>
      </c>
    </row>
    <row r="4549" spans="1:7" x14ac:dyDescent="0.25">
      <c r="A4549">
        <v>1577072203</v>
      </c>
      <c r="B4549" t="s">
        <v>27215</v>
      </c>
      <c r="C4549">
        <v>1917</v>
      </c>
      <c r="D4549">
        <v>1</v>
      </c>
      <c r="E4549">
        <v>3728</v>
      </c>
      <c r="F4549">
        <v>2824</v>
      </c>
      <c r="G4549">
        <f t="shared" si="71"/>
        <v>1577072203</v>
      </c>
    </row>
    <row r="4550" spans="1:7" x14ac:dyDescent="0.25">
      <c r="A4550">
        <v>1577072244</v>
      </c>
      <c r="B4550" t="s">
        <v>37056</v>
      </c>
      <c r="C4550">
        <v>0</v>
      </c>
      <c r="D4550">
        <v>0</v>
      </c>
      <c r="E4550">
        <v>0</v>
      </c>
      <c r="F4550">
        <v>7720</v>
      </c>
      <c r="G4550">
        <f t="shared" si="71"/>
        <v>1577072244</v>
      </c>
    </row>
    <row r="4551" spans="1:7" x14ac:dyDescent="0.25">
      <c r="A4551">
        <v>1577072292</v>
      </c>
      <c r="B4551" t="s">
        <v>37158</v>
      </c>
      <c r="C4551">
        <v>0</v>
      </c>
      <c r="D4551">
        <v>0</v>
      </c>
      <c r="E4551">
        <v>0</v>
      </c>
      <c r="F4551">
        <v>7721</v>
      </c>
      <c r="G4551">
        <f t="shared" si="71"/>
        <v>1577072292</v>
      </c>
    </row>
    <row r="4552" spans="1:7" x14ac:dyDescent="0.25">
      <c r="A4552">
        <v>1577072307</v>
      </c>
      <c r="B4552" t="s">
        <v>27216</v>
      </c>
      <c r="C4552">
        <v>36</v>
      </c>
      <c r="D4552">
        <v>3</v>
      </c>
      <c r="E4552">
        <v>17653</v>
      </c>
      <c r="F4552">
        <v>778</v>
      </c>
      <c r="G4552">
        <f t="shared" si="71"/>
        <v>1577072307</v>
      </c>
    </row>
    <row r="4553" spans="1:7" x14ac:dyDescent="0.25">
      <c r="A4553">
        <v>1577073003</v>
      </c>
      <c r="B4553" t="s">
        <v>27217</v>
      </c>
      <c r="C4553">
        <v>189</v>
      </c>
      <c r="D4553">
        <v>5</v>
      </c>
      <c r="E4553">
        <v>18864</v>
      </c>
      <c r="F4553">
        <v>699</v>
      </c>
      <c r="G4553">
        <f t="shared" si="71"/>
        <v>1577073003</v>
      </c>
    </row>
    <row r="4554" spans="1:7" x14ac:dyDescent="0.25">
      <c r="A4554">
        <v>1577073287</v>
      </c>
      <c r="B4554" t="s">
        <v>36584</v>
      </c>
      <c r="C4554">
        <v>1914</v>
      </c>
      <c r="D4554">
        <v>1</v>
      </c>
      <c r="E4554">
        <v>736</v>
      </c>
      <c r="F4554">
        <v>4286</v>
      </c>
      <c r="G4554">
        <f t="shared" si="71"/>
        <v>1577073287</v>
      </c>
    </row>
    <row r="4555" spans="1:7" x14ac:dyDescent="0.25">
      <c r="A4555">
        <v>1577073303</v>
      </c>
      <c r="B4555" t="s">
        <v>27218</v>
      </c>
      <c r="C4555">
        <v>1915</v>
      </c>
      <c r="D4555">
        <v>1</v>
      </c>
      <c r="E4555">
        <v>2248</v>
      </c>
      <c r="F4555">
        <v>3225</v>
      </c>
      <c r="G4555">
        <f t="shared" si="71"/>
        <v>1577073303</v>
      </c>
    </row>
    <row r="4556" spans="1:7" x14ac:dyDescent="0.25">
      <c r="A4556">
        <v>1577073495</v>
      </c>
      <c r="B4556" t="s">
        <v>27219</v>
      </c>
      <c r="C4556">
        <v>0</v>
      </c>
      <c r="D4556">
        <v>1</v>
      </c>
      <c r="E4556">
        <v>88</v>
      </c>
      <c r="F4556">
        <v>5914</v>
      </c>
      <c r="G4556">
        <f t="shared" si="71"/>
        <v>1577073495</v>
      </c>
    </row>
    <row r="4557" spans="1:7" x14ac:dyDescent="0.25">
      <c r="A4557">
        <v>1577073498</v>
      </c>
      <c r="B4557" t="s">
        <v>27220</v>
      </c>
      <c r="C4557">
        <v>0</v>
      </c>
      <c r="D4557">
        <v>1</v>
      </c>
      <c r="E4557">
        <v>356</v>
      </c>
      <c r="F4557">
        <v>4964</v>
      </c>
      <c r="G4557">
        <f t="shared" si="71"/>
        <v>1577073498</v>
      </c>
    </row>
    <row r="4558" spans="1:7" x14ac:dyDescent="0.25">
      <c r="A4558">
        <v>1577073548</v>
      </c>
      <c r="B4558" t="s">
        <v>27221</v>
      </c>
      <c r="C4558">
        <v>399</v>
      </c>
      <c r="D4558">
        <v>1</v>
      </c>
      <c r="E4558">
        <v>720</v>
      </c>
      <c r="F4558">
        <v>4310</v>
      </c>
      <c r="G4558">
        <f t="shared" si="71"/>
        <v>1577073548</v>
      </c>
    </row>
    <row r="4559" spans="1:7" x14ac:dyDescent="0.25">
      <c r="A4559">
        <v>1577073875</v>
      </c>
      <c r="B4559" t="s">
        <v>27222</v>
      </c>
      <c r="C4559">
        <v>1837</v>
      </c>
      <c r="D4559">
        <v>1</v>
      </c>
      <c r="E4559">
        <v>146</v>
      </c>
      <c r="F4559">
        <v>5708</v>
      </c>
      <c r="G4559">
        <f t="shared" si="71"/>
        <v>1577073875</v>
      </c>
    </row>
    <row r="4560" spans="1:7" x14ac:dyDescent="0.25">
      <c r="A4560">
        <v>1577074240</v>
      </c>
      <c r="B4560" t="s">
        <v>27223</v>
      </c>
      <c r="C4560">
        <v>277</v>
      </c>
      <c r="D4560">
        <v>0</v>
      </c>
      <c r="E4560">
        <v>0</v>
      </c>
      <c r="F4560">
        <v>7722</v>
      </c>
      <c r="G4560">
        <f t="shared" si="71"/>
        <v>1577074240</v>
      </c>
    </row>
    <row r="4561" spans="1:7" x14ac:dyDescent="0.25">
      <c r="A4561">
        <v>1577074437</v>
      </c>
      <c r="B4561" t="s">
        <v>27224</v>
      </c>
      <c r="C4561">
        <v>0</v>
      </c>
      <c r="D4561">
        <v>0</v>
      </c>
      <c r="E4561">
        <v>0</v>
      </c>
      <c r="F4561">
        <v>7723</v>
      </c>
      <c r="G4561">
        <f t="shared" si="71"/>
        <v>1577074437</v>
      </c>
    </row>
    <row r="4562" spans="1:7" x14ac:dyDescent="0.25">
      <c r="A4562">
        <v>1577074601</v>
      </c>
      <c r="B4562" t="s">
        <v>27225</v>
      </c>
      <c r="C4562">
        <v>0</v>
      </c>
      <c r="D4562">
        <v>1</v>
      </c>
      <c r="E4562">
        <v>832</v>
      </c>
      <c r="F4562">
        <v>4164</v>
      </c>
      <c r="G4562">
        <f t="shared" si="71"/>
        <v>1577074601</v>
      </c>
    </row>
    <row r="4563" spans="1:7" x14ac:dyDescent="0.25">
      <c r="A4563">
        <v>1577074605</v>
      </c>
      <c r="B4563" t="s">
        <v>27226</v>
      </c>
      <c r="C4563">
        <v>0</v>
      </c>
      <c r="D4563">
        <v>0</v>
      </c>
      <c r="E4563">
        <v>0</v>
      </c>
      <c r="F4563">
        <v>7724</v>
      </c>
      <c r="G4563">
        <f t="shared" si="71"/>
        <v>1577074605</v>
      </c>
    </row>
    <row r="4564" spans="1:7" x14ac:dyDescent="0.25">
      <c r="A4564">
        <v>1577074623</v>
      </c>
      <c r="B4564" t="s">
        <v>27227</v>
      </c>
      <c r="C4564">
        <v>0</v>
      </c>
      <c r="D4564">
        <v>1</v>
      </c>
      <c r="E4564">
        <v>50</v>
      </c>
      <c r="F4564">
        <v>6185</v>
      </c>
      <c r="G4564">
        <f t="shared" si="71"/>
        <v>1577074623</v>
      </c>
    </row>
    <row r="4565" spans="1:7" x14ac:dyDescent="0.25">
      <c r="A4565">
        <v>1577074887</v>
      </c>
      <c r="B4565" t="s">
        <v>27228</v>
      </c>
      <c r="C4565">
        <v>156</v>
      </c>
      <c r="D4565">
        <v>0</v>
      </c>
      <c r="E4565">
        <v>0</v>
      </c>
      <c r="F4565">
        <v>7725</v>
      </c>
      <c r="G4565">
        <f t="shared" si="71"/>
        <v>1577074887</v>
      </c>
    </row>
    <row r="4566" spans="1:7" x14ac:dyDescent="0.25">
      <c r="A4566">
        <v>1577074890</v>
      </c>
      <c r="B4566" t="s">
        <v>27229</v>
      </c>
      <c r="C4566">
        <v>1651</v>
      </c>
      <c r="D4566">
        <v>1</v>
      </c>
      <c r="E4566">
        <v>1611</v>
      </c>
      <c r="F4566">
        <v>3543</v>
      </c>
      <c r="G4566">
        <f t="shared" si="71"/>
        <v>1577074890</v>
      </c>
    </row>
    <row r="4567" spans="1:7" x14ac:dyDescent="0.25">
      <c r="A4567">
        <v>1577075103</v>
      </c>
      <c r="B4567" t="s">
        <v>27230</v>
      </c>
      <c r="C4567">
        <v>189</v>
      </c>
      <c r="D4567">
        <v>10</v>
      </c>
      <c r="E4567">
        <v>45849</v>
      </c>
      <c r="F4567">
        <v>58</v>
      </c>
      <c r="G4567">
        <f t="shared" si="71"/>
        <v>1577075103</v>
      </c>
    </row>
    <row r="4568" spans="1:7" x14ac:dyDescent="0.25">
      <c r="A4568">
        <v>1577075520</v>
      </c>
      <c r="B4568" t="s">
        <v>27231</v>
      </c>
      <c r="C4568">
        <v>578</v>
      </c>
      <c r="D4568">
        <v>4</v>
      </c>
      <c r="E4568">
        <v>22169</v>
      </c>
      <c r="F4568">
        <v>510</v>
      </c>
      <c r="G4568">
        <f t="shared" si="71"/>
        <v>1577075520</v>
      </c>
    </row>
    <row r="4569" spans="1:7" x14ac:dyDescent="0.25">
      <c r="A4569">
        <v>1577075736</v>
      </c>
      <c r="B4569" t="s">
        <v>27232</v>
      </c>
      <c r="C4569">
        <v>645</v>
      </c>
      <c r="D4569">
        <v>0</v>
      </c>
      <c r="E4569">
        <v>0</v>
      </c>
      <c r="F4569">
        <v>7726</v>
      </c>
      <c r="G4569">
        <f t="shared" si="71"/>
        <v>1577075736</v>
      </c>
    </row>
    <row r="4570" spans="1:7" x14ac:dyDescent="0.25">
      <c r="A4570">
        <v>1577075768</v>
      </c>
      <c r="B4570" t="s">
        <v>27233</v>
      </c>
      <c r="C4570">
        <v>189</v>
      </c>
      <c r="D4570">
        <v>3</v>
      </c>
      <c r="E4570">
        <v>12817</v>
      </c>
      <c r="F4570">
        <v>1189</v>
      </c>
      <c r="G4570">
        <f t="shared" si="71"/>
        <v>1577075768</v>
      </c>
    </row>
    <row r="4571" spans="1:7" x14ac:dyDescent="0.25">
      <c r="A4571">
        <v>1577076134</v>
      </c>
      <c r="B4571" t="s">
        <v>36585</v>
      </c>
      <c r="C4571">
        <v>0</v>
      </c>
      <c r="D4571">
        <v>1</v>
      </c>
      <c r="E4571">
        <v>26</v>
      </c>
      <c r="F4571">
        <v>6662</v>
      </c>
      <c r="G4571">
        <f t="shared" si="71"/>
        <v>1577076134</v>
      </c>
    </row>
    <row r="4572" spans="1:7" x14ac:dyDescent="0.25">
      <c r="A4572">
        <v>1577076156</v>
      </c>
      <c r="B4572" t="s">
        <v>27234</v>
      </c>
      <c r="C4572">
        <v>0</v>
      </c>
      <c r="D4572">
        <v>1</v>
      </c>
      <c r="E4572">
        <v>201</v>
      </c>
      <c r="F4572">
        <v>5494</v>
      </c>
      <c r="G4572">
        <f t="shared" si="71"/>
        <v>1577076156</v>
      </c>
    </row>
    <row r="4573" spans="1:7" x14ac:dyDescent="0.25">
      <c r="A4573">
        <v>1577076301</v>
      </c>
      <c r="B4573" t="s">
        <v>27235</v>
      </c>
      <c r="C4573">
        <v>0</v>
      </c>
      <c r="D4573">
        <v>1</v>
      </c>
      <c r="E4573">
        <v>2902</v>
      </c>
      <c r="F4573">
        <v>3010</v>
      </c>
      <c r="G4573">
        <f t="shared" si="71"/>
        <v>1577076301</v>
      </c>
    </row>
    <row r="4574" spans="1:7" x14ac:dyDescent="0.25">
      <c r="A4574">
        <v>1577076360</v>
      </c>
      <c r="B4574" t="s">
        <v>27236</v>
      </c>
      <c r="C4574">
        <v>0</v>
      </c>
      <c r="D4574">
        <v>0</v>
      </c>
      <c r="E4574">
        <v>0</v>
      </c>
      <c r="F4574">
        <v>7727</v>
      </c>
      <c r="G4574">
        <f t="shared" si="71"/>
        <v>1577076360</v>
      </c>
    </row>
    <row r="4575" spans="1:7" x14ac:dyDescent="0.25">
      <c r="A4575">
        <v>1577076487</v>
      </c>
      <c r="B4575" t="s">
        <v>37317</v>
      </c>
      <c r="C4575">
        <v>1126</v>
      </c>
      <c r="D4575">
        <v>1</v>
      </c>
      <c r="E4575">
        <v>451</v>
      </c>
      <c r="F4575">
        <v>4714</v>
      </c>
      <c r="G4575">
        <f t="shared" si="71"/>
        <v>1577076487</v>
      </c>
    </row>
    <row r="4576" spans="1:7" x14ac:dyDescent="0.25">
      <c r="A4576">
        <v>1577076495</v>
      </c>
      <c r="B4576" t="s">
        <v>27237</v>
      </c>
      <c r="C4576">
        <v>156</v>
      </c>
      <c r="D4576">
        <v>0</v>
      </c>
      <c r="E4576">
        <v>0</v>
      </c>
      <c r="F4576">
        <v>7728</v>
      </c>
      <c r="G4576">
        <f t="shared" si="71"/>
        <v>1577076495</v>
      </c>
    </row>
    <row r="4577" spans="1:7" x14ac:dyDescent="0.25">
      <c r="A4577">
        <v>1577076508</v>
      </c>
      <c r="B4577" t="s">
        <v>27238</v>
      </c>
      <c r="C4577">
        <v>0</v>
      </c>
      <c r="D4577">
        <v>0</v>
      </c>
      <c r="E4577">
        <v>0</v>
      </c>
      <c r="F4577">
        <v>7729</v>
      </c>
      <c r="G4577">
        <f t="shared" si="71"/>
        <v>1577076508</v>
      </c>
    </row>
    <row r="4578" spans="1:7" x14ac:dyDescent="0.25">
      <c r="A4578">
        <v>1577076517</v>
      </c>
      <c r="B4578" t="s">
        <v>27239</v>
      </c>
      <c r="C4578">
        <v>0</v>
      </c>
      <c r="D4578">
        <v>1</v>
      </c>
      <c r="E4578">
        <v>76</v>
      </c>
      <c r="F4578">
        <v>6006</v>
      </c>
      <c r="G4578">
        <f t="shared" si="71"/>
        <v>1577076517</v>
      </c>
    </row>
    <row r="4579" spans="1:7" x14ac:dyDescent="0.25">
      <c r="A4579">
        <v>1577076846</v>
      </c>
      <c r="B4579" t="s">
        <v>27240</v>
      </c>
      <c r="C4579">
        <v>0</v>
      </c>
      <c r="D4579">
        <v>1</v>
      </c>
      <c r="E4579">
        <v>26</v>
      </c>
      <c r="F4579">
        <v>6663</v>
      </c>
      <c r="G4579">
        <f t="shared" si="71"/>
        <v>1577076846</v>
      </c>
    </row>
    <row r="4580" spans="1:7" x14ac:dyDescent="0.25">
      <c r="A4580">
        <v>1577076888</v>
      </c>
      <c r="B4580" t="s">
        <v>27241</v>
      </c>
      <c r="C4580">
        <v>1357</v>
      </c>
      <c r="D4580">
        <v>1</v>
      </c>
      <c r="E4580">
        <v>483</v>
      </c>
      <c r="F4580">
        <v>4677</v>
      </c>
      <c r="G4580">
        <f t="shared" si="71"/>
        <v>1577076888</v>
      </c>
    </row>
    <row r="4581" spans="1:7" x14ac:dyDescent="0.25">
      <c r="A4581">
        <v>1577076991</v>
      </c>
      <c r="B4581" t="s">
        <v>27242</v>
      </c>
      <c r="C4581">
        <v>1362</v>
      </c>
      <c r="D4581">
        <v>1</v>
      </c>
      <c r="E4581">
        <v>820</v>
      </c>
      <c r="F4581">
        <v>4190</v>
      </c>
      <c r="G4581">
        <f t="shared" si="71"/>
        <v>1577076991</v>
      </c>
    </row>
    <row r="4582" spans="1:7" x14ac:dyDescent="0.25">
      <c r="A4582">
        <v>1577077214</v>
      </c>
      <c r="B4582" t="s">
        <v>27243</v>
      </c>
      <c r="C4582">
        <v>115</v>
      </c>
      <c r="D4582">
        <v>4</v>
      </c>
      <c r="E4582">
        <v>20018</v>
      </c>
      <c r="F4582">
        <v>622</v>
      </c>
      <c r="G4582">
        <f t="shared" si="71"/>
        <v>1577077214</v>
      </c>
    </row>
    <row r="4583" spans="1:7" x14ac:dyDescent="0.25">
      <c r="A4583">
        <v>1577077281</v>
      </c>
      <c r="B4583" t="s">
        <v>27244</v>
      </c>
      <c r="C4583">
        <v>0</v>
      </c>
      <c r="D4583">
        <v>1</v>
      </c>
      <c r="E4583">
        <v>56</v>
      </c>
      <c r="F4583">
        <v>6124</v>
      </c>
      <c r="G4583">
        <f t="shared" si="71"/>
        <v>1577077281</v>
      </c>
    </row>
    <row r="4584" spans="1:7" x14ac:dyDescent="0.25">
      <c r="A4584">
        <v>1577077616</v>
      </c>
      <c r="B4584" t="s">
        <v>27245</v>
      </c>
      <c r="C4584">
        <v>0</v>
      </c>
      <c r="D4584">
        <v>1</v>
      </c>
      <c r="E4584">
        <v>66</v>
      </c>
      <c r="F4584">
        <v>6085</v>
      </c>
      <c r="G4584">
        <f t="shared" si="71"/>
        <v>1577077616</v>
      </c>
    </row>
    <row r="4585" spans="1:7" x14ac:dyDescent="0.25">
      <c r="A4585">
        <v>1577077677</v>
      </c>
      <c r="B4585" t="s">
        <v>27246</v>
      </c>
      <c r="C4585">
        <v>0</v>
      </c>
      <c r="D4585">
        <v>1</v>
      </c>
      <c r="E4585">
        <v>44</v>
      </c>
      <c r="F4585">
        <v>6243</v>
      </c>
      <c r="G4585">
        <f t="shared" si="71"/>
        <v>1577077677</v>
      </c>
    </row>
    <row r="4586" spans="1:7" x14ac:dyDescent="0.25">
      <c r="A4586">
        <v>1577077732</v>
      </c>
      <c r="B4586" t="s">
        <v>27247</v>
      </c>
      <c r="C4586">
        <v>0</v>
      </c>
      <c r="D4586">
        <v>1</v>
      </c>
      <c r="E4586">
        <v>517</v>
      </c>
      <c r="F4586">
        <v>4596</v>
      </c>
      <c r="G4586">
        <f t="shared" si="71"/>
        <v>1577077732</v>
      </c>
    </row>
    <row r="4587" spans="1:7" x14ac:dyDescent="0.25">
      <c r="A4587">
        <v>1577077787</v>
      </c>
      <c r="B4587" t="s">
        <v>27248</v>
      </c>
      <c r="C4587">
        <v>270</v>
      </c>
      <c r="D4587">
        <v>3</v>
      </c>
      <c r="E4587">
        <v>11079</v>
      </c>
      <c r="F4587">
        <v>1404</v>
      </c>
      <c r="G4587">
        <f t="shared" si="71"/>
        <v>1577077787</v>
      </c>
    </row>
    <row r="4588" spans="1:7" x14ac:dyDescent="0.25">
      <c r="A4588">
        <v>1577077812</v>
      </c>
      <c r="B4588" t="s">
        <v>27249</v>
      </c>
      <c r="C4588">
        <v>1643</v>
      </c>
      <c r="D4588">
        <v>1</v>
      </c>
      <c r="E4588">
        <v>1388</v>
      </c>
      <c r="F4588">
        <v>3690</v>
      </c>
      <c r="G4588">
        <f t="shared" si="71"/>
        <v>1577077812</v>
      </c>
    </row>
    <row r="4589" spans="1:7" x14ac:dyDescent="0.25">
      <c r="A4589">
        <v>1577077828</v>
      </c>
      <c r="B4589" t="s">
        <v>27250</v>
      </c>
      <c r="C4589">
        <v>20</v>
      </c>
      <c r="D4589">
        <v>3</v>
      </c>
      <c r="E4589">
        <v>11133</v>
      </c>
      <c r="F4589">
        <v>1403</v>
      </c>
      <c r="G4589">
        <f t="shared" si="71"/>
        <v>1577077828</v>
      </c>
    </row>
    <row r="4590" spans="1:7" x14ac:dyDescent="0.25">
      <c r="A4590">
        <v>1577077834</v>
      </c>
      <c r="B4590" t="s">
        <v>27251</v>
      </c>
      <c r="C4590">
        <v>1836</v>
      </c>
      <c r="D4590">
        <v>4</v>
      </c>
      <c r="E4590">
        <v>13621</v>
      </c>
      <c r="F4590">
        <v>1113</v>
      </c>
      <c r="G4590">
        <f t="shared" si="71"/>
        <v>1577077834</v>
      </c>
    </row>
    <row r="4591" spans="1:7" x14ac:dyDescent="0.25">
      <c r="A4591">
        <v>1577078443</v>
      </c>
      <c r="B4591" t="s">
        <v>36586</v>
      </c>
      <c r="C4591">
        <v>989</v>
      </c>
      <c r="D4591">
        <v>0</v>
      </c>
      <c r="E4591">
        <v>0</v>
      </c>
      <c r="F4591">
        <v>7730</v>
      </c>
      <c r="G4591">
        <f t="shared" si="71"/>
        <v>1577078443</v>
      </c>
    </row>
    <row r="4592" spans="1:7" x14ac:dyDescent="0.25">
      <c r="A4592">
        <v>1577078634</v>
      </c>
      <c r="B4592" t="s">
        <v>27252</v>
      </c>
      <c r="C4592">
        <v>1754</v>
      </c>
      <c r="D4592">
        <v>1</v>
      </c>
      <c r="E4592">
        <v>954</v>
      </c>
      <c r="F4592">
        <v>4063</v>
      </c>
      <c r="G4592">
        <f t="shared" si="71"/>
        <v>1577078634</v>
      </c>
    </row>
    <row r="4593" spans="1:7" x14ac:dyDescent="0.25">
      <c r="A4593">
        <v>1577079017</v>
      </c>
      <c r="B4593" t="s">
        <v>27253</v>
      </c>
      <c r="C4593">
        <v>1995</v>
      </c>
      <c r="D4593">
        <v>2</v>
      </c>
      <c r="E4593">
        <v>5586</v>
      </c>
      <c r="F4593">
        <v>2383</v>
      </c>
      <c r="G4593">
        <f t="shared" si="71"/>
        <v>1577079017</v>
      </c>
    </row>
    <row r="4594" spans="1:7" x14ac:dyDescent="0.25">
      <c r="A4594">
        <v>1577079050</v>
      </c>
      <c r="B4594" t="s">
        <v>27254</v>
      </c>
      <c r="C4594">
        <v>189</v>
      </c>
      <c r="D4594">
        <v>3</v>
      </c>
      <c r="E4594">
        <v>10507</v>
      </c>
      <c r="F4594">
        <v>1491</v>
      </c>
      <c r="G4594">
        <f t="shared" si="71"/>
        <v>1577079050</v>
      </c>
    </row>
    <row r="4595" spans="1:7" x14ac:dyDescent="0.25">
      <c r="A4595">
        <v>1577079146</v>
      </c>
      <c r="B4595" t="s">
        <v>27255</v>
      </c>
      <c r="C4595">
        <v>325</v>
      </c>
      <c r="D4595">
        <v>1</v>
      </c>
      <c r="E4595">
        <v>1400</v>
      </c>
      <c r="F4595">
        <v>3659</v>
      </c>
      <c r="G4595">
        <f t="shared" si="71"/>
        <v>1577079146</v>
      </c>
    </row>
    <row r="4596" spans="1:7" x14ac:dyDescent="0.25">
      <c r="A4596">
        <v>1577079404</v>
      </c>
      <c r="B4596" t="s">
        <v>27256</v>
      </c>
      <c r="C4596">
        <v>333</v>
      </c>
      <c r="D4596">
        <v>3</v>
      </c>
      <c r="E4596">
        <v>12331</v>
      </c>
      <c r="F4596">
        <v>1248</v>
      </c>
      <c r="G4596">
        <f t="shared" si="71"/>
        <v>1577079404</v>
      </c>
    </row>
    <row r="4597" spans="1:7" x14ac:dyDescent="0.25">
      <c r="A4597">
        <v>1577079463</v>
      </c>
      <c r="B4597" t="s">
        <v>27257</v>
      </c>
      <c r="C4597">
        <v>0</v>
      </c>
      <c r="D4597">
        <v>1</v>
      </c>
      <c r="E4597">
        <v>124</v>
      </c>
      <c r="F4597">
        <v>5776</v>
      </c>
      <c r="G4597">
        <f t="shared" si="71"/>
        <v>1577079463</v>
      </c>
    </row>
    <row r="4598" spans="1:7" x14ac:dyDescent="0.25">
      <c r="A4598">
        <v>1577079998</v>
      </c>
      <c r="B4598" t="s">
        <v>27258</v>
      </c>
      <c r="C4598">
        <v>0</v>
      </c>
      <c r="D4598">
        <v>0</v>
      </c>
      <c r="E4598">
        <v>0</v>
      </c>
      <c r="F4598">
        <v>7731</v>
      </c>
      <c r="G4598">
        <f t="shared" si="71"/>
        <v>1577079998</v>
      </c>
    </row>
    <row r="4599" spans="1:7" x14ac:dyDescent="0.25">
      <c r="A4599">
        <v>1577080660</v>
      </c>
      <c r="B4599" t="s">
        <v>27259</v>
      </c>
      <c r="C4599">
        <v>0</v>
      </c>
      <c r="D4599">
        <v>1</v>
      </c>
      <c r="E4599">
        <v>808</v>
      </c>
      <c r="F4599">
        <v>4188</v>
      </c>
      <c r="G4599">
        <f t="shared" si="71"/>
        <v>1577080660</v>
      </c>
    </row>
    <row r="4600" spans="1:7" x14ac:dyDescent="0.25">
      <c r="A4600">
        <v>1577081212</v>
      </c>
      <c r="B4600" t="s">
        <v>27260</v>
      </c>
      <c r="C4600">
        <v>0</v>
      </c>
      <c r="D4600">
        <v>1</v>
      </c>
      <c r="E4600">
        <v>155</v>
      </c>
      <c r="F4600">
        <v>5683</v>
      </c>
      <c r="G4600">
        <f t="shared" si="71"/>
        <v>1577081212</v>
      </c>
    </row>
    <row r="4601" spans="1:7" x14ac:dyDescent="0.25">
      <c r="A4601">
        <v>1577081317</v>
      </c>
      <c r="B4601" t="s">
        <v>27261</v>
      </c>
      <c r="C4601">
        <v>115</v>
      </c>
      <c r="D4601">
        <v>2</v>
      </c>
      <c r="E4601">
        <v>14425</v>
      </c>
      <c r="F4601">
        <v>1042</v>
      </c>
      <c r="G4601">
        <f t="shared" si="71"/>
        <v>1577081317</v>
      </c>
    </row>
    <row r="4602" spans="1:7" x14ac:dyDescent="0.25">
      <c r="A4602">
        <v>1577081343</v>
      </c>
      <c r="B4602" t="s">
        <v>27262</v>
      </c>
      <c r="C4602">
        <v>0</v>
      </c>
      <c r="D4602">
        <v>1</v>
      </c>
      <c r="E4602">
        <v>140</v>
      </c>
      <c r="F4602">
        <v>5730</v>
      </c>
      <c r="G4602">
        <f t="shared" si="71"/>
        <v>1577081343</v>
      </c>
    </row>
    <row r="4603" spans="1:7" x14ac:dyDescent="0.25">
      <c r="A4603">
        <v>1577081383</v>
      </c>
      <c r="B4603" t="s">
        <v>37014</v>
      </c>
      <c r="C4603">
        <v>0</v>
      </c>
      <c r="D4603">
        <v>1</v>
      </c>
      <c r="E4603">
        <v>107</v>
      </c>
      <c r="F4603">
        <v>5821</v>
      </c>
      <c r="G4603">
        <f t="shared" si="71"/>
        <v>1577081383</v>
      </c>
    </row>
    <row r="4604" spans="1:7" x14ac:dyDescent="0.25">
      <c r="A4604">
        <v>1577081761</v>
      </c>
      <c r="B4604" t="s">
        <v>27263</v>
      </c>
      <c r="C4604">
        <v>33</v>
      </c>
      <c r="D4604">
        <v>0</v>
      </c>
      <c r="E4604">
        <v>0</v>
      </c>
      <c r="F4604">
        <v>7732</v>
      </c>
      <c r="G4604">
        <f t="shared" si="71"/>
        <v>1577081761</v>
      </c>
    </row>
    <row r="4605" spans="1:7" x14ac:dyDescent="0.25">
      <c r="A4605">
        <v>1577081797</v>
      </c>
      <c r="B4605" t="s">
        <v>27264</v>
      </c>
      <c r="C4605">
        <v>0</v>
      </c>
      <c r="D4605">
        <v>1</v>
      </c>
      <c r="E4605">
        <v>329</v>
      </c>
      <c r="F4605">
        <v>5041</v>
      </c>
      <c r="G4605">
        <f t="shared" si="71"/>
        <v>1577081797</v>
      </c>
    </row>
    <row r="4606" spans="1:7" x14ac:dyDescent="0.25">
      <c r="A4606">
        <v>1577082473</v>
      </c>
      <c r="B4606" t="s">
        <v>27265</v>
      </c>
      <c r="C4606">
        <v>1622</v>
      </c>
      <c r="D4606">
        <v>1</v>
      </c>
      <c r="E4606">
        <v>370</v>
      </c>
      <c r="F4606">
        <v>4928</v>
      </c>
      <c r="G4606">
        <f t="shared" si="71"/>
        <v>1577082473</v>
      </c>
    </row>
    <row r="4607" spans="1:7" x14ac:dyDescent="0.25">
      <c r="A4607">
        <v>1577082645</v>
      </c>
      <c r="B4607" t="s">
        <v>27266</v>
      </c>
      <c r="C4607">
        <v>567</v>
      </c>
      <c r="D4607">
        <v>0</v>
      </c>
      <c r="E4607">
        <v>0</v>
      </c>
      <c r="F4607">
        <v>7733</v>
      </c>
      <c r="G4607">
        <f t="shared" si="71"/>
        <v>1577082645</v>
      </c>
    </row>
    <row r="4608" spans="1:7" x14ac:dyDescent="0.25">
      <c r="A4608">
        <v>1577082835</v>
      </c>
      <c r="B4608" t="s">
        <v>27267</v>
      </c>
      <c r="C4608">
        <v>0</v>
      </c>
      <c r="D4608">
        <v>1</v>
      </c>
      <c r="E4608">
        <v>26</v>
      </c>
      <c r="F4608">
        <v>6664</v>
      </c>
      <c r="G4608">
        <f t="shared" si="71"/>
        <v>1577082835</v>
      </c>
    </row>
    <row r="4609" spans="1:7" x14ac:dyDescent="0.25">
      <c r="A4609">
        <v>1577082879</v>
      </c>
      <c r="B4609" t="s">
        <v>36587</v>
      </c>
      <c r="C4609">
        <v>235</v>
      </c>
      <c r="D4609">
        <v>1</v>
      </c>
      <c r="E4609">
        <v>3449</v>
      </c>
      <c r="F4609">
        <v>2885</v>
      </c>
      <c r="G4609">
        <f t="shared" ref="G4609:G4672" si="72">A4609</f>
        <v>1577082879</v>
      </c>
    </row>
    <row r="4610" spans="1:7" x14ac:dyDescent="0.25">
      <c r="A4610">
        <v>1577083172</v>
      </c>
      <c r="B4610" t="s">
        <v>27268</v>
      </c>
      <c r="C4610">
        <v>0</v>
      </c>
      <c r="D4610">
        <v>1</v>
      </c>
      <c r="E4610">
        <v>2099</v>
      </c>
      <c r="F4610">
        <v>3290</v>
      </c>
      <c r="G4610">
        <f t="shared" si="72"/>
        <v>1577083172</v>
      </c>
    </row>
    <row r="4611" spans="1:7" x14ac:dyDescent="0.25">
      <c r="A4611">
        <v>1577083302</v>
      </c>
      <c r="B4611" t="s">
        <v>27269</v>
      </c>
      <c r="C4611">
        <v>0</v>
      </c>
      <c r="D4611">
        <v>1</v>
      </c>
      <c r="E4611">
        <v>38</v>
      </c>
      <c r="F4611">
        <v>6277</v>
      </c>
      <c r="G4611">
        <f t="shared" si="72"/>
        <v>1577083302</v>
      </c>
    </row>
    <row r="4612" spans="1:7" x14ac:dyDescent="0.25">
      <c r="A4612">
        <v>1577083576</v>
      </c>
      <c r="B4612" t="s">
        <v>27270</v>
      </c>
      <c r="C4612">
        <v>0</v>
      </c>
      <c r="D4612">
        <v>1</v>
      </c>
      <c r="E4612">
        <v>223</v>
      </c>
      <c r="F4612">
        <v>5422</v>
      </c>
      <c r="G4612">
        <f t="shared" si="72"/>
        <v>1577083576</v>
      </c>
    </row>
    <row r="4613" spans="1:7" x14ac:dyDescent="0.25">
      <c r="A4613">
        <v>1577083755</v>
      </c>
      <c r="B4613" t="s">
        <v>27271</v>
      </c>
      <c r="C4613">
        <v>1207</v>
      </c>
      <c r="D4613">
        <v>1</v>
      </c>
      <c r="E4613">
        <v>410</v>
      </c>
      <c r="F4613">
        <v>4826</v>
      </c>
      <c r="G4613">
        <f t="shared" si="72"/>
        <v>1577083755</v>
      </c>
    </row>
    <row r="4614" spans="1:7" x14ac:dyDescent="0.25">
      <c r="A4614">
        <v>1577083843</v>
      </c>
      <c r="B4614" t="s">
        <v>27272</v>
      </c>
      <c r="C4614">
        <v>1535</v>
      </c>
      <c r="D4614">
        <v>1</v>
      </c>
      <c r="E4614">
        <v>2173</v>
      </c>
      <c r="F4614">
        <v>3261</v>
      </c>
      <c r="G4614">
        <f t="shared" si="72"/>
        <v>1577083843</v>
      </c>
    </row>
    <row r="4615" spans="1:7" x14ac:dyDescent="0.25">
      <c r="A4615">
        <v>1577084390</v>
      </c>
      <c r="B4615" t="s">
        <v>27273</v>
      </c>
      <c r="C4615">
        <v>0</v>
      </c>
      <c r="D4615">
        <v>0</v>
      </c>
      <c r="E4615">
        <v>0</v>
      </c>
      <c r="F4615">
        <v>7734</v>
      </c>
      <c r="G4615">
        <f t="shared" si="72"/>
        <v>1577084390</v>
      </c>
    </row>
    <row r="4616" spans="1:7" x14ac:dyDescent="0.25">
      <c r="A4616">
        <v>1577084801</v>
      </c>
      <c r="B4616" t="s">
        <v>27274</v>
      </c>
      <c r="C4616">
        <v>1901</v>
      </c>
      <c r="D4616">
        <v>1</v>
      </c>
      <c r="E4616">
        <v>410</v>
      </c>
      <c r="F4616">
        <v>4827</v>
      </c>
      <c r="G4616">
        <f t="shared" si="72"/>
        <v>1577084801</v>
      </c>
    </row>
    <row r="4617" spans="1:7" x14ac:dyDescent="0.25">
      <c r="A4617">
        <v>1577085229</v>
      </c>
      <c r="B4617" t="s">
        <v>37318</v>
      </c>
      <c r="C4617">
        <v>0</v>
      </c>
      <c r="D4617">
        <v>0</v>
      </c>
      <c r="E4617">
        <v>0</v>
      </c>
      <c r="F4617">
        <v>7735</v>
      </c>
      <c r="G4617">
        <f t="shared" si="72"/>
        <v>1577085229</v>
      </c>
    </row>
    <row r="4618" spans="1:7" x14ac:dyDescent="0.25">
      <c r="A4618">
        <v>1577085262</v>
      </c>
      <c r="B4618" t="s">
        <v>27275</v>
      </c>
      <c r="C4618">
        <v>673</v>
      </c>
      <c r="D4618">
        <v>1</v>
      </c>
      <c r="E4618">
        <v>312</v>
      </c>
      <c r="F4618">
        <v>5106</v>
      </c>
      <c r="G4618">
        <f t="shared" si="72"/>
        <v>1577085262</v>
      </c>
    </row>
    <row r="4619" spans="1:7" x14ac:dyDescent="0.25">
      <c r="A4619">
        <v>1577085351</v>
      </c>
      <c r="B4619" t="s">
        <v>27276</v>
      </c>
      <c r="C4619">
        <v>96</v>
      </c>
      <c r="D4619">
        <v>1</v>
      </c>
      <c r="E4619">
        <v>4884</v>
      </c>
      <c r="F4619">
        <v>2538</v>
      </c>
      <c r="G4619">
        <f t="shared" si="72"/>
        <v>1577085351</v>
      </c>
    </row>
    <row r="4620" spans="1:7" x14ac:dyDescent="0.25">
      <c r="A4620">
        <v>1577085413</v>
      </c>
      <c r="B4620" t="s">
        <v>27277</v>
      </c>
      <c r="C4620">
        <v>58</v>
      </c>
      <c r="D4620">
        <v>4</v>
      </c>
      <c r="E4620">
        <v>19345</v>
      </c>
      <c r="F4620">
        <v>666</v>
      </c>
      <c r="G4620">
        <f t="shared" si="72"/>
        <v>1577085413</v>
      </c>
    </row>
    <row r="4621" spans="1:7" x14ac:dyDescent="0.25">
      <c r="A4621">
        <v>1577085557</v>
      </c>
      <c r="B4621" t="s">
        <v>37405</v>
      </c>
      <c r="C4621">
        <v>0</v>
      </c>
      <c r="D4621">
        <v>1</v>
      </c>
      <c r="E4621">
        <v>76</v>
      </c>
      <c r="F4621">
        <v>6007</v>
      </c>
      <c r="G4621">
        <f t="shared" si="72"/>
        <v>1577085557</v>
      </c>
    </row>
    <row r="4622" spans="1:7" x14ac:dyDescent="0.25">
      <c r="A4622">
        <v>1577085607</v>
      </c>
      <c r="B4622" t="s">
        <v>37319</v>
      </c>
      <c r="C4622">
        <v>625</v>
      </c>
      <c r="D4622">
        <v>2</v>
      </c>
      <c r="E4622">
        <v>6410</v>
      </c>
      <c r="F4622">
        <v>2194</v>
      </c>
      <c r="G4622">
        <f t="shared" si="72"/>
        <v>1577085607</v>
      </c>
    </row>
    <row r="4623" spans="1:7" x14ac:dyDescent="0.25">
      <c r="A4623">
        <v>1577085651</v>
      </c>
      <c r="B4623" t="s">
        <v>37015</v>
      </c>
      <c r="C4623">
        <v>643</v>
      </c>
      <c r="D4623">
        <v>6</v>
      </c>
      <c r="E4623">
        <v>33507</v>
      </c>
      <c r="F4623">
        <v>170</v>
      </c>
      <c r="G4623">
        <f t="shared" si="72"/>
        <v>1577085651</v>
      </c>
    </row>
    <row r="4624" spans="1:7" x14ac:dyDescent="0.25">
      <c r="A4624">
        <v>1577085932</v>
      </c>
      <c r="B4624" t="s">
        <v>27278</v>
      </c>
      <c r="C4624">
        <v>0</v>
      </c>
      <c r="D4624">
        <v>0</v>
      </c>
      <c r="E4624">
        <v>0</v>
      </c>
      <c r="F4624">
        <v>7736</v>
      </c>
      <c r="G4624">
        <f t="shared" si="72"/>
        <v>1577085932</v>
      </c>
    </row>
    <row r="4625" spans="1:7" x14ac:dyDescent="0.25">
      <c r="A4625">
        <v>1577085943</v>
      </c>
      <c r="B4625" t="s">
        <v>27279</v>
      </c>
      <c r="C4625">
        <v>150</v>
      </c>
      <c r="D4625">
        <v>0</v>
      </c>
      <c r="E4625">
        <v>0</v>
      </c>
      <c r="F4625">
        <v>7737</v>
      </c>
      <c r="G4625">
        <f t="shared" si="72"/>
        <v>1577085943</v>
      </c>
    </row>
    <row r="4626" spans="1:7" x14ac:dyDescent="0.25">
      <c r="A4626">
        <v>1577085984</v>
      </c>
      <c r="B4626" t="s">
        <v>27280</v>
      </c>
      <c r="C4626">
        <v>1699</v>
      </c>
      <c r="D4626">
        <v>4</v>
      </c>
      <c r="E4626">
        <v>16526</v>
      </c>
      <c r="F4626">
        <v>869</v>
      </c>
      <c r="G4626">
        <f t="shared" si="72"/>
        <v>1577085984</v>
      </c>
    </row>
    <row r="4627" spans="1:7" x14ac:dyDescent="0.25">
      <c r="A4627">
        <v>1577086026</v>
      </c>
      <c r="B4627" t="s">
        <v>27281</v>
      </c>
      <c r="C4627">
        <v>115</v>
      </c>
      <c r="D4627">
        <v>3</v>
      </c>
      <c r="E4627">
        <v>16637</v>
      </c>
      <c r="F4627">
        <v>856</v>
      </c>
      <c r="G4627">
        <f t="shared" si="72"/>
        <v>1577086026</v>
      </c>
    </row>
    <row r="4628" spans="1:7" x14ac:dyDescent="0.25">
      <c r="A4628">
        <v>1577086138</v>
      </c>
      <c r="B4628" t="s">
        <v>27282</v>
      </c>
      <c r="C4628">
        <v>0</v>
      </c>
      <c r="D4628">
        <v>0</v>
      </c>
      <c r="E4628">
        <v>0</v>
      </c>
      <c r="F4628">
        <v>7738</v>
      </c>
      <c r="G4628">
        <f t="shared" si="72"/>
        <v>1577086138</v>
      </c>
    </row>
    <row r="4629" spans="1:7" x14ac:dyDescent="0.25">
      <c r="A4629">
        <v>1577086173</v>
      </c>
      <c r="B4629" t="s">
        <v>27283</v>
      </c>
      <c r="C4629">
        <v>115</v>
      </c>
      <c r="D4629">
        <v>7</v>
      </c>
      <c r="E4629">
        <v>36180</v>
      </c>
      <c r="F4629">
        <v>135</v>
      </c>
      <c r="G4629">
        <f t="shared" si="72"/>
        <v>1577086173</v>
      </c>
    </row>
    <row r="4630" spans="1:7" x14ac:dyDescent="0.25">
      <c r="A4630">
        <v>1577086320</v>
      </c>
      <c r="B4630" t="s">
        <v>27284</v>
      </c>
      <c r="C4630">
        <v>20</v>
      </c>
      <c r="D4630">
        <v>5</v>
      </c>
      <c r="E4630">
        <v>23544</v>
      </c>
      <c r="F4630">
        <v>455</v>
      </c>
      <c r="G4630">
        <f t="shared" si="72"/>
        <v>1577086320</v>
      </c>
    </row>
    <row r="4631" spans="1:7" x14ac:dyDescent="0.25">
      <c r="A4631">
        <v>1577086767</v>
      </c>
      <c r="B4631" t="s">
        <v>36588</v>
      </c>
      <c r="C4631">
        <v>0</v>
      </c>
      <c r="D4631">
        <v>1</v>
      </c>
      <c r="E4631">
        <v>522</v>
      </c>
      <c r="F4631">
        <v>4611</v>
      </c>
      <c r="G4631">
        <f t="shared" si="72"/>
        <v>1577086767</v>
      </c>
    </row>
    <row r="4632" spans="1:7" x14ac:dyDescent="0.25">
      <c r="A4632">
        <v>1577087190</v>
      </c>
      <c r="B4632" t="s">
        <v>27285</v>
      </c>
      <c r="C4632">
        <v>1695</v>
      </c>
      <c r="D4632">
        <v>1</v>
      </c>
      <c r="E4632">
        <v>3248</v>
      </c>
      <c r="F4632">
        <v>2934</v>
      </c>
      <c r="G4632">
        <f t="shared" si="72"/>
        <v>1577087190</v>
      </c>
    </row>
    <row r="4633" spans="1:7" x14ac:dyDescent="0.25">
      <c r="A4633">
        <v>1577087474</v>
      </c>
      <c r="B4633" t="s">
        <v>37057</v>
      </c>
      <c r="C4633">
        <v>467</v>
      </c>
      <c r="D4633">
        <v>3</v>
      </c>
      <c r="E4633">
        <v>13249</v>
      </c>
      <c r="F4633">
        <v>1143</v>
      </c>
      <c r="G4633">
        <f t="shared" si="72"/>
        <v>1577087474</v>
      </c>
    </row>
    <row r="4634" spans="1:7" x14ac:dyDescent="0.25">
      <c r="A4634">
        <v>1577087489</v>
      </c>
      <c r="B4634" t="s">
        <v>27286</v>
      </c>
      <c r="C4634">
        <v>0</v>
      </c>
      <c r="D4634">
        <v>1</v>
      </c>
      <c r="E4634">
        <v>26</v>
      </c>
      <c r="F4634">
        <v>6665</v>
      </c>
      <c r="G4634">
        <f t="shared" si="72"/>
        <v>1577087489</v>
      </c>
    </row>
    <row r="4635" spans="1:7" x14ac:dyDescent="0.25">
      <c r="A4635">
        <v>1577088022</v>
      </c>
      <c r="B4635" t="s">
        <v>2146</v>
      </c>
      <c r="C4635">
        <v>924</v>
      </c>
      <c r="D4635">
        <v>1</v>
      </c>
      <c r="E4635">
        <v>4416</v>
      </c>
      <c r="F4635">
        <v>2644</v>
      </c>
      <c r="G4635">
        <f t="shared" si="72"/>
        <v>1577088022</v>
      </c>
    </row>
    <row r="4636" spans="1:7" x14ac:dyDescent="0.25">
      <c r="A4636">
        <v>1577088158</v>
      </c>
      <c r="B4636" t="s">
        <v>27287</v>
      </c>
      <c r="C4636">
        <v>294</v>
      </c>
      <c r="D4636">
        <v>3</v>
      </c>
      <c r="E4636">
        <v>9926</v>
      </c>
      <c r="F4636">
        <v>1587</v>
      </c>
      <c r="G4636">
        <f t="shared" si="72"/>
        <v>1577088158</v>
      </c>
    </row>
    <row r="4637" spans="1:7" x14ac:dyDescent="0.25">
      <c r="A4637">
        <v>1577088261</v>
      </c>
      <c r="B4637" t="s">
        <v>27288</v>
      </c>
      <c r="C4637">
        <v>0</v>
      </c>
      <c r="D4637">
        <v>1</v>
      </c>
      <c r="E4637">
        <v>26</v>
      </c>
      <c r="F4637">
        <v>6666</v>
      </c>
      <c r="G4637">
        <f t="shared" si="72"/>
        <v>1577088261</v>
      </c>
    </row>
    <row r="4638" spans="1:7" x14ac:dyDescent="0.25">
      <c r="A4638">
        <v>1577088265</v>
      </c>
      <c r="B4638" t="s">
        <v>27289</v>
      </c>
      <c r="C4638">
        <v>0</v>
      </c>
      <c r="D4638">
        <v>0</v>
      </c>
      <c r="E4638">
        <v>0</v>
      </c>
      <c r="F4638">
        <v>7739</v>
      </c>
      <c r="G4638">
        <f t="shared" si="72"/>
        <v>1577088265</v>
      </c>
    </row>
    <row r="4639" spans="1:7" x14ac:dyDescent="0.25">
      <c r="A4639">
        <v>1577088274</v>
      </c>
      <c r="B4639" t="s">
        <v>27290</v>
      </c>
      <c r="C4639">
        <v>55</v>
      </c>
      <c r="D4639">
        <v>1</v>
      </c>
      <c r="E4639">
        <v>1987</v>
      </c>
      <c r="F4639">
        <v>3350</v>
      </c>
      <c r="G4639">
        <f t="shared" si="72"/>
        <v>1577088274</v>
      </c>
    </row>
    <row r="4640" spans="1:7" x14ac:dyDescent="0.25">
      <c r="A4640">
        <v>1577088604</v>
      </c>
      <c r="B4640" t="s">
        <v>27291</v>
      </c>
      <c r="C4640">
        <v>0</v>
      </c>
      <c r="D4640">
        <v>1</v>
      </c>
      <c r="E4640">
        <v>57</v>
      </c>
      <c r="F4640">
        <v>6117</v>
      </c>
      <c r="G4640">
        <f t="shared" si="72"/>
        <v>1577088604</v>
      </c>
    </row>
    <row r="4641" spans="1:7" x14ac:dyDescent="0.25">
      <c r="A4641">
        <v>1577088799</v>
      </c>
      <c r="B4641" t="s">
        <v>27292</v>
      </c>
      <c r="C4641">
        <v>467</v>
      </c>
      <c r="D4641">
        <v>1</v>
      </c>
      <c r="E4641">
        <v>2950</v>
      </c>
      <c r="F4641">
        <v>1824</v>
      </c>
      <c r="G4641">
        <f t="shared" si="72"/>
        <v>1577088799</v>
      </c>
    </row>
    <row r="4642" spans="1:7" x14ac:dyDescent="0.25">
      <c r="A4642">
        <v>1577088888</v>
      </c>
      <c r="B4642" t="s">
        <v>27293</v>
      </c>
      <c r="C4642">
        <v>1651</v>
      </c>
      <c r="D4642">
        <v>1</v>
      </c>
      <c r="E4642">
        <v>1139</v>
      </c>
      <c r="F4642">
        <v>3840</v>
      </c>
      <c r="G4642">
        <f t="shared" si="72"/>
        <v>1577088888</v>
      </c>
    </row>
    <row r="4643" spans="1:7" x14ac:dyDescent="0.25">
      <c r="A4643">
        <v>1577088936</v>
      </c>
      <c r="B4643" t="s">
        <v>37226</v>
      </c>
      <c r="C4643">
        <v>1694</v>
      </c>
      <c r="D4643">
        <v>1</v>
      </c>
      <c r="E4643">
        <v>38</v>
      </c>
      <c r="F4643">
        <v>6278</v>
      </c>
      <c r="G4643">
        <f t="shared" si="72"/>
        <v>1577088936</v>
      </c>
    </row>
    <row r="4644" spans="1:7" x14ac:dyDescent="0.25">
      <c r="A4644">
        <v>1577089225</v>
      </c>
      <c r="B4644" t="s">
        <v>27294</v>
      </c>
      <c r="C4644">
        <v>0</v>
      </c>
      <c r="D4644">
        <v>1</v>
      </c>
      <c r="E4644">
        <v>26</v>
      </c>
      <c r="F4644">
        <v>6667</v>
      </c>
      <c r="G4644">
        <f t="shared" si="72"/>
        <v>1577089225</v>
      </c>
    </row>
    <row r="4645" spans="1:7" x14ac:dyDescent="0.25">
      <c r="A4645">
        <v>1577089250</v>
      </c>
      <c r="B4645" t="s">
        <v>27295</v>
      </c>
      <c r="C4645">
        <v>268</v>
      </c>
      <c r="D4645">
        <v>0</v>
      </c>
      <c r="E4645">
        <v>0</v>
      </c>
      <c r="F4645">
        <v>7740</v>
      </c>
      <c r="G4645">
        <f t="shared" si="72"/>
        <v>1577089250</v>
      </c>
    </row>
    <row r="4646" spans="1:7" x14ac:dyDescent="0.25">
      <c r="A4646">
        <v>1577089925</v>
      </c>
      <c r="B4646" t="s">
        <v>36589</v>
      </c>
      <c r="C4646">
        <v>0</v>
      </c>
      <c r="D4646">
        <v>1</v>
      </c>
      <c r="E4646">
        <v>212</v>
      </c>
      <c r="F4646">
        <v>5506</v>
      </c>
      <c r="G4646">
        <f t="shared" si="72"/>
        <v>1577089925</v>
      </c>
    </row>
    <row r="4647" spans="1:7" x14ac:dyDescent="0.25">
      <c r="A4647">
        <v>1577090017</v>
      </c>
      <c r="B4647" t="s">
        <v>36590</v>
      </c>
      <c r="C4647">
        <v>54</v>
      </c>
      <c r="D4647">
        <v>0</v>
      </c>
      <c r="E4647">
        <v>0</v>
      </c>
      <c r="F4647">
        <v>7741</v>
      </c>
      <c r="G4647">
        <f t="shared" si="72"/>
        <v>1577090017</v>
      </c>
    </row>
    <row r="4648" spans="1:7" x14ac:dyDescent="0.25">
      <c r="A4648">
        <v>1577090084</v>
      </c>
      <c r="B4648" t="s">
        <v>27296</v>
      </c>
      <c r="C4648">
        <v>0</v>
      </c>
      <c r="D4648">
        <v>2</v>
      </c>
      <c r="E4648">
        <v>8482</v>
      </c>
      <c r="F4648">
        <v>1801</v>
      </c>
      <c r="G4648">
        <f t="shared" si="72"/>
        <v>1577090084</v>
      </c>
    </row>
    <row r="4649" spans="1:7" x14ac:dyDescent="0.25">
      <c r="A4649">
        <v>1577090329</v>
      </c>
      <c r="B4649" t="s">
        <v>36591</v>
      </c>
      <c r="C4649">
        <v>0</v>
      </c>
      <c r="D4649">
        <v>1</v>
      </c>
      <c r="E4649">
        <v>368</v>
      </c>
      <c r="F4649">
        <v>4934</v>
      </c>
      <c r="G4649">
        <f t="shared" si="72"/>
        <v>1577090329</v>
      </c>
    </row>
    <row r="4650" spans="1:7" x14ac:dyDescent="0.25">
      <c r="A4650">
        <v>1577090631</v>
      </c>
      <c r="B4650" t="s">
        <v>36592</v>
      </c>
      <c r="C4650">
        <v>0</v>
      </c>
      <c r="D4650">
        <v>1</v>
      </c>
      <c r="E4650">
        <v>1865</v>
      </c>
      <c r="F4650">
        <v>3408</v>
      </c>
      <c r="G4650">
        <f t="shared" si="72"/>
        <v>1577090631</v>
      </c>
    </row>
    <row r="4651" spans="1:7" x14ac:dyDescent="0.25">
      <c r="A4651">
        <v>1577090633</v>
      </c>
      <c r="B4651" t="s">
        <v>27297</v>
      </c>
      <c r="C4651">
        <v>0</v>
      </c>
      <c r="D4651">
        <v>1</v>
      </c>
      <c r="E4651">
        <v>38</v>
      </c>
      <c r="F4651">
        <v>6279</v>
      </c>
      <c r="G4651">
        <f t="shared" si="72"/>
        <v>1577090633</v>
      </c>
    </row>
    <row r="4652" spans="1:7" x14ac:dyDescent="0.25">
      <c r="A4652">
        <v>1577091154</v>
      </c>
      <c r="B4652" t="s">
        <v>27298</v>
      </c>
      <c r="C4652">
        <v>0</v>
      </c>
      <c r="D4652">
        <v>1</v>
      </c>
      <c r="E4652">
        <v>26</v>
      </c>
      <c r="F4652">
        <v>6668</v>
      </c>
      <c r="G4652">
        <f t="shared" si="72"/>
        <v>1577091154</v>
      </c>
    </row>
    <row r="4653" spans="1:7" x14ac:dyDescent="0.25">
      <c r="A4653">
        <v>1577091188</v>
      </c>
      <c r="B4653" t="s">
        <v>27299</v>
      </c>
      <c r="C4653">
        <v>25</v>
      </c>
      <c r="D4653">
        <v>3</v>
      </c>
      <c r="E4653">
        <v>16739</v>
      </c>
      <c r="F4653">
        <v>846</v>
      </c>
      <c r="G4653">
        <f t="shared" si="72"/>
        <v>1577091188</v>
      </c>
    </row>
    <row r="4654" spans="1:7" x14ac:dyDescent="0.25">
      <c r="A4654">
        <v>1577091354</v>
      </c>
      <c r="B4654" t="s">
        <v>37159</v>
      </c>
      <c r="C4654">
        <v>0</v>
      </c>
      <c r="D4654">
        <v>1</v>
      </c>
      <c r="E4654">
        <v>5754</v>
      </c>
      <c r="F4654">
        <v>2339</v>
      </c>
      <c r="G4654">
        <f t="shared" si="72"/>
        <v>1577091354</v>
      </c>
    </row>
    <row r="4655" spans="1:7" x14ac:dyDescent="0.25">
      <c r="A4655">
        <v>1577091639</v>
      </c>
      <c r="B4655" t="s">
        <v>27300</v>
      </c>
      <c r="C4655">
        <v>0</v>
      </c>
      <c r="D4655">
        <v>1</v>
      </c>
      <c r="E4655">
        <v>3747</v>
      </c>
      <c r="F4655">
        <v>2822</v>
      </c>
      <c r="G4655">
        <f t="shared" si="72"/>
        <v>1577091639</v>
      </c>
    </row>
    <row r="4656" spans="1:7" x14ac:dyDescent="0.25">
      <c r="A4656">
        <v>1577091833</v>
      </c>
      <c r="B4656" t="s">
        <v>27301</v>
      </c>
      <c r="C4656">
        <v>179</v>
      </c>
      <c r="D4656">
        <v>1</v>
      </c>
      <c r="E4656">
        <v>5949</v>
      </c>
      <c r="F4656">
        <v>2289</v>
      </c>
      <c r="G4656">
        <f t="shared" si="72"/>
        <v>1577091833</v>
      </c>
    </row>
    <row r="4657" spans="1:7" x14ac:dyDescent="0.25">
      <c r="A4657">
        <v>1577091835</v>
      </c>
      <c r="B4657" t="s">
        <v>27302</v>
      </c>
      <c r="C4657">
        <v>0</v>
      </c>
      <c r="D4657">
        <v>3</v>
      </c>
      <c r="E4657">
        <v>12379</v>
      </c>
      <c r="F4657">
        <v>1245</v>
      </c>
      <c r="G4657">
        <f t="shared" si="72"/>
        <v>1577091835</v>
      </c>
    </row>
    <row r="4658" spans="1:7" x14ac:dyDescent="0.25">
      <c r="A4658">
        <v>1577091854</v>
      </c>
      <c r="B4658" t="s">
        <v>27303</v>
      </c>
      <c r="C4658">
        <v>0</v>
      </c>
      <c r="D4658">
        <v>2</v>
      </c>
      <c r="E4658">
        <v>8729</v>
      </c>
      <c r="F4658">
        <v>1763</v>
      </c>
      <c r="G4658">
        <f t="shared" si="72"/>
        <v>1577091854</v>
      </c>
    </row>
    <row r="4659" spans="1:7" x14ac:dyDescent="0.25">
      <c r="A4659">
        <v>1577091894</v>
      </c>
      <c r="B4659" t="s">
        <v>27304</v>
      </c>
      <c r="C4659">
        <v>39</v>
      </c>
      <c r="D4659">
        <v>3</v>
      </c>
      <c r="E4659">
        <v>13813</v>
      </c>
      <c r="F4659">
        <v>1094</v>
      </c>
      <c r="G4659">
        <f t="shared" si="72"/>
        <v>1577091894</v>
      </c>
    </row>
    <row r="4660" spans="1:7" x14ac:dyDescent="0.25">
      <c r="A4660">
        <v>1577091938</v>
      </c>
      <c r="B4660" t="s">
        <v>27305</v>
      </c>
      <c r="C4660">
        <v>218</v>
      </c>
      <c r="D4660">
        <v>1</v>
      </c>
      <c r="E4660">
        <v>4517</v>
      </c>
      <c r="F4660">
        <v>2617</v>
      </c>
      <c r="G4660">
        <f t="shared" si="72"/>
        <v>1577091938</v>
      </c>
    </row>
    <row r="4661" spans="1:7" x14ac:dyDescent="0.25">
      <c r="A4661">
        <v>1577091962</v>
      </c>
      <c r="B4661" t="s">
        <v>27306</v>
      </c>
      <c r="C4661">
        <v>0</v>
      </c>
      <c r="D4661">
        <v>1</v>
      </c>
      <c r="E4661">
        <v>26</v>
      </c>
      <c r="F4661">
        <v>6669</v>
      </c>
      <c r="G4661">
        <f t="shared" si="72"/>
        <v>1577091962</v>
      </c>
    </row>
    <row r="4662" spans="1:7" x14ac:dyDescent="0.25">
      <c r="A4662">
        <v>1577092188</v>
      </c>
      <c r="B4662" t="s">
        <v>27307</v>
      </c>
      <c r="C4662">
        <v>1695</v>
      </c>
      <c r="D4662">
        <v>1</v>
      </c>
      <c r="E4662">
        <v>785</v>
      </c>
      <c r="F4662">
        <v>4242</v>
      </c>
      <c r="G4662">
        <f t="shared" si="72"/>
        <v>1577092188</v>
      </c>
    </row>
    <row r="4663" spans="1:7" x14ac:dyDescent="0.25">
      <c r="A4663">
        <v>1577092458</v>
      </c>
      <c r="B4663" t="s">
        <v>27308</v>
      </c>
      <c r="C4663">
        <v>0</v>
      </c>
      <c r="D4663">
        <v>0</v>
      </c>
      <c r="E4663">
        <v>0</v>
      </c>
      <c r="F4663">
        <v>7742</v>
      </c>
      <c r="G4663">
        <f t="shared" si="72"/>
        <v>1577092458</v>
      </c>
    </row>
    <row r="4664" spans="1:7" x14ac:dyDescent="0.25">
      <c r="A4664">
        <v>1577092628</v>
      </c>
      <c r="B4664" t="s">
        <v>36593</v>
      </c>
      <c r="C4664">
        <v>0</v>
      </c>
      <c r="D4664">
        <v>1</v>
      </c>
      <c r="E4664">
        <v>26</v>
      </c>
      <c r="F4664">
        <v>6670</v>
      </c>
      <c r="G4664">
        <f t="shared" si="72"/>
        <v>1577092628</v>
      </c>
    </row>
    <row r="4665" spans="1:7" x14ac:dyDescent="0.25">
      <c r="A4665">
        <v>1577092645</v>
      </c>
      <c r="B4665" t="s">
        <v>36594</v>
      </c>
      <c r="C4665">
        <v>0</v>
      </c>
      <c r="D4665">
        <v>1</v>
      </c>
      <c r="E4665">
        <v>184</v>
      </c>
      <c r="F4665">
        <v>5568</v>
      </c>
      <c r="G4665">
        <f t="shared" si="72"/>
        <v>1577092645</v>
      </c>
    </row>
    <row r="4666" spans="1:7" x14ac:dyDescent="0.25">
      <c r="A4666">
        <v>1577092653</v>
      </c>
      <c r="B4666" t="s">
        <v>27309</v>
      </c>
      <c r="C4666">
        <v>1695</v>
      </c>
      <c r="D4666">
        <v>1</v>
      </c>
      <c r="E4666">
        <v>1660</v>
      </c>
      <c r="F4666">
        <v>3517</v>
      </c>
      <c r="G4666">
        <f t="shared" si="72"/>
        <v>1577092653</v>
      </c>
    </row>
    <row r="4667" spans="1:7" x14ac:dyDescent="0.25">
      <c r="A4667">
        <v>1577093467</v>
      </c>
      <c r="B4667" t="s">
        <v>27310</v>
      </c>
      <c r="C4667">
        <v>1791</v>
      </c>
      <c r="D4667">
        <v>1</v>
      </c>
      <c r="E4667">
        <v>747</v>
      </c>
      <c r="F4667">
        <v>4269</v>
      </c>
      <c r="G4667">
        <f t="shared" si="72"/>
        <v>1577093467</v>
      </c>
    </row>
    <row r="4668" spans="1:7" x14ac:dyDescent="0.25">
      <c r="A4668">
        <v>1577093582</v>
      </c>
      <c r="B4668" t="s">
        <v>27311</v>
      </c>
      <c r="C4668">
        <v>0</v>
      </c>
      <c r="D4668">
        <v>1</v>
      </c>
      <c r="E4668">
        <v>210</v>
      </c>
      <c r="F4668">
        <v>5460</v>
      </c>
      <c r="G4668">
        <f t="shared" si="72"/>
        <v>1577093582</v>
      </c>
    </row>
    <row r="4669" spans="1:7" x14ac:dyDescent="0.25">
      <c r="A4669">
        <v>1577093641</v>
      </c>
      <c r="B4669" t="s">
        <v>27312</v>
      </c>
      <c r="C4669">
        <v>320</v>
      </c>
      <c r="D4669">
        <v>1</v>
      </c>
      <c r="E4669">
        <v>4198</v>
      </c>
      <c r="F4669">
        <v>2716</v>
      </c>
      <c r="G4669">
        <f t="shared" si="72"/>
        <v>1577093641</v>
      </c>
    </row>
    <row r="4670" spans="1:7" x14ac:dyDescent="0.25">
      <c r="A4670">
        <v>1577093738</v>
      </c>
      <c r="B4670" t="s">
        <v>27313</v>
      </c>
      <c r="C4670">
        <v>270</v>
      </c>
      <c r="D4670">
        <v>1</v>
      </c>
      <c r="E4670">
        <v>6308</v>
      </c>
      <c r="F4670">
        <v>2211</v>
      </c>
      <c r="G4670">
        <f t="shared" si="72"/>
        <v>1577093738</v>
      </c>
    </row>
    <row r="4671" spans="1:7" x14ac:dyDescent="0.25">
      <c r="A4671">
        <v>1577093821</v>
      </c>
      <c r="B4671" t="s">
        <v>27314</v>
      </c>
      <c r="C4671">
        <v>1143</v>
      </c>
      <c r="D4671">
        <v>1</v>
      </c>
      <c r="E4671">
        <v>6087</v>
      </c>
      <c r="F4671">
        <v>2256</v>
      </c>
      <c r="G4671">
        <f t="shared" si="72"/>
        <v>1577093821</v>
      </c>
    </row>
    <row r="4672" spans="1:7" x14ac:dyDescent="0.25">
      <c r="A4672">
        <v>1577093849</v>
      </c>
      <c r="B4672" t="s">
        <v>36595</v>
      </c>
      <c r="C4672">
        <v>0</v>
      </c>
      <c r="D4672">
        <v>1</v>
      </c>
      <c r="E4672">
        <v>2369</v>
      </c>
      <c r="F4672">
        <v>3184</v>
      </c>
      <c r="G4672">
        <f t="shared" si="72"/>
        <v>1577093849</v>
      </c>
    </row>
    <row r="4673" spans="1:7" x14ac:dyDescent="0.25">
      <c r="A4673">
        <v>1577093962</v>
      </c>
      <c r="B4673" t="s">
        <v>27315</v>
      </c>
      <c r="C4673">
        <v>333</v>
      </c>
      <c r="D4673">
        <v>1</v>
      </c>
      <c r="E4673">
        <v>6173</v>
      </c>
      <c r="F4673">
        <v>2241</v>
      </c>
      <c r="G4673">
        <f t="shared" ref="G4673:G4736" si="73">A4673</f>
        <v>1577093962</v>
      </c>
    </row>
    <row r="4674" spans="1:7" x14ac:dyDescent="0.25">
      <c r="A4674">
        <v>1577094156</v>
      </c>
      <c r="B4674" t="s">
        <v>27316</v>
      </c>
      <c r="C4674">
        <v>1828</v>
      </c>
      <c r="D4674">
        <v>1</v>
      </c>
      <c r="E4674">
        <v>385</v>
      </c>
      <c r="F4674">
        <v>4924</v>
      </c>
      <c r="G4674">
        <f t="shared" si="73"/>
        <v>1577094156</v>
      </c>
    </row>
    <row r="4675" spans="1:7" x14ac:dyDescent="0.25">
      <c r="A4675">
        <v>1577094291</v>
      </c>
      <c r="B4675" t="s">
        <v>27317</v>
      </c>
      <c r="C4675">
        <v>0</v>
      </c>
      <c r="D4675">
        <v>1</v>
      </c>
      <c r="E4675">
        <v>1938</v>
      </c>
      <c r="F4675">
        <v>3386</v>
      </c>
      <c r="G4675">
        <f t="shared" si="73"/>
        <v>1577094291</v>
      </c>
    </row>
    <row r="4676" spans="1:7" x14ac:dyDescent="0.25">
      <c r="A4676">
        <v>1577094364</v>
      </c>
      <c r="B4676" t="s">
        <v>36596</v>
      </c>
      <c r="C4676">
        <v>0</v>
      </c>
      <c r="D4676">
        <v>0</v>
      </c>
      <c r="E4676">
        <v>0</v>
      </c>
      <c r="F4676">
        <v>7743</v>
      </c>
      <c r="G4676">
        <f t="shared" si="73"/>
        <v>1577094364</v>
      </c>
    </row>
    <row r="4677" spans="1:7" x14ac:dyDescent="0.25">
      <c r="A4677">
        <v>1577094377</v>
      </c>
      <c r="B4677" t="s">
        <v>27318</v>
      </c>
      <c r="C4677">
        <v>325</v>
      </c>
      <c r="D4677">
        <v>1</v>
      </c>
      <c r="E4677">
        <v>26</v>
      </c>
      <c r="F4677">
        <v>6671</v>
      </c>
      <c r="G4677">
        <f t="shared" si="73"/>
        <v>1577094377</v>
      </c>
    </row>
    <row r="4678" spans="1:7" x14ac:dyDescent="0.25">
      <c r="A4678">
        <v>1577094462</v>
      </c>
      <c r="B4678" t="s">
        <v>27319</v>
      </c>
      <c r="C4678">
        <v>160</v>
      </c>
      <c r="D4678">
        <v>3</v>
      </c>
      <c r="E4678">
        <v>14323</v>
      </c>
      <c r="F4678">
        <v>1048</v>
      </c>
      <c r="G4678">
        <f t="shared" si="73"/>
        <v>1577094462</v>
      </c>
    </row>
    <row r="4679" spans="1:7" x14ac:dyDescent="0.25">
      <c r="A4679">
        <v>1577094527</v>
      </c>
      <c r="B4679" t="s">
        <v>27320</v>
      </c>
      <c r="C4679">
        <v>6</v>
      </c>
      <c r="D4679">
        <v>3</v>
      </c>
      <c r="E4679">
        <v>15507</v>
      </c>
      <c r="F4679">
        <v>946</v>
      </c>
      <c r="G4679">
        <f t="shared" si="73"/>
        <v>1577094527</v>
      </c>
    </row>
    <row r="4680" spans="1:7" x14ac:dyDescent="0.25">
      <c r="A4680">
        <v>1577094544</v>
      </c>
      <c r="B4680" t="s">
        <v>36597</v>
      </c>
      <c r="C4680">
        <v>349</v>
      </c>
      <c r="D4680">
        <v>1</v>
      </c>
      <c r="E4680">
        <v>491</v>
      </c>
      <c r="F4680">
        <v>4664</v>
      </c>
      <c r="G4680">
        <f t="shared" si="73"/>
        <v>1577094544</v>
      </c>
    </row>
    <row r="4681" spans="1:7" x14ac:dyDescent="0.25">
      <c r="A4681">
        <v>1577094660</v>
      </c>
      <c r="B4681" t="s">
        <v>27321</v>
      </c>
      <c r="C4681">
        <v>0</v>
      </c>
      <c r="D4681">
        <v>1</v>
      </c>
      <c r="E4681">
        <v>32</v>
      </c>
      <c r="F4681">
        <v>6310</v>
      </c>
      <c r="G4681">
        <f t="shared" si="73"/>
        <v>1577094660</v>
      </c>
    </row>
    <row r="4682" spans="1:7" x14ac:dyDescent="0.25">
      <c r="A4682">
        <v>1577094869</v>
      </c>
      <c r="B4682" t="s">
        <v>27322</v>
      </c>
      <c r="C4682">
        <v>0</v>
      </c>
      <c r="D4682">
        <v>0</v>
      </c>
      <c r="E4682">
        <v>0</v>
      </c>
      <c r="F4682">
        <v>7744</v>
      </c>
      <c r="G4682">
        <f t="shared" si="73"/>
        <v>1577094869</v>
      </c>
    </row>
    <row r="4683" spans="1:7" x14ac:dyDescent="0.25">
      <c r="A4683">
        <v>1577094871</v>
      </c>
      <c r="B4683" t="s">
        <v>27323</v>
      </c>
      <c r="C4683">
        <v>0</v>
      </c>
      <c r="D4683">
        <v>1</v>
      </c>
      <c r="E4683">
        <v>268</v>
      </c>
      <c r="F4683">
        <v>5231</v>
      </c>
      <c r="G4683">
        <f t="shared" si="73"/>
        <v>1577094871</v>
      </c>
    </row>
    <row r="4684" spans="1:7" x14ac:dyDescent="0.25">
      <c r="A4684">
        <v>1577095027</v>
      </c>
      <c r="B4684" t="s">
        <v>36598</v>
      </c>
      <c r="C4684">
        <v>0</v>
      </c>
      <c r="D4684">
        <v>0</v>
      </c>
      <c r="E4684">
        <v>0</v>
      </c>
      <c r="F4684">
        <v>7745</v>
      </c>
      <c r="G4684">
        <f t="shared" si="73"/>
        <v>1577095027</v>
      </c>
    </row>
    <row r="4685" spans="1:7" x14ac:dyDescent="0.25">
      <c r="A4685">
        <v>1577095360</v>
      </c>
      <c r="B4685" t="s">
        <v>37437</v>
      </c>
      <c r="C4685">
        <v>0</v>
      </c>
      <c r="D4685">
        <v>1</v>
      </c>
      <c r="E4685">
        <v>66</v>
      </c>
      <c r="F4685">
        <v>6233</v>
      </c>
      <c r="G4685">
        <f t="shared" si="73"/>
        <v>1577095360</v>
      </c>
    </row>
    <row r="4686" spans="1:7" x14ac:dyDescent="0.25">
      <c r="A4686">
        <v>1577095540</v>
      </c>
      <c r="B4686" t="s">
        <v>27324</v>
      </c>
      <c r="C4686">
        <v>0</v>
      </c>
      <c r="D4686">
        <v>1</v>
      </c>
      <c r="E4686">
        <v>112</v>
      </c>
      <c r="F4686">
        <v>5807</v>
      </c>
      <c r="G4686">
        <f t="shared" si="73"/>
        <v>1577095540</v>
      </c>
    </row>
    <row r="4687" spans="1:7" x14ac:dyDescent="0.25">
      <c r="A4687">
        <v>1577095626</v>
      </c>
      <c r="B4687" t="s">
        <v>27325</v>
      </c>
      <c r="C4687">
        <v>0</v>
      </c>
      <c r="D4687">
        <v>1</v>
      </c>
      <c r="E4687">
        <v>35</v>
      </c>
      <c r="F4687">
        <v>6672</v>
      </c>
      <c r="G4687">
        <f t="shared" si="73"/>
        <v>1577095626</v>
      </c>
    </row>
    <row r="4688" spans="1:7" x14ac:dyDescent="0.25">
      <c r="A4688">
        <v>1577095743</v>
      </c>
      <c r="B4688" t="s">
        <v>37320</v>
      </c>
      <c r="C4688">
        <v>0</v>
      </c>
      <c r="D4688">
        <v>0</v>
      </c>
      <c r="E4688">
        <v>0</v>
      </c>
      <c r="F4688">
        <v>7746</v>
      </c>
      <c r="G4688">
        <f t="shared" si="73"/>
        <v>1577095743</v>
      </c>
    </row>
    <row r="4689" spans="1:7" x14ac:dyDescent="0.25">
      <c r="A4689">
        <v>1577096184</v>
      </c>
      <c r="B4689" t="s">
        <v>36599</v>
      </c>
      <c r="C4689">
        <v>882</v>
      </c>
      <c r="D4689">
        <v>6</v>
      </c>
      <c r="E4689">
        <v>28591</v>
      </c>
      <c r="F4689">
        <v>281</v>
      </c>
      <c r="G4689">
        <f t="shared" si="73"/>
        <v>1577096184</v>
      </c>
    </row>
    <row r="4690" spans="1:7" x14ac:dyDescent="0.25">
      <c r="A4690">
        <v>1577096268</v>
      </c>
      <c r="B4690" t="s">
        <v>27326</v>
      </c>
      <c r="C4690">
        <v>0</v>
      </c>
      <c r="D4690">
        <v>1</v>
      </c>
      <c r="E4690">
        <v>54</v>
      </c>
      <c r="F4690">
        <v>6136</v>
      </c>
      <c r="G4690">
        <f t="shared" si="73"/>
        <v>1577096268</v>
      </c>
    </row>
    <row r="4691" spans="1:7" x14ac:dyDescent="0.25">
      <c r="A4691">
        <v>1577096307</v>
      </c>
      <c r="B4691" t="s">
        <v>36600</v>
      </c>
      <c r="C4691">
        <v>0</v>
      </c>
      <c r="D4691">
        <v>1</v>
      </c>
      <c r="E4691">
        <v>3986</v>
      </c>
      <c r="F4691">
        <v>2772</v>
      </c>
      <c r="G4691">
        <f t="shared" si="73"/>
        <v>1577096307</v>
      </c>
    </row>
    <row r="4692" spans="1:7" x14ac:dyDescent="0.25">
      <c r="A4692">
        <v>1577096334</v>
      </c>
      <c r="B4692" t="s">
        <v>27327</v>
      </c>
      <c r="C4692">
        <v>0</v>
      </c>
      <c r="D4692">
        <v>0</v>
      </c>
      <c r="E4692">
        <v>0</v>
      </c>
      <c r="F4692">
        <v>7747</v>
      </c>
      <c r="G4692">
        <f t="shared" si="73"/>
        <v>1577096334</v>
      </c>
    </row>
    <row r="4693" spans="1:7" x14ac:dyDescent="0.25">
      <c r="A4693">
        <v>1577096372</v>
      </c>
      <c r="B4693" t="s">
        <v>27328</v>
      </c>
      <c r="C4693">
        <v>1373</v>
      </c>
      <c r="D4693">
        <v>2</v>
      </c>
      <c r="E4693">
        <v>5274</v>
      </c>
      <c r="F4693">
        <v>2456</v>
      </c>
      <c r="G4693">
        <f t="shared" si="73"/>
        <v>1577096372</v>
      </c>
    </row>
    <row r="4694" spans="1:7" x14ac:dyDescent="0.25">
      <c r="A4694">
        <v>1577096460</v>
      </c>
      <c r="B4694" t="s">
        <v>27329</v>
      </c>
      <c r="C4694">
        <v>0</v>
      </c>
      <c r="D4694">
        <v>1</v>
      </c>
      <c r="E4694">
        <v>360</v>
      </c>
      <c r="F4694">
        <v>4953</v>
      </c>
      <c r="G4694">
        <f t="shared" si="73"/>
        <v>1577096460</v>
      </c>
    </row>
    <row r="4695" spans="1:7" x14ac:dyDescent="0.25">
      <c r="A4695">
        <v>1577096644</v>
      </c>
      <c r="B4695" t="s">
        <v>27330</v>
      </c>
      <c r="C4695">
        <v>215</v>
      </c>
      <c r="D4695">
        <v>3</v>
      </c>
      <c r="E4695">
        <v>12500</v>
      </c>
      <c r="F4695">
        <v>1578</v>
      </c>
      <c r="G4695">
        <f t="shared" si="73"/>
        <v>1577096644</v>
      </c>
    </row>
    <row r="4696" spans="1:7" x14ac:dyDescent="0.25">
      <c r="A4696">
        <v>1577096661</v>
      </c>
      <c r="B4696" t="s">
        <v>27331</v>
      </c>
      <c r="C4696">
        <v>0</v>
      </c>
      <c r="D4696">
        <v>1</v>
      </c>
      <c r="E4696">
        <v>104</v>
      </c>
      <c r="F4696">
        <v>5833</v>
      </c>
      <c r="G4696">
        <f t="shared" si="73"/>
        <v>1577096661</v>
      </c>
    </row>
    <row r="4697" spans="1:7" x14ac:dyDescent="0.25">
      <c r="A4697">
        <v>1577096999</v>
      </c>
      <c r="B4697" t="s">
        <v>27332</v>
      </c>
      <c r="C4697">
        <v>882</v>
      </c>
      <c r="D4697">
        <v>3</v>
      </c>
      <c r="E4697">
        <v>15120</v>
      </c>
      <c r="F4697">
        <v>986</v>
      </c>
      <c r="G4697">
        <f t="shared" si="73"/>
        <v>1577096999</v>
      </c>
    </row>
    <row r="4698" spans="1:7" x14ac:dyDescent="0.25">
      <c r="A4698">
        <v>1577097018</v>
      </c>
      <c r="B4698" t="s">
        <v>27333</v>
      </c>
      <c r="C4698">
        <v>333</v>
      </c>
      <c r="D4698">
        <v>7</v>
      </c>
      <c r="E4698">
        <v>37355</v>
      </c>
      <c r="F4698">
        <v>114</v>
      </c>
      <c r="G4698">
        <f t="shared" si="73"/>
        <v>1577097018</v>
      </c>
    </row>
    <row r="4699" spans="1:7" x14ac:dyDescent="0.25">
      <c r="A4699">
        <v>1577097052</v>
      </c>
      <c r="B4699" t="s">
        <v>27334</v>
      </c>
      <c r="C4699">
        <v>584</v>
      </c>
      <c r="D4699">
        <v>0</v>
      </c>
      <c r="E4699">
        <v>0</v>
      </c>
      <c r="F4699">
        <v>7748</v>
      </c>
      <c r="G4699">
        <f t="shared" si="73"/>
        <v>1577097052</v>
      </c>
    </row>
    <row r="4700" spans="1:7" x14ac:dyDescent="0.25">
      <c r="A4700">
        <v>1577097085</v>
      </c>
      <c r="B4700" t="s">
        <v>27335</v>
      </c>
      <c r="C4700">
        <v>1914</v>
      </c>
      <c r="D4700">
        <v>1</v>
      </c>
      <c r="E4700">
        <v>1068</v>
      </c>
      <c r="F4700">
        <v>3903</v>
      </c>
      <c r="G4700">
        <f t="shared" si="73"/>
        <v>1577097085</v>
      </c>
    </row>
    <row r="4701" spans="1:7" x14ac:dyDescent="0.25">
      <c r="A4701">
        <v>1577097155</v>
      </c>
      <c r="B4701" t="s">
        <v>37453</v>
      </c>
      <c r="C4701">
        <v>0</v>
      </c>
      <c r="D4701">
        <v>1</v>
      </c>
      <c r="E4701">
        <v>52</v>
      </c>
      <c r="F4701">
        <v>8486</v>
      </c>
      <c r="G4701">
        <f t="shared" si="73"/>
        <v>1577097155</v>
      </c>
    </row>
    <row r="4702" spans="1:7" x14ac:dyDescent="0.25">
      <c r="A4702">
        <v>1577097288</v>
      </c>
      <c r="B4702" t="s">
        <v>27336</v>
      </c>
      <c r="C4702">
        <v>0</v>
      </c>
      <c r="D4702">
        <v>0</v>
      </c>
      <c r="E4702">
        <v>0</v>
      </c>
      <c r="F4702">
        <v>7749</v>
      </c>
      <c r="G4702">
        <f t="shared" si="73"/>
        <v>1577097288</v>
      </c>
    </row>
    <row r="4703" spans="1:7" x14ac:dyDescent="0.25">
      <c r="A4703">
        <v>1577097364</v>
      </c>
      <c r="B4703" t="s">
        <v>27337</v>
      </c>
      <c r="C4703">
        <v>106</v>
      </c>
      <c r="D4703">
        <v>1</v>
      </c>
      <c r="E4703">
        <v>1991</v>
      </c>
      <c r="F4703">
        <v>3360</v>
      </c>
      <c r="G4703">
        <f t="shared" si="73"/>
        <v>1577097364</v>
      </c>
    </row>
    <row r="4704" spans="1:7" x14ac:dyDescent="0.25">
      <c r="A4704">
        <v>1577098485</v>
      </c>
      <c r="B4704" t="s">
        <v>27338</v>
      </c>
      <c r="C4704">
        <v>1412</v>
      </c>
      <c r="D4704">
        <v>1</v>
      </c>
      <c r="E4704">
        <v>2759</v>
      </c>
      <c r="F4704">
        <v>3053</v>
      </c>
      <c r="G4704">
        <f t="shared" si="73"/>
        <v>1577098485</v>
      </c>
    </row>
    <row r="4705" spans="1:7" x14ac:dyDescent="0.25">
      <c r="A4705">
        <v>1577098495</v>
      </c>
      <c r="B4705" t="s">
        <v>27339</v>
      </c>
      <c r="C4705">
        <v>0</v>
      </c>
      <c r="D4705">
        <v>1</v>
      </c>
      <c r="E4705">
        <v>26</v>
      </c>
      <c r="F4705">
        <v>6673</v>
      </c>
      <c r="G4705">
        <f t="shared" si="73"/>
        <v>1577098495</v>
      </c>
    </row>
    <row r="4706" spans="1:7" x14ac:dyDescent="0.25">
      <c r="A4706">
        <v>1577098647</v>
      </c>
      <c r="B4706" t="s">
        <v>27340</v>
      </c>
      <c r="C4706">
        <v>0</v>
      </c>
      <c r="D4706">
        <v>1</v>
      </c>
      <c r="E4706">
        <v>26</v>
      </c>
      <c r="F4706">
        <v>6674</v>
      </c>
      <c r="G4706">
        <f t="shared" si="73"/>
        <v>1577098647</v>
      </c>
    </row>
    <row r="4707" spans="1:7" x14ac:dyDescent="0.25">
      <c r="A4707">
        <v>1577098739</v>
      </c>
      <c r="B4707" t="s">
        <v>27341</v>
      </c>
      <c r="C4707">
        <v>20</v>
      </c>
      <c r="D4707">
        <v>4</v>
      </c>
      <c r="E4707">
        <v>19753</v>
      </c>
      <c r="F4707">
        <v>636</v>
      </c>
      <c r="G4707">
        <f t="shared" si="73"/>
        <v>1577098739</v>
      </c>
    </row>
    <row r="4708" spans="1:7" x14ac:dyDescent="0.25">
      <c r="A4708">
        <v>1577099191</v>
      </c>
      <c r="B4708" t="s">
        <v>27342</v>
      </c>
      <c r="C4708">
        <v>274</v>
      </c>
      <c r="D4708">
        <v>4</v>
      </c>
      <c r="E4708">
        <v>20373</v>
      </c>
      <c r="F4708">
        <v>602</v>
      </c>
      <c r="G4708">
        <f t="shared" si="73"/>
        <v>1577099191</v>
      </c>
    </row>
    <row r="4709" spans="1:7" x14ac:dyDescent="0.25">
      <c r="A4709">
        <v>1577099308</v>
      </c>
      <c r="B4709" t="s">
        <v>36601</v>
      </c>
      <c r="C4709">
        <v>0</v>
      </c>
      <c r="D4709">
        <v>1</v>
      </c>
      <c r="E4709">
        <v>199</v>
      </c>
      <c r="F4709">
        <v>5501</v>
      </c>
      <c r="G4709">
        <f t="shared" si="73"/>
        <v>1577099308</v>
      </c>
    </row>
    <row r="4710" spans="1:7" x14ac:dyDescent="0.25">
      <c r="A4710">
        <v>1577099364</v>
      </c>
      <c r="B4710" t="s">
        <v>27343</v>
      </c>
      <c r="C4710">
        <v>0</v>
      </c>
      <c r="D4710">
        <v>1</v>
      </c>
      <c r="E4710">
        <v>354</v>
      </c>
      <c r="F4710">
        <v>4970</v>
      </c>
      <c r="G4710">
        <f t="shared" si="73"/>
        <v>1577099364</v>
      </c>
    </row>
    <row r="4711" spans="1:7" x14ac:dyDescent="0.25">
      <c r="A4711">
        <v>1577099555</v>
      </c>
      <c r="B4711" t="s">
        <v>27344</v>
      </c>
      <c r="C4711">
        <v>0</v>
      </c>
      <c r="D4711">
        <v>0</v>
      </c>
      <c r="E4711">
        <v>0</v>
      </c>
      <c r="F4711">
        <v>7750</v>
      </c>
      <c r="G4711">
        <f t="shared" si="73"/>
        <v>1577099555</v>
      </c>
    </row>
    <row r="4712" spans="1:7" x14ac:dyDescent="0.25">
      <c r="A4712">
        <v>1577099646</v>
      </c>
      <c r="B4712" t="s">
        <v>36602</v>
      </c>
      <c r="C4712">
        <v>0</v>
      </c>
      <c r="D4712">
        <v>1</v>
      </c>
      <c r="E4712">
        <v>5688</v>
      </c>
      <c r="F4712">
        <v>2353</v>
      </c>
      <c r="G4712">
        <f t="shared" si="73"/>
        <v>1577099646</v>
      </c>
    </row>
    <row r="4713" spans="1:7" x14ac:dyDescent="0.25">
      <c r="A4713">
        <v>1577100019</v>
      </c>
      <c r="B4713" t="s">
        <v>27345</v>
      </c>
      <c r="C4713">
        <v>1163</v>
      </c>
      <c r="D4713">
        <v>0</v>
      </c>
      <c r="E4713">
        <v>0</v>
      </c>
      <c r="F4713">
        <v>7751</v>
      </c>
      <c r="G4713">
        <f t="shared" si="73"/>
        <v>1577100019</v>
      </c>
    </row>
    <row r="4714" spans="1:7" x14ac:dyDescent="0.25">
      <c r="A4714">
        <v>1577100364</v>
      </c>
      <c r="B4714" t="s">
        <v>27346</v>
      </c>
      <c r="C4714">
        <v>760</v>
      </c>
      <c r="D4714">
        <v>6</v>
      </c>
      <c r="E4714">
        <v>27486</v>
      </c>
      <c r="F4714">
        <v>317</v>
      </c>
      <c r="G4714">
        <f t="shared" si="73"/>
        <v>1577100364</v>
      </c>
    </row>
    <row r="4715" spans="1:7" x14ac:dyDescent="0.25">
      <c r="A4715">
        <v>1577100408</v>
      </c>
      <c r="B4715" t="s">
        <v>27347</v>
      </c>
      <c r="C4715">
        <v>58</v>
      </c>
      <c r="D4715">
        <v>2</v>
      </c>
      <c r="E4715">
        <v>8781</v>
      </c>
      <c r="F4715">
        <v>1758</v>
      </c>
      <c r="G4715">
        <f t="shared" si="73"/>
        <v>1577100408</v>
      </c>
    </row>
    <row r="4716" spans="1:7" x14ac:dyDescent="0.25">
      <c r="A4716">
        <v>1577100645</v>
      </c>
      <c r="B4716" t="s">
        <v>27348</v>
      </c>
      <c r="C4716">
        <v>0</v>
      </c>
      <c r="D4716">
        <v>0</v>
      </c>
      <c r="E4716">
        <v>0</v>
      </c>
      <c r="F4716">
        <v>7752</v>
      </c>
      <c r="G4716">
        <f t="shared" si="73"/>
        <v>1577100645</v>
      </c>
    </row>
    <row r="4717" spans="1:7" x14ac:dyDescent="0.25">
      <c r="A4717">
        <v>1577100746</v>
      </c>
      <c r="B4717" t="s">
        <v>27349</v>
      </c>
      <c r="C4717">
        <v>0</v>
      </c>
      <c r="D4717">
        <v>0</v>
      </c>
      <c r="E4717">
        <v>0</v>
      </c>
      <c r="F4717">
        <v>7753</v>
      </c>
      <c r="G4717">
        <f t="shared" si="73"/>
        <v>1577100746</v>
      </c>
    </row>
    <row r="4718" spans="1:7" x14ac:dyDescent="0.25">
      <c r="A4718">
        <v>1577100748</v>
      </c>
      <c r="B4718" t="s">
        <v>27350</v>
      </c>
      <c r="C4718">
        <v>0</v>
      </c>
      <c r="D4718">
        <v>0</v>
      </c>
      <c r="E4718">
        <v>0</v>
      </c>
      <c r="F4718">
        <v>7754</v>
      </c>
      <c r="G4718">
        <f t="shared" si="73"/>
        <v>1577100748</v>
      </c>
    </row>
    <row r="4719" spans="1:7" x14ac:dyDescent="0.25">
      <c r="A4719">
        <v>1577100839</v>
      </c>
      <c r="B4719" t="s">
        <v>37016</v>
      </c>
      <c r="C4719">
        <v>0</v>
      </c>
      <c r="D4719">
        <v>1</v>
      </c>
      <c r="E4719">
        <v>26</v>
      </c>
      <c r="F4719">
        <v>6675</v>
      </c>
      <c r="G4719">
        <f t="shared" si="73"/>
        <v>1577100839</v>
      </c>
    </row>
    <row r="4720" spans="1:7" x14ac:dyDescent="0.25">
      <c r="A4720">
        <v>1577101022</v>
      </c>
      <c r="B4720" t="s">
        <v>27351</v>
      </c>
      <c r="C4720">
        <v>1791</v>
      </c>
      <c r="D4720">
        <v>0</v>
      </c>
      <c r="E4720">
        <v>0</v>
      </c>
      <c r="F4720">
        <v>7755</v>
      </c>
      <c r="G4720">
        <f t="shared" si="73"/>
        <v>1577101022</v>
      </c>
    </row>
    <row r="4721" spans="1:7" x14ac:dyDescent="0.25">
      <c r="A4721">
        <v>1577101089</v>
      </c>
      <c r="B4721" t="s">
        <v>27352</v>
      </c>
      <c r="C4721">
        <v>0</v>
      </c>
      <c r="D4721">
        <v>0</v>
      </c>
      <c r="E4721">
        <v>0</v>
      </c>
      <c r="F4721">
        <v>7756</v>
      </c>
      <c r="G4721">
        <f t="shared" si="73"/>
        <v>1577101089</v>
      </c>
    </row>
    <row r="4722" spans="1:7" x14ac:dyDescent="0.25">
      <c r="A4722">
        <v>1577101120</v>
      </c>
      <c r="B4722" t="s">
        <v>27353</v>
      </c>
      <c r="C4722">
        <v>0</v>
      </c>
      <c r="D4722">
        <v>1</v>
      </c>
      <c r="E4722">
        <v>94</v>
      </c>
      <c r="F4722">
        <v>5915</v>
      </c>
      <c r="G4722">
        <f t="shared" si="73"/>
        <v>1577101120</v>
      </c>
    </row>
    <row r="4723" spans="1:7" x14ac:dyDescent="0.25">
      <c r="A4723">
        <v>1577101143</v>
      </c>
      <c r="B4723" t="s">
        <v>27354</v>
      </c>
      <c r="C4723">
        <v>424</v>
      </c>
      <c r="D4723">
        <v>2</v>
      </c>
      <c r="E4723">
        <v>10132</v>
      </c>
      <c r="F4723">
        <v>1548</v>
      </c>
      <c r="G4723">
        <f t="shared" si="73"/>
        <v>1577101143</v>
      </c>
    </row>
    <row r="4724" spans="1:7" x14ac:dyDescent="0.25">
      <c r="A4724">
        <v>1577101311</v>
      </c>
      <c r="B4724" t="s">
        <v>27355</v>
      </c>
      <c r="C4724">
        <v>537</v>
      </c>
      <c r="D4724">
        <v>1</v>
      </c>
      <c r="E4724">
        <v>5145</v>
      </c>
      <c r="F4724">
        <v>2480</v>
      </c>
      <c r="G4724">
        <f t="shared" si="73"/>
        <v>1577101311</v>
      </c>
    </row>
    <row r="4725" spans="1:7" x14ac:dyDescent="0.25">
      <c r="A4725">
        <v>1577101513</v>
      </c>
      <c r="B4725" t="s">
        <v>27356</v>
      </c>
      <c r="C4725">
        <v>53</v>
      </c>
      <c r="D4725">
        <v>3</v>
      </c>
      <c r="E4725">
        <v>12331</v>
      </c>
      <c r="F4725">
        <v>1254</v>
      </c>
      <c r="G4725">
        <f t="shared" si="73"/>
        <v>1577101513</v>
      </c>
    </row>
    <row r="4726" spans="1:7" x14ac:dyDescent="0.25">
      <c r="A4726">
        <v>1577101707</v>
      </c>
      <c r="B4726" t="s">
        <v>27357</v>
      </c>
      <c r="C4726">
        <v>235</v>
      </c>
      <c r="D4726">
        <v>1</v>
      </c>
      <c r="E4726">
        <v>26</v>
      </c>
      <c r="F4726">
        <v>6676</v>
      </c>
      <c r="G4726">
        <f t="shared" si="73"/>
        <v>1577101707</v>
      </c>
    </row>
    <row r="4727" spans="1:7" x14ac:dyDescent="0.25">
      <c r="A4727">
        <v>1577101723</v>
      </c>
      <c r="B4727" t="s">
        <v>36603</v>
      </c>
      <c r="C4727">
        <v>199</v>
      </c>
      <c r="D4727">
        <v>2</v>
      </c>
      <c r="E4727">
        <v>9956</v>
      </c>
      <c r="F4727">
        <v>1570</v>
      </c>
      <c r="G4727">
        <f t="shared" si="73"/>
        <v>1577101723</v>
      </c>
    </row>
    <row r="4728" spans="1:7" x14ac:dyDescent="0.25">
      <c r="A4728">
        <v>1577101750</v>
      </c>
      <c r="B4728" t="s">
        <v>27358</v>
      </c>
      <c r="C4728">
        <v>1758</v>
      </c>
      <c r="D4728">
        <v>1</v>
      </c>
      <c r="E4728">
        <v>4716</v>
      </c>
      <c r="F4728">
        <v>2573</v>
      </c>
      <c r="G4728">
        <f t="shared" si="73"/>
        <v>1577101750</v>
      </c>
    </row>
    <row r="4729" spans="1:7" x14ac:dyDescent="0.25">
      <c r="A4729">
        <v>1577101754</v>
      </c>
      <c r="B4729" t="s">
        <v>27359</v>
      </c>
      <c r="C4729">
        <v>0</v>
      </c>
      <c r="D4729">
        <v>0</v>
      </c>
      <c r="E4729">
        <v>0</v>
      </c>
      <c r="F4729">
        <v>7757</v>
      </c>
      <c r="G4729">
        <f t="shared" si="73"/>
        <v>1577101754</v>
      </c>
    </row>
    <row r="4730" spans="1:7" x14ac:dyDescent="0.25">
      <c r="A4730">
        <v>1577101760</v>
      </c>
      <c r="B4730" t="s">
        <v>37058</v>
      </c>
      <c r="C4730">
        <v>333</v>
      </c>
      <c r="D4730">
        <v>0</v>
      </c>
      <c r="E4730">
        <v>0</v>
      </c>
      <c r="F4730">
        <v>7758</v>
      </c>
      <c r="G4730">
        <f t="shared" si="73"/>
        <v>1577101760</v>
      </c>
    </row>
    <row r="4731" spans="1:7" x14ac:dyDescent="0.25">
      <c r="A4731">
        <v>1577101983</v>
      </c>
      <c r="B4731" t="s">
        <v>27360</v>
      </c>
      <c r="C4731">
        <v>0</v>
      </c>
      <c r="D4731">
        <v>1</v>
      </c>
      <c r="E4731">
        <v>251</v>
      </c>
      <c r="F4731">
        <v>5297</v>
      </c>
      <c r="G4731">
        <f t="shared" si="73"/>
        <v>1577101983</v>
      </c>
    </row>
    <row r="4732" spans="1:7" x14ac:dyDescent="0.25">
      <c r="A4732">
        <v>1577102245</v>
      </c>
      <c r="B4732" t="s">
        <v>27361</v>
      </c>
      <c r="C4732">
        <v>0</v>
      </c>
      <c r="D4732">
        <v>1</v>
      </c>
      <c r="E4732">
        <v>174</v>
      </c>
      <c r="F4732">
        <v>5605</v>
      </c>
      <c r="G4732">
        <f t="shared" si="73"/>
        <v>1577102245</v>
      </c>
    </row>
    <row r="4733" spans="1:7" x14ac:dyDescent="0.25">
      <c r="A4733">
        <v>1577102326</v>
      </c>
      <c r="B4733" t="s">
        <v>27362</v>
      </c>
      <c r="C4733">
        <v>0</v>
      </c>
      <c r="D4733">
        <v>1</v>
      </c>
      <c r="E4733">
        <v>28</v>
      </c>
      <c r="F4733">
        <v>6328</v>
      </c>
      <c r="G4733">
        <f t="shared" si="73"/>
        <v>1577102326</v>
      </c>
    </row>
    <row r="4734" spans="1:7" x14ac:dyDescent="0.25">
      <c r="A4734">
        <v>1577102404</v>
      </c>
      <c r="B4734" t="s">
        <v>27363</v>
      </c>
      <c r="C4734">
        <v>0</v>
      </c>
      <c r="D4734">
        <v>5</v>
      </c>
      <c r="E4734">
        <v>23706</v>
      </c>
      <c r="F4734">
        <v>447</v>
      </c>
      <c r="G4734">
        <f t="shared" si="73"/>
        <v>1577102404</v>
      </c>
    </row>
    <row r="4735" spans="1:7" x14ac:dyDescent="0.25">
      <c r="A4735">
        <v>1577102455</v>
      </c>
      <c r="B4735" t="s">
        <v>36604</v>
      </c>
      <c r="C4735">
        <v>1708</v>
      </c>
      <c r="D4735">
        <v>1</v>
      </c>
      <c r="E4735">
        <v>3436</v>
      </c>
      <c r="F4735">
        <v>2891</v>
      </c>
      <c r="G4735">
        <f t="shared" si="73"/>
        <v>1577102455</v>
      </c>
    </row>
    <row r="4736" spans="1:7" x14ac:dyDescent="0.25">
      <c r="A4736">
        <v>1577102485</v>
      </c>
      <c r="B4736" t="s">
        <v>27364</v>
      </c>
      <c r="C4736">
        <v>39</v>
      </c>
      <c r="D4736">
        <v>3</v>
      </c>
      <c r="E4736">
        <v>18509</v>
      </c>
      <c r="F4736">
        <v>717</v>
      </c>
      <c r="G4736">
        <f t="shared" si="73"/>
        <v>1577102485</v>
      </c>
    </row>
    <row r="4737" spans="1:7" x14ac:dyDescent="0.25">
      <c r="A4737">
        <v>1577102685</v>
      </c>
      <c r="B4737" t="s">
        <v>37160</v>
      </c>
      <c r="C4737">
        <v>0</v>
      </c>
      <c r="D4737">
        <v>1</v>
      </c>
      <c r="E4737">
        <v>127</v>
      </c>
      <c r="F4737">
        <v>5769</v>
      </c>
      <c r="G4737">
        <f t="shared" ref="G4737:G4800" si="74">A4737</f>
        <v>1577102685</v>
      </c>
    </row>
    <row r="4738" spans="1:7" x14ac:dyDescent="0.25">
      <c r="A4738">
        <v>1577102818</v>
      </c>
      <c r="B4738" t="s">
        <v>36605</v>
      </c>
      <c r="C4738">
        <v>1100</v>
      </c>
      <c r="D4738">
        <v>1</v>
      </c>
      <c r="E4738">
        <v>3254</v>
      </c>
      <c r="F4738">
        <v>2931</v>
      </c>
      <c r="G4738">
        <f t="shared" si="74"/>
        <v>1577102818</v>
      </c>
    </row>
    <row r="4739" spans="1:7" x14ac:dyDescent="0.25">
      <c r="A4739">
        <v>1577102819</v>
      </c>
      <c r="B4739" t="s">
        <v>27365</v>
      </c>
      <c r="C4739">
        <v>0</v>
      </c>
      <c r="D4739">
        <v>1</v>
      </c>
      <c r="E4739">
        <v>66</v>
      </c>
      <c r="F4739">
        <v>6086</v>
      </c>
      <c r="G4739">
        <f t="shared" si="74"/>
        <v>1577102819</v>
      </c>
    </row>
    <row r="4740" spans="1:7" x14ac:dyDescent="0.25">
      <c r="A4740">
        <v>1577102949</v>
      </c>
      <c r="B4740" t="s">
        <v>27366</v>
      </c>
      <c r="C4740">
        <v>0</v>
      </c>
      <c r="D4740">
        <v>1</v>
      </c>
      <c r="E4740">
        <v>555</v>
      </c>
      <c r="F4740">
        <v>4563</v>
      </c>
      <c r="G4740">
        <f t="shared" si="74"/>
        <v>1577102949</v>
      </c>
    </row>
    <row r="4741" spans="1:7" x14ac:dyDescent="0.25">
      <c r="A4741">
        <v>1577102958</v>
      </c>
      <c r="B4741" t="s">
        <v>27367</v>
      </c>
      <c r="C4741">
        <v>67</v>
      </c>
      <c r="D4741">
        <v>3</v>
      </c>
      <c r="E4741">
        <v>16748</v>
      </c>
      <c r="F4741">
        <v>845</v>
      </c>
      <c r="G4741">
        <f t="shared" si="74"/>
        <v>1577102958</v>
      </c>
    </row>
    <row r="4742" spans="1:7" x14ac:dyDescent="0.25">
      <c r="A4742">
        <v>1577103250</v>
      </c>
      <c r="B4742" t="s">
        <v>27368</v>
      </c>
      <c r="C4742">
        <v>0</v>
      </c>
      <c r="D4742">
        <v>1</v>
      </c>
      <c r="E4742">
        <v>53</v>
      </c>
      <c r="F4742">
        <v>6143</v>
      </c>
      <c r="G4742">
        <f t="shared" si="74"/>
        <v>1577103250</v>
      </c>
    </row>
    <row r="4743" spans="1:7" x14ac:dyDescent="0.25">
      <c r="A4743">
        <v>1577103486</v>
      </c>
      <c r="B4743" t="s">
        <v>27369</v>
      </c>
      <c r="C4743">
        <v>0</v>
      </c>
      <c r="D4743">
        <v>0</v>
      </c>
      <c r="E4743">
        <v>0</v>
      </c>
      <c r="F4743">
        <v>7759</v>
      </c>
      <c r="G4743">
        <f t="shared" si="74"/>
        <v>1577103486</v>
      </c>
    </row>
    <row r="4744" spans="1:7" x14ac:dyDescent="0.25">
      <c r="A4744">
        <v>1577103852</v>
      </c>
      <c r="B4744" t="s">
        <v>27370</v>
      </c>
      <c r="C4744">
        <v>294</v>
      </c>
      <c r="D4744">
        <v>2</v>
      </c>
      <c r="E4744">
        <v>5835</v>
      </c>
      <c r="F4744">
        <v>2318</v>
      </c>
      <c r="G4744">
        <f t="shared" si="74"/>
        <v>1577103852</v>
      </c>
    </row>
    <row r="4745" spans="1:7" x14ac:dyDescent="0.25">
      <c r="A4745">
        <v>1577104233</v>
      </c>
      <c r="B4745" t="s">
        <v>27371</v>
      </c>
      <c r="C4745">
        <v>0</v>
      </c>
      <c r="D4745">
        <v>1</v>
      </c>
      <c r="E4745">
        <v>87</v>
      </c>
      <c r="F4745">
        <v>5924</v>
      </c>
      <c r="G4745">
        <f t="shared" si="74"/>
        <v>1577104233</v>
      </c>
    </row>
    <row r="4746" spans="1:7" x14ac:dyDescent="0.25">
      <c r="A4746">
        <v>1577104598</v>
      </c>
      <c r="B4746" t="s">
        <v>27372</v>
      </c>
      <c r="C4746">
        <v>39</v>
      </c>
      <c r="D4746">
        <v>3</v>
      </c>
      <c r="E4746">
        <v>17775</v>
      </c>
      <c r="F4746">
        <v>785</v>
      </c>
      <c r="G4746">
        <f t="shared" si="74"/>
        <v>1577104598</v>
      </c>
    </row>
    <row r="4747" spans="1:7" x14ac:dyDescent="0.25">
      <c r="A4747">
        <v>1577104637</v>
      </c>
      <c r="B4747" t="s">
        <v>27373</v>
      </c>
      <c r="C4747">
        <v>0</v>
      </c>
      <c r="D4747">
        <v>0</v>
      </c>
      <c r="E4747">
        <v>0</v>
      </c>
      <c r="F4747">
        <v>7760</v>
      </c>
      <c r="G4747">
        <f t="shared" si="74"/>
        <v>1577104637</v>
      </c>
    </row>
    <row r="4748" spans="1:7" x14ac:dyDescent="0.25">
      <c r="A4748">
        <v>1577104755</v>
      </c>
      <c r="B4748" t="s">
        <v>27374</v>
      </c>
      <c r="C4748">
        <v>0</v>
      </c>
      <c r="D4748">
        <v>1</v>
      </c>
      <c r="E4748">
        <v>26</v>
      </c>
      <c r="F4748">
        <v>6677</v>
      </c>
      <c r="G4748">
        <f t="shared" si="74"/>
        <v>1577104755</v>
      </c>
    </row>
    <row r="4749" spans="1:7" x14ac:dyDescent="0.25">
      <c r="A4749">
        <v>1577104831</v>
      </c>
      <c r="B4749" t="s">
        <v>714</v>
      </c>
      <c r="C4749">
        <v>1886</v>
      </c>
      <c r="D4749">
        <v>1</v>
      </c>
      <c r="E4749">
        <v>26</v>
      </c>
      <c r="F4749">
        <v>6678</v>
      </c>
      <c r="G4749">
        <f t="shared" si="74"/>
        <v>1577104831</v>
      </c>
    </row>
    <row r="4750" spans="1:7" x14ac:dyDescent="0.25">
      <c r="A4750">
        <v>1577104924</v>
      </c>
      <c r="B4750" t="s">
        <v>27375</v>
      </c>
      <c r="C4750">
        <v>1651</v>
      </c>
      <c r="D4750">
        <v>1</v>
      </c>
      <c r="E4750">
        <v>1684</v>
      </c>
      <c r="F4750">
        <v>3506</v>
      </c>
      <c r="G4750">
        <f t="shared" si="74"/>
        <v>1577104924</v>
      </c>
    </row>
    <row r="4751" spans="1:7" x14ac:dyDescent="0.25">
      <c r="A4751">
        <v>1577105449</v>
      </c>
      <c r="B4751" t="s">
        <v>36606</v>
      </c>
      <c r="C4751">
        <v>0</v>
      </c>
      <c r="D4751">
        <v>1</v>
      </c>
      <c r="E4751">
        <v>26</v>
      </c>
      <c r="F4751">
        <v>6679</v>
      </c>
      <c r="G4751">
        <f t="shared" si="74"/>
        <v>1577105449</v>
      </c>
    </row>
    <row r="4752" spans="1:7" x14ac:dyDescent="0.25">
      <c r="A4752">
        <v>1577105667</v>
      </c>
      <c r="B4752" t="s">
        <v>27376</v>
      </c>
      <c r="C4752">
        <v>47</v>
      </c>
      <c r="D4752">
        <v>1</v>
      </c>
      <c r="E4752">
        <v>5479</v>
      </c>
      <c r="F4752">
        <v>2406</v>
      </c>
      <c r="G4752">
        <f t="shared" si="74"/>
        <v>1577105667</v>
      </c>
    </row>
    <row r="4753" spans="1:7" x14ac:dyDescent="0.25">
      <c r="A4753">
        <v>1577105668</v>
      </c>
      <c r="B4753" t="s">
        <v>27377</v>
      </c>
      <c r="C4753">
        <v>1635</v>
      </c>
      <c r="D4753">
        <v>1</v>
      </c>
      <c r="E4753">
        <v>354</v>
      </c>
      <c r="F4753">
        <v>4971</v>
      </c>
      <c r="G4753">
        <f t="shared" si="74"/>
        <v>1577105668</v>
      </c>
    </row>
    <row r="4754" spans="1:7" x14ac:dyDescent="0.25">
      <c r="A4754">
        <v>1577105923</v>
      </c>
      <c r="B4754" t="s">
        <v>27378</v>
      </c>
      <c r="C4754">
        <v>149</v>
      </c>
      <c r="D4754">
        <v>1</v>
      </c>
      <c r="E4754">
        <v>876</v>
      </c>
      <c r="F4754">
        <v>4113</v>
      </c>
      <c r="G4754">
        <f t="shared" si="74"/>
        <v>1577105923</v>
      </c>
    </row>
    <row r="4755" spans="1:7" x14ac:dyDescent="0.25">
      <c r="A4755">
        <v>1577106077</v>
      </c>
      <c r="B4755" t="s">
        <v>36607</v>
      </c>
      <c r="C4755">
        <v>1734</v>
      </c>
      <c r="D4755">
        <v>1</v>
      </c>
      <c r="E4755">
        <v>280</v>
      </c>
      <c r="F4755">
        <v>5196</v>
      </c>
      <c r="G4755">
        <f t="shared" si="74"/>
        <v>1577106077</v>
      </c>
    </row>
    <row r="4756" spans="1:7" x14ac:dyDescent="0.25">
      <c r="A4756">
        <v>1577106143</v>
      </c>
      <c r="B4756" t="s">
        <v>27379</v>
      </c>
      <c r="C4756">
        <v>67</v>
      </c>
      <c r="D4756">
        <v>3</v>
      </c>
      <c r="E4756">
        <v>15425</v>
      </c>
      <c r="F4756">
        <v>957</v>
      </c>
      <c r="G4756">
        <f t="shared" si="74"/>
        <v>1577106143</v>
      </c>
    </row>
    <row r="4757" spans="1:7" x14ac:dyDescent="0.25">
      <c r="A4757">
        <v>1577106357</v>
      </c>
      <c r="B4757" t="s">
        <v>36608</v>
      </c>
      <c r="C4757">
        <v>0</v>
      </c>
      <c r="D4757">
        <v>0</v>
      </c>
      <c r="E4757">
        <v>0</v>
      </c>
      <c r="F4757">
        <v>7761</v>
      </c>
      <c r="G4757">
        <f t="shared" si="74"/>
        <v>1577106357</v>
      </c>
    </row>
    <row r="4758" spans="1:7" x14ac:dyDescent="0.25">
      <c r="A4758">
        <v>1577106611</v>
      </c>
      <c r="B4758" t="s">
        <v>27380</v>
      </c>
      <c r="C4758">
        <v>174</v>
      </c>
      <c r="D4758">
        <v>4</v>
      </c>
      <c r="E4758">
        <v>21964</v>
      </c>
      <c r="F4758">
        <v>524</v>
      </c>
      <c r="G4758">
        <f t="shared" si="74"/>
        <v>1577106611</v>
      </c>
    </row>
    <row r="4759" spans="1:7" x14ac:dyDescent="0.25">
      <c r="A4759">
        <v>1577106731</v>
      </c>
      <c r="B4759" t="s">
        <v>27381</v>
      </c>
      <c r="C4759">
        <v>1753</v>
      </c>
      <c r="D4759">
        <v>1</v>
      </c>
      <c r="E4759">
        <v>2140</v>
      </c>
      <c r="F4759">
        <v>3274</v>
      </c>
      <c r="G4759">
        <f t="shared" si="74"/>
        <v>1577106731</v>
      </c>
    </row>
    <row r="4760" spans="1:7" x14ac:dyDescent="0.25">
      <c r="A4760">
        <v>1577106789</v>
      </c>
      <c r="B4760" t="s">
        <v>27382</v>
      </c>
      <c r="C4760">
        <v>0</v>
      </c>
      <c r="D4760">
        <v>1</v>
      </c>
      <c r="E4760">
        <v>234</v>
      </c>
      <c r="F4760">
        <v>5372</v>
      </c>
      <c r="G4760">
        <f t="shared" si="74"/>
        <v>1577106789</v>
      </c>
    </row>
    <row r="4761" spans="1:7" x14ac:dyDescent="0.25">
      <c r="A4761">
        <v>1577106802</v>
      </c>
      <c r="B4761" t="s">
        <v>36609</v>
      </c>
      <c r="C4761">
        <v>480</v>
      </c>
      <c r="D4761">
        <v>3</v>
      </c>
      <c r="E4761">
        <v>13046</v>
      </c>
      <c r="F4761">
        <v>1164</v>
      </c>
      <c r="G4761">
        <f t="shared" si="74"/>
        <v>1577106802</v>
      </c>
    </row>
    <row r="4762" spans="1:7" x14ac:dyDescent="0.25">
      <c r="A4762">
        <v>1577106816</v>
      </c>
      <c r="B4762" t="s">
        <v>27383</v>
      </c>
      <c r="C4762">
        <v>55</v>
      </c>
      <c r="D4762">
        <v>1</v>
      </c>
      <c r="E4762">
        <v>1524</v>
      </c>
      <c r="F4762">
        <v>3584</v>
      </c>
      <c r="G4762">
        <f t="shared" si="74"/>
        <v>1577106816</v>
      </c>
    </row>
    <row r="4763" spans="1:7" x14ac:dyDescent="0.25">
      <c r="A4763">
        <v>1577106967</v>
      </c>
      <c r="B4763" t="s">
        <v>36610</v>
      </c>
      <c r="C4763">
        <v>0</v>
      </c>
      <c r="D4763">
        <v>0</v>
      </c>
      <c r="E4763">
        <v>0</v>
      </c>
      <c r="F4763">
        <v>7762</v>
      </c>
      <c r="G4763">
        <f t="shared" si="74"/>
        <v>1577106967</v>
      </c>
    </row>
    <row r="4764" spans="1:7" x14ac:dyDescent="0.25">
      <c r="A4764">
        <v>1577107048</v>
      </c>
      <c r="B4764" t="s">
        <v>27384</v>
      </c>
      <c r="C4764">
        <v>0</v>
      </c>
      <c r="D4764">
        <v>0</v>
      </c>
      <c r="E4764">
        <v>0</v>
      </c>
      <c r="F4764">
        <v>7763</v>
      </c>
      <c r="G4764">
        <f t="shared" si="74"/>
        <v>1577107048</v>
      </c>
    </row>
    <row r="4765" spans="1:7" x14ac:dyDescent="0.25">
      <c r="A4765">
        <v>1577107174</v>
      </c>
      <c r="B4765" t="s">
        <v>27385</v>
      </c>
      <c r="C4765">
        <v>25</v>
      </c>
      <c r="D4765">
        <v>2</v>
      </c>
      <c r="E4765">
        <v>12959</v>
      </c>
      <c r="F4765">
        <v>1173</v>
      </c>
      <c r="G4765">
        <f t="shared" si="74"/>
        <v>1577107174</v>
      </c>
    </row>
    <row r="4766" spans="1:7" x14ac:dyDescent="0.25">
      <c r="A4766">
        <v>1577107183</v>
      </c>
      <c r="B4766" t="s">
        <v>27386</v>
      </c>
      <c r="C4766">
        <v>0</v>
      </c>
      <c r="D4766">
        <v>1</v>
      </c>
      <c r="E4766">
        <v>26</v>
      </c>
      <c r="F4766">
        <v>6680</v>
      </c>
      <c r="G4766">
        <f t="shared" si="74"/>
        <v>1577107183</v>
      </c>
    </row>
    <row r="4767" spans="1:7" x14ac:dyDescent="0.25">
      <c r="A4767">
        <v>1577107373</v>
      </c>
      <c r="B4767" t="s">
        <v>27387</v>
      </c>
      <c r="C4767">
        <v>0</v>
      </c>
      <c r="D4767">
        <v>1</v>
      </c>
      <c r="E4767">
        <v>3167</v>
      </c>
      <c r="F4767">
        <v>2950</v>
      </c>
      <c r="G4767">
        <f t="shared" si="74"/>
        <v>1577107373</v>
      </c>
    </row>
    <row r="4768" spans="1:7" x14ac:dyDescent="0.25">
      <c r="A4768">
        <v>1577107522</v>
      </c>
      <c r="B4768" t="s">
        <v>27388</v>
      </c>
      <c r="C4768">
        <v>0</v>
      </c>
      <c r="D4768">
        <v>1</v>
      </c>
      <c r="E4768">
        <v>2388</v>
      </c>
      <c r="F4768">
        <v>3175</v>
      </c>
      <c r="G4768">
        <f t="shared" si="74"/>
        <v>1577107522</v>
      </c>
    </row>
    <row r="4769" spans="1:7" x14ac:dyDescent="0.25">
      <c r="A4769">
        <v>1577107587</v>
      </c>
      <c r="B4769" t="s">
        <v>27389</v>
      </c>
      <c r="C4769">
        <v>0</v>
      </c>
      <c r="D4769">
        <v>0</v>
      </c>
      <c r="E4769">
        <v>0</v>
      </c>
      <c r="F4769">
        <v>7764</v>
      </c>
      <c r="G4769">
        <f t="shared" si="74"/>
        <v>1577107587</v>
      </c>
    </row>
    <row r="4770" spans="1:7" x14ac:dyDescent="0.25">
      <c r="A4770">
        <v>1577107609</v>
      </c>
      <c r="B4770" t="s">
        <v>27390</v>
      </c>
      <c r="C4770">
        <v>0</v>
      </c>
      <c r="D4770">
        <v>1</v>
      </c>
      <c r="E4770">
        <v>254</v>
      </c>
      <c r="F4770">
        <v>5281</v>
      </c>
      <c r="G4770">
        <f t="shared" si="74"/>
        <v>1577107609</v>
      </c>
    </row>
    <row r="4771" spans="1:7" x14ac:dyDescent="0.25">
      <c r="A4771">
        <v>1577108159</v>
      </c>
      <c r="B4771" t="s">
        <v>27391</v>
      </c>
      <c r="C4771">
        <v>0</v>
      </c>
      <c r="D4771">
        <v>1</v>
      </c>
      <c r="E4771">
        <v>248</v>
      </c>
      <c r="F4771">
        <v>5314</v>
      </c>
      <c r="G4771">
        <f t="shared" si="74"/>
        <v>1577108159</v>
      </c>
    </row>
    <row r="4772" spans="1:7" x14ac:dyDescent="0.25">
      <c r="A4772">
        <v>1577108615</v>
      </c>
      <c r="B4772" t="s">
        <v>27392</v>
      </c>
      <c r="C4772">
        <v>1867</v>
      </c>
      <c r="D4772">
        <v>1</v>
      </c>
      <c r="E4772">
        <v>466</v>
      </c>
      <c r="F4772">
        <v>4708</v>
      </c>
      <c r="G4772">
        <f t="shared" si="74"/>
        <v>1577108615</v>
      </c>
    </row>
    <row r="4773" spans="1:7" x14ac:dyDescent="0.25">
      <c r="A4773">
        <v>1577108749</v>
      </c>
      <c r="B4773" t="s">
        <v>27393</v>
      </c>
      <c r="C4773">
        <v>3</v>
      </c>
      <c r="D4773">
        <v>4</v>
      </c>
      <c r="E4773">
        <v>19071</v>
      </c>
      <c r="F4773">
        <v>677</v>
      </c>
      <c r="G4773">
        <f t="shared" si="74"/>
        <v>1577108749</v>
      </c>
    </row>
    <row r="4774" spans="1:7" x14ac:dyDescent="0.25">
      <c r="A4774">
        <v>1577109132</v>
      </c>
      <c r="B4774" t="s">
        <v>27394</v>
      </c>
      <c r="C4774">
        <v>429</v>
      </c>
      <c r="D4774">
        <v>2</v>
      </c>
      <c r="E4774">
        <v>6025</v>
      </c>
      <c r="F4774">
        <v>2268</v>
      </c>
      <c r="G4774">
        <f t="shared" si="74"/>
        <v>1577109132</v>
      </c>
    </row>
    <row r="4775" spans="1:7" x14ac:dyDescent="0.25">
      <c r="A4775">
        <v>1577109173</v>
      </c>
      <c r="B4775" t="s">
        <v>37059</v>
      </c>
      <c r="C4775">
        <v>0</v>
      </c>
      <c r="D4775">
        <v>1</v>
      </c>
      <c r="E4775">
        <v>1327</v>
      </c>
      <c r="F4775">
        <v>3716</v>
      </c>
      <c r="G4775">
        <f t="shared" si="74"/>
        <v>1577109173</v>
      </c>
    </row>
    <row r="4776" spans="1:7" x14ac:dyDescent="0.25">
      <c r="A4776">
        <v>1577109286</v>
      </c>
      <c r="B4776" t="s">
        <v>27395</v>
      </c>
      <c r="C4776">
        <v>1403</v>
      </c>
      <c r="D4776">
        <v>1</v>
      </c>
      <c r="E4776">
        <v>3827</v>
      </c>
      <c r="F4776">
        <v>2804</v>
      </c>
      <c r="G4776">
        <f t="shared" si="74"/>
        <v>1577109286</v>
      </c>
    </row>
    <row r="4777" spans="1:7" x14ac:dyDescent="0.25">
      <c r="A4777">
        <v>1577109450</v>
      </c>
      <c r="B4777" t="s">
        <v>36611</v>
      </c>
      <c r="C4777">
        <v>1771</v>
      </c>
      <c r="D4777">
        <v>1</v>
      </c>
      <c r="E4777">
        <v>2034</v>
      </c>
      <c r="F4777">
        <v>3327</v>
      </c>
      <c r="G4777">
        <f t="shared" si="74"/>
        <v>1577109450</v>
      </c>
    </row>
    <row r="4778" spans="1:7" x14ac:dyDescent="0.25">
      <c r="A4778">
        <v>1577109476</v>
      </c>
      <c r="B4778" t="s">
        <v>27396</v>
      </c>
      <c r="C4778">
        <v>1232</v>
      </c>
      <c r="D4778">
        <v>1</v>
      </c>
      <c r="E4778">
        <v>835</v>
      </c>
      <c r="F4778">
        <v>4146</v>
      </c>
      <c r="G4778">
        <f t="shared" si="74"/>
        <v>1577109476</v>
      </c>
    </row>
    <row r="4779" spans="1:7" x14ac:dyDescent="0.25">
      <c r="A4779">
        <v>1577109478</v>
      </c>
      <c r="B4779" t="s">
        <v>36612</v>
      </c>
      <c r="C4779">
        <v>0</v>
      </c>
      <c r="D4779">
        <v>1</v>
      </c>
      <c r="E4779">
        <v>26</v>
      </c>
      <c r="F4779">
        <v>6681</v>
      </c>
      <c r="G4779">
        <f t="shared" si="74"/>
        <v>1577109478</v>
      </c>
    </row>
    <row r="4780" spans="1:7" x14ac:dyDescent="0.25">
      <c r="A4780">
        <v>1577109849</v>
      </c>
      <c r="B4780" t="s">
        <v>27397</v>
      </c>
      <c r="C4780">
        <v>27</v>
      </c>
      <c r="D4780">
        <v>2</v>
      </c>
      <c r="E4780">
        <v>9136</v>
      </c>
      <c r="F4780">
        <v>1695</v>
      </c>
      <c r="G4780">
        <f t="shared" si="74"/>
        <v>1577109849</v>
      </c>
    </row>
    <row r="4781" spans="1:7" x14ac:dyDescent="0.25">
      <c r="A4781">
        <v>1577110177</v>
      </c>
      <c r="B4781" t="s">
        <v>27398</v>
      </c>
      <c r="C4781">
        <v>45</v>
      </c>
      <c r="D4781">
        <v>0</v>
      </c>
      <c r="E4781">
        <v>0</v>
      </c>
      <c r="F4781">
        <v>7765</v>
      </c>
      <c r="G4781">
        <f t="shared" si="74"/>
        <v>1577110177</v>
      </c>
    </row>
    <row r="4782" spans="1:7" x14ac:dyDescent="0.25">
      <c r="A4782">
        <v>1577110636</v>
      </c>
      <c r="B4782" t="s">
        <v>27399</v>
      </c>
      <c r="C4782">
        <v>0</v>
      </c>
      <c r="D4782">
        <v>0</v>
      </c>
      <c r="E4782">
        <v>0</v>
      </c>
      <c r="F4782">
        <v>7766</v>
      </c>
      <c r="G4782">
        <f t="shared" si="74"/>
        <v>1577110636</v>
      </c>
    </row>
    <row r="4783" spans="1:7" x14ac:dyDescent="0.25">
      <c r="A4783">
        <v>1577110794</v>
      </c>
      <c r="B4783" t="s">
        <v>27400</v>
      </c>
      <c r="C4783">
        <v>1362</v>
      </c>
      <c r="D4783">
        <v>1</v>
      </c>
      <c r="E4783">
        <v>370</v>
      </c>
      <c r="F4783">
        <v>4929</v>
      </c>
      <c r="G4783">
        <f t="shared" si="74"/>
        <v>1577110794</v>
      </c>
    </row>
    <row r="4784" spans="1:7" x14ac:dyDescent="0.25">
      <c r="A4784">
        <v>1577110831</v>
      </c>
      <c r="B4784" t="s">
        <v>27401</v>
      </c>
      <c r="C4784">
        <v>45</v>
      </c>
      <c r="D4784">
        <v>1</v>
      </c>
      <c r="E4784">
        <v>684</v>
      </c>
      <c r="F4784">
        <v>4363</v>
      </c>
      <c r="G4784">
        <f t="shared" si="74"/>
        <v>1577110831</v>
      </c>
    </row>
    <row r="4785" spans="1:7" x14ac:dyDescent="0.25">
      <c r="A4785">
        <v>1577110897</v>
      </c>
      <c r="B4785" t="s">
        <v>27402</v>
      </c>
      <c r="C4785">
        <v>69</v>
      </c>
      <c r="D4785">
        <v>2</v>
      </c>
      <c r="E4785">
        <v>9170</v>
      </c>
      <c r="F4785">
        <v>1712</v>
      </c>
      <c r="G4785">
        <f t="shared" si="74"/>
        <v>1577110897</v>
      </c>
    </row>
    <row r="4786" spans="1:7" x14ac:dyDescent="0.25">
      <c r="A4786">
        <v>1577111052</v>
      </c>
      <c r="B4786" t="s">
        <v>27403</v>
      </c>
      <c r="C4786">
        <v>1694</v>
      </c>
      <c r="D4786">
        <v>0</v>
      </c>
      <c r="E4786">
        <v>0</v>
      </c>
      <c r="F4786">
        <v>7767</v>
      </c>
      <c r="G4786">
        <f t="shared" si="74"/>
        <v>1577111052</v>
      </c>
    </row>
    <row r="4787" spans="1:7" x14ac:dyDescent="0.25">
      <c r="A4787">
        <v>1577111190</v>
      </c>
      <c r="B4787" t="s">
        <v>27404</v>
      </c>
      <c r="C4787">
        <v>0</v>
      </c>
      <c r="D4787">
        <v>1</v>
      </c>
      <c r="E4787">
        <v>1310</v>
      </c>
      <c r="F4787">
        <v>3720</v>
      </c>
      <c r="G4787">
        <f t="shared" si="74"/>
        <v>1577111190</v>
      </c>
    </row>
    <row r="4788" spans="1:7" x14ac:dyDescent="0.25">
      <c r="A4788">
        <v>1577111356</v>
      </c>
      <c r="B4788" t="s">
        <v>27405</v>
      </c>
      <c r="C4788">
        <v>0</v>
      </c>
      <c r="D4788">
        <v>1</v>
      </c>
      <c r="E4788">
        <v>26</v>
      </c>
      <c r="F4788">
        <v>6682</v>
      </c>
      <c r="G4788">
        <f t="shared" si="74"/>
        <v>1577111356</v>
      </c>
    </row>
    <row r="4789" spans="1:7" x14ac:dyDescent="0.25">
      <c r="A4789">
        <v>1577111433</v>
      </c>
      <c r="B4789" t="s">
        <v>27406</v>
      </c>
      <c r="C4789">
        <v>0</v>
      </c>
      <c r="D4789">
        <v>1</v>
      </c>
      <c r="E4789">
        <v>167</v>
      </c>
      <c r="F4789">
        <v>5630</v>
      </c>
      <c r="G4789">
        <f t="shared" si="74"/>
        <v>1577111433</v>
      </c>
    </row>
    <row r="4790" spans="1:7" x14ac:dyDescent="0.25">
      <c r="A4790">
        <v>1577111867</v>
      </c>
      <c r="B4790" t="s">
        <v>27407</v>
      </c>
      <c r="C4790">
        <v>1</v>
      </c>
      <c r="D4790">
        <v>0</v>
      </c>
      <c r="E4790">
        <v>0</v>
      </c>
      <c r="F4790">
        <v>7768</v>
      </c>
      <c r="G4790">
        <f t="shared" si="74"/>
        <v>1577111867</v>
      </c>
    </row>
    <row r="4791" spans="1:7" x14ac:dyDescent="0.25">
      <c r="A4791">
        <v>1577112119</v>
      </c>
      <c r="B4791" t="s">
        <v>27408</v>
      </c>
      <c r="C4791">
        <v>0</v>
      </c>
      <c r="D4791">
        <v>1</v>
      </c>
      <c r="E4791">
        <v>26</v>
      </c>
      <c r="F4791">
        <v>6683</v>
      </c>
      <c r="G4791">
        <f t="shared" si="74"/>
        <v>1577112119</v>
      </c>
    </row>
    <row r="4792" spans="1:7" x14ac:dyDescent="0.25">
      <c r="A4792">
        <v>1577112165</v>
      </c>
      <c r="B4792" t="s">
        <v>27409</v>
      </c>
      <c r="C4792">
        <v>61</v>
      </c>
      <c r="D4792">
        <v>0</v>
      </c>
      <c r="E4792">
        <v>0</v>
      </c>
      <c r="F4792">
        <v>7769</v>
      </c>
      <c r="G4792">
        <f t="shared" si="74"/>
        <v>1577112165</v>
      </c>
    </row>
    <row r="4793" spans="1:7" x14ac:dyDescent="0.25">
      <c r="A4793">
        <v>1577112350</v>
      </c>
      <c r="B4793" t="s">
        <v>27410</v>
      </c>
      <c r="C4793">
        <v>1946</v>
      </c>
      <c r="D4793">
        <v>5</v>
      </c>
      <c r="E4793">
        <v>27502</v>
      </c>
      <c r="F4793">
        <v>314</v>
      </c>
      <c r="G4793">
        <f t="shared" si="74"/>
        <v>1577112350</v>
      </c>
    </row>
    <row r="4794" spans="1:7" x14ac:dyDescent="0.25">
      <c r="A4794">
        <v>1577112377</v>
      </c>
      <c r="B4794" t="s">
        <v>27411</v>
      </c>
      <c r="C4794">
        <v>0</v>
      </c>
      <c r="D4794">
        <v>0</v>
      </c>
      <c r="E4794">
        <v>0</v>
      </c>
      <c r="F4794">
        <v>7770</v>
      </c>
      <c r="G4794">
        <f t="shared" si="74"/>
        <v>1577112377</v>
      </c>
    </row>
    <row r="4795" spans="1:7" x14ac:dyDescent="0.25">
      <c r="A4795">
        <v>1577112399</v>
      </c>
      <c r="B4795" t="s">
        <v>27412</v>
      </c>
      <c r="C4795">
        <v>25</v>
      </c>
      <c r="D4795">
        <v>2</v>
      </c>
      <c r="E4795">
        <v>10371</v>
      </c>
      <c r="F4795">
        <v>1516</v>
      </c>
      <c r="G4795">
        <f t="shared" si="74"/>
        <v>1577112399</v>
      </c>
    </row>
    <row r="4796" spans="1:7" x14ac:dyDescent="0.25">
      <c r="A4796">
        <v>1577112562</v>
      </c>
      <c r="B4796" t="s">
        <v>27413</v>
      </c>
      <c r="C4796">
        <v>215</v>
      </c>
      <c r="D4796">
        <v>2</v>
      </c>
      <c r="E4796">
        <v>9001</v>
      </c>
      <c r="F4796">
        <v>1717</v>
      </c>
      <c r="G4796">
        <f t="shared" si="74"/>
        <v>1577112562</v>
      </c>
    </row>
    <row r="4797" spans="1:7" x14ac:dyDescent="0.25">
      <c r="A4797">
        <v>1577112621</v>
      </c>
      <c r="B4797" t="s">
        <v>27414</v>
      </c>
      <c r="C4797">
        <v>0</v>
      </c>
      <c r="D4797">
        <v>1</v>
      </c>
      <c r="E4797">
        <v>26</v>
      </c>
      <c r="F4797">
        <v>6684</v>
      </c>
      <c r="G4797">
        <f t="shared" si="74"/>
        <v>1577112621</v>
      </c>
    </row>
    <row r="4798" spans="1:7" x14ac:dyDescent="0.25">
      <c r="A4798">
        <v>1577112671</v>
      </c>
      <c r="B4798" t="s">
        <v>36613</v>
      </c>
      <c r="C4798">
        <v>47</v>
      </c>
      <c r="D4798">
        <v>3</v>
      </c>
      <c r="E4798">
        <v>16892</v>
      </c>
      <c r="F4798">
        <v>836</v>
      </c>
      <c r="G4798">
        <f t="shared" si="74"/>
        <v>1577112671</v>
      </c>
    </row>
    <row r="4799" spans="1:7" x14ac:dyDescent="0.25">
      <c r="A4799">
        <v>1577113156</v>
      </c>
      <c r="B4799" t="s">
        <v>27415</v>
      </c>
      <c r="C4799">
        <v>924</v>
      </c>
      <c r="D4799">
        <v>0</v>
      </c>
      <c r="E4799">
        <v>0</v>
      </c>
      <c r="F4799">
        <v>7771</v>
      </c>
      <c r="G4799">
        <f t="shared" si="74"/>
        <v>1577113156</v>
      </c>
    </row>
    <row r="4800" spans="1:7" x14ac:dyDescent="0.25">
      <c r="A4800">
        <v>1577113223</v>
      </c>
      <c r="B4800" t="s">
        <v>27416</v>
      </c>
      <c r="C4800">
        <v>625</v>
      </c>
      <c r="D4800">
        <v>1</v>
      </c>
      <c r="E4800">
        <v>2296</v>
      </c>
      <c r="F4800">
        <v>3214</v>
      </c>
      <c r="G4800">
        <f t="shared" si="74"/>
        <v>1577113223</v>
      </c>
    </row>
    <row r="4801" spans="1:7" x14ac:dyDescent="0.25">
      <c r="A4801">
        <v>1577113282</v>
      </c>
      <c r="B4801" t="s">
        <v>27417</v>
      </c>
      <c r="C4801">
        <v>45</v>
      </c>
      <c r="D4801">
        <v>1</v>
      </c>
      <c r="E4801">
        <v>545</v>
      </c>
      <c r="F4801">
        <v>4558</v>
      </c>
      <c r="G4801">
        <f t="shared" ref="G4801:G4864" si="75">A4801</f>
        <v>1577113282</v>
      </c>
    </row>
    <row r="4802" spans="1:7" x14ac:dyDescent="0.25">
      <c r="A4802">
        <v>1577113547</v>
      </c>
      <c r="B4802" t="s">
        <v>27418</v>
      </c>
      <c r="C4802">
        <v>55</v>
      </c>
      <c r="D4802">
        <v>1</v>
      </c>
      <c r="E4802">
        <v>940</v>
      </c>
      <c r="F4802">
        <v>4050</v>
      </c>
      <c r="G4802">
        <f t="shared" si="75"/>
        <v>1577113547</v>
      </c>
    </row>
    <row r="4803" spans="1:7" x14ac:dyDescent="0.25">
      <c r="A4803">
        <v>1577113760</v>
      </c>
      <c r="B4803" t="s">
        <v>27419</v>
      </c>
      <c r="C4803">
        <v>0</v>
      </c>
      <c r="D4803">
        <v>0</v>
      </c>
      <c r="E4803">
        <v>0</v>
      </c>
      <c r="F4803">
        <v>7772</v>
      </c>
      <c r="G4803">
        <f t="shared" si="75"/>
        <v>1577113760</v>
      </c>
    </row>
    <row r="4804" spans="1:7" x14ac:dyDescent="0.25">
      <c r="A4804">
        <v>1577113767</v>
      </c>
      <c r="B4804" t="s">
        <v>27420</v>
      </c>
      <c r="C4804">
        <v>0</v>
      </c>
      <c r="D4804">
        <v>0</v>
      </c>
      <c r="E4804">
        <v>0</v>
      </c>
      <c r="F4804">
        <v>7773</v>
      </c>
      <c r="G4804">
        <f t="shared" si="75"/>
        <v>1577113767</v>
      </c>
    </row>
    <row r="4805" spans="1:7" x14ac:dyDescent="0.25">
      <c r="A4805">
        <v>1577113865</v>
      </c>
      <c r="B4805" t="s">
        <v>27421</v>
      </c>
      <c r="C4805">
        <v>179</v>
      </c>
      <c r="D4805">
        <v>2</v>
      </c>
      <c r="E4805">
        <v>5655</v>
      </c>
      <c r="F4805">
        <v>2364</v>
      </c>
      <c r="G4805">
        <f t="shared" si="75"/>
        <v>1577113865</v>
      </c>
    </row>
    <row r="4806" spans="1:7" x14ac:dyDescent="0.25">
      <c r="A4806">
        <v>1577114036</v>
      </c>
      <c r="B4806" t="s">
        <v>37321</v>
      </c>
      <c r="C4806">
        <v>235</v>
      </c>
      <c r="D4806">
        <v>1</v>
      </c>
      <c r="E4806">
        <v>3802</v>
      </c>
      <c r="F4806">
        <v>2810</v>
      </c>
      <c r="G4806">
        <f t="shared" si="75"/>
        <v>1577114036</v>
      </c>
    </row>
    <row r="4807" spans="1:7" x14ac:dyDescent="0.25">
      <c r="A4807">
        <v>1577114174</v>
      </c>
      <c r="B4807" t="s">
        <v>36614</v>
      </c>
      <c r="C4807">
        <v>118</v>
      </c>
      <c r="D4807">
        <v>3</v>
      </c>
      <c r="E4807">
        <v>11070</v>
      </c>
      <c r="F4807">
        <v>1399</v>
      </c>
      <c r="G4807">
        <f t="shared" si="75"/>
        <v>1577114174</v>
      </c>
    </row>
    <row r="4808" spans="1:7" x14ac:dyDescent="0.25">
      <c r="A4808">
        <v>1577114186</v>
      </c>
      <c r="B4808" t="s">
        <v>27422</v>
      </c>
      <c r="C4808">
        <v>271</v>
      </c>
      <c r="D4808">
        <v>3</v>
      </c>
      <c r="E4808">
        <v>5444</v>
      </c>
      <c r="F4808">
        <v>2419</v>
      </c>
      <c r="G4808">
        <f t="shared" si="75"/>
        <v>1577114186</v>
      </c>
    </row>
    <row r="4809" spans="1:7" x14ac:dyDescent="0.25">
      <c r="A4809">
        <v>1577114249</v>
      </c>
      <c r="B4809" t="s">
        <v>27423</v>
      </c>
      <c r="C4809">
        <v>0</v>
      </c>
      <c r="D4809">
        <v>1</v>
      </c>
      <c r="E4809">
        <v>26</v>
      </c>
      <c r="F4809">
        <v>6685</v>
      </c>
      <c r="G4809">
        <f t="shared" si="75"/>
        <v>1577114249</v>
      </c>
    </row>
    <row r="4810" spans="1:7" x14ac:dyDescent="0.25">
      <c r="A4810">
        <v>1577114285</v>
      </c>
      <c r="B4810" t="s">
        <v>37227</v>
      </c>
      <c r="C4810">
        <v>0</v>
      </c>
      <c r="D4810">
        <v>1</v>
      </c>
      <c r="E4810">
        <v>52</v>
      </c>
      <c r="F4810">
        <v>6152</v>
      </c>
      <c r="G4810">
        <f t="shared" si="75"/>
        <v>1577114285</v>
      </c>
    </row>
    <row r="4811" spans="1:7" x14ac:dyDescent="0.25">
      <c r="A4811">
        <v>1577114299</v>
      </c>
      <c r="B4811" t="s">
        <v>36615</v>
      </c>
      <c r="C4811">
        <v>0</v>
      </c>
      <c r="D4811">
        <v>1</v>
      </c>
      <c r="E4811">
        <v>44</v>
      </c>
      <c r="F4811">
        <v>6244</v>
      </c>
      <c r="G4811">
        <f t="shared" si="75"/>
        <v>1577114299</v>
      </c>
    </row>
    <row r="4812" spans="1:7" x14ac:dyDescent="0.25">
      <c r="A4812">
        <v>1577114452</v>
      </c>
      <c r="B4812" t="s">
        <v>27424</v>
      </c>
      <c r="C4812">
        <v>27</v>
      </c>
      <c r="D4812">
        <v>2</v>
      </c>
      <c r="E4812">
        <v>8389</v>
      </c>
      <c r="F4812">
        <v>1811</v>
      </c>
      <c r="G4812">
        <f t="shared" si="75"/>
        <v>1577114452</v>
      </c>
    </row>
    <row r="4813" spans="1:7" x14ac:dyDescent="0.25">
      <c r="A4813">
        <v>1577114532</v>
      </c>
      <c r="B4813" t="s">
        <v>27425</v>
      </c>
      <c r="C4813">
        <v>0</v>
      </c>
      <c r="D4813">
        <v>0</v>
      </c>
      <c r="E4813">
        <v>0</v>
      </c>
      <c r="F4813">
        <v>7774</v>
      </c>
      <c r="G4813">
        <f t="shared" si="75"/>
        <v>1577114532</v>
      </c>
    </row>
    <row r="4814" spans="1:7" x14ac:dyDescent="0.25">
      <c r="A4814">
        <v>1577114557</v>
      </c>
      <c r="B4814" t="s">
        <v>27426</v>
      </c>
      <c r="C4814">
        <v>0</v>
      </c>
      <c r="D4814">
        <v>0</v>
      </c>
      <c r="E4814">
        <v>0</v>
      </c>
      <c r="F4814">
        <v>7775</v>
      </c>
      <c r="G4814">
        <f t="shared" si="75"/>
        <v>1577114557</v>
      </c>
    </row>
    <row r="4815" spans="1:7" x14ac:dyDescent="0.25">
      <c r="A4815">
        <v>1577114623</v>
      </c>
      <c r="B4815" t="s">
        <v>27427</v>
      </c>
      <c r="C4815">
        <v>270</v>
      </c>
      <c r="D4815">
        <v>5</v>
      </c>
      <c r="E4815">
        <v>12429</v>
      </c>
      <c r="F4815">
        <v>1244</v>
      </c>
      <c r="G4815">
        <f t="shared" si="75"/>
        <v>1577114623</v>
      </c>
    </row>
    <row r="4816" spans="1:7" x14ac:dyDescent="0.25">
      <c r="A4816">
        <v>1577114708</v>
      </c>
      <c r="B4816" t="s">
        <v>27428</v>
      </c>
      <c r="C4816">
        <v>152</v>
      </c>
      <c r="D4816">
        <v>3</v>
      </c>
      <c r="E4816">
        <v>10680</v>
      </c>
      <c r="F4816">
        <v>1469</v>
      </c>
      <c r="G4816">
        <f t="shared" si="75"/>
        <v>1577114708</v>
      </c>
    </row>
    <row r="4817" spans="1:7" x14ac:dyDescent="0.25">
      <c r="A4817">
        <v>1577114766</v>
      </c>
      <c r="B4817" t="s">
        <v>27429</v>
      </c>
      <c r="C4817">
        <v>760</v>
      </c>
      <c r="D4817">
        <v>4</v>
      </c>
      <c r="E4817">
        <v>18949</v>
      </c>
      <c r="F4817">
        <v>688</v>
      </c>
      <c r="G4817">
        <f t="shared" si="75"/>
        <v>1577114766</v>
      </c>
    </row>
    <row r="4818" spans="1:7" x14ac:dyDescent="0.25">
      <c r="A4818">
        <v>1577114847</v>
      </c>
      <c r="B4818" t="s">
        <v>37161</v>
      </c>
      <c r="C4818">
        <v>1791</v>
      </c>
      <c r="D4818">
        <v>1</v>
      </c>
      <c r="E4818">
        <v>199</v>
      </c>
      <c r="F4818">
        <v>5502</v>
      </c>
      <c r="G4818">
        <f t="shared" si="75"/>
        <v>1577114847</v>
      </c>
    </row>
    <row r="4819" spans="1:7" x14ac:dyDescent="0.25">
      <c r="A4819">
        <v>1577114941</v>
      </c>
      <c r="B4819" t="s">
        <v>27430</v>
      </c>
      <c r="C4819">
        <v>422</v>
      </c>
      <c r="D4819">
        <v>3</v>
      </c>
      <c r="E4819">
        <v>13573</v>
      </c>
      <c r="F4819">
        <v>1122</v>
      </c>
      <c r="G4819">
        <f t="shared" si="75"/>
        <v>1577114941</v>
      </c>
    </row>
    <row r="4820" spans="1:7" x14ac:dyDescent="0.25">
      <c r="A4820">
        <v>1577115286</v>
      </c>
      <c r="B4820" t="s">
        <v>1848</v>
      </c>
      <c r="C4820">
        <v>1674</v>
      </c>
      <c r="D4820">
        <v>0</v>
      </c>
      <c r="E4820">
        <v>0</v>
      </c>
      <c r="F4820">
        <v>7776</v>
      </c>
      <c r="G4820">
        <f t="shared" si="75"/>
        <v>1577115286</v>
      </c>
    </row>
    <row r="4821" spans="1:7" x14ac:dyDescent="0.25">
      <c r="A4821">
        <v>1577115905</v>
      </c>
      <c r="B4821" t="s">
        <v>27431</v>
      </c>
      <c r="C4821">
        <v>617</v>
      </c>
      <c r="D4821">
        <v>4</v>
      </c>
      <c r="E4821">
        <v>16718</v>
      </c>
      <c r="F4821">
        <v>852</v>
      </c>
      <c r="G4821">
        <f t="shared" si="75"/>
        <v>1577115905</v>
      </c>
    </row>
    <row r="4822" spans="1:7" x14ac:dyDescent="0.25">
      <c r="A4822">
        <v>1577116127</v>
      </c>
      <c r="B4822" t="s">
        <v>27432</v>
      </c>
      <c r="C4822">
        <v>552</v>
      </c>
      <c r="D4822">
        <v>4</v>
      </c>
      <c r="E4822">
        <v>17726</v>
      </c>
      <c r="F4822">
        <v>772</v>
      </c>
      <c r="G4822">
        <f t="shared" si="75"/>
        <v>1577116127</v>
      </c>
    </row>
    <row r="4823" spans="1:7" x14ac:dyDescent="0.25">
      <c r="A4823">
        <v>1577116520</v>
      </c>
      <c r="B4823" t="s">
        <v>27433</v>
      </c>
      <c r="C4823">
        <v>250</v>
      </c>
      <c r="D4823">
        <v>1</v>
      </c>
      <c r="E4823">
        <v>788</v>
      </c>
      <c r="F4823">
        <v>4218</v>
      </c>
      <c r="G4823">
        <f t="shared" si="75"/>
        <v>1577116520</v>
      </c>
    </row>
    <row r="4824" spans="1:7" x14ac:dyDescent="0.25">
      <c r="A4824">
        <v>1577116631</v>
      </c>
      <c r="B4824" t="s">
        <v>27434</v>
      </c>
      <c r="C4824">
        <v>0</v>
      </c>
      <c r="D4824">
        <v>0</v>
      </c>
      <c r="E4824">
        <v>0</v>
      </c>
      <c r="F4824">
        <v>7777</v>
      </c>
      <c r="G4824">
        <f t="shared" si="75"/>
        <v>1577116631</v>
      </c>
    </row>
    <row r="4825" spans="1:7" x14ac:dyDescent="0.25">
      <c r="A4825">
        <v>1577116738</v>
      </c>
      <c r="B4825" t="s">
        <v>27435</v>
      </c>
      <c r="C4825">
        <v>0</v>
      </c>
      <c r="D4825">
        <v>1</v>
      </c>
      <c r="E4825">
        <v>264</v>
      </c>
      <c r="F4825">
        <v>5246</v>
      </c>
      <c r="G4825">
        <f t="shared" si="75"/>
        <v>1577116738</v>
      </c>
    </row>
    <row r="4826" spans="1:7" x14ac:dyDescent="0.25">
      <c r="A4826">
        <v>1577117125</v>
      </c>
      <c r="B4826" t="s">
        <v>27436</v>
      </c>
      <c r="C4826">
        <v>0</v>
      </c>
      <c r="D4826">
        <v>1</v>
      </c>
      <c r="E4826">
        <v>1271</v>
      </c>
      <c r="F4826">
        <v>3746</v>
      </c>
      <c r="G4826">
        <f t="shared" si="75"/>
        <v>1577117125</v>
      </c>
    </row>
    <row r="4827" spans="1:7" x14ac:dyDescent="0.25">
      <c r="A4827">
        <v>1577117209</v>
      </c>
      <c r="B4827" t="s">
        <v>27437</v>
      </c>
      <c r="C4827">
        <v>0</v>
      </c>
      <c r="D4827">
        <v>1</v>
      </c>
      <c r="E4827">
        <v>26</v>
      </c>
      <c r="F4827">
        <v>6686</v>
      </c>
      <c r="G4827">
        <f t="shared" si="75"/>
        <v>1577117209</v>
      </c>
    </row>
    <row r="4828" spans="1:7" x14ac:dyDescent="0.25">
      <c r="A4828">
        <v>1577117310</v>
      </c>
      <c r="B4828" t="s">
        <v>27438</v>
      </c>
      <c r="C4828">
        <v>1832</v>
      </c>
      <c r="D4828">
        <v>0</v>
      </c>
      <c r="E4828">
        <v>0</v>
      </c>
      <c r="F4828">
        <v>7778</v>
      </c>
      <c r="G4828">
        <f t="shared" si="75"/>
        <v>1577117310</v>
      </c>
    </row>
    <row r="4829" spans="1:7" x14ac:dyDescent="0.25">
      <c r="A4829">
        <v>1577117368</v>
      </c>
      <c r="B4829" t="s">
        <v>27439</v>
      </c>
      <c r="C4829">
        <v>0</v>
      </c>
      <c r="D4829">
        <v>1</v>
      </c>
      <c r="E4829">
        <v>71</v>
      </c>
      <c r="F4829">
        <v>6057</v>
      </c>
      <c r="G4829">
        <f t="shared" si="75"/>
        <v>1577117368</v>
      </c>
    </row>
    <row r="4830" spans="1:7" x14ac:dyDescent="0.25">
      <c r="A4830">
        <v>1577117777</v>
      </c>
      <c r="B4830" t="s">
        <v>27440</v>
      </c>
      <c r="C4830">
        <v>0</v>
      </c>
      <c r="D4830">
        <v>1</v>
      </c>
      <c r="E4830">
        <v>26</v>
      </c>
      <c r="F4830">
        <v>6687</v>
      </c>
      <c r="G4830">
        <f t="shared" si="75"/>
        <v>1577117777</v>
      </c>
    </row>
    <row r="4831" spans="1:7" x14ac:dyDescent="0.25">
      <c r="A4831">
        <v>1577117790</v>
      </c>
      <c r="B4831" t="s">
        <v>27441</v>
      </c>
      <c r="C4831">
        <v>1946</v>
      </c>
      <c r="D4831">
        <v>3</v>
      </c>
      <c r="E4831">
        <v>10202</v>
      </c>
      <c r="F4831">
        <v>1535</v>
      </c>
      <c r="G4831">
        <f t="shared" si="75"/>
        <v>1577117790</v>
      </c>
    </row>
    <row r="4832" spans="1:7" x14ac:dyDescent="0.25">
      <c r="A4832">
        <v>1577117821</v>
      </c>
      <c r="B4832" t="s">
        <v>27442</v>
      </c>
      <c r="C4832">
        <v>1143</v>
      </c>
      <c r="D4832">
        <v>0</v>
      </c>
      <c r="E4832">
        <v>0</v>
      </c>
      <c r="F4832">
        <v>7779</v>
      </c>
      <c r="G4832">
        <f t="shared" si="75"/>
        <v>1577117821</v>
      </c>
    </row>
    <row r="4833" spans="1:7" x14ac:dyDescent="0.25">
      <c r="A4833">
        <v>1577117841</v>
      </c>
      <c r="B4833" t="s">
        <v>27443</v>
      </c>
      <c r="C4833">
        <v>53</v>
      </c>
      <c r="D4833">
        <v>3</v>
      </c>
      <c r="E4833">
        <v>8290</v>
      </c>
      <c r="F4833">
        <v>1833</v>
      </c>
      <c r="G4833">
        <f t="shared" si="75"/>
        <v>1577117841</v>
      </c>
    </row>
    <row r="4834" spans="1:7" x14ac:dyDescent="0.25">
      <c r="A4834">
        <v>1577117890</v>
      </c>
      <c r="B4834" t="s">
        <v>27444</v>
      </c>
      <c r="C4834">
        <v>0</v>
      </c>
      <c r="D4834">
        <v>1</v>
      </c>
      <c r="E4834">
        <v>73</v>
      </c>
      <c r="F4834">
        <v>6035</v>
      </c>
      <c r="G4834">
        <f t="shared" si="75"/>
        <v>1577117890</v>
      </c>
    </row>
    <row r="4835" spans="1:7" x14ac:dyDescent="0.25">
      <c r="A4835">
        <v>1577117902</v>
      </c>
      <c r="B4835" t="s">
        <v>27445</v>
      </c>
      <c r="C4835">
        <v>0</v>
      </c>
      <c r="D4835">
        <v>1</v>
      </c>
      <c r="E4835">
        <v>407</v>
      </c>
      <c r="F4835">
        <v>4834</v>
      </c>
      <c r="G4835">
        <f t="shared" si="75"/>
        <v>1577117902</v>
      </c>
    </row>
    <row r="4836" spans="1:7" x14ac:dyDescent="0.25">
      <c r="A4836">
        <v>1577118190</v>
      </c>
      <c r="B4836" t="s">
        <v>27446</v>
      </c>
      <c r="C4836">
        <v>0</v>
      </c>
      <c r="D4836">
        <v>1</v>
      </c>
      <c r="E4836">
        <v>26</v>
      </c>
      <c r="F4836">
        <v>6688</v>
      </c>
      <c r="G4836">
        <f t="shared" si="75"/>
        <v>1577118190</v>
      </c>
    </row>
    <row r="4837" spans="1:7" x14ac:dyDescent="0.25">
      <c r="A4837">
        <v>1577118249</v>
      </c>
      <c r="B4837" t="s">
        <v>36616</v>
      </c>
      <c r="C4837">
        <v>1689</v>
      </c>
      <c r="D4837">
        <v>1</v>
      </c>
      <c r="E4837">
        <v>5175</v>
      </c>
      <c r="F4837">
        <v>2472</v>
      </c>
      <c r="G4837">
        <f t="shared" si="75"/>
        <v>1577118249</v>
      </c>
    </row>
    <row r="4838" spans="1:7" x14ac:dyDescent="0.25">
      <c r="A4838">
        <v>1577118287</v>
      </c>
      <c r="B4838" t="s">
        <v>27447</v>
      </c>
      <c r="C4838">
        <v>1100</v>
      </c>
      <c r="D4838">
        <v>2</v>
      </c>
      <c r="E4838">
        <v>5820</v>
      </c>
      <c r="F4838">
        <v>2323</v>
      </c>
      <c r="G4838">
        <f t="shared" si="75"/>
        <v>1577118287</v>
      </c>
    </row>
    <row r="4839" spans="1:7" x14ac:dyDescent="0.25">
      <c r="A4839">
        <v>1577118698</v>
      </c>
      <c r="B4839" t="s">
        <v>27448</v>
      </c>
      <c r="C4839">
        <v>1107</v>
      </c>
      <c r="D4839">
        <v>0</v>
      </c>
      <c r="E4839">
        <v>0</v>
      </c>
      <c r="F4839">
        <v>7780</v>
      </c>
      <c r="G4839">
        <f t="shared" si="75"/>
        <v>1577118698</v>
      </c>
    </row>
    <row r="4840" spans="1:7" x14ac:dyDescent="0.25">
      <c r="A4840">
        <v>1577118707</v>
      </c>
      <c r="B4840" t="s">
        <v>27449</v>
      </c>
      <c r="C4840">
        <v>0</v>
      </c>
      <c r="D4840">
        <v>1</v>
      </c>
      <c r="E4840">
        <v>433</v>
      </c>
      <c r="F4840">
        <v>4773</v>
      </c>
      <c r="G4840">
        <f t="shared" si="75"/>
        <v>1577118707</v>
      </c>
    </row>
    <row r="4841" spans="1:7" x14ac:dyDescent="0.25">
      <c r="A4841">
        <v>1577118712</v>
      </c>
      <c r="B4841" t="s">
        <v>27450</v>
      </c>
      <c r="C4841">
        <v>0</v>
      </c>
      <c r="D4841">
        <v>1</v>
      </c>
      <c r="E4841">
        <v>74</v>
      </c>
      <c r="F4841">
        <v>6024</v>
      </c>
      <c r="G4841">
        <f t="shared" si="75"/>
        <v>1577118712</v>
      </c>
    </row>
    <row r="4842" spans="1:7" x14ac:dyDescent="0.25">
      <c r="A4842">
        <v>1577118725</v>
      </c>
      <c r="B4842" t="s">
        <v>27451</v>
      </c>
      <c r="C4842">
        <v>0</v>
      </c>
      <c r="D4842">
        <v>0</v>
      </c>
      <c r="E4842">
        <v>0</v>
      </c>
      <c r="F4842">
        <v>7781</v>
      </c>
      <c r="G4842">
        <f t="shared" si="75"/>
        <v>1577118725</v>
      </c>
    </row>
    <row r="4843" spans="1:7" x14ac:dyDescent="0.25">
      <c r="A4843">
        <v>1577118786</v>
      </c>
      <c r="B4843" t="s">
        <v>27452</v>
      </c>
      <c r="C4843">
        <v>0</v>
      </c>
      <c r="D4843">
        <v>1</v>
      </c>
      <c r="E4843">
        <v>26</v>
      </c>
      <c r="F4843">
        <v>6689</v>
      </c>
      <c r="G4843">
        <f t="shared" si="75"/>
        <v>1577118786</v>
      </c>
    </row>
    <row r="4844" spans="1:7" x14ac:dyDescent="0.25">
      <c r="A4844">
        <v>1577119096</v>
      </c>
      <c r="B4844" t="s">
        <v>1890</v>
      </c>
      <c r="C4844">
        <v>0</v>
      </c>
      <c r="D4844">
        <v>0</v>
      </c>
      <c r="E4844">
        <v>0</v>
      </c>
      <c r="F4844">
        <v>7782</v>
      </c>
      <c r="G4844">
        <f t="shared" si="75"/>
        <v>1577119096</v>
      </c>
    </row>
    <row r="4845" spans="1:7" x14ac:dyDescent="0.25">
      <c r="A4845">
        <v>1577119218</v>
      </c>
      <c r="B4845" t="s">
        <v>27453</v>
      </c>
      <c r="C4845">
        <v>1362</v>
      </c>
      <c r="D4845">
        <v>1</v>
      </c>
      <c r="E4845">
        <v>1659</v>
      </c>
      <c r="F4845">
        <v>3518</v>
      </c>
      <c r="G4845">
        <f t="shared" si="75"/>
        <v>1577119218</v>
      </c>
    </row>
    <row r="4846" spans="1:7" x14ac:dyDescent="0.25">
      <c r="A4846">
        <v>1577119452</v>
      </c>
      <c r="B4846" t="s">
        <v>36617</v>
      </c>
      <c r="C4846">
        <v>0</v>
      </c>
      <c r="D4846">
        <v>1</v>
      </c>
      <c r="E4846">
        <v>413</v>
      </c>
      <c r="F4846">
        <v>4822</v>
      </c>
      <c r="G4846">
        <f t="shared" si="75"/>
        <v>1577119452</v>
      </c>
    </row>
    <row r="4847" spans="1:7" x14ac:dyDescent="0.25">
      <c r="A4847">
        <v>1577119491</v>
      </c>
      <c r="B4847" t="s">
        <v>27454</v>
      </c>
      <c r="C4847">
        <v>0</v>
      </c>
      <c r="D4847">
        <v>1</v>
      </c>
      <c r="E4847">
        <v>26</v>
      </c>
      <c r="F4847">
        <v>6690</v>
      </c>
      <c r="G4847">
        <f t="shared" si="75"/>
        <v>1577119491</v>
      </c>
    </row>
    <row r="4848" spans="1:7" x14ac:dyDescent="0.25">
      <c r="A4848">
        <v>1577119536</v>
      </c>
      <c r="B4848" t="s">
        <v>27455</v>
      </c>
      <c r="C4848">
        <v>422</v>
      </c>
      <c r="D4848">
        <v>3</v>
      </c>
      <c r="E4848">
        <v>11237</v>
      </c>
      <c r="F4848">
        <v>1379</v>
      </c>
      <c r="G4848">
        <f t="shared" si="75"/>
        <v>1577119536</v>
      </c>
    </row>
    <row r="4849" spans="1:7" x14ac:dyDescent="0.25">
      <c r="A4849">
        <v>1577119778</v>
      </c>
      <c r="B4849" t="s">
        <v>27456</v>
      </c>
      <c r="C4849">
        <v>0</v>
      </c>
      <c r="D4849">
        <v>1</v>
      </c>
      <c r="E4849">
        <v>132</v>
      </c>
      <c r="F4849">
        <v>5760</v>
      </c>
      <c r="G4849">
        <f t="shared" si="75"/>
        <v>1577119778</v>
      </c>
    </row>
    <row r="4850" spans="1:7" x14ac:dyDescent="0.25">
      <c r="A4850">
        <v>1577120304</v>
      </c>
      <c r="B4850" t="s">
        <v>27457</v>
      </c>
      <c r="C4850">
        <v>25</v>
      </c>
      <c r="D4850">
        <v>2</v>
      </c>
      <c r="E4850">
        <v>7832</v>
      </c>
      <c r="F4850">
        <v>1928</v>
      </c>
      <c r="G4850">
        <f t="shared" si="75"/>
        <v>1577120304</v>
      </c>
    </row>
    <row r="4851" spans="1:7" x14ac:dyDescent="0.25">
      <c r="A4851">
        <v>1577120670</v>
      </c>
      <c r="B4851" t="s">
        <v>27458</v>
      </c>
      <c r="C4851">
        <v>1930</v>
      </c>
      <c r="D4851">
        <v>1</v>
      </c>
      <c r="E4851">
        <v>1712</v>
      </c>
      <c r="F4851">
        <v>3489</v>
      </c>
      <c r="G4851">
        <f t="shared" si="75"/>
        <v>1577120670</v>
      </c>
    </row>
    <row r="4852" spans="1:7" x14ac:dyDescent="0.25">
      <c r="A4852">
        <v>1577121032</v>
      </c>
      <c r="B4852" t="s">
        <v>27459</v>
      </c>
      <c r="C4852">
        <v>0</v>
      </c>
      <c r="D4852">
        <v>1</v>
      </c>
      <c r="E4852">
        <v>1962</v>
      </c>
      <c r="F4852">
        <v>3374</v>
      </c>
      <c r="G4852">
        <f t="shared" si="75"/>
        <v>1577121032</v>
      </c>
    </row>
    <row r="4853" spans="1:7" x14ac:dyDescent="0.25">
      <c r="A4853">
        <v>1577121157</v>
      </c>
      <c r="B4853" t="s">
        <v>27460</v>
      </c>
      <c r="C4853">
        <v>0</v>
      </c>
      <c r="D4853">
        <v>1</v>
      </c>
      <c r="E4853">
        <v>938</v>
      </c>
      <c r="F4853">
        <v>4054</v>
      </c>
      <c r="G4853">
        <f t="shared" si="75"/>
        <v>1577121157</v>
      </c>
    </row>
    <row r="4854" spans="1:7" x14ac:dyDescent="0.25">
      <c r="A4854">
        <v>1577121162</v>
      </c>
      <c r="B4854" t="s">
        <v>27461</v>
      </c>
      <c r="C4854">
        <v>0</v>
      </c>
      <c r="D4854">
        <v>1</v>
      </c>
      <c r="E4854">
        <v>469</v>
      </c>
      <c r="F4854">
        <v>4702</v>
      </c>
      <c r="G4854">
        <f t="shared" si="75"/>
        <v>1577121162</v>
      </c>
    </row>
    <row r="4855" spans="1:7" x14ac:dyDescent="0.25">
      <c r="A4855">
        <v>1577121163</v>
      </c>
      <c r="B4855" t="s">
        <v>2823</v>
      </c>
      <c r="C4855">
        <v>0</v>
      </c>
      <c r="D4855">
        <v>1</v>
      </c>
      <c r="E4855">
        <v>497</v>
      </c>
      <c r="F4855">
        <v>4646</v>
      </c>
      <c r="G4855">
        <f t="shared" si="75"/>
        <v>1577121163</v>
      </c>
    </row>
    <row r="4856" spans="1:7" x14ac:dyDescent="0.25">
      <c r="A4856">
        <v>1577121326</v>
      </c>
      <c r="B4856" t="s">
        <v>27462</v>
      </c>
      <c r="C4856">
        <v>0</v>
      </c>
      <c r="D4856">
        <v>1</v>
      </c>
      <c r="E4856">
        <v>26</v>
      </c>
      <c r="F4856">
        <v>6691</v>
      </c>
      <c r="G4856">
        <f t="shared" si="75"/>
        <v>1577121326</v>
      </c>
    </row>
    <row r="4857" spans="1:7" x14ac:dyDescent="0.25">
      <c r="A4857">
        <v>1577121562</v>
      </c>
      <c r="B4857" t="s">
        <v>27463</v>
      </c>
      <c r="C4857">
        <v>443</v>
      </c>
      <c r="D4857">
        <v>1</v>
      </c>
      <c r="E4857">
        <v>4888</v>
      </c>
      <c r="F4857">
        <v>2535</v>
      </c>
      <c r="G4857">
        <f t="shared" si="75"/>
        <v>1577121562</v>
      </c>
    </row>
    <row r="4858" spans="1:7" x14ac:dyDescent="0.25">
      <c r="A4858">
        <v>1577121578</v>
      </c>
      <c r="B4858" t="s">
        <v>27464</v>
      </c>
      <c r="C4858">
        <v>552</v>
      </c>
      <c r="D4858">
        <v>6</v>
      </c>
      <c r="E4858">
        <v>34968</v>
      </c>
      <c r="F4858">
        <v>150</v>
      </c>
      <c r="G4858">
        <f t="shared" si="75"/>
        <v>1577121578</v>
      </c>
    </row>
    <row r="4859" spans="1:7" x14ac:dyDescent="0.25">
      <c r="A4859">
        <v>1577121900</v>
      </c>
      <c r="B4859" t="s">
        <v>27465</v>
      </c>
      <c r="C4859">
        <v>617</v>
      </c>
      <c r="D4859">
        <v>3</v>
      </c>
      <c r="E4859">
        <v>12251</v>
      </c>
      <c r="F4859">
        <v>1261</v>
      </c>
      <c r="G4859">
        <f t="shared" si="75"/>
        <v>1577121900</v>
      </c>
    </row>
    <row r="4860" spans="1:7" x14ac:dyDescent="0.25">
      <c r="A4860">
        <v>1577121925</v>
      </c>
      <c r="B4860" t="s">
        <v>27466</v>
      </c>
      <c r="C4860">
        <v>0</v>
      </c>
      <c r="D4860">
        <v>0</v>
      </c>
      <c r="E4860">
        <v>0</v>
      </c>
      <c r="F4860">
        <v>7783</v>
      </c>
      <c r="G4860">
        <f t="shared" si="75"/>
        <v>1577121925</v>
      </c>
    </row>
    <row r="4861" spans="1:7" x14ac:dyDescent="0.25">
      <c r="A4861">
        <v>1577122221</v>
      </c>
      <c r="B4861" t="s">
        <v>27467</v>
      </c>
      <c r="C4861">
        <v>0</v>
      </c>
      <c r="D4861">
        <v>1</v>
      </c>
      <c r="E4861">
        <v>296</v>
      </c>
      <c r="F4861">
        <v>5132</v>
      </c>
      <c r="G4861">
        <f t="shared" si="75"/>
        <v>1577122221</v>
      </c>
    </row>
    <row r="4862" spans="1:7" x14ac:dyDescent="0.25">
      <c r="A4862">
        <v>1577122286</v>
      </c>
      <c r="B4862" t="s">
        <v>27468</v>
      </c>
      <c r="C4862">
        <v>1818</v>
      </c>
      <c r="D4862">
        <v>0</v>
      </c>
      <c r="E4862">
        <v>0</v>
      </c>
      <c r="F4862">
        <v>7784</v>
      </c>
      <c r="G4862">
        <f t="shared" si="75"/>
        <v>1577122286</v>
      </c>
    </row>
    <row r="4863" spans="1:7" x14ac:dyDescent="0.25">
      <c r="A4863">
        <v>1577122295</v>
      </c>
      <c r="B4863" t="s">
        <v>37322</v>
      </c>
      <c r="C4863">
        <v>0</v>
      </c>
      <c r="D4863">
        <v>0</v>
      </c>
      <c r="E4863">
        <v>0</v>
      </c>
      <c r="F4863">
        <v>7785</v>
      </c>
      <c r="G4863">
        <f t="shared" si="75"/>
        <v>1577122295</v>
      </c>
    </row>
    <row r="4864" spans="1:7" x14ac:dyDescent="0.25">
      <c r="A4864">
        <v>1577122384</v>
      </c>
      <c r="B4864" t="s">
        <v>27469</v>
      </c>
      <c r="C4864">
        <v>0</v>
      </c>
      <c r="D4864">
        <v>1</v>
      </c>
      <c r="E4864">
        <v>145</v>
      </c>
      <c r="F4864">
        <v>5713</v>
      </c>
      <c r="G4864">
        <f t="shared" si="75"/>
        <v>1577122384</v>
      </c>
    </row>
    <row r="4865" spans="1:7" x14ac:dyDescent="0.25">
      <c r="A4865">
        <v>1577122568</v>
      </c>
      <c r="B4865" t="s">
        <v>27470</v>
      </c>
      <c r="C4865">
        <v>0</v>
      </c>
      <c r="D4865">
        <v>1</v>
      </c>
      <c r="E4865">
        <v>26</v>
      </c>
      <c r="F4865">
        <v>6692</v>
      </c>
      <c r="G4865">
        <f t="shared" ref="G4865:G4928" si="76">A4865</f>
        <v>1577122568</v>
      </c>
    </row>
    <row r="4866" spans="1:7" x14ac:dyDescent="0.25">
      <c r="A4866">
        <v>1577122598</v>
      </c>
      <c r="B4866" t="s">
        <v>27471</v>
      </c>
      <c r="C4866">
        <v>0</v>
      </c>
      <c r="D4866">
        <v>1</v>
      </c>
      <c r="E4866">
        <v>2857</v>
      </c>
      <c r="F4866">
        <v>3022</v>
      </c>
      <c r="G4866">
        <f t="shared" si="76"/>
        <v>1577122598</v>
      </c>
    </row>
    <row r="4867" spans="1:7" x14ac:dyDescent="0.25">
      <c r="A4867">
        <v>1577122669</v>
      </c>
      <c r="B4867" t="s">
        <v>27472</v>
      </c>
      <c r="C4867">
        <v>39</v>
      </c>
      <c r="D4867">
        <v>1</v>
      </c>
      <c r="E4867">
        <v>4802</v>
      </c>
      <c r="F4867">
        <v>2551</v>
      </c>
      <c r="G4867">
        <f t="shared" si="76"/>
        <v>1577122669</v>
      </c>
    </row>
    <row r="4868" spans="1:7" x14ac:dyDescent="0.25">
      <c r="A4868">
        <v>1577122731</v>
      </c>
      <c r="B4868" t="s">
        <v>27473</v>
      </c>
      <c r="C4868">
        <v>179</v>
      </c>
      <c r="D4868">
        <v>1</v>
      </c>
      <c r="E4868">
        <v>4201</v>
      </c>
      <c r="F4868">
        <v>2714</v>
      </c>
      <c r="G4868">
        <f t="shared" si="76"/>
        <v>1577122731</v>
      </c>
    </row>
    <row r="4869" spans="1:7" x14ac:dyDescent="0.25">
      <c r="A4869">
        <v>1577122740</v>
      </c>
      <c r="B4869" t="s">
        <v>27474</v>
      </c>
      <c r="C4869">
        <v>0</v>
      </c>
      <c r="D4869">
        <v>1</v>
      </c>
      <c r="E4869">
        <v>460</v>
      </c>
      <c r="F4869">
        <v>4726</v>
      </c>
      <c r="G4869">
        <f t="shared" si="76"/>
        <v>1577122740</v>
      </c>
    </row>
    <row r="4870" spans="1:7" x14ac:dyDescent="0.25">
      <c r="A4870">
        <v>1577122793</v>
      </c>
      <c r="B4870" t="s">
        <v>36618</v>
      </c>
      <c r="C4870">
        <v>0</v>
      </c>
      <c r="D4870">
        <v>1</v>
      </c>
      <c r="E4870">
        <v>354</v>
      </c>
      <c r="F4870">
        <v>4972</v>
      </c>
      <c r="G4870">
        <f t="shared" si="76"/>
        <v>1577122793</v>
      </c>
    </row>
    <row r="4871" spans="1:7" x14ac:dyDescent="0.25">
      <c r="A4871">
        <v>1577122903</v>
      </c>
      <c r="B4871" t="s">
        <v>27475</v>
      </c>
      <c r="C4871">
        <v>0</v>
      </c>
      <c r="D4871">
        <v>1</v>
      </c>
      <c r="E4871">
        <v>26</v>
      </c>
      <c r="F4871">
        <v>6693</v>
      </c>
      <c r="G4871">
        <f t="shared" si="76"/>
        <v>1577122903</v>
      </c>
    </row>
    <row r="4872" spans="1:7" x14ac:dyDescent="0.25">
      <c r="A4872">
        <v>1577123026</v>
      </c>
      <c r="B4872" t="s">
        <v>27476</v>
      </c>
      <c r="C4872">
        <v>541</v>
      </c>
      <c r="D4872">
        <v>3</v>
      </c>
      <c r="E4872">
        <v>20625</v>
      </c>
      <c r="F4872">
        <v>588</v>
      </c>
      <c r="G4872">
        <f t="shared" si="76"/>
        <v>1577123026</v>
      </c>
    </row>
    <row r="4873" spans="1:7" x14ac:dyDescent="0.25">
      <c r="A4873">
        <v>1577123140</v>
      </c>
      <c r="B4873" t="s">
        <v>27477</v>
      </c>
      <c r="C4873">
        <v>1069</v>
      </c>
      <c r="D4873">
        <v>1</v>
      </c>
      <c r="E4873">
        <v>2730</v>
      </c>
      <c r="F4873">
        <v>3065</v>
      </c>
      <c r="G4873">
        <f t="shared" si="76"/>
        <v>1577123140</v>
      </c>
    </row>
    <row r="4874" spans="1:7" x14ac:dyDescent="0.25">
      <c r="A4874">
        <v>1577123371</v>
      </c>
      <c r="B4874" t="s">
        <v>27478</v>
      </c>
      <c r="C4874">
        <v>39</v>
      </c>
      <c r="D4874">
        <v>1</v>
      </c>
      <c r="E4874">
        <v>830</v>
      </c>
      <c r="F4874">
        <v>4178</v>
      </c>
      <c r="G4874">
        <f t="shared" si="76"/>
        <v>1577123371</v>
      </c>
    </row>
    <row r="4875" spans="1:7" x14ac:dyDescent="0.25">
      <c r="A4875">
        <v>1577123419</v>
      </c>
      <c r="B4875" t="s">
        <v>36619</v>
      </c>
      <c r="C4875">
        <v>0</v>
      </c>
      <c r="D4875">
        <v>1</v>
      </c>
      <c r="E4875">
        <v>26</v>
      </c>
      <c r="F4875">
        <v>6694</v>
      </c>
      <c r="G4875">
        <f t="shared" si="76"/>
        <v>1577123419</v>
      </c>
    </row>
    <row r="4876" spans="1:7" x14ac:dyDescent="0.25">
      <c r="A4876">
        <v>1577123713</v>
      </c>
      <c r="B4876" t="s">
        <v>27479</v>
      </c>
      <c r="C4876">
        <v>424</v>
      </c>
      <c r="D4876">
        <v>3</v>
      </c>
      <c r="E4876">
        <v>10126</v>
      </c>
      <c r="F4876">
        <v>1574</v>
      </c>
      <c r="G4876">
        <f t="shared" si="76"/>
        <v>1577123713</v>
      </c>
    </row>
    <row r="4877" spans="1:7" x14ac:dyDescent="0.25">
      <c r="A4877">
        <v>1577123742</v>
      </c>
      <c r="B4877" t="s">
        <v>37162</v>
      </c>
      <c r="C4877">
        <v>733</v>
      </c>
      <c r="D4877">
        <v>4</v>
      </c>
      <c r="E4877">
        <v>19073</v>
      </c>
      <c r="F4877">
        <v>685</v>
      </c>
      <c r="G4877">
        <f t="shared" si="76"/>
        <v>1577123742</v>
      </c>
    </row>
    <row r="4878" spans="1:7" x14ac:dyDescent="0.25">
      <c r="A4878">
        <v>1577123970</v>
      </c>
      <c r="B4878" t="s">
        <v>27480</v>
      </c>
      <c r="C4878">
        <v>0</v>
      </c>
      <c r="D4878">
        <v>0</v>
      </c>
      <c r="E4878">
        <v>0</v>
      </c>
      <c r="F4878">
        <v>7786</v>
      </c>
      <c r="G4878">
        <f t="shared" si="76"/>
        <v>1577123970</v>
      </c>
    </row>
    <row r="4879" spans="1:7" x14ac:dyDescent="0.25">
      <c r="A4879">
        <v>1577124006</v>
      </c>
      <c r="B4879" t="s">
        <v>27481</v>
      </c>
      <c r="C4879">
        <v>0</v>
      </c>
      <c r="D4879">
        <v>1</v>
      </c>
      <c r="E4879">
        <v>146</v>
      </c>
      <c r="F4879">
        <v>5709</v>
      </c>
      <c r="G4879">
        <f t="shared" si="76"/>
        <v>1577124006</v>
      </c>
    </row>
    <row r="4880" spans="1:7" x14ac:dyDescent="0.25">
      <c r="A4880">
        <v>1577124717</v>
      </c>
      <c r="B4880" t="s">
        <v>27482</v>
      </c>
      <c r="C4880">
        <v>271</v>
      </c>
      <c r="D4880">
        <v>3</v>
      </c>
      <c r="E4880">
        <v>14176</v>
      </c>
      <c r="F4880">
        <v>1063</v>
      </c>
      <c r="G4880">
        <f t="shared" si="76"/>
        <v>1577124717</v>
      </c>
    </row>
    <row r="4881" spans="1:7" x14ac:dyDescent="0.25">
      <c r="A4881">
        <v>1577124730</v>
      </c>
      <c r="B4881" t="s">
        <v>27483</v>
      </c>
      <c r="C4881">
        <v>645</v>
      </c>
      <c r="D4881">
        <v>1</v>
      </c>
      <c r="E4881">
        <v>26</v>
      </c>
      <c r="F4881">
        <v>6695</v>
      </c>
      <c r="G4881">
        <f t="shared" si="76"/>
        <v>1577124730</v>
      </c>
    </row>
    <row r="4882" spans="1:7" x14ac:dyDescent="0.25">
      <c r="A4882">
        <v>1577125032</v>
      </c>
      <c r="B4882" t="s">
        <v>27484</v>
      </c>
      <c r="C4882">
        <v>0</v>
      </c>
      <c r="D4882">
        <v>1</v>
      </c>
      <c r="E4882">
        <v>791</v>
      </c>
      <c r="F4882">
        <v>4212</v>
      </c>
      <c r="G4882">
        <f t="shared" si="76"/>
        <v>1577125032</v>
      </c>
    </row>
    <row r="4883" spans="1:7" x14ac:dyDescent="0.25">
      <c r="A4883">
        <v>1577125095</v>
      </c>
      <c r="B4883" t="s">
        <v>27485</v>
      </c>
      <c r="C4883">
        <v>0</v>
      </c>
      <c r="D4883">
        <v>1</v>
      </c>
      <c r="E4883">
        <v>26</v>
      </c>
      <c r="F4883">
        <v>6696</v>
      </c>
      <c r="G4883">
        <f t="shared" si="76"/>
        <v>1577125095</v>
      </c>
    </row>
    <row r="4884" spans="1:7" x14ac:dyDescent="0.25">
      <c r="A4884">
        <v>1577125099</v>
      </c>
      <c r="B4884" t="s">
        <v>36620</v>
      </c>
      <c r="C4884">
        <v>0</v>
      </c>
      <c r="D4884">
        <v>0</v>
      </c>
      <c r="E4884">
        <v>0</v>
      </c>
      <c r="F4884">
        <v>7787</v>
      </c>
      <c r="G4884">
        <f t="shared" si="76"/>
        <v>1577125099</v>
      </c>
    </row>
    <row r="4885" spans="1:7" x14ac:dyDescent="0.25">
      <c r="A4885">
        <v>1577125197</v>
      </c>
      <c r="B4885" t="s">
        <v>27486</v>
      </c>
      <c r="C4885">
        <v>0</v>
      </c>
      <c r="D4885">
        <v>0</v>
      </c>
      <c r="E4885">
        <v>0</v>
      </c>
      <c r="F4885">
        <v>7788</v>
      </c>
      <c r="G4885">
        <f t="shared" si="76"/>
        <v>1577125197</v>
      </c>
    </row>
    <row r="4886" spans="1:7" x14ac:dyDescent="0.25">
      <c r="A4886">
        <v>1577125479</v>
      </c>
      <c r="B4886" t="s">
        <v>27487</v>
      </c>
      <c r="C4886">
        <v>0</v>
      </c>
      <c r="D4886">
        <v>0</v>
      </c>
      <c r="E4886">
        <v>0</v>
      </c>
      <c r="F4886">
        <v>7789</v>
      </c>
      <c r="G4886">
        <f t="shared" si="76"/>
        <v>1577125479</v>
      </c>
    </row>
    <row r="4887" spans="1:7" x14ac:dyDescent="0.25">
      <c r="A4887">
        <v>1577125594</v>
      </c>
      <c r="B4887" t="s">
        <v>2951</v>
      </c>
      <c r="C4887">
        <v>0</v>
      </c>
      <c r="D4887">
        <v>1</v>
      </c>
      <c r="E4887">
        <v>90</v>
      </c>
      <c r="F4887">
        <v>5907</v>
      </c>
      <c r="G4887">
        <f t="shared" si="76"/>
        <v>1577125594</v>
      </c>
    </row>
    <row r="4888" spans="1:7" x14ac:dyDescent="0.25">
      <c r="A4888">
        <v>1577125632</v>
      </c>
      <c r="B4888" t="s">
        <v>27488</v>
      </c>
      <c r="C4888">
        <v>0</v>
      </c>
      <c r="D4888">
        <v>0</v>
      </c>
      <c r="E4888">
        <v>0</v>
      </c>
      <c r="F4888">
        <v>7790</v>
      </c>
      <c r="G4888">
        <f t="shared" si="76"/>
        <v>1577125632</v>
      </c>
    </row>
    <row r="4889" spans="1:7" x14ac:dyDescent="0.25">
      <c r="A4889">
        <v>1577125645</v>
      </c>
      <c r="B4889" t="s">
        <v>36621</v>
      </c>
      <c r="C4889">
        <v>0</v>
      </c>
      <c r="D4889">
        <v>1</v>
      </c>
      <c r="E4889">
        <v>240</v>
      </c>
      <c r="F4889">
        <v>5349</v>
      </c>
      <c r="G4889">
        <f t="shared" si="76"/>
        <v>1577125645</v>
      </c>
    </row>
    <row r="4890" spans="1:7" x14ac:dyDescent="0.25">
      <c r="A4890">
        <v>1577125689</v>
      </c>
      <c r="B4890" t="s">
        <v>27489</v>
      </c>
      <c r="C4890">
        <v>409</v>
      </c>
      <c r="D4890">
        <v>3</v>
      </c>
      <c r="E4890">
        <v>13370</v>
      </c>
      <c r="F4890">
        <v>1133</v>
      </c>
      <c r="G4890">
        <f t="shared" si="76"/>
        <v>1577125689</v>
      </c>
    </row>
    <row r="4891" spans="1:7" x14ac:dyDescent="0.25">
      <c r="A4891">
        <v>1577126109</v>
      </c>
      <c r="B4891" t="s">
        <v>37060</v>
      </c>
      <c r="C4891">
        <v>23</v>
      </c>
      <c r="D4891">
        <v>1</v>
      </c>
      <c r="E4891">
        <v>6962</v>
      </c>
      <c r="F4891">
        <v>2068</v>
      </c>
      <c r="G4891">
        <f t="shared" si="76"/>
        <v>1577126109</v>
      </c>
    </row>
    <row r="4892" spans="1:7" x14ac:dyDescent="0.25">
      <c r="A4892">
        <v>1577126159</v>
      </c>
      <c r="B4892" t="s">
        <v>27490</v>
      </c>
      <c r="C4892">
        <v>480</v>
      </c>
      <c r="D4892">
        <v>5</v>
      </c>
      <c r="E4892">
        <v>27413</v>
      </c>
      <c r="F4892">
        <v>319</v>
      </c>
      <c r="G4892">
        <f t="shared" si="76"/>
        <v>1577126159</v>
      </c>
    </row>
    <row r="4893" spans="1:7" x14ac:dyDescent="0.25">
      <c r="A4893">
        <v>1577126181</v>
      </c>
      <c r="B4893" t="s">
        <v>27491</v>
      </c>
      <c r="C4893">
        <v>0</v>
      </c>
      <c r="D4893">
        <v>0</v>
      </c>
      <c r="E4893">
        <v>0</v>
      </c>
      <c r="F4893">
        <v>7791</v>
      </c>
      <c r="G4893">
        <f t="shared" si="76"/>
        <v>1577126181</v>
      </c>
    </row>
    <row r="4894" spans="1:7" x14ac:dyDescent="0.25">
      <c r="A4894">
        <v>1577126198</v>
      </c>
      <c r="B4894" t="s">
        <v>27492</v>
      </c>
      <c r="C4894">
        <v>138</v>
      </c>
      <c r="D4894">
        <v>4</v>
      </c>
      <c r="E4894">
        <v>23545</v>
      </c>
      <c r="F4894">
        <v>458</v>
      </c>
      <c r="G4894">
        <f t="shared" si="76"/>
        <v>1577126198</v>
      </c>
    </row>
    <row r="4895" spans="1:7" x14ac:dyDescent="0.25">
      <c r="A4895">
        <v>1577126240</v>
      </c>
      <c r="B4895" t="s">
        <v>27493</v>
      </c>
      <c r="C4895">
        <v>1503</v>
      </c>
      <c r="D4895">
        <v>2</v>
      </c>
      <c r="E4895">
        <v>8067</v>
      </c>
      <c r="F4895">
        <v>1887</v>
      </c>
      <c r="G4895">
        <f t="shared" si="76"/>
        <v>1577126240</v>
      </c>
    </row>
    <row r="4896" spans="1:7" x14ac:dyDescent="0.25">
      <c r="A4896">
        <v>1577126719</v>
      </c>
      <c r="B4896" t="s">
        <v>36622</v>
      </c>
      <c r="C4896">
        <v>0</v>
      </c>
      <c r="D4896">
        <v>1</v>
      </c>
      <c r="E4896">
        <v>26</v>
      </c>
      <c r="F4896">
        <v>6697</v>
      </c>
      <c r="G4896">
        <f t="shared" si="76"/>
        <v>1577126719</v>
      </c>
    </row>
    <row r="4897" spans="1:7" x14ac:dyDescent="0.25">
      <c r="A4897">
        <v>1577126766</v>
      </c>
      <c r="B4897" t="s">
        <v>36623</v>
      </c>
      <c r="C4897">
        <v>0</v>
      </c>
      <c r="D4897">
        <v>1</v>
      </c>
      <c r="E4897">
        <v>199</v>
      </c>
      <c r="F4897">
        <v>5503</v>
      </c>
      <c r="G4897">
        <f t="shared" si="76"/>
        <v>1577126766</v>
      </c>
    </row>
    <row r="4898" spans="1:7" x14ac:dyDescent="0.25">
      <c r="A4898">
        <v>1577126872</v>
      </c>
      <c r="B4898" t="s">
        <v>27494</v>
      </c>
      <c r="C4898">
        <v>0</v>
      </c>
      <c r="D4898">
        <v>1</v>
      </c>
      <c r="E4898">
        <v>1050</v>
      </c>
      <c r="F4898">
        <v>3923</v>
      </c>
      <c r="G4898">
        <f t="shared" si="76"/>
        <v>1577126872</v>
      </c>
    </row>
    <row r="4899" spans="1:7" x14ac:dyDescent="0.25">
      <c r="A4899">
        <v>1577126898</v>
      </c>
      <c r="B4899" t="s">
        <v>36624</v>
      </c>
      <c r="C4899">
        <v>15</v>
      </c>
      <c r="D4899">
        <v>1</v>
      </c>
      <c r="E4899">
        <v>26</v>
      </c>
      <c r="F4899">
        <v>6698</v>
      </c>
      <c r="G4899">
        <f t="shared" si="76"/>
        <v>1577126898</v>
      </c>
    </row>
    <row r="4900" spans="1:7" x14ac:dyDescent="0.25">
      <c r="A4900">
        <v>1577126954</v>
      </c>
      <c r="B4900" t="s">
        <v>27495</v>
      </c>
      <c r="C4900">
        <v>0</v>
      </c>
      <c r="D4900">
        <v>1</v>
      </c>
      <c r="E4900">
        <v>1967</v>
      </c>
      <c r="F4900">
        <v>3362</v>
      </c>
      <c r="G4900">
        <f t="shared" si="76"/>
        <v>1577126954</v>
      </c>
    </row>
    <row r="4901" spans="1:7" x14ac:dyDescent="0.25">
      <c r="A4901">
        <v>1577126961</v>
      </c>
      <c r="B4901" t="s">
        <v>27496</v>
      </c>
      <c r="C4901">
        <v>0</v>
      </c>
      <c r="D4901">
        <v>0</v>
      </c>
      <c r="E4901">
        <v>0</v>
      </c>
      <c r="F4901">
        <v>7792</v>
      </c>
      <c r="G4901">
        <f t="shared" si="76"/>
        <v>1577126961</v>
      </c>
    </row>
    <row r="4902" spans="1:7" x14ac:dyDescent="0.25">
      <c r="A4902">
        <v>1577127074</v>
      </c>
      <c r="B4902" t="s">
        <v>27497</v>
      </c>
      <c r="C4902">
        <v>0</v>
      </c>
      <c r="D4902">
        <v>1</v>
      </c>
      <c r="E4902">
        <v>450</v>
      </c>
      <c r="F4902">
        <v>4741</v>
      </c>
      <c r="G4902">
        <f t="shared" si="76"/>
        <v>1577127074</v>
      </c>
    </row>
    <row r="4903" spans="1:7" x14ac:dyDescent="0.25">
      <c r="A4903">
        <v>1577127179</v>
      </c>
      <c r="B4903" t="s">
        <v>27498</v>
      </c>
      <c r="C4903">
        <v>0</v>
      </c>
      <c r="D4903">
        <v>0</v>
      </c>
      <c r="E4903">
        <v>0</v>
      </c>
      <c r="F4903">
        <v>7793</v>
      </c>
      <c r="G4903">
        <f t="shared" si="76"/>
        <v>1577127179</v>
      </c>
    </row>
    <row r="4904" spans="1:7" x14ac:dyDescent="0.25">
      <c r="A4904">
        <v>1577127316</v>
      </c>
      <c r="B4904" t="s">
        <v>37323</v>
      </c>
      <c r="C4904">
        <v>270</v>
      </c>
      <c r="D4904">
        <v>5</v>
      </c>
      <c r="E4904">
        <v>9171</v>
      </c>
      <c r="F4904">
        <v>1693</v>
      </c>
      <c r="G4904">
        <f t="shared" si="76"/>
        <v>1577127316</v>
      </c>
    </row>
    <row r="4905" spans="1:7" x14ac:dyDescent="0.25">
      <c r="A4905">
        <v>1577127354</v>
      </c>
      <c r="B4905" t="s">
        <v>27499</v>
      </c>
      <c r="C4905">
        <v>0</v>
      </c>
      <c r="D4905">
        <v>2</v>
      </c>
      <c r="E4905">
        <v>6622</v>
      </c>
      <c r="F4905">
        <v>2134</v>
      </c>
      <c r="G4905">
        <f t="shared" si="76"/>
        <v>1577127354</v>
      </c>
    </row>
    <row r="4906" spans="1:7" x14ac:dyDescent="0.25">
      <c r="A4906">
        <v>1577127393</v>
      </c>
      <c r="B4906" t="s">
        <v>27500</v>
      </c>
      <c r="C4906">
        <v>25</v>
      </c>
      <c r="D4906">
        <v>3</v>
      </c>
      <c r="E4906">
        <v>16607</v>
      </c>
      <c r="F4906">
        <v>858</v>
      </c>
      <c r="G4906">
        <f t="shared" si="76"/>
        <v>1577127393</v>
      </c>
    </row>
    <row r="4907" spans="1:7" x14ac:dyDescent="0.25">
      <c r="A4907">
        <v>1577127397</v>
      </c>
      <c r="B4907" t="s">
        <v>27501</v>
      </c>
      <c r="C4907">
        <v>175</v>
      </c>
      <c r="D4907">
        <v>4</v>
      </c>
      <c r="E4907">
        <v>21888</v>
      </c>
      <c r="F4907">
        <v>534</v>
      </c>
      <c r="G4907">
        <f t="shared" si="76"/>
        <v>1577127397</v>
      </c>
    </row>
    <row r="4908" spans="1:7" x14ac:dyDescent="0.25">
      <c r="A4908">
        <v>1577127398</v>
      </c>
      <c r="B4908" t="s">
        <v>37324</v>
      </c>
      <c r="C4908">
        <v>175</v>
      </c>
      <c r="D4908">
        <v>1</v>
      </c>
      <c r="E4908">
        <v>7084</v>
      </c>
      <c r="F4908">
        <v>2050</v>
      </c>
      <c r="G4908">
        <f t="shared" si="76"/>
        <v>1577127398</v>
      </c>
    </row>
    <row r="4909" spans="1:7" x14ac:dyDescent="0.25">
      <c r="A4909">
        <v>1577127484</v>
      </c>
      <c r="B4909" t="s">
        <v>36625</v>
      </c>
      <c r="C4909">
        <v>218</v>
      </c>
      <c r="D4909">
        <v>4</v>
      </c>
      <c r="E4909">
        <v>15679</v>
      </c>
      <c r="F4909">
        <v>929</v>
      </c>
      <c r="G4909">
        <f t="shared" si="76"/>
        <v>1577127484</v>
      </c>
    </row>
    <row r="4910" spans="1:7" x14ac:dyDescent="0.25">
      <c r="A4910">
        <v>1577127505</v>
      </c>
      <c r="B4910" t="s">
        <v>27502</v>
      </c>
      <c r="C4910">
        <v>1960</v>
      </c>
      <c r="D4910">
        <v>0</v>
      </c>
      <c r="E4910">
        <v>0</v>
      </c>
      <c r="F4910">
        <v>7794</v>
      </c>
      <c r="G4910">
        <f t="shared" si="76"/>
        <v>1577127505</v>
      </c>
    </row>
    <row r="4911" spans="1:7" x14ac:dyDescent="0.25">
      <c r="A4911">
        <v>1577127536</v>
      </c>
      <c r="B4911" t="s">
        <v>36626</v>
      </c>
      <c r="C4911">
        <v>0</v>
      </c>
      <c r="D4911">
        <v>0</v>
      </c>
      <c r="E4911">
        <v>0</v>
      </c>
      <c r="F4911">
        <v>7795</v>
      </c>
      <c r="G4911">
        <f t="shared" si="76"/>
        <v>1577127536</v>
      </c>
    </row>
    <row r="4912" spans="1:7" x14ac:dyDescent="0.25">
      <c r="A4912">
        <v>1577127561</v>
      </c>
      <c r="B4912" t="s">
        <v>27503</v>
      </c>
      <c r="C4912">
        <v>0</v>
      </c>
      <c r="D4912">
        <v>1</v>
      </c>
      <c r="E4912">
        <v>929</v>
      </c>
      <c r="F4912">
        <v>4075</v>
      </c>
      <c r="G4912">
        <f t="shared" si="76"/>
        <v>1577127561</v>
      </c>
    </row>
    <row r="4913" spans="1:7" x14ac:dyDescent="0.25">
      <c r="A4913">
        <v>1577127585</v>
      </c>
      <c r="B4913" t="s">
        <v>27504</v>
      </c>
      <c r="C4913">
        <v>806</v>
      </c>
      <c r="D4913">
        <v>1</v>
      </c>
      <c r="E4913">
        <v>26</v>
      </c>
      <c r="F4913">
        <v>6699</v>
      </c>
      <c r="G4913">
        <f t="shared" si="76"/>
        <v>1577127585</v>
      </c>
    </row>
    <row r="4914" spans="1:7" x14ac:dyDescent="0.25">
      <c r="A4914">
        <v>1577127638</v>
      </c>
      <c r="B4914" t="s">
        <v>27505</v>
      </c>
      <c r="C4914">
        <v>1699</v>
      </c>
      <c r="D4914">
        <v>5</v>
      </c>
      <c r="E4914">
        <v>24346</v>
      </c>
      <c r="F4914">
        <v>420</v>
      </c>
      <c r="G4914">
        <f t="shared" si="76"/>
        <v>1577127638</v>
      </c>
    </row>
    <row r="4915" spans="1:7" x14ac:dyDescent="0.25">
      <c r="A4915">
        <v>1577127657</v>
      </c>
      <c r="B4915" t="s">
        <v>27506</v>
      </c>
      <c r="C4915">
        <v>96</v>
      </c>
      <c r="D4915">
        <v>2</v>
      </c>
      <c r="E4915">
        <v>5598</v>
      </c>
      <c r="F4915">
        <v>2381</v>
      </c>
      <c r="G4915">
        <f t="shared" si="76"/>
        <v>1577127657</v>
      </c>
    </row>
    <row r="4916" spans="1:7" x14ac:dyDescent="0.25">
      <c r="A4916">
        <v>1577127763</v>
      </c>
      <c r="B4916" t="s">
        <v>36627</v>
      </c>
      <c r="C4916">
        <v>733</v>
      </c>
      <c r="D4916">
        <v>5</v>
      </c>
      <c r="E4916">
        <v>25384</v>
      </c>
      <c r="F4916">
        <v>383</v>
      </c>
      <c r="G4916">
        <f t="shared" si="76"/>
        <v>1577127763</v>
      </c>
    </row>
    <row r="4917" spans="1:7" x14ac:dyDescent="0.25">
      <c r="A4917">
        <v>1577127775</v>
      </c>
      <c r="B4917" t="s">
        <v>27507</v>
      </c>
      <c r="C4917">
        <v>152</v>
      </c>
      <c r="D4917">
        <v>3</v>
      </c>
      <c r="E4917">
        <v>15413</v>
      </c>
      <c r="F4917">
        <v>952</v>
      </c>
      <c r="G4917">
        <f t="shared" si="76"/>
        <v>1577127775</v>
      </c>
    </row>
    <row r="4918" spans="1:7" x14ac:dyDescent="0.25">
      <c r="A4918">
        <v>1577127839</v>
      </c>
      <c r="B4918" t="s">
        <v>27508</v>
      </c>
      <c r="C4918">
        <v>0</v>
      </c>
      <c r="D4918">
        <v>0</v>
      </c>
      <c r="E4918">
        <v>0</v>
      </c>
      <c r="F4918">
        <v>7796</v>
      </c>
      <c r="G4918">
        <f t="shared" si="76"/>
        <v>1577127839</v>
      </c>
    </row>
    <row r="4919" spans="1:7" x14ac:dyDescent="0.25">
      <c r="A4919">
        <v>1577127919</v>
      </c>
      <c r="B4919" t="s">
        <v>27509</v>
      </c>
      <c r="C4919">
        <v>1694</v>
      </c>
      <c r="D4919">
        <v>0</v>
      </c>
      <c r="E4919">
        <v>0</v>
      </c>
      <c r="F4919">
        <v>7797</v>
      </c>
      <c r="G4919">
        <f t="shared" si="76"/>
        <v>1577127919</v>
      </c>
    </row>
    <row r="4920" spans="1:7" x14ac:dyDescent="0.25">
      <c r="A4920">
        <v>1577128048</v>
      </c>
      <c r="B4920" t="s">
        <v>27510</v>
      </c>
      <c r="C4920">
        <v>1960</v>
      </c>
      <c r="D4920">
        <v>0</v>
      </c>
      <c r="E4920">
        <v>0</v>
      </c>
      <c r="F4920">
        <v>7798</v>
      </c>
      <c r="G4920">
        <f t="shared" si="76"/>
        <v>1577128048</v>
      </c>
    </row>
    <row r="4921" spans="1:7" x14ac:dyDescent="0.25">
      <c r="A4921">
        <v>1577128060</v>
      </c>
      <c r="B4921" t="s">
        <v>27511</v>
      </c>
      <c r="C4921">
        <v>985</v>
      </c>
      <c r="D4921">
        <v>1</v>
      </c>
      <c r="E4921">
        <v>795</v>
      </c>
      <c r="F4921">
        <v>4204</v>
      </c>
      <c r="G4921">
        <f t="shared" si="76"/>
        <v>1577128060</v>
      </c>
    </row>
    <row r="4922" spans="1:7" x14ac:dyDescent="0.25">
      <c r="A4922">
        <v>1577128825</v>
      </c>
      <c r="B4922" t="s">
        <v>27512</v>
      </c>
      <c r="C4922">
        <v>424</v>
      </c>
      <c r="D4922">
        <v>4</v>
      </c>
      <c r="E4922">
        <v>22141</v>
      </c>
      <c r="F4922">
        <v>523</v>
      </c>
      <c r="G4922">
        <f t="shared" si="76"/>
        <v>1577128825</v>
      </c>
    </row>
    <row r="4923" spans="1:7" x14ac:dyDescent="0.25">
      <c r="A4923">
        <v>1577128950</v>
      </c>
      <c r="B4923" t="s">
        <v>27513</v>
      </c>
      <c r="C4923">
        <v>882</v>
      </c>
      <c r="D4923">
        <v>1</v>
      </c>
      <c r="E4923">
        <v>881</v>
      </c>
      <c r="F4923">
        <v>4109</v>
      </c>
      <c r="G4923">
        <f t="shared" si="76"/>
        <v>1577128950</v>
      </c>
    </row>
    <row r="4924" spans="1:7" x14ac:dyDescent="0.25">
      <c r="A4924">
        <v>1577128997</v>
      </c>
      <c r="B4924" t="s">
        <v>27514</v>
      </c>
      <c r="C4924">
        <v>0</v>
      </c>
      <c r="D4924">
        <v>1</v>
      </c>
      <c r="E4924">
        <v>1197</v>
      </c>
      <c r="F4924">
        <v>3799</v>
      </c>
      <c r="G4924">
        <f t="shared" si="76"/>
        <v>1577128997</v>
      </c>
    </row>
    <row r="4925" spans="1:7" x14ac:dyDescent="0.25">
      <c r="A4925">
        <v>1577129022</v>
      </c>
      <c r="B4925" t="s">
        <v>36628</v>
      </c>
      <c r="C4925">
        <v>1107</v>
      </c>
      <c r="D4925">
        <v>1</v>
      </c>
      <c r="E4925">
        <v>185</v>
      </c>
      <c r="F4925">
        <v>5560</v>
      </c>
      <c r="G4925">
        <f t="shared" si="76"/>
        <v>1577129022</v>
      </c>
    </row>
    <row r="4926" spans="1:7" x14ac:dyDescent="0.25">
      <c r="A4926">
        <v>1577129400</v>
      </c>
      <c r="B4926" t="s">
        <v>27515</v>
      </c>
      <c r="C4926">
        <v>0</v>
      </c>
      <c r="D4926">
        <v>1</v>
      </c>
      <c r="E4926">
        <v>237</v>
      </c>
      <c r="F4926">
        <v>5363</v>
      </c>
      <c r="G4926">
        <f t="shared" si="76"/>
        <v>1577129400</v>
      </c>
    </row>
    <row r="4927" spans="1:7" x14ac:dyDescent="0.25">
      <c r="A4927">
        <v>1577129455</v>
      </c>
      <c r="B4927" t="s">
        <v>27516</v>
      </c>
      <c r="C4927">
        <v>0</v>
      </c>
      <c r="D4927">
        <v>1</v>
      </c>
      <c r="E4927">
        <v>969</v>
      </c>
      <c r="F4927">
        <v>4021</v>
      </c>
      <c r="G4927">
        <f t="shared" si="76"/>
        <v>1577129455</v>
      </c>
    </row>
    <row r="4928" spans="1:7" x14ac:dyDescent="0.25">
      <c r="A4928">
        <v>1577129612</v>
      </c>
      <c r="B4928" t="s">
        <v>27517</v>
      </c>
      <c r="C4928">
        <v>419</v>
      </c>
      <c r="D4928">
        <v>4</v>
      </c>
      <c r="E4928">
        <v>20698</v>
      </c>
      <c r="F4928">
        <v>585</v>
      </c>
      <c r="G4928">
        <f t="shared" si="76"/>
        <v>1577129612</v>
      </c>
    </row>
    <row r="4929" spans="1:7" x14ac:dyDescent="0.25">
      <c r="A4929">
        <v>1577130176</v>
      </c>
      <c r="B4929" t="s">
        <v>27518</v>
      </c>
      <c r="C4929">
        <v>0</v>
      </c>
      <c r="D4929">
        <v>1</v>
      </c>
      <c r="E4929">
        <v>5425</v>
      </c>
      <c r="F4929">
        <v>2423</v>
      </c>
      <c r="G4929">
        <f t="shared" ref="G4929:G4992" si="77">A4929</f>
        <v>1577130176</v>
      </c>
    </row>
    <row r="4930" spans="1:7" x14ac:dyDescent="0.25">
      <c r="A4930">
        <v>1577130215</v>
      </c>
      <c r="B4930" t="s">
        <v>27519</v>
      </c>
      <c r="C4930">
        <v>0</v>
      </c>
      <c r="D4930">
        <v>1</v>
      </c>
      <c r="E4930">
        <v>425</v>
      </c>
      <c r="F4930">
        <v>4792</v>
      </c>
      <c r="G4930">
        <f t="shared" si="77"/>
        <v>1577130215</v>
      </c>
    </row>
    <row r="4931" spans="1:7" x14ac:dyDescent="0.25">
      <c r="A4931">
        <v>1577130232</v>
      </c>
      <c r="B4931" t="s">
        <v>27520</v>
      </c>
      <c r="C4931">
        <v>0</v>
      </c>
      <c r="D4931">
        <v>1</v>
      </c>
      <c r="E4931">
        <v>46</v>
      </c>
      <c r="F4931">
        <v>6222</v>
      </c>
      <c r="G4931">
        <f t="shared" si="77"/>
        <v>1577130232</v>
      </c>
    </row>
    <row r="4932" spans="1:7" x14ac:dyDescent="0.25">
      <c r="A4932">
        <v>1577130312</v>
      </c>
      <c r="B4932" t="s">
        <v>27521</v>
      </c>
      <c r="C4932">
        <v>0</v>
      </c>
      <c r="D4932">
        <v>1</v>
      </c>
      <c r="E4932">
        <v>26</v>
      </c>
      <c r="F4932">
        <v>6700</v>
      </c>
      <c r="G4932">
        <f t="shared" si="77"/>
        <v>1577130312</v>
      </c>
    </row>
    <row r="4933" spans="1:7" x14ac:dyDescent="0.25">
      <c r="A4933">
        <v>1577130480</v>
      </c>
      <c r="B4933" t="s">
        <v>27522</v>
      </c>
      <c r="C4933">
        <v>617</v>
      </c>
      <c r="D4933">
        <v>3</v>
      </c>
      <c r="E4933">
        <v>12231</v>
      </c>
      <c r="F4933">
        <v>1260</v>
      </c>
      <c r="G4933">
        <f t="shared" si="77"/>
        <v>1577130480</v>
      </c>
    </row>
    <row r="4934" spans="1:7" x14ac:dyDescent="0.25">
      <c r="A4934">
        <v>1577130502</v>
      </c>
      <c r="B4934" t="s">
        <v>27523</v>
      </c>
      <c r="C4934">
        <v>0</v>
      </c>
      <c r="D4934">
        <v>1</v>
      </c>
      <c r="E4934">
        <v>129</v>
      </c>
      <c r="F4934">
        <v>5765</v>
      </c>
      <c r="G4934">
        <f t="shared" si="77"/>
        <v>1577130502</v>
      </c>
    </row>
    <row r="4935" spans="1:7" x14ac:dyDescent="0.25">
      <c r="A4935">
        <v>1577130606</v>
      </c>
      <c r="B4935" t="s">
        <v>27524</v>
      </c>
      <c r="C4935">
        <v>0</v>
      </c>
      <c r="D4935">
        <v>1</v>
      </c>
      <c r="E4935">
        <v>424</v>
      </c>
      <c r="F4935">
        <v>4795</v>
      </c>
      <c r="G4935">
        <f t="shared" si="77"/>
        <v>1577130606</v>
      </c>
    </row>
    <row r="4936" spans="1:7" x14ac:dyDescent="0.25">
      <c r="A4936">
        <v>1577130832</v>
      </c>
      <c r="B4936" t="s">
        <v>27525</v>
      </c>
      <c r="C4936">
        <v>0</v>
      </c>
      <c r="D4936">
        <v>0</v>
      </c>
      <c r="E4936">
        <v>0</v>
      </c>
      <c r="F4936">
        <v>7799</v>
      </c>
      <c r="G4936">
        <f t="shared" si="77"/>
        <v>1577130832</v>
      </c>
    </row>
    <row r="4937" spans="1:7" x14ac:dyDescent="0.25">
      <c r="A4937">
        <v>1577130986</v>
      </c>
      <c r="B4937" t="s">
        <v>27526</v>
      </c>
      <c r="C4937">
        <v>1691</v>
      </c>
      <c r="D4937">
        <v>0</v>
      </c>
      <c r="E4937">
        <v>0</v>
      </c>
      <c r="F4937">
        <v>7800</v>
      </c>
      <c r="G4937">
        <f t="shared" si="77"/>
        <v>1577130986</v>
      </c>
    </row>
    <row r="4938" spans="1:7" x14ac:dyDescent="0.25">
      <c r="A4938">
        <v>1577131005</v>
      </c>
      <c r="B4938" t="s">
        <v>27527</v>
      </c>
      <c r="C4938">
        <v>0</v>
      </c>
      <c r="D4938">
        <v>1</v>
      </c>
      <c r="E4938">
        <v>3491</v>
      </c>
      <c r="F4938">
        <v>2878</v>
      </c>
      <c r="G4938">
        <f t="shared" si="77"/>
        <v>1577131005</v>
      </c>
    </row>
    <row r="4939" spans="1:7" x14ac:dyDescent="0.25">
      <c r="A4939">
        <v>1577131105</v>
      </c>
      <c r="B4939" t="s">
        <v>27528</v>
      </c>
      <c r="C4939">
        <v>1885</v>
      </c>
      <c r="D4939">
        <v>1</v>
      </c>
      <c r="E4939">
        <v>346</v>
      </c>
      <c r="F4939">
        <v>4996</v>
      </c>
      <c r="G4939">
        <f t="shared" si="77"/>
        <v>1577131105</v>
      </c>
    </row>
    <row r="4940" spans="1:7" x14ac:dyDescent="0.25">
      <c r="A4940">
        <v>1577131139</v>
      </c>
      <c r="B4940" t="s">
        <v>27529</v>
      </c>
      <c r="C4940">
        <v>0</v>
      </c>
      <c r="D4940">
        <v>1</v>
      </c>
      <c r="E4940">
        <v>287</v>
      </c>
      <c r="F4940">
        <v>5156</v>
      </c>
      <c r="G4940">
        <f t="shared" si="77"/>
        <v>1577131139</v>
      </c>
    </row>
    <row r="4941" spans="1:7" x14ac:dyDescent="0.25">
      <c r="A4941">
        <v>1577131143</v>
      </c>
      <c r="B4941" t="s">
        <v>27530</v>
      </c>
      <c r="C4941">
        <v>96</v>
      </c>
      <c r="D4941">
        <v>3</v>
      </c>
      <c r="E4941">
        <v>12291</v>
      </c>
      <c r="F4941">
        <v>1252</v>
      </c>
      <c r="G4941">
        <f t="shared" si="77"/>
        <v>1577131143</v>
      </c>
    </row>
    <row r="4942" spans="1:7" x14ac:dyDescent="0.25">
      <c r="A4942">
        <v>1577131185</v>
      </c>
      <c r="B4942" t="s">
        <v>27531</v>
      </c>
      <c r="C4942">
        <v>0</v>
      </c>
      <c r="D4942">
        <v>1</v>
      </c>
      <c r="E4942">
        <v>91</v>
      </c>
      <c r="F4942">
        <v>5902</v>
      </c>
      <c r="G4942">
        <f t="shared" si="77"/>
        <v>1577131185</v>
      </c>
    </row>
    <row r="4943" spans="1:7" x14ac:dyDescent="0.25">
      <c r="A4943">
        <v>1577131284</v>
      </c>
      <c r="B4943" t="s">
        <v>27532</v>
      </c>
      <c r="C4943">
        <v>0</v>
      </c>
      <c r="D4943">
        <v>0</v>
      </c>
      <c r="E4943">
        <v>0</v>
      </c>
      <c r="F4943">
        <v>7801</v>
      </c>
      <c r="G4943">
        <f t="shared" si="77"/>
        <v>1577131284</v>
      </c>
    </row>
    <row r="4944" spans="1:7" x14ac:dyDescent="0.25">
      <c r="A4944">
        <v>1577131293</v>
      </c>
      <c r="B4944" t="s">
        <v>27533</v>
      </c>
      <c r="C4944">
        <v>205</v>
      </c>
      <c r="D4944">
        <v>1</v>
      </c>
      <c r="E4944">
        <v>176</v>
      </c>
      <c r="F4944">
        <v>5615</v>
      </c>
      <c r="G4944">
        <f t="shared" si="77"/>
        <v>1577131293</v>
      </c>
    </row>
    <row r="4945" spans="1:7" x14ac:dyDescent="0.25">
      <c r="A4945">
        <v>1577131306</v>
      </c>
      <c r="B4945" t="s">
        <v>27534</v>
      </c>
      <c r="C4945">
        <v>179</v>
      </c>
      <c r="D4945">
        <v>1</v>
      </c>
      <c r="E4945">
        <v>3907</v>
      </c>
      <c r="F4945">
        <v>2784</v>
      </c>
      <c r="G4945">
        <f t="shared" si="77"/>
        <v>1577131306</v>
      </c>
    </row>
    <row r="4946" spans="1:7" x14ac:dyDescent="0.25">
      <c r="A4946">
        <v>1577131370</v>
      </c>
      <c r="B4946" t="s">
        <v>27535</v>
      </c>
      <c r="C4946">
        <v>1699</v>
      </c>
      <c r="D4946">
        <v>1</v>
      </c>
      <c r="E4946">
        <v>7277</v>
      </c>
      <c r="F4946">
        <v>2014</v>
      </c>
      <c r="G4946">
        <f t="shared" si="77"/>
        <v>1577131370</v>
      </c>
    </row>
    <row r="4947" spans="1:7" x14ac:dyDescent="0.25">
      <c r="A4947">
        <v>1577131372</v>
      </c>
      <c r="B4947" t="s">
        <v>27536</v>
      </c>
      <c r="C4947">
        <v>0</v>
      </c>
      <c r="D4947">
        <v>1</v>
      </c>
      <c r="E4947">
        <v>499</v>
      </c>
      <c r="F4947">
        <v>4640</v>
      </c>
      <c r="G4947">
        <f t="shared" si="77"/>
        <v>1577131372</v>
      </c>
    </row>
    <row r="4948" spans="1:7" x14ac:dyDescent="0.25">
      <c r="A4948">
        <v>1577131375</v>
      </c>
      <c r="B4948" t="s">
        <v>27537</v>
      </c>
      <c r="C4948">
        <v>117</v>
      </c>
      <c r="D4948">
        <v>2</v>
      </c>
      <c r="E4948">
        <v>7397</v>
      </c>
      <c r="F4948">
        <v>1994</v>
      </c>
      <c r="G4948">
        <f t="shared" si="77"/>
        <v>1577131375</v>
      </c>
    </row>
    <row r="4949" spans="1:7" x14ac:dyDescent="0.25">
      <c r="A4949">
        <v>1577131380</v>
      </c>
      <c r="B4949" t="s">
        <v>27538</v>
      </c>
      <c r="C4949">
        <v>117</v>
      </c>
      <c r="D4949">
        <v>2</v>
      </c>
      <c r="E4949">
        <v>7715</v>
      </c>
      <c r="F4949">
        <v>1936</v>
      </c>
      <c r="G4949">
        <f t="shared" si="77"/>
        <v>1577131380</v>
      </c>
    </row>
    <row r="4950" spans="1:7" x14ac:dyDescent="0.25">
      <c r="A4950">
        <v>1577131389</v>
      </c>
      <c r="B4950" t="s">
        <v>27539</v>
      </c>
      <c r="C4950">
        <v>0</v>
      </c>
      <c r="D4950">
        <v>1</v>
      </c>
      <c r="E4950">
        <v>1508</v>
      </c>
      <c r="F4950">
        <v>3593</v>
      </c>
      <c r="G4950">
        <f t="shared" si="77"/>
        <v>1577131389</v>
      </c>
    </row>
    <row r="4951" spans="1:7" x14ac:dyDescent="0.25">
      <c r="A4951">
        <v>1577131392</v>
      </c>
      <c r="B4951" t="s">
        <v>27540</v>
      </c>
      <c r="C4951">
        <v>15</v>
      </c>
      <c r="D4951">
        <v>0</v>
      </c>
      <c r="E4951">
        <v>0</v>
      </c>
      <c r="F4951">
        <v>7802</v>
      </c>
      <c r="G4951">
        <f t="shared" si="77"/>
        <v>1577131392</v>
      </c>
    </row>
    <row r="4952" spans="1:7" x14ac:dyDescent="0.25">
      <c r="A4952">
        <v>1577131626</v>
      </c>
      <c r="B4952" t="s">
        <v>27541</v>
      </c>
      <c r="C4952">
        <v>215</v>
      </c>
      <c r="D4952">
        <v>3</v>
      </c>
      <c r="E4952">
        <v>12805</v>
      </c>
      <c r="F4952">
        <v>1191</v>
      </c>
      <c r="G4952">
        <f t="shared" si="77"/>
        <v>1577131626</v>
      </c>
    </row>
    <row r="4953" spans="1:7" x14ac:dyDescent="0.25">
      <c r="A4953">
        <v>1577131966</v>
      </c>
      <c r="B4953" t="s">
        <v>27542</v>
      </c>
      <c r="C4953">
        <v>0</v>
      </c>
      <c r="D4953">
        <v>1</v>
      </c>
      <c r="E4953">
        <v>255</v>
      </c>
      <c r="F4953">
        <v>5278</v>
      </c>
      <c r="G4953">
        <f t="shared" si="77"/>
        <v>1577131966</v>
      </c>
    </row>
    <row r="4954" spans="1:7" x14ac:dyDescent="0.25">
      <c r="A4954">
        <v>1577132043</v>
      </c>
      <c r="B4954" t="s">
        <v>27543</v>
      </c>
      <c r="C4954">
        <v>0</v>
      </c>
      <c r="D4954">
        <v>1</v>
      </c>
      <c r="E4954">
        <v>571</v>
      </c>
      <c r="F4954">
        <v>4525</v>
      </c>
      <c r="G4954">
        <f t="shared" si="77"/>
        <v>1577132043</v>
      </c>
    </row>
    <row r="4955" spans="1:7" x14ac:dyDescent="0.25">
      <c r="A4955">
        <v>1577132078</v>
      </c>
      <c r="B4955" t="s">
        <v>27544</v>
      </c>
      <c r="C4955">
        <v>0</v>
      </c>
      <c r="D4955">
        <v>1</v>
      </c>
      <c r="E4955">
        <v>1098</v>
      </c>
      <c r="F4955">
        <v>3874</v>
      </c>
      <c r="G4955">
        <f t="shared" si="77"/>
        <v>1577132078</v>
      </c>
    </row>
    <row r="4956" spans="1:7" x14ac:dyDescent="0.25">
      <c r="A4956">
        <v>1577132274</v>
      </c>
      <c r="B4956" t="s">
        <v>27545</v>
      </c>
      <c r="C4956">
        <v>1413</v>
      </c>
      <c r="D4956">
        <v>2</v>
      </c>
      <c r="E4956">
        <v>5917</v>
      </c>
      <c r="F4956">
        <v>2301</v>
      </c>
      <c r="G4956">
        <f t="shared" si="77"/>
        <v>1577132274</v>
      </c>
    </row>
    <row r="4957" spans="1:7" x14ac:dyDescent="0.25">
      <c r="A4957">
        <v>1577132417</v>
      </c>
      <c r="B4957" t="s">
        <v>27546</v>
      </c>
      <c r="C4957">
        <v>0</v>
      </c>
      <c r="D4957">
        <v>1</v>
      </c>
      <c r="E4957">
        <v>2745</v>
      </c>
      <c r="F4957">
        <v>3058</v>
      </c>
      <c r="G4957">
        <f t="shared" si="77"/>
        <v>1577132417</v>
      </c>
    </row>
    <row r="4958" spans="1:7" x14ac:dyDescent="0.25">
      <c r="A4958">
        <v>1577132435</v>
      </c>
      <c r="B4958" t="s">
        <v>27547</v>
      </c>
      <c r="C4958">
        <v>1695</v>
      </c>
      <c r="D4958">
        <v>1</v>
      </c>
      <c r="E4958">
        <v>3162</v>
      </c>
      <c r="F4958">
        <v>2970</v>
      </c>
      <c r="G4958">
        <f t="shared" si="77"/>
        <v>1577132435</v>
      </c>
    </row>
    <row r="4959" spans="1:7" x14ac:dyDescent="0.25">
      <c r="A4959">
        <v>1577132809</v>
      </c>
      <c r="B4959" t="s">
        <v>27548</v>
      </c>
      <c r="C4959">
        <v>0</v>
      </c>
      <c r="D4959">
        <v>1</v>
      </c>
      <c r="E4959">
        <v>717</v>
      </c>
      <c r="F4959">
        <v>4316</v>
      </c>
      <c r="G4959">
        <f t="shared" si="77"/>
        <v>1577132809</v>
      </c>
    </row>
    <row r="4960" spans="1:7" x14ac:dyDescent="0.25">
      <c r="A4960">
        <v>1577132862</v>
      </c>
      <c r="B4960" t="s">
        <v>30479</v>
      </c>
      <c r="C4960">
        <v>0</v>
      </c>
      <c r="D4960">
        <v>1</v>
      </c>
      <c r="E4960">
        <v>26</v>
      </c>
      <c r="F4960">
        <v>6701</v>
      </c>
      <c r="G4960">
        <f t="shared" si="77"/>
        <v>1577132862</v>
      </c>
    </row>
    <row r="4961" spans="1:7" x14ac:dyDescent="0.25">
      <c r="A4961">
        <v>1577133129</v>
      </c>
      <c r="B4961" t="s">
        <v>27549</v>
      </c>
      <c r="C4961">
        <v>617</v>
      </c>
      <c r="D4961">
        <v>5</v>
      </c>
      <c r="E4961">
        <v>22558</v>
      </c>
      <c r="F4961">
        <v>501</v>
      </c>
      <c r="G4961">
        <f t="shared" si="77"/>
        <v>1577133129</v>
      </c>
    </row>
    <row r="4962" spans="1:7" x14ac:dyDescent="0.25">
      <c r="A4962">
        <v>1577133316</v>
      </c>
      <c r="B4962" t="s">
        <v>27550</v>
      </c>
      <c r="C4962">
        <v>1932</v>
      </c>
      <c r="D4962">
        <v>1</v>
      </c>
      <c r="E4962">
        <v>1078</v>
      </c>
      <c r="F4962">
        <v>3892</v>
      </c>
      <c r="G4962">
        <f t="shared" si="77"/>
        <v>1577133316</v>
      </c>
    </row>
    <row r="4963" spans="1:7" x14ac:dyDescent="0.25">
      <c r="A4963">
        <v>1577133393</v>
      </c>
      <c r="B4963" t="s">
        <v>27551</v>
      </c>
      <c r="C4963">
        <v>0</v>
      </c>
      <c r="D4963">
        <v>1</v>
      </c>
      <c r="E4963">
        <v>221</v>
      </c>
      <c r="F4963">
        <v>5441</v>
      </c>
      <c r="G4963">
        <f t="shared" si="77"/>
        <v>1577133393</v>
      </c>
    </row>
    <row r="4964" spans="1:7" x14ac:dyDescent="0.25">
      <c r="A4964">
        <v>1577133527</v>
      </c>
      <c r="B4964" t="s">
        <v>36629</v>
      </c>
      <c r="C4964">
        <v>733</v>
      </c>
      <c r="D4964">
        <v>9</v>
      </c>
      <c r="E4964">
        <v>56423</v>
      </c>
      <c r="F4964">
        <v>25</v>
      </c>
      <c r="G4964">
        <f t="shared" si="77"/>
        <v>1577133527</v>
      </c>
    </row>
    <row r="4965" spans="1:7" x14ac:dyDescent="0.25">
      <c r="A4965">
        <v>1577133684</v>
      </c>
      <c r="B4965" t="s">
        <v>27552</v>
      </c>
      <c r="C4965">
        <v>1643</v>
      </c>
      <c r="D4965">
        <v>1</v>
      </c>
      <c r="E4965">
        <v>1572</v>
      </c>
      <c r="F4965">
        <v>3556</v>
      </c>
      <c r="G4965">
        <f t="shared" si="77"/>
        <v>1577133684</v>
      </c>
    </row>
    <row r="4966" spans="1:7" x14ac:dyDescent="0.25">
      <c r="A4966">
        <v>1577133696</v>
      </c>
      <c r="B4966" t="s">
        <v>27553</v>
      </c>
      <c r="C4966">
        <v>0</v>
      </c>
      <c r="D4966">
        <v>1</v>
      </c>
      <c r="E4966">
        <v>141</v>
      </c>
      <c r="F4966">
        <v>5726</v>
      </c>
      <c r="G4966">
        <f t="shared" si="77"/>
        <v>1577133696</v>
      </c>
    </row>
    <row r="4967" spans="1:7" x14ac:dyDescent="0.25">
      <c r="A4967">
        <v>1577133706</v>
      </c>
      <c r="B4967" t="s">
        <v>36630</v>
      </c>
      <c r="C4967">
        <v>0</v>
      </c>
      <c r="D4967">
        <v>1</v>
      </c>
      <c r="E4967">
        <v>713</v>
      </c>
      <c r="F4967">
        <v>4324</v>
      </c>
      <c r="G4967">
        <f t="shared" si="77"/>
        <v>1577133706</v>
      </c>
    </row>
    <row r="4968" spans="1:7" x14ac:dyDescent="0.25">
      <c r="A4968">
        <v>1577133745</v>
      </c>
      <c r="B4968" t="s">
        <v>27554</v>
      </c>
      <c r="C4968">
        <v>294</v>
      </c>
      <c r="D4968">
        <v>3</v>
      </c>
      <c r="E4968">
        <v>17622</v>
      </c>
      <c r="F4968">
        <v>783</v>
      </c>
      <c r="G4968">
        <f t="shared" si="77"/>
        <v>1577133745</v>
      </c>
    </row>
    <row r="4969" spans="1:7" x14ac:dyDescent="0.25">
      <c r="A4969">
        <v>1577134032</v>
      </c>
      <c r="B4969" t="s">
        <v>27555</v>
      </c>
      <c r="C4969">
        <v>6</v>
      </c>
      <c r="D4969">
        <v>3</v>
      </c>
      <c r="E4969">
        <v>16688</v>
      </c>
      <c r="F4969">
        <v>851</v>
      </c>
      <c r="G4969">
        <f t="shared" si="77"/>
        <v>1577134032</v>
      </c>
    </row>
    <row r="4970" spans="1:7" x14ac:dyDescent="0.25">
      <c r="A4970">
        <v>1577134074</v>
      </c>
      <c r="B4970" t="s">
        <v>27556</v>
      </c>
      <c r="C4970">
        <v>0</v>
      </c>
      <c r="D4970">
        <v>1</v>
      </c>
      <c r="E4970">
        <v>46</v>
      </c>
      <c r="F4970">
        <v>6223</v>
      </c>
      <c r="G4970">
        <f t="shared" si="77"/>
        <v>1577134074</v>
      </c>
    </row>
    <row r="4971" spans="1:7" x14ac:dyDescent="0.25">
      <c r="A4971">
        <v>1577134078</v>
      </c>
      <c r="B4971" t="s">
        <v>27557</v>
      </c>
      <c r="C4971">
        <v>235</v>
      </c>
      <c r="D4971">
        <v>2</v>
      </c>
      <c r="E4971">
        <v>6691</v>
      </c>
      <c r="F4971">
        <v>2120</v>
      </c>
      <c r="G4971">
        <f t="shared" si="77"/>
        <v>1577134078</v>
      </c>
    </row>
    <row r="4972" spans="1:7" x14ac:dyDescent="0.25">
      <c r="A4972">
        <v>1577134166</v>
      </c>
      <c r="B4972" t="s">
        <v>27558</v>
      </c>
      <c r="C4972">
        <v>0</v>
      </c>
      <c r="D4972">
        <v>1</v>
      </c>
      <c r="E4972">
        <v>501</v>
      </c>
      <c r="F4972">
        <v>4634</v>
      </c>
      <c r="G4972">
        <f t="shared" si="77"/>
        <v>1577134166</v>
      </c>
    </row>
    <row r="4973" spans="1:7" x14ac:dyDescent="0.25">
      <c r="A4973">
        <v>1577134462</v>
      </c>
      <c r="B4973" t="s">
        <v>4311</v>
      </c>
      <c r="C4973">
        <v>0</v>
      </c>
      <c r="D4973">
        <v>1</v>
      </c>
      <c r="E4973">
        <v>450</v>
      </c>
      <c r="F4973">
        <v>4742</v>
      </c>
      <c r="G4973">
        <f t="shared" si="77"/>
        <v>1577134462</v>
      </c>
    </row>
    <row r="4974" spans="1:7" x14ac:dyDescent="0.25">
      <c r="A4974">
        <v>1577134590</v>
      </c>
      <c r="B4974" t="s">
        <v>27559</v>
      </c>
      <c r="C4974">
        <v>1268</v>
      </c>
      <c r="D4974">
        <v>0</v>
      </c>
      <c r="E4974">
        <v>0</v>
      </c>
      <c r="F4974">
        <v>7803</v>
      </c>
      <c r="G4974">
        <f t="shared" si="77"/>
        <v>1577134590</v>
      </c>
    </row>
    <row r="4975" spans="1:7" x14ac:dyDescent="0.25">
      <c r="A4975">
        <v>1577134617</v>
      </c>
      <c r="B4975" t="s">
        <v>27560</v>
      </c>
      <c r="C4975">
        <v>0</v>
      </c>
      <c r="D4975">
        <v>1</v>
      </c>
      <c r="E4975">
        <v>55</v>
      </c>
      <c r="F4975">
        <v>6128</v>
      </c>
      <c r="G4975">
        <f t="shared" si="77"/>
        <v>1577134617</v>
      </c>
    </row>
    <row r="4976" spans="1:7" x14ac:dyDescent="0.25">
      <c r="A4976">
        <v>1577134893</v>
      </c>
      <c r="B4976" t="s">
        <v>27561</v>
      </c>
      <c r="C4976">
        <v>0</v>
      </c>
      <c r="D4976">
        <v>1</v>
      </c>
      <c r="E4976">
        <v>26</v>
      </c>
      <c r="F4976">
        <v>6702</v>
      </c>
      <c r="G4976">
        <f t="shared" si="77"/>
        <v>1577134893</v>
      </c>
    </row>
    <row r="4977" spans="1:7" x14ac:dyDescent="0.25">
      <c r="A4977">
        <v>1577134947</v>
      </c>
      <c r="B4977" t="s">
        <v>27562</v>
      </c>
      <c r="C4977">
        <v>0</v>
      </c>
      <c r="D4977">
        <v>1</v>
      </c>
      <c r="E4977">
        <v>3077</v>
      </c>
      <c r="F4977">
        <v>2984</v>
      </c>
      <c r="G4977">
        <f t="shared" si="77"/>
        <v>1577134947</v>
      </c>
    </row>
    <row r="4978" spans="1:7" x14ac:dyDescent="0.25">
      <c r="A4978">
        <v>1577134982</v>
      </c>
      <c r="B4978" t="s">
        <v>36631</v>
      </c>
      <c r="C4978">
        <v>36</v>
      </c>
      <c r="D4978">
        <v>2</v>
      </c>
      <c r="E4978">
        <v>7327</v>
      </c>
      <c r="F4978">
        <v>2036</v>
      </c>
      <c r="G4978">
        <f t="shared" si="77"/>
        <v>1577134982</v>
      </c>
    </row>
    <row r="4979" spans="1:7" x14ac:dyDescent="0.25">
      <c r="A4979">
        <v>1577135097</v>
      </c>
      <c r="B4979" t="s">
        <v>27563</v>
      </c>
      <c r="C4979">
        <v>0</v>
      </c>
      <c r="D4979">
        <v>1</v>
      </c>
      <c r="E4979">
        <v>115</v>
      </c>
      <c r="F4979">
        <v>5801</v>
      </c>
      <c r="G4979">
        <f t="shared" si="77"/>
        <v>1577135097</v>
      </c>
    </row>
    <row r="4980" spans="1:7" x14ac:dyDescent="0.25">
      <c r="A4980">
        <v>1577135289</v>
      </c>
      <c r="B4980" t="s">
        <v>27564</v>
      </c>
      <c r="C4980">
        <v>0</v>
      </c>
      <c r="D4980">
        <v>1</v>
      </c>
      <c r="E4980">
        <v>26</v>
      </c>
      <c r="F4980">
        <v>6703</v>
      </c>
      <c r="G4980">
        <f t="shared" si="77"/>
        <v>1577135289</v>
      </c>
    </row>
    <row r="4981" spans="1:7" x14ac:dyDescent="0.25">
      <c r="A4981">
        <v>1577135463</v>
      </c>
      <c r="B4981" t="s">
        <v>37163</v>
      </c>
      <c r="C4981">
        <v>1853</v>
      </c>
      <c r="D4981">
        <v>1</v>
      </c>
      <c r="E4981">
        <v>492</v>
      </c>
      <c r="F4981">
        <v>4661</v>
      </c>
      <c r="G4981">
        <f t="shared" si="77"/>
        <v>1577135463</v>
      </c>
    </row>
    <row r="4982" spans="1:7" x14ac:dyDescent="0.25">
      <c r="A4982">
        <v>1577135508</v>
      </c>
      <c r="B4982" t="s">
        <v>27565</v>
      </c>
      <c r="C4982">
        <v>0</v>
      </c>
      <c r="D4982">
        <v>0</v>
      </c>
      <c r="E4982">
        <v>0</v>
      </c>
      <c r="F4982">
        <v>7804</v>
      </c>
      <c r="G4982">
        <f t="shared" si="77"/>
        <v>1577135508</v>
      </c>
    </row>
    <row r="4983" spans="1:7" x14ac:dyDescent="0.25">
      <c r="A4983">
        <v>1577135543</v>
      </c>
      <c r="B4983" t="s">
        <v>3300</v>
      </c>
      <c r="C4983">
        <v>443</v>
      </c>
      <c r="D4983">
        <v>1</v>
      </c>
      <c r="E4983">
        <v>1171</v>
      </c>
      <c r="F4983">
        <v>3817</v>
      </c>
      <c r="G4983">
        <f t="shared" si="77"/>
        <v>1577135543</v>
      </c>
    </row>
    <row r="4984" spans="1:7" x14ac:dyDescent="0.25">
      <c r="A4984">
        <v>1577135656</v>
      </c>
      <c r="B4984" t="s">
        <v>27566</v>
      </c>
      <c r="C4984">
        <v>0</v>
      </c>
      <c r="D4984">
        <v>1</v>
      </c>
      <c r="E4984">
        <v>38</v>
      </c>
      <c r="F4984">
        <v>6280</v>
      </c>
      <c r="G4984">
        <f t="shared" si="77"/>
        <v>1577135656</v>
      </c>
    </row>
    <row r="4985" spans="1:7" x14ac:dyDescent="0.25">
      <c r="A4985">
        <v>1577135728</v>
      </c>
      <c r="B4985" t="s">
        <v>27567</v>
      </c>
      <c r="C4985">
        <v>199</v>
      </c>
      <c r="D4985">
        <v>2</v>
      </c>
      <c r="E4985">
        <v>8278</v>
      </c>
      <c r="F4985">
        <v>1838</v>
      </c>
      <c r="G4985">
        <f t="shared" si="77"/>
        <v>1577135728</v>
      </c>
    </row>
    <row r="4986" spans="1:7" x14ac:dyDescent="0.25">
      <c r="A4986">
        <v>1577135956</v>
      </c>
      <c r="B4986" t="s">
        <v>27568</v>
      </c>
      <c r="C4986">
        <v>924</v>
      </c>
      <c r="D4986">
        <v>2</v>
      </c>
      <c r="E4986">
        <v>5323</v>
      </c>
      <c r="F4986">
        <v>2447</v>
      </c>
      <c r="G4986">
        <f t="shared" si="77"/>
        <v>1577135956</v>
      </c>
    </row>
    <row r="4987" spans="1:7" x14ac:dyDescent="0.25">
      <c r="A4987">
        <v>1577136017</v>
      </c>
      <c r="B4987" t="s">
        <v>27569</v>
      </c>
      <c r="C4987">
        <v>882</v>
      </c>
      <c r="D4987">
        <v>3</v>
      </c>
      <c r="E4987">
        <v>14660</v>
      </c>
      <c r="F4987">
        <v>1012</v>
      </c>
      <c r="G4987">
        <f t="shared" si="77"/>
        <v>1577136017</v>
      </c>
    </row>
    <row r="4988" spans="1:7" x14ac:dyDescent="0.25">
      <c r="A4988">
        <v>1577136025</v>
      </c>
      <c r="B4988" t="s">
        <v>27570</v>
      </c>
      <c r="C4988">
        <v>1850</v>
      </c>
      <c r="D4988">
        <v>1</v>
      </c>
      <c r="E4988">
        <v>2969</v>
      </c>
      <c r="F4988">
        <v>3003</v>
      </c>
      <c r="G4988">
        <f t="shared" si="77"/>
        <v>1577136025</v>
      </c>
    </row>
    <row r="4989" spans="1:7" x14ac:dyDescent="0.25">
      <c r="A4989">
        <v>1577136306</v>
      </c>
      <c r="B4989" t="s">
        <v>36632</v>
      </c>
      <c r="C4989">
        <v>1974</v>
      </c>
      <c r="D4989">
        <v>1</v>
      </c>
      <c r="E4989">
        <v>3069</v>
      </c>
      <c r="F4989">
        <v>2979</v>
      </c>
      <c r="G4989">
        <f t="shared" si="77"/>
        <v>1577136306</v>
      </c>
    </row>
    <row r="4990" spans="1:7" x14ac:dyDescent="0.25">
      <c r="A4990">
        <v>1577136317</v>
      </c>
      <c r="B4990" t="s">
        <v>27571</v>
      </c>
      <c r="C4990">
        <v>0</v>
      </c>
      <c r="D4990">
        <v>0</v>
      </c>
      <c r="E4990">
        <v>0</v>
      </c>
      <c r="F4990">
        <v>7805</v>
      </c>
      <c r="G4990">
        <f t="shared" si="77"/>
        <v>1577136317</v>
      </c>
    </row>
    <row r="4991" spans="1:7" x14ac:dyDescent="0.25">
      <c r="A4991">
        <v>1577136354</v>
      </c>
      <c r="B4991" t="s">
        <v>27572</v>
      </c>
      <c r="C4991">
        <v>0</v>
      </c>
      <c r="D4991">
        <v>1</v>
      </c>
      <c r="E4991">
        <v>1314</v>
      </c>
      <c r="F4991">
        <v>3717</v>
      </c>
      <c r="G4991">
        <f t="shared" si="77"/>
        <v>1577136354</v>
      </c>
    </row>
    <row r="4992" spans="1:7" x14ac:dyDescent="0.25">
      <c r="A4992">
        <v>1577136457</v>
      </c>
      <c r="B4992" t="s">
        <v>27573</v>
      </c>
      <c r="C4992">
        <v>215</v>
      </c>
      <c r="D4992">
        <v>3</v>
      </c>
      <c r="E4992">
        <v>17144</v>
      </c>
      <c r="F4992">
        <v>828</v>
      </c>
      <c r="G4992">
        <f t="shared" si="77"/>
        <v>1577136457</v>
      </c>
    </row>
    <row r="4993" spans="1:7" x14ac:dyDescent="0.25">
      <c r="A4993">
        <v>1577136488</v>
      </c>
      <c r="B4993" t="s">
        <v>36633</v>
      </c>
      <c r="C4993">
        <v>0</v>
      </c>
      <c r="D4993">
        <v>1</v>
      </c>
      <c r="E4993">
        <v>201</v>
      </c>
      <c r="F4993">
        <v>5495</v>
      </c>
      <c r="G4993">
        <f t="shared" ref="G4993:G5056" si="78">A4993</f>
        <v>1577136488</v>
      </c>
    </row>
    <row r="4994" spans="1:7" x14ac:dyDescent="0.25">
      <c r="A4994">
        <v>1577136521</v>
      </c>
      <c r="B4994" t="s">
        <v>27574</v>
      </c>
      <c r="C4994">
        <v>0</v>
      </c>
      <c r="D4994">
        <v>0</v>
      </c>
      <c r="E4994">
        <v>0</v>
      </c>
      <c r="F4994">
        <v>7806</v>
      </c>
      <c r="G4994">
        <f t="shared" si="78"/>
        <v>1577136521</v>
      </c>
    </row>
    <row r="4995" spans="1:7" x14ac:dyDescent="0.25">
      <c r="A4995">
        <v>1577136631</v>
      </c>
      <c r="B4995" t="s">
        <v>27575</v>
      </c>
      <c r="C4995">
        <v>0</v>
      </c>
      <c r="D4995">
        <v>1</v>
      </c>
      <c r="E4995">
        <v>54</v>
      </c>
      <c r="F4995">
        <v>6137</v>
      </c>
      <c r="G4995">
        <f t="shared" si="78"/>
        <v>1577136631</v>
      </c>
    </row>
    <row r="4996" spans="1:7" x14ac:dyDescent="0.25">
      <c r="A4996">
        <v>1577136680</v>
      </c>
      <c r="B4996" t="s">
        <v>27576</v>
      </c>
      <c r="C4996">
        <v>0</v>
      </c>
      <c r="D4996">
        <v>1</v>
      </c>
      <c r="E4996">
        <v>201</v>
      </c>
      <c r="F4996">
        <v>5496</v>
      </c>
      <c r="G4996">
        <f t="shared" si="78"/>
        <v>1577136680</v>
      </c>
    </row>
    <row r="4997" spans="1:7" x14ac:dyDescent="0.25">
      <c r="A4997">
        <v>1577137022</v>
      </c>
      <c r="B4997" t="s">
        <v>27577</v>
      </c>
      <c r="C4997">
        <v>0</v>
      </c>
      <c r="D4997">
        <v>0</v>
      </c>
      <c r="E4997">
        <v>0</v>
      </c>
      <c r="F4997">
        <v>7807</v>
      </c>
      <c r="G4997">
        <f t="shared" si="78"/>
        <v>1577137022</v>
      </c>
    </row>
    <row r="4998" spans="1:7" x14ac:dyDescent="0.25">
      <c r="A4998">
        <v>1577137029</v>
      </c>
      <c r="B4998" t="s">
        <v>27578</v>
      </c>
      <c r="C4998">
        <v>0</v>
      </c>
      <c r="D4998">
        <v>1</v>
      </c>
      <c r="E4998">
        <v>26</v>
      </c>
      <c r="F4998">
        <v>6704</v>
      </c>
      <c r="G4998">
        <f t="shared" si="78"/>
        <v>1577137029</v>
      </c>
    </row>
    <row r="4999" spans="1:7" x14ac:dyDescent="0.25">
      <c r="A4999">
        <v>1577137125</v>
      </c>
      <c r="B4999" t="s">
        <v>27579</v>
      </c>
      <c r="C4999">
        <v>0</v>
      </c>
      <c r="D4999">
        <v>1</v>
      </c>
      <c r="E4999">
        <v>1325</v>
      </c>
      <c r="F4999">
        <v>3708</v>
      </c>
      <c r="G4999">
        <f t="shared" si="78"/>
        <v>1577137125</v>
      </c>
    </row>
    <row r="5000" spans="1:7" x14ac:dyDescent="0.25">
      <c r="A5000">
        <v>1577137352</v>
      </c>
      <c r="B5000" t="s">
        <v>27580</v>
      </c>
      <c r="C5000">
        <v>0</v>
      </c>
      <c r="D5000">
        <v>1</v>
      </c>
      <c r="E5000">
        <v>284</v>
      </c>
      <c r="F5000">
        <v>5169</v>
      </c>
      <c r="G5000">
        <f t="shared" si="78"/>
        <v>1577137352</v>
      </c>
    </row>
    <row r="5001" spans="1:7" x14ac:dyDescent="0.25">
      <c r="A5001">
        <v>1577137386</v>
      </c>
      <c r="B5001" t="s">
        <v>27581</v>
      </c>
      <c r="C5001">
        <v>0</v>
      </c>
      <c r="D5001">
        <v>0</v>
      </c>
      <c r="E5001">
        <v>0</v>
      </c>
      <c r="F5001">
        <v>7808</v>
      </c>
      <c r="G5001">
        <f t="shared" si="78"/>
        <v>1577137386</v>
      </c>
    </row>
    <row r="5002" spans="1:7" x14ac:dyDescent="0.25">
      <c r="A5002">
        <v>1577137518</v>
      </c>
      <c r="B5002" t="s">
        <v>27582</v>
      </c>
      <c r="C5002">
        <v>645</v>
      </c>
      <c r="D5002">
        <v>1</v>
      </c>
      <c r="E5002">
        <v>26</v>
      </c>
      <c r="F5002">
        <v>6705</v>
      </c>
      <c r="G5002">
        <f t="shared" si="78"/>
        <v>1577137518</v>
      </c>
    </row>
    <row r="5003" spans="1:7" x14ac:dyDescent="0.25">
      <c r="A5003">
        <v>1577137534</v>
      </c>
      <c r="B5003" t="s">
        <v>37325</v>
      </c>
      <c r="C5003">
        <v>1362</v>
      </c>
      <c r="D5003">
        <v>1</v>
      </c>
      <c r="E5003">
        <v>1063</v>
      </c>
      <c r="F5003">
        <v>3909</v>
      </c>
      <c r="G5003">
        <f t="shared" si="78"/>
        <v>1577137534</v>
      </c>
    </row>
    <row r="5004" spans="1:7" x14ac:dyDescent="0.25">
      <c r="A5004">
        <v>1577137816</v>
      </c>
      <c r="B5004" t="s">
        <v>27583</v>
      </c>
      <c r="C5004">
        <v>1357</v>
      </c>
      <c r="D5004">
        <v>1</v>
      </c>
      <c r="E5004">
        <v>1711</v>
      </c>
      <c r="F5004">
        <v>3491</v>
      </c>
      <c r="G5004">
        <f t="shared" si="78"/>
        <v>1577137816</v>
      </c>
    </row>
    <row r="5005" spans="1:7" x14ac:dyDescent="0.25">
      <c r="A5005">
        <v>1577137866</v>
      </c>
      <c r="B5005" t="s">
        <v>27584</v>
      </c>
      <c r="C5005">
        <v>896</v>
      </c>
      <c r="D5005">
        <v>1</v>
      </c>
      <c r="E5005">
        <v>2309</v>
      </c>
      <c r="F5005">
        <v>3209</v>
      </c>
      <c r="G5005">
        <f t="shared" si="78"/>
        <v>1577137866</v>
      </c>
    </row>
    <row r="5006" spans="1:7" x14ac:dyDescent="0.25">
      <c r="A5006">
        <v>1577137896</v>
      </c>
      <c r="B5006" t="s">
        <v>27585</v>
      </c>
      <c r="C5006">
        <v>896</v>
      </c>
      <c r="D5006">
        <v>2</v>
      </c>
      <c r="E5006">
        <v>7268</v>
      </c>
      <c r="F5006">
        <v>2017</v>
      </c>
      <c r="G5006">
        <f t="shared" si="78"/>
        <v>1577137896</v>
      </c>
    </row>
    <row r="5007" spans="1:7" x14ac:dyDescent="0.25">
      <c r="A5007">
        <v>1577137953</v>
      </c>
      <c r="B5007" t="s">
        <v>27586</v>
      </c>
      <c r="C5007">
        <v>0</v>
      </c>
      <c r="D5007">
        <v>0</v>
      </c>
      <c r="E5007">
        <v>0</v>
      </c>
      <c r="F5007">
        <v>7809</v>
      </c>
      <c r="G5007">
        <f t="shared" si="78"/>
        <v>1577137953</v>
      </c>
    </row>
    <row r="5008" spans="1:7" x14ac:dyDescent="0.25">
      <c r="A5008">
        <v>1577138002</v>
      </c>
      <c r="B5008" t="s">
        <v>27587</v>
      </c>
      <c r="C5008">
        <v>0</v>
      </c>
      <c r="D5008">
        <v>0</v>
      </c>
      <c r="E5008">
        <v>0</v>
      </c>
      <c r="F5008">
        <v>7810</v>
      </c>
      <c r="G5008">
        <f t="shared" si="78"/>
        <v>1577138002</v>
      </c>
    </row>
    <row r="5009" spans="1:7" x14ac:dyDescent="0.25">
      <c r="A5009">
        <v>1577138038</v>
      </c>
      <c r="B5009" t="s">
        <v>27588</v>
      </c>
      <c r="C5009">
        <v>196</v>
      </c>
      <c r="D5009">
        <v>9</v>
      </c>
      <c r="E5009">
        <v>52367</v>
      </c>
      <c r="F5009">
        <v>34</v>
      </c>
      <c r="G5009">
        <f t="shared" si="78"/>
        <v>1577138038</v>
      </c>
    </row>
    <row r="5010" spans="1:7" x14ac:dyDescent="0.25">
      <c r="A5010">
        <v>1577138069</v>
      </c>
      <c r="B5010" t="s">
        <v>27589</v>
      </c>
      <c r="C5010">
        <v>205</v>
      </c>
      <c r="D5010">
        <v>1</v>
      </c>
      <c r="E5010">
        <v>1941</v>
      </c>
      <c r="F5010">
        <v>3376</v>
      </c>
      <c r="G5010">
        <f t="shared" si="78"/>
        <v>1577138069</v>
      </c>
    </row>
    <row r="5011" spans="1:7" x14ac:dyDescent="0.25">
      <c r="A5011">
        <v>1577138203</v>
      </c>
      <c r="B5011" t="s">
        <v>27590</v>
      </c>
      <c r="C5011">
        <v>1124</v>
      </c>
      <c r="D5011">
        <v>1</v>
      </c>
      <c r="E5011">
        <v>188</v>
      </c>
      <c r="F5011">
        <v>5550</v>
      </c>
      <c r="G5011">
        <f t="shared" si="78"/>
        <v>1577138203</v>
      </c>
    </row>
    <row r="5012" spans="1:7" x14ac:dyDescent="0.25">
      <c r="A5012">
        <v>1577138262</v>
      </c>
      <c r="B5012" t="s">
        <v>27591</v>
      </c>
      <c r="C5012">
        <v>15</v>
      </c>
      <c r="D5012">
        <v>1</v>
      </c>
      <c r="E5012">
        <v>26</v>
      </c>
      <c r="F5012">
        <v>6706</v>
      </c>
      <c r="G5012">
        <f t="shared" si="78"/>
        <v>1577138262</v>
      </c>
    </row>
    <row r="5013" spans="1:7" x14ac:dyDescent="0.25">
      <c r="A5013">
        <v>1577138412</v>
      </c>
      <c r="B5013" t="s">
        <v>36634</v>
      </c>
      <c r="C5013">
        <v>1107</v>
      </c>
      <c r="D5013">
        <v>1</v>
      </c>
      <c r="E5013">
        <v>290</v>
      </c>
      <c r="F5013">
        <v>5150</v>
      </c>
      <c r="G5013">
        <f t="shared" si="78"/>
        <v>1577138412</v>
      </c>
    </row>
    <row r="5014" spans="1:7" x14ac:dyDescent="0.25">
      <c r="A5014">
        <v>1577138437</v>
      </c>
      <c r="B5014" t="s">
        <v>27592</v>
      </c>
      <c r="C5014">
        <v>1357</v>
      </c>
      <c r="D5014">
        <v>0</v>
      </c>
      <c r="E5014">
        <v>0</v>
      </c>
      <c r="F5014">
        <v>7811</v>
      </c>
      <c r="G5014">
        <f t="shared" si="78"/>
        <v>1577138437</v>
      </c>
    </row>
    <row r="5015" spans="1:7" x14ac:dyDescent="0.25">
      <c r="A5015">
        <v>1577138517</v>
      </c>
      <c r="B5015" t="s">
        <v>27593</v>
      </c>
      <c r="C5015">
        <v>0</v>
      </c>
      <c r="D5015">
        <v>0</v>
      </c>
      <c r="E5015">
        <v>0</v>
      </c>
      <c r="F5015">
        <v>7812</v>
      </c>
      <c r="G5015">
        <f t="shared" si="78"/>
        <v>1577138517</v>
      </c>
    </row>
    <row r="5016" spans="1:7" x14ac:dyDescent="0.25">
      <c r="A5016">
        <v>1577138594</v>
      </c>
      <c r="B5016" t="s">
        <v>27594</v>
      </c>
      <c r="C5016">
        <v>0</v>
      </c>
      <c r="D5016">
        <v>1</v>
      </c>
      <c r="E5016">
        <v>180</v>
      </c>
      <c r="F5016">
        <v>5580</v>
      </c>
      <c r="G5016">
        <f t="shared" si="78"/>
        <v>1577138594</v>
      </c>
    </row>
    <row r="5017" spans="1:7" x14ac:dyDescent="0.25">
      <c r="A5017">
        <v>1577138646</v>
      </c>
      <c r="B5017" t="s">
        <v>27595</v>
      </c>
      <c r="C5017">
        <v>0</v>
      </c>
      <c r="D5017">
        <v>1</v>
      </c>
      <c r="E5017">
        <v>26</v>
      </c>
      <c r="F5017">
        <v>6707</v>
      </c>
      <c r="G5017">
        <f t="shared" si="78"/>
        <v>1577138646</v>
      </c>
    </row>
    <row r="5018" spans="1:7" x14ac:dyDescent="0.25">
      <c r="A5018">
        <v>1577138710</v>
      </c>
      <c r="B5018" t="s">
        <v>27596</v>
      </c>
      <c r="C5018">
        <v>1609</v>
      </c>
      <c r="D5018">
        <v>1</v>
      </c>
      <c r="E5018">
        <v>6428</v>
      </c>
      <c r="F5018">
        <v>2181</v>
      </c>
      <c r="G5018">
        <f t="shared" si="78"/>
        <v>1577138710</v>
      </c>
    </row>
    <row r="5019" spans="1:7" x14ac:dyDescent="0.25">
      <c r="A5019">
        <v>1577138742</v>
      </c>
      <c r="B5019" t="s">
        <v>27597</v>
      </c>
      <c r="C5019">
        <v>578</v>
      </c>
      <c r="D5019">
        <v>6</v>
      </c>
      <c r="E5019">
        <v>33407</v>
      </c>
      <c r="F5019">
        <v>172</v>
      </c>
      <c r="G5019">
        <f t="shared" si="78"/>
        <v>1577138742</v>
      </c>
    </row>
    <row r="5020" spans="1:7" x14ac:dyDescent="0.25">
      <c r="A5020">
        <v>1577138805</v>
      </c>
      <c r="B5020" t="s">
        <v>37061</v>
      </c>
      <c r="C5020">
        <v>638</v>
      </c>
      <c r="D5020">
        <v>1</v>
      </c>
      <c r="E5020">
        <v>7242</v>
      </c>
      <c r="F5020">
        <v>2035</v>
      </c>
      <c r="G5020">
        <f t="shared" si="78"/>
        <v>1577138805</v>
      </c>
    </row>
    <row r="5021" spans="1:7" x14ac:dyDescent="0.25">
      <c r="A5021">
        <v>1577138821</v>
      </c>
      <c r="B5021" t="s">
        <v>27598</v>
      </c>
      <c r="C5021">
        <v>199</v>
      </c>
      <c r="D5021">
        <v>2</v>
      </c>
      <c r="E5021">
        <v>11456</v>
      </c>
      <c r="F5021">
        <v>1353</v>
      </c>
      <c r="G5021">
        <f t="shared" si="78"/>
        <v>1577138821</v>
      </c>
    </row>
    <row r="5022" spans="1:7" x14ac:dyDescent="0.25">
      <c r="A5022">
        <v>1577138889</v>
      </c>
      <c r="B5022" t="s">
        <v>27599</v>
      </c>
      <c r="C5022">
        <v>96</v>
      </c>
      <c r="D5022">
        <v>2</v>
      </c>
      <c r="E5022">
        <v>8251</v>
      </c>
      <c r="F5022">
        <v>1840</v>
      </c>
      <c r="G5022">
        <f t="shared" si="78"/>
        <v>1577138889</v>
      </c>
    </row>
    <row r="5023" spans="1:7" x14ac:dyDescent="0.25">
      <c r="A5023">
        <v>1577138953</v>
      </c>
      <c r="B5023" t="s">
        <v>36635</v>
      </c>
      <c r="C5023">
        <v>733</v>
      </c>
      <c r="D5023">
        <v>13</v>
      </c>
      <c r="E5023">
        <v>71135</v>
      </c>
      <c r="F5023">
        <v>11</v>
      </c>
      <c r="G5023">
        <f t="shared" si="78"/>
        <v>1577138953</v>
      </c>
    </row>
    <row r="5024" spans="1:7" x14ac:dyDescent="0.25">
      <c r="A5024">
        <v>1577139072</v>
      </c>
      <c r="B5024" t="s">
        <v>27600</v>
      </c>
      <c r="C5024">
        <v>0</v>
      </c>
      <c r="D5024">
        <v>1</v>
      </c>
      <c r="E5024">
        <v>3027</v>
      </c>
      <c r="F5024">
        <v>2989</v>
      </c>
      <c r="G5024">
        <f t="shared" si="78"/>
        <v>1577139072</v>
      </c>
    </row>
    <row r="5025" spans="1:7" x14ac:dyDescent="0.25">
      <c r="A5025">
        <v>1577139077</v>
      </c>
      <c r="B5025" t="s">
        <v>27601</v>
      </c>
      <c r="C5025">
        <v>6</v>
      </c>
      <c r="D5025">
        <v>2</v>
      </c>
      <c r="E5025">
        <v>11735</v>
      </c>
      <c r="F5025">
        <v>1321</v>
      </c>
      <c r="G5025">
        <f t="shared" si="78"/>
        <v>1577139077</v>
      </c>
    </row>
    <row r="5026" spans="1:7" x14ac:dyDescent="0.25">
      <c r="A5026">
        <v>1577139096</v>
      </c>
      <c r="B5026" t="s">
        <v>27602</v>
      </c>
      <c r="C5026">
        <v>0</v>
      </c>
      <c r="D5026">
        <v>0</v>
      </c>
      <c r="E5026">
        <v>0</v>
      </c>
      <c r="F5026">
        <v>7813</v>
      </c>
      <c r="G5026">
        <f t="shared" si="78"/>
        <v>1577139096</v>
      </c>
    </row>
    <row r="5027" spans="1:7" x14ac:dyDescent="0.25">
      <c r="A5027">
        <v>1577139117</v>
      </c>
      <c r="B5027" t="s">
        <v>27603</v>
      </c>
      <c r="C5027">
        <v>0</v>
      </c>
      <c r="D5027">
        <v>1</v>
      </c>
      <c r="E5027">
        <v>32</v>
      </c>
      <c r="F5027">
        <v>6311</v>
      </c>
      <c r="G5027">
        <f t="shared" si="78"/>
        <v>1577139117</v>
      </c>
    </row>
    <row r="5028" spans="1:7" x14ac:dyDescent="0.25">
      <c r="A5028">
        <v>1577139128</v>
      </c>
      <c r="B5028" t="s">
        <v>27604</v>
      </c>
      <c r="C5028">
        <v>27</v>
      </c>
      <c r="D5028">
        <v>1</v>
      </c>
      <c r="E5028">
        <v>6511</v>
      </c>
      <c r="F5028">
        <v>2163</v>
      </c>
      <c r="G5028">
        <f t="shared" si="78"/>
        <v>1577139128</v>
      </c>
    </row>
    <row r="5029" spans="1:7" x14ac:dyDescent="0.25">
      <c r="A5029">
        <v>1577139157</v>
      </c>
      <c r="B5029" t="s">
        <v>27605</v>
      </c>
      <c r="C5029">
        <v>0</v>
      </c>
      <c r="D5029">
        <v>1</v>
      </c>
      <c r="E5029">
        <v>61</v>
      </c>
      <c r="F5029">
        <v>6100</v>
      </c>
      <c r="G5029">
        <f t="shared" si="78"/>
        <v>1577139157</v>
      </c>
    </row>
    <row r="5030" spans="1:7" x14ac:dyDescent="0.25">
      <c r="A5030">
        <v>1577139181</v>
      </c>
      <c r="B5030" t="s">
        <v>27606</v>
      </c>
      <c r="C5030">
        <v>6</v>
      </c>
      <c r="D5030">
        <v>3</v>
      </c>
      <c r="E5030">
        <v>20432</v>
      </c>
      <c r="F5030">
        <v>600</v>
      </c>
      <c r="G5030">
        <f t="shared" si="78"/>
        <v>1577139181</v>
      </c>
    </row>
    <row r="5031" spans="1:7" x14ac:dyDescent="0.25">
      <c r="A5031">
        <v>1577139304</v>
      </c>
      <c r="B5031" t="s">
        <v>27607</v>
      </c>
      <c r="C5031">
        <v>433</v>
      </c>
      <c r="D5031">
        <v>1</v>
      </c>
      <c r="E5031">
        <v>956</v>
      </c>
      <c r="F5031">
        <v>4040</v>
      </c>
      <c r="G5031">
        <f t="shared" si="78"/>
        <v>1577139304</v>
      </c>
    </row>
    <row r="5032" spans="1:7" x14ac:dyDescent="0.25">
      <c r="A5032">
        <v>1577139481</v>
      </c>
      <c r="B5032" t="s">
        <v>27608</v>
      </c>
      <c r="C5032">
        <v>205</v>
      </c>
      <c r="D5032">
        <v>1</v>
      </c>
      <c r="E5032">
        <v>1829</v>
      </c>
      <c r="F5032">
        <v>3432</v>
      </c>
      <c r="G5032">
        <f t="shared" si="78"/>
        <v>1577139481</v>
      </c>
    </row>
    <row r="5033" spans="1:7" x14ac:dyDescent="0.25">
      <c r="A5033">
        <v>1577139691</v>
      </c>
      <c r="B5033" t="s">
        <v>27609</v>
      </c>
      <c r="C5033">
        <v>6</v>
      </c>
      <c r="D5033">
        <v>4</v>
      </c>
      <c r="E5033">
        <v>20172</v>
      </c>
      <c r="F5033">
        <v>614</v>
      </c>
      <c r="G5033">
        <f t="shared" si="78"/>
        <v>1577139691</v>
      </c>
    </row>
    <row r="5034" spans="1:7" x14ac:dyDescent="0.25">
      <c r="A5034">
        <v>1577139734</v>
      </c>
      <c r="B5034" t="s">
        <v>27610</v>
      </c>
      <c r="C5034">
        <v>0</v>
      </c>
      <c r="D5034">
        <v>1</v>
      </c>
      <c r="E5034">
        <v>28</v>
      </c>
      <c r="F5034">
        <v>6329</v>
      </c>
      <c r="G5034">
        <f t="shared" si="78"/>
        <v>1577139734</v>
      </c>
    </row>
    <row r="5035" spans="1:7" x14ac:dyDescent="0.25">
      <c r="A5035">
        <v>1577139735</v>
      </c>
      <c r="B5035" t="s">
        <v>27611</v>
      </c>
      <c r="C5035">
        <v>0</v>
      </c>
      <c r="D5035">
        <v>1</v>
      </c>
      <c r="E5035">
        <v>26</v>
      </c>
      <c r="F5035">
        <v>6708</v>
      </c>
      <c r="G5035">
        <f t="shared" si="78"/>
        <v>1577139735</v>
      </c>
    </row>
    <row r="5036" spans="1:7" x14ac:dyDescent="0.25">
      <c r="A5036">
        <v>1577139948</v>
      </c>
      <c r="B5036" t="s">
        <v>27612</v>
      </c>
      <c r="C5036">
        <v>0</v>
      </c>
      <c r="D5036">
        <v>1</v>
      </c>
      <c r="E5036">
        <v>710</v>
      </c>
      <c r="F5036">
        <v>4329</v>
      </c>
      <c r="G5036">
        <f t="shared" si="78"/>
        <v>1577139948</v>
      </c>
    </row>
    <row r="5037" spans="1:7" x14ac:dyDescent="0.25">
      <c r="A5037">
        <v>1577139959</v>
      </c>
      <c r="B5037" t="s">
        <v>27613</v>
      </c>
      <c r="C5037">
        <v>199</v>
      </c>
      <c r="D5037">
        <v>2</v>
      </c>
      <c r="E5037">
        <v>11148</v>
      </c>
      <c r="F5037">
        <v>1393</v>
      </c>
      <c r="G5037">
        <f t="shared" si="78"/>
        <v>1577139959</v>
      </c>
    </row>
    <row r="5038" spans="1:7" x14ac:dyDescent="0.25">
      <c r="A5038">
        <v>1577140025</v>
      </c>
      <c r="B5038" t="s">
        <v>27614</v>
      </c>
      <c r="C5038">
        <v>1100</v>
      </c>
      <c r="D5038">
        <v>1</v>
      </c>
      <c r="E5038">
        <v>3384</v>
      </c>
      <c r="F5038">
        <v>2905</v>
      </c>
      <c r="G5038">
        <f t="shared" si="78"/>
        <v>1577140025</v>
      </c>
    </row>
    <row r="5039" spans="1:7" x14ac:dyDescent="0.25">
      <c r="A5039">
        <v>1577140251</v>
      </c>
      <c r="B5039" t="s">
        <v>27615</v>
      </c>
      <c r="C5039">
        <v>174</v>
      </c>
      <c r="D5039">
        <v>3</v>
      </c>
      <c r="E5039">
        <v>16185</v>
      </c>
      <c r="F5039">
        <v>894</v>
      </c>
      <c r="G5039">
        <f t="shared" si="78"/>
        <v>1577140251</v>
      </c>
    </row>
    <row r="5040" spans="1:7" x14ac:dyDescent="0.25">
      <c r="A5040">
        <v>1577140548</v>
      </c>
      <c r="B5040" t="s">
        <v>27616</v>
      </c>
      <c r="C5040">
        <v>882</v>
      </c>
      <c r="D5040">
        <v>1</v>
      </c>
      <c r="E5040">
        <v>6693</v>
      </c>
      <c r="F5040">
        <v>2119</v>
      </c>
      <c r="G5040">
        <f t="shared" si="78"/>
        <v>1577140548</v>
      </c>
    </row>
    <row r="5041" spans="1:7" x14ac:dyDescent="0.25">
      <c r="A5041">
        <v>1577140650</v>
      </c>
      <c r="B5041" t="s">
        <v>27617</v>
      </c>
      <c r="C5041">
        <v>0</v>
      </c>
      <c r="D5041">
        <v>0</v>
      </c>
      <c r="E5041">
        <v>0</v>
      </c>
      <c r="F5041">
        <v>7814</v>
      </c>
      <c r="G5041">
        <f t="shared" si="78"/>
        <v>1577140650</v>
      </c>
    </row>
    <row r="5042" spans="1:7" x14ac:dyDescent="0.25">
      <c r="A5042">
        <v>1577140723</v>
      </c>
      <c r="B5042" t="s">
        <v>27618</v>
      </c>
      <c r="C5042">
        <v>27</v>
      </c>
      <c r="D5042">
        <v>2</v>
      </c>
      <c r="E5042">
        <v>9224</v>
      </c>
      <c r="F5042">
        <v>1687</v>
      </c>
      <c r="G5042">
        <f t="shared" si="78"/>
        <v>1577140723</v>
      </c>
    </row>
    <row r="5043" spans="1:7" x14ac:dyDescent="0.25">
      <c r="A5043">
        <v>1577140769</v>
      </c>
      <c r="B5043" t="s">
        <v>27619</v>
      </c>
      <c r="C5043">
        <v>0</v>
      </c>
      <c r="D5043">
        <v>0</v>
      </c>
      <c r="E5043">
        <v>0</v>
      </c>
      <c r="F5043">
        <v>7815</v>
      </c>
      <c r="G5043">
        <f t="shared" si="78"/>
        <v>1577140769</v>
      </c>
    </row>
    <row r="5044" spans="1:7" x14ac:dyDescent="0.25">
      <c r="A5044">
        <v>1577140861</v>
      </c>
      <c r="B5044" t="s">
        <v>27620</v>
      </c>
      <c r="C5044">
        <v>0</v>
      </c>
      <c r="D5044">
        <v>1</v>
      </c>
      <c r="E5044">
        <v>26</v>
      </c>
      <c r="F5044">
        <v>6709</v>
      </c>
      <c r="G5044">
        <f t="shared" si="78"/>
        <v>1577140861</v>
      </c>
    </row>
    <row r="5045" spans="1:7" x14ac:dyDescent="0.25">
      <c r="A5045">
        <v>1577141045</v>
      </c>
      <c r="B5045" t="s">
        <v>27621</v>
      </c>
      <c r="C5045">
        <v>1946</v>
      </c>
      <c r="D5045">
        <v>2</v>
      </c>
      <c r="E5045">
        <v>4969</v>
      </c>
      <c r="F5045">
        <v>2515</v>
      </c>
      <c r="G5045">
        <f t="shared" si="78"/>
        <v>1577141045</v>
      </c>
    </row>
    <row r="5046" spans="1:7" x14ac:dyDescent="0.25">
      <c r="A5046">
        <v>1577141115</v>
      </c>
      <c r="B5046" t="s">
        <v>27622</v>
      </c>
      <c r="C5046">
        <v>270</v>
      </c>
      <c r="D5046">
        <v>6</v>
      </c>
      <c r="E5046">
        <v>27709</v>
      </c>
      <c r="F5046">
        <v>303</v>
      </c>
      <c r="G5046">
        <f t="shared" si="78"/>
        <v>1577141115</v>
      </c>
    </row>
    <row r="5047" spans="1:7" x14ac:dyDescent="0.25">
      <c r="A5047">
        <v>1577141274</v>
      </c>
      <c r="B5047" t="s">
        <v>27623</v>
      </c>
      <c r="C5047">
        <v>0</v>
      </c>
      <c r="D5047">
        <v>1</v>
      </c>
      <c r="E5047">
        <v>250</v>
      </c>
      <c r="F5047">
        <v>5303</v>
      </c>
      <c r="G5047">
        <f t="shared" si="78"/>
        <v>1577141274</v>
      </c>
    </row>
    <row r="5048" spans="1:7" x14ac:dyDescent="0.25">
      <c r="A5048">
        <v>1577141345</v>
      </c>
      <c r="B5048" t="s">
        <v>27624</v>
      </c>
      <c r="C5048">
        <v>0</v>
      </c>
      <c r="D5048">
        <v>0</v>
      </c>
      <c r="E5048">
        <v>0</v>
      </c>
      <c r="F5048">
        <v>7816</v>
      </c>
      <c r="G5048">
        <f t="shared" si="78"/>
        <v>1577141345</v>
      </c>
    </row>
    <row r="5049" spans="1:7" x14ac:dyDescent="0.25">
      <c r="A5049">
        <v>1577141518</v>
      </c>
      <c r="B5049" t="s">
        <v>27625</v>
      </c>
      <c r="C5049">
        <v>1</v>
      </c>
      <c r="D5049">
        <v>1</v>
      </c>
      <c r="E5049">
        <v>26</v>
      </c>
      <c r="F5049">
        <v>6710</v>
      </c>
      <c r="G5049">
        <f t="shared" si="78"/>
        <v>1577141518</v>
      </c>
    </row>
    <row r="5050" spans="1:7" x14ac:dyDescent="0.25">
      <c r="A5050">
        <v>1577141580</v>
      </c>
      <c r="B5050" t="s">
        <v>27626</v>
      </c>
      <c r="C5050">
        <v>0</v>
      </c>
      <c r="D5050">
        <v>1</v>
      </c>
      <c r="E5050">
        <v>816</v>
      </c>
      <c r="F5050">
        <v>4179</v>
      </c>
      <c r="G5050">
        <f t="shared" si="78"/>
        <v>1577141580</v>
      </c>
    </row>
    <row r="5051" spans="1:7" x14ac:dyDescent="0.25">
      <c r="A5051">
        <v>1577141690</v>
      </c>
      <c r="B5051" t="s">
        <v>27627</v>
      </c>
      <c r="C5051">
        <v>189</v>
      </c>
      <c r="D5051">
        <v>3</v>
      </c>
      <c r="E5051">
        <v>14350</v>
      </c>
      <c r="F5051">
        <v>1058</v>
      </c>
      <c r="G5051">
        <f t="shared" si="78"/>
        <v>1577141690</v>
      </c>
    </row>
    <row r="5052" spans="1:7" x14ac:dyDescent="0.25">
      <c r="A5052">
        <v>1577141707</v>
      </c>
      <c r="B5052" t="s">
        <v>27628</v>
      </c>
      <c r="C5052">
        <v>412</v>
      </c>
      <c r="D5052">
        <v>2</v>
      </c>
      <c r="E5052">
        <v>9742</v>
      </c>
      <c r="F5052">
        <v>1599</v>
      </c>
      <c r="G5052">
        <f t="shared" si="78"/>
        <v>1577141707</v>
      </c>
    </row>
    <row r="5053" spans="1:7" x14ac:dyDescent="0.25">
      <c r="A5053">
        <v>1577141738</v>
      </c>
      <c r="B5053" t="s">
        <v>27629</v>
      </c>
      <c r="C5053">
        <v>215</v>
      </c>
      <c r="D5053">
        <v>2</v>
      </c>
      <c r="E5053">
        <v>10351</v>
      </c>
      <c r="F5053">
        <v>1520</v>
      </c>
      <c r="G5053">
        <f t="shared" si="78"/>
        <v>1577141738</v>
      </c>
    </row>
    <row r="5054" spans="1:7" x14ac:dyDescent="0.25">
      <c r="A5054">
        <v>1577141786</v>
      </c>
      <c r="B5054" t="s">
        <v>27630</v>
      </c>
      <c r="C5054">
        <v>422</v>
      </c>
      <c r="D5054">
        <v>5</v>
      </c>
      <c r="E5054">
        <v>22289</v>
      </c>
      <c r="F5054">
        <v>512</v>
      </c>
      <c r="G5054">
        <f t="shared" si="78"/>
        <v>1577141786</v>
      </c>
    </row>
    <row r="5055" spans="1:7" x14ac:dyDescent="0.25">
      <c r="A5055">
        <v>1577141862</v>
      </c>
      <c r="B5055" t="s">
        <v>27631</v>
      </c>
      <c r="C5055">
        <v>1710</v>
      </c>
      <c r="D5055">
        <v>1</v>
      </c>
      <c r="E5055">
        <v>1874</v>
      </c>
      <c r="F5055">
        <v>3401</v>
      </c>
      <c r="G5055">
        <f t="shared" si="78"/>
        <v>1577141862</v>
      </c>
    </row>
    <row r="5056" spans="1:7" x14ac:dyDescent="0.25">
      <c r="A5056">
        <v>1577142104</v>
      </c>
      <c r="B5056" t="s">
        <v>27632</v>
      </c>
      <c r="C5056">
        <v>0</v>
      </c>
      <c r="D5056">
        <v>1</v>
      </c>
      <c r="E5056">
        <v>596</v>
      </c>
      <c r="F5056">
        <v>4487</v>
      </c>
      <c r="G5056">
        <f t="shared" si="78"/>
        <v>1577142104</v>
      </c>
    </row>
    <row r="5057" spans="1:7" x14ac:dyDescent="0.25">
      <c r="A5057">
        <v>1577142302</v>
      </c>
      <c r="B5057" t="s">
        <v>3994</v>
      </c>
      <c r="C5057">
        <v>1913</v>
      </c>
      <c r="D5057">
        <v>1</v>
      </c>
      <c r="E5057">
        <v>827</v>
      </c>
      <c r="F5057">
        <v>4162</v>
      </c>
      <c r="G5057">
        <f t="shared" ref="G5057:G5120" si="79">A5057</f>
        <v>1577142302</v>
      </c>
    </row>
    <row r="5058" spans="1:7" x14ac:dyDescent="0.25">
      <c r="A5058">
        <v>1577142350</v>
      </c>
      <c r="B5058" t="s">
        <v>27633</v>
      </c>
      <c r="C5058">
        <v>0</v>
      </c>
      <c r="D5058">
        <v>1</v>
      </c>
      <c r="E5058">
        <v>28</v>
      </c>
      <c r="F5058">
        <v>6330</v>
      </c>
      <c r="G5058">
        <f t="shared" si="79"/>
        <v>1577142350</v>
      </c>
    </row>
    <row r="5059" spans="1:7" x14ac:dyDescent="0.25">
      <c r="A5059">
        <v>1577142351</v>
      </c>
      <c r="B5059" t="s">
        <v>27634</v>
      </c>
      <c r="C5059">
        <v>0</v>
      </c>
      <c r="D5059">
        <v>1</v>
      </c>
      <c r="E5059">
        <v>104</v>
      </c>
      <c r="F5059">
        <v>5834</v>
      </c>
      <c r="G5059">
        <f t="shared" si="79"/>
        <v>1577142351</v>
      </c>
    </row>
    <row r="5060" spans="1:7" x14ac:dyDescent="0.25">
      <c r="A5060">
        <v>1577142577</v>
      </c>
      <c r="B5060" t="s">
        <v>27635</v>
      </c>
      <c r="C5060">
        <v>1100</v>
      </c>
      <c r="D5060">
        <v>3</v>
      </c>
      <c r="E5060">
        <v>8899</v>
      </c>
      <c r="F5060">
        <v>1746</v>
      </c>
      <c r="G5060">
        <f t="shared" si="79"/>
        <v>1577142577</v>
      </c>
    </row>
    <row r="5061" spans="1:7" x14ac:dyDescent="0.25">
      <c r="A5061">
        <v>1577142604</v>
      </c>
      <c r="B5061" t="s">
        <v>27636</v>
      </c>
      <c r="C5061">
        <v>131</v>
      </c>
      <c r="D5061">
        <v>3</v>
      </c>
      <c r="E5061">
        <v>12355</v>
      </c>
      <c r="F5061">
        <v>1258</v>
      </c>
      <c r="G5061">
        <f t="shared" si="79"/>
        <v>1577142604</v>
      </c>
    </row>
    <row r="5062" spans="1:7" x14ac:dyDescent="0.25">
      <c r="A5062">
        <v>1577142959</v>
      </c>
      <c r="B5062" t="s">
        <v>27637</v>
      </c>
      <c r="C5062">
        <v>189</v>
      </c>
      <c r="D5062">
        <v>3</v>
      </c>
      <c r="E5062">
        <v>8388</v>
      </c>
      <c r="F5062">
        <v>1812</v>
      </c>
      <c r="G5062">
        <f t="shared" si="79"/>
        <v>1577142959</v>
      </c>
    </row>
    <row r="5063" spans="1:7" x14ac:dyDescent="0.25">
      <c r="A5063">
        <v>1577143071</v>
      </c>
      <c r="B5063" t="s">
        <v>27638</v>
      </c>
      <c r="C5063">
        <v>1138</v>
      </c>
      <c r="D5063">
        <v>1</v>
      </c>
      <c r="E5063">
        <v>26</v>
      </c>
      <c r="F5063">
        <v>6711</v>
      </c>
      <c r="G5063">
        <f t="shared" si="79"/>
        <v>1577143071</v>
      </c>
    </row>
    <row r="5064" spans="1:7" x14ac:dyDescent="0.25">
      <c r="A5064">
        <v>1577143186</v>
      </c>
      <c r="B5064" t="s">
        <v>27639</v>
      </c>
      <c r="C5064">
        <v>1138</v>
      </c>
      <c r="D5064">
        <v>0</v>
      </c>
      <c r="E5064">
        <v>0</v>
      </c>
      <c r="F5064">
        <v>7817</v>
      </c>
      <c r="G5064">
        <f t="shared" si="79"/>
        <v>1577143186</v>
      </c>
    </row>
    <row r="5065" spans="1:7" x14ac:dyDescent="0.25">
      <c r="A5065">
        <v>1577143225</v>
      </c>
      <c r="B5065" t="s">
        <v>27640</v>
      </c>
      <c r="C5065">
        <v>0</v>
      </c>
      <c r="D5065">
        <v>1</v>
      </c>
      <c r="E5065">
        <v>180</v>
      </c>
      <c r="F5065">
        <v>5581</v>
      </c>
      <c r="G5065">
        <f t="shared" si="79"/>
        <v>1577143225</v>
      </c>
    </row>
    <row r="5066" spans="1:7" x14ac:dyDescent="0.25">
      <c r="A5066">
        <v>1577143275</v>
      </c>
      <c r="B5066" t="s">
        <v>27641</v>
      </c>
      <c r="C5066">
        <v>0</v>
      </c>
      <c r="D5066">
        <v>1</v>
      </c>
      <c r="E5066">
        <v>2123</v>
      </c>
      <c r="F5066">
        <v>3281</v>
      </c>
      <c r="G5066">
        <f t="shared" si="79"/>
        <v>1577143275</v>
      </c>
    </row>
    <row r="5067" spans="1:7" x14ac:dyDescent="0.25">
      <c r="A5067">
        <v>1577143451</v>
      </c>
      <c r="B5067" t="s">
        <v>27642</v>
      </c>
      <c r="C5067">
        <v>429</v>
      </c>
      <c r="D5067">
        <v>1</v>
      </c>
      <c r="E5067">
        <v>4109</v>
      </c>
      <c r="F5067">
        <v>2746</v>
      </c>
      <c r="G5067">
        <f t="shared" si="79"/>
        <v>1577143451</v>
      </c>
    </row>
    <row r="5068" spans="1:7" x14ac:dyDescent="0.25">
      <c r="A5068">
        <v>1577143632</v>
      </c>
      <c r="B5068" t="s">
        <v>27643</v>
      </c>
      <c r="C5068">
        <v>617</v>
      </c>
      <c r="D5068">
        <v>4</v>
      </c>
      <c r="E5068">
        <v>17536</v>
      </c>
      <c r="F5068">
        <v>789</v>
      </c>
      <c r="G5068">
        <f t="shared" si="79"/>
        <v>1577143632</v>
      </c>
    </row>
    <row r="5069" spans="1:7" x14ac:dyDescent="0.25">
      <c r="A5069">
        <v>1577143669</v>
      </c>
      <c r="B5069" t="s">
        <v>27644</v>
      </c>
      <c r="C5069">
        <v>58</v>
      </c>
      <c r="D5069">
        <v>2</v>
      </c>
      <c r="E5069">
        <v>9445</v>
      </c>
      <c r="F5069">
        <v>1646</v>
      </c>
      <c r="G5069">
        <f t="shared" si="79"/>
        <v>1577143669</v>
      </c>
    </row>
    <row r="5070" spans="1:7" x14ac:dyDescent="0.25">
      <c r="A5070">
        <v>1577143706</v>
      </c>
      <c r="B5070" t="s">
        <v>27645</v>
      </c>
      <c r="C5070">
        <v>26</v>
      </c>
      <c r="D5070">
        <v>2</v>
      </c>
      <c r="E5070">
        <v>7988</v>
      </c>
      <c r="F5070">
        <v>1882</v>
      </c>
      <c r="G5070">
        <f t="shared" si="79"/>
        <v>1577143706</v>
      </c>
    </row>
    <row r="5071" spans="1:7" x14ac:dyDescent="0.25">
      <c r="A5071">
        <v>1577143853</v>
      </c>
      <c r="B5071" t="s">
        <v>27646</v>
      </c>
      <c r="C5071">
        <v>1019</v>
      </c>
      <c r="D5071">
        <v>1</v>
      </c>
      <c r="E5071">
        <v>801</v>
      </c>
      <c r="F5071">
        <v>4196</v>
      </c>
      <c r="G5071">
        <f t="shared" si="79"/>
        <v>1577143853</v>
      </c>
    </row>
    <row r="5072" spans="1:7" x14ac:dyDescent="0.25">
      <c r="A5072">
        <v>1577143887</v>
      </c>
      <c r="B5072" t="s">
        <v>36636</v>
      </c>
      <c r="C5072">
        <v>347</v>
      </c>
      <c r="D5072">
        <v>1</v>
      </c>
      <c r="E5072">
        <v>117</v>
      </c>
      <c r="F5072">
        <v>5794</v>
      </c>
      <c r="G5072">
        <f t="shared" si="79"/>
        <v>1577143887</v>
      </c>
    </row>
    <row r="5073" spans="1:7" x14ac:dyDescent="0.25">
      <c r="A5073">
        <v>1577143932</v>
      </c>
      <c r="B5073" t="s">
        <v>27647</v>
      </c>
      <c r="C5073">
        <v>0</v>
      </c>
      <c r="D5073">
        <v>1</v>
      </c>
      <c r="E5073">
        <v>26</v>
      </c>
      <c r="F5073">
        <v>6712</v>
      </c>
      <c r="G5073">
        <f t="shared" si="79"/>
        <v>1577143932</v>
      </c>
    </row>
    <row r="5074" spans="1:7" x14ac:dyDescent="0.25">
      <c r="A5074">
        <v>1577143961</v>
      </c>
      <c r="B5074" t="s">
        <v>27648</v>
      </c>
      <c r="C5074">
        <v>205</v>
      </c>
      <c r="D5074">
        <v>1</v>
      </c>
      <c r="E5074">
        <v>2092</v>
      </c>
      <c r="F5074">
        <v>3295</v>
      </c>
      <c r="G5074">
        <f t="shared" si="79"/>
        <v>1577143961</v>
      </c>
    </row>
    <row r="5075" spans="1:7" x14ac:dyDescent="0.25">
      <c r="A5075">
        <v>1577144158</v>
      </c>
      <c r="B5075" t="s">
        <v>27649</v>
      </c>
      <c r="C5075">
        <v>0</v>
      </c>
      <c r="D5075">
        <v>1</v>
      </c>
      <c r="E5075">
        <v>26</v>
      </c>
      <c r="F5075">
        <v>6713</v>
      </c>
      <c r="G5075">
        <f t="shared" si="79"/>
        <v>1577144158</v>
      </c>
    </row>
    <row r="5076" spans="1:7" x14ac:dyDescent="0.25">
      <c r="A5076">
        <v>1577144212</v>
      </c>
      <c r="B5076" t="s">
        <v>27650</v>
      </c>
      <c r="C5076">
        <v>1913</v>
      </c>
      <c r="D5076">
        <v>1</v>
      </c>
      <c r="E5076">
        <v>1086</v>
      </c>
      <c r="F5076">
        <v>3884</v>
      </c>
      <c r="G5076">
        <f t="shared" si="79"/>
        <v>1577144212</v>
      </c>
    </row>
    <row r="5077" spans="1:7" x14ac:dyDescent="0.25">
      <c r="A5077">
        <v>1577144258</v>
      </c>
      <c r="B5077" t="s">
        <v>27651</v>
      </c>
      <c r="C5077">
        <v>1896</v>
      </c>
      <c r="D5077">
        <v>1</v>
      </c>
      <c r="E5077">
        <v>1188</v>
      </c>
      <c r="F5077">
        <v>3806</v>
      </c>
      <c r="G5077">
        <f t="shared" si="79"/>
        <v>1577144258</v>
      </c>
    </row>
    <row r="5078" spans="1:7" x14ac:dyDescent="0.25">
      <c r="A5078">
        <v>1577144401</v>
      </c>
      <c r="B5078" t="s">
        <v>27652</v>
      </c>
      <c r="C5078">
        <v>25</v>
      </c>
      <c r="D5078">
        <v>0</v>
      </c>
      <c r="E5078">
        <v>0</v>
      </c>
      <c r="F5078">
        <v>7818</v>
      </c>
      <c r="G5078">
        <f t="shared" si="79"/>
        <v>1577144401</v>
      </c>
    </row>
    <row r="5079" spans="1:7" x14ac:dyDescent="0.25">
      <c r="A5079">
        <v>1577144409</v>
      </c>
      <c r="B5079" t="s">
        <v>27653</v>
      </c>
      <c r="C5079">
        <v>887</v>
      </c>
      <c r="D5079">
        <v>1</v>
      </c>
      <c r="E5079">
        <v>4189</v>
      </c>
      <c r="F5079">
        <v>2719</v>
      </c>
      <c r="G5079">
        <f t="shared" si="79"/>
        <v>1577144409</v>
      </c>
    </row>
    <row r="5080" spans="1:7" x14ac:dyDescent="0.25">
      <c r="A5080">
        <v>1577144437</v>
      </c>
      <c r="B5080" t="s">
        <v>36637</v>
      </c>
      <c r="C5080">
        <v>0</v>
      </c>
      <c r="D5080">
        <v>0</v>
      </c>
      <c r="E5080">
        <v>0</v>
      </c>
      <c r="F5080">
        <v>7819</v>
      </c>
      <c r="G5080">
        <f t="shared" si="79"/>
        <v>1577144437</v>
      </c>
    </row>
    <row r="5081" spans="1:7" x14ac:dyDescent="0.25">
      <c r="A5081">
        <v>1577144624</v>
      </c>
      <c r="B5081" t="s">
        <v>27654</v>
      </c>
      <c r="C5081">
        <v>0</v>
      </c>
      <c r="D5081">
        <v>1</v>
      </c>
      <c r="E5081">
        <v>26</v>
      </c>
      <c r="F5081">
        <v>6714</v>
      </c>
      <c r="G5081">
        <f t="shared" si="79"/>
        <v>1577144624</v>
      </c>
    </row>
    <row r="5082" spans="1:7" x14ac:dyDescent="0.25">
      <c r="A5082">
        <v>1577144666</v>
      </c>
      <c r="B5082" t="s">
        <v>27655</v>
      </c>
      <c r="C5082">
        <v>1138</v>
      </c>
      <c r="D5082">
        <v>0</v>
      </c>
      <c r="E5082">
        <v>0</v>
      </c>
      <c r="F5082">
        <v>7820</v>
      </c>
      <c r="G5082">
        <f t="shared" si="79"/>
        <v>1577144666</v>
      </c>
    </row>
    <row r="5083" spans="1:7" x14ac:dyDescent="0.25">
      <c r="A5083">
        <v>1577144724</v>
      </c>
      <c r="B5083" t="s">
        <v>27656</v>
      </c>
      <c r="C5083">
        <v>0</v>
      </c>
      <c r="D5083">
        <v>1</v>
      </c>
      <c r="E5083">
        <v>982</v>
      </c>
      <c r="F5083">
        <v>4002</v>
      </c>
      <c r="G5083">
        <f t="shared" si="79"/>
        <v>1577144724</v>
      </c>
    </row>
    <row r="5084" spans="1:7" x14ac:dyDescent="0.25">
      <c r="A5084">
        <v>1577144798</v>
      </c>
      <c r="B5084" t="s">
        <v>27657</v>
      </c>
      <c r="C5084">
        <v>0</v>
      </c>
      <c r="D5084">
        <v>0</v>
      </c>
      <c r="E5084">
        <v>0</v>
      </c>
      <c r="F5084">
        <v>7821</v>
      </c>
      <c r="G5084">
        <f t="shared" si="79"/>
        <v>1577144798</v>
      </c>
    </row>
    <row r="5085" spans="1:7" x14ac:dyDescent="0.25">
      <c r="A5085">
        <v>1577145074</v>
      </c>
      <c r="B5085" t="s">
        <v>27658</v>
      </c>
      <c r="C5085">
        <v>175</v>
      </c>
      <c r="D5085">
        <v>3</v>
      </c>
      <c r="E5085">
        <v>19393</v>
      </c>
      <c r="F5085">
        <v>667</v>
      </c>
      <c r="G5085">
        <f t="shared" si="79"/>
        <v>1577145074</v>
      </c>
    </row>
    <row r="5086" spans="1:7" x14ac:dyDescent="0.25">
      <c r="A5086">
        <v>1577145083</v>
      </c>
      <c r="B5086" t="s">
        <v>27659</v>
      </c>
      <c r="C5086">
        <v>189</v>
      </c>
      <c r="D5086">
        <v>1</v>
      </c>
      <c r="E5086">
        <v>5637</v>
      </c>
      <c r="F5086">
        <v>2368</v>
      </c>
      <c r="G5086">
        <f t="shared" si="79"/>
        <v>1577145083</v>
      </c>
    </row>
    <row r="5087" spans="1:7" x14ac:dyDescent="0.25">
      <c r="A5087">
        <v>1577145097</v>
      </c>
      <c r="B5087" t="s">
        <v>948</v>
      </c>
      <c r="C5087">
        <v>0</v>
      </c>
      <c r="D5087">
        <v>1</v>
      </c>
      <c r="E5087">
        <v>26</v>
      </c>
      <c r="F5087">
        <v>6715</v>
      </c>
      <c r="G5087">
        <f t="shared" si="79"/>
        <v>1577145097</v>
      </c>
    </row>
    <row r="5088" spans="1:7" x14ac:dyDescent="0.25">
      <c r="A5088">
        <v>1577145101</v>
      </c>
      <c r="B5088" t="s">
        <v>27660</v>
      </c>
      <c r="C5088">
        <v>531</v>
      </c>
      <c r="D5088">
        <v>0</v>
      </c>
      <c r="E5088">
        <v>0</v>
      </c>
      <c r="F5088">
        <v>7822</v>
      </c>
      <c r="G5088">
        <f t="shared" si="79"/>
        <v>1577145101</v>
      </c>
    </row>
    <row r="5089" spans="1:7" x14ac:dyDescent="0.25">
      <c r="A5089">
        <v>1577145105</v>
      </c>
      <c r="B5089" t="s">
        <v>27661</v>
      </c>
      <c r="C5089">
        <v>0</v>
      </c>
      <c r="D5089">
        <v>1</v>
      </c>
      <c r="E5089">
        <v>358</v>
      </c>
      <c r="F5089">
        <v>4958</v>
      </c>
      <c r="G5089">
        <f t="shared" si="79"/>
        <v>1577145105</v>
      </c>
    </row>
    <row r="5090" spans="1:7" x14ac:dyDescent="0.25">
      <c r="A5090">
        <v>1577145164</v>
      </c>
      <c r="B5090" t="s">
        <v>27662</v>
      </c>
      <c r="C5090">
        <v>0</v>
      </c>
      <c r="D5090">
        <v>1</v>
      </c>
      <c r="E5090">
        <v>108</v>
      </c>
      <c r="F5090">
        <v>5816</v>
      </c>
      <c r="G5090">
        <f t="shared" si="79"/>
        <v>1577145164</v>
      </c>
    </row>
    <row r="5091" spans="1:7" x14ac:dyDescent="0.25">
      <c r="A5091">
        <v>1577145271</v>
      </c>
      <c r="B5091" t="s">
        <v>27663</v>
      </c>
      <c r="C5091">
        <v>1914</v>
      </c>
      <c r="D5091">
        <v>1</v>
      </c>
      <c r="E5091">
        <v>330</v>
      </c>
      <c r="F5091">
        <v>5079</v>
      </c>
      <c r="G5091">
        <f t="shared" si="79"/>
        <v>1577145271</v>
      </c>
    </row>
    <row r="5092" spans="1:7" x14ac:dyDescent="0.25">
      <c r="A5092">
        <v>1577145432</v>
      </c>
      <c r="B5092" t="s">
        <v>27664</v>
      </c>
      <c r="C5092">
        <v>0</v>
      </c>
      <c r="D5092">
        <v>1</v>
      </c>
      <c r="E5092">
        <v>218</v>
      </c>
      <c r="F5092">
        <v>5448</v>
      </c>
      <c r="G5092">
        <f t="shared" si="79"/>
        <v>1577145432</v>
      </c>
    </row>
    <row r="5093" spans="1:7" x14ac:dyDescent="0.25">
      <c r="A5093">
        <v>1577145500</v>
      </c>
      <c r="B5093" t="s">
        <v>27665</v>
      </c>
      <c r="C5093">
        <v>0</v>
      </c>
      <c r="D5093">
        <v>0</v>
      </c>
      <c r="E5093">
        <v>0</v>
      </c>
      <c r="F5093">
        <v>7823</v>
      </c>
      <c r="G5093">
        <f t="shared" si="79"/>
        <v>1577145500</v>
      </c>
    </row>
    <row r="5094" spans="1:7" x14ac:dyDescent="0.25">
      <c r="A5094">
        <v>1577145734</v>
      </c>
      <c r="B5094" t="s">
        <v>27666</v>
      </c>
      <c r="C5094">
        <v>882</v>
      </c>
      <c r="D5094">
        <v>2</v>
      </c>
      <c r="E5094">
        <v>8653</v>
      </c>
      <c r="F5094">
        <v>1777</v>
      </c>
      <c r="G5094">
        <f t="shared" si="79"/>
        <v>1577145734</v>
      </c>
    </row>
    <row r="5095" spans="1:7" x14ac:dyDescent="0.25">
      <c r="A5095">
        <v>1577145746</v>
      </c>
      <c r="B5095" t="s">
        <v>27667</v>
      </c>
      <c r="C5095">
        <v>321</v>
      </c>
      <c r="D5095">
        <v>0</v>
      </c>
      <c r="E5095">
        <v>0</v>
      </c>
      <c r="F5095">
        <v>7824</v>
      </c>
      <c r="G5095">
        <f t="shared" si="79"/>
        <v>1577145746</v>
      </c>
    </row>
    <row r="5096" spans="1:7" x14ac:dyDescent="0.25">
      <c r="A5096">
        <v>1577145770</v>
      </c>
      <c r="B5096" t="s">
        <v>27668</v>
      </c>
      <c r="C5096">
        <v>189</v>
      </c>
      <c r="D5096">
        <v>3</v>
      </c>
      <c r="E5096">
        <v>6905</v>
      </c>
      <c r="F5096">
        <v>2083</v>
      </c>
      <c r="G5096">
        <f t="shared" si="79"/>
        <v>1577145770</v>
      </c>
    </row>
    <row r="5097" spans="1:7" x14ac:dyDescent="0.25">
      <c r="A5097">
        <v>1577145994</v>
      </c>
      <c r="B5097" t="s">
        <v>27669</v>
      </c>
      <c r="C5097">
        <v>0</v>
      </c>
      <c r="D5097">
        <v>1</v>
      </c>
      <c r="E5097">
        <v>2192</v>
      </c>
      <c r="F5097">
        <v>3251</v>
      </c>
      <c r="G5097">
        <f t="shared" si="79"/>
        <v>1577145994</v>
      </c>
    </row>
    <row r="5098" spans="1:7" x14ac:dyDescent="0.25">
      <c r="A5098">
        <v>1577146042</v>
      </c>
      <c r="B5098" t="s">
        <v>27670</v>
      </c>
      <c r="C5098">
        <v>733</v>
      </c>
      <c r="D5098">
        <v>6</v>
      </c>
      <c r="E5098">
        <v>31365</v>
      </c>
      <c r="F5098">
        <v>219</v>
      </c>
      <c r="G5098">
        <f t="shared" si="79"/>
        <v>1577146042</v>
      </c>
    </row>
    <row r="5099" spans="1:7" x14ac:dyDescent="0.25">
      <c r="A5099">
        <v>1577146166</v>
      </c>
      <c r="B5099" t="s">
        <v>27671</v>
      </c>
      <c r="C5099">
        <v>422</v>
      </c>
      <c r="D5099">
        <v>1</v>
      </c>
      <c r="E5099">
        <v>26</v>
      </c>
      <c r="F5099">
        <v>6716</v>
      </c>
      <c r="G5099">
        <f t="shared" si="79"/>
        <v>1577146166</v>
      </c>
    </row>
    <row r="5100" spans="1:7" x14ac:dyDescent="0.25">
      <c r="A5100">
        <v>1577146180</v>
      </c>
      <c r="B5100" t="s">
        <v>27672</v>
      </c>
      <c r="C5100">
        <v>0</v>
      </c>
      <c r="D5100">
        <v>0</v>
      </c>
      <c r="E5100">
        <v>0</v>
      </c>
      <c r="F5100">
        <v>7825</v>
      </c>
      <c r="G5100">
        <f t="shared" si="79"/>
        <v>1577146180</v>
      </c>
    </row>
    <row r="5101" spans="1:7" x14ac:dyDescent="0.25">
      <c r="A5101">
        <v>1577146191</v>
      </c>
      <c r="B5101" t="s">
        <v>27673</v>
      </c>
      <c r="C5101">
        <v>0</v>
      </c>
      <c r="D5101">
        <v>1</v>
      </c>
      <c r="E5101">
        <v>109</v>
      </c>
      <c r="F5101">
        <v>5814</v>
      </c>
      <c r="G5101">
        <f t="shared" si="79"/>
        <v>1577146191</v>
      </c>
    </row>
    <row r="5102" spans="1:7" x14ac:dyDescent="0.25">
      <c r="A5102">
        <v>1577146291</v>
      </c>
      <c r="B5102" t="s">
        <v>27674</v>
      </c>
      <c r="C5102">
        <v>1734</v>
      </c>
      <c r="D5102">
        <v>1</v>
      </c>
      <c r="E5102">
        <v>1144</v>
      </c>
      <c r="F5102">
        <v>3854</v>
      </c>
      <c r="G5102">
        <f t="shared" si="79"/>
        <v>1577146291</v>
      </c>
    </row>
    <row r="5103" spans="1:7" x14ac:dyDescent="0.25">
      <c r="A5103">
        <v>1577146568</v>
      </c>
      <c r="B5103" t="s">
        <v>27675</v>
      </c>
      <c r="C5103">
        <v>25</v>
      </c>
      <c r="D5103">
        <v>3</v>
      </c>
      <c r="E5103">
        <v>13884</v>
      </c>
      <c r="F5103">
        <v>1090</v>
      </c>
      <c r="G5103">
        <f t="shared" si="79"/>
        <v>1577146568</v>
      </c>
    </row>
    <row r="5104" spans="1:7" x14ac:dyDescent="0.25">
      <c r="A5104">
        <v>1577146586</v>
      </c>
      <c r="B5104" t="s">
        <v>27676</v>
      </c>
      <c r="C5104">
        <v>0</v>
      </c>
      <c r="D5104">
        <v>1</v>
      </c>
      <c r="E5104">
        <v>73</v>
      </c>
      <c r="F5104">
        <v>6036</v>
      </c>
      <c r="G5104">
        <f t="shared" si="79"/>
        <v>1577146586</v>
      </c>
    </row>
    <row r="5105" spans="1:7" x14ac:dyDescent="0.25">
      <c r="A5105">
        <v>1577146592</v>
      </c>
      <c r="B5105" t="s">
        <v>27677</v>
      </c>
      <c r="C5105">
        <v>115</v>
      </c>
      <c r="D5105">
        <v>4</v>
      </c>
      <c r="E5105">
        <v>18213</v>
      </c>
      <c r="F5105">
        <v>739</v>
      </c>
      <c r="G5105">
        <f t="shared" si="79"/>
        <v>1577146592</v>
      </c>
    </row>
    <row r="5106" spans="1:7" x14ac:dyDescent="0.25">
      <c r="A5106">
        <v>1577146612</v>
      </c>
      <c r="B5106" t="s">
        <v>27678</v>
      </c>
      <c r="C5106">
        <v>0</v>
      </c>
      <c r="D5106">
        <v>0</v>
      </c>
      <c r="E5106">
        <v>0</v>
      </c>
      <c r="F5106">
        <v>7826</v>
      </c>
      <c r="G5106">
        <f t="shared" si="79"/>
        <v>1577146612</v>
      </c>
    </row>
    <row r="5107" spans="1:7" x14ac:dyDescent="0.25">
      <c r="A5107">
        <v>1577146616</v>
      </c>
      <c r="B5107" t="s">
        <v>27679</v>
      </c>
      <c r="C5107">
        <v>26</v>
      </c>
      <c r="D5107">
        <v>3</v>
      </c>
      <c r="E5107">
        <v>17123</v>
      </c>
      <c r="F5107">
        <v>818</v>
      </c>
      <c r="G5107">
        <f t="shared" si="79"/>
        <v>1577146616</v>
      </c>
    </row>
    <row r="5108" spans="1:7" x14ac:dyDescent="0.25">
      <c r="A5108">
        <v>1577146705</v>
      </c>
      <c r="B5108" t="s">
        <v>27680</v>
      </c>
      <c r="C5108">
        <v>0</v>
      </c>
      <c r="D5108">
        <v>0</v>
      </c>
      <c r="E5108">
        <v>0</v>
      </c>
      <c r="F5108">
        <v>7827</v>
      </c>
      <c r="G5108">
        <f t="shared" si="79"/>
        <v>1577146705</v>
      </c>
    </row>
    <row r="5109" spans="1:7" x14ac:dyDescent="0.25">
      <c r="A5109">
        <v>1577146740</v>
      </c>
      <c r="B5109" t="s">
        <v>27681</v>
      </c>
      <c r="C5109">
        <v>419</v>
      </c>
      <c r="D5109">
        <v>1</v>
      </c>
      <c r="E5109">
        <v>7598</v>
      </c>
      <c r="F5109">
        <v>1960</v>
      </c>
      <c r="G5109">
        <f t="shared" si="79"/>
        <v>1577146740</v>
      </c>
    </row>
    <row r="5110" spans="1:7" x14ac:dyDescent="0.25">
      <c r="A5110">
        <v>1577146753</v>
      </c>
      <c r="B5110" t="s">
        <v>27682</v>
      </c>
      <c r="C5110">
        <v>0</v>
      </c>
      <c r="D5110">
        <v>1</v>
      </c>
      <c r="E5110">
        <v>188</v>
      </c>
      <c r="F5110">
        <v>5551</v>
      </c>
      <c r="G5110">
        <f t="shared" si="79"/>
        <v>1577146753</v>
      </c>
    </row>
    <row r="5111" spans="1:7" x14ac:dyDescent="0.25">
      <c r="A5111">
        <v>1577146825</v>
      </c>
      <c r="B5111" t="s">
        <v>27683</v>
      </c>
      <c r="C5111">
        <v>131</v>
      </c>
      <c r="D5111">
        <v>3</v>
      </c>
      <c r="E5111">
        <v>14051</v>
      </c>
      <c r="F5111">
        <v>1073</v>
      </c>
      <c r="G5111">
        <f t="shared" si="79"/>
        <v>1577146825</v>
      </c>
    </row>
    <row r="5112" spans="1:7" x14ac:dyDescent="0.25">
      <c r="A5112">
        <v>1577147110</v>
      </c>
      <c r="B5112" t="s">
        <v>27684</v>
      </c>
      <c r="C5112">
        <v>541</v>
      </c>
      <c r="D5112">
        <v>2</v>
      </c>
      <c r="E5112">
        <v>10109</v>
      </c>
      <c r="F5112">
        <v>1551</v>
      </c>
      <c r="G5112">
        <f t="shared" si="79"/>
        <v>1577147110</v>
      </c>
    </row>
    <row r="5113" spans="1:7" x14ac:dyDescent="0.25">
      <c r="A5113">
        <v>1577147338</v>
      </c>
      <c r="B5113" t="s">
        <v>27685</v>
      </c>
      <c r="C5113">
        <v>18</v>
      </c>
      <c r="D5113">
        <v>0</v>
      </c>
      <c r="E5113">
        <v>0</v>
      </c>
      <c r="F5113">
        <v>7828</v>
      </c>
      <c r="G5113">
        <f t="shared" si="79"/>
        <v>1577147338</v>
      </c>
    </row>
    <row r="5114" spans="1:7" x14ac:dyDescent="0.25">
      <c r="A5114">
        <v>1577147376</v>
      </c>
      <c r="B5114" t="s">
        <v>27686</v>
      </c>
      <c r="C5114">
        <v>1968</v>
      </c>
      <c r="D5114">
        <v>0</v>
      </c>
      <c r="E5114">
        <v>0</v>
      </c>
      <c r="F5114">
        <v>7829</v>
      </c>
      <c r="G5114">
        <f t="shared" si="79"/>
        <v>1577147376</v>
      </c>
    </row>
    <row r="5115" spans="1:7" x14ac:dyDescent="0.25">
      <c r="A5115">
        <v>1577147417</v>
      </c>
      <c r="B5115" t="s">
        <v>27687</v>
      </c>
      <c r="C5115">
        <v>321</v>
      </c>
      <c r="D5115">
        <v>1</v>
      </c>
      <c r="E5115">
        <v>3618</v>
      </c>
      <c r="F5115">
        <v>2845</v>
      </c>
      <c r="G5115">
        <f t="shared" si="79"/>
        <v>1577147417</v>
      </c>
    </row>
    <row r="5116" spans="1:7" x14ac:dyDescent="0.25">
      <c r="A5116">
        <v>1577147460</v>
      </c>
      <c r="B5116" t="s">
        <v>27688</v>
      </c>
      <c r="C5116">
        <v>0</v>
      </c>
      <c r="D5116">
        <v>0</v>
      </c>
      <c r="E5116">
        <v>0</v>
      </c>
      <c r="F5116">
        <v>7830</v>
      </c>
      <c r="G5116">
        <f t="shared" si="79"/>
        <v>1577147460</v>
      </c>
    </row>
    <row r="5117" spans="1:7" x14ac:dyDescent="0.25">
      <c r="A5117">
        <v>1577147528</v>
      </c>
      <c r="B5117" t="s">
        <v>27689</v>
      </c>
      <c r="C5117">
        <v>541</v>
      </c>
      <c r="D5117">
        <v>3</v>
      </c>
      <c r="E5117">
        <v>18303</v>
      </c>
      <c r="F5117">
        <v>730</v>
      </c>
      <c r="G5117">
        <f t="shared" si="79"/>
        <v>1577147528</v>
      </c>
    </row>
    <row r="5118" spans="1:7" x14ac:dyDescent="0.25">
      <c r="A5118">
        <v>1577147692</v>
      </c>
      <c r="B5118" t="s">
        <v>27690</v>
      </c>
      <c r="C5118">
        <v>480</v>
      </c>
      <c r="D5118">
        <v>1</v>
      </c>
      <c r="E5118">
        <v>2855</v>
      </c>
      <c r="F5118">
        <v>3025</v>
      </c>
      <c r="G5118">
        <f t="shared" si="79"/>
        <v>1577147692</v>
      </c>
    </row>
    <row r="5119" spans="1:7" x14ac:dyDescent="0.25">
      <c r="A5119">
        <v>1577147774</v>
      </c>
      <c r="B5119" t="s">
        <v>27691</v>
      </c>
      <c r="C5119">
        <v>1132</v>
      </c>
      <c r="D5119">
        <v>1</v>
      </c>
      <c r="E5119">
        <v>73</v>
      </c>
      <c r="F5119">
        <v>6037</v>
      </c>
      <c r="G5119">
        <f t="shared" si="79"/>
        <v>1577147774</v>
      </c>
    </row>
    <row r="5120" spans="1:7" x14ac:dyDescent="0.25">
      <c r="A5120">
        <v>1577147827</v>
      </c>
      <c r="B5120" t="s">
        <v>27692</v>
      </c>
      <c r="C5120">
        <v>0</v>
      </c>
      <c r="D5120">
        <v>1</v>
      </c>
      <c r="E5120">
        <v>2373</v>
      </c>
      <c r="F5120">
        <v>3181</v>
      </c>
      <c r="G5120">
        <f t="shared" si="79"/>
        <v>1577147827</v>
      </c>
    </row>
    <row r="5121" spans="1:7" x14ac:dyDescent="0.25">
      <c r="A5121">
        <v>1577148073</v>
      </c>
      <c r="B5121" t="s">
        <v>27693</v>
      </c>
      <c r="C5121">
        <v>215</v>
      </c>
      <c r="D5121">
        <v>2</v>
      </c>
      <c r="E5121">
        <v>8666</v>
      </c>
      <c r="F5121">
        <v>1771</v>
      </c>
      <c r="G5121">
        <f t="shared" ref="G5121:G5184" si="80">A5121</f>
        <v>1577148073</v>
      </c>
    </row>
    <row r="5122" spans="1:7" x14ac:dyDescent="0.25">
      <c r="A5122">
        <v>1577148092</v>
      </c>
      <c r="B5122" t="s">
        <v>27694</v>
      </c>
      <c r="C5122">
        <v>1695</v>
      </c>
      <c r="D5122">
        <v>1</v>
      </c>
      <c r="E5122">
        <v>2843</v>
      </c>
      <c r="F5122">
        <v>3067</v>
      </c>
      <c r="G5122">
        <f t="shared" si="80"/>
        <v>1577148092</v>
      </c>
    </row>
    <row r="5123" spans="1:7" x14ac:dyDescent="0.25">
      <c r="A5123">
        <v>1577148135</v>
      </c>
      <c r="B5123" t="s">
        <v>27695</v>
      </c>
      <c r="C5123">
        <v>1362</v>
      </c>
      <c r="D5123">
        <v>1</v>
      </c>
      <c r="E5123">
        <v>254</v>
      </c>
      <c r="F5123">
        <v>5282</v>
      </c>
      <c r="G5123">
        <f t="shared" si="80"/>
        <v>1577148135</v>
      </c>
    </row>
    <row r="5124" spans="1:7" x14ac:dyDescent="0.25">
      <c r="A5124">
        <v>1577148628</v>
      </c>
      <c r="B5124" t="s">
        <v>27696</v>
      </c>
      <c r="C5124">
        <v>0</v>
      </c>
      <c r="D5124">
        <v>1</v>
      </c>
      <c r="E5124">
        <v>285</v>
      </c>
      <c r="F5124">
        <v>5165</v>
      </c>
      <c r="G5124">
        <f t="shared" si="80"/>
        <v>1577148628</v>
      </c>
    </row>
    <row r="5125" spans="1:7" x14ac:dyDescent="0.25">
      <c r="A5125">
        <v>1577148705</v>
      </c>
      <c r="B5125" t="s">
        <v>27697</v>
      </c>
      <c r="C5125">
        <v>0</v>
      </c>
      <c r="D5125">
        <v>0</v>
      </c>
      <c r="E5125">
        <v>0</v>
      </c>
      <c r="F5125">
        <v>7831</v>
      </c>
      <c r="G5125">
        <f t="shared" si="80"/>
        <v>1577148705</v>
      </c>
    </row>
    <row r="5126" spans="1:7" x14ac:dyDescent="0.25">
      <c r="A5126">
        <v>1577148907</v>
      </c>
      <c r="B5126" t="s">
        <v>27698</v>
      </c>
      <c r="C5126">
        <v>47</v>
      </c>
      <c r="D5126">
        <v>2</v>
      </c>
      <c r="E5126">
        <v>6449</v>
      </c>
      <c r="F5126">
        <v>2175</v>
      </c>
      <c r="G5126">
        <f t="shared" si="80"/>
        <v>1577148907</v>
      </c>
    </row>
    <row r="5127" spans="1:7" x14ac:dyDescent="0.25">
      <c r="A5127">
        <v>1577149104</v>
      </c>
      <c r="B5127" t="s">
        <v>27699</v>
      </c>
      <c r="C5127">
        <v>53</v>
      </c>
      <c r="D5127">
        <v>1</v>
      </c>
      <c r="E5127">
        <v>6343</v>
      </c>
      <c r="F5127">
        <v>2203</v>
      </c>
      <c r="G5127">
        <f t="shared" si="80"/>
        <v>1577149104</v>
      </c>
    </row>
    <row r="5128" spans="1:7" x14ac:dyDescent="0.25">
      <c r="A5128">
        <v>1577149173</v>
      </c>
      <c r="B5128" t="s">
        <v>37062</v>
      </c>
      <c r="C5128">
        <v>0</v>
      </c>
      <c r="D5128">
        <v>0</v>
      </c>
      <c r="E5128">
        <v>0</v>
      </c>
      <c r="F5128">
        <v>7832</v>
      </c>
      <c r="G5128">
        <f t="shared" si="80"/>
        <v>1577149173</v>
      </c>
    </row>
    <row r="5129" spans="1:7" x14ac:dyDescent="0.25">
      <c r="A5129">
        <v>1577149208</v>
      </c>
      <c r="B5129" t="s">
        <v>27700</v>
      </c>
      <c r="C5129">
        <v>235</v>
      </c>
      <c r="D5129">
        <v>1</v>
      </c>
      <c r="E5129">
        <v>4139</v>
      </c>
      <c r="F5129">
        <v>2738</v>
      </c>
      <c r="G5129">
        <f t="shared" si="80"/>
        <v>1577149208</v>
      </c>
    </row>
    <row r="5130" spans="1:7" x14ac:dyDescent="0.25">
      <c r="A5130">
        <v>1577149240</v>
      </c>
      <c r="B5130" t="s">
        <v>37164</v>
      </c>
      <c r="C5130">
        <v>617</v>
      </c>
      <c r="D5130">
        <v>2</v>
      </c>
      <c r="E5130">
        <v>9416</v>
      </c>
      <c r="F5130">
        <v>1653</v>
      </c>
      <c r="G5130">
        <f t="shared" si="80"/>
        <v>1577149240</v>
      </c>
    </row>
    <row r="5131" spans="1:7" x14ac:dyDescent="0.25">
      <c r="A5131">
        <v>1577149272</v>
      </c>
      <c r="B5131" t="s">
        <v>27701</v>
      </c>
      <c r="C5131">
        <v>0</v>
      </c>
      <c r="D5131">
        <v>0</v>
      </c>
      <c r="E5131">
        <v>0</v>
      </c>
      <c r="F5131">
        <v>7833</v>
      </c>
      <c r="G5131">
        <f t="shared" si="80"/>
        <v>1577149272</v>
      </c>
    </row>
    <row r="5132" spans="1:7" x14ac:dyDescent="0.25">
      <c r="A5132">
        <v>1577149671</v>
      </c>
      <c r="B5132" t="s">
        <v>27702</v>
      </c>
      <c r="C5132">
        <v>0</v>
      </c>
      <c r="D5132">
        <v>1</v>
      </c>
      <c r="E5132">
        <v>707</v>
      </c>
      <c r="F5132">
        <v>4333</v>
      </c>
      <c r="G5132">
        <f t="shared" si="80"/>
        <v>1577149671</v>
      </c>
    </row>
    <row r="5133" spans="1:7" x14ac:dyDescent="0.25">
      <c r="A5133">
        <v>1577149848</v>
      </c>
      <c r="B5133" t="s">
        <v>27703</v>
      </c>
      <c r="C5133">
        <v>0</v>
      </c>
      <c r="D5133">
        <v>1</v>
      </c>
      <c r="E5133">
        <v>578</v>
      </c>
      <c r="F5133">
        <v>4536</v>
      </c>
      <c r="G5133">
        <f t="shared" si="80"/>
        <v>1577149848</v>
      </c>
    </row>
    <row r="5134" spans="1:7" x14ac:dyDescent="0.25">
      <c r="A5134">
        <v>1577149855</v>
      </c>
      <c r="B5134" t="s">
        <v>27704</v>
      </c>
      <c r="C5134">
        <v>122</v>
      </c>
      <c r="D5134">
        <v>6</v>
      </c>
      <c r="E5134">
        <v>19796</v>
      </c>
      <c r="F5134">
        <v>634</v>
      </c>
      <c r="G5134">
        <f t="shared" si="80"/>
        <v>1577149855</v>
      </c>
    </row>
    <row r="5135" spans="1:7" x14ac:dyDescent="0.25">
      <c r="A5135">
        <v>1577149945</v>
      </c>
      <c r="B5135" t="s">
        <v>27705</v>
      </c>
      <c r="C5135">
        <v>6</v>
      </c>
      <c r="D5135">
        <v>3</v>
      </c>
      <c r="E5135">
        <v>14994</v>
      </c>
      <c r="F5135">
        <v>997</v>
      </c>
      <c r="G5135">
        <f t="shared" si="80"/>
        <v>1577149945</v>
      </c>
    </row>
    <row r="5136" spans="1:7" x14ac:dyDescent="0.25">
      <c r="A5136">
        <v>1577150007</v>
      </c>
      <c r="B5136" t="s">
        <v>27706</v>
      </c>
      <c r="C5136">
        <v>270</v>
      </c>
      <c r="D5136">
        <v>2</v>
      </c>
      <c r="E5136">
        <v>6679</v>
      </c>
      <c r="F5136">
        <v>2124</v>
      </c>
      <c r="G5136">
        <f t="shared" si="80"/>
        <v>1577150007</v>
      </c>
    </row>
    <row r="5137" spans="1:7" x14ac:dyDescent="0.25">
      <c r="A5137">
        <v>1577150111</v>
      </c>
      <c r="B5137" t="s">
        <v>27707</v>
      </c>
      <c r="C5137">
        <v>156</v>
      </c>
      <c r="D5137">
        <v>0</v>
      </c>
      <c r="E5137">
        <v>0</v>
      </c>
      <c r="F5137">
        <v>7834</v>
      </c>
      <c r="G5137">
        <f t="shared" si="80"/>
        <v>1577150111</v>
      </c>
    </row>
    <row r="5138" spans="1:7" x14ac:dyDescent="0.25">
      <c r="A5138">
        <v>1577150128</v>
      </c>
      <c r="B5138" t="s">
        <v>27708</v>
      </c>
      <c r="C5138">
        <v>0</v>
      </c>
      <c r="D5138">
        <v>1</v>
      </c>
      <c r="E5138">
        <v>453</v>
      </c>
      <c r="F5138">
        <v>4738</v>
      </c>
      <c r="G5138">
        <f t="shared" si="80"/>
        <v>1577150128</v>
      </c>
    </row>
    <row r="5139" spans="1:7" x14ac:dyDescent="0.25">
      <c r="A5139">
        <v>1577150137</v>
      </c>
      <c r="B5139" t="s">
        <v>27709</v>
      </c>
      <c r="C5139">
        <v>1594</v>
      </c>
      <c r="D5139">
        <v>1</v>
      </c>
      <c r="E5139">
        <v>1183</v>
      </c>
      <c r="F5139">
        <v>3809</v>
      </c>
      <c r="G5139">
        <f t="shared" si="80"/>
        <v>1577150137</v>
      </c>
    </row>
    <row r="5140" spans="1:7" x14ac:dyDescent="0.25">
      <c r="A5140">
        <v>1577150181</v>
      </c>
      <c r="B5140" t="s">
        <v>27710</v>
      </c>
      <c r="C5140">
        <v>1708</v>
      </c>
      <c r="D5140">
        <v>1</v>
      </c>
      <c r="E5140">
        <v>1689</v>
      </c>
      <c r="F5140">
        <v>3503</v>
      </c>
      <c r="G5140">
        <f t="shared" si="80"/>
        <v>1577150181</v>
      </c>
    </row>
    <row r="5141" spans="1:7" x14ac:dyDescent="0.25">
      <c r="A5141">
        <v>1577150190</v>
      </c>
      <c r="B5141" t="s">
        <v>27711</v>
      </c>
      <c r="C5141">
        <v>1788</v>
      </c>
      <c r="D5141">
        <v>1</v>
      </c>
      <c r="E5141">
        <v>239</v>
      </c>
      <c r="F5141">
        <v>5355</v>
      </c>
      <c r="G5141">
        <f t="shared" si="80"/>
        <v>1577150190</v>
      </c>
    </row>
    <row r="5142" spans="1:7" x14ac:dyDescent="0.25">
      <c r="A5142">
        <v>1577150215</v>
      </c>
      <c r="B5142" t="s">
        <v>27712</v>
      </c>
      <c r="C5142">
        <v>118</v>
      </c>
      <c r="D5142">
        <v>1</v>
      </c>
      <c r="E5142">
        <v>4463</v>
      </c>
      <c r="F5142">
        <v>2631</v>
      </c>
      <c r="G5142">
        <f t="shared" si="80"/>
        <v>1577150215</v>
      </c>
    </row>
    <row r="5143" spans="1:7" x14ac:dyDescent="0.25">
      <c r="A5143">
        <v>1577150258</v>
      </c>
      <c r="B5143" t="s">
        <v>27713</v>
      </c>
      <c r="C5143">
        <v>347</v>
      </c>
      <c r="D5143">
        <v>0</v>
      </c>
      <c r="E5143">
        <v>0</v>
      </c>
      <c r="F5143">
        <v>7835</v>
      </c>
      <c r="G5143">
        <f t="shared" si="80"/>
        <v>1577150258</v>
      </c>
    </row>
    <row r="5144" spans="1:7" x14ac:dyDescent="0.25">
      <c r="A5144">
        <v>1577150381</v>
      </c>
      <c r="B5144" t="s">
        <v>27714</v>
      </c>
      <c r="C5144">
        <v>1609</v>
      </c>
      <c r="D5144">
        <v>4</v>
      </c>
      <c r="E5144">
        <v>19473</v>
      </c>
      <c r="F5144">
        <v>660</v>
      </c>
      <c r="G5144">
        <f t="shared" si="80"/>
        <v>1577150381</v>
      </c>
    </row>
    <row r="5145" spans="1:7" x14ac:dyDescent="0.25">
      <c r="A5145">
        <v>1577150472</v>
      </c>
      <c r="B5145" t="s">
        <v>27715</v>
      </c>
      <c r="C5145">
        <v>160</v>
      </c>
      <c r="D5145">
        <v>3</v>
      </c>
      <c r="E5145">
        <v>16701</v>
      </c>
      <c r="F5145">
        <v>849</v>
      </c>
      <c r="G5145">
        <f t="shared" si="80"/>
        <v>1577150472</v>
      </c>
    </row>
    <row r="5146" spans="1:7" x14ac:dyDescent="0.25">
      <c r="A5146">
        <v>1577150489</v>
      </c>
      <c r="B5146" t="s">
        <v>27716</v>
      </c>
      <c r="C5146">
        <v>131</v>
      </c>
      <c r="D5146">
        <v>2</v>
      </c>
      <c r="E5146">
        <v>7956</v>
      </c>
      <c r="F5146">
        <v>1890</v>
      </c>
      <c r="G5146">
        <f t="shared" si="80"/>
        <v>1577150489</v>
      </c>
    </row>
    <row r="5147" spans="1:7" x14ac:dyDescent="0.25">
      <c r="A5147">
        <v>1577150493</v>
      </c>
      <c r="B5147" t="s">
        <v>27717</v>
      </c>
      <c r="C5147">
        <v>0</v>
      </c>
      <c r="D5147">
        <v>1</v>
      </c>
      <c r="E5147">
        <v>26</v>
      </c>
      <c r="F5147">
        <v>6717</v>
      </c>
      <c r="G5147">
        <f t="shared" si="80"/>
        <v>1577150493</v>
      </c>
    </row>
    <row r="5148" spans="1:7" x14ac:dyDescent="0.25">
      <c r="A5148">
        <v>1577150519</v>
      </c>
      <c r="B5148" t="s">
        <v>27718</v>
      </c>
      <c r="C5148">
        <v>1806</v>
      </c>
      <c r="D5148">
        <v>1</v>
      </c>
      <c r="E5148">
        <v>2104</v>
      </c>
      <c r="F5148">
        <v>3287</v>
      </c>
      <c r="G5148">
        <f t="shared" si="80"/>
        <v>1577150519</v>
      </c>
    </row>
    <row r="5149" spans="1:7" x14ac:dyDescent="0.25">
      <c r="A5149">
        <v>1577150723</v>
      </c>
      <c r="B5149" t="s">
        <v>722</v>
      </c>
      <c r="C5149">
        <v>58</v>
      </c>
      <c r="D5149">
        <v>3</v>
      </c>
      <c r="E5149">
        <v>12007</v>
      </c>
      <c r="F5149">
        <v>1282</v>
      </c>
      <c r="G5149">
        <f t="shared" si="80"/>
        <v>1577150723</v>
      </c>
    </row>
    <row r="5150" spans="1:7" x14ac:dyDescent="0.25">
      <c r="A5150">
        <v>1577150811</v>
      </c>
      <c r="B5150" t="s">
        <v>27719</v>
      </c>
      <c r="C5150">
        <v>179</v>
      </c>
      <c r="D5150">
        <v>2</v>
      </c>
      <c r="E5150">
        <v>7278</v>
      </c>
      <c r="F5150">
        <v>2013</v>
      </c>
      <c r="G5150">
        <f t="shared" si="80"/>
        <v>1577150811</v>
      </c>
    </row>
    <row r="5151" spans="1:7" x14ac:dyDescent="0.25">
      <c r="A5151">
        <v>1577150838</v>
      </c>
      <c r="B5151" t="s">
        <v>27720</v>
      </c>
      <c r="C5151">
        <v>1974</v>
      </c>
      <c r="D5151">
        <v>1</v>
      </c>
      <c r="E5151">
        <v>26</v>
      </c>
      <c r="F5151">
        <v>6718</v>
      </c>
      <c r="G5151">
        <f t="shared" si="80"/>
        <v>1577150838</v>
      </c>
    </row>
    <row r="5152" spans="1:7" x14ac:dyDescent="0.25">
      <c r="A5152">
        <v>1577150874</v>
      </c>
      <c r="B5152" t="s">
        <v>27721</v>
      </c>
      <c r="C5152">
        <v>0</v>
      </c>
      <c r="D5152">
        <v>0</v>
      </c>
      <c r="E5152">
        <v>0</v>
      </c>
      <c r="F5152">
        <v>7836</v>
      </c>
      <c r="G5152">
        <f t="shared" si="80"/>
        <v>1577150874</v>
      </c>
    </row>
    <row r="5153" spans="1:7" x14ac:dyDescent="0.25">
      <c r="A5153">
        <v>1577150941</v>
      </c>
      <c r="B5153" t="s">
        <v>27722</v>
      </c>
      <c r="C5153">
        <v>0</v>
      </c>
      <c r="D5153">
        <v>1</v>
      </c>
      <c r="E5153">
        <v>122</v>
      </c>
      <c r="F5153">
        <v>5782</v>
      </c>
      <c r="G5153">
        <f t="shared" si="80"/>
        <v>1577150941</v>
      </c>
    </row>
    <row r="5154" spans="1:7" x14ac:dyDescent="0.25">
      <c r="A5154">
        <v>1577150976</v>
      </c>
      <c r="B5154" t="s">
        <v>27723</v>
      </c>
      <c r="C5154">
        <v>152</v>
      </c>
      <c r="D5154">
        <v>1</v>
      </c>
      <c r="E5154">
        <v>7202</v>
      </c>
      <c r="F5154">
        <v>2032</v>
      </c>
      <c r="G5154">
        <f t="shared" si="80"/>
        <v>1577150976</v>
      </c>
    </row>
    <row r="5155" spans="1:7" x14ac:dyDescent="0.25">
      <c r="A5155">
        <v>1577151068</v>
      </c>
      <c r="B5155" t="s">
        <v>27724</v>
      </c>
      <c r="C5155">
        <v>1363</v>
      </c>
      <c r="D5155">
        <v>1</v>
      </c>
      <c r="E5155">
        <v>5976</v>
      </c>
      <c r="F5155">
        <v>2280</v>
      </c>
      <c r="G5155">
        <f t="shared" si="80"/>
        <v>1577151068</v>
      </c>
    </row>
    <row r="5156" spans="1:7" x14ac:dyDescent="0.25">
      <c r="A5156">
        <v>1577151359</v>
      </c>
      <c r="B5156" t="s">
        <v>27725</v>
      </c>
      <c r="C5156">
        <v>1413</v>
      </c>
      <c r="D5156">
        <v>0</v>
      </c>
      <c r="E5156">
        <v>0</v>
      </c>
      <c r="F5156">
        <v>7837</v>
      </c>
      <c r="G5156">
        <f t="shared" si="80"/>
        <v>1577151359</v>
      </c>
    </row>
    <row r="5157" spans="1:7" x14ac:dyDescent="0.25">
      <c r="A5157">
        <v>1577151635</v>
      </c>
      <c r="B5157" t="s">
        <v>27726</v>
      </c>
      <c r="C5157">
        <v>0</v>
      </c>
      <c r="D5157">
        <v>1</v>
      </c>
      <c r="E5157">
        <v>1695</v>
      </c>
      <c r="F5157">
        <v>3499</v>
      </c>
      <c r="G5157">
        <f t="shared" si="80"/>
        <v>1577151635</v>
      </c>
    </row>
    <row r="5158" spans="1:7" x14ac:dyDescent="0.25">
      <c r="A5158">
        <v>1577151752</v>
      </c>
      <c r="B5158" t="s">
        <v>27727</v>
      </c>
      <c r="C5158">
        <v>0</v>
      </c>
      <c r="D5158">
        <v>0</v>
      </c>
      <c r="E5158">
        <v>0</v>
      </c>
      <c r="F5158">
        <v>7838</v>
      </c>
      <c r="G5158">
        <f t="shared" si="80"/>
        <v>1577151752</v>
      </c>
    </row>
    <row r="5159" spans="1:7" x14ac:dyDescent="0.25">
      <c r="A5159">
        <v>1577151778</v>
      </c>
      <c r="B5159" t="s">
        <v>27728</v>
      </c>
      <c r="C5159">
        <v>413</v>
      </c>
      <c r="D5159">
        <v>2</v>
      </c>
      <c r="E5159">
        <v>6562</v>
      </c>
      <c r="F5159">
        <v>2152</v>
      </c>
      <c r="G5159">
        <f t="shared" si="80"/>
        <v>1577151778</v>
      </c>
    </row>
    <row r="5160" spans="1:7" x14ac:dyDescent="0.25">
      <c r="A5160">
        <v>1577151864</v>
      </c>
      <c r="B5160" t="s">
        <v>37326</v>
      </c>
      <c r="C5160">
        <v>480</v>
      </c>
      <c r="D5160">
        <v>3</v>
      </c>
      <c r="E5160">
        <v>10241</v>
      </c>
      <c r="F5160">
        <v>1532</v>
      </c>
      <c r="G5160">
        <f t="shared" si="80"/>
        <v>1577151864</v>
      </c>
    </row>
    <row r="5161" spans="1:7" x14ac:dyDescent="0.25">
      <c r="A5161">
        <v>1577151889</v>
      </c>
      <c r="B5161" t="s">
        <v>27729</v>
      </c>
      <c r="C5161">
        <v>0</v>
      </c>
      <c r="D5161">
        <v>0</v>
      </c>
      <c r="E5161">
        <v>0</v>
      </c>
      <c r="F5161">
        <v>7839</v>
      </c>
      <c r="G5161">
        <f t="shared" si="80"/>
        <v>1577151889</v>
      </c>
    </row>
    <row r="5162" spans="1:7" x14ac:dyDescent="0.25">
      <c r="A5162">
        <v>1577152085</v>
      </c>
      <c r="B5162" t="s">
        <v>27730</v>
      </c>
      <c r="C5162">
        <v>0</v>
      </c>
      <c r="D5162">
        <v>1</v>
      </c>
      <c r="E5162">
        <v>172</v>
      </c>
      <c r="F5162">
        <v>5609</v>
      </c>
      <c r="G5162">
        <f t="shared" si="80"/>
        <v>1577152085</v>
      </c>
    </row>
    <row r="5163" spans="1:7" x14ac:dyDescent="0.25">
      <c r="A5163">
        <v>1577152208</v>
      </c>
      <c r="B5163" t="s">
        <v>27731</v>
      </c>
      <c r="C5163">
        <v>1163</v>
      </c>
      <c r="D5163">
        <v>1</v>
      </c>
      <c r="E5163">
        <v>4297</v>
      </c>
      <c r="F5163">
        <v>2682</v>
      </c>
      <c r="G5163">
        <f t="shared" si="80"/>
        <v>1577152208</v>
      </c>
    </row>
    <row r="5164" spans="1:7" x14ac:dyDescent="0.25">
      <c r="A5164">
        <v>1577152392</v>
      </c>
      <c r="B5164" t="s">
        <v>27732</v>
      </c>
      <c r="C5164">
        <v>0</v>
      </c>
      <c r="D5164">
        <v>0</v>
      </c>
      <c r="E5164">
        <v>0</v>
      </c>
      <c r="F5164">
        <v>7840</v>
      </c>
      <c r="G5164">
        <f t="shared" si="80"/>
        <v>1577152392</v>
      </c>
    </row>
    <row r="5165" spans="1:7" x14ac:dyDescent="0.25">
      <c r="A5165">
        <v>1577152406</v>
      </c>
      <c r="B5165" t="s">
        <v>27733</v>
      </c>
      <c r="C5165">
        <v>2017</v>
      </c>
      <c r="D5165">
        <v>1</v>
      </c>
      <c r="E5165">
        <v>500</v>
      </c>
      <c r="F5165">
        <v>4636</v>
      </c>
      <c r="G5165">
        <f t="shared" si="80"/>
        <v>1577152406</v>
      </c>
    </row>
    <row r="5166" spans="1:7" x14ac:dyDescent="0.25">
      <c r="A5166">
        <v>1577152640</v>
      </c>
      <c r="B5166" t="s">
        <v>27734</v>
      </c>
      <c r="C5166">
        <v>205</v>
      </c>
      <c r="D5166">
        <v>1</v>
      </c>
      <c r="E5166">
        <v>225</v>
      </c>
      <c r="F5166">
        <v>5410</v>
      </c>
      <c r="G5166">
        <f t="shared" si="80"/>
        <v>1577152640</v>
      </c>
    </row>
    <row r="5167" spans="1:7" x14ac:dyDescent="0.25">
      <c r="A5167">
        <v>1577152831</v>
      </c>
      <c r="B5167" t="s">
        <v>27735</v>
      </c>
      <c r="C5167">
        <v>0</v>
      </c>
      <c r="D5167">
        <v>0</v>
      </c>
      <c r="E5167">
        <v>0</v>
      </c>
      <c r="F5167">
        <v>7841</v>
      </c>
      <c r="G5167">
        <f t="shared" si="80"/>
        <v>1577152831</v>
      </c>
    </row>
    <row r="5168" spans="1:7" x14ac:dyDescent="0.25">
      <c r="A5168">
        <v>1577152908</v>
      </c>
      <c r="B5168" t="s">
        <v>27736</v>
      </c>
      <c r="C5168">
        <v>1734</v>
      </c>
      <c r="D5168">
        <v>1</v>
      </c>
      <c r="E5168">
        <v>558</v>
      </c>
      <c r="F5168">
        <v>4540</v>
      </c>
      <c r="G5168">
        <f t="shared" si="80"/>
        <v>1577152908</v>
      </c>
    </row>
    <row r="5169" spans="1:7" x14ac:dyDescent="0.25">
      <c r="A5169">
        <v>1577152920</v>
      </c>
      <c r="B5169" t="s">
        <v>27737</v>
      </c>
      <c r="C5169">
        <v>1138</v>
      </c>
      <c r="D5169">
        <v>0</v>
      </c>
      <c r="E5169">
        <v>0</v>
      </c>
      <c r="F5169">
        <v>7842</v>
      </c>
      <c r="G5169">
        <f t="shared" si="80"/>
        <v>1577152920</v>
      </c>
    </row>
    <row r="5170" spans="1:7" x14ac:dyDescent="0.25">
      <c r="A5170">
        <v>1577153052</v>
      </c>
      <c r="B5170" t="s">
        <v>27738</v>
      </c>
      <c r="C5170">
        <v>4</v>
      </c>
      <c r="D5170">
        <v>5</v>
      </c>
      <c r="E5170">
        <v>26289</v>
      </c>
      <c r="F5170">
        <v>355</v>
      </c>
      <c r="G5170">
        <f t="shared" si="80"/>
        <v>1577153052</v>
      </c>
    </row>
    <row r="5171" spans="1:7" x14ac:dyDescent="0.25">
      <c r="A5171">
        <v>1577153083</v>
      </c>
      <c r="B5171" t="s">
        <v>27739</v>
      </c>
      <c r="C5171">
        <v>1850</v>
      </c>
      <c r="D5171">
        <v>2</v>
      </c>
      <c r="E5171">
        <v>4843</v>
      </c>
      <c r="F5171">
        <v>2544</v>
      </c>
      <c r="G5171">
        <f t="shared" si="80"/>
        <v>1577153083</v>
      </c>
    </row>
    <row r="5172" spans="1:7" x14ac:dyDescent="0.25">
      <c r="A5172">
        <v>1577153218</v>
      </c>
      <c r="B5172" t="s">
        <v>27740</v>
      </c>
      <c r="C5172">
        <v>0</v>
      </c>
      <c r="D5172">
        <v>1</v>
      </c>
      <c r="E5172">
        <v>135</v>
      </c>
      <c r="F5172">
        <v>5751</v>
      </c>
      <c r="G5172">
        <f t="shared" si="80"/>
        <v>1577153218</v>
      </c>
    </row>
    <row r="5173" spans="1:7" x14ac:dyDescent="0.25">
      <c r="A5173">
        <v>1577153348</v>
      </c>
      <c r="B5173" t="s">
        <v>27741</v>
      </c>
      <c r="C5173">
        <v>47</v>
      </c>
      <c r="D5173">
        <v>3</v>
      </c>
      <c r="E5173">
        <v>9996</v>
      </c>
      <c r="F5173">
        <v>1577</v>
      </c>
      <c r="G5173">
        <f t="shared" si="80"/>
        <v>1577153348</v>
      </c>
    </row>
    <row r="5174" spans="1:7" x14ac:dyDescent="0.25">
      <c r="A5174">
        <v>1577153427</v>
      </c>
      <c r="B5174" t="s">
        <v>27742</v>
      </c>
      <c r="C5174">
        <v>151</v>
      </c>
      <c r="D5174">
        <v>1</v>
      </c>
      <c r="E5174">
        <v>972</v>
      </c>
      <c r="F5174">
        <v>4014</v>
      </c>
      <c r="G5174">
        <f t="shared" si="80"/>
        <v>1577153427</v>
      </c>
    </row>
    <row r="5175" spans="1:7" x14ac:dyDescent="0.25">
      <c r="A5175">
        <v>1577153437</v>
      </c>
      <c r="B5175" t="s">
        <v>27743</v>
      </c>
      <c r="C5175">
        <v>47</v>
      </c>
      <c r="D5175">
        <v>2</v>
      </c>
      <c r="E5175">
        <v>6435</v>
      </c>
      <c r="F5175">
        <v>2183</v>
      </c>
      <c r="G5175">
        <f t="shared" si="80"/>
        <v>1577153437</v>
      </c>
    </row>
    <row r="5176" spans="1:7" x14ac:dyDescent="0.25">
      <c r="A5176">
        <v>1577153448</v>
      </c>
      <c r="B5176" t="s">
        <v>27744</v>
      </c>
      <c r="C5176">
        <v>1107</v>
      </c>
      <c r="D5176">
        <v>1</v>
      </c>
      <c r="E5176">
        <v>415</v>
      </c>
      <c r="F5176">
        <v>4816</v>
      </c>
      <c r="G5176">
        <f t="shared" si="80"/>
        <v>1577153448</v>
      </c>
    </row>
    <row r="5177" spans="1:7" x14ac:dyDescent="0.25">
      <c r="A5177">
        <v>1577153480</v>
      </c>
      <c r="B5177" t="s">
        <v>27745</v>
      </c>
      <c r="C5177">
        <v>1609</v>
      </c>
      <c r="D5177">
        <v>5</v>
      </c>
      <c r="E5177">
        <v>21689</v>
      </c>
      <c r="F5177">
        <v>536</v>
      </c>
      <c r="G5177">
        <f t="shared" si="80"/>
        <v>1577153480</v>
      </c>
    </row>
    <row r="5178" spans="1:7" x14ac:dyDescent="0.25">
      <c r="A5178">
        <v>1577153564</v>
      </c>
      <c r="B5178" t="s">
        <v>37406</v>
      </c>
      <c r="C5178">
        <v>0</v>
      </c>
      <c r="D5178">
        <v>1</v>
      </c>
      <c r="E5178">
        <v>85</v>
      </c>
      <c r="F5178">
        <v>5937</v>
      </c>
      <c r="G5178">
        <f t="shared" si="80"/>
        <v>1577153564</v>
      </c>
    </row>
    <row r="5179" spans="1:7" x14ac:dyDescent="0.25">
      <c r="A5179">
        <v>1577153597</v>
      </c>
      <c r="B5179" t="s">
        <v>27746</v>
      </c>
      <c r="C5179">
        <v>39</v>
      </c>
      <c r="D5179">
        <v>1</v>
      </c>
      <c r="E5179">
        <v>5490</v>
      </c>
      <c r="F5179">
        <v>2405</v>
      </c>
      <c r="G5179">
        <f t="shared" si="80"/>
        <v>1577153597</v>
      </c>
    </row>
    <row r="5180" spans="1:7" x14ac:dyDescent="0.25">
      <c r="A5180">
        <v>1577153613</v>
      </c>
      <c r="B5180" t="s">
        <v>27747</v>
      </c>
      <c r="C5180">
        <v>0</v>
      </c>
      <c r="D5180">
        <v>1</v>
      </c>
      <c r="E5180">
        <v>38</v>
      </c>
      <c r="F5180">
        <v>6281</v>
      </c>
      <c r="G5180">
        <f t="shared" si="80"/>
        <v>1577153613</v>
      </c>
    </row>
    <row r="5181" spans="1:7" x14ac:dyDescent="0.25">
      <c r="A5181">
        <v>1577153645</v>
      </c>
      <c r="B5181" t="s">
        <v>27748</v>
      </c>
      <c r="C5181">
        <v>0</v>
      </c>
      <c r="D5181">
        <v>0</v>
      </c>
      <c r="E5181">
        <v>0</v>
      </c>
      <c r="F5181">
        <v>7843</v>
      </c>
      <c r="G5181">
        <f t="shared" si="80"/>
        <v>1577153645</v>
      </c>
    </row>
    <row r="5182" spans="1:7" x14ac:dyDescent="0.25">
      <c r="A5182">
        <v>1577153662</v>
      </c>
      <c r="B5182" t="s">
        <v>27749</v>
      </c>
      <c r="C5182">
        <v>0</v>
      </c>
      <c r="D5182">
        <v>1</v>
      </c>
      <c r="E5182">
        <v>155</v>
      </c>
      <c r="F5182">
        <v>5684</v>
      </c>
      <c r="G5182">
        <f t="shared" si="80"/>
        <v>1577153662</v>
      </c>
    </row>
    <row r="5183" spans="1:7" x14ac:dyDescent="0.25">
      <c r="A5183">
        <v>1577153673</v>
      </c>
      <c r="B5183" t="s">
        <v>37228</v>
      </c>
      <c r="C5183">
        <v>95</v>
      </c>
      <c r="D5183">
        <v>0</v>
      </c>
      <c r="E5183">
        <v>0</v>
      </c>
      <c r="F5183">
        <v>7844</v>
      </c>
      <c r="G5183">
        <f t="shared" si="80"/>
        <v>1577153673</v>
      </c>
    </row>
    <row r="5184" spans="1:7" x14ac:dyDescent="0.25">
      <c r="A5184">
        <v>1577153684</v>
      </c>
      <c r="B5184" t="s">
        <v>27750</v>
      </c>
      <c r="C5184">
        <v>0</v>
      </c>
      <c r="D5184">
        <v>0</v>
      </c>
      <c r="E5184">
        <v>0</v>
      </c>
      <c r="F5184">
        <v>7845</v>
      </c>
      <c r="G5184">
        <f t="shared" si="80"/>
        <v>1577153684</v>
      </c>
    </row>
    <row r="5185" spans="1:7" x14ac:dyDescent="0.25">
      <c r="A5185">
        <v>1577153723</v>
      </c>
      <c r="B5185" t="s">
        <v>27751</v>
      </c>
      <c r="C5185">
        <v>0</v>
      </c>
      <c r="D5185">
        <v>1</v>
      </c>
      <c r="E5185">
        <v>574</v>
      </c>
      <c r="F5185">
        <v>4505</v>
      </c>
      <c r="G5185">
        <f t="shared" ref="G5185:G5248" si="81">A5185</f>
        <v>1577153723</v>
      </c>
    </row>
    <row r="5186" spans="1:7" x14ac:dyDescent="0.25">
      <c r="A5186">
        <v>1577153736</v>
      </c>
      <c r="B5186" t="s">
        <v>27752</v>
      </c>
      <c r="C5186">
        <v>1947</v>
      </c>
      <c r="D5186">
        <v>1</v>
      </c>
      <c r="E5186">
        <v>26</v>
      </c>
      <c r="F5186">
        <v>6719</v>
      </c>
      <c r="G5186">
        <f t="shared" si="81"/>
        <v>1577153736</v>
      </c>
    </row>
    <row r="5187" spans="1:7" x14ac:dyDescent="0.25">
      <c r="A5187">
        <v>1577153814</v>
      </c>
      <c r="B5187" t="s">
        <v>27753</v>
      </c>
      <c r="C5187">
        <v>1974</v>
      </c>
      <c r="D5187">
        <v>1</v>
      </c>
      <c r="E5187">
        <v>294</v>
      </c>
      <c r="F5187">
        <v>5142</v>
      </c>
      <c r="G5187">
        <f t="shared" si="81"/>
        <v>1577153814</v>
      </c>
    </row>
    <row r="5188" spans="1:7" x14ac:dyDescent="0.25">
      <c r="A5188">
        <v>1577153907</v>
      </c>
      <c r="B5188" t="s">
        <v>27754</v>
      </c>
      <c r="C5188">
        <v>0</v>
      </c>
      <c r="D5188">
        <v>1</v>
      </c>
      <c r="E5188">
        <v>1028</v>
      </c>
      <c r="F5188">
        <v>3947</v>
      </c>
      <c r="G5188">
        <f t="shared" si="81"/>
        <v>1577153907</v>
      </c>
    </row>
    <row r="5189" spans="1:7" x14ac:dyDescent="0.25">
      <c r="A5189">
        <v>1577154147</v>
      </c>
      <c r="B5189" t="s">
        <v>27755</v>
      </c>
      <c r="C5189">
        <v>0</v>
      </c>
      <c r="D5189">
        <v>0</v>
      </c>
      <c r="E5189">
        <v>0</v>
      </c>
      <c r="F5189">
        <v>7846</v>
      </c>
      <c r="G5189">
        <f t="shared" si="81"/>
        <v>1577154147</v>
      </c>
    </row>
    <row r="5190" spans="1:7" x14ac:dyDescent="0.25">
      <c r="A5190">
        <v>1577154199</v>
      </c>
      <c r="B5190" t="s">
        <v>27756</v>
      </c>
      <c r="C5190">
        <v>1602</v>
      </c>
      <c r="D5190">
        <v>1</v>
      </c>
      <c r="E5190">
        <v>1792</v>
      </c>
      <c r="F5190">
        <v>3448</v>
      </c>
      <c r="G5190">
        <f t="shared" si="81"/>
        <v>1577154199</v>
      </c>
    </row>
    <row r="5191" spans="1:7" x14ac:dyDescent="0.25">
      <c r="A5191">
        <v>1577154259</v>
      </c>
      <c r="B5191" t="s">
        <v>27757</v>
      </c>
      <c r="C5191">
        <v>1753</v>
      </c>
      <c r="D5191">
        <v>1</v>
      </c>
      <c r="E5191">
        <v>509</v>
      </c>
      <c r="F5191">
        <v>4635</v>
      </c>
      <c r="G5191">
        <f t="shared" si="81"/>
        <v>1577154259</v>
      </c>
    </row>
    <row r="5192" spans="1:7" x14ac:dyDescent="0.25">
      <c r="A5192">
        <v>1577154415</v>
      </c>
      <c r="B5192" t="s">
        <v>27758</v>
      </c>
      <c r="C5192">
        <v>0</v>
      </c>
      <c r="D5192">
        <v>0</v>
      </c>
      <c r="E5192">
        <v>0</v>
      </c>
      <c r="F5192">
        <v>7847</v>
      </c>
      <c r="G5192">
        <f t="shared" si="81"/>
        <v>1577154415</v>
      </c>
    </row>
    <row r="5193" spans="1:7" x14ac:dyDescent="0.25">
      <c r="A5193">
        <v>1577154496</v>
      </c>
      <c r="B5193" t="s">
        <v>37165</v>
      </c>
      <c r="C5193">
        <v>0</v>
      </c>
      <c r="D5193">
        <v>1</v>
      </c>
      <c r="E5193">
        <v>26</v>
      </c>
      <c r="F5193">
        <v>6720</v>
      </c>
      <c r="G5193">
        <f t="shared" si="81"/>
        <v>1577154496</v>
      </c>
    </row>
    <row r="5194" spans="1:7" x14ac:dyDescent="0.25">
      <c r="A5194">
        <v>1577154689</v>
      </c>
      <c r="B5194" t="s">
        <v>36638</v>
      </c>
      <c r="C5194">
        <v>20</v>
      </c>
      <c r="D5194">
        <v>7</v>
      </c>
      <c r="E5194">
        <v>36112</v>
      </c>
      <c r="F5194">
        <v>137</v>
      </c>
      <c r="G5194">
        <f t="shared" si="81"/>
        <v>1577154689</v>
      </c>
    </row>
    <row r="5195" spans="1:7" x14ac:dyDescent="0.25">
      <c r="A5195">
        <v>1577154712</v>
      </c>
      <c r="B5195" t="s">
        <v>27759</v>
      </c>
      <c r="C5195">
        <v>1362</v>
      </c>
      <c r="D5195">
        <v>1</v>
      </c>
      <c r="E5195">
        <v>677</v>
      </c>
      <c r="F5195">
        <v>4375</v>
      </c>
      <c r="G5195">
        <f t="shared" si="81"/>
        <v>1577154712</v>
      </c>
    </row>
    <row r="5196" spans="1:7" x14ac:dyDescent="0.25">
      <c r="A5196">
        <v>1577154958</v>
      </c>
      <c r="B5196" t="s">
        <v>27760</v>
      </c>
      <c r="C5196">
        <v>1503</v>
      </c>
      <c r="D5196">
        <v>1</v>
      </c>
      <c r="E5196">
        <v>4120</v>
      </c>
      <c r="F5196">
        <v>2741</v>
      </c>
      <c r="G5196">
        <f t="shared" si="81"/>
        <v>1577154958</v>
      </c>
    </row>
    <row r="5197" spans="1:7" x14ac:dyDescent="0.25">
      <c r="A5197">
        <v>1577154994</v>
      </c>
      <c r="B5197" t="s">
        <v>27761</v>
      </c>
      <c r="C5197">
        <v>0</v>
      </c>
      <c r="D5197">
        <v>0</v>
      </c>
      <c r="E5197">
        <v>0</v>
      </c>
      <c r="F5197">
        <v>7848</v>
      </c>
      <c r="G5197">
        <f t="shared" si="81"/>
        <v>1577154994</v>
      </c>
    </row>
    <row r="5198" spans="1:7" x14ac:dyDescent="0.25">
      <c r="A5198">
        <v>1577154995</v>
      </c>
      <c r="B5198" t="s">
        <v>27762</v>
      </c>
      <c r="C5198">
        <v>534</v>
      </c>
      <c r="D5198">
        <v>4</v>
      </c>
      <c r="E5198">
        <v>7026</v>
      </c>
      <c r="F5198">
        <v>2056</v>
      </c>
      <c r="G5198">
        <f t="shared" si="81"/>
        <v>1577154995</v>
      </c>
    </row>
    <row r="5199" spans="1:7" x14ac:dyDescent="0.25">
      <c r="A5199">
        <v>1577155026</v>
      </c>
      <c r="B5199" t="s">
        <v>27763</v>
      </c>
      <c r="C5199">
        <v>186</v>
      </c>
      <c r="D5199">
        <v>1</v>
      </c>
      <c r="E5199">
        <v>1468</v>
      </c>
      <c r="F5199">
        <v>3616</v>
      </c>
      <c r="G5199">
        <f t="shared" si="81"/>
        <v>1577155026</v>
      </c>
    </row>
    <row r="5200" spans="1:7" x14ac:dyDescent="0.25">
      <c r="A5200">
        <v>1577155079</v>
      </c>
      <c r="B5200" t="s">
        <v>27764</v>
      </c>
      <c r="C5200">
        <v>0</v>
      </c>
      <c r="D5200">
        <v>1</v>
      </c>
      <c r="E5200">
        <v>352</v>
      </c>
      <c r="F5200">
        <v>4980</v>
      </c>
      <c r="G5200">
        <f t="shared" si="81"/>
        <v>1577155079</v>
      </c>
    </row>
    <row r="5201" spans="1:7" x14ac:dyDescent="0.25">
      <c r="A5201">
        <v>1577155182</v>
      </c>
      <c r="B5201" t="s">
        <v>27765</v>
      </c>
      <c r="C5201">
        <v>96</v>
      </c>
      <c r="D5201">
        <v>2</v>
      </c>
      <c r="E5201">
        <v>7649</v>
      </c>
      <c r="F5201">
        <v>1953</v>
      </c>
      <c r="G5201">
        <f t="shared" si="81"/>
        <v>1577155182</v>
      </c>
    </row>
    <row r="5202" spans="1:7" x14ac:dyDescent="0.25">
      <c r="A5202">
        <v>1577155198</v>
      </c>
      <c r="B5202" t="s">
        <v>27766</v>
      </c>
      <c r="C5202">
        <v>0</v>
      </c>
      <c r="D5202">
        <v>0</v>
      </c>
      <c r="E5202">
        <v>0</v>
      </c>
      <c r="F5202">
        <v>7849</v>
      </c>
      <c r="G5202">
        <f t="shared" si="81"/>
        <v>1577155198</v>
      </c>
    </row>
    <row r="5203" spans="1:7" x14ac:dyDescent="0.25">
      <c r="A5203">
        <v>1577155224</v>
      </c>
      <c r="B5203" t="s">
        <v>27767</v>
      </c>
      <c r="C5203">
        <v>271</v>
      </c>
      <c r="D5203">
        <v>3</v>
      </c>
      <c r="E5203">
        <v>14011</v>
      </c>
      <c r="F5203">
        <v>1078</v>
      </c>
      <c r="G5203">
        <f t="shared" si="81"/>
        <v>1577155224</v>
      </c>
    </row>
    <row r="5204" spans="1:7" x14ac:dyDescent="0.25">
      <c r="A5204">
        <v>1577155229</v>
      </c>
      <c r="B5204" t="s">
        <v>27768</v>
      </c>
      <c r="C5204">
        <v>58</v>
      </c>
      <c r="D5204">
        <v>4</v>
      </c>
      <c r="E5204">
        <v>21808</v>
      </c>
      <c r="F5204">
        <v>531</v>
      </c>
      <c r="G5204">
        <f t="shared" si="81"/>
        <v>1577155229</v>
      </c>
    </row>
    <row r="5205" spans="1:7" x14ac:dyDescent="0.25">
      <c r="A5205">
        <v>1577155231</v>
      </c>
      <c r="B5205" t="s">
        <v>27769</v>
      </c>
      <c r="C5205">
        <v>412</v>
      </c>
      <c r="D5205">
        <v>3</v>
      </c>
      <c r="E5205">
        <v>16595</v>
      </c>
      <c r="F5205">
        <v>861</v>
      </c>
      <c r="G5205">
        <f t="shared" si="81"/>
        <v>1577155231</v>
      </c>
    </row>
    <row r="5206" spans="1:7" x14ac:dyDescent="0.25">
      <c r="A5206">
        <v>1577155282</v>
      </c>
      <c r="B5206" t="s">
        <v>27770</v>
      </c>
      <c r="C5206">
        <v>250</v>
      </c>
      <c r="D5206">
        <v>0</v>
      </c>
      <c r="E5206">
        <v>0</v>
      </c>
      <c r="F5206">
        <v>7850</v>
      </c>
      <c r="G5206">
        <f t="shared" si="81"/>
        <v>1577155282</v>
      </c>
    </row>
    <row r="5207" spans="1:7" x14ac:dyDescent="0.25">
      <c r="A5207">
        <v>1577155354</v>
      </c>
      <c r="B5207" t="s">
        <v>27771</v>
      </c>
      <c r="C5207">
        <v>617</v>
      </c>
      <c r="D5207">
        <v>3</v>
      </c>
      <c r="E5207">
        <v>11646</v>
      </c>
      <c r="F5207">
        <v>1327</v>
      </c>
      <c r="G5207">
        <f t="shared" si="81"/>
        <v>1577155354</v>
      </c>
    </row>
    <row r="5208" spans="1:7" x14ac:dyDescent="0.25">
      <c r="A5208">
        <v>1577155357</v>
      </c>
      <c r="B5208" t="s">
        <v>27772</v>
      </c>
      <c r="C5208">
        <v>321</v>
      </c>
      <c r="D5208">
        <v>2</v>
      </c>
      <c r="E5208">
        <v>11150</v>
      </c>
      <c r="F5208">
        <v>1392</v>
      </c>
      <c r="G5208">
        <f t="shared" si="81"/>
        <v>1577155357</v>
      </c>
    </row>
    <row r="5209" spans="1:7" x14ac:dyDescent="0.25">
      <c r="A5209">
        <v>1577155402</v>
      </c>
      <c r="B5209" t="s">
        <v>27773</v>
      </c>
      <c r="C5209">
        <v>0</v>
      </c>
      <c r="D5209">
        <v>1</v>
      </c>
      <c r="E5209">
        <v>53</v>
      </c>
      <c r="F5209">
        <v>6144</v>
      </c>
      <c r="G5209">
        <f t="shared" si="81"/>
        <v>1577155402</v>
      </c>
    </row>
    <row r="5210" spans="1:7" x14ac:dyDescent="0.25">
      <c r="A5210">
        <v>1577155580</v>
      </c>
      <c r="B5210" s="403" t="s">
        <v>27774</v>
      </c>
      <c r="C5210">
        <v>0</v>
      </c>
      <c r="D5210">
        <v>1</v>
      </c>
      <c r="E5210">
        <v>76</v>
      </c>
      <c r="F5210">
        <v>6008</v>
      </c>
      <c r="G5210">
        <f t="shared" si="81"/>
        <v>1577155580</v>
      </c>
    </row>
    <row r="5211" spans="1:7" x14ac:dyDescent="0.25">
      <c r="A5211">
        <v>1577155586</v>
      </c>
      <c r="B5211" s="403" t="s">
        <v>27775</v>
      </c>
      <c r="C5211">
        <v>0</v>
      </c>
      <c r="D5211">
        <v>0</v>
      </c>
      <c r="E5211">
        <v>0</v>
      </c>
      <c r="F5211">
        <v>7851</v>
      </c>
      <c r="G5211">
        <f t="shared" si="81"/>
        <v>1577155586</v>
      </c>
    </row>
    <row r="5212" spans="1:7" x14ac:dyDescent="0.25">
      <c r="A5212">
        <v>1577155597</v>
      </c>
      <c r="B5212" t="s">
        <v>36639</v>
      </c>
      <c r="C5212">
        <v>0</v>
      </c>
      <c r="D5212">
        <v>0</v>
      </c>
      <c r="E5212">
        <v>0</v>
      </c>
      <c r="F5212">
        <v>7852</v>
      </c>
      <c r="G5212">
        <f t="shared" si="81"/>
        <v>1577155597</v>
      </c>
    </row>
    <row r="5213" spans="1:7" x14ac:dyDescent="0.25">
      <c r="A5213">
        <v>1577155634</v>
      </c>
      <c r="B5213" t="s">
        <v>27776</v>
      </c>
      <c r="C5213">
        <v>31</v>
      </c>
      <c r="D5213">
        <v>3</v>
      </c>
      <c r="E5213">
        <v>16196</v>
      </c>
      <c r="F5213">
        <v>891</v>
      </c>
      <c r="G5213">
        <f t="shared" si="81"/>
        <v>1577155634</v>
      </c>
    </row>
    <row r="5214" spans="1:7" x14ac:dyDescent="0.25">
      <c r="A5214">
        <v>1577155635</v>
      </c>
      <c r="B5214" s="403" t="s">
        <v>27777</v>
      </c>
      <c r="C5214">
        <v>1836</v>
      </c>
      <c r="D5214">
        <v>1</v>
      </c>
      <c r="E5214">
        <v>3100</v>
      </c>
      <c r="F5214">
        <v>2969</v>
      </c>
      <c r="G5214">
        <f t="shared" si="81"/>
        <v>1577155635</v>
      </c>
    </row>
    <row r="5215" spans="1:7" x14ac:dyDescent="0.25">
      <c r="A5215">
        <v>1577155673</v>
      </c>
      <c r="B5215" t="s">
        <v>27778</v>
      </c>
      <c r="C5215">
        <v>625</v>
      </c>
      <c r="D5215">
        <v>1</v>
      </c>
      <c r="E5215">
        <v>86</v>
      </c>
      <c r="F5215">
        <v>5938</v>
      </c>
      <c r="G5215">
        <f t="shared" si="81"/>
        <v>1577155673</v>
      </c>
    </row>
    <row r="5216" spans="1:7" x14ac:dyDescent="0.25">
      <c r="A5216">
        <v>1577155699</v>
      </c>
      <c r="B5216" t="s">
        <v>27779</v>
      </c>
      <c r="C5216">
        <v>0</v>
      </c>
      <c r="D5216">
        <v>1</v>
      </c>
      <c r="E5216">
        <v>50</v>
      </c>
      <c r="F5216">
        <v>6186</v>
      </c>
      <c r="G5216">
        <f t="shared" si="81"/>
        <v>1577155699</v>
      </c>
    </row>
    <row r="5217" spans="1:7" x14ac:dyDescent="0.25">
      <c r="A5217">
        <v>1577155887</v>
      </c>
      <c r="B5217" t="s">
        <v>27780</v>
      </c>
      <c r="C5217">
        <v>0</v>
      </c>
      <c r="D5217">
        <v>0</v>
      </c>
      <c r="E5217">
        <v>0</v>
      </c>
      <c r="F5217">
        <v>7853</v>
      </c>
      <c r="G5217">
        <f t="shared" si="81"/>
        <v>1577155887</v>
      </c>
    </row>
    <row r="5218" spans="1:7" x14ac:dyDescent="0.25">
      <c r="A5218">
        <v>1577156051</v>
      </c>
      <c r="B5218" t="s">
        <v>27781</v>
      </c>
      <c r="C5218">
        <v>215</v>
      </c>
      <c r="D5218">
        <v>2</v>
      </c>
      <c r="E5218">
        <v>6344</v>
      </c>
      <c r="F5218">
        <v>2208</v>
      </c>
      <c r="G5218">
        <f t="shared" si="81"/>
        <v>1577156051</v>
      </c>
    </row>
    <row r="5219" spans="1:7" x14ac:dyDescent="0.25">
      <c r="A5219">
        <v>1577156161</v>
      </c>
      <c r="B5219" t="s">
        <v>27782</v>
      </c>
      <c r="C5219">
        <v>0</v>
      </c>
      <c r="D5219">
        <v>1</v>
      </c>
      <c r="E5219">
        <v>314</v>
      </c>
      <c r="F5219">
        <v>5084</v>
      </c>
      <c r="G5219">
        <f t="shared" si="81"/>
        <v>1577156161</v>
      </c>
    </row>
    <row r="5220" spans="1:7" x14ac:dyDescent="0.25">
      <c r="A5220">
        <v>1577156240</v>
      </c>
      <c r="B5220" t="s">
        <v>27783</v>
      </c>
      <c r="C5220">
        <v>320</v>
      </c>
      <c r="D5220">
        <v>0</v>
      </c>
      <c r="E5220">
        <v>0</v>
      </c>
      <c r="F5220">
        <v>7854</v>
      </c>
      <c r="G5220">
        <f t="shared" si="81"/>
        <v>1577156240</v>
      </c>
    </row>
    <row r="5221" spans="1:7" x14ac:dyDescent="0.25">
      <c r="A5221">
        <v>1577156435</v>
      </c>
      <c r="B5221" t="s">
        <v>27784</v>
      </c>
      <c r="C5221">
        <v>0</v>
      </c>
      <c r="D5221">
        <v>1</v>
      </c>
      <c r="E5221">
        <v>26</v>
      </c>
      <c r="F5221">
        <v>6721</v>
      </c>
      <c r="G5221">
        <f t="shared" si="81"/>
        <v>1577156435</v>
      </c>
    </row>
    <row r="5222" spans="1:7" x14ac:dyDescent="0.25">
      <c r="A5222">
        <v>1577156461</v>
      </c>
      <c r="B5222" t="s">
        <v>27785</v>
      </c>
      <c r="C5222">
        <v>1974</v>
      </c>
      <c r="D5222">
        <v>1</v>
      </c>
      <c r="E5222">
        <v>4554</v>
      </c>
      <c r="F5222">
        <v>2607</v>
      </c>
      <c r="G5222">
        <f t="shared" si="81"/>
        <v>1577156461</v>
      </c>
    </row>
    <row r="5223" spans="1:7" x14ac:dyDescent="0.25">
      <c r="A5223">
        <v>1577156463</v>
      </c>
      <c r="B5223" t="s">
        <v>27786</v>
      </c>
      <c r="C5223">
        <v>0</v>
      </c>
      <c r="D5223">
        <v>1</v>
      </c>
      <c r="E5223">
        <v>140</v>
      </c>
      <c r="F5223">
        <v>5731</v>
      </c>
      <c r="G5223">
        <f t="shared" si="81"/>
        <v>1577156463</v>
      </c>
    </row>
    <row r="5224" spans="1:7" x14ac:dyDescent="0.25">
      <c r="A5224">
        <v>1577156528</v>
      </c>
      <c r="B5224" t="s">
        <v>27787</v>
      </c>
      <c r="C5224">
        <v>15</v>
      </c>
      <c r="D5224">
        <v>1</v>
      </c>
      <c r="E5224">
        <v>30</v>
      </c>
      <c r="F5224">
        <v>6324</v>
      </c>
      <c r="G5224">
        <f t="shared" si="81"/>
        <v>1577156528</v>
      </c>
    </row>
    <row r="5225" spans="1:7" x14ac:dyDescent="0.25">
      <c r="A5225">
        <v>1577156619</v>
      </c>
      <c r="B5225" t="s">
        <v>27788</v>
      </c>
      <c r="C5225">
        <v>0</v>
      </c>
      <c r="D5225">
        <v>0</v>
      </c>
      <c r="E5225">
        <v>0</v>
      </c>
      <c r="F5225">
        <v>7855</v>
      </c>
      <c r="G5225">
        <f t="shared" si="81"/>
        <v>1577156619</v>
      </c>
    </row>
    <row r="5226" spans="1:7" x14ac:dyDescent="0.25">
      <c r="A5226">
        <v>1577156646</v>
      </c>
      <c r="B5226" t="s">
        <v>27789</v>
      </c>
      <c r="C5226">
        <v>887</v>
      </c>
      <c r="D5226">
        <v>1</v>
      </c>
      <c r="E5226">
        <v>204</v>
      </c>
      <c r="F5226">
        <v>5477</v>
      </c>
      <c r="G5226">
        <f t="shared" si="81"/>
        <v>1577156646</v>
      </c>
    </row>
    <row r="5227" spans="1:7" x14ac:dyDescent="0.25">
      <c r="A5227">
        <v>1577156691</v>
      </c>
      <c r="B5227" t="s">
        <v>27790</v>
      </c>
      <c r="C5227">
        <v>0</v>
      </c>
      <c r="D5227">
        <v>1</v>
      </c>
      <c r="E5227">
        <v>250</v>
      </c>
      <c r="F5227">
        <v>5304</v>
      </c>
      <c r="G5227">
        <f t="shared" si="81"/>
        <v>1577156691</v>
      </c>
    </row>
    <row r="5228" spans="1:7" x14ac:dyDescent="0.25">
      <c r="A5228">
        <v>1577156831</v>
      </c>
      <c r="B5228" t="s">
        <v>27791</v>
      </c>
      <c r="C5228">
        <v>0</v>
      </c>
      <c r="D5228">
        <v>1</v>
      </c>
      <c r="E5228">
        <v>26</v>
      </c>
      <c r="F5228">
        <v>6722</v>
      </c>
      <c r="G5228">
        <f t="shared" si="81"/>
        <v>1577156831</v>
      </c>
    </row>
    <row r="5229" spans="1:7" x14ac:dyDescent="0.25">
      <c r="A5229">
        <v>1577156865</v>
      </c>
      <c r="B5229" t="s">
        <v>27792</v>
      </c>
      <c r="C5229">
        <v>0</v>
      </c>
      <c r="D5229">
        <v>2</v>
      </c>
      <c r="E5229">
        <v>4313</v>
      </c>
      <c r="F5229">
        <v>2679</v>
      </c>
      <c r="G5229">
        <f t="shared" si="81"/>
        <v>1577156865</v>
      </c>
    </row>
    <row r="5230" spans="1:7" x14ac:dyDescent="0.25">
      <c r="A5230">
        <v>1577156927</v>
      </c>
      <c r="B5230" t="s">
        <v>36640</v>
      </c>
      <c r="C5230">
        <v>1207</v>
      </c>
      <c r="D5230">
        <v>1</v>
      </c>
      <c r="E5230">
        <v>2152</v>
      </c>
      <c r="F5230">
        <v>3271</v>
      </c>
      <c r="G5230">
        <f t="shared" si="81"/>
        <v>1577156927</v>
      </c>
    </row>
    <row r="5231" spans="1:7" x14ac:dyDescent="0.25">
      <c r="A5231">
        <v>1577157021</v>
      </c>
      <c r="B5231" t="s">
        <v>27793</v>
      </c>
      <c r="C5231">
        <v>0</v>
      </c>
      <c r="D5231">
        <v>0</v>
      </c>
      <c r="E5231">
        <v>0</v>
      </c>
      <c r="F5231">
        <v>7856</v>
      </c>
      <c r="G5231">
        <f t="shared" si="81"/>
        <v>1577157021</v>
      </c>
    </row>
    <row r="5232" spans="1:7" x14ac:dyDescent="0.25">
      <c r="A5232">
        <v>1577157063</v>
      </c>
      <c r="B5232" s="403">
        <v>44013</v>
      </c>
      <c r="C5232">
        <v>0</v>
      </c>
      <c r="D5232">
        <v>1</v>
      </c>
      <c r="E5232">
        <v>4452</v>
      </c>
      <c r="F5232">
        <v>2635</v>
      </c>
      <c r="G5232">
        <f t="shared" si="81"/>
        <v>1577157063</v>
      </c>
    </row>
    <row r="5233" spans="1:7" x14ac:dyDescent="0.25">
      <c r="A5233">
        <v>1577157123</v>
      </c>
      <c r="B5233" t="s">
        <v>36641</v>
      </c>
      <c r="C5233">
        <v>0</v>
      </c>
      <c r="D5233">
        <v>0</v>
      </c>
      <c r="E5233">
        <v>0</v>
      </c>
      <c r="F5233">
        <v>7857</v>
      </c>
      <c r="G5233">
        <f t="shared" si="81"/>
        <v>1577157123</v>
      </c>
    </row>
    <row r="5234" spans="1:7" x14ac:dyDescent="0.25">
      <c r="A5234">
        <v>1577157203</v>
      </c>
      <c r="B5234" t="s">
        <v>36642</v>
      </c>
      <c r="C5234">
        <v>0</v>
      </c>
      <c r="D5234">
        <v>1</v>
      </c>
      <c r="E5234">
        <v>26</v>
      </c>
      <c r="F5234">
        <v>6723</v>
      </c>
      <c r="G5234">
        <f t="shared" si="81"/>
        <v>1577157203</v>
      </c>
    </row>
    <row r="5235" spans="1:7" x14ac:dyDescent="0.25">
      <c r="A5235">
        <v>1577157270</v>
      </c>
      <c r="B5235" t="s">
        <v>27794</v>
      </c>
      <c r="C5235">
        <v>69</v>
      </c>
      <c r="D5235">
        <v>2</v>
      </c>
      <c r="E5235">
        <v>11189</v>
      </c>
      <c r="F5235">
        <v>1386</v>
      </c>
      <c r="G5235">
        <f t="shared" si="81"/>
        <v>1577157270</v>
      </c>
    </row>
    <row r="5236" spans="1:7" x14ac:dyDescent="0.25">
      <c r="A5236">
        <v>1577157364</v>
      </c>
      <c r="B5236" t="s">
        <v>27795</v>
      </c>
      <c r="C5236">
        <v>1775</v>
      </c>
      <c r="D5236">
        <v>2</v>
      </c>
      <c r="E5236">
        <v>5215</v>
      </c>
      <c r="F5236">
        <v>2466</v>
      </c>
      <c r="G5236">
        <f t="shared" si="81"/>
        <v>1577157364</v>
      </c>
    </row>
    <row r="5237" spans="1:7" x14ac:dyDescent="0.25">
      <c r="A5237">
        <v>1577157405</v>
      </c>
      <c r="B5237" t="s">
        <v>27796</v>
      </c>
      <c r="C5237">
        <v>422</v>
      </c>
      <c r="D5237">
        <v>4</v>
      </c>
      <c r="E5237">
        <v>21655</v>
      </c>
      <c r="F5237">
        <v>537</v>
      </c>
      <c r="G5237">
        <f t="shared" si="81"/>
        <v>1577157405</v>
      </c>
    </row>
    <row r="5238" spans="1:7" x14ac:dyDescent="0.25">
      <c r="A5238">
        <v>1577157464</v>
      </c>
      <c r="B5238" t="s">
        <v>27797</v>
      </c>
      <c r="C5238">
        <v>0</v>
      </c>
      <c r="D5238">
        <v>1</v>
      </c>
      <c r="E5238">
        <v>26</v>
      </c>
      <c r="F5238">
        <v>6724</v>
      </c>
      <c r="G5238">
        <f t="shared" si="81"/>
        <v>1577157464</v>
      </c>
    </row>
    <row r="5239" spans="1:7" x14ac:dyDescent="0.25">
      <c r="A5239">
        <v>1577157485</v>
      </c>
      <c r="B5239" t="s">
        <v>27798</v>
      </c>
      <c r="C5239">
        <v>26</v>
      </c>
      <c r="D5239">
        <v>0</v>
      </c>
      <c r="E5239">
        <v>0</v>
      </c>
      <c r="F5239">
        <v>7858</v>
      </c>
      <c r="G5239">
        <f t="shared" si="81"/>
        <v>1577157485</v>
      </c>
    </row>
    <row r="5240" spans="1:7" x14ac:dyDescent="0.25">
      <c r="A5240">
        <v>1577157501</v>
      </c>
      <c r="B5240" t="s">
        <v>27799</v>
      </c>
      <c r="C5240">
        <v>25</v>
      </c>
      <c r="D5240">
        <v>1</v>
      </c>
      <c r="E5240">
        <v>4646</v>
      </c>
      <c r="F5240">
        <v>2585</v>
      </c>
      <c r="G5240">
        <f t="shared" si="81"/>
        <v>1577157501</v>
      </c>
    </row>
    <row r="5241" spans="1:7" x14ac:dyDescent="0.25">
      <c r="A5241">
        <v>1577157514</v>
      </c>
      <c r="B5241" t="s">
        <v>27800</v>
      </c>
      <c r="C5241">
        <v>0</v>
      </c>
      <c r="D5241">
        <v>1</v>
      </c>
      <c r="E5241">
        <v>102</v>
      </c>
      <c r="F5241">
        <v>5838</v>
      </c>
      <c r="G5241">
        <f t="shared" si="81"/>
        <v>1577157514</v>
      </c>
    </row>
    <row r="5242" spans="1:7" x14ac:dyDescent="0.25">
      <c r="A5242">
        <v>1577157547</v>
      </c>
      <c r="B5242" t="s">
        <v>27801</v>
      </c>
      <c r="C5242">
        <v>0</v>
      </c>
      <c r="D5242">
        <v>0</v>
      </c>
      <c r="E5242">
        <v>0</v>
      </c>
      <c r="F5242">
        <v>7859</v>
      </c>
      <c r="G5242">
        <f t="shared" si="81"/>
        <v>1577157547</v>
      </c>
    </row>
    <row r="5243" spans="1:7" x14ac:dyDescent="0.25">
      <c r="A5243">
        <v>1577157694</v>
      </c>
      <c r="B5243" t="s">
        <v>36643</v>
      </c>
      <c r="C5243">
        <v>1</v>
      </c>
      <c r="D5243">
        <v>0</v>
      </c>
      <c r="E5243">
        <v>0</v>
      </c>
      <c r="F5243">
        <v>7860</v>
      </c>
      <c r="G5243">
        <f t="shared" si="81"/>
        <v>1577157694</v>
      </c>
    </row>
    <row r="5244" spans="1:7" x14ac:dyDescent="0.25">
      <c r="A5244">
        <v>1577157731</v>
      </c>
      <c r="B5244" t="s">
        <v>27802</v>
      </c>
      <c r="C5244">
        <v>10</v>
      </c>
      <c r="D5244">
        <v>1</v>
      </c>
      <c r="E5244">
        <v>390</v>
      </c>
      <c r="F5244">
        <v>4888</v>
      </c>
      <c r="G5244">
        <f t="shared" si="81"/>
        <v>1577157731</v>
      </c>
    </row>
    <row r="5245" spans="1:7" x14ac:dyDescent="0.25">
      <c r="A5245">
        <v>1577157734</v>
      </c>
      <c r="B5245" t="s">
        <v>27803</v>
      </c>
      <c r="C5245">
        <v>422</v>
      </c>
      <c r="D5245">
        <v>3</v>
      </c>
      <c r="E5245">
        <v>10255</v>
      </c>
      <c r="F5245">
        <v>1530</v>
      </c>
      <c r="G5245">
        <f t="shared" si="81"/>
        <v>1577157734</v>
      </c>
    </row>
    <row r="5246" spans="1:7" x14ac:dyDescent="0.25">
      <c r="A5246">
        <v>1577157846</v>
      </c>
      <c r="B5246" t="s">
        <v>27804</v>
      </c>
      <c r="C5246">
        <v>1100</v>
      </c>
      <c r="D5246">
        <v>2</v>
      </c>
      <c r="E5246">
        <v>5677</v>
      </c>
      <c r="F5246">
        <v>2356</v>
      </c>
      <c r="G5246">
        <f t="shared" si="81"/>
        <v>1577157846</v>
      </c>
    </row>
    <row r="5247" spans="1:7" x14ac:dyDescent="0.25">
      <c r="A5247">
        <v>1577158010</v>
      </c>
      <c r="B5247" t="s">
        <v>27805</v>
      </c>
      <c r="C5247">
        <v>1534</v>
      </c>
      <c r="D5247">
        <v>1</v>
      </c>
      <c r="E5247">
        <v>978</v>
      </c>
      <c r="F5247">
        <v>4006</v>
      </c>
      <c r="G5247">
        <f t="shared" si="81"/>
        <v>1577158010</v>
      </c>
    </row>
    <row r="5248" spans="1:7" x14ac:dyDescent="0.25">
      <c r="A5248">
        <v>1577158121</v>
      </c>
      <c r="B5248" t="s">
        <v>27806</v>
      </c>
      <c r="C5248">
        <v>1683</v>
      </c>
      <c r="D5248">
        <v>1</v>
      </c>
      <c r="E5248">
        <v>2663</v>
      </c>
      <c r="F5248">
        <v>3080</v>
      </c>
      <c r="G5248">
        <f t="shared" si="81"/>
        <v>1577158121</v>
      </c>
    </row>
    <row r="5249" spans="1:7" x14ac:dyDescent="0.25">
      <c r="A5249">
        <v>1577158178</v>
      </c>
      <c r="B5249" t="s">
        <v>27807</v>
      </c>
      <c r="C5249">
        <v>1858</v>
      </c>
      <c r="D5249">
        <v>1</v>
      </c>
      <c r="E5249">
        <v>281</v>
      </c>
      <c r="F5249">
        <v>5179</v>
      </c>
      <c r="G5249">
        <f t="shared" ref="G5249:G5312" si="82">A5249</f>
        <v>1577158178</v>
      </c>
    </row>
    <row r="5250" spans="1:7" x14ac:dyDescent="0.25">
      <c r="A5250">
        <v>1577158182</v>
      </c>
      <c r="B5250" t="s">
        <v>36644</v>
      </c>
      <c r="C5250">
        <v>0</v>
      </c>
      <c r="D5250">
        <v>0</v>
      </c>
      <c r="E5250">
        <v>0</v>
      </c>
      <c r="F5250">
        <v>7861</v>
      </c>
      <c r="G5250">
        <f t="shared" si="82"/>
        <v>1577158182</v>
      </c>
    </row>
    <row r="5251" spans="1:7" x14ac:dyDescent="0.25">
      <c r="A5251">
        <v>1577158249</v>
      </c>
      <c r="B5251" t="s">
        <v>27808</v>
      </c>
      <c r="C5251">
        <v>0</v>
      </c>
      <c r="D5251">
        <v>1</v>
      </c>
      <c r="E5251">
        <v>53</v>
      </c>
      <c r="F5251">
        <v>6145</v>
      </c>
      <c r="G5251">
        <f t="shared" si="82"/>
        <v>1577158249</v>
      </c>
    </row>
    <row r="5252" spans="1:7" x14ac:dyDescent="0.25">
      <c r="A5252">
        <v>1577158348</v>
      </c>
      <c r="B5252" t="s">
        <v>36645</v>
      </c>
      <c r="C5252">
        <v>23</v>
      </c>
      <c r="D5252">
        <v>1</v>
      </c>
      <c r="E5252">
        <v>5499</v>
      </c>
      <c r="F5252">
        <v>2402</v>
      </c>
      <c r="G5252">
        <f t="shared" si="82"/>
        <v>1577158348</v>
      </c>
    </row>
    <row r="5253" spans="1:7" x14ac:dyDescent="0.25">
      <c r="A5253">
        <v>1577158436</v>
      </c>
      <c r="B5253" t="s">
        <v>27809</v>
      </c>
      <c r="C5253">
        <v>1651</v>
      </c>
      <c r="D5253">
        <v>1</v>
      </c>
      <c r="E5253">
        <v>1864</v>
      </c>
      <c r="F5253">
        <v>3409</v>
      </c>
      <c r="G5253">
        <f t="shared" si="82"/>
        <v>1577158436</v>
      </c>
    </row>
    <row r="5254" spans="1:7" x14ac:dyDescent="0.25">
      <c r="A5254">
        <v>1577158514</v>
      </c>
      <c r="B5254" t="s">
        <v>27810</v>
      </c>
      <c r="C5254">
        <v>95</v>
      </c>
      <c r="D5254">
        <v>0</v>
      </c>
      <c r="E5254">
        <v>0</v>
      </c>
      <c r="F5254">
        <v>7862</v>
      </c>
      <c r="G5254">
        <f t="shared" si="82"/>
        <v>1577158514</v>
      </c>
    </row>
    <row r="5255" spans="1:7" x14ac:dyDescent="0.25">
      <c r="A5255">
        <v>1577158616</v>
      </c>
      <c r="B5255" t="s">
        <v>37017</v>
      </c>
      <c r="C5255">
        <v>1938</v>
      </c>
      <c r="D5255">
        <v>0</v>
      </c>
      <c r="E5255">
        <v>0</v>
      </c>
      <c r="F5255">
        <v>7863</v>
      </c>
      <c r="G5255">
        <f t="shared" si="82"/>
        <v>1577158616</v>
      </c>
    </row>
    <row r="5256" spans="1:7" x14ac:dyDescent="0.25">
      <c r="A5256">
        <v>1577158647</v>
      </c>
      <c r="B5256" t="s">
        <v>27811</v>
      </c>
      <c r="C5256">
        <v>95</v>
      </c>
      <c r="D5256">
        <v>0</v>
      </c>
      <c r="E5256">
        <v>0</v>
      </c>
      <c r="F5256">
        <v>7864</v>
      </c>
      <c r="G5256">
        <f t="shared" si="82"/>
        <v>1577158647</v>
      </c>
    </row>
    <row r="5257" spans="1:7" x14ac:dyDescent="0.25">
      <c r="A5257">
        <v>1577158666</v>
      </c>
      <c r="B5257" t="s">
        <v>27812</v>
      </c>
      <c r="C5257">
        <v>294</v>
      </c>
      <c r="D5257">
        <v>1</v>
      </c>
      <c r="E5257">
        <v>5864</v>
      </c>
      <c r="F5257">
        <v>2312</v>
      </c>
      <c r="G5257">
        <f t="shared" si="82"/>
        <v>1577158666</v>
      </c>
    </row>
    <row r="5258" spans="1:7" x14ac:dyDescent="0.25">
      <c r="A5258">
        <v>1577158736</v>
      </c>
      <c r="B5258" t="s">
        <v>27813</v>
      </c>
      <c r="C5258">
        <v>0</v>
      </c>
      <c r="D5258">
        <v>0</v>
      </c>
      <c r="E5258">
        <v>0</v>
      </c>
      <c r="F5258">
        <v>7865</v>
      </c>
      <c r="G5258">
        <f t="shared" si="82"/>
        <v>1577158736</v>
      </c>
    </row>
    <row r="5259" spans="1:7" x14ac:dyDescent="0.25">
      <c r="A5259">
        <v>1577158777</v>
      </c>
      <c r="B5259" t="s">
        <v>27814</v>
      </c>
      <c r="C5259">
        <v>0</v>
      </c>
      <c r="D5259">
        <v>1</v>
      </c>
      <c r="E5259">
        <v>26</v>
      </c>
      <c r="F5259">
        <v>6725</v>
      </c>
      <c r="G5259">
        <f t="shared" si="82"/>
        <v>1577158777</v>
      </c>
    </row>
    <row r="5260" spans="1:7" x14ac:dyDescent="0.25">
      <c r="A5260">
        <v>1577158780</v>
      </c>
      <c r="B5260" t="s">
        <v>27815</v>
      </c>
      <c r="C5260">
        <v>0</v>
      </c>
      <c r="D5260">
        <v>0</v>
      </c>
      <c r="E5260">
        <v>0</v>
      </c>
      <c r="F5260">
        <v>7866</v>
      </c>
      <c r="G5260">
        <f t="shared" si="82"/>
        <v>1577158780</v>
      </c>
    </row>
    <row r="5261" spans="1:7" x14ac:dyDescent="0.25">
      <c r="A5261">
        <v>1577158874</v>
      </c>
      <c r="B5261" t="s">
        <v>36646</v>
      </c>
      <c r="C5261">
        <v>48</v>
      </c>
      <c r="D5261">
        <v>1</v>
      </c>
      <c r="E5261">
        <v>323</v>
      </c>
      <c r="F5261">
        <v>5091</v>
      </c>
      <c r="G5261">
        <f t="shared" si="82"/>
        <v>1577158874</v>
      </c>
    </row>
    <row r="5262" spans="1:7" x14ac:dyDescent="0.25">
      <c r="A5262">
        <v>1577158917</v>
      </c>
      <c r="B5262" t="s">
        <v>27816</v>
      </c>
      <c r="C5262">
        <v>0</v>
      </c>
      <c r="D5262">
        <v>1</v>
      </c>
      <c r="E5262">
        <v>463</v>
      </c>
      <c r="F5262">
        <v>4718</v>
      </c>
      <c r="G5262">
        <f t="shared" si="82"/>
        <v>1577158917</v>
      </c>
    </row>
    <row r="5263" spans="1:7" x14ac:dyDescent="0.25">
      <c r="A5263">
        <v>1577159147</v>
      </c>
      <c r="B5263" t="s">
        <v>27817</v>
      </c>
      <c r="C5263">
        <v>122</v>
      </c>
      <c r="D5263">
        <v>4</v>
      </c>
      <c r="E5263">
        <v>16921</v>
      </c>
      <c r="F5263">
        <v>833</v>
      </c>
      <c r="G5263">
        <f t="shared" si="82"/>
        <v>1577159147</v>
      </c>
    </row>
    <row r="5264" spans="1:7" x14ac:dyDescent="0.25">
      <c r="A5264">
        <v>1577159152</v>
      </c>
      <c r="B5264" t="s">
        <v>27818</v>
      </c>
      <c r="C5264">
        <v>419</v>
      </c>
      <c r="D5264">
        <v>4</v>
      </c>
      <c r="E5264">
        <v>13165</v>
      </c>
      <c r="F5264">
        <v>1152</v>
      </c>
      <c r="G5264">
        <f t="shared" si="82"/>
        <v>1577159152</v>
      </c>
    </row>
    <row r="5265" spans="1:7" x14ac:dyDescent="0.25">
      <c r="A5265">
        <v>1577159174</v>
      </c>
      <c r="B5265" t="s">
        <v>36647</v>
      </c>
      <c r="C5265">
        <v>48</v>
      </c>
      <c r="D5265">
        <v>2</v>
      </c>
      <c r="E5265">
        <v>4910</v>
      </c>
      <c r="F5265">
        <v>2529</v>
      </c>
      <c r="G5265">
        <f t="shared" si="82"/>
        <v>1577159174</v>
      </c>
    </row>
    <row r="5266" spans="1:7" x14ac:dyDescent="0.25">
      <c r="A5266">
        <v>1577159175</v>
      </c>
      <c r="B5266" t="s">
        <v>36648</v>
      </c>
      <c r="C5266">
        <v>0</v>
      </c>
      <c r="D5266">
        <v>1</v>
      </c>
      <c r="E5266">
        <v>51</v>
      </c>
      <c r="F5266">
        <v>6164</v>
      </c>
      <c r="G5266">
        <f t="shared" si="82"/>
        <v>1577159175</v>
      </c>
    </row>
    <row r="5267" spans="1:7" x14ac:dyDescent="0.25">
      <c r="A5267">
        <v>1577159431</v>
      </c>
      <c r="B5267" t="s">
        <v>27819</v>
      </c>
      <c r="C5267">
        <v>0</v>
      </c>
      <c r="D5267">
        <v>3</v>
      </c>
      <c r="E5267">
        <v>12596</v>
      </c>
      <c r="F5267">
        <v>1212</v>
      </c>
      <c r="G5267">
        <f t="shared" si="82"/>
        <v>1577159431</v>
      </c>
    </row>
    <row r="5268" spans="1:7" x14ac:dyDescent="0.25">
      <c r="A5268">
        <v>1577159481</v>
      </c>
      <c r="B5268" t="s">
        <v>27820</v>
      </c>
      <c r="C5268">
        <v>625</v>
      </c>
      <c r="D5268">
        <v>1</v>
      </c>
      <c r="E5268">
        <v>4961</v>
      </c>
      <c r="F5268">
        <v>2543</v>
      </c>
      <c r="G5268">
        <f t="shared" si="82"/>
        <v>1577159481</v>
      </c>
    </row>
    <row r="5269" spans="1:7" x14ac:dyDescent="0.25">
      <c r="A5269">
        <v>1577159533</v>
      </c>
      <c r="B5269" t="s">
        <v>27821</v>
      </c>
      <c r="C5269">
        <v>0</v>
      </c>
      <c r="D5269">
        <v>1</v>
      </c>
      <c r="E5269">
        <v>149</v>
      </c>
      <c r="F5269">
        <v>5717</v>
      </c>
      <c r="G5269">
        <f t="shared" si="82"/>
        <v>1577159533</v>
      </c>
    </row>
    <row r="5270" spans="1:7" x14ac:dyDescent="0.25">
      <c r="A5270">
        <v>1577159542</v>
      </c>
      <c r="B5270" t="s">
        <v>27822</v>
      </c>
      <c r="C5270">
        <v>0</v>
      </c>
      <c r="D5270">
        <v>0</v>
      </c>
      <c r="E5270">
        <v>0</v>
      </c>
      <c r="F5270">
        <v>7867</v>
      </c>
      <c r="G5270">
        <f t="shared" si="82"/>
        <v>1577159542</v>
      </c>
    </row>
    <row r="5271" spans="1:7" x14ac:dyDescent="0.25">
      <c r="A5271">
        <v>1577159546</v>
      </c>
      <c r="B5271" t="s">
        <v>27823</v>
      </c>
      <c r="C5271">
        <v>0</v>
      </c>
      <c r="D5271">
        <v>0</v>
      </c>
      <c r="E5271">
        <v>0</v>
      </c>
      <c r="F5271">
        <v>7868</v>
      </c>
      <c r="G5271">
        <f t="shared" si="82"/>
        <v>1577159546</v>
      </c>
    </row>
    <row r="5272" spans="1:7" x14ac:dyDescent="0.25">
      <c r="A5272">
        <v>1577159976</v>
      </c>
      <c r="B5272" t="s">
        <v>27824</v>
      </c>
      <c r="C5272">
        <v>1693</v>
      </c>
      <c r="D5272">
        <v>1</v>
      </c>
      <c r="E5272">
        <v>210</v>
      </c>
      <c r="F5272">
        <v>5461</v>
      </c>
      <c r="G5272">
        <f t="shared" si="82"/>
        <v>1577159976</v>
      </c>
    </row>
    <row r="5273" spans="1:7" x14ac:dyDescent="0.25">
      <c r="A5273">
        <v>1577160178</v>
      </c>
      <c r="B5273" t="s">
        <v>37063</v>
      </c>
      <c r="C5273">
        <v>1836</v>
      </c>
      <c r="D5273">
        <v>1</v>
      </c>
      <c r="E5273">
        <v>2548</v>
      </c>
      <c r="F5273">
        <v>3123</v>
      </c>
      <c r="G5273">
        <f t="shared" si="82"/>
        <v>1577160178</v>
      </c>
    </row>
    <row r="5274" spans="1:7" x14ac:dyDescent="0.25">
      <c r="A5274">
        <v>1577160240</v>
      </c>
      <c r="B5274" t="s">
        <v>27825</v>
      </c>
      <c r="C5274">
        <v>638</v>
      </c>
      <c r="D5274">
        <v>1</v>
      </c>
      <c r="E5274">
        <v>5516</v>
      </c>
      <c r="F5274">
        <v>2399</v>
      </c>
      <c r="G5274">
        <f t="shared" si="82"/>
        <v>1577160240</v>
      </c>
    </row>
    <row r="5275" spans="1:7" x14ac:dyDescent="0.25">
      <c r="A5275">
        <v>1577160244</v>
      </c>
      <c r="B5275" t="s">
        <v>36649</v>
      </c>
      <c r="C5275">
        <v>0</v>
      </c>
      <c r="D5275">
        <v>1</v>
      </c>
      <c r="E5275">
        <v>430</v>
      </c>
      <c r="F5275">
        <v>4779</v>
      </c>
      <c r="G5275">
        <f t="shared" si="82"/>
        <v>1577160244</v>
      </c>
    </row>
    <row r="5276" spans="1:7" x14ac:dyDescent="0.25">
      <c r="A5276">
        <v>1577160294</v>
      </c>
      <c r="B5276" t="s">
        <v>27826</v>
      </c>
      <c r="C5276">
        <v>1968</v>
      </c>
      <c r="D5276">
        <v>1</v>
      </c>
      <c r="E5276">
        <v>480</v>
      </c>
      <c r="F5276">
        <v>4681</v>
      </c>
      <c r="G5276">
        <f t="shared" si="82"/>
        <v>1577160294</v>
      </c>
    </row>
    <row r="5277" spans="1:7" x14ac:dyDescent="0.25">
      <c r="A5277">
        <v>1577160333</v>
      </c>
      <c r="B5277" t="s">
        <v>27827</v>
      </c>
      <c r="C5277">
        <v>0</v>
      </c>
      <c r="D5277">
        <v>0</v>
      </c>
      <c r="E5277">
        <v>0</v>
      </c>
      <c r="F5277">
        <v>7869</v>
      </c>
      <c r="G5277">
        <f t="shared" si="82"/>
        <v>1577160333</v>
      </c>
    </row>
    <row r="5278" spans="1:7" x14ac:dyDescent="0.25">
      <c r="A5278">
        <v>1577160358</v>
      </c>
      <c r="B5278" t="s">
        <v>27828</v>
      </c>
      <c r="C5278">
        <v>0</v>
      </c>
      <c r="D5278">
        <v>1</v>
      </c>
      <c r="E5278">
        <v>198</v>
      </c>
      <c r="F5278">
        <v>5507</v>
      </c>
      <c r="G5278">
        <f t="shared" si="82"/>
        <v>1577160358</v>
      </c>
    </row>
    <row r="5279" spans="1:7" x14ac:dyDescent="0.25">
      <c r="A5279">
        <v>1577160374</v>
      </c>
      <c r="B5279" t="s">
        <v>27829</v>
      </c>
      <c r="C5279">
        <v>55</v>
      </c>
      <c r="D5279">
        <v>1</v>
      </c>
      <c r="E5279">
        <v>2539</v>
      </c>
      <c r="F5279">
        <v>3125</v>
      </c>
      <c r="G5279">
        <f t="shared" si="82"/>
        <v>1577160374</v>
      </c>
    </row>
    <row r="5280" spans="1:7" x14ac:dyDescent="0.25">
      <c r="A5280">
        <v>1577160505</v>
      </c>
      <c r="B5280" t="s">
        <v>27830</v>
      </c>
      <c r="C5280">
        <v>0</v>
      </c>
      <c r="D5280">
        <v>1</v>
      </c>
      <c r="E5280">
        <v>38</v>
      </c>
      <c r="F5280">
        <v>6282</v>
      </c>
      <c r="G5280">
        <f t="shared" si="82"/>
        <v>1577160505</v>
      </c>
    </row>
    <row r="5281" spans="1:7" x14ac:dyDescent="0.25">
      <c r="A5281">
        <v>1577160510</v>
      </c>
      <c r="B5281" t="s">
        <v>27831</v>
      </c>
      <c r="C5281">
        <v>215</v>
      </c>
      <c r="D5281">
        <v>2</v>
      </c>
      <c r="E5281">
        <v>10652</v>
      </c>
      <c r="F5281">
        <v>1473</v>
      </c>
      <c r="G5281">
        <f t="shared" si="82"/>
        <v>1577160510</v>
      </c>
    </row>
    <row r="5282" spans="1:7" x14ac:dyDescent="0.25">
      <c r="A5282">
        <v>1577160541</v>
      </c>
      <c r="B5282" t="s">
        <v>27832</v>
      </c>
      <c r="C5282">
        <v>0</v>
      </c>
      <c r="D5282">
        <v>0</v>
      </c>
      <c r="E5282">
        <v>0</v>
      </c>
      <c r="F5282">
        <v>7870</v>
      </c>
      <c r="G5282">
        <f t="shared" si="82"/>
        <v>1577160541</v>
      </c>
    </row>
    <row r="5283" spans="1:7" x14ac:dyDescent="0.25">
      <c r="A5283">
        <v>1577160656</v>
      </c>
      <c r="B5283" t="s">
        <v>27833</v>
      </c>
      <c r="C5283">
        <v>0</v>
      </c>
      <c r="D5283">
        <v>0</v>
      </c>
      <c r="E5283">
        <v>0</v>
      </c>
      <c r="F5283">
        <v>7871</v>
      </c>
      <c r="G5283">
        <f t="shared" si="82"/>
        <v>1577160656</v>
      </c>
    </row>
    <row r="5284" spans="1:7" x14ac:dyDescent="0.25">
      <c r="A5284">
        <v>1577160660</v>
      </c>
      <c r="B5284" t="s">
        <v>27834</v>
      </c>
      <c r="C5284">
        <v>4</v>
      </c>
      <c r="D5284">
        <v>8</v>
      </c>
      <c r="E5284">
        <v>43112</v>
      </c>
      <c r="F5284">
        <v>77</v>
      </c>
      <c r="G5284">
        <f t="shared" si="82"/>
        <v>1577160660</v>
      </c>
    </row>
    <row r="5285" spans="1:7" x14ac:dyDescent="0.25">
      <c r="A5285">
        <v>1577160675</v>
      </c>
      <c r="B5285" t="s">
        <v>36650</v>
      </c>
      <c r="C5285">
        <v>205</v>
      </c>
      <c r="D5285">
        <v>1</v>
      </c>
      <c r="E5285">
        <v>757</v>
      </c>
      <c r="F5285">
        <v>4295</v>
      </c>
      <c r="G5285">
        <f t="shared" si="82"/>
        <v>1577160675</v>
      </c>
    </row>
    <row r="5286" spans="1:7" x14ac:dyDescent="0.25">
      <c r="A5286">
        <v>1577160741</v>
      </c>
      <c r="B5286" t="s">
        <v>27835</v>
      </c>
      <c r="C5286">
        <v>131</v>
      </c>
      <c r="D5286">
        <v>3</v>
      </c>
      <c r="E5286">
        <v>7574</v>
      </c>
      <c r="F5286">
        <v>1966</v>
      </c>
      <c r="G5286">
        <f t="shared" si="82"/>
        <v>1577160741</v>
      </c>
    </row>
    <row r="5287" spans="1:7" x14ac:dyDescent="0.25">
      <c r="A5287">
        <v>1577160761</v>
      </c>
      <c r="B5287" t="s">
        <v>27836</v>
      </c>
      <c r="C5287">
        <v>431</v>
      </c>
      <c r="D5287">
        <v>0</v>
      </c>
      <c r="E5287">
        <v>0</v>
      </c>
      <c r="F5287">
        <v>7872</v>
      </c>
      <c r="G5287">
        <f t="shared" si="82"/>
        <v>1577160761</v>
      </c>
    </row>
    <row r="5288" spans="1:7" x14ac:dyDescent="0.25">
      <c r="A5288">
        <v>1577160773</v>
      </c>
      <c r="B5288" t="s">
        <v>27837</v>
      </c>
      <c r="C5288">
        <v>296</v>
      </c>
      <c r="D5288">
        <v>0</v>
      </c>
      <c r="E5288">
        <v>0</v>
      </c>
      <c r="F5288">
        <v>7873</v>
      </c>
      <c r="G5288">
        <f t="shared" si="82"/>
        <v>1577160773</v>
      </c>
    </row>
    <row r="5289" spans="1:7" x14ac:dyDescent="0.25">
      <c r="A5289">
        <v>1577160811</v>
      </c>
      <c r="B5289" t="s">
        <v>27838</v>
      </c>
      <c r="C5289">
        <v>1858</v>
      </c>
      <c r="D5289">
        <v>1</v>
      </c>
      <c r="E5289">
        <v>398</v>
      </c>
      <c r="F5289">
        <v>4850</v>
      </c>
      <c r="G5289">
        <f t="shared" si="82"/>
        <v>1577160811</v>
      </c>
    </row>
    <row r="5290" spans="1:7" x14ac:dyDescent="0.25">
      <c r="A5290">
        <v>1577160937</v>
      </c>
      <c r="B5290" t="s">
        <v>27839</v>
      </c>
      <c r="C5290">
        <v>0</v>
      </c>
      <c r="D5290">
        <v>0</v>
      </c>
      <c r="E5290">
        <v>0</v>
      </c>
      <c r="F5290">
        <v>7874</v>
      </c>
      <c r="G5290">
        <f t="shared" si="82"/>
        <v>1577160937</v>
      </c>
    </row>
    <row r="5291" spans="1:7" x14ac:dyDescent="0.25">
      <c r="A5291">
        <v>1577160958</v>
      </c>
      <c r="B5291" t="s">
        <v>27840</v>
      </c>
      <c r="C5291">
        <v>0</v>
      </c>
      <c r="D5291">
        <v>1</v>
      </c>
      <c r="E5291">
        <v>26</v>
      </c>
      <c r="F5291">
        <v>6726</v>
      </c>
      <c r="G5291">
        <f t="shared" si="82"/>
        <v>1577160958</v>
      </c>
    </row>
    <row r="5292" spans="1:7" x14ac:dyDescent="0.25">
      <c r="A5292">
        <v>1577161118</v>
      </c>
      <c r="B5292" t="s">
        <v>27841</v>
      </c>
      <c r="C5292">
        <v>0</v>
      </c>
      <c r="D5292">
        <v>1</v>
      </c>
      <c r="E5292">
        <v>158</v>
      </c>
      <c r="F5292">
        <v>5666</v>
      </c>
      <c r="G5292">
        <f t="shared" si="82"/>
        <v>1577161118</v>
      </c>
    </row>
    <row r="5293" spans="1:7" x14ac:dyDescent="0.25">
      <c r="A5293">
        <v>1577161166</v>
      </c>
      <c r="B5293" t="s">
        <v>27842</v>
      </c>
      <c r="C5293">
        <v>48</v>
      </c>
      <c r="D5293">
        <v>1</v>
      </c>
      <c r="E5293">
        <v>358</v>
      </c>
      <c r="F5293">
        <v>4959</v>
      </c>
      <c r="G5293">
        <f t="shared" si="82"/>
        <v>1577161166</v>
      </c>
    </row>
    <row r="5294" spans="1:7" x14ac:dyDescent="0.25">
      <c r="A5294">
        <v>1577161211</v>
      </c>
      <c r="B5294" t="s">
        <v>27843</v>
      </c>
      <c r="C5294">
        <v>680</v>
      </c>
      <c r="D5294">
        <v>2</v>
      </c>
      <c r="E5294">
        <v>10794</v>
      </c>
      <c r="F5294">
        <v>1451</v>
      </c>
      <c r="G5294">
        <f t="shared" si="82"/>
        <v>1577161211</v>
      </c>
    </row>
    <row r="5295" spans="1:7" x14ac:dyDescent="0.25">
      <c r="A5295">
        <v>1577161229</v>
      </c>
      <c r="B5295" t="s">
        <v>36651</v>
      </c>
      <c r="C5295">
        <v>124</v>
      </c>
      <c r="D5295">
        <v>3</v>
      </c>
      <c r="E5295">
        <v>11375</v>
      </c>
      <c r="F5295">
        <v>1367</v>
      </c>
      <c r="G5295">
        <f t="shared" si="82"/>
        <v>1577161229</v>
      </c>
    </row>
    <row r="5296" spans="1:7" x14ac:dyDescent="0.25">
      <c r="A5296">
        <v>1577161327</v>
      </c>
      <c r="B5296" t="s">
        <v>27844</v>
      </c>
      <c r="C5296">
        <v>1734</v>
      </c>
      <c r="D5296">
        <v>1</v>
      </c>
      <c r="E5296">
        <v>805</v>
      </c>
      <c r="F5296">
        <v>4199</v>
      </c>
      <c r="G5296">
        <f t="shared" si="82"/>
        <v>1577161327</v>
      </c>
    </row>
    <row r="5297" spans="1:7" x14ac:dyDescent="0.25">
      <c r="A5297">
        <v>1577161470</v>
      </c>
      <c r="B5297" t="s">
        <v>27845</v>
      </c>
      <c r="C5297">
        <v>0</v>
      </c>
      <c r="D5297">
        <v>1</v>
      </c>
      <c r="E5297">
        <v>180</v>
      </c>
      <c r="F5297">
        <v>5582</v>
      </c>
      <c r="G5297">
        <f t="shared" si="82"/>
        <v>1577161470</v>
      </c>
    </row>
    <row r="5298" spans="1:7" x14ac:dyDescent="0.25">
      <c r="A5298">
        <v>1577161511</v>
      </c>
      <c r="B5298" t="s">
        <v>27846</v>
      </c>
      <c r="C5298">
        <v>0</v>
      </c>
      <c r="D5298">
        <v>1</v>
      </c>
      <c r="E5298">
        <v>2118</v>
      </c>
      <c r="F5298">
        <v>3283</v>
      </c>
      <c r="G5298">
        <f t="shared" si="82"/>
        <v>1577161511</v>
      </c>
    </row>
    <row r="5299" spans="1:7" x14ac:dyDescent="0.25">
      <c r="A5299">
        <v>1577161579</v>
      </c>
      <c r="B5299" t="s">
        <v>27847</v>
      </c>
      <c r="C5299">
        <v>0</v>
      </c>
      <c r="D5299">
        <v>1</v>
      </c>
      <c r="E5299">
        <v>26</v>
      </c>
      <c r="F5299">
        <v>6727</v>
      </c>
      <c r="G5299">
        <f t="shared" si="82"/>
        <v>1577161579</v>
      </c>
    </row>
    <row r="5300" spans="1:7" x14ac:dyDescent="0.25">
      <c r="A5300">
        <v>1577161751</v>
      </c>
      <c r="B5300" t="s">
        <v>27848</v>
      </c>
      <c r="C5300">
        <v>367</v>
      </c>
      <c r="D5300">
        <v>2</v>
      </c>
      <c r="E5300">
        <v>9007</v>
      </c>
      <c r="F5300">
        <v>1716</v>
      </c>
      <c r="G5300">
        <f t="shared" si="82"/>
        <v>1577161751</v>
      </c>
    </row>
    <row r="5301" spans="1:7" x14ac:dyDescent="0.25">
      <c r="A5301">
        <v>1577161759</v>
      </c>
      <c r="B5301" t="s">
        <v>36652</v>
      </c>
      <c r="C5301">
        <v>94</v>
      </c>
      <c r="D5301">
        <v>1</v>
      </c>
      <c r="E5301">
        <v>3174</v>
      </c>
      <c r="F5301">
        <v>2947</v>
      </c>
      <c r="G5301">
        <f t="shared" si="82"/>
        <v>1577161759</v>
      </c>
    </row>
    <row r="5302" spans="1:7" x14ac:dyDescent="0.25">
      <c r="A5302">
        <v>1577161774</v>
      </c>
      <c r="B5302" t="s">
        <v>27849</v>
      </c>
      <c r="C5302">
        <v>1100</v>
      </c>
      <c r="D5302">
        <v>2</v>
      </c>
      <c r="E5302">
        <v>8253</v>
      </c>
      <c r="F5302">
        <v>1856</v>
      </c>
      <c r="G5302">
        <f t="shared" si="82"/>
        <v>1577161774</v>
      </c>
    </row>
    <row r="5303" spans="1:7" x14ac:dyDescent="0.25">
      <c r="A5303">
        <v>1577161800</v>
      </c>
      <c r="B5303" t="s">
        <v>27850</v>
      </c>
      <c r="C5303">
        <v>625</v>
      </c>
      <c r="D5303">
        <v>1</v>
      </c>
      <c r="E5303">
        <v>4370</v>
      </c>
      <c r="F5303">
        <v>2660</v>
      </c>
      <c r="G5303">
        <f t="shared" si="82"/>
        <v>1577161800</v>
      </c>
    </row>
    <row r="5304" spans="1:7" x14ac:dyDescent="0.25">
      <c r="A5304">
        <v>1577161807</v>
      </c>
      <c r="B5304" t="s">
        <v>27851</v>
      </c>
      <c r="C5304">
        <v>0</v>
      </c>
      <c r="D5304">
        <v>0</v>
      </c>
      <c r="E5304">
        <v>0</v>
      </c>
      <c r="F5304">
        <v>7875</v>
      </c>
      <c r="G5304">
        <f t="shared" si="82"/>
        <v>1577161807</v>
      </c>
    </row>
    <row r="5305" spans="1:7" x14ac:dyDescent="0.25">
      <c r="A5305">
        <v>1577161990</v>
      </c>
      <c r="B5305" t="s">
        <v>36653</v>
      </c>
      <c r="C5305">
        <v>1363</v>
      </c>
      <c r="D5305">
        <v>1</v>
      </c>
      <c r="E5305">
        <v>3439</v>
      </c>
      <c r="F5305">
        <v>2889</v>
      </c>
      <c r="G5305">
        <f t="shared" si="82"/>
        <v>1577161990</v>
      </c>
    </row>
    <row r="5306" spans="1:7" x14ac:dyDescent="0.25">
      <c r="A5306">
        <v>1577161997</v>
      </c>
      <c r="B5306" t="s">
        <v>27852</v>
      </c>
      <c r="C5306">
        <v>0</v>
      </c>
      <c r="D5306">
        <v>1</v>
      </c>
      <c r="E5306">
        <v>342</v>
      </c>
      <c r="F5306">
        <v>5004</v>
      </c>
      <c r="G5306">
        <f t="shared" si="82"/>
        <v>1577161997</v>
      </c>
    </row>
    <row r="5307" spans="1:7" x14ac:dyDescent="0.25">
      <c r="A5307">
        <v>1577162066</v>
      </c>
      <c r="B5307" t="s">
        <v>27853</v>
      </c>
      <c r="C5307">
        <v>333</v>
      </c>
      <c r="D5307">
        <v>2</v>
      </c>
      <c r="E5307">
        <v>9417</v>
      </c>
      <c r="F5307">
        <v>1651</v>
      </c>
      <c r="G5307">
        <f t="shared" si="82"/>
        <v>1577162066</v>
      </c>
    </row>
    <row r="5308" spans="1:7" x14ac:dyDescent="0.25">
      <c r="A5308">
        <v>1577162192</v>
      </c>
      <c r="B5308" t="s">
        <v>27854</v>
      </c>
      <c r="C5308">
        <v>0</v>
      </c>
      <c r="D5308">
        <v>1</v>
      </c>
      <c r="E5308">
        <v>704</v>
      </c>
      <c r="F5308">
        <v>4337</v>
      </c>
      <c r="G5308">
        <f t="shared" si="82"/>
        <v>1577162192</v>
      </c>
    </row>
    <row r="5309" spans="1:7" x14ac:dyDescent="0.25">
      <c r="A5309">
        <v>1577162196</v>
      </c>
      <c r="B5309" t="s">
        <v>27855</v>
      </c>
      <c r="C5309">
        <v>1752</v>
      </c>
      <c r="D5309">
        <v>1</v>
      </c>
      <c r="E5309">
        <v>1592</v>
      </c>
      <c r="F5309">
        <v>3549</v>
      </c>
      <c r="G5309">
        <f t="shared" si="82"/>
        <v>1577162196</v>
      </c>
    </row>
    <row r="5310" spans="1:7" x14ac:dyDescent="0.25">
      <c r="A5310">
        <v>1577162233</v>
      </c>
      <c r="B5310" t="s">
        <v>27856</v>
      </c>
      <c r="C5310">
        <v>0</v>
      </c>
      <c r="D5310">
        <v>0</v>
      </c>
      <c r="E5310">
        <v>0</v>
      </c>
      <c r="F5310">
        <v>7876</v>
      </c>
      <c r="G5310">
        <f t="shared" si="82"/>
        <v>1577162233</v>
      </c>
    </row>
    <row r="5311" spans="1:7" x14ac:dyDescent="0.25">
      <c r="A5311">
        <v>1577162296</v>
      </c>
      <c r="B5311" t="s">
        <v>27857</v>
      </c>
      <c r="C5311">
        <v>199</v>
      </c>
      <c r="D5311">
        <v>4</v>
      </c>
      <c r="E5311">
        <v>16542</v>
      </c>
      <c r="F5311">
        <v>866</v>
      </c>
      <c r="G5311">
        <f t="shared" si="82"/>
        <v>1577162296</v>
      </c>
    </row>
    <row r="5312" spans="1:7" x14ac:dyDescent="0.25">
      <c r="A5312">
        <v>1577162365</v>
      </c>
      <c r="B5312" t="s">
        <v>27858</v>
      </c>
      <c r="C5312">
        <v>6</v>
      </c>
      <c r="D5312">
        <v>2</v>
      </c>
      <c r="E5312">
        <v>11772</v>
      </c>
      <c r="F5312">
        <v>1313</v>
      </c>
      <c r="G5312">
        <f t="shared" si="82"/>
        <v>1577162365</v>
      </c>
    </row>
    <row r="5313" spans="1:7" x14ac:dyDescent="0.25">
      <c r="A5313">
        <v>1577162370</v>
      </c>
      <c r="B5313" t="s">
        <v>37327</v>
      </c>
      <c r="C5313">
        <v>0</v>
      </c>
      <c r="D5313">
        <v>1</v>
      </c>
      <c r="E5313">
        <v>26</v>
      </c>
      <c r="F5313">
        <v>6728</v>
      </c>
      <c r="G5313">
        <f t="shared" ref="G5313:G5376" si="83">A5313</f>
        <v>1577162370</v>
      </c>
    </row>
    <row r="5314" spans="1:7" x14ac:dyDescent="0.25">
      <c r="A5314">
        <v>1577162477</v>
      </c>
      <c r="B5314" t="s">
        <v>27859</v>
      </c>
      <c r="C5314">
        <v>0</v>
      </c>
      <c r="D5314">
        <v>1</v>
      </c>
      <c r="E5314">
        <v>26</v>
      </c>
      <c r="F5314">
        <v>6729</v>
      </c>
      <c r="G5314">
        <f t="shared" si="83"/>
        <v>1577162477</v>
      </c>
    </row>
    <row r="5315" spans="1:7" x14ac:dyDescent="0.25">
      <c r="A5315">
        <v>1577162500</v>
      </c>
      <c r="B5315" t="s">
        <v>36654</v>
      </c>
      <c r="C5315">
        <v>578</v>
      </c>
      <c r="D5315">
        <v>5</v>
      </c>
      <c r="E5315">
        <v>24211</v>
      </c>
      <c r="F5315">
        <v>426</v>
      </c>
      <c r="G5315">
        <f t="shared" si="83"/>
        <v>1577162500</v>
      </c>
    </row>
    <row r="5316" spans="1:7" x14ac:dyDescent="0.25">
      <c r="A5316">
        <v>1577162508</v>
      </c>
      <c r="B5316" t="s">
        <v>36655</v>
      </c>
      <c r="C5316">
        <v>0</v>
      </c>
      <c r="D5316">
        <v>1</v>
      </c>
      <c r="E5316">
        <v>46</v>
      </c>
      <c r="F5316">
        <v>6224</v>
      </c>
      <c r="G5316">
        <f t="shared" si="83"/>
        <v>1577162508</v>
      </c>
    </row>
    <row r="5317" spans="1:7" x14ac:dyDescent="0.25">
      <c r="A5317">
        <v>1577162548</v>
      </c>
      <c r="B5317" t="s">
        <v>36656</v>
      </c>
      <c r="C5317">
        <v>0</v>
      </c>
      <c r="D5317">
        <v>0</v>
      </c>
      <c r="E5317">
        <v>0</v>
      </c>
      <c r="F5317">
        <v>7877</v>
      </c>
      <c r="G5317">
        <f t="shared" si="83"/>
        <v>1577162548</v>
      </c>
    </row>
    <row r="5318" spans="1:7" x14ac:dyDescent="0.25">
      <c r="A5318">
        <v>1577162617</v>
      </c>
      <c r="B5318" t="s">
        <v>37018</v>
      </c>
      <c r="C5318">
        <v>733</v>
      </c>
      <c r="D5318">
        <v>4</v>
      </c>
      <c r="E5318">
        <v>21686</v>
      </c>
      <c r="F5318">
        <v>540</v>
      </c>
      <c r="G5318">
        <f t="shared" si="83"/>
        <v>1577162617</v>
      </c>
    </row>
    <row r="5319" spans="1:7" x14ac:dyDescent="0.25">
      <c r="A5319">
        <v>1577162623</v>
      </c>
      <c r="B5319" t="s">
        <v>27860</v>
      </c>
      <c r="C5319">
        <v>0</v>
      </c>
      <c r="D5319">
        <v>1</v>
      </c>
      <c r="E5319">
        <v>26</v>
      </c>
      <c r="F5319">
        <v>6730</v>
      </c>
      <c r="G5319">
        <f t="shared" si="83"/>
        <v>1577162623</v>
      </c>
    </row>
    <row r="5320" spans="1:7" x14ac:dyDescent="0.25">
      <c r="A5320">
        <v>1577162668</v>
      </c>
      <c r="B5320" t="s">
        <v>27861</v>
      </c>
      <c r="C5320">
        <v>0</v>
      </c>
      <c r="D5320">
        <v>1</v>
      </c>
      <c r="E5320">
        <v>26</v>
      </c>
      <c r="F5320">
        <v>6731</v>
      </c>
      <c r="G5320">
        <f t="shared" si="83"/>
        <v>1577162668</v>
      </c>
    </row>
    <row r="5321" spans="1:7" x14ac:dyDescent="0.25">
      <c r="A5321">
        <v>1577162680</v>
      </c>
      <c r="B5321" t="s">
        <v>27862</v>
      </c>
      <c r="C5321">
        <v>0</v>
      </c>
      <c r="D5321">
        <v>1</v>
      </c>
      <c r="E5321">
        <v>971</v>
      </c>
      <c r="F5321">
        <v>4015</v>
      </c>
      <c r="G5321">
        <f t="shared" si="83"/>
        <v>1577162680</v>
      </c>
    </row>
    <row r="5322" spans="1:7" x14ac:dyDescent="0.25">
      <c r="A5322">
        <v>1577162735</v>
      </c>
      <c r="B5322" t="s">
        <v>27863</v>
      </c>
      <c r="C5322">
        <v>1100</v>
      </c>
      <c r="D5322">
        <v>1</v>
      </c>
      <c r="E5322">
        <v>4076</v>
      </c>
      <c r="F5322">
        <v>2755</v>
      </c>
      <c r="G5322">
        <f t="shared" si="83"/>
        <v>1577162735</v>
      </c>
    </row>
    <row r="5323" spans="1:7" x14ac:dyDescent="0.25">
      <c r="A5323">
        <v>1577162800</v>
      </c>
      <c r="B5323" t="s">
        <v>27864</v>
      </c>
      <c r="C5323">
        <v>0</v>
      </c>
      <c r="D5323">
        <v>1</v>
      </c>
      <c r="E5323">
        <v>215</v>
      </c>
      <c r="F5323">
        <v>5449</v>
      </c>
      <c r="G5323">
        <f t="shared" si="83"/>
        <v>1577162800</v>
      </c>
    </row>
    <row r="5324" spans="1:7" x14ac:dyDescent="0.25">
      <c r="A5324">
        <v>1577162823</v>
      </c>
      <c r="B5324" t="s">
        <v>27865</v>
      </c>
      <c r="C5324">
        <v>131</v>
      </c>
      <c r="D5324">
        <v>4</v>
      </c>
      <c r="E5324">
        <v>8328</v>
      </c>
      <c r="F5324">
        <v>1830</v>
      </c>
      <c r="G5324">
        <f t="shared" si="83"/>
        <v>1577162823</v>
      </c>
    </row>
    <row r="5325" spans="1:7" x14ac:dyDescent="0.25">
      <c r="A5325">
        <v>1577162843</v>
      </c>
      <c r="B5325" t="s">
        <v>27866</v>
      </c>
      <c r="C5325">
        <v>0</v>
      </c>
      <c r="D5325">
        <v>1</v>
      </c>
      <c r="E5325">
        <v>776</v>
      </c>
      <c r="F5325">
        <v>4267</v>
      </c>
      <c r="G5325">
        <f t="shared" si="83"/>
        <v>1577162843</v>
      </c>
    </row>
    <row r="5326" spans="1:7" x14ac:dyDescent="0.25">
      <c r="A5326">
        <v>1577162901</v>
      </c>
      <c r="B5326" t="s">
        <v>36657</v>
      </c>
      <c r="C5326">
        <v>552</v>
      </c>
      <c r="D5326">
        <v>4</v>
      </c>
      <c r="E5326">
        <v>20936</v>
      </c>
      <c r="F5326">
        <v>642</v>
      </c>
      <c r="G5326">
        <f t="shared" si="83"/>
        <v>1577162901</v>
      </c>
    </row>
    <row r="5327" spans="1:7" x14ac:dyDescent="0.25">
      <c r="A5327">
        <v>1577162918</v>
      </c>
      <c r="B5327" t="s">
        <v>27867</v>
      </c>
      <c r="C5327">
        <v>138</v>
      </c>
      <c r="D5327">
        <v>4</v>
      </c>
      <c r="E5327">
        <v>15548</v>
      </c>
      <c r="F5327">
        <v>943</v>
      </c>
      <c r="G5327">
        <f t="shared" si="83"/>
        <v>1577162918</v>
      </c>
    </row>
    <row r="5328" spans="1:7" x14ac:dyDescent="0.25">
      <c r="A5328">
        <v>1577162920</v>
      </c>
      <c r="B5328" t="s">
        <v>27868</v>
      </c>
      <c r="C5328">
        <v>1609</v>
      </c>
      <c r="D5328">
        <v>5</v>
      </c>
      <c r="E5328">
        <v>25424</v>
      </c>
      <c r="F5328">
        <v>378</v>
      </c>
      <c r="G5328">
        <f t="shared" si="83"/>
        <v>1577162920</v>
      </c>
    </row>
    <row r="5329" spans="1:7" x14ac:dyDescent="0.25">
      <c r="A5329">
        <v>1577162966</v>
      </c>
      <c r="B5329" t="s">
        <v>27869</v>
      </c>
      <c r="C5329">
        <v>1920</v>
      </c>
      <c r="D5329">
        <v>1</v>
      </c>
      <c r="E5329">
        <v>843</v>
      </c>
      <c r="F5329">
        <v>4139</v>
      </c>
      <c r="G5329">
        <f t="shared" si="83"/>
        <v>1577162966</v>
      </c>
    </row>
    <row r="5330" spans="1:7" x14ac:dyDescent="0.25">
      <c r="A5330">
        <v>1577162986</v>
      </c>
      <c r="B5330" t="s">
        <v>36658</v>
      </c>
      <c r="C5330">
        <v>733</v>
      </c>
      <c r="D5330">
        <v>6</v>
      </c>
      <c r="E5330">
        <v>37812</v>
      </c>
      <c r="F5330">
        <v>109</v>
      </c>
      <c r="G5330">
        <f t="shared" si="83"/>
        <v>1577162986</v>
      </c>
    </row>
    <row r="5331" spans="1:7" x14ac:dyDescent="0.25">
      <c r="A5331">
        <v>1577163005</v>
      </c>
      <c r="B5331" t="s">
        <v>27870</v>
      </c>
      <c r="C5331">
        <v>3</v>
      </c>
      <c r="D5331">
        <v>2</v>
      </c>
      <c r="E5331">
        <v>11142</v>
      </c>
      <c r="F5331">
        <v>1406</v>
      </c>
      <c r="G5331">
        <f t="shared" si="83"/>
        <v>1577163005</v>
      </c>
    </row>
    <row r="5332" spans="1:7" x14ac:dyDescent="0.25">
      <c r="A5332">
        <v>1577163011</v>
      </c>
      <c r="B5332" t="s">
        <v>27871</v>
      </c>
      <c r="C5332">
        <v>578</v>
      </c>
      <c r="D5332">
        <v>2</v>
      </c>
      <c r="E5332">
        <v>8640</v>
      </c>
      <c r="F5332">
        <v>1776</v>
      </c>
      <c r="G5332">
        <f t="shared" si="83"/>
        <v>1577163011</v>
      </c>
    </row>
    <row r="5333" spans="1:7" x14ac:dyDescent="0.25">
      <c r="A5333">
        <v>1577163020</v>
      </c>
      <c r="B5333" t="s">
        <v>27872</v>
      </c>
      <c r="C5333">
        <v>1968</v>
      </c>
      <c r="D5333">
        <v>1</v>
      </c>
      <c r="E5333">
        <v>2309</v>
      </c>
      <c r="F5333">
        <v>3210</v>
      </c>
      <c r="G5333">
        <f t="shared" si="83"/>
        <v>1577163020</v>
      </c>
    </row>
    <row r="5334" spans="1:7" x14ac:dyDescent="0.25">
      <c r="A5334">
        <v>1577163047</v>
      </c>
      <c r="B5334" t="s">
        <v>36659</v>
      </c>
      <c r="C5334">
        <v>4</v>
      </c>
      <c r="D5334">
        <v>10</v>
      </c>
      <c r="E5334">
        <v>55750</v>
      </c>
      <c r="F5334">
        <v>27</v>
      </c>
      <c r="G5334">
        <f t="shared" si="83"/>
        <v>1577163047</v>
      </c>
    </row>
    <row r="5335" spans="1:7" x14ac:dyDescent="0.25">
      <c r="A5335">
        <v>1577163094</v>
      </c>
      <c r="B5335" t="s">
        <v>27873</v>
      </c>
      <c r="C5335">
        <v>1363</v>
      </c>
      <c r="D5335">
        <v>1</v>
      </c>
      <c r="E5335">
        <v>3092</v>
      </c>
      <c r="F5335">
        <v>2972</v>
      </c>
      <c r="G5335">
        <f t="shared" si="83"/>
        <v>1577163094</v>
      </c>
    </row>
    <row r="5336" spans="1:7" x14ac:dyDescent="0.25">
      <c r="A5336">
        <v>1577163129</v>
      </c>
      <c r="B5336" t="s">
        <v>37328</v>
      </c>
      <c r="C5336">
        <v>0</v>
      </c>
      <c r="D5336">
        <v>0</v>
      </c>
      <c r="E5336">
        <v>0</v>
      </c>
      <c r="F5336">
        <v>7878</v>
      </c>
      <c r="G5336">
        <f t="shared" si="83"/>
        <v>1577163129</v>
      </c>
    </row>
    <row r="5337" spans="1:7" x14ac:dyDescent="0.25">
      <c r="A5337">
        <v>1577163137</v>
      </c>
      <c r="B5337" t="s">
        <v>36660</v>
      </c>
      <c r="C5337">
        <v>69</v>
      </c>
      <c r="D5337">
        <v>4</v>
      </c>
      <c r="E5337">
        <v>24187</v>
      </c>
      <c r="F5337">
        <v>428</v>
      </c>
      <c r="G5337">
        <f t="shared" si="83"/>
        <v>1577163137</v>
      </c>
    </row>
    <row r="5338" spans="1:7" x14ac:dyDescent="0.25">
      <c r="A5338">
        <v>1577163180</v>
      </c>
      <c r="B5338" t="s">
        <v>36661</v>
      </c>
      <c r="C5338">
        <v>218</v>
      </c>
      <c r="D5338">
        <v>5</v>
      </c>
      <c r="E5338">
        <v>14993</v>
      </c>
      <c r="F5338">
        <v>1006</v>
      </c>
      <c r="G5338">
        <f t="shared" si="83"/>
        <v>1577163180</v>
      </c>
    </row>
    <row r="5339" spans="1:7" x14ac:dyDescent="0.25">
      <c r="A5339">
        <v>1577163189</v>
      </c>
      <c r="B5339" t="s">
        <v>27874</v>
      </c>
      <c r="C5339">
        <v>0</v>
      </c>
      <c r="D5339">
        <v>1</v>
      </c>
      <c r="E5339">
        <v>911</v>
      </c>
      <c r="F5339">
        <v>4094</v>
      </c>
      <c r="G5339">
        <f t="shared" si="83"/>
        <v>1577163189</v>
      </c>
    </row>
    <row r="5340" spans="1:7" x14ac:dyDescent="0.25">
      <c r="A5340">
        <v>1577163225</v>
      </c>
      <c r="B5340" t="s">
        <v>37064</v>
      </c>
      <c r="C5340">
        <v>0</v>
      </c>
      <c r="D5340">
        <v>0</v>
      </c>
      <c r="E5340">
        <v>0</v>
      </c>
      <c r="F5340">
        <v>7879</v>
      </c>
      <c r="G5340">
        <f t="shared" si="83"/>
        <v>1577163225</v>
      </c>
    </row>
    <row r="5341" spans="1:7" x14ac:dyDescent="0.25">
      <c r="A5341">
        <v>1577163287</v>
      </c>
      <c r="B5341" t="s">
        <v>37166</v>
      </c>
      <c r="C5341">
        <v>218</v>
      </c>
      <c r="D5341">
        <v>2</v>
      </c>
      <c r="E5341">
        <v>9687</v>
      </c>
      <c r="F5341">
        <v>1634</v>
      </c>
      <c r="G5341">
        <f t="shared" si="83"/>
        <v>1577163287</v>
      </c>
    </row>
    <row r="5342" spans="1:7" x14ac:dyDescent="0.25">
      <c r="A5342">
        <v>1577163300</v>
      </c>
      <c r="B5342" t="s">
        <v>27875</v>
      </c>
      <c r="C5342">
        <v>27</v>
      </c>
      <c r="D5342">
        <v>2</v>
      </c>
      <c r="E5342">
        <v>11931</v>
      </c>
      <c r="F5342">
        <v>1288</v>
      </c>
      <c r="G5342">
        <f t="shared" si="83"/>
        <v>1577163300</v>
      </c>
    </row>
    <row r="5343" spans="1:7" x14ac:dyDescent="0.25">
      <c r="A5343">
        <v>1577163311</v>
      </c>
      <c r="B5343" t="s">
        <v>27876</v>
      </c>
      <c r="C5343">
        <v>218</v>
      </c>
      <c r="D5343">
        <v>3</v>
      </c>
      <c r="E5343">
        <v>11534</v>
      </c>
      <c r="F5343">
        <v>1339</v>
      </c>
      <c r="G5343">
        <f t="shared" si="83"/>
        <v>1577163311</v>
      </c>
    </row>
    <row r="5344" spans="1:7" x14ac:dyDescent="0.25">
      <c r="A5344">
        <v>1577163324</v>
      </c>
      <c r="B5344" t="s">
        <v>37329</v>
      </c>
      <c r="C5344">
        <v>69</v>
      </c>
      <c r="D5344">
        <v>3</v>
      </c>
      <c r="E5344">
        <v>17213</v>
      </c>
      <c r="F5344">
        <v>808</v>
      </c>
      <c r="G5344">
        <f t="shared" si="83"/>
        <v>1577163324</v>
      </c>
    </row>
    <row r="5345" spans="1:7" x14ac:dyDescent="0.25">
      <c r="A5345">
        <v>1577163330</v>
      </c>
      <c r="B5345" t="s">
        <v>27877</v>
      </c>
      <c r="C5345">
        <v>733</v>
      </c>
      <c r="D5345">
        <v>5</v>
      </c>
      <c r="E5345">
        <v>33000</v>
      </c>
      <c r="F5345">
        <v>179</v>
      </c>
      <c r="G5345">
        <f t="shared" si="83"/>
        <v>1577163330</v>
      </c>
    </row>
    <row r="5346" spans="1:7" x14ac:dyDescent="0.25">
      <c r="A5346">
        <v>1577163397</v>
      </c>
      <c r="B5346" t="s">
        <v>27878</v>
      </c>
      <c r="C5346">
        <v>960</v>
      </c>
      <c r="D5346">
        <v>2</v>
      </c>
      <c r="E5346">
        <v>10701</v>
      </c>
      <c r="F5346">
        <v>1462</v>
      </c>
      <c r="G5346">
        <f t="shared" si="83"/>
        <v>1577163397</v>
      </c>
    </row>
    <row r="5347" spans="1:7" x14ac:dyDescent="0.25">
      <c r="A5347">
        <v>1577163404</v>
      </c>
      <c r="B5347" t="s">
        <v>27879</v>
      </c>
      <c r="C5347">
        <v>0</v>
      </c>
      <c r="D5347">
        <v>1</v>
      </c>
      <c r="E5347">
        <v>4510</v>
      </c>
      <c r="F5347">
        <v>2616</v>
      </c>
      <c r="G5347">
        <f t="shared" si="83"/>
        <v>1577163404</v>
      </c>
    </row>
    <row r="5348" spans="1:7" x14ac:dyDescent="0.25">
      <c r="A5348">
        <v>1577163610</v>
      </c>
      <c r="B5348" t="s">
        <v>27880</v>
      </c>
      <c r="C5348">
        <v>156</v>
      </c>
      <c r="D5348">
        <v>0</v>
      </c>
      <c r="E5348">
        <v>0</v>
      </c>
      <c r="F5348">
        <v>7880</v>
      </c>
      <c r="G5348">
        <f t="shared" si="83"/>
        <v>1577163610</v>
      </c>
    </row>
    <row r="5349" spans="1:7" x14ac:dyDescent="0.25">
      <c r="A5349">
        <v>1577163676</v>
      </c>
      <c r="B5349" t="s">
        <v>27881</v>
      </c>
      <c r="C5349">
        <v>0</v>
      </c>
      <c r="D5349">
        <v>1</v>
      </c>
      <c r="E5349">
        <v>2136</v>
      </c>
      <c r="F5349">
        <v>3275</v>
      </c>
      <c r="G5349">
        <f t="shared" si="83"/>
        <v>1577163676</v>
      </c>
    </row>
    <row r="5350" spans="1:7" x14ac:dyDescent="0.25">
      <c r="A5350">
        <v>1577163684</v>
      </c>
      <c r="B5350" t="s">
        <v>27882</v>
      </c>
      <c r="C5350">
        <v>156</v>
      </c>
      <c r="D5350">
        <v>0</v>
      </c>
      <c r="E5350">
        <v>0</v>
      </c>
      <c r="F5350">
        <v>7881</v>
      </c>
      <c r="G5350">
        <f t="shared" si="83"/>
        <v>1577163684</v>
      </c>
    </row>
    <row r="5351" spans="1:7" x14ac:dyDescent="0.25">
      <c r="A5351">
        <v>1577163731</v>
      </c>
      <c r="B5351" t="s">
        <v>27883</v>
      </c>
      <c r="C5351">
        <v>274</v>
      </c>
      <c r="D5351">
        <v>2</v>
      </c>
      <c r="E5351">
        <v>8036</v>
      </c>
      <c r="F5351">
        <v>1875</v>
      </c>
      <c r="G5351">
        <f t="shared" si="83"/>
        <v>1577163731</v>
      </c>
    </row>
    <row r="5352" spans="1:7" x14ac:dyDescent="0.25">
      <c r="A5352">
        <v>1577163762</v>
      </c>
      <c r="B5352" t="s">
        <v>27884</v>
      </c>
      <c r="C5352">
        <v>429</v>
      </c>
      <c r="D5352">
        <v>2</v>
      </c>
      <c r="E5352">
        <v>6248</v>
      </c>
      <c r="F5352">
        <v>2226</v>
      </c>
      <c r="G5352">
        <f t="shared" si="83"/>
        <v>1577163762</v>
      </c>
    </row>
    <row r="5353" spans="1:7" x14ac:dyDescent="0.25">
      <c r="A5353">
        <v>1577163886</v>
      </c>
      <c r="B5353" t="s">
        <v>36662</v>
      </c>
      <c r="C5353">
        <v>271</v>
      </c>
      <c r="D5353">
        <v>2</v>
      </c>
      <c r="E5353">
        <v>7703</v>
      </c>
      <c r="F5353">
        <v>1939</v>
      </c>
      <c r="G5353">
        <f t="shared" si="83"/>
        <v>1577163886</v>
      </c>
    </row>
    <row r="5354" spans="1:7" x14ac:dyDescent="0.25">
      <c r="A5354">
        <v>1577163935</v>
      </c>
      <c r="B5354" t="s">
        <v>27885</v>
      </c>
      <c r="C5354">
        <v>467</v>
      </c>
      <c r="D5354">
        <v>3</v>
      </c>
      <c r="E5354">
        <v>8454</v>
      </c>
      <c r="F5354">
        <v>1804</v>
      </c>
      <c r="G5354">
        <f t="shared" si="83"/>
        <v>1577163935</v>
      </c>
    </row>
    <row r="5355" spans="1:7" x14ac:dyDescent="0.25">
      <c r="A5355">
        <v>1577164111</v>
      </c>
      <c r="B5355" t="s">
        <v>36663</v>
      </c>
      <c r="C5355">
        <v>122</v>
      </c>
      <c r="D5355">
        <v>3</v>
      </c>
      <c r="E5355">
        <v>10015</v>
      </c>
      <c r="F5355">
        <v>1558</v>
      </c>
      <c r="G5355">
        <f t="shared" si="83"/>
        <v>1577164111</v>
      </c>
    </row>
    <row r="5356" spans="1:7" x14ac:dyDescent="0.25">
      <c r="A5356">
        <v>1577164124</v>
      </c>
      <c r="B5356" t="s">
        <v>27886</v>
      </c>
      <c r="C5356">
        <v>0</v>
      </c>
      <c r="D5356">
        <v>1</v>
      </c>
      <c r="E5356">
        <v>3165</v>
      </c>
      <c r="F5356">
        <v>2951</v>
      </c>
      <c r="G5356">
        <f t="shared" si="83"/>
        <v>1577164124</v>
      </c>
    </row>
    <row r="5357" spans="1:7" x14ac:dyDescent="0.25">
      <c r="A5357">
        <v>1577164215</v>
      </c>
      <c r="B5357" t="s">
        <v>27887</v>
      </c>
      <c r="C5357">
        <v>412</v>
      </c>
      <c r="D5357">
        <v>4</v>
      </c>
      <c r="E5357">
        <v>17269</v>
      </c>
      <c r="F5357">
        <v>806</v>
      </c>
      <c r="G5357">
        <f t="shared" si="83"/>
        <v>1577164215</v>
      </c>
    </row>
    <row r="5358" spans="1:7" x14ac:dyDescent="0.25">
      <c r="A5358">
        <v>1577164260</v>
      </c>
      <c r="B5358" t="s">
        <v>27888</v>
      </c>
      <c r="C5358">
        <v>189</v>
      </c>
      <c r="D5358">
        <v>5</v>
      </c>
      <c r="E5358">
        <v>21639</v>
      </c>
      <c r="F5358">
        <v>539</v>
      </c>
      <c r="G5358">
        <f t="shared" si="83"/>
        <v>1577164260</v>
      </c>
    </row>
    <row r="5359" spans="1:7" x14ac:dyDescent="0.25">
      <c r="A5359">
        <v>1577164263</v>
      </c>
      <c r="B5359" t="s">
        <v>27889</v>
      </c>
      <c r="C5359">
        <v>4</v>
      </c>
      <c r="D5359">
        <v>6</v>
      </c>
      <c r="E5359">
        <v>31486</v>
      </c>
      <c r="F5359">
        <v>213</v>
      </c>
      <c r="G5359">
        <f t="shared" si="83"/>
        <v>1577164263</v>
      </c>
    </row>
    <row r="5360" spans="1:7" x14ac:dyDescent="0.25">
      <c r="A5360">
        <v>1577164268</v>
      </c>
      <c r="B5360" t="s">
        <v>27890</v>
      </c>
      <c r="C5360">
        <v>0</v>
      </c>
      <c r="D5360">
        <v>0</v>
      </c>
      <c r="E5360">
        <v>0</v>
      </c>
      <c r="F5360">
        <v>7882</v>
      </c>
      <c r="G5360">
        <f t="shared" si="83"/>
        <v>1577164268</v>
      </c>
    </row>
    <row r="5361" spans="1:7" x14ac:dyDescent="0.25">
      <c r="A5361">
        <v>1577164304</v>
      </c>
      <c r="B5361" t="s">
        <v>27891</v>
      </c>
      <c r="C5361">
        <v>156</v>
      </c>
      <c r="D5361">
        <v>0</v>
      </c>
      <c r="E5361">
        <v>0</v>
      </c>
      <c r="F5361">
        <v>7883</v>
      </c>
      <c r="G5361">
        <f t="shared" si="83"/>
        <v>1577164304</v>
      </c>
    </row>
    <row r="5362" spans="1:7" x14ac:dyDescent="0.25">
      <c r="A5362">
        <v>1577164313</v>
      </c>
      <c r="B5362" t="s">
        <v>27892</v>
      </c>
      <c r="C5362">
        <v>122</v>
      </c>
      <c r="D5362">
        <v>5</v>
      </c>
      <c r="E5362">
        <v>28859</v>
      </c>
      <c r="F5362">
        <v>274</v>
      </c>
      <c r="G5362">
        <f t="shared" si="83"/>
        <v>1577164313</v>
      </c>
    </row>
    <row r="5363" spans="1:7" x14ac:dyDescent="0.25">
      <c r="A5363">
        <v>1577164355</v>
      </c>
      <c r="B5363" t="s">
        <v>27893</v>
      </c>
      <c r="C5363">
        <v>175</v>
      </c>
      <c r="D5363">
        <v>4</v>
      </c>
      <c r="E5363">
        <v>19751</v>
      </c>
      <c r="F5363">
        <v>637</v>
      </c>
      <c r="G5363">
        <f t="shared" si="83"/>
        <v>1577164355</v>
      </c>
    </row>
    <row r="5364" spans="1:7" x14ac:dyDescent="0.25">
      <c r="A5364">
        <v>1577164388</v>
      </c>
      <c r="B5364" t="s">
        <v>37330</v>
      </c>
      <c r="C5364">
        <v>0</v>
      </c>
      <c r="D5364">
        <v>0</v>
      </c>
      <c r="E5364">
        <v>0</v>
      </c>
      <c r="F5364">
        <v>7884</v>
      </c>
      <c r="G5364">
        <f t="shared" si="83"/>
        <v>1577164388</v>
      </c>
    </row>
    <row r="5365" spans="1:7" x14ac:dyDescent="0.25">
      <c r="A5365">
        <v>1577164390</v>
      </c>
      <c r="B5365" t="s">
        <v>27894</v>
      </c>
      <c r="C5365">
        <v>19</v>
      </c>
      <c r="D5365">
        <v>1</v>
      </c>
      <c r="E5365">
        <v>477</v>
      </c>
      <c r="F5365">
        <v>4686</v>
      </c>
      <c r="G5365">
        <f t="shared" si="83"/>
        <v>1577164390</v>
      </c>
    </row>
    <row r="5366" spans="1:7" x14ac:dyDescent="0.25">
      <c r="A5366">
        <v>1577164424</v>
      </c>
      <c r="B5366" t="s">
        <v>27895</v>
      </c>
      <c r="C5366">
        <v>0</v>
      </c>
      <c r="D5366">
        <v>0</v>
      </c>
      <c r="E5366">
        <v>0</v>
      </c>
      <c r="F5366">
        <v>7885</v>
      </c>
      <c r="G5366">
        <f t="shared" si="83"/>
        <v>1577164424</v>
      </c>
    </row>
    <row r="5367" spans="1:7" x14ac:dyDescent="0.25">
      <c r="A5367">
        <v>1577164431</v>
      </c>
      <c r="B5367" t="s">
        <v>27896</v>
      </c>
      <c r="C5367">
        <v>1100</v>
      </c>
      <c r="D5367">
        <v>1</v>
      </c>
      <c r="E5367">
        <v>7451</v>
      </c>
      <c r="F5367">
        <v>1987</v>
      </c>
      <c r="G5367">
        <f t="shared" si="83"/>
        <v>1577164431</v>
      </c>
    </row>
    <row r="5368" spans="1:7" x14ac:dyDescent="0.25">
      <c r="A5368">
        <v>1577164462</v>
      </c>
      <c r="B5368" t="s">
        <v>27897</v>
      </c>
      <c r="C5368">
        <v>333</v>
      </c>
      <c r="D5368">
        <v>2</v>
      </c>
      <c r="E5368">
        <v>9662</v>
      </c>
      <c r="F5368">
        <v>1612</v>
      </c>
      <c r="G5368">
        <f t="shared" si="83"/>
        <v>1577164462</v>
      </c>
    </row>
    <row r="5369" spans="1:7" x14ac:dyDescent="0.25">
      <c r="A5369">
        <v>1577164472</v>
      </c>
      <c r="B5369" t="s">
        <v>27898</v>
      </c>
      <c r="C5369">
        <v>1100</v>
      </c>
      <c r="D5369">
        <v>1</v>
      </c>
      <c r="E5369">
        <v>4294</v>
      </c>
      <c r="F5369">
        <v>2684</v>
      </c>
      <c r="G5369">
        <f t="shared" si="83"/>
        <v>1577164472</v>
      </c>
    </row>
    <row r="5370" spans="1:7" x14ac:dyDescent="0.25">
      <c r="A5370">
        <v>1577164587</v>
      </c>
      <c r="B5370" t="s">
        <v>36664</v>
      </c>
      <c r="C5370">
        <v>1708</v>
      </c>
      <c r="D5370">
        <v>1</v>
      </c>
      <c r="E5370">
        <v>670</v>
      </c>
      <c r="F5370">
        <v>4385</v>
      </c>
      <c r="G5370">
        <f t="shared" si="83"/>
        <v>1577164587</v>
      </c>
    </row>
    <row r="5371" spans="1:7" x14ac:dyDescent="0.25">
      <c r="A5371">
        <v>1577164612</v>
      </c>
      <c r="B5371" t="s">
        <v>27899</v>
      </c>
      <c r="C5371">
        <v>0</v>
      </c>
      <c r="D5371">
        <v>1</v>
      </c>
      <c r="E5371">
        <v>1782</v>
      </c>
      <c r="F5371">
        <v>3456</v>
      </c>
      <c r="G5371">
        <f t="shared" si="83"/>
        <v>1577164612</v>
      </c>
    </row>
    <row r="5372" spans="1:7" x14ac:dyDescent="0.25">
      <c r="A5372">
        <v>1577164616</v>
      </c>
      <c r="B5372" t="s">
        <v>27900</v>
      </c>
      <c r="C5372">
        <v>274</v>
      </c>
      <c r="D5372">
        <v>4</v>
      </c>
      <c r="E5372">
        <v>24943</v>
      </c>
      <c r="F5372">
        <v>400</v>
      </c>
      <c r="G5372">
        <f t="shared" si="83"/>
        <v>1577164616</v>
      </c>
    </row>
    <row r="5373" spans="1:7" x14ac:dyDescent="0.25">
      <c r="A5373">
        <v>1577164770</v>
      </c>
      <c r="B5373" t="s">
        <v>27901</v>
      </c>
      <c r="C5373">
        <v>1971</v>
      </c>
      <c r="D5373">
        <v>1</v>
      </c>
      <c r="E5373">
        <v>537</v>
      </c>
      <c r="F5373">
        <v>4574</v>
      </c>
      <c r="G5373">
        <f t="shared" si="83"/>
        <v>1577164770</v>
      </c>
    </row>
    <row r="5374" spans="1:7" x14ac:dyDescent="0.25">
      <c r="A5374">
        <v>1577164775</v>
      </c>
      <c r="B5374" t="s">
        <v>27902</v>
      </c>
      <c r="C5374">
        <v>1163</v>
      </c>
      <c r="D5374">
        <v>0</v>
      </c>
      <c r="E5374">
        <v>0</v>
      </c>
      <c r="F5374">
        <v>7886</v>
      </c>
      <c r="G5374">
        <f t="shared" si="83"/>
        <v>1577164775</v>
      </c>
    </row>
    <row r="5375" spans="1:7" x14ac:dyDescent="0.25">
      <c r="A5375">
        <v>1577164805</v>
      </c>
      <c r="B5375" t="s">
        <v>27903</v>
      </c>
      <c r="C5375">
        <v>19</v>
      </c>
      <c r="D5375">
        <v>2</v>
      </c>
      <c r="E5375">
        <v>5827</v>
      </c>
      <c r="F5375">
        <v>2320</v>
      </c>
      <c r="G5375">
        <f t="shared" si="83"/>
        <v>1577164805</v>
      </c>
    </row>
    <row r="5376" spans="1:7" x14ac:dyDescent="0.25">
      <c r="A5376">
        <v>1577164925</v>
      </c>
      <c r="B5376" t="s">
        <v>27904</v>
      </c>
      <c r="C5376">
        <v>0</v>
      </c>
      <c r="D5376">
        <v>1</v>
      </c>
      <c r="E5376">
        <v>276</v>
      </c>
      <c r="F5376">
        <v>5200</v>
      </c>
      <c r="G5376">
        <f t="shared" si="83"/>
        <v>1577164925</v>
      </c>
    </row>
    <row r="5377" spans="1:7" x14ac:dyDescent="0.25">
      <c r="A5377">
        <v>1577165000</v>
      </c>
      <c r="B5377" t="s">
        <v>27905</v>
      </c>
      <c r="C5377">
        <v>235</v>
      </c>
      <c r="D5377">
        <v>1</v>
      </c>
      <c r="E5377">
        <v>3381</v>
      </c>
      <c r="F5377">
        <v>2908</v>
      </c>
      <c r="G5377">
        <f t="shared" ref="G5377:G5440" si="84">A5377</f>
        <v>1577165000</v>
      </c>
    </row>
    <row r="5378" spans="1:7" x14ac:dyDescent="0.25">
      <c r="A5378">
        <v>1577165008</v>
      </c>
      <c r="B5378" t="s">
        <v>36665</v>
      </c>
      <c r="C5378">
        <v>1974</v>
      </c>
      <c r="D5378">
        <v>1</v>
      </c>
      <c r="E5378">
        <v>2032</v>
      </c>
      <c r="F5378">
        <v>3355</v>
      </c>
      <c r="G5378">
        <f t="shared" si="84"/>
        <v>1577165008</v>
      </c>
    </row>
    <row r="5379" spans="1:7" x14ac:dyDescent="0.25">
      <c r="A5379">
        <v>1577165040</v>
      </c>
      <c r="B5379" t="s">
        <v>27906</v>
      </c>
      <c r="C5379">
        <v>0</v>
      </c>
      <c r="D5379">
        <v>1</v>
      </c>
      <c r="E5379">
        <v>1511</v>
      </c>
      <c r="F5379">
        <v>3590</v>
      </c>
      <c r="G5379">
        <f t="shared" si="84"/>
        <v>1577165040</v>
      </c>
    </row>
    <row r="5380" spans="1:7" x14ac:dyDescent="0.25">
      <c r="A5380">
        <v>1577165094</v>
      </c>
      <c r="B5380" t="s">
        <v>27907</v>
      </c>
      <c r="C5380">
        <v>274</v>
      </c>
      <c r="D5380">
        <v>1</v>
      </c>
      <c r="E5380">
        <v>6444</v>
      </c>
      <c r="F5380">
        <v>2176</v>
      </c>
      <c r="G5380">
        <f t="shared" si="84"/>
        <v>1577165094</v>
      </c>
    </row>
    <row r="5381" spans="1:7" x14ac:dyDescent="0.25">
      <c r="A5381">
        <v>1577165095</v>
      </c>
      <c r="B5381" t="s">
        <v>27908</v>
      </c>
      <c r="C5381">
        <v>1643</v>
      </c>
      <c r="D5381">
        <v>1</v>
      </c>
      <c r="E5381">
        <v>421</v>
      </c>
      <c r="F5381">
        <v>4813</v>
      </c>
      <c r="G5381">
        <f t="shared" si="84"/>
        <v>1577165095</v>
      </c>
    </row>
    <row r="5382" spans="1:7" x14ac:dyDescent="0.25">
      <c r="A5382">
        <v>1577165097</v>
      </c>
      <c r="B5382" t="s">
        <v>27909</v>
      </c>
      <c r="C5382">
        <v>1688</v>
      </c>
      <c r="D5382">
        <v>5</v>
      </c>
      <c r="E5382">
        <v>14055</v>
      </c>
      <c r="F5382">
        <v>1074</v>
      </c>
      <c r="G5382">
        <f t="shared" si="84"/>
        <v>1577165097</v>
      </c>
    </row>
    <row r="5383" spans="1:7" x14ac:dyDescent="0.25">
      <c r="A5383">
        <v>1577165202</v>
      </c>
      <c r="B5383" t="s">
        <v>27910</v>
      </c>
      <c r="C5383">
        <v>274</v>
      </c>
      <c r="D5383">
        <v>3</v>
      </c>
      <c r="E5383">
        <v>10112</v>
      </c>
      <c r="F5383">
        <v>1550</v>
      </c>
      <c r="G5383">
        <f t="shared" si="84"/>
        <v>1577165202</v>
      </c>
    </row>
    <row r="5384" spans="1:7" x14ac:dyDescent="0.25">
      <c r="A5384">
        <v>1577165203</v>
      </c>
      <c r="B5384" t="s">
        <v>27911</v>
      </c>
      <c r="C5384">
        <v>274</v>
      </c>
      <c r="D5384">
        <v>1</v>
      </c>
      <c r="E5384">
        <v>6069</v>
      </c>
      <c r="F5384">
        <v>2258</v>
      </c>
      <c r="G5384">
        <f t="shared" si="84"/>
        <v>1577165203</v>
      </c>
    </row>
    <row r="5385" spans="1:7" x14ac:dyDescent="0.25">
      <c r="A5385">
        <v>1577165248</v>
      </c>
      <c r="B5385" t="s">
        <v>27912</v>
      </c>
      <c r="C5385">
        <v>1688</v>
      </c>
      <c r="D5385">
        <v>3</v>
      </c>
      <c r="E5385">
        <v>11861</v>
      </c>
      <c r="F5385">
        <v>1299</v>
      </c>
      <c r="G5385">
        <f t="shared" si="84"/>
        <v>1577165248</v>
      </c>
    </row>
    <row r="5386" spans="1:7" x14ac:dyDescent="0.25">
      <c r="A5386">
        <v>1577165289</v>
      </c>
      <c r="B5386" t="s">
        <v>36666</v>
      </c>
      <c r="C5386">
        <v>320</v>
      </c>
      <c r="D5386">
        <v>3</v>
      </c>
      <c r="E5386">
        <v>10041</v>
      </c>
      <c r="F5386">
        <v>1557</v>
      </c>
      <c r="G5386">
        <f t="shared" si="84"/>
        <v>1577165289</v>
      </c>
    </row>
    <row r="5387" spans="1:7" x14ac:dyDescent="0.25">
      <c r="A5387">
        <v>1577165361</v>
      </c>
      <c r="B5387" t="s">
        <v>27913</v>
      </c>
      <c r="C5387">
        <v>0</v>
      </c>
      <c r="D5387">
        <v>0</v>
      </c>
      <c r="E5387">
        <v>0</v>
      </c>
      <c r="F5387">
        <v>7887</v>
      </c>
      <c r="G5387">
        <f t="shared" si="84"/>
        <v>1577165361</v>
      </c>
    </row>
    <row r="5388" spans="1:7" x14ac:dyDescent="0.25">
      <c r="A5388">
        <v>1577165369</v>
      </c>
      <c r="B5388" t="s">
        <v>27914</v>
      </c>
      <c r="C5388">
        <v>152</v>
      </c>
      <c r="D5388">
        <v>4</v>
      </c>
      <c r="E5388">
        <v>20460</v>
      </c>
      <c r="F5388">
        <v>598</v>
      </c>
      <c r="G5388">
        <f t="shared" si="84"/>
        <v>1577165369</v>
      </c>
    </row>
    <row r="5389" spans="1:7" x14ac:dyDescent="0.25">
      <c r="A5389">
        <v>1577165415</v>
      </c>
      <c r="B5389" t="s">
        <v>27915</v>
      </c>
      <c r="C5389">
        <v>0</v>
      </c>
      <c r="D5389">
        <v>0</v>
      </c>
      <c r="E5389">
        <v>0</v>
      </c>
      <c r="F5389">
        <v>7888</v>
      </c>
      <c r="G5389">
        <f t="shared" si="84"/>
        <v>1577165415</v>
      </c>
    </row>
    <row r="5390" spans="1:7" x14ac:dyDescent="0.25">
      <c r="A5390">
        <v>1577165444</v>
      </c>
      <c r="B5390" t="s">
        <v>37331</v>
      </c>
      <c r="C5390">
        <v>1728</v>
      </c>
      <c r="D5390">
        <v>1</v>
      </c>
      <c r="E5390">
        <v>264</v>
      </c>
      <c r="F5390">
        <v>5247</v>
      </c>
      <c r="G5390">
        <f t="shared" si="84"/>
        <v>1577165444</v>
      </c>
    </row>
    <row r="5391" spans="1:7" x14ac:dyDescent="0.25">
      <c r="A5391">
        <v>1577165462</v>
      </c>
      <c r="B5391" t="s">
        <v>27916</v>
      </c>
      <c r="C5391">
        <v>0</v>
      </c>
      <c r="D5391">
        <v>1</v>
      </c>
      <c r="E5391">
        <v>26</v>
      </c>
      <c r="F5391">
        <v>6732</v>
      </c>
      <c r="G5391">
        <f t="shared" si="84"/>
        <v>1577165462</v>
      </c>
    </row>
    <row r="5392" spans="1:7" x14ac:dyDescent="0.25">
      <c r="A5392">
        <v>1577165466</v>
      </c>
      <c r="B5392" t="s">
        <v>27917</v>
      </c>
      <c r="C5392">
        <v>0</v>
      </c>
      <c r="D5392">
        <v>1</v>
      </c>
      <c r="E5392">
        <v>26</v>
      </c>
      <c r="F5392">
        <v>6733</v>
      </c>
      <c r="G5392">
        <f t="shared" si="84"/>
        <v>1577165466</v>
      </c>
    </row>
    <row r="5393" spans="1:7" x14ac:dyDescent="0.25">
      <c r="A5393">
        <v>1577165469</v>
      </c>
      <c r="B5393" t="s">
        <v>27918</v>
      </c>
      <c r="C5393">
        <v>333</v>
      </c>
      <c r="D5393">
        <v>1</v>
      </c>
      <c r="E5393">
        <v>4862</v>
      </c>
      <c r="F5393">
        <v>2541</v>
      </c>
      <c r="G5393">
        <f t="shared" si="84"/>
        <v>1577165469</v>
      </c>
    </row>
    <row r="5394" spans="1:7" x14ac:dyDescent="0.25">
      <c r="A5394">
        <v>1577165516</v>
      </c>
      <c r="B5394" t="s">
        <v>27919</v>
      </c>
      <c r="C5394">
        <v>0</v>
      </c>
      <c r="D5394">
        <v>1</v>
      </c>
      <c r="E5394">
        <v>81</v>
      </c>
      <c r="F5394">
        <v>5965</v>
      </c>
      <c r="G5394">
        <f t="shared" si="84"/>
        <v>1577165516</v>
      </c>
    </row>
    <row r="5395" spans="1:7" x14ac:dyDescent="0.25">
      <c r="A5395">
        <v>1577165528</v>
      </c>
      <c r="B5395" t="s">
        <v>27920</v>
      </c>
      <c r="C5395">
        <v>0</v>
      </c>
      <c r="D5395">
        <v>1</v>
      </c>
      <c r="E5395">
        <v>505</v>
      </c>
      <c r="F5395">
        <v>4622</v>
      </c>
      <c r="G5395">
        <f t="shared" si="84"/>
        <v>1577165528</v>
      </c>
    </row>
    <row r="5396" spans="1:7" x14ac:dyDescent="0.25">
      <c r="A5396">
        <v>1577165540</v>
      </c>
      <c r="B5396" t="s">
        <v>27921</v>
      </c>
      <c r="C5396">
        <v>552</v>
      </c>
      <c r="D5396">
        <v>2</v>
      </c>
      <c r="E5396">
        <v>11069</v>
      </c>
      <c r="F5396">
        <v>1400</v>
      </c>
      <c r="G5396">
        <f t="shared" si="84"/>
        <v>1577165540</v>
      </c>
    </row>
    <row r="5397" spans="1:7" x14ac:dyDescent="0.25">
      <c r="A5397">
        <v>1577165594</v>
      </c>
      <c r="B5397" t="s">
        <v>27922</v>
      </c>
      <c r="C5397">
        <v>0</v>
      </c>
      <c r="D5397">
        <v>0</v>
      </c>
      <c r="E5397">
        <v>0</v>
      </c>
      <c r="F5397">
        <v>7889</v>
      </c>
      <c r="G5397">
        <f t="shared" si="84"/>
        <v>1577165594</v>
      </c>
    </row>
    <row r="5398" spans="1:7" x14ac:dyDescent="0.25">
      <c r="A5398">
        <v>1577165628</v>
      </c>
      <c r="B5398" t="s">
        <v>27923</v>
      </c>
      <c r="C5398">
        <v>0</v>
      </c>
      <c r="D5398">
        <v>1</v>
      </c>
      <c r="E5398">
        <v>1529</v>
      </c>
      <c r="F5398">
        <v>3577</v>
      </c>
      <c r="G5398">
        <f t="shared" si="84"/>
        <v>1577165628</v>
      </c>
    </row>
    <row r="5399" spans="1:7" x14ac:dyDescent="0.25">
      <c r="A5399">
        <v>1577165689</v>
      </c>
      <c r="B5399" t="s">
        <v>27924</v>
      </c>
      <c r="C5399">
        <v>0</v>
      </c>
      <c r="D5399">
        <v>0</v>
      </c>
      <c r="E5399">
        <v>0</v>
      </c>
      <c r="F5399">
        <v>7890</v>
      </c>
      <c r="G5399">
        <f t="shared" si="84"/>
        <v>1577165689</v>
      </c>
    </row>
    <row r="5400" spans="1:7" x14ac:dyDescent="0.25">
      <c r="A5400">
        <v>1577165797</v>
      </c>
      <c r="B5400" t="s">
        <v>27925</v>
      </c>
      <c r="C5400">
        <v>0</v>
      </c>
      <c r="D5400">
        <v>1</v>
      </c>
      <c r="E5400">
        <v>138</v>
      </c>
      <c r="F5400">
        <v>5737</v>
      </c>
      <c r="G5400">
        <f t="shared" si="84"/>
        <v>1577165797</v>
      </c>
    </row>
    <row r="5401" spans="1:7" x14ac:dyDescent="0.25">
      <c r="A5401">
        <v>1577165801</v>
      </c>
      <c r="B5401" t="s">
        <v>1570</v>
      </c>
      <c r="C5401">
        <v>0</v>
      </c>
      <c r="D5401">
        <v>1</v>
      </c>
      <c r="E5401">
        <v>781</v>
      </c>
      <c r="F5401">
        <v>4233</v>
      </c>
      <c r="G5401">
        <f t="shared" si="84"/>
        <v>1577165801</v>
      </c>
    </row>
    <row r="5402" spans="1:7" x14ac:dyDescent="0.25">
      <c r="A5402">
        <v>1577165824</v>
      </c>
      <c r="B5402" t="s">
        <v>4673</v>
      </c>
      <c r="C5402">
        <v>1107</v>
      </c>
      <c r="D5402">
        <v>1</v>
      </c>
      <c r="E5402">
        <v>147</v>
      </c>
      <c r="F5402">
        <v>5707</v>
      </c>
      <c r="G5402">
        <f t="shared" si="84"/>
        <v>1577165824</v>
      </c>
    </row>
    <row r="5403" spans="1:7" x14ac:dyDescent="0.25">
      <c r="A5403">
        <v>1577165876</v>
      </c>
      <c r="B5403" t="s">
        <v>36667</v>
      </c>
      <c r="C5403">
        <v>429</v>
      </c>
      <c r="D5403">
        <v>2</v>
      </c>
      <c r="E5403">
        <v>9319</v>
      </c>
      <c r="F5403">
        <v>1667</v>
      </c>
      <c r="G5403">
        <f t="shared" si="84"/>
        <v>1577165876</v>
      </c>
    </row>
    <row r="5404" spans="1:7" x14ac:dyDescent="0.25">
      <c r="A5404">
        <v>1577165923</v>
      </c>
      <c r="B5404" t="s">
        <v>27926</v>
      </c>
      <c r="C5404">
        <v>0</v>
      </c>
      <c r="D5404">
        <v>1</v>
      </c>
      <c r="E5404">
        <v>792</v>
      </c>
      <c r="F5404">
        <v>4209</v>
      </c>
      <c r="G5404">
        <f t="shared" si="84"/>
        <v>1577165923</v>
      </c>
    </row>
    <row r="5405" spans="1:7" x14ac:dyDescent="0.25">
      <c r="A5405">
        <v>1577165977</v>
      </c>
      <c r="B5405" t="s">
        <v>27927</v>
      </c>
      <c r="C5405">
        <v>39</v>
      </c>
      <c r="D5405">
        <v>1</v>
      </c>
      <c r="E5405">
        <v>7349</v>
      </c>
      <c r="F5405">
        <v>2002</v>
      </c>
      <c r="G5405">
        <f t="shared" si="84"/>
        <v>1577165977</v>
      </c>
    </row>
    <row r="5406" spans="1:7" x14ac:dyDescent="0.25">
      <c r="A5406">
        <v>1577165988</v>
      </c>
      <c r="B5406" t="s">
        <v>27928</v>
      </c>
      <c r="C5406">
        <v>0</v>
      </c>
      <c r="D5406">
        <v>1</v>
      </c>
      <c r="E5406">
        <v>149</v>
      </c>
      <c r="F5406">
        <v>5702</v>
      </c>
      <c r="G5406">
        <f t="shared" si="84"/>
        <v>1577165988</v>
      </c>
    </row>
    <row r="5407" spans="1:7" x14ac:dyDescent="0.25">
      <c r="A5407">
        <v>1577165997</v>
      </c>
      <c r="B5407" t="s">
        <v>27929</v>
      </c>
      <c r="C5407">
        <v>887</v>
      </c>
      <c r="D5407">
        <v>1</v>
      </c>
      <c r="E5407">
        <v>3627</v>
      </c>
      <c r="F5407">
        <v>2842</v>
      </c>
      <c r="G5407">
        <f t="shared" si="84"/>
        <v>1577165997</v>
      </c>
    </row>
    <row r="5408" spans="1:7" x14ac:dyDescent="0.25">
      <c r="A5408">
        <v>1577166041</v>
      </c>
      <c r="B5408" t="s">
        <v>27930</v>
      </c>
      <c r="C5408">
        <v>0</v>
      </c>
      <c r="D5408">
        <v>0</v>
      </c>
      <c r="E5408">
        <v>0</v>
      </c>
      <c r="F5408">
        <v>7891</v>
      </c>
      <c r="G5408">
        <f t="shared" si="84"/>
        <v>1577166041</v>
      </c>
    </row>
    <row r="5409" spans="1:7" x14ac:dyDescent="0.25">
      <c r="A5409">
        <v>1577166064</v>
      </c>
      <c r="B5409" t="s">
        <v>27931</v>
      </c>
      <c r="C5409">
        <v>0</v>
      </c>
      <c r="D5409">
        <v>1</v>
      </c>
      <c r="E5409">
        <v>34</v>
      </c>
      <c r="F5409">
        <v>6297</v>
      </c>
      <c r="G5409">
        <f t="shared" si="84"/>
        <v>1577166064</v>
      </c>
    </row>
    <row r="5410" spans="1:7" x14ac:dyDescent="0.25">
      <c r="A5410">
        <v>1577166146</v>
      </c>
      <c r="B5410" t="s">
        <v>36668</v>
      </c>
      <c r="C5410">
        <v>25</v>
      </c>
      <c r="D5410">
        <v>1</v>
      </c>
      <c r="E5410">
        <v>2583</v>
      </c>
      <c r="F5410">
        <v>3104</v>
      </c>
      <c r="G5410">
        <f t="shared" si="84"/>
        <v>1577166146</v>
      </c>
    </row>
    <row r="5411" spans="1:7" x14ac:dyDescent="0.25">
      <c r="A5411">
        <v>1577166173</v>
      </c>
      <c r="B5411" t="s">
        <v>3954</v>
      </c>
      <c r="C5411">
        <v>0</v>
      </c>
      <c r="D5411">
        <v>1</v>
      </c>
      <c r="E5411">
        <v>424</v>
      </c>
      <c r="F5411">
        <v>4796</v>
      </c>
      <c r="G5411">
        <f t="shared" si="84"/>
        <v>1577166173</v>
      </c>
    </row>
    <row r="5412" spans="1:7" x14ac:dyDescent="0.25">
      <c r="A5412">
        <v>1577166214</v>
      </c>
      <c r="B5412" t="s">
        <v>36669</v>
      </c>
      <c r="C5412">
        <v>39</v>
      </c>
      <c r="D5412">
        <v>2</v>
      </c>
      <c r="E5412">
        <v>12936</v>
      </c>
      <c r="F5412">
        <v>1177</v>
      </c>
      <c r="G5412">
        <f t="shared" si="84"/>
        <v>1577166214</v>
      </c>
    </row>
    <row r="5413" spans="1:7" x14ac:dyDescent="0.25">
      <c r="A5413">
        <v>1577166312</v>
      </c>
      <c r="B5413" t="s">
        <v>27932</v>
      </c>
      <c r="C5413">
        <v>399</v>
      </c>
      <c r="D5413">
        <v>1</v>
      </c>
      <c r="E5413">
        <v>591</v>
      </c>
      <c r="F5413">
        <v>4496</v>
      </c>
      <c r="G5413">
        <f t="shared" si="84"/>
        <v>1577166312</v>
      </c>
    </row>
    <row r="5414" spans="1:7" x14ac:dyDescent="0.25">
      <c r="A5414">
        <v>1577166326</v>
      </c>
      <c r="B5414" t="s">
        <v>27933</v>
      </c>
      <c r="C5414">
        <v>0</v>
      </c>
      <c r="D5414">
        <v>1</v>
      </c>
      <c r="E5414">
        <v>82</v>
      </c>
      <c r="F5414">
        <v>5956</v>
      </c>
      <c r="G5414">
        <f t="shared" si="84"/>
        <v>1577166326</v>
      </c>
    </row>
    <row r="5415" spans="1:7" x14ac:dyDescent="0.25">
      <c r="A5415">
        <v>1577166410</v>
      </c>
      <c r="B5415" t="s">
        <v>27934</v>
      </c>
      <c r="C5415">
        <v>0</v>
      </c>
      <c r="D5415">
        <v>0</v>
      </c>
      <c r="E5415">
        <v>0</v>
      </c>
      <c r="F5415">
        <v>7892</v>
      </c>
      <c r="G5415">
        <f t="shared" si="84"/>
        <v>1577166410</v>
      </c>
    </row>
    <row r="5416" spans="1:7" x14ac:dyDescent="0.25">
      <c r="A5416">
        <v>1577166536</v>
      </c>
      <c r="B5416" t="s">
        <v>27935</v>
      </c>
      <c r="C5416">
        <v>1823</v>
      </c>
      <c r="D5416">
        <v>1</v>
      </c>
      <c r="E5416">
        <v>913</v>
      </c>
      <c r="F5416">
        <v>4105</v>
      </c>
      <c r="G5416">
        <f t="shared" si="84"/>
        <v>1577166536</v>
      </c>
    </row>
    <row r="5417" spans="1:7" x14ac:dyDescent="0.25">
      <c r="A5417">
        <v>1577166596</v>
      </c>
      <c r="B5417" t="s">
        <v>27936</v>
      </c>
      <c r="C5417">
        <v>1823</v>
      </c>
      <c r="D5417">
        <v>1</v>
      </c>
      <c r="E5417">
        <v>1154</v>
      </c>
      <c r="F5417">
        <v>3823</v>
      </c>
      <c r="G5417">
        <f t="shared" si="84"/>
        <v>1577166596</v>
      </c>
    </row>
    <row r="5418" spans="1:7" x14ac:dyDescent="0.25">
      <c r="A5418">
        <v>1577166658</v>
      </c>
      <c r="B5418" t="s">
        <v>27937</v>
      </c>
      <c r="C5418">
        <v>165</v>
      </c>
      <c r="D5418">
        <v>1</v>
      </c>
      <c r="E5418">
        <v>671</v>
      </c>
      <c r="F5418">
        <v>4382</v>
      </c>
      <c r="G5418">
        <f t="shared" si="84"/>
        <v>1577166658</v>
      </c>
    </row>
    <row r="5419" spans="1:7" x14ac:dyDescent="0.25">
      <c r="A5419">
        <v>1577166714</v>
      </c>
      <c r="B5419" t="s">
        <v>27938</v>
      </c>
      <c r="C5419">
        <v>0</v>
      </c>
      <c r="D5419">
        <v>0</v>
      </c>
      <c r="E5419">
        <v>0</v>
      </c>
      <c r="F5419">
        <v>7893</v>
      </c>
      <c r="G5419">
        <f t="shared" si="84"/>
        <v>1577166714</v>
      </c>
    </row>
    <row r="5420" spans="1:7" x14ac:dyDescent="0.25">
      <c r="A5420">
        <v>1577166769</v>
      </c>
      <c r="B5420" t="s">
        <v>27939</v>
      </c>
      <c r="C5420">
        <v>25</v>
      </c>
      <c r="D5420">
        <v>2</v>
      </c>
      <c r="E5420">
        <v>8560</v>
      </c>
      <c r="F5420">
        <v>1798</v>
      </c>
      <c r="G5420">
        <f t="shared" si="84"/>
        <v>1577166769</v>
      </c>
    </row>
    <row r="5421" spans="1:7" x14ac:dyDescent="0.25">
      <c r="A5421">
        <v>1577166842</v>
      </c>
      <c r="B5421" t="s">
        <v>27940</v>
      </c>
      <c r="C5421">
        <v>1752</v>
      </c>
      <c r="D5421">
        <v>1</v>
      </c>
      <c r="E5421">
        <v>1796</v>
      </c>
      <c r="F5421">
        <v>3447</v>
      </c>
      <c r="G5421">
        <f t="shared" si="84"/>
        <v>1577166842</v>
      </c>
    </row>
    <row r="5422" spans="1:7" x14ac:dyDescent="0.25">
      <c r="A5422">
        <v>1577166878</v>
      </c>
      <c r="B5422" t="s">
        <v>27941</v>
      </c>
      <c r="C5422">
        <v>0</v>
      </c>
      <c r="D5422">
        <v>1</v>
      </c>
      <c r="E5422">
        <v>123</v>
      </c>
      <c r="F5422">
        <v>5779</v>
      </c>
      <c r="G5422">
        <f t="shared" si="84"/>
        <v>1577166878</v>
      </c>
    </row>
    <row r="5423" spans="1:7" x14ac:dyDescent="0.25">
      <c r="A5423">
        <v>1577166880</v>
      </c>
      <c r="B5423" t="s">
        <v>27942</v>
      </c>
      <c r="C5423">
        <v>124</v>
      </c>
      <c r="D5423">
        <v>2</v>
      </c>
      <c r="E5423">
        <v>7820</v>
      </c>
      <c r="F5423">
        <v>1920</v>
      </c>
      <c r="G5423">
        <f t="shared" si="84"/>
        <v>1577166880</v>
      </c>
    </row>
    <row r="5424" spans="1:7" x14ac:dyDescent="0.25">
      <c r="A5424">
        <v>1577166921</v>
      </c>
      <c r="B5424" t="s">
        <v>1493</v>
      </c>
      <c r="C5424">
        <v>1535</v>
      </c>
      <c r="D5424">
        <v>1</v>
      </c>
      <c r="E5424">
        <v>4284</v>
      </c>
      <c r="F5424">
        <v>2689</v>
      </c>
      <c r="G5424">
        <f t="shared" si="84"/>
        <v>1577166921</v>
      </c>
    </row>
    <row r="5425" spans="1:7" x14ac:dyDescent="0.25">
      <c r="A5425">
        <v>1577166939</v>
      </c>
      <c r="B5425" t="s">
        <v>27943</v>
      </c>
      <c r="C5425">
        <v>1694</v>
      </c>
      <c r="D5425">
        <v>0</v>
      </c>
      <c r="E5425">
        <v>0</v>
      </c>
      <c r="F5425">
        <v>7894</v>
      </c>
      <c r="G5425">
        <f t="shared" si="84"/>
        <v>1577166939</v>
      </c>
    </row>
    <row r="5426" spans="1:7" x14ac:dyDescent="0.25">
      <c r="A5426">
        <v>1577166960</v>
      </c>
      <c r="B5426" t="s">
        <v>36670</v>
      </c>
      <c r="C5426">
        <v>25</v>
      </c>
      <c r="D5426">
        <v>3</v>
      </c>
      <c r="E5426">
        <v>13235</v>
      </c>
      <c r="F5426">
        <v>1146</v>
      </c>
      <c r="G5426">
        <f t="shared" si="84"/>
        <v>1577166960</v>
      </c>
    </row>
    <row r="5427" spans="1:7" x14ac:dyDescent="0.25">
      <c r="A5427">
        <v>1577166984</v>
      </c>
      <c r="B5427" t="s">
        <v>37019</v>
      </c>
      <c r="C5427">
        <v>0</v>
      </c>
      <c r="D5427">
        <v>1</v>
      </c>
      <c r="E5427">
        <v>571</v>
      </c>
      <c r="F5427">
        <v>4513</v>
      </c>
      <c r="G5427">
        <f t="shared" si="84"/>
        <v>1577166984</v>
      </c>
    </row>
    <row r="5428" spans="1:7" x14ac:dyDescent="0.25">
      <c r="A5428">
        <v>1577167022</v>
      </c>
      <c r="B5428" t="s">
        <v>27944</v>
      </c>
      <c r="C5428">
        <v>235</v>
      </c>
      <c r="D5428">
        <v>1</v>
      </c>
      <c r="E5428">
        <v>2045</v>
      </c>
      <c r="F5428">
        <v>3323</v>
      </c>
      <c r="G5428">
        <f t="shared" si="84"/>
        <v>1577167022</v>
      </c>
    </row>
    <row r="5429" spans="1:7" x14ac:dyDescent="0.25">
      <c r="A5429">
        <v>1577167023</v>
      </c>
      <c r="B5429" t="s">
        <v>27945</v>
      </c>
      <c r="C5429">
        <v>467</v>
      </c>
      <c r="D5429">
        <v>1</v>
      </c>
      <c r="E5429">
        <v>2541</v>
      </c>
      <c r="F5429">
        <v>3124</v>
      </c>
      <c r="G5429">
        <f t="shared" si="84"/>
        <v>1577167023</v>
      </c>
    </row>
    <row r="5430" spans="1:7" x14ac:dyDescent="0.25">
      <c r="A5430">
        <v>1577167029</v>
      </c>
      <c r="B5430" t="s">
        <v>27946</v>
      </c>
      <c r="C5430">
        <v>96</v>
      </c>
      <c r="D5430">
        <v>1</v>
      </c>
      <c r="E5430">
        <v>3729</v>
      </c>
      <c r="F5430">
        <v>2823</v>
      </c>
      <c r="G5430">
        <f t="shared" si="84"/>
        <v>1577167029</v>
      </c>
    </row>
    <row r="5431" spans="1:7" x14ac:dyDescent="0.25">
      <c r="A5431">
        <v>1577167150</v>
      </c>
      <c r="B5431" t="s">
        <v>27947</v>
      </c>
      <c r="C5431">
        <v>0</v>
      </c>
      <c r="D5431">
        <v>0</v>
      </c>
      <c r="E5431">
        <v>0</v>
      </c>
      <c r="F5431">
        <v>7895</v>
      </c>
      <c r="G5431">
        <f t="shared" si="84"/>
        <v>1577167150</v>
      </c>
    </row>
    <row r="5432" spans="1:7" x14ac:dyDescent="0.25">
      <c r="A5432">
        <v>1577167171</v>
      </c>
      <c r="B5432" t="s">
        <v>27948</v>
      </c>
      <c r="C5432">
        <v>494</v>
      </c>
      <c r="D5432">
        <v>3</v>
      </c>
      <c r="E5432">
        <v>12616</v>
      </c>
      <c r="F5432">
        <v>1238</v>
      </c>
      <c r="G5432">
        <f t="shared" si="84"/>
        <v>1577167171</v>
      </c>
    </row>
    <row r="5433" spans="1:7" x14ac:dyDescent="0.25">
      <c r="A5433">
        <v>1577167189</v>
      </c>
      <c r="B5433" t="s">
        <v>27949</v>
      </c>
      <c r="C5433">
        <v>1708</v>
      </c>
      <c r="D5433">
        <v>1</v>
      </c>
      <c r="E5433">
        <v>1964</v>
      </c>
      <c r="F5433">
        <v>3366</v>
      </c>
      <c r="G5433">
        <f t="shared" si="84"/>
        <v>1577167189</v>
      </c>
    </row>
    <row r="5434" spans="1:7" x14ac:dyDescent="0.25">
      <c r="A5434">
        <v>1577167203</v>
      </c>
      <c r="B5434" t="s">
        <v>36671</v>
      </c>
      <c r="C5434">
        <v>887</v>
      </c>
      <c r="D5434">
        <v>1</v>
      </c>
      <c r="E5434">
        <v>2979</v>
      </c>
      <c r="F5434">
        <v>3000</v>
      </c>
      <c r="G5434">
        <f t="shared" si="84"/>
        <v>1577167203</v>
      </c>
    </row>
    <row r="5435" spans="1:7" x14ac:dyDescent="0.25">
      <c r="A5435">
        <v>1577167205</v>
      </c>
      <c r="B5435" t="s">
        <v>27950</v>
      </c>
      <c r="C5435">
        <v>0</v>
      </c>
      <c r="D5435">
        <v>0</v>
      </c>
      <c r="E5435">
        <v>0</v>
      </c>
      <c r="F5435">
        <v>7896</v>
      </c>
      <c r="G5435">
        <f t="shared" si="84"/>
        <v>1577167205</v>
      </c>
    </row>
    <row r="5436" spans="1:7" x14ac:dyDescent="0.25">
      <c r="A5436">
        <v>1577167211</v>
      </c>
      <c r="B5436" t="s">
        <v>37229</v>
      </c>
      <c r="C5436">
        <v>6</v>
      </c>
      <c r="D5436">
        <v>2</v>
      </c>
      <c r="E5436">
        <v>8300</v>
      </c>
      <c r="F5436">
        <v>1826</v>
      </c>
      <c r="G5436">
        <f t="shared" si="84"/>
        <v>1577167211</v>
      </c>
    </row>
    <row r="5437" spans="1:7" x14ac:dyDescent="0.25">
      <c r="A5437">
        <v>1577167230</v>
      </c>
      <c r="B5437" t="s">
        <v>27951</v>
      </c>
      <c r="C5437">
        <v>0</v>
      </c>
      <c r="D5437">
        <v>1</v>
      </c>
      <c r="E5437">
        <v>26</v>
      </c>
      <c r="F5437">
        <v>6734</v>
      </c>
      <c r="G5437">
        <f t="shared" si="84"/>
        <v>1577167230</v>
      </c>
    </row>
    <row r="5438" spans="1:7" x14ac:dyDescent="0.25">
      <c r="A5438">
        <v>1577167240</v>
      </c>
      <c r="B5438" t="s">
        <v>36672</v>
      </c>
      <c r="C5438">
        <v>96</v>
      </c>
      <c r="D5438">
        <v>3</v>
      </c>
      <c r="E5438">
        <v>19801</v>
      </c>
      <c r="F5438">
        <v>632</v>
      </c>
      <c r="G5438">
        <f t="shared" si="84"/>
        <v>1577167240</v>
      </c>
    </row>
    <row r="5439" spans="1:7" x14ac:dyDescent="0.25">
      <c r="A5439">
        <v>1577167268</v>
      </c>
      <c r="B5439" t="s">
        <v>27952</v>
      </c>
      <c r="C5439">
        <v>0</v>
      </c>
      <c r="D5439">
        <v>1</v>
      </c>
      <c r="E5439">
        <v>38</v>
      </c>
      <c r="F5439">
        <v>6283</v>
      </c>
      <c r="G5439">
        <f t="shared" si="84"/>
        <v>1577167268</v>
      </c>
    </row>
    <row r="5440" spans="1:7" x14ac:dyDescent="0.25">
      <c r="A5440">
        <v>1577167341</v>
      </c>
      <c r="B5440" t="s">
        <v>27953</v>
      </c>
      <c r="C5440">
        <v>179</v>
      </c>
      <c r="D5440">
        <v>1</v>
      </c>
      <c r="E5440">
        <v>4778</v>
      </c>
      <c r="F5440">
        <v>2580</v>
      </c>
      <c r="G5440">
        <f t="shared" si="84"/>
        <v>1577167341</v>
      </c>
    </row>
    <row r="5441" spans="1:7" x14ac:dyDescent="0.25">
      <c r="A5441">
        <v>1577167426</v>
      </c>
      <c r="B5441" t="s">
        <v>27954</v>
      </c>
      <c r="C5441">
        <v>0</v>
      </c>
      <c r="D5441">
        <v>0</v>
      </c>
      <c r="E5441">
        <v>0</v>
      </c>
      <c r="F5441">
        <v>7897</v>
      </c>
      <c r="G5441">
        <f t="shared" ref="G5441:G5504" si="85">A5441</f>
        <v>1577167426</v>
      </c>
    </row>
    <row r="5442" spans="1:7" x14ac:dyDescent="0.25">
      <c r="A5442">
        <v>1577167569</v>
      </c>
      <c r="B5442" t="s">
        <v>27955</v>
      </c>
      <c r="C5442">
        <v>36</v>
      </c>
      <c r="D5442">
        <v>4</v>
      </c>
      <c r="E5442">
        <v>22036</v>
      </c>
      <c r="F5442">
        <v>521</v>
      </c>
      <c r="G5442">
        <f t="shared" si="85"/>
        <v>1577167569</v>
      </c>
    </row>
    <row r="5443" spans="1:7" x14ac:dyDescent="0.25">
      <c r="A5443">
        <v>1577167577</v>
      </c>
      <c r="B5443" t="s">
        <v>27956</v>
      </c>
      <c r="C5443">
        <v>325</v>
      </c>
      <c r="D5443">
        <v>0</v>
      </c>
      <c r="E5443">
        <v>0</v>
      </c>
      <c r="F5443">
        <v>7898</v>
      </c>
      <c r="G5443">
        <f t="shared" si="85"/>
        <v>1577167577</v>
      </c>
    </row>
    <row r="5444" spans="1:7" x14ac:dyDescent="0.25">
      <c r="A5444">
        <v>1577167604</v>
      </c>
      <c r="B5444" t="s">
        <v>27957</v>
      </c>
      <c r="C5444">
        <v>0</v>
      </c>
      <c r="D5444">
        <v>0</v>
      </c>
      <c r="E5444">
        <v>0</v>
      </c>
      <c r="F5444">
        <v>7899</v>
      </c>
      <c r="G5444">
        <f t="shared" si="85"/>
        <v>1577167604</v>
      </c>
    </row>
    <row r="5445" spans="1:7" x14ac:dyDescent="0.25">
      <c r="A5445">
        <v>1577167605</v>
      </c>
      <c r="B5445" t="s">
        <v>27958</v>
      </c>
      <c r="C5445">
        <v>106</v>
      </c>
      <c r="D5445">
        <v>1</v>
      </c>
      <c r="E5445">
        <v>5586</v>
      </c>
      <c r="F5445">
        <v>2384</v>
      </c>
      <c r="G5445">
        <f t="shared" si="85"/>
        <v>1577167605</v>
      </c>
    </row>
    <row r="5446" spans="1:7" x14ac:dyDescent="0.25">
      <c r="A5446">
        <v>1577167662</v>
      </c>
      <c r="B5446" t="s">
        <v>27959</v>
      </c>
      <c r="C5446">
        <v>0</v>
      </c>
      <c r="D5446">
        <v>1</v>
      </c>
      <c r="E5446">
        <v>26</v>
      </c>
      <c r="F5446">
        <v>6735</v>
      </c>
      <c r="G5446">
        <f t="shared" si="85"/>
        <v>1577167662</v>
      </c>
    </row>
    <row r="5447" spans="1:7" x14ac:dyDescent="0.25">
      <c r="A5447">
        <v>1577167664</v>
      </c>
      <c r="B5447" t="s">
        <v>27960</v>
      </c>
      <c r="C5447">
        <v>0</v>
      </c>
      <c r="D5447">
        <v>1</v>
      </c>
      <c r="E5447">
        <v>38</v>
      </c>
      <c r="F5447">
        <v>6284</v>
      </c>
      <c r="G5447">
        <f t="shared" si="85"/>
        <v>1577167664</v>
      </c>
    </row>
    <row r="5448" spans="1:7" x14ac:dyDescent="0.25">
      <c r="A5448">
        <v>1577167731</v>
      </c>
      <c r="B5448" t="s">
        <v>27961</v>
      </c>
      <c r="C5448">
        <v>1212</v>
      </c>
      <c r="D5448">
        <v>0</v>
      </c>
      <c r="E5448">
        <v>0</v>
      </c>
      <c r="F5448">
        <v>7900</v>
      </c>
      <c r="G5448">
        <f t="shared" si="85"/>
        <v>1577167731</v>
      </c>
    </row>
    <row r="5449" spans="1:7" x14ac:dyDescent="0.25">
      <c r="A5449">
        <v>1577167744</v>
      </c>
      <c r="B5449" t="s">
        <v>27962</v>
      </c>
      <c r="C5449">
        <v>0</v>
      </c>
      <c r="D5449">
        <v>0</v>
      </c>
      <c r="E5449">
        <v>0</v>
      </c>
      <c r="F5449">
        <v>7901</v>
      </c>
      <c r="G5449">
        <f t="shared" si="85"/>
        <v>1577167744</v>
      </c>
    </row>
    <row r="5450" spans="1:7" x14ac:dyDescent="0.25">
      <c r="A5450">
        <v>1577167763</v>
      </c>
      <c r="B5450" t="s">
        <v>627</v>
      </c>
      <c r="C5450">
        <v>638</v>
      </c>
      <c r="D5450">
        <v>1</v>
      </c>
      <c r="E5450">
        <v>3201</v>
      </c>
      <c r="F5450">
        <v>2939</v>
      </c>
      <c r="G5450">
        <f t="shared" si="85"/>
        <v>1577167763</v>
      </c>
    </row>
    <row r="5451" spans="1:7" x14ac:dyDescent="0.25">
      <c r="A5451">
        <v>1577167888</v>
      </c>
      <c r="B5451" t="s">
        <v>37167</v>
      </c>
      <c r="C5451">
        <v>1608</v>
      </c>
      <c r="D5451">
        <v>1</v>
      </c>
      <c r="E5451">
        <v>251</v>
      </c>
      <c r="F5451">
        <v>5298</v>
      </c>
      <c r="G5451">
        <f t="shared" si="85"/>
        <v>1577167888</v>
      </c>
    </row>
    <row r="5452" spans="1:7" x14ac:dyDescent="0.25">
      <c r="A5452">
        <v>1577167916</v>
      </c>
      <c r="B5452" t="s">
        <v>27963</v>
      </c>
      <c r="C5452">
        <v>1828</v>
      </c>
      <c r="D5452">
        <v>1</v>
      </c>
      <c r="E5452">
        <v>282</v>
      </c>
      <c r="F5452">
        <v>5172</v>
      </c>
      <c r="G5452">
        <f t="shared" si="85"/>
        <v>1577167916</v>
      </c>
    </row>
    <row r="5453" spans="1:7" x14ac:dyDescent="0.25">
      <c r="A5453">
        <v>1577167945</v>
      </c>
      <c r="B5453" t="s">
        <v>27964</v>
      </c>
      <c r="C5453">
        <v>1752</v>
      </c>
      <c r="D5453">
        <v>1</v>
      </c>
      <c r="E5453">
        <v>824</v>
      </c>
      <c r="F5453">
        <v>4236</v>
      </c>
      <c r="G5453">
        <f t="shared" si="85"/>
        <v>1577167945</v>
      </c>
    </row>
    <row r="5454" spans="1:7" x14ac:dyDescent="0.25">
      <c r="A5454">
        <v>1577168029</v>
      </c>
      <c r="B5454" t="s">
        <v>27965</v>
      </c>
      <c r="C5454">
        <v>36</v>
      </c>
      <c r="D5454">
        <v>3</v>
      </c>
      <c r="E5454">
        <v>12806</v>
      </c>
      <c r="F5454">
        <v>1221</v>
      </c>
      <c r="G5454">
        <f t="shared" si="85"/>
        <v>1577168029</v>
      </c>
    </row>
    <row r="5455" spans="1:7" x14ac:dyDescent="0.25">
      <c r="A5455">
        <v>1577168148</v>
      </c>
      <c r="B5455" t="s">
        <v>27966</v>
      </c>
      <c r="C5455">
        <v>1651</v>
      </c>
      <c r="D5455">
        <v>1</v>
      </c>
      <c r="E5455">
        <v>392</v>
      </c>
      <c r="F5455">
        <v>4868</v>
      </c>
      <c r="G5455">
        <f t="shared" si="85"/>
        <v>1577168148</v>
      </c>
    </row>
    <row r="5456" spans="1:7" x14ac:dyDescent="0.25">
      <c r="A5456">
        <v>1577168166</v>
      </c>
      <c r="B5456" t="s">
        <v>36673</v>
      </c>
      <c r="C5456">
        <v>6</v>
      </c>
      <c r="D5456">
        <v>2</v>
      </c>
      <c r="E5456">
        <v>8948</v>
      </c>
      <c r="F5456">
        <v>1732</v>
      </c>
      <c r="G5456">
        <f t="shared" si="85"/>
        <v>1577168166</v>
      </c>
    </row>
    <row r="5457" spans="1:7" x14ac:dyDescent="0.25">
      <c r="A5457">
        <v>1577168178</v>
      </c>
      <c r="B5457" t="s">
        <v>27967</v>
      </c>
      <c r="C5457">
        <v>0</v>
      </c>
      <c r="D5457">
        <v>1</v>
      </c>
      <c r="E5457">
        <v>224</v>
      </c>
      <c r="F5457">
        <v>5414</v>
      </c>
      <c r="G5457">
        <f t="shared" si="85"/>
        <v>1577168178</v>
      </c>
    </row>
    <row r="5458" spans="1:7" x14ac:dyDescent="0.25">
      <c r="A5458">
        <v>1577168204</v>
      </c>
      <c r="B5458" t="s">
        <v>27968</v>
      </c>
      <c r="C5458">
        <v>36</v>
      </c>
      <c r="D5458">
        <v>6</v>
      </c>
      <c r="E5458">
        <v>24679</v>
      </c>
      <c r="F5458">
        <v>410</v>
      </c>
      <c r="G5458">
        <f t="shared" si="85"/>
        <v>1577168204</v>
      </c>
    </row>
    <row r="5459" spans="1:7" x14ac:dyDescent="0.25">
      <c r="A5459">
        <v>1577168312</v>
      </c>
      <c r="B5459" t="s">
        <v>27969</v>
      </c>
      <c r="C5459">
        <v>0</v>
      </c>
      <c r="D5459">
        <v>1</v>
      </c>
      <c r="E5459">
        <v>107</v>
      </c>
      <c r="F5459">
        <v>5822</v>
      </c>
      <c r="G5459">
        <f t="shared" si="85"/>
        <v>1577168312</v>
      </c>
    </row>
    <row r="5460" spans="1:7" x14ac:dyDescent="0.25">
      <c r="A5460">
        <v>1577168330</v>
      </c>
      <c r="B5460" t="s">
        <v>27970</v>
      </c>
      <c r="C5460">
        <v>47</v>
      </c>
      <c r="D5460">
        <v>2</v>
      </c>
      <c r="E5460">
        <v>7660</v>
      </c>
      <c r="F5460">
        <v>1950</v>
      </c>
      <c r="G5460">
        <f t="shared" si="85"/>
        <v>1577168330</v>
      </c>
    </row>
    <row r="5461" spans="1:7" x14ac:dyDescent="0.25">
      <c r="A5461">
        <v>1577168409</v>
      </c>
      <c r="B5461" t="s">
        <v>37407</v>
      </c>
      <c r="C5461">
        <v>106</v>
      </c>
      <c r="D5461">
        <v>1</v>
      </c>
      <c r="E5461">
        <v>26</v>
      </c>
      <c r="F5461">
        <v>6736</v>
      </c>
      <c r="G5461">
        <f t="shared" si="85"/>
        <v>1577168409</v>
      </c>
    </row>
    <row r="5462" spans="1:7" x14ac:dyDescent="0.25">
      <c r="A5462">
        <v>1577168464</v>
      </c>
      <c r="B5462" t="s">
        <v>577</v>
      </c>
      <c r="C5462">
        <v>106</v>
      </c>
      <c r="D5462">
        <v>1</v>
      </c>
      <c r="E5462">
        <v>6399</v>
      </c>
      <c r="F5462">
        <v>2188</v>
      </c>
      <c r="G5462">
        <f t="shared" si="85"/>
        <v>1577168464</v>
      </c>
    </row>
    <row r="5463" spans="1:7" x14ac:dyDescent="0.25">
      <c r="A5463">
        <v>1577168503</v>
      </c>
      <c r="B5463" t="s">
        <v>27971</v>
      </c>
      <c r="C5463">
        <v>0</v>
      </c>
      <c r="D5463">
        <v>1</v>
      </c>
      <c r="E5463">
        <v>108</v>
      </c>
      <c r="F5463">
        <v>5817</v>
      </c>
      <c r="G5463">
        <f t="shared" si="85"/>
        <v>1577168503</v>
      </c>
    </row>
    <row r="5464" spans="1:7" x14ac:dyDescent="0.25">
      <c r="A5464">
        <v>1577168619</v>
      </c>
      <c r="B5464" t="s">
        <v>27972</v>
      </c>
      <c r="C5464">
        <v>985</v>
      </c>
      <c r="D5464">
        <v>1</v>
      </c>
      <c r="E5464">
        <v>1227</v>
      </c>
      <c r="F5464">
        <v>3775</v>
      </c>
      <c r="G5464">
        <f t="shared" si="85"/>
        <v>1577168619</v>
      </c>
    </row>
    <row r="5465" spans="1:7" x14ac:dyDescent="0.25">
      <c r="A5465">
        <v>1577168637</v>
      </c>
      <c r="B5465" t="s">
        <v>37168</v>
      </c>
      <c r="C5465">
        <v>480</v>
      </c>
      <c r="D5465">
        <v>2</v>
      </c>
      <c r="E5465">
        <v>9733</v>
      </c>
      <c r="F5465">
        <v>1601</v>
      </c>
      <c r="G5465">
        <f t="shared" si="85"/>
        <v>1577168637</v>
      </c>
    </row>
    <row r="5466" spans="1:7" x14ac:dyDescent="0.25">
      <c r="A5466">
        <v>1577168646</v>
      </c>
      <c r="B5466" t="s">
        <v>27973</v>
      </c>
      <c r="C5466">
        <v>0</v>
      </c>
      <c r="D5466">
        <v>3</v>
      </c>
      <c r="E5466">
        <v>8875</v>
      </c>
      <c r="F5466">
        <v>1739</v>
      </c>
      <c r="G5466">
        <f t="shared" si="85"/>
        <v>1577168646</v>
      </c>
    </row>
    <row r="5467" spans="1:7" x14ac:dyDescent="0.25">
      <c r="A5467">
        <v>1577168662</v>
      </c>
      <c r="B5467" t="s">
        <v>27974</v>
      </c>
      <c r="C5467">
        <v>1330</v>
      </c>
      <c r="D5467">
        <v>4</v>
      </c>
      <c r="E5467">
        <v>18285</v>
      </c>
      <c r="F5467">
        <v>733</v>
      </c>
      <c r="G5467">
        <f t="shared" si="85"/>
        <v>1577168662</v>
      </c>
    </row>
    <row r="5468" spans="1:7" x14ac:dyDescent="0.25">
      <c r="A5468">
        <v>1577168667</v>
      </c>
      <c r="B5468" t="s">
        <v>27975</v>
      </c>
      <c r="C5468">
        <v>294</v>
      </c>
      <c r="D5468">
        <v>5</v>
      </c>
      <c r="E5468">
        <v>30259</v>
      </c>
      <c r="F5468">
        <v>237</v>
      </c>
      <c r="G5468">
        <f t="shared" si="85"/>
        <v>1577168667</v>
      </c>
    </row>
    <row r="5469" spans="1:7" x14ac:dyDescent="0.25">
      <c r="A5469">
        <v>1577168687</v>
      </c>
      <c r="B5469" t="s">
        <v>27976</v>
      </c>
      <c r="C5469">
        <v>0</v>
      </c>
      <c r="D5469">
        <v>1</v>
      </c>
      <c r="E5469">
        <v>661</v>
      </c>
      <c r="F5469">
        <v>4400</v>
      </c>
      <c r="G5469">
        <f t="shared" si="85"/>
        <v>1577168687</v>
      </c>
    </row>
    <row r="5470" spans="1:7" x14ac:dyDescent="0.25">
      <c r="A5470">
        <v>1577168691</v>
      </c>
      <c r="B5470" t="s">
        <v>27977</v>
      </c>
      <c r="C5470">
        <v>0</v>
      </c>
      <c r="D5470">
        <v>0</v>
      </c>
      <c r="E5470">
        <v>0</v>
      </c>
      <c r="F5470">
        <v>7902</v>
      </c>
      <c r="G5470">
        <f t="shared" si="85"/>
        <v>1577168691</v>
      </c>
    </row>
    <row r="5471" spans="1:7" x14ac:dyDescent="0.25">
      <c r="A5471">
        <v>1577168705</v>
      </c>
      <c r="B5471" t="s">
        <v>27978</v>
      </c>
      <c r="C5471">
        <v>467</v>
      </c>
      <c r="D5471">
        <v>3</v>
      </c>
      <c r="E5471">
        <v>10483</v>
      </c>
      <c r="F5471">
        <v>1495</v>
      </c>
      <c r="G5471">
        <f t="shared" si="85"/>
        <v>1577168705</v>
      </c>
    </row>
    <row r="5472" spans="1:7" x14ac:dyDescent="0.25">
      <c r="A5472">
        <v>1577168712</v>
      </c>
      <c r="B5472" t="s">
        <v>27979</v>
      </c>
      <c r="C5472">
        <v>274</v>
      </c>
      <c r="D5472">
        <v>3</v>
      </c>
      <c r="E5472">
        <v>13316</v>
      </c>
      <c r="F5472">
        <v>1137</v>
      </c>
      <c r="G5472">
        <f t="shared" si="85"/>
        <v>1577168712</v>
      </c>
    </row>
    <row r="5473" spans="1:7" x14ac:dyDescent="0.25">
      <c r="A5473">
        <v>1577168732</v>
      </c>
      <c r="B5473" t="s">
        <v>27980</v>
      </c>
      <c r="C5473">
        <v>3</v>
      </c>
      <c r="D5473">
        <v>4</v>
      </c>
      <c r="E5473">
        <v>19533</v>
      </c>
      <c r="F5473">
        <v>650</v>
      </c>
      <c r="G5473">
        <f t="shared" si="85"/>
        <v>1577168732</v>
      </c>
    </row>
    <row r="5474" spans="1:7" x14ac:dyDescent="0.25">
      <c r="A5474">
        <v>1577168758</v>
      </c>
      <c r="B5474" t="s">
        <v>27981</v>
      </c>
      <c r="C5474">
        <v>36</v>
      </c>
      <c r="D5474">
        <v>1</v>
      </c>
      <c r="E5474">
        <v>5238</v>
      </c>
      <c r="F5474">
        <v>2460</v>
      </c>
      <c r="G5474">
        <f t="shared" si="85"/>
        <v>1577168758</v>
      </c>
    </row>
    <row r="5475" spans="1:7" x14ac:dyDescent="0.25">
      <c r="A5475">
        <v>1577168769</v>
      </c>
      <c r="B5475" t="s">
        <v>27982</v>
      </c>
      <c r="C5475">
        <v>0</v>
      </c>
      <c r="D5475">
        <v>1</v>
      </c>
      <c r="E5475">
        <v>1526</v>
      </c>
      <c r="F5475">
        <v>3582</v>
      </c>
      <c r="G5475">
        <f t="shared" si="85"/>
        <v>1577168769</v>
      </c>
    </row>
    <row r="5476" spans="1:7" x14ac:dyDescent="0.25">
      <c r="A5476">
        <v>1577168771</v>
      </c>
      <c r="B5476" t="s">
        <v>27983</v>
      </c>
      <c r="C5476">
        <v>0</v>
      </c>
      <c r="D5476">
        <v>1</v>
      </c>
      <c r="E5476">
        <v>55</v>
      </c>
      <c r="F5476">
        <v>6129</v>
      </c>
      <c r="G5476">
        <f t="shared" si="85"/>
        <v>1577168771</v>
      </c>
    </row>
    <row r="5477" spans="1:7" x14ac:dyDescent="0.25">
      <c r="A5477">
        <v>1577168821</v>
      </c>
      <c r="B5477" t="s">
        <v>27984</v>
      </c>
      <c r="C5477">
        <v>0</v>
      </c>
      <c r="D5477">
        <v>1</v>
      </c>
      <c r="E5477">
        <v>247</v>
      </c>
      <c r="F5477">
        <v>5320</v>
      </c>
      <c r="G5477">
        <f t="shared" si="85"/>
        <v>1577168821</v>
      </c>
    </row>
    <row r="5478" spans="1:7" x14ac:dyDescent="0.25">
      <c r="A5478">
        <v>1577168872</v>
      </c>
      <c r="B5478" t="s">
        <v>27985</v>
      </c>
      <c r="C5478">
        <v>4</v>
      </c>
      <c r="D5478">
        <v>4</v>
      </c>
      <c r="E5478">
        <v>25965</v>
      </c>
      <c r="F5478">
        <v>366</v>
      </c>
      <c r="G5478">
        <f t="shared" si="85"/>
        <v>1577168872</v>
      </c>
    </row>
    <row r="5479" spans="1:7" x14ac:dyDescent="0.25">
      <c r="A5479">
        <v>1577168928</v>
      </c>
      <c r="B5479" t="s">
        <v>36674</v>
      </c>
      <c r="C5479">
        <v>1689</v>
      </c>
      <c r="D5479">
        <v>2</v>
      </c>
      <c r="E5479">
        <v>4255</v>
      </c>
      <c r="F5479">
        <v>2702</v>
      </c>
      <c r="G5479">
        <f t="shared" si="85"/>
        <v>1577168928</v>
      </c>
    </row>
    <row r="5480" spans="1:7" x14ac:dyDescent="0.25">
      <c r="A5480">
        <v>1577168935</v>
      </c>
      <c r="B5480" t="s">
        <v>27986</v>
      </c>
      <c r="C5480">
        <v>0</v>
      </c>
      <c r="D5480">
        <v>0</v>
      </c>
      <c r="E5480">
        <v>0</v>
      </c>
      <c r="F5480">
        <v>7903</v>
      </c>
      <c r="G5480">
        <f t="shared" si="85"/>
        <v>1577168935</v>
      </c>
    </row>
    <row r="5481" spans="1:7" x14ac:dyDescent="0.25">
      <c r="A5481">
        <v>1577169058</v>
      </c>
      <c r="B5481" t="s">
        <v>27987</v>
      </c>
      <c r="C5481">
        <v>0</v>
      </c>
      <c r="D5481">
        <v>0</v>
      </c>
      <c r="E5481">
        <v>0</v>
      </c>
      <c r="F5481">
        <v>7904</v>
      </c>
      <c r="G5481">
        <f t="shared" si="85"/>
        <v>1577169058</v>
      </c>
    </row>
    <row r="5482" spans="1:7" x14ac:dyDescent="0.25">
      <c r="A5482">
        <v>1577169121</v>
      </c>
      <c r="B5482" t="s">
        <v>27988</v>
      </c>
      <c r="C5482">
        <v>0</v>
      </c>
      <c r="D5482">
        <v>0</v>
      </c>
      <c r="E5482">
        <v>0</v>
      </c>
      <c r="F5482">
        <v>7905</v>
      </c>
      <c r="G5482">
        <f t="shared" si="85"/>
        <v>1577169121</v>
      </c>
    </row>
    <row r="5483" spans="1:7" x14ac:dyDescent="0.25">
      <c r="A5483">
        <v>1577169124</v>
      </c>
      <c r="B5483" t="s">
        <v>27989</v>
      </c>
      <c r="C5483">
        <v>0</v>
      </c>
      <c r="D5483">
        <v>0</v>
      </c>
      <c r="E5483">
        <v>0</v>
      </c>
      <c r="F5483">
        <v>7906</v>
      </c>
      <c r="G5483">
        <f t="shared" si="85"/>
        <v>1577169124</v>
      </c>
    </row>
    <row r="5484" spans="1:7" x14ac:dyDescent="0.25">
      <c r="A5484">
        <v>1577169164</v>
      </c>
      <c r="B5484" t="s">
        <v>27990</v>
      </c>
      <c r="C5484">
        <v>138</v>
      </c>
      <c r="D5484">
        <v>2</v>
      </c>
      <c r="E5484">
        <v>10563</v>
      </c>
      <c r="F5484">
        <v>1487</v>
      </c>
      <c r="G5484">
        <f t="shared" si="85"/>
        <v>1577169164</v>
      </c>
    </row>
    <row r="5485" spans="1:7" x14ac:dyDescent="0.25">
      <c r="A5485">
        <v>1577169190</v>
      </c>
      <c r="B5485" t="s">
        <v>27991</v>
      </c>
      <c r="C5485">
        <v>160</v>
      </c>
      <c r="D5485">
        <v>1</v>
      </c>
      <c r="E5485">
        <v>1695</v>
      </c>
      <c r="F5485">
        <v>3500</v>
      </c>
      <c r="G5485">
        <f t="shared" si="85"/>
        <v>1577169190</v>
      </c>
    </row>
    <row r="5486" spans="1:7" x14ac:dyDescent="0.25">
      <c r="A5486">
        <v>1577169192</v>
      </c>
      <c r="B5486" t="s">
        <v>27992</v>
      </c>
      <c r="C5486">
        <v>0</v>
      </c>
      <c r="D5486">
        <v>0</v>
      </c>
      <c r="E5486">
        <v>0</v>
      </c>
      <c r="F5486">
        <v>7907</v>
      </c>
      <c r="G5486">
        <f t="shared" si="85"/>
        <v>1577169192</v>
      </c>
    </row>
    <row r="5487" spans="1:7" x14ac:dyDescent="0.25">
      <c r="A5487">
        <v>1577169195</v>
      </c>
      <c r="B5487" t="s">
        <v>27993</v>
      </c>
      <c r="C5487">
        <v>0</v>
      </c>
      <c r="D5487">
        <v>1</v>
      </c>
      <c r="E5487">
        <v>983</v>
      </c>
      <c r="F5487">
        <v>3999</v>
      </c>
      <c r="G5487">
        <f t="shared" si="85"/>
        <v>1577169195</v>
      </c>
    </row>
    <row r="5488" spans="1:7" x14ac:dyDescent="0.25">
      <c r="A5488">
        <v>1577169199</v>
      </c>
      <c r="B5488" t="s">
        <v>27994</v>
      </c>
      <c r="C5488">
        <v>0</v>
      </c>
      <c r="D5488">
        <v>1</v>
      </c>
      <c r="E5488">
        <v>6028</v>
      </c>
      <c r="F5488">
        <v>2267</v>
      </c>
      <c r="G5488">
        <f t="shared" si="85"/>
        <v>1577169199</v>
      </c>
    </row>
    <row r="5489" spans="1:7" x14ac:dyDescent="0.25">
      <c r="A5489">
        <v>1577169310</v>
      </c>
      <c r="B5489" t="s">
        <v>27995</v>
      </c>
      <c r="C5489">
        <v>0</v>
      </c>
      <c r="D5489">
        <v>1</v>
      </c>
      <c r="E5489">
        <v>44</v>
      </c>
      <c r="F5489">
        <v>6245</v>
      </c>
      <c r="G5489">
        <f t="shared" si="85"/>
        <v>1577169310</v>
      </c>
    </row>
    <row r="5490" spans="1:7" x14ac:dyDescent="0.25">
      <c r="A5490">
        <v>1577169553</v>
      </c>
      <c r="B5490" t="s">
        <v>27996</v>
      </c>
      <c r="C5490">
        <v>680</v>
      </c>
      <c r="D5490">
        <v>2</v>
      </c>
      <c r="E5490">
        <v>12565</v>
      </c>
      <c r="F5490">
        <v>1219</v>
      </c>
      <c r="G5490">
        <f t="shared" si="85"/>
        <v>1577169553</v>
      </c>
    </row>
    <row r="5491" spans="1:7" x14ac:dyDescent="0.25">
      <c r="A5491">
        <v>1577169612</v>
      </c>
      <c r="B5491" t="s">
        <v>27997</v>
      </c>
      <c r="C5491">
        <v>1960</v>
      </c>
      <c r="D5491">
        <v>1</v>
      </c>
      <c r="E5491">
        <v>3264</v>
      </c>
      <c r="F5491">
        <v>2932</v>
      </c>
      <c r="G5491">
        <f t="shared" si="85"/>
        <v>1577169612</v>
      </c>
    </row>
    <row r="5492" spans="1:7" x14ac:dyDescent="0.25">
      <c r="A5492">
        <v>1577169631</v>
      </c>
      <c r="B5492" t="s">
        <v>27998</v>
      </c>
      <c r="C5492">
        <v>36</v>
      </c>
      <c r="D5492">
        <v>1</v>
      </c>
      <c r="E5492">
        <v>4340</v>
      </c>
      <c r="F5492">
        <v>2669</v>
      </c>
      <c r="G5492">
        <f t="shared" si="85"/>
        <v>1577169631</v>
      </c>
    </row>
    <row r="5493" spans="1:7" x14ac:dyDescent="0.25">
      <c r="A5493">
        <v>1577169711</v>
      </c>
      <c r="B5493" t="s">
        <v>27999</v>
      </c>
      <c r="C5493">
        <v>0</v>
      </c>
      <c r="D5493">
        <v>0</v>
      </c>
      <c r="E5493">
        <v>0</v>
      </c>
      <c r="F5493">
        <v>7908</v>
      </c>
      <c r="G5493">
        <f t="shared" si="85"/>
        <v>1577169711</v>
      </c>
    </row>
    <row r="5494" spans="1:7" x14ac:dyDescent="0.25">
      <c r="A5494">
        <v>1577169740</v>
      </c>
      <c r="B5494" t="s">
        <v>28000</v>
      </c>
      <c r="C5494">
        <v>0</v>
      </c>
      <c r="D5494">
        <v>0</v>
      </c>
      <c r="E5494">
        <v>0</v>
      </c>
      <c r="F5494">
        <v>7909</v>
      </c>
      <c r="G5494">
        <f t="shared" si="85"/>
        <v>1577169740</v>
      </c>
    </row>
    <row r="5495" spans="1:7" x14ac:dyDescent="0.25">
      <c r="A5495">
        <v>1577169844</v>
      </c>
      <c r="B5495" t="s">
        <v>28001</v>
      </c>
      <c r="C5495">
        <v>23</v>
      </c>
      <c r="D5495">
        <v>2</v>
      </c>
      <c r="E5495">
        <v>10250</v>
      </c>
      <c r="F5495">
        <v>1531</v>
      </c>
      <c r="G5495">
        <f t="shared" si="85"/>
        <v>1577169844</v>
      </c>
    </row>
    <row r="5496" spans="1:7" x14ac:dyDescent="0.25">
      <c r="A5496">
        <v>1577169865</v>
      </c>
      <c r="B5496" t="s">
        <v>28002</v>
      </c>
      <c r="C5496">
        <v>0</v>
      </c>
      <c r="D5496">
        <v>0</v>
      </c>
      <c r="E5496">
        <v>0</v>
      </c>
      <c r="F5496">
        <v>7910</v>
      </c>
      <c r="G5496">
        <f t="shared" si="85"/>
        <v>1577169865</v>
      </c>
    </row>
    <row r="5497" spans="1:7" x14ac:dyDescent="0.25">
      <c r="A5497">
        <v>1577169904</v>
      </c>
      <c r="B5497" t="s">
        <v>28003</v>
      </c>
      <c r="C5497">
        <v>1363</v>
      </c>
      <c r="D5497">
        <v>1</v>
      </c>
      <c r="E5497">
        <v>6832</v>
      </c>
      <c r="F5497">
        <v>2094</v>
      </c>
      <c r="G5497">
        <f t="shared" si="85"/>
        <v>1577169904</v>
      </c>
    </row>
    <row r="5498" spans="1:7" x14ac:dyDescent="0.25">
      <c r="A5498">
        <v>1577169933</v>
      </c>
      <c r="B5498" t="s">
        <v>28004</v>
      </c>
      <c r="C5498">
        <v>26</v>
      </c>
      <c r="D5498">
        <v>1</v>
      </c>
      <c r="E5498">
        <v>7294</v>
      </c>
      <c r="F5498">
        <v>1092</v>
      </c>
      <c r="G5498">
        <f t="shared" si="85"/>
        <v>1577169933</v>
      </c>
    </row>
    <row r="5499" spans="1:7" x14ac:dyDescent="0.25">
      <c r="A5499">
        <v>1577169940</v>
      </c>
      <c r="B5499" t="s">
        <v>28005</v>
      </c>
      <c r="C5499">
        <v>0</v>
      </c>
      <c r="D5499">
        <v>0</v>
      </c>
      <c r="E5499">
        <v>0</v>
      </c>
      <c r="F5499">
        <v>7911</v>
      </c>
      <c r="G5499">
        <f t="shared" si="85"/>
        <v>1577169940</v>
      </c>
    </row>
    <row r="5500" spans="1:7" x14ac:dyDescent="0.25">
      <c r="A5500">
        <v>1577170069</v>
      </c>
      <c r="B5500" t="s">
        <v>28006</v>
      </c>
      <c r="C5500">
        <v>0</v>
      </c>
      <c r="D5500">
        <v>0</v>
      </c>
      <c r="E5500">
        <v>0</v>
      </c>
      <c r="F5500">
        <v>7912</v>
      </c>
      <c r="G5500">
        <f t="shared" si="85"/>
        <v>1577170069</v>
      </c>
    </row>
    <row r="5501" spans="1:7" x14ac:dyDescent="0.25">
      <c r="A5501">
        <v>1577170089</v>
      </c>
      <c r="B5501" t="s">
        <v>28007</v>
      </c>
      <c r="C5501">
        <v>333</v>
      </c>
      <c r="D5501">
        <v>0</v>
      </c>
      <c r="E5501">
        <v>0</v>
      </c>
      <c r="F5501">
        <v>7913</v>
      </c>
      <c r="G5501">
        <f t="shared" si="85"/>
        <v>1577170089</v>
      </c>
    </row>
    <row r="5502" spans="1:7" x14ac:dyDescent="0.25">
      <c r="A5502">
        <v>1577170183</v>
      </c>
      <c r="B5502" t="s">
        <v>36675</v>
      </c>
      <c r="C5502">
        <v>0</v>
      </c>
      <c r="D5502">
        <v>0</v>
      </c>
      <c r="E5502">
        <v>0</v>
      </c>
      <c r="F5502">
        <v>7914</v>
      </c>
      <c r="G5502">
        <f t="shared" si="85"/>
        <v>1577170183</v>
      </c>
    </row>
    <row r="5503" spans="1:7" x14ac:dyDescent="0.25">
      <c r="A5503">
        <v>1577170199</v>
      </c>
      <c r="B5503" t="s">
        <v>28008</v>
      </c>
      <c r="C5503">
        <v>160</v>
      </c>
      <c r="D5503">
        <v>0</v>
      </c>
      <c r="E5503">
        <v>0</v>
      </c>
      <c r="F5503">
        <v>7915</v>
      </c>
      <c r="G5503">
        <f t="shared" si="85"/>
        <v>1577170199</v>
      </c>
    </row>
    <row r="5504" spans="1:7" x14ac:dyDescent="0.25">
      <c r="A5504">
        <v>1577170208</v>
      </c>
      <c r="B5504" t="s">
        <v>28009</v>
      </c>
      <c r="C5504">
        <v>1621</v>
      </c>
      <c r="D5504">
        <v>0</v>
      </c>
      <c r="E5504">
        <v>0</v>
      </c>
      <c r="F5504">
        <v>7916</v>
      </c>
      <c r="G5504">
        <f t="shared" si="85"/>
        <v>1577170208</v>
      </c>
    </row>
    <row r="5505" spans="1:7" x14ac:dyDescent="0.25">
      <c r="A5505">
        <v>1577170233</v>
      </c>
      <c r="B5505" t="s">
        <v>28010</v>
      </c>
      <c r="C5505">
        <v>115</v>
      </c>
      <c r="D5505">
        <v>9</v>
      </c>
      <c r="E5505">
        <v>43224</v>
      </c>
      <c r="F5505">
        <v>75</v>
      </c>
      <c r="G5505">
        <f t="shared" ref="G5505:G5568" si="86">A5505</f>
        <v>1577170233</v>
      </c>
    </row>
    <row r="5506" spans="1:7" x14ac:dyDescent="0.25">
      <c r="A5506">
        <v>1577170259</v>
      </c>
      <c r="B5506" t="s">
        <v>28011</v>
      </c>
      <c r="C5506">
        <v>1975</v>
      </c>
      <c r="D5506">
        <v>1</v>
      </c>
      <c r="E5506">
        <v>247</v>
      </c>
      <c r="F5506">
        <v>5332</v>
      </c>
      <c r="G5506">
        <f t="shared" si="86"/>
        <v>1577170259</v>
      </c>
    </row>
    <row r="5507" spans="1:7" x14ac:dyDescent="0.25">
      <c r="A5507">
        <v>1577170267</v>
      </c>
      <c r="B5507" t="s">
        <v>28012</v>
      </c>
      <c r="C5507">
        <v>62</v>
      </c>
      <c r="D5507">
        <v>1</v>
      </c>
      <c r="E5507">
        <v>73</v>
      </c>
      <c r="F5507">
        <v>6038</v>
      </c>
      <c r="G5507">
        <f t="shared" si="86"/>
        <v>1577170267</v>
      </c>
    </row>
    <row r="5508" spans="1:7" x14ac:dyDescent="0.25">
      <c r="A5508">
        <v>1577170287</v>
      </c>
      <c r="B5508" t="s">
        <v>36676</v>
      </c>
      <c r="C5508">
        <v>0</v>
      </c>
      <c r="D5508">
        <v>1</v>
      </c>
      <c r="E5508">
        <v>234</v>
      </c>
      <c r="F5508">
        <v>5373</v>
      </c>
      <c r="G5508">
        <f t="shared" si="86"/>
        <v>1577170287</v>
      </c>
    </row>
    <row r="5509" spans="1:7" x14ac:dyDescent="0.25">
      <c r="A5509">
        <v>1577170361</v>
      </c>
      <c r="B5509" t="s">
        <v>28013</v>
      </c>
      <c r="C5509">
        <v>0</v>
      </c>
      <c r="D5509">
        <v>0</v>
      </c>
      <c r="E5509">
        <v>0</v>
      </c>
      <c r="F5509">
        <v>7917</v>
      </c>
      <c r="G5509">
        <f t="shared" si="86"/>
        <v>1577170361</v>
      </c>
    </row>
    <row r="5510" spans="1:7" x14ac:dyDescent="0.25">
      <c r="A5510">
        <v>1577170366</v>
      </c>
      <c r="B5510" t="s">
        <v>28014</v>
      </c>
      <c r="C5510">
        <v>924</v>
      </c>
      <c r="D5510">
        <v>0</v>
      </c>
      <c r="E5510">
        <v>0</v>
      </c>
      <c r="F5510">
        <v>7918</v>
      </c>
      <c r="G5510">
        <f t="shared" si="86"/>
        <v>1577170366</v>
      </c>
    </row>
    <row r="5511" spans="1:7" x14ac:dyDescent="0.25">
      <c r="A5511">
        <v>1577170384</v>
      </c>
      <c r="B5511" t="s">
        <v>28015</v>
      </c>
      <c r="C5511">
        <v>6</v>
      </c>
      <c r="D5511">
        <v>3</v>
      </c>
      <c r="E5511">
        <v>19993</v>
      </c>
      <c r="F5511">
        <v>625</v>
      </c>
      <c r="G5511">
        <f t="shared" si="86"/>
        <v>1577170384</v>
      </c>
    </row>
    <row r="5512" spans="1:7" x14ac:dyDescent="0.25">
      <c r="A5512">
        <v>1577170445</v>
      </c>
      <c r="B5512" t="s">
        <v>28016</v>
      </c>
      <c r="C5512">
        <v>0</v>
      </c>
      <c r="D5512">
        <v>1</v>
      </c>
      <c r="E5512">
        <v>26</v>
      </c>
      <c r="F5512">
        <v>6737</v>
      </c>
      <c r="G5512">
        <f t="shared" si="86"/>
        <v>1577170445</v>
      </c>
    </row>
    <row r="5513" spans="1:7" x14ac:dyDescent="0.25">
      <c r="A5513">
        <v>1577170463</v>
      </c>
      <c r="B5513" t="s">
        <v>28017</v>
      </c>
      <c r="C5513">
        <v>74</v>
      </c>
      <c r="D5513">
        <v>1</v>
      </c>
      <c r="E5513">
        <v>332</v>
      </c>
      <c r="F5513">
        <v>5033</v>
      </c>
      <c r="G5513">
        <f t="shared" si="86"/>
        <v>1577170463</v>
      </c>
    </row>
    <row r="5514" spans="1:7" x14ac:dyDescent="0.25">
      <c r="A5514">
        <v>1577170479</v>
      </c>
      <c r="B5514" t="s">
        <v>28018</v>
      </c>
      <c r="C5514">
        <v>0</v>
      </c>
      <c r="D5514">
        <v>1</v>
      </c>
      <c r="E5514">
        <v>548</v>
      </c>
      <c r="F5514">
        <v>4554</v>
      </c>
      <c r="G5514">
        <f t="shared" si="86"/>
        <v>1577170479</v>
      </c>
    </row>
    <row r="5515" spans="1:7" x14ac:dyDescent="0.25">
      <c r="A5515">
        <v>1577170485</v>
      </c>
      <c r="B5515" t="s">
        <v>37169</v>
      </c>
      <c r="C5515">
        <v>1138</v>
      </c>
      <c r="D5515">
        <v>0</v>
      </c>
      <c r="E5515">
        <v>0</v>
      </c>
      <c r="F5515">
        <v>7919</v>
      </c>
      <c r="G5515">
        <f t="shared" si="86"/>
        <v>1577170485</v>
      </c>
    </row>
    <row r="5516" spans="1:7" x14ac:dyDescent="0.25">
      <c r="A5516">
        <v>1577170488</v>
      </c>
      <c r="B5516" t="s">
        <v>28019</v>
      </c>
      <c r="C5516">
        <v>196</v>
      </c>
      <c r="D5516">
        <v>3</v>
      </c>
      <c r="E5516">
        <v>14373</v>
      </c>
      <c r="F5516">
        <v>1046</v>
      </c>
      <c r="G5516">
        <f t="shared" si="86"/>
        <v>1577170488</v>
      </c>
    </row>
    <row r="5517" spans="1:7" x14ac:dyDescent="0.25">
      <c r="A5517">
        <v>1577170505</v>
      </c>
      <c r="B5517" t="s">
        <v>28020</v>
      </c>
      <c r="C5517">
        <v>0</v>
      </c>
      <c r="D5517">
        <v>0</v>
      </c>
      <c r="E5517">
        <v>0</v>
      </c>
      <c r="F5517">
        <v>7920</v>
      </c>
      <c r="G5517">
        <f t="shared" si="86"/>
        <v>1577170505</v>
      </c>
    </row>
    <row r="5518" spans="1:7" x14ac:dyDescent="0.25">
      <c r="A5518">
        <v>1577170548</v>
      </c>
      <c r="B5518" t="s">
        <v>28021</v>
      </c>
      <c r="C5518">
        <v>47</v>
      </c>
      <c r="D5518">
        <v>2</v>
      </c>
      <c r="E5518">
        <v>9884</v>
      </c>
      <c r="F5518">
        <v>1589</v>
      </c>
      <c r="G5518">
        <f t="shared" si="86"/>
        <v>1577170548</v>
      </c>
    </row>
    <row r="5519" spans="1:7" x14ac:dyDescent="0.25">
      <c r="A5519">
        <v>1577170716</v>
      </c>
      <c r="B5519" t="s">
        <v>28022</v>
      </c>
      <c r="C5519">
        <v>274</v>
      </c>
      <c r="D5519">
        <v>7</v>
      </c>
      <c r="E5519">
        <v>33402</v>
      </c>
      <c r="F5519">
        <v>171</v>
      </c>
      <c r="G5519">
        <f t="shared" si="86"/>
        <v>1577170716</v>
      </c>
    </row>
    <row r="5520" spans="1:7" x14ac:dyDescent="0.25">
      <c r="A5520">
        <v>1577170731</v>
      </c>
      <c r="B5520" t="s">
        <v>36677</v>
      </c>
      <c r="C5520">
        <v>0</v>
      </c>
      <c r="D5520">
        <v>0</v>
      </c>
      <c r="E5520">
        <v>0</v>
      </c>
      <c r="F5520">
        <v>7921</v>
      </c>
      <c r="G5520">
        <f t="shared" si="86"/>
        <v>1577170731</v>
      </c>
    </row>
    <row r="5521" spans="1:7" x14ac:dyDescent="0.25">
      <c r="A5521">
        <v>1577170733</v>
      </c>
      <c r="B5521" t="s">
        <v>28023</v>
      </c>
      <c r="C5521">
        <v>47</v>
      </c>
      <c r="D5521">
        <v>1</v>
      </c>
      <c r="E5521">
        <v>5545</v>
      </c>
      <c r="F5521">
        <v>2391</v>
      </c>
      <c r="G5521">
        <f t="shared" si="86"/>
        <v>1577170733</v>
      </c>
    </row>
    <row r="5522" spans="1:7" x14ac:dyDescent="0.25">
      <c r="A5522">
        <v>1577170736</v>
      </c>
      <c r="B5522" t="s">
        <v>28024</v>
      </c>
      <c r="C5522">
        <v>0</v>
      </c>
      <c r="D5522">
        <v>1</v>
      </c>
      <c r="E5522">
        <v>2569</v>
      </c>
      <c r="F5522">
        <v>3136</v>
      </c>
      <c r="G5522">
        <f t="shared" si="86"/>
        <v>1577170736</v>
      </c>
    </row>
    <row r="5523" spans="1:7" x14ac:dyDescent="0.25">
      <c r="A5523">
        <v>1577170765</v>
      </c>
      <c r="B5523" t="s">
        <v>28025</v>
      </c>
      <c r="C5523">
        <v>0</v>
      </c>
      <c r="D5523">
        <v>0</v>
      </c>
      <c r="E5523">
        <v>0</v>
      </c>
      <c r="F5523">
        <v>7922</v>
      </c>
      <c r="G5523">
        <f t="shared" si="86"/>
        <v>1577170765</v>
      </c>
    </row>
    <row r="5524" spans="1:7" x14ac:dyDescent="0.25">
      <c r="A5524">
        <v>1577170779</v>
      </c>
      <c r="B5524" t="s">
        <v>28026</v>
      </c>
      <c r="C5524">
        <v>0</v>
      </c>
      <c r="D5524">
        <v>1</v>
      </c>
      <c r="E5524">
        <v>188</v>
      </c>
      <c r="F5524">
        <v>5552</v>
      </c>
      <c r="G5524">
        <f t="shared" si="86"/>
        <v>1577170779</v>
      </c>
    </row>
    <row r="5525" spans="1:7" x14ac:dyDescent="0.25">
      <c r="A5525">
        <v>1577170782</v>
      </c>
      <c r="B5525" t="s">
        <v>37020</v>
      </c>
      <c r="C5525">
        <v>55</v>
      </c>
      <c r="D5525">
        <v>1</v>
      </c>
      <c r="E5525">
        <v>1010</v>
      </c>
      <c r="F5525">
        <v>3975</v>
      </c>
      <c r="G5525">
        <f t="shared" si="86"/>
        <v>1577170782</v>
      </c>
    </row>
    <row r="5526" spans="1:7" x14ac:dyDescent="0.25">
      <c r="A5526">
        <v>1577170874</v>
      </c>
      <c r="B5526" t="s">
        <v>28027</v>
      </c>
      <c r="C5526">
        <v>0</v>
      </c>
      <c r="D5526">
        <v>1</v>
      </c>
      <c r="E5526">
        <v>396</v>
      </c>
      <c r="F5526">
        <v>4858</v>
      </c>
      <c r="G5526">
        <f t="shared" si="86"/>
        <v>1577170874</v>
      </c>
    </row>
    <row r="5527" spans="1:7" x14ac:dyDescent="0.25">
      <c r="A5527">
        <v>1577170913</v>
      </c>
      <c r="B5527" t="s">
        <v>28028</v>
      </c>
      <c r="C5527">
        <v>0</v>
      </c>
      <c r="D5527">
        <v>1</v>
      </c>
      <c r="E5527">
        <v>26</v>
      </c>
      <c r="F5527">
        <v>6738</v>
      </c>
      <c r="G5527">
        <f t="shared" si="86"/>
        <v>1577170913</v>
      </c>
    </row>
    <row r="5528" spans="1:7" x14ac:dyDescent="0.25">
      <c r="A5528">
        <v>1577170914</v>
      </c>
      <c r="B5528" t="s">
        <v>28029</v>
      </c>
      <c r="C5528">
        <v>0</v>
      </c>
      <c r="D5528">
        <v>3</v>
      </c>
      <c r="E5528">
        <v>7859</v>
      </c>
      <c r="F5528">
        <v>1912</v>
      </c>
      <c r="G5528">
        <f t="shared" si="86"/>
        <v>1577170914</v>
      </c>
    </row>
    <row r="5529" spans="1:7" x14ac:dyDescent="0.25">
      <c r="A5529">
        <v>1577170935</v>
      </c>
      <c r="B5529" t="s">
        <v>28030</v>
      </c>
      <c r="C5529">
        <v>156</v>
      </c>
      <c r="D5529">
        <v>0</v>
      </c>
      <c r="E5529">
        <v>0</v>
      </c>
      <c r="F5529">
        <v>7923</v>
      </c>
      <c r="G5529">
        <f t="shared" si="86"/>
        <v>1577170935</v>
      </c>
    </row>
    <row r="5530" spans="1:7" x14ac:dyDescent="0.25">
      <c r="A5530">
        <v>1577170982</v>
      </c>
      <c r="B5530" t="s">
        <v>28031</v>
      </c>
      <c r="C5530">
        <v>0</v>
      </c>
      <c r="D5530">
        <v>0</v>
      </c>
      <c r="E5530">
        <v>0</v>
      </c>
      <c r="F5530">
        <v>7924</v>
      </c>
      <c r="G5530">
        <f t="shared" si="86"/>
        <v>1577170982</v>
      </c>
    </row>
    <row r="5531" spans="1:7" x14ac:dyDescent="0.25">
      <c r="A5531">
        <v>1577171011</v>
      </c>
      <c r="B5531" t="s">
        <v>28032</v>
      </c>
      <c r="C5531">
        <v>443</v>
      </c>
      <c r="D5531">
        <v>1</v>
      </c>
      <c r="E5531">
        <v>3317</v>
      </c>
      <c r="F5531">
        <v>2921</v>
      </c>
      <c r="G5531">
        <f t="shared" si="86"/>
        <v>1577171011</v>
      </c>
    </row>
    <row r="5532" spans="1:7" x14ac:dyDescent="0.25">
      <c r="A5532">
        <v>1577171033</v>
      </c>
      <c r="B5532" t="s">
        <v>37170</v>
      </c>
      <c r="C5532">
        <v>1885</v>
      </c>
      <c r="D5532">
        <v>1</v>
      </c>
      <c r="E5532">
        <v>716</v>
      </c>
      <c r="F5532">
        <v>4318</v>
      </c>
      <c r="G5532">
        <f t="shared" si="86"/>
        <v>1577171033</v>
      </c>
    </row>
    <row r="5533" spans="1:7" x14ac:dyDescent="0.25">
      <c r="A5533">
        <v>1577171042</v>
      </c>
      <c r="B5533" t="s">
        <v>28033</v>
      </c>
      <c r="C5533">
        <v>0</v>
      </c>
      <c r="D5533">
        <v>1</v>
      </c>
      <c r="E5533">
        <v>1060</v>
      </c>
      <c r="F5533">
        <v>3914</v>
      </c>
      <c r="G5533">
        <f t="shared" si="86"/>
        <v>1577171042</v>
      </c>
    </row>
    <row r="5534" spans="1:7" x14ac:dyDescent="0.25">
      <c r="A5534">
        <v>1577171045</v>
      </c>
      <c r="B5534" t="s">
        <v>28034</v>
      </c>
      <c r="C5534">
        <v>25</v>
      </c>
      <c r="D5534">
        <v>1</v>
      </c>
      <c r="E5534">
        <v>8856</v>
      </c>
      <c r="F5534">
        <v>1744</v>
      </c>
      <c r="G5534">
        <f t="shared" si="86"/>
        <v>1577171045</v>
      </c>
    </row>
    <row r="5535" spans="1:7" x14ac:dyDescent="0.25">
      <c r="A5535">
        <v>1577171063</v>
      </c>
      <c r="B5535" t="s">
        <v>28035</v>
      </c>
      <c r="C5535">
        <v>541</v>
      </c>
      <c r="D5535">
        <v>2</v>
      </c>
      <c r="E5535">
        <v>11697</v>
      </c>
      <c r="F5535">
        <v>1323</v>
      </c>
      <c r="G5535">
        <f t="shared" si="86"/>
        <v>1577171063</v>
      </c>
    </row>
    <row r="5536" spans="1:7" x14ac:dyDescent="0.25">
      <c r="A5536">
        <v>1577171065</v>
      </c>
      <c r="B5536" t="s">
        <v>28036</v>
      </c>
      <c r="C5536">
        <v>541</v>
      </c>
      <c r="D5536">
        <v>3</v>
      </c>
      <c r="E5536">
        <v>15072</v>
      </c>
      <c r="F5536">
        <v>1001</v>
      </c>
      <c r="G5536">
        <f t="shared" si="86"/>
        <v>1577171065</v>
      </c>
    </row>
    <row r="5537" spans="1:7" x14ac:dyDescent="0.25">
      <c r="A5537">
        <v>1577171078</v>
      </c>
      <c r="B5537" t="s">
        <v>28037</v>
      </c>
      <c r="C5537">
        <v>0</v>
      </c>
      <c r="D5537">
        <v>0</v>
      </c>
      <c r="E5537">
        <v>0</v>
      </c>
      <c r="F5537">
        <v>7925</v>
      </c>
      <c r="G5537">
        <f t="shared" si="86"/>
        <v>1577171078</v>
      </c>
    </row>
    <row r="5538" spans="1:7" x14ac:dyDescent="0.25">
      <c r="A5538">
        <v>1577171081</v>
      </c>
      <c r="B5538" t="s">
        <v>28038</v>
      </c>
      <c r="C5538">
        <v>0</v>
      </c>
      <c r="D5538">
        <v>0</v>
      </c>
      <c r="E5538">
        <v>0</v>
      </c>
      <c r="F5538">
        <v>7926</v>
      </c>
      <c r="G5538">
        <f t="shared" si="86"/>
        <v>1577171081</v>
      </c>
    </row>
    <row r="5539" spans="1:7" x14ac:dyDescent="0.25">
      <c r="A5539">
        <v>1577171153</v>
      </c>
      <c r="B5539" t="s">
        <v>28039</v>
      </c>
      <c r="C5539">
        <v>0</v>
      </c>
      <c r="D5539">
        <v>0</v>
      </c>
      <c r="E5539">
        <v>0</v>
      </c>
      <c r="F5539">
        <v>7927</v>
      </c>
      <c r="G5539">
        <f t="shared" si="86"/>
        <v>1577171153</v>
      </c>
    </row>
    <row r="5540" spans="1:7" x14ac:dyDescent="0.25">
      <c r="A5540">
        <v>1577171236</v>
      </c>
      <c r="B5540" t="s">
        <v>28040</v>
      </c>
      <c r="C5540">
        <v>10</v>
      </c>
      <c r="D5540">
        <v>1</v>
      </c>
      <c r="E5540">
        <v>5729</v>
      </c>
      <c r="F5540">
        <v>2345</v>
      </c>
      <c r="G5540">
        <f t="shared" si="86"/>
        <v>1577171236</v>
      </c>
    </row>
    <row r="5541" spans="1:7" x14ac:dyDescent="0.25">
      <c r="A5541">
        <v>1577171246</v>
      </c>
      <c r="B5541" t="s">
        <v>28041</v>
      </c>
      <c r="C5541">
        <v>96</v>
      </c>
      <c r="D5541">
        <v>4</v>
      </c>
      <c r="E5541">
        <v>30076</v>
      </c>
      <c r="F5541">
        <v>239</v>
      </c>
      <c r="G5541">
        <f t="shared" si="86"/>
        <v>1577171246</v>
      </c>
    </row>
    <row r="5542" spans="1:7" x14ac:dyDescent="0.25">
      <c r="A5542">
        <v>1577171254</v>
      </c>
      <c r="B5542" t="s">
        <v>36678</v>
      </c>
      <c r="C5542">
        <v>96</v>
      </c>
      <c r="D5542">
        <v>3</v>
      </c>
      <c r="E5542">
        <v>19531</v>
      </c>
      <c r="F5542">
        <v>651</v>
      </c>
      <c r="G5542">
        <f t="shared" si="86"/>
        <v>1577171254</v>
      </c>
    </row>
    <row r="5543" spans="1:7" x14ac:dyDescent="0.25">
      <c r="A5543">
        <v>1577171261</v>
      </c>
      <c r="B5543" t="s">
        <v>28042</v>
      </c>
      <c r="C5543">
        <v>96</v>
      </c>
      <c r="D5543">
        <v>2</v>
      </c>
      <c r="E5543">
        <v>15055</v>
      </c>
      <c r="F5543">
        <v>991</v>
      </c>
      <c r="G5543">
        <f t="shared" si="86"/>
        <v>1577171261</v>
      </c>
    </row>
    <row r="5544" spans="1:7" x14ac:dyDescent="0.25">
      <c r="A5544">
        <v>1577171298</v>
      </c>
      <c r="B5544" t="s">
        <v>28043</v>
      </c>
      <c r="C5544">
        <v>0</v>
      </c>
      <c r="D5544">
        <v>0</v>
      </c>
      <c r="E5544">
        <v>0</v>
      </c>
      <c r="F5544">
        <v>7928</v>
      </c>
      <c r="G5544">
        <f t="shared" si="86"/>
        <v>1577171298</v>
      </c>
    </row>
    <row r="5545" spans="1:7" x14ac:dyDescent="0.25">
      <c r="A5545">
        <v>1577171366</v>
      </c>
      <c r="B5545" t="s">
        <v>36679</v>
      </c>
      <c r="C5545">
        <v>0</v>
      </c>
      <c r="D5545">
        <v>1</v>
      </c>
      <c r="E5545">
        <v>630</v>
      </c>
      <c r="F5545">
        <v>4441</v>
      </c>
      <c r="G5545">
        <f t="shared" si="86"/>
        <v>1577171366</v>
      </c>
    </row>
    <row r="5546" spans="1:7" x14ac:dyDescent="0.25">
      <c r="A5546">
        <v>1577171368</v>
      </c>
      <c r="B5546" t="s">
        <v>36680</v>
      </c>
      <c r="C5546">
        <v>138</v>
      </c>
      <c r="D5546">
        <v>2</v>
      </c>
      <c r="E5546">
        <v>10384</v>
      </c>
      <c r="F5546">
        <v>1510</v>
      </c>
      <c r="G5546">
        <f t="shared" si="86"/>
        <v>1577171368</v>
      </c>
    </row>
    <row r="5547" spans="1:7" x14ac:dyDescent="0.25">
      <c r="A5547">
        <v>1577171405</v>
      </c>
      <c r="B5547" t="s">
        <v>28044</v>
      </c>
      <c r="C5547">
        <v>1297</v>
      </c>
      <c r="D5547">
        <v>1</v>
      </c>
      <c r="E5547">
        <v>157</v>
      </c>
      <c r="F5547">
        <v>5670</v>
      </c>
      <c r="G5547">
        <f t="shared" si="86"/>
        <v>1577171405</v>
      </c>
    </row>
    <row r="5548" spans="1:7" x14ac:dyDescent="0.25">
      <c r="A5548">
        <v>1577171433</v>
      </c>
      <c r="B5548" t="s">
        <v>28045</v>
      </c>
      <c r="C5548">
        <v>0</v>
      </c>
      <c r="D5548">
        <v>0</v>
      </c>
      <c r="E5548">
        <v>0</v>
      </c>
      <c r="F5548">
        <v>7929</v>
      </c>
      <c r="G5548">
        <f t="shared" si="86"/>
        <v>1577171433</v>
      </c>
    </row>
    <row r="5549" spans="1:7" x14ac:dyDescent="0.25">
      <c r="A5549">
        <v>1577171484</v>
      </c>
      <c r="B5549" t="s">
        <v>28046</v>
      </c>
      <c r="C5549">
        <v>0</v>
      </c>
      <c r="D5549">
        <v>1</v>
      </c>
      <c r="E5549">
        <v>183</v>
      </c>
      <c r="F5549">
        <v>5570</v>
      </c>
      <c r="G5549">
        <f t="shared" si="86"/>
        <v>1577171484</v>
      </c>
    </row>
    <row r="5550" spans="1:7" x14ac:dyDescent="0.25">
      <c r="A5550">
        <v>1577171503</v>
      </c>
      <c r="B5550" t="s">
        <v>28047</v>
      </c>
      <c r="C5550">
        <v>284</v>
      </c>
      <c r="D5550">
        <v>0</v>
      </c>
      <c r="E5550">
        <v>0</v>
      </c>
      <c r="F5550">
        <v>7930</v>
      </c>
      <c r="G5550">
        <f t="shared" si="86"/>
        <v>1577171503</v>
      </c>
    </row>
    <row r="5551" spans="1:7" x14ac:dyDescent="0.25">
      <c r="A5551">
        <v>1577171560</v>
      </c>
      <c r="B5551" t="s">
        <v>28048</v>
      </c>
      <c r="C5551">
        <v>31</v>
      </c>
      <c r="D5551">
        <v>3</v>
      </c>
      <c r="E5551">
        <v>19194</v>
      </c>
      <c r="F5551">
        <v>673</v>
      </c>
      <c r="G5551">
        <f t="shared" si="86"/>
        <v>1577171560</v>
      </c>
    </row>
    <row r="5552" spans="1:7" x14ac:dyDescent="0.25">
      <c r="A5552">
        <v>1577171678</v>
      </c>
      <c r="B5552" t="s">
        <v>28049</v>
      </c>
      <c r="C5552">
        <v>0</v>
      </c>
      <c r="D5552">
        <v>0</v>
      </c>
      <c r="E5552">
        <v>0</v>
      </c>
      <c r="F5552">
        <v>7931</v>
      </c>
      <c r="G5552">
        <f t="shared" si="86"/>
        <v>1577171678</v>
      </c>
    </row>
    <row r="5553" spans="1:7" x14ac:dyDescent="0.25">
      <c r="A5553">
        <v>1577171740</v>
      </c>
      <c r="B5553" t="s">
        <v>28050</v>
      </c>
      <c r="C5553">
        <v>733</v>
      </c>
      <c r="D5553">
        <v>7</v>
      </c>
      <c r="E5553">
        <v>44226</v>
      </c>
      <c r="F5553">
        <v>68</v>
      </c>
      <c r="G5553">
        <f t="shared" si="86"/>
        <v>1577171740</v>
      </c>
    </row>
    <row r="5554" spans="1:7" x14ac:dyDescent="0.25">
      <c r="A5554">
        <v>1577171743</v>
      </c>
      <c r="B5554" t="s">
        <v>28051</v>
      </c>
      <c r="C5554">
        <v>20</v>
      </c>
      <c r="D5554">
        <v>3</v>
      </c>
      <c r="E5554">
        <v>10898</v>
      </c>
      <c r="F5554">
        <v>1433</v>
      </c>
      <c r="G5554">
        <f t="shared" si="86"/>
        <v>1577171743</v>
      </c>
    </row>
    <row r="5555" spans="1:7" x14ac:dyDescent="0.25">
      <c r="A5555">
        <v>1577171745</v>
      </c>
      <c r="B5555" t="s">
        <v>28052</v>
      </c>
      <c r="C5555">
        <v>0</v>
      </c>
      <c r="D5555">
        <v>0</v>
      </c>
      <c r="E5555">
        <v>0</v>
      </c>
      <c r="F5555">
        <v>7932</v>
      </c>
      <c r="G5555">
        <f t="shared" si="86"/>
        <v>1577171745</v>
      </c>
    </row>
    <row r="5556" spans="1:7" x14ac:dyDescent="0.25">
      <c r="A5556">
        <v>1577171746</v>
      </c>
      <c r="B5556" t="s">
        <v>28053</v>
      </c>
      <c r="C5556">
        <v>79</v>
      </c>
      <c r="D5556">
        <v>2</v>
      </c>
      <c r="E5556">
        <v>13243</v>
      </c>
      <c r="F5556">
        <v>1145</v>
      </c>
      <c r="G5556">
        <f t="shared" si="86"/>
        <v>1577171746</v>
      </c>
    </row>
    <row r="5557" spans="1:7" x14ac:dyDescent="0.25">
      <c r="A5557">
        <v>1577171788</v>
      </c>
      <c r="B5557" t="s">
        <v>28054</v>
      </c>
      <c r="C5557">
        <v>106</v>
      </c>
      <c r="D5557">
        <v>1</v>
      </c>
      <c r="E5557">
        <v>6987</v>
      </c>
      <c r="F5557">
        <v>2082</v>
      </c>
      <c r="G5557">
        <f t="shared" si="86"/>
        <v>1577171788</v>
      </c>
    </row>
    <row r="5558" spans="1:7" x14ac:dyDescent="0.25">
      <c r="A5558">
        <v>1577171823</v>
      </c>
      <c r="B5558" t="s">
        <v>28055</v>
      </c>
      <c r="C5558">
        <v>189</v>
      </c>
      <c r="D5558">
        <v>4</v>
      </c>
      <c r="E5558">
        <v>20769</v>
      </c>
      <c r="F5558">
        <v>586</v>
      </c>
      <c r="G5558">
        <f t="shared" si="86"/>
        <v>1577171823</v>
      </c>
    </row>
    <row r="5559" spans="1:7" x14ac:dyDescent="0.25">
      <c r="A5559">
        <v>1577171828</v>
      </c>
      <c r="B5559" t="s">
        <v>28056</v>
      </c>
      <c r="C5559">
        <v>1</v>
      </c>
      <c r="D5559">
        <v>1</v>
      </c>
      <c r="E5559">
        <v>101</v>
      </c>
      <c r="F5559">
        <v>5847</v>
      </c>
      <c r="G5559">
        <f t="shared" si="86"/>
        <v>1577171828</v>
      </c>
    </row>
    <row r="5560" spans="1:7" x14ac:dyDescent="0.25">
      <c r="A5560">
        <v>1577171877</v>
      </c>
      <c r="B5560" t="s">
        <v>28057</v>
      </c>
      <c r="C5560">
        <v>0</v>
      </c>
      <c r="D5560">
        <v>1</v>
      </c>
      <c r="E5560">
        <v>26</v>
      </c>
      <c r="F5560">
        <v>6739</v>
      </c>
      <c r="G5560">
        <f t="shared" si="86"/>
        <v>1577171877</v>
      </c>
    </row>
    <row r="5561" spans="1:7" x14ac:dyDescent="0.25">
      <c r="A5561">
        <v>1577171879</v>
      </c>
      <c r="B5561" t="s">
        <v>28058</v>
      </c>
      <c r="C5561">
        <v>0</v>
      </c>
      <c r="D5561">
        <v>0</v>
      </c>
      <c r="E5561">
        <v>0</v>
      </c>
      <c r="F5561">
        <v>7933</v>
      </c>
      <c r="G5561">
        <f t="shared" si="86"/>
        <v>1577171879</v>
      </c>
    </row>
    <row r="5562" spans="1:7" x14ac:dyDescent="0.25">
      <c r="A5562">
        <v>1577171907</v>
      </c>
      <c r="B5562" t="s">
        <v>28059</v>
      </c>
      <c r="C5562">
        <v>0</v>
      </c>
      <c r="D5562">
        <v>0</v>
      </c>
      <c r="E5562">
        <v>0</v>
      </c>
      <c r="F5562">
        <v>7934</v>
      </c>
      <c r="G5562">
        <f t="shared" si="86"/>
        <v>1577171907</v>
      </c>
    </row>
    <row r="5563" spans="1:7" x14ac:dyDescent="0.25">
      <c r="A5563">
        <v>1577171923</v>
      </c>
      <c r="B5563" t="s">
        <v>28060</v>
      </c>
      <c r="C5563">
        <v>31</v>
      </c>
      <c r="D5563">
        <v>3</v>
      </c>
      <c r="E5563">
        <v>14498</v>
      </c>
      <c r="F5563">
        <v>1033</v>
      </c>
      <c r="G5563">
        <f t="shared" si="86"/>
        <v>1577171923</v>
      </c>
    </row>
    <row r="5564" spans="1:7" x14ac:dyDescent="0.25">
      <c r="A5564">
        <v>1577172226</v>
      </c>
      <c r="B5564" t="s">
        <v>36681</v>
      </c>
      <c r="C5564">
        <v>1695</v>
      </c>
      <c r="D5564">
        <v>1</v>
      </c>
      <c r="E5564">
        <v>1276</v>
      </c>
      <c r="F5564">
        <v>3743</v>
      </c>
      <c r="G5564">
        <f t="shared" si="86"/>
        <v>1577172226</v>
      </c>
    </row>
    <row r="5565" spans="1:7" x14ac:dyDescent="0.25">
      <c r="A5565">
        <v>1577172267</v>
      </c>
      <c r="B5565" t="s">
        <v>37438</v>
      </c>
      <c r="C5565">
        <v>0</v>
      </c>
      <c r="D5565">
        <v>1</v>
      </c>
      <c r="E5565">
        <v>147</v>
      </c>
      <c r="F5565">
        <v>5732</v>
      </c>
      <c r="G5565">
        <f t="shared" si="86"/>
        <v>1577172267</v>
      </c>
    </row>
    <row r="5566" spans="1:7" x14ac:dyDescent="0.25">
      <c r="A5566">
        <v>1577172437</v>
      </c>
      <c r="B5566" t="s">
        <v>28061</v>
      </c>
      <c r="C5566">
        <v>106</v>
      </c>
      <c r="D5566">
        <v>1</v>
      </c>
      <c r="E5566">
        <v>7158</v>
      </c>
      <c r="F5566">
        <v>2039</v>
      </c>
      <c r="G5566">
        <f t="shared" si="86"/>
        <v>1577172437</v>
      </c>
    </row>
    <row r="5567" spans="1:7" x14ac:dyDescent="0.25">
      <c r="A5567">
        <v>1577172449</v>
      </c>
      <c r="B5567" t="s">
        <v>28062</v>
      </c>
      <c r="C5567">
        <v>36</v>
      </c>
      <c r="D5567">
        <v>5</v>
      </c>
      <c r="E5567">
        <v>27682</v>
      </c>
      <c r="F5567">
        <v>305</v>
      </c>
      <c r="G5567">
        <f t="shared" si="86"/>
        <v>1577172449</v>
      </c>
    </row>
    <row r="5568" spans="1:7" x14ac:dyDescent="0.25">
      <c r="A5568">
        <v>1577172462</v>
      </c>
      <c r="B5568" t="s">
        <v>28063</v>
      </c>
      <c r="C5568">
        <v>0</v>
      </c>
      <c r="D5568">
        <v>1</v>
      </c>
      <c r="E5568">
        <v>2913</v>
      </c>
      <c r="F5568">
        <v>3009</v>
      </c>
      <c r="G5568">
        <f t="shared" si="86"/>
        <v>1577172462</v>
      </c>
    </row>
    <row r="5569" spans="1:7" x14ac:dyDescent="0.25">
      <c r="A5569">
        <v>1577172489</v>
      </c>
      <c r="B5569" t="s">
        <v>28064</v>
      </c>
      <c r="C5569">
        <v>0</v>
      </c>
      <c r="D5569">
        <v>0</v>
      </c>
      <c r="E5569">
        <v>0</v>
      </c>
      <c r="F5569">
        <v>7935</v>
      </c>
      <c r="G5569">
        <f t="shared" ref="G5569:G5632" si="87">A5569</f>
        <v>1577172489</v>
      </c>
    </row>
    <row r="5570" spans="1:7" x14ac:dyDescent="0.25">
      <c r="A5570">
        <v>1577172533</v>
      </c>
      <c r="B5570" t="s">
        <v>36682</v>
      </c>
      <c r="C5570">
        <v>0</v>
      </c>
      <c r="D5570">
        <v>1</v>
      </c>
      <c r="E5570">
        <v>1907</v>
      </c>
      <c r="F5570">
        <v>3392</v>
      </c>
      <c r="G5570">
        <f t="shared" si="87"/>
        <v>1577172533</v>
      </c>
    </row>
    <row r="5571" spans="1:7" x14ac:dyDescent="0.25">
      <c r="A5571">
        <v>1577172535</v>
      </c>
      <c r="B5571" t="s">
        <v>28065</v>
      </c>
      <c r="C5571">
        <v>0</v>
      </c>
      <c r="D5571">
        <v>1</v>
      </c>
      <c r="E5571">
        <v>905</v>
      </c>
      <c r="F5571">
        <v>4088</v>
      </c>
      <c r="G5571">
        <f t="shared" si="87"/>
        <v>1577172535</v>
      </c>
    </row>
    <row r="5572" spans="1:7" x14ac:dyDescent="0.25">
      <c r="A5572">
        <v>1577172655</v>
      </c>
      <c r="B5572" t="s">
        <v>28066</v>
      </c>
      <c r="C5572">
        <v>0</v>
      </c>
      <c r="D5572">
        <v>1</v>
      </c>
      <c r="E5572">
        <v>491</v>
      </c>
      <c r="F5572">
        <v>4665</v>
      </c>
      <c r="G5572">
        <f t="shared" si="87"/>
        <v>1577172655</v>
      </c>
    </row>
    <row r="5573" spans="1:7" x14ac:dyDescent="0.25">
      <c r="A5573">
        <v>1577172721</v>
      </c>
      <c r="B5573" t="s">
        <v>28067</v>
      </c>
      <c r="C5573">
        <v>23</v>
      </c>
      <c r="D5573">
        <v>3</v>
      </c>
      <c r="E5573">
        <v>13419</v>
      </c>
      <c r="F5573">
        <v>1138</v>
      </c>
      <c r="G5573">
        <f t="shared" si="87"/>
        <v>1577172721</v>
      </c>
    </row>
    <row r="5574" spans="1:7" x14ac:dyDescent="0.25">
      <c r="A5574">
        <v>1577172739</v>
      </c>
      <c r="B5574" t="s">
        <v>28068</v>
      </c>
      <c r="C5574">
        <v>1063</v>
      </c>
      <c r="D5574">
        <v>1</v>
      </c>
      <c r="E5574">
        <v>26</v>
      </c>
      <c r="F5574">
        <v>6740</v>
      </c>
      <c r="G5574">
        <f t="shared" si="87"/>
        <v>1577172739</v>
      </c>
    </row>
    <row r="5575" spans="1:7" x14ac:dyDescent="0.25">
      <c r="A5575">
        <v>1577172761</v>
      </c>
      <c r="B5575" t="s">
        <v>28069</v>
      </c>
      <c r="C5575">
        <v>325</v>
      </c>
      <c r="D5575">
        <v>0</v>
      </c>
      <c r="E5575">
        <v>0</v>
      </c>
      <c r="F5575">
        <v>7936</v>
      </c>
      <c r="G5575">
        <f t="shared" si="87"/>
        <v>1577172761</v>
      </c>
    </row>
    <row r="5576" spans="1:7" x14ac:dyDescent="0.25">
      <c r="A5576">
        <v>1577172777</v>
      </c>
      <c r="B5576" t="s">
        <v>28070</v>
      </c>
      <c r="C5576">
        <v>320</v>
      </c>
      <c r="D5576">
        <v>0</v>
      </c>
      <c r="E5576">
        <v>0</v>
      </c>
      <c r="F5576">
        <v>7937</v>
      </c>
      <c r="G5576">
        <f t="shared" si="87"/>
        <v>1577172777</v>
      </c>
    </row>
    <row r="5577" spans="1:7" x14ac:dyDescent="0.25">
      <c r="A5577">
        <v>1577172788</v>
      </c>
      <c r="B5577" t="s">
        <v>28071</v>
      </c>
      <c r="C5577">
        <v>0</v>
      </c>
      <c r="D5577">
        <v>1</v>
      </c>
      <c r="E5577">
        <v>65</v>
      </c>
      <c r="F5577">
        <v>6090</v>
      </c>
      <c r="G5577">
        <f t="shared" si="87"/>
        <v>1577172788</v>
      </c>
    </row>
    <row r="5578" spans="1:7" x14ac:dyDescent="0.25">
      <c r="A5578">
        <v>1577172847</v>
      </c>
      <c r="B5578" t="s">
        <v>36683</v>
      </c>
      <c r="C5578">
        <v>0</v>
      </c>
      <c r="D5578">
        <v>1</v>
      </c>
      <c r="E5578">
        <v>89</v>
      </c>
      <c r="F5578">
        <v>5910</v>
      </c>
      <c r="G5578">
        <f t="shared" si="87"/>
        <v>1577172847</v>
      </c>
    </row>
    <row r="5579" spans="1:7" x14ac:dyDescent="0.25">
      <c r="A5579">
        <v>1577172918</v>
      </c>
      <c r="B5579" t="s">
        <v>28072</v>
      </c>
      <c r="C5579">
        <v>1063</v>
      </c>
      <c r="D5579">
        <v>1</v>
      </c>
      <c r="E5579">
        <v>26</v>
      </c>
      <c r="F5579">
        <v>6741</v>
      </c>
      <c r="G5579">
        <f t="shared" si="87"/>
        <v>1577172918</v>
      </c>
    </row>
    <row r="5580" spans="1:7" x14ac:dyDescent="0.25">
      <c r="A5580">
        <v>1577172923</v>
      </c>
      <c r="B5580" t="s">
        <v>28073</v>
      </c>
      <c r="C5580">
        <v>552</v>
      </c>
      <c r="D5580">
        <v>4</v>
      </c>
      <c r="E5580">
        <v>20798</v>
      </c>
      <c r="F5580">
        <v>577</v>
      </c>
      <c r="G5580">
        <f t="shared" si="87"/>
        <v>1577172923</v>
      </c>
    </row>
    <row r="5581" spans="1:7" x14ac:dyDescent="0.25">
      <c r="A5581">
        <v>1577172929</v>
      </c>
      <c r="B5581" t="s">
        <v>28074</v>
      </c>
      <c r="C5581">
        <v>0</v>
      </c>
      <c r="D5581">
        <v>0</v>
      </c>
      <c r="E5581">
        <v>0</v>
      </c>
      <c r="F5581">
        <v>7938</v>
      </c>
      <c r="G5581">
        <f t="shared" si="87"/>
        <v>1577172929</v>
      </c>
    </row>
    <row r="5582" spans="1:7" x14ac:dyDescent="0.25">
      <c r="A5582">
        <v>1577172941</v>
      </c>
      <c r="B5582" t="s">
        <v>28075</v>
      </c>
      <c r="C5582">
        <v>175</v>
      </c>
      <c r="D5582">
        <v>2</v>
      </c>
      <c r="E5582">
        <v>13071</v>
      </c>
      <c r="F5582">
        <v>1163</v>
      </c>
      <c r="G5582">
        <f t="shared" si="87"/>
        <v>1577172941</v>
      </c>
    </row>
    <row r="5583" spans="1:7" x14ac:dyDescent="0.25">
      <c r="A5583">
        <v>1577172978</v>
      </c>
      <c r="B5583" t="s">
        <v>36684</v>
      </c>
      <c r="C5583">
        <v>0</v>
      </c>
      <c r="D5583">
        <v>1</v>
      </c>
      <c r="E5583">
        <v>647</v>
      </c>
      <c r="F5583">
        <v>4415</v>
      </c>
      <c r="G5583">
        <f t="shared" si="87"/>
        <v>1577172978</v>
      </c>
    </row>
    <row r="5584" spans="1:7" x14ac:dyDescent="0.25">
      <c r="A5584">
        <v>1577173009</v>
      </c>
      <c r="B5584" t="s">
        <v>36685</v>
      </c>
      <c r="C5584">
        <v>333</v>
      </c>
      <c r="D5584">
        <v>3</v>
      </c>
      <c r="E5584">
        <v>14590</v>
      </c>
      <c r="F5584">
        <v>1024</v>
      </c>
      <c r="G5584">
        <f t="shared" si="87"/>
        <v>1577173009</v>
      </c>
    </row>
    <row r="5585" spans="1:7" x14ac:dyDescent="0.25">
      <c r="A5585">
        <v>1577173012</v>
      </c>
      <c r="B5585" t="s">
        <v>28076</v>
      </c>
      <c r="C5585">
        <v>0</v>
      </c>
      <c r="D5585">
        <v>1</v>
      </c>
      <c r="E5585">
        <v>277</v>
      </c>
      <c r="F5585">
        <v>5197</v>
      </c>
      <c r="G5585">
        <f t="shared" si="87"/>
        <v>1577173012</v>
      </c>
    </row>
    <row r="5586" spans="1:7" x14ac:dyDescent="0.25">
      <c r="A5586">
        <v>1577173027</v>
      </c>
      <c r="B5586" t="s">
        <v>28077</v>
      </c>
      <c r="C5586">
        <v>6</v>
      </c>
      <c r="D5586">
        <v>3</v>
      </c>
      <c r="E5586">
        <v>13593</v>
      </c>
      <c r="F5586">
        <v>1119</v>
      </c>
      <c r="G5586">
        <f t="shared" si="87"/>
        <v>1577173027</v>
      </c>
    </row>
    <row r="5587" spans="1:7" x14ac:dyDescent="0.25">
      <c r="A5587">
        <v>1577173034</v>
      </c>
      <c r="B5587" t="s">
        <v>36686</v>
      </c>
      <c r="C5587">
        <v>270</v>
      </c>
      <c r="D5587">
        <v>6</v>
      </c>
      <c r="E5587">
        <v>26495</v>
      </c>
      <c r="F5587">
        <v>553</v>
      </c>
      <c r="G5587">
        <f t="shared" si="87"/>
        <v>1577173034</v>
      </c>
    </row>
    <row r="5588" spans="1:7" x14ac:dyDescent="0.25">
      <c r="A5588">
        <v>1577173048</v>
      </c>
      <c r="B5588" t="s">
        <v>28078</v>
      </c>
      <c r="C5588">
        <v>0</v>
      </c>
      <c r="D5588">
        <v>0</v>
      </c>
      <c r="E5588">
        <v>0</v>
      </c>
      <c r="F5588">
        <v>7939</v>
      </c>
      <c r="G5588">
        <f t="shared" si="87"/>
        <v>1577173048</v>
      </c>
    </row>
    <row r="5589" spans="1:7" x14ac:dyDescent="0.25">
      <c r="A5589">
        <v>1577173067</v>
      </c>
      <c r="B5589" t="s">
        <v>28079</v>
      </c>
      <c r="C5589">
        <v>31</v>
      </c>
      <c r="D5589">
        <v>5</v>
      </c>
      <c r="E5589">
        <v>24924</v>
      </c>
      <c r="F5589">
        <v>395</v>
      </c>
      <c r="G5589">
        <f t="shared" si="87"/>
        <v>1577173067</v>
      </c>
    </row>
    <row r="5590" spans="1:7" x14ac:dyDescent="0.25">
      <c r="A5590">
        <v>1577173070</v>
      </c>
      <c r="B5590" t="s">
        <v>28080</v>
      </c>
      <c r="C5590">
        <v>1885</v>
      </c>
      <c r="D5590">
        <v>1</v>
      </c>
      <c r="E5590">
        <v>572</v>
      </c>
      <c r="F5590">
        <v>4510</v>
      </c>
      <c r="G5590">
        <f t="shared" si="87"/>
        <v>1577173070</v>
      </c>
    </row>
    <row r="5591" spans="1:7" x14ac:dyDescent="0.25">
      <c r="A5591">
        <v>1577173102</v>
      </c>
      <c r="B5591" t="s">
        <v>28081</v>
      </c>
      <c r="C5591">
        <v>409</v>
      </c>
      <c r="D5591">
        <v>1</v>
      </c>
      <c r="E5591">
        <v>5018</v>
      </c>
      <c r="F5591">
        <v>2511</v>
      </c>
      <c r="G5591">
        <f t="shared" si="87"/>
        <v>1577173102</v>
      </c>
    </row>
    <row r="5592" spans="1:7" x14ac:dyDescent="0.25">
      <c r="A5592">
        <v>1577173104</v>
      </c>
      <c r="B5592" t="s">
        <v>28082</v>
      </c>
      <c r="C5592">
        <v>0</v>
      </c>
      <c r="D5592">
        <v>2</v>
      </c>
      <c r="E5592">
        <v>6667</v>
      </c>
      <c r="F5592">
        <v>2125</v>
      </c>
      <c r="G5592">
        <f t="shared" si="87"/>
        <v>1577173104</v>
      </c>
    </row>
    <row r="5593" spans="1:7" x14ac:dyDescent="0.25">
      <c r="A5593">
        <v>1577173109</v>
      </c>
      <c r="B5593" t="s">
        <v>28083</v>
      </c>
      <c r="C5593">
        <v>1885</v>
      </c>
      <c r="D5593">
        <v>1</v>
      </c>
      <c r="E5593">
        <v>620</v>
      </c>
      <c r="F5593">
        <v>4461</v>
      </c>
      <c r="G5593">
        <f t="shared" si="87"/>
        <v>1577173109</v>
      </c>
    </row>
    <row r="5594" spans="1:7" x14ac:dyDescent="0.25">
      <c r="A5594">
        <v>1577173242</v>
      </c>
      <c r="B5594" t="s">
        <v>28084</v>
      </c>
      <c r="C5594">
        <v>0</v>
      </c>
      <c r="D5594">
        <v>1</v>
      </c>
      <c r="E5594">
        <v>287</v>
      </c>
      <c r="F5594">
        <v>5157</v>
      </c>
      <c r="G5594">
        <f t="shared" si="87"/>
        <v>1577173242</v>
      </c>
    </row>
    <row r="5595" spans="1:7" x14ac:dyDescent="0.25">
      <c r="A5595">
        <v>1577173243</v>
      </c>
      <c r="B5595" t="s">
        <v>28085</v>
      </c>
      <c r="C5595">
        <v>333</v>
      </c>
      <c r="D5595">
        <v>2</v>
      </c>
      <c r="E5595">
        <v>11127</v>
      </c>
      <c r="F5595">
        <v>1395</v>
      </c>
      <c r="G5595">
        <f t="shared" si="87"/>
        <v>1577173243</v>
      </c>
    </row>
    <row r="5596" spans="1:7" x14ac:dyDescent="0.25">
      <c r="A5596">
        <v>1577173316</v>
      </c>
      <c r="B5596" t="s">
        <v>28086</v>
      </c>
      <c r="C5596">
        <v>0</v>
      </c>
      <c r="D5596">
        <v>1</v>
      </c>
      <c r="E5596">
        <v>26</v>
      </c>
      <c r="F5596">
        <v>6742</v>
      </c>
      <c r="G5596">
        <f t="shared" si="87"/>
        <v>1577173316</v>
      </c>
    </row>
    <row r="5597" spans="1:7" x14ac:dyDescent="0.25">
      <c r="A5597">
        <v>1577173330</v>
      </c>
      <c r="B5597" t="s">
        <v>28087</v>
      </c>
      <c r="C5597">
        <v>1621</v>
      </c>
      <c r="D5597">
        <v>0</v>
      </c>
      <c r="E5597">
        <v>0</v>
      </c>
      <c r="F5597">
        <v>7940</v>
      </c>
      <c r="G5597">
        <f t="shared" si="87"/>
        <v>1577173330</v>
      </c>
    </row>
    <row r="5598" spans="1:7" x14ac:dyDescent="0.25">
      <c r="A5598">
        <v>1577173380</v>
      </c>
      <c r="B5598" t="s">
        <v>28088</v>
      </c>
      <c r="C5598">
        <v>0</v>
      </c>
      <c r="D5598">
        <v>0</v>
      </c>
      <c r="E5598">
        <v>0</v>
      </c>
      <c r="F5598">
        <v>7941</v>
      </c>
      <c r="G5598">
        <f t="shared" si="87"/>
        <v>1577173380</v>
      </c>
    </row>
    <row r="5599" spans="1:7" x14ac:dyDescent="0.25">
      <c r="A5599">
        <v>1577173411</v>
      </c>
      <c r="B5599" t="s">
        <v>28089</v>
      </c>
      <c r="C5599">
        <v>399</v>
      </c>
      <c r="D5599">
        <v>1</v>
      </c>
      <c r="E5599">
        <v>4835</v>
      </c>
      <c r="F5599">
        <v>2546</v>
      </c>
      <c r="G5599">
        <f t="shared" si="87"/>
        <v>1577173411</v>
      </c>
    </row>
    <row r="5600" spans="1:7" x14ac:dyDescent="0.25">
      <c r="A5600">
        <v>1577173421</v>
      </c>
      <c r="B5600" t="s">
        <v>28090</v>
      </c>
      <c r="C5600">
        <v>0</v>
      </c>
      <c r="D5600">
        <v>1</v>
      </c>
      <c r="E5600">
        <v>752</v>
      </c>
      <c r="F5600">
        <v>4265</v>
      </c>
      <c r="G5600">
        <f t="shared" si="87"/>
        <v>1577173421</v>
      </c>
    </row>
    <row r="5601" spans="1:7" x14ac:dyDescent="0.25">
      <c r="A5601">
        <v>1577173434</v>
      </c>
      <c r="B5601" t="s">
        <v>28091</v>
      </c>
      <c r="C5601">
        <v>0</v>
      </c>
      <c r="D5601">
        <v>1</v>
      </c>
      <c r="E5601">
        <v>349</v>
      </c>
      <c r="F5601">
        <v>4988</v>
      </c>
      <c r="G5601">
        <f t="shared" si="87"/>
        <v>1577173434</v>
      </c>
    </row>
    <row r="5602" spans="1:7" x14ac:dyDescent="0.25">
      <c r="A5602">
        <v>1577173457</v>
      </c>
      <c r="B5602" t="s">
        <v>28092</v>
      </c>
      <c r="C5602">
        <v>31</v>
      </c>
      <c r="D5602">
        <v>6</v>
      </c>
      <c r="E5602">
        <v>26245</v>
      </c>
      <c r="F5602">
        <v>356</v>
      </c>
      <c r="G5602">
        <f t="shared" si="87"/>
        <v>1577173457</v>
      </c>
    </row>
    <row r="5603" spans="1:7" x14ac:dyDescent="0.25">
      <c r="A5603">
        <v>1577173473</v>
      </c>
      <c r="B5603" t="s">
        <v>36687</v>
      </c>
      <c r="C5603">
        <v>0</v>
      </c>
      <c r="D5603">
        <v>1</v>
      </c>
      <c r="E5603">
        <v>69</v>
      </c>
      <c r="F5603">
        <v>6071</v>
      </c>
      <c r="G5603">
        <f t="shared" si="87"/>
        <v>1577173473</v>
      </c>
    </row>
    <row r="5604" spans="1:7" x14ac:dyDescent="0.25">
      <c r="A5604">
        <v>1577173526</v>
      </c>
      <c r="B5604" t="s">
        <v>28093</v>
      </c>
      <c r="C5604">
        <v>333</v>
      </c>
      <c r="D5604">
        <v>3</v>
      </c>
      <c r="E5604">
        <v>9100</v>
      </c>
      <c r="F5604">
        <v>1707</v>
      </c>
      <c r="G5604">
        <f t="shared" si="87"/>
        <v>1577173526</v>
      </c>
    </row>
    <row r="5605" spans="1:7" x14ac:dyDescent="0.25">
      <c r="A5605">
        <v>1577173551</v>
      </c>
      <c r="B5605" t="s">
        <v>28094</v>
      </c>
      <c r="C5605">
        <v>896</v>
      </c>
      <c r="D5605">
        <v>2</v>
      </c>
      <c r="E5605">
        <v>8837</v>
      </c>
      <c r="F5605">
        <v>1748</v>
      </c>
      <c r="G5605">
        <f t="shared" si="87"/>
        <v>1577173551</v>
      </c>
    </row>
    <row r="5606" spans="1:7" x14ac:dyDescent="0.25">
      <c r="A5606">
        <v>1577173557</v>
      </c>
      <c r="B5606" t="s">
        <v>28095</v>
      </c>
      <c r="C5606">
        <v>0</v>
      </c>
      <c r="D5606">
        <v>1</v>
      </c>
      <c r="E5606">
        <v>248</v>
      </c>
      <c r="F5606">
        <v>5315</v>
      </c>
      <c r="G5606">
        <f t="shared" si="87"/>
        <v>1577173557</v>
      </c>
    </row>
    <row r="5607" spans="1:7" x14ac:dyDescent="0.25">
      <c r="A5607">
        <v>1577173659</v>
      </c>
      <c r="B5607" t="s">
        <v>28096</v>
      </c>
      <c r="C5607">
        <v>0</v>
      </c>
      <c r="D5607">
        <v>1</v>
      </c>
      <c r="E5607">
        <v>990</v>
      </c>
      <c r="F5607">
        <v>3993</v>
      </c>
      <c r="G5607">
        <f t="shared" si="87"/>
        <v>1577173659</v>
      </c>
    </row>
    <row r="5608" spans="1:7" x14ac:dyDescent="0.25">
      <c r="A5608">
        <v>1577173715</v>
      </c>
      <c r="B5608" t="s">
        <v>28097</v>
      </c>
      <c r="C5608">
        <v>1991</v>
      </c>
      <c r="D5608">
        <v>1</v>
      </c>
      <c r="E5608">
        <v>788</v>
      </c>
      <c r="F5608">
        <v>4227</v>
      </c>
      <c r="G5608">
        <f t="shared" si="87"/>
        <v>1577173715</v>
      </c>
    </row>
    <row r="5609" spans="1:7" x14ac:dyDescent="0.25">
      <c r="A5609">
        <v>1577173740</v>
      </c>
      <c r="B5609" t="s">
        <v>37021</v>
      </c>
      <c r="C5609">
        <v>0</v>
      </c>
      <c r="D5609">
        <v>1</v>
      </c>
      <c r="E5609">
        <v>1142</v>
      </c>
      <c r="F5609">
        <v>3835</v>
      </c>
      <c r="G5609">
        <f t="shared" si="87"/>
        <v>1577173740</v>
      </c>
    </row>
    <row r="5610" spans="1:7" x14ac:dyDescent="0.25">
      <c r="A5610">
        <v>1577173788</v>
      </c>
      <c r="B5610" t="s">
        <v>28098</v>
      </c>
      <c r="C5610">
        <v>1297</v>
      </c>
      <c r="D5610">
        <v>1</v>
      </c>
      <c r="E5610">
        <v>984</v>
      </c>
      <c r="F5610">
        <v>3997</v>
      </c>
      <c r="G5610">
        <f t="shared" si="87"/>
        <v>1577173788</v>
      </c>
    </row>
    <row r="5611" spans="1:7" x14ac:dyDescent="0.25">
      <c r="A5611">
        <v>1577173803</v>
      </c>
      <c r="B5611" t="s">
        <v>28099</v>
      </c>
      <c r="C5611">
        <v>0</v>
      </c>
      <c r="D5611">
        <v>0</v>
      </c>
      <c r="E5611">
        <v>0</v>
      </c>
      <c r="F5611">
        <v>7942</v>
      </c>
      <c r="G5611">
        <f t="shared" si="87"/>
        <v>1577173803</v>
      </c>
    </row>
    <row r="5612" spans="1:7" x14ac:dyDescent="0.25">
      <c r="A5612">
        <v>1577173851</v>
      </c>
      <c r="B5612" t="s">
        <v>28100</v>
      </c>
      <c r="C5612">
        <v>1689</v>
      </c>
      <c r="D5612">
        <v>1</v>
      </c>
      <c r="E5612">
        <v>1503</v>
      </c>
      <c r="F5612">
        <v>3606</v>
      </c>
      <c r="G5612">
        <f t="shared" si="87"/>
        <v>1577173851</v>
      </c>
    </row>
    <row r="5613" spans="1:7" x14ac:dyDescent="0.25">
      <c r="A5613">
        <v>1577173864</v>
      </c>
      <c r="B5613" t="s">
        <v>28101</v>
      </c>
      <c r="C5613">
        <v>0</v>
      </c>
      <c r="D5613">
        <v>1</v>
      </c>
      <c r="E5613">
        <v>429</v>
      </c>
      <c r="F5613">
        <v>4784</v>
      </c>
      <c r="G5613">
        <f t="shared" si="87"/>
        <v>1577173864</v>
      </c>
    </row>
    <row r="5614" spans="1:7" x14ac:dyDescent="0.25">
      <c r="A5614">
        <v>1577173881</v>
      </c>
      <c r="B5614" t="s">
        <v>28102</v>
      </c>
      <c r="C5614">
        <v>325</v>
      </c>
      <c r="D5614">
        <v>1</v>
      </c>
      <c r="E5614">
        <v>2448</v>
      </c>
      <c r="F5614">
        <v>3158</v>
      </c>
      <c r="G5614">
        <f t="shared" si="87"/>
        <v>1577173881</v>
      </c>
    </row>
    <row r="5615" spans="1:7" x14ac:dyDescent="0.25">
      <c r="A5615">
        <v>1577173890</v>
      </c>
      <c r="B5615" t="s">
        <v>28103</v>
      </c>
      <c r="C5615">
        <v>1609</v>
      </c>
      <c r="D5615">
        <v>5</v>
      </c>
      <c r="E5615">
        <v>21333</v>
      </c>
      <c r="F5615">
        <v>556</v>
      </c>
      <c r="G5615">
        <f t="shared" si="87"/>
        <v>1577173890</v>
      </c>
    </row>
    <row r="5616" spans="1:7" x14ac:dyDescent="0.25">
      <c r="A5616">
        <v>1577173898</v>
      </c>
      <c r="B5616" t="s">
        <v>28104</v>
      </c>
      <c r="C5616">
        <v>0</v>
      </c>
      <c r="D5616">
        <v>1</v>
      </c>
      <c r="E5616">
        <v>102</v>
      </c>
      <c r="F5616">
        <v>5839</v>
      </c>
      <c r="G5616">
        <f t="shared" si="87"/>
        <v>1577173898</v>
      </c>
    </row>
    <row r="5617" spans="1:7" x14ac:dyDescent="0.25">
      <c r="A5617">
        <v>1577173970</v>
      </c>
      <c r="B5617" t="s">
        <v>28105</v>
      </c>
      <c r="C5617">
        <v>19</v>
      </c>
      <c r="D5617">
        <v>0</v>
      </c>
      <c r="E5617">
        <v>0</v>
      </c>
      <c r="F5617">
        <v>7943</v>
      </c>
      <c r="G5617">
        <f t="shared" si="87"/>
        <v>1577173970</v>
      </c>
    </row>
    <row r="5618" spans="1:7" x14ac:dyDescent="0.25">
      <c r="A5618">
        <v>1577173984</v>
      </c>
      <c r="B5618" t="s">
        <v>28106</v>
      </c>
      <c r="C5618">
        <v>26</v>
      </c>
      <c r="D5618">
        <v>3</v>
      </c>
      <c r="E5618">
        <v>14509</v>
      </c>
      <c r="F5618">
        <v>1032</v>
      </c>
      <c r="G5618">
        <f t="shared" si="87"/>
        <v>1577173984</v>
      </c>
    </row>
    <row r="5619" spans="1:7" x14ac:dyDescent="0.25">
      <c r="A5619">
        <v>1577174007</v>
      </c>
      <c r="B5619" t="s">
        <v>28107</v>
      </c>
      <c r="C5619">
        <v>0</v>
      </c>
      <c r="D5619">
        <v>1</v>
      </c>
      <c r="E5619">
        <v>224</v>
      </c>
      <c r="F5619">
        <v>5415</v>
      </c>
      <c r="G5619">
        <f t="shared" si="87"/>
        <v>1577174007</v>
      </c>
    </row>
    <row r="5620" spans="1:7" x14ac:dyDescent="0.25">
      <c r="A5620">
        <v>1577174030</v>
      </c>
      <c r="B5620" t="s">
        <v>28108</v>
      </c>
      <c r="C5620">
        <v>0</v>
      </c>
      <c r="D5620">
        <v>1</v>
      </c>
      <c r="E5620">
        <v>26</v>
      </c>
      <c r="F5620">
        <v>6743</v>
      </c>
      <c r="G5620">
        <f t="shared" si="87"/>
        <v>1577174030</v>
      </c>
    </row>
    <row r="5621" spans="1:7" x14ac:dyDescent="0.25">
      <c r="A5621">
        <v>1577174074</v>
      </c>
      <c r="B5621" t="s">
        <v>28109</v>
      </c>
      <c r="C5621">
        <v>23</v>
      </c>
      <c r="D5621">
        <v>5</v>
      </c>
      <c r="E5621">
        <v>27763</v>
      </c>
      <c r="F5621">
        <v>302</v>
      </c>
      <c r="G5621">
        <f t="shared" si="87"/>
        <v>1577174074</v>
      </c>
    </row>
    <row r="5622" spans="1:7" x14ac:dyDescent="0.25">
      <c r="A5622">
        <v>1577174131</v>
      </c>
      <c r="B5622" t="s">
        <v>37171</v>
      </c>
      <c r="C5622">
        <v>39</v>
      </c>
      <c r="D5622">
        <v>3</v>
      </c>
      <c r="E5622">
        <v>16458</v>
      </c>
      <c r="F5622">
        <v>876</v>
      </c>
      <c r="G5622">
        <f t="shared" si="87"/>
        <v>1577174131</v>
      </c>
    </row>
    <row r="5623" spans="1:7" x14ac:dyDescent="0.25">
      <c r="A5623">
        <v>1577174183</v>
      </c>
      <c r="B5623" t="s">
        <v>28110</v>
      </c>
      <c r="C5623">
        <v>10</v>
      </c>
      <c r="D5623">
        <v>1</v>
      </c>
      <c r="E5623">
        <v>5762</v>
      </c>
      <c r="F5623">
        <v>2334</v>
      </c>
      <c r="G5623">
        <f t="shared" si="87"/>
        <v>1577174183</v>
      </c>
    </row>
    <row r="5624" spans="1:7" x14ac:dyDescent="0.25">
      <c r="A5624">
        <v>1577174186</v>
      </c>
      <c r="B5624" t="s">
        <v>36688</v>
      </c>
      <c r="C5624">
        <v>409</v>
      </c>
      <c r="D5624">
        <v>6</v>
      </c>
      <c r="E5624">
        <v>25224</v>
      </c>
      <c r="F5624">
        <v>386</v>
      </c>
      <c r="G5624">
        <f t="shared" si="87"/>
        <v>1577174186</v>
      </c>
    </row>
    <row r="5625" spans="1:7" x14ac:dyDescent="0.25">
      <c r="A5625">
        <v>1577174187</v>
      </c>
      <c r="B5625" t="s">
        <v>28111</v>
      </c>
      <c r="C5625">
        <v>0</v>
      </c>
      <c r="D5625">
        <v>0</v>
      </c>
      <c r="E5625">
        <v>0</v>
      </c>
      <c r="F5625">
        <v>7944</v>
      </c>
      <c r="G5625">
        <f t="shared" si="87"/>
        <v>1577174187</v>
      </c>
    </row>
    <row r="5626" spans="1:7" x14ac:dyDescent="0.25">
      <c r="A5626">
        <v>1577174217</v>
      </c>
      <c r="B5626" t="s">
        <v>28112</v>
      </c>
      <c r="C5626">
        <v>1972</v>
      </c>
      <c r="D5626">
        <v>4</v>
      </c>
      <c r="E5626">
        <v>20296</v>
      </c>
      <c r="F5626">
        <v>608</v>
      </c>
      <c r="G5626">
        <f t="shared" si="87"/>
        <v>1577174217</v>
      </c>
    </row>
    <row r="5627" spans="1:7" x14ac:dyDescent="0.25">
      <c r="A5627">
        <v>1577174219</v>
      </c>
      <c r="B5627" t="s">
        <v>28113</v>
      </c>
      <c r="C5627">
        <v>0</v>
      </c>
      <c r="D5627">
        <v>1</v>
      </c>
      <c r="E5627">
        <v>470</v>
      </c>
      <c r="F5627">
        <v>4698</v>
      </c>
      <c r="G5627">
        <f t="shared" si="87"/>
        <v>1577174219</v>
      </c>
    </row>
    <row r="5628" spans="1:7" x14ac:dyDescent="0.25">
      <c r="A5628">
        <v>1577174273</v>
      </c>
      <c r="B5628" t="s">
        <v>28114</v>
      </c>
      <c r="C5628">
        <v>106</v>
      </c>
      <c r="D5628">
        <v>2</v>
      </c>
      <c r="E5628">
        <v>10376</v>
      </c>
      <c r="F5628">
        <v>1514</v>
      </c>
      <c r="G5628">
        <f t="shared" si="87"/>
        <v>1577174273</v>
      </c>
    </row>
    <row r="5629" spans="1:7" x14ac:dyDescent="0.25">
      <c r="A5629">
        <v>1577174289</v>
      </c>
      <c r="B5629" t="s">
        <v>28115</v>
      </c>
      <c r="C5629">
        <v>0</v>
      </c>
      <c r="D5629">
        <v>1</v>
      </c>
      <c r="E5629">
        <v>42</v>
      </c>
      <c r="F5629">
        <v>6257</v>
      </c>
      <c r="G5629">
        <f t="shared" si="87"/>
        <v>1577174289</v>
      </c>
    </row>
    <row r="5630" spans="1:7" x14ac:dyDescent="0.25">
      <c r="A5630">
        <v>1577174296</v>
      </c>
      <c r="B5630" t="s">
        <v>28116</v>
      </c>
      <c r="C5630">
        <v>367</v>
      </c>
      <c r="D5630">
        <v>1</v>
      </c>
      <c r="E5630">
        <v>3377</v>
      </c>
      <c r="F5630">
        <v>2907</v>
      </c>
      <c r="G5630">
        <f t="shared" si="87"/>
        <v>1577174296</v>
      </c>
    </row>
    <row r="5631" spans="1:7" x14ac:dyDescent="0.25">
      <c r="A5631">
        <v>1577174302</v>
      </c>
      <c r="B5631" t="s">
        <v>28117</v>
      </c>
      <c r="C5631">
        <v>31</v>
      </c>
      <c r="D5631">
        <v>3</v>
      </c>
      <c r="E5631">
        <v>17601</v>
      </c>
      <c r="F5631">
        <v>796</v>
      </c>
      <c r="G5631">
        <f t="shared" si="87"/>
        <v>1577174302</v>
      </c>
    </row>
    <row r="5632" spans="1:7" x14ac:dyDescent="0.25">
      <c r="A5632">
        <v>1577174325</v>
      </c>
      <c r="B5632" t="s">
        <v>28118</v>
      </c>
      <c r="C5632">
        <v>124</v>
      </c>
      <c r="D5632">
        <v>2</v>
      </c>
      <c r="E5632">
        <v>10809</v>
      </c>
      <c r="F5632">
        <v>1448</v>
      </c>
      <c r="G5632">
        <f t="shared" si="87"/>
        <v>1577174325</v>
      </c>
    </row>
    <row r="5633" spans="1:7" x14ac:dyDescent="0.25">
      <c r="A5633">
        <v>1577174360</v>
      </c>
      <c r="B5633" t="s">
        <v>28119</v>
      </c>
      <c r="C5633">
        <v>1831</v>
      </c>
      <c r="D5633">
        <v>1</v>
      </c>
      <c r="E5633">
        <v>2749</v>
      </c>
      <c r="F5633">
        <v>3056</v>
      </c>
      <c r="G5633">
        <f t="shared" ref="G5633:G5696" si="88">A5633</f>
        <v>1577174360</v>
      </c>
    </row>
    <row r="5634" spans="1:7" x14ac:dyDescent="0.25">
      <c r="A5634">
        <v>1577174416</v>
      </c>
      <c r="B5634" t="s">
        <v>28120</v>
      </c>
      <c r="C5634">
        <v>896</v>
      </c>
      <c r="D5634">
        <v>3</v>
      </c>
      <c r="E5634">
        <v>17042</v>
      </c>
      <c r="F5634">
        <v>823</v>
      </c>
      <c r="G5634">
        <f t="shared" si="88"/>
        <v>1577174416</v>
      </c>
    </row>
    <row r="5635" spans="1:7" x14ac:dyDescent="0.25">
      <c r="A5635">
        <v>1577174424</v>
      </c>
      <c r="B5635" t="s">
        <v>28121</v>
      </c>
      <c r="C5635">
        <v>271</v>
      </c>
      <c r="D5635">
        <v>5</v>
      </c>
      <c r="E5635">
        <v>20895</v>
      </c>
      <c r="F5635">
        <v>572</v>
      </c>
      <c r="G5635">
        <f t="shared" si="88"/>
        <v>1577174424</v>
      </c>
    </row>
    <row r="5636" spans="1:7" x14ac:dyDescent="0.25">
      <c r="A5636">
        <v>1577174426</v>
      </c>
      <c r="B5636" t="s">
        <v>28122</v>
      </c>
      <c r="C5636">
        <v>271</v>
      </c>
      <c r="D5636">
        <v>3</v>
      </c>
      <c r="E5636">
        <v>11543</v>
      </c>
      <c r="F5636">
        <v>1342</v>
      </c>
      <c r="G5636">
        <f t="shared" si="88"/>
        <v>1577174426</v>
      </c>
    </row>
    <row r="5637" spans="1:7" x14ac:dyDescent="0.25">
      <c r="A5637">
        <v>1577174428</v>
      </c>
      <c r="B5637" t="s">
        <v>28123</v>
      </c>
      <c r="C5637">
        <v>1</v>
      </c>
      <c r="D5637">
        <v>4</v>
      </c>
      <c r="E5637">
        <v>8426</v>
      </c>
      <c r="F5637">
        <v>1808</v>
      </c>
      <c r="G5637">
        <f t="shared" si="88"/>
        <v>1577174428</v>
      </c>
    </row>
    <row r="5638" spans="1:7" x14ac:dyDescent="0.25">
      <c r="A5638">
        <v>1577174432</v>
      </c>
      <c r="B5638" t="s">
        <v>28124</v>
      </c>
      <c r="C5638">
        <v>122</v>
      </c>
      <c r="D5638">
        <v>1</v>
      </c>
      <c r="E5638">
        <v>5911</v>
      </c>
      <c r="F5638">
        <v>2302</v>
      </c>
      <c r="G5638">
        <f t="shared" si="88"/>
        <v>1577174432</v>
      </c>
    </row>
    <row r="5639" spans="1:7" x14ac:dyDescent="0.25">
      <c r="A5639">
        <v>1577174487</v>
      </c>
      <c r="B5639" t="s">
        <v>36689</v>
      </c>
      <c r="C5639">
        <v>989</v>
      </c>
      <c r="D5639">
        <v>1</v>
      </c>
      <c r="E5639">
        <v>26</v>
      </c>
      <c r="F5639">
        <v>6744</v>
      </c>
      <c r="G5639">
        <f t="shared" si="88"/>
        <v>1577174487</v>
      </c>
    </row>
    <row r="5640" spans="1:7" x14ac:dyDescent="0.25">
      <c r="A5640">
        <v>1577174546</v>
      </c>
      <c r="B5640" t="s">
        <v>28125</v>
      </c>
      <c r="C5640">
        <v>1699</v>
      </c>
      <c r="D5640">
        <v>3</v>
      </c>
      <c r="E5640">
        <v>14210</v>
      </c>
      <c r="F5640">
        <v>1060</v>
      </c>
      <c r="G5640">
        <f t="shared" si="88"/>
        <v>1577174546</v>
      </c>
    </row>
    <row r="5641" spans="1:7" x14ac:dyDescent="0.25">
      <c r="A5641">
        <v>1577174560</v>
      </c>
      <c r="B5641" t="s">
        <v>28126</v>
      </c>
      <c r="C5641">
        <v>0</v>
      </c>
      <c r="D5641">
        <v>1</v>
      </c>
      <c r="E5641">
        <v>995</v>
      </c>
      <c r="F5641">
        <v>3986</v>
      </c>
      <c r="G5641">
        <f t="shared" si="88"/>
        <v>1577174560</v>
      </c>
    </row>
    <row r="5642" spans="1:7" x14ac:dyDescent="0.25">
      <c r="A5642">
        <v>1577174600</v>
      </c>
      <c r="B5642" t="s">
        <v>2406</v>
      </c>
      <c r="C5642">
        <v>0</v>
      </c>
      <c r="D5642">
        <v>1</v>
      </c>
      <c r="E5642">
        <v>350</v>
      </c>
      <c r="F5642">
        <v>4985</v>
      </c>
      <c r="G5642">
        <f t="shared" si="88"/>
        <v>1577174600</v>
      </c>
    </row>
    <row r="5643" spans="1:7" x14ac:dyDescent="0.25">
      <c r="A5643">
        <v>1577174631</v>
      </c>
      <c r="B5643" t="s">
        <v>28127</v>
      </c>
      <c r="C5643">
        <v>0</v>
      </c>
      <c r="D5643">
        <v>0</v>
      </c>
      <c r="E5643">
        <v>0</v>
      </c>
      <c r="F5643">
        <v>7945</v>
      </c>
      <c r="G5643">
        <f t="shared" si="88"/>
        <v>1577174631</v>
      </c>
    </row>
    <row r="5644" spans="1:7" x14ac:dyDescent="0.25">
      <c r="A5644">
        <v>1577174645</v>
      </c>
      <c r="B5644" t="s">
        <v>28128</v>
      </c>
      <c r="C5644">
        <v>208</v>
      </c>
      <c r="D5644">
        <v>0</v>
      </c>
      <c r="E5644">
        <v>0</v>
      </c>
      <c r="F5644">
        <v>7946</v>
      </c>
      <c r="G5644">
        <f t="shared" si="88"/>
        <v>1577174645</v>
      </c>
    </row>
    <row r="5645" spans="1:7" x14ac:dyDescent="0.25">
      <c r="A5645">
        <v>1577174664</v>
      </c>
      <c r="B5645" t="s">
        <v>28129</v>
      </c>
      <c r="C5645">
        <v>494</v>
      </c>
      <c r="D5645">
        <v>1</v>
      </c>
      <c r="E5645">
        <v>3785</v>
      </c>
      <c r="F5645">
        <v>2814</v>
      </c>
      <c r="G5645">
        <f t="shared" si="88"/>
        <v>1577174664</v>
      </c>
    </row>
    <row r="5646" spans="1:7" x14ac:dyDescent="0.25">
      <c r="A5646">
        <v>1577174674</v>
      </c>
      <c r="B5646" t="s">
        <v>36690</v>
      </c>
      <c r="C5646">
        <v>156</v>
      </c>
      <c r="D5646">
        <v>0</v>
      </c>
      <c r="E5646">
        <v>0</v>
      </c>
      <c r="F5646">
        <v>7947</v>
      </c>
      <c r="G5646">
        <f t="shared" si="88"/>
        <v>1577174674</v>
      </c>
    </row>
    <row r="5647" spans="1:7" x14ac:dyDescent="0.25">
      <c r="A5647">
        <v>1577174726</v>
      </c>
      <c r="B5647" t="s">
        <v>28130</v>
      </c>
      <c r="C5647">
        <v>4</v>
      </c>
      <c r="D5647">
        <v>12</v>
      </c>
      <c r="E5647">
        <v>66638</v>
      </c>
      <c r="F5647">
        <v>12</v>
      </c>
      <c r="G5647">
        <f t="shared" si="88"/>
        <v>1577174726</v>
      </c>
    </row>
    <row r="5648" spans="1:7" x14ac:dyDescent="0.25">
      <c r="A5648">
        <v>1577174728</v>
      </c>
      <c r="B5648" t="s">
        <v>28131</v>
      </c>
      <c r="C5648">
        <v>235</v>
      </c>
      <c r="D5648">
        <v>1</v>
      </c>
      <c r="E5648">
        <v>256</v>
      </c>
      <c r="F5648">
        <v>5276</v>
      </c>
      <c r="G5648">
        <f t="shared" si="88"/>
        <v>1577174728</v>
      </c>
    </row>
    <row r="5649" spans="1:7" x14ac:dyDescent="0.25">
      <c r="A5649">
        <v>1577174740</v>
      </c>
      <c r="B5649" t="s">
        <v>28132</v>
      </c>
      <c r="C5649">
        <v>0</v>
      </c>
      <c r="D5649">
        <v>0</v>
      </c>
      <c r="E5649">
        <v>0</v>
      </c>
      <c r="F5649">
        <v>7948</v>
      </c>
      <c r="G5649">
        <f t="shared" si="88"/>
        <v>1577174740</v>
      </c>
    </row>
    <row r="5650" spans="1:7" x14ac:dyDescent="0.25">
      <c r="A5650">
        <v>1577174754</v>
      </c>
      <c r="B5650" t="s">
        <v>36691</v>
      </c>
      <c r="C5650">
        <v>138</v>
      </c>
      <c r="D5650">
        <v>6</v>
      </c>
      <c r="E5650">
        <v>31481</v>
      </c>
      <c r="F5650">
        <v>214</v>
      </c>
      <c r="G5650">
        <f t="shared" si="88"/>
        <v>1577174754</v>
      </c>
    </row>
    <row r="5651" spans="1:7" x14ac:dyDescent="0.25">
      <c r="A5651">
        <v>1577174797</v>
      </c>
      <c r="B5651" t="s">
        <v>28133</v>
      </c>
      <c r="C5651">
        <v>480</v>
      </c>
      <c r="D5651">
        <v>1</v>
      </c>
      <c r="E5651">
        <v>2369</v>
      </c>
      <c r="F5651">
        <v>3185</v>
      </c>
      <c r="G5651">
        <f t="shared" si="88"/>
        <v>1577174797</v>
      </c>
    </row>
    <row r="5652" spans="1:7" x14ac:dyDescent="0.25">
      <c r="A5652">
        <v>1577174798</v>
      </c>
      <c r="B5652" t="s">
        <v>28134</v>
      </c>
      <c r="C5652">
        <v>55</v>
      </c>
      <c r="D5652">
        <v>1</v>
      </c>
      <c r="E5652">
        <v>2477</v>
      </c>
      <c r="F5652">
        <v>3147</v>
      </c>
      <c r="G5652">
        <f t="shared" si="88"/>
        <v>1577174798</v>
      </c>
    </row>
    <row r="5653" spans="1:7" x14ac:dyDescent="0.25">
      <c r="A5653">
        <v>1577174848</v>
      </c>
      <c r="B5653" t="s">
        <v>28135</v>
      </c>
      <c r="C5653">
        <v>156</v>
      </c>
      <c r="D5653">
        <v>0</v>
      </c>
      <c r="E5653">
        <v>0</v>
      </c>
      <c r="F5653">
        <v>7949</v>
      </c>
      <c r="G5653">
        <f t="shared" si="88"/>
        <v>1577174848</v>
      </c>
    </row>
    <row r="5654" spans="1:7" x14ac:dyDescent="0.25">
      <c r="A5654">
        <v>1577174875</v>
      </c>
      <c r="B5654" t="s">
        <v>37172</v>
      </c>
      <c r="C5654">
        <v>3</v>
      </c>
      <c r="D5654">
        <v>4</v>
      </c>
      <c r="E5654">
        <v>20385</v>
      </c>
      <c r="F5654">
        <v>601</v>
      </c>
      <c r="G5654">
        <f t="shared" si="88"/>
        <v>1577174875</v>
      </c>
    </row>
    <row r="5655" spans="1:7" x14ac:dyDescent="0.25">
      <c r="A5655">
        <v>1577174888</v>
      </c>
      <c r="B5655" t="s">
        <v>28136</v>
      </c>
      <c r="C5655">
        <v>0</v>
      </c>
      <c r="D5655">
        <v>0</v>
      </c>
      <c r="E5655">
        <v>0</v>
      </c>
      <c r="F5655">
        <v>7950</v>
      </c>
      <c r="G5655">
        <f t="shared" si="88"/>
        <v>1577174888</v>
      </c>
    </row>
    <row r="5656" spans="1:7" x14ac:dyDescent="0.25">
      <c r="A5656">
        <v>1577174899</v>
      </c>
      <c r="B5656" t="s">
        <v>28137</v>
      </c>
      <c r="C5656">
        <v>1107</v>
      </c>
      <c r="D5656">
        <v>1</v>
      </c>
      <c r="E5656">
        <v>291</v>
      </c>
      <c r="F5656">
        <v>5147</v>
      </c>
      <c r="G5656">
        <f t="shared" si="88"/>
        <v>1577174899</v>
      </c>
    </row>
    <row r="5657" spans="1:7" x14ac:dyDescent="0.25">
      <c r="A5657">
        <v>1577174916</v>
      </c>
      <c r="B5657" t="s">
        <v>36692</v>
      </c>
      <c r="C5657">
        <v>0</v>
      </c>
      <c r="D5657">
        <v>1</v>
      </c>
      <c r="E5657">
        <v>79</v>
      </c>
      <c r="F5657">
        <v>5976</v>
      </c>
      <c r="G5657">
        <f t="shared" si="88"/>
        <v>1577174916</v>
      </c>
    </row>
    <row r="5658" spans="1:7" x14ac:dyDescent="0.25">
      <c r="A5658">
        <v>1577174949</v>
      </c>
      <c r="B5658" t="s">
        <v>28138</v>
      </c>
      <c r="C5658">
        <v>1621</v>
      </c>
      <c r="D5658">
        <v>0</v>
      </c>
      <c r="E5658">
        <v>0</v>
      </c>
      <c r="F5658">
        <v>7951</v>
      </c>
      <c r="G5658">
        <f t="shared" si="88"/>
        <v>1577174949</v>
      </c>
    </row>
    <row r="5659" spans="1:7" x14ac:dyDescent="0.25">
      <c r="A5659">
        <v>1577174966</v>
      </c>
      <c r="B5659" t="s">
        <v>37022</v>
      </c>
      <c r="C5659">
        <v>1602</v>
      </c>
      <c r="D5659">
        <v>1</v>
      </c>
      <c r="E5659">
        <v>559</v>
      </c>
      <c r="F5659">
        <v>4537</v>
      </c>
      <c r="G5659">
        <f t="shared" si="88"/>
        <v>1577174966</v>
      </c>
    </row>
    <row r="5660" spans="1:7" x14ac:dyDescent="0.25">
      <c r="A5660">
        <v>1577174979</v>
      </c>
      <c r="B5660" t="s">
        <v>3805</v>
      </c>
      <c r="C5660">
        <v>882</v>
      </c>
      <c r="D5660">
        <v>7</v>
      </c>
      <c r="E5660">
        <v>32031</v>
      </c>
      <c r="F5660">
        <v>209</v>
      </c>
      <c r="G5660">
        <f t="shared" si="88"/>
        <v>1577174979</v>
      </c>
    </row>
    <row r="5661" spans="1:7" x14ac:dyDescent="0.25">
      <c r="A5661">
        <v>1577175033</v>
      </c>
      <c r="B5661" t="s">
        <v>28139</v>
      </c>
      <c r="C5661">
        <v>0</v>
      </c>
      <c r="D5661">
        <v>1</v>
      </c>
      <c r="E5661">
        <v>36</v>
      </c>
      <c r="F5661">
        <v>6294</v>
      </c>
      <c r="G5661">
        <f t="shared" si="88"/>
        <v>1577175033</v>
      </c>
    </row>
    <row r="5662" spans="1:7" x14ac:dyDescent="0.25">
      <c r="A5662">
        <v>1577175048</v>
      </c>
      <c r="B5662" t="e">
        <f>-Daydreamer-1</f>
        <v>#NAME?</v>
      </c>
      <c r="C5662">
        <v>0</v>
      </c>
      <c r="D5662">
        <v>1</v>
      </c>
      <c r="E5662">
        <v>54</v>
      </c>
      <c r="F5662">
        <v>6138</v>
      </c>
      <c r="G5662">
        <f t="shared" si="88"/>
        <v>1577175048</v>
      </c>
    </row>
    <row r="5663" spans="1:7" x14ac:dyDescent="0.25">
      <c r="A5663">
        <v>1577175064</v>
      </c>
      <c r="B5663" t="s">
        <v>36693</v>
      </c>
      <c r="C5663">
        <v>1019</v>
      </c>
      <c r="D5663">
        <v>4</v>
      </c>
      <c r="E5663">
        <v>18511</v>
      </c>
      <c r="F5663">
        <v>716</v>
      </c>
      <c r="G5663">
        <f t="shared" si="88"/>
        <v>1577175064</v>
      </c>
    </row>
    <row r="5664" spans="1:7" x14ac:dyDescent="0.25">
      <c r="A5664">
        <v>1577175090</v>
      </c>
      <c r="B5664" t="s">
        <v>1443</v>
      </c>
      <c r="C5664">
        <v>274</v>
      </c>
      <c r="D5664">
        <v>2</v>
      </c>
      <c r="E5664">
        <v>15279</v>
      </c>
      <c r="F5664">
        <v>962</v>
      </c>
      <c r="G5664">
        <f t="shared" si="88"/>
        <v>1577175090</v>
      </c>
    </row>
    <row r="5665" spans="1:7" x14ac:dyDescent="0.25">
      <c r="A5665">
        <v>1577175097</v>
      </c>
      <c r="B5665" t="s">
        <v>37332</v>
      </c>
      <c r="C5665">
        <v>0</v>
      </c>
      <c r="D5665">
        <v>1</v>
      </c>
      <c r="E5665">
        <v>295</v>
      </c>
      <c r="F5665">
        <v>5135</v>
      </c>
      <c r="G5665">
        <f t="shared" si="88"/>
        <v>1577175097</v>
      </c>
    </row>
    <row r="5666" spans="1:7" x14ac:dyDescent="0.25">
      <c r="A5666">
        <v>1577175126</v>
      </c>
      <c r="B5666" t="s">
        <v>36694</v>
      </c>
      <c r="C5666">
        <v>333</v>
      </c>
      <c r="D5666">
        <v>1</v>
      </c>
      <c r="E5666">
        <v>7714</v>
      </c>
      <c r="F5666">
        <v>1937</v>
      </c>
      <c r="G5666">
        <f t="shared" si="88"/>
        <v>1577175126</v>
      </c>
    </row>
    <row r="5667" spans="1:7" x14ac:dyDescent="0.25">
      <c r="A5667">
        <v>1577175136</v>
      </c>
      <c r="B5667" t="s">
        <v>28140</v>
      </c>
      <c r="C5667">
        <v>1622</v>
      </c>
      <c r="D5667">
        <v>0</v>
      </c>
      <c r="E5667">
        <v>0</v>
      </c>
      <c r="F5667">
        <v>7952</v>
      </c>
      <c r="G5667">
        <f t="shared" si="88"/>
        <v>1577175136</v>
      </c>
    </row>
    <row r="5668" spans="1:7" x14ac:dyDescent="0.25">
      <c r="A5668">
        <v>1577175203</v>
      </c>
      <c r="B5668" t="s">
        <v>28141</v>
      </c>
      <c r="C5668">
        <v>124</v>
      </c>
      <c r="D5668">
        <v>2</v>
      </c>
      <c r="E5668">
        <v>9586</v>
      </c>
      <c r="F5668">
        <v>1629</v>
      </c>
      <c r="G5668">
        <f t="shared" si="88"/>
        <v>1577175203</v>
      </c>
    </row>
    <row r="5669" spans="1:7" x14ac:dyDescent="0.25">
      <c r="A5669">
        <v>1577175214</v>
      </c>
      <c r="B5669" t="s">
        <v>28142</v>
      </c>
      <c r="C5669">
        <v>552</v>
      </c>
      <c r="D5669">
        <v>4</v>
      </c>
      <c r="E5669">
        <v>23980</v>
      </c>
      <c r="F5669">
        <v>442</v>
      </c>
      <c r="G5669">
        <f t="shared" si="88"/>
        <v>1577175214</v>
      </c>
    </row>
    <row r="5670" spans="1:7" x14ac:dyDescent="0.25">
      <c r="A5670">
        <v>1577175218</v>
      </c>
      <c r="B5670" t="s">
        <v>28143</v>
      </c>
      <c r="C5670">
        <v>47</v>
      </c>
      <c r="D5670">
        <v>2</v>
      </c>
      <c r="E5670">
        <v>9996</v>
      </c>
      <c r="F5670">
        <v>1564</v>
      </c>
      <c r="G5670">
        <f t="shared" si="88"/>
        <v>1577175218</v>
      </c>
    </row>
    <row r="5671" spans="1:7" x14ac:dyDescent="0.25">
      <c r="A5671">
        <v>1577175245</v>
      </c>
      <c r="B5671" t="s">
        <v>28144</v>
      </c>
      <c r="C5671">
        <v>25</v>
      </c>
      <c r="D5671">
        <v>2</v>
      </c>
      <c r="E5671">
        <v>8691</v>
      </c>
      <c r="F5671">
        <v>1780</v>
      </c>
      <c r="G5671">
        <f t="shared" si="88"/>
        <v>1577175245</v>
      </c>
    </row>
    <row r="5672" spans="1:7" x14ac:dyDescent="0.25">
      <c r="A5672">
        <v>1577175249</v>
      </c>
      <c r="B5672" t="s">
        <v>28145</v>
      </c>
      <c r="C5672">
        <v>15</v>
      </c>
      <c r="D5672">
        <v>0</v>
      </c>
      <c r="E5672">
        <v>0</v>
      </c>
      <c r="F5672">
        <v>7953</v>
      </c>
      <c r="G5672">
        <f t="shared" si="88"/>
        <v>1577175249</v>
      </c>
    </row>
    <row r="5673" spans="1:7" x14ac:dyDescent="0.25">
      <c r="A5673">
        <v>1577175285</v>
      </c>
      <c r="B5673" t="s">
        <v>28146</v>
      </c>
      <c r="C5673">
        <v>0</v>
      </c>
      <c r="D5673">
        <v>1</v>
      </c>
      <c r="E5673">
        <v>26</v>
      </c>
      <c r="F5673">
        <v>6745</v>
      </c>
      <c r="G5673">
        <f t="shared" si="88"/>
        <v>1577175285</v>
      </c>
    </row>
    <row r="5674" spans="1:7" x14ac:dyDescent="0.25">
      <c r="A5674">
        <v>1577175305</v>
      </c>
      <c r="B5674" t="s">
        <v>28147</v>
      </c>
      <c r="C5674">
        <v>131</v>
      </c>
      <c r="D5674">
        <v>3</v>
      </c>
      <c r="E5674">
        <v>12546</v>
      </c>
      <c r="F5674">
        <v>1228</v>
      </c>
      <c r="G5674">
        <f t="shared" si="88"/>
        <v>1577175305</v>
      </c>
    </row>
    <row r="5675" spans="1:7" x14ac:dyDescent="0.25">
      <c r="A5675">
        <v>1577175309</v>
      </c>
      <c r="B5675" t="s">
        <v>28148</v>
      </c>
      <c r="C5675">
        <v>36</v>
      </c>
      <c r="D5675">
        <v>4</v>
      </c>
      <c r="E5675">
        <v>18959</v>
      </c>
      <c r="F5675">
        <v>686</v>
      </c>
      <c r="G5675">
        <f t="shared" si="88"/>
        <v>1577175309</v>
      </c>
    </row>
    <row r="5676" spans="1:7" x14ac:dyDescent="0.25">
      <c r="A5676">
        <v>1577175352</v>
      </c>
      <c r="B5676" t="s">
        <v>28149</v>
      </c>
      <c r="C5676">
        <v>541</v>
      </c>
      <c r="D5676">
        <v>6</v>
      </c>
      <c r="E5676">
        <v>34346</v>
      </c>
      <c r="F5676">
        <v>157</v>
      </c>
      <c r="G5676">
        <f t="shared" si="88"/>
        <v>1577175352</v>
      </c>
    </row>
    <row r="5677" spans="1:7" x14ac:dyDescent="0.25">
      <c r="A5677">
        <v>1577175362</v>
      </c>
      <c r="B5677" t="s">
        <v>28150</v>
      </c>
      <c r="C5677">
        <v>0</v>
      </c>
      <c r="D5677">
        <v>1</v>
      </c>
      <c r="E5677">
        <v>27</v>
      </c>
      <c r="F5677">
        <v>6337</v>
      </c>
      <c r="G5677">
        <f t="shared" si="88"/>
        <v>1577175362</v>
      </c>
    </row>
    <row r="5678" spans="1:7" x14ac:dyDescent="0.25">
      <c r="A5678">
        <v>1577175387</v>
      </c>
      <c r="B5678" t="s">
        <v>37023</v>
      </c>
      <c r="C5678">
        <v>494</v>
      </c>
      <c r="D5678">
        <v>7</v>
      </c>
      <c r="E5678">
        <v>43284</v>
      </c>
      <c r="F5678">
        <v>74</v>
      </c>
      <c r="G5678">
        <f t="shared" si="88"/>
        <v>1577175387</v>
      </c>
    </row>
    <row r="5679" spans="1:7" x14ac:dyDescent="0.25">
      <c r="A5679">
        <v>1577175388</v>
      </c>
      <c r="B5679" t="s">
        <v>28151</v>
      </c>
      <c r="C5679">
        <v>74</v>
      </c>
      <c r="D5679">
        <v>1</v>
      </c>
      <c r="E5679">
        <v>1222</v>
      </c>
      <c r="F5679">
        <v>3780</v>
      </c>
      <c r="G5679">
        <f t="shared" si="88"/>
        <v>1577175388</v>
      </c>
    </row>
    <row r="5680" spans="1:7" x14ac:dyDescent="0.25">
      <c r="A5680">
        <v>1577175406</v>
      </c>
      <c r="B5680" t="s">
        <v>37333</v>
      </c>
      <c r="C5680">
        <v>0</v>
      </c>
      <c r="D5680">
        <v>1</v>
      </c>
      <c r="E5680">
        <v>1919</v>
      </c>
      <c r="F5680">
        <v>3387</v>
      </c>
      <c r="G5680">
        <f t="shared" si="88"/>
        <v>1577175406</v>
      </c>
    </row>
    <row r="5681" spans="1:7" x14ac:dyDescent="0.25">
      <c r="A5681">
        <v>1577175411</v>
      </c>
      <c r="B5681" t="s">
        <v>28152</v>
      </c>
      <c r="C5681">
        <v>0</v>
      </c>
      <c r="D5681">
        <v>1</v>
      </c>
      <c r="E5681">
        <v>871</v>
      </c>
      <c r="F5681">
        <v>4117</v>
      </c>
      <c r="G5681">
        <f t="shared" si="88"/>
        <v>1577175411</v>
      </c>
    </row>
    <row r="5682" spans="1:7" x14ac:dyDescent="0.25">
      <c r="A5682">
        <v>1577175417</v>
      </c>
      <c r="B5682" t="s">
        <v>28153</v>
      </c>
      <c r="C5682">
        <v>1669</v>
      </c>
      <c r="D5682">
        <v>0</v>
      </c>
      <c r="E5682">
        <v>0</v>
      </c>
      <c r="F5682">
        <v>7954</v>
      </c>
      <c r="G5682">
        <f t="shared" si="88"/>
        <v>1577175417</v>
      </c>
    </row>
    <row r="5683" spans="1:7" x14ac:dyDescent="0.25">
      <c r="A5683">
        <v>1577175422</v>
      </c>
      <c r="B5683" t="s">
        <v>28154</v>
      </c>
      <c r="C5683">
        <v>1</v>
      </c>
      <c r="D5683">
        <v>1</v>
      </c>
      <c r="E5683">
        <v>6565</v>
      </c>
      <c r="F5683">
        <v>2149</v>
      </c>
      <c r="G5683">
        <f t="shared" si="88"/>
        <v>1577175422</v>
      </c>
    </row>
    <row r="5684" spans="1:7" x14ac:dyDescent="0.25">
      <c r="A5684">
        <v>1577175435</v>
      </c>
      <c r="B5684" t="s">
        <v>28155</v>
      </c>
      <c r="C5684">
        <v>131</v>
      </c>
      <c r="D5684">
        <v>3</v>
      </c>
      <c r="E5684">
        <v>12574</v>
      </c>
      <c r="F5684">
        <v>1223</v>
      </c>
      <c r="G5684">
        <f t="shared" si="88"/>
        <v>1577175435</v>
      </c>
    </row>
    <row r="5685" spans="1:7" x14ac:dyDescent="0.25">
      <c r="A5685">
        <v>1577175442</v>
      </c>
      <c r="B5685" t="s">
        <v>36695</v>
      </c>
      <c r="C5685">
        <v>431</v>
      </c>
      <c r="D5685">
        <v>1</v>
      </c>
      <c r="E5685">
        <v>1188</v>
      </c>
      <c r="F5685">
        <v>3836</v>
      </c>
      <c r="G5685">
        <f t="shared" si="88"/>
        <v>1577175442</v>
      </c>
    </row>
    <row r="5686" spans="1:7" x14ac:dyDescent="0.25">
      <c r="A5686">
        <v>1577175443</v>
      </c>
      <c r="B5686" t="s">
        <v>28156</v>
      </c>
      <c r="C5686">
        <v>494</v>
      </c>
      <c r="D5686">
        <v>3</v>
      </c>
      <c r="E5686">
        <v>10975</v>
      </c>
      <c r="F5686">
        <v>1424</v>
      </c>
      <c r="G5686">
        <f t="shared" si="88"/>
        <v>1577175443</v>
      </c>
    </row>
    <row r="5687" spans="1:7" x14ac:dyDescent="0.25">
      <c r="A5687">
        <v>1577175448</v>
      </c>
      <c r="B5687" t="s">
        <v>28157</v>
      </c>
      <c r="C5687">
        <v>643</v>
      </c>
      <c r="D5687">
        <v>3</v>
      </c>
      <c r="E5687">
        <v>14452</v>
      </c>
      <c r="F5687">
        <v>1037</v>
      </c>
      <c r="G5687">
        <f t="shared" si="88"/>
        <v>1577175448</v>
      </c>
    </row>
    <row r="5688" spans="1:7" x14ac:dyDescent="0.25">
      <c r="A5688">
        <v>1577175475</v>
      </c>
      <c r="B5688" t="s">
        <v>28158</v>
      </c>
      <c r="C5688">
        <v>1688</v>
      </c>
      <c r="D5688">
        <v>4</v>
      </c>
      <c r="E5688">
        <v>24739</v>
      </c>
      <c r="F5688">
        <v>406</v>
      </c>
      <c r="G5688">
        <f t="shared" si="88"/>
        <v>1577175475</v>
      </c>
    </row>
    <row r="5689" spans="1:7" x14ac:dyDescent="0.25">
      <c r="A5689">
        <v>1577175504</v>
      </c>
      <c r="B5689" t="s">
        <v>28159</v>
      </c>
      <c r="C5689">
        <v>0</v>
      </c>
      <c r="D5689">
        <v>0</v>
      </c>
      <c r="E5689">
        <v>0</v>
      </c>
      <c r="F5689">
        <v>7955</v>
      </c>
      <c r="G5689">
        <f t="shared" si="88"/>
        <v>1577175504</v>
      </c>
    </row>
    <row r="5690" spans="1:7" x14ac:dyDescent="0.25">
      <c r="A5690">
        <v>1577175519</v>
      </c>
      <c r="B5690" t="s">
        <v>36696</v>
      </c>
      <c r="C5690">
        <v>680</v>
      </c>
      <c r="D5690">
        <v>1</v>
      </c>
      <c r="E5690">
        <v>4394</v>
      </c>
      <c r="F5690">
        <v>2650</v>
      </c>
      <c r="G5690">
        <f t="shared" si="88"/>
        <v>1577175519</v>
      </c>
    </row>
    <row r="5691" spans="1:7" x14ac:dyDescent="0.25">
      <c r="A5691">
        <v>1577175525</v>
      </c>
      <c r="B5691" t="s">
        <v>28160</v>
      </c>
      <c r="C5691">
        <v>274</v>
      </c>
      <c r="D5691">
        <v>4</v>
      </c>
      <c r="E5691">
        <v>18429</v>
      </c>
      <c r="F5691">
        <v>722</v>
      </c>
      <c r="G5691">
        <f t="shared" si="88"/>
        <v>1577175525</v>
      </c>
    </row>
    <row r="5692" spans="1:7" x14ac:dyDescent="0.25">
      <c r="A5692">
        <v>1577175543</v>
      </c>
      <c r="B5692" t="s">
        <v>28161</v>
      </c>
      <c r="C5692">
        <v>367</v>
      </c>
      <c r="D5692">
        <v>2</v>
      </c>
      <c r="E5692">
        <v>9706</v>
      </c>
      <c r="F5692">
        <v>1607</v>
      </c>
      <c r="G5692">
        <f t="shared" si="88"/>
        <v>1577175543</v>
      </c>
    </row>
    <row r="5693" spans="1:7" x14ac:dyDescent="0.25">
      <c r="A5693">
        <v>1577175546</v>
      </c>
      <c r="B5693" t="s">
        <v>28162</v>
      </c>
      <c r="C5693">
        <v>412</v>
      </c>
      <c r="D5693">
        <v>3</v>
      </c>
      <c r="E5693">
        <v>18967</v>
      </c>
      <c r="F5693">
        <v>684</v>
      </c>
      <c r="G5693">
        <f t="shared" si="88"/>
        <v>1577175546</v>
      </c>
    </row>
    <row r="5694" spans="1:7" x14ac:dyDescent="0.25">
      <c r="A5694">
        <v>1577175554</v>
      </c>
      <c r="B5694" t="s">
        <v>28163</v>
      </c>
      <c r="C5694">
        <v>0</v>
      </c>
      <c r="D5694">
        <v>1</v>
      </c>
      <c r="E5694">
        <v>200</v>
      </c>
      <c r="F5694">
        <v>5499</v>
      </c>
      <c r="G5694">
        <f t="shared" si="88"/>
        <v>1577175554</v>
      </c>
    </row>
    <row r="5695" spans="1:7" x14ac:dyDescent="0.25">
      <c r="A5695">
        <v>1577175562</v>
      </c>
      <c r="B5695" t="s">
        <v>28164</v>
      </c>
      <c r="C5695">
        <v>890</v>
      </c>
      <c r="D5695">
        <v>0</v>
      </c>
      <c r="E5695">
        <v>0</v>
      </c>
      <c r="F5695">
        <v>7956</v>
      </c>
      <c r="G5695">
        <f t="shared" si="88"/>
        <v>1577175562</v>
      </c>
    </row>
    <row r="5696" spans="1:7" x14ac:dyDescent="0.25">
      <c r="A5696">
        <v>1577175586</v>
      </c>
      <c r="B5696" t="s">
        <v>28165</v>
      </c>
      <c r="C5696">
        <v>54</v>
      </c>
      <c r="D5696">
        <v>1</v>
      </c>
      <c r="E5696">
        <v>26</v>
      </c>
      <c r="F5696">
        <v>6746</v>
      </c>
      <c r="G5696">
        <f t="shared" si="88"/>
        <v>1577175586</v>
      </c>
    </row>
    <row r="5697" spans="1:7" x14ac:dyDescent="0.25">
      <c r="A5697">
        <v>1577175608</v>
      </c>
      <c r="B5697" t="s">
        <v>37173</v>
      </c>
      <c r="C5697">
        <v>0</v>
      </c>
      <c r="D5697">
        <v>0</v>
      </c>
      <c r="E5697">
        <v>0</v>
      </c>
      <c r="F5697">
        <v>7957</v>
      </c>
      <c r="G5697">
        <f t="shared" ref="G5697:G5760" si="89">A5697</f>
        <v>1577175608</v>
      </c>
    </row>
    <row r="5698" spans="1:7" x14ac:dyDescent="0.25">
      <c r="A5698">
        <v>1577175614</v>
      </c>
      <c r="B5698" t="s">
        <v>36697</v>
      </c>
      <c r="C5698">
        <v>0</v>
      </c>
      <c r="D5698">
        <v>1</v>
      </c>
      <c r="E5698">
        <v>26</v>
      </c>
      <c r="F5698">
        <v>6747</v>
      </c>
      <c r="G5698">
        <f t="shared" si="89"/>
        <v>1577175614</v>
      </c>
    </row>
    <row r="5699" spans="1:7" x14ac:dyDescent="0.25">
      <c r="A5699">
        <v>1577175619</v>
      </c>
      <c r="B5699" t="s">
        <v>28166</v>
      </c>
      <c r="C5699">
        <v>0</v>
      </c>
      <c r="D5699">
        <v>1</v>
      </c>
      <c r="E5699">
        <v>26</v>
      </c>
      <c r="F5699">
        <v>6748</v>
      </c>
      <c r="G5699">
        <f t="shared" si="89"/>
        <v>1577175619</v>
      </c>
    </row>
    <row r="5700" spans="1:7" x14ac:dyDescent="0.25">
      <c r="A5700">
        <v>1577175685</v>
      </c>
      <c r="B5700" t="s">
        <v>37439</v>
      </c>
      <c r="C5700">
        <v>0</v>
      </c>
      <c r="D5700">
        <v>1</v>
      </c>
      <c r="E5700">
        <v>26</v>
      </c>
      <c r="F5700">
        <v>6749</v>
      </c>
      <c r="G5700">
        <f t="shared" si="89"/>
        <v>1577175685</v>
      </c>
    </row>
    <row r="5701" spans="1:7" x14ac:dyDescent="0.25">
      <c r="A5701">
        <v>1577175720</v>
      </c>
      <c r="B5701" t="s">
        <v>28167</v>
      </c>
      <c r="C5701">
        <v>36</v>
      </c>
      <c r="D5701">
        <v>5</v>
      </c>
      <c r="E5701">
        <v>24634</v>
      </c>
      <c r="F5701">
        <v>412</v>
      </c>
      <c r="G5701">
        <f t="shared" si="89"/>
        <v>1577175720</v>
      </c>
    </row>
    <row r="5702" spans="1:7" x14ac:dyDescent="0.25">
      <c r="A5702">
        <v>1577175781</v>
      </c>
      <c r="B5702" t="s">
        <v>28168</v>
      </c>
      <c r="C5702">
        <v>1</v>
      </c>
      <c r="D5702">
        <v>1</v>
      </c>
      <c r="E5702">
        <v>5687</v>
      </c>
      <c r="F5702">
        <v>2354</v>
      </c>
      <c r="G5702">
        <f t="shared" si="89"/>
        <v>1577175781</v>
      </c>
    </row>
    <row r="5703" spans="1:7" x14ac:dyDescent="0.25">
      <c r="A5703">
        <v>1577175788</v>
      </c>
      <c r="B5703" t="s">
        <v>37334</v>
      </c>
      <c r="C5703">
        <v>467</v>
      </c>
      <c r="D5703">
        <v>1</v>
      </c>
      <c r="E5703">
        <v>3213</v>
      </c>
      <c r="F5703">
        <v>2938</v>
      </c>
      <c r="G5703">
        <f t="shared" si="89"/>
        <v>1577175788</v>
      </c>
    </row>
    <row r="5704" spans="1:7" x14ac:dyDescent="0.25">
      <c r="A5704">
        <v>1577175791</v>
      </c>
      <c r="B5704" t="s">
        <v>28169</v>
      </c>
      <c r="C5704">
        <v>228</v>
      </c>
      <c r="D5704">
        <v>1</v>
      </c>
      <c r="E5704">
        <v>4198</v>
      </c>
      <c r="F5704">
        <v>2717</v>
      </c>
      <c r="G5704">
        <f t="shared" si="89"/>
        <v>1577175791</v>
      </c>
    </row>
    <row r="5705" spans="1:7" x14ac:dyDescent="0.25">
      <c r="A5705">
        <v>1577175804</v>
      </c>
      <c r="B5705" t="s">
        <v>28170</v>
      </c>
      <c r="C5705">
        <v>0</v>
      </c>
      <c r="D5705">
        <v>1</v>
      </c>
      <c r="E5705">
        <v>32</v>
      </c>
      <c r="F5705">
        <v>6312</v>
      </c>
      <c r="G5705">
        <f t="shared" si="89"/>
        <v>1577175804</v>
      </c>
    </row>
    <row r="5706" spans="1:7" x14ac:dyDescent="0.25">
      <c r="A5706">
        <v>1577175805</v>
      </c>
      <c r="B5706" t="s">
        <v>28171</v>
      </c>
      <c r="C5706">
        <v>74</v>
      </c>
      <c r="D5706">
        <v>0</v>
      </c>
      <c r="E5706">
        <v>0</v>
      </c>
      <c r="F5706">
        <v>7958</v>
      </c>
      <c r="G5706">
        <f t="shared" si="89"/>
        <v>1577175805</v>
      </c>
    </row>
    <row r="5707" spans="1:7" x14ac:dyDescent="0.25">
      <c r="A5707">
        <v>1577175830</v>
      </c>
      <c r="B5707" t="s">
        <v>28172</v>
      </c>
      <c r="C5707">
        <v>296</v>
      </c>
      <c r="D5707">
        <v>1</v>
      </c>
      <c r="E5707">
        <v>41</v>
      </c>
      <c r="F5707">
        <v>6258</v>
      </c>
      <c r="G5707">
        <f t="shared" si="89"/>
        <v>1577175830</v>
      </c>
    </row>
    <row r="5708" spans="1:7" x14ac:dyDescent="0.25">
      <c r="A5708">
        <v>1577175877</v>
      </c>
      <c r="B5708" t="s">
        <v>28173</v>
      </c>
      <c r="C5708">
        <v>106</v>
      </c>
      <c r="D5708">
        <v>1</v>
      </c>
      <c r="E5708">
        <v>8354</v>
      </c>
      <c r="F5708">
        <v>1825</v>
      </c>
      <c r="G5708">
        <f t="shared" si="89"/>
        <v>1577175877</v>
      </c>
    </row>
    <row r="5709" spans="1:7" x14ac:dyDescent="0.25">
      <c r="A5709">
        <v>1577175887</v>
      </c>
      <c r="B5709" t="s">
        <v>28174</v>
      </c>
      <c r="C5709">
        <v>130</v>
      </c>
      <c r="D5709">
        <v>1</v>
      </c>
      <c r="E5709">
        <v>269</v>
      </c>
      <c r="F5709">
        <v>5228</v>
      </c>
      <c r="G5709">
        <f t="shared" si="89"/>
        <v>1577175887</v>
      </c>
    </row>
    <row r="5710" spans="1:7" x14ac:dyDescent="0.25">
      <c r="A5710">
        <v>1577175889</v>
      </c>
      <c r="B5710" t="s">
        <v>28175</v>
      </c>
      <c r="C5710">
        <v>1968</v>
      </c>
      <c r="D5710">
        <v>1</v>
      </c>
      <c r="E5710">
        <v>675</v>
      </c>
      <c r="F5710">
        <v>4376</v>
      </c>
      <c r="G5710">
        <f t="shared" si="89"/>
        <v>1577175889</v>
      </c>
    </row>
    <row r="5711" spans="1:7" x14ac:dyDescent="0.25">
      <c r="A5711">
        <v>1577175890</v>
      </c>
      <c r="B5711" t="s">
        <v>28176</v>
      </c>
      <c r="C5711">
        <v>0</v>
      </c>
      <c r="D5711">
        <v>0</v>
      </c>
      <c r="E5711">
        <v>0</v>
      </c>
      <c r="F5711">
        <v>7959</v>
      </c>
      <c r="G5711">
        <f t="shared" si="89"/>
        <v>1577175890</v>
      </c>
    </row>
    <row r="5712" spans="1:7" x14ac:dyDescent="0.25">
      <c r="A5712">
        <v>1577175901</v>
      </c>
      <c r="B5712" t="s">
        <v>28177</v>
      </c>
      <c r="C5712">
        <v>0</v>
      </c>
      <c r="D5712">
        <v>0</v>
      </c>
      <c r="E5712">
        <v>0</v>
      </c>
      <c r="F5712">
        <v>7960</v>
      </c>
      <c r="G5712">
        <f t="shared" si="89"/>
        <v>1577175901</v>
      </c>
    </row>
    <row r="5713" spans="1:7" x14ac:dyDescent="0.25">
      <c r="A5713">
        <v>1577175942</v>
      </c>
      <c r="B5713" t="s">
        <v>28178</v>
      </c>
      <c r="C5713">
        <v>0</v>
      </c>
      <c r="D5713">
        <v>0</v>
      </c>
      <c r="E5713">
        <v>0</v>
      </c>
      <c r="F5713">
        <v>7961</v>
      </c>
      <c r="G5713">
        <f t="shared" si="89"/>
        <v>1577175942</v>
      </c>
    </row>
    <row r="5714" spans="1:7" x14ac:dyDescent="0.25">
      <c r="A5714">
        <v>1577175957</v>
      </c>
      <c r="B5714" t="s">
        <v>28179</v>
      </c>
      <c r="C5714">
        <v>1875</v>
      </c>
      <c r="D5714">
        <v>0</v>
      </c>
      <c r="E5714">
        <v>0</v>
      </c>
      <c r="F5714">
        <v>7962</v>
      </c>
      <c r="G5714">
        <f t="shared" si="89"/>
        <v>1577175957</v>
      </c>
    </row>
    <row r="5715" spans="1:7" x14ac:dyDescent="0.25">
      <c r="A5715">
        <v>1577175990</v>
      </c>
      <c r="B5715" t="s">
        <v>37174</v>
      </c>
      <c r="C5715">
        <v>0</v>
      </c>
      <c r="D5715">
        <v>1</v>
      </c>
      <c r="E5715">
        <v>266</v>
      </c>
      <c r="F5715">
        <v>5242</v>
      </c>
      <c r="G5715">
        <f t="shared" si="89"/>
        <v>1577175990</v>
      </c>
    </row>
    <row r="5716" spans="1:7" x14ac:dyDescent="0.25">
      <c r="A5716">
        <v>1577176013</v>
      </c>
      <c r="B5716" t="s">
        <v>28180</v>
      </c>
      <c r="C5716">
        <v>308</v>
      </c>
      <c r="D5716">
        <v>0</v>
      </c>
      <c r="E5716">
        <v>0</v>
      </c>
      <c r="F5716">
        <v>7963</v>
      </c>
      <c r="G5716">
        <f t="shared" si="89"/>
        <v>1577176013</v>
      </c>
    </row>
    <row r="5717" spans="1:7" x14ac:dyDescent="0.25">
      <c r="A5717">
        <v>1577176014</v>
      </c>
      <c r="B5717" t="s">
        <v>1761</v>
      </c>
      <c r="C5717">
        <v>294</v>
      </c>
      <c r="D5717">
        <v>4</v>
      </c>
      <c r="E5717">
        <v>20020</v>
      </c>
      <c r="F5717">
        <v>620</v>
      </c>
      <c r="G5717">
        <f t="shared" si="89"/>
        <v>1577176014</v>
      </c>
    </row>
    <row r="5718" spans="1:7" x14ac:dyDescent="0.25">
      <c r="A5718">
        <v>1577176015</v>
      </c>
      <c r="B5718" t="s">
        <v>28181</v>
      </c>
      <c r="C5718">
        <v>1017</v>
      </c>
      <c r="D5718">
        <v>0</v>
      </c>
      <c r="E5718">
        <v>0</v>
      </c>
      <c r="F5718">
        <v>7964</v>
      </c>
      <c r="G5718">
        <f t="shared" si="89"/>
        <v>1577176015</v>
      </c>
    </row>
    <row r="5719" spans="1:7" x14ac:dyDescent="0.25">
      <c r="A5719">
        <v>1577176017</v>
      </c>
      <c r="B5719" t="s">
        <v>28182</v>
      </c>
      <c r="C5719">
        <v>20</v>
      </c>
      <c r="D5719">
        <v>5</v>
      </c>
      <c r="E5719">
        <v>31997</v>
      </c>
      <c r="F5719">
        <v>206</v>
      </c>
      <c r="G5719">
        <f t="shared" si="89"/>
        <v>1577176017</v>
      </c>
    </row>
    <row r="5720" spans="1:7" x14ac:dyDescent="0.25">
      <c r="A5720">
        <v>1577176032</v>
      </c>
      <c r="B5720" t="s">
        <v>28183</v>
      </c>
      <c r="C5720">
        <v>1913</v>
      </c>
      <c r="D5720">
        <v>1</v>
      </c>
      <c r="E5720">
        <v>1858</v>
      </c>
      <c r="F5720">
        <v>3412</v>
      </c>
      <c r="G5720">
        <f t="shared" si="89"/>
        <v>1577176032</v>
      </c>
    </row>
    <row r="5721" spans="1:7" x14ac:dyDescent="0.25">
      <c r="A5721">
        <v>1577176097</v>
      </c>
      <c r="B5721" t="s">
        <v>28184</v>
      </c>
      <c r="C5721">
        <v>23</v>
      </c>
      <c r="D5721">
        <v>3</v>
      </c>
      <c r="E5721">
        <v>17873</v>
      </c>
      <c r="F5721">
        <v>767</v>
      </c>
      <c r="G5721">
        <f t="shared" si="89"/>
        <v>1577176097</v>
      </c>
    </row>
    <row r="5722" spans="1:7" x14ac:dyDescent="0.25">
      <c r="A5722">
        <v>1577176189</v>
      </c>
      <c r="B5722" t="s">
        <v>28185</v>
      </c>
      <c r="C5722">
        <v>578</v>
      </c>
      <c r="D5722">
        <v>6</v>
      </c>
      <c r="E5722">
        <v>32037</v>
      </c>
      <c r="F5722">
        <v>204</v>
      </c>
      <c r="G5722">
        <f t="shared" si="89"/>
        <v>1577176189</v>
      </c>
    </row>
    <row r="5723" spans="1:7" x14ac:dyDescent="0.25">
      <c r="A5723">
        <v>1577176190</v>
      </c>
      <c r="B5723" t="s">
        <v>36698</v>
      </c>
      <c r="C5723">
        <v>0</v>
      </c>
      <c r="D5723">
        <v>1</v>
      </c>
      <c r="E5723">
        <v>5313</v>
      </c>
      <c r="F5723">
        <v>2448</v>
      </c>
      <c r="G5723">
        <f t="shared" si="89"/>
        <v>1577176190</v>
      </c>
    </row>
    <row r="5724" spans="1:7" x14ac:dyDescent="0.25">
      <c r="A5724">
        <v>1577176241</v>
      </c>
      <c r="B5724" t="s">
        <v>28186</v>
      </c>
      <c r="C5724">
        <v>0</v>
      </c>
      <c r="D5724">
        <v>1</v>
      </c>
      <c r="E5724">
        <v>1322</v>
      </c>
      <c r="F5724">
        <v>3718</v>
      </c>
      <c r="G5724">
        <f t="shared" si="89"/>
        <v>1577176241</v>
      </c>
    </row>
    <row r="5725" spans="1:7" x14ac:dyDescent="0.25">
      <c r="A5725">
        <v>1577176252</v>
      </c>
      <c r="B5725" t="s">
        <v>28187</v>
      </c>
      <c r="C5725">
        <v>26</v>
      </c>
      <c r="D5725">
        <v>3</v>
      </c>
      <c r="E5725">
        <v>14193</v>
      </c>
      <c r="F5725">
        <v>1061</v>
      </c>
      <c r="G5725">
        <f t="shared" si="89"/>
        <v>1577176252</v>
      </c>
    </row>
    <row r="5726" spans="1:7" x14ac:dyDescent="0.25">
      <c r="A5726">
        <v>1577176262</v>
      </c>
      <c r="B5726" t="s">
        <v>28188</v>
      </c>
      <c r="C5726">
        <v>1914</v>
      </c>
      <c r="D5726">
        <v>1</v>
      </c>
      <c r="E5726">
        <v>446</v>
      </c>
      <c r="F5726">
        <v>4754</v>
      </c>
      <c r="G5726">
        <f t="shared" si="89"/>
        <v>1577176262</v>
      </c>
    </row>
    <row r="5727" spans="1:7" x14ac:dyDescent="0.25">
      <c r="A5727">
        <v>1577176263</v>
      </c>
      <c r="B5727" t="s">
        <v>28189</v>
      </c>
      <c r="C5727">
        <v>1695</v>
      </c>
      <c r="D5727">
        <v>1</v>
      </c>
      <c r="E5727">
        <v>2783</v>
      </c>
      <c r="F5727">
        <v>3044</v>
      </c>
      <c r="G5727">
        <f t="shared" si="89"/>
        <v>1577176263</v>
      </c>
    </row>
    <row r="5728" spans="1:7" x14ac:dyDescent="0.25">
      <c r="A5728">
        <v>1577176327</v>
      </c>
      <c r="B5728" t="s">
        <v>28190</v>
      </c>
      <c r="C5728">
        <v>215</v>
      </c>
      <c r="D5728">
        <v>3</v>
      </c>
      <c r="E5728">
        <v>11869</v>
      </c>
      <c r="F5728">
        <v>1300</v>
      </c>
      <c r="G5728">
        <f t="shared" si="89"/>
        <v>1577176327</v>
      </c>
    </row>
    <row r="5729" spans="1:7" x14ac:dyDescent="0.25">
      <c r="A5729">
        <v>1577176338</v>
      </c>
      <c r="B5729" t="s">
        <v>28191</v>
      </c>
      <c r="C5729">
        <v>1758</v>
      </c>
      <c r="D5729">
        <v>2</v>
      </c>
      <c r="E5729">
        <v>7593</v>
      </c>
      <c r="F5729">
        <v>1961</v>
      </c>
      <c r="G5729">
        <f t="shared" si="89"/>
        <v>1577176338</v>
      </c>
    </row>
    <row r="5730" spans="1:7" x14ac:dyDescent="0.25">
      <c r="A5730">
        <v>1577176342</v>
      </c>
      <c r="B5730" t="s">
        <v>28192</v>
      </c>
      <c r="C5730">
        <v>0</v>
      </c>
      <c r="D5730">
        <v>1</v>
      </c>
      <c r="E5730">
        <v>82</v>
      </c>
      <c r="F5730">
        <v>5957</v>
      </c>
      <c r="G5730">
        <f t="shared" si="89"/>
        <v>1577176342</v>
      </c>
    </row>
    <row r="5731" spans="1:7" x14ac:dyDescent="0.25">
      <c r="A5731">
        <v>1577176424</v>
      </c>
      <c r="B5731" t="s">
        <v>28193</v>
      </c>
      <c r="C5731">
        <v>1862</v>
      </c>
      <c r="D5731">
        <v>1</v>
      </c>
      <c r="E5731">
        <v>774</v>
      </c>
      <c r="F5731">
        <v>4241</v>
      </c>
      <c r="G5731">
        <f t="shared" si="89"/>
        <v>1577176424</v>
      </c>
    </row>
    <row r="5732" spans="1:7" x14ac:dyDescent="0.25">
      <c r="A5732">
        <v>1577176430</v>
      </c>
      <c r="B5732" t="s">
        <v>28194</v>
      </c>
      <c r="C5732">
        <v>79</v>
      </c>
      <c r="D5732">
        <v>1</v>
      </c>
      <c r="E5732">
        <v>5957</v>
      </c>
      <c r="F5732">
        <v>2286</v>
      </c>
      <c r="G5732">
        <f t="shared" si="89"/>
        <v>1577176430</v>
      </c>
    </row>
    <row r="5733" spans="1:7" x14ac:dyDescent="0.25">
      <c r="A5733">
        <v>1577176436</v>
      </c>
      <c r="B5733" t="s">
        <v>37335</v>
      </c>
      <c r="C5733">
        <v>53</v>
      </c>
      <c r="D5733">
        <v>3</v>
      </c>
      <c r="E5733">
        <v>12698</v>
      </c>
      <c r="F5733">
        <v>1199</v>
      </c>
      <c r="G5733">
        <f t="shared" si="89"/>
        <v>1577176436</v>
      </c>
    </row>
    <row r="5734" spans="1:7" x14ac:dyDescent="0.25">
      <c r="A5734">
        <v>1577176477</v>
      </c>
      <c r="B5734" t="s">
        <v>28195</v>
      </c>
      <c r="C5734">
        <v>0</v>
      </c>
      <c r="D5734">
        <v>0</v>
      </c>
      <c r="E5734">
        <v>0</v>
      </c>
      <c r="F5734">
        <v>7965</v>
      </c>
      <c r="G5734">
        <f t="shared" si="89"/>
        <v>1577176477</v>
      </c>
    </row>
    <row r="5735" spans="1:7" x14ac:dyDescent="0.25">
      <c r="A5735">
        <v>1577176504</v>
      </c>
      <c r="B5735" t="s">
        <v>28196</v>
      </c>
      <c r="C5735">
        <v>0</v>
      </c>
      <c r="D5735">
        <v>0</v>
      </c>
      <c r="E5735">
        <v>0</v>
      </c>
      <c r="F5735">
        <v>7966</v>
      </c>
      <c r="G5735">
        <f t="shared" si="89"/>
        <v>1577176504</v>
      </c>
    </row>
    <row r="5736" spans="1:7" x14ac:dyDescent="0.25">
      <c r="A5736">
        <v>1577176508</v>
      </c>
      <c r="B5736" t="s">
        <v>28197</v>
      </c>
      <c r="C5736">
        <v>0</v>
      </c>
      <c r="D5736">
        <v>1</v>
      </c>
      <c r="E5736">
        <v>26</v>
      </c>
      <c r="F5736">
        <v>6750</v>
      </c>
      <c r="G5736">
        <f t="shared" si="89"/>
        <v>1577176508</v>
      </c>
    </row>
    <row r="5737" spans="1:7" x14ac:dyDescent="0.25">
      <c r="A5737">
        <v>1577176517</v>
      </c>
      <c r="B5737" t="s">
        <v>28198</v>
      </c>
      <c r="C5737">
        <v>250</v>
      </c>
      <c r="D5737">
        <v>0</v>
      </c>
      <c r="E5737">
        <v>0</v>
      </c>
      <c r="F5737">
        <v>7967</v>
      </c>
      <c r="G5737">
        <f t="shared" si="89"/>
        <v>1577176517</v>
      </c>
    </row>
    <row r="5738" spans="1:7" x14ac:dyDescent="0.25">
      <c r="A5738">
        <v>1577176518</v>
      </c>
      <c r="B5738" t="s">
        <v>28199</v>
      </c>
      <c r="C5738">
        <v>4</v>
      </c>
      <c r="D5738">
        <v>4</v>
      </c>
      <c r="E5738">
        <v>18442</v>
      </c>
      <c r="F5738">
        <v>721</v>
      </c>
      <c r="G5738">
        <f t="shared" si="89"/>
        <v>1577176518</v>
      </c>
    </row>
    <row r="5739" spans="1:7" x14ac:dyDescent="0.25">
      <c r="A5739">
        <v>1577176525</v>
      </c>
      <c r="B5739" t="s">
        <v>28200</v>
      </c>
      <c r="C5739">
        <v>0</v>
      </c>
      <c r="D5739">
        <v>1</v>
      </c>
      <c r="E5739">
        <v>1110</v>
      </c>
      <c r="F5739">
        <v>3870</v>
      </c>
      <c r="G5739">
        <f t="shared" si="89"/>
        <v>1577176525</v>
      </c>
    </row>
    <row r="5740" spans="1:7" x14ac:dyDescent="0.25">
      <c r="A5740">
        <v>1577176537</v>
      </c>
      <c r="B5740" t="s">
        <v>28201</v>
      </c>
      <c r="C5740">
        <v>45</v>
      </c>
      <c r="D5740">
        <v>1</v>
      </c>
      <c r="E5740">
        <v>590</v>
      </c>
      <c r="F5740">
        <v>4482</v>
      </c>
      <c r="G5740">
        <f t="shared" si="89"/>
        <v>1577176537</v>
      </c>
    </row>
    <row r="5741" spans="1:7" x14ac:dyDescent="0.25">
      <c r="A5741">
        <v>1577176548</v>
      </c>
      <c r="B5741" t="s">
        <v>28202</v>
      </c>
      <c r="C5741">
        <v>0</v>
      </c>
      <c r="D5741">
        <v>1</v>
      </c>
      <c r="E5741">
        <v>3406</v>
      </c>
      <c r="F5741">
        <v>2901</v>
      </c>
      <c r="G5741">
        <f t="shared" si="89"/>
        <v>1577176548</v>
      </c>
    </row>
    <row r="5742" spans="1:7" x14ac:dyDescent="0.25">
      <c r="A5742">
        <v>1577176562</v>
      </c>
      <c r="B5742" t="s">
        <v>28203</v>
      </c>
      <c r="C5742">
        <v>0</v>
      </c>
      <c r="D5742">
        <v>0</v>
      </c>
      <c r="E5742">
        <v>0</v>
      </c>
      <c r="F5742">
        <v>7968</v>
      </c>
      <c r="G5742">
        <f t="shared" si="89"/>
        <v>1577176562</v>
      </c>
    </row>
    <row r="5743" spans="1:7" x14ac:dyDescent="0.25">
      <c r="A5743">
        <v>1577176575</v>
      </c>
      <c r="B5743" t="s">
        <v>28204</v>
      </c>
      <c r="C5743">
        <v>0</v>
      </c>
      <c r="D5743">
        <v>0</v>
      </c>
      <c r="E5743">
        <v>0</v>
      </c>
      <c r="F5743">
        <v>7969</v>
      </c>
      <c r="G5743">
        <f t="shared" si="89"/>
        <v>1577176575</v>
      </c>
    </row>
    <row r="5744" spans="1:7" x14ac:dyDescent="0.25">
      <c r="A5744">
        <v>1577176587</v>
      </c>
      <c r="B5744" t="s">
        <v>28205</v>
      </c>
      <c r="C5744">
        <v>0</v>
      </c>
      <c r="D5744">
        <v>1</v>
      </c>
      <c r="E5744">
        <v>619</v>
      </c>
      <c r="F5744">
        <v>4454</v>
      </c>
      <c r="G5744">
        <f t="shared" si="89"/>
        <v>1577176587</v>
      </c>
    </row>
    <row r="5745" spans="1:7" x14ac:dyDescent="0.25">
      <c r="A5745">
        <v>1577176626</v>
      </c>
      <c r="B5745" t="s">
        <v>28206</v>
      </c>
      <c r="C5745">
        <v>3</v>
      </c>
      <c r="D5745">
        <v>4</v>
      </c>
      <c r="E5745">
        <v>15364</v>
      </c>
      <c r="F5745">
        <v>958</v>
      </c>
      <c r="G5745">
        <f t="shared" si="89"/>
        <v>1577176626</v>
      </c>
    </row>
    <row r="5746" spans="1:7" x14ac:dyDescent="0.25">
      <c r="A5746">
        <v>1577176698</v>
      </c>
      <c r="B5746" t="s">
        <v>28207</v>
      </c>
      <c r="C5746">
        <v>74</v>
      </c>
      <c r="D5746">
        <v>0</v>
      </c>
      <c r="E5746">
        <v>0</v>
      </c>
      <c r="F5746">
        <v>7970</v>
      </c>
      <c r="G5746">
        <f t="shared" si="89"/>
        <v>1577176698</v>
      </c>
    </row>
    <row r="5747" spans="1:7" x14ac:dyDescent="0.25">
      <c r="A5747">
        <v>1577176708</v>
      </c>
      <c r="B5747" t="s">
        <v>28208</v>
      </c>
      <c r="C5747">
        <v>887</v>
      </c>
      <c r="D5747">
        <v>1</v>
      </c>
      <c r="E5747">
        <v>3080</v>
      </c>
      <c r="F5747">
        <v>2976</v>
      </c>
      <c r="G5747">
        <f t="shared" si="89"/>
        <v>1577176708</v>
      </c>
    </row>
    <row r="5748" spans="1:7" x14ac:dyDescent="0.25">
      <c r="A5748">
        <v>1577176760</v>
      </c>
      <c r="B5748" t="s">
        <v>36699</v>
      </c>
      <c r="C5748">
        <v>0</v>
      </c>
      <c r="D5748">
        <v>1</v>
      </c>
      <c r="E5748">
        <v>170</v>
      </c>
      <c r="F5748">
        <v>5616</v>
      </c>
      <c r="G5748">
        <f t="shared" si="89"/>
        <v>1577176760</v>
      </c>
    </row>
    <row r="5749" spans="1:7" x14ac:dyDescent="0.25">
      <c r="A5749">
        <v>1577176773</v>
      </c>
      <c r="B5749" t="s">
        <v>1074</v>
      </c>
      <c r="C5749">
        <v>0</v>
      </c>
      <c r="D5749">
        <v>0</v>
      </c>
      <c r="E5749">
        <v>0</v>
      </c>
      <c r="F5749">
        <v>7971</v>
      </c>
      <c r="G5749">
        <f t="shared" si="89"/>
        <v>1577176773</v>
      </c>
    </row>
    <row r="5750" spans="1:7" x14ac:dyDescent="0.25">
      <c r="A5750">
        <v>1577176791</v>
      </c>
      <c r="B5750" t="s">
        <v>28209</v>
      </c>
      <c r="C5750">
        <v>541</v>
      </c>
      <c r="D5750">
        <v>2</v>
      </c>
      <c r="E5750">
        <v>7905</v>
      </c>
      <c r="F5750">
        <v>1901</v>
      </c>
      <c r="G5750">
        <f t="shared" si="89"/>
        <v>1577176791</v>
      </c>
    </row>
    <row r="5751" spans="1:7" x14ac:dyDescent="0.25">
      <c r="A5751">
        <v>1577176795</v>
      </c>
      <c r="B5751" t="s">
        <v>28210</v>
      </c>
      <c r="C5751">
        <v>55</v>
      </c>
      <c r="D5751">
        <v>1</v>
      </c>
      <c r="E5751">
        <v>721</v>
      </c>
      <c r="F5751">
        <v>4308</v>
      </c>
      <c r="G5751">
        <f t="shared" si="89"/>
        <v>1577176795</v>
      </c>
    </row>
    <row r="5752" spans="1:7" x14ac:dyDescent="0.25">
      <c r="A5752">
        <v>1577176799</v>
      </c>
      <c r="B5752" t="s">
        <v>28211</v>
      </c>
      <c r="C5752">
        <v>0</v>
      </c>
      <c r="D5752">
        <v>0</v>
      </c>
      <c r="E5752">
        <v>0</v>
      </c>
      <c r="F5752">
        <v>7972</v>
      </c>
      <c r="G5752">
        <f t="shared" si="89"/>
        <v>1577176799</v>
      </c>
    </row>
    <row r="5753" spans="1:7" x14ac:dyDescent="0.25">
      <c r="A5753">
        <v>1577176808</v>
      </c>
      <c r="B5753" t="s">
        <v>28212</v>
      </c>
      <c r="C5753">
        <v>0</v>
      </c>
      <c r="D5753">
        <v>1</v>
      </c>
      <c r="E5753">
        <v>55</v>
      </c>
      <c r="F5753">
        <v>6130</v>
      </c>
      <c r="G5753">
        <f t="shared" si="89"/>
        <v>1577176808</v>
      </c>
    </row>
    <row r="5754" spans="1:7" x14ac:dyDescent="0.25">
      <c r="A5754">
        <v>1577176813</v>
      </c>
      <c r="B5754" t="s">
        <v>36700</v>
      </c>
      <c r="C5754">
        <v>1913</v>
      </c>
      <c r="D5754">
        <v>1</v>
      </c>
      <c r="E5754">
        <v>275</v>
      </c>
      <c r="F5754">
        <v>5206</v>
      </c>
      <c r="G5754">
        <f t="shared" si="89"/>
        <v>1577176813</v>
      </c>
    </row>
    <row r="5755" spans="1:7" x14ac:dyDescent="0.25">
      <c r="A5755">
        <v>1577176838</v>
      </c>
      <c r="B5755" t="s">
        <v>28213</v>
      </c>
      <c r="C5755">
        <v>1741</v>
      </c>
      <c r="D5755">
        <v>1</v>
      </c>
      <c r="E5755">
        <v>119</v>
      </c>
      <c r="F5755">
        <v>5790</v>
      </c>
      <c r="G5755">
        <f t="shared" si="89"/>
        <v>1577176838</v>
      </c>
    </row>
    <row r="5756" spans="1:7" x14ac:dyDescent="0.25">
      <c r="A5756">
        <v>1577176848</v>
      </c>
      <c r="B5756" t="s">
        <v>28214</v>
      </c>
      <c r="C5756">
        <v>1968</v>
      </c>
      <c r="D5756">
        <v>0</v>
      </c>
      <c r="E5756">
        <v>0</v>
      </c>
      <c r="F5756">
        <v>7973</v>
      </c>
      <c r="G5756">
        <f t="shared" si="89"/>
        <v>1577176848</v>
      </c>
    </row>
    <row r="5757" spans="1:7" x14ac:dyDescent="0.25">
      <c r="A5757">
        <v>1577176914</v>
      </c>
      <c r="B5757" t="s">
        <v>28215</v>
      </c>
      <c r="C5757">
        <v>1609</v>
      </c>
      <c r="D5757">
        <v>2</v>
      </c>
      <c r="E5757">
        <v>7893</v>
      </c>
      <c r="F5757">
        <v>1909</v>
      </c>
      <c r="G5757">
        <f t="shared" si="89"/>
        <v>1577176914</v>
      </c>
    </row>
    <row r="5758" spans="1:7" x14ac:dyDescent="0.25">
      <c r="A5758">
        <v>1577176944</v>
      </c>
      <c r="B5758" t="s">
        <v>28216</v>
      </c>
      <c r="C5758">
        <v>271</v>
      </c>
      <c r="D5758">
        <v>2</v>
      </c>
      <c r="E5758">
        <v>8255</v>
      </c>
      <c r="F5758">
        <v>1839</v>
      </c>
      <c r="G5758">
        <f t="shared" si="89"/>
        <v>1577176944</v>
      </c>
    </row>
    <row r="5759" spans="1:7" x14ac:dyDescent="0.25">
      <c r="A5759">
        <v>1577176956</v>
      </c>
      <c r="B5759" t="s">
        <v>28217</v>
      </c>
      <c r="C5759">
        <v>0</v>
      </c>
      <c r="D5759">
        <v>1</v>
      </c>
      <c r="E5759">
        <v>44</v>
      </c>
      <c r="F5759">
        <v>6246</v>
      </c>
      <c r="G5759">
        <f t="shared" si="89"/>
        <v>1577176956</v>
      </c>
    </row>
    <row r="5760" spans="1:7" x14ac:dyDescent="0.25">
      <c r="A5760">
        <v>1577176958</v>
      </c>
      <c r="B5760" t="s">
        <v>28218</v>
      </c>
      <c r="C5760">
        <v>270</v>
      </c>
      <c r="D5760">
        <v>6</v>
      </c>
      <c r="E5760">
        <v>32590</v>
      </c>
      <c r="F5760">
        <v>188</v>
      </c>
      <c r="G5760">
        <f t="shared" si="89"/>
        <v>1577176958</v>
      </c>
    </row>
    <row r="5761" spans="1:7" x14ac:dyDescent="0.25">
      <c r="A5761">
        <v>1577176984</v>
      </c>
      <c r="B5761" t="s">
        <v>36701</v>
      </c>
      <c r="C5761">
        <v>0</v>
      </c>
      <c r="D5761">
        <v>1</v>
      </c>
      <c r="E5761">
        <v>28</v>
      </c>
      <c r="F5761">
        <v>6331</v>
      </c>
      <c r="G5761">
        <f t="shared" ref="G5761:G5824" si="90">A5761</f>
        <v>1577176984</v>
      </c>
    </row>
    <row r="5762" spans="1:7" x14ac:dyDescent="0.25">
      <c r="A5762">
        <v>1577177028</v>
      </c>
      <c r="B5762" t="s">
        <v>36702</v>
      </c>
      <c r="C5762">
        <v>122</v>
      </c>
      <c r="D5762">
        <v>7</v>
      </c>
      <c r="E5762">
        <v>41140</v>
      </c>
      <c r="F5762">
        <v>86</v>
      </c>
      <c r="G5762">
        <f t="shared" si="90"/>
        <v>1577177028</v>
      </c>
    </row>
    <row r="5763" spans="1:7" x14ac:dyDescent="0.25">
      <c r="A5763">
        <v>1577177037</v>
      </c>
      <c r="B5763" t="s">
        <v>28219</v>
      </c>
      <c r="C5763">
        <v>419</v>
      </c>
      <c r="D5763">
        <v>4</v>
      </c>
      <c r="E5763">
        <v>24280</v>
      </c>
      <c r="F5763">
        <v>425</v>
      </c>
      <c r="G5763">
        <f t="shared" si="90"/>
        <v>1577177037</v>
      </c>
    </row>
    <row r="5764" spans="1:7" x14ac:dyDescent="0.25">
      <c r="A5764">
        <v>1577177113</v>
      </c>
      <c r="B5764" t="s">
        <v>36703</v>
      </c>
      <c r="C5764">
        <v>733</v>
      </c>
      <c r="D5764">
        <v>9</v>
      </c>
      <c r="E5764">
        <v>54262</v>
      </c>
      <c r="F5764">
        <v>31</v>
      </c>
      <c r="G5764">
        <f t="shared" si="90"/>
        <v>1577177113</v>
      </c>
    </row>
    <row r="5765" spans="1:7" x14ac:dyDescent="0.25">
      <c r="A5765">
        <v>1577177125</v>
      </c>
      <c r="B5765" t="s">
        <v>28220</v>
      </c>
      <c r="C5765">
        <v>259</v>
      </c>
      <c r="D5765">
        <v>7</v>
      </c>
      <c r="E5765">
        <v>44582</v>
      </c>
      <c r="F5765">
        <v>64</v>
      </c>
      <c r="G5765">
        <f t="shared" si="90"/>
        <v>1577177125</v>
      </c>
    </row>
    <row r="5766" spans="1:7" x14ac:dyDescent="0.25">
      <c r="A5766">
        <v>1577177156</v>
      </c>
      <c r="B5766" t="s">
        <v>28221</v>
      </c>
      <c r="C5766">
        <v>179</v>
      </c>
      <c r="D5766">
        <v>1</v>
      </c>
      <c r="E5766">
        <v>1824</v>
      </c>
      <c r="F5766">
        <v>3445</v>
      </c>
      <c r="G5766">
        <f t="shared" si="90"/>
        <v>1577177156</v>
      </c>
    </row>
    <row r="5767" spans="1:7" x14ac:dyDescent="0.25">
      <c r="A5767">
        <v>1577177179</v>
      </c>
      <c r="B5767" t="s">
        <v>28222</v>
      </c>
      <c r="C5767">
        <v>0</v>
      </c>
      <c r="D5767">
        <v>0</v>
      </c>
      <c r="E5767">
        <v>0</v>
      </c>
      <c r="F5767">
        <v>7974</v>
      </c>
      <c r="G5767">
        <f t="shared" si="90"/>
        <v>1577177179</v>
      </c>
    </row>
    <row r="5768" spans="1:7" x14ac:dyDescent="0.25">
      <c r="A5768">
        <v>1577177190</v>
      </c>
      <c r="B5768" t="s">
        <v>37336</v>
      </c>
      <c r="C5768">
        <v>1966</v>
      </c>
      <c r="D5768">
        <v>2</v>
      </c>
      <c r="E5768">
        <v>12558</v>
      </c>
      <c r="F5768">
        <v>1222</v>
      </c>
      <c r="G5768">
        <f t="shared" si="90"/>
        <v>1577177190</v>
      </c>
    </row>
    <row r="5769" spans="1:7" x14ac:dyDescent="0.25">
      <c r="A5769">
        <v>1577177197</v>
      </c>
      <c r="B5769" t="s">
        <v>28223</v>
      </c>
      <c r="C5769">
        <v>0</v>
      </c>
      <c r="D5769">
        <v>1</v>
      </c>
      <c r="E5769">
        <v>269</v>
      </c>
      <c r="F5769">
        <v>5229</v>
      </c>
      <c r="G5769">
        <f t="shared" si="90"/>
        <v>1577177197</v>
      </c>
    </row>
    <row r="5770" spans="1:7" x14ac:dyDescent="0.25">
      <c r="A5770">
        <v>1577177220</v>
      </c>
      <c r="B5770" t="s">
        <v>28224</v>
      </c>
      <c r="C5770">
        <v>179</v>
      </c>
      <c r="D5770">
        <v>1</v>
      </c>
      <c r="E5770">
        <v>908</v>
      </c>
      <c r="F5770">
        <v>4084</v>
      </c>
      <c r="G5770">
        <f t="shared" si="90"/>
        <v>1577177220</v>
      </c>
    </row>
    <row r="5771" spans="1:7" x14ac:dyDescent="0.25">
      <c r="A5771">
        <v>1577177237</v>
      </c>
      <c r="B5771" t="s">
        <v>36704</v>
      </c>
      <c r="C5771">
        <v>308</v>
      </c>
      <c r="D5771">
        <v>0</v>
      </c>
      <c r="E5771">
        <v>0</v>
      </c>
      <c r="F5771">
        <v>7975</v>
      </c>
      <c r="G5771">
        <f t="shared" si="90"/>
        <v>1577177237</v>
      </c>
    </row>
    <row r="5772" spans="1:7" x14ac:dyDescent="0.25">
      <c r="A5772">
        <v>1577177303</v>
      </c>
      <c r="B5772" t="s">
        <v>28225</v>
      </c>
      <c r="C5772">
        <v>48</v>
      </c>
      <c r="D5772">
        <v>1</v>
      </c>
      <c r="E5772">
        <v>1217</v>
      </c>
      <c r="F5772">
        <v>3788</v>
      </c>
      <c r="G5772">
        <f t="shared" si="90"/>
        <v>1577177303</v>
      </c>
    </row>
    <row r="5773" spans="1:7" x14ac:dyDescent="0.25">
      <c r="A5773">
        <v>1577177324</v>
      </c>
      <c r="B5773" t="s">
        <v>28226</v>
      </c>
      <c r="C5773">
        <v>1</v>
      </c>
      <c r="D5773">
        <v>3</v>
      </c>
      <c r="E5773">
        <v>8197</v>
      </c>
      <c r="F5773">
        <v>1850</v>
      </c>
      <c r="G5773">
        <f t="shared" si="90"/>
        <v>1577177324</v>
      </c>
    </row>
    <row r="5774" spans="1:7" x14ac:dyDescent="0.25">
      <c r="A5774">
        <v>1577177398</v>
      </c>
      <c r="B5774" t="s">
        <v>28227</v>
      </c>
      <c r="C5774">
        <v>1663</v>
      </c>
      <c r="D5774">
        <v>1</v>
      </c>
      <c r="E5774">
        <v>414</v>
      </c>
      <c r="F5774">
        <v>4818</v>
      </c>
      <c r="G5774">
        <f t="shared" si="90"/>
        <v>1577177398</v>
      </c>
    </row>
    <row r="5775" spans="1:7" x14ac:dyDescent="0.25">
      <c r="A5775">
        <v>1577177410</v>
      </c>
      <c r="B5775" t="s">
        <v>1147</v>
      </c>
      <c r="C5775">
        <v>0</v>
      </c>
      <c r="D5775">
        <v>1</v>
      </c>
      <c r="E5775">
        <v>864</v>
      </c>
      <c r="F5775">
        <v>4122</v>
      </c>
      <c r="G5775">
        <f t="shared" si="90"/>
        <v>1577177410</v>
      </c>
    </row>
    <row r="5776" spans="1:7" x14ac:dyDescent="0.25">
      <c r="A5776">
        <v>1577177448</v>
      </c>
      <c r="B5776" t="s">
        <v>28228</v>
      </c>
      <c r="C5776">
        <v>734</v>
      </c>
      <c r="D5776">
        <v>2</v>
      </c>
      <c r="E5776">
        <v>7575</v>
      </c>
      <c r="F5776">
        <v>1965</v>
      </c>
      <c r="G5776">
        <f t="shared" si="90"/>
        <v>1577177448</v>
      </c>
    </row>
    <row r="5777" spans="1:7" x14ac:dyDescent="0.25">
      <c r="A5777">
        <v>1577177484</v>
      </c>
      <c r="B5777" t="s">
        <v>28229</v>
      </c>
      <c r="C5777">
        <v>215</v>
      </c>
      <c r="D5777">
        <v>3</v>
      </c>
      <c r="E5777">
        <v>18423</v>
      </c>
      <c r="F5777">
        <v>728</v>
      </c>
      <c r="G5777">
        <f t="shared" si="90"/>
        <v>1577177484</v>
      </c>
    </row>
    <row r="5778" spans="1:7" x14ac:dyDescent="0.25">
      <c r="A5778">
        <v>1577177490</v>
      </c>
      <c r="B5778" t="s">
        <v>37337</v>
      </c>
      <c r="C5778">
        <v>31</v>
      </c>
      <c r="D5778">
        <v>2</v>
      </c>
      <c r="E5778">
        <v>10694</v>
      </c>
      <c r="F5778">
        <v>1465</v>
      </c>
      <c r="G5778">
        <f t="shared" si="90"/>
        <v>1577177490</v>
      </c>
    </row>
    <row r="5779" spans="1:7" x14ac:dyDescent="0.25">
      <c r="A5779">
        <v>1577177525</v>
      </c>
      <c r="B5779" t="s">
        <v>28230</v>
      </c>
      <c r="C5779">
        <v>54</v>
      </c>
      <c r="D5779">
        <v>3</v>
      </c>
      <c r="E5779">
        <v>4945</v>
      </c>
      <c r="F5779">
        <v>2522</v>
      </c>
      <c r="G5779">
        <f t="shared" si="90"/>
        <v>1577177525</v>
      </c>
    </row>
    <row r="5780" spans="1:7" x14ac:dyDescent="0.25">
      <c r="A5780">
        <v>1577177527</v>
      </c>
      <c r="B5780" t="s">
        <v>28231</v>
      </c>
      <c r="C5780">
        <v>54</v>
      </c>
      <c r="D5780">
        <v>1</v>
      </c>
      <c r="E5780">
        <v>26</v>
      </c>
      <c r="F5780">
        <v>6751</v>
      </c>
      <c r="G5780">
        <f t="shared" si="90"/>
        <v>1577177527</v>
      </c>
    </row>
    <row r="5781" spans="1:7" x14ac:dyDescent="0.25">
      <c r="A5781">
        <v>1577177565</v>
      </c>
      <c r="B5781" t="s">
        <v>28232</v>
      </c>
      <c r="C5781">
        <v>760</v>
      </c>
      <c r="D5781">
        <v>4</v>
      </c>
      <c r="E5781">
        <v>24031</v>
      </c>
      <c r="F5781">
        <v>436</v>
      </c>
      <c r="G5781">
        <f t="shared" si="90"/>
        <v>1577177565</v>
      </c>
    </row>
    <row r="5782" spans="1:7" x14ac:dyDescent="0.25">
      <c r="A5782">
        <v>1577177591</v>
      </c>
      <c r="B5782" t="s">
        <v>28233</v>
      </c>
      <c r="C5782">
        <v>0</v>
      </c>
      <c r="D5782">
        <v>1</v>
      </c>
      <c r="E5782">
        <v>1395</v>
      </c>
      <c r="F5782">
        <v>3661</v>
      </c>
      <c r="G5782">
        <f t="shared" si="90"/>
        <v>1577177591</v>
      </c>
    </row>
    <row r="5783" spans="1:7" x14ac:dyDescent="0.25">
      <c r="A5783">
        <v>1577177766</v>
      </c>
      <c r="B5783" t="s">
        <v>28234</v>
      </c>
      <c r="C5783">
        <v>0</v>
      </c>
      <c r="D5783">
        <v>1</v>
      </c>
      <c r="E5783">
        <v>910</v>
      </c>
      <c r="F5783">
        <v>4083</v>
      </c>
      <c r="G5783">
        <f t="shared" si="90"/>
        <v>1577177766</v>
      </c>
    </row>
    <row r="5784" spans="1:7" x14ac:dyDescent="0.25">
      <c r="A5784">
        <v>1577177778</v>
      </c>
      <c r="B5784" t="s">
        <v>28235</v>
      </c>
      <c r="C5784">
        <v>115</v>
      </c>
      <c r="D5784">
        <v>3</v>
      </c>
      <c r="E5784">
        <v>21248</v>
      </c>
      <c r="F5784">
        <v>559</v>
      </c>
      <c r="G5784">
        <f t="shared" si="90"/>
        <v>1577177778</v>
      </c>
    </row>
    <row r="5785" spans="1:7" x14ac:dyDescent="0.25">
      <c r="A5785">
        <v>1577177780</v>
      </c>
      <c r="B5785" t="s">
        <v>28236</v>
      </c>
      <c r="C5785">
        <v>0</v>
      </c>
      <c r="D5785">
        <v>0</v>
      </c>
      <c r="E5785">
        <v>0</v>
      </c>
      <c r="F5785">
        <v>7976</v>
      </c>
      <c r="G5785">
        <f t="shared" si="90"/>
        <v>1577177780</v>
      </c>
    </row>
    <row r="5786" spans="1:7" x14ac:dyDescent="0.25">
      <c r="A5786">
        <v>1577177793</v>
      </c>
      <c r="B5786" t="s">
        <v>28237</v>
      </c>
      <c r="C5786">
        <v>0</v>
      </c>
      <c r="D5786">
        <v>1</v>
      </c>
      <c r="E5786">
        <v>26</v>
      </c>
      <c r="F5786">
        <v>6752</v>
      </c>
      <c r="G5786">
        <f t="shared" si="90"/>
        <v>1577177793</v>
      </c>
    </row>
    <row r="5787" spans="1:7" x14ac:dyDescent="0.25">
      <c r="A5787">
        <v>1577177826</v>
      </c>
      <c r="B5787" t="s">
        <v>28238</v>
      </c>
      <c r="C5787">
        <v>0</v>
      </c>
      <c r="D5787">
        <v>1</v>
      </c>
      <c r="E5787">
        <v>280</v>
      </c>
      <c r="F5787">
        <v>5183</v>
      </c>
      <c r="G5787">
        <f t="shared" si="90"/>
        <v>1577177826</v>
      </c>
    </row>
    <row r="5788" spans="1:7" x14ac:dyDescent="0.25">
      <c r="A5788">
        <v>1577177912</v>
      </c>
      <c r="B5788" t="s">
        <v>28239</v>
      </c>
      <c r="C5788">
        <v>0</v>
      </c>
      <c r="D5788">
        <v>1</v>
      </c>
      <c r="E5788">
        <v>26</v>
      </c>
      <c r="F5788">
        <v>6753</v>
      </c>
      <c r="G5788">
        <f t="shared" si="90"/>
        <v>1577177912</v>
      </c>
    </row>
    <row r="5789" spans="1:7" x14ac:dyDescent="0.25">
      <c r="A5789">
        <v>1577177947</v>
      </c>
      <c r="B5789" t="s">
        <v>28240</v>
      </c>
      <c r="C5789">
        <v>31</v>
      </c>
      <c r="D5789">
        <v>1</v>
      </c>
      <c r="E5789">
        <v>7687</v>
      </c>
      <c r="F5789">
        <v>1943</v>
      </c>
      <c r="G5789">
        <f t="shared" si="90"/>
        <v>1577177947</v>
      </c>
    </row>
    <row r="5790" spans="1:7" x14ac:dyDescent="0.25">
      <c r="A5790">
        <v>1577177998</v>
      </c>
      <c r="B5790" t="s">
        <v>28241</v>
      </c>
      <c r="C5790">
        <v>1609</v>
      </c>
      <c r="D5790">
        <v>2</v>
      </c>
      <c r="E5790">
        <v>10357</v>
      </c>
      <c r="F5790">
        <v>1519</v>
      </c>
      <c r="G5790">
        <f t="shared" si="90"/>
        <v>1577177998</v>
      </c>
    </row>
    <row r="5791" spans="1:7" x14ac:dyDescent="0.25">
      <c r="A5791">
        <v>1577178033</v>
      </c>
      <c r="B5791" t="s">
        <v>36705</v>
      </c>
      <c r="C5791">
        <v>58</v>
      </c>
      <c r="D5791">
        <v>4</v>
      </c>
      <c r="E5791">
        <v>13664</v>
      </c>
      <c r="F5791">
        <v>1106</v>
      </c>
      <c r="G5791">
        <f t="shared" si="90"/>
        <v>1577178033</v>
      </c>
    </row>
    <row r="5792" spans="1:7" x14ac:dyDescent="0.25">
      <c r="A5792">
        <v>1577178060</v>
      </c>
      <c r="B5792" t="s">
        <v>28242</v>
      </c>
      <c r="C5792">
        <v>0</v>
      </c>
      <c r="D5792">
        <v>1</v>
      </c>
      <c r="E5792">
        <v>1646</v>
      </c>
      <c r="F5792">
        <v>3526</v>
      </c>
      <c r="G5792">
        <f t="shared" si="90"/>
        <v>1577178060</v>
      </c>
    </row>
    <row r="5793" spans="1:7" x14ac:dyDescent="0.25">
      <c r="A5793">
        <v>1577178111</v>
      </c>
      <c r="B5793" t="s">
        <v>28243</v>
      </c>
      <c r="C5793">
        <v>20</v>
      </c>
      <c r="D5793">
        <v>7</v>
      </c>
      <c r="E5793">
        <v>32692</v>
      </c>
      <c r="F5793">
        <v>190</v>
      </c>
      <c r="G5793">
        <f t="shared" si="90"/>
        <v>1577178111</v>
      </c>
    </row>
    <row r="5794" spans="1:7" x14ac:dyDescent="0.25">
      <c r="A5794">
        <v>1577178122</v>
      </c>
      <c r="B5794" t="s">
        <v>28244</v>
      </c>
      <c r="C5794">
        <v>94</v>
      </c>
      <c r="D5794">
        <v>1</v>
      </c>
      <c r="E5794">
        <v>4253</v>
      </c>
      <c r="F5794">
        <v>2698</v>
      </c>
      <c r="G5794">
        <f t="shared" si="90"/>
        <v>1577178122</v>
      </c>
    </row>
    <row r="5795" spans="1:7" x14ac:dyDescent="0.25">
      <c r="A5795">
        <v>1577178132</v>
      </c>
      <c r="B5795" t="s">
        <v>36706</v>
      </c>
      <c r="C5795">
        <v>0</v>
      </c>
      <c r="D5795">
        <v>1</v>
      </c>
      <c r="E5795">
        <v>1469</v>
      </c>
      <c r="F5795">
        <v>3615</v>
      </c>
      <c r="G5795">
        <f t="shared" si="90"/>
        <v>1577178132</v>
      </c>
    </row>
    <row r="5796" spans="1:7" x14ac:dyDescent="0.25">
      <c r="A5796">
        <v>1577178239</v>
      </c>
      <c r="B5796" t="s">
        <v>28245</v>
      </c>
      <c r="C5796">
        <v>810</v>
      </c>
      <c r="D5796">
        <v>0</v>
      </c>
      <c r="E5796">
        <v>0</v>
      </c>
      <c r="F5796">
        <v>7977</v>
      </c>
      <c r="G5796">
        <f t="shared" si="90"/>
        <v>1577178239</v>
      </c>
    </row>
    <row r="5797" spans="1:7" x14ac:dyDescent="0.25">
      <c r="A5797">
        <v>1577178245</v>
      </c>
      <c r="B5797" t="s">
        <v>28246</v>
      </c>
      <c r="C5797">
        <v>31</v>
      </c>
      <c r="D5797">
        <v>3</v>
      </c>
      <c r="E5797">
        <v>12425</v>
      </c>
      <c r="F5797">
        <v>1237</v>
      </c>
      <c r="G5797">
        <f t="shared" si="90"/>
        <v>1577178245</v>
      </c>
    </row>
    <row r="5798" spans="1:7" x14ac:dyDescent="0.25">
      <c r="A5798">
        <v>1577178258</v>
      </c>
      <c r="B5798" t="s">
        <v>28247</v>
      </c>
      <c r="C5798">
        <v>1299</v>
      </c>
      <c r="D5798">
        <v>0</v>
      </c>
      <c r="E5798">
        <v>0</v>
      </c>
      <c r="F5798">
        <v>7978</v>
      </c>
      <c r="G5798">
        <f t="shared" si="90"/>
        <v>1577178258</v>
      </c>
    </row>
    <row r="5799" spans="1:7" x14ac:dyDescent="0.25">
      <c r="A5799">
        <v>1577178260</v>
      </c>
      <c r="B5799" t="s">
        <v>28248</v>
      </c>
      <c r="C5799">
        <v>0</v>
      </c>
      <c r="D5799">
        <v>0</v>
      </c>
      <c r="E5799">
        <v>0</v>
      </c>
      <c r="F5799">
        <v>7979</v>
      </c>
      <c r="G5799">
        <f t="shared" si="90"/>
        <v>1577178260</v>
      </c>
    </row>
    <row r="5800" spans="1:7" x14ac:dyDescent="0.25">
      <c r="A5800">
        <v>1577178261</v>
      </c>
      <c r="B5800" t="s">
        <v>28249</v>
      </c>
      <c r="C5800">
        <v>20</v>
      </c>
      <c r="D5800">
        <v>5</v>
      </c>
      <c r="E5800">
        <v>22411</v>
      </c>
      <c r="F5800">
        <v>506</v>
      </c>
      <c r="G5800">
        <f t="shared" si="90"/>
        <v>1577178261</v>
      </c>
    </row>
    <row r="5801" spans="1:7" x14ac:dyDescent="0.25">
      <c r="A5801">
        <v>1577178280</v>
      </c>
      <c r="B5801" t="s">
        <v>28250</v>
      </c>
      <c r="C5801">
        <v>534</v>
      </c>
      <c r="D5801">
        <v>4</v>
      </c>
      <c r="E5801">
        <v>14957</v>
      </c>
      <c r="F5801">
        <v>1004</v>
      </c>
      <c r="G5801">
        <f t="shared" si="90"/>
        <v>1577178280</v>
      </c>
    </row>
    <row r="5802" spans="1:7" x14ac:dyDescent="0.25">
      <c r="A5802">
        <v>1577178286</v>
      </c>
      <c r="B5802" t="s">
        <v>28251</v>
      </c>
      <c r="C5802">
        <v>294</v>
      </c>
      <c r="D5802">
        <v>1</v>
      </c>
      <c r="E5802">
        <v>64</v>
      </c>
      <c r="F5802">
        <v>6091</v>
      </c>
      <c r="G5802">
        <f t="shared" si="90"/>
        <v>1577178286</v>
      </c>
    </row>
    <row r="5803" spans="1:7" x14ac:dyDescent="0.25">
      <c r="A5803">
        <v>1577178319</v>
      </c>
      <c r="B5803" t="s">
        <v>28252</v>
      </c>
      <c r="C5803">
        <v>0</v>
      </c>
      <c r="D5803">
        <v>1</v>
      </c>
      <c r="E5803">
        <v>51</v>
      </c>
      <c r="F5803">
        <v>6165</v>
      </c>
      <c r="G5803">
        <f t="shared" si="90"/>
        <v>1577178319</v>
      </c>
    </row>
    <row r="5804" spans="1:7" x14ac:dyDescent="0.25">
      <c r="A5804">
        <v>1577178367</v>
      </c>
      <c r="B5804" t="s">
        <v>28253</v>
      </c>
      <c r="C5804">
        <v>55</v>
      </c>
      <c r="D5804">
        <v>1</v>
      </c>
      <c r="E5804">
        <v>632</v>
      </c>
      <c r="F5804">
        <v>4432</v>
      </c>
      <c r="G5804">
        <f t="shared" si="90"/>
        <v>1577178367</v>
      </c>
    </row>
    <row r="5805" spans="1:7" x14ac:dyDescent="0.25">
      <c r="A5805">
        <v>1577178389</v>
      </c>
      <c r="B5805" t="s">
        <v>36707</v>
      </c>
      <c r="C5805">
        <v>467</v>
      </c>
      <c r="D5805">
        <v>2</v>
      </c>
      <c r="E5805">
        <v>10153</v>
      </c>
      <c r="F5805">
        <v>1542</v>
      </c>
      <c r="G5805">
        <f t="shared" si="90"/>
        <v>1577178389</v>
      </c>
    </row>
    <row r="5806" spans="1:7" x14ac:dyDescent="0.25">
      <c r="A5806">
        <v>1577178433</v>
      </c>
      <c r="B5806" t="s">
        <v>28254</v>
      </c>
      <c r="C5806">
        <v>0</v>
      </c>
      <c r="D5806">
        <v>0</v>
      </c>
      <c r="E5806">
        <v>0</v>
      </c>
      <c r="F5806">
        <v>7980</v>
      </c>
      <c r="G5806">
        <f t="shared" si="90"/>
        <v>1577178433</v>
      </c>
    </row>
    <row r="5807" spans="1:7" x14ac:dyDescent="0.25">
      <c r="A5807">
        <v>1577178468</v>
      </c>
      <c r="B5807" t="s">
        <v>36708</v>
      </c>
      <c r="C5807">
        <v>270</v>
      </c>
      <c r="D5807">
        <v>3</v>
      </c>
      <c r="E5807">
        <v>17954</v>
      </c>
      <c r="F5807">
        <v>765</v>
      </c>
      <c r="G5807">
        <f t="shared" si="90"/>
        <v>1577178468</v>
      </c>
    </row>
    <row r="5808" spans="1:7" x14ac:dyDescent="0.25">
      <c r="A5808">
        <v>1577178516</v>
      </c>
      <c r="B5808" t="s">
        <v>28255</v>
      </c>
      <c r="C5808">
        <v>215</v>
      </c>
      <c r="D5808">
        <v>2</v>
      </c>
      <c r="E5808">
        <v>12186</v>
      </c>
      <c r="F5808">
        <v>1272</v>
      </c>
      <c r="G5808">
        <f t="shared" si="90"/>
        <v>1577178516</v>
      </c>
    </row>
    <row r="5809" spans="1:7" x14ac:dyDescent="0.25">
      <c r="A5809">
        <v>1577178554</v>
      </c>
      <c r="B5809" t="s">
        <v>36709</v>
      </c>
      <c r="C5809">
        <v>733</v>
      </c>
      <c r="D5809">
        <v>8</v>
      </c>
      <c r="E5809">
        <v>44087</v>
      </c>
      <c r="F5809">
        <v>69</v>
      </c>
      <c r="G5809">
        <f t="shared" si="90"/>
        <v>1577178554</v>
      </c>
    </row>
    <row r="5810" spans="1:7" x14ac:dyDescent="0.25">
      <c r="A5810">
        <v>1577178556</v>
      </c>
      <c r="B5810" t="s">
        <v>28256</v>
      </c>
      <c r="C5810">
        <v>0</v>
      </c>
      <c r="D5810">
        <v>1</v>
      </c>
      <c r="E5810">
        <v>973</v>
      </c>
      <c r="F5810">
        <v>4012</v>
      </c>
      <c r="G5810">
        <f t="shared" si="90"/>
        <v>1577178556</v>
      </c>
    </row>
    <row r="5811" spans="1:7" x14ac:dyDescent="0.25">
      <c r="A5811">
        <v>1577178574</v>
      </c>
      <c r="B5811" t="s">
        <v>28257</v>
      </c>
      <c r="C5811">
        <v>1689</v>
      </c>
      <c r="D5811">
        <v>1</v>
      </c>
      <c r="E5811">
        <v>4050</v>
      </c>
      <c r="F5811">
        <v>2761</v>
      </c>
      <c r="G5811">
        <f t="shared" si="90"/>
        <v>1577178574</v>
      </c>
    </row>
    <row r="5812" spans="1:7" x14ac:dyDescent="0.25">
      <c r="A5812">
        <v>1577178577</v>
      </c>
      <c r="B5812" t="s">
        <v>28258</v>
      </c>
      <c r="C5812">
        <v>0</v>
      </c>
      <c r="D5812">
        <v>1</v>
      </c>
      <c r="E5812">
        <v>258</v>
      </c>
      <c r="F5812">
        <v>5266</v>
      </c>
      <c r="G5812">
        <f t="shared" si="90"/>
        <v>1577178577</v>
      </c>
    </row>
    <row r="5813" spans="1:7" x14ac:dyDescent="0.25">
      <c r="A5813">
        <v>1577178601</v>
      </c>
      <c r="B5813" t="s">
        <v>28259</v>
      </c>
      <c r="C5813">
        <v>0</v>
      </c>
      <c r="D5813">
        <v>0</v>
      </c>
      <c r="E5813">
        <v>0</v>
      </c>
      <c r="F5813">
        <v>7981</v>
      </c>
      <c r="G5813">
        <f t="shared" si="90"/>
        <v>1577178601</v>
      </c>
    </row>
    <row r="5814" spans="1:7" x14ac:dyDescent="0.25">
      <c r="A5814">
        <v>1577178603</v>
      </c>
      <c r="B5814" t="s">
        <v>28260</v>
      </c>
      <c r="C5814">
        <v>0</v>
      </c>
      <c r="D5814">
        <v>0</v>
      </c>
      <c r="E5814">
        <v>0</v>
      </c>
      <c r="F5814">
        <v>7982</v>
      </c>
      <c r="G5814">
        <f t="shared" si="90"/>
        <v>1577178603</v>
      </c>
    </row>
    <row r="5815" spans="1:7" x14ac:dyDescent="0.25">
      <c r="A5815">
        <v>1577178702</v>
      </c>
      <c r="B5815" t="s">
        <v>36710</v>
      </c>
      <c r="C5815">
        <v>821</v>
      </c>
      <c r="D5815">
        <v>1</v>
      </c>
      <c r="E5815">
        <v>500</v>
      </c>
      <c r="F5815">
        <v>4637</v>
      </c>
      <c r="G5815">
        <f t="shared" si="90"/>
        <v>1577178702</v>
      </c>
    </row>
    <row r="5816" spans="1:7" x14ac:dyDescent="0.25">
      <c r="A5816">
        <v>1577178726</v>
      </c>
      <c r="B5816" t="s">
        <v>28261</v>
      </c>
      <c r="C5816">
        <v>0</v>
      </c>
      <c r="D5816">
        <v>1</v>
      </c>
      <c r="E5816">
        <v>26</v>
      </c>
      <c r="F5816">
        <v>6754</v>
      </c>
      <c r="G5816">
        <f t="shared" si="90"/>
        <v>1577178726</v>
      </c>
    </row>
    <row r="5817" spans="1:7" x14ac:dyDescent="0.25">
      <c r="A5817">
        <v>1577178743</v>
      </c>
      <c r="B5817" t="s">
        <v>28262</v>
      </c>
      <c r="C5817">
        <v>0</v>
      </c>
      <c r="D5817">
        <v>0</v>
      </c>
      <c r="E5817">
        <v>0</v>
      </c>
      <c r="F5817">
        <v>7983</v>
      </c>
      <c r="G5817">
        <f t="shared" si="90"/>
        <v>1577178743</v>
      </c>
    </row>
    <row r="5818" spans="1:7" x14ac:dyDescent="0.25">
      <c r="A5818">
        <v>1577178751</v>
      </c>
      <c r="B5818" t="s">
        <v>28263</v>
      </c>
      <c r="C5818">
        <v>1315</v>
      </c>
      <c r="D5818">
        <v>1</v>
      </c>
      <c r="E5818">
        <v>85</v>
      </c>
      <c r="F5818">
        <v>5939</v>
      </c>
      <c r="G5818">
        <f t="shared" si="90"/>
        <v>1577178751</v>
      </c>
    </row>
    <row r="5819" spans="1:7" x14ac:dyDescent="0.25">
      <c r="A5819">
        <v>1577178787</v>
      </c>
      <c r="B5819" t="s">
        <v>28264</v>
      </c>
      <c r="C5819">
        <v>0</v>
      </c>
      <c r="D5819">
        <v>1</v>
      </c>
      <c r="E5819">
        <v>2170</v>
      </c>
      <c r="F5819">
        <v>3263</v>
      </c>
      <c r="G5819">
        <f t="shared" si="90"/>
        <v>1577178787</v>
      </c>
    </row>
    <row r="5820" spans="1:7" x14ac:dyDescent="0.25">
      <c r="A5820">
        <v>1577178793</v>
      </c>
      <c r="B5820" t="s">
        <v>36711</v>
      </c>
      <c r="C5820">
        <v>0</v>
      </c>
      <c r="D5820">
        <v>1</v>
      </c>
      <c r="E5820">
        <v>26</v>
      </c>
      <c r="F5820">
        <v>6755</v>
      </c>
      <c r="G5820">
        <f t="shared" si="90"/>
        <v>1577178793</v>
      </c>
    </row>
    <row r="5821" spans="1:7" x14ac:dyDescent="0.25">
      <c r="A5821">
        <v>1577178804</v>
      </c>
      <c r="B5821" t="s">
        <v>28265</v>
      </c>
      <c r="C5821">
        <v>0</v>
      </c>
      <c r="D5821">
        <v>1</v>
      </c>
      <c r="E5821">
        <v>122</v>
      </c>
      <c r="F5821">
        <v>5783</v>
      </c>
      <c r="G5821">
        <f t="shared" si="90"/>
        <v>1577178804</v>
      </c>
    </row>
    <row r="5822" spans="1:7" x14ac:dyDescent="0.25">
      <c r="A5822">
        <v>1577178829</v>
      </c>
      <c r="B5822" t="s">
        <v>28266</v>
      </c>
      <c r="C5822">
        <v>199</v>
      </c>
      <c r="D5822">
        <v>2</v>
      </c>
      <c r="E5822">
        <v>10419</v>
      </c>
      <c r="F5822">
        <v>1505</v>
      </c>
      <c r="G5822">
        <f t="shared" si="90"/>
        <v>1577178829</v>
      </c>
    </row>
    <row r="5823" spans="1:7" x14ac:dyDescent="0.25">
      <c r="A5823">
        <v>1577178830</v>
      </c>
      <c r="B5823" t="s">
        <v>28267</v>
      </c>
      <c r="C5823">
        <v>578</v>
      </c>
      <c r="D5823">
        <v>5</v>
      </c>
      <c r="E5823">
        <v>26449</v>
      </c>
      <c r="F5823">
        <v>353</v>
      </c>
      <c r="G5823">
        <f t="shared" si="90"/>
        <v>1577178830</v>
      </c>
    </row>
    <row r="5824" spans="1:7" x14ac:dyDescent="0.25">
      <c r="A5824">
        <v>1577178845</v>
      </c>
      <c r="B5824" t="s">
        <v>36712</v>
      </c>
      <c r="C5824">
        <v>0</v>
      </c>
      <c r="D5824">
        <v>0</v>
      </c>
      <c r="E5824">
        <v>0</v>
      </c>
      <c r="F5824">
        <v>7984</v>
      </c>
      <c r="G5824">
        <f t="shared" si="90"/>
        <v>1577178845</v>
      </c>
    </row>
    <row r="5825" spans="1:7" x14ac:dyDescent="0.25">
      <c r="A5825">
        <v>1577178848</v>
      </c>
      <c r="B5825" t="s">
        <v>37338</v>
      </c>
      <c r="C5825">
        <v>882</v>
      </c>
      <c r="D5825">
        <v>1</v>
      </c>
      <c r="E5825">
        <v>6482</v>
      </c>
      <c r="F5825">
        <v>2171</v>
      </c>
      <c r="G5825">
        <f t="shared" ref="G5825:G5888" si="91">A5825</f>
        <v>1577178848</v>
      </c>
    </row>
    <row r="5826" spans="1:7" x14ac:dyDescent="0.25">
      <c r="A5826">
        <v>1577178889</v>
      </c>
      <c r="B5826" t="s">
        <v>28268</v>
      </c>
      <c r="C5826">
        <v>0</v>
      </c>
      <c r="D5826">
        <v>0</v>
      </c>
      <c r="E5826">
        <v>0</v>
      </c>
      <c r="F5826">
        <v>7985</v>
      </c>
      <c r="G5826">
        <f t="shared" si="91"/>
        <v>1577178889</v>
      </c>
    </row>
    <row r="5827" spans="1:7" x14ac:dyDescent="0.25">
      <c r="A5827">
        <v>1577178902</v>
      </c>
      <c r="B5827" t="s">
        <v>28269</v>
      </c>
      <c r="C5827">
        <v>0</v>
      </c>
      <c r="D5827">
        <v>0</v>
      </c>
      <c r="E5827">
        <v>0</v>
      </c>
      <c r="F5827">
        <v>7986</v>
      </c>
      <c r="G5827">
        <f t="shared" si="91"/>
        <v>1577178902</v>
      </c>
    </row>
    <row r="5828" spans="1:7" x14ac:dyDescent="0.25">
      <c r="A5828">
        <v>1577178918</v>
      </c>
      <c r="B5828" t="s">
        <v>2937</v>
      </c>
      <c r="C5828">
        <v>1622</v>
      </c>
      <c r="D5828">
        <v>1</v>
      </c>
      <c r="E5828">
        <v>202</v>
      </c>
      <c r="F5828">
        <v>5490</v>
      </c>
      <c r="G5828">
        <f t="shared" si="91"/>
        <v>1577178918</v>
      </c>
    </row>
    <row r="5829" spans="1:7" x14ac:dyDescent="0.25">
      <c r="A5829">
        <v>1577178932</v>
      </c>
      <c r="B5829" t="s">
        <v>36713</v>
      </c>
      <c r="C5829">
        <v>1413</v>
      </c>
      <c r="D5829">
        <v>2</v>
      </c>
      <c r="E5829">
        <v>5801</v>
      </c>
      <c r="F5829">
        <v>2337</v>
      </c>
      <c r="G5829">
        <f t="shared" si="91"/>
        <v>1577178932</v>
      </c>
    </row>
    <row r="5830" spans="1:7" x14ac:dyDescent="0.25">
      <c r="A5830">
        <v>1577178936</v>
      </c>
      <c r="B5830" t="s">
        <v>28270</v>
      </c>
      <c r="C5830">
        <v>106</v>
      </c>
      <c r="D5830">
        <v>1</v>
      </c>
      <c r="E5830">
        <v>638</v>
      </c>
      <c r="F5830">
        <v>4423</v>
      </c>
      <c r="G5830">
        <f t="shared" si="91"/>
        <v>1577178936</v>
      </c>
    </row>
    <row r="5831" spans="1:7" x14ac:dyDescent="0.25">
      <c r="A5831">
        <v>1577178984</v>
      </c>
      <c r="B5831" t="s">
        <v>28271</v>
      </c>
      <c r="C5831">
        <v>106</v>
      </c>
      <c r="D5831">
        <v>1</v>
      </c>
      <c r="E5831">
        <v>5253</v>
      </c>
      <c r="F5831">
        <v>2459</v>
      </c>
      <c r="G5831">
        <f t="shared" si="91"/>
        <v>1577178984</v>
      </c>
    </row>
    <row r="5832" spans="1:7" x14ac:dyDescent="0.25">
      <c r="A5832">
        <v>1577178996</v>
      </c>
      <c r="B5832" t="s">
        <v>28272</v>
      </c>
      <c r="C5832">
        <v>0</v>
      </c>
      <c r="D5832">
        <v>0</v>
      </c>
      <c r="E5832">
        <v>0</v>
      </c>
      <c r="F5832">
        <v>7987</v>
      </c>
      <c r="G5832">
        <f t="shared" si="91"/>
        <v>1577178996</v>
      </c>
    </row>
    <row r="5833" spans="1:7" x14ac:dyDescent="0.25">
      <c r="A5833">
        <v>1577178998</v>
      </c>
      <c r="B5833" t="s">
        <v>28273</v>
      </c>
      <c r="C5833">
        <v>0</v>
      </c>
      <c r="D5833">
        <v>1</v>
      </c>
      <c r="E5833">
        <v>26</v>
      </c>
      <c r="F5833">
        <v>6756</v>
      </c>
      <c r="G5833">
        <f t="shared" si="91"/>
        <v>1577178998</v>
      </c>
    </row>
    <row r="5834" spans="1:7" x14ac:dyDescent="0.25">
      <c r="A5834">
        <v>1577179017</v>
      </c>
      <c r="B5834" t="s">
        <v>28274</v>
      </c>
      <c r="C5834">
        <v>0</v>
      </c>
      <c r="D5834">
        <v>0</v>
      </c>
      <c r="E5834">
        <v>0</v>
      </c>
      <c r="F5834">
        <v>7988</v>
      </c>
      <c r="G5834">
        <f t="shared" si="91"/>
        <v>1577179017</v>
      </c>
    </row>
    <row r="5835" spans="1:7" x14ac:dyDescent="0.25">
      <c r="A5835">
        <v>1577179056</v>
      </c>
      <c r="B5835" t="s">
        <v>28275</v>
      </c>
      <c r="C5835">
        <v>0</v>
      </c>
      <c r="D5835">
        <v>1</v>
      </c>
      <c r="E5835">
        <v>547</v>
      </c>
      <c r="F5835">
        <v>4556</v>
      </c>
      <c r="G5835">
        <f t="shared" si="91"/>
        <v>1577179056</v>
      </c>
    </row>
    <row r="5836" spans="1:7" x14ac:dyDescent="0.25">
      <c r="A5836">
        <v>1577179062</v>
      </c>
      <c r="B5836" t="s">
        <v>28276</v>
      </c>
      <c r="C5836">
        <v>1206</v>
      </c>
      <c r="D5836">
        <v>1</v>
      </c>
      <c r="E5836">
        <v>1028</v>
      </c>
      <c r="F5836">
        <v>3948</v>
      </c>
      <c r="G5836">
        <f t="shared" si="91"/>
        <v>1577179062</v>
      </c>
    </row>
    <row r="5837" spans="1:7" x14ac:dyDescent="0.25">
      <c r="A5837">
        <v>1577179103</v>
      </c>
      <c r="B5837" t="s">
        <v>37175</v>
      </c>
      <c r="C5837">
        <v>0</v>
      </c>
      <c r="D5837">
        <v>0</v>
      </c>
      <c r="E5837">
        <v>0</v>
      </c>
      <c r="F5837">
        <v>7989</v>
      </c>
      <c r="G5837">
        <f t="shared" si="91"/>
        <v>1577179103</v>
      </c>
    </row>
    <row r="5838" spans="1:7" x14ac:dyDescent="0.25">
      <c r="A5838">
        <v>1577179148</v>
      </c>
      <c r="B5838" t="s">
        <v>28277</v>
      </c>
      <c r="C5838">
        <v>595</v>
      </c>
      <c r="D5838">
        <v>0</v>
      </c>
      <c r="E5838">
        <v>0</v>
      </c>
      <c r="F5838">
        <v>7990</v>
      </c>
      <c r="G5838">
        <f t="shared" si="91"/>
        <v>1577179148</v>
      </c>
    </row>
    <row r="5839" spans="1:7" x14ac:dyDescent="0.25">
      <c r="A5839">
        <v>1577179191</v>
      </c>
      <c r="B5839" t="s">
        <v>37339</v>
      </c>
      <c r="C5839">
        <v>0</v>
      </c>
      <c r="D5839">
        <v>0</v>
      </c>
      <c r="E5839">
        <v>0</v>
      </c>
      <c r="F5839">
        <v>7991</v>
      </c>
      <c r="G5839">
        <f t="shared" si="91"/>
        <v>1577179191</v>
      </c>
    </row>
    <row r="5840" spans="1:7" x14ac:dyDescent="0.25">
      <c r="A5840">
        <v>1577179199</v>
      </c>
      <c r="B5840" t="s">
        <v>28278</v>
      </c>
      <c r="C5840">
        <v>0</v>
      </c>
      <c r="D5840">
        <v>1</v>
      </c>
      <c r="E5840">
        <v>76</v>
      </c>
      <c r="F5840">
        <v>6009</v>
      </c>
      <c r="G5840">
        <f t="shared" si="91"/>
        <v>1577179199</v>
      </c>
    </row>
    <row r="5841" spans="1:7" x14ac:dyDescent="0.25">
      <c r="A5841">
        <v>1577179201</v>
      </c>
      <c r="B5841" t="s">
        <v>37065</v>
      </c>
      <c r="C5841">
        <v>39</v>
      </c>
      <c r="D5841">
        <v>4</v>
      </c>
      <c r="E5841">
        <v>11111</v>
      </c>
      <c r="F5841">
        <v>1397</v>
      </c>
      <c r="G5841">
        <f t="shared" si="91"/>
        <v>1577179201</v>
      </c>
    </row>
    <row r="5842" spans="1:7" x14ac:dyDescent="0.25">
      <c r="A5842">
        <v>1577179274</v>
      </c>
      <c r="B5842" t="s">
        <v>28279</v>
      </c>
      <c r="C5842">
        <v>1403</v>
      </c>
      <c r="D5842">
        <v>4</v>
      </c>
      <c r="E5842">
        <v>14474</v>
      </c>
      <c r="F5842">
        <v>1039</v>
      </c>
      <c r="G5842">
        <f t="shared" si="91"/>
        <v>1577179274</v>
      </c>
    </row>
    <row r="5843" spans="1:7" x14ac:dyDescent="0.25">
      <c r="A5843">
        <v>1577179275</v>
      </c>
      <c r="B5843" t="s">
        <v>28280</v>
      </c>
      <c r="C5843">
        <v>0</v>
      </c>
      <c r="D5843">
        <v>1</v>
      </c>
      <c r="E5843">
        <v>564</v>
      </c>
      <c r="F5843">
        <v>4529</v>
      </c>
      <c r="G5843">
        <f t="shared" si="91"/>
        <v>1577179275</v>
      </c>
    </row>
    <row r="5844" spans="1:7" x14ac:dyDescent="0.25">
      <c r="A5844">
        <v>1577179280</v>
      </c>
      <c r="B5844" t="s">
        <v>28281</v>
      </c>
      <c r="C5844">
        <v>1913</v>
      </c>
      <c r="D5844">
        <v>1</v>
      </c>
      <c r="E5844">
        <v>1219</v>
      </c>
      <c r="F5844">
        <v>3784</v>
      </c>
      <c r="G5844">
        <f t="shared" si="91"/>
        <v>1577179280</v>
      </c>
    </row>
    <row r="5845" spans="1:7" x14ac:dyDescent="0.25">
      <c r="A5845">
        <v>1577179299</v>
      </c>
      <c r="B5845" t="s">
        <v>28282</v>
      </c>
      <c r="C5845">
        <v>0</v>
      </c>
      <c r="D5845">
        <v>0</v>
      </c>
      <c r="E5845">
        <v>0</v>
      </c>
      <c r="F5845">
        <v>7992</v>
      </c>
      <c r="G5845">
        <f t="shared" si="91"/>
        <v>1577179299</v>
      </c>
    </row>
    <row r="5846" spans="1:7" x14ac:dyDescent="0.25">
      <c r="A5846">
        <v>1577179340</v>
      </c>
      <c r="B5846" t="s">
        <v>28283</v>
      </c>
      <c r="C5846">
        <v>0</v>
      </c>
      <c r="D5846">
        <v>1</v>
      </c>
      <c r="E5846">
        <v>105</v>
      </c>
      <c r="F5846">
        <v>5828</v>
      </c>
      <c r="G5846">
        <f t="shared" si="91"/>
        <v>1577179340</v>
      </c>
    </row>
    <row r="5847" spans="1:7" x14ac:dyDescent="0.25">
      <c r="A5847">
        <v>1577179346</v>
      </c>
      <c r="B5847" t="s">
        <v>36714</v>
      </c>
      <c r="C5847">
        <v>413</v>
      </c>
      <c r="D5847">
        <v>1</v>
      </c>
      <c r="E5847">
        <v>3841</v>
      </c>
      <c r="F5847">
        <v>2802</v>
      </c>
      <c r="G5847">
        <f t="shared" si="91"/>
        <v>1577179346</v>
      </c>
    </row>
    <row r="5848" spans="1:7" x14ac:dyDescent="0.25">
      <c r="A5848">
        <v>1577179354</v>
      </c>
      <c r="B5848" t="s">
        <v>28284</v>
      </c>
      <c r="C5848">
        <v>595</v>
      </c>
      <c r="D5848">
        <v>0</v>
      </c>
      <c r="E5848">
        <v>0</v>
      </c>
      <c r="F5848">
        <v>7993</v>
      </c>
      <c r="G5848">
        <f t="shared" si="91"/>
        <v>1577179354</v>
      </c>
    </row>
    <row r="5849" spans="1:7" x14ac:dyDescent="0.25">
      <c r="A5849">
        <v>1577179388</v>
      </c>
      <c r="B5849" t="s">
        <v>37066</v>
      </c>
      <c r="C5849">
        <v>122</v>
      </c>
      <c r="D5849">
        <v>4</v>
      </c>
      <c r="E5849">
        <v>22054</v>
      </c>
      <c r="F5849">
        <v>516</v>
      </c>
      <c r="G5849">
        <f t="shared" si="91"/>
        <v>1577179388</v>
      </c>
    </row>
    <row r="5850" spans="1:7" x14ac:dyDescent="0.25">
      <c r="A5850">
        <v>1577179392</v>
      </c>
      <c r="B5850" t="s">
        <v>28285</v>
      </c>
      <c r="C5850">
        <v>0</v>
      </c>
      <c r="D5850">
        <v>0</v>
      </c>
      <c r="E5850">
        <v>0</v>
      </c>
      <c r="F5850">
        <v>7994</v>
      </c>
      <c r="G5850">
        <f t="shared" si="91"/>
        <v>1577179392</v>
      </c>
    </row>
    <row r="5851" spans="1:7" x14ac:dyDescent="0.25">
      <c r="A5851">
        <v>1577179440</v>
      </c>
      <c r="B5851" t="s">
        <v>37340</v>
      </c>
      <c r="C5851">
        <v>124</v>
      </c>
      <c r="D5851">
        <v>2</v>
      </c>
      <c r="E5851">
        <v>9841</v>
      </c>
      <c r="F5851">
        <v>1583</v>
      </c>
      <c r="G5851">
        <f t="shared" si="91"/>
        <v>1577179440</v>
      </c>
    </row>
    <row r="5852" spans="1:7" x14ac:dyDescent="0.25">
      <c r="A5852">
        <v>1577179466</v>
      </c>
      <c r="B5852" t="s">
        <v>2824</v>
      </c>
      <c r="C5852">
        <v>0</v>
      </c>
      <c r="D5852">
        <v>1</v>
      </c>
      <c r="E5852">
        <v>637</v>
      </c>
      <c r="F5852">
        <v>4425</v>
      </c>
      <c r="G5852">
        <f t="shared" si="91"/>
        <v>1577179466</v>
      </c>
    </row>
    <row r="5853" spans="1:7" x14ac:dyDescent="0.25">
      <c r="A5853">
        <v>1577179471</v>
      </c>
      <c r="B5853" t="s">
        <v>36715</v>
      </c>
      <c r="C5853">
        <v>1203</v>
      </c>
      <c r="D5853">
        <v>1</v>
      </c>
      <c r="E5853">
        <v>4492</v>
      </c>
      <c r="F5853">
        <v>2622</v>
      </c>
      <c r="G5853">
        <f t="shared" si="91"/>
        <v>1577179471</v>
      </c>
    </row>
    <row r="5854" spans="1:7" x14ac:dyDescent="0.25">
      <c r="A5854">
        <v>1577179475</v>
      </c>
      <c r="B5854" t="s">
        <v>36716</v>
      </c>
      <c r="C5854">
        <v>1</v>
      </c>
      <c r="D5854">
        <v>0</v>
      </c>
      <c r="E5854">
        <v>0</v>
      </c>
      <c r="F5854">
        <v>7995</v>
      </c>
      <c r="G5854">
        <f t="shared" si="91"/>
        <v>1577179475</v>
      </c>
    </row>
    <row r="5855" spans="1:7" x14ac:dyDescent="0.25">
      <c r="A5855">
        <v>1577179490</v>
      </c>
      <c r="B5855" t="s">
        <v>28286</v>
      </c>
      <c r="C5855">
        <v>175</v>
      </c>
      <c r="D5855">
        <v>2</v>
      </c>
      <c r="E5855">
        <v>11800</v>
      </c>
      <c r="F5855">
        <v>1310</v>
      </c>
      <c r="G5855">
        <f t="shared" si="91"/>
        <v>1577179490</v>
      </c>
    </row>
    <row r="5856" spans="1:7" x14ac:dyDescent="0.25">
      <c r="A5856">
        <v>1577179492</v>
      </c>
      <c r="B5856" t="s">
        <v>28287</v>
      </c>
      <c r="C5856">
        <v>1609</v>
      </c>
      <c r="D5856">
        <v>2</v>
      </c>
      <c r="E5856">
        <v>13134</v>
      </c>
      <c r="F5856">
        <v>1157</v>
      </c>
      <c r="G5856">
        <f t="shared" si="91"/>
        <v>1577179492</v>
      </c>
    </row>
    <row r="5857" spans="1:7" x14ac:dyDescent="0.25">
      <c r="A5857">
        <v>1577179523</v>
      </c>
      <c r="B5857" t="s">
        <v>28288</v>
      </c>
      <c r="C5857">
        <v>218</v>
      </c>
      <c r="D5857">
        <v>2</v>
      </c>
      <c r="E5857">
        <v>9730</v>
      </c>
      <c r="F5857">
        <v>1602</v>
      </c>
      <c r="G5857">
        <f t="shared" si="91"/>
        <v>1577179523</v>
      </c>
    </row>
    <row r="5858" spans="1:7" x14ac:dyDescent="0.25">
      <c r="A5858">
        <v>1577179524</v>
      </c>
      <c r="B5858" t="s">
        <v>28289</v>
      </c>
      <c r="C5858">
        <v>160</v>
      </c>
      <c r="D5858">
        <v>1</v>
      </c>
      <c r="E5858">
        <v>500</v>
      </c>
      <c r="F5858">
        <v>4638</v>
      </c>
      <c r="G5858">
        <f t="shared" si="91"/>
        <v>1577179524</v>
      </c>
    </row>
    <row r="5859" spans="1:7" x14ac:dyDescent="0.25">
      <c r="A5859">
        <v>1577179535</v>
      </c>
      <c r="B5859" t="s">
        <v>28290</v>
      </c>
      <c r="C5859">
        <v>0</v>
      </c>
      <c r="D5859">
        <v>1</v>
      </c>
      <c r="E5859">
        <v>157</v>
      </c>
      <c r="F5859">
        <v>5671</v>
      </c>
      <c r="G5859">
        <f t="shared" si="91"/>
        <v>1577179535</v>
      </c>
    </row>
    <row r="5860" spans="1:7" x14ac:dyDescent="0.25">
      <c r="A5860">
        <v>1577179547</v>
      </c>
      <c r="B5860" t="s">
        <v>28291</v>
      </c>
      <c r="C5860">
        <v>0</v>
      </c>
      <c r="D5860">
        <v>0</v>
      </c>
      <c r="E5860">
        <v>0</v>
      </c>
      <c r="F5860">
        <v>7996</v>
      </c>
      <c r="G5860">
        <f t="shared" si="91"/>
        <v>1577179547</v>
      </c>
    </row>
    <row r="5861" spans="1:7" x14ac:dyDescent="0.25">
      <c r="A5861">
        <v>1577179568</v>
      </c>
      <c r="B5861" t="s">
        <v>28292</v>
      </c>
      <c r="C5861">
        <v>36</v>
      </c>
      <c r="D5861">
        <v>5</v>
      </c>
      <c r="E5861">
        <v>26172</v>
      </c>
      <c r="F5861">
        <v>360</v>
      </c>
      <c r="G5861">
        <f t="shared" si="91"/>
        <v>1577179568</v>
      </c>
    </row>
    <row r="5862" spans="1:7" x14ac:dyDescent="0.25">
      <c r="A5862">
        <v>1577179709</v>
      </c>
      <c r="B5862" t="s">
        <v>28293</v>
      </c>
      <c r="C5862">
        <v>0</v>
      </c>
      <c r="D5862">
        <v>1</v>
      </c>
      <c r="E5862">
        <v>1585</v>
      </c>
      <c r="F5862">
        <v>3552</v>
      </c>
      <c r="G5862">
        <f t="shared" si="91"/>
        <v>1577179709</v>
      </c>
    </row>
    <row r="5863" spans="1:7" x14ac:dyDescent="0.25">
      <c r="A5863">
        <v>1577179717</v>
      </c>
      <c r="B5863" t="s">
        <v>28294</v>
      </c>
      <c r="C5863">
        <v>160</v>
      </c>
      <c r="D5863">
        <v>3</v>
      </c>
      <c r="E5863">
        <v>16767</v>
      </c>
      <c r="F5863">
        <v>844</v>
      </c>
      <c r="G5863">
        <f t="shared" si="91"/>
        <v>1577179717</v>
      </c>
    </row>
    <row r="5864" spans="1:7" x14ac:dyDescent="0.25">
      <c r="A5864">
        <v>1577179736</v>
      </c>
      <c r="B5864" t="s">
        <v>28295</v>
      </c>
      <c r="C5864">
        <v>0</v>
      </c>
      <c r="D5864">
        <v>1</v>
      </c>
      <c r="E5864">
        <v>26</v>
      </c>
      <c r="F5864">
        <v>6757</v>
      </c>
      <c r="G5864">
        <f t="shared" si="91"/>
        <v>1577179736</v>
      </c>
    </row>
    <row r="5865" spans="1:7" x14ac:dyDescent="0.25">
      <c r="A5865">
        <v>1577179752</v>
      </c>
      <c r="B5865" t="s">
        <v>28296</v>
      </c>
      <c r="C5865">
        <v>235</v>
      </c>
      <c r="D5865">
        <v>3</v>
      </c>
      <c r="E5865">
        <v>6801</v>
      </c>
      <c r="F5865">
        <v>2101</v>
      </c>
      <c r="G5865">
        <f t="shared" si="91"/>
        <v>1577179752</v>
      </c>
    </row>
    <row r="5866" spans="1:7" x14ac:dyDescent="0.25">
      <c r="A5866">
        <v>1577179826</v>
      </c>
      <c r="B5866" t="s">
        <v>28297</v>
      </c>
      <c r="C5866">
        <v>0</v>
      </c>
      <c r="D5866">
        <v>1</v>
      </c>
      <c r="E5866">
        <v>250</v>
      </c>
      <c r="F5866">
        <v>5305</v>
      </c>
      <c r="G5866">
        <f t="shared" si="91"/>
        <v>1577179826</v>
      </c>
    </row>
    <row r="5867" spans="1:7" x14ac:dyDescent="0.25">
      <c r="A5867">
        <v>1577179845</v>
      </c>
      <c r="B5867" t="s">
        <v>28298</v>
      </c>
      <c r="C5867">
        <v>218</v>
      </c>
      <c r="D5867">
        <v>1</v>
      </c>
      <c r="E5867">
        <v>6025</v>
      </c>
      <c r="F5867">
        <v>2269</v>
      </c>
      <c r="G5867">
        <f t="shared" si="91"/>
        <v>1577179845</v>
      </c>
    </row>
    <row r="5868" spans="1:7" x14ac:dyDescent="0.25">
      <c r="A5868">
        <v>1577179877</v>
      </c>
      <c r="B5868" t="s">
        <v>36717</v>
      </c>
      <c r="C5868">
        <v>1663</v>
      </c>
      <c r="D5868">
        <v>1</v>
      </c>
      <c r="E5868">
        <v>2529</v>
      </c>
      <c r="F5868">
        <v>3128</v>
      </c>
      <c r="G5868">
        <f t="shared" si="91"/>
        <v>1577179877</v>
      </c>
    </row>
    <row r="5869" spans="1:7" x14ac:dyDescent="0.25">
      <c r="A5869">
        <v>1577179899</v>
      </c>
      <c r="B5869" t="s">
        <v>28299</v>
      </c>
      <c r="C5869">
        <v>1695</v>
      </c>
      <c r="D5869">
        <v>1</v>
      </c>
      <c r="E5869">
        <v>2430</v>
      </c>
      <c r="F5869">
        <v>3164</v>
      </c>
      <c r="G5869">
        <f t="shared" si="91"/>
        <v>1577179899</v>
      </c>
    </row>
    <row r="5870" spans="1:7" x14ac:dyDescent="0.25">
      <c r="A5870">
        <v>1577179903</v>
      </c>
      <c r="B5870" t="s">
        <v>28300</v>
      </c>
      <c r="C5870">
        <v>0</v>
      </c>
      <c r="D5870">
        <v>1</v>
      </c>
      <c r="E5870">
        <v>1761</v>
      </c>
      <c r="F5870">
        <v>3482</v>
      </c>
      <c r="G5870">
        <f t="shared" si="91"/>
        <v>1577179903</v>
      </c>
    </row>
    <row r="5871" spans="1:7" x14ac:dyDescent="0.25">
      <c r="A5871">
        <v>1577179915</v>
      </c>
      <c r="B5871" t="s">
        <v>28301</v>
      </c>
      <c r="C5871">
        <v>0</v>
      </c>
      <c r="D5871">
        <v>0</v>
      </c>
      <c r="E5871">
        <v>0</v>
      </c>
      <c r="F5871">
        <v>7997</v>
      </c>
      <c r="G5871">
        <f t="shared" si="91"/>
        <v>1577179915</v>
      </c>
    </row>
    <row r="5872" spans="1:7" x14ac:dyDescent="0.25">
      <c r="A5872">
        <v>1577179927</v>
      </c>
      <c r="B5872" t="s">
        <v>28302</v>
      </c>
      <c r="C5872">
        <v>0</v>
      </c>
      <c r="D5872">
        <v>1</v>
      </c>
      <c r="E5872">
        <v>71</v>
      </c>
      <c r="F5872">
        <v>6058</v>
      </c>
      <c r="G5872">
        <f t="shared" si="91"/>
        <v>1577179927</v>
      </c>
    </row>
    <row r="5873" spans="1:7" x14ac:dyDescent="0.25">
      <c r="A5873">
        <v>1577179929</v>
      </c>
      <c r="B5873" t="s">
        <v>28303</v>
      </c>
      <c r="C5873">
        <v>124</v>
      </c>
      <c r="D5873">
        <v>2</v>
      </c>
      <c r="E5873">
        <v>8654</v>
      </c>
      <c r="F5873">
        <v>1775</v>
      </c>
      <c r="G5873">
        <f t="shared" si="91"/>
        <v>1577179929</v>
      </c>
    </row>
    <row r="5874" spans="1:7" x14ac:dyDescent="0.25">
      <c r="A5874">
        <v>1577179968</v>
      </c>
      <c r="B5874" t="s">
        <v>36718</v>
      </c>
      <c r="C5874">
        <v>160</v>
      </c>
      <c r="D5874">
        <v>1</v>
      </c>
      <c r="E5874">
        <v>5453</v>
      </c>
      <c r="F5874">
        <v>2418</v>
      </c>
      <c r="G5874">
        <f t="shared" si="91"/>
        <v>1577179968</v>
      </c>
    </row>
    <row r="5875" spans="1:7" x14ac:dyDescent="0.25">
      <c r="A5875">
        <v>1577179982</v>
      </c>
      <c r="B5875" t="s">
        <v>28304</v>
      </c>
      <c r="C5875">
        <v>443</v>
      </c>
      <c r="D5875">
        <v>1</v>
      </c>
      <c r="E5875">
        <v>26</v>
      </c>
      <c r="F5875">
        <v>6758</v>
      </c>
      <c r="G5875">
        <f t="shared" si="91"/>
        <v>1577179982</v>
      </c>
    </row>
    <row r="5876" spans="1:7" x14ac:dyDescent="0.25">
      <c r="A5876">
        <v>1577180020</v>
      </c>
      <c r="B5876" t="s">
        <v>28305</v>
      </c>
      <c r="C5876">
        <v>0</v>
      </c>
      <c r="D5876">
        <v>1</v>
      </c>
      <c r="E5876">
        <v>74</v>
      </c>
      <c r="F5876">
        <v>6025</v>
      </c>
      <c r="G5876">
        <f t="shared" si="91"/>
        <v>1577180020</v>
      </c>
    </row>
    <row r="5877" spans="1:7" x14ac:dyDescent="0.25">
      <c r="A5877">
        <v>1577180043</v>
      </c>
      <c r="B5877" t="s">
        <v>28306</v>
      </c>
      <c r="C5877">
        <v>480</v>
      </c>
      <c r="D5877">
        <v>3</v>
      </c>
      <c r="E5877">
        <v>16173</v>
      </c>
      <c r="F5877">
        <v>896</v>
      </c>
      <c r="G5877">
        <f t="shared" si="91"/>
        <v>1577180043</v>
      </c>
    </row>
    <row r="5878" spans="1:7" x14ac:dyDescent="0.25">
      <c r="A5878">
        <v>1577180051</v>
      </c>
      <c r="B5878" t="s">
        <v>28307</v>
      </c>
      <c r="C5878">
        <v>399</v>
      </c>
      <c r="D5878">
        <v>1</v>
      </c>
      <c r="E5878">
        <v>5775</v>
      </c>
      <c r="F5878">
        <v>2330</v>
      </c>
      <c r="G5878">
        <f t="shared" si="91"/>
        <v>1577180051</v>
      </c>
    </row>
    <row r="5879" spans="1:7" x14ac:dyDescent="0.25">
      <c r="A5879">
        <v>1577180067</v>
      </c>
      <c r="B5879" t="s">
        <v>28308</v>
      </c>
      <c r="C5879">
        <v>274</v>
      </c>
      <c r="D5879">
        <v>6</v>
      </c>
      <c r="E5879">
        <v>29322</v>
      </c>
      <c r="F5879">
        <v>259</v>
      </c>
      <c r="G5879">
        <f t="shared" si="91"/>
        <v>1577180067</v>
      </c>
    </row>
    <row r="5880" spans="1:7" x14ac:dyDescent="0.25">
      <c r="A5880">
        <v>1577180084</v>
      </c>
      <c r="B5880" t="s">
        <v>28309</v>
      </c>
      <c r="C5880">
        <v>0</v>
      </c>
      <c r="D5880">
        <v>0</v>
      </c>
      <c r="E5880">
        <v>0</v>
      </c>
      <c r="F5880">
        <v>7998</v>
      </c>
      <c r="G5880">
        <f t="shared" si="91"/>
        <v>1577180084</v>
      </c>
    </row>
    <row r="5881" spans="1:7" x14ac:dyDescent="0.25">
      <c r="A5881">
        <v>1577180112</v>
      </c>
      <c r="B5881" t="s">
        <v>28310</v>
      </c>
      <c r="C5881">
        <v>25</v>
      </c>
      <c r="D5881">
        <v>1</v>
      </c>
      <c r="E5881">
        <v>5325</v>
      </c>
      <c r="F5881">
        <v>2445</v>
      </c>
      <c r="G5881">
        <f t="shared" si="91"/>
        <v>1577180112</v>
      </c>
    </row>
    <row r="5882" spans="1:7" x14ac:dyDescent="0.25">
      <c r="A5882">
        <v>1577180157</v>
      </c>
      <c r="B5882" t="s">
        <v>28311</v>
      </c>
      <c r="C5882">
        <v>122</v>
      </c>
      <c r="D5882">
        <v>2</v>
      </c>
      <c r="E5882">
        <v>10449</v>
      </c>
      <c r="F5882">
        <v>1502</v>
      </c>
      <c r="G5882">
        <f t="shared" si="91"/>
        <v>1577180157</v>
      </c>
    </row>
    <row r="5883" spans="1:7" x14ac:dyDescent="0.25">
      <c r="A5883">
        <v>1577180191</v>
      </c>
      <c r="B5883" t="s">
        <v>1045</v>
      </c>
      <c r="C5883">
        <v>760</v>
      </c>
      <c r="D5883">
        <v>2</v>
      </c>
      <c r="E5883">
        <v>13598</v>
      </c>
      <c r="F5883">
        <v>1117</v>
      </c>
      <c r="G5883">
        <f t="shared" si="91"/>
        <v>1577180191</v>
      </c>
    </row>
    <row r="5884" spans="1:7" x14ac:dyDescent="0.25">
      <c r="A5884">
        <v>1577180196</v>
      </c>
      <c r="B5884" t="s">
        <v>28312</v>
      </c>
      <c r="C5884">
        <v>0</v>
      </c>
      <c r="D5884">
        <v>0</v>
      </c>
      <c r="E5884">
        <v>0</v>
      </c>
      <c r="F5884">
        <v>7999</v>
      </c>
      <c r="G5884">
        <f t="shared" si="91"/>
        <v>1577180196</v>
      </c>
    </row>
    <row r="5885" spans="1:7" x14ac:dyDescent="0.25">
      <c r="A5885">
        <v>1577180228</v>
      </c>
      <c r="B5885" t="s">
        <v>28313</v>
      </c>
      <c r="C5885">
        <v>1609</v>
      </c>
      <c r="D5885">
        <v>3</v>
      </c>
      <c r="E5885">
        <v>14568</v>
      </c>
      <c r="F5885">
        <v>1027</v>
      </c>
      <c r="G5885">
        <f t="shared" si="91"/>
        <v>1577180228</v>
      </c>
    </row>
    <row r="5886" spans="1:7" x14ac:dyDescent="0.25">
      <c r="A5886">
        <v>1577180283</v>
      </c>
      <c r="B5886" t="s">
        <v>28314</v>
      </c>
      <c r="C5886">
        <v>0</v>
      </c>
      <c r="D5886">
        <v>1</v>
      </c>
      <c r="E5886">
        <v>138</v>
      </c>
      <c r="F5886">
        <v>5738</v>
      </c>
      <c r="G5886">
        <f t="shared" si="91"/>
        <v>1577180283</v>
      </c>
    </row>
    <row r="5887" spans="1:7" x14ac:dyDescent="0.25">
      <c r="A5887">
        <v>1577180324</v>
      </c>
      <c r="B5887" t="s">
        <v>28315</v>
      </c>
      <c r="C5887">
        <v>578</v>
      </c>
      <c r="D5887">
        <v>6</v>
      </c>
      <c r="E5887">
        <v>32530</v>
      </c>
      <c r="F5887">
        <v>192</v>
      </c>
      <c r="G5887">
        <f t="shared" si="91"/>
        <v>1577180324</v>
      </c>
    </row>
    <row r="5888" spans="1:7" x14ac:dyDescent="0.25">
      <c r="A5888">
        <v>1577180332</v>
      </c>
      <c r="B5888" t="s">
        <v>36719</v>
      </c>
      <c r="C5888">
        <v>3</v>
      </c>
      <c r="D5888">
        <v>3</v>
      </c>
      <c r="E5888">
        <v>15808</v>
      </c>
      <c r="F5888">
        <v>922</v>
      </c>
      <c r="G5888">
        <f t="shared" si="91"/>
        <v>1577180332</v>
      </c>
    </row>
    <row r="5889" spans="1:7" x14ac:dyDescent="0.25">
      <c r="A5889">
        <v>1577180335</v>
      </c>
      <c r="B5889" t="s">
        <v>28316</v>
      </c>
      <c r="C5889">
        <v>1880</v>
      </c>
      <c r="D5889">
        <v>1</v>
      </c>
      <c r="E5889">
        <v>330</v>
      </c>
      <c r="F5889">
        <v>5037</v>
      </c>
      <c r="G5889">
        <f t="shared" ref="G5889:G5952" si="92">A5889</f>
        <v>1577180335</v>
      </c>
    </row>
    <row r="5890" spans="1:7" x14ac:dyDescent="0.25">
      <c r="A5890">
        <v>1577180350</v>
      </c>
      <c r="B5890" t="s">
        <v>37176</v>
      </c>
      <c r="C5890">
        <v>124</v>
      </c>
      <c r="D5890">
        <v>3</v>
      </c>
      <c r="E5890">
        <v>13716</v>
      </c>
      <c r="F5890">
        <v>1100</v>
      </c>
      <c r="G5890">
        <f t="shared" si="92"/>
        <v>1577180350</v>
      </c>
    </row>
    <row r="5891" spans="1:7" x14ac:dyDescent="0.25">
      <c r="A5891">
        <v>1577180399</v>
      </c>
      <c r="B5891" t="s">
        <v>36720</v>
      </c>
      <c r="C5891">
        <v>124</v>
      </c>
      <c r="D5891">
        <v>2</v>
      </c>
      <c r="E5891">
        <v>11306</v>
      </c>
      <c r="F5891">
        <v>1372</v>
      </c>
      <c r="G5891">
        <f t="shared" si="92"/>
        <v>1577180399</v>
      </c>
    </row>
    <row r="5892" spans="1:7" x14ac:dyDescent="0.25">
      <c r="A5892">
        <v>1577180416</v>
      </c>
      <c r="B5892" t="s">
        <v>28317</v>
      </c>
      <c r="C5892">
        <v>712</v>
      </c>
      <c r="D5892">
        <v>0</v>
      </c>
      <c r="E5892">
        <v>0</v>
      </c>
      <c r="F5892">
        <v>8000</v>
      </c>
      <c r="G5892">
        <f t="shared" si="92"/>
        <v>1577180416</v>
      </c>
    </row>
    <row r="5893" spans="1:7" x14ac:dyDescent="0.25">
      <c r="A5893">
        <v>1577180419</v>
      </c>
      <c r="B5893" t="s">
        <v>28318</v>
      </c>
      <c r="C5893">
        <v>467</v>
      </c>
      <c r="D5893">
        <v>2</v>
      </c>
      <c r="E5893">
        <v>10125</v>
      </c>
      <c r="F5893">
        <v>1546</v>
      </c>
      <c r="G5893">
        <f t="shared" si="92"/>
        <v>1577180419</v>
      </c>
    </row>
    <row r="5894" spans="1:7" x14ac:dyDescent="0.25">
      <c r="A5894">
        <v>1577180421</v>
      </c>
      <c r="B5894" t="s">
        <v>28319</v>
      </c>
      <c r="C5894">
        <v>0</v>
      </c>
      <c r="D5894">
        <v>1</v>
      </c>
      <c r="E5894">
        <v>679</v>
      </c>
      <c r="F5894">
        <v>4372</v>
      </c>
      <c r="G5894">
        <f t="shared" si="92"/>
        <v>1577180421</v>
      </c>
    </row>
    <row r="5895" spans="1:7" x14ac:dyDescent="0.25">
      <c r="A5895">
        <v>1577180426</v>
      </c>
      <c r="B5895" t="s">
        <v>28320</v>
      </c>
      <c r="C5895">
        <v>1797</v>
      </c>
      <c r="D5895">
        <v>1</v>
      </c>
      <c r="E5895">
        <v>810</v>
      </c>
      <c r="F5895">
        <v>4184</v>
      </c>
      <c r="G5895">
        <f t="shared" si="92"/>
        <v>1577180426</v>
      </c>
    </row>
    <row r="5896" spans="1:7" x14ac:dyDescent="0.25">
      <c r="A5896">
        <v>1577180455</v>
      </c>
      <c r="B5896" t="s">
        <v>28321</v>
      </c>
      <c r="C5896">
        <v>115</v>
      </c>
      <c r="D5896">
        <v>4</v>
      </c>
      <c r="E5896">
        <v>28210</v>
      </c>
      <c r="F5896">
        <v>291</v>
      </c>
      <c r="G5896">
        <f t="shared" si="92"/>
        <v>1577180455</v>
      </c>
    </row>
    <row r="5897" spans="1:7" x14ac:dyDescent="0.25">
      <c r="A5897">
        <v>1577180505</v>
      </c>
      <c r="B5897" t="s">
        <v>28322</v>
      </c>
      <c r="C5897">
        <v>347</v>
      </c>
      <c r="D5897">
        <v>1</v>
      </c>
      <c r="E5897">
        <v>960</v>
      </c>
      <c r="F5897">
        <v>4031</v>
      </c>
      <c r="G5897">
        <f t="shared" si="92"/>
        <v>1577180505</v>
      </c>
    </row>
    <row r="5898" spans="1:7" x14ac:dyDescent="0.25">
      <c r="A5898">
        <v>1577180543</v>
      </c>
      <c r="B5898" t="s">
        <v>36721</v>
      </c>
      <c r="C5898">
        <v>122</v>
      </c>
      <c r="D5898">
        <v>8</v>
      </c>
      <c r="E5898">
        <v>36914</v>
      </c>
      <c r="F5898">
        <v>125</v>
      </c>
      <c r="G5898">
        <f t="shared" si="92"/>
        <v>1577180543</v>
      </c>
    </row>
    <row r="5899" spans="1:7" x14ac:dyDescent="0.25">
      <c r="A5899">
        <v>1577180610</v>
      </c>
      <c r="B5899" t="s">
        <v>36722</v>
      </c>
      <c r="C5899">
        <v>218</v>
      </c>
      <c r="D5899">
        <v>4</v>
      </c>
      <c r="E5899">
        <v>24166</v>
      </c>
      <c r="F5899">
        <v>432</v>
      </c>
      <c r="G5899">
        <f t="shared" si="92"/>
        <v>1577180610</v>
      </c>
    </row>
    <row r="5900" spans="1:7" x14ac:dyDescent="0.25">
      <c r="A5900">
        <v>1577180629</v>
      </c>
      <c r="B5900" t="s">
        <v>28323</v>
      </c>
      <c r="C5900">
        <v>0</v>
      </c>
      <c r="D5900">
        <v>0</v>
      </c>
      <c r="E5900">
        <v>0</v>
      </c>
      <c r="F5900">
        <v>8001</v>
      </c>
      <c r="G5900">
        <f t="shared" si="92"/>
        <v>1577180629</v>
      </c>
    </row>
    <row r="5901" spans="1:7" x14ac:dyDescent="0.25">
      <c r="A5901">
        <v>1577180642</v>
      </c>
      <c r="B5901" t="s">
        <v>28324</v>
      </c>
      <c r="C5901">
        <v>367</v>
      </c>
      <c r="D5901">
        <v>2</v>
      </c>
      <c r="E5901">
        <v>7063</v>
      </c>
      <c r="F5901">
        <v>2053</v>
      </c>
      <c r="G5901">
        <f t="shared" si="92"/>
        <v>1577180642</v>
      </c>
    </row>
    <row r="5902" spans="1:7" x14ac:dyDescent="0.25">
      <c r="A5902">
        <v>1577180645</v>
      </c>
      <c r="B5902" t="s">
        <v>28325</v>
      </c>
      <c r="C5902">
        <v>0</v>
      </c>
      <c r="D5902">
        <v>1</v>
      </c>
      <c r="E5902">
        <v>952</v>
      </c>
      <c r="F5902">
        <v>4041</v>
      </c>
      <c r="G5902">
        <f t="shared" si="92"/>
        <v>1577180645</v>
      </c>
    </row>
    <row r="5903" spans="1:7" x14ac:dyDescent="0.25">
      <c r="A5903">
        <v>1577180658</v>
      </c>
      <c r="B5903" t="s">
        <v>28326</v>
      </c>
      <c r="C5903">
        <v>160</v>
      </c>
      <c r="D5903">
        <v>2</v>
      </c>
      <c r="E5903">
        <v>5559</v>
      </c>
      <c r="F5903">
        <v>2390</v>
      </c>
      <c r="G5903">
        <f t="shared" si="92"/>
        <v>1577180658</v>
      </c>
    </row>
    <row r="5904" spans="1:7" x14ac:dyDescent="0.25">
      <c r="A5904">
        <v>1577180665</v>
      </c>
      <c r="B5904" t="s">
        <v>28327</v>
      </c>
      <c r="C5904">
        <v>0</v>
      </c>
      <c r="D5904">
        <v>0</v>
      </c>
      <c r="E5904">
        <v>0</v>
      </c>
      <c r="F5904">
        <v>8002</v>
      </c>
      <c r="G5904">
        <f t="shared" si="92"/>
        <v>1577180665</v>
      </c>
    </row>
    <row r="5905" spans="1:7" x14ac:dyDescent="0.25">
      <c r="A5905">
        <v>1577180670</v>
      </c>
      <c r="B5905" t="s">
        <v>28328</v>
      </c>
      <c r="C5905">
        <v>0</v>
      </c>
      <c r="D5905">
        <v>1</v>
      </c>
      <c r="E5905">
        <v>26</v>
      </c>
      <c r="F5905">
        <v>6759</v>
      </c>
      <c r="G5905">
        <f t="shared" si="92"/>
        <v>1577180670</v>
      </c>
    </row>
    <row r="5906" spans="1:7" x14ac:dyDescent="0.25">
      <c r="A5906">
        <v>1577180701</v>
      </c>
      <c r="B5906" t="s">
        <v>37341</v>
      </c>
      <c r="C5906">
        <v>1827</v>
      </c>
      <c r="D5906">
        <v>1</v>
      </c>
      <c r="E5906">
        <v>873</v>
      </c>
      <c r="F5906">
        <v>4115</v>
      </c>
      <c r="G5906">
        <f t="shared" si="92"/>
        <v>1577180701</v>
      </c>
    </row>
    <row r="5907" spans="1:7" x14ac:dyDescent="0.25">
      <c r="A5907">
        <v>1577180707</v>
      </c>
      <c r="B5907" t="s">
        <v>28329</v>
      </c>
      <c r="C5907">
        <v>0</v>
      </c>
      <c r="D5907">
        <v>1</v>
      </c>
      <c r="E5907">
        <v>1721</v>
      </c>
      <c r="F5907">
        <v>3486</v>
      </c>
      <c r="G5907">
        <f t="shared" si="92"/>
        <v>1577180707</v>
      </c>
    </row>
    <row r="5908" spans="1:7" x14ac:dyDescent="0.25">
      <c r="A5908">
        <v>1577180710</v>
      </c>
      <c r="B5908" t="s">
        <v>37067</v>
      </c>
      <c r="C5908">
        <v>268</v>
      </c>
      <c r="D5908">
        <v>2</v>
      </c>
      <c r="E5908">
        <v>8334</v>
      </c>
      <c r="F5908">
        <v>1819</v>
      </c>
      <c r="G5908">
        <f t="shared" si="92"/>
        <v>1577180710</v>
      </c>
    </row>
    <row r="5909" spans="1:7" x14ac:dyDescent="0.25">
      <c r="A5909">
        <v>1577180717</v>
      </c>
      <c r="B5909" t="s">
        <v>28330</v>
      </c>
      <c r="C5909">
        <v>160</v>
      </c>
      <c r="D5909">
        <v>1</v>
      </c>
      <c r="E5909">
        <v>5876</v>
      </c>
      <c r="F5909">
        <v>2319</v>
      </c>
      <c r="G5909">
        <f t="shared" si="92"/>
        <v>1577180717</v>
      </c>
    </row>
    <row r="5910" spans="1:7" x14ac:dyDescent="0.25">
      <c r="A5910">
        <v>1577180729</v>
      </c>
      <c r="B5910" t="s">
        <v>28331</v>
      </c>
      <c r="C5910">
        <v>124</v>
      </c>
      <c r="D5910">
        <v>2</v>
      </c>
      <c r="E5910">
        <v>9138</v>
      </c>
      <c r="F5910">
        <v>1694</v>
      </c>
      <c r="G5910">
        <f t="shared" si="92"/>
        <v>1577180729</v>
      </c>
    </row>
    <row r="5911" spans="1:7" x14ac:dyDescent="0.25">
      <c r="A5911">
        <v>1577180744</v>
      </c>
      <c r="B5911" t="s">
        <v>28332</v>
      </c>
      <c r="C5911">
        <v>1413</v>
      </c>
      <c r="D5911">
        <v>1</v>
      </c>
      <c r="E5911">
        <v>3338</v>
      </c>
      <c r="F5911">
        <v>2916</v>
      </c>
      <c r="G5911">
        <f t="shared" si="92"/>
        <v>1577180744</v>
      </c>
    </row>
    <row r="5912" spans="1:7" x14ac:dyDescent="0.25">
      <c r="A5912">
        <v>1577180767</v>
      </c>
      <c r="B5912" t="s">
        <v>28333</v>
      </c>
      <c r="C5912">
        <v>268</v>
      </c>
      <c r="D5912">
        <v>2</v>
      </c>
      <c r="E5912">
        <v>5920</v>
      </c>
      <c r="F5912">
        <v>2299</v>
      </c>
      <c r="G5912">
        <f t="shared" si="92"/>
        <v>1577180767</v>
      </c>
    </row>
    <row r="5913" spans="1:7" x14ac:dyDescent="0.25">
      <c r="A5913">
        <v>1577180780</v>
      </c>
      <c r="B5913" t="s">
        <v>28334</v>
      </c>
      <c r="C5913">
        <v>643</v>
      </c>
      <c r="D5913">
        <v>5</v>
      </c>
      <c r="E5913">
        <v>31477</v>
      </c>
      <c r="F5913">
        <v>218</v>
      </c>
      <c r="G5913">
        <f t="shared" si="92"/>
        <v>1577180780</v>
      </c>
    </row>
    <row r="5914" spans="1:7" x14ac:dyDescent="0.25">
      <c r="A5914">
        <v>1577180806</v>
      </c>
      <c r="B5914" t="s">
        <v>36723</v>
      </c>
      <c r="C5914">
        <v>268</v>
      </c>
      <c r="D5914">
        <v>2</v>
      </c>
      <c r="E5914">
        <v>9331</v>
      </c>
      <c r="F5914">
        <v>1665</v>
      </c>
      <c r="G5914">
        <f t="shared" si="92"/>
        <v>1577180806</v>
      </c>
    </row>
    <row r="5915" spans="1:7" x14ac:dyDescent="0.25">
      <c r="A5915">
        <v>1577180811</v>
      </c>
      <c r="B5915" t="s">
        <v>28335</v>
      </c>
      <c r="C5915">
        <v>15</v>
      </c>
      <c r="D5915">
        <v>0</v>
      </c>
      <c r="E5915">
        <v>0</v>
      </c>
      <c r="F5915">
        <v>8003</v>
      </c>
      <c r="G5915">
        <f t="shared" si="92"/>
        <v>1577180811</v>
      </c>
    </row>
    <row r="5916" spans="1:7" x14ac:dyDescent="0.25">
      <c r="A5916">
        <v>1577180826</v>
      </c>
      <c r="B5916" t="s">
        <v>28336</v>
      </c>
      <c r="C5916">
        <v>0</v>
      </c>
      <c r="D5916">
        <v>1</v>
      </c>
      <c r="E5916">
        <v>26</v>
      </c>
      <c r="F5916">
        <v>6760</v>
      </c>
      <c r="G5916">
        <f t="shared" si="92"/>
        <v>1577180826</v>
      </c>
    </row>
    <row r="5917" spans="1:7" x14ac:dyDescent="0.25">
      <c r="A5917">
        <v>1577180827</v>
      </c>
      <c r="B5917" t="s">
        <v>28337</v>
      </c>
      <c r="C5917">
        <v>268</v>
      </c>
      <c r="D5917">
        <v>1</v>
      </c>
      <c r="E5917">
        <v>1142</v>
      </c>
      <c r="F5917">
        <v>3837</v>
      </c>
      <c r="G5917">
        <f t="shared" si="92"/>
        <v>1577180827</v>
      </c>
    </row>
    <row r="5918" spans="1:7" x14ac:dyDescent="0.25">
      <c r="A5918">
        <v>1577180831</v>
      </c>
      <c r="B5918" t="s">
        <v>28338</v>
      </c>
      <c r="C5918">
        <v>271</v>
      </c>
      <c r="D5918">
        <v>2</v>
      </c>
      <c r="E5918">
        <v>7173</v>
      </c>
      <c r="F5918">
        <v>2038</v>
      </c>
      <c r="G5918">
        <f t="shared" si="92"/>
        <v>1577180831</v>
      </c>
    </row>
    <row r="5919" spans="1:7" x14ac:dyDescent="0.25">
      <c r="A5919">
        <v>1577180871</v>
      </c>
      <c r="B5919" t="s">
        <v>28339</v>
      </c>
      <c r="C5919">
        <v>4</v>
      </c>
      <c r="D5919">
        <v>7</v>
      </c>
      <c r="E5919">
        <v>31977</v>
      </c>
      <c r="F5919">
        <v>208</v>
      </c>
      <c r="G5919">
        <f t="shared" si="92"/>
        <v>1577180871</v>
      </c>
    </row>
    <row r="5920" spans="1:7" x14ac:dyDescent="0.25">
      <c r="A5920">
        <v>1577180883</v>
      </c>
      <c r="B5920" t="s">
        <v>28340</v>
      </c>
      <c r="C5920">
        <v>27</v>
      </c>
      <c r="D5920">
        <v>4</v>
      </c>
      <c r="E5920">
        <v>18357</v>
      </c>
      <c r="F5920">
        <v>741</v>
      </c>
      <c r="G5920">
        <f t="shared" si="92"/>
        <v>1577180883</v>
      </c>
    </row>
    <row r="5921" spans="1:7" x14ac:dyDescent="0.25">
      <c r="A5921">
        <v>1577180897</v>
      </c>
      <c r="B5921" t="s">
        <v>28341</v>
      </c>
      <c r="C5921">
        <v>1143</v>
      </c>
      <c r="D5921">
        <v>1</v>
      </c>
      <c r="E5921">
        <v>1076</v>
      </c>
      <c r="F5921">
        <v>3895</v>
      </c>
      <c r="G5921">
        <f t="shared" si="92"/>
        <v>1577180897</v>
      </c>
    </row>
    <row r="5922" spans="1:7" x14ac:dyDescent="0.25">
      <c r="A5922">
        <v>1577180918</v>
      </c>
      <c r="B5922" t="s">
        <v>28342</v>
      </c>
      <c r="C5922">
        <v>122</v>
      </c>
      <c r="D5922">
        <v>3</v>
      </c>
      <c r="E5922">
        <v>17565</v>
      </c>
      <c r="F5922">
        <v>787</v>
      </c>
      <c r="G5922">
        <f t="shared" si="92"/>
        <v>1577180918</v>
      </c>
    </row>
    <row r="5923" spans="1:7" x14ac:dyDescent="0.25">
      <c r="A5923">
        <v>1577180924</v>
      </c>
      <c r="B5923" t="s">
        <v>28343</v>
      </c>
      <c r="C5923">
        <v>3</v>
      </c>
      <c r="D5923">
        <v>5</v>
      </c>
      <c r="E5923">
        <v>22569</v>
      </c>
      <c r="F5923">
        <v>491</v>
      </c>
      <c r="G5923">
        <f t="shared" si="92"/>
        <v>1577180924</v>
      </c>
    </row>
    <row r="5924" spans="1:7" x14ac:dyDescent="0.25">
      <c r="A5924">
        <v>1577180934</v>
      </c>
      <c r="B5924" t="s">
        <v>28344</v>
      </c>
      <c r="C5924">
        <v>0</v>
      </c>
      <c r="D5924">
        <v>0</v>
      </c>
      <c r="E5924">
        <v>0</v>
      </c>
      <c r="F5924">
        <v>8004</v>
      </c>
      <c r="G5924">
        <f t="shared" si="92"/>
        <v>1577180934</v>
      </c>
    </row>
    <row r="5925" spans="1:7" x14ac:dyDescent="0.25">
      <c r="A5925">
        <v>1577180952</v>
      </c>
      <c r="B5925" t="s">
        <v>28345</v>
      </c>
      <c r="C5925">
        <v>0</v>
      </c>
      <c r="D5925">
        <v>0</v>
      </c>
      <c r="E5925">
        <v>0</v>
      </c>
      <c r="F5925">
        <v>8005</v>
      </c>
      <c r="G5925">
        <f t="shared" si="92"/>
        <v>1577180952</v>
      </c>
    </row>
    <row r="5926" spans="1:7" x14ac:dyDescent="0.25">
      <c r="A5926">
        <v>1577180961</v>
      </c>
      <c r="B5926" t="s">
        <v>28346</v>
      </c>
      <c r="C5926">
        <v>0</v>
      </c>
      <c r="D5926">
        <v>0</v>
      </c>
      <c r="E5926">
        <v>0</v>
      </c>
      <c r="F5926">
        <v>8006</v>
      </c>
      <c r="G5926">
        <f t="shared" si="92"/>
        <v>1577180961</v>
      </c>
    </row>
    <row r="5927" spans="1:7" x14ac:dyDescent="0.25">
      <c r="A5927">
        <v>1577180967</v>
      </c>
      <c r="B5927" t="s">
        <v>28347</v>
      </c>
      <c r="C5927">
        <v>23</v>
      </c>
      <c r="D5927">
        <v>2</v>
      </c>
      <c r="E5927">
        <v>8871</v>
      </c>
      <c r="F5927">
        <v>1741</v>
      </c>
      <c r="G5927">
        <f t="shared" si="92"/>
        <v>1577180967</v>
      </c>
    </row>
    <row r="5928" spans="1:7" x14ac:dyDescent="0.25">
      <c r="A5928">
        <v>1577180987</v>
      </c>
      <c r="B5928" t="s">
        <v>28348</v>
      </c>
      <c r="C5928">
        <v>1412</v>
      </c>
      <c r="D5928">
        <v>0</v>
      </c>
      <c r="E5928">
        <v>0</v>
      </c>
      <c r="F5928">
        <v>8007</v>
      </c>
      <c r="G5928">
        <f t="shared" si="92"/>
        <v>1577180987</v>
      </c>
    </row>
    <row r="5929" spans="1:7" x14ac:dyDescent="0.25">
      <c r="A5929">
        <v>1577181005</v>
      </c>
      <c r="B5929" t="s">
        <v>28349</v>
      </c>
      <c r="C5929">
        <v>152</v>
      </c>
      <c r="D5929">
        <v>4</v>
      </c>
      <c r="E5929">
        <v>17407</v>
      </c>
      <c r="F5929">
        <v>797</v>
      </c>
      <c r="G5929">
        <f t="shared" si="92"/>
        <v>1577181005</v>
      </c>
    </row>
    <row r="5930" spans="1:7" x14ac:dyDescent="0.25">
      <c r="A5930">
        <v>1577181019</v>
      </c>
      <c r="B5930" t="s">
        <v>28350</v>
      </c>
      <c r="C5930">
        <v>0</v>
      </c>
      <c r="D5930">
        <v>1</v>
      </c>
      <c r="E5930">
        <v>555</v>
      </c>
      <c r="F5930">
        <v>4544</v>
      </c>
      <c r="G5930">
        <f t="shared" si="92"/>
        <v>1577181019</v>
      </c>
    </row>
    <row r="5931" spans="1:7" x14ac:dyDescent="0.25">
      <c r="A5931">
        <v>1577181055</v>
      </c>
      <c r="B5931" t="s">
        <v>28351</v>
      </c>
      <c r="C5931">
        <v>95</v>
      </c>
      <c r="D5931">
        <v>0</v>
      </c>
      <c r="E5931">
        <v>0</v>
      </c>
      <c r="F5931">
        <v>8008</v>
      </c>
      <c r="G5931">
        <f t="shared" si="92"/>
        <v>1577181055</v>
      </c>
    </row>
    <row r="5932" spans="1:7" x14ac:dyDescent="0.25">
      <c r="A5932">
        <v>1577181065</v>
      </c>
      <c r="B5932" t="s">
        <v>28352</v>
      </c>
      <c r="C5932">
        <v>0</v>
      </c>
      <c r="D5932">
        <v>0</v>
      </c>
      <c r="E5932">
        <v>0</v>
      </c>
      <c r="F5932">
        <v>8009</v>
      </c>
      <c r="G5932">
        <f t="shared" si="92"/>
        <v>1577181065</v>
      </c>
    </row>
    <row r="5933" spans="1:7" x14ac:dyDescent="0.25">
      <c r="A5933">
        <v>1577181069</v>
      </c>
      <c r="B5933" t="s">
        <v>28353</v>
      </c>
      <c r="C5933">
        <v>124</v>
      </c>
      <c r="D5933">
        <v>1</v>
      </c>
      <c r="E5933">
        <v>1009</v>
      </c>
      <c r="F5933">
        <v>3992</v>
      </c>
      <c r="G5933">
        <f t="shared" si="92"/>
        <v>1577181069</v>
      </c>
    </row>
    <row r="5934" spans="1:7" x14ac:dyDescent="0.25">
      <c r="A5934">
        <v>1577181076</v>
      </c>
      <c r="B5934" t="s">
        <v>28354</v>
      </c>
      <c r="C5934">
        <v>567</v>
      </c>
      <c r="D5934">
        <v>1</v>
      </c>
      <c r="E5934">
        <v>1058</v>
      </c>
      <c r="F5934">
        <v>3915</v>
      </c>
      <c r="G5934">
        <f t="shared" si="92"/>
        <v>1577181076</v>
      </c>
    </row>
    <row r="5935" spans="1:7" x14ac:dyDescent="0.25">
      <c r="A5935">
        <v>1577181112</v>
      </c>
      <c r="B5935" t="s">
        <v>28355</v>
      </c>
      <c r="C5935">
        <v>0</v>
      </c>
      <c r="D5935">
        <v>1</v>
      </c>
      <c r="E5935">
        <v>180</v>
      </c>
      <c r="F5935">
        <v>5583</v>
      </c>
      <c r="G5935">
        <f t="shared" si="92"/>
        <v>1577181112</v>
      </c>
    </row>
    <row r="5936" spans="1:7" x14ac:dyDescent="0.25">
      <c r="A5936">
        <v>1577181189</v>
      </c>
      <c r="B5936" t="s">
        <v>28356</v>
      </c>
      <c r="C5936">
        <v>160</v>
      </c>
      <c r="D5936">
        <v>2</v>
      </c>
      <c r="E5936">
        <v>11015</v>
      </c>
      <c r="F5936">
        <v>1421</v>
      </c>
      <c r="G5936">
        <f t="shared" si="92"/>
        <v>1577181189</v>
      </c>
    </row>
    <row r="5937" spans="1:7" x14ac:dyDescent="0.25">
      <c r="A5937">
        <v>1577181197</v>
      </c>
      <c r="B5937" t="s">
        <v>36724</v>
      </c>
      <c r="C5937">
        <v>122</v>
      </c>
      <c r="D5937">
        <v>3</v>
      </c>
      <c r="E5937">
        <v>13128</v>
      </c>
      <c r="F5937">
        <v>1158</v>
      </c>
      <c r="G5937">
        <f t="shared" si="92"/>
        <v>1577181197</v>
      </c>
    </row>
    <row r="5938" spans="1:7" x14ac:dyDescent="0.25">
      <c r="A5938">
        <v>1577181220</v>
      </c>
      <c r="B5938" t="s">
        <v>28357</v>
      </c>
      <c r="C5938">
        <v>0</v>
      </c>
      <c r="D5938">
        <v>1</v>
      </c>
      <c r="E5938">
        <v>205</v>
      </c>
      <c r="F5938">
        <v>5517</v>
      </c>
      <c r="G5938">
        <f t="shared" si="92"/>
        <v>1577181220</v>
      </c>
    </row>
    <row r="5939" spans="1:7" x14ac:dyDescent="0.25">
      <c r="A5939">
        <v>1577181244</v>
      </c>
      <c r="B5939" t="s">
        <v>28358</v>
      </c>
      <c r="C5939">
        <v>0</v>
      </c>
      <c r="D5939">
        <v>1</v>
      </c>
      <c r="E5939">
        <v>26</v>
      </c>
      <c r="F5939">
        <v>6761</v>
      </c>
      <c r="G5939">
        <f t="shared" si="92"/>
        <v>1577181244</v>
      </c>
    </row>
    <row r="5940" spans="1:7" x14ac:dyDescent="0.25">
      <c r="A5940">
        <v>1577181260</v>
      </c>
      <c r="B5940" t="s">
        <v>28359</v>
      </c>
      <c r="C5940">
        <v>1643</v>
      </c>
      <c r="D5940">
        <v>1</v>
      </c>
      <c r="E5940">
        <v>397</v>
      </c>
      <c r="F5940">
        <v>4855</v>
      </c>
      <c r="G5940">
        <f t="shared" si="92"/>
        <v>1577181260</v>
      </c>
    </row>
    <row r="5941" spans="1:7" x14ac:dyDescent="0.25">
      <c r="A5941">
        <v>1577181266</v>
      </c>
      <c r="B5941" s="403" t="s">
        <v>28360</v>
      </c>
      <c r="C5941">
        <v>6</v>
      </c>
      <c r="D5941">
        <v>8</v>
      </c>
      <c r="E5941">
        <v>46251</v>
      </c>
      <c r="F5941">
        <v>53</v>
      </c>
      <c r="G5941">
        <f t="shared" si="92"/>
        <v>1577181266</v>
      </c>
    </row>
    <row r="5942" spans="1:7" x14ac:dyDescent="0.25">
      <c r="A5942">
        <v>1577181293</v>
      </c>
      <c r="B5942" s="403" t="s">
        <v>28361</v>
      </c>
      <c r="C5942">
        <v>0</v>
      </c>
      <c r="D5942">
        <v>1</v>
      </c>
      <c r="E5942">
        <v>342</v>
      </c>
      <c r="F5942">
        <v>5018</v>
      </c>
      <c r="G5942">
        <f t="shared" si="92"/>
        <v>1577181293</v>
      </c>
    </row>
    <row r="5943" spans="1:7" x14ac:dyDescent="0.25">
      <c r="A5943">
        <v>1577181315</v>
      </c>
      <c r="B5943" t="s">
        <v>28362</v>
      </c>
      <c r="C5943">
        <v>0</v>
      </c>
      <c r="D5943">
        <v>1</v>
      </c>
      <c r="E5943">
        <v>702</v>
      </c>
      <c r="F5943">
        <v>4341</v>
      </c>
      <c r="G5943">
        <f t="shared" si="92"/>
        <v>1577181315</v>
      </c>
    </row>
    <row r="5944" spans="1:7" x14ac:dyDescent="0.25">
      <c r="A5944">
        <v>1577181325</v>
      </c>
      <c r="B5944" t="s">
        <v>28363</v>
      </c>
      <c r="C5944">
        <v>0</v>
      </c>
      <c r="D5944">
        <v>0</v>
      </c>
      <c r="E5944">
        <v>0</v>
      </c>
      <c r="F5944">
        <v>8010</v>
      </c>
      <c r="G5944">
        <f t="shared" si="92"/>
        <v>1577181325</v>
      </c>
    </row>
    <row r="5945" spans="1:7" x14ac:dyDescent="0.25">
      <c r="A5945">
        <v>1577181347</v>
      </c>
      <c r="B5945" s="403" t="s">
        <v>37408</v>
      </c>
      <c r="C5945">
        <v>0</v>
      </c>
      <c r="D5945">
        <v>1</v>
      </c>
      <c r="E5945">
        <v>6159</v>
      </c>
      <c r="F5945">
        <v>2243</v>
      </c>
      <c r="G5945">
        <f t="shared" si="92"/>
        <v>1577181347</v>
      </c>
    </row>
    <row r="5946" spans="1:7" x14ac:dyDescent="0.25">
      <c r="A5946">
        <v>1577181350</v>
      </c>
      <c r="B5946" t="s">
        <v>28364</v>
      </c>
      <c r="C5946">
        <v>218</v>
      </c>
      <c r="D5946">
        <v>2</v>
      </c>
      <c r="E5946">
        <v>6657</v>
      </c>
      <c r="F5946">
        <v>2128</v>
      </c>
      <c r="G5946">
        <f t="shared" si="92"/>
        <v>1577181350</v>
      </c>
    </row>
    <row r="5947" spans="1:7" x14ac:dyDescent="0.25">
      <c r="A5947">
        <v>1577181383</v>
      </c>
      <c r="B5947" t="s">
        <v>28365</v>
      </c>
      <c r="C5947">
        <v>924</v>
      </c>
      <c r="D5947">
        <v>2</v>
      </c>
      <c r="E5947">
        <v>7640</v>
      </c>
      <c r="F5947">
        <v>1954</v>
      </c>
      <c r="G5947">
        <f t="shared" si="92"/>
        <v>1577181383</v>
      </c>
    </row>
    <row r="5948" spans="1:7" x14ac:dyDescent="0.25">
      <c r="A5948">
        <v>1577181431</v>
      </c>
      <c r="B5948" t="s">
        <v>28366</v>
      </c>
      <c r="C5948">
        <v>467</v>
      </c>
      <c r="D5948">
        <v>3</v>
      </c>
      <c r="E5948">
        <v>15368</v>
      </c>
      <c r="F5948">
        <v>974</v>
      </c>
      <c r="G5948">
        <f t="shared" si="92"/>
        <v>1577181431</v>
      </c>
    </row>
    <row r="5949" spans="1:7" x14ac:dyDescent="0.25">
      <c r="A5949">
        <v>1577181449</v>
      </c>
      <c r="B5949" t="s">
        <v>28367</v>
      </c>
      <c r="C5949">
        <v>156</v>
      </c>
      <c r="D5949">
        <v>0</v>
      </c>
      <c r="E5949">
        <v>0</v>
      </c>
      <c r="F5949">
        <v>8011</v>
      </c>
      <c r="G5949">
        <f t="shared" si="92"/>
        <v>1577181449</v>
      </c>
    </row>
    <row r="5950" spans="1:7" x14ac:dyDescent="0.25">
      <c r="A5950">
        <v>1577181451</v>
      </c>
      <c r="B5950" t="s">
        <v>28368</v>
      </c>
      <c r="C5950">
        <v>1695</v>
      </c>
      <c r="D5950">
        <v>1</v>
      </c>
      <c r="E5950">
        <v>3036</v>
      </c>
      <c r="F5950">
        <v>2990</v>
      </c>
      <c r="G5950">
        <f t="shared" si="92"/>
        <v>1577181451</v>
      </c>
    </row>
    <row r="5951" spans="1:7" x14ac:dyDescent="0.25">
      <c r="A5951">
        <v>1577181538</v>
      </c>
      <c r="B5951" t="s">
        <v>28369</v>
      </c>
      <c r="C5951">
        <v>0</v>
      </c>
      <c r="D5951">
        <v>1</v>
      </c>
      <c r="E5951">
        <v>210</v>
      </c>
      <c r="F5951">
        <v>5462</v>
      </c>
      <c r="G5951">
        <f t="shared" si="92"/>
        <v>1577181538</v>
      </c>
    </row>
    <row r="5952" spans="1:7" x14ac:dyDescent="0.25">
      <c r="A5952">
        <v>1577181614</v>
      </c>
      <c r="B5952" t="s">
        <v>28370</v>
      </c>
      <c r="C5952">
        <v>624</v>
      </c>
      <c r="D5952">
        <v>1</v>
      </c>
      <c r="E5952">
        <v>89</v>
      </c>
      <c r="F5952">
        <v>5911</v>
      </c>
      <c r="G5952">
        <f t="shared" si="92"/>
        <v>1577181614</v>
      </c>
    </row>
    <row r="5953" spans="1:7" x14ac:dyDescent="0.25">
      <c r="A5953">
        <v>1577181624</v>
      </c>
      <c r="B5953" t="s">
        <v>36725</v>
      </c>
      <c r="C5953">
        <v>0</v>
      </c>
      <c r="D5953">
        <v>0</v>
      </c>
      <c r="E5953">
        <v>0</v>
      </c>
      <c r="F5953">
        <v>8012</v>
      </c>
      <c r="G5953">
        <f t="shared" ref="G5953:G6016" si="93">A5953</f>
        <v>1577181624</v>
      </c>
    </row>
    <row r="5954" spans="1:7" x14ac:dyDescent="0.25">
      <c r="A5954">
        <v>1577181643</v>
      </c>
      <c r="B5954" t="s">
        <v>28371</v>
      </c>
      <c r="C5954">
        <v>643</v>
      </c>
      <c r="D5954">
        <v>6</v>
      </c>
      <c r="E5954">
        <v>39017</v>
      </c>
      <c r="F5954">
        <v>98</v>
      </c>
      <c r="G5954">
        <f t="shared" si="93"/>
        <v>1577181643</v>
      </c>
    </row>
    <row r="5955" spans="1:7" x14ac:dyDescent="0.25">
      <c r="A5955">
        <v>1577181680</v>
      </c>
      <c r="B5955" t="s">
        <v>28372</v>
      </c>
      <c r="C5955">
        <v>0</v>
      </c>
      <c r="D5955">
        <v>0</v>
      </c>
      <c r="E5955">
        <v>0</v>
      </c>
      <c r="F5955">
        <v>8013</v>
      </c>
      <c r="G5955">
        <f t="shared" si="93"/>
        <v>1577181680</v>
      </c>
    </row>
    <row r="5956" spans="1:7" x14ac:dyDescent="0.25">
      <c r="A5956">
        <v>1577181683</v>
      </c>
      <c r="B5956" t="s">
        <v>36726</v>
      </c>
      <c r="C5956">
        <v>0</v>
      </c>
      <c r="D5956">
        <v>0</v>
      </c>
      <c r="E5956">
        <v>0</v>
      </c>
      <c r="F5956">
        <v>8014</v>
      </c>
      <c r="G5956">
        <f t="shared" si="93"/>
        <v>1577181683</v>
      </c>
    </row>
    <row r="5957" spans="1:7" x14ac:dyDescent="0.25">
      <c r="A5957">
        <v>1577181737</v>
      </c>
      <c r="B5957" t="s">
        <v>28373</v>
      </c>
      <c r="C5957">
        <v>0</v>
      </c>
      <c r="D5957">
        <v>1</v>
      </c>
      <c r="E5957">
        <v>347</v>
      </c>
      <c r="F5957">
        <v>4994</v>
      </c>
      <c r="G5957">
        <f t="shared" si="93"/>
        <v>1577181737</v>
      </c>
    </row>
    <row r="5958" spans="1:7" x14ac:dyDescent="0.25">
      <c r="A5958">
        <v>1577181741</v>
      </c>
      <c r="B5958" t="s">
        <v>28374</v>
      </c>
      <c r="C5958">
        <v>924</v>
      </c>
      <c r="D5958">
        <v>2</v>
      </c>
      <c r="E5958">
        <v>10007</v>
      </c>
      <c r="F5958">
        <v>1561</v>
      </c>
      <c r="G5958">
        <f t="shared" si="93"/>
        <v>1577181741</v>
      </c>
    </row>
    <row r="5959" spans="1:7" x14ac:dyDescent="0.25">
      <c r="A5959">
        <v>1577181774</v>
      </c>
      <c r="B5959" t="s">
        <v>28375</v>
      </c>
      <c r="C5959">
        <v>1885</v>
      </c>
      <c r="D5959">
        <v>1</v>
      </c>
      <c r="E5959">
        <v>403</v>
      </c>
      <c r="F5959">
        <v>4842</v>
      </c>
      <c r="G5959">
        <f t="shared" si="93"/>
        <v>1577181774</v>
      </c>
    </row>
    <row r="5960" spans="1:7" x14ac:dyDescent="0.25">
      <c r="A5960">
        <v>1577181805</v>
      </c>
      <c r="B5960" t="s">
        <v>28376</v>
      </c>
      <c r="C5960">
        <v>412</v>
      </c>
      <c r="D5960">
        <v>5</v>
      </c>
      <c r="E5960">
        <v>27834</v>
      </c>
      <c r="F5960">
        <v>307</v>
      </c>
      <c r="G5960">
        <f t="shared" si="93"/>
        <v>1577181805</v>
      </c>
    </row>
    <row r="5961" spans="1:7" x14ac:dyDescent="0.25">
      <c r="A5961">
        <v>1577181806</v>
      </c>
      <c r="B5961" t="s">
        <v>28377</v>
      </c>
      <c r="C5961">
        <v>0</v>
      </c>
      <c r="D5961">
        <v>0</v>
      </c>
      <c r="E5961">
        <v>0</v>
      </c>
      <c r="F5961">
        <v>8015</v>
      </c>
      <c r="G5961">
        <f t="shared" si="93"/>
        <v>1577181806</v>
      </c>
    </row>
    <row r="5962" spans="1:7" x14ac:dyDescent="0.25">
      <c r="A5962">
        <v>1577181813</v>
      </c>
      <c r="B5962" t="s">
        <v>36727</v>
      </c>
      <c r="C5962">
        <v>595</v>
      </c>
      <c r="D5962">
        <v>1</v>
      </c>
      <c r="E5962">
        <v>656</v>
      </c>
      <c r="F5962">
        <v>4407</v>
      </c>
      <c r="G5962">
        <f t="shared" si="93"/>
        <v>1577181813</v>
      </c>
    </row>
    <row r="5963" spans="1:7" x14ac:dyDescent="0.25">
      <c r="A5963">
        <v>1577181814</v>
      </c>
      <c r="B5963" t="s">
        <v>28378</v>
      </c>
      <c r="C5963">
        <v>199</v>
      </c>
      <c r="D5963">
        <v>10</v>
      </c>
      <c r="E5963">
        <v>57501</v>
      </c>
      <c r="F5963">
        <v>22</v>
      </c>
      <c r="G5963">
        <f t="shared" si="93"/>
        <v>1577181814</v>
      </c>
    </row>
    <row r="5964" spans="1:7" x14ac:dyDescent="0.25">
      <c r="A5964">
        <v>1577181823</v>
      </c>
      <c r="B5964" t="s">
        <v>28379</v>
      </c>
      <c r="C5964">
        <v>412</v>
      </c>
      <c r="D5964">
        <v>2</v>
      </c>
      <c r="E5964">
        <v>11405</v>
      </c>
      <c r="F5964">
        <v>1362</v>
      </c>
      <c r="G5964">
        <f t="shared" si="93"/>
        <v>1577181823</v>
      </c>
    </row>
    <row r="5965" spans="1:7" x14ac:dyDescent="0.25">
      <c r="A5965">
        <v>1577181833</v>
      </c>
      <c r="B5965" s="403">
        <v>43839</v>
      </c>
      <c r="C5965">
        <v>118</v>
      </c>
      <c r="D5965">
        <v>2</v>
      </c>
      <c r="E5965">
        <v>9466</v>
      </c>
      <c r="F5965">
        <v>1640</v>
      </c>
      <c r="G5965">
        <f t="shared" si="93"/>
        <v>1577181833</v>
      </c>
    </row>
    <row r="5966" spans="1:7" x14ac:dyDescent="0.25">
      <c r="A5966">
        <v>1577181835</v>
      </c>
      <c r="B5966" t="s">
        <v>28380</v>
      </c>
      <c r="C5966">
        <v>0</v>
      </c>
      <c r="D5966">
        <v>0</v>
      </c>
      <c r="E5966">
        <v>0</v>
      </c>
      <c r="F5966">
        <v>8016</v>
      </c>
      <c r="G5966">
        <f t="shared" si="93"/>
        <v>1577181835</v>
      </c>
    </row>
    <row r="5967" spans="1:7" x14ac:dyDescent="0.25">
      <c r="A5967">
        <v>1577181837</v>
      </c>
      <c r="B5967" t="s">
        <v>28381</v>
      </c>
      <c r="C5967">
        <v>126</v>
      </c>
      <c r="D5967">
        <v>2</v>
      </c>
      <c r="E5967">
        <v>8895</v>
      </c>
      <c r="F5967">
        <v>1736</v>
      </c>
      <c r="G5967">
        <f t="shared" si="93"/>
        <v>1577181837</v>
      </c>
    </row>
    <row r="5968" spans="1:7" x14ac:dyDescent="0.25">
      <c r="A5968">
        <v>1577181847</v>
      </c>
      <c r="B5968" t="s">
        <v>36728</v>
      </c>
      <c r="C5968">
        <v>412</v>
      </c>
      <c r="D5968">
        <v>3</v>
      </c>
      <c r="E5968">
        <v>16606</v>
      </c>
      <c r="F5968">
        <v>860</v>
      </c>
      <c r="G5968">
        <f t="shared" si="93"/>
        <v>1577181847</v>
      </c>
    </row>
    <row r="5969" spans="1:7" x14ac:dyDescent="0.25">
      <c r="A5969">
        <v>1577181867</v>
      </c>
      <c r="B5969" t="s">
        <v>28382</v>
      </c>
      <c r="C5969">
        <v>924</v>
      </c>
      <c r="D5969">
        <v>0</v>
      </c>
      <c r="E5969">
        <v>0</v>
      </c>
      <c r="F5969">
        <v>8017</v>
      </c>
      <c r="G5969">
        <f t="shared" si="93"/>
        <v>1577181867</v>
      </c>
    </row>
    <row r="5970" spans="1:7" x14ac:dyDescent="0.25">
      <c r="A5970">
        <v>1577181871</v>
      </c>
      <c r="B5970" t="s">
        <v>868</v>
      </c>
      <c r="C5970">
        <v>259</v>
      </c>
      <c r="D5970">
        <v>2</v>
      </c>
      <c r="E5970">
        <v>11164</v>
      </c>
      <c r="F5970">
        <v>1390</v>
      </c>
      <c r="G5970">
        <f t="shared" si="93"/>
        <v>1577181871</v>
      </c>
    </row>
    <row r="5971" spans="1:7" x14ac:dyDescent="0.25">
      <c r="A5971">
        <v>1577181899</v>
      </c>
      <c r="B5971" t="s">
        <v>28383</v>
      </c>
      <c r="C5971">
        <v>367</v>
      </c>
      <c r="D5971">
        <v>3</v>
      </c>
      <c r="E5971">
        <v>14697</v>
      </c>
      <c r="F5971">
        <v>1011</v>
      </c>
      <c r="G5971">
        <f t="shared" si="93"/>
        <v>1577181899</v>
      </c>
    </row>
    <row r="5972" spans="1:7" x14ac:dyDescent="0.25">
      <c r="A5972">
        <v>1577181911</v>
      </c>
      <c r="B5972" t="s">
        <v>28384</v>
      </c>
      <c r="C5972">
        <v>412</v>
      </c>
      <c r="D5972">
        <v>3</v>
      </c>
      <c r="E5972">
        <v>17755</v>
      </c>
      <c r="F5972">
        <v>770</v>
      </c>
      <c r="G5972">
        <f t="shared" si="93"/>
        <v>1577181911</v>
      </c>
    </row>
    <row r="5973" spans="1:7" x14ac:dyDescent="0.25">
      <c r="A5973">
        <v>1577181915</v>
      </c>
      <c r="B5973" t="s">
        <v>28385</v>
      </c>
      <c r="C5973">
        <v>0</v>
      </c>
      <c r="D5973">
        <v>1</v>
      </c>
      <c r="E5973">
        <v>164</v>
      </c>
      <c r="F5973">
        <v>5641</v>
      </c>
      <c r="G5973">
        <f t="shared" si="93"/>
        <v>1577181915</v>
      </c>
    </row>
    <row r="5974" spans="1:7" x14ac:dyDescent="0.25">
      <c r="A5974">
        <v>1577181917</v>
      </c>
      <c r="B5974" t="s">
        <v>28386</v>
      </c>
      <c r="C5974">
        <v>0</v>
      </c>
      <c r="D5974">
        <v>1</v>
      </c>
      <c r="E5974">
        <v>113</v>
      </c>
      <c r="F5974">
        <v>5806</v>
      </c>
      <c r="G5974">
        <f t="shared" si="93"/>
        <v>1577181917</v>
      </c>
    </row>
    <row r="5975" spans="1:7" x14ac:dyDescent="0.25">
      <c r="A5975">
        <v>1577181918</v>
      </c>
      <c r="B5975" t="s">
        <v>28387</v>
      </c>
      <c r="C5975">
        <v>53</v>
      </c>
      <c r="D5975">
        <v>2</v>
      </c>
      <c r="E5975">
        <v>12701</v>
      </c>
      <c r="F5975">
        <v>1198</v>
      </c>
      <c r="G5975">
        <f t="shared" si="93"/>
        <v>1577181918</v>
      </c>
    </row>
    <row r="5976" spans="1:7" x14ac:dyDescent="0.25">
      <c r="A5976">
        <v>1577181924</v>
      </c>
      <c r="B5976" t="s">
        <v>36729</v>
      </c>
      <c r="C5976">
        <v>0</v>
      </c>
      <c r="D5976">
        <v>0</v>
      </c>
      <c r="E5976">
        <v>0</v>
      </c>
      <c r="F5976">
        <v>8018</v>
      </c>
      <c r="G5976">
        <f t="shared" si="93"/>
        <v>1577181924</v>
      </c>
    </row>
    <row r="5977" spans="1:7" x14ac:dyDescent="0.25">
      <c r="A5977">
        <v>1577181964</v>
      </c>
      <c r="B5977" t="s">
        <v>28388</v>
      </c>
      <c r="C5977">
        <v>367</v>
      </c>
      <c r="D5977">
        <v>3</v>
      </c>
      <c r="E5977">
        <v>15559</v>
      </c>
      <c r="F5977">
        <v>940</v>
      </c>
      <c r="G5977">
        <f t="shared" si="93"/>
        <v>1577181964</v>
      </c>
    </row>
    <row r="5978" spans="1:7" x14ac:dyDescent="0.25">
      <c r="A5978">
        <v>1577181998</v>
      </c>
      <c r="B5978" t="s">
        <v>28389</v>
      </c>
      <c r="C5978">
        <v>0</v>
      </c>
      <c r="D5978">
        <v>1</v>
      </c>
      <c r="E5978">
        <v>470</v>
      </c>
      <c r="F5978">
        <v>4699</v>
      </c>
      <c r="G5978">
        <f t="shared" si="93"/>
        <v>1577181998</v>
      </c>
    </row>
    <row r="5979" spans="1:7" x14ac:dyDescent="0.25">
      <c r="A5979">
        <v>1577182010</v>
      </c>
      <c r="B5979" t="s">
        <v>28390</v>
      </c>
      <c r="C5979">
        <v>160</v>
      </c>
      <c r="D5979">
        <v>2</v>
      </c>
      <c r="E5979">
        <v>7410</v>
      </c>
      <c r="F5979">
        <v>2000</v>
      </c>
      <c r="G5979">
        <f t="shared" si="93"/>
        <v>1577182010</v>
      </c>
    </row>
    <row r="5980" spans="1:7" x14ac:dyDescent="0.25">
      <c r="A5980">
        <v>1577182017</v>
      </c>
      <c r="B5980" t="s">
        <v>28391</v>
      </c>
      <c r="C5980">
        <v>0</v>
      </c>
      <c r="D5980">
        <v>1</v>
      </c>
      <c r="E5980">
        <v>329</v>
      </c>
      <c r="F5980">
        <v>5047</v>
      </c>
      <c r="G5980">
        <f t="shared" si="93"/>
        <v>1577182017</v>
      </c>
    </row>
    <row r="5981" spans="1:7" x14ac:dyDescent="0.25">
      <c r="A5981">
        <v>1577182062</v>
      </c>
      <c r="B5981" t="s">
        <v>28392</v>
      </c>
      <c r="C5981">
        <v>0</v>
      </c>
      <c r="D5981">
        <v>0</v>
      </c>
      <c r="E5981">
        <v>0</v>
      </c>
      <c r="F5981">
        <v>8019</v>
      </c>
      <c r="G5981">
        <f t="shared" si="93"/>
        <v>1577182062</v>
      </c>
    </row>
    <row r="5982" spans="1:7" x14ac:dyDescent="0.25">
      <c r="A5982">
        <v>1577182078</v>
      </c>
      <c r="B5982" t="s">
        <v>28393</v>
      </c>
      <c r="C5982">
        <v>412</v>
      </c>
      <c r="D5982">
        <v>2</v>
      </c>
      <c r="E5982">
        <v>10520</v>
      </c>
      <c r="F5982">
        <v>1503</v>
      </c>
      <c r="G5982">
        <f t="shared" si="93"/>
        <v>1577182078</v>
      </c>
    </row>
    <row r="5983" spans="1:7" x14ac:dyDescent="0.25">
      <c r="A5983">
        <v>1577182081</v>
      </c>
      <c r="B5983" t="s">
        <v>28394</v>
      </c>
      <c r="C5983">
        <v>266</v>
      </c>
      <c r="D5983">
        <v>1</v>
      </c>
      <c r="E5983">
        <v>6828</v>
      </c>
      <c r="F5983">
        <v>2095</v>
      </c>
      <c r="G5983">
        <f t="shared" si="93"/>
        <v>1577182081</v>
      </c>
    </row>
    <row r="5984" spans="1:7" x14ac:dyDescent="0.25">
      <c r="A5984">
        <v>1577182117</v>
      </c>
      <c r="B5984" t="s">
        <v>28395</v>
      </c>
      <c r="C5984">
        <v>989</v>
      </c>
      <c r="D5984">
        <v>1</v>
      </c>
      <c r="E5984">
        <v>26</v>
      </c>
      <c r="F5984">
        <v>6762</v>
      </c>
      <c r="G5984">
        <f t="shared" si="93"/>
        <v>1577182117</v>
      </c>
    </row>
    <row r="5985" spans="1:7" x14ac:dyDescent="0.25">
      <c r="A5985">
        <v>1577182158</v>
      </c>
      <c r="B5985" t="s">
        <v>28396</v>
      </c>
      <c r="C5985">
        <v>0</v>
      </c>
      <c r="D5985">
        <v>1</v>
      </c>
      <c r="E5985">
        <v>478</v>
      </c>
      <c r="F5985">
        <v>4684</v>
      </c>
      <c r="G5985">
        <f t="shared" si="93"/>
        <v>1577182158</v>
      </c>
    </row>
    <row r="5986" spans="1:7" x14ac:dyDescent="0.25">
      <c r="A5986">
        <v>1577182170</v>
      </c>
      <c r="B5986" t="s">
        <v>37068</v>
      </c>
      <c r="C5986">
        <v>0</v>
      </c>
      <c r="D5986">
        <v>1</v>
      </c>
      <c r="E5986">
        <v>26</v>
      </c>
      <c r="F5986">
        <v>6763</v>
      </c>
      <c r="G5986">
        <f t="shared" si="93"/>
        <v>1577182170</v>
      </c>
    </row>
    <row r="5987" spans="1:7" x14ac:dyDescent="0.25">
      <c r="A5987">
        <v>1577182179</v>
      </c>
      <c r="B5987" t="s">
        <v>28397</v>
      </c>
      <c r="C5987">
        <v>0</v>
      </c>
      <c r="D5987">
        <v>0</v>
      </c>
      <c r="E5987">
        <v>0</v>
      </c>
      <c r="F5987">
        <v>8020</v>
      </c>
      <c r="G5987">
        <f t="shared" si="93"/>
        <v>1577182179</v>
      </c>
    </row>
    <row r="5988" spans="1:7" x14ac:dyDescent="0.25">
      <c r="A5988">
        <v>1577182188</v>
      </c>
      <c r="B5988" t="s">
        <v>28398</v>
      </c>
      <c r="C5988">
        <v>989</v>
      </c>
      <c r="D5988">
        <v>0</v>
      </c>
      <c r="E5988">
        <v>0</v>
      </c>
      <c r="F5988">
        <v>8021</v>
      </c>
      <c r="G5988">
        <f t="shared" si="93"/>
        <v>1577182188</v>
      </c>
    </row>
    <row r="5989" spans="1:7" x14ac:dyDescent="0.25">
      <c r="A5989">
        <v>1577182206</v>
      </c>
      <c r="B5989" t="s">
        <v>36730</v>
      </c>
      <c r="C5989">
        <v>0</v>
      </c>
      <c r="D5989">
        <v>0</v>
      </c>
      <c r="E5989">
        <v>0</v>
      </c>
      <c r="F5989">
        <v>8022</v>
      </c>
      <c r="G5989">
        <f t="shared" si="93"/>
        <v>1577182206</v>
      </c>
    </row>
    <row r="5990" spans="1:7" x14ac:dyDescent="0.25">
      <c r="A5990">
        <v>1577182262</v>
      </c>
      <c r="B5990" t="s">
        <v>28399</v>
      </c>
      <c r="C5990">
        <v>321</v>
      </c>
      <c r="D5990">
        <v>1</v>
      </c>
      <c r="E5990">
        <v>960</v>
      </c>
      <c r="F5990">
        <v>4032</v>
      </c>
      <c r="G5990">
        <f t="shared" si="93"/>
        <v>1577182262</v>
      </c>
    </row>
    <row r="5991" spans="1:7" x14ac:dyDescent="0.25">
      <c r="A5991">
        <v>1577182339</v>
      </c>
      <c r="B5991" t="s">
        <v>36731</v>
      </c>
      <c r="C5991">
        <v>552</v>
      </c>
      <c r="D5991">
        <v>7</v>
      </c>
      <c r="E5991">
        <v>38116</v>
      </c>
      <c r="F5991">
        <v>106</v>
      </c>
      <c r="G5991">
        <f t="shared" si="93"/>
        <v>1577182339</v>
      </c>
    </row>
    <row r="5992" spans="1:7" x14ac:dyDescent="0.25">
      <c r="A5992">
        <v>1577182358</v>
      </c>
      <c r="B5992" t="s">
        <v>28400</v>
      </c>
      <c r="C5992">
        <v>1695</v>
      </c>
      <c r="D5992">
        <v>2</v>
      </c>
      <c r="E5992">
        <v>4748</v>
      </c>
      <c r="F5992">
        <v>2566</v>
      </c>
      <c r="G5992">
        <f t="shared" si="93"/>
        <v>1577182358</v>
      </c>
    </row>
    <row r="5993" spans="1:7" x14ac:dyDescent="0.25">
      <c r="A5993">
        <v>1577182403</v>
      </c>
      <c r="B5993" t="s">
        <v>28401</v>
      </c>
      <c r="C5993">
        <v>412</v>
      </c>
      <c r="D5993">
        <v>3</v>
      </c>
      <c r="E5993">
        <v>18931</v>
      </c>
      <c r="F5993">
        <v>692</v>
      </c>
      <c r="G5993">
        <f t="shared" si="93"/>
        <v>1577182403</v>
      </c>
    </row>
    <row r="5994" spans="1:7" x14ac:dyDescent="0.25">
      <c r="A5994">
        <v>1577182414</v>
      </c>
      <c r="B5994" t="s">
        <v>28402</v>
      </c>
      <c r="C5994">
        <v>20</v>
      </c>
      <c r="D5994">
        <v>4</v>
      </c>
      <c r="E5994">
        <v>19035</v>
      </c>
      <c r="F5994">
        <v>681</v>
      </c>
      <c r="G5994">
        <f t="shared" si="93"/>
        <v>1577182414</v>
      </c>
    </row>
    <row r="5995" spans="1:7" x14ac:dyDescent="0.25">
      <c r="A5995">
        <v>1577182419</v>
      </c>
      <c r="B5995" t="s">
        <v>28403</v>
      </c>
      <c r="C5995">
        <v>0</v>
      </c>
      <c r="D5995">
        <v>0</v>
      </c>
      <c r="E5995">
        <v>0</v>
      </c>
      <c r="F5995">
        <v>8023</v>
      </c>
      <c r="G5995">
        <f t="shared" si="93"/>
        <v>1577182419</v>
      </c>
    </row>
    <row r="5996" spans="1:7" x14ac:dyDescent="0.25">
      <c r="A5996">
        <v>1577182420</v>
      </c>
      <c r="B5996" t="s">
        <v>28404</v>
      </c>
      <c r="C5996">
        <v>48</v>
      </c>
      <c r="D5996">
        <v>1</v>
      </c>
      <c r="E5996">
        <v>3779</v>
      </c>
      <c r="F5996">
        <v>2816</v>
      </c>
      <c r="G5996">
        <f t="shared" si="93"/>
        <v>1577182420</v>
      </c>
    </row>
    <row r="5997" spans="1:7" x14ac:dyDescent="0.25">
      <c r="A5997">
        <v>1577182451</v>
      </c>
      <c r="B5997" t="s">
        <v>28405</v>
      </c>
      <c r="C5997">
        <v>10</v>
      </c>
      <c r="D5997">
        <v>1</v>
      </c>
      <c r="E5997">
        <v>252</v>
      </c>
      <c r="F5997">
        <v>5294</v>
      </c>
      <c r="G5997">
        <f t="shared" si="93"/>
        <v>1577182451</v>
      </c>
    </row>
    <row r="5998" spans="1:7" x14ac:dyDescent="0.25">
      <c r="A5998">
        <v>1577182455</v>
      </c>
      <c r="B5998" t="s">
        <v>28406</v>
      </c>
      <c r="C5998">
        <v>0</v>
      </c>
      <c r="D5998">
        <v>0</v>
      </c>
      <c r="E5998">
        <v>0</v>
      </c>
      <c r="F5998">
        <v>8024</v>
      </c>
      <c r="G5998">
        <f t="shared" si="93"/>
        <v>1577182455</v>
      </c>
    </row>
    <row r="5999" spans="1:7" x14ac:dyDescent="0.25">
      <c r="A5999">
        <v>1577182463</v>
      </c>
      <c r="B5999" t="s">
        <v>28407</v>
      </c>
      <c r="C5999">
        <v>0</v>
      </c>
      <c r="D5999">
        <v>0</v>
      </c>
      <c r="E5999">
        <v>0</v>
      </c>
      <c r="F5999">
        <v>8025</v>
      </c>
      <c r="G5999">
        <f t="shared" si="93"/>
        <v>1577182463</v>
      </c>
    </row>
    <row r="6000" spans="1:7" x14ac:dyDescent="0.25">
      <c r="A6000">
        <v>1577182470</v>
      </c>
      <c r="B6000" t="s">
        <v>28408</v>
      </c>
      <c r="C6000">
        <v>0</v>
      </c>
      <c r="D6000">
        <v>0</v>
      </c>
      <c r="E6000">
        <v>0</v>
      </c>
      <c r="F6000">
        <v>8026</v>
      </c>
      <c r="G6000">
        <f t="shared" si="93"/>
        <v>1577182470</v>
      </c>
    </row>
    <row r="6001" spans="1:7" x14ac:dyDescent="0.25">
      <c r="A6001">
        <v>1577182472</v>
      </c>
      <c r="B6001" t="s">
        <v>28409</v>
      </c>
      <c r="C6001">
        <v>1894</v>
      </c>
      <c r="D6001">
        <v>0</v>
      </c>
      <c r="E6001">
        <v>0</v>
      </c>
      <c r="F6001">
        <v>8027</v>
      </c>
      <c r="G6001">
        <f t="shared" si="93"/>
        <v>1577182472</v>
      </c>
    </row>
    <row r="6002" spans="1:7" x14ac:dyDescent="0.25">
      <c r="A6002">
        <v>1577182487</v>
      </c>
      <c r="B6002" t="s">
        <v>28410</v>
      </c>
      <c r="C6002">
        <v>1609</v>
      </c>
      <c r="D6002">
        <v>2</v>
      </c>
      <c r="E6002">
        <v>11066</v>
      </c>
      <c r="F6002">
        <v>1415</v>
      </c>
      <c r="G6002">
        <f t="shared" si="93"/>
        <v>1577182487</v>
      </c>
    </row>
    <row r="6003" spans="1:7" x14ac:dyDescent="0.25">
      <c r="A6003">
        <v>1577182491</v>
      </c>
      <c r="B6003" t="s">
        <v>28411</v>
      </c>
      <c r="C6003">
        <v>0</v>
      </c>
      <c r="D6003">
        <v>0</v>
      </c>
      <c r="E6003">
        <v>0</v>
      </c>
      <c r="F6003">
        <v>8028</v>
      </c>
      <c r="G6003">
        <f t="shared" si="93"/>
        <v>1577182491</v>
      </c>
    </row>
    <row r="6004" spans="1:7" x14ac:dyDescent="0.25">
      <c r="A6004">
        <v>1577182501</v>
      </c>
      <c r="B6004" t="s">
        <v>36732</v>
      </c>
      <c r="C6004">
        <v>1966</v>
      </c>
      <c r="D6004">
        <v>2</v>
      </c>
      <c r="E6004">
        <v>6105</v>
      </c>
      <c r="F6004">
        <v>2251</v>
      </c>
      <c r="G6004">
        <f t="shared" si="93"/>
        <v>1577182501</v>
      </c>
    </row>
    <row r="6005" spans="1:7" x14ac:dyDescent="0.25">
      <c r="A6005">
        <v>1577182519</v>
      </c>
      <c r="B6005" t="s">
        <v>28412</v>
      </c>
      <c r="C6005">
        <v>643</v>
      </c>
      <c r="D6005">
        <v>6</v>
      </c>
      <c r="E6005">
        <v>32928</v>
      </c>
      <c r="F6005">
        <v>182</v>
      </c>
      <c r="G6005">
        <f t="shared" si="93"/>
        <v>1577182519</v>
      </c>
    </row>
    <row r="6006" spans="1:7" x14ac:dyDescent="0.25">
      <c r="A6006">
        <v>1577182537</v>
      </c>
      <c r="B6006" t="s">
        <v>28413</v>
      </c>
      <c r="C6006">
        <v>124</v>
      </c>
      <c r="D6006">
        <v>2</v>
      </c>
      <c r="E6006">
        <v>7495</v>
      </c>
      <c r="F6006">
        <v>1978</v>
      </c>
      <c r="G6006">
        <f t="shared" si="93"/>
        <v>1577182537</v>
      </c>
    </row>
    <row r="6007" spans="1:7" x14ac:dyDescent="0.25">
      <c r="A6007">
        <v>1577182538</v>
      </c>
      <c r="B6007" t="s">
        <v>28414</v>
      </c>
      <c r="C6007">
        <v>4</v>
      </c>
      <c r="D6007">
        <v>5</v>
      </c>
      <c r="E6007">
        <v>29644</v>
      </c>
      <c r="F6007">
        <v>250</v>
      </c>
      <c r="G6007">
        <f t="shared" si="93"/>
        <v>1577182538</v>
      </c>
    </row>
    <row r="6008" spans="1:7" x14ac:dyDescent="0.25">
      <c r="A6008">
        <v>1577182543</v>
      </c>
      <c r="B6008" t="s">
        <v>28415</v>
      </c>
      <c r="C6008">
        <v>1535</v>
      </c>
      <c r="D6008">
        <v>1</v>
      </c>
      <c r="E6008">
        <v>5583</v>
      </c>
      <c r="F6008">
        <v>2424</v>
      </c>
      <c r="G6008">
        <f t="shared" si="93"/>
        <v>1577182543</v>
      </c>
    </row>
    <row r="6009" spans="1:7" x14ac:dyDescent="0.25">
      <c r="A6009">
        <v>1577182552</v>
      </c>
      <c r="B6009" t="s">
        <v>28416</v>
      </c>
      <c r="C6009">
        <v>1894</v>
      </c>
      <c r="D6009">
        <v>0</v>
      </c>
      <c r="E6009">
        <v>0</v>
      </c>
      <c r="F6009">
        <v>8029</v>
      </c>
      <c r="G6009">
        <f t="shared" si="93"/>
        <v>1577182552</v>
      </c>
    </row>
    <row r="6010" spans="1:7" x14ac:dyDescent="0.25">
      <c r="A6010">
        <v>1577182578</v>
      </c>
      <c r="B6010" t="s">
        <v>28417</v>
      </c>
      <c r="C6010">
        <v>0</v>
      </c>
      <c r="D6010">
        <v>1</v>
      </c>
      <c r="E6010">
        <v>26</v>
      </c>
      <c r="F6010">
        <v>6764</v>
      </c>
      <c r="G6010">
        <f t="shared" si="93"/>
        <v>1577182578</v>
      </c>
    </row>
    <row r="6011" spans="1:7" x14ac:dyDescent="0.25">
      <c r="A6011">
        <v>1577182579</v>
      </c>
      <c r="B6011" t="s">
        <v>28418</v>
      </c>
      <c r="C6011">
        <v>308</v>
      </c>
      <c r="D6011">
        <v>0</v>
      </c>
      <c r="E6011">
        <v>0</v>
      </c>
      <c r="F6011">
        <v>8030</v>
      </c>
      <c r="G6011">
        <f t="shared" si="93"/>
        <v>1577182579</v>
      </c>
    </row>
    <row r="6012" spans="1:7" x14ac:dyDescent="0.25">
      <c r="A6012">
        <v>1577182589</v>
      </c>
      <c r="B6012" t="s">
        <v>28419</v>
      </c>
      <c r="C6012">
        <v>0</v>
      </c>
      <c r="D6012">
        <v>1</v>
      </c>
      <c r="E6012">
        <v>411</v>
      </c>
      <c r="F6012">
        <v>4825</v>
      </c>
      <c r="G6012">
        <f t="shared" si="93"/>
        <v>1577182589</v>
      </c>
    </row>
    <row r="6013" spans="1:7" x14ac:dyDescent="0.25">
      <c r="A6013">
        <v>1577182591</v>
      </c>
      <c r="B6013" t="s">
        <v>28420</v>
      </c>
      <c r="C6013">
        <v>25</v>
      </c>
      <c r="D6013">
        <v>1</v>
      </c>
      <c r="E6013">
        <v>5920</v>
      </c>
      <c r="F6013">
        <v>2300</v>
      </c>
      <c r="G6013">
        <f t="shared" si="93"/>
        <v>1577182591</v>
      </c>
    </row>
    <row r="6014" spans="1:7" x14ac:dyDescent="0.25">
      <c r="A6014">
        <v>1577182611</v>
      </c>
      <c r="B6014" t="s">
        <v>36733</v>
      </c>
      <c r="C6014">
        <v>118</v>
      </c>
      <c r="D6014">
        <v>1</v>
      </c>
      <c r="E6014">
        <v>5656</v>
      </c>
      <c r="F6014">
        <v>2362</v>
      </c>
      <c r="G6014">
        <f t="shared" si="93"/>
        <v>1577182611</v>
      </c>
    </row>
    <row r="6015" spans="1:7" x14ac:dyDescent="0.25">
      <c r="A6015">
        <v>1577182645</v>
      </c>
      <c r="B6015" t="s">
        <v>28421</v>
      </c>
      <c r="C6015">
        <v>0</v>
      </c>
      <c r="D6015">
        <v>1</v>
      </c>
      <c r="E6015">
        <v>26</v>
      </c>
      <c r="F6015">
        <v>6765</v>
      </c>
      <c r="G6015">
        <f t="shared" si="93"/>
        <v>1577182645</v>
      </c>
    </row>
    <row r="6016" spans="1:7" x14ac:dyDescent="0.25">
      <c r="A6016">
        <v>1577182673</v>
      </c>
      <c r="B6016" t="s">
        <v>36734</v>
      </c>
      <c r="C6016">
        <v>0</v>
      </c>
      <c r="D6016">
        <v>0</v>
      </c>
      <c r="E6016">
        <v>0</v>
      </c>
      <c r="F6016">
        <v>8031</v>
      </c>
      <c r="G6016">
        <f t="shared" si="93"/>
        <v>1577182673</v>
      </c>
    </row>
    <row r="6017" spans="1:7" x14ac:dyDescent="0.25">
      <c r="A6017">
        <v>1577182690</v>
      </c>
      <c r="B6017" t="s">
        <v>28422</v>
      </c>
      <c r="C6017">
        <v>55</v>
      </c>
      <c r="D6017">
        <v>2</v>
      </c>
      <c r="E6017">
        <v>9448</v>
      </c>
      <c r="F6017">
        <v>1645</v>
      </c>
      <c r="G6017">
        <f t="shared" ref="G6017:G6080" si="94">A6017</f>
        <v>1577182690</v>
      </c>
    </row>
    <row r="6018" spans="1:7" x14ac:dyDescent="0.25">
      <c r="A6018">
        <v>1577182693</v>
      </c>
      <c r="B6018" t="s">
        <v>28423</v>
      </c>
      <c r="C6018">
        <v>0</v>
      </c>
      <c r="D6018">
        <v>0</v>
      </c>
      <c r="E6018">
        <v>0</v>
      </c>
      <c r="F6018">
        <v>8032</v>
      </c>
      <c r="G6018">
        <f t="shared" si="94"/>
        <v>1577182693</v>
      </c>
    </row>
    <row r="6019" spans="1:7" x14ac:dyDescent="0.25">
      <c r="A6019">
        <v>1577182754</v>
      </c>
      <c r="B6019" t="s">
        <v>28424</v>
      </c>
      <c r="C6019">
        <v>0</v>
      </c>
      <c r="D6019">
        <v>1</v>
      </c>
      <c r="E6019">
        <v>179</v>
      </c>
      <c r="F6019">
        <v>5588</v>
      </c>
      <c r="G6019">
        <f t="shared" si="94"/>
        <v>1577182754</v>
      </c>
    </row>
    <row r="6020" spans="1:7" x14ac:dyDescent="0.25">
      <c r="A6020">
        <v>1577182814</v>
      </c>
      <c r="B6020" t="s">
        <v>28425</v>
      </c>
      <c r="C6020">
        <v>117</v>
      </c>
      <c r="D6020">
        <v>3</v>
      </c>
      <c r="E6020">
        <v>10120</v>
      </c>
      <c r="F6020">
        <v>1549</v>
      </c>
      <c r="G6020">
        <f t="shared" si="94"/>
        <v>1577182814</v>
      </c>
    </row>
    <row r="6021" spans="1:7" x14ac:dyDescent="0.25">
      <c r="A6021">
        <v>1577182815</v>
      </c>
      <c r="B6021" t="s">
        <v>28426</v>
      </c>
      <c r="C6021">
        <v>443</v>
      </c>
      <c r="D6021">
        <v>1</v>
      </c>
      <c r="E6021">
        <v>4164</v>
      </c>
      <c r="F6021">
        <v>2729</v>
      </c>
      <c r="G6021">
        <f t="shared" si="94"/>
        <v>1577182815</v>
      </c>
    </row>
    <row r="6022" spans="1:7" x14ac:dyDescent="0.25">
      <c r="A6022">
        <v>1577182853</v>
      </c>
      <c r="B6022" t="s">
        <v>28427</v>
      </c>
      <c r="C6022">
        <v>1867</v>
      </c>
      <c r="D6022">
        <v>1</v>
      </c>
      <c r="E6022">
        <v>504</v>
      </c>
      <c r="F6022">
        <v>4626</v>
      </c>
      <c r="G6022">
        <f t="shared" si="94"/>
        <v>1577182853</v>
      </c>
    </row>
    <row r="6023" spans="1:7" x14ac:dyDescent="0.25">
      <c r="A6023">
        <v>1577182859</v>
      </c>
      <c r="B6023" t="s">
        <v>28428</v>
      </c>
      <c r="C6023">
        <v>1535</v>
      </c>
      <c r="D6023">
        <v>2</v>
      </c>
      <c r="E6023">
        <v>10460</v>
      </c>
      <c r="F6023">
        <v>1500</v>
      </c>
      <c r="G6023">
        <f t="shared" si="94"/>
        <v>1577182859</v>
      </c>
    </row>
    <row r="6024" spans="1:7" x14ac:dyDescent="0.25">
      <c r="A6024">
        <v>1577182868</v>
      </c>
      <c r="B6024" t="s">
        <v>28429</v>
      </c>
      <c r="C6024">
        <v>118</v>
      </c>
      <c r="D6024">
        <v>1</v>
      </c>
      <c r="E6024">
        <v>2070</v>
      </c>
      <c r="F6024">
        <v>3307</v>
      </c>
      <c r="G6024">
        <f t="shared" si="94"/>
        <v>1577182868</v>
      </c>
    </row>
    <row r="6025" spans="1:7" x14ac:dyDescent="0.25">
      <c r="A6025">
        <v>1577182894</v>
      </c>
      <c r="B6025" t="s">
        <v>28430</v>
      </c>
      <c r="C6025">
        <v>117</v>
      </c>
      <c r="D6025">
        <v>2</v>
      </c>
      <c r="E6025">
        <v>9275</v>
      </c>
      <c r="F6025">
        <v>1677</v>
      </c>
      <c r="G6025">
        <f t="shared" si="94"/>
        <v>1577182894</v>
      </c>
    </row>
    <row r="6026" spans="1:7" x14ac:dyDescent="0.25">
      <c r="A6026">
        <v>1577182905</v>
      </c>
      <c r="B6026" t="s">
        <v>37177</v>
      </c>
      <c r="C6026">
        <v>314</v>
      </c>
      <c r="D6026">
        <v>0</v>
      </c>
      <c r="E6026">
        <v>0</v>
      </c>
      <c r="F6026">
        <v>8033</v>
      </c>
      <c r="G6026">
        <f t="shared" si="94"/>
        <v>1577182905</v>
      </c>
    </row>
    <row r="6027" spans="1:7" x14ac:dyDescent="0.25">
      <c r="A6027">
        <v>1577182941</v>
      </c>
      <c r="B6027" t="s">
        <v>28431</v>
      </c>
      <c r="C6027">
        <v>122</v>
      </c>
      <c r="D6027">
        <v>6</v>
      </c>
      <c r="E6027">
        <v>32168</v>
      </c>
      <c r="F6027">
        <v>202</v>
      </c>
      <c r="G6027">
        <f t="shared" si="94"/>
        <v>1577182941</v>
      </c>
    </row>
    <row r="6028" spans="1:7" x14ac:dyDescent="0.25">
      <c r="A6028">
        <v>1577182944</v>
      </c>
      <c r="B6028" t="s">
        <v>36735</v>
      </c>
      <c r="C6028">
        <v>0</v>
      </c>
      <c r="D6028">
        <v>1</v>
      </c>
      <c r="E6028">
        <v>87</v>
      </c>
      <c r="F6028">
        <v>5925</v>
      </c>
      <c r="G6028">
        <f t="shared" si="94"/>
        <v>1577182944</v>
      </c>
    </row>
    <row r="6029" spans="1:7" x14ac:dyDescent="0.25">
      <c r="A6029">
        <v>1577182983</v>
      </c>
      <c r="B6029" t="s">
        <v>28432</v>
      </c>
      <c r="C6029">
        <v>284</v>
      </c>
      <c r="D6029">
        <v>0</v>
      </c>
      <c r="E6029">
        <v>0</v>
      </c>
      <c r="F6029">
        <v>8034</v>
      </c>
      <c r="G6029">
        <f t="shared" si="94"/>
        <v>1577182983</v>
      </c>
    </row>
    <row r="6030" spans="1:7" x14ac:dyDescent="0.25">
      <c r="A6030">
        <v>1577183010</v>
      </c>
      <c r="B6030" t="s">
        <v>28433</v>
      </c>
      <c r="C6030">
        <v>0</v>
      </c>
      <c r="D6030">
        <v>1</v>
      </c>
      <c r="E6030">
        <v>26</v>
      </c>
      <c r="F6030">
        <v>6766</v>
      </c>
      <c r="G6030">
        <f t="shared" si="94"/>
        <v>1577183010</v>
      </c>
    </row>
    <row r="6031" spans="1:7" x14ac:dyDescent="0.25">
      <c r="A6031">
        <v>1577183015</v>
      </c>
      <c r="B6031" t="s">
        <v>28434</v>
      </c>
      <c r="C6031">
        <v>567</v>
      </c>
      <c r="D6031">
        <v>1</v>
      </c>
      <c r="E6031">
        <v>1262</v>
      </c>
      <c r="F6031">
        <v>3761</v>
      </c>
      <c r="G6031">
        <f t="shared" si="94"/>
        <v>1577183015</v>
      </c>
    </row>
    <row r="6032" spans="1:7" x14ac:dyDescent="0.25">
      <c r="A6032">
        <v>1577183018</v>
      </c>
      <c r="B6032" t="s">
        <v>28435</v>
      </c>
      <c r="C6032">
        <v>567</v>
      </c>
      <c r="D6032">
        <v>1</v>
      </c>
      <c r="E6032">
        <v>559</v>
      </c>
      <c r="F6032">
        <v>4538</v>
      </c>
      <c r="G6032">
        <f t="shared" si="94"/>
        <v>1577183018</v>
      </c>
    </row>
    <row r="6033" spans="1:7" x14ac:dyDescent="0.25">
      <c r="A6033">
        <v>1577183019</v>
      </c>
      <c r="B6033" t="s">
        <v>28436</v>
      </c>
      <c r="C6033">
        <v>567</v>
      </c>
      <c r="D6033">
        <v>1</v>
      </c>
      <c r="E6033">
        <v>5103</v>
      </c>
      <c r="F6033">
        <v>2490</v>
      </c>
      <c r="G6033">
        <f t="shared" si="94"/>
        <v>1577183019</v>
      </c>
    </row>
    <row r="6034" spans="1:7" x14ac:dyDescent="0.25">
      <c r="A6034">
        <v>1577183021</v>
      </c>
      <c r="B6034" t="s">
        <v>28437</v>
      </c>
      <c r="C6034">
        <v>0</v>
      </c>
      <c r="D6034">
        <v>0</v>
      </c>
      <c r="E6034">
        <v>0</v>
      </c>
      <c r="F6034">
        <v>8035</v>
      </c>
      <c r="G6034">
        <f t="shared" si="94"/>
        <v>1577183021</v>
      </c>
    </row>
    <row r="6035" spans="1:7" x14ac:dyDescent="0.25">
      <c r="A6035">
        <v>1577183031</v>
      </c>
      <c r="B6035" t="s">
        <v>28438</v>
      </c>
      <c r="C6035">
        <v>567</v>
      </c>
      <c r="D6035">
        <v>0</v>
      </c>
      <c r="E6035">
        <v>0</v>
      </c>
      <c r="F6035">
        <v>8036</v>
      </c>
      <c r="G6035">
        <f t="shared" si="94"/>
        <v>1577183031</v>
      </c>
    </row>
    <row r="6036" spans="1:7" x14ac:dyDescent="0.25">
      <c r="A6036">
        <v>1577183055</v>
      </c>
      <c r="B6036" t="s">
        <v>28439</v>
      </c>
      <c r="C6036">
        <v>0</v>
      </c>
      <c r="D6036">
        <v>1</v>
      </c>
      <c r="E6036">
        <v>107</v>
      </c>
      <c r="F6036">
        <v>5823</v>
      </c>
      <c r="G6036">
        <f t="shared" si="94"/>
        <v>1577183055</v>
      </c>
    </row>
    <row r="6037" spans="1:7" x14ac:dyDescent="0.25">
      <c r="A6037">
        <v>1577183061</v>
      </c>
      <c r="B6037" t="s">
        <v>28440</v>
      </c>
      <c r="C6037">
        <v>0</v>
      </c>
      <c r="D6037">
        <v>0</v>
      </c>
      <c r="E6037">
        <v>0</v>
      </c>
      <c r="F6037">
        <v>8037</v>
      </c>
      <c r="G6037">
        <f t="shared" si="94"/>
        <v>1577183061</v>
      </c>
    </row>
    <row r="6038" spans="1:7" x14ac:dyDescent="0.25">
      <c r="A6038">
        <v>1577183068</v>
      </c>
      <c r="B6038" t="s">
        <v>28441</v>
      </c>
      <c r="C6038">
        <v>1019</v>
      </c>
      <c r="D6038">
        <v>1</v>
      </c>
      <c r="E6038">
        <v>5373</v>
      </c>
      <c r="F6038">
        <v>2443</v>
      </c>
      <c r="G6038">
        <f t="shared" si="94"/>
        <v>1577183068</v>
      </c>
    </row>
    <row r="6039" spans="1:7" x14ac:dyDescent="0.25">
      <c r="A6039">
        <v>1577183112</v>
      </c>
      <c r="B6039" t="s">
        <v>28442</v>
      </c>
      <c r="C6039">
        <v>0</v>
      </c>
      <c r="D6039">
        <v>1</v>
      </c>
      <c r="E6039">
        <v>26</v>
      </c>
      <c r="F6039">
        <v>6767</v>
      </c>
      <c r="G6039">
        <f t="shared" si="94"/>
        <v>1577183112</v>
      </c>
    </row>
    <row r="6040" spans="1:7" x14ac:dyDescent="0.25">
      <c r="A6040">
        <v>1577183114</v>
      </c>
      <c r="B6040" t="s">
        <v>1394</v>
      </c>
      <c r="C6040">
        <v>0</v>
      </c>
      <c r="D6040">
        <v>0</v>
      </c>
      <c r="E6040">
        <v>0</v>
      </c>
      <c r="F6040">
        <v>8038</v>
      </c>
      <c r="G6040">
        <f t="shared" si="94"/>
        <v>1577183114</v>
      </c>
    </row>
    <row r="6041" spans="1:7" x14ac:dyDescent="0.25">
      <c r="A6041">
        <v>1577183118</v>
      </c>
      <c r="B6041" t="s">
        <v>28443</v>
      </c>
      <c r="C6041">
        <v>1813</v>
      </c>
      <c r="D6041">
        <v>0</v>
      </c>
      <c r="E6041">
        <v>0</v>
      </c>
      <c r="F6041">
        <v>8039</v>
      </c>
      <c r="G6041">
        <f t="shared" si="94"/>
        <v>1577183118</v>
      </c>
    </row>
    <row r="6042" spans="1:7" x14ac:dyDescent="0.25">
      <c r="A6042">
        <v>1577183136</v>
      </c>
      <c r="B6042" t="s">
        <v>28444</v>
      </c>
      <c r="C6042">
        <v>0</v>
      </c>
      <c r="D6042">
        <v>1</v>
      </c>
      <c r="E6042">
        <v>165</v>
      </c>
      <c r="F6042">
        <v>5637</v>
      </c>
      <c r="G6042">
        <f t="shared" si="94"/>
        <v>1577183136</v>
      </c>
    </row>
    <row r="6043" spans="1:7" x14ac:dyDescent="0.25">
      <c r="A6043">
        <v>1577183151</v>
      </c>
      <c r="B6043" t="s">
        <v>28445</v>
      </c>
      <c r="C6043">
        <v>26</v>
      </c>
      <c r="D6043">
        <v>1</v>
      </c>
      <c r="E6043">
        <v>7216</v>
      </c>
      <c r="F6043">
        <v>2031</v>
      </c>
      <c r="G6043">
        <f t="shared" si="94"/>
        <v>1577183151</v>
      </c>
    </row>
    <row r="6044" spans="1:7" x14ac:dyDescent="0.25">
      <c r="A6044">
        <v>1577183160</v>
      </c>
      <c r="B6044" t="s">
        <v>37440</v>
      </c>
      <c r="C6044">
        <v>0</v>
      </c>
      <c r="D6044">
        <v>1</v>
      </c>
      <c r="E6044">
        <v>111</v>
      </c>
      <c r="F6044">
        <v>6198</v>
      </c>
      <c r="G6044">
        <f t="shared" si="94"/>
        <v>1577183160</v>
      </c>
    </row>
    <row r="6045" spans="1:7" x14ac:dyDescent="0.25">
      <c r="A6045">
        <v>1577183196</v>
      </c>
      <c r="B6045" t="s">
        <v>36736</v>
      </c>
      <c r="C6045">
        <v>0</v>
      </c>
      <c r="D6045">
        <v>1</v>
      </c>
      <c r="E6045">
        <v>26</v>
      </c>
      <c r="F6045">
        <v>6768</v>
      </c>
      <c r="G6045">
        <f t="shared" si="94"/>
        <v>1577183196</v>
      </c>
    </row>
    <row r="6046" spans="1:7" x14ac:dyDescent="0.25">
      <c r="A6046">
        <v>1577183207</v>
      </c>
      <c r="B6046" t="s">
        <v>28446</v>
      </c>
      <c r="C6046">
        <v>117</v>
      </c>
      <c r="D6046">
        <v>3</v>
      </c>
      <c r="E6046">
        <v>13593</v>
      </c>
      <c r="F6046">
        <v>1118</v>
      </c>
      <c r="G6046">
        <f t="shared" si="94"/>
        <v>1577183207</v>
      </c>
    </row>
    <row r="6047" spans="1:7" x14ac:dyDescent="0.25">
      <c r="A6047">
        <v>1577183210</v>
      </c>
      <c r="B6047" t="s">
        <v>36737</v>
      </c>
      <c r="C6047">
        <v>0</v>
      </c>
      <c r="D6047">
        <v>0</v>
      </c>
      <c r="E6047">
        <v>0</v>
      </c>
      <c r="F6047">
        <v>8040</v>
      </c>
      <c r="G6047">
        <f t="shared" si="94"/>
        <v>1577183210</v>
      </c>
    </row>
    <row r="6048" spans="1:7" x14ac:dyDescent="0.25">
      <c r="A6048">
        <v>1577183245</v>
      </c>
      <c r="B6048" t="s">
        <v>28447</v>
      </c>
      <c r="C6048">
        <v>625</v>
      </c>
      <c r="D6048">
        <v>2</v>
      </c>
      <c r="E6048">
        <v>4386</v>
      </c>
      <c r="F6048">
        <v>2652</v>
      </c>
      <c r="G6048">
        <f t="shared" si="94"/>
        <v>1577183245</v>
      </c>
    </row>
    <row r="6049" spans="1:7" x14ac:dyDescent="0.25">
      <c r="A6049">
        <v>1577183250</v>
      </c>
      <c r="B6049" t="s">
        <v>28448</v>
      </c>
      <c r="C6049">
        <v>0</v>
      </c>
      <c r="D6049">
        <v>0</v>
      </c>
      <c r="E6049">
        <v>0</v>
      </c>
      <c r="F6049">
        <v>8041</v>
      </c>
      <c r="G6049">
        <f t="shared" si="94"/>
        <v>1577183250</v>
      </c>
    </row>
    <row r="6050" spans="1:7" x14ac:dyDescent="0.25">
      <c r="A6050">
        <v>1577183264</v>
      </c>
      <c r="B6050" t="s">
        <v>28449</v>
      </c>
      <c r="C6050">
        <v>0</v>
      </c>
      <c r="D6050">
        <v>1</v>
      </c>
      <c r="E6050">
        <v>26</v>
      </c>
      <c r="F6050">
        <v>6769</v>
      </c>
      <c r="G6050">
        <f t="shared" si="94"/>
        <v>1577183264</v>
      </c>
    </row>
    <row r="6051" spans="1:7" x14ac:dyDescent="0.25">
      <c r="A6051">
        <v>1577183267</v>
      </c>
      <c r="B6051" t="s">
        <v>28450</v>
      </c>
      <c r="C6051">
        <v>0</v>
      </c>
      <c r="D6051">
        <v>1</v>
      </c>
      <c r="E6051">
        <v>26</v>
      </c>
      <c r="F6051">
        <v>6770</v>
      </c>
      <c r="G6051">
        <f t="shared" si="94"/>
        <v>1577183267</v>
      </c>
    </row>
    <row r="6052" spans="1:7" x14ac:dyDescent="0.25">
      <c r="A6052">
        <v>1577183278</v>
      </c>
      <c r="B6052" t="s">
        <v>28451</v>
      </c>
      <c r="C6052">
        <v>26</v>
      </c>
      <c r="D6052">
        <v>2</v>
      </c>
      <c r="E6052">
        <v>10015</v>
      </c>
      <c r="F6052">
        <v>1559</v>
      </c>
      <c r="G6052">
        <f t="shared" si="94"/>
        <v>1577183278</v>
      </c>
    </row>
    <row r="6053" spans="1:7" x14ac:dyDescent="0.25">
      <c r="A6053">
        <v>1577183279</v>
      </c>
      <c r="B6053" t="s">
        <v>28452</v>
      </c>
      <c r="C6053">
        <v>534</v>
      </c>
      <c r="D6053">
        <v>2</v>
      </c>
      <c r="E6053">
        <v>12634</v>
      </c>
      <c r="F6053">
        <v>1207</v>
      </c>
      <c r="G6053">
        <f t="shared" si="94"/>
        <v>1577183279</v>
      </c>
    </row>
    <row r="6054" spans="1:7" x14ac:dyDescent="0.25">
      <c r="A6054">
        <v>1577183296</v>
      </c>
      <c r="B6054" t="s">
        <v>28453</v>
      </c>
      <c r="C6054">
        <v>0</v>
      </c>
      <c r="D6054">
        <v>0</v>
      </c>
      <c r="E6054">
        <v>0</v>
      </c>
      <c r="F6054">
        <v>8042</v>
      </c>
      <c r="G6054">
        <f t="shared" si="94"/>
        <v>1577183296</v>
      </c>
    </row>
    <row r="6055" spans="1:7" x14ac:dyDescent="0.25">
      <c r="A6055">
        <v>1577183297</v>
      </c>
      <c r="B6055" t="s">
        <v>28454</v>
      </c>
      <c r="C6055">
        <v>1689</v>
      </c>
      <c r="D6055">
        <v>1</v>
      </c>
      <c r="E6055">
        <v>3533</v>
      </c>
      <c r="F6055">
        <v>2870</v>
      </c>
      <c r="G6055">
        <f t="shared" si="94"/>
        <v>1577183297</v>
      </c>
    </row>
    <row r="6056" spans="1:7" x14ac:dyDescent="0.25">
      <c r="A6056">
        <v>1577183331</v>
      </c>
      <c r="B6056" t="s">
        <v>28455</v>
      </c>
      <c r="C6056">
        <v>1858</v>
      </c>
      <c r="D6056">
        <v>1</v>
      </c>
      <c r="E6056">
        <v>336</v>
      </c>
      <c r="F6056">
        <v>5019</v>
      </c>
      <c r="G6056">
        <f t="shared" si="94"/>
        <v>1577183331</v>
      </c>
    </row>
    <row r="6057" spans="1:7" x14ac:dyDescent="0.25">
      <c r="A6057">
        <v>1577183344</v>
      </c>
      <c r="B6057" t="s">
        <v>28456</v>
      </c>
      <c r="C6057">
        <v>117</v>
      </c>
      <c r="D6057">
        <v>2</v>
      </c>
      <c r="E6057">
        <v>7231</v>
      </c>
      <c r="F6057">
        <v>2023</v>
      </c>
      <c r="G6057">
        <f t="shared" si="94"/>
        <v>1577183344</v>
      </c>
    </row>
    <row r="6058" spans="1:7" x14ac:dyDescent="0.25">
      <c r="A6058">
        <v>1577183349</v>
      </c>
      <c r="B6058" t="s">
        <v>36738</v>
      </c>
      <c r="C6058">
        <v>0</v>
      </c>
      <c r="D6058">
        <v>1</v>
      </c>
      <c r="E6058">
        <v>813</v>
      </c>
      <c r="F6058">
        <v>4181</v>
      </c>
      <c r="G6058">
        <f t="shared" si="94"/>
        <v>1577183349</v>
      </c>
    </row>
    <row r="6059" spans="1:7" x14ac:dyDescent="0.25">
      <c r="A6059">
        <v>1577183355</v>
      </c>
      <c r="B6059" t="s">
        <v>28457</v>
      </c>
      <c r="C6059">
        <v>117</v>
      </c>
      <c r="D6059">
        <v>1</v>
      </c>
      <c r="E6059">
        <v>2300</v>
      </c>
      <c r="F6059">
        <v>3212</v>
      </c>
      <c r="G6059">
        <f t="shared" si="94"/>
        <v>1577183355</v>
      </c>
    </row>
    <row r="6060" spans="1:7" x14ac:dyDescent="0.25">
      <c r="A6060">
        <v>1577183375</v>
      </c>
      <c r="B6060" t="s">
        <v>28458</v>
      </c>
      <c r="C6060">
        <v>95</v>
      </c>
      <c r="D6060">
        <v>1</v>
      </c>
      <c r="E6060">
        <v>26</v>
      </c>
      <c r="F6060">
        <v>6771</v>
      </c>
      <c r="G6060">
        <f t="shared" si="94"/>
        <v>1577183375</v>
      </c>
    </row>
    <row r="6061" spans="1:7" x14ac:dyDescent="0.25">
      <c r="A6061">
        <v>1577183380</v>
      </c>
      <c r="B6061" t="s">
        <v>28459</v>
      </c>
      <c r="C6061">
        <v>122</v>
      </c>
      <c r="D6061">
        <v>5</v>
      </c>
      <c r="E6061">
        <v>25983</v>
      </c>
      <c r="F6061">
        <v>365</v>
      </c>
      <c r="G6061">
        <f t="shared" si="94"/>
        <v>1577183380</v>
      </c>
    </row>
    <row r="6062" spans="1:7" x14ac:dyDescent="0.25">
      <c r="A6062">
        <v>1577183384</v>
      </c>
      <c r="B6062" t="s">
        <v>36739</v>
      </c>
      <c r="C6062">
        <v>0</v>
      </c>
      <c r="D6062">
        <v>0</v>
      </c>
      <c r="E6062">
        <v>0</v>
      </c>
      <c r="F6062">
        <v>8043</v>
      </c>
      <c r="G6062">
        <f t="shared" si="94"/>
        <v>1577183384</v>
      </c>
    </row>
    <row r="6063" spans="1:7" x14ac:dyDescent="0.25">
      <c r="A6063">
        <v>1577183391</v>
      </c>
      <c r="B6063" t="s">
        <v>28460</v>
      </c>
      <c r="C6063">
        <v>325</v>
      </c>
      <c r="D6063">
        <v>1</v>
      </c>
      <c r="E6063">
        <v>26</v>
      </c>
      <c r="F6063">
        <v>6772</v>
      </c>
      <c r="G6063">
        <f t="shared" si="94"/>
        <v>1577183391</v>
      </c>
    </row>
    <row r="6064" spans="1:7" x14ac:dyDescent="0.25">
      <c r="A6064">
        <v>1577183405</v>
      </c>
      <c r="B6064" t="s">
        <v>36740</v>
      </c>
      <c r="C6064">
        <v>0</v>
      </c>
      <c r="D6064">
        <v>0</v>
      </c>
      <c r="E6064">
        <v>0</v>
      </c>
      <c r="F6064">
        <v>8044</v>
      </c>
      <c r="G6064">
        <f t="shared" si="94"/>
        <v>1577183405</v>
      </c>
    </row>
    <row r="6065" spans="1:7" x14ac:dyDescent="0.25">
      <c r="A6065">
        <v>1577183418</v>
      </c>
      <c r="B6065" t="s">
        <v>28461</v>
      </c>
      <c r="C6065">
        <v>924</v>
      </c>
      <c r="D6065">
        <v>1</v>
      </c>
      <c r="E6065">
        <v>5471</v>
      </c>
      <c r="F6065">
        <v>2410</v>
      </c>
      <c r="G6065">
        <f t="shared" si="94"/>
        <v>1577183418</v>
      </c>
    </row>
    <row r="6066" spans="1:7" x14ac:dyDescent="0.25">
      <c r="A6066">
        <v>1577183421</v>
      </c>
      <c r="B6066" t="s">
        <v>28462</v>
      </c>
      <c r="C6066">
        <v>0</v>
      </c>
      <c r="D6066">
        <v>0</v>
      </c>
      <c r="E6066">
        <v>0</v>
      </c>
      <c r="F6066">
        <v>8045</v>
      </c>
      <c r="G6066">
        <f t="shared" si="94"/>
        <v>1577183421</v>
      </c>
    </row>
    <row r="6067" spans="1:7" x14ac:dyDescent="0.25">
      <c r="A6067">
        <v>1577183431</v>
      </c>
      <c r="B6067" t="s">
        <v>28463</v>
      </c>
      <c r="C6067">
        <v>152</v>
      </c>
      <c r="D6067">
        <v>6</v>
      </c>
      <c r="E6067">
        <v>31958</v>
      </c>
      <c r="F6067">
        <v>205</v>
      </c>
      <c r="G6067">
        <f t="shared" si="94"/>
        <v>1577183431</v>
      </c>
    </row>
    <row r="6068" spans="1:7" x14ac:dyDescent="0.25">
      <c r="A6068">
        <v>1577183460</v>
      </c>
      <c r="B6068" t="s">
        <v>28464</v>
      </c>
      <c r="C6068">
        <v>259</v>
      </c>
      <c r="D6068">
        <v>5</v>
      </c>
      <c r="E6068">
        <v>27930</v>
      </c>
      <c r="F6068">
        <v>296</v>
      </c>
      <c r="G6068">
        <f t="shared" si="94"/>
        <v>1577183460</v>
      </c>
    </row>
    <row r="6069" spans="1:7" x14ac:dyDescent="0.25">
      <c r="A6069">
        <v>1577183484</v>
      </c>
      <c r="B6069" t="s">
        <v>28465</v>
      </c>
      <c r="C6069">
        <v>0</v>
      </c>
      <c r="D6069">
        <v>1</v>
      </c>
      <c r="E6069">
        <v>2526</v>
      </c>
      <c r="F6069">
        <v>3130</v>
      </c>
      <c r="G6069">
        <f t="shared" si="94"/>
        <v>1577183484</v>
      </c>
    </row>
    <row r="6070" spans="1:7" x14ac:dyDescent="0.25">
      <c r="A6070">
        <v>1577183490</v>
      </c>
      <c r="B6070" t="s">
        <v>28466</v>
      </c>
      <c r="C6070">
        <v>760</v>
      </c>
      <c r="D6070">
        <v>7</v>
      </c>
      <c r="E6070">
        <v>38958</v>
      </c>
      <c r="F6070">
        <v>101</v>
      </c>
      <c r="G6070">
        <f t="shared" si="94"/>
        <v>1577183490</v>
      </c>
    </row>
    <row r="6071" spans="1:7" x14ac:dyDescent="0.25">
      <c r="A6071">
        <v>1577183507</v>
      </c>
      <c r="B6071" t="s">
        <v>36741</v>
      </c>
      <c r="C6071">
        <v>0</v>
      </c>
      <c r="D6071">
        <v>0</v>
      </c>
      <c r="E6071">
        <v>0</v>
      </c>
      <c r="F6071">
        <v>8046</v>
      </c>
      <c r="G6071">
        <f t="shared" si="94"/>
        <v>1577183507</v>
      </c>
    </row>
    <row r="6072" spans="1:7" x14ac:dyDescent="0.25">
      <c r="A6072">
        <v>1577183510</v>
      </c>
      <c r="B6072" t="s">
        <v>28467</v>
      </c>
      <c r="C6072">
        <v>215</v>
      </c>
      <c r="D6072">
        <v>4</v>
      </c>
      <c r="E6072">
        <v>19490</v>
      </c>
      <c r="F6072">
        <v>655</v>
      </c>
      <c r="G6072">
        <f t="shared" si="94"/>
        <v>1577183510</v>
      </c>
    </row>
    <row r="6073" spans="1:7" x14ac:dyDescent="0.25">
      <c r="A6073">
        <v>1577183515</v>
      </c>
      <c r="B6073" t="s">
        <v>28468</v>
      </c>
      <c r="C6073">
        <v>117</v>
      </c>
      <c r="D6073">
        <v>2</v>
      </c>
      <c r="E6073">
        <v>8813</v>
      </c>
      <c r="F6073">
        <v>1752</v>
      </c>
      <c r="G6073">
        <f t="shared" si="94"/>
        <v>1577183515</v>
      </c>
    </row>
    <row r="6074" spans="1:7" x14ac:dyDescent="0.25">
      <c r="A6074">
        <v>1577183526</v>
      </c>
      <c r="B6074" t="s">
        <v>28469</v>
      </c>
      <c r="C6074">
        <v>0</v>
      </c>
      <c r="D6074">
        <v>1</v>
      </c>
      <c r="E6074">
        <v>848</v>
      </c>
      <c r="F6074">
        <v>4134</v>
      </c>
      <c r="G6074">
        <f t="shared" si="94"/>
        <v>1577183526</v>
      </c>
    </row>
    <row r="6075" spans="1:7" x14ac:dyDescent="0.25">
      <c r="A6075">
        <v>1577183540</v>
      </c>
      <c r="B6075" t="s">
        <v>28470</v>
      </c>
      <c r="C6075">
        <v>760</v>
      </c>
      <c r="D6075">
        <v>5</v>
      </c>
      <c r="E6075">
        <v>18923</v>
      </c>
      <c r="F6075">
        <v>694</v>
      </c>
      <c r="G6075">
        <f t="shared" si="94"/>
        <v>1577183540</v>
      </c>
    </row>
    <row r="6076" spans="1:7" x14ac:dyDescent="0.25">
      <c r="A6076">
        <v>1577183544</v>
      </c>
      <c r="B6076" t="s">
        <v>28471</v>
      </c>
      <c r="C6076">
        <v>0</v>
      </c>
      <c r="D6076">
        <v>0</v>
      </c>
      <c r="E6076">
        <v>0</v>
      </c>
      <c r="F6076">
        <v>8047</v>
      </c>
      <c r="G6076">
        <f t="shared" si="94"/>
        <v>1577183544</v>
      </c>
    </row>
    <row r="6077" spans="1:7" x14ac:dyDescent="0.25">
      <c r="A6077">
        <v>1577183553</v>
      </c>
      <c r="B6077" t="s">
        <v>28472</v>
      </c>
      <c r="C6077">
        <v>989</v>
      </c>
      <c r="D6077">
        <v>1</v>
      </c>
      <c r="E6077">
        <v>26</v>
      </c>
      <c r="F6077">
        <v>6773</v>
      </c>
      <c r="G6077">
        <f t="shared" si="94"/>
        <v>1577183553</v>
      </c>
    </row>
    <row r="6078" spans="1:7" x14ac:dyDescent="0.25">
      <c r="A6078">
        <v>1577183594</v>
      </c>
      <c r="B6078" t="s">
        <v>28473</v>
      </c>
      <c r="C6078">
        <v>1413</v>
      </c>
      <c r="D6078">
        <v>2</v>
      </c>
      <c r="E6078">
        <v>4717</v>
      </c>
      <c r="F6078">
        <v>2571</v>
      </c>
      <c r="G6078">
        <f t="shared" si="94"/>
        <v>1577183594</v>
      </c>
    </row>
    <row r="6079" spans="1:7" x14ac:dyDescent="0.25">
      <c r="A6079">
        <v>1577183611</v>
      </c>
      <c r="B6079" t="s">
        <v>28474</v>
      </c>
      <c r="C6079">
        <v>443</v>
      </c>
      <c r="D6079">
        <v>1</v>
      </c>
      <c r="E6079">
        <v>1421</v>
      </c>
      <c r="F6079">
        <v>3640</v>
      </c>
      <c r="G6079">
        <f t="shared" si="94"/>
        <v>1577183611</v>
      </c>
    </row>
    <row r="6080" spans="1:7" x14ac:dyDescent="0.25">
      <c r="A6080">
        <v>1577183627</v>
      </c>
      <c r="B6080" t="s">
        <v>28475</v>
      </c>
      <c r="C6080">
        <v>0</v>
      </c>
      <c r="D6080">
        <v>1</v>
      </c>
      <c r="E6080">
        <v>26</v>
      </c>
      <c r="F6080">
        <v>6774</v>
      </c>
      <c r="G6080">
        <f t="shared" si="94"/>
        <v>1577183627</v>
      </c>
    </row>
    <row r="6081" spans="1:7" x14ac:dyDescent="0.25">
      <c r="A6081">
        <v>1577183637</v>
      </c>
      <c r="B6081" t="s">
        <v>36742</v>
      </c>
      <c r="C6081">
        <v>0</v>
      </c>
      <c r="D6081">
        <v>1</v>
      </c>
      <c r="E6081">
        <v>26</v>
      </c>
      <c r="F6081">
        <v>6775</v>
      </c>
      <c r="G6081">
        <f t="shared" ref="G6081:G6144" si="95">A6081</f>
        <v>1577183637</v>
      </c>
    </row>
    <row r="6082" spans="1:7" x14ac:dyDescent="0.25">
      <c r="A6082">
        <v>1577183643</v>
      </c>
      <c r="B6082" t="s">
        <v>28476</v>
      </c>
      <c r="C6082">
        <v>0</v>
      </c>
      <c r="D6082">
        <v>1</v>
      </c>
      <c r="E6082">
        <v>26</v>
      </c>
      <c r="F6082">
        <v>6776</v>
      </c>
      <c r="G6082">
        <f t="shared" si="95"/>
        <v>1577183643</v>
      </c>
    </row>
    <row r="6083" spans="1:7" x14ac:dyDescent="0.25">
      <c r="A6083">
        <v>1577183647</v>
      </c>
      <c r="B6083" t="s">
        <v>28477</v>
      </c>
      <c r="C6083">
        <v>924</v>
      </c>
      <c r="D6083">
        <v>0</v>
      </c>
      <c r="E6083">
        <v>0</v>
      </c>
      <c r="F6083">
        <v>8048</v>
      </c>
      <c r="G6083">
        <f t="shared" si="95"/>
        <v>1577183647</v>
      </c>
    </row>
    <row r="6084" spans="1:7" x14ac:dyDescent="0.25">
      <c r="A6084">
        <v>1577183664</v>
      </c>
      <c r="B6084" t="s">
        <v>36743</v>
      </c>
      <c r="C6084">
        <v>149</v>
      </c>
      <c r="D6084">
        <v>1</v>
      </c>
      <c r="E6084">
        <v>26</v>
      </c>
      <c r="F6084">
        <v>6777</v>
      </c>
      <c r="G6084">
        <f t="shared" si="95"/>
        <v>1577183664</v>
      </c>
    </row>
    <row r="6085" spans="1:7" x14ac:dyDescent="0.25">
      <c r="A6085">
        <v>1577183720</v>
      </c>
      <c r="B6085" t="s">
        <v>28478</v>
      </c>
      <c r="C6085">
        <v>126</v>
      </c>
      <c r="D6085">
        <v>5</v>
      </c>
      <c r="E6085">
        <v>23112</v>
      </c>
      <c r="F6085">
        <v>470</v>
      </c>
      <c r="G6085">
        <f t="shared" si="95"/>
        <v>1577183720</v>
      </c>
    </row>
    <row r="6086" spans="1:7" x14ac:dyDescent="0.25">
      <c r="A6086">
        <v>1577183742</v>
      </c>
      <c r="B6086" t="s">
        <v>28479</v>
      </c>
      <c r="C6086">
        <v>924</v>
      </c>
      <c r="D6086">
        <v>0</v>
      </c>
      <c r="E6086">
        <v>0</v>
      </c>
      <c r="F6086">
        <v>8049</v>
      </c>
      <c r="G6086">
        <f t="shared" si="95"/>
        <v>1577183742</v>
      </c>
    </row>
    <row r="6087" spans="1:7" x14ac:dyDescent="0.25">
      <c r="A6087">
        <v>1577183749</v>
      </c>
      <c r="B6087" t="s">
        <v>28480</v>
      </c>
      <c r="C6087">
        <v>1535</v>
      </c>
      <c r="D6087">
        <v>1</v>
      </c>
      <c r="E6087">
        <v>4186</v>
      </c>
      <c r="F6087">
        <v>2721</v>
      </c>
      <c r="G6087">
        <f t="shared" si="95"/>
        <v>1577183749</v>
      </c>
    </row>
    <row r="6088" spans="1:7" x14ac:dyDescent="0.25">
      <c r="A6088">
        <v>1577183775</v>
      </c>
      <c r="B6088" t="s">
        <v>28481</v>
      </c>
      <c r="C6088">
        <v>989</v>
      </c>
      <c r="D6088">
        <v>0</v>
      </c>
      <c r="E6088">
        <v>0</v>
      </c>
      <c r="F6088">
        <v>8050</v>
      </c>
      <c r="G6088">
        <f t="shared" si="95"/>
        <v>1577183775</v>
      </c>
    </row>
    <row r="6089" spans="1:7" x14ac:dyDescent="0.25">
      <c r="A6089">
        <v>1577183786</v>
      </c>
      <c r="B6089" t="s">
        <v>28482</v>
      </c>
      <c r="C6089">
        <v>174</v>
      </c>
      <c r="D6089">
        <v>3</v>
      </c>
      <c r="E6089">
        <v>14616</v>
      </c>
      <c r="F6089">
        <v>1021</v>
      </c>
      <c r="G6089">
        <f t="shared" si="95"/>
        <v>1577183786</v>
      </c>
    </row>
    <row r="6090" spans="1:7" x14ac:dyDescent="0.25">
      <c r="A6090">
        <v>1577183797</v>
      </c>
      <c r="B6090" t="s">
        <v>28483</v>
      </c>
      <c r="C6090">
        <v>0</v>
      </c>
      <c r="D6090">
        <v>1</v>
      </c>
      <c r="E6090">
        <v>26</v>
      </c>
      <c r="F6090">
        <v>6778</v>
      </c>
      <c r="G6090">
        <f t="shared" si="95"/>
        <v>1577183797</v>
      </c>
    </row>
    <row r="6091" spans="1:7" x14ac:dyDescent="0.25">
      <c r="A6091">
        <v>1577183817</v>
      </c>
      <c r="B6091" t="s">
        <v>28484</v>
      </c>
      <c r="C6091">
        <v>0</v>
      </c>
      <c r="D6091">
        <v>0</v>
      </c>
      <c r="E6091">
        <v>0</v>
      </c>
      <c r="F6091">
        <v>8051</v>
      </c>
      <c r="G6091">
        <f t="shared" si="95"/>
        <v>1577183817</v>
      </c>
    </row>
    <row r="6092" spans="1:7" x14ac:dyDescent="0.25">
      <c r="A6092">
        <v>1577183825</v>
      </c>
      <c r="B6092" t="s">
        <v>28485</v>
      </c>
      <c r="C6092">
        <v>131</v>
      </c>
      <c r="D6092">
        <v>5</v>
      </c>
      <c r="E6092">
        <v>16627</v>
      </c>
      <c r="F6092">
        <v>857</v>
      </c>
      <c r="G6092">
        <f t="shared" si="95"/>
        <v>1577183825</v>
      </c>
    </row>
    <row r="6093" spans="1:7" x14ac:dyDescent="0.25">
      <c r="A6093">
        <v>1577183837</v>
      </c>
      <c r="B6093" t="s">
        <v>28486</v>
      </c>
      <c r="C6093">
        <v>189</v>
      </c>
      <c r="D6093">
        <v>3</v>
      </c>
      <c r="E6093">
        <v>8716</v>
      </c>
      <c r="F6093">
        <v>1765</v>
      </c>
      <c r="G6093">
        <f t="shared" si="95"/>
        <v>1577183837</v>
      </c>
    </row>
    <row r="6094" spans="1:7" x14ac:dyDescent="0.25">
      <c r="A6094">
        <v>1577183863</v>
      </c>
      <c r="B6094" t="s">
        <v>28487</v>
      </c>
      <c r="C6094">
        <v>0</v>
      </c>
      <c r="D6094">
        <v>1</v>
      </c>
      <c r="E6094">
        <v>1084</v>
      </c>
      <c r="F6094">
        <v>3885</v>
      </c>
      <c r="G6094">
        <f t="shared" si="95"/>
        <v>1577183863</v>
      </c>
    </row>
    <row r="6095" spans="1:7" x14ac:dyDescent="0.25">
      <c r="A6095">
        <v>1577183867</v>
      </c>
      <c r="B6095" t="s">
        <v>28488</v>
      </c>
      <c r="C6095">
        <v>20</v>
      </c>
      <c r="D6095">
        <v>3</v>
      </c>
      <c r="E6095">
        <v>15590</v>
      </c>
      <c r="F6095">
        <v>959</v>
      </c>
      <c r="G6095">
        <f t="shared" si="95"/>
        <v>1577183867</v>
      </c>
    </row>
    <row r="6096" spans="1:7" x14ac:dyDescent="0.25">
      <c r="A6096">
        <v>1577183882</v>
      </c>
      <c r="B6096" t="s">
        <v>37178</v>
      </c>
      <c r="C6096">
        <v>1366</v>
      </c>
      <c r="D6096">
        <v>1</v>
      </c>
      <c r="E6096">
        <v>4202</v>
      </c>
      <c r="F6096">
        <v>2713</v>
      </c>
      <c r="G6096">
        <f t="shared" si="95"/>
        <v>1577183882</v>
      </c>
    </row>
    <row r="6097" spans="1:7" x14ac:dyDescent="0.25">
      <c r="A6097">
        <v>1577183911</v>
      </c>
      <c r="B6097" t="s">
        <v>28489</v>
      </c>
      <c r="C6097">
        <v>199</v>
      </c>
      <c r="D6097">
        <v>2</v>
      </c>
      <c r="E6097">
        <v>11617</v>
      </c>
      <c r="F6097">
        <v>1330</v>
      </c>
      <c r="G6097">
        <f t="shared" si="95"/>
        <v>1577183911</v>
      </c>
    </row>
    <row r="6098" spans="1:7" x14ac:dyDescent="0.25">
      <c r="A6098">
        <v>1577183925</v>
      </c>
      <c r="B6098" t="s">
        <v>28490</v>
      </c>
      <c r="C6098">
        <v>0</v>
      </c>
      <c r="D6098">
        <v>1</v>
      </c>
      <c r="E6098">
        <v>26</v>
      </c>
      <c r="F6098">
        <v>6779</v>
      </c>
      <c r="G6098">
        <f t="shared" si="95"/>
        <v>1577183925</v>
      </c>
    </row>
    <row r="6099" spans="1:7" x14ac:dyDescent="0.25">
      <c r="A6099">
        <v>1577183933</v>
      </c>
      <c r="B6099" t="s">
        <v>28491</v>
      </c>
      <c r="C6099">
        <v>0</v>
      </c>
      <c r="D6099">
        <v>1</v>
      </c>
      <c r="E6099">
        <v>335</v>
      </c>
      <c r="F6099">
        <v>5024</v>
      </c>
      <c r="G6099">
        <f t="shared" si="95"/>
        <v>1577183933</v>
      </c>
    </row>
    <row r="6100" spans="1:7" x14ac:dyDescent="0.25">
      <c r="A6100">
        <v>1577183941</v>
      </c>
      <c r="B6100" t="s">
        <v>28492</v>
      </c>
      <c r="C6100">
        <v>27</v>
      </c>
      <c r="D6100">
        <v>5</v>
      </c>
      <c r="E6100">
        <v>29894</v>
      </c>
      <c r="F6100">
        <v>243</v>
      </c>
      <c r="G6100">
        <f t="shared" si="95"/>
        <v>1577183941</v>
      </c>
    </row>
    <row r="6101" spans="1:7" x14ac:dyDescent="0.25">
      <c r="A6101">
        <v>1577184000</v>
      </c>
      <c r="B6101" t="s">
        <v>28493</v>
      </c>
      <c r="C6101">
        <v>887</v>
      </c>
      <c r="D6101">
        <v>1</v>
      </c>
      <c r="E6101">
        <v>2487</v>
      </c>
      <c r="F6101">
        <v>3141</v>
      </c>
      <c r="G6101">
        <f t="shared" si="95"/>
        <v>1577184000</v>
      </c>
    </row>
    <row r="6102" spans="1:7" x14ac:dyDescent="0.25">
      <c r="A6102">
        <v>1577184053</v>
      </c>
      <c r="B6102" t="s">
        <v>28494</v>
      </c>
      <c r="C6102">
        <v>1836</v>
      </c>
      <c r="D6102">
        <v>1</v>
      </c>
      <c r="E6102">
        <v>3581</v>
      </c>
      <c r="F6102">
        <v>2857</v>
      </c>
      <c r="G6102">
        <f t="shared" si="95"/>
        <v>1577184053</v>
      </c>
    </row>
    <row r="6103" spans="1:7" x14ac:dyDescent="0.25">
      <c r="A6103">
        <v>1577184058</v>
      </c>
      <c r="B6103" t="s">
        <v>28495</v>
      </c>
      <c r="C6103">
        <v>20</v>
      </c>
      <c r="D6103">
        <v>5</v>
      </c>
      <c r="E6103">
        <v>17854</v>
      </c>
      <c r="F6103">
        <v>761</v>
      </c>
      <c r="G6103">
        <f t="shared" si="95"/>
        <v>1577184058</v>
      </c>
    </row>
    <row r="6104" spans="1:7" x14ac:dyDescent="0.25">
      <c r="A6104">
        <v>1577184105</v>
      </c>
      <c r="B6104" t="s">
        <v>28496</v>
      </c>
      <c r="C6104">
        <v>27</v>
      </c>
      <c r="D6104">
        <v>2</v>
      </c>
      <c r="E6104">
        <v>7022</v>
      </c>
      <c r="F6104">
        <v>2060</v>
      </c>
      <c r="G6104">
        <f t="shared" si="95"/>
        <v>1577184105</v>
      </c>
    </row>
    <row r="6105" spans="1:7" x14ac:dyDescent="0.25">
      <c r="A6105">
        <v>1577184107</v>
      </c>
      <c r="B6105" t="s">
        <v>28497</v>
      </c>
      <c r="C6105">
        <v>138</v>
      </c>
      <c r="D6105">
        <v>1</v>
      </c>
      <c r="E6105">
        <v>4285</v>
      </c>
      <c r="F6105">
        <v>2687</v>
      </c>
      <c r="G6105">
        <f t="shared" si="95"/>
        <v>1577184107</v>
      </c>
    </row>
    <row r="6106" spans="1:7" x14ac:dyDescent="0.25">
      <c r="A6106">
        <v>1577184112</v>
      </c>
      <c r="B6106" t="s">
        <v>28498</v>
      </c>
      <c r="C6106">
        <v>0</v>
      </c>
      <c r="D6106">
        <v>1</v>
      </c>
      <c r="E6106">
        <v>6200</v>
      </c>
      <c r="F6106">
        <v>2232</v>
      </c>
      <c r="G6106">
        <f t="shared" si="95"/>
        <v>1577184112</v>
      </c>
    </row>
    <row r="6107" spans="1:7" x14ac:dyDescent="0.25">
      <c r="A6107">
        <v>1577184148</v>
      </c>
      <c r="B6107" t="s">
        <v>28499</v>
      </c>
      <c r="C6107">
        <v>0</v>
      </c>
      <c r="D6107">
        <v>0</v>
      </c>
      <c r="E6107">
        <v>0</v>
      </c>
      <c r="F6107">
        <v>8052</v>
      </c>
      <c r="G6107">
        <f t="shared" si="95"/>
        <v>1577184148</v>
      </c>
    </row>
    <row r="6108" spans="1:7" x14ac:dyDescent="0.25">
      <c r="A6108">
        <v>1577184158</v>
      </c>
      <c r="B6108" t="s">
        <v>28500</v>
      </c>
      <c r="C6108">
        <v>0</v>
      </c>
      <c r="D6108">
        <v>0</v>
      </c>
      <c r="E6108">
        <v>0</v>
      </c>
      <c r="F6108">
        <v>8053</v>
      </c>
      <c r="G6108">
        <f t="shared" si="95"/>
        <v>1577184158</v>
      </c>
    </row>
    <row r="6109" spans="1:7" x14ac:dyDescent="0.25">
      <c r="A6109">
        <v>1577184159</v>
      </c>
      <c r="B6109" t="s">
        <v>37409</v>
      </c>
      <c r="C6109">
        <v>0</v>
      </c>
      <c r="D6109">
        <v>0</v>
      </c>
      <c r="E6109">
        <v>0</v>
      </c>
      <c r="F6109">
        <v>8054</v>
      </c>
      <c r="G6109">
        <f t="shared" si="95"/>
        <v>1577184159</v>
      </c>
    </row>
    <row r="6110" spans="1:7" x14ac:dyDescent="0.25">
      <c r="A6110">
        <v>1577184162</v>
      </c>
      <c r="B6110" t="s">
        <v>28501</v>
      </c>
      <c r="C6110">
        <v>1340</v>
      </c>
      <c r="D6110">
        <v>3</v>
      </c>
      <c r="E6110">
        <v>7400</v>
      </c>
      <c r="F6110">
        <v>2001</v>
      </c>
      <c r="G6110">
        <f t="shared" si="95"/>
        <v>1577184162</v>
      </c>
    </row>
    <row r="6111" spans="1:7" x14ac:dyDescent="0.25">
      <c r="A6111">
        <v>1577184180</v>
      </c>
      <c r="B6111" t="s">
        <v>28502</v>
      </c>
      <c r="C6111">
        <v>126</v>
      </c>
      <c r="D6111">
        <v>3</v>
      </c>
      <c r="E6111">
        <v>14129</v>
      </c>
      <c r="F6111">
        <v>1066</v>
      </c>
      <c r="G6111">
        <f t="shared" si="95"/>
        <v>1577184180</v>
      </c>
    </row>
    <row r="6112" spans="1:7" x14ac:dyDescent="0.25">
      <c r="A6112">
        <v>1577184205</v>
      </c>
      <c r="B6112" t="s">
        <v>28503</v>
      </c>
      <c r="C6112">
        <v>567</v>
      </c>
      <c r="D6112">
        <v>1</v>
      </c>
      <c r="E6112">
        <v>95</v>
      </c>
      <c r="F6112">
        <v>5875</v>
      </c>
      <c r="G6112">
        <f t="shared" si="95"/>
        <v>1577184205</v>
      </c>
    </row>
    <row r="6113" spans="1:7" x14ac:dyDescent="0.25">
      <c r="A6113">
        <v>1577184269</v>
      </c>
      <c r="B6113" t="s">
        <v>28504</v>
      </c>
      <c r="C6113">
        <v>1972</v>
      </c>
      <c r="D6113">
        <v>2</v>
      </c>
      <c r="E6113">
        <v>10052</v>
      </c>
      <c r="F6113">
        <v>1554</v>
      </c>
      <c r="G6113">
        <f t="shared" si="95"/>
        <v>1577184269</v>
      </c>
    </row>
    <row r="6114" spans="1:7" x14ac:dyDescent="0.25">
      <c r="A6114">
        <v>1577184335</v>
      </c>
      <c r="B6114" t="s">
        <v>28505</v>
      </c>
      <c r="C6114">
        <v>0</v>
      </c>
      <c r="D6114">
        <v>1</v>
      </c>
      <c r="E6114">
        <v>26</v>
      </c>
      <c r="F6114">
        <v>6780</v>
      </c>
      <c r="G6114">
        <f t="shared" si="95"/>
        <v>1577184335</v>
      </c>
    </row>
    <row r="6115" spans="1:7" x14ac:dyDescent="0.25">
      <c r="A6115">
        <v>1577184357</v>
      </c>
      <c r="B6115" t="s">
        <v>28506</v>
      </c>
      <c r="C6115">
        <v>218</v>
      </c>
      <c r="D6115">
        <v>3</v>
      </c>
      <c r="E6115">
        <v>15364</v>
      </c>
      <c r="F6115">
        <v>956</v>
      </c>
      <c r="G6115">
        <f t="shared" si="95"/>
        <v>1577184357</v>
      </c>
    </row>
    <row r="6116" spans="1:7" x14ac:dyDescent="0.25">
      <c r="A6116">
        <v>1577184379</v>
      </c>
      <c r="B6116" t="s">
        <v>28507</v>
      </c>
      <c r="C6116">
        <v>0</v>
      </c>
      <c r="D6116">
        <v>1</v>
      </c>
      <c r="E6116">
        <v>53</v>
      </c>
      <c r="F6116">
        <v>6146</v>
      </c>
      <c r="G6116">
        <f t="shared" si="95"/>
        <v>1577184379</v>
      </c>
    </row>
    <row r="6117" spans="1:7" x14ac:dyDescent="0.25">
      <c r="A6117">
        <v>1577184390</v>
      </c>
      <c r="B6117" t="s">
        <v>28508</v>
      </c>
      <c r="C6117">
        <v>1363</v>
      </c>
      <c r="D6117">
        <v>1</v>
      </c>
      <c r="E6117">
        <v>4634</v>
      </c>
      <c r="F6117">
        <v>2588</v>
      </c>
      <c r="G6117">
        <f t="shared" si="95"/>
        <v>1577184390</v>
      </c>
    </row>
    <row r="6118" spans="1:7" x14ac:dyDescent="0.25">
      <c r="A6118">
        <v>1577184392</v>
      </c>
      <c r="B6118" s="402" t="s">
        <v>28509</v>
      </c>
      <c r="C6118">
        <v>0</v>
      </c>
      <c r="D6118">
        <v>2</v>
      </c>
      <c r="E6118">
        <v>5289</v>
      </c>
      <c r="F6118">
        <v>2452</v>
      </c>
      <c r="G6118">
        <f t="shared" si="95"/>
        <v>1577184392</v>
      </c>
    </row>
    <row r="6119" spans="1:7" x14ac:dyDescent="0.25">
      <c r="A6119">
        <v>1577184403</v>
      </c>
      <c r="B6119" s="402" t="s">
        <v>28510</v>
      </c>
      <c r="C6119">
        <v>1861</v>
      </c>
      <c r="D6119">
        <v>1</v>
      </c>
      <c r="E6119">
        <v>1357</v>
      </c>
      <c r="F6119">
        <v>3688</v>
      </c>
      <c r="G6119">
        <f t="shared" si="95"/>
        <v>1577184403</v>
      </c>
    </row>
    <row r="6120" spans="1:7" x14ac:dyDescent="0.25">
      <c r="A6120">
        <v>1577184411</v>
      </c>
      <c r="B6120" t="s">
        <v>36744</v>
      </c>
      <c r="C6120">
        <v>20</v>
      </c>
      <c r="D6120">
        <v>4</v>
      </c>
      <c r="E6120">
        <v>12848</v>
      </c>
      <c r="F6120">
        <v>1184</v>
      </c>
      <c r="G6120">
        <f t="shared" si="95"/>
        <v>1577184411</v>
      </c>
    </row>
    <row r="6121" spans="1:7" x14ac:dyDescent="0.25">
      <c r="A6121">
        <v>1577184417</v>
      </c>
      <c r="B6121" t="s">
        <v>28511</v>
      </c>
      <c r="C6121">
        <v>54</v>
      </c>
      <c r="D6121">
        <v>1</v>
      </c>
      <c r="E6121">
        <v>26</v>
      </c>
      <c r="F6121">
        <v>6781</v>
      </c>
      <c r="G6121">
        <f t="shared" si="95"/>
        <v>1577184417</v>
      </c>
    </row>
    <row r="6122" spans="1:7" x14ac:dyDescent="0.25">
      <c r="A6122">
        <v>1577184436</v>
      </c>
      <c r="B6122" s="402" t="s">
        <v>28512</v>
      </c>
      <c r="C6122">
        <v>118</v>
      </c>
      <c r="D6122">
        <v>3</v>
      </c>
      <c r="E6122">
        <v>7750</v>
      </c>
      <c r="F6122">
        <v>1932</v>
      </c>
      <c r="G6122">
        <f t="shared" si="95"/>
        <v>1577184436</v>
      </c>
    </row>
    <row r="6123" spans="1:7" x14ac:dyDescent="0.25">
      <c r="A6123">
        <v>1577184445</v>
      </c>
      <c r="B6123" t="s">
        <v>28513</v>
      </c>
      <c r="C6123">
        <v>118</v>
      </c>
      <c r="D6123">
        <v>1</v>
      </c>
      <c r="E6123">
        <v>6178</v>
      </c>
      <c r="F6123">
        <v>2239</v>
      </c>
      <c r="G6123">
        <f t="shared" si="95"/>
        <v>1577184445</v>
      </c>
    </row>
    <row r="6124" spans="1:7" x14ac:dyDescent="0.25">
      <c r="A6124">
        <v>1577184447</v>
      </c>
      <c r="B6124" t="s">
        <v>1206</v>
      </c>
      <c r="C6124">
        <v>118</v>
      </c>
      <c r="D6124">
        <v>2</v>
      </c>
      <c r="E6124">
        <v>3902</v>
      </c>
      <c r="F6124">
        <v>2786</v>
      </c>
      <c r="G6124">
        <f t="shared" si="95"/>
        <v>1577184447</v>
      </c>
    </row>
    <row r="6125" spans="1:7" x14ac:dyDescent="0.25">
      <c r="A6125">
        <v>1577184451</v>
      </c>
      <c r="B6125" t="s">
        <v>28514</v>
      </c>
      <c r="C6125">
        <v>79</v>
      </c>
      <c r="D6125">
        <v>1</v>
      </c>
      <c r="E6125">
        <v>6114</v>
      </c>
      <c r="F6125">
        <v>2249</v>
      </c>
      <c r="G6125">
        <f t="shared" si="95"/>
        <v>1577184451</v>
      </c>
    </row>
    <row r="6126" spans="1:7" x14ac:dyDescent="0.25">
      <c r="A6126">
        <v>1577184469</v>
      </c>
      <c r="B6126" t="s">
        <v>28515</v>
      </c>
      <c r="C6126">
        <v>1173</v>
      </c>
      <c r="D6126">
        <v>0</v>
      </c>
      <c r="E6126">
        <v>0</v>
      </c>
      <c r="F6126">
        <v>8055</v>
      </c>
      <c r="G6126">
        <f t="shared" si="95"/>
        <v>1577184469</v>
      </c>
    </row>
    <row r="6127" spans="1:7" x14ac:dyDescent="0.25">
      <c r="A6127">
        <v>1577184495</v>
      </c>
      <c r="B6127" t="s">
        <v>28516</v>
      </c>
      <c r="C6127">
        <v>1643</v>
      </c>
      <c r="D6127">
        <v>1</v>
      </c>
      <c r="E6127">
        <v>496</v>
      </c>
      <c r="F6127">
        <v>4650</v>
      </c>
      <c r="G6127">
        <f t="shared" si="95"/>
        <v>1577184495</v>
      </c>
    </row>
    <row r="6128" spans="1:7" x14ac:dyDescent="0.25">
      <c r="A6128">
        <v>1577184499</v>
      </c>
      <c r="B6128" t="s">
        <v>37024</v>
      </c>
      <c r="C6128">
        <v>321</v>
      </c>
      <c r="D6128">
        <v>2</v>
      </c>
      <c r="E6128">
        <v>12526</v>
      </c>
      <c r="F6128">
        <v>1230</v>
      </c>
      <c r="G6128">
        <f t="shared" si="95"/>
        <v>1577184499</v>
      </c>
    </row>
    <row r="6129" spans="1:7" x14ac:dyDescent="0.25">
      <c r="A6129">
        <v>1577184564</v>
      </c>
      <c r="B6129" t="s">
        <v>28517</v>
      </c>
      <c r="C6129">
        <v>58</v>
      </c>
      <c r="D6129">
        <v>5</v>
      </c>
      <c r="E6129">
        <v>23420</v>
      </c>
      <c r="F6129">
        <v>461</v>
      </c>
      <c r="G6129">
        <f t="shared" si="95"/>
        <v>1577184564</v>
      </c>
    </row>
    <row r="6130" spans="1:7" x14ac:dyDescent="0.25">
      <c r="A6130">
        <v>1577184567</v>
      </c>
      <c r="B6130" t="s">
        <v>28518</v>
      </c>
      <c r="C6130">
        <v>1340</v>
      </c>
      <c r="D6130">
        <v>2</v>
      </c>
      <c r="E6130">
        <v>6571</v>
      </c>
      <c r="F6130">
        <v>2148</v>
      </c>
      <c r="G6130">
        <f t="shared" si="95"/>
        <v>1577184567</v>
      </c>
    </row>
    <row r="6131" spans="1:7" x14ac:dyDescent="0.25">
      <c r="A6131">
        <v>1577184584</v>
      </c>
      <c r="B6131" t="s">
        <v>37069</v>
      </c>
      <c r="C6131">
        <v>1602</v>
      </c>
      <c r="D6131">
        <v>1</v>
      </c>
      <c r="E6131">
        <v>425</v>
      </c>
      <c r="F6131">
        <v>4793</v>
      </c>
      <c r="G6131">
        <f t="shared" si="95"/>
        <v>1577184584</v>
      </c>
    </row>
    <row r="6132" spans="1:7" x14ac:dyDescent="0.25">
      <c r="A6132">
        <v>1577184588</v>
      </c>
      <c r="B6132" t="s">
        <v>28519</v>
      </c>
      <c r="C6132">
        <v>0</v>
      </c>
      <c r="D6132">
        <v>0</v>
      </c>
      <c r="E6132">
        <v>0</v>
      </c>
      <c r="F6132">
        <v>8056</v>
      </c>
      <c r="G6132">
        <f t="shared" si="95"/>
        <v>1577184588</v>
      </c>
    </row>
    <row r="6133" spans="1:7" x14ac:dyDescent="0.25">
      <c r="A6133">
        <v>1577184594</v>
      </c>
      <c r="B6133" t="s">
        <v>28520</v>
      </c>
      <c r="C6133">
        <v>53</v>
      </c>
      <c r="D6133">
        <v>1</v>
      </c>
      <c r="E6133">
        <v>4489</v>
      </c>
      <c r="F6133">
        <v>2624</v>
      </c>
      <c r="G6133">
        <f t="shared" si="95"/>
        <v>1577184594</v>
      </c>
    </row>
    <row r="6134" spans="1:7" x14ac:dyDescent="0.25">
      <c r="A6134">
        <v>1577184597</v>
      </c>
      <c r="B6134" t="s">
        <v>28521</v>
      </c>
      <c r="C6134">
        <v>0</v>
      </c>
      <c r="D6134">
        <v>1</v>
      </c>
      <c r="E6134">
        <v>26</v>
      </c>
      <c r="F6134">
        <v>6782</v>
      </c>
      <c r="G6134">
        <f t="shared" si="95"/>
        <v>1577184597</v>
      </c>
    </row>
    <row r="6135" spans="1:7" x14ac:dyDescent="0.25">
      <c r="A6135">
        <v>1577184604</v>
      </c>
      <c r="B6135" t="s">
        <v>36745</v>
      </c>
      <c r="C6135">
        <v>23</v>
      </c>
      <c r="D6135">
        <v>2</v>
      </c>
      <c r="E6135">
        <v>15157</v>
      </c>
      <c r="F6135">
        <v>982</v>
      </c>
      <c r="G6135">
        <f t="shared" si="95"/>
        <v>1577184604</v>
      </c>
    </row>
    <row r="6136" spans="1:7" x14ac:dyDescent="0.25">
      <c r="A6136">
        <v>1577184624</v>
      </c>
      <c r="B6136" t="s">
        <v>1783</v>
      </c>
      <c r="C6136">
        <v>0</v>
      </c>
      <c r="D6136">
        <v>3</v>
      </c>
      <c r="E6136">
        <v>10359</v>
      </c>
      <c r="F6136">
        <v>1518</v>
      </c>
      <c r="G6136">
        <f t="shared" si="95"/>
        <v>1577184624</v>
      </c>
    </row>
    <row r="6137" spans="1:7" x14ac:dyDescent="0.25">
      <c r="A6137">
        <v>1577184633</v>
      </c>
      <c r="B6137" t="s">
        <v>28522</v>
      </c>
      <c r="C6137">
        <v>0</v>
      </c>
      <c r="D6137">
        <v>1</v>
      </c>
      <c r="E6137">
        <v>26</v>
      </c>
      <c r="F6137">
        <v>6783</v>
      </c>
      <c r="G6137">
        <f t="shared" si="95"/>
        <v>1577184633</v>
      </c>
    </row>
    <row r="6138" spans="1:7" x14ac:dyDescent="0.25">
      <c r="A6138">
        <v>1577184638</v>
      </c>
      <c r="B6138" t="s">
        <v>28523</v>
      </c>
      <c r="C6138">
        <v>20</v>
      </c>
      <c r="D6138">
        <v>3</v>
      </c>
      <c r="E6138">
        <v>16315</v>
      </c>
      <c r="F6138">
        <v>890</v>
      </c>
      <c r="G6138">
        <f t="shared" si="95"/>
        <v>1577184638</v>
      </c>
    </row>
    <row r="6139" spans="1:7" x14ac:dyDescent="0.25">
      <c r="A6139">
        <v>1577184672</v>
      </c>
      <c r="B6139" t="s">
        <v>28524</v>
      </c>
      <c r="C6139">
        <v>3</v>
      </c>
      <c r="D6139">
        <v>5</v>
      </c>
      <c r="E6139">
        <v>22678</v>
      </c>
      <c r="F6139">
        <v>486</v>
      </c>
      <c r="G6139">
        <f t="shared" si="95"/>
        <v>1577184672</v>
      </c>
    </row>
    <row r="6140" spans="1:7" x14ac:dyDescent="0.25">
      <c r="A6140">
        <v>1577184716</v>
      </c>
      <c r="B6140" t="s">
        <v>28525</v>
      </c>
      <c r="C6140">
        <v>294</v>
      </c>
      <c r="D6140">
        <v>2</v>
      </c>
      <c r="E6140">
        <v>8147</v>
      </c>
      <c r="F6140">
        <v>1852</v>
      </c>
      <c r="G6140">
        <f t="shared" si="95"/>
        <v>1577184716</v>
      </c>
    </row>
    <row r="6141" spans="1:7" x14ac:dyDescent="0.25">
      <c r="A6141">
        <v>1577184740</v>
      </c>
      <c r="B6141" t="s">
        <v>28526</v>
      </c>
      <c r="C6141">
        <v>534</v>
      </c>
      <c r="D6141">
        <v>1</v>
      </c>
      <c r="E6141">
        <v>8755</v>
      </c>
      <c r="F6141">
        <v>1790</v>
      </c>
      <c r="G6141">
        <f t="shared" si="95"/>
        <v>1577184740</v>
      </c>
    </row>
    <row r="6142" spans="1:7" x14ac:dyDescent="0.25">
      <c r="A6142">
        <v>1577184776</v>
      </c>
      <c r="B6142" t="s">
        <v>28527</v>
      </c>
      <c r="C6142">
        <v>23</v>
      </c>
      <c r="D6142">
        <v>1</v>
      </c>
      <c r="E6142">
        <v>6132</v>
      </c>
      <c r="F6142">
        <v>2247</v>
      </c>
      <c r="G6142">
        <f t="shared" si="95"/>
        <v>1577184776</v>
      </c>
    </row>
    <row r="6143" spans="1:7" x14ac:dyDescent="0.25">
      <c r="A6143">
        <v>1577184777</v>
      </c>
      <c r="B6143" s="402">
        <v>259383</v>
      </c>
      <c r="C6143">
        <v>0</v>
      </c>
      <c r="D6143">
        <v>1</v>
      </c>
      <c r="E6143">
        <v>29</v>
      </c>
      <c r="F6143">
        <v>6326</v>
      </c>
      <c r="G6143">
        <f t="shared" si="95"/>
        <v>1577184777</v>
      </c>
    </row>
    <row r="6144" spans="1:7" x14ac:dyDescent="0.25">
      <c r="A6144">
        <v>1577184786</v>
      </c>
      <c r="B6144" t="s">
        <v>28528</v>
      </c>
      <c r="C6144">
        <v>23</v>
      </c>
      <c r="D6144">
        <v>2</v>
      </c>
      <c r="E6144">
        <v>12030</v>
      </c>
      <c r="F6144">
        <v>1281</v>
      </c>
      <c r="G6144">
        <f t="shared" si="95"/>
        <v>1577184786</v>
      </c>
    </row>
    <row r="6145" spans="1:7" x14ac:dyDescent="0.25">
      <c r="A6145">
        <v>1577184792</v>
      </c>
      <c r="B6145" t="s">
        <v>36746</v>
      </c>
      <c r="C6145">
        <v>0</v>
      </c>
      <c r="D6145">
        <v>1</v>
      </c>
      <c r="E6145">
        <v>275</v>
      </c>
      <c r="F6145">
        <v>5207</v>
      </c>
      <c r="G6145">
        <f t="shared" ref="G6145:G6208" si="96">A6145</f>
        <v>1577184792</v>
      </c>
    </row>
    <row r="6146" spans="1:7" x14ac:dyDescent="0.25">
      <c r="A6146">
        <v>1577184801</v>
      </c>
      <c r="B6146" t="s">
        <v>28529</v>
      </c>
      <c r="C6146">
        <v>0</v>
      </c>
      <c r="D6146">
        <v>0</v>
      </c>
      <c r="E6146">
        <v>0</v>
      </c>
      <c r="F6146">
        <v>8057</v>
      </c>
      <c r="G6146">
        <f t="shared" si="96"/>
        <v>1577184801</v>
      </c>
    </row>
    <row r="6147" spans="1:7" x14ac:dyDescent="0.25">
      <c r="A6147">
        <v>1577184804</v>
      </c>
      <c r="B6147" t="s">
        <v>28530</v>
      </c>
      <c r="C6147">
        <v>0</v>
      </c>
      <c r="D6147">
        <v>1</v>
      </c>
      <c r="E6147">
        <v>604</v>
      </c>
      <c r="F6147">
        <v>4465</v>
      </c>
      <c r="G6147">
        <f t="shared" si="96"/>
        <v>1577184804</v>
      </c>
    </row>
    <row r="6148" spans="1:7" x14ac:dyDescent="0.25">
      <c r="A6148">
        <v>1577184828</v>
      </c>
      <c r="B6148" t="s">
        <v>28531</v>
      </c>
      <c r="C6148">
        <v>0</v>
      </c>
      <c r="D6148">
        <v>1</v>
      </c>
      <c r="E6148">
        <v>383</v>
      </c>
      <c r="F6148">
        <v>4892</v>
      </c>
      <c r="G6148">
        <f t="shared" si="96"/>
        <v>1577184828</v>
      </c>
    </row>
    <row r="6149" spans="1:7" x14ac:dyDescent="0.25">
      <c r="A6149">
        <v>1577184842</v>
      </c>
      <c r="B6149" t="s">
        <v>28532</v>
      </c>
      <c r="C6149">
        <v>1753</v>
      </c>
      <c r="D6149">
        <v>1</v>
      </c>
      <c r="E6149">
        <v>1111</v>
      </c>
      <c r="F6149">
        <v>3864</v>
      </c>
      <c r="G6149">
        <f t="shared" si="96"/>
        <v>1577184842</v>
      </c>
    </row>
    <row r="6150" spans="1:7" x14ac:dyDescent="0.25">
      <c r="A6150">
        <v>1577184856</v>
      </c>
      <c r="B6150" t="s">
        <v>28533</v>
      </c>
      <c r="C6150">
        <v>0</v>
      </c>
      <c r="D6150">
        <v>1</v>
      </c>
      <c r="E6150">
        <v>856</v>
      </c>
      <c r="F6150">
        <v>4168</v>
      </c>
      <c r="G6150">
        <f t="shared" si="96"/>
        <v>1577184856</v>
      </c>
    </row>
    <row r="6151" spans="1:7" x14ac:dyDescent="0.25">
      <c r="A6151">
        <v>1577184858</v>
      </c>
      <c r="B6151" t="s">
        <v>28534</v>
      </c>
      <c r="C6151">
        <v>0</v>
      </c>
      <c r="D6151">
        <v>1</v>
      </c>
      <c r="E6151">
        <v>210</v>
      </c>
      <c r="F6151">
        <v>5463</v>
      </c>
      <c r="G6151">
        <f t="shared" si="96"/>
        <v>1577184858</v>
      </c>
    </row>
    <row r="6152" spans="1:7" x14ac:dyDescent="0.25">
      <c r="A6152">
        <v>1577184870</v>
      </c>
      <c r="B6152" t="s">
        <v>28535</v>
      </c>
      <c r="C6152">
        <v>122</v>
      </c>
      <c r="D6152">
        <v>4</v>
      </c>
      <c r="E6152">
        <v>17810</v>
      </c>
      <c r="F6152">
        <v>764</v>
      </c>
      <c r="G6152">
        <f t="shared" si="96"/>
        <v>1577184870</v>
      </c>
    </row>
    <row r="6153" spans="1:7" x14ac:dyDescent="0.25">
      <c r="A6153">
        <v>1577184884</v>
      </c>
      <c r="B6153" t="s">
        <v>28536</v>
      </c>
      <c r="C6153">
        <v>1775</v>
      </c>
      <c r="D6153">
        <v>1</v>
      </c>
      <c r="E6153">
        <v>3165</v>
      </c>
      <c r="F6153">
        <v>2952</v>
      </c>
      <c r="G6153">
        <f t="shared" si="96"/>
        <v>1577184884</v>
      </c>
    </row>
    <row r="6154" spans="1:7" x14ac:dyDescent="0.25">
      <c r="A6154">
        <v>1577184889</v>
      </c>
      <c r="B6154" t="s">
        <v>28537</v>
      </c>
      <c r="C6154">
        <v>186</v>
      </c>
      <c r="D6154">
        <v>1</v>
      </c>
      <c r="E6154">
        <v>2530</v>
      </c>
      <c r="F6154">
        <v>3127</v>
      </c>
      <c r="G6154">
        <f t="shared" si="96"/>
        <v>1577184889</v>
      </c>
    </row>
    <row r="6155" spans="1:7" x14ac:dyDescent="0.25">
      <c r="A6155">
        <v>1577184890</v>
      </c>
      <c r="B6155" t="s">
        <v>28538</v>
      </c>
      <c r="C6155">
        <v>0</v>
      </c>
      <c r="D6155">
        <v>1</v>
      </c>
      <c r="E6155">
        <v>414</v>
      </c>
      <c r="F6155">
        <v>4819</v>
      </c>
      <c r="G6155">
        <f t="shared" si="96"/>
        <v>1577184890</v>
      </c>
    </row>
    <row r="6156" spans="1:7" x14ac:dyDescent="0.25">
      <c r="A6156">
        <v>1577184925</v>
      </c>
      <c r="B6156" t="s">
        <v>28539</v>
      </c>
      <c r="C6156">
        <v>0</v>
      </c>
      <c r="D6156">
        <v>1</v>
      </c>
      <c r="E6156">
        <v>956</v>
      </c>
      <c r="F6156">
        <v>4037</v>
      </c>
      <c r="G6156">
        <f t="shared" si="96"/>
        <v>1577184925</v>
      </c>
    </row>
    <row r="6157" spans="1:7" x14ac:dyDescent="0.25">
      <c r="A6157">
        <v>1577184936</v>
      </c>
      <c r="B6157" t="s">
        <v>28540</v>
      </c>
      <c r="C6157">
        <v>0</v>
      </c>
      <c r="D6157">
        <v>0</v>
      </c>
      <c r="E6157">
        <v>0</v>
      </c>
      <c r="F6157">
        <v>8058</v>
      </c>
      <c r="G6157">
        <f t="shared" si="96"/>
        <v>1577184936</v>
      </c>
    </row>
    <row r="6158" spans="1:7" x14ac:dyDescent="0.25">
      <c r="A6158">
        <v>1577184946</v>
      </c>
      <c r="B6158" t="s">
        <v>28541</v>
      </c>
      <c r="C6158">
        <v>0</v>
      </c>
      <c r="D6158">
        <v>1</v>
      </c>
      <c r="E6158">
        <v>26</v>
      </c>
      <c r="F6158">
        <v>6784</v>
      </c>
      <c r="G6158">
        <f t="shared" si="96"/>
        <v>1577184946</v>
      </c>
    </row>
    <row r="6159" spans="1:7" x14ac:dyDescent="0.25">
      <c r="A6159">
        <v>1577184963</v>
      </c>
      <c r="B6159" t="s">
        <v>37179</v>
      </c>
      <c r="C6159">
        <v>0</v>
      </c>
      <c r="D6159">
        <v>0</v>
      </c>
      <c r="E6159">
        <v>0</v>
      </c>
      <c r="F6159">
        <v>8059</v>
      </c>
      <c r="G6159">
        <f t="shared" si="96"/>
        <v>1577184963</v>
      </c>
    </row>
    <row r="6160" spans="1:7" x14ac:dyDescent="0.25">
      <c r="A6160">
        <v>1577184974</v>
      </c>
      <c r="B6160" t="s">
        <v>28542</v>
      </c>
      <c r="C6160">
        <v>0</v>
      </c>
      <c r="D6160">
        <v>0</v>
      </c>
      <c r="E6160">
        <v>0</v>
      </c>
      <c r="F6160">
        <v>8060</v>
      </c>
      <c r="G6160">
        <f t="shared" si="96"/>
        <v>1577184974</v>
      </c>
    </row>
    <row r="6161" spans="1:7" x14ac:dyDescent="0.25">
      <c r="A6161">
        <v>1577184998</v>
      </c>
      <c r="B6161" t="s">
        <v>28543</v>
      </c>
      <c r="C6161">
        <v>0</v>
      </c>
      <c r="D6161">
        <v>0</v>
      </c>
      <c r="E6161">
        <v>0</v>
      </c>
      <c r="F6161">
        <v>8061</v>
      </c>
      <c r="G6161">
        <f t="shared" si="96"/>
        <v>1577184998</v>
      </c>
    </row>
    <row r="6162" spans="1:7" x14ac:dyDescent="0.25">
      <c r="A6162">
        <v>1577185051</v>
      </c>
      <c r="B6162" t="s">
        <v>28544</v>
      </c>
      <c r="C6162">
        <v>48</v>
      </c>
      <c r="D6162">
        <v>4</v>
      </c>
      <c r="E6162">
        <v>7037</v>
      </c>
      <c r="F6162">
        <v>2058</v>
      </c>
      <c r="G6162">
        <f t="shared" si="96"/>
        <v>1577185051</v>
      </c>
    </row>
    <row r="6163" spans="1:7" x14ac:dyDescent="0.25">
      <c r="A6163">
        <v>1577185059</v>
      </c>
      <c r="B6163" t="s">
        <v>28545</v>
      </c>
      <c r="C6163">
        <v>0</v>
      </c>
      <c r="D6163">
        <v>1</v>
      </c>
      <c r="E6163">
        <v>3003</v>
      </c>
      <c r="F6163">
        <v>2996</v>
      </c>
      <c r="G6163">
        <f t="shared" si="96"/>
        <v>1577185059</v>
      </c>
    </row>
    <row r="6164" spans="1:7" x14ac:dyDescent="0.25">
      <c r="A6164">
        <v>1577185062</v>
      </c>
      <c r="B6164" t="s">
        <v>28546</v>
      </c>
      <c r="C6164">
        <v>534</v>
      </c>
      <c r="D6164">
        <v>2</v>
      </c>
      <c r="E6164">
        <v>6197</v>
      </c>
      <c r="F6164">
        <v>2234</v>
      </c>
      <c r="G6164">
        <f t="shared" si="96"/>
        <v>1577185062</v>
      </c>
    </row>
    <row r="6165" spans="1:7" x14ac:dyDescent="0.25">
      <c r="A6165">
        <v>1577185084</v>
      </c>
      <c r="B6165" t="s">
        <v>28547</v>
      </c>
      <c r="C6165">
        <v>1946</v>
      </c>
      <c r="D6165">
        <v>1</v>
      </c>
      <c r="E6165">
        <v>4742</v>
      </c>
      <c r="F6165">
        <v>2564</v>
      </c>
      <c r="G6165">
        <f t="shared" si="96"/>
        <v>1577185084</v>
      </c>
    </row>
    <row r="6166" spans="1:7" x14ac:dyDescent="0.25">
      <c r="A6166">
        <v>1577185089</v>
      </c>
      <c r="B6166" t="s">
        <v>28548</v>
      </c>
      <c r="C6166">
        <v>0</v>
      </c>
      <c r="D6166">
        <v>0</v>
      </c>
      <c r="E6166">
        <v>0</v>
      </c>
      <c r="F6166">
        <v>8062</v>
      </c>
      <c r="G6166">
        <f t="shared" si="96"/>
        <v>1577185089</v>
      </c>
    </row>
    <row r="6167" spans="1:7" x14ac:dyDescent="0.25">
      <c r="A6167">
        <v>1577185119</v>
      </c>
      <c r="B6167" t="s">
        <v>28549</v>
      </c>
      <c r="C6167">
        <v>0</v>
      </c>
      <c r="D6167">
        <v>0</v>
      </c>
      <c r="E6167">
        <v>0</v>
      </c>
      <c r="F6167">
        <v>8063</v>
      </c>
      <c r="G6167">
        <f t="shared" si="96"/>
        <v>1577185119</v>
      </c>
    </row>
    <row r="6168" spans="1:7" x14ac:dyDescent="0.25">
      <c r="A6168">
        <v>1577185130</v>
      </c>
      <c r="B6168" t="s">
        <v>28550</v>
      </c>
      <c r="C6168">
        <v>274</v>
      </c>
      <c r="D6168">
        <v>1</v>
      </c>
      <c r="E6168">
        <v>3418</v>
      </c>
      <c r="F6168">
        <v>2897</v>
      </c>
      <c r="G6168">
        <f t="shared" si="96"/>
        <v>1577185130</v>
      </c>
    </row>
    <row r="6169" spans="1:7" x14ac:dyDescent="0.25">
      <c r="A6169">
        <v>1577185162</v>
      </c>
      <c r="B6169" t="s">
        <v>36747</v>
      </c>
      <c r="C6169">
        <v>0</v>
      </c>
      <c r="D6169">
        <v>0</v>
      </c>
      <c r="E6169">
        <v>0</v>
      </c>
      <c r="F6169">
        <v>8064</v>
      </c>
      <c r="G6169">
        <f t="shared" si="96"/>
        <v>1577185162</v>
      </c>
    </row>
    <row r="6170" spans="1:7" x14ac:dyDescent="0.25">
      <c r="A6170">
        <v>1577185189</v>
      </c>
      <c r="B6170" t="s">
        <v>28551</v>
      </c>
      <c r="C6170">
        <v>0</v>
      </c>
      <c r="D6170">
        <v>1</v>
      </c>
      <c r="E6170">
        <v>26</v>
      </c>
      <c r="F6170">
        <v>6785</v>
      </c>
      <c r="G6170">
        <f t="shared" si="96"/>
        <v>1577185189</v>
      </c>
    </row>
    <row r="6171" spans="1:7" x14ac:dyDescent="0.25">
      <c r="A6171">
        <v>1577185253</v>
      </c>
      <c r="B6171" t="s">
        <v>36748</v>
      </c>
      <c r="C6171">
        <v>0</v>
      </c>
      <c r="D6171">
        <v>1</v>
      </c>
      <c r="E6171">
        <v>678</v>
      </c>
      <c r="F6171">
        <v>4373</v>
      </c>
      <c r="G6171">
        <f t="shared" si="96"/>
        <v>1577185253</v>
      </c>
    </row>
    <row r="6172" spans="1:7" x14ac:dyDescent="0.25">
      <c r="A6172">
        <v>1577185269</v>
      </c>
      <c r="B6172" t="s">
        <v>28552</v>
      </c>
      <c r="C6172">
        <v>0</v>
      </c>
      <c r="D6172">
        <v>1</v>
      </c>
      <c r="E6172">
        <v>409</v>
      </c>
      <c r="F6172">
        <v>4830</v>
      </c>
      <c r="G6172">
        <f t="shared" si="96"/>
        <v>1577185269</v>
      </c>
    </row>
    <row r="6173" spans="1:7" x14ac:dyDescent="0.25">
      <c r="A6173">
        <v>1577185289</v>
      </c>
      <c r="B6173" t="s">
        <v>28553</v>
      </c>
      <c r="C6173">
        <v>0</v>
      </c>
      <c r="D6173">
        <v>0</v>
      </c>
      <c r="E6173">
        <v>0</v>
      </c>
      <c r="F6173">
        <v>8065</v>
      </c>
      <c r="G6173">
        <f t="shared" si="96"/>
        <v>1577185289</v>
      </c>
    </row>
    <row r="6174" spans="1:7" x14ac:dyDescent="0.25">
      <c r="A6174">
        <v>1577185308</v>
      </c>
      <c r="B6174" t="s">
        <v>28554</v>
      </c>
      <c r="C6174">
        <v>0</v>
      </c>
      <c r="D6174">
        <v>1</v>
      </c>
      <c r="E6174">
        <v>133</v>
      </c>
      <c r="F6174">
        <v>5757</v>
      </c>
      <c r="G6174">
        <f t="shared" si="96"/>
        <v>1577185308</v>
      </c>
    </row>
    <row r="6175" spans="1:7" x14ac:dyDescent="0.25">
      <c r="A6175">
        <v>1577185335</v>
      </c>
      <c r="B6175" t="s">
        <v>36749</v>
      </c>
      <c r="C6175">
        <v>0</v>
      </c>
      <c r="D6175">
        <v>0</v>
      </c>
      <c r="E6175">
        <v>0</v>
      </c>
      <c r="F6175">
        <v>8066</v>
      </c>
      <c r="G6175">
        <f t="shared" si="96"/>
        <v>1577185335</v>
      </c>
    </row>
    <row r="6176" spans="1:7" x14ac:dyDescent="0.25">
      <c r="A6176">
        <v>1577185393</v>
      </c>
      <c r="B6176" t="s">
        <v>28555</v>
      </c>
      <c r="C6176">
        <v>1946</v>
      </c>
      <c r="D6176">
        <v>0</v>
      </c>
      <c r="E6176">
        <v>0</v>
      </c>
      <c r="F6176">
        <v>8067</v>
      </c>
      <c r="G6176">
        <f t="shared" si="96"/>
        <v>1577185393</v>
      </c>
    </row>
    <row r="6177" spans="1:7" x14ac:dyDescent="0.25">
      <c r="A6177">
        <v>1577185411</v>
      </c>
      <c r="B6177" t="s">
        <v>28556</v>
      </c>
      <c r="C6177">
        <v>0</v>
      </c>
      <c r="D6177">
        <v>1</v>
      </c>
      <c r="E6177">
        <v>739</v>
      </c>
      <c r="F6177">
        <v>4282</v>
      </c>
      <c r="G6177">
        <f t="shared" si="96"/>
        <v>1577185411</v>
      </c>
    </row>
    <row r="6178" spans="1:7" x14ac:dyDescent="0.25">
      <c r="A6178">
        <v>1577185420</v>
      </c>
      <c r="B6178" t="s">
        <v>28557</v>
      </c>
      <c r="C6178">
        <v>1914</v>
      </c>
      <c r="D6178">
        <v>1</v>
      </c>
      <c r="E6178">
        <v>672</v>
      </c>
      <c r="F6178">
        <v>4417</v>
      </c>
      <c r="G6178">
        <f t="shared" si="96"/>
        <v>1577185420</v>
      </c>
    </row>
    <row r="6179" spans="1:7" x14ac:dyDescent="0.25">
      <c r="A6179">
        <v>1577185442</v>
      </c>
      <c r="B6179" t="s">
        <v>28558</v>
      </c>
      <c r="C6179">
        <v>552</v>
      </c>
      <c r="D6179">
        <v>2</v>
      </c>
      <c r="E6179">
        <v>12400</v>
      </c>
      <c r="F6179">
        <v>1240</v>
      </c>
      <c r="G6179">
        <f t="shared" si="96"/>
        <v>1577185442</v>
      </c>
    </row>
    <row r="6180" spans="1:7" x14ac:dyDescent="0.25">
      <c r="A6180">
        <v>1577185450</v>
      </c>
      <c r="B6180" t="s">
        <v>28559</v>
      </c>
      <c r="C6180">
        <v>0</v>
      </c>
      <c r="D6180">
        <v>0</v>
      </c>
      <c r="E6180">
        <v>0</v>
      </c>
      <c r="F6180">
        <v>8068</v>
      </c>
      <c r="G6180">
        <f t="shared" si="96"/>
        <v>1577185450</v>
      </c>
    </row>
    <row r="6181" spans="1:7" x14ac:dyDescent="0.25">
      <c r="A6181">
        <v>1577185467</v>
      </c>
      <c r="B6181" t="s">
        <v>37025</v>
      </c>
      <c r="C6181">
        <v>1413</v>
      </c>
      <c r="D6181">
        <v>1</v>
      </c>
      <c r="E6181">
        <v>2635</v>
      </c>
      <c r="F6181">
        <v>3088</v>
      </c>
      <c r="G6181">
        <f t="shared" si="96"/>
        <v>1577185467</v>
      </c>
    </row>
    <row r="6182" spans="1:7" x14ac:dyDescent="0.25">
      <c r="A6182">
        <v>1577185469</v>
      </c>
      <c r="B6182" t="s">
        <v>28560</v>
      </c>
      <c r="C6182">
        <v>1357</v>
      </c>
      <c r="D6182">
        <v>1</v>
      </c>
      <c r="E6182">
        <v>604</v>
      </c>
      <c r="F6182">
        <v>4494</v>
      </c>
      <c r="G6182">
        <f t="shared" si="96"/>
        <v>1577185469</v>
      </c>
    </row>
    <row r="6183" spans="1:7" x14ac:dyDescent="0.25">
      <c r="A6183">
        <v>1577185475</v>
      </c>
      <c r="B6183" t="s">
        <v>28561</v>
      </c>
      <c r="C6183">
        <v>115</v>
      </c>
      <c r="D6183">
        <v>3</v>
      </c>
      <c r="E6183">
        <v>15251</v>
      </c>
      <c r="F6183">
        <v>966</v>
      </c>
      <c r="G6183">
        <f t="shared" si="96"/>
        <v>1577185475</v>
      </c>
    </row>
    <row r="6184" spans="1:7" x14ac:dyDescent="0.25">
      <c r="A6184">
        <v>1577185478</v>
      </c>
      <c r="B6184" t="s">
        <v>28562</v>
      </c>
      <c r="C6184">
        <v>534</v>
      </c>
      <c r="D6184">
        <v>3</v>
      </c>
      <c r="E6184">
        <v>12493</v>
      </c>
      <c r="F6184">
        <v>1229</v>
      </c>
      <c r="G6184">
        <f t="shared" si="96"/>
        <v>1577185478</v>
      </c>
    </row>
    <row r="6185" spans="1:7" x14ac:dyDescent="0.25">
      <c r="A6185">
        <v>1577185487</v>
      </c>
      <c r="B6185" t="s">
        <v>28563</v>
      </c>
      <c r="C6185">
        <v>250</v>
      </c>
      <c r="D6185">
        <v>1</v>
      </c>
      <c r="E6185">
        <v>472</v>
      </c>
      <c r="F6185">
        <v>4694</v>
      </c>
      <c r="G6185">
        <f t="shared" si="96"/>
        <v>1577185487</v>
      </c>
    </row>
    <row r="6186" spans="1:7" x14ac:dyDescent="0.25">
      <c r="A6186">
        <v>1577185499</v>
      </c>
      <c r="B6186" t="s">
        <v>36750</v>
      </c>
      <c r="C6186">
        <v>1699</v>
      </c>
      <c r="D6186">
        <v>1</v>
      </c>
      <c r="E6186">
        <v>6535</v>
      </c>
      <c r="F6186">
        <v>2156</v>
      </c>
      <c r="G6186">
        <f t="shared" si="96"/>
        <v>1577185499</v>
      </c>
    </row>
    <row r="6187" spans="1:7" x14ac:dyDescent="0.25">
      <c r="A6187">
        <v>1577185502</v>
      </c>
      <c r="B6187" t="s">
        <v>28564</v>
      </c>
      <c r="C6187">
        <v>175</v>
      </c>
      <c r="D6187">
        <v>2</v>
      </c>
      <c r="E6187">
        <v>11892</v>
      </c>
      <c r="F6187">
        <v>1295</v>
      </c>
      <c r="G6187">
        <f t="shared" si="96"/>
        <v>1577185502</v>
      </c>
    </row>
    <row r="6188" spans="1:7" x14ac:dyDescent="0.25">
      <c r="A6188">
        <v>1577185523</v>
      </c>
      <c r="B6188" t="s">
        <v>28565</v>
      </c>
      <c r="C6188">
        <v>0</v>
      </c>
      <c r="D6188">
        <v>1</v>
      </c>
      <c r="E6188">
        <v>26</v>
      </c>
      <c r="F6188">
        <v>6786</v>
      </c>
      <c r="G6188">
        <f t="shared" si="96"/>
        <v>1577185523</v>
      </c>
    </row>
    <row r="6189" spans="1:7" x14ac:dyDescent="0.25">
      <c r="A6189">
        <v>1577185564</v>
      </c>
      <c r="B6189" t="s">
        <v>28566</v>
      </c>
      <c r="C6189">
        <v>53</v>
      </c>
      <c r="D6189">
        <v>4</v>
      </c>
      <c r="E6189">
        <v>16974</v>
      </c>
      <c r="F6189">
        <v>829</v>
      </c>
      <c r="G6189">
        <f t="shared" si="96"/>
        <v>1577185564</v>
      </c>
    </row>
    <row r="6190" spans="1:7" x14ac:dyDescent="0.25">
      <c r="A6190">
        <v>1577185565</v>
      </c>
      <c r="B6190" t="s">
        <v>28567</v>
      </c>
      <c r="C6190">
        <v>0</v>
      </c>
      <c r="D6190">
        <v>1</v>
      </c>
      <c r="E6190">
        <v>594</v>
      </c>
      <c r="F6190">
        <v>4483</v>
      </c>
      <c r="G6190">
        <f t="shared" si="96"/>
        <v>1577185565</v>
      </c>
    </row>
    <row r="6191" spans="1:7" x14ac:dyDescent="0.25">
      <c r="A6191">
        <v>1577185573</v>
      </c>
      <c r="B6191" t="s">
        <v>28568</v>
      </c>
      <c r="C6191">
        <v>0</v>
      </c>
      <c r="D6191">
        <v>0</v>
      </c>
      <c r="E6191">
        <v>0</v>
      </c>
      <c r="F6191">
        <v>8069</v>
      </c>
      <c r="G6191">
        <f t="shared" si="96"/>
        <v>1577185573</v>
      </c>
    </row>
    <row r="6192" spans="1:7" x14ac:dyDescent="0.25">
      <c r="A6192">
        <v>1577185576</v>
      </c>
      <c r="B6192" t="s">
        <v>28569</v>
      </c>
      <c r="C6192">
        <v>20</v>
      </c>
      <c r="D6192">
        <v>2</v>
      </c>
      <c r="E6192">
        <v>10881</v>
      </c>
      <c r="F6192">
        <v>1436</v>
      </c>
      <c r="G6192">
        <f t="shared" si="96"/>
        <v>1577185576</v>
      </c>
    </row>
    <row r="6193" spans="1:7" x14ac:dyDescent="0.25">
      <c r="A6193">
        <v>1577185599</v>
      </c>
      <c r="B6193" t="s">
        <v>28570</v>
      </c>
      <c r="C6193">
        <v>0</v>
      </c>
      <c r="D6193">
        <v>0</v>
      </c>
      <c r="E6193">
        <v>0</v>
      </c>
      <c r="F6193">
        <v>8070</v>
      </c>
      <c r="G6193">
        <f t="shared" si="96"/>
        <v>1577185599</v>
      </c>
    </row>
    <row r="6194" spans="1:7" x14ac:dyDescent="0.25">
      <c r="A6194">
        <v>1577185603</v>
      </c>
      <c r="B6194" t="s">
        <v>28571</v>
      </c>
      <c r="C6194">
        <v>1858</v>
      </c>
      <c r="D6194">
        <v>1</v>
      </c>
      <c r="E6194">
        <v>790</v>
      </c>
      <c r="F6194">
        <v>4216</v>
      </c>
      <c r="G6194">
        <f t="shared" si="96"/>
        <v>1577185603</v>
      </c>
    </row>
    <row r="6195" spans="1:7" x14ac:dyDescent="0.25">
      <c r="A6195">
        <v>1577185611</v>
      </c>
      <c r="B6195" t="s">
        <v>28572</v>
      </c>
      <c r="C6195">
        <v>1143</v>
      </c>
      <c r="D6195">
        <v>1</v>
      </c>
      <c r="E6195">
        <v>456</v>
      </c>
      <c r="F6195">
        <v>4733</v>
      </c>
      <c r="G6195">
        <f t="shared" si="96"/>
        <v>1577185611</v>
      </c>
    </row>
    <row r="6196" spans="1:7" x14ac:dyDescent="0.25">
      <c r="A6196">
        <v>1577185639</v>
      </c>
      <c r="B6196" t="s">
        <v>28573</v>
      </c>
      <c r="C6196">
        <v>0</v>
      </c>
      <c r="D6196">
        <v>0</v>
      </c>
      <c r="E6196">
        <v>0</v>
      </c>
      <c r="F6196">
        <v>8071</v>
      </c>
      <c r="G6196">
        <f t="shared" si="96"/>
        <v>1577185639</v>
      </c>
    </row>
    <row r="6197" spans="1:7" x14ac:dyDescent="0.25">
      <c r="A6197">
        <v>1577185656</v>
      </c>
      <c r="B6197" t="s">
        <v>28574</v>
      </c>
      <c r="C6197">
        <v>552</v>
      </c>
      <c r="D6197">
        <v>2</v>
      </c>
      <c r="E6197">
        <v>11297</v>
      </c>
      <c r="F6197">
        <v>1373</v>
      </c>
      <c r="G6197">
        <f t="shared" si="96"/>
        <v>1577185656</v>
      </c>
    </row>
    <row r="6198" spans="1:7" x14ac:dyDescent="0.25">
      <c r="A6198">
        <v>1577185691</v>
      </c>
      <c r="B6198" t="s">
        <v>28575</v>
      </c>
      <c r="C6198">
        <v>443</v>
      </c>
      <c r="D6198">
        <v>2</v>
      </c>
      <c r="E6198">
        <v>5913</v>
      </c>
      <c r="F6198">
        <v>2308</v>
      </c>
      <c r="G6198">
        <f t="shared" si="96"/>
        <v>1577185691</v>
      </c>
    </row>
    <row r="6199" spans="1:7" x14ac:dyDescent="0.25">
      <c r="A6199">
        <v>1577185699</v>
      </c>
      <c r="B6199" t="s">
        <v>28576</v>
      </c>
      <c r="C6199">
        <v>1858</v>
      </c>
      <c r="D6199">
        <v>1</v>
      </c>
      <c r="E6199">
        <v>1279</v>
      </c>
      <c r="F6199">
        <v>3751</v>
      </c>
      <c r="G6199">
        <f t="shared" si="96"/>
        <v>1577185699</v>
      </c>
    </row>
    <row r="6200" spans="1:7" x14ac:dyDescent="0.25">
      <c r="A6200">
        <v>1577185713</v>
      </c>
      <c r="B6200" t="s">
        <v>28577</v>
      </c>
      <c r="C6200">
        <v>0</v>
      </c>
      <c r="D6200">
        <v>0</v>
      </c>
      <c r="E6200">
        <v>0</v>
      </c>
      <c r="F6200">
        <v>8072</v>
      </c>
      <c r="G6200">
        <f t="shared" si="96"/>
        <v>1577185713</v>
      </c>
    </row>
    <row r="6201" spans="1:7" x14ac:dyDescent="0.25">
      <c r="A6201">
        <v>1577185715</v>
      </c>
      <c r="B6201" t="s">
        <v>28578</v>
      </c>
      <c r="C6201">
        <v>0</v>
      </c>
      <c r="D6201">
        <v>0</v>
      </c>
      <c r="E6201">
        <v>0</v>
      </c>
      <c r="F6201">
        <v>8073</v>
      </c>
      <c r="G6201">
        <f t="shared" si="96"/>
        <v>1577185715</v>
      </c>
    </row>
    <row r="6202" spans="1:7" x14ac:dyDescent="0.25">
      <c r="A6202">
        <v>1577185747</v>
      </c>
      <c r="B6202" t="s">
        <v>28579</v>
      </c>
      <c r="C6202">
        <v>1669</v>
      </c>
      <c r="D6202">
        <v>1</v>
      </c>
      <c r="E6202">
        <v>2174</v>
      </c>
      <c r="F6202">
        <v>3260</v>
      </c>
      <c r="G6202">
        <f t="shared" si="96"/>
        <v>1577185747</v>
      </c>
    </row>
    <row r="6203" spans="1:7" x14ac:dyDescent="0.25">
      <c r="A6203">
        <v>1577185767</v>
      </c>
      <c r="B6203" t="s">
        <v>28580</v>
      </c>
      <c r="C6203">
        <v>0</v>
      </c>
      <c r="D6203">
        <v>1</v>
      </c>
      <c r="E6203">
        <v>299</v>
      </c>
      <c r="F6203">
        <v>5122</v>
      </c>
      <c r="G6203">
        <f t="shared" si="96"/>
        <v>1577185767</v>
      </c>
    </row>
    <row r="6204" spans="1:7" x14ac:dyDescent="0.25">
      <c r="A6204">
        <v>1577185776</v>
      </c>
      <c r="B6204" t="s">
        <v>28581</v>
      </c>
      <c r="C6204">
        <v>94</v>
      </c>
      <c r="D6204">
        <v>1</v>
      </c>
      <c r="E6204">
        <v>4442</v>
      </c>
      <c r="F6204">
        <v>2640</v>
      </c>
      <c r="G6204">
        <f t="shared" si="96"/>
        <v>1577185776</v>
      </c>
    </row>
    <row r="6205" spans="1:7" x14ac:dyDescent="0.25">
      <c r="A6205">
        <v>1577185779</v>
      </c>
      <c r="B6205" t="s">
        <v>28582</v>
      </c>
      <c r="C6205">
        <v>96</v>
      </c>
      <c r="D6205">
        <v>4</v>
      </c>
      <c r="E6205">
        <v>27322</v>
      </c>
      <c r="F6205">
        <v>322</v>
      </c>
      <c r="G6205">
        <f t="shared" si="96"/>
        <v>1577185779</v>
      </c>
    </row>
    <row r="6206" spans="1:7" x14ac:dyDescent="0.25">
      <c r="A6206">
        <v>1577185794</v>
      </c>
      <c r="B6206" t="s">
        <v>28583</v>
      </c>
      <c r="C6206">
        <v>0</v>
      </c>
      <c r="D6206">
        <v>1</v>
      </c>
      <c r="E6206">
        <v>168</v>
      </c>
      <c r="F6206">
        <v>5626</v>
      </c>
      <c r="G6206">
        <f t="shared" si="96"/>
        <v>1577185794</v>
      </c>
    </row>
    <row r="6207" spans="1:7" x14ac:dyDescent="0.25">
      <c r="A6207">
        <v>1577185803</v>
      </c>
      <c r="B6207" t="s">
        <v>28584</v>
      </c>
      <c r="C6207">
        <v>23</v>
      </c>
      <c r="D6207">
        <v>2</v>
      </c>
      <c r="E6207">
        <v>12971</v>
      </c>
      <c r="F6207">
        <v>1179</v>
      </c>
      <c r="G6207">
        <f t="shared" si="96"/>
        <v>1577185803</v>
      </c>
    </row>
    <row r="6208" spans="1:7" x14ac:dyDescent="0.25">
      <c r="A6208">
        <v>1577185804</v>
      </c>
      <c r="B6208" t="s">
        <v>28585</v>
      </c>
      <c r="C6208">
        <v>0</v>
      </c>
      <c r="D6208">
        <v>1</v>
      </c>
      <c r="E6208">
        <v>26</v>
      </c>
      <c r="F6208">
        <v>6787</v>
      </c>
      <c r="G6208">
        <f t="shared" si="96"/>
        <v>1577185804</v>
      </c>
    </row>
    <row r="6209" spans="1:7" x14ac:dyDescent="0.25">
      <c r="A6209">
        <v>1577185807</v>
      </c>
      <c r="B6209" t="s">
        <v>28586</v>
      </c>
      <c r="C6209">
        <v>0</v>
      </c>
      <c r="D6209">
        <v>0</v>
      </c>
      <c r="E6209">
        <v>0</v>
      </c>
      <c r="F6209">
        <v>8074</v>
      </c>
      <c r="G6209">
        <f t="shared" ref="G6209:G6272" si="97">A6209</f>
        <v>1577185807</v>
      </c>
    </row>
    <row r="6210" spans="1:7" x14ac:dyDescent="0.25">
      <c r="A6210">
        <v>1577185828</v>
      </c>
      <c r="B6210" t="s">
        <v>28587</v>
      </c>
      <c r="C6210">
        <v>1143</v>
      </c>
      <c r="D6210">
        <v>2</v>
      </c>
      <c r="E6210">
        <v>5667</v>
      </c>
      <c r="F6210">
        <v>2359</v>
      </c>
      <c r="G6210">
        <f t="shared" si="97"/>
        <v>1577185828</v>
      </c>
    </row>
    <row r="6211" spans="1:7" x14ac:dyDescent="0.25">
      <c r="A6211">
        <v>1577185831</v>
      </c>
      <c r="B6211" t="s">
        <v>28588</v>
      </c>
      <c r="C6211">
        <v>0</v>
      </c>
      <c r="D6211">
        <v>1</v>
      </c>
      <c r="E6211">
        <v>1436</v>
      </c>
      <c r="F6211">
        <v>3635</v>
      </c>
      <c r="G6211">
        <f t="shared" si="97"/>
        <v>1577185831</v>
      </c>
    </row>
    <row r="6212" spans="1:7" x14ac:dyDescent="0.25">
      <c r="A6212">
        <v>1577185858</v>
      </c>
      <c r="B6212" t="s">
        <v>28589</v>
      </c>
      <c r="C6212">
        <v>804</v>
      </c>
      <c r="D6212">
        <v>0</v>
      </c>
      <c r="E6212">
        <v>0</v>
      </c>
      <c r="F6212">
        <v>8075</v>
      </c>
      <c r="G6212">
        <f t="shared" si="97"/>
        <v>1577185858</v>
      </c>
    </row>
    <row r="6213" spans="1:7" x14ac:dyDescent="0.25">
      <c r="A6213">
        <v>1577185873</v>
      </c>
      <c r="B6213" t="s">
        <v>28590</v>
      </c>
      <c r="C6213">
        <v>534</v>
      </c>
      <c r="D6213">
        <v>1</v>
      </c>
      <c r="E6213">
        <v>6819</v>
      </c>
      <c r="F6213">
        <v>2096</v>
      </c>
      <c r="G6213">
        <f t="shared" si="97"/>
        <v>1577185873</v>
      </c>
    </row>
    <row r="6214" spans="1:7" x14ac:dyDescent="0.25">
      <c r="A6214">
        <v>1577185886</v>
      </c>
      <c r="B6214" t="s">
        <v>28591</v>
      </c>
      <c r="C6214">
        <v>199</v>
      </c>
      <c r="D6214">
        <v>3</v>
      </c>
      <c r="E6214">
        <v>18873</v>
      </c>
      <c r="F6214">
        <v>697</v>
      </c>
      <c r="G6214">
        <f t="shared" si="97"/>
        <v>1577185886</v>
      </c>
    </row>
    <row r="6215" spans="1:7" x14ac:dyDescent="0.25">
      <c r="A6215">
        <v>1577185887</v>
      </c>
      <c r="B6215" t="s">
        <v>28592</v>
      </c>
      <c r="C6215">
        <v>0</v>
      </c>
      <c r="D6215">
        <v>0</v>
      </c>
      <c r="E6215">
        <v>0</v>
      </c>
      <c r="F6215">
        <v>8076</v>
      </c>
      <c r="G6215">
        <f t="shared" si="97"/>
        <v>1577185887</v>
      </c>
    </row>
    <row r="6216" spans="1:7" x14ac:dyDescent="0.25">
      <c r="A6216">
        <v>1577185898</v>
      </c>
      <c r="B6216" t="s">
        <v>28593</v>
      </c>
      <c r="C6216">
        <v>617</v>
      </c>
      <c r="D6216">
        <v>5</v>
      </c>
      <c r="E6216">
        <v>22216</v>
      </c>
      <c r="F6216">
        <v>518</v>
      </c>
      <c r="G6216">
        <f t="shared" si="97"/>
        <v>1577185898</v>
      </c>
    </row>
    <row r="6217" spans="1:7" x14ac:dyDescent="0.25">
      <c r="A6217">
        <v>1577185901</v>
      </c>
      <c r="B6217" t="s">
        <v>28594</v>
      </c>
      <c r="C6217">
        <v>0</v>
      </c>
      <c r="D6217">
        <v>1</v>
      </c>
      <c r="E6217">
        <v>26</v>
      </c>
      <c r="F6217">
        <v>6788</v>
      </c>
      <c r="G6217">
        <f t="shared" si="97"/>
        <v>1577185901</v>
      </c>
    </row>
    <row r="6218" spans="1:7" x14ac:dyDescent="0.25">
      <c r="A6218">
        <v>1577185946</v>
      </c>
      <c r="B6218" t="s">
        <v>28595</v>
      </c>
      <c r="C6218">
        <v>23</v>
      </c>
      <c r="D6218">
        <v>1</v>
      </c>
      <c r="E6218">
        <v>4454</v>
      </c>
      <c r="F6218">
        <v>2634</v>
      </c>
      <c r="G6218">
        <f t="shared" si="97"/>
        <v>1577185946</v>
      </c>
    </row>
    <row r="6219" spans="1:7" x14ac:dyDescent="0.25">
      <c r="A6219">
        <v>1577185948</v>
      </c>
      <c r="B6219" t="s">
        <v>28596</v>
      </c>
      <c r="C6219">
        <v>0</v>
      </c>
      <c r="D6219">
        <v>0</v>
      </c>
      <c r="E6219">
        <v>0</v>
      </c>
      <c r="F6219">
        <v>8077</v>
      </c>
      <c r="G6219">
        <f t="shared" si="97"/>
        <v>1577185948</v>
      </c>
    </row>
    <row r="6220" spans="1:7" x14ac:dyDescent="0.25">
      <c r="A6220">
        <v>1577185952</v>
      </c>
      <c r="B6220" t="s">
        <v>28597</v>
      </c>
      <c r="C6220">
        <v>0</v>
      </c>
      <c r="D6220">
        <v>0</v>
      </c>
      <c r="E6220">
        <v>0</v>
      </c>
      <c r="F6220">
        <v>8078</v>
      </c>
      <c r="G6220">
        <f t="shared" si="97"/>
        <v>1577185952</v>
      </c>
    </row>
    <row r="6221" spans="1:7" x14ac:dyDescent="0.25">
      <c r="A6221">
        <v>1577185961</v>
      </c>
      <c r="B6221" t="s">
        <v>28598</v>
      </c>
      <c r="C6221">
        <v>0</v>
      </c>
      <c r="D6221">
        <v>1</v>
      </c>
      <c r="E6221">
        <v>251</v>
      </c>
      <c r="F6221">
        <v>5299</v>
      </c>
      <c r="G6221">
        <f t="shared" si="97"/>
        <v>1577185961</v>
      </c>
    </row>
    <row r="6222" spans="1:7" x14ac:dyDescent="0.25">
      <c r="A6222">
        <v>1577185970</v>
      </c>
      <c r="B6222" t="s">
        <v>36751</v>
      </c>
      <c r="C6222">
        <v>152</v>
      </c>
      <c r="D6222">
        <v>8</v>
      </c>
      <c r="E6222">
        <v>51418</v>
      </c>
      <c r="F6222">
        <v>39</v>
      </c>
      <c r="G6222">
        <f t="shared" si="97"/>
        <v>1577185970</v>
      </c>
    </row>
    <row r="6223" spans="1:7" x14ac:dyDescent="0.25">
      <c r="A6223">
        <v>1577185973</v>
      </c>
      <c r="B6223" t="s">
        <v>36752</v>
      </c>
      <c r="C6223">
        <v>382</v>
      </c>
      <c r="D6223">
        <v>1</v>
      </c>
      <c r="E6223">
        <v>26</v>
      </c>
      <c r="F6223">
        <v>6789</v>
      </c>
      <c r="G6223">
        <f t="shared" si="97"/>
        <v>1577185973</v>
      </c>
    </row>
    <row r="6224" spans="1:7" x14ac:dyDescent="0.25">
      <c r="A6224">
        <v>1577185982</v>
      </c>
      <c r="B6224" t="s">
        <v>28599</v>
      </c>
      <c r="C6224">
        <v>58</v>
      </c>
      <c r="D6224">
        <v>2</v>
      </c>
      <c r="E6224">
        <v>6896</v>
      </c>
      <c r="F6224">
        <v>2104</v>
      </c>
      <c r="G6224">
        <f t="shared" si="97"/>
        <v>1577185982</v>
      </c>
    </row>
    <row r="6225" spans="1:7" x14ac:dyDescent="0.25">
      <c r="A6225">
        <v>1577185990</v>
      </c>
      <c r="B6225" t="s">
        <v>28600</v>
      </c>
      <c r="C6225">
        <v>1946</v>
      </c>
      <c r="D6225">
        <v>1</v>
      </c>
      <c r="E6225">
        <v>5168</v>
      </c>
      <c r="F6225">
        <v>2476</v>
      </c>
      <c r="G6225">
        <f t="shared" si="97"/>
        <v>1577185990</v>
      </c>
    </row>
    <row r="6226" spans="1:7" x14ac:dyDescent="0.25">
      <c r="A6226">
        <v>1577186003</v>
      </c>
      <c r="B6226" t="s">
        <v>28601</v>
      </c>
      <c r="C6226">
        <v>33</v>
      </c>
      <c r="D6226">
        <v>0</v>
      </c>
      <c r="E6226">
        <v>0</v>
      </c>
      <c r="F6226">
        <v>8079</v>
      </c>
      <c r="G6226">
        <f t="shared" si="97"/>
        <v>1577186003</v>
      </c>
    </row>
    <row r="6227" spans="1:7" x14ac:dyDescent="0.25">
      <c r="A6227">
        <v>1577186017</v>
      </c>
      <c r="B6227" t="s">
        <v>28602</v>
      </c>
      <c r="C6227">
        <v>412</v>
      </c>
      <c r="D6227">
        <v>2</v>
      </c>
      <c r="E6227">
        <v>10640</v>
      </c>
      <c r="F6227">
        <v>1477</v>
      </c>
      <c r="G6227">
        <f t="shared" si="97"/>
        <v>1577186017</v>
      </c>
    </row>
    <row r="6228" spans="1:7" x14ac:dyDescent="0.25">
      <c r="A6228">
        <v>1577186055</v>
      </c>
      <c r="B6228" t="s">
        <v>28603</v>
      </c>
      <c r="C6228">
        <v>431</v>
      </c>
      <c r="D6228">
        <v>3</v>
      </c>
      <c r="E6228">
        <v>18810</v>
      </c>
      <c r="F6228">
        <v>703</v>
      </c>
      <c r="G6228">
        <f t="shared" si="97"/>
        <v>1577186055</v>
      </c>
    </row>
    <row r="6229" spans="1:7" x14ac:dyDescent="0.25">
      <c r="A6229">
        <v>1577186062</v>
      </c>
      <c r="B6229" t="s">
        <v>36753</v>
      </c>
      <c r="C6229">
        <v>0</v>
      </c>
      <c r="D6229">
        <v>1</v>
      </c>
      <c r="E6229">
        <v>26</v>
      </c>
      <c r="F6229">
        <v>6790</v>
      </c>
      <c r="G6229">
        <f t="shared" si="97"/>
        <v>1577186062</v>
      </c>
    </row>
    <row r="6230" spans="1:7" x14ac:dyDescent="0.25">
      <c r="A6230">
        <v>1577186069</v>
      </c>
      <c r="B6230" t="s">
        <v>28604</v>
      </c>
      <c r="C6230">
        <v>0</v>
      </c>
      <c r="D6230">
        <v>1</v>
      </c>
      <c r="E6230">
        <v>104</v>
      </c>
      <c r="F6230">
        <v>5835</v>
      </c>
      <c r="G6230">
        <f t="shared" si="97"/>
        <v>1577186069</v>
      </c>
    </row>
    <row r="6231" spans="1:7" x14ac:dyDescent="0.25">
      <c r="A6231">
        <v>1577186091</v>
      </c>
      <c r="B6231" t="s">
        <v>36754</v>
      </c>
      <c r="C6231">
        <v>480</v>
      </c>
      <c r="D6231">
        <v>0</v>
      </c>
      <c r="E6231">
        <v>0</v>
      </c>
      <c r="F6231">
        <v>8080</v>
      </c>
      <c r="G6231">
        <f t="shared" si="97"/>
        <v>1577186091</v>
      </c>
    </row>
    <row r="6232" spans="1:7" x14ac:dyDescent="0.25">
      <c r="A6232">
        <v>1577186099</v>
      </c>
      <c r="B6232" t="s">
        <v>28605</v>
      </c>
      <c r="C6232">
        <v>534</v>
      </c>
      <c r="D6232">
        <v>1</v>
      </c>
      <c r="E6232">
        <v>6521</v>
      </c>
      <c r="F6232">
        <v>2160</v>
      </c>
      <c r="G6232">
        <f t="shared" si="97"/>
        <v>1577186099</v>
      </c>
    </row>
    <row r="6233" spans="1:7" x14ac:dyDescent="0.25">
      <c r="A6233">
        <v>1577186101</v>
      </c>
      <c r="B6233" t="s">
        <v>36755</v>
      </c>
      <c r="C6233">
        <v>625</v>
      </c>
      <c r="D6233">
        <v>2</v>
      </c>
      <c r="E6233">
        <v>6011</v>
      </c>
      <c r="F6233">
        <v>2273</v>
      </c>
      <c r="G6233">
        <f t="shared" si="97"/>
        <v>1577186101</v>
      </c>
    </row>
    <row r="6234" spans="1:7" x14ac:dyDescent="0.25">
      <c r="A6234">
        <v>1577186103</v>
      </c>
      <c r="B6234" t="s">
        <v>28606</v>
      </c>
      <c r="C6234">
        <v>118</v>
      </c>
      <c r="D6234">
        <v>2</v>
      </c>
      <c r="E6234">
        <v>5503</v>
      </c>
      <c r="F6234">
        <v>2400</v>
      </c>
      <c r="G6234">
        <f t="shared" si="97"/>
        <v>1577186103</v>
      </c>
    </row>
    <row r="6235" spans="1:7" x14ac:dyDescent="0.25">
      <c r="A6235">
        <v>1577186110</v>
      </c>
      <c r="B6235" t="s">
        <v>28607</v>
      </c>
      <c r="C6235">
        <v>0</v>
      </c>
      <c r="D6235">
        <v>1</v>
      </c>
      <c r="E6235">
        <v>26</v>
      </c>
      <c r="F6235">
        <v>6791</v>
      </c>
      <c r="G6235">
        <f t="shared" si="97"/>
        <v>1577186110</v>
      </c>
    </row>
    <row r="6236" spans="1:7" x14ac:dyDescent="0.25">
      <c r="A6236">
        <v>1577186117</v>
      </c>
      <c r="B6236" t="s">
        <v>28608</v>
      </c>
      <c r="C6236">
        <v>740</v>
      </c>
      <c r="D6236">
        <v>1</v>
      </c>
      <c r="E6236">
        <v>31</v>
      </c>
      <c r="F6236">
        <v>6316</v>
      </c>
      <c r="G6236">
        <f t="shared" si="97"/>
        <v>1577186117</v>
      </c>
    </row>
    <row r="6237" spans="1:7" x14ac:dyDescent="0.25">
      <c r="A6237">
        <v>1577186136</v>
      </c>
      <c r="B6237" t="s">
        <v>28609</v>
      </c>
      <c r="C6237">
        <v>0</v>
      </c>
      <c r="D6237">
        <v>0</v>
      </c>
      <c r="E6237">
        <v>0</v>
      </c>
      <c r="F6237">
        <v>8081</v>
      </c>
      <c r="G6237">
        <f t="shared" si="97"/>
        <v>1577186136</v>
      </c>
    </row>
    <row r="6238" spans="1:7" x14ac:dyDescent="0.25">
      <c r="A6238">
        <v>1577186146</v>
      </c>
      <c r="B6238" t="s">
        <v>1072</v>
      </c>
      <c r="C6238">
        <v>0</v>
      </c>
      <c r="D6238">
        <v>1</v>
      </c>
      <c r="E6238">
        <v>2994</v>
      </c>
      <c r="F6238">
        <v>2997</v>
      </c>
      <c r="G6238">
        <f t="shared" si="97"/>
        <v>1577186146</v>
      </c>
    </row>
    <row r="6239" spans="1:7" x14ac:dyDescent="0.25">
      <c r="A6239">
        <v>1577186192</v>
      </c>
      <c r="B6239" t="s">
        <v>28610</v>
      </c>
      <c r="C6239">
        <v>890</v>
      </c>
      <c r="D6239">
        <v>0</v>
      </c>
      <c r="E6239">
        <v>0</v>
      </c>
      <c r="F6239">
        <v>8082</v>
      </c>
      <c r="G6239">
        <f t="shared" si="97"/>
        <v>1577186192</v>
      </c>
    </row>
    <row r="6240" spans="1:7" x14ac:dyDescent="0.25">
      <c r="A6240">
        <v>1577186195</v>
      </c>
      <c r="B6240" t="s">
        <v>28611</v>
      </c>
      <c r="C6240">
        <v>0</v>
      </c>
      <c r="D6240">
        <v>1</v>
      </c>
      <c r="E6240">
        <v>1231</v>
      </c>
      <c r="F6240">
        <v>3771</v>
      </c>
      <c r="G6240">
        <f t="shared" si="97"/>
        <v>1577186195</v>
      </c>
    </row>
    <row r="6241" spans="1:7" x14ac:dyDescent="0.25">
      <c r="A6241">
        <v>1577186212</v>
      </c>
      <c r="B6241" t="s">
        <v>28612</v>
      </c>
      <c r="C6241">
        <v>494</v>
      </c>
      <c r="D6241">
        <v>7</v>
      </c>
      <c r="E6241">
        <v>37602</v>
      </c>
      <c r="F6241">
        <v>113</v>
      </c>
      <c r="G6241">
        <f t="shared" si="97"/>
        <v>1577186212</v>
      </c>
    </row>
    <row r="6242" spans="1:7" x14ac:dyDescent="0.25">
      <c r="A6242">
        <v>1577186220</v>
      </c>
      <c r="B6242" t="s">
        <v>28613</v>
      </c>
      <c r="C6242">
        <v>412</v>
      </c>
      <c r="D6242">
        <v>4</v>
      </c>
      <c r="E6242">
        <v>19712</v>
      </c>
      <c r="F6242">
        <v>643</v>
      </c>
      <c r="G6242">
        <f t="shared" si="97"/>
        <v>1577186220</v>
      </c>
    </row>
    <row r="6243" spans="1:7" x14ac:dyDescent="0.25">
      <c r="A6243">
        <v>1577186275</v>
      </c>
      <c r="B6243" t="s">
        <v>28614</v>
      </c>
      <c r="C6243">
        <v>175</v>
      </c>
      <c r="D6243">
        <v>2</v>
      </c>
      <c r="E6243">
        <v>12927</v>
      </c>
      <c r="F6243">
        <v>1193</v>
      </c>
      <c r="G6243">
        <f t="shared" si="97"/>
        <v>1577186275</v>
      </c>
    </row>
    <row r="6244" spans="1:7" x14ac:dyDescent="0.25">
      <c r="A6244">
        <v>1577186286</v>
      </c>
      <c r="B6244" t="s">
        <v>28615</v>
      </c>
      <c r="C6244">
        <v>1898</v>
      </c>
      <c r="D6244">
        <v>0</v>
      </c>
      <c r="E6244">
        <v>0</v>
      </c>
      <c r="F6244">
        <v>8083</v>
      </c>
      <c r="G6244">
        <f t="shared" si="97"/>
        <v>1577186286</v>
      </c>
    </row>
    <row r="6245" spans="1:7" x14ac:dyDescent="0.25">
      <c r="A6245">
        <v>1577186287</v>
      </c>
      <c r="B6245" t="s">
        <v>36756</v>
      </c>
      <c r="C6245">
        <v>0</v>
      </c>
      <c r="D6245">
        <v>0</v>
      </c>
      <c r="E6245">
        <v>0</v>
      </c>
      <c r="F6245">
        <v>8084</v>
      </c>
      <c r="G6245">
        <f t="shared" si="97"/>
        <v>1577186287</v>
      </c>
    </row>
    <row r="6246" spans="1:7" x14ac:dyDescent="0.25">
      <c r="A6246">
        <v>1577186290</v>
      </c>
      <c r="B6246" t="s">
        <v>28616</v>
      </c>
      <c r="C6246">
        <v>175</v>
      </c>
      <c r="D6246">
        <v>5</v>
      </c>
      <c r="E6246">
        <v>27807</v>
      </c>
      <c r="F6246">
        <v>301</v>
      </c>
      <c r="G6246">
        <f t="shared" si="97"/>
        <v>1577186290</v>
      </c>
    </row>
    <row r="6247" spans="1:7" x14ac:dyDescent="0.25">
      <c r="A6247">
        <v>1577186291</v>
      </c>
      <c r="B6247" t="s">
        <v>37410</v>
      </c>
      <c r="C6247">
        <v>625</v>
      </c>
      <c r="D6247">
        <v>2</v>
      </c>
      <c r="E6247">
        <v>6010</v>
      </c>
      <c r="F6247">
        <v>2274</v>
      </c>
      <c r="G6247">
        <f t="shared" si="97"/>
        <v>1577186291</v>
      </c>
    </row>
    <row r="6248" spans="1:7" x14ac:dyDescent="0.25">
      <c r="A6248">
        <v>1577186302</v>
      </c>
      <c r="B6248" t="s">
        <v>28617</v>
      </c>
      <c r="C6248">
        <v>0</v>
      </c>
      <c r="D6248">
        <v>0</v>
      </c>
      <c r="E6248">
        <v>0</v>
      </c>
      <c r="F6248">
        <v>8085</v>
      </c>
      <c r="G6248">
        <f t="shared" si="97"/>
        <v>1577186302</v>
      </c>
    </row>
    <row r="6249" spans="1:7" x14ac:dyDescent="0.25">
      <c r="A6249">
        <v>1577186311</v>
      </c>
      <c r="B6249" t="s">
        <v>28618</v>
      </c>
      <c r="C6249">
        <v>175</v>
      </c>
      <c r="D6249">
        <v>2</v>
      </c>
      <c r="E6249">
        <v>10504</v>
      </c>
      <c r="F6249">
        <v>1492</v>
      </c>
      <c r="G6249">
        <f t="shared" si="97"/>
        <v>1577186311</v>
      </c>
    </row>
    <row r="6250" spans="1:7" x14ac:dyDescent="0.25">
      <c r="A6250">
        <v>1577186327</v>
      </c>
      <c r="B6250" t="s">
        <v>28619</v>
      </c>
      <c r="C6250">
        <v>422</v>
      </c>
      <c r="D6250">
        <v>3</v>
      </c>
      <c r="E6250">
        <v>17725</v>
      </c>
      <c r="F6250">
        <v>773</v>
      </c>
      <c r="G6250">
        <f t="shared" si="97"/>
        <v>1577186327</v>
      </c>
    </row>
    <row r="6251" spans="1:7" x14ac:dyDescent="0.25">
      <c r="A6251">
        <v>1577186328</v>
      </c>
      <c r="B6251" t="s">
        <v>28620</v>
      </c>
      <c r="C6251">
        <v>422</v>
      </c>
      <c r="D6251">
        <v>3</v>
      </c>
      <c r="E6251">
        <v>17962</v>
      </c>
      <c r="F6251">
        <v>760</v>
      </c>
      <c r="G6251">
        <f t="shared" si="97"/>
        <v>1577186328</v>
      </c>
    </row>
    <row r="6252" spans="1:7" x14ac:dyDescent="0.25">
      <c r="A6252">
        <v>1577186330</v>
      </c>
      <c r="B6252" t="s">
        <v>37230</v>
      </c>
      <c r="C6252">
        <v>175</v>
      </c>
      <c r="D6252">
        <v>1</v>
      </c>
      <c r="E6252">
        <v>5847</v>
      </c>
      <c r="F6252">
        <v>2314</v>
      </c>
      <c r="G6252">
        <f t="shared" si="97"/>
        <v>1577186330</v>
      </c>
    </row>
    <row r="6253" spans="1:7" x14ac:dyDescent="0.25">
      <c r="A6253">
        <v>1577186337</v>
      </c>
      <c r="B6253" t="s">
        <v>28621</v>
      </c>
      <c r="C6253">
        <v>424</v>
      </c>
      <c r="D6253">
        <v>4</v>
      </c>
      <c r="E6253">
        <v>20757</v>
      </c>
      <c r="F6253">
        <v>582</v>
      </c>
      <c r="G6253">
        <f t="shared" si="97"/>
        <v>1577186337</v>
      </c>
    </row>
    <row r="6254" spans="1:7" x14ac:dyDescent="0.25">
      <c r="A6254">
        <v>1577186342</v>
      </c>
      <c r="B6254" t="s">
        <v>28622</v>
      </c>
      <c r="C6254">
        <v>424</v>
      </c>
      <c r="D6254">
        <v>5</v>
      </c>
      <c r="E6254">
        <v>28964</v>
      </c>
      <c r="F6254">
        <v>271</v>
      </c>
      <c r="G6254">
        <f t="shared" si="97"/>
        <v>1577186342</v>
      </c>
    </row>
    <row r="6255" spans="1:7" x14ac:dyDescent="0.25">
      <c r="A6255">
        <v>1577186362</v>
      </c>
      <c r="B6255" t="s">
        <v>28623</v>
      </c>
      <c r="C6255">
        <v>0</v>
      </c>
      <c r="D6255">
        <v>0</v>
      </c>
      <c r="E6255">
        <v>0</v>
      </c>
      <c r="F6255">
        <v>8086</v>
      </c>
      <c r="G6255">
        <f t="shared" si="97"/>
        <v>1577186362</v>
      </c>
    </row>
    <row r="6256" spans="1:7" x14ac:dyDescent="0.25">
      <c r="A6256">
        <v>1577186381</v>
      </c>
      <c r="B6256" t="s">
        <v>28624</v>
      </c>
      <c r="C6256">
        <v>422</v>
      </c>
      <c r="D6256">
        <v>3</v>
      </c>
      <c r="E6256">
        <v>15637</v>
      </c>
      <c r="F6256">
        <v>935</v>
      </c>
      <c r="G6256">
        <f t="shared" si="97"/>
        <v>1577186381</v>
      </c>
    </row>
    <row r="6257" spans="1:7" x14ac:dyDescent="0.25">
      <c r="A6257">
        <v>1577186386</v>
      </c>
      <c r="B6257" t="s">
        <v>28625</v>
      </c>
      <c r="C6257">
        <v>541</v>
      </c>
      <c r="D6257">
        <v>3</v>
      </c>
      <c r="E6257">
        <v>8111</v>
      </c>
      <c r="F6257">
        <v>1860</v>
      </c>
      <c r="G6257">
        <f t="shared" si="97"/>
        <v>1577186386</v>
      </c>
    </row>
    <row r="6258" spans="1:7" x14ac:dyDescent="0.25">
      <c r="A6258">
        <v>1577186399</v>
      </c>
      <c r="B6258" t="s">
        <v>28626</v>
      </c>
      <c r="C6258">
        <v>1689</v>
      </c>
      <c r="D6258">
        <v>2</v>
      </c>
      <c r="E6258">
        <v>10836</v>
      </c>
      <c r="F6258">
        <v>1443</v>
      </c>
      <c r="G6258">
        <f t="shared" si="97"/>
        <v>1577186399</v>
      </c>
    </row>
    <row r="6259" spans="1:7" x14ac:dyDescent="0.25">
      <c r="A6259">
        <v>1577186402</v>
      </c>
      <c r="B6259" t="s">
        <v>28627</v>
      </c>
      <c r="C6259">
        <v>443</v>
      </c>
      <c r="D6259">
        <v>1</v>
      </c>
      <c r="E6259">
        <v>3389</v>
      </c>
      <c r="F6259">
        <v>2904</v>
      </c>
      <c r="G6259">
        <f t="shared" si="97"/>
        <v>1577186402</v>
      </c>
    </row>
    <row r="6260" spans="1:7" x14ac:dyDescent="0.25">
      <c r="A6260">
        <v>1577186435</v>
      </c>
      <c r="B6260" t="s">
        <v>28628</v>
      </c>
      <c r="C6260">
        <v>1609</v>
      </c>
      <c r="D6260">
        <v>2</v>
      </c>
      <c r="E6260">
        <v>10478</v>
      </c>
      <c r="F6260">
        <v>1496</v>
      </c>
      <c r="G6260">
        <f t="shared" si="97"/>
        <v>1577186435</v>
      </c>
    </row>
    <row r="6261" spans="1:7" x14ac:dyDescent="0.25">
      <c r="A6261">
        <v>1577186462</v>
      </c>
      <c r="B6261" t="s">
        <v>28629</v>
      </c>
      <c r="C6261">
        <v>0</v>
      </c>
      <c r="D6261">
        <v>1</v>
      </c>
      <c r="E6261">
        <v>26</v>
      </c>
      <c r="F6261">
        <v>6792</v>
      </c>
      <c r="G6261">
        <f t="shared" si="97"/>
        <v>1577186462</v>
      </c>
    </row>
    <row r="6262" spans="1:7" x14ac:dyDescent="0.25">
      <c r="A6262">
        <v>1577186472</v>
      </c>
      <c r="B6262" t="s">
        <v>28630</v>
      </c>
      <c r="C6262">
        <v>0</v>
      </c>
      <c r="D6262">
        <v>1</v>
      </c>
      <c r="E6262">
        <v>236</v>
      </c>
      <c r="F6262">
        <v>5366</v>
      </c>
      <c r="G6262">
        <f t="shared" si="97"/>
        <v>1577186472</v>
      </c>
    </row>
    <row r="6263" spans="1:7" x14ac:dyDescent="0.25">
      <c r="A6263">
        <v>1577186528</v>
      </c>
      <c r="B6263" t="s">
        <v>28631</v>
      </c>
      <c r="C6263">
        <v>271</v>
      </c>
      <c r="D6263">
        <v>2</v>
      </c>
      <c r="E6263">
        <v>9117</v>
      </c>
      <c r="F6263">
        <v>1699</v>
      </c>
      <c r="G6263">
        <f t="shared" si="97"/>
        <v>1577186528</v>
      </c>
    </row>
    <row r="6264" spans="1:7" x14ac:dyDescent="0.25">
      <c r="A6264">
        <v>1577186534</v>
      </c>
      <c r="B6264" t="s">
        <v>37342</v>
      </c>
      <c r="C6264">
        <v>424</v>
      </c>
      <c r="D6264">
        <v>4</v>
      </c>
      <c r="E6264">
        <v>23625</v>
      </c>
      <c r="F6264">
        <v>449</v>
      </c>
      <c r="G6264">
        <f t="shared" si="97"/>
        <v>1577186534</v>
      </c>
    </row>
    <row r="6265" spans="1:7" x14ac:dyDescent="0.25">
      <c r="A6265">
        <v>1577186572</v>
      </c>
      <c r="B6265" t="s">
        <v>28632</v>
      </c>
      <c r="C6265">
        <v>301</v>
      </c>
      <c r="D6265">
        <v>0</v>
      </c>
      <c r="E6265">
        <v>0</v>
      </c>
      <c r="F6265">
        <v>8087</v>
      </c>
      <c r="G6265">
        <f t="shared" si="97"/>
        <v>1577186572</v>
      </c>
    </row>
    <row r="6266" spans="1:7" x14ac:dyDescent="0.25">
      <c r="A6266">
        <v>1577186574</v>
      </c>
      <c r="B6266" t="s">
        <v>28633</v>
      </c>
      <c r="C6266">
        <v>1019</v>
      </c>
      <c r="D6266">
        <v>1</v>
      </c>
      <c r="E6266">
        <v>1117</v>
      </c>
      <c r="F6266">
        <v>3856</v>
      </c>
      <c r="G6266">
        <f t="shared" si="97"/>
        <v>1577186574</v>
      </c>
    </row>
    <row r="6267" spans="1:7" x14ac:dyDescent="0.25">
      <c r="A6267">
        <v>1577186589</v>
      </c>
      <c r="B6267" t="s">
        <v>28634</v>
      </c>
      <c r="C6267">
        <v>0</v>
      </c>
      <c r="D6267">
        <v>0</v>
      </c>
      <c r="E6267">
        <v>0</v>
      </c>
      <c r="F6267">
        <v>8088</v>
      </c>
      <c r="G6267">
        <f t="shared" si="97"/>
        <v>1577186589</v>
      </c>
    </row>
    <row r="6268" spans="1:7" x14ac:dyDescent="0.25">
      <c r="A6268">
        <v>1577186597</v>
      </c>
      <c r="B6268" t="s">
        <v>28635</v>
      </c>
      <c r="C6268">
        <v>0</v>
      </c>
      <c r="D6268">
        <v>0</v>
      </c>
      <c r="E6268">
        <v>0</v>
      </c>
      <c r="F6268">
        <v>8089</v>
      </c>
      <c r="G6268">
        <f t="shared" si="97"/>
        <v>1577186597</v>
      </c>
    </row>
    <row r="6269" spans="1:7" x14ac:dyDescent="0.25">
      <c r="A6269">
        <v>1577186605</v>
      </c>
      <c r="B6269" t="s">
        <v>28636</v>
      </c>
      <c r="C6269">
        <v>424</v>
      </c>
      <c r="D6269">
        <v>2</v>
      </c>
      <c r="E6269">
        <v>9829</v>
      </c>
      <c r="F6269">
        <v>1585</v>
      </c>
      <c r="G6269">
        <f t="shared" si="97"/>
        <v>1577186605</v>
      </c>
    </row>
    <row r="6270" spans="1:7" x14ac:dyDescent="0.25">
      <c r="A6270">
        <v>1577186614</v>
      </c>
      <c r="B6270" t="s">
        <v>36757</v>
      </c>
      <c r="C6270">
        <v>0</v>
      </c>
      <c r="D6270">
        <v>0</v>
      </c>
      <c r="E6270">
        <v>0</v>
      </c>
      <c r="F6270">
        <v>8090</v>
      </c>
      <c r="G6270">
        <f t="shared" si="97"/>
        <v>1577186614</v>
      </c>
    </row>
    <row r="6271" spans="1:7" x14ac:dyDescent="0.25">
      <c r="A6271">
        <v>1577186642</v>
      </c>
      <c r="B6271" t="s">
        <v>28637</v>
      </c>
      <c r="C6271">
        <v>1636</v>
      </c>
      <c r="D6271">
        <v>0</v>
      </c>
      <c r="E6271">
        <v>0</v>
      </c>
      <c r="F6271">
        <v>8091</v>
      </c>
      <c r="G6271">
        <f t="shared" si="97"/>
        <v>1577186642</v>
      </c>
    </row>
    <row r="6272" spans="1:7" x14ac:dyDescent="0.25">
      <c r="A6272">
        <v>1577186645</v>
      </c>
      <c r="B6272" t="s">
        <v>28638</v>
      </c>
      <c r="C6272">
        <v>552</v>
      </c>
      <c r="D6272">
        <v>2</v>
      </c>
      <c r="E6272">
        <v>8943</v>
      </c>
      <c r="F6272">
        <v>1725</v>
      </c>
      <c r="G6272">
        <f t="shared" si="97"/>
        <v>1577186645</v>
      </c>
    </row>
    <row r="6273" spans="1:7" x14ac:dyDescent="0.25">
      <c r="A6273">
        <v>1577186651</v>
      </c>
      <c r="B6273" t="s">
        <v>28639</v>
      </c>
      <c r="C6273">
        <v>308</v>
      </c>
      <c r="D6273">
        <v>0</v>
      </c>
      <c r="E6273">
        <v>0</v>
      </c>
      <c r="F6273">
        <v>8092</v>
      </c>
      <c r="G6273">
        <f t="shared" ref="G6273:G6336" si="98">A6273</f>
        <v>1577186651</v>
      </c>
    </row>
    <row r="6274" spans="1:7" x14ac:dyDescent="0.25">
      <c r="A6274">
        <v>1577186661</v>
      </c>
      <c r="B6274" t="s">
        <v>28640</v>
      </c>
      <c r="C6274">
        <v>419</v>
      </c>
      <c r="D6274">
        <v>3</v>
      </c>
      <c r="E6274">
        <v>12356</v>
      </c>
      <c r="F6274">
        <v>1247</v>
      </c>
      <c r="G6274">
        <f t="shared" si="98"/>
        <v>1577186661</v>
      </c>
    </row>
    <row r="6275" spans="1:7" x14ac:dyDescent="0.25">
      <c r="A6275">
        <v>1577186670</v>
      </c>
      <c r="B6275" t="s">
        <v>28641</v>
      </c>
      <c r="C6275">
        <v>175</v>
      </c>
      <c r="D6275">
        <v>4</v>
      </c>
      <c r="E6275">
        <v>24861</v>
      </c>
      <c r="F6275">
        <v>399</v>
      </c>
      <c r="G6275">
        <f t="shared" si="98"/>
        <v>1577186670</v>
      </c>
    </row>
    <row r="6276" spans="1:7" x14ac:dyDescent="0.25">
      <c r="A6276">
        <v>1577186673</v>
      </c>
      <c r="B6276" t="s">
        <v>28642</v>
      </c>
      <c r="C6276">
        <v>0</v>
      </c>
      <c r="D6276">
        <v>1</v>
      </c>
      <c r="E6276">
        <v>824</v>
      </c>
      <c r="F6276">
        <v>4175</v>
      </c>
      <c r="G6276">
        <f t="shared" si="98"/>
        <v>1577186673</v>
      </c>
    </row>
    <row r="6277" spans="1:7" x14ac:dyDescent="0.25">
      <c r="A6277">
        <v>1577186679</v>
      </c>
      <c r="B6277" t="s">
        <v>28643</v>
      </c>
      <c r="C6277">
        <v>175</v>
      </c>
      <c r="D6277">
        <v>6</v>
      </c>
      <c r="E6277">
        <v>37603</v>
      </c>
      <c r="F6277">
        <v>112</v>
      </c>
      <c r="G6277">
        <f t="shared" si="98"/>
        <v>1577186679</v>
      </c>
    </row>
    <row r="6278" spans="1:7" x14ac:dyDescent="0.25">
      <c r="A6278">
        <v>1577186698</v>
      </c>
      <c r="B6278" t="s">
        <v>28644</v>
      </c>
      <c r="C6278">
        <v>552</v>
      </c>
      <c r="D6278">
        <v>2</v>
      </c>
      <c r="E6278">
        <v>10401</v>
      </c>
      <c r="F6278">
        <v>1507</v>
      </c>
      <c r="G6278">
        <f t="shared" si="98"/>
        <v>1577186698</v>
      </c>
    </row>
    <row r="6279" spans="1:7" x14ac:dyDescent="0.25">
      <c r="A6279">
        <v>1577186741</v>
      </c>
      <c r="B6279" t="s">
        <v>28645</v>
      </c>
      <c r="C6279">
        <v>0</v>
      </c>
      <c r="D6279">
        <v>1</v>
      </c>
      <c r="E6279">
        <v>52</v>
      </c>
      <c r="F6279">
        <v>6153</v>
      </c>
      <c r="G6279">
        <f t="shared" si="98"/>
        <v>1577186741</v>
      </c>
    </row>
    <row r="6280" spans="1:7" x14ac:dyDescent="0.25">
      <c r="A6280">
        <v>1577186761</v>
      </c>
      <c r="B6280" t="s">
        <v>36758</v>
      </c>
      <c r="C6280">
        <v>69</v>
      </c>
      <c r="D6280">
        <v>2</v>
      </c>
      <c r="E6280">
        <v>9573</v>
      </c>
      <c r="F6280">
        <v>1627</v>
      </c>
      <c r="G6280">
        <f t="shared" si="98"/>
        <v>1577186761</v>
      </c>
    </row>
    <row r="6281" spans="1:7" x14ac:dyDescent="0.25">
      <c r="A6281">
        <v>1577186787</v>
      </c>
      <c r="B6281" t="s">
        <v>28646</v>
      </c>
      <c r="C6281">
        <v>924</v>
      </c>
      <c r="D6281">
        <v>3</v>
      </c>
      <c r="E6281">
        <v>12584</v>
      </c>
      <c r="F6281">
        <v>1216</v>
      </c>
      <c r="G6281">
        <f t="shared" si="98"/>
        <v>1577186787</v>
      </c>
    </row>
    <row r="6282" spans="1:7" x14ac:dyDescent="0.25">
      <c r="A6282">
        <v>1577186788</v>
      </c>
      <c r="B6282" t="s">
        <v>28647</v>
      </c>
      <c r="C6282">
        <v>1972</v>
      </c>
      <c r="D6282">
        <v>2</v>
      </c>
      <c r="E6282">
        <v>11561</v>
      </c>
      <c r="F6282">
        <v>1336</v>
      </c>
      <c r="G6282">
        <f t="shared" si="98"/>
        <v>1577186788</v>
      </c>
    </row>
    <row r="6283" spans="1:7" x14ac:dyDescent="0.25">
      <c r="A6283">
        <v>1577186793</v>
      </c>
      <c r="B6283" t="s">
        <v>28648</v>
      </c>
      <c r="C6283">
        <v>0</v>
      </c>
      <c r="D6283">
        <v>1</v>
      </c>
      <c r="E6283">
        <v>167</v>
      </c>
      <c r="F6283">
        <v>5638</v>
      </c>
      <c r="G6283">
        <f t="shared" si="98"/>
        <v>1577186793</v>
      </c>
    </row>
    <row r="6284" spans="1:7" x14ac:dyDescent="0.25">
      <c r="A6284">
        <v>1577186831</v>
      </c>
      <c r="B6284" t="s">
        <v>28649</v>
      </c>
      <c r="C6284">
        <v>1699</v>
      </c>
      <c r="D6284">
        <v>2</v>
      </c>
      <c r="E6284">
        <v>9333</v>
      </c>
      <c r="F6284">
        <v>1664</v>
      </c>
      <c r="G6284">
        <f t="shared" si="98"/>
        <v>1577186831</v>
      </c>
    </row>
    <row r="6285" spans="1:7" x14ac:dyDescent="0.25">
      <c r="A6285">
        <v>1577186850</v>
      </c>
      <c r="B6285" t="s">
        <v>28650</v>
      </c>
      <c r="C6285">
        <v>39</v>
      </c>
      <c r="D6285">
        <v>2</v>
      </c>
      <c r="E6285">
        <v>10040</v>
      </c>
      <c r="F6285">
        <v>1562</v>
      </c>
      <c r="G6285">
        <f t="shared" si="98"/>
        <v>1577186850</v>
      </c>
    </row>
    <row r="6286" spans="1:7" x14ac:dyDescent="0.25">
      <c r="A6286">
        <v>1577186857</v>
      </c>
      <c r="B6286" t="s">
        <v>36759</v>
      </c>
      <c r="C6286">
        <v>1</v>
      </c>
      <c r="D6286">
        <v>1</v>
      </c>
      <c r="E6286">
        <v>502</v>
      </c>
      <c r="F6286">
        <v>4631</v>
      </c>
      <c r="G6286">
        <f t="shared" si="98"/>
        <v>1577186857</v>
      </c>
    </row>
    <row r="6287" spans="1:7" x14ac:dyDescent="0.25">
      <c r="A6287">
        <v>1577186871</v>
      </c>
      <c r="B6287" t="s">
        <v>37180</v>
      </c>
      <c r="C6287">
        <v>0</v>
      </c>
      <c r="D6287">
        <v>0</v>
      </c>
      <c r="E6287">
        <v>0</v>
      </c>
      <c r="F6287">
        <v>8093</v>
      </c>
      <c r="G6287">
        <f t="shared" si="98"/>
        <v>1577186871</v>
      </c>
    </row>
    <row r="6288" spans="1:7" x14ac:dyDescent="0.25">
      <c r="A6288">
        <v>1577186904</v>
      </c>
      <c r="B6288" t="s">
        <v>28651</v>
      </c>
      <c r="C6288">
        <v>0</v>
      </c>
      <c r="D6288">
        <v>0</v>
      </c>
      <c r="E6288">
        <v>0</v>
      </c>
      <c r="F6288">
        <v>8094</v>
      </c>
      <c r="G6288">
        <f t="shared" si="98"/>
        <v>1577186904</v>
      </c>
    </row>
    <row r="6289" spans="1:7" x14ac:dyDescent="0.25">
      <c r="A6289">
        <v>1577186934</v>
      </c>
      <c r="B6289" t="s">
        <v>28652</v>
      </c>
      <c r="C6289">
        <v>0</v>
      </c>
      <c r="D6289">
        <v>1</v>
      </c>
      <c r="E6289">
        <v>1483</v>
      </c>
      <c r="F6289">
        <v>3608</v>
      </c>
      <c r="G6289">
        <f t="shared" si="98"/>
        <v>1577186934</v>
      </c>
    </row>
    <row r="6290" spans="1:7" x14ac:dyDescent="0.25">
      <c r="A6290">
        <v>1577186940</v>
      </c>
      <c r="B6290" t="s">
        <v>28653</v>
      </c>
      <c r="C6290">
        <v>0</v>
      </c>
      <c r="D6290">
        <v>1</v>
      </c>
      <c r="E6290">
        <v>26</v>
      </c>
      <c r="F6290">
        <v>6793</v>
      </c>
      <c r="G6290">
        <f t="shared" si="98"/>
        <v>1577186940</v>
      </c>
    </row>
    <row r="6291" spans="1:7" x14ac:dyDescent="0.25">
      <c r="A6291">
        <v>1577186991</v>
      </c>
      <c r="B6291" t="s">
        <v>28654</v>
      </c>
      <c r="C6291">
        <v>0</v>
      </c>
      <c r="D6291">
        <v>1</v>
      </c>
      <c r="E6291">
        <v>1306</v>
      </c>
      <c r="F6291">
        <v>3723</v>
      </c>
      <c r="G6291">
        <f t="shared" si="98"/>
        <v>1577186991</v>
      </c>
    </row>
    <row r="6292" spans="1:7" x14ac:dyDescent="0.25">
      <c r="A6292">
        <v>1577187006</v>
      </c>
      <c r="B6292" t="s">
        <v>28655</v>
      </c>
      <c r="C6292">
        <v>0</v>
      </c>
      <c r="D6292">
        <v>1</v>
      </c>
      <c r="E6292">
        <v>263</v>
      </c>
      <c r="F6292">
        <v>5252</v>
      </c>
      <c r="G6292">
        <f t="shared" si="98"/>
        <v>1577187006</v>
      </c>
    </row>
    <row r="6293" spans="1:7" x14ac:dyDescent="0.25">
      <c r="A6293">
        <v>1577187041</v>
      </c>
      <c r="B6293" t="s">
        <v>28656</v>
      </c>
      <c r="C6293">
        <v>199</v>
      </c>
      <c r="D6293">
        <v>4</v>
      </c>
      <c r="E6293">
        <v>22207</v>
      </c>
      <c r="F6293">
        <v>507</v>
      </c>
      <c r="G6293">
        <f t="shared" si="98"/>
        <v>1577187041</v>
      </c>
    </row>
    <row r="6294" spans="1:7" x14ac:dyDescent="0.25">
      <c r="A6294">
        <v>1577187061</v>
      </c>
      <c r="B6294" t="s">
        <v>28657</v>
      </c>
      <c r="C6294">
        <v>0</v>
      </c>
      <c r="D6294">
        <v>1</v>
      </c>
      <c r="E6294">
        <v>26</v>
      </c>
      <c r="F6294">
        <v>6794</v>
      </c>
      <c r="G6294">
        <f t="shared" si="98"/>
        <v>1577187061</v>
      </c>
    </row>
    <row r="6295" spans="1:7" x14ac:dyDescent="0.25">
      <c r="A6295">
        <v>1577187107</v>
      </c>
      <c r="B6295" t="s">
        <v>28658</v>
      </c>
      <c r="C6295">
        <v>480</v>
      </c>
      <c r="D6295">
        <v>2</v>
      </c>
      <c r="E6295">
        <v>7009</v>
      </c>
      <c r="F6295">
        <v>2063</v>
      </c>
      <c r="G6295">
        <f t="shared" si="98"/>
        <v>1577187107</v>
      </c>
    </row>
    <row r="6296" spans="1:7" x14ac:dyDescent="0.25">
      <c r="A6296">
        <v>1577187109</v>
      </c>
      <c r="B6296" t="s">
        <v>28659</v>
      </c>
      <c r="C6296">
        <v>480</v>
      </c>
      <c r="D6296">
        <v>2</v>
      </c>
      <c r="E6296">
        <v>7467</v>
      </c>
      <c r="F6296">
        <v>1984</v>
      </c>
      <c r="G6296">
        <f t="shared" si="98"/>
        <v>1577187109</v>
      </c>
    </row>
    <row r="6297" spans="1:7" x14ac:dyDescent="0.25">
      <c r="A6297">
        <v>1577187118</v>
      </c>
      <c r="B6297" t="s">
        <v>28660</v>
      </c>
      <c r="C6297">
        <v>0</v>
      </c>
      <c r="D6297">
        <v>0</v>
      </c>
      <c r="E6297">
        <v>0</v>
      </c>
      <c r="F6297">
        <v>8095</v>
      </c>
      <c r="G6297">
        <f t="shared" si="98"/>
        <v>1577187118</v>
      </c>
    </row>
    <row r="6298" spans="1:7" x14ac:dyDescent="0.25">
      <c r="A6298">
        <v>1577187122</v>
      </c>
      <c r="B6298" t="s">
        <v>36760</v>
      </c>
      <c r="C6298">
        <v>0</v>
      </c>
      <c r="D6298">
        <v>0</v>
      </c>
      <c r="E6298">
        <v>0</v>
      </c>
      <c r="F6298">
        <v>8096</v>
      </c>
      <c r="G6298">
        <f t="shared" si="98"/>
        <v>1577187122</v>
      </c>
    </row>
    <row r="6299" spans="1:7" x14ac:dyDescent="0.25">
      <c r="A6299">
        <v>1577187131</v>
      </c>
      <c r="B6299" t="s">
        <v>36761</v>
      </c>
      <c r="C6299">
        <v>584</v>
      </c>
      <c r="D6299">
        <v>1</v>
      </c>
      <c r="E6299">
        <v>1113</v>
      </c>
      <c r="F6299">
        <v>3868</v>
      </c>
      <c r="G6299">
        <f t="shared" si="98"/>
        <v>1577187131</v>
      </c>
    </row>
    <row r="6300" spans="1:7" x14ac:dyDescent="0.25">
      <c r="A6300">
        <v>1577187154</v>
      </c>
      <c r="B6300" t="s">
        <v>28661</v>
      </c>
      <c r="C6300">
        <v>118</v>
      </c>
      <c r="D6300">
        <v>2</v>
      </c>
      <c r="E6300">
        <v>4588</v>
      </c>
      <c r="F6300">
        <v>2599</v>
      </c>
      <c r="G6300">
        <f t="shared" si="98"/>
        <v>1577187154</v>
      </c>
    </row>
    <row r="6301" spans="1:7" x14ac:dyDescent="0.25">
      <c r="A6301">
        <v>1577187159</v>
      </c>
      <c r="B6301" t="s">
        <v>28662</v>
      </c>
      <c r="C6301">
        <v>412</v>
      </c>
      <c r="D6301">
        <v>2</v>
      </c>
      <c r="E6301">
        <v>9433</v>
      </c>
      <c r="F6301">
        <v>1650</v>
      </c>
      <c r="G6301">
        <f t="shared" si="98"/>
        <v>1577187159</v>
      </c>
    </row>
    <row r="6302" spans="1:7" x14ac:dyDescent="0.25">
      <c r="A6302">
        <v>1577187168</v>
      </c>
      <c r="B6302" t="s">
        <v>36762</v>
      </c>
      <c r="C6302">
        <v>151</v>
      </c>
      <c r="D6302">
        <v>2</v>
      </c>
      <c r="E6302">
        <v>1247</v>
      </c>
      <c r="F6302">
        <v>3764</v>
      </c>
      <c r="G6302">
        <f t="shared" si="98"/>
        <v>1577187168</v>
      </c>
    </row>
    <row r="6303" spans="1:7" x14ac:dyDescent="0.25">
      <c r="A6303">
        <v>1577187178</v>
      </c>
      <c r="B6303" t="s">
        <v>28663</v>
      </c>
      <c r="C6303">
        <v>0</v>
      </c>
      <c r="D6303">
        <v>1</v>
      </c>
      <c r="E6303">
        <v>195</v>
      </c>
      <c r="F6303">
        <v>5518</v>
      </c>
      <c r="G6303">
        <f t="shared" si="98"/>
        <v>1577187178</v>
      </c>
    </row>
    <row r="6304" spans="1:7" x14ac:dyDescent="0.25">
      <c r="A6304">
        <v>1577187211</v>
      </c>
      <c r="B6304" t="s">
        <v>28664</v>
      </c>
      <c r="C6304">
        <v>175</v>
      </c>
      <c r="D6304">
        <v>8</v>
      </c>
      <c r="E6304">
        <v>49492</v>
      </c>
      <c r="F6304">
        <v>42</v>
      </c>
      <c r="G6304">
        <f t="shared" si="98"/>
        <v>1577187211</v>
      </c>
    </row>
    <row r="6305" spans="1:7" x14ac:dyDescent="0.25">
      <c r="A6305">
        <v>1577187225</v>
      </c>
      <c r="B6305" t="s">
        <v>28665</v>
      </c>
      <c r="C6305">
        <v>179</v>
      </c>
      <c r="D6305">
        <v>2</v>
      </c>
      <c r="E6305">
        <v>8152</v>
      </c>
      <c r="F6305">
        <v>1855</v>
      </c>
      <c r="G6305">
        <f t="shared" si="98"/>
        <v>1577187225</v>
      </c>
    </row>
    <row r="6306" spans="1:7" x14ac:dyDescent="0.25">
      <c r="A6306">
        <v>1577187227</v>
      </c>
      <c r="B6306" t="s">
        <v>28666</v>
      </c>
      <c r="C6306">
        <v>175</v>
      </c>
      <c r="D6306">
        <v>2</v>
      </c>
      <c r="E6306">
        <v>6352</v>
      </c>
      <c r="F6306">
        <v>2204</v>
      </c>
      <c r="G6306">
        <f t="shared" si="98"/>
        <v>1577187227</v>
      </c>
    </row>
    <row r="6307" spans="1:7" x14ac:dyDescent="0.25">
      <c r="A6307">
        <v>1577187246</v>
      </c>
      <c r="B6307" t="s">
        <v>28667</v>
      </c>
      <c r="C6307">
        <v>79</v>
      </c>
      <c r="D6307">
        <v>3</v>
      </c>
      <c r="E6307">
        <v>8587</v>
      </c>
      <c r="F6307">
        <v>1785</v>
      </c>
      <c r="G6307">
        <f t="shared" si="98"/>
        <v>1577187246</v>
      </c>
    </row>
    <row r="6308" spans="1:7" x14ac:dyDescent="0.25">
      <c r="A6308">
        <v>1577187263</v>
      </c>
      <c r="B6308" t="s">
        <v>28668</v>
      </c>
      <c r="C6308">
        <v>1621</v>
      </c>
      <c r="D6308">
        <v>0</v>
      </c>
      <c r="E6308">
        <v>0</v>
      </c>
      <c r="F6308">
        <v>8097</v>
      </c>
      <c r="G6308">
        <f t="shared" si="98"/>
        <v>1577187263</v>
      </c>
    </row>
    <row r="6309" spans="1:7" x14ac:dyDescent="0.25">
      <c r="A6309">
        <v>1577187330</v>
      </c>
      <c r="B6309" t="s">
        <v>28669</v>
      </c>
      <c r="C6309">
        <v>0</v>
      </c>
      <c r="D6309">
        <v>1</v>
      </c>
      <c r="E6309">
        <v>2916</v>
      </c>
      <c r="F6309">
        <v>3008</v>
      </c>
      <c r="G6309">
        <f t="shared" si="98"/>
        <v>1577187330</v>
      </c>
    </row>
    <row r="6310" spans="1:7" x14ac:dyDescent="0.25">
      <c r="A6310">
        <v>1577187336</v>
      </c>
      <c r="B6310" t="s">
        <v>28670</v>
      </c>
      <c r="C6310">
        <v>0</v>
      </c>
      <c r="D6310">
        <v>0</v>
      </c>
      <c r="E6310">
        <v>0</v>
      </c>
      <c r="F6310">
        <v>8098</v>
      </c>
      <c r="G6310">
        <f t="shared" si="98"/>
        <v>1577187336</v>
      </c>
    </row>
    <row r="6311" spans="1:7" x14ac:dyDescent="0.25">
      <c r="A6311">
        <v>1577187369</v>
      </c>
      <c r="B6311" t="s">
        <v>28671</v>
      </c>
      <c r="C6311">
        <v>1880</v>
      </c>
      <c r="D6311">
        <v>1</v>
      </c>
      <c r="E6311">
        <v>1271</v>
      </c>
      <c r="F6311">
        <v>3747</v>
      </c>
      <c r="G6311">
        <f t="shared" si="98"/>
        <v>1577187369</v>
      </c>
    </row>
    <row r="6312" spans="1:7" x14ac:dyDescent="0.25">
      <c r="A6312">
        <v>1577187371</v>
      </c>
      <c r="B6312" t="s">
        <v>36763</v>
      </c>
      <c r="C6312">
        <v>552</v>
      </c>
      <c r="D6312">
        <v>4</v>
      </c>
      <c r="E6312">
        <v>20236</v>
      </c>
      <c r="F6312">
        <v>612</v>
      </c>
      <c r="G6312">
        <f t="shared" si="98"/>
        <v>1577187371</v>
      </c>
    </row>
    <row r="6313" spans="1:7" x14ac:dyDescent="0.25">
      <c r="A6313">
        <v>1577187382</v>
      </c>
      <c r="B6313" t="s">
        <v>28672</v>
      </c>
      <c r="C6313">
        <v>0</v>
      </c>
      <c r="D6313">
        <v>0</v>
      </c>
      <c r="E6313">
        <v>0</v>
      </c>
      <c r="F6313">
        <v>8099</v>
      </c>
      <c r="G6313">
        <f t="shared" si="98"/>
        <v>1577187382</v>
      </c>
    </row>
    <row r="6314" spans="1:7" x14ac:dyDescent="0.25">
      <c r="A6314">
        <v>1577187431</v>
      </c>
      <c r="B6314" t="s">
        <v>28673</v>
      </c>
      <c r="C6314">
        <v>269</v>
      </c>
      <c r="D6314">
        <v>1</v>
      </c>
      <c r="E6314">
        <v>197</v>
      </c>
      <c r="F6314">
        <v>5545</v>
      </c>
      <c r="G6314">
        <f t="shared" si="98"/>
        <v>1577187431</v>
      </c>
    </row>
    <row r="6315" spans="1:7" x14ac:dyDescent="0.25">
      <c r="A6315">
        <v>1577187432</v>
      </c>
      <c r="B6315" t="s">
        <v>28674</v>
      </c>
      <c r="C6315">
        <v>0</v>
      </c>
      <c r="D6315">
        <v>0</v>
      </c>
      <c r="E6315">
        <v>0</v>
      </c>
      <c r="F6315">
        <v>8100</v>
      </c>
      <c r="G6315">
        <f t="shared" si="98"/>
        <v>1577187432</v>
      </c>
    </row>
    <row r="6316" spans="1:7" x14ac:dyDescent="0.25">
      <c r="A6316">
        <v>1577187434</v>
      </c>
      <c r="B6316" t="s">
        <v>28675</v>
      </c>
      <c r="C6316">
        <v>218</v>
      </c>
      <c r="D6316">
        <v>4</v>
      </c>
      <c r="E6316">
        <v>22014</v>
      </c>
      <c r="F6316">
        <v>526</v>
      </c>
      <c r="G6316">
        <f t="shared" si="98"/>
        <v>1577187434</v>
      </c>
    </row>
    <row r="6317" spans="1:7" x14ac:dyDescent="0.25">
      <c r="A6317">
        <v>1577187438</v>
      </c>
      <c r="B6317" t="s">
        <v>28676</v>
      </c>
      <c r="C6317">
        <v>218</v>
      </c>
      <c r="D6317">
        <v>2</v>
      </c>
      <c r="E6317">
        <v>10561</v>
      </c>
      <c r="F6317">
        <v>1486</v>
      </c>
      <c r="G6317">
        <f t="shared" si="98"/>
        <v>1577187438</v>
      </c>
    </row>
    <row r="6318" spans="1:7" x14ac:dyDescent="0.25">
      <c r="A6318">
        <v>1577187441</v>
      </c>
      <c r="B6318" t="s">
        <v>28677</v>
      </c>
      <c r="C6318">
        <v>0</v>
      </c>
      <c r="D6318">
        <v>1</v>
      </c>
      <c r="E6318">
        <v>157</v>
      </c>
      <c r="F6318">
        <v>5695</v>
      </c>
      <c r="G6318">
        <f t="shared" si="98"/>
        <v>1577187441</v>
      </c>
    </row>
    <row r="6319" spans="1:7" x14ac:dyDescent="0.25">
      <c r="A6319">
        <v>1577187454</v>
      </c>
      <c r="B6319" t="s">
        <v>28678</v>
      </c>
      <c r="C6319">
        <v>431</v>
      </c>
      <c r="D6319">
        <v>1</v>
      </c>
      <c r="E6319">
        <v>379</v>
      </c>
      <c r="F6319">
        <v>4919</v>
      </c>
      <c r="G6319">
        <f t="shared" si="98"/>
        <v>1577187454</v>
      </c>
    </row>
    <row r="6320" spans="1:7" x14ac:dyDescent="0.25">
      <c r="A6320">
        <v>1577187503</v>
      </c>
      <c r="B6320" t="s">
        <v>28679</v>
      </c>
      <c r="C6320">
        <v>0</v>
      </c>
      <c r="D6320">
        <v>1</v>
      </c>
      <c r="E6320">
        <v>105</v>
      </c>
      <c r="F6320">
        <v>5829</v>
      </c>
      <c r="G6320">
        <f t="shared" si="98"/>
        <v>1577187503</v>
      </c>
    </row>
    <row r="6321" spans="1:7" x14ac:dyDescent="0.25">
      <c r="A6321">
        <v>1577187525</v>
      </c>
      <c r="B6321" t="s">
        <v>28680</v>
      </c>
      <c r="C6321">
        <v>0</v>
      </c>
      <c r="D6321">
        <v>0</v>
      </c>
      <c r="E6321">
        <v>0</v>
      </c>
      <c r="F6321">
        <v>8101</v>
      </c>
      <c r="G6321">
        <f t="shared" si="98"/>
        <v>1577187525</v>
      </c>
    </row>
    <row r="6322" spans="1:7" x14ac:dyDescent="0.25">
      <c r="A6322">
        <v>1577187526</v>
      </c>
      <c r="B6322" t="s">
        <v>28681</v>
      </c>
      <c r="C6322">
        <v>0</v>
      </c>
      <c r="D6322">
        <v>1</v>
      </c>
      <c r="E6322">
        <v>70</v>
      </c>
      <c r="F6322">
        <v>6065</v>
      </c>
      <c r="G6322">
        <f t="shared" si="98"/>
        <v>1577187526</v>
      </c>
    </row>
    <row r="6323" spans="1:7" x14ac:dyDescent="0.25">
      <c r="A6323">
        <v>1577187576</v>
      </c>
      <c r="B6323" t="s">
        <v>28682</v>
      </c>
      <c r="C6323">
        <v>1363</v>
      </c>
      <c r="D6323">
        <v>1</v>
      </c>
      <c r="E6323">
        <v>3298</v>
      </c>
      <c r="F6323">
        <v>2925</v>
      </c>
      <c r="G6323">
        <f t="shared" si="98"/>
        <v>1577187576</v>
      </c>
    </row>
    <row r="6324" spans="1:7" x14ac:dyDescent="0.25">
      <c r="A6324">
        <v>1577187587</v>
      </c>
      <c r="B6324" t="s">
        <v>696</v>
      </c>
      <c r="C6324">
        <v>1621</v>
      </c>
      <c r="D6324">
        <v>1</v>
      </c>
      <c r="E6324">
        <v>510</v>
      </c>
      <c r="F6324">
        <v>4608</v>
      </c>
      <c r="G6324">
        <f t="shared" si="98"/>
        <v>1577187587</v>
      </c>
    </row>
    <row r="6325" spans="1:7" x14ac:dyDescent="0.25">
      <c r="A6325">
        <v>1577187590</v>
      </c>
      <c r="B6325" t="s">
        <v>28683</v>
      </c>
      <c r="C6325">
        <v>595</v>
      </c>
      <c r="D6325">
        <v>1</v>
      </c>
      <c r="E6325">
        <v>313</v>
      </c>
      <c r="F6325">
        <v>5092</v>
      </c>
      <c r="G6325">
        <f t="shared" si="98"/>
        <v>1577187590</v>
      </c>
    </row>
    <row r="6326" spans="1:7" x14ac:dyDescent="0.25">
      <c r="A6326">
        <v>1577187605</v>
      </c>
      <c r="B6326" t="s">
        <v>36764</v>
      </c>
      <c r="C6326">
        <v>250</v>
      </c>
      <c r="D6326">
        <v>2</v>
      </c>
      <c r="E6326">
        <v>5364</v>
      </c>
      <c r="F6326">
        <v>2433</v>
      </c>
      <c r="G6326">
        <f t="shared" si="98"/>
        <v>1577187605</v>
      </c>
    </row>
    <row r="6327" spans="1:7" x14ac:dyDescent="0.25">
      <c r="A6327">
        <v>1577187669</v>
      </c>
      <c r="B6327" t="s">
        <v>28684</v>
      </c>
      <c r="C6327">
        <v>0</v>
      </c>
      <c r="D6327">
        <v>1</v>
      </c>
      <c r="E6327">
        <v>26</v>
      </c>
      <c r="F6327">
        <v>6795</v>
      </c>
      <c r="G6327">
        <f t="shared" si="98"/>
        <v>1577187669</v>
      </c>
    </row>
    <row r="6328" spans="1:7" x14ac:dyDescent="0.25">
      <c r="A6328">
        <v>1577187686</v>
      </c>
      <c r="B6328" t="s">
        <v>28685</v>
      </c>
      <c r="C6328">
        <v>467</v>
      </c>
      <c r="D6328">
        <v>3</v>
      </c>
      <c r="E6328">
        <v>9734</v>
      </c>
      <c r="F6328">
        <v>1604</v>
      </c>
      <c r="G6328">
        <f t="shared" si="98"/>
        <v>1577187686</v>
      </c>
    </row>
    <row r="6329" spans="1:7" x14ac:dyDescent="0.25">
      <c r="A6329">
        <v>1577187704</v>
      </c>
      <c r="B6329" t="s">
        <v>28686</v>
      </c>
      <c r="C6329">
        <v>1791</v>
      </c>
      <c r="D6329">
        <v>1</v>
      </c>
      <c r="E6329">
        <v>1922</v>
      </c>
      <c r="F6329">
        <v>3383</v>
      </c>
      <c r="G6329">
        <f t="shared" si="98"/>
        <v>1577187704</v>
      </c>
    </row>
    <row r="6330" spans="1:7" x14ac:dyDescent="0.25">
      <c r="A6330">
        <v>1577187714</v>
      </c>
      <c r="B6330" t="s">
        <v>28687</v>
      </c>
      <c r="C6330">
        <v>163</v>
      </c>
      <c r="D6330">
        <v>0</v>
      </c>
      <c r="E6330">
        <v>0</v>
      </c>
      <c r="F6330">
        <v>8102</v>
      </c>
      <c r="G6330">
        <f t="shared" si="98"/>
        <v>1577187714</v>
      </c>
    </row>
    <row r="6331" spans="1:7" x14ac:dyDescent="0.25">
      <c r="A6331">
        <v>1577187717</v>
      </c>
      <c r="B6331" t="s">
        <v>28688</v>
      </c>
      <c r="C6331">
        <v>0</v>
      </c>
      <c r="D6331">
        <v>0</v>
      </c>
      <c r="E6331">
        <v>0</v>
      </c>
      <c r="F6331">
        <v>8103</v>
      </c>
      <c r="G6331">
        <f t="shared" si="98"/>
        <v>1577187717</v>
      </c>
    </row>
    <row r="6332" spans="1:7" x14ac:dyDescent="0.25">
      <c r="A6332">
        <v>1577187736</v>
      </c>
      <c r="B6332" t="s">
        <v>28689</v>
      </c>
      <c r="C6332">
        <v>0</v>
      </c>
      <c r="D6332">
        <v>1</v>
      </c>
      <c r="E6332">
        <v>213</v>
      </c>
      <c r="F6332">
        <v>5454</v>
      </c>
      <c r="G6332">
        <f t="shared" si="98"/>
        <v>1577187736</v>
      </c>
    </row>
    <row r="6333" spans="1:7" x14ac:dyDescent="0.25">
      <c r="A6333">
        <v>1577187753</v>
      </c>
      <c r="B6333" t="s">
        <v>28690</v>
      </c>
      <c r="C6333">
        <v>86</v>
      </c>
      <c r="D6333">
        <v>1</v>
      </c>
      <c r="E6333">
        <v>122</v>
      </c>
      <c r="F6333">
        <v>5784</v>
      </c>
      <c r="G6333">
        <f t="shared" si="98"/>
        <v>1577187753</v>
      </c>
    </row>
    <row r="6334" spans="1:7" x14ac:dyDescent="0.25">
      <c r="A6334">
        <v>1577187756</v>
      </c>
      <c r="B6334" t="s">
        <v>28691</v>
      </c>
      <c r="C6334">
        <v>175</v>
      </c>
      <c r="D6334">
        <v>8</v>
      </c>
      <c r="E6334">
        <v>47987</v>
      </c>
      <c r="F6334">
        <v>46</v>
      </c>
      <c r="G6334">
        <f t="shared" si="98"/>
        <v>1577187756</v>
      </c>
    </row>
    <row r="6335" spans="1:7" x14ac:dyDescent="0.25">
      <c r="A6335">
        <v>1577187771</v>
      </c>
      <c r="B6335" t="s">
        <v>37343</v>
      </c>
      <c r="C6335">
        <v>0</v>
      </c>
      <c r="D6335">
        <v>0</v>
      </c>
      <c r="E6335">
        <v>0</v>
      </c>
      <c r="F6335">
        <v>8104</v>
      </c>
      <c r="G6335">
        <f t="shared" si="98"/>
        <v>1577187771</v>
      </c>
    </row>
    <row r="6336" spans="1:7" x14ac:dyDescent="0.25">
      <c r="A6336">
        <v>1577187807</v>
      </c>
      <c r="B6336" t="s">
        <v>28692</v>
      </c>
      <c r="C6336">
        <v>409</v>
      </c>
      <c r="D6336">
        <v>3</v>
      </c>
      <c r="E6336">
        <v>13110</v>
      </c>
      <c r="F6336">
        <v>1159</v>
      </c>
      <c r="G6336">
        <f t="shared" si="98"/>
        <v>1577187807</v>
      </c>
    </row>
    <row r="6337" spans="1:7" x14ac:dyDescent="0.25">
      <c r="A6337">
        <v>1577187838</v>
      </c>
      <c r="B6337" t="s">
        <v>28693</v>
      </c>
      <c r="C6337">
        <v>617</v>
      </c>
      <c r="D6337">
        <v>2</v>
      </c>
      <c r="E6337">
        <v>11748</v>
      </c>
      <c r="F6337">
        <v>1318</v>
      </c>
      <c r="G6337">
        <f t="shared" ref="G6337:G6400" si="99">A6337</f>
        <v>1577187838</v>
      </c>
    </row>
    <row r="6338" spans="1:7" x14ac:dyDescent="0.25">
      <c r="A6338">
        <v>1577187872</v>
      </c>
      <c r="B6338" t="s">
        <v>28694</v>
      </c>
      <c r="C6338">
        <v>0</v>
      </c>
      <c r="D6338">
        <v>0</v>
      </c>
      <c r="E6338">
        <v>0</v>
      </c>
      <c r="F6338">
        <v>8105</v>
      </c>
      <c r="G6338">
        <f t="shared" si="99"/>
        <v>1577187872</v>
      </c>
    </row>
    <row r="6339" spans="1:7" x14ac:dyDescent="0.25">
      <c r="A6339">
        <v>1577187878</v>
      </c>
      <c r="B6339" t="s">
        <v>28695</v>
      </c>
      <c r="C6339">
        <v>160</v>
      </c>
      <c r="D6339">
        <v>3</v>
      </c>
      <c r="E6339">
        <v>10874</v>
      </c>
      <c r="F6339">
        <v>1437</v>
      </c>
      <c r="G6339">
        <f t="shared" si="99"/>
        <v>1577187878</v>
      </c>
    </row>
    <row r="6340" spans="1:7" x14ac:dyDescent="0.25">
      <c r="A6340">
        <v>1577187911</v>
      </c>
      <c r="B6340" t="s">
        <v>28696</v>
      </c>
      <c r="C6340">
        <v>218</v>
      </c>
      <c r="D6340">
        <v>2</v>
      </c>
      <c r="E6340">
        <v>6422</v>
      </c>
      <c r="F6340">
        <v>2184</v>
      </c>
      <c r="G6340">
        <f t="shared" si="99"/>
        <v>1577187911</v>
      </c>
    </row>
    <row r="6341" spans="1:7" x14ac:dyDescent="0.25">
      <c r="A6341">
        <v>1577187912</v>
      </c>
      <c r="B6341" t="s">
        <v>28697</v>
      </c>
      <c r="C6341">
        <v>0</v>
      </c>
      <c r="D6341">
        <v>1</v>
      </c>
      <c r="E6341">
        <v>3534</v>
      </c>
      <c r="F6341">
        <v>2871</v>
      </c>
      <c r="G6341">
        <f t="shared" si="99"/>
        <v>1577187912</v>
      </c>
    </row>
    <row r="6342" spans="1:7" x14ac:dyDescent="0.25">
      <c r="A6342">
        <v>1577187920</v>
      </c>
      <c r="B6342" t="s">
        <v>36765</v>
      </c>
      <c r="C6342">
        <v>0</v>
      </c>
      <c r="D6342">
        <v>1</v>
      </c>
      <c r="E6342">
        <v>26</v>
      </c>
      <c r="F6342">
        <v>6796</v>
      </c>
      <c r="G6342">
        <f t="shared" si="99"/>
        <v>1577187920</v>
      </c>
    </row>
    <row r="6343" spans="1:7" x14ac:dyDescent="0.25">
      <c r="A6343">
        <v>1577187988</v>
      </c>
      <c r="B6343" t="s">
        <v>28698</v>
      </c>
      <c r="C6343">
        <v>424</v>
      </c>
      <c r="D6343">
        <v>3</v>
      </c>
      <c r="E6343">
        <v>12090</v>
      </c>
      <c r="F6343">
        <v>1269</v>
      </c>
      <c r="G6343">
        <f t="shared" si="99"/>
        <v>1577187988</v>
      </c>
    </row>
    <row r="6344" spans="1:7" x14ac:dyDescent="0.25">
      <c r="A6344">
        <v>1577187998</v>
      </c>
      <c r="B6344" t="s">
        <v>28699</v>
      </c>
      <c r="C6344">
        <v>1296</v>
      </c>
      <c r="D6344">
        <v>1</v>
      </c>
      <c r="E6344">
        <v>639</v>
      </c>
      <c r="F6344">
        <v>4421</v>
      </c>
      <c r="G6344">
        <f t="shared" si="99"/>
        <v>1577187998</v>
      </c>
    </row>
    <row r="6345" spans="1:7" x14ac:dyDescent="0.25">
      <c r="A6345">
        <v>1577188010</v>
      </c>
      <c r="B6345" t="s">
        <v>36766</v>
      </c>
      <c r="C6345">
        <v>424</v>
      </c>
      <c r="D6345">
        <v>4</v>
      </c>
      <c r="E6345">
        <v>21670</v>
      </c>
      <c r="F6345">
        <v>535</v>
      </c>
      <c r="G6345">
        <f t="shared" si="99"/>
        <v>1577188010</v>
      </c>
    </row>
    <row r="6346" spans="1:7" x14ac:dyDescent="0.25">
      <c r="A6346">
        <v>1577188055</v>
      </c>
      <c r="B6346" t="s">
        <v>28700</v>
      </c>
      <c r="C6346">
        <v>39</v>
      </c>
      <c r="D6346">
        <v>1</v>
      </c>
      <c r="E6346">
        <v>7446</v>
      </c>
      <c r="F6346">
        <v>1988</v>
      </c>
      <c r="G6346">
        <f t="shared" si="99"/>
        <v>1577188055</v>
      </c>
    </row>
    <row r="6347" spans="1:7" x14ac:dyDescent="0.25">
      <c r="A6347">
        <v>1577188071</v>
      </c>
      <c r="B6347" t="s">
        <v>28701</v>
      </c>
      <c r="C6347">
        <v>419</v>
      </c>
      <c r="D6347">
        <v>3</v>
      </c>
      <c r="E6347">
        <v>7853</v>
      </c>
      <c r="F6347">
        <v>1914</v>
      </c>
      <c r="G6347">
        <f t="shared" si="99"/>
        <v>1577188071</v>
      </c>
    </row>
    <row r="6348" spans="1:7" x14ac:dyDescent="0.25">
      <c r="A6348">
        <v>1577188085</v>
      </c>
      <c r="B6348" t="s">
        <v>28702</v>
      </c>
      <c r="C6348">
        <v>333</v>
      </c>
      <c r="D6348">
        <v>1</v>
      </c>
      <c r="E6348">
        <v>5478</v>
      </c>
      <c r="F6348">
        <v>2407</v>
      </c>
      <c r="G6348">
        <f t="shared" si="99"/>
        <v>1577188085</v>
      </c>
    </row>
    <row r="6349" spans="1:7" x14ac:dyDescent="0.25">
      <c r="A6349">
        <v>1577188101</v>
      </c>
      <c r="B6349" t="s">
        <v>36767</v>
      </c>
      <c r="C6349">
        <v>189</v>
      </c>
      <c r="D6349">
        <v>2</v>
      </c>
      <c r="E6349">
        <v>9385</v>
      </c>
      <c r="F6349">
        <v>1656</v>
      </c>
      <c r="G6349">
        <f t="shared" si="99"/>
        <v>1577188101</v>
      </c>
    </row>
    <row r="6350" spans="1:7" x14ac:dyDescent="0.25">
      <c r="A6350">
        <v>1577188103</v>
      </c>
      <c r="B6350" t="s">
        <v>28703</v>
      </c>
      <c r="C6350">
        <v>0</v>
      </c>
      <c r="D6350">
        <v>0</v>
      </c>
      <c r="E6350">
        <v>0</v>
      </c>
      <c r="F6350">
        <v>8106</v>
      </c>
      <c r="G6350">
        <f t="shared" si="99"/>
        <v>1577188103</v>
      </c>
    </row>
    <row r="6351" spans="1:7" x14ac:dyDescent="0.25">
      <c r="A6351">
        <v>1577188130</v>
      </c>
      <c r="B6351" t="s">
        <v>28704</v>
      </c>
      <c r="C6351">
        <v>1643</v>
      </c>
      <c r="D6351">
        <v>1</v>
      </c>
      <c r="E6351">
        <v>1430</v>
      </c>
      <c r="F6351">
        <v>3638</v>
      </c>
      <c r="G6351">
        <f t="shared" si="99"/>
        <v>1577188130</v>
      </c>
    </row>
    <row r="6352" spans="1:7" x14ac:dyDescent="0.25">
      <c r="A6352">
        <v>1577188135</v>
      </c>
      <c r="B6352" t="s">
        <v>28705</v>
      </c>
      <c r="C6352">
        <v>643</v>
      </c>
      <c r="D6352">
        <v>6</v>
      </c>
      <c r="E6352">
        <v>29364</v>
      </c>
      <c r="F6352">
        <v>258</v>
      </c>
      <c r="G6352">
        <f t="shared" si="99"/>
        <v>1577188135</v>
      </c>
    </row>
    <row r="6353" spans="1:7" x14ac:dyDescent="0.25">
      <c r="A6353">
        <v>1577188163</v>
      </c>
      <c r="B6353" t="s">
        <v>36768</v>
      </c>
      <c r="C6353">
        <v>467</v>
      </c>
      <c r="D6353">
        <v>3</v>
      </c>
      <c r="E6353">
        <v>17213</v>
      </c>
      <c r="F6353">
        <v>809</v>
      </c>
      <c r="G6353">
        <f t="shared" si="99"/>
        <v>1577188163</v>
      </c>
    </row>
    <row r="6354" spans="1:7" x14ac:dyDescent="0.25">
      <c r="A6354">
        <v>1577188181</v>
      </c>
      <c r="B6354" t="s">
        <v>28706</v>
      </c>
      <c r="C6354">
        <v>0</v>
      </c>
      <c r="D6354">
        <v>0</v>
      </c>
      <c r="E6354">
        <v>0</v>
      </c>
      <c r="F6354">
        <v>8107</v>
      </c>
      <c r="G6354">
        <f t="shared" si="99"/>
        <v>1577188181</v>
      </c>
    </row>
    <row r="6355" spans="1:7" x14ac:dyDescent="0.25">
      <c r="A6355">
        <v>1577188227</v>
      </c>
      <c r="B6355" t="s">
        <v>28707</v>
      </c>
      <c r="C6355">
        <v>1956</v>
      </c>
      <c r="D6355">
        <v>1</v>
      </c>
      <c r="E6355">
        <v>623</v>
      </c>
      <c r="F6355">
        <v>4447</v>
      </c>
      <c r="G6355">
        <f t="shared" si="99"/>
        <v>1577188227</v>
      </c>
    </row>
    <row r="6356" spans="1:7" x14ac:dyDescent="0.25">
      <c r="A6356">
        <v>1577188239</v>
      </c>
      <c r="B6356" t="s">
        <v>37181</v>
      </c>
      <c r="C6356">
        <v>1946</v>
      </c>
      <c r="D6356">
        <v>1</v>
      </c>
      <c r="E6356">
        <v>5763</v>
      </c>
      <c r="F6356">
        <v>2333</v>
      </c>
      <c r="G6356">
        <f t="shared" si="99"/>
        <v>1577188239</v>
      </c>
    </row>
    <row r="6357" spans="1:7" x14ac:dyDescent="0.25">
      <c r="A6357">
        <v>1577188241</v>
      </c>
      <c r="B6357" t="s">
        <v>28708</v>
      </c>
      <c r="C6357">
        <v>1956</v>
      </c>
      <c r="D6357">
        <v>1</v>
      </c>
      <c r="E6357">
        <v>351</v>
      </c>
      <c r="F6357">
        <v>5001</v>
      </c>
      <c r="G6357">
        <f t="shared" si="99"/>
        <v>1577188241</v>
      </c>
    </row>
    <row r="6358" spans="1:7" x14ac:dyDescent="0.25">
      <c r="A6358">
        <v>1577188252</v>
      </c>
      <c r="B6358" t="s">
        <v>28709</v>
      </c>
      <c r="C6358">
        <v>1535</v>
      </c>
      <c r="D6358">
        <v>1</v>
      </c>
      <c r="E6358">
        <v>2347</v>
      </c>
      <c r="F6358">
        <v>3197</v>
      </c>
      <c r="G6358">
        <f t="shared" si="99"/>
        <v>1577188252</v>
      </c>
    </row>
    <row r="6359" spans="1:7" x14ac:dyDescent="0.25">
      <c r="A6359">
        <v>1577188254</v>
      </c>
      <c r="B6359" t="s">
        <v>28710</v>
      </c>
      <c r="C6359">
        <v>0</v>
      </c>
      <c r="D6359">
        <v>1</v>
      </c>
      <c r="E6359">
        <v>26</v>
      </c>
      <c r="F6359">
        <v>6797</v>
      </c>
      <c r="G6359">
        <f t="shared" si="99"/>
        <v>1577188254</v>
      </c>
    </row>
    <row r="6360" spans="1:7" x14ac:dyDescent="0.25">
      <c r="A6360">
        <v>1577188292</v>
      </c>
      <c r="B6360" t="s">
        <v>28711</v>
      </c>
      <c r="C6360">
        <v>0</v>
      </c>
      <c r="D6360">
        <v>0</v>
      </c>
      <c r="E6360">
        <v>0</v>
      </c>
      <c r="F6360">
        <v>8108</v>
      </c>
      <c r="G6360">
        <f t="shared" si="99"/>
        <v>1577188292</v>
      </c>
    </row>
    <row r="6361" spans="1:7" x14ac:dyDescent="0.25">
      <c r="A6361">
        <v>1577188332</v>
      </c>
      <c r="B6361" t="s">
        <v>28712</v>
      </c>
      <c r="C6361">
        <v>0</v>
      </c>
      <c r="D6361">
        <v>0</v>
      </c>
      <c r="E6361">
        <v>0</v>
      </c>
      <c r="F6361">
        <v>8109</v>
      </c>
      <c r="G6361">
        <f t="shared" si="99"/>
        <v>1577188332</v>
      </c>
    </row>
    <row r="6362" spans="1:7" x14ac:dyDescent="0.25">
      <c r="A6362">
        <v>1577188356</v>
      </c>
      <c r="B6362" t="s">
        <v>36769</v>
      </c>
      <c r="C6362">
        <v>617</v>
      </c>
      <c r="D6362">
        <v>2</v>
      </c>
      <c r="E6362">
        <v>12061</v>
      </c>
      <c r="F6362">
        <v>1275</v>
      </c>
      <c r="G6362">
        <f t="shared" si="99"/>
        <v>1577188356</v>
      </c>
    </row>
    <row r="6363" spans="1:7" x14ac:dyDescent="0.25">
      <c r="A6363">
        <v>1577188371</v>
      </c>
      <c r="B6363" t="s">
        <v>28713</v>
      </c>
      <c r="C6363">
        <v>0</v>
      </c>
      <c r="D6363">
        <v>0</v>
      </c>
      <c r="E6363">
        <v>0</v>
      </c>
      <c r="F6363">
        <v>8110</v>
      </c>
      <c r="G6363">
        <f t="shared" si="99"/>
        <v>1577188371</v>
      </c>
    </row>
    <row r="6364" spans="1:7" x14ac:dyDescent="0.25">
      <c r="A6364">
        <v>1577188377</v>
      </c>
      <c r="B6364" t="s">
        <v>28714</v>
      </c>
      <c r="C6364">
        <v>2010</v>
      </c>
      <c r="D6364">
        <v>1</v>
      </c>
      <c r="E6364">
        <v>1847</v>
      </c>
      <c r="F6364">
        <v>3418</v>
      </c>
      <c r="G6364">
        <f t="shared" si="99"/>
        <v>1577188377</v>
      </c>
    </row>
    <row r="6365" spans="1:7" x14ac:dyDescent="0.25">
      <c r="A6365">
        <v>1577188381</v>
      </c>
      <c r="B6365" t="s">
        <v>28715</v>
      </c>
      <c r="C6365">
        <v>0</v>
      </c>
      <c r="D6365">
        <v>1</v>
      </c>
      <c r="E6365">
        <v>2605</v>
      </c>
      <c r="F6365">
        <v>3097</v>
      </c>
      <c r="G6365">
        <f t="shared" si="99"/>
        <v>1577188381</v>
      </c>
    </row>
    <row r="6366" spans="1:7" x14ac:dyDescent="0.25">
      <c r="A6366">
        <v>1577188410</v>
      </c>
      <c r="B6366" t="s">
        <v>28716</v>
      </c>
      <c r="C6366">
        <v>896</v>
      </c>
      <c r="D6366">
        <v>4</v>
      </c>
      <c r="E6366">
        <v>21922</v>
      </c>
      <c r="F6366">
        <v>525</v>
      </c>
      <c r="G6366">
        <f t="shared" si="99"/>
        <v>1577188410</v>
      </c>
    </row>
    <row r="6367" spans="1:7" x14ac:dyDescent="0.25">
      <c r="A6367">
        <v>1577188427</v>
      </c>
      <c r="B6367" t="s">
        <v>28717</v>
      </c>
      <c r="C6367">
        <v>268</v>
      </c>
      <c r="D6367">
        <v>0</v>
      </c>
      <c r="E6367">
        <v>0</v>
      </c>
      <c r="F6367">
        <v>8111</v>
      </c>
      <c r="G6367">
        <f t="shared" si="99"/>
        <v>1577188427</v>
      </c>
    </row>
    <row r="6368" spans="1:7" x14ac:dyDescent="0.25">
      <c r="A6368">
        <v>1577188446</v>
      </c>
      <c r="B6368" t="s">
        <v>28718</v>
      </c>
      <c r="C6368">
        <v>0</v>
      </c>
      <c r="D6368">
        <v>0</v>
      </c>
      <c r="E6368">
        <v>0</v>
      </c>
      <c r="F6368">
        <v>8112</v>
      </c>
      <c r="G6368">
        <f t="shared" si="99"/>
        <v>1577188446</v>
      </c>
    </row>
    <row r="6369" spans="1:7" x14ac:dyDescent="0.25">
      <c r="A6369">
        <v>1577188458</v>
      </c>
      <c r="B6369" t="s">
        <v>28719</v>
      </c>
      <c r="C6369">
        <v>53</v>
      </c>
      <c r="D6369">
        <v>1</v>
      </c>
      <c r="E6369">
        <v>5606</v>
      </c>
      <c r="F6369">
        <v>2377</v>
      </c>
      <c r="G6369">
        <f t="shared" si="99"/>
        <v>1577188458</v>
      </c>
    </row>
    <row r="6370" spans="1:7" x14ac:dyDescent="0.25">
      <c r="A6370">
        <v>1577188461</v>
      </c>
      <c r="B6370" t="s">
        <v>28720</v>
      </c>
      <c r="C6370">
        <v>0</v>
      </c>
      <c r="D6370">
        <v>0</v>
      </c>
      <c r="E6370">
        <v>0</v>
      </c>
      <c r="F6370">
        <v>8113</v>
      </c>
      <c r="G6370">
        <f t="shared" si="99"/>
        <v>1577188461</v>
      </c>
    </row>
    <row r="6371" spans="1:7" x14ac:dyDescent="0.25">
      <c r="A6371">
        <v>1577188476</v>
      </c>
      <c r="B6371" t="s">
        <v>28721</v>
      </c>
      <c r="C6371">
        <v>0</v>
      </c>
      <c r="D6371">
        <v>1</v>
      </c>
      <c r="E6371">
        <v>497</v>
      </c>
      <c r="F6371">
        <v>4647</v>
      </c>
      <c r="G6371">
        <f t="shared" si="99"/>
        <v>1577188476</v>
      </c>
    </row>
    <row r="6372" spans="1:7" x14ac:dyDescent="0.25">
      <c r="A6372">
        <v>1577188484</v>
      </c>
      <c r="B6372" t="s">
        <v>28722</v>
      </c>
      <c r="C6372">
        <v>1535</v>
      </c>
      <c r="D6372">
        <v>1</v>
      </c>
      <c r="E6372">
        <v>5218</v>
      </c>
      <c r="F6372">
        <v>2463</v>
      </c>
      <c r="G6372">
        <f t="shared" si="99"/>
        <v>1577188484</v>
      </c>
    </row>
    <row r="6373" spans="1:7" x14ac:dyDescent="0.25">
      <c r="A6373">
        <v>1577188486</v>
      </c>
      <c r="B6373" t="s">
        <v>36770</v>
      </c>
      <c r="C6373">
        <v>733</v>
      </c>
      <c r="D6373">
        <v>7</v>
      </c>
      <c r="E6373">
        <v>37776</v>
      </c>
      <c r="F6373">
        <v>110</v>
      </c>
      <c r="G6373">
        <f t="shared" si="99"/>
        <v>1577188486</v>
      </c>
    </row>
    <row r="6374" spans="1:7" x14ac:dyDescent="0.25">
      <c r="A6374">
        <v>1577188511</v>
      </c>
      <c r="B6374" t="s">
        <v>28723</v>
      </c>
      <c r="C6374">
        <v>196</v>
      </c>
      <c r="D6374">
        <v>5</v>
      </c>
      <c r="E6374">
        <v>20770</v>
      </c>
      <c r="F6374">
        <v>579</v>
      </c>
      <c r="G6374">
        <f t="shared" si="99"/>
        <v>1577188511</v>
      </c>
    </row>
    <row r="6375" spans="1:7" x14ac:dyDescent="0.25">
      <c r="A6375">
        <v>1577188514</v>
      </c>
      <c r="B6375" t="s">
        <v>28724</v>
      </c>
      <c r="C6375">
        <v>218</v>
      </c>
      <c r="D6375">
        <v>2</v>
      </c>
      <c r="E6375">
        <v>8131</v>
      </c>
      <c r="F6375">
        <v>1854</v>
      </c>
      <c r="G6375">
        <f t="shared" si="99"/>
        <v>1577188514</v>
      </c>
    </row>
    <row r="6376" spans="1:7" x14ac:dyDescent="0.25">
      <c r="A6376">
        <v>1577188539</v>
      </c>
      <c r="B6376" t="s">
        <v>28725</v>
      </c>
      <c r="C6376">
        <v>333</v>
      </c>
      <c r="D6376">
        <v>1</v>
      </c>
      <c r="E6376">
        <v>4252</v>
      </c>
      <c r="F6376">
        <v>2700</v>
      </c>
      <c r="G6376">
        <f t="shared" si="99"/>
        <v>1577188539</v>
      </c>
    </row>
    <row r="6377" spans="1:7" x14ac:dyDescent="0.25">
      <c r="A6377">
        <v>1577188575</v>
      </c>
      <c r="B6377" t="s">
        <v>28726</v>
      </c>
      <c r="C6377">
        <v>733</v>
      </c>
      <c r="D6377">
        <v>8</v>
      </c>
      <c r="E6377">
        <v>32430</v>
      </c>
      <c r="F6377">
        <v>201</v>
      </c>
      <c r="G6377">
        <f t="shared" si="99"/>
        <v>1577188575</v>
      </c>
    </row>
    <row r="6378" spans="1:7" x14ac:dyDescent="0.25">
      <c r="A6378">
        <v>1577188592</v>
      </c>
      <c r="B6378" t="s">
        <v>28727</v>
      </c>
      <c r="C6378">
        <v>409</v>
      </c>
      <c r="D6378">
        <v>1</v>
      </c>
      <c r="E6378">
        <v>592</v>
      </c>
      <c r="F6378">
        <v>4478</v>
      </c>
      <c r="G6378">
        <f t="shared" si="99"/>
        <v>1577188592</v>
      </c>
    </row>
    <row r="6379" spans="1:7" x14ac:dyDescent="0.25">
      <c r="A6379">
        <v>1577188597</v>
      </c>
      <c r="B6379" t="s">
        <v>36771</v>
      </c>
      <c r="C6379">
        <v>0</v>
      </c>
      <c r="D6379">
        <v>0</v>
      </c>
      <c r="E6379">
        <v>0</v>
      </c>
      <c r="F6379">
        <v>8114</v>
      </c>
      <c r="G6379">
        <f t="shared" si="99"/>
        <v>1577188597</v>
      </c>
    </row>
    <row r="6380" spans="1:7" x14ac:dyDescent="0.25">
      <c r="A6380">
        <v>1577188598</v>
      </c>
      <c r="B6380" t="s">
        <v>28728</v>
      </c>
      <c r="C6380">
        <v>480</v>
      </c>
      <c r="D6380">
        <v>2</v>
      </c>
      <c r="E6380">
        <v>7900</v>
      </c>
      <c r="F6380">
        <v>1917</v>
      </c>
      <c r="G6380">
        <f t="shared" si="99"/>
        <v>1577188598</v>
      </c>
    </row>
    <row r="6381" spans="1:7" x14ac:dyDescent="0.25">
      <c r="A6381">
        <v>1577188605</v>
      </c>
      <c r="B6381" t="s">
        <v>28729</v>
      </c>
      <c r="C6381">
        <v>0</v>
      </c>
      <c r="D6381">
        <v>1</v>
      </c>
      <c r="E6381">
        <v>54</v>
      </c>
      <c r="F6381">
        <v>6139</v>
      </c>
      <c r="G6381">
        <f t="shared" si="99"/>
        <v>1577188605</v>
      </c>
    </row>
    <row r="6382" spans="1:7" x14ac:dyDescent="0.25">
      <c r="A6382">
        <v>1577188640</v>
      </c>
      <c r="B6382" t="s">
        <v>1730</v>
      </c>
      <c r="C6382">
        <v>0</v>
      </c>
      <c r="D6382">
        <v>1</v>
      </c>
      <c r="E6382">
        <v>807</v>
      </c>
      <c r="F6382">
        <v>4191</v>
      </c>
      <c r="G6382">
        <f t="shared" si="99"/>
        <v>1577188640</v>
      </c>
    </row>
    <row r="6383" spans="1:7" x14ac:dyDescent="0.25">
      <c r="A6383">
        <v>1577188654</v>
      </c>
      <c r="B6383" t="s">
        <v>28730</v>
      </c>
      <c r="C6383">
        <v>0</v>
      </c>
      <c r="D6383">
        <v>1</v>
      </c>
      <c r="E6383">
        <v>352</v>
      </c>
      <c r="F6383">
        <v>4981</v>
      </c>
      <c r="G6383">
        <f t="shared" si="99"/>
        <v>1577188654</v>
      </c>
    </row>
    <row r="6384" spans="1:7" x14ac:dyDescent="0.25">
      <c r="A6384">
        <v>1577188672</v>
      </c>
      <c r="B6384" t="s">
        <v>36772</v>
      </c>
      <c r="C6384">
        <v>270</v>
      </c>
      <c r="D6384">
        <v>7</v>
      </c>
      <c r="E6384">
        <v>31449</v>
      </c>
      <c r="F6384">
        <v>215</v>
      </c>
      <c r="G6384">
        <f t="shared" si="99"/>
        <v>1577188672</v>
      </c>
    </row>
    <row r="6385" spans="1:7" x14ac:dyDescent="0.25">
      <c r="A6385">
        <v>1577188677</v>
      </c>
      <c r="B6385" t="s">
        <v>28731</v>
      </c>
      <c r="C6385">
        <v>0</v>
      </c>
      <c r="D6385">
        <v>0</v>
      </c>
      <c r="E6385">
        <v>0</v>
      </c>
      <c r="F6385">
        <v>8115</v>
      </c>
      <c r="G6385">
        <f t="shared" si="99"/>
        <v>1577188677</v>
      </c>
    </row>
    <row r="6386" spans="1:7" x14ac:dyDescent="0.25">
      <c r="A6386">
        <v>1577188715</v>
      </c>
      <c r="B6386" t="s">
        <v>28732</v>
      </c>
      <c r="C6386">
        <v>625</v>
      </c>
      <c r="D6386">
        <v>2</v>
      </c>
      <c r="E6386">
        <v>8620</v>
      </c>
      <c r="F6386">
        <v>2574</v>
      </c>
      <c r="G6386">
        <f t="shared" si="99"/>
        <v>1577188715</v>
      </c>
    </row>
    <row r="6387" spans="1:7" x14ac:dyDescent="0.25">
      <c r="A6387">
        <v>1577188736</v>
      </c>
      <c r="B6387" t="s">
        <v>37411</v>
      </c>
      <c r="C6387">
        <v>270</v>
      </c>
      <c r="D6387">
        <v>5</v>
      </c>
      <c r="E6387">
        <v>24628</v>
      </c>
      <c r="F6387">
        <v>413</v>
      </c>
      <c r="G6387">
        <f t="shared" si="99"/>
        <v>1577188736</v>
      </c>
    </row>
    <row r="6388" spans="1:7" x14ac:dyDescent="0.25">
      <c r="A6388">
        <v>1577188737</v>
      </c>
      <c r="B6388" t="s">
        <v>28733</v>
      </c>
      <c r="C6388">
        <v>152</v>
      </c>
      <c r="D6388">
        <v>8</v>
      </c>
      <c r="E6388">
        <v>38830</v>
      </c>
      <c r="F6388">
        <v>103</v>
      </c>
      <c r="G6388">
        <f t="shared" si="99"/>
        <v>1577188737</v>
      </c>
    </row>
    <row r="6389" spans="1:7" x14ac:dyDescent="0.25">
      <c r="A6389">
        <v>1577188778</v>
      </c>
      <c r="B6389" t="s">
        <v>28734</v>
      </c>
      <c r="C6389">
        <v>1621</v>
      </c>
      <c r="D6389">
        <v>1</v>
      </c>
      <c r="E6389">
        <v>1789</v>
      </c>
      <c r="F6389">
        <v>3451</v>
      </c>
      <c r="G6389">
        <f t="shared" si="99"/>
        <v>1577188778</v>
      </c>
    </row>
    <row r="6390" spans="1:7" x14ac:dyDescent="0.25">
      <c r="A6390">
        <v>1577188785</v>
      </c>
      <c r="B6390" t="s">
        <v>28735</v>
      </c>
      <c r="C6390">
        <v>617</v>
      </c>
      <c r="D6390">
        <v>3</v>
      </c>
      <c r="E6390">
        <v>8349</v>
      </c>
      <c r="F6390">
        <v>1827</v>
      </c>
      <c r="G6390">
        <f t="shared" si="99"/>
        <v>1577188785</v>
      </c>
    </row>
    <row r="6391" spans="1:7" x14ac:dyDescent="0.25">
      <c r="A6391">
        <v>1577188803</v>
      </c>
      <c r="B6391" t="s">
        <v>28736</v>
      </c>
      <c r="C6391">
        <v>733</v>
      </c>
      <c r="D6391">
        <v>9</v>
      </c>
      <c r="E6391">
        <v>48221</v>
      </c>
      <c r="F6391">
        <v>45</v>
      </c>
      <c r="G6391">
        <f t="shared" si="99"/>
        <v>1577188803</v>
      </c>
    </row>
    <row r="6392" spans="1:7" x14ac:dyDescent="0.25">
      <c r="A6392">
        <v>1577188805</v>
      </c>
      <c r="B6392" t="s">
        <v>37344</v>
      </c>
      <c r="C6392">
        <v>0</v>
      </c>
      <c r="D6392">
        <v>1</v>
      </c>
      <c r="E6392">
        <v>26</v>
      </c>
      <c r="F6392">
        <v>6798</v>
      </c>
      <c r="G6392">
        <f t="shared" si="99"/>
        <v>1577188805</v>
      </c>
    </row>
    <row r="6393" spans="1:7" x14ac:dyDescent="0.25">
      <c r="A6393">
        <v>1577188810</v>
      </c>
      <c r="B6393" t="s">
        <v>28737</v>
      </c>
      <c r="C6393">
        <v>1758</v>
      </c>
      <c r="D6393">
        <v>3</v>
      </c>
      <c r="E6393">
        <v>11898</v>
      </c>
      <c r="F6393">
        <v>1294</v>
      </c>
      <c r="G6393">
        <f t="shared" si="99"/>
        <v>1577188810</v>
      </c>
    </row>
    <row r="6394" spans="1:7" x14ac:dyDescent="0.25">
      <c r="A6394">
        <v>1577188822</v>
      </c>
      <c r="B6394" t="s">
        <v>28738</v>
      </c>
      <c r="C6394">
        <v>23</v>
      </c>
      <c r="D6394">
        <v>2</v>
      </c>
      <c r="E6394">
        <v>10969</v>
      </c>
      <c r="F6394">
        <v>1427</v>
      </c>
      <c r="G6394">
        <f t="shared" si="99"/>
        <v>1577188822</v>
      </c>
    </row>
    <row r="6395" spans="1:7" x14ac:dyDescent="0.25">
      <c r="A6395">
        <v>1577188841</v>
      </c>
      <c r="B6395" t="s">
        <v>28739</v>
      </c>
      <c r="C6395">
        <v>174</v>
      </c>
      <c r="D6395">
        <v>3</v>
      </c>
      <c r="E6395">
        <v>15020</v>
      </c>
      <c r="F6395">
        <v>995</v>
      </c>
      <c r="G6395">
        <f t="shared" si="99"/>
        <v>1577188841</v>
      </c>
    </row>
    <row r="6396" spans="1:7" x14ac:dyDescent="0.25">
      <c r="A6396">
        <v>1577188888</v>
      </c>
      <c r="B6396" t="s">
        <v>28740</v>
      </c>
      <c r="C6396">
        <v>78</v>
      </c>
      <c r="D6396">
        <v>0</v>
      </c>
      <c r="E6396">
        <v>0</v>
      </c>
      <c r="F6396">
        <v>8116</v>
      </c>
      <c r="G6396">
        <f t="shared" si="99"/>
        <v>1577188888</v>
      </c>
    </row>
    <row r="6397" spans="1:7" x14ac:dyDescent="0.25">
      <c r="A6397">
        <v>1577188904</v>
      </c>
      <c r="B6397" t="s">
        <v>28741</v>
      </c>
      <c r="C6397">
        <v>0</v>
      </c>
      <c r="D6397">
        <v>0</v>
      </c>
      <c r="E6397">
        <v>0</v>
      </c>
      <c r="F6397">
        <v>8117</v>
      </c>
      <c r="G6397">
        <f t="shared" si="99"/>
        <v>1577188904</v>
      </c>
    </row>
    <row r="6398" spans="1:7" x14ac:dyDescent="0.25">
      <c r="A6398">
        <v>1577188913</v>
      </c>
      <c r="B6398" t="s">
        <v>28742</v>
      </c>
      <c r="C6398">
        <v>413</v>
      </c>
      <c r="D6398">
        <v>1</v>
      </c>
      <c r="E6398">
        <v>4652</v>
      </c>
      <c r="F6398">
        <v>2584</v>
      </c>
      <c r="G6398">
        <f t="shared" si="99"/>
        <v>1577188913</v>
      </c>
    </row>
    <row r="6399" spans="1:7" x14ac:dyDescent="0.25">
      <c r="A6399">
        <v>1577188924</v>
      </c>
      <c r="B6399" t="s">
        <v>28743</v>
      </c>
      <c r="C6399">
        <v>115</v>
      </c>
      <c r="D6399">
        <v>3</v>
      </c>
      <c r="E6399">
        <v>12820</v>
      </c>
      <c r="F6399">
        <v>1187</v>
      </c>
      <c r="G6399">
        <f t="shared" si="99"/>
        <v>1577188924</v>
      </c>
    </row>
    <row r="6400" spans="1:7" x14ac:dyDescent="0.25">
      <c r="A6400">
        <v>1577188925</v>
      </c>
      <c r="B6400" t="s">
        <v>28744</v>
      </c>
      <c r="C6400">
        <v>0</v>
      </c>
      <c r="D6400">
        <v>0</v>
      </c>
      <c r="E6400">
        <v>0</v>
      </c>
      <c r="F6400">
        <v>8118</v>
      </c>
      <c r="G6400">
        <f t="shared" si="99"/>
        <v>1577188925</v>
      </c>
    </row>
    <row r="6401" spans="1:7" x14ac:dyDescent="0.25">
      <c r="A6401">
        <v>1577188929</v>
      </c>
      <c r="B6401" t="s">
        <v>28745</v>
      </c>
      <c r="C6401">
        <v>47</v>
      </c>
      <c r="D6401">
        <v>2</v>
      </c>
      <c r="E6401">
        <v>6437</v>
      </c>
      <c r="F6401">
        <v>2179</v>
      </c>
      <c r="G6401">
        <f t="shared" ref="G6401:G6464" si="100">A6401</f>
        <v>1577188929</v>
      </c>
    </row>
    <row r="6402" spans="1:7" x14ac:dyDescent="0.25">
      <c r="A6402">
        <v>1577188932</v>
      </c>
      <c r="B6402" t="s">
        <v>28746</v>
      </c>
      <c r="C6402">
        <v>0</v>
      </c>
      <c r="D6402">
        <v>0</v>
      </c>
      <c r="E6402">
        <v>0</v>
      </c>
      <c r="F6402">
        <v>8119</v>
      </c>
      <c r="G6402">
        <f t="shared" si="100"/>
        <v>1577188932</v>
      </c>
    </row>
    <row r="6403" spans="1:7" x14ac:dyDescent="0.25">
      <c r="A6403">
        <v>1577188938</v>
      </c>
      <c r="B6403" t="s">
        <v>28747</v>
      </c>
      <c r="C6403">
        <v>0</v>
      </c>
      <c r="D6403">
        <v>0</v>
      </c>
      <c r="E6403">
        <v>0</v>
      </c>
      <c r="F6403">
        <v>8120</v>
      </c>
      <c r="G6403">
        <f t="shared" si="100"/>
        <v>1577188938</v>
      </c>
    </row>
    <row r="6404" spans="1:7" x14ac:dyDescent="0.25">
      <c r="A6404">
        <v>1577188944</v>
      </c>
      <c r="B6404" t="s">
        <v>28748</v>
      </c>
      <c r="C6404">
        <v>0</v>
      </c>
      <c r="D6404">
        <v>1</v>
      </c>
      <c r="E6404">
        <v>585</v>
      </c>
      <c r="F6404">
        <v>4490</v>
      </c>
      <c r="G6404">
        <f t="shared" si="100"/>
        <v>1577188944</v>
      </c>
    </row>
    <row r="6405" spans="1:7" x14ac:dyDescent="0.25">
      <c r="A6405">
        <v>1577188985</v>
      </c>
      <c r="B6405" t="s">
        <v>28749</v>
      </c>
      <c r="C6405">
        <v>0</v>
      </c>
      <c r="D6405">
        <v>0</v>
      </c>
      <c r="E6405">
        <v>0</v>
      </c>
      <c r="F6405">
        <v>8121</v>
      </c>
      <c r="G6405">
        <f t="shared" si="100"/>
        <v>1577188985</v>
      </c>
    </row>
    <row r="6406" spans="1:7" x14ac:dyDescent="0.25">
      <c r="A6406">
        <v>1577188988</v>
      </c>
      <c r="B6406" t="s">
        <v>28750</v>
      </c>
      <c r="C6406">
        <v>0</v>
      </c>
      <c r="D6406">
        <v>1</v>
      </c>
      <c r="E6406">
        <v>4020</v>
      </c>
      <c r="F6406">
        <v>2767</v>
      </c>
      <c r="G6406">
        <f t="shared" si="100"/>
        <v>1577188988</v>
      </c>
    </row>
    <row r="6407" spans="1:7" x14ac:dyDescent="0.25">
      <c r="A6407">
        <v>1577188993</v>
      </c>
      <c r="B6407" t="s">
        <v>28751</v>
      </c>
      <c r="C6407">
        <v>0</v>
      </c>
      <c r="D6407">
        <v>1</v>
      </c>
      <c r="E6407">
        <v>244</v>
      </c>
      <c r="F6407">
        <v>5333</v>
      </c>
      <c r="G6407">
        <f t="shared" si="100"/>
        <v>1577188993</v>
      </c>
    </row>
    <row r="6408" spans="1:7" x14ac:dyDescent="0.25">
      <c r="A6408">
        <v>1577188994</v>
      </c>
      <c r="B6408" t="s">
        <v>28752</v>
      </c>
      <c r="C6408">
        <v>333</v>
      </c>
      <c r="D6408">
        <v>1</v>
      </c>
      <c r="E6408">
        <v>26</v>
      </c>
      <c r="F6408">
        <v>6799</v>
      </c>
      <c r="G6408">
        <f t="shared" si="100"/>
        <v>1577188994</v>
      </c>
    </row>
    <row r="6409" spans="1:7" x14ac:dyDescent="0.25">
      <c r="A6409">
        <v>1577189023</v>
      </c>
      <c r="B6409" t="s">
        <v>28753</v>
      </c>
      <c r="C6409">
        <v>1817</v>
      </c>
      <c r="D6409">
        <v>0</v>
      </c>
      <c r="E6409">
        <v>0</v>
      </c>
      <c r="F6409">
        <v>8122</v>
      </c>
      <c r="G6409">
        <f t="shared" si="100"/>
        <v>1577189023</v>
      </c>
    </row>
    <row r="6410" spans="1:7" x14ac:dyDescent="0.25">
      <c r="A6410">
        <v>1577189029</v>
      </c>
      <c r="B6410" t="s">
        <v>36773</v>
      </c>
      <c r="C6410">
        <v>0</v>
      </c>
      <c r="D6410">
        <v>0</v>
      </c>
      <c r="E6410">
        <v>0</v>
      </c>
      <c r="F6410">
        <v>8123</v>
      </c>
      <c r="G6410">
        <f t="shared" si="100"/>
        <v>1577189029</v>
      </c>
    </row>
    <row r="6411" spans="1:7" x14ac:dyDescent="0.25">
      <c r="A6411">
        <v>1577189065</v>
      </c>
      <c r="B6411" t="s">
        <v>28754</v>
      </c>
      <c r="C6411">
        <v>1403</v>
      </c>
      <c r="D6411">
        <v>1</v>
      </c>
      <c r="E6411">
        <v>4452</v>
      </c>
      <c r="F6411">
        <v>2636</v>
      </c>
      <c r="G6411">
        <f t="shared" si="100"/>
        <v>1577189065</v>
      </c>
    </row>
    <row r="6412" spans="1:7" x14ac:dyDescent="0.25">
      <c r="A6412">
        <v>1577189077</v>
      </c>
      <c r="B6412" t="s">
        <v>28755</v>
      </c>
      <c r="C6412">
        <v>0</v>
      </c>
      <c r="D6412">
        <v>1</v>
      </c>
      <c r="E6412">
        <v>26</v>
      </c>
      <c r="F6412">
        <v>6800</v>
      </c>
      <c r="G6412">
        <f t="shared" si="100"/>
        <v>1577189077</v>
      </c>
    </row>
    <row r="6413" spans="1:7" x14ac:dyDescent="0.25">
      <c r="A6413">
        <v>1577189084</v>
      </c>
      <c r="B6413" t="s">
        <v>28756</v>
      </c>
      <c r="C6413">
        <v>0</v>
      </c>
      <c r="D6413">
        <v>1</v>
      </c>
      <c r="E6413">
        <v>162</v>
      </c>
      <c r="F6413">
        <v>5650</v>
      </c>
      <c r="G6413">
        <f t="shared" si="100"/>
        <v>1577189084</v>
      </c>
    </row>
    <row r="6414" spans="1:7" x14ac:dyDescent="0.25">
      <c r="A6414">
        <v>1577189085</v>
      </c>
      <c r="B6414" t="s">
        <v>28757</v>
      </c>
      <c r="C6414">
        <v>1753</v>
      </c>
      <c r="D6414">
        <v>1</v>
      </c>
      <c r="E6414">
        <v>1136</v>
      </c>
      <c r="F6414">
        <v>3845</v>
      </c>
      <c r="G6414">
        <f t="shared" si="100"/>
        <v>1577189085</v>
      </c>
    </row>
    <row r="6415" spans="1:7" x14ac:dyDescent="0.25">
      <c r="A6415">
        <v>1577189088</v>
      </c>
      <c r="B6415" t="s">
        <v>28758</v>
      </c>
      <c r="C6415">
        <v>1357</v>
      </c>
      <c r="D6415">
        <v>1</v>
      </c>
      <c r="E6415">
        <v>368</v>
      </c>
      <c r="F6415">
        <v>4935</v>
      </c>
      <c r="G6415">
        <f t="shared" si="100"/>
        <v>1577189088</v>
      </c>
    </row>
    <row r="6416" spans="1:7" x14ac:dyDescent="0.25">
      <c r="A6416">
        <v>1577189104</v>
      </c>
      <c r="B6416" t="s">
        <v>28759</v>
      </c>
      <c r="C6416">
        <v>333</v>
      </c>
      <c r="D6416">
        <v>1</v>
      </c>
      <c r="E6416">
        <v>5944</v>
      </c>
      <c r="F6416">
        <v>2292</v>
      </c>
      <c r="G6416">
        <f t="shared" si="100"/>
        <v>1577189104</v>
      </c>
    </row>
    <row r="6417" spans="1:7" x14ac:dyDescent="0.25">
      <c r="A6417">
        <v>1577189107</v>
      </c>
      <c r="B6417" t="s">
        <v>28760</v>
      </c>
      <c r="C6417">
        <v>1708</v>
      </c>
      <c r="D6417">
        <v>1</v>
      </c>
      <c r="E6417">
        <v>2462</v>
      </c>
      <c r="F6417">
        <v>3151</v>
      </c>
      <c r="G6417">
        <f t="shared" si="100"/>
        <v>1577189107</v>
      </c>
    </row>
    <row r="6418" spans="1:7" x14ac:dyDescent="0.25">
      <c r="A6418">
        <v>1577189111</v>
      </c>
      <c r="B6418" t="s">
        <v>36774</v>
      </c>
      <c r="C6418">
        <v>1683</v>
      </c>
      <c r="D6418">
        <v>1</v>
      </c>
      <c r="E6418">
        <v>5089</v>
      </c>
      <c r="F6418">
        <v>2505</v>
      </c>
      <c r="G6418">
        <f t="shared" si="100"/>
        <v>1577189111</v>
      </c>
    </row>
    <row r="6419" spans="1:7" x14ac:dyDescent="0.25">
      <c r="A6419">
        <v>1577189115</v>
      </c>
      <c r="B6419" t="s">
        <v>28761</v>
      </c>
      <c r="C6419">
        <v>333</v>
      </c>
      <c r="D6419">
        <v>1</v>
      </c>
      <c r="E6419">
        <v>7201</v>
      </c>
      <c r="F6419">
        <v>2034</v>
      </c>
      <c r="G6419">
        <f t="shared" si="100"/>
        <v>1577189115</v>
      </c>
    </row>
    <row r="6420" spans="1:7" x14ac:dyDescent="0.25">
      <c r="A6420">
        <v>1577189119</v>
      </c>
      <c r="B6420" t="s">
        <v>28762</v>
      </c>
      <c r="C6420">
        <v>2002</v>
      </c>
      <c r="D6420">
        <v>1</v>
      </c>
      <c r="E6420">
        <v>2119</v>
      </c>
      <c r="F6420">
        <v>3302</v>
      </c>
      <c r="G6420">
        <f t="shared" si="100"/>
        <v>1577189119</v>
      </c>
    </row>
    <row r="6421" spans="1:7" x14ac:dyDescent="0.25">
      <c r="A6421">
        <v>1577189120</v>
      </c>
      <c r="B6421" t="s">
        <v>28763</v>
      </c>
      <c r="C6421">
        <v>1413</v>
      </c>
      <c r="D6421">
        <v>1</v>
      </c>
      <c r="E6421">
        <v>2737</v>
      </c>
      <c r="F6421">
        <v>3061</v>
      </c>
      <c r="G6421">
        <f t="shared" si="100"/>
        <v>1577189120</v>
      </c>
    </row>
    <row r="6422" spans="1:7" x14ac:dyDescent="0.25">
      <c r="A6422">
        <v>1577189137</v>
      </c>
      <c r="B6422" t="s">
        <v>28764</v>
      </c>
      <c r="C6422">
        <v>1708</v>
      </c>
      <c r="D6422">
        <v>1</v>
      </c>
      <c r="E6422">
        <v>1423</v>
      </c>
      <c r="F6422">
        <v>3644</v>
      </c>
      <c r="G6422">
        <f t="shared" si="100"/>
        <v>1577189137</v>
      </c>
    </row>
    <row r="6423" spans="1:7" x14ac:dyDescent="0.25">
      <c r="A6423">
        <v>1577189141</v>
      </c>
      <c r="B6423" t="s">
        <v>28765</v>
      </c>
      <c r="C6423">
        <v>0</v>
      </c>
      <c r="D6423">
        <v>0</v>
      </c>
      <c r="E6423">
        <v>0</v>
      </c>
      <c r="F6423">
        <v>8124</v>
      </c>
      <c r="G6423">
        <f t="shared" si="100"/>
        <v>1577189141</v>
      </c>
    </row>
    <row r="6424" spans="1:7" x14ac:dyDescent="0.25">
      <c r="A6424">
        <v>1577189160</v>
      </c>
      <c r="B6424" t="s">
        <v>28766</v>
      </c>
      <c r="C6424">
        <v>0</v>
      </c>
      <c r="D6424">
        <v>1</v>
      </c>
      <c r="E6424">
        <v>26</v>
      </c>
      <c r="F6424">
        <v>6801</v>
      </c>
      <c r="G6424">
        <f t="shared" si="100"/>
        <v>1577189160</v>
      </c>
    </row>
    <row r="6425" spans="1:7" x14ac:dyDescent="0.25">
      <c r="A6425">
        <v>1577189162</v>
      </c>
      <c r="B6425" t="s">
        <v>28767</v>
      </c>
      <c r="C6425">
        <v>0</v>
      </c>
      <c r="D6425">
        <v>1</v>
      </c>
      <c r="E6425">
        <v>47</v>
      </c>
      <c r="F6425">
        <v>6206</v>
      </c>
      <c r="G6425">
        <f t="shared" si="100"/>
        <v>1577189162</v>
      </c>
    </row>
    <row r="6426" spans="1:7" x14ac:dyDescent="0.25">
      <c r="A6426">
        <v>1577189167</v>
      </c>
      <c r="B6426" t="s">
        <v>28768</v>
      </c>
      <c r="C6426">
        <v>0</v>
      </c>
      <c r="D6426">
        <v>0</v>
      </c>
      <c r="E6426">
        <v>0</v>
      </c>
      <c r="F6426">
        <v>8125</v>
      </c>
      <c r="G6426">
        <f t="shared" si="100"/>
        <v>1577189167</v>
      </c>
    </row>
    <row r="6427" spans="1:7" x14ac:dyDescent="0.25">
      <c r="A6427">
        <v>1577189170</v>
      </c>
      <c r="B6427" t="s">
        <v>28769</v>
      </c>
      <c r="C6427">
        <v>0</v>
      </c>
      <c r="D6427">
        <v>0</v>
      </c>
      <c r="E6427">
        <v>0</v>
      </c>
      <c r="F6427">
        <v>8126</v>
      </c>
      <c r="G6427">
        <f t="shared" si="100"/>
        <v>1577189170</v>
      </c>
    </row>
    <row r="6428" spans="1:7" x14ac:dyDescent="0.25">
      <c r="A6428">
        <v>1577189183</v>
      </c>
      <c r="B6428" t="s">
        <v>28770</v>
      </c>
      <c r="C6428">
        <v>0</v>
      </c>
      <c r="D6428">
        <v>1</v>
      </c>
      <c r="E6428">
        <v>682</v>
      </c>
      <c r="F6428">
        <v>4366</v>
      </c>
      <c r="G6428">
        <f t="shared" si="100"/>
        <v>1577189183</v>
      </c>
    </row>
    <row r="6429" spans="1:7" x14ac:dyDescent="0.25">
      <c r="A6429">
        <v>1577189192</v>
      </c>
      <c r="B6429" t="s">
        <v>28771</v>
      </c>
      <c r="C6429">
        <v>39</v>
      </c>
      <c r="D6429">
        <v>2</v>
      </c>
      <c r="E6429">
        <v>11026</v>
      </c>
      <c r="F6429">
        <v>1413</v>
      </c>
      <c r="G6429">
        <f t="shared" si="100"/>
        <v>1577189192</v>
      </c>
    </row>
    <row r="6430" spans="1:7" x14ac:dyDescent="0.25">
      <c r="A6430">
        <v>1577189209</v>
      </c>
      <c r="B6430" t="s">
        <v>28772</v>
      </c>
      <c r="C6430">
        <v>6</v>
      </c>
      <c r="D6430">
        <v>2</v>
      </c>
      <c r="E6430">
        <v>8424</v>
      </c>
      <c r="F6430">
        <v>1809</v>
      </c>
      <c r="G6430">
        <f t="shared" si="100"/>
        <v>1577189209</v>
      </c>
    </row>
    <row r="6431" spans="1:7" x14ac:dyDescent="0.25">
      <c r="A6431">
        <v>1577189226</v>
      </c>
      <c r="B6431" t="s">
        <v>28773</v>
      </c>
      <c r="C6431">
        <v>199</v>
      </c>
      <c r="D6431">
        <v>3</v>
      </c>
      <c r="E6431">
        <v>15433</v>
      </c>
      <c r="F6431">
        <v>951</v>
      </c>
      <c r="G6431">
        <f t="shared" si="100"/>
        <v>1577189226</v>
      </c>
    </row>
    <row r="6432" spans="1:7" x14ac:dyDescent="0.25">
      <c r="A6432">
        <v>1577189236</v>
      </c>
      <c r="B6432" t="s">
        <v>28774</v>
      </c>
      <c r="C6432">
        <v>0</v>
      </c>
      <c r="D6432">
        <v>0</v>
      </c>
      <c r="E6432">
        <v>0</v>
      </c>
      <c r="F6432">
        <v>8127</v>
      </c>
      <c r="G6432">
        <f t="shared" si="100"/>
        <v>1577189236</v>
      </c>
    </row>
    <row r="6433" spans="1:7" x14ac:dyDescent="0.25">
      <c r="A6433">
        <v>1577189242</v>
      </c>
      <c r="B6433" t="s">
        <v>28775</v>
      </c>
      <c r="C6433">
        <v>10</v>
      </c>
      <c r="D6433">
        <v>1</v>
      </c>
      <c r="E6433">
        <v>891</v>
      </c>
      <c r="F6433">
        <v>4099</v>
      </c>
      <c r="G6433">
        <f t="shared" si="100"/>
        <v>1577189242</v>
      </c>
    </row>
    <row r="6434" spans="1:7" x14ac:dyDescent="0.25">
      <c r="A6434">
        <v>1577189246</v>
      </c>
      <c r="B6434" t="s">
        <v>36775</v>
      </c>
      <c r="C6434">
        <v>0</v>
      </c>
      <c r="D6434">
        <v>0</v>
      </c>
      <c r="E6434">
        <v>0</v>
      </c>
      <c r="F6434">
        <v>8128</v>
      </c>
      <c r="G6434">
        <f t="shared" si="100"/>
        <v>1577189246</v>
      </c>
    </row>
    <row r="6435" spans="1:7" x14ac:dyDescent="0.25">
      <c r="A6435">
        <v>1577189249</v>
      </c>
      <c r="B6435" t="s">
        <v>28776</v>
      </c>
      <c r="C6435">
        <v>0</v>
      </c>
      <c r="D6435">
        <v>0</v>
      </c>
      <c r="E6435">
        <v>0</v>
      </c>
      <c r="F6435">
        <v>8129</v>
      </c>
      <c r="G6435">
        <f t="shared" si="100"/>
        <v>1577189249</v>
      </c>
    </row>
    <row r="6436" spans="1:7" x14ac:dyDescent="0.25">
      <c r="A6436">
        <v>1577189257</v>
      </c>
      <c r="B6436" t="s">
        <v>36776</v>
      </c>
      <c r="C6436">
        <v>0</v>
      </c>
      <c r="D6436">
        <v>1</v>
      </c>
      <c r="E6436">
        <v>119</v>
      </c>
      <c r="F6436">
        <v>5791</v>
      </c>
      <c r="G6436">
        <f t="shared" si="100"/>
        <v>1577189257</v>
      </c>
    </row>
    <row r="6437" spans="1:7" x14ac:dyDescent="0.25">
      <c r="A6437">
        <v>1577189272</v>
      </c>
      <c r="B6437" t="s">
        <v>28777</v>
      </c>
      <c r="C6437">
        <v>715</v>
      </c>
      <c r="D6437">
        <v>1</v>
      </c>
      <c r="E6437">
        <v>843</v>
      </c>
      <c r="F6437">
        <v>4140</v>
      </c>
      <c r="G6437">
        <f t="shared" si="100"/>
        <v>1577189272</v>
      </c>
    </row>
    <row r="6438" spans="1:7" x14ac:dyDescent="0.25">
      <c r="A6438">
        <v>1577189274</v>
      </c>
      <c r="B6438" t="s">
        <v>28778</v>
      </c>
      <c r="C6438">
        <v>174</v>
      </c>
      <c r="D6438">
        <v>1</v>
      </c>
      <c r="E6438">
        <v>4502</v>
      </c>
      <c r="F6438">
        <v>2620</v>
      </c>
      <c r="G6438">
        <f t="shared" si="100"/>
        <v>1577189274</v>
      </c>
    </row>
    <row r="6439" spans="1:7" x14ac:dyDescent="0.25">
      <c r="A6439">
        <v>1577189291</v>
      </c>
      <c r="B6439" t="s">
        <v>28779</v>
      </c>
      <c r="C6439">
        <v>638</v>
      </c>
      <c r="D6439">
        <v>1</v>
      </c>
      <c r="E6439">
        <v>503</v>
      </c>
      <c r="F6439">
        <v>4628</v>
      </c>
      <c r="G6439">
        <f t="shared" si="100"/>
        <v>1577189291</v>
      </c>
    </row>
    <row r="6440" spans="1:7" x14ac:dyDescent="0.25">
      <c r="A6440">
        <v>1577189323</v>
      </c>
      <c r="B6440" t="s">
        <v>28780</v>
      </c>
      <c r="C6440">
        <v>0</v>
      </c>
      <c r="D6440">
        <v>3</v>
      </c>
      <c r="E6440">
        <v>11374</v>
      </c>
      <c r="F6440">
        <v>1368</v>
      </c>
      <c r="G6440">
        <f t="shared" si="100"/>
        <v>1577189323</v>
      </c>
    </row>
    <row r="6441" spans="1:7" x14ac:dyDescent="0.25">
      <c r="A6441">
        <v>1577189337</v>
      </c>
      <c r="B6441" t="s">
        <v>28781</v>
      </c>
      <c r="C6441">
        <v>174</v>
      </c>
      <c r="D6441">
        <v>1</v>
      </c>
      <c r="E6441">
        <v>2622</v>
      </c>
      <c r="F6441">
        <v>3094</v>
      </c>
      <c r="G6441">
        <f t="shared" si="100"/>
        <v>1577189337</v>
      </c>
    </row>
    <row r="6442" spans="1:7" x14ac:dyDescent="0.25">
      <c r="A6442">
        <v>1577189364</v>
      </c>
      <c r="B6442" t="s">
        <v>28782</v>
      </c>
      <c r="C6442">
        <v>0</v>
      </c>
      <c r="D6442">
        <v>1</v>
      </c>
      <c r="E6442">
        <v>26</v>
      </c>
      <c r="F6442">
        <v>6802</v>
      </c>
      <c r="G6442">
        <f t="shared" si="100"/>
        <v>1577189364</v>
      </c>
    </row>
    <row r="6443" spans="1:7" x14ac:dyDescent="0.25">
      <c r="A6443">
        <v>1577189415</v>
      </c>
      <c r="B6443" t="s">
        <v>28783</v>
      </c>
      <c r="C6443">
        <v>199</v>
      </c>
      <c r="D6443">
        <v>3</v>
      </c>
      <c r="E6443">
        <v>17497</v>
      </c>
      <c r="F6443">
        <v>800</v>
      </c>
      <c r="G6443">
        <f t="shared" si="100"/>
        <v>1577189415</v>
      </c>
    </row>
    <row r="6444" spans="1:7" x14ac:dyDescent="0.25">
      <c r="A6444">
        <v>1577189429</v>
      </c>
      <c r="B6444" t="s">
        <v>1348</v>
      </c>
      <c r="C6444">
        <v>0</v>
      </c>
      <c r="D6444">
        <v>0</v>
      </c>
      <c r="E6444">
        <v>0</v>
      </c>
      <c r="F6444">
        <v>8130</v>
      </c>
      <c r="G6444">
        <f t="shared" si="100"/>
        <v>1577189429</v>
      </c>
    </row>
    <row r="6445" spans="1:7" x14ac:dyDescent="0.25">
      <c r="A6445">
        <v>1577189458</v>
      </c>
      <c r="B6445" t="s">
        <v>28784</v>
      </c>
      <c r="C6445">
        <v>1503</v>
      </c>
      <c r="D6445">
        <v>1</v>
      </c>
      <c r="E6445">
        <v>5369</v>
      </c>
      <c r="F6445">
        <v>2432</v>
      </c>
      <c r="G6445">
        <f t="shared" si="100"/>
        <v>1577189458</v>
      </c>
    </row>
    <row r="6446" spans="1:7" x14ac:dyDescent="0.25">
      <c r="A6446">
        <v>1577189481</v>
      </c>
      <c r="B6446" t="s">
        <v>28785</v>
      </c>
      <c r="C6446">
        <v>0</v>
      </c>
      <c r="D6446">
        <v>1</v>
      </c>
      <c r="E6446">
        <v>250</v>
      </c>
      <c r="F6446">
        <v>5306</v>
      </c>
      <c r="G6446">
        <f t="shared" si="100"/>
        <v>1577189481</v>
      </c>
    </row>
    <row r="6447" spans="1:7" x14ac:dyDescent="0.25">
      <c r="A6447">
        <v>1577189485</v>
      </c>
      <c r="B6447" t="s">
        <v>28786</v>
      </c>
      <c r="C6447">
        <v>1904</v>
      </c>
      <c r="D6447">
        <v>1</v>
      </c>
      <c r="E6447">
        <v>1114</v>
      </c>
      <c r="F6447">
        <v>3860</v>
      </c>
      <c r="G6447">
        <f t="shared" si="100"/>
        <v>1577189485</v>
      </c>
    </row>
    <row r="6448" spans="1:7" x14ac:dyDescent="0.25">
      <c r="A6448">
        <v>1577189505</v>
      </c>
      <c r="B6448" t="s">
        <v>28787</v>
      </c>
      <c r="C6448">
        <v>218</v>
      </c>
      <c r="D6448">
        <v>1</v>
      </c>
      <c r="E6448">
        <v>5995</v>
      </c>
      <c r="F6448">
        <v>2276</v>
      </c>
      <c r="G6448">
        <f t="shared" si="100"/>
        <v>1577189505</v>
      </c>
    </row>
    <row r="6449" spans="1:7" x14ac:dyDescent="0.25">
      <c r="A6449">
        <v>1577189515</v>
      </c>
      <c r="B6449" t="s">
        <v>28788</v>
      </c>
      <c r="C6449">
        <v>0</v>
      </c>
      <c r="D6449">
        <v>1</v>
      </c>
      <c r="E6449">
        <v>26</v>
      </c>
      <c r="F6449">
        <v>6803</v>
      </c>
      <c r="G6449">
        <f t="shared" si="100"/>
        <v>1577189515</v>
      </c>
    </row>
    <row r="6450" spans="1:7" x14ac:dyDescent="0.25">
      <c r="A6450">
        <v>1577189615</v>
      </c>
      <c r="B6450" t="s">
        <v>28789</v>
      </c>
      <c r="C6450">
        <v>0</v>
      </c>
      <c r="D6450">
        <v>0</v>
      </c>
      <c r="E6450">
        <v>0</v>
      </c>
      <c r="F6450">
        <v>8131</v>
      </c>
      <c r="G6450">
        <f t="shared" si="100"/>
        <v>1577189615</v>
      </c>
    </row>
    <row r="6451" spans="1:7" x14ac:dyDescent="0.25">
      <c r="A6451">
        <v>1577189629</v>
      </c>
      <c r="B6451" t="s">
        <v>28790</v>
      </c>
      <c r="C6451">
        <v>0</v>
      </c>
      <c r="D6451">
        <v>1</v>
      </c>
      <c r="E6451">
        <v>396</v>
      </c>
      <c r="F6451">
        <v>4859</v>
      </c>
      <c r="G6451">
        <f t="shared" si="100"/>
        <v>1577189629</v>
      </c>
    </row>
    <row r="6452" spans="1:7" x14ac:dyDescent="0.25">
      <c r="A6452">
        <v>1577189640</v>
      </c>
      <c r="B6452" t="s">
        <v>28791</v>
      </c>
      <c r="C6452">
        <v>26</v>
      </c>
      <c r="D6452">
        <v>0</v>
      </c>
      <c r="E6452">
        <v>0</v>
      </c>
      <c r="F6452">
        <v>8132</v>
      </c>
      <c r="G6452">
        <f t="shared" si="100"/>
        <v>1577189640</v>
      </c>
    </row>
    <row r="6453" spans="1:7" x14ac:dyDescent="0.25">
      <c r="A6453">
        <v>1577189647</v>
      </c>
      <c r="B6453" t="s">
        <v>37441</v>
      </c>
      <c r="C6453">
        <v>0</v>
      </c>
      <c r="D6453">
        <v>1</v>
      </c>
      <c r="E6453">
        <v>90</v>
      </c>
      <c r="F6453">
        <v>5908</v>
      </c>
      <c r="G6453">
        <f t="shared" si="100"/>
        <v>1577189647</v>
      </c>
    </row>
    <row r="6454" spans="1:7" x14ac:dyDescent="0.25">
      <c r="A6454">
        <v>1577189654</v>
      </c>
      <c r="B6454" t="s">
        <v>28792</v>
      </c>
      <c r="C6454">
        <v>443</v>
      </c>
      <c r="D6454">
        <v>0</v>
      </c>
      <c r="E6454">
        <v>0</v>
      </c>
      <c r="F6454">
        <v>2168</v>
      </c>
      <c r="G6454">
        <f t="shared" si="100"/>
        <v>1577189654</v>
      </c>
    </row>
    <row r="6455" spans="1:7" x14ac:dyDescent="0.25">
      <c r="A6455">
        <v>1577189671</v>
      </c>
      <c r="B6455" t="s">
        <v>28793</v>
      </c>
      <c r="C6455">
        <v>1138</v>
      </c>
      <c r="D6455">
        <v>0</v>
      </c>
      <c r="E6455">
        <v>0</v>
      </c>
      <c r="F6455">
        <v>8133</v>
      </c>
      <c r="G6455">
        <f t="shared" si="100"/>
        <v>1577189671</v>
      </c>
    </row>
    <row r="6456" spans="1:7" x14ac:dyDescent="0.25">
      <c r="A6456">
        <v>1577189712</v>
      </c>
      <c r="B6456" t="s">
        <v>1754</v>
      </c>
      <c r="C6456">
        <v>645</v>
      </c>
      <c r="D6456">
        <v>1</v>
      </c>
      <c r="E6456">
        <v>4073</v>
      </c>
      <c r="F6456">
        <v>2757</v>
      </c>
      <c r="G6456">
        <f t="shared" si="100"/>
        <v>1577189712</v>
      </c>
    </row>
    <row r="6457" spans="1:7" x14ac:dyDescent="0.25">
      <c r="A6457">
        <v>1577189724</v>
      </c>
      <c r="B6457" t="s">
        <v>28794</v>
      </c>
      <c r="C6457">
        <v>638</v>
      </c>
      <c r="D6457">
        <v>2</v>
      </c>
      <c r="E6457">
        <v>7420</v>
      </c>
      <c r="F6457">
        <v>1999</v>
      </c>
      <c r="G6457">
        <f t="shared" si="100"/>
        <v>1577189724</v>
      </c>
    </row>
    <row r="6458" spans="1:7" x14ac:dyDescent="0.25">
      <c r="A6458">
        <v>1577189726</v>
      </c>
      <c r="B6458" t="s">
        <v>28795</v>
      </c>
      <c r="C6458">
        <v>326</v>
      </c>
      <c r="D6458">
        <v>1</v>
      </c>
      <c r="E6458">
        <v>39</v>
      </c>
      <c r="F6458">
        <v>6262</v>
      </c>
      <c r="G6458">
        <f t="shared" si="100"/>
        <v>1577189726</v>
      </c>
    </row>
    <row r="6459" spans="1:7" x14ac:dyDescent="0.25">
      <c r="A6459">
        <v>1577189742</v>
      </c>
      <c r="B6459" t="s">
        <v>37412</v>
      </c>
      <c r="C6459">
        <v>1880</v>
      </c>
      <c r="D6459">
        <v>1</v>
      </c>
      <c r="E6459">
        <v>1574</v>
      </c>
      <c r="F6459">
        <v>3579</v>
      </c>
      <c r="G6459">
        <f t="shared" si="100"/>
        <v>1577189742</v>
      </c>
    </row>
    <row r="6460" spans="1:7" x14ac:dyDescent="0.25">
      <c r="A6460">
        <v>1577189756</v>
      </c>
      <c r="B6460" t="s">
        <v>28796</v>
      </c>
      <c r="C6460">
        <v>810</v>
      </c>
      <c r="D6460">
        <v>0</v>
      </c>
      <c r="E6460">
        <v>0</v>
      </c>
      <c r="F6460">
        <v>8134</v>
      </c>
      <c r="G6460">
        <f t="shared" si="100"/>
        <v>1577189756</v>
      </c>
    </row>
    <row r="6461" spans="1:7" x14ac:dyDescent="0.25">
      <c r="A6461">
        <v>1577189770</v>
      </c>
      <c r="B6461" t="s">
        <v>28797</v>
      </c>
      <c r="C6461">
        <v>552</v>
      </c>
      <c r="D6461">
        <v>3</v>
      </c>
      <c r="E6461">
        <v>18010</v>
      </c>
      <c r="F6461">
        <v>753</v>
      </c>
      <c r="G6461">
        <f t="shared" si="100"/>
        <v>1577189770</v>
      </c>
    </row>
    <row r="6462" spans="1:7" x14ac:dyDescent="0.25">
      <c r="A6462">
        <v>1577189774</v>
      </c>
      <c r="B6462" t="s">
        <v>28798</v>
      </c>
      <c r="C6462">
        <v>0</v>
      </c>
      <c r="D6462">
        <v>1</v>
      </c>
      <c r="E6462">
        <v>666</v>
      </c>
      <c r="F6462">
        <v>4392</v>
      </c>
      <c r="G6462">
        <f t="shared" si="100"/>
        <v>1577189774</v>
      </c>
    </row>
    <row r="6463" spans="1:7" x14ac:dyDescent="0.25">
      <c r="A6463">
        <v>1577189800</v>
      </c>
      <c r="B6463" t="s">
        <v>28799</v>
      </c>
      <c r="C6463">
        <v>0</v>
      </c>
      <c r="D6463">
        <v>1</v>
      </c>
      <c r="E6463">
        <v>26</v>
      </c>
      <c r="F6463">
        <v>6804</v>
      </c>
      <c r="G6463">
        <f t="shared" si="100"/>
        <v>1577189800</v>
      </c>
    </row>
    <row r="6464" spans="1:7" x14ac:dyDescent="0.25">
      <c r="A6464">
        <v>1577189808</v>
      </c>
      <c r="B6464" t="s">
        <v>37182</v>
      </c>
      <c r="C6464">
        <v>0</v>
      </c>
      <c r="D6464">
        <v>0</v>
      </c>
      <c r="E6464">
        <v>0</v>
      </c>
      <c r="F6464">
        <v>8135</v>
      </c>
      <c r="G6464">
        <f t="shared" si="100"/>
        <v>1577189808</v>
      </c>
    </row>
    <row r="6465" spans="1:7" x14ac:dyDescent="0.25">
      <c r="A6465">
        <v>1577189837</v>
      </c>
      <c r="B6465" t="s">
        <v>28800</v>
      </c>
      <c r="C6465">
        <v>117</v>
      </c>
      <c r="D6465">
        <v>3</v>
      </c>
      <c r="E6465">
        <v>10307</v>
      </c>
      <c r="F6465">
        <v>1526</v>
      </c>
      <c r="G6465">
        <f t="shared" ref="G6465:G6528" si="101">A6465</f>
        <v>1577189837</v>
      </c>
    </row>
    <row r="6466" spans="1:7" x14ac:dyDescent="0.25">
      <c r="A6466">
        <v>1577189847</v>
      </c>
      <c r="B6466" t="s">
        <v>4466</v>
      </c>
      <c r="C6466">
        <v>0</v>
      </c>
      <c r="D6466">
        <v>1</v>
      </c>
      <c r="E6466">
        <v>177</v>
      </c>
      <c r="F6466">
        <v>5592</v>
      </c>
      <c r="G6466">
        <f t="shared" si="101"/>
        <v>1577189847</v>
      </c>
    </row>
    <row r="6467" spans="1:7" x14ac:dyDescent="0.25">
      <c r="A6467">
        <v>1577189854</v>
      </c>
      <c r="B6467" t="s">
        <v>28801</v>
      </c>
      <c r="C6467">
        <v>0</v>
      </c>
      <c r="D6467">
        <v>1</v>
      </c>
      <c r="E6467">
        <v>79</v>
      </c>
      <c r="F6467">
        <v>5977</v>
      </c>
      <c r="G6467">
        <f t="shared" si="101"/>
        <v>1577189854</v>
      </c>
    </row>
    <row r="6468" spans="1:7" x14ac:dyDescent="0.25">
      <c r="A6468">
        <v>1577189864</v>
      </c>
      <c r="B6468" t="s">
        <v>28802</v>
      </c>
      <c r="C6468">
        <v>320</v>
      </c>
      <c r="D6468">
        <v>1</v>
      </c>
      <c r="E6468">
        <v>4799</v>
      </c>
      <c r="F6468">
        <v>2553</v>
      </c>
      <c r="G6468">
        <f t="shared" si="101"/>
        <v>1577189864</v>
      </c>
    </row>
    <row r="6469" spans="1:7" x14ac:dyDescent="0.25">
      <c r="A6469">
        <v>1577189905</v>
      </c>
      <c r="B6469" t="s">
        <v>28803</v>
      </c>
      <c r="C6469">
        <v>12</v>
      </c>
      <c r="D6469">
        <v>2</v>
      </c>
      <c r="E6469">
        <v>5961</v>
      </c>
      <c r="F6469">
        <v>2283</v>
      </c>
      <c r="G6469">
        <f t="shared" si="101"/>
        <v>1577189905</v>
      </c>
    </row>
    <row r="6470" spans="1:7" x14ac:dyDescent="0.25">
      <c r="A6470">
        <v>1577189949</v>
      </c>
      <c r="B6470" t="s">
        <v>28804</v>
      </c>
      <c r="C6470">
        <v>0</v>
      </c>
      <c r="D6470">
        <v>1</v>
      </c>
      <c r="E6470">
        <v>363</v>
      </c>
      <c r="F6470">
        <v>4948</v>
      </c>
      <c r="G6470">
        <f t="shared" si="101"/>
        <v>1577189949</v>
      </c>
    </row>
    <row r="6471" spans="1:7" x14ac:dyDescent="0.25">
      <c r="A6471">
        <v>1577189971</v>
      </c>
      <c r="B6471" t="s">
        <v>28805</v>
      </c>
      <c r="C6471">
        <v>3</v>
      </c>
      <c r="D6471">
        <v>2</v>
      </c>
      <c r="E6471">
        <v>12540</v>
      </c>
      <c r="F6471">
        <v>1225</v>
      </c>
      <c r="G6471">
        <f t="shared" si="101"/>
        <v>1577189971</v>
      </c>
    </row>
    <row r="6472" spans="1:7" x14ac:dyDescent="0.25">
      <c r="A6472">
        <v>1577190002</v>
      </c>
      <c r="B6472" t="s">
        <v>37070</v>
      </c>
      <c r="C6472">
        <v>643</v>
      </c>
      <c r="D6472">
        <v>6</v>
      </c>
      <c r="E6472">
        <v>43180</v>
      </c>
      <c r="F6472">
        <v>76</v>
      </c>
      <c r="G6472">
        <f t="shared" si="101"/>
        <v>1577190002</v>
      </c>
    </row>
    <row r="6473" spans="1:7" x14ac:dyDescent="0.25">
      <c r="A6473">
        <v>1577190013</v>
      </c>
      <c r="B6473" t="s">
        <v>28806</v>
      </c>
      <c r="C6473">
        <v>0</v>
      </c>
      <c r="D6473">
        <v>0</v>
      </c>
      <c r="E6473">
        <v>0</v>
      </c>
      <c r="F6473">
        <v>8136</v>
      </c>
      <c r="G6473">
        <f t="shared" si="101"/>
        <v>1577190013</v>
      </c>
    </row>
    <row r="6474" spans="1:7" x14ac:dyDescent="0.25">
      <c r="A6474">
        <v>1577190027</v>
      </c>
      <c r="B6474" t="s">
        <v>28807</v>
      </c>
      <c r="C6474">
        <v>18</v>
      </c>
      <c r="D6474">
        <v>1</v>
      </c>
      <c r="E6474">
        <v>26</v>
      </c>
      <c r="F6474">
        <v>6805</v>
      </c>
      <c r="G6474">
        <f t="shared" si="101"/>
        <v>1577190027</v>
      </c>
    </row>
    <row r="6475" spans="1:7" x14ac:dyDescent="0.25">
      <c r="A6475">
        <v>1577190055</v>
      </c>
      <c r="B6475" t="s">
        <v>28808</v>
      </c>
      <c r="C6475">
        <v>0</v>
      </c>
      <c r="D6475">
        <v>1</v>
      </c>
      <c r="E6475">
        <v>61</v>
      </c>
      <c r="F6475">
        <v>6101</v>
      </c>
      <c r="G6475">
        <f t="shared" si="101"/>
        <v>1577190055</v>
      </c>
    </row>
    <row r="6476" spans="1:7" x14ac:dyDescent="0.25">
      <c r="A6476">
        <v>1577190063</v>
      </c>
      <c r="B6476" t="s">
        <v>28809</v>
      </c>
      <c r="C6476">
        <v>0</v>
      </c>
      <c r="D6476">
        <v>0</v>
      </c>
      <c r="E6476">
        <v>0</v>
      </c>
      <c r="F6476">
        <v>8137</v>
      </c>
      <c r="G6476">
        <f t="shared" si="101"/>
        <v>1577190063</v>
      </c>
    </row>
    <row r="6477" spans="1:7" x14ac:dyDescent="0.25">
      <c r="A6477">
        <v>1577190074</v>
      </c>
      <c r="B6477" t="s">
        <v>28810</v>
      </c>
      <c r="C6477">
        <v>0</v>
      </c>
      <c r="D6477">
        <v>0</v>
      </c>
      <c r="E6477">
        <v>0</v>
      </c>
      <c r="F6477">
        <v>8138</v>
      </c>
      <c r="G6477">
        <f t="shared" si="101"/>
        <v>1577190074</v>
      </c>
    </row>
    <row r="6478" spans="1:7" x14ac:dyDescent="0.25">
      <c r="A6478">
        <v>1577190085</v>
      </c>
      <c r="B6478" t="s">
        <v>37071</v>
      </c>
      <c r="C6478">
        <v>25</v>
      </c>
      <c r="D6478">
        <v>6</v>
      </c>
      <c r="E6478">
        <v>39741</v>
      </c>
      <c r="F6478">
        <v>89</v>
      </c>
      <c r="G6478">
        <f t="shared" si="101"/>
        <v>1577190085</v>
      </c>
    </row>
    <row r="6479" spans="1:7" x14ac:dyDescent="0.25">
      <c r="A6479">
        <v>1577190102</v>
      </c>
      <c r="B6479" t="s">
        <v>28811</v>
      </c>
      <c r="C6479">
        <v>0</v>
      </c>
      <c r="D6479">
        <v>1</v>
      </c>
      <c r="E6479">
        <v>26</v>
      </c>
      <c r="F6479">
        <v>6806</v>
      </c>
      <c r="G6479">
        <f t="shared" si="101"/>
        <v>1577190102</v>
      </c>
    </row>
    <row r="6480" spans="1:7" x14ac:dyDescent="0.25">
      <c r="A6480">
        <v>1577190120</v>
      </c>
      <c r="B6480" t="s">
        <v>28812</v>
      </c>
      <c r="C6480">
        <v>0</v>
      </c>
      <c r="D6480">
        <v>0</v>
      </c>
      <c r="E6480">
        <v>0</v>
      </c>
      <c r="F6480">
        <v>8139</v>
      </c>
      <c r="G6480">
        <f t="shared" si="101"/>
        <v>1577190120</v>
      </c>
    </row>
    <row r="6481" spans="1:7" x14ac:dyDescent="0.25">
      <c r="A6481">
        <v>1577190124</v>
      </c>
      <c r="B6481" t="s">
        <v>4534</v>
      </c>
      <c r="C6481">
        <v>1858</v>
      </c>
      <c r="D6481">
        <v>1</v>
      </c>
      <c r="E6481">
        <v>351</v>
      </c>
      <c r="F6481">
        <v>4983</v>
      </c>
      <c r="G6481">
        <f t="shared" si="101"/>
        <v>1577190124</v>
      </c>
    </row>
    <row r="6482" spans="1:7" x14ac:dyDescent="0.25">
      <c r="A6482">
        <v>1577190132</v>
      </c>
      <c r="B6482" t="s">
        <v>28813</v>
      </c>
      <c r="C6482">
        <v>0</v>
      </c>
      <c r="D6482">
        <v>1</v>
      </c>
      <c r="E6482">
        <v>26</v>
      </c>
      <c r="F6482">
        <v>6807</v>
      </c>
      <c r="G6482">
        <f t="shared" si="101"/>
        <v>1577190132</v>
      </c>
    </row>
    <row r="6483" spans="1:7" x14ac:dyDescent="0.25">
      <c r="A6483">
        <v>1577190147</v>
      </c>
      <c r="B6483" t="s">
        <v>28814</v>
      </c>
      <c r="C6483">
        <v>3</v>
      </c>
      <c r="D6483">
        <v>3</v>
      </c>
      <c r="E6483">
        <v>12892</v>
      </c>
      <c r="F6483">
        <v>1180</v>
      </c>
      <c r="G6483">
        <f t="shared" si="101"/>
        <v>1577190147</v>
      </c>
    </row>
    <row r="6484" spans="1:7" x14ac:dyDescent="0.25">
      <c r="A6484">
        <v>1577190165</v>
      </c>
      <c r="B6484" t="s">
        <v>28815</v>
      </c>
      <c r="C6484">
        <v>0</v>
      </c>
      <c r="D6484">
        <v>0</v>
      </c>
      <c r="E6484">
        <v>0</v>
      </c>
      <c r="F6484">
        <v>8140</v>
      </c>
      <c r="G6484">
        <f t="shared" si="101"/>
        <v>1577190165</v>
      </c>
    </row>
    <row r="6485" spans="1:7" x14ac:dyDescent="0.25">
      <c r="A6485">
        <v>1577190171</v>
      </c>
      <c r="B6485" t="s">
        <v>28816</v>
      </c>
      <c r="C6485">
        <v>138</v>
      </c>
      <c r="D6485">
        <v>4</v>
      </c>
      <c r="E6485">
        <v>22834</v>
      </c>
      <c r="F6485">
        <v>479</v>
      </c>
      <c r="G6485">
        <f t="shared" si="101"/>
        <v>1577190171</v>
      </c>
    </row>
    <row r="6486" spans="1:7" x14ac:dyDescent="0.25">
      <c r="A6486">
        <v>1577190187</v>
      </c>
      <c r="B6486" t="s">
        <v>28817</v>
      </c>
      <c r="C6486">
        <v>174</v>
      </c>
      <c r="D6486">
        <v>1</v>
      </c>
      <c r="E6486">
        <v>4032</v>
      </c>
      <c r="F6486">
        <v>2765</v>
      </c>
      <c r="G6486">
        <f t="shared" si="101"/>
        <v>1577190187</v>
      </c>
    </row>
    <row r="6487" spans="1:7" x14ac:dyDescent="0.25">
      <c r="A6487">
        <v>1577190199</v>
      </c>
      <c r="B6487" t="s">
        <v>36777</v>
      </c>
      <c r="C6487">
        <v>53</v>
      </c>
      <c r="D6487">
        <v>2</v>
      </c>
      <c r="E6487">
        <v>8573</v>
      </c>
      <c r="F6487">
        <v>1787</v>
      </c>
      <c r="G6487">
        <f t="shared" si="101"/>
        <v>1577190199</v>
      </c>
    </row>
    <row r="6488" spans="1:7" x14ac:dyDescent="0.25">
      <c r="A6488">
        <v>1577190204</v>
      </c>
      <c r="B6488" t="s">
        <v>28818</v>
      </c>
      <c r="C6488">
        <v>250</v>
      </c>
      <c r="D6488">
        <v>1</v>
      </c>
      <c r="E6488">
        <v>2476</v>
      </c>
      <c r="F6488">
        <v>3148</v>
      </c>
      <c r="G6488">
        <f t="shared" si="101"/>
        <v>1577190204</v>
      </c>
    </row>
    <row r="6489" spans="1:7" x14ac:dyDescent="0.25">
      <c r="A6489">
        <v>1577190223</v>
      </c>
      <c r="B6489" t="s">
        <v>36778</v>
      </c>
      <c r="C6489">
        <v>413</v>
      </c>
      <c r="D6489">
        <v>1</v>
      </c>
      <c r="E6489">
        <v>3033</v>
      </c>
      <c r="F6489">
        <v>2987</v>
      </c>
      <c r="G6489">
        <f t="shared" si="101"/>
        <v>1577190223</v>
      </c>
    </row>
    <row r="6490" spans="1:7" x14ac:dyDescent="0.25">
      <c r="A6490">
        <v>1577190229</v>
      </c>
      <c r="B6490" t="s">
        <v>28819</v>
      </c>
      <c r="C6490">
        <v>424</v>
      </c>
      <c r="D6490">
        <v>1</v>
      </c>
      <c r="E6490">
        <v>7349</v>
      </c>
      <c r="F6490">
        <v>2003</v>
      </c>
      <c r="G6490">
        <f t="shared" si="101"/>
        <v>1577190229</v>
      </c>
    </row>
    <row r="6491" spans="1:7" x14ac:dyDescent="0.25">
      <c r="A6491">
        <v>1577190241</v>
      </c>
      <c r="B6491" t="s">
        <v>28820</v>
      </c>
      <c r="C6491">
        <v>0</v>
      </c>
      <c r="D6491">
        <v>0</v>
      </c>
      <c r="E6491">
        <v>0</v>
      </c>
      <c r="F6491">
        <v>8141</v>
      </c>
      <c r="G6491">
        <f t="shared" si="101"/>
        <v>1577190241</v>
      </c>
    </row>
    <row r="6492" spans="1:7" x14ac:dyDescent="0.25">
      <c r="A6492">
        <v>1577190245</v>
      </c>
      <c r="B6492" t="s">
        <v>28821</v>
      </c>
      <c r="C6492">
        <v>15</v>
      </c>
      <c r="D6492">
        <v>1</v>
      </c>
      <c r="E6492">
        <v>38</v>
      </c>
      <c r="F6492">
        <v>6285</v>
      </c>
      <c r="G6492">
        <f t="shared" si="101"/>
        <v>1577190245</v>
      </c>
    </row>
    <row r="6493" spans="1:7" x14ac:dyDescent="0.25">
      <c r="A6493">
        <v>1577190247</v>
      </c>
      <c r="B6493" t="s">
        <v>28822</v>
      </c>
      <c r="C6493">
        <v>0</v>
      </c>
      <c r="D6493">
        <v>3</v>
      </c>
      <c r="E6493">
        <v>6866</v>
      </c>
      <c r="F6493">
        <v>2089</v>
      </c>
      <c r="G6493">
        <f t="shared" si="101"/>
        <v>1577190247</v>
      </c>
    </row>
    <row r="6494" spans="1:7" x14ac:dyDescent="0.25">
      <c r="A6494">
        <v>1577190276</v>
      </c>
      <c r="B6494" t="s">
        <v>28823</v>
      </c>
      <c r="C6494">
        <v>0</v>
      </c>
      <c r="D6494">
        <v>0</v>
      </c>
      <c r="E6494">
        <v>0</v>
      </c>
      <c r="F6494">
        <v>8142</v>
      </c>
      <c r="G6494">
        <f t="shared" si="101"/>
        <v>1577190276</v>
      </c>
    </row>
    <row r="6495" spans="1:7" x14ac:dyDescent="0.25">
      <c r="A6495">
        <v>1577190278</v>
      </c>
      <c r="B6495" t="s">
        <v>28824</v>
      </c>
      <c r="C6495">
        <v>1535</v>
      </c>
      <c r="D6495">
        <v>1</v>
      </c>
      <c r="E6495">
        <v>2826</v>
      </c>
      <c r="F6495">
        <v>3032</v>
      </c>
      <c r="G6495">
        <f t="shared" si="101"/>
        <v>1577190278</v>
      </c>
    </row>
    <row r="6496" spans="1:7" x14ac:dyDescent="0.25">
      <c r="A6496">
        <v>1577190280</v>
      </c>
      <c r="B6496" t="s">
        <v>28825</v>
      </c>
      <c r="C6496">
        <v>367</v>
      </c>
      <c r="D6496">
        <v>2</v>
      </c>
      <c r="E6496">
        <v>10364</v>
      </c>
      <c r="F6496">
        <v>1517</v>
      </c>
      <c r="G6496">
        <f t="shared" si="101"/>
        <v>1577190280</v>
      </c>
    </row>
    <row r="6497" spans="1:7" x14ac:dyDescent="0.25">
      <c r="A6497">
        <v>1577190281</v>
      </c>
      <c r="B6497" t="s">
        <v>28826</v>
      </c>
      <c r="C6497">
        <v>124</v>
      </c>
      <c r="D6497">
        <v>1</v>
      </c>
      <c r="E6497">
        <v>1620</v>
      </c>
      <c r="F6497">
        <v>3535</v>
      </c>
      <c r="G6497">
        <f t="shared" si="101"/>
        <v>1577190281</v>
      </c>
    </row>
    <row r="6498" spans="1:7" x14ac:dyDescent="0.25">
      <c r="A6498">
        <v>1577190283</v>
      </c>
      <c r="B6498" t="s">
        <v>36779</v>
      </c>
      <c r="C6498">
        <v>0</v>
      </c>
      <c r="D6498">
        <v>0</v>
      </c>
      <c r="E6498">
        <v>0</v>
      </c>
      <c r="F6498">
        <v>8143</v>
      </c>
      <c r="G6498">
        <f t="shared" si="101"/>
        <v>1577190283</v>
      </c>
    </row>
    <row r="6499" spans="1:7" x14ac:dyDescent="0.25">
      <c r="A6499">
        <v>1577190289</v>
      </c>
      <c r="B6499" t="s">
        <v>28827</v>
      </c>
      <c r="C6499">
        <v>0</v>
      </c>
      <c r="D6499">
        <v>0</v>
      </c>
      <c r="E6499">
        <v>0</v>
      </c>
      <c r="F6499">
        <v>8144</v>
      </c>
      <c r="G6499">
        <f t="shared" si="101"/>
        <v>1577190289</v>
      </c>
    </row>
    <row r="6500" spans="1:7" x14ac:dyDescent="0.25">
      <c r="A6500">
        <v>1577190303</v>
      </c>
      <c r="B6500" t="s">
        <v>36780</v>
      </c>
      <c r="C6500">
        <v>0</v>
      </c>
      <c r="D6500">
        <v>0</v>
      </c>
      <c r="E6500">
        <v>0</v>
      </c>
      <c r="F6500">
        <v>8145</v>
      </c>
      <c r="G6500">
        <f t="shared" si="101"/>
        <v>1577190303</v>
      </c>
    </row>
    <row r="6501" spans="1:7" x14ac:dyDescent="0.25">
      <c r="A6501">
        <v>1577190306</v>
      </c>
      <c r="B6501" t="s">
        <v>37345</v>
      </c>
      <c r="C6501">
        <v>0</v>
      </c>
      <c r="D6501">
        <v>1</v>
      </c>
      <c r="E6501">
        <v>164</v>
      </c>
      <c r="F6501">
        <v>5672</v>
      </c>
      <c r="G6501">
        <f t="shared" si="101"/>
        <v>1577190306</v>
      </c>
    </row>
    <row r="6502" spans="1:7" x14ac:dyDescent="0.25">
      <c r="A6502">
        <v>1577190310</v>
      </c>
      <c r="B6502" t="s">
        <v>28828</v>
      </c>
      <c r="C6502">
        <v>0</v>
      </c>
      <c r="D6502">
        <v>0</v>
      </c>
      <c r="E6502">
        <v>0</v>
      </c>
      <c r="F6502">
        <v>8146</v>
      </c>
      <c r="G6502">
        <f t="shared" si="101"/>
        <v>1577190310</v>
      </c>
    </row>
    <row r="6503" spans="1:7" x14ac:dyDescent="0.25">
      <c r="A6503">
        <v>1577190314</v>
      </c>
      <c r="B6503" t="s">
        <v>28829</v>
      </c>
      <c r="C6503">
        <v>1</v>
      </c>
      <c r="D6503">
        <v>1</v>
      </c>
      <c r="E6503">
        <v>3938</v>
      </c>
      <c r="F6503">
        <v>2779</v>
      </c>
      <c r="G6503">
        <f t="shared" si="101"/>
        <v>1577190314</v>
      </c>
    </row>
    <row r="6504" spans="1:7" x14ac:dyDescent="0.25">
      <c r="A6504">
        <v>1577190320</v>
      </c>
      <c r="B6504" t="s">
        <v>28830</v>
      </c>
      <c r="C6504">
        <v>0</v>
      </c>
      <c r="D6504">
        <v>0</v>
      </c>
      <c r="E6504">
        <v>0</v>
      </c>
      <c r="F6504">
        <v>8147</v>
      </c>
      <c r="G6504">
        <f t="shared" si="101"/>
        <v>1577190320</v>
      </c>
    </row>
    <row r="6505" spans="1:7" x14ac:dyDescent="0.25">
      <c r="A6505">
        <v>1577190349</v>
      </c>
      <c r="B6505" t="s">
        <v>28831</v>
      </c>
      <c r="C6505">
        <v>0</v>
      </c>
      <c r="D6505">
        <v>0</v>
      </c>
      <c r="E6505">
        <v>0</v>
      </c>
      <c r="F6505">
        <v>8148</v>
      </c>
      <c r="G6505">
        <f t="shared" si="101"/>
        <v>1577190349</v>
      </c>
    </row>
    <row r="6506" spans="1:7" x14ac:dyDescent="0.25">
      <c r="A6506">
        <v>1577190363</v>
      </c>
      <c r="B6506" t="s">
        <v>28832</v>
      </c>
      <c r="C6506">
        <v>0</v>
      </c>
      <c r="D6506">
        <v>1</v>
      </c>
      <c r="E6506">
        <v>26</v>
      </c>
      <c r="F6506">
        <v>6808</v>
      </c>
      <c r="G6506">
        <f t="shared" si="101"/>
        <v>1577190363</v>
      </c>
    </row>
    <row r="6507" spans="1:7" x14ac:dyDescent="0.25">
      <c r="A6507">
        <v>1577190367</v>
      </c>
      <c r="B6507" t="s">
        <v>28833</v>
      </c>
      <c r="C6507">
        <v>1930</v>
      </c>
      <c r="D6507">
        <v>2</v>
      </c>
      <c r="E6507">
        <v>6644</v>
      </c>
      <c r="F6507">
        <v>2130</v>
      </c>
      <c r="G6507">
        <f t="shared" si="101"/>
        <v>1577190367</v>
      </c>
    </row>
    <row r="6508" spans="1:7" x14ac:dyDescent="0.25">
      <c r="A6508">
        <v>1577190369</v>
      </c>
      <c r="B6508" t="s">
        <v>28834</v>
      </c>
      <c r="C6508">
        <v>1877</v>
      </c>
      <c r="D6508">
        <v>1</v>
      </c>
      <c r="E6508">
        <v>908</v>
      </c>
      <c r="F6508">
        <v>4085</v>
      </c>
      <c r="G6508">
        <f t="shared" si="101"/>
        <v>1577190369</v>
      </c>
    </row>
    <row r="6509" spans="1:7" x14ac:dyDescent="0.25">
      <c r="A6509">
        <v>1577190370</v>
      </c>
      <c r="B6509" t="s">
        <v>28835</v>
      </c>
      <c r="C6509">
        <v>1858</v>
      </c>
      <c r="D6509">
        <v>1</v>
      </c>
      <c r="E6509">
        <v>508</v>
      </c>
      <c r="F6509">
        <v>4623</v>
      </c>
      <c r="G6509">
        <f t="shared" si="101"/>
        <v>1577190370</v>
      </c>
    </row>
    <row r="6510" spans="1:7" x14ac:dyDescent="0.25">
      <c r="A6510">
        <v>1577190408</v>
      </c>
      <c r="B6510" t="s">
        <v>28836</v>
      </c>
      <c r="C6510">
        <v>0</v>
      </c>
      <c r="D6510">
        <v>0</v>
      </c>
      <c r="E6510">
        <v>0</v>
      </c>
      <c r="F6510">
        <v>8149</v>
      </c>
      <c r="G6510">
        <f t="shared" si="101"/>
        <v>1577190408</v>
      </c>
    </row>
    <row r="6511" spans="1:7" x14ac:dyDescent="0.25">
      <c r="A6511">
        <v>1577190416</v>
      </c>
      <c r="B6511" t="s">
        <v>28837</v>
      </c>
      <c r="C6511">
        <v>268</v>
      </c>
      <c r="D6511">
        <v>0</v>
      </c>
      <c r="E6511">
        <v>0</v>
      </c>
      <c r="F6511">
        <v>8150</v>
      </c>
      <c r="G6511">
        <f t="shared" si="101"/>
        <v>1577190416</v>
      </c>
    </row>
    <row r="6512" spans="1:7" x14ac:dyDescent="0.25">
      <c r="A6512">
        <v>1577190419</v>
      </c>
      <c r="B6512" t="s">
        <v>28838</v>
      </c>
      <c r="C6512">
        <v>842</v>
      </c>
      <c r="D6512">
        <v>0</v>
      </c>
      <c r="E6512">
        <v>0</v>
      </c>
      <c r="F6512">
        <v>8151</v>
      </c>
      <c r="G6512">
        <f t="shared" si="101"/>
        <v>1577190419</v>
      </c>
    </row>
    <row r="6513" spans="1:7" x14ac:dyDescent="0.25">
      <c r="A6513">
        <v>1577190422</v>
      </c>
      <c r="B6513" t="s">
        <v>28839</v>
      </c>
      <c r="C6513">
        <v>151</v>
      </c>
      <c r="D6513">
        <v>1</v>
      </c>
      <c r="E6513">
        <v>618</v>
      </c>
      <c r="F6513">
        <v>4451</v>
      </c>
      <c r="G6513">
        <f t="shared" si="101"/>
        <v>1577190422</v>
      </c>
    </row>
    <row r="6514" spans="1:7" x14ac:dyDescent="0.25">
      <c r="A6514">
        <v>1577190423</v>
      </c>
      <c r="B6514" t="s">
        <v>28840</v>
      </c>
      <c r="C6514">
        <v>268</v>
      </c>
      <c r="D6514">
        <v>1</v>
      </c>
      <c r="E6514">
        <v>1099</v>
      </c>
      <c r="F6514">
        <v>3878</v>
      </c>
      <c r="G6514">
        <f t="shared" si="101"/>
        <v>1577190423</v>
      </c>
    </row>
    <row r="6515" spans="1:7" x14ac:dyDescent="0.25">
      <c r="A6515">
        <v>1577190424</v>
      </c>
      <c r="B6515" t="s">
        <v>36781</v>
      </c>
      <c r="C6515">
        <v>0</v>
      </c>
      <c r="D6515">
        <v>1</v>
      </c>
      <c r="E6515">
        <v>26</v>
      </c>
      <c r="F6515">
        <v>6809</v>
      </c>
      <c r="G6515">
        <f t="shared" si="101"/>
        <v>1577190424</v>
      </c>
    </row>
    <row r="6516" spans="1:7" x14ac:dyDescent="0.25">
      <c r="A6516">
        <v>1577190425</v>
      </c>
      <c r="B6516" t="s">
        <v>28841</v>
      </c>
      <c r="C6516">
        <v>268</v>
      </c>
      <c r="D6516">
        <v>0</v>
      </c>
      <c r="E6516">
        <v>0</v>
      </c>
      <c r="F6516">
        <v>8152</v>
      </c>
      <c r="G6516">
        <f t="shared" si="101"/>
        <v>1577190425</v>
      </c>
    </row>
    <row r="6517" spans="1:7" x14ac:dyDescent="0.25">
      <c r="A6517">
        <v>1577190438</v>
      </c>
      <c r="B6517" t="s">
        <v>28842</v>
      </c>
      <c r="C6517">
        <v>0</v>
      </c>
      <c r="D6517">
        <v>1</v>
      </c>
      <c r="E6517">
        <v>56</v>
      </c>
      <c r="F6517">
        <v>6125</v>
      </c>
      <c r="G6517">
        <f t="shared" si="101"/>
        <v>1577190438</v>
      </c>
    </row>
    <row r="6518" spans="1:7" x14ac:dyDescent="0.25">
      <c r="A6518">
        <v>1577190450</v>
      </c>
      <c r="B6518" t="s">
        <v>28843</v>
      </c>
      <c r="C6518">
        <v>0</v>
      </c>
      <c r="D6518">
        <v>1</v>
      </c>
      <c r="E6518">
        <v>1497</v>
      </c>
      <c r="F6518">
        <v>3598</v>
      </c>
      <c r="G6518">
        <f t="shared" si="101"/>
        <v>1577190450</v>
      </c>
    </row>
    <row r="6519" spans="1:7" x14ac:dyDescent="0.25">
      <c r="A6519">
        <v>1577190451</v>
      </c>
      <c r="B6519" t="s">
        <v>28844</v>
      </c>
      <c r="C6519">
        <v>1695</v>
      </c>
      <c r="D6519">
        <v>1</v>
      </c>
      <c r="E6519">
        <v>2328</v>
      </c>
      <c r="F6519">
        <v>3203</v>
      </c>
      <c r="G6519">
        <f t="shared" si="101"/>
        <v>1577190451</v>
      </c>
    </row>
    <row r="6520" spans="1:7" x14ac:dyDescent="0.25">
      <c r="A6520">
        <v>1577190470</v>
      </c>
      <c r="B6520" t="s">
        <v>28845</v>
      </c>
      <c r="C6520">
        <v>0</v>
      </c>
      <c r="D6520">
        <v>3</v>
      </c>
      <c r="E6520">
        <v>6653</v>
      </c>
      <c r="F6520">
        <v>2127</v>
      </c>
      <c r="G6520">
        <f t="shared" si="101"/>
        <v>1577190470</v>
      </c>
    </row>
    <row r="6521" spans="1:7" x14ac:dyDescent="0.25">
      <c r="A6521">
        <v>1577190471</v>
      </c>
      <c r="B6521" t="s">
        <v>28846</v>
      </c>
      <c r="C6521">
        <v>842</v>
      </c>
      <c r="D6521">
        <v>1</v>
      </c>
      <c r="E6521">
        <v>194</v>
      </c>
      <c r="F6521">
        <v>5523</v>
      </c>
      <c r="G6521">
        <f t="shared" si="101"/>
        <v>1577190471</v>
      </c>
    </row>
    <row r="6522" spans="1:7" x14ac:dyDescent="0.25">
      <c r="A6522">
        <v>1577190473</v>
      </c>
      <c r="B6522" t="s">
        <v>28847</v>
      </c>
      <c r="C6522">
        <v>0</v>
      </c>
      <c r="D6522">
        <v>1</v>
      </c>
      <c r="E6522">
        <v>3618</v>
      </c>
      <c r="F6522">
        <v>2846</v>
      </c>
      <c r="G6522">
        <f t="shared" si="101"/>
        <v>1577190473</v>
      </c>
    </row>
    <row r="6523" spans="1:7" x14ac:dyDescent="0.25">
      <c r="A6523">
        <v>1577190476</v>
      </c>
      <c r="B6523" t="s">
        <v>36782</v>
      </c>
      <c r="C6523">
        <v>0</v>
      </c>
      <c r="D6523">
        <v>1</v>
      </c>
      <c r="E6523">
        <v>278</v>
      </c>
      <c r="F6523">
        <v>5190</v>
      </c>
      <c r="G6523">
        <f t="shared" si="101"/>
        <v>1577190476</v>
      </c>
    </row>
    <row r="6524" spans="1:7" x14ac:dyDescent="0.25">
      <c r="A6524">
        <v>1577190478</v>
      </c>
      <c r="B6524" t="s">
        <v>28848</v>
      </c>
      <c r="C6524">
        <v>268</v>
      </c>
      <c r="D6524">
        <v>1</v>
      </c>
      <c r="E6524">
        <v>38</v>
      </c>
      <c r="F6524">
        <v>6286</v>
      </c>
      <c r="G6524">
        <f t="shared" si="101"/>
        <v>1577190478</v>
      </c>
    </row>
    <row r="6525" spans="1:7" x14ac:dyDescent="0.25">
      <c r="A6525">
        <v>1577190495</v>
      </c>
      <c r="B6525" t="s">
        <v>37346</v>
      </c>
      <c r="C6525">
        <v>0</v>
      </c>
      <c r="D6525">
        <v>1</v>
      </c>
      <c r="E6525">
        <v>26</v>
      </c>
      <c r="F6525">
        <v>6810</v>
      </c>
      <c r="G6525">
        <f t="shared" si="101"/>
        <v>1577190495</v>
      </c>
    </row>
    <row r="6526" spans="1:7" x14ac:dyDescent="0.25">
      <c r="A6526">
        <v>1577190507</v>
      </c>
      <c r="B6526" t="s">
        <v>28849</v>
      </c>
      <c r="C6526">
        <v>0</v>
      </c>
      <c r="D6526">
        <v>1</v>
      </c>
      <c r="E6526">
        <v>47</v>
      </c>
      <c r="F6526">
        <v>6207</v>
      </c>
      <c r="G6526">
        <f t="shared" si="101"/>
        <v>1577190507</v>
      </c>
    </row>
    <row r="6527" spans="1:7" x14ac:dyDescent="0.25">
      <c r="A6527">
        <v>1577190516</v>
      </c>
      <c r="B6527" t="s">
        <v>28850</v>
      </c>
      <c r="C6527">
        <v>3</v>
      </c>
      <c r="D6527">
        <v>2</v>
      </c>
      <c r="E6527">
        <v>8389</v>
      </c>
      <c r="F6527">
        <v>1818</v>
      </c>
      <c r="G6527">
        <f t="shared" si="101"/>
        <v>1577190516</v>
      </c>
    </row>
    <row r="6528" spans="1:7" x14ac:dyDescent="0.25">
      <c r="A6528">
        <v>1577190517</v>
      </c>
      <c r="B6528" t="s">
        <v>28851</v>
      </c>
      <c r="C6528">
        <v>1708</v>
      </c>
      <c r="D6528">
        <v>1</v>
      </c>
      <c r="E6528">
        <v>2304</v>
      </c>
      <c r="F6528">
        <v>3211</v>
      </c>
      <c r="G6528">
        <f t="shared" si="101"/>
        <v>1577190517</v>
      </c>
    </row>
    <row r="6529" spans="1:7" x14ac:dyDescent="0.25">
      <c r="A6529">
        <v>1577190553</v>
      </c>
      <c r="B6529" t="s">
        <v>28852</v>
      </c>
      <c r="C6529">
        <v>0</v>
      </c>
      <c r="D6529">
        <v>1</v>
      </c>
      <c r="E6529">
        <v>2546</v>
      </c>
      <c r="F6529">
        <v>3121</v>
      </c>
      <c r="G6529">
        <f t="shared" ref="G6529:G6592" si="102">A6529</f>
        <v>1577190553</v>
      </c>
    </row>
    <row r="6530" spans="1:7" x14ac:dyDescent="0.25">
      <c r="A6530">
        <v>1577190555</v>
      </c>
      <c r="B6530" t="s">
        <v>28853</v>
      </c>
      <c r="C6530">
        <v>1403</v>
      </c>
      <c r="D6530">
        <v>1</v>
      </c>
      <c r="E6530">
        <v>4372</v>
      </c>
      <c r="F6530">
        <v>2657</v>
      </c>
      <c r="G6530">
        <f t="shared" si="102"/>
        <v>1577190555</v>
      </c>
    </row>
    <row r="6531" spans="1:7" x14ac:dyDescent="0.25">
      <c r="A6531">
        <v>1577190563</v>
      </c>
      <c r="B6531" t="s">
        <v>28854</v>
      </c>
      <c r="C6531">
        <v>0</v>
      </c>
      <c r="D6531">
        <v>1</v>
      </c>
      <c r="E6531">
        <v>301</v>
      </c>
      <c r="F6531">
        <v>5136</v>
      </c>
      <c r="G6531">
        <f t="shared" si="102"/>
        <v>1577190563</v>
      </c>
    </row>
    <row r="6532" spans="1:7" x14ac:dyDescent="0.25">
      <c r="A6532">
        <v>1577190578</v>
      </c>
      <c r="B6532" t="s">
        <v>36783</v>
      </c>
      <c r="C6532">
        <v>0</v>
      </c>
      <c r="D6532">
        <v>0</v>
      </c>
      <c r="E6532">
        <v>0</v>
      </c>
      <c r="F6532">
        <v>8153</v>
      </c>
      <c r="G6532">
        <f t="shared" si="102"/>
        <v>1577190578</v>
      </c>
    </row>
    <row r="6533" spans="1:7" x14ac:dyDescent="0.25">
      <c r="A6533">
        <v>1577190583</v>
      </c>
      <c r="B6533" t="s">
        <v>28855</v>
      </c>
      <c r="C6533">
        <v>0</v>
      </c>
      <c r="D6533">
        <v>1</v>
      </c>
      <c r="E6533">
        <v>217</v>
      </c>
      <c r="F6533">
        <v>5444</v>
      </c>
      <c r="G6533">
        <f t="shared" si="102"/>
        <v>1577190583</v>
      </c>
    </row>
    <row r="6534" spans="1:7" x14ac:dyDescent="0.25">
      <c r="A6534">
        <v>1577190592</v>
      </c>
      <c r="B6534" t="s">
        <v>28856</v>
      </c>
      <c r="C6534">
        <v>0</v>
      </c>
      <c r="D6534">
        <v>1</v>
      </c>
      <c r="E6534">
        <v>165</v>
      </c>
      <c r="F6534">
        <v>5639</v>
      </c>
      <c r="G6534">
        <f t="shared" si="102"/>
        <v>1577190592</v>
      </c>
    </row>
    <row r="6535" spans="1:7" x14ac:dyDescent="0.25">
      <c r="A6535">
        <v>1577190598</v>
      </c>
      <c r="B6535" t="s">
        <v>28857</v>
      </c>
      <c r="C6535">
        <v>1976</v>
      </c>
      <c r="D6535">
        <v>1</v>
      </c>
      <c r="E6535">
        <v>631</v>
      </c>
      <c r="F6535">
        <v>4436</v>
      </c>
      <c r="G6535">
        <f t="shared" si="102"/>
        <v>1577190598</v>
      </c>
    </row>
    <row r="6536" spans="1:7" x14ac:dyDescent="0.25">
      <c r="A6536">
        <v>1577190629</v>
      </c>
      <c r="B6536" t="s">
        <v>28858</v>
      </c>
      <c r="C6536">
        <v>67</v>
      </c>
      <c r="D6536">
        <v>2</v>
      </c>
      <c r="E6536">
        <v>9800</v>
      </c>
      <c r="F6536">
        <v>1591</v>
      </c>
      <c r="G6536">
        <f t="shared" si="102"/>
        <v>1577190629</v>
      </c>
    </row>
    <row r="6537" spans="1:7" x14ac:dyDescent="0.25">
      <c r="A6537">
        <v>1577190635</v>
      </c>
      <c r="B6537" t="s">
        <v>28859</v>
      </c>
      <c r="C6537">
        <v>122</v>
      </c>
      <c r="D6537">
        <v>5</v>
      </c>
      <c r="E6537">
        <v>25267</v>
      </c>
      <c r="F6537">
        <v>384</v>
      </c>
      <c r="G6537">
        <f t="shared" si="102"/>
        <v>1577190635</v>
      </c>
    </row>
    <row r="6538" spans="1:7" x14ac:dyDescent="0.25">
      <c r="A6538">
        <v>1577190654</v>
      </c>
      <c r="B6538" t="s">
        <v>37183</v>
      </c>
      <c r="C6538">
        <v>39</v>
      </c>
      <c r="D6538">
        <v>2</v>
      </c>
      <c r="E6538">
        <v>7980</v>
      </c>
      <c r="F6538">
        <v>1884</v>
      </c>
      <c r="G6538">
        <f t="shared" si="102"/>
        <v>1577190654</v>
      </c>
    </row>
    <row r="6539" spans="1:7" x14ac:dyDescent="0.25">
      <c r="A6539">
        <v>1577190658</v>
      </c>
      <c r="B6539" t="s">
        <v>36784</v>
      </c>
      <c r="C6539">
        <v>1988</v>
      </c>
      <c r="D6539">
        <v>1</v>
      </c>
      <c r="E6539">
        <v>366</v>
      </c>
      <c r="F6539">
        <v>4937</v>
      </c>
      <c r="G6539">
        <f t="shared" si="102"/>
        <v>1577190658</v>
      </c>
    </row>
    <row r="6540" spans="1:7" x14ac:dyDescent="0.25">
      <c r="A6540">
        <v>1577190679</v>
      </c>
      <c r="B6540" t="s">
        <v>28860</v>
      </c>
      <c r="C6540">
        <v>189</v>
      </c>
      <c r="D6540">
        <v>2</v>
      </c>
      <c r="E6540">
        <v>7668</v>
      </c>
      <c r="F6540">
        <v>1948</v>
      </c>
      <c r="G6540">
        <f t="shared" si="102"/>
        <v>1577190679</v>
      </c>
    </row>
    <row r="6541" spans="1:7" x14ac:dyDescent="0.25">
      <c r="A6541">
        <v>1577190694</v>
      </c>
      <c r="B6541" t="s">
        <v>36785</v>
      </c>
      <c r="C6541">
        <v>0</v>
      </c>
      <c r="D6541">
        <v>4</v>
      </c>
      <c r="E6541">
        <v>21477</v>
      </c>
      <c r="F6541">
        <v>550</v>
      </c>
      <c r="G6541">
        <f t="shared" si="102"/>
        <v>1577190694</v>
      </c>
    </row>
    <row r="6542" spans="1:7" x14ac:dyDescent="0.25">
      <c r="A6542">
        <v>1577190723</v>
      </c>
      <c r="B6542" t="s">
        <v>28861</v>
      </c>
      <c r="C6542">
        <v>412</v>
      </c>
      <c r="D6542">
        <v>2</v>
      </c>
      <c r="E6542">
        <v>6999</v>
      </c>
      <c r="F6542">
        <v>2062</v>
      </c>
      <c r="G6542">
        <f t="shared" si="102"/>
        <v>1577190723</v>
      </c>
    </row>
    <row r="6543" spans="1:7" x14ac:dyDescent="0.25">
      <c r="A6543">
        <v>1577190726</v>
      </c>
      <c r="B6543" t="s">
        <v>36786</v>
      </c>
      <c r="C6543">
        <v>126</v>
      </c>
      <c r="D6543">
        <v>2</v>
      </c>
      <c r="E6543">
        <v>10885</v>
      </c>
      <c r="F6543">
        <v>1435</v>
      </c>
      <c r="G6543">
        <f t="shared" si="102"/>
        <v>1577190726</v>
      </c>
    </row>
    <row r="6544" spans="1:7" x14ac:dyDescent="0.25">
      <c r="A6544">
        <v>1577190735</v>
      </c>
      <c r="B6544" t="s">
        <v>28862</v>
      </c>
      <c r="C6544">
        <v>1</v>
      </c>
      <c r="D6544">
        <v>1</v>
      </c>
      <c r="E6544">
        <v>2066</v>
      </c>
      <c r="F6544">
        <v>3309</v>
      </c>
      <c r="G6544">
        <f t="shared" si="102"/>
        <v>1577190735</v>
      </c>
    </row>
    <row r="6545" spans="1:7" x14ac:dyDescent="0.25">
      <c r="A6545">
        <v>1577190752</v>
      </c>
      <c r="B6545" t="s">
        <v>28863</v>
      </c>
      <c r="C6545">
        <v>47</v>
      </c>
      <c r="D6545">
        <v>3</v>
      </c>
      <c r="E6545">
        <v>11413</v>
      </c>
      <c r="F6545">
        <v>1359</v>
      </c>
      <c r="G6545">
        <f t="shared" si="102"/>
        <v>1577190752</v>
      </c>
    </row>
    <row r="6546" spans="1:7" x14ac:dyDescent="0.25">
      <c r="A6546">
        <v>1577190774</v>
      </c>
      <c r="B6546" t="s">
        <v>36787</v>
      </c>
      <c r="C6546">
        <v>0</v>
      </c>
      <c r="D6546">
        <v>0</v>
      </c>
      <c r="E6546">
        <v>0</v>
      </c>
      <c r="F6546">
        <v>8154</v>
      </c>
      <c r="G6546">
        <f t="shared" si="102"/>
        <v>1577190774</v>
      </c>
    </row>
    <row r="6547" spans="1:7" x14ac:dyDescent="0.25">
      <c r="A6547">
        <v>1577190787</v>
      </c>
      <c r="B6547" t="s">
        <v>28864</v>
      </c>
      <c r="C6547">
        <v>0</v>
      </c>
      <c r="D6547">
        <v>0</v>
      </c>
      <c r="E6547">
        <v>0</v>
      </c>
      <c r="F6547">
        <v>8155</v>
      </c>
      <c r="G6547">
        <f t="shared" si="102"/>
        <v>1577190787</v>
      </c>
    </row>
    <row r="6548" spans="1:7" x14ac:dyDescent="0.25">
      <c r="A6548">
        <v>1577190788</v>
      </c>
      <c r="B6548">
        <v>195498</v>
      </c>
      <c r="C6548">
        <v>0</v>
      </c>
      <c r="D6548">
        <v>1</v>
      </c>
      <c r="E6548">
        <v>5527</v>
      </c>
      <c r="F6548">
        <v>2396</v>
      </c>
      <c r="G6548">
        <f t="shared" si="102"/>
        <v>1577190788</v>
      </c>
    </row>
    <row r="6549" spans="1:7" x14ac:dyDescent="0.25">
      <c r="A6549">
        <v>1577190802</v>
      </c>
      <c r="B6549" t="s">
        <v>28865</v>
      </c>
      <c r="C6549">
        <v>1708</v>
      </c>
      <c r="D6549">
        <v>1</v>
      </c>
      <c r="E6549">
        <v>1686</v>
      </c>
      <c r="F6549">
        <v>3505</v>
      </c>
      <c r="G6549">
        <f t="shared" si="102"/>
        <v>1577190802</v>
      </c>
    </row>
    <row r="6550" spans="1:7" x14ac:dyDescent="0.25">
      <c r="A6550">
        <v>1577190813</v>
      </c>
      <c r="B6550" t="s">
        <v>28866</v>
      </c>
      <c r="C6550">
        <v>567</v>
      </c>
      <c r="D6550">
        <v>0</v>
      </c>
      <c r="E6550">
        <v>0</v>
      </c>
      <c r="F6550">
        <v>8156</v>
      </c>
      <c r="G6550">
        <f t="shared" si="102"/>
        <v>1577190813</v>
      </c>
    </row>
    <row r="6551" spans="1:7" x14ac:dyDescent="0.25">
      <c r="A6551">
        <v>1577190872</v>
      </c>
      <c r="B6551" t="s">
        <v>36788</v>
      </c>
      <c r="C6551">
        <v>0</v>
      </c>
      <c r="D6551">
        <v>0</v>
      </c>
      <c r="E6551">
        <v>0</v>
      </c>
      <c r="F6551">
        <v>8157</v>
      </c>
      <c r="G6551">
        <f t="shared" si="102"/>
        <v>1577190872</v>
      </c>
    </row>
    <row r="6552" spans="1:7" x14ac:dyDescent="0.25">
      <c r="A6552">
        <v>1577190877</v>
      </c>
      <c r="B6552" t="s">
        <v>28867</v>
      </c>
      <c r="C6552">
        <v>1972</v>
      </c>
      <c r="D6552">
        <v>4</v>
      </c>
      <c r="E6552">
        <v>15832</v>
      </c>
      <c r="F6552">
        <v>921</v>
      </c>
      <c r="G6552">
        <f t="shared" si="102"/>
        <v>1577190877</v>
      </c>
    </row>
    <row r="6553" spans="1:7" x14ac:dyDescent="0.25">
      <c r="A6553">
        <v>1577190895</v>
      </c>
      <c r="B6553" t="s">
        <v>28868</v>
      </c>
      <c r="C6553">
        <v>3</v>
      </c>
      <c r="D6553">
        <v>3</v>
      </c>
      <c r="E6553">
        <v>14984</v>
      </c>
      <c r="F6553">
        <v>1000</v>
      </c>
      <c r="G6553">
        <f t="shared" si="102"/>
        <v>1577190895</v>
      </c>
    </row>
    <row r="6554" spans="1:7" x14ac:dyDescent="0.25">
      <c r="A6554">
        <v>1577190900</v>
      </c>
      <c r="B6554" t="s">
        <v>36789</v>
      </c>
      <c r="C6554">
        <v>0</v>
      </c>
      <c r="D6554">
        <v>1</v>
      </c>
      <c r="E6554">
        <v>293</v>
      </c>
      <c r="F6554">
        <v>5146</v>
      </c>
      <c r="G6554">
        <f t="shared" si="102"/>
        <v>1577190900</v>
      </c>
    </row>
    <row r="6555" spans="1:7" x14ac:dyDescent="0.25">
      <c r="A6555">
        <v>1577190908</v>
      </c>
      <c r="B6555" t="s">
        <v>28869</v>
      </c>
      <c r="C6555">
        <v>0</v>
      </c>
      <c r="D6555">
        <v>1</v>
      </c>
      <c r="E6555">
        <v>761</v>
      </c>
      <c r="F6555">
        <v>4254</v>
      </c>
      <c r="G6555">
        <f t="shared" si="102"/>
        <v>1577190908</v>
      </c>
    </row>
    <row r="6556" spans="1:7" x14ac:dyDescent="0.25">
      <c r="A6556">
        <v>1577190952</v>
      </c>
      <c r="B6556" t="s">
        <v>28870</v>
      </c>
      <c r="C6556">
        <v>0</v>
      </c>
      <c r="D6556">
        <v>1</v>
      </c>
      <c r="E6556">
        <v>203</v>
      </c>
      <c r="F6556">
        <v>5484</v>
      </c>
      <c r="G6556">
        <f t="shared" si="102"/>
        <v>1577190952</v>
      </c>
    </row>
    <row r="6557" spans="1:7" x14ac:dyDescent="0.25">
      <c r="A6557">
        <v>1577190969</v>
      </c>
      <c r="B6557" t="s">
        <v>28871</v>
      </c>
      <c r="C6557">
        <v>79</v>
      </c>
      <c r="D6557">
        <v>1</v>
      </c>
      <c r="E6557">
        <v>5697</v>
      </c>
      <c r="F6557">
        <v>2350</v>
      </c>
      <c r="G6557">
        <f t="shared" si="102"/>
        <v>1577190969</v>
      </c>
    </row>
    <row r="6558" spans="1:7" x14ac:dyDescent="0.25">
      <c r="A6558">
        <v>1577190995</v>
      </c>
      <c r="B6558" t="s">
        <v>28872</v>
      </c>
      <c r="C6558">
        <v>0</v>
      </c>
      <c r="D6558">
        <v>0</v>
      </c>
      <c r="E6558">
        <v>0</v>
      </c>
      <c r="F6558">
        <v>8158</v>
      </c>
      <c r="G6558">
        <f t="shared" si="102"/>
        <v>1577190995</v>
      </c>
    </row>
    <row r="6559" spans="1:7" x14ac:dyDescent="0.25">
      <c r="A6559">
        <v>1577191019</v>
      </c>
      <c r="B6559" t="s">
        <v>37026</v>
      </c>
      <c r="C6559">
        <v>117</v>
      </c>
      <c r="D6559">
        <v>3</v>
      </c>
      <c r="E6559">
        <v>17722</v>
      </c>
      <c r="F6559">
        <v>774</v>
      </c>
      <c r="G6559">
        <f t="shared" si="102"/>
        <v>1577191019</v>
      </c>
    </row>
    <row r="6560" spans="1:7" x14ac:dyDescent="0.25">
      <c r="A6560">
        <v>1577191030</v>
      </c>
      <c r="B6560" t="s">
        <v>28873</v>
      </c>
      <c r="C6560">
        <v>0</v>
      </c>
      <c r="D6560">
        <v>0</v>
      </c>
      <c r="E6560">
        <v>0</v>
      </c>
      <c r="F6560">
        <v>8159</v>
      </c>
      <c r="G6560">
        <f t="shared" si="102"/>
        <v>1577191030</v>
      </c>
    </row>
    <row r="6561" spans="1:7" x14ac:dyDescent="0.25">
      <c r="A6561">
        <v>1577191031</v>
      </c>
      <c r="B6561" t="s">
        <v>28874</v>
      </c>
      <c r="C6561">
        <v>0</v>
      </c>
      <c r="D6561">
        <v>0</v>
      </c>
      <c r="E6561">
        <v>0</v>
      </c>
      <c r="F6561">
        <v>8160</v>
      </c>
      <c r="G6561">
        <f t="shared" si="102"/>
        <v>1577191031</v>
      </c>
    </row>
    <row r="6562" spans="1:7" x14ac:dyDescent="0.25">
      <c r="A6562">
        <v>1577191055</v>
      </c>
      <c r="B6562" t="s">
        <v>28875</v>
      </c>
      <c r="C6562">
        <v>0</v>
      </c>
      <c r="D6562">
        <v>0</v>
      </c>
      <c r="E6562">
        <v>0</v>
      </c>
      <c r="F6562">
        <v>8161</v>
      </c>
      <c r="G6562">
        <f t="shared" si="102"/>
        <v>1577191055</v>
      </c>
    </row>
    <row r="6563" spans="1:7" x14ac:dyDescent="0.25">
      <c r="A6563">
        <v>1577191062</v>
      </c>
      <c r="B6563" t="s">
        <v>28876</v>
      </c>
      <c r="C6563">
        <v>0</v>
      </c>
      <c r="D6563">
        <v>1</v>
      </c>
      <c r="E6563">
        <v>1485</v>
      </c>
      <c r="F6563">
        <v>3621</v>
      </c>
      <c r="G6563">
        <f t="shared" si="102"/>
        <v>1577191062</v>
      </c>
    </row>
    <row r="6564" spans="1:7" x14ac:dyDescent="0.25">
      <c r="A6564">
        <v>1577191068</v>
      </c>
      <c r="B6564" t="s">
        <v>28877</v>
      </c>
      <c r="C6564">
        <v>0</v>
      </c>
      <c r="D6564">
        <v>0</v>
      </c>
      <c r="E6564">
        <v>0</v>
      </c>
      <c r="F6564">
        <v>8162</v>
      </c>
      <c r="G6564">
        <f t="shared" si="102"/>
        <v>1577191068</v>
      </c>
    </row>
    <row r="6565" spans="1:7" x14ac:dyDescent="0.25">
      <c r="A6565">
        <v>1577191080</v>
      </c>
      <c r="B6565" t="s">
        <v>28878</v>
      </c>
      <c r="C6565">
        <v>3</v>
      </c>
      <c r="D6565">
        <v>3</v>
      </c>
      <c r="E6565">
        <v>17174</v>
      </c>
      <c r="F6565">
        <v>813</v>
      </c>
      <c r="G6565">
        <f t="shared" si="102"/>
        <v>1577191080</v>
      </c>
    </row>
    <row r="6566" spans="1:7" x14ac:dyDescent="0.25">
      <c r="A6566">
        <v>1577191156</v>
      </c>
      <c r="B6566" t="s">
        <v>37231</v>
      </c>
      <c r="C6566">
        <v>189</v>
      </c>
      <c r="D6566">
        <v>2</v>
      </c>
      <c r="E6566">
        <v>10604</v>
      </c>
      <c r="F6566">
        <v>1482</v>
      </c>
      <c r="G6566">
        <f t="shared" si="102"/>
        <v>1577191156</v>
      </c>
    </row>
    <row r="6567" spans="1:7" x14ac:dyDescent="0.25">
      <c r="A6567">
        <v>1577191177</v>
      </c>
      <c r="B6567" t="s">
        <v>28879</v>
      </c>
      <c r="C6567">
        <v>534</v>
      </c>
      <c r="D6567">
        <v>3</v>
      </c>
      <c r="E6567">
        <v>9389</v>
      </c>
      <c r="F6567">
        <v>1675</v>
      </c>
      <c r="G6567">
        <f t="shared" si="102"/>
        <v>1577191177</v>
      </c>
    </row>
    <row r="6568" spans="1:7" x14ac:dyDescent="0.25">
      <c r="A6568">
        <v>1577191184</v>
      </c>
      <c r="B6568" t="s">
        <v>36790</v>
      </c>
      <c r="C6568">
        <v>0</v>
      </c>
      <c r="D6568">
        <v>0</v>
      </c>
      <c r="E6568">
        <v>0</v>
      </c>
      <c r="F6568">
        <v>8163</v>
      </c>
      <c r="G6568">
        <f t="shared" si="102"/>
        <v>1577191184</v>
      </c>
    </row>
    <row r="6569" spans="1:7" x14ac:dyDescent="0.25">
      <c r="A6569">
        <v>1577191193</v>
      </c>
      <c r="B6569" t="s">
        <v>28880</v>
      </c>
      <c r="C6569">
        <v>20</v>
      </c>
      <c r="D6569">
        <v>6</v>
      </c>
      <c r="E6569">
        <v>32488</v>
      </c>
      <c r="F6569">
        <v>196</v>
      </c>
      <c r="G6569">
        <f t="shared" si="102"/>
        <v>1577191193</v>
      </c>
    </row>
    <row r="6570" spans="1:7" x14ac:dyDescent="0.25">
      <c r="A6570">
        <v>1577191220</v>
      </c>
      <c r="B6570" t="s">
        <v>36791</v>
      </c>
      <c r="C6570">
        <v>1920</v>
      </c>
      <c r="D6570">
        <v>1</v>
      </c>
      <c r="E6570">
        <v>263</v>
      </c>
      <c r="F6570">
        <v>5263</v>
      </c>
      <c r="G6570">
        <f t="shared" si="102"/>
        <v>1577191220</v>
      </c>
    </row>
    <row r="6571" spans="1:7" x14ac:dyDescent="0.25">
      <c r="A6571">
        <v>1577191243</v>
      </c>
      <c r="B6571" t="s">
        <v>36792</v>
      </c>
      <c r="C6571">
        <v>1837</v>
      </c>
      <c r="D6571">
        <v>1</v>
      </c>
      <c r="E6571">
        <v>296</v>
      </c>
      <c r="F6571">
        <v>5133</v>
      </c>
      <c r="G6571">
        <f t="shared" si="102"/>
        <v>1577191243</v>
      </c>
    </row>
    <row r="6572" spans="1:7" x14ac:dyDescent="0.25">
      <c r="A6572">
        <v>1577191248</v>
      </c>
      <c r="B6572" t="s">
        <v>28881</v>
      </c>
      <c r="C6572">
        <v>1858</v>
      </c>
      <c r="D6572">
        <v>1</v>
      </c>
      <c r="E6572">
        <v>283</v>
      </c>
      <c r="F6572">
        <v>5187</v>
      </c>
      <c r="G6572">
        <f t="shared" si="102"/>
        <v>1577191248</v>
      </c>
    </row>
    <row r="6573" spans="1:7" x14ac:dyDescent="0.25">
      <c r="A6573">
        <v>1577191249</v>
      </c>
      <c r="B6573" t="s">
        <v>28882</v>
      </c>
      <c r="C6573">
        <v>1403</v>
      </c>
      <c r="D6573">
        <v>5</v>
      </c>
      <c r="E6573">
        <v>18646</v>
      </c>
      <c r="F6573">
        <v>709</v>
      </c>
      <c r="G6573">
        <f t="shared" si="102"/>
        <v>1577191249</v>
      </c>
    </row>
    <row r="6574" spans="1:7" x14ac:dyDescent="0.25">
      <c r="A6574">
        <v>1577191257</v>
      </c>
      <c r="B6574" t="s">
        <v>28883</v>
      </c>
      <c r="C6574">
        <v>578</v>
      </c>
      <c r="D6574">
        <v>3</v>
      </c>
      <c r="E6574">
        <v>9473</v>
      </c>
      <c r="F6574">
        <v>1637</v>
      </c>
      <c r="G6574">
        <f t="shared" si="102"/>
        <v>1577191257</v>
      </c>
    </row>
    <row r="6575" spans="1:7" x14ac:dyDescent="0.25">
      <c r="A6575">
        <v>1577191260</v>
      </c>
      <c r="B6575" t="s">
        <v>36793</v>
      </c>
      <c r="C6575">
        <v>115</v>
      </c>
      <c r="D6575">
        <v>4</v>
      </c>
      <c r="E6575">
        <v>19294</v>
      </c>
      <c r="F6575">
        <v>663</v>
      </c>
      <c r="G6575">
        <f t="shared" si="102"/>
        <v>1577191260</v>
      </c>
    </row>
    <row r="6576" spans="1:7" x14ac:dyDescent="0.25">
      <c r="A6576">
        <v>1577191267</v>
      </c>
      <c r="B6576" t="s">
        <v>28884</v>
      </c>
      <c r="C6576">
        <v>0</v>
      </c>
      <c r="D6576">
        <v>1</v>
      </c>
      <c r="E6576">
        <v>1176</v>
      </c>
      <c r="F6576">
        <v>3814</v>
      </c>
      <c r="G6576">
        <f t="shared" si="102"/>
        <v>1577191267</v>
      </c>
    </row>
    <row r="6577" spans="1:7" x14ac:dyDescent="0.25">
      <c r="A6577">
        <v>1577191272</v>
      </c>
      <c r="B6577" t="s">
        <v>28885</v>
      </c>
      <c r="C6577">
        <v>0</v>
      </c>
      <c r="D6577">
        <v>1</v>
      </c>
      <c r="E6577">
        <v>241</v>
      </c>
      <c r="F6577">
        <v>5344</v>
      </c>
      <c r="G6577">
        <f t="shared" si="102"/>
        <v>1577191272</v>
      </c>
    </row>
    <row r="6578" spans="1:7" x14ac:dyDescent="0.25">
      <c r="A6578">
        <v>1577191291</v>
      </c>
      <c r="B6578" t="s">
        <v>28886</v>
      </c>
      <c r="C6578">
        <v>1995</v>
      </c>
      <c r="D6578">
        <v>2</v>
      </c>
      <c r="E6578">
        <v>2627</v>
      </c>
      <c r="F6578">
        <v>3103</v>
      </c>
      <c r="G6578">
        <f t="shared" si="102"/>
        <v>1577191291</v>
      </c>
    </row>
    <row r="6579" spans="1:7" x14ac:dyDescent="0.25">
      <c r="A6579">
        <v>1577191293</v>
      </c>
      <c r="B6579" t="s">
        <v>36794</v>
      </c>
      <c r="C6579">
        <v>0</v>
      </c>
      <c r="D6579">
        <v>2</v>
      </c>
      <c r="E6579">
        <v>9092</v>
      </c>
      <c r="F6579">
        <v>1702</v>
      </c>
      <c r="G6579">
        <f t="shared" si="102"/>
        <v>1577191293</v>
      </c>
    </row>
    <row r="6580" spans="1:7" x14ac:dyDescent="0.25">
      <c r="A6580">
        <v>1577191303</v>
      </c>
      <c r="B6580" t="s">
        <v>28887</v>
      </c>
      <c r="C6580">
        <v>0</v>
      </c>
      <c r="D6580">
        <v>1</v>
      </c>
      <c r="E6580">
        <v>624</v>
      </c>
      <c r="F6580">
        <v>4446</v>
      </c>
      <c r="G6580">
        <f t="shared" si="102"/>
        <v>1577191303</v>
      </c>
    </row>
    <row r="6581" spans="1:7" x14ac:dyDescent="0.25">
      <c r="A6581">
        <v>1577191305</v>
      </c>
      <c r="B6581" t="s">
        <v>28888</v>
      </c>
      <c r="C6581">
        <v>0</v>
      </c>
      <c r="D6581">
        <v>0</v>
      </c>
      <c r="E6581">
        <v>0</v>
      </c>
      <c r="F6581">
        <v>8164</v>
      </c>
      <c r="G6581">
        <f t="shared" si="102"/>
        <v>1577191305</v>
      </c>
    </row>
    <row r="6582" spans="1:7" x14ac:dyDescent="0.25">
      <c r="A6582">
        <v>1577191306</v>
      </c>
      <c r="B6582" t="s">
        <v>28889</v>
      </c>
      <c r="C6582">
        <v>0</v>
      </c>
      <c r="D6582">
        <v>1</v>
      </c>
      <c r="E6582">
        <v>1652</v>
      </c>
      <c r="F6582">
        <v>3519</v>
      </c>
      <c r="G6582">
        <f t="shared" si="102"/>
        <v>1577191306</v>
      </c>
    </row>
    <row r="6583" spans="1:7" x14ac:dyDescent="0.25">
      <c r="A6583">
        <v>1577191328</v>
      </c>
      <c r="B6583" t="s">
        <v>28890</v>
      </c>
      <c r="C6583">
        <v>33</v>
      </c>
      <c r="D6583">
        <v>0</v>
      </c>
      <c r="E6583">
        <v>0</v>
      </c>
      <c r="F6583">
        <v>8165</v>
      </c>
      <c r="G6583">
        <f t="shared" si="102"/>
        <v>1577191328</v>
      </c>
    </row>
    <row r="6584" spans="1:7" x14ac:dyDescent="0.25">
      <c r="A6584">
        <v>1577191339</v>
      </c>
      <c r="B6584" t="s">
        <v>28891</v>
      </c>
      <c r="C6584">
        <v>842</v>
      </c>
      <c r="D6584">
        <v>1</v>
      </c>
      <c r="E6584">
        <v>26</v>
      </c>
      <c r="F6584">
        <v>6811</v>
      </c>
      <c r="G6584">
        <f t="shared" si="102"/>
        <v>1577191339</v>
      </c>
    </row>
    <row r="6585" spans="1:7" x14ac:dyDescent="0.25">
      <c r="A6585">
        <v>1577191372</v>
      </c>
      <c r="B6585" t="s">
        <v>28892</v>
      </c>
      <c r="C6585">
        <v>39</v>
      </c>
      <c r="D6585">
        <v>2</v>
      </c>
      <c r="E6585">
        <v>5802</v>
      </c>
      <c r="F6585">
        <v>2327</v>
      </c>
      <c r="G6585">
        <f t="shared" si="102"/>
        <v>1577191372</v>
      </c>
    </row>
    <row r="6586" spans="1:7" x14ac:dyDescent="0.25">
      <c r="A6586">
        <v>1577191374</v>
      </c>
      <c r="B6586" t="s">
        <v>28893</v>
      </c>
      <c r="C6586">
        <v>1968</v>
      </c>
      <c r="D6586">
        <v>1</v>
      </c>
      <c r="E6586">
        <v>4479</v>
      </c>
      <c r="F6586">
        <v>2655</v>
      </c>
      <c r="G6586">
        <f t="shared" si="102"/>
        <v>1577191374</v>
      </c>
    </row>
    <row r="6587" spans="1:7" x14ac:dyDescent="0.25">
      <c r="A6587">
        <v>1577191379</v>
      </c>
      <c r="B6587" t="s">
        <v>925</v>
      </c>
      <c r="C6587">
        <v>1968</v>
      </c>
      <c r="D6587">
        <v>0</v>
      </c>
      <c r="E6587">
        <v>0</v>
      </c>
      <c r="F6587">
        <v>8166</v>
      </c>
      <c r="G6587">
        <f t="shared" si="102"/>
        <v>1577191379</v>
      </c>
    </row>
    <row r="6588" spans="1:7" x14ac:dyDescent="0.25">
      <c r="A6588">
        <v>1577191382</v>
      </c>
      <c r="B6588" t="s">
        <v>28894</v>
      </c>
      <c r="C6588">
        <v>1968</v>
      </c>
      <c r="D6588">
        <v>0</v>
      </c>
      <c r="E6588">
        <v>0</v>
      </c>
      <c r="F6588">
        <v>8167</v>
      </c>
      <c r="G6588">
        <f t="shared" si="102"/>
        <v>1577191382</v>
      </c>
    </row>
    <row r="6589" spans="1:7" x14ac:dyDescent="0.25">
      <c r="A6589">
        <v>1577191392</v>
      </c>
      <c r="B6589" t="s">
        <v>28895</v>
      </c>
      <c r="C6589">
        <v>1582</v>
      </c>
      <c r="D6589">
        <v>0</v>
      </c>
      <c r="E6589">
        <v>0</v>
      </c>
      <c r="F6589">
        <v>8168</v>
      </c>
      <c r="G6589">
        <f t="shared" si="102"/>
        <v>1577191392</v>
      </c>
    </row>
    <row r="6590" spans="1:7" x14ac:dyDescent="0.25">
      <c r="A6590">
        <v>1577191393</v>
      </c>
      <c r="B6590" t="s">
        <v>36795</v>
      </c>
      <c r="C6590">
        <v>115</v>
      </c>
      <c r="D6590">
        <v>11</v>
      </c>
      <c r="E6590">
        <v>63839</v>
      </c>
      <c r="F6590">
        <v>16</v>
      </c>
      <c r="G6590">
        <f t="shared" si="102"/>
        <v>1577191393</v>
      </c>
    </row>
    <row r="6591" spans="1:7" x14ac:dyDescent="0.25">
      <c r="A6591">
        <v>1577191415</v>
      </c>
      <c r="B6591" t="s">
        <v>37027</v>
      </c>
      <c r="C6591">
        <v>39</v>
      </c>
      <c r="D6591">
        <v>1</v>
      </c>
      <c r="E6591">
        <v>1479</v>
      </c>
      <c r="F6591">
        <v>3622</v>
      </c>
      <c r="G6591">
        <f t="shared" si="102"/>
        <v>1577191415</v>
      </c>
    </row>
    <row r="6592" spans="1:7" x14ac:dyDescent="0.25">
      <c r="A6592">
        <v>1577191447</v>
      </c>
      <c r="B6592" t="s">
        <v>28896</v>
      </c>
      <c r="C6592">
        <v>0</v>
      </c>
      <c r="D6592">
        <v>1</v>
      </c>
      <c r="E6592">
        <v>26</v>
      </c>
      <c r="F6592">
        <v>6812</v>
      </c>
      <c r="G6592">
        <f t="shared" si="102"/>
        <v>1577191447</v>
      </c>
    </row>
    <row r="6593" spans="1:7" x14ac:dyDescent="0.25">
      <c r="A6593">
        <v>1577191458</v>
      </c>
      <c r="B6593" t="s">
        <v>28897</v>
      </c>
      <c r="C6593">
        <v>151</v>
      </c>
      <c r="D6593">
        <v>1</v>
      </c>
      <c r="E6593">
        <v>334</v>
      </c>
      <c r="F6593">
        <v>5029</v>
      </c>
      <c r="G6593">
        <f t="shared" ref="G6593:G6656" si="103">A6593</f>
        <v>1577191458</v>
      </c>
    </row>
    <row r="6594" spans="1:7" x14ac:dyDescent="0.25">
      <c r="A6594">
        <v>1577191475</v>
      </c>
      <c r="B6594" t="s">
        <v>28898</v>
      </c>
      <c r="C6594">
        <v>0</v>
      </c>
      <c r="D6594">
        <v>1</v>
      </c>
      <c r="E6594">
        <v>26</v>
      </c>
      <c r="F6594">
        <v>6813</v>
      </c>
      <c r="G6594">
        <f t="shared" si="103"/>
        <v>1577191475</v>
      </c>
    </row>
    <row r="6595" spans="1:7" x14ac:dyDescent="0.25">
      <c r="A6595">
        <v>1577191504</v>
      </c>
      <c r="B6595" t="s">
        <v>28899</v>
      </c>
      <c r="C6595">
        <v>126</v>
      </c>
      <c r="D6595">
        <v>3</v>
      </c>
      <c r="E6595">
        <v>13567</v>
      </c>
      <c r="F6595">
        <v>1127</v>
      </c>
      <c r="G6595">
        <f t="shared" si="103"/>
        <v>1577191504</v>
      </c>
    </row>
    <row r="6596" spans="1:7" x14ac:dyDescent="0.25">
      <c r="A6596">
        <v>1577191510</v>
      </c>
      <c r="B6596" t="s">
        <v>28900</v>
      </c>
      <c r="C6596">
        <v>0</v>
      </c>
      <c r="D6596">
        <v>1</v>
      </c>
      <c r="E6596">
        <v>26</v>
      </c>
      <c r="F6596">
        <v>6814</v>
      </c>
      <c r="G6596">
        <f t="shared" si="103"/>
        <v>1577191510</v>
      </c>
    </row>
    <row r="6597" spans="1:7" x14ac:dyDescent="0.25">
      <c r="A6597">
        <v>1577191555</v>
      </c>
      <c r="B6597" t="s">
        <v>28901</v>
      </c>
      <c r="C6597">
        <v>0</v>
      </c>
      <c r="D6597">
        <v>0</v>
      </c>
      <c r="E6597">
        <v>0</v>
      </c>
      <c r="F6597">
        <v>8169</v>
      </c>
      <c r="G6597">
        <f t="shared" si="103"/>
        <v>1577191555</v>
      </c>
    </row>
    <row r="6598" spans="1:7" x14ac:dyDescent="0.25">
      <c r="A6598">
        <v>1577191558</v>
      </c>
      <c r="B6598" t="s">
        <v>2565</v>
      </c>
      <c r="C6598">
        <v>0</v>
      </c>
      <c r="D6598">
        <v>1</v>
      </c>
      <c r="E6598">
        <v>1462</v>
      </c>
      <c r="F6598">
        <v>3625</v>
      </c>
      <c r="G6598">
        <f t="shared" si="103"/>
        <v>1577191558</v>
      </c>
    </row>
    <row r="6599" spans="1:7" x14ac:dyDescent="0.25">
      <c r="A6599">
        <v>1577191561</v>
      </c>
      <c r="B6599" t="s">
        <v>28902</v>
      </c>
      <c r="C6599">
        <v>0</v>
      </c>
      <c r="D6599">
        <v>0</v>
      </c>
      <c r="E6599">
        <v>0</v>
      </c>
      <c r="F6599">
        <v>8170</v>
      </c>
      <c r="G6599">
        <f t="shared" si="103"/>
        <v>1577191561</v>
      </c>
    </row>
    <row r="6600" spans="1:7" x14ac:dyDescent="0.25">
      <c r="A6600">
        <v>1577191574</v>
      </c>
      <c r="B6600" t="s">
        <v>37347</v>
      </c>
      <c r="C6600">
        <v>1712</v>
      </c>
      <c r="D6600">
        <v>1</v>
      </c>
      <c r="E6600">
        <v>1342</v>
      </c>
      <c r="F6600">
        <v>3697</v>
      </c>
      <c r="G6600">
        <f t="shared" si="103"/>
        <v>1577191574</v>
      </c>
    </row>
    <row r="6601" spans="1:7" x14ac:dyDescent="0.25">
      <c r="A6601">
        <v>1577191594</v>
      </c>
      <c r="B6601" t="s">
        <v>28903</v>
      </c>
      <c r="C6601">
        <v>294</v>
      </c>
      <c r="D6601">
        <v>2</v>
      </c>
      <c r="E6601">
        <v>7815</v>
      </c>
      <c r="F6601">
        <v>1921</v>
      </c>
      <c r="G6601">
        <f t="shared" si="103"/>
        <v>1577191594</v>
      </c>
    </row>
    <row r="6602" spans="1:7" x14ac:dyDescent="0.25">
      <c r="A6602">
        <v>1577191596</v>
      </c>
      <c r="B6602" t="s">
        <v>37348</v>
      </c>
      <c r="C6602">
        <v>924</v>
      </c>
      <c r="D6602">
        <v>1</v>
      </c>
      <c r="E6602">
        <v>4887</v>
      </c>
      <c r="F6602">
        <v>2536</v>
      </c>
      <c r="G6602">
        <f t="shared" si="103"/>
        <v>1577191596</v>
      </c>
    </row>
    <row r="6603" spans="1:7" x14ac:dyDescent="0.25">
      <c r="A6603">
        <v>1577191598</v>
      </c>
      <c r="B6603" t="s">
        <v>28904</v>
      </c>
      <c r="C6603">
        <v>1363</v>
      </c>
      <c r="D6603">
        <v>2</v>
      </c>
      <c r="E6603">
        <v>6313</v>
      </c>
      <c r="F6603">
        <v>2210</v>
      </c>
      <c r="G6603">
        <f t="shared" si="103"/>
        <v>1577191598</v>
      </c>
    </row>
    <row r="6604" spans="1:7" x14ac:dyDescent="0.25">
      <c r="A6604">
        <v>1577191601</v>
      </c>
      <c r="B6604" t="s">
        <v>37349</v>
      </c>
      <c r="C6604">
        <v>0</v>
      </c>
      <c r="D6604">
        <v>1</v>
      </c>
      <c r="E6604">
        <v>889</v>
      </c>
      <c r="F6604">
        <v>4102</v>
      </c>
      <c r="G6604">
        <f t="shared" si="103"/>
        <v>1577191601</v>
      </c>
    </row>
    <row r="6605" spans="1:7" x14ac:dyDescent="0.25">
      <c r="A6605">
        <v>1577191620</v>
      </c>
      <c r="B6605" t="s">
        <v>36796</v>
      </c>
      <c r="C6605">
        <v>1669</v>
      </c>
      <c r="D6605">
        <v>0</v>
      </c>
      <c r="E6605">
        <v>0</v>
      </c>
      <c r="F6605">
        <v>8171</v>
      </c>
      <c r="G6605">
        <f t="shared" si="103"/>
        <v>1577191620</v>
      </c>
    </row>
    <row r="6606" spans="1:7" x14ac:dyDescent="0.25">
      <c r="A6606">
        <v>1577191625</v>
      </c>
      <c r="B6606" t="s">
        <v>28905</v>
      </c>
      <c r="C6606">
        <v>1107</v>
      </c>
      <c r="D6606">
        <v>1</v>
      </c>
      <c r="E6606">
        <v>338</v>
      </c>
      <c r="F6606">
        <v>5016</v>
      </c>
      <c r="G6606">
        <f t="shared" si="103"/>
        <v>1577191625</v>
      </c>
    </row>
    <row r="6607" spans="1:7" x14ac:dyDescent="0.25">
      <c r="A6607">
        <v>1577191637</v>
      </c>
      <c r="B6607" t="s">
        <v>28906</v>
      </c>
      <c r="C6607">
        <v>0</v>
      </c>
      <c r="D6607">
        <v>1</v>
      </c>
      <c r="E6607">
        <v>26</v>
      </c>
      <c r="F6607">
        <v>6815</v>
      </c>
      <c r="G6607">
        <f t="shared" si="103"/>
        <v>1577191637</v>
      </c>
    </row>
    <row r="6608" spans="1:7" x14ac:dyDescent="0.25">
      <c r="A6608">
        <v>1577191665</v>
      </c>
      <c r="B6608" t="s">
        <v>28907</v>
      </c>
      <c r="C6608">
        <v>0</v>
      </c>
      <c r="D6608">
        <v>1</v>
      </c>
      <c r="E6608">
        <v>26</v>
      </c>
      <c r="F6608">
        <v>6816</v>
      </c>
      <c r="G6608">
        <f t="shared" si="103"/>
        <v>1577191665</v>
      </c>
    </row>
    <row r="6609" spans="1:7" x14ac:dyDescent="0.25">
      <c r="A6609">
        <v>1577191679</v>
      </c>
      <c r="B6609" t="s">
        <v>28908</v>
      </c>
      <c r="C6609">
        <v>1362</v>
      </c>
      <c r="D6609">
        <v>1</v>
      </c>
      <c r="E6609">
        <v>162</v>
      </c>
      <c r="F6609">
        <v>5651</v>
      </c>
      <c r="G6609">
        <f t="shared" si="103"/>
        <v>1577191679</v>
      </c>
    </row>
    <row r="6610" spans="1:7" x14ac:dyDescent="0.25">
      <c r="A6610">
        <v>1577191683</v>
      </c>
      <c r="B6610" t="s">
        <v>28909</v>
      </c>
      <c r="C6610">
        <v>0</v>
      </c>
      <c r="D6610">
        <v>1</v>
      </c>
      <c r="E6610">
        <v>1475</v>
      </c>
      <c r="F6610">
        <v>3611</v>
      </c>
      <c r="G6610">
        <f t="shared" si="103"/>
        <v>1577191683</v>
      </c>
    </row>
    <row r="6611" spans="1:7" x14ac:dyDescent="0.25">
      <c r="A6611">
        <v>1577191728</v>
      </c>
      <c r="B6611" t="s">
        <v>28910</v>
      </c>
      <c r="C6611">
        <v>1651</v>
      </c>
      <c r="D6611">
        <v>1</v>
      </c>
      <c r="E6611">
        <v>946</v>
      </c>
      <c r="F6611">
        <v>4059</v>
      </c>
      <c r="G6611">
        <f t="shared" si="103"/>
        <v>1577191728</v>
      </c>
    </row>
    <row r="6612" spans="1:7" x14ac:dyDescent="0.25">
      <c r="A6612">
        <v>1577191746</v>
      </c>
      <c r="B6612" t="s">
        <v>28911</v>
      </c>
      <c r="C6612">
        <v>325</v>
      </c>
      <c r="D6612">
        <v>1</v>
      </c>
      <c r="E6612">
        <v>3296</v>
      </c>
      <c r="F6612">
        <v>2929</v>
      </c>
      <c r="G6612">
        <f t="shared" si="103"/>
        <v>1577191746</v>
      </c>
    </row>
    <row r="6613" spans="1:7" x14ac:dyDescent="0.25">
      <c r="A6613">
        <v>1577191747</v>
      </c>
      <c r="B6613" t="s">
        <v>28912</v>
      </c>
      <c r="C6613">
        <v>424</v>
      </c>
      <c r="D6613">
        <v>2</v>
      </c>
      <c r="E6613">
        <v>11972</v>
      </c>
      <c r="F6613">
        <v>1284</v>
      </c>
      <c r="G6613">
        <f t="shared" si="103"/>
        <v>1577191747</v>
      </c>
    </row>
    <row r="6614" spans="1:7" x14ac:dyDescent="0.25">
      <c r="A6614">
        <v>1577191748</v>
      </c>
      <c r="B6614" t="s">
        <v>28913</v>
      </c>
      <c r="C6614">
        <v>1861</v>
      </c>
      <c r="D6614">
        <v>1</v>
      </c>
      <c r="E6614">
        <v>2369</v>
      </c>
      <c r="F6614">
        <v>3186</v>
      </c>
      <c r="G6614">
        <f t="shared" si="103"/>
        <v>1577191748</v>
      </c>
    </row>
    <row r="6615" spans="1:7" x14ac:dyDescent="0.25">
      <c r="A6615">
        <v>1577191762</v>
      </c>
      <c r="B6615" t="s">
        <v>28914</v>
      </c>
      <c r="C6615">
        <v>431</v>
      </c>
      <c r="D6615">
        <v>3</v>
      </c>
      <c r="E6615">
        <v>10935</v>
      </c>
      <c r="F6615">
        <v>1429</v>
      </c>
      <c r="G6615">
        <f t="shared" si="103"/>
        <v>1577191762</v>
      </c>
    </row>
    <row r="6616" spans="1:7" x14ac:dyDescent="0.25">
      <c r="A6616">
        <v>1577191802</v>
      </c>
      <c r="B6616" t="s">
        <v>28915</v>
      </c>
      <c r="C6616">
        <v>1877</v>
      </c>
      <c r="D6616">
        <v>1</v>
      </c>
      <c r="E6616">
        <v>1187</v>
      </c>
      <c r="F6616">
        <v>3816</v>
      </c>
      <c r="G6616">
        <f t="shared" si="103"/>
        <v>1577191802</v>
      </c>
    </row>
    <row r="6617" spans="1:7" x14ac:dyDescent="0.25">
      <c r="A6617">
        <v>1577191803</v>
      </c>
      <c r="B6617" t="s">
        <v>28916</v>
      </c>
      <c r="C6617">
        <v>0</v>
      </c>
      <c r="D6617">
        <v>0</v>
      </c>
      <c r="E6617">
        <v>0</v>
      </c>
      <c r="F6617">
        <v>8172</v>
      </c>
      <c r="G6617">
        <f t="shared" si="103"/>
        <v>1577191803</v>
      </c>
    </row>
    <row r="6618" spans="1:7" x14ac:dyDescent="0.25">
      <c r="A6618">
        <v>1577191805</v>
      </c>
      <c r="B6618" t="s">
        <v>28917</v>
      </c>
      <c r="C6618">
        <v>0</v>
      </c>
      <c r="D6618">
        <v>1</v>
      </c>
      <c r="E6618">
        <v>26</v>
      </c>
      <c r="F6618">
        <v>6817</v>
      </c>
      <c r="G6618">
        <f t="shared" si="103"/>
        <v>1577191805</v>
      </c>
    </row>
    <row r="6619" spans="1:7" x14ac:dyDescent="0.25">
      <c r="A6619">
        <v>1577191814</v>
      </c>
      <c r="B6619" t="s">
        <v>28918</v>
      </c>
      <c r="C6619">
        <v>0</v>
      </c>
      <c r="D6619">
        <v>0</v>
      </c>
      <c r="E6619">
        <v>0</v>
      </c>
      <c r="F6619">
        <v>8173</v>
      </c>
      <c r="G6619">
        <f t="shared" si="103"/>
        <v>1577191814</v>
      </c>
    </row>
    <row r="6620" spans="1:7" x14ac:dyDescent="0.25">
      <c r="A6620">
        <v>1577191825</v>
      </c>
      <c r="B6620" t="s">
        <v>28919</v>
      </c>
      <c r="C6620">
        <v>431</v>
      </c>
      <c r="D6620">
        <v>1</v>
      </c>
      <c r="E6620">
        <v>6305</v>
      </c>
      <c r="F6620">
        <v>2213</v>
      </c>
      <c r="G6620">
        <f t="shared" si="103"/>
        <v>1577191825</v>
      </c>
    </row>
    <row r="6621" spans="1:7" x14ac:dyDescent="0.25">
      <c r="A6621">
        <v>1577191829</v>
      </c>
      <c r="B6621" t="s">
        <v>28920</v>
      </c>
      <c r="C6621">
        <v>595</v>
      </c>
      <c r="D6621">
        <v>1</v>
      </c>
      <c r="E6621">
        <v>1703</v>
      </c>
      <c r="F6621">
        <v>3496</v>
      </c>
      <c r="G6621">
        <f t="shared" si="103"/>
        <v>1577191829</v>
      </c>
    </row>
    <row r="6622" spans="1:7" x14ac:dyDescent="0.25">
      <c r="A6622">
        <v>1577191844</v>
      </c>
      <c r="B6622" t="s">
        <v>36797</v>
      </c>
      <c r="C6622">
        <v>1913</v>
      </c>
      <c r="D6622">
        <v>1</v>
      </c>
      <c r="E6622">
        <v>2242</v>
      </c>
      <c r="F6622">
        <v>3258</v>
      </c>
      <c r="G6622">
        <f t="shared" si="103"/>
        <v>1577191844</v>
      </c>
    </row>
    <row r="6623" spans="1:7" x14ac:dyDescent="0.25">
      <c r="A6623">
        <v>1577191858</v>
      </c>
      <c r="B6623" t="s">
        <v>28921</v>
      </c>
      <c r="C6623">
        <v>443</v>
      </c>
      <c r="D6623">
        <v>1</v>
      </c>
      <c r="E6623">
        <v>3070</v>
      </c>
      <c r="F6623">
        <v>2978</v>
      </c>
      <c r="G6623">
        <f t="shared" si="103"/>
        <v>1577191858</v>
      </c>
    </row>
    <row r="6624" spans="1:7" x14ac:dyDescent="0.25">
      <c r="A6624">
        <v>1577191860</v>
      </c>
      <c r="B6624" t="s">
        <v>1190</v>
      </c>
      <c r="C6624">
        <v>115</v>
      </c>
      <c r="D6624">
        <v>1</v>
      </c>
      <c r="E6624">
        <v>4674</v>
      </c>
      <c r="F6624">
        <v>2582</v>
      </c>
      <c r="G6624">
        <f t="shared" si="103"/>
        <v>1577191860</v>
      </c>
    </row>
    <row r="6625" spans="1:7" x14ac:dyDescent="0.25">
      <c r="A6625">
        <v>1577191879</v>
      </c>
      <c r="B6625" t="s">
        <v>28922</v>
      </c>
      <c r="C6625">
        <v>78</v>
      </c>
      <c r="D6625">
        <v>0</v>
      </c>
      <c r="E6625">
        <v>0</v>
      </c>
      <c r="F6625">
        <v>8174</v>
      </c>
      <c r="G6625">
        <f t="shared" si="103"/>
        <v>1577191879</v>
      </c>
    </row>
    <row r="6626" spans="1:7" x14ac:dyDescent="0.25">
      <c r="A6626">
        <v>1577191883</v>
      </c>
      <c r="B6626" t="s">
        <v>28923</v>
      </c>
      <c r="C6626">
        <v>1357</v>
      </c>
      <c r="D6626">
        <v>1</v>
      </c>
      <c r="E6626">
        <v>239</v>
      </c>
      <c r="F6626">
        <v>5356</v>
      </c>
      <c r="G6626">
        <f t="shared" si="103"/>
        <v>1577191883</v>
      </c>
    </row>
    <row r="6627" spans="1:7" x14ac:dyDescent="0.25">
      <c r="A6627">
        <v>1577191925</v>
      </c>
      <c r="B6627" t="s">
        <v>28924</v>
      </c>
      <c r="C6627">
        <v>196</v>
      </c>
      <c r="D6627">
        <v>4</v>
      </c>
      <c r="E6627">
        <v>19866</v>
      </c>
      <c r="F6627">
        <v>630</v>
      </c>
      <c r="G6627">
        <f t="shared" si="103"/>
        <v>1577191925</v>
      </c>
    </row>
    <row r="6628" spans="1:7" x14ac:dyDescent="0.25">
      <c r="A6628">
        <v>1577191939</v>
      </c>
      <c r="B6628" t="s">
        <v>28925</v>
      </c>
      <c r="C6628">
        <v>190</v>
      </c>
      <c r="D6628">
        <v>0</v>
      </c>
      <c r="E6628">
        <v>0</v>
      </c>
      <c r="F6628">
        <v>8175</v>
      </c>
      <c r="G6628">
        <f t="shared" si="103"/>
        <v>1577191939</v>
      </c>
    </row>
    <row r="6629" spans="1:7" x14ac:dyDescent="0.25">
      <c r="A6629">
        <v>1577191960</v>
      </c>
      <c r="B6629" t="s">
        <v>28926</v>
      </c>
      <c r="C6629">
        <v>274</v>
      </c>
      <c r="D6629">
        <v>4</v>
      </c>
      <c r="E6629">
        <v>19987</v>
      </c>
      <c r="F6629">
        <v>627</v>
      </c>
      <c r="G6629">
        <f t="shared" si="103"/>
        <v>1577191960</v>
      </c>
    </row>
    <row r="6630" spans="1:7" x14ac:dyDescent="0.25">
      <c r="A6630">
        <v>1577191975</v>
      </c>
      <c r="B6630" t="s">
        <v>28927</v>
      </c>
      <c r="C6630">
        <v>1669</v>
      </c>
      <c r="D6630">
        <v>0</v>
      </c>
      <c r="E6630">
        <v>0</v>
      </c>
      <c r="F6630">
        <v>8176</v>
      </c>
      <c r="G6630">
        <f t="shared" si="103"/>
        <v>1577191975</v>
      </c>
    </row>
    <row r="6631" spans="1:7" x14ac:dyDescent="0.25">
      <c r="A6631">
        <v>1577191986</v>
      </c>
      <c r="B6631" t="s">
        <v>28928</v>
      </c>
      <c r="C6631">
        <v>0</v>
      </c>
      <c r="D6631">
        <v>1</v>
      </c>
      <c r="E6631">
        <v>26</v>
      </c>
      <c r="F6631">
        <v>6818</v>
      </c>
      <c r="G6631">
        <f t="shared" si="103"/>
        <v>1577191986</v>
      </c>
    </row>
    <row r="6632" spans="1:7" x14ac:dyDescent="0.25">
      <c r="A6632">
        <v>1577192052</v>
      </c>
      <c r="B6632" t="s">
        <v>28929</v>
      </c>
      <c r="C6632">
        <v>413</v>
      </c>
      <c r="D6632">
        <v>3</v>
      </c>
      <c r="E6632">
        <v>8297</v>
      </c>
      <c r="F6632">
        <v>1829</v>
      </c>
      <c r="G6632">
        <f t="shared" si="103"/>
        <v>1577192052</v>
      </c>
    </row>
    <row r="6633" spans="1:7" x14ac:dyDescent="0.25">
      <c r="A6633">
        <v>1577192093</v>
      </c>
      <c r="B6633" t="s">
        <v>28930</v>
      </c>
      <c r="C6633">
        <v>431</v>
      </c>
      <c r="D6633">
        <v>1</v>
      </c>
      <c r="E6633">
        <v>5200</v>
      </c>
      <c r="F6633">
        <v>2467</v>
      </c>
      <c r="G6633">
        <f t="shared" si="103"/>
        <v>1577192093</v>
      </c>
    </row>
    <row r="6634" spans="1:7" x14ac:dyDescent="0.25">
      <c r="A6634">
        <v>1577192116</v>
      </c>
      <c r="B6634" t="s">
        <v>28931</v>
      </c>
      <c r="C6634">
        <v>1689</v>
      </c>
      <c r="D6634">
        <v>1</v>
      </c>
      <c r="E6634">
        <v>3657</v>
      </c>
      <c r="F6634">
        <v>2838</v>
      </c>
      <c r="G6634">
        <f t="shared" si="103"/>
        <v>1577192116</v>
      </c>
    </row>
    <row r="6635" spans="1:7" x14ac:dyDescent="0.25">
      <c r="A6635">
        <v>1577192117</v>
      </c>
      <c r="B6635" t="s">
        <v>28932</v>
      </c>
      <c r="C6635">
        <v>67</v>
      </c>
      <c r="D6635">
        <v>2</v>
      </c>
      <c r="E6635">
        <v>10898</v>
      </c>
      <c r="F6635">
        <v>1434</v>
      </c>
      <c r="G6635">
        <f t="shared" si="103"/>
        <v>1577192117</v>
      </c>
    </row>
    <row r="6636" spans="1:7" x14ac:dyDescent="0.25">
      <c r="A6636">
        <v>1577192118</v>
      </c>
      <c r="B6636" t="s">
        <v>28933</v>
      </c>
      <c r="C6636">
        <v>0</v>
      </c>
      <c r="D6636">
        <v>1</v>
      </c>
      <c r="E6636">
        <v>31</v>
      </c>
      <c r="F6636">
        <v>6317</v>
      </c>
      <c r="G6636">
        <f t="shared" si="103"/>
        <v>1577192118</v>
      </c>
    </row>
    <row r="6637" spans="1:7" x14ac:dyDescent="0.25">
      <c r="A6637">
        <v>1577192142</v>
      </c>
      <c r="B6637" t="s">
        <v>28934</v>
      </c>
      <c r="C6637">
        <v>1403</v>
      </c>
      <c r="D6637">
        <v>4</v>
      </c>
      <c r="E6637">
        <v>14595</v>
      </c>
      <c r="F6637">
        <v>1023</v>
      </c>
      <c r="G6637">
        <f t="shared" si="103"/>
        <v>1577192142</v>
      </c>
    </row>
    <row r="6638" spans="1:7" x14ac:dyDescent="0.25">
      <c r="A6638">
        <v>1577192169</v>
      </c>
      <c r="B6638" t="s">
        <v>28935</v>
      </c>
      <c r="C6638">
        <v>295</v>
      </c>
      <c r="D6638">
        <v>0</v>
      </c>
      <c r="E6638">
        <v>0</v>
      </c>
      <c r="F6638">
        <v>8177</v>
      </c>
      <c r="G6638">
        <f t="shared" si="103"/>
        <v>1577192169</v>
      </c>
    </row>
    <row r="6639" spans="1:7" x14ac:dyDescent="0.25">
      <c r="A6639">
        <v>1577192170</v>
      </c>
      <c r="B6639" t="s">
        <v>28936</v>
      </c>
      <c r="C6639">
        <v>1734</v>
      </c>
      <c r="D6639">
        <v>1</v>
      </c>
      <c r="E6639">
        <v>222</v>
      </c>
      <c r="F6639">
        <v>5427</v>
      </c>
      <c r="G6639">
        <f t="shared" si="103"/>
        <v>1577192170</v>
      </c>
    </row>
    <row r="6640" spans="1:7" x14ac:dyDescent="0.25">
      <c r="A6640">
        <v>1577192177</v>
      </c>
      <c r="B6640" t="s">
        <v>28937</v>
      </c>
      <c r="C6640">
        <v>0</v>
      </c>
      <c r="D6640">
        <v>5</v>
      </c>
      <c r="E6640">
        <v>18525</v>
      </c>
      <c r="F6640">
        <v>719</v>
      </c>
      <c r="G6640">
        <f t="shared" si="103"/>
        <v>1577192177</v>
      </c>
    </row>
    <row r="6641" spans="1:7" x14ac:dyDescent="0.25">
      <c r="A6641">
        <v>1577192180</v>
      </c>
      <c r="B6641" t="s">
        <v>28938</v>
      </c>
      <c r="C6641">
        <v>1975</v>
      </c>
      <c r="D6641">
        <v>1</v>
      </c>
      <c r="E6641">
        <v>467</v>
      </c>
      <c r="F6641">
        <v>4719</v>
      </c>
      <c r="G6641">
        <f t="shared" si="103"/>
        <v>1577192180</v>
      </c>
    </row>
    <row r="6642" spans="1:7" x14ac:dyDescent="0.25">
      <c r="A6642">
        <v>1577192186</v>
      </c>
      <c r="B6642" t="s">
        <v>37072</v>
      </c>
      <c r="C6642">
        <v>494</v>
      </c>
      <c r="D6642">
        <v>2</v>
      </c>
      <c r="E6642">
        <v>5955</v>
      </c>
      <c r="F6642">
        <v>2287</v>
      </c>
      <c r="G6642">
        <f t="shared" si="103"/>
        <v>1577192186</v>
      </c>
    </row>
    <row r="6643" spans="1:7" x14ac:dyDescent="0.25">
      <c r="A6643">
        <v>1577192207</v>
      </c>
      <c r="B6643" t="s">
        <v>28939</v>
      </c>
      <c r="C6643">
        <v>96</v>
      </c>
      <c r="D6643">
        <v>2</v>
      </c>
      <c r="E6643">
        <v>6848</v>
      </c>
      <c r="F6643">
        <v>2100</v>
      </c>
      <c r="G6643">
        <f t="shared" si="103"/>
        <v>1577192207</v>
      </c>
    </row>
    <row r="6644" spans="1:7" x14ac:dyDescent="0.25">
      <c r="A6644">
        <v>1577192208</v>
      </c>
      <c r="B6644" t="s">
        <v>1389</v>
      </c>
      <c r="C6644">
        <v>1734</v>
      </c>
      <c r="D6644">
        <v>1</v>
      </c>
      <c r="E6644">
        <v>195</v>
      </c>
      <c r="F6644">
        <v>5519</v>
      </c>
      <c r="G6644">
        <f t="shared" si="103"/>
        <v>1577192208</v>
      </c>
    </row>
    <row r="6645" spans="1:7" x14ac:dyDescent="0.25">
      <c r="A6645">
        <v>1577192211</v>
      </c>
      <c r="B6645" t="s">
        <v>28940</v>
      </c>
      <c r="C6645">
        <v>6</v>
      </c>
      <c r="D6645">
        <v>1</v>
      </c>
      <c r="E6645">
        <v>7615</v>
      </c>
      <c r="F6645">
        <v>1958</v>
      </c>
      <c r="G6645">
        <f t="shared" si="103"/>
        <v>1577192211</v>
      </c>
    </row>
    <row r="6646" spans="1:7" x14ac:dyDescent="0.25">
      <c r="A6646">
        <v>1577192250</v>
      </c>
      <c r="B6646" t="s">
        <v>28941</v>
      </c>
      <c r="C6646">
        <v>96</v>
      </c>
      <c r="D6646">
        <v>2</v>
      </c>
      <c r="E6646">
        <v>9435</v>
      </c>
      <c r="F6646">
        <v>1649</v>
      </c>
      <c r="G6646">
        <f t="shared" si="103"/>
        <v>1577192250</v>
      </c>
    </row>
    <row r="6647" spans="1:7" x14ac:dyDescent="0.25">
      <c r="A6647">
        <v>1577192259</v>
      </c>
      <c r="B6647" t="s">
        <v>28942</v>
      </c>
      <c r="C6647">
        <v>106</v>
      </c>
      <c r="D6647">
        <v>2</v>
      </c>
      <c r="E6647">
        <v>6763</v>
      </c>
      <c r="F6647">
        <v>2108</v>
      </c>
      <c r="G6647">
        <f t="shared" si="103"/>
        <v>1577192259</v>
      </c>
    </row>
    <row r="6648" spans="1:7" x14ac:dyDescent="0.25">
      <c r="A6648">
        <v>1577192272</v>
      </c>
      <c r="B6648" t="s">
        <v>28943</v>
      </c>
      <c r="C6648">
        <v>1858</v>
      </c>
      <c r="D6648">
        <v>1</v>
      </c>
      <c r="E6648">
        <v>711</v>
      </c>
      <c r="F6648">
        <v>4328</v>
      </c>
      <c r="G6648">
        <f t="shared" si="103"/>
        <v>1577192272</v>
      </c>
    </row>
    <row r="6649" spans="1:7" x14ac:dyDescent="0.25">
      <c r="A6649">
        <v>1577192291</v>
      </c>
      <c r="B6649" t="s">
        <v>28944</v>
      </c>
      <c r="C6649">
        <v>96</v>
      </c>
      <c r="D6649">
        <v>1</v>
      </c>
      <c r="E6649">
        <v>6628</v>
      </c>
      <c r="F6649">
        <v>2133</v>
      </c>
      <c r="G6649">
        <f t="shared" si="103"/>
        <v>1577192291</v>
      </c>
    </row>
    <row r="6650" spans="1:7" x14ac:dyDescent="0.25">
      <c r="A6650">
        <v>1577192300</v>
      </c>
      <c r="B6650" t="s">
        <v>28945</v>
      </c>
      <c r="C6650">
        <v>1858</v>
      </c>
      <c r="D6650">
        <v>1</v>
      </c>
      <c r="E6650">
        <v>870</v>
      </c>
      <c r="F6650">
        <v>4118</v>
      </c>
      <c r="G6650">
        <f t="shared" si="103"/>
        <v>1577192300</v>
      </c>
    </row>
    <row r="6651" spans="1:7" x14ac:dyDescent="0.25">
      <c r="A6651">
        <v>1577192314</v>
      </c>
      <c r="B6651" t="s">
        <v>28946</v>
      </c>
      <c r="C6651">
        <v>0</v>
      </c>
      <c r="D6651">
        <v>1</v>
      </c>
      <c r="E6651">
        <v>1897</v>
      </c>
      <c r="F6651">
        <v>3395</v>
      </c>
      <c r="G6651">
        <f t="shared" si="103"/>
        <v>1577192314</v>
      </c>
    </row>
    <row r="6652" spans="1:7" x14ac:dyDescent="0.25">
      <c r="A6652">
        <v>1577192340</v>
      </c>
      <c r="B6652" t="s">
        <v>28947</v>
      </c>
      <c r="C6652">
        <v>196</v>
      </c>
      <c r="D6652">
        <v>5</v>
      </c>
      <c r="E6652">
        <v>23130</v>
      </c>
      <c r="F6652">
        <v>467</v>
      </c>
      <c r="G6652">
        <f t="shared" si="103"/>
        <v>1577192340</v>
      </c>
    </row>
    <row r="6653" spans="1:7" x14ac:dyDescent="0.25">
      <c r="A6653">
        <v>1577192346</v>
      </c>
      <c r="B6653" t="s">
        <v>28948</v>
      </c>
      <c r="C6653">
        <v>128</v>
      </c>
      <c r="D6653">
        <v>1</v>
      </c>
      <c r="E6653">
        <v>438</v>
      </c>
      <c r="F6653">
        <v>4764</v>
      </c>
      <c r="G6653">
        <f t="shared" si="103"/>
        <v>1577192346</v>
      </c>
    </row>
    <row r="6654" spans="1:7" x14ac:dyDescent="0.25">
      <c r="A6654">
        <v>1577192351</v>
      </c>
      <c r="B6654" t="s">
        <v>2998</v>
      </c>
      <c r="C6654">
        <v>1778</v>
      </c>
      <c r="D6654">
        <v>1</v>
      </c>
      <c r="E6654">
        <v>594</v>
      </c>
      <c r="F6654">
        <v>4475</v>
      </c>
      <c r="G6654">
        <f t="shared" si="103"/>
        <v>1577192351</v>
      </c>
    </row>
    <row r="6655" spans="1:7" x14ac:dyDescent="0.25">
      <c r="A6655">
        <v>1577192360</v>
      </c>
      <c r="B6655" t="s">
        <v>28949</v>
      </c>
      <c r="C6655">
        <v>0</v>
      </c>
      <c r="D6655">
        <v>0</v>
      </c>
      <c r="E6655">
        <v>0</v>
      </c>
      <c r="F6655">
        <v>8178</v>
      </c>
      <c r="G6655">
        <f t="shared" si="103"/>
        <v>1577192360</v>
      </c>
    </row>
    <row r="6656" spans="1:7" x14ac:dyDescent="0.25">
      <c r="A6656">
        <v>1577192365</v>
      </c>
      <c r="B6656" t="s">
        <v>37073</v>
      </c>
      <c r="C6656">
        <v>0</v>
      </c>
      <c r="D6656">
        <v>1</v>
      </c>
      <c r="E6656">
        <v>325</v>
      </c>
      <c r="F6656">
        <v>5058</v>
      </c>
      <c r="G6656">
        <f t="shared" si="103"/>
        <v>1577192365</v>
      </c>
    </row>
    <row r="6657" spans="1:7" x14ac:dyDescent="0.25">
      <c r="A6657">
        <v>1577192377</v>
      </c>
      <c r="B6657" t="s">
        <v>28950</v>
      </c>
      <c r="C6657">
        <v>0</v>
      </c>
      <c r="D6657">
        <v>0</v>
      </c>
      <c r="E6657">
        <v>0</v>
      </c>
      <c r="F6657">
        <v>8179</v>
      </c>
      <c r="G6657">
        <f t="shared" ref="G6657:G6720" si="104">A6657</f>
        <v>1577192377</v>
      </c>
    </row>
    <row r="6658" spans="1:7" x14ac:dyDescent="0.25">
      <c r="A6658">
        <v>1577192441</v>
      </c>
      <c r="B6658" t="s">
        <v>28951</v>
      </c>
      <c r="C6658">
        <v>2010</v>
      </c>
      <c r="D6658">
        <v>1</v>
      </c>
      <c r="E6658">
        <v>607</v>
      </c>
      <c r="F6658">
        <v>4462</v>
      </c>
      <c r="G6658">
        <f t="shared" si="104"/>
        <v>1577192441</v>
      </c>
    </row>
    <row r="6659" spans="1:7" x14ac:dyDescent="0.25">
      <c r="A6659">
        <v>1577192447</v>
      </c>
      <c r="B6659" t="s">
        <v>36798</v>
      </c>
      <c r="C6659">
        <v>1861</v>
      </c>
      <c r="D6659">
        <v>1</v>
      </c>
      <c r="E6659">
        <v>842</v>
      </c>
      <c r="F6659">
        <v>4143</v>
      </c>
      <c r="G6659">
        <f t="shared" si="104"/>
        <v>1577192447</v>
      </c>
    </row>
    <row r="6660" spans="1:7" x14ac:dyDescent="0.25">
      <c r="A6660">
        <v>1577192471</v>
      </c>
      <c r="B6660" t="s">
        <v>28952</v>
      </c>
      <c r="C6660">
        <v>294</v>
      </c>
      <c r="D6660">
        <v>5</v>
      </c>
      <c r="E6660">
        <v>24773</v>
      </c>
      <c r="F6660">
        <v>405</v>
      </c>
      <c r="G6660">
        <f t="shared" si="104"/>
        <v>1577192471</v>
      </c>
    </row>
    <row r="6661" spans="1:7" x14ac:dyDescent="0.25">
      <c r="A6661">
        <v>1577192473</v>
      </c>
      <c r="B6661" t="s">
        <v>28953</v>
      </c>
      <c r="C6661">
        <v>62</v>
      </c>
      <c r="D6661">
        <v>1</v>
      </c>
      <c r="E6661">
        <v>142</v>
      </c>
      <c r="F6661">
        <v>5723</v>
      </c>
      <c r="G6661">
        <f t="shared" si="104"/>
        <v>1577192473</v>
      </c>
    </row>
    <row r="6662" spans="1:7" x14ac:dyDescent="0.25">
      <c r="A6662">
        <v>1577192534</v>
      </c>
      <c r="B6662" t="s">
        <v>28954</v>
      </c>
      <c r="C6662">
        <v>0</v>
      </c>
      <c r="D6662">
        <v>1</v>
      </c>
      <c r="E6662">
        <v>26</v>
      </c>
      <c r="F6662">
        <v>6819</v>
      </c>
      <c r="G6662">
        <f t="shared" si="104"/>
        <v>1577192534</v>
      </c>
    </row>
    <row r="6663" spans="1:7" x14ac:dyDescent="0.25">
      <c r="A6663">
        <v>1577192546</v>
      </c>
      <c r="B6663" t="s">
        <v>28955</v>
      </c>
      <c r="C6663">
        <v>294</v>
      </c>
      <c r="D6663">
        <v>3</v>
      </c>
      <c r="E6663">
        <v>7260</v>
      </c>
      <c r="F6663">
        <v>2019</v>
      </c>
      <c r="G6663">
        <f t="shared" si="104"/>
        <v>1577192546</v>
      </c>
    </row>
    <row r="6664" spans="1:7" x14ac:dyDescent="0.25">
      <c r="A6664">
        <v>1577192553</v>
      </c>
      <c r="B6664" t="s">
        <v>28956</v>
      </c>
      <c r="C6664">
        <v>0</v>
      </c>
      <c r="D6664">
        <v>0</v>
      </c>
      <c r="E6664">
        <v>0</v>
      </c>
      <c r="F6664">
        <v>8180</v>
      </c>
      <c r="G6664">
        <f t="shared" si="104"/>
        <v>1577192553</v>
      </c>
    </row>
    <row r="6665" spans="1:7" x14ac:dyDescent="0.25">
      <c r="A6665">
        <v>1577192577</v>
      </c>
      <c r="B6665" t="s">
        <v>28957</v>
      </c>
      <c r="C6665">
        <v>0</v>
      </c>
      <c r="D6665">
        <v>0</v>
      </c>
      <c r="E6665">
        <v>0</v>
      </c>
      <c r="F6665">
        <v>8181</v>
      </c>
      <c r="G6665">
        <f t="shared" si="104"/>
        <v>1577192577</v>
      </c>
    </row>
    <row r="6666" spans="1:7" x14ac:dyDescent="0.25">
      <c r="A6666">
        <v>1577192578</v>
      </c>
      <c r="B6666" t="s">
        <v>28958</v>
      </c>
      <c r="C6666">
        <v>0</v>
      </c>
      <c r="D6666">
        <v>0</v>
      </c>
      <c r="E6666">
        <v>0</v>
      </c>
      <c r="F6666">
        <v>8182</v>
      </c>
      <c r="G6666">
        <f t="shared" si="104"/>
        <v>1577192578</v>
      </c>
    </row>
    <row r="6667" spans="1:7" x14ac:dyDescent="0.25">
      <c r="A6667">
        <v>1577192586</v>
      </c>
      <c r="B6667" t="s">
        <v>28959</v>
      </c>
      <c r="C6667">
        <v>325</v>
      </c>
      <c r="D6667">
        <v>1</v>
      </c>
      <c r="E6667">
        <v>5730</v>
      </c>
      <c r="F6667">
        <v>2344</v>
      </c>
      <c r="G6667">
        <f t="shared" si="104"/>
        <v>1577192586</v>
      </c>
    </row>
    <row r="6668" spans="1:7" x14ac:dyDescent="0.25">
      <c r="A6668">
        <v>1577192594</v>
      </c>
      <c r="B6668" t="s">
        <v>28960</v>
      </c>
      <c r="C6668">
        <v>0</v>
      </c>
      <c r="D6668">
        <v>1</v>
      </c>
      <c r="E6668">
        <v>26</v>
      </c>
      <c r="F6668">
        <v>6820</v>
      </c>
      <c r="G6668">
        <f t="shared" si="104"/>
        <v>1577192594</v>
      </c>
    </row>
    <row r="6669" spans="1:7" x14ac:dyDescent="0.25">
      <c r="A6669">
        <v>1577192621</v>
      </c>
      <c r="B6669" t="s">
        <v>28961</v>
      </c>
      <c r="C6669">
        <v>69</v>
      </c>
      <c r="D6669">
        <v>2</v>
      </c>
      <c r="E6669">
        <v>8937</v>
      </c>
      <c r="F6669">
        <v>1727</v>
      </c>
      <c r="G6669">
        <f t="shared" si="104"/>
        <v>1577192621</v>
      </c>
    </row>
    <row r="6670" spans="1:7" x14ac:dyDescent="0.25">
      <c r="A6670">
        <v>1577192624</v>
      </c>
      <c r="B6670" t="s">
        <v>28962</v>
      </c>
      <c r="C6670">
        <v>0</v>
      </c>
      <c r="D6670">
        <v>1</v>
      </c>
      <c r="E6670">
        <v>144</v>
      </c>
      <c r="F6670">
        <v>5718</v>
      </c>
      <c r="G6670">
        <f t="shared" si="104"/>
        <v>1577192624</v>
      </c>
    </row>
    <row r="6671" spans="1:7" x14ac:dyDescent="0.25">
      <c r="A6671">
        <v>1577192658</v>
      </c>
      <c r="B6671" t="s">
        <v>28963</v>
      </c>
      <c r="C6671">
        <v>294</v>
      </c>
      <c r="D6671">
        <v>3</v>
      </c>
      <c r="E6671">
        <v>9677</v>
      </c>
      <c r="F6671">
        <v>1611</v>
      </c>
      <c r="G6671">
        <f t="shared" si="104"/>
        <v>1577192658</v>
      </c>
    </row>
    <row r="6672" spans="1:7" x14ac:dyDescent="0.25">
      <c r="A6672">
        <v>1577192698</v>
      </c>
      <c r="B6672" t="s">
        <v>28964</v>
      </c>
      <c r="C6672">
        <v>1880</v>
      </c>
      <c r="D6672">
        <v>1</v>
      </c>
      <c r="E6672">
        <v>906</v>
      </c>
      <c r="F6672">
        <v>4087</v>
      </c>
      <c r="G6672">
        <f t="shared" si="104"/>
        <v>1577192698</v>
      </c>
    </row>
    <row r="6673" spans="1:7" x14ac:dyDescent="0.25">
      <c r="A6673">
        <v>1577192706</v>
      </c>
      <c r="B6673" t="s">
        <v>28965</v>
      </c>
      <c r="C6673">
        <v>0</v>
      </c>
      <c r="D6673">
        <v>1</v>
      </c>
      <c r="E6673">
        <v>51</v>
      </c>
      <c r="F6673">
        <v>6166</v>
      </c>
      <c r="G6673">
        <f t="shared" si="104"/>
        <v>1577192706</v>
      </c>
    </row>
    <row r="6674" spans="1:7" x14ac:dyDescent="0.25">
      <c r="A6674">
        <v>1577192716</v>
      </c>
      <c r="B6674" t="s">
        <v>28966</v>
      </c>
      <c r="C6674">
        <v>115</v>
      </c>
      <c r="D6674">
        <v>4</v>
      </c>
      <c r="E6674">
        <v>17710</v>
      </c>
      <c r="F6674">
        <v>775</v>
      </c>
      <c r="G6674">
        <f t="shared" si="104"/>
        <v>1577192716</v>
      </c>
    </row>
    <row r="6675" spans="1:7" x14ac:dyDescent="0.25">
      <c r="A6675">
        <v>1577192736</v>
      </c>
      <c r="B6675" t="s">
        <v>36799</v>
      </c>
      <c r="C6675">
        <v>0</v>
      </c>
      <c r="D6675">
        <v>1</v>
      </c>
      <c r="E6675">
        <v>41</v>
      </c>
      <c r="F6675">
        <v>6259</v>
      </c>
      <c r="G6675">
        <f t="shared" si="104"/>
        <v>1577192736</v>
      </c>
    </row>
    <row r="6676" spans="1:7" x14ac:dyDescent="0.25">
      <c r="A6676">
        <v>1577192746</v>
      </c>
      <c r="B6676" t="s">
        <v>28967</v>
      </c>
      <c r="C6676">
        <v>0</v>
      </c>
      <c r="D6676">
        <v>1</v>
      </c>
      <c r="E6676">
        <v>26</v>
      </c>
      <c r="F6676">
        <v>6821</v>
      </c>
      <c r="G6676">
        <f t="shared" si="104"/>
        <v>1577192746</v>
      </c>
    </row>
    <row r="6677" spans="1:7" x14ac:dyDescent="0.25">
      <c r="A6677">
        <v>1577192749</v>
      </c>
      <c r="B6677" t="s">
        <v>28968</v>
      </c>
      <c r="C6677">
        <v>1778</v>
      </c>
      <c r="D6677">
        <v>4</v>
      </c>
      <c r="E6677">
        <v>16113</v>
      </c>
      <c r="F6677">
        <v>901</v>
      </c>
      <c r="G6677">
        <f t="shared" si="104"/>
        <v>1577192749</v>
      </c>
    </row>
    <row r="6678" spans="1:7" x14ac:dyDescent="0.25">
      <c r="A6678">
        <v>1577192755</v>
      </c>
      <c r="B6678" t="s">
        <v>28969</v>
      </c>
      <c r="C6678">
        <v>196</v>
      </c>
      <c r="D6678">
        <v>2</v>
      </c>
      <c r="E6678">
        <v>12043</v>
      </c>
      <c r="F6678">
        <v>1279</v>
      </c>
      <c r="G6678">
        <f t="shared" si="104"/>
        <v>1577192755</v>
      </c>
    </row>
    <row r="6679" spans="1:7" x14ac:dyDescent="0.25">
      <c r="A6679">
        <v>1577192797</v>
      </c>
      <c r="B6679" t="s">
        <v>28970</v>
      </c>
      <c r="C6679">
        <v>196</v>
      </c>
      <c r="D6679">
        <v>4</v>
      </c>
      <c r="E6679">
        <v>26639</v>
      </c>
      <c r="F6679">
        <v>349</v>
      </c>
      <c r="G6679">
        <f t="shared" si="104"/>
        <v>1577192797</v>
      </c>
    </row>
    <row r="6680" spans="1:7" x14ac:dyDescent="0.25">
      <c r="A6680">
        <v>1577192811</v>
      </c>
      <c r="B6680" t="s">
        <v>28971</v>
      </c>
      <c r="C6680">
        <v>0</v>
      </c>
      <c r="D6680">
        <v>0</v>
      </c>
      <c r="E6680">
        <v>0</v>
      </c>
      <c r="F6680">
        <v>8183</v>
      </c>
      <c r="G6680">
        <f t="shared" si="104"/>
        <v>1577192811</v>
      </c>
    </row>
    <row r="6681" spans="1:7" x14ac:dyDescent="0.25">
      <c r="A6681">
        <v>1577192835</v>
      </c>
      <c r="B6681" t="s">
        <v>28972</v>
      </c>
      <c r="C6681">
        <v>0</v>
      </c>
      <c r="D6681">
        <v>1</v>
      </c>
      <c r="E6681">
        <v>516</v>
      </c>
      <c r="F6681">
        <v>4597</v>
      </c>
      <c r="G6681">
        <f t="shared" si="104"/>
        <v>1577192835</v>
      </c>
    </row>
    <row r="6682" spans="1:7" x14ac:dyDescent="0.25">
      <c r="A6682">
        <v>1577192836</v>
      </c>
      <c r="B6682" t="s">
        <v>28973</v>
      </c>
      <c r="C6682">
        <v>625</v>
      </c>
      <c r="D6682">
        <v>2</v>
      </c>
      <c r="E6682">
        <v>10634</v>
      </c>
      <c r="F6682">
        <v>1479</v>
      </c>
      <c r="G6682">
        <f t="shared" si="104"/>
        <v>1577192836</v>
      </c>
    </row>
    <row r="6683" spans="1:7" x14ac:dyDescent="0.25">
      <c r="A6683">
        <v>1577192880</v>
      </c>
      <c r="B6683" t="s">
        <v>28974</v>
      </c>
      <c r="C6683">
        <v>0</v>
      </c>
      <c r="D6683">
        <v>0</v>
      </c>
      <c r="E6683">
        <v>0</v>
      </c>
      <c r="F6683">
        <v>8184</v>
      </c>
      <c r="G6683">
        <f t="shared" si="104"/>
        <v>1577192880</v>
      </c>
    </row>
    <row r="6684" spans="1:7" x14ac:dyDescent="0.25">
      <c r="A6684">
        <v>1577192892</v>
      </c>
      <c r="B6684" t="s">
        <v>28975</v>
      </c>
      <c r="C6684">
        <v>0</v>
      </c>
      <c r="D6684">
        <v>1</v>
      </c>
      <c r="E6684">
        <v>26</v>
      </c>
      <c r="F6684">
        <v>6822</v>
      </c>
      <c r="G6684">
        <f t="shared" si="104"/>
        <v>1577192892</v>
      </c>
    </row>
    <row r="6685" spans="1:7" x14ac:dyDescent="0.25">
      <c r="A6685">
        <v>1577192893</v>
      </c>
      <c r="B6685" t="s">
        <v>28976</v>
      </c>
      <c r="C6685">
        <v>118</v>
      </c>
      <c r="D6685">
        <v>1</v>
      </c>
      <c r="E6685">
        <v>1961</v>
      </c>
      <c r="F6685">
        <v>3368</v>
      </c>
      <c r="G6685">
        <f t="shared" si="104"/>
        <v>1577192893</v>
      </c>
    </row>
    <row r="6686" spans="1:7" x14ac:dyDescent="0.25">
      <c r="A6686">
        <v>1577192910</v>
      </c>
      <c r="B6686" t="s">
        <v>28977</v>
      </c>
      <c r="C6686">
        <v>0</v>
      </c>
      <c r="D6686">
        <v>0</v>
      </c>
      <c r="E6686">
        <v>0</v>
      </c>
      <c r="F6686">
        <v>8185</v>
      </c>
      <c r="G6686">
        <f t="shared" si="104"/>
        <v>1577192910</v>
      </c>
    </row>
    <row r="6687" spans="1:7" x14ac:dyDescent="0.25">
      <c r="A6687">
        <v>1577192915</v>
      </c>
      <c r="B6687" t="s">
        <v>28978</v>
      </c>
      <c r="C6687">
        <v>0</v>
      </c>
      <c r="D6687">
        <v>1</v>
      </c>
      <c r="E6687">
        <v>47</v>
      </c>
      <c r="F6687">
        <v>6208</v>
      </c>
      <c r="G6687">
        <f t="shared" si="104"/>
        <v>1577192915</v>
      </c>
    </row>
    <row r="6688" spans="1:7" x14ac:dyDescent="0.25">
      <c r="A6688">
        <v>1577192921</v>
      </c>
      <c r="B6688" t="s">
        <v>28979</v>
      </c>
      <c r="C6688">
        <v>0</v>
      </c>
      <c r="D6688">
        <v>1</v>
      </c>
      <c r="E6688">
        <v>47</v>
      </c>
      <c r="F6688">
        <v>6209</v>
      </c>
      <c r="G6688">
        <f t="shared" si="104"/>
        <v>1577192921</v>
      </c>
    </row>
    <row r="6689" spans="1:7" x14ac:dyDescent="0.25">
      <c r="A6689">
        <v>1577192924</v>
      </c>
      <c r="B6689" t="s">
        <v>28980</v>
      </c>
      <c r="C6689">
        <v>1173</v>
      </c>
      <c r="D6689">
        <v>1</v>
      </c>
      <c r="E6689">
        <v>3333</v>
      </c>
      <c r="F6689">
        <v>2918</v>
      </c>
      <c r="G6689">
        <f t="shared" si="104"/>
        <v>1577192924</v>
      </c>
    </row>
    <row r="6690" spans="1:7" x14ac:dyDescent="0.25">
      <c r="A6690">
        <v>1577192926</v>
      </c>
      <c r="B6690" t="s">
        <v>28981</v>
      </c>
      <c r="C6690">
        <v>0</v>
      </c>
      <c r="D6690">
        <v>1</v>
      </c>
      <c r="E6690">
        <v>47</v>
      </c>
      <c r="F6690">
        <v>6210</v>
      </c>
      <c r="G6690">
        <f t="shared" si="104"/>
        <v>1577192926</v>
      </c>
    </row>
    <row r="6691" spans="1:7" x14ac:dyDescent="0.25">
      <c r="A6691">
        <v>1577192933</v>
      </c>
      <c r="B6691" t="s">
        <v>28982</v>
      </c>
      <c r="C6691">
        <v>0</v>
      </c>
      <c r="D6691">
        <v>0</v>
      </c>
      <c r="E6691">
        <v>0</v>
      </c>
      <c r="F6691">
        <v>8186</v>
      </c>
      <c r="G6691">
        <f t="shared" si="104"/>
        <v>1577192933</v>
      </c>
    </row>
    <row r="6692" spans="1:7" x14ac:dyDescent="0.25">
      <c r="A6692">
        <v>1577192950</v>
      </c>
      <c r="B6692" t="s">
        <v>28983</v>
      </c>
      <c r="C6692">
        <v>643</v>
      </c>
      <c r="D6692">
        <v>9</v>
      </c>
      <c r="E6692">
        <v>53258</v>
      </c>
      <c r="F6692">
        <v>32</v>
      </c>
      <c r="G6692">
        <f t="shared" si="104"/>
        <v>1577192950</v>
      </c>
    </row>
    <row r="6693" spans="1:7" x14ac:dyDescent="0.25">
      <c r="A6693">
        <v>1577192988</v>
      </c>
      <c r="B6693" t="s">
        <v>28984</v>
      </c>
      <c r="C6693">
        <v>1582</v>
      </c>
      <c r="D6693">
        <v>1</v>
      </c>
      <c r="E6693">
        <v>244</v>
      </c>
      <c r="F6693">
        <v>5334</v>
      </c>
      <c r="G6693">
        <f t="shared" si="104"/>
        <v>1577192988</v>
      </c>
    </row>
    <row r="6694" spans="1:7" x14ac:dyDescent="0.25">
      <c r="A6694">
        <v>1577192990</v>
      </c>
      <c r="B6694" t="s">
        <v>37074</v>
      </c>
      <c r="C6694">
        <v>0</v>
      </c>
      <c r="D6694">
        <v>1</v>
      </c>
      <c r="E6694">
        <v>26</v>
      </c>
      <c r="F6694">
        <v>6823</v>
      </c>
      <c r="G6694">
        <f t="shared" si="104"/>
        <v>1577192990</v>
      </c>
    </row>
    <row r="6695" spans="1:7" x14ac:dyDescent="0.25">
      <c r="A6695">
        <v>1577192997</v>
      </c>
      <c r="B6695" t="s">
        <v>28985</v>
      </c>
      <c r="C6695">
        <v>0</v>
      </c>
      <c r="D6695">
        <v>1</v>
      </c>
      <c r="E6695">
        <v>139</v>
      </c>
      <c r="F6695">
        <v>5733</v>
      </c>
      <c r="G6695">
        <f t="shared" si="104"/>
        <v>1577192997</v>
      </c>
    </row>
    <row r="6696" spans="1:7" x14ac:dyDescent="0.25">
      <c r="A6696">
        <v>1577193002</v>
      </c>
      <c r="B6696" t="s">
        <v>36800</v>
      </c>
      <c r="C6696">
        <v>0</v>
      </c>
      <c r="D6696">
        <v>1</v>
      </c>
      <c r="E6696">
        <v>27</v>
      </c>
      <c r="F6696">
        <v>6338</v>
      </c>
      <c r="G6696">
        <f t="shared" si="104"/>
        <v>1577193002</v>
      </c>
    </row>
    <row r="6697" spans="1:7" x14ac:dyDescent="0.25">
      <c r="A6697">
        <v>1577193039</v>
      </c>
      <c r="B6697" t="s">
        <v>28986</v>
      </c>
      <c r="C6697">
        <v>1695</v>
      </c>
      <c r="D6697">
        <v>1</v>
      </c>
      <c r="E6697">
        <v>4129</v>
      </c>
      <c r="F6697">
        <v>2737</v>
      </c>
      <c r="G6697">
        <f t="shared" si="104"/>
        <v>1577193039</v>
      </c>
    </row>
    <row r="6698" spans="1:7" x14ac:dyDescent="0.25">
      <c r="A6698">
        <v>1577193042</v>
      </c>
      <c r="B6698" t="s">
        <v>28987</v>
      </c>
      <c r="C6698">
        <v>117</v>
      </c>
      <c r="D6698">
        <v>3</v>
      </c>
      <c r="E6698">
        <v>14614</v>
      </c>
      <c r="F6698">
        <v>1020</v>
      </c>
      <c r="G6698">
        <f t="shared" si="104"/>
        <v>1577193042</v>
      </c>
    </row>
    <row r="6699" spans="1:7" x14ac:dyDescent="0.25">
      <c r="A6699">
        <v>1577193098</v>
      </c>
      <c r="B6699" t="s">
        <v>28988</v>
      </c>
      <c r="C6699">
        <v>62</v>
      </c>
      <c r="D6699">
        <v>1</v>
      </c>
      <c r="E6699">
        <v>648</v>
      </c>
      <c r="F6699">
        <v>4405</v>
      </c>
      <c r="G6699">
        <f t="shared" si="104"/>
        <v>1577193098</v>
      </c>
    </row>
    <row r="6700" spans="1:7" x14ac:dyDescent="0.25">
      <c r="A6700">
        <v>1577193128</v>
      </c>
      <c r="B6700" t="s">
        <v>28989</v>
      </c>
      <c r="C6700">
        <v>0</v>
      </c>
      <c r="D6700">
        <v>1</v>
      </c>
      <c r="E6700">
        <v>137</v>
      </c>
      <c r="F6700">
        <v>5830</v>
      </c>
      <c r="G6700">
        <f t="shared" si="104"/>
        <v>1577193128</v>
      </c>
    </row>
    <row r="6701" spans="1:7" x14ac:dyDescent="0.25">
      <c r="A6701">
        <v>1577193136</v>
      </c>
      <c r="B6701" t="s">
        <v>28990</v>
      </c>
      <c r="C6701">
        <v>0</v>
      </c>
      <c r="D6701">
        <v>1</v>
      </c>
      <c r="E6701">
        <v>26</v>
      </c>
      <c r="F6701">
        <v>6824</v>
      </c>
      <c r="G6701">
        <f t="shared" si="104"/>
        <v>1577193136</v>
      </c>
    </row>
    <row r="6702" spans="1:7" x14ac:dyDescent="0.25">
      <c r="A6702">
        <v>1577193163</v>
      </c>
      <c r="B6702" t="s">
        <v>36801</v>
      </c>
      <c r="C6702">
        <v>62</v>
      </c>
      <c r="D6702">
        <v>1</v>
      </c>
      <c r="E6702">
        <v>1934</v>
      </c>
      <c r="F6702">
        <v>3377</v>
      </c>
      <c r="G6702">
        <f t="shared" si="104"/>
        <v>1577193163</v>
      </c>
    </row>
    <row r="6703" spans="1:7" x14ac:dyDescent="0.25">
      <c r="A6703">
        <v>1577193169</v>
      </c>
      <c r="B6703" t="s">
        <v>28991</v>
      </c>
      <c r="C6703">
        <v>160</v>
      </c>
      <c r="D6703">
        <v>3</v>
      </c>
      <c r="E6703">
        <v>10162</v>
      </c>
      <c r="F6703">
        <v>1545</v>
      </c>
      <c r="G6703">
        <f t="shared" si="104"/>
        <v>1577193169</v>
      </c>
    </row>
    <row r="6704" spans="1:7" x14ac:dyDescent="0.25">
      <c r="A6704">
        <v>1577193173</v>
      </c>
      <c r="B6704" t="s">
        <v>28992</v>
      </c>
      <c r="C6704">
        <v>0</v>
      </c>
      <c r="D6704">
        <v>1</v>
      </c>
      <c r="E6704">
        <v>135</v>
      </c>
      <c r="F6704">
        <v>5752</v>
      </c>
      <c r="G6704">
        <f t="shared" si="104"/>
        <v>1577193173</v>
      </c>
    </row>
    <row r="6705" spans="1:7" x14ac:dyDescent="0.25">
      <c r="A6705">
        <v>1577193189</v>
      </c>
      <c r="B6705" t="s">
        <v>28993</v>
      </c>
      <c r="C6705">
        <v>1695</v>
      </c>
      <c r="D6705">
        <v>1</v>
      </c>
      <c r="E6705">
        <v>1604</v>
      </c>
      <c r="F6705">
        <v>3550</v>
      </c>
      <c r="G6705">
        <f t="shared" si="104"/>
        <v>1577193189</v>
      </c>
    </row>
    <row r="6706" spans="1:7" x14ac:dyDescent="0.25">
      <c r="A6706">
        <v>1577193234</v>
      </c>
      <c r="B6706" t="s">
        <v>28994</v>
      </c>
      <c r="C6706">
        <v>617</v>
      </c>
      <c r="D6706">
        <v>3</v>
      </c>
      <c r="E6706">
        <v>18136</v>
      </c>
      <c r="F6706">
        <v>746</v>
      </c>
      <c r="G6706">
        <f t="shared" si="104"/>
        <v>1577193234</v>
      </c>
    </row>
    <row r="6707" spans="1:7" x14ac:dyDescent="0.25">
      <c r="A6707">
        <v>1577193273</v>
      </c>
      <c r="B6707" t="s">
        <v>28995</v>
      </c>
      <c r="C6707">
        <v>0</v>
      </c>
      <c r="D6707">
        <v>0</v>
      </c>
      <c r="E6707">
        <v>0</v>
      </c>
      <c r="F6707">
        <v>8187</v>
      </c>
      <c r="G6707">
        <f t="shared" si="104"/>
        <v>1577193273</v>
      </c>
    </row>
    <row r="6708" spans="1:7" x14ac:dyDescent="0.25">
      <c r="A6708">
        <v>1577193290</v>
      </c>
      <c r="B6708" t="s">
        <v>28996</v>
      </c>
      <c r="C6708">
        <v>0</v>
      </c>
      <c r="D6708">
        <v>1</v>
      </c>
      <c r="E6708">
        <v>32</v>
      </c>
      <c r="F6708">
        <v>6313</v>
      </c>
      <c r="G6708">
        <f t="shared" si="104"/>
        <v>1577193290</v>
      </c>
    </row>
    <row r="6709" spans="1:7" x14ac:dyDescent="0.25">
      <c r="A6709">
        <v>1577193298</v>
      </c>
      <c r="B6709" t="s">
        <v>28997</v>
      </c>
      <c r="C6709">
        <v>0</v>
      </c>
      <c r="D6709">
        <v>1</v>
      </c>
      <c r="E6709">
        <v>651</v>
      </c>
      <c r="F6709">
        <v>4410</v>
      </c>
      <c r="G6709">
        <f t="shared" si="104"/>
        <v>1577193298</v>
      </c>
    </row>
    <row r="6710" spans="1:7" x14ac:dyDescent="0.25">
      <c r="A6710">
        <v>1577193299</v>
      </c>
      <c r="B6710" t="s">
        <v>28998</v>
      </c>
      <c r="C6710">
        <v>78</v>
      </c>
      <c r="D6710">
        <v>1</v>
      </c>
      <c r="E6710">
        <v>2046</v>
      </c>
      <c r="F6710">
        <v>3326</v>
      </c>
      <c r="G6710">
        <f t="shared" si="104"/>
        <v>1577193299</v>
      </c>
    </row>
    <row r="6711" spans="1:7" x14ac:dyDescent="0.25">
      <c r="A6711">
        <v>1577193314</v>
      </c>
      <c r="B6711" t="s">
        <v>28999</v>
      </c>
      <c r="C6711">
        <v>274</v>
      </c>
      <c r="D6711">
        <v>1</v>
      </c>
      <c r="E6711">
        <v>7123</v>
      </c>
      <c r="F6711">
        <v>2044</v>
      </c>
      <c r="G6711">
        <f t="shared" si="104"/>
        <v>1577193314</v>
      </c>
    </row>
    <row r="6712" spans="1:7" x14ac:dyDescent="0.25">
      <c r="A6712">
        <v>1577193336</v>
      </c>
      <c r="B6712" t="s">
        <v>37184</v>
      </c>
      <c r="C6712">
        <v>0</v>
      </c>
      <c r="D6712">
        <v>0</v>
      </c>
      <c r="E6712">
        <v>0</v>
      </c>
      <c r="F6712">
        <v>8188</v>
      </c>
      <c r="G6712">
        <f t="shared" si="104"/>
        <v>1577193336</v>
      </c>
    </row>
    <row r="6713" spans="1:7" x14ac:dyDescent="0.25">
      <c r="A6713">
        <v>1577193338</v>
      </c>
      <c r="B6713" t="s">
        <v>29000</v>
      </c>
      <c r="C6713">
        <v>0</v>
      </c>
      <c r="D6713">
        <v>1</v>
      </c>
      <c r="E6713">
        <v>366</v>
      </c>
      <c r="F6713">
        <v>4938</v>
      </c>
      <c r="G6713">
        <f t="shared" si="104"/>
        <v>1577193338</v>
      </c>
    </row>
    <row r="6714" spans="1:7" x14ac:dyDescent="0.25">
      <c r="A6714">
        <v>1577193353</v>
      </c>
      <c r="B6714" t="s">
        <v>29001</v>
      </c>
      <c r="C6714">
        <v>567</v>
      </c>
      <c r="D6714">
        <v>0</v>
      </c>
      <c r="E6714">
        <v>0</v>
      </c>
      <c r="F6714">
        <v>8189</v>
      </c>
      <c r="G6714">
        <f t="shared" si="104"/>
        <v>1577193353</v>
      </c>
    </row>
    <row r="6715" spans="1:7" x14ac:dyDescent="0.25">
      <c r="A6715">
        <v>1577193372</v>
      </c>
      <c r="B6715" t="s">
        <v>29002</v>
      </c>
      <c r="C6715">
        <v>0</v>
      </c>
      <c r="D6715">
        <v>0</v>
      </c>
      <c r="E6715">
        <v>0</v>
      </c>
      <c r="F6715">
        <v>8190</v>
      </c>
      <c r="G6715">
        <f t="shared" si="104"/>
        <v>1577193372</v>
      </c>
    </row>
    <row r="6716" spans="1:7" x14ac:dyDescent="0.25">
      <c r="A6716">
        <v>1577193382</v>
      </c>
      <c r="B6716" t="s">
        <v>29003</v>
      </c>
      <c r="C6716">
        <v>1887</v>
      </c>
      <c r="D6716">
        <v>1</v>
      </c>
      <c r="E6716">
        <v>569</v>
      </c>
      <c r="F6716">
        <v>4522</v>
      </c>
      <c r="G6716">
        <f t="shared" si="104"/>
        <v>1577193382</v>
      </c>
    </row>
    <row r="6717" spans="1:7" x14ac:dyDescent="0.25">
      <c r="A6717">
        <v>1577193415</v>
      </c>
      <c r="B6717" t="s">
        <v>29004</v>
      </c>
      <c r="C6717">
        <v>1173</v>
      </c>
      <c r="D6717">
        <v>1</v>
      </c>
      <c r="E6717">
        <v>2321</v>
      </c>
      <c r="F6717">
        <v>3205</v>
      </c>
      <c r="G6717">
        <f t="shared" si="104"/>
        <v>1577193415</v>
      </c>
    </row>
    <row r="6718" spans="1:7" x14ac:dyDescent="0.25">
      <c r="A6718">
        <v>1577193417</v>
      </c>
      <c r="B6718" t="s">
        <v>36802</v>
      </c>
      <c r="C6718">
        <v>0</v>
      </c>
      <c r="D6718">
        <v>1</v>
      </c>
      <c r="E6718">
        <v>4503</v>
      </c>
      <c r="F6718">
        <v>2619</v>
      </c>
      <c r="G6718">
        <f t="shared" si="104"/>
        <v>1577193417</v>
      </c>
    </row>
    <row r="6719" spans="1:7" x14ac:dyDescent="0.25">
      <c r="A6719">
        <v>1577193425</v>
      </c>
      <c r="B6719" t="s">
        <v>29005</v>
      </c>
      <c r="C6719">
        <v>1357</v>
      </c>
      <c r="D6719">
        <v>1</v>
      </c>
      <c r="E6719">
        <v>3695</v>
      </c>
      <c r="F6719">
        <v>2832</v>
      </c>
      <c r="G6719">
        <f t="shared" si="104"/>
        <v>1577193425</v>
      </c>
    </row>
    <row r="6720" spans="1:7" x14ac:dyDescent="0.25">
      <c r="A6720">
        <v>1577193432</v>
      </c>
      <c r="B6720" t="s">
        <v>36803</v>
      </c>
      <c r="C6720">
        <v>0</v>
      </c>
      <c r="D6720">
        <v>0</v>
      </c>
      <c r="E6720">
        <v>0</v>
      </c>
      <c r="F6720">
        <v>8191</v>
      </c>
      <c r="G6720">
        <f t="shared" si="104"/>
        <v>1577193432</v>
      </c>
    </row>
    <row r="6721" spans="1:7" x14ac:dyDescent="0.25">
      <c r="A6721">
        <v>1577193443</v>
      </c>
      <c r="B6721" t="s">
        <v>29006</v>
      </c>
      <c r="C6721">
        <v>0</v>
      </c>
      <c r="D6721">
        <v>0</v>
      </c>
      <c r="E6721">
        <v>0</v>
      </c>
      <c r="F6721">
        <v>8192</v>
      </c>
      <c r="G6721">
        <f t="shared" ref="G6721:G6784" si="105">A6721</f>
        <v>1577193443</v>
      </c>
    </row>
    <row r="6722" spans="1:7" x14ac:dyDescent="0.25">
      <c r="A6722">
        <v>1577193458</v>
      </c>
      <c r="B6722" t="s">
        <v>29007</v>
      </c>
      <c r="C6722">
        <v>0</v>
      </c>
      <c r="D6722">
        <v>1</v>
      </c>
      <c r="E6722">
        <v>158</v>
      </c>
      <c r="F6722">
        <v>5667</v>
      </c>
      <c r="G6722">
        <f t="shared" si="105"/>
        <v>1577193458</v>
      </c>
    </row>
    <row r="6723" spans="1:7" x14ac:dyDescent="0.25">
      <c r="A6723">
        <v>1577193479</v>
      </c>
      <c r="B6723" t="s">
        <v>29008</v>
      </c>
      <c r="C6723">
        <v>55</v>
      </c>
      <c r="D6723">
        <v>1</v>
      </c>
      <c r="E6723">
        <v>204</v>
      </c>
      <c r="F6723">
        <v>5530</v>
      </c>
      <c r="G6723">
        <f t="shared" si="105"/>
        <v>1577193479</v>
      </c>
    </row>
    <row r="6724" spans="1:7" x14ac:dyDescent="0.25">
      <c r="A6724">
        <v>1577193491</v>
      </c>
      <c r="B6724" t="s">
        <v>29009</v>
      </c>
      <c r="C6724">
        <v>196</v>
      </c>
      <c r="D6724">
        <v>4</v>
      </c>
      <c r="E6724">
        <v>16891</v>
      </c>
      <c r="F6724">
        <v>839</v>
      </c>
      <c r="G6724">
        <f t="shared" si="105"/>
        <v>1577193491</v>
      </c>
    </row>
    <row r="6725" spans="1:7" x14ac:dyDescent="0.25">
      <c r="A6725">
        <v>1577193493</v>
      </c>
      <c r="B6725" t="s">
        <v>29010</v>
      </c>
      <c r="C6725">
        <v>126</v>
      </c>
      <c r="D6725">
        <v>1</v>
      </c>
      <c r="E6725">
        <v>5128</v>
      </c>
      <c r="F6725">
        <v>2483</v>
      </c>
      <c r="G6725">
        <f t="shared" si="105"/>
        <v>1577193493</v>
      </c>
    </row>
    <row r="6726" spans="1:7" x14ac:dyDescent="0.25">
      <c r="A6726">
        <v>1577193497</v>
      </c>
      <c r="B6726" t="s">
        <v>36804</v>
      </c>
      <c r="C6726">
        <v>0</v>
      </c>
      <c r="D6726">
        <v>0</v>
      </c>
      <c r="E6726">
        <v>0</v>
      </c>
      <c r="F6726">
        <v>8193</v>
      </c>
      <c r="G6726">
        <f t="shared" si="105"/>
        <v>1577193497</v>
      </c>
    </row>
    <row r="6727" spans="1:7" x14ac:dyDescent="0.25">
      <c r="A6727">
        <v>1577193502</v>
      </c>
      <c r="B6727" t="s">
        <v>29011</v>
      </c>
      <c r="C6727">
        <v>67</v>
      </c>
      <c r="D6727">
        <v>3</v>
      </c>
      <c r="E6727">
        <v>18243</v>
      </c>
      <c r="F6727">
        <v>737</v>
      </c>
      <c r="G6727">
        <f t="shared" si="105"/>
        <v>1577193502</v>
      </c>
    </row>
    <row r="6728" spans="1:7" x14ac:dyDescent="0.25">
      <c r="A6728">
        <v>1577193514</v>
      </c>
      <c r="B6728" t="s">
        <v>29012</v>
      </c>
      <c r="C6728">
        <v>189</v>
      </c>
      <c r="D6728">
        <v>2</v>
      </c>
      <c r="E6728">
        <v>9616</v>
      </c>
      <c r="F6728">
        <v>1624</v>
      </c>
      <c r="G6728">
        <f t="shared" si="105"/>
        <v>1577193514</v>
      </c>
    </row>
    <row r="6729" spans="1:7" x14ac:dyDescent="0.25">
      <c r="A6729">
        <v>1577193545</v>
      </c>
      <c r="B6729" t="s">
        <v>29013</v>
      </c>
      <c r="C6729">
        <v>196</v>
      </c>
      <c r="D6729">
        <v>2</v>
      </c>
      <c r="E6729">
        <v>6795</v>
      </c>
      <c r="F6729">
        <v>2103</v>
      </c>
      <c r="G6729">
        <f t="shared" si="105"/>
        <v>1577193545</v>
      </c>
    </row>
    <row r="6730" spans="1:7" x14ac:dyDescent="0.25">
      <c r="A6730">
        <v>1577193550</v>
      </c>
      <c r="B6730" t="s">
        <v>29014</v>
      </c>
      <c r="C6730">
        <v>0</v>
      </c>
      <c r="D6730">
        <v>1</v>
      </c>
      <c r="E6730">
        <v>442</v>
      </c>
      <c r="F6730">
        <v>4759</v>
      </c>
      <c r="G6730">
        <f t="shared" si="105"/>
        <v>1577193550</v>
      </c>
    </row>
    <row r="6731" spans="1:7" x14ac:dyDescent="0.25">
      <c r="A6731">
        <v>1577193563</v>
      </c>
      <c r="B6731" t="s">
        <v>29015</v>
      </c>
      <c r="C6731">
        <v>274</v>
      </c>
      <c r="D6731">
        <v>2</v>
      </c>
      <c r="E6731">
        <v>10551</v>
      </c>
      <c r="F6731">
        <v>1488</v>
      </c>
      <c r="G6731">
        <f t="shared" si="105"/>
        <v>1577193563</v>
      </c>
    </row>
    <row r="6732" spans="1:7" x14ac:dyDescent="0.25">
      <c r="A6732">
        <v>1577193571</v>
      </c>
      <c r="B6732" t="s">
        <v>29016</v>
      </c>
      <c r="C6732">
        <v>0</v>
      </c>
      <c r="D6732">
        <v>1</v>
      </c>
      <c r="E6732">
        <v>165</v>
      </c>
      <c r="F6732">
        <v>5640</v>
      </c>
      <c r="G6732">
        <f t="shared" si="105"/>
        <v>1577193571</v>
      </c>
    </row>
    <row r="6733" spans="1:7" x14ac:dyDescent="0.25">
      <c r="A6733">
        <v>1577193592</v>
      </c>
      <c r="B6733" t="s">
        <v>29017</v>
      </c>
      <c r="C6733">
        <v>0</v>
      </c>
      <c r="D6733">
        <v>0</v>
      </c>
      <c r="E6733">
        <v>0</v>
      </c>
      <c r="F6733">
        <v>8194</v>
      </c>
      <c r="G6733">
        <f t="shared" si="105"/>
        <v>1577193592</v>
      </c>
    </row>
    <row r="6734" spans="1:7" x14ac:dyDescent="0.25">
      <c r="A6734">
        <v>1577193607</v>
      </c>
      <c r="B6734" t="s">
        <v>29018</v>
      </c>
      <c r="C6734">
        <v>1316</v>
      </c>
      <c r="D6734">
        <v>1</v>
      </c>
      <c r="E6734">
        <v>531</v>
      </c>
      <c r="F6734">
        <v>4579</v>
      </c>
      <c r="G6734">
        <f t="shared" si="105"/>
        <v>1577193607</v>
      </c>
    </row>
    <row r="6735" spans="1:7" x14ac:dyDescent="0.25">
      <c r="A6735">
        <v>1577193610</v>
      </c>
      <c r="B6735" t="s">
        <v>29019</v>
      </c>
      <c r="C6735">
        <v>196</v>
      </c>
      <c r="D6735">
        <v>3</v>
      </c>
      <c r="E6735">
        <v>14985</v>
      </c>
      <c r="F6735">
        <v>999</v>
      </c>
      <c r="G6735">
        <f t="shared" si="105"/>
        <v>1577193610</v>
      </c>
    </row>
    <row r="6736" spans="1:7" x14ac:dyDescent="0.25">
      <c r="A6736">
        <v>1577193641</v>
      </c>
      <c r="B6736" t="s">
        <v>36805</v>
      </c>
      <c r="C6736">
        <v>23</v>
      </c>
      <c r="D6736">
        <v>2</v>
      </c>
      <c r="E6736">
        <v>11325</v>
      </c>
      <c r="F6736">
        <v>1371</v>
      </c>
      <c r="G6736">
        <f t="shared" si="105"/>
        <v>1577193641</v>
      </c>
    </row>
    <row r="6737" spans="1:7" x14ac:dyDescent="0.25">
      <c r="A6737">
        <v>1577193643</v>
      </c>
      <c r="B6737" t="s">
        <v>29020</v>
      </c>
      <c r="C6737">
        <v>0</v>
      </c>
      <c r="D6737">
        <v>1</v>
      </c>
      <c r="E6737">
        <v>266</v>
      </c>
      <c r="F6737">
        <v>5267</v>
      </c>
      <c r="G6737">
        <f t="shared" si="105"/>
        <v>1577193643</v>
      </c>
    </row>
    <row r="6738" spans="1:7" x14ac:dyDescent="0.25">
      <c r="A6738">
        <v>1577193665</v>
      </c>
      <c r="B6738" t="s">
        <v>36806</v>
      </c>
      <c r="C6738">
        <v>0</v>
      </c>
      <c r="D6738">
        <v>0</v>
      </c>
      <c r="E6738">
        <v>0</v>
      </c>
      <c r="F6738">
        <v>8195</v>
      </c>
      <c r="G6738">
        <f t="shared" si="105"/>
        <v>1577193665</v>
      </c>
    </row>
    <row r="6739" spans="1:7" x14ac:dyDescent="0.25">
      <c r="A6739">
        <v>1577193673</v>
      </c>
      <c r="B6739" t="s">
        <v>29021</v>
      </c>
      <c r="C6739">
        <v>760</v>
      </c>
      <c r="D6739">
        <v>3</v>
      </c>
      <c r="E6739">
        <v>17477</v>
      </c>
      <c r="F6739">
        <v>793</v>
      </c>
      <c r="G6739">
        <f t="shared" si="105"/>
        <v>1577193673</v>
      </c>
    </row>
    <row r="6740" spans="1:7" x14ac:dyDescent="0.25">
      <c r="A6740">
        <v>1577193693</v>
      </c>
      <c r="B6740" t="s">
        <v>29022</v>
      </c>
      <c r="C6740">
        <v>1602</v>
      </c>
      <c r="D6740">
        <v>1</v>
      </c>
      <c r="E6740">
        <v>470</v>
      </c>
      <c r="F6740">
        <v>4700</v>
      </c>
      <c r="G6740">
        <f t="shared" si="105"/>
        <v>1577193693</v>
      </c>
    </row>
    <row r="6741" spans="1:7" x14ac:dyDescent="0.25">
      <c r="A6741">
        <v>1577193698</v>
      </c>
      <c r="B6741" t="s">
        <v>36807</v>
      </c>
      <c r="C6741">
        <v>67</v>
      </c>
      <c r="D6741">
        <v>5</v>
      </c>
      <c r="E6741">
        <v>26477</v>
      </c>
      <c r="F6741">
        <v>350</v>
      </c>
      <c r="G6741">
        <f t="shared" si="105"/>
        <v>1577193698</v>
      </c>
    </row>
    <row r="6742" spans="1:7" x14ac:dyDescent="0.25">
      <c r="A6742">
        <v>1577193699</v>
      </c>
      <c r="B6742" t="s">
        <v>29023</v>
      </c>
      <c r="C6742">
        <v>115</v>
      </c>
      <c r="D6742">
        <v>3</v>
      </c>
      <c r="E6742">
        <v>15298</v>
      </c>
      <c r="F6742">
        <v>975</v>
      </c>
      <c r="G6742">
        <f t="shared" si="105"/>
        <v>1577193699</v>
      </c>
    </row>
    <row r="6743" spans="1:7" x14ac:dyDescent="0.25">
      <c r="A6743">
        <v>1577193721</v>
      </c>
      <c r="B6743" t="s">
        <v>29024</v>
      </c>
      <c r="C6743">
        <v>480</v>
      </c>
      <c r="D6743">
        <v>1</v>
      </c>
      <c r="E6743">
        <v>5275</v>
      </c>
      <c r="F6743">
        <v>2454</v>
      </c>
      <c r="G6743">
        <f t="shared" si="105"/>
        <v>1577193721</v>
      </c>
    </row>
    <row r="6744" spans="1:7" x14ac:dyDescent="0.25">
      <c r="A6744">
        <v>1577193727</v>
      </c>
      <c r="B6744" t="s">
        <v>29025</v>
      </c>
      <c r="C6744">
        <v>294</v>
      </c>
      <c r="D6744">
        <v>1</v>
      </c>
      <c r="E6744">
        <v>3682</v>
      </c>
      <c r="F6744">
        <v>2836</v>
      </c>
      <c r="G6744">
        <f t="shared" si="105"/>
        <v>1577193727</v>
      </c>
    </row>
    <row r="6745" spans="1:7" x14ac:dyDescent="0.25">
      <c r="A6745">
        <v>1577193748</v>
      </c>
      <c r="B6745" t="s">
        <v>29026</v>
      </c>
      <c r="C6745">
        <v>0</v>
      </c>
      <c r="D6745">
        <v>1</v>
      </c>
      <c r="E6745">
        <v>82</v>
      </c>
      <c r="F6745">
        <v>5958</v>
      </c>
      <c r="G6745">
        <f t="shared" si="105"/>
        <v>1577193748</v>
      </c>
    </row>
    <row r="6746" spans="1:7" x14ac:dyDescent="0.25">
      <c r="A6746">
        <v>1577193754</v>
      </c>
      <c r="B6746" t="s">
        <v>29027</v>
      </c>
      <c r="C6746">
        <v>1972</v>
      </c>
      <c r="D6746">
        <v>3</v>
      </c>
      <c r="E6746">
        <v>9204</v>
      </c>
      <c r="F6746">
        <v>1689</v>
      </c>
      <c r="G6746">
        <f t="shared" si="105"/>
        <v>1577193754</v>
      </c>
    </row>
    <row r="6747" spans="1:7" x14ac:dyDescent="0.25">
      <c r="A6747">
        <v>1577193782</v>
      </c>
      <c r="B6747" t="s">
        <v>29028</v>
      </c>
      <c r="C6747">
        <v>0</v>
      </c>
      <c r="D6747">
        <v>1</v>
      </c>
      <c r="E6747">
        <v>7291</v>
      </c>
      <c r="F6747">
        <v>2010</v>
      </c>
      <c r="G6747">
        <f t="shared" si="105"/>
        <v>1577193782</v>
      </c>
    </row>
    <row r="6748" spans="1:7" x14ac:dyDescent="0.25">
      <c r="A6748">
        <v>1577193787</v>
      </c>
      <c r="B6748" t="s">
        <v>29029</v>
      </c>
      <c r="C6748">
        <v>23</v>
      </c>
      <c r="D6748">
        <v>4</v>
      </c>
      <c r="E6748">
        <v>24461</v>
      </c>
      <c r="F6748">
        <v>417</v>
      </c>
      <c r="G6748">
        <f t="shared" si="105"/>
        <v>1577193787</v>
      </c>
    </row>
    <row r="6749" spans="1:7" x14ac:dyDescent="0.25">
      <c r="A6749">
        <v>1577193797</v>
      </c>
      <c r="B6749" t="s">
        <v>29030</v>
      </c>
      <c r="C6749">
        <v>0</v>
      </c>
      <c r="D6749">
        <v>1</v>
      </c>
      <c r="E6749">
        <v>457</v>
      </c>
      <c r="F6749">
        <v>4739</v>
      </c>
      <c r="G6749">
        <f t="shared" si="105"/>
        <v>1577193797</v>
      </c>
    </row>
    <row r="6750" spans="1:7" x14ac:dyDescent="0.25">
      <c r="A6750">
        <v>1577193798</v>
      </c>
      <c r="B6750" t="s">
        <v>29031</v>
      </c>
      <c r="C6750">
        <v>179</v>
      </c>
      <c r="D6750">
        <v>4</v>
      </c>
      <c r="E6750">
        <v>14906</v>
      </c>
      <c r="F6750">
        <v>1002</v>
      </c>
      <c r="G6750">
        <f t="shared" si="105"/>
        <v>1577193798</v>
      </c>
    </row>
    <row r="6751" spans="1:7" x14ac:dyDescent="0.25">
      <c r="A6751">
        <v>1577193819</v>
      </c>
      <c r="B6751" t="s">
        <v>29032</v>
      </c>
      <c r="C6751">
        <v>1621</v>
      </c>
      <c r="D6751">
        <v>1</v>
      </c>
      <c r="E6751">
        <v>4331</v>
      </c>
      <c r="F6751">
        <v>2672</v>
      </c>
      <c r="G6751">
        <f t="shared" si="105"/>
        <v>1577193819</v>
      </c>
    </row>
    <row r="6752" spans="1:7" x14ac:dyDescent="0.25">
      <c r="A6752">
        <v>1577193825</v>
      </c>
      <c r="B6752" t="s">
        <v>29033</v>
      </c>
      <c r="C6752">
        <v>0</v>
      </c>
      <c r="D6752">
        <v>0</v>
      </c>
      <c r="E6752">
        <v>0</v>
      </c>
      <c r="F6752">
        <v>8196</v>
      </c>
      <c r="G6752">
        <f t="shared" si="105"/>
        <v>1577193825</v>
      </c>
    </row>
    <row r="6753" spans="1:7" x14ac:dyDescent="0.25">
      <c r="A6753">
        <v>1577193842</v>
      </c>
      <c r="B6753" t="s">
        <v>29034</v>
      </c>
      <c r="C6753">
        <v>0</v>
      </c>
      <c r="D6753">
        <v>1</v>
      </c>
      <c r="E6753">
        <v>787</v>
      </c>
      <c r="F6753">
        <v>4219</v>
      </c>
      <c r="G6753">
        <f t="shared" si="105"/>
        <v>1577193842</v>
      </c>
    </row>
    <row r="6754" spans="1:7" x14ac:dyDescent="0.25">
      <c r="A6754">
        <v>1577193871</v>
      </c>
      <c r="B6754" t="s">
        <v>29035</v>
      </c>
      <c r="C6754">
        <v>294</v>
      </c>
      <c r="D6754">
        <v>1</v>
      </c>
      <c r="E6754">
        <v>2554</v>
      </c>
      <c r="F6754">
        <v>3116</v>
      </c>
      <c r="G6754">
        <f t="shared" si="105"/>
        <v>1577193871</v>
      </c>
    </row>
    <row r="6755" spans="1:7" x14ac:dyDescent="0.25">
      <c r="A6755">
        <v>1577193872</v>
      </c>
      <c r="B6755" t="s">
        <v>29036</v>
      </c>
      <c r="C6755">
        <v>0</v>
      </c>
      <c r="D6755">
        <v>1</v>
      </c>
      <c r="E6755">
        <v>4466</v>
      </c>
      <c r="F6755">
        <v>2628</v>
      </c>
      <c r="G6755">
        <f t="shared" si="105"/>
        <v>1577193872</v>
      </c>
    </row>
    <row r="6756" spans="1:7" x14ac:dyDescent="0.25">
      <c r="A6756">
        <v>1577193876</v>
      </c>
      <c r="B6756" t="s">
        <v>29037</v>
      </c>
      <c r="C6756">
        <v>0</v>
      </c>
      <c r="D6756">
        <v>1</v>
      </c>
      <c r="E6756">
        <v>26</v>
      </c>
      <c r="F6756">
        <v>6825</v>
      </c>
      <c r="G6756">
        <f t="shared" si="105"/>
        <v>1577193876</v>
      </c>
    </row>
    <row r="6757" spans="1:7" x14ac:dyDescent="0.25">
      <c r="A6757">
        <v>1577193882</v>
      </c>
      <c r="B6757" t="s">
        <v>29038</v>
      </c>
      <c r="C6757">
        <v>1753</v>
      </c>
      <c r="D6757">
        <v>1</v>
      </c>
      <c r="E6757">
        <v>1062</v>
      </c>
      <c r="F6757">
        <v>3910</v>
      </c>
      <c r="G6757">
        <f t="shared" si="105"/>
        <v>1577193882</v>
      </c>
    </row>
    <row r="6758" spans="1:7" x14ac:dyDescent="0.25">
      <c r="A6758">
        <v>1577193885</v>
      </c>
      <c r="B6758" t="s">
        <v>29039</v>
      </c>
      <c r="C6758">
        <v>0</v>
      </c>
      <c r="D6758">
        <v>1</v>
      </c>
      <c r="E6758">
        <v>26</v>
      </c>
      <c r="F6758">
        <v>6826</v>
      </c>
      <c r="G6758">
        <f t="shared" si="105"/>
        <v>1577193885</v>
      </c>
    </row>
    <row r="6759" spans="1:7" x14ac:dyDescent="0.25">
      <c r="A6759">
        <v>1577193907</v>
      </c>
      <c r="B6759" t="s">
        <v>29040</v>
      </c>
      <c r="C6759">
        <v>494</v>
      </c>
      <c r="D6759">
        <v>3</v>
      </c>
      <c r="E6759">
        <v>9295</v>
      </c>
      <c r="F6759">
        <v>1676</v>
      </c>
      <c r="G6759">
        <f t="shared" si="105"/>
        <v>1577193907</v>
      </c>
    </row>
    <row r="6760" spans="1:7" x14ac:dyDescent="0.25">
      <c r="A6760">
        <v>1577193955</v>
      </c>
      <c r="B6760" t="s">
        <v>29041</v>
      </c>
      <c r="C6760">
        <v>23</v>
      </c>
      <c r="D6760">
        <v>1</v>
      </c>
      <c r="E6760">
        <v>5922</v>
      </c>
      <c r="F6760">
        <v>2297</v>
      </c>
      <c r="G6760">
        <f t="shared" si="105"/>
        <v>1577193955</v>
      </c>
    </row>
    <row r="6761" spans="1:7" x14ac:dyDescent="0.25">
      <c r="A6761">
        <v>1577193961</v>
      </c>
      <c r="B6761" t="s">
        <v>36808</v>
      </c>
      <c r="C6761">
        <v>0</v>
      </c>
      <c r="D6761">
        <v>0</v>
      </c>
      <c r="E6761">
        <v>0</v>
      </c>
      <c r="F6761">
        <v>8197</v>
      </c>
      <c r="G6761">
        <f t="shared" si="105"/>
        <v>1577193961</v>
      </c>
    </row>
    <row r="6762" spans="1:7" x14ac:dyDescent="0.25">
      <c r="A6762">
        <v>1577193978</v>
      </c>
      <c r="B6762" t="s">
        <v>29042</v>
      </c>
      <c r="C6762">
        <v>0</v>
      </c>
      <c r="D6762">
        <v>0</v>
      </c>
      <c r="E6762">
        <v>0</v>
      </c>
      <c r="F6762">
        <v>8198</v>
      </c>
      <c r="G6762">
        <f t="shared" si="105"/>
        <v>1577193978</v>
      </c>
    </row>
    <row r="6763" spans="1:7" x14ac:dyDescent="0.25">
      <c r="A6763">
        <v>1577193997</v>
      </c>
      <c r="B6763" t="s">
        <v>29043</v>
      </c>
      <c r="C6763">
        <v>325</v>
      </c>
      <c r="D6763">
        <v>0</v>
      </c>
      <c r="E6763">
        <v>0</v>
      </c>
      <c r="F6763">
        <v>8199</v>
      </c>
      <c r="G6763">
        <f t="shared" si="105"/>
        <v>1577193997</v>
      </c>
    </row>
    <row r="6764" spans="1:7" x14ac:dyDescent="0.25">
      <c r="A6764">
        <v>1577193999</v>
      </c>
      <c r="B6764" t="s">
        <v>29044</v>
      </c>
      <c r="C6764">
        <v>1357</v>
      </c>
      <c r="D6764">
        <v>1</v>
      </c>
      <c r="E6764">
        <v>291</v>
      </c>
      <c r="F6764">
        <v>5148</v>
      </c>
      <c r="G6764">
        <f t="shared" si="105"/>
        <v>1577193999</v>
      </c>
    </row>
    <row r="6765" spans="1:7" x14ac:dyDescent="0.25">
      <c r="A6765">
        <v>1577194006</v>
      </c>
      <c r="B6765" t="s">
        <v>29045</v>
      </c>
      <c r="C6765">
        <v>0</v>
      </c>
      <c r="D6765">
        <v>1</v>
      </c>
      <c r="E6765">
        <v>166</v>
      </c>
      <c r="F6765">
        <v>5632</v>
      </c>
      <c r="G6765">
        <f t="shared" si="105"/>
        <v>1577194006</v>
      </c>
    </row>
    <row r="6766" spans="1:7" x14ac:dyDescent="0.25">
      <c r="A6766">
        <v>1577194047</v>
      </c>
      <c r="B6766" t="s">
        <v>29046</v>
      </c>
      <c r="C6766">
        <v>1968</v>
      </c>
      <c r="D6766">
        <v>1</v>
      </c>
      <c r="E6766">
        <v>543</v>
      </c>
      <c r="F6766">
        <v>4547</v>
      </c>
      <c r="G6766">
        <f t="shared" si="105"/>
        <v>1577194047</v>
      </c>
    </row>
    <row r="6767" spans="1:7" x14ac:dyDescent="0.25">
      <c r="A6767">
        <v>1577194075</v>
      </c>
      <c r="B6767" t="s">
        <v>29047</v>
      </c>
      <c r="C6767">
        <v>1972</v>
      </c>
      <c r="D6767">
        <v>2</v>
      </c>
      <c r="E6767">
        <v>8658</v>
      </c>
      <c r="F6767">
        <v>1772</v>
      </c>
      <c r="G6767">
        <f t="shared" si="105"/>
        <v>1577194075</v>
      </c>
    </row>
    <row r="6768" spans="1:7" x14ac:dyDescent="0.25">
      <c r="A6768">
        <v>1577194082</v>
      </c>
      <c r="B6768" t="s">
        <v>29048</v>
      </c>
      <c r="C6768">
        <v>0</v>
      </c>
      <c r="D6768">
        <v>0</v>
      </c>
      <c r="E6768">
        <v>0</v>
      </c>
      <c r="F6768">
        <v>8200</v>
      </c>
      <c r="G6768">
        <f t="shared" si="105"/>
        <v>1577194082</v>
      </c>
    </row>
    <row r="6769" spans="1:7" x14ac:dyDescent="0.25">
      <c r="A6769">
        <v>1577194091</v>
      </c>
      <c r="B6769" t="s">
        <v>29049</v>
      </c>
      <c r="C6769">
        <v>2001</v>
      </c>
      <c r="D6769">
        <v>1</v>
      </c>
      <c r="E6769">
        <v>306</v>
      </c>
      <c r="F6769">
        <v>5120</v>
      </c>
      <c r="G6769">
        <f t="shared" si="105"/>
        <v>1577194091</v>
      </c>
    </row>
    <row r="6770" spans="1:7" x14ac:dyDescent="0.25">
      <c r="A6770">
        <v>1577194104</v>
      </c>
      <c r="B6770" t="s">
        <v>29050</v>
      </c>
      <c r="C6770">
        <v>1972</v>
      </c>
      <c r="D6770">
        <v>2</v>
      </c>
      <c r="E6770">
        <v>10702</v>
      </c>
      <c r="F6770">
        <v>1461</v>
      </c>
      <c r="G6770">
        <f t="shared" si="105"/>
        <v>1577194104</v>
      </c>
    </row>
    <row r="6771" spans="1:7" x14ac:dyDescent="0.25">
      <c r="A6771">
        <v>1577194119</v>
      </c>
      <c r="B6771" t="s">
        <v>29051</v>
      </c>
      <c r="C6771">
        <v>1708</v>
      </c>
      <c r="D6771">
        <v>1</v>
      </c>
      <c r="E6771">
        <v>2767</v>
      </c>
      <c r="F6771">
        <v>3050</v>
      </c>
      <c r="G6771">
        <f t="shared" si="105"/>
        <v>1577194119</v>
      </c>
    </row>
    <row r="6772" spans="1:7" x14ac:dyDescent="0.25">
      <c r="A6772">
        <v>1577194121</v>
      </c>
      <c r="B6772" t="s">
        <v>29052</v>
      </c>
      <c r="C6772">
        <v>1119</v>
      </c>
      <c r="D6772">
        <v>0</v>
      </c>
      <c r="E6772">
        <v>0</v>
      </c>
      <c r="F6772">
        <v>8201</v>
      </c>
      <c r="G6772">
        <f t="shared" si="105"/>
        <v>1577194121</v>
      </c>
    </row>
    <row r="6773" spans="1:7" x14ac:dyDescent="0.25">
      <c r="A6773">
        <v>1577194128</v>
      </c>
      <c r="B6773" t="s">
        <v>37350</v>
      </c>
      <c r="C6773">
        <v>1119</v>
      </c>
      <c r="D6773">
        <v>0</v>
      </c>
      <c r="E6773">
        <v>0</v>
      </c>
      <c r="F6773">
        <v>8202</v>
      </c>
      <c r="G6773">
        <f t="shared" si="105"/>
        <v>1577194128</v>
      </c>
    </row>
    <row r="6774" spans="1:7" x14ac:dyDescent="0.25">
      <c r="A6774">
        <v>1577194133</v>
      </c>
      <c r="B6774" t="s">
        <v>29053</v>
      </c>
      <c r="C6774">
        <v>0</v>
      </c>
      <c r="D6774">
        <v>0</v>
      </c>
      <c r="E6774">
        <v>0</v>
      </c>
      <c r="F6774">
        <v>8203</v>
      </c>
      <c r="G6774">
        <f t="shared" si="105"/>
        <v>1577194133</v>
      </c>
    </row>
    <row r="6775" spans="1:7" x14ac:dyDescent="0.25">
      <c r="A6775">
        <v>1577194138</v>
      </c>
      <c r="B6775" t="s">
        <v>29054</v>
      </c>
      <c r="C6775">
        <v>54</v>
      </c>
      <c r="D6775">
        <v>1</v>
      </c>
      <c r="E6775">
        <v>957</v>
      </c>
      <c r="F6775">
        <v>4035</v>
      </c>
      <c r="G6775">
        <f t="shared" si="105"/>
        <v>1577194138</v>
      </c>
    </row>
    <row r="6776" spans="1:7" x14ac:dyDescent="0.25">
      <c r="A6776">
        <v>1577194150</v>
      </c>
      <c r="B6776" t="s">
        <v>29055</v>
      </c>
      <c r="C6776">
        <v>0</v>
      </c>
      <c r="D6776">
        <v>1</v>
      </c>
      <c r="E6776">
        <v>246</v>
      </c>
      <c r="F6776">
        <v>5327</v>
      </c>
      <c r="G6776">
        <f t="shared" si="105"/>
        <v>1577194150</v>
      </c>
    </row>
    <row r="6777" spans="1:7" x14ac:dyDescent="0.25">
      <c r="A6777">
        <v>1577194180</v>
      </c>
      <c r="B6777" t="s">
        <v>29056</v>
      </c>
      <c r="C6777">
        <v>409</v>
      </c>
      <c r="D6777">
        <v>2</v>
      </c>
      <c r="E6777">
        <v>4623</v>
      </c>
      <c r="F6777">
        <v>2591</v>
      </c>
      <c r="G6777">
        <f t="shared" si="105"/>
        <v>1577194180</v>
      </c>
    </row>
    <row r="6778" spans="1:7" x14ac:dyDescent="0.25">
      <c r="A6778">
        <v>1577194181</v>
      </c>
      <c r="B6778" t="s">
        <v>29057</v>
      </c>
      <c r="C6778">
        <v>0</v>
      </c>
      <c r="D6778">
        <v>1</v>
      </c>
      <c r="E6778">
        <v>26</v>
      </c>
      <c r="F6778">
        <v>6827</v>
      </c>
      <c r="G6778">
        <f t="shared" si="105"/>
        <v>1577194181</v>
      </c>
    </row>
    <row r="6779" spans="1:7" x14ac:dyDescent="0.25">
      <c r="A6779">
        <v>1577194208</v>
      </c>
      <c r="B6779" t="s">
        <v>29058</v>
      </c>
      <c r="C6779">
        <v>0</v>
      </c>
      <c r="D6779">
        <v>0</v>
      </c>
      <c r="E6779">
        <v>0</v>
      </c>
      <c r="F6779">
        <v>8204</v>
      </c>
      <c r="G6779">
        <f t="shared" si="105"/>
        <v>1577194208</v>
      </c>
    </row>
    <row r="6780" spans="1:7" x14ac:dyDescent="0.25">
      <c r="A6780">
        <v>1577194216</v>
      </c>
      <c r="B6780" t="s">
        <v>36809</v>
      </c>
      <c r="C6780">
        <v>196</v>
      </c>
      <c r="D6780">
        <v>3</v>
      </c>
      <c r="E6780">
        <v>12661</v>
      </c>
      <c r="F6780">
        <v>1202</v>
      </c>
      <c r="G6780">
        <f t="shared" si="105"/>
        <v>1577194216</v>
      </c>
    </row>
    <row r="6781" spans="1:7" x14ac:dyDescent="0.25">
      <c r="A6781">
        <v>1577194255</v>
      </c>
      <c r="B6781" t="s">
        <v>29059</v>
      </c>
      <c r="C6781">
        <v>0</v>
      </c>
      <c r="D6781">
        <v>0</v>
      </c>
      <c r="E6781">
        <v>0</v>
      </c>
      <c r="F6781">
        <v>8205</v>
      </c>
      <c r="G6781">
        <f t="shared" si="105"/>
        <v>1577194255</v>
      </c>
    </row>
    <row r="6782" spans="1:7" x14ac:dyDescent="0.25">
      <c r="A6782">
        <v>1577194286</v>
      </c>
      <c r="B6782" t="s">
        <v>29060</v>
      </c>
      <c r="C6782">
        <v>0</v>
      </c>
      <c r="D6782">
        <v>0</v>
      </c>
      <c r="E6782">
        <v>0</v>
      </c>
      <c r="F6782">
        <v>8206</v>
      </c>
      <c r="G6782">
        <f t="shared" si="105"/>
        <v>1577194286</v>
      </c>
    </row>
    <row r="6783" spans="1:7" x14ac:dyDescent="0.25">
      <c r="A6783">
        <v>1577194298</v>
      </c>
      <c r="B6783" t="s">
        <v>29061</v>
      </c>
      <c r="C6783">
        <v>268</v>
      </c>
      <c r="D6783">
        <v>0</v>
      </c>
      <c r="E6783">
        <v>0</v>
      </c>
      <c r="F6783">
        <v>8207</v>
      </c>
      <c r="G6783">
        <f t="shared" si="105"/>
        <v>1577194298</v>
      </c>
    </row>
    <row r="6784" spans="1:7" x14ac:dyDescent="0.25">
      <c r="A6784">
        <v>1577194316</v>
      </c>
      <c r="B6784" t="s">
        <v>29062</v>
      </c>
      <c r="C6784">
        <v>0</v>
      </c>
      <c r="D6784">
        <v>0</v>
      </c>
      <c r="E6784">
        <v>0</v>
      </c>
      <c r="F6784">
        <v>8208</v>
      </c>
      <c r="G6784">
        <f t="shared" si="105"/>
        <v>1577194316</v>
      </c>
    </row>
    <row r="6785" spans="1:7" x14ac:dyDescent="0.25">
      <c r="A6785">
        <v>1577194322</v>
      </c>
      <c r="B6785" t="s">
        <v>36810</v>
      </c>
      <c r="C6785">
        <v>1602</v>
      </c>
      <c r="D6785">
        <v>1</v>
      </c>
      <c r="E6785">
        <v>498</v>
      </c>
      <c r="F6785">
        <v>4642</v>
      </c>
      <c r="G6785">
        <f t="shared" ref="G6785:G6848" si="106">A6785</f>
        <v>1577194322</v>
      </c>
    </row>
    <row r="6786" spans="1:7" x14ac:dyDescent="0.25">
      <c r="A6786">
        <v>1577194326</v>
      </c>
      <c r="B6786" t="s">
        <v>29063</v>
      </c>
      <c r="C6786">
        <v>0</v>
      </c>
      <c r="D6786">
        <v>0</v>
      </c>
      <c r="E6786">
        <v>0</v>
      </c>
      <c r="F6786">
        <v>8209</v>
      </c>
      <c r="G6786">
        <f t="shared" si="106"/>
        <v>1577194326</v>
      </c>
    </row>
    <row r="6787" spans="1:7" x14ac:dyDescent="0.25">
      <c r="A6787">
        <v>1577194364</v>
      </c>
      <c r="B6787" t="s">
        <v>29064</v>
      </c>
      <c r="C6787">
        <v>887</v>
      </c>
      <c r="D6787">
        <v>1</v>
      </c>
      <c r="E6787">
        <v>1783</v>
      </c>
      <c r="F6787">
        <v>3455</v>
      </c>
      <c r="G6787">
        <f t="shared" si="106"/>
        <v>1577194364</v>
      </c>
    </row>
    <row r="6788" spans="1:7" x14ac:dyDescent="0.25">
      <c r="A6788">
        <v>1577194369</v>
      </c>
      <c r="B6788" t="s">
        <v>29065</v>
      </c>
      <c r="C6788">
        <v>0</v>
      </c>
      <c r="D6788">
        <v>1</v>
      </c>
      <c r="E6788">
        <v>745</v>
      </c>
      <c r="F6788">
        <v>4274</v>
      </c>
      <c r="G6788">
        <f t="shared" si="106"/>
        <v>1577194369</v>
      </c>
    </row>
    <row r="6789" spans="1:7" x14ac:dyDescent="0.25">
      <c r="A6789">
        <v>1577194375</v>
      </c>
      <c r="B6789" t="s">
        <v>29066</v>
      </c>
      <c r="C6789">
        <v>0</v>
      </c>
      <c r="D6789">
        <v>1</v>
      </c>
      <c r="E6789">
        <v>26</v>
      </c>
      <c r="F6789">
        <v>6828</v>
      </c>
      <c r="G6789">
        <f t="shared" si="106"/>
        <v>1577194375</v>
      </c>
    </row>
    <row r="6790" spans="1:7" x14ac:dyDescent="0.25">
      <c r="A6790">
        <v>1577194414</v>
      </c>
      <c r="B6790" t="s">
        <v>29067</v>
      </c>
      <c r="C6790">
        <v>126</v>
      </c>
      <c r="D6790">
        <v>2</v>
      </c>
      <c r="E6790">
        <v>11253</v>
      </c>
      <c r="F6790">
        <v>1375</v>
      </c>
      <c r="G6790">
        <f t="shared" si="106"/>
        <v>1577194414</v>
      </c>
    </row>
    <row r="6791" spans="1:7" x14ac:dyDescent="0.25">
      <c r="A6791">
        <v>1577194420</v>
      </c>
      <c r="B6791" t="s">
        <v>29068</v>
      </c>
      <c r="C6791">
        <v>26</v>
      </c>
      <c r="D6791">
        <v>2</v>
      </c>
      <c r="E6791">
        <v>4113</v>
      </c>
      <c r="F6791">
        <v>2744</v>
      </c>
      <c r="G6791">
        <f t="shared" si="106"/>
        <v>1577194420</v>
      </c>
    </row>
    <row r="6792" spans="1:7" x14ac:dyDescent="0.25">
      <c r="A6792">
        <v>1577194428</v>
      </c>
      <c r="B6792" t="s">
        <v>29069</v>
      </c>
      <c r="C6792">
        <v>431</v>
      </c>
      <c r="D6792">
        <v>2</v>
      </c>
      <c r="E6792">
        <v>7318</v>
      </c>
      <c r="F6792">
        <v>2005</v>
      </c>
      <c r="G6792">
        <f t="shared" si="106"/>
        <v>1577194428</v>
      </c>
    </row>
    <row r="6793" spans="1:7" x14ac:dyDescent="0.25">
      <c r="A6793">
        <v>1577194429</v>
      </c>
      <c r="B6793" t="s">
        <v>1834</v>
      </c>
      <c r="C6793">
        <v>0</v>
      </c>
      <c r="D6793">
        <v>1</v>
      </c>
      <c r="E6793">
        <v>373</v>
      </c>
      <c r="F6793">
        <v>4921</v>
      </c>
      <c r="G6793">
        <f t="shared" si="106"/>
        <v>1577194429</v>
      </c>
    </row>
    <row r="6794" spans="1:7" x14ac:dyDescent="0.25">
      <c r="A6794">
        <v>1577194430</v>
      </c>
      <c r="B6794" t="s">
        <v>1091</v>
      </c>
      <c r="C6794">
        <v>0</v>
      </c>
      <c r="D6794">
        <v>0</v>
      </c>
      <c r="E6794">
        <v>0</v>
      </c>
      <c r="F6794">
        <v>8210</v>
      </c>
      <c r="G6794">
        <f t="shared" si="106"/>
        <v>1577194430</v>
      </c>
    </row>
    <row r="6795" spans="1:7" x14ac:dyDescent="0.25">
      <c r="A6795">
        <v>1577194461</v>
      </c>
      <c r="B6795" t="s">
        <v>29070</v>
      </c>
      <c r="C6795">
        <v>1621</v>
      </c>
      <c r="D6795">
        <v>0</v>
      </c>
      <c r="E6795">
        <v>0</v>
      </c>
      <c r="F6795">
        <v>8211</v>
      </c>
      <c r="G6795">
        <f t="shared" si="106"/>
        <v>1577194461</v>
      </c>
    </row>
    <row r="6796" spans="1:7" x14ac:dyDescent="0.25">
      <c r="A6796">
        <v>1577194464</v>
      </c>
      <c r="B6796" t="s">
        <v>36811</v>
      </c>
      <c r="C6796">
        <v>0</v>
      </c>
      <c r="D6796">
        <v>0</v>
      </c>
      <c r="E6796">
        <v>0</v>
      </c>
      <c r="F6796">
        <v>8212</v>
      </c>
      <c r="G6796">
        <f t="shared" si="106"/>
        <v>1577194464</v>
      </c>
    </row>
    <row r="6797" spans="1:7" x14ac:dyDescent="0.25">
      <c r="A6797">
        <v>1577194471</v>
      </c>
      <c r="B6797" t="s">
        <v>29071</v>
      </c>
      <c r="C6797">
        <v>1063</v>
      </c>
      <c r="D6797">
        <v>0</v>
      </c>
      <c r="E6797">
        <v>0</v>
      </c>
      <c r="F6797">
        <v>8213</v>
      </c>
      <c r="G6797">
        <f t="shared" si="106"/>
        <v>1577194471</v>
      </c>
    </row>
    <row r="6798" spans="1:7" x14ac:dyDescent="0.25">
      <c r="A6798">
        <v>1577194478</v>
      </c>
      <c r="B6798" t="s">
        <v>29072</v>
      </c>
      <c r="C6798">
        <v>0</v>
      </c>
      <c r="D6798">
        <v>1</v>
      </c>
      <c r="E6798">
        <v>281</v>
      </c>
      <c r="F6798">
        <v>5180</v>
      </c>
      <c r="G6798">
        <f t="shared" si="106"/>
        <v>1577194478</v>
      </c>
    </row>
    <row r="6799" spans="1:7" x14ac:dyDescent="0.25">
      <c r="A6799">
        <v>1577194488</v>
      </c>
      <c r="B6799" t="s">
        <v>29073</v>
      </c>
      <c r="C6799">
        <v>0</v>
      </c>
      <c r="D6799">
        <v>0</v>
      </c>
      <c r="E6799">
        <v>0</v>
      </c>
      <c r="F6799">
        <v>8214</v>
      </c>
      <c r="G6799">
        <f t="shared" si="106"/>
        <v>1577194488</v>
      </c>
    </row>
    <row r="6800" spans="1:7" x14ac:dyDescent="0.25">
      <c r="A6800">
        <v>1577194494</v>
      </c>
      <c r="B6800" t="s">
        <v>29074</v>
      </c>
      <c r="C6800">
        <v>617</v>
      </c>
      <c r="D6800">
        <v>2</v>
      </c>
      <c r="E6800">
        <v>6527</v>
      </c>
      <c r="F6800">
        <v>2159</v>
      </c>
      <c r="G6800">
        <f t="shared" si="106"/>
        <v>1577194494</v>
      </c>
    </row>
    <row r="6801" spans="1:7" x14ac:dyDescent="0.25">
      <c r="A6801">
        <v>1577194527</v>
      </c>
      <c r="B6801" t="s">
        <v>29075</v>
      </c>
      <c r="C6801">
        <v>27</v>
      </c>
      <c r="D6801">
        <v>5</v>
      </c>
      <c r="E6801">
        <v>27123</v>
      </c>
      <c r="F6801">
        <v>327</v>
      </c>
      <c r="G6801">
        <f t="shared" si="106"/>
        <v>1577194527</v>
      </c>
    </row>
    <row r="6802" spans="1:7" x14ac:dyDescent="0.25">
      <c r="A6802">
        <v>1577194538</v>
      </c>
      <c r="B6802" t="s">
        <v>29076</v>
      </c>
      <c r="C6802">
        <v>189</v>
      </c>
      <c r="D6802">
        <v>4</v>
      </c>
      <c r="E6802">
        <v>12467</v>
      </c>
      <c r="F6802">
        <v>1506</v>
      </c>
      <c r="G6802">
        <f t="shared" si="106"/>
        <v>1577194538</v>
      </c>
    </row>
    <row r="6803" spans="1:7" x14ac:dyDescent="0.25">
      <c r="A6803">
        <v>1577194539</v>
      </c>
      <c r="B6803" t="s">
        <v>29077</v>
      </c>
      <c r="C6803">
        <v>124</v>
      </c>
      <c r="D6803">
        <v>6</v>
      </c>
      <c r="E6803">
        <v>28077</v>
      </c>
      <c r="F6803">
        <v>293</v>
      </c>
      <c r="G6803">
        <f t="shared" si="106"/>
        <v>1577194539</v>
      </c>
    </row>
    <row r="6804" spans="1:7" x14ac:dyDescent="0.25">
      <c r="A6804">
        <v>1577194543</v>
      </c>
      <c r="B6804" t="s">
        <v>29078</v>
      </c>
      <c r="C6804">
        <v>0</v>
      </c>
      <c r="D6804">
        <v>0</v>
      </c>
      <c r="E6804">
        <v>0</v>
      </c>
      <c r="F6804">
        <v>8215</v>
      </c>
      <c r="G6804">
        <f t="shared" si="106"/>
        <v>1577194543</v>
      </c>
    </row>
    <row r="6805" spans="1:7" x14ac:dyDescent="0.25">
      <c r="A6805">
        <v>1577194574</v>
      </c>
      <c r="B6805" t="s">
        <v>29079</v>
      </c>
      <c r="C6805">
        <v>1974</v>
      </c>
      <c r="D6805">
        <v>1</v>
      </c>
      <c r="E6805">
        <v>419</v>
      </c>
      <c r="F6805">
        <v>4811</v>
      </c>
      <c r="G6805">
        <f t="shared" si="106"/>
        <v>1577194574</v>
      </c>
    </row>
    <row r="6806" spans="1:7" x14ac:dyDescent="0.25">
      <c r="A6806">
        <v>1577194575</v>
      </c>
      <c r="B6806" t="s">
        <v>29080</v>
      </c>
      <c r="C6806">
        <v>124</v>
      </c>
      <c r="D6806">
        <v>4</v>
      </c>
      <c r="E6806">
        <v>19667</v>
      </c>
      <c r="F6806">
        <v>645</v>
      </c>
      <c r="G6806">
        <f t="shared" si="106"/>
        <v>1577194575</v>
      </c>
    </row>
    <row r="6807" spans="1:7" x14ac:dyDescent="0.25">
      <c r="A6807">
        <v>1577194590</v>
      </c>
      <c r="B6807" t="s">
        <v>739</v>
      </c>
      <c r="C6807">
        <v>124</v>
      </c>
      <c r="D6807">
        <v>2</v>
      </c>
      <c r="E6807">
        <v>8815</v>
      </c>
      <c r="F6807">
        <v>1750</v>
      </c>
      <c r="G6807">
        <f t="shared" si="106"/>
        <v>1577194590</v>
      </c>
    </row>
    <row r="6808" spans="1:7" x14ac:dyDescent="0.25">
      <c r="A6808">
        <v>1577194599</v>
      </c>
      <c r="B6808" t="s">
        <v>29081</v>
      </c>
      <c r="C6808">
        <v>124</v>
      </c>
      <c r="D6808">
        <v>1</v>
      </c>
      <c r="E6808">
        <v>5695</v>
      </c>
      <c r="F6808">
        <v>2351</v>
      </c>
      <c r="G6808">
        <f t="shared" si="106"/>
        <v>1577194599</v>
      </c>
    </row>
    <row r="6809" spans="1:7" x14ac:dyDescent="0.25">
      <c r="A6809">
        <v>1577194601</v>
      </c>
      <c r="B6809" t="s">
        <v>29082</v>
      </c>
      <c r="C6809">
        <v>1663</v>
      </c>
      <c r="D6809">
        <v>1</v>
      </c>
      <c r="E6809">
        <v>1378</v>
      </c>
      <c r="F6809">
        <v>3676</v>
      </c>
      <c r="G6809">
        <f t="shared" si="106"/>
        <v>1577194601</v>
      </c>
    </row>
    <row r="6810" spans="1:7" x14ac:dyDescent="0.25">
      <c r="A6810">
        <v>1577194648</v>
      </c>
      <c r="B6810" t="s">
        <v>29083</v>
      </c>
      <c r="C6810">
        <v>1708</v>
      </c>
      <c r="D6810">
        <v>1</v>
      </c>
      <c r="E6810">
        <v>1526</v>
      </c>
      <c r="F6810">
        <v>3583</v>
      </c>
      <c r="G6810">
        <f t="shared" si="106"/>
        <v>1577194648</v>
      </c>
    </row>
    <row r="6811" spans="1:7" x14ac:dyDescent="0.25">
      <c r="A6811">
        <v>1577194670</v>
      </c>
      <c r="B6811" t="s">
        <v>36812</v>
      </c>
      <c r="C6811">
        <v>467</v>
      </c>
      <c r="D6811">
        <v>4</v>
      </c>
      <c r="E6811">
        <v>21617</v>
      </c>
      <c r="F6811">
        <v>548</v>
      </c>
      <c r="G6811">
        <f t="shared" si="106"/>
        <v>1577194670</v>
      </c>
    </row>
    <row r="6812" spans="1:7" x14ac:dyDescent="0.25">
      <c r="A6812">
        <v>1577194676</v>
      </c>
      <c r="B6812" t="s">
        <v>29084</v>
      </c>
      <c r="C6812">
        <v>0</v>
      </c>
      <c r="D6812">
        <v>1</v>
      </c>
      <c r="E6812">
        <v>197</v>
      </c>
      <c r="F6812">
        <v>5510</v>
      </c>
      <c r="G6812">
        <f t="shared" si="106"/>
        <v>1577194676</v>
      </c>
    </row>
    <row r="6813" spans="1:7" x14ac:dyDescent="0.25">
      <c r="A6813">
        <v>1577194723</v>
      </c>
      <c r="B6813" t="s">
        <v>29085</v>
      </c>
      <c r="C6813">
        <v>887</v>
      </c>
      <c r="D6813">
        <v>1</v>
      </c>
      <c r="E6813">
        <v>821</v>
      </c>
      <c r="F6813">
        <v>4171</v>
      </c>
      <c r="G6813">
        <f t="shared" si="106"/>
        <v>1577194723</v>
      </c>
    </row>
    <row r="6814" spans="1:7" x14ac:dyDescent="0.25">
      <c r="A6814">
        <v>1577194743</v>
      </c>
      <c r="B6814" t="s">
        <v>29086</v>
      </c>
      <c r="C6814">
        <v>0</v>
      </c>
      <c r="D6814">
        <v>0</v>
      </c>
      <c r="E6814">
        <v>0</v>
      </c>
      <c r="F6814">
        <v>8216</v>
      </c>
      <c r="G6814">
        <f t="shared" si="106"/>
        <v>1577194743</v>
      </c>
    </row>
    <row r="6815" spans="1:7" x14ac:dyDescent="0.25">
      <c r="A6815">
        <v>1577194745</v>
      </c>
      <c r="B6815" t="s">
        <v>29087</v>
      </c>
      <c r="C6815">
        <v>367</v>
      </c>
      <c r="D6815">
        <v>1</v>
      </c>
      <c r="E6815">
        <v>4686</v>
      </c>
      <c r="F6815">
        <v>2578</v>
      </c>
      <c r="G6815">
        <f t="shared" si="106"/>
        <v>1577194745</v>
      </c>
    </row>
    <row r="6816" spans="1:7" x14ac:dyDescent="0.25">
      <c r="A6816">
        <v>1577194819</v>
      </c>
      <c r="B6816" t="s">
        <v>29088</v>
      </c>
      <c r="C6816">
        <v>480</v>
      </c>
      <c r="D6816">
        <v>2</v>
      </c>
      <c r="E6816">
        <v>4315</v>
      </c>
      <c r="F6816">
        <v>2678</v>
      </c>
      <c r="G6816">
        <f t="shared" si="106"/>
        <v>1577194819</v>
      </c>
    </row>
    <row r="6817" spans="1:7" x14ac:dyDescent="0.25">
      <c r="A6817">
        <v>1577194827</v>
      </c>
      <c r="B6817" t="s">
        <v>29089</v>
      </c>
      <c r="C6817">
        <v>0</v>
      </c>
      <c r="D6817">
        <v>1</v>
      </c>
      <c r="E6817">
        <v>26</v>
      </c>
      <c r="F6817">
        <v>6829</v>
      </c>
      <c r="G6817">
        <f t="shared" si="106"/>
        <v>1577194827</v>
      </c>
    </row>
    <row r="6818" spans="1:7" x14ac:dyDescent="0.25">
      <c r="A6818">
        <v>1577194828</v>
      </c>
      <c r="B6818" t="s">
        <v>29090</v>
      </c>
      <c r="C6818">
        <v>175</v>
      </c>
      <c r="D6818">
        <v>3</v>
      </c>
      <c r="E6818">
        <v>13025</v>
      </c>
      <c r="F6818">
        <v>1167</v>
      </c>
      <c r="G6818">
        <f t="shared" si="106"/>
        <v>1577194828</v>
      </c>
    </row>
    <row r="6819" spans="1:7" x14ac:dyDescent="0.25">
      <c r="A6819">
        <v>1577194846</v>
      </c>
      <c r="B6819" t="s">
        <v>29091</v>
      </c>
      <c r="C6819">
        <v>269</v>
      </c>
      <c r="D6819">
        <v>0</v>
      </c>
      <c r="E6819">
        <v>0</v>
      </c>
      <c r="F6819">
        <v>8217</v>
      </c>
      <c r="G6819">
        <f t="shared" si="106"/>
        <v>1577194846</v>
      </c>
    </row>
    <row r="6820" spans="1:7" x14ac:dyDescent="0.25">
      <c r="A6820">
        <v>1577194848</v>
      </c>
      <c r="B6820" t="s">
        <v>29092</v>
      </c>
      <c r="C6820">
        <v>15</v>
      </c>
      <c r="D6820">
        <v>0</v>
      </c>
      <c r="E6820">
        <v>0</v>
      </c>
      <c r="F6820">
        <v>8218</v>
      </c>
      <c r="G6820">
        <f t="shared" si="106"/>
        <v>1577194848</v>
      </c>
    </row>
    <row r="6821" spans="1:7" x14ac:dyDescent="0.25">
      <c r="A6821">
        <v>1577194854</v>
      </c>
      <c r="B6821" t="s">
        <v>29093</v>
      </c>
      <c r="C6821">
        <v>301</v>
      </c>
      <c r="D6821">
        <v>0</v>
      </c>
      <c r="E6821">
        <v>0</v>
      </c>
      <c r="F6821">
        <v>8219</v>
      </c>
      <c r="G6821">
        <f t="shared" si="106"/>
        <v>1577194854</v>
      </c>
    </row>
    <row r="6822" spans="1:7" x14ac:dyDescent="0.25">
      <c r="A6822">
        <v>1577194867</v>
      </c>
      <c r="B6822" t="s">
        <v>29094</v>
      </c>
      <c r="C6822">
        <v>271</v>
      </c>
      <c r="D6822">
        <v>3</v>
      </c>
      <c r="E6822">
        <v>8296</v>
      </c>
      <c r="F6822">
        <v>1831</v>
      </c>
      <c r="G6822">
        <f t="shared" si="106"/>
        <v>1577194867</v>
      </c>
    </row>
    <row r="6823" spans="1:7" x14ac:dyDescent="0.25">
      <c r="A6823">
        <v>1577194879</v>
      </c>
      <c r="B6823" t="s">
        <v>29095</v>
      </c>
      <c r="C6823">
        <v>0</v>
      </c>
      <c r="D6823">
        <v>0</v>
      </c>
      <c r="E6823">
        <v>0</v>
      </c>
      <c r="F6823">
        <v>8220</v>
      </c>
      <c r="G6823">
        <f t="shared" si="106"/>
        <v>1577194879</v>
      </c>
    </row>
    <row r="6824" spans="1:7" x14ac:dyDescent="0.25">
      <c r="A6824">
        <v>1577194891</v>
      </c>
      <c r="B6824" t="s">
        <v>29096</v>
      </c>
      <c r="C6824">
        <v>924</v>
      </c>
      <c r="D6824">
        <v>1</v>
      </c>
      <c r="E6824">
        <v>26</v>
      </c>
      <c r="F6824">
        <v>6830</v>
      </c>
      <c r="G6824">
        <f t="shared" si="106"/>
        <v>1577194891</v>
      </c>
    </row>
    <row r="6825" spans="1:7" x14ac:dyDescent="0.25">
      <c r="A6825">
        <v>1577194895</v>
      </c>
      <c r="B6825" t="s">
        <v>29097</v>
      </c>
      <c r="C6825">
        <v>0</v>
      </c>
      <c r="D6825">
        <v>0</v>
      </c>
      <c r="E6825">
        <v>0</v>
      </c>
      <c r="F6825">
        <v>8221</v>
      </c>
      <c r="G6825">
        <f t="shared" si="106"/>
        <v>1577194895</v>
      </c>
    </row>
    <row r="6826" spans="1:7" x14ac:dyDescent="0.25">
      <c r="A6826">
        <v>1577194909</v>
      </c>
      <c r="B6826" t="s">
        <v>37442</v>
      </c>
      <c r="C6826">
        <v>0</v>
      </c>
      <c r="D6826">
        <v>1</v>
      </c>
      <c r="E6826">
        <v>43</v>
      </c>
      <c r="F6826">
        <v>6252</v>
      </c>
      <c r="G6826">
        <f t="shared" si="106"/>
        <v>1577194909</v>
      </c>
    </row>
    <row r="6827" spans="1:7" x14ac:dyDescent="0.25">
      <c r="A6827">
        <v>1577194910</v>
      </c>
      <c r="B6827" t="s">
        <v>29098</v>
      </c>
      <c r="C6827">
        <v>0</v>
      </c>
      <c r="D6827">
        <v>0</v>
      </c>
      <c r="E6827">
        <v>0</v>
      </c>
      <c r="F6827">
        <v>8222</v>
      </c>
      <c r="G6827">
        <f t="shared" si="106"/>
        <v>1577194910</v>
      </c>
    </row>
    <row r="6828" spans="1:7" x14ac:dyDescent="0.25">
      <c r="A6828">
        <v>1577194916</v>
      </c>
      <c r="B6828" t="s">
        <v>29099</v>
      </c>
      <c r="C6828">
        <v>1689</v>
      </c>
      <c r="D6828">
        <v>2</v>
      </c>
      <c r="E6828">
        <v>11033</v>
      </c>
      <c r="F6828">
        <v>1411</v>
      </c>
      <c r="G6828">
        <f t="shared" si="106"/>
        <v>1577194916</v>
      </c>
    </row>
    <row r="6829" spans="1:7" x14ac:dyDescent="0.25">
      <c r="A6829">
        <v>1577194926</v>
      </c>
      <c r="B6829" t="s">
        <v>29100</v>
      </c>
      <c r="C6829">
        <v>1654</v>
      </c>
      <c r="D6829">
        <v>0</v>
      </c>
      <c r="E6829">
        <v>0</v>
      </c>
      <c r="F6829">
        <v>8223</v>
      </c>
      <c r="G6829">
        <f t="shared" si="106"/>
        <v>1577194926</v>
      </c>
    </row>
    <row r="6830" spans="1:7" x14ac:dyDescent="0.25">
      <c r="A6830">
        <v>1577194932</v>
      </c>
      <c r="B6830" t="s">
        <v>29101</v>
      </c>
      <c r="C6830">
        <v>0</v>
      </c>
      <c r="D6830">
        <v>0</v>
      </c>
      <c r="E6830">
        <v>0</v>
      </c>
      <c r="F6830">
        <v>8224</v>
      </c>
      <c r="G6830">
        <f t="shared" si="106"/>
        <v>1577194932</v>
      </c>
    </row>
    <row r="6831" spans="1:7" x14ac:dyDescent="0.25">
      <c r="A6831">
        <v>1577194976</v>
      </c>
      <c r="B6831" t="s">
        <v>29102</v>
      </c>
      <c r="C6831">
        <v>0</v>
      </c>
      <c r="D6831">
        <v>1</v>
      </c>
      <c r="E6831">
        <v>151</v>
      </c>
      <c r="F6831">
        <v>5696</v>
      </c>
      <c r="G6831">
        <f t="shared" si="106"/>
        <v>1577194976</v>
      </c>
    </row>
    <row r="6832" spans="1:7" x14ac:dyDescent="0.25">
      <c r="A6832">
        <v>1577194980</v>
      </c>
      <c r="B6832" t="s">
        <v>29103</v>
      </c>
      <c r="C6832">
        <v>494</v>
      </c>
      <c r="D6832">
        <v>2</v>
      </c>
      <c r="E6832">
        <v>5986</v>
      </c>
      <c r="F6832">
        <v>2278</v>
      </c>
      <c r="G6832">
        <f t="shared" si="106"/>
        <v>1577194980</v>
      </c>
    </row>
    <row r="6833" spans="1:7" x14ac:dyDescent="0.25">
      <c r="A6833">
        <v>1577194982</v>
      </c>
      <c r="B6833" t="s">
        <v>29104</v>
      </c>
      <c r="C6833">
        <v>0</v>
      </c>
      <c r="D6833">
        <v>1</v>
      </c>
      <c r="E6833">
        <v>51</v>
      </c>
      <c r="F6833">
        <v>6167</v>
      </c>
      <c r="G6833">
        <f t="shared" si="106"/>
        <v>1577194982</v>
      </c>
    </row>
    <row r="6834" spans="1:7" x14ac:dyDescent="0.25">
      <c r="A6834">
        <v>1577194984</v>
      </c>
      <c r="B6834" t="s">
        <v>29105</v>
      </c>
      <c r="C6834">
        <v>0</v>
      </c>
      <c r="D6834">
        <v>1</v>
      </c>
      <c r="E6834">
        <v>38</v>
      </c>
      <c r="F6834">
        <v>6287</v>
      </c>
      <c r="G6834">
        <f t="shared" si="106"/>
        <v>1577194984</v>
      </c>
    </row>
    <row r="6835" spans="1:7" x14ac:dyDescent="0.25">
      <c r="A6835">
        <v>1577194987</v>
      </c>
      <c r="B6835" t="s">
        <v>29106</v>
      </c>
      <c r="C6835">
        <v>6</v>
      </c>
      <c r="D6835">
        <v>4</v>
      </c>
      <c r="E6835">
        <v>27363</v>
      </c>
      <c r="F6835">
        <v>320</v>
      </c>
      <c r="G6835">
        <f t="shared" si="106"/>
        <v>1577194987</v>
      </c>
    </row>
    <row r="6836" spans="1:7" x14ac:dyDescent="0.25">
      <c r="A6836">
        <v>1577194990</v>
      </c>
      <c r="B6836" t="s">
        <v>29107</v>
      </c>
      <c r="C6836">
        <v>413</v>
      </c>
      <c r="D6836">
        <v>2</v>
      </c>
      <c r="E6836">
        <v>7092</v>
      </c>
      <c r="F6836">
        <v>2055</v>
      </c>
      <c r="G6836">
        <f t="shared" si="106"/>
        <v>1577194990</v>
      </c>
    </row>
    <row r="6837" spans="1:7" x14ac:dyDescent="0.25">
      <c r="A6837">
        <v>1577195014</v>
      </c>
      <c r="B6837" t="s">
        <v>29108</v>
      </c>
      <c r="C6837">
        <v>924</v>
      </c>
      <c r="D6837">
        <v>1</v>
      </c>
      <c r="E6837">
        <v>393</v>
      </c>
      <c r="F6837">
        <v>4867</v>
      </c>
      <c r="G6837">
        <f t="shared" si="106"/>
        <v>1577195014</v>
      </c>
    </row>
    <row r="6838" spans="1:7" x14ac:dyDescent="0.25">
      <c r="A6838">
        <v>1577195074</v>
      </c>
      <c r="B6838" t="s">
        <v>29109</v>
      </c>
      <c r="C6838">
        <v>0</v>
      </c>
      <c r="D6838">
        <v>0</v>
      </c>
      <c r="E6838">
        <v>0</v>
      </c>
      <c r="F6838">
        <v>8225</v>
      </c>
      <c r="G6838">
        <f t="shared" si="106"/>
        <v>1577195074</v>
      </c>
    </row>
    <row r="6839" spans="1:7" x14ac:dyDescent="0.25">
      <c r="A6839">
        <v>1577195077</v>
      </c>
      <c r="B6839" t="s">
        <v>29110</v>
      </c>
      <c r="C6839">
        <v>67</v>
      </c>
      <c r="D6839">
        <v>3</v>
      </c>
      <c r="E6839">
        <v>13044</v>
      </c>
      <c r="F6839">
        <v>1168</v>
      </c>
      <c r="G6839">
        <f t="shared" si="106"/>
        <v>1577195077</v>
      </c>
    </row>
    <row r="6840" spans="1:7" x14ac:dyDescent="0.25">
      <c r="A6840">
        <v>1577195098</v>
      </c>
      <c r="B6840" t="s">
        <v>29111</v>
      </c>
      <c r="C6840">
        <v>1880</v>
      </c>
      <c r="D6840">
        <v>1</v>
      </c>
      <c r="E6840">
        <v>1042</v>
      </c>
      <c r="F6840">
        <v>3932</v>
      </c>
      <c r="G6840">
        <f t="shared" si="106"/>
        <v>1577195098</v>
      </c>
    </row>
    <row r="6841" spans="1:7" x14ac:dyDescent="0.25">
      <c r="A6841">
        <v>1577195111</v>
      </c>
      <c r="B6841" t="s">
        <v>29112</v>
      </c>
      <c r="C6841">
        <v>1100</v>
      </c>
      <c r="D6841">
        <v>2</v>
      </c>
      <c r="E6841">
        <v>9300</v>
      </c>
      <c r="F6841">
        <v>1672</v>
      </c>
      <c r="G6841">
        <f t="shared" si="106"/>
        <v>1577195111</v>
      </c>
    </row>
    <row r="6842" spans="1:7" x14ac:dyDescent="0.25">
      <c r="A6842">
        <v>1577195113</v>
      </c>
      <c r="B6842" t="s">
        <v>29113</v>
      </c>
      <c r="C6842">
        <v>534</v>
      </c>
      <c r="D6842">
        <v>1</v>
      </c>
      <c r="E6842">
        <v>4465</v>
      </c>
      <c r="F6842">
        <v>2630</v>
      </c>
      <c r="G6842">
        <f t="shared" si="106"/>
        <v>1577195113</v>
      </c>
    </row>
    <row r="6843" spans="1:7" x14ac:dyDescent="0.25">
      <c r="A6843">
        <v>1577195174</v>
      </c>
      <c r="B6843" t="s">
        <v>29114</v>
      </c>
      <c r="C6843">
        <v>15</v>
      </c>
      <c r="D6843">
        <v>1</v>
      </c>
      <c r="E6843">
        <v>5536</v>
      </c>
      <c r="F6843">
        <v>2393</v>
      </c>
      <c r="G6843">
        <f t="shared" si="106"/>
        <v>1577195174</v>
      </c>
    </row>
    <row r="6844" spans="1:7" x14ac:dyDescent="0.25">
      <c r="A6844">
        <v>1577195187</v>
      </c>
      <c r="B6844" t="s">
        <v>29115</v>
      </c>
      <c r="C6844">
        <v>199</v>
      </c>
      <c r="D6844">
        <v>0</v>
      </c>
      <c r="E6844">
        <v>0</v>
      </c>
      <c r="F6844">
        <v>8226</v>
      </c>
      <c r="G6844">
        <f t="shared" si="106"/>
        <v>1577195187</v>
      </c>
    </row>
    <row r="6845" spans="1:7" x14ac:dyDescent="0.25">
      <c r="A6845">
        <v>1577195191</v>
      </c>
      <c r="B6845" t="s">
        <v>29116</v>
      </c>
      <c r="C6845">
        <v>69</v>
      </c>
      <c r="D6845">
        <v>3</v>
      </c>
      <c r="E6845">
        <v>18570</v>
      </c>
      <c r="F6845">
        <v>715</v>
      </c>
      <c r="G6845">
        <f t="shared" si="106"/>
        <v>1577195191</v>
      </c>
    </row>
    <row r="6846" spans="1:7" x14ac:dyDescent="0.25">
      <c r="A6846">
        <v>1577195204</v>
      </c>
      <c r="B6846" t="s">
        <v>29117</v>
      </c>
      <c r="C6846">
        <v>55</v>
      </c>
      <c r="D6846">
        <v>1</v>
      </c>
      <c r="E6846">
        <v>2233</v>
      </c>
      <c r="F6846">
        <v>3234</v>
      </c>
      <c r="G6846">
        <f t="shared" si="106"/>
        <v>1577195204</v>
      </c>
    </row>
    <row r="6847" spans="1:7" x14ac:dyDescent="0.25">
      <c r="A6847">
        <v>1577195215</v>
      </c>
      <c r="B6847" t="s">
        <v>29118</v>
      </c>
      <c r="C6847">
        <v>1063</v>
      </c>
      <c r="D6847">
        <v>0</v>
      </c>
      <c r="E6847">
        <v>0</v>
      </c>
      <c r="F6847">
        <v>8227</v>
      </c>
      <c r="G6847">
        <f t="shared" si="106"/>
        <v>1577195215</v>
      </c>
    </row>
    <row r="6848" spans="1:7" x14ac:dyDescent="0.25">
      <c r="A6848">
        <v>1577195216</v>
      </c>
      <c r="B6848" t="s">
        <v>29119</v>
      </c>
      <c r="C6848">
        <v>0</v>
      </c>
      <c r="D6848">
        <v>1</v>
      </c>
      <c r="E6848">
        <v>47</v>
      </c>
      <c r="F6848">
        <v>6211</v>
      </c>
      <c r="G6848">
        <f t="shared" si="106"/>
        <v>1577195216</v>
      </c>
    </row>
    <row r="6849" spans="1:7" x14ac:dyDescent="0.25">
      <c r="A6849">
        <v>1577195218</v>
      </c>
      <c r="B6849" t="s">
        <v>29120</v>
      </c>
      <c r="C6849">
        <v>1100</v>
      </c>
      <c r="D6849">
        <v>3</v>
      </c>
      <c r="E6849">
        <v>8374</v>
      </c>
      <c r="F6849">
        <v>1817</v>
      </c>
      <c r="G6849">
        <f t="shared" ref="G6849:G6912" si="107">A6849</f>
        <v>1577195218</v>
      </c>
    </row>
    <row r="6850" spans="1:7" x14ac:dyDescent="0.25">
      <c r="A6850">
        <v>1577195219</v>
      </c>
      <c r="B6850" t="s">
        <v>36813</v>
      </c>
      <c r="C6850">
        <v>733</v>
      </c>
      <c r="D6850">
        <v>13</v>
      </c>
      <c r="E6850">
        <v>83176</v>
      </c>
      <c r="F6850">
        <v>3</v>
      </c>
      <c r="G6850">
        <f t="shared" si="107"/>
        <v>1577195219</v>
      </c>
    </row>
    <row r="6851" spans="1:7" x14ac:dyDescent="0.25">
      <c r="A6851">
        <v>1577195224</v>
      </c>
      <c r="B6851" t="s">
        <v>29121</v>
      </c>
      <c r="C6851">
        <v>1622</v>
      </c>
      <c r="D6851">
        <v>1</v>
      </c>
      <c r="E6851">
        <v>1042</v>
      </c>
      <c r="F6851">
        <v>3933</v>
      </c>
      <c r="G6851">
        <f t="shared" si="107"/>
        <v>1577195224</v>
      </c>
    </row>
    <row r="6852" spans="1:7" x14ac:dyDescent="0.25">
      <c r="A6852">
        <v>1577195225</v>
      </c>
      <c r="B6852" t="s">
        <v>29122</v>
      </c>
      <c r="C6852">
        <v>424</v>
      </c>
      <c r="D6852">
        <v>2</v>
      </c>
      <c r="E6852">
        <v>10924</v>
      </c>
      <c r="F6852">
        <v>1430</v>
      </c>
      <c r="G6852">
        <f t="shared" si="107"/>
        <v>1577195225</v>
      </c>
    </row>
    <row r="6853" spans="1:7" x14ac:dyDescent="0.25">
      <c r="A6853">
        <v>1577195240</v>
      </c>
      <c r="B6853" t="s">
        <v>29123</v>
      </c>
      <c r="C6853">
        <v>39</v>
      </c>
      <c r="D6853">
        <v>3</v>
      </c>
      <c r="E6853">
        <v>13686</v>
      </c>
      <c r="F6853">
        <v>1103</v>
      </c>
      <c r="G6853">
        <f t="shared" si="107"/>
        <v>1577195240</v>
      </c>
    </row>
    <row r="6854" spans="1:7" x14ac:dyDescent="0.25">
      <c r="A6854">
        <v>1577195270</v>
      </c>
      <c r="B6854" t="s">
        <v>29124</v>
      </c>
      <c r="C6854">
        <v>175</v>
      </c>
      <c r="D6854">
        <v>1</v>
      </c>
      <c r="E6854">
        <v>5147</v>
      </c>
      <c r="F6854">
        <v>2479</v>
      </c>
      <c r="G6854">
        <f t="shared" si="107"/>
        <v>1577195270</v>
      </c>
    </row>
    <row r="6855" spans="1:7" x14ac:dyDescent="0.25">
      <c r="A6855">
        <v>1577195288</v>
      </c>
      <c r="B6855" t="s">
        <v>29125</v>
      </c>
      <c r="C6855">
        <v>1163</v>
      </c>
      <c r="D6855">
        <v>1</v>
      </c>
      <c r="E6855">
        <v>185</v>
      </c>
      <c r="F6855">
        <v>5561</v>
      </c>
      <c r="G6855">
        <f t="shared" si="107"/>
        <v>1577195288</v>
      </c>
    </row>
    <row r="6856" spans="1:7" x14ac:dyDescent="0.25">
      <c r="A6856">
        <v>1577195316</v>
      </c>
      <c r="B6856" t="s">
        <v>29126</v>
      </c>
      <c r="C6856">
        <v>2010</v>
      </c>
      <c r="D6856">
        <v>1</v>
      </c>
      <c r="E6856">
        <v>2064</v>
      </c>
      <c r="F6856">
        <v>3311</v>
      </c>
      <c r="G6856">
        <f t="shared" si="107"/>
        <v>1577195316</v>
      </c>
    </row>
    <row r="6857" spans="1:7" x14ac:dyDescent="0.25">
      <c r="A6857">
        <v>1577195319</v>
      </c>
      <c r="B6857" t="s">
        <v>29127</v>
      </c>
      <c r="C6857">
        <v>6</v>
      </c>
      <c r="D6857">
        <v>3</v>
      </c>
      <c r="E6857">
        <v>14153</v>
      </c>
      <c r="F6857">
        <v>1064</v>
      </c>
      <c r="G6857">
        <f t="shared" si="107"/>
        <v>1577195319</v>
      </c>
    </row>
    <row r="6858" spans="1:7" x14ac:dyDescent="0.25">
      <c r="A6858">
        <v>1577195325</v>
      </c>
      <c r="B6858" t="s">
        <v>29128</v>
      </c>
      <c r="C6858">
        <v>0</v>
      </c>
      <c r="D6858">
        <v>1</v>
      </c>
      <c r="E6858">
        <v>449</v>
      </c>
      <c r="F6858">
        <v>4745</v>
      </c>
      <c r="G6858">
        <f t="shared" si="107"/>
        <v>1577195325</v>
      </c>
    </row>
    <row r="6859" spans="1:7" x14ac:dyDescent="0.25">
      <c r="A6859">
        <v>1577195338</v>
      </c>
      <c r="B6859" t="s">
        <v>29129</v>
      </c>
      <c r="C6859">
        <v>0</v>
      </c>
      <c r="D6859">
        <v>1</v>
      </c>
      <c r="E6859">
        <v>70</v>
      </c>
      <c r="F6859">
        <v>6066</v>
      </c>
      <c r="G6859">
        <f t="shared" si="107"/>
        <v>1577195338</v>
      </c>
    </row>
    <row r="6860" spans="1:7" x14ac:dyDescent="0.25">
      <c r="A6860">
        <v>1577195342</v>
      </c>
      <c r="B6860" t="s">
        <v>709</v>
      </c>
      <c r="C6860">
        <v>189</v>
      </c>
      <c r="D6860">
        <v>3</v>
      </c>
      <c r="E6860">
        <v>10194</v>
      </c>
      <c r="F6860">
        <v>1537</v>
      </c>
      <c r="G6860">
        <f t="shared" si="107"/>
        <v>1577195342</v>
      </c>
    </row>
    <row r="6861" spans="1:7" x14ac:dyDescent="0.25">
      <c r="A6861">
        <v>1577195351</v>
      </c>
      <c r="B6861" t="s">
        <v>29130</v>
      </c>
      <c r="C6861">
        <v>1823</v>
      </c>
      <c r="D6861">
        <v>1</v>
      </c>
      <c r="E6861">
        <v>717</v>
      </c>
      <c r="F6861">
        <v>4317</v>
      </c>
      <c r="G6861">
        <f t="shared" si="107"/>
        <v>1577195351</v>
      </c>
    </row>
    <row r="6862" spans="1:7" x14ac:dyDescent="0.25">
      <c r="A6862">
        <v>1577195353</v>
      </c>
      <c r="B6862" t="s">
        <v>29131</v>
      </c>
      <c r="C6862">
        <v>0</v>
      </c>
      <c r="D6862">
        <v>1</v>
      </c>
      <c r="E6862">
        <v>544</v>
      </c>
      <c r="F6862">
        <v>4560</v>
      </c>
      <c r="G6862">
        <f t="shared" si="107"/>
        <v>1577195353</v>
      </c>
    </row>
    <row r="6863" spans="1:7" x14ac:dyDescent="0.25">
      <c r="A6863">
        <v>1577195364</v>
      </c>
      <c r="B6863" t="s">
        <v>29132</v>
      </c>
      <c r="C6863">
        <v>320</v>
      </c>
      <c r="D6863">
        <v>1</v>
      </c>
      <c r="E6863">
        <v>4900</v>
      </c>
      <c r="F6863">
        <v>2533</v>
      </c>
      <c r="G6863">
        <f t="shared" si="107"/>
        <v>1577195364</v>
      </c>
    </row>
    <row r="6864" spans="1:7" x14ac:dyDescent="0.25">
      <c r="A6864">
        <v>1577195404</v>
      </c>
      <c r="B6864" t="s">
        <v>1744</v>
      </c>
      <c r="C6864">
        <v>431</v>
      </c>
      <c r="D6864">
        <v>0</v>
      </c>
      <c r="E6864">
        <v>0</v>
      </c>
      <c r="F6864">
        <v>8228</v>
      </c>
      <c r="G6864">
        <f t="shared" si="107"/>
        <v>1577195404</v>
      </c>
    </row>
    <row r="6865" spans="1:7" x14ac:dyDescent="0.25">
      <c r="A6865">
        <v>1577195416</v>
      </c>
      <c r="B6865" t="s">
        <v>29133</v>
      </c>
      <c r="C6865">
        <v>196</v>
      </c>
      <c r="D6865">
        <v>1</v>
      </c>
      <c r="E6865">
        <v>6141</v>
      </c>
      <c r="F6865">
        <v>2246</v>
      </c>
      <c r="G6865">
        <f t="shared" si="107"/>
        <v>1577195416</v>
      </c>
    </row>
    <row r="6866" spans="1:7" x14ac:dyDescent="0.25">
      <c r="A6866">
        <v>1577195427</v>
      </c>
      <c r="B6866" t="s">
        <v>36814</v>
      </c>
      <c r="C6866">
        <v>0</v>
      </c>
      <c r="D6866">
        <v>0</v>
      </c>
      <c r="E6866">
        <v>0</v>
      </c>
      <c r="F6866">
        <v>8229</v>
      </c>
      <c r="G6866">
        <f t="shared" si="107"/>
        <v>1577195427</v>
      </c>
    </row>
    <row r="6867" spans="1:7" x14ac:dyDescent="0.25">
      <c r="A6867">
        <v>1577195445</v>
      </c>
      <c r="B6867" t="s">
        <v>29134</v>
      </c>
      <c r="C6867">
        <v>882</v>
      </c>
      <c r="D6867">
        <v>1</v>
      </c>
      <c r="E6867">
        <v>3853</v>
      </c>
      <c r="F6867">
        <v>2800</v>
      </c>
      <c r="G6867">
        <f t="shared" si="107"/>
        <v>1577195445</v>
      </c>
    </row>
    <row r="6868" spans="1:7" x14ac:dyDescent="0.25">
      <c r="A6868">
        <v>1577195451</v>
      </c>
      <c r="B6868" t="s">
        <v>29135</v>
      </c>
      <c r="C6868">
        <v>0</v>
      </c>
      <c r="D6868">
        <v>0</v>
      </c>
      <c r="E6868">
        <v>0</v>
      </c>
      <c r="F6868">
        <v>8230</v>
      </c>
      <c r="G6868">
        <f t="shared" si="107"/>
        <v>1577195451</v>
      </c>
    </row>
    <row r="6869" spans="1:7" x14ac:dyDescent="0.25">
      <c r="A6869">
        <v>1577195466</v>
      </c>
      <c r="B6869" t="s">
        <v>29136</v>
      </c>
      <c r="C6869">
        <v>0</v>
      </c>
      <c r="D6869">
        <v>0</v>
      </c>
      <c r="E6869">
        <v>0</v>
      </c>
      <c r="F6869">
        <v>8231</v>
      </c>
      <c r="G6869">
        <f t="shared" si="107"/>
        <v>1577195466</v>
      </c>
    </row>
    <row r="6870" spans="1:7" x14ac:dyDescent="0.25">
      <c r="A6870">
        <v>1577195477</v>
      </c>
      <c r="B6870" t="s">
        <v>29137</v>
      </c>
      <c r="C6870">
        <v>0</v>
      </c>
      <c r="D6870">
        <v>1</v>
      </c>
      <c r="E6870">
        <v>28</v>
      </c>
      <c r="F6870">
        <v>6332</v>
      </c>
      <c r="G6870">
        <f t="shared" si="107"/>
        <v>1577195477</v>
      </c>
    </row>
    <row r="6871" spans="1:7" x14ac:dyDescent="0.25">
      <c r="A6871">
        <v>1577195481</v>
      </c>
      <c r="B6871" t="s">
        <v>29138</v>
      </c>
      <c r="C6871">
        <v>1972</v>
      </c>
      <c r="D6871">
        <v>2</v>
      </c>
      <c r="E6871">
        <v>10706</v>
      </c>
      <c r="F6871">
        <v>1460</v>
      </c>
      <c r="G6871">
        <f t="shared" si="107"/>
        <v>1577195481</v>
      </c>
    </row>
    <row r="6872" spans="1:7" x14ac:dyDescent="0.25">
      <c r="A6872">
        <v>1577195483</v>
      </c>
      <c r="B6872" t="s">
        <v>29139</v>
      </c>
      <c r="C6872">
        <v>118</v>
      </c>
      <c r="D6872">
        <v>2</v>
      </c>
      <c r="E6872">
        <v>9974</v>
      </c>
      <c r="F6872">
        <v>1567</v>
      </c>
      <c r="G6872">
        <f t="shared" si="107"/>
        <v>1577195483</v>
      </c>
    </row>
    <row r="6873" spans="1:7" x14ac:dyDescent="0.25">
      <c r="A6873">
        <v>1577195488</v>
      </c>
      <c r="B6873" t="s">
        <v>29140</v>
      </c>
      <c r="C6873">
        <v>6</v>
      </c>
      <c r="D6873">
        <v>2</v>
      </c>
      <c r="E6873">
        <v>10130</v>
      </c>
      <c r="F6873">
        <v>1544</v>
      </c>
      <c r="G6873">
        <f t="shared" si="107"/>
        <v>1577195488</v>
      </c>
    </row>
    <row r="6874" spans="1:7" x14ac:dyDescent="0.25">
      <c r="A6874">
        <v>1577195492</v>
      </c>
      <c r="B6874" t="s">
        <v>29141</v>
      </c>
      <c r="C6874">
        <v>578</v>
      </c>
      <c r="D6874">
        <v>4</v>
      </c>
      <c r="E6874">
        <v>25045</v>
      </c>
      <c r="F6874">
        <v>392</v>
      </c>
      <c r="G6874">
        <f t="shared" si="107"/>
        <v>1577195492</v>
      </c>
    </row>
    <row r="6875" spans="1:7" x14ac:dyDescent="0.25">
      <c r="A6875">
        <v>1577195500</v>
      </c>
      <c r="B6875" t="s">
        <v>29142</v>
      </c>
      <c r="C6875">
        <v>0</v>
      </c>
      <c r="D6875">
        <v>0</v>
      </c>
      <c r="E6875">
        <v>0</v>
      </c>
      <c r="F6875">
        <v>8232</v>
      </c>
      <c r="G6875">
        <f t="shared" si="107"/>
        <v>1577195500</v>
      </c>
    </row>
    <row r="6876" spans="1:7" x14ac:dyDescent="0.25">
      <c r="A6876">
        <v>1577195504</v>
      </c>
      <c r="B6876" t="s">
        <v>29143</v>
      </c>
      <c r="C6876">
        <v>578</v>
      </c>
      <c r="D6876">
        <v>3</v>
      </c>
      <c r="E6876">
        <v>18322</v>
      </c>
      <c r="F6876">
        <v>729</v>
      </c>
      <c r="G6876">
        <f t="shared" si="107"/>
        <v>1577195504</v>
      </c>
    </row>
    <row r="6877" spans="1:7" x14ac:dyDescent="0.25">
      <c r="A6877">
        <v>1577195512</v>
      </c>
      <c r="B6877" t="s">
        <v>29144</v>
      </c>
      <c r="C6877">
        <v>0</v>
      </c>
      <c r="D6877">
        <v>1</v>
      </c>
      <c r="E6877">
        <v>587</v>
      </c>
      <c r="F6877">
        <v>4485</v>
      </c>
      <c r="G6877">
        <f t="shared" si="107"/>
        <v>1577195512</v>
      </c>
    </row>
    <row r="6878" spans="1:7" x14ac:dyDescent="0.25">
      <c r="A6878">
        <v>1577195524</v>
      </c>
      <c r="B6878" t="s">
        <v>29145</v>
      </c>
      <c r="C6878">
        <v>53</v>
      </c>
      <c r="D6878">
        <v>2</v>
      </c>
      <c r="E6878">
        <v>7109</v>
      </c>
      <c r="F6878">
        <v>2048</v>
      </c>
      <c r="G6878">
        <f t="shared" si="107"/>
        <v>1577195524</v>
      </c>
    </row>
    <row r="6879" spans="1:7" x14ac:dyDescent="0.25">
      <c r="A6879">
        <v>1577195531</v>
      </c>
      <c r="B6879" t="s">
        <v>29146</v>
      </c>
      <c r="C6879">
        <v>0</v>
      </c>
      <c r="D6879">
        <v>1</v>
      </c>
      <c r="E6879">
        <v>4080</v>
      </c>
      <c r="F6879">
        <v>2753</v>
      </c>
      <c r="G6879">
        <f t="shared" si="107"/>
        <v>1577195531</v>
      </c>
    </row>
    <row r="6880" spans="1:7" x14ac:dyDescent="0.25">
      <c r="A6880">
        <v>1577195586</v>
      </c>
      <c r="B6880" t="s">
        <v>29147</v>
      </c>
      <c r="C6880">
        <v>578</v>
      </c>
      <c r="D6880">
        <v>3</v>
      </c>
      <c r="E6880">
        <v>19587</v>
      </c>
      <c r="F6880">
        <v>649</v>
      </c>
      <c r="G6880">
        <f t="shared" si="107"/>
        <v>1577195586</v>
      </c>
    </row>
    <row r="6881" spans="1:7" x14ac:dyDescent="0.25">
      <c r="A6881">
        <v>1577195588</v>
      </c>
      <c r="B6881" t="s">
        <v>29148</v>
      </c>
      <c r="C6881">
        <v>48</v>
      </c>
      <c r="D6881">
        <v>3</v>
      </c>
      <c r="E6881">
        <v>10636</v>
      </c>
      <c r="F6881">
        <v>1481</v>
      </c>
      <c r="G6881">
        <f t="shared" si="107"/>
        <v>1577195588</v>
      </c>
    </row>
    <row r="6882" spans="1:7" x14ac:dyDescent="0.25">
      <c r="A6882">
        <v>1577195590</v>
      </c>
      <c r="B6882" t="s">
        <v>29149</v>
      </c>
      <c r="C6882">
        <v>0</v>
      </c>
      <c r="D6882">
        <v>0</v>
      </c>
      <c r="E6882">
        <v>0</v>
      </c>
      <c r="F6882">
        <v>8233</v>
      </c>
      <c r="G6882">
        <f t="shared" si="107"/>
        <v>1577195590</v>
      </c>
    </row>
    <row r="6883" spans="1:7" x14ac:dyDescent="0.25">
      <c r="A6883">
        <v>1577195599</v>
      </c>
      <c r="B6883" t="s">
        <v>29150</v>
      </c>
      <c r="C6883">
        <v>186</v>
      </c>
      <c r="D6883">
        <v>1</v>
      </c>
      <c r="E6883">
        <v>3695</v>
      </c>
      <c r="F6883">
        <v>2833</v>
      </c>
      <c r="G6883">
        <f t="shared" si="107"/>
        <v>1577195599</v>
      </c>
    </row>
    <row r="6884" spans="1:7" x14ac:dyDescent="0.25">
      <c r="A6884">
        <v>1577195605</v>
      </c>
      <c r="B6884" t="s">
        <v>29151</v>
      </c>
      <c r="C6884">
        <v>271</v>
      </c>
      <c r="D6884">
        <v>3</v>
      </c>
      <c r="E6884">
        <v>14489</v>
      </c>
      <c r="F6884">
        <v>1034</v>
      </c>
      <c r="G6884">
        <f t="shared" si="107"/>
        <v>1577195605</v>
      </c>
    </row>
    <row r="6885" spans="1:7" x14ac:dyDescent="0.25">
      <c r="A6885">
        <v>1577195635</v>
      </c>
      <c r="B6885" t="s">
        <v>29152</v>
      </c>
      <c r="C6885">
        <v>578</v>
      </c>
      <c r="D6885">
        <v>6</v>
      </c>
      <c r="E6885">
        <v>30463</v>
      </c>
      <c r="F6885">
        <v>234</v>
      </c>
      <c r="G6885">
        <f t="shared" si="107"/>
        <v>1577195635</v>
      </c>
    </row>
    <row r="6886" spans="1:7" x14ac:dyDescent="0.25">
      <c r="A6886">
        <v>1577195688</v>
      </c>
      <c r="B6886" t="s">
        <v>29153</v>
      </c>
      <c r="C6886">
        <v>424</v>
      </c>
      <c r="D6886">
        <v>2</v>
      </c>
      <c r="E6886">
        <v>8889</v>
      </c>
      <c r="F6886">
        <v>1738</v>
      </c>
      <c r="G6886">
        <f t="shared" si="107"/>
        <v>1577195688</v>
      </c>
    </row>
    <row r="6887" spans="1:7" x14ac:dyDescent="0.25">
      <c r="A6887">
        <v>1577195690</v>
      </c>
      <c r="B6887" t="s">
        <v>29154</v>
      </c>
      <c r="C6887">
        <v>0</v>
      </c>
      <c r="D6887">
        <v>1</v>
      </c>
      <c r="E6887">
        <v>2212</v>
      </c>
      <c r="F6887">
        <v>3242</v>
      </c>
      <c r="G6887">
        <f t="shared" si="107"/>
        <v>1577195690</v>
      </c>
    </row>
    <row r="6888" spans="1:7" x14ac:dyDescent="0.25">
      <c r="A6888">
        <v>1577195693</v>
      </c>
      <c r="B6888" t="s">
        <v>29155</v>
      </c>
      <c r="C6888">
        <v>0</v>
      </c>
      <c r="D6888">
        <v>0</v>
      </c>
      <c r="E6888">
        <v>0</v>
      </c>
      <c r="F6888">
        <v>8234</v>
      </c>
      <c r="G6888">
        <f t="shared" si="107"/>
        <v>1577195693</v>
      </c>
    </row>
    <row r="6889" spans="1:7" x14ac:dyDescent="0.25">
      <c r="A6889">
        <v>1577195698</v>
      </c>
      <c r="B6889" t="s">
        <v>29156</v>
      </c>
      <c r="C6889">
        <v>79</v>
      </c>
      <c r="D6889">
        <v>3</v>
      </c>
      <c r="E6889">
        <v>12322</v>
      </c>
      <c r="F6889">
        <v>1249</v>
      </c>
      <c r="G6889">
        <f t="shared" si="107"/>
        <v>1577195698</v>
      </c>
    </row>
    <row r="6890" spans="1:7" x14ac:dyDescent="0.25">
      <c r="A6890">
        <v>1577195701</v>
      </c>
      <c r="B6890" t="s">
        <v>29157</v>
      </c>
      <c r="C6890">
        <v>494</v>
      </c>
      <c r="D6890">
        <v>3</v>
      </c>
      <c r="E6890">
        <v>13630</v>
      </c>
      <c r="F6890">
        <v>1115</v>
      </c>
      <c r="G6890">
        <f t="shared" si="107"/>
        <v>1577195701</v>
      </c>
    </row>
    <row r="6891" spans="1:7" x14ac:dyDescent="0.25">
      <c r="A6891">
        <v>1577195705</v>
      </c>
      <c r="B6891" t="s">
        <v>29158</v>
      </c>
      <c r="C6891">
        <v>79</v>
      </c>
      <c r="D6891">
        <v>4</v>
      </c>
      <c r="E6891">
        <v>13948</v>
      </c>
      <c r="F6891">
        <v>1083</v>
      </c>
      <c r="G6891">
        <f t="shared" si="107"/>
        <v>1577195705</v>
      </c>
    </row>
    <row r="6892" spans="1:7" x14ac:dyDescent="0.25">
      <c r="A6892">
        <v>1577195714</v>
      </c>
      <c r="B6892" t="s">
        <v>29159</v>
      </c>
      <c r="C6892">
        <v>89</v>
      </c>
      <c r="D6892">
        <v>1</v>
      </c>
      <c r="E6892">
        <v>161</v>
      </c>
      <c r="F6892">
        <v>5657</v>
      </c>
      <c r="G6892">
        <f t="shared" si="107"/>
        <v>1577195714</v>
      </c>
    </row>
    <row r="6893" spans="1:7" x14ac:dyDescent="0.25">
      <c r="A6893">
        <v>1577195715</v>
      </c>
      <c r="B6893" t="s">
        <v>37351</v>
      </c>
      <c r="C6893">
        <v>0</v>
      </c>
      <c r="D6893">
        <v>1</v>
      </c>
      <c r="E6893">
        <v>259</v>
      </c>
      <c r="F6893">
        <v>5264</v>
      </c>
      <c r="G6893">
        <f t="shared" si="107"/>
        <v>1577195715</v>
      </c>
    </row>
    <row r="6894" spans="1:7" x14ac:dyDescent="0.25">
      <c r="A6894">
        <v>1577195732</v>
      </c>
      <c r="B6894" t="s">
        <v>29160</v>
      </c>
      <c r="C6894">
        <v>0</v>
      </c>
      <c r="D6894">
        <v>1</v>
      </c>
      <c r="E6894">
        <v>448</v>
      </c>
      <c r="F6894">
        <v>4750</v>
      </c>
      <c r="G6894">
        <f t="shared" si="107"/>
        <v>1577195732</v>
      </c>
    </row>
    <row r="6895" spans="1:7" x14ac:dyDescent="0.25">
      <c r="A6895">
        <v>1577195734</v>
      </c>
      <c r="B6895" t="s">
        <v>29161</v>
      </c>
      <c r="C6895">
        <v>0</v>
      </c>
      <c r="D6895">
        <v>1</v>
      </c>
      <c r="E6895">
        <v>247</v>
      </c>
      <c r="F6895">
        <v>5321</v>
      </c>
      <c r="G6895">
        <f t="shared" si="107"/>
        <v>1577195734</v>
      </c>
    </row>
    <row r="6896" spans="1:7" x14ac:dyDescent="0.25">
      <c r="A6896">
        <v>1577195736</v>
      </c>
      <c r="B6896" t="s">
        <v>29162</v>
      </c>
      <c r="C6896">
        <v>887</v>
      </c>
      <c r="D6896">
        <v>1</v>
      </c>
      <c r="E6896">
        <v>2472</v>
      </c>
      <c r="F6896">
        <v>3149</v>
      </c>
      <c r="G6896">
        <f t="shared" si="107"/>
        <v>1577195736</v>
      </c>
    </row>
    <row r="6897" spans="1:7" x14ac:dyDescent="0.25">
      <c r="A6897">
        <v>1577195756</v>
      </c>
      <c r="B6897" t="s">
        <v>29163</v>
      </c>
      <c r="C6897">
        <v>0</v>
      </c>
      <c r="D6897">
        <v>1</v>
      </c>
      <c r="E6897">
        <v>1301</v>
      </c>
      <c r="F6897">
        <v>3727</v>
      </c>
      <c r="G6897">
        <f t="shared" si="107"/>
        <v>1577195756</v>
      </c>
    </row>
    <row r="6898" spans="1:7" x14ac:dyDescent="0.25">
      <c r="A6898">
        <v>1577195767</v>
      </c>
      <c r="B6898" t="s">
        <v>29164</v>
      </c>
      <c r="C6898">
        <v>0</v>
      </c>
      <c r="D6898">
        <v>1</v>
      </c>
      <c r="E6898">
        <v>60</v>
      </c>
      <c r="F6898">
        <v>6107</v>
      </c>
      <c r="G6898">
        <f t="shared" si="107"/>
        <v>1577195767</v>
      </c>
    </row>
    <row r="6899" spans="1:7" x14ac:dyDescent="0.25">
      <c r="A6899">
        <v>1577195771</v>
      </c>
      <c r="B6899" t="s">
        <v>29165</v>
      </c>
      <c r="C6899">
        <v>1386</v>
      </c>
      <c r="D6899">
        <v>1</v>
      </c>
      <c r="E6899">
        <v>67</v>
      </c>
      <c r="F6899">
        <v>6078</v>
      </c>
      <c r="G6899">
        <f t="shared" si="107"/>
        <v>1577195771</v>
      </c>
    </row>
    <row r="6900" spans="1:7" x14ac:dyDescent="0.25">
      <c r="A6900">
        <v>1577195777</v>
      </c>
      <c r="B6900" t="s">
        <v>749</v>
      </c>
      <c r="C6900">
        <v>79</v>
      </c>
      <c r="D6900">
        <v>4</v>
      </c>
      <c r="E6900">
        <v>19668</v>
      </c>
      <c r="F6900">
        <v>644</v>
      </c>
      <c r="G6900">
        <f t="shared" si="107"/>
        <v>1577195777</v>
      </c>
    </row>
    <row r="6901" spans="1:7" x14ac:dyDescent="0.25">
      <c r="A6901">
        <v>1577195778</v>
      </c>
      <c r="B6901" t="s">
        <v>29166</v>
      </c>
      <c r="C6901">
        <v>47</v>
      </c>
      <c r="D6901">
        <v>4</v>
      </c>
      <c r="E6901">
        <v>15516</v>
      </c>
      <c r="F6901">
        <v>945</v>
      </c>
      <c r="G6901">
        <f t="shared" si="107"/>
        <v>1577195778</v>
      </c>
    </row>
    <row r="6902" spans="1:7" x14ac:dyDescent="0.25">
      <c r="A6902">
        <v>1577195814</v>
      </c>
      <c r="B6902" t="s">
        <v>29167</v>
      </c>
      <c r="C6902">
        <v>150</v>
      </c>
      <c r="D6902">
        <v>0</v>
      </c>
      <c r="E6902">
        <v>0</v>
      </c>
      <c r="F6902">
        <v>8235</v>
      </c>
      <c r="G6902">
        <f t="shared" si="107"/>
        <v>1577195814</v>
      </c>
    </row>
    <row r="6903" spans="1:7" x14ac:dyDescent="0.25">
      <c r="A6903">
        <v>1577195824</v>
      </c>
      <c r="B6903" t="s">
        <v>29168</v>
      </c>
      <c r="C6903">
        <v>1535</v>
      </c>
      <c r="D6903">
        <v>1</v>
      </c>
      <c r="E6903">
        <v>5870</v>
      </c>
      <c r="F6903">
        <v>2309</v>
      </c>
      <c r="G6903">
        <f t="shared" si="107"/>
        <v>1577195824</v>
      </c>
    </row>
    <row r="6904" spans="1:7" x14ac:dyDescent="0.25">
      <c r="A6904">
        <v>1577195826</v>
      </c>
      <c r="B6904" t="s">
        <v>29169</v>
      </c>
      <c r="C6904">
        <v>0</v>
      </c>
      <c r="D6904">
        <v>0</v>
      </c>
      <c r="E6904">
        <v>0</v>
      </c>
      <c r="F6904">
        <v>8236</v>
      </c>
      <c r="G6904">
        <f t="shared" si="107"/>
        <v>1577195826</v>
      </c>
    </row>
    <row r="6905" spans="1:7" x14ac:dyDescent="0.25">
      <c r="A6905">
        <v>1577195841</v>
      </c>
      <c r="B6905" t="s">
        <v>29170</v>
      </c>
      <c r="C6905">
        <v>494</v>
      </c>
      <c r="D6905">
        <v>4</v>
      </c>
      <c r="E6905">
        <v>14943</v>
      </c>
      <c r="F6905">
        <v>1161</v>
      </c>
      <c r="G6905">
        <f t="shared" si="107"/>
        <v>1577195841</v>
      </c>
    </row>
    <row r="6906" spans="1:7" x14ac:dyDescent="0.25">
      <c r="A6906">
        <v>1577195842</v>
      </c>
      <c r="B6906" t="s">
        <v>36815</v>
      </c>
      <c r="C6906">
        <v>284</v>
      </c>
      <c r="D6906">
        <v>0</v>
      </c>
      <c r="E6906">
        <v>0</v>
      </c>
      <c r="F6906">
        <v>8237</v>
      </c>
      <c r="G6906">
        <f t="shared" si="107"/>
        <v>1577195842</v>
      </c>
    </row>
    <row r="6907" spans="1:7" x14ac:dyDescent="0.25">
      <c r="A6907">
        <v>1577195851</v>
      </c>
      <c r="B6907" t="s">
        <v>29171</v>
      </c>
      <c r="C6907">
        <v>494</v>
      </c>
      <c r="D6907">
        <v>4</v>
      </c>
      <c r="E6907">
        <v>19795</v>
      </c>
      <c r="F6907">
        <v>633</v>
      </c>
      <c r="G6907">
        <f t="shared" si="107"/>
        <v>1577195851</v>
      </c>
    </row>
    <row r="6908" spans="1:7" x14ac:dyDescent="0.25">
      <c r="A6908">
        <v>1577195852</v>
      </c>
      <c r="B6908" t="s">
        <v>29172</v>
      </c>
      <c r="C6908">
        <v>79</v>
      </c>
      <c r="D6908">
        <v>2</v>
      </c>
      <c r="E6908">
        <v>8091</v>
      </c>
      <c r="F6908">
        <v>1862</v>
      </c>
      <c r="G6908">
        <f t="shared" si="107"/>
        <v>1577195852</v>
      </c>
    </row>
    <row r="6909" spans="1:7" x14ac:dyDescent="0.25">
      <c r="A6909">
        <v>1577195867</v>
      </c>
      <c r="B6909" t="s">
        <v>29173</v>
      </c>
      <c r="C6909">
        <v>79</v>
      </c>
      <c r="D6909">
        <v>1</v>
      </c>
      <c r="E6909">
        <v>5005</v>
      </c>
      <c r="F6909">
        <v>2514</v>
      </c>
      <c r="G6909">
        <f t="shared" si="107"/>
        <v>1577195867</v>
      </c>
    </row>
    <row r="6910" spans="1:7" x14ac:dyDescent="0.25">
      <c r="A6910">
        <v>1577195873</v>
      </c>
      <c r="B6910" t="s">
        <v>29174</v>
      </c>
      <c r="C6910">
        <v>0</v>
      </c>
      <c r="D6910">
        <v>1</v>
      </c>
      <c r="E6910">
        <v>726</v>
      </c>
      <c r="F6910">
        <v>4301</v>
      </c>
      <c r="G6910">
        <f t="shared" si="107"/>
        <v>1577195873</v>
      </c>
    </row>
    <row r="6911" spans="1:7" x14ac:dyDescent="0.25">
      <c r="A6911">
        <v>1577195887</v>
      </c>
      <c r="B6911" t="s">
        <v>29175</v>
      </c>
      <c r="C6911">
        <v>79</v>
      </c>
      <c r="D6911">
        <v>2</v>
      </c>
      <c r="E6911">
        <v>7310</v>
      </c>
      <c r="F6911">
        <v>2007</v>
      </c>
      <c r="G6911">
        <f t="shared" si="107"/>
        <v>1577195887</v>
      </c>
    </row>
    <row r="6912" spans="1:7" x14ac:dyDescent="0.25">
      <c r="A6912">
        <v>1577195894</v>
      </c>
      <c r="B6912" t="s">
        <v>29176</v>
      </c>
      <c r="C6912">
        <v>0</v>
      </c>
      <c r="D6912">
        <v>0</v>
      </c>
      <c r="E6912">
        <v>0</v>
      </c>
      <c r="F6912">
        <v>8238</v>
      </c>
      <c r="G6912">
        <f t="shared" si="107"/>
        <v>1577195894</v>
      </c>
    </row>
    <row r="6913" spans="1:7" x14ac:dyDescent="0.25">
      <c r="A6913">
        <v>1577195902</v>
      </c>
      <c r="B6913" t="s">
        <v>29177</v>
      </c>
      <c r="C6913">
        <v>537</v>
      </c>
      <c r="D6913">
        <v>1</v>
      </c>
      <c r="E6913">
        <v>4600</v>
      </c>
      <c r="F6913">
        <v>2595</v>
      </c>
      <c r="G6913">
        <f t="shared" ref="G6913:G6976" si="108">A6913</f>
        <v>1577195902</v>
      </c>
    </row>
    <row r="6914" spans="1:7" x14ac:dyDescent="0.25">
      <c r="A6914">
        <v>1577195904</v>
      </c>
      <c r="B6914" t="s">
        <v>29178</v>
      </c>
      <c r="C6914">
        <v>0</v>
      </c>
      <c r="D6914">
        <v>1</v>
      </c>
      <c r="E6914">
        <v>26</v>
      </c>
      <c r="F6914">
        <v>6831</v>
      </c>
      <c r="G6914">
        <f t="shared" si="108"/>
        <v>1577195904</v>
      </c>
    </row>
    <row r="6915" spans="1:7" x14ac:dyDescent="0.25">
      <c r="A6915">
        <v>1577195910</v>
      </c>
      <c r="B6915" t="s">
        <v>29179</v>
      </c>
      <c r="C6915">
        <v>0</v>
      </c>
      <c r="D6915">
        <v>0</v>
      </c>
      <c r="E6915">
        <v>0</v>
      </c>
      <c r="F6915">
        <v>8239</v>
      </c>
      <c r="G6915">
        <f t="shared" si="108"/>
        <v>1577195910</v>
      </c>
    </row>
    <row r="6916" spans="1:7" x14ac:dyDescent="0.25">
      <c r="A6916">
        <v>1577195911</v>
      </c>
      <c r="B6916" t="s">
        <v>29180</v>
      </c>
      <c r="C6916">
        <v>480</v>
      </c>
      <c r="D6916">
        <v>2</v>
      </c>
      <c r="E6916">
        <v>8278</v>
      </c>
      <c r="F6916">
        <v>1836</v>
      </c>
      <c r="G6916">
        <f t="shared" si="108"/>
        <v>1577195911</v>
      </c>
    </row>
    <row r="6917" spans="1:7" x14ac:dyDescent="0.25">
      <c r="A6917">
        <v>1577195916</v>
      </c>
      <c r="B6917" t="s">
        <v>29181</v>
      </c>
      <c r="C6917">
        <v>0</v>
      </c>
      <c r="D6917">
        <v>0</v>
      </c>
      <c r="E6917">
        <v>0</v>
      </c>
      <c r="F6917">
        <v>8240</v>
      </c>
      <c r="G6917">
        <f t="shared" si="108"/>
        <v>1577195916</v>
      </c>
    </row>
    <row r="6918" spans="1:7" x14ac:dyDescent="0.25">
      <c r="A6918">
        <v>1577195923</v>
      </c>
      <c r="B6918" t="s">
        <v>29182</v>
      </c>
      <c r="C6918">
        <v>122</v>
      </c>
      <c r="D6918">
        <v>6</v>
      </c>
      <c r="E6918">
        <v>29000</v>
      </c>
      <c r="F6918">
        <v>273</v>
      </c>
      <c r="G6918">
        <f t="shared" si="108"/>
        <v>1577195923</v>
      </c>
    </row>
    <row r="6919" spans="1:7" x14ac:dyDescent="0.25">
      <c r="A6919">
        <v>1577195935</v>
      </c>
      <c r="B6919" t="s">
        <v>29183</v>
      </c>
      <c r="C6919">
        <v>0</v>
      </c>
      <c r="D6919">
        <v>1</v>
      </c>
      <c r="E6919">
        <v>70</v>
      </c>
      <c r="F6919">
        <v>6067</v>
      </c>
      <c r="G6919">
        <f t="shared" si="108"/>
        <v>1577195935</v>
      </c>
    </row>
    <row r="6920" spans="1:7" x14ac:dyDescent="0.25">
      <c r="A6920">
        <v>1577195942</v>
      </c>
      <c r="B6920" t="s">
        <v>29184</v>
      </c>
      <c r="C6920">
        <v>1758</v>
      </c>
      <c r="D6920">
        <v>8</v>
      </c>
      <c r="E6920">
        <v>46013</v>
      </c>
      <c r="F6920">
        <v>55</v>
      </c>
      <c r="G6920">
        <f t="shared" si="108"/>
        <v>1577195942</v>
      </c>
    </row>
    <row r="6921" spans="1:7" x14ac:dyDescent="0.25">
      <c r="A6921">
        <v>1577195951</v>
      </c>
      <c r="B6921" t="s">
        <v>29185</v>
      </c>
      <c r="C6921">
        <v>79</v>
      </c>
      <c r="D6921">
        <v>1</v>
      </c>
      <c r="E6921">
        <v>800</v>
      </c>
      <c r="F6921">
        <v>4200</v>
      </c>
      <c r="G6921">
        <f t="shared" si="108"/>
        <v>1577195951</v>
      </c>
    </row>
    <row r="6922" spans="1:7" x14ac:dyDescent="0.25">
      <c r="A6922">
        <v>1577195963</v>
      </c>
      <c r="B6922" t="s">
        <v>37185</v>
      </c>
      <c r="C6922">
        <v>1809</v>
      </c>
      <c r="D6922">
        <v>0</v>
      </c>
      <c r="E6922">
        <v>0</v>
      </c>
      <c r="F6922">
        <v>8241</v>
      </c>
      <c r="G6922">
        <f t="shared" si="108"/>
        <v>1577195963</v>
      </c>
    </row>
    <row r="6923" spans="1:7" x14ac:dyDescent="0.25">
      <c r="A6923">
        <v>1577195967</v>
      </c>
      <c r="B6923" t="s">
        <v>29186</v>
      </c>
      <c r="C6923">
        <v>1972</v>
      </c>
      <c r="D6923">
        <v>2</v>
      </c>
      <c r="E6923">
        <v>7402</v>
      </c>
      <c r="F6923">
        <v>1993</v>
      </c>
      <c r="G6923">
        <f t="shared" si="108"/>
        <v>1577195967</v>
      </c>
    </row>
    <row r="6924" spans="1:7" x14ac:dyDescent="0.25">
      <c r="A6924">
        <v>1577195970</v>
      </c>
      <c r="B6924" t="s">
        <v>29187</v>
      </c>
      <c r="C6924">
        <v>27</v>
      </c>
      <c r="D6924">
        <v>4</v>
      </c>
      <c r="E6924">
        <v>22677</v>
      </c>
      <c r="F6924">
        <v>487</v>
      </c>
      <c r="G6924">
        <f t="shared" si="108"/>
        <v>1577195970</v>
      </c>
    </row>
    <row r="6925" spans="1:7" x14ac:dyDescent="0.25">
      <c r="A6925">
        <v>1577195981</v>
      </c>
      <c r="B6925" t="s">
        <v>37352</v>
      </c>
      <c r="C6925">
        <v>79</v>
      </c>
      <c r="D6925">
        <v>3</v>
      </c>
      <c r="E6925">
        <v>7206</v>
      </c>
      <c r="F6925">
        <v>2033</v>
      </c>
      <c r="G6925">
        <f t="shared" si="108"/>
        <v>1577195981</v>
      </c>
    </row>
    <row r="6926" spans="1:7" x14ac:dyDescent="0.25">
      <c r="A6926">
        <v>1577195997</v>
      </c>
      <c r="B6926" t="s">
        <v>29188</v>
      </c>
      <c r="C6926">
        <v>424</v>
      </c>
      <c r="D6926">
        <v>4</v>
      </c>
      <c r="E6926">
        <v>18836</v>
      </c>
      <c r="F6926">
        <v>700</v>
      </c>
      <c r="G6926">
        <f t="shared" si="108"/>
        <v>1577195997</v>
      </c>
    </row>
    <row r="6927" spans="1:7" x14ac:dyDescent="0.25">
      <c r="A6927">
        <v>1577196011</v>
      </c>
      <c r="B6927" t="s">
        <v>29189</v>
      </c>
      <c r="C6927">
        <v>0</v>
      </c>
      <c r="D6927">
        <v>0</v>
      </c>
      <c r="E6927">
        <v>0</v>
      </c>
      <c r="F6927">
        <v>8242</v>
      </c>
      <c r="G6927">
        <f t="shared" si="108"/>
        <v>1577196011</v>
      </c>
    </row>
    <row r="6928" spans="1:7" x14ac:dyDescent="0.25">
      <c r="A6928">
        <v>1577196012</v>
      </c>
      <c r="B6928" t="s">
        <v>29190</v>
      </c>
      <c r="C6928">
        <v>0</v>
      </c>
      <c r="D6928">
        <v>0</v>
      </c>
      <c r="E6928">
        <v>0</v>
      </c>
      <c r="F6928">
        <v>8243</v>
      </c>
      <c r="G6928">
        <f t="shared" si="108"/>
        <v>1577196012</v>
      </c>
    </row>
    <row r="6929" spans="1:7" x14ac:dyDescent="0.25">
      <c r="A6929">
        <v>1577196019</v>
      </c>
      <c r="B6929" t="s">
        <v>29191</v>
      </c>
      <c r="C6929">
        <v>0</v>
      </c>
      <c r="D6929">
        <v>1</v>
      </c>
      <c r="E6929">
        <v>147</v>
      </c>
      <c r="F6929">
        <v>5727</v>
      </c>
      <c r="G6929">
        <f t="shared" si="108"/>
        <v>1577196019</v>
      </c>
    </row>
    <row r="6930" spans="1:7" x14ac:dyDescent="0.25">
      <c r="A6930">
        <v>1577196020</v>
      </c>
      <c r="B6930" t="s">
        <v>29192</v>
      </c>
      <c r="C6930">
        <v>1</v>
      </c>
      <c r="D6930">
        <v>1</v>
      </c>
      <c r="E6930">
        <v>26</v>
      </c>
      <c r="F6930">
        <v>6832</v>
      </c>
      <c r="G6930">
        <f t="shared" si="108"/>
        <v>1577196020</v>
      </c>
    </row>
    <row r="6931" spans="1:7" x14ac:dyDescent="0.25">
      <c r="A6931">
        <v>1577196026</v>
      </c>
      <c r="B6931" t="s">
        <v>29193</v>
      </c>
      <c r="C6931">
        <v>0</v>
      </c>
      <c r="D6931">
        <v>0</v>
      </c>
      <c r="E6931">
        <v>0</v>
      </c>
      <c r="F6931">
        <v>8244</v>
      </c>
      <c r="G6931">
        <f t="shared" si="108"/>
        <v>1577196026</v>
      </c>
    </row>
    <row r="6932" spans="1:7" x14ac:dyDescent="0.25">
      <c r="A6932">
        <v>1577196060</v>
      </c>
      <c r="B6932" t="s">
        <v>29194</v>
      </c>
      <c r="C6932">
        <v>0</v>
      </c>
      <c r="D6932">
        <v>0</v>
      </c>
      <c r="E6932">
        <v>0</v>
      </c>
      <c r="F6932">
        <v>8245</v>
      </c>
      <c r="G6932">
        <f t="shared" si="108"/>
        <v>1577196060</v>
      </c>
    </row>
    <row r="6933" spans="1:7" x14ac:dyDescent="0.25">
      <c r="A6933">
        <v>1577196069</v>
      </c>
      <c r="B6933" t="s">
        <v>29195</v>
      </c>
      <c r="C6933">
        <v>540</v>
      </c>
      <c r="D6933">
        <v>1</v>
      </c>
      <c r="E6933">
        <v>287</v>
      </c>
      <c r="F6933">
        <v>5158</v>
      </c>
      <c r="G6933">
        <f t="shared" si="108"/>
        <v>1577196069</v>
      </c>
    </row>
    <row r="6934" spans="1:7" x14ac:dyDescent="0.25">
      <c r="A6934">
        <v>1577196099</v>
      </c>
      <c r="B6934" t="s">
        <v>29196</v>
      </c>
      <c r="C6934">
        <v>0</v>
      </c>
      <c r="D6934">
        <v>0</v>
      </c>
      <c r="E6934">
        <v>0</v>
      </c>
      <c r="F6934">
        <v>8246</v>
      </c>
      <c r="G6934">
        <f t="shared" si="108"/>
        <v>1577196099</v>
      </c>
    </row>
    <row r="6935" spans="1:7" x14ac:dyDescent="0.25">
      <c r="A6935">
        <v>1577196106</v>
      </c>
      <c r="B6935" t="s">
        <v>29197</v>
      </c>
      <c r="C6935">
        <v>0</v>
      </c>
      <c r="D6935">
        <v>1</v>
      </c>
      <c r="E6935">
        <v>26</v>
      </c>
      <c r="F6935">
        <v>6833</v>
      </c>
      <c r="G6935">
        <f t="shared" si="108"/>
        <v>1577196106</v>
      </c>
    </row>
    <row r="6936" spans="1:7" x14ac:dyDescent="0.25">
      <c r="A6936">
        <v>1577196109</v>
      </c>
      <c r="B6936" t="s">
        <v>29198</v>
      </c>
      <c r="C6936">
        <v>1758</v>
      </c>
      <c r="D6936">
        <v>1</v>
      </c>
      <c r="E6936">
        <v>6971</v>
      </c>
      <c r="F6936">
        <v>2065</v>
      </c>
      <c r="G6936">
        <f t="shared" si="108"/>
        <v>1577196109</v>
      </c>
    </row>
    <row r="6937" spans="1:7" x14ac:dyDescent="0.25">
      <c r="A6937">
        <v>1577196112</v>
      </c>
      <c r="B6937" t="s">
        <v>29199</v>
      </c>
      <c r="C6937">
        <v>1758</v>
      </c>
      <c r="D6937">
        <v>3</v>
      </c>
      <c r="E6937">
        <v>15237</v>
      </c>
      <c r="F6937">
        <v>967</v>
      </c>
      <c r="G6937">
        <f t="shared" si="108"/>
        <v>1577196112</v>
      </c>
    </row>
    <row r="6938" spans="1:7" x14ac:dyDescent="0.25">
      <c r="A6938">
        <v>1577196116</v>
      </c>
      <c r="B6938" t="s">
        <v>29200</v>
      </c>
      <c r="C6938">
        <v>196</v>
      </c>
      <c r="D6938">
        <v>6</v>
      </c>
      <c r="E6938">
        <v>33726</v>
      </c>
      <c r="F6938">
        <v>167</v>
      </c>
      <c r="G6938">
        <f t="shared" si="108"/>
        <v>1577196116</v>
      </c>
    </row>
    <row r="6939" spans="1:7" x14ac:dyDescent="0.25">
      <c r="A6939">
        <v>1577196134</v>
      </c>
      <c r="B6939" t="s">
        <v>37353</v>
      </c>
      <c r="C6939">
        <v>96</v>
      </c>
      <c r="D6939">
        <v>5</v>
      </c>
      <c r="E6939">
        <v>27600</v>
      </c>
      <c r="F6939">
        <v>310</v>
      </c>
      <c r="G6939">
        <f t="shared" si="108"/>
        <v>1577196134</v>
      </c>
    </row>
    <row r="6940" spans="1:7" x14ac:dyDescent="0.25">
      <c r="A6940">
        <v>1577196139</v>
      </c>
      <c r="B6940" t="s">
        <v>29201</v>
      </c>
      <c r="C6940">
        <v>1966</v>
      </c>
      <c r="D6940">
        <v>5</v>
      </c>
      <c r="E6940">
        <v>22318</v>
      </c>
      <c r="F6940">
        <v>504</v>
      </c>
      <c r="G6940">
        <f t="shared" si="108"/>
        <v>1577196139</v>
      </c>
    </row>
    <row r="6941" spans="1:7" x14ac:dyDescent="0.25">
      <c r="A6941">
        <v>1577196164</v>
      </c>
      <c r="B6941" t="s">
        <v>2821</v>
      </c>
      <c r="C6941">
        <v>1622</v>
      </c>
      <c r="D6941">
        <v>1</v>
      </c>
      <c r="E6941">
        <v>860</v>
      </c>
      <c r="F6941">
        <v>4125</v>
      </c>
      <c r="G6941">
        <f t="shared" si="108"/>
        <v>1577196164</v>
      </c>
    </row>
    <row r="6942" spans="1:7" x14ac:dyDescent="0.25">
      <c r="A6942">
        <v>1577196171</v>
      </c>
      <c r="B6942" t="s">
        <v>29202</v>
      </c>
      <c r="C6942">
        <v>0</v>
      </c>
      <c r="D6942">
        <v>0</v>
      </c>
      <c r="E6942">
        <v>0</v>
      </c>
      <c r="F6942">
        <v>8247</v>
      </c>
      <c r="G6942">
        <f t="shared" si="108"/>
        <v>1577196171</v>
      </c>
    </row>
    <row r="6943" spans="1:7" x14ac:dyDescent="0.25">
      <c r="A6943">
        <v>1577196177</v>
      </c>
      <c r="B6943" t="s">
        <v>29203</v>
      </c>
      <c r="C6943">
        <v>1373</v>
      </c>
      <c r="D6943">
        <v>2</v>
      </c>
      <c r="E6943">
        <v>4657</v>
      </c>
      <c r="F6943">
        <v>2587</v>
      </c>
      <c r="G6943">
        <f t="shared" si="108"/>
        <v>1577196177</v>
      </c>
    </row>
    <row r="6944" spans="1:7" x14ac:dyDescent="0.25">
      <c r="A6944">
        <v>1577196187</v>
      </c>
      <c r="B6944" t="s">
        <v>29204</v>
      </c>
      <c r="C6944">
        <v>1966</v>
      </c>
      <c r="D6944">
        <v>1</v>
      </c>
      <c r="E6944">
        <v>4046</v>
      </c>
      <c r="F6944">
        <v>2766</v>
      </c>
      <c r="G6944">
        <f t="shared" si="108"/>
        <v>1577196187</v>
      </c>
    </row>
    <row r="6945" spans="1:7" x14ac:dyDescent="0.25">
      <c r="A6945">
        <v>1577196208</v>
      </c>
      <c r="B6945" t="s">
        <v>29205</v>
      </c>
      <c r="C6945">
        <v>887</v>
      </c>
      <c r="D6945">
        <v>1</v>
      </c>
      <c r="E6945">
        <v>2051</v>
      </c>
      <c r="F6945">
        <v>3321</v>
      </c>
      <c r="G6945">
        <f t="shared" si="108"/>
        <v>1577196208</v>
      </c>
    </row>
    <row r="6946" spans="1:7" x14ac:dyDescent="0.25">
      <c r="A6946">
        <v>1577196211</v>
      </c>
      <c r="B6946" t="s">
        <v>811</v>
      </c>
      <c r="C6946">
        <v>0</v>
      </c>
      <c r="D6946">
        <v>1</v>
      </c>
      <c r="E6946">
        <v>26</v>
      </c>
      <c r="F6946">
        <v>6834</v>
      </c>
      <c r="G6946">
        <f t="shared" si="108"/>
        <v>1577196211</v>
      </c>
    </row>
    <row r="6947" spans="1:7" x14ac:dyDescent="0.25">
      <c r="A6947">
        <v>1577196227</v>
      </c>
      <c r="B6947" t="s">
        <v>29206</v>
      </c>
      <c r="C6947">
        <v>131</v>
      </c>
      <c r="D6947">
        <v>3</v>
      </c>
      <c r="E6947">
        <v>11027</v>
      </c>
      <c r="F6947">
        <v>1412</v>
      </c>
      <c r="G6947">
        <f t="shared" si="108"/>
        <v>1577196227</v>
      </c>
    </row>
    <row r="6948" spans="1:7" x14ac:dyDescent="0.25">
      <c r="A6948">
        <v>1577196233</v>
      </c>
      <c r="B6948" t="s">
        <v>29207</v>
      </c>
      <c r="C6948">
        <v>494</v>
      </c>
      <c r="D6948">
        <v>4</v>
      </c>
      <c r="E6948">
        <v>18344</v>
      </c>
      <c r="F6948">
        <v>736</v>
      </c>
      <c r="G6948">
        <f t="shared" si="108"/>
        <v>1577196233</v>
      </c>
    </row>
    <row r="6949" spans="1:7" x14ac:dyDescent="0.25">
      <c r="A6949">
        <v>1577196253</v>
      </c>
      <c r="B6949" t="s">
        <v>994</v>
      </c>
      <c r="C6949">
        <v>31</v>
      </c>
      <c r="D6949">
        <v>7</v>
      </c>
      <c r="E6949">
        <v>44188</v>
      </c>
      <c r="F6949">
        <v>67</v>
      </c>
      <c r="G6949">
        <f t="shared" si="108"/>
        <v>1577196253</v>
      </c>
    </row>
    <row r="6950" spans="1:7" x14ac:dyDescent="0.25">
      <c r="A6950">
        <v>1577196257</v>
      </c>
      <c r="B6950" t="s">
        <v>37354</v>
      </c>
      <c r="C6950">
        <v>121</v>
      </c>
      <c r="D6950">
        <v>1</v>
      </c>
      <c r="E6950">
        <v>1771</v>
      </c>
      <c r="F6950">
        <v>3463</v>
      </c>
      <c r="G6950">
        <f t="shared" si="108"/>
        <v>1577196257</v>
      </c>
    </row>
    <row r="6951" spans="1:7" x14ac:dyDescent="0.25">
      <c r="A6951">
        <v>1577196267</v>
      </c>
      <c r="B6951" t="s">
        <v>29208</v>
      </c>
      <c r="C6951">
        <v>0</v>
      </c>
      <c r="D6951">
        <v>1</v>
      </c>
      <c r="E6951">
        <v>153</v>
      </c>
      <c r="F6951">
        <v>5689</v>
      </c>
      <c r="G6951">
        <f t="shared" si="108"/>
        <v>1577196267</v>
      </c>
    </row>
    <row r="6952" spans="1:7" x14ac:dyDescent="0.25">
      <c r="A6952">
        <v>1577196268</v>
      </c>
      <c r="B6952" t="s">
        <v>36816</v>
      </c>
      <c r="C6952">
        <v>0</v>
      </c>
      <c r="D6952">
        <v>0</v>
      </c>
      <c r="E6952">
        <v>0</v>
      </c>
      <c r="F6952">
        <v>8248</v>
      </c>
      <c r="G6952">
        <f t="shared" si="108"/>
        <v>1577196268</v>
      </c>
    </row>
    <row r="6953" spans="1:7" x14ac:dyDescent="0.25">
      <c r="A6953">
        <v>1577196269</v>
      </c>
      <c r="B6953" t="s">
        <v>29209</v>
      </c>
      <c r="C6953">
        <v>0</v>
      </c>
      <c r="D6953">
        <v>1</v>
      </c>
      <c r="E6953">
        <v>71</v>
      </c>
      <c r="F6953">
        <v>6059</v>
      </c>
      <c r="G6953">
        <f t="shared" si="108"/>
        <v>1577196269</v>
      </c>
    </row>
    <row r="6954" spans="1:7" x14ac:dyDescent="0.25">
      <c r="A6954">
        <v>1577196272</v>
      </c>
      <c r="B6954" t="s">
        <v>36817</v>
      </c>
      <c r="C6954">
        <v>0</v>
      </c>
      <c r="D6954">
        <v>0</v>
      </c>
      <c r="E6954">
        <v>0</v>
      </c>
      <c r="F6954">
        <v>8249</v>
      </c>
      <c r="G6954">
        <f t="shared" si="108"/>
        <v>1577196272</v>
      </c>
    </row>
    <row r="6955" spans="1:7" x14ac:dyDescent="0.25">
      <c r="A6955">
        <v>1577196273</v>
      </c>
      <c r="B6955" t="s">
        <v>29210</v>
      </c>
      <c r="C6955">
        <v>0</v>
      </c>
      <c r="D6955">
        <v>1</v>
      </c>
      <c r="E6955">
        <v>26</v>
      </c>
      <c r="F6955">
        <v>6835</v>
      </c>
      <c r="G6955">
        <f t="shared" si="108"/>
        <v>1577196273</v>
      </c>
    </row>
    <row r="6956" spans="1:7" x14ac:dyDescent="0.25">
      <c r="A6956">
        <v>1577196280</v>
      </c>
      <c r="B6956" t="s">
        <v>36818</v>
      </c>
      <c r="C6956">
        <v>733</v>
      </c>
      <c r="D6956">
        <v>6</v>
      </c>
      <c r="E6956">
        <v>28240</v>
      </c>
      <c r="F6956">
        <v>289</v>
      </c>
      <c r="G6956">
        <f t="shared" si="108"/>
        <v>1577196280</v>
      </c>
    </row>
    <row r="6957" spans="1:7" x14ac:dyDescent="0.25">
      <c r="A6957">
        <v>1577196283</v>
      </c>
      <c r="B6957" t="s">
        <v>29211</v>
      </c>
      <c r="C6957">
        <v>20</v>
      </c>
      <c r="D6957">
        <v>6</v>
      </c>
      <c r="E6957">
        <v>39185</v>
      </c>
      <c r="F6957">
        <v>95</v>
      </c>
      <c r="G6957">
        <f t="shared" si="108"/>
        <v>1577196283</v>
      </c>
    </row>
    <row r="6958" spans="1:7" x14ac:dyDescent="0.25">
      <c r="A6958">
        <v>1577196286</v>
      </c>
      <c r="B6958" t="s">
        <v>29212</v>
      </c>
      <c r="C6958">
        <v>537</v>
      </c>
      <c r="D6958">
        <v>2</v>
      </c>
      <c r="E6958">
        <v>5521</v>
      </c>
      <c r="F6958">
        <v>2398</v>
      </c>
      <c r="G6958">
        <f t="shared" si="108"/>
        <v>1577196286</v>
      </c>
    </row>
    <row r="6959" spans="1:7" x14ac:dyDescent="0.25">
      <c r="A6959">
        <v>1577196332</v>
      </c>
      <c r="B6959" t="s">
        <v>36819</v>
      </c>
      <c r="C6959">
        <v>333</v>
      </c>
      <c r="D6959">
        <v>4</v>
      </c>
      <c r="E6959">
        <v>12219</v>
      </c>
      <c r="F6959">
        <v>1262</v>
      </c>
      <c r="G6959">
        <f t="shared" si="108"/>
        <v>1577196332</v>
      </c>
    </row>
    <row r="6960" spans="1:7" x14ac:dyDescent="0.25">
      <c r="A6960">
        <v>1577196335</v>
      </c>
      <c r="B6960" t="s">
        <v>29213</v>
      </c>
      <c r="C6960">
        <v>825</v>
      </c>
      <c r="D6960">
        <v>1</v>
      </c>
      <c r="E6960">
        <v>26</v>
      </c>
      <c r="F6960">
        <v>6836</v>
      </c>
      <c r="G6960">
        <f t="shared" si="108"/>
        <v>1577196335</v>
      </c>
    </row>
    <row r="6961" spans="1:7" x14ac:dyDescent="0.25">
      <c r="A6961">
        <v>1577196336</v>
      </c>
      <c r="B6961" t="s">
        <v>1969</v>
      </c>
      <c r="C6961">
        <v>825</v>
      </c>
      <c r="D6961">
        <v>1</v>
      </c>
      <c r="E6961">
        <v>273</v>
      </c>
      <c r="F6961">
        <v>5211</v>
      </c>
      <c r="G6961">
        <f t="shared" si="108"/>
        <v>1577196336</v>
      </c>
    </row>
    <row r="6962" spans="1:7" x14ac:dyDescent="0.25">
      <c r="A6962">
        <v>1577196341</v>
      </c>
      <c r="B6962" t="s">
        <v>29214</v>
      </c>
      <c r="C6962">
        <v>1628</v>
      </c>
      <c r="D6962">
        <v>0</v>
      </c>
      <c r="E6962">
        <v>0</v>
      </c>
      <c r="F6962">
        <v>8250</v>
      </c>
      <c r="G6962">
        <f t="shared" si="108"/>
        <v>1577196341</v>
      </c>
    </row>
    <row r="6963" spans="1:7" x14ac:dyDescent="0.25">
      <c r="A6963">
        <v>1577196346</v>
      </c>
      <c r="B6963" t="s">
        <v>36820</v>
      </c>
      <c r="C6963">
        <v>0</v>
      </c>
      <c r="D6963">
        <v>2</v>
      </c>
      <c r="E6963">
        <v>3594</v>
      </c>
      <c r="F6963">
        <v>2854</v>
      </c>
      <c r="G6963">
        <f t="shared" si="108"/>
        <v>1577196346</v>
      </c>
    </row>
    <row r="6964" spans="1:7" x14ac:dyDescent="0.25">
      <c r="A6964">
        <v>1577196348</v>
      </c>
      <c r="B6964" t="s">
        <v>29215</v>
      </c>
      <c r="C6964">
        <v>1057</v>
      </c>
      <c r="D6964">
        <v>0</v>
      </c>
      <c r="E6964">
        <v>0</v>
      </c>
      <c r="F6964">
        <v>8251</v>
      </c>
      <c r="G6964">
        <f t="shared" si="108"/>
        <v>1577196348</v>
      </c>
    </row>
    <row r="6965" spans="1:7" x14ac:dyDescent="0.25">
      <c r="A6965">
        <v>1577196350</v>
      </c>
      <c r="B6965" t="s">
        <v>37075</v>
      </c>
      <c r="C6965">
        <v>0</v>
      </c>
      <c r="D6965">
        <v>1</v>
      </c>
      <c r="E6965">
        <v>262</v>
      </c>
      <c r="F6965">
        <v>5254</v>
      </c>
      <c r="G6965">
        <f t="shared" si="108"/>
        <v>1577196350</v>
      </c>
    </row>
    <row r="6966" spans="1:7" x14ac:dyDescent="0.25">
      <c r="A6966">
        <v>1577196353</v>
      </c>
      <c r="B6966" t="s">
        <v>36821</v>
      </c>
      <c r="C6966">
        <v>1880</v>
      </c>
      <c r="D6966">
        <v>1</v>
      </c>
      <c r="E6966">
        <v>319</v>
      </c>
      <c r="F6966">
        <v>5085</v>
      </c>
      <c r="G6966">
        <f t="shared" si="108"/>
        <v>1577196353</v>
      </c>
    </row>
    <row r="6967" spans="1:7" x14ac:dyDescent="0.25">
      <c r="A6967">
        <v>1577196362</v>
      </c>
      <c r="B6967" t="s">
        <v>29216</v>
      </c>
      <c r="C6967">
        <v>1373</v>
      </c>
      <c r="D6967">
        <v>3</v>
      </c>
      <c r="E6967">
        <v>9963</v>
      </c>
      <c r="F6967">
        <v>1568</v>
      </c>
      <c r="G6967">
        <f t="shared" si="108"/>
        <v>1577196362</v>
      </c>
    </row>
    <row r="6968" spans="1:7" x14ac:dyDescent="0.25">
      <c r="A6968">
        <v>1577196364</v>
      </c>
      <c r="B6968" t="s">
        <v>29217</v>
      </c>
      <c r="C6968">
        <v>0</v>
      </c>
      <c r="D6968">
        <v>1</v>
      </c>
      <c r="E6968">
        <v>26</v>
      </c>
      <c r="F6968">
        <v>6837</v>
      </c>
      <c r="G6968">
        <f t="shared" si="108"/>
        <v>1577196364</v>
      </c>
    </row>
    <row r="6969" spans="1:7" x14ac:dyDescent="0.25">
      <c r="A6969">
        <v>1577196369</v>
      </c>
      <c r="B6969" t="s">
        <v>29218</v>
      </c>
      <c r="C6969">
        <v>314</v>
      </c>
      <c r="D6969">
        <v>0</v>
      </c>
      <c r="E6969">
        <v>0</v>
      </c>
      <c r="F6969">
        <v>8252</v>
      </c>
      <c r="G6969">
        <f t="shared" si="108"/>
        <v>1577196369</v>
      </c>
    </row>
    <row r="6970" spans="1:7" x14ac:dyDescent="0.25">
      <c r="A6970">
        <v>1577196376</v>
      </c>
      <c r="B6970" t="s">
        <v>29219</v>
      </c>
      <c r="C6970">
        <v>126</v>
      </c>
      <c r="D6970">
        <v>5</v>
      </c>
      <c r="E6970">
        <v>24804</v>
      </c>
      <c r="F6970">
        <v>403</v>
      </c>
      <c r="G6970">
        <f t="shared" si="108"/>
        <v>1577196376</v>
      </c>
    </row>
    <row r="6971" spans="1:7" x14ac:dyDescent="0.25">
      <c r="A6971">
        <v>1577196386</v>
      </c>
      <c r="B6971" t="s">
        <v>29220</v>
      </c>
      <c r="C6971">
        <v>429</v>
      </c>
      <c r="D6971">
        <v>2</v>
      </c>
      <c r="E6971">
        <v>9453</v>
      </c>
      <c r="F6971">
        <v>1642</v>
      </c>
      <c r="G6971">
        <f t="shared" si="108"/>
        <v>1577196386</v>
      </c>
    </row>
    <row r="6972" spans="1:7" x14ac:dyDescent="0.25">
      <c r="A6972">
        <v>1577196395</v>
      </c>
      <c r="B6972" t="s">
        <v>29221</v>
      </c>
      <c r="C6972">
        <v>55</v>
      </c>
      <c r="D6972">
        <v>1</v>
      </c>
      <c r="E6972">
        <v>852</v>
      </c>
      <c r="F6972">
        <v>4130</v>
      </c>
      <c r="G6972">
        <f t="shared" si="108"/>
        <v>1577196395</v>
      </c>
    </row>
    <row r="6973" spans="1:7" x14ac:dyDescent="0.25">
      <c r="A6973">
        <v>1577196396</v>
      </c>
      <c r="B6973" t="s">
        <v>29222</v>
      </c>
      <c r="C6973">
        <v>541</v>
      </c>
      <c r="D6973">
        <v>3</v>
      </c>
      <c r="E6973">
        <v>19421</v>
      </c>
      <c r="F6973">
        <v>662</v>
      </c>
      <c r="G6973">
        <f t="shared" si="108"/>
        <v>1577196396</v>
      </c>
    </row>
    <row r="6974" spans="1:7" x14ac:dyDescent="0.25">
      <c r="A6974">
        <v>1577196398</v>
      </c>
      <c r="B6974" t="s">
        <v>29223</v>
      </c>
      <c r="C6974">
        <v>0</v>
      </c>
      <c r="D6974">
        <v>1</v>
      </c>
      <c r="E6974">
        <v>26</v>
      </c>
      <c r="F6974">
        <v>6838</v>
      </c>
      <c r="G6974">
        <f t="shared" si="108"/>
        <v>1577196398</v>
      </c>
    </row>
    <row r="6975" spans="1:7" x14ac:dyDescent="0.25">
      <c r="A6975">
        <v>1577196399</v>
      </c>
      <c r="B6975" t="s">
        <v>29224</v>
      </c>
      <c r="C6975">
        <v>467</v>
      </c>
      <c r="D6975">
        <v>3</v>
      </c>
      <c r="E6975">
        <v>10640</v>
      </c>
      <c r="F6975">
        <v>1478</v>
      </c>
      <c r="G6975">
        <f t="shared" si="108"/>
        <v>1577196399</v>
      </c>
    </row>
    <row r="6976" spans="1:7" x14ac:dyDescent="0.25">
      <c r="A6976">
        <v>1577196405</v>
      </c>
      <c r="B6976" t="s">
        <v>29225</v>
      </c>
      <c r="C6976">
        <v>96</v>
      </c>
      <c r="D6976">
        <v>1</v>
      </c>
      <c r="E6976">
        <v>5533</v>
      </c>
      <c r="F6976">
        <v>2395</v>
      </c>
      <c r="G6976">
        <f t="shared" si="108"/>
        <v>1577196405</v>
      </c>
    </row>
    <row r="6977" spans="1:7" x14ac:dyDescent="0.25">
      <c r="A6977">
        <v>1577196410</v>
      </c>
      <c r="B6977" t="s">
        <v>29226</v>
      </c>
      <c r="C6977">
        <v>0</v>
      </c>
      <c r="D6977">
        <v>0</v>
      </c>
      <c r="E6977">
        <v>0</v>
      </c>
      <c r="F6977">
        <v>8253</v>
      </c>
      <c r="G6977">
        <f t="shared" ref="G6977:G7040" si="109">A6977</f>
        <v>1577196410</v>
      </c>
    </row>
    <row r="6978" spans="1:7" x14ac:dyDescent="0.25">
      <c r="A6978">
        <v>1577196414</v>
      </c>
      <c r="B6978" t="s">
        <v>29227</v>
      </c>
      <c r="C6978">
        <v>0</v>
      </c>
      <c r="D6978">
        <v>0</v>
      </c>
      <c r="E6978">
        <v>0</v>
      </c>
      <c r="F6978">
        <v>8254</v>
      </c>
      <c r="G6978">
        <f t="shared" si="109"/>
        <v>1577196414</v>
      </c>
    </row>
    <row r="6979" spans="1:7" x14ac:dyDescent="0.25">
      <c r="A6979">
        <v>1577196424</v>
      </c>
      <c r="B6979" t="s">
        <v>36822</v>
      </c>
      <c r="C6979">
        <v>0</v>
      </c>
      <c r="D6979">
        <v>1</v>
      </c>
      <c r="E6979">
        <v>674</v>
      </c>
      <c r="F6979">
        <v>4377</v>
      </c>
      <c r="G6979">
        <f t="shared" si="109"/>
        <v>1577196424</v>
      </c>
    </row>
    <row r="6980" spans="1:7" x14ac:dyDescent="0.25">
      <c r="A6980">
        <v>1577196431</v>
      </c>
      <c r="B6980" t="s">
        <v>29228</v>
      </c>
      <c r="C6980">
        <v>0</v>
      </c>
      <c r="D6980">
        <v>0</v>
      </c>
      <c r="E6980">
        <v>0</v>
      </c>
      <c r="F6980">
        <v>8255</v>
      </c>
      <c r="G6980">
        <f t="shared" si="109"/>
        <v>1577196431</v>
      </c>
    </row>
    <row r="6981" spans="1:7" x14ac:dyDescent="0.25">
      <c r="A6981">
        <v>1577196432</v>
      </c>
      <c r="B6981" t="s">
        <v>1088</v>
      </c>
      <c r="C6981">
        <v>124</v>
      </c>
      <c r="D6981">
        <v>3</v>
      </c>
      <c r="E6981">
        <v>7905</v>
      </c>
      <c r="F6981">
        <v>1902</v>
      </c>
      <c r="G6981">
        <f t="shared" si="109"/>
        <v>1577196432</v>
      </c>
    </row>
    <row r="6982" spans="1:7" x14ac:dyDescent="0.25">
      <c r="A6982">
        <v>1577196461</v>
      </c>
      <c r="B6982" t="s">
        <v>36823</v>
      </c>
      <c r="C6982">
        <v>196</v>
      </c>
      <c r="D6982">
        <v>1</v>
      </c>
      <c r="E6982">
        <v>4792</v>
      </c>
      <c r="F6982">
        <v>2557</v>
      </c>
      <c r="G6982">
        <f t="shared" si="109"/>
        <v>1577196461</v>
      </c>
    </row>
    <row r="6983" spans="1:7" x14ac:dyDescent="0.25">
      <c r="A6983">
        <v>1577196464</v>
      </c>
      <c r="B6983" t="s">
        <v>29229</v>
      </c>
      <c r="C6983">
        <v>0</v>
      </c>
      <c r="D6983">
        <v>1</v>
      </c>
      <c r="E6983">
        <v>325</v>
      </c>
      <c r="F6983">
        <v>5053</v>
      </c>
      <c r="G6983">
        <f t="shared" si="109"/>
        <v>1577196464</v>
      </c>
    </row>
    <row r="6984" spans="1:7" x14ac:dyDescent="0.25">
      <c r="A6984">
        <v>1577196485</v>
      </c>
      <c r="B6984" t="s">
        <v>29230</v>
      </c>
      <c r="C6984">
        <v>1582</v>
      </c>
      <c r="D6984">
        <v>1</v>
      </c>
      <c r="E6984">
        <v>26</v>
      </c>
      <c r="F6984">
        <v>6839</v>
      </c>
      <c r="G6984">
        <f t="shared" si="109"/>
        <v>1577196485</v>
      </c>
    </row>
    <row r="6985" spans="1:7" x14ac:dyDescent="0.25">
      <c r="A6985">
        <v>1577196490</v>
      </c>
      <c r="B6985" t="s">
        <v>29231</v>
      </c>
      <c r="C6985">
        <v>1369</v>
      </c>
      <c r="D6985">
        <v>1</v>
      </c>
      <c r="E6985">
        <v>253</v>
      </c>
      <c r="F6985">
        <v>5289</v>
      </c>
      <c r="G6985">
        <f t="shared" si="109"/>
        <v>1577196490</v>
      </c>
    </row>
    <row r="6986" spans="1:7" x14ac:dyDescent="0.25">
      <c r="A6986">
        <v>1577196514</v>
      </c>
      <c r="B6986" t="s">
        <v>29232</v>
      </c>
      <c r="C6986">
        <v>20</v>
      </c>
      <c r="D6986">
        <v>5</v>
      </c>
      <c r="E6986">
        <v>25474</v>
      </c>
      <c r="F6986">
        <v>379</v>
      </c>
      <c r="G6986">
        <f t="shared" si="109"/>
        <v>1577196514</v>
      </c>
    </row>
    <row r="6987" spans="1:7" x14ac:dyDescent="0.25">
      <c r="A6987">
        <v>1577196515</v>
      </c>
      <c r="B6987" t="s">
        <v>29233</v>
      </c>
      <c r="C6987">
        <v>0</v>
      </c>
      <c r="D6987">
        <v>1</v>
      </c>
      <c r="E6987">
        <v>170</v>
      </c>
      <c r="F6987">
        <v>5617</v>
      </c>
      <c r="G6987">
        <f t="shared" si="109"/>
        <v>1577196515</v>
      </c>
    </row>
    <row r="6988" spans="1:7" x14ac:dyDescent="0.25">
      <c r="A6988">
        <v>1577196521</v>
      </c>
      <c r="B6988" t="s">
        <v>29234</v>
      </c>
      <c r="C6988">
        <v>79</v>
      </c>
      <c r="D6988">
        <v>3</v>
      </c>
      <c r="E6988">
        <v>15123</v>
      </c>
      <c r="F6988">
        <v>985</v>
      </c>
      <c r="G6988">
        <f t="shared" si="109"/>
        <v>1577196521</v>
      </c>
    </row>
    <row r="6989" spans="1:7" x14ac:dyDescent="0.25">
      <c r="A6989">
        <v>1577196536</v>
      </c>
      <c r="B6989" t="s">
        <v>36824</v>
      </c>
      <c r="C6989">
        <v>6</v>
      </c>
      <c r="D6989">
        <v>6</v>
      </c>
      <c r="E6989">
        <v>32149</v>
      </c>
      <c r="F6989">
        <v>203</v>
      </c>
      <c r="G6989">
        <f t="shared" si="109"/>
        <v>1577196536</v>
      </c>
    </row>
    <row r="6990" spans="1:7" x14ac:dyDescent="0.25">
      <c r="A6990">
        <v>1577196559</v>
      </c>
      <c r="B6990" t="s">
        <v>29235</v>
      </c>
      <c r="C6990">
        <v>250</v>
      </c>
      <c r="D6990">
        <v>0</v>
      </c>
      <c r="E6990">
        <v>0</v>
      </c>
      <c r="F6990">
        <v>8256</v>
      </c>
      <c r="G6990">
        <f t="shared" si="109"/>
        <v>1577196559</v>
      </c>
    </row>
    <row r="6991" spans="1:7" x14ac:dyDescent="0.25">
      <c r="A6991">
        <v>1577196620</v>
      </c>
      <c r="B6991" t="s">
        <v>29236</v>
      </c>
      <c r="C6991">
        <v>0</v>
      </c>
      <c r="D6991">
        <v>1</v>
      </c>
      <c r="E6991">
        <v>26</v>
      </c>
      <c r="F6991">
        <v>6840</v>
      </c>
      <c r="G6991">
        <f t="shared" si="109"/>
        <v>1577196620</v>
      </c>
    </row>
    <row r="6992" spans="1:7" x14ac:dyDescent="0.25">
      <c r="A6992">
        <v>1577196624</v>
      </c>
      <c r="B6992" t="s">
        <v>29237</v>
      </c>
      <c r="C6992">
        <v>0</v>
      </c>
      <c r="D6992">
        <v>0</v>
      </c>
      <c r="E6992">
        <v>0</v>
      </c>
      <c r="F6992">
        <v>8257</v>
      </c>
      <c r="G6992">
        <f t="shared" si="109"/>
        <v>1577196624</v>
      </c>
    </row>
    <row r="6993" spans="1:7" x14ac:dyDescent="0.25">
      <c r="A6993">
        <v>1577196628</v>
      </c>
      <c r="B6993" t="s">
        <v>29238</v>
      </c>
      <c r="C6993">
        <v>0</v>
      </c>
      <c r="D6993">
        <v>1</v>
      </c>
      <c r="E6993">
        <v>970</v>
      </c>
      <c r="F6993">
        <v>4019</v>
      </c>
      <c r="G6993">
        <f t="shared" si="109"/>
        <v>1577196628</v>
      </c>
    </row>
    <row r="6994" spans="1:7" x14ac:dyDescent="0.25">
      <c r="A6994">
        <v>1577196630</v>
      </c>
      <c r="B6994" t="s">
        <v>29239</v>
      </c>
      <c r="C6994">
        <v>0</v>
      </c>
      <c r="D6994">
        <v>1</v>
      </c>
      <c r="E6994">
        <v>184</v>
      </c>
      <c r="F6994">
        <v>5610</v>
      </c>
      <c r="G6994">
        <f t="shared" si="109"/>
        <v>1577196630</v>
      </c>
    </row>
    <row r="6995" spans="1:7" x14ac:dyDescent="0.25">
      <c r="A6995">
        <v>1577196639</v>
      </c>
      <c r="B6995" t="s">
        <v>29240</v>
      </c>
      <c r="C6995">
        <v>0</v>
      </c>
      <c r="D6995">
        <v>0</v>
      </c>
      <c r="E6995">
        <v>0</v>
      </c>
      <c r="F6995">
        <v>8258</v>
      </c>
      <c r="G6995">
        <f t="shared" si="109"/>
        <v>1577196639</v>
      </c>
    </row>
    <row r="6996" spans="1:7" x14ac:dyDescent="0.25">
      <c r="A6996">
        <v>1577196659</v>
      </c>
      <c r="B6996" t="s">
        <v>29241</v>
      </c>
      <c r="C6996">
        <v>617</v>
      </c>
      <c r="D6996">
        <v>2</v>
      </c>
      <c r="E6996">
        <v>7409</v>
      </c>
      <c r="F6996">
        <v>1998</v>
      </c>
      <c r="G6996">
        <f t="shared" si="109"/>
        <v>1577196659</v>
      </c>
    </row>
    <row r="6997" spans="1:7" x14ac:dyDescent="0.25">
      <c r="A6997">
        <v>1577196667</v>
      </c>
      <c r="B6997" t="s">
        <v>29242</v>
      </c>
      <c r="C6997">
        <v>0</v>
      </c>
      <c r="D6997">
        <v>1</v>
      </c>
      <c r="E6997">
        <v>98</v>
      </c>
      <c r="F6997">
        <v>5859</v>
      </c>
      <c r="G6997">
        <f t="shared" si="109"/>
        <v>1577196667</v>
      </c>
    </row>
    <row r="6998" spans="1:7" x14ac:dyDescent="0.25">
      <c r="A6998">
        <v>1577196673</v>
      </c>
      <c r="B6998" t="s">
        <v>29243</v>
      </c>
      <c r="C6998">
        <v>0</v>
      </c>
      <c r="D6998">
        <v>0</v>
      </c>
      <c r="E6998">
        <v>0</v>
      </c>
      <c r="F6998">
        <v>8259</v>
      </c>
      <c r="G6998">
        <f t="shared" si="109"/>
        <v>1577196673</v>
      </c>
    </row>
    <row r="6999" spans="1:7" x14ac:dyDescent="0.25">
      <c r="A6999">
        <v>1577196682</v>
      </c>
      <c r="B6999" t="s">
        <v>29244</v>
      </c>
      <c r="C6999">
        <v>126</v>
      </c>
      <c r="D6999">
        <v>5</v>
      </c>
      <c r="E6999">
        <v>24922</v>
      </c>
      <c r="F6999">
        <v>396</v>
      </c>
      <c r="G6999">
        <f t="shared" si="109"/>
        <v>1577196682</v>
      </c>
    </row>
    <row r="7000" spans="1:7" x14ac:dyDescent="0.25">
      <c r="A7000">
        <v>1577196687</v>
      </c>
      <c r="B7000" t="s">
        <v>29245</v>
      </c>
      <c r="C7000">
        <v>0</v>
      </c>
      <c r="D7000">
        <v>1</v>
      </c>
      <c r="E7000">
        <v>1116</v>
      </c>
      <c r="F7000">
        <v>3858</v>
      </c>
      <c r="G7000">
        <f t="shared" si="109"/>
        <v>1577196687</v>
      </c>
    </row>
    <row r="7001" spans="1:7" x14ac:dyDescent="0.25">
      <c r="A7001">
        <v>1577196691</v>
      </c>
      <c r="B7001" t="s">
        <v>29246</v>
      </c>
      <c r="C7001">
        <v>0</v>
      </c>
      <c r="D7001">
        <v>1</v>
      </c>
      <c r="E7001">
        <v>229</v>
      </c>
      <c r="F7001">
        <v>5393</v>
      </c>
      <c r="G7001">
        <f t="shared" si="109"/>
        <v>1577196691</v>
      </c>
    </row>
    <row r="7002" spans="1:7" x14ac:dyDescent="0.25">
      <c r="A7002">
        <v>1577196710</v>
      </c>
      <c r="B7002" t="s">
        <v>29247</v>
      </c>
      <c r="C7002">
        <v>0</v>
      </c>
      <c r="D7002">
        <v>1</v>
      </c>
      <c r="E7002">
        <v>321</v>
      </c>
      <c r="F7002">
        <v>5065</v>
      </c>
      <c r="G7002">
        <f t="shared" si="109"/>
        <v>1577196710</v>
      </c>
    </row>
    <row r="7003" spans="1:7" x14ac:dyDescent="0.25">
      <c r="A7003">
        <v>1577196719</v>
      </c>
      <c r="B7003" t="s">
        <v>29248</v>
      </c>
      <c r="C7003">
        <v>0</v>
      </c>
      <c r="D7003">
        <v>1</v>
      </c>
      <c r="E7003">
        <v>26</v>
      </c>
      <c r="F7003">
        <v>6841</v>
      </c>
      <c r="G7003">
        <f t="shared" si="109"/>
        <v>1577196719</v>
      </c>
    </row>
    <row r="7004" spans="1:7" x14ac:dyDescent="0.25">
      <c r="A7004">
        <v>1577196724</v>
      </c>
      <c r="B7004" t="s">
        <v>29249</v>
      </c>
      <c r="C7004">
        <v>541</v>
      </c>
      <c r="D7004">
        <v>2</v>
      </c>
      <c r="E7004">
        <v>11425</v>
      </c>
      <c r="F7004">
        <v>1357</v>
      </c>
      <c r="G7004">
        <f t="shared" si="109"/>
        <v>1577196724</v>
      </c>
    </row>
    <row r="7005" spans="1:7" x14ac:dyDescent="0.25">
      <c r="A7005">
        <v>1577196742</v>
      </c>
      <c r="B7005" t="s">
        <v>29250</v>
      </c>
      <c r="C7005">
        <v>94</v>
      </c>
      <c r="D7005">
        <v>3</v>
      </c>
      <c r="E7005">
        <v>8974</v>
      </c>
      <c r="F7005">
        <v>1722</v>
      </c>
      <c r="G7005">
        <f t="shared" si="109"/>
        <v>1577196742</v>
      </c>
    </row>
    <row r="7006" spans="1:7" x14ac:dyDescent="0.25">
      <c r="A7006">
        <v>1577196743</v>
      </c>
      <c r="B7006" t="s">
        <v>29251</v>
      </c>
      <c r="C7006">
        <v>367</v>
      </c>
      <c r="D7006">
        <v>7</v>
      </c>
      <c r="E7006">
        <v>29125</v>
      </c>
      <c r="F7006">
        <v>265</v>
      </c>
      <c r="G7006">
        <f t="shared" si="109"/>
        <v>1577196743</v>
      </c>
    </row>
    <row r="7007" spans="1:7" x14ac:dyDescent="0.25">
      <c r="A7007">
        <v>1577196748</v>
      </c>
      <c r="B7007" t="s">
        <v>29252</v>
      </c>
      <c r="C7007">
        <v>0</v>
      </c>
      <c r="D7007">
        <v>1</v>
      </c>
      <c r="E7007">
        <v>247</v>
      </c>
      <c r="F7007">
        <v>5322</v>
      </c>
      <c r="G7007">
        <f t="shared" si="109"/>
        <v>1577196748</v>
      </c>
    </row>
    <row r="7008" spans="1:7" x14ac:dyDescent="0.25">
      <c r="A7008">
        <v>1577196756</v>
      </c>
      <c r="B7008" t="s">
        <v>29253</v>
      </c>
      <c r="C7008">
        <v>0</v>
      </c>
      <c r="D7008">
        <v>1</v>
      </c>
      <c r="E7008">
        <v>314</v>
      </c>
      <c r="F7008">
        <v>5086</v>
      </c>
      <c r="G7008">
        <f t="shared" si="109"/>
        <v>1577196756</v>
      </c>
    </row>
    <row r="7009" spans="1:7" x14ac:dyDescent="0.25">
      <c r="A7009">
        <v>1577196759</v>
      </c>
      <c r="B7009" t="s">
        <v>29254</v>
      </c>
      <c r="C7009">
        <v>0</v>
      </c>
      <c r="D7009">
        <v>0</v>
      </c>
      <c r="E7009">
        <v>0</v>
      </c>
      <c r="F7009">
        <v>8260</v>
      </c>
      <c r="G7009">
        <f t="shared" si="109"/>
        <v>1577196759</v>
      </c>
    </row>
    <row r="7010" spans="1:7" x14ac:dyDescent="0.25">
      <c r="A7010">
        <v>1577196761</v>
      </c>
      <c r="B7010" t="s">
        <v>29255</v>
      </c>
      <c r="C7010">
        <v>0</v>
      </c>
      <c r="D7010">
        <v>0</v>
      </c>
      <c r="E7010">
        <v>0</v>
      </c>
      <c r="F7010">
        <v>8261</v>
      </c>
      <c r="G7010">
        <f t="shared" si="109"/>
        <v>1577196761</v>
      </c>
    </row>
    <row r="7011" spans="1:7" x14ac:dyDescent="0.25">
      <c r="A7011">
        <v>1577196771</v>
      </c>
      <c r="B7011" t="s">
        <v>29256</v>
      </c>
      <c r="C7011">
        <v>0</v>
      </c>
      <c r="D7011">
        <v>0</v>
      </c>
      <c r="E7011">
        <v>0</v>
      </c>
      <c r="F7011">
        <v>8262</v>
      </c>
      <c r="G7011">
        <f t="shared" si="109"/>
        <v>1577196771</v>
      </c>
    </row>
    <row r="7012" spans="1:7" x14ac:dyDescent="0.25">
      <c r="A7012">
        <v>1577196774</v>
      </c>
      <c r="B7012" t="s">
        <v>29257</v>
      </c>
      <c r="C7012">
        <v>0</v>
      </c>
      <c r="D7012">
        <v>1</v>
      </c>
      <c r="E7012">
        <v>83</v>
      </c>
      <c r="F7012">
        <v>5950</v>
      </c>
      <c r="G7012">
        <f t="shared" si="109"/>
        <v>1577196774</v>
      </c>
    </row>
    <row r="7013" spans="1:7" x14ac:dyDescent="0.25">
      <c r="A7013">
        <v>1577196776</v>
      </c>
      <c r="B7013" t="s">
        <v>37355</v>
      </c>
      <c r="C7013">
        <v>150</v>
      </c>
      <c r="D7013">
        <v>3</v>
      </c>
      <c r="E7013">
        <v>15215</v>
      </c>
      <c r="F7013">
        <v>971</v>
      </c>
      <c r="G7013">
        <f t="shared" si="109"/>
        <v>1577196776</v>
      </c>
    </row>
    <row r="7014" spans="1:7" x14ac:dyDescent="0.25">
      <c r="A7014">
        <v>1577196778</v>
      </c>
      <c r="B7014" t="s">
        <v>36825</v>
      </c>
      <c r="C7014">
        <v>0</v>
      </c>
      <c r="D7014">
        <v>1</v>
      </c>
      <c r="E7014">
        <v>278</v>
      </c>
      <c r="F7014">
        <v>5191</v>
      </c>
      <c r="G7014">
        <f t="shared" si="109"/>
        <v>1577196778</v>
      </c>
    </row>
    <row r="7015" spans="1:7" x14ac:dyDescent="0.25">
      <c r="A7015">
        <v>1577196792</v>
      </c>
      <c r="B7015" t="s">
        <v>29258</v>
      </c>
      <c r="C7015">
        <v>0</v>
      </c>
      <c r="D7015">
        <v>1</v>
      </c>
      <c r="E7015">
        <v>277</v>
      </c>
      <c r="F7015">
        <v>5198</v>
      </c>
      <c r="G7015">
        <f t="shared" si="109"/>
        <v>1577196792</v>
      </c>
    </row>
    <row r="7016" spans="1:7" x14ac:dyDescent="0.25">
      <c r="A7016">
        <v>1577196816</v>
      </c>
      <c r="B7016" t="s">
        <v>29259</v>
      </c>
      <c r="C7016">
        <v>419</v>
      </c>
      <c r="D7016">
        <v>4</v>
      </c>
      <c r="E7016">
        <v>14469</v>
      </c>
      <c r="F7016">
        <v>1035</v>
      </c>
      <c r="G7016">
        <f t="shared" si="109"/>
        <v>1577196816</v>
      </c>
    </row>
    <row r="7017" spans="1:7" x14ac:dyDescent="0.25">
      <c r="A7017">
        <v>1577196825</v>
      </c>
      <c r="B7017" t="s">
        <v>29260</v>
      </c>
      <c r="C7017">
        <v>431</v>
      </c>
      <c r="D7017">
        <v>1</v>
      </c>
      <c r="E7017">
        <v>476</v>
      </c>
      <c r="F7017">
        <v>4724</v>
      </c>
      <c r="G7017">
        <f t="shared" si="109"/>
        <v>1577196825</v>
      </c>
    </row>
    <row r="7018" spans="1:7" x14ac:dyDescent="0.25">
      <c r="A7018">
        <v>1577196834</v>
      </c>
      <c r="B7018" t="s">
        <v>29261</v>
      </c>
      <c r="C7018">
        <v>0</v>
      </c>
      <c r="D7018">
        <v>0</v>
      </c>
      <c r="E7018">
        <v>0</v>
      </c>
      <c r="F7018">
        <v>8263</v>
      </c>
      <c r="G7018">
        <f t="shared" si="109"/>
        <v>1577196834</v>
      </c>
    </row>
    <row r="7019" spans="1:7" x14ac:dyDescent="0.25">
      <c r="A7019">
        <v>1577196839</v>
      </c>
      <c r="B7019" t="s">
        <v>29262</v>
      </c>
      <c r="C7019">
        <v>27</v>
      </c>
      <c r="D7019">
        <v>3</v>
      </c>
      <c r="E7019">
        <v>15555</v>
      </c>
      <c r="F7019">
        <v>941</v>
      </c>
      <c r="G7019">
        <f t="shared" si="109"/>
        <v>1577196839</v>
      </c>
    </row>
    <row r="7020" spans="1:7" x14ac:dyDescent="0.25">
      <c r="A7020">
        <v>1577196842</v>
      </c>
      <c r="B7020" t="s">
        <v>29263</v>
      </c>
      <c r="C7020">
        <v>0</v>
      </c>
      <c r="D7020">
        <v>2</v>
      </c>
      <c r="E7020">
        <v>8355</v>
      </c>
      <c r="F7020">
        <v>1816</v>
      </c>
      <c r="G7020">
        <f t="shared" si="109"/>
        <v>1577196842</v>
      </c>
    </row>
    <row r="7021" spans="1:7" x14ac:dyDescent="0.25">
      <c r="A7021">
        <v>1577196855</v>
      </c>
      <c r="B7021" t="s">
        <v>29264</v>
      </c>
      <c r="C7021">
        <v>1373</v>
      </c>
      <c r="D7021">
        <v>1</v>
      </c>
      <c r="E7021">
        <v>3071</v>
      </c>
      <c r="F7021">
        <v>2977</v>
      </c>
      <c r="G7021">
        <f t="shared" si="109"/>
        <v>1577196855</v>
      </c>
    </row>
    <row r="7022" spans="1:7" x14ac:dyDescent="0.25">
      <c r="A7022">
        <v>1577196857</v>
      </c>
      <c r="B7022" t="s">
        <v>29265</v>
      </c>
      <c r="C7022">
        <v>126</v>
      </c>
      <c r="D7022">
        <v>2</v>
      </c>
      <c r="E7022">
        <v>7754</v>
      </c>
      <c r="F7022">
        <v>1931</v>
      </c>
      <c r="G7022">
        <f t="shared" si="109"/>
        <v>1577196857</v>
      </c>
    </row>
    <row r="7023" spans="1:7" x14ac:dyDescent="0.25">
      <c r="A7023">
        <v>1577196866</v>
      </c>
      <c r="B7023" t="s">
        <v>29266</v>
      </c>
      <c r="C7023">
        <v>126</v>
      </c>
      <c r="D7023">
        <v>4</v>
      </c>
      <c r="E7023">
        <v>27635</v>
      </c>
      <c r="F7023">
        <v>308</v>
      </c>
      <c r="G7023">
        <f t="shared" si="109"/>
        <v>1577196866</v>
      </c>
    </row>
    <row r="7024" spans="1:7" x14ac:dyDescent="0.25">
      <c r="A7024">
        <v>1577196870</v>
      </c>
      <c r="B7024" t="s">
        <v>37413</v>
      </c>
      <c r="C7024">
        <v>333</v>
      </c>
      <c r="D7024">
        <v>1</v>
      </c>
      <c r="E7024">
        <v>6361</v>
      </c>
      <c r="F7024">
        <v>2198</v>
      </c>
      <c r="G7024">
        <f t="shared" si="109"/>
        <v>1577196870</v>
      </c>
    </row>
    <row r="7025" spans="1:7" x14ac:dyDescent="0.25">
      <c r="A7025">
        <v>1577196872</v>
      </c>
      <c r="B7025" t="s">
        <v>1207</v>
      </c>
      <c r="C7025">
        <v>0</v>
      </c>
      <c r="D7025">
        <v>1</v>
      </c>
      <c r="E7025">
        <v>336</v>
      </c>
      <c r="F7025">
        <v>5020</v>
      </c>
      <c r="G7025">
        <f t="shared" si="109"/>
        <v>1577196872</v>
      </c>
    </row>
    <row r="7026" spans="1:7" x14ac:dyDescent="0.25">
      <c r="A7026">
        <v>1577196874</v>
      </c>
      <c r="B7026" t="s">
        <v>29267</v>
      </c>
      <c r="C7026">
        <v>0</v>
      </c>
      <c r="D7026">
        <v>1</v>
      </c>
      <c r="E7026">
        <v>6662</v>
      </c>
      <c r="F7026">
        <v>2126</v>
      </c>
      <c r="G7026">
        <f t="shared" si="109"/>
        <v>1577196874</v>
      </c>
    </row>
    <row r="7027" spans="1:7" x14ac:dyDescent="0.25">
      <c r="A7027">
        <v>1577196879</v>
      </c>
      <c r="B7027" t="s">
        <v>29268</v>
      </c>
      <c r="C7027">
        <v>1946</v>
      </c>
      <c r="D7027">
        <v>1</v>
      </c>
      <c r="E7027">
        <v>4775</v>
      </c>
      <c r="F7027">
        <v>2559</v>
      </c>
      <c r="G7027">
        <f t="shared" si="109"/>
        <v>1577196879</v>
      </c>
    </row>
    <row r="7028" spans="1:7" x14ac:dyDescent="0.25">
      <c r="A7028">
        <v>1577196880</v>
      </c>
      <c r="B7028" t="s">
        <v>29269</v>
      </c>
      <c r="C7028">
        <v>1946</v>
      </c>
      <c r="D7028">
        <v>2</v>
      </c>
      <c r="E7028">
        <v>7892</v>
      </c>
      <c r="F7028">
        <v>1905</v>
      </c>
      <c r="G7028">
        <f t="shared" si="109"/>
        <v>1577196880</v>
      </c>
    </row>
    <row r="7029" spans="1:7" x14ac:dyDescent="0.25">
      <c r="A7029">
        <v>1577196881</v>
      </c>
      <c r="B7029" t="s">
        <v>29270</v>
      </c>
      <c r="C7029">
        <v>760</v>
      </c>
      <c r="D7029">
        <v>2</v>
      </c>
      <c r="E7029">
        <v>7215</v>
      </c>
      <c r="F7029">
        <v>2028</v>
      </c>
      <c r="G7029">
        <f t="shared" si="109"/>
        <v>1577196881</v>
      </c>
    </row>
    <row r="7030" spans="1:7" x14ac:dyDescent="0.25">
      <c r="A7030">
        <v>1577196888</v>
      </c>
      <c r="B7030" t="s">
        <v>29271</v>
      </c>
      <c r="C7030">
        <v>0</v>
      </c>
      <c r="D7030">
        <v>1</v>
      </c>
      <c r="E7030">
        <v>32</v>
      </c>
      <c r="F7030">
        <v>6314</v>
      </c>
      <c r="G7030">
        <f t="shared" si="109"/>
        <v>1577196888</v>
      </c>
    </row>
    <row r="7031" spans="1:7" x14ac:dyDescent="0.25">
      <c r="A7031">
        <v>1577196890</v>
      </c>
      <c r="B7031" t="s">
        <v>753</v>
      </c>
      <c r="C7031">
        <v>79</v>
      </c>
      <c r="D7031">
        <v>3</v>
      </c>
      <c r="E7031">
        <v>6354</v>
      </c>
      <c r="F7031">
        <v>2200</v>
      </c>
      <c r="G7031">
        <f t="shared" si="109"/>
        <v>1577196890</v>
      </c>
    </row>
    <row r="7032" spans="1:7" x14ac:dyDescent="0.25">
      <c r="A7032">
        <v>1577196896</v>
      </c>
      <c r="B7032" t="s">
        <v>29272</v>
      </c>
      <c r="C7032">
        <v>1946</v>
      </c>
      <c r="D7032">
        <v>1</v>
      </c>
      <c r="E7032">
        <v>5922</v>
      </c>
      <c r="F7032">
        <v>2298</v>
      </c>
      <c r="G7032">
        <f t="shared" si="109"/>
        <v>1577196896</v>
      </c>
    </row>
    <row r="7033" spans="1:7" x14ac:dyDescent="0.25">
      <c r="A7033">
        <v>1577196897</v>
      </c>
      <c r="B7033" t="s">
        <v>29273</v>
      </c>
      <c r="C7033">
        <v>179</v>
      </c>
      <c r="D7033">
        <v>3</v>
      </c>
      <c r="E7033">
        <v>10574</v>
      </c>
      <c r="F7033">
        <v>1489</v>
      </c>
      <c r="G7033">
        <f t="shared" si="109"/>
        <v>1577196897</v>
      </c>
    </row>
    <row r="7034" spans="1:7" x14ac:dyDescent="0.25">
      <c r="A7034">
        <v>1577196920</v>
      </c>
      <c r="B7034" t="s">
        <v>29274</v>
      </c>
      <c r="C7034">
        <v>1100</v>
      </c>
      <c r="D7034">
        <v>1</v>
      </c>
      <c r="E7034">
        <v>3489</v>
      </c>
      <c r="F7034">
        <v>2879</v>
      </c>
      <c r="G7034">
        <f t="shared" si="109"/>
        <v>1577196920</v>
      </c>
    </row>
    <row r="7035" spans="1:7" x14ac:dyDescent="0.25">
      <c r="A7035">
        <v>1577196921</v>
      </c>
      <c r="B7035" t="s">
        <v>29275</v>
      </c>
      <c r="C7035">
        <v>0</v>
      </c>
      <c r="D7035">
        <v>0</v>
      </c>
      <c r="E7035">
        <v>0</v>
      </c>
      <c r="F7035">
        <v>8264</v>
      </c>
      <c r="G7035">
        <f t="shared" si="109"/>
        <v>1577196921</v>
      </c>
    </row>
    <row r="7036" spans="1:7" x14ac:dyDescent="0.25">
      <c r="A7036">
        <v>1577196923</v>
      </c>
      <c r="B7036" t="s">
        <v>36826</v>
      </c>
      <c r="C7036">
        <v>268</v>
      </c>
      <c r="D7036">
        <v>0</v>
      </c>
      <c r="E7036">
        <v>0</v>
      </c>
      <c r="F7036">
        <v>8265</v>
      </c>
      <c r="G7036">
        <f t="shared" si="109"/>
        <v>1577196923</v>
      </c>
    </row>
    <row r="7037" spans="1:7" x14ac:dyDescent="0.25">
      <c r="A7037">
        <v>1577196927</v>
      </c>
      <c r="B7037" t="s">
        <v>29276</v>
      </c>
      <c r="C7037">
        <v>0</v>
      </c>
      <c r="D7037">
        <v>0</v>
      </c>
      <c r="E7037">
        <v>0</v>
      </c>
      <c r="F7037">
        <v>8266</v>
      </c>
      <c r="G7037">
        <f t="shared" si="109"/>
        <v>1577196927</v>
      </c>
    </row>
    <row r="7038" spans="1:7" x14ac:dyDescent="0.25">
      <c r="A7038">
        <v>1577196928</v>
      </c>
      <c r="B7038" t="s">
        <v>29277</v>
      </c>
      <c r="C7038">
        <v>810</v>
      </c>
      <c r="D7038">
        <v>0</v>
      </c>
      <c r="E7038">
        <v>0</v>
      </c>
      <c r="F7038">
        <v>8267</v>
      </c>
      <c r="G7038">
        <f t="shared" si="109"/>
        <v>1577196928</v>
      </c>
    </row>
    <row r="7039" spans="1:7" x14ac:dyDescent="0.25">
      <c r="A7039">
        <v>1577196954</v>
      </c>
      <c r="B7039" t="s">
        <v>29278</v>
      </c>
      <c r="C7039">
        <v>150</v>
      </c>
      <c r="D7039">
        <v>6</v>
      </c>
      <c r="E7039">
        <v>34020</v>
      </c>
      <c r="F7039">
        <v>162</v>
      </c>
      <c r="G7039">
        <f t="shared" si="109"/>
        <v>1577196954</v>
      </c>
    </row>
    <row r="7040" spans="1:7" x14ac:dyDescent="0.25">
      <c r="A7040">
        <v>1577196964</v>
      </c>
      <c r="B7040" t="s">
        <v>29279</v>
      </c>
      <c r="C7040">
        <v>429</v>
      </c>
      <c r="D7040">
        <v>2</v>
      </c>
      <c r="E7040">
        <v>1921</v>
      </c>
      <c r="F7040">
        <v>3384</v>
      </c>
      <c r="G7040">
        <f t="shared" si="109"/>
        <v>1577196964</v>
      </c>
    </row>
    <row r="7041" spans="1:7" x14ac:dyDescent="0.25">
      <c r="A7041">
        <v>1577196981</v>
      </c>
      <c r="B7041" t="s">
        <v>29280</v>
      </c>
      <c r="C7041">
        <v>150</v>
      </c>
      <c r="D7041">
        <v>0</v>
      </c>
      <c r="E7041">
        <v>0</v>
      </c>
      <c r="F7041">
        <v>8268</v>
      </c>
      <c r="G7041">
        <f t="shared" ref="G7041:G7104" si="110">A7041</f>
        <v>1577196981</v>
      </c>
    </row>
    <row r="7042" spans="1:7" x14ac:dyDescent="0.25">
      <c r="A7042">
        <v>1577196988</v>
      </c>
      <c r="B7042" t="s">
        <v>29281</v>
      </c>
      <c r="C7042">
        <v>0</v>
      </c>
      <c r="D7042">
        <v>1</v>
      </c>
      <c r="E7042">
        <v>48</v>
      </c>
      <c r="F7042">
        <v>6199</v>
      </c>
      <c r="G7042">
        <f t="shared" si="110"/>
        <v>1577196988</v>
      </c>
    </row>
    <row r="7043" spans="1:7" x14ac:dyDescent="0.25">
      <c r="A7043">
        <v>1577196989</v>
      </c>
      <c r="B7043" t="s">
        <v>36827</v>
      </c>
      <c r="C7043">
        <v>0</v>
      </c>
      <c r="D7043">
        <v>1</v>
      </c>
      <c r="E7043">
        <v>5993</v>
      </c>
      <c r="F7043">
        <v>2277</v>
      </c>
      <c r="G7043">
        <f t="shared" si="110"/>
        <v>1577196989</v>
      </c>
    </row>
    <row r="7044" spans="1:7" x14ac:dyDescent="0.25">
      <c r="A7044">
        <v>1577196998</v>
      </c>
      <c r="B7044" t="s">
        <v>29282</v>
      </c>
      <c r="C7044">
        <v>413</v>
      </c>
      <c r="D7044">
        <v>2</v>
      </c>
      <c r="E7044">
        <v>8391</v>
      </c>
      <c r="F7044">
        <v>1810</v>
      </c>
      <c r="G7044">
        <f t="shared" si="110"/>
        <v>1577196998</v>
      </c>
    </row>
    <row r="7045" spans="1:7" x14ac:dyDescent="0.25">
      <c r="A7045">
        <v>1577197002</v>
      </c>
      <c r="B7045" t="s">
        <v>29283</v>
      </c>
      <c r="C7045">
        <v>578</v>
      </c>
      <c r="D7045">
        <v>3</v>
      </c>
      <c r="E7045">
        <v>11935</v>
      </c>
      <c r="F7045">
        <v>1287</v>
      </c>
      <c r="G7045">
        <f t="shared" si="110"/>
        <v>1577197002</v>
      </c>
    </row>
    <row r="7046" spans="1:7" x14ac:dyDescent="0.25">
      <c r="A7046">
        <v>1577197005</v>
      </c>
      <c r="B7046" t="s">
        <v>29284</v>
      </c>
      <c r="C7046">
        <v>0</v>
      </c>
      <c r="D7046">
        <v>1</v>
      </c>
      <c r="E7046">
        <v>518</v>
      </c>
      <c r="F7046">
        <v>4595</v>
      </c>
      <c r="G7046">
        <f t="shared" si="110"/>
        <v>1577197005</v>
      </c>
    </row>
    <row r="7047" spans="1:7" x14ac:dyDescent="0.25">
      <c r="A7047">
        <v>1577197012</v>
      </c>
      <c r="B7047" t="s">
        <v>29285</v>
      </c>
      <c r="C7047">
        <v>186</v>
      </c>
      <c r="D7047">
        <v>2</v>
      </c>
      <c r="E7047">
        <v>6511</v>
      </c>
      <c r="F7047">
        <v>2164</v>
      </c>
      <c r="G7047">
        <f t="shared" si="110"/>
        <v>1577197012</v>
      </c>
    </row>
    <row r="7048" spans="1:7" x14ac:dyDescent="0.25">
      <c r="A7048">
        <v>1577197019</v>
      </c>
      <c r="B7048" t="s">
        <v>37076</v>
      </c>
      <c r="C7048">
        <v>196</v>
      </c>
      <c r="D7048">
        <v>4</v>
      </c>
      <c r="E7048">
        <v>22981</v>
      </c>
      <c r="F7048">
        <v>473</v>
      </c>
      <c r="G7048">
        <f t="shared" si="110"/>
        <v>1577197019</v>
      </c>
    </row>
    <row r="7049" spans="1:7" x14ac:dyDescent="0.25">
      <c r="A7049">
        <v>1577197025</v>
      </c>
      <c r="B7049" t="s">
        <v>29286</v>
      </c>
      <c r="C7049">
        <v>1689</v>
      </c>
      <c r="D7049">
        <v>3</v>
      </c>
      <c r="E7049">
        <v>11807</v>
      </c>
      <c r="F7049">
        <v>1308</v>
      </c>
      <c r="G7049">
        <f t="shared" si="110"/>
        <v>1577197025</v>
      </c>
    </row>
    <row r="7050" spans="1:7" x14ac:dyDescent="0.25">
      <c r="A7050">
        <v>1577197031</v>
      </c>
      <c r="B7050" t="s">
        <v>29287</v>
      </c>
      <c r="C7050">
        <v>186</v>
      </c>
      <c r="D7050">
        <v>1</v>
      </c>
      <c r="E7050">
        <v>4068</v>
      </c>
      <c r="F7050">
        <v>2759</v>
      </c>
      <c r="G7050">
        <f t="shared" si="110"/>
        <v>1577197031</v>
      </c>
    </row>
    <row r="7051" spans="1:7" x14ac:dyDescent="0.25">
      <c r="A7051">
        <v>1577197035</v>
      </c>
      <c r="B7051" t="s">
        <v>36828</v>
      </c>
      <c r="C7051">
        <v>235</v>
      </c>
      <c r="D7051">
        <v>1</v>
      </c>
      <c r="E7051">
        <v>2207</v>
      </c>
      <c r="F7051">
        <v>3245</v>
      </c>
      <c r="G7051">
        <f t="shared" si="110"/>
        <v>1577197035</v>
      </c>
    </row>
    <row r="7052" spans="1:7" x14ac:dyDescent="0.25">
      <c r="A7052">
        <v>1577197045</v>
      </c>
      <c r="B7052" t="s">
        <v>29288</v>
      </c>
      <c r="C7052">
        <v>1972</v>
      </c>
      <c r="D7052">
        <v>3</v>
      </c>
      <c r="E7052">
        <v>18787</v>
      </c>
      <c r="F7052">
        <v>706</v>
      </c>
      <c r="G7052">
        <f t="shared" si="110"/>
        <v>1577197045</v>
      </c>
    </row>
    <row r="7053" spans="1:7" x14ac:dyDescent="0.25">
      <c r="A7053">
        <v>1577197048</v>
      </c>
      <c r="B7053" t="s">
        <v>36829</v>
      </c>
      <c r="C7053">
        <v>0</v>
      </c>
      <c r="D7053">
        <v>1</v>
      </c>
      <c r="E7053">
        <v>26</v>
      </c>
      <c r="F7053">
        <v>6842</v>
      </c>
      <c r="G7053">
        <f t="shared" si="110"/>
        <v>1577197048</v>
      </c>
    </row>
    <row r="7054" spans="1:7" x14ac:dyDescent="0.25">
      <c r="A7054">
        <v>1577197049</v>
      </c>
      <c r="B7054" t="s">
        <v>29289</v>
      </c>
      <c r="C7054">
        <v>186</v>
      </c>
      <c r="D7054">
        <v>1</v>
      </c>
      <c r="E7054">
        <v>3179</v>
      </c>
      <c r="F7054">
        <v>2946</v>
      </c>
      <c r="G7054">
        <f t="shared" si="110"/>
        <v>1577197049</v>
      </c>
    </row>
    <row r="7055" spans="1:7" x14ac:dyDescent="0.25">
      <c r="A7055">
        <v>1577197050</v>
      </c>
      <c r="B7055" t="s">
        <v>29290</v>
      </c>
      <c r="C7055">
        <v>196</v>
      </c>
      <c r="D7055">
        <v>4</v>
      </c>
      <c r="E7055">
        <v>16564</v>
      </c>
      <c r="F7055">
        <v>884</v>
      </c>
      <c r="G7055">
        <f t="shared" si="110"/>
        <v>1577197050</v>
      </c>
    </row>
    <row r="7056" spans="1:7" x14ac:dyDescent="0.25">
      <c r="A7056">
        <v>1577197065</v>
      </c>
      <c r="B7056" t="s">
        <v>29291</v>
      </c>
      <c r="C7056">
        <v>186</v>
      </c>
      <c r="D7056">
        <v>1</v>
      </c>
      <c r="E7056">
        <v>4555</v>
      </c>
      <c r="F7056">
        <v>2606</v>
      </c>
      <c r="G7056">
        <f t="shared" si="110"/>
        <v>1577197065</v>
      </c>
    </row>
    <row r="7057" spans="1:7" x14ac:dyDescent="0.25">
      <c r="A7057">
        <v>1577197066</v>
      </c>
      <c r="B7057" t="s">
        <v>29292</v>
      </c>
      <c r="C7057">
        <v>0</v>
      </c>
      <c r="D7057">
        <v>0</v>
      </c>
      <c r="E7057">
        <v>0</v>
      </c>
      <c r="F7057">
        <v>8269</v>
      </c>
      <c r="G7057">
        <f t="shared" si="110"/>
        <v>1577197066</v>
      </c>
    </row>
    <row r="7058" spans="1:7" x14ac:dyDescent="0.25">
      <c r="A7058">
        <v>1577197069</v>
      </c>
      <c r="B7058" t="s">
        <v>29293</v>
      </c>
      <c r="C7058">
        <v>0</v>
      </c>
      <c r="D7058">
        <v>1</v>
      </c>
      <c r="E7058">
        <v>1821</v>
      </c>
      <c r="F7058">
        <v>3436</v>
      </c>
      <c r="G7058">
        <f t="shared" si="110"/>
        <v>1577197069</v>
      </c>
    </row>
    <row r="7059" spans="1:7" x14ac:dyDescent="0.25">
      <c r="A7059">
        <v>1577197072</v>
      </c>
      <c r="B7059" t="s">
        <v>29294</v>
      </c>
      <c r="C7059">
        <v>0</v>
      </c>
      <c r="D7059">
        <v>0</v>
      </c>
      <c r="E7059">
        <v>0</v>
      </c>
      <c r="F7059">
        <v>8270</v>
      </c>
      <c r="G7059">
        <f t="shared" si="110"/>
        <v>1577197072</v>
      </c>
    </row>
    <row r="7060" spans="1:7" x14ac:dyDescent="0.25">
      <c r="A7060">
        <v>1577197078</v>
      </c>
      <c r="B7060" t="s">
        <v>29295</v>
      </c>
      <c r="C7060">
        <v>0</v>
      </c>
      <c r="D7060">
        <v>0</v>
      </c>
      <c r="E7060">
        <v>0</v>
      </c>
      <c r="F7060">
        <v>8271</v>
      </c>
      <c r="G7060">
        <f t="shared" si="110"/>
        <v>1577197078</v>
      </c>
    </row>
    <row r="7061" spans="1:7" x14ac:dyDescent="0.25">
      <c r="A7061">
        <v>1577197080</v>
      </c>
      <c r="B7061" t="s">
        <v>29296</v>
      </c>
      <c r="C7061">
        <v>0</v>
      </c>
      <c r="D7061">
        <v>0</v>
      </c>
      <c r="E7061">
        <v>0</v>
      </c>
      <c r="F7061">
        <v>8272</v>
      </c>
      <c r="G7061">
        <f t="shared" si="110"/>
        <v>1577197080</v>
      </c>
    </row>
    <row r="7062" spans="1:7" x14ac:dyDescent="0.25">
      <c r="A7062">
        <v>1577197085</v>
      </c>
      <c r="B7062" t="s">
        <v>29297</v>
      </c>
      <c r="C7062">
        <v>27</v>
      </c>
      <c r="D7062">
        <v>3</v>
      </c>
      <c r="E7062">
        <v>15990</v>
      </c>
      <c r="F7062">
        <v>912</v>
      </c>
      <c r="G7062">
        <f t="shared" si="110"/>
        <v>1577197085</v>
      </c>
    </row>
    <row r="7063" spans="1:7" x14ac:dyDescent="0.25">
      <c r="A7063">
        <v>1577197086</v>
      </c>
      <c r="B7063" t="s">
        <v>36830</v>
      </c>
      <c r="C7063">
        <v>1836</v>
      </c>
      <c r="D7063">
        <v>1</v>
      </c>
      <c r="E7063">
        <v>1913</v>
      </c>
      <c r="F7063">
        <v>3390</v>
      </c>
      <c r="G7063">
        <f t="shared" si="110"/>
        <v>1577197086</v>
      </c>
    </row>
    <row r="7064" spans="1:7" x14ac:dyDescent="0.25">
      <c r="A7064">
        <v>1577197091</v>
      </c>
      <c r="B7064" t="s">
        <v>29298</v>
      </c>
      <c r="C7064">
        <v>552</v>
      </c>
      <c r="D7064">
        <v>0</v>
      </c>
      <c r="E7064">
        <v>0</v>
      </c>
      <c r="F7064">
        <v>8273</v>
      </c>
      <c r="G7064">
        <f t="shared" si="110"/>
        <v>1577197091</v>
      </c>
    </row>
    <row r="7065" spans="1:7" x14ac:dyDescent="0.25">
      <c r="A7065">
        <v>1577197092</v>
      </c>
      <c r="B7065" t="s">
        <v>37414</v>
      </c>
      <c r="C7065">
        <v>218</v>
      </c>
      <c r="D7065">
        <v>1</v>
      </c>
      <c r="E7065">
        <v>4255</v>
      </c>
      <c r="F7065">
        <v>2697</v>
      </c>
      <c r="G7065">
        <f t="shared" si="110"/>
        <v>1577197092</v>
      </c>
    </row>
    <row r="7066" spans="1:7" x14ac:dyDescent="0.25">
      <c r="A7066">
        <v>1577197098</v>
      </c>
      <c r="B7066" t="s">
        <v>29299</v>
      </c>
      <c r="C7066">
        <v>0</v>
      </c>
      <c r="D7066">
        <v>1</v>
      </c>
      <c r="E7066">
        <v>205</v>
      </c>
      <c r="F7066">
        <v>5475</v>
      </c>
      <c r="G7066">
        <f t="shared" si="110"/>
        <v>1577197098</v>
      </c>
    </row>
    <row r="7067" spans="1:7" x14ac:dyDescent="0.25">
      <c r="A7067">
        <v>1577197100</v>
      </c>
      <c r="B7067" t="s">
        <v>29300</v>
      </c>
      <c r="C7067">
        <v>0</v>
      </c>
      <c r="D7067">
        <v>1</v>
      </c>
      <c r="E7067">
        <v>1034</v>
      </c>
      <c r="F7067">
        <v>3943</v>
      </c>
      <c r="G7067">
        <f t="shared" si="110"/>
        <v>1577197100</v>
      </c>
    </row>
    <row r="7068" spans="1:7" x14ac:dyDescent="0.25">
      <c r="A7068">
        <v>1577197106</v>
      </c>
      <c r="B7068" t="s">
        <v>29301</v>
      </c>
      <c r="C7068">
        <v>1947</v>
      </c>
      <c r="D7068">
        <v>1</v>
      </c>
      <c r="E7068">
        <v>1701</v>
      </c>
      <c r="F7068">
        <v>3497</v>
      </c>
      <c r="G7068">
        <f t="shared" si="110"/>
        <v>1577197106</v>
      </c>
    </row>
    <row r="7069" spans="1:7" x14ac:dyDescent="0.25">
      <c r="A7069">
        <v>1577197113</v>
      </c>
      <c r="B7069" t="s">
        <v>37186</v>
      </c>
      <c r="C7069">
        <v>89</v>
      </c>
      <c r="D7069">
        <v>1</v>
      </c>
      <c r="E7069">
        <v>26</v>
      </c>
      <c r="F7069">
        <v>6843</v>
      </c>
      <c r="G7069">
        <f t="shared" si="110"/>
        <v>1577197113</v>
      </c>
    </row>
    <row r="7070" spans="1:7" x14ac:dyDescent="0.25">
      <c r="A7070">
        <v>1577197114</v>
      </c>
      <c r="B7070" t="s">
        <v>37187</v>
      </c>
      <c r="C7070">
        <v>118</v>
      </c>
      <c r="D7070">
        <v>2</v>
      </c>
      <c r="E7070">
        <v>7788</v>
      </c>
      <c r="F7070">
        <v>1926</v>
      </c>
      <c r="G7070">
        <f t="shared" si="110"/>
        <v>1577197114</v>
      </c>
    </row>
    <row r="7071" spans="1:7" x14ac:dyDescent="0.25">
      <c r="A7071">
        <v>1577197132</v>
      </c>
      <c r="B7071" t="s">
        <v>29302</v>
      </c>
      <c r="C7071">
        <v>33</v>
      </c>
      <c r="D7071">
        <v>0</v>
      </c>
      <c r="E7071">
        <v>0</v>
      </c>
      <c r="F7071">
        <v>8274</v>
      </c>
      <c r="G7071">
        <f t="shared" si="110"/>
        <v>1577197132</v>
      </c>
    </row>
    <row r="7072" spans="1:7" x14ac:dyDescent="0.25">
      <c r="A7072">
        <v>1577197137</v>
      </c>
      <c r="B7072" t="s">
        <v>29303</v>
      </c>
      <c r="C7072">
        <v>0</v>
      </c>
      <c r="D7072">
        <v>1</v>
      </c>
      <c r="E7072">
        <v>53</v>
      </c>
      <c r="F7072">
        <v>6147</v>
      </c>
      <c r="G7072">
        <f t="shared" si="110"/>
        <v>1577197137</v>
      </c>
    </row>
    <row r="7073" spans="1:7" x14ac:dyDescent="0.25">
      <c r="A7073">
        <v>1577197148</v>
      </c>
      <c r="B7073" t="s">
        <v>29304</v>
      </c>
      <c r="C7073">
        <v>53</v>
      </c>
      <c r="D7073">
        <v>3</v>
      </c>
      <c r="E7073">
        <v>15207</v>
      </c>
      <c r="F7073">
        <v>973</v>
      </c>
      <c r="G7073">
        <f t="shared" si="110"/>
        <v>1577197148</v>
      </c>
    </row>
    <row r="7074" spans="1:7" x14ac:dyDescent="0.25">
      <c r="A7074">
        <v>1577197156</v>
      </c>
      <c r="B7074" t="s">
        <v>29305</v>
      </c>
      <c r="C7074">
        <v>0</v>
      </c>
      <c r="D7074">
        <v>0</v>
      </c>
      <c r="E7074">
        <v>0</v>
      </c>
      <c r="F7074">
        <v>8275</v>
      </c>
      <c r="G7074">
        <f t="shared" si="110"/>
        <v>1577197156</v>
      </c>
    </row>
    <row r="7075" spans="1:7" x14ac:dyDescent="0.25">
      <c r="A7075">
        <v>1577197158</v>
      </c>
      <c r="B7075" t="s">
        <v>29306</v>
      </c>
      <c r="C7075">
        <v>0</v>
      </c>
      <c r="D7075">
        <v>1</v>
      </c>
      <c r="E7075">
        <v>97</v>
      </c>
      <c r="F7075">
        <v>5866</v>
      </c>
      <c r="G7075">
        <f t="shared" si="110"/>
        <v>1577197158</v>
      </c>
    </row>
    <row r="7076" spans="1:7" x14ac:dyDescent="0.25">
      <c r="A7076">
        <v>1577197159</v>
      </c>
      <c r="B7076" t="s">
        <v>29307</v>
      </c>
      <c r="C7076">
        <v>0</v>
      </c>
      <c r="D7076">
        <v>1</v>
      </c>
      <c r="E7076">
        <v>502</v>
      </c>
      <c r="F7076">
        <v>4632</v>
      </c>
      <c r="G7076">
        <f t="shared" si="110"/>
        <v>1577197159</v>
      </c>
    </row>
    <row r="7077" spans="1:7" x14ac:dyDescent="0.25">
      <c r="A7077">
        <v>1577197162</v>
      </c>
      <c r="B7077" t="s">
        <v>29308</v>
      </c>
      <c r="C7077">
        <v>196</v>
      </c>
      <c r="D7077">
        <v>3</v>
      </c>
      <c r="E7077">
        <v>16486</v>
      </c>
      <c r="F7077">
        <v>877</v>
      </c>
      <c r="G7077">
        <f t="shared" si="110"/>
        <v>1577197162</v>
      </c>
    </row>
    <row r="7078" spans="1:7" x14ac:dyDescent="0.25">
      <c r="A7078">
        <v>1577197165</v>
      </c>
      <c r="B7078" t="s">
        <v>29309</v>
      </c>
      <c r="C7078">
        <v>0</v>
      </c>
      <c r="D7078">
        <v>1</v>
      </c>
      <c r="E7078">
        <v>1822</v>
      </c>
      <c r="F7078">
        <v>3435</v>
      </c>
      <c r="G7078">
        <f t="shared" si="110"/>
        <v>1577197165</v>
      </c>
    </row>
    <row r="7079" spans="1:7" x14ac:dyDescent="0.25">
      <c r="A7079">
        <v>1577197167</v>
      </c>
      <c r="B7079" t="s">
        <v>29310</v>
      </c>
      <c r="C7079">
        <v>174</v>
      </c>
      <c r="D7079">
        <v>4</v>
      </c>
      <c r="E7079">
        <v>22181</v>
      </c>
      <c r="F7079">
        <v>508</v>
      </c>
      <c r="G7079">
        <f t="shared" si="110"/>
        <v>1577197167</v>
      </c>
    </row>
    <row r="7080" spans="1:7" x14ac:dyDescent="0.25">
      <c r="A7080">
        <v>1577197177</v>
      </c>
      <c r="B7080" t="s">
        <v>29311</v>
      </c>
      <c r="C7080">
        <v>1880</v>
      </c>
      <c r="D7080">
        <v>1</v>
      </c>
      <c r="E7080">
        <v>383</v>
      </c>
      <c r="F7080">
        <v>4869</v>
      </c>
      <c r="G7080">
        <f t="shared" si="110"/>
        <v>1577197177</v>
      </c>
    </row>
    <row r="7081" spans="1:7" x14ac:dyDescent="0.25">
      <c r="A7081">
        <v>1577197178</v>
      </c>
      <c r="B7081" t="s">
        <v>36831</v>
      </c>
      <c r="C7081">
        <v>151</v>
      </c>
      <c r="D7081">
        <v>1</v>
      </c>
      <c r="E7081">
        <v>385</v>
      </c>
      <c r="F7081">
        <v>4885</v>
      </c>
      <c r="G7081">
        <f t="shared" si="110"/>
        <v>1577197178</v>
      </c>
    </row>
    <row r="7082" spans="1:7" x14ac:dyDescent="0.25">
      <c r="A7082">
        <v>1577197180</v>
      </c>
      <c r="B7082" t="s">
        <v>29312</v>
      </c>
      <c r="C7082">
        <v>189</v>
      </c>
      <c r="D7082">
        <v>2</v>
      </c>
      <c r="E7082">
        <v>9657</v>
      </c>
      <c r="F7082">
        <v>1614</v>
      </c>
      <c r="G7082">
        <f t="shared" si="110"/>
        <v>1577197180</v>
      </c>
    </row>
    <row r="7083" spans="1:7" x14ac:dyDescent="0.25">
      <c r="A7083">
        <v>1577197182</v>
      </c>
      <c r="B7083" t="s">
        <v>29313</v>
      </c>
      <c r="C7083">
        <v>367</v>
      </c>
      <c r="D7083">
        <v>2</v>
      </c>
      <c r="E7083">
        <v>10567</v>
      </c>
      <c r="F7083">
        <v>1490</v>
      </c>
      <c r="G7083">
        <f t="shared" si="110"/>
        <v>1577197182</v>
      </c>
    </row>
    <row r="7084" spans="1:7" x14ac:dyDescent="0.25">
      <c r="A7084">
        <v>1577197187</v>
      </c>
      <c r="B7084" t="s">
        <v>29314</v>
      </c>
      <c r="C7084">
        <v>115</v>
      </c>
      <c r="D7084">
        <v>3</v>
      </c>
      <c r="E7084">
        <v>16425</v>
      </c>
      <c r="F7084">
        <v>880</v>
      </c>
      <c r="G7084">
        <f t="shared" si="110"/>
        <v>1577197187</v>
      </c>
    </row>
    <row r="7085" spans="1:7" x14ac:dyDescent="0.25">
      <c r="A7085">
        <v>1577197191</v>
      </c>
      <c r="B7085" t="s">
        <v>29315</v>
      </c>
      <c r="C7085">
        <v>131</v>
      </c>
      <c r="D7085">
        <v>1</v>
      </c>
      <c r="E7085">
        <v>1785</v>
      </c>
      <c r="F7085">
        <v>2026</v>
      </c>
      <c r="G7085">
        <f t="shared" si="110"/>
        <v>1577197191</v>
      </c>
    </row>
    <row r="7086" spans="1:7" x14ac:dyDescent="0.25">
      <c r="A7086">
        <v>1577197192</v>
      </c>
      <c r="B7086" t="s">
        <v>36832</v>
      </c>
      <c r="C7086">
        <v>186</v>
      </c>
      <c r="D7086">
        <v>1</v>
      </c>
      <c r="E7086">
        <v>5719</v>
      </c>
      <c r="F7086">
        <v>2348</v>
      </c>
      <c r="G7086">
        <f t="shared" si="110"/>
        <v>1577197192</v>
      </c>
    </row>
    <row r="7087" spans="1:7" x14ac:dyDescent="0.25">
      <c r="A7087">
        <v>1577197196</v>
      </c>
      <c r="B7087" t="s">
        <v>29316</v>
      </c>
      <c r="C7087">
        <v>0</v>
      </c>
      <c r="D7087">
        <v>1</v>
      </c>
      <c r="E7087">
        <v>26</v>
      </c>
      <c r="F7087">
        <v>6844</v>
      </c>
      <c r="G7087">
        <f t="shared" si="110"/>
        <v>1577197196</v>
      </c>
    </row>
    <row r="7088" spans="1:7" x14ac:dyDescent="0.25">
      <c r="A7088">
        <v>1577197213</v>
      </c>
      <c r="B7088" t="s">
        <v>29317</v>
      </c>
      <c r="C7088">
        <v>1173</v>
      </c>
      <c r="D7088">
        <v>1</v>
      </c>
      <c r="E7088">
        <v>26</v>
      </c>
      <c r="F7088">
        <v>6845</v>
      </c>
      <c r="G7088">
        <f t="shared" si="110"/>
        <v>1577197213</v>
      </c>
    </row>
    <row r="7089" spans="1:7" x14ac:dyDescent="0.25">
      <c r="A7089">
        <v>1577197215</v>
      </c>
      <c r="B7089" t="s">
        <v>29318</v>
      </c>
      <c r="C7089">
        <v>1483</v>
      </c>
      <c r="D7089">
        <v>1</v>
      </c>
      <c r="E7089">
        <v>3505</v>
      </c>
      <c r="F7089">
        <v>2875</v>
      </c>
      <c r="G7089">
        <f t="shared" si="110"/>
        <v>1577197215</v>
      </c>
    </row>
    <row r="7090" spans="1:7" x14ac:dyDescent="0.25">
      <c r="A7090">
        <v>1577197225</v>
      </c>
      <c r="B7090" t="s">
        <v>29319</v>
      </c>
      <c r="C7090">
        <v>118</v>
      </c>
      <c r="D7090">
        <v>2</v>
      </c>
      <c r="E7090">
        <v>5336</v>
      </c>
      <c r="F7090">
        <v>2442</v>
      </c>
      <c r="G7090">
        <f t="shared" si="110"/>
        <v>1577197225</v>
      </c>
    </row>
    <row r="7091" spans="1:7" x14ac:dyDescent="0.25">
      <c r="A7091">
        <v>1577197237</v>
      </c>
      <c r="B7091" t="s">
        <v>29320</v>
      </c>
      <c r="C7091">
        <v>1946</v>
      </c>
      <c r="D7091">
        <v>1</v>
      </c>
      <c r="E7091">
        <v>5496</v>
      </c>
      <c r="F7091">
        <v>2404</v>
      </c>
      <c r="G7091">
        <f t="shared" si="110"/>
        <v>1577197237</v>
      </c>
    </row>
    <row r="7092" spans="1:7" x14ac:dyDescent="0.25">
      <c r="A7092">
        <v>1577197240</v>
      </c>
      <c r="B7092" t="s">
        <v>29321</v>
      </c>
      <c r="C7092">
        <v>0</v>
      </c>
      <c r="D7092">
        <v>0</v>
      </c>
      <c r="E7092">
        <v>0</v>
      </c>
      <c r="F7092">
        <v>8276</v>
      </c>
      <c r="G7092">
        <f t="shared" si="110"/>
        <v>1577197240</v>
      </c>
    </row>
    <row r="7093" spans="1:7" x14ac:dyDescent="0.25">
      <c r="A7093">
        <v>1577197246</v>
      </c>
      <c r="B7093" t="s">
        <v>29322</v>
      </c>
      <c r="C7093">
        <v>115</v>
      </c>
      <c r="D7093">
        <v>4</v>
      </c>
      <c r="E7093">
        <v>19192</v>
      </c>
      <c r="F7093">
        <v>675</v>
      </c>
      <c r="G7093">
        <f t="shared" si="110"/>
        <v>1577197246</v>
      </c>
    </row>
    <row r="7094" spans="1:7" x14ac:dyDescent="0.25">
      <c r="A7094">
        <v>1577197250</v>
      </c>
      <c r="B7094" t="s">
        <v>29323</v>
      </c>
      <c r="C7094">
        <v>67</v>
      </c>
      <c r="D7094">
        <v>5</v>
      </c>
      <c r="E7094">
        <v>23569</v>
      </c>
      <c r="F7094">
        <v>453</v>
      </c>
      <c r="G7094">
        <f t="shared" si="110"/>
        <v>1577197250</v>
      </c>
    </row>
    <row r="7095" spans="1:7" x14ac:dyDescent="0.25">
      <c r="A7095">
        <v>1577197251</v>
      </c>
      <c r="B7095" t="s">
        <v>29324</v>
      </c>
      <c r="C7095">
        <v>1207</v>
      </c>
      <c r="D7095">
        <v>1</v>
      </c>
      <c r="E7095">
        <v>3048</v>
      </c>
      <c r="F7095">
        <v>2983</v>
      </c>
      <c r="G7095">
        <f t="shared" si="110"/>
        <v>1577197251</v>
      </c>
    </row>
    <row r="7096" spans="1:7" x14ac:dyDescent="0.25">
      <c r="A7096">
        <v>1577197254</v>
      </c>
      <c r="B7096" t="s">
        <v>29325</v>
      </c>
      <c r="C7096">
        <v>0</v>
      </c>
      <c r="D7096">
        <v>1</v>
      </c>
      <c r="E7096">
        <v>26</v>
      </c>
      <c r="F7096">
        <v>6846</v>
      </c>
      <c r="G7096">
        <f t="shared" si="110"/>
        <v>1577197254</v>
      </c>
    </row>
    <row r="7097" spans="1:7" x14ac:dyDescent="0.25">
      <c r="A7097">
        <v>1577197267</v>
      </c>
      <c r="B7097" t="s">
        <v>29326</v>
      </c>
      <c r="C7097">
        <v>1</v>
      </c>
      <c r="D7097">
        <v>1</v>
      </c>
      <c r="E7097">
        <v>5010</v>
      </c>
      <c r="F7097">
        <v>2512</v>
      </c>
      <c r="G7097">
        <f t="shared" si="110"/>
        <v>1577197267</v>
      </c>
    </row>
    <row r="7098" spans="1:7" x14ac:dyDescent="0.25">
      <c r="A7098">
        <v>1577197270</v>
      </c>
      <c r="B7098" t="s">
        <v>29327</v>
      </c>
      <c r="C7098">
        <v>175</v>
      </c>
      <c r="D7098">
        <v>6</v>
      </c>
      <c r="E7098">
        <v>32861</v>
      </c>
      <c r="F7098">
        <v>184</v>
      </c>
      <c r="G7098">
        <f t="shared" si="110"/>
        <v>1577197270</v>
      </c>
    </row>
    <row r="7099" spans="1:7" x14ac:dyDescent="0.25">
      <c r="A7099">
        <v>1577197284</v>
      </c>
      <c r="B7099" t="s">
        <v>29328</v>
      </c>
      <c r="C7099">
        <v>1734</v>
      </c>
      <c r="D7099">
        <v>1</v>
      </c>
      <c r="E7099">
        <v>1022</v>
      </c>
      <c r="F7099">
        <v>3956</v>
      </c>
      <c r="G7099">
        <f t="shared" si="110"/>
        <v>1577197284</v>
      </c>
    </row>
    <row r="7100" spans="1:7" x14ac:dyDescent="0.25">
      <c r="A7100">
        <v>1577197308</v>
      </c>
      <c r="B7100" t="s">
        <v>29329</v>
      </c>
      <c r="C7100">
        <v>0</v>
      </c>
      <c r="D7100">
        <v>0</v>
      </c>
      <c r="E7100">
        <v>0</v>
      </c>
      <c r="F7100">
        <v>8277</v>
      </c>
      <c r="G7100">
        <f t="shared" si="110"/>
        <v>1577197308</v>
      </c>
    </row>
    <row r="7101" spans="1:7" x14ac:dyDescent="0.25">
      <c r="A7101">
        <v>1577197313</v>
      </c>
      <c r="B7101" t="s">
        <v>29330</v>
      </c>
      <c r="C7101">
        <v>1946</v>
      </c>
      <c r="D7101">
        <v>1</v>
      </c>
      <c r="E7101">
        <v>433</v>
      </c>
      <c r="F7101">
        <v>4774</v>
      </c>
      <c r="G7101">
        <f t="shared" si="110"/>
        <v>1577197313</v>
      </c>
    </row>
    <row r="7102" spans="1:7" x14ac:dyDescent="0.25">
      <c r="A7102">
        <v>1577197317</v>
      </c>
      <c r="B7102" t="s">
        <v>29331</v>
      </c>
      <c r="C7102">
        <v>424</v>
      </c>
      <c r="D7102">
        <v>7</v>
      </c>
      <c r="E7102">
        <v>39479</v>
      </c>
      <c r="F7102">
        <v>92</v>
      </c>
      <c r="G7102">
        <f t="shared" si="110"/>
        <v>1577197317</v>
      </c>
    </row>
    <row r="7103" spans="1:7" x14ac:dyDescent="0.25">
      <c r="A7103">
        <v>1577197318</v>
      </c>
      <c r="B7103" t="s">
        <v>29332</v>
      </c>
      <c r="C7103">
        <v>36</v>
      </c>
      <c r="D7103">
        <v>3</v>
      </c>
      <c r="E7103">
        <v>17648</v>
      </c>
      <c r="F7103">
        <v>780</v>
      </c>
      <c r="G7103">
        <f t="shared" si="110"/>
        <v>1577197318</v>
      </c>
    </row>
    <row r="7104" spans="1:7" x14ac:dyDescent="0.25">
      <c r="A7104">
        <v>1577197320</v>
      </c>
      <c r="B7104" t="s">
        <v>1753</v>
      </c>
      <c r="C7104">
        <v>39</v>
      </c>
      <c r="D7104">
        <v>3</v>
      </c>
      <c r="E7104">
        <v>17021</v>
      </c>
      <c r="F7104">
        <v>827</v>
      </c>
      <c r="G7104">
        <f t="shared" si="110"/>
        <v>1577197320</v>
      </c>
    </row>
    <row r="7105" spans="1:7" x14ac:dyDescent="0.25">
      <c r="A7105">
        <v>1577197332</v>
      </c>
      <c r="B7105" t="s">
        <v>29333</v>
      </c>
      <c r="C7105">
        <v>412</v>
      </c>
      <c r="D7105">
        <v>4</v>
      </c>
      <c r="E7105">
        <v>25671</v>
      </c>
      <c r="F7105">
        <v>373</v>
      </c>
      <c r="G7105">
        <f t="shared" ref="G7105:G7168" si="111">A7105</f>
        <v>1577197332</v>
      </c>
    </row>
    <row r="7106" spans="1:7" x14ac:dyDescent="0.25">
      <c r="A7106">
        <v>1577197339</v>
      </c>
      <c r="B7106" t="s">
        <v>29334</v>
      </c>
      <c r="C7106">
        <v>0</v>
      </c>
      <c r="D7106">
        <v>0</v>
      </c>
      <c r="E7106">
        <v>0</v>
      </c>
      <c r="F7106">
        <v>8278</v>
      </c>
      <c r="G7106">
        <f t="shared" si="111"/>
        <v>1577197339</v>
      </c>
    </row>
    <row r="7107" spans="1:7" x14ac:dyDescent="0.25">
      <c r="A7107">
        <v>1577197344</v>
      </c>
      <c r="B7107" t="s">
        <v>29335</v>
      </c>
      <c r="C7107">
        <v>117</v>
      </c>
      <c r="D7107">
        <v>3</v>
      </c>
      <c r="E7107">
        <v>9939</v>
      </c>
      <c r="F7107">
        <v>1575</v>
      </c>
      <c r="G7107">
        <f t="shared" si="111"/>
        <v>1577197344</v>
      </c>
    </row>
    <row r="7108" spans="1:7" x14ac:dyDescent="0.25">
      <c r="A7108">
        <v>1577197346</v>
      </c>
      <c r="B7108" t="s">
        <v>29336</v>
      </c>
      <c r="C7108">
        <v>0</v>
      </c>
      <c r="D7108">
        <v>1</v>
      </c>
      <c r="E7108">
        <v>34</v>
      </c>
      <c r="F7108">
        <v>6298</v>
      </c>
      <c r="G7108">
        <f t="shared" si="111"/>
        <v>1577197346</v>
      </c>
    </row>
    <row r="7109" spans="1:7" x14ac:dyDescent="0.25">
      <c r="A7109">
        <v>1577197349</v>
      </c>
      <c r="B7109" t="s">
        <v>29337</v>
      </c>
      <c r="C7109">
        <v>79</v>
      </c>
      <c r="D7109">
        <v>6</v>
      </c>
      <c r="E7109">
        <v>28791</v>
      </c>
      <c r="F7109">
        <v>277</v>
      </c>
      <c r="G7109">
        <f t="shared" si="111"/>
        <v>1577197349</v>
      </c>
    </row>
    <row r="7110" spans="1:7" x14ac:dyDescent="0.25">
      <c r="A7110">
        <v>1577197351</v>
      </c>
      <c r="B7110" t="s">
        <v>29338</v>
      </c>
      <c r="C7110">
        <v>367</v>
      </c>
      <c r="D7110">
        <v>5</v>
      </c>
      <c r="E7110">
        <v>27295</v>
      </c>
      <c r="F7110">
        <v>325</v>
      </c>
      <c r="G7110">
        <f t="shared" si="111"/>
        <v>1577197351</v>
      </c>
    </row>
    <row r="7111" spans="1:7" x14ac:dyDescent="0.25">
      <c r="A7111">
        <v>1577197355</v>
      </c>
      <c r="B7111" t="s">
        <v>29339</v>
      </c>
      <c r="C7111">
        <v>53</v>
      </c>
      <c r="D7111">
        <v>2</v>
      </c>
      <c r="E7111">
        <v>9351</v>
      </c>
      <c r="F7111">
        <v>1660</v>
      </c>
      <c r="G7111">
        <f t="shared" si="111"/>
        <v>1577197355</v>
      </c>
    </row>
    <row r="7112" spans="1:7" x14ac:dyDescent="0.25">
      <c r="A7112">
        <v>1577197357</v>
      </c>
      <c r="B7112" t="s">
        <v>29340</v>
      </c>
      <c r="C7112">
        <v>0</v>
      </c>
      <c r="D7112">
        <v>0</v>
      </c>
      <c r="E7112">
        <v>0</v>
      </c>
      <c r="F7112">
        <v>8279</v>
      </c>
      <c r="G7112">
        <f t="shared" si="111"/>
        <v>1577197357</v>
      </c>
    </row>
    <row r="7113" spans="1:7" x14ac:dyDescent="0.25">
      <c r="A7113">
        <v>1577197361</v>
      </c>
      <c r="B7113" t="s">
        <v>36833</v>
      </c>
      <c r="C7113">
        <v>196</v>
      </c>
      <c r="D7113">
        <v>2</v>
      </c>
      <c r="E7113">
        <v>11246</v>
      </c>
      <c r="F7113">
        <v>1376</v>
      </c>
      <c r="G7113">
        <f t="shared" si="111"/>
        <v>1577197361</v>
      </c>
    </row>
    <row r="7114" spans="1:7" x14ac:dyDescent="0.25">
      <c r="A7114">
        <v>1577197368</v>
      </c>
      <c r="B7114" t="s">
        <v>29341</v>
      </c>
      <c r="C7114">
        <v>6</v>
      </c>
      <c r="D7114">
        <v>2</v>
      </c>
      <c r="E7114">
        <v>9740</v>
      </c>
      <c r="F7114">
        <v>1600</v>
      </c>
      <c r="G7114">
        <f t="shared" si="111"/>
        <v>1577197368</v>
      </c>
    </row>
    <row r="7115" spans="1:7" x14ac:dyDescent="0.25">
      <c r="A7115">
        <v>1577197372</v>
      </c>
      <c r="B7115" t="s">
        <v>29342</v>
      </c>
      <c r="C7115">
        <v>0</v>
      </c>
      <c r="D7115">
        <v>0</v>
      </c>
      <c r="E7115">
        <v>0</v>
      </c>
      <c r="F7115">
        <v>8280</v>
      </c>
      <c r="G7115">
        <f t="shared" si="111"/>
        <v>1577197372</v>
      </c>
    </row>
    <row r="7116" spans="1:7" x14ac:dyDescent="0.25">
      <c r="A7116">
        <v>1577197389</v>
      </c>
      <c r="B7116" t="s">
        <v>29343</v>
      </c>
      <c r="C7116">
        <v>0</v>
      </c>
      <c r="D7116">
        <v>1</v>
      </c>
      <c r="E7116">
        <v>273</v>
      </c>
      <c r="F7116">
        <v>5237</v>
      </c>
      <c r="G7116">
        <f t="shared" si="111"/>
        <v>1577197389</v>
      </c>
    </row>
    <row r="7117" spans="1:7" x14ac:dyDescent="0.25">
      <c r="A7117">
        <v>1577197393</v>
      </c>
      <c r="B7117" t="s">
        <v>29344</v>
      </c>
      <c r="C7117">
        <v>0</v>
      </c>
      <c r="D7117">
        <v>0</v>
      </c>
      <c r="E7117">
        <v>0</v>
      </c>
      <c r="F7117">
        <v>8281</v>
      </c>
      <c r="G7117">
        <f t="shared" si="111"/>
        <v>1577197393</v>
      </c>
    </row>
    <row r="7118" spans="1:7" x14ac:dyDescent="0.25">
      <c r="A7118">
        <v>1577197399</v>
      </c>
      <c r="B7118" t="s">
        <v>29345</v>
      </c>
      <c r="C7118">
        <v>259</v>
      </c>
      <c r="D7118">
        <v>3</v>
      </c>
      <c r="E7118">
        <v>13627</v>
      </c>
      <c r="F7118">
        <v>1112</v>
      </c>
      <c r="G7118">
        <f t="shared" si="111"/>
        <v>1577197399</v>
      </c>
    </row>
    <row r="7119" spans="1:7" x14ac:dyDescent="0.25">
      <c r="A7119">
        <v>1577197401</v>
      </c>
      <c r="B7119" t="s">
        <v>29346</v>
      </c>
      <c r="C7119">
        <v>367</v>
      </c>
      <c r="D7119">
        <v>2</v>
      </c>
      <c r="E7119">
        <v>9867</v>
      </c>
      <c r="F7119">
        <v>1579</v>
      </c>
      <c r="G7119">
        <f t="shared" si="111"/>
        <v>1577197401</v>
      </c>
    </row>
    <row r="7120" spans="1:7" x14ac:dyDescent="0.25">
      <c r="A7120">
        <v>1577197425</v>
      </c>
      <c r="B7120" t="s">
        <v>37356</v>
      </c>
      <c r="C7120">
        <v>160</v>
      </c>
      <c r="D7120">
        <v>4</v>
      </c>
      <c r="E7120">
        <v>18835</v>
      </c>
      <c r="F7120">
        <v>701</v>
      </c>
      <c r="G7120">
        <f t="shared" si="111"/>
        <v>1577197425</v>
      </c>
    </row>
    <row r="7121" spans="1:7" x14ac:dyDescent="0.25">
      <c r="A7121">
        <v>1577197427</v>
      </c>
      <c r="B7121" t="s">
        <v>29347</v>
      </c>
      <c r="C7121">
        <v>1966</v>
      </c>
      <c r="D7121">
        <v>3</v>
      </c>
      <c r="E7121">
        <v>18671</v>
      </c>
      <c r="F7121">
        <v>708</v>
      </c>
      <c r="G7121">
        <f t="shared" si="111"/>
        <v>1577197427</v>
      </c>
    </row>
    <row r="7122" spans="1:7" x14ac:dyDescent="0.25">
      <c r="A7122">
        <v>1577197437</v>
      </c>
      <c r="B7122" t="s">
        <v>29348</v>
      </c>
      <c r="C7122">
        <v>680</v>
      </c>
      <c r="D7122">
        <v>0</v>
      </c>
      <c r="E7122">
        <v>0</v>
      </c>
      <c r="F7122">
        <v>8282</v>
      </c>
      <c r="G7122">
        <f t="shared" si="111"/>
        <v>1577197437</v>
      </c>
    </row>
    <row r="7123" spans="1:7" x14ac:dyDescent="0.25">
      <c r="A7123">
        <v>1577197444</v>
      </c>
      <c r="B7123" t="s">
        <v>36834</v>
      </c>
      <c r="C7123">
        <v>321</v>
      </c>
      <c r="D7123">
        <v>3</v>
      </c>
      <c r="E7123">
        <v>15938</v>
      </c>
      <c r="F7123">
        <v>915</v>
      </c>
      <c r="G7123">
        <f t="shared" si="111"/>
        <v>1577197444</v>
      </c>
    </row>
    <row r="7124" spans="1:7" x14ac:dyDescent="0.25">
      <c r="A7124">
        <v>1577197458</v>
      </c>
      <c r="B7124" t="s">
        <v>29349</v>
      </c>
      <c r="C7124">
        <v>131</v>
      </c>
      <c r="D7124">
        <v>2</v>
      </c>
      <c r="E7124">
        <v>9326</v>
      </c>
      <c r="F7124">
        <v>1684</v>
      </c>
      <c r="G7124">
        <f t="shared" si="111"/>
        <v>1577197458</v>
      </c>
    </row>
    <row r="7125" spans="1:7" x14ac:dyDescent="0.25">
      <c r="A7125">
        <v>1577197460</v>
      </c>
      <c r="B7125" t="s">
        <v>29350</v>
      </c>
      <c r="C7125">
        <v>413</v>
      </c>
      <c r="D7125">
        <v>1</v>
      </c>
      <c r="E7125">
        <v>3778</v>
      </c>
      <c r="F7125">
        <v>2817</v>
      </c>
      <c r="G7125">
        <f t="shared" si="111"/>
        <v>1577197460</v>
      </c>
    </row>
    <row r="7126" spans="1:7" x14ac:dyDescent="0.25">
      <c r="A7126">
        <v>1577197461</v>
      </c>
      <c r="B7126" t="s">
        <v>29351</v>
      </c>
      <c r="C7126">
        <v>218</v>
      </c>
      <c r="D7126">
        <v>1</v>
      </c>
      <c r="E7126">
        <v>5462</v>
      </c>
      <c r="F7126">
        <v>2415</v>
      </c>
      <c r="G7126">
        <f t="shared" si="111"/>
        <v>1577197461</v>
      </c>
    </row>
    <row r="7127" spans="1:7" x14ac:dyDescent="0.25">
      <c r="A7127">
        <v>1577197462</v>
      </c>
      <c r="B7127" t="s">
        <v>29352</v>
      </c>
      <c r="C7127">
        <v>218</v>
      </c>
      <c r="D7127">
        <v>3</v>
      </c>
      <c r="E7127">
        <v>13741</v>
      </c>
      <c r="F7127">
        <v>1107</v>
      </c>
      <c r="G7127">
        <f t="shared" si="111"/>
        <v>1577197462</v>
      </c>
    </row>
    <row r="7128" spans="1:7" x14ac:dyDescent="0.25">
      <c r="A7128">
        <v>1577197485</v>
      </c>
      <c r="B7128" t="s">
        <v>29353</v>
      </c>
      <c r="C7128">
        <v>160</v>
      </c>
      <c r="D7128">
        <v>2</v>
      </c>
      <c r="E7128">
        <v>10755</v>
      </c>
      <c r="F7128">
        <v>1453</v>
      </c>
      <c r="G7128">
        <f t="shared" si="111"/>
        <v>1577197485</v>
      </c>
    </row>
    <row r="7129" spans="1:7" x14ac:dyDescent="0.25">
      <c r="A7129">
        <v>1577197488</v>
      </c>
      <c r="B7129" t="s">
        <v>36835</v>
      </c>
      <c r="C7129">
        <v>189</v>
      </c>
      <c r="D7129">
        <v>1</v>
      </c>
      <c r="E7129">
        <v>4596</v>
      </c>
      <c r="F7129">
        <v>2596</v>
      </c>
      <c r="G7129">
        <f t="shared" si="111"/>
        <v>1577197488</v>
      </c>
    </row>
    <row r="7130" spans="1:7" x14ac:dyDescent="0.25">
      <c r="A7130">
        <v>1577197491</v>
      </c>
      <c r="B7130" t="s">
        <v>29354</v>
      </c>
      <c r="C7130">
        <v>0</v>
      </c>
      <c r="D7130">
        <v>0</v>
      </c>
      <c r="E7130">
        <v>0</v>
      </c>
      <c r="F7130">
        <v>8283</v>
      </c>
      <c r="G7130">
        <f t="shared" si="111"/>
        <v>1577197491</v>
      </c>
    </row>
    <row r="7131" spans="1:7" x14ac:dyDescent="0.25">
      <c r="A7131">
        <v>1577197494</v>
      </c>
      <c r="B7131" t="s">
        <v>29355</v>
      </c>
      <c r="C7131">
        <v>96</v>
      </c>
      <c r="D7131">
        <v>4</v>
      </c>
      <c r="E7131">
        <v>19380</v>
      </c>
      <c r="F7131">
        <v>659</v>
      </c>
      <c r="G7131">
        <f t="shared" si="111"/>
        <v>1577197494</v>
      </c>
    </row>
    <row r="7132" spans="1:7" x14ac:dyDescent="0.25">
      <c r="A7132">
        <v>1577197495</v>
      </c>
      <c r="B7132" t="s">
        <v>29356</v>
      </c>
      <c r="C7132">
        <v>0</v>
      </c>
      <c r="D7132">
        <v>0</v>
      </c>
      <c r="E7132">
        <v>0</v>
      </c>
      <c r="F7132">
        <v>8284</v>
      </c>
      <c r="G7132">
        <f t="shared" si="111"/>
        <v>1577197495</v>
      </c>
    </row>
    <row r="7133" spans="1:7" x14ac:dyDescent="0.25">
      <c r="A7133">
        <v>1577197501</v>
      </c>
      <c r="B7133" t="s">
        <v>29357</v>
      </c>
      <c r="C7133">
        <v>186</v>
      </c>
      <c r="D7133">
        <v>1</v>
      </c>
      <c r="E7133">
        <v>3443</v>
      </c>
      <c r="F7133">
        <v>2888</v>
      </c>
      <c r="G7133">
        <f t="shared" si="111"/>
        <v>1577197501</v>
      </c>
    </row>
    <row r="7134" spans="1:7" x14ac:dyDescent="0.25">
      <c r="A7134">
        <v>1577197503</v>
      </c>
      <c r="B7134" t="s">
        <v>29358</v>
      </c>
      <c r="C7134">
        <v>617</v>
      </c>
      <c r="D7134">
        <v>5</v>
      </c>
      <c r="E7134">
        <v>28422</v>
      </c>
      <c r="F7134">
        <v>286</v>
      </c>
      <c r="G7134">
        <f t="shared" si="111"/>
        <v>1577197503</v>
      </c>
    </row>
    <row r="7135" spans="1:7" x14ac:dyDescent="0.25">
      <c r="A7135">
        <v>1577197508</v>
      </c>
      <c r="B7135" t="s">
        <v>36836</v>
      </c>
      <c r="C7135">
        <v>0</v>
      </c>
      <c r="D7135">
        <v>0</v>
      </c>
      <c r="E7135">
        <v>0</v>
      </c>
      <c r="F7135">
        <v>8285</v>
      </c>
      <c r="G7135">
        <f t="shared" si="111"/>
        <v>1577197508</v>
      </c>
    </row>
    <row r="7136" spans="1:7" x14ac:dyDescent="0.25">
      <c r="A7136">
        <v>1577197510</v>
      </c>
      <c r="B7136" t="s">
        <v>29359</v>
      </c>
      <c r="C7136">
        <v>0</v>
      </c>
      <c r="D7136">
        <v>1</v>
      </c>
      <c r="E7136">
        <v>26</v>
      </c>
      <c r="F7136">
        <v>6847</v>
      </c>
      <c r="G7136">
        <f t="shared" si="111"/>
        <v>1577197510</v>
      </c>
    </row>
    <row r="7137" spans="1:7" x14ac:dyDescent="0.25">
      <c r="A7137">
        <v>1577197513</v>
      </c>
      <c r="B7137" t="s">
        <v>29360</v>
      </c>
      <c r="C7137">
        <v>0</v>
      </c>
      <c r="D7137">
        <v>1</v>
      </c>
      <c r="E7137">
        <v>224</v>
      </c>
      <c r="F7137">
        <v>5416</v>
      </c>
      <c r="G7137">
        <f t="shared" si="111"/>
        <v>1577197513</v>
      </c>
    </row>
    <row r="7138" spans="1:7" x14ac:dyDescent="0.25">
      <c r="A7138">
        <v>1577197514</v>
      </c>
      <c r="B7138" t="s">
        <v>29361</v>
      </c>
      <c r="C7138">
        <v>0</v>
      </c>
      <c r="D7138">
        <v>1</v>
      </c>
      <c r="E7138">
        <v>26</v>
      </c>
      <c r="F7138">
        <v>6848</v>
      </c>
      <c r="G7138">
        <f t="shared" si="111"/>
        <v>1577197514</v>
      </c>
    </row>
    <row r="7139" spans="1:7" x14ac:dyDescent="0.25">
      <c r="A7139">
        <v>1577197515</v>
      </c>
      <c r="B7139" t="s">
        <v>29362</v>
      </c>
      <c r="C7139">
        <v>79</v>
      </c>
      <c r="D7139">
        <v>1</v>
      </c>
      <c r="E7139">
        <v>6386</v>
      </c>
      <c r="F7139">
        <v>2193</v>
      </c>
      <c r="G7139">
        <f t="shared" si="111"/>
        <v>1577197515</v>
      </c>
    </row>
    <row r="7140" spans="1:7" x14ac:dyDescent="0.25">
      <c r="A7140">
        <v>1577197519</v>
      </c>
      <c r="B7140" t="s">
        <v>29363</v>
      </c>
      <c r="C7140">
        <v>0</v>
      </c>
      <c r="D7140">
        <v>0</v>
      </c>
      <c r="E7140">
        <v>0</v>
      </c>
      <c r="F7140">
        <v>8286</v>
      </c>
      <c r="G7140">
        <f t="shared" si="111"/>
        <v>1577197519</v>
      </c>
    </row>
    <row r="7141" spans="1:7" x14ac:dyDescent="0.25">
      <c r="A7141">
        <v>1577197520</v>
      </c>
      <c r="B7141" t="s">
        <v>29364</v>
      </c>
      <c r="C7141">
        <v>896</v>
      </c>
      <c r="D7141">
        <v>1</v>
      </c>
      <c r="E7141">
        <v>5388</v>
      </c>
      <c r="F7141">
        <v>2427</v>
      </c>
      <c r="G7141">
        <f t="shared" si="111"/>
        <v>1577197520</v>
      </c>
    </row>
    <row r="7142" spans="1:7" x14ac:dyDescent="0.25">
      <c r="A7142">
        <v>1577197523</v>
      </c>
      <c r="B7142" t="s">
        <v>29365</v>
      </c>
      <c r="C7142">
        <v>0</v>
      </c>
      <c r="D7142">
        <v>1</v>
      </c>
      <c r="E7142">
        <v>26</v>
      </c>
      <c r="F7142">
        <v>6849</v>
      </c>
      <c r="G7142">
        <f t="shared" si="111"/>
        <v>1577197523</v>
      </c>
    </row>
    <row r="7143" spans="1:7" x14ac:dyDescent="0.25">
      <c r="A7143">
        <v>1577197524</v>
      </c>
      <c r="B7143" t="s">
        <v>29366</v>
      </c>
      <c r="C7143">
        <v>79</v>
      </c>
      <c r="D7143">
        <v>1</v>
      </c>
      <c r="E7143">
        <v>6495</v>
      </c>
      <c r="F7143">
        <v>2167</v>
      </c>
      <c r="G7143">
        <f t="shared" si="111"/>
        <v>1577197524</v>
      </c>
    </row>
    <row r="7144" spans="1:7" x14ac:dyDescent="0.25">
      <c r="A7144">
        <v>1577197526</v>
      </c>
      <c r="B7144" t="s">
        <v>29367</v>
      </c>
      <c r="C7144">
        <v>0</v>
      </c>
      <c r="D7144">
        <v>1</v>
      </c>
      <c r="E7144">
        <v>26</v>
      </c>
      <c r="F7144">
        <v>6850</v>
      </c>
      <c r="G7144">
        <f t="shared" si="111"/>
        <v>1577197526</v>
      </c>
    </row>
    <row r="7145" spans="1:7" x14ac:dyDescent="0.25">
      <c r="A7145">
        <v>1577197528</v>
      </c>
      <c r="B7145" t="s">
        <v>37188</v>
      </c>
      <c r="C7145">
        <v>79</v>
      </c>
      <c r="D7145">
        <v>5</v>
      </c>
      <c r="E7145">
        <v>29680</v>
      </c>
      <c r="F7145">
        <v>249</v>
      </c>
      <c r="G7145">
        <f t="shared" si="111"/>
        <v>1577197528</v>
      </c>
    </row>
    <row r="7146" spans="1:7" x14ac:dyDescent="0.25">
      <c r="A7146">
        <v>1577197529</v>
      </c>
      <c r="B7146" t="s">
        <v>29368</v>
      </c>
      <c r="C7146">
        <v>0</v>
      </c>
      <c r="D7146">
        <v>0</v>
      </c>
      <c r="E7146">
        <v>0</v>
      </c>
      <c r="F7146">
        <v>3647</v>
      </c>
      <c r="G7146">
        <f t="shared" si="111"/>
        <v>1577197529</v>
      </c>
    </row>
    <row r="7147" spans="1:7" x14ac:dyDescent="0.25">
      <c r="A7147">
        <v>1577197531</v>
      </c>
      <c r="B7147" t="s">
        <v>29369</v>
      </c>
      <c r="C7147">
        <v>367</v>
      </c>
      <c r="D7147">
        <v>5</v>
      </c>
      <c r="E7147">
        <v>26392</v>
      </c>
      <c r="F7147">
        <v>358</v>
      </c>
      <c r="G7147">
        <f t="shared" si="111"/>
        <v>1577197531</v>
      </c>
    </row>
    <row r="7148" spans="1:7" x14ac:dyDescent="0.25">
      <c r="A7148">
        <v>1577197542</v>
      </c>
      <c r="B7148" t="s">
        <v>37189</v>
      </c>
      <c r="C7148">
        <v>196</v>
      </c>
      <c r="D7148">
        <v>6</v>
      </c>
      <c r="E7148">
        <v>26130</v>
      </c>
      <c r="F7148">
        <v>364</v>
      </c>
      <c r="G7148">
        <f t="shared" si="111"/>
        <v>1577197542</v>
      </c>
    </row>
    <row r="7149" spans="1:7" x14ac:dyDescent="0.25">
      <c r="A7149">
        <v>1577197544</v>
      </c>
      <c r="B7149" t="s">
        <v>29370</v>
      </c>
      <c r="C7149">
        <v>122</v>
      </c>
      <c r="D7149">
        <v>4</v>
      </c>
      <c r="E7149">
        <v>19759</v>
      </c>
      <c r="F7149">
        <v>641</v>
      </c>
      <c r="G7149">
        <f t="shared" si="111"/>
        <v>1577197544</v>
      </c>
    </row>
    <row r="7150" spans="1:7" x14ac:dyDescent="0.25">
      <c r="A7150">
        <v>1577197551</v>
      </c>
      <c r="B7150" t="s">
        <v>29371</v>
      </c>
      <c r="C7150">
        <v>0</v>
      </c>
      <c r="D7150">
        <v>1</v>
      </c>
      <c r="E7150">
        <v>2019</v>
      </c>
      <c r="F7150">
        <v>3335</v>
      </c>
      <c r="G7150">
        <f t="shared" si="111"/>
        <v>1577197551</v>
      </c>
    </row>
    <row r="7151" spans="1:7" x14ac:dyDescent="0.25">
      <c r="A7151">
        <v>1577197558</v>
      </c>
      <c r="B7151" t="s">
        <v>29372</v>
      </c>
      <c r="C7151">
        <v>36</v>
      </c>
      <c r="D7151">
        <v>1</v>
      </c>
      <c r="E7151">
        <v>6758</v>
      </c>
      <c r="F7151">
        <v>2110</v>
      </c>
      <c r="G7151">
        <f t="shared" si="111"/>
        <v>1577197558</v>
      </c>
    </row>
    <row r="7152" spans="1:7" x14ac:dyDescent="0.25">
      <c r="A7152">
        <v>1577197559</v>
      </c>
      <c r="B7152" t="s">
        <v>29373</v>
      </c>
      <c r="C7152">
        <v>552</v>
      </c>
      <c r="D7152">
        <v>5</v>
      </c>
      <c r="E7152">
        <v>27006</v>
      </c>
      <c r="F7152">
        <v>336</v>
      </c>
      <c r="G7152">
        <f t="shared" si="111"/>
        <v>1577197559</v>
      </c>
    </row>
    <row r="7153" spans="1:7" x14ac:dyDescent="0.25">
      <c r="A7153">
        <v>1577197561</v>
      </c>
      <c r="B7153" t="s">
        <v>36837</v>
      </c>
      <c r="C7153">
        <v>259</v>
      </c>
      <c r="D7153">
        <v>11</v>
      </c>
      <c r="E7153">
        <v>60887</v>
      </c>
      <c r="F7153">
        <v>20</v>
      </c>
      <c r="G7153">
        <f t="shared" si="111"/>
        <v>1577197561</v>
      </c>
    </row>
    <row r="7154" spans="1:7" x14ac:dyDescent="0.25">
      <c r="A7154">
        <v>1577197563</v>
      </c>
      <c r="B7154" t="s">
        <v>29374</v>
      </c>
      <c r="C7154">
        <v>0</v>
      </c>
      <c r="D7154">
        <v>1</v>
      </c>
      <c r="E7154">
        <v>6592</v>
      </c>
      <c r="F7154">
        <v>2142</v>
      </c>
      <c r="G7154">
        <f t="shared" si="111"/>
        <v>1577197563</v>
      </c>
    </row>
    <row r="7155" spans="1:7" x14ac:dyDescent="0.25">
      <c r="A7155">
        <v>1577197569</v>
      </c>
      <c r="B7155" t="s">
        <v>29375</v>
      </c>
      <c r="C7155">
        <v>186</v>
      </c>
      <c r="D7155">
        <v>1</v>
      </c>
      <c r="E7155">
        <v>3055</v>
      </c>
      <c r="F7155">
        <v>2982</v>
      </c>
      <c r="G7155">
        <f t="shared" si="111"/>
        <v>1577197569</v>
      </c>
    </row>
    <row r="7156" spans="1:7" x14ac:dyDescent="0.25">
      <c r="A7156">
        <v>1577197571</v>
      </c>
      <c r="B7156" t="s">
        <v>29376</v>
      </c>
      <c r="C7156">
        <v>0</v>
      </c>
      <c r="D7156">
        <v>1</v>
      </c>
      <c r="E7156">
        <v>51</v>
      </c>
      <c r="F7156">
        <v>6168</v>
      </c>
      <c r="G7156">
        <f t="shared" si="111"/>
        <v>1577197571</v>
      </c>
    </row>
    <row r="7157" spans="1:7" x14ac:dyDescent="0.25">
      <c r="A7157">
        <v>1577197572</v>
      </c>
      <c r="B7157" t="s">
        <v>29377</v>
      </c>
      <c r="C7157">
        <v>0</v>
      </c>
      <c r="D7157">
        <v>1</v>
      </c>
      <c r="E7157">
        <v>2737</v>
      </c>
      <c r="F7157">
        <v>3062</v>
      </c>
      <c r="G7157">
        <f t="shared" si="111"/>
        <v>1577197572</v>
      </c>
    </row>
    <row r="7158" spans="1:7" x14ac:dyDescent="0.25">
      <c r="A7158">
        <v>1577197576</v>
      </c>
      <c r="B7158" t="s">
        <v>29378</v>
      </c>
      <c r="C7158">
        <v>196</v>
      </c>
      <c r="D7158">
        <v>4</v>
      </c>
      <c r="E7158">
        <v>20323</v>
      </c>
      <c r="F7158">
        <v>605</v>
      </c>
      <c r="G7158">
        <f t="shared" si="111"/>
        <v>1577197576</v>
      </c>
    </row>
    <row r="7159" spans="1:7" x14ac:dyDescent="0.25">
      <c r="A7159">
        <v>1577197578</v>
      </c>
      <c r="B7159" t="s">
        <v>29379</v>
      </c>
      <c r="C7159">
        <v>79</v>
      </c>
      <c r="D7159">
        <v>2</v>
      </c>
      <c r="E7159">
        <v>9469</v>
      </c>
      <c r="F7159">
        <v>1638</v>
      </c>
      <c r="G7159">
        <f t="shared" si="111"/>
        <v>1577197578</v>
      </c>
    </row>
    <row r="7160" spans="1:7" x14ac:dyDescent="0.25">
      <c r="A7160">
        <v>1577197583</v>
      </c>
      <c r="B7160" t="s">
        <v>37077</v>
      </c>
      <c r="C7160">
        <v>115</v>
      </c>
      <c r="D7160">
        <v>2</v>
      </c>
      <c r="E7160">
        <v>8588</v>
      </c>
      <c r="F7160">
        <v>1784</v>
      </c>
      <c r="G7160">
        <f t="shared" si="111"/>
        <v>1577197583</v>
      </c>
    </row>
    <row r="7161" spans="1:7" x14ac:dyDescent="0.25">
      <c r="A7161">
        <v>1577197586</v>
      </c>
      <c r="B7161" t="s">
        <v>29380</v>
      </c>
      <c r="C7161">
        <v>115</v>
      </c>
      <c r="D7161">
        <v>1</v>
      </c>
      <c r="E7161">
        <v>5478</v>
      </c>
      <c r="F7161">
        <v>2408</v>
      </c>
      <c r="G7161">
        <f t="shared" si="111"/>
        <v>1577197586</v>
      </c>
    </row>
    <row r="7162" spans="1:7" x14ac:dyDescent="0.25">
      <c r="A7162">
        <v>1577197588</v>
      </c>
      <c r="B7162" t="s">
        <v>1644</v>
      </c>
      <c r="C7162">
        <v>424</v>
      </c>
      <c r="D7162">
        <v>2</v>
      </c>
      <c r="E7162">
        <v>8373</v>
      </c>
      <c r="F7162">
        <v>1815</v>
      </c>
      <c r="G7162">
        <f t="shared" si="111"/>
        <v>1577197588</v>
      </c>
    </row>
    <row r="7163" spans="1:7" x14ac:dyDescent="0.25">
      <c r="A7163">
        <v>1577197595</v>
      </c>
      <c r="B7163" t="s">
        <v>29381</v>
      </c>
      <c r="C7163">
        <v>1766</v>
      </c>
      <c r="D7163">
        <v>0</v>
      </c>
      <c r="E7163">
        <v>0</v>
      </c>
      <c r="F7163">
        <v>8287</v>
      </c>
      <c r="G7163">
        <f t="shared" si="111"/>
        <v>1577197595</v>
      </c>
    </row>
    <row r="7164" spans="1:7" x14ac:dyDescent="0.25">
      <c r="A7164">
        <v>1577197597</v>
      </c>
      <c r="B7164" t="s">
        <v>29382</v>
      </c>
      <c r="C7164">
        <v>53</v>
      </c>
      <c r="D7164">
        <v>4</v>
      </c>
      <c r="E7164">
        <v>20574</v>
      </c>
      <c r="F7164">
        <v>592</v>
      </c>
      <c r="G7164">
        <f t="shared" si="111"/>
        <v>1577197597</v>
      </c>
    </row>
    <row r="7165" spans="1:7" x14ac:dyDescent="0.25">
      <c r="A7165">
        <v>1577197602</v>
      </c>
      <c r="B7165" t="s">
        <v>29383</v>
      </c>
      <c r="C7165">
        <v>0</v>
      </c>
      <c r="D7165">
        <v>1</v>
      </c>
      <c r="E7165">
        <v>26</v>
      </c>
      <c r="F7165">
        <v>6851</v>
      </c>
      <c r="G7165">
        <f t="shared" si="111"/>
        <v>1577197602</v>
      </c>
    </row>
    <row r="7166" spans="1:7" x14ac:dyDescent="0.25">
      <c r="A7166">
        <v>1577197615</v>
      </c>
      <c r="B7166" t="s">
        <v>29384</v>
      </c>
      <c r="C7166">
        <v>534</v>
      </c>
      <c r="D7166">
        <v>4</v>
      </c>
      <c r="E7166">
        <v>21380</v>
      </c>
      <c r="F7166">
        <v>555</v>
      </c>
      <c r="G7166">
        <f t="shared" si="111"/>
        <v>1577197615</v>
      </c>
    </row>
    <row r="7167" spans="1:7" x14ac:dyDescent="0.25">
      <c r="A7167">
        <v>1577197618</v>
      </c>
      <c r="B7167" t="s">
        <v>29385</v>
      </c>
      <c r="C7167">
        <v>534</v>
      </c>
      <c r="D7167">
        <v>2</v>
      </c>
      <c r="E7167">
        <v>7136</v>
      </c>
      <c r="F7167">
        <v>2049</v>
      </c>
      <c r="G7167">
        <f t="shared" si="111"/>
        <v>1577197618</v>
      </c>
    </row>
    <row r="7168" spans="1:7" x14ac:dyDescent="0.25">
      <c r="A7168">
        <v>1577197624</v>
      </c>
      <c r="B7168" t="s">
        <v>29386</v>
      </c>
      <c r="C7168">
        <v>79</v>
      </c>
      <c r="D7168">
        <v>3</v>
      </c>
      <c r="E7168">
        <v>8992</v>
      </c>
      <c r="F7168">
        <v>1719</v>
      </c>
      <c r="G7168">
        <f t="shared" si="111"/>
        <v>1577197624</v>
      </c>
    </row>
    <row r="7169" spans="1:7" x14ac:dyDescent="0.25">
      <c r="A7169">
        <v>1577197626</v>
      </c>
      <c r="B7169" t="s">
        <v>29387</v>
      </c>
      <c r="C7169">
        <v>0</v>
      </c>
      <c r="D7169">
        <v>0</v>
      </c>
      <c r="E7169">
        <v>0</v>
      </c>
      <c r="F7169">
        <v>8288</v>
      </c>
      <c r="G7169">
        <f t="shared" ref="G7169:G7232" si="112">A7169</f>
        <v>1577197626</v>
      </c>
    </row>
    <row r="7170" spans="1:7" x14ac:dyDescent="0.25">
      <c r="A7170">
        <v>1577197630</v>
      </c>
      <c r="B7170" t="s">
        <v>29388</v>
      </c>
      <c r="C7170">
        <v>218</v>
      </c>
      <c r="D7170">
        <v>1</v>
      </c>
      <c r="E7170">
        <v>2846</v>
      </c>
      <c r="F7170">
        <v>3027</v>
      </c>
      <c r="G7170">
        <f t="shared" si="112"/>
        <v>1577197630</v>
      </c>
    </row>
    <row r="7171" spans="1:7" x14ac:dyDescent="0.25">
      <c r="A7171">
        <v>1577197631</v>
      </c>
      <c r="B7171" t="s">
        <v>29389</v>
      </c>
      <c r="C7171">
        <v>0</v>
      </c>
      <c r="D7171">
        <v>0</v>
      </c>
      <c r="E7171">
        <v>0</v>
      </c>
      <c r="F7171">
        <v>8289</v>
      </c>
      <c r="G7171">
        <f t="shared" si="112"/>
        <v>1577197631</v>
      </c>
    </row>
    <row r="7172" spans="1:7" x14ac:dyDescent="0.25">
      <c r="A7172">
        <v>1577197633</v>
      </c>
      <c r="B7172" t="s">
        <v>200</v>
      </c>
      <c r="C7172">
        <v>126</v>
      </c>
      <c r="D7172">
        <v>5</v>
      </c>
      <c r="E7172">
        <v>12754</v>
      </c>
      <c r="F7172">
        <v>1201</v>
      </c>
      <c r="G7172">
        <f t="shared" si="112"/>
        <v>1577197633</v>
      </c>
    </row>
    <row r="7173" spans="1:7" x14ac:dyDescent="0.25">
      <c r="A7173">
        <v>1577197636</v>
      </c>
      <c r="B7173" t="s">
        <v>29390</v>
      </c>
      <c r="C7173">
        <v>1100</v>
      </c>
      <c r="D7173">
        <v>1</v>
      </c>
      <c r="E7173">
        <v>6067</v>
      </c>
      <c r="F7173">
        <v>2259</v>
      </c>
      <c r="G7173">
        <f t="shared" si="112"/>
        <v>1577197636</v>
      </c>
    </row>
    <row r="7174" spans="1:7" x14ac:dyDescent="0.25">
      <c r="A7174">
        <v>1577197641</v>
      </c>
      <c r="B7174" t="s">
        <v>29391</v>
      </c>
      <c r="C7174">
        <v>0</v>
      </c>
      <c r="D7174">
        <v>0</v>
      </c>
      <c r="E7174">
        <v>0</v>
      </c>
      <c r="F7174">
        <v>8290</v>
      </c>
      <c r="G7174">
        <f t="shared" si="112"/>
        <v>1577197641</v>
      </c>
    </row>
    <row r="7175" spans="1:7" x14ac:dyDescent="0.25">
      <c r="A7175">
        <v>1577197642</v>
      </c>
      <c r="B7175" t="s">
        <v>29392</v>
      </c>
      <c r="C7175">
        <v>48</v>
      </c>
      <c r="D7175">
        <v>3</v>
      </c>
      <c r="E7175">
        <v>7078</v>
      </c>
      <c r="F7175">
        <v>2052</v>
      </c>
      <c r="G7175">
        <f t="shared" si="112"/>
        <v>1577197642</v>
      </c>
    </row>
    <row r="7176" spans="1:7" x14ac:dyDescent="0.25">
      <c r="A7176">
        <v>1577197643</v>
      </c>
      <c r="B7176" t="s">
        <v>37357</v>
      </c>
      <c r="C7176">
        <v>0</v>
      </c>
      <c r="D7176">
        <v>0</v>
      </c>
      <c r="E7176">
        <v>0</v>
      </c>
      <c r="F7176">
        <v>8291</v>
      </c>
      <c r="G7176">
        <f t="shared" si="112"/>
        <v>1577197643</v>
      </c>
    </row>
    <row r="7177" spans="1:7" x14ac:dyDescent="0.25">
      <c r="A7177">
        <v>1577197647</v>
      </c>
      <c r="B7177" t="s">
        <v>29393</v>
      </c>
      <c r="C7177">
        <v>175</v>
      </c>
      <c r="D7177">
        <v>3</v>
      </c>
      <c r="E7177">
        <v>12626</v>
      </c>
      <c r="F7177">
        <v>1217</v>
      </c>
      <c r="G7177">
        <f t="shared" si="112"/>
        <v>1577197647</v>
      </c>
    </row>
    <row r="7178" spans="1:7" x14ac:dyDescent="0.25">
      <c r="A7178">
        <v>1577197648</v>
      </c>
      <c r="B7178" t="s">
        <v>29394</v>
      </c>
      <c r="C7178">
        <v>15</v>
      </c>
      <c r="D7178">
        <v>1</v>
      </c>
      <c r="E7178">
        <v>4689</v>
      </c>
      <c r="F7178">
        <v>2577</v>
      </c>
      <c r="G7178">
        <f t="shared" si="112"/>
        <v>1577197648</v>
      </c>
    </row>
    <row r="7179" spans="1:7" x14ac:dyDescent="0.25">
      <c r="A7179">
        <v>1577197651</v>
      </c>
      <c r="B7179" t="s">
        <v>36838</v>
      </c>
      <c r="C7179">
        <v>1989</v>
      </c>
      <c r="D7179">
        <v>1</v>
      </c>
      <c r="E7179">
        <v>308</v>
      </c>
      <c r="F7179">
        <v>5104</v>
      </c>
      <c r="G7179">
        <f t="shared" si="112"/>
        <v>1577197651</v>
      </c>
    </row>
    <row r="7180" spans="1:7" x14ac:dyDescent="0.25">
      <c r="A7180">
        <v>1577197655</v>
      </c>
      <c r="B7180" t="s">
        <v>36839</v>
      </c>
      <c r="C7180">
        <v>1622</v>
      </c>
      <c r="D7180">
        <v>1</v>
      </c>
      <c r="E7180">
        <v>600</v>
      </c>
      <c r="F7180">
        <v>4469</v>
      </c>
      <c r="G7180">
        <f t="shared" si="112"/>
        <v>1577197655</v>
      </c>
    </row>
    <row r="7181" spans="1:7" x14ac:dyDescent="0.25">
      <c r="A7181">
        <v>1577197660</v>
      </c>
      <c r="B7181" t="s">
        <v>29395</v>
      </c>
      <c r="C7181">
        <v>625</v>
      </c>
      <c r="D7181">
        <v>2</v>
      </c>
      <c r="E7181">
        <v>8090</v>
      </c>
      <c r="F7181">
        <v>1863</v>
      </c>
      <c r="G7181">
        <f t="shared" si="112"/>
        <v>1577197660</v>
      </c>
    </row>
    <row r="7182" spans="1:7" x14ac:dyDescent="0.25">
      <c r="A7182">
        <v>1577197662</v>
      </c>
      <c r="B7182" t="s">
        <v>29396</v>
      </c>
      <c r="C7182">
        <v>79</v>
      </c>
      <c r="D7182">
        <v>3</v>
      </c>
      <c r="E7182">
        <v>20615</v>
      </c>
      <c r="F7182">
        <v>590</v>
      </c>
      <c r="G7182">
        <f t="shared" si="112"/>
        <v>1577197662</v>
      </c>
    </row>
    <row r="7183" spans="1:7" x14ac:dyDescent="0.25">
      <c r="A7183">
        <v>1577197667</v>
      </c>
      <c r="B7183" t="s">
        <v>29397</v>
      </c>
      <c r="C7183">
        <v>1143</v>
      </c>
      <c r="D7183">
        <v>1</v>
      </c>
      <c r="E7183">
        <v>4385</v>
      </c>
      <c r="F7183">
        <v>2654</v>
      </c>
      <c r="G7183">
        <f t="shared" si="112"/>
        <v>1577197667</v>
      </c>
    </row>
    <row r="7184" spans="1:7" x14ac:dyDescent="0.25">
      <c r="A7184">
        <v>1577197668</v>
      </c>
      <c r="B7184" t="s">
        <v>1264</v>
      </c>
      <c r="C7184">
        <v>367</v>
      </c>
      <c r="D7184">
        <v>2</v>
      </c>
      <c r="E7184">
        <v>10141</v>
      </c>
      <c r="F7184">
        <v>1543</v>
      </c>
      <c r="G7184">
        <f t="shared" si="112"/>
        <v>1577197668</v>
      </c>
    </row>
    <row r="7185" spans="1:7" x14ac:dyDescent="0.25">
      <c r="A7185">
        <v>1577197675</v>
      </c>
      <c r="B7185" t="s">
        <v>29398</v>
      </c>
      <c r="C7185">
        <v>0</v>
      </c>
      <c r="D7185">
        <v>0</v>
      </c>
      <c r="E7185">
        <v>0</v>
      </c>
      <c r="F7185">
        <v>8292</v>
      </c>
      <c r="G7185">
        <f t="shared" si="112"/>
        <v>1577197675</v>
      </c>
    </row>
    <row r="7186" spans="1:7" x14ac:dyDescent="0.25">
      <c r="A7186">
        <v>1577197676</v>
      </c>
      <c r="B7186" t="s">
        <v>36840</v>
      </c>
      <c r="C7186">
        <v>1930</v>
      </c>
      <c r="D7186">
        <v>1</v>
      </c>
      <c r="E7186">
        <v>2438</v>
      </c>
      <c r="F7186">
        <v>3162</v>
      </c>
      <c r="G7186">
        <f t="shared" si="112"/>
        <v>1577197676</v>
      </c>
    </row>
    <row r="7187" spans="1:7" x14ac:dyDescent="0.25">
      <c r="A7187">
        <v>1577197679</v>
      </c>
      <c r="B7187" t="s">
        <v>29399</v>
      </c>
      <c r="C7187">
        <v>1689</v>
      </c>
      <c r="D7187">
        <v>2</v>
      </c>
      <c r="E7187">
        <v>6402</v>
      </c>
      <c r="F7187">
        <v>2187</v>
      </c>
      <c r="G7187">
        <f t="shared" si="112"/>
        <v>1577197679</v>
      </c>
    </row>
    <row r="7188" spans="1:7" x14ac:dyDescent="0.25">
      <c r="A7188">
        <v>1577197681</v>
      </c>
      <c r="B7188" t="s">
        <v>36841</v>
      </c>
      <c r="C7188">
        <v>810</v>
      </c>
      <c r="D7188">
        <v>0</v>
      </c>
      <c r="E7188">
        <v>0</v>
      </c>
      <c r="F7188">
        <v>8293</v>
      </c>
      <c r="G7188">
        <f t="shared" si="112"/>
        <v>1577197681</v>
      </c>
    </row>
    <row r="7189" spans="1:7" x14ac:dyDescent="0.25">
      <c r="A7189">
        <v>1577197682</v>
      </c>
      <c r="B7189" t="s">
        <v>29400</v>
      </c>
      <c r="C7189">
        <v>367</v>
      </c>
      <c r="D7189">
        <v>4</v>
      </c>
      <c r="E7189">
        <v>16821</v>
      </c>
      <c r="F7189">
        <v>843</v>
      </c>
      <c r="G7189">
        <f t="shared" si="112"/>
        <v>1577197682</v>
      </c>
    </row>
    <row r="7190" spans="1:7" x14ac:dyDescent="0.25">
      <c r="A7190">
        <v>1577197686</v>
      </c>
      <c r="B7190" t="s">
        <v>29401</v>
      </c>
      <c r="C7190">
        <v>0</v>
      </c>
      <c r="D7190">
        <v>0</v>
      </c>
      <c r="E7190">
        <v>0</v>
      </c>
      <c r="F7190">
        <v>8294</v>
      </c>
      <c r="G7190">
        <f t="shared" si="112"/>
        <v>1577197686</v>
      </c>
    </row>
    <row r="7191" spans="1:7" x14ac:dyDescent="0.25">
      <c r="A7191">
        <v>1577197691</v>
      </c>
      <c r="B7191" t="s">
        <v>29402</v>
      </c>
      <c r="C7191">
        <v>27</v>
      </c>
      <c r="D7191">
        <v>4</v>
      </c>
      <c r="E7191">
        <v>21284</v>
      </c>
      <c r="F7191">
        <v>560</v>
      </c>
      <c r="G7191">
        <f t="shared" si="112"/>
        <v>1577197691</v>
      </c>
    </row>
    <row r="7192" spans="1:7" x14ac:dyDescent="0.25">
      <c r="A7192">
        <v>1577197704</v>
      </c>
      <c r="B7192" t="s">
        <v>36842</v>
      </c>
      <c r="C7192">
        <v>424</v>
      </c>
      <c r="D7192">
        <v>3</v>
      </c>
      <c r="E7192">
        <v>11756</v>
      </c>
      <c r="F7192">
        <v>1315</v>
      </c>
      <c r="G7192">
        <f t="shared" si="112"/>
        <v>1577197704</v>
      </c>
    </row>
    <row r="7193" spans="1:7" x14ac:dyDescent="0.25">
      <c r="A7193">
        <v>1577197709</v>
      </c>
      <c r="B7193" t="s">
        <v>29403</v>
      </c>
      <c r="C7193">
        <v>882</v>
      </c>
      <c r="D7193">
        <v>3</v>
      </c>
      <c r="E7193">
        <v>11912</v>
      </c>
      <c r="F7193">
        <v>1291</v>
      </c>
      <c r="G7193">
        <f t="shared" si="112"/>
        <v>1577197709</v>
      </c>
    </row>
    <row r="7194" spans="1:7" x14ac:dyDescent="0.25">
      <c r="A7194">
        <v>1577197711</v>
      </c>
      <c r="B7194" t="s">
        <v>29404</v>
      </c>
      <c r="C7194">
        <v>274</v>
      </c>
      <c r="D7194">
        <v>1</v>
      </c>
      <c r="E7194">
        <v>2098</v>
      </c>
      <c r="F7194">
        <v>3292</v>
      </c>
      <c r="G7194">
        <f t="shared" si="112"/>
        <v>1577197711</v>
      </c>
    </row>
    <row r="7195" spans="1:7" x14ac:dyDescent="0.25">
      <c r="A7195">
        <v>1577197712</v>
      </c>
      <c r="B7195" t="s">
        <v>36843</v>
      </c>
      <c r="C7195">
        <v>4</v>
      </c>
      <c r="D7195">
        <v>9</v>
      </c>
      <c r="E7195">
        <v>47707</v>
      </c>
      <c r="F7195">
        <v>47</v>
      </c>
      <c r="G7195">
        <f t="shared" si="112"/>
        <v>1577197712</v>
      </c>
    </row>
    <row r="7196" spans="1:7" x14ac:dyDescent="0.25">
      <c r="A7196">
        <v>1577197717</v>
      </c>
      <c r="B7196" t="s">
        <v>29405</v>
      </c>
      <c r="C7196">
        <v>0</v>
      </c>
      <c r="D7196">
        <v>0</v>
      </c>
      <c r="E7196">
        <v>0</v>
      </c>
      <c r="F7196">
        <v>8295</v>
      </c>
      <c r="G7196">
        <f t="shared" si="112"/>
        <v>1577197717</v>
      </c>
    </row>
    <row r="7197" spans="1:7" x14ac:dyDescent="0.25">
      <c r="A7197">
        <v>1577197719</v>
      </c>
      <c r="B7197" t="s">
        <v>29406</v>
      </c>
      <c r="C7197">
        <v>152</v>
      </c>
      <c r="D7197">
        <v>4</v>
      </c>
      <c r="E7197">
        <v>24273</v>
      </c>
      <c r="F7197">
        <v>423</v>
      </c>
      <c r="G7197">
        <f t="shared" si="112"/>
        <v>1577197719</v>
      </c>
    </row>
    <row r="7198" spans="1:7" x14ac:dyDescent="0.25">
      <c r="A7198">
        <v>1577197727</v>
      </c>
      <c r="B7198" t="s">
        <v>29407</v>
      </c>
      <c r="C7198">
        <v>578</v>
      </c>
      <c r="D7198">
        <v>5</v>
      </c>
      <c r="E7198">
        <v>22408</v>
      </c>
      <c r="F7198">
        <v>500</v>
      </c>
      <c r="G7198">
        <f t="shared" si="112"/>
        <v>1577197727</v>
      </c>
    </row>
    <row r="7199" spans="1:7" x14ac:dyDescent="0.25">
      <c r="A7199">
        <v>1577197733</v>
      </c>
      <c r="B7199" t="s">
        <v>37358</v>
      </c>
      <c r="C7199">
        <v>4</v>
      </c>
      <c r="D7199">
        <v>12</v>
      </c>
      <c r="E7199">
        <v>65883</v>
      </c>
      <c r="F7199">
        <v>14</v>
      </c>
      <c r="G7199">
        <f t="shared" si="112"/>
        <v>1577197733</v>
      </c>
    </row>
    <row r="7200" spans="1:7" x14ac:dyDescent="0.25">
      <c r="A7200">
        <v>1577197735</v>
      </c>
      <c r="B7200" t="s">
        <v>4432</v>
      </c>
      <c r="C7200">
        <v>0</v>
      </c>
      <c r="D7200">
        <v>1</v>
      </c>
      <c r="E7200">
        <v>325</v>
      </c>
      <c r="F7200">
        <v>5080</v>
      </c>
      <c r="G7200">
        <f t="shared" si="112"/>
        <v>1577197735</v>
      </c>
    </row>
    <row r="7201" spans="1:7" x14ac:dyDescent="0.25">
      <c r="A7201">
        <v>1577197739</v>
      </c>
      <c r="B7201" t="s">
        <v>29408</v>
      </c>
      <c r="C7201">
        <v>138</v>
      </c>
      <c r="D7201">
        <v>4</v>
      </c>
      <c r="E7201">
        <v>19049</v>
      </c>
      <c r="F7201">
        <v>679</v>
      </c>
      <c r="G7201">
        <f t="shared" si="112"/>
        <v>1577197739</v>
      </c>
    </row>
    <row r="7202" spans="1:7" x14ac:dyDescent="0.25">
      <c r="A7202">
        <v>1577197743</v>
      </c>
      <c r="B7202" t="s">
        <v>29409</v>
      </c>
      <c r="C7202">
        <v>0</v>
      </c>
      <c r="D7202">
        <v>0</v>
      </c>
      <c r="E7202">
        <v>0</v>
      </c>
      <c r="F7202">
        <v>8296</v>
      </c>
      <c r="G7202">
        <f t="shared" si="112"/>
        <v>1577197743</v>
      </c>
    </row>
    <row r="7203" spans="1:7" x14ac:dyDescent="0.25">
      <c r="A7203">
        <v>1577197744</v>
      </c>
      <c r="B7203" t="s">
        <v>36844</v>
      </c>
      <c r="C7203">
        <v>0</v>
      </c>
      <c r="D7203">
        <v>1</v>
      </c>
      <c r="E7203">
        <v>4810</v>
      </c>
      <c r="F7203">
        <v>2549</v>
      </c>
      <c r="G7203">
        <f t="shared" si="112"/>
        <v>1577197744</v>
      </c>
    </row>
    <row r="7204" spans="1:7" x14ac:dyDescent="0.25">
      <c r="A7204">
        <v>1577197745</v>
      </c>
      <c r="B7204" t="s">
        <v>29410</v>
      </c>
      <c r="C7204">
        <v>680</v>
      </c>
      <c r="D7204">
        <v>5</v>
      </c>
      <c r="E7204">
        <v>27702</v>
      </c>
      <c r="F7204">
        <v>304</v>
      </c>
      <c r="G7204">
        <f t="shared" si="112"/>
        <v>1577197745</v>
      </c>
    </row>
    <row r="7205" spans="1:7" x14ac:dyDescent="0.25">
      <c r="A7205">
        <v>1577197746</v>
      </c>
      <c r="B7205" t="s">
        <v>29411</v>
      </c>
      <c r="C7205">
        <v>215</v>
      </c>
      <c r="D7205">
        <v>3</v>
      </c>
      <c r="E7205">
        <v>14473</v>
      </c>
      <c r="F7205">
        <v>1050</v>
      </c>
      <c r="G7205">
        <f t="shared" si="112"/>
        <v>1577197746</v>
      </c>
    </row>
    <row r="7206" spans="1:7" x14ac:dyDescent="0.25">
      <c r="A7206">
        <v>1577197749</v>
      </c>
      <c r="B7206" t="s">
        <v>29412</v>
      </c>
      <c r="C7206">
        <v>552</v>
      </c>
      <c r="D7206">
        <v>9</v>
      </c>
      <c r="E7206">
        <v>57527</v>
      </c>
      <c r="F7206">
        <v>23</v>
      </c>
      <c r="G7206">
        <f t="shared" si="112"/>
        <v>1577197749</v>
      </c>
    </row>
    <row r="7207" spans="1:7" x14ac:dyDescent="0.25">
      <c r="A7207">
        <v>1577197751</v>
      </c>
      <c r="B7207" t="s">
        <v>29413</v>
      </c>
      <c r="C7207">
        <v>0</v>
      </c>
      <c r="D7207">
        <v>0</v>
      </c>
      <c r="E7207">
        <v>0</v>
      </c>
      <c r="F7207">
        <v>8297</v>
      </c>
      <c r="G7207">
        <f t="shared" si="112"/>
        <v>1577197751</v>
      </c>
    </row>
    <row r="7208" spans="1:7" x14ac:dyDescent="0.25">
      <c r="A7208">
        <v>1577197753</v>
      </c>
      <c r="B7208" t="s">
        <v>29414</v>
      </c>
      <c r="C7208">
        <v>20</v>
      </c>
      <c r="D7208">
        <v>3</v>
      </c>
      <c r="E7208">
        <v>11549</v>
      </c>
      <c r="F7208">
        <v>1343</v>
      </c>
      <c r="G7208">
        <f t="shared" si="112"/>
        <v>1577197753</v>
      </c>
    </row>
    <row r="7209" spans="1:7" x14ac:dyDescent="0.25">
      <c r="A7209">
        <v>1577197754</v>
      </c>
      <c r="B7209" t="s">
        <v>29415</v>
      </c>
      <c r="C7209">
        <v>0</v>
      </c>
      <c r="D7209">
        <v>1</v>
      </c>
      <c r="E7209">
        <v>824</v>
      </c>
      <c r="F7209">
        <v>4169</v>
      </c>
      <c r="G7209">
        <f t="shared" si="112"/>
        <v>1577197754</v>
      </c>
    </row>
    <row r="7210" spans="1:7" x14ac:dyDescent="0.25">
      <c r="A7210">
        <v>1577197756</v>
      </c>
      <c r="B7210" t="s">
        <v>36845</v>
      </c>
      <c r="C7210">
        <v>617</v>
      </c>
      <c r="D7210">
        <v>7</v>
      </c>
      <c r="E7210">
        <v>35822</v>
      </c>
      <c r="F7210">
        <v>142</v>
      </c>
      <c r="G7210">
        <f t="shared" si="112"/>
        <v>1577197756</v>
      </c>
    </row>
    <row r="7211" spans="1:7" x14ac:dyDescent="0.25">
      <c r="A7211">
        <v>1577197757</v>
      </c>
      <c r="B7211" t="s">
        <v>36846</v>
      </c>
      <c r="C7211">
        <v>367</v>
      </c>
      <c r="D7211">
        <v>0</v>
      </c>
      <c r="E7211">
        <v>0</v>
      </c>
      <c r="F7211">
        <v>8298</v>
      </c>
      <c r="G7211">
        <f t="shared" si="112"/>
        <v>1577197757</v>
      </c>
    </row>
    <row r="7212" spans="1:7" x14ac:dyDescent="0.25">
      <c r="A7212">
        <v>1577197758</v>
      </c>
      <c r="B7212" t="s">
        <v>36847</v>
      </c>
      <c r="C7212">
        <v>0</v>
      </c>
      <c r="D7212">
        <v>0</v>
      </c>
      <c r="E7212">
        <v>0</v>
      </c>
      <c r="F7212">
        <v>8299</v>
      </c>
      <c r="G7212">
        <f t="shared" si="112"/>
        <v>1577197758</v>
      </c>
    </row>
    <row r="7213" spans="1:7" x14ac:dyDescent="0.25">
      <c r="A7213">
        <v>1577197760</v>
      </c>
      <c r="B7213" t="s">
        <v>29416</v>
      </c>
      <c r="C7213">
        <v>215</v>
      </c>
      <c r="D7213">
        <v>4</v>
      </c>
      <c r="E7213">
        <v>26360</v>
      </c>
      <c r="F7213">
        <v>357</v>
      </c>
      <c r="G7213">
        <f t="shared" si="112"/>
        <v>1577197760</v>
      </c>
    </row>
    <row r="7214" spans="1:7" x14ac:dyDescent="0.25">
      <c r="A7214">
        <v>1577197765</v>
      </c>
      <c r="B7214" t="s">
        <v>36848</v>
      </c>
      <c r="C7214">
        <v>10</v>
      </c>
      <c r="D7214">
        <v>2</v>
      </c>
      <c r="E7214">
        <v>5457</v>
      </c>
      <c r="F7214">
        <v>2417</v>
      </c>
      <c r="G7214">
        <f t="shared" si="112"/>
        <v>1577197765</v>
      </c>
    </row>
    <row r="7215" spans="1:7" x14ac:dyDescent="0.25">
      <c r="A7215">
        <v>1577197767</v>
      </c>
      <c r="B7215" t="s">
        <v>29417</v>
      </c>
      <c r="C7215">
        <v>422</v>
      </c>
      <c r="D7215">
        <v>3</v>
      </c>
      <c r="E7215">
        <v>13719</v>
      </c>
      <c r="F7215">
        <v>1099</v>
      </c>
      <c r="G7215">
        <f t="shared" si="112"/>
        <v>1577197767</v>
      </c>
    </row>
    <row r="7216" spans="1:7" x14ac:dyDescent="0.25">
      <c r="A7216">
        <v>1577197770</v>
      </c>
      <c r="B7216" t="s">
        <v>29418</v>
      </c>
      <c r="C7216">
        <v>0</v>
      </c>
      <c r="D7216">
        <v>1</v>
      </c>
      <c r="E7216">
        <v>192</v>
      </c>
      <c r="F7216">
        <v>5534</v>
      </c>
      <c r="G7216">
        <f t="shared" si="112"/>
        <v>1577197770</v>
      </c>
    </row>
    <row r="7217" spans="1:7" x14ac:dyDescent="0.25">
      <c r="A7217">
        <v>1577197772</v>
      </c>
      <c r="B7217" t="s">
        <v>37028</v>
      </c>
      <c r="C7217">
        <v>419</v>
      </c>
      <c r="D7217">
        <v>3</v>
      </c>
      <c r="E7217">
        <v>17507</v>
      </c>
      <c r="F7217">
        <v>790</v>
      </c>
      <c r="G7217">
        <f t="shared" si="112"/>
        <v>1577197772</v>
      </c>
    </row>
    <row r="7218" spans="1:7" x14ac:dyDescent="0.25">
      <c r="A7218">
        <v>1577197773</v>
      </c>
      <c r="B7218" t="s">
        <v>29419</v>
      </c>
      <c r="C7218">
        <v>199</v>
      </c>
      <c r="D7218">
        <v>1</v>
      </c>
      <c r="E7218">
        <v>4951</v>
      </c>
      <c r="F7218">
        <v>2520</v>
      </c>
      <c r="G7218">
        <f t="shared" si="112"/>
        <v>1577197773</v>
      </c>
    </row>
    <row r="7219" spans="1:7" x14ac:dyDescent="0.25">
      <c r="A7219">
        <v>1577197776</v>
      </c>
      <c r="B7219" t="s">
        <v>29420</v>
      </c>
      <c r="C7219">
        <v>760</v>
      </c>
      <c r="D7219">
        <v>4</v>
      </c>
      <c r="E7219">
        <v>23224</v>
      </c>
      <c r="F7219">
        <v>464</v>
      </c>
      <c r="G7219">
        <f t="shared" si="112"/>
        <v>1577197776</v>
      </c>
    </row>
    <row r="7220" spans="1:7" x14ac:dyDescent="0.25">
      <c r="A7220">
        <v>1577197784</v>
      </c>
      <c r="B7220" t="s">
        <v>29421</v>
      </c>
      <c r="C7220">
        <v>0</v>
      </c>
      <c r="D7220">
        <v>0</v>
      </c>
      <c r="E7220">
        <v>0</v>
      </c>
      <c r="F7220">
        <v>8300</v>
      </c>
      <c r="G7220">
        <f t="shared" si="112"/>
        <v>1577197784</v>
      </c>
    </row>
    <row r="7221" spans="1:7" x14ac:dyDescent="0.25">
      <c r="A7221">
        <v>1577197787</v>
      </c>
      <c r="B7221" t="s">
        <v>29422</v>
      </c>
      <c r="C7221">
        <v>429</v>
      </c>
      <c r="D7221">
        <v>3</v>
      </c>
      <c r="E7221">
        <v>8077</v>
      </c>
      <c r="F7221">
        <v>1866</v>
      </c>
      <c r="G7221">
        <f t="shared" si="112"/>
        <v>1577197787</v>
      </c>
    </row>
    <row r="7222" spans="1:7" x14ac:dyDescent="0.25">
      <c r="A7222">
        <v>1577197789</v>
      </c>
      <c r="B7222" t="s">
        <v>37078</v>
      </c>
      <c r="C7222">
        <v>0</v>
      </c>
      <c r="D7222">
        <v>0</v>
      </c>
      <c r="E7222">
        <v>0</v>
      </c>
      <c r="F7222">
        <v>8301</v>
      </c>
      <c r="G7222">
        <f t="shared" si="112"/>
        <v>1577197789</v>
      </c>
    </row>
    <row r="7223" spans="1:7" x14ac:dyDescent="0.25">
      <c r="A7223">
        <v>1577197792</v>
      </c>
      <c r="B7223" t="s">
        <v>29423</v>
      </c>
      <c r="C7223">
        <v>199</v>
      </c>
      <c r="D7223">
        <v>2</v>
      </c>
      <c r="E7223">
        <v>15870</v>
      </c>
      <c r="F7223">
        <v>918</v>
      </c>
      <c r="G7223">
        <f t="shared" si="112"/>
        <v>1577197792</v>
      </c>
    </row>
    <row r="7224" spans="1:7" x14ac:dyDescent="0.25">
      <c r="A7224">
        <v>1577197798</v>
      </c>
      <c r="B7224" t="s">
        <v>36849</v>
      </c>
      <c r="C7224">
        <v>0</v>
      </c>
      <c r="D7224">
        <v>0</v>
      </c>
      <c r="E7224">
        <v>0</v>
      </c>
      <c r="F7224">
        <v>8302</v>
      </c>
      <c r="G7224">
        <f t="shared" si="112"/>
        <v>1577197798</v>
      </c>
    </row>
    <row r="7225" spans="1:7" x14ac:dyDescent="0.25">
      <c r="A7225">
        <v>1577197800</v>
      </c>
      <c r="B7225" t="s">
        <v>29424</v>
      </c>
      <c r="C7225">
        <v>0</v>
      </c>
      <c r="D7225">
        <v>1</v>
      </c>
      <c r="E7225">
        <v>271</v>
      </c>
      <c r="F7225">
        <v>5220</v>
      </c>
      <c r="G7225">
        <f t="shared" si="112"/>
        <v>1577197800</v>
      </c>
    </row>
    <row r="7226" spans="1:7" x14ac:dyDescent="0.25">
      <c r="A7226">
        <v>1577197802</v>
      </c>
      <c r="B7226" t="s">
        <v>29425</v>
      </c>
      <c r="C7226">
        <v>0</v>
      </c>
      <c r="D7226">
        <v>0</v>
      </c>
      <c r="E7226">
        <v>0</v>
      </c>
      <c r="F7226">
        <v>8303</v>
      </c>
      <c r="G7226">
        <f t="shared" si="112"/>
        <v>1577197802</v>
      </c>
    </row>
    <row r="7227" spans="1:7" x14ac:dyDescent="0.25">
      <c r="A7227">
        <v>1577197803</v>
      </c>
      <c r="B7227" t="s">
        <v>1208</v>
      </c>
      <c r="C7227">
        <v>199</v>
      </c>
      <c r="D7227">
        <v>6</v>
      </c>
      <c r="E7227">
        <v>30934</v>
      </c>
      <c r="F7227">
        <v>224</v>
      </c>
      <c r="G7227">
        <f t="shared" si="112"/>
        <v>1577197803</v>
      </c>
    </row>
    <row r="7228" spans="1:7" x14ac:dyDescent="0.25">
      <c r="A7228">
        <v>1577197805</v>
      </c>
      <c r="B7228" t="s">
        <v>29426</v>
      </c>
      <c r="C7228">
        <v>896</v>
      </c>
      <c r="D7228">
        <v>5</v>
      </c>
      <c r="E7228">
        <v>28560</v>
      </c>
      <c r="F7228">
        <v>283</v>
      </c>
      <c r="G7228">
        <f t="shared" si="112"/>
        <v>1577197805</v>
      </c>
    </row>
    <row r="7229" spans="1:7" x14ac:dyDescent="0.25">
      <c r="A7229">
        <v>1577197809</v>
      </c>
      <c r="B7229" t="s">
        <v>29427</v>
      </c>
      <c r="C7229">
        <v>0</v>
      </c>
      <c r="D7229">
        <v>1</v>
      </c>
      <c r="E7229">
        <v>6504</v>
      </c>
      <c r="F7229">
        <v>2166</v>
      </c>
      <c r="G7229">
        <f t="shared" si="112"/>
        <v>1577197809</v>
      </c>
    </row>
    <row r="7230" spans="1:7" x14ac:dyDescent="0.25">
      <c r="A7230">
        <v>1577197813</v>
      </c>
      <c r="B7230" t="s">
        <v>29428</v>
      </c>
      <c r="C7230">
        <v>179</v>
      </c>
      <c r="D7230">
        <v>3</v>
      </c>
      <c r="E7230">
        <v>8520</v>
      </c>
      <c r="F7230">
        <v>1799</v>
      </c>
      <c r="G7230">
        <f t="shared" si="112"/>
        <v>1577197813</v>
      </c>
    </row>
    <row r="7231" spans="1:7" x14ac:dyDescent="0.25">
      <c r="A7231">
        <v>1577197817</v>
      </c>
      <c r="B7231" t="s">
        <v>29429</v>
      </c>
      <c r="C7231">
        <v>67</v>
      </c>
      <c r="D7231">
        <v>4</v>
      </c>
      <c r="E7231">
        <v>22611</v>
      </c>
      <c r="F7231">
        <v>494</v>
      </c>
      <c r="G7231">
        <f t="shared" si="112"/>
        <v>1577197817</v>
      </c>
    </row>
    <row r="7232" spans="1:7" x14ac:dyDescent="0.25">
      <c r="A7232">
        <v>1577197822</v>
      </c>
      <c r="B7232" t="s">
        <v>36850</v>
      </c>
      <c r="C7232">
        <v>149</v>
      </c>
      <c r="D7232">
        <v>0</v>
      </c>
      <c r="E7232">
        <v>0</v>
      </c>
      <c r="F7232">
        <v>8304</v>
      </c>
      <c r="G7232">
        <f t="shared" si="112"/>
        <v>1577197822</v>
      </c>
    </row>
    <row r="7233" spans="1:7" x14ac:dyDescent="0.25">
      <c r="A7233">
        <v>1577197823</v>
      </c>
      <c r="B7233" t="s">
        <v>29430</v>
      </c>
      <c r="C7233">
        <v>0</v>
      </c>
      <c r="D7233">
        <v>1</v>
      </c>
      <c r="E7233">
        <v>2860</v>
      </c>
      <c r="F7233">
        <v>3021</v>
      </c>
      <c r="G7233">
        <f t="shared" ref="G7233:G7296" si="113">A7233</f>
        <v>1577197823</v>
      </c>
    </row>
    <row r="7234" spans="1:7" x14ac:dyDescent="0.25">
      <c r="A7234">
        <v>1577197826</v>
      </c>
      <c r="B7234" t="s">
        <v>29431</v>
      </c>
      <c r="C7234">
        <v>1</v>
      </c>
      <c r="D7234">
        <v>1</v>
      </c>
      <c r="E7234">
        <v>169</v>
      </c>
      <c r="F7234">
        <v>5624</v>
      </c>
      <c r="G7234">
        <f t="shared" si="113"/>
        <v>1577197826</v>
      </c>
    </row>
    <row r="7235" spans="1:7" x14ac:dyDescent="0.25">
      <c r="A7235">
        <v>1577197827</v>
      </c>
      <c r="B7235" t="s">
        <v>29432</v>
      </c>
      <c r="C7235">
        <v>1758</v>
      </c>
      <c r="D7235">
        <v>2</v>
      </c>
      <c r="E7235">
        <v>10272</v>
      </c>
      <c r="F7235">
        <v>1528</v>
      </c>
      <c r="G7235">
        <f t="shared" si="113"/>
        <v>1577197827</v>
      </c>
    </row>
    <row r="7236" spans="1:7" x14ac:dyDescent="0.25">
      <c r="A7236">
        <v>1577197828</v>
      </c>
      <c r="B7236" t="s">
        <v>29433</v>
      </c>
      <c r="C7236">
        <v>259</v>
      </c>
      <c r="D7236">
        <v>5</v>
      </c>
      <c r="E7236">
        <v>27264</v>
      </c>
      <c r="F7236">
        <v>326</v>
      </c>
      <c r="G7236">
        <f t="shared" si="113"/>
        <v>1577197828</v>
      </c>
    </row>
    <row r="7237" spans="1:7" x14ac:dyDescent="0.25">
      <c r="A7237">
        <v>1577197829</v>
      </c>
      <c r="B7237" t="s">
        <v>29434</v>
      </c>
      <c r="C7237">
        <v>0</v>
      </c>
      <c r="D7237">
        <v>0</v>
      </c>
      <c r="E7237">
        <v>0</v>
      </c>
      <c r="F7237">
        <v>8305</v>
      </c>
      <c r="G7237">
        <f t="shared" si="113"/>
        <v>1577197829</v>
      </c>
    </row>
    <row r="7238" spans="1:7" x14ac:dyDescent="0.25">
      <c r="A7238">
        <v>1577197833</v>
      </c>
      <c r="B7238" t="s">
        <v>36851</v>
      </c>
      <c r="C7238">
        <v>150</v>
      </c>
      <c r="D7238">
        <v>0</v>
      </c>
      <c r="E7238">
        <v>0</v>
      </c>
      <c r="F7238">
        <v>8306</v>
      </c>
      <c r="G7238">
        <f t="shared" si="113"/>
        <v>1577197833</v>
      </c>
    </row>
    <row r="7239" spans="1:7" x14ac:dyDescent="0.25">
      <c r="A7239">
        <v>1577197834</v>
      </c>
      <c r="B7239" t="s">
        <v>29435</v>
      </c>
      <c r="C7239">
        <v>295</v>
      </c>
      <c r="D7239">
        <v>2</v>
      </c>
      <c r="E7239">
        <v>1021</v>
      </c>
      <c r="F7239">
        <v>3957</v>
      </c>
      <c r="G7239">
        <f t="shared" si="113"/>
        <v>1577197834</v>
      </c>
    </row>
    <row r="7240" spans="1:7" x14ac:dyDescent="0.25">
      <c r="A7240">
        <v>1577197836</v>
      </c>
      <c r="B7240" t="s">
        <v>29436</v>
      </c>
      <c r="C7240">
        <v>189</v>
      </c>
      <c r="D7240">
        <v>3</v>
      </c>
      <c r="E7240">
        <v>11865</v>
      </c>
      <c r="F7240">
        <v>1298</v>
      </c>
      <c r="G7240">
        <f t="shared" si="113"/>
        <v>1577197836</v>
      </c>
    </row>
    <row r="7241" spans="1:7" x14ac:dyDescent="0.25">
      <c r="A7241">
        <v>1577197838</v>
      </c>
      <c r="B7241" t="s">
        <v>29437</v>
      </c>
      <c r="C7241">
        <v>1930</v>
      </c>
      <c r="D7241">
        <v>1</v>
      </c>
      <c r="E7241">
        <v>4585</v>
      </c>
      <c r="F7241">
        <v>2600</v>
      </c>
      <c r="G7241">
        <f t="shared" si="113"/>
        <v>1577197838</v>
      </c>
    </row>
    <row r="7242" spans="1:7" x14ac:dyDescent="0.25">
      <c r="A7242">
        <v>1577197839</v>
      </c>
      <c r="B7242" t="s">
        <v>29438</v>
      </c>
      <c r="C7242">
        <v>274</v>
      </c>
      <c r="D7242">
        <v>2</v>
      </c>
      <c r="E7242">
        <v>7389</v>
      </c>
      <c r="F7242">
        <v>1997</v>
      </c>
      <c r="G7242">
        <f t="shared" si="113"/>
        <v>1577197839</v>
      </c>
    </row>
    <row r="7243" spans="1:7" x14ac:dyDescent="0.25">
      <c r="A7243">
        <v>1577197842</v>
      </c>
      <c r="B7243" t="s">
        <v>29439</v>
      </c>
      <c r="C7243">
        <v>39</v>
      </c>
      <c r="D7243">
        <v>2</v>
      </c>
      <c r="E7243">
        <v>8585</v>
      </c>
      <c r="F7243">
        <v>1786</v>
      </c>
      <c r="G7243">
        <f t="shared" si="113"/>
        <v>1577197842</v>
      </c>
    </row>
    <row r="7244" spans="1:7" x14ac:dyDescent="0.25">
      <c r="A7244">
        <v>1577197845</v>
      </c>
      <c r="B7244" t="s">
        <v>29440</v>
      </c>
      <c r="C7244">
        <v>0</v>
      </c>
      <c r="D7244">
        <v>0</v>
      </c>
      <c r="E7244">
        <v>0</v>
      </c>
      <c r="F7244">
        <v>8307</v>
      </c>
      <c r="G7244">
        <f t="shared" si="113"/>
        <v>1577197845</v>
      </c>
    </row>
    <row r="7245" spans="1:7" x14ac:dyDescent="0.25">
      <c r="A7245">
        <v>1577197846</v>
      </c>
      <c r="B7245" t="s">
        <v>29441</v>
      </c>
      <c r="C7245">
        <v>0</v>
      </c>
      <c r="D7245">
        <v>2</v>
      </c>
      <c r="E7245">
        <v>6211</v>
      </c>
      <c r="F7245">
        <v>2235</v>
      </c>
      <c r="G7245">
        <f t="shared" si="113"/>
        <v>1577197846</v>
      </c>
    </row>
    <row r="7246" spans="1:7" x14ac:dyDescent="0.25">
      <c r="A7246">
        <v>1577197847</v>
      </c>
      <c r="B7246" t="s">
        <v>29442</v>
      </c>
      <c r="C7246">
        <v>760</v>
      </c>
      <c r="D7246">
        <v>5</v>
      </c>
      <c r="E7246">
        <v>25737</v>
      </c>
      <c r="F7246">
        <v>370</v>
      </c>
      <c r="G7246">
        <f t="shared" si="113"/>
        <v>1577197847</v>
      </c>
    </row>
    <row r="7247" spans="1:7" x14ac:dyDescent="0.25">
      <c r="A7247">
        <v>1577197850</v>
      </c>
      <c r="B7247" t="s">
        <v>29443</v>
      </c>
      <c r="C7247">
        <v>126</v>
      </c>
      <c r="D7247">
        <v>6</v>
      </c>
      <c r="E7247">
        <v>30962</v>
      </c>
      <c r="F7247">
        <v>228</v>
      </c>
      <c r="G7247">
        <f t="shared" si="113"/>
        <v>1577197850</v>
      </c>
    </row>
    <row r="7248" spans="1:7" x14ac:dyDescent="0.25">
      <c r="A7248">
        <v>1577197856</v>
      </c>
      <c r="B7248" t="s">
        <v>29444</v>
      </c>
      <c r="C7248">
        <v>96</v>
      </c>
      <c r="D7248">
        <v>1</v>
      </c>
      <c r="E7248">
        <v>5282</v>
      </c>
      <c r="F7248">
        <v>2481</v>
      </c>
      <c r="G7248">
        <f t="shared" si="113"/>
        <v>1577197856</v>
      </c>
    </row>
    <row r="7249" spans="1:7" x14ac:dyDescent="0.25">
      <c r="A7249">
        <v>1577197857</v>
      </c>
      <c r="B7249" t="s">
        <v>36852</v>
      </c>
      <c r="C7249">
        <v>0</v>
      </c>
      <c r="D7249">
        <v>0</v>
      </c>
      <c r="E7249">
        <v>0</v>
      </c>
      <c r="F7249">
        <v>8308</v>
      </c>
      <c r="G7249">
        <f t="shared" si="113"/>
        <v>1577197857</v>
      </c>
    </row>
    <row r="7250" spans="1:7" x14ac:dyDescent="0.25">
      <c r="A7250">
        <v>1577197861</v>
      </c>
      <c r="B7250" t="s">
        <v>29445</v>
      </c>
      <c r="C7250">
        <v>0</v>
      </c>
      <c r="D7250">
        <v>1</v>
      </c>
      <c r="E7250">
        <v>26</v>
      </c>
      <c r="F7250">
        <v>6852</v>
      </c>
      <c r="G7250">
        <f t="shared" si="113"/>
        <v>1577197861</v>
      </c>
    </row>
    <row r="7251" spans="1:7" x14ac:dyDescent="0.25">
      <c r="A7251">
        <v>1577197864</v>
      </c>
      <c r="B7251" t="s">
        <v>29446</v>
      </c>
      <c r="C7251">
        <v>0</v>
      </c>
      <c r="D7251">
        <v>0</v>
      </c>
      <c r="E7251">
        <v>0</v>
      </c>
      <c r="F7251">
        <v>8309</v>
      </c>
      <c r="G7251">
        <f t="shared" si="113"/>
        <v>1577197864</v>
      </c>
    </row>
    <row r="7252" spans="1:7" x14ac:dyDescent="0.25">
      <c r="A7252">
        <v>1577197867</v>
      </c>
      <c r="B7252" t="s">
        <v>37359</v>
      </c>
      <c r="C7252">
        <v>842</v>
      </c>
      <c r="D7252">
        <v>0</v>
      </c>
      <c r="E7252">
        <v>0</v>
      </c>
      <c r="F7252">
        <v>8310</v>
      </c>
      <c r="G7252">
        <f t="shared" si="113"/>
        <v>1577197867</v>
      </c>
    </row>
    <row r="7253" spans="1:7" x14ac:dyDescent="0.25">
      <c r="A7253">
        <v>1577197868</v>
      </c>
      <c r="B7253" t="s">
        <v>29447</v>
      </c>
      <c r="C7253">
        <v>1962</v>
      </c>
      <c r="D7253">
        <v>1</v>
      </c>
      <c r="E7253">
        <v>2265</v>
      </c>
      <c r="F7253">
        <v>3221</v>
      </c>
      <c r="G7253">
        <f t="shared" si="113"/>
        <v>1577197868</v>
      </c>
    </row>
    <row r="7254" spans="1:7" x14ac:dyDescent="0.25">
      <c r="A7254">
        <v>1577197869</v>
      </c>
      <c r="B7254" t="s">
        <v>37190</v>
      </c>
      <c r="C7254">
        <v>53</v>
      </c>
      <c r="D7254">
        <v>3</v>
      </c>
      <c r="E7254">
        <v>19232</v>
      </c>
      <c r="F7254">
        <v>668</v>
      </c>
      <c r="G7254">
        <f t="shared" si="113"/>
        <v>1577197869</v>
      </c>
    </row>
    <row r="7255" spans="1:7" x14ac:dyDescent="0.25">
      <c r="A7255">
        <v>1577197871</v>
      </c>
      <c r="B7255" t="s">
        <v>29448</v>
      </c>
      <c r="C7255">
        <v>0</v>
      </c>
      <c r="D7255">
        <v>0</v>
      </c>
      <c r="E7255">
        <v>0</v>
      </c>
      <c r="F7255">
        <v>8311</v>
      </c>
      <c r="G7255">
        <f t="shared" si="113"/>
        <v>1577197871</v>
      </c>
    </row>
    <row r="7256" spans="1:7" x14ac:dyDescent="0.25">
      <c r="A7256">
        <v>1577197880</v>
      </c>
      <c r="B7256" t="s">
        <v>29449</v>
      </c>
      <c r="C7256">
        <v>4</v>
      </c>
      <c r="D7256">
        <v>9</v>
      </c>
      <c r="E7256">
        <v>45587</v>
      </c>
      <c r="F7256">
        <v>60</v>
      </c>
      <c r="G7256">
        <f t="shared" si="113"/>
        <v>1577197880</v>
      </c>
    </row>
    <row r="7257" spans="1:7" x14ac:dyDescent="0.25">
      <c r="A7257">
        <v>1577197881</v>
      </c>
      <c r="B7257" t="s">
        <v>29450</v>
      </c>
      <c r="C7257">
        <v>27</v>
      </c>
      <c r="D7257">
        <v>3</v>
      </c>
      <c r="E7257">
        <v>11985</v>
      </c>
      <c r="F7257">
        <v>1292</v>
      </c>
      <c r="G7257">
        <f t="shared" si="113"/>
        <v>1577197881</v>
      </c>
    </row>
    <row r="7258" spans="1:7" x14ac:dyDescent="0.25">
      <c r="A7258">
        <v>1577197882</v>
      </c>
      <c r="B7258" t="s">
        <v>36853</v>
      </c>
      <c r="C7258">
        <v>53</v>
      </c>
      <c r="D7258">
        <v>3</v>
      </c>
      <c r="E7258">
        <v>13341</v>
      </c>
      <c r="F7258">
        <v>1134</v>
      </c>
      <c r="G7258">
        <f t="shared" si="113"/>
        <v>1577197882</v>
      </c>
    </row>
    <row r="7259" spans="1:7" x14ac:dyDescent="0.25">
      <c r="A7259">
        <v>1577197883</v>
      </c>
      <c r="B7259" t="s">
        <v>29451</v>
      </c>
      <c r="C7259">
        <v>33</v>
      </c>
      <c r="D7259">
        <v>1</v>
      </c>
      <c r="E7259">
        <v>5890</v>
      </c>
      <c r="F7259">
        <v>2304</v>
      </c>
      <c r="G7259">
        <f t="shared" si="113"/>
        <v>1577197883</v>
      </c>
    </row>
    <row r="7260" spans="1:7" x14ac:dyDescent="0.25">
      <c r="A7260">
        <v>1577197886</v>
      </c>
      <c r="B7260" t="s">
        <v>29452</v>
      </c>
      <c r="C7260">
        <v>48</v>
      </c>
      <c r="D7260">
        <v>3</v>
      </c>
      <c r="E7260">
        <v>10220</v>
      </c>
      <c r="F7260">
        <v>1538</v>
      </c>
      <c r="G7260">
        <f t="shared" si="113"/>
        <v>1577197886</v>
      </c>
    </row>
    <row r="7261" spans="1:7" x14ac:dyDescent="0.25">
      <c r="A7261">
        <v>1577197889</v>
      </c>
      <c r="B7261" t="s">
        <v>29453</v>
      </c>
      <c r="C7261">
        <v>115</v>
      </c>
      <c r="D7261">
        <v>9</v>
      </c>
      <c r="E7261">
        <v>45086</v>
      </c>
      <c r="F7261">
        <v>63</v>
      </c>
      <c r="G7261">
        <f t="shared" si="113"/>
        <v>1577197889</v>
      </c>
    </row>
    <row r="7262" spans="1:7" x14ac:dyDescent="0.25">
      <c r="A7262">
        <v>1577197890</v>
      </c>
      <c r="B7262" t="s">
        <v>29454</v>
      </c>
      <c r="C7262">
        <v>53</v>
      </c>
      <c r="D7262">
        <v>1</v>
      </c>
      <c r="E7262">
        <v>5502</v>
      </c>
      <c r="F7262">
        <v>2401</v>
      </c>
      <c r="G7262">
        <f t="shared" si="113"/>
        <v>1577197890</v>
      </c>
    </row>
    <row r="7263" spans="1:7" x14ac:dyDescent="0.25">
      <c r="A7263">
        <v>1577197892</v>
      </c>
      <c r="B7263" t="s">
        <v>29455</v>
      </c>
      <c r="C7263">
        <v>53</v>
      </c>
      <c r="D7263">
        <v>3</v>
      </c>
      <c r="E7263">
        <v>16540</v>
      </c>
      <c r="F7263">
        <v>867</v>
      </c>
      <c r="G7263">
        <f t="shared" si="113"/>
        <v>1577197892</v>
      </c>
    </row>
    <row r="7264" spans="1:7" x14ac:dyDescent="0.25">
      <c r="A7264">
        <v>1577197893</v>
      </c>
      <c r="B7264" t="s">
        <v>29456</v>
      </c>
      <c r="C7264">
        <v>1403</v>
      </c>
      <c r="D7264">
        <v>2</v>
      </c>
      <c r="E7264">
        <v>5263</v>
      </c>
      <c r="F7264">
        <v>2457</v>
      </c>
      <c r="G7264">
        <f t="shared" si="113"/>
        <v>1577197893</v>
      </c>
    </row>
    <row r="7265" spans="1:7" x14ac:dyDescent="0.25">
      <c r="A7265">
        <v>1577197899</v>
      </c>
      <c r="B7265" t="s">
        <v>29457</v>
      </c>
      <c r="C7265">
        <v>215</v>
      </c>
      <c r="D7265">
        <v>4</v>
      </c>
      <c r="E7265">
        <v>18157</v>
      </c>
      <c r="F7265">
        <v>742</v>
      </c>
      <c r="G7265">
        <f t="shared" si="113"/>
        <v>1577197899</v>
      </c>
    </row>
    <row r="7266" spans="1:7" x14ac:dyDescent="0.25">
      <c r="A7266">
        <v>1577197900</v>
      </c>
      <c r="B7266" t="s">
        <v>29458</v>
      </c>
      <c r="C7266">
        <v>274</v>
      </c>
      <c r="D7266">
        <v>4</v>
      </c>
      <c r="E7266">
        <v>20005</v>
      </c>
      <c r="F7266">
        <v>624</v>
      </c>
      <c r="G7266">
        <f t="shared" si="113"/>
        <v>1577197900</v>
      </c>
    </row>
    <row r="7267" spans="1:7" x14ac:dyDescent="0.25">
      <c r="A7267">
        <v>1577197901</v>
      </c>
      <c r="B7267" t="s">
        <v>29459</v>
      </c>
      <c r="C7267">
        <v>325</v>
      </c>
      <c r="D7267">
        <v>0</v>
      </c>
      <c r="E7267">
        <v>0</v>
      </c>
      <c r="F7267">
        <v>8312</v>
      </c>
      <c r="G7267">
        <f t="shared" si="113"/>
        <v>1577197901</v>
      </c>
    </row>
    <row r="7268" spans="1:7" x14ac:dyDescent="0.25">
      <c r="A7268">
        <v>1577197904</v>
      </c>
      <c r="B7268" t="s">
        <v>29460</v>
      </c>
      <c r="C7268">
        <v>433</v>
      </c>
      <c r="D7268">
        <v>0</v>
      </c>
      <c r="E7268">
        <v>0</v>
      </c>
      <c r="F7268">
        <v>8313</v>
      </c>
      <c r="G7268">
        <f t="shared" si="113"/>
        <v>1577197904</v>
      </c>
    </row>
    <row r="7269" spans="1:7" x14ac:dyDescent="0.25">
      <c r="A7269">
        <v>1577197911</v>
      </c>
      <c r="B7269" t="s">
        <v>29461</v>
      </c>
      <c r="C7269">
        <v>179</v>
      </c>
      <c r="D7269">
        <v>1</v>
      </c>
      <c r="E7269">
        <v>5199</v>
      </c>
      <c r="F7269">
        <v>2468</v>
      </c>
      <c r="G7269">
        <f t="shared" si="113"/>
        <v>1577197911</v>
      </c>
    </row>
    <row r="7270" spans="1:7" x14ac:dyDescent="0.25">
      <c r="A7270">
        <v>1577197915</v>
      </c>
      <c r="B7270" t="s">
        <v>29462</v>
      </c>
      <c r="C7270">
        <v>0</v>
      </c>
      <c r="D7270">
        <v>1</v>
      </c>
      <c r="E7270">
        <v>160</v>
      </c>
      <c r="F7270">
        <v>5663</v>
      </c>
      <c r="G7270">
        <f t="shared" si="113"/>
        <v>1577197915</v>
      </c>
    </row>
    <row r="7271" spans="1:7" x14ac:dyDescent="0.25">
      <c r="A7271">
        <v>1577197917</v>
      </c>
      <c r="B7271" t="s">
        <v>29463</v>
      </c>
      <c r="C7271">
        <v>325</v>
      </c>
      <c r="D7271">
        <v>0</v>
      </c>
      <c r="E7271">
        <v>0</v>
      </c>
      <c r="F7271">
        <v>8314</v>
      </c>
      <c r="G7271">
        <f t="shared" si="113"/>
        <v>1577197917</v>
      </c>
    </row>
    <row r="7272" spans="1:7" x14ac:dyDescent="0.25">
      <c r="A7272">
        <v>1577197919</v>
      </c>
      <c r="B7272" t="s">
        <v>29464</v>
      </c>
      <c r="C7272">
        <v>294</v>
      </c>
      <c r="D7272">
        <v>7</v>
      </c>
      <c r="E7272">
        <v>26841</v>
      </c>
      <c r="F7272">
        <v>343</v>
      </c>
      <c r="G7272">
        <f t="shared" si="113"/>
        <v>1577197919</v>
      </c>
    </row>
    <row r="7273" spans="1:7" x14ac:dyDescent="0.25">
      <c r="A7273">
        <v>1577197925</v>
      </c>
      <c r="B7273" t="s">
        <v>29465</v>
      </c>
      <c r="C7273">
        <v>0</v>
      </c>
      <c r="D7273">
        <v>0</v>
      </c>
      <c r="E7273">
        <v>0</v>
      </c>
      <c r="F7273">
        <v>8315</v>
      </c>
      <c r="G7273">
        <f t="shared" si="113"/>
        <v>1577197925</v>
      </c>
    </row>
    <row r="7274" spans="1:7" x14ac:dyDescent="0.25">
      <c r="A7274">
        <v>1577197928</v>
      </c>
      <c r="B7274" t="s">
        <v>37360</v>
      </c>
      <c r="C7274">
        <v>409</v>
      </c>
      <c r="D7274">
        <v>2</v>
      </c>
      <c r="E7274">
        <v>9582</v>
      </c>
      <c r="F7274">
        <v>1626</v>
      </c>
      <c r="G7274">
        <f t="shared" si="113"/>
        <v>1577197928</v>
      </c>
    </row>
    <row r="7275" spans="1:7" x14ac:dyDescent="0.25">
      <c r="A7275">
        <v>1577197931</v>
      </c>
      <c r="B7275" t="s">
        <v>29466</v>
      </c>
      <c r="C7275">
        <v>274</v>
      </c>
      <c r="D7275">
        <v>5</v>
      </c>
      <c r="E7275">
        <v>21139</v>
      </c>
      <c r="F7275">
        <v>566</v>
      </c>
      <c r="G7275">
        <f t="shared" si="113"/>
        <v>1577197931</v>
      </c>
    </row>
    <row r="7276" spans="1:7" x14ac:dyDescent="0.25">
      <c r="A7276">
        <v>1577197934</v>
      </c>
      <c r="B7276" t="s">
        <v>29467</v>
      </c>
      <c r="C7276">
        <v>1100</v>
      </c>
      <c r="D7276">
        <v>1</v>
      </c>
      <c r="E7276">
        <v>4678</v>
      </c>
      <c r="F7276">
        <v>2581</v>
      </c>
      <c r="G7276">
        <f t="shared" si="113"/>
        <v>1577197934</v>
      </c>
    </row>
    <row r="7277" spans="1:7" x14ac:dyDescent="0.25">
      <c r="A7277">
        <v>1577197935</v>
      </c>
      <c r="B7277" t="s">
        <v>36854</v>
      </c>
      <c r="C7277">
        <v>0</v>
      </c>
      <c r="D7277">
        <v>1</v>
      </c>
      <c r="E7277">
        <v>26</v>
      </c>
      <c r="F7277">
        <v>6853</v>
      </c>
      <c r="G7277">
        <f t="shared" si="113"/>
        <v>1577197935</v>
      </c>
    </row>
    <row r="7278" spans="1:7" x14ac:dyDescent="0.25">
      <c r="A7278">
        <v>1577197937</v>
      </c>
      <c r="B7278" t="s">
        <v>29468</v>
      </c>
      <c r="C7278">
        <v>0</v>
      </c>
      <c r="D7278">
        <v>0</v>
      </c>
      <c r="E7278">
        <v>0</v>
      </c>
      <c r="F7278">
        <v>8316</v>
      </c>
      <c r="G7278">
        <f t="shared" si="113"/>
        <v>1577197937</v>
      </c>
    </row>
    <row r="7279" spans="1:7" x14ac:dyDescent="0.25">
      <c r="A7279">
        <v>1577197938</v>
      </c>
      <c r="B7279" t="s">
        <v>29469</v>
      </c>
      <c r="C7279">
        <v>284</v>
      </c>
      <c r="D7279">
        <v>0</v>
      </c>
      <c r="E7279">
        <v>0</v>
      </c>
      <c r="F7279">
        <v>8317</v>
      </c>
      <c r="G7279">
        <f t="shared" si="113"/>
        <v>1577197938</v>
      </c>
    </row>
    <row r="7280" spans="1:7" x14ac:dyDescent="0.25">
      <c r="A7280">
        <v>1577197940</v>
      </c>
      <c r="B7280" t="s">
        <v>36855</v>
      </c>
      <c r="C7280">
        <v>0</v>
      </c>
      <c r="D7280">
        <v>0</v>
      </c>
      <c r="E7280">
        <v>0</v>
      </c>
      <c r="F7280">
        <v>8318</v>
      </c>
      <c r="G7280">
        <f t="shared" si="113"/>
        <v>1577197940</v>
      </c>
    </row>
    <row r="7281" spans="1:7" x14ac:dyDescent="0.25">
      <c r="A7281">
        <v>1577197941</v>
      </c>
      <c r="B7281" t="s">
        <v>29470</v>
      </c>
      <c r="C7281">
        <v>367</v>
      </c>
      <c r="D7281">
        <v>7</v>
      </c>
      <c r="E7281">
        <v>32505</v>
      </c>
      <c r="F7281">
        <v>194</v>
      </c>
      <c r="G7281">
        <f t="shared" si="113"/>
        <v>1577197941</v>
      </c>
    </row>
    <row r="7282" spans="1:7" x14ac:dyDescent="0.25">
      <c r="A7282">
        <v>1577197944</v>
      </c>
      <c r="B7282" t="s">
        <v>29471</v>
      </c>
      <c r="C7282">
        <v>0</v>
      </c>
      <c r="D7282">
        <v>0</v>
      </c>
      <c r="E7282">
        <v>0</v>
      </c>
      <c r="F7282">
        <v>8319</v>
      </c>
      <c r="G7282">
        <f t="shared" si="113"/>
        <v>1577197944</v>
      </c>
    </row>
    <row r="7283" spans="1:7" x14ac:dyDescent="0.25">
      <c r="A7283">
        <v>1577197947</v>
      </c>
      <c r="B7283" t="s">
        <v>29472</v>
      </c>
      <c r="C7283">
        <v>0</v>
      </c>
      <c r="D7283">
        <v>1</v>
      </c>
      <c r="E7283">
        <v>26</v>
      </c>
      <c r="F7283">
        <v>6854</v>
      </c>
      <c r="G7283">
        <f t="shared" si="113"/>
        <v>1577197947</v>
      </c>
    </row>
    <row r="7284" spans="1:7" x14ac:dyDescent="0.25">
      <c r="A7284">
        <v>1577197948</v>
      </c>
      <c r="B7284" t="s">
        <v>29473</v>
      </c>
      <c r="C7284">
        <v>1913</v>
      </c>
      <c r="D7284">
        <v>1</v>
      </c>
      <c r="E7284">
        <v>2042</v>
      </c>
      <c r="F7284">
        <v>3351</v>
      </c>
      <c r="G7284">
        <f t="shared" si="113"/>
        <v>1577197948</v>
      </c>
    </row>
    <row r="7285" spans="1:7" x14ac:dyDescent="0.25">
      <c r="A7285">
        <v>1577197956</v>
      </c>
      <c r="B7285" t="s">
        <v>29474</v>
      </c>
      <c r="C7285">
        <v>0</v>
      </c>
      <c r="D7285">
        <v>0</v>
      </c>
      <c r="E7285">
        <v>0</v>
      </c>
      <c r="F7285">
        <v>8320</v>
      </c>
      <c r="G7285">
        <f t="shared" si="113"/>
        <v>1577197956</v>
      </c>
    </row>
    <row r="7286" spans="1:7" x14ac:dyDescent="0.25">
      <c r="A7286">
        <v>1577197958</v>
      </c>
      <c r="B7286" t="s">
        <v>29475</v>
      </c>
      <c r="C7286">
        <v>924</v>
      </c>
      <c r="D7286">
        <v>2</v>
      </c>
      <c r="E7286">
        <v>8015</v>
      </c>
      <c r="F7286">
        <v>1876</v>
      </c>
      <c r="G7286">
        <f t="shared" si="113"/>
        <v>1577197958</v>
      </c>
    </row>
    <row r="7287" spans="1:7" x14ac:dyDescent="0.25">
      <c r="A7287">
        <v>1577197963</v>
      </c>
      <c r="B7287" t="s">
        <v>29476</v>
      </c>
      <c r="C7287">
        <v>0</v>
      </c>
      <c r="D7287">
        <v>1</v>
      </c>
      <c r="E7287">
        <v>26</v>
      </c>
      <c r="F7287">
        <v>6855</v>
      </c>
      <c r="G7287">
        <f t="shared" si="113"/>
        <v>1577197963</v>
      </c>
    </row>
    <row r="7288" spans="1:7" x14ac:dyDescent="0.25">
      <c r="A7288">
        <v>1577197967</v>
      </c>
      <c r="B7288" t="s">
        <v>29477</v>
      </c>
      <c r="C7288">
        <v>0</v>
      </c>
      <c r="D7288">
        <v>0</v>
      </c>
      <c r="E7288">
        <v>0</v>
      </c>
      <c r="F7288">
        <v>8321</v>
      </c>
      <c r="G7288">
        <f t="shared" si="113"/>
        <v>1577197967</v>
      </c>
    </row>
    <row r="7289" spans="1:7" x14ac:dyDescent="0.25">
      <c r="A7289">
        <v>1577197968</v>
      </c>
      <c r="B7289" t="s">
        <v>29478</v>
      </c>
      <c r="C7289">
        <v>36</v>
      </c>
      <c r="D7289">
        <v>1</v>
      </c>
      <c r="E7289">
        <v>7684</v>
      </c>
      <c r="F7289">
        <v>1946</v>
      </c>
      <c r="G7289">
        <f t="shared" si="113"/>
        <v>1577197968</v>
      </c>
    </row>
    <row r="7290" spans="1:7" x14ac:dyDescent="0.25">
      <c r="A7290">
        <v>1577197969</v>
      </c>
      <c r="B7290" t="s">
        <v>29479</v>
      </c>
      <c r="C7290">
        <v>494</v>
      </c>
      <c r="D7290">
        <v>1</v>
      </c>
      <c r="E7290">
        <v>8572</v>
      </c>
      <c r="F7290">
        <v>1791</v>
      </c>
      <c r="G7290">
        <f t="shared" si="113"/>
        <v>1577197969</v>
      </c>
    </row>
    <row r="7291" spans="1:7" x14ac:dyDescent="0.25">
      <c r="A7291">
        <v>1577197971</v>
      </c>
      <c r="B7291" t="s">
        <v>1081</v>
      </c>
      <c r="C7291">
        <v>617</v>
      </c>
      <c r="D7291">
        <v>7</v>
      </c>
      <c r="E7291">
        <v>35981</v>
      </c>
      <c r="F7291">
        <v>140</v>
      </c>
      <c r="G7291">
        <f t="shared" si="113"/>
        <v>1577197971</v>
      </c>
    </row>
    <row r="7292" spans="1:7" x14ac:dyDescent="0.25">
      <c r="A7292">
        <v>1577197972</v>
      </c>
      <c r="B7292" t="s">
        <v>29480</v>
      </c>
      <c r="C7292">
        <v>412</v>
      </c>
      <c r="D7292">
        <v>3</v>
      </c>
      <c r="E7292">
        <v>13986</v>
      </c>
      <c r="F7292">
        <v>1080</v>
      </c>
      <c r="G7292">
        <f t="shared" si="113"/>
        <v>1577197972</v>
      </c>
    </row>
    <row r="7293" spans="1:7" x14ac:dyDescent="0.25">
      <c r="A7293">
        <v>1577197975</v>
      </c>
      <c r="B7293" t="s">
        <v>36856</v>
      </c>
      <c r="C7293">
        <v>1785</v>
      </c>
      <c r="D7293">
        <v>1</v>
      </c>
      <c r="E7293">
        <v>659</v>
      </c>
      <c r="F7293">
        <v>4413</v>
      </c>
      <c r="G7293">
        <f t="shared" si="113"/>
        <v>1577197975</v>
      </c>
    </row>
    <row r="7294" spans="1:7" x14ac:dyDescent="0.25">
      <c r="A7294">
        <v>1577197977</v>
      </c>
      <c r="B7294" t="s">
        <v>36857</v>
      </c>
      <c r="C7294">
        <v>424</v>
      </c>
      <c r="D7294">
        <v>3</v>
      </c>
      <c r="E7294">
        <v>15221</v>
      </c>
      <c r="F7294">
        <v>970</v>
      </c>
      <c r="G7294">
        <f t="shared" si="113"/>
        <v>1577197977</v>
      </c>
    </row>
    <row r="7295" spans="1:7" x14ac:dyDescent="0.25">
      <c r="A7295">
        <v>1577197983</v>
      </c>
      <c r="B7295" t="s">
        <v>29481</v>
      </c>
      <c r="C7295">
        <v>422</v>
      </c>
      <c r="D7295">
        <v>2</v>
      </c>
      <c r="E7295">
        <v>6574</v>
      </c>
      <c r="F7295">
        <v>2145</v>
      </c>
      <c r="G7295">
        <f t="shared" si="113"/>
        <v>1577197983</v>
      </c>
    </row>
    <row r="7296" spans="1:7" x14ac:dyDescent="0.25">
      <c r="A7296">
        <v>1577197984</v>
      </c>
      <c r="B7296" t="s">
        <v>29482</v>
      </c>
      <c r="C7296">
        <v>578</v>
      </c>
      <c r="D7296">
        <v>2</v>
      </c>
      <c r="E7296">
        <v>7205</v>
      </c>
      <c r="F7296">
        <v>2029</v>
      </c>
      <c r="G7296">
        <f t="shared" si="113"/>
        <v>1577197984</v>
      </c>
    </row>
    <row r="7297" spans="1:7" x14ac:dyDescent="0.25">
      <c r="A7297">
        <v>1577197990</v>
      </c>
      <c r="B7297" t="s">
        <v>29483</v>
      </c>
      <c r="C7297">
        <v>6</v>
      </c>
      <c r="D7297">
        <v>5</v>
      </c>
      <c r="E7297">
        <v>18632</v>
      </c>
      <c r="F7297">
        <v>711</v>
      </c>
      <c r="G7297">
        <f t="shared" ref="G7297:G7360" si="114">A7297</f>
        <v>1577197990</v>
      </c>
    </row>
    <row r="7298" spans="1:7" x14ac:dyDescent="0.25">
      <c r="A7298">
        <v>1577197993</v>
      </c>
      <c r="B7298" t="s">
        <v>29484</v>
      </c>
      <c r="C7298">
        <v>321</v>
      </c>
      <c r="D7298">
        <v>0</v>
      </c>
      <c r="E7298">
        <v>0</v>
      </c>
      <c r="F7298">
        <v>8322</v>
      </c>
      <c r="G7298">
        <f t="shared" si="114"/>
        <v>1577197993</v>
      </c>
    </row>
    <row r="7299" spans="1:7" x14ac:dyDescent="0.25">
      <c r="A7299">
        <v>1577197994</v>
      </c>
      <c r="B7299" t="s">
        <v>29485</v>
      </c>
      <c r="C7299">
        <v>578</v>
      </c>
      <c r="D7299">
        <v>8</v>
      </c>
      <c r="E7299">
        <v>44017</v>
      </c>
      <c r="F7299">
        <v>70</v>
      </c>
      <c r="G7299">
        <f t="shared" si="114"/>
        <v>1577197994</v>
      </c>
    </row>
    <row r="7300" spans="1:7" x14ac:dyDescent="0.25">
      <c r="A7300">
        <v>1577198001</v>
      </c>
      <c r="B7300" t="s">
        <v>29486</v>
      </c>
      <c r="C7300">
        <v>0</v>
      </c>
      <c r="D7300">
        <v>0</v>
      </c>
      <c r="E7300">
        <v>0</v>
      </c>
      <c r="F7300">
        <v>8323</v>
      </c>
      <c r="G7300">
        <f t="shared" si="114"/>
        <v>1577198001</v>
      </c>
    </row>
    <row r="7301" spans="1:7" x14ac:dyDescent="0.25">
      <c r="A7301">
        <v>1577198003</v>
      </c>
      <c r="B7301" t="s">
        <v>29487</v>
      </c>
      <c r="C7301">
        <v>0</v>
      </c>
      <c r="D7301">
        <v>0</v>
      </c>
      <c r="E7301">
        <v>0</v>
      </c>
      <c r="F7301">
        <v>8324</v>
      </c>
      <c r="G7301">
        <f t="shared" si="114"/>
        <v>1577198003</v>
      </c>
    </row>
    <row r="7302" spans="1:7" x14ac:dyDescent="0.25">
      <c r="A7302">
        <v>1577198004</v>
      </c>
      <c r="B7302" t="s">
        <v>29488</v>
      </c>
      <c r="C7302">
        <v>150</v>
      </c>
      <c r="D7302">
        <v>0</v>
      </c>
      <c r="E7302">
        <v>0</v>
      </c>
      <c r="F7302">
        <v>8325</v>
      </c>
      <c r="G7302">
        <f t="shared" si="114"/>
        <v>1577198004</v>
      </c>
    </row>
    <row r="7303" spans="1:7" x14ac:dyDescent="0.25">
      <c r="A7303">
        <v>1577198009</v>
      </c>
      <c r="B7303" t="s">
        <v>29489</v>
      </c>
      <c r="C7303">
        <v>541</v>
      </c>
      <c r="D7303">
        <v>2</v>
      </c>
      <c r="E7303">
        <v>9335</v>
      </c>
      <c r="F7303">
        <v>1663</v>
      </c>
      <c r="G7303">
        <f t="shared" si="114"/>
        <v>1577198009</v>
      </c>
    </row>
    <row r="7304" spans="1:7" x14ac:dyDescent="0.25">
      <c r="A7304">
        <v>1577198012</v>
      </c>
      <c r="B7304" t="s">
        <v>37361</v>
      </c>
      <c r="C7304">
        <v>0</v>
      </c>
      <c r="D7304">
        <v>1</v>
      </c>
      <c r="E7304">
        <v>1137</v>
      </c>
      <c r="F7304">
        <v>3846</v>
      </c>
      <c r="G7304">
        <f t="shared" si="114"/>
        <v>1577198012</v>
      </c>
    </row>
    <row r="7305" spans="1:7" x14ac:dyDescent="0.25">
      <c r="A7305">
        <v>1577198013</v>
      </c>
      <c r="B7305" t="s">
        <v>29490</v>
      </c>
      <c r="C7305">
        <v>321</v>
      </c>
      <c r="D7305">
        <v>2</v>
      </c>
      <c r="E7305">
        <v>11785</v>
      </c>
      <c r="F7305">
        <v>1312</v>
      </c>
      <c r="G7305">
        <f t="shared" si="114"/>
        <v>1577198013</v>
      </c>
    </row>
    <row r="7306" spans="1:7" x14ac:dyDescent="0.25">
      <c r="A7306">
        <v>1577198014</v>
      </c>
      <c r="B7306" t="s">
        <v>29491</v>
      </c>
      <c r="C7306">
        <v>274</v>
      </c>
      <c r="D7306">
        <v>1</v>
      </c>
      <c r="E7306">
        <v>4033</v>
      </c>
      <c r="F7306">
        <v>2764</v>
      </c>
      <c r="G7306">
        <f t="shared" si="114"/>
        <v>1577198014</v>
      </c>
    </row>
    <row r="7307" spans="1:7" x14ac:dyDescent="0.25">
      <c r="A7307">
        <v>1577198021</v>
      </c>
      <c r="B7307" t="s">
        <v>29492</v>
      </c>
      <c r="C7307">
        <v>124</v>
      </c>
      <c r="D7307">
        <v>3</v>
      </c>
      <c r="E7307">
        <v>20619</v>
      </c>
      <c r="F7307">
        <v>589</v>
      </c>
      <c r="G7307">
        <f t="shared" si="114"/>
        <v>1577198021</v>
      </c>
    </row>
    <row r="7308" spans="1:7" x14ac:dyDescent="0.25">
      <c r="A7308">
        <v>1577198027</v>
      </c>
      <c r="B7308" t="s">
        <v>29493</v>
      </c>
      <c r="C7308">
        <v>69</v>
      </c>
      <c r="D7308">
        <v>4</v>
      </c>
      <c r="E7308">
        <v>22726</v>
      </c>
      <c r="F7308">
        <v>483</v>
      </c>
      <c r="G7308">
        <f t="shared" si="114"/>
        <v>1577198027</v>
      </c>
    </row>
    <row r="7309" spans="1:7" x14ac:dyDescent="0.25">
      <c r="A7309">
        <v>1577198028</v>
      </c>
      <c r="B7309" t="s">
        <v>36858</v>
      </c>
      <c r="C7309">
        <v>419</v>
      </c>
      <c r="D7309">
        <v>2</v>
      </c>
      <c r="E7309">
        <v>8088</v>
      </c>
      <c r="F7309">
        <v>1864</v>
      </c>
      <c r="G7309">
        <f t="shared" si="114"/>
        <v>1577198028</v>
      </c>
    </row>
    <row r="7310" spans="1:7" x14ac:dyDescent="0.25">
      <c r="A7310">
        <v>1577198029</v>
      </c>
      <c r="B7310" t="s">
        <v>29494</v>
      </c>
      <c r="C7310">
        <v>0</v>
      </c>
      <c r="D7310">
        <v>0</v>
      </c>
      <c r="E7310">
        <v>0</v>
      </c>
      <c r="F7310">
        <v>8326</v>
      </c>
      <c r="G7310">
        <f t="shared" si="114"/>
        <v>1577198029</v>
      </c>
    </row>
    <row r="7311" spans="1:7" x14ac:dyDescent="0.25">
      <c r="A7311">
        <v>1577198031</v>
      </c>
      <c r="B7311" t="s">
        <v>29495</v>
      </c>
      <c r="C7311">
        <v>36</v>
      </c>
      <c r="D7311">
        <v>3</v>
      </c>
      <c r="E7311">
        <v>17830</v>
      </c>
      <c r="F7311">
        <v>768</v>
      </c>
      <c r="G7311">
        <f t="shared" si="114"/>
        <v>1577198031</v>
      </c>
    </row>
    <row r="7312" spans="1:7" x14ac:dyDescent="0.25">
      <c r="A7312">
        <v>1577198036</v>
      </c>
      <c r="B7312" t="s">
        <v>29496</v>
      </c>
      <c r="C7312">
        <v>0</v>
      </c>
      <c r="D7312">
        <v>1</v>
      </c>
      <c r="E7312">
        <v>26</v>
      </c>
      <c r="F7312">
        <v>6856</v>
      </c>
      <c r="G7312">
        <f t="shared" si="114"/>
        <v>1577198036</v>
      </c>
    </row>
    <row r="7313" spans="1:7" x14ac:dyDescent="0.25">
      <c r="A7313">
        <v>1577198037</v>
      </c>
      <c r="B7313" t="s">
        <v>29497</v>
      </c>
      <c r="C7313">
        <v>67</v>
      </c>
      <c r="D7313">
        <v>2</v>
      </c>
      <c r="E7313">
        <v>11041</v>
      </c>
      <c r="F7313">
        <v>1409</v>
      </c>
      <c r="G7313">
        <f t="shared" si="114"/>
        <v>1577198037</v>
      </c>
    </row>
    <row r="7314" spans="1:7" x14ac:dyDescent="0.25">
      <c r="A7314">
        <v>1577198039</v>
      </c>
      <c r="B7314" t="s">
        <v>36859</v>
      </c>
      <c r="C7314">
        <v>0</v>
      </c>
      <c r="D7314">
        <v>0</v>
      </c>
      <c r="E7314">
        <v>0</v>
      </c>
      <c r="F7314">
        <v>8327</v>
      </c>
      <c r="G7314">
        <f t="shared" si="114"/>
        <v>1577198039</v>
      </c>
    </row>
    <row r="7315" spans="1:7" x14ac:dyDescent="0.25">
      <c r="A7315">
        <v>1577198046</v>
      </c>
      <c r="B7315" t="s">
        <v>37362</v>
      </c>
      <c r="C7315">
        <v>0</v>
      </c>
      <c r="D7315">
        <v>0</v>
      </c>
      <c r="E7315">
        <v>0</v>
      </c>
      <c r="F7315">
        <v>8328</v>
      </c>
      <c r="G7315">
        <f t="shared" si="114"/>
        <v>1577198046</v>
      </c>
    </row>
    <row r="7316" spans="1:7" x14ac:dyDescent="0.25">
      <c r="A7316">
        <v>1577198057</v>
      </c>
      <c r="B7316" t="s">
        <v>29498</v>
      </c>
      <c r="C7316">
        <v>1100</v>
      </c>
      <c r="D7316">
        <v>1</v>
      </c>
      <c r="E7316">
        <v>4458</v>
      </c>
      <c r="F7316">
        <v>2632</v>
      </c>
      <c r="G7316">
        <f t="shared" si="114"/>
        <v>1577198057</v>
      </c>
    </row>
    <row r="7317" spans="1:7" x14ac:dyDescent="0.25">
      <c r="A7317">
        <v>1577198063</v>
      </c>
      <c r="B7317" t="s">
        <v>29499</v>
      </c>
      <c r="C7317">
        <v>367</v>
      </c>
      <c r="D7317">
        <v>2</v>
      </c>
      <c r="E7317">
        <v>8142</v>
      </c>
      <c r="F7317">
        <v>1853</v>
      </c>
      <c r="G7317">
        <f t="shared" si="114"/>
        <v>1577198063</v>
      </c>
    </row>
    <row r="7318" spans="1:7" x14ac:dyDescent="0.25">
      <c r="A7318">
        <v>1577198067</v>
      </c>
      <c r="B7318" t="s">
        <v>29500</v>
      </c>
      <c r="C7318">
        <v>896</v>
      </c>
      <c r="D7318">
        <v>3</v>
      </c>
      <c r="E7318">
        <v>17770</v>
      </c>
      <c r="F7318">
        <v>792</v>
      </c>
      <c r="G7318">
        <f t="shared" si="114"/>
        <v>1577198067</v>
      </c>
    </row>
    <row r="7319" spans="1:7" x14ac:dyDescent="0.25">
      <c r="A7319">
        <v>1577198072</v>
      </c>
      <c r="B7319" t="s">
        <v>29501</v>
      </c>
      <c r="C7319">
        <v>0</v>
      </c>
      <c r="D7319">
        <v>0</v>
      </c>
      <c r="E7319">
        <v>0</v>
      </c>
      <c r="F7319">
        <v>8329</v>
      </c>
      <c r="G7319">
        <f t="shared" si="114"/>
        <v>1577198072</v>
      </c>
    </row>
    <row r="7320" spans="1:7" x14ac:dyDescent="0.25">
      <c r="A7320">
        <v>1577198079</v>
      </c>
      <c r="B7320" t="s">
        <v>36860</v>
      </c>
      <c r="C7320">
        <v>0</v>
      </c>
      <c r="D7320">
        <v>0</v>
      </c>
      <c r="E7320">
        <v>0</v>
      </c>
      <c r="F7320">
        <v>8330</v>
      </c>
      <c r="G7320">
        <f t="shared" si="114"/>
        <v>1577198079</v>
      </c>
    </row>
    <row r="7321" spans="1:7" x14ac:dyDescent="0.25">
      <c r="A7321">
        <v>1577198083</v>
      </c>
      <c r="B7321" t="s">
        <v>29502</v>
      </c>
      <c r="C7321">
        <v>48</v>
      </c>
      <c r="D7321">
        <v>3</v>
      </c>
      <c r="E7321">
        <v>8939</v>
      </c>
      <c r="F7321">
        <v>1729</v>
      </c>
      <c r="G7321">
        <f t="shared" si="114"/>
        <v>1577198083</v>
      </c>
    </row>
    <row r="7322" spans="1:7" x14ac:dyDescent="0.25">
      <c r="A7322">
        <v>1577198085</v>
      </c>
      <c r="B7322" t="s">
        <v>36861</v>
      </c>
      <c r="C7322">
        <v>1176</v>
      </c>
      <c r="D7322">
        <v>1</v>
      </c>
      <c r="E7322">
        <v>26</v>
      </c>
      <c r="F7322">
        <v>6857</v>
      </c>
      <c r="G7322">
        <f t="shared" si="114"/>
        <v>1577198085</v>
      </c>
    </row>
    <row r="7323" spans="1:7" x14ac:dyDescent="0.25">
      <c r="A7323">
        <v>1577198086</v>
      </c>
      <c r="B7323" t="s">
        <v>29503</v>
      </c>
      <c r="C7323">
        <v>0</v>
      </c>
      <c r="D7323">
        <v>0</v>
      </c>
      <c r="E7323">
        <v>0</v>
      </c>
      <c r="F7323">
        <v>8331</v>
      </c>
      <c r="G7323">
        <f t="shared" si="114"/>
        <v>1577198086</v>
      </c>
    </row>
    <row r="7324" spans="1:7" x14ac:dyDescent="0.25">
      <c r="A7324">
        <v>1577198089</v>
      </c>
      <c r="B7324" t="s">
        <v>29504</v>
      </c>
      <c r="C7324">
        <v>23</v>
      </c>
      <c r="D7324">
        <v>4</v>
      </c>
      <c r="E7324">
        <v>16085</v>
      </c>
      <c r="F7324">
        <v>907</v>
      </c>
      <c r="G7324">
        <f t="shared" si="114"/>
        <v>1577198089</v>
      </c>
    </row>
    <row r="7325" spans="1:7" x14ac:dyDescent="0.25">
      <c r="A7325">
        <v>1577198093</v>
      </c>
      <c r="B7325" t="s">
        <v>29505</v>
      </c>
      <c r="C7325">
        <v>1946</v>
      </c>
      <c r="D7325">
        <v>1</v>
      </c>
      <c r="E7325">
        <v>5170</v>
      </c>
      <c r="F7325">
        <v>2506</v>
      </c>
      <c r="G7325">
        <f t="shared" si="114"/>
        <v>1577198093</v>
      </c>
    </row>
    <row r="7326" spans="1:7" x14ac:dyDescent="0.25">
      <c r="A7326">
        <v>1577198094</v>
      </c>
      <c r="B7326" t="s">
        <v>29506</v>
      </c>
      <c r="C7326">
        <v>121</v>
      </c>
      <c r="D7326">
        <v>1</v>
      </c>
      <c r="E7326">
        <v>4368</v>
      </c>
      <c r="F7326">
        <v>2662</v>
      </c>
      <c r="G7326">
        <f t="shared" si="114"/>
        <v>1577198094</v>
      </c>
    </row>
    <row r="7327" spans="1:7" x14ac:dyDescent="0.25">
      <c r="A7327">
        <v>1577198099</v>
      </c>
      <c r="B7327" t="s">
        <v>29507</v>
      </c>
      <c r="C7327">
        <v>433</v>
      </c>
      <c r="D7327">
        <v>0</v>
      </c>
      <c r="E7327">
        <v>0</v>
      </c>
      <c r="F7327">
        <v>8332</v>
      </c>
      <c r="G7327">
        <f t="shared" si="114"/>
        <v>1577198099</v>
      </c>
    </row>
    <row r="7328" spans="1:7" x14ac:dyDescent="0.25">
      <c r="A7328">
        <v>1577198100</v>
      </c>
      <c r="B7328" t="s">
        <v>29508</v>
      </c>
      <c r="C7328">
        <v>36</v>
      </c>
      <c r="D7328">
        <v>2</v>
      </c>
      <c r="E7328">
        <v>10972</v>
      </c>
      <c r="F7328">
        <v>1425</v>
      </c>
      <c r="G7328">
        <f t="shared" si="114"/>
        <v>1577198100</v>
      </c>
    </row>
    <row r="7329" spans="1:7" x14ac:dyDescent="0.25">
      <c r="A7329">
        <v>1577198101</v>
      </c>
      <c r="B7329" t="s">
        <v>29509</v>
      </c>
      <c r="C7329">
        <v>0</v>
      </c>
      <c r="D7329">
        <v>1</v>
      </c>
      <c r="E7329">
        <v>888</v>
      </c>
      <c r="F7329">
        <v>4103</v>
      </c>
      <c r="G7329">
        <f t="shared" si="114"/>
        <v>1577198101</v>
      </c>
    </row>
    <row r="7330" spans="1:7" x14ac:dyDescent="0.25">
      <c r="A7330">
        <v>1577198102</v>
      </c>
      <c r="B7330" t="s">
        <v>29510</v>
      </c>
      <c r="C7330">
        <v>0</v>
      </c>
      <c r="D7330">
        <v>1</v>
      </c>
      <c r="E7330">
        <v>74</v>
      </c>
      <c r="F7330">
        <v>6026</v>
      </c>
      <c r="G7330">
        <f t="shared" si="114"/>
        <v>1577198102</v>
      </c>
    </row>
    <row r="7331" spans="1:7" x14ac:dyDescent="0.25">
      <c r="A7331">
        <v>1577198106</v>
      </c>
      <c r="B7331" t="s">
        <v>36862</v>
      </c>
      <c r="C7331">
        <v>412</v>
      </c>
      <c r="D7331">
        <v>1</v>
      </c>
      <c r="E7331">
        <v>5840</v>
      </c>
      <c r="F7331">
        <v>2316</v>
      </c>
      <c r="G7331">
        <f t="shared" si="114"/>
        <v>1577198106</v>
      </c>
    </row>
    <row r="7332" spans="1:7" x14ac:dyDescent="0.25">
      <c r="A7332">
        <v>1577198119</v>
      </c>
      <c r="B7332" t="s">
        <v>29511</v>
      </c>
      <c r="C7332">
        <v>96</v>
      </c>
      <c r="D7332">
        <v>4</v>
      </c>
      <c r="E7332">
        <v>8071</v>
      </c>
      <c r="F7332">
        <v>1867</v>
      </c>
      <c r="G7332">
        <f t="shared" si="114"/>
        <v>1577198119</v>
      </c>
    </row>
    <row r="7333" spans="1:7" x14ac:dyDescent="0.25">
      <c r="A7333">
        <v>1577198122</v>
      </c>
      <c r="B7333" t="s">
        <v>37079</v>
      </c>
      <c r="C7333">
        <v>0</v>
      </c>
      <c r="D7333">
        <v>0</v>
      </c>
      <c r="E7333">
        <v>0</v>
      </c>
      <c r="F7333">
        <v>8333</v>
      </c>
      <c r="G7333">
        <f t="shared" si="114"/>
        <v>1577198122</v>
      </c>
    </row>
    <row r="7334" spans="1:7" x14ac:dyDescent="0.25">
      <c r="A7334">
        <v>1577198126</v>
      </c>
      <c r="B7334" t="s">
        <v>36863</v>
      </c>
      <c r="C7334">
        <v>367</v>
      </c>
      <c r="D7334">
        <v>3</v>
      </c>
      <c r="E7334">
        <v>17747</v>
      </c>
      <c r="F7334">
        <v>771</v>
      </c>
      <c r="G7334">
        <f t="shared" si="114"/>
        <v>1577198126</v>
      </c>
    </row>
    <row r="7335" spans="1:7" x14ac:dyDescent="0.25">
      <c r="A7335">
        <v>1577198129</v>
      </c>
      <c r="B7335" t="s">
        <v>29512</v>
      </c>
      <c r="C7335">
        <v>0</v>
      </c>
      <c r="D7335">
        <v>1</v>
      </c>
      <c r="E7335">
        <v>26</v>
      </c>
      <c r="F7335">
        <v>6858</v>
      </c>
      <c r="G7335">
        <f t="shared" si="114"/>
        <v>1577198129</v>
      </c>
    </row>
    <row r="7336" spans="1:7" x14ac:dyDescent="0.25">
      <c r="A7336">
        <v>1577198132</v>
      </c>
      <c r="B7336" t="s">
        <v>4891</v>
      </c>
      <c r="C7336">
        <v>0</v>
      </c>
      <c r="D7336">
        <v>1</v>
      </c>
      <c r="E7336">
        <v>192</v>
      </c>
      <c r="F7336">
        <v>5535</v>
      </c>
      <c r="G7336">
        <f t="shared" si="114"/>
        <v>1577198132</v>
      </c>
    </row>
    <row r="7337" spans="1:7" x14ac:dyDescent="0.25">
      <c r="A7337">
        <v>1577198137</v>
      </c>
      <c r="B7337" t="s">
        <v>29513</v>
      </c>
      <c r="C7337">
        <v>584</v>
      </c>
      <c r="D7337">
        <v>0</v>
      </c>
      <c r="E7337">
        <v>0</v>
      </c>
      <c r="F7337">
        <v>8334</v>
      </c>
      <c r="G7337">
        <f t="shared" si="114"/>
        <v>1577198137</v>
      </c>
    </row>
    <row r="7338" spans="1:7" x14ac:dyDescent="0.25">
      <c r="A7338">
        <v>1577198138</v>
      </c>
      <c r="B7338" t="s">
        <v>29514</v>
      </c>
      <c r="C7338">
        <v>47</v>
      </c>
      <c r="D7338">
        <v>2</v>
      </c>
      <c r="E7338">
        <v>7562</v>
      </c>
      <c r="F7338">
        <v>1969</v>
      </c>
      <c r="G7338">
        <f t="shared" si="114"/>
        <v>1577198138</v>
      </c>
    </row>
    <row r="7339" spans="1:7" x14ac:dyDescent="0.25">
      <c r="A7339">
        <v>1577198140</v>
      </c>
      <c r="B7339" t="s">
        <v>29515</v>
      </c>
      <c r="C7339">
        <v>1699</v>
      </c>
      <c r="D7339">
        <v>4</v>
      </c>
      <c r="E7339">
        <v>17724</v>
      </c>
      <c r="F7339">
        <v>810</v>
      </c>
      <c r="G7339">
        <f t="shared" si="114"/>
        <v>1577198140</v>
      </c>
    </row>
    <row r="7340" spans="1:7" x14ac:dyDescent="0.25">
      <c r="A7340">
        <v>1577198142</v>
      </c>
      <c r="B7340" t="s">
        <v>29516</v>
      </c>
      <c r="C7340">
        <v>412</v>
      </c>
      <c r="D7340">
        <v>1</v>
      </c>
      <c r="E7340">
        <v>4261</v>
      </c>
      <c r="F7340">
        <v>2695</v>
      </c>
      <c r="G7340">
        <f t="shared" si="114"/>
        <v>1577198142</v>
      </c>
    </row>
    <row r="7341" spans="1:7" x14ac:dyDescent="0.25">
      <c r="A7341">
        <v>1577198144</v>
      </c>
      <c r="B7341" t="s">
        <v>36864</v>
      </c>
      <c r="C7341">
        <v>645</v>
      </c>
      <c r="D7341">
        <v>1</v>
      </c>
      <c r="E7341">
        <v>1496</v>
      </c>
      <c r="F7341">
        <v>3599</v>
      </c>
      <c r="G7341">
        <f t="shared" si="114"/>
        <v>1577198144</v>
      </c>
    </row>
    <row r="7342" spans="1:7" x14ac:dyDescent="0.25">
      <c r="A7342">
        <v>1577198146</v>
      </c>
      <c r="B7342" t="s">
        <v>29517</v>
      </c>
      <c r="C7342">
        <v>1966</v>
      </c>
      <c r="D7342">
        <v>3</v>
      </c>
      <c r="E7342">
        <v>14291</v>
      </c>
      <c r="F7342">
        <v>1053</v>
      </c>
      <c r="G7342">
        <f t="shared" si="114"/>
        <v>1577198146</v>
      </c>
    </row>
    <row r="7343" spans="1:7" x14ac:dyDescent="0.25">
      <c r="A7343">
        <v>1577198148</v>
      </c>
      <c r="B7343" t="s">
        <v>29518</v>
      </c>
      <c r="C7343">
        <v>0</v>
      </c>
      <c r="D7343">
        <v>0</v>
      </c>
      <c r="E7343">
        <v>0</v>
      </c>
      <c r="F7343">
        <v>8335</v>
      </c>
      <c r="G7343">
        <f t="shared" si="114"/>
        <v>1577198148</v>
      </c>
    </row>
    <row r="7344" spans="1:7" x14ac:dyDescent="0.25">
      <c r="A7344">
        <v>1577198150</v>
      </c>
      <c r="B7344" t="s">
        <v>29519</v>
      </c>
      <c r="C7344">
        <v>674</v>
      </c>
      <c r="D7344">
        <v>1</v>
      </c>
      <c r="E7344">
        <v>376</v>
      </c>
      <c r="F7344">
        <v>4914</v>
      </c>
      <c r="G7344">
        <f t="shared" si="114"/>
        <v>1577198150</v>
      </c>
    </row>
    <row r="7345" spans="1:7" x14ac:dyDescent="0.25">
      <c r="A7345">
        <v>1577198151</v>
      </c>
      <c r="B7345" t="s">
        <v>29520</v>
      </c>
      <c r="C7345">
        <v>15</v>
      </c>
      <c r="D7345">
        <v>1</v>
      </c>
      <c r="E7345">
        <v>5783</v>
      </c>
      <c r="F7345">
        <v>2329</v>
      </c>
      <c r="G7345">
        <f t="shared" si="114"/>
        <v>1577198151</v>
      </c>
    </row>
    <row r="7346" spans="1:7" x14ac:dyDescent="0.25">
      <c r="A7346">
        <v>1577198152</v>
      </c>
      <c r="B7346" t="s">
        <v>29521</v>
      </c>
      <c r="C7346">
        <v>534</v>
      </c>
      <c r="D7346">
        <v>3</v>
      </c>
      <c r="E7346">
        <v>15747</v>
      </c>
      <c r="F7346">
        <v>939</v>
      </c>
      <c r="G7346">
        <f t="shared" si="114"/>
        <v>1577198152</v>
      </c>
    </row>
    <row r="7347" spans="1:7" x14ac:dyDescent="0.25">
      <c r="A7347">
        <v>1577198154</v>
      </c>
      <c r="B7347" t="s">
        <v>29522</v>
      </c>
      <c r="C7347">
        <v>924</v>
      </c>
      <c r="D7347">
        <v>0</v>
      </c>
      <c r="E7347">
        <v>0</v>
      </c>
      <c r="F7347">
        <v>8336</v>
      </c>
      <c r="G7347">
        <f t="shared" si="114"/>
        <v>1577198154</v>
      </c>
    </row>
    <row r="7348" spans="1:7" x14ac:dyDescent="0.25">
      <c r="A7348">
        <v>1577198163</v>
      </c>
      <c r="B7348" t="s">
        <v>29523</v>
      </c>
      <c r="C7348">
        <v>431</v>
      </c>
      <c r="D7348">
        <v>0</v>
      </c>
      <c r="E7348">
        <v>0</v>
      </c>
      <c r="F7348">
        <v>8337</v>
      </c>
      <c r="G7348">
        <f t="shared" si="114"/>
        <v>1577198163</v>
      </c>
    </row>
    <row r="7349" spans="1:7" x14ac:dyDescent="0.25">
      <c r="A7349">
        <v>1577198165</v>
      </c>
      <c r="B7349" t="s">
        <v>2907</v>
      </c>
      <c r="C7349">
        <v>1373</v>
      </c>
      <c r="D7349">
        <v>1</v>
      </c>
      <c r="E7349">
        <v>1839</v>
      </c>
      <c r="F7349">
        <v>3424</v>
      </c>
      <c r="G7349">
        <f t="shared" si="114"/>
        <v>1577198165</v>
      </c>
    </row>
    <row r="7350" spans="1:7" x14ac:dyDescent="0.25">
      <c r="A7350">
        <v>1577198182</v>
      </c>
      <c r="B7350" t="s">
        <v>1802</v>
      </c>
      <c r="C7350">
        <v>101</v>
      </c>
      <c r="D7350">
        <v>1</v>
      </c>
      <c r="E7350">
        <v>4607</v>
      </c>
      <c r="F7350">
        <v>2593</v>
      </c>
      <c r="G7350">
        <f t="shared" si="114"/>
        <v>1577198182</v>
      </c>
    </row>
    <row r="7351" spans="1:7" x14ac:dyDescent="0.25">
      <c r="A7351">
        <v>1577198184</v>
      </c>
      <c r="B7351" t="s">
        <v>29524</v>
      </c>
      <c r="C7351">
        <v>567</v>
      </c>
      <c r="D7351">
        <v>0</v>
      </c>
      <c r="E7351">
        <v>0</v>
      </c>
      <c r="F7351">
        <v>8338</v>
      </c>
      <c r="G7351">
        <f t="shared" si="114"/>
        <v>1577198184</v>
      </c>
    </row>
    <row r="7352" spans="1:7" x14ac:dyDescent="0.25">
      <c r="A7352">
        <v>1577198187</v>
      </c>
      <c r="B7352" t="s">
        <v>29525</v>
      </c>
      <c r="C7352">
        <v>0</v>
      </c>
      <c r="D7352">
        <v>1</v>
      </c>
      <c r="E7352">
        <v>26</v>
      </c>
      <c r="F7352">
        <v>6859</v>
      </c>
      <c r="G7352">
        <f t="shared" si="114"/>
        <v>1577198187</v>
      </c>
    </row>
    <row r="7353" spans="1:7" x14ac:dyDescent="0.25">
      <c r="A7353">
        <v>1577198193</v>
      </c>
      <c r="B7353" t="s">
        <v>29526</v>
      </c>
      <c r="C7353">
        <v>413</v>
      </c>
      <c r="D7353">
        <v>1</v>
      </c>
      <c r="E7353">
        <v>5543</v>
      </c>
      <c r="F7353">
        <v>2392</v>
      </c>
      <c r="G7353">
        <f t="shared" si="114"/>
        <v>1577198193</v>
      </c>
    </row>
    <row r="7354" spans="1:7" x14ac:dyDescent="0.25">
      <c r="A7354">
        <v>1577198197</v>
      </c>
      <c r="B7354" t="s">
        <v>29527</v>
      </c>
      <c r="C7354">
        <v>0</v>
      </c>
      <c r="D7354">
        <v>0</v>
      </c>
      <c r="E7354">
        <v>0</v>
      </c>
      <c r="F7354">
        <v>8339</v>
      </c>
      <c r="G7354">
        <f t="shared" si="114"/>
        <v>1577198197</v>
      </c>
    </row>
    <row r="7355" spans="1:7" x14ac:dyDescent="0.25">
      <c r="A7355">
        <v>1577198199</v>
      </c>
      <c r="B7355" t="s">
        <v>29528</v>
      </c>
      <c r="C7355">
        <v>367</v>
      </c>
      <c r="D7355">
        <v>1</v>
      </c>
      <c r="E7355">
        <v>4542</v>
      </c>
      <c r="F7355">
        <v>2609</v>
      </c>
      <c r="G7355">
        <f t="shared" si="114"/>
        <v>1577198199</v>
      </c>
    </row>
    <row r="7356" spans="1:7" x14ac:dyDescent="0.25">
      <c r="A7356">
        <v>1577198200</v>
      </c>
      <c r="B7356" t="s">
        <v>29529</v>
      </c>
      <c r="C7356">
        <v>567</v>
      </c>
      <c r="D7356">
        <v>0</v>
      </c>
      <c r="E7356">
        <v>0</v>
      </c>
      <c r="F7356">
        <v>8340</v>
      </c>
      <c r="G7356">
        <f t="shared" si="114"/>
        <v>1577198200</v>
      </c>
    </row>
    <row r="7357" spans="1:7" x14ac:dyDescent="0.25">
      <c r="A7357">
        <v>1577198203</v>
      </c>
      <c r="B7357" t="s">
        <v>29530</v>
      </c>
      <c r="C7357">
        <v>896</v>
      </c>
      <c r="D7357">
        <v>2</v>
      </c>
      <c r="E7357">
        <v>8878</v>
      </c>
      <c r="F7357">
        <v>1767</v>
      </c>
      <c r="G7357">
        <f t="shared" si="114"/>
        <v>1577198203</v>
      </c>
    </row>
    <row r="7358" spans="1:7" x14ac:dyDescent="0.25">
      <c r="A7358">
        <v>1577198205</v>
      </c>
      <c r="B7358" t="s">
        <v>29531</v>
      </c>
      <c r="C7358">
        <v>760</v>
      </c>
      <c r="D7358">
        <v>7</v>
      </c>
      <c r="E7358">
        <v>36490</v>
      </c>
      <c r="F7358">
        <v>131</v>
      </c>
      <c r="G7358">
        <f t="shared" si="114"/>
        <v>1577198205</v>
      </c>
    </row>
    <row r="7359" spans="1:7" x14ac:dyDescent="0.25">
      <c r="A7359">
        <v>1577198212</v>
      </c>
      <c r="B7359" t="s">
        <v>29532</v>
      </c>
      <c r="C7359">
        <v>33</v>
      </c>
      <c r="D7359">
        <v>1</v>
      </c>
      <c r="E7359">
        <v>630</v>
      </c>
      <c r="F7359">
        <v>4437</v>
      </c>
      <c r="G7359">
        <f t="shared" si="114"/>
        <v>1577198212</v>
      </c>
    </row>
    <row r="7360" spans="1:7" x14ac:dyDescent="0.25">
      <c r="A7360">
        <v>1577198215</v>
      </c>
      <c r="B7360" t="s">
        <v>36865</v>
      </c>
      <c r="C7360">
        <v>0</v>
      </c>
      <c r="D7360">
        <v>0</v>
      </c>
      <c r="E7360">
        <v>0</v>
      </c>
      <c r="F7360">
        <v>8341</v>
      </c>
      <c r="G7360">
        <f t="shared" si="114"/>
        <v>1577198215</v>
      </c>
    </row>
    <row r="7361" spans="1:7" x14ac:dyDescent="0.25">
      <c r="A7361">
        <v>1577198229</v>
      </c>
      <c r="B7361" t="s">
        <v>29533</v>
      </c>
      <c r="C7361">
        <v>552</v>
      </c>
      <c r="D7361">
        <v>5</v>
      </c>
      <c r="E7361">
        <v>23639</v>
      </c>
      <c r="F7361">
        <v>448</v>
      </c>
      <c r="G7361">
        <f t="shared" ref="G7361:G7424" si="115">A7361</f>
        <v>1577198229</v>
      </c>
    </row>
    <row r="7362" spans="1:7" x14ac:dyDescent="0.25">
      <c r="A7362">
        <v>1577198234</v>
      </c>
      <c r="B7362" t="s">
        <v>29534</v>
      </c>
      <c r="C7362">
        <v>69</v>
      </c>
      <c r="D7362">
        <v>5</v>
      </c>
      <c r="E7362">
        <v>26421</v>
      </c>
      <c r="F7362">
        <v>351</v>
      </c>
      <c r="G7362">
        <f t="shared" si="115"/>
        <v>1577198234</v>
      </c>
    </row>
    <row r="7363" spans="1:7" x14ac:dyDescent="0.25">
      <c r="A7363">
        <v>1577198238</v>
      </c>
      <c r="B7363" t="s">
        <v>29535</v>
      </c>
      <c r="C7363">
        <v>617</v>
      </c>
      <c r="D7363">
        <v>2</v>
      </c>
      <c r="E7363">
        <v>12081</v>
      </c>
      <c r="F7363">
        <v>1270</v>
      </c>
      <c r="G7363">
        <f t="shared" si="115"/>
        <v>1577198238</v>
      </c>
    </row>
    <row r="7364" spans="1:7" x14ac:dyDescent="0.25">
      <c r="A7364">
        <v>1577198239</v>
      </c>
      <c r="B7364" t="s">
        <v>37363</v>
      </c>
      <c r="C7364">
        <v>96</v>
      </c>
      <c r="D7364">
        <v>3</v>
      </c>
      <c r="E7364">
        <v>20228</v>
      </c>
      <c r="F7364">
        <v>616</v>
      </c>
      <c r="G7364">
        <f t="shared" si="115"/>
        <v>1577198239</v>
      </c>
    </row>
    <row r="7365" spans="1:7" x14ac:dyDescent="0.25">
      <c r="A7365">
        <v>1577198241</v>
      </c>
      <c r="B7365" t="s">
        <v>36866</v>
      </c>
      <c r="C7365">
        <v>1582</v>
      </c>
      <c r="D7365">
        <v>1</v>
      </c>
      <c r="E7365">
        <v>1010</v>
      </c>
      <c r="F7365">
        <v>3976</v>
      </c>
      <c r="G7365">
        <f t="shared" si="115"/>
        <v>1577198241</v>
      </c>
    </row>
    <row r="7366" spans="1:7" x14ac:dyDescent="0.25">
      <c r="A7366">
        <v>1577198254</v>
      </c>
      <c r="B7366" t="s">
        <v>29536</v>
      </c>
      <c r="C7366">
        <v>0</v>
      </c>
      <c r="D7366">
        <v>1</v>
      </c>
      <c r="E7366">
        <v>76</v>
      </c>
      <c r="F7366">
        <v>6010</v>
      </c>
      <c r="G7366">
        <f t="shared" si="115"/>
        <v>1577198254</v>
      </c>
    </row>
    <row r="7367" spans="1:7" x14ac:dyDescent="0.25">
      <c r="A7367">
        <v>1577198260</v>
      </c>
      <c r="B7367" t="s">
        <v>2159</v>
      </c>
      <c r="C7367">
        <v>69</v>
      </c>
      <c r="D7367">
        <v>2</v>
      </c>
      <c r="E7367">
        <v>7907</v>
      </c>
      <c r="F7367">
        <v>1899</v>
      </c>
      <c r="G7367">
        <f t="shared" si="115"/>
        <v>1577198260</v>
      </c>
    </row>
    <row r="7368" spans="1:7" x14ac:dyDescent="0.25">
      <c r="A7368">
        <v>1577198269</v>
      </c>
      <c r="B7368" t="s">
        <v>29537</v>
      </c>
      <c r="C7368">
        <v>1743</v>
      </c>
      <c r="D7368">
        <v>1</v>
      </c>
      <c r="E7368">
        <v>2025</v>
      </c>
      <c r="F7368">
        <v>3331</v>
      </c>
      <c r="G7368">
        <f t="shared" si="115"/>
        <v>1577198269</v>
      </c>
    </row>
    <row r="7369" spans="1:7" x14ac:dyDescent="0.25">
      <c r="A7369">
        <v>1577198274</v>
      </c>
      <c r="B7369" t="s">
        <v>36867</v>
      </c>
      <c r="C7369">
        <v>2003</v>
      </c>
      <c r="D7369">
        <v>1</v>
      </c>
      <c r="E7369">
        <v>339</v>
      </c>
      <c r="F7369">
        <v>5011</v>
      </c>
      <c r="G7369">
        <f t="shared" si="115"/>
        <v>1577198274</v>
      </c>
    </row>
    <row r="7370" spans="1:7" x14ac:dyDescent="0.25">
      <c r="A7370">
        <v>1577198275</v>
      </c>
      <c r="B7370" t="s">
        <v>29538</v>
      </c>
      <c r="C7370">
        <v>27</v>
      </c>
      <c r="D7370">
        <v>2</v>
      </c>
      <c r="E7370">
        <v>9299</v>
      </c>
      <c r="F7370">
        <v>1673</v>
      </c>
      <c r="G7370">
        <f t="shared" si="115"/>
        <v>1577198275</v>
      </c>
    </row>
    <row r="7371" spans="1:7" x14ac:dyDescent="0.25">
      <c r="A7371">
        <v>1577198281</v>
      </c>
      <c r="B7371" t="s">
        <v>29539</v>
      </c>
      <c r="C7371">
        <v>0</v>
      </c>
      <c r="D7371">
        <v>1</v>
      </c>
      <c r="E7371">
        <v>26</v>
      </c>
      <c r="F7371">
        <v>6860</v>
      </c>
      <c r="G7371">
        <f t="shared" si="115"/>
        <v>1577198281</v>
      </c>
    </row>
    <row r="7372" spans="1:7" x14ac:dyDescent="0.25">
      <c r="A7372">
        <v>1577198287</v>
      </c>
      <c r="B7372" t="s">
        <v>29540</v>
      </c>
      <c r="C7372">
        <v>1966</v>
      </c>
      <c r="D7372">
        <v>3</v>
      </c>
      <c r="E7372">
        <v>17483</v>
      </c>
      <c r="F7372">
        <v>791</v>
      </c>
      <c r="G7372">
        <f t="shared" si="115"/>
        <v>1577198287</v>
      </c>
    </row>
    <row r="7373" spans="1:7" x14ac:dyDescent="0.25">
      <c r="A7373">
        <v>1577198288</v>
      </c>
      <c r="B7373" t="s">
        <v>29541</v>
      </c>
      <c r="C7373">
        <v>0</v>
      </c>
      <c r="D7373">
        <v>1</v>
      </c>
      <c r="E7373">
        <v>38</v>
      </c>
      <c r="F7373">
        <v>6288</v>
      </c>
      <c r="G7373">
        <f t="shared" si="115"/>
        <v>1577198288</v>
      </c>
    </row>
    <row r="7374" spans="1:7" x14ac:dyDescent="0.25">
      <c r="A7374">
        <v>1577198291</v>
      </c>
      <c r="B7374" t="s">
        <v>29542</v>
      </c>
      <c r="C7374">
        <v>131</v>
      </c>
      <c r="D7374">
        <v>1</v>
      </c>
      <c r="E7374">
        <v>4121</v>
      </c>
      <c r="F7374">
        <v>2740</v>
      </c>
      <c r="G7374">
        <f t="shared" si="115"/>
        <v>1577198291</v>
      </c>
    </row>
    <row r="7375" spans="1:7" x14ac:dyDescent="0.25">
      <c r="A7375">
        <v>1577198296</v>
      </c>
      <c r="B7375" t="s">
        <v>29543</v>
      </c>
      <c r="C7375">
        <v>19</v>
      </c>
      <c r="D7375">
        <v>0</v>
      </c>
      <c r="E7375">
        <v>0</v>
      </c>
      <c r="F7375">
        <v>8342</v>
      </c>
      <c r="G7375">
        <f t="shared" si="115"/>
        <v>1577198296</v>
      </c>
    </row>
    <row r="7376" spans="1:7" x14ac:dyDescent="0.25">
      <c r="A7376">
        <v>1577198298</v>
      </c>
      <c r="B7376" t="s">
        <v>1860</v>
      </c>
      <c r="C7376">
        <v>274</v>
      </c>
      <c r="D7376">
        <v>1</v>
      </c>
      <c r="E7376">
        <v>6685</v>
      </c>
      <c r="F7376">
        <v>2123</v>
      </c>
      <c r="G7376">
        <f t="shared" si="115"/>
        <v>1577198298</v>
      </c>
    </row>
    <row r="7377" spans="1:7" x14ac:dyDescent="0.25">
      <c r="A7377">
        <v>1577198299</v>
      </c>
      <c r="B7377" t="s">
        <v>29544</v>
      </c>
      <c r="C7377">
        <v>0</v>
      </c>
      <c r="D7377">
        <v>1</v>
      </c>
      <c r="E7377">
        <v>388</v>
      </c>
      <c r="F7377">
        <v>4878</v>
      </c>
      <c r="G7377">
        <f t="shared" si="115"/>
        <v>1577198299</v>
      </c>
    </row>
    <row r="7378" spans="1:7" x14ac:dyDescent="0.25">
      <c r="A7378">
        <v>1577198300</v>
      </c>
      <c r="B7378" t="s">
        <v>36868</v>
      </c>
      <c r="C7378">
        <v>433</v>
      </c>
      <c r="D7378">
        <v>0</v>
      </c>
      <c r="E7378">
        <v>0</v>
      </c>
      <c r="F7378">
        <v>8343</v>
      </c>
      <c r="G7378">
        <f t="shared" si="115"/>
        <v>1577198300</v>
      </c>
    </row>
    <row r="7379" spans="1:7" x14ac:dyDescent="0.25">
      <c r="A7379">
        <v>1577198306</v>
      </c>
      <c r="B7379" t="s">
        <v>29545</v>
      </c>
      <c r="C7379">
        <v>218</v>
      </c>
      <c r="D7379">
        <v>1</v>
      </c>
      <c r="E7379">
        <v>4560</v>
      </c>
      <c r="F7379">
        <v>2605</v>
      </c>
      <c r="G7379">
        <f t="shared" si="115"/>
        <v>1577198306</v>
      </c>
    </row>
    <row r="7380" spans="1:7" x14ac:dyDescent="0.25">
      <c r="A7380">
        <v>1577198307</v>
      </c>
      <c r="B7380" t="s">
        <v>36869</v>
      </c>
      <c r="C7380">
        <v>12</v>
      </c>
      <c r="D7380">
        <v>1</v>
      </c>
      <c r="E7380">
        <v>1193</v>
      </c>
      <c r="F7380">
        <v>3803</v>
      </c>
      <c r="G7380">
        <f t="shared" si="115"/>
        <v>1577198307</v>
      </c>
    </row>
    <row r="7381" spans="1:7" x14ac:dyDescent="0.25">
      <c r="A7381">
        <v>1577198312</v>
      </c>
      <c r="B7381" t="s">
        <v>29546</v>
      </c>
      <c r="C7381">
        <v>150</v>
      </c>
      <c r="D7381">
        <v>0</v>
      </c>
      <c r="E7381">
        <v>0</v>
      </c>
      <c r="F7381">
        <v>8344</v>
      </c>
      <c r="G7381">
        <f t="shared" si="115"/>
        <v>1577198312</v>
      </c>
    </row>
    <row r="7382" spans="1:7" x14ac:dyDescent="0.25">
      <c r="A7382">
        <v>1577198319</v>
      </c>
      <c r="B7382" t="s">
        <v>29547</v>
      </c>
      <c r="C7382">
        <v>367</v>
      </c>
      <c r="D7382">
        <v>1</v>
      </c>
      <c r="E7382">
        <v>4103</v>
      </c>
      <c r="F7382">
        <v>2748</v>
      </c>
      <c r="G7382">
        <f t="shared" si="115"/>
        <v>1577198319</v>
      </c>
    </row>
    <row r="7383" spans="1:7" x14ac:dyDescent="0.25">
      <c r="A7383">
        <v>1577198328</v>
      </c>
      <c r="B7383" t="s">
        <v>37364</v>
      </c>
      <c r="C7383">
        <v>27</v>
      </c>
      <c r="D7383">
        <v>3</v>
      </c>
      <c r="E7383">
        <v>18953</v>
      </c>
      <c r="F7383">
        <v>687</v>
      </c>
      <c r="G7383">
        <f t="shared" si="115"/>
        <v>1577198328</v>
      </c>
    </row>
    <row r="7384" spans="1:7" x14ac:dyDescent="0.25">
      <c r="A7384">
        <v>1577198331</v>
      </c>
      <c r="B7384" t="s">
        <v>29548</v>
      </c>
      <c r="C7384">
        <v>0</v>
      </c>
      <c r="D7384">
        <v>0</v>
      </c>
      <c r="E7384">
        <v>0</v>
      </c>
      <c r="F7384">
        <v>8345</v>
      </c>
      <c r="G7384">
        <f t="shared" si="115"/>
        <v>1577198331</v>
      </c>
    </row>
    <row r="7385" spans="1:7" x14ac:dyDescent="0.25">
      <c r="A7385">
        <v>1577198333</v>
      </c>
      <c r="B7385" t="s">
        <v>37365</v>
      </c>
      <c r="C7385">
        <v>47</v>
      </c>
      <c r="D7385">
        <v>1</v>
      </c>
      <c r="E7385">
        <v>4272</v>
      </c>
      <c r="F7385">
        <v>2694</v>
      </c>
      <c r="G7385">
        <f t="shared" si="115"/>
        <v>1577198333</v>
      </c>
    </row>
    <row r="7386" spans="1:7" x14ac:dyDescent="0.25">
      <c r="A7386">
        <v>1577198334</v>
      </c>
      <c r="B7386" t="s">
        <v>37366</v>
      </c>
      <c r="C7386">
        <v>0</v>
      </c>
      <c r="D7386">
        <v>1</v>
      </c>
      <c r="E7386">
        <v>26</v>
      </c>
      <c r="F7386">
        <v>6861</v>
      </c>
      <c r="G7386">
        <f t="shared" si="115"/>
        <v>1577198334</v>
      </c>
    </row>
    <row r="7387" spans="1:7" x14ac:dyDescent="0.25">
      <c r="A7387">
        <v>1577198338</v>
      </c>
      <c r="B7387" t="s">
        <v>29549</v>
      </c>
      <c r="C7387">
        <v>0</v>
      </c>
      <c r="D7387">
        <v>1</v>
      </c>
      <c r="E7387">
        <v>3016</v>
      </c>
      <c r="F7387">
        <v>2993</v>
      </c>
      <c r="G7387">
        <f t="shared" si="115"/>
        <v>1577198338</v>
      </c>
    </row>
    <row r="7388" spans="1:7" x14ac:dyDescent="0.25">
      <c r="A7388">
        <v>1577198344</v>
      </c>
      <c r="B7388" t="s">
        <v>29550</v>
      </c>
      <c r="C7388">
        <v>0</v>
      </c>
      <c r="D7388">
        <v>1</v>
      </c>
      <c r="E7388">
        <v>1361</v>
      </c>
      <c r="F7388">
        <v>3687</v>
      </c>
      <c r="G7388">
        <f t="shared" si="115"/>
        <v>1577198344</v>
      </c>
    </row>
    <row r="7389" spans="1:7" x14ac:dyDescent="0.25">
      <c r="A7389">
        <v>1577198345</v>
      </c>
      <c r="B7389" t="s">
        <v>29551</v>
      </c>
      <c r="C7389">
        <v>0</v>
      </c>
      <c r="D7389">
        <v>0</v>
      </c>
      <c r="E7389">
        <v>0</v>
      </c>
      <c r="F7389">
        <v>8346</v>
      </c>
      <c r="G7389">
        <f t="shared" si="115"/>
        <v>1577198345</v>
      </c>
    </row>
    <row r="7390" spans="1:7" x14ac:dyDescent="0.25">
      <c r="A7390">
        <v>1577198349</v>
      </c>
      <c r="B7390" t="s">
        <v>29552</v>
      </c>
      <c r="C7390">
        <v>638</v>
      </c>
      <c r="D7390">
        <v>0</v>
      </c>
      <c r="E7390">
        <v>0</v>
      </c>
      <c r="F7390">
        <v>8347</v>
      </c>
      <c r="G7390">
        <f t="shared" si="115"/>
        <v>1577198349</v>
      </c>
    </row>
    <row r="7391" spans="1:7" x14ac:dyDescent="0.25">
      <c r="A7391">
        <v>1577198350</v>
      </c>
      <c r="B7391" t="s">
        <v>36870</v>
      </c>
      <c r="C7391">
        <v>617</v>
      </c>
      <c r="D7391">
        <v>2</v>
      </c>
      <c r="E7391">
        <v>10179</v>
      </c>
      <c r="F7391">
        <v>1540</v>
      </c>
      <c r="G7391">
        <f t="shared" si="115"/>
        <v>1577198350</v>
      </c>
    </row>
    <row r="7392" spans="1:7" x14ac:dyDescent="0.25">
      <c r="A7392">
        <v>1577198352</v>
      </c>
      <c r="B7392" t="s">
        <v>37191</v>
      </c>
      <c r="C7392">
        <v>0</v>
      </c>
      <c r="D7392">
        <v>0</v>
      </c>
      <c r="E7392">
        <v>0</v>
      </c>
      <c r="F7392">
        <v>8348</v>
      </c>
      <c r="G7392">
        <f t="shared" si="115"/>
        <v>1577198352</v>
      </c>
    </row>
    <row r="7393" spans="1:7" x14ac:dyDescent="0.25">
      <c r="A7393">
        <v>1577198353</v>
      </c>
      <c r="B7393" t="s">
        <v>29553</v>
      </c>
      <c r="C7393">
        <v>0</v>
      </c>
      <c r="D7393">
        <v>0</v>
      </c>
      <c r="E7393">
        <v>0</v>
      </c>
      <c r="F7393">
        <v>8349</v>
      </c>
      <c r="G7393">
        <f t="shared" si="115"/>
        <v>1577198353</v>
      </c>
    </row>
    <row r="7394" spans="1:7" x14ac:dyDescent="0.25">
      <c r="A7394">
        <v>1577198354</v>
      </c>
      <c r="B7394" t="s">
        <v>29554</v>
      </c>
      <c r="C7394">
        <v>0</v>
      </c>
      <c r="D7394">
        <v>0</v>
      </c>
      <c r="E7394">
        <v>0</v>
      </c>
      <c r="F7394">
        <v>8350</v>
      </c>
      <c r="G7394">
        <f t="shared" si="115"/>
        <v>1577198354</v>
      </c>
    </row>
    <row r="7395" spans="1:7" x14ac:dyDescent="0.25">
      <c r="A7395">
        <v>1577198356</v>
      </c>
      <c r="B7395" t="s">
        <v>29555</v>
      </c>
      <c r="C7395">
        <v>1966</v>
      </c>
      <c r="D7395">
        <v>1</v>
      </c>
      <c r="E7395">
        <v>1860</v>
      </c>
      <c r="F7395">
        <v>3411</v>
      </c>
      <c r="G7395">
        <f t="shared" si="115"/>
        <v>1577198356</v>
      </c>
    </row>
    <row r="7396" spans="1:7" x14ac:dyDescent="0.25">
      <c r="A7396">
        <v>1577198359</v>
      </c>
      <c r="B7396" t="s">
        <v>29556</v>
      </c>
      <c r="C7396">
        <v>0</v>
      </c>
      <c r="D7396">
        <v>1</v>
      </c>
      <c r="E7396">
        <v>199</v>
      </c>
      <c r="F7396">
        <v>5524</v>
      </c>
      <c r="G7396">
        <f t="shared" si="115"/>
        <v>1577198359</v>
      </c>
    </row>
    <row r="7397" spans="1:7" x14ac:dyDescent="0.25">
      <c r="A7397">
        <v>1577198370</v>
      </c>
      <c r="B7397" t="s">
        <v>29557</v>
      </c>
      <c r="C7397">
        <v>760</v>
      </c>
      <c r="D7397">
        <v>2</v>
      </c>
      <c r="E7397">
        <v>10779</v>
      </c>
      <c r="F7397">
        <v>1454</v>
      </c>
      <c r="G7397">
        <f t="shared" si="115"/>
        <v>1577198370</v>
      </c>
    </row>
    <row r="7398" spans="1:7" x14ac:dyDescent="0.25">
      <c r="A7398">
        <v>1577198372</v>
      </c>
      <c r="B7398" t="s">
        <v>29558</v>
      </c>
      <c r="C7398">
        <v>412</v>
      </c>
      <c r="D7398">
        <v>2</v>
      </c>
      <c r="E7398">
        <v>6918</v>
      </c>
      <c r="F7398">
        <v>2079</v>
      </c>
      <c r="G7398">
        <f t="shared" si="115"/>
        <v>1577198372</v>
      </c>
    </row>
    <row r="7399" spans="1:7" x14ac:dyDescent="0.25">
      <c r="A7399">
        <v>1577198392</v>
      </c>
      <c r="B7399" t="s">
        <v>29559</v>
      </c>
      <c r="C7399">
        <v>27</v>
      </c>
      <c r="D7399">
        <v>3</v>
      </c>
      <c r="E7399">
        <v>22859</v>
      </c>
      <c r="F7399">
        <v>477</v>
      </c>
      <c r="G7399">
        <f t="shared" si="115"/>
        <v>1577198392</v>
      </c>
    </row>
    <row r="7400" spans="1:7" x14ac:dyDescent="0.25">
      <c r="A7400">
        <v>1577198398</v>
      </c>
      <c r="B7400" t="s">
        <v>29560</v>
      </c>
      <c r="C7400">
        <v>320</v>
      </c>
      <c r="D7400">
        <v>0</v>
      </c>
      <c r="E7400">
        <v>0</v>
      </c>
      <c r="F7400">
        <v>8351</v>
      </c>
      <c r="G7400">
        <f t="shared" si="115"/>
        <v>1577198398</v>
      </c>
    </row>
    <row r="7401" spans="1:7" x14ac:dyDescent="0.25">
      <c r="A7401">
        <v>1577198399</v>
      </c>
      <c r="B7401" t="s">
        <v>29561</v>
      </c>
      <c r="C7401">
        <v>0</v>
      </c>
      <c r="D7401">
        <v>0</v>
      </c>
      <c r="E7401">
        <v>0</v>
      </c>
      <c r="F7401">
        <v>8352</v>
      </c>
      <c r="G7401">
        <f t="shared" si="115"/>
        <v>1577198399</v>
      </c>
    </row>
    <row r="7402" spans="1:7" x14ac:dyDescent="0.25">
      <c r="A7402">
        <v>1577198400</v>
      </c>
      <c r="B7402" t="s">
        <v>29562</v>
      </c>
      <c r="C7402">
        <v>58</v>
      </c>
      <c r="D7402">
        <v>2</v>
      </c>
      <c r="E7402">
        <v>7296</v>
      </c>
      <c r="F7402">
        <v>2009</v>
      </c>
      <c r="G7402">
        <f t="shared" si="115"/>
        <v>1577198400</v>
      </c>
    </row>
    <row r="7403" spans="1:7" x14ac:dyDescent="0.25">
      <c r="A7403">
        <v>1577198402</v>
      </c>
      <c r="B7403" t="s">
        <v>29563</v>
      </c>
      <c r="C7403">
        <v>0</v>
      </c>
      <c r="D7403">
        <v>1</v>
      </c>
      <c r="E7403">
        <v>745</v>
      </c>
      <c r="F7403">
        <v>4275</v>
      </c>
      <c r="G7403">
        <f t="shared" si="115"/>
        <v>1577198402</v>
      </c>
    </row>
    <row r="7404" spans="1:7" x14ac:dyDescent="0.25">
      <c r="A7404">
        <v>1577198403</v>
      </c>
      <c r="B7404" t="s">
        <v>29564</v>
      </c>
      <c r="C7404">
        <v>810</v>
      </c>
      <c r="D7404">
        <v>0</v>
      </c>
      <c r="E7404">
        <v>0</v>
      </c>
      <c r="F7404">
        <v>8353</v>
      </c>
      <c r="G7404">
        <f t="shared" si="115"/>
        <v>1577198403</v>
      </c>
    </row>
    <row r="7405" spans="1:7" x14ac:dyDescent="0.25">
      <c r="A7405">
        <v>1577198404</v>
      </c>
      <c r="B7405" t="s">
        <v>37080</v>
      </c>
      <c r="C7405">
        <v>680</v>
      </c>
      <c r="D7405">
        <v>2</v>
      </c>
      <c r="E7405">
        <v>11046</v>
      </c>
      <c r="F7405">
        <v>1408</v>
      </c>
      <c r="G7405">
        <f t="shared" si="115"/>
        <v>1577198404</v>
      </c>
    </row>
    <row r="7406" spans="1:7" x14ac:dyDescent="0.25">
      <c r="A7406">
        <v>1577198408</v>
      </c>
      <c r="B7406" t="s">
        <v>36871</v>
      </c>
      <c r="C7406">
        <v>617</v>
      </c>
      <c r="D7406">
        <v>2</v>
      </c>
      <c r="E7406">
        <v>9088</v>
      </c>
      <c r="F7406">
        <v>1718</v>
      </c>
      <c r="G7406">
        <f t="shared" si="115"/>
        <v>1577198408</v>
      </c>
    </row>
    <row r="7407" spans="1:7" x14ac:dyDescent="0.25">
      <c r="A7407">
        <v>1577198412</v>
      </c>
      <c r="B7407" t="s">
        <v>29565</v>
      </c>
      <c r="C7407">
        <v>0</v>
      </c>
      <c r="D7407">
        <v>1</v>
      </c>
      <c r="E7407">
        <v>1155</v>
      </c>
      <c r="F7407">
        <v>3821</v>
      </c>
      <c r="G7407">
        <f t="shared" si="115"/>
        <v>1577198412</v>
      </c>
    </row>
    <row r="7408" spans="1:7" x14ac:dyDescent="0.25">
      <c r="A7408">
        <v>1577198418</v>
      </c>
      <c r="B7408" t="s">
        <v>29566</v>
      </c>
      <c r="C7408">
        <v>1991</v>
      </c>
      <c r="D7408">
        <v>1</v>
      </c>
      <c r="E7408">
        <v>631</v>
      </c>
      <c r="F7408">
        <v>4439</v>
      </c>
      <c r="G7408">
        <f t="shared" si="115"/>
        <v>1577198418</v>
      </c>
    </row>
    <row r="7409" spans="1:7" x14ac:dyDescent="0.25">
      <c r="A7409">
        <v>1577198420</v>
      </c>
      <c r="B7409" t="s">
        <v>36872</v>
      </c>
      <c r="C7409">
        <v>268</v>
      </c>
      <c r="D7409">
        <v>1</v>
      </c>
      <c r="E7409">
        <v>422</v>
      </c>
      <c r="F7409">
        <v>4801</v>
      </c>
      <c r="G7409">
        <f t="shared" si="115"/>
        <v>1577198420</v>
      </c>
    </row>
    <row r="7410" spans="1:7" x14ac:dyDescent="0.25">
      <c r="A7410">
        <v>1577198422</v>
      </c>
      <c r="B7410" t="s">
        <v>29567</v>
      </c>
      <c r="C7410">
        <v>0</v>
      </c>
      <c r="D7410">
        <v>0</v>
      </c>
      <c r="E7410">
        <v>0</v>
      </c>
      <c r="F7410">
        <v>8354</v>
      </c>
      <c r="G7410">
        <f t="shared" si="115"/>
        <v>1577198422</v>
      </c>
    </row>
    <row r="7411" spans="1:7" x14ac:dyDescent="0.25">
      <c r="A7411">
        <v>1577198429</v>
      </c>
      <c r="B7411" t="s">
        <v>29568</v>
      </c>
      <c r="C7411">
        <v>380</v>
      </c>
      <c r="D7411">
        <v>1</v>
      </c>
      <c r="E7411">
        <v>2418</v>
      </c>
      <c r="F7411">
        <v>3168</v>
      </c>
      <c r="G7411">
        <f t="shared" si="115"/>
        <v>1577198429</v>
      </c>
    </row>
    <row r="7412" spans="1:7" x14ac:dyDescent="0.25">
      <c r="A7412">
        <v>1577198432</v>
      </c>
      <c r="B7412" t="s">
        <v>29569</v>
      </c>
      <c r="C7412">
        <v>152</v>
      </c>
      <c r="D7412">
        <v>4</v>
      </c>
      <c r="E7412">
        <v>15219</v>
      </c>
      <c r="F7412">
        <v>972</v>
      </c>
      <c r="G7412">
        <f t="shared" si="115"/>
        <v>1577198432</v>
      </c>
    </row>
    <row r="7413" spans="1:7" x14ac:dyDescent="0.25">
      <c r="A7413">
        <v>1577198435</v>
      </c>
      <c r="B7413" t="s">
        <v>29570</v>
      </c>
      <c r="C7413">
        <v>69</v>
      </c>
      <c r="D7413">
        <v>4</v>
      </c>
      <c r="E7413">
        <v>23198</v>
      </c>
      <c r="F7413">
        <v>466</v>
      </c>
      <c r="G7413">
        <f t="shared" si="115"/>
        <v>1577198435</v>
      </c>
    </row>
    <row r="7414" spans="1:7" x14ac:dyDescent="0.25">
      <c r="A7414">
        <v>1577198436</v>
      </c>
      <c r="B7414" t="s">
        <v>29571</v>
      </c>
      <c r="C7414">
        <v>1483</v>
      </c>
      <c r="D7414">
        <v>1</v>
      </c>
      <c r="E7414">
        <v>2490</v>
      </c>
      <c r="F7414">
        <v>3138</v>
      </c>
      <c r="G7414">
        <f t="shared" si="115"/>
        <v>1577198436</v>
      </c>
    </row>
    <row r="7415" spans="1:7" x14ac:dyDescent="0.25">
      <c r="A7415">
        <v>1577198442</v>
      </c>
      <c r="B7415" t="s">
        <v>29572</v>
      </c>
      <c r="C7415">
        <v>1609</v>
      </c>
      <c r="D7415">
        <v>2</v>
      </c>
      <c r="E7415">
        <v>7900</v>
      </c>
      <c r="F7415">
        <v>1906</v>
      </c>
      <c r="G7415">
        <f t="shared" si="115"/>
        <v>1577198442</v>
      </c>
    </row>
    <row r="7416" spans="1:7" x14ac:dyDescent="0.25">
      <c r="A7416">
        <v>1577198444</v>
      </c>
      <c r="B7416" t="s">
        <v>29573</v>
      </c>
      <c r="C7416">
        <v>69</v>
      </c>
      <c r="D7416">
        <v>2</v>
      </c>
      <c r="E7416">
        <v>11471</v>
      </c>
      <c r="F7416">
        <v>1349</v>
      </c>
      <c r="G7416">
        <f t="shared" si="115"/>
        <v>1577198444</v>
      </c>
    </row>
    <row r="7417" spans="1:7" x14ac:dyDescent="0.25">
      <c r="A7417">
        <v>1577198446</v>
      </c>
      <c r="B7417" t="s">
        <v>29574</v>
      </c>
      <c r="C7417">
        <v>1836</v>
      </c>
      <c r="D7417">
        <v>1</v>
      </c>
      <c r="E7417">
        <v>1718</v>
      </c>
      <c r="F7417">
        <v>3487</v>
      </c>
      <c r="G7417">
        <f t="shared" si="115"/>
        <v>1577198446</v>
      </c>
    </row>
    <row r="7418" spans="1:7" x14ac:dyDescent="0.25">
      <c r="A7418">
        <v>1577198447</v>
      </c>
      <c r="B7418" t="s">
        <v>29575</v>
      </c>
      <c r="C7418">
        <v>567</v>
      </c>
      <c r="D7418">
        <v>1</v>
      </c>
      <c r="E7418">
        <v>761</v>
      </c>
      <c r="F7418">
        <v>4255</v>
      </c>
      <c r="G7418">
        <f t="shared" si="115"/>
        <v>1577198447</v>
      </c>
    </row>
    <row r="7419" spans="1:7" x14ac:dyDescent="0.25">
      <c r="A7419">
        <v>1577198448</v>
      </c>
      <c r="B7419" t="s">
        <v>29576</v>
      </c>
      <c r="C7419">
        <v>0</v>
      </c>
      <c r="D7419">
        <v>0</v>
      </c>
      <c r="E7419">
        <v>0</v>
      </c>
      <c r="F7419">
        <v>8355</v>
      </c>
      <c r="G7419">
        <f t="shared" si="115"/>
        <v>1577198448</v>
      </c>
    </row>
    <row r="7420" spans="1:7" x14ac:dyDescent="0.25">
      <c r="A7420">
        <v>1577198451</v>
      </c>
      <c r="B7420" t="s">
        <v>29577</v>
      </c>
      <c r="C7420">
        <v>0</v>
      </c>
      <c r="D7420">
        <v>1</v>
      </c>
      <c r="E7420">
        <v>760</v>
      </c>
      <c r="F7420">
        <v>4256</v>
      </c>
      <c r="G7420">
        <f t="shared" si="115"/>
        <v>1577198451</v>
      </c>
    </row>
    <row r="7421" spans="1:7" x14ac:dyDescent="0.25">
      <c r="A7421">
        <v>1577198453</v>
      </c>
      <c r="B7421" t="s">
        <v>29578</v>
      </c>
      <c r="C7421">
        <v>0</v>
      </c>
      <c r="D7421">
        <v>0</v>
      </c>
      <c r="E7421">
        <v>0</v>
      </c>
      <c r="F7421">
        <v>8356</v>
      </c>
      <c r="G7421">
        <f t="shared" si="115"/>
        <v>1577198453</v>
      </c>
    </row>
    <row r="7422" spans="1:7" x14ac:dyDescent="0.25">
      <c r="A7422">
        <v>1577198457</v>
      </c>
      <c r="B7422" t="s">
        <v>29579</v>
      </c>
      <c r="C7422">
        <v>0</v>
      </c>
      <c r="D7422">
        <v>1</v>
      </c>
      <c r="E7422">
        <v>157</v>
      </c>
      <c r="F7422">
        <v>5673</v>
      </c>
      <c r="G7422">
        <f t="shared" si="115"/>
        <v>1577198457</v>
      </c>
    </row>
    <row r="7423" spans="1:7" x14ac:dyDescent="0.25">
      <c r="A7423">
        <v>1577198461</v>
      </c>
      <c r="B7423" t="s">
        <v>29580</v>
      </c>
      <c r="C7423">
        <v>69</v>
      </c>
      <c r="D7423">
        <v>2</v>
      </c>
      <c r="E7423">
        <v>15152</v>
      </c>
      <c r="F7423">
        <v>984</v>
      </c>
      <c r="G7423">
        <f t="shared" si="115"/>
        <v>1577198461</v>
      </c>
    </row>
    <row r="7424" spans="1:7" x14ac:dyDescent="0.25">
      <c r="A7424">
        <v>1577198472</v>
      </c>
      <c r="B7424" t="s">
        <v>29581</v>
      </c>
      <c r="C7424">
        <v>0</v>
      </c>
      <c r="D7424">
        <v>0</v>
      </c>
      <c r="E7424">
        <v>0</v>
      </c>
      <c r="F7424">
        <v>8357</v>
      </c>
      <c r="G7424">
        <f t="shared" si="115"/>
        <v>1577198472</v>
      </c>
    </row>
    <row r="7425" spans="1:7" x14ac:dyDescent="0.25">
      <c r="A7425">
        <v>1577198478</v>
      </c>
      <c r="B7425" t="s">
        <v>29582</v>
      </c>
      <c r="C7425">
        <v>124</v>
      </c>
      <c r="D7425">
        <v>2</v>
      </c>
      <c r="E7425">
        <v>12128</v>
      </c>
      <c r="F7425">
        <v>1266</v>
      </c>
      <c r="G7425">
        <f t="shared" ref="G7425:G7488" si="116">A7425</f>
        <v>1577198478</v>
      </c>
    </row>
    <row r="7426" spans="1:7" x14ac:dyDescent="0.25">
      <c r="A7426">
        <v>1577198489</v>
      </c>
      <c r="B7426" t="s">
        <v>1923</v>
      </c>
      <c r="C7426">
        <v>413</v>
      </c>
      <c r="D7426">
        <v>1</v>
      </c>
      <c r="E7426">
        <v>5607</v>
      </c>
      <c r="F7426">
        <v>2376</v>
      </c>
      <c r="G7426">
        <f t="shared" si="116"/>
        <v>1577198489</v>
      </c>
    </row>
    <row r="7427" spans="1:7" x14ac:dyDescent="0.25">
      <c r="A7427">
        <v>1577198494</v>
      </c>
      <c r="B7427" t="s">
        <v>29583</v>
      </c>
      <c r="C7427">
        <v>1984</v>
      </c>
      <c r="D7427">
        <v>0</v>
      </c>
      <c r="E7427">
        <v>0</v>
      </c>
      <c r="F7427">
        <v>8358</v>
      </c>
      <c r="G7427">
        <f t="shared" si="116"/>
        <v>1577198494</v>
      </c>
    </row>
    <row r="7428" spans="1:7" x14ac:dyDescent="0.25">
      <c r="A7428">
        <v>1577198503</v>
      </c>
      <c r="B7428" t="s">
        <v>36873</v>
      </c>
      <c r="C7428">
        <v>0</v>
      </c>
      <c r="D7428">
        <v>0</v>
      </c>
      <c r="E7428">
        <v>0</v>
      </c>
      <c r="F7428">
        <v>8359</v>
      </c>
      <c r="G7428">
        <f t="shared" si="116"/>
        <v>1577198503</v>
      </c>
    </row>
    <row r="7429" spans="1:7" x14ac:dyDescent="0.25">
      <c r="A7429">
        <v>1577198505</v>
      </c>
      <c r="B7429" t="s">
        <v>29584</v>
      </c>
      <c r="C7429">
        <v>1138</v>
      </c>
      <c r="D7429">
        <v>0</v>
      </c>
      <c r="E7429">
        <v>0</v>
      </c>
      <c r="F7429">
        <v>8360</v>
      </c>
      <c r="G7429">
        <f t="shared" si="116"/>
        <v>1577198505</v>
      </c>
    </row>
    <row r="7430" spans="1:7" x14ac:dyDescent="0.25">
      <c r="A7430">
        <v>1577198507</v>
      </c>
      <c r="B7430" t="s">
        <v>29585</v>
      </c>
      <c r="C7430">
        <v>0</v>
      </c>
      <c r="D7430">
        <v>0</v>
      </c>
      <c r="E7430">
        <v>0</v>
      </c>
      <c r="F7430">
        <v>8361</v>
      </c>
      <c r="G7430">
        <f t="shared" si="116"/>
        <v>1577198507</v>
      </c>
    </row>
    <row r="7431" spans="1:7" x14ac:dyDescent="0.25">
      <c r="A7431">
        <v>1577198510</v>
      </c>
      <c r="B7431" t="s">
        <v>29586</v>
      </c>
      <c r="C7431">
        <v>0</v>
      </c>
      <c r="D7431">
        <v>1</v>
      </c>
      <c r="E7431">
        <v>500</v>
      </c>
      <c r="F7431">
        <v>4639</v>
      </c>
      <c r="G7431">
        <f t="shared" si="116"/>
        <v>1577198510</v>
      </c>
    </row>
    <row r="7432" spans="1:7" x14ac:dyDescent="0.25">
      <c r="A7432">
        <v>1577198511</v>
      </c>
      <c r="B7432" t="s">
        <v>36874</v>
      </c>
      <c r="C7432">
        <v>0</v>
      </c>
      <c r="D7432">
        <v>1</v>
      </c>
      <c r="E7432">
        <v>56</v>
      </c>
      <c r="F7432">
        <v>6126</v>
      </c>
      <c r="G7432">
        <f t="shared" si="116"/>
        <v>1577198511</v>
      </c>
    </row>
    <row r="7433" spans="1:7" x14ac:dyDescent="0.25">
      <c r="A7433">
        <v>1577198524</v>
      </c>
      <c r="B7433" t="s">
        <v>29587</v>
      </c>
      <c r="C7433">
        <v>680</v>
      </c>
      <c r="D7433">
        <v>1</v>
      </c>
      <c r="E7433">
        <v>5857</v>
      </c>
      <c r="F7433">
        <v>2311</v>
      </c>
      <c r="G7433">
        <f t="shared" si="116"/>
        <v>1577198524</v>
      </c>
    </row>
    <row r="7434" spans="1:7" x14ac:dyDescent="0.25">
      <c r="A7434">
        <v>1577198526</v>
      </c>
      <c r="B7434" t="s">
        <v>29588</v>
      </c>
      <c r="C7434">
        <v>1609</v>
      </c>
      <c r="D7434">
        <v>2</v>
      </c>
      <c r="E7434">
        <v>8595</v>
      </c>
      <c r="F7434">
        <v>1782</v>
      </c>
      <c r="G7434">
        <f t="shared" si="116"/>
        <v>1577198526</v>
      </c>
    </row>
    <row r="7435" spans="1:7" x14ac:dyDescent="0.25">
      <c r="A7435">
        <v>1577198531</v>
      </c>
      <c r="B7435" t="s">
        <v>29589</v>
      </c>
      <c r="C7435">
        <v>67</v>
      </c>
      <c r="D7435">
        <v>3</v>
      </c>
      <c r="E7435">
        <v>11569</v>
      </c>
      <c r="F7435">
        <v>1347</v>
      </c>
      <c r="G7435">
        <f t="shared" si="116"/>
        <v>1577198531</v>
      </c>
    </row>
    <row r="7436" spans="1:7" x14ac:dyDescent="0.25">
      <c r="A7436">
        <v>1577198532</v>
      </c>
      <c r="B7436" t="s">
        <v>29590</v>
      </c>
      <c r="C7436">
        <v>0</v>
      </c>
      <c r="D7436">
        <v>1</v>
      </c>
      <c r="E7436">
        <v>556</v>
      </c>
      <c r="F7436">
        <v>4548</v>
      </c>
      <c r="G7436">
        <f t="shared" si="116"/>
        <v>1577198532</v>
      </c>
    </row>
    <row r="7437" spans="1:7" x14ac:dyDescent="0.25">
      <c r="A7437">
        <v>1577198539</v>
      </c>
      <c r="B7437" t="s">
        <v>29591</v>
      </c>
      <c r="C7437">
        <v>1582</v>
      </c>
      <c r="D7437">
        <v>0</v>
      </c>
      <c r="E7437">
        <v>0</v>
      </c>
      <c r="F7437">
        <v>8362</v>
      </c>
      <c r="G7437">
        <f t="shared" si="116"/>
        <v>1577198539</v>
      </c>
    </row>
    <row r="7438" spans="1:7" x14ac:dyDescent="0.25">
      <c r="A7438">
        <v>1577198541</v>
      </c>
      <c r="B7438" t="s">
        <v>29592</v>
      </c>
      <c r="C7438">
        <v>1946</v>
      </c>
      <c r="D7438">
        <v>1</v>
      </c>
      <c r="E7438">
        <v>2102</v>
      </c>
      <c r="F7438">
        <v>3288</v>
      </c>
      <c r="G7438">
        <f t="shared" si="116"/>
        <v>1577198541</v>
      </c>
    </row>
    <row r="7439" spans="1:7" x14ac:dyDescent="0.25">
      <c r="A7439">
        <v>1577198543</v>
      </c>
      <c r="B7439" t="s">
        <v>29593</v>
      </c>
      <c r="C7439">
        <v>877</v>
      </c>
      <c r="D7439">
        <v>0</v>
      </c>
      <c r="E7439">
        <v>0</v>
      </c>
      <c r="F7439">
        <v>8363</v>
      </c>
      <c r="G7439">
        <f t="shared" si="116"/>
        <v>1577198543</v>
      </c>
    </row>
    <row r="7440" spans="1:7" x14ac:dyDescent="0.25">
      <c r="A7440">
        <v>1577198547</v>
      </c>
      <c r="B7440" t="s">
        <v>29594</v>
      </c>
      <c r="C7440">
        <v>733</v>
      </c>
      <c r="D7440">
        <v>7</v>
      </c>
      <c r="E7440">
        <v>28859</v>
      </c>
      <c r="F7440">
        <v>275</v>
      </c>
      <c r="G7440">
        <f t="shared" si="116"/>
        <v>1577198547</v>
      </c>
    </row>
    <row r="7441" spans="1:7" x14ac:dyDescent="0.25">
      <c r="A7441">
        <v>1577198549</v>
      </c>
      <c r="B7441" t="s">
        <v>29595</v>
      </c>
      <c r="C7441">
        <v>1609</v>
      </c>
      <c r="D7441">
        <v>2</v>
      </c>
      <c r="E7441">
        <v>9780</v>
      </c>
      <c r="F7441">
        <v>1594</v>
      </c>
      <c r="G7441">
        <f t="shared" si="116"/>
        <v>1577198549</v>
      </c>
    </row>
    <row r="7442" spans="1:7" x14ac:dyDescent="0.25">
      <c r="A7442">
        <v>1577198564</v>
      </c>
      <c r="B7442" t="s">
        <v>29596</v>
      </c>
      <c r="C7442">
        <v>320</v>
      </c>
      <c r="D7442">
        <v>1</v>
      </c>
      <c r="E7442">
        <v>4166</v>
      </c>
      <c r="F7442">
        <v>2727</v>
      </c>
      <c r="G7442">
        <f t="shared" si="116"/>
        <v>1577198564</v>
      </c>
    </row>
    <row r="7443" spans="1:7" x14ac:dyDescent="0.25">
      <c r="A7443">
        <v>1577198571</v>
      </c>
      <c r="B7443" t="s">
        <v>29597</v>
      </c>
      <c r="C7443">
        <v>1946</v>
      </c>
      <c r="D7443">
        <v>3</v>
      </c>
      <c r="E7443">
        <v>11051</v>
      </c>
      <c r="F7443">
        <v>1405</v>
      </c>
      <c r="G7443">
        <f t="shared" si="116"/>
        <v>1577198571</v>
      </c>
    </row>
    <row r="7444" spans="1:7" x14ac:dyDescent="0.25">
      <c r="A7444">
        <v>1577198575</v>
      </c>
      <c r="B7444" t="s">
        <v>29598</v>
      </c>
      <c r="C7444">
        <v>1609</v>
      </c>
      <c r="D7444">
        <v>1</v>
      </c>
      <c r="E7444">
        <v>8328</v>
      </c>
      <c r="F7444">
        <v>1822</v>
      </c>
      <c r="G7444">
        <f t="shared" si="116"/>
        <v>1577198575</v>
      </c>
    </row>
    <row r="7445" spans="1:7" x14ac:dyDescent="0.25">
      <c r="A7445">
        <v>1577198579</v>
      </c>
      <c r="B7445" t="s">
        <v>29599</v>
      </c>
      <c r="C7445">
        <v>176</v>
      </c>
      <c r="D7445">
        <v>0</v>
      </c>
      <c r="E7445">
        <v>0</v>
      </c>
      <c r="F7445">
        <v>8364</v>
      </c>
      <c r="G7445">
        <f t="shared" si="116"/>
        <v>1577198579</v>
      </c>
    </row>
    <row r="7446" spans="1:7" x14ac:dyDescent="0.25">
      <c r="A7446">
        <v>1577198580</v>
      </c>
      <c r="B7446" t="s">
        <v>29600</v>
      </c>
      <c r="C7446">
        <v>0</v>
      </c>
      <c r="D7446">
        <v>0</v>
      </c>
      <c r="E7446">
        <v>0</v>
      </c>
      <c r="F7446">
        <v>8365</v>
      </c>
      <c r="G7446">
        <f t="shared" si="116"/>
        <v>1577198580</v>
      </c>
    </row>
    <row r="7447" spans="1:7" x14ac:dyDescent="0.25">
      <c r="A7447">
        <v>1577198585</v>
      </c>
      <c r="B7447" t="s">
        <v>29601</v>
      </c>
      <c r="C7447">
        <v>0</v>
      </c>
      <c r="D7447">
        <v>1</v>
      </c>
      <c r="E7447">
        <v>2159</v>
      </c>
      <c r="F7447">
        <v>3268</v>
      </c>
      <c r="G7447">
        <f t="shared" si="116"/>
        <v>1577198585</v>
      </c>
    </row>
    <row r="7448" spans="1:7" x14ac:dyDescent="0.25">
      <c r="A7448">
        <v>1577198588</v>
      </c>
      <c r="B7448" t="s">
        <v>29602</v>
      </c>
      <c r="C7448">
        <v>1753</v>
      </c>
      <c r="D7448">
        <v>1</v>
      </c>
      <c r="E7448">
        <v>2265</v>
      </c>
      <c r="F7448">
        <v>3219</v>
      </c>
      <c r="G7448">
        <f t="shared" si="116"/>
        <v>1577198588</v>
      </c>
    </row>
    <row r="7449" spans="1:7" x14ac:dyDescent="0.25">
      <c r="A7449">
        <v>1577198592</v>
      </c>
      <c r="B7449" t="s">
        <v>29603</v>
      </c>
      <c r="C7449">
        <v>58</v>
      </c>
      <c r="D7449">
        <v>1</v>
      </c>
      <c r="E7449">
        <v>5759</v>
      </c>
      <c r="F7449">
        <v>2335</v>
      </c>
      <c r="G7449">
        <f t="shared" si="116"/>
        <v>1577198592</v>
      </c>
    </row>
    <row r="7450" spans="1:7" x14ac:dyDescent="0.25">
      <c r="A7450">
        <v>1577198593</v>
      </c>
      <c r="B7450" t="s">
        <v>29604</v>
      </c>
      <c r="C7450">
        <v>0</v>
      </c>
      <c r="D7450">
        <v>0</v>
      </c>
      <c r="E7450">
        <v>0</v>
      </c>
      <c r="F7450">
        <v>8366</v>
      </c>
      <c r="G7450">
        <f t="shared" si="116"/>
        <v>1577198593</v>
      </c>
    </row>
    <row r="7451" spans="1:7" x14ac:dyDescent="0.25">
      <c r="A7451">
        <v>1577198594</v>
      </c>
      <c r="B7451" t="s">
        <v>29605</v>
      </c>
      <c r="C7451">
        <v>0</v>
      </c>
      <c r="D7451">
        <v>0</v>
      </c>
      <c r="E7451">
        <v>0</v>
      </c>
      <c r="F7451">
        <v>8367</v>
      </c>
      <c r="G7451">
        <f t="shared" si="116"/>
        <v>1577198594</v>
      </c>
    </row>
    <row r="7452" spans="1:7" x14ac:dyDescent="0.25">
      <c r="A7452">
        <v>1577198601</v>
      </c>
      <c r="B7452" t="s">
        <v>36875</v>
      </c>
      <c r="C7452">
        <v>0</v>
      </c>
      <c r="D7452">
        <v>0</v>
      </c>
      <c r="E7452">
        <v>0</v>
      </c>
      <c r="F7452">
        <v>8368</v>
      </c>
      <c r="G7452">
        <f t="shared" si="116"/>
        <v>1577198601</v>
      </c>
    </row>
    <row r="7453" spans="1:7" x14ac:dyDescent="0.25">
      <c r="A7453">
        <v>1577198606</v>
      </c>
      <c r="B7453" t="s">
        <v>29606</v>
      </c>
      <c r="C7453">
        <v>0</v>
      </c>
      <c r="D7453">
        <v>0</v>
      </c>
      <c r="E7453">
        <v>0</v>
      </c>
      <c r="F7453">
        <v>8369</v>
      </c>
      <c r="G7453">
        <f t="shared" si="116"/>
        <v>1577198606</v>
      </c>
    </row>
    <row r="7454" spans="1:7" x14ac:dyDescent="0.25">
      <c r="A7454">
        <v>1577198607</v>
      </c>
      <c r="B7454" t="s">
        <v>29607</v>
      </c>
      <c r="C7454">
        <v>810</v>
      </c>
      <c r="D7454">
        <v>0</v>
      </c>
      <c r="E7454">
        <v>0</v>
      </c>
      <c r="F7454">
        <v>8370</v>
      </c>
      <c r="G7454">
        <f t="shared" si="116"/>
        <v>1577198607</v>
      </c>
    </row>
    <row r="7455" spans="1:7" x14ac:dyDescent="0.25">
      <c r="A7455">
        <v>1577198608</v>
      </c>
      <c r="B7455" t="s">
        <v>29608</v>
      </c>
      <c r="C7455">
        <v>0</v>
      </c>
      <c r="D7455">
        <v>1</v>
      </c>
      <c r="E7455">
        <v>26</v>
      </c>
      <c r="F7455">
        <v>6862</v>
      </c>
      <c r="G7455">
        <f t="shared" si="116"/>
        <v>1577198608</v>
      </c>
    </row>
    <row r="7456" spans="1:7" x14ac:dyDescent="0.25">
      <c r="A7456">
        <v>1577198616</v>
      </c>
      <c r="B7456" t="s">
        <v>29609</v>
      </c>
      <c r="C7456">
        <v>0</v>
      </c>
      <c r="D7456">
        <v>1</v>
      </c>
      <c r="E7456">
        <v>149</v>
      </c>
      <c r="F7456">
        <v>5703</v>
      </c>
      <c r="G7456">
        <f t="shared" si="116"/>
        <v>1577198616</v>
      </c>
    </row>
    <row r="7457" spans="1:7" x14ac:dyDescent="0.25">
      <c r="A7457">
        <v>1577198617</v>
      </c>
      <c r="B7457" t="s">
        <v>37192</v>
      </c>
      <c r="C7457">
        <v>0</v>
      </c>
      <c r="D7457">
        <v>1</v>
      </c>
      <c r="E7457">
        <v>26</v>
      </c>
      <c r="F7457">
        <v>6863</v>
      </c>
      <c r="G7457">
        <f t="shared" si="116"/>
        <v>1577198617</v>
      </c>
    </row>
    <row r="7458" spans="1:7" x14ac:dyDescent="0.25">
      <c r="A7458">
        <v>1577198622</v>
      </c>
      <c r="B7458" t="s">
        <v>29610</v>
      </c>
      <c r="C7458">
        <v>0</v>
      </c>
      <c r="D7458">
        <v>1</v>
      </c>
      <c r="E7458">
        <v>371</v>
      </c>
      <c r="F7458">
        <v>4926</v>
      </c>
      <c r="G7458">
        <f t="shared" si="116"/>
        <v>1577198622</v>
      </c>
    </row>
    <row r="7459" spans="1:7" x14ac:dyDescent="0.25">
      <c r="A7459">
        <v>1577198628</v>
      </c>
      <c r="B7459" t="s">
        <v>29611</v>
      </c>
      <c r="C7459">
        <v>1138</v>
      </c>
      <c r="D7459">
        <v>0</v>
      </c>
      <c r="E7459">
        <v>0</v>
      </c>
      <c r="F7459">
        <v>8371</v>
      </c>
      <c r="G7459">
        <f t="shared" si="116"/>
        <v>1577198628</v>
      </c>
    </row>
    <row r="7460" spans="1:7" x14ac:dyDescent="0.25">
      <c r="A7460">
        <v>1577198637</v>
      </c>
      <c r="B7460" t="s">
        <v>29612</v>
      </c>
      <c r="C7460">
        <v>1880</v>
      </c>
      <c r="D7460">
        <v>1</v>
      </c>
      <c r="E7460">
        <v>547</v>
      </c>
      <c r="F7460">
        <v>4557</v>
      </c>
      <c r="G7460">
        <f t="shared" si="116"/>
        <v>1577198637</v>
      </c>
    </row>
    <row r="7461" spans="1:7" x14ac:dyDescent="0.25">
      <c r="A7461">
        <v>1577198638</v>
      </c>
      <c r="B7461" t="s">
        <v>29613</v>
      </c>
      <c r="C7461">
        <v>0</v>
      </c>
      <c r="D7461">
        <v>1</v>
      </c>
      <c r="E7461">
        <v>26</v>
      </c>
      <c r="F7461">
        <v>6864</v>
      </c>
      <c r="G7461">
        <f t="shared" si="116"/>
        <v>1577198638</v>
      </c>
    </row>
    <row r="7462" spans="1:7" x14ac:dyDescent="0.25">
      <c r="A7462">
        <v>1577198642</v>
      </c>
      <c r="B7462" t="s">
        <v>36876</v>
      </c>
      <c r="C7462">
        <v>1858</v>
      </c>
      <c r="D7462">
        <v>1</v>
      </c>
      <c r="E7462">
        <v>712</v>
      </c>
      <c r="F7462">
        <v>4326</v>
      </c>
      <c r="G7462">
        <f t="shared" si="116"/>
        <v>1577198642</v>
      </c>
    </row>
    <row r="7463" spans="1:7" x14ac:dyDescent="0.25">
      <c r="A7463">
        <v>1577198646</v>
      </c>
      <c r="B7463" t="s">
        <v>37367</v>
      </c>
      <c r="C7463">
        <v>271</v>
      </c>
      <c r="D7463">
        <v>1</v>
      </c>
      <c r="E7463">
        <v>7491</v>
      </c>
      <c r="F7463">
        <v>1979</v>
      </c>
      <c r="G7463">
        <f t="shared" si="116"/>
        <v>1577198646</v>
      </c>
    </row>
    <row r="7464" spans="1:7" x14ac:dyDescent="0.25">
      <c r="A7464">
        <v>1577198664</v>
      </c>
      <c r="B7464" t="s">
        <v>29614</v>
      </c>
      <c r="C7464">
        <v>0</v>
      </c>
      <c r="D7464">
        <v>0</v>
      </c>
      <c r="E7464">
        <v>0</v>
      </c>
      <c r="F7464">
        <v>8372</v>
      </c>
      <c r="G7464">
        <f t="shared" si="116"/>
        <v>1577198664</v>
      </c>
    </row>
    <row r="7465" spans="1:7" x14ac:dyDescent="0.25">
      <c r="A7465">
        <v>1577198672</v>
      </c>
      <c r="B7465" t="s">
        <v>29615</v>
      </c>
      <c r="C7465">
        <v>896</v>
      </c>
      <c r="D7465">
        <v>1</v>
      </c>
      <c r="E7465">
        <v>5726</v>
      </c>
      <c r="F7465">
        <v>2347</v>
      </c>
      <c r="G7465">
        <f t="shared" si="116"/>
        <v>1577198672</v>
      </c>
    </row>
    <row r="7466" spans="1:7" x14ac:dyDescent="0.25">
      <c r="A7466">
        <v>1577198682</v>
      </c>
      <c r="B7466" t="s">
        <v>29616</v>
      </c>
      <c r="C7466">
        <v>887</v>
      </c>
      <c r="D7466">
        <v>1</v>
      </c>
      <c r="E7466">
        <v>4167</v>
      </c>
      <c r="F7466">
        <v>2726</v>
      </c>
      <c r="G7466">
        <f t="shared" si="116"/>
        <v>1577198682</v>
      </c>
    </row>
    <row r="7467" spans="1:7" x14ac:dyDescent="0.25">
      <c r="A7467">
        <v>1577198684</v>
      </c>
      <c r="B7467" t="s">
        <v>29617</v>
      </c>
      <c r="C7467">
        <v>20</v>
      </c>
      <c r="D7467">
        <v>4</v>
      </c>
      <c r="E7467">
        <v>20538</v>
      </c>
      <c r="F7467">
        <v>594</v>
      </c>
      <c r="G7467">
        <f t="shared" si="116"/>
        <v>1577198684</v>
      </c>
    </row>
    <row r="7468" spans="1:7" x14ac:dyDescent="0.25">
      <c r="A7468">
        <v>1577198689</v>
      </c>
      <c r="B7468" t="s">
        <v>29618</v>
      </c>
      <c r="C7468">
        <v>0</v>
      </c>
      <c r="D7468">
        <v>1</v>
      </c>
      <c r="E7468">
        <v>278</v>
      </c>
      <c r="F7468">
        <v>5192</v>
      </c>
      <c r="G7468">
        <f t="shared" si="116"/>
        <v>1577198689</v>
      </c>
    </row>
    <row r="7469" spans="1:7" x14ac:dyDescent="0.25">
      <c r="A7469">
        <v>1577198703</v>
      </c>
      <c r="B7469" t="s">
        <v>29619</v>
      </c>
      <c r="C7469">
        <v>887</v>
      </c>
      <c r="D7469">
        <v>1</v>
      </c>
      <c r="E7469">
        <v>1096</v>
      </c>
      <c r="F7469">
        <v>3876</v>
      </c>
      <c r="G7469">
        <f t="shared" si="116"/>
        <v>1577198703</v>
      </c>
    </row>
    <row r="7470" spans="1:7" x14ac:dyDescent="0.25">
      <c r="A7470">
        <v>1577198710</v>
      </c>
      <c r="B7470" t="s">
        <v>37193</v>
      </c>
      <c r="C7470">
        <v>1503</v>
      </c>
      <c r="D7470">
        <v>1</v>
      </c>
      <c r="E7470">
        <v>5589</v>
      </c>
      <c r="F7470">
        <v>2382</v>
      </c>
      <c r="G7470">
        <f t="shared" si="116"/>
        <v>1577198710</v>
      </c>
    </row>
    <row r="7471" spans="1:7" x14ac:dyDescent="0.25">
      <c r="A7471">
        <v>1577198730</v>
      </c>
      <c r="B7471" t="s">
        <v>29620</v>
      </c>
      <c r="C7471">
        <v>0</v>
      </c>
      <c r="D7471">
        <v>3</v>
      </c>
      <c r="E7471">
        <v>11883</v>
      </c>
      <c r="F7471">
        <v>1296</v>
      </c>
      <c r="G7471">
        <f t="shared" si="116"/>
        <v>1577198730</v>
      </c>
    </row>
    <row r="7472" spans="1:7" x14ac:dyDescent="0.25">
      <c r="A7472">
        <v>1577198742</v>
      </c>
      <c r="B7472" t="s">
        <v>29621</v>
      </c>
      <c r="C7472">
        <v>985</v>
      </c>
      <c r="D7472">
        <v>1</v>
      </c>
      <c r="E7472">
        <v>6647</v>
      </c>
      <c r="F7472">
        <v>2129</v>
      </c>
      <c r="G7472">
        <f t="shared" si="116"/>
        <v>1577198742</v>
      </c>
    </row>
    <row r="7473" spans="1:7" x14ac:dyDescent="0.25">
      <c r="A7473">
        <v>1577198747</v>
      </c>
      <c r="B7473" t="s">
        <v>29622</v>
      </c>
      <c r="C7473">
        <v>0</v>
      </c>
      <c r="D7473">
        <v>1</v>
      </c>
      <c r="E7473">
        <v>67</v>
      </c>
      <c r="F7473">
        <v>6079</v>
      </c>
      <c r="G7473">
        <f t="shared" si="116"/>
        <v>1577198747</v>
      </c>
    </row>
    <row r="7474" spans="1:7" x14ac:dyDescent="0.25">
      <c r="A7474">
        <v>1577198748</v>
      </c>
      <c r="B7474" t="s">
        <v>29623</v>
      </c>
      <c r="C7474">
        <v>0</v>
      </c>
      <c r="D7474">
        <v>0</v>
      </c>
      <c r="E7474">
        <v>0</v>
      </c>
      <c r="F7474">
        <v>8373</v>
      </c>
      <c r="G7474">
        <f t="shared" si="116"/>
        <v>1577198748</v>
      </c>
    </row>
    <row r="7475" spans="1:7" x14ac:dyDescent="0.25">
      <c r="A7475">
        <v>1577198754</v>
      </c>
      <c r="B7475" t="s">
        <v>29624</v>
      </c>
      <c r="C7475">
        <v>896</v>
      </c>
      <c r="D7475">
        <v>1</v>
      </c>
      <c r="E7475">
        <v>3181</v>
      </c>
      <c r="F7475">
        <v>2944</v>
      </c>
      <c r="G7475">
        <f t="shared" si="116"/>
        <v>1577198754</v>
      </c>
    </row>
    <row r="7476" spans="1:7" x14ac:dyDescent="0.25">
      <c r="A7476">
        <v>1577198762</v>
      </c>
      <c r="B7476" t="s">
        <v>29625</v>
      </c>
      <c r="C7476">
        <v>882</v>
      </c>
      <c r="D7476">
        <v>2</v>
      </c>
      <c r="E7476">
        <v>12268</v>
      </c>
      <c r="F7476">
        <v>1255</v>
      </c>
      <c r="G7476">
        <f t="shared" si="116"/>
        <v>1577198762</v>
      </c>
    </row>
    <row r="7477" spans="1:7" x14ac:dyDescent="0.25">
      <c r="A7477">
        <v>1577198766</v>
      </c>
      <c r="B7477" t="s">
        <v>37081</v>
      </c>
      <c r="C7477">
        <v>0</v>
      </c>
      <c r="D7477">
        <v>0</v>
      </c>
      <c r="E7477">
        <v>0</v>
      </c>
      <c r="F7477">
        <v>8374</v>
      </c>
      <c r="G7477">
        <f t="shared" si="116"/>
        <v>1577198766</v>
      </c>
    </row>
    <row r="7478" spans="1:7" x14ac:dyDescent="0.25">
      <c r="A7478">
        <v>1577198772</v>
      </c>
      <c r="B7478" t="s">
        <v>36877</v>
      </c>
      <c r="C7478">
        <v>0</v>
      </c>
      <c r="D7478">
        <v>0</v>
      </c>
      <c r="E7478">
        <v>0</v>
      </c>
      <c r="F7478">
        <v>8375</v>
      </c>
      <c r="G7478">
        <f t="shared" si="116"/>
        <v>1577198772</v>
      </c>
    </row>
    <row r="7479" spans="1:7" x14ac:dyDescent="0.25">
      <c r="A7479">
        <v>1577198773</v>
      </c>
      <c r="B7479" t="s">
        <v>29626</v>
      </c>
      <c r="C7479">
        <v>1057</v>
      </c>
      <c r="D7479">
        <v>0</v>
      </c>
      <c r="E7479">
        <v>0</v>
      </c>
      <c r="F7479">
        <v>8376</v>
      </c>
      <c r="G7479">
        <f t="shared" si="116"/>
        <v>1577198773</v>
      </c>
    </row>
    <row r="7480" spans="1:7" x14ac:dyDescent="0.25">
      <c r="A7480">
        <v>1577198777</v>
      </c>
      <c r="B7480" t="s">
        <v>36878</v>
      </c>
      <c r="C7480">
        <v>0</v>
      </c>
      <c r="D7480">
        <v>3</v>
      </c>
      <c r="E7480">
        <v>10442</v>
      </c>
      <c r="F7480">
        <v>1504</v>
      </c>
      <c r="G7480">
        <f t="shared" si="116"/>
        <v>1577198777</v>
      </c>
    </row>
    <row r="7481" spans="1:7" x14ac:dyDescent="0.25">
      <c r="A7481">
        <v>1577198786</v>
      </c>
      <c r="B7481" t="s">
        <v>29627</v>
      </c>
      <c r="C7481">
        <v>0</v>
      </c>
      <c r="D7481">
        <v>1</v>
      </c>
      <c r="E7481">
        <v>127</v>
      </c>
      <c r="F7481">
        <v>5770</v>
      </c>
      <c r="G7481">
        <f t="shared" si="116"/>
        <v>1577198786</v>
      </c>
    </row>
    <row r="7482" spans="1:7" x14ac:dyDescent="0.25">
      <c r="A7482">
        <v>1577198794</v>
      </c>
      <c r="B7482" t="s">
        <v>29628</v>
      </c>
      <c r="C7482">
        <v>896</v>
      </c>
      <c r="D7482">
        <v>5</v>
      </c>
      <c r="E7482">
        <v>20190</v>
      </c>
      <c r="F7482">
        <v>672</v>
      </c>
      <c r="G7482">
        <f t="shared" si="116"/>
        <v>1577198794</v>
      </c>
    </row>
    <row r="7483" spans="1:7" x14ac:dyDescent="0.25">
      <c r="A7483">
        <v>1577198799</v>
      </c>
      <c r="B7483" t="s">
        <v>2808</v>
      </c>
      <c r="C7483">
        <v>1728</v>
      </c>
      <c r="D7483">
        <v>1</v>
      </c>
      <c r="E7483">
        <v>257</v>
      </c>
      <c r="F7483">
        <v>5272</v>
      </c>
      <c r="G7483">
        <f t="shared" si="116"/>
        <v>1577198799</v>
      </c>
    </row>
    <row r="7484" spans="1:7" x14ac:dyDescent="0.25">
      <c r="A7484">
        <v>1577198800</v>
      </c>
      <c r="B7484" t="s">
        <v>29629</v>
      </c>
      <c r="C7484">
        <v>196</v>
      </c>
      <c r="D7484">
        <v>5</v>
      </c>
      <c r="E7484">
        <v>22854</v>
      </c>
      <c r="F7484">
        <v>478</v>
      </c>
      <c r="G7484">
        <f t="shared" si="116"/>
        <v>1577198800</v>
      </c>
    </row>
    <row r="7485" spans="1:7" x14ac:dyDescent="0.25">
      <c r="A7485">
        <v>1577198803</v>
      </c>
      <c r="B7485" t="s">
        <v>29630</v>
      </c>
      <c r="C7485">
        <v>67</v>
      </c>
      <c r="D7485">
        <v>3</v>
      </c>
      <c r="E7485">
        <v>16153</v>
      </c>
      <c r="F7485">
        <v>898</v>
      </c>
      <c r="G7485">
        <f t="shared" si="116"/>
        <v>1577198803</v>
      </c>
    </row>
    <row r="7486" spans="1:7" x14ac:dyDescent="0.25">
      <c r="A7486">
        <v>1577198804</v>
      </c>
      <c r="B7486" t="s">
        <v>29631</v>
      </c>
      <c r="C7486">
        <v>0</v>
      </c>
      <c r="D7486">
        <v>0</v>
      </c>
      <c r="E7486">
        <v>0</v>
      </c>
      <c r="F7486">
        <v>8377</v>
      </c>
      <c r="G7486">
        <f t="shared" si="116"/>
        <v>1577198804</v>
      </c>
    </row>
    <row r="7487" spans="1:7" x14ac:dyDescent="0.25">
      <c r="A7487">
        <v>1577198806</v>
      </c>
      <c r="B7487" t="s">
        <v>29632</v>
      </c>
      <c r="C7487">
        <v>552</v>
      </c>
      <c r="D7487">
        <v>4</v>
      </c>
      <c r="E7487">
        <v>22481</v>
      </c>
      <c r="F7487">
        <v>497</v>
      </c>
      <c r="G7487">
        <f t="shared" si="116"/>
        <v>1577198806</v>
      </c>
    </row>
    <row r="7488" spans="1:7" x14ac:dyDescent="0.25">
      <c r="A7488">
        <v>1577198809</v>
      </c>
      <c r="B7488" t="s">
        <v>29633</v>
      </c>
      <c r="C7488">
        <v>0</v>
      </c>
      <c r="D7488">
        <v>1</v>
      </c>
      <c r="E7488">
        <v>78</v>
      </c>
      <c r="F7488">
        <v>5980</v>
      </c>
      <c r="G7488">
        <f t="shared" si="116"/>
        <v>1577198809</v>
      </c>
    </row>
    <row r="7489" spans="1:7" x14ac:dyDescent="0.25">
      <c r="A7489">
        <v>1577198815</v>
      </c>
      <c r="B7489" t="s">
        <v>29634</v>
      </c>
      <c r="C7489">
        <v>196</v>
      </c>
      <c r="D7489">
        <v>3</v>
      </c>
      <c r="E7489">
        <v>8976</v>
      </c>
      <c r="F7489">
        <v>1721</v>
      </c>
      <c r="G7489">
        <f t="shared" ref="G7489:G7552" si="117">A7489</f>
        <v>1577198815</v>
      </c>
    </row>
    <row r="7490" spans="1:7" x14ac:dyDescent="0.25">
      <c r="A7490">
        <v>1577198817</v>
      </c>
      <c r="B7490" t="s">
        <v>29635</v>
      </c>
      <c r="C7490">
        <v>0</v>
      </c>
      <c r="D7490">
        <v>1</v>
      </c>
      <c r="E7490">
        <v>26</v>
      </c>
      <c r="F7490">
        <v>6865</v>
      </c>
      <c r="G7490">
        <f t="shared" si="117"/>
        <v>1577198817</v>
      </c>
    </row>
    <row r="7491" spans="1:7" x14ac:dyDescent="0.25">
      <c r="A7491">
        <v>1577198831</v>
      </c>
      <c r="B7491" t="s">
        <v>36879</v>
      </c>
      <c r="C7491">
        <v>924</v>
      </c>
      <c r="D7491">
        <v>1</v>
      </c>
      <c r="E7491">
        <v>5260</v>
      </c>
      <c r="F7491">
        <v>2458</v>
      </c>
      <c r="G7491">
        <f t="shared" si="117"/>
        <v>1577198831</v>
      </c>
    </row>
    <row r="7492" spans="1:7" x14ac:dyDescent="0.25">
      <c r="A7492">
        <v>1577198833</v>
      </c>
      <c r="B7492" t="s">
        <v>29636</v>
      </c>
      <c r="C7492">
        <v>1775</v>
      </c>
      <c r="D7492">
        <v>3</v>
      </c>
      <c r="E7492">
        <v>11749</v>
      </c>
      <c r="F7492">
        <v>1317</v>
      </c>
      <c r="G7492">
        <f t="shared" si="117"/>
        <v>1577198833</v>
      </c>
    </row>
    <row r="7493" spans="1:7" x14ac:dyDescent="0.25">
      <c r="A7493">
        <v>1577198836</v>
      </c>
      <c r="B7493" t="s">
        <v>29637</v>
      </c>
      <c r="C7493">
        <v>0</v>
      </c>
      <c r="D7493">
        <v>1</v>
      </c>
      <c r="E7493">
        <v>964</v>
      </c>
      <c r="F7493">
        <v>4028</v>
      </c>
      <c r="G7493">
        <f t="shared" si="117"/>
        <v>1577198836</v>
      </c>
    </row>
    <row r="7494" spans="1:7" x14ac:dyDescent="0.25">
      <c r="A7494">
        <v>1577198838</v>
      </c>
      <c r="B7494" t="s">
        <v>36880</v>
      </c>
      <c r="C7494">
        <v>0</v>
      </c>
      <c r="D7494">
        <v>1</v>
      </c>
      <c r="E7494">
        <v>6512</v>
      </c>
      <c r="F7494">
        <v>2191</v>
      </c>
      <c r="G7494">
        <f t="shared" si="117"/>
        <v>1577198838</v>
      </c>
    </row>
    <row r="7495" spans="1:7" x14ac:dyDescent="0.25">
      <c r="A7495">
        <v>1577198842</v>
      </c>
      <c r="B7495" t="s">
        <v>36881</v>
      </c>
      <c r="C7495">
        <v>989</v>
      </c>
      <c r="D7495">
        <v>1</v>
      </c>
      <c r="E7495">
        <v>7011</v>
      </c>
      <c r="F7495">
        <v>2087</v>
      </c>
      <c r="G7495">
        <f t="shared" si="117"/>
        <v>1577198842</v>
      </c>
    </row>
    <row r="7496" spans="1:7" x14ac:dyDescent="0.25">
      <c r="A7496">
        <v>1577198851</v>
      </c>
      <c r="B7496" t="s">
        <v>36882</v>
      </c>
      <c r="C7496">
        <v>0</v>
      </c>
      <c r="D7496">
        <v>1</v>
      </c>
      <c r="E7496">
        <v>26</v>
      </c>
      <c r="F7496">
        <v>6866</v>
      </c>
      <c r="G7496">
        <f t="shared" si="117"/>
        <v>1577198851</v>
      </c>
    </row>
    <row r="7497" spans="1:7" x14ac:dyDescent="0.25">
      <c r="A7497">
        <v>1577198855</v>
      </c>
      <c r="B7497" t="s">
        <v>29638</v>
      </c>
      <c r="C7497">
        <v>1712</v>
      </c>
      <c r="D7497">
        <v>1</v>
      </c>
      <c r="E7497">
        <v>573</v>
      </c>
      <c r="F7497">
        <v>4509</v>
      </c>
      <c r="G7497">
        <f t="shared" si="117"/>
        <v>1577198855</v>
      </c>
    </row>
    <row r="7498" spans="1:7" x14ac:dyDescent="0.25">
      <c r="A7498">
        <v>1577198856</v>
      </c>
      <c r="B7498" t="s">
        <v>29639</v>
      </c>
      <c r="C7498">
        <v>308</v>
      </c>
      <c r="D7498">
        <v>0</v>
      </c>
      <c r="E7498">
        <v>0</v>
      </c>
      <c r="F7498">
        <v>8378</v>
      </c>
      <c r="G7498">
        <f t="shared" si="117"/>
        <v>1577198856</v>
      </c>
    </row>
    <row r="7499" spans="1:7" x14ac:dyDescent="0.25">
      <c r="A7499">
        <v>1577198866</v>
      </c>
      <c r="B7499" t="s">
        <v>29640</v>
      </c>
      <c r="C7499">
        <v>760</v>
      </c>
      <c r="D7499">
        <v>3</v>
      </c>
      <c r="E7499">
        <v>7977</v>
      </c>
      <c r="F7499">
        <v>1891</v>
      </c>
      <c r="G7499">
        <f t="shared" si="117"/>
        <v>1577198866</v>
      </c>
    </row>
    <row r="7500" spans="1:7" x14ac:dyDescent="0.25">
      <c r="A7500">
        <v>1577198868</v>
      </c>
      <c r="B7500" t="s">
        <v>29641</v>
      </c>
      <c r="C7500">
        <v>0</v>
      </c>
      <c r="D7500">
        <v>1</v>
      </c>
      <c r="E7500">
        <v>942</v>
      </c>
      <c r="F7500">
        <v>4047</v>
      </c>
      <c r="G7500">
        <f t="shared" si="117"/>
        <v>1577198868</v>
      </c>
    </row>
    <row r="7501" spans="1:7" x14ac:dyDescent="0.25">
      <c r="A7501">
        <v>1577198873</v>
      </c>
      <c r="B7501" t="s">
        <v>29642</v>
      </c>
      <c r="C7501">
        <v>0</v>
      </c>
      <c r="D7501">
        <v>1</v>
      </c>
      <c r="E7501">
        <v>71</v>
      </c>
      <c r="F7501">
        <v>6060</v>
      </c>
      <c r="G7501">
        <f t="shared" si="117"/>
        <v>1577198873</v>
      </c>
    </row>
    <row r="7502" spans="1:7" x14ac:dyDescent="0.25">
      <c r="A7502">
        <v>1577198874</v>
      </c>
      <c r="B7502" t="s">
        <v>29643</v>
      </c>
      <c r="C7502">
        <v>924</v>
      </c>
      <c r="D7502">
        <v>1</v>
      </c>
      <c r="E7502">
        <v>3748</v>
      </c>
      <c r="F7502">
        <v>2821</v>
      </c>
      <c r="G7502">
        <f t="shared" si="117"/>
        <v>1577198874</v>
      </c>
    </row>
    <row r="7503" spans="1:7" x14ac:dyDescent="0.25">
      <c r="A7503">
        <v>1577198878</v>
      </c>
      <c r="B7503" t="s">
        <v>29644</v>
      </c>
      <c r="C7503">
        <v>412</v>
      </c>
      <c r="D7503">
        <v>2</v>
      </c>
      <c r="E7503">
        <v>12942</v>
      </c>
      <c r="F7503">
        <v>1175</v>
      </c>
      <c r="G7503">
        <f t="shared" si="117"/>
        <v>1577198878</v>
      </c>
    </row>
    <row r="7504" spans="1:7" x14ac:dyDescent="0.25">
      <c r="A7504">
        <v>1577198879</v>
      </c>
      <c r="B7504" t="s">
        <v>29645</v>
      </c>
      <c r="C7504">
        <v>0</v>
      </c>
      <c r="D7504">
        <v>1</v>
      </c>
      <c r="E7504">
        <v>26</v>
      </c>
      <c r="F7504">
        <v>6867</v>
      </c>
      <c r="G7504">
        <f t="shared" si="117"/>
        <v>1577198879</v>
      </c>
    </row>
    <row r="7505" spans="1:7" x14ac:dyDescent="0.25">
      <c r="A7505">
        <v>1577198880</v>
      </c>
      <c r="B7505" t="s">
        <v>29646</v>
      </c>
      <c r="C7505">
        <v>0</v>
      </c>
      <c r="D7505">
        <v>0</v>
      </c>
      <c r="E7505">
        <v>0</v>
      </c>
      <c r="F7505">
        <v>8379</v>
      </c>
      <c r="G7505">
        <f t="shared" si="117"/>
        <v>1577198880</v>
      </c>
    </row>
    <row r="7506" spans="1:7" x14ac:dyDescent="0.25">
      <c r="A7506">
        <v>1577198887</v>
      </c>
      <c r="B7506" t="s">
        <v>36883</v>
      </c>
      <c r="C7506">
        <v>0</v>
      </c>
      <c r="D7506">
        <v>1</v>
      </c>
      <c r="E7506">
        <v>289</v>
      </c>
      <c r="F7506">
        <v>5152</v>
      </c>
      <c r="G7506">
        <f t="shared" si="117"/>
        <v>1577198887</v>
      </c>
    </row>
    <row r="7507" spans="1:7" x14ac:dyDescent="0.25">
      <c r="A7507">
        <v>1577198897</v>
      </c>
      <c r="B7507" t="s">
        <v>29647</v>
      </c>
      <c r="C7507">
        <v>179</v>
      </c>
      <c r="D7507">
        <v>2</v>
      </c>
      <c r="E7507">
        <v>4628</v>
      </c>
      <c r="F7507">
        <v>2597</v>
      </c>
      <c r="G7507">
        <f t="shared" si="117"/>
        <v>1577198897</v>
      </c>
    </row>
    <row r="7508" spans="1:7" x14ac:dyDescent="0.25">
      <c r="A7508">
        <v>1577198899</v>
      </c>
      <c r="B7508" t="s">
        <v>36884</v>
      </c>
      <c r="C7508">
        <v>170</v>
      </c>
      <c r="D7508">
        <v>0</v>
      </c>
      <c r="E7508">
        <v>0</v>
      </c>
      <c r="F7508">
        <v>8380</v>
      </c>
      <c r="G7508">
        <f t="shared" si="117"/>
        <v>1577198899</v>
      </c>
    </row>
    <row r="7509" spans="1:7" x14ac:dyDescent="0.25">
      <c r="A7509">
        <v>1577198907</v>
      </c>
      <c r="B7509" t="s">
        <v>37368</v>
      </c>
      <c r="C7509">
        <v>413</v>
      </c>
      <c r="D7509">
        <v>1</v>
      </c>
      <c r="E7509">
        <v>130</v>
      </c>
      <c r="F7509">
        <v>5796</v>
      </c>
      <c r="G7509">
        <f t="shared" si="117"/>
        <v>1577198907</v>
      </c>
    </row>
    <row r="7510" spans="1:7" x14ac:dyDescent="0.25">
      <c r="A7510">
        <v>1577198908</v>
      </c>
      <c r="B7510" t="s">
        <v>29648</v>
      </c>
      <c r="C7510">
        <v>0</v>
      </c>
      <c r="D7510">
        <v>0</v>
      </c>
      <c r="E7510">
        <v>0</v>
      </c>
      <c r="F7510">
        <v>8381</v>
      </c>
      <c r="G7510">
        <f t="shared" si="117"/>
        <v>1577198908</v>
      </c>
    </row>
    <row r="7511" spans="1:7" x14ac:dyDescent="0.25">
      <c r="A7511">
        <v>1577198922</v>
      </c>
      <c r="B7511" t="s">
        <v>36885</v>
      </c>
      <c r="C7511">
        <v>101</v>
      </c>
      <c r="D7511">
        <v>0</v>
      </c>
      <c r="E7511">
        <v>0</v>
      </c>
      <c r="F7511">
        <v>8382</v>
      </c>
      <c r="G7511">
        <f t="shared" si="117"/>
        <v>1577198922</v>
      </c>
    </row>
    <row r="7512" spans="1:7" x14ac:dyDescent="0.25">
      <c r="A7512">
        <v>1577198925</v>
      </c>
      <c r="B7512" t="s">
        <v>29649</v>
      </c>
      <c r="C7512">
        <v>1430</v>
      </c>
      <c r="D7512">
        <v>0</v>
      </c>
      <c r="E7512">
        <v>0</v>
      </c>
      <c r="F7512">
        <v>8383</v>
      </c>
      <c r="G7512">
        <f t="shared" si="117"/>
        <v>1577198925</v>
      </c>
    </row>
    <row r="7513" spans="1:7" x14ac:dyDescent="0.25">
      <c r="A7513">
        <v>1577198926</v>
      </c>
      <c r="B7513" t="s">
        <v>2075</v>
      </c>
      <c r="C7513">
        <v>62</v>
      </c>
      <c r="D7513">
        <v>1</v>
      </c>
      <c r="E7513">
        <v>3124</v>
      </c>
      <c r="F7513">
        <v>2961</v>
      </c>
      <c r="G7513">
        <f t="shared" si="117"/>
        <v>1577198926</v>
      </c>
    </row>
    <row r="7514" spans="1:7" x14ac:dyDescent="0.25">
      <c r="A7514">
        <v>1577198929</v>
      </c>
      <c r="B7514" t="s">
        <v>29650</v>
      </c>
      <c r="C7514">
        <v>1946</v>
      </c>
      <c r="D7514">
        <v>1</v>
      </c>
      <c r="E7514">
        <v>26</v>
      </c>
      <c r="F7514">
        <v>6868</v>
      </c>
      <c r="G7514">
        <f t="shared" si="117"/>
        <v>1577198929</v>
      </c>
    </row>
    <row r="7515" spans="1:7" x14ac:dyDescent="0.25">
      <c r="A7515">
        <v>1577198934</v>
      </c>
      <c r="B7515" t="s">
        <v>29651</v>
      </c>
      <c r="C7515">
        <v>0</v>
      </c>
      <c r="D7515">
        <v>2</v>
      </c>
      <c r="E7515">
        <v>7311</v>
      </c>
      <c r="F7515">
        <v>2006</v>
      </c>
      <c r="G7515">
        <f t="shared" si="117"/>
        <v>1577198934</v>
      </c>
    </row>
    <row r="7516" spans="1:7" x14ac:dyDescent="0.25">
      <c r="A7516">
        <v>1577198942</v>
      </c>
      <c r="B7516" t="s">
        <v>29652</v>
      </c>
      <c r="C7516">
        <v>1836</v>
      </c>
      <c r="D7516">
        <v>1</v>
      </c>
      <c r="E7516">
        <v>3030</v>
      </c>
      <c r="F7516">
        <v>2988</v>
      </c>
      <c r="G7516">
        <f t="shared" si="117"/>
        <v>1577198942</v>
      </c>
    </row>
    <row r="7517" spans="1:7" x14ac:dyDescent="0.25">
      <c r="A7517">
        <v>1577198954</v>
      </c>
      <c r="B7517" t="s">
        <v>29653</v>
      </c>
      <c r="C7517">
        <v>1019</v>
      </c>
      <c r="D7517">
        <v>1</v>
      </c>
      <c r="E7517">
        <v>1075</v>
      </c>
      <c r="F7517">
        <v>3896</v>
      </c>
      <c r="G7517">
        <f t="shared" si="117"/>
        <v>1577198954</v>
      </c>
    </row>
    <row r="7518" spans="1:7" x14ac:dyDescent="0.25">
      <c r="A7518">
        <v>1577198957</v>
      </c>
      <c r="B7518" t="s">
        <v>29654</v>
      </c>
      <c r="C7518">
        <v>0</v>
      </c>
      <c r="D7518">
        <v>1</v>
      </c>
      <c r="E7518">
        <v>2106</v>
      </c>
      <c r="F7518">
        <v>3305</v>
      </c>
      <c r="G7518">
        <f t="shared" si="117"/>
        <v>1577198957</v>
      </c>
    </row>
    <row r="7519" spans="1:7" x14ac:dyDescent="0.25">
      <c r="A7519">
        <v>1577198959</v>
      </c>
      <c r="B7519" t="s">
        <v>29655</v>
      </c>
      <c r="C7519">
        <v>0</v>
      </c>
      <c r="D7519">
        <v>0</v>
      </c>
      <c r="E7519">
        <v>0</v>
      </c>
      <c r="F7519">
        <v>8384</v>
      </c>
      <c r="G7519">
        <f t="shared" si="117"/>
        <v>1577198959</v>
      </c>
    </row>
    <row r="7520" spans="1:7" x14ac:dyDescent="0.25">
      <c r="A7520">
        <v>1577198960</v>
      </c>
      <c r="B7520" t="s">
        <v>29656</v>
      </c>
      <c r="C7520">
        <v>1403</v>
      </c>
      <c r="D7520">
        <v>4</v>
      </c>
      <c r="E7520">
        <v>14278</v>
      </c>
      <c r="F7520">
        <v>1055</v>
      </c>
      <c r="G7520">
        <f t="shared" si="117"/>
        <v>1577198960</v>
      </c>
    </row>
    <row r="7521" spans="1:7" x14ac:dyDescent="0.25">
      <c r="A7521">
        <v>1577198963</v>
      </c>
      <c r="B7521" t="s">
        <v>36886</v>
      </c>
      <c r="C7521">
        <v>67</v>
      </c>
      <c r="D7521">
        <v>3</v>
      </c>
      <c r="E7521">
        <v>16457</v>
      </c>
      <c r="F7521">
        <v>878</v>
      </c>
      <c r="G7521">
        <f t="shared" si="117"/>
        <v>1577198963</v>
      </c>
    </row>
    <row r="7522" spans="1:7" x14ac:dyDescent="0.25">
      <c r="A7522">
        <v>1577198967</v>
      </c>
      <c r="B7522" t="s">
        <v>29657</v>
      </c>
      <c r="C7522">
        <v>1143</v>
      </c>
      <c r="D7522">
        <v>1</v>
      </c>
      <c r="E7522">
        <v>1183</v>
      </c>
      <c r="F7522">
        <v>3810</v>
      </c>
      <c r="G7522">
        <f t="shared" si="117"/>
        <v>1577198967</v>
      </c>
    </row>
    <row r="7523" spans="1:7" x14ac:dyDescent="0.25">
      <c r="A7523">
        <v>1577198969</v>
      </c>
      <c r="B7523" t="s">
        <v>29658</v>
      </c>
      <c r="C7523">
        <v>1946</v>
      </c>
      <c r="D7523">
        <v>1</v>
      </c>
      <c r="E7523">
        <v>2372</v>
      </c>
      <c r="F7523">
        <v>3183</v>
      </c>
      <c r="G7523">
        <f t="shared" si="117"/>
        <v>1577198969</v>
      </c>
    </row>
    <row r="7524" spans="1:7" x14ac:dyDescent="0.25">
      <c r="A7524">
        <v>1577198974</v>
      </c>
      <c r="B7524" t="s">
        <v>29659</v>
      </c>
      <c r="C7524">
        <v>1818</v>
      </c>
      <c r="D7524">
        <v>1</v>
      </c>
      <c r="E7524">
        <v>2946</v>
      </c>
      <c r="F7524">
        <v>3004</v>
      </c>
      <c r="G7524">
        <f t="shared" si="117"/>
        <v>1577198974</v>
      </c>
    </row>
    <row r="7525" spans="1:7" x14ac:dyDescent="0.25">
      <c r="A7525">
        <v>1577198976</v>
      </c>
      <c r="B7525" t="s">
        <v>29660</v>
      </c>
      <c r="C7525">
        <v>0</v>
      </c>
      <c r="D7525">
        <v>1</v>
      </c>
      <c r="E7525">
        <v>26</v>
      </c>
      <c r="F7525">
        <v>6869</v>
      </c>
      <c r="G7525">
        <f t="shared" si="117"/>
        <v>1577198976</v>
      </c>
    </row>
    <row r="7526" spans="1:7" x14ac:dyDescent="0.25">
      <c r="A7526">
        <v>1577198978</v>
      </c>
      <c r="B7526" t="s">
        <v>29661</v>
      </c>
      <c r="C7526">
        <v>1100</v>
      </c>
      <c r="D7526">
        <v>2</v>
      </c>
      <c r="E7526">
        <v>6203</v>
      </c>
      <c r="F7526">
        <v>2231</v>
      </c>
      <c r="G7526">
        <f t="shared" si="117"/>
        <v>1577198978</v>
      </c>
    </row>
    <row r="7527" spans="1:7" x14ac:dyDescent="0.25">
      <c r="A7527">
        <v>1577198979</v>
      </c>
      <c r="B7527" t="s">
        <v>29662</v>
      </c>
      <c r="C7527">
        <v>638</v>
      </c>
      <c r="D7527">
        <v>3</v>
      </c>
      <c r="E7527">
        <v>10494</v>
      </c>
      <c r="F7527">
        <v>1493</v>
      </c>
      <c r="G7527">
        <f t="shared" si="117"/>
        <v>1577198979</v>
      </c>
    </row>
    <row r="7528" spans="1:7" x14ac:dyDescent="0.25">
      <c r="A7528">
        <v>1577198980</v>
      </c>
      <c r="B7528" t="s">
        <v>36887</v>
      </c>
      <c r="C7528">
        <v>1930</v>
      </c>
      <c r="D7528">
        <v>2</v>
      </c>
      <c r="E7528">
        <v>6943</v>
      </c>
      <c r="F7528">
        <v>2072</v>
      </c>
      <c r="G7528">
        <f t="shared" si="117"/>
        <v>1577198980</v>
      </c>
    </row>
    <row r="7529" spans="1:7" x14ac:dyDescent="0.25">
      <c r="A7529">
        <v>1577198983</v>
      </c>
      <c r="B7529" t="s">
        <v>29663</v>
      </c>
      <c r="C7529">
        <v>0</v>
      </c>
      <c r="D7529">
        <v>0</v>
      </c>
      <c r="E7529">
        <v>0</v>
      </c>
      <c r="F7529">
        <v>8385</v>
      </c>
      <c r="G7529">
        <f t="shared" si="117"/>
        <v>1577198983</v>
      </c>
    </row>
    <row r="7530" spans="1:7" x14ac:dyDescent="0.25">
      <c r="A7530">
        <v>1577198984</v>
      </c>
      <c r="B7530" t="s">
        <v>37369</v>
      </c>
      <c r="C7530">
        <v>0</v>
      </c>
      <c r="D7530">
        <v>1</v>
      </c>
      <c r="E7530">
        <v>612</v>
      </c>
      <c r="F7530">
        <v>4474</v>
      </c>
      <c r="G7530">
        <f t="shared" si="117"/>
        <v>1577198984</v>
      </c>
    </row>
    <row r="7531" spans="1:7" x14ac:dyDescent="0.25">
      <c r="A7531">
        <v>1577199002</v>
      </c>
      <c r="B7531" t="s">
        <v>36888</v>
      </c>
      <c r="C7531">
        <v>4</v>
      </c>
      <c r="D7531">
        <v>4</v>
      </c>
      <c r="E7531">
        <v>23093</v>
      </c>
      <c r="F7531">
        <v>469</v>
      </c>
      <c r="G7531">
        <f t="shared" si="117"/>
        <v>1577199002</v>
      </c>
    </row>
    <row r="7532" spans="1:7" x14ac:dyDescent="0.25">
      <c r="A7532">
        <v>1577199003</v>
      </c>
      <c r="B7532" t="s">
        <v>36889</v>
      </c>
      <c r="C7532">
        <v>0</v>
      </c>
      <c r="D7532">
        <v>1</v>
      </c>
      <c r="E7532">
        <v>66</v>
      </c>
      <c r="F7532">
        <v>6087</v>
      </c>
      <c r="G7532">
        <f t="shared" si="117"/>
        <v>1577199003</v>
      </c>
    </row>
    <row r="7533" spans="1:7" x14ac:dyDescent="0.25">
      <c r="A7533">
        <v>1577199016</v>
      </c>
      <c r="B7533" t="s">
        <v>29664</v>
      </c>
      <c r="C7533">
        <v>0</v>
      </c>
      <c r="D7533">
        <v>0</v>
      </c>
      <c r="E7533">
        <v>0</v>
      </c>
      <c r="F7533">
        <v>8386</v>
      </c>
      <c r="G7533">
        <f t="shared" si="117"/>
        <v>1577199016</v>
      </c>
    </row>
    <row r="7534" spans="1:7" x14ac:dyDescent="0.25">
      <c r="A7534">
        <v>1577199018</v>
      </c>
      <c r="B7534" t="s">
        <v>29665</v>
      </c>
      <c r="C7534">
        <v>67</v>
      </c>
      <c r="D7534">
        <v>2</v>
      </c>
      <c r="E7534">
        <v>11452</v>
      </c>
      <c r="F7534">
        <v>1355</v>
      </c>
      <c r="G7534">
        <f t="shared" si="117"/>
        <v>1577199018</v>
      </c>
    </row>
    <row r="7535" spans="1:7" x14ac:dyDescent="0.25">
      <c r="A7535">
        <v>1577199020</v>
      </c>
      <c r="B7535" t="s">
        <v>37194</v>
      </c>
      <c r="C7535">
        <v>138</v>
      </c>
      <c r="D7535">
        <v>5</v>
      </c>
      <c r="E7535">
        <v>27884</v>
      </c>
      <c r="F7535">
        <v>298</v>
      </c>
      <c r="G7535">
        <f t="shared" si="117"/>
        <v>1577199020</v>
      </c>
    </row>
    <row r="7536" spans="1:7" x14ac:dyDescent="0.25">
      <c r="A7536">
        <v>1577199021</v>
      </c>
      <c r="B7536" t="s">
        <v>29666</v>
      </c>
      <c r="C7536">
        <v>325</v>
      </c>
      <c r="D7536">
        <v>0</v>
      </c>
      <c r="E7536">
        <v>0</v>
      </c>
      <c r="F7536">
        <v>8387</v>
      </c>
      <c r="G7536">
        <f t="shared" si="117"/>
        <v>1577199021</v>
      </c>
    </row>
    <row r="7537" spans="1:7" x14ac:dyDescent="0.25">
      <c r="A7537">
        <v>1577199025</v>
      </c>
      <c r="B7537" t="s">
        <v>29667</v>
      </c>
      <c r="C7537">
        <v>0</v>
      </c>
      <c r="D7537">
        <v>1</v>
      </c>
      <c r="E7537">
        <v>1474</v>
      </c>
      <c r="F7537">
        <v>3613</v>
      </c>
      <c r="G7537">
        <f t="shared" si="117"/>
        <v>1577199025</v>
      </c>
    </row>
    <row r="7538" spans="1:7" x14ac:dyDescent="0.25">
      <c r="A7538">
        <v>1577199029</v>
      </c>
      <c r="B7538" t="s">
        <v>29668</v>
      </c>
      <c r="C7538">
        <v>1968</v>
      </c>
      <c r="D7538">
        <v>1</v>
      </c>
      <c r="E7538">
        <v>67</v>
      </c>
      <c r="F7538">
        <v>6080</v>
      </c>
      <c r="G7538">
        <f t="shared" si="117"/>
        <v>1577199029</v>
      </c>
    </row>
    <row r="7539" spans="1:7" x14ac:dyDescent="0.25">
      <c r="A7539">
        <v>1577199057</v>
      </c>
      <c r="B7539" t="s">
        <v>36890</v>
      </c>
      <c r="C7539">
        <v>94</v>
      </c>
      <c r="D7539">
        <v>2</v>
      </c>
      <c r="E7539">
        <v>6599</v>
      </c>
      <c r="F7539">
        <v>2139</v>
      </c>
      <c r="G7539">
        <f t="shared" si="117"/>
        <v>1577199057</v>
      </c>
    </row>
    <row r="7540" spans="1:7" x14ac:dyDescent="0.25">
      <c r="A7540">
        <v>1577199064</v>
      </c>
      <c r="B7540" t="s">
        <v>29669</v>
      </c>
      <c r="C7540">
        <v>924</v>
      </c>
      <c r="D7540">
        <v>2</v>
      </c>
      <c r="E7540">
        <v>7461</v>
      </c>
      <c r="F7540">
        <v>1985</v>
      </c>
      <c r="G7540">
        <f t="shared" si="117"/>
        <v>1577199064</v>
      </c>
    </row>
    <row r="7541" spans="1:7" x14ac:dyDescent="0.25">
      <c r="A7541">
        <v>1577199068</v>
      </c>
      <c r="B7541" t="s">
        <v>29670</v>
      </c>
      <c r="C7541">
        <v>0</v>
      </c>
      <c r="D7541">
        <v>1</v>
      </c>
      <c r="E7541">
        <v>26</v>
      </c>
      <c r="F7541">
        <v>6870</v>
      </c>
      <c r="G7541">
        <f t="shared" si="117"/>
        <v>1577199068</v>
      </c>
    </row>
    <row r="7542" spans="1:7" x14ac:dyDescent="0.25">
      <c r="A7542">
        <v>1577199076</v>
      </c>
      <c r="B7542" t="s">
        <v>29671</v>
      </c>
      <c r="C7542">
        <v>0</v>
      </c>
      <c r="D7542">
        <v>1</v>
      </c>
      <c r="E7542">
        <v>718</v>
      </c>
      <c r="F7542">
        <v>4315</v>
      </c>
      <c r="G7542">
        <f t="shared" si="117"/>
        <v>1577199076</v>
      </c>
    </row>
    <row r="7543" spans="1:7" x14ac:dyDescent="0.25">
      <c r="A7543">
        <v>1577199095</v>
      </c>
      <c r="B7543" t="s">
        <v>29672</v>
      </c>
      <c r="C7543">
        <v>0</v>
      </c>
      <c r="D7543">
        <v>1</v>
      </c>
      <c r="E7543">
        <v>4866</v>
      </c>
      <c r="F7543">
        <v>2540</v>
      </c>
      <c r="G7543">
        <f t="shared" si="117"/>
        <v>1577199095</v>
      </c>
    </row>
    <row r="7544" spans="1:7" x14ac:dyDescent="0.25">
      <c r="A7544">
        <v>1577199096</v>
      </c>
      <c r="B7544" t="s">
        <v>29673</v>
      </c>
      <c r="C7544">
        <v>0</v>
      </c>
      <c r="D7544">
        <v>1</v>
      </c>
      <c r="E7544">
        <v>378</v>
      </c>
      <c r="F7544">
        <v>4909</v>
      </c>
      <c r="G7544">
        <f t="shared" si="117"/>
        <v>1577199096</v>
      </c>
    </row>
    <row r="7545" spans="1:7" x14ac:dyDescent="0.25">
      <c r="A7545">
        <v>1577199100</v>
      </c>
      <c r="B7545" t="s">
        <v>37195</v>
      </c>
      <c r="C7545">
        <v>882</v>
      </c>
      <c r="D7545">
        <v>1</v>
      </c>
      <c r="E7545">
        <v>2838</v>
      </c>
      <c r="F7545">
        <v>3028</v>
      </c>
      <c r="G7545">
        <f t="shared" si="117"/>
        <v>1577199100</v>
      </c>
    </row>
    <row r="7546" spans="1:7" x14ac:dyDescent="0.25">
      <c r="A7546">
        <v>1577199105</v>
      </c>
      <c r="B7546" t="s">
        <v>29674</v>
      </c>
      <c r="C7546">
        <v>1836</v>
      </c>
      <c r="D7546">
        <v>2</v>
      </c>
      <c r="E7546">
        <v>9453</v>
      </c>
      <c r="F7546">
        <v>1643</v>
      </c>
      <c r="G7546">
        <f t="shared" si="117"/>
        <v>1577199105</v>
      </c>
    </row>
    <row r="7547" spans="1:7" x14ac:dyDescent="0.25">
      <c r="A7547">
        <v>1577199118</v>
      </c>
      <c r="B7547" t="s">
        <v>29675</v>
      </c>
      <c r="C7547">
        <v>0</v>
      </c>
      <c r="D7547">
        <v>1</v>
      </c>
      <c r="E7547">
        <v>45</v>
      </c>
      <c r="F7547">
        <v>6234</v>
      </c>
      <c r="G7547">
        <f t="shared" si="117"/>
        <v>1577199118</v>
      </c>
    </row>
    <row r="7548" spans="1:7" x14ac:dyDescent="0.25">
      <c r="A7548">
        <v>1577199125</v>
      </c>
      <c r="B7548" t="s">
        <v>29676</v>
      </c>
      <c r="C7548">
        <v>0</v>
      </c>
      <c r="D7548">
        <v>1</v>
      </c>
      <c r="E7548">
        <v>402</v>
      </c>
      <c r="F7548">
        <v>4845</v>
      </c>
      <c r="G7548">
        <f t="shared" si="117"/>
        <v>1577199125</v>
      </c>
    </row>
    <row r="7549" spans="1:7" x14ac:dyDescent="0.25">
      <c r="A7549">
        <v>1577199141</v>
      </c>
      <c r="B7549" t="s">
        <v>29677</v>
      </c>
      <c r="C7549">
        <v>1870</v>
      </c>
      <c r="D7549">
        <v>1</v>
      </c>
      <c r="E7549">
        <v>26</v>
      </c>
      <c r="F7549">
        <v>6871</v>
      </c>
      <c r="G7549">
        <f t="shared" si="117"/>
        <v>1577199141</v>
      </c>
    </row>
    <row r="7550" spans="1:7" x14ac:dyDescent="0.25">
      <c r="A7550">
        <v>1577199142</v>
      </c>
      <c r="B7550" t="s">
        <v>29678</v>
      </c>
      <c r="C7550">
        <v>0</v>
      </c>
      <c r="D7550">
        <v>1</v>
      </c>
      <c r="E7550">
        <v>69</v>
      </c>
      <c r="F7550">
        <v>6072</v>
      </c>
      <c r="G7550">
        <f t="shared" si="117"/>
        <v>1577199142</v>
      </c>
    </row>
    <row r="7551" spans="1:7" x14ac:dyDescent="0.25">
      <c r="A7551">
        <v>1577199146</v>
      </c>
      <c r="B7551" t="s">
        <v>29679</v>
      </c>
      <c r="C7551">
        <v>47</v>
      </c>
      <c r="D7551">
        <v>1</v>
      </c>
      <c r="E7551">
        <v>6050</v>
      </c>
      <c r="F7551">
        <v>2262</v>
      </c>
      <c r="G7551">
        <f t="shared" si="117"/>
        <v>1577199146</v>
      </c>
    </row>
    <row r="7552" spans="1:7" x14ac:dyDescent="0.25">
      <c r="A7552">
        <v>1577199157</v>
      </c>
      <c r="B7552" t="s">
        <v>29680</v>
      </c>
      <c r="C7552">
        <v>20</v>
      </c>
      <c r="D7552">
        <v>5</v>
      </c>
      <c r="E7552">
        <v>23967</v>
      </c>
      <c r="F7552">
        <v>438</v>
      </c>
      <c r="G7552">
        <f t="shared" si="117"/>
        <v>1577199157</v>
      </c>
    </row>
    <row r="7553" spans="1:7" x14ac:dyDescent="0.25">
      <c r="A7553">
        <v>1577199164</v>
      </c>
      <c r="B7553" t="s">
        <v>36891</v>
      </c>
      <c r="C7553">
        <v>0</v>
      </c>
      <c r="D7553">
        <v>0</v>
      </c>
      <c r="E7553">
        <v>0</v>
      </c>
      <c r="F7553">
        <v>8388</v>
      </c>
      <c r="G7553">
        <f t="shared" ref="G7553:G7616" si="118">A7553</f>
        <v>1577199164</v>
      </c>
    </row>
    <row r="7554" spans="1:7" x14ac:dyDescent="0.25">
      <c r="A7554">
        <v>1577199172</v>
      </c>
      <c r="B7554" t="s">
        <v>29681</v>
      </c>
      <c r="C7554">
        <v>412</v>
      </c>
      <c r="D7554">
        <v>3</v>
      </c>
      <c r="E7554">
        <v>15837</v>
      </c>
      <c r="F7554">
        <v>920</v>
      </c>
      <c r="G7554">
        <f t="shared" si="118"/>
        <v>1577199172</v>
      </c>
    </row>
    <row r="7555" spans="1:7" x14ac:dyDescent="0.25">
      <c r="A7555">
        <v>1577199176</v>
      </c>
      <c r="B7555" t="s">
        <v>29682</v>
      </c>
      <c r="C7555">
        <v>1</v>
      </c>
      <c r="D7555">
        <v>1</v>
      </c>
      <c r="E7555">
        <v>3519</v>
      </c>
      <c r="F7555">
        <v>2873</v>
      </c>
      <c r="G7555">
        <f t="shared" si="118"/>
        <v>1577199176</v>
      </c>
    </row>
    <row r="7556" spans="1:7" x14ac:dyDescent="0.25">
      <c r="A7556">
        <v>1577199177</v>
      </c>
      <c r="B7556" t="s">
        <v>29683</v>
      </c>
      <c r="C7556">
        <v>1913</v>
      </c>
      <c r="D7556">
        <v>1</v>
      </c>
      <c r="E7556">
        <v>2318</v>
      </c>
      <c r="F7556">
        <v>3206</v>
      </c>
      <c r="G7556">
        <f t="shared" si="118"/>
        <v>1577199177</v>
      </c>
    </row>
    <row r="7557" spans="1:7" x14ac:dyDescent="0.25">
      <c r="A7557">
        <v>1577199178</v>
      </c>
      <c r="B7557" t="s">
        <v>29684</v>
      </c>
      <c r="C7557">
        <v>0</v>
      </c>
      <c r="D7557">
        <v>1</v>
      </c>
      <c r="E7557">
        <v>26</v>
      </c>
      <c r="F7557">
        <v>6872</v>
      </c>
      <c r="G7557">
        <f t="shared" si="118"/>
        <v>1577199178</v>
      </c>
    </row>
    <row r="7558" spans="1:7" x14ac:dyDescent="0.25">
      <c r="A7558">
        <v>1577199180</v>
      </c>
      <c r="B7558" t="s">
        <v>29685</v>
      </c>
      <c r="C7558">
        <v>534</v>
      </c>
      <c r="D7558">
        <v>2</v>
      </c>
      <c r="E7558">
        <v>6003</v>
      </c>
      <c r="F7558">
        <v>2279</v>
      </c>
      <c r="G7558">
        <f t="shared" si="118"/>
        <v>1577199180</v>
      </c>
    </row>
    <row r="7559" spans="1:7" x14ac:dyDescent="0.25">
      <c r="A7559">
        <v>1577199185</v>
      </c>
      <c r="B7559" t="s">
        <v>29686</v>
      </c>
      <c r="C7559">
        <v>0</v>
      </c>
      <c r="D7559">
        <v>1</v>
      </c>
      <c r="E7559">
        <v>26</v>
      </c>
      <c r="F7559">
        <v>6873</v>
      </c>
      <c r="G7559">
        <f t="shared" si="118"/>
        <v>1577199185</v>
      </c>
    </row>
    <row r="7560" spans="1:7" x14ac:dyDescent="0.25">
      <c r="A7560">
        <v>1577199193</v>
      </c>
      <c r="B7560" t="s">
        <v>29687</v>
      </c>
      <c r="C7560">
        <v>1828</v>
      </c>
      <c r="D7560">
        <v>1</v>
      </c>
      <c r="E7560">
        <v>366</v>
      </c>
      <c r="F7560">
        <v>4939</v>
      </c>
      <c r="G7560">
        <f t="shared" si="118"/>
        <v>1577199193</v>
      </c>
    </row>
    <row r="7561" spans="1:7" x14ac:dyDescent="0.25">
      <c r="A7561">
        <v>1577199196</v>
      </c>
      <c r="B7561" t="s">
        <v>29688</v>
      </c>
      <c r="C7561">
        <v>918</v>
      </c>
      <c r="D7561">
        <v>1</v>
      </c>
      <c r="E7561">
        <v>431</v>
      </c>
      <c r="F7561">
        <v>4777</v>
      </c>
      <c r="G7561">
        <f t="shared" si="118"/>
        <v>1577199196</v>
      </c>
    </row>
    <row r="7562" spans="1:7" x14ac:dyDescent="0.25">
      <c r="A7562">
        <v>1577199203</v>
      </c>
      <c r="B7562" t="s">
        <v>37370</v>
      </c>
      <c r="C7562">
        <v>842</v>
      </c>
      <c r="D7562">
        <v>0</v>
      </c>
      <c r="E7562">
        <v>0</v>
      </c>
      <c r="F7562">
        <v>8389</v>
      </c>
      <c r="G7562">
        <f t="shared" si="118"/>
        <v>1577199203</v>
      </c>
    </row>
    <row r="7563" spans="1:7" x14ac:dyDescent="0.25">
      <c r="A7563">
        <v>1577199214</v>
      </c>
      <c r="B7563" t="s">
        <v>29689</v>
      </c>
      <c r="C7563">
        <v>47</v>
      </c>
      <c r="D7563">
        <v>2</v>
      </c>
      <c r="E7563">
        <v>8622</v>
      </c>
      <c r="F7563">
        <v>1778</v>
      </c>
      <c r="G7563">
        <f t="shared" si="118"/>
        <v>1577199214</v>
      </c>
    </row>
    <row r="7564" spans="1:7" x14ac:dyDescent="0.25">
      <c r="A7564">
        <v>1577199217</v>
      </c>
      <c r="B7564" t="s">
        <v>29690</v>
      </c>
      <c r="C7564">
        <v>680</v>
      </c>
      <c r="D7564">
        <v>1</v>
      </c>
      <c r="E7564">
        <v>6834</v>
      </c>
      <c r="F7564">
        <v>2092</v>
      </c>
      <c r="G7564">
        <f t="shared" si="118"/>
        <v>1577199217</v>
      </c>
    </row>
    <row r="7565" spans="1:7" x14ac:dyDescent="0.25">
      <c r="A7565">
        <v>1577199218</v>
      </c>
      <c r="B7565" t="s">
        <v>29691</v>
      </c>
      <c r="C7565">
        <v>0</v>
      </c>
      <c r="D7565">
        <v>1</v>
      </c>
      <c r="E7565">
        <v>26</v>
      </c>
      <c r="F7565">
        <v>6874</v>
      </c>
      <c r="G7565">
        <f t="shared" si="118"/>
        <v>1577199218</v>
      </c>
    </row>
    <row r="7566" spans="1:7" x14ac:dyDescent="0.25">
      <c r="A7566">
        <v>1577199221</v>
      </c>
      <c r="B7566" t="s">
        <v>29692</v>
      </c>
      <c r="C7566">
        <v>0</v>
      </c>
      <c r="D7566">
        <v>1</v>
      </c>
      <c r="E7566">
        <v>334</v>
      </c>
      <c r="F7566">
        <v>5030</v>
      </c>
      <c r="G7566">
        <f t="shared" si="118"/>
        <v>1577199221</v>
      </c>
    </row>
    <row r="7567" spans="1:7" x14ac:dyDescent="0.25">
      <c r="A7567">
        <v>1577199227</v>
      </c>
      <c r="B7567" t="s">
        <v>37196</v>
      </c>
      <c r="C7567">
        <v>25</v>
      </c>
      <c r="D7567">
        <v>5</v>
      </c>
      <c r="E7567">
        <v>28717</v>
      </c>
      <c r="F7567">
        <v>278</v>
      </c>
      <c r="G7567">
        <f t="shared" si="118"/>
        <v>1577199227</v>
      </c>
    </row>
    <row r="7568" spans="1:7" x14ac:dyDescent="0.25">
      <c r="A7568">
        <v>1577199230</v>
      </c>
      <c r="B7568" t="s">
        <v>29693</v>
      </c>
      <c r="C7568">
        <v>0</v>
      </c>
      <c r="D7568">
        <v>1</v>
      </c>
      <c r="E7568">
        <v>809</v>
      </c>
      <c r="F7568">
        <v>4186</v>
      </c>
      <c r="G7568">
        <f t="shared" si="118"/>
        <v>1577199230</v>
      </c>
    </row>
    <row r="7569" spans="1:7" x14ac:dyDescent="0.25">
      <c r="A7569">
        <v>1577199231</v>
      </c>
      <c r="B7569" t="s">
        <v>37197</v>
      </c>
      <c r="C7569">
        <v>1818</v>
      </c>
      <c r="D7569">
        <v>1</v>
      </c>
      <c r="E7569">
        <v>2514</v>
      </c>
      <c r="F7569">
        <v>3135</v>
      </c>
      <c r="G7569">
        <f t="shared" si="118"/>
        <v>1577199231</v>
      </c>
    </row>
    <row r="7570" spans="1:7" x14ac:dyDescent="0.25">
      <c r="A7570">
        <v>1577199242</v>
      </c>
      <c r="B7570" t="s">
        <v>37198</v>
      </c>
      <c r="C7570">
        <v>0</v>
      </c>
      <c r="D7570">
        <v>0</v>
      </c>
      <c r="E7570">
        <v>0</v>
      </c>
      <c r="F7570">
        <v>8390</v>
      </c>
      <c r="G7570">
        <f t="shared" si="118"/>
        <v>1577199242</v>
      </c>
    </row>
    <row r="7571" spans="1:7" x14ac:dyDescent="0.25">
      <c r="A7571">
        <v>1577199261</v>
      </c>
      <c r="B7571" t="s">
        <v>29694</v>
      </c>
      <c r="C7571">
        <v>1503</v>
      </c>
      <c r="D7571">
        <v>1</v>
      </c>
      <c r="E7571">
        <v>7658</v>
      </c>
      <c r="F7571">
        <v>1951</v>
      </c>
      <c r="G7571">
        <f t="shared" si="118"/>
        <v>1577199261</v>
      </c>
    </row>
    <row r="7572" spans="1:7" x14ac:dyDescent="0.25">
      <c r="A7572">
        <v>1577199266</v>
      </c>
      <c r="B7572" t="s">
        <v>29695</v>
      </c>
      <c r="C7572">
        <v>0</v>
      </c>
      <c r="D7572">
        <v>0</v>
      </c>
      <c r="E7572">
        <v>0</v>
      </c>
      <c r="F7572">
        <v>8391</v>
      </c>
      <c r="G7572">
        <f t="shared" si="118"/>
        <v>1577199266</v>
      </c>
    </row>
    <row r="7573" spans="1:7" x14ac:dyDescent="0.25">
      <c r="A7573">
        <v>1577199270</v>
      </c>
      <c r="B7573" t="s">
        <v>29696</v>
      </c>
      <c r="C7573">
        <v>1503</v>
      </c>
      <c r="D7573">
        <v>1</v>
      </c>
      <c r="E7573">
        <v>5079</v>
      </c>
      <c r="F7573">
        <v>2497</v>
      </c>
      <c r="G7573">
        <f t="shared" si="118"/>
        <v>1577199270</v>
      </c>
    </row>
    <row r="7574" spans="1:7" x14ac:dyDescent="0.25">
      <c r="A7574">
        <v>1577199274</v>
      </c>
      <c r="B7574" t="s">
        <v>29697</v>
      </c>
      <c r="C7574">
        <v>0</v>
      </c>
      <c r="D7574">
        <v>1</v>
      </c>
      <c r="E7574">
        <v>848</v>
      </c>
      <c r="F7574">
        <v>4135</v>
      </c>
      <c r="G7574">
        <f t="shared" si="118"/>
        <v>1577199274</v>
      </c>
    </row>
    <row r="7575" spans="1:7" x14ac:dyDescent="0.25">
      <c r="A7575">
        <v>1577199275</v>
      </c>
      <c r="B7575" t="s">
        <v>29698</v>
      </c>
      <c r="C7575">
        <v>1663</v>
      </c>
      <c r="D7575">
        <v>1</v>
      </c>
      <c r="E7575">
        <v>398</v>
      </c>
      <c r="F7575">
        <v>4851</v>
      </c>
      <c r="G7575">
        <f t="shared" si="118"/>
        <v>1577199275</v>
      </c>
    </row>
    <row r="7576" spans="1:7" x14ac:dyDescent="0.25">
      <c r="A7576">
        <v>1577199278</v>
      </c>
      <c r="B7576" t="s">
        <v>29699</v>
      </c>
      <c r="C7576">
        <v>0</v>
      </c>
      <c r="D7576">
        <v>1</v>
      </c>
      <c r="E7576">
        <v>38</v>
      </c>
      <c r="F7576">
        <v>6289</v>
      </c>
      <c r="G7576">
        <f t="shared" si="118"/>
        <v>1577199278</v>
      </c>
    </row>
    <row r="7577" spans="1:7" x14ac:dyDescent="0.25">
      <c r="A7577">
        <v>1577199279</v>
      </c>
      <c r="B7577" t="s">
        <v>29700</v>
      </c>
      <c r="C7577">
        <v>412</v>
      </c>
      <c r="D7577">
        <v>3</v>
      </c>
      <c r="E7577">
        <v>18573</v>
      </c>
      <c r="F7577">
        <v>714</v>
      </c>
      <c r="G7577">
        <f t="shared" si="118"/>
        <v>1577199279</v>
      </c>
    </row>
    <row r="7578" spans="1:7" x14ac:dyDescent="0.25">
      <c r="A7578">
        <v>1577199280</v>
      </c>
      <c r="B7578" t="s">
        <v>37371</v>
      </c>
      <c r="C7578">
        <v>124</v>
      </c>
      <c r="D7578">
        <v>1</v>
      </c>
      <c r="E7578">
        <v>6868</v>
      </c>
      <c r="F7578">
        <v>2088</v>
      </c>
      <c r="G7578">
        <f t="shared" si="118"/>
        <v>1577199280</v>
      </c>
    </row>
    <row r="7579" spans="1:7" x14ac:dyDescent="0.25">
      <c r="A7579">
        <v>1577199283</v>
      </c>
      <c r="B7579" t="s">
        <v>36892</v>
      </c>
      <c r="C7579">
        <v>412</v>
      </c>
      <c r="D7579">
        <v>1</v>
      </c>
      <c r="E7579">
        <v>4751</v>
      </c>
      <c r="F7579">
        <v>2561</v>
      </c>
      <c r="G7579">
        <f t="shared" si="118"/>
        <v>1577199283</v>
      </c>
    </row>
    <row r="7580" spans="1:7" x14ac:dyDescent="0.25">
      <c r="A7580">
        <v>1577199305</v>
      </c>
      <c r="B7580" t="s">
        <v>29701</v>
      </c>
      <c r="C7580">
        <v>58</v>
      </c>
      <c r="D7580">
        <v>3</v>
      </c>
      <c r="E7580">
        <v>14386</v>
      </c>
      <c r="F7580">
        <v>1044</v>
      </c>
      <c r="G7580">
        <f t="shared" si="118"/>
        <v>1577199305</v>
      </c>
    </row>
    <row r="7581" spans="1:7" x14ac:dyDescent="0.25">
      <c r="A7581">
        <v>1577199307</v>
      </c>
      <c r="B7581" t="s">
        <v>29702</v>
      </c>
      <c r="C7581">
        <v>1993</v>
      </c>
      <c r="D7581">
        <v>0</v>
      </c>
      <c r="E7581">
        <v>0</v>
      </c>
      <c r="F7581">
        <v>8392</v>
      </c>
      <c r="G7581">
        <f t="shared" si="118"/>
        <v>1577199307</v>
      </c>
    </row>
    <row r="7582" spans="1:7" x14ac:dyDescent="0.25">
      <c r="A7582">
        <v>1577199309</v>
      </c>
      <c r="B7582" t="s">
        <v>37082</v>
      </c>
      <c r="C7582">
        <v>0</v>
      </c>
      <c r="D7582">
        <v>0</v>
      </c>
      <c r="E7582">
        <v>0</v>
      </c>
      <c r="F7582">
        <v>8393</v>
      </c>
      <c r="G7582">
        <f t="shared" si="118"/>
        <v>1577199309</v>
      </c>
    </row>
    <row r="7583" spans="1:7" x14ac:dyDescent="0.25">
      <c r="A7583">
        <v>1577199310</v>
      </c>
      <c r="B7583" t="s">
        <v>29703</v>
      </c>
      <c r="C7583">
        <v>0</v>
      </c>
      <c r="D7583">
        <v>0</v>
      </c>
      <c r="E7583">
        <v>0</v>
      </c>
      <c r="F7583">
        <v>8394</v>
      </c>
      <c r="G7583">
        <f t="shared" si="118"/>
        <v>1577199310</v>
      </c>
    </row>
    <row r="7584" spans="1:7" x14ac:dyDescent="0.25">
      <c r="A7584">
        <v>1577199314</v>
      </c>
      <c r="B7584" t="s">
        <v>29704</v>
      </c>
      <c r="C7584">
        <v>151</v>
      </c>
      <c r="D7584">
        <v>1</v>
      </c>
      <c r="E7584">
        <v>3622</v>
      </c>
      <c r="F7584">
        <v>2848</v>
      </c>
      <c r="G7584">
        <f t="shared" si="118"/>
        <v>1577199314</v>
      </c>
    </row>
    <row r="7585" spans="1:7" x14ac:dyDescent="0.25">
      <c r="A7585">
        <v>1577199322</v>
      </c>
      <c r="B7585" t="s">
        <v>29705</v>
      </c>
      <c r="C7585">
        <v>27</v>
      </c>
      <c r="D7585">
        <v>4</v>
      </c>
      <c r="E7585">
        <v>16171</v>
      </c>
      <c r="F7585">
        <v>897</v>
      </c>
      <c r="G7585">
        <f t="shared" si="118"/>
        <v>1577199322</v>
      </c>
    </row>
    <row r="7586" spans="1:7" x14ac:dyDescent="0.25">
      <c r="A7586">
        <v>1577199336</v>
      </c>
      <c r="B7586" t="s">
        <v>37372</v>
      </c>
      <c r="C7586">
        <v>27</v>
      </c>
      <c r="D7586">
        <v>2</v>
      </c>
      <c r="E7586">
        <v>8801</v>
      </c>
      <c r="F7586">
        <v>1753</v>
      </c>
      <c r="G7586">
        <f t="shared" si="118"/>
        <v>1577199336</v>
      </c>
    </row>
    <row r="7587" spans="1:7" x14ac:dyDescent="0.25">
      <c r="A7587">
        <v>1577199339</v>
      </c>
      <c r="B7587" t="s">
        <v>29706</v>
      </c>
      <c r="C7587">
        <v>0</v>
      </c>
      <c r="D7587">
        <v>1</v>
      </c>
      <c r="E7587">
        <v>77</v>
      </c>
      <c r="F7587">
        <v>5997</v>
      </c>
      <c r="G7587">
        <f t="shared" si="118"/>
        <v>1577199339</v>
      </c>
    </row>
    <row r="7588" spans="1:7" x14ac:dyDescent="0.25">
      <c r="A7588">
        <v>1577199340</v>
      </c>
      <c r="B7588" t="s">
        <v>36893</v>
      </c>
      <c r="C7588">
        <v>0</v>
      </c>
      <c r="D7588">
        <v>0</v>
      </c>
      <c r="E7588">
        <v>0</v>
      </c>
      <c r="F7588">
        <v>8395</v>
      </c>
      <c r="G7588">
        <f t="shared" si="118"/>
        <v>1577199340</v>
      </c>
    </row>
    <row r="7589" spans="1:7" x14ac:dyDescent="0.25">
      <c r="A7589">
        <v>1577199348</v>
      </c>
      <c r="B7589" t="s">
        <v>29707</v>
      </c>
      <c r="C7589">
        <v>0</v>
      </c>
      <c r="D7589">
        <v>1</v>
      </c>
      <c r="E7589">
        <v>78</v>
      </c>
      <c r="F7589">
        <v>5981</v>
      </c>
      <c r="G7589">
        <f t="shared" si="118"/>
        <v>1577199348</v>
      </c>
    </row>
    <row r="7590" spans="1:7" x14ac:dyDescent="0.25">
      <c r="A7590">
        <v>1577199353</v>
      </c>
      <c r="B7590" t="s">
        <v>29708</v>
      </c>
      <c r="C7590">
        <v>0</v>
      </c>
      <c r="D7590">
        <v>1</v>
      </c>
      <c r="E7590">
        <v>26</v>
      </c>
      <c r="F7590">
        <v>6875</v>
      </c>
      <c r="G7590">
        <f t="shared" si="118"/>
        <v>1577199353</v>
      </c>
    </row>
    <row r="7591" spans="1:7" x14ac:dyDescent="0.25">
      <c r="A7591">
        <v>1577199356</v>
      </c>
      <c r="B7591" t="s">
        <v>29709</v>
      </c>
      <c r="C7591">
        <v>0</v>
      </c>
      <c r="D7591">
        <v>2</v>
      </c>
      <c r="E7591">
        <v>5182</v>
      </c>
      <c r="F7591">
        <v>2471</v>
      </c>
      <c r="G7591">
        <f t="shared" si="118"/>
        <v>1577199356</v>
      </c>
    </row>
    <row r="7592" spans="1:7" x14ac:dyDescent="0.25">
      <c r="A7592">
        <v>1577199362</v>
      </c>
      <c r="B7592" t="s">
        <v>29710</v>
      </c>
      <c r="C7592">
        <v>0</v>
      </c>
      <c r="D7592">
        <v>1</v>
      </c>
      <c r="E7592">
        <v>26</v>
      </c>
      <c r="F7592">
        <v>6876</v>
      </c>
      <c r="G7592">
        <f t="shared" si="118"/>
        <v>1577199362</v>
      </c>
    </row>
    <row r="7593" spans="1:7" x14ac:dyDescent="0.25">
      <c r="A7593">
        <v>1577199376</v>
      </c>
      <c r="B7593" t="s">
        <v>29711</v>
      </c>
      <c r="C7593">
        <v>1503</v>
      </c>
      <c r="D7593">
        <v>1</v>
      </c>
      <c r="E7593">
        <v>26</v>
      </c>
      <c r="F7593">
        <v>6877</v>
      </c>
      <c r="G7593">
        <f t="shared" si="118"/>
        <v>1577199376</v>
      </c>
    </row>
    <row r="7594" spans="1:7" x14ac:dyDescent="0.25">
      <c r="A7594">
        <v>1577199383</v>
      </c>
      <c r="B7594" t="s">
        <v>36894</v>
      </c>
      <c r="C7594">
        <v>0</v>
      </c>
      <c r="D7594">
        <v>0</v>
      </c>
      <c r="E7594">
        <v>0</v>
      </c>
      <c r="F7594">
        <v>8396</v>
      </c>
      <c r="G7594">
        <f t="shared" si="118"/>
        <v>1577199383</v>
      </c>
    </row>
    <row r="7595" spans="1:7" x14ac:dyDescent="0.25">
      <c r="A7595">
        <v>1577199416</v>
      </c>
      <c r="B7595" t="s">
        <v>29712</v>
      </c>
      <c r="C7595">
        <v>0</v>
      </c>
      <c r="D7595">
        <v>1</v>
      </c>
      <c r="E7595">
        <v>494</v>
      </c>
      <c r="F7595">
        <v>4657</v>
      </c>
      <c r="G7595">
        <f t="shared" si="118"/>
        <v>1577199416</v>
      </c>
    </row>
    <row r="7596" spans="1:7" x14ac:dyDescent="0.25">
      <c r="A7596">
        <v>1577199426</v>
      </c>
      <c r="B7596" t="s">
        <v>29713</v>
      </c>
      <c r="C7596">
        <v>2010</v>
      </c>
      <c r="D7596">
        <v>1</v>
      </c>
      <c r="E7596">
        <v>760</v>
      </c>
      <c r="F7596">
        <v>4266</v>
      </c>
      <c r="G7596">
        <f t="shared" si="118"/>
        <v>1577199426</v>
      </c>
    </row>
    <row r="7597" spans="1:7" x14ac:dyDescent="0.25">
      <c r="A7597">
        <v>1577199429</v>
      </c>
      <c r="B7597" t="s">
        <v>29714</v>
      </c>
      <c r="C7597">
        <v>1107</v>
      </c>
      <c r="D7597">
        <v>0</v>
      </c>
      <c r="E7597">
        <v>0</v>
      </c>
      <c r="F7597">
        <v>8397</v>
      </c>
      <c r="G7597">
        <f t="shared" si="118"/>
        <v>1577199429</v>
      </c>
    </row>
    <row r="7598" spans="1:7" x14ac:dyDescent="0.25">
      <c r="A7598">
        <v>1577199433</v>
      </c>
      <c r="B7598" t="s">
        <v>29715</v>
      </c>
      <c r="C7598">
        <v>0</v>
      </c>
      <c r="D7598">
        <v>1</v>
      </c>
      <c r="E7598">
        <v>26</v>
      </c>
      <c r="F7598">
        <v>6878</v>
      </c>
      <c r="G7598">
        <f t="shared" si="118"/>
        <v>1577199433</v>
      </c>
    </row>
    <row r="7599" spans="1:7" x14ac:dyDescent="0.25">
      <c r="A7599">
        <v>1577199448</v>
      </c>
      <c r="B7599" t="s">
        <v>37199</v>
      </c>
      <c r="C7599">
        <v>1128</v>
      </c>
      <c r="D7599">
        <v>1</v>
      </c>
      <c r="E7599">
        <v>532</v>
      </c>
      <c r="F7599">
        <v>4577</v>
      </c>
      <c r="G7599">
        <f t="shared" si="118"/>
        <v>1577199448</v>
      </c>
    </row>
    <row r="7600" spans="1:7" x14ac:dyDescent="0.25">
      <c r="A7600">
        <v>1577199452</v>
      </c>
      <c r="B7600" t="s">
        <v>29716</v>
      </c>
      <c r="C7600">
        <v>1856</v>
      </c>
      <c r="D7600">
        <v>1</v>
      </c>
      <c r="E7600">
        <v>142</v>
      </c>
      <c r="F7600">
        <v>5848</v>
      </c>
      <c r="G7600">
        <f t="shared" si="118"/>
        <v>1577199452</v>
      </c>
    </row>
    <row r="7601" spans="1:7" x14ac:dyDescent="0.25">
      <c r="A7601">
        <v>1577199461</v>
      </c>
      <c r="B7601" t="s">
        <v>29717</v>
      </c>
      <c r="C7601">
        <v>0</v>
      </c>
      <c r="D7601">
        <v>1</v>
      </c>
      <c r="E7601">
        <v>471</v>
      </c>
      <c r="F7601">
        <v>4697</v>
      </c>
      <c r="G7601">
        <f t="shared" si="118"/>
        <v>1577199461</v>
      </c>
    </row>
    <row r="7602" spans="1:7" x14ac:dyDescent="0.25">
      <c r="A7602">
        <v>1577199465</v>
      </c>
      <c r="B7602" t="s">
        <v>29718</v>
      </c>
      <c r="C7602">
        <v>1818</v>
      </c>
      <c r="D7602">
        <v>1</v>
      </c>
      <c r="E7602">
        <v>726</v>
      </c>
      <c r="F7602">
        <v>4302</v>
      </c>
      <c r="G7602">
        <f t="shared" si="118"/>
        <v>1577199465</v>
      </c>
    </row>
    <row r="7603" spans="1:7" x14ac:dyDescent="0.25">
      <c r="A7603">
        <v>1577199467</v>
      </c>
      <c r="B7603" t="s">
        <v>37083</v>
      </c>
      <c r="C7603">
        <v>0</v>
      </c>
      <c r="D7603">
        <v>0</v>
      </c>
      <c r="E7603">
        <v>0</v>
      </c>
      <c r="F7603">
        <v>8398</v>
      </c>
      <c r="G7603">
        <f t="shared" si="118"/>
        <v>1577199467</v>
      </c>
    </row>
    <row r="7604" spans="1:7" x14ac:dyDescent="0.25">
      <c r="A7604">
        <v>1577199504</v>
      </c>
      <c r="B7604" t="s">
        <v>29719</v>
      </c>
      <c r="C7604">
        <v>0</v>
      </c>
      <c r="D7604">
        <v>1</v>
      </c>
      <c r="E7604">
        <v>296</v>
      </c>
      <c r="F7604">
        <v>5134</v>
      </c>
      <c r="G7604">
        <f t="shared" si="118"/>
        <v>1577199504</v>
      </c>
    </row>
    <row r="7605" spans="1:7" x14ac:dyDescent="0.25">
      <c r="A7605">
        <v>1577199507</v>
      </c>
      <c r="B7605" t="s">
        <v>29720</v>
      </c>
      <c r="C7605">
        <v>1119</v>
      </c>
      <c r="D7605">
        <v>1</v>
      </c>
      <c r="E7605">
        <v>26</v>
      </c>
      <c r="F7605">
        <v>6879</v>
      </c>
      <c r="G7605">
        <f t="shared" si="118"/>
        <v>1577199507</v>
      </c>
    </row>
    <row r="7606" spans="1:7" x14ac:dyDescent="0.25">
      <c r="A7606">
        <v>1577199508</v>
      </c>
      <c r="B7606" t="s">
        <v>29721</v>
      </c>
      <c r="C7606">
        <v>1119</v>
      </c>
      <c r="D7606">
        <v>0</v>
      </c>
      <c r="E7606">
        <v>0</v>
      </c>
      <c r="F7606">
        <v>8399</v>
      </c>
      <c r="G7606">
        <f t="shared" si="118"/>
        <v>1577199508</v>
      </c>
    </row>
    <row r="7607" spans="1:7" x14ac:dyDescent="0.25">
      <c r="A7607">
        <v>1577199512</v>
      </c>
      <c r="B7607" t="s">
        <v>29722</v>
      </c>
      <c r="C7607">
        <v>1849</v>
      </c>
      <c r="D7607">
        <v>1</v>
      </c>
      <c r="E7607">
        <v>1623</v>
      </c>
      <c r="F7607">
        <v>3533</v>
      </c>
      <c r="G7607">
        <f t="shared" si="118"/>
        <v>1577199512</v>
      </c>
    </row>
    <row r="7608" spans="1:7" x14ac:dyDescent="0.25">
      <c r="A7608">
        <v>1577199522</v>
      </c>
      <c r="B7608" t="s">
        <v>29723</v>
      </c>
      <c r="C7608">
        <v>1745</v>
      </c>
      <c r="D7608">
        <v>1</v>
      </c>
      <c r="E7608">
        <v>1290</v>
      </c>
      <c r="F7608">
        <v>3740</v>
      </c>
      <c r="G7608">
        <f t="shared" si="118"/>
        <v>1577199522</v>
      </c>
    </row>
    <row r="7609" spans="1:7" x14ac:dyDescent="0.25">
      <c r="A7609">
        <v>1577199531</v>
      </c>
      <c r="B7609" t="s">
        <v>29724</v>
      </c>
      <c r="C7609">
        <v>1163</v>
      </c>
      <c r="D7609">
        <v>0</v>
      </c>
      <c r="E7609">
        <v>0</v>
      </c>
      <c r="F7609">
        <v>8400</v>
      </c>
      <c r="G7609">
        <f t="shared" si="118"/>
        <v>1577199531</v>
      </c>
    </row>
    <row r="7610" spans="1:7" x14ac:dyDescent="0.25">
      <c r="A7610">
        <v>1577199580</v>
      </c>
      <c r="B7610" t="s">
        <v>36895</v>
      </c>
      <c r="C7610">
        <v>1753</v>
      </c>
      <c r="D7610">
        <v>0</v>
      </c>
      <c r="E7610">
        <v>0</v>
      </c>
      <c r="F7610">
        <v>8401</v>
      </c>
      <c r="G7610">
        <f t="shared" si="118"/>
        <v>1577199580</v>
      </c>
    </row>
    <row r="7611" spans="1:7" x14ac:dyDescent="0.25">
      <c r="A7611">
        <v>1577199602</v>
      </c>
      <c r="B7611" t="s">
        <v>29725</v>
      </c>
      <c r="C7611">
        <v>0</v>
      </c>
      <c r="D7611">
        <v>1</v>
      </c>
      <c r="E7611">
        <v>409</v>
      </c>
      <c r="F7611">
        <v>4843</v>
      </c>
      <c r="G7611">
        <f t="shared" si="118"/>
        <v>1577199602</v>
      </c>
    </row>
    <row r="7612" spans="1:7" x14ac:dyDescent="0.25">
      <c r="A7612">
        <v>1577199613</v>
      </c>
      <c r="B7612" t="s">
        <v>37373</v>
      </c>
      <c r="C7612">
        <v>0</v>
      </c>
      <c r="D7612">
        <v>0</v>
      </c>
      <c r="E7612">
        <v>0</v>
      </c>
      <c r="F7612">
        <v>8402</v>
      </c>
      <c r="G7612">
        <f t="shared" si="118"/>
        <v>1577199613</v>
      </c>
    </row>
    <row r="7613" spans="1:7" x14ac:dyDescent="0.25">
      <c r="A7613">
        <v>1577199618</v>
      </c>
      <c r="B7613" t="s">
        <v>29726</v>
      </c>
      <c r="C7613">
        <v>53</v>
      </c>
      <c r="D7613">
        <v>1</v>
      </c>
      <c r="E7613">
        <v>7796</v>
      </c>
      <c r="F7613">
        <v>1923</v>
      </c>
      <c r="G7613">
        <f t="shared" si="118"/>
        <v>1577199618</v>
      </c>
    </row>
    <row r="7614" spans="1:7" x14ac:dyDescent="0.25">
      <c r="A7614">
        <v>1577199623</v>
      </c>
      <c r="B7614" t="s">
        <v>36896</v>
      </c>
      <c r="C7614">
        <v>1622</v>
      </c>
      <c r="D7614">
        <v>1</v>
      </c>
      <c r="E7614">
        <v>26</v>
      </c>
      <c r="F7614">
        <v>6880</v>
      </c>
      <c r="G7614">
        <f t="shared" si="118"/>
        <v>1577199623</v>
      </c>
    </row>
    <row r="7615" spans="1:7" x14ac:dyDescent="0.25">
      <c r="A7615">
        <v>1577199624</v>
      </c>
      <c r="B7615" t="s">
        <v>29727</v>
      </c>
      <c r="C7615">
        <v>0</v>
      </c>
      <c r="D7615">
        <v>1</v>
      </c>
      <c r="E7615">
        <v>26</v>
      </c>
      <c r="F7615">
        <v>6881</v>
      </c>
      <c r="G7615">
        <f t="shared" si="118"/>
        <v>1577199624</v>
      </c>
    </row>
    <row r="7616" spans="1:7" x14ac:dyDescent="0.25">
      <c r="A7616">
        <v>1577199631</v>
      </c>
      <c r="B7616" t="s">
        <v>37374</v>
      </c>
      <c r="C7616">
        <v>0</v>
      </c>
      <c r="D7616">
        <v>1</v>
      </c>
      <c r="E7616">
        <v>151</v>
      </c>
      <c r="F7616">
        <v>5697</v>
      </c>
      <c r="G7616">
        <f t="shared" si="118"/>
        <v>1577199631</v>
      </c>
    </row>
    <row r="7617" spans="1:7" x14ac:dyDescent="0.25">
      <c r="A7617">
        <v>1577199636</v>
      </c>
      <c r="B7617" t="s">
        <v>29728</v>
      </c>
      <c r="C7617">
        <v>1</v>
      </c>
      <c r="D7617">
        <v>1</v>
      </c>
      <c r="E7617">
        <v>137</v>
      </c>
      <c r="F7617">
        <v>5741</v>
      </c>
      <c r="G7617">
        <f t="shared" ref="G7617:G7680" si="119">A7617</f>
        <v>1577199636</v>
      </c>
    </row>
    <row r="7618" spans="1:7" x14ac:dyDescent="0.25">
      <c r="A7618">
        <v>1577199639</v>
      </c>
      <c r="B7618" t="s">
        <v>29729</v>
      </c>
      <c r="C7618">
        <v>0</v>
      </c>
      <c r="D7618">
        <v>1</v>
      </c>
      <c r="E7618">
        <v>184</v>
      </c>
      <c r="F7618">
        <v>5569</v>
      </c>
      <c r="G7618">
        <f t="shared" si="119"/>
        <v>1577199639</v>
      </c>
    </row>
    <row r="7619" spans="1:7" x14ac:dyDescent="0.25">
      <c r="A7619">
        <v>1577199644</v>
      </c>
      <c r="B7619" t="s">
        <v>29730</v>
      </c>
      <c r="C7619">
        <v>625</v>
      </c>
      <c r="D7619">
        <v>2</v>
      </c>
      <c r="E7619">
        <v>4451</v>
      </c>
      <c r="F7619">
        <v>2637</v>
      </c>
      <c r="G7619">
        <f t="shared" si="119"/>
        <v>1577199644</v>
      </c>
    </row>
    <row r="7620" spans="1:7" x14ac:dyDescent="0.25">
      <c r="A7620">
        <v>1577199650</v>
      </c>
      <c r="B7620" t="s">
        <v>29731</v>
      </c>
      <c r="C7620">
        <v>0</v>
      </c>
      <c r="D7620">
        <v>1</v>
      </c>
      <c r="E7620">
        <v>4241</v>
      </c>
      <c r="F7620">
        <v>2712</v>
      </c>
      <c r="G7620">
        <f t="shared" si="119"/>
        <v>1577199650</v>
      </c>
    </row>
    <row r="7621" spans="1:7" x14ac:dyDescent="0.25">
      <c r="A7621">
        <v>1577199669</v>
      </c>
      <c r="B7621" t="s">
        <v>29732</v>
      </c>
      <c r="C7621">
        <v>1503</v>
      </c>
      <c r="D7621">
        <v>3</v>
      </c>
      <c r="E7621">
        <v>11359</v>
      </c>
      <c r="F7621">
        <v>1369</v>
      </c>
      <c r="G7621">
        <f t="shared" si="119"/>
        <v>1577199669</v>
      </c>
    </row>
    <row r="7622" spans="1:7" x14ac:dyDescent="0.25">
      <c r="A7622">
        <v>1577199672</v>
      </c>
      <c r="B7622" t="s">
        <v>29733</v>
      </c>
      <c r="C7622">
        <v>196</v>
      </c>
      <c r="D7622">
        <v>3</v>
      </c>
      <c r="E7622">
        <v>13075</v>
      </c>
      <c r="F7622">
        <v>1162</v>
      </c>
      <c r="G7622">
        <f t="shared" si="119"/>
        <v>1577199672</v>
      </c>
    </row>
    <row r="7623" spans="1:7" x14ac:dyDescent="0.25">
      <c r="A7623">
        <v>1577199673</v>
      </c>
      <c r="B7623" t="s">
        <v>29734</v>
      </c>
      <c r="C7623">
        <v>1107</v>
      </c>
      <c r="D7623">
        <v>1</v>
      </c>
      <c r="E7623">
        <v>428</v>
      </c>
      <c r="F7623">
        <v>4787</v>
      </c>
      <c r="G7623">
        <f t="shared" si="119"/>
        <v>1577199673</v>
      </c>
    </row>
    <row r="7624" spans="1:7" x14ac:dyDescent="0.25">
      <c r="A7624">
        <v>1577199690</v>
      </c>
      <c r="B7624" t="s">
        <v>36897</v>
      </c>
      <c r="C7624">
        <v>1363</v>
      </c>
      <c r="D7624">
        <v>1</v>
      </c>
      <c r="E7624">
        <v>5080</v>
      </c>
      <c r="F7624">
        <v>2496</v>
      </c>
      <c r="G7624">
        <f t="shared" si="119"/>
        <v>1577199690</v>
      </c>
    </row>
    <row r="7625" spans="1:7" x14ac:dyDescent="0.25">
      <c r="A7625">
        <v>1577199694</v>
      </c>
      <c r="B7625" t="s">
        <v>36898</v>
      </c>
      <c r="C7625">
        <v>0</v>
      </c>
      <c r="D7625">
        <v>1</v>
      </c>
      <c r="E7625">
        <v>241</v>
      </c>
      <c r="F7625">
        <v>5345</v>
      </c>
      <c r="G7625">
        <f t="shared" si="119"/>
        <v>1577199694</v>
      </c>
    </row>
    <row r="7626" spans="1:7" x14ac:dyDescent="0.25">
      <c r="A7626">
        <v>1577199695</v>
      </c>
      <c r="B7626" t="s">
        <v>29735</v>
      </c>
      <c r="C7626">
        <v>1788</v>
      </c>
      <c r="D7626">
        <v>1</v>
      </c>
      <c r="E7626">
        <v>249</v>
      </c>
      <c r="F7626">
        <v>5308</v>
      </c>
      <c r="G7626">
        <f t="shared" si="119"/>
        <v>1577199695</v>
      </c>
    </row>
    <row r="7627" spans="1:7" x14ac:dyDescent="0.25">
      <c r="A7627">
        <v>1577199722</v>
      </c>
      <c r="B7627" t="s">
        <v>29736</v>
      </c>
      <c r="C7627">
        <v>0</v>
      </c>
      <c r="D7627">
        <v>1</v>
      </c>
      <c r="E7627">
        <v>70</v>
      </c>
      <c r="F7627">
        <v>6068</v>
      </c>
      <c r="G7627">
        <f t="shared" si="119"/>
        <v>1577199722</v>
      </c>
    </row>
    <row r="7628" spans="1:7" x14ac:dyDescent="0.25">
      <c r="A7628">
        <v>1577199732</v>
      </c>
      <c r="B7628" t="s">
        <v>29737</v>
      </c>
      <c r="C7628">
        <v>0</v>
      </c>
      <c r="D7628">
        <v>1</v>
      </c>
      <c r="E7628">
        <v>382</v>
      </c>
      <c r="F7628">
        <v>4896</v>
      </c>
      <c r="G7628">
        <f t="shared" si="119"/>
        <v>1577199732</v>
      </c>
    </row>
    <row r="7629" spans="1:7" x14ac:dyDescent="0.25">
      <c r="A7629">
        <v>1577199733</v>
      </c>
      <c r="B7629" t="s">
        <v>29738</v>
      </c>
      <c r="C7629">
        <v>118</v>
      </c>
      <c r="D7629">
        <v>1</v>
      </c>
      <c r="E7629">
        <v>4359</v>
      </c>
      <c r="F7629">
        <v>2664</v>
      </c>
      <c r="G7629">
        <f t="shared" si="119"/>
        <v>1577199733</v>
      </c>
    </row>
    <row r="7630" spans="1:7" x14ac:dyDescent="0.25">
      <c r="A7630">
        <v>1577199735</v>
      </c>
      <c r="B7630" t="s">
        <v>29739</v>
      </c>
      <c r="C7630">
        <v>0</v>
      </c>
      <c r="D7630">
        <v>1</v>
      </c>
      <c r="E7630">
        <v>404</v>
      </c>
      <c r="F7630">
        <v>4840</v>
      </c>
      <c r="G7630">
        <f t="shared" si="119"/>
        <v>1577199735</v>
      </c>
    </row>
    <row r="7631" spans="1:7" x14ac:dyDescent="0.25">
      <c r="A7631">
        <v>1577199737</v>
      </c>
      <c r="B7631" t="s">
        <v>29740</v>
      </c>
      <c r="C7631">
        <v>0</v>
      </c>
      <c r="D7631">
        <v>1</v>
      </c>
      <c r="E7631">
        <v>1629</v>
      </c>
      <c r="F7631">
        <v>3531</v>
      </c>
      <c r="G7631">
        <f t="shared" si="119"/>
        <v>1577199737</v>
      </c>
    </row>
    <row r="7632" spans="1:7" x14ac:dyDescent="0.25">
      <c r="A7632">
        <v>1577199742</v>
      </c>
      <c r="B7632" t="s">
        <v>29741</v>
      </c>
      <c r="C7632">
        <v>1753</v>
      </c>
      <c r="D7632">
        <v>1</v>
      </c>
      <c r="E7632">
        <v>1661</v>
      </c>
      <c r="F7632">
        <v>3515</v>
      </c>
      <c r="G7632">
        <f t="shared" si="119"/>
        <v>1577199742</v>
      </c>
    </row>
    <row r="7633" spans="1:7" x14ac:dyDescent="0.25">
      <c r="A7633">
        <v>1577199756</v>
      </c>
      <c r="B7633" t="s">
        <v>2761</v>
      </c>
      <c r="C7633">
        <v>0</v>
      </c>
      <c r="D7633">
        <v>1</v>
      </c>
      <c r="E7633">
        <v>189</v>
      </c>
      <c r="F7633">
        <v>5546</v>
      </c>
      <c r="G7633">
        <f t="shared" si="119"/>
        <v>1577199756</v>
      </c>
    </row>
    <row r="7634" spans="1:7" x14ac:dyDescent="0.25">
      <c r="A7634">
        <v>1577199766</v>
      </c>
      <c r="B7634" t="s">
        <v>29742</v>
      </c>
      <c r="C7634">
        <v>0</v>
      </c>
      <c r="D7634">
        <v>1</v>
      </c>
      <c r="E7634">
        <v>315</v>
      </c>
      <c r="F7634">
        <v>5102</v>
      </c>
      <c r="G7634">
        <f t="shared" si="119"/>
        <v>1577199766</v>
      </c>
    </row>
    <row r="7635" spans="1:7" x14ac:dyDescent="0.25">
      <c r="A7635">
        <v>1577199768</v>
      </c>
      <c r="B7635" t="s">
        <v>29743</v>
      </c>
      <c r="C7635">
        <v>174</v>
      </c>
      <c r="D7635">
        <v>3</v>
      </c>
      <c r="E7635">
        <v>19741</v>
      </c>
      <c r="F7635">
        <v>638</v>
      </c>
      <c r="G7635">
        <f t="shared" si="119"/>
        <v>1577199768</v>
      </c>
    </row>
    <row r="7636" spans="1:7" x14ac:dyDescent="0.25">
      <c r="A7636">
        <v>1577199770</v>
      </c>
      <c r="B7636" t="s">
        <v>29744</v>
      </c>
      <c r="C7636">
        <v>0</v>
      </c>
      <c r="D7636">
        <v>0</v>
      </c>
      <c r="E7636">
        <v>0</v>
      </c>
      <c r="F7636">
        <v>8403</v>
      </c>
      <c r="G7636">
        <f t="shared" si="119"/>
        <v>1577199770</v>
      </c>
    </row>
    <row r="7637" spans="1:7" x14ac:dyDescent="0.25">
      <c r="A7637">
        <v>1577199779</v>
      </c>
      <c r="B7637" t="s">
        <v>29745</v>
      </c>
      <c r="C7637">
        <v>0</v>
      </c>
      <c r="D7637">
        <v>0</v>
      </c>
      <c r="E7637">
        <v>0</v>
      </c>
      <c r="F7637">
        <v>8404</v>
      </c>
      <c r="G7637">
        <f t="shared" si="119"/>
        <v>1577199779</v>
      </c>
    </row>
    <row r="7638" spans="1:7" x14ac:dyDescent="0.25">
      <c r="A7638">
        <v>1577199786</v>
      </c>
      <c r="B7638" t="s">
        <v>29746</v>
      </c>
      <c r="C7638">
        <v>1535</v>
      </c>
      <c r="D7638">
        <v>1</v>
      </c>
      <c r="E7638">
        <v>5175</v>
      </c>
      <c r="F7638">
        <v>2473</v>
      </c>
      <c r="G7638">
        <f t="shared" si="119"/>
        <v>1577199786</v>
      </c>
    </row>
    <row r="7639" spans="1:7" x14ac:dyDescent="0.25">
      <c r="A7639">
        <v>1577199789</v>
      </c>
      <c r="B7639" t="s">
        <v>29747</v>
      </c>
      <c r="C7639">
        <v>48</v>
      </c>
      <c r="D7639">
        <v>1</v>
      </c>
      <c r="E7639">
        <v>3563</v>
      </c>
      <c r="F7639">
        <v>2863</v>
      </c>
      <c r="G7639">
        <f t="shared" si="119"/>
        <v>1577199789</v>
      </c>
    </row>
    <row r="7640" spans="1:7" x14ac:dyDescent="0.25">
      <c r="A7640">
        <v>1577199793</v>
      </c>
      <c r="B7640" t="s">
        <v>29748</v>
      </c>
      <c r="C7640">
        <v>0</v>
      </c>
      <c r="D7640">
        <v>0</v>
      </c>
      <c r="E7640">
        <v>0</v>
      </c>
      <c r="F7640">
        <v>8405</v>
      </c>
      <c r="G7640">
        <f t="shared" si="119"/>
        <v>1577199793</v>
      </c>
    </row>
    <row r="7641" spans="1:7" x14ac:dyDescent="0.25">
      <c r="A7641">
        <v>1577199800</v>
      </c>
      <c r="B7641" t="s">
        <v>29749</v>
      </c>
      <c r="C7641">
        <v>1643</v>
      </c>
      <c r="D7641">
        <v>1</v>
      </c>
      <c r="E7641">
        <v>2192</v>
      </c>
      <c r="F7641">
        <v>3262</v>
      </c>
      <c r="G7641">
        <f t="shared" si="119"/>
        <v>1577199800</v>
      </c>
    </row>
    <row r="7642" spans="1:7" x14ac:dyDescent="0.25">
      <c r="A7642">
        <v>1577199823</v>
      </c>
      <c r="B7642" t="s">
        <v>29750</v>
      </c>
      <c r="C7642">
        <v>1413</v>
      </c>
      <c r="D7642">
        <v>1</v>
      </c>
      <c r="E7642">
        <v>4088</v>
      </c>
      <c r="F7642">
        <v>2751</v>
      </c>
      <c r="G7642">
        <f t="shared" si="119"/>
        <v>1577199823</v>
      </c>
    </row>
    <row r="7643" spans="1:7" x14ac:dyDescent="0.25">
      <c r="A7643">
        <v>1577199829</v>
      </c>
      <c r="B7643" t="s">
        <v>29751</v>
      </c>
      <c r="C7643">
        <v>274</v>
      </c>
      <c r="D7643">
        <v>3</v>
      </c>
      <c r="E7643">
        <v>13108</v>
      </c>
      <c r="F7643">
        <v>1182</v>
      </c>
      <c r="G7643">
        <f t="shared" si="119"/>
        <v>1577199829</v>
      </c>
    </row>
    <row r="7644" spans="1:7" x14ac:dyDescent="0.25">
      <c r="A7644">
        <v>1577199831</v>
      </c>
      <c r="B7644" t="s">
        <v>29752</v>
      </c>
      <c r="C7644">
        <v>151</v>
      </c>
      <c r="D7644">
        <v>1</v>
      </c>
      <c r="E7644">
        <v>501</v>
      </c>
      <c r="F7644">
        <v>4651</v>
      </c>
      <c r="G7644">
        <f t="shared" si="119"/>
        <v>1577199831</v>
      </c>
    </row>
    <row r="7645" spans="1:7" x14ac:dyDescent="0.25">
      <c r="A7645">
        <v>1577199832</v>
      </c>
      <c r="B7645" t="s">
        <v>29753</v>
      </c>
      <c r="C7645">
        <v>1228</v>
      </c>
      <c r="D7645">
        <v>1</v>
      </c>
      <c r="E7645">
        <v>26</v>
      </c>
      <c r="F7645">
        <v>6882</v>
      </c>
      <c r="G7645">
        <f t="shared" si="119"/>
        <v>1577199832</v>
      </c>
    </row>
    <row r="7646" spans="1:7" x14ac:dyDescent="0.25">
      <c r="A7646">
        <v>1577199847</v>
      </c>
      <c r="B7646" t="s">
        <v>29754</v>
      </c>
      <c r="C7646">
        <v>1363</v>
      </c>
      <c r="D7646">
        <v>1</v>
      </c>
      <c r="E7646">
        <v>2770</v>
      </c>
      <c r="F7646">
        <v>3049</v>
      </c>
      <c r="G7646">
        <f t="shared" si="119"/>
        <v>1577199847</v>
      </c>
    </row>
    <row r="7647" spans="1:7" x14ac:dyDescent="0.25">
      <c r="A7647">
        <v>1577199848</v>
      </c>
      <c r="B7647" t="s">
        <v>29755</v>
      </c>
      <c r="C7647">
        <v>0</v>
      </c>
      <c r="D7647">
        <v>0</v>
      </c>
      <c r="E7647">
        <v>0</v>
      </c>
      <c r="F7647">
        <v>8406</v>
      </c>
      <c r="G7647">
        <f t="shared" si="119"/>
        <v>1577199848</v>
      </c>
    </row>
    <row r="7648" spans="1:7" x14ac:dyDescent="0.25">
      <c r="A7648">
        <v>1577199850</v>
      </c>
      <c r="B7648" t="s">
        <v>29756</v>
      </c>
      <c r="C7648">
        <v>1373</v>
      </c>
      <c r="D7648">
        <v>1</v>
      </c>
      <c r="E7648">
        <v>4961</v>
      </c>
      <c r="F7648">
        <v>2547</v>
      </c>
      <c r="G7648">
        <f t="shared" si="119"/>
        <v>1577199850</v>
      </c>
    </row>
    <row r="7649" spans="1:7" x14ac:dyDescent="0.25">
      <c r="A7649">
        <v>1577199852</v>
      </c>
      <c r="B7649" t="s">
        <v>2218</v>
      </c>
      <c r="C7649">
        <v>1775</v>
      </c>
      <c r="D7649">
        <v>2</v>
      </c>
      <c r="E7649">
        <v>5617</v>
      </c>
      <c r="F7649">
        <v>2378</v>
      </c>
      <c r="G7649">
        <f t="shared" si="119"/>
        <v>1577199852</v>
      </c>
    </row>
    <row r="7650" spans="1:7" x14ac:dyDescent="0.25">
      <c r="A7650">
        <v>1577199868</v>
      </c>
      <c r="B7650" t="s">
        <v>29757</v>
      </c>
      <c r="C7650">
        <v>27</v>
      </c>
      <c r="D7650">
        <v>3</v>
      </c>
      <c r="E7650">
        <v>9487</v>
      </c>
      <c r="F7650">
        <v>1683</v>
      </c>
      <c r="G7650">
        <f t="shared" si="119"/>
        <v>1577199868</v>
      </c>
    </row>
    <row r="7651" spans="1:7" x14ac:dyDescent="0.25">
      <c r="A7651">
        <v>1577199878</v>
      </c>
      <c r="B7651" t="s">
        <v>29758</v>
      </c>
      <c r="C7651">
        <v>121</v>
      </c>
      <c r="D7651">
        <v>1</v>
      </c>
      <c r="E7651">
        <v>26</v>
      </c>
      <c r="F7651">
        <v>6883</v>
      </c>
      <c r="G7651">
        <f t="shared" si="119"/>
        <v>1577199878</v>
      </c>
    </row>
    <row r="7652" spans="1:7" x14ac:dyDescent="0.25">
      <c r="A7652">
        <v>1577199896</v>
      </c>
      <c r="B7652" t="s">
        <v>29759</v>
      </c>
      <c r="C7652">
        <v>0</v>
      </c>
      <c r="D7652">
        <v>1</v>
      </c>
      <c r="E7652">
        <v>26</v>
      </c>
      <c r="F7652">
        <v>6884</v>
      </c>
      <c r="G7652">
        <f t="shared" si="119"/>
        <v>1577199896</v>
      </c>
    </row>
    <row r="7653" spans="1:7" x14ac:dyDescent="0.25">
      <c r="A7653">
        <v>1577199899</v>
      </c>
      <c r="B7653" t="s">
        <v>29760</v>
      </c>
      <c r="C7653">
        <v>0</v>
      </c>
      <c r="D7653">
        <v>1</v>
      </c>
      <c r="E7653">
        <v>3200</v>
      </c>
      <c r="F7653">
        <v>2940</v>
      </c>
      <c r="G7653">
        <f t="shared" si="119"/>
        <v>1577199899</v>
      </c>
    </row>
    <row r="7654" spans="1:7" x14ac:dyDescent="0.25">
      <c r="A7654">
        <v>1577199900</v>
      </c>
      <c r="B7654" t="s">
        <v>29761</v>
      </c>
      <c r="C7654">
        <v>0</v>
      </c>
      <c r="D7654">
        <v>0</v>
      </c>
      <c r="E7654">
        <v>0</v>
      </c>
      <c r="F7654">
        <v>8407</v>
      </c>
      <c r="G7654">
        <f t="shared" si="119"/>
        <v>1577199900</v>
      </c>
    </row>
    <row r="7655" spans="1:7" x14ac:dyDescent="0.25">
      <c r="A7655">
        <v>1577199922</v>
      </c>
      <c r="B7655" t="s">
        <v>29762</v>
      </c>
      <c r="C7655">
        <v>0</v>
      </c>
      <c r="D7655">
        <v>0</v>
      </c>
      <c r="E7655">
        <v>0</v>
      </c>
      <c r="F7655">
        <v>8408</v>
      </c>
      <c r="G7655">
        <f t="shared" si="119"/>
        <v>1577199922</v>
      </c>
    </row>
    <row r="7656" spans="1:7" x14ac:dyDescent="0.25">
      <c r="A7656">
        <v>1577199924</v>
      </c>
      <c r="B7656" t="s">
        <v>29763</v>
      </c>
      <c r="C7656">
        <v>1201</v>
      </c>
      <c r="D7656">
        <v>0</v>
      </c>
      <c r="E7656">
        <v>0</v>
      </c>
      <c r="F7656">
        <v>8409</v>
      </c>
      <c r="G7656">
        <f t="shared" si="119"/>
        <v>1577199924</v>
      </c>
    </row>
    <row r="7657" spans="1:7" x14ac:dyDescent="0.25">
      <c r="A7657">
        <v>1577199929</v>
      </c>
      <c r="B7657" t="s">
        <v>29764</v>
      </c>
      <c r="C7657">
        <v>1363</v>
      </c>
      <c r="D7657">
        <v>2</v>
      </c>
      <c r="E7657">
        <v>7675</v>
      </c>
      <c r="F7657">
        <v>1949</v>
      </c>
      <c r="G7657">
        <f t="shared" si="119"/>
        <v>1577199929</v>
      </c>
    </row>
    <row r="7658" spans="1:7" x14ac:dyDescent="0.25">
      <c r="A7658">
        <v>1577199931</v>
      </c>
      <c r="B7658" t="s">
        <v>29765</v>
      </c>
      <c r="C7658">
        <v>0</v>
      </c>
      <c r="D7658">
        <v>1</v>
      </c>
      <c r="E7658">
        <v>26</v>
      </c>
      <c r="F7658">
        <v>6885</v>
      </c>
      <c r="G7658">
        <f t="shared" si="119"/>
        <v>1577199931</v>
      </c>
    </row>
    <row r="7659" spans="1:7" x14ac:dyDescent="0.25">
      <c r="A7659">
        <v>1577199934</v>
      </c>
      <c r="B7659" t="s">
        <v>29766</v>
      </c>
      <c r="C7659">
        <v>0</v>
      </c>
      <c r="D7659">
        <v>1</v>
      </c>
      <c r="E7659">
        <v>26</v>
      </c>
      <c r="F7659">
        <v>6886</v>
      </c>
      <c r="G7659">
        <f t="shared" si="119"/>
        <v>1577199934</v>
      </c>
    </row>
    <row r="7660" spans="1:7" x14ac:dyDescent="0.25">
      <c r="A7660">
        <v>1577199950</v>
      </c>
      <c r="B7660" t="s">
        <v>29767</v>
      </c>
      <c r="C7660">
        <v>186</v>
      </c>
      <c r="D7660">
        <v>1</v>
      </c>
      <c r="E7660">
        <v>1401</v>
      </c>
      <c r="F7660">
        <v>3658</v>
      </c>
      <c r="G7660">
        <f t="shared" si="119"/>
        <v>1577199950</v>
      </c>
    </row>
    <row r="7661" spans="1:7" x14ac:dyDescent="0.25">
      <c r="A7661">
        <v>1577199956</v>
      </c>
      <c r="B7661" t="s">
        <v>29768</v>
      </c>
      <c r="C7661">
        <v>0</v>
      </c>
      <c r="D7661">
        <v>0</v>
      </c>
      <c r="E7661">
        <v>0</v>
      </c>
      <c r="F7661">
        <v>8410</v>
      </c>
      <c r="G7661">
        <f t="shared" si="119"/>
        <v>1577199956</v>
      </c>
    </row>
    <row r="7662" spans="1:7" x14ac:dyDescent="0.25">
      <c r="A7662">
        <v>1577199965</v>
      </c>
      <c r="B7662" t="s">
        <v>29769</v>
      </c>
      <c r="C7662">
        <v>175</v>
      </c>
      <c r="D7662">
        <v>1</v>
      </c>
      <c r="E7662">
        <v>5438</v>
      </c>
      <c r="F7662">
        <v>2420</v>
      </c>
      <c r="G7662">
        <f t="shared" si="119"/>
        <v>1577199965</v>
      </c>
    </row>
    <row r="7663" spans="1:7" x14ac:dyDescent="0.25">
      <c r="A7663">
        <v>1577199966</v>
      </c>
      <c r="B7663" t="s">
        <v>29770</v>
      </c>
      <c r="C7663">
        <v>1163</v>
      </c>
      <c r="D7663">
        <v>0</v>
      </c>
      <c r="E7663">
        <v>0</v>
      </c>
      <c r="F7663">
        <v>8411</v>
      </c>
      <c r="G7663">
        <f t="shared" si="119"/>
        <v>1577199966</v>
      </c>
    </row>
    <row r="7664" spans="1:7" x14ac:dyDescent="0.25">
      <c r="A7664">
        <v>1577199976</v>
      </c>
      <c r="B7664" t="s">
        <v>36899</v>
      </c>
      <c r="C7664">
        <v>294</v>
      </c>
      <c r="D7664">
        <v>2</v>
      </c>
      <c r="E7664">
        <v>3174</v>
      </c>
      <c r="F7664">
        <v>2948</v>
      </c>
      <c r="G7664">
        <f t="shared" si="119"/>
        <v>1577199976</v>
      </c>
    </row>
    <row r="7665" spans="1:7" x14ac:dyDescent="0.25">
      <c r="A7665">
        <v>1577199977</v>
      </c>
      <c r="B7665" t="s">
        <v>29771</v>
      </c>
      <c r="C7665">
        <v>1213</v>
      </c>
      <c r="D7665">
        <v>2</v>
      </c>
      <c r="E7665">
        <v>5116</v>
      </c>
      <c r="F7665">
        <v>2488</v>
      </c>
      <c r="G7665">
        <f t="shared" si="119"/>
        <v>1577199977</v>
      </c>
    </row>
    <row r="7666" spans="1:7" x14ac:dyDescent="0.25">
      <c r="A7666">
        <v>1577199982</v>
      </c>
      <c r="B7666" t="s">
        <v>29772</v>
      </c>
      <c r="C7666">
        <v>0</v>
      </c>
      <c r="D7666">
        <v>1</v>
      </c>
      <c r="E7666">
        <v>26</v>
      </c>
      <c r="F7666">
        <v>6887</v>
      </c>
      <c r="G7666">
        <f t="shared" si="119"/>
        <v>1577199982</v>
      </c>
    </row>
    <row r="7667" spans="1:7" x14ac:dyDescent="0.25">
      <c r="A7667">
        <v>1577199989</v>
      </c>
      <c r="B7667" t="s">
        <v>37232</v>
      </c>
      <c r="C7667">
        <v>235</v>
      </c>
      <c r="D7667">
        <v>1</v>
      </c>
      <c r="E7667">
        <v>4430</v>
      </c>
      <c r="F7667">
        <v>2642</v>
      </c>
      <c r="G7667">
        <f t="shared" si="119"/>
        <v>1577199989</v>
      </c>
    </row>
    <row r="7668" spans="1:7" x14ac:dyDescent="0.25">
      <c r="A7668">
        <v>1577200018</v>
      </c>
      <c r="B7668" t="s">
        <v>36900</v>
      </c>
      <c r="C7668">
        <v>0</v>
      </c>
      <c r="D7668">
        <v>1</v>
      </c>
      <c r="E7668">
        <v>1101</v>
      </c>
      <c r="F7668">
        <v>3873</v>
      </c>
      <c r="G7668">
        <f t="shared" si="119"/>
        <v>1577200018</v>
      </c>
    </row>
    <row r="7669" spans="1:7" x14ac:dyDescent="0.25">
      <c r="A7669">
        <v>1577200030</v>
      </c>
      <c r="B7669" t="s">
        <v>29773</v>
      </c>
      <c r="C7669">
        <v>0</v>
      </c>
      <c r="D7669">
        <v>1</v>
      </c>
      <c r="E7669">
        <v>26</v>
      </c>
      <c r="F7669">
        <v>6888</v>
      </c>
      <c r="G7669">
        <f t="shared" si="119"/>
        <v>1577200030</v>
      </c>
    </row>
    <row r="7670" spans="1:7" x14ac:dyDescent="0.25">
      <c r="A7670">
        <v>1577200051</v>
      </c>
      <c r="B7670" t="s">
        <v>29774</v>
      </c>
      <c r="C7670">
        <v>10</v>
      </c>
      <c r="D7670">
        <v>0</v>
      </c>
      <c r="E7670">
        <v>0</v>
      </c>
      <c r="F7670">
        <v>3316</v>
      </c>
      <c r="G7670">
        <f t="shared" si="119"/>
        <v>1577200051</v>
      </c>
    </row>
    <row r="7671" spans="1:7" x14ac:dyDescent="0.25">
      <c r="A7671">
        <v>1577200081</v>
      </c>
      <c r="B7671" t="s">
        <v>29775</v>
      </c>
      <c r="C7671">
        <v>0</v>
      </c>
      <c r="D7671">
        <v>1</v>
      </c>
      <c r="E7671">
        <v>321</v>
      </c>
      <c r="F7671">
        <v>5066</v>
      </c>
      <c r="G7671">
        <f t="shared" si="119"/>
        <v>1577200081</v>
      </c>
    </row>
    <row r="7672" spans="1:7" x14ac:dyDescent="0.25">
      <c r="A7672">
        <v>1577200092</v>
      </c>
      <c r="B7672" t="s">
        <v>29776</v>
      </c>
      <c r="C7672">
        <v>1373</v>
      </c>
      <c r="D7672">
        <v>1</v>
      </c>
      <c r="E7672">
        <v>4114</v>
      </c>
      <c r="F7672">
        <v>2742</v>
      </c>
      <c r="G7672">
        <f t="shared" si="119"/>
        <v>1577200092</v>
      </c>
    </row>
    <row r="7673" spans="1:7" x14ac:dyDescent="0.25">
      <c r="A7673">
        <v>1577200096</v>
      </c>
      <c r="B7673" t="s">
        <v>36901</v>
      </c>
      <c r="C7673">
        <v>1575</v>
      </c>
      <c r="D7673">
        <v>1</v>
      </c>
      <c r="E7673">
        <v>574</v>
      </c>
      <c r="F7673">
        <v>4506</v>
      </c>
      <c r="G7673">
        <f t="shared" si="119"/>
        <v>1577200096</v>
      </c>
    </row>
    <row r="7674" spans="1:7" x14ac:dyDescent="0.25">
      <c r="A7674">
        <v>1577200099</v>
      </c>
      <c r="B7674">
        <v>1577200099</v>
      </c>
      <c r="C7674">
        <v>429</v>
      </c>
      <c r="D7674">
        <v>1</v>
      </c>
      <c r="E7674">
        <v>1648</v>
      </c>
      <c r="F7674">
        <v>3523</v>
      </c>
      <c r="G7674">
        <f t="shared" si="119"/>
        <v>1577200099</v>
      </c>
    </row>
    <row r="7675" spans="1:7" x14ac:dyDescent="0.25">
      <c r="A7675">
        <v>1577200122</v>
      </c>
      <c r="B7675" t="s">
        <v>29777</v>
      </c>
      <c r="C7675">
        <v>0</v>
      </c>
      <c r="D7675">
        <v>1</v>
      </c>
      <c r="E7675">
        <v>26</v>
      </c>
      <c r="F7675">
        <v>6889</v>
      </c>
      <c r="G7675">
        <f t="shared" si="119"/>
        <v>1577200122</v>
      </c>
    </row>
    <row r="7676" spans="1:7" x14ac:dyDescent="0.25">
      <c r="A7676">
        <v>1577200124</v>
      </c>
      <c r="B7676" t="s">
        <v>29778</v>
      </c>
      <c r="C7676">
        <v>0</v>
      </c>
      <c r="D7676">
        <v>1</v>
      </c>
      <c r="E7676">
        <v>1152</v>
      </c>
      <c r="F7676">
        <v>3826</v>
      </c>
      <c r="G7676">
        <f t="shared" si="119"/>
        <v>1577200124</v>
      </c>
    </row>
    <row r="7677" spans="1:7" x14ac:dyDescent="0.25">
      <c r="A7677">
        <v>1577200135</v>
      </c>
      <c r="B7677" t="s">
        <v>29779</v>
      </c>
      <c r="C7677">
        <v>1609</v>
      </c>
      <c r="D7677">
        <v>5</v>
      </c>
      <c r="E7677">
        <v>27867</v>
      </c>
      <c r="F7677">
        <v>300</v>
      </c>
      <c r="G7677">
        <f t="shared" si="119"/>
        <v>1577200135</v>
      </c>
    </row>
    <row r="7678" spans="1:7" x14ac:dyDescent="0.25">
      <c r="A7678">
        <v>1577200136</v>
      </c>
      <c r="B7678" t="s">
        <v>29780</v>
      </c>
      <c r="C7678">
        <v>0</v>
      </c>
      <c r="D7678">
        <v>1</v>
      </c>
      <c r="E7678">
        <v>34</v>
      </c>
      <c r="F7678">
        <v>6299</v>
      </c>
      <c r="G7678">
        <f t="shared" si="119"/>
        <v>1577200136</v>
      </c>
    </row>
    <row r="7679" spans="1:7" x14ac:dyDescent="0.25">
      <c r="A7679">
        <v>1577200153</v>
      </c>
      <c r="B7679" t="s">
        <v>36902</v>
      </c>
      <c r="C7679">
        <v>0</v>
      </c>
      <c r="D7679">
        <v>1</v>
      </c>
      <c r="E7679">
        <v>82</v>
      </c>
      <c r="F7679">
        <v>5959</v>
      </c>
      <c r="G7679">
        <f t="shared" si="119"/>
        <v>1577200153</v>
      </c>
    </row>
    <row r="7680" spans="1:7" x14ac:dyDescent="0.25">
      <c r="A7680">
        <v>1577200154</v>
      </c>
      <c r="B7680" t="s">
        <v>29781</v>
      </c>
      <c r="C7680">
        <v>1163</v>
      </c>
      <c r="D7680">
        <v>0</v>
      </c>
      <c r="E7680">
        <v>0</v>
      </c>
      <c r="F7680">
        <v>8412</v>
      </c>
      <c r="G7680">
        <f t="shared" si="119"/>
        <v>1577200154</v>
      </c>
    </row>
    <row r="7681" spans="1:7" x14ac:dyDescent="0.25">
      <c r="A7681">
        <v>1577200162</v>
      </c>
      <c r="B7681" t="s">
        <v>2254</v>
      </c>
      <c r="C7681">
        <v>1239</v>
      </c>
      <c r="D7681">
        <v>1</v>
      </c>
      <c r="E7681">
        <v>5373</v>
      </c>
      <c r="F7681">
        <v>2431</v>
      </c>
      <c r="G7681">
        <f t="shared" ref="G7681:G7744" si="120">A7681</f>
        <v>1577200162</v>
      </c>
    </row>
    <row r="7682" spans="1:7" x14ac:dyDescent="0.25">
      <c r="A7682">
        <v>1577200163</v>
      </c>
      <c r="B7682" t="s">
        <v>29782</v>
      </c>
      <c r="C7682">
        <v>1239</v>
      </c>
      <c r="D7682">
        <v>0</v>
      </c>
      <c r="E7682">
        <v>0</v>
      </c>
      <c r="F7682">
        <v>8413</v>
      </c>
      <c r="G7682">
        <f t="shared" si="120"/>
        <v>1577200163</v>
      </c>
    </row>
    <row r="7683" spans="1:7" x14ac:dyDescent="0.25">
      <c r="A7683">
        <v>1577200165</v>
      </c>
      <c r="B7683" t="s">
        <v>29783</v>
      </c>
      <c r="C7683">
        <v>0</v>
      </c>
      <c r="D7683">
        <v>1</v>
      </c>
      <c r="E7683">
        <v>175</v>
      </c>
      <c r="F7683">
        <v>5598</v>
      </c>
      <c r="G7683">
        <f t="shared" si="120"/>
        <v>1577200165</v>
      </c>
    </row>
    <row r="7684" spans="1:7" x14ac:dyDescent="0.25">
      <c r="A7684">
        <v>1577200167</v>
      </c>
      <c r="B7684" t="s">
        <v>29784</v>
      </c>
      <c r="C7684">
        <v>0</v>
      </c>
      <c r="D7684">
        <v>1</v>
      </c>
      <c r="E7684">
        <v>1722</v>
      </c>
      <c r="F7684">
        <v>3484</v>
      </c>
      <c r="G7684">
        <f t="shared" si="120"/>
        <v>1577200167</v>
      </c>
    </row>
    <row r="7685" spans="1:7" x14ac:dyDescent="0.25">
      <c r="A7685">
        <v>1577200170</v>
      </c>
      <c r="B7685" t="s">
        <v>29785</v>
      </c>
      <c r="C7685">
        <v>271</v>
      </c>
      <c r="D7685">
        <v>1</v>
      </c>
      <c r="E7685">
        <v>3771</v>
      </c>
      <c r="F7685">
        <v>2819</v>
      </c>
      <c r="G7685">
        <f t="shared" si="120"/>
        <v>1577200170</v>
      </c>
    </row>
    <row r="7686" spans="1:7" x14ac:dyDescent="0.25">
      <c r="A7686">
        <v>1577200176</v>
      </c>
      <c r="B7686" t="s">
        <v>29786</v>
      </c>
      <c r="C7686">
        <v>0</v>
      </c>
      <c r="D7686">
        <v>0</v>
      </c>
      <c r="E7686">
        <v>0</v>
      </c>
      <c r="F7686">
        <v>8414</v>
      </c>
      <c r="G7686">
        <f t="shared" si="120"/>
        <v>1577200176</v>
      </c>
    </row>
    <row r="7687" spans="1:7" x14ac:dyDescent="0.25">
      <c r="A7687">
        <v>1577200180</v>
      </c>
      <c r="B7687" t="s">
        <v>29787</v>
      </c>
      <c r="C7687">
        <v>1946</v>
      </c>
      <c r="D7687">
        <v>2</v>
      </c>
      <c r="E7687">
        <v>8869</v>
      </c>
      <c r="F7687">
        <v>1742</v>
      </c>
      <c r="G7687">
        <f t="shared" si="120"/>
        <v>1577200180</v>
      </c>
    </row>
    <row r="7688" spans="1:7" x14ac:dyDescent="0.25">
      <c r="A7688">
        <v>1577200193</v>
      </c>
      <c r="B7688" t="s">
        <v>29788</v>
      </c>
      <c r="C7688">
        <v>305</v>
      </c>
      <c r="D7688">
        <v>0</v>
      </c>
      <c r="E7688">
        <v>0</v>
      </c>
      <c r="F7688">
        <v>8415</v>
      </c>
      <c r="G7688">
        <f t="shared" si="120"/>
        <v>1577200193</v>
      </c>
    </row>
    <row r="7689" spans="1:7" x14ac:dyDescent="0.25">
      <c r="A7689">
        <v>1577200206</v>
      </c>
      <c r="B7689" t="s">
        <v>1766</v>
      </c>
      <c r="C7689">
        <v>278</v>
      </c>
      <c r="D7689">
        <v>1</v>
      </c>
      <c r="E7689">
        <v>3373</v>
      </c>
      <c r="F7689">
        <v>2909</v>
      </c>
      <c r="G7689">
        <f t="shared" si="120"/>
        <v>1577200206</v>
      </c>
    </row>
    <row r="7690" spans="1:7" x14ac:dyDescent="0.25">
      <c r="A7690">
        <v>1577200214</v>
      </c>
      <c r="B7690" t="s">
        <v>37200</v>
      </c>
      <c r="C7690">
        <v>124</v>
      </c>
      <c r="D7690">
        <v>2</v>
      </c>
      <c r="E7690">
        <v>11899</v>
      </c>
      <c r="F7690">
        <v>1293</v>
      </c>
      <c r="G7690">
        <f t="shared" si="120"/>
        <v>1577200214</v>
      </c>
    </row>
    <row r="7691" spans="1:7" x14ac:dyDescent="0.25">
      <c r="A7691">
        <v>1577200223</v>
      </c>
      <c r="B7691" t="s">
        <v>29789</v>
      </c>
      <c r="C7691">
        <v>0</v>
      </c>
      <c r="D7691">
        <v>1</v>
      </c>
      <c r="E7691">
        <v>73</v>
      </c>
      <c r="F7691">
        <v>6039</v>
      </c>
      <c r="G7691">
        <f t="shared" si="120"/>
        <v>1577200223</v>
      </c>
    </row>
    <row r="7692" spans="1:7" x14ac:dyDescent="0.25">
      <c r="A7692">
        <v>1577200226</v>
      </c>
      <c r="B7692" t="s">
        <v>29790</v>
      </c>
      <c r="C7692">
        <v>0</v>
      </c>
      <c r="D7692">
        <v>1</v>
      </c>
      <c r="E7692">
        <v>71</v>
      </c>
      <c r="F7692">
        <v>6061</v>
      </c>
      <c r="G7692">
        <f t="shared" si="120"/>
        <v>1577200226</v>
      </c>
    </row>
    <row r="7693" spans="1:7" x14ac:dyDescent="0.25">
      <c r="A7693">
        <v>1577200236</v>
      </c>
      <c r="B7693" t="s">
        <v>36903</v>
      </c>
      <c r="C7693">
        <v>0</v>
      </c>
      <c r="D7693">
        <v>0</v>
      </c>
      <c r="E7693">
        <v>0</v>
      </c>
      <c r="F7693">
        <v>8416</v>
      </c>
      <c r="G7693">
        <f t="shared" si="120"/>
        <v>1577200236</v>
      </c>
    </row>
    <row r="7694" spans="1:7" x14ac:dyDescent="0.25">
      <c r="A7694">
        <v>1577200239</v>
      </c>
      <c r="B7694" t="s">
        <v>29791</v>
      </c>
      <c r="C7694">
        <v>0</v>
      </c>
      <c r="D7694">
        <v>0</v>
      </c>
      <c r="E7694">
        <v>0</v>
      </c>
      <c r="F7694">
        <v>8417</v>
      </c>
      <c r="G7694">
        <f t="shared" si="120"/>
        <v>1577200239</v>
      </c>
    </row>
    <row r="7695" spans="1:7" x14ac:dyDescent="0.25">
      <c r="A7695">
        <v>1577200259</v>
      </c>
      <c r="B7695" t="s">
        <v>29792</v>
      </c>
      <c r="C7695">
        <v>1503</v>
      </c>
      <c r="D7695">
        <v>1</v>
      </c>
      <c r="E7695">
        <v>4337</v>
      </c>
      <c r="F7695">
        <v>2670</v>
      </c>
      <c r="G7695">
        <f t="shared" si="120"/>
        <v>1577200259</v>
      </c>
    </row>
    <row r="7696" spans="1:7" x14ac:dyDescent="0.25">
      <c r="A7696">
        <v>1577200265</v>
      </c>
      <c r="B7696" t="s">
        <v>29793</v>
      </c>
      <c r="C7696">
        <v>1340</v>
      </c>
      <c r="D7696">
        <v>1</v>
      </c>
      <c r="E7696">
        <v>6728</v>
      </c>
      <c r="F7696">
        <v>2114</v>
      </c>
      <c r="G7696">
        <f t="shared" si="120"/>
        <v>1577200265</v>
      </c>
    </row>
    <row r="7697" spans="1:7" x14ac:dyDescent="0.25">
      <c r="A7697">
        <v>1577200279</v>
      </c>
      <c r="B7697" t="s">
        <v>29794</v>
      </c>
      <c r="C7697">
        <v>1547</v>
      </c>
      <c r="D7697">
        <v>1</v>
      </c>
      <c r="E7697">
        <v>1921</v>
      </c>
      <c r="F7697">
        <v>3385</v>
      </c>
      <c r="G7697">
        <f t="shared" si="120"/>
        <v>1577200279</v>
      </c>
    </row>
    <row r="7698" spans="1:7" x14ac:dyDescent="0.25">
      <c r="A7698">
        <v>1577200289</v>
      </c>
      <c r="B7698" t="s">
        <v>29795</v>
      </c>
      <c r="C7698">
        <v>924</v>
      </c>
      <c r="D7698">
        <v>0</v>
      </c>
      <c r="E7698">
        <v>0</v>
      </c>
      <c r="F7698">
        <v>8418</v>
      </c>
      <c r="G7698">
        <f t="shared" si="120"/>
        <v>1577200289</v>
      </c>
    </row>
    <row r="7699" spans="1:7" x14ac:dyDescent="0.25">
      <c r="A7699">
        <v>1577200292</v>
      </c>
      <c r="B7699" t="s">
        <v>29796</v>
      </c>
      <c r="C7699">
        <v>190</v>
      </c>
      <c r="D7699">
        <v>1</v>
      </c>
      <c r="E7699">
        <v>2599</v>
      </c>
      <c r="F7699">
        <v>3101</v>
      </c>
      <c r="G7699">
        <f t="shared" si="120"/>
        <v>1577200292</v>
      </c>
    </row>
    <row r="7700" spans="1:7" x14ac:dyDescent="0.25">
      <c r="A7700">
        <v>1577200305</v>
      </c>
      <c r="B7700" t="s">
        <v>36904</v>
      </c>
      <c r="C7700">
        <v>1743</v>
      </c>
      <c r="D7700">
        <v>1</v>
      </c>
      <c r="E7700">
        <v>3162</v>
      </c>
      <c r="F7700">
        <v>2954</v>
      </c>
      <c r="G7700">
        <f t="shared" si="120"/>
        <v>1577200305</v>
      </c>
    </row>
    <row r="7701" spans="1:7" x14ac:dyDescent="0.25">
      <c r="A7701">
        <v>1577200315</v>
      </c>
      <c r="B7701" t="s">
        <v>29797</v>
      </c>
      <c r="C7701">
        <v>1324</v>
      </c>
      <c r="D7701">
        <v>1</v>
      </c>
      <c r="E7701">
        <v>201</v>
      </c>
      <c r="F7701">
        <v>5497</v>
      </c>
      <c r="G7701">
        <f t="shared" si="120"/>
        <v>1577200315</v>
      </c>
    </row>
    <row r="7702" spans="1:7" x14ac:dyDescent="0.25">
      <c r="A7702">
        <v>1577200331</v>
      </c>
      <c r="B7702" t="s">
        <v>29798</v>
      </c>
      <c r="C7702">
        <v>1535</v>
      </c>
      <c r="D7702">
        <v>1</v>
      </c>
      <c r="E7702">
        <v>6151</v>
      </c>
      <c r="F7702">
        <v>2244</v>
      </c>
      <c r="G7702">
        <f t="shared" si="120"/>
        <v>1577200331</v>
      </c>
    </row>
    <row r="7703" spans="1:7" x14ac:dyDescent="0.25">
      <c r="A7703">
        <v>1577200334</v>
      </c>
      <c r="B7703" t="s">
        <v>29799</v>
      </c>
      <c r="C7703">
        <v>150</v>
      </c>
      <c r="D7703">
        <v>0</v>
      </c>
      <c r="E7703">
        <v>0</v>
      </c>
      <c r="F7703">
        <v>8419</v>
      </c>
      <c r="G7703">
        <f t="shared" si="120"/>
        <v>1577200334</v>
      </c>
    </row>
    <row r="7704" spans="1:7" x14ac:dyDescent="0.25">
      <c r="A7704">
        <v>1577200335</v>
      </c>
      <c r="B7704" t="s">
        <v>29800</v>
      </c>
      <c r="C7704">
        <v>1362</v>
      </c>
      <c r="D7704">
        <v>1</v>
      </c>
      <c r="E7704">
        <v>200</v>
      </c>
      <c r="F7704">
        <v>5500</v>
      </c>
      <c r="G7704">
        <f t="shared" si="120"/>
        <v>1577200335</v>
      </c>
    </row>
    <row r="7705" spans="1:7" x14ac:dyDescent="0.25">
      <c r="A7705">
        <v>1577200337</v>
      </c>
      <c r="B7705" t="s">
        <v>29801</v>
      </c>
      <c r="C7705">
        <v>0</v>
      </c>
      <c r="D7705">
        <v>1</v>
      </c>
      <c r="E7705">
        <v>101</v>
      </c>
      <c r="F7705">
        <v>5849</v>
      </c>
      <c r="G7705">
        <f t="shared" si="120"/>
        <v>1577200337</v>
      </c>
    </row>
    <row r="7706" spans="1:7" x14ac:dyDescent="0.25">
      <c r="A7706">
        <v>1577200341</v>
      </c>
      <c r="B7706" t="s">
        <v>37084</v>
      </c>
      <c r="C7706">
        <v>0</v>
      </c>
      <c r="D7706">
        <v>1</v>
      </c>
      <c r="E7706">
        <v>385</v>
      </c>
      <c r="F7706">
        <v>4886</v>
      </c>
      <c r="G7706">
        <f t="shared" si="120"/>
        <v>1577200341</v>
      </c>
    </row>
    <row r="7707" spans="1:7" x14ac:dyDescent="0.25">
      <c r="A7707">
        <v>1577200351</v>
      </c>
      <c r="B7707" t="s">
        <v>29802</v>
      </c>
      <c r="C7707">
        <v>0</v>
      </c>
      <c r="D7707">
        <v>0</v>
      </c>
      <c r="E7707">
        <v>0</v>
      </c>
      <c r="F7707">
        <v>8420</v>
      </c>
      <c r="G7707">
        <f t="shared" si="120"/>
        <v>1577200351</v>
      </c>
    </row>
    <row r="7708" spans="1:7" x14ac:dyDescent="0.25">
      <c r="A7708">
        <v>1577200352</v>
      </c>
      <c r="B7708" t="s">
        <v>29803</v>
      </c>
      <c r="C7708">
        <v>1582</v>
      </c>
      <c r="D7708">
        <v>0</v>
      </c>
      <c r="E7708">
        <v>0</v>
      </c>
      <c r="F7708">
        <v>8421</v>
      </c>
      <c r="G7708">
        <f t="shared" si="120"/>
        <v>1577200352</v>
      </c>
    </row>
    <row r="7709" spans="1:7" x14ac:dyDescent="0.25">
      <c r="A7709">
        <v>1577200408</v>
      </c>
      <c r="B7709" t="s">
        <v>29804</v>
      </c>
      <c r="C7709">
        <v>124</v>
      </c>
      <c r="D7709">
        <v>2</v>
      </c>
      <c r="E7709">
        <v>11255</v>
      </c>
      <c r="F7709">
        <v>1374</v>
      </c>
      <c r="G7709">
        <f t="shared" si="120"/>
        <v>1577200408</v>
      </c>
    </row>
    <row r="7710" spans="1:7" x14ac:dyDescent="0.25">
      <c r="A7710">
        <v>1577200418</v>
      </c>
      <c r="B7710" t="s">
        <v>29805</v>
      </c>
      <c r="C7710">
        <v>62</v>
      </c>
      <c r="D7710">
        <v>1</v>
      </c>
      <c r="E7710">
        <v>873</v>
      </c>
      <c r="F7710">
        <v>4116</v>
      </c>
      <c r="G7710">
        <f t="shared" si="120"/>
        <v>1577200418</v>
      </c>
    </row>
    <row r="7711" spans="1:7" x14ac:dyDescent="0.25">
      <c r="A7711">
        <v>1577200424</v>
      </c>
      <c r="B7711" t="s">
        <v>29806</v>
      </c>
      <c r="C7711">
        <v>0</v>
      </c>
      <c r="D7711">
        <v>0</v>
      </c>
      <c r="E7711">
        <v>0</v>
      </c>
      <c r="F7711">
        <v>8422</v>
      </c>
      <c r="G7711">
        <f t="shared" si="120"/>
        <v>1577200424</v>
      </c>
    </row>
    <row r="7712" spans="1:7" x14ac:dyDescent="0.25">
      <c r="A7712">
        <v>1577200429</v>
      </c>
      <c r="B7712" t="s">
        <v>36905</v>
      </c>
      <c r="C7712">
        <v>0</v>
      </c>
      <c r="D7712">
        <v>0</v>
      </c>
      <c r="E7712">
        <v>0</v>
      </c>
      <c r="F7712">
        <v>8423</v>
      </c>
      <c r="G7712">
        <f t="shared" si="120"/>
        <v>1577200429</v>
      </c>
    </row>
    <row r="7713" spans="1:7" x14ac:dyDescent="0.25">
      <c r="A7713">
        <v>1577200430</v>
      </c>
      <c r="B7713" t="s">
        <v>29807</v>
      </c>
      <c r="C7713">
        <v>1535</v>
      </c>
      <c r="D7713">
        <v>1</v>
      </c>
      <c r="E7713">
        <v>4774</v>
      </c>
      <c r="F7713">
        <v>2560</v>
      </c>
      <c r="G7713">
        <f t="shared" si="120"/>
        <v>1577200430</v>
      </c>
    </row>
    <row r="7714" spans="1:7" x14ac:dyDescent="0.25">
      <c r="A7714">
        <v>1577200435</v>
      </c>
      <c r="B7714" t="s">
        <v>29808</v>
      </c>
      <c r="C7714">
        <v>0</v>
      </c>
      <c r="D7714">
        <v>1</v>
      </c>
      <c r="E7714">
        <v>137</v>
      </c>
      <c r="F7714">
        <v>5742</v>
      </c>
      <c r="G7714">
        <f t="shared" si="120"/>
        <v>1577200435</v>
      </c>
    </row>
    <row r="7715" spans="1:7" x14ac:dyDescent="0.25">
      <c r="A7715">
        <v>1577200442</v>
      </c>
      <c r="B7715" t="s">
        <v>29809</v>
      </c>
      <c r="C7715">
        <v>429</v>
      </c>
      <c r="D7715">
        <v>1</v>
      </c>
      <c r="E7715">
        <v>3881</v>
      </c>
      <c r="F7715">
        <v>2803</v>
      </c>
      <c r="G7715">
        <f t="shared" si="120"/>
        <v>1577200442</v>
      </c>
    </row>
    <row r="7716" spans="1:7" x14ac:dyDescent="0.25">
      <c r="A7716">
        <v>1577200500</v>
      </c>
      <c r="B7716" t="s">
        <v>29810</v>
      </c>
      <c r="C7716">
        <v>1745</v>
      </c>
      <c r="D7716">
        <v>1</v>
      </c>
      <c r="E7716">
        <v>3708</v>
      </c>
      <c r="F7716">
        <v>2830</v>
      </c>
      <c r="G7716">
        <f t="shared" si="120"/>
        <v>1577200500</v>
      </c>
    </row>
    <row r="7717" spans="1:7" x14ac:dyDescent="0.25">
      <c r="A7717">
        <v>1577200530</v>
      </c>
      <c r="B7717" t="s">
        <v>29811</v>
      </c>
      <c r="C7717">
        <v>0</v>
      </c>
      <c r="D7717">
        <v>1</v>
      </c>
      <c r="E7717">
        <v>383</v>
      </c>
      <c r="F7717">
        <v>4893</v>
      </c>
      <c r="G7717">
        <f t="shared" si="120"/>
        <v>1577200530</v>
      </c>
    </row>
    <row r="7718" spans="1:7" x14ac:dyDescent="0.25">
      <c r="A7718">
        <v>1577200568</v>
      </c>
      <c r="B7718" t="s">
        <v>29812</v>
      </c>
      <c r="C7718">
        <v>0</v>
      </c>
      <c r="D7718">
        <v>0</v>
      </c>
      <c r="E7718">
        <v>0</v>
      </c>
      <c r="F7718">
        <v>8424</v>
      </c>
      <c r="G7718">
        <f t="shared" si="120"/>
        <v>1577200568</v>
      </c>
    </row>
    <row r="7719" spans="1:7" x14ac:dyDescent="0.25">
      <c r="A7719">
        <v>1577200577</v>
      </c>
      <c r="B7719" t="s">
        <v>29813</v>
      </c>
      <c r="C7719">
        <v>0</v>
      </c>
      <c r="D7719">
        <v>0</v>
      </c>
      <c r="E7719">
        <v>0</v>
      </c>
      <c r="F7719">
        <v>8425</v>
      </c>
      <c r="G7719">
        <f t="shared" si="120"/>
        <v>1577200577</v>
      </c>
    </row>
    <row r="7720" spans="1:7" x14ac:dyDescent="0.25">
      <c r="A7720">
        <v>1577200578</v>
      </c>
      <c r="B7720" t="s">
        <v>29814</v>
      </c>
      <c r="C7720">
        <v>1239</v>
      </c>
      <c r="D7720">
        <v>0</v>
      </c>
      <c r="E7720">
        <v>0</v>
      </c>
      <c r="F7720">
        <v>8426</v>
      </c>
      <c r="G7720">
        <f t="shared" si="120"/>
        <v>1577200578</v>
      </c>
    </row>
    <row r="7721" spans="1:7" x14ac:dyDescent="0.25">
      <c r="A7721">
        <v>1577200586</v>
      </c>
      <c r="B7721" t="s">
        <v>36906</v>
      </c>
      <c r="C7721">
        <v>1207</v>
      </c>
      <c r="D7721">
        <v>1</v>
      </c>
      <c r="E7721">
        <v>526</v>
      </c>
      <c r="F7721">
        <v>4587</v>
      </c>
      <c r="G7721">
        <f t="shared" si="120"/>
        <v>1577200586</v>
      </c>
    </row>
    <row r="7722" spans="1:7" x14ac:dyDescent="0.25">
      <c r="A7722">
        <v>1577200589</v>
      </c>
      <c r="B7722" t="s">
        <v>29815</v>
      </c>
      <c r="C7722">
        <v>1239</v>
      </c>
      <c r="D7722">
        <v>1</v>
      </c>
      <c r="E7722">
        <v>1050</v>
      </c>
      <c r="F7722">
        <v>3979</v>
      </c>
      <c r="G7722">
        <f t="shared" si="120"/>
        <v>1577200589</v>
      </c>
    </row>
    <row r="7723" spans="1:7" x14ac:dyDescent="0.25">
      <c r="A7723">
        <v>1577200617</v>
      </c>
      <c r="B7723" t="s">
        <v>36907</v>
      </c>
      <c r="C7723">
        <v>1119</v>
      </c>
      <c r="D7723">
        <v>0</v>
      </c>
      <c r="E7723">
        <v>0</v>
      </c>
      <c r="F7723">
        <v>8427</v>
      </c>
      <c r="G7723">
        <f t="shared" si="120"/>
        <v>1577200617</v>
      </c>
    </row>
    <row r="7724" spans="1:7" x14ac:dyDescent="0.25">
      <c r="A7724">
        <v>1577200647</v>
      </c>
      <c r="B7724" t="s">
        <v>29816</v>
      </c>
      <c r="C7724">
        <v>0</v>
      </c>
      <c r="D7724">
        <v>0</v>
      </c>
      <c r="E7724">
        <v>0</v>
      </c>
      <c r="F7724">
        <v>8428</v>
      </c>
      <c r="G7724">
        <f t="shared" si="120"/>
        <v>1577200647</v>
      </c>
    </row>
    <row r="7725" spans="1:7" x14ac:dyDescent="0.25">
      <c r="A7725">
        <v>1577200652</v>
      </c>
      <c r="B7725" t="s">
        <v>29817</v>
      </c>
      <c r="C7725">
        <v>1017</v>
      </c>
      <c r="D7725">
        <v>1</v>
      </c>
      <c r="E7725">
        <v>398</v>
      </c>
      <c r="F7725">
        <v>4852</v>
      </c>
      <c r="G7725">
        <f t="shared" si="120"/>
        <v>1577200652</v>
      </c>
    </row>
    <row r="7726" spans="1:7" x14ac:dyDescent="0.25">
      <c r="A7726">
        <v>1577200653</v>
      </c>
      <c r="B7726" t="s">
        <v>36908</v>
      </c>
      <c r="C7726">
        <v>0</v>
      </c>
      <c r="D7726">
        <v>1</v>
      </c>
      <c r="E7726">
        <v>61</v>
      </c>
      <c r="F7726">
        <v>6102</v>
      </c>
      <c r="G7726">
        <f t="shared" si="120"/>
        <v>1577200653</v>
      </c>
    </row>
    <row r="7727" spans="1:7" x14ac:dyDescent="0.25">
      <c r="A7727">
        <v>1577200697</v>
      </c>
      <c r="B7727" t="s">
        <v>29818</v>
      </c>
      <c r="C7727">
        <v>124</v>
      </c>
      <c r="D7727">
        <v>2</v>
      </c>
      <c r="E7727">
        <v>9388</v>
      </c>
      <c r="F7727">
        <v>1655</v>
      </c>
      <c r="G7727">
        <f t="shared" si="120"/>
        <v>1577200697</v>
      </c>
    </row>
    <row r="7728" spans="1:7" x14ac:dyDescent="0.25">
      <c r="A7728">
        <v>1577200702</v>
      </c>
      <c r="B7728" t="s">
        <v>29819</v>
      </c>
      <c r="C7728">
        <v>0</v>
      </c>
      <c r="D7728">
        <v>0</v>
      </c>
      <c r="E7728">
        <v>0</v>
      </c>
      <c r="F7728">
        <v>8429</v>
      </c>
      <c r="G7728">
        <f t="shared" si="120"/>
        <v>1577200702</v>
      </c>
    </row>
    <row r="7729" spans="1:7" x14ac:dyDescent="0.25">
      <c r="A7729">
        <v>1577200732</v>
      </c>
      <c r="B7729" t="s">
        <v>29820</v>
      </c>
      <c r="C7729">
        <v>1363</v>
      </c>
      <c r="D7729">
        <v>2</v>
      </c>
      <c r="E7729">
        <v>6704</v>
      </c>
      <c r="F7729">
        <v>2115</v>
      </c>
      <c r="G7729">
        <f t="shared" si="120"/>
        <v>1577200732</v>
      </c>
    </row>
    <row r="7730" spans="1:7" x14ac:dyDescent="0.25">
      <c r="A7730">
        <v>1577200734</v>
      </c>
      <c r="B7730" t="s">
        <v>29821</v>
      </c>
      <c r="C7730">
        <v>0</v>
      </c>
      <c r="D7730">
        <v>1</v>
      </c>
      <c r="E7730">
        <v>38</v>
      </c>
      <c r="F7730">
        <v>6290</v>
      </c>
      <c r="G7730">
        <f t="shared" si="120"/>
        <v>1577200734</v>
      </c>
    </row>
    <row r="7731" spans="1:7" x14ac:dyDescent="0.25">
      <c r="A7731">
        <v>1577200736</v>
      </c>
      <c r="B7731" t="s">
        <v>29822</v>
      </c>
      <c r="C7731">
        <v>0</v>
      </c>
      <c r="D7731">
        <v>0</v>
      </c>
      <c r="E7731">
        <v>0</v>
      </c>
      <c r="F7731">
        <v>8430</v>
      </c>
      <c r="G7731">
        <f t="shared" si="120"/>
        <v>1577200736</v>
      </c>
    </row>
    <row r="7732" spans="1:7" x14ac:dyDescent="0.25">
      <c r="A7732">
        <v>1577200737</v>
      </c>
      <c r="B7732" t="s">
        <v>29823</v>
      </c>
      <c r="C7732">
        <v>1314</v>
      </c>
      <c r="D7732">
        <v>1</v>
      </c>
      <c r="E7732">
        <v>1836</v>
      </c>
      <c r="F7732">
        <v>3427</v>
      </c>
      <c r="G7732">
        <f t="shared" si="120"/>
        <v>1577200737</v>
      </c>
    </row>
    <row r="7733" spans="1:7" x14ac:dyDescent="0.25">
      <c r="A7733">
        <v>1577200738</v>
      </c>
      <c r="B7733" t="s">
        <v>29824</v>
      </c>
      <c r="C7733">
        <v>1314</v>
      </c>
      <c r="D7733">
        <v>1</v>
      </c>
      <c r="E7733">
        <v>2054</v>
      </c>
      <c r="F7733">
        <v>3319</v>
      </c>
      <c r="G7733">
        <f t="shared" si="120"/>
        <v>1577200738</v>
      </c>
    </row>
    <row r="7734" spans="1:7" x14ac:dyDescent="0.25">
      <c r="A7734">
        <v>1577200749</v>
      </c>
      <c r="B7734" t="s">
        <v>29825</v>
      </c>
      <c r="C7734">
        <v>1991</v>
      </c>
      <c r="D7734">
        <v>1</v>
      </c>
      <c r="E7734">
        <v>1809</v>
      </c>
      <c r="F7734">
        <v>3440</v>
      </c>
      <c r="G7734">
        <f t="shared" si="120"/>
        <v>1577200749</v>
      </c>
    </row>
    <row r="7735" spans="1:7" x14ac:dyDescent="0.25">
      <c r="A7735">
        <v>1577200750</v>
      </c>
      <c r="B7735" t="s">
        <v>29826</v>
      </c>
      <c r="C7735">
        <v>1535</v>
      </c>
      <c r="D7735">
        <v>1</v>
      </c>
      <c r="E7735">
        <v>3721</v>
      </c>
      <c r="F7735">
        <v>2826</v>
      </c>
      <c r="G7735">
        <f t="shared" si="120"/>
        <v>1577200750</v>
      </c>
    </row>
    <row r="7736" spans="1:7" x14ac:dyDescent="0.25">
      <c r="A7736">
        <v>1577200754</v>
      </c>
      <c r="B7736" t="s">
        <v>29827</v>
      </c>
      <c r="C7736">
        <v>0</v>
      </c>
      <c r="D7736">
        <v>1</v>
      </c>
      <c r="E7736">
        <v>186</v>
      </c>
      <c r="F7736">
        <v>5525</v>
      </c>
      <c r="G7736">
        <f t="shared" si="120"/>
        <v>1577200754</v>
      </c>
    </row>
    <row r="7737" spans="1:7" x14ac:dyDescent="0.25">
      <c r="A7737">
        <v>1577200757</v>
      </c>
      <c r="B7737" t="s">
        <v>29828</v>
      </c>
      <c r="C7737">
        <v>0</v>
      </c>
      <c r="D7737">
        <v>0</v>
      </c>
      <c r="E7737">
        <v>0</v>
      </c>
      <c r="F7737">
        <v>8431</v>
      </c>
      <c r="G7737">
        <f t="shared" si="120"/>
        <v>1577200757</v>
      </c>
    </row>
    <row r="7738" spans="1:7" x14ac:dyDescent="0.25">
      <c r="A7738">
        <v>1577200763</v>
      </c>
      <c r="B7738" t="s">
        <v>29829</v>
      </c>
      <c r="C7738">
        <v>1622</v>
      </c>
      <c r="D7738">
        <v>1</v>
      </c>
      <c r="E7738">
        <v>1317</v>
      </c>
      <c r="F7738">
        <v>3714</v>
      </c>
      <c r="G7738">
        <f t="shared" si="120"/>
        <v>1577200763</v>
      </c>
    </row>
    <row r="7739" spans="1:7" x14ac:dyDescent="0.25">
      <c r="A7739">
        <v>1577200778</v>
      </c>
      <c r="B7739" t="s">
        <v>29830</v>
      </c>
      <c r="C7739">
        <v>1373</v>
      </c>
      <c r="D7739">
        <v>2</v>
      </c>
      <c r="E7739">
        <v>7413</v>
      </c>
      <c r="F7739">
        <v>1991</v>
      </c>
      <c r="G7739">
        <f t="shared" si="120"/>
        <v>1577200778</v>
      </c>
    </row>
    <row r="7740" spans="1:7" x14ac:dyDescent="0.25">
      <c r="A7740">
        <v>1577200801</v>
      </c>
      <c r="B7740" t="s">
        <v>29831</v>
      </c>
      <c r="C7740">
        <v>1373</v>
      </c>
      <c r="D7740">
        <v>3</v>
      </c>
      <c r="E7740">
        <v>10642</v>
      </c>
      <c r="F7740">
        <v>1475</v>
      </c>
      <c r="G7740">
        <f t="shared" si="120"/>
        <v>1577200801</v>
      </c>
    </row>
    <row r="7741" spans="1:7" x14ac:dyDescent="0.25">
      <c r="A7741">
        <v>1577200823</v>
      </c>
      <c r="B7741" t="s">
        <v>29832</v>
      </c>
      <c r="C7741">
        <v>1188</v>
      </c>
      <c r="D7741">
        <v>1</v>
      </c>
      <c r="E7741">
        <v>32</v>
      </c>
      <c r="F7741">
        <v>6315</v>
      </c>
      <c r="G7741">
        <f t="shared" si="120"/>
        <v>1577200823</v>
      </c>
    </row>
    <row r="7742" spans="1:7" x14ac:dyDescent="0.25">
      <c r="A7742">
        <v>1577200832</v>
      </c>
      <c r="B7742" t="s">
        <v>37085</v>
      </c>
      <c r="C7742">
        <v>0</v>
      </c>
      <c r="D7742">
        <v>0</v>
      </c>
      <c r="E7742">
        <v>0</v>
      </c>
      <c r="F7742">
        <v>8432</v>
      </c>
      <c r="G7742">
        <f t="shared" si="120"/>
        <v>1577200832</v>
      </c>
    </row>
    <row r="7743" spans="1:7" x14ac:dyDescent="0.25">
      <c r="A7743">
        <v>1577200861</v>
      </c>
      <c r="B7743" t="s">
        <v>29833</v>
      </c>
      <c r="C7743">
        <v>1605</v>
      </c>
      <c r="D7743">
        <v>1</v>
      </c>
      <c r="E7743">
        <v>26</v>
      </c>
      <c r="F7743">
        <v>6890</v>
      </c>
      <c r="G7743">
        <f t="shared" si="120"/>
        <v>1577200861</v>
      </c>
    </row>
    <row r="7744" spans="1:7" x14ac:dyDescent="0.25">
      <c r="A7744">
        <v>1577200870</v>
      </c>
      <c r="B7744" t="s">
        <v>37233</v>
      </c>
      <c r="C7744">
        <v>0</v>
      </c>
      <c r="D7744">
        <v>1</v>
      </c>
      <c r="E7744">
        <v>124</v>
      </c>
      <c r="F7744">
        <v>5777</v>
      </c>
      <c r="G7744">
        <f t="shared" si="120"/>
        <v>1577200870</v>
      </c>
    </row>
    <row r="7745" spans="1:7" x14ac:dyDescent="0.25">
      <c r="A7745">
        <v>1577200888</v>
      </c>
      <c r="B7745" t="s">
        <v>29834</v>
      </c>
      <c r="C7745">
        <v>0</v>
      </c>
      <c r="D7745">
        <v>1</v>
      </c>
      <c r="E7745">
        <v>2459</v>
      </c>
      <c r="F7745">
        <v>3153</v>
      </c>
      <c r="G7745">
        <f t="shared" ref="G7745:G7808" si="121">A7745</f>
        <v>1577200888</v>
      </c>
    </row>
    <row r="7746" spans="1:7" x14ac:dyDescent="0.25">
      <c r="A7746">
        <v>1577200902</v>
      </c>
      <c r="B7746" t="s">
        <v>36909</v>
      </c>
      <c r="C7746">
        <v>1363</v>
      </c>
      <c r="D7746">
        <v>1</v>
      </c>
      <c r="E7746">
        <v>1828</v>
      </c>
      <c r="F7746">
        <v>3433</v>
      </c>
      <c r="G7746">
        <f t="shared" si="121"/>
        <v>1577200902</v>
      </c>
    </row>
    <row r="7747" spans="1:7" x14ac:dyDescent="0.25">
      <c r="A7747">
        <v>1577200904</v>
      </c>
      <c r="B7747" t="s">
        <v>36910</v>
      </c>
      <c r="C7747">
        <v>0</v>
      </c>
      <c r="D7747">
        <v>1</v>
      </c>
      <c r="E7747">
        <v>439</v>
      </c>
      <c r="F7747">
        <v>4669</v>
      </c>
      <c r="G7747">
        <f t="shared" si="121"/>
        <v>1577200904</v>
      </c>
    </row>
    <row r="7748" spans="1:7" x14ac:dyDescent="0.25">
      <c r="A7748">
        <v>1577200906</v>
      </c>
      <c r="B7748" t="s">
        <v>29835</v>
      </c>
      <c r="C7748">
        <v>1316</v>
      </c>
      <c r="D7748">
        <v>1</v>
      </c>
      <c r="E7748">
        <v>247</v>
      </c>
      <c r="F7748">
        <v>5339</v>
      </c>
      <c r="G7748">
        <f t="shared" si="121"/>
        <v>1577200906</v>
      </c>
    </row>
    <row r="7749" spans="1:7" x14ac:dyDescent="0.25">
      <c r="A7749">
        <v>1577200938</v>
      </c>
      <c r="B7749" t="s">
        <v>36911</v>
      </c>
      <c r="C7749">
        <v>1</v>
      </c>
      <c r="D7749">
        <v>1</v>
      </c>
      <c r="E7749">
        <v>2229</v>
      </c>
      <c r="F7749">
        <v>3235</v>
      </c>
      <c r="G7749">
        <f t="shared" si="121"/>
        <v>1577200938</v>
      </c>
    </row>
    <row r="7750" spans="1:7" x14ac:dyDescent="0.25">
      <c r="A7750">
        <v>1577200954</v>
      </c>
      <c r="B7750" t="s">
        <v>29836</v>
      </c>
      <c r="C7750">
        <v>0</v>
      </c>
      <c r="D7750">
        <v>0</v>
      </c>
      <c r="E7750">
        <v>0</v>
      </c>
      <c r="F7750">
        <v>8433</v>
      </c>
      <c r="G7750">
        <f t="shared" si="121"/>
        <v>1577200954</v>
      </c>
    </row>
    <row r="7751" spans="1:7" x14ac:dyDescent="0.25">
      <c r="A7751">
        <v>1577200962</v>
      </c>
      <c r="B7751" t="s">
        <v>36912</v>
      </c>
      <c r="C7751">
        <v>1743</v>
      </c>
      <c r="D7751">
        <v>1</v>
      </c>
      <c r="E7751">
        <v>1253</v>
      </c>
      <c r="F7751">
        <v>3758</v>
      </c>
      <c r="G7751">
        <f t="shared" si="121"/>
        <v>1577200962</v>
      </c>
    </row>
    <row r="7752" spans="1:7" x14ac:dyDescent="0.25">
      <c r="A7752">
        <v>1577200966</v>
      </c>
      <c r="B7752" t="s">
        <v>29837</v>
      </c>
      <c r="C7752">
        <v>0</v>
      </c>
      <c r="D7752">
        <v>0</v>
      </c>
      <c r="E7752">
        <v>0</v>
      </c>
      <c r="F7752">
        <v>8434</v>
      </c>
      <c r="G7752">
        <f t="shared" si="121"/>
        <v>1577200966</v>
      </c>
    </row>
    <row r="7753" spans="1:7" x14ac:dyDescent="0.25">
      <c r="A7753">
        <v>1577200967</v>
      </c>
      <c r="B7753" t="s">
        <v>29838</v>
      </c>
      <c r="C7753">
        <v>0</v>
      </c>
      <c r="D7753">
        <v>0</v>
      </c>
      <c r="E7753">
        <v>0</v>
      </c>
      <c r="F7753">
        <v>8435</v>
      </c>
      <c r="G7753">
        <f t="shared" si="121"/>
        <v>1577200967</v>
      </c>
    </row>
    <row r="7754" spans="1:7" x14ac:dyDescent="0.25">
      <c r="A7754">
        <v>1577200983</v>
      </c>
      <c r="B7754" t="s">
        <v>29839</v>
      </c>
      <c r="C7754">
        <v>977</v>
      </c>
      <c r="D7754">
        <v>1</v>
      </c>
      <c r="E7754">
        <v>738</v>
      </c>
      <c r="F7754">
        <v>4283</v>
      </c>
      <c r="G7754">
        <f t="shared" si="121"/>
        <v>1577200983</v>
      </c>
    </row>
    <row r="7755" spans="1:7" x14ac:dyDescent="0.25">
      <c r="A7755">
        <v>1577200993</v>
      </c>
      <c r="B7755" t="s">
        <v>29840</v>
      </c>
      <c r="C7755">
        <v>1913</v>
      </c>
      <c r="D7755">
        <v>1</v>
      </c>
      <c r="E7755">
        <v>1791</v>
      </c>
      <c r="F7755">
        <v>3472</v>
      </c>
      <c r="G7755">
        <f t="shared" si="121"/>
        <v>1577200993</v>
      </c>
    </row>
    <row r="7756" spans="1:7" x14ac:dyDescent="0.25">
      <c r="A7756">
        <v>1577200998</v>
      </c>
      <c r="B7756" t="s">
        <v>29841</v>
      </c>
      <c r="C7756">
        <v>1576</v>
      </c>
      <c r="D7756">
        <v>1</v>
      </c>
      <c r="E7756">
        <v>245</v>
      </c>
      <c r="F7756">
        <v>5328</v>
      </c>
      <c r="G7756">
        <f t="shared" si="121"/>
        <v>1577200998</v>
      </c>
    </row>
    <row r="7757" spans="1:7" x14ac:dyDescent="0.25">
      <c r="A7757">
        <v>1577201006</v>
      </c>
      <c r="B7757" t="s">
        <v>29842</v>
      </c>
      <c r="C7757">
        <v>0</v>
      </c>
      <c r="D7757">
        <v>1</v>
      </c>
      <c r="E7757">
        <v>26</v>
      </c>
      <c r="F7757">
        <v>6891</v>
      </c>
      <c r="G7757">
        <f t="shared" si="121"/>
        <v>1577201006</v>
      </c>
    </row>
    <row r="7758" spans="1:7" x14ac:dyDescent="0.25">
      <c r="A7758">
        <v>1577201020</v>
      </c>
      <c r="B7758" t="s">
        <v>29843</v>
      </c>
      <c r="C7758">
        <v>106</v>
      </c>
      <c r="D7758">
        <v>2</v>
      </c>
      <c r="E7758">
        <v>7287</v>
      </c>
      <c r="F7758">
        <v>2011</v>
      </c>
      <c r="G7758">
        <f t="shared" si="121"/>
        <v>1577201020</v>
      </c>
    </row>
    <row r="7759" spans="1:7" x14ac:dyDescent="0.25">
      <c r="A7759">
        <v>1577201030</v>
      </c>
      <c r="B7759" t="s">
        <v>29844</v>
      </c>
      <c r="C7759">
        <v>0</v>
      </c>
      <c r="D7759">
        <v>0</v>
      </c>
      <c r="E7759">
        <v>0</v>
      </c>
      <c r="F7759">
        <v>8436</v>
      </c>
      <c r="G7759">
        <f t="shared" si="121"/>
        <v>1577201030</v>
      </c>
    </row>
    <row r="7760" spans="1:7" x14ac:dyDescent="0.25">
      <c r="A7760">
        <v>1577201074</v>
      </c>
      <c r="B7760" t="s">
        <v>29845</v>
      </c>
      <c r="C7760">
        <v>1691</v>
      </c>
      <c r="D7760">
        <v>1</v>
      </c>
      <c r="E7760">
        <v>1610</v>
      </c>
      <c r="F7760">
        <v>3544</v>
      </c>
      <c r="G7760">
        <f t="shared" si="121"/>
        <v>1577201074</v>
      </c>
    </row>
    <row r="7761" spans="1:7" x14ac:dyDescent="0.25">
      <c r="A7761">
        <v>1577201087</v>
      </c>
      <c r="B7761" t="s">
        <v>29846</v>
      </c>
      <c r="C7761">
        <v>333</v>
      </c>
      <c r="D7761">
        <v>1</v>
      </c>
      <c r="E7761">
        <v>4352</v>
      </c>
      <c r="F7761">
        <v>2668</v>
      </c>
      <c r="G7761">
        <f t="shared" si="121"/>
        <v>1577201087</v>
      </c>
    </row>
    <row r="7762" spans="1:7" x14ac:dyDescent="0.25">
      <c r="A7762">
        <v>1577201098</v>
      </c>
      <c r="B7762" t="s">
        <v>36913</v>
      </c>
      <c r="C7762">
        <v>26</v>
      </c>
      <c r="D7762">
        <v>4</v>
      </c>
      <c r="E7762">
        <v>15389</v>
      </c>
      <c r="F7762">
        <v>963</v>
      </c>
      <c r="G7762">
        <f t="shared" si="121"/>
        <v>1577201098</v>
      </c>
    </row>
    <row r="7763" spans="1:7" x14ac:dyDescent="0.25">
      <c r="A7763">
        <v>1577201101</v>
      </c>
      <c r="B7763" t="s">
        <v>29847</v>
      </c>
      <c r="C7763">
        <v>1403</v>
      </c>
      <c r="D7763">
        <v>1</v>
      </c>
      <c r="E7763">
        <v>2419</v>
      </c>
      <c r="F7763">
        <v>3167</v>
      </c>
      <c r="G7763">
        <f t="shared" si="121"/>
        <v>1577201101</v>
      </c>
    </row>
    <row r="7764" spans="1:7" x14ac:dyDescent="0.25">
      <c r="A7764">
        <v>1577201103</v>
      </c>
      <c r="B7764" t="s">
        <v>3685</v>
      </c>
      <c r="C7764">
        <v>205</v>
      </c>
      <c r="D7764">
        <v>1</v>
      </c>
      <c r="E7764">
        <v>434</v>
      </c>
      <c r="F7764">
        <v>4797</v>
      </c>
      <c r="G7764">
        <f t="shared" si="121"/>
        <v>1577201103</v>
      </c>
    </row>
    <row r="7765" spans="1:7" x14ac:dyDescent="0.25">
      <c r="A7765">
        <v>1577201107</v>
      </c>
      <c r="B7765" t="s">
        <v>29848</v>
      </c>
      <c r="C7765">
        <v>887</v>
      </c>
      <c r="D7765">
        <v>2</v>
      </c>
      <c r="E7765">
        <v>4329</v>
      </c>
      <c r="F7765">
        <v>2677</v>
      </c>
      <c r="G7765">
        <f t="shared" si="121"/>
        <v>1577201107</v>
      </c>
    </row>
    <row r="7766" spans="1:7" x14ac:dyDescent="0.25">
      <c r="A7766">
        <v>1577201108</v>
      </c>
      <c r="B7766" t="s">
        <v>29849</v>
      </c>
      <c r="C7766">
        <v>887</v>
      </c>
      <c r="D7766">
        <v>1</v>
      </c>
      <c r="E7766">
        <v>2435</v>
      </c>
      <c r="F7766">
        <v>3163</v>
      </c>
      <c r="G7766">
        <f t="shared" si="121"/>
        <v>1577201108</v>
      </c>
    </row>
    <row r="7767" spans="1:7" x14ac:dyDescent="0.25">
      <c r="A7767">
        <v>1577201147</v>
      </c>
      <c r="B7767" t="s">
        <v>29850</v>
      </c>
      <c r="C7767">
        <v>1459</v>
      </c>
      <c r="D7767">
        <v>1</v>
      </c>
      <c r="E7767">
        <v>1013</v>
      </c>
      <c r="F7767">
        <v>3973</v>
      </c>
      <c r="G7767">
        <f t="shared" si="121"/>
        <v>1577201147</v>
      </c>
    </row>
    <row r="7768" spans="1:7" x14ac:dyDescent="0.25">
      <c r="A7768">
        <v>1577201169</v>
      </c>
      <c r="B7768" t="s">
        <v>29851</v>
      </c>
      <c r="C7768">
        <v>617</v>
      </c>
      <c r="D7768">
        <v>3</v>
      </c>
      <c r="E7768">
        <v>7901</v>
      </c>
      <c r="F7768">
        <v>1910</v>
      </c>
      <c r="G7768">
        <f t="shared" si="121"/>
        <v>1577201169</v>
      </c>
    </row>
    <row r="7769" spans="1:7" x14ac:dyDescent="0.25">
      <c r="A7769">
        <v>1577201179</v>
      </c>
      <c r="B7769" t="s">
        <v>36914</v>
      </c>
      <c r="C7769">
        <v>1232</v>
      </c>
      <c r="D7769">
        <v>1</v>
      </c>
      <c r="E7769">
        <v>1799</v>
      </c>
      <c r="F7769">
        <v>3446</v>
      </c>
      <c r="G7769">
        <f t="shared" si="121"/>
        <v>1577201179</v>
      </c>
    </row>
    <row r="7770" spans="1:7" x14ac:dyDescent="0.25">
      <c r="A7770">
        <v>1577201187</v>
      </c>
      <c r="B7770" t="s">
        <v>29852</v>
      </c>
      <c r="C7770">
        <v>0</v>
      </c>
      <c r="D7770">
        <v>1</v>
      </c>
      <c r="E7770">
        <v>252</v>
      </c>
      <c r="F7770">
        <v>5295</v>
      </c>
      <c r="G7770">
        <f t="shared" si="121"/>
        <v>1577201187</v>
      </c>
    </row>
    <row r="7771" spans="1:7" x14ac:dyDescent="0.25">
      <c r="A7771">
        <v>1577201211</v>
      </c>
      <c r="B7771" t="s">
        <v>29853</v>
      </c>
      <c r="C7771">
        <v>1324</v>
      </c>
      <c r="D7771">
        <v>0</v>
      </c>
      <c r="E7771">
        <v>0</v>
      </c>
      <c r="F7771">
        <v>8437</v>
      </c>
      <c r="G7771">
        <f t="shared" si="121"/>
        <v>1577201211</v>
      </c>
    </row>
    <row r="7772" spans="1:7" x14ac:dyDescent="0.25">
      <c r="A7772">
        <v>1577201215</v>
      </c>
      <c r="B7772" t="s">
        <v>29854</v>
      </c>
      <c r="C7772">
        <v>0</v>
      </c>
      <c r="D7772">
        <v>1</v>
      </c>
      <c r="E7772">
        <v>152</v>
      </c>
      <c r="F7772">
        <v>5692</v>
      </c>
      <c r="G7772">
        <f t="shared" si="121"/>
        <v>1577201215</v>
      </c>
    </row>
    <row r="7773" spans="1:7" x14ac:dyDescent="0.25">
      <c r="A7773">
        <v>1577201218</v>
      </c>
      <c r="B7773" t="s">
        <v>29855</v>
      </c>
      <c r="C7773">
        <v>1430</v>
      </c>
      <c r="D7773">
        <v>1</v>
      </c>
      <c r="E7773">
        <v>4867</v>
      </c>
      <c r="F7773">
        <v>2539</v>
      </c>
      <c r="G7773">
        <f t="shared" si="121"/>
        <v>1577201218</v>
      </c>
    </row>
    <row r="7774" spans="1:7" x14ac:dyDescent="0.25">
      <c r="A7774">
        <v>1577201227</v>
      </c>
      <c r="B7774" t="s">
        <v>29856</v>
      </c>
      <c r="C7774">
        <v>0</v>
      </c>
      <c r="D7774">
        <v>1</v>
      </c>
      <c r="E7774">
        <v>609</v>
      </c>
      <c r="F7774">
        <v>4460</v>
      </c>
      <c r="G7774">
        <f t="shared" si="121"/>
        <v>1577201227</v>
      </c>
    </row>
    <row r="7775" spans="1:7" x14ac:dyDescent="0.25">
      <c r="A7775">
        <v>1577201231</v>
      </c>
      <c r="B7775" t="s">
        <v>29857</v>
      </c>
      <c r="C7775">
        <v>1535</v>
      </c>
      <c r="D7775">
        <v>2</v>
      </c>
      <c r="E7775">
        <v>5058</v>
      </c>
      <c r="F7775">
        <v>2508</v>
      </c>
      <c r="G7775">
        <f t="shared" si="121"/>
        <v>1577201231</v>
      </c>
    </row>
    <row r="7776" spans="1:7" x14ac:dyDescent="0.25">
      <c r="A7776">
        <v>1577201247</v>
      </c>
      <c r="B7776" t="s">
        <v>29858</v>
      </c>
      <c r="C7776">
        <v>205</v>
      </c>
      <c r="D7776">
        <v>1</v>
      </c>
      <c r="E7776">
        <v>1531</v>
      </c>
      <c r="F7776">
        <v>3585</v>
      </c>
      <c r="G7776">
        <f t="shared" si="121"/>
        <v>1577201247</v>
      </c>
    </row>
    <row r="7777" spans="1:7" x14ac:dyDescent="0.25">
      <c r="A7777">
        <v>1577201261</v>
      </c>
      <c r="B7777" t="s">
        <v>29859</v>
      </c>
      <c r="C7777">
        <v>0</v>
      </c>
      <c r="D7777">
        <v>1</v>
      </c>
      <c r="E7777">
        <v>78</v>
      </c>
      <c r="F7777">
        <v>5982</v>
      </c>
      <c r="G7777">
        <f t="shared" si="121"/>
        <v>1577201261</v>
      </c>
    </row>
    <row r="7778" spans="1:7" x14ac:dyDescent="0.25">
      <c r="A7778">
        <v>1577201263</v>
      </c>
      <c r="B7778" t="s">
        <v>29860</v>
      </c>
      <c r="C7778">
        <v>0</v>
      </c>
      <c r="D7778">
        <v>1</v>
      </c>
      <c r="E7778">
        <v>95</v>
      </c>
      <c r="F7778">
        <v>5876</v>
      </c>
      <c r="G7778">
        <f t="shared" si="121"/>
        <v>1577201263</v>
      </c>
    </row>
    <row r="7779" spans="1:7" x14ac:dyDescent="0.25">
      <c r="A7779">
        <v>1577201270</v>
      </c>
      <c r="B7779" t="s">
        <v>29861</v>
      </c>
      <c r="C7779">
        <v>0</v>
      </c>
      <c r="D7779">
        <v>0</v>
      </c>
      <c r="E7779">
        <v>0</v>
      </c>
      <c r="F7779">
        <v>8438</v>
      </c>
      <c r="G7779">
        <f t="shared" si="121"/>
        <v>1577201270</v>
      </c>
    </row>
    <row r="7780" spans="1:7" x14ac:dyDescent="0.25">
      <c r="A7780">
        <v>1577201272</v>
      </c>
      <c r="B7780" t="s">
        <v>29862</v>
      </c>
      <c r="C7780">
        <v>0</v>
      </c>
      <c r="D7780">
        <v>1</v>
      </c>
      <c r="E7780">
        <v>228</v>
      </c>
      <c r="F7780">
        <v>5397</v>
      </c>
      <c r="G7780">
        <f t="shared" si="121"/>
        <v>1577201272</v>
      </c>
    </row>
    <row r="7781" spans="1:7" x14ac:dyDescent="0.25">
      <c r="A7781">
        <v>1577201274</v>
      </c>
      <c r="B7781" t="s">
        <v>29863</v>
      </c>
      <c r="C7781">
        <v>0</v>
      </c>
      <c r="D7781">
        <v>1</v>
      </c>
      <c r="E7781">
        <v>1069</v>
      </c>
      <c r="F7781">
        <v>3902</v>
      </c>
      <c r="G7781">
        <f t="shared" si="121"/>
        <v>1577201274</v>
      </c>
    </row>
    <row r="7782" spans="1:7" x14ac:dyDescent="0.25">
      <c r="A7782">
        <v>1577201281</v>
      </c>
      <c r="B7782" t="s">
        <v>29864</v>
      </c>
      <c r="C7782">
        <v>0</v>
      </c>
      <c r="D7782">
        <v>0</v>
      </c>
      <c r="E7782">
        <v>0</v>
      </c>
      <c r="F7782">
        <v>8439</v>
      </c>
      <c r="G7782">
        <f t="shared" si="121"/>
        <v>1577201281</v>
      </c>
    </row>
    <row r="7783" spans="1:7" x14ac:dyDescent="0.25">
      <c r="A7783">
        <v>1577201286</v>
      </c>
      <c r="B7783" t="s">
        <v>29865</v>
      </c>
      <c r="C7783">
        <v>0</v>
      </c>
      <c r="D7783">
        <v>1</v>
      </c>
      <c r="E7783">
        <v>79</v>
      </c>
      <c r="F7783">
        <v>5978</v>
      </c>
      <c r="G7783">
        <f t="shared" si="121"/>
        <v>1577201286</v>
      </c>
    </row>
    <row r="7784" spans="1:7" x14ac:dyDescent="0.25">
      <c r="A7784">
        <v>1577201298</v>
      </c>
      <c r="B7784" t="s">
        <v>29866</v>
      </c>
      <c r="C7784">
        <v>0</v>
      </c>
      <c r="D7784">
        <v>0</v>
      </c>
      <c r="E7784">
        <v>0</v>
      </c>
      <c r="F7784">
        <v>8440</v>
      </c>
      <c r="G7784">
        <f t="shared" si="121"/>
        <v>1577201298</v>
      </c>
    </row>
    <row r="7785" spans="1:7" x14ac:dyDescent="0.25">
      <c r="A7785">
        <v>1577201317</v>
      </c>
      <c r="B7785" t="s">
        <v>3325</v>
      </c>
      <c r="C7785">
        <v>0</v>
      </c>
      <c r="D7785">
        <v>1</v>
      </c>
      <c r="E7785">
        <v>1527</v>
      </c>
      <c r="F7785">
        <v>3594</v>
      </c>
      <c r="G7785">
        <f t="shared" si="121"/>
        <v>1577201317</v>
      </c>
    </row>
    <row r="7786" spans="1:7" x14ac:dyDescent="0.25">
      <c r="A7786">
        <v>1577201324</v>
      </c>
      <c r="B7786" t="s">
        <v>29867</v>
      </c>
      <c r="C7786">
        <v>1373</v>
      </c>
      <c r="D7786">
        <v>3</v>
      </c>
      <c r="E7786">
        <v>9740</v>
      </c>
      <c r="F7786">
        <v>1609</v>
      </c>
      <c r="G7786">
        <f t="shared" si="121"/>
        <v>1577201324</v>
      </c>
    </row>
    <row r="7787" spans="1:7" x14ac:dyDescent="0.25">
      <c r="A7787">
        <v>1577201327</v>
      </c>
      <c r="B7787" t="s">
        <v>29868</v>
      </c>
      <c r="C7787">
        <v>0</v>
      </c>
      <c r="D7787">
        <v>1</v>
      </c>
      <c r="E7787">
        <v>584</v>
      </c>
      <c r="F7787">
        <v>4491</v>
      </c>
      <c r="G7787">
        <f t="shared" si="121"/>
        <v>1577201327</v>
      </c>
    </row>
    <row r="7788" spans="1:7" x14ac:dyDescent="0.25">
      <c r="A7788">
        <v>1577201332</v>
      </c>
      <c r="B7788" t="s">
        <v>29869</v>
      </c>
      <c r="C7788">
        <v>1836</v>
      </c>
      <c r="D7788">
        <v>1</v>
      </c>
      <c r="E7788">
        <v>941</v>
      </c>
      <c r="F7788">
        <v>4071</v>
      </c>
      <c r="G7788">
        <f t="shared" si="121"/>
        <v>1577201332</v>
      </c>
    </row>
    <row r="7789" spans="1:7" x14ac:dyDescent="0.25">
      <c r="A7789">
        <v>1577201335</v>
      </c>
      <c r="B7789" t="s">
        <v>29870</v>
      </c>
      <c r="C7789">
        <v>0</v>
      </c>
      <c r="D7789">
        <v>1</v>
      </c>
      <c r="E7789">
        <v>26</v>
      </c>
      <c r="F7789">
        <v>6892</v>
      </c>
      <c r="G7789">
        <f t="shared" si="121"/>
        <v>1577201335</v>
      </c>
    </row>
    <row r="7790" spans="1:7" x14ac:dyDescent="0.25">
      <c r="A7790">
        <v>1577201348</v>
      </c>
      <c r="B7790" t="s">
        <v>29871</v>
      </c>
      <c r="C7790">
        <v>1373</v>
      </c>
      <c r="D7790">
        <v>3</v>
      </c>
      <c r="E7790">
        <v>9694</v>
      </c>
      <c r="F7790">
        <v>1610</v>
      </c>
      <c r="G7790">
        <f t="shared" si="121"/>
        <v>1577201348</v>
      </c>
    </row>
    <row r="7791" spans="1:7" x14ac:dyDescent="0.25">
      <c r="A7791">
        <v>1577201351</v>
      </c>
      <c r="B7791" t="s">
        <v>29872</v>
      </c>
      <c r="C7791">
        <v>1373</v>
      </c>
      <c r="D7791">
        <v>1</v>
      </c>
      <c r="E7791">
        <v>2457</v>
      </c>
      <c r="F7791">
        <v>3154</v>
      </c>
      <c r="G7791">
        <f t="shared" si="121"/>
        <v>1577201351</v>
      </c>
    </row>
    <row r="7792" spans="1:7" x14ac:dyDescent="0.25">
      <c r="A7792">
        <v>1577201353</v>
      </c>
      <c r="B7792" t="s">
        <v>29873</v>
      </c>
      <c r="C7792">
        <v>1373</v>
      </c>
      <c r="D7792">
        <v>1</v>
      </c>
      <c r="E7792">
        <v>4820</v>
      </c>
      <c r="F7792">
        <v>2576</v>
      </c>
      <c r="G7792">
        <f t="shared" si="121"/>
        <v>1577201353</v>
      </c>
    </row>
    <row r="7793" spans="1:7" x14ac:dyDescent="0.25">
      <c r="A7793">
        <v>1577201369</v>
      </c>
      <c r="B7793" t="s">
        <v>29874</v>
      </c>
      <c r="C7793">
        <v>0</v>
      </c>
      <c r="D7793">
        <v>0</v>
      </c>
      <c r="E7793">
        <v>0</v>
      </c>
      <c r="F7793">
        <v>8441</v>
      </c>
      <c r="G7793">
        <f t="shared" si="121"/>
        <v>1577201369</v>
      </c>
    </row>
    <row r="7794" spans="1:7" x14ac:dyDescent="0.25">
      <c r="A7794">
        <v>1577201372</v>
      </c>
      <c r="B7794" t="s">
        <v>29875</v>
      </c>
      <c r="C7794">
        <v>1643</v>
      </c>
      <c r="D7794">
        <v>1</v>
      </c>
      <c r="E7794">
        <v>1377</v>
      </c>
      <c r="F7794">
        <v>3705</v>
      </c>
      <c r="G7794">
        <f t="shared" si="121"/>
        <v>1577201372</v>
      </c>
    </row>
    <row r="7795" spans="1:7" x14ac:dyDescent="0.25">
      <c r="A7795">
        <v>1577201376</v>
      </c>
      <c r="B7795" t="s">
        <v>36915</v>
      </c>
      <c r="C7795">
        <v>0</v>
      </c>
      <c r="D7795">
        <v>0</v>
      </c>
      <c r="E7795">
        <v>0</v>
      </c>
      <c r="F7795">
        <v>8442</v>
      </c>
      <c r="G7795">
        <f t="shared" si="121"/>
        <v>1577201376</v>
      </c>
    </row>
    <row r="7796" spans="1:7" x14ac:dyDescent="0.25">
      <c r="A7796">
        <v>1577201379</v>
      </c>
      <c r="B7796" t="s">
        <v>37375</v>
      </c>
      <c r="C7796">
        <v>1806</v>
      </c>
      <c r="D7796">
        <v>1</v>
      </c>
      <c r="E7796">
        <v>1675</v>
      </c>
      <c r="F7796">
        <v>3528</v>
      </c>
      <c r="G7796">
        <f t="shared" si="121"/>
        <v>1577201379</v>
      </c>
    </row>
    <row r="7797" spans="1:7" x14ac:dyDescent="0.25">
      <c r="A7797">
        <v>1577201390</v>
      </c>
      <c r="B7797" t="s">
        <v>29876</v>
      </c>
      <c r="C7797">
        <v>1835</v>
      </c>
      <c r="D7797">
        <v>1</v>
      </c>
      <c r="E7797">
        <v>375</v>
      </c>
      <c r="F7797">
        <v>4915</v>
      </c>
      <c r="G7797">
        <f t="shared" si="121"/>
        <v>1577201390</v>
      </c>
    </row>
    <row r="7798" spans="1:7" x14ac:dyDescent="0.25">
      <c r="A7798">
        <v>1577201409</v>
      </c>
      <c r="B7798" t="s">
        <v>29877</v>
      </c>
      <c r="C7798">
        <v>149</v>
      </c>
      <c r="D7798">
        <v>0</v>
      </c>
      <c r="E7798">
        <v>0</v>
      </c>
      <c r="F7798">
        <v>8443</v>
      </c>
      <c r="G7798">
        <f t="shared" si="121"/>
        <v>1577201409</v>
      </c>
    </row>
    <row r="7799" spans="1:7" x14ac:dyDescent="0.25">
      <c r="A7799">
        <v>1577201413</v>
      </c>
      <c r="B7799" t="s">
        <v>29878</v>
      </c>
      <c r="C7799">
        <v>0</v>
      </c>
      <c r="D7799">
        <v>0</v>
      </c>
      <c r="E7799">
        <v>0</v>
      </c>
      <c r="F7799">
        <v>8444</v>
      </c>
      <c r="G7799">
        <f t="shared" si="121"/>
        <v>1577201413</v>
      </c>
    </row>
    <row r="7800" spans="1:7" x14ac:dyDescent="0.25">
      <c r="A7800">
        <v>1577201419</v>
      </c>
      <c r="B7800" t="s">
        <v>29879</v>
      </c>
      <c r="C7800">
        <v>0</v>
      </c>
      <c r="D7800">
        <v>1</v>
      </c>
      <c r="E7800">
        <v>50</v>
      </c>
      <c r="F7800">
        <v>6187</v>
      </c>
      <c r="G7800">
        <f t="shared" si="121"/>
        <v>1577201419</v>
      </c>
    </row>
    <row r="7801" spans="1:7" x14ac:dyDescent="0.25">
      <c r="A7801">
        <v>1577201430</v>
      </c>
      <c r="B7801" t="s">
        <v>36916</v>
      </c>
      <c r="C7801">
        <v>1413</v>
      </c>
      <c r="D7801">
        <v>2</v>
      </c>
      <c r="E7801">
        <v>9571</v>
      </c>
      <c r="F7801">
        <v>1615</v>
      </c>
      <c r="G7801">
        <f t="shared" si="121"/>
        <v>1577201430</v>
      </c>
    </row>
    <row r="7802" spans="1:7" x14ac:dyDescent="0.25">
      <c r="A7802">
        <v>1577201431</v>
      </c>
      <c r="B7802" t="s">
        <v>29880</v>
      </c>
      <c r="C7802">
        <v>0</v>
      </c>
      <c r="D7802">
        <v>1</v>
      </c>
      <c r="E7802">
        <v>26</v>
      </c>
      <c r="F7802">
        <v>6893</v>
      </c>
      <c r="G7802">
        <f t="shared" si="121"/>
        <v>1577201431</v>
      </c>
    </row>
    <row r="7803" spans="1:7" x14ac:dyDescent="0.25">
      <c r="A7803">
        <v>1577201444</v>
      </c>
      <c r="B7803" t="s">
        <v>36917</v>
      </c>
      <c r="C7803">
        <v>1340</v>
      </c>
      <c r="D7803">
        <v>1</v>
      </c>
      <c r="E7803">
        <v>3855</v>
      </c>
      <c r="F7803">
        <v>2799</v>
      </c>
      <c r="G7803">
        <f t="shared" si="121"/>
        <v>1577201444</v>
      </c>
    </row>
    <row r="7804" spans="1:7" x14ac:dyDescent="0.25">
      <c r="A7804">
        <v>1577201471</v>
      </c>
      <c r="B7804" t="s">
        <v>29881</v>
      </c>
      <c r="C7804">
        <v>0</v>
      </c>
      <c r="D7804">
        <v>1</v>
      </c>
      <c r="E7804">
        <v>746</v>
      </c>
      <c r="F7804">
        <v>4273</v>
      </c>
      <c r="G7804">
        <f t="shared" si="121"/>
        <v>1577201471</v>
      </c>
    </row>
    <row r="7805" spans="1:7" x14ac:dyDescent="0.25">
      <c r="A7805">
        <v>1577201476</v>
      </c>
      <c r="B7805" t="s">
        <v>29882</v>
      </c>
      <c r="C7805">
        <v>887</v>
      </c>
      <c r="D7805">
        <v>2</v>
      </c>
      <c r="E7805">
        <v>4799</v>
      </c>
      <c r="F7805">
        <v>2554</v>
      </c>
      <c r="G7805">
        <f t="shared" si="121"/>
        <v>1577201476</v>
      </c>
    </row>
    <row r="7806" spans="1:7" x14ac:dyDescent="0.25">
      <c r="A7806">
        <v>1577201486</v>
      </c>
      <c r="B7806" t="s">
        <v>29883</v>
      </c>
      <c r="C7806">
        <v>0</v>
      </c>
      <c r="D7806">
        <v>0</v>
      </c>
      <c r="E7806">
        <v>0</v>
      </c>
      <c r="F7806">
        <v>8445</v>
      </c>
      <c r="G7806">
        <f t="shared" si="121"/>
        <v>1577201486</v>
      </c>
    </row>
    <row r="7807" spans="1:7" x14ac:dyDescent="0.25">
      <c r="A7807">
        <v>1577201511</v>
      </c>
      <c r="B7807" t="s">
        <v>29884</v>
      </c>
      <c r="C7807">
        <v>1412</v>
      </c>
      <c r="D7807">
        <v>0</v>
      </c>
      <c r="E7807">
        <v>0</v>
      </c>
      <c r="F7807">
        <v>8446</v>
      </c>
      <c r="G7807">
        <f t="shared" si="121"/>
        <v>1577201511</v>
      </c>
    </row>
    <row r="7808" spans="1:7" x14ac:dyDescent="0.25">
      <c r="A7808">
        <v>1577201524</v>
      </c>
      <c r="B7808" t="s">
        <v>29885</v>
      </c>
      <c r="C7808">
        <v>1413</v>
      </c>
      <c r="D7808">
        <v>1</v>
      </c>
      <c r="E7808">
        <v>801</v>
      </c>
      <c r="F7808">
        <v>4197</v>
      </c>
      <c r="G7808">
        <f t="shared" si="121"/>
        <v>1577201524</v>
      </c>
    </row>
    <row r="7809" spans="1:7" x14ac:dyDescent="0.25">
      <c r="A7809">
        <v>1577201526</v>
      </c>
      <c r="B7809" t="s">
        <v>29886</v>
      </c>
      <c r="C7809">
        <v>47</v>
      </c>
      <c r="D7809">
        <v>4</v>
      </c>
      <c r="E7809">
        <v>14232</v>
      </c>
      <c r="F7809">
        <v>1057</v>
      </c>
      <c r="G7809">
        <f t="shared" ref="G7809:G7872" si="122">A7809</f>
        <v>1577201526</v>
      </c>
    </row>
    <row r="7810" spans="1:7" x14ac:dyDescent="0.25">
      <c r="A7810">
        <v>1577201534</v>
      </c>
      <c r="B7810" t="s">
        <v>29887</v>
      </c>
      <c r="C7810">
        <v>0</v>
      </c>
      <c r="D7810">
        <v>0</v>
      </c>
      <c r="E7810">
        <v>0</v>
      </c>
      <c r="F7810">
        <v>8447</v>
      </c>
      <c r="G7810">
        <f t="shared" si="122"/>
        <v>1577201534</v>
      </c>
    </row>
    <row r="7811" spans="1:7" x14ac:dyDescent="0.25">
      <c r="A7811">
        <v>1577201543</v>
      </c>
      <c r="B7811" t="s">
        <v>29888</v>
      </c>
      <c r="C7811">
        <v>924</v>
      </c>
      <c r="D7811">
        <v>4</v>
      </c>
      <c r="E7811">
        <v>14104</v>
      </c>
      <c r="F7811">
        <v>1067</v>
      </c>
      <c r="G7811">
        <f t="shared" si="122"/>
        <v>1577201543</v>
      </c>
    </row>
    <row r="7812" spans="1:7" x14ac:dyDescent="0.25">
      <c r="A7812">
        <v>1577201547</v>
      </c>
      <c r="B7812" t="s">
        <v>29889</v>
      </c>
      <c r="C7812">
        <v>0</v>
      </c>
      <c r="D7812">
        <v>0</v>
      </c>
      <c r="E7812">
        <v>0</v>
      </c>
      <c r="F7812">
        <v>8448</v>
      </c>
      <c r="G7812">
        <f t="shared" si="122"/>
        <v>1577201547</v>
      </c>
    </row>
    <row r="7813" spans="1:7" x14ac:dyDescent="0.25">
      <c r="A7813">
        <v>1577201553</v>
      </c>
      <c r="B7813" t="s">
        <v>29890</v>
      </c>
      <c r="C7813">
        <v>1019</v>
      </c>
      <c r="D7813">
        <v>2</v>
      </c>
      <c r="E7813">
        <v>4569</v>
      </c>
      <c r="F7813">
        <v>2608</v>
      </c>
      <c r="G7813">
        <f t="shared" si="122"/>
        <v>1577201553</v>
      </c>
    </row>
    <row r="7814" spans="1:7" x14ac:dyDescent="0.25">
      <c r="A7814">
        <v>1577201556</v>
      </c>
      <c r="B7814" t="s">
        <v>37201</v>
      </c>
      <c r="C7814">
        <v>1403</v>
      </c>
      <c r="D7814">
        <v>2</v>
      </c>
      <c r="E7814">
        <v>6855</v>
      </c>
      <c r="F7814">
        <v>2091</v>
      </c>
      <c r="G7814">
        <f t="shared" si="122"/>
        <v>1577201556</v>
      </c>
    </row>
    <row r="7815" spans="1:7" x14ac:dyDescent="0.25">
      <c r="A7815">
        <v>1577201582</v>
      </c>
      <c r="B7815" t="s">
        <v>29891</v>
      </c>
      <c r="C7815">
        <v>1345</v>
      </c>
      <c r="D7815">
        <v>1</v>
      </c>
      <c r="E7815">
        <v>287</v>
      </c>
      <c r="F7815">
        <v>5159</v>
      </c>
      <c r="G7815">
        <f t="shared" si="122"/>
        <v>1577201582</v>
      </c>
    </row>
    <row r="7816" spans="1:7" x14ac:dyDescent="0.25">
      <c r="A7816">
        <v>1577201590</v>
      </c>
      <c r="B7816" t="s">
        <v>36918</v>
      </c>
      <c r="C7816">
        <v>1609</v>
      </c>
      <c r="D7816">
        <v>3</v>
      </c>
      <c r="E7816">
        <v>13521</v>
      </c>
      <c r="F7816">
        <v>1124</v>
      </c>
      <c r="G7816">
        <f t="shared" si="122"/>
        <v>1577201590</v>
      </c>
    </row>
    <row r="7817" spans="1:7" x14ac:dyDescent="0.25">
      <c r="A7817">
        <v>1577201599</v>
      </c>
      <c r="B7817" t="s">
        <v>29892</v>
      </c>
      <c r="C7817">
        <v>1345</v>
      </c>
      <c r="D7817">
        <v>1</v>
      </c>
      <c r="E7817">
        <v>952</v>
      </c>
      <c r="F7817">
        <v>4042</v>
      </c>
      <c r="G7817">
        <f t="shared" si="122"/>
        <v>1577201599</v>
      </c>
    </row>
    <row r="7818" spans="1:7" x14ac:dyDescent="0.25">
      <c r="A7818">
        <v>1577201606</v>
      </c>
      <c r="B7818" t="s">
        <v>29893</v>
      </c>
      <c r="C7818">
        <v>896</v>
      </c>
      <c r="D7818">
        <v>1</v>
      </c>
      <c r="E7818">
        <v>1452</v>
      </c>
      <c r="F7818">
        <v>3630</v>
      </c>
      <c r="G7818">
        <f t="shared" si="122"/>
        <v>1577201606</v>
      </c>
    </row>
    <row r="7819" spans="1:7" x14ac:dyDescent="0.25">
      <c r="A7819">
        <v>1577201614</v>
      </c>
      <c r="B7819" t="s">
        <v>29894</v>
      </c>
      <c r="C7819">
        <v>1836</v>
      </c>
      <c r="D7819">
        <v>2</v>
      </c>
      <c r="E7819">
        <v>6053</v>
      </c>
      <c r="F7819">
        <v>2261</v>
      </c>
      <c r="G7819">
        <f t="shared" si="122"/>
        <v>1577201614</v>
      </c>
    </row>
    <row r="7820" spans="1:7" x14ac:dyDescent="0.25">
      <c r="A7820">
        <v>1577201631</v>
      </c>
      <c r="B7820" t="s">
        <v>36919</v>
      </c>
      <c r="C7820">
        <v>733</v>
      </c>
      <c r="D7820">
        <v>4</v>
      </c>
      <c r="E7820">
        <v>19899</v>
      </c>
      <c r="F7820">
        <v>628</v>
      </c>
      <c r="G7820">
        <f t="shared" si="122"/>
        <v>1577201631</v>
      </c>
    </row>
    <row r="7821" spans="1:7" x14ac:dyDescent="0.25">
      <c r="A7821">
        <v>1577201640</v>
      </c>
      <c r="B7821" t="s">
        <v>29895</v>
      </c>
      <c r="C7821">
        <v>0</v>
      </c>
      <c r="D7821">
        <v>1</v>
      </c>
      <c r="E7821">
        <v>3725</v>
      </c>
      <c r="F7821">
        <v>2825</v>
      </c>
      <c r="G7821">
        <f t="shared" si="122"/>
        <v>1577201640</v>
      </c>
    </row>
    <row r="7822" spans="1:7" x14ac:dyDescent="0.25">
      <c r="A7822">
        <v>1577201672</v>
      </c>
      <c r="B7822" t="s">
        <v>29896</v>
      </c>
      <c r="C7822">
        <v>1746</v>
      </c>
      <c r="D7822">
        <v>1</v>
      </c>
      <c r="E7822">
        <v>163</v>
      </c>
      <c r="F7822">
        <v>5642</v>
      </c>
      <c r="G7822">
        <f t="shared" si="122"/>
        <v>1577201672</v>
      </c>
    </row>
    <row r="7823" spans="1:7" x14ac:dyDescent="0.25">
      <c r="A7823">
        <v>1577201685</v>
      </c>
      <c r="B7823" t="s">
        <v>29897</v>
      </c>
      <c r="C7823">
        <v>205</v>
      </c>
      <c r="D7823">
        <v>1</v>
      </c>
      <c r="E7823">
        <v>891</v>
      </c>
      <c r="F7823">
        <v>4100</v>
      </c>
      <c r="G7823">
        <f t="shared" si="122"/>
        <v>1577201685</v>
      </c>
    </row>
    <row r="7824" spans="1:7" x14ac:dyDescent="0.25">
      <c r="A7824">
        <v>1577201694</v>
      </c>
      <c r="B7824" t="s">
        <v>29898</v>
      </c>
      <c r="C7824">
        <v>0</v>
      </c>
      <c r="D7824">
        <v>1</v>
      </c>
      <c r="E7824">
        <v>1786</v>
      </c>
      <c r="F7824">
        <v>3454</v>
      </c>
      <c r="G7824">
        <f t="shared" si="122"/>
        <v>1577201694</v>
      </c>
    </row>
    <row r="7825" spans="1:7" x14ac:dyDescent="0.25">
      <c r="A7825">
        <v>1577201707</v>
      </c>
      <c r="B7825" t="s">
        <v>29899</v>
      </c>
      <c r="C7825">
        <v>1836</v>
      </c>
      <c r="D7825">
        <v>1</v>
      </c>
      <c r="E7825">
        <v>1904</v>
      </c>
      <c r="F7825">
        <v>3393</v>
      </c>
      <c r="G7825">
        <f t="shared" si="122"/>
        <v>1577201707</v>
      </c>
    </row>
    <row r="7826" spans="1:7" x14ac:dyDescent="0.25">
      <c r="A7826">
        <v>1577201709</v>
      </c>
      <c r="B7826" t="s">
        <v>29900</v>
      </c>
      <c r="C7826">
        <v>1585</v>
      </c>
      <c r="D7826">
        <v>1</v>
      </c>
      <c r="E7826">
        <v>792</v>
      </c>
      <c r="F7826">
        <v>4210</v>
      </c>
      <c r="G7826">
        <f t="shared" si="122"/>
        <v>1577201709</v>
      </c>
    </row>
    <row r="7827" spans="1:7" x14ac:dyDescent="0.25">
      <c r="A7827">
        <v>1577201713</v>
      </c>
      <c r="B7827" t="s">
        <v>29901</v>
      </c>
      <c r="C7827">
        <v>0</v>
      </c>
      <c r="D7827">
        <v>1</v>
      </c>
      <c r="E7827">
        <v>51</v>
      </c>
      <c r="F7827">
        <v>6169</v>
      </c>
      <c r="G7827">
        <f t="shared" si="122"/>
        <v>1577201713</v>
      </c>
    </row>
    <row r="7828" spans="1:7" x14ac:dyDescent="0.25">
      <c r="A7828">
        <v>1577201721</v>
      </c>
      <c r="B7828" t="s">
        <v>29902</v>
      </c>
      <c r="C7828">
        <v>1</v>
      </c>
      <c r="D7828">
        <v>1</v>
      </c>
      <c r="E7828">
        <v>2332</v>
      </c>
      <c r="F7828">
        <v>3200</v>
      </c>
      <c r="G7828">
        <f t="shared" si="122"/>
        <v>1577201721</v>
      </c>
    </row>
    <row r="7829" spans="1:7" x14ac:dyDescent="0.25">
      <c r="A7829">
        <v>1577201730</v>
      </c>
      <c r="B7829" t="s">
        <v>29903</v>
      </c>
      <c r="C7829">
        <v>1403</v>
      </c>
      <c r="D7829">
        <v>3</v>
      </c>
      <c r="E7829">
        <v>8281</v>
      </c>
      <c r="F7829">
        <v>1835</v>
      </c>
      <c r="G7829">
        <f t="shared" si="122"/>
        <v>1577201730</v>
      </c>
    </row>
    <row r="7830" spans="1:7" x14ac:dyDescent="0.25">
      <c r="A7830">
        <v>1577201747</v>
      </c>
      <c r="B7830" t="s">
        <v>29904</v>
      </c>
      <c r="C7830">
        <v>1404</v>
      </c>
      <c r="D7830">
        <v>0</v>
      </c>
      <c r="E7830">
        <v>0</v>
      </c>
      <c r="F7830">
        <v>8449</v>
      </c>
      <c r="G7830">
        <f t="shared" si="122"/>
        <v>1577201747</v>
      </c>
    </row>
    <row r="7831" spans="1:7" x14ac:dyDescent="0.25">
      <c r="A7831">
        <v>1577201756</v>
      </c>
      <c r="B7831" t="s">
        <v>29905</v>
      </c>
      <c r="C7831">
        <v>1340</v>
      </c>
      <c r="D7831">
        <v>2</v>
      </c>
      <c r="E7831">
        <v>5593</v>
      </c>
      <c r="F7831">
        <v>2386</v>
      </c>
      <c r="G7831">
        <f t="shared" si="122"/>
        <v>1577201756</v>
      </c>
    </row>
    <row r="7832" spans="1:7" x14ac:dyDescent="0.25">
      <c r="A7832">
        <v>1577201765</v>
      </c>
      <c r="B7832" t="s">
        <v>36920</v>
      </c>
      <c r="C7832">
        <v>0</v>
      </c>
      <c r="D7832">
        <v>1</v>
      </c>
      <c r="E7832">
        <v>1404</v>
      </c>
      <c r="F7832">
        <v>3654</v>
      </c>
      <c r="G7832">
        <f t="shared" si="122"/>
        <v>1577201765</v>
      </c>
    </row>
    <row r="7833" spans="1:7" x14ac:dyDescent="0.25">
      <c r="A7833">
        <v>1577201776</v>
      </c>
      <c r="B7833" t="s">
        <v>29906</v>
      </c>
      <c r="C7833">
        <v>1363</v>
      </c>
      <c r="D7833">
        <v>1</v>
      </c>
      <c r="E7833">
        <v>2407</v>
      </c>
      <c r="F7833">
        <v>3172</v>
      </c>
      <c r="G7833">
        <f t="shared" si="122"/>
        <v>1577201776</v>
      </c>
    </row>
    <row r="7834" spans="1:7" x14ac:dyDescent="0.25">
      <c r="A7834">
        <v>1577201783</v>
      </c>
      <c r="B7834" t="s">
        <v>29907</v>
      </c>
      <c r="C7834">
        <v>0</v>
      </c>
      <c r="D7834">
        <v>0</v>
      </c>
      <c r="E7834">
        <v>0</v>
      </c>
      <c r="F7834">
        <v>8450</v>
      </c>
      <c r="G7834">
        <f t="shared" si="122"/>
        <v>1577201783</v>
      </c>
    </row>
    <row r="7835" spans="1:7" x14ac:dyDescent="0.25">
      <c r="A7835">
        <v>1577201786</v>
      </c>
      <c r="B7835" t="s">
        <v>29908</v>
      </c>
      <c r="C7835">
        <v>205</v>
      </c>
      <c r="D7835">
        <v>1</v>
      </c>
      <c r="E7835">
        <v>683</v>
      </c>
      <c r="F7835">
        <v>4365</v>
      </c>
      <c r="G7835">
        <f t="shared" si="122"/>
        <v>1577201786</v>
      </c>
    </row>
    <row r="7836" spans="1:7" x14ac:dyDescent="0.25">
      <c r="A7836">
        <v>1577201791</v>
      </c>
      <c r="B7836" t="s">
        <v>29909</v>
      </c>
      <c r="C7836">
        <v>1617</v>
      </c>
      <c r="D7836">
        <v>0</v>
      </c>
      <c r="E7836">
        <v>0</v>
      </c>
      <c r="F7836">
        <v>8451</v>
      </c>
      <c r="G7836">
        <f t="shared" si="122"/>
        <v>1577201791</v>
      </c>
    </row>
    <row r="7837" spans="1:7" x14ac:dyDescent="0.25">
      <c r="A7837">
        <v>1577201794</v>
      </c>
      <c r="B7837" t="s">
        <v>36921</v>
      </c>
      <c r="C7837">
        <v>1373</v>
      </c>
      <c r="D7837">
        <v>2</v>
      </c>
      <c r="E7837">
        <v>5654</v>
      </c>
      <c r="F7837">
        <v>2363</v>
      </c>
      <c r="G7837">
        <f t="shared" si="122"/>
        <v>1577201794</v>
      </c>
    </row>
    <row r="7838" spans="1:7" x14ac:dyDescent="0.25">
      <c r="A7838">
        <v>1577201810</v>
      </c>
      <c r="B7838" t="s">
        <v>29910</v>
      </c>
      <c r="C7838">
        <v>0</v>
      </c>
      <c r="D7838">
        <v>0</v>
      </c>
      <c r="E7838">
        <v>0</v>
      </c>
      <c r="F7838">
        <v>8452</v>
      </c>
      <c r="G7838">
        <f t="shared" si="122"/>
        <v>1577201810</v>
      </c>
    </row>
    <row r="7839" spans="1:7" x14ac:dyDescent="0.25">
      <c r="A7839">
        <v>1577201820</v>
      </c>
      <c r="B7839" t="s">
        <v>29911</v>
      </c>
      <c r="C7839">
        <v>1107</v>
      </c>
      <c r="D7839">
        <v>1</v>
      </c>
      <c r="E7839">
        <v>304</v>
      </c>
      <c r="F7839">
        <v>5111</v>
      </c>
      <c r="G7839">
        <f t="shared" si="122"/>
        <v>1577201820</v>
      </c>
    </row>
    <row r="7840" spans="1:7" x14ac:dyDescent="0.25">
      <c r="A7840">
        <v>1577201826</v>
      </c>
      <c r="B7840" t="s">
        <v>29912</v>
      </c>
      <c r="C7840">
        <v>1836</v>
      </c>
      <c r="D7840">
        <v>1</v>
      </c>
      <c r="E7840">
        <v>6256</v>
      </c>
      <c r="F7840">
        <v>2221</v>
      </c>
      <c r="G7840">
        <f t="shared" si="122"/>
        <v>1577201826</v>
      </c>
    </row>
    <row r="7841" spans="1:7" x14ac:dyDescent="0.25">
      <c r="A7841">
        <v>1577201843</v>
      </c>
      <c r="B7841" t="s">
        <v>29913</v>
      </c>
      <c r="C7841">
        <v>1411</v>
      </c>
      <c r="D7841">
        <v>1</v>
      </c>
      <c r="E7841">
        <v>2193</v>
      </c>
      <c r="F7841">
        <v>3249</v>
      </c>
      <c r="G7841">
        <f t="shared" si="122"/>
        <v>1577201843</v>
      </c>
    </row>
    <row r="7842" spans="1:7" x14ac:dyDescent="0.25">
      <c r="A7842">
        <v>1577201849</v>
      </c>
      <c r="B7842" t="s">
        <v>2386</v>
      </c>
      <c r="C7842">
        <v>1411</v>
      </c>
      <c r="D7842">
        <v>1</v>
      </c>
      <c r="E7842">
        <v>3626</v>
      </c>
      <c r="F7842">
        <v>2843</v>
      </c>
      <c r="G7842">
        <f t="shared" si="122"/>
        <v>1577201849</v>
      </c>
    </row>
    <row r="7843" spans="1:7" x14ac:dyDescent="0.25">
      <c r="A7843">
        <v>1577201905</v>
      </c>
      <c r="B7843" t="s">
        <v>29914</v>
      </c>
      <c r="C7843">
        <v>235</v>
      </c>
      <c r="D7843">
        <v>1</v>
      </c>
      <c r="E7843">
        <v>1809</v>
      </c>
      <c r="F7843">
        <v>3457</v>
      </c>
      <c r="G7843">
        <f t="shared" si="122"/>
        <v>1577201905</v>
      </c>
    </row>
    <row r="7844" spans="1:7" x14ac:dyDescent="0.25">
      <c r="A7844">
        <v>1577201907</v>
      </c>
      <c r="B7844" t="s">
        <v>36922</v>
      </c>
      <c r="C7844">
        <v>1411</v>
      </c>
      <c r="D7844">
        <v>1</v>
      </c>
      <c r="E7844">
        <v>3191</v>
      </c>
      <c r="F7844">
        <v>2941</v>
      </c>
      <c r="G7844">
        <f t="shared" si="122"/>
        <v>1577201907</v>
      </c>
    </row>
    <row r="7845" spans="1:7" x14ac:dyDescent="0.25">
      <c r="A7845">
        <v>1577201909</v>
      </c>
      <c r="B7845" t="s">
        <v>29915</v>
      </c>
      <c r="C7845">
        <v>0</v>
      </c>
      <c r="D7845">
        <v>1</v>
      </c>
      <c r="E7845">
        <v>55</v>
      </c>
      <c r="F7845">
        <v>6131</v>
      </c>
      <c r="G7845">
        <f t="shared" si="122"/>
        <v>1577201909</v>
      </c>
    </row>
    <row r="7846" spans="1:7" x14ac:dyDescent="0.25">
      <c r="A7846">
        <v>1577201911</v>
      </c>
      <c r="B7846" t="s">
        <v>29916</v>
      </c>
      <c r="C7846">
        <v>0</v>
      </c>
      <c r="D7846">
        <v>1</v>
      </c>
      <c r="E7846">
        <v>1351</v>
      </c>
      <c r="F7846">
        <v>3693</v>
      </c>
      <c r="G7846">
        <f t="shared" si="122"/>
        <v>1577201911</v>
      </c>
    </row>
    <row r="7847" spans="1:7" x14ac:dyDescent="0.25">
      <c r="A7847">
        <v>1577201914</v>
      </c>
      <c r="B7847" t="s">
        <v>29917</v>
      </c>
      <c r="C7847">
        <v>1413</v>
      </c>
      <c r="D7847">
        <v>1</v>
      </c>
      <c r="E7847">
        <v>3299</v>
      </c>
      <c r="F7847">
        <v>2926</v>
      </c>
      <c r="G7847">
        <f t="shared" si="122"/>
        <v>1577201914</v>
      </c>
    </row>
    <row r="7848" spans="1:7" x14ac:dyDescent="0.25">
      <c r="A7848">
        <v>1577201916</v>
      </c>
      <c r="B7848" t="s">
        <v>29918</v>
      </c>
      <c r="C7848">
        <v>0</v>
      </c>
      <c r="D7848">
        <v>0</v>
      </c>
      <c r="E7848">
        <v>0</v>
      </c>
      <c r="F7848">
        <v>8453</v>
      </c>
      <c r="G7848">
        <f t="shared" si="122"/>
        <v>1577201916</v>
      </c>
    </row>
    <row r="7849" spans="1:7" x14ac:dyDescent="0.25">
      <c r="A7849">
        <v>1577201921</v>
      </c>
      <c r="B7849" t="s">
        <v>29919</v>
      </c>
      <c r="C7849">
        <v>0</v>
      </c>
      <c r="D7849">
        <v>1</v>
      </c>
      <c r="E7849">
        <v>546</v>
      </c>
      <c r="F7849">
        <v>4514</v>
      </c>
      <c r="G7849">
        <f t="shared" si="122"/>
        <v>1577201921</v>
      </c>
    </row>
    <row r="7850" spans="1:7" x14ac:dyDescent="0.25">
      <c r="A7850">
        <v>1577201938</v>
      </c>
      <c r="B7850" t="s">
        <v>29920</v>
      </c>
      <c r="C7850">
        <v>1373</v>
      </c>
      <c r="D7850">
        <v>1</v>
      </c>
      <c r="E7850">
        <v>1053</v>
      </c>
      <c r="F7850">
        <v>3920</v>
      </c>
      <c r="G7850">
        <f t="shared" si="122"/>
        <v>1577201938</v>
      </c>
    </row>
    <row r="7851" spans="1:7" x14ac:dyDescent="0.25">
      <c r="A7851">
        <v>1577201959</v>
      </c>
      <c r="B7851" t="s">
        <v>2396</v>
      </c>
      <c r="C7851">
        <v>0</v>
      </c>
      <c r="D7851">
        <v>1</v>
      </c>
      <c r="E7851">
        <v>2209</v>
      </c>
      <c r="F7851">
        <v>3243</v>
      </c>
      <c r="G7851">
        <f t="shared" si="122"/>
        <v>1577201959</v>
      </c>
    </row>
    <row r="7852" spans="1:7" x14ac:dyDescent="0.25">
      <c r="A7852">
        <v>1577201961</v>
      </c>
      <c r="B7852" t="s">
        <v>29921</v>
      </c>
      <c r="C7852">
        <v>1654</v>
      </c>
      <c r="D7852">
        <v>1</v>
      </c>
      <c r="E7852">
        <v>136</v>
      </c>
      <c r="F7852">
        <v>5747</v>
      </c>
      <c r="G7852">
        <f t="shared" si="122"/>
        <v>1577201961</v>
      </c>
    </row>
    <row r="7853" spans="1:7" x14ac:dyDescent="0.25">
      <c r="A7853">
        <v>1577201973</v>
      </c>
      <c r="B7853" t="s">
        <v>29922</v>
      </c>
      <c r="C7853">
        <v>0</v>
      </c>
      <c r="D7853">
        <v>1</v>
      </c>
      <c r="E7853">
        <v>75</v>
      </c>
      <c r="F7853">
        <v>6017</v>
      </c>
      <c r="G7853">
        <f t="shared" si="122"/>
        <v>1577201973</v>
      </c>
    </row>
    <row r="7854" spans="1:7" x14ac:dyDescent="0.25">
      <c r="A7854">
        <v>1577201988</v>
      </c>
      <c r="B7854" t="s">
        <v>29923</v>
      </c>
      <c r="C7854">
        <v>55</v>
      </c>
      <c r="D7854">
        <v>1</v>
      </c>
      <c r="E7854">
        <v>3898</v>
      </c>
      <c r="F7854">
        <v>2787</v>
      </c>
      <c r="G7854">
        <f t="shared" si="122"/>
        <v>1577201988</v>
      </c>
    </row>
    <row r="7855" spans="1:7" x14ac:dyDescent="0.25">
      <c r="A7855">
        <v>1577201989</v>
      </c>
      <c r="B7855" t="s">
        <v>29924</v>
      </c>
      <c r="C7855">
        <v>1627</v>
      </c>
      <c r="D7855">
        <v>1</v>
      </c>
      <c r="E7855">
        <v>86</v>
      </c>
      <c r="F7855">
        <v>5933</v>
      </c>
      <c r="G7855">
        <f t="shared" si="122"/>
        <v>1577201989</v>
      </c>
    </row>
    <row r="7856" spans="1:7" x14ac:dyDescent="0.25">
      <c r="A7856">
        <v>1577201990</v>
      </c>
      <c r="B7856" t="s">
        <v>37202</v>
      </c>
      <c r="C7856">
        <v>1284</v>
      </c>
      <c r="D7856">
        <v>0</v>
      </c>
      <c r="E7856">
        <v>0</v>
      </c>
      <c r="F7856">
        <v>8454</v>
      </c>
      <c r="G7856">
        <f t="shared" si="122"/>
        <v>1577201990</v>
      </c>
    </row>
    <row r="7857" spans="1:7" x14ac:dyDescent="0.25">
      <c r="A7857">
        <v>1577202010</v>
      </c>
      <c r="B7857" t="s">
        <v>37376</v>
      </c>
      <c r="C7857">
        <v>1658</v>
      </c>
      <c r="D7857">
        <v>1</v>
      </c>
      <c r="E7857">
        <v>26</v>
      </c>
      <c r="F7857">
        <v>6894</v>
      </c>
      <c r="G7857">
        <f t="shared" si="122"/>
        <v>1577202010</v>
      </c>
    </row>
    <row r="7858" spans="1:7" x14ac:dyDescent="0.25">
      <c r="A7858">
        <v>1577202033</v>
      </c>
      <c r="B7858" t="s">
        <v>29925</v>
      </c>
      <c r="C7858">
        <v>205</v>
      </c>
      <c r="D7858">
        <v>1</v>
      </c>
      <c r="E7858">
        <v>904</v>
      </c>
      <c r="F7858">
        <v>4090</v>
      </c>
      <c r="G7858">
        <f t="shared" si="122"/>
        <v>1577202033</v>
      </c>
    </row>
    <row r="7859" spans="1:7" x14ac:dyDescent="0.25">
      <c r="A7859">
        <v>1577202064</v>
      </c>
      <c r="B7859" t="s">
        <v>29926</v>
      </c>
      <c r="C7859">
        <v>1019</v>
      </c>
      <c r="D7859">
        <v>1</v>
      </c>
      <c r="E7859">
        <v>26</v>
      </c>
      <c r="F7859">
        <v>6895</v>
      </c>
      <c r="G7859">
        <f t="shared" si="122"/>
        <v>1577202064</v>
      </c>
    </row>
    <row r="7860" spans="1:7" x14ac:dyDescent="0.25">
      <c r="A7860">
        <v>1577202073</v>
      </c>
      <c r="B7860" t="s">
        <v>37377</v>
      </c>
      <c r="C7860">
        <v>1535</v>
      </c>
      <c r="D7860">
        <v>2</v>
      </c>
      <c r="E7860">
        <v>8872</v>
      </c>
      <c r="F7860">
        <v>1740</v>
      </c>
      <c r="G7860">
        <f t="shared" si="122"/>
        <v>1577202073</v>
      </c>
    </row>
    <row r="7861" spans="1:7" x14ac:dyDescent="0.25">
      <c r="A7861">
        <v>1577202086</v>
      </c>
      <c r="B7861" t="s">
        <v>29927</v>
      </c>
      <c r="C7861">
        <v>235</v>
      </c>
      <c r="D7861">
        <v>1</v>
      </c>
      <c r="E7861">
        <v>1381</v>
      </c>
      <c r="F7861">
        <v>3674</v>
      </c>
      <c r="G7861">
        <f t="shared" si="122"/>
        <v>1577202086</v>
      </c>
    </row>
    <row r="7862" spans="1:7" x14ac:dyDescent="0.25">
      <c r="A7862">
        <v>1577202098</v>
      </c>
      <c r="B7862" t="s">
        <v>36923</v>
      </c>
      <c r="C7862">
        <v>0</v>
      </c>
      <c r="D7862">
        <v>1</v>
      </c>
      <c r="E7862">
        <v>2797</v>
      </c>
      <c r="F7862">
        <v>3042</v>
      </c>
      <c r="G7862">
        <f t="shared" si="122"/>
        <v>1577202098</v>
      </c>
    </row>
    <row r="7863" spans="1:7" x14ac:dyDescent="0.25">
      <c r="A7863">
        <v>1577202100</v>
      </c>
      <c r="B7863" t="s">
        <v>29928</v>
      </c>
      <c r="C7863">
        <v>0</v>
      </c>
      <c r="D7863">
        <v>0</v>
      </c>
      <c r="E7863">
        <v>0</v>
      </c>
      <c r="F7863">
        <v>8455</v>
      </c>
      <c r="G7863">
        <f t="shared" si="122"/>
        <v>1577202100</v>
      </c>
    </row>
    <row r="7864" spans="1:7" x14ac:dyDescent="0.25">
      <c r="A7864">
        <v>1577202101</v>
      </c>
      <c r="B7864" t="s">
        <v>36924</v>
      </c>
      <c r="C7864">
        <v>625</v>
      </c>
      <c r="D7864">
        <v>2</v>
      </c>
      <c r="E7864">
        <v>5660</v>
      </c>
      <c r="F7864">
        <v>2360</v>
      </c>
      <c r="G7864">
        <f t="shared" si="122"/>
        <v>1577202101</v>
      </c>
    </row>
    <row r="7865" spans="1:7" x14ac:dyDescent="0.25">
      <c r="A7865">
        <v>1577202150</v>
      </c>
      <c r="B7865" t="s">
        <v>29929</v>
      </c>
      <c r="C7865">
        <v>1128</v>
      </c>
      <c r="D7865">
        <v>1</v>
      </c>
      <c r="E7865">
        <v>317</v>
      </c>
      <c r="F7865">
        <v>5073</v>
      </c>
      <c r="G7865">
        <f t="shared" si="122"/>
        <v>1577202150</v>
      </c>
    </row>
    <row r="7866" spans="1:7" x14ac:dyDescent="0.25">
      <c r="A7866">
        <v>1577202152</v>
      </c>
      <c r="B7866" t="s">
        <v>29930</v>
      </c>
      <c r="C7866">
        <v>1858</v>
      </c>
      <c r="D7866">
        <v>1</v>
      </c>
      <c r="E7866">
        <v>794</v>
      </c>
      <c r="F7866">
        <v>4205</v>
      </c>
      <c r="G7866">
        <f t="shared" si="122"/>
        <v>1577202152</v>
      </c>
    </row>
    <row r="7867" spans="1:7" x14ac:dyDescent="0.25">
      <c r="A7867">
        <v>1577202162</v>
      </c>
      <c r="B7867" t="s">
        <v>29931</v>
      </c>
      <c r="C7867">
        <v>0</v>
      </c>
      <c r="D7867">
        <v>1</v>
      </c>
      <c r="E7867">
        <v>322</v>
      </c>
      <c r="F7867">
        <v>5071</v>
      </c>
      <c r="G7867">
        <f t="shared" si="122"/>
        <v>1577202162</v>
      </c>
    </row>
    <row r="7868" spans="1:7" x14ac:dyDescent="0.25">
      <c r="A7868">
        <v>1577202164</v>
      </c>
      <c r="B7868" t="s">
        <v>29932</v>
      </c>
      <c r="C7868">
        <v>1743</v>
      </c>
      <c r="D7868">
        <v>1</v>
      </c>
      <c r="E7868">
        <v>2726</v>
      </c>
      <c r="F7868">
        <v>3068</v>
      </c>
      <c r="G7868">
        <f t="shared" si="122"/>
        <v>1577202164</v>
      </c>
    </row>
    <row r="7869" spans="1:7" x14ac:dyDescent="0.25">
      <c r="A7869">
        <v>1577202192</v>
      </c>
      <c r="B7869" t="s">
        <v>29933</v>
      </c>
      <c r="C7869">
        <v>1602</v>
      </c>
      <c r="D7869">
        <v>1</v>
      </c>
      <c r="E7869">
        <v>707</v>
      </c>
      <c r="F7869">
        <v>4334</v>
      </c>
      <c r="G7869">
        <f t="shared" si="122"/>
        <v>1577202192</v>
      </c>
    </row>
    <row r="7870" spans="1:7" x14ac:dyDescent="0.25">
      <c r="A7870">
        <v>1577202193</v>
      </c>
      <c r="B7870" t="s">
        <v>29934</v>
      </c>
      <c r="C7870">
        <v>0</v>
      </c>
      <c r="D7870">
        <v>0</v>
      </c>
      <c r="E7870">
        <v>0</v>
      </c>
      <c r="F7870">
        <v>8456</v>
      </c>
      <c r="G7870">
        <f t="shared" si="122"/>
        <v>1577202193</v>
      </c>
    </row>
    <row r="7871" spans="1:7" x14ac:dyDescent="0.25">
      <c r="A7871">
        <v>1577202202</v>
      </c>
      <c r="B7871" t="s">
        <v>29935</v>
      </c>
      <c r="C7871">
        <v>1663</v>
      </c>
      <c r="D7871">
        <v>1</v>
      </c>
      <c r="E7871">
        <v>1511</v>
      </c>
      <c r="F7871">
        <v>3591</v>
      </c>
      <c r="G7871">
        <f t="shared" si="122"/>
        <v>1577202202</v>
      </c>
    </row>
    <row r="7872" spans="1:7" x14ac:dyDescent="0.25">
      <c r="A7872">
        <v>1577202208</v>
      </c>
      <c r="B7872" t="s">
        <v>29936</v>
      </c>
      <c r="C7872">
        <v>1413</v>
      </c>
      <c r="D7872">
        <v>0</v>
      </c>
      <c r="E7872">
        <v>0</v>
      </c>
      <c r="F7872">
        <v>8457</v>
      </c>
      <c r="G7872">
        <f t="shared" si="122"/>
        <v>1577202208</v>
      </c>
    </row>
    <row r="7873" spans="1:7" x14ac:dyDescent="0.25">
      <c r="A7873">
        <v>1577202209</v>
      </c>
      <c r="B7873" t="s">
        <v>29937</v>
      </c>
      <c r="C7873">
        <v>1971</v>
      </c>
      <c r="D7873">
        <v>1</v>
      </c>
      <c r="E7873">
        <v>316</v>
      </c>
      <c r="F7873">
        <v>5076</v>
      </c>
      <c r="G7873">
        <f t="shared" ref="G7873:G7936" si="123">A7873</f>
        <v>1577202209</v>
      </c>
    </row>
    <row r="7874" spans="1:7" x14ac:dyDescent="0.25">
      <c r="A7874">
        <v>1577202213</v>
      </c>
      <c r="B7874" t="s">
        <v>29938</v>
      </c>
      <c r="C7874">
        <v>0</v>
      </c>
      <c r="D7874">
        <v>1</v>
      </c>
      <c r="E7874">
        <v>1132</v>
      </c>
      <c r="F7874">
        <v>3848</v>
      </c>
      <c r="G7874">
        <f t="shared" si="123"/>
        <v>1577202213</v>
      </c>
    </row>
    <row r="7875" spans="1:7" x14ac:dyDescent="0.25">
      <c r="A7875">
        <v>1577202215</v>
      </c>
      <c r="B7875" t="s">
        <v>36925</v>
      </c>
      <c r="C7875">
        <v>1627</v>
      </c>
      <c r="D7875">
        <v>1</v>
      </c>
      <c r="E7875">
        <v>775</v>
      </c>
      <c r="F7875">
        <v>4239</v>
      </c>
      <c r="G7875">
        <f t="shared" si="123"/>
        <v>1577202215</v>
      </c>
    </row>
    <row r="7876" spans="1:7" x14ac:dyDescent="0.25">
      <c r="A7876">
        <v>1577202216</v>
      </c>
      <c r="B7876" t="s">
        <v>29939</v>
      </c>
      <c r="C7876">
        <v>1627</v>
      </c>
      <c r="D7876">
        <v>1</v>
      </c>
      <c r="E7876">
        <v>26</v>
      </c>
      <c r="F7876">
        <v>6896</v>
      </c>
      <c r="G7876">
        <f t="shared" si="123"/>
        <v>1577202216</v>
      </c>
    </row>
    <row r="7877" spans="1:7" x14ac:dyDescent="0.25">
      <c r="A7877">
        <v>1577202233</v>
      </c>
      <c r="B7877" t="s">
        <v>29940</v>
      </c>
      <c r="C7877">
        <v>0</v>
      </c>
      <c r="D7877">
        <v>1</v>
      </c>
      <c r="E7877">
        <v>73</v>
      </c>
      <c r="F7877">
        <v>6040</v>
      </c>
      <c r="G7877">
        <f t="shared" si="123"/>
        <v>1577202233</v>
      </c>
    </row>
    <row r="7878" spans="1:7" x14ac:dyDescent="0.25">
      <c r="A7878">
        <v>1577202247</v>
      </c>
      <c r="B7878" t="s">
        <v>29941</v>
      </c>
      <c r="C7878">
        <v>1019</v>
      </c>
      <c r="D7878">
        <v>1</v>
      </c>
      <c r="E7878">
        <v>26</v>
      </c>
      <c r="F7878">
        <v>6897</v>
      </c>
      <c r="G7878">
        <f t="shared" si="123"/>
        <v>1577202247</v>
      </c>
    </row>
    <row r="7879" spans="1:7" x14ac:dyDescent="0.25">
      <c r="A7879">
        <v>1577202257</v>
      </c>
      <c r="B7879" t="s">
        <v>29942</v>
      </c>
      <c r="C7879">
        <v>1373</v>
      </c>
      <c r="D7879">
        <v>2</v>
      </c>
      <c r="E7879">
        <v>4285</v>
      </c>
      <c r="F7879">
        <v>2688</v>
      </c>
      <c r="G7879">
        <f t="shared" si="123"/>
        <v>1577202257</v>
      </c>
    </row>
    <row r="7880" spans="1:7" x14ac:dyDescent="0.25">
      <c r="A7880">
        <v>1577202259</v>
      </c>
      <c r="B7880" t="s">
        <v>29943</v>
      </c>
      <c r="C7880">
        <v>1373</v>
      </c>
      <c r="D7880">
        <v>1</v>
      </c>
      <c r="E7880">
        <v>3450</v>
      </c>
      <c r="F7880">
        <v>2884</v>
      </c>
      <c r="G7880">
        <f t="shared" si="123"/>
        <v>1577202259</v>
      </c>
    </row>
    <row r="7881" spans="1:7" x14ac:dyDescent="0.25">
      <c r="A7881">
        <v>1577202268</v>
      </c>
      <c r="B7881" t="s">
        <v>29944</v>
      </c>
      <c r="C7881">
        <v>0</v>
      </c>
      <c r="D7881">
        <v>1</v>
      </c>
      <c r="E7881">
        <v>247</v>
      </c>
      <c r="F7881">
        <v>5323</v>
      </c>
      <c r="G7881">
        <f t="shared" si="123"/>
        <v>1577202268</v>
      </c>
    </row>
    <row r="7882" spans="1:7" x14ac:dyDescent="0.25">
      <c r="A7882">
        <v>1577202272</v>
      </c>
      <c r="B7882" t="s">
        <v>37378</v>
      </c>
      <c r="C7882">
        <v>0</v>
      </c>
      <c r="D7882">
        <v>1</v>
      </c>
      <c r="E7882">
        <v>737</v>
      </c>
      <c r="F7882">
        <v>4285</v>
      </c>
      <c r="G7882">
        <f t="shared" si="123"/>
        <v>1577202272</v>
      </c>
    </row>
    <row r="7883" spans="1:7" x14ac:dyDescent="0.25">
      <c r="A7883">
        <v>1577202277</v>
      </c>
      <c r="B7883" t="s">
        <v>29945</v>
      </c>
      <c r="C7883">
        <v>1663</v>
      </c>
      <c r="D7883">
        <v>0</v>
      </c>
      <c r="E7883">
        <v>0</v>
      </c>
      <c r="F7883">
        <v>8458</v>
      </c>
      <c r="G7883">
        <f t="shared" si="123"/>
        <v>1577202277</v>
      </c>
    </row>
    <row r="7884" spans="1:7" x14ac:dyDescent="0.25">
      <c r="A7884">
        <v>1577202294</v>
      </c>
      <c r="B7884" t="s">
        <v>29946</v>
      </c>
      <c r="C7884">
        <v>1362</v>
      </c>
      <c r="D7884">
        <v>1</v>
      </c>
      <c r="E7884">
        <v>465</v>
      </c>
      <c r="F7884">
        <v>4715</v>
      </c>
      <c r="G7884">
        <f t="shared" si="123"/>
        <v>1577202294</v>
      </c>
    </row>
    <row r="7885" spans="1:7" x14ac:dyDescent="0.25">
      <c r="A7885">
        <v>1577202300</v>
      </c>
      <c r="B7885" t="s">
        <v>29947</v>
      </c>
      <c r="C7885">
        <v>1340</v>
      </c>
      <c r="D7885">
        <v>6</v>
      </c>
      <c r="E7885">
        <v>16136</v>
      </c>
      <c r="F7885">
        <v>899</v>
      </c>
      <c r="G7885">
        <f t="shared" si="123"/>
        <v>1577202300</v>
      </c>
    </row>
    <row r="7886" spans="1:7" x14ac:dyDescent="0.25">
      <c r="A7886">
        <v>1577202304</v>
      </c>
      <c r="B7886" t="s">
        <v>29948</v>
      </c>
      <c r="C7886">
        <v>0</v>
      </c>
      <c r="D7886">
        <v>1</v>
      </c>
      <c r="E7886">
        <v>171</v>
      </c>
      <c r="F7886">
        <v>5613</v>
      </c>
      <c r="G7886">
        <f t="shared" si="123"/>
        <v>1577202304</v>
      </c>
    </row>
    <row r="7887" spans="1:7" x14ac:dyDescent="0.25">
      <c r="A7887">
        <v>1577202310</v>
      </c>
      <c r="B7887" t="s">
        <v>29949</v>
      </c>
      <c r="C7887">
        <v>754</v>
      </c>
      <c r="D7887">
        <v>1</v>
      </c>
      <c r="E7887">
        <v>240</v>
      </c>
      <c r="F7887">
        <v>5350</v>
      </c>
      <c r="G7887">
        <f t="shared" si="123"/>
        <v>1577202310</v>
      </c>
    </row>
    <row r="7888" spans="1:7" x14ac:dyDescent="0.25">
      <c r="A7888">
        <v>1577202333</v>
      </c>
      <c r="B7888" t="s">
        <v>29950</v>
      </c>
      <c r="C7888">
        <v>0</v>
      </c>
      <c r="D7888">
        <v>1</v>
      </c>
      <c r="E7888">
        <v>483</v>
      </c>
      <c r="F7888">
        <v>4678</v>
      </c>
      <c r="G7888">
        <f t="shared" si="123"/>
        <v>1577202333</v>
      </c>
    </row>
    <row r="7889" spans="1:7" x14ac:dyDescent="0.25">
      <c r="A7889">
        <v>1577202351</v>
      </c>
      <c r="B7889" t="s">
        <v>29951</v>
      </c>
      <c r="C7889">
        <v>0</v>
      </c>
      <c r="D7889">
        <v>1</v>
      </c>
      <c r="E7889">
        <v>44</v>
      </c>
      <c r="F7889">
        <v>6247</v>
      </c>
      <c r="G7889">
        <f t="shared" si="123"/>
        <v>1577202351</v>
      </c>
    </row>
    <row r="7890" spans="1:7" x14ac:dyDescent="0.25">
      <c r="A7890">
        <v>1577202361</v>
      </c>
      <c r="B7890" t="s">
        <v>29952</v>
      </c>
      <c r="C7890">
        <v>0</v>
      </c>
      <c r="D7890">
        <v>1</v>
      </c>
      <c r="E7890">
        <v>975</v>
      </c>
      <c r="F7890">
        <v>4009</v>
      </c>
      <c r="G7890">
        <f t="shared" si="123"/>
        <v>1577202361</v>
      </c>
    </row>
    <row r="7891" spans="1:7" x14ac:dyDescent="0.25">
      <c r="A7891">
        <v>1577202386</v>
      </c>
      <c r="B7891" t="s">
        <v>29953</v>
      </c>
      <c r="C7891">
        <v>0</v>
      </c>
      <c r="D7891">
        <v>1</v>
      </c>
      <c r="E7891">
        <v>259</v>
      </c>
      <c r="F7891">
        <v>5265</v>
      </c>
      <c r="G7891">
        <f t="shared" si="123"/>
        <v>1577202386</v>
      </c>
    </row>
    <row r="7892" spans="1:7" x14ac:dyDescent="0.25">
      <c r="A7892">
        <v>1577202407</v>
      </c>
      <c r="B7892" t="s">
        <v>29954</v>
      </c>
      <c r="C7892">
        <v>1806</v>
      </c>
      <c r="D7892">
        <v>1</v>
      </c>
      <c r="E7892">
        <v>2329</v>
      </c>
      <c r="F7892">
        <v>3220</v>
      </c>
      <c r="G7892">
        <f t="shared" si="123"/>
        <v>1577202407</v>
      </c>
    </row>
    <row r="7893" spans="1:7" x14ac:dyDescent="0.25">
      <c r="A7893">
        <v>1577202410</v>
      </c>
      <c r="B7893" t="s">
        <v>37379</v>
      </c>
      <c r="C7893">
        <v>0</v>
      </c>
      <c r="D7893">
        <v>1</v>
      </c>
      <c r="E7893">
        <v>88</v>
      </c>
      <c r="F7893">
        <v>5916</v>
      </c>
      <c r="G7893">
        <f t="shared" si="123"/>
        <v>1577202410</v>
      </c>
    </row>
    <row r="7894" spans="1:7" x14ac:dyDescent="0.25">
      <c r="A7894">
        <v>1577202413</v>
      </c>
      <c r="B7894" t="s">
        <v>29955</v>
      </c>
      <c r="C7894">
        <v>0</v>
      </c>
      <c r="D7894">
        <v>1</v>
      </c>
      <c r="E7894">
        <v>242</v>
      </c>
      <c r="F7894">
        <v>5340</v>
      </c>
      <c r="G7894">
        <f t="shared" si="123"/>
        <v>1577202413</v>
      </c>
    </row>
    <row r="7895" spans="1:7" x14ac:dyDescent="0.25">
      <c r="A7895">
        <v>1577202424</v>
      </c>
      <c r="B7895" t="s">
        <v>36926</v>
      </c>
      <c r="C7895">
        <v>235</v>
      </c>
      <c r="D7895">
        <v>1</v>
      </c>
      <c r="E7895">
        <v>2704</v>
      </c>
      <c r="F7895">
        <v>3076</v>
      </c>
      <c r="G7895">
        <f t="shared" si="123"/>
        <v>1577202424</v>
      </c>
    </row>
    <row r="7896" spans="1:7" x14ac:dyDescent="0.25">
      <c r="A7896">
        <v>1577202441</v>
      </c>
      <c r="B7896" t="s">
        <v>29956</v>
      </c>
      <c r="C7896">
        <v>0</v>
      </c>
      <c r="D7896">
        <v>1</v>
      </c>
      <c r="E7896">
        <v>121</v>
      </c>
      <c r="F7896">
        <v>5786</v>
      </c>
      <c r="G7896">
        <f t="shared" si="123"/>
        <v>1577202441</v>
      </c>
    </row>
    <row r="7897" spans="1:7" x14ac:dyDescent="0.25">
      <c r="A7897">
        <v>1577202446</v>
      </c>
      <c r="B7897" t="s">
        <v>29957</v>
      </c>
      <c r="C7897">
        <v>1643</v>
      </c>
      <c r="D7897">
        <v>1</v>
      </c>
      <c r="E7897">
        <v>1718</v>
      </c>
      <c r="F7897">
        <v>3488</v>
      </c>
      <c r="G7897">
        <f t="shared" si="123"/>
        <v>1577202446</v>
      </c>
    </row>
    <row r="7898" spans="1:7" x14ac:dyDescent="0.25">
      <c r="A7898">
        <v>1577202451</v>
      </c>
      <c r="B7898" t="s">
        <v>29958</v>
      </c>
      <c r="C7898">
        <v>1554</v>
      </c>
      <c r="D7898">
        <v>1</v>
      </c>
      <c r="E7898">
        <v>2075</v>
      </c>
      <c r="F7898">
        <v>3304</v>
      </c>
      <c r="G7898">
        <f t="shared" si="123"/>
        <v>1577202451</v>
      </c>
    </row>
    <row r="7899" spans="1:7" x14ac:dyDescent="0.25">
      <c r="A7899">
        <v>1577202457</v>
      </c>
      <c r="B7899" t="s">
        <v>29959</v>
      </c>
      <c r="C7899">
        <v>0</v>
      </c>
      <c r="D7899">
        <v>1</v>
      </c>
      <c r="E7899">
        <v>26</v>
      </c>
      <c r="F7899">
        <v>6898</v>
      </c>
      <c r="G7899">
        <f t="shared" si="123"/>
        <v>1577202457</v>
      </c>
    </row>
    <row r="7900" spans="1:7" x14ac:dyDescent="0.25">
      <c r="A7900">
        <v>1577202471</v>
      </c>
      <c r="B7900" t="s">
        <v>29960</v>
      </c>
      <c r="C7900">
        <v>0</v>
      </c>
      <c r="D7900">
        <v>1</v>
      </c>
      <c r="E7900">
        <v>26</v>
      </c>
      <c r="F7900">
        <v>6899</v>
      </c>
      <c r="G7900">
        <f t="shared" si="123"/>
        <v>1577202471</v>
      </c>
    </row>
    <row r="7901" spans="1:7" x14ac:dyDescent="0.25">
      <c r="A7901">
        <v>1577202480</v>
      </c>
      <c r="B7901" t="s">
        <v>29961</v>
      </c>
      <c r="C7901">
        <v>0</v>
      </c>
      <c r="D7901">
        <v>0</v>
      </c>
      <c r="E7901">
        <v>0</v>
      </c>
      <c r="F7901">
        <v>8459</v>
      </c>
      <c r="G7901">
        <f t="shared" si="123"/>
        <v>1577202480</v>
      </c>
    </row>
    <row r="7902" spans="1:7" x14ac:dyDescent="0.25">
      <c r="A7902">
        <v>1577202522</v>
      </c>
      <c r="B7902" t="s">
        <v>37380</v>
      </c>
      <c r="C7902">
        <v>0</v>
      </c>
      <c r="D7902">
        <v>1</v>
      </c>
      <c r="E7902">
        <v>26</v>
      </c>
      <c r="F7902">
        <v>6900</v>
      </c>
      <c r="G7902">
        <f t="shared" si="123"/>
        <v>1577202522</v>
      </c>
    </row>
    <row r="7903" spans="1:7" x14ac:dyDescent="0.25">
      <c r="A7903">
        <v>1577202534</v>
      </c>
      <c r="B7903" t="s">
        <v>29962</v>
      </c>
      <c r="C7903">
        <v>1617</v>
      </c>
      <c r="D7903">
        <v>1</v>
      </c>
      <c r="E7903">
        <v>1176</v>
      </c>
      <c r="F7903">
        <v>3815</v>
      </c>
      <c r="G7903">
        <f t="shared" si="123"/>
        <v>1577202534</v>
      </c>
    </row>
    <row r="7904" spans="1:7" x14ac:dyDescent="0.25">
      <c r="A7904">
        <v>1577202552</v>
      </c>
      <c r="B7904" t="s">
        <v>36927</v>
      </c>
      <c r="C7904">
        <v>1413</v>
      </c>
      <c r="D7904">
        <v>2</v>
      </c>
      <c r="E7904">
        <v>10196</v>
      </c>
      <c r="F7904">
        <v>1525</v>
      </c>
      <c r="G7904">
        <f t="shared" si="123"/>
        <v>1577202552</v>
      </c>
    </row>
    <row r="7905" spans="1:7" x14ac:dyDescent="0.25">
      <c r="A7905">
        <v>1577202553</v>
      </c>
      <c r="B7905" t="s">
        <v>3482</v>
      </c>
      <c r="C7905">
        <v>1913</v>
      </c>
      <c r="D7905">
        <v>1</v>
      </c>
      <c r="E7905">
        <v>1518</v>
      </c>
      <c r="F7905">
        <v>3586</v>
      </c>
      <c r="G7905">
        <f t="shared" si="123"/>
        <v>1577202553</v>
      </c>
    </row>
    <row r="7906" spans="1:7" x14ac:dyDescent="0.25">
      <c r="A7906">
        <v>1577202556</v>
      </c>
      <c r="B7906" t="s">
        <v>1269</v>
      </c>
      <c r="C7906">
        <v>0</v>
      </c>
      <c r="D7906">
        <v>1</v>
      </c>
      <c r="E7906">
        <v>2274</v>
      </c>
      <c r="F7906">
        <v>3217</v>
      </c>
      <c r="G7906">
        <f t="shared" si="123"/>
        <v>1577202556</v>
      </c>
    </row>
    <row r="7907" spans="1:7" x14ac:dyDescent="0.25">
      <c r="A7907">
        <v>1577202568</v>
      </c>
      <c r="B7907" t="s">
        <v>29963</v>
      </c>
      <c r="C7907">
        <v>625</v>
      </c>
      <c r="D7907">
        <v>1</v>
      </c>
      <c r="E7907">
        <v>2549</v>
      </c>
      <c r="F7907">
        <v>3117</v>
      </c>
      <c r="G7907">
        <f t="shared" si="123"/>
        <v>1577202568</v>
      </c>
    </row>
    <row r="7908" spans="1:7" x14ac:dyDescent="0.25">
      <c r="A7908">
        <v>1577202572</v>
      </c>
      <c r="B7908" t="s">
        <v>29964</v>
      </c>
      <c r="C7908">
        <v>0</v>
      </c>
      <c r="D7908">
        <v>0</v>
      </c>
      <c r="E7908">
        <v>0</v>
      </c>
      <c r="F7908">
        <v>8460</v>
      </c>
      <c r="G7908">
        <f t="shared" si="123"/>
        <v>1577202572</v>
      </c>
    </row>
    <row r="7909" spans="1:7" x14ac:dyDescent="0.25">
      <c r="A7909">
        <v>1577202574</v>
      </c>
      <c r="B7909" t="s">
        <v>36928</v>
      </c>
      <c r="C7909">
        <v>0</v>
      </c>
      <c r="D7909">
        <v>1</v>
      </c>
      <c r="E7909">
        <v>77</v>
      </c>
      <c r="F7909">
        <v>5998</v>
      </c>
      <c r="G7909">
        <f t="shared" si="123"/>
        <v>1577202574</v>
      </c>
    </row>
    <row r="7910" spans="1:7" x14ac:dyDescent="0.25">
      <c r="A7910">
        <v>1577202578</v>
      </c>
      <c r="B7910" t="s">
        <v>29965</v>
      </c>
      <c r="C7910">
        <v>2010</v>
      </c>
      <c r="D7910">
        <v>1</v>
      </c>
      <c r="E7910">
        <v>1044</v>
      </c>
      <c r="F7910">
        <v>3930</v>
      </c>
      <c r="G7910">
        <f t="shared" si="123"/>
        <v>1577202578</v>
      </c>
    </row>
    <row r="7911" spans="1:7" x14ac:dyDescent="0.25">
      <c r="A7911">
        <v>1577202585</v>
      </c>
      <c r="B7911" t="s">
        <v>29966</v>
      </c>
      <c r="C7911">
        <v>1972</v>
      </c>
      <c r="D7911">
        <v>1</v>
      </c>
      <c r="E7911">
        <v>1682</v>
      </c>
      <c r="F7911">
        <v>3508</v>
      </c>
      <c r="G7911">
        <f t="shared" si="123"/>
        <v>1577202585</v>
      </c>
    </row>
    <row r="7912" spans="1:7" x14ac:dyDescent="0.25">
      <c r="A7912">
        <v>1577202604</v>
      </c>
      <c r="B7912" t="s">
        <v>2524</v>
      </c>
      <c r="C7912">
        <v>1622</v>
      </c>
      <c r="D7912">
        <v>1</v>
      </c>
      <c r="E7912">
        <v>2163</v>
      </c>
      <c r="F7912">
        <v>3286</v>
      </c>
      <c r="G7912">
        <f t="shared" si="123"/>
        <v>1577202604</v>
      </c>
    </row>
    <row r="7913" spans="1:7" x14ac:dyDescent="0.25">
      <c r="A7913">
        <v>1577202622</v>
      </c>
      <c r="B7913" t="s">
        <v>29967</v>
      </c>
      <c r="C7913">
        <v>0</v>
      </c>
      <c r="D7913">
        <v>1</v>
      </c>
      <c r="E7913">
        <v>26</v>
      </c>
      <c r="F7913">
        <v>6901</v>
      </c>
      <c r="G7913">
        <f t="shared" si="123"/>
        <v>1577202622</v>
      </c>
    </row>
    <row r="7914" spans="1:7" x14ac:dyDescent="0.25">
      <c r="A7914">
        <v>1577202678</v>
      </c>
      <c r="B7914" t="s">
        <v>29968</v>
      </c>
      <c r="C7914">
        <v>638</v>
      </c>
      <c r="D7914">
        <v>0</v>
      </c>
      <c r="E7914">
        <v>0</v>
      </c>
      <c r="F7914">
        <v>8461</v>
      </c>
      <c r="G7914">
        <f t="shared" si="123"/>
        <v>1577202678</v>
      </c>
    </row>
    <row r="7915" spans="1:7" x14ac:dyDescent="0.25">
      <c r="A7915">
        <v>1577202690</v>
      </c>
      <c r="B7915" t="s">
        <v>29969</v>
      </c>
      <c r="C7915">
        <v>0</v>
      </c>
      <c r="D7915">
        <v>1</v>
      </c>
      <c r="E7915">
        <v>695</v>
      </c>
      <c r="F7915">
        <v>4351</v>
      </c>
      <c r="G7915">
        <f t="shared" si="123"/>
        <v>1577202690</v>
      </c>
    </row>
    <row r="7916" spans="1:7" x14ac:dyDescent="0.25">
      <c r="A7916">
        <v>1577202737</v>
      </c>
      <c r="B7916" t="s">
        <v>29970</v>
      </c>
      <c r="C7916">
        <v>74</v>
      </c>
      <c r="D7916">
        <v>1</v>
      </c>
      <c r="E7916">
        <v>921</v>
      </c>
      <c r="F7916">
        <v>4076</v>
      </c>
      <c r="G7916">
        <f t="shared" si="123"/>
        <v>1577202737</v>
      </c>
    </row>
    <row r="7917" spans="1:7" x14ac:dyDescent="0.25">
      <c r="A7917">
        <v>1577202748</v>
      </c>
      <c r="B7917" t="s">
        <v>29971</v>
      </c>
      <c r="C7917">
        <v>1850</v>
      </c>
      <c r="D7917">
        <v>1</v>
      </c>
      <c r="E7917">
        <v>1962</v>
      </c>
      <c r="F7917">
        <v>3367</v>
      </c>
      <c r="G7917">
        <f t="shared" si="123"/>
        <v>1577202748</v>
      </c>
    </row>
    <row r="7918" spans="1:7" x14ac:dyDescent="0.25">
      <c r="A7918">
        <v>1577202765</v>
      </c>
      <c r="B7918" t="s">
        <v>29972</v>
      </c>
      <c r="C7918">
        <v>1373</v>
      </c>
      <c r="D7918">
        <v>1</v>
      </c>
      <c r="E7918">
        <v>4337</v>
      </c>
      <c r="F7918">
        <v>2671</v>
      </c>
      <c r="G7918">
        <f t="shared" si="123"/>
        <v>1577202765</v>
      </c>
    </row>
    <row r="7919" spans="1:7" x14ac:dyDescent="0.25">
      <c r="A7919">
        <v>1577202769</v>
      </c>
      <c r="B7919" t="s">
        <v>36929</v>
      </c>
      <c r="C7919">
        <v>1974</v>
      </c>
      <c r="D7919">
        <v>1</v>
      </c>
      <c r="E7919">
        <v>764</v>
      </c>
      <c r="F7919">
        <v>4250</v>
      </c>
      <c r="G7919">
        <f t="shared" si="123"/>
        <v>1577202769</v>
      </c>
    </row>
    <row r="7920" spans="1:7" x14ac:dyDescent="0.25">
      <c r="A7920">
        <v>1577202780</v>
      </c>
      <c r="B7920" t="s">
        <v>29973</v>
      </c>
      <c r="C7920">
        <v>1867</v>
      </c>
      <c r="D7920">
        <v>1</v>
      </c>
      <c r="E7920">
        <v>1790</v>
      </c>
      <c r="F7920">
        <v>3449</v>
      </c>
      <c r="G7920">
        <f t="shared" si="123"/>
        <v>1577202780</v>
      </c>
    </row>
    <row r="7921" spans="1:7" x14ac:dyDescent="0.25">
      <c r="A7921">
        <v>1577202783</v>
      </c>
      <c r="B7921" t="s">
        <v>29974</v>
      </c>
      <c r="C7921">
        <v>1880</v>
      </c>
      <c r="D7921">
        <v>1</v>
      </c>
      <c r="E7921">
        <v>1323</v>
      </c>
      <c r="F7921">
        <v>3710</v>
      </c>
      <c r="G7921">
        <f t="shared" si="123"/>
        <v>1577202783</v>
      </c>
    </row>
    <row r="7922" spans="1:7" x14ac:dyDescent="0.25">
      <c r="A7922">
        <v>1577202788</v>
      </c>
      <c r="B7922" t="s">
        <v>29975</v>
      </c>
      <c r="C7922">
        <v>1509</v>
      </c>
      <c r="D7922">
        <v>1</v>
      </c>
      <c r="E7922">
        <v>897</v>
      </c>
      <c r="F7922">
        <v>4095</v>
      </c>
      <c r="G7922">
        <f t="shared" si="123"/>
        <v>1577202788</v>
      </c>
    </row>
    <row r="7923" spans="1:7" x14ac:dyDescent="0.25">
      <c r="A7923">
        <v>1577202794</v>
      </c>
      <c r="B7923" t="s">
        <v>37381</v>
      </c>
      <c r="C7923">
        <v>0</v>
      </c>
      <c r="D7923">
        <v>1</v>
      </c>
      <c r="E7923">
        <v>3858</v>
      </c>
      <c r="F7923">
        <v>2797</v>
      </c>
      <c r="G7923">
        <f t="shared" si="123"/>
        <v>1577202794</v>
      </c>
    </row>
    <row r="7924" spans="1:7" x14ac:dyDescent="0.25">
      <c r="A7924">
        <v>1577202804</v>
      </c>
      <c r="B7924" t="s">
        <v>29976</v>
      </c>
      <c r="C7924">
        <v>0</v>
      </c>
      <c r="D7924">
        <v>0</v>
      </c>
      <c r="E7924">
        <v>0</v>
      </c>
      <c r="F7924">
        <v>8462</v>
      </c>
      <c r="G7924">
        <f t="shared" si="123"/>
        <v>1577202804</v>
      </c>
    </row>
    <row r="7925" spans="1:7" x14ac:dyDescent="0.25">
      <c r="A7925">
        <v>1577202806</v>
      </c>
      <c r="B7925" t="s">
        <v>29977</v>
      </c>
      <c r="C7925">
        <v>1296</v>
      </c>
      <c r="D7925">
        <v>1</v>
      </c>
      <c r="E7925">
        <v>701</v>
      </c>
      <c r="F7925">
        <v>4343</v>
      </c>
      <c r="G7925">
        <f t="shared" si="123"/>
        <v>1577202806</v>
      </c>
    </row>
    <row r="7926" spans="1:7" x14ac:dyDescent="0.25">
      <c r="A7926">
        <v>1577202824</v>
      </c>
      <c r="B7926" t="s">
        <v>29978</v>
      </c>
      <c r="C7926">
        <v>0</v>
      </c>
      <c r="D7926">
        <v>1</v>
      </c>
      <c r="E7926">
        <v>104</v>
      </c>
      <c r="F7926">
        <v>5867</v>
      </c>
      <c r="G7926">
        <f t="shared" si="123"/>
        <v>1577202824</v>
      </c>
    </row>
    <row r="7927" spans="1:7" x14ac:dyDescent="0.25">
      <c r="A7927">
        <v>1577202825</v>
      </c>
      <c r="B7927" t="s">
        <v>29979</v>
      </c>
      <c r="C7927">
        <v>0</v>
      </c>
      <c r="D7927">
        <v>1</v>
      </c>
      <c r="E7927">
        <v>241</v>
      </c>
      <c r="F7927">
        <v>5346</v>
      </c>
      <c r="G7927">
        <f t="shared" si="123"/>
        <v>1577202825</v>
      </c>
    </row>
    <row r="7928" spans="1:7" x14ac:dyDescent="0.25">
      <c r="A7928">
        <v>1577202839</v>
      </c>
      <c r="B7928" t="s">
        <v>37203</v>
      </c>
      <c r="C7928">
        <v>0</v>
      </c>
      <c r="D7928">
        <v>1</v>
      </c>
      <c r="E7928">
        <v>199</v>
      </c>
      <c r="F7928">
        <v>5504</v>
      </c>
      <c r="G7928">
        <f t="shared" si="123"/>
        <v>1577202839</v>
      </c>
    </row>
    <row r="7929" spans="1:7" x14ac:dyDescent="0.25">
      <c r="A7929">
        <v>1577202845</v>
      </c>
      <c r="B7929" t="s">
        <v>29980</v>
      </c>
      <c r="C7929">
        <v>0</v>
      </c>
      <c r="D7929">
        <v>1</v>
      </c>
      <c r="E7929">
        <v>377</v>
      </c>
      <c r="F7929">
        <v>4910</v>
      </c>
      <c r="G7929">
        <f t="shared" si="123"/>
        <v>1577202845</v>
      </c>
    </row>
    <row r="7930" spans="1:7" x14ac:dyDescent="0.25">
      <c r="A7930">
        <v>1577202863</v>
      </c>
      <c r="B7930" t="s">
        <v>36930</v>
      </c>
      <c r="C7930">
        <v>0</v>
      </c>
      <c r="D7930">
        <v>1</v>
      </c>
      <c r="E7930">
        <v>60</v>
      </c>
      <c r="F7930">
        <v>6108</v>
      </c>
      <c r="G7930">
        <f t="shared" si="123"/>
        <v>1577202863</v>
      </c>
    </row>
    <row r="7931" spans="1:7" x14ac:dyDescent="0.25">
      <c r="A7931">
        <v>1577202894</v>
      </c>
      <c r="B7931" t="s">
        <v>29981</v>
      </c>
      <c r="C7931">
        <v>1340</v>
      </c>
      <c r="D7931">
        <v>3</v>
      </c>
      <c r="E7931">
        <v>7442</v>
      </c>
      <c r="F7931">
        <v>1990</v>
      </c>
      <c r="G7931">
        <f t="shared" si="123"/>
        <v>1577202894</v>
      </c>
    </row>
    <row r="7932" spans="1:7" x14ac:dyDescent="0.25">
      <c r="A7932">
        <v>1577202902</v>
      </c>
      <c r="B7932" t="s">
        <v>36931</v>
      </c>
      <c r="C7932">
        <v>1541</v>
      </c>
      <c r="D7932">
        <v>1</v>
      </c>
      <c r="E7932">
        <v>26</v>
      </c>
      <c r="F7932">
        <v>6902</v>
      </c>
      <c r="G7932">
        <f t="shared" si="123"/>
        <v>1577202902</v>
      </c>
    </row>
    <row r="7933" spans="1:7" x14ac:dyDescent="0.25">
      <c r="A7933">
        <v>1577202908</v>
      </c>
      <c r="B7933" t="s">
        <v>29982</v>
      </c>
      <c r="C7933">
        <v>186</v>
      </c>
      <c r="D7933">
        <v>1</v>
      </c>
      <c r="E7933">
        <v>4225</v>
      </c>
      <c r="F7933">
        <v>2707</v>
      </c>
      <c r="G7933">
        <f t="shared" si="123"/>
        <v>1577202908</v>
      </c>
    </row>
    <row r="7934" spans="1:7" x14ac:dyDescent="0.25">
      <c r="A7934">
        <v>1577202921</v>
      </c>
      <c r="B7934" t="s">
        <v>29983</v>
      </c>
      <c r="C7934">
        <v>205</v>
      </c>
      <c r="D7934">
        <v>1</v>
      </c>
      <c r="E7934">
        <v>934</v>
      </c>
      <c r="F7934">
        <v>4064</v>
      </c>
      <c r="G7934">
        <f t="shared" si="123"/>
        <v>1577202921</v>
      </c>
    </row>
    <row r="7935" spans="1:7" x14ac:dyDescent="0.25">
      <c r="A7935">
        <v>1577202956</v>
      </c>
      <c r="B7935" t="s">
        <v>29984</v>
      </c>
      <c r="C7935">
        <v>1787</v>
      </c>
      <c r="D7935">
        <v>1</v>
      </c>
      <c r="E7935">
        <v>4253</v>
      </c>
      <c r="F7935">
        <v>2699</v>
      </c>
      <c r="G7935">
        <f t="shared" si="123"/>
        <v>1577202956</v>
      </c>
    </row>
    <row r="7936" spans="1:7" x14ac:dyDescent="0.25">
      <c r="A7936">
        <v>1577202983</v>
      </c>
      <c r="B7936" t="s">
        <v>29985</v>
      </c>
      <c r="C7936">
        <v>0</v>
      </c>
      <c r="D7936">
        <v>1</v>
      </c>
      <c r="E7936">
        <v>612</v>
      </c>
      <c r="F7936">
        <v>4456</v>
      </c>
      <c r="G7936">
        <f t="shared" si="123"/>
        <v>1577202983</v>
      </c>
    </row>
    <row r="7937" spans="1:7" x14ac:dyDescent="0.25">
      <c r="A7937">
        <v>1577203001</v>
      </c>
      <c r="B7937" t="s">
        <v>29986</v>
      </c>
      <c r="C7937">
        <v>1753</v>
      </c>
      <c r="D7937">
        <v>1</v>
      </c>
      <c r="E7937">
        <v>2250</v>
      </c>
      <c r="F7937">
        <v>3224</v>
      </c>
      <c r="G7937">
        <f t="shared" ref="G7937:G8000" si="124">A7937</f>
        <v>1577203001</v>
      </c>
    </row>
    <row r="7938" spans="1:7" x14ac:dyDescent="0.25">
      <c r="A7938">
        <v>1577203028</v>
      </c>
      <c r="B7938" t="s">
        <v>29987</v>
      </c>
      <c r="C7938">
        <v>0</v>
      </c>
      <c r="D7938">
        <v>0</v>
      </c>
      <c r="E7938">
        <v>0</v>
      </c>
      <c r="F7938">
        <v>8463</v>
      </c>
      <c r="G7938">
        <f t="shared" si="124"/>
        <v>1577203028</v>
      </c>
    </row>
    <row r="7939" spans="1:7" x14ac:dyDescent="0.25">
      <c r="A7939">
        <v>1577203035</v>
      </c>
      <c r="B7939" t="s">
        <v>29988</v>
      </c>
      <c r="C7939">
        <v>625</v>
      </c>
      <c r="D7939">
        <v>1</v>
      </c>
      <c r="E7939">
        <v>4496</v>
      </c>
      <c r="F7939">
        <v>2621</v>
      </c>
      <c r="G7939">
        <f t="shared" si="124"/>
        <v>1577203035</v>
      </c>
    </row>
    <row r="7940" spans="1:7" x14ac:dyDescent="0.25">
      <c r="A7940">
        <v>1577203058</v>
      </c>
      <c r="B7940" t="s">
        <v>29989</v>
      </c>
      <c r="C7940">
        <v>0</v>
      </c>
      <c r="D7940">
        <v>0</v>
      </c>
      <c r="E7940">
        <v>0</v>
      </c>
      <c r="F7940">
        <v>8464</v>
      </c>
      <c r="G7940">
        <f t="shared" si="124"/>
        <v>1577203058</v>
      </c>
    </row>
    <row r="7941" spans="1:7" x14ac:dyDescent="0.25">
      <c r="A7941">
        <v>1577203074</v>
      </c>
      <c r="B7941" t="s">
        <v>29990</v>
      </c>
      <c r="C7941">
        <v>0</v>
      </c>
      <c r="D7941">
        <v>1</v>
      </c>
      <c r="E7941">
        <v>467</v>
      </c>
      <c r="F7941">
        <v>4706</v>
      </c>
      <c r="G7941">
        <f t="shared" si="124"/>
        <v>1577203074</v>
      </c>
    </row>
    <row r="7942" spans="1:7" x14ac:dyDescent="0.25">
      <c r="A7942">
        <v>1577203079</v>
      </c>
      <c r="B7942" t="s">
        <v>29991</v>
      </c>
      <c r="C7942">
        <v>1787</v>
      </c>
      <c r="D7942">
        <v>1</v>
      </c>
      <c r="E7942">
        <v>4411</v>
      </c>
      <c r="F7942">
        <v>2646</v>
      </c>
      <c r="G7942">
        <f t="shared" si="124"/>
        <v>1577203079</v>
      </c>
    </row>
    <row r="7943" spans="1:7" x14ac:dyDescent="0.25">
      <c r="A7943">
        <v>1577203084</v>
      </c>
      <c r="B7943" t="s">
        <v>29992</v>
      </c>
      <c r="C7943">
        <v>1357</v>
      </c>
      <c r="D7943">
        <v>1</v>
      </c>
      <c r="E7943">
        <v>1207</v>
      </c>
      <c r="F7943">
        <v>3794</v>
      </c>
      <c r="G7943">
        <f t="shared" si="124"/>
        <v>1577203084</v>
      </c>
    </row>
    <row r="7944" spans="1:7" x14ac:dyDescent="0.25">
      <c r="A7944">
        <v>1577203101</v>
      </c>
      <c r="B7944" t="s">
        <v>29993</v>
      </c>
      <c r="C7944">
        <v>1413</v>
      </c>
      <c r="D7944">
        <v>1</v>
      </c>
      <c r="E7944">
        <v>4408</v>
      </c>
      <c r="F7944">
        <v>2647</v>
      </c>
      <c r="G7944">
        <f t="shared" si="124"/>
        <v>1577203101</v>
      </c>
    </row>
    <row r="7945" spans="1:7" x14ac:dyDescent="0.25">
      <c r="A7945">
        <v>1577203104</v>
      </c>
      <c r="B7945" t="s">
        <v>29994</v>
      </c>
      <c r="C7945">
        <v>1643</v>
      </c>
      <c r="D7945">
        <v>1</v>
      </c>
      <c r="E7945">
        <v>1754</v>
      </c>
      <c r="F7945">
        <v>3470</v>
      </c>
      <c r="G7945">
        <f t="shared" si="124"/>
        <v>1577203104</v>
      </c>
    </row>
    <row r="7946" spans="1:7" x14ac:dyDescent="0.25">
      <c r="A7946">
        <v>1577203124</v>
      </c>
      <c r="B7946" t="s">
        <v>29995</v>
      </c>
      <c r="C7946">
        <v>0</v>
      </c>
      <c r="D7946">
        <v>1</v>
      </c>
      <c r="E7946">
        <v>370</v>
      </c>
      <c r="F7946">
        <v>4930</v>
      </c>
      <c r="G7946">
        <f t="shared" si="124"/>
        <v>1577203124</v>
      </c>
    </row>
    <row r="7947" spans="1:7" x14ac:dyDescent="0.25">
      <c r="A7947">
        <v>1577203128</v>
      </c>
      <c r="B7947" t="s">
        <v>29996</v>
      </c>
      <c r="C7947">
        <v>1913</v>
      </c>
      <c r="D7947">
        <v>1</v>
      </c>
      <c r="E7947">
        <v>697</v>
      </c>
      <c r="F7947">
        <v>4349</v>
      </c>
      <c r="G7947">
        <f t="shared" si="124"/>
        <v>1577203128</v>
      </c>
    </row>
    <row r="7948" spans="1:7" x14ac:dyDescent="0.25">
      <c r="A7948">
        <v>1577203131</v>
      </c>
      <c r="B7948" t="s">
        <v>29997</v>
      </c>
      <c r="C7948">
        <v>0</v>
      </c>
      <c r="D7948">
        <v>0</v>
      </c>
      <c r="E7948">
        <v>0</v>
      </c>
      <c r="F7948">
        <v>8465</v>
      </c>
      <c r="G7948">
        <f t="shared" si="124"/>
        <v>1577203131</v>
      </c>
    </row>
    <row r="7949" spans="1:7" x14ac:dyDescent="0.25">
      <c r="A7949">
        <v>1577203135</v>
      </c>
      <c r="B7949" t="s">
        <v>29998</v>
      </c>
      <c r="C7949">
        <v>1412</v>
      </c>
      <c r="D7949">
        <v>1</v>
      </c>
      <c r="E7949">
        <v>3250</v>
      </c>
      <c r="F7949">
        <v>2933</v>
      </c>
      <c r="G7949">
        <f t="shared" si="124"/>
        <v>1577203135</v>
      </c>
    </row>
    <row r="7950" spans="1:7" x14ac:dyDescent="0.25">
      <c r="A7950">
        <v>1577203137</v>
      </c>
      <c r="B7950" t="s">
        <v>29999</v>
      </c>
      <c r="C7950">
        <v>0</v>
      </c>
      <c r="D7950">
        <v>1</v>
      </c>
      <c r="E7950">
        <v>572</v>
      </c>
      <c r="F7950">
        <v>4511</v>
      </c>
      <c r="G7950">
        <f t="shared" si="124"/>
        <v>1577203137</v>
      </c>
    </row>
    <row r="7951" spans="1:7" x14ac:dyDescent="0.25">
      <c r="A7951">
        <v>1577203161</v>
      </c>
      <c r="B7951" t="s">
        <v>30000</v>
      </c>
      <c r="C7951">
        <v>1695</v>
      </c>
      <c r="D7951">
        <v>1</v>
      </c>
      <c r="E7951">
        <v>1499</v>
      </c>
      <c r="F7951">
        <v>3597</v>
      </c>
      <c r="G7951">
        <f t="shared" si="124"/>
        <v>1577203161</v>
      </c>
    </row>
    <row r="7952" spans="1:7" x14ac:dyDescent="0.25">
      <c r="A7952">
        <v>1577203220</v>
      </c>
      <c r="B7952" t="s">
        <v>30001</v>
      </c>
      <c r="C7952">
        <v>0</v>
      </c>
      <c r="D7952">
        <v>1</v>
      </c>
      <c r="E7952">
        <v>231</v>
      </c>
      <c r="F7952">
        <v>5385</v>
      </c>
      <c r="G7952">
        <f t="shared" si="124"/>
        <v>1577203220</v>
      </c>
    </row>
    <row r="7953" spans="1:7" x14ac:dyDescent="0.25">
      <c r="A7953">
        <v>1577203228</v>
      </c>
      <c r="B7953" t="s">
        <v>30002</v>
      </c>
      <c r="C7953">
        <v>0</v>
      </c>
      <c r="D7953">
        <v>0</v>
      </c>
      <c r="E7953">
        <v>0</v>
      </c>
      <c r="F7953">
        <v>8466</v>
      </c>
      <c r="G7953">
        <f t="shared" si="124"/>
        <v>1577203228</v>
      </c>
    </row>
    <row r="7954" spans="1:7" x14ac:dyDescent="0.25">
      <c r="A7954">
        <v>1577203244</v>
      </c>
      <c r="B7954" t="s">
        <v>30003</v>
      </c>
      <c r="C7954">
        <v>0</v>
      </c>
      <c r="D7954">
        <v>1</v>
      </c>
      <c r="E7954">
        <v>978</v>
      </c>
      <c r="F7954">
        <v>4026</v>
      </c>
      <c r="G7954">
        <f t="shared" si="124"/>
        <v>1577203244</v>
      </c>
    </row>
    <row r="7955" spans="1:7" x14ac:dyDescent="0.25">
      <c r="A7955">
        <v>1577203254</v>
      </c>
      <c r="B7955" t="s">
        <v>30004</v>
      </c>
      <c r="C7955">
        <v>0</v>
      </c>
      <c r="D7955">
        <v>1</v>
      </c>
      <c r="E7955">
        <v>189</v>
      </c>
      <c r="F7955">
        <v>5547</v>
      </c>
      <c r="G7955">
        <f t="shared" si="124"/>
        <v>1577203254</v>
      </c>
    </row>
    <row r="7956" spans="1:7" x14ac:dyDescent="0.25">
      <c r="A7956">
        <v>1577203319</v>
      </c>
      <c r="B7956" t="s">
        <v>30005</v>
      </c>
      <c r="C7956">
        <v>1539</v>
      </c>
      <c r="D7956">
        <v>1</v>
      </c>
      <c r="E7956">
        <v>594</v>
      </c>
      <c r="F7956">
        <v>4476</v>
      </c>
      <c r="G7956">
        <f t="shared" si="124"/>
        <v>1577203319</v>
      </c>
    </row>
    <row r="7957" spans="1:7" x14ac:dyDescent="0.25">
      <c r="A7957">
        <v>1577203365</v>
      </c>
      <c r="B7957" t="s">
        <v>30006</v>
      </c>
      <c r="C7957">
        <v>0</v>
      </c>
      <c r="D7957">
        <v>0</v>
      </c>
      <c r="E7957">
        <v>0</v>
      </c>
      <c r="F7957">
        <v>8467</v>
      </c>
      <c r="G7957">
        <f t="shared" si="124"/>
        <v>1577203365</v>
      </c>
    </row>
    <row r="7958" spans="1:7" x14ac:dyDescent="0.25">
      <c r="A7958">
        <v>1577203368</v>
      </c>
      <c r="B7958" t="s">
        <v>30007</v>
      </c>
      <c r="C7958">
        <v>0</v>
      </c>
      <c r="D7958">
        <v>1</v>
      </c>
      <c r="E7958">
        <v>26</v>
      </c>
      <c r="F7958">
        <v>6903</v>
      </c>
      <c r="G7958">
        <f t="shared" si="124"/>
        <v>1577203368</v>
      </c>
    </row>
    <row r="7959" spans="1:7" x14ac:dyDescent="0.25">
      <c r="A7959">
        <v>1577203457</v>
      </c>
      <c r="B7959" t="s">
        <v>30008</v>
      </c>
      <c r="C7959">
        <v>0</v>
      </c>
      <c r="D7959">
        <v>0</v>
      </c>
      <c r="E7959">
        <v>0</v>
      </c>
      <c r="F7959">
        <v>8468</v>
      </c>
      <c r="G7959">
        <f t="shared" si="124"/>
        <v>1577203457</v>
      </c>
    </row>
    <row r="7960" spans="1:7" x14ac:dyDescent="0.25">
      <c r="A7960">
        <v>1577203459</v>
      </c>
      <c r="B7960" t="s">
        <v>36932</v>
      </c>
      <c r="C7960">
        <v>274</v>
      </c>
      <c r="D7960">
        <v>1</v>
      </c>
      <c r="E7960">
        <v>3361</v>
      </c>
      <c r="F7960">
        <v>2913</v>
      </c>
      <c r="G7960">
        <f t="shared" si="124"/>
        <v>1577203459</v>
      </c>
    </row>
    <row r="7961" spans="1:7" x14ac:dyDescent="0.25">
      <c r="A7961">
        <v>1577203464</v>
      </c>
      <c r="B7961" t="s">
        <v>30009</v>
      </c>
      <c r="C7961">
        <v>413</v>
      </c>
      <c r="D7961">
        <v>1</v>
      </c>
      <c r="E7961">
        <v>2764</v>
      </c>
      <c r="F7961">
        <v>3052</v>
      </c>
      <c r="G7961">
        <f t="shared" si="124"/>
        <v>1577203464</v>
      </c>
    </row>
    <row r="7962" spans="1:7" x14ac:dyDescent="0.25">
      <c r="A7962">
        <v>1577203465</v>
      </c>
      <c r="B7962" t="s">
        <v>30010</v>
      </c>
      <c r="C7962">
        <v>887</v>
      </c>
      <c r="D7962">
        <v>1</v>
      </c>
      <c r="E7962">
        <v>4171</v>
      </c>
      <c r="F7962">
        <v>2724</v>
      </c>
      <c r="G7962">
        <f t="shared" si="124"/>
        <v>1577203465</v>
      </c>
    </row>
    <row r="7963" spans="1:7" x14ac:dyDescent="0.25">
      <c r="A7963">
        <v>1577203479</v>
      </c>
      <c r="B7963" t="s">
        <v>30011</v>
      </c>
      <c r="C7963">
        <v>1716</v>
      </c>
      <c r="D7963">
        <v>0</v>
      </c>
      <c r="E7963">
        <v>0</v>
      </c>
      <c r="F7963">
        <v>8469</v>
      </c>
      <c r="G7963">
        <f t="shared" si="124"/>
        <v>1577203479</v>
      </c>
    </row>
    <row r="7964" spans="1:7" x14ac:dyDescent="0.25">
      <c r="A7964">
        <v>1577203525</v>
      </c>
      <c r="B7964" t="s">
        <v>30012</v>
      </c>
      <c r="C7964">
        <v>0</v>
      </c>
      <c r="D7964">
        <v>1</v>
      </c>
      <c r="E7964">
        <v>2410</v>
      </c>
      <c r="F7964">
        <v>3171</v>
      </c>
      <c r="G7964">
        <f t="shared" si="124"/>
        <v>1577203525</v>
      </c>
    </row>
    <row r="7965" spans="1:7" x14ac:dyDescent="0.25">
      <c r="A7965">
        <v>1577203526</v>
      </c>
      <c r="B7965" t="s">
        <v>30013</v>
      </c>
      <c r="C7965">
        <v>0</v>
      </c>
      <c r="D7965">
        <v>1</v>
      </c>
      <c r="E7965">
        <v>26</v>
      </c>
      <c r="F7965">
        <v>6904</v>
      </c>
      <c r="G7965">
        <f t="shared" si="124"/>
        <v>1577203526</v>
      </c>
    </row>
    <row r="7966" spans="1:7" x14ac:dyDescent="0.25">
      <c r="A7966">
        <v>1577203529</v>
      </c>
      <c r="B7966" t="s">
        <v>30014</v>
      </c>
      <c r="C7966">
        <v>0</v>
      </c>
      <c r="D7966">
        <v>1</v>
      </c>
      <c r="E7966">
        <v>2509</v>
      </c>
      <c r="F7966">
        <v>3143</v>
      </c>
      <c r="G7966">
        <f t="shared" si="124"/>
        <v>1577203529</v>
      </c>
    </row>
    <row r="7967" spans="1:7" x14ac:dyDescent="0.25">
      <c r="A7967">
        <v>1577203538</v>
      </c>
      <c r="B7967" t="s">
        <v>36933</v>
      </c>
      <c r="C7967">
        <v>1775</v>
      </c>
      <c r="D7967">
        <v>2</v>
      </c>
      <c r="E7967">
        <v>5329</v>
      </c>
      <c r="F7967">
        <v>2444</v>
      </c>
      <c r="G7967">
        <f t="shared" si="124"/>
        <v>1577203538</v>
      </c>
    </row>
    <row r="7968" spans="1:7" x14ac:dyDescent="0.25">
      <c r="A7968">
        <v>1577203539</v>
      </c>
      <c r="B7968" t="s">
        <v>37204</v>
      </c>
      <c r="C7968">
        <v>1459</v>
      </c>
      <c r="D7968">
        <v>1</v>
      </c>
      <c r="E7968">
        <v>26</v>
      </c>
      <c r="F7968">
        <v>6905</v>
      </c>
      <c r="G7968">
        <f t="shared" si="124"/>
        <v>1577203539</v>
      </c>
    </row>
    <row r="7969" spans="1:7" x14ac:dyDescent="0.25">
      <c r="A7969">
        <v>1577203551</v>
      </c>
      <c r="B7969" t="s">
        <v>36934</v>
      </c>
      <c r="C7969">
        <v>1373</v>
      </c>
      <c r="D7969">
        <v>1</v>
      </c>
      <c r="E7969">
        <v>1632</v>
      </c>
      <c r="F7969">
        <v>3530</v>
      </c>
      <c r="G7969">
        <f t="shared" si="124"/>
        <v>1577203551</v>
      </c>
    </row>
    <row r="7970" spans="1:7" x14ac:dyDescent="0.25">
      <c r="A7970">
        <v>1577203555</v>
      </c>
      <c r="B7970" t="s">
        <v>30015</v>
      </c>
      <c r="C7970">
        <v>1373</v>
      </c>
      <c r="D7970">
        <v>1</v>
      </c>
      <c r="E7970">
        <v>2008</v>
      </c>
      <c r="F7970">
        <v>3341</v>
      </c>
      <c r="G7970">
        <f t="shared" si="124"/>
        <v>1577203555</v>
      </c>
    </row>
    <row r="7971" spans="1:7" x14ac:dyDescent="0.25">
      <c r="A7971">
        <v>1577203577</v>
      </c>
      <c r="B7971" t="s">
        <v>30016</v>
      </c>
      <c r="C7971">
        <v>1643</v>
      </c>
      <c r="D7971">
        <v>1</v>
      </c>
      <c r="E7971">
        <v>2045</v>
      </c>
      <c r="F7971">
        <v>3324</v>
      </c>
      <c r="G7971">
        <f t="shared" si="124"/>
        <v>1577203577</v>
      </c>
    </row>
    <row r="7972" spans="1:7" x14ac:dyDescent="0.25">
      <c r="A7972">
        <v>1577203598</v>
      </c>
      <c r="B7972" t="s">
        <v>30017</v>
      </c>
      <c r="C7972">
        <v>1588</v>
      </c>
      <c r="D7972">
        <v>0</v>
      </c>
      <c r="E7972">
        <v>0</v>
      </c>
      <c r="F7972">
        <v>8470</v>
      </c>
      <c r="G7972">
        <f t="shared" si="124"/>
        <v>1577203598</v>
      </c>
    </row>
    <row r="7973" spans="1:7" x14ac:dyDescent="0.25">
      <c r="A7973">
        <v>1577203599</v>
      </c>
      <c r="B7973" t="s">
        <v>30018</v>
      </c>
      <c r="C7973">
        <v>0</v>
      </c>
      <c r="D7973">
        <v>1</v>
      </c>
      <c r="E7973">
        <v>87</v>
      </c>
      <c r="F7973">
        <v>5926</v>
      </c>
      <c r="G7973">
        <f t="shared" si="124"/>
        <v>1577203599</v>
      </c>
    </row>
    <row r="7974" spans="1:7" x14ac:dyDescent="0.25">
      <c r="A7974">
        <v>1577203601</v>
      </c>
      <c r="B7974" t="s">
        <v>30019</v>
      </c>
      <c r="C7974">
        <v>1547</v>
      </c>
      <c r="D7974">
        <v>1</v>
      </c>
      <c r="E7974">
        <v>1187</v>
      </c>
      <c r="F7974">
        <v>3822</v>
      </c>
      <c r="G7974">
        <f t="shared" si="124"/>
        <v>1577203601</v>
      </c>
    </row>
    <row r="7975" spans="1:7" x14ac:dyDescent="0.25">
      <c r="A7975">
        <v>1577203615</v>
      </c>
      <c r="B7975" t="s">
        <v>30020</v>
      </c>
      <c r="C7975">
        <v>0</v>
      </c>
      <c r="D7975">
        <v>1</v>
      </c>
      <c r="E7975">
        <v>1831</v>
      </c>
      <c r="F7975">
        <v>3430</v>
      </c>
      <c r="G7975">
        <f t="shared" si="124"/>
        <v>1577203615</v>
      </c>
    </row>
    <row r="7976" spans="1:7" x14ac:dyDescent="0.25">
      <c r="A7976">
        <v>1577203620</v>
      </c>
      <c r="B7976" t="s">
        <v>30021</v>
      </c>
      <c r="C7976">
        <v>1850</v>
      </c>
      <c r="D7976">
        <v>2</v>
      </c>
      <c r="E7976">
        <v>4816</v>
      </c>
      <c r="F7976">
        <v>2548</v>
      </c>
      <c r="G7976">
        <f t="shared" si="124"/>
        <v>1577203620</v>
      </c>
    </row>
    <row r="7977" spans="1:7" x14ac:dyDescent="0.25">
      <c r="A7977">
        <v>1577203628</v>
      </c>
      <c r="B7977" t="s">
        <v>30022</v>
      </c>
      <c r="C7977">
        <v>0</v>
      </c>
      <c r="D7977">
        <v>1</v>
      </c>
      <c r="E7977">
        <v>48</v>
      </c>
      <c r="F7977">
        <v>6200</v>
      </c>
      <c r="G7977">
        <f t="shared" si="124"/>
        <v>1577203628</v>
      </c>
    </row>
    <row r="7978" spans="1:7" x14ac:dyDescent="0.25">
      <c r="A7978">
        <v>1577203632</v>
      </c>
      <c r="B7978" t="s">
        <v>30023</v>
      </c>
      <c r="C7978">
        <v>45</v>
      </c>
      <c r="D7978">
        <v>1</v>
      </c>
      <c r="E7978">
        <v>532</v>
      </c>
      <c r="F7978">
        <v>4578</v>
      </c>
      <c r="G7978">
        <f t="shared" si="124"/>
        <v>1577203632</v>
      </c>
    </row>
    <row r="7979" spans="1:7" x14ac:dyDescent="0.25">
      <c r="A7979">
        <v>1577203640</v>
      </c>
      <c r="B7979" t="s">
        <v>30024</v>
      </c>
      <c r="C7979">
        <v>1126</v>
      </c>
      <c r="D7979">
        <v>0</v>
      </c>
      <c r="E7979">
        <v>0</v>
      </c>
      <c r="F7979">
        <v>8471</v>
      </c>
      <c r="G7979">
        <f t="shared" si="124"/>
        <v>1577203640</v>
      </c>
    </row>
    <row r="7980" spans="1:7" x14ac:dyDescent="0.25">
      <c r="A7980">
        <v>1577203648</v>
      </c>
      <c r="B7980" t="s">
        <v>30025</v>
      </c>
      <c r="C7980">
        <v>274</v>
      </c>
      <c r="D7980">
        <v>3</v>
      </c>
      <c r="E7980">
        <v>8771</v>
      </c>
      <c r="F7980">
        <v>1760</v>
      </c>
      <c r="G7980">
        <f t="shared" si="124"/>
        <v>1577203648</v>
      </c>
    </row>
    <row r="7981" spans="1:7" x14ac:dyDescent="0.25">
      <c r="A7981">
        <v>1577203656</v>
      </c>
      <c r="B7981" t="s">
        <v>30026</v>
      </c>
      <c r="C7981">
        <v>0</v>
      </c>
      <c r="D7981">
        <v>1</v>
      </c>
      <c r="E7981">
        <v>98</v>
      </c>
      <c r="F7981">
        <v>5860</v>
      </c>
      <c r="G7981">
        <f t="shared" si="124"/>
        <v>1577203656</v>
      </c>
    </row>
    <row r="7982" spans="1:7" x14ac:dyDescent="0.25">
      <c r="A7982">
        <v>1577203671</v>
      </c>
      <c r="B7982" t="s">
        <v>30027</v>
      </c>
      <c r="C7982">
        <v>1858</v>
      </c>
      <c r="D7982">
        <v>1</v>
      </c>
      <c r="E7982">
        <v>452</v>
      </c>
      <c r="F7982">
        <v>4760</v>
      </c>
      <c r="G7982">
        <f t="shared" si="124"/>
        <v>1577203671</v>
      </c>
    </row>
    <row r="7983" spans="1:7" x14ac:dyDescent="0.25">
      <c r="A7983">
        <v>1577203678</v>
      </c>
      <c r="B7983">
        <v>7109</v>
      </c>
      <c r="C7983">
        <v>0</v>
      </c>
      <c r="D7983">
        <v>0</v>
      </c>
      <c r="E7983">
        <v>0</v>
      </c>
      <c r="F7983">
        <v>8472</v>
      </c>
      <c r="G7983">
        <f t="shared" si="124"/>
        <v>1577203678</v>
      </c>
    </row>
    <row r="7984" spans="1:7" x14ac:dyDescent="0.25">
      <c r="A7984">
        <v>1577203680</v>
      </c>
      <c r="B7984" t="s">
        <v>30028</v>
      </c>
      <c r="C7984">
        <v>1207</v>
      </c>
      <c r="D7984">
        <v>1</v>
      </c>
      <c r="E7984">
        <v>2369</v>
      </c>
      <c r="F7984">
        <v>3187</v>
      </c>
      <c r="G7984">
        <f t="shared" si="124"/>
        <v>1577203680</v>
      </c>
    </row>
    <row r="7985" spans="1:7" x14ac:dyDescent="0.25">
      <c r="A7985">
        <v>1577203682</v>
      </c>
      <c r="B7985" t="s">
        <v>30029</v>
      </c>
      <c r="C7985">
        <v>0</v>
      </c>
      <c r="D7985">
        <v>1</v>
      </c>
      <c r="E7985">
        <v>254</v>
      </c>
      <c r="F7985">
        <v>5283</v>
      </c>
      <c r="G7985">
        <f t="shared" si="124"/>
        <v>1577203682</v>
      </c>
    </row>
    <row r="7986" spans="1:7" x14ac:dyDescent="0.25">
      <c r="A7986">
        <v>1577203684</v>
      </c>
      <c r="B7986" t="s">
        <v>30030</v>
      </c>
      <c r="C7986">
        <v>0</v>
      </c>
      <c r="D7986">
        <v>1</v>
      </c>
      <c r="E7986">
        <v>185</v>
      </c>
      <c r="F7986">
        <v>5562</v>
      </c>
      <c r="G7986">
        <f t="shared" si="124"/>
        <v>1577203684</v>
      </c>
    </row>
    <row r="7987" spans="1:7" x14ac:dyDescent="0.25">
      <c r="A7987">
        <v>1577203713</v>
      </c>
      <c r="B7987" t="s">
        <v>30031</v>
      </c>
      <c r="C7987">
        <v>0</v>
      </c>
      <c r="D7987">
        <v>1</v>
      </c>
      <c r="E7987">
        <v>121</v>
      </c>
      <c r="F7987">
        <v>5787</v>
      </c>
      <c r="G7987">
        <f t="shared" si="124"/>
        <v>1577203713</v>
      </c>
    </row>
    <row r="7988" spans="1:7" x14ac:dyDescent="0.25">
      <c r="A7988">
        <v>1577203721</v>
      </c>
      <c r="B7988" t="s">
        <v>30032</v>
      </c>
      <c r="C7988">
        <v>1651</v>
      </c>
      <c r="D7988">
        <v>1</v>
      </c>
      <c r="E7988">
        <v>1084</v>
      </c>
      <c r="F7988">
        <v>3886</v>
      </c>
      <c r="G7988">
        <f t="shared" si="124"/>
        <v>1577203721</v>
      </c>
    </row>
    <row r="7989" spans="1:7" x14ac:dyDescent="0.25">
      <c r="A7989">
        <v>1577203749</v>
      </c>
      <c r="B7989" t="s">
        <v>30033</v>
      </c>
      <c r="C7989">
        <v>0</v>
      </c>
      <c r="D7989">
        <v>1</v>
      </c>
      <c r="E7989">
        <v>235</v>
      </c>
      <c r="F7989">
        <v>5369</v>
      </c>
      <c r="G7989">
        <f t="shared" si="124"/>
        <v>1577203749</v>
      </c>
    </row>
    <row r="7990" spans="1:7" x14ac:dyDescent="0.25">
      <c r="A7990">
        <v>1577203754</v>
      </c>
      <c r="B7990" t="s">
        <v>30034</v>
      </c>
      <c r="C7990">
        <v>1975</v>
      </c>
      <c r="D7990">
        <v>1</v>
      </c>
      <c r="E7990">
        <v>235</v>
      </c>
      <c r="F7990">
        <v>5370</v>
      </c>
      <c r="G7990">
        <f t="shared" si="124"/>
        <v>1577203754</v>
      </c>
    </row>
    <row r="7991" spans="1:7" x14ac:dyDescent="0.25">
      <c r="A7991">
        <v>1577203765</v>
      </c>
      <c r="B7991" t="s">
        <v>30035</v>
      </c>
      <c r="C7991">
        <v>1412</v>
      </c>
      <c r="D7991">
        <v>1</v>
      </c>
      <c r="E7991">
        <v>2735</v>
      </c>
      <c r="F7991">
        <v>3063</v>
      </c>
      <c r="G7991">
        <f t="shared" si="124"/>
        <v>1577203765</v>
      </c>
    </row>
    <row r="7992" spans="1:7" x14ac:dyDescent="0.25">
      <c r="A7992">
        <v>1577203777</v>
      </c>
      <c r="B7992" t="s">
        <v>30036</v>
      </c>
      <c r="C7992">
        <v>0</v>
      </c>
      <c r="D7992">
        <v>1</v>
      </c>
      <c r="E7992">
        <v>489</v>
      </c>
      <c r="F7992">
        <v>4668</v>
      </c>
      <c r="G7992">
        <f t="shared" si="124"/>
        <v>1577203777</v>
      </c>
    </row>
    <row r="7993" spans="1:7" x14ac:dyDescent="0.25">
      <c r="A7993">
        <v>1577203779</v>
      </c>
      <c r="B7993" t="s">
        <v>30037</v>
      </c>
      <c r="C7993">
        <v>0</v>
      </c>
      <c r="D7993">
        <v>1</v>
      </c>
      <c r="E7993">
        <v>26</v>
      </c>
      <c r="F7993">
        <v>6906</v>
      </c>
      <c r="G7993">
        <f t="shared" si="124"/>
        <v>1577203779</v>
      </c>
    </row>
    <row r="7994" spans="1:7" x14ac:dyDescent="0.25">
      <c r="A7994">
        <v>1577203794</v>
      </c>
      <c r="B7994" t="s">
        <v>30038</v>
      </c>
      <c r="C7994">
        <v>205</v>
      </c>
      <c r="D7994">
        <v>1</v>
      </c>
      <c r="E7994">
        <v>1336</v>
      </c>
      <c r="F7994">
        <v>3702</v>
      </c>
      <c r="G7994">
        <f t="shared" si="124"/>
        <v>1577203794</v>
      </c>
    </row>
    <row r="7995" spans="1:7" x14ac:dyDescent="0.25">
      <c r="A7995">
        <v>1577203809</v>
      </c>
      <c r="B7995" t="s">
        <v>30039</v>
      </c>
      <c r="C7995">
        <v>0</v>
      </c>
      <c r="D7995">
        <v>1</v>
      </c>
      <c r="E7995">
        <v>26</v>
      </c>
      <c r="F7995">
        <v>6907</v>
      </c>
      <c r="G7995">
        <f t="shared" si="124"/>
        <v>1577203809</v>
      </c>
    </row>
    <row r="7996" spans="1:7" x14ac:dyDescent="0.25">
      <c r="A7996">
        <v>1577203820</v>
      </c>
      <c r="B7996" t="s">
        <v>30040</v>
      </c>
      <c r="C7996">
        <v>0</v>
      </c>
      <c r="D7996">
        <v>1</v>
      </c>
      <c r="E7996">
        <v>422</v>
      </c>
      <c r="F7996">
        <v>4802</v>
      </c>
      <c r="G7996">
        <f t="shared" si="124"/>
        <v>1577203820</v>
      </c>
    </row>
    <row r="7997" spans="1:7" x14ac:dyDescent="0.25">
      <c r="A7997">
        <v>1577203841</v>
      </c>
      <c r="B7997" t="s">
        <v>30041</v>
      </c>
      <c r="C7997">
        <v>1622</v>
      </c>
      <c r="D7997">
        <v>1</v>
      </c>
      <c r="E7997">
        <v>203</v>
      </c>
      <c r="F7997">
        <v>5485</v>
      </c>
      <c r="G7997">
        <f t="shared" si="124"/>
        <v>1577203841</v>
      </c>
    </row>
    <row r="7998" spans="1:7" x14ac:dyDescent="0.25">
      <c r="A7998">
        <v>1577203845</v>
      </c>
      <c r="B7998" t="s">
        <v>30042</v>
      </c>
      <c r="C7998">
        <v>1692</v>
      </c>
      <c r="D7998">
        <v>1</v>
      </c>
      <c r="E7998">
        <v>1977</v>
      </c>
      <c r="F7998">
        <v>3357</v>
      </c>
      <c r="G7998">
        <f t="shared" si="124"/>
        <v>1577203845</v>
      </c>
    </row>
    <row r="7999" spans="1:7" x14ac:dyDescent="0.25">
      <c r="A7999">
        <v>1577203851</v>
      </c>
      <c r="B7999" t="s">
        <v>30043</v>
      </c>
      <c r="C7999">
        <v>1692</v>
      </c>
      <c r="D7999">
        <v>1</v>
      </c>
      <c r="E7999">
        <v>2489</v>
      </c>
      <c r="F7999">
        <v>3139</v>
      </c>
      <c r="G7999">
        <f t="shared" si="124"/>
        <v>1577203851</v>
      </c>
    </row>
    <row r="8000" spans="1:7" x14ac:dyDescent="0.25">
      <c r="A8000">
        <v>1577203858</v>
      </c>
      <c r="B8000" t="s">
        <v>30044</v>
      </c>
      <c r="C8000">
        <v>413</v>
      </c>
      <c r="D8000">
        <v>1</v>
      </c>
      <c r="E8000">
        <v>2400</v>
      </c>
      <c r="F8000">
        <v>3173</v>
      </c>
      <c r="G8000">
        <f t="shared" si="124"/>
        <v>1577203858</v>
      </c>
    </row>
    <row r="8001" spans="1:7" x14ac:dyDescent="0.25">
      <c r="A8001">
        <v>1577203861</v>
      </c>
      <c r="B8001" t="s">
        <v>30045</v>
      </c>
      <c r="C8001">
        <v>1695</v>
      </c>
      <c r="D8001">
        <v>1</v>
      </c>
      <c r="E8001">
        <v>2870</v>
      </c>
      <c r="F8001">
        <v>2906</v>
      </c>
      <c r="G8001">
        <f t="shared" ref="G8001:G8064" si="125">A8001</f>
        <v>1577203861</v>
      </c>
    </row>
    <row r="8002" spans="1:7" x14ac:dyDescent="0.25">
      <c r="A8002">
        <v>1577203863</v>
      </c>
      <c r="B8002" t="s">
        <v>30046</v>
      </c>
      <c r="C8002">
        <v>1357</v>
      </c>
      <c r="D8002">
        <v>1</v>
      </c>
      <c r="E8002">
        <v>150</v>
      </c>
      <c r="F8002">
        <v>5701</v>
      </c>
      <c r="G8002">
        <f t="shared" si="125"/>
        <v>1577203863</v>
      </c>
    </row>
    <row r="8003" spans="1:7" x14ac:dyDescent="0.25">
      <c r="A8003">
        <v>1577203864</v>
      </c>
      <c r="B8003" t="s">
        <v>30047</v>
      </c>
      <c r="C8003">
        <v>887</v>
      </c>
      <c r="D8003">
        <v>1</v>
      </c>
      <c r="E8003">
        <v>4096</v>
      </c>
      <c r="F8003">
        <v>2750</v>
      </c>
      <c r="G8003">
        <f t="shared" si="125"/>
        <v>1577203864</v>
      </c>
    </row>
    <row r="8004" spans="1:7" x14ac:dyDescent="0.25">
      <c r="A8004">
        <v>1577203886</v>
      </c>
      <c r="B8004" t="s">
        <v>30048</v>
      </c>
      <c r="C8004">
        <v>1362</v>
      </c>
      <c r="D8004">
        <v>0</v>
      </c>
      <c r="E8004">
        <v>0</v>
      </c>
      <c r="F8004">
        <v>8473</v>
      </c>
      <c r="G8004">
        <f t="shared" si="125"/>
        <v>1577203886</v>
      </c>
    </row>
    <row r="8005" spans="1:7" x14ac:dyDescent="0.25">
      <c r="A8005">
        <v>1577203947</v>
      </c>
      <c r="B8005" t="s">
        <v>30049</v>
      </c>
      <c r="C8005">
        <v>0</v>
      </c>
      <c r="D8005">
        <v>1</v>
      </c>
      <c r="E8005">
        <v>26</v>
      </c>
      <c r="F8005">
        <v>6908</v>
      </c>
      <c r="G8005">
        <f t="shared" si="125"/>
        <v>1577203947</v>
      </c>
    </row>
    <row r="8006" spans="1:7" x14ac:dyDescent="0.25">
      <c r="A8006">
        <v>1577203953</v>
      </c>
      <c r="B8006" t="s">
        <v>30050</v>
      </c>
      <c r="C8006">
        <v>1858</v>
      </c>
      <c r="D8006">
        <v>1</v>
      </c>
      <c r="E8006">
        <v>885</v>
      </c>
      <c r="F8006">
        <v>4107</v>
      </c>
      <c r="G8006">
        <f t="shared" si="125"/>
        <v>1577203953</v>
      </c>
    </row>
    <row r="8007" spans="1:7" x14ac:dyDescent="0.25">
      <c r="A8007">
        <v>1577203957</v>
      </c>
      <c r="B8007" t="s">
        <v>30051</v>
      </c>
      <c r="C8007">
        <v>151</v>
      </c>
      <c r="D8007">
        <v>1</v>
      </c>
      <c r="E8007">
        <v>2145</v>
      </c>
      <c r="F8007">
        <v>3301</v>
      </c>
      <c r="G8007">
        <f t="shared" si="125"/>
        <v>1577203957</v>
      </c>
    </row>
    <row r="8008" spans="1:7" x14ac:dyDescent="0.25">
      <c r="A8008">
        <v>1577203987</v>
      </c>
      <c r="B8008" t="s">
        <v>30052</v>
      </c>
      <c r="C8008">
        <v>0</v>
      </c>
      <c r="D8008">
        <v>1</v>
      </c>
      <c r="E8008">
        <v>109</v>
      </c>
      <c r="F8008">
        <v>5825</v>
      </c>
      <c r="G8008">
        <f t="shared" si="125"/>
        <v>1577203987</v>
      </c>
    </row>
    <row r="8009" spans="1:7" x14ac:dyDescent="0.25">
      <c r="A8009">
        <v>1577204035</v>
      </c>
      <c r="B8009" t="s">
        <v>30053</v>
      </c>
      <c r="C8009">
        <v>0</v>
      </c>
      <c r="D8009">
        <v>1</v>
      </c>
      <c r="E8009">
        <v>72</v>
      </c>
      <c r="F8009">
        <v>6051</v>
      </c>
      <c r="G8009">
        <f t="shared" si="125"/>
        <v>1577204035</v>
      </c>
    </row>
    <row r="8010" spans="1:7" x14ac:dyDescent="0.25">
      <c r="A8010">
        <v>1577204037</v>
      </c>
      <c r="B8010" t="s">
        <v>37205</v>
      </c>
      <c r="C8010">
        <v>0</v>
      </c>
      <c r="D8010">
        <v>1</v>
      </c>
      <c r="E8010">
        <v>84</v>
      </c>
      <c r="F8010">
        <v>5946</v>
      </c>
      <c r="G8010">
        <f t="shared" si="125"/>
        <v>1577204037</v>
      </c>
    </row>
    <row r="8011" spans="1:7" x14ac:dyDescent="0.25">
      <c r="A8011">
        <v>1577204050</v>
      </c>
      <c r="B8011" t="s">
        <v>30054</v>
      </c>
      <c r="C8011">
        <v>0</v>
      </c>
      <c r="D8011">
        <v>1</v>
      </c>
      <c r="E8011">
        <v>26</v>
      </c>
      <c r="F8011">
        <v>6909</v>
      </c>
      <c r="G8011">
        <f t="shared" si="125"/>
        <v>1577204050</v>
      </c>
    </row>
    <row r="8012" spans="1:7" x14ac:dyDescent="0.25">
      <c r="A8012">
        <v>1577204071</v>
      </c>
      <c r="B8012" t="s">
        <v>36935</v>
      </c>
      <c r="C8012">
        <v>413</v>
      </c>
      <c r="D8012">
        <v>1</v>
      </c>
      <c r="E8012">
        <v>3794</v>
      </c>
      <c r="F8012">
        <v>2829</v>
      </c>
      <c r="G8012">
        <f t="shared" si="125"/>
        <v>1577204071</v>
      </c>
    </row>
    <row r="8013" spans="1:7" x14ac:dyDescent="0.25">
      <c r="A8013">
        <v>1577204072</v>
      </c>
      <c r="B8013" t="s">
        <v>30055</v>
      </c>
      <c r="C8013">
        <v>1363</v>
      </c>
      <c r="D8013">
        <v>1</v>
      </c>
      <c r="E8013">
        <v>2205</v>
      </c>
      <c r="F8013">
        <v>3247</v>
      </c>
      <c r="G8013">
        <f t="shared" si="125"/>
        <v>1577204072</v>
      </c>
    </row>
    <row r="8014" spans="1:7" x14ac:dyDescent="0.25">
      <c r="A8014">
        <v>1577204075</v>
      </c>
      <c r="B8014" t="s">
        <v>30056</v>
      </c>
      <c r="C8014">
        <v>413</v>
      </c>
      <c r="D8014">
        <v>1</v>
      </c>
      <c r="E8014">
        <v>4284</v>
      </c>
      <c r="F8014">
        <v>2690</v>
      </c>
      <c r="G8014">
        <f t="shared" si="125"/>
        <v>1577204075</v>
      </c>
    </row>
    <row r="8015" spans="1:7" x14ac:dyDescent="0.25">
      <c r="A8015">
        <v>1577204108</v>
      </c>
      <c r="B8015" t="s">
        <v>36936</v>
      </c>
      <c r="C8015">
        <v>1695</v>
      </c>
      <c r="D8015">
        <v>1</v>
      </c>
      <c r="E8015">
        <v>1770</v>
      </c>
      <c r="F8015">
        <v>3467</v>
      </c>
      <c r="G8015">
        <f t="shared" si="125"/>
        <v>1577204108</v>
      </c>
    </row>
    <row r="8016" spans="1:7" x14ac:dyDescent="0.25">
      <c r="A8016">
        <v>1577204109</v>
      </c>
      <c r="B8016" t="s">
        <v>30057</v>
      </c>
      <c r="C8016">
        <v>74</v>
      </c>
      <c r="D8016">
        <v>1</v>
      </c>
      <c r="E8016">
        <v>1354</v>
      </c>
      <c r="F8016">
        <v>3691</v>
      </c>
      <c r="G8016">
        <f t="shared" si="125"/>
        <v>1577204109</v>
      </c>
    </row>
    <row r="8017" spans="1:7" x14ac:dyDescent="0.25">
      <c r="A8017">
        <v>1577204112</v>
      </c>
      <c r="B8017" t="s">
        <v>30058</v>
      </c>
      <c r="C8017">
        <v>0</v>
      </c>
      <c r="D8017">
        <v>0</v>
      </c>
      <c r="E8017">
        <v>0</v>
      </c>
      <c r="F8017">
        <v>8474</v>
      </c>
      <c r="G8017">
        <f t="shared" si="125"/>
        <v>1577204112</v>
      </c>
    </row>
    <row r="8018" spans="1:7" x14ac:dyDescent="0.25">
      <c r="A8018">
        <v>1577204122</v>
      </c>
      <c r="B8018" t="s">
        <v>30059</v>
      </c>
      <c r="C8018">
        <v>0</v>
      </c>
      <c r="D8018">
        <v>1</v>
      </c>
      <c r="E8018">
        <v>2150</v>
      </c>
      <c r="F8018">
        <v>3272</v>
      </c>
      <c r="G8018">
        <f t="shared" si="125"/>
        <v>1577204122</v>
      </c>
    </row>
    <row r="8019" spans="1:7" x14ac:dyDescent="0.25">
      <c r="A8019">
        <v>1577204129</v>
      </c>
      <c r="B8019" t="s">
        <v>30060</v>
      </c>
      <c r="C8019">
        <v>0</v>
      </c>
      <c r="D8019">
        <v>1</v>
      </c>
      <c r="E8019">
        <v>52</v>
      </c>
      <c r="F8019">
        <v>6154</v>
      </c>
      <c r="G8019">
        <f t="shared" si="125"/>
        <v>1577204129</v>
      </c>
    </row>
    <row r="8020" spans="1:7" x14ac:dyDescent="0.25">
      <c r="A8020">
        <v>1577204134</v>
      </c>
      <c r="B8020" t="s">
        <v>30061</v>
      </c>
      <c r="C8020">
        <v>1983</v>
      </c>
      <c r="D8020">
        <v>1</v>
      </c>
      <c r="E8020">
        <v>4472</v>
      </c>
      <c r="F8020">
        <v>2627</v>
      </c>
      <c r="G8020">
        <f t="shared" si="125"/>
        <v>1577204134</v>
      </c>
    </row>
    <row r="8021" spans="1:7" x14ac:dyDescent="0.25">
      <c r="A8021">
        <v>1577204136</v>
      </c>
      <c r="B8021" t="s">
        <v>30062</v>
      </c>
      <c r="C8021">
        <v>0</v>
      </c>
      <c r="D8021">
        <v>1</v>
      </c>
      <c r="E8021">
        <v>1269</v>
      </c>
      <c r="F8021">
        <v>3748</v>
      </c>
      <c r="G8021">
        <f t="shared" si="125"/>
        <v>1577204136</v>
      </c>
    </row>
    <row r="8022" spans="1:7" x14ac:dyDescent="0.25">
      <c r="A8022">
        <v>1577204153</v>
      </c>
      <c r="B8022" t="s">
        <v>30063</v>
      </c>
      <c r="C8022">
        <v>0</v>
      </c>
      <c r="D8022">
        <v>0</v>
      </c>
      <c r="E8022">
        <v>0</v>
      </c>
      <c r="F8022">
        <v>8475</v>
      </c>
      <c r="G8022">
        <f t="shared" si="125"/>
        <v>1577204153</v>
      </c>
    </row>
    <row r="8023" spans="1:7" x14ac:dyDescent="0.25">
      <c r="A8023">
        <v>1577204154</v>
      </c>
      <c r="B8023" t="s">
        <v>30064</v>
      </c>
      <c r="C8023">
        <v>1913</v>
      </c>
      <c r="D8023">
        <v>1</v>
      </c>
      <c r="E8023">
        <v>816</v>
      </c>
      <c r="F8023">
        <v>4201</v>
      </c>
      <c r="G8023">
        <f t="shared" si="125"/>
        <v>1577204154</v>
      </c>
    </row>
    <row r="8024" spans="1:7" x14ac:dyDescent="0.25">
      <c r="A8024">
        <v>1577204167</v>
      </c>
      <c r="B8024" t="s">
        <v>2507</v>
      </c>
      <c r="C8024">
        <v>1143</v>
      </c>
      <c r="D8024">
        <v>1</v>
      </c>
      <c r="E8024">
        <v>3101</v>
      </c>
      <c r="F8024">
        <v>2967</v>
      </c>
      <c r="G8024">
        <f t="shared" si="125"/>
        <v>1577204167</v>
      </c>
    </row>
    <row r="8025" spans="1:7" x14ac:dyDescent="0.25">
      <c r="A8025">
        <v>1577204174</v>
      </c>
      <c r="B8025" t="s">
        <v>30065</v>
      </c>
      <c r="C8025">
        <v>0</v>
      </c>
      <c r="D8025">
        <v>1</v>
      </c>
      <c r="E8025">
        <v>48</v>
      </c>
      <c r="F8025">
        <v>6201</v>
      </c>
      <c r="G8025">
        <f t="shared" si="125"/>
        <v>1577204174</v>
      </c>
    </row>
    <row r="8026" spans="1:7" x14ac:dyDescent="0.25">
      <c r="A8026">
        <v>1577204188</v>
      </c>
      <c r="B8026" t="s">
        <v>30066</v>
      </c>
      <c r="C8026">
        <v>1627</v>
      </c>
      <c r="D8026">
        <v>1</v>
      </c>
      <c r="E8026">
        <v>684</v>
      </c>
      <c r="F8026">
        <v>4364</v>
      </c>
      <c r="G8026">
        <f t="shared" si="125"/>
        <v>1577204188</v>
      </c>
    </row>
    <row r="8027" spans="1:7" x14ac:dyDescent="0.25">
      <c r="A8027">
        <v>1577204233</v>
      </c>
      <c r="B8027" t="s">
        <v>30067</v>
      </c>
      <c r="C8027">
        <v>0</v>
      </c>
      <c r="D8027">
        <v>1</v>
      </c>
      <c r="E8027">
        <v>1203</v>
      </c>
      <c r="F8027">
        <v>3800</v>
      </c>
      <c r="G8027">
        <f t="shared" si="125"/>
        <v>1577204233</v>
      </c>
    </row>
    <row r="8028" spans="1:7" x14ac:dyDescent="0.25">
      <c r="A8028">
        <v>1577204234</v>
      </c>
      <c r="B8028" t="s">
        <v>30068</v>
      </c>
      <c r="C8028">
        <v>2004</v>
      </c>
      <c r="D8028">
        <v>1</v>
      </c>
      <c r="E8028">
        <v>1241</v>
      </c>
      <c r="F8028">
        <v>3767</v>
      </c>
      <c r="G8028">
        <f t="shared" si="125"/>
        <v>1577204234</v>
      </c>
    </row>
    <row r="8029" spans="1:7" x14ac:dyDescent="0.25">
      <c r="A8029">
        <v>1577204238</v>
      </c>
      <c r="B8029" t="s">
        <v>30069</v>
      </c>
      <c r="C8029">
        <v>0</v>
      </c>
      <c r="D8029">
        <v>1</v>
      </c>
      <c r="E8029">
        <v>1814</v>
      </c>
      <c r="F8029">
        <v>3438</v>
      </c>
      <c r="G8029">
        <f t="shared" si="125"/>
        <v>1577204238</v>
      </c>
    </row>
    <row r="8030" spans="1:7" x14ac:dyDescent="0.25">
      <c r="A8030">
        <v>1577204270</v>
      </c>
      <c r="B8030" t="s">
        <v>3925</v>
      </c>
      <c r="C8030">
        <v>0</v>
      </c>
      <c r="D8030">
        <v>1</v>
      </c>
      <c r="E8030">
        <v>170</v>
      </c>
      <c r="F8030">
        <v>5618</v>
      </c>
      <c r="G8030">
        <f t="shared" si="125"/>
        <v>1577204270</v>
      </c>
    </row>
    <row r="8031" spans="1:7" x14ac:dyDescent="0.25">
      <c r="A8031">
        <v>1577204280</v>
      </c>
      <c r="B8031" t="s">
        <v>30070</v>
      </c>
      <c r="C8031">
        <v>1836</v>
      </c>
      <c r="D8031">
        <v>1</v>
      </c>
      <c r="E8031">
        <v>2711</v>
      </c>
      <c r="F8031">
        <v>3072</v>
      </c>
      <c r="G8031">
        <f t="shared" si="125"/>
        <v>1577204280</v>
      </c>
    </row>
    <row r="8032" spans="1:7" x14ac:dyDescent="0.25">
      <c r="A8032">
        <v>1577204302</v>
      </c>
      <c r="B8032" t="s">
        <v>36937</v>
      </c>
      <c r="C8032">
        <v>1340</v>
      </c>
      <c r="D8032">
        <v>2</v>
      </c>
      <c r="E8032">
        <v>7815</v>
      </c>
      <c r="F8032">
        <v>1918</v>
      </c>
      <c r="G8032">
        <f t="shared" si="125"/>
        <v>1577204302</v>
      </c>
    </row>
    <row r="8033" spans="1:7" x14ac:dyDescent="0.25">
      <c r="A8033">
        <v>1577204303</v>
      </c>
      <c r="B8033" t="s">
        <v>30071</v>
      </c>
      <c r="C8033">
        <v>1413</v>
      </c>
      <c r="D8033">
        <v>1</v>
      </c>
      <c r="E8033">
        <v>3409</v>
      </c>
      <c r="F8033">
        <v>2899</v>
      </c>
      <c r="G8033">
        <f t="shared" si="125"/>
        <v>1577204303</v>
      </c>
    </row>
    <row r="8034" spans="1:7" x14ac:dyDescent="0.25">
      <c r="A8034">
        <v>1577204326</v>
      </c>
      <c r="B8034" t="s">
        <v>30072</v>
      </c>
      <c r="C8034">
        <v>0</v>
      </c>
      <c r="D8034">
        <v>1</v>
      </c>
      <c r="E8034">
        <v>491</v>
      </c>
      <c r="F8034">
        <v>4666</v>
      </c>
      <c r="G8034">
        <f t="shared" si="125"/>
        <v>1577204326</v>
      </c>
    </row>
    <row r="8035" spans="1:7" x14ac:dyDescent="0.25">
      <c r="A8035">
        <v>1577204328</v>
      </c>
      <c r="B8035" t="s">
        <v>30073</v>
      </c>
      <c r="C8035">
        <v>1232</v>
      </c>
      <c r="D8035">
        <v>1</v>
      </c>
      <c r="E8035">
        <v>1600</v>
      </c>
      <c r="F8035">
        <v>3546</v>
      </c>
      <c r="G8035">
        <f t="shared" si="125"/>
        <v>1577204328</v>
      </c>
    </row>
    <row r="8036" spans="1:7" x14ac:dyDescent="0.25">
      <c r="A8036">
        <v>1577204329</v>
      </c>
      <c r="B8036" t="s">
        <v>30074</v>
      </c>
      <c r="C8036">
        <v>1802</v>
      </c>
      <c r="D8036">
        <v>1</v>
      </c>
      <c r="E8036">
        <v>1117</v>
      </c>
      <c r="F8036">
        <v>3857</v>
      </c>
      <c r="G8036">
        <f t="shared" si="125"/>
        <v>1577204329</v>
      </c>
    </row>
    <row r="8037" spans="1:7" x14ac:dyDescent="0.25">
      <c r="A8037">
        <v>1577204338</v>
      </c>
      <c r="B8037" t="s">
        <v>30075</v>
      </c>
      <c r="C8037">
        <v>1850</v>
      </c>
      <c r="D8037">
        <v>1</v>
      </c>
      <c r="E8037">
        <v>1896</v>
      </c>
      <c r="F8037">
        <v>3403</v>
      </c>
      <c r="G8037">
        <f t="shared" si="125"/>
        <v>1577204338</v>
      </c>
    </row>
    <row r="8038" spans="1:7" x14ac:dyDescent="0.25">
      <c r="A8038">
        <v>1577204347</v>
      </c>
      <c r="B8038" t="s">
        <v>30076</v>
      </c>
      <c r="C8038">
        <v>1802</v>
      </c>
      <c r="D8038">
        <v>1</v>
      </c>
      <c r="E8038">
        <v>1346</v>
      </c>
      <c r="F8038">
        <v>3694</v>
      </c>
      <c r="G8038">
        <f t="shared" si="125"/>
        <v>1577204347</v>
      </c>
    </row>
    <row r="8039" spans="1:7" x14ac:dyDescent="0.25">
      <c r="A8039">
        <v>1577204381</v>
      </c>
      <c r="B8039" t="s">
        <v>30077</v>
      </c>
      <c r="C8039">
        <v>0</v>
      </c>
      <c r="D8039">
        <v>1</v>
      </c>
      <c r="E8039">
        <v>294</v>
      </c>
      <c r="F8039">
        <v>5143</v>
      </c>
      <c r="G8039">
        <f t="shared" si="125"/>
        <v>1577204381</v>
      </c>
    </row>
    <row r="8040" spans="1:7" x14ac:dyDescent="0.25">
      <c r="A8040">
        <v>1577204384</v>
      </c>
      <c r="B8040" t="s">
        <v>30078</v>
      </c>
      <c r="C8040">
        <v>0</v>
      </c>
      <c r="D8040">
        <v>1</v>
      </c>
      <c r="E8040">
        <v>94</v>
      </c>
      <c r="F8040">
        <v>5887</v>
      </c>
      <c r="G8040">
        <f t="shared" si="125"/>
        <v>1577204384</v>
      </c>
    </row>
    <row r="8041" spans="1:7" x14ac:dyDescent="0.25">
      <c r="A8041">
        <v>1577204407</v>
      </c>
      <c r="B8041" t="s">
        <v>30079</v>
      </c>
      <c r="C8041">
        <v>0</v>
      </c>
      <c r="D8041">
        <v>1</v>
      </c>
      <c r="E8041">
        <v>82</v>
      </c>
      <c r="F8041">
        <v>5960</v>
      </c>
      <c r="G8041">
        <f t="shared" si="125"/>
        <v>1577204407</v>
      </c>
    </row>
    <row r="8042" spans="1:7" x14ac:dyDescent="0.25">
      <c r="A8042">
        <v>1577204415</v>
      </c>
      <c r="B8042" t="s">
        <v>37086</v>
      </c>
      <c r="C8042">
        <v>1330</v>
      </c>
      <c r="D8042">
        <v>1</v>
      </c>
      <c r="E8042">
        <v>3612</v>
      </c>
      <c r="F8042">
        <v>2849</v>
      </c>
      <c r="G8042">
        <f t="shared" si="125"/>
        <v>1577204415</v>
      </c>
    </row>
    <row r="8043" spans="1:7" x14ac:dyDescent="0.25">
      <c r="A8043">
        <v>1577204436</v>
      </c>
      <c r="B8043" t="s">
        <v>30080</v>
      </c>
      <c r="C8043">
        <v>1858</v>
      </c>
      <c r="D8043">
        <v>1</v>
      </c>
      <c r="E8043">
        <v>876</v>
      </c>
      <c r="F8043">
        <v>4124</v>
      </c>
      <c r="G8043">
        <f t="shared" si="125"/>
        <v>1577204436</v>
      </c>
    </row>
    <row r="8044" spans="1:7" x14ac:dyDescent="0.25">
      <c r="A8044">
        <v>1577204447</v>
      </c>
      <c r="B8044" t="s">
        <v>37415</v>
      </c>
      <c r="C8044">
        <v>0</v>
      </c>
      <c r="D8044">
        <v>1</v>
      </c>
      <c r="E8044">
        <v>249</v>
      </c>
      <c r="F8044">
        <v>5309</v>
      </c>
      <c r="G8044">
        <f t="shared" si="125"/>
        <v>1577204447</v>
      </c>
    </row>
    <row r="8045" spans="1:7" x14ac:dyDescent="0.25">
      <c r="A8045">
        <v>1577204454</v>
      </c>
      <c r="B8045" t="s">
        <v>30081</v>
      </c>
      <c r="C8045">
        <v>1651</v>
      </c>
      <c r="D8045">
        <v>1</v>
      </c>
      <c r="E8045">
        <v>2698</v>
      </c>
      <c r="F8045">
        <v>3102</v>
      </c>
      <c r="G8045">
        <f t="shared" si="125"/>
        <v>1577204454</v>
      </c>
    </row>
    <row r="8046" spans="1:7" x14ac:dyDescent="0.25">
      <c r="A8046">
        <v>1577204460</v>
      </c>
      <c r="B8046" t="s">
        <v>30082</v>
      </c>
      <c r="C8046">
        <v>0</v>
      </c>
      <c r="D8046">
        <v>0</v>
      </c>
      <c r="E8046">
        <v>0</v>
      </c>
      <c r="F8046">
        <v>8476</v>
      </c>
      <c r="G8046">
        <f t="shared" si="125"/>
        <v>1577204460</v>
      </c>
    </row>
    <row r="8047" spans="1:7" x14ac:dyDescent="0.25">
      <c r="A8047">
        <v>1577204466</v>
      </c>
      <c r="B8047" t="s">
        <v>30083</v>
      </c>
      <c r="C8047">
        <v>1708</v>
      </c>
      <c r="D8047">
        <v>1</v>
      </c>
      <c r="E8047">
        <v>1885</v>
      </c>
      <c r="F8047">
        <v>3400</v>
      </c>
      <c r="G8047">
        <f t="shared" si="125"/>
        <v>1577204466</v>
      </c>
    </row>
    <row r="8048" spans="1:7" x14ac:dyDescent="0.25">
      <c r="A8048">
        <v>1577204467</v>
      </c>
      <c r="B8048" t="s">
        <v>30084</v>
      </c>
      <c r="C8048">
        <v>0</v>
      </c>
      <c r="D8048">
        <v>1</v>
      </c>
      <c r="E8048">
        <v>26</v>
      </c>
      <c r="F8048">
        <v>6910</v>
      </c>
      <c r="G8048">
        <f t="shared" si="125"/>
        <v>1577204467</v>
      </c>
    </row>
    <row r="8049" spans="1:7" x14ac:dyDescent="0.25">
      <c r="A8049">
        <v>1577204471</v>
      </c>
      <c r="B8049" t="s">
        <v>30085</v>
      </c>
      <c r="C8049">
        <v>0</v>
      </c>
      <c r="D8049">
        <v>0</v>
      </c>
      <c r="E8049">
        <v>0</v>
      </c>
      <c r="F8049">
        <v>8477</v>
      </c>
      <c r="G8049">
        <f t="shared" si="125"/>
        <v>1577204471</v>
      </c>
    </row>
    <row r="8050" spans="1:7" x14ac:dyDescent="0.25">
      <c r="A8050">
        <v>1577204480</v>
      </c>
      <c r="B8050" t="s">
        <v>30086</v>
      </c>
      <c r="C8050">
        <v>1695</v>
      </c>
      <c r="D8050">
        <v>1</v>
      </c>
      <c r="E8050">
        <v>1779</v>
      </c>
      <c r="F8050">
        <v>3458</v>
      </c>
      <c r="G8050">
        <f t="shared" si="125"/>
        <v>1577204480</v>
      </c>
    </row>
    <row r="8051" spans="1:7" x14ac:dyDescent="0.25">
      <c r="A8051">
        <v>1577204492</v>
      </c>
      <c r="B8051" t="s">
        <v>30087</v>
      </c>
      <c r="C8051">
        <v>0</v>
      </c>
      <c r="D8051">
        <v>1</v>
      </c>
      <c r="E8051">
        <v>26</v>
      </c>
      <c r="F8051">
        <v>6911</v>
      </c>
      <c r="G8051">
        <f t="shared" si="125"/>
        <v>1577204492</v>
      </c>
    </row>
    <row r="8052" spans="1:7" x14ac:dyDescent="0.25">
      <c r="A8052">
        <v>1577204504</v>
      </c>
      <c r="B8052" t="s">
        <v>30088</v>
      </c>
      <c r="C8052">
        <v>1602</v>
      </c>
      <c r="D8052">
        <v>1</v>
      </c>
      <c r="E8052">
        <v>1298</v>
      </c>
      <c r="F8052">
        <v>3729</v>
      </c>
      <c r="G8052">
        <f t="shared" si="125"/>
        <v>1577204504</v>
      </c>
    </row>
    <row r="8053" spans="1:7" x14ac:dyDescent="0.25">
      <c r="A8053">
        <v>1577204512</v>
      </c>
      <c r="B8053" t="s">
        <v>30089</v>
      </c>
      <c r="C8053">
        <v>1756</v>
      </c>
      <c r="D8053">
        <v>1</v>
      </c>
      <c r="E8053">
        <v>2773</v>
      </c>
      <c r="F8053">
        <v>3046</v>
      </c>
      <c r="G8053">
        <f t="shared" si="125"/>
        <v>1577204512</v>
      </c>
    </row>
    <row r="8054" spans="1:7" x14ac:dyDescent="0.25">
      <c r="A8054">
        <v>1577204528</v>
      </c>
      <c r="B8054" t="s">
        <v>30090</v>
      </c>
      <c r="C8054">
        <v>94</v>
      </c>
      <c r="D8054">
        <v>1</v>
      </c>
      <c r="E8054">
        <v>1065</v>
      </c>
      <c r="F8054">
        <v>3937</v>
      </c>
      <c r="G8054">
        <f t="shared" si="125"/>
        <v>1577204528</v>
      </c>
    </row>
    <row r="8055" spans="1:7" x14ac:dyDescent="0.25">
      <c r="A8055">
        <v>1577204529</v>
      </c>
      <c r="B8055" t="s">
        <v>30091</v>
      </c>
      <c r="C8055">
        <v>1802</v>
      </c>
      <c r="D8055">
        <v>1</v>
      </c>
      <c r="E8055">
        <v>1388</v>
      </c>
      <c r="F8055">
        <v>3675</v>
      </c>
      <c r="G8055">
        <f t="shared" si="125"/>
        <v>1577204529</v>
      </c>
    </row>
    <row r="8056" spans="1:7" x14ac:dyDescent="0.25">
      <c r="A8056">
        <v>1577204561</v>
      </c>
      <c r="B8056" t="s">
        <v>30092</v>
      </c>
      <c r="C8056">
        <v>585</v>
      </c>
      <c r="D8056">
        <v>1</v>
      </c>
      <c r="E8056">
        <v>324</v>
      </c>
      <c r="F8056">
        <v>5055</v>
      </c>
      <c r="G8056">
        <f t="shared" si="125"/>
        <v>1577204561</v>
      </c>
    </row>
    <row r="8057" spans="1:7" x14ac:dyDescent="0.25">
      <c r="A8057">
        <v>1577204563</v>
      </c>
      <c r="B8057" t="s">
        <v>30093</v>
      </c>
      <c r="C8057">
        <v>1754</v>
      </c>
      <c r="D8057">
        <v>1</v>
      </c>
      <c r="E8057">
        <v>1629</v>
      </c>
      <c r="F8057">
        <v>3532</v>
      </c>
      <c r="G8057">
        <f t="shared" si="125"/>
        <v>1577204563</v>
      </c>
    </row>
    <row r="8058" spans="1:7" x14ac:dyDescent="0.25">
      <c r="A8058">
        <v>1577204588</v>
      </c>
      <c r="B8058" t="s">
        <v>30094</v>
      </c>
      <c r="C8058">
        <v>0</v>
      </c>
      <c r="D8058">
        <v>1</v>
      </c>
      <c r="E8058">
        <v>321</v>
      </c>
      <c r="F8058">
        <v>5067</v>
      </c>
      <c r="G8058">
        <f t="shared" si="125"/>
        <v>1577204588</v>
      </c>
    </row>
    <row r="8059" spans="1:7" x14ac:dyDescent="0.25">
      <c r="A8059">
        <v>1577204621</v>
      </c>
      <c r="B8059" t="s">
        <v>30095</v>
      </c>
      <c r="C8059">
        <v>1340</v>
      </c>
      <c r="D8059">
        <v>1</v>
      </c>
      <c r="E8059">
        <v>4403</v>
      </c>
      <c r="F8059">
        <v>2667</v>
      </c>
      <c r="G8059">
        <f t="shared" si="125"/>
        <v>1577204621</v>
      </c>
    </row>
    <row r="8060" spans="1:7" x14ac:dyDescent="0.25">
      <c r="A8060">
        <v>1577204628</v>
      </c>
      <c r="B8060" t="s">
        <v>30096</v>
      </c>
      <c r="C8060">
        <v>1362</v>
      </c>
      <c r="D8060">
        <v>1</v>
      </c>
      <c r="E8060">
        <v>2062</v>
      </c>
      <c r="F8060">
        <v>3312</v>
      </c>
      <c r="G8060">
        <f t="shared" si="125"/>
        <v>1577204628</v>
      </c>
    </row>
    <row r="8061" spans="1:7" x14ac:dyDescent="0.25">
      <c r="A8061">
        <v>1577204633</v>
      </c>
      <c r="B8061" t="s">
        <v>30097</v>
      </c>
      <c r="C8061">
        <v>1850</v>
      </c>
      <c r="D8061">
        <v>1</v>
      </c>
      <c r="E8061">
        <v>2221</v>
      </c>
      <c r="F8061">
        <v>3239</v>
      </c>
      <c r="G8061">
        <f t="shared" si="125"/>
        <v>1577204633</v>
      </c>
    </row>
    <row r="8062" spans="1:7" x14ac:dyDescent="0.25">
      <c r="A8062">
        <v>1577204653</v>
      </c>
      <c r="B8062" t="s">
        <v>2540</v>
      </c>
      <c r="C8062">
        <v>0</v>
      </c>
      <c r="D8062">
        <v>1</v>
      </c>
      <c r="E8062">
        <v>620</v>
      </c>
      <c r="F8062">
        <v>4449</v>
      </c>
      <c r="G8062">
        <f t="shared" si="125"/>
        <v>1577204653</v>
      </c>
    </row>
    <row r="8063" spans="1:7" x14ac:dyDescent="0.25">
      <c r="A8063">
        <v>1577204654</v>
      </c>
      <c r="B8063" t="s">
        <v>30098</v>
      </c>
      <c r="C8063">
        <v>0</v>
      </c>
      <c r="D8063">
        <v>1</v>
      </c>
      <c r="E8063">
        <v>186</v>
      </c>
      <c r="F8063">
        <v>5558</v>
      </c>
      <c r="G8063">
        <f t="shared" si="125"/>
        <v>1577204654</v>
      </c>
    </row>
    <row r="8064" spans="1:7" x14ac:dyDescent="0.25">
      <c r="A8064">
        <v>1577204668</v>
      </c>
      <c r="B8064" t="s">
        <v>30099</v>
      </c>
      <c r="C8064">
        <v>1163</v>
      </c>
      <c r="D8064">
        <v>0</v>
      </c>
      <c r="E8064">
        <v>0</v>
      </c>
      <c r="F8064">
        <v>8478</v>
      </c>
      <c r="G8064">
        <f t="shared" si="125"/>
        <v>1577204668</v>
      </c>
    </row>
    <row r="8065" spans="1:7" x14ac:dyDescent="0.25">
      <c r="A8065">
        <v>1577204670</v>
      </c>
      <c r="B8065" t="s">
        <v>30100</v>
      </c>
      <c r="C8065">
        <v>1663</v>
      </c>
      <c r="D8065">
        <v>1</v>
      </c>
      <c r="E8065">
        <v>457</v>
      </c>
      <c r="F8065">
        <v>4731</v>
      </c>
      <c r="G8065">
        <f t="shared" ref="G8065:G8128" si="126">A8065</f>
        <v>1577204670</v>
      </c>
    </row>
    <row r="8066" spans="1:7" x14ac:dyDescent="0.25">
      <c r="A8066">
        <v>1577204681</v>
      </c>
      <c r="B8066" t="s">
        <v>36938</v>
      </c>
      <c r="C8066">
        <v>0</v>
      </c>
      <c r="D8066">
        <v>1</v>
      </c>
      <c r="E8066">
        <v>26</v>
      </c>
      <c r="F8066">
        <v>6912</v>
      </c>
      <c r="G8066">
        <f t="shared" si="126"/>
        <v>1577204681</v>
      </c>
    </row>
    <row r="8067" spans="1:7" x14ac:dyDescent="0.25">
      <c r="A8067">
        <v>1577204687</v>
      </c>
      <c r="B8067" t="s">
        <v>36939</v>
      </c>
      <c r="C8067">
        <v>1695</v>
      </c>
      <c r="D8067">
        <v>1</v>
      </c>
      <c r="E8067">
        <v>2327</v>
      </c>
      <c r="F8067">
        <v>3204</v>
      </c>
      <c r="G8067">
        <f t="shared" si="126"/>
        <v>1577204687</v>
      </c>
    </row>
    <row r="8068" spans="1:7" x14ac:dyDescent="0.25">
      <c r="A8068">
        <v>1577204688</v>
      </c>
      <c r="B8068" t="s">
        <v>36940</v>
      </c>
      <c r="C8068">
        <v>0</v>
      </c>
      <c r="D8068">
        <v>1</v>
      </c>
      <c r="E8068">
        <v>223</v>
      </c>
      <c r="F8068">
        <v>5423</v>
      </c>
      <c r="G8068">
        <f t="shared" si="126"/>
        <v>1577204688</v>
      </c>
    </row>
    <row r="8069" spans="1:7" x14ac:dyDescent="0.25">
      <c r="A8069">
        <v>1577204692</v>
      </c>
      <c r="B8069" t="s">
        <v>30101</v>
      </c>
      <c r="C8069">
        <v>0</v>
      </c>
      <c r="D8069">
        <v>1</v>
      </c>
      <c r="E8069">
        <v>380</v>
      </c>
      <c r="F8069">
        <v>4906</v>
      </c>
      <c r="G8069">
        <f t="shared" si="126"/>
        <v>1577204692</v>
      </c>
    </row>
    <row r="8070" spans="1:7" x14ac:dyDescent="0.25">
      <c r="A8070">
        <v>1577204714</v>
      </c>
      <c r="B8070" t="s">
        <v>30102</v>
      </c>
      <c r="C8070">
        <v>1692</v>
      </c>
      <c r="D8070">
        <v>0</v>
      </c>
      <c r="E8070">
        <v>0</v>
      </c>
      <c r="F8070">
        <v>8479</v>
      </c>
      <c r="G8070">
        <f t="shared" si="126"/>
        <v>1577204714</v>
      </c>
    </row>
    <row r="8071" spans="1:7" x14ac:dyDescent="0.25">
      <c r="A8071">
        <v>1577204739</v>
      </c>
      <c r="B8071" t="s">
        <v>30103</v>
      </c>
      <c r="C8071">
        <v>0</v>
      </c>
      <c r="D8071">
        <v>1</v>
      </c>
      <c r="E8071">
        <v>435</v>
      </c>
      <c r="F8071">
        <v>4771</v>
      </c>
      <c r="G8071">
        <f t="shared" si="126"/>
        <v>1577204739</v>
      </c>
    </row>
    <row r="8072" spans="1:7" x14ac:dyDescent="0.25">
      <c r="A8072">
        <v>1577204741</v>
      </c>
      <c r="B8072" t="s">
        <v>30104</v>
      </c>
      <c r="C8072">
        <v>1695</v>
      </c>
      <c r="D8072">
        <v>1</v>
      </c>
      <c r="E8072">
        <v>3302</v>
      </c>
      <c r="F8072">
        <v>2922</v>
      </c>
      <c r="G8072">
        <f t="shared" si="126"/>
        <v>1577204741</v>
      </c>
    </row>
    <row r="8073" spans="1:7" x14ac:dyDescent="0.25">
      <c r="A8073">
        <v>1577204748</v>
      </c>
      <c r="B8073" t="s">
        <v>36941</v>
      </c>
      <c r="C8073">
        <v>0</v>
      </c>
      <c r="D8073">
        <v>1</v>
      </c>
      <c r="E8073">
        <v>44</v>
      </c>
      <c r="F8073">
        <v>6248</v>
      </c>
      <c r="G8073">
        <f t="shared" si="126"/>
        <v>1577204748</v>
      </c>
    </row>
    <row r="8074" spans="1:7" x14ac:dyDescent="0.25">
      <c r="A8074">
        <v>1577204750</v>
      </c>
      <c r="B8074" t="s">
        <v>30105</v>
      </c>
      <c r="C8074">
        <v>1850</v>
      </c>
      <c r="D8074">
        <v>1</v>
      </c>
      <c r="E8074">
        <v>2935</v>
      </c>
      <c r="F8074">
        <v>3005</v>
      </c>
      <c r="G8074">
        <f t="shared" si="126"/>
        <v>1577204750</v>
      </c>
    </row>
    <row r="8075" spans="1:7" x14ac:dyDescent="0.25">
      <c r="A8075">
        <v>1577204751</v>
      </c>
      <c r="B8075" t="s">
        <v>30106</v>
      </c>
      <c r="C8075">
        <v>1695</v>
      </c>
      <c r="D8075">
        <v>1</v>
      </c>
      <c r="E8075">
        <v>2199</v>
      </c>
      <c r="F8075">
        <v>3248</v>
      </c>
      <c r="G8075">
        <f t="shared" si="126"/>
        <v>1577204751</v>
      </c>
    </row>
    <row r="8076" spans="1:7" x14ac:dyDescent="0.25">
      <c r="A8076">
        <v>1577204801</v>
      </c>
      <c r="B8076" t="s">
        <v>30107</v>
      </c>
      <c r="C8076">
        <v>1602</v>
      </c>
      <c r="D8076">
        <v>1</v>
      </c>
      <c r="E8076">
        <v>997</v>
      </c>
      <c r="F8076">
        <v>3983</v>
      </c>
      <c r="G8076">
        <f t="shared" si="126"/>
        <v>1577204801</v>
      </c>
    </row>
    <row r="8077" spans="1:7" x14ac:dyDescent="0.25">
      <c r="A8077">
        <v>1577204833</v>
      </c>
      <c r="B8077" t="s">
        <v>36942</v>
      </c>
      <c r="C8077">
        <v>1743</v>
      </c>
      <c r="D8077">
        <v>1</v>
      </c>
      <c r="E8077">
        <v>1080</v>
      </c>
      <c r="F8077">
        <v>3891</v>
      </c>
      <c r="G8077">
        <f t="shared" si="126"/>
        <v>1577204833</v>
      </c>
    </row>
    <row r="8078" spans="1:7" x14ac:dyDescent="0.25">
      <c r="A8078">
        <v>1577204835</v>
      </c>
      <c r="B8078" t="s">
        <v>30108</v>
      </c>
      <c r="C8078">
        <v>0</v>
      </c>
      <c r="D8078">
        <v>1</v>
      </c>
      <c r="E8078">
        <v>74</v>
      </c>
      <c r="F8078">
        <v>6027</v>
      </c>
      <c r="G8078">
        <f t="shared" si="126"/>
        <v>1577204835</v>
      </c>
    </row>
    <row r="8079" spans="1:7" x14ac:dyDescent="0.25">
      <c r="A8079">
        <v>1577204841</v>
      </c>
      <c r="B8079" t="s">
        <v>30109</v>
      </c>
      <c r="C8079">
        <v>0</v>
      </c>
      <c r="D8079">
        <v>1</v>
      </c>
      <c r="E8079">
        <v>28</v>
      </c>
      <c r="F8079">
        <v>6333</v>
      </c>
      <c r="G8079">
        <f t="shared" si="126"/>
        <v>1577204841</v>
      </c>
    </row>
    <row r="8080" spans="1:7" x14ac:dyDescent="0.25">
      <c r="A8080">
        <v>1577204852</v>
      </c>
      <c r="B8080" t="s">
        <v>30110</v>
      </c>
      <c r="C8080">
        <v>1695</v>
      </c>
      <c r="D8080">
        <v>1</v>
      </c>
      <c r="E8080">
        <v>1577</v>
      </c>
      <c r="F8080">
        <v>3571</v>
      </c>
      <c r="G8080">
        <f t="shared" si="126"/>
        <v>1577204852</v>
      </c>
    </row>
    <row r="8081" spans="1:7" x14ac:dyDescent="0.25">
      <c r="A8081">
        <v>1577204859</v>
      </c>
      <c r="B8081" t="s">
        <v>30111</v>
      </c>
      <c r="C8081">
        <v>0</v>
      </c>
      <c r="D8081">
        <v>0</v>
      </c>
      <c r="E8081">
        <v>0</v>
      </c>
      <c r="F8081">
        <v>8480</v>
      </c>
      <c r="G8081">
        <f t="shared" si="126"/>
        <v>1577204859</v>
      </c>
    </row>
    <row r="8082" spans="1:7" x14ac:dyDescent="0.25">
      <c r="A8082">
        <v>1577204864</v>
      </c>
      <c r="B8082" t="s">
        <v>30112</v>
      </c>
      <c r="C8082">
        <v>1622</v>
      </c>
      <c r="D8082">
        <v>1</v>
      </c>
      <c r="E8082">
        <v>976</v>
      </c>
      <c r="F8082">
        <v>4008</v>
      </c>
      <c r="G8082">
        <f t="shared" si="126"/>
        <v>1577204864</v>
      </c>
    </row>
    <row r="8083" spans="1:7" x14ac:dyDescent="0.25">
      <c r="A8083">
        <v>1577204879</v>
      </c>
      <c r="B8083" t="s">
        <v>30113</v>
      </c>
      <c r="C8083">
        <v>1850</v>
      </c>
      <c r="D8083">
        <v>1</v>
      </c>
      <c r="E8083">
        <v>1873</v>
      </c>
      <c r="F8083">
        <v>3416</v>
      </c>
      <c r="G8083">
        <f t="shared" si="126"/>
        <v>1577204879</v>
      </c>
    </row>
    <row r="8084" spans="1:7" x14ac:dyDescent="0.25">
      <c r="A8084">
        <v>1577204916</v>
      </c>
      <c r="B8084" t="s">
        <v>30114</v>
      </c>
      <c r="C8084">
        <v>0</v>
      </c>
      <c r="D8084">
        <v>1</v>
      </c>
      <c r="E8084">
        <v>1543</v>
      </c>
      <c r="F8084">
        <v>3572</v>
      </c>
      <c r="G8084">
        <f t="shared" si="126"/>
        <v>1577204916</v>
      </c>
    </row>
    <row r="8085" spans="1:7" x14ac:dyDescent="0.25">
      <c r="A8085">
        <v>1577204920</v>
      </c>
      <c r="B8085" t="s">
        <v>30115</v>
      </c>
      <c r="C8085">
        <v>1643</v>
      </c>
      <c r="D8085">
        <v>1</v>
      </c>
      <c r="E8085">
        <v>700</v>
      </c>
      <c r="F8085">
        <v>4344</v>
      </c>
      <c r="G8085">
        <f t="shared" si="126"/>
        <v>1577204920</v>
      </c>
    </row>
    <row r="8086" spans="1:7" x14ac:dyDescent="0.25">
      <c r="A8086">
        <v>1577204923</v>
      </c>
      <c r="B8086" t="s">
        <v>37087</v>
      </c>
      <c r="C8086">
        <v>0</v>
      </c>
      <c r="D8086">
        <v>1</v>
      </c>
      <c r="E8086">
        <v>98</v>
      </c>
      <c r="F8086">
        <v>5861</v>
      </c>
      <c r="G8086">
        <f t="shared" si="126"/>
        <v>1577204923</v>
      </c>
    </row>
    <row r="8087" spans="1:7" x14ac:dyDescent="0.25">
      <c r="A8087">
        <v>1577204928</v>
      </c>
      <c r="B8087" t="s">
        <v>3449</v>
      </c>
      <c r="C8087">
        <v>0</v>
      </c>
      <c r="D8087">
        <v>1</v>
      </c>
      <c r="E8087">
        <v>355</v>
      </c>
      <c r="F8087">
        <v>4966</v>
      </c>
      <c r="G8087">
        <f t="shared" si="126"/>
        <v>1577204928</v>
      </c>
    </row>
    <row r="8088" spans="1:7" x14ac:dyDescent="0.25">
      <c r="A8088">
        <v>1577204962</v>
      </c>
      <c r="B8088" t="s">
        <v>30116</v>
      </c>
      <c r="C8088">
        <v>0</v>
      </c>
      <c r="D8088">
        <v>1</v>
      </c>
      <c r="E8088">
        <v>138</v>
      </c>
      <c r="F8088">
        <v>5739</v>
      </c>
      <c r="G8088">
        <f t="shared" si="126"/>
        <v>1577204962</v>
      </c>
    </row>
    <row r="8089" spans="1:7" x14ac:dyDescent="0.25">
      <c r="A8089">
        <v>1577204985</v>
      </c>
      <c r="B8089" t="s">
        <v>30117</v>
      </c>
      <c r="C8089">
        <v>1850</v>
      </c>
      <c r="D8089">
        <v>1</v>
      </c>
      <c r="E8089">
        <v>3256</v>
      </c>
      <c r="F8089">
        <v>2930</v>
      </c>
      <c r="G8089">
        <f t="shared" si="126"/>
        <v>1577204985</v>
      </c>
    </row>
    <row r="8090" spans="1:7" x14ac:dyDescent="0.25">
      <c r="A8090">
        <v>1577204987</v>
      </c>
      <c r="B8090" t="s">
        <v>30118</v>
      </c>
      <c r="C8090">
        <v>1633</v>
      </c>
      <c r="D8090">
        <v>1</v>
      </c>
      <c r="E8090">
        <v>276</v>
      </c>
      <c r="F8090">
        <v>5201</v>
      </c>
      <c r="G8090">
        <f t="shared" si="126"/>
        <v>1577204987</v>
      </c>
    </row>
    <row r="8091" spans="1:7" x14ac:dyDescent="0.25">
      <c r="A8091">
        <v>1577205003</v>
      </c>
      <c r="B8091" t="s">
        <v>30119</v>
      </c>
      <c r="C8091">
        <v>429</v>
      </c>
      <c r="D8091">
        <v>1</v>
      </c>
      <c r="E8091">
        <v>2377</v>
      </c>
      <c r="F8091">
        <v>3179</v>
      </c>
      <c r="G8091">
        <f t="shared" si="126"/>
        <v>1577205003</v>
      </c>
    </row>
    <row r="8092" spans="1:7" x14ac:dyDescent="0.25">
      <c r="A8092">
        <v>1577205004</v>
      </c>
      <c r="B8092" t="s">
        <v>30120</v>
      </c>
      <c r="C8092">
        <v>0</v>
      </c>
      <c r="D8092">
        <v>1</v>
      </c>
      <c r="E8092">
        <v>227</v>
      </c>
      <c r="F8092">
        <v>5400</v>
      </c>
      <c r="G8092">
        <f t="shared" si="126"/>
        <v>1577205004</v>
      </c>
    </row>
    <row r="8093" spans="1:7" x14ac:dyDescent="0.25">
      <c r="A8093">
        <v>1577205017</v>
      </c>
      <c r="B8093" t="s">
        <v>30121</v>
      </c>
      <c r="C8093">
        <v>1642</v>
      </c>
      <c r="D8093">
        <v>1</v>
      </c>
      <c r="E8093">
        <v>3910</v>
      </c>
      <c r="F8093">
        <v>2783</v>
      </c>
      <c r="G8093">
        <f t="shared" si="126"/>
        <v>1577205017</v>
      </c>
    </row>
    <row r="8094" spans="1:7" x14ac:dyDescent="0.25">
      <c r="A8094">
        <v>1577205018</v>
      </c>
      <c r="B8094" t="s">
        <v>30122</v>
      </c>
      <c r="C8094">
        <v>48</v>
      </c>
      <c r="D8094">
        <v>1</v>
      </c>
      <c r="E8094">
        <v>1140</v>
      </c>
      <c r="F8094">
        <v>3838</v>
      </c>
      <c r="G8094">
        <f t="shared" si="126"/>
        <v>1577205018</v>
      </c>
    </row>
    <row r="8095" spans="1:7" x14ac:dyDescent="0.25">
      <c r="A8095">
        <v>1577205020</v>
      </c>
      <c r="B8095" t="s">
        <v>37382</v>
      </c>
      <c r="C8095">
        <v>0</v>
      </c>
      <c r="D8095">
        <v>0</v>
      </c>
      <c r="E8095">
        <v>0</v>
      </c>
      <c r="F8095">
        <v>8481</v>
      </c>
      <c r="G8095">
        <f t="shared" si="126"/>
        <v>1577205020</v>
      </c>
    </row>
    <row r="8096" spans="1:7" x14ac:dyDescent="0.25">
      <c r="A8096">
        <v>1577205033</v>
      </c>
      <c r="B8096" t="s">
        <v>30123</v>
      </c>
      <c r="C8096">
        <v>0</v>
      </c>
      <c r="D8096">
        <v>1</v>
      </c>
      <c r="E8096">
        <v>548</v>
      </c>
      <c r="F8096">
        <v>4555</v>
      </c>
      <c r="G8096">
        <f t="shared" si="126"/>
        <v>1577205033</v>
      </c>
    </row>
    <row r="8097" spans="1:7" x14ac:dyDescent="0.25">
      <c r="A8097">
        <v>1577205054</v>
      </c>
      <c r="B8097" t="s">
        <v>30124</v>
      </c>
      <c r="C8097">
        <v>1667</v>
      </c>
      <c r="D8097">
        <v>0</v>
      </c>
      <c r="E8097">
        <v>0</v>
      </c>
      <c r="F8097">
        <v>8482</v>
      </c>
      <c r="G8097">
        <f t="shared" si="126"/>
        <v>1577205054</v>
      </c>
    </row>
    <row r="8098" spans="1:7" x14ac:dyDescent="0.25">
      <c r="A8098">
        <v>1577205057</v>
      </c>
      <c r="B8098" t="s">
        <v>30125</v>
      </c>
      <c r="C8098">
        <v>1357</v>
      </c>
      <c r="D8098">
        <v>1</v>
      </c>
      <c r="E8098">
        <v>572</v>
      </c>
      <c r="F8098">
        <v>4512</v>
      </c>
      <c r="G8098">
        <f t="shared" si="126"/>
        <v>1577205057</v>
      </c>
    </row>
    <row r="8099" spans="1:7" x14ac:dyDescent="0.25">
      <c r="A8099">
        <v>1577205062</v>
      </c>
      <c r="B8099" t="s">
        <v>30126</v>
      </c>
      <c r="C8099">
        <v>0</v>
      </c>
      <c r="D8099">
        <v>1</v>
      </c>
      <c r="E8099">
        <v>1221</v>
      </c>
      <c r="F8099">
        <v>3782</v>
      </c>
      <c r="G8099">
        <f t="shared" si="126"/>
        <v>1577205062</v>
      </c>
    </row>
    <row r="8100" spans="1:7" x14ac:dyDescent="0.25">
      <c r="A8100">
        <v>1577205068</v>
      </c>
      <c r="B8100" t="s">
        <v>30127</v>
      </c>
      <c r="C8100">
        <v>1651</v>
      </c>
      <c r="D8100">
        <v>1</v>
      </c>
      <c r="E8100">
        <v>1623</v>
      </c>
      <c r="F8100">
        <v>3555</v>
      </c>
      <c r="G8100">
        <f t="shared" si="126"/>
        <v>1577205068</v>
      </c>
    </row>
    <row r="8101" spans="1:7" x14ac:dyDescent="0.25">
      <c r="A8101">
        <v>1577205113</v>
      </c>
      <c r="B8101" t="s">
        <v>30128</v>
      </c>
      <c r="C8101">
        <v>0</v>
      </c>
      <c r="D8101">
        <v>1</v>
      </c>
      <c r="E8101">
        <v>2375</v>
      </c>
      <c r="F8101">
        <v>3195</v>
      </c>
      <c r="G8101">
        <f t="shared" si="126"/>
        <v>1577205113</v>
      </c>
    </row>
    <row r="8102" spans="1:7" x14ac:dyDescent="0.25">
      <c r="A8102">
        <v>1577205132</v>
      </c>
      <c r="B8102" t="s">
        <v>30129</v>
      </c>
      <c r="C8102">
        <v>1695</v>
      </c>
      <c r="D8102">
        <v>1</v>
      </c>
      <c r="E8102">
        <v>979</v>
      </c>
      <c r="F8102">
        <v>4005</v>
      </c>
      <c r="G8102">
        <f t="shared" si="126"/>
        <v>1577205132</v>
      </c>
    </row>
    <row r="8103" spans="1:7" x14ac:dyDescent="0.25">
      <c r="A8103">
        <v>1577205151</v>
      </c>
      <c r="B8103" t="s">
        <v>4651</v>
      </c>
      <c r="C8103">
        <v>1357</v>
      </c>
      <c r="D8103">
        <v>1</v>
      </c>
      <c r="E8103">
        <v>206</v>
      </c>
      <c r="F8103">
        <v>5511</v>
      </c>
      <c r="G8103">
        <f t="shared" si="126"/>
        <v>1577205151</v>
      </c>
    </row>
    <row r="8104" spans="1:7" x14ac:dyDescent="0.25">
      <c r="A8104">
        <v>1577205161</v>
      </c>
      <c r="B8104" t="s">
        <v>30130</v>
      </c>
      <c r="C8104">
        <v>0</v>
      </c>
      <c r="D8104">
        <v>1</v>
      </c>
      <c r="E8104">
        <v>732</v>
      </c>
      <c r="F8104">
        <v>4292</v>
      </c>
      <c r="G8104">
        <f t="shared" si="126"/>
        <v>1577205161</v>
      </c>
    </row>
    <row r="8105" spans="1:7" x14ac:dyDescent="0.25">
      <c r="A8105">
        <v>1577205174</v>
      </c>
      <c r="B8105" t="s">
        <v>36943</v>
      </c>
      <c r="C8105">
        <v>1695</v>
      </c>
      <c r="D8105">
        <v>1</v>
      </c>
      <c r="E8105">
        <v>2888</v>
      </c>
      <c r="F8105">
        <v>3014</v>
      </c>
      <c r="G8105">
        <f t="shared" si="126"/>
        <v>1577205174</v>
      </c>
    </row>
    <row r="8106" spans="1:7" x14ac:dyDescent="0.25">
      <c r="A8106">
        <v>1577205210</v>
      </c>
      <c r="B8106" t="s">
        <v>30131</v>
      </c>
      <c r="C8106">
        <v>1695</v>
      </c>
      <c r="D8106">
        <v>1</v>
      </c>
      <c r="E8106">
        <v>3019</v>
      </c>
      <c r="F8106">
        <v>2992</v>
      </c>
      <c r="G8106">
        <f t="shared" si="126"/>
        <v>1577205210</v>
      </c>
    </row>
    <row r="8107" spans="1:7" x14ac:dyDescent="0.25">
      <c r="A8107">
        <v>1577205227</v>
      </c>
      <c r="B8107" t="s">
        <v>30132</v>
      </c>
      <c r="C8107">
        <v>1831</v>
      </c>
      <c r="D8107">
        <v>1</v>
      </c>
      <c r="E8107">
        <v>1279</v>
      </c>
      <c r="F8107">
        <v>3741</v>
      </c>
      <c r="G8107">
        <f t="shared" si="126"/>
        <v>1577205227</v>
      </c>
    </row>
    <row r="8108" spans="1:7" x14ac:dyDescent="0.25">
      <c r="A8108">
        <v>1577205238</v>
      </c>
      <c r="B8108" t="s">
        <v>30133</v>
      </c>
      <c r="C8108">
        <v>0</v>
      </c>
      <c r="D8108">
        <v>1</v>
      </c>
      <c r="E8108">
        <v>1852</v>
      </c>
      <c r="F8108">
        <v>3443</v>
      </c>
      <c r="G8108">
        <f t="shared" si="126"/>
        <v>1577205238</v>
      </c>
    </row>
    <row r="8109" spans="1:7" x14ac:dyDescent="0.25">
      <c r="A8109">
        <v>1577205243</v>
      </c>
      <c r="B8109" t="s">
        <v>30134</v>
      </c>
      <c r="C8109">
        <v>0</v>
      </c>
      <c r="D8109">
        <v>1</v>
      </c>
      <c r="E8109">
        <v>210</v>
      </c>
      <c r="F8109">
        <v>5464</v>
      </c>
      <c r="G8109">
        <f t="shared" si="126"/>
        <v>1577205243</v>
      </c>
    </row>
    <row r="8110" spans="1:7" x14ac:dyDescent="0.25">
      <c r="A8110">
        <v>1577205258</v>
      </c>
      <c r="B8110" t="s">
        <v>30135</v>
      </c>
      <c r="C8110">
        <v>1836</v>
      </c>
      <c r="D8110">
        <v>1</v>
      </c>
      <c r="E8110">
        <v>3437</v>
      </c>
      <c r="F8110">
        <v>2890</v>
      </c>
      <c r="G8110">
        <f t="shared" si="126"/>
        <v>1577205258</v>
      </c>
    </row>
    <row r="8111" spans="1:7" x14ac:dyDescent="0.25">
      <c r="A8111">
        <v>1577205261</v>
      </c>
      <c r="B8111" t="s">
        <v>30136</v>
      </c>
      <c r="C8111">
        <v>0</v>
      </c>
      <c r="D8111">
        <v>1</v>
      </c>
      <c r="E8111">
        <v>1854</v>
      </c>
      <c r="F8111">
        <v>3415</v>
      </c>
      <c r="G8111">
        <f t="shared" si="126"/>
        <v>1577205261</v>
      </c>
    </row>
    <row r="8112" spans="1:7" x14ac:dyDescent="0.25">
      <c r="A8112">
        <v>1577205263</v>
      </c>
      <c r="B8112" t="s">
        <v>30137</v>
      </c>
      <c r="C8112">
        <v>0</v>
      </c>
      <c r="D8112">
        <v>1</v>
      </c>
      <c r="E8112">
        <v>605</v>
      </c>
      <c r="F8112">
        <v>4486</v>
      </c>
      <c r="G8112">
        <f t="shared" si="126"/>
        <v>1577205263</v>
      </c>
    </row>
    <row r="8113" spans="1:7" x14ac:dyDescent="0.25">
      <c r="A8113">
        <v>1577205274</v>
      </c>
      <c r="B8113" t="s">
        <v>30138</v>
      </c>
      <c r="C8113">
        <v>1836</v>
      </c>
      <c r="D8113">
        <v>1</v>
      </c>
      <c r="E8113">
        <v>2742</v>
      </c>
      <c r="F8113">
        <v>3059</v>
      </c>
      <c r="G8113">
        <f t="shared" si="126"/>
        <v>1577205274</v>
      </c>
    </row>
    <row r="8114" spans="1:7" x14ac:dyDescent="0.25">
      <c r="A8114">
        <v>1577205278</v>
      </c>
      <c r="B8114" t="s">
        <v>30139</v>
      </c>
      <c r="C8114">
        <v>1188</v>
      </c>
      <c r="D8114">
        <v>1</v>
      </c>
      <c r="E8114">
        <v>305</v>
      </c>
      <c r="F8114">
        <v>5110</v>
      </c>
      <c r="G8114">
        <f t="shared" si="126"/>
        <v>1577205278</v>
      </c>
    </row>
    <row r="8115" spans="1:7" x14ac:dyDescent="0.25">
      <c r="A8115">
        <v>1577205322</v>
      </c>
      <c r="B8115" t="s">
        <v>2602</v>
      </c>
      <c r="C8115">
        <v>1828</v>
      </c>
      <c r="D8115">
        <v>1</v>
      </c>
      <c r="E8115">
        <v>1252</v>
      </c>
      <c r="F8115">
        <v>3760</v>
      </c>
      <c r="G8115">
        <f t="shared" si="126"/>
        <v>1577205322</v>
      </c>
    </row>
    <row r="8116" spans="1:7" x14ac:dyDescent="0.25">
      <c r="A8116">
        <v>1577205355</v>
      </c>
      <c r="B8116" t="s">
        <v>30140</v>
      </c>
      <c r="C8116">
        <v>0</v>
      </c>
      <c r="D8116">
        <v>1</v>
      </c>
      <c r="E8116">
        <v>570</v>
      </c>
      <c r="F8116">
        <v>4519</v>
      </c>
      <c r="G8116">
        <f t="shared" si="126"/>
        <v>1577205355</v>
      </c>
    </row>
    <row r="8117" spans="1:7" x14ac:dyDescent="0.25">
      <c r="A8117">
        <v>1577205376</v>
      </c>
      <c r="B8117" t="s">
        <v>30141</v>
      </c>
      <c r="C8117">
        <v>0</v>
      </c>
      <c r="D8117">
        <v>0</v>
      </c>
      <c r="E8117">
        <v>0</v>
      </c>
      <c r="F8117">
        <v>8483</v>
      </c>
      <c r="G8117">
        <f t="shared" si="126"/>
        <v>1577205376</v>
      </c>
    </row>
    <row r="8118" spans="1:7" x14ac:dyDescent="0.25">
      <c r="A8118">
        <v>1577205421</v>
      </c>
      <c r="B8118" t="s">
        <v>30142</v>
      </c>
      <c r="C8118">
        <v>1786</v>
      </c>
      <c r="D8118">
        <v>1</v>
      </c>
      <c r="E8118">
        <v>1216</v>
      </c>
      <c r="F8118">
        <v>3789</v>
      </c>
      <c r="G8118">
        <f t="shared" si="126"/>
        <v>1577205421</v>
      </c>
    </row>
    <row r="8119" spans="1:7" x14ac:dyDescent="0.25">
      <c r="A8119">
        <v>1577205423</v>
      </c>
      <c r="B8119" t="s">
        <v>30143</v>
      </c>
      <c r="C8119">
        <v>235</v>
      </c>
      <c r="D8119">
        <v>1</v>
      </c>
      <c r="E8119">
        <v>2714</v>
      </c>
      <c r="F8119">
        <v>3071</v>
      </c>
      <c r="G8119">
        <f t="shared" si="126"/>
        <v>1577205423</v>
      </c>
    </row>
    <row r="8120" spans="1:7" x14ac:dyDescent="0.25">
      <c r="A8120">
        <v>1577205425</v>
      </c>
      <c r="B8120" t="s">
        <v>3163</v>
      </c>
      <c r="C8120">
        <v>1786</v>
      </c>
      <c r="D8120">
        <v>1</v>
      </c>
      <c r="E8120">
        <v>203</v>
      </c>
      <c r="F8120">
        <v>5486</v>
      </c>
      <c r="G8120">
        <f t="shared" si="126"/>
        <v>1577205425</v>
      </c>
    </row>
    <row r="8121" spans="1:7" x14ac:dyDescent="0.25">
      <c r="A8121">
        <v>1577205438</v>
      </c>
      <c r="B8121" t="s">
        <v>30144</v>
      </c>
      <c r="C8121">
        <v>1642</v>
      </c>
      <c r="D8121">
        <v>1</v>
      </c>
      <c r="E8121">
        <v>2444</v>
      </c>
      <c r="F8121">
        <v>3160</v>
      </c>
      <c r="G8121">
        <f t="shared" si="126"/>
        <v>1577205438</v>
      </c>
    </row>
    <row r="8122" spans="1:7" x14ac:dyDescent="0.25">
      <c r="A8122">
        <v>1577205446</v>
      </c>
      <c r="B8122" t="s">
        <v>36944</v>
      </c>
      <c r="C8122">
        <v>0</v>
      </c>
      <c r="D8122">
        <v>1</v>
      </c>
      <c r="E8122">
        <v>336</v>
      </c>
      <c r="F8122">
        <v>5021</v>
      </c>
      <c r="G8122">
        <f t="shared" si="126"/>
        <v>1577205446</v>
      </c>
    </row>
    <row r="8123" spans="1:7" x14ac:dyDescent="0.25">
      <c r="A8123">
        <v>1577205454</v>
      </c>
      <c r="B8123" t="s">
        <v>36945</v>
      </c>
      <c r="C8123">
        <v>0</v>
      </c>
      <c r="D8123">
        <v>1</v>
      </c>
      <c r="E8123">
        <v>161</v>
      </c>
      <c r="F8123">
        <v>5658</v>
      </c>
      <c r="G8123">
        <f t="shared" si="126"/>
        <v>1577205454</v>
      </c>
    </row>
    <row r="8124" spans="1:7" x14ac:dyDescent="0.25">
      <c r="A8124">
        <v>1577205474</v>
      </c>
      <c r="B8124" t="s">
        <v>30145</v>
      </c>
      <c r="C8124">
        <v>1802</v>
      </c>
      <c r="D8124">
        <v>1</v>
      </c>
      <c r="E8124">
        <v>1409</v>
      </c>
      <c r="F8124">
        <v>3650</v>
      </c>
      <c r="G8124">
        <f t="shared" si="126"/>
        <v>1577205474</v>
      </c>
    </row>
    <row r="8125" spans="1:7" x14ac:dyDescent="0.25">
      <c r="A8125">
        <v>1577205482</v>
      </c>
      <c r="B8125" t="s">
        <v>30146</v>
      </c>
      <c r="C8125">
        <v>0</v>
      </c>
      <c r="D8125">
        <v>0</v>
      </c>
      <c r="E8125">
        <v>0</v>
      </c>
      <c r="F8125">
        <v>8484</v>
      </c>
      <c r="G8125">
        <f t="shared" si="126"/>
        <v>1577205482</v>
      </c>
    </row>
    <row r="8126" spans="1:7" x14ac:dyDescent="0.25">
      <c r="A8126">
        <v>1577205502</v>
      </c>
      <c r="B8126" t="s">
        <v>30147</v>
      </c>
      <c r="C8126">
        <v>1682</v>
      </c>
      <c r="D8126">
        <v>1</v>
      </c>
      <c r="E8126">
        <v>3131</v>
      </c>
      <c r="F8126">
        <v>2960</v>
      </c>
      <c r="G8126">
        <f t="shared" si="126"/>
        <v>1577205502</v>
      </c>
    </row>
    <row r="8127" spans="1:7" x14ac:dyDescent="0.25">
      <c r="A8127">
        <v>1577205532</v>
      </c>
      <c r="B8127" t="s">
        <v>36946</v>
      </c>
      <c r="C8127">
        <v>0</v>
      </c>
      <c r="D8127">
        <v>1</v>
      </c>
      <c r="E8127">
        <v>26</v>
      </c>
      <c r="F8127">
        <v>6913</v>
      </c>
      <c r="G8127">
        <f t="shared" si="126"/>
        <v>1577205532</v>
      </c>
    </row>
    <row r="8128" spans="1:7" x14ac:dyDescent="0.25">
      <c r="A8128">
        <v>1577205550</v>
      </c>
      <c r="B8128" t="s">
        <v>30148</v>
      </c>
      <c r="C8128">
        <v>0</v>
      </c>
      <c r="D8128">
        <v>1</v>
      </c>
      <c r="E8128">
        <v>26</v>
      </c>
      <c r="F8128">
        <v>6914</v>
      </c>
      <c r="G8128">
        <f t="shared" si="126"/>
        <v>1577205550</v>
      </c>
    </row>
    <row r="8129" spans="1:7" x14ac:dyDescent="0.25">
      <c r="A8129">
        <v>1577205556</v>
      </c>
      <c r="B8129" t="s">
        <v>30149</v>
      </c>
      <c r="C8129">
        <v>0</v>
      </c>
      <c r="D8129">
        <v>1</v>
      </c>
      <c r="E8129">
        <v>1966</v>
      </c>
      <c r="F8129">
        <v>3363</v>
      </c>
      <c r="G8129">
        <f t="shared" ref="G8129:G8192" si="127">A8129</f>
        <v>1577205556</v>
      </c>
    </row>
    <row r="8130" spans="1:7" x14ac:dyDescent="0.25">
      <c r="A8130">
        <v>1577205561</v>
      </c>
      <c r="B8130" t="s">
        <v>30150</v>
      </c>
      <c r="C8130">
        <v>2000</v>
      </c>
      <c r="D8130">
        <v>1</v>
      </c>
      <c r="E8130">
        <v>254</v>
      </c>
      <c r="F8130">
        <v>5284</v>
      </c>
      <c r="G8130">
        <f t="shared" si="127"/>
        <v>1577205561</v>
      </c>
    </row>
    <row r="8131" spans="1:7" x14ac:dyDescent="0.25">
      <c r="A8131">
        <v>1577205563</v>
      </c>
      <c r="B8131" t="s">
        <v>30151</v>
      </c>
      <c r="C8131">
        <v>1324</v>
      </c>
      <c r="D8131">
        <v>1</v>
      </c>
      <c r="E8131">
        <v>364</v>
      </c>
      <c r="F8131">
        <v>4944</v>
      </c>
      <c r="G8131">
        <f t="shared" si="127"/>
        <v>1577205563</v>
      </c>
    </row>
    <row r="8132" spans="1:7" x14ac:dyDescent="0.25">
      <c r="A8132">
        <v>1577205568</v>
      </c>
      <c r="B8132" t="s">
        <v>30152</v>
      </c>
      <c r="C8132">
        <v>0</v>
      </c>
      <c r="D8132">
        <v>0</v>
      </c>
      <c r="E8132">
        <v>0</v>
      </c>
      <c r="F8132">
        <v>8485</v>
      </c>
      <c r="G8132">
        <f t="shared" si="127"/>
        <v>1577205568</v>
      </c>
    </row>
    <row r="8133" spans="1:7" x14ac:dyDescent="0.25">
      <c r="A8133">
        <v>1577205569</v>
      </c>
      <c r="B8133" t="s">
        <v>30153</v>
      </c>
      <c r="C8133">
        <v>1836</v>
      </c>
      <c r="D8133">
        <v>1</v>
      </c>
      <c r="E8133">
        <v>1514</v>
      </c>
      <c r="F8133">
        <v>3587</v>
      </c>
      <c r="G8133">
        <f t="shared" si="127"/>
        <v>1577205569</v>
      </c>
    </row>
    <row r="8134" spans="1:7" x14ac:dyDescent="0.25">
      <c r="A8134">
        <v>1577205576</v>
      </c>
      <c r="B8134" t="s">
        <v>30154</v>
      </c>
      <c r="C8134">
        <v>0</v>
      </c>
      <c r="D8134">
        <v>1</v>
      </c>
      <c r="E8134">
        <v>786</v>
      </c>
      <c r="F8134">
        <v>4221</v>
      </c>
      <c r="G8134">
        <f t="shared" si="127"/>
        <v>1577205576</v>
      </c>
    </row>
    <row r="8135" spans="1:7" x14ac:dyDescent="0.25">
      <c r="A8135">
        <v>1577205620</v>
      </c>
      <c r="B8135" t="s">
        <v>30155</v>
      </c>
      <c r="C8135">
        <v>1777</v>
      </c>
      <c r="D8135">
        <v>1</v>
      </c>
      <c r="E8135">
        <v>224</v>
      </c>
      <c r="F8135">
        <v>5417</v>
      </c>
      <c r="G8135">
        <f t="shared" si="127"/>
        <v>1577205620</v>
      </c>
    </row>
    <row r="8136" spans="1:7" x14ac:dyDescent="0.25">
      <c r="A8136">
        <v>1577205636</v>
      </c>
      <c r="B8136" t="s">
        <v>30156</v>
      </c>
      <c r="C8136">
        <v>0</v>
      </c>
      <c r="D8136">
        <v>1</v>
      </c>
      <c r="E8136">
        <v>26</v>
      </c>
      <c r="F8136">
        <v>6915</v>
      </c>
      <c r="G8136">
        <f t="shared" si="127"/>
        <v>1577205636</v>
      </c>
    </row>
    <row r="8137" spans="1:7" x14ac:dyDescent="0.25">
      <c r="A8137">
        <v>1577205638</v>
      </c>
      <c r="B8137" t="s">
        <v>30157</v>
      </c>
      <c r="C8137">
        <v>1692</v>
      </c>
      <c r="D8137">
        <v>1</v>
      </c>
      <c r="E8137">
        <v>708</v>
      </c>
      <c r="F8137">
        <v>4330</v>
      </c>
      <c r="G8137">
        <f t="shared" si="127"/>
        <v>1577205638</v>
      </c>
    </row>
    <row r="8138" spans="1:7" x14ac:dyDescent="0.25">
      <c r="A8138">
        <v>1577205641</v>
      </c>
      <c r="B8138" t="s">
        <v>37206</v>
      </c>
      <c r="C8138">
        <v>0</v>
      </c>
      <c r="D8138">
        <v>1</v>
      </c>
      <c r="E8138">
        <v>183</v>
      </c>
      <c r="F8138">
        <v>5584</v>
      </c>
      <c r="G8138">
        <f t="shared" si="127"/>
        <v>1577205641</v>
      </c>
    </row>
    <row r="8139" spans="1:7" x14ac:dyDescent="0.25">
      <c r="A8139">
        <v>1577205642</v>
      </c>
      <c r="B8139" t="s">
        <v>30158</v>
      </c>
      <c r="C8139">
        <v>1802</v>
      </c>
      <c r="D8139">
        <v>1</v>
      </c>
      <c r="E8139">
        <v>1340</v>
      </c>
      <c r="F8139">
        <v>3698</v>
      </c>
      <c r="G8139">
        <f t="shared" si="127"/>
        <v>1577205642</v>
      </c>
    </row>
    <row r="8140" spans="1:7" x14ac:dyDescent="0.25">
      <c r="A8140">
        <v>1577205674</v>
      </c>
      <c r="B8140" t="s">
        <v>30159</v>
      </c>
      <c r="C8140">
        <v>1742</v>
      </c>
      <c r="D8140">
        <v>1</v>
      </c>
      <c r="E8140">
        <v>307</v>
      </c>
      <c r="F8140">
        <v>5107</v>
      </c>
      <c r="G8140">
        <f t="shared" si="127"/>
        <v>1577205674</v>
      </c>
    </row>
    <row r="8141" spans="1:7" x14ac:dyDescent="0.25">
      <c r="A8141">
        <v>1577205681</v>
      </c>
      <c r="B8141" t="s">
        <v>30160</v>
      </c>
      <c r="C8141">
        <v>1357</v>
      </c>
      <c r="D8141">
        <v>1</v>
      </c>
      <c r="E8141">
        <v>813</v>
      </c>
      <c r="F8141">
        <v>4182</v>
      </c>
      <c r="G8141">
        <f t="shared" si="127"/>
        <v>1577205681</v>
      </c>
    </row>
    <row r="8142" spans="1:7" x14ac:dyDescent="0.25">
      <c r="A8142">
        <v>1577205685</v>
      </c>
      <c r="B8142" t="s">
        <v>30161</v>
      </c>
      <c r="C8142">
        <v>0</v>
      </c>
      <c r="D8142">
        <v>1</v>
      </c>
      <c r="E8142">
        <v>109</v>
      </c>
      <c r="F8142">
        <v>5815</v>
      </c>
      <c r="G8142">
        <f t="shared" si="127"/>
        <v>1577205685</v>
      </c>
    </row>
    <row r="8143" spans="1:7" x14ac:dyDescent="0.25">
      <c r="A8143">
        <v>1577205691</v>
      </c>
      <c r="B8143" t="s">
        <v>30162</v>
      </c>
      <c r="C8143">
        <v>0</v>
      </c>
      <c r="D8143">
        <v>1</v>
      </c>
      <c r="E8143">
        <v>664</v>
      </c>
      <c r="F8143">
        <v>4409</v>
      </c>
      <c r="G8143">
        <f t="shared" si="127"/>
        <v>1577205691</v>
      </c>
    </row>
    <row r="8144" spans="1:7" x14ac:dyDescent="0.25">
      <c r="A8144">
        <v>1577205695</v>
      </c>
      <c r="B8144" t="s">
        <v>30163</v>
      </c>
      <c r="C8144">
        <v>1107</v>
      </c>
      <c r="D8144">
        <v>1</v>
      </c>
      <c r="E8144">
        <v>248</v>
      </c>
      <c r="F8144">
        <v>5316</v>
      </c>
      <c r="G8144">
        <f t="shared" si="127"/>
        <v>1577205695</v>
      </c>
    </row>
    <row r="8145" spans="1:7" x14ac:dyDescent="0.25">
      <c r="A8145">
        <v>1577205699</v>
      </c>
      <c r="B8145" t="s">
        <v>30164</v>
      </c>
      <c r="C8145">
        <v>0</v>
      </c>
      <c r="D8145">
        <v>1</v>
      </c>
      <c r="E8145">
        <v>381</v>
      </c>
      <c r="F8145">
        <v>4901</v>
      </c>
      <c r="G8145">
        <f t="shared" si="127"/>
        <v>1577205699</v>
      </c>
    </row>
    <row r="8146" spans="1:7" x14ac:dyDescent="0.25">
      <c r="A8146">
        <v>1577205702</v>
      </c>
      <c r="B8146" t="s">
        <v>30165</v>
      </c>
      <c r="C8146">
        <v>1362</v>
      </c>
      <c r="D8146">
        <v>1</v>
      </c>
      <c r="E8146">
        <v>1158</v>
      </c>
      <c r="F8146">
        <v>3819</v>
      </c>
      <c r="G8146">
        <f t="shared" si="127"/>
        <v>1577205702</v>
      </c>
    </row>
    <row r="8147" spans="1:7" x14ac:dyDescent="0.25">
      <c r="A8147">
        <v>1577205730</v>
      </c>
      <c r="B8147" t="s">
        <v>30166</v>
      </c>
      <c r="C8147">
        <v>1357</v>
      </c>
      <c r="D8147">
        <v>1</v>
      </c>
      <c r="E8147">
        <v>507</v>
      </c>
      <c r="F8147">
        <v>4614</v>
      </c>
      <c r="G8147">
        <f t="shared" si="127"/>
        <v>1577205730</v>
      </c>
    </row>
    <row r="8148" spans="1:7" x14ac:dyDescent="0.25">
      <c r="A8148">
        <v>1577205775</v>
      </c>
      <c r="B8148" t="s">
        <v>2681</v>
      </c>
      <c r="C8148">
        <v>1716</v>
      </c>
      <c r="D8148">
        <v>1</v>
      </c>
      <c r="E8148">
        <v>671</v>
      </c>
      <c r="F8148">
        <v>4383</v>
      </c>
      <c r="G8148">
        <f t="shared" si="127"/>
        <v>1577205775</v>
      </c>
    </row>
    <row r="8149" spans="1:7" x14ac:dyDescent="0.25">
      <c r="A8149">
        <v>1577205783</v>
      </c>
      <c r="B8149" t="s">
        <v>30167</v>
      </c>
      <c r="C8149">
        <v>1836</v>
      </c>
      <c r="D8149">
        <v>1</v>
      </c>
      <c r="E8149">
        <v>1951</v>
      </c>
      <c r="F8149">
        <v>3371</v>
      </c>
      <c r="G8149">
        <f t="shared" si="127"/>
        <v>1577205783</v>
      </c>
    </row>
    <row r="8150" spans="1:7" x14ac:dyDescent="0.25">
      <c r="A8150">
        <v>1577205804</v>
      </c>
      <c r="B8150" t="s">
        <v>30168</v>
      </c>
      <c r="C8150">
        <v>0</v>
      </c>
      <c r="D8150">
        <v>1</v>
      </c>
      <c r="E8150">
        <v>271</v>
      </c>
      <c r="F8150">
        <v>5221</v>
      </c>
      <c r="G8150">
        <f t="shared" si="127"/>
        <v>1577205804</v>
      </c>
    </row>
    <row r="8151" spans="1:7" x14ac:dyDescent="0.25">
      <c r="A8151">
        <v>1577205806</v>
      </c>
      <c r="B8151" t="s">
        <v>30169</v>
      </c>
      <c r="C8151">
        <v>0</v>
      </c>
      <c r="D8151">
        <v>1</v>
      </c>
      <c r="E8151">
        <v>66</v>
      </c>
      <c r="F8151">
        <v>6088</v>
      </c>
      <c r="G8151">
        <f t="shared" si="127"/>
        <v>1577205806</v>
      </c>
    </row>
    <row r="8152" spans="1:7" x14ac:dyDescent="0.25">
      <c r="A8152">
        <v>1577205811</v>
      </c>
      <c r="B8152" t="s">
        <v>30170</v>
      </c>
      <c r="C8152">
        <v>0</v>
      </c>
      <c r="D8152">
        <v>1</v>
      </c>
      <c r="E8152">
        <v>210</v>
      </c>
      <c r="F8152">
        <v>5465</v>
      </c>
      <c r="G8152">
        <f t="shared" si="127"/>
        <v>1577205811</v>
      </c>
    </row>
    <row r="8153" spans="1:7" x14ac:dyDescent="0.25">
      <c r="A8153">
        <v>1577205836</v>
      </c>
      <c r="B8153" t="s">
        <v>30171</v>
      </c>
      <c r="C8153">
        <v>0</v>
      </c>
      <c r="D8153">
        <v>1</v>
      </c>
      <c r="E8153">
        <v>1100</v>
      </c>
      <c r="F8153">
        <v>3879</v>
      </c>
      <c r="G8153">
        <f t="shared" si="127"/>
        <v>1577205836</v>
      </c>
    </row>
    <row r="8154" spans="1:7" x14ac:dyDescent="0.25">
      <c r="A8154">
        <v>1577205847</v>
      </c>
      <c r="B8154" t="s">
        <v>30172</v>
      </c>
      <c r="C8154">
        <v>1850</v>
      </c>
      <c r="D8154">
        <v>1</v>
      </c>
      <c r="E8154">
        <v>905</v>
      </c>
      <c r="F8154">
        <v>4089</v>
      </c>
      <c r="G8154">
        <f t="shared" si="127"/>
        <v>1577205847</v>
      </c>
    </row>
    <row r="8155" spans="1:7" x14ac:dyDescent="0.25">
      <c r="A8155">
        <v>1577205850</v>
      </c>
      <c r="B8155" t="s">
        <v>30173</v>
      </c>
      <c r="C8155">
        <v>1362</v>
      </c>
      <c r="D8155">
        <v>1</v>
      </c>
      <c r="E8155">
        <v>299</v>
      </c>
      <c r="F8155">
        <v>5123</v>
      </c>
      <c r="G8155">
        <f t="shared" si="127"/>
        <v>1577205850</v>
      </c>
    </row>
    <row r="8156" spans="1:7" x14ac:dyDescent="0.25">
      <c r="A8156">
        <v>1577205857</v>
      </c>
      <c r="B8156" t="s">
        <v>30174</v>
      </c>
      <c r="C8156">
        <v>1373</v>
      </c>
      <c r="D8156">
        <v>1</v>
      </c>
      <c r="E8156">
        <v>2360</v>
      </c>
      <c r="F8156">
        <v>3191</v>
      </c>
      <c r="G8156">
        <f t="shared" si="127"/>
        <v>1577205857</v>
      </c>
    </row>
    <row r="8157" spans="1:7" x14ac:dyDescent="0.25">
      <c r="A8157">
        <v>1577205871</v>
      </c>
      <c r="B8157" t="s">
        <v>30175</v>
      </c>
      <c r="C8157">
        <v>1752</v>
      </c>
      <c r="D8157">
        <v>1</v>
      </c>
      <c r="E8157">
        <v>2345</v>
      </c>
      <c r="F8157">
        <v>3198</v>
      </c>
      <c r="G8157">
        <f t="shared" si="127"/>
        <v>1577205871</v>
      </c>
    </row>
    <row r="8158" spans="1:7" x14ac:dyDescent="0.25">
      <c r="A8158">
        <v>1577205885</v>
      </c>
      <c r="B8158" t="s">
        <v>30176</v>
      </c>
      <c r="C8158">
        <v>0</v>
      </c>
      <c r="D8158">
        <v>1</v>
      </c>
      <c r="E8158">
        <v>249</v>
      </c>
      <c r="F8158">
        <v>5310</v>
      </c>
      <c r="G8158">
        <f t="shared" si="127"/>
        <v>1577205885</v>
      </c>
    </row>
    <row r="8159" spans="1:7" x14ac:dyDescent="0.25">
      <c r="A8159">
        <v>1577205912</v>
      </c>
      <c r="B8159" t="s">
        <v>30177</v>
      </c>
      <c r="C8159">
        <v>1643</v>
      </c>
      <c r="D8159">
        <v>1</v>
      </c>
      <c r="E8159">
        <v>1966</v>
      </c>
      <c r="F8159">
        <v>3364</v>
      </c>
      <c r="G8159">
        <f t="shared" si="127"/>
        <v>1577205912</v>
      </c>
    </row>
    <row r="8160" spans="1:7" x14ac:dyDescent="0.25">
      <c r="A8160">
        <v>1577205929</v>
      </c>
      <c r="B8160" t="s">
        <v>2765</v>
      </c>
      <c r="C8160">
        <v>48</v>
      </c>
      <c r="D8160">
        <v>1</v>
      </c>
      <c r="E8160">
        <v>1394</v>
      </c>
      <c r="F8160">
        <v>3662</v>
      </c>
      <c r="G8160">
        <f t="shared" si="127"/>
        <v>1577205929</v>
      </c>
    </row>
    <row r="8161" spans="1:7" x14ac:dyDescent="0.25">
      <c r="A8161">
        <v>1577205954</v>
      </c>
      <c r="B8161" t="s">
        <v>30178</v>
      </c>
      <c r="C8161">
        <v>0</v>
      </c>
      <c r="D8161">
        <v>1</v>
      </c>
      <c r="E8161">
        <v>313</v>
      </c>
      <c r="F8161">
        <v>5093</v>
      </c>
      <c r="G8161">
        <f t="shared" si="127"/>
        <v>1577205954</v>
      </c>
    </row>
    <row r="8162" spans="1:7" x14ac:dyDescent="0.25">
      <c r="A8162">
        <v>1577205982</v>
      </c>
      <c r="B8162" t="s">
        <v>30179</v>
      </c>
      <c r="C8162">
        <v>1373</v>
      </c>
      <c r="D8162">
        <v>1</v>
      </c>
      <c r="E8162">
        <v>1512</v>
      </c>
      <c r="F8162">
        <v>3589</v>
      </c>
      <c r="G8162">
        <f t="shared" si="127"/>
        <v>1577205982</v>
      </c>
    </row>
    <row r="8163" spans="1:7" x14ac:dyDescent="0.25">
      <c r="A8163">
        <v>1577206000</v>
      </c>
      <c r="B8163" t="s">
        <v>30180</v>
      </c>
      <c r="C8163">
        <v>0</v>
      </c>
      <c r="D8163">
        <v>1</v>
      </c>
      <c r="E8163">
        <v>529</v>
      </c>
      <c r="F8163">
        <v>4582</v>
      </c>
      <c r="G8163">
        <f t="shared" si="127"/>
        <v>1577206000</v>
      </c>
    </row>
    <row r="8164" spans="1:7" x14ac:dyDescent="0.25">
      <c r="A8164">
        <v>1577206010</v>
      </c>
      <c r="B8164" t="s">
        <v>30181</v>
      </c>
      <c r="C8164">
        <v>0</v>
      </c>
      <c r="D8164">
        <v>1</v>
      </c>
      <c r="E8164">
        <v>91</v>
      </c>
      <c r="F8164">
        <v>5903</v>
      </c>
      <c r="G8164">
        <f t="shared" si="127"/>
        <v>1577206010</v>
      </c>
    </row>
    <row r="8165" spans="1:7" x14ac:dyDescent="0.25">
      <c r="A8165">
        <v>1577206019</v>
      </c>
      <c r="B8165" t="s">
        <v>36947</v>
      </c>
      <c r="C8165">
        <v>1642</v>
      </c>
      <c r="D8165">
        <v>1</v>
      </c>
      <c r="E8165">
        <v>784</v>
      </c>
      <c r="F8165">
        <v>4226</v>
      </c>
      <c r="G8165">
        <f t="shared" si="127"/>
        <v>1577206019</v>
      </c>
    </row>
    <row r="8166" spans="1:7" x14ac:dyDescent="0.25">
      <c r="A8166">
        <v>1577206022</v>
      </c>
      <c r="B8166" t="s">
        <v>30182</v>
      </c>
      <c r="C8166">
        <v>0</v>
      </c>
      <c r="D8166">
        <v>1</v>
      </c>
      <c r="E8166">
        <v>430</v>
      </c>
      <c r="F8166">
        <v>4780</v>
      </c>
      <c r="G8166">
        <f t="shared" si="127"/>
        <v>1577206022</v>
      </c>
    </row>
    <row r="8167" spans="1:7" x14ac:dyDescent="0.25">
      <c r="A8167">
        <v>1577206033</v>
      </c>
      <c r="B8167" t="s">
        <v>30183</v>
      </c>
      <c r="C8167">
        <v>0</v>
      </c>
      <c r="D8167">
        <v>1</v>
      </c>
      <c r="E8167">
        <v>50</v>
      </c>
      <c r="F8167">
        <v>6188</v>
      </c>
      <c r="G8167">
        <f t="shared" si="127"/>
        <v>1577206033</v>
      </c>
    </row>
    <row r="8168" spans="1:7" x14ac:dyDescent="0.25">
      <c r="A8168">
        <v>1577206034</v>
      </c>
      <c r="B8168" t="s">
        <v>30184</v>
      </c>
      <c r="C8168">
        <v>1663</v>
      </c>
      <c r="D8168">
        <v>1</v>
      </c>
      <c r="E8168">
        <v>2489</v>
      </c>
      <c r="F8168">
        <v>3145</v>
      </c>
      <c r="G8168">
        <f t="shared" si="127"/>
        <v>1577206034</v>
      </c>
    </row>
    <row r="8169" spans="1:7" x14ac:dyDescent="0.25">
      <c r="A8169">
        <v>1577206035</v>
      </c>
      <c r="B8169" t="s">
        <v>30185</v>
      </c>
      <c r="C8169">
        <v>1107</v>
      </c>
      <c r="D8169">
        <v>1</v>
      </c>
      <c r="E8169">
        <v>297</v>
      </c>
      <c r="F8169">
        <v>5160</v>
      </c>
      <c r="G8169">
        <f t="shared" si="127"/>
        <v>1577206035</v>
      </c>
    </row>
    <row r="8170" spans="1:7" x14ac:dyDescent="0.25">
      <c r="A8170">
        <v>1577206048</v>
      </c>
      <c r="B8170" t="s">
        <v>30186</v>
      </c>
      <c r="C8170">
        <v>0</v>
      </c>
      <c r="D8170">
        <v>1</v>
      </c>
      <c r="E8170">
        <v>38</v>
      </c>
      <c r="F8170">
        <v>6291</v>
      </c>
      <c r="G8170">
        <f t="shared" si="127"/>
        <v>1577206048</v>
      </c>
    </row>
    <row r="8171" spans="1:7" x14ac:dyDescent="0.25">
      <c r="A8171">
        <v>1577206076</v>
      </c>
      <c r="B8171" t="s">
        <v>30187</v>
      </c>
      <c r="C8171">
        <v>1663</v>
      </c>
      <c r="D8171">
        <v>1</v>
      </c>
      <c r="E8171">
        <v>2349</v>
      </c>
      <c r="F8171">
        <v>3196</v>
      </c>
      <c r="G8171">
        <f t="shared" si="127"/>
        <v>1577206076</v>
      </c>
    </row>
    <row r="8172" spans="1:7" x14ac:dyDescent="0.25">
      <c r="A8172">
        <v>1577206084</v>
      </c>
      <c r="B8172" t="s">
        <v>30188</v>
      </c>
      <c r="C8172">
        <v>12</v>
      </c>
      <c r="D8172">
        <v>1</v>
      </c>
      <c r="E8172">
        <v>2376</v>
      </c>
      <c r="F8172">
        <v>3180</v>
      </c>
      <c r="G8172">
        <f t="shared" si="127"/>
        <v>1577206084</v>
      </c>
    </row>
    <row r="8173" spans="1:7" x14ac:dyDescent="0.25">
      <c r="A8173">
        <v>1577206092</v>
      </c>
      <c r="B8173" t="s">
        <v>30189</v>
      </c>
      <c r="C8173">
        <v>1602</v>
      </c>
      <c r="D8173">
        <v>1</v>
      </c>
      <c r="E8173">
        <v>577</v>
      </c>
      <c r="F8173">
        <v>4498</v>
      </c>
      <c r="G8173">
        <f t="shared" si="127"/>
        <v>1577206092</v>
      </c>
    </row>
    <row r="8174" spans="1:7" x14ac:dyDescent="0.25">
      <c r="A8174">
        <v>1577206101</v>
      </c>
      <c r="B8174" t="s">
        <v>30190</v>
      </c>
      <c r="C8174">
        <v>0</v>
      </c>
      <c r="D8174">
        <v>1</v>
      </c>
      <c r="E8174">
        <v>134</v>
      </c>
      <c r="F8174">
        <v>5766</v>
      </c>
      <c r="G8174">
        <f t="shared" si="127"/>
        <v>1577206101</v>
      </c>
    </row>
    <row r="8175" spans="1:7" x14ac:dyDescent="0.25">
      <c r="A8175">
        <v>1577206105</v>
      </c>
      <c r="B8175" t="s">
        <v>30191</v>
      </c>
      <c r="C8175">
        <v>1663</v>
      </c>
      <c r="D8175">
        <v>1</v>
      </c>
      <c r="E8175">
        <v>2887</v>
      </c>
      <c r="F8175">
        <v>3015</v>
      </c>
      <c r="G8175">
        <f t="shared" si="127"/>
        <v>1577206105</v>
      </c>
    </row>
    <row r="8176" spans="1:7" x14ac:dyDescent="0.25">
      <c r="A8176">
        <v>1577206108</v>
      </c>
      <c r="B8176" t="s">
        <v>2792</v>
      </c>
      <c r="C8176">
        <v>1663</v>
      </c>
      <c r="D8176">
        <v>1</v>
      </c>
      <c r="E8176">
        <v>2357</v>
      </c>
      <c r="F8176">
        <v>3194</v>
      </c>
      <c r="G8176">
        <f t="shared" si="127"/>
        <v>1577206108</v>
      </c>
    </row>
    <row r="8177" spans="1:7" x14ac:dyDescent="0.25">
      <c r="A8177">
        <v>1577206119</v>
      </c>
      <c r="B8177" t="s">
        <v>30192</v>
      </c>
      <c r="C8177">
        <v>1232</v>
      </c>
      <c r="D8177">
        <v>1</v>
      </c>
      <c r="E8177">
        <v>1726</v>
      </c>
      <c r="F8177">
        <v>3481</v>
      </c>
      <c r="G8177">
        <f t="shared" si="127"/>
        <v>1577206119</v>
      </c>
    </row>
    <row r="8178" spans="1:7" x14ac:dyDescent="0.25">
      <c r="A8178">
        <v>1577206120</v>
      </c>
      <c r="B8178" t="s">
        <v>2796</v>
      </c>
      <c r="C8178">
        <v>1663</v>
      </c>
      <c r="D8178">
        <v>1</v>
      </c>
      <c r="E8178">
        <v>2033</v>
      </c>
      <c r="F8178">
        <v>3328</v>
      </c>
      <c r="G8178">
        <f t="shared" si="127"/>
        <v>1577206120</v>
      </c>
    </row>
    <row r="8179" spans="1:7" x14ac:dyDescent="0.25">
      <c r="A8179">
        <v>1577206133</v>
      </c>
      <c r="B8179" t="s">
        <v>30193</v>
      </c>
      <c r="C8179">
        <v>0</v>
      </c>
      <c r="D8179">
        <v>1</v>
      </c>
      <c r="E8179">
        <v>26</v>
      </c>
      <c r="F8179">
        <v>6916</v>
      </c>
      <c r="G8179">
        <f t="shared" si="127"/>
        <v>1577206133</v>
      </c>
    </row>
    <row r="8180" spans="1:7" x14ac:dyDescent="0.25">
      <c r="A8180">
        <v>1577206140</v>
      </c>
      <c r="B8180" t="s">
        <v>30194</v>
      </c>
      <c r="C8180">
        <v>1743</v>
      </c>
      <c r="D8180">
        <v>1</v>
      </c>
      <c r="E8180">
        <v>1457</v>
      </c>
      <c r="F8180">
        <v>3628</v>
      </c>
      <c r="G8180">
        <f t="shared" si="127"/>
        <v>1577206140</v>
      </c>
    </row>
    <row r="8181" spans="1:7" x14ac:dyDescent="0.25">
      <c r="A8181">
        <v>1577206145</v>
      </c>
      <c r="B8181" t="s">
        <v>30195</v>
      </c>
      <c r="C8181">
        <v>1663</v>
      </c>
      <c r="D8181">
        <v>1</v>
      </c>
      <c r="E8181">
        <v>2696</v>
      </c>
      <c r="F8181">
        <v>3075</v>
      </c>
      <c r="G8181">
        <f t="shared" si="127"/>
        <v>1577206145</v>
      </c>
    </row>
    <row r="8182" spans="1:7" x14ac:dyDescent="0.25">
      <c r="A8182">
        <v>1577206148</v>
      </c>
      <c r="B8182" t="s">
        <v>30196</v>
      </c>
      <c r="C8182">
        <v>0</v>
      </c>
      <c r="D8182">
        <v>1</v>
      </c>
      <c r="E8182">
        <v>540</v>
      </c>
      <c r="F8182">
        <v>4567</v>
      </c>
      <c r="G8182">
        <f t="shared" si="127"/>
        <v>1577206148</v>
      </c>
    </row>
    <row r="8183" spans="1:7" x14ac:dyDescent="0.25">
      <c r="A8183">
        <v>1577206159</v>
      </c>
      <c r="B8183" t="s">
        <v>36948</v>
      </c>
      <c r="C8183">
        <v>0</v>
      </c>
      <c r="D8183">
        <v>1</v>
      </c>
      <c r="E8183">
        <v>878</v>
      </c>
      <c r="F8183">
        <v>4112</v>
      </c>
      <c r="G8183">
        <f t="shared" si="127"/>
        <v>1577206159</v>
      </c>
    </row>
    <row r="8184" spans="1:7" x14ac:dyDescent="0.25">
      <c r="A8184">
        <v>1577206161</v>
      </c>
      <c r="B8184" t="s">
        <v>30197</v>
      </c>
      <c r="C8184">
        <v>1743</v>
      </c>
      <c r="D8184">
        <v>1</v>
      </c>
      <c r="E8184">
        <v>2011</v>
      </c>
      <c r="F8184">
        <v>3338</v>
      </c>
      <c r="G8184">
        <f t="shared" si="127"/>
        <v>1577206161</v>
      </c>
    </row>
    <row r="8185" spans="1:7" x14ac:dyDescent="0.25">
      <c r="A8185">
        <v>1577206192</v>
      </c>
      <c r="B8185" t="s">
        <v>30198</v>
      </c>
      <c r="C8185">
        <v>419</v>
      </c>
      <c r="D8185">
        <v>1</v>
      </c>
      <c r="E8185">
        <v>928</v>
      </c>
      <c r="F8185">
        <v>4072</v>
      </c>
      <c r="G8185">
        <f t="shared" si="127"/>
        <v>1577206192</v>
      </c>
    </row>
    <row r="8186" spans="1:7" x14ac:dyDescent="0.25">
      <c r="A8186">
        <v>1577206196</v>
      </c>
      <c r="B8186" t="s">
        <v>30199</v>
      </c>
      <c r="C8186">
        <v>1974</v>
      </c>
      <c r="D8186">
        <v>1</v>
      </c>
      <c r="E8186">
        <v>1465</v>
      </c>
      <c r="F8186">
        <v>3623</v>
      </c>
      <c r="G8186">
        <f t="shared" si="127"/>
        <v>1577206196</v>
      </c>
    </row>
    <row r="8187" spans="1:7" x14ac:dyDescent="0.25">
      <c r="A8187">
        <v>1577206210</v>
      </c>
      <c r="B8187" t="s">
        <v>30200</v>
      </c>
      <c r="C8187">
        <v>1869</v>
      </c>
      <c r="D8187">
        <v>1</v>
      </c>
      <c r="E8187">
        <v>497</v>
      </c>
      <c r="F8187">
        <v>4648</v>
      </c>
      <c r="G8187">
        <f t="shared" si="127"/>
        <v>1577206210</v>
      </c>
    </row>
    <row r="8188" spans="1:7" x14ac:dyDescent="0.25">
      <c r="A8188">
        <v>1577206236</v>
      </c>
      <c r="B8188" t="s">
        <v>30201</v>
      </c>
      <c r="C8188">
        <v>0</v>
      </c>
      <c r="D8188">
        <v>1</v>
      </c>
      <c r="E8188">
        <v>156</v>
      </c>
      <c r="F8188">
        <v>5680</v>
      </c>
      <c r="G8188">
        <f t="shared" si="127"/>
        <v>1577206236</v>
      </c>
    </row>
    <row r="8189" spans="1:7" x14ac:dyDescent="0.25">
      <c r="A8189">
        <v>1577206241</v>
      </c>
      <c r="B8189" t="s">
        <v>30202</v>
      </c>
      <c r="C8189">
        <v>0</v>
      </c>
      <c r="D8189">
        <v>1</v>
      </c>
      <c r="E8189">
        <v>145</v>
      </c>
      <c r="F8189">
        <v>5714</v>
      </c>
      <c r="G8189">
        <f t="shared" si="127"/>
        <v>1577206241</v>
      </c>
    </row>
    <row r="8190" spans="1:7" x14ac:dyDescent="0.25">
      <c r="A8190">
        <v>1577206253</v>
      </c>
      <c r="B8190" t="s">
        <v>36949</v>
      </c>
      <c r="C8190">
        <v>1362</v>
      </c>
      <c r="D8190">
        <v>1</v>
      </c>
      <c r="E8190">
        <v>251</v>
      </c>
      <c r="F8190">
        <v>5300</v>
      </c>
      <c r="G8190">
        <f t="shared" si="127"/>
        <v>1577206253</v>
      </c>
    </row>
    <row r="8191" spans="1:7" x14ac:dyDescent="0.25">
      <c r="A8191">
        <v>1577206265</v>
      </c>
      <c r="B8191" t="s">
        <v>30203</v>
      </c>
      <c r="C8191">
        <v>1836</v>
      </c>
      <c r="D8191">
        <v>1</v>
      </c>
      <c r="E8191">
        <v>1987</v>
      </c>
      <c r="F8191">
        <v>3352</v>
      </c>
      <c r="G8191">
        <f t="shared" si="127"/>
        <v>1577206265</v>
      </c>
    </row>
    <row r="8192" spans="1:7" x14ac:dyDescent="0.25">
      <c r="A8192">
        <v>1577206318</v>
      </c>
      <c r="B8192" t="s">
        <v>30204</v>
      </c>
      <c r="C8192">
        <v>0</v>
      </c>
      <c r="D8192">
        <v>1</v>
      </c>
      <c r="E8192">
        <v>221</v>
      </c>
      <c r="F8192">
        <v>5430</v>
      </c>
      <c r="G8192">
        <f t="shared" si="127"/>
        <v>1577206318</v>
      </c>
    </row>
    <row r="8193" spans="1:7" x14ac:dyDescent="0.25">
      <c r="A8193">
        <v>1577206319</v>
      </c>
      <c r="B8193" t="s">
        <v>30205</v>
      </c>
      <c r="C8193">
        <v>0</v>
      </c>
      <c r="D8193">
        <v>1</v>
      </c>
      <c r="E8193">
        <v>240</v>
      </c>
      <c r="F8193">
        <v>5351</v>
      </c>
      <c r="G8193">
        <f t="shared" ref="G8193:G8256" si="128">A8193</f>
        <v>1577206319</v>
      </c>
    </row>
    <row r="8194" spans="1:7" x14ac:dyDescent="0.25">
      <c r="A8194">
        <v>1577206321</v>
      </c>
      <c r="B8194" t="s">
        <v>30206</v>
      </c>
      <c r="C8194">
        <v>1699</v>
      </c>
      <c r="D8194">
        <v>1</v>
      </c>
      <c r="E8194">
        <v>2716</v>
      </c>
      <c r="F8194">
        <v>3070</v>
      </c>
      <c r="G8194">
        <f t="shared" si="128"/>
        <v>1577206321</v>
      </c>
    </row>
    <row r="8195" spans="1:7" x14ac:dyDescent="0.25">
      <c r="A8195">
        <v>1577206344</v>
      </c>
      <c r="B8195" t="s">
        <v>37207</v>
      </c>
      <c r="C8195">
        <v>0</v>
      </c>
      <c r="D8195">
        <v>1</v>
      </c>
      <c r="E8195">
        <v>269</v>
      </c>
      <c r="F8195">
        <v>5248</v>
      </c>
      <c r="G8195">
        <f t="shared" si="128"/>
        <v>1577206344</v>
      </c>
    </row>
    <row r="8196" spans="1:7" x14ac:dyDescent="0.25">
      <c r="A8196">
        <v>1577206370</v>
      </c>
      <c r="B8196" t="s">
        <v>30207</v>
      </c>
      <c r="C8196">
        <v>0</v>
      </c>
      <c r="D8196">
        <v>1</v>
      </c>
      <c r="E8196">
        <v>220</v>
      </c>
      <c r="F8196">
        <v>5434</v>
      </c>
      <c r="G8196">
        <f t="shared" si="128"/>
        <v>1577206370</v>
      </c>
    </row>
    <row r="8197" spans="1:7" x14ac:dyDescent="0.25">
      <c r="A8197">
        <v>1577206373</v>
      </c>
      <c r="B8197" t="s">
        <v>30208</v>
      </c>
      <c r="C8197">
        <v>0</v>
      </c>
      <c r="D8197">
        <v>1</v>
      </c>
      <c r="E8197">
        <v>1036</v>
      </c>
      <c r="F8197">
        <v>3958</v>
      </c>
      <c r="G8197">
        <f t="shared" si="128"/>
        <v>1577206373</v>
      </c>
    </row>
    <row r="8198" spans="1:7" x14ac:dyDescent="0.25">
      <c r="A8198">
        <v>1577206406</v>
      </c>
      <c r="B8198" t="s">
        <v>30209</v>
      </c>
      <c r="C8198">
        <v>1850</v>
      </c>
      <c r="D8198">
        <v>1</v>
      </c>
      <c r="E8198">
        <v>1250</v>
      </c>
      <c r="F8198">
        <v>3762</v>
      </c>
      <c r="G8198">
        <f t="shared" si="128"/>
        <v>1577206406</v>
      </c>
    </row>
    <row r="8199" spans="1:7" x14ac:dyDescent="0.25">
      <c r="A8199">
        <v>1577206408</v>
      </c>
      <c r="B8199" t="s">
        <v>30210</v>
      </c>
      <c r="C8199">
        <v>1867</v>
      </c>
      <c r="D8199">
        <v>1</v>
      </c>
      <c r="E8199">
        <v>728</v>
      </c>
      <c r="F8199">
        <v>4299</v>
      </c>
      <c r="G8199">
        <f t="shared" si="128"/>
        <v>1577206408</v>
      </c>
    </row>
    <row r="8200" spans="1:7" x14ac:dyDescent="0.25">
      <c r="A8200">
        <v>1577206438</v>
      </c>
      <c r="B8200" t="s">
        <v>30211</v>
      </c>
      <c r="C8200">
        <v>1357</v>
      </c>
      <c r="D8200">
        <v>1</v>
      </c>
      <c r="E8200">
        <v>758</v>
      </c>
      <c r="F8200">
        <v>4259</v>
      </c>
      <c r="G8200">
        <f t="shared" si="128"/>
        <v>1577206438</v>
      </c>
    </row>
    <row r="8201" spans="1:7" x14ac:dyDescent="0.25">
      <c r="A8201">
        <v>1577206453</v>
      </c>
      <c r="B8201" t="s">
        <v>37029</v>
      </c>
      <c r="C8201">
        <v>1753</v>
      </c>
      <c r="D8201">
        <v>1</v>
      </c>
      <c r="E8201">
        <v>1291</v>
      </c>
      <c r="F8201">
        <v>3735</v>
      </c>
      <c r="G8201">
        <f t="shared" si="128"/>
        <v>1577206453</v>
      </c>
    </row>
    <row r="8202" spans="1:7" x14ac:dyDescent="0.25">
      <c r="A8202">
        <v>1577206471</v>
      </c>
      <c r="B8202" t="s">
        <v>36950</v>
      </c>
      <c r="C8202">
        <v>1778</v>
      </c>
      <c r="D8202">
        <v>1</v>
      </c>
      <c r="E8202">
        <v>1020</v>
      </c>
      <c r="F8202">
        <v>3961</v>
      </c>
      <c r="G8202">
        <f t="shared" si="128"/>
        <v>1577206471</v>
      </c>
    </row>
    <row r="8203" spans="1:7" x14ac:dyDescent="0.25">
      <c r="A8203">
        <v>1577206472</v>
      </c>
      <c r="B8203" t="s">
        <v>30212</v>
      </c>
      <c r="C8203">
        <v>1778</v>
      </c>
      <c r="D8203">
        <v>1</v>
      </c>
      <c r="E8203">
        <v>828</v>
      </c>
      <c r="F8203">
        <v>4161</v>
      </c>
      <c r="G8203">
        <f t="shared" si="128"/>
        <v>1577206472</v>
      </c>
    </row>
    <row r="8204" spans="1:7" x14ac:dyDescent="0.25">
      <c r="A8204">
        <v>1577206473</v>
      </c>
      <c r="B8204" t="s">
        <v>30213</v>
      </c>
      <c r="C8204">
        <v>205</v>
      </c>
      <c r="D8204">
        <v>1</v>
      </c>
      <c r="E8204">
        <v>1475</v>
      </c>
      <c r="F8204">
        <v>3612</v>
      </c>
      <c r="G8204">
        <f t="shared" si="128"/>
        <v>1577206473</v>
      </c>
    </row>
    <row r="8205" spans="1:7" x14ac:dyDescent="0.25">
      <c r="A8205">
        <v>1577206514</v>
      </c>
      <c r="B8205" t="s">
        <v>30214</v>
      </c>
      <c r="C8205">
        <v>1778</v>
      </c>
      <c r="D8205">
        <v>1</v>
      </c>
      <c r="E8205">
        <v>818</v>
      </c>
      <c r="F8205">
        <v>4176</v>
      </c>
      <c r="G8205">
        <f t="shared" si="128"/>
        <v>1577206514</v>
      </c>
    </row>
    <row r="8206" spans="1:7" x14ac:dyDescent="0.25">
      <c r="A8206">
        <v>1577206524</v>
      </c>
      <c r="B8206" t="s">
        <v>37383</v>
      </c>
      <c r="C8206">
        <v>0</v>
      </c>
      <c r="D8206">
        <v>1</v>
      </c>
      <c r="E8206">
        <v>75</v>
      </c>
      <c r="F8206">
        <v>6018</v>
      </c>
      <c r="G8206">
        <f t="shared" si="128"/>
        <v>1577206524</v>
      </c>
    </row>
    <row r="8207" spans="1:7" x14ac:dyDescent="0.25">
      <c r="A8207">
        <v>1577206528</v>
      </c>
      <c r="B8207" t="s">
        <v>30215</v>
      </c>
      <c r="C8207">
        <v>0</v>
      </c>
      <c r="D8207">
        <v>1</v>
      </c>
      <c r="E8207">
        <v>367</v>
      </c>
      <c r="F8207">
        <v>4936</v>
      </c>
      <c r="G8207">
        <f t="shared" si="128"/>
        <v>1577206528</v>
      </c>
    </row>
    <row r="8208" spans="1:7" x14ac:dyDescent="0.25">
      <c r="A8208">
        <v>1577206533</v>
      </c>
      <c r="B8208" t="s">
        <v>30216</v>
      </c>
      <c r="C8208">
        <v>1753</v>
      </c>
      <c r="D8208">
        <v>1</v>
      </c>
      <c r="E8208">
        <v>897</v>
      </c>
      <c r="F8208">
        <v>4096</v>
      </c>
      <c r="G8208">
        <f t="shared" si="128"/>
        <v>1577206533</v>
      </c>
    </row>
    <row r="8209" spans="1:7" x14ac:dyDescent="0.25">
      <c r="A8209">
        <v>1577206539</v>
      </c>
      <c r="B8209" t="s">
        <v>30217</v>
      </c>
      <c r="C8209">
        <v>0</v>
      </c>
      <c r="D8209">
        <v>1</v>
      </c>
      <c r="E8209">
        <v>44</v>
      </c>
      <c r="F8209">
        <v>6249</v>
      </c>
      <c r="G8209">
        <f t="shared" si="128"/>
        <v>1577206539</v>
      </c>
    </row>
    <row r="8210" spans="1:7" x14ac:dyDescent="0.25">
      <c r="A8210">
        <v>1577206554</v>
      </c>
      <c r="B8210" t="s">
        <v>30218</v>
      </c>
      <c r="C8210">
        <v>1412</v>
      </c>
      <c r="D8210">
        <v>1</v>
      </c>
      <c r="E8210">
        <v>980</v>
      </c>
      <c r="F8210">
        <v>4003</v>
      </c>
      <c r="G8210">
        <f t="shared" si="128"/>
        <v>1577206554</v>
      </c>
    </row>
    <row r="8211" spans="1:7" x14ac:dyDescent="0.25">
      <c r="A8211">
        <v>1577206588</v>
      </c>
      <c r="B8211" t="s">
        <v>30219</v>
      </c>
      <c r="C8211">
        <v>0</v>
      </c>
      <c r="D8211">
        <v>1</v>
      </c>
      <c r="E8211">
        <v>323</v>
      </c>
      <c r="F8211">
        <v>5059</v>
      </c>
      <c r="G8211">
        <f t="shared" si="128"/>
        <v>1577206588</v>
      </c>
    </row>
    <row r="8212" spans="1:7" x14ac:dyDescent="0.25">
      <c r="A8212">
        <v>1577206598</v>
      </c>
      <c r="B8212" t="s">
        <v>30220</v>
      </c>
      <c r="C8212">
        <v>0</v>
      </c>
      <c r="D8212">
        <v>1</v>
      </c>
      <c r="E8212">
        <v>87</v>
      </c>
      <c r="F8212">
        <v>5927</v>
      </c>
      <c r="G8212">
        <f t="shared" si="128"/>
        <v>1577206598</v>
      </c>
    </row>
    <row r="8213" spans="1:7" x14ac:dyDescent="0.25">
      <c r="A8213">
        <v>1577206621</v>
      </c>
      <c r="B8213" t="s">
        <v>30221</v>
      </c>
      <c r="C8213">
        <v>1633</v>
      </c>
      <c r="D8213">
        <v>1</v>
      </c>
      <c r="E8213">
        <v>264</v>
      </c>
      <c r="F8213">
        <v>5249</v>
      </c>
      <c r="G8213">
        <f t="shared" si="128"/>
        <v>1577206621</v>
      </c>
    </row>
    <row r="8214" spans="1:7" x14ac:dyDescent="0.25">
      <c r="A8214">
        <v>1577206625</v>
      </c>
      <c r="B8214" t="s">
        <v>36951</v>
      </c>
      <c r="C8214">
        <v>1663</v>
      </c>
      <c r="D8214">
        <v>1</v>
      </c>
      <c r="E8214">
        <v>1367</v>
      </c>
      <c r="F8214">
        <v>3682</v>
      </c>
      <c r="G8214">
        <f t="shared" si="128"/>
        <v>1577206625</v>
      </c>
    </row>
    <row r="8215" spans="1:7" x14ac:dyDescent="0.25">
      <c r="A8215">
        <v>1577206638</v>
      </c>
      <c r="B8215" t="s">
        <v>36952</v>
      </c>
      <c r="C8215">
        <v>0</v>
      </c>
      <c r="D8215">
        <v>1</v>
      </c>
      <c r="E8215">
        <v>1084</v>
      </c>
      <c r="F8215">
        <v>3899</v>
      </c>
      <c r="G8215">
        <f t="shared" si="128"/>
        <v>1577206638</v>
      </c>
    </row>
    <row r="8216" spans="1:7" x14ac:dyDescent="0.25">
      <c r="A8216">
        <v>1577206654</v>
      </c>
      <c r="B8216" t="s">
        <v>30222</v>
      </c>
      <c r="C8216">
        <v>0</v>
      </c>
      <c r="D8216">
        <v>1</v>
      </c>
      <c r="E8216">
        <v>124</v>
      </c>
      <c r="F8216">
        <v>5778</v>
      </c>
      <c r="G8216">
        <f t="shared" si="128"/>
        <v>1577206654</v>
      </c>
    </row>
    <row r="8217" spans="1:7" x14ac:dyDescent="0.25">
      <c r="A8217">
        <v>1577206661</v>
      </c>
      <c r="B8217" t="s">
        <v>30223</v>
      </c>
      <c r="C8217">
        <v>1974</v>
      </c>
      <c r="D8217">
        <v>1</v>
      </c>
      <c r="E8217">
        <v>1018</v>
      </c>
      <c r="F8217">
        <v>3966</v>
      </c>
      <c r="G8217">
        <f t="shared" si="128"/>
        <v>1577206661</v>
      </c>
    </row>
    <row r="8218" spans="1:7" x14ac:dyDescent="0.25">
      <c r="A8218">
        <v>1577206701</v>
      </c>
      <c r="B8218" t="s">
        <v>30224</v>
      </c>
      <c r="C8218">
        <v>0</v>
      </c>
      <c r="D8218">
        <v>1</v>
      </c>
      <c r="E8218">
        <v>1078</v>
      </c>
      <c r="F8218">
        <v>3893</v>
      </c>
      <c r="G8218">
        <f t="shared" si="128"/>
        <v>1577206701</v>
      </c>
    </row>
    <row r="8219" spans="1:7" x14ac:dyDescent="0.25">
      <c r="A8219">
        <v>1577206706</v>
      </c>
      <c r="B8219" t="s">
        <v>30225</v>
      </c>
      <c r="C8219">
        <v>1743</v>
      </c>
      <c r="D8219">
        <v>1</v>
      </c>
      <c r="E8219">
        <v>1553</v>
      </c>
      <c r="F8219">
        <v>3566</v>
      </c>
      <c r="G8219">
        <f t="shared" si="128"/>
        <v>1577206706</v>
      </c>
    </row>
    <row r="8220" spans="1:7" x14ac:dyDescent="0.25">
      <c r="A8220">
        <v>1577206718</v>
      </c>
      <c r="B8220" t="s">
        <v>30226</v>
      </c>
      <c r="C8220">
        <v>0</v>
      </c>
      <c r="D8220">
        <v>1</v>
      </c>
      <c r="E8220">
        <v>73</v>
      </c>
      <c r="F8220">
        <v>6041</v>
      </c>
      <c r="G8220">
        <f t="shared" si="128"/>
        <v>1577206718</v>
      </c>
    </row>
    <row r="8221" spans="1:7" x14ac:dyDescent="0.25">
      <c r="A8221">
        <v>1577206721</v>
      </c>
      <c r="B8221" t="s">
        <v>30227</v>
      </c>
      <c r="C8221">
        <v>1885</v>
      </c>
      <c r="D8221">
        <v>1</v>
      </c>
      <c r="E8221">
        <v>227</v>
      </c>
      <c r="F8221">
        <v>5424</v>
      </c>
      <c r="G8221">
        <f t="shared" si="128"/>
        <v>1577206721</v>
      </c>
    </row>
    <row r="8222" spans="1:7" x14ac:dyDescent="0.25">
      <c r="A8222">
        <v>1577206751</v>
      </c>
      <c r="B8222" t="s">
        <v>30228</v>
      </c>
      <c r="C8222">
        <v>1712</v>
      </c>
      <c r="D8222">
        <v>1</v>
      </c>
      <c r="E8222">
        <v>1484</v>
      </c>
      <c r="F8222">
        <v>3632</v>
      </c>
      <c r="G8222">
        <f t="shared" si="128"/>
        <v>1577206751</v>
      </c>
    </row>
    <row r="8223" spans="1:7" x14ac:dyDescent="0.25">
      <c r="A8223">
        <v>1577206774</v>
      </c>
      <c r="B8223" t="s">
        <v>3196</v>
      </c>
      <c r="C8223">
        <v>0</v>
      </c>
      <c r="D8223">
        <v>1</v>
      </c>
      <c r="E8223">
        <v>313</v>
      </c>
      <c r="F8223">
        <v>5094</v>
      </c>
      <c r="G8223">
        <f t="shared" si="128"/>
        <v>1577206774</v>
      </c>
    </row>
    <row r="8224" spans="1:7" x14ac:dyDescent="0.25">
      <c r="A8224">
        <v>1577206775</v>
      </c>
      <c r="B8224" t="s">
        <v>3198</v>
      </c>
      <c r="C8224">
        <v>0</v>
      </c>
      <c r="D8224">
        <v>1</v>
      </c>
      <c r="E8224">
        <v>297</v>
      </c>
      <c r="F8224">
        <v>5128</v>
      </c>
      <c r="G8224">
        <f t="shared" si="128"/>
        <v>1577206775</v>
      </c>
    </row>
    <row r="8225" spans="1:7" x14ac:dyDescent="0.25">
      <c r="A8225">
        <v>1577206779</v>
      </c>
      <c r="B8225" t="s">
        <v>30229</v>
      </c>
      <c r="C8225">
        <v>0</v>
      </c>
      <c r="D8225">
        <v>1</v>
      </c>
      <c r="E8225">
        <v>26</v>
      </c>
      <c r="F8225">
        <v>6917</v>
      </c>
      <c r="G8225">
        <f t="shared" si="128"/>
        <v>1577206779</v>
      </c>
    </row>
    <row r="8226" spans="1:7" x14ac:dyDescent="0.25">
      <c r="A8226">
        <v>1577206794</v>
      </c>
      <c r="B8226" t="s">
        <v>30230</v>
      </c>
      <c r="C8226">
        <v>0</v>
      </c>
      <c r="D8226">
        <v>1</v>
      </c>
      <c r="E8226">
        <v>75</v>
      </c>
      <c r="F8226">
        <v>6019</v>
      </c>
      <c r="G8226">
        <f t="shared" si="128"/>
        <v>1577206794</v>
      </c>
    </row>
    <row r="8227" spans="1:7" x14ac:dyDescent="0.25">
      <c r="A8227">
        <v>1577206795</v>
      </c>
      <c r="B8227" t="s">
        <v>30231</v>
      </c>
      <c r="C8227">
        <v>0</v>
      </c>
      <c r="D8227">
        <v>1</v>
      </c>
      <c r="E8227">
        <v>87</v>
      </c>
      <c r="F8227">
        <v>5928</v>
      </c>
      <c r="G8227">
        <f t="shared" si="128"/>
        <v>1577206795</v>
      </c>
    </row>
    <row r="8228" spans="1:7" x14ac:dyDescent="0.25">
      <c r="A8228">
        <v>1577206827</v>
      </c>
      <c r="B8228" t="s">
        <v>36953</v>
      </c>
      <c r="C8228">
        <v>0</v>
      </c>
      <c r="D8228">
        <v>1</v>
      </c>
      <c r="E8228">
        <v>219</v>
      </c>
      <c r="F8228">
        <v>5436</v>
      </c>
      <c r="G8228">
        <f t="shared" si="128"/>
        <v>1577206827</v>
      </c>
    </row>
    <row r="8229" spans="1:7" x14ac:dyDescent="0.25">
      <c r="A8229">
        <v>1577206830</v>
      </c>
      <c r="B8229" t="s">
        <v>30232</v>
      </c>
      <c r="C8229">
        <v>1340</v>
      </c>
      <c r="D8229">
        <v>1</v>
      </c>
      <c r="E8229">
        <v>1138</v>
      </c>
      <c r="F8229">
        <v>3841</v>
      </c>
      <c r="G8229">
        <f t="shared" si="128"/>
        <v>1577206830</v>
      </c>
    </row>
    <row r="8230" spans="1:7" x14ac:dyDescent="0.25">
      <c r="A8230">
        <v>1577206845</v>
      </c>
      <c r="B8230" t="s">
        <v>37452</v>
      </c>
      <c r="C8230">
        <v>0</v>
      </c>
      <c r="D8230">
        <v>1</v>
      </c>
      <c r="E8230">
        <v>97</v>
      </c>
      <c r="F8230">
        <v>8490</v>
      </c>
      <c r="G8230">
        <f t="shared" si="128"/>
        <v>1577206845</v>
      </c>
    </row>
    <row r="8231" spans="1:7" x14ac:dyDescent="0.25">
      <c r="A8231">
        <v>1577206848</v>
      </c>
      <c r="B8231" t="s">
        <v>30233</v>
      </c>
      <c r="C8231">
        <v>0</v>
      </c>
      <c r="D8231">
        <v>1</v>
      </c>
      <c r="E8231">
        <v>67</v>
      </c>
      <c r="F8231">
        <v>6081</v>
      </c>
      <c r="G8231">
        <f t="shared" si="128"/>
        <v>1577206848</v>
      </c>
    </row>
    <row r="8232" spans="1:7" x14ac:dyDescent="0.25">
      <c r="A8232">
        <v>1577206852</v>
      </c>
      <c r="B8232" t="s">
        <v>30234</v>
      </c>
      <c r="C8232">
        <v>0</v>
      </c>
      <c r="D8232">
        <v>1</v>
      </c>
      <c r="E8232">
        <v>26</v>
      </c>
      <c r="F8232">
        <v>6918</v>
      </c>
      <c r="G8232">
        <f t="shared" si="128"/>
        <v>1577206852</v>
      </c>
    </row>
    <row r="8233" spans="1:7" x14ac:dyDescent="0.25">
      <c r="A8233">
        <v>1577206863</v>
      </c>
      <c r="B8233" t="s">
        <v>30235</v>
      </c>
      <c r="C8233">
        <v>0</v>
      </c>
      <c r="D8233">
        <v>1</v>
      </c>
      <c r="E8233">
        <v>1151</v>
      </c>
      <c r="F8233">
        <v>3834</v>
      </c>
      <c r="G8233">
        <f t="shared" si="128"/>
        <v>1577206863</v>
      </c>
    </row>
    <row r="8234" spans="1:7" x14ac:dyDescent="0.25">
      <c r="A8234">
        <v>1577206880</v>
      </c>
      <c r="B8234" t="s">
        <v>36954</v>
      </c>
      <c r="C8234">
        <v>0</v>
      </c>
      <c r="D8234">
        <v>1</v>
      </c>
      <c r="E8234">
        <v>63</v>
      </c>
      <c r="F8234">
        <v>6094</v>
      </c>
      <c r="G8234">
        <f t="shared" si="128"/>
        <v>1577206880</v>
      </c>
    </row>
    <row r="8235" spans="1:7" x14ac:dyDescent="0.25">
      <c r="A8235">
        <v>1577206881</v>
      </c>
      <c r="B8235" t="s">
        <v>3280</v>
      </c>
      <c r="C8235">
        <v>131</v>
      </c>
      <c r="D8235">
        <v>1</v>
      </c>
      <c r="E8235">
        <v>843</v>
      </c>
      <c r="F8235">
        <v>4141</v>
      </c>
      <c r="G8235">
        <f t="shared" si="128"/>
        <v>1577206881</v>
      </c>
    </row>
    <row r="8236" spans="1:7" x14ac:dyDescent="0.25">
      <c r="A8236">
        <v>1577206886</v>
      </c>
      <c r="B8236" t="s">
        <v>30236</v>
      </c>
      <c r="C8236">
        <v>0</v>
      </c>
      <c r="D8236">
        <v>1</v>
      </c>
      <c r="E8236">
        <v>197</v>
      </c>
      <c r="F8236">
        <v>5512</v>
      </c>
      <c r="G8236">
        <f t="shared" si="128"/>
        <v>1577206886</v>
      </c>
    </row>
    <row r="8237" spans="1:7" x14ac:dyDescent="0.25">
      <c r="A8237">
        <v>1577206898</v>
      </c>
      <c r="B8237" t="s">
        <v>30237</v>
      </c>
      <c r="C8237">
        <v>0</v>
      </c>
      <c r="D8237">
        <v>1</v>
      </c>
      <c r="E8237">
        <v>26</v>
      </c>
      <c r="F8237">
        <v>6919</v>
      </c>
      <c r="G8237">
        <f t="shared" si="128"/>
        <v>1577206898</v>
      </c>
    </row>
    <row r="8238" spans="1:7" x14ac:dyDescent="0.25">
      <c r="A8238">
        <v>1577206900</v>
      </c>
      <c r="B8238" t="s">
        <v>30238</v>
      </c>
      <c r="C8238">
        <v>1743</v>
      </c>
      <c r="D8238">
        <v>1</v>
      </c>
      <c r="E8238">
        <v>1602</v>
      </c>
      <c r="F8238">
        <v>3545</v>
      </c>
      <c r="G8238">
        <f t="shared" si="128"/>
        <v>1577206900</v>
      </c>
    </row>
    <row r="8239" spans="1:7" x14ac:dyDescent="0.25">
      <c r="A8239">
        <v>1577206901</v>
      </c>
      <c r="B8239" t="s">
        <v>30239</v>
      </c>
      <c r="C8239">
        <v>1743</v>
      </c>
      <c r="D8239">
        <v>1</v>
      </c>
      <c r="E8239">
        <v>1036</v>
      </c>
      <c r="F8239">
        <v>3939</v>
      </c>
      <c r="G8239">
        <f t="shared" si="128"/>
        <v>1577206901</v>
      </c>
    </row>
    <row r="8240" spans="1:7" x14ac:dyDescent="0.25">
      <c r="A8240">
        <v>1577206903</v>
      </c>
      <c r="B8240" t="s">
        <v>30240</v>
      </c>
      <c r="C8240">
        <v>0</v>
      </c>
      <c r="D8240">
        <v>1</v>
      </c>
      <c r="E8240">
        <v>384</v>
      </c>
      <c r="F8240">
        <v>4889</v>
      </c>
      <c r="G8240">
        <f t="shared" si="128"/>
        <v>1577206903</v>
      </c>
    </row>
    <row r="8241" spans="1:7" x14ac:dyDescent="0.25">
      <c r="A8241">
        <v>1577206923</v>
      </c>
      <c r="B8241" t="s">
        <v>30241</v>
      </c>
      <c r="C8241">
        <v>1861</v>
      </c>
      <c r="D8241">
        <v>1</v>
      </c>
      <c r="E8241">
        <v>1490</v>
      </c>
      <c r="F8241">
        <v>3603</v>
      </c>
      <c r="G8241">
        <f t="shared" si="128"/>
        <v>1577206923</v>
      </c>
    </row>
    <row r="8242" spans="1:7" x14ac:dyDescent="0.25">
      <c r="A8242">
        <v>1577206927</v>
      </c>
      <c r="B8242" t="s">
        <v>30242</v>
      </c>
      <c r="C8242">
        <v>0</v>
      </c>
      <c r="D8242">
        <v>1</v>
      </c>
      <c r="E8242">
        <v>26</v>
      </c>
      <c r="F8242">
        <v>6920</v>
      </c>
      <c r="G8242">
        <f t="shared" si="128"/>
        <v>1577206927</v>
      </c>
    </row>
    <row r="8243" spans="1:7" x14ac:dyDescent="0.25">
      <c r="A8243">
        <v>1577206929</v>
      </c>
      <c r="B8243" t="s">
        <v>30243</v>
      </c>
      <c r="C8243">
        <v>0</v>
      </c>
      <c r="D8243">
        <v>1</v>
      </c>
      <c r="E8243">
        <v>26</v>
      </c>
      <c r="F8243">
        <v>6921</v>
      </c>
      <c r="G8243">
        <f t="shared" si="128"/>
        <v>1577206929</v>
      </c>
    </row>
    <row r="8244" spans="1:7" x14ac:dyDescent="0.25">
      <c r="A8244">
        <v>1577206932</v>
      </c>
      <c r="B8244" t="s">
        <v>30244</v>
      </c>
      <c r="C8244">
        <v>0</v>
      </c>
      <c r="D8244">
        <v>1</v>
      </c>
      <c r="E8244">
        <v>26</v>
      </c>
      <c r="F8244">
        <v>6922</v>
      </c>
      <c r="G8244">
        <f t="shared" si="128"/>
        <v>1577206932</v>
      </c>
    </row>
    <row r="8245" spans="1:7" x14ac:dyDescent="0.25">
      <c r="A8245">
        <v>1577206933</v>
      </c>
      <c r="B8245" t="s">
        <v>30245</v>
      </c>
      <c r="C8245">
        <v>0</v>
      </c>
      <c r="D8245">
        <v>1</v>
      </c>
      <c r="E8245">
        <v>26</v>
      </c>
      <c r="F8245">
        <v>6923</v>
      </c>
      <c r="G8245">
        <f t="shared" si="128"/>
        <v>1577206933</v>
      </c>
    </row>
    <row r="8246" spans="1:7" x14ac:dyDescent="0.25">
      <c r="A8246">
        <v>1577206934</v>
      </c>
      <c r="B8246" t="s">
        <v>30246</v>
      </c>
      <c r="C8246">
        <v>0</v>
      </c>
      <c r="D8246">
        <v>1</v>
      </c>
      <c r="E8246">
        <v>73</v>
      </c>
      <c r="F8246">
        <v>6042</v>
      </c>
      <c r="G8246">
        <f t="shared" si="128"/>
        <v>1577206934</v>
      </c>
    </row>
    <row r="8247" spans="1:7" x14ac:dyDescent="0.25">
      <c r="A8247">
        <v>1577206935</v>
      </c>
      <c r="B8247" t="s">
        <v>30247</v>
      </c>
      <c r="C8247">
        <v>0</v>
      </c>
      <c r="D8247">
        <v>1</v>
      </c>
      <c r="E8247">
        <v>26</v>
      </c>
      <c r="F8247">
        <v>6924</v>
      </c>
      <c r="G8247">
        <f t="shared" si="128"/>
        <v>1577206935</v>
      </c>
    </row>
    <row r="8248" spans="1:7" x14ac:dyDescent="0.25">
      <c r="A8248">
        <v>1577206936</v>
      </c>
      <c r="B8248" t="s">
        <v>30248</v>
      </c>
      <c r="C8248">
        <v>0</v>
      </c>
      <c r="D8248">
        <v>1</v>
      </c>
      <c r="E8248">
        <v>26</v>
      </c>
      <c r="F8248">
        <v>6925</v>
      </c>
      <c r="G8248">
        <f t="shared" si="128"/>
        <v>1577206936</v>
      </c>
    </row>
    <row r="8249" spans="1:7" x14ac:dyDescent="0.25">
      <c r="A8249">
        <v>1577206939</v>
      </c>
      <c r="B8249" t="s">
        <v>36955</v>
      </c>
      <c r="C8249">
        <v>0</v>
      </c>
      <c r="D8249">
        <v>1</v>
      </c>
      <c r="E8249">
        <v>44</v>
      </c>
      <c r="F8249">
        <v>6250</v>
      </c>
      <c r="G8249">
        <f t="shared" si="128"/>
        <v>1577206939</v>
      </c>
    </row>
    <row r="8250" spans="1:7" x14ac:dyDescent="0.25">
      <c r="A8250">
        <v>1577206961</v>
      </c>
      <c r="B8250" t="s">
        <v>30249</v>
      </c>
      <c r="C8250">
        <v>2010</v>
      </c>
      <c r="D8250">
        <v>1</v>
      </c>
      <c r="E8250">
        <v>1026</v>
      </c>
      <c r="F8250">
        <v>3951</v>
      </c>
      <c r="G8250">
        <f t="shared" si="128"/>
        <v>1577206961</v>
      </c>
    </row>
    <row r="8251" spans="1:7" x14ac:dyDescent="0.25">
      <c r="A8251">
        <v>1577206963</v>
      </c>
      <c r="B8251" t="s">
        <v>30250</v>
      </c>
      <c r="C8251">
        <v>1971</v>
      </c>
      <c r="D8251">
        <v>1</v>
      </c>
      <c r="E8251">
        <v>680</v>
      </c>
      <c r="F8251">
        <v>4369</v>
      </c>
      <c r="G8251">
        <f t="shared" si="128"/>
        <v>1577206963</v>
      </c>
    </row>
    <row r="8252" spans="1:7" x14ac:dyDescent="0.25">
      <c r="A8252">
        <v>1577207004</v>
      </c>
      <c r="B8252" t="s">
        <v>30251</v>
      </c>
      <c r="C8252">
        <v>0</v>
      </c>
      <c r="D8252">
        <v>1</v>
      </c>
      <c r="E8252">
        <v>88</v>
      </c>
      <c r="F8252">
        <v>5917</v>
      </c>
      <c r="G8252">
        <f t="shared" si="128"/>
        <v>1577207004</v>
      </c>
    </row>
    <row r="8253" spans="1:7" x14ac:dyDescent="0.25">
      <c r="A8253">
        <v>1577207021</v>
      </c>
      <c r="B8253" t="s">
        <v>30252</v>
      </c>
      <c r="C8253">
        <v>0</v>
      </c>
      <c r="D8253">
        <v>1</v>
      </c>
      <c r="E8253">
        <v>134</v>
      </c>
      <c r="F8253">
        <v>5755</v>
      </c>
      <c r="G8253">
        <f t="shared" si="128"/>
        <v>1577207021</v>
      </c>
    </row>
    <row r="8254" spans="1:7" x14ac:dyDescent="0.25">
      <c r="A8254">
        <v>1577207034</v>
      </c>
      <c r="B8254" t="s">
        <v>30253</v>
      </c>
      <c r="C8254">
        <v>0</v>
      </c>
      <c r="D8254">
        <v>1</v>
      </c>
      <c r="E8254">
        <v>26</v>
      </c>
      <c r="F8254">
        <v>6926</v>
      </c>
      <c r="G8254">
        <f t="shared" si="128"/>
        <v>1577207034</v>
      </c>
    </row>
    <row r="8255" spans="1:7" x14ac:dyDescent="0.25">
      <c r="A8255">
        <v>1577207035</v>
      </c>
      <c r="B8255" t="s">
        <v>4847</v>
      </c>
      <c r="C8255">
        <v>0</v>
      </c>
      <c r="D8255">
        <v>1</v>
      </c>
      <c r="E8255">
        <v>219</v>
      </c>
      <c r="F8255">
        <v>5437</v>
      </c>
      <c r="G8255">
        <f t="shared" si="128"/>
        <v>1577207035</v>
      </c>
    </row>
    <row r="8256" spans="1:7" x14ac:dyDescent="0.25">
      <c r="A8256">
        <v>1577207065</v>
      </c>
      <c r="B8256" t="s">
        <v>30254</v>
      </c>
      <c r="C8256">
        <v>0</v>
      </c>
      <c r="D8256">
        <v>1</v>
      </c>
      <c r="E8256">
        <v>825</v>
      </c>
      <c r="F8256">
        <v>4167</v>
      </c>
      <c r="G8256">
        <f t="shared" si="128"/>
        <v>1577207065</v>
      </c>
    </row>
    <row r="8257" spans="1:7" x14ac:dyDescent="0.25">
      <c r="A8257">
        <v>1577207081</v>
      </c>
      <c r="B8257" t="s">
        <v>30255</v>
      </c>
      <c r="C8257">
        <v>1743</v>
      </c>
      <c r="D8257">
        <v>1</v>
      </c>
      <c r="E8257">
        <v>1382</v>
      </c>
      <c r="F8257">
        <v>3689</v>
      </c>
      <c r="G8257">
        <f t="shared" ref="G8257:G8320" si="129">A8257</f>
        <v>1577207081</v>
      </c>
    </row>
    <row r="8258" spans="1:7" x14ac:dyDescent="0.25">
      <c r="A8258">
        <v>1577207084</v>
      </c>
      <c r="B8258" t="s">
        <v>30256</v>
      </c>
      <c r="C8258">
        <v>0</v>
      </c>
      <c r="D8258">
        <v>1</v>
      </c>
      <c r="E8258">
        <v>81</v>
      </c>
      <c r="F8258">
        <v>5966</v>
      </c>
      <c r="G8258">
        <f t="shared" si="129"/>
        <v>1577207084</v>
      </c>
    </row>
    <row r="8259" spans="1:7" x14ac:dyDescent="0.25">
      <c r="A8259">
        <v>1577207107</v>
      </c>
      <c r="B8259" t="s">
        <v>30257</v>
      </c>
      <c r="C8259">
        <v>0</v>
      </c>
      <c r="D8259">
        <v>1</v>
      </c>
      <c r="E8259">
        <v>72</v>
      </c>
      <c r="F8259">
        <v>6052</v>
      </c>
      <c r="G8259">
        <f t="shared" si="129"/>
        <v>1577207107</v>
      </c>
    </row>
    <row r="8260" spans="1:7" x14ac:dyDescent="0.25">
      <c r="A8260">
        <v>1577207123</v>
      </c>
      <c r="B8260" t="s">
        <v>30258</v>
      </c>
      <c r="C8260">
        <v>0</v>
      </c>
      <c r="D8260">
        <v>1</v>
      </c>
      <c r="E8260">
        <v>499</v>
      </c>
      <c r="F8260">
        <v>4641</v>
      </c>
      <c r="G8260">
        <f t="shared" si="129"/>
        <v>1577207123</v>
      </c>
    </row>
    <row r="8261" spans="1:7" x14ac:dyDescent="0.25">
      <c r="A8261">
        <v>1577207124</v>
      </c>
      <c r="B8261" t="s">
        <v>30259</v>
      </c>
      <c r="C8261">
        <v>0</v>
      </c>
      <c r="D8261">
        <v>1</v>
      </c>
      <c r="E8261">
        <v>221</v>
      </c>
      <c r="F8261">
        <v>5431</v>
      </c>
      <c r="G8261">
        <f t="shared" si="129"/>
        <v>1577207124</v>
      </c>
    </row>
    <row r="8262" spans="1:7" x14ac:dyDescent="0.25">
      <c r="A8262">
        <v>1577207136</v>
      </c>
      <c r="B8262" t="s">
        <v>30260</v>
      </c>
      <c r="C8262">
        <v>1633</v>
      </c>
      <c r="D8262">
        <v>1</v>
      </c>
      <c r="E8262">
        <v>525</v>
      </c>
      <c r="F8262">
        <v>4589</v>
      </c>
      <c r="G8262">
        <f t="shared" si="129"/>
        <v>1577207136</v>
      </c>
    </row>
    <row r="8263" spans="1:7" x14ac:dyDescent="0.25">
      <c r="A8263">
        <v>1577207154</v>
      </c>
      <c r="B8263" t="s">
        <v>30261</v>
      </c>
      <c r="C8263">
        <v>0</v>
      </c>
      <c r="D8263">
        <v>1</v>
      </c>
      <c r="E8263">
        <v>159</v>
      </c>
      <c r="F8263">
        <v>5664</v>
      </c>
      <c r="G8263">
        <f t="shared" si="129"/>
        <v>1577207154</v>
      </c>
    </row>
    <row r="8264" spans="1:7" x14ac:dyDescent="0.25">
      <c r="A8264">
        <v>1577207155</v>
      </c>
      <c r="B8264" t="s">
        <v>30262</v>
      </c>
      <c r="C8264">
        <v>0</v>
      </c>
      <c r="D8264">
        <v>1</v>
      </c>
      <c r="E8264">
        <v>111</v>
      </c>
      <c r="F8264">
        <v>5811</v>
      </c>
      <c r="G8264">
        <f t="shared" si="129"/>
        <v>1577207155</v>
      </c>
    </row>
    <row r="8265" spans="1:7" x14ac:dyDescent="0.25">
      <c r="A8265">
        <v>1577207166</v>
      </c>
      <c r="B8265" t="s">
        <v>36956</v>
      </c>
      <c r="C8265">
        <v>1880</v>
      </c>
      <c r="D8265">
        <v>1</v>
      </c>
      <c r="E8265">
        <v>976</v>
      </c>
      <c r="F8265">
        <v>4027</v>
      </c>
      <c r="G8265">
        <f t="shared" si="129"/>
        <v>1577207166</v>
      </c>
    </row>
    <row r="8266" spans="1:7" x14ac:dyDescent="0.25">
      <c r="A8266">
        <v>1577207168</v>
      </c>
      <c r="B8266" t="s">
        <v>30263</v>
      </c>
      <c r="C8266">
        <v>1913</v>
      </c>
      <c r="D8266">
        <v>1</v>
      </c>
      <c r="E8266">
        <v>1016</v>
      </c>
      <c r="F8266">
        <v>3967</v>
      </c>
      <c r="G8266">
        <f t="shared" si="129"/>
        <v>1577207168</v>
      </c>
    </row>
    <row r="8267" spans="1:7" x14ac:dyDescent="0.25">
      <c r="A8267">
        <v>1577207191</v>
      </c>
      <c r="B8267" t="s">
        <v>30264</v>
      </c>
      <c r="C8267">
        <v>0</v>
      </c>
      <c r="D8267">
        <v>1</v>
      </c>
      <c r="E8267">
        <v>840</v>
      </c>
      <c r="F8267">
        <v>4147</v>
      </c>
      <c r="G8267">
        <f t="shared" si="129"/>
        <v>1577207191</v>
      </c>
    </row>
    <row r="8268" spans="1:7" x14ac:dyDescent="0.25">
      <c r="A8268">
        <v>1577207193</v>
      </c>
      <c r="B8268" t="s">
        <v>30265</v>
      </c>
      <c r="C8268">
        <v>0</v>
      </c>
      <c r="D8268">
        <v>1</v>
      </c>
      <c r="E8268">
        <v>927</v>
      </c>
      <c r="F8268">
        <v>4074</v>
      </c>
      <c r="G8268">
        <f t="shared" si="129"/>
        <v>1577207193</v>
      </c>
    </row>
    <row r="8269" spans="1:7" x14ac:dyDescent="0.25">
      <c r="A8269">
        <v>1577207194</v>
      </c>
      <c r="B8269" t="s">
        <v>37208</v>
      </c>
      <c r="C8269">
        <v>0</v>
      </c>
      <c r="D8269">
        <v>1</v>
      </c>
      <c r="E8269">
        <v>78</v>
      </c>
      <c r="F8269">
        <v>5983</v>
      </c>
      <c r="G8269">
        <f t="shared" si="129"/>
        <v>1577207194</v>
      </c>
    </row>
    <row r="8270" spans="1:7" x14ac:dyDescent="0.25">
      <c r="A8270">
        <v>1577207196</v>
      </c>
      <c r="B8270" t="s">
        <v>36957</v>
      </c>
      <c r="C8270">
        <v>0</v>
      </c>
      <c r="D8270">
        <v>1</v>
      </c>
      <c r="E8270">
        <v>273</v>
      </c>
      <c r="F8270">
        <v>5257</v>
      </c>
      <c r="G8270">
        <f t="shared" si="129"/>
        <v>1577207196</v>
      </c>
    </row>
    <row r="8271" spans="1:7" x14ac:dyDescent="0.25">
      <c r="A8271">
        <v>1577207205</v>
      </c>
      <c r="B8271" t="s">
        <v>30266</v>
      </c>
      <c r="C8271">
        <v>0</v>
      </c>
      <c r="D8271">
        <v>1</v>
      </c>
      <c r="E8271">
        <v>61</v>
      </c>
      <c r="F8271">
        <v>6103</v>
      </c>
      <c r="G8271">
        <f t="shared" si="129"/>
        <v>1577207205</v>
      </c>
    </row>
    <row r="8272" spans="1:7" x14ac:dyDescent="0.25">
      <c r="A8272">
        <v>1577207206</v>
      </c>
      <c r="B8272" t="s">
        <v>30267</v>
      </c>
      <c r="C8272">
        <v>1991</v>
      </c>
      <c r="D8272">
        <v>1</v>
      </c>
      <c r="E8272">
        <v>792</v>
      </c>
      <c r="F8272">
        <v>4211</v>
      </c>
      <c r="G8272">
        <f t="shared" si="129"/>
        <v>1577207206</v>
      </c>
    </row>
    <row r="8273" spans="1:7" x14ac:dyDescent="0.25">
      <c r="A8273">
        <v>1577207214</v>
      </c>
      <c r="B8273" t="s">
        <v>30268</v>
      </c>
      <c r="C8273">
        <v>0</v>
      </c>
      <c r="D8273">
        <v>1</v>
      </c>
      <c r="E8273">
        <v>38</v>
      </c>
      <c r="F8273">
        <v>6292</v>
      </c>
      <c r="G8273">
        <f t="shared" si="129"/>
        <v>1577207214</v>
      </c>
    </row>
    <row r="8274" spans="1:7" x14ac:dyDescent="0.25">
      <c r="A8274">
        <v>1577207234</v>
      </c>
      <c r="B8274" t="s">
        <v>36958</v>
      </c>
      <c r="C8274">
        <v>0</v>
      </c>
      <c r="D8274">
        <v>1</v>
      </c>
      <c r="E8274">
        <v>146</v>
      </c>
      <c r="F8274">
        <v>5710</v>
      </c>
      <c r="G8274">
        <f t="shared" si="129"/>
        <v>1577207234</v>
      </c>
    </row>
    <row r="8275" spans="1:7" x14ac:dyDescent="0.25">
      <c r="A8275">
        <v>1577207255</v>
      </c>
      <c r="B8275" t="s">
        <v>30269</v>
      </c>
      <c r="C8275">
        <v>0</v>
      </c>
      <c r="D8275">
        <v>1</v>
      </c>
      <c r="E8275">
        <v>26</v>
      </c>
      <c r="F8275">
        <v>6927</v>
      </c>
      <c r="G8275">
        <f t="shared" si="129"/>
        <v>1577207255</v>
      </c>
    </row>
    <row r="8276" spans="1:7" x14ac:dyDescent="0.25">
      <c r="A8276">
        <v>1577207266</v>
      </c>
      <c r="B8276" t="s">
        <v>30270</v>
      </c>
      <c r="C8276">
        <v>2012</v>
      </c>
      <c r="D8276">
        <v>1</v>
      </c>
      <c r="E8276">
        <v>206</v>
      </c>
      <c r="F8276">
        <v>5474</v>
      </c>
      <c r="G8276">
        <f t="shared" si="129"/>
        <v>1577207266</v>
      </c>
    </row>
    <row r="8277" spans="1:7" x14ac:dyDescent="0.25">
      <c r="A8277">
        <v>1577207268</v>
      </c>
      <c r="B8277" t="s">
        <v>30271</v>
      </c>
      <c r="C8277">
        <v>0</v>
      </c>
      <c r="D8277">
        <v>1</v>
      </c>
      <c r="E8277">
        <v>74</v>
      </c>
      <c r="F8277">
        <v>6028</v>
      </c>
      <c r="G8277">
        <f t="shared" si="129"/>
        <v>1577207268</v>
      </c>
    </row>
    <row r="8278" spans="1:7" x14ac:dyDescent="0.25">
      <c r="A8278">
        <v>1577207284</v>
      </c>
      <c r="B8278" t="s">
        <v>36959</v>
      </c>
      <c r="C8278">
        <v>0</v>
      </c>
      <c r="D8278">
        <v>1</v>
      </c>
      <c r="E8278">
        <v>781</v>
      </c>
      <c r="F8278">
        <v>4243</v>
      </c>
      <c r="G8278">
        <f t="shared" si="129"/>
        <v>1577207284</v>
      </c>
    </row>
    <row r="8279" spans="1:7" x14ac:dyDescent="0.25">
      <c r="A8279">
        <v>1577207285</v>
      </c>
      <c r="B8279" t="s">
        <v>36960</v>
      </c>
      <c r="C8279">
        <v>0</v>
      </c>
      <c r="D8279">
        <v>1</v>
      </c>
      <c r="E8279">
        <v>73</v>
      </c>
      <c r="F8279">
        <v>6043</v>
      </c>
      <c r="G8279">
        <f t="shared" si="129"/>
        <v>1577207285</v>
      </c>
    </row>
    <row r="8280" spans="1:7" x14ac:dyDescent="0.25">
      <c r="A8280">
        <v>1577207292</v>
      </c>
      <c r="B8280" t="s">
        <v>36961</v>
      </c>
      <c r="C8280">
        <v>1643</v>
      </c>
      <c r="D8280">
        <v>1</v>
      </c>
      <c r="E8280">
        <v>802</v>
      </c>
      <c r="F8280">
        <v>4195</v>
      </c>
      <c r="G8280">
        <f t="shared" si="129"/>
        <v>1577207292</v>
      </c>
    </row>
    <row r="8281" spans="1:7" x14ac:dyDescent="0.25">
      <c r="A8281">
        <v>1577207294</v>
      </c>
      <c r="B8281" t="s">
        <v>36962</v>
      </c>
      <c r="C8281">
        <v>0</v>
      </c>
      <c r="D8281">
        <v>1</v>
      </c>
      <c r="E8281">
        <v>197</v>
      </c>
      <c r="F8281">
        <v>5513</v>
      </c>
      <c r="G8281">
        <f t="shared" si="129"/>
        <v>1577207294</v>
      </c>
    </row>
    <row r="8282" spans="1:7" x14ac:dyDescent="0.25">
      <c r="A8282">
        <v>1577207327</v>
      </c>
      <c r="B8282" t="s">
        <v>30272</v>
      </c>
      <c r="C8282">
        <v>0</v>
      </c>
      <c r="D8282">
        <v>1</v>
      </c>
      <c r="E8282">
        <v>26</v>
      </c>
      <c r="F8282">
        <v>6928</v>
      </c>
      <c r="G8282">
        <f t="shared" si="129"/>
        <v>1577207327</v>
      </c>
    </row>
    <row r="8283" spans="1:7" x14ac:dyDescent="0.25">
      <c r="A8283">
        <v>1577207349</v>
      </c>
      <c r="B8283" t="s">
        <v>30273</v>
      </c>
      <c r="C8283">
        <v>0</v>
      </c>
      <c r="D8283">
        <v>1</v>
      </c>
      <c r="E8283">
        <v>728</v>
      </c>
      <c r="F8283">
        <v>4300</v>
      </c>
      <c r="G8283">
        <f t="shared" si="129"/>
        <v>1577207349</v>
      </c>
    </row>
    <row r="8284" spans="1:7" x14ac:dyDescent="0.25">
      <c r="A8284">
        <v>1577207355</v>
      </c>
      <c r="B8284" t="s">
        <v>30274</v>
      </c>
      <c r="C8284">
        <v>1867</v>
      </c>
      <c r="D8284">
        <v>1</v>
      </c>
      <c r="E8284">
        <v>1009</v>
      </c>
      <c r="F8284">
        <v>3981</v>
      </c>
      <c r="G8284">
        <f t="shared" si="129"/>
        <v>1577207355</v>
      </c>
    </row>
    <row r="8285" spans="1:7" x14ac:dyDescent="0.25">
      <c r="A8285">
        <v>1577207360</v>
      </c>
      <c r="B8285" t="s">
        <v>30275</v>
      </c>
      <c r="C8285">
        <v>2010</v>
      </c>
      <c r="D8285">
        <v>1</v>
      </c>
      <c r="E8285">
        <v>1056</v>
      </c>
      <c r="F8285">
        <v>3918</v>
      </c>
      <c r="G8285">
        <f t="shared" si="129"/>
        <v>1577207360</v>
      </c>
    </row>
    <row r="8286" spans="1:7" x14ac:dyDescent="0.25">
      <c r="A8286">
        <v>1577207361</v>
      </c>
      <c r="B8286" t="s">
        <v>30276</v>
      </c>
      <c r="C8286">
        <v>205</v>
      </c>
      <c r="D8286">
        <v>1</v>
      </c>
      <c r="E8286">
        <v>1126</v>
      </c>
      <c r="F8286">
        <v>3850</v>
      </c>
      <c r="G8286">
        <f t="shared" si="129"/>
        <v>1577207361</v>
      </c>
    </row>
    <row r="8287" spans="1:7" x14ac:dyDescent="0.25">
      <c r="A8287">
        <v>1577207370</v>
      </c>
      <c r="B8287" t="s">
        <v>30277</v>
      </c>
      <c r="C8287">
        <v>0</v>
      </c>
      <c r="D8287">
        <v>1</v>
      </c>
      <c r="E8287">
        <v>26</v>
      </c>
      <c r="F8287">
        <v>6929</v>
      </c>
      <c r="G8287">
        <f t="shared" si="129"/>
        <v>1577207370</v>
      </c>
    </row>
    <row r="8288" spans="1:7" x14ac:dyDescent="0.25">
      <c r="A8288">
        <v>1577207385</v>
      </c>
      <c r="B8288" t="s">
        <v>30278</v>
      </c>
      <c r="C8288">
        <v>0</v>
      </c>
      <c r="D8288">
        <v>1</v>
      </c>
      <c r="E8288">
        <v>73</v>
      </c>
      <c r="F8288">
        <v>6044</v>
      </c>
      <c r="G8288">
        <f t="shared" si="129"/>
        <v>1577207385</v>
      </c>
    </row>
    <row r="8289" spans="1:7" x14ac:dyDescent="0.25">
      <c r="A8289">
        <v>1577207392</v>
      </c>
      <c r="B8289" t="s">
        <v>30279</v>
      </c>
      <c r="C8289">
        <v>1867</v>
      </c>
      <c r="D8289">
        <v>1</v>
      </c>
      <c r="E8289">
        <v>978</v>
      </c>
      <c r="F8289">
        <v>4007</v>
      </c>
      <c r="G8289">
        <f t="shared" si="129"/>
        <v>1577207392</v>
      </c>
    </row>
    <row r="8290" spans="1:7" x14ac:dyDescent="0.25">
      <c r="A8290">
        <v>1577207398</v>
      </c>
      <c r="B8290" t="s">
        <v>30280</v>
      </c>
      <c r="C8290">
        <v>0</v>
      </c>
      <c r="D8290">
        <v>1</v>
      </c>
      <c r="E8290">
        <v>26</v>
      </c>
      <c r="F8290">
        <v>6930</v>
      </c>
      <c r="G8290">
        <f t="shared" si="129"/>
        <v>1577207398</v>
      </c>
    </row>
    <row r="8291" spans="1:7" x14ac:dyDescent="0.25">
      <c r="A8291">
        <v>1577207425</v>
      </c>
      <c r="B8291" t="s">
        <v>30281</v>
      </c>
      <c r="C8291">
        <v>1992</v>
      </c>
      <c r="D8291">
        <v>1</v>
      </c>
      <c r="E8291">
        <v>994</v>
      </c>
      <c r="F8291">
        <v>3988</v>
      </c>
      <c r="G8291">
        <f t="shared" si="129"/>
        <v>1577207425</v>
      </c>
    </row>
    <row r="8292" spans="1:7" x14ac:dyDescent="0.25">
      <c r="A8292">
        <v>1577207426</v>
      </c>
      <c r="B8292" t="s">
        <v>30282</v>
      </c>
      <c r="C8292">
        <v>0</v>
      </c>
      <c r="D8292">
        <v>1</v>
      </c>
      <c r="E8292">
        <v>60</v>
      </c>
      <c r="F8292">
        <v>6109</v>
      </c>
      <c r="G8292">
        <f t="shared" si="129"/>
        <v>1577207426</v>
      </c>
    </row>
    <row r="8293" spans="1:7" x14ac:dyDescent="0.25">
      <c r="A8293">
        <v>1577207430</v>
      </c>
      <c r="B8293" t="s">
        <v>30283</v>
      </c>
      <c r="C8293">
        <v>0</v>
      </c>
      <c r="D8293">
        <v>1</v>
      </c>
      <c r="E8293">
        <v>320</v>
      </c>
      <c r="F8293">
        <v>5087</v>
      </c>
      <c r="G8293">
        <f t="shared" si="129"/>
        <v>1577207430</v>
      </c>
    </row>
    <row r="8294" spans="1:7" x14ac:dyDescent="0.25">
      <c r="A8294">
        <v>1577207431</v>
      </c>
      <c r="B8294" t="s">
        <v>30284</v>
      </c>
      <c r="C8294">
        <v>0</v>
      </c>
      <c r="D8294">
        <v>1</v>
      </c>
      <c r="E8294">
        <v>185</v>
      </c>
      <c r="F8294">
        <v>5563</v>
      </c>
      <c r="G8294">
        <f t="shared" si="129"/>
        <v>1577207431</v>
      </c>
    </row>
    <row r="8295" spans="1:7" x14ac:dyDescent="0.25">
      <c r="A8295">
        <v>1577207432</v>
      </c>
      <c r="B8295" t="s">
        <v>30285</v>
      </c>
      <c r="C8295">
        <v>0</v>
      </c>
      <c r="D8295">
        <v>1</v>
      </c>
      <c r="E8295">
        <v>1286</v>
      </c>
      <c r="F8295">
        <v>3734</v>
      </c>
      <c r="G8295">
        <f t="shared" si="129"/>
        <v>1577207432</v>
      </c>
    </row>
    <row r="8296" spans="1:7" x14ac:dyDescent="0.25">
      <c r="A8296">
        <v>1577207436</v>
      </c>
      <c r="B8296" t="s">
        <v>30286</v>
      </c>
      <c r="C8296">
        <v>1914</v>
      </c>
      <c r="D8296">
        <v>1</v>
      </c>
      <c r="E8296">
        <v>625</v>
      </c>
      <c r="F8296">
        <v>4442</v>
      </c>
      <c r="G8296">
        <f t="shared" si="129"/>
        <v>1577207436</v>
      </c>
    </row>
    <row r="8297" spans="1:7" x14ac:dyDescent="0.25">
      <c r="A8297">
        <v>1577207437</v>
      </c>
      <c r="B8297" t="s">
        <v>30287</v>
      </c>
      <c r="C8297">
        <v>1914</v>
      </c>
      <c r="D8297">
        <v>1</v>
      </c>
      <c r="E8297">
        <v>601</v>
      </c>
      <c r="F8297">
        <v>4468</v>
      </c>
      <c r="G8297">
        <f t="shared" si="129"/>
        <v>1577207437</v>
      </c>
    </row>
    <row r="8298" spans="1:7" x14ac:dyDescent="0.25">
      <c r="A8298">
        <v>1577207452</v>
      </c>
      <c r="B8298" t="s">
        <v>37384</v>
      </c>
      <c r="C8298">
        <v>0</v>
      </c>
      <c r="D8298">
        <v>1</v>
      </c>
      <c r="E8298">
        <v>50</v>
      </c>
      <c r="F8298">
        <v>6189</v>
      </c>
      <c r="G8298">
        <f t="shared" si="129"/>
        <v>1577207452</v>
      </c>
    </row>
    <row r="8299" spans="1:7" x14ac:dyDescent="0.25">
      <c r="A8299">
        <v>1577207466</v>
      </c>
      <c r="B8299" t="s">
        <v>30288</v>
      </c>
      <c r="C8299">
        <v>1802</v>
      </c>
      <c r="D8299">
        <v>1</v>
      </c>
      <c r="E8299">
        <v>801</v>
      </c>
      <c r="F8299">
        <v>4198</v>
      </c>
      <c r="G8299">
        <f t="shared" si="129"/>
        <v>1577207466</v>
      </c>
    </row>
    <row r="8300" spans="1:7" x14ac:dyDescent="0.25">
      <c r="A8300">
        <v>1577207491</v>
      </c>
      <c r="B8300" t="s">
        <v>30289</v>
      </c>
      <c r="C8300">
        <v>0</v>
      </c>
      <c r="D8300">
        <v>1</v>
      </c>
      <c r="E8300">
        <v>632</v>
      </c>
      <c r="F8300">
        <v>4433</v>
      </c>
      <c r="G8300">
        <f t="shared" si="129"/>
        <v>1577207491</v>
      </c>
    </row>
    <row r="8301" spans="1:7" x14ac:dyDescent="0.25">
      <c r="A8301">
        <v>1577207495</v>
      </c>
      <c r="B8301" t="s">
        <v>30290</v>
      </c>
      <c r="C8301">
        <v>1643</v>
      </c>
      <c r="D8301">
        <v>1</v>
      </c>
      <c r="E8301">
        <v>939</v>
      </c>
      <c r="F8301">
        <v>4053</v>
      </c>
      <c r="G8301">
        <f t="shared" si="129"/>
        <v>1577207495</v>
      </c>
    </row>
    <row r="8302" spans="1:7" x14ac:dyDescent="0.25">
      <c r="A8302">
        <v>1577207496</v>
      </c>
      <c r="B8302" t="s">
        <v>30291</v>
      </c>
      <c r="C8302">
        <v>0</v>
      </c>
      <c r="D8302">
        <v>1</v>
      </c>
      <c r="E8302">
        <v>51</v>
      </c>
      <c r="F8302">
        <v>6170</v>
      </c>
      <c r="G8302">
        <f t="shared" si="129"/>
        <v>1577207496</v>
      </c>
    </row>
    <row r="8303" spans="1:7" x14ac:dyDescent="0.25">
      <c r="A8303">
        <v>1577207500</v>
      </c>
      <c r="B8303" t="s">
        <v>30292</v>
      </c>
      <c r="C8303">
        <v>1362</v>
      </c>
      <c r="D8303">
        <v>1</v>
      </c>
      <c r="E8303">
        <v>336</v>
      </c>
      <c r="F8303">
        <v>5022</v>
      </c>
      <c r="G8303">
        <f t="shared" si="129"/>
        <v>1577207500</v>
      </c>
    </row>
    <row r="8304" spans="1:7" x14ac:dyDescent="0.25">
      <c r="A8304">
        <v>1577207532</v>
      </c>
      <c r="B8304" t="s">
        <v>30293</v>
      </c>
      <c r="C8304">
        <v>1914</v>
      </c>
      <c r="D8304">
        <v>1</v>
      </c>
      <c r="E8304">
        <v>693</v>
      </c>
      <c r="F8304">
        <v>4367</v>
      </c>
      <c r="G8304">
        <f t="shared" si="129"/>
        <v>1577207532</v>
      </c>
    </row>
    <row r="8305" spans="1:7" x14ac:dyDescent="0.25">
      <c r="A8305">
        <v>1577207552</v>
      </c>
      <c r="B8305" t="s">
        <v>30294</v>
      </c>
      <c r="C8305">
        <v>0</v>
      </c>
      <c r="D8305">
        <v>1</v>
      </c>
      <c r="E8305">
        <v>82</v>
      </c>
      <c r="F8305">
        <v>5961</v>
      </c>
      <c r="G8305">
        <f t="shared" si="129"/>
        <v>1577207552</v>
      </c>
    </row>
    <row r="8306" spans="1:7" x14ac:dyDescent="0.25">
      <c r="A8306">
        <v>1577207557</v>
      </c>
      <c r="B8306" t="s">
        <v>36963</v>
      </c>
      <c r="C8306">
        <v>1357</v>
      </c>
      <c r="D8306">
        <v>1</v>
      </c>
      <c r="E8306">
        <v>577</v>
      </c>
      <c r="F8306">
        <v>4499</v>
      </c>
      <c r="G8306">
        <f t="shared" si="129"/>
        <v>1577207557</v>
      </c>
    </row>
    <row r="8307" spans="1:7" x14ac:dyDescent="0.25">
      <c r="A8307">
        <v>1577207562</v>
      </c>
      <c r="B8307" t="s">
        <v>30295</v>
      </c>
      <c r="C8307">
        <v>0</v>
      </c>
      <c r="D8307">
        <v>1</v>
      </c>
      <c r="E8307">
        <v>83</v>
      </c>
      <c r="F8307">
        <v>5951</v>
      </c>
      <c r="G8307">
        <f t="shared" si="129"/>
        <v>1577207562</v>
      </c>
    </row>
    <row r="8308" spans="1:7" x14ac:dyDescent="0.25">
      <c r="A8308">
        <v>1577207573</v>
      </c>
      <c r="B8308" t="s">
        <v>30296</v>
      </c>
      <c r="C8308">
        <v>0</v>
      </c>
      <c r="D8308">
        <v>1</v>
      </c>
      <c r="E8308">
        <v>175</v>
      </c>
      <c r="F8308">
        <v>5599</v>
      </c>
      <c r="G8308">
        <f t="shared" si="129"/>
        <v>1577207573</v>
      </c>
    </row>
    <row r="8309" spans="1:7" x14ac:dyDescent="0.25">
      <c r="A8309">
        <v>1577207575</v>
      </c>
      <c r="B8309" t="s">
        <v>30297</v>
      </c>
      <c r="C8309">
        <v>0</v>
      </c>
      <c r="D8309">
        <v>1</v>
      </c>
      <c r="E8309">
        <v>70</v>
      </c>
      <c r="F8309">
        <v>6069</v>
      </c>
      <c r="G8309">
        <f t="shared" si="129"/>
        <v>1577207575</v>
      </c>
    </row>
    <row r="8310" spans="1:7" x14ac:dyDescent="0.25">
      <c r="A8310">
        <v>1577207584</v>
      </c>
      <c r="B8310" t="s">
        <v>30298</v>
      </c>
      <c r="C8310">
        <v>1920</v>
      </c>
      <c r="D8310">
        <v>1</v>
      </c>
      <c r="E8310">
        <v>175</v>
      </c>
      <c r="F8310">
        <v>5627</v>
      </c>
      <c r="G8310">
        <f t="shared" si="129"/>
        <v>1577207584</v>
      </c>
    </row>
    <row r="8311" spans="1:7" x14ac:dyDescent="0.25">
      <c r="A8311">
        <v>1577207585</v>
      </c>
      <c r="B8311" t="s">
        <v>30299</v>
      </c>
      <c r="C8311">
        <v>0</v>
      </c>
      <c r="D8311">
        <v>1</v>
      </c>
      <c r="E8311">
        <v>399</v>
      </c>
      <c r="F8311">
        <v>4848</v>
      </c>
      <c r="G8311">
        <f t="shared" si="129"/>
        <v>1577207585</v>
      </c>
    </row>
    <row r="8312" spans="1:7" x14ac:dyDescent="0.25">
      <c r="A8312">
        <v>1577207639</v>
      </c>
      <c r="B8312" t="s">
        <v>36964</v>
      </c>
      <c r="C8312">
        <v>0</v>
      </c>
      <c r="D8312">
        <v>1</v>
      </c>
      <c r="E8312">
        <v>48</v>
      </c>
      <c r="F8312">
        <v>6202</v>
      </c>
      <c r="G8312">
        <f t="shared" si="129"/>
        <v>1577207639</v>
      </c>
    </row>
    <row r="8313" spans="1:7" x14ac:dyDescent="0.25">
      <c r="A8313">
        <v>1577207649</v>
      </c>
      <c r="B8313" t="s">
        <v>36965</v>
      </c>
      <c r="C8313">
        <v>0</v>
      </c>
      <c r="D8313">
        <v>1</v>
      </c>
      <c r="E8313">
        <v>46</v>
      </c>
      <c r="F8313">
        <v>6225</v>
      </c>
      <c r="G8313">
        <f t="shared" si="129"/>
        <v>1577207649</v>
      </c>
    </row>
    <row r="8314" spans="1:7" x14ac:dyDescent="0.25">
      <c r="A8314">
        <v>1577207662</v>
      </c>
      <c r="B8314" t="s">
        <v>30300</v>
      </c>
      <c r="C8314">
        <v>0</v>
      </c>
      <c r="D8314">
        <v>1</v>
      </c>
      <c r="E8314">
        <v>503</v>
      </c>
      <c r="F8314">
        <v>4629</v>
      </c>
      <c r="G8314">
        <f t="shared" si="129"/>
        <v>1577207662</v>
      </c>
    </row>
    <row r="8315" spans="1:7" x14ac:dyDescent="0.25">
      <c r="A8315">
        <v>1577207663</v>
      </c>
      <c r="B8315" t="s">
        <v>30301</v>
      </c>
      <c r="C8315">
        <v>0</v>
      </c>
      <c r="D8315">
        <v>1</v>
      </c>
      <c r="E8315">
        <v>306</v>
      </c>
      <c r="F8315">
        <v>5109</v>
      </c>
      <c r="G8315">
        <f t="shared" si="129"/>
        <v>1577207663</v>
      </c>
    </row>
    <row r="8316" spans="1:7" x14ac:dyDescent="0.25">
      <c r="A8316">
        <v>1577207672</v>
      </c>
      <c r="B8316" t="s">
        <v>30302</v>
      </c>
      <c r="C8316">
        <v>0</v>
      </c>
      <c r="D8316">
        <v>1</v>
      </c>
      <c r="E8316">
        <v>95</v>
      </c>
      <c r="F8316">
        <v>5877</v>
      </c>
      <c r="G8316">
        <f t="shared" si="129"/>
        <v>1577207672</v>
      </c>
    </row>
    <row r="8317" spans="1:7" x14ac:dyDescent="0.25">
      <c r="A8317">
        <v>1577207685</v>
      </c>
      <c r="B8317" t="s">
        <v>30303</v>
      </c>
      <c r="C8317">
        <v>0</v>
      </c>
      <c r="D8317">
        <v>1</v>
      </c>
      <c r="E8317">
        <v>188</v>
      </c>
      <c r="F8317">
        <v>5553</v>
      </c>
      <c r="G8317">
        <f t="shared" si="129"/>
        <v>1577207685</v>
      </c>
    </row>
    <row r="8318" spans="1:7" x14ac:dyDescent="0.25">
      <c r="A8318">
        <v>1577207686</v>
      </c>
      <c r="B8318" t="s">
        <v>30304</v>
      </c>
      <c r="C8318">
        <v>1207</v>
      </c>
      <c r="D8318">
        <v>1</v>
      </c>
      <c r="E8318">
        <v>351</v>
      </c>
      <c r="F8318">
        <v>4984</v>
      </c>
      <c r="G8318">
        <f t="shared" si="129"/>
        <v>1577207686</v>
      </c>
    </row>
    <row r="8319" spans="1:7" x14ac:dyDescent="0.25">
      <c r="A8319">
        <v>1577207688</v>
      </c>
      <c r="B8319" t="s">
        <v>37385</v>
      </c>
      <c r="C8319">
        <v>0</v>
      </c>
      <c r="D8319">
        <v>1</v>
      </c>
      <c r="E8319">
        <v>26</v>
      </c>
      <c r="F8319">
        <v>6931</v>
      </c>
      <c r="G8319">
        <f t="shared" si="129"/>
        <v>1577207688</v>
      </c>
    </row>
    <row r="8320" spans="1:7" x14ac:dyDescent="0.25">
      <c r="A8320">
        <v>1577207689</v>
      </c>
      <c r="B8320" t="s">
        <v>30305</v>
      </c>
      <c r="C8320">
        <v>1890</v>
      </c>
      <c r="D8320">
        <v>1</v>
      </c>
      <c r="E8320">
        <v>1379</v>
      </c>
      <c r="F8320">
        <v>3700</v>
      </c>
      <c r="G8320">
        <f t="shared" si="129"/>
        <v>1577207689</v>
      </c>
    </row>
    <row r="8321" spans="1:7" x14ac:dyDescent="0.25">
      <c r="A8321">
        <v>1577207707</v>
      </c>
      <c r="B8321" t="s">
        <v>30306</v>
      </c>
      <c r="C8321">
        <v>0</v>
      </c>
      <c r="D8321">
        <v>1</v>
      </c>
      <c r="E8321">
        <v>73</v>
      </c>
      <c r="F8321">
        <v>6045</v>
      </c>
      <c r="G8321">
        <f t="shared" ref="G8321:G8384" si="130">A8321</f>
        <v>1577207707</v>
      </c>
    </row>
    <row r="8322" spans="1:7" x14ac:dyDescent="0.25">
      <c r="A8322">
        <v>1577207709</v>
      </c>
      <c r="B8322" t="s">
        <v>30307</v>
      </c>
      <c r="C8322">
        <v>1828</v>
      </c>
      <c r="D8322">
        <v>1</v>
      </c>
      <c r="E8322">
        <v>433</v>
      </c>
      <c r="F8322">
        <v>4775</v>
      </c>
      <c r="G8322">
        <f t="shared" si="130"/>
        <v>1577207709</v>
      </c>
    </row>
    <row r="8323" spans="1:7" x14ac:dyDescent="0.25">
      <c r="A8323">
        <v>1577207712</v>
      </c>
      <c r="B8323" t="s">
        <v>30308</v>
      </c>
      <c r="C8323">
        <v>1867</v>
      </c>
      <c r="D8323">
        <v>1</v>
      </c>
      <c r="E8323">
        <v>581</v>
      </c>
      <c r="F8323">
        <v>4501</v>
      </c>
      <c r="G8323">
        <f t="shared" si="130"/>
        <v>1577207712</v>
      </c>
    </row>
    <row r="8324" spans="1:7" x14ac:dyDescent="0.25">
      <c r="A8324">
        <v>1577207727</v>
      </c>
      <c r="B8324" t="s">
        <v>30309</v>
      </c>
      <c r="C8324">
        <v>1885</v>
      </c>
      <c r="D8324">
        <v>1</v>
      </c>
      <c r="E8324">
        <v>448</v>
      </c>
      <c r="F8324">
        <v>4751</v>
      </c>
      <c r="G8324">
        <f t="shared" si="130"/>
        <v>1577207727</v>
      </c>
    </row>
    <row r="8325" spans="1:7" x14ac:dyDescent="0.25">
      <c r="A8325">
        <v>1577207730</v>
      </c>
      <c r="B8325" t="s">
        <v>30310</v>
      </c>
      <c r="C8325">
        <v>1885</v>
      </c>
      <c r="D8325">
        <v>1</v>
      </c>
      <c r="E8325">
        <v>448</v>
      </c>
      <c r="F8325">
        <v>4752</v>
      </c>
      <c r="G8325">
        <f t="shared" si="130"/>
        <v>1577207730</v>
      </c>
    </row>
    <row r="8326" spans="1:7" x14ac:dyDescent="0.25">
      <c r="A8326">
        <v>1577207738</v>
      </c>
      <c r="B8326" t="s">
        <v>30311</v>
      </c>
      <c r="C8326">
        <v>0</v>
      </c>
      <c r="D8326">
        <v>1</v>
      </c>
      <c r="E8326">
        <v>26</v>
      </c>
      <c r="F8326">
        <v>6932</v>
      </c>
      <c r="G8326">
        <f t="shared" si="130"/>
        <v>1577207738</v>
      </c>
    </row>
    <row r="8327" spans="1:7" x14ac:dyDescent="0.25">
      <c r="A8327">
        <v>1577207739</v>
      </c>
      <c r="B8327" t="s">
        <v>30312</v>
      </c>
      <c r="C8327">
        <v>1936</v>
      </c>
      <c r="D8327">
        <v>1</v>
      </c>
      <c r="E8327">
        <v>344</v>
      </c>
      <c r="F8327">
        <v>4998</v>
      </c>
      <c r="G8327">
        <f t="shared" si="130"/>
        <v>1577207739</v>
      </c>
    </row>
    <row r="8328" spans="1:7" x14ac:dyDescent="0.25">
      <c r="A8328">
        <v>1577207743</v>
      </c>
      <c r="B8328" t="s">
        <v>30313</v>
      </c>
      <c r="C8328">
        <v>1823</v>
      </c>
      <c r="D8328">
        <v>1</v>
      </c>
      <c r="E8328">
        <v>761</v>
      </c>
      <c r="F8328">
        <v>4277</v>
      </c>
      <c r="G8328">
        <f t="shared" si="130"/>
        <v>1577207743</v>
      </c>
    </row>
    <row r="8329" spans="1:7" x14ac:dyDescent="0.25">
      <c r="A8329">
        <v>1577207750</v>
      </c>
      <c r="B8329" t="s">
        <v>37088</v>
      </c>
      <c r="C8329">
        <v>0</v>
      </c>
      <c r="D8329">
        <v>1</v>
      </c>
      <c r="E8329">
        <v>377</v>
      </c>
      <c r="F8329">
        <v>4911</v>
      </c>
      <c r="G8329">
        <f t="shared" si="130"/>
        <v>1577207750</v>
      </c>
    </row>
    <row r="8330" spans="1:7" x14ac:dyDescent="0.25">
      <c r="A8330">
        <v>1577207755</v>
      </c>
      <c r="B8330" t="s">
        <v>3787</v>
      </c>
      <c r="C8330">
        <v>1362</v>
      </c>
      <c r="D8330">
        <v>1</v>
      </c>
      <c r="E8330">
        <v>299</v>
      </c>
      <c r="F8330">
        <v>5124</v>
      </c>
      <c r="G8330">
        <f t="shared" si="130"/>
        <v>1577207755</v>
      </c>
    </row>
    <row r="8331" spans="1:7" x14ac:dyDescent="0.25">
      <c r="A8331">
        <v>1577207758</v>
      </c>
      <c r="B8331" t="s">
        <v>30314</v>
      </c>
      <c r="C8331">
        <v>1918</v>
      </c>
      <c r="D8331">
        <v>1</v>
      </c>
      <c r="E8331">
        <v>771</v>
      </c>
      <c r="F8331">
        <v>4245</v>
      </c>
      <c r="G8331">
        <f t="shared" si="130"/>
        <v>1577207758</v>
      </c>
    </row>
    <row r="8332" spans="1:7" x14ac:dyDescent="0.25">
      <c r="A8332">
        <v>1577207769</v>
      </c>
      <c r="B8332" t="s">
        <v>30315</v>
      </c>
      <c r="C8332">
        <v>0</v>
      </c>
      <c r="D8332">
        <v>1</v>
      </c>
      <c r="E8332">
        <v>157</v>
      </c>
      <c r="F8332">
        <v>5674</v>
      </c>
      <c r="G8332">
        <f t="shared" si="130"/>
        <v>1577207769</v>
      </c>
    </row>
    <row r="8333" spans="1:7" x14ac:dyDescent="0.25">
      <c r="A8333">
        <v>1577207785</v>
      </c>
      <c r="B8333" t="s">
        <v>30316</v>
      </c>
      <c r="C8333">
        <v>0</v>
      </c>
      <c r="D8333">
        <v>1</v>
      </c>
      <c r="E8333">
        <v>221</v>
      </c>
      <c r="F8333">
        <v>5432</v>
      </c>
      <c r="G8333">
        <f t="shared" si="130"/>
        <v>1577207785</v>
      </c>
    </row>
    <row r="8334" spans="1:7" x14ac:dyDescent="0.25">
      <c r="A8334">
        <v>1577207799</v>
      </c>
      <c r="B8334" t="s">
        <v>3819</v>
      </c>
      <c r="C8334">
        <v>0</v>
      </c>
      <c r="D8334">
        <v>1</v>
      </c>
      <c r="E8334">
        <v>616</v>
      </c>
      <c r="F8334">
        <v>4453</v>
      </c>
      <c r="G8334">
        <f t="shared" si="130"/>
        <v>1577207799</v>
      </c>
    </row>
    <row r="8335" spans="1:7" x14ac:dyDescent="0.25">
      <c r="A8335">
        <v>1577207803</v>
      </c>
      <c r="B8335" t="s">
        <v>30317</v>
      </c>
      <c r="C8335">
        <v>0</v>
      </c>
      <c r="D8335">
        <v>1</v>
      </c>
      <c r="E8335">
        <v>26</v>
      </c>
      <c r="F8335">
        <v>6933</v>
      </c>
      <c r="G8335">
        <f t="shared" si="130"/>
        <v>1577207803</v>
      </c>
    </row>
    <row r="8336" spans="1:7" x14ac:dyDescent="0.25">
      <c r="A8336">
        <v>1577207804</v>
      </c>
      <c r="B8336" t="s">
        <v>3821</v>
      </c>
      <c r="C8336">
        <v>0</v>
      </c>
      <c r="D8336">
        <v>1</v>
      </c>
      <c r="E8336">
        <v>940</v>
      </c>
      <c r="F8336">
        <v>4080</v>
      </c>
      <c r="G8336">
        <f t="shared" si="130"/>
        <v>1577207804</v>
      </c>
    </row>
    <row r="8337" spans="1:7" x14ac:dyDescent="0.25">
      <c r="A8337">
        <v>1577207843</v>
      </c>
      <c r="B8337" t="s">
        <v>30318</v>
      </c>
      <c r="C8337">
        <v>0</v>
      </c>
      <c r="D8337">
        <v>1</v>
      </c>
      <c r="E8337">
        <v>688</v>
      </c>
      <c r="F8337">
        <v>4379</v>
      </c>
      <c r="G8337">
        <f t="shared" si="130"/>
        <v>1577207843</v>
      </c>
    </row>
    <row r="8338" spans="1:7" x14ac:dyDescent="0.25">
      <c r="A8338">
        <v>1577207846</v>
      </c>
      <c r="B8338" t="s">
        <v>30319</v>
      </c>
      <c r="C8338">
        <v>205</v>
      </c>
      <c r="D8338">
        <v>1</v>
      </c>
      <c r="E8338">
        <v>942</v>
      </c>
      <c r="F8338">
        <v>4048</v>
      </c>
      <c r="G8338">
        <f t="shared" si="130"/>
        <v>1577207846</v>
      </c>
    </row>
    <row r="8339" spans="1:7" x14ac:dyDescent="0.25">
      <c r="A8339">
        <v>1577207851</v>
      </c>
      <c r="B8339" t="s">
        <v>30320</v>
      </c>
      <c r="C8339">
        <v>0</v>
      </c>
      <c r="D8339">
        <v>1</v>
      </c>
      <c r="E8339">
        <v>687</v>
      </c>
      <c r="F8339">
        <v>4359</v>
      </c>
      <c r="G8339">
        <f t="shared" si="130"/>
        <v>1577207851</v>
      </c>
    </row>
    <row r="8340" spans="1:7" x14ac:dyDescent="0.25">
      <c r="A8340">
        <v>1577207886</v>
      </c>
      <c r="B8340" t="s">
        <v>30321</v>
      </c>
      <c r="C8340">
        <v>0</v>
      </c>
      <c r="D8340">
        <v>1</v>
      </c>
      <c r="E8340">
        <v>81</v>
      </c>
      <c r="F8340">
        <v>5967</v>
      </c>
      <c r="G8340">
        <f t="shared" si="130"/>
        <v>1577207886</v>
      </c>
    </row>
    <row r="8341" spans="1:7" x14ac:dyDescent="0.25">
      <c r="A8341">
        <v>1577207895</v>
      </c>
      <c r="B8341" t="s">
        <v>30322</v>
      </c>
      <c r="C8341">
        <v>0</v>
      </c>
      <c r="D8341">
        <v>1</v>
      </c>
      <c r="E8341">
        <v>339</v>
      </c>
      <c r="F8341">
        <v>5012</v>
      </c>
      <c r="G8341">
        <f t="shared" si="130"/>
        <v>1577207895</v>
      </c>
    </row>
    <row r="8342" spans="1:7" x14ac:dyDescent="0.25">
      <c r="A8342">
        <v>1577207905</v>
      </c>
      <c r="B8342" t="s">
        <v>30323</v>
      </c>
      <c r="C8342">
        <v>1914</v>
      </c>
      <c r="D8342">
        <v>1</v>
      </c>
      <c r="E8342">
        <v>716</v>
      </c>
      <c r="F8342">
        <v>4319</v>
      </c>
      <c r="G8342">
        <f t="shared" si="130"/>
        <v>1577207905</v>
      </c>
    </row>
    <row r="8343" spans="1:7" x14ac:dyDescent="0.25">
      <c r="A8343">
        <v>1577207924</v>
      </c>
      <c r="B8343" t="s">
        <v>30324</v>
      </c>
      <c r="C8343">
        <v>1885</v>
      </c>
      <c r="D8343">
        <v>1</v>
      </c>
      <c r="E8343">
        <v>610</v>
      </c>
      <c r="F8343">
        <v>4520</v>
      </c>
      <c r="G8343">
        <f t="shared" si="130"/>
        <v>1577207924</v>
      </c>
    </row>
    <row r="8344" spans="1:7" x14ac:dyDescent="0.25">
      <c r="A8344">
        <v>1577207928</v>
      </c>
      <c r="B8344" t="s">
        <v>30325</v>
      </c>
      <c r="C8344">
        <v>62</v>
      </c>
      <c r="D8344">
        <v>1</v>
      </c>
      <c r="E8344">
        <v>654</v>
      </c>
      <c r="F8344">
        <v>4408</v>
      </c>
      <c r="G8344">
        <f t="shared" si="130"/>
        <v>1577207928</v>
      </c>
    </row>
    <row r="8345" spans="1:7" x14ac:dyDescent="0.25">
      <c r="A8345">
        <v>1577207929</v>
      </c>
      <c r="B8345" t="s">
        <v>30326</v>
      </c>
      <c r="C8345">
        <v>0</v>
      </c>
      <c r="D8345">
        <v>1</v>
      </c>
      <c r="E8345">
        <v>61</v>
      </c>
      <c r="F8345">
        <v>6104</v>
      </c>
      <c r="G8345">
        <f t="shared" si="130"/>
        <v>1577207929</v>
      </c>
    </row>
    <row r="8346" spans="1:7" x14ac:dyDescent="0.25">
      <c r="A8346">
        <v>1577207943</v>
      </c>
      <c r="B8346" t="s">
        <v>30327</v>
      </c>
      <c r="C8346">
        <v>0</v>
      </c>
      <c r="D8346">
        <v>1</v>
      </c>
      <c r="E8346">
        <v>390</v>
      </c>
      <c r="F8346">
        <v>4874</v>
      </c>
      <c r="G8346">
        <f t="shared" si="130"/>
        <v>1577207943</v>
      </c>
    </row>
    <row r="8347" spans="1:7" x14ac:dyDescent="0.25">
      <c r="A8347">
        <v>1577207946</v>
      </c>
      <c r="B8347" t="s">
        <v>30328</v>
      </c>
      <c r="C8347">
        <v>1850</v>
      </c>
      <c r="D8347">
        <v>1</v>
      </c>
      <c r="E8347">
        <v>1180</v>
      </c>
      <c r="F8347">
        <v>3812</v>
      </c>
      <c r="G8347">
        <f t="shared" si="130"/>
        <v>1577207946</v>
      </c>
    </row>
    <row r="8348" spans="1:7" x14ac:dyDescent="0.25">
      <c r="A8348">
        <v>1577207961</v>
      </c>
      <c r="B8348" t="s">
        <v>30329</v>
      </c>
      <c r="C8348">
        <v>0</v>
      </c>
      <c r="D8348">
        <v>1</v>
      </c>
      <c r="E8348">
        <v>26</v>
      </c>
      <c r="F8348">
        <v>6934</v>
      </c>
      <c r="G8348">
        <f t="shared" si="130"/>
        <v>1577207961</v>
      </c>
    </row>
    <row r="8349" spans="1:7" x14ac:dyDescent="0.25">
      <c r="A8349">
        <v>1577207969</v>
      </c>
      <c r="B8349" t="s">
        <v>30330</v>
      </c>
      <c r="C8349">
        <v>0</v>
      </c>
      <c r="D8349">
        <v>1</v>
      </c>
      <c r="E8349">
        <v>26</v>
      </c>
      <c r="F8349">
        <v>6935</v>
      </c>
      <c r="G8349">
        <f t="shared" si="130"/>
        <v>1577207969</v>
      </c>
    </row>
    <row r="8350" spans="1:7" x14ac:dyDescent="0.25">
      <c r="A8350">
        <v>1577207975</v>
      </c>
      <c r="B8350" t="s">
        <v>30331</v>
      </c>
      <c r="C8350">
        <v>0</v>
      </c>
      <c r="D8350">
        <v>1</v>
      </c>
      <c r="E8350">
        <v>75</v>
      </c>
      <c r="F8350">
        <v>6020</v>
      </c>
      <c r="G8350">
        <f t="shared" si="130"/>
        <v>1577207975</v>
      </c>
    </row>
    <row r="8351" spans="1:7" x14ac:dyDescent="0.25">
      <c r="A8351">
        <v>1577207990</v>
      </c>
      <c r="B8351" t="s">
        <v>30332</v>
      </c>
      <c r="C8351">
        <v>0</v>
      </c>
      <c r="D8351">
        <v>1</v>
      </c>
      <c r="E8351">
        <v>36</v>
      </c>
      <c r="F8351">
        <v>6295</v>
      </c>
      <c r="G8351">
        <f t="shared" si="130"/>
        <v>1577207990</v>
      </c>
    </row>
    <row r="8352" spans="1:7" x14ac:dyDescent="0.25">
      <c r="A8352">
        <v>1577208007</v>
      </c>
      <c r="B8352" t="s">
        <v>30333</v>
      </c>
      <c r="C8352">
        <v>1914</v>
      </c>
      <c r="D8352">
        <v>1</v>
      </c>
      <c r="E8352">
        <v>226</v>
      </c>
      <c r="F8352">
        <v>5408</v>
      </c>
      <c r="G8352">
        <f t="shared" si="130"/>
        <v>1577208007</v>
      </c>
    </row>
    <row r="8353" spans="1:7" x14ac:dyDescent="0.25">
      <c r="A8353">
        <v>1577208013</v>
      </c>
      <c r="B8353" t="s">
        <v>30334</v>
      </c>
      <c r="C8353">
        <v>0</v>
      </c>
      <c r="D8353">
        <v>1</v>
      </c>
      <c r="E8353">
        <v>64</v>
      </c>
      <c r="F8353">
        <v>6092</v>
      </c>
      <c r="G8353">
        <f t="shared" si="130"/>
        <v>1577208013</v>
      </c>
    </row>
    <row r="8354" spans="1:7" x14ac:dyDescent="0.25">
      <c r="A8354">
        <v>1577208014</v>
      </c>
      <c r="B8354" t="s">
        <v>30335</v>
      </c>
      <c r="C8354">
        <v>0</v>
      </c>
      <c r="D8354">
        <v>1</v>
      </c>
      <c r="E8354">
        <v>57</v>
      </c>
      <c r="F8354">
        <v>6118</v>
      </c>
      <c r="G8354">
        <f t="shared" si="130"/>
        <v>1577208014</v>
      </c>
    </row>
    <row r="8355" spans="1:7" x14ac:dyDescent="0.25">
      <c r="A8355">
        <v>1577208020</v>
      </c>
      <c r="B8355" t="s">
        <v>30336</v>
      </c>
      <c r="C8355">
        <v>0</v>
      </c>
      <c r="D8355">
        <v>1</v>
      </c>
      <c r="E8355">
        <v>97</v>
      </c>
      <c r="F8355">
        <v>5868</v>
      </c>
      <c r="G8355">
        <f t="shared" si="130"/>
        <v>1577208020</v>
      </c>
    </row>
    <row r="8356" spans="1:7" x14ac:dyDescent="0.25">
      <c r="A8356">
        <v>1577208024</v>
      </c>
      <c r="B8356" t="s">
        <v>30337</v>
      </c>
      <c r="C8356">
        <v>1885</v>
      </c>
      <c r="D8356">
        <v>1</v>
      </c>
      <c r="E8356">
        <v>381</v>
      </c>
      <c r="F8356">
        <v>4940</v>
      </c>
      <c r="G8356">
        <f t="shared" si="130"/>
        <v>1577208024</v>
      </c>
    </row>
    <row r="8357" spans="1:7" x14ac:dyDescent="0.25">
      <c r="A8357">
        <v>1577208026</v>
      </c>
      <c r="B8357" t="s">
        <v>30338</v>
      </c>
      <c r="C8357">
        <v>1914</v>
      </c>
      <c r="D8357">
        <v>1</v>
      </c>
      <c r="E8357">
        <v>506</v>
      </c>
      <c r="F8357">
        <v>4619</v>
      </c>
      <c r="G8357">
        <f t="shared" si="130"/>
        <v>1577208026</v>
      </c>
    </row>
    <row r="8358" spans="1:7" x14ac:dyDescent="0.25">
      <c r="A8358">
        <v>1577208034</v>
      </c>
      <c r="B8358" t="s">
        <v>3981</v>
      </c>
      <c r="C8358">
        <v>1602</v>
      </c>
      <c r="D8358">
        <v>1</v>
      </c>
      <c r="E8358">
        <v>530</v>
      </c>
      <c r="F8358">
        <v>4580</v>
      </c>
      <c r="G8358">
        <f t="shared" si="130"/>
        <v>1577208034</v>
      </c>
    </row>
    <row r="8359" spans="1:7" x14ac:dyDescent="0.25">
      <c r="A8359">
        <v>1577208036</v>
      </c>
      <c r="B8359" t="s">
        <v>30339</v>
      </c>
      <c r="C8359">
        <v>1971</v>
      </c>
      <c r="D8359">
        <v>1</v>
      </c>
      <c r="E8359">
        <v>515</v>
      </c>
      <c r="F8359">
        <v>4602</v>
      </c>
      <c r="G8359">
        <f t="shared" si="130"/>
        <v>1577208036</v>
      </c>
    </row>
    <row r="8360" spans="1:7" x14ac:dyDescent="0.25">
      <c r="A8360">
        <v>1577208063</v>
      </c>
      <c r="B8360" t="s">
        <v>37089</v>
      </c>
      <c r="C8360">
        <v>1785</v>
      </c>
      <c r="D8360">
        <v>1</v>
      </c>
      <c r="E8360">
        <v>405</v>
      </c>
      <c r="F8360">
        <v>4838</v>
      </c>
      <c r="G8360">
        <f t="shared" si="130"/>
        <v>1577208063</v>
      </c>
    </row>
    <row r="8361" spans="1:7" x14ac:dyDescent="0.25">
      <c r="A8361">
        <v>1577208085</v>
      </c>
      <c r="B8361" t="s">
        <v>30340</v>
      </c>
      <c r="C8361">
        <v>0</v>
      </c>
      <c r="D8361">
        <v>1</v>
      </c>
      <c r="E8361">
        <v>238</v>
      </c>
      <c r="F8361">
        <v>5359</v>
      </c>
      <c r="G8361">
        <f t="shared" si="130"/>
        <v>1577208085</v>
      </c>
    </row>
    <row r="8362" spans="1:7" x14ac:dyDescent="0.25">
      <c r="A8362">
        <v>1577208097</v>
      </c>
      <c r="B8362" t="s">
        <v>30341</v>
      </c>
      <c r="C8362">
        <v>0</v>
      </c>
      <c r="D8362">
        <v>1</v>
      </c>
      <c r="E8362">
        <v>199</v>
      </c>
      <c r="F8362">
        <v>5505</v>
      </c>
      <c r="G8362">
        <f t="shared" si="130"/>
        <v>1577208097</v>
      </c>
    </row>
    <row r="8363" spans="1:7" x14ac:dyDescent="0.25">
      <c r="A8363">
        <v>1577208103</v>
      </c>
      <c r="B8363" t="s">
        <v>4021</v>
      </c>
      <c r="C8363">
        <v>1651</v>
      </c>
      <c r="D8363">
        <v>1</v>
      </c>
      <c r="E8363">
        <v>508</v>
      </c>
      <c r="F8363">
        <v>4613</v>
      </c>
      <c r="G8363">
        <f t="shared" si="130"/>
        <v>1577208103</v>
      </c>
    </row>
    <row r="8364" spans="1:7" x14ac:dyDescent="0.25">
      <c r="A8364">
        <v>1577208120</v>
      </c>
      <c r="B8364" t="s">
        <v>30342</v>
      </c>
      <c r="C8364">
        <v>0</v>
      </c>
      <c r="D8364">
        <v>1</v>
      </c>
      <c r="E8364">
        <v>775</v>
      </c>
      <c r="F8364">
        <v>4240</v>
      </c>
      <c r="G8364">
        <f t="shared" si="130"/>
        <v>1577208120</v>
      </c>
    </row>
    <row r="8365" spans="1:7" x14ac:dyDescent="0.25">
      <c r="A8365">
        <v>1577208123</v>
      </c>
      <c r="B8365" t="s">
        <v>30343</v>
      </c>
      <c r="C8365">
        <v>0</v>
      </c>
      <c r="D8365">
        <v>1</v>
      </c>
      <c r="E8365">
        <v>35</v>
      </c>
      <c r="F8365">
        <v>6296</v>
      </c>
      <c r="G8365">
        <f t="shared" si="130"/>
        <v>1577208123</v>
      </c>
    </row>
    <row r="8366" spans="1:7" x14ac:dyDescent="0.25">
      <c r="A8366">
        <v>1577208160</v>
      </c>
      <c r="B8366" t="s">
        <v>30344</v>
      </c>
      <c r="C8366">
        <v>0</v>
      </c>
      <c r="D8366">
        <v>1</v>
      </c>
      <c r="E8366">
        <v>495</v>
      </c>
      <c r="F8366">
        <v>4653</v>
      </c>
      <c r="G8366">
        <f t="shared" si="130"/>
        <v>1577208160</v>
      </c>
    </row>
    <row r="8367" spans="1:7" x14ac:dyDescent="0.25">
      <c r="A8367">
        <v>1577208168</v>
      </c>
      <c r="B8367" t="s">
        <v>30345</v>
      </c>
      <c r="C8367">
        <v>0</v>
      </c>
      <c r="D8367">
        <v>1</v>
      </c>
      <c r="E8367">
        <v>97</v>
      </c>
      <c r="F8367">
        <v>5869</v>
      </c>
      <c r="G8367">
        <f t="shared" si="130"/>
        <v>1577208168</v>
      </c>
    </row>
    <row r="8368" spans="1:7" x14ac:dyDescent="0.25">
      <c r="A8368">
        <v>1577208171</v>
      </c>
      <c r="B8368" t="s">
        <v>30346</v>
      </c>
      <c r="C8368">
        <v>1926</v>
      </c>
      <c r="D8368">
        <v>1</v>
      </c>
      <c r="E8368">
        <v>420</v>
      </c>
      <c r="F8368">
        <v>4808</v>
      </c>
      <c r="G8368">
        <f t="shared" si="130"/>
        <v>1577208171</v>
      </c>
    </row>
    <row r="8369" spans="1:7" x14ac:dyDescent="0.25">
      <c r="A8369">
        <v>1577208172</v>
      </c>
      <c r="B8369" t="s">
        <v>30347</v>
      </c>
      <c r="C8369">
        <v>0</v>
      </c>
      <c r="D8369">
        <v>1</v>
      </c>
      <c r="E8369">
        <v>50</v>
      </c>
      <c r="F8369">
        <v>6190</v>
      </c>
      <c r="G8369">
        <f t="shared" si="130"/>
        <v>1577208172</v>
      </c>
    </row>
    <row r="8370" spans="1:7" x14ac:dyDescent="0.25">
      <c r="A8370">
        <v>1577208193</v>
      </c>
      <c r="B8370" t="s">
        <v>36966</v>
      </c>
      <c r="C8370">
        <v>0</v>
      </c>
      <c r="D8370">
        <v>1</v>
      </c>
      <c r="E8370">
        <v>64</v>
      </c>
      <c r="F8370">
        <v>6093</v>
      </c>
      <c r="G8370">
        <f t="shared" si="130"/>
        <v>1577208193</v>
      </c>
    </row>
    <row r="8371" spans="1:7" x14ac:dyDescent="0.25">
      <c r="A8371">
        <v>1577208199</v>
      </c>
      <c r="B8371" t="s">
        <v>30348</v>
      </c>
      <c r="C8371">
        <v>0</v>
      </c>
      <c r="D8371">
        <v>1</v>
      </c>
      <c r="E8371">
        <v>102</v>
      </c>
      <c r="F8371">
        <v>5840</v>
      </c>
      <c r="G8371">
        <f t="shared" si="130"/>
        <v>1577208199</v>
      </c>
    </row>
    <row r="8372" spans="1:7" x14ac:dyDescent="0.25">
      <c r="A8372">
        <v>1577208226</v>
      </c>
      <c r="B8372" t="s">
        <v>30349</v>
      </c>
      <c r="C8372">
        <v>1459</v>
      </c>
      <c r="D8372">
        <v>1</v>
      </c>
      <c r="E8372">
        <v>183</v>
      </c>
      <c r="F8372">
        <v>5571</v>
      </c>
      <c r="G8372">
        <f t="shared" si="130"/>
        <v>1577208226</v>
      </c>
    </row>
    <row r="8373" spans="1:7" x14ac:dyDescent="0.25">
      <c r="A8373">
        <v>1577208227</v>
      </c>
      <c r="B8373" t="s">
        <v>30350</v>
      </c>
      <c r="C8373">
        <v>0</v>
      </c>
      <c r="D8373">
        <v>1</v>
      </c>
      <c r="E8373">
        <v>80</v>
      </c>
      <c r="F8373">
        <v>5974</v>
      </c>
      <c r="G8373">
        <f t="shared" si="130"/>
        <v>1577208227</v>
      </c>
    </row>
    <row r="8374" spans="1:7" x14ac:dyDescent="0.25">
      <c r="A8374">
        <v>1577208231</v>
      </c>
      <c r="B8374" t="s">
        <v>30351</v>
      </c>
      <c r="C8374">
        <v>0</v>
      </c>
      <c r="D8374">
        <v>1</v>
      </c>
      <c r="E8374">
        <v>26</v>
      </c>
      <c r="F8374">
        <v>6936</v>
      </c>
      <c r="G8374">
        <f t="shared" si="130"/>
        <v>1577208231</v>
      </c>
    </row>
    <row r="8375" spans="1:7" x14ac:dyDescent="0.25">
      <c r="A8375">
        <v>1577208265</v>
      </c>
      <c r="B8375" t="s">
        <v>36967</v>
      </c>
      <c r="C8375">
        <v>0</v>
      </c>
      <c r="D8375">
        <v>1</v>
      </c>
      <c r="E8375">
        <v>26</v>
      </c>
      <c r="F8375">
        <v>6937</v>
      </c>
      <c r="G8375">
        <f t="shared" si="130"/>
        <v>1577208265</v>
      </c>
    </row>
    <row r="8376" spans="1:7" x14ac:dyDescent="0.25">
      <c r="A8376">
        <v>1577208321</v>
      </c>
      <c r="B8376" t="s">
        <v>30352</v>
      </c>
      <c r="C8376">
        <v>1971</v>
      </c>
      <c r="D8376">
        <v>1</v>
      </c>
      <c r="E8376">
        <v>521</v>
      </c>
      <c r="F8376">
        <v>4598</v>
      </c>
      <c r="G8376">
        <f t="shared" si="130"/>
        <v>1577208321</v>
      </c>
    </row>
    <row r="8377" spans="1:7" x14ac:dyDescent="0.25">
      <c r="A8377">
        <v>1577208325</v>
      </c>
      <c r="B8377" t="s">
        <v>30353</v>
      </c>
      <c r="C8377">
        <v>1828</v>
      </c>
      <c r="D8377">
        <v>1</v>
      </c>
      <c r="E8377">
        <v>529</v>
      </c>
      <c r="F8377">
        <v>4591</v>
      </c>
      <c r="G8377">
        <f t="shared" si="130"/>
        <v>1577208325</v>
      </c>
    </row>
    <row r="8378" spans="1:7" x14ac:dyDescent="0.25">
      <c r="A8378">
        <v>1577208327</v>
      </c>
      <c r="B8378" t="s">
        <v>37234</v>
      </c>
      <c r="C8378">
        <v>1651</v>
      </c>
      <c r="D8378">
        <v>1</v>
      </c>
      <c r="E8378">
        <v>487</v>
      </c>
      <c r="F8378">
        <v>4670</v>
      </c>
      <c r="G8378">
        <f t="shared" si="130"/>
        <v>1577208327</v>
      </c>
    </row>
    <row r="8379" spans="1:7" x14ac:dyDescent="0.25">
      <c r="A8379">
        <v>1577208328</v>
      </c>
      <c r="B8379" t="s">
        <v>36968</v>
      </c>
      <c r="C8379">
        <v>0</v>
      </c>
      <c r="D8379">
        <v>1</v>
      </c>
      <c r="E8379">
        <v>430</v>
      </c>
      <c r="F8379">
        <v>4781</v>
      </c>
      <c r="G8379">
        <f t="shared" si="130"/>
        <v>1577208328</v>
      </c>
    </row>
    <row r="8380" spans="1:7" x14ac:dyDescent="0.25">
      <c r="A8380">
        <v>1577208341</v>
      </c>
      <c r="B8380" t="s">
        <v>30354</v>
      </c>
      <c r="C8380">
        <v>0</v>
      </c>
      <c r="D8380">
        <v>1</v>
      </c>
      <c r="E8380">
        <v>133</v>
      </c>
      <c r="F8380">
        <v>5758</v>
      </c>
      <c r="G8380">
        <f t="shared" si="130"/>
        <v>1577208341</v>
      </c>
    </row>
    <row r="8381" spans="1:7" x14ac:dyDescent="0.25">
      <c r="A8381">
        <v>1577208345</v>
      </c>
      <c r="B8381" t="s">
        <v>30355</v>
      </c>
      <c r="C8381">
        <v>1920</v>
      </c>
      <c r="D8381">
        <v>1</v>
      </c>
      <c r="E8381">
        <v>592</v>
      </c>
      <c r="F8381">
        <v>4479</v>
      </c>
      <c r="G8381">
        <f t="shared" si="130"/>
        <v>1577208345</v>
      </c>
    </row>
    <row r="8382" spans="1:7" x14ac:dyDescent="0.25">
      <c r="A8382">
        <v>1577208356</v>
      </c>
      <c r="B8382" t="s">
        <v>30356</v>
      </c>
      <c r="C8382">
        <v>0</v>
      </c>
      <c r="D8382">
        <v>1</v>
      </c>
      <c r="E8382">
        <v>26</v>
      </c>
      <c r="F8382">
        <v>6938</v>
      </c>
      <c r="G8382">
        <f t="shared" si="130"/>
        <v>1577208356</v>
      </c>
    </row>
    <row r="8383" spans="1:7" x14ac:dyDescent="0.25">
      <c r="A8383">
        <v>1577208374</v>
      </c>
      <c r="B8383" t="s">
        <v>4141</v>
      </c>
      <c r="C8383">
        <v>0</v>
      </c>
      <c r="D8383">
        <v>1</v>
      </c>
      <c r="E8383">
        <v>175</v>
      </c>
      <c r="F8383">
        <v>5600</v>
      </c>
      <c r="G8383">
        <f t="shared" si="130"/>
        <v>1577208374</v>
      </c>
    </row>
    <row r="8384" spans="1:7" x14ac:dyDescent="0.25">
      <c r="A8384">
        <v>1577208375</v>
      </c>
      <c r="B8384" t="s">
        <v>30357</v>
      </c>
      <c r="C8384">
        <v>0</v>
      </c>
      <c r="D8384">
        <v>1</v>
      </c>
      <c r="E8384">
        <v>96</v>
      </c>
      <c r="F8384">
        <v>5873</v>
      </c>
      <c r="G8384">
        <f t="shared" si="130"/>
        <v>1577208375</v>
      </c>
    </row>
    <row r="8385" spans="1:7" x14ac:dyDescent="0.25">
      <c r="A8385">
        <v>1577208388</v>
      </c>
      <c r="B8385" t="s">
        <v>36969</v>
      </c>
      <c r="C8385">
        <v>1926</v>
      </c>
      <c r="D8385">
        <v>1</v>
      </c>
      <c r="E8385">
        <v>821</v>
      </c>
      <c r="F8385">
        <v>4172</v>
      </c>
      <c r="G8385">
        <f t="shared" ref="G8385:G8448" si="131">A8385</f>
        <v>1577208388</v>
      </c>
    </row>
    <row r="8386" spans="1:7" x14ac:dyDescent="0.25">
      <c r="A8386">
        <v>1577208397</v>
      </c>
      <c r="B8386" t="s">
        <v>30358</v>
      </c>
      <c r="C8386">
        <v>1890</v>
      </c>
      <c r="D8386">
        <v>1</v>
      </c>
      <c r="E8386">
        <v>162</v>
      </c>
      <c r="F8386">
        <v>5652</v>
      </c>
      <c r="G8386">
        <f t="shared" si="131"/>
        <v>1577208397</v>
      </c>
    </row>
    <row r="8387" spans="1:7" x14ac:dyDescent="0.25">
      <c r="A8387">
        <v>1577208402</v>
      </c>
      <c r="B8387" t="s">
        <v>30359</v>
      </c>
      <c r="C8387">
        <v>1991</v>
      </c>
      <c r="D8387">
        <v>1</v>
      </c>
      <c r="E8387">
        <v>273</v>
      </c>
      <c r="F8387">
        <v>5212</v>
      </c>
      <c r="G8387">
        <f t="shared" si="131"/>
        <v>1577208402</v>
      </c>
    </row>
    <row r="8388" spans="1:7" x14ac:dyDescent="0.25">
      <c r="A8388">
        <v>1577208410</v>
      </c>
      <c r="B8388" t="s">
        <v>30360</v>
      </c>
      <c r="C8388">
        <v>0</v>
      </c>
      <c r="D8388">
        <v>1</v>
      </c>
      <c r="E8388">
        <v>137</v>
      </c>
      <c r="F8388">
        <v>5743</v>
      </c>
      <c r="G8388">
        <f t="shared" si="131"/>
        <v>1577208410</v>
      </c>
    </row>
    <row r="8389" spans="1:7" x14ac:dyDescent="0.25">
      <c r="A8389">
        <v>1577208437</v>
      </c>
      <c r="B8389" t="s">
        <v>30361</v>
      </c>
      <c r="C8389">
        <v>0</v>
      </c>
      <c r="D8389">
        <v>1</v>
      </c>
      <c r="E8389">
        <v>91</v>
      </c>
      <c r="F8389">
        <v>5904</v>
      </c>
      <c r="G8389">
        <f t="shared" si="131"/>
        <v>1577208437</v>
      </c>
    </row>
    <row r="8390" spans="1:7" x14ac:dyDescent="0.25">
      <c r="A8390">
        <v>1577208472</v>
      </c>
      <c r="B8390" t="s">
        <v>30362</v>
      </c>
      <c r="C8390">
        <v>1935</v>
      </c>
      <c r="D8390">
        <v>1</v>
      </c>
      <c r="E8390">
        <v>156</v>
      </c>
      <c r="F8390">
        <v>5681</v>
      </c>
      <c r="G8390">
        <f t="shared" si="131"/>
        <v>1577208472</v>
      </c>
    </row>
    <row r="8391" spans="1:7" x14ac:dyDescent="0.25">
      <c r="A8391">
        <v>1577208483</v>
      </c>
      <c r="B8391" t="s">
        <v>30363</v>
      </c>
      <c r="C8391">
        <v>0</v>
      </c>
      <c r="D8391">
        <v>1</v>
      </c>
      <c r="E8391">
        <v>26</v>
      </c>
      <c r="F8391">
        <v>6939</v>
      </c>
      <c r="G8391">
        <f t="shared" si="131"/>
        <v>1577208483</v>
      </c>
    </row>
    <row r="8392" spans="1:7" x14ac:dyDescent="0.25">
      <c r="A8392">
        <v>1577208486</v>
      </c>
      <c r="B8392" t="s">
        <v>30364</v>
      </c>
      <c r="C8392">
        <v>0</v>
      </c>
      <c r="D8392">
        <v>1</v>
      </c>
      <c r="E8392">
        <v>255</v>
      </c>
      <c r="F8392">
        <v>5317</v>
      </c>
      <c r="G8392">
        <f t="shared" si="131"/>
        <v>1577208486</v>
      </c>
    </row>
    <row r="8393" spans="1:7" x14ac:dyDescent="0.25">
      <c r="A8393">
        <v>1577208491</v>
      </c>
      <c r="B8393" t="s">
        <v>30365</v>
      </c>
      <c r="C8393">
        <v>0</v>
      </c>
      <c r="D8393">
        <v>1</v>
      </c>
      <c r="E8393">
        <v>82</v>
      </c>
      <c r="F8393">
        <v>5962</v>
      </c>
      <c r="G8393">
        <f t="shared" si="131"/>
        <v>1577208491</v>
      </c>
    </row>
    <row r="8394" spans="1:7" x14ac:dyDescent="0.25">
      <c r="A8394">
        <v>1577208504</v>
      </c>
      <c r="B8394" t="s">
        <v>30366</v>
      </c>
      <c r="C8394">
        <v>0</v>
      </c>
      <c r="D8394">
        <v>1</v>
      </c>
      <c r="E8394">
        <v>47</v>
      </c>
      <c r="F8394">
        <v>6212</v>
      </c>
      <c r="G8394">
        <f t="shared" si="131"/>
        <v>1577208504</v>
      </c>
    </row>
    <row r="8395" spans="1:7" x14ac:dyDescent="0.25">
      <c r="A8395">
        <v>1577208507</v>
      </c>
      <c r="B8395" t="s">
        <v>30367</v>
      </c>
      <c r="C8395">
        <v>1920</v>
      </c>
      <c r="D8395">
        <v>1</v>
      </c>
      <c r="E8395">
        <v>394</v>
      </c>
      <c r="F8395">
        <v>4864</v>
      </c>
      <c r="G8395">
        <f t="shared" si="131"/>
        <v>1577208507</v>
      </c>
    </row>
    <row r="8396" spans="1:7" x14ac:dyDescent="0.25">
      <c r="A8396">
        <v>1577208538</v>
      </c>
      <c r="B8396" t="s">
        <v>30368</v>
      </c>
      <c r="C8396">
        <v>2012</v>
      </c>
      <c r="D8396">
        <v>1</v>
      </c>
      <c r="E8396">
        <v>157</v>
      </c>
      <c r="F8396">
        <v>5675</v>
      </c>
      <c r="G8396">
        <f t="shared" si="131"/>
        <v>1577208538</v>
      </c>
    </row>
    <row r="8397" spans="1:7" x14ac:dyDescent="0.25">
      <c r="A8397">
        <v>1577208557</v>
      </c>
      <c r="B8397" t="s">
        <v>30369</v>
      </c>
      <c r="C8397">
        <v>0</v>
      </c>
      <c r="D8397">
        <v>1</v>
      </c>
      <c r="E8397">
        <v>89</v>
      </c>
      <c r="F8397">
        <v>5912</v>
      </c>
      <c r="G8397">
        <f t="shared" si="131"/>
        <v>1577208557</v>
      </c>
    </row>
    <row r="8398" spans="1:7" x14ac:dyDescent="0.25">
      <c r="A8398">
        <v>1577208564</v>
      </c>
      <c r="B8398" t="s">
        <v>30370</v>
      </c>
      <c r="C8398">
        <v>1941</v>
      </c>
      <c r="D8398">
        <v>1</v>
      </c>
      <c r="E8398">
        <v>353</v>
      </c>
      <c r="F8398">
        <v>4973</v>
      </c>
      <c r="G8398">
        <f t="shared" si="131"/>
        <v>1577208564</v>
      </c>
    </row>
    <row r="8399" spans="1:7" x14ac:dyDescent="0.25">
      <c r="A8399">
        <v>1577208566</v>
      </c>
      <c r="B8399" t="s">
        <v>30371</v>
      </c>
      <c r="C8399">
        <v>1941</v>
      </c>
      <c r="D8399">
        <v>1</v>
      </c>
      <c r="E8399">
        <v>424</v>
      </c>
      <c r="F8399">
        <v>4798</v>
      </c>
      <c r="G8399">
        <f t="shared" si="131"/>
        <v>1577208566</v>
      </c>
    </row>
    <row r="8400" spans="1:7" x14ac:dyDescent="0.25">
      <c r="A8400">
        <v>1577208574</v>
      </c>
      <c r="B8400" t="s">
        <v>30372</v>
      </c>
      <c r="C8400">
        <v>1971</v>
      </c>
      <c r="D8400">
        <v>1</v>
      </c>
      <c r="E8400">
        <v>281</v>
      </c>
      <c r="F8400">
        <v>5181</v>
      </c>
      <c r="G8400">
        <f t="shared" si="131"/>
        <v>1577208574</v>
      </c>
    </row>
    <row r="8401" spans="1:7" x14ac:dyDescent="0.25">
      <c r="A8401">
        <v>1577208576</v>
      </c>
      <c r="B8401" t="s">
        <v>30373</v>
      </c>
      <c r="C8401">
        <v>0</v>
      </c>
      <c r="D8401">
        <v>1</v>
      </c>
      <c r="E8401">
        <v>26</v>
      </c>
      <c r="F8401">
        <v>6940</v>
      </c>
      <c r="G8401">
        <f t="shared" si="131"/>
        <v>1577208576</v>
      </c>
    </row>
    <row r="8402" spans="1:7" x14ac:dyDescent="0.25">
      <c r="A8402">
        <v>1577208577</v>
      </c>
      <c r="B8402" t="s">
        <v>30374</v>
      </c>
      <c r="C8402">
        <v>0</v>
      </c>
      <c r="D8402">
        <v>1</v>
      </c>
      <c r="E8402">
        <v>26</v>
      </c>
      <c r="F8402">
        <v>6941</v>
      </c>
      <c r="G8402">
        <f t="shared" si="131"/>
        <v>1577208577</v>
      </c>
    </row>
    <row r="8403" spans="1:7" x14ac:dyDescent="0.25">
      <c r="A8403">
        <v>1577208581</v>
      </c>
      <c r="B8403" t="s">
        <v>30375</v>
      </c>
      <c r="C8403">
        <v>0</v>
      </c>
      <c r="D8403">
        <v>1</v>
      </c>
      <c r="E8403">
        <v>161</v>
      </c>
      <c r="F8403">
        <v>5659</v>
      </c>
      <c r="G8403">
        <f t="shared" si="131"/>
        <v>1577208581</v>
      </c>
    </row>
    <row r="8404" spans="1:7" x14ac:dyDescent="0.25">
      <c r="A8404">
        <v>1577208619</v>
      </c>
      <c r="B8404" t="s">
        <v>37416</v>
      </c>
      <c r="C8404">
        <v>1961</v>
      </c>
      <c r="D8404">
        <v>1</v>
      </c>
      <c r="E8404">
        <v>343</v>
      </c>
      <c r="F8404">
        <v>5002</v>
      </c>
      <c r="G8404">
        <f t="shared" si="131"/>
        <v>1577208619</v>
      </c>
    </row>
    <row r="8405" spans="1:7" x14ac:dyDescent="0.25">
      <c r="A8405">
        <v>1577208622</v>
      </c>
      <c r="B8405" t="s">
        <v>30376</v>
      </c>
      <c r="C8405">
        <v>0</v>
      </c>
      <c r="D8405">
        <v>1</v>
      </c>
      <c r="E8405">
        <v>26</v>
      </c>
      <c r="F8405">
        <v>6942</v>
      </c>
      <c r="G8405">
        <f t="shared" si="131"/>
        <v>1577208622</v>
      </c>
    </row>
    <row r="8406" spans="1:7" x14ac:dyDescent="0.25">
      <c r="A8406">
        <v>1577208626</v>
      </c>
      <c r="B8406" t="s">
        <v>30377</v>
      </c>
      <c r="C8406">
        <v>0</v>
      </c>
      <c r="D8406">
        <v>1</v>
      </c>
      <c r="E8406">
        <v>88</v>
      </c>
      <c r="F8406">
        <v>5918</v>
      </c>
      <c r="G8406">
        <f t="shared" si="131"/>
        <v>1577208626</v>
      </c>
    </row>
    <row r="8407" spans="1:7" x14ac:dyDescent="0.25">
      <c r="A8407">
        <v>1577208652</v>
      </c>
      <c r="B8407" t="s">
        <v>4289</v>
      </c>
      <c r="C8407">
        <v>1914</v>
      </c>
      <c r="D8407">
        <v>1</v>
      </c>
      <c r="E8407">
        <v>451</v>
      </c>
      <c r="F8407">
        <v>4740</v>
      </c>
      <c r="G8407">
        <f t="shared" si="131"/>
        <v>1577208652</v>
      </c>
    </row>
    <row r="8408" spans="1:7" x14ac:dyDescent="0.25">
      <c r="A8408">
        <v>1577208658</v>
      </c>
      <c r="B8408" t="s">
        <v>30378</v>
      </c>
      <c r="C8408">
        <v>1914</v>
      </c>
      <c r="D8408">
        <v>1</v>
      </c>
      <c r="E8408">
        <v>395</v>
      </c>
      <c r="F8408">
        <v>4862</v>
      </c>
      <c r="G8408">
        <f t="shared" si="131"/>
        <v>1577208658</v>
      </c>
    </row>
    <row r="8409" spans="1:7" x14ac:dyDescent="0.25">
      <c r="A8409">
        <v>1577208659</v>
      </c>
      <c r="B8409" t="s">
        <v>30379</v>
      </c>
      <c r="C8409">
        <v>1954</v>
      </c>
      <c r="D8409">
        <v>1</v>
      </c>
      <c r="E8409">
        <v>495</v>
      </c>
      <c r="F8409">
        <v>4654</v>
      </c>
      <c r="G8409">
        <f t="shared" si="131"/>
        <v>1577208659</v>
      </c>
    </row>
    <row r="8410" spans="1:7" x14ac:dyDescent="0.25">
      <c r="A8410">
        <v>1577208663</v>
      </c>
      <c r="B8410" t="s">
        <v>30380</v>
      </c>
      <c r="C8410">
        <v>0</v>
      </c>
      <c r="D8410">
        <v>1</v>
      </c>
      <c r="E8410">
        <v>26</v>
      </c>
      <c r="F8410">
        <v>6943</v>
      </c>
      <c r="G8410">
        <f t="shared" si="131"/>
        <v>1577208663</v>
      </c>
    </row>
    <row r="8411" spans="1:7" x14ac:dyDescent="0.25">
      <c r="A8411">
        <v>1577208671</v>
      </c>
      <c r="B8411" t="s">
        <v>30381</v>
      </c>
      <c r="C8411">
        <v>1971</v>
      </c>
      <c r="D8411">
        <v>1</v>
      </c>
      <c r="E8411">
        <v>386</v>
      </c>
      <c r="F8411">
        <v>4931</v>
      </c>
      <c r="G8411">
        <f t="shared" si="131"/>
        <v>1577208671</v>
      </c>
    </row>
    <row r="8412" spans="1:7" x14ac:dyDescent="0.25">
      <c r="A8412">
        <v>1577208679</v>
      </c>
      <c r="B8412" t="s">
        <v>30382</v>
      </c>
      <c r="C8412">
        <v>1954</v>
      </c>
      <c r="D8412">
        <v>1</v>
      </c>
      <c r="E8412">
        <v>332</v>
      </c>
      <c r="F8412">
        <v>5034</v>
      </c>
      <c r="G8412">
        <f t="shared" si="131"/>
        <v>1577208679</v>
      </c>
    </row>
    <row r="8413" spans="1:7" x14ac:dyDescent="0.25">
      <c r="A8413">
        <v>1577208682</v>
      </c>
      <c r="B8413" t="s">
        <v>30383</v>
      </c>
      <c r="C8413">
        <v>0</v>
      </c>
      <c r="D8413">
        <v>1</v>
      </c>
      <c r="E8413">
        <v>44</v>
      </c>
      <c r="F8413">
        <v>6251</v>
      </c>
      <c r="G8413">
        <f t="shared" si="131"/>
        <v>1577208682</v>
      </c>
    </row>
    <row r="8414" spans="1:7" x14ac:dyDescent="0.25">
      <c r="A8414">
        <v>1577208692</v>
      </c>
      <c r="B8414" t="s">
        <v>30384</v>
      </c>
      <c r="C8414">
        <v>1268</v>
      </c>
      <c r="D8414">
        <v>1</v>
      </c>
      <c r="E8414">
        <v>257</v>
      </c>
      <c r="F8414">
        <v>5364</v>
      </c>
      <c r="G8414">
        <f t="shared" si="131"/>
        <v>1577208692</v>
      </c>
    </row>
    <row r="8415" spans="1:7" x14ac:dyDescent="0.25">
      <c r="A8415">
        <v>1577208694</v>
      </c>
      <c r="B8415" t="s">
        <v>30385</v>
      </c>
      <c r="C8415">
        <v>0</v>
      </c>
      <c r="D8415">
        <v>1</v>
      </c>
      <c r="E8415">
        <v>73</v>
      </c>
      <c r="F8415">
        <v>6046</v>
      </c>
      <c r="G8415">
        <f t="shared" si="131"/>
        <v>1577208694</v>
      </c>
    </row>
    <row r="8416" spans="1:7" x14ac:dyDescent="0.25">
      <c r="A8416">
        <v>1577208701</v>
      </c>
      <c r="B8416" t="s">
        <v>30386</v>
      </c>
      <c r="C8416">
        <v>0</v>
      </c>
      <c r="D8416">
        <v>1</v>
      </c>
      <c r="E8416">
        <v>449</v>
      </c>
      <c r="F8416">
        <v>4746</v>
      </c>
      <c r="G8416">
        <f t="shared" si="131"/>
        <v>1577208701</v>
      </c>
    </row>
    <row r="8417" spans="1:7" x14ac:dyDescent="0.25">
      <c r="A8417">
        <v>1577208722</v>
      </c>
      <c r="B8417" t="s">
        <v>30387</v>
      </c>
      <c r="C8417">
        <v>0</v>
      </c>
      <c r="D8417">
        <v>1</v>
      </c>
      <c r="E8417">
        <v>327</v>
      </c>
      <c r="F8417">
        <v>5048</v>
      </c>
      <c r="G8417">
        <f t="shared" si="131"/>
        <v>1577208722</v>
      </c>
    </row>
    <row r="8418" spans="1:7" x14ac:dyDescent="0.25">
      <c r="A8418">
        <v>1577208732</v>
      </c>
      <c r="B8418" t="s">
        <v>36970</v>
      </c>
      <c r="C8418">
        <v>0</v>
      </c>
      <c r="D8418">
        <v>1</v>
      </c>
      <c r="E8418">
        <v>50</v>
      </c>
      <c r="F8418">
        <v>6191</v>
      </c>
      <c r="G8418">
        <f t="shared" si="131"/>
        <v>1577208732</v>
      </c>
    </row>
    <row r="8419" spans="1:7" x14ac:dyDescent="0.25">
      <c r="A8419">
        <v>1577208745</v>
      </c>
      <c r="B8419" t="s">
        <v>4356</v>
      </c>
      <c r="C8419">
        <v>0</v>
      </c>
      <c r="D8419">
        <v>1</v>
      </c>
      <c r="E8419">
        <v>364</v>
      </c>
      <c r="F8419">
        <v>4945</v>
      </c>
      <c r="G8419">
        <f t="shared" si="131"/>
        <v>1577208745</v>
      </c>
    </row>
    <row r="8420" spans="1:7" x14ac:dyDescent="0.25">
      <c r="A8420">
        <v>1577208746</v>
      </c>
      <c r="B8420" t="s">
        <v>30388</v>
      </c>
      <c r="C8420">
        <v>0</v>
      </c>
      <c r="D8420">
        <v>1</v>
      </c>
      <c r="E8420">
        <v>542</v>
      </c>
      <c r="F8420">
        <v>4565</v>
      </c>
      <c r="G8420">
        <f t="shared" si="131"/>
        <v>1577208746</v>
      </c>
    </row>
    <row r="8421" spans="1:7" x14ac:dyDescent="0.25">
      <c r="A8421">
        <v>1577208776</v>
      </c>
      <c r="B8421" t="s">
        <v>30389</v>
      </c>
      <c r="C8421">
        <v>0</v>
      </c>
      <c r="D8421">
        <v>1</v>
      </c>
      <c r="E8421">
        <v>26</v>
      </c>
      <c r="F8421">
        <v>6944</v>
      </c>
      <c r="G8421">
        <f t="shared" si="131"/>
        <v>1577208776</v>
      </c>
    </row>
    <row r="8422" spans="1:7" x14ac:dyDescent="0.25">
      <c r="A8422">
        <v>1577208791</v>
      </c>
      <c r="B8422" t="s">
        <v>4382</v>
      </c>
      <c r="C8422">
        <v>1941</v>
      </c>
      <c r="D8422">
        <v>1</v>
      </c>
      <c r="E8422">
        <v>314</v>
      </c>
      <c r="F8422">
        <v>5088</v>
      </c>
      <c r="G8422">
        <f t="shared" si="131"/>
        <v>1577208791</v>
      </c>
    </row>
    <row r="8423" spans="1:7" x14ac:dyDescent="0.25">
      <c r="A8423">
        <v>1577208804</v>
      </c>
      <c r="B8423" t="s">
        <v>30390</v>
      </c>
      <c r="C8423">
        <v>0</v>
      </c>
      <c r="D8423">
        <v>1</v>
      </c>
      <c r="E8423">
        <v>361</v>
      </c>
      <c r="F8423">
        <v>4974</v>
      </c>
      <c r="G8423">
        <f t="shared" si="131"/>
        <v>1577208804</v>
      </c>
    </row>
    <row r="8424" spans="1:7" x14ac:dyDescent="0.25">
      <c r="A8424">
        <v>1577208809</v>
      </c>
      <c r="B8424" t="s">
        <v>30391</v>
      </c>
      <c r="C8424">
        <v>0</v>
      </c>
      <c r="D8424">
        <v>1</v>
      </c>
      <c r="E8424">
        <v>26</v>
      </c>
      <c r="F8424">
        <v>6945</v>
      </c>
      <c r="G8424">
        <f t="shared" si="131"/>
        <v>1577208809</v>
      </c>
    </row>
    <row r="8425" spans="1:7" x14ac:dyDescent="0.25">
      <c r="A8425">
        <v>1577208832</v>
      </c>
      <c r="B8425" t="s">
        <v>30392</v>
      </c>
      <c r="C8425">
        <v>0</v>
      </c>
      <c r="D8425">
        <v>1</v>
      </c>
      <c r="E8425">
        <v>216</v>
      </c>
      <c r="F8425">
        <v>5447</v>
      </c>
      <c r="G8425">
        <f t="shared" si="131"/>
        <v>1577208832</v>
      </c>
    </row>
    <row r="8426" spans="1:7" x14ac:dyDescent="0.25">
      <c r="A8426">
        <v>1577208851</v>
      </c>
      <c r="B8426" t="s">
        <v>30393</v>
      </c>
      <c r="C8426">
        <v>0</v>
      </c>
      <c r="D8426">
        <v>1</v>
      </c>
      <c r="E8426">
        <v>407</v>
      </c>
      <c r="F8426">
        <v>4835</v>
      </c>
      <c r="G8426">
        <f t="shared" si="131"/>
        <v>1577208851</v>
      </c>
    </row>
    <row r="8427" spans="1:7" x14ac:dyDescent="0.25">
      <c r="A8427">
        <v>1577208855</v>
      </c>
      <c r="B8427" t="s">
        <v>30394</v>
      </c>
      <c r="C8427">
        <v>0</v>
      </c>
      <c r="D8427">
        <v>1</v>
      </c>
      <c r="E8427">
        <v>53</v>
      </c>
      <c r="F8427">
        <v>6148</v>
      </c>
      <c r="G8427">
        <f t="shared" si="131"/>
        <v>1577208855</v>
      </c>
    </row>
    <row r="8428" spans="1:7" x14ac:dyDescent="0.25">
      <c r="A8428">
        <v>1577208889</v>
      </c>
      <c r="B8428" t="s">
        <v>30395</v>
      </c>
      <c r="C8428">
        <v>1965</v>
      </c>
      <c r="D8428">
        <v>1</v>
      </c>
      <c r="E8428">
        <v>507</v>
      </c>
      <c r="F8428">
        <v>4615</v>
      </c>
      <c r="G8428">
        <f t="shared" si="131"/>
        <v>1577208889</v>
      </c>
    </row>
    <row r="8429" spans="1:7" x14ac:dyDescent="0.25">
      <c r="A8429">
        <v>1577208914</v>
      </c>
      <c r="B8429" t="s">
        <v>30396</v>
      </c>
      <c r="C8429">
        <v>1965</v>
      </c>
      <c r="D8429">
        <v>1</v>
      </c>
      <c r="E8429">
        <v>213</v>
      </c>
      <c r="F8429">
        <v>5455</v>
      </c>
      <c r="G8429">
        <f t="shared" si="131"/>
        <v>1577208914</v>
      </c>
    </row>
    <row r="8430" spans="1:7" x14ac:dyDescent="0.25">
      <c r="A8430">
        <v>1577208935</v>
      </c>
      <c r="B8430" t="s">
        <v>30397</v>
      </c>
      <c r="C8430">
        <v>0</v>
      </c>
      <c r="D8430">
        <v>1</v>
      </c>
      <c r="E8430">
        <v>249</v>
      </c>
      <c r="F8430">
        <v>5318</v>
      </c>
      <c r="G8430">
        <f t="shared" si="131"/>
        <v>1577208935</v>
      </c>
    </row>
    <row r="8431" spans="1:7" x14ac:dyDescent="0.25">
      <c r="A8431">
        <v>1577208939</v>
      </c>
      <c r="B8431" t="s">
        <v>30398</v>
      </c>
      <c r="C8431">
        <v>0</v>
      </c>
      <c r="D8431">
        <v>1</v>
      </c>
      <c r="E8431">
        <v>73</v>
      </c>
      <c r="F8431">
        <v>6047</v>
      </c>
      <c r="G8431">
        <f t="shared" si="131"/>
        <v>1577208939</v>
      </c>
    </row>
    <row r="8432" spans="1:7" x14ac:dyDescent="0.25">
      <c r="A8432">
        <v>1577208947</v>
      </c>
      <c r="B8432" t="s">
        <v>30399</v>
      </c>
      <c r="C8432">
        <v>1965</v>
      </c>
      <c r="D8432">
        <v>1</v>
      </c>
      <c r="E8432">
        <v>375</v>
      </c>
      <c r="F8432">
        <v>4916</v>
      </c>
      <c r="G8432">
        <f t="shared" si="131"/>
        <v>1577208947</v>
      </c>
    </row>
    <row r="8433" spans="1:7" x14ac:dyDescent="0.25">
      <c r="A8433">
        <v>1577208973</v>
      </c>
      <c r="B8433" t="s">
        <v>4485</v>
      </c>
      <c r="C8433">
        <v>1941</v>
      </c>
      <c r="D8433">
        <v>1</v>
      </c>
      <c r="E8433">
        <v>152</v>
      </c>
      <c r="F8433">
        <v>5705</v>
      </c>
      <c r="G8433">
        <f t="shared" si="131"/>
        <v>1577208973</v>
      </c>
    </row>
    <row r="8434" spans="1:7" x14ac:dyDescent="0.25">
      <c r="A8434">
        <v>1577208974</v>
      </c>
      <c r="B8434" t="s">
        <v>30400</v>
      </c>
      <c r="C8434">
        <v>1941</v>
      </c>
      <c r="D8434">
        <v>1</v>
      </c>
      <c r="E8434">
        <v>245</v>
      </c>
      <c r="F8434">
        <v>5329</v>
      </c>
      <c r="G8434">
        <f t="shared" si="131"/>
        <v>1577208974</v>
      </c>
    </row>
    <row r="8435" spans="1:7" x14ac:dyDescent="0.25">
      <c r="A8435">
        <v>1577208987</v>
      </c>
      <c r="B8435" t="s">
        <v>30401</v>
      </c>
      <c r="C8435">
        <v>1965</v>
      </c>
      <c r="D8435">
        <v>1</v>
      </c>
      <c r="E8435">
        <v>302</v>
      </c>
      <c r="F8435">
        <v>5116</v>
      </c>
      <c r="G8435">
        <f t="shared" si="131"/>
        <v>1577208987</v>
      </c>
    </row>
    <row r="8436" spans="1:7" x14ac:dyDescent="0.25">
      <c r="A8436">
        <v>1577208988</v>
      </c>
      <c r="B8436" t="s">
        <v>30402</v>
      </c>
      <c r="C8436">
        <v>0</v>
      </c>
      <c r="D8436">
        <v>1</v>
      </c>
      <c r="E8436">
        <v>26</v>
      </c>
      <c r="F8436">
        <v>6946</v>
      </c>
      <c r="G8436">
        <f t="shared" si="131"/>
        <v>1577208988</v>
      </c>
    </row>
    <row r="8437" spans="1:7" x14ac:dyDescent="0.25">
      <c r="A8437">
        <v>1577208989</v>
      </c>
      <c r="B8437" t="s">
        <v>30403</v>
      </c>
      <c r="C8437">
        <v>0</v>
      </c>
      <c r="D8437">
        <v>1</v>
      </c>
      <c r="E8437">
        <v>249</v>
      </c>
      <c r="F8437">
        <v>5311</v>
      </c>
      <c r="G8437">
        <f t="shared" si="131"/>
        <v>1577208989</v>
      </c>
    </row>
    <row r="8438" spans="1:7" x14ac:dyDescent="0.25">
      <c r="A8438">
        <v>1577209032</v>
      </c>
      <c r="B8438" t="s">
        <v>30404</v>
      </c>
      <c r="C8438">
        <v>0</v>
      </c>
      <c r="D8438">
        <v>1</v>
      </c>
      <c r="E8438">
        <v>151</v>
      </c>
      <c r="F8438">
        <v>5698</v>
      </c>
      <c r="G8438">
        <f t="shared" si="131"/>
        <v>1577209032</v>
      </c>
    </row>
    <row r="8439" spans="1:7" x14ac:dyDescent="0.25">
      <c r="A8439">
        <v>1577209038</v>
      </c>
      <c r="B8439" t="s">
        <v>30405</v>
      </c>
      <c r="C8439">
        <v>1971</v>
      </c>
      <c r="D8439">
        <v>1</v>
      </c>
      <c r="E8439">
        <v>441</v>
      </c>
      <c r="F8439">
        <v>4782</v>
      </c>
      <c r="G8439">
        <f t="shared" si="131"/>
        <v>1577209038</v>
      </c>
    </row>
    <row r="8440" spans="1:7" x14ac:dyDescent="0.25">
      <c r="A8440">
        <v>1577209055</v>
      </c>
      <c r="B8440" t="s">
        <v>30406</v>
      </c>
      <c r="C8440">
        <v>0</v>
      </c>
      <c r="D8440">
        <v>1</v>
      </c>
      <c r="E8440">
        <v>26</v>
      </c>
      <c r="F8440">
        <v>6947</v>
      </c>
      <c r="G8440">
        <f t="shared" si="131"/>
        <v>1577209055</v>
      </c>
    </row>
    <row r="8441" spans="1:7" x14ac:dyDescent="0.25">
      <c r="A8441">
        <v>1577209078</v>
      </c>
      <c r="B8441" t="s">
        <v>30407</v>
      </c>
      <c r="C8441">
        <v>0</v>
      </c>
      <c r="D8441">
        <v>1</v>
      </c>
      <c r="E8441">
        <v>204</v>
      </c>
      <c r="F8441">
        <v>5478</v>
      </c>
      <c r="G8441">
        <f t="shared" si="131"/>
        <v>1577209078</v>
      </c>
    </row>
    <row r="8442" spans="1:7" x14ac:dyDescent="0.25">
      <c r="A8442">
        <v>1577209095</v>
      </c>
      <c r="B8442" t="s">
        <v>30408</v>
      </c>
      <c r="C8442">
        <v>1622</v>
      </c>
      <c r="D8442">
        <v>1</v>
      </c>
      <c r="E8442">
        <v>422</v>
      </c>
      <c r="F8442">
        <v>4803</v>
      </c>
      <c r="G8442">
        <f t="shared" si="131"/>
        <v>1577209095</v>
      </c>
    </row>
    <row r="8443" spans="1:7" x14ac:dyDescent="0.25">
      <c r="A8443">
        <v>1577209100</v>
      </c>
      <c r="B8443" t="s">
        <v>37386</v>
      </c>
      <c r="C8443">
        <v>1916</v>
      </c>
      <c r="D8443">
        <v>1</v>
      </c>
      <c r="E8443">
        <v>331</v>
      </c>
      <c r="F8443">
        <v>5042</v>
      </c>
      <c r="G8443">
        <f t="shared" si="131"/>
        <v>1577209100</v>
      </c>
    </row>
    <row r="8444" spans="1:7" x14ac:dyDescent="0.25">
      <c r="A8444">
        <v>1577209112</v>
      </c>
      <c r="B8444" t="s">
        <v>30409</v>
      </c>
      <c r="C8444">
        <v>0</v>
      </c>
      <c r="D8444">
        <v>1</v>
      </c>
      <c r="E8444">
        <v>324</v>
      </c>
      <c r="F8444">
        <v>5081</v>
      </c>
      <c r="G8444">
        <f t="shared" si="131"/>
        <v>1577209112</v>
      </c>
    </row>
    <row r="8445" spans="1:7" x14ac:dyDescent="0.25">
      <c r="A8445">
        <v>1577209126</v>
      </c>
      <c r="B8445" t="s">
        <v>30410</v>
      </c>
      <c r="C8445">
        <v>0</v>
      </c>
      <c r="D8445">
        <v>1</v>
      </c>
      <c r="E8445">
        <v>360</v>
      </c>
      <c r="F8445">
        <v>4997</v>
      </c>
      <c r="G8445">
        <f t="shared" si="131"/>
        <v>1577209126</v>
      </c>
    </row>
    <row r="8446" spans="1:7" x14ac:dyDescent="0.25">
      <c r="A8446">
        <v>1577209142</v>
      </c>
      <c r="B8446" t="s">
        <v>4615</v>
      </c>
      <c r="C8446">
        <v>0</v>
      </c>
      <c r="D8446">
        <v>1</v>
      </c>
      <c r="E8446">
        <v>194</v>
      </c>
      <c r="F8446">
        <v>5526</v>
      </c>
      <c r="G8446">
        <f t="shared" si="131"/>
        <v>1577209142</v>
      </c>
    </row>
    <row r="8447" spans="1:7" x14ac:dyDescent="0.25">
      <c r="A8447">
        <v>1577209145</v>
      </c>
      <c r="B8447" t="s">
        <v>30411</v>
      </c>
      <c r="C8447">
        <v>0</v>
      </c>
      <c r="D8447">
        <v>1</v>
      </c>
      <c r="E8447">
        <v>311</v>
      </c>
      <c r="F8447">
        <v>5103</v>
      </c>
      <c r="G8447">
        <f t="shared" si="131"/>
        <v>1577209145</v>
      </c>
    </row>
    <row r="8448" spans="1:7" x14ac:dyDescent="0.25">
      <c r="A8448">
        <v>1577209159</v>
      </c>
      <c r="B8448" t="s">
        <v>30412</v>
      </c>
      <c r="C8448">
        <v>0</v>
      </c>
      <c r="D8448">
        <v>1</v>
      </c>
      <c r="E8448">
        <v>362</v>
      </c>
      <c r="F8448">
        <v>4951</v>
      </c>
      <c r="G8448">
        <f t="shared" si="131"/>
        <v>1577209159</v>
      </c>
    </row>
    <row r="8449" spans="1:7" x14ac:dyDescent="0.25">
      <c r="A8449">
        <v>1577209172</v>
      </c>
      <c r="B8449" t="s">
        <v>30413</v>
      </c>
      <c r="C8449">
        <v>0</v>
      </c>
      <c r="D8449">
        <v>1</v>
      </c>
      <c r="E8449">
        <v>335</v>
      </c>
      <c r="F8449">
        <v>5038</v>
      </c>
      <c r="G8449">
        <f t="shared" ref="G8449:G8490" si="132">A8449</f>
        <v>1577209172</v>
      </c>
    </row>
    <row r="8450" spans="1:7" x14ac:dyDescent="0.25">
      <c r="A8450">
        <v>1577209173</v>
      </c>
      <c r="B8450" t="s">
        <v>30414</v>
      </c>
      <c r="C8450">
        <v>0</v>
      </c>
      <c r="D8450">
        <v>1</v>
      </c>
      <c r="E8450">
        <v>310</v>
      </c>
      <c r="F8450">
        <v>5101</v>
      </c>
      <c r="G8450">
        <f t="shared" si="132"/>
        <v>1577209173</v>
      </c>
    </row>
    <row r="8451" spans="1:7" x14ac:dyDescent="0.25">
      <c r="A8451">
        <v>1577209211</v>
      </c>
      <c r="B8451" t="s">
        <v>30415</v>
      </c>
      <c r="C8451">
        <v>0</v>
      </c>
      <c r="D8451">
        <v>1</v>
      </c>
      <c r="E8451">
        <v>26</v>
      </c>
      <c r="F8451">
        <v>6948</v>
      </c>
      <c r="G8451">
        <f t="shared" si="132"/>
        <v>1577209211</v>
      </c>
    </row>
    <row r="8452" spans="1:7" x14ac:dyDescent="0.25">
      <c r="A8452">
        <v>1577209229</v>
      </c>
      <c r="B8452" t="s">
        <v>30416</v>
      </c>
      <c r="C8452">
        <v>0</v>
      </c>
      <c r="D8452">
        <v>1</v>
      </c>
      <c r="E8452">
        <v>110</v>
      </c>
      <c r="F8452">
        <v>5812</v>
      </c>
      <c r="G8452">
        <f t="shared" si="132"/>
        <v>1577209229</v>
      </c>
    </row>
    <row r="8453" spans="1:7" x14ac:dyDescent="0.25">
      <c r="A8453">
        <v>1577209230</v>
      </c>
      <c r="B8453" t="s">
        <v>4680</v>
      </c>
      <c r="C8453">
        <v>0</v>
      </c>
      <c r="D8453">
        <v>1</v>
      </c>
      <c r="E8453">
        <v>209</v>
      </c>
      <c r="F8453">
        <v>5468</v>
      </c>
      <c r="G8453">
        <f t="shared" si="132"/>
        <v>1577209230</v>
      </c>
    </row>
    <row r="8454" spans="1:7" x14ac:dyDescent="0.25">
      <c r="A8454">
        <v>1577209246</v>
      </c>
      <c r="B8454" t="s">
        <v>30417</v>
      </c>
      <c r="C8454">
        <v>0</v>
      </c>
      <c r="D8454">
        <v>1</v>
      </c>
      <c r="E8454">
        <v>257</v>
      </c>
      <c r="F8454">
        <v>5273</v>
      </c>
      <c r="G8454">
        <f t="shared" si="132"/>
        <v>1577209246</v>
      </c>
    </row>
    <row r="8455" spans="1:7" x14ac:dyDescent="0.25">
      <c r="A8455">
        <v>1577209259</v>
      </c>
      <c r="B8455" t="s">
        <v>30418</v>
      </c>
      <c r="C8455">
        <v>1990</v>
      </c>
      <c r="D8455">
        <v>1</v>
      </c>
      <c r="E8455">
        <v>57</v>
      </c>
      <c r="F8455">
        <v>6119</v>
      </c>
      <c r="G8455">
        <f t="shared" si="132"/>
        <v>1577209259</v>
      </c>
    </row>
    <row r="8456" spans="1:7" x14ac:dyDescent="0.25">
      <c r="A8456">
        <v>1577209262</v>
      </c>
      <c r="B8456" t="s">
        <v>30419</v>
      </c>
      <c r="C8456">
        <v>1990</v>
      </c>
      <c r="D8456">
        <v>1</v>
      </c>
      <c r="E8456">
        <v>204</v>
      </c>
      <c r="F8456">
        <v>5498</v>
      </c>
      <c r="G8456">
        <f t="shared" si="132"/>
        <v>1577209262</v>
      </c>
    </row>
    <row r="8457" spans="1:7" x14ac:dyDescent="0.25">
      <c r="A8457">
        <v>1577209263</v>
      </c>
      <c r="B8457" t="s">
        <v>30420</v>
      </c>
      <c r="C8457">
        <v>0</v>
      </c>
      <c r="D8457">
        <v>1</v>
      </c>
      <c r="E8457">
        <v>46</v>
      </c>
      <c r="F8457">
        <v>6226</v>
      </c>
      <c r="G8457">
        <f t="shared" si="132"/>
        <v>1577209263</v>
      </c>
    </row>
    <row r="8458" spans="1:7" x14ac:dyDescent="0.25">
      <c r="A8458">
        <v>1577209278</v>
      </c>
      <c r="B8458" t="s">
        <v>30421</v>
      </c>
      <c r="C8458">
        <v>0</v>
      </c>
      <c r="D8458">
        <v>1</v>
      </c>
      <c r="E8458">
        <v>45</v>
      </c>
      <c r="F8458">
        <v>6235</v>
      </c>
      <c r="G8458">
        <f t="shared" si="132"/>
        <v>1577209278</v>
      </c>
    </row>
    <row r="8459" spans="1:7" x14ac:dyDescent="0.25">
      <c r="A8459">
        <v>1577209290</v>
      </c>
      <c r="B8459" t="s">
        <v>30422</v>
      </c>
      <c r="C8459">
        <v>0</v>
      </c>
      <c r="D8459">
        <v>1</v>
      </c>
      <c r="E8459">
        <v>86</v>
      </c>
      <c r="F8459">
        <v>5934</v>
      </c>
      <c r="G8459">
        <f t="shared" si="132"/>
        <v>1577209290</v>
      </c>
    </row>
    <row r="8460" spans="1:7" x14ac:dyDescent="0.25">
      <c r="A8460">
        <v>1577209291</v>
      </c>
      <c r="B8460" t="s">
        <v>30423</v>
      </c>
      <c r="C8460">
        <v>0</v>
      </c>
      <c r="D8460">
        <v>1</v>
      </c>
      <c r="E8460">
        <v>183</v>
      </c>
      <c r="F8460">
        <v>5593</v>
      </c>
      <c r="G8460">
        <f t="shared" si="132"/>
        <v>1577209291</v>
      </c>
    </row>
    <row r="8461" spans="1:7" x14ac:dyDescent="0.25">
      <c r="A8461">
        <v>1577209296</v>
      </c>
      <c r="B8461" t="s">
        <v>30424</v>
      </c>
      <c r="C8461">
        <v>0</v>
      </c>
      <c r="D8461">
        <v>1</v>
      </c>
      <c r="E8461">
        <v>26</v>
      </c>
      <c r="F8461">
        <v>6949</v>
      </c>
      <c r="G8461">
        <f t="shared" si="132"/>
        <v>1577209296</v>
      </c>
    </row>
    <row r="8462" spans="1:7" x14ac:dyDescent="0.25">
      <c r="A8462">
        <v>1577209304</v>
      </c>
      <c r="B8462" t="s">
        <v>37443</v>
      </c>
      <c r="C8462">
        <v>0</v>
      </c>
      <c r="D8462">
        <v>1</v>
      </c>
      <c r="E8462">
        <v>26</v>
      </c>
      <c r="F8462">
        <v>6950</v>
      </c>
      <c r="G8462">
        <f t="shared" si="132"/>
        <v>1577209304</v>
      </c>
    </row>
    <row r="8463" spans="1:7" x14ac:dyDescent="0.25">
      <c r="A8463">
        <v>1577209306</v>
      </c>
      <c r="B8463" t="s">
        <v>30425</v>
      </c>
      <c r="C8463">
        <v>1999</v>
      </c>
      <c r="D8463">
        <v>1</v>
      </c>
      <c r="E8463">
        <v>231</v>
      </c>
      <c r="F8463">
        <v>5428</v>
      </c>
      <c r="G8463">
        <f t="shared" si="132"/>
        <v>1577209306</v>
      </c>
    </row>
    <row r="8464" spans="1:7" x14ac:dyDescent="0.25">
      <c r="A8464">
        <v>1577209325</v>
      </c>
      <c r="B8464" t="s">
        <v>36971</v>
      </c>
      <c r="C8464">
        <v>1622</v>
      </c>
      <c r="D8464">
        <v>1</v>
      </c>
      <c r="E8464">
        <v>135</v>
      </c>
      <c r="F8464">
        <v>5753</v>
      </c>
      <c r="G8464">
        <f t="shared" si="132"/>
        <v>1577209325</v>
      </c>
    </row>
    <row r="8465" spans="1:7" x14ac:dyDescent="0.25">
      <c r="A8465">
        <v>1577209338</v>
      </c>
      <c r="B8465" t="s">
        <v>4751</v>
      </c>
      <c r="C8465">
        <v>0</v>
      </c>
      <c r="D8465">
        <v>1</v>
      </c>
      <c r="E8465">
        <v>230</v>
      </c>
      <c r="F8465">
        <v>5388</v>
      </c>
      <c r="G8465">
        <f t="shared" si="132"/>
        <v>1577209338</v>
      </c>
    </row>
    <row r="8466" spans="1:7" x14ac:dyDescent="0.25">
      <c r="A8466">
        <v>1577209342</v>
      </c>
      <c r="B8466" t="s">
        <v>30426</v>
      </c>
      <c r="C8466">
        <v>0</v>
      </c>
      <c r="D8466">
        <v>1</v>
      </c>
      <c r="E8466">
        <v>264</v>
      </c>
      <c r="F8466">
        <v>5268</v>
      </c>
      <c r="G8466">
        <f t="shared" si="132"/>
        <v>1577209342</v>
      </c>
    </row>
    <row r="8467" spans="1:7" x14ac:dyDescent="0.25">
      <c r="A8467">
        <v>1577209351</v>
      </c>
      <c r="B8467" t="s">
        <v>30427</v>
      </c>
      <c r="C8467">
        <v>1998</v>
      </c>
      <c r="D8467">
        <v>1</v>
      </c>
      <c r="E8467">
        <v>222</v>
      </c>
      <c r="F8467">
        <v>5438</v>
      </c>
      <c r="G8467">
        <f t="shared" si="132"/>
        <v>1577209351</v>
      </c>
    </row>
    <row r="8468" spans="1:7" x14ac:dyDescent="0.25">
      <c r="A8468">
        <v>1577209358</v>
      </c>
      <c r="B8468" t="s">
        <v>36972</v>
      </c>
      <c r="C8468">
        <v>0</v>
      </c>
      <c r="D8468">
        <v>1</v>
      </c>
      <c r="E8468">
        <v>52</v>
      </c>
      <c r="F8468">
        <v>6155</v>
      </c>
      <c r="G8468">
        <f t="shared" si="132"/>
        <v>1577209358</v>
      </c>
    </row>
    <row r="8469" spans="1:7" x14ac:dyDescent="0.25">
      <c r="A8469">
        <v>1577209381</v>
      </c>
      <c r="B8469" t="s">
        <v>30428</v>
      </c>
      <c r="C8469">
        <v>0</v>
      </c>
      <c r="D8469">
        <v>1</v>
      </c>
      <c r="E8469">
        <v>189</v>
      </c>
      <c r="F8469">
        <v>5548</v>
      </c>
      <c r="G8469">
        <f t="shared" si="132"/>
        <v>1577209381</v>
      </c>
    </row>
    <row r="8470" spans="1:7" x14ac:dyDescent="0.25">
      <c r="A8470">
        <v>1577209400</v>
      </c>
      <c r="B8470" t="s">
        <v>30429</v>
      </c>
      <c r="C8470">
        <v>0</v>
      </c>
      <c r="D8470">
        <v>1</v>
      </c>
      <c r="E8470">
        <v>141</v>
      </c>
      <c r="F8470">
        <v>5728</v>
      </c>
      <c r="G8470">
        <f t="shared" si="132"/>
        <v>1577209400</v>
      </c>
    </row>
    <row r="8471" spans="1:7" x14ac:dyDescent="0.25">
      <c r="A8471">
        <v>1577209417</v>
      </c>
      <c r="B8471" t="s">
        <v>30430</v>
      </c>
      <c r="C8471">
        <v>0</v>
      </c>
      <c r="D8471">
        <v>1</v>
      </c>
      <c r="E8471">
        <v>26</v>
      </c>
      <c r="F8471">
        <v>6951</v>
      </c>
      <c r="G8471">
        <f t="shared" si="132"/>
        <v>1577209417</v>
      </c>
    </row>
    <row r="8472" spans="1:7" x14ac:dyDescent="0.25">
      <c r="A8472">
        <v>1577209452</v>
      </c>
      <c r="B8472" t="s">
        <v>36973</v>
      </c>
      <c r="C8472">
        <v>0</v>
      </c>
      <c r="D8472">
        <v>1</v>
      </c>
      <c r="E8472">
        <v>139</v>
      </c>
      <c r="F8472">
        <v>5734</v>
      </c>
      <c r="G8472">
        <f t="shared" si="132"/>
        <v>1577209452</v>
      </c>
    </row>
    <row r="8473" spans="1:7" x14ac:dyDescent="0.25">
      <c r="A8473">
        <v>1577209457</v>
      </c>
      <c r="B8473" t="s">
        <v>30431</v>
      </c>
      <c r="C8473">
        <v>0</v>
      </c>
      <c r="D8473">
        <v>1</v>
      </c>
      <c r="E8473">
        <v>77</v>
      </c>
      <c r="F8473">
        <v>5999</v>
      </c>
      <c r="G8473">
        <f t="shared" si="132"/>
        <v>1577209457</v>
      </c>
    </row>
    <row r="8474" spans="1:7" x14ac:dyDescent="0.25">
      <c r="A8474">
        <v>1577209463</v>
      </c>
      <c r="B8474" t="s">
        <v>30432</v>
      </c>
      <c r="C8474">
        <v>0</v>
      </c>
      <c r="D8474">
        <v>1</v>
      </c>
      <c r="E8474">
        <v>95</v>
      </c>
      <c r="F8474">
        <v>5878</v>
      </c>
      <c r="G8474">
        <f t="shared" si="132"/>
        <v>1577209463</v>
      </c>
    </row>
    <row r="8475" spans="1:7" x14ac:dyDescent="0.25">
      <c r="A8475">
        <v>1577209483</v>
      </c>
      <c r="B8475" t="s">
        <v>30433</v>
      </c>
      <c r="C8475">
        <v>0</v>
      </c>
      <c r="D8475">
        <v>1</v>
      </c>
      <c r="E8475">
        <v>158</v>
      </c>
      <c r="F8475">
        <v>5668</v>
      </c>
      <c r="G8475">
        <f t="shared" si="132"/>
        <v>1577209483</v>
      </c>
    </row>
    <row r="8476" spans="1:7" x14ac:dyDescent="0.25">
      <c r="A8476">
        <v>1577209514</v>
      </c>
      <c r="B8476" t="s">
        <v>30434</v>
      </c>
      <c r="C8476">
        <v>0</v>
      </c>
      <c r="D8476">
        <v>1</v>
      </c>
      <c r="E8476">
        <v>26</v>
      </c>
      <c r="F8476">
        <v>6952</v>
      </c>
      <c r="G8476">
        <f t="shared" si="132"/>
        <v>1577209514</v>
      </c>
    </row>
    <row r="8477" spans="1:7" x14ac:dyDescent="0.25">
      <c r="A8477">
        <v>1577209519</v>
      </c>
      <c r="B8477" t="s">
        <v>30498</v>
      </c>
      <c r="C8477">
        <v>0</v>
      </c>
      <c r="D8477">
        <v>1</v>
      </c>
      <c r="E8477">
        <v>77</v>
      </c>
      <c r="F8477">
        <v>6000</v>
      </c>
      <c r="G8477">
        <f t="shared" si="132"/>
        <v>1577209519</v>
      </c>
    </row>
    <row r="8478" spans="1:7" x14ac:dyDescent="0.25">
      <c r="A8478">
        <v>1577209520</v>
      </c>
      <c r="B8478" t="s">
        <v>37444</v>
      </c>
      <c r="C8478">
        <v>0</v>
      </c>
      <c r="D8478">
        <v>1</v>
      </c>
      <c r="E8478">
        <v>123</v>
      </c>
      <c r="F8478">
        <v>5780</v>
      </c>
      <c r="G8478">
        <f t="shared" si="132"/>
        <v>1577209520</v>
      </c>
    </row>
    <row r="8479" spans="1:7" x14ac:dyDescent="0.25">
      <c r="A8479">
        <v>1577209529</v>
      </c>
      <c r="B8479" t="s">
        <v>36974</v>
      </c>
      <c r="C8479">
        <v>0</v>
      </c>
      <c r="D8479">
        <v>1</v>
      </c>
      <c r="E8479">
        <v>46</v>
      </c>
      <c r="F8479">
        <v>6227</v>
      </c>
      <c r="G8479">
        <f t="shared" si="132"/>
        <v>1577209529</v>
      </c>
    </row>
    <row r="8480" spans="1:7" x14ac:dyDescent="0.25">
      <c r="A8480">
        <v>1577209543</v>
      </c>
      <c r="B8480" t="s">
        <v>30435</v>
      </c>
      <c r="C8480">
        <v>0</v>
      </c>
      <c r="D8480">
        <v>1</v>
      </c>
      <c r="E8480">
        <v>200</v>
      </c>
      <c r="F8480">
        <v>5514</v>
      </c>
      <c r="G8480">
        <f t="shared" si="132"/>
        <v>1577209543</v>
      </c>
    </row>
    <row r="8481" spans="1:7" x14ac:dyDescent="0.25">
      <c r="A8481">
        <v>1577209563</v>
      </c>
      <c r="B8481" t="s">
        <v>30436</v>
      </c>
      <c r="C8481">
        <v>0</v>
      </c>
      <c r="D8481">
        <v>1</v>
      </c>
      <c r="E8481">
        <v>156</v>
      </c>
      <c r="F8481">
        <v>5682</v>
      </c>
      <c r="G8481">
        <f t="shared" si="132"/>
        <v>1577209563</v>
      </c>
    </row>
    <row r="8482" spans="1:7" x14ac:dyDescent="0.25">
      <c r="A8482">
        <v>1577209569</v>
      </c>
      <c r="B8482" t="s">
        <v>36975</v>
      </c>
      <c r="C8482">
        <v>0</v>
      </c>
      <c r="D8482">
        <v>1</v>
      </c>
      <c r="E8482">
        <v>69</v>
      </c>
      <c r="F8482">
        <v>6073</v>
      </c>
      <c r="G8482">
        <f t="shared" si="132"/>
        <v>1577209569</v>
      </c>
    </row>
    <row r="8483" spans="1:7" x14ac:dyDescent="0.25">
      <c r="A8483">
        <v>1577209586</v>
      </c>
      <c r="B8483" t="s">
        <v>36976</v>
      </c>
      <c r="C8483">
        <v>0</v>
      </c>
      <c r="D8483">
        <v>1</v>
      </c>
      <c r="E8483">
        <v>93</v>
      </c>
      <c r="F8483">
        <v>5890</v>
      </c>
      <c r="G8483">
        <f t="shared" si="132"/>
        <v>1577209586</v>
      </c>
    </row>
    <row r="8484" spans="1:7" x14ac:dyDescent="0.25">
      <c r="A8484">
        <v>1577209597</v>
      </c>
      <c r="B8484" t="s">
        <v>30437</v>
      </c>
      <c r="C8484">
        <v>0</v>
      </c>
      <c r="D8484">
        <v>1</v>
      </c>
      <c r="E8484">
        <v>28</v>
      </c>
      <c r="F8484">
        <v>6334</v>
      </c>
      <c r="G8484">
        <f t="shared" si="132"/>
        <v>1577209597</v>
      </c>
    </row>
    <row r="8485" spans="1:7" x14ac:dyDescent="0.25">
      <c r="A8485">
        <v>1577209637</v>
      </c>
      <c r="B8485" t="s">
        <v>36977</v>
      </c>
      <c r="C8485">
        <v>0</v>
      </c>
      <c r="D8485">
        <v>1</v>
      </c>
      <c r="E8485">
        <v>80</v>
      </c>
      <c r="F8485">
        <v>5975</v>
      </c>
      <c r="G8485">
        <f t="shared" si="132"/>
        <v>1577209637</v>
      </c>
    </row>
    <row r="8486" spans="1:7" x14ac:dyDescent="0.25">
      <c r="A8486">
        <v>1577209642</v>
      </c>
      <c r="B8486" t="s">
        <v>30499</v>
      </c>
      <c r="C8486">
        <v>1867</v>
      </c>
      <c r="D8486">
        <v>1</v>
      </c>
      <c r="E8486">
        <v>146</v>
      </c>
      <c r="F8486">
        <v>5744</v>
      </c>
      <c r="G8486">
        <f t="shared" si="132"/>
        <v>1577209642</v>
      </c>
    </row>
    <row r="8487" spans="1:7" x14ac:dyDescent="0.25">
      <c r="A8487">
        <v>1577209651</v>
      </c>
      <c r="B8487" t="s">
        <v>37445</v>
      </c>
      <c r="C8487">
        <v>0</v>
      </c>
      <c r="D8487">
        <v>1</v>
      </c>
      <c r="E8487">
        <v>26</v>
      </c>
      <c r="F8487">
        <v>6953</v>
      </c>
      <c r="G8487">
        <f t="shared" si="132"/>
        <v>1577209651</v>
      </c>
    </row>
    <row r="8488" spans="1:7" x14ac:dyDescent="0.25">
      <c r="A8488">
        <v>1577209674</v>
      </c>
      <c r="B8488" t="s">
        <v>37446</v>
      </c>
      <c r="C8488">
        <v>0</v>
      </c>
      <c r="D8488">
        <v>1</v>
      </c>
      <c r="E8488">
        <v>83</v>
      </c>
      <c r="F8488">
        <v>5952</v>
      </c>
      <c r="G8488">
        <f t="shared" si="132"/>
        <v>1577209674</v>
      </c>
    </row>
    <row r="8489" spans="1:7" x14ac:dyDescent="0.25">
      <c r="A8489">
        <v>1577209679</v>
      </c>
      <c r="B8489" t="s">
        <v>37447</v>
      </c>
      <c r="C8489">
        <v>0</v>
      </c>
      <c r="D8489">
        <v>1</v>
      </c>
      <c r="E8489">
        <v>77</v>
      </c>
      <c r="F8489">
        <v>6001</v>
      </c>
      <c r="G8489">
        <f t="shared" si="132"/>
        <v>1577209679</v>
      </c>
    </row>
    <row r="8490" spans="1:7" x14ac:dyDescent="0.25">
      <c r="A8490">
        <v>1577209690</v>
      </c>
      <c r="B8490" t="s">
        <v>37448</v>
      </c>
      <c r="C8490">
        <v>0</v>
      </c>
      <c r="D8490">
        <v>1</v>
      </c>
      <c r="E8490">
        <v>105</v>
      </c>
      <c r="F8490">
        <v>5841</v>
      </c>
      <c r="G8490">
        <f t="shared" si="132"/>
        <v>1577209690</v>
      </c>
    </row>
    <row r="8491" spans="1:7" x14ac:dyDescent="0.25">
      <c r="A8491" t="s">
        <v>529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32</vt:i4>
      </vt:variant>
      <vt:variant>
        <vt:lpstr>Benannte Bereiche</vt:lpstr>
      </vt:variant>
      <vt:variant>
        <vt:i4>2</vt:i4>
      </vt:variant>
    </vt:vector>
  </HeadingPairs>
  <TitlesOfParts>
    <vt:vector size="34" baseType="lpstr">
      <vt:lpstr>Overview</vt:lpstr>
      <vt:lpstr>Construction Planner</vt:lpstr>
      <vt:lpstr>Formatierung</vt:lpstr>
      <vt:lpstr>Farm Planner</vt:lpstr>
      <vt:lpstr>Angriffsplaner_Abschickzeiten</vt:lpstr>
      <vt:lpstr>Angriffsplaner_Laufzeiten</vt:lpstr>
      <vt:lpstr>Befehlsplaner</vt:lpstr>
      <vt:lpstr>Noble Planner</vt:lpstr>
      <vt:lpstr>Recruting planner</vt:lpstr>
      <vt:lpstr>Village Planner</vt:lpstr>
      <vt:lpstr>Laufzeitrechner</vt:lpstr>
      <vt:lpstr>Bashpointrechner</vt:lpstr>
      <vt:lpstr>Techs times</vt:lpstr>
      <vt:lpstr>Amortisierung Minen</vt:lpstr>
      <vt:lpstr>Ram table</vt:lpstr>
      <vt:lpstr>Catapult table</vt:lpstr>
      <vt:lpstr>Catapult table_surviving</vt:lpstr>
      <vt:lpstr>Moralrechner</vt:lpstr>
      <vt:lpstr>Bauernhofregel</vt:lpstr>
      <vt:lpstr>Simulator alt</vt:lpstr>
      <vt:lpstr>Simulator neu</vt:lpstr>
      <vt:lpstr>Construction Times</vt:lpstr>
      <vt:lpstr>Construction Costs (timber)</vt:lpstr>
      <vt:lpstr>Construction Costs (clay)</vt:lpstr>
      <vt:lpstr>Construction Costs (iron)</vt:lpstr>
      <vt:lpstr>Villagers</vt:lpstr>
      <vt:lpstr>Points</vt:lpstr>
      <vt:lpstr>Miscelaneous</vt:lpstr>
      <vt:lpstr>Unit information</vt:lpstr>
      <vt:lpstr>Translation</vt:lpstr>
      <vt:lpstr>DSDörfer</vt:lpstr>
      <vt:lpstr>DSSpieler</vt:lpstr>
      <vt:lpstr>DSSpieler!player</vt:lpstr>
      <vt:lpstr>DSDörfer!village</vt:lpstr>
    </vt:vector>
  </TitlesOfParts>
  <Company>Northwest Missouri State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Patrick</cp:lastModifiedBy>
  <dcterms:created xsi:type="dcterms:W3CDTF">2008-10-01T01:55:37Z</dcterms:created>
  <dcterms:modified xsi:type="dcterms:W3CDTF">2020-06-18T20:11:34Z</dcterms:modified>
</cp:coreProperties>
</file>